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ff" sheetId="1" state="visible" r:id="rId3"/>
    <sheet name="Leave History" sheetId="2" state="visible" r:id="rId4"/>
    <sheet name="Milestones" sheetId="3" state="visible" r:id="rId5"/>
    <sheet name="All Staff Breakdown" sheetId="4" state="visible" r:id="rId6"/>
    <sheet name="HR Tally Check" sheetId="5" state="visible" r:id="rId7"/>
    <sheet name="Settings" sheetId="6" state="visible" r:id="rId8"/>
    <sheet name="Tally Helper" sheetId="7" state="hidden" r:id="rId9"/>
  </sheets>
  <definedNames>
    <definedName function="false" hidden="true" localSheetId="3" name="_xlnm._FilterDatabase" vbProcedure="false">'All Staff Breakdown'!$A$4:$H$154</definedName>
    <definedName function="false" hidden="true" localSheetId="0" name="_xlnm._FilterDatabase" vbProcedure="false">Staff!$A$4:$AD$154</definedName>
    <definedName function="false" hidden="false" name="Apply2026" vbProcedure="false">Settings!$C$35</definedName>
    <definedName function="false" hidden="false" name="AsOfDate" vbProcedure="false">Settings!$C$5</definedName>
    <definedName function="false" hidden="false" name="BonusCat" vbProcedure="false">Settings!$C$8</definedName>
    <definedName function="false" hidden="false" name="CasualCounts" vbProcedure="false">Settings!$C$31</definedName>
    <definedName function="false" hidden="false" name="FT_AnnivDays" vbProcedure="false">Settings!$C$24</definedName>
    <definedName function="false" hidden="false" name="FT_First" vbProcedure="false">Settings!$C$21</definedName>
    <definedName function="false" hidden="false" name="FT_Int1" vbProcedure="false">Settings!$C$22</definedName>
    <definedName function="false" hidden="false" name="FT_Int2" vbProcedure="false">Settings!$C$25</definedName>
    <definedName function="false" hidden="false" name="FT_PerYear" vbProcedure="false">Settings!$C$30</definedName>
    <definedName function="false" hidden="false" name="FT_PreY5" vbProcedure="false">Settings!$C$29</definedName>
    <definedName function="false" hidden="false" name="FT_Y5" vbProcedure="false">Settings!$C$23</definedName>
    <definedName function="false" hidden="false" name="HoursPerDay" vbProcedure="false">Settings!$C$7</definedName>
    <definedName function="false" hidden="false" name="LHUnit" vbProcedure="false">Settings!$C$9</definedName>
    <definedName function="false" hidden="false" name="LH_ColAcc" vbProcedure="false">Settings!$G$15</definedName>
    <definedName function="false" hidden="false" name="LH_ColCat" vbProcedure="false">Settings!$G$14</definedName>
    <definedName function="false" hidden="false" name="LH_ColClose" vbProcedure="false">Settings!$G$17</definedName>
    <definedName function="false" hidden="false" name="LH_ColFirst" vbProcedure="false">Settings!$G$12</definedName>
    <definedName function="false" hidden="false" name="LH_ColPeriod" vbProcedure="false">Settings!$G$10</definedName>
    <definedName function="false" hidden="false" name="LH_ColStart" vbProcedure="false">15</definedName>
    <definedName function="false" hidden="false" name="LH_ColSur" vbProcedure="false">Settings!$G$13</definedName>
    <definedName function="false" hidden="false" name="LH_ColTaken" vbProcedure="false">Settings!$G$16</definedName>
    <definedName function="false" hidden="false" name="LH_Data" vbProcedure="false">'Leave History'!$A$2:$AZ$3000</definedName>
    <definedName function="false" hidden="false" name="LH_Hdr" vbProcedure="false">'Leave History'!$A$1:$AZ$1</definedName>
    <definedName function="false" hidden="false" name="LH_OpenLabel" vbProcedure="false">Settings!$C$19</definedName>
    <definedName function="false" hidden="false" name="LH_Ready" vbProcedure="false">Settings!$G$18</definedName>
    <definedName function="false" hidden="false" name="PFYDate" vbProcedure="false">Settings!$C$6</definedName>
    <definedName function="false" hidden="false" name="PolicyDate" vbProcedure="false">Settings!$C$33</definedName>
    <definedName function="false" hidden="false" name="PolicyEff" vbProcedure="false">Settings!$G$35</definedName>
    <definedName function="false" hidden="false" name="PreSchemeCounts" vbProcedure="false">Settings!$C$34</definedName>
    <definedName function="false" hidden="false" name="PT_First" vbProcedure="false">Settings!$C$26</definedName>
    <definedName function="false" hidden="false" name="PT_Int" vbProcedure="false">Settings!$C$27</definedName>
    <definedName function="false" hidden="false" name="PT_MinHours" vbProcedure="false">Settings!$C$28</definedName>
    <definedName function="false" hidden="false" name="SchemeStart" vbProcedure="false">Settings!$C$32</definedName>
    <definedName function="false" hidden="false" name="UnitFactor" vbProcedure="false">Settings!$G$9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<sst xmlns="http://schemas.openxmlformats.org/spreadsheetml/2006/main" count="376" uniqueCount="265">
  <si>
    <t xml:space="preserve">CTS BONUS LEAVE TRACKER</t>
  </si>
  <si>
    <t xml:space="preserve">ACCRUAL MONTH (type the month-end date):</t>
  </si>
  <si>
    <t xml:space="preserve">Everything in the workbook is calculated as at this date: EARNED THIS MONTH = days whose milestone falls in that month. HOURS TO ACCRUE = everything still missing in EH (this month + any earlier months not yet posted). To see who you accrued for in a month, set the month here and filter Earned this month &gt; 0.</t>
  </si>
  <si>
    <t xml:space="preserve">type here</t>
  </si>
  <si>
    <t xml:space="preserve">current: Full-Time / Part-Time / Casual</t>
  </si>
  <si>
    <t xml:space="preserve">next birthday</t>
  </si>
  <si>
    <t xml:space="preserve">date casual began</t>
  </si>
  <si>
    <t xml:space="preserve">date part-time began</t>
  </si>
  <si>
    <t xml:space="preserve">date full-time began</t>
  </si>
  <si>
    <t xml:space="preserve">optional: HR-adjusted service start (unpaid leave)</t>
  </si>
  <si>
    <t xml:space="preserve">next anniversary of commencement (FT/PT start)</t>
  </si>
  <si>
    <t xml:space="preserve">years since commencement (FT/PT start)</t>
  </si>
  <si>
    <t xml:space="preserve">qualifying service counted</t>
  </si>
  <si>
    <t xml:space="preserve">HOURS due per policy to date</t>
  </si>
  <si>
    <t xml:space="preserve">days due per policy to date</t>
  </si>
  <si>
    <t xml:space="preserve">part-timers only; blank = 24+</t>
  </si>
  <si>
    <t xml:space="preserve">from the three start dates</t>
  </si>
  <si>
    <t xml:space="preserve">date of next day</t>
  </si>
  <si>
    <t xml:space="preserve">EH go-live load (only if commenced before the report start)</t>
  </si>
  <si>
    <t xml:space="preserve">accrued in EH since commencement</t>
  </si>
  <si>
    <t xml:space="preserve">taken since commencement</t>
  </si>
  <si>
    <t xml:space="preserve">EH balance now</t>
  </si>
  <si>
    <t xml:space="preserve">policy accrual from report start to as-of</t>
  </si>
  <si>
    <t xml:space="preserve">scheme hours to date - credited in EH (opening + accrued)</t>
  </si>
  <si>
    <t xml:space="preserve">Yes = hours owed</t>
  </si>
  <si>
    <t xml:space="preserve">0 when the report covers full history</t>
  </si>
  <si>
    <t xml:space="preserve">Bonus Leave rows found</t>
  </si>
  <si>
    <t xml:space="preserve">days whose milestone falls in the accrual month</t>
  </si>
  <si>
    <t xml:space="preserve">date of that milestone</t>
  </si>
  <si>
    <t xml:space="preserve">milestones before 27/11/2017 - earn nothing</t>
  </si>
  <si>
    <t xml:space="preserve">hours EH has credited above the scheme entitlement (0 = none)</t>
  </si>
  <si>
    <t xml:space="preserve">Yes = keep what EH holds; accrue forward only</t>
  </si>
  <si>
    <t xml:space="preserve">free text - reconciliation notes, HR decisions</t>
  </si>
  <si>
    <t xml:space="preserve">Name</t>
  </si>
  <si>
    <t xml:space="preserve">Surname</t>
  </si>
  <si>
    <t xml:space="preserve">EmploymentType</t>
  </si>
  <si>
    <t xml:space="preserve">DateOfBirth</t>
  </si>
  <si>
    <t xml:space="preserve">Birthday</t>
  </si>
  <si>
    <t xml:space="preserve">StartDate</t>
  </si>
  <si>
    <t xml:space="preserve">Casual Start</t>
  </si>
  <si>
    <t xml:space="preserve">PTE Start</t>
  </si>
  <si>
    <t xml:space="preserve">FTE Start</t>
  </si>
  <si>
    <t xml:space="preserve">AnniversaryDate</t>
  </si>
  <si>
    <t xml:space="preserve">Anniversary</t>
  </si>
  <si>
    <t xml:space="preserve">Tenure</t>
  </si>
  <si>
    <t xml:space="preserve">Tenure (Y/M/D)</t>
  </si>
  <si>
    <t xml:space="preserve">Bonus leave Accrued</t>
  </si>
  <si>
    <t xml:space="preserve">Days</t>
  </si>
  <si>
    <t xml:space="preserve">PT Hrs/Week</t>
  </si>
  <si>
    <t xml:space="preserve">Status Change</t>
  </si>
  <si>
    <t xml:space="preserve">Eligible?</t>
  </si>
  <si>
    <t xml:space="preserve">Next Accrual</t>
  </si>
  <si>
    <t xml:space="preserve">Opening Balance (hrs)</t>
  </si>
  <si>
    <t xml:space="preserve">Leave Accrued (hrs)</t>
  </si>
  <si>
    <t xml:space="preserve">Leave Taken (hrs)</t>
  </si>
  <si>
    <t xml:space="preserve">Closing Balance (hrs)</t>
  </si>
  <si>
    <t xml:space="preserve">Due per policy (hrs)</t>
  </si>
  <si>
    <t xml:space="preserve">Hours to Accrue</t>
  </si>
  <si>
    <t xml:space="preserve">Add to EH now?</t>
  </si>
  <si>
    <t xml:space="preserve">Action</t>
  </si>
  <si>
    <t xml:space="preserve">Opening gap vs policy (hrs)</t>
  </si>
  <si>
    <t xml:space="preserve">Rows in EH report</t>
  </si>
  <si>
    <t xml:space="preserve">Data Check</t>
  </si>
  <si>
    <t xml:space="preserve">Earned this month (days)</t>
  </si>
  <si>
    <t xml:space="preserve">Milestone this month</t>
  </si>
  <si>
    <t xml:space="preserve">Days excluded (before scheme start)</t>
  </si>
  <si>
    <t xml:space="preserve">Over-accrued in EH (hrs)</t>
  </si>
  <si>
    <t xml:space="preserve">Accept EH balance to date?</t>
  </si>
  <si>
    <t xml:space="preserve">Notes</t>
  </si>
  <si>
    <t xml:space="preserve">h active</t>
  </si>
  <si>
    <t xml:space="preserve">h S</t>
  </si>
  <si>
    <t xml:space="preserve">h n dates</t>
  </si>
  <si>
    <t xml:space="preserve">h D1</t>
  </si>
  <si>
    <t xml:space="preserve">h D2</t>
  </si>
  <si>
    <t xml:space="preserve">h D3</t>
  </si>
  <si>
    <t xml:space="preserve">h T1</t>
  </si>
  <si>
    <t xml:space="preserve">h T2</t>
  </si>
  <si>
    <t xml:space="preserve">h T3</t>
  </si>
  <si>
    <t xml:space="preserve">h P1</t>
  </si>
  <si>
    <t xml:space="preserve">h P2</t>
  </si>
  <si>
    <t xml:space="preserve">h P3</t>
  </si>
  <si>
    <t xml:space="preserve">h Pc</t>
  </si>
  <si>
    <t xml:space="preserve">h M0</t>
  </si>
  <si>
    <t xml:space="preserve">h B1</t>
  </si>
  <si>
    <t xml:space="preserve">h B2</t>
  </si>
  <si>
    <t xml:space="preserve">h MP</t>
  </si>
  <si>
    <t xml:space="preserve">h B1P</t>
  </si>
  <si>
    <t xml:space="preserve">h B2P</t>
  </si>
  <si>
    <t xml:space="preserve">h daysNow</t>
  </si>
  <si>
    <t xml:space="preserve">h daysPFY</t>
  </si>
  <si>
    <t xml:space="preserve">h nextoff</t>
  </si>
  <si>
    <t xml:space="preserve">h rows</t>
  </si>
  <si>
    <t xml:space="preserve">h lastrow</t>
  </si>
  <si>
    <t xml:space="preserve">h MM</t>
  </si>
  <si>
    <t xml:space="preserve">h B1M</t>
  </si>
  <si>
    <t xml:space="preserve">h B2M</t>
  </si>
  <si>
    <t xml:space="preserve">h daysLastMonth</t>
  </si>
  <si>
    <t xml:space="preserve">h lastoff</t>
  </si>
  <si>
    <t xml:space="preserve">h MS</t>
  </si>
  <si>
    <t xml:space="preserve">h B1S</t>
  </si>
  <si>
    <t xml:space="preserve">h B2S</t>
  </si>
  <si>
    <t xml:space="preserve">h daysPreScheme</t>
  </si>
  <si>
    <t xml:space="preserve">h key</t>
  </si>
  <si>
    <t xml:space="preserve">HOW "OVER-ACCRUED IN EH (hrs)" IS WORKED OUT</t>
  </si>
  <si>
    <t xml:space="preserve">This column shows how many hours EH has credited to a person above what the scheme allows. It compares what was put in, not what is left.</t>
  </si>
  <si>
    <t xml:space="preserve">Leave taken does not change this figure. When someone takes Bonus Leave, the hours come off their EH balance and off their scheme entitlement at the same time, so the two cancel out. Taking it off again would count it twice.</t>
  </si>
  <si>
    <t xml:space="preserve">Example: a person has earned 200 hrs under the scheme and taken 12, so they should have 188 left. EH credited them 360 and shows 348 left. 348 less 188 is 160 hrs over. If only 148 were reversed they would sit on 200 hrs, as if they had never taken a day.</t>
  </si>
  <si>
    <t xml:space="preserve">To fix an over-accrual, reverse the figure in this column. The balance then lands where the scheme says it should be.</t>
  </si>
  <si>
    <t xml:space="preserve">Employee Id</t>
  </si>
  <si>
    <t xml:space="preserve">External Id</t>
  </si>
  <si>
    <t xml:space="preserve">First Name</t>
  </si>
  <si>
    <t xml:space="preserve">Leave Category</t>
  </si>
  <si>
    <t xml:space="preserve">Opening Balance</t>
  </si>
  <si>
    <t xml:space="preserve">Closing Balance</t>
  </si>
  <si>
    <t xml:space="preserve">Pay Period</t>
  </si>
  <si>
    <t xml:space="preserve">Leave Accrued</t>
  </si>
  <si>
    <t xml:space="preserve">Leave Taken</t>
  </si>
  <si>
    <t xml:space="preserve">Unit Type</t>
  </si>
  <si>
    <t xml:space="preserve">Period start text (auto)</t>
  </si>
  <si>
    <t xml:space="preserve">Period start date (auto - do not delete)</t>
  </si>
  <si>
    <t xml:space="preserve">Columns N and O are helpers that read the pay period start date. Paste your export into A:L only and never clear N:O.</t>
  </si>
  <si>
    <t xml:space="preserve">MILESTONES - one person, accrual by accrual</t>
  </si>
  <si>
    <t xml:space="preserve">Pick a name in the yellow cell. Each milestone date is listed with the employment type on that date and the days it earned. Earned days add up to the Days column on the Staff tab.</t>
  </si>
  <si>
    <t xml:space="preserve">Staff member</t>
  </si>
  <si>
    <t xml:space="preserve">Found?</t>
  </si>
  <si>
    <t xml:space="preserve">Commencement for Bonus Leave</t>
  </si>
  <si>
    <t xml:space="preserve">As-of date</t>
  </si>
  <si>
    <t xml:space="preserve">Employment type today</t>
  </si>
  <si>
    <t xml:space="preserve">Days per policy (Staff tab)</t>
  </si>
  <si>
    <t xml:space="preserve">PT hours per week (blank = 24+)</t>
  </si>
  <si>
    <t xml:space="preserve">Days earned in the tables below</t>
  </si>
  <si>
    <t xml:space="preserve">Type at commencement</t>
  </si>
  <si>
    <t xml:space="preserve">Reconciles?</t>
  </si>
  <si>
    <t xml:space="preserve">Change 1 date</t>
  </si>
  <si>
    <t xml:space="preserve">Hours per day</t>
  </si>
  <si>
    <t xml:space="preserve">Change 1 new type</t>
  </si>
  <si>
    <t xml:space="preserve">Hours earned to date</t>
  </si>
  <si>
    <t xml:space="preserve">Change 2 date</t>
  </si>
  <si>
    <t xml:space="preserve">Change 2 new type</t>
  </si>
  <si>
    <t xml:space="preserve">Number of type dates entered</t>
  </si>
  <si>
    <t xml:space="preserve">FULL-TIME milestones (earned only if full-time on that date)</t>
  </si>
  <si>
    <t xml:space="preserve">PART-TIME 24+ hrs milestones (earned only if eligible part-time on that date)</t>
  </si>
  <si>
    <t xml:space="preserve">Merged schedule (helper - do not edit)</t>
  </si>
  <si>
    <t xml:space="preserve">#</t>
  </si>
  <si>
    <t xml:space="preserve">Months</t>
  </si>
  <si>
    <t xml:space="preserve">Milestone</t>
  </si>
  <si>
    <t xml:space="preserve">Date</t>
  </si>
  <si>
    <t xml:space="preserve">Type on that date</t>
  </si>
  <si>
    <t xml:space="preserve">Pathway</t>
  </si>
  <si>
    <t xml:space="preserve">Days if pathway matches</t>
  </si>
  <si>
    <t xml:space="preserve">Days earned</t>
  </si>
  <si>
    <t xml:space="preserve">Why not earned</t>
  </si>
  <si>
    <t xml:space="preserve">All offsets</t>
  </si>
  <si>
    <t xml:space="preserve">Sorted</t>
  </si>
  <si>
    <t xml:space="preserve">ALL STAFF - how each person's days were earned</t>
  </si>
  <si>
    <t xml:space="preserve">Type today</t>
  </si>
  <si>
    <t xml:space="preserve">Commencement</t>
  </si>
  <si>
    <t xml:space="preserve">Hours</t>
  </si>
  <si>
    <t xml:space="preserve">How the days were earned (date  pathway  days)</t>
  </si>
  <si>
    <t xml:space="preserve">piece</t>
  </si>
  <si>
    <t xml:space="preserve">HR TALLY CHECK - paste the HR tally grid here and compare it with the tracker</t>
  </si>
  <si>
    <t xml:space="preserve">Row 7 = names exactly as on the Staff tab (Name Surname). Column A from row 8 = months (Jan-17 style text or a date). Grid = days HR tallied. The tracker's days for the same person and month appear in the TRACKER block to the right, and the DIFFERENCE block after that. Only months listed in column A are compared - add earlier month rows to see milestones before the tally began.</t>
  </si>
  <si>
    <t xml:space="preserve">Compare totals up to (month end):</t>
  </si>
  <si>
    <t xml:space="preserve">Defaults to the end of the accrual month (Staff tab D1). Change it to compare up to a different month.</t>
  </si>
  <si>
    <t xml:space="preserve">HR tally total to that month</t>
  </si>
  <si>
    <t xml:space="preserve">Tracker total to that month</t>
  </si>
  <si>
    <t xml:space="preserve">Difference (tracker - HR)</t>
  </si>
  <si>
    <t xml:space="preserve">Month</t>
  </si>
  <si>
    <t xml:space="preserve">TRACKER</t>
  </si>
  <si>
    <t xml:space="preserve">DIFFERENCE</t>
  </si>
  <si>
    <t xml:space="preserve">month start</t>
  </si>
  <si>
    <t xml:space="preserve">month end</t>
  </si>
  <si>
    <t xml:space="preserve">SETTINGS</t>
  </si>
  <si>
    <t xml:space="preserve">General</t>
  </si>
  <si>
    <t xml:space="preserve">Value</t>
  </si>
  <si>
    <t xml:space="preserve">As-of date (set on the Staff tab, cell D1)</t>
  </si>
  <si>
    <t xml:space="preserve">Do not type here - change the Accrual month cell at the top of the Staff tab.</t>
  </si>
  <si>
    <t xml:space="preserve">Day BEFORE the Leave History report starts</t>
  </si>
  <si>
    <t xml:space="preserve">Run the report from the first day of business and enter the day before its start date here. Then Hours to Accrue = lifetime policy entitlement minus everything EH has ever credited.</t>
  </si>
  <si>
    <t xml:space="preserve">Hours per Bonus Leave day</t>
  </si>
  <si>
    <t xml:space="preserve">Policy p.3</t>
  </si>
  <si>
    <t xml:space="preserve">Bonus Leave category name in EH</t>
  </si>
  <si>
    <t xml:space="preserve">Bonus Leave</t>
  </si>
  <si>
    <t xml:space="preserve">Must match the Leave Category text in the export exactly.</t>
  </si>
  <si>
    <t xml:space="preserve">Unit Type in the report</t>
  </si>
  <si>
    <t xml:space="preserve">Hours or Days (the Unit Type column of the export).</t>
  </si>
  <si>
    <t xml:space="preserve">Pay period column (to find 'Opening Balances' rows)</t>
  </si>
  <si>
    <t xml:space="preserve">Leave History export column headers</t>
  </si>
  <si>
    <t xml:space="preserve">Header text</t>
  </si>
  <si>
    <t xml:space="preserve">First name</t>
  </si>
  <si>
    <t xml:space="preserve">Taken from your Leave History export. Change only if EH renames a column. All six must say Yes.</t>
  </si>
  <si>
    <t xml:space="preserve">Leave category</t>
  </si>
  <si>
    <t xml:space="preserve">Leave accrued</t>
  </si>
  <si>
    <t xml:space="preserve">Leave taken</t>
  </si>
  <si>
    <t xml:space="preserve">Closing balance</t>
  </si>
  <si>
    <t xml:space="preserve">Export ready?</t>
  </si>
  <si>
    <t xml:space="preserve">Text in Pay Period that marks an opening-balance load</t>
  </si>
  <si>
    <t xml:space="preserve">Opening Balances</t>
  </si>
  <si>
    <t xml:space="preserve">EH shows the balance loaded at go-live as a row with this Pay Period text. It is treated as the opening balance, not as an accrual.</t>
  </si>
  <si>
    <t xml:space="preserve">Scheme rules (CTS Additional Leave Bonus Scheme flowchart v2.0 04/09/25; 2026 policy v1.0 if row 35 = Yes)</t>
  </si>
  <si>
    <t xml:space="preserve">Full-time: first day at (months)</t>
  </si>
  <si>
    <t xml:space="preserve">3 years - p.5</t>
  </si>
  <si>
    <t xml:space="preserve">Full-time: months between days, years 3-5</t>
  </si>
  <si>
    <t xml:space="preserve">1 day every 4 months - p.5</t>
  </si>
  <si>
    <t xml:space="preserve">Full-time: 5-year milestone (months)</t>
  </si>
  <si>
    <t xml:space="preserve">p.5</t>
  </si>
  <si>
    <t xml:space="preserve">Full-time: days on 5-yr and later anniversaries</t>
  </si>
  <si>
    <t xml:space="preserve">Full-time: months between days after year 5</t>
  </si>
  <si>
    <t xml:space="preserve">1 day every 3 months - p.5</t>
  </si>
  <si>
    <t xml:space="preserve">Part-time: first day at (months)</t>
  </si>
  <si>
    <t xml:space="preserve">5 years - p.5-6</t>
  </si>
  <si>
    <t xml:space="preserve">Part-time: months between days</t>
  </si>
  <si>
    <t xml:space="preserve">1 day every 4 months - p.6</t>
  </si>
  <si>
    <t xml:space="preserve">Part-time: minimum hours per week</t>
  </si>
  <si>
    <t xml:space="preserve">Under 24 hrs = not eligible - p.4</t>
  </si>
  <si>
    <t xml:space="preserve">Full-time days before 5-yr milestone (calc)</t>
  </si>
  <si>
    <t xml:space="preserve">Full-time days per year from year 6 (calc)</t>
  </si>
  <si>
    <t xml:space="preserve">Does casual service count towards qualifying service?</t>
  </si>
  <si>
    <t xml:space="preserve">No</t>
  </si>
  <si>
    <t xml:space="preserve">No = service counts from the first full-time or part-time start date (CTS decision; policy p.3 defines commencement as the original start date). Yes = service counts from StartDate.</t>
  </si>
  <si>
    <t xml:space="preserve">Scheme start date</t>
  </si>
  <si>
    <t xml:space="preserve">CTS Additional Leave Bonus Scheme v1.0 announced 27/11/2017. No milestone before this date earns anything.</t>
  </si>
  <si>
    <t xml:space="preserve">2026 policy effective date</t>
  </si>
  <si>
    <t xml:space="preserve">Before this date the 5-year anniversary earned 1 day (2017 scheme); from this date it earns the days in row 24 (2026 policy p.5).</t>
  </si>
  <si>
    <t xml:space="preserve">Does service before the scheme start count?</t>
  </si>
  <si>
    <t xml:space="preserve">Yes</t>
  </si>
  <si>
    <t xml:space="preserve">Yes = tenure before 27/11/2017 counts, so staff already past 3 years accrued from the scheme start (2017 flowchart wording, and HR practice). No = everyone who started before 27/11/2017 is treated as commencing on that date.</t>
  </si>
  <si>
    <t xml:space="preserve">Apply the 2026 policy accrual changes (5-yr anniversary = 2 days, part-time eligible)?</t>
  </si>
  <si>
    <t xml:space="preserve">No = Bonus Scheme flowchart v2.0 (04/09/25) rules: full-time only, service from the full-time start date, 5-yr anniversary 1 day. Yes = 2026 policy document accrual rules from the 2026 policy date.</t>
  </si>
  <si>
    <t xml:space="preserve">HOW TO USE</t>
  </si>
  <si>
    <t xml:space="preserve">1. Staff tab: type Name, Surname, EmploymentType (current type), DateOfBirth, StartDate.</t>
  </si>
  <si>
    <t xml:space="preserve">2. PTE Start / FTE Start / Casual Start: the date each employment type began. Always fill the one for the type they started on (same as StartDate). If they later changed type, fill the date the new type began as well. The latest date is the current type. Up to two changes are handled (e.g. Casual &gt; Full-Time &gt; Part-Time). Column Q writes the change out and says whether accrual stopped, started or changed pathway.</t>
  </si>
  <si>
    <t xml:space="preserve">2a. Scheme start 27/11/2017: no milestone before that date earns anything, whoever the person is or when they started. The column 'Days excluded (before scheme start)' shows how many milestones each long-serving person had before the scheme that were NOT credited. The Milestones tab marks each one 'before scheme start'.</t>
  </si>
  <si>
    <t xml:space="preserve">2b. Accrual month: type the month-end date in the yellow cell D1 at the top of the Staff tab (e.g. 30/09/2026). Every tab calculates as at that date. Set it to the month you are posting, not today.</t>
  </si>
  <si>
    <t xml:space="preserve">3. AnniversaryDate: only if HR has pushed the qualifying-service start out for unpaid or parental leave (policy p.4-5). Otherwise leave blank and StartDate is used.</t>
  </si>
  <si>
    <t xml:space="preserve">4. Bonus leave Accrued = HOURS the policy says the person should have received in total to date. Days = the same in days. Eligible? and Next Accrual show who is in the scheme and when the next day lands.</t>
  </si>
  <si>
    <t xml:space="preserve">5. Leave History tab: run the EH Leave History Report from the first day of business to today and paste it at A1 (headers in row 1). On this tab set the day BEFORE the report start date. A full-history report is what makes the reconciliation clean: leave taken is then fully accounted for.</t>
  </si>
  <si>
    <t xml:space="preserve">6. The red columns on Staff then read straight from the report: Opening Balance (a loaded balance, normally 0), Leave Accrued (everything EH has credited), Leave Taken, Closing Balance (balance now), Due per policy (policy accrual from the report start to today), Hours to Accrue (= policy entitlement - opening balance - EH accrued), Add to EH now? and an Action.</t>
  </si>
  <si>
    <t xml:space="preserve">6b. Accept EH balance to date? (column after Notes block): type Yes for anyone whose EH balance has been agreed as correct even though it differs from the policy entitlement (e.g. long-serving staff credited from 2017 on their old anniversary). The sheet then stops comparing history and only checks that each new milestone is posted. Leave blank for everyone else.</t>
  </si>
  <si>
    <t xml:space="preserve">7. OVER-ACCRUED IN EH (hrs) shows, for everyone, how many hours EH has credited above the scheme entitlement to date (0 = none). It stays visible even when Accept EH balance = Yes, so filter it &gt; 0 to list the over-accruals. Filter the Action column: FIX INPUT = a problem with what was typed. ACCRUE = add those hours in EH now. CHECK = EH has credited more than the policy allows (an HR decision, not a formula problem). OK = nothing to add. Not eligible / Not yet = no accrual due and why. If a person has no Bonus Leave rows in EH at all, Hours to Accrue is their full policy entitlement.</t>
  </si>
  <si>
    <t xml:space="preserve">8b. Milestones tab: pick one person and see every milestone date, the type they were on that date and the days earned. All Staff Breakdown tab: the same for everyone, one line per person, so you can show how any number was reached.</t>
  </si>
  <si>
    <t xml:space="preserve">8. Opening gap vs policy only matters if you run a report that starts mid-way (e.g. from 1 July). It is then policy hours at the report start minus the opening balance, which mixes leave taken before the start with accruals never posted. With a full-history report it is 0.</t>
  </si>
  <si>
    <t xml:space="preserve">POLICY IN ONE LINE EACH</t>
  </si>
  <si>
    <t xml:space="preserve">Full-time: 1 day at 3 years, then 1 day every 4 months. At 5 years 2 days, then 1 day every 3 months (5 a year). Policy p.5, Schedule 1 p.9.</t>
  </si>
  <si>
    <t xml:space="preserve">Part-time 24+ hrs: nothing until 5 years, then 1 day every 4 months (3 a year). Policy p.5-6.</t>
  </si>
  <si>
    <t xml:space="preserve">Casual, contractor, part-time under 24 hrs: not eligible (p.3-4). No pro-rata (p.7). Status on the accrual date decides the pathway (p.7-8). 1 day = 8 hours (p.3). By CTS decision, casual service does not count: qualifying service runs from the first full-time or part-time start date (Settings switch 'Does casual service count'). The policy itself defines commencement as the original start date (p.3), so keep HR's written decision on file.</t>
  </si>
  <si>
    <t xml:space="preserve">SERVICE BEFORE THE SCHEME START: service before 27/11/2017 counts towards the 3-year and 5-year milestones (Settings row 34 = Yes), but no day is earned for a milestone that fell before 27/11/2017 - those show in Days excluded (before scheme start). Someone who started in 2013 is already past 3 years at the scheme start, so their first day is their first 4-monthly milestone on or after 27/11/2017.</t>
  </si>
  <si>
    <t xml:space="preserve">RULES APPLIED: the tracker works off the CTS Additional Leave Bonus Scheme flowchart v2.0 (04/09/25): full-time employees only, service from the full-time start date (or the Eligibility Letter date if different - use the AnniversaryDate column), 3 years = 1 day then 1 day every 4 months, 5-year anniversary 1 day then 1 day every 3 months (2 days on the 6-year and later anniversaries), no pro-rata, and Bonus Leave is not paid out on termination. Settings row 35 = No. Service before the scheme start counts, but milestones before 27/11/2017 earn nothing (row 34 = Yes). Set row 35 to Yes only if management decides the 2026 policy document (part-time eligible, 2 days at 5 years, original start date) applies instead.</t>
  </si>
  <si>
    <t xml:space="preserve">HISTORY: the scheme started 27/11/2017 (flowchart v1.0). Flowchart v2.0 (04/09/25) changed one thing: Bonus Leave is no longer paid out on termination. The 2026 policy document (v1.0, effective 08/09/2026) goes further - part-time 24+ hrs eligible, 2 days at the 5-year anniversary, commencement = original start date, parental leave pauses service. Those differences have been raised with management and are switched off in the tracker (row 35).</t>
  </si>
  <si>
    <t xml:space="preserve">ASSUMPTIONS: PT Hrs/Week blank means 24+ (eligible). Staff are matched to EH on First Name + Surname, so spelling must match the export. Rows in the report are assumed to be in date order within each employee. Terminated staff forfeit the balance (p.8) - delete them from the Staff tab and zero the EH balance.</t>
  </si>
  <si>
    <t xml:space="preserve">Per person: milestone dates, pathway on that date, days earned. Built from the merged schedule on the Milestones tab.</t>
  </si>
  <si>
    <t xml:space="preserve">Person</t>
  </si>
  <si>
    <t xml:space="preserve">Key found</t>
  </si>
  <si>
    <t xml:space="preserve">S</t>
  </si>
  <si>
    <t xml:space="preserve">n</t>
  </si>
  <si>
    <t xml:space="preserve">D2</t>
  </si>
  <si>
    <t xml:space="preserve">D3</t>
  </si>
  <si>
    <t xml:space="preserve">P1</t>
  </si>
  <si>
    <t xml:space="preserve">P2</t>
  </si>
  <si>
    <t xml:space="preserve">P3</t>
  </si>
  <si>
    <t xml:space="preserve">Pc</t>
  </si>
  <si>
    <t xml:space="preserve">Row</t>
  </si>
  <si>
    <t xml:space="preserve">date</t>
  </si>
  <si>
    <t xml:space="preserve">pathway</t>
  </si>
  <si>
    <t xml:space="preserve">earned</t>
  </si>
</sst>
</file>

<file path=xl/styles.xml><?xml version="1.0" encoding="utf-8"?>
<styleSheet xmlns="http://schemas.openxmlformats.org/spreadsheetml/2006/main">
  <numFmts count="6">
    <numFmt numFmtId="164" formatCode="General"/>
    <numFmt numFmtId="165" formatCode="dd/mm/yyyy"/>
    <numFmt numFmtId="166" formatCode="0.0"/>
    <numFmt numFmtId="167" formatCode="General;\-General;\-"/>
    <numFmt numFmtId="168" formatCode="General"/>
    <numFmt numFmtId="169" formatCode="mm/dd/yy"/>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b val="true"/>
      <sz val="11"/>
      <color rgb="FF0000FF"/>
      <name val="Arial"/>
      <family val="0"/>
      <charset val="1"/>
    </font>
    <font>
      <i val="true"/>
      <sz val="9"/>
      <color rgb="FF555555"/>
      <name val="Arial"/>
      <family val="0"/>
      <charset val="1"/>
    </font>
    <font>
      <b val="true"/>
      <sz val="10"/>
      <color rgb="FFFFFFFF"/>
      <name val="Arial"/>
      <family val="0"/>
      <charset val="1"/>
    </font>
    <font>
      <sz val="10"/>
      <color rgb="FF0000FF"/>
      <name val="Arial"/>
      <family val="0"/>
      <charset val="1"/>
    </font>
    <font>
      <sz val="10"/>
      <name val="Arial"/>
      <family val="0"/>
      <charset val="1"/>
    </font>
  </fonts>
  <fills count="9">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1F4E78"/>
        <bgColor rgb="FF003366"/>
      </patternFill>
    </fill>
    <fill>
      <patternFill patternType="solid">
        <fgColor rgb="FFC00000"/>
        <bgColor rgb="FF9C0006"/>
      </patternFill>
    </fill>
    <fill>
      <patternFill patternType="solid">
        <fgColor rgb="FF7F7F7F"/>
        <bgColor rgb="FF999999"/>
      </patternFill>
    </fill>
    <fill>
      <patternFill patternType="solid">
        <fgColor rgb="FFFFF2CC"/>
        <bgColor rgb="FFFCE4D6"/>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6"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5" fontId="9" fillId="7" borderId="1" xfId="0" applyFont="true" applyBorder="true" applyAlignment="false" applyProtection="false">
      <alignment horizontal="general" vertical="bottom" textRotation="0" wrapText="false" indent="0" shrinkToFit="false"/>
      <protection locked="true" hidden="false"/>
    </xf>
    <xf numFmtId="165" fontId="10" fillId="8" borderId="1" xfId="0" applyFont="true" applyBorder="true" applyAlignment="false" applyProtection="false">
      <alignment horizontal="general" vertical="bottom" textRotation="0" wrapText="false" indent="0" shrinkToFit="false"/>
      <protection locked="true" hidden="false"/>
    </xf>
    <xf numFmtId="166" fontId="10" fillId="8" borderId="1" xfId="0" applyFont="true" applyBorder="true" applyAlignment="false" applyProtection="false">
      <alignment horizontal="general" vertical="bottom" textRotation="0" wrapText="false" indent="0" shrinkToFit="false"/>
      <protection locked="true" hidden="false"/>
    </xf>
    <xf numFmtId="164" fontId="10" fillId="8" borderId="1" xfId="0" applyFont="true" applyBorder="true" applyAlignment="false" applyProtection="false">
      <alignment horizontal="general" vertical="bottom" textRotation="0" wrapText="false" indent="0" shrinkToFit="false"/>
      <protection locked="true" hidden="false"/>
    </xf>
    <xf numFmtId="167" fontId="10" fillId="8" borderId="1" xfId="0" applyFont="true" applyBorder="true" applyAlignment="false" applyProtection="false">
      <alignment horizontal="general" vertical="bottom" textRotation="0" wrapText="false" indent="0" shrinkToFit="false"/>
      <protection locked="true" hidden="false"/>
    </xf>
    <xf numFmtId="167" fontId="9" fillId="7" borderId="1" xfId="0" applyFont="true" applyBorder="true" applyAlignment="false" applyProtection="false">
      <alignment horizontal="general" vertical="bottom"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67" fontId="5" fillId="8"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2E75B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1F4E78"/>
          <bgColor rgb="FF000000"/>
        </patternFill>
      </fill>
    </dxf>
    <dxf>
      <fill>
        <patternFill patternType="solid">
          <fgColor rgb="FFF2F2F2"/>
          <bgColor rgb="FF000000"/>
        </patternFill>
      </fill>
    </dxf>
    <dxf>
      <fill>
        <patternFill patternType="solid">
          <bgColor rgb="FF000000"/>
        </patternFill>
      </fill>
    </dxf>
    <dxf>
      <fill>
        <patternFill patternType="solid">
          <fgColor rgb="FFC00000"/>
          <bgColor rgb="FF000000"/>
        </patternFill>
      </fill>
    </dxf>
    <dxf>
      <font>
        <name val="Arial"/>
        <charset val="1"/>
        <family val="0"/>
        <b val="1"/>
        <color rgb="FFC00000"/>
        <sz val="10"/>
      </font>
      <fill>
        <patternFill>
          <bgColor rgb="FFFCE4D6"/>
        </patternFill>
      </fill>
    </dxf>
    <dxf>
      <font>
        <name val="Arial"/>
        <charset val="1"/>
        <family val="0"/>
        <b val="1"/>
        <color rgb="FF9C0006"/>
        <sz val="10"/>
      </font>
      <fill>
        <patternFill>
          <bgColor rgb="FFFFC7CE"/>
        </patternFill>
      </fill>
    </dxf>
    <dxf>
      <font>
        <name val="Arial"/>
        <charset val="1"/>
        <family val="0"/>
        <color rgb="FF006100"/>
        <sz val="10"/>
      </font>
      <fill>
        <patternFill>
          <bgColor rgb="FFC6EFCE"/>
        </patternFill>
      </fill>
    </dxf>
    <dxf>
      <fill>
        <patternFill>
          <bgColor rgb="FFFCE4D6"/>
        </patternFill>
      </fill>
    </dxf>
    <dxf>
      <fill>
        <patternFill>
          <bgColor rgb="FFC6EFCE"/>
        </patternFill>
      </fill>
    </dxf>
    <dxf>
      <fill>
        <patternFill>
          <bgColor rgb="FFFFEB9C"/>
        </patternFill>
      </fill>
    </dxf>
    <dxf>
      <fill>
        <patternFill>
          <bgColor rgb="FFFFC7CE"/>
        </patternFill>
      </fill>
    </dxf>
    <dxf>
      <font>
        <name val="Arial"/>
        <charset val="1"/>
        <family val="0"/>
        <color rgb="FF999999"/>
        <sz val="10"/>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7030A0"/>
      <rgbColor rgb="FFFFF2CC"/>
      <rgbColor rgb="FFF2F2F2"/>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000"/>
      <rgbColor rgb="FFFF9900"/>
      <rgbColor rgb="FFED7D31"/>
      <rgbColor rgb="FF555555"/>
      <rgbColor rgb="FF999999"/>
      <rgbColor rgb="FF003366"/>
      <rgbColor rgb="FF70AD47"/>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BR1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1"/>
  <cols>
    <col collapsed="false" customWidth="true" hidden="false" outlineLevel="0" max="2" min="1" style="0" width="12"/>
    <col collapsed="false" customWidth="true" hidden="false" outlineLevel="0" max="3" min="3" style="0" width="13"/>
    <col collapsed="false" customWidth="true" hidden="false" outlineLevel="0" max="9" min="4" style="0" width="11"/>
    <col collapsed="false" customWidth="true" hidden="false" outlineLevel="0" max="10" min="10" style="0" width="12"/>
    <col collapsed="false" customWidth="true" hidden="false" outlineLevel="0" max="11" min="11" style="0" width="11"/>
    <col collapsed="false" customWidth="true" hidden="false" outlineLevel="0" max="12" min="12" style="0" width="8"/>
    <col collapsed="false" customWidth="true" hidden="false" outlineLevel="0" max="13" min="13" style="0" width="12"/>
    <col collapsed="false" customWidth="true" hidden="false" outlineLevel="0" max="14" min="14" style="0" width="11"/>
    <col collapsed="false" customWidth="true" hidden="false" outlineLevel="0" max="15" min="15" style="0" width="7"/>
    <col collapsed="false" customWidth="true" hidden="false" outlineLevel="0" max="16" min="16" style="0" width="8"/>
    <col collapsed="false" customWidth="true" hidden="false" outlineLevel="0" max="17" min="17" style="0" width="40"/>
    <col collapsed="false" customWidth="true" hidden="false" outlineLevel="0" max="18" min="18" style="0" width="24"/>
    <col collapsed="false" customWidth="true" hidden="false" outlineLevel="0" max="19" min="19" style="0" width="11"/>
    <col collapsed="false" customWidth="true" hidden="false" outlineLevel="0" max="25" min="20" style="0" width="10"/>
    <col collapsed="false" customWidth="true" hidden="false" outlineLevel="0" max="26" min="26" style="0" width="9"/>
    <col collapsed="false" customWidth="true" hidden="false" outlineLevel="0" max="27" min="27" style="0" width="36"/>
    <col collapsed="false" customWidth="true" hidden="false" outlineLevel="0" max="28" min="28" style="0" width="10"/>
    <col collapsed="false" customWidth="true" hidden="false" outlineLevel="0" max="29" min="29" style="0" width="8"/>
    <col collapsed="false" customWidth="true" hidden="false" outlineLevel="0" max="30" min="30" style="0" width="30"/>
    <col collapsed="false" customWidth="true" hidden="false" outlineLevel="0" max="31" min="31" style="0" width="10"/>
    <col collapsed="false" customWidth="true" hidden="false" outlineLevel="0" max="35" min="32" style="0" width="11"/>
    <col collapsed="false" customWidth="true" hidden="false" outlineLevel="0" max="36" min="36" style="0" width="60"/>
    <col collapsed="false" customWidth="true" hidden="true" outlineLevel="1" max="69" min="37" style="0" width="6"/>
    <col collapsed="false" customWidth="true" hidden="true" outlineLevel="0" max="70" min="70" style="0" width="13"/>
  </cols>
  <sheetData>
    <row r="1" customFormat="false" ht="21.75" hidden="false" customHeight="true" outlineLevel="0" collapsed="false">
      <c r="A1" s="1" t="s">
        <v>0</v>
      </c>
      <c r="C1" s="2" t="s">
        <v>1</v>
      </c>
      <c r="D1" s="3" t="n">
        <v>46295</v>
      </c>
      <c r="E1" s="4" t="s">
        <v>2</v>
      </c>
    </row>
    <row r="2" customFormat="false" ht="15" hidden="false" customHeight="false" outlineLevel="0" collapsed="false">
      <c r="A2" s="5" t="str">
        <f aca="false">"ACCRUING FOR "&amp;UPPER(TEXT(AsOfDate,"mmmm yyyy"))&amp;"  |  As at "&amp;TEXT(AsOfDate,"dd/mm/yyyy")&amp;" (change in D1)"&amp;"  |  Report from "&amp;TEXT(PFYDate+1,"dd/mm/yyyy")&amp;"  |  Staff: "&amp;COUNTIF($AK$5:$AK$154,1)&amp;"  |  Accruing: "&amp;COUNTIF($R$5:$R$154,"Yes*")&amp;"  |  To accrue now: "&amp;ROUND(SUMIF($Y$5:$Y$154,"&gt;0"),2)&amp;""&amp;" hrs for "&amp;COUNTIF($Z$5:$Z$154,"Yes")&amp;" people  |  Earned this month: "&amp;ROUND(SUM($AE$5:$AE$154),2)&amp;" days  |  Over-accrued in EH: "&amp;COUNTIF($AH$5:$AH$154,"&gt;0")&amp;" people, "&amp;ROUND(SUMIF($AH$5:$AH$154,"&gt;0"),2)&amp;" hrs"</f>
        <v>ACCRUING FOR SEPTEMBER 2026  |  As at 30/09/2026 (change in D1)  |  Report from 01/07/2019  |  Staff: 0  |  Accruing: 0  |  To accrue now: 0 hrs for 0 people  |  Earned this month: 0 days  |  Over-accrued in EH: 0 people, 0 hrs</v>
      </c>
    </row>
    <row r="3" customFormat="false" ht="36" hidden="false" customHeight="true" outlineLevel="0" collapsed="false">
      <c r="A3" s="6" t="s">
        <v>3</v>
      </c>
      <c r="B3" s="6" t="s">
        <v>3</v>
      </c>
      <c r="C3" s="6" t="s">
        <v>4</v>
      </c>
      <c r="D3" s="6" t="s">
        <v>3</v>
      </c>
      <c r="E3" s="6" t="s">
        <v>5</v>
      </c>
      <c r="F3" s="6" t="s">
        <v>3</v>
      </c>
      <c r="G3" s="6" t="s">
        <v>6</v>
      </c>
      <c r="H3" s="6" t="s">
        <v>7</v>
      </c>
      <c r="I3" s="6" t="s">
        <v>8</v>
      </c>
      <c r="J3" s="6" t="s">
        <v>9</v>
      </c>
      <c r="K3" s="6" t="s">
        <v>10</v>
      </c>
      <c r="L3" s="6" t="s">
        <v>11</v>
      </c>
      <c r="M3" s="6" t="s">
        <v>12</v>
      </c>
      <c r="N3" s="6" t="s">
        <v>13</v>
      </c>
      <c r="O3" s="6" t="s">
        <v>14</v>
      </c>
      <c r="P3" s="6" t="s">
        <v>15</v>
      </c>
      <c r="Q3" s="6" t="s">
        <v>16</v>
      </c>
      <c r="R3" s="6"/>
      <c r="S3" s="6" t="s">
        <v>17</v>
      </c>
      <c r="T3" s="6" t="s">
        <v>18</v>
      </c>
      <c r="U3" s="6" t="s">
        <v>19</v>
      </c>
      <c r="V3" s="6" t="s">
        <v>20</v>
      </c>
      <c r="W3" s="6" t="s">
        <v>21</v>
      </c>
      <c r="X3" s="6" t="s">
        <v>22</v>
      </c>
      <c r="Y3" s="6" t="s">
        <v>23</v>
      </c>
      <c r="Z3" s="6" t="s">
        <v>24</v>
      </c>
      <c r="AA3" s="6"/>
      <c r="AB3" s="6" t="s">
        <v>25</v>
      </c>
      <c r="AC3" s="6" t="s">
        <v>26</v>
      </c>
      <c r="AD3" s="6"/>
      <c r="AE3" s="6" t="s">
        <v>27</v>
      </c>
      <c r="AF3" s="6" t="s">
        <v>28</v>
      </c>
      <c r="AG3" s="6" t="s">
        <v>29</v>
      </c>
      <c r="AH3" s="6" t="s">
        <v>30</v>
      </c>
      <c r="AI3" s="6" t="s">
        <v>31</v>
      </c>
      <c r="AJ3" s="6" t="s">
        <v>32</v>
      </c>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row>
    <row r="4" customFormat="false" ht="42" hidden="false" customHeight="true" outlineLevel="0" collapsed="false">
      <c r="A4" s="7" t="s">
        <v>33</v>
      </c>
      <c r="B4" s="7" t="s">
        <v>34</v>
      </c>
      <c r="C4" s="7" t="s">
        <v>35</v>
      </c>
      <c r="D4" s="7" t="s">
        <v>36</v>
      </c>
      <c r="E4" s="8" t="s">
        <v>37</v>
      </c>
      <c r="F4" s="7" t="s">
        <v>38</v>
      </c>
      <c r="G4" s="7" t="s">
        <v>39</v>
      </c>
      <c r="H4" s="7" t="s">
        <v>40</v>
      </c>
      <c r="I4" s="7" t="s">
        <v>41</v>
      </c>
      <c r="J4" s="7" t="s">
        <v>42</v>
      </c>
      <c r="K4" s="8" t="s">
        <v>43</v>
      </c>
      <c r="L4" s="8" t="s">
        <v>44</v>
      </c>
      <c r="M4" s="8" t="s">
        <v>45</v>
      </c>
      <c r="N4" s="8" t="s">
        <v>46</v>
      </c>
      <c r="O4" s="8" t="s">
        <v>47</v>
      </c>
      <c r="P4" s="7" t="s">
        <v>48</v>
      </c>
      <c r="Q4" s="8" t="s">
        <v>49</v>
      </c>
      <c r="R4" s="8" t="s">
        <v>50</v>
      </c>
      <c r="S4" s="8" t="s">
        <v>51</v>
      </c>
      <c r="T4" s="9" t="s">
        <v>52</v>
      </c>
      <c r="U4" s="9" t="s">
        <v>53</v>
      </c>
      <c r="V4" s="9" t="s">
        <v>54</v>
      </c>
      <c r="W4" s="9" t="s">
        <v>55</v>
      </c>
      <c r="X4" s="9" t="s">
        <v>56</v>
      </c>
      <c r="Y4" s="9" t="s">
        <v>57</v>
      </c>
      <c r="Z4" s="9" t="s">
        <v>58</v>
      </c>
      <c r="AA4" s="9" t="s">
        <v>59</v>
      </c>
      <c r="AB4" s="9" t="s">
        <v>60</v>
      </c>
      <c r="AC4" s="9" t="s">
        <v>61</v>
      </c>
      <c r="AD4" s="8" t="s">
        <v>62</v>
      </c>
      <c r="AE4" s="9" t="s">
        <v>63</v>
      </c>
      <c r="AF4" s="9" t="s">
        <v>64</v>
      </c>
      <c r="AG4" s="9" t="s">
        <v>65</v>
      </c>
      <c r="AH4" s="9" t="s">
        <v>66</v>
      </c>
      <c r="AI4" s="7" t="s">
        <v>67</v>
      </c>
      <c r="AJ4" s="7" t="s">
        <v>68</v>
      </c>
      <c r="AK4" s="10" t="s">
        <v>69</v>
      </c>
      <c r="AL4" s="10" t="s">
        <v>70</v>
      </c>
      <c r="AM4" s="10" t="s">
        <v>71</v>
      </c>
      <c r="AN4" s="10" t="s">
        <v>72</v>
      </c>
      <c r="AO4" s="10" t="s">
        <v>73</v>
      </c>
      <c r="AP4" s="10" t="s">
        <v>74</v>
      </c>
      <c r="AQ4" s="10" t="s">
        <v>75</v>
      </c>
      <c r="AR4" s="10" t="s">
        <v>76</v>
      </c>
      <c r="AS4" s="10" t="s">
        <v>77</v>
      </c>
      <c r="AT4" s="10" t="s">
        <v>78</v>
      </c>
      <c r="AU4" s="10" t="s">
        <v>79</v>
      </c>
      <c r="AV4" s="10" t="s">
        <v>80</v>
      </c>
      <c r="AW4" s="10" t="s">
        <v>81</v>
      </c>
      <c r="AX4" s="10" t="s">
        <v>82</v>
      </c>
      <c r="AY4" s="10" t="s">
        <v>83</v>
      </c>
      <c r="AZ4" s="10" t="s">
        <v>84</v>
      </c>
      <c r="BA4" s="10" t="s">
        <v>85</v>
      </c>
      <c r="BB4" s="10" t="s">
        <v>86</v>
      </c>
      <c r="BC4" s="10" t="s">
        <v>87</v>
      </c>
      <c r="BD4" s="10" t="s">
        <v>88</v>
      </c>
      <c r="BE4" s="10" t="s">
        <v>89</v>
      </c>
      <c r="BF4" s="10" t="s">
        <v>90</v>
      </c>
      <c r="BG4" s="10" t="s">
        <v>91</v>
      </c>
      <c r="BH4" s="10" t="s">
        <v>92</v>
      </c>
      <c r="BI4" s="10" t="s">
        <v>93</v>
      </c>
      <c r="BJ4" s="10" t="s">
        <v>94</v>
      </c>
      <c r="BK4" s="10" t="s">
        <v>95</v>
      </c>
      <c r="BL4" s="10" t="s">
        <v>96</v>
      </c>
      <c r="BM4" s="10" t="s">
        <v>97</v>
      </c>
      <c r="BN4" s="10" t="s">
        <v>98</v>
      </c>
      <c r="BO4" s="10" t="s">
        <v>99</v>
      </c>
      <c r="BP4" s="10" t="s">
        <v>100</v>
      </c>
      <c r="BQ4" s="10" t="s">
        <v>101</v>
      </c>
      <c r="BR4" s="11" t="s">
        <v>102</v>
      </c>
    </row>
    <row r="5" customFormat="false" ht="15" hidden="false" customHeight="false" outlineLevel="0" collapsed="false">
      <c r="A5" s="12"/>
      <c r="B5" s="12"/>
      <c r="C5" s="12"/>
      <c r="D5" s="13"/>
      <c r="E5" s="14" t="str">
        <f aca="false">IF(OR(AK5=0,$D5=""),"",DATE(YEAR(AsOfDate)+IF(DATE(YEAR(AsOfDate),MONTH($D5),DAY($D5))&lt;=AsOfDate,1,0),MONTH($D5),DAY($D5)))</f>
        <v/>
      </c>
      <c r="F5" s="13"/>
      <c r="G5" s="13"/>
      <c r="H5" s="13"/>
      <c r="I5" s="13"/>
      <c r="J5" s="13"/>
      <c r="K5" s="14" t="str">
        <f aca="false">IF(AK5=0,"",DATE(YEAR(AsOfDate)+IF(DATE(YEAR(AsOfDate),MONTH(AL5),DAY(AL5))&lt;=AsOfDate,1,0),MONTH(AL5),DAY(AL5)))</f>
        <v/>
      </c>
      <c r="L5" s="15" t="str">
        <f aca="false">IF(AK5=0,"",ROUND((AsOfDate-AL5)/365.25,1))</f>
        <v/>
      </c>
      <c r="M5" s="16" t="str">
        <f aca="false">IF(AK5=0,"",IF(AsOfDate&lt;AL5,"-",DATEDIF(AL5,AsOfDate,"y")&amp;"y "&amp;DATEDIF(AL5,AsOfDate,"ym")&amp;"m "&amp;DATEDIF(AL5,AsOfDate,"md")&amp;"d"))</f>
        <v/>
      </c>
      <c r="N5" s="17" t="str">
        <f aca="false">IF(AK5=0,"",O5*HoursPerDay)</f>
        <v/>
      </c>
      <c r="O5" s="17" t="str">
        <f aca="false">IF(AK5=0,"",MAX(0,BD5-BQ5))</f>
        <v/>
      </c>
      <c r="P5" s="18"/>
      <c r="Q5" s="16" t="str">
        <f aca="false">IF(AK5=0,"",IF(AM5&lt;2,"",AQ5&amp;" to "&amp;AR5&amp;" on "&amp;TEXT(AO5,"dd/mm/yyyy")&amp;IF(AO5&gt;AsOfDate," (future)",IF(AT5=AU5,"",IF(AU5="None"," - STOPPED accruing",IF(AT5="None"," - commencement for Bonus Leave"," - pathway changed"))))&amp;IF(AM5&lt;3,"","; "&amp;AR5&amp;" to "&amp;AS5&amp;" on "&amp;TEXT(AP5,"dd/mm/yyyy")&amp;IF(AP5&gt;AsOfDate," (future)",IF(AU5=AV5,"",IF(AV5="None"," - STOPPED accruing",IF(AU5="None"," - commencement for Bonus Leave"," - pathway changed")))))))</f>
        <v/>
      </c>
      <c r="R5" s="16" t="str">
        <f aca="false">IF(AK5=0,"",IF(AW5="None",IF(O5&gt;0,"No longer accruing","Not eligible - "&amp;IF(AND(OR(ISNUMBER(SEARCH("part",$C5)),UPPER(TRIM($C5))="PT",UPPER(TRIM($C5))="PTE"),Apply2026="No"),"part-time (scheme is full-time only)",IF(AND(OR(ISNUMBER(SEARCH("part",$C5)),UPPER(TRIM($C5))="PT",UPPER(TRIM($C5))="PTE"),$P5&lt;&gt;"",N($P5)&lt;PT_MinHours),"under "&amp;PT_MinHours&amp;" hrs",IF(IF($C5="","",IF(OR(ISNUMBER(SEARCH("full",$C5)),UPPER(TRIM($C5))="FT",UPPER(TRIM($C5))="FTE"),"Full-Time",IF(OR(ISNUMBER(SEARCH("part",$C5)),UPPER(TRIM($C5))="PT",UPPER(TRIM($C5))="PTE"),"Part-Time",IF(OR(ISNUMBER(SEARCH("cas",$C5)),UPPER(TRIM($C5))="CAS"),"Casual","Unknown"))))="Unknown","type not recognised",$C5)))),IF(O5&gt;0,"Yes - Accrual Required","Not yet - from "&amp;TEXT(S5,"dd/mm/yyyy"))))</f>
        <v/>
      </c>
      <c r="S5" s="14" t="str">
        <f aca="false">IF(AK5=0,"",IF(AW5="None","",EDATE(AL5,BF5)))</f>
        <v/>
      </c>
      <c r="T5" s="17" t="str">
        <f aca="false">IF(AK5=0,"",IF(NOT(LH_Ready),"",IF($F5&gt;PFYDate,0,IF(LH_ColPeriod=0,W5-U5+V5,SUMIFS(INDEX(LH_Data,0,LH_ColAcc),INDEX(LH_Data,0,LH_ColFirst),$A5,INDEX(LH_Data,0,LH_ColSur),$B5,INDEX(LH_Data,0,LH_ColCat),BonusCat,INDEX(LH_Data,0,LH_ColPeriod),LH_OpenLabel)*UnitFactor))))</f>
        <v/>
      </c>
      <c r="U5" s="17" t="str">
        <f aca="false">IF(AK5=0,"",IF(NOT(LH_Ready),"",SUMIFS(INDEX(LH_Data,0,LH_ColAcc),INDEX(LH_Data,0,LH_ColFirst),$A5,INDEX(LH_Data,0,LH_ColSur),$B5,INDEX(LH_Data,0,LH_ColCat),BonusCat,INDEX(LH_Data,0,LH_ColStart),"&gt;="&amp;AL5)*UnitFactor))</f>
        <v/>
      </c>
      <c r="V5" s="17" t="str">
        <f aca="false">IF(AK5=0,"",IF(NOT(LH_Ready),"",SUMIFS(INDEX(LH_Data,0,LH_ColTaken),INDEX(LH_Data,0,LH_ColFirst),$A5,INDEX(LH_Data,0,LH_ColSur),$B5,INDEX(LH_Data,0,LH_ColCat),BonusCat,INDEX(LH_Data,0,LH_ColStart),"&gt;="&amp;AL5)*UnitFactor))</f>
        <v/>
      </c>
      <c r="W5" s="17" t="str">
        <f aca="false">IF(AK5=0,"",IF(NOT(LH_Ready),"",IF(BH5=0,0,INDEX(INDEX(LH_Data,0,LH_ColClose),BH5-1)*UnitFactor)))</f>
        <v/>
      </c>
      <c r="X5" s="17" t="str">
        <f aca="false">IF(AK5=0,"",(MAX(0,BD5-BQ5)-MAX(0,BE5-BQ5))*HoursPerDay)</f>
        <v/>
      </c>
      <c r="Y5" s="17" t="str">
        <f aca="false">IF(AK5=0,"",IF(NOT(LH_Ready),"",IF($AI5="Yes",N(AE5)*HoursPerDay-SUMIFS(INDEX(LH_Data,0,LH_ColAcc),INDEX(LH_Data,0,LH_ColFirst),$A5,INDEX(LH_Data,0,LH_ColSur),$B5,INDEX(LH_Data,0,LH_ColCat),BonusCat,INDEX(LH_Data,0,LH_ColStart),"&gt;="&amp;(EOMONTH(AsOfDate,-1)+1),INDEX(LH_Data,0,LH_ColStart),"&lt;="&amp;AsOfDate)*UnitFactor,IF(BG5=0,N5,N5-N(T5)-N(U5)))))</f>
        <v/>
      </c>
      <c r="Z5" s="16" t="str">
        <f aca="false">IF(OR(AK5=0,Y5=""),"",IF(Y5&gt;0,"Yes","No"))</f>
        <v/>
      </c>
      <c r="AA5" s="16" t="str">
        <f aca="false">IF(AK5=0,IF(LEN($A5&amp;$B5)=0,"","FIX INPUT - StartDate missing"),IF(AD5&lt;&gt;"","FIX INPUT - "&amp;AD5,IF(NOT(LH_Ready),"Paste Leave History export (Settings must show YES)",IF(AND($AI5="Yes",Y5&lt;=0),"OK - EH balance accepted to date"&amp;IF(N(AH5)&gt;0," (EH holds "&amp;AH5&amp;" hrs over the scheme)","")&amp;"; next day "&amp;TEXT(S5,"dd mmm yy")&amp;IF(N(AE5)&gt;0," ("&amp;AE5&amp;" day(s) for "&amp;UPPER(TEXT(AsOfDate,"mmm yyyy"))&amp;" already in EH)",""),IF(Y5&gt;0,"ACCRUE "&amp;ROUND(Y5,2)&amp;" hrs ("&amp;ROUND(Y5/HoursPerDay,2)&amp;" days): "&amp;IF(N(AE5)&gt;0,AE5&amp;" day(s) for "&amp;UPPER(TEXT(AsOfDate,"mmm yyyy"))&amp;" (milestone "&amp;UPPER(TEXT(AF5,"dd mmm yy"))&amp;")"&amp;IF(Y5/HoursPerDay&gt;AE5+0.001," + "&amp;ROUND(Y5/HoursPerDay-AE5,2)&amp;" day(s) catch-up from earlier months",""),"all catch-up from earlier months, nothing new this month")&amp;IF(BG5=0,"; no Bonus Leave in EH yet",""),IF(Y5&lt;0,"CHECK - EH accrued "&amp;ROUND(-Y5,2)&amp;" hrs more than policy since commencement",IF(N(W5)&gt;O5*HoursPerDay+0.01,"CHECK - EH balance "&amp;ROUND(W5-O5*HoursPerDay,2)&amp;" hrs more than policy entitlement",IF(O5&gt;0,"OK - nothing to add"&amp;IF(N(AE5)&gt;0," ("&amp;AE5&amp;" day(s) for "&amp;UPPER(TEXT(AsOfDate,"mmm yyyy"))&amp;" already in EH)",""),IF(AW5="None",R5,"Not yet - first day on "&amp;TEXT(S5,"dd/mm/yyyy"))))))))))</f>
        <v/>
      </c>
      <c r="AB5" s="17" t="str">
        <f aca="false">IF(OR(AK5=0,T5=""),"",MAX(0,BE5-BQ5)*HoursPerDay-T5)</f>
        <v/>
      </c>
      <c r="AC5" s="16" t="str">
        <f aca="false">IF(AK5=0,"",BG5)</f>
        <v/>
      </c>
      <c r="AD5" s="16" t="str">
        <f aca="false">IF(AK5=0,"",TRIM(IF(OR(ISTEXT($F5),ISTEXT($H5),ISTEXT($I5),ISTEXT($G5),ISTEXT($J5),ISTEXT($D5)),"A date is typed as text - retype it as dd/mm/yyyy. ","")&amp;IF(IF($C5="","",IF(OR(ISNUMBER(SEARCH("full",$C5)),UPPER(TRIM($C5))="FT",UPPER(TRIM($C5))="FTE"),"Full-Time",IF(OR(ISNUMBER(SEARCH("part",$C5)),UPPER(TRIM($C5))="PT",UPPER(TRIM($C5))="PTE"),"Part-Time",IF(OR(ISNUMBER(SEARCH("cas",$C5)),UPPER(TRIM($C5))="CAS"),"Casual","Unknown"))))="Unknown","EmploymentType not recognised - use Full-Time, Part-Time or Casual. ","")&amp;IF(AND(AM5&gt;=1,IF(AM5&gt;=3,AS5,IF(AM5=2,AR5,AQ5))&lt;&gt;IF($C5="","",IF(OR(ISNUMBER(SEARCH("full",$C5)),UPPER(TRIM($C5))="FT",UPPER(TRIM($C5))="FTE"),"Full-Time",IF(OR(ISNUMBER(SEARCH("part",$C5)),UPPER(TRIM($C5))="PT",UPPER(TRIM($C5))="PTE"),"Part-Time",IF(OR(ISNUMBER(SEARCH("cas",$C5)),UPPER(TRIM($C5))="CAS"),"Casual","Unknown"))))),"EmploymentType does not match latest start date ("&amp;IF(AM5&gt;=3,AS5,IF(AM5=2,AR5,AQ5))&amp;"). ","")&amp;IF(AND(AM5&gt;=1,AN5&lt;&gt;$F5),"Earliest type date should equal StartDate. ","")&amp;IF(AND(AM5&gt;=2,AN5=AO5),"Two types start on the same date. ","")&amp;IF(AND(OR(ISNUMBER(SEARCH("part",$C5)),UPPER(TRIM($C5))="PT",UPPER(TRIM($C5))="PTE"),$P5=""),"Part-time: enter PT Hrs/Week (blank = 24+). ","")))</f>
        <v/>
      </c>
      <c r="AE5" s="17" t="str">
        <f aca="false">IF(AK5=0,"",O5-MAX(0,BL5-BQ5))</f>
        <v/>
      </c>
      <c r="AF5" s="14" t="str">
        <f aca="false">IF(OR(AK5=0,AE5="",N(AE5)=0,BM5=""),"",EDATE(AL5,BM5))</f>
        <v/>
      </c>
      <c r="AG5" s="17" t="str">
        <f aca="false">IF(AK5=0,"",MIN(BD5,BQ5))</f>
        <v/>
      </c>
      <c r="AH5" s="17" t="str">
        <f aca="false">IF(AK5=0,"",IF(NOT(LH_Ready),"",IF(BG5=0,0,MAX(0,ROUND(N(T5)+N(U5)-N5,2)))))</f>
        <v/>
      </c>
      <c r="AI5" s="12"/>
      <c r="AJ5" s="12"/>
      <c r="AK5" s="16" t="n">
        <f aca="false">IF(OR(LEN($A5&amp;$B5)=0,$F5=""),0,1)</f>
        <v>0</v>
      </c>
      <c r="AL5" s="14" t="str">
        <f aca="false">IF(AK5=0,"",IF(PreSchemeCounts="No",MAX(SchemeStart,IF($J5&lt;&gt;"",$J5,IF(OR(CasualCounts="Yes",COUNT($G5:$I5)=0),$F5,IF(Apply2026="No",IF($I5="",$F5,$I5),IF(COUNT($H5:$I5)=0,$F5,MIN($H5:$I5)))))),IF($J5&lt;&gt;"",$J5,IF(OR(CasualCounts="Yes",COUNT($G5:$I5)=0),$F5,IF(Apply2026="No",IF($I5="",$F5,$I5),IF(COUNT($H5:$I5)=0,$F5,MIN($H5:$I5)))))))</f>
        <v/>
      </c>
      <c r="AM5" s="16" t="str">
        <f aca="false">IF(AK5=0,"",COUNT($G5:$I5))</f>
        <v/>
      </c>
      <c r="AN5" s="14" t="str">
        <f aca="false">IF(AK5=0,"",IFERROR(SMALL($G5:$I5,1),""))</f>
        <v/>
      </c>
      <c r="AO5" s="14" t="str">
        <f aca="false">IF(AK5=0,"",IFERROR(SMALL($G5:$I5,2),""))</f>
        <v/>
      </c>
      <c r="AP5" s="14" t="str">
        <f aca="false">IF(AK5=0,"",IFERROR(SMALL($G5:$I5,3),""))</f>
        <v/>
      </c>
      <c r="AQ5" s="16" t="str">
        <f aca="false">IF(AK5=0,"",IF(AN5="","",IF(AN5=$H5,"Part-Time",IF(AN5=$I5,"Full-Time","Casual"))))</f>
        <v/>
      </c>
      <c r="AR5" s="16" t="str">
        <f aca="false">IF(AK5=0,"",IF(AO5="","",IF(AO5=$H5,"Part-Time",IF(AO5=$I5,"Full-Time","Casual"))))</f>
        <v/>
      </c>
      <c r="AS5" s="16" t="str">
        <f aca="false">IF(AK5=0,"",IF(AP5="","",IF(AP5=$H5,"Part-Time",IF(AP5=$I5,"Full-Time","Casual"))))</f>
        <v/>
      </c>
      <c r="AT5" s="16" t="str">
        <f aca="false">IF(AK5=0,"",IF(AM5=0,IF(OR(ISNUMBER(SEARCH("full",$C5)),UPPER(TRIM($C5))="FT",UPPER(TRIM($C5))="FTE"),"FT",IF(AND(OR(ISNUMBER(SEARCH("part",$C5)),UPPER(TRIM($C5))="PT",UPPER(TRIM($C5))="PTE"),Apply2026="Yes",OR($P5="",N($P5)&gt;=PT_MinHours)),"PT","None")),IF(OR(ISNUMBER(SEARCH("full",AQ5)),UPPER(TRIM(AQ5))="FT",UPPER(TRIM(AQ5))="FTE"),"FT",IF(AND(OR(ISNUMBER(SEARCH("part",AQ5)),UPPER(TRIM(AQ5))="PT",UPPER(TRIM(AQ5))="PTE"),Apply2026="Yes",OR($P5="",N($P5)&gt;=PT_MinHours)),"PT","None"))))</f>
        <v/>
      </c>
      <c r="AU5" s="16" t="str">
        <f aca="false">IF(AK5=0,"",IF(AM5&lt;2,"",IF(OR(ISNUMBER(SEARCH("full",AR5)),UPPER(TRIM(AR5))="FT",UPPER(TRIM(AR5))="FTE"),"FT",IF(AND(OR(ISNUMBER(SEARCH("part",AR5)),UPPER(TRIM(AR5))="PT",UPPER(TRIM(AR5))="PTE"),Apply2026="Yes",OR($P5="",N($P5)&gt;=PT_MinHours)),"PT","None"))))</f>
        <v/>
      </c>
      <c r="AV5" s="16" t="str">
        <f aca="false">IF(AK5=0,"",IF(AM5&lt;3,"",IF(OR(ISNUMBER(SEARCH("full",AS5)),UPPER(TRIM(AS5))="FT",UPPER(TRIM(AS5))="FTE"),"FT",IF(AND(OR(ISNUMBER(SEARCH("part",AS5)),UPPER(TRIM(AS5))="PT",UPPER(TRIM(AS5))="PTE"),Apply2026="Yes",OR($P5="",N($P5)&gt;=PT_MinHours)),"PT","None"))))</f>
        <v/>
      </c>
      <c r="AW5" s="16" t="str">
        <f aca="false">IF(AK5=0,"",IF(AND(AM5&gt;=3,AP5&lt;=AsOfDate),AV5,IF(AND(AM5&gt;=2,AO5&lt;=AsOfDate),AU5,AT5)))</f>
        <v/>
      </c>
      <c r="AX5" s="16" t="str">
        <f aca="false">IF(AK5=0,"",IF(AsOfDate&lt;AL5,-1,12*(YEAR(AsOfDate)-YEAR(AL5))+MONTH(AsOfDate)-MONTH(AL5)-IF(DAY(AsOfDate)&lt;MIN(DAY(AL5),DAY(EOMONTH(AsOfDate,0))),1,0)))</f>
        <v/>
      </c>
      <c r="AY5" s="16" t="str">
        <f aca="false">IF(AK5=0,"",IF(OR(AM5&lt;2,AO5&gt;AsOfDate),AX5,IF((AO5-1)&lt;AL5,-1,12*(YEAR((AO5-1))-YEAR(AL5))+MONTH((AO5-1))-MONTH(AL5)-IF(DAY((AO5-1))&lt;MIN(DAY(AL5),DAY(EOMONTH((AO5-1),0))),1,0))))</f>
        <v/>
      </c>
      <c r="AZ5" s="16" t="str">
        <f aca="false">IF(AK5=0,"",IF(OR(AM5&lt;3,AP5&gt;AsOfDate),AX5,IF((AP5-1)&lt;AL5,-1,12*(YEAR((AP5-1))-YEAR(AL5))+MONTH((AP5-1))-MONTH(AL5)-IF(DAY((AP5-1))&lt;MIN(DAY(AL5),DAY(EOMONTH((AP5-1),0))),1,0))))</f>
        <v/>
      </c>
      <c r="BA5" s="16" t="str">
        <f aca="false">IF(AK5=0,"",IF(PFYDate&lt;AL5,-1,12*(YEAR(PFYDate)-YEAR(AL5))+MONTH(PFYDate)-MONTH(AL5)-IF(DAY(PFYDate)&lt;MIN(DAY(AL5),DAY(EOMONTH(PFYDate,0))),1,0)))</f>
        <v/>
      </c>
      <c r="BB5" s="16" t="str">
        <f aca="false">IF(AK5=0,"",IF(OR(AM5&lt;2,AO5&gt;PFYDate),BA5,IF((AO5-1)&lt;AL5,-1,12*(YEAR((AO5-1))-YEAR(AL5))+MONTH((AO5-1))-MONTH(AL5)-IF(DAY((AO5-1))&lt;MIN(DAY(AL5),DAY(EOMONTH((AO5-1),0))),1,0))))</f>
        <v/>
      </c>
      <c r="BC5" s="16" t="str">
        <f aca="false">IF(AK5=0,"",IF(OR(AM5&lt;3,AP5&gt;PFYDate),BA5,IF((AP5-1)&lt;AL5,-1,12*(YEAR((AP5-1))-YEAR(AL5))+MONTH((AP5-1))-MONTH(AL5)-IF(DAY((AP5-1))&lt;MIN(DAY(AL5),DAY(EOMONTH((AP5-1),0))),1,0))))</f>
        <v/>
      </c>
      <c r="BD5" s="16" t="str">
        <f aca="false">IF(AK5=0,"",IF(AT5="FT",IF(AY5&lt;FT_First,0,IF(AY5&lt;FT_Y5,1+INT((AY5-FT_First)/FT_Int1),FT_PreY5+FT_PerYear*INT((AY5-FT_Y5)/12)+FT_AnnivDays+INT(MOD(AY5-FT_Y5,12)/FT_Int2)-IF(EDATE(AL5,FT_Y5)&lt;PolicyEff,FT_AnnivDays-1,0))),IF(AT5="PT",IF(AY5&lt;PT_First,0,1+INT((AY5-PT_First)/PT_Int)),0))+IF(AND(AM5&gt;=2,AO5&lt;=AsOfDate),IF(AU5="FT",IF(AZ5&lt;FT_First,0,IF(AZ5&lt;FT_Y5,1+INT((AZ5-FT_First)/FT_Int1),FT_PreY5+FT_PerYear*INT((AZ5-FT_Y5)/12)+FT_AnnivDays+INT(MOD(AZ5-FT_Y5,12)/FT_Int2)-IF(EDATE(AL5,FT_Y5)&lt;PolicyEff,FT_AnnivDays-1,0))),IF(AU5="PT",IF(AZ5&lt;PT_First,0,1+INT((AZ5-PT_First)/PT_Int)),0))-IF(AU5="FT",IF(AY5&lt;FT_First,0,IF(AY5&lt;FT_Y5,1+INT((AY5-FT_First)/FT_Int1),FT_PreY5+FT_PerYear*INT((AY5-FT_Y5)/12)+FT_AnnivDays+INT(MOD(AY5-FT_Y5,12)/FT_Int2)-IF(EDATE(AL5,FT_Y5)&lt;PolicyEff,FT_AnnivDays-1,0))),IF(AU5="PT",IF(AY5&lt;PT_First,0,1+INT((AY5-PT_First)/PT_Int)),0)),0)+IF(AND(AM5&gt;=3,AP5&lt;=AsOfDate),IF(AV5="FT",IF(AX5&lt;FT_First,0,IF(AX5&lt;FT_Y5,1+INT((AX5-FT_First)/FT_Int1),FT_PreY5+FT_PerYear*INT((AX5-FT_Y5)/12)+FT_AnnivDays+INT(MOD(AX5-FT_Y5,12)/FT_Int2)-IF(EDATE(AL5,FT_Y5)&lt;PolicyEff,FT_AnnivDays-1,0))),IF(AV5="PT",IF(AX5&lt;PT_First,0,1+INT((AX5-PT_First)/PT_Int)),0))-IF(AV5="FT",IF(AZ5&lt;FT_First,0,IF(AZ5&lt;FT_Y5,1+INT((AZ5-FT_First)/FT_Int1),FT_PreY5+FT_PerYear*INT((AZ5-FT_Y5)/12)+FT_AnnivDays+INT(MOD(AZ5-FT_Y5,12)/FT_Int2)-IF(EDATE(AL5,FT_Y5)&lt;PolicyEff,FT_AnnivDays-1,0))),IF(AV5="PT",IF(AZ5&lt;PT_First,0,1+INT((AZ5-PT_First)/PT_Int)),0)),0))</f>
        <v/>
      </c>
      <c r="BE5" s="16" t="str">
        <f aca="false">IF(AK5=0,"",IF(AT5="FT",IF(BB5&lt;FT_First,0,IF(BB5&lt;FT_Y5,1+INT((BB5-FT_First)/FT_Int1),FT_PreY5+FT_PerYear*INT((BB5-FT_Y5)/12)+FT_AnnivDays+INT(MOD(BB5-FT_Y5,12)/FT_Int2)-IF(EDATE(AL5,FT_Y5)&lt;PolicyEff,FT_AnnivDays-1,0))),IF(AT5="PT",IF(BB5&lt;PT_First,0,1+INT((BB5-PT_First)/PT_Int)),0))+IF(AND(AM5&gt;=2,AO5&lt;=PFYDate),IF(AU5="FT",IF(BC5&lt;FT_First,0,IF(BC5&lt;FT_Y5,1+INT((BC5-FT_First)/FT_Int1),FT_PreY5+FT_PerYear*INT((BC5-FT_Y5)/12)+FT_AnnivDays+INT(MOD(BC5-FT_Y5,12)/FT_Int2)-IF(EDATE(AL5,FT_Y5)&lt;PolicyEff,FT_AnnivDays-1,0))),IF(AU5="PT",IF(BC5&lt;PT_First,0,1+INT((BC5-PT_First)/PT_Int)),0))-IF(AU5="FT",IF(BB5&lt;FT_First,0,IF(BB5&lt;FT_Y5,1+INT((BB5-FT_First)/FT_Int1),FT_PreY5+FT_PerYear*INT((BB5-FT_Y5)/12)+FT_AnnivDays+INT(MOD(BB5-FT_Y5,12)/FT_Int2)-IF(EDATE(AL5,FT_Y5)&lt;PolicyEff,FT_AnnivDays-1,0))),IF(AU5="PT",IF(BB5&lt;PT_First,0,1+INT((BB5-PT_First)/PT_Int)),0)),0)+IF(AND(AM5&gt;=3,AP5&lt;=PFYDate),IF(AV5="FT",IF(BA5&lt;FT_First,0,IF(BA5&lt;FT_Y5,1+INT((BA5-FT_First)/FT_Int1),FT_PreY5+FT_PerYear*INT((BA5-FT_Y5)/12)+FT_AnnivDays+INT(MOD(BA5-FT_Y5,12)/FT_Int2)-IF(EDATE(AL5,FT_Y5)&lt;PolicyEff,FT_AnnivDays-1,0))),IF(AV5="PT",IF(BA5&lt;PT_First,0,1+INT((BA5-PT_First)/PT_Int)),0))-IF(AV5="FT",IF(BC5&lt;FT_First,0,IF(BC5&lt;FT_Y5,1+INT((BC5-FT_First)/FT_Int1),FT_PreY5+FT_PerYear*INT((BC5-FT_Y5)/12)+FT_AnnivDays+INT(MOD(BC5-FT_Y5,12)/FT_Int2)-IF(EDATE(AL5,FT_Y5)&lt;PolicyEff,FT_AnnivDays-1,0))),IF(AV5="PT",IF(BC5&lt;PT_First,0,1+INT((BC5-PT_First)/PT_Int)),0)),0))</f>
        <v/>
      </c>
      <c r="BF5" s="16" t="str">
        <f aca="false">IF(AK5=0,"",IF(AW5="FT",IF(AX5&lt;FT_First,FT_First,IF(AX5&lt;FT_Y5,MIN(FT_Y5,FT_First+FT_Int1*(INT((AX5-FT_First)/FT_Int1)+1)),FT_Y5+12*INT((AX5-FT_Y5)/12)+FT_Int2*(INT(MOD(AX5-FT_Y5,12)/FT_Int2)+1))),IF(AW5="PT",IF(AX5&lt;PT_First,PT_First,PT_First+PT_Int*(INT((AX5-PT_First)/PT_Int)+1)),"")))</f>
        <v/>
      </c>
      <c r="BG5" s="16" t="str">
        <f aca="false">IF(AK5=0,"",IF(NOT(LH_Ready),0,COUNTIFS(INDEX(LH_Data,0,LH_ColFirst),$A5,INDEX(LH_Data,0,LH_ColSur),$B5,INDEX(LH_Data,0,LH_ColCat),BonusCat)))</f>
        <v/>
      </c>
      <c r="BH5" s="16" t="str">
        <f aca="false">IF(AK5=0,"",IF(OR(NOT(LH_Ready),BG5=0),0,SUMPRODUCT(MAX((INDEX(LH_Data,0,LH_ColFirst)=$A5)*(INDEX(LH_Data,0,LH_ColSur)=$B5)*(INDEX(LH_Data,0,LH_ColCat)=BonusCat)*ROW(LH_Data)))))</f>
        <v/>
      </c>
      <c r="BI5" s="16" t="str">
        <f aca="false">IF(AK5=0,"",IF(EOMONTH(AsOfDate,-1)&lt;AL5,-1,12*(YEAR(EOMONTH(AsOfDate,-1))-YEAR(AL5))+MONTH(EOMONTH(AsOfDate,-1))-MONTH(AL5)-IF(DAY(EOMONTH(AsOfDate,-1))&lt;MIN(DAY(AL5),DAY(EOMONTH(EOMONTH(AsOfDate,-1),0))),1,0)))</f>
        <v/>
      </c>
      <c r="BJ5" s="16" t="str">
        <f aca="false">IF(AK5=0,"",IF(OR(AM5&lt;2,AO5&gt;EOMONTH(AsOfDate,-1)),BI5,IF((AO5-1)&lt;AL5,-1,12*(YEAR((AO5-1))-YEAR(AL5))+MONTH((AO5-1))-MONTH(AL5)-IF(DAY((AO5-1))&lt;MIN(DAY(AL5),DAY(EOMONTH((AO5-1),0))),1,0))))</f>
        <v/>
      </c>
      <c r="BK5" s="16" t="str">
        <f aca="false">IF(AK5=0,"",IF(OR(AM5&lt;3,AP5&gt;EOMONTH(AsOfDate,-1)),BI5,IF((AP5-1)&lt;AL5,-1,12*(YEAR((AP5-1))-YEAR(AL5))+MONTH((AP5-1))-MONTH(AL5)-IF(DAY((AP5-1))&lt;MIN(DAY(AL5),DAY(EOMONTH((AP5-1),0))),1,0))))</f>
        <v/>
      </c>
      <c r="BL5" s="16" t="str">
        <f aca="false">IF(AK5=0,"",IF(AT5="FT",IF(BJ5&lt;FT_First,0,IF(BJ5&lt;FT_Y5,1+INT((BJ5-FT_First)/FT_Int1),FT_PreY5+FT_PerYear*INT((BJ5-FT_Y5)/12)+FT_AnnivDays+INT(MOD(BJ5-FT_Y5,12)/FT_Int2)-IF(EDATE(AL5,FT_Y5)&lt;PolicyEff,FT_AnnivDays-1,0))),IF(AT5="PT",IF(BJ5&lt;PT_First,0,1+INT((BJ5-PT_First)/PT_Int)),0))+IF(AND(AM5&gt;=2,AO5&lt;=EOMONTH(AsOfDate,-1)),IF(AU5="FT",IF(BK5&lt;FT_First,0,IF(BK5&lt;FT_Y5,1+INT((BK5-FT_First)/FT_Int1),FT_PreY5+FT_PerYear*INT((BK5-FT_Y5)/12)+FT_AnnivDays+INT(MOD(BK5-FT_Y5,12)/FT_Int2)-IF(EDATE(AL5,FT_Y5)&lt;PolicyEff,FT_AnnivDays-1,0))),IF(AU5="PT",IF(BK5&lt;PT_First,0,1+INT((BK5-PT_First)/PT_Int)),0))-IF(AU5="FT",IF(BJ5&lt;FT_First,0,IF(BJ5&lt;FT_Y5,1+INT((BJ5-FT_First)/FT_Int1),FT_PreY5+FT_PerYear*INT((BJ5-FT_Y5)/12)+FT_AnnivDays+INT(MOD(BJ5-FT_Y5,12)/FT_Int2)-IF(EDATE(AL5,FT_Y5)&lt;PolicyEff,FT_AnnivDays-1,0))),IF(AU5="PT",IF(BJ5&lt;PT_First,0,1+INT((BJ5-PT_First)/PT_Int)),0)),0)+IF(AND(AM5&gt;=3,AP5&lt;=EOMONTH(AsOfDate,-1)),IF(AV5="FT",IF(BI5&lt;FT_First,0,IF(BI5&lt;FT_Y5,1+INT((BI5-FT_First)/FT_Int1),FT_PreY5+FT_PerYear*INT((BI5-FT_Y5)/12)+FT_AnnivDays+INT(MOD(BI5-FT_Y5,12)/FT_Int2)-IF(EDATE(AL5,FT_Y5)&lt;PolicyEff,FT_AnnivDays-1,0))),IF(AV5="PT",IF(BI5&lt;PT_First,0,1+INT((BI5-PT_First)/PT_Int)),0))-IF(AV5="FT",IF(BK5&lt;FT_First,0,IF(BK5&lt;FT_Y5,1+INT((BK5-FT_First)/FT_Int1),FT_PreY5+FT_PerYear*INT((BK5-FT_Y5)/12)+FT_AnnivDays+INT(MOD(BK5-FT_Y5,12)/FT_Int2)-IF(EDATE(AL5,FT_Y5)&lt;PolicyEff,FT_AnnivDays-1,0))),IF(AV5="PT",IF(BK5&lt;PT_First,0,1+INT((BK5-PT_First)/PT_Int)),0)),0))</f>
        <v/>
      </c>
      <c r="BM5" s="16" t="str">
        <f aca="false">IF(AK5=0,"",IF(AW5="FT",IF(AX5&lt;FT_First,"",IF(AX5&lt;FT_Y5,FT_First+FT_Int1*INT((AX5-FT_First)/FT_Int1),FT_Y5+FT_Int2*INT((AX5-FT_Y5)/FT_Int2))),IF(AW5="PT",IF(AX5&lt;PT_First,"",PT_First+PT_Int*INT((AX5-PT_First)/PT_Int)),"")))</f>
        <v/>
      </c>
      <c r="BN5" s="16" t="str">
        <f aca="false">IF(AK5=0,"",IF((SchemeStart-1)&lt;AL5,-1,12*(YEAR((SchemeStart-1))-YEAR(AL5))+MONTH((SchemeStart-1))-MONTH(AL5)-IF(DAY((SchemeStart-1))&lt;MIN(DAY(AL5),DAY(EOMONTH((SchemeStart-1),0))),1,0)))</f>
        <v/>
      </c>
      <c r="BO5" s="16" t="str">
        <f aca="false">IF(AK5=0,"",IF(OR(AM5&lt;2,AO5&gt;(SchemeStart-1)),BN5,IF((AO5-1)&lt;AL5,-1,12*(YEAR((AO5-1))-YEAR(AL5))+MONTH((AO5-1))-MONTH(AL5)-IF(DAY((AO5-1))&lt;MIN(DAY(AL5),DAY(EOMONTH((AO5-1),0))),1,0))))</f>
        <v/>
      </c>
      <c r="BP5" s="16" t="str">
        <f aca="false">IF(AK5=0,"",IF(OR(AM5&lt;3,AP5&gt;(SchemeStart-1)),BN5,IF((AP5-1)&lt;AL5,-1,12*(YEAR((AP5-1))-YEAR(AL5))+MONTH((AP5-1))-MONTH(AL5)-IF(DAY((AP5-1))&lt;MIN(DAY(AL5),DAY(EOMONTH((AP5-1),0))),1,0))))</f>
        <v/>
      </c>
      <c r="BQ5" s="16" t="str">
        <f aca="false">IF(AK5=0,"",IF(AT5="FT",IF(BO5&lt;FT_First,0,IF(BO5&lt;FT_Y5,1+INT((BO5-FT_First)/FT_Int1),FT_PreY5+FT_PerYear*INT((BO5-FT_Y5)/12)+FT_AnnivDays+INT(MOD(BO5-FT_Y5,12)/FT_Int2)-IF(EDATE(AL5,FT_Y5)&lt;PolicyEff,FT_AnnivDays-1,0))),IF(AT5="PT",IF(BO5&lt;PT_First,0,1+INT((BO5-PT_First)/PT_Int)),0))+IF(AND(AM5&gt;=2,AO5&lt;=(SchemeStart-1)),IF(AU5="FT",IF(BP5&lt;FT_First,0,IF(BP5&lt;FT_Y5,1+INT((BP5-FT_First)/FT_Int1),FT_PreY5+FT_PerYear*INT((BP5-FT_Y5)/12)+FT_AnnivDays+INT(MOD(BP5-FT_Y5,12)/FT_Int2)-IF(EDATE(AL5,FT_Y5)&lt;PolicyEff,FT_AnnivDays-1,0))),IF(AU5="PT",IF(BP5&lt;PT_First,0,1+INT((BP5-PT_First)/PT_Int)),0))-IF(AU5="FT",IF(BO5&lt;FT_First,0,IF(BO5&lt;FT_Y5,1+INT((BO5-FT_First)/FT_Int1),FT_PreY5+FT_PerYear*INT((BO5-FT_Y5)/12)+FT_AnnivDays+INT(MOD(BO5-FT_Y5,12)/FT_Int2)-IF(EDATE(AL5,FT_Y5)&lt;PolicyEff,FT_AnnivDays-1,0))),IF(AU5="PT",IF(BO5&lt;PT_First,0,1+INT((BO5-PT_First)/PT_Int)),0)),0)+IF(AND(AM5&gt;=3,AP5&lt;=(SchemeStart-1)),IF(AV5="FT",IF(BN5&lt;FT_First,0,IF(BN5&lt;FT_Y5,1+INT((BN5-FT_First)/FT_Int1),FT_PreY5+FT_PerYear*INT((BN5-FT_Y5)/12)+FT_AnnivDays+INT(MOD(BN5-FT_Y5,12)/FT_Int2)-IF(EDATE(AL5,FT_Y5)&lt;PolicyEff,FT_AnnivDays-1,0))),IF(AV5="PT",IF(BN5&lt;PT_First,0,1+INT((BN5-PT_First)/PT_Int)),0))-IF(AV5="FT",IF(BP5&lt;FT_First,0,IF(BP5&lt;FT_Y5,1+INT((BP5-FT_First)/FT_Int1),FT_PreY5+FT_PerYear*INT((BP5-FT_Y5)/12)+FT_AnnivDays+INT(MOD(BP5-FT_Y5,12)/FT_Int2)-IF(EDATE(AL5,FT_Y5)&lt;PolicyEff,FT_AnnivDays-1,0))),IF(AV5="PT",IF(BP5&lt;PT_First,0,1+INT((BP5-PT_First)/PT_Int)),0)),0))</f>
        <v/>
      </c>
      <c r="BR5" s="0" t="str">
        <f aca="false">IF(LEN($A5&amp;$B5)=0,"",$A5&amp;" "&amp;$B5)</f>
        <v/>
      </c>
    </row>
    <row r="6" customFormat="false" ht="15" hidden="false" customHeight="false" outlineLevel="0" collapsed="false">
      <c r="A6" s="12"/>
      <c r="B6" s="12"/>
      <c r="C6" s="12"/>
      <c r="D6" s="13"/>
      <c r="E6" s="14" t="str">
        <f aca="false">IF(OR(AK6=0,$D6=""),"",DATE(YEAR(AsOfDate)+IF(DATE(YEAR(AsOfDate),MONTH($D6),DAY($D6))&lt;=AsOfDate,1,0),MONTH($D6),DAY($D6)))</f>
        <v/>
      </c>
      <c r="F6" s="13"/>
      <c r="G6" s="13"/>
      <c r="H6" s="13"/>
      <c r="I6" s="13"/>
      <c r="J6" s="13"/>
      <c r="K6" s="14" t="str">
        <f aca="false">IF(AK6=0,"",DATE(YEAR(AsOfDate)+IF(DATE(YEAR(AsOfDate),MONTH(AL6),DAY(AL6))&lt;=AsOfDate,1,0),MONTH(AL6),DAY(AL6)))</f>
        <v/>
      </c>
      <c r="L6" s="15" t="str">
        <f aca="false">IF(AK6=0,"",ROUND((AsOfDate-AL6)/365.25,1))</f>
        <v/>
      </c>
      <c r="M6" s="16" t="str">
        <f aca="false">IF(AK6=0,"",IF(AsOfDate&lt;AL6,"-",DATEDIF(AL6,AsOfDate,"y")&amp;"y "&amp;DATEDIF(AL6,AsOfDate,"ym")&amp;"m "&amp;DATEDIF(AL6,AsOfDate,"md")&amp;"d"))</f>
        <v/>
      </c>
      <c r="N6" s="17" t="str">
        <f aca="false">IF(AK6=0,"",O6*HoursPerDay)</f>
        <v/>
      </c>
      <c r="O6" s="17" t="str">
        <f aca="false">IF(AK6=0,"",MAX(0,BD6-BQ6))</f>
        <v/>
      </c>
      <c r="P6" s="18"/>
      <c r="Q6" s="16" t="str">
        <f aca="false">IF(AK6=0,"",IF(AM6&lt;2,"",AQ6&amp;" to "&amp;AR6&amp;" on "&amp;TEXT(AO6,"dd/mm/yyyy")&amp;IF(AO6&gt;AsOfDate," (future)",IF(AT6=AU6,"",IF(AU6="None"," - STOPPED accruing",IF(AT6="None"," - commencement for Bonus Leave"," - pathway changed"))))&amp;IF(AM6&lt;3,"","; "&amp;AR6&amp;" to "&amp;AS6&amp;" on "&amp;TEXT(AP6,"dd/mm/yyyy")&amp;IF(AP6&gt;AsOfDate," (future)",IF(AU6=AV6,"",IF(AV6="None"," - STOPPED accruing",IF(AU6="None"," - commencement for Bonus Leave"," - pathway changed")))))))</f>
        <v/>
      </c>
      <c r="R6" s="16" t="str">
        <f aca="false">IF(AK6=0,"",IF(AW6="None",IF(O6&gt;0,"No longer accruing","Not eligible - "&amp;IF(AND(OR(ISNUMBER(SEARCH("part",$C6)),UPPER(TRIM($C6))="PT",UPPER(TRIM($C6))="PTE"),Apply2026="No"),"part-time (scheme is full-time only)",IF(AND(OR(ISNUMBER(SEARCH("part",$C6)),UPPER(TRIM($C6))="PT",UPPER(TRIM($C6))="PTE"),$P6&lt;&gt;"",N($P6)&lt;PT_MinHours),"under "&amp;PT_MinHours&amp;" hrs",IF(IF($C6="","",IF(OR(ISNUMBER(SEARCH("full",$C6)),UPPER(TRIM($C6))="FT",UPPER(TRIM($C6))="FTE"),"Full-Time",IF(OR(ISNUMBER(SEARCH("part",$C6)),UPPER(TRIM($C6))="PT",UPPER(TRIM($C6))="PTE"),"Part-Time",IF(OR(ISNUMBER(SEARCH("cas",$C6)),UPPER(TRIM($C6))="CAS"),"Casual","Unknown"))))="Unknown","type not recognised",$C6)))),IF(O6&gt;0,"Yes - Accrual Required","Not yet - from "&amp;TEXT(S6,"dd/mm/yyyy"))))</f>
        <v/>
      </c>
      <c r="S6" s="14" t="str">
        <f aca="false">IF(AK6=0,"",IF(AW6="None","",EDATE(AL6,BF6)))</f>
        <v/>
      </c>
      <c r="T6" s="17" t="str">
        <f aca="false">IF(AK6=0,"",IF(NOT(LH_Ready),"",IF($F6&gt;PFYDate,0,IF(LH_ColPeriod=0,W6-U6+V6,SUMIFS(INDEX(LH_Data,0,LH_ColAcc),INDEX(LH_Data,0,LH_ColFirst),$A6,INDEX(LH_Data,0,LH_ColSur),$B6,INDEX(LH_Data,0,LH_ColCat),BonusCat,INDEX(LH_Data,0,LH_ColPeriod),LH_OpenLabel)*UnitFactor))))</f>
        <v/>
      </c>
      <c r="U6" s="17" t="str">
        <f aca="false">IF(AK6=0,"",IF(NOT(LH_Ready),"",SUMIFS(INDEX(LH_Data,0,LH_ColAcc),INDEX(LH_Data,0,LH_ColFirst),$A6,INDEX(LH_Data,0,LH_ColSur),$B6,INDEX(LH_Data,0,LH_ColCat),BonusCat,INDEX(LH_Data,0,LH_ColStart),"&gt;="&amp;AL6)*UnitFactor))</f>
        <v/>
      </c>
      <c r="V6" s="17" t="str">
        <f aca="false">IF(AK6=0,"",IF(NOT(LH_Ready),"",SUMIFS(INDEX(LH_Data,0,LH_ColTaken),INDEX(LH_Data,0,LH_ColFirst),$A6,INDEX(LH_Data,0,LH_ColSur),$B6,INDEX(LH_Data,0,LH_ColCat),BonusCat,INDEX(LH_Data,0,LH_ColStart),"&gt;="&amp;AL6)*UnitFactor))</f>
        <v/>
      </c>
      <c r="W6" s="17" t="str">
        <f aca="false">IF(AK6=0,"",IF(NOT(LH_Ready),"",IF(BH6=0,0,INDEX(INDEX(LH_Data,0,LH_ColClose),BH6-1)*UnitFactor)))</f>
        <v/>
      </c>
      <c r="X6" s="17" t="str">
        <f aca="false">IF(AK6=0,"",(MAX(0,BD6-BQ6)-MAX(0,BE6-BQ6))*HoursPerDay)</f>
        <v/>
      </c>
      <c r="Y6" s="17" t="str">
        <f aca="false">IF(AK6=0,"",IF(NOT(LH_Ready),"",IF($AI6="Yes",N(AE6)*HoursPerDay-SUMIFS(INDEX(LH_Data,0,LH_ColAcc),INDEX(LH_Data,0,LH_ColFirst),$A6,INDEX(LH_Data,0,LH_ColSur),$B6,INDEX(LH_Data,0,LH_ColCat),BonusCat,INDEX(LH_Data,0,LH_ColStart),"&gt;="&amp;(EOMONTH(AsOfDate,-1)+1),INDEX(LH_Data,0,LH_ColStart),"&lt;="&amp;AsOfDate)*UnitFactor,IF(BG6=0,N6,N6-N(T6)-N(U6)))))</f>
        <v/>
      </c>
      <c r="Z6" s="16" t="str">
        <f aca="false">IF(OR(AK6=0,Y6=""),"",IF(Y6&gt;0,"Yes","No"))</f>
        <v/>
      </c>
      <c r="AA6" s="16" t="str">
        <f aca="false">IF(AK6=0,IF(LEN($A6&amp;$B6)=0,"","FIX INPUT - StartDate missing"),IF(AD6&lt;&gt;"","FIX INPUT - "&amp;AD6,IF(NOT(LH_Ready),"Paste Leave History export (Settings must show YES)",IF(AND($AI6="Yes",Y6&lt;=0),"OK - EH balance accepted to date"&amp;IF(N(AH6)&gt;0," (EH holds "&amp;AH6&amp;" hrs over the scheme)","")&amp;"; next day "&amp;TEXT(S6,"dd mmm yy")&amp;IF(N(AE6)&gt;0," ("&amp;AE6&amp;" day(s) for "&amp;UPPER(TEXT(AsOfDate,"mmm yyyy"))&amp;" already in EH)",""),IF(Y6&gt;0,"ACCRUE "&amp;ROUND(Y6,2)&amp;" hrs ("&amp;ROUND(Y6/HoursPerDay,2)&amp;" days): "&amp;IF(N(AE6)&gt;0,AE6&amp;" day(s) for "&amp;UPPER(TEXT(AsOfDate,"mmm yyyy"))&amp;" (milestone "&amp;UPPER(TEXT(AF6,"dd mmm yy"))&amp;")"&amp;IF(Y6/HoursPerDay&gt;AE6+0.001," + "&amp;ROUND(Y6/HoursPerDay-AE6,2)&amp;" day(s) catch-up from earlier months",""),"all catch-up from earlier months, nothing new this month")&amp;IF(BG6=0,"; no Bonus Leave in EH yet",""),IF(Y6&lt;0,"CHECK - EH accrued "&amp;ROUND(-Y6,2)&amp;" hrs more than policy since commencement",IF(N(W6)&gt;O6*HoursPerDay+0.01,"CHECK - EH balance "&amp;ROUND(W6-O6*HoursPerDay,2)&amp;" hrs more than policy entitlement",IF(O6&gt;0,"OK - nothing to add"&amp;IF(N(AE6)&gt;0," ("&amp;AE6&amp;" day(s) for "&amp;UPPER(TEXT(AsOfDate,"mmm yyyy"))&amp;" already in EH)",""),IF(AW6="None",R6,"Not yet - first day on "&amp;TEXT(S6,"dd/mm/yyyy"))))))))))</f>
        <v/>
      </c>
      <c r="AB6" s="17" t="str">
        <f aca="false">IF(OR(AK6=0,T6=""),"",MAX(0,BE6-BQ6)*HoursPerDay-T6)</f>
        <v/>
      </c>
      <c r="AC6" s="16" t="str">
        <f aca="false">IF(AK6=0,"",BG6)</f>
        <v/>
      </c>
      <c r="AD6" s="16" t="str">
        <f aca="false">IF(AK6=0,"",TRIM(IF(OR(ISTEXT($F6),ISTEXT($H6),ISTEXT($I6),ISTEXT($G6),ISTEXT($J6),ISTEXT($D6)),"A date is typed as text - retype it as dd/mm/yyyy. ","")&amp;IF(IF($C6="","",IF(OR(ISNUMBER(SEARCH("full",$C6)),UPPER(TRIM($C6))="FT",UPPER(TRIM($C6))="FTE"),"Full-Time",IF(OR(ISNUMBER(SEARCH("part",$C6)),UPPER(TRIM($C6))="PT",UPPER(TRIM($C6))="PTE"),"Part-Time",IF(OR(ISNUMBER(SEARCH("cas",$C6)),UPPER(TRIM($C6))="CAS"),"Casual","Unknown"))))="Unknown","EmploymentType not recognised - use Full-Time, Part-Time or Casual. ","")&amp;IF(AND(AM6&gt;=1,IF(AM6&gt;=3,AS6,IF(AM6=2,AR6,AQ6))&lt;&gt;IF($C6="","",IF(OR(ISNUMBER(SEARCH("full",$C6)),UPPER(TRIM($C6))="FT",UPPER(TRIM($C6))="FTE"),"Full-Time",IF(OR(ISNUMBER(SEARCH("part",$C6)),UPPER(TRIM($C6))="PT",UPPER(TRIM($C6))="PTE"),"Part-Time",IF(OR(ISNUMBER(SEARCH("cas",$C6)),UPPER(TRIM($C6))="CAS"),"Casual","Unknown"))))),"EmploymentType does not match latest start date ("&amp;IF(AM6&gt;=3,AS6,IF(AM6=2,AR6,AQ6))&amp;"). ","")&amp;IF(AND(AM6&gt;=1,AN6&lt;&gt;$F6),"Earliest type date should equal StartDate. ","")&amp;IF(AND(AM6&gt;=2,AN6=AO6),"Two types start on the same date. ","")&amp;IF(AND(OR(ISNUMBER(SEARCH("part",$C6)),UPPER(TRIM($C6))="PT",UPPER(TRIM($C6))="PTE"),$P6=""),"Part-time: enter PT Hrs/Week (blank = 24+). ","")))</f>
        <v/>
      </c>
      <c r="AE6" s="17" t="str">
        <f aca="false">IF(AK6=0,"",O6-MAX(0,BL6-BQ6))</f>
        <v/>
      </c>
      <c r="AF6" s="14" t="str">
        <f aca="false">IF(OR(AK6=0,AE6="",N(AE6)=0,BM6=""),"",EDATE(AL6,BM6))</f>
        <v/>
      </c>
      <c r="AG6" s="17" t="str">
        <f aca="false">IF(AK6=0,"",MIN(BD6,BQ6))</f>
        <v/>
      </c>
      <c r="AH6" s="17" t="str">
        <f aca="false">IF(AK6=0,"",IF(NOT(LH_Ready),"",IF(BG6=0,0,MAX(0,ROUND(N(T6)+N(U6)-N6,2)))))</f>
        <v/>
      </c>
      <c r="AI6" s="12"/>
      <c r="AJ6" s="12"/>
      <c r="AK6" s="16" t="n">
        <f aca="false">IF(OR(LEN($A6&amp;$B6)=0,$F6=""),0,1)</f>
        <v>0</v>
      </c>
      <c r="AL6" s="14" t="str">
        <f aca="false">IF(AK6=0,"",IF(PreSchemeCounts="No",MAX(SchemeStart,IF($J6&lt;&gt;"",$J6,IF(OR(CasualCounts="Yes",COUNT($G6:$I6)=0),$F6,IF(Apply2026="No",IF($I6="",$F6,$I6),IF(COUNT($H6:$I6)=0,$F6,MIN($H6:$I6)))))),IF($J6&lt;&gt;"",$J6,IF(OR(CasualCounts="Yes",COUNT($G6:$I6)=0),$F6,IF(Apply2026="No",IF($I6="",$F6,$I6),IF(COUNT($H6:$I6)=0,$F6,MIN($H6:$I6)))))))</f>
        <v/>
      </c>
      <c r="AM6" s="16" t="str">
        <f aca="false">IF(AK6=0,"",COUNT($G6:$I6))</f>
        <v/>
      </c>
      <c r="AN6" s="14" t="str">
        <f aca="false">IF(AK6=0,"",IFERROR(SMALL($G6:$I6,1),""))</f>
        <v/>
      </c>
      <c r="AO6" s="14" t="str">
        <f aca="false">IF(AK6=0,"",IFERROR(SMALL($G6:$I6,2),""))</f>
        <v/>
      </c>
      <c r="AP6" s="14" t="str">
        <f aca="false">IF(AK6=0,"",IFERROR(SMALL($G6:$I6,3),""))</f>
        <v/>
      </c>
      <c r="AQ6" s="16" t="str">
        <f aca="false">IF(AK6=0,"",IF(AN6="","",IF(AN6=$H6,"Part-Time",IF(AN6=$I6,"Full-Time","Casual"))))</f>
        <v/>
      </c>
      <c r="AR6" s="16" t="str">
        <f aca="false">IF(AK6=0,"",IF(AO6="","",IF(AO6=$H6,"Part-Time",IF(AO6=$I6,"Full-Time","Casual"))))</f>
        <v/>
      </c>
      <c r="AS6" s="16" t="str">
        <f aca="false">IF(AK6=0,"",IF(AP6="","",IF(AP6=$H6,"Part-Time",IF(AP6=$I6,"Full-Time","Casual"))))</f>
        <v/>
      </c>
      <c r="AT6" s="16" t="str">
        <f aca="false">IF(AK6=0,"",IF(AM6=0,IF(OR(ISNUMBER(SEARCH("full",$C6)),UPPER(TRIM($C6))="FT",UPPER(TRIM($C6))="FTE"),"FT",IF(AND(OR(ISNUMBER(SEARCH("part",$C6)),UPPER(TRIM($C6))="PT",UPPER(TRIM($C6))="PTE"),Apply2026="Yes",OR($P6="",N($P6)&gt;=PT_MinHours)),"PT","None")),IF(OR(ISNUMBER(SEARCH("full",AQ6)),UPPER(TRIM(AQ6))="FT",UPPER(TRIM(AQ6))="FTE"),"FT",IF(AND(OR(ISNUMBER(SEARCH("part",AQ6)),UPPER(TRIM(AQ6))="PT",UPPER(TRIM(AQ6))="PTE"),Apply2026="Yes",OR($P6="",N($P6)&gt;=PT_MinHours)),"PT","None"))))</f>
        <v/>
      </c>
      <c r="AU6" s="16" t="str">
        <f aca="false">IF(AK6=0,"",IF(AM6&lt;2,"",IF(OR(ISNUMBER(SEARCH("full",AR6)),UPPER(TRIM(AR6))="FT",UPPER(TRIM(AR6))="FTE"),"FT",IF(AND(OR(ISNUMBER(SEARCH("part",AR6)),UPPER(TRIM(AR6))="PT",UPPER(TRIM(AR6))="PTE"),Apply2026="Yes",OR($P6="",N($P6)&gt;=PT_MinHours)),"PT","None"))))</f>
        <v/>
      </c>
      <c r="AV6" s="16" t="str">
        <f aca="false">IF(AK6=0,"",IF(AM6&lt;3,"",IF(OR(ISNUMBER(SEARCH("full",AS6)),UPPER(TRIM(AS6))="FT",UPPER(TRIM(AS6))="FTE"),"FT",IF(AND(OR(ISNUMBER(SEARCH("part",AS6)),UPPER(TRIM(AS6))="PT",UPPER(TRIM(AS6))="PTE"),Apply2026="Yes",OR($P6="",N($P6)&gt;=PT_MinHours)),"PT","None"))))</f>
        <v/>
      </c>
      <c r="AW6" s="16" t="str">
        <f aca="false">IF(AK6=0,"",IF(AND(AM6&gt;=3,AP6&lt;=AsOfDate),AV6,IF(AND(AM6&gt;=2,AO6&lt;=AsOfDate),AU6,AT6)))</f>
        <v/>
      </c>
      <c r="AX6" s="16" t="str">
        <f aca="false">IF(AK6=0,"",IF(AsOfDate&lt;AL6,-1,12*(YEAR(AsOfDate)-YEAR(AL6))+MONTH(AsOfDate)-MONTH(AL6)-IF(DAY(AsOfDate)&lt;MIN(DAY(AL6),DAY(EOMONTH(AsOfDate,0))),1,0)))</f>
        <v/>
      </c>
      <c r="AY6" s="16" t="str">
        <f aca="false">IF(AK6=0,"",IF(OR(AM6&lt;2,AO6&gt;AsOfDate),AX6,IF((AO6-1)&lt;AL6,-1,12*(YEAR((AO6-1))-YEAR(AL6))+MONTH((AO6-1))-MONTH(AL6)-IF(DAY((AO6-1))&lt;MIN(DAY(AL6),DAY(EOMONTH((AO6-1),0))),1,0))))</f>
        <v/>
      </c>
      <c r="AZ6" s="16" t="str">
        <f aca="false">IF(AK6=0,"",IF(OR(AM6&lt;3,AP6&gt;AsOfDate),AX6,IF((AP6-1)&lt;AL6,-1,12*(YEAR((AP6-1))-YEAR(AL6))+MONTH((AP6-1))-MONTH(AL6)-IF(DAY((AP6-1))&lt;MIN(DAY(AL6),DAY(EOMONTH((AP6-1),0))),1,0))))</f>
        <v/>
      </c>
      <c r="BA6" s="16" t="str">
        <f aca="false">IF(AK6=0,"",IF(PFYDate&lt;AL6,-1,12*(YEAR(PFYDate)-YEAR(AL6))+MONTH(PFYDate)-MONTH(AL6)-IF(DAY(PFYDate)&lt;MIN(DAY(AL6),DAY(EOMONTH(PFYDate,0))),1,0)))</f>
        <v/>
      </c>
      <c r="BB6" s="16" t="str">
        <f aca="false">IF(AK6=0,"",IF(OR(AM6&lt;2,AO6&gt;PFYDate),BA6,IF((AO6-1)&lt;AL6,-1,12*(YEAR((AO6-1))-YEAR(AL6))+MONTH((AO6-1))-MONTH(AL6)-IF(DAY((AO6-1))&lt;MIN(DAY(AL6),DAY(EOMONTH((AO6-1),0))),1,0))))</f>
        <v/>
      </c>
      <c r="BC6" s="16" t="str">
        <f aca="false">IF(AK6=0,"",IF(OR(AM6&lt;3,AP6&gt;PFYDate),BA6,IF((AP6-1)&lt;AL6,-1,12*(YEAR((AP6-1))-YEAR(AL6))+MONTH((AP6-1))-MONTH(AL6)-IF(DAY((AP6-1))&lt;MIN(DAY(AL6),DAY(EOMONTH((AP6-1),0))),1,0))))</f>
        <v/>
      </c>
      <c r="BD6" s="16" t="str">
        <f aca="false">IF(AK6=0,"",IF(AT6="FT",IF(AY6&lt;FT_First,0,IF(AY6&lt;FT_Y5,1+INT((AY6-FT_First)/FT_Int1),FT_PreY5+FT_PerYear*INT((AY6-FT_Y5)/12)+FT_AnnivDays+INT(MOD(AY6-FT_Y5,12)/FT_Int2)-IF(EDATE(AL6,FT_Y5)&lt;PolicyEff,FT_AnnivDays-1,0))),IF(AT6="PT",IF(AY6&lt;PT_First,0,1+INT((AY6-PT_First)/PT_Int)),0))+IF(AND(AM6&gt;=2,AO6&lt;=AsOfDate),IF(AU6="FT",IF(AZ6&lt;FT_First,0,IF(AZ6&lt;FT_Y5,1+INT((AZ6-FT_First)/FT_Int1),FT_PreY5+FT_PerYear*INT((AZ6-FT_Y5)/12)+FT_AnnivDays+INT(MOD(AZ6-FT_Y5,12)/FT_Int2)-IF(EDATE(AL6,FT_Y5)&lt;PolicyEff,FT_AnnivDays-1,0))),IF(AU6="PT",IF(AZ6&lt;PT_First,0,1+INT((AZ6-PT_First)/PT_Int)),0))-IF(AU6="FT",IF(AY6&lt;FT_First,0,IF(AY6&lt;FT_Y5,1+INT((AY6-FT_First)/FT_Int1),FT_PreY5+FT_PerYear*INT((AY6-FT_Y5)/12)+FT_AnnivDays+INT(MOD(AY6-FT_Y5,12)/FT_Int2)-IF(EDATE(AL6,FT_Y5)&lt;PolicyEff,FT_AnnivDays-1,0))),IF(AU6="PT",IF(AY6&lt;PT_First,0,1+INT((AY6-PT_First)/PT_Int)),0)),0)+IF(AND(AM6&gt;=3,AP6&lt;=AsOfDate),IF(AV6="FT",IF(AX6&lt;FT_First,0,IF(AX6&lt;FT_Y5,1+INT((AX6-FT_First)/FT_Int1),FT_PreY5+FT_PerYear*INT((AX6-FT_Y5)/12)+FT_AnnivDays+INT(MOD(AX6-FT_Y5,12)/FT_Int2)-IF(EDATE(AL6,FT_Y5)&lt;PolicyEff,FT_AnnivDays-1,0))),IF(AV6="PT",IF(AX6&lt;PT_First,0,1+INT((AX6-PT_First)/PT_Int)),0))-IF(AV6="FT",IF(AZ6&lt;FT_First,0,IF(AZ6&lt;FT_Y5,1+INT((AZ6-FT_First)/FT_Int1),FT_PreY5+FT_PerYear*INT((AZ6-FT_Y5)/12)+FT_AnnivDays+INT(MOD(AZ6-FT_Y5,12)/FT_Int2)-IF(EDATE(AL6,FT_Y5)&lt;PolicyEff,FT_AnnivDays-1,0))),IF(AV6="PT",IF(AZ6&lt;PT_First,0,1+INT((AZ6-PT_First)/PT_Int)),0)),0))</f>
        <v/>
      </c>
      <c r="BE6" s="16" t="str">
        <f aca="false">IF(AK6=0,"",IF(AT6="FT",IF(BB6&lt;FT_First,0,IF(BB6&lt;FT_Y5,1+INT((BB6-FT_First)/FT_Int1),FT_PreY5+FT_PerYear*INT((BB6-FT_Y5)/12)+FT_AnnivDays+INT(MOD(BB6-FT_Y5,12)/FT_Int2)-IF(EDATE(AL6,FT_Y5)&lt;PolicyEff,FT_AnnivDays-1,0))),IF(AT6="PT",IF(BB6&lt;PT_First,0,1+INT((BB6-PT_First)/PT_Int)),0))+IF(AND(AM6&gt;=2,AO6&lt;=PFYDate),IF(AU6="FT",IF(BC6&lt;FT_First,0,IF(BC6&lt;FT_Y5,1+INT((BC6-FT_First)/FT_Int1),FT_PreY5+FT_PerYear*INT((BC6-FT_Y5)/12)+FT_AnnivDays+INT(MOD(BC6-FT_Y5,12)/FT_Int2)-IF(EDATE(AL6,FT_Y5)&lt;PolicyEff,FT_AnnivDays-1,0))),IF(AU6="PT",IF(BC6&lt;PT_First,0,1+INT((BC6-PT_First)/PT_Int)),0))-IF(AU6="FT",IF(BB6&lt;FT_First,0,IF(BB6&lt;FT_Y5,1+INT((BB6-FT_First)/FT_Int1),FT_PreY5+FT_PerYear*INT((BB6-FT_Y5)/12)+FT_AnnivDays+INT(MOD(BB6-FT_Y5,12)/FT_Int2)-IF(EDATE(AL6,FT_Y5)&lt;PolicyEff,FT_AnnivDays-1,0))),IF(AU6="PT",IF(BB6&lt;PT_First,0,1+INT((BB6-PT_First)/PT_Int)),0)),0)+IF(AND(AM6&gt;=3,AP6&lt;=PFYDate),IF(AV6="FT",IF(BA6&lt;FT_First,0,IF(BA6&lt;FT_Y5,1+INT((BA6-FT_First)/FT_Int1),FT_PreY5+FT_PerYear*INT((BA6-FT_Y5)/12)+FT_AnnivDays+INT(MOD(BA6-FT_Y5,12)/FT_Int2)-IF(EDATE(AL6,FT_Y5)&lt;PolicyEff,FT_AnnivDays-1,0))),IF(AV6="PT",IF(BA6&lt;PT_First,0,1+INT((BA6-PT_First)/PT_Int)),0))-IF(AV6="FT",IF(BC6&lt;FT_First,0,IF(BC6&lt;FT_Y5,1+INT((BC6-FT_First)/FT_Int1),FT_PreY5+FT_PerYear*INT((BC6-FT_Y5)/12)+FT_AnnivDays+INT(MOD(BC6-FT_Y5,12)/FT_Int2)-IF(EDATE(AL6,FT_Y5)&lt;PolicyEff,FT_AnnivDays-1,0))),IF(AV6="PT",IF(BC6&lt;PT_First,0,1+INT((BC6-PT_First)/PT_Int)),0)),0))</f>
        <v/>
      </c>
      <c r="BF6" s="16" t="str">
        <f aca="false">IF(AK6=0,"",IF(AW6="FT",IF(AX6&lt;FT_First,FT_First,IF(AX6&lt;FT_Y5,MIN(FT_Y5,FT_First+FT_Int1*(INT((AX6-FT_First)/FT_Int1)+1)),FT_Y5+12*INT((AX6-FT_Y5)/12)+FT_Int2*(INT(MOD(AX6-FT_Y5,12)/FT_Int2)+1))),IF(AW6="PT",IF(AX6&lt;PT_First,PT_First,PT_First+PT_Int*(INT((AX6-PT_First)/PT_Int)+1)),"")))</f>
        <v/>
      </c>
      <c r="BG6" s="16" t="str">
        <f aca="false">IF(AK6=0,"",IF(NOT(LH_Ready),0,COUNTIFS(INDEX(LH_Data,0,LH_ColFirst),$A6,INDEX(LH_Data,0,LH_ColSur),$B6,INDEX(LH_Data,0,LH_ColCat),BonusCat)))</f>
        <v/>
      </c>
      <c r="BH6" s="16" t="str">
        <f aca="false">IF(AK6=0,"",IF(OR(NOT(LH_Ready),BG6=0),0,SUMPRODUCT(MAX((INDEX(LH_Data,0,LH_ColFirst)=$A6)*(INDEX(LH_Data,0,LH_ColSur)=$B6)*(INDEX(LH_Data,0,LH_ColCat)=BonusCat)*ROW(LH_Data)))))</f>
        <v/>
      </c>
      <c r="BI6" s="16" t="str">
        <f aca="false">IF(AK6=0,"",IF(EOMONTH(AsOfDate,-1)&lt;AL6,-1,12*(YEAR(EOMONTH(AsOfDate,-1))-YEAR(AL6))+MONTH(EOMONTH(AsOfDate,-1))-MONTH(AL6)-IF(DAY(EOMONTH(AsOfDate,-1))&lt;MIN(DAY(AL6),DAY(EOMONTH(EOMONTH(AsOfDate,-1),0))),1,0)))</f>
        <v/>
      </c>
      <c r="BJ6" s="16" t="str">
        <f aca="false">IF(AK6=0,"",IF(OR(AM6&lt;2,AO6&gt;EOMONTH(AsOfDate,-1)),BI6,IF((AO6-1)&lt;AL6,-1,12*(YEAR((AO6-1))-YEAR(AL6))+MONTH((AO6-1))-MONTH(AL6)-IF(DAY((AO6-1))&lt;MIN(DAY(AL6),DAY(EOMONTH((AO6-1),0))),1,0))))</f>
        <v/>
      </c>
      <c r="BK6" s="16" t="str">
        <f aca="false">IF(AK6=0,"",IF(OR(AM6&lt;3,AP6&gt;EOMONTH(AsOfDate,-1)),BI6,IF((AP6-1)&lt;AL6,-1,12*(YEAR((AP6-1))-YEAR(AL6))+MONTH((AP6-1))-MONTH(AL6)-IF(DAY((AP6-1))&lt;MIN(DAY(AL6),DAY(EOMONTH((AP6-1),0))),1,0))))</f>
        <v/>
      </c>
      <c r="BL6" s="16" t="str">
        <f aca="false">IF(AK6=0,"",IF(AT6="FT",IF(BJ6&lt;FT_First,0,IF(BJ6&lt;FT_Y5,1+INT((BJ6-FT_First)/FT_Int1),FT_PreY5+FT_PerYear*INT((BJ6-FT_Y5)/12)+FT_AnnivDays+INT(MOD(BJ6-FT_Y5,12)/FT_Int2)-IF(EDATE(AL6,FT_Y5)&lt;PolicyEff,FT_AnnivDays-1,0))),IF(AT6="PT",IF(BJ6&lt;PT_First,0,1+INT((BJ6-PT_First)/PT_Int)),0))+IF(AND(AM6&gt;=2,AO6&lt;=EOMONTH(AsOfDate,-1)),IF(AU6="FT",IF(BK6&lt;FT_First,0,IF(BK6&lt;FT_Y5,1+INT((BK6-FT_First)/FT_Int1),FT_PreY5+FT_PerYear*INT((BK6-FT_Y5)/12)+FT_AnnivDays+INT(MOD(BK6-FT_Y5,12)/FT_Int2)-IF(EDATE(AL6,FT_Y5)&lt;PolicyEff,FT_AnnivDays-1,0))),IF(AU6="PT",IF(BK6&lt;PT_First,0,1+INT((BK6-PT_First)/PT_Int)),0))-IF(AU6="FT",IF(BJ6&lt;FT_First,0,IF(BJ6&lt;FT_Y5,1+INT((BJ6-FT_First)/FT_Int1),FT_PreY5+FT_PerYear*INT((BJ6-FT_Y5)/12)+FT_AnnivDays+INT(MOD(BJ6-FT_Y5,12)/FT_Int2)-IF(EDATE(AL6,FT_Y5)&lt;PolicyEff,FT_AnnivDays-1,0))),IF(AU6="PT",IF(BJ6&lt;PT_First,0,1+INT((BJ6-PT_First)/PT_Int)),0)),0)+IF(AND(AM6&gt;=3,AP6&lt;=EOMONTH(AsOfDate,-1)),IF(AV6="FT",IF(BI6&lt;FT_First,0,IF(BI6&lt;FT_Y5,1+INT((BI6-FT_First)/FT_Int1),FT_PreY5+FT_PerYear*INT((BI6-FT_Y5)/12)+FT_AnnivDays+INT(MOD(BI6-FT_Y5,12)/FT_Int2)-IF(EDATE(AL6,FT_Y5)&lt;PolicyEff,FT_AnnivDays-1,0))),IF(AV6="PT",IF(BI6&lt;PT_First,0,1+INT((BI6-PT_First)/PT_Int)),0))-IF(AV6="FT",IF(BK6&lt;FT_First,0,IF(BK6&lt;FT_Y5,1+INT((BK6-FT_First)/FT_Int1),FT_PreY5+FT_PerYear*INT((BK6-FT_Y5)/12)+FT_AnnivDays+INT(MOD(BK6-FT_Y5,12)/FT_Int2)-IF(EDATE(AL6,FT_Y5)&lt;PolicyEff,FT_AnnivDays-1,0))),IF(AV6="PT",IF(BK6&lt;PT_First,0,1+INT((BK6-PT_First)/PT_Int)),0)),0))</f>
        <v/>
      </c>
      <c r="BM6" s="16" t="str">
        <f aca="false">IF(AK6=0,"",IF(AW6="FT",IF(AX6&lt;FT_First,"",IF(AX6&lt;FT_Y5,FT_First+FT_Int1*INT((AX6-FT_First)/FT_Int1),FT_Y5+FT_Int2*INT((AX6-FT_Y5)/FT_Int2))),IF(AW6="PT",IF(AX6&lt;PT_First,"",PT_First+PT_Int*INT((AX6-PT_First)/PT_Int)),"")))</f>
        <v/>
      </c>
      <c r="BN6" s="16" t="str">
        <f aca="false">IF(AK6=0,"",IF((SchemeStart-1)&lt;AL6,-1,12*(YEAR((SchemeStart-1))-YEAR(AL6))+MONTH((SchemeStart-1))-MONTH(AL6)-IF(DAY((SchemeStart-1))&lt;MIN(DAY(AL6),DAY(EOMONTH((SchemeStart-1),0))),1,0)))</f>
        <v/>
      </c>
      <c r="BO6" s="16" t="str">
        <f aca="false">IF(AK6=0,"",IF(OR(AM6&lt;2,AO6&gt;(SchemeStart-1)),BN6,IF((AO6-1)&lt;AL6,-1,12*(YEAR((AO6-1))-YEAR(AL6))+MONTH((AO6-1))-MONTH(AL6)-IF(DAY((AO6-1))&lt;MIN(DAY(AL6),DAY(EOMONTH((AO6-1),0))),1,0))))</f>
        <v/>
      </c>
      <c r="BP6" s="16" t="str">
        <f aca="false">IF(AK6=0,"",IF(OR(AM6&lt;3,AP6&gt;(SchemeStart-1)),BN6,IF((AP6-1)&lt;AL6,-1,12*(YEAR((AP6-1))-YEAR(AL6))+MONTH((AP6-1))-MONTH(AL6)-IF(DAY((AP6-1))&lt;MIN(DAY(AL6),DAY(EOMONTH((AP6-1),0))),1,0))))</f>
        <v/>
      </c>
      <c r="BQ6" s="16" t="str">
        <f aca="false">IF(AK6=0,"",IF(AT6="FT",IF(BO6&lt;FT_First,0,IF(BO6&lt;FT_Y5,1+INT((BO6-FT_First)/FT_Int1),FT_PreY5+FT_PerYear*INT((BO6-FT_Y5)/12)+FT_AnnivDays+INT(MOD(BO6-FT_Y5,12)/FT_Int2)-IF(EDATE(AL6,FT_Y5)&lt;PolicyEff,FT_AnnivDays-1,0))),IF(AT6="PT",IF(BO6&lt;PT_First,0,1+INT((BO6-PT_First)/PT_Int)),0))+IF(AND(AM6&gt;=2,AO6&lt;=(SchemeStart-1)),IF(AU6="FT",IF(BP6&lt;FT_First,0,IF(BP6&lt;FT_Y5,1+INT((BP6-FT_First)/FT_Int1),FT_PreY5+FT_PerYear*INT((BP6-FT_Y5)/12)+FT_AnnivDays+INT(MOD(BP6-FT_Y5,12)/FT_Int2)-IF(EDATE(AL6,FT_Y5)&lt;PolicyEff,FT_AnnivDays-1,0))),IF(AU6="PT",IF(BP6&lt;PT_First,0,1+INT((BP6-PT_First)/PT_Int)),0))-IF(AU6="FT",IF(BO6&lt;FT_First,0,IF(BO6&lt;FT_Y5,1+INT((BO6-FT_First)/FT_Int1),FT_PreY5+FT_PerYear*INT((BO6-FT_Y5)/12)+FT_AnnivDays+INT(MOD(BO6-FT_Y5,12)/FT_Int2)-IF(EDATE(AL6,FT_Y5)&lt;PolicyEff,FT_AnnivDays-1,0))),IF(AU6="PT",IF(BO6&lt;PT_First,0,1+INT((BO6-PT_First)/PT_Int)),0)),0)+IF(AND(AM6&gt;=3,AP6&lt;=(SchemeStart-1)),IF(AV6="FT",IF(BN6&lt;FT_First,0,IF(BN6&lt;FT_Y5,1+INT((BN6-FT_First)/FT_Int1),FT_PreY5+FT_PerYear*INT((BN6-FT_Y5)/12)+FT_AnnivDays+INT(MOD(BN6-FT_Y5,12)/FT_Int2)-IF(EDATE(AL6,FT_Y5)&lt;PolicyEff,FT_AnnivDays-1,0))),IF(AV6="PT",IF(BN6&lt;PT_First,0,1+INT((BN6-PT_First)/PT_Int)),0))-IF(AV6="FT",IF(BP6&lt;FT_First,0,IF(BP6&lt;FT_Y5,1+INT((BP6-FT_First)/FT_Int1),FT_PreY5+FT_PerYear*INT((BP6-FT_Y5)/12)+FT_AnnivDays+INT(MOD(BP6-FT_Y5,12)/FT_Int2)-IF(EDATE(AL6,FT_Y5)&lt;PolicyEff,FT_AnnivDays-1,0))),IF(AV6="PT",IF(BP6&lt;PT_First,0,1+INT((BP6-PT_First)/PT_Int)),0)),0))</f>
        <v/>
      </c>
      <c r="BR6" s="0" t="str">
        <f aca="false">IF(LEN($A6&amp;$B6)=0,"",$A6&amp;" "&amp;$B6)</f>
        <v/>
      </c>
    </row>
    <row r="7" customFormat="false" ht="15" hidden="false" customHeight="false" outlineLevel="0" collapsed="false">
      <c r="A7" s="12"/>
      <c r="B7" s="12"/>
      <c r="C7" s="12"/>
      <c r="D7" s="13"/>
      <c r="E7" s="14" t="str">
        <f aca="false">IF(OR(AK7=0,$D7=""),"",DATE(YEAR(AsOfDate)+IF(DATE(YEAR(AsOfDate),MONTH($D7),DAY($D7))&lt;=AsOfDate,1,0),MONTH($D7),DAY($D7)))</f>
        <v/>
      </c>
      <c r="F7" s="13"/>
      <c r="G7" s="13"/>
      <c r="H7" s="13"/>
      <c r="I7" s="13"/>
      <c r="J7" s="13"/>
      <c r="K7" s="14" t="str">
        <f aca="false">IF(AK7=0,"",DATE(YEAR(AsOfDate)+IF(DATE(YEAR(AsOfDate),MONTH(AL7),DAY(AL7))&lt;=AsOfDate,1,0),MONTH(AL7),DAY(AL7)))</f>
        <v/>
      </c>
      <c r="L7" s="15" t="str">
        <f aca="false">IF(AK7=0,"",ROUND((AsOfDate-AL7)/365.25,1))</f>
        <v/>
      </c>
      <c r="M7" s="16" t="str">
        <f aca="false">IF(AK7=0,"",IF(AsOfDate&lt;AL7,"-",DATEDIF(AL7,AsOfDate,"y")&amp;"y "&amp;DATEDIF(AL7,AsOfDate,"ym")&amp;"m "&amp;DATEDIF(AL7,AsOfDate,"md")&amp;"d"))</f>
        <v/>
      </c>
      <c r="N7" s="17" t="str">
        <f aca="false">IF(AK7=0,"",O7*HoursPerDay)</f>
        <v/>
      </c>
      <c r="O7" s="17" t="str">
        <f aca="false">IF(AK7=0,"",MAX(0,BD7-BQ7))</f>
        <v/>
      </c>
      <c r="P7" s="18"/>
      <c r="Q7" s="16" t="str">
        <f aca="false">IF(AK7=0,"",IF(AM7&lt;2,"",AQ7&amp;" to "&amp;AR7&amp;" on "&amp;TEXT(AO7,"dd/mm/yyyy")&amp;IF(AO7&gt;AsOfDate," (future)",IF(AT7=AU7,"",IF(AU7="None"," - STOPPED accruing",IF(AT7="None"," - commencement for Bonus Leave"," - pathway changed"))))&amp;IF(AM7&lt;3,"","; "&amp;AR7&amp;" to "&amp;AS7&amp;" on "&amp;TEXT(AP7,"dd/mm/yyyy")&amp;IF(AP7&gt;AsOfDate," (future)",IF(AU7=AV7,"",IF(AV7="None"," - STOPPED accruing",IF(AU7="None"," - commencement for Bonus Leave"," - pathway changed")))))))</f>
        <v/>
      </c>
      <c r="R7" s="16" t="str">
        <f aca="false">IF(AK7=0,"",IF(AW7="None",IF(O7&gt;0,"No longer accruing","Not eligible - "&amp;IF(AND(OR(ISNUMBER(SEARCH("part",$C7)),UPPER(TRIM($C7))="PT",UPPER(TRIM($C7))="PTE"),Apply2026="No"),"part-time (scheme is full-time only)",IF(AND(OR(ISNUMBER(SEARCH("part",$C7)),UPPER(TRIM($C7))="PT",UPPER(TRIM($C7))="PTE"),$P7&lt;&gt;"",N($P7)&lt;PT_MinHours),"under "&amp;PT_MinHours&amp;" hrs",IF(IF($C7="","",IF(OR(ISNUMBER(SEARCH("full",$C7)),UPPER(TRIM($C7))="FT",UPPER(TRIM($C7))="FTE"),"Full-Time",IF(OR(ISNUMBER(SEARCH("part",$C7)),UPPER(TRIM($C7))="PT",UPPER(TRIM($C7))="PTE"),"Part-Time",IF(OR(ISNUMBER(SEARCH("cas",$C7)),UPPER(TRIM($C7))="CAS"),"Casual","Unknown"))))="Unknown","type not recognised",$C7)))),IF(O7&gt;0,"Yes - Accrual Required","Not yet - from "&amp;TEXT(S7,"dd/mm/yyyy"))))</f>
        <v/>
      </c>
      <c r="S7" s="14" t="str">
        <f aca="false">IF(AK7=0,"",IF(AW7="None","",EDATE(AL7,BF7)))</f>
        <v/>
      </c>
      <c r="T7" s="17" t="str">
        <f aca="false">IF(AK7=0,"",IF(NOT(LH_Ready),"",IF($F7&gt;PFYDate,0,IF(LH_ColPeriod=0,W7-U7+V7,SUMIFS(INDEX(LH_Data,0,LH_ColAcc),INDEX(LH_Data,0,LH_ColFirst),$A7,INDEX(LH_Data,0,LH_ColSur),$B7,INDEX(LH_Data,0,LH_ColCat),BonusCat,INDEX(LH_Data,0,LH_ColPeriod),LH_OpenLabel)*UnitFactor))))</f>
        <v/>
      </c>
      <c r="U7" s="17" t="str">
        <f aca="false">IF(AK7=0,"",IF(NOT(LH_Ready),"",SUMIFS(INDEX(LH_Data,0,LH_ColAcc),INDEX(LH_Data,0,LH_ColFirst),$A7,INDEX(LH_Data,0,LH_ColSur),$B7,INDEX(LH_Data,0,LH_ColCat),BonusCat,INDEX(LH_Data,0,LH_ColStart),"&gt;="&amp;AL7)*UnitFactor))</f>
        <v/>
      </c>
      <c r="V7" s="17" t="str">
        <f aca="false">IF(AK7=0,"",IF(NOT(LH_Ready),"",SUMIFS(INDEX(LH_Data,0,LH_ColTaken),INDEX(LH_Data,0,LH_ColFirst),$A7,INDEX(LH_Data,0,LH_ColSur),$B7,INDEX(LH_Data,0,LH_ColCat),BonusCat,INDEX(LH_Data,0,LH_ColStart),"&gt;="&amp;AL7)*UnitFactor))</f>
        <v/>
      </c>
      <c r="W7" s="17" t="str">
        <f aca="false">IF(AK7=0,"",IF(NOT(LH_Ready),"",IF(BH7=0,0,INDEX(INDEX(LH_Data,0,LH_ColClose),BH7-1)*UnitFactor)))</f>
        <v/>
      </c>
      <c r="X7" s="17" t="str">
        <f aca="false">IF(AK7=0,"",(MAX(0,BD7-BQ7)-MAX(0,BE7-BQ7))*HoursPerDay)</f>
        <v/>
      </c>
      <c r="Y7" s="17" t="str">
        <f aca="false">IF(AK7=0,"",IF(NOT(LH_Ready),"",IF($AI7="Yes",N(AE7)*HoursPerDay-SUMIFS(INDEX(LH_Data,0,LH_ColAcc),INDEX(LH_Data,0,LH_ColFirst),$A7,INDEX(LH_Data,0,LH_ColSur),$B7,INDEX(LH_Data,0,LH_ColCat),BonusCat,INDEX(LH_Data,0,LH_ColStart),"&gt;="&amp;(EOMONTH(AsOfDate,-1)+1),INDEX(LH_Data,0,LH_ColStart),"&lt;="&amp;AsOfDate)*UnitFactor,IF(BG7=0,N7,N7-N(T7)-N(U7)))))</f>
        <v/>
      </c>
      <c r="Z7" s="16" t="str">
        <f aca="false">IF(OR(AK7=0,Y7=""),"",IF(Y7&gt;0,"Yes","No"))</f>
        <v/>
      </c>
      <c r="AA7" s="16" t="str">
        <f aca="false">IF(AK7=0,IF(LEN($A7&amp;$B7)=0,"","FIX INPUT - StartDate missing"),IF(AD7&lt;&gt;"","FIX INPUT - "&amp;AD7,IF(NOT(LH_Ready),"Paste Leave History export (Settings must show YES)",IF(AND($AI7="Yes",Y7&lt;=0),"OK - EH balance accepted to date"&amp;IF(N(AH7)&gt;0," (EH holds "&amp;AH7&amp;" hrs over the scheme)","")&amp;"; next day "&amp;TEXT(S7,"dd mmm yy")&amp;IF(N(AE7)&gt;0," ("&amp;AE7&amp;" day(s) for "&amp;UPPER(TEXT(AsOfDate,"mmm yyyy"))&amp;" already in EH)",""),IF(Y7&gt;0,"ACCRUE "&amp;ROUND(Y7,2)&amp;" hrs ("&amp;ROUND(Y7/HoursPerDay,2)&amp;" days): "&amp;IF(N(AE7)&gt;0,AE7&amp;" day(s) for "&amp;UPPER(TEXT(AsOfDate,"mmm yyyy"))&amp;" (milestone "&amp;UPPER(TEXT(AF7,"dd mmm yy"))&amp;")"&amp;IF(Y7/HoursPerDay&gt;AE7+0.001," + "&amp;ROUND(Y7/HoursPerDay-AE7,2)&amp;" day(s) catch-up from earlier months",""),"all catch-up from earlier months, nothing new this month")&amp;IF(BG7=0,"; no Bonus Leave in EH yet",""),IF(Y7&lt;0,"CHECK - EH accrued "&amp;ROUND(-Y7,2)&amp;" hrs more than policy since commencement",IF(N(W7)&gt;O7*HoursPerDay+0.01,"CHECK - EH balance "&amp;ROUND(W7-O7*HoursPerDay,2)&amp;" hrs more than policy entitlement",IF(O7&gt;0,"OK - nothing to add"&amp;IF(N(AE7)&gt;0," ("&amp;AE7&amp;" day(s) for "&amp;UPPER(TEXT(AsOfDate,"mmm yyyy"))&amp;" already in EH)",""),IF(AW7="None",R7,"Not yet - first day on "&amp;TEXT(S7,"dd/mm/yyyy"))))))))))</f>
        <v/>
      </c>
      <c r="AB7" s="17" t="str">
        <f aca="false">IF(OR(AK7=0,T7=""),"",MAX(0,BE7-BQ7)*HoursPerDay-T7)</f>
        <v/>
      </c>
      <c r="AC7" s="16" t="str">
        <f aca="false">IF(AK7=0,"",BG7)</f>
        <v/>
      </c>
      <c r="AD7" s="16" t="str">
        <f aca="false">IF(AK7=0,"",TRIM(IF(OR(ISTEXT($F7),ISTEXT($H7),ISTEXT($I7),ISTEXT($G7),ISTEXT($J7),ISTEXT($D7)),"A date is typed as text - retype it as dd/mm/yyyy. ","")&amp;IF(IF($C7="","",IF(OR(ISNUMBER(SEARCH("full",$C7)),UPPER(TRIM($C7))="FT",UPPER(TRIM($C7))="FTE"),"Full-Time",IF(OR(ISNUMBER(SEARCH("part",$C7)),UPPER(TRIM($C7))="PT",UPPER(TRIM($C7))="PTE"),"Part-Time",IF(OR(ISNUMBER(SEARCH("cas",$C7)),UPPER(TRIM($C7))="CAS"),"Casual","Unknown"))))="Unknown","EmploymentType not recognised - use Full-Time, Part-Time or Casual. ","")&amp;IF(AND(AM7&gt;=1,IF(AM7&gt;=3,AS7,IF(AM7=2,AR7,AQ7))&lt;&gt;IF($C7="","",IF(OR(ISNUMBER(SEARCH("full",$C7)),UPPER(TRIM($C7))="FT",UPPER(TRIM($C7))="FTE"),"Full-Time",IF(OR(ISNUMBER(SEARCH("part",$C7)),UPPER(TRIM($C7))="PT",UPPER(TRIM($C7))="PTE"),"Part-Time",IF(OR(ISNUMBER(SEARCH("cas",$C7)),UPPER(TRIM($C7))="CAS"),"Casual","Unknown"))))),"EmploymentType does not match latest start date ("&amp;IF(AM7&gt;=3,AS7,IF(AM7=2,AR7,AQ7))&amp;"). ","")&amp;IF(AND(AM7&gt;=1,AN7&lt;&gt;$F7),"Earliest type date should equal StartDate. ","")&amp;IF(AND(AM7&gt;=2,AN7=AO7),"Two types start on the same date. ","")&amp;IF(AND(OR(ISNUMBER(SEARCH("part",$C7)),UPPER(TRIM($C7))="PT",UPPER(TRIM($C7))="PTE"),$P7=""),"Part-time: enter PT Hrs/Week (blank = 24+). ","")))</f>
        <v/>
      </c>
      <c r="AE7" s="17" t="str">
        <f aca="false">IF(AK7=0,"",O7-MAX(0,BL7-BQ7))</f>
        <v/>
      </c>
      <c r="AF7" s="14" t="str">
        <f aca="false">IF(OR(AK7=0,AE7="",N(AE7)=0,BM7=""),"",EDATE(AL7,BM7))</f>
        <v/>
      </c>
      <c r="AG7" s="17" t="str">
        <f aca="false">IF(AK7=0,"",MIN(BD7,BQ7))</f>
        <v/>
      </c>
      <c r="AH7" s="17" t="str">
        <f aca="false">IF(AK7=0,"",IF(NOT(LH_Ready),"",IF(BG7=0,0,MAX(0,ROUND(N(T7)+N(U7)-N7,2)))))</f>
        <v/>
      </c>
      <c r="AI7" s="12"/>
      <c r="AJ7" s="12"/>
      <c r="AK7" s="16" t="n">
        <f aca="false">IF(OR(LEN($A7&amp;$B7)=0,$F7=""),0,1)</f>
        <v>0</v>
      </c>
      <c r="AL7" s="14" t="str">
        <f aca="false">IF(AK7=0,"",IF(PreSchemeCounts="No",MAX(SchemeStart,IF($J7&lt;&gt;"",$J7,IF(OR(CasualCounts="Yes",COUNT($G7:$I7)=0),$F7,IF(Apply2026="No",IF($I7="",$F7,$I7),IF(COUNT($H7:$I7)=0,$F7,MIN($H7:$I7)))))),IF($J7&lt;&gt;"",$J7,IF(OR(CasualCounts="Yes",COUNT($G7:$I7)=0),$F7,IF(Apply2026="No",IF($I7="",$F7,$I7),IF(COUNT($H7:$I7)=0,$F7,MIN($H7:$I7)))))))</f>
        <v/>
      </c>
      <c r="AM7" s="16" t="str">
        <f aca="false">IF(AK7=0,"",COUNT($G7:$I7))</f>
        <v/>
      </c>
      <c r="AN7" s="14" t="str">
        <f aca="false">IF(AK7=0,"",IFERROR(SMALL($G7:$I7,1),""))</f>
        <v/>
      </c>
      <c r="AO7" s="14" t="str">
        <f aca="false">IF(AK7=0,"",IFERROR(SMALL($G7:$I7,2),""))</f>
        <v/>
      </c>
      <c r="AP7" s="14" t="str">
        <f aca="false">IF(AK7=0,"",IFERROR(SMALL($G7:$I7,3),""))</f>
        <v/>
      </c>
      <c r="AQ7" s="16" t="str">
        <f aca="false">IF(AK7=0,"",IF(AN7="","",IF(AN7=$H7,"Part-Time",IF(AN7=$I7,"Full-Time","Casual"))))</f>
        <v/>
      </c>
      <c r="AR7" s="16" t="str">
        <f aca="false">IF(AK7=0,"",IF(AO7="","",IF(AO7=$H7,"Part-Time",IF(AO7=$I7,"Full-Time","Casual"))))</f>
        <v/>
      </c>
      <c r="AS7" s="16" t="str">
        <f aca="false">IF(AK7=0,"",IF(AP7="","",IF(AP7=$H7,"Part-Time",IF(AP7=$I7,"Full-Time","Casual"))))</f>
        <v/>
      </c>
      <c r="AT7" s="16" t="str">
        <f aca="false">IF(AK7=0,"",IF(AM7=0,IF(OR(ISNUMBER(SEARCH("full",$C7)),UPPER(TRIM($C7))="FT",UPPER(TRIM($C7))="FTE"),"FT",IF(AND(OR(ISNUMBER(SEARCH("part",$C7)),UPPER(TRIM($C7))="PT",UPPER(TRIM($C7))="PTE"),Apply2026="Yes",OR($P7="",N($P7)&gt;=PT_MinHours)),"PT","None")),IF(OR(ISNUMBER(SEARCH("full",AQ7)),UPPER(TRIM(AQ7))="FT",UPPER(TRIM(AQ7))="FTE"),"FT",IF(AND(OR(ISNUMBER(SEARCH("part",AQ7)),UPPER(TRIM(AQ7))="PT",UPPER(TRIM(AQ7))="PTE"),Apply2026="Yes",OR($P7="",N($P7)&gt;=PT_MinHours)),"PT","None"))))</f>
        <v/>
      </c>
      <c r="AU7" s="16" t="str">
        <f aca="false">IF(AK7=0,"",IF(AM7&lt;2,"",IF(OR(ISNUMBER(SEARCH("full",AR7)),UPPER(TRIM(AR7))="FT",UPPER(TRIM(AR7))="FTE"),"FT",IF(AND(OR(ISNUMBER(SEARCH("part",AR7)),UPPER(TRIM(AR7))="PT",UPPER(TRIM(AR7))="PTE"),Apply2026="Yes",OR($P7="",N($P7)&gt;=PT_MinHours)),"PT","None"))))</f>
        <v/>
      </c>
      <c r="AV7" s="16" t="str">
        <f aca="false">IF(AK7=0,"",IF(AM7&lt;3,"",IF(OR(ISNUMBER(SEARCH("full",AS7)),UPPER(TRIM(AS7))="FT",UPPER(TRIM(AS7))="FTE"),"FT",IF(AND(OR(ISNUMBER(SEARCH("part",AS7)),UPPER(TRIM(AS7))="PT",UPPER(TRIM(AS7))="PTE"),Apply2026="Yes",OR($P7="",N($P7)&gt;=PT_MinHours)),"PT","None"))))</f>
        <v/>
      </c>
      <c r="AW7" s="16" t="str">
        <f aca="false">IF(AK7=0,"",IF(AND(AM7&gt;=3,AP7&lt;=AsOfDate),AV7,IF(AND(AM7&gt;=2,AO7&lt;=AsOfDate),AU7,AT7)))</f>
        <v/>
      </c>
      <c r="AX7" s="16" t="str">
        <f aca="false">IF(AK7=0,"",IF(AsOfDate&lt;AL7,-1,12*(YEAR(AsOfDate)-YEAR(AL7))+MONTH(AsOfDate)-MONTH(AL7)-IF(DAY(AsOfDate)&lt;MIN(DAY(AL7),DAY(EOMONTH(AsOfDate,0))),1,0)))</f>
        <v/>
      </c>
      <c r="AY7" s="16" t="str">
        <f aca="false">IF(AK7=0,"",IF(OR(AM7&lt;2,AO7&gt;AsOfDate),AX7,IF((AO7-1)&lt;AL7,-1,12*(YEAR((AO7-1))-YEAR(AL7))+MONTH((AO7-1))-MONTH(AL7)-IF(DAY((AO7-1))&lt;MIN(DAY(AL7),DAY(EOMONTH((AO7-1),0))),1,0))))</f>
        <v/>
      </c>
      <c r="AZ7" s="16" t="str">
        <f aca="false">IF(AK7=0,"",IF(OR(AM7&lt;3,AP7&gt;AsOfDate),AX7,IF((AP7-1)&lt;AL7,-1,12*(YEAR((AP7-1))-YEAR(AL7))+MONTH((AP7-1))-MONTH(AL7)-IF(DAY((AP7-1))&lt;MIN(DAY(AL7),DAY(EOMONTH((AP7-1),0))),1,0))))</f>
        <v/>
      </c>
      <c r="BA7" s="16" t="str">
        <f aca="false">IF(AK7=0,"",IF(PFYDate&lt;AL7,-1,12*(YEAR(PFYDate)-YEAR(AL7))+MONTH(PFYDate)-MONTH(AL7)-IF(DAY(PFYDate)&lt;MIN(DAY(AL7),DAY(EOMONTH(PFYDate,0))),1,0)))</f>
        <v/>
      </c>
      <c r="BB7" s="16" t="str">
        <f aca="false">IF(AK7=0,"",IF(OR(AM7&lt;2,AO7&gt;PFYDate),BA7,IF((AO7-1)&lt;AL7,-1,12*(YEAR((AO7-1))-YEAR(AL7))+MONTH((AO7-1))-MONTH(AL7)-IF(DAY((AO7-1))&lt;MIN(DAY(AL7),DAY(EOMONTH((AO7-1),0))),1,0))))</f>
        <v/>
      </c>
      <c r="BC7" s="16" t="str">
        <f aca="false">IF(AK7=0,"",IF(OR(AM7&lt;3,AP7&gt;PFYDate),BA7,IF((AP7-1)&lt;AL7,-1,12*(YEAR((AP7-1))-YEAR(AL7))+MONTH((AP7-1))-MONTH(AL7)-IF(DAY((AP7-1))&lt;MIN(DAY(AL7),DAY(EOMONTH((AP7-1),0))),1,0))))</f>
        <v/>
      </c>
      <c r="BD7" s="16" t="str">
        <f aca="false">IF(AK7=0,"",IF(AT7="FT",IF(AY7&lt;FT_First,0,IF(AY7&lt;FT_Y5,1+INT((AY7-FT_First)/FT_Int1),FT_PreY5+FT_PerYear*INT((AY7-FT_Y5)/12)+FT_AnnivDays+INT(MOD(AY7-FT_Y5,12)/FT_Int2)-IF(EDATE(AL7,FT_Y5)&lt;PolicyEff,FT_AnnivDays-1,0))),IF(AT7="PT",IF(AY7&lt;PT_First,0,1+INT((AY7-PT_First)/PT_Int)),0))+IF(AND(AM7&gt;=2,AO7&lt;=AsOfDate),IF(AU7="FT",IF(AZ7&lt;FT_First,0,IF(AZ7&lt;FT_Y5,1+INT((AZ7-FT_First)/FT_Int1),FT_PreY5+FT_PerYear*INT((AZ7-FT_Y5)/12)+FT_AnnivDays+INT(MOD(AZ7-FT_Y5,12)/FT_Int2)-IF(EDATE(AL7,FT_Y5)&lt;PolicyEff,FT_AnnivDays-1,0))),IF(AU7="PT",IF(AZ7&lt;PT_First,0,1+INT((AZ7-PT_First)/PT_Int)),0))-IF(AU7="FT",IF(AY7&lt;FT_First,0,IF(AY7&lt;FT_Y5,1+INT((AY7-FT_First)/FT_Int1),FT_PreY5+FT_PerYear*INT((AY7-FT_Y5)/12)+FT_AnnivDays+INT(MOD(AY7-FT_Y5,12)/FT_Int2)-IF(EDATE(AL7,FT_Y5)&lt;PolicyEff,FT_AnnivDays-1,0))),IF(AU7="PT",IF(AY7&lt;PT_First,0,1+INT((AY7-PT_First)/PT_Int)),0)),0)+IF(AND(AM7&gt;=3,AP7&lt;=AsOfDate),IF(AV7="FT",IF(AX7&lt;FT_First,0,IF(AX7&lt;FT_Y5,1+INT((AX7-FT_First)/FT_Int1),FT_PreY5+FT_PerYear*INT((AX7-FT_Y5)/12)+FT_AnnivDays+INT(MOD(AX7-FT_Y5,12)/FT_Int2)-IF(EDATE(AL7,FT_Y5)&lt;PolicyEff,FT_AnnivDays-1,0))),IF(AV7="PT",IF(AX7&lt;PT_First,0,1+INT((AX7-PT_First)/PT_Int)),0))-IF(AV7="FT",IF(AZ7&lt;FT_First,0,IF(AZ7&lt;FT_Y5,1+INT((AZ7-FT_First)/FT_Int1),FT_PreY5+FT_PerYear*INT((AZ7-FT_Y5)/12)+FT_AnnivDays+INT(MOD(AZ7-FT_Y5,12)/FT_Int2)-IF(EDATE(AL7,FT_Y5)&lt;PolicyEff,FT_AnnivDays-1,0))),IF(AV7="PT",IF(AZ7&lt;PT_First,0,1+INT((AZ7-PT_First)/PT_Int)),0)),0))</f>
        <v/>
      </c>
      <c r="BE7" s="16" t="str">
        <f aca="false">IF(AK7=0,"",IF(AT7="FT",IF(BB7&lt;FT_First,0,IF(BB7&lt;FT_Y5,1+INT((BB7-FT_First)/FT_Int1),FT_PreY5+FT_PerYear*INT((BB7-FT_Y5)/12)+FT_AnnivDays+INT(MOD(BB7-FT_Y5,12)/FT_Int2)-IF(EDATE(AL7,FT_Y5)&lt;PolicyEff,FT_AnnivDays-1,0))),IF(AT7="PT",IF(BB7&lt;PT_First,0,1+INT((BB7-PT_First)/PT_Int)),0))+IF(AND(AM7&gt;=2,AO7&lt;=PFYDate),IF(AU7="FT",IF(BC7&lt;FT_First,0,IF(BC7&lt;FT_Y5,1+INT((BC7-FT_First)/FT_Int1),FT_PreY5+FT_PerYear*INT((BC7-FT_Y5)/12)+FT_AnnivDays+INT(MOD(BC7-FT_Y5,12)/FT_Int2)-IF(EDATE(AL7,FT_Y5)&lt;PolicyEff,FT_AnnivDays-1,0))),IF(AU7="PT",IF(BC7&lt;PT_First,0,1+INT((BC7-PT_First)/PT_Int)),0))-IF(AU7="FT",IF(BB7&lt;FT_First,0,IF(BB7&lt;FT_Y5,1+INT((BB7-FT_First)/FT_Int1),FT_PreY5+FT_PerYear*INT((BB7-FT_Y5)/12)+FT_AnnivDays+INT(MOD(BB7-FT_Y5,12)/FT_Int2)-IF(EDATE(AL7,FT_Y5)&lt;PolicyEff,FT_AnnivDays-1,0))),IF(AU7="PT",IF(BB7&lt;PT_First,0,1+INT((BB7-PT_First)/PT_Int)),0)),0)+IF(AND(AM7&gt;=3,AP7&lt;=PFYDate),IF(AV7="FT",IF(BA7&lt;FT_First,0,IF(BA7&lt;FT_Y5,1+INT((BA7-FT_First)/FT_Int1),FT_PreY5+FT_PerYear*INT((BA7-FT_Y5)/12)+FT_AnnivDays+INT(MOD(BA7-FT_Y5,12)/FT_Int2)-IF(EDATE(AL7,FT_Y5)&lt;PolicyEff,FT_AnnivDays-1,0))),IF(AV7="PT",IF(BA7&lt;PT_First,0,1+INT((BA7-PT_First)/PT_Int)),0))-IF(AV7="FT",IF(BC7&lt;FT_First,0,IF(BC7&lt;FT_Y5,1+INT((BC7-FT_First)/FT_Int1),FT_PreY5+FT_PerYear*INT((BC7-FT_Y5)/12)+FT_AnnivDays+INT(MOD(BC7-FT_Y5,12)/FT_Int2)-IF(EDATE(AL7,FT_Y5)&lt;PolicyEff,FT_AnnivDays-1,0))),IF(AV7="PT",IF(BC7&lt;PT_First,0,1+INT((BC7-PT_First)/PT_Int)),0)),0))</f>
        <v/>
      </c>
      <c r="BF7" s="16" t="str">
        <f aca="false">IF(AK7=0,"",IF(AW7="FT",IF(AX7&lt;FT_First,FT_First,IF(AX7&lt;FT_Y5,MIN(FT_Y5,FT_First+FT_Int1*(INT((AX7-FT_First)/FT_Int1)+1)),FT_Y5+12*INT((AX7-FT_Y5)/12)+FT_Int2*(INT(MOD(AX7-FT_Y5,12)/FT_Int2)+1))),IF(AW7="PT",IF(AX7&lt;PT_First,PT_First,PT_First+PT_Int*(INT((AX7-PT_First)/PT_Int)+1)),"")))</f>
        <v/>
      </c>
      <c r="BG7" s="16" t="str">
        <f aca="false">IF(AK7=0,"",IF(NOT(LH_Ready),0,COUNTIFS(INDEX(LH_Data,0,LH_ColFirst),$A7,INDEX(LH_Data,0,LH_ColSur),$B7,INDEX(LH_Data,0,LH_ColCat),BonusCat)))</f>
        <v/>
      </c>
      <c r="BH7" s="16" t="str">
        <f aca="false">IF(AK7=0,"",IF(OR(NOT(LH_Ready),BG7=0),0,SUMPRODUCT(MAX((INDEX(LH_Data,0,LH_ColFirst)=$A7)*(INDEX(LH_Data,0,LH_ColSur)=$B7)*(INDEX(LH_Data,0,LH_ColCat)=BonusCat)*ROW(LH_Data)))))</f>
        <v/>
      </c>
      <c r="BI7" s="16" t="str">
        <f aca="false">IF(AK7=0,"",IF(EOMONTH(AsOfDate,-1)&lt;AL7,-1,12*(YEAR(EOMONTH(AsOfDate,-1))-YEAR(AL7))+MONTH(EOMONTH(AsOfDate,-1))-MONTH(AL7)-IF(DAY(EOMONTH(AsOfDate,-1))&lt;MIN(DAY(AL7),DAY(EOMONTH(EOMONTH(AsOfDate,-1),0))),1,0)))</f>
        <v/>
      </c>
      <c r="BJ7" s="16" t="str">
        <f aca="false">IF(AK7=0,"",IF(OR(AM7&lt;2,AO7&gt;EOMONTH(AsOfDate,-1)),BI7,IF((AO7-1)&lt;AL7,-1,12*(YEAR((AO7-1))-YEAR(AL7))+MONTH((AO7-1))-MONTH(AL7)-IF(DAY((AO7-1))&lt;MIN(DAY(AL7),DAY(EOMONTH((AO7-1),0))),1,0))))</f>
        <v/>
      </c>
      <c r="BK7" s="16" t="str">
        <f aca="false">IF(AK7=0,"",IF(OR(AM7&lt;3,AP7&gt;EOMONTH(AsOfDate,-1)),BI7,IF((AP7-1)&lt;AL7,-1,12*(YEAR((AP7-1))-YEAR(AL7))+MONTH((AP7-1))-MONTH(AL7)-IF(DAY((AP7-1))&lt;MIN(DAY(AL7),DAY(EOMONTH((AP7-1),0))),1,0))))</f>
        <v/>
      </c>
      <c r="BL7" s="16" t="str">
        <f aca="false">IF(AK7=0,"",IF(AT7="FT",IF(BJ7&lt;FT_First,0,IF(BJ7&lt;FT_Y5,1+INT((BJ7-FT_First)/FT_Int1),FT_PreY5+FT_PerYear*INT((BJ7-FT_Y5)/12)+FT_AnnivDays+INT(MOD(BJ7-FT_Y5,12)/FT_Int2)-IF(EDATE(AL7,FT_Y5)&lt;PolicyEff,FT_AnnivDays-1,0))),IF(AT7="PT",IF(BJ7&lt;PT_First,0,1+INT((BJ7-PT_First)/PT_Int)),0))+IF(AND(AM7&gt;=2,AO7&lt;=EOMONTH(AsOfDate,-1)),IF(AU7="FT",IF(BK7&lt;FT_First,0,IF(BK7&lt;FT_Y5,1+INT((BK7-FT_First)/FT_Int1),FT_PreY5+FT_PerYear*INT((BK7-FT_Y5)/12)+FT_AnnivDays+INT(MOD(BK7-FT_Y5,12)/FT_Int2)-IF(EDATE(AL7,FT_Y5)&lt;PolicyEff,FT_AnnivDays-1,0))),IF(AU7="PT",IF(BK7&lt;PT_First,0,1+INT((BK7-PT_First)/PT_Int)),0))-IF(AU7="FT",IF(BJ7&lt;FT_First,0,IF(BJ7&lt;FT_Y5,1+INT((BJ7-FT_First)/FT_Int1),FT_PreY5+FT_PerYear*INT((BJ7-FT_Y5)/12)+FT_AnnivDays+INT(MOD(BJ7-FT_Y5,12)/FT_Int2)-IF(EDATE(AL7,FT_Y5)&lt;PolicyEff,FT_AnnivDays-1,0))),IF(AU7="PT",IF(BJ7&lt;PT_First,0,1+INT((BJ7-PT_First)/PT_Int)),0)),0)+IF(AND(AM7&gt;=3,AP7&lt;=EOMONTH(AsOfDate,-1)),IF(AV7="FT",IF(BI7&lt;FT_First,0,IF(BI7&lt;FT_Y5,1+INT((BI7-FT_First)/FT_Int1),FT_PreY5+FT_PerYear*INT((BI7-FT_Y5)/12)+FT_AnnivDays+INT(MOD(BI7-FT_Y5,12)/FT_Int2)-IF(EDATE(AL7,FT_Y5)&lt;PolicyEff,FT_AnnivDays-1,0))),IF(AV7="PT",IF(BI7&lt;PT_First,0,1+INT((BI7-PT_First)/PT_Int)),0))-IF(AV7="FT",IF(BK7&lt;FT_First,0,IF(BK7&lt;FT_Y5,1+INT((BK7-FT_First)/FT_Int1),FT_PreY5+FT_PerYear*INT((BK7-FT_Y5)/12)+FT_AnnivDays+INT(MOD(BK7-FT_Y5,12)/FT_Int2)-IF(EDATE(AL7,FT_Y5)&lt;PolicyEff,FT_AnnivDays-1,0))),IF(AV7="PT",IF(BK7&lt;PT_First,0,1+INT((BK7-PT_First)/PT_Int)),0)),0))</f>
        <v/>
      </c>
      <c r="BM7" s="16" t="str">
        <f aca="false">IF(AK7=0,"",IF(AW7="FT",IF(AX7&lt;FT_First,"",IF(AX7&lt;FT_Y5,FT_First+FT_Int1*INT((AX7-FT_First)/FT_Int1),FT_Y5+FT_Int2*INT((AX7-FT_Y5)/FT_Int2))),IF(AW7="PT",IF(AX7&lt;PT_First,"",PT_First+PT_Int*INT((AX7-PT_First)/PT_Int)),"")))</f>
        <v/>
      </c>
      <c r="BN7" s="16" t="str">
        <f aca="false">IF(AK7=0,"",IF((SchemeStart-1)&lt;AL7,-1,12*(YEAR((SchemeStart-1))-YEAR(AL7))+MONTH((SchemeStart-1))-MONTH(AL7)-IF(DAY((SchemeStart-1))&lt;MIN(DAY(AL7),DAY(EOMONTH((SchemeStart-1),0))),1,0)))</f>
        <v/>
      </c>
      <c r="BO7" s="16" t="str">
        <f aca="false">IF(AK7=0,"",IF(OR(AM7&lt;2,AO7&gt;(SchemeStart-1)),BN7,IF((AO7-1)&lt;AL7,-1,12*(YEAR((AO7-1))-YEAR(AL7))+MONTH((AO7-1))-MONTH(AL7)-IF(DAY((AO7-1))&lt;MIN(DAY(AL7),DAY(EOMONTH((AO7-1),0))),1,0))))</f>
        <v/>
      </c>
      <c r="BP7" s="16" t="str">
        <f aca="false">IF(AK7=0,"",IF(OR(AM7&lt;3,AP7&gt;(SchemeStart-1)),BN7,IF((AP7-1)&lt;AL7,-1,12*(YEAR((AP7-1))-YEAR(AL7))+MONTH((AP7-1))-MONTH(AL7)-IF(DAY((AP7-1))&lt;MIN(DAY(AL7),DAY(EOMONTH((AP7-1),0))),1,0))))</f>
        <v/>
      </c>
      <c r="BQ7" s="16" t="str">
        <f aca="false">IF(AK7=0,"",IF(AT7="FT",IF(BO7&lt;FT_First,0,IF(BO7&lt;FT_Y5,1+INT((BO7-FT_First)/FT_Int1),FT_PreY5+FT_PerYear*INT((BO7-FT_Y5)/12)+FT_AnnivDays+INT(MOD(BO7-FT_Y5,12)/FT_Int2)-IF(EDATE(AL7,FT_Y5)&lt;PolicyEff,FT_AnnivDays-1,0))),IF(AT7="PT",IF(BO7&lt;PT_First,0,1+INT((BO7-PT_First)/PT_Int)),0))+IF(AND(AM7&gt;=2,AO7&lt;=(SchemeStart-1)),IF(AU7="FT",IF(BP7&lt;FT_First,0,IF(BP7&lt;FT_Y5,1+INT((BP7-FT_First)/FT_Int1),FT_PreY5+FT_PerYear*INT((BP7-FT_Y5)/12)+FT_AnnivDays+INT(MOD(BP7-FT_Y5,12)/FT_Int2)-IF(EDATE(AL7,FT_Y5)&lt;PolicyEff,FT_AnnivDays-1,0))),IF(AU7="PT",IF(BP7&lt;PT_First,0,1+INT((BP7-PT_First)/PT_Int)),0))-IF(AU7="FT",IF(BO7&lt;FT_First,0,IF(BO7&lt;FT_Y5,1+INT((BO7-FT_First)/FT_Int1),FT_PreY5+FT_PerYear*INT((BO7-FT_Y5)/12)+FT_AnnivDays+INT(MOD(BO7-FT_Y5,12)/FT_Int2)-IF(EDATE(AL7,FT_Y5)&lt;PolicyEff,FT_AnnivDays-1,0))),IF(AU7="PT",IF(BO7&lt;PT_First,0,1+INT((BO7-PT_First)/PT_Int)),0)),0)+IF(AND(AM7&gt;=3,AP7&lt;=(SchemeStart-1)),IF(AV7="FT",IF(BN7&lt;FT_First,0,IF(BN7&lt;FT_Y5,1+INT((BN7-FT_First)/FT_Int1),FT_PreY5+FT_PerYear*INT((BN7-FT_Y5)/12)+FT_AnnivDays+INT(MOD(BN7-FT_Y5,12)/FT_Int2)-IF(EDATE(AL7,FT_Y5)&lt;PolicyEff,FT_AnnivDays-1,0))),IF(AV7="PT",IF(BN7&lt;PT_First,0,1+INT((BN7-PT_First)/PT_Int)),0))-IF(AV7="FT",IF(BP7&lt;FT_First,0,IF(BP7&lt;FT_Y5,1+INT((BP7-FT_First)/FT_Int1),FT_PreY5+FT_PerYear*INT((BP7-FT_Y5)/12)+FT_AnnivDays+INT(MOD(BP7-FT_Y5,12)/FT_Int2)-IF(EDATE(AL7,FT_Y5)&lt;PolicyEff,FT_AnnivDays-1,0))),IF(AV7="PT",IF(BP7&lt;PT_First,0,1+INT((BP7-PT_First)/PT_Int)),0)),0))</f>
        <v/>
      </c>
      <c r="BR7" s="0" t="str">
        <f aca="false">IF(LEN($A7&amp;$B7)=0,"",$A7&amp;" "&amp;$B7)</f>
        <v/>
      </c>
    </row>
    <row r="8" customFormat="false" ht="15" hidden="false" customHeight="false" outlineLevel="0" collapsed="false">
      <c r="A8" s="12"/>
      <c r="B8" s="12"/>
      <c r="C8" s="12"/>
      <c r="D8" s="13"/>
      <c r="E8" s="14" t="str">
        <f aca="false">IF(OR(AK8=0,$D8=""),"",DATE(YEAR(AsOfDate)+IF(DATE(YEAR(AsOfDate),MONTH($D8),DAY($D8))&lt;=AsOfDate,1,0),MONTH($D8),DAY($D8)))</f>
        <v/>
      </c>
      <c r="F8" s="13"/>
      <c r="G8" s="13"/>
      <c r="H8" s="13"/>
      <c r="I8" s="13"/>
      <c r="J8" s="13"/>
      <c r="K8" s="14" t="str">
        <f aca="false">IF(AK8=0,"",DATE(YEAR(AsOfDate)+IF(DATE(YEAR(AsOfDate),MONTH(AL8),DAY(AL8))&lt;=AsOfDate,1,0),MONTH(AL8),DAY(AL8)))</f>
        <v/>
      </c>
      <c r="L8" s="15" t="str">
        <f aca="false">IF(AK8=0,"",ROUND((AsOfDate-AL8)/365.25,1))</f>
        <v/>
      </c>
      <c r="M8" s="16" t="str">
        <f aca="false">IF(AK8=0,"",IF(AsOfDate&lt;AL8,"-",DATEDIF(AL8,AsOfDate,"y")&amp;"y "&amp;DATEDIF(AL8,AsOfDate,"ym")&amp;"m "&amp;DATEDIF(AL8,AsOfDate,"md")&amp;"d"))</f>
        <v/>
      </c>
      <c r="N8" s="17" t="str">
        <f aca="false">IF(AK8=0,"",O8*HoursPerDay)</f>
        <v/>
      </c>
      <c r="O8" s="17" t="str">
        <f aca="false">IF(AK8=0,"",MAX(0,BD8-BQ8))</f>
        <v/>
      </c>
      <c r="P8" s="18"/>
      <c r="Q8" s="16" t="str">
        <f aca="false">IF(AK8=0,"",IF(AM8&lt;2,"",AQ8&amp;" to "&amp;AR8&amp;" on "&amp;TEXT(AO8,"dd/mm/yyyy")&amp;IF(AO8&gt;AsOfDate," (future)",IF(AT8=AU8,"",IF(AU8="None"," - STOPPED accruing",IF(AT8="None"," - commencement for Bonus Leave"," - pathway changed"))))&amp;IF(AM8&lt;3,"","; "&amp;AR8&amp;" to "&amp;AS8&amp;" on "&amp;TEXT(AP8,"dd/mm/yyyy")&amp;IF(AP8&gt;AsOfDate," (future)",IF(AU8=AV8,"",IF(AV8="None"," - STOPPED accruing",IF(AU8="None"," - commencement for Bonus Leave"," - pathway changed")))))))</f>
        <v/>
      </c>
      <c r="R8" s="16" t="str">
        <f aca="false">IF(AK8=0,"",IF(AW8="None",IF(O8&gt;0,"No longer accruing","Not eligible - "&amp;IF(AND(OR(ISNUMBER(SEARCH("part",$C8)),UPPER(TRIM($C8))="PT",UPPER(TRIM($C8))="PTE"),Apply2026="No"),"part-time (scheme is full-time only)",IF(AND(OR(ISNUMBER(SEARCH("part",$C8)),UPPER(TRIM($C8))="PT",UPPER(TRIM($C8))="PTE"),$P8&lt;&gt;"",N($P8)&lt;PT_MinHours),"under "&amp;PT_MinHours&amp;" hrs",IF(IF($C8="","",IF(OR(ISNUMBER(SEARCH("full",$C8)),UPPER(TRIM($C8))="FT",UPPER(TRIM($C8))="FTE"),"Full-Time",IF(OR(ISNUMBER(SEARCH("part",$C8)),UPPER(TRIM($C8))="PT",UPPER(TRIM($C8))="PTE"),"Part-Time",IF(OR(ISNUMBER(SEARCH("cas",$C8)),UPPER(TRIM($C8))="CAS"),"Casual","Unknown"))))="Unknown","type not recognised",$C8)))),IF(O8&gt;0,"Yes - Accrual Required","Not yet - from "&amp;TEXT(S8,"dd/mm/yyyy"))))</f>
        <v/>
      </c>
      <c r="S8" s="14" t="str">
        <f aca="false">IF(AK8=0,"",IF(AW8="None","",EDATE(AL8,BF8)))</f>
        <v/>
      </c>
      <c r="T8" s="17" t="str">
        <f aca="false">IF(AK8=0,"",IF(NOT(LH_Ready),"",IF($F8&gt;PFYDate,0,IF(LH_ColPeriod=0,W8-U8+V8,SUMIFS(INDEX(LH_Data,0,LH_ColAcc),INDEX(LH_Data,0,LH_ColFirst),$A8,INDEX(LH_Data,0,LH_ColSur),$B8,INDEX(LH_Data,0,LH_ColCat),BonusCat,INDEX(LH_Data,0,LH_ColPeriod),LH_OpenLabel)*UnitFactor))))</f>
        <v/>
      </c>
      <c r="U8" s="17" t="str">
        <f aca="false">IF(AK8=0,"",IF(NOT(LH_Ready),"",SUMIFS(INDEX(LH_Data,0,LH_ColAcc),INDEX(LH_Data,0,LH_ColFirst),$A8,INDEX(LH_Data,0,LH_ColSur),$B8,INDEX(LH_Data,0,LH_ColCat),BonusCat,INDEX(LH_Data,0,LH_ColStart),"&gt;="&amp;AL8)*UnitFactor))</f>
        <v/>
      </c>
      <c r="V8" s="17" t="str">
        <f aca="false">IF(AK8=0,"",IF(NOT(LH_Ready),"",SUMIFS(INDEX(LH_Data,0,LH_ColTaken),INDEX(LH_Data,0,LH_ColFirst),$A8,INDEX(LH_Data,0,LH_ColSur),$B8,INDEX(LH_Data,0,LH_ColCat),BonusCat,INDEX(LH_Data,0,LH_ColStart),"&gt;="&amp;AL8)*UnitFactor))</f>
        <v/>
      </c>
      <c r="W8" s="17" t="str">
        <f aca="false">IF(AK8=0,"",IF(NOT(LH_Ready),"",IF(BH8=0,0,INDEX(INDEX(LH_Data,0,LH_ColClose),BH8-1)*UnitFactor)))</f>
        <v/>
      </c>
      <c r="X8" s="17" t="str">
        <f aca="false">IF(AK8=0,"",(MAX(0,BD8-BQ8)-MAX(0,BE8-BQ8))*HoursPerDay)</f>
        <v/>
      </c>
      <c r="Y8" s="17" t="str">
        <f aca="false">IF(AK8=0,"",IF(NOT(LH_Ready),"",IF($AI8="Yes",N(AE8)*HoursPerDay-SUMIFS(INDEX(LH_Data,0,LH_ColAcc),INDEX(LH_Data,0,LH_ColFirst),$A8,INDEX(LH_Data,0,LH_ColSur),$B8,INDEX(LH_Data,0,LH_ColCat),BonusCat,INDEX(LH_Data,0,LH_ColStart),"&gt;="&amp;(EOMONTH(AsOfDate,-1)+1),INDEX(LH_Data,0,LH_ColStart),"&lt;="&amp;AsOfDate)*UnitFactor,IF(BG8=0,N8,N8-N(T8)-N(U8)))))</f>
        <v/>
      </c>
      <c r="Z8" s="16" t="str">
        <f aca="false">IF(OR(AK8=0,Y8=""),"",IF(Y8&gt;0,"Yes","No"))</f>
        <v/>
      </c>
      <c r="AA8" s="16" t="str">
        <f aca="false">IF(AK8=0,IF(LEN($A8&amp;$B8)=0,"","FIX INPUT - StartDate missing"),IF(AD8&lt;&gt;"","FIX INPUT - "&amp;AD8,IF(NOT(LH_Ready),"Paste Leave History export (Settings must show YES)",IF(AND($AI8="Yes",Y8&lt;=0),"OK - EH balance accepted to date"&amp;IF(N(AH8)&gt;0," (EH holds "&amp;AH8&amp;" hrs over the scheme)","")&amp;"; next day "&amp;TEXT(S8,"dd mmm yy")&amp;IF(N(AE8)&gt;0," ("&amp;AE8&amp;" day(s) for "&amp;UPPER(TEXT(AsOfDate,"mmm yyyy"))&amp;" already in EH)",""),IF(Y8&gt;0,"ACCRUE "&amp;ROUND(Y8,2)&amp;" hrs ("&amp;ROUND(Y8/HoursPerDay,2)&amp;" days): "&amp;IF(N(AE8)&gt;0,AE8&amp;" day(s) for "&amp;UPPER(TEXT(AsOfDate,"mmm yyyy"))&amp;" (milestone "&amp;UPPER(TEXT(AF8,"dd mmm yy"))&amp;")"&amp;IF(Y8/HoursPerDay&gt;AE8+0.001," + "&amp;ROUND(Y8/HoursPerDay-AE8,2)&amp;" day(s) catch-up from earlier months",""),"all catch-up from earlier months, nothing new this month")&amp;IF(BG8=0,"; no Bonus Leave in EH yet",""),IF(Y8&lt;0,"CHECK - EH accrued "&amp;ROUND(-Y8,2)&amp;" hrs more than policy since commencement",IF(N(W8)&gt;O8*HoursPerDay+0.01,"CHECK - EH balance "&amp;ROUND(W8-O8*HoursPerDay,2)&amp;" hrs more than policy entitlement",IF(O8&gt;0,"OK - nothing to add"&amp;IF(N(AE8)&gt;0," ("&amp;AE8&amp;" day(s) for "&amp;UPPER(TEXT(AsOfDate,"mmm yyyy"))&amp;" already in EH)",""),IF(AW8="None",R8,"Not yet - first day on "&amp;TEXT(S8,"dd/mm/yyyy"))))))))))</f>
        <v/>
      </c>
      <c r="AB8" s="17" t="str">
        <f aca="false">IF(OR(AK8=0,T8=""),"",MAX(0,BE8-BQ8)*HoursPerDay-T8)</f>
        <v/>
      </c>
      <c r="AC8" s="16" t="str">
        <f aca="false">IF(AK8=0,"",BG8)</f>
        <v/>
      </c>
      <c r="AD8" s="16" t="str">
        <f aca="false">IF(AK8=0,"",TRIM(IF(OR(ISTEXT($F8),ISTEXT($H8),ISTEXT($I8),ISTEXT($G8),ISTEXT($J8),ISTEXT($D8)),"A date is typed as text - retype it as dd/mm/yyyy. ","")&amp;IF(IF($C8="","",IF(OR(ISNUMBER(SEARCH("full",$C8)),UPPER(TRIM($C8))="FT",UPPER(TRIM($C8))="FTE"),"Full-Time",IF(OR(ISNUMBER(SEARCH("part",$C8)),UPPER(TRIM($C8))="PT",UPPER(TRIM($C8))="PTE"),"Part-Time",IF(OR(ISNUMBER(SEARCH("cas",$C8)),UPPER(TRIM($C8))="CAS"),"Casual","Unknown"))))="Unknown","EmploymentType not recognised - use Full-Time, Part-Time or Casual. ","")&amp;IF(AND(AM8&gt;=1,IF(AM8&gt;=3,AS8,IF(AM8=2,AR8,AQ8))&lt;&gt;IF($C8="","",IF(OR(ISNUMBER(SEARCH("full",$C8)),UPPER(TRIM($C8))="FT",UPPER(TRIM($C8))="FTE"),"Full-Time",IF(OR(ISNUMBER(SEARCH("part",$C8)),UPPER(TRIM($C8))="PT",UPPER(TRIM($C8))="PTE"),"Part-Time",IF(OR(ISNUMBER(SEARCH("cas",$C8)),UPPER(TRIM($C8))="CAS"),"Casual","Unknown"))))),"EmploymentType does not match latest start date ("&amp;IF(AM8&gt;=3,AS8,IF(AM8=2,AR8,AQ8))&amp;"). ","")&amp;IF(AND(AM8&gt;=1,AN8&lt;&gt;$F8),"Earliest type date should equal StartDate. ","")&amp;IF(AND(AM8&gt;=2,AN8=AO8),"Two types start on the same date. ","")&amp;IF(AND(OR(ISNUMBER(SEARCH("part",$C8)),UPPER(TRIM($C8))="PT",UPPER(TRIM($C8))="PTE"),$P8=""),"Part-time: enter PT Hrs/Week (blank = 24+). ","")))</f>
        <v/>
      </c>
      <c r="AE8" s="17" t="str">
        <f aca="false">IF(AK8=0,"",O8-MAX(0,BL8-BQ8))</f>
        <v/>
      </c>
      <c r="AF8" s="14" t="str">
        <f aca="false">IF(OR(AK8=0,AE8="",N(AE8)=0,BM8=""),"",EDATE(AL8,BM8))</f>
        <v/>
      </c>
      <c r="AG8" s="17" t="str">
        <f aca="false">IF(AK8=0,"",MIN(BD8,BQ8))</f>
        <v/>
      </c>
      <c r="AH8" s="17" t="str">
        <f aca="false">IF(AK8=0,"",IF(NOT(LH_Ready),"",IF(BG8=0,0,MAX(0,ROUND(N(T8)+N(U8)-N8,2)))))</f>
        <v/>
      </c>
      <c r="AI8" s="12"/>
      <c r="AJ8" s="12"/>
      <c r="AK8" s="16" t="n">
        <f aca="false">IF(OR(LEN($A8&amp;$B8)=0,$F8=""),0,1)</f>
        <v>0</v>
      </c>
      <c r="AL8" s="14" t="str">
        <f aca="false">IF(AK8=0,"",IF(PreSchemeCounts="No",MAX(SchemeStart,IF($J8&lt;&gt;"",$J8,IF(OR(CasualCounts="Yes",COUNT($G8:$I8)=0),$F8,IF(Apply2026="No",IF($I8="",$F8,$I8),IF(COUNT($H8:$I8)=0,$F8,MIN($H8:$I8)))))),IF($J8&lt;&gt;"",$J8,IF(OR(CasualCounts="Yes",COUNT($G8:$I8)=0),$F8,IF(Apply2026="No",IF($I8="",$F8,$I8),IF(COUNT($H8:$I8)=0,$F8,MIN($H8:$I8)))))))</f>
        <v/>
      </c>
      <c r="AM8" s="16" t="str">
        <f aca="false">IF(AK8=0,"",COUNT($G8:$I8))</f>
        <v/>
      </c>
      <c r="AN8" s="14" t="str">
        <f aca="false">IF(AK8=0,"",IFERROR(SMALL($G8:$I8,1),""))</f>
        <v/>
      </c>
      <c r="AO8" s="14" t="str">
        <f aca="false">IF(AK8=0,"",IFERROR(SMALL($G8:$I8,2),""))</f>
        <v/>
      </c>
      <c r="AP8" s="14" t="str">
        <f aca="false">IF(AK8=0,"",IFERROR(SMALL($G8:$I8,3),""))</f>
        <v/>
      </c>
      <c r="AQ8" s="16" t="str">
        <f aca="false">IF(AK8=0,"",IF(AN8="","",IF(AN8=$H8,"Part-Time",IF(AN8=$I8,"Full-Time","Casual"))))</f>
        <v/>
      </c>
      <c r="AR8" s="16" t="str">
        <f aca="false">IF(AK8=0,"",IF(AO8="","",IF(AO8=$H8,"Part-Time",IF(AO8=$I8,"Full-Time","Casual"))))</f>
        <v/>
      </c>
      <c r="AS8" s="16" t="str">
        <f aca="false">IF(AK8=0,"",IF(AP8="","",IF(AP8=$H8,"Part-Time",IF(AP8=$I8,"Full-Time","Casual"))))</f>
        <v/>
      </c>
      <c r="AT8" s="16" t="str">
        <f aca="false">IF(AK8=0,"",IF(AM8=0,IF(OR(ISNUMBER(SEARCH("full",$C8)),UPPER(TRIM($C8))="FT",UPPER(TRIM($C8))="FTE"),"FT",IF(AND(OR(ISNUMBER(SEARCH("part",$C8)),UPPER(TRIM($C8))="PT",UPPER(TRIM($C8))="PTE"),Apply2026="Yes",OR($P8="",N($P8)&gt;=PT_MinHours)),"PT","None")),IF(OR(ISNUMBER(SEARCH("full",AQ8)),UPPER(TRIM(AQ8))="FT",UPPER(TRIM(AQ8))="FTE"),"FT",IF(AND(OR(ISNUMBER(SEARCH("part",AQ8)),UPPER(TRIM(AQ8))="PT",UPPER(TRIM(AQ8))="PTE"),Apply2026="Yes",OR($P8="",N($P8)&gt;=PT_MinHours)),"PT","None"))))</f>
        <v/>
      </c>
      <c r="AU8" s="16" t="str">
        <f aca="false">IF(AK8=0,"",IF(AM8&lt;2,"",IF(OR(ISNUMBER(SEARCH("full",AR8)),UPPER(TRIM(AR8))="FT",UPPER(TRIM(AR8))="FTE"),"FT",IF(AND(OR(ISNUMBER(SEARCH("part",AR8)),UPPER(TRIM(AR8))="PT",UPPER(TRIM(AR8))="PTE"),Apply2026="Yes",OR($P8="",N($P8)&gt;=PT_MinHours)),"PT","None"))))</f>
        <v/>
      </c>
      <c r="AV8" s="16" t="str">
        <f aca="false">IF(AK8=0,"",IF(AM8&lt;3,"",IF(OR(ISNUMBER(SEARCH("full",AS8)),UPPER(TRIM(AS8))="FT",UPPER(TRIM(AS8))="FTE"),"FT",IF(AND(OR(ISNUMBER(SEARCH("part",AS8)),UPPER(TRIM(AS8))="PT",UPPER(TRIM(AS8))="PTE"),Apply2026="Yes",OR($P8="",N($P8)&gt;=PT_MinHours)),"PT","None"))))</f>
        <v/>
      </c>
      <c r="AW8" s="16" t="str">
        <f aca="false">IF(AK8=0,"",IF(AND(AM8&gt;=3,AP8&lt;=AsOfDate),AV8,IF(AND(AM8&gt;=2,AO8&lt;=AsOfDate),AU8,AT8)))</f>
        <v/>
      </c>
      <c r="AX8" s="16" t="str">
        <f aca="false">IF(AK8=0,"",IF(AsOfDate&lt;AL8,-1,12*(YEAR(AsOfDate)-YEAR(AL8))+MONTH(AsOfDate)-MONTH(AL8)-IF(DAY(AsOfDate)&lt;MIN(DAY(AL8),DAY(EOMONTH(AsOfDate,0))),1,0)))</f>
        <v/>
      </c>
      <c r="AY8" s="16" t="str">
        <f aca="false">IF(AK8=0,"",IF(OR(AM8&lt;2,AO8&gt;AsOfDate),AX8,IF((AO8-1)&lt;AL8,-1,12*(YEAR((AO8-1))-YEAR(AL8))+MONTH((AO8-1))-MONTH(AL8)-IF(DAY((AO8-1))&lt;MIN(DAY(AL8),DAY(EOMONTH((AO8-1),0))),1,0))))</f>
        <v/>
      </c>
      <c r="AZ8" s="16" t="str">
        <f aca="false">IF(AK8=0,"",IF(OR(AM8&lt;3,AP8&gt;AsOfDate),AX8,IF((AP8-1)&lt;AL8,-1,12*(YEAR((AP8-1))-YEAR(AL8))+MONTH((AP8-1))-MONTH(AL8)-IF(DAY((AP8-1))&lt;MIN(DAY(AL8),DAY(EOMONTH((AP8-1),0))),1,0))))</f>
        <v/>
      </c>
      <c r="BA8" s="16" t="str">
        <f aca="false">IF(AK8=0,"",IF(PFYDate&lt;AL8,-1,12*(YEAR(PFYDate)-YEAR(AL8))+MONTH(PFYDate)-MONTH(AL8)-IF(DAY(PFYDate)&lt;MIN(DAY(AL8),DAY(EOMONTH(PFYDate,0))),1,0)))</f>
        <v/>
      </c>
      <c r="BB8" s="16" t="str">
        <f aca="false">IF(AK8=0,"",IF(OR(AM8&lt;2,AO8&gt;PFYDate),BA8,IF((AO8-1)&lt;AL8,-1,12*(YEAR((AO8-1))-YEAR(AL8))+MONTH((AO8-1))-MONTH(AL8)-IF(DAY((AO8-1))&lt;MIN(DAY(AL8),DAY(EOMONTH((AO8-1),0))),1,0))))</f>
        <v/>
      </c>
      <c r="BC8" s="16" t="str">
        <f aca="false">IF(AK8=0,"",IF(OR(AM8&lt;3,AP8&gt;PFYDate),BA8,IF((AP8-1)&lt;AL8,-1,12*(YEAR((AP8-1))-YEAR(AL8))+MONTH((AP8-1))-MONTH(AL8)-IF(DAY((AP8-1))&lt;MIN(DAY(AL8),DAY(EOMONTH((AP8-1),0))),1,0))))</f>
        <v/>
      </c>
      <c r="BD8" s="16" t="str">
        <f aca="false">IF(AK8=0,"",IF(AT8="FT",IF(AY8&lt;FT_First,0,IF(AY8&lt;FT_Y5,1+INT((AY8-FT_First)/FT_Int1),FT_PreY5+FT_PerYear*INT((AY8-FT_Y5)/12)+FT_AnnivDays+INT(MOD(AY8-FT_Y5,12)/FT_Int2)-IF(EDATE(AL8,FT_Y5)&lt;PolicyEff,FT_AnnivDays-1,0))),IF(AT8="PT",IF(AY8&lt;PT_First,0,1+INT((AY8-PT_First)/PT_Int)),0))+IF(AND(AM8&gt;=2,AO8&lt;=AsOfDate),IF(AU8="FT",IF(AZ8&lt;FT_First,0,IF(AZ8&lt;FT_Y5,1+INT((AZ8-FT_First)/FT_Int1),FT_PreY5+FT_PerYear*INT((AZ8-FT_Y5)/12)+FT_AnnivDays+INT(MOD(AZ8-FT_Y5,12)/FT_Int2)-IF(EDATE(AL8,FT_Y5)&lt;PolicyEff,FT_AnnivDays-1,0))),IF(AU8="PT",IF(AZ8&lt;PT_First,0,1+INT((AZ8-PT_First)/PT_Int)),0))-IF(AU8="FT",IF(AY8&lt;FT_First,0,IF(AY8&lt;FT_Y5,1+INT((AY8-FT_First)/FT_Int1),FT_PreY5+FT_PerYear*INT((AY8-FT_Y5)/12)+FT_AnnivDays+INT(MOD(AY8-FT_Y5,12)/FT_Int2)-IF(EDATE(AL8,FT_Y5)&lt;PolicyEff,FT_AnnivDays-1,0))),IF(AU8="PT",IF(AY8&lt;PT_First,0,1+INT((AY8-PT_First)/PT_Int)),0)),0)+IF(AND(AM8&gt;=3,AP8&lt;=AsOfDate),IF(AV8="FT",IF(AX8&lt;FT_First,0,IF(AX8&lt;FT_Y5,1+INT((AX8-FT_First)/FT_Int1),FT_PreY5+FT_PerYear*INT((AX8-FT_Y5)/12)+FT_AnnivDays+INT(MOD(AX8-FT_Y5,12)/FT_Int2)-IF(EDATE(AL8,FT_Y5)&lt;PolicyEff,FT_AnnivDays-1,0))),IF(AV8="PT",IF(AX8&lt;PT_First,0,1+INT((AX8-PT_First)/PT_Int)),0))-IF(AV8="FT",IF(AZ8&lt;FT_First,0,IF(AZ8&lt;FT_Y5,1+INT((AZ8-FT_First)/FT_Int1),FT_PreY5+FT_PerYear*INT((AZ8-FT_Y5)/12)+FT_AnnivDays+INT(MOD(AZ8-FT_Y5,12)/FT_Int2)-IF(EDATE(AL8,FT_Y5)&lt;PolicyEff,FT_AnnivDays-1,0))),IF(AV8="PT",IF(AZ8&lt;PT_First,0,1+INT((AZ8-PT_First)/PT_Int)),0)),0))</f>
        <v/>
      </c>
      <c r="BE8" s="16" t="str">
        <f aca="false">IF(AK8=0,"",IF(AT8="FT",IF(BB8&lt;FT_First,0,IF(BB8&lt;FT_Y5,1+INT((BB8-FT_First)/FT_Int1),FT_PreY5+FT_PerYear*INT((BB8-FT_Y5)/12)+FT_AnnivDays+INT(MOD(BB8-FT_Y5,12)/FT_Int2)-IF(EDATE(AL8,FT_Y5)&lt;PolicyEff,FT_AnnivDays-1,0))),IF(AT8="PT",IF(BB8&lt;PT_First,0,1+INT((BB8-PT_First)/PT_Int)),0))+IF(AND(AM8&gt;=2,AO8&lt;=PFYDate),IF(AU8="FT",IF(BC8&lt;FT_First,0,IF(BC8&lt;FT_Y5,1+INT((BC8-FT_First)/FT_Int1),FT_PreY5+FT_PerYear*INT((BC8-FT_Y5)/12)+FT_AnnivDays+INT(MOD(BC8-FT_Y5,12)/FT_Int2)-IF(EDATE(AL8,FT_Y5)&lt;PolicyEff,FT_AnnivDays-1,0))),IF(AU8="PT",IF(BC8&lt;PT_First,0,1+INT((BC8-PT_First)/PT_Int)),0))-IF(AU8="FT",IF(BB8&lt;FT_First,0,IF(BB8&lt;FT_Y5,1+INT((BB8-FT_First)/FT_Int1),FT_PreY5+FT_PerYear*INT((BB8-FT_Y5)/12)+FT_AnnivDays+INT(MOD(BB8-FT_Y5,12)/FT_Int2)-IF(EDATE(AL8,FT_Y5)&lt;PolicyEff,FT_AnnivDays-1,0))),IF(AU8="PT",IF(BB8&lt;PT_First,0,1+INT((BB8-PT_First)/PT_Int)),0)),0)+IF(AND(AM8&gt;=3,AP8&lt;=PFYDate),IF(AV8="FT",IF(BA8&lt;FT_First,0,IF(BA8&lt;FT_Y5,1+INT((BA8-FT_First)/FT_Int1),FT_PreY5+FT_PerYear*INT((BA8-FT_Y5)/12)+FT_AnnivDays+INT(MOD(BA8-FT_Y5,12)/FT_Int2)-IF(EDATE(AL8,FT_Y5)&lt;PolicyEff,FT_AnnivDays-1,0))),IF(AV8="PT",IF(BA8&lt;PT_First,0,1+INT((BA8-PT_First)/PT_Int)),0))-IF(AV8="FT",IF(BC8&lt;FT_First,0,IF(BC8&lt;FT_Y5,1+INT((BC8-FT_First)/FT_Int1),FT_PreY5+FT_PerYear*INT((BC8-FT_Y5)/12)+FT_AnnivDays+INT(MOD(BC8-FT_Y5,12)/FT_Int2)-IF(EDATE(AL8,FT_Y5)&lt;PolicyEff,FT_AnnivDays-1,0))),IF(AV8="PT",IF(BC8&lt;PT_First,0,1+INT((BC8-PT_First)/PT_Int)),0)),0))</f>
        <v/>
      </c>
      <c r="BF8" s="16" t="str">
        <f aca="false">IF(AK8=0,"",IF(AW8="FT",IF(AX8&lt;FT_First,FT_First,IF(AX8&lt;FT_Y5,MIN(FT_Y5,FT_First+FT_Int1*(INT((AX8-FT_First)/FT_Int1)+1)),FT_Y5+12*INT((AX8-FT_Y5)/12)+FT_Int2*(INT(MOD(AX8-FT_Y5,12)/FT_Int2)+1))),IF(AW8="PT",IF(AX8&lt;PT_First,PT_First,PT_First+PT_Int*(INT((AX8-PT_First)/PT_Int)+1)),"")))</f>
        <v/>
      </c>
      <c r="BG8" s="16" t="str">
        <f aca="false">IF(AK8=0,"",IF(NOT(LH_Ready),0,COUNTIFS(INDEX(LH_Data,0,LH_ColFirst),$A8,INDEX(LH_Data,0,LH_ColSur),$B8,INDEX(LH_Data,0,LH_ColCat),BonusCat)))</f>
        <v/>
      </c>
      <c r="BH8" s="16" t="str">
        <f aca="false">IF(AK8=0,"",IF(OR(NOT(LH_Ready),BG8=0),0,SUMPRODUCT(MAX((INDEX(LH_Data,0,LH_ColFirst)=$A8)*(INDEX(LH_Data,0,LH_ColSur)=$B8)*(INDEX(LH_Data,0,LH_ColCat)=BonusCat)*ROW(LH_Data)))))</f>
        <v/>
      </c>
      <c r="BI8" s="16" t="str">
        <f aca="false">IF(AK8=0,"",IF(EOMONTH(AsOfDate,-1)&lt;AL8,-1,12*(YEAR(EOMONTH(AsOfDate,-1))-YEAR(AL8))+MONTH(EOMONTH(AsOfDate,-1))-MONTH(AL8)-IF(DAY(EOMONTH(AsOfDate,-1))&lt;MIN(DAY(AL8),DAY(EOMONTH(EOMONTH(AsOfDate,-1),0))),1,0)))</f>
        <v/>
      </c>
      <c r="BJ8" s="16" t="str">
        <f aca="false">IF(AK8=0,"",IF(OR(AM8&lt;2,AO8&gt;EOMONTH(AsOfDate,-1)),BI8,IF((AO8-1)&lt;AL8,-1,12*(YEAR((AO8-1))-YEAR(AL8))+MONTH((AO8-1))-MONTH(AL8)-IF(DAY((AO8-1))&lt;MIN(DAY(AL8),DAY(EOMONTH((AO8-1),0))),1,0))))</f>
        <v/>
      </c>
      <c r="BK8" s="16" t="str">
        <f aca="false">IF(AK8=0,"",IF(OR(AM8&lt;3,AP8&gt;EOMONTH(AsOfDate,-1)),BI8,IF((AP8-1)&lt;AL8,-1,12*(YEAR((AP8-1))-YEAR(AL8))+MONTH((AP8-1))-MONTH(AL8)-IF(DAY((AP8-1))&lt;MIN(DAY(AL8),DAY(EOMONTH((AP8-1),0))),1,0))))</f>
        <v/>
      </c>
      <c r="BL8" s="16" t="str">
        <f aca="false">IF(AK8=0,"",IF(AT8="FT",IF(BJ8&lt;FT_First,0,IF(BJ8&lt;FT_Y5,1+INT((BJ8-FT_First)/FT_Int1),FT_PreY5+FT_PerYear*INT((BJ8-FT_Y5)/12)+FT_AnnivDays+INT(MOD(BJ8-FT_Y5,12)/FT_Int2)-IF(EDATE(AL8,FT_Y5)&lt;PolicyEff,FT_AnnivDays-1,0))),IF(AT8="PT",IF(BJ8&lt;PT_First,0,1+INT((BJ8-PT_First)/PT_Int)),0))+IF(AND(AM8&gt;=2,AO8&lt;=EOMONTH(AsOfDate,-1)),IF(AU8="FT",IF(BK8&lt;FT_First,0,IF(BK8&lt;FT_Y5,1+INT((BK8-FT_First)/FT_Int1),FT_PreY5+FT_PerYear*INT((BK8-FT_Y5)/12)+FT_AnnivDays+INT(MOD(BK8-FT_Y5,12)/FT_Int2)-IF(EDATE(AL8,FT_Y5)&lt;PolicyEff,FT_AnnivDays-1,0))),IF(AU8="PT",IF(BK8&lt;PT_First,0,1+INT((BK8-PT_First)/PT_Int)),0))-IF(AU8="FT",IF(BJ8&lt;FT_First,0,IF(BJ8&lt;FT_Y5,1+INT((BJ8-FT_First)/FT_Int1),FT_PreY5+FT_PerYear*INT((BJ8-FT_Y5)/12)+FT_AnnivDays+INT(MOD(BJ8-FT_Y5,12)/FT_Int2)-IF(EDATE(AL8,FT_Y5)&lt;PolicyEff,FT_AnnivDays-1,0))),IF(AU8="PT",IF(BJ8&lt;PT_First,0,1+INT((BJ8-PT_First)/PT_Int)),0)),0)+IF(AND(AM8&gt;=3,AP8&lt;=EOMONTH(AsOfDate,-1)),IF(AV8="FT",IF(BI8&lt;FT_First,0,IF(BI8&lt;FT_Y5,1+INT((BI8-FT_First)/FT_Int1),FT_PreY5+FT_PerYear*INT((BI8-FT_Y5)/12)+FT_AnnivDays+INT(MOD(BI8-FT_Y5,12)/FT_Int2)-IF(EDATE(AL8,FT_Y5)&lt;PolicyEff,FT_AnnivDays-1,0))),IF(AV8="PT",IF(BI8&lt;PT_First,0,1+INT((BI8-PT_First)/PT_Int)),0))-IF(AV8="FT",IF(BK8&lt;FT_First,0,IF(BK8&lt;FT_Y5,1+INT((BK8-FT_First)/FT_Int1),FT_PreY5+FT_PerYear*INT((BK8-FT_Y5)/12)+FT_AnnivDays+INT(MOD(BK8-FT_Y5,12)/FT_Int2)-IF(EDATE(AL8,FT_Y5)&lt;PolicyEff,FT_AnnivDays-1,0))),IF(AV8="PT",IF(BK8&lt;PT_First,0,1+INT((BK8-PT_First)/PT_Int)),0)),0))</f>
        <v/>
      </c>
      <c r="BM8" s="16" t="str">
        <f aca="false">IF(AK8=0,"",IF(AW8="FT",IF(AX8&lt;FT_First,"",IF(AX8&lt;FT_Y5,FT_First+FT_Int1*INT((AX8-FT_First)/FT_Int1),FT_Y5+FT_Int2*INT((AX8-FT_Y5)/FT_Int2))),IF(AW8="PT",IF(AX8&lt;PT_First,"",PT_First+PT_Int*INT((AX8-PT_First)/PT_Int)),"")))</f>
        <v/>
      </c>
      <c r="BN8" s="16" t="str">
        <f aca="false">IF(AK8=0,"",IF((SchemeStart-1)&lt;AL8,-1,12*(YEAR((SchemeStart-1))-YEAR(AL8))+MONTH((SchemeStart-1))-MONTH(AL8)-IF(DAY((SchemeStart-1))&lt;MIN(DAY(AL8),DAY(EOMONTH((SchemeStart-1),0))),1,0)))</f>
        <v/>
      </c>
      <c r="BO8" s="16" t="str">
        <f aca="false">IF(AK8=0,"",IF(OR(AM8&lt;2,AO8&gt;(SchemeStart-1)),BN8,IF((AO8-1)&lt;AL8,-1,12*(YEAR((AO8-1))-YEAR(AL8))+MONTH((AO8-1))-MONTH(AL8)-IF(DAY((AO8-1))&lt;MIN(DAY(AL8),DAY(EOMONTH((AO8-1),0))),1,0))))</f>
        <v/>
      </c>
      <c r="BP8" s="16" t="str">
        <f aca="false">IF(AK8=0,"",IF(OR(AM8&lt;3,AP8&gt;(SchemeStart-1)),BN8,IF((AP8-1)&lt;AL8,-1,12*(YEAR((AP8-1))-YEAR(AL8))+MONTH((AP8-1))-MONTH(AL8)-IF(DAY((AP8-1))&lt;MIN(DAY(AL8),DAY(EOMONTH((AP8-1),0))),1,0))))</f>
        <v/>
      </c>
      <c r="BQ8" s="16" t="str">
        <f aca="false">IF(AK8=0,"",IF(AT8="FT",IF(BO8&lt;FT_First,0,IF(BO8&lt;FT_Y5,1+INT((BO8-FT_First)/FT_Int1),FT_PreY5+FT_PerYear*INT((BO8-FT_Y5)/12)+FT_AnnivDays+INT(MOD(BO8-FT_Y5,12)/FT_Int2)-IF(EDATE(AL8,FT_Y5)&lt;PolicyEff,FT_AnnivDays-1,0))),IF(AT8="PT",IF(BO8&lt;PT_First,0,1+INT((BO8-PT_First)/PT_Int)),0))+IF(AND(AM8&gt;=2,AO8&lt;=(SchemeStart-1)),IF(AU8="FT",IF(BP8&lt;FT_First,0,IF(BP8&lt;FT_Y5,1+INT((BP8-FT_First)/FT_Int1),FT_PreY5+FT_PerYear*INT((BP8-FT_Y5)/12)+FT_AnnivDays+INT(MOD(BP8-FT_Y5,12)/FT_Int2)-IF(EDATE(AL8,FT_Y5)&lt;PolicyEff,FT_AnnivDays-1,0))),IF(AU8="PT",IF(BP8&lt;PT_First,0,1+INT((BP8-PT_First)/PT_Int)),0))-IF(AU8="FT",IF(BO8&lt;FT_First,0,IF(BO8&lt;FT_Y5,1+INT((BO8-FT_First)/FT_Int1),FT_PreY5+FT_PerYear*INT((BO8-FT_Y5)/12)+FT_AnnivDays+INT(MOD(BO8-FT_Y5,12)/FT_Int2)-IF(EDATE(AL8,FT_Y5)&lt;PolicyEff,FT_AnnivDays-1,0))),IF(AU8="PT",IF(BO8&lt;PT_First,0,1+INT((BO8-PT_First)/PT_Int)),0)),0)+IF(AND(AM8&gt;=3,AP8&lt;=(SchemeStart-1)),IF(AV8="FT",IF(BN8&lt;FT_First,0,IF(BN8&lt;FT_Y5,1+INT((BN8-FT_First)/FT_Int1),FT_PreY5+FT_PerYear*INT((BN8-FT_Y5)/12)+FT_AnnivDays+INT(MOD(BN8-FT_Y5,12)/FT_Int2)-IF(EDATE(AL8,FT_Y5)&lt;PolicyEff,FT_AnnivDays-1,0))),IF(AV8="PT",IF(BN8&lt;PT_First,0,1+INT((BN8-PT_First)/PT_Int)),0))-IF(AV8="FT",IF(BP8&lt;FT_First,0,IF(BP8&lt;FT_Y5,1+INT((BP8-FT_First)/FT_Int1),FT_PreY5+FT_PerYear*INT((BP8-FT_Y5)/12)+FT_AnnivDays+INT(MOD(BP8-FT_Y5,12)/FT_Int2)-IF(EDATE(AL8,FT_Y5)&lt;PolicyEff,FT_AnnivDays-1,0))),IF(AV8="PT",IF(BP8&lt;PT_First,0,1+INT((BP8-PT_First)/PT_Int)),0)),0))</f>
        <v/>
      </c>
      <c r="BR8" s="0" t="str">
        <f aca="false">IF(LEN($A8&amp;$B8)=0,"",$A8&amp;" "&amp;$B8)</f>
        <v/>
      </c>
    </row>
    <row r="9" customFormat="false" ht="15" hidden="false" customHeight="false" outlineLevel="0" collapsed="false">
      <c r="A9" s="12"/>
      <c r="B9" s="12"/>
      <c r="C9" s="12"/>
      <c r="D9" s="13"/>
      <c r="E9" s="14" t="str">
        <f aca="false">IF(OR(AK9=0,$D9=""),"",DATE(YEAR(AsOfDate)+IF(DATE(YEAR(AsOfDate),MONTH($D9),DAY($D9))&lt;=AsOfDate,1,0),MONTH($D9),DAY($D9)))</f>
        <v/>
      </c>
      <c r="F9" s="13"/>
      <c r="G9" s="13"/>
      <c r="H9" s="13"/>
      <c r="I9" s="13"/>
      <c r="J9" s="13"/>
      <c r="K9" s="14" t="str">
        <f aca="false">IF(AK9=0,"",DATE(YEAR(AsOfDate)+IF(DATE(YEAR(AsOfDate),MONTH(AL9),DAY(AL9))&lt;=AsOfDate,1,0),MONTH(AL9),DAY(AL9)))</f>
        <v/>
      </c>
      <c r="L9" s="15" t="str">
        <f aca="false">IF(AK9=0,"",ROUND((AsOfDate-AL9)/365.25,1))</f>
        <v/>
      </c>
      <c r="M9" s="16" t="str">
        <f aca="false">IF(AK9=0,"",IF(AsOfDate&lt;AL9,"-",DATEDIF(AL9,AsOfDate,"y")&amp;"y "&amp;DATEDIF(AL9,AsOfDate,"ym")&amp;"m "&amp;DATEDIF(AL9,AsOfDate,"md")&amp;"d"))</f>
        <v/>
      </c>
      <c r="N9" s="17" t="str">
        <f aca="false">IF(AK9=0,"",O9*HoursPerDay)</f>
        <v/>
      </c>
      <c r="O9" s="17" t="str">
        <f aca="false">IF(AK9=0,"",MAX(0,BD9-BQ9))</f>
        <v/>
      </c>
      <c r="P9" s="18"/>
      <c r="Q9" s="16" t="str">
        <f aca="false">IF(AK9=0,"",IF(AM9&lt;2,"",AQ9&amp;" to "&amp;AR9&amp;" on "&amp;TEXT(AO9,"dd/mm/yyyy")&amp;IF(AO9&gt;AsOfDate," (future)",IF(AT9=AU9,"",IF(AU9="None"," - STOPPED accruing",IF(AT9="None"," - commencement for Bonus Leave"," - pathway changed"))))&amp;IF(AM9&lt;3,"","; "&amp;AR9&amp;" to "&amp;AS9&amp;" on "&amp;TEXT(AP9,"dd/mm/yyyy")&amp;IF(AP9&gt;AsOfDate," (future)",IF(AU9=AV9,"",IF(AV9="None"," - STOPPED accruing",IF(AU9="None"," - commencement for Bonus Leave"," - pathway changed")))))))</f>
        <v/>
      </c>
      <c r="R9" s="16" t="str">
        <f aca="false">IF(AK9=0,"",IF(AW9="None",IF(O9&gt;0,"No longer accruing","Not eligible - "&amp;IF(AND(OR(ISNUMBER(SEARCH("part",$C9)),UPPER(TRIM($C9))="PT",UPPER(TRIM($C9))="PTE"),Apply2026="No"),"part-time (scheme is full-time only)",IF(AND(OR(ISNUMBER(SEARCH("part",$C9)),UPPER(TRIM($C9))="PT",UPPER(TRIM($C9))="PTE"),$P9&lt;&gt;"",N($P9)&lt;PT_MinHours),"under "&amp;PT_MinHours&amp;" hrs",IF(IF($C9="","",IF(OR(ISNUMBER(SEARCH("full",$C9)),UPPER(TRIM($C9))="FT",UPPER(TRIM($C9))="FTE"),"Full-Time",IF(OR(ISNUMBER(SEARCH("part",$C9)),UPPER(TRIM($C9))="PT",UPPER(TRIM($C9))="PTE"),"Part-Time",IF(OR(ISNUMBER(SEARCH("cas",$C9)),UPPER(TRIM($C9))="CAS"),"Casual","Unknown"))))="Unknown","type not recognised",$C9)))),IF(O9&gt;0,"Yes - Accrual Required","Not yet - from "&amp;TEXT(S9,"dd/mm/yyyy"))))</f>
        <v/>
      </c>
      <c r="S9" s="14" t="str">
        <f aca="false">IF(AK9=0,"",IF(AW9="None","",EDATE(AL9,BF9)))</f>
        <v/>
      </c>
      <c r="T9" s="17" t="str">
        <f aca="false">IF(AK9=0,"",IF(NOT(LH_Ready),"",IF($F9&gt;PFYDate,0,IF(LH_ColPeriod=0,W9-U9+V9,SUMIFS(INDEX(LH_Data,0,LH_ColAcc),INDEX(LH_Data,0,LH_ColFirst),$A9,INDEX(LH_Data,0,LH_ColSur),$B9,INDEX(LH_Data,0,LH_ColCat),BonusCat,INDEX(LH_Data,0,LH_ColPeriod),LH_OpenLabel)*UnitFactor))))</f>
        <v/>
      </c>
      <c r="U9" s="17" t="str">
        <f aca="false">IF(AK9=0,"",IF(NOT(LH_Ready),"",SUMIFS(INDEX(LH_Data,0,LH_ColAcc),INDEX(LH_Data,0,LH_ColFirst),$A9,INDEX(LH_Data,0,LH_ColSur),$B9,INDEX(LH_Data,0,LH_ColCat),BonusCat,INDEX(LH_Data,0,LH_ColStart),"&gt;="&amp;AL9)*UnitFactor))</f>
        <v/>
      </c>
      <c r="V9" s="17" t="str">
        <f aca="false">IF(AK9=0,"",IF(NOT(LH_Ready),"",SUMIFS(INDEX(LH_Data,0,LH_ColTaken),INDEX(LH_Data,0,LH_ColFirst),$A9,INDEX(LH_Data,0,LH_ColSur),$B9,INDEX(LH_Data,0,LH_ColCat),BonusCat,INDEX(LH_Data,0,LH_ColStart),"&gt;="&amp;AL9)*UnitFactor))</f>
        <v/>
      </c>
      <c r="W9" s="17" t="str">
        <f aca="false">IF(AK9=0,"",IF(NOT(LH_Ready),"",IF(BH9=0,0,INDEX(INDEX(LH_Data,0,LH_ColClose),BH9-1)*UnitFactor)))</f>
        <v/>
      </c>
      <c r="X9" s="17" t="str">
        <f aca="false">IF(AK9=0,"",(MAX(0,BD9-BQ9)-MAX(0,BE9-BQ9))*HoursPerDay)</f>
        <v/>
      </c>
      <c r="Y9" s="17" t="str">
        <f aca="false">IF(AK9=0,"",IF(NOT(LH_Ready),"",IF($AI9="Yes",N(AE9)*HoursPerDay-SUMIFS(INDEX(LH_Data,0,LH_ColAcc),INDEX(LH_Data,0,LH_ColFirst),$A9,INDEX(LH_Data,0,LH_ColSur),$B9,INDEX(LH_Data,0,LH_ColCat),BonusCat,INDEX(LH_Data,0,LH_ColStart),"&gt;="&amp;(EOMONTH(AsOfDate,-1)+1),INDEX(LH_Data,0,LH_ColStart),"&lt;="&amp;AsOfDate)*UnitFactor,IF(BG9=0,N9,N9-N(T9)-N(U9)))))</f>
        <v/>
      </c>
      <c r="Z9" s="16" t="str">
        <f aca="false">IF(OR(AK9=0,Y9=""),"",IF(Y9&gt;0,"Yes","No"))</f>
        <v/>
      </c>
      <c r="AA9" s="16" t="str">
        <f aca="false">IF(AK9=0,IF(LEN($A9&amp;$B9)=0,"","FIX INPUT - StartDate missing"),IF(AD9&lt;&gt;"","FIX INPUT - "&amp;AD9,IF(NOT(LH_Ready),"Paste Leave History export (Settings must show YES)",IF(AND($AI9="Yes",Y9&lt;=0),"OK - EH balance accepted to date"&amp;IF(N(AH9)&gt;0," (EH holds "&amp;AH9&amp;" hrs over the scheme)","")&amp;"; next day "&amp;TEXT(S9,"dd mmm yy")&amp;IF(N(AE9)&gt;0," ("&amp;AE9&amp;" day(s) for "&amp;UPPER(TEXT(AsOfDate,"mmm yyyy"))&amp;" already in EH)",""),IF(Y9&gt;0,"ACCRUE "&amp;ROUND(Y9,2)&amp;" hrs ("&amp;ROUND(Y9/HoursPerDay,2)&amp;" days): "&amp;IF(N(AE9)&gt;0,AE9&amp;" day(s) for "&amp;UPPER(TEXT(AsOfDate,"mmm yyyy"))&amp;" (milestone "&amp;UPPER(TEXT(AF9,"dd mmm yy"))&amp;")"&amp;IF(Y9/HoursPerDay&gt;AE9+0.001," + "&amp;ROUND(Y9/HoursPerDay-AE9,2)&amp;" day(s) catch-up from earlier months",""),"all catch-up from earlier months, nothing new this month")&amp;IF(BG9=0,"; no Bonus Leave in EH yet",""),IF(Y9&lt;0,"CHECK - EH accrued "&amp;ROUND(-Y9,2)&amp;" hrs more than policy since commencement",IF(N(W9)&gt;O9*HoursPerDay+0.01,"CHECK - EH balance "&amp;ROUND(W9-O9*HoursPerDay,2)&amp;" hrs more than policy entitlement",IF(O9&gt;0,"OK - nothing to add"&amp;IF(N(AE9)&gt;0," ("&amp;AE9&amp;" day(s) for "&amp;UPPER(TEXT(AsOfDate,"mmm yyyy"))&amp;" already in EH)",""),IF(AW9="None",R9,"Not yet - first day on "&amp;TEXT(S9,"dd/mm/yyyy"))))))))))</f>
        <v/>
      </c>
      <c r="AB9" s="17" t="str">
        <f aca="false">IF(OR(AK9=0,T9=""),"",MAX(0,BE9-BQ9)*HoursPerDay-T9)</f>
        <v/>
      </c>
      <c r="AC9" s="16" t="str">
        <f aca="false">IF(AK9=0,"",BG9)</f>
        <v/>
      </c>
      <c r="AD9" s="16" t="str">
        <f aca="false">IF(AK9=0,"",TRIM(IF(OR(ISTEXT($F9),ISTEXT($H9),ISTEXT($I9),ISTEXT($G9),ISTEXT($J9),ISTEXT($D9)),"A date is typed as text - retype it as dd/mm/yyyy. ","")&amp;IF(IF($C9="","",IF(OR(ISNUMBER(SEARCH("full",$C9)),UPPER(TRIM($C9))="FT",UPPER(TRIM($C9))="FTE"),"Full-Time",IF(OR(ISNUMBER(SEARCH("part",$C9)),UPPER(TRIM($C9))="PT",UPPER(TRIM($C9))="PTE"),"Part-Time",IF(OR(ISNUMBER(SEARCH("cas",$C9)),UPPER(TRIM($C9))="CAS"),"Casual","Unknown"))))="Unknown","EmploymentType not recognised - use Full-Time, Part-Time or Casual. ","")&amp;IF(AND(AM9&gt;=1,IF(AM9&gt;=3,AS9,IF(AM9=2,AR9,AQ9))&lt;&gt;IF($C9="","",IF(OR(ISNUMBER(SEARCH("full",$C9)),UPPER(TRIM($C9))="FT",UPPER(TRIM($C9))="FTE"),"Full-Time",IF(OR(ISNUMBER(SEARCH("part",$C9)),UPPER(TRIM($C9))="PT",UPPER(TRIM($C9))="PTE"),"Part-Time",IF(OR(ISNUMBER(SEARCH("cas",$C9)),UPPER(TRIM($C9))="CAS"),"Casual","Unknown"))))),"EmploymentType does not match latest start date ("&amp;IF(AM9&gt;=3,AS9,IF(AM9=2,AR9,AQ9))&amp;"). ","")&amp;IF(AND(AM9&gt;=1,AN9&lt;&gt;$F9),"Earliest type date should equal StartDate. ","")&amp;IF(AND(AM9&gt;=2,AN9=AO9),"Two types start on the same date. ","")&amp;IF(AND(OR(ISNUMBER(SEARCH("part",$C9)),UPPER(TRIM($C9))="PT",UPPER(TRIM($C9))="PTE"),$P9=""),"Part-time: enter PT Hrs/Week (blank = 24+). ","")))</f>
        <v/>
      </c>
      <c r="AE9" s="17" t="str">
        <f aca="false">IF(AK9=0,"",O9-MAX(0,BL9-BQ9))</f>
        <v/>
      </c>
      <c r="AF9" s="14" t="str">
        <f aca="false">IF(OR(AK9=0,AE9="",N(AE9)=0,BM9=""),"",EDATE(AL9,BM9))</f>
        <v/>
      </c>
      <c r="AG9" s="17" t="str">
        <f aca="false">IF(AK9=0,"",MIN(BD9,BQ9))</f>
        <v/>
      </c>
      <c r="AH9" s="17" t="str">
        <f aca="false">IF(AK9=0,"",IF(NOT(LH_Ready),"",IF(BG9=0,0,MAX(0,ROUND(N(T9)+N(U9)-N9,2)))))</f>
        <v/>
      </c>
      <c r="AI9" s="12"/>
      <c r="AJ9" s="12"/>
      <c r="AK9" s="16" t="n">
        <f aca="false">IF(OR(LEN($A9&amp;$B9)=0,$F9=""),0,1)</f>
        <v>0</v>
      </c>
      <c r="AL9" s="14" t="str">
        <f aca="false">IF(AK9=0,"",IF(PreSchemeCounts="No",MAX(SchemeStart,IF($J9&lt;&gt;"",$J9,IF(OR(CasualCounts="Yes",COUNT($G9:$I9)=0),$F9,IF(Apply2026="No",IF($I9="",$F9,$I9),IF(COUNT($H9:$I9)=0,$F9,MIN($H9:$I9)))))),IF($J9&lt;&gt;"",$J9,IF(OR(CasualCounts="Yes",COUNT($G9:$I9)=0),$F9,IF(Apply2026="No",IF($I9="",$F9,$I9),IF(COUNT($H9:$I9)=0,$F9,MIN($H9:$I9)))))))</f>
        <v/>
      </c>
      <c r="AM9" s="16" t="str">
        <f aca="false">IF(AK9=0,"",COUNT($G9:$I9))</f>
        <v/>
      </c>
      <c r="AN9" s="14" t="str">
        <f aca="false">IF(AK9=0,"",IFERROR(SMALL($G9:$I9,1),""))</f>
        <v/>
      </c>
      <c r="AO9" s="14" t="str">
        <f aca="false">IF(AK9=0,"",IFERROR(SMALL($G9:$I9,2),""))</f>
        <v/>
      </c>
      <c r="AP9" s="14" t="str">
        <f aca="false">IF(AK9=0,"",IFERROR(SMALL($G9:$I9,3),""))</f>
        <v/>
      </c>
      <c r="AQ9" s="16" t="str">
        <f aca="false">IF(AK9=0,"",IF(AN9="","",IF(AN9=$H9,"Part-Time",IF(AN9=$I9,"Full-Time","Casual"))))</f>
        <v/>
      </c>
      <c r="AR9" s="16" t="str">
        <f aca="false">IF(AK9=0,"",IF(AO9="","",IF(AO9=$H9,"Part-Time",IF(AO9=$I9,"Full-Time","Casual"))))</f>
        <v/>
      </c>
      <c r="AS9" s="16" t="str">
        <f aca="false">IF(AK9=0,"",IF(AP9="","",IF(AP9=$H9,"Part-Time",IF(AP9=$I9,"Full-Time","Casual"))))</f>
        <v/>
      </c>
      <c r="AT9" s="16" t="str">
        <f aca="false">IF(AK9=0,"",IF(AM9=0,IF(OR(ISNUMBER(SEARCH("full",$C9)),UPPER(TRIM($C9))="FT",UPPER(TRIM($C9))="FTE"),"FT",IF(AND(OR(ISNUMBER(SEARCH("part",$C9)),UPPER(TRIM($C9))="PT",UPPER(TRIM($C9))="PTE"),Apply2026="Yes",OR($P9="",N($P9)&gt;=PT_MinHours)),"PT","None")),IF(OR(ISNUMBER(SEARCH("full",AQ9)),UPPER(TRIM(AQ9))="FT",UPPER(TRIM(AQ9))="FTE"),"FT",IF(AND(OR(ISNUMBER(SEARCH("part",AQ9)),UPPER(TRIM(AQ9))="PT",UPPER(TRIM(AQ9))="PTE"),Apply2026="Yes",OR($P9="",N($P9)&gt;=PT_MinHours)),"PT","None"))))</f>
        <v/>
      </c>
      <c r="AU9" s="16" t="str">
        <f aca="false">IF(AK9=0,"",IF(AM9&lt;2,"",IF(OR(ISNUMBER(SEARCH("full",AR9)),UPPER(TRIM(AR9))="FT",UPPER(TRIM(AR9))="FTE"),"FT",IF(AND(OR(ISNUMBER(SEARCH("part",AR9)),UPPER(TRIM(AR9))="PT",UPPER(TRIM(AR9))="PTE"),Apply2026="Yes",OR($P9="",N($P9)&gt;=PT_MinHours)),"PT","None"))))</f>
        <v/>
      </c>
      <c r="AV9" s="16" t="str">
        <f aca="false">IF(AK9=0,"",IF(AM9&lt;3,"",IF(OR(ISNUMBER(SEARCH("full",AS9)),UPPER(TRIM(AS9))="FT",UPPER(TRIM(AS9))="FTE"),"FT",IF(AND(OR(ISNUMBER(SEARCH("part",AS9)),UPPER(TRIM(AS9))="PT",UPPER(TRIM(AS9))="PTE"),Apply2026="Yes",OR($P9="",N($P9)&gt;=PT_MinHours)),"PT","None"))))</f>
        <v/>
      </c>
      <c r="AW9" s="16" t="str">
        <f aca="false">IF(AK9=0,"",IF(AND(AM9&gt;=3,AP9&lt;=AsOfDate),AV9,IF(AND(AM9&gt;=2,AO9&lt;=AsOfDate),AU9,AT9)))</f>
        <v/>
      </c>
      <c r="AX9" s="16" t="str">
        <f aca="false">IF(AK9=0,"",IF(AsOfDate&lt;AL9,-1,12*(YEAR(AsOfDate)-YEAR(AL9))+MONTH(AsOfDate)-MONTH(AL9)-IF(DAY(AsOfDate)&lt;MIN(DAY(AL9),DAY(EOMONTH(AsOfDate,0))),1,0)))</f>
        <v/>
      </c>
      <c r="AY9" s="16" t="str">
        <f aca="false">IF(AK9=0,"",IF(OR(AM9&lt;2,AO9&gt;AsOfDate),AX9,IF((AO9-1)&lt;AL9,-1,12*(YEAR((AO9-1))-YEAR(AL9))+MONTH((AO9-1))-MONTH(AL9)-IF(DAY((AO9-1))&lt;MIN(DAY(AL9),DAY(EOMONTH((AO9-1),0))),1,0))))</f>
        <v/>
      </c>
      <c r="AZ9" s="16" t="str">
        <f aca="false">IF(AK9=0,"",IF(OR(AM9&lt;3,AP9&gt;AsOfDate),AX9,IF((AP9-1)&lt;AL9,-1,12*(YEAR((AP9-1))-YEAR(AL9))+MONTH((AP9-1))-MONTH(AL9)-IF(DAY((AP9-1))&lt;MIN(DAY(AL9),DAY(EOMONTH((AP9-1),0))),1,0))))</f>
        <v/>
      </c>
      <c r="BA9" s="16" t="str">
        <f aca="false">IF(AK9=0,"",IF(PFYDate&lt;AL9,-1,12*(YEAR(PFYDate)-YEAR(AL9))+MONTH(PFYDate)-MONTH(AL9)-IF(DAY(PFYDate)&lt;MIN(DAY(AL9),DAY(EOMONTH(PFYDate,0))),1,0)))</f>
        <v/>
      </c>
      <c r="BB9" s="16" t="str">
        <f aca="false">IF(AK9=0,"",IF(OR(AM9&lt;2,AO9&gt;PFYDate),BA9,IF((AO9-1)&lt;AL9,-1,12*(YEAR((AO9-1))-YEAR(AL9))+MONTH((AO9-1))-MONTH(AL9)-IF(DAY((AO9-1))&lt;MIN(DAY(AL9),DAY(EOMONTH((AO9-1),0))),1,0))))</f>
        <v/>
      </c>
      <c r="BC9" s="16" t="str">
        <f aca="false">IF(AK9=0,"",IF(OR(AM9&lt;3,AP9&gt;PFYDate),BA9,IF((AP9-1)&lt;AL9,-1,12*(YEAR((AP9-1))-YEAR(AL9))+MONTH((AP9-1))-MONTH(AL9)-IF(DAY((AP9-1))&lt;MIN(DAY(AL9),DAY(EOMONTH((AP9-1),0))),1,0))))</f>
        <v/>
      </c>
      <c r="BD9" s="16" t="str">
        <f aca="false">IF(AK9=0,"",IF(AT9="FT",IF(AY9&lt;FT_First,0,IF(AY9&lt;FT_Y5,1+INT((AY9-FT_First)/FT_Int1),FT_PreY5+FT_PerYear*INT((AY9-FT_Y5)/12)+FT_AnnivDays+INT(MOD(AY9-FT_Y5,12)/FT_Int2)-IF(EDATE(AL9,FT_Y5)&lt;PolicyEff,FT_AnnivDays-1,0))),IF(AT9="PT",IF(AY9&lt;PT_First,0,1+INT((AY9-PT_First)/PT_Int)),0))+IF(AND(AM9&gt;=2,AO9&lt;=AsOfDate),IF(AU9="FT",IF(AZ9&lt;FT_First,0,IF(AZ9&lt;FT_Y5,1+INT((AZ9-FT_First)/FT_Int1),FT_PreY5+FT_PerYear*INT((AZ9-FT_Y5)/12)+FT_AnnivDays+INT(MOD(AZ9-FT_Y5,12)/FT_Int2)-IF(EDATE(AL9,FT_Y5)&lt;PolicyEff,FT_AnnivDays-1,0))),IF(AU9="PT",IF(AZ9&lt;PT_First,0,1+INT((AZ9-PT_First)/PT_Int)),0))-IF(AU9="FT",IF(AY9&lt;FT_First,0,IF(AY9&lt;FT_Y5,1+INT((AY9-FT_First)/FT_Int1),FT_PreY5+FT_PerYear*INT((AY9-FT_Y5)/12)+FT_AnnivDays+INT(MOD(AY9-FT_Y5,12)/FT_Int2)-IF(EDATE(AL9,FT_Y5)&lt;PolicyEff,FT_AnnivDays-1,0))),IF(AU9="PT",IF(AY9&lt;PT_First,0,1+INT((AY9-PT_First)/PT_Int)),0)),0)+IF(AND(AM9&gt;=3,AP9&lt;=AsOfDate),IF(AV9="FT",IF(AX9&lt;FT_First,0,IF(AX9&lt;FT_Y5,1+INT((AX9-FT_First)/FT_Int1),FT_PreY5+FT_PerYear*INT((AX9-FT_Y5)/12)+FT_AnnivDays+INT(MOD(AX9-FT_Y5,12)/FT_Int2)-IF(EDATE(AL9,FT_Y5)&lt;PolicyEff,FT_AnnivDays-1,0))),IF(AV9="PT",IF(AX9&lt;PT_First,0,1+INT((AX9-PT_First)/PT_Int)),0))-IF(AV9="FT",IF(AZ9&lt;FT_First,0,IF(AZ9&lt;FT_Y5,1+INT((AZ9-FT_First)/FT_Int1),FT_PreY5+FT_PerYear*INT((AZ9-FT_Y5)/12)+FT_AnnivDays+INT(MOD(AZ9-FT_Y5,12)/FT_Int2)-IF(EDATE(AL9,FT_Y5)&lt;PolicyEff,FT_AnnivDays-1,0))),IF(AV9="PT",IF(AZ9&lt;PT_First,0,1+INT((AZ9-PT_First)/PT_Int)),0)),0))</f>
        <v/>
      </c>
      <c r="BE9" s="16" t="str">
        <f aca="false">IF(AK9=0,"",IF(AT9="FT",IF(BB9&lt;FT_First,0,IF(BB9&lt;FT_Y5,1+INT((BB9-FT_First)/FT_Int1),FT_PreY5+FT_PerYear*INT((BB9-FT_Y5)/12)+FT_AnnivDays+INT(MOD(BB9-FT_Y5,12)/FT_Int2)-IF(EDATE(AL9,FT_Y5)&lt;PolicyEff,FT_AnnivDays-1,0))),IF(AT9="PT",IF(BB9&lt;PT_First,0,1+INT((BB9-PT_First)/PT_Int)),0))+IF(AND(AM9&gt;=2,AO9&lt;=PFYDate),IF(AU9="FT",IF(BC9&lt;FT_First,0,IF(BC9&lt;FT_Y5,1+INT((BC9-FT_First)/FT_Int1),FT_PreY5+FT_PerYear*INT((BC9-FT_Y5)/12)+FT_AnnivDays+INT(MOD(BC9-FT_Y5,12)/FT_Int2)-IF(EDATE(AL9,FT_Y5)&lt;PolicyEff,FT_AnnivDays-1,0))),IF(AU9="PT",IF(BC9&lt;PT_First,0,1+INT((BC9-PT_First)/PT_Int)),0))-IF(AU9="FT",IF(BB9&lt;FT_First,0,IF(BB9&lt;FT_Y5,1+INT((BB9-FT_First)/FT_Int1),FT_PreY5+FT_PerYear*INT((BB9-FT_Y5)/12)+FT_AnnivDays+INT(MOD(BB9-FT_Y5,12)/FT_Int2)-IF(EDATE(AL9,FT_Y5)&lt;PolicyEff,FT_AnnivDays-1,0))),IF(AU9="PT",IF(BB9&lt;PT_First,0,1+INT((BB9-PT_First)/PT_Int)),0)),0)+IF(AND(AM9&gt;=3,AP9&lt;=PFYDate),IF(AV9="FT",IF(BA9&lt;FT_First,0,IF(BA9&lt;FT_Y5,1+INT((BA9-FT_First)/FT_Int1),FT_PreY5+FT_PerYear*INT((BA9-FT_Y5)/12)+FT_AnnivDays+INT(MOD(BA9-FT_Y5,12)/FT_Int2)-IF(EDATE(AL9,FT_Y5)&lt;PolicyEff,FT_AnnivDays-1,0))),IF(AV9="PT",IF(BA9&lt;PT_First,0,1+INT((BA9-PT_First)/PT_Int)),0))-IF(AV9="FT",IF(BC9&lt;FT_First,0,IF(BC9&lt;FT_Y5,1+INT((BC9-FT_First)/FT_Int1),FT_PreY5+FT_PerYear*INT((BC9-FT_Y5)/12)+FT_AnnivDays+INT(MOD(BC9-FT_Y5,12)/FT_Int2)-IF(EDATE(AL9,FT_Y5)&lt;PolicyEff,FT_AnnivDays-1,0))),IF(AV9="PT",IF(BC9&lt;PT_First,0,1+INT((BC9-PT_First)/PT_Int)),0)),0))</f>
        <v/>
      </c>
      <c r="BF9" s="16" t="str">
        <f aca="false">IF(AK9=0,"",IF(AW9="FT",IF(AX9&lt;FT_First,FT_First,IF(AX9&lt;FT_Y5,MIN(FT_Y5,FT_First+FT_Int1*(INT((AX9-FT_First)/FT_Int1)+1)),FT_Y5+12*INT((AX9-FT_Y5)/12)+FT_Int2*(INT(MOD(AX9-FT_Y5,12)/FT_Int2)+1))),IF(AW9="PT",IF(AX9&lt;PT_First,PT_First,PT_First+PT_Int*(INT((AX9-PT_First)/PT_Int)+1)),"")))</f>
        <v/>
      </c>
      <c r="BG9" s="16" t="str">
        <f aca="false">IF(AK9=0,"",IF(NOT(LH_Ready),0,COUNTIFS(INDEX(LH_Data,0,LH_ColFirst),$A9,INDEX(LH_Data,0,LH_ColSur),$B9,INDEX(LH_Data,0,LH_ColCat),BonusCat)))</f>
        <v/>
      </c>
      <c r="BH9" s="16" t="str">
        <f aca="false">IF(AK9=0,"",IF(OR(NOT(LH_Ready),BG9=0),0,SUMPRODUCT(MAX((INDEX(LH_Data,0,LH_ColFirst)=$A9)*(INDEX(LH_Data,0,LH_ColSur)=$B9)*(INDEX(LH_Data,0,LH_ColCat)=BonusCat)*ROW(LH_Data)))))</f>
        <v/>
      </c>
      <c r="BI9" s="16" t="str">
        <f aca="false">IF(AK9=0,"",IF(EOMONTH(AsOfDate,-1)&lt;AL9,-1,12*(YEAR(EOMONTH(AsOfDate,-1))-YEAR(AL9))+MONTH(EOMONTH(AsOfDate,-1))-MONTH(AL9)-IF(DAY(EOMONTH(AsOfDate,-1))&lt;MIN(DAY(AL9),DAY(EOMONTH(EOMONTH(AsOfDate,-1),0))),1,0)))</f>
        <v/>
      </c>
      <c r="BJ9" s="16" t="str">
        <f aca="false">IF(AK9=0,"",IF(OR(AM9&lt;2,AO9&gt;EOMONTH(AsOfDate,-1)),BI9,IF((AO9-1)&lt;AL9,-1,12*(YEAR((AO9-1))-YEAR(AL9))+MONTH((AO9-1))-MONTH(AL9)-IF(DAY((AO9-1))&lt;MIN(DAY(AL9),DAY(EOMONTH((AO9-1),0))),1,0))))</f>
        <v/>
      </c>
      <c r="BK9" s="16" t="str">
        <f aca="false">IF(AK9=0,"",IF(OR(AM9&lt;3,AP9&gt;EOMONTH(AsOfDate,-1)),BI9,IF((AP9-1)&lt;AL9,-1,12*(YEAR((AP9-1))-YEAR(AL9))+MONTH((AP9-1))-MONTH(AL9)-IF(DAY((AP9-1))&lt;MIN(DAY(AL9),DAY(EOMONTH((AP9-1),0))),1,0))))</f>
        <v/>
      </c>
      <c r="BL9" s="16" t="str">
        <f aca="false">IF(AK9=0,"",IF(AT9="FT",IF(BJ9&lt;FT_First,0,IF(BJ9&lt;FT_Y5,1+INT((BJ9-FT_First)/FT_Int1),FT_PreY5+FT_PerYear*INT((BJ9-FT_Y5)/12)+FT_AnnivDays+INT(MOD(BJ9-FT_Y5,12)/FT_Int2)-IF(EDATE(AL9,FT_Y5)&lt;PolicyEff,FT_AnnivDays-1,0))),IF(AT9="PT",IF(BJ9&lt;PT_First,0,1+INT((BJ9-PT_First)/PT_Int)),0))+IF(AND(AM9&gt;=2,AO9&lt;=EOMONTH(AsOfDate,-1)),IF(AU9="FT",IF(BK9&lt;FT_First,0,IF(BK9&lt;FT_Y5,1+INT((BK9-FT_First)/FT_Int1),FT_PreY5+FT_PerYear*INT((BK9-FT_Y5)/12)+FT_AnnivDays+INT(MOD(BK9-FT_Y5,12)/FT_Int2)-IF(EDATE(AL9,FT_Y5)&lt;PolicyEff,FT_AnnivDays-1,0))),IF(AU9="PT",IF(BK9&lt;PT_First,0,1+INT((BK9-PT_First)/PT_Int)),0))-IF(AU9="FT",IF(BJ9&lt;FT_First,0,IF(BJ9&lt;FT_Y5,1+INT((BJ9-FT_First)/FT_Int1),FT_PreY5+FT_PerYear*INT((BJ9-FT_Y5)/12)+FT_AnnivDays+INT(MOD(BJ9-FT_Y5,12)/FT_Int2)-IF(EDATE(AL9,FT_Y5)&lt;PolicyEff,FT_AnnivDays-1,0))),IF(AU9="PT",IF(BJ9&lt;PT_First,0,1+INT((BJ9-PT_First)/PT_Int)),0)),0)+IF(AND(AM9&gt;=3,AP9&lt;=EOMONTH(AsOfDate,-1)),IF(AV9="FT",IF(BI9&lt;FT_First,0,IF(BI9&lt;FT_Y5,1+INT((BI9-FT_First)/FT_Int1),FT_PreY5+FT_PerYear*INT((BI9-FT_Y5)/12)+FT_AnnivDays+INT(MOD(BI9-FT_Y5,12)/FT_Int2)-IF(EDATE(AL9,FT_Y5)&lt;PolicyEff,FT_AnnivDays-1,0))),IF(AV9="PT",IF(BI9&lt;PT_First,0,1+INT((BI9-PT_First)/PT_Int)),0))-IF(AV9="FT",IF(BK9&lt;FT_First,0,IF(BK9&lt;FT_Y5,1+INT((BK9-FT_First)/FT_Int1),FT_PreY5+FT_PerYear*INT((BK9-FT_Y5)/12)+FT_AnnivDays+INT(MOD(BK9-FT_Y5,12)/FT_Int2)-IF(EDATE(AL9,FT_Y5)&lt;PolicyEff,FT_AnnivDays-1,0))),IF(AV9="PT",IF(BK9&lt;PT_First,0,1+INT((BK9-PT_First)/PT_Int)),0)),0))</f>
        <v/>
      </c>
      <c r="BM9" s="16" t="str">
        <f aca="false">IF(AK9=0,"",IF(AW9="FT",IF(AX9&lt;FT_First,"",IF(AX9&lt;FT_Y5,FT_First+FT_Int1*INT((AX9-FT_First)/FT_Int1),FT_Y5+FT_Int2*INT((AX9-FT_Y5)/FT_Int2))),IF(AW9="PT",IF(AX9&lt;PT_First,"",PT_First+PT_Int*INT((AX9-PT_First)/PT_Int)),"")))</f>
        <v/>
      </c>
      <c r="BN9" s="16" t="str">
        <f aca="false">IF(AK9=0,"",IF((SchemeStart-1)&lt;AL9,-1,12*(YEAR((SchemeStart-1))-YEAR(AL9))+MONTH((SchemeStart-1))-MONTH(AL9)-IF(DAY((SchemeStart-1))&lt;MIN(DAY(AL9),DAY(EOMONTH((SchemeStart-1),0))),1,0)))</f>
        <v/>
      </c>
      <c r="BO9" s="16" t="str">
        <f aca="false">IF(AK9=0,"",IF(OR(AM9&lt;2,AO9&gt;(SchemeStart-1)),BN9,IF((AO9-1)&lt;AL9,-1,12*(YEAR((AO9-1))-YEAR(AL9))+MONTH((AO9-1))-MONTH(AL9)-IF(DAY((AO9-1))&lt;MIN(DAY(AL9),DAY(EOMONTH((AO9-1),0))),1,0))))</f>
        <v/>
      </c>
      <c r="BP9" s="16" t="str">
        <f aca="false">IF(AK9=0,"",IF(OR(AM9&lt;3,AP9&gt;(SchemeStart-1)),BN9,IF((AP9-1)&lt;AL9,-1,12*(YEAR((AP9-1))-YEAR(AL9))+MONTH((AP9-1))-MONTH(AL9)-IF(DAY((AP9-1))&lt;MIN(DAY(AL9),DAY(EOMONTH((AP9-1),0))),1,0))))</f>
        <v/>
      </c>
      <c r="BQ9" s="16" t="str">
        <f aca="false">IF(AK9=0,"",IF(AT9="FT",IF(BO9&lt;FT_First,0,IF(BO9&lt;FT_Y5,1+INT((BO9-FT_First)/FT_Int1),FT_PreY5+FT_PerYear*INT((BO9-FT_Y5)/12)+FT_AnnivDays+INT(MOD(BO9-FT_Y5,12)/FT_Int2)-IF(EDATE(AL9,FT_Y5)&lt;PolicyEff,FT_AnnivDays-1,0))),IF(AT9="PT",IF(BO9&lt;PT_First,0,1+INT((BO9-PT_First)/PT_Int)),0))+IF(AND(AM9&gt;=2,AO9&lt;=(SchemeStart-1)),IF(AU9="FT",IF(BP9&lt;FT_First,0,IF(BP9&lt;FT_Y5,1+INT((BP9-FT_First)/FT_Int1),FT_PreY5+FT_PerYear*INT((BP9-FT_Y5)/12)+FT_AnnivDays+INT(MOD(BP9-FT_Y5,12)/FT_Int2)-IF(EDATE(AL9,FT_Y5)&lt;PolicyEff,FT_AnnivDays-1,0))),IF(AU9="PT",IF(BP9&lt;PT_First,0,1+INT((BP9-PT_First)/PT_Int)),0))-IF(AU9="FT",IF(BO9&lt;FT_First,0,IF(BO9&lt;FT_Y5,1+INT((BO9-FT_First)/FT_Int1),FT_PreY5+FT_PerYear*INT((BO9-FT_Y5)/12)+FT_AnnivDays+INT(MOD(BO9-FT_Y5,12)/FT_Int2)-IF(EDATE(AL9,FT_Y5)&lt;PolicyEff,FT_AnnivDays-1,0))),IF(AU9="PT",IF(BO9&lt;PT_First,0,1+INT((BO9-PT_First)/PT_Int)),0)),0)+IF(AND(AM9&gt;=3,AP9&lt;=(SchemeStart-1)),IF(AV9="FT",IF(BN9&lt;FT_First,0,IF(BN9&lt;FT_Y5,1+INT((BN9-FT_First)/FT_Int1),FT_PreY5+FT_PerYear*INT((BN9-FT_Y5)/12)+FT_AnnivDays+INT(MOD(BN9-FT_Y5,12)/FT_Int2)-IF(EDATE(AL9,FT_Y5)&lt;PolicyEff,FT_AnnivDays-1,0))),IF(AV9="PT",IF(BN9&lt;PT_First,0,1+INT((BN9-PT_First)/PT_Int)),0))-IF(AV9="FT",IF(BP9&lt;FT_First,0,IF(BP9&lt;FT_Y5,1+INT((BP9-FT_First)/FT_Int1),FT_PreY5+FT_PerYear*INT((BP9-FT_Y5)/12)+FT_AnnivDays+INT(MOD(BP9-FT_Y5,12)/FT_Int2)-IF(EDATE(AL9,FT_Y5)&lt;PolicyEff,FT_AnnivDays-1,0))),IF(AV9="PT",IF(BP9&lt;PT_First,0,1+INT((BP9-PT_First)/PT_Int)),0)),0))</f>
        <v/>
      </c>
      <c r="BR9" s="0" t="str">
        <f aca="false">IF(LEN($A9&amp;$B9)=0,"",$A9&amp;" "&amp;$B9)</f>
        <v/>
      </c>
    </row>
    <row r="10" customFormat="false" ht="15" hidden="false" customHeight="false" outlineLevel="0" collapsed="false">
      <c r="A10" s="12"/>
      <c r="B10" s="12"/>
      <c r="C10" s="12"/>
      <c r="D10" s="13"/>
      <c r="E10" s="14" t="str">
        <f aca="false">IF(OR(AK10=0,$D10=""),"",DATE(YEAR(AsOfDate)+IF(DATE(YEAR(AsOfDate),MONTH($D10),DAY($D10))&lt;=AsOfDate,1,0),MONTH($D10),DAY($D10)))</f>
        <v/>
      </c>
      <c r="F10" s="13"/>
      <c r="G10" s="13"/>
      <c r="H10" s="13"/>
      <c r="I10" s="13"/>
      <c r="J10" s="13"/>
      <c r="K10" s="14" t="str">
        <f aca="false">IF(AK10=0,"",DATE(YEAR(AsOfDate)+IF(DATE(YEAR(AsOfDate),MONTH(AL10),DAY(AL10))&lt;=AsOfDate,1,0),MONTH(AL10),DAY(AL10)))</f>
        <v/>
      </c>
      <c r="L10" s="15" t="str">
        <f aca="false">IF(AK10=0,"",ROUND((AsOfDate-AL10)/365.25,1))</f>
        <v/>
      </c>
      <c r="M10" s="16" t="str">
        <f aca="false">IF(AK10=0,"",IF(AsOfDate&lt;AL10,"-",DATEDIF(AL10,AsOfDate,"y")&amp;"y "&amp;DATEDIF(AL10,AsOfDate,"ym")&amp;"m "&amp;DATEDIF(AL10,AsOfDate,"md")&amp;"d"))</f>
        <v/>
      </c>
      <c r="N10" s="17" t="str">
        <f aca="false">IF(AK10=0,"",O10*HoursPerDay)</f>
        <v/>
      </c>
      <c r="O10" s="17" t="str">
        <f aca="false">IF(AK10=0,"",MAX(0,BD10-BQ10))</f>
        <v/>
      </c>
      <c r="P10" s="18"/>
      <c r="Q10" s="16" t="str">
        <f aca="false">IF(AK10=0,"",IF(AM10&lt;2,"",AQ10&amp;" to "&amp;AR10&amp;" on "&amp;TEXT(AO10,"dd/mm/yyyy")&amp;IF(AO10&gt;AsOfDate," (future)",IF(AT10=AU10,"",IF(AU10="None"," - STOPPED accruing",IF(AT10="None"," - commencement for Bonus Leave"," - pathway changed"))))&amp;IF(AM10&lt;3,"","; "&amp;AR10&amp;" to "&amp;AS10&amp;" on "&amp;TEXT(AP10,"dd/mm/yyyy")&amp;IF(AP10&gt;AsOfDate," (future)",IF(AU10=AV10,"",IF(AV10="None"," - STOPPED accruing",IF(AU10="None"," - commencement for Bonus Leave"," - pathway changed")))))))</f>
        <v/>
      </c>
      <c r="R10" s="16" t="str">
        <f aca="false">IF(AK10=0,"",IF(AW10="None",IF(O10&gt;0,"No longer accruing","Not eligible - "&amp;IF(AND(OR(ISNUMBER(SEARCH("part",$C10)),UPPER(TRIM($C10))="PT",UPPER(TRIM($C10))="PTE"),Apply2026="No"),"part-time (scheme is full-time only)",IF(AND(OR(ISNUMBER(SEARCH("part",$C10)),UPPER(TRIM($C10))="PT",UPPER(TRIM($C10))="PTE"),$P10&lt;&gt;"",N($P10)&lt;PT_MinHours),"under "&amp;PT_MinHours&amp;" hrs",IF(IF($C10="","",IF(OR(ISNUMBER(SEARCH("full",$C10)),UPPER(TRIM($C10))="FT",UPPER(TRIM($C10))="FTE"),"Full-Time",IF(OR(ISNUMBER(SEARCH("part",$C10)),UPPER(TRIM($C10))="PT",UPPER(TRIM($C10))="PTE"),"Part-Time",IF(OR(ISNUMBER(SEARCH("cas",$C10)),UPPER(TRIM($C10))="CAS"),"Casual","Unknown"))))="Unknown","type not recognised",$C10)))),IF(O10&gt;0,"Yes - Accrual Required","Not yet - from "&amp;TEXT(S10,"dd/mm/yyyy"))))</f>
        <v/>
      </c>
      <c r="S10" s="14" t="str">
        <f aca="false">IF(AK10=0,"",IF(AW10="None","",EDATE(AL10,BF10)))</f>
        <v/>
      </c>
      <c r="T10" s="17" t="str">
        <f aca="false">IF(AK10=0,"",IF(NOT(LH_Ready),"",IF($F10&gt;PFYDate,0,IF(LH_ColPeriod=0,W10-U10+V10,SUMIFS(INDEX(LH_Data,0,LH_ColAcc),INDEX(LH_Data,0,LH_ColFirst),$A10,INDEX(LH_Data,0,LH_ColSur),$B10,INDEX(LH_Data,0,LH_ColCat),BonusCat,INDEX(LH_Data,0,LH_ColPeriod),LH_OpenLabel)*UnitFactor))))</f>
        <v/>
      </c>
      <c r="U10" s="17" t="str">
        <f aca="false">IF(AK10=0,"",IF(NOT(LH_Ready),"",SUMIFS(INDEX(LH_Data,0,LH_ColAcc),INDEX(LH_Data,0,LH_ColFirst),$A10,INDEX(LH_Data,0,LH_ColSur),$B10,INDEX(LH_Data,0,LH_ColCat),BonusCat,INDEX(LH_Data,0,LH_ColStart),"&gt;="&amp;AL10)*UnitFactor))</f>
        <v/>
      </c>
      <c r="V10" s="17" t="str">
        <f aca="false">IF(AK10=0,"",IF(NOT(LH_Ready),"",SUMIFS(INDEX(LH_Data,0,LH_ColTaken),INDEX(LH_Data,0,LH_ColFirst),$A10,INDEX(LH_Data,0,LH_ColSur),$B10,INDEX(LH_Data,0,LH_ColCat),BonusCat,INDEX(LH_Data,0,LH_ColStart),"&gt;="&amp;AL10)*UnitFactor))</f>
        <v/>
      </c>
      <c r="W10" s="17" t="str">
        <f aca="false">IF(AK10=0,"",IF(NOT(LH_Ready),"",IF(BH10=0,0,INDEX(INDEX(LH_Data,0,LH_ColClose),BH10-1)*UnitFactor)))</f>
        <v/>
      </c>
      <c r="X10" s="17" t="str">
        <f aca="false">IF(AK10=0,"",(MAX(0,BD10-BQ10)-MAX(0,BE10-BQ10))*HoursPerDay)</f>
        <v/>
      </c>
      <c r="Y10" s="17" t="str">
        <f aca="false">IF(AK10=0,"",IF(NOT(LH_Ready),"",IF($AI10="Yes",N(AE10)*HoursPerDay-SUMIFS(INDEX(LH_Data,0,LH_ColAcc),INDEX(LH_Data,0,LH_ColFirst),$A10,INDEX(LH_Data,0,LH_ColSur),$B10,INDEX(LH_Data,0,LH_ColCat),BonusCat,INDEX(LH_Data,0,LH_ColStart),"&gt;="&amp;(EOMONTH(AsOfDate,-1)+1),INDEX(LH_Data,0,LH_ColStart),"&lt;="&amp;AsOfDate)*UnitFactor,IF(BG10=0,N10,N10-N(T10)-N(U10)))))</f>
        <v/>
      </c>
      <c r="Z10" s="16" t="str">
        <f aca="false">IF(OR(AK10=0,Y10=""),"",IF(Y10&gt;0,"Yes","No"))</f>
        <v/>
      </c>
      <c r="AA10" s="16" t="str">
        <f aca="false">IF(AK10=0,IF(LEN($A10&amp;$B10)=0,"","FIX INPUT - StartDate missing"),IF(AD10&lt;&gt;"","FIX INPUT - "&amp;AD10,IF(NOT(LH_Ready),"Paste Leave History export (Settings must show YES)",IF(AND($AI10="Yes",Y10&lt;=0),"OK - EH balance accepted to date"&amp;IF(N(AH10)&gt;0," (EH holds "&amp;AH10&amp;" hrs over the scheme)","")&amp;"; next day "&amp;TEXT(S10,"dd mmm yy")&amp;IF(N(AE10)&gt;0," ("&amp;AE10&amp;" day(s) for "&amp;UPPER(TEXT(AsOfDate,"mmm yyyy"))&amp;" already in EH)",""),IF(Y10&gt;0,"ACCRUE "&amp;ROUND(Y10,2)&amp;" hrs ("&amp;ROUND(Y10/HoursPerDay,2)&amp;" days): "&amp;IF(N(AE10)&gt;0,AE10&amp;" day(s) for "&amp;UPPER(TEXT(AsOfDate,"mmm yyyy"))&amp;" (milestone "&amp;UPPER(TEXT(AF10,"dd mmm yy"))&amp;")"&amp;IF(Y10/HoursPerDay&gt;AE10+0.001," + "&amp;ROUND(Y10/HoursPerDay-AE10,2)&amp;" day(s) catch-up from earlier months",""),"all catch-up from earlier months, nothing new this month")&amp;IF(BG10=0,"; no Bonus Leave in EH yet",""),IF(Y10&lt;0,"CHECK - EH accrued "&amp;ROUND(-Y10,2)&amp;" hrs more than policy since commencement",IF(N(W10)&gt;O10*HoursPerDay+0.01,"CHECK - EH balance "&amp;ROUND(W10-O10*HoursPerDay,2)&amp;" hrs more than policy entitlement",IF(O10&gt;0,"OK - nothing to add"&amp;IF(N(AE10)&gt;0," ("&amp;AE10&amp;" day(s) for "&amp;UPPER(TEXT(AsOfDate,"mmm yyyy"))&amp;" already in EH)",""),IF(AW10="None",R10,"Not yet - first day on "&amp;TEXT(S10,"dd/mm/yyyy"))))))))))</f>
        <v/>
      </c>
      <c r="AB10" s="17" t="str">
        <f aca="false">IF(OR(AK10=0,T10=""),"",MAX(0,BE10-BQ10)*HoursPerDay-T10)</f>
        <v/>
      </c>
      <c r="AC10" s="16" t="str">
        <f aca="false">IF(AK10=0,"",BG10)</f>
        <v/>
      </c>
      <c r="AD10" s="16" t="str">
        <f aca="false">IF(AK10=0,"",TRIM(IF(OR(ISTEXT($F10),ISTEXT($H10),ISTEXT($I10),ISTEXT($G10),ISTEXT($J10),ISTEXT($D10)),"A date is typed as text - retype it as dd/mm/yyyy. ","")&amp;IF(IF($C10="","",IF(OR(ISNUMBER(SEARCH("full",$C10)),UPPER(TRIM($C10))="FT",UPPER(TRIM($C10))="FTE"),"Full-Time",IF(OR(ISNUMBER(SEARCH("part",$C10)),UPPER(TRIM($C10))="PT",UPPER(TRIM($C10))="PTE"),"Part-Time",IF(OR(ISNUMBER(SEARCH("cas",$C10)),UPPER(TRIM($C10))="CAS"),"Casual","Unknown"))))="Unknown","EmploymentType not recognised - use Full-Time, Part-Time or Casual. ","")&amp;IF(AND(AM10&gt;=1,IF(AM10&gt;=3,AS10,IF(AM10=2,AR10,AQ10))&lt;&gt;IF($C10="","",IF(OR(ISNUMBER(SEARCH("full",$C10)),UPPER(TRIM($C10))="FT",UPPER(TRIM($C10))="FTE"),"Full-Time",IF(OR(ISNUMBER(SEARCH("part",$C10)),UPPER(TRIM($C10))="PT",UPPER(TRIM($C10))="PTE"),"Part-Time",IF(OR(ISNUMBER(SEARCH("cas",$C10)),UPPER(TRIM($C10))="CAS"),"Casual","Unknown"))))),"EmploymentType does not match latest start date ("&amp;IF(AM10&gt;=3,AS10,IF(AM10=2,AR10,AQ10))&amp;"). ","")&amp;IF(AND(AM10&gt;=1,AN10&lt;&gt;$F10),"Earliest type date should equal StartDate. ","")&amp;IF(AND(AM10&gt;=2,AN10=AO10),"Two types start on the same date. ","")&amp;IF(AND(OR(ISNUMBER(SEARCH("part",$C10)),UPPER(TRIM($C10))="PT",UPPER(TRIM($C10))="PTE"),$P10=""),"Part-time: enter PT Hrs/Week (blank = 24+). ","")))</f>
        <v/>
      </c>
      <c r="AE10" s="17" t="str">
        <f aca="false">IF(AK10=0,"",O10-MAX(0,BL10-BQ10))</f>
        <v/>
      </c>
      <c r="AF10" s="14" t="str">
        <f aca="false">IF(OR(AK10=0,AE10="",N(AE10)=0,BM10=""),"",EDATE(AL10,BM10))</f>
        <v/>
      </c>
      <c r="AG10" s="17" t="str">
        <f aca="false">IF(AK10=0,"",MIN(BD10,BQ10))</f>
        <v/>
      </c>
      <c r="AH10" s="17" t="str">
        <f aca="false">IF(AK10=0,"",IF(NOT(LH_Ready),"",IF(BG10=0,0,MAX(0,ROUND(N(T10)+N(U10)-N10,2)))))</f>
        <v/>
      </c>
      <c r="AI10" s="12"/>
      <c r="AJ10" s="12"/>
      <c r="AK10" s="16" t="n">
        <f aca="false">IF(OR(LEN($A10&amp;$B10)=0,$F10=""),0,1)</f>
        <v>0</v>
      </c>
      <c r="AL10" s="14" t="str">
        <f aca="false">IF(AK10=0,"",IF(PreSchemeCounts="No",MAX(SchemeStart,IF($J10&lt;&gt;"",$J10,IF(OR(CasualCounts="Yes",COUNT($G10:$I10)=0),$F10,IF(Apply2026="No",IF($I10="",$F10,$I10),IF(COUNT($H10:$I10)=0,$F10,MIN($H10:$I10)))))),IF($J10&lt;&gt;"",$J10,IF(OR(CasualCounts="Yes",COUNT($G10:$I10)=0),$F10,IF(Apply2026="No",IF($I10="",$F10,$I10),IF(COUNT($H10:$I10)=0,$F10,MIN($H10:$I10)))))))</f>
        <v/>
      </c>
      <c r="AM10" s="16" t="str">
        <f aca="false">IF(AK10=0,"",COUNT($G10:$I10))</f>
        <v/>
      </c>
      <c r="AN10" s="14" t="str">
        <f aca="false">IF(AK10=0,"",IFERROR(SMALL($G10:$I10,1),""))</f>
        <v/>
      </c>
      <c r="AO10" s="14" t="str">
        <f aca="false">IF(AK10=0,"",IFERROR(SMALL($G10:$I10,2),""))</f>
        <v/>
      </c>
      <c r="AP10" s="14" t="str">
        <f aca="false">IF(AK10=0,"",IFERROR(SMALL($G10:$I10,3),""))</f>
        <v/>
      </c>
      <c r="AQ10" s="16" t="str">
        <f aca="false">IF(AK10=0,"",IF(AN10="","",IF(AN10=$H10,"Part-Time",IF(AN10=$I10,"Full-Time","Casual"))))</f>
        <v/>
      </c>
      <c r="AR10" s="16" t="str">
        <f aca="false">IF(AK10=0,"",IF(AO10="","",IF(AO10=$H10,"Part-Time",IF(AO10=$I10,"Full-Time","Casual"))))</f>
        <v/>
      </c>
      <c r="AS10" s="16" t="str">
        <f aca="false">IF(AK10=0,"",IF(AP10="","",IF(AP10=$H10,"Part-Time",IF(AP10=$I10,"Full-Time","Casual"))))</f>
        <v/>
      </c>
      <c r="AT10" s="16" t="str">
        <f aca="false">IF(AK10=0,"",IF(AM10=0,IF(OR(ISNUMBER(SEARCH("full",$C10)),UPPER(TRIM($C10))="FT",UPPER(TRIM($C10))="FTE"),"FT",IF(AND(OR(ISNUMBER(SEARCH("part",$C10)),UPPER(TRIM($C10))="PT",UPPER(TRIM($C10))="PTE"),Apply2026="Yes",OR($P10="",N($P10)&gt;=PT_MinHours)),"PT","None")),IF(OR(ISNUMBER(SEARCH("full",AQ10)),UPPER(TRIM(AQ10))="FT",UPPER(TRIM(AQ10))="FTE"),"FT",IF(AND(OR(ISNUMBER(SEARCH("part",AQ10)),UPPER(TRIM(AQ10))="PT",UPPER(TRIM(AQ10))="PTE"),Apply2026="Yes",OR($P10="",N($P10)&gt;=PT_MinHours)),"PT","None"))))</f>
        <v/>
      </c>
      <c r="AU10" s="16" t="str">
        <f aca="false">IF(AK10=0,"",IF(AM10&lt;2,"",IF(OR(ISNUMBER(SEARCH("full",AR10)),UPPER(TRIM(AR10))="FT",UPPER(TRIM(AR10))="FTE"),"FT",IF(AND(OR(ISNUMBER(SEARCH("part",AR10)),UPPER(TRIM(AR10))="PT",UPPER(TRIM(AR10))="PTE"),Apply2026="Yes",OR($P10="",N($P10)&gt;=PT_MinHours)),"PT","None"))))</f>
        <v/>
      </c>
      <c r="AV10" s="16" t="str">
        <f aca="false">IF(AK10=0,"",IF(AM10&lt;3,"",IF(OR(ISNUMBER(SEARCH("full",AS10)),UPPER(TRIM(AS10))="FT",UPPER(TRIM(AS10))="FTE"),"FT",IF(AND(OR(ISNUMBER(SEARCH("part",AS10)),UPPER(TRIM(AS10))="PT",UPPER(TRIM(AS10))="PTE"),Apply2026="Yes",OR($P10="",N($P10)&gt;=PT_MinHours)),"PT","None"))))</f>
        <v/>
      </c>
      <c r="AW10" s="16" t="str">
        <f aca="false">IF(AK10=0,"",IF(AND(AM10&gt;=3,AP10&lt;=AsOfDate),AV10,IF(AND(AM10&gt;=2,AO10&lt;=AsOfDate),AU10,AT10)))</f>
        <v/>
      </c>
      <c r="AX10" s="16" t="str">
        <f aca="false">IF(AK10=0,"",IF(AsOfDate&lt;AL10,-1,12*(YEAR(AsOfDate)-YEAR(AL10))+MONTH(AsOfDate)-MONTH(AL10)-IF(DAY(AsOfDate)&lt;MIN(DAY(AL10),DAY(EOMONTH(AsOfDate,0))),1,0)))</f>
        <v/>
      </c>
      <c r="AY10" s="16" t="str">
        <f aca="false">IF(AK10=0,"",IF(OR(AM10&lt;2,AO10&gt;AsOfDate),AX10,IF((AO10-1)&lt;AL10,-1,12*(YEAR((AO10-1))-YEAR(AL10))+MONTH((AO10-1))-MONTH(AL10)-IF(DAY((AO10-1))&lt;MIN(DAY(AL10),DAY(EOMONTH((AO10-1),0))),1,0))))</f>
        <v/>
      </c>
      <c r="AZ10" s="16" t="str">
        <f aca="false">IF(AK10=0,"",IF(OR(AM10&lt;3,AP10&gt;AsOfDate),AX10,IF((AP10-1)&lt;AL10,-1,12*(YEAR((AP10-1))-YEAR(AL10))+MONTH((AP10-1))-MONTH(AL10)-IF(DAY((AP10-1))&lt;MIN(DAY(AL10),DAY(EOMONTH((AP10-1),0))),1,0))))</f>
        <v/>
      </c>
      <c r="BA10" s="16" t="str">
        <f aca="false">IF(AK10=0,"",IF(PFYDate&lt;AL10,-1,12*(YEAR(PFYDate)-YEAR(AL10))+MONTH(PFYDate)-MONTH(AL10)-IF(DAY(PFYDate)&lt;MIN(DAY(AL10),DAY(EOMONTH(PFYDate,0))),1,0)))</f>
        <v/>
      </c>
      <c r="BB10" s="16" t="str">
        <f aca="false">IF(AK10=0,"",IF(OR(AM10&lt;2,AO10&gt;PFYDate),BA10,IF((AO10-1)&lt;AL10,-1,12*(YEAR((AO10-1))-YEAR(AL10))+MONTH((AO10-1))-MONTH(AL10)-IF(DAY((AO10-1))&lt;MIN(DAY(AL10),DAY(EOMONTH((AO10-1),0))),1,0))))</f>
        <v/>
      </c>
      <c r="BC10" s="16" t="str">
        <f aca="false">IF(AK10=0,"",IF(OR(AM10&lt;3,AP10&gt;PFYDate),BA10,IF((AP10-1)&lt;AL10,-1,12*(YEAR((AP10-1))-YEAR(AL10))+MONTH((AP10-1))-MONTH(AL10)-IF(DAY((AP10-1))&lt;MIN(DAY(AL10),DAY(EOMONTH((AP10-1),0))),1,0))))</f>
        <v/>
      </c>
      <c r="BD10" s="16" t="str">
        <f aca="false">IF(AK10=0,"",IF(AT10="FT",IF(AY10&lt;FT_First,0,IF(AY10&lt;FT_Y5,1+INT((AY10-FT_First)/FT_Int1),FT_PreY5+FT_PerYear*INT((AY10-FT_Y5)/12)+FT_AnnivDays+INT(MOD(AY10-FT_Y5,12)/FT_Int2)-IF(EDATE(AL10,FT_Y5)&lt;PolicyEff,FT_AnnivDays-1,0))),IF(AT10="PT",IF(AY10&lt;PT_First,0,1+INT((AY10-PT_First)/PT_Int)),0))+IF(AND(AM10&gt;=2,AO10&lt;=AsOfDate),IF(AU10="FT",IF(AZ10&lt;FT_First,0,IF(AZ10&lt;FT_Y5,1+INT((AZ10-FT_First)/FT_Int1),FT_PreY5+FT_PerYear*INT((AZ10-FT_Y5)/12)+FT_AnnivDays+INT(MOD(AZ10-FT_Y5,12)/FT_Int2)-IF(EDATE(AL10,FT_Y5)&lt;PolicyEff,FT_AnnivDays-1,0))),IF(AU10="PT",IF(AZ10&lt;PT_First,0,1+INT((AZ10-PT_First)/PT_Int)),0))-IF(AU10="FT",IF(AY10&lt;FT_First,0,IF(AY10&lt;FT_Y5,1+INT((AY10-FT_First)/FT_Int1),FT_PreY5+FT_PerYear*INT((AY10-FT_Y5)/12)+FT_AnnivDays+INT(MOD(AY10-FT_Y5,12)/FT_Int2)-IF(EDATE(AL10,FT_Y5)&lt;PolicyEff,FT_AnnivDays-1,0))),IF(AU10="PT",IF(AY10&lt;PT_First,0,1+INT((AY10-PT_First)/PT_Int)),0)),0)+IF(AND(AM10&gt;=3,AP10&lt;=AsOfDate),IF(AV10="FT",IF(AX10&lt;FT_First,0,IF(AX10&lt;FT_Y5,1+INT((AX10-FT_First)/FT_Int1),FT_PreY5+FT_PerYear*INT((AX10-FT_Y5)/12)+FT_AnnivDays+INT(MOD(AX10-FT_Y5,12)/FT_Int2)-IF(EDATE(AL10,FT_Y5)&lt;PolicyEff,FT_AnnivDays-1,0))),IF(AV10="PT",IF(AX10&lt;PT_First,0,1+INT((AX10-PT_First)/PT_Int)),0))-IF(AV10="FT",IF(AZ10&lt;FT_First,0,IF(AZ10&lt;FT_Y5,1+INT((AZ10-FT_First)/FT_Int1),FT_PreY5+FT_PerYear*INT((AZ10-FT_Y5)/12)+FT_AnnivDays+INT(MOD(AZ10-FT_Y5,12)/FT_Int2)-IF(EDATE(AL10,FT_Y5)&lt;PolicyEff,FT_AnnivDays-1,0))),IF(AV10="PT",IF(AZ10&lt;PT_First,0,1+INT((AZ10-PT_First)/PT_Int)),0)),0))</f>
        <v/>
      </c>
      <c r="BE10" s="16" t="str">
        <f aca="false">IF(AK10=0,"",IF(AT10="FT",IF(BB10&lt;FT_First,0,IF(BB10&lt;FT_Y5,1+INT((BB10-FT_First)/FT_Int1),FT_PreY5+FT_PerYear*INT((BB10-FT_Y5)/12)+FT_AnnivDays+INT(MOD(BB10-FT_Y5,12)/FT_Int2)-IF(EDATE(AL10,FT_Y5)&lt;PolicyEff,FT_AnnivDays-1,0))),IF(AT10="PT",IF(BB10&lt;PT_First,0,1+INT((BB10-PT_First)/PT_Int)),0))+IF(AND(AM10&gt;=2,AO10&lt;=PFYDate),IF(AU10="FT",IF(BC10&lt;FT_First,0,IF(BC10&lt;FT_Y5,1+INT((BC10-FT_First)/FT_Int1),FT_PreY5+FT_PerYear*INT((BC10-FT_Y5)/12)+FT_AnnivDays+INT(MOD(BC10-FT_Y5,12)/FT_Int2)-IF(EDATE(AL10,FT_Y5)&lt;PolicyEff,FT_AnnivDays-1,0))),IF(AU10="PT",IF(BC10&lt;PT_First,0,1+INT((BC10-PT_First)/PT_Int)),0))-IF(AU10="FT",IF(BB10&lt;FT_First,0,IF(BB10&lt;FT_Y5,1+INT((BB10-FT_First)/FT_Int1),FT_PreY5+FT_PerYear*INT((BB10-FT_Y5)/12)+FT_AnnivDays+INT(MOD(BB10-FT_Y5,12)/FT_Int2)-IF(EDATE(AL10,FT_Y5)&lt;PolicyEff,FT_AnnivDays-1,0))),IF(AU10="PT",IF(BB10&lt;PT_First,0,1+INT((BB10-PT_First)/PT_Int)),0)),0)+IF(AND(AM10&gt;=3,AP10&lt;=PFYDate),IF(AV10="FT",IF(BA10&lt;FT_First,0,IF(BA10&lt;FT_Y5,1+INT((BA10-FT_First)/FT_Int1),FT_PreY5+FT_PerYear*INT((BA10-FT_Y5)/12)+FT_AnnivDays+INT(MOD(BA10-FT_Y5,12)/FT_Int2)-IF(EDATE(AL10,FT_Y5)&lt;PolicyEff,FT_AnnivDays-1,0))),IF(AV10="PT",IF(BA10&lt;PT_First,0,1+INT((BA10-PT_First)/PT_Int)),0))-IF(AV10="FT",IF(BC10&lt;FT_First,0,IF(BC10&lt;FT_Y5,1+INT((BC10-FT_First)/FT_Int1),FT_PreY5+FT_PerYear*INT((BC10-FT_Y5)/12)+FT_AnnivDays+INT(MOD(BC10-FT_Y5,12)/FT_Int2)-IF(EDATE(AL10,FT_Y5)&lt;PolicyEff,FT_AnnivDays-1,0))),IF(AV10="PT",IF(BC10&lt;PT_First,0,1+INT((BC10-PT_First)/PT_Int)),0)),0))</f>
        <v/>
      </c>
      <c r="BF10" s="16" t="str">
        <f aca="false">IF(AK10=0,"",IF(AW10="FT",IF(AX10&lt;FT_First,FT_First,IF(AX10&lt;FT_Y5,MIN(FT_Y5,FT_First+FT_Int1*(INT((AX10-FT_First)/FT_Int1)+1)),FT_Y5+12*INT((AX10-FT_Y5)/12)+FT_Int2*(INT(MOD(AX10-FT_Y5,12)/FT_Int2)+1))),IF(AW10="PT",IF(AX10&lt;PT_First,PT_First,PT_First+PT_Int*(INT((AX10-PT_First)/PT_Int)+1)),"")))</f>
        <v/>
      </c>
      <c r="BG10" s="16" t="str">
        <f aca="false">IF(AK10=0,"",IF(NOT(LH_Ready),0,COUNTIFS(INDEX(LH_Data,0,LH_ColFirst),$A10,INDEX(LH_Data,0,LH_ColSur),$B10,INDEX(LH_Data,0,LH_ColCat),BonusCat)))</f>
        <v/>
      </c>
      <c r="BH10" s="16" t="str">
        <f aca="false">IF(AK10=0,"",IF(OR(NOT(LH_Ready),BG10=0),0,SUMPRODUCT(MAX((INDEX(LH_Data,0,LH_ColFirst)=$A10)*(INDEX(LH_Data,0,LH_ColSur)=$B10)*(INDEX(LH_Data,0,LH_ColCat)=BonusCat)*ROW(LH_Data)))))</f>
        <v/>
      </c>
      <c r="BI10" s="16" t="str">
        <f aca="false">IF(AK10=0,"",IF(EOMONTH(AsOfDate,-1)&lt;AL10,-1,12*(YEAR(EOMONTH(AsOfDate,-1))-YEAR(AL10))+MONTH(EOMONTH(AsOfDate,-1))-MONTH(AL10)-IF(DAY(EOMONTH(AsOfDate,-1))&lt;MIN(DAY(AL10),DAY(EOMONTH(EOMONTH(AsOfDate,-1),0))),1,0)))</f>
        <v/>
      </c>
      <c r="BJ10" s="16" t="str">
        <f aca="false">IF(AK10=0,"",IF(OR(AM10&lt;2,AO10&gt;EOMONTH(AsOfDate,-1)),BI10,IF((AO10-1)&lt;AL10,-1,12*(YEAR((AO10-1))-YEAR(AL10))+MONTH((AO10-1))-MONTH(AL10)-IF(DAY((AO10-1))&lt;MIN(DAY(AL10),DAY(EOMONTH((AO10-1),0))),1,0))))</f>
        <v/>
      </c>
      <c r="BK10" s="16" t="str">
        <f aca="false">IF(AK10=0,"",IF(OR(AM10&lt;3,AP10&gt;EOMONTH(AsOfDate,-1)),BI10,IF((AP10-1)&lt;AL10,-1,12*(YEAR((AP10-1))-YEAR(AL10))+MONTH((AP10-1))-MONTH(AL10)-IF(DAY((AP10-1))&lt;MIN(DAY(AL10),DAY(EOMONTH((AP10-1),0))),1,0))))</f>
        <v/>
      </c>
      <c r="BL10" s="16" t="str">
        <f aca="false">IF(AK10=0,"",IF(AT10="FT",IF(BJ10&lt;FT_First,0,IF(BJ10&lt;FT_Y5,1+INT((BJ10-FT_First)/FT_Int1),FT_PreY5+FT_PerYear*INT((BJ10-FT_Y5)/12)+FT_AnnivDays+INT(MOD(BJ10-FT_Y5,12)/FT_Int2)-IF(EDATE(AL10,FT_Y5)&lt;PolicyEff,FT_AnnivDays-1,0))),IF(AT10="PT",IF(BJ10&lt;PT_First,0,1+INT((BJ10-PT_First)/PT_Int)),0))+IF(AND(AM10&gt;=2,AO10&lt;=EOMONTH(AsOfDate,-1)),IF(AU10="FT",IF(BK10&lt;FT_First,0,IF(BK10&lt;FT_Y5,1+INT((BK10-FT_First)/FT_Int1),FT_PreY5+FT_PerYear*INT((BK10-FT_Y5)/12)+FT_AnnivDays+INT(MOD(BK10-FT_Y5,12)/FT_Int2)-IF(EDATE(AL10,FT_Y5)&lt;PolicyEff,FT_AnnivDays-1,0))),IF(AU10="PT",IF(BK10&lt;PT_First,0,1+INT((BK10-PT_First)/PT_Int)),0))-IF(AU10="FT",IF(BJ10&lt;FT_First,0,IF(BJ10&lt;FT_Y5,1+INT((BJ10-FT_First)/FT_Int1),FT_PreY5+FT_PerYear*INT((BJ10-FT_Y5)/12)+FT_AnnivDays+INT(MOD(BJ10-FT_Y5,12)/FT_Int2)-IF(EDATE(AL10,FT_Y5)&lt;PolicyEff,FT_AnnivDays-1,0))),IF(AU10="PT",IF(BJ10&lt;PT_First,0,1+INT((BJ10-PT_First)/PT_Int)),0)),0)+IF(AND(AM10&gt;=3,AP10&lt;=EOMONTH(AsOfDate,-1)),IF(AV10="FT",IF(BI10&lt;FT_First,0,IF(BI10&lt;FT_Y5,1+INT((BI10-FT_First)/FT_Int1),FT_PreY5+FT_PerYear*INT((BI10-FT_Y5)/12)+FT_AnnivDays+INT(MOD(BI10-FT_Y5,12)/FT_Int2)-IF(EDATE(AL10,FT_Y5)&lt;PolicyEff,FT_AnnivDays-1,0))),IF(AV10="PT",IF(BI10&lt;PT_First,0,1+INT((BI10-PT_First)/PT_Int)),0))-IF(AV10="FT",IF(BK10&lt;FT_First,0,IF(BK10&lt;FT_Y5,1+INT((BK10-FT_First)/FT_Int1),FT_PreY5+FT_PerYear*INT((BK10-FT_Y5)/12)+FT_AnnivDays+INT(MOD(BK10-FT_Y5,12)/FT_Int2)-IF(EDATE(AL10,FT_Y5)&lt;PolicyEff,FT_AnnivDays-1,0))),IF(AV10="PT",IF(BK10&lt;PT_First,0,1+INT((BK10-PT_First)/PT_Int)),0)),0))</f>
        <v/>
      </c>
      <c r="BM10" s="16" t="str">
        <f aca="false">IF(AK10=0,"",IF(AW10="FT",IF(AX10&lt;FT_First,"",IF(AX10&lt;FT_Y5,FT_First+FT_Int1*INT((AX10-FT_First)/FT_Int1),FT_Y5+FT_Int2*INT((AX10-FT_Y5)/FT_Int2))),IF(AW10="PT",IF(AX10&lt;PT_First,"",PT_First+PT_Int*INT((AX10-PT_First)/PT_Int)),"")))</f>
        <v/>
      </c>
      <c r="BN10" s="16" t="str">
        <f aca="false">IF(AK10=0,"",IF((SchemeStart-1)&lt;AL10,-1,12*(YEAR((SchemeStart-1))-YEAR(AL10))+MONTH((SchemeStart-1))-MONTH(AL10)-IF(DAY((SchemeStart-1))&lt;MIN(DAY(AL10),DAY(EOMONTH((SchemeStart-1),0))),1,0)))</f>
        <v/>
      </c>
      <c r="BO10" s="16" t="str">
        <f aca="false">IF(AK10=0,"",IF(OR(AM10&lt;2,AO10&gt;(SchemeStart-1)),BN10,IF((AO10-1)&lt;AL10,-1,12*(YEAR((AO10-1))-YEAR(AL10))+MONTH((AO10-1))-MONTH(AL10)-IF(DAY((AO10-1))&lt;MIN(DAY(AL10),DAY(EOMONTH((AO10-1),0))),1,0))))</f>
        <v/>
      </c>
      <c r="BP10" s="16" t="str">
        <f aca="false">IF(AK10=0,"",IF(OR(AM10&lt;3,AP10&gt;(SchemeStart-1)),BN10,IF((AP10-1)&lt;AL10,-1,12*(YEAR((AP10-1))-YEAR(AL10))+MONTH((AP10-1))-MONTH(AL10)-IF(DAY((AP10-1))&lt;MIN(DAY(AL10),DAY(EOMONTH((AP10-1),0))),1,0))))</f>
        <v/>
      </c>
      <c r="BQ10" s="16" t="str">
        <f aca="false">IF(AK10=0,"",IF(AT10="FT",IF(BO10&lt;FT_First,0,IF(BO10&lt;FT_Y5,1+INT((BO10-FT_First)/FT_Int1),FT_PreY5+FT_PerYear*INT((BO10-FT_Y5)/12)+FT_AnnivDays+INT(MOD(BO10-FT_Y5,12)/FT_Int2)-IF(EDATE(AL10,FT_Y5)&lt;PolicyEff,FT_AnnivDays-1,0))),IF(AT10="PT",IF(BO10&lt;PT_First,0,1+INT((BO10-PT_First)/PT_Int)),0))+IF(AND(AM10&gt;=2,AO10&lt;=(SchemeStart-1)),IF(AU10="FT",IF(BP10&lt;FT_First,0,IF(BP10&lt;FT_Y5,1+INT((BP10-FT_First)/FT_Int1),FT_PreY5+FT_PerYear*INT((BP10-FT_Y5)/12)+FT_AnnivDays+INT(MOD(BP10-FT_Y5,12)/FT_Int2)-IF(EDATE(AL10,FT_Y5)&lt;PolicyEff,FT_AnnivDays-1,0))),IF(AU10="PT",IF(BP10&lt;PT_First,0,1+INT((BP10-PT_First)/PT_Int)),0))-IF(AU10="FT",IF(BO10&lt;FT_First,0,IF(BO10&lt;FT_Y5,1+INT((BO10-FT_First)/FT_Int1),FT_PreY5+FT_PerYear*INT((BO10-FT_Y5)/12)+FT_AnnivDays+INT(MOD(BO10-FT_Y5,12)/FT_Int2)-IF(EDATE(AL10,FT_Y5)&lt;PolicyEff,FT_AnnivDays-1,0))),IF(AU10="PT",IF(BO10&lt;PT_First,0,1+INT((BO10-PT_First)/PT_Int)),0)),0)+IF(AND(AM10&gt;=3,AP10&lt;=(SchemeStart-1)),IF(AV10="FT",IF(BN10&lt;FT_First,0,IF(BN10&lt;FT_Y5,1+INT((BN10-FT_First)/FT_Int1),FT_PreY5+FT_PerYear*INT((BN10-FT_Y5)/12)+FT_AnnivDays+INT(MOD(BN10-FT_Y5,12)/FT_Int2)-IF(EDATE(AL10,FT_Y5)&lt;PolicyEff,FT_AnnivDays-1,0))),IF(AV10="PT",IF(BN10&lt;PT_First,0,1+INT((BN10-PT_First)/PT_Int)),0))-IF(AV10="FT",IF(BP10&lt;FT_First,0,IF(BP10&lt;FT_Y5,1+INT((BP10-FT_First)/FT_Int1),FT_PreY5+FT_PerYear*INT((BP10-FT_Y5)/12)+FT_AnnivDays+INT(MOD(BP10-FT_Y5,12)/FT_Int2)-IF(EDATE(AL10,FT_Y5)&lt;PolicyEff,FT_AnnivDays-1,0))),IF(AV10="PT",IF(BP10&lt;PT_First,0,1+INT((BP10-PT_First)/PT_Int)),0)),0))</f>
        <v/>
      </c>
      <c r="BR10" s="0" t="str">
        <f aca="false">IF(LEN($A10&amp;$B10)=0,"",$A10&amp;" "&amp;$B10)</f>
        <v/>
      </c>
    </row>
    <row r="11" customFormat="false" ht="15" hidden="false" customHeight="false" outlineLevel="0" collapsed="false">
      <c r="A11" s="12"/>
      <c r="B11" s="12"/>
      <c r="C11" s="12"/>
      <c r="D11" s="13"/>
      <c r="E11" s="14" t="str">
        <f aca="false">IF(OR(AK11=0,$D11=""),"",DATE(YEAR(AsOfDate)+IF(DATE(YEAR(AsOfDate),MONTH($D11),DAY($D11))&lt;=AsOfDate,1,0),MONTH($D11),DAY($D11)))</f>
        <v/>
      </c>
      <c r="F11" s="13"/>
      <c r="G11" s="13"/>
      <c r="H11" s="13"/>
      <c r="I11" s="13"/>
      <c r="J11" s="13"/>
      <c r="K11" s="14" t="str">
        <f aca="false">IF(AK11=0,"",DATE(YEAR(AsOfDate)+IF(DATE(YEAR(AsOfDate),MONTH(AL11),DAY(AL11))&lt;=AsOfDate,1,0),MONTH(AL11),DAY(AL11)))</f>
        <v/>
      </c>
      <c r="L11" s="15" t="str">
        <f aca="false">IF(AK11=0,"",ROUND((AsOfDate-AL11)/365.25,1))</f>
        <v/>
      </c>
      <c r="M11" s="16" t="str">
        <f aca="false">IF(AK11=0,"",IF(AsOfDate&lt;AL11,"-",DATEDIF(AL11,AsOfDate,"y")&amp;"y "&amp;DATEDIF(AL11,AsOfDate,"ym")&amp;"m "&amp;DATEDIF(AL11,AsOfDate,"md")&amp;"d"))</f>
        <v/>
      </c>
      <c r="N11" s="17" t="str">
        <f aca="false">IF(AK11=0,"",O11*HoursPerDay)</f>
        <v/>
      </c>
      <c r="O11" s="17" t="str">
        <f aca="false">IF(AK11=0,"",MAX(0,BD11-BQ11))</f>
        <v/>
      </c>
      <c r="P11" s="18"/>
      <c r="Q11" s="16" t="str">
        <f aca="false">IF(AK11=0,"",IF(AM11&lt;2,"",AQ11&amp;" to "&amp;AR11&amp;" on "&amp;TEXT(AO11,"dd/mm/yyyy")&amp;IF(AO11&gt;AsOfDate," (future)",IF(AT11=AU11,"",IF(AU11="None"," - STOPPED accruing",IF(AT11="None"," - commencement for Bonus Leave"," - pathway changed"))))&amp;IF(AM11&lt;3,"","; "&amp;AR11&amp;" to "&amp;AS11&amp;" on "&amp;TEXT(AP11,"dd/mm/yyyy")&amp;IF(AP11&gt;AsOfDate," (future)",IF(AU11=AV11,"",IF(AV11="None"," - STOPPED accruing",IF(AU11="None"," - commencement for Bonus Leave"," - pathway changed")))))))</f>
        <v/>
      </c>
      <c r="R11" s="16" t="str">
        <f aca="false">IF(AK11=0,"",IF(AW11="None",IF(O11&gt;0,"No longer accruing","Not eligible - "&amp;IF(AND(OR(ISNUMBER(SEARCH("part",$C11)),UPPER(TRIM($C11))="PT",UPPER(TRIM($C11))="PTE"),Apply2026="No"),"part-time (scheme is full-time only)",IF(AND(OR(ISNUMBER(SEARCH("part",$C11)),UPPER(TRIM($C11))="PT",UPPER(TRIM($C11))="PTE"),$P11&lt;&gt;"",N($P11)&lt;PT_MinHours),"under "&amp;PT_MinHours&amp;" hrs",IF(IF($C11="","",IF(OR(ISNUMBER(SEARCH("full",$C11)),UPPER(TRIM($C11))="FT",UPPER(TRIM($C11))="FTE"),"Full-Time",IF(OR(ISNUMBER(SEARCH("part",$C11)),UPPER(TRIM($C11))="PT",UPPER(TRIM($C11))="PTE"),"Part-Time",IF(OR(ISNUMBER(SEARCH("cas",$C11)),UPPER(TRIM($C11))="CAS"),"Casual","Unknown"))))="Unknown","type not recognised",$C11)))),IF(O11&gt;0,"Yes - Accrual Required","Not yet - from "&amp;TEXT(S11,"dd/mm/yyyy"))))</f>
        <v/>
      </c>
      <c r="S11" s="14" t="str">
        <f aca="false">IF(AK11=0,"",IF(AW11="None","",EDATE(AL11,BF11)))</f>
        <v/>
      </c>
      <c r="T11" s="17" t="str">
        <f aca="false">IF(AK11=0,"",IF(NOT(LH_Ready),"",IF($F11&gt;PFYDate,0,IF(LH_ColPeriod=0,W11-U11+V11,SUMIFS(INDEX(LH_Data,0,LH_ColAcc),INDEX(LH_Data,0,LH_ColFirst),$A11,INDEX(LH_Data,0,LH_ColSur),$B11,INDEX(LH_Data,0,LH_ColCat),BonusCat,INDEX(LH_Data,0,LH_ColPeriod),LH_OpenLabel)*UnitFactor))))</f>
        <v/>
      </c>
      <c r="U11" s="17" t="str">
        <f aca="false">IF(AK11=0,"",IF(NOT(LH_Ready),"",SUMIFS(INDEX(LH_Data,0,LH_ColAcc),INDEX(LH_Data,0,LH_ColFirst),$A11,INDEX(LH_Data,0,LH_ColSur),$B11,INDEX(LH_Data,0,LH_ColCat),BonusCat,INDEX(LH_Data,0,LH_ColStart),"&gt;="&amp;AL11)*UnitFactor))</f>
        <v/>
      </c>
      <c r="V11" s="17" t="str">
        <f aca="false">IF(AK11=0,"",IF(NOT(LH_Ready),"",SUMIFS(INDEX(LH_Data,0,LH_ColTaken),INDEX(LH_Data,0,LH_ColFirst),$A11,INDEX(LH_Data,0,LH_ColSur),$B11,INDEX(LH_Data,0,LH_ColCat),BonusCat,INDEX(LH_Data,0,LH_ColStart),"&gt;="&amp;AL11)*UnitFactor))</f>
        <v/>
      </c>
      <c r="W11" s="17" t="str">
        <f aca="false">IF(AK11=0,"",IF(NOT(LH_Ready),"",IF(BH11=0,0,INDEX(INDEX(LH_Data,0,LH_ColClose),BH11-1)*UnitFactor)))</f>
        <v/>
      </c>
      <c r="X11" s="17" t="str">
        <f aca="false">IF(AK11=0,"",(MAX(0,BD11-BQ11)-MAX(0,BE11-BQ11))*HoursPerDay)</f>
        <v/>
      </c>
      <c r="Y11" s="17" t="str">
        <f aca="false">IF(AK11=0,"",IF(NOT(LH_Ready),"",IF($AI11="Yes",N(AE11)*HoursPerDay-SUMIFS(INDEX(LH_Data,0,LH_ColAcc),INDEX(LH_Data,0,LH_ColFirst),$A11,INDEX(LH_Data,0,LH_ColSur),$B11,INDEX(LH_Data,0,LH_ColCat),BonusCat,INDEX(LH_Data,0,LH_ColStart),"&gt;="&amp;(EOMONTH(AsOfDate,-1)+1),INDEX(LH_Data,0,LH_ColStart),"&lt;="&amp;AsOfDate)*UnitFactor,IF(BG11=0,N11,N11-N(T11)-N(U11)))))</f>
        <v/>
      </c>
      <c r="Z11" s="16" t="str">
        <f aca="false">IF(OR(AK11=0,Y11=""),"",IF(Y11&gt;0,"Yes","No"))</f>
        <v/>
      </c>
      <c r="AA11" s="16" t="str">
        <f aca="false">IF(AK11=0,IF(LEN($A11&amp;$B11)=0,"","FIX INPUT - StartDate missing"),IF(AD11&lt;&gt;"","FIX INPUT - "&amp;AD11,IF(NOT(LH_Ready),"Paste Leave History export (Settings must show YES)",IF(AND($AI11="Yes",Y11&lt;=0),"OK - EH balance accepted to date"&amp;IF(N(AH11)&gt;0," (EH holds "&amp;AH11&amp;" hrs over the scheme)","")&amp;"; next day "&amp;TEXT(S11,"dd mmm yy")&amp;IF(N(AE11)&gt;0," ("&amp;AE11&amp;" day(s) for "&amp;UPPER(TEXT(AsOfDate,"mmm yyyy"))&amp;" already in EH)",""),IF(Y11&gt;0,"ACCRUE "&amp;ROUND(Y11,2)&amp;" hrs ("&amp;ROUND(Y11/HoursPerDay,2)&amp;" days): "&amp;IF(N(AE11)&gt;0,AE11&amp;" day(s) for "&amp;UPPER(TEXT(AsOfDate,"mmm yyyy"))&amp;" (milestone "&amp;UPPER(TEXT(AF11,"dd mmm yy"))&amp;")"&amp;IF(Y11/HoursPerDay&gt;AE11+0.001," + "&amp;ROUND(Y11/HoursPerDay-AE11,2)&amp;" day(s) catch-up from earlier months",""),"all catch-up from earlier months, nothing new this month")&amp;IF(BG11=0,"; no Bonus Leave in EH yet",""),IF(Y11&lt;0,"CHECK - EH accrued "&amp;ROUND(-Y11,2)&amp;" hrs more than policy since commencement",IF(N(W11)&gt;O11*HoursPerDay+0.01,"CHECK - EH balance "&amp;ROUND(W11-O11*HoursPerDay,2)&amp;" hrs more than policy entitlement",IF(O11&gt;0,"OK - nothing to add"&amp;IF(N(AE11)&gt;0," ("&amp;AE11&amp;" day(s) for "&amp;UPPER(TEXT(AsOfDate,"mmm yyyy"))&amp;" already in EH)",""),IF(AW11="None",R11,"Not yet - first day on "&amp;TEXT(S11,"dd/mm/yyyy"))))))))))</f>
        <v/>
      </c>
      <c r="AB11" s="17" t="str">
        <f aca="false">IF(OR(AK11=0,T11=""),"",MAX(0,BE11-BQ11)*HoursPerDay-T11)</f>
        <v/>
      </c>
      <c r="AC11" s="16" t="str">
        <f aca="false">IF(AK11=0,"",BG11)</f>
        <v/>
      </c>
      <c r="AD11" s="16" t="str">
        <f aca="false">IF(AK11=0,"",TRIM(IF(OR(ISTEXT($F11),ISTEXT($H11),ISTEXT($I11),ISTEXT($G11),ISTEXT($J11),ISTEXT($D11)),"A date is typed as text - retype it as dd/mm/yyyy. ","")&amp;IF(IF($C11="","",IF(OR(ISNUMBER(SEARCH("full",$C11)),UPPER(TRIM($C11))="FT",UPPER(TRIM($C11))="FTE"),"Full-Time",IF(OR(ISNUMBER(SEARCH("part",$C11)),UPPER(TRIM($C11))="PT",UPPER(TRIM($C11))="PTE"),"Part-Time",IF(OR(ISNUMBER(SEARCH("cas",$C11)),UPPER(TRIM($C11))="CAS"),"Casual","Unknown"))))="Unknown","EmploymentType not recognised - use Full-Time, Part-Time or Casual. ","")&amp;IF(AND(AM11&gt;=1,IF(AM11&gt;=3,AS11,IF(AM11=2,AR11,AQ11))&lt;&gt;IF($C11="","",IF(OR(ISNUMBER(SEARCH("full",$C11)),UPPER(TRIM($C11))="FT",UPPER(TRIM($C11))="FTE"),"Full-Time",IF(OR(ISNUMBER(SEARCH("part",$C11)),UPPER(TRIM($C11))="PT",UPPER(TRIM($C11))="PTE"),"Part-Time",IF(OR(ISNUMBER(SEARCH("cas",$C11)),UPPER(TRIM($C11))="CAS"),"Casual","Unknown"))))),"EmploymentType does not match latest start date ("&amp;IF(AM11&gt;=3,AS11,IF(AM11=2,AR11,AQ11))&amp;"). ","")&amp;IF(AND(AM11&gt;=1,AN11&lt;&gt;$F11),"Earliest type date should equal StartDate. ","")&amp;IF(AND(AM11&gt;=2,AN11=AO11),"Two types start on the same date. ","")&amp;IF(AND(OR(ISNUMBER(SEARCH("part",$C11)),UPPER(TRIM($C11))="PT",UPPER(TRIM($C11))="PTE"),$P11=""),"Part-time: enter PT Hrs/Week (blank = 24+). ","")))</f>
        <v/>
      </c>
      <c r="AE11" s="17" t="str">
        <f aca="false">IF(AK11=0,"",O11-MAX(0,BL11-BQ11))</f>
        <v/>
      </c>
      <c r="AF11" s="14" t="str">
        <f aca="false">IF(OR(AK11=0,AE11="",N(AE11)=0,BM11=""),"",EDATE(AL11,BM11))</f>
        <v/>
      </c>
      <c r="AG11" s="17" t="str">
        <f aca="false">IF(AK11=0,"",MIN(BD11,BQ11))</f>
        <v/>
      </c>
      <c r="AH11" s="17" t="str">
        <f aca="false">IF(AK11=0,"",IF(NOT(LH_Ready),"",IF(BG11=0,0,MAX(0,ROUND(N(T11)+N(U11)-N11,2)))))</f>
        <v/>
      </c>
      <c r="AI11" s="12"/>
      <c r="AJ11" s="12"/>
      <c r="AK11" s="16" t="n">
        <f aca="false">IF(OR(LEN($A11&amp;$B11)=0,$F11=""),0,1)</f>
        <v>0</v>
      </c>
      <c r="AL11" s="14" t="str">
        <f aca="false">IF(AK11=0,"",IF(PreSchemeCounts="No",MAX(SchemeStart,IF($J11&lt;&gt;"",$J11,IF(OR(CasualCounts="Yes",COUNT($G11:$I11)=0),$F11,IF(Apply2026="No",IF($I11="",$F11,$I11),IF(COUNT($H11:$I11)=0,$F11,MIN($H11:$I11)))))),IF($J11&lt;&gt;"",$J11,IF(OR(CasualCounts="Yes",COUNT($G11:$I11)=0),$F11,IF(Apply2026="No",IF($I11="",$F11,$I11),IF(COUNT($H11:$I11)=0,$F11,MIN($H11:$I11)))))))</f>
        <v/>
      </c>
      <c r="AM11" s="16" t="str">
        <f aca="false">IF(AK11=0,"",COUNT($G11:$I11))</f>
        <v/>
      </c>
      <c r="AN11" s="14" t="str">
        <f aca="false">IF(AK11=0,"",IFERROR(SMALL($G11:$I11,1),""))</f>
        <v/>
      </c>
      <c r="AO11" s="14" t="str">
        <f aca="false">IF(AK11=0,"",IFERROR(SMALL($G11:$I11,2),""))</f>
        <v/>
      </c>
      <c r="AP11" s="14" t="str">
        <f aca="false">IF(AK11=0,"",IFERROR(SMALL($G11:$I11,3),""))</f>
        <v/>
      </c>
      <c r="AQ11" s="16" t="str">
        <f aca="false">IF(AK11=0,"",IF(AN11="","",IF(AN11=$H11,"Part-Time",IF(AN11=$I11,"Full-Time","Casual"))))</f>
        <v/>
      </c>
      <c r="AR11" s="16" t="str">
        <f aca="false">IF(AK11=0,"",IF(AO11="","",IF(AO11=$H11,"Part-Time",IF(AO11=$I11,"Full-Time","Casual"))))</f>
        <v/>
      </c>
      <c r="AS11" s="16" t="str">
        <f aca="false">IF(AK11=0,"",IF(AP11="","",IF(AP11=$H11,"Part-Time",IF(AP11=$I11,"Full-Time","Casual"))))</f>
        <v/>
      </c>
      <c r="AT11" s="16" t="str">
        <f aca="false">IF(AK11=0,"",IF(AM11=0,IF(OR(ISNUMBER(SEARCH("full",$C11)),UPPER(TRIM($C11))="FT",UPPER(TRIM($C11))="FTE"),"FT",IF(AND(OR(ISNUMBER(SEARCH("part",$C11)),UPPER(TRIM($C11))="PT",UPPER(TRIM($C11))="PTE"),Apply2026="Yes",OR($P11="",N($P11)&gt;=PT_MinHours)),"PT","None")),IF(OR(ISNUMBER(SEARCH("full",AQ11)),UPPER(TRIM(AQ11))="FT",UPPER(TRIM(AQ11))="FTE"),"FT",IF(AND(OR(ISNUMBER(SEARCH("part",AQ11)),UPPER(TRIM(AQ11))="PT",UPPER(TRIM(AQ11))="PTE"),Apply2026="Yes",OR($P11="",N($P11)&gt;=PT_MinHours)),"PT","None"))))</f>
        <v/>
      </c>
      <c r="AU11" s="16" t="str">
        <f aca="false">IF(AK11=0,"",IF(AM11&lt;2,"",IF(OR(ISNUMBER(SEARCH("full",AR11)),UPPER(TRIM(AR11))="FT",UPPER(TRIM(AR11))="FTE"),"FT",IF(AND(OR(ISNUMBER(SEARCH("part",AR11)),UPPER(TRIM(AR11))="PT",UPPER(TRIM(AR11))="PTE"),Apply2026="Yes",OR($P11="",N($P11)&gt;=PT_MinHours)),"PT","None"))))</f>
        <v/>
      </c>
      <c r="AV11" s="16" t="str">
        <f aca="false">IF(AK11=0,"",IF(AM11&lt;3,"",IF(OR(ISNUMBER(SEARCH("full",AS11)),UPPER(TRIM(AS11))="FT",UPPER(TRIM(AS11))="FTE"),"FT",IF(AND(OR(ISNUMBER(SEARCH("part",AS11)),UPPER(TRIM(AS11))="PT",UPPER(TRIM(AS11))="PTE"),Apply2026="Yes",OR($P11="",N($P11)&gt;=PT_MinHours)),"PT","None"))))</f>
        <v/>
      </c>
      <c r="AW11" s="16" t="str">
        <f aca="false">IF(AK11=0,"",IF(AND(AM11&gt;=3,AP11&lt;=AsOfDate),AV11,IF(AND(AM11&gt;=2,AO11&lt;=AsOfDate),AU11,AT11)))</f>
        <v/>
      </c>
      <c r="AX11" s="16" t="str">
        <f aca="false">IF(AK11=0,"",IF(AsOfDate&lt;AL11,-1,12*(YEAR(AsOfDate)-YEAR(AL11))+MONTH(AsOfDate)-MONTH(AL11)-IF(DAY(AsOfDate)&lt;MIN(DAY(AL11),DAY(EOMONTH(AsOfDate,0))),1,0)))</f>
        <v/>
      </c>
      <c r="AY11" s="16" t="str">
        <f aca="false">IF(AK11=0,"",IF(OR(AM11&lt;2,AO11&gt;AsOfDate),AX11,IF((AO11-1)&lt;AL11,-1,12*(YEAR((AO11-1))-YEAR(AL11))+MONTH((AO11-1))-MONTH(AL11)-IF(DAY((AO11-1))&lt;MIN(DAY(AL11),DAY(EOMONTH((AO11-1),0))),1,0))))</f>
        <v/>
      </c>
      <c r="AZ11" s="16" t="str">
        <f aca="false">IF(AK11=0,"",IF(OR(AM11&lt;3,AP11&gt;AsOfDate),AX11,IF((AP11-1)&lt;AL11,-1,12*(YEAR((AP11-1))-YEAR(AL11))+MONTH((AP11-1))-MONTH(AL11)-IF(DAY((AP11-1))&lt;MIN(DAY(AL11),DAY(EOMONTH((AP11-1),0))),1,0))))</f>
        <v/>
      </c>
      <c r="BA11" s="16" t="str">
        <f aca="false">IF(AK11=0,"",IF(PFYDate&lt;AL11,-1,12*(YEAR(PFYDate)-YEAR(AL11))+MONTH(PFYDate)-MONTH(AL11)-IF(DAY(PFYDate)&lt;MIN(DAY(AL11),DAY(EOMONTH(PFYDate,0))),1,0)))</f>
        <v/>
      </c>
      <c r="BB11" s="16" t="str">
        <f aca="false">IF(AK11=0,"",IF(OR(AM11&lt;2,AO11&gt;PFYDate),BA11,IF((AO11-1)&lt;AL11,-1,12*(YEAR((AO11-1))-YEAR(AL11))+MONTH((AO11-1))-MONTH(AL11)-IF(DAY((AO11-1))&lt;MIN(DAY(AL11),DAY(EOMONTH((AO11-1),0))),1,0))))</f>
        <v/>
      </c>
      <c r="BC11" s="16" t="str">
        <f aca="false">IF(AK11=0,"",IF(OR(AM11&lt;3,AP11&gt;PFYDate),BA11,IF((AP11-1)&lt;AL11,-1,12*(YEAR((AP11-1))-YEAR(AL11))+MONTH((AP11-1))-MONTH(AL11)-IF(DAY((AP11-1))&lt;MIN(DAY(AL11),DAY(EOMONTH((AP11-1),0))),1,0))))</f>
        <v/>
      </c>
      <c r="BD11" s="16" t="str">
        <f aca="false">IF(AK11=0,"",IF(AT11="FT",IF(AY11&lt;FT_First,0,IF(AY11&lt;FT_Y5,1+INT((AY11-FT_First)/FT_Int1),FT_PreY5+FT_PerYear*INT((AY11-FT_Y5)/12)+FT_AnnivDays+INT(MOD(AY11-FT_Y5,12)/FT_Int2)-IF(EDATE(AL11,FT_Y5)&lt;PolicyEff,FT_AnnivDays-1,0))),IF(AT11="PT",IF(AY11&lt;PT_First,0,1+INT((AY11-PT_First)/PT_Int)),0))+IF(AND(AM11&gt;=2,AO11&lt;=AsOfDate),IF(AU11="FT",IF(AZ11&lt;FT_First,0,IF(AZ11&lt;FT_Y5,1+INT((AZ11-FT_First)/FT_Int1),FT_PreY5+FT_PerYear*INT((AZ11-FT_Y5)/12)+FT_AnnivDays+INT(MOD(AZ11-FT_Y5,12)/FT_Int2)-IF(EDATE(AL11,FT_Y5)&lt;PolicyEff,FT_AnnivDays-1,0))),IF(AU11="PT",IF(AZ11&lt;PT_First,0,1+INT((AZ11-PT_First)/PT_Int)),0))-IF(AU11="FT",IF(AY11&lt;FT_First,0,IF(AY11&lt;FT_Y5,1+INT((AY11-FT_First)/FT_Int1),FT_PreY5+FT_PerYear*INT((AY11-FT_Y5)/12)+FT_AnnivDays+INT(MOD(AY11-FT_Y5,12)/FT_Int2)-IF(EDATE(AL11,FT_Y5)&lt;PolicyEff,FT_AnnivDays-1,0))),IF(AU11="PT",IF(AY11&lt;PT_First,0,1+INT((AY11-PT_First)/PT_Int)),0)),0)+IF(AND(AM11&gt;=3,AP11&lt;=AsOfDate),IF(AV11="FT",IF(AX11&lt;FT_First,0,IF(AX11&lt;FT_Y5,1+INT((AX11-FT_First)/FT_Int1),FT_PreY5+FT_PerYear*INT((AX11-FT_Y5)/12)+FT_AnnivDays+INT(MOD(AX11-FT_Y5,12)/FT_Int2)-IF(EDATE(AL11,FT_Y5)&lt;PolicyEff,FT_AnnivDays-1,0))),IF(AV11="PT",IF(AX11&lt;PT_First,0,1+INT((AX11-PT_First)/PT_Int)),0))-IF(AV11="FT",IF(AZ11&lt;FT_First,0,IF(AZ11&lt;FT_Y5,1+INT((AZ11-FT_First)/FT_Int1),FT_PreY5+FT_PerYear*INT((AZ11-FT_Y5)/12)+FT_AnnivDays+INT(MOD(AZ11-FT_Y5,12)/FT_Int2)-IF(EDATE(AL11,FT_Y5)&lt;PolicyEff,FT_AnnivDays-1,0))),IF(AV11="PT",IF(AZ11&lt;PT_First,0,1+INT((AZ11-PT_First)/PT_Int)),0)),0))</f>
        <v/>
      </c>
      <c r="BE11" s="16" t="str">
        <f aca="false">IF(AK11=0,"",IF(AT11="FT",IF(BB11&lt;FT_First,0,IF(BB11&lt;FT_Y5,1+INT((BB11-FT_First)/FT_Int1),FT_PreY5+FT_PerYear*INT((BB11-FT_Y5)/12)+FT_AnnivDays+INT(MOD(BB11-FT_Y5,12)/FT_Int2)-IF(EDATE(AL11,FT_Y5)&lt;PolicyEff,FT_AnnivDays-1,0))),IF(AT11="PT",IF(BB11&lt;PT_First,0,1+INT((BB11-PT_First)/PT_Int)),0))+IF(AND(AM11&gt;=2,AO11&lt;=PFYDate),IF(AU11="FT",IF(BC11&lt;FT_First,0,IF(BC11&lt;FT_Y5,1+INT((BC11-FT_First)/FT_Int1),FT_PreY5+FT_PerYear*INT((BC11-FT_Y5)/12)+FT_AnnivDays+INT(MOD(BC11-FT_Y5,12)/FT_Int2)-IF(EDATE(AL11,FT_Y5)&lt;PolicyEff,FT_AnnivDays-1,0))),IF(AU11="PT",IF(BC11&lt;PT_First,0,1+INT((BC11-PT_First)/PT_Int)),0))-IF(AU11="FT",IF(BB11&lt;FT_First,0,IF(BB11&lt;FT_Y5,1+INT((BB11-FT_First)/FT_Int1),FT_PreY5+FT_PerYear*INT((BB11-FT_Y5)/12)+FT_AnnivDays+INT(MOD(BB11-FT_Y5,12)/FT_Int2)-IF(EDATE(AL11,FT_Y5)&lt;PolicyEff,FT_AnnivDays-1,0))),IF(AU11="PT",IF(BB11&lt;PT_First,0,1+INT((BB11-PT_First)/PT_Int)),0)),0)+IF(AND(AM11&gt;=3,AP11&lt;=PFYDate),IF(AV11="FT",IF(BA11&lt;FT_First,0,IF(BA11&lt;FT_Y5,1+INT((BA11-FT_First)/FT_Int1),FT_PreY5+FT_PerYear*INT((BA11-FT_Y5)/12)+FT_AnnivDays+INT(MOD(BA11-FT_Y5,12)/FT_Int2)-IF(EDATE(AL11,FT_Y5)&lt;PolicyEff,FT_AnnivDays-1,0))),IF(AV11="PT",IF(BA11&lt;PT_First,0,1+INT((BA11-PT_First)/PT_Int)),0))-IF(AV11="FT",IF(BC11&lt;FT_First,0,IF(BC11&lt;FT_Y5,1+INT((BC11-FT_First)/FT_Int1),FT_PreY5+FT_PerYear*INT((BC11-FT_Y5)/12)+FT_AnnivDays+INT(MOD(BC11-FT_Y5,12)/FT_Int2)-IF(EDATE(AL11,FT_Y5)&lt;PolicyEff,FT_AnnivDays-1,0))),IF(AV11="PT",IF(BC11&lt;PT_First,0,1+INT((BC11-PT_First)/PT_Int)),0)),0))</f>
        <v/>
      </c>
      <c r="BF11" s="16" t="str">
        <f aca="false">IF(AK11=0,"",IF(AW11="FT",IF(AX11&lt;FT_First,FT_First,IF(AX11&lt;FT_Y5,MIN(FT_Y5,FT_First+FT_Int1*(INT((AX11-FT_First)/FT_Int1)+1)),FT_Y5+12*INT((AX11-FT_Y5)/12)+FT_Int2*(INT(MOD(AX11-FT_Y5,12)/FT_Int2)+1))),IF(AW11="PT",IF(AX11&lt;PT_First,PT_First,PT_First+PT_Int*(INT((AX11-PT_First)/PT_Int)+1)),"")))</f>
        <v/>
      </c>
      <c r="BG11" s="16" t="str">
        <f aca="false">IF(AK11=0,"",IF(NOT(LH_Ready),0,COUNTIFS(INDEX(LH_Data,0,LH_ColFirst),$A11,INDEX(LH_Data,0,LH_ColSur),$B11,INDEX(LH_Data,0,LH_ColCat),BonusCat)))</f>
        <v/>
      </c>
      <c r="BH11" s="16" t="str">
        <f aca="false">IF(AK11=0,"",IF(OR(NOT(LH_Ready),BG11=0),0,SUMPRODUCT(MAX((INDEX(LH_Data,0,LH_ColFirst)=$A11)*(INDEX(LH_Data,0,LH_ColSur)=$B11)*(INDEX(LH_Data,0,LH_ColCat)=BonusCat)*ROW(LH_Data)))))</f>
        <v/>
      </c>
      <c r="BI11" s="16" t="str">
        <f aca="false">IF(AK11=0,"",IF(EOMONTH(AsOfDate,-1)&lt;AL11,-1,12*(YEAR(EOMONTH(AsOfDate,-1))-YEAR(AL11))+MONTH(EOMONTH(AsOfDate,-1))-MONTH(AL11)-IF(DAY(EOMONTH(AsOfDate,-1))&lt;MIN(DAY(AL11),DAY(EOMONTH(EOMONTH(AsOfDate,-1),0))),1,0)))</f>
        <v/>
      </c>
      <c r="BJ11" s="16" t="str">
        <f aca="false">IF(AK11=0,"",IF(OR(AM11&lt;2,AO11&gt;EOMONTH(AsOfDate,-1)),BI11,IF((AO11-1)&lt;AL11,-1,12*(YEAR((AO11-1))-YEAR(AL11))+MONTH((AO11-1))-MONTH(AL11)-IF(DAY((AO11-1))&lt;MIN(DAY(AL11),DAY(EOMONTH((AO11-1),0))),1,0))))</f>
        <v/>
      </c>
      <c r="BK11" s="16" t="str">
        <f aca="false">IF(AK11=0,"",IF(OR(AM11&lt;3,AP11&gt;EOMONTH(AsOfDate,-1)),BI11,IF((AP11-1)&lt;AL11,-1,12*(YEAR((AP11-1))-YEAR(AL11))+MONTH((AP11-1))-MONTH(AL11)-IF(DAY((AP11-1))&lt;MIN(DAY(AL11),DAY(EOMONTH((AP11-1),0))),1,0))))</f>
        <v/>
      </c>
      <c r="BL11" s="16" t="str">
        <f aca="false">IF(AK11=0,"",IF(AT11="FT",IF(BJ11&lt;FT_First,0,IF(BJ11&lt;FT_Y5,1+INT((BJ11-FT_First)/FT_Int1),FT_PreY5+FT_PerYear*INT((BJ11-FT_Y5)/12)+FT_AnnivDays+INT(MOD(BJ11-FT_Y5,12)/FT_Int2)-IF(EDATE(AL11,FT_Y5)&lt;PolicyEff,FT_AnnivDays-1,0))),IF(AT11="PT",IF(BJ11&lt;PT_First,0,1+INT((BJ11-PT_First)/PT_Int)),0))+IF(AND(AM11&gt;=2,AO11&lt;=EOMONTH(AsOfDate,-1)),IF(AU11="FT",IF(BK11&lt;FT_First,0,IF(BK11&lt;FT_Y5,1+INT((BK11-FT_First)/FT_Int1),FT_PreY5+FT_PerYear*INT((BK11-FT_Y5)/12)+FT_AnnivDays+INT(MOD(BK11-FT_Y5,12)/FT_Int2)-IF(EDATE(AL11,FT_Y5)&lt;PolicyEff,FT_AnnivDays-1,0))),IF(AU11="PT",IF(BK11&lt;PT_First,0,1+INT((BK11-PT_First)/PT_Int)),0))-IF(AU11="FT",IF(BJ11&lt;FT_First,0,IF(BJ11&lt;FT_Y5,1+INT((BJ11-FT_First)/FT_Int1),FT_PreY5+FT_PerYear*INT((BJ11-FT_Y5)/12)+FT_AnnivDays+INT(MOD(BJ11-FT_Y5,12)/FT_Int2)-IF(EDATE(AL11,FT_Y5)&lt;PolicyEff,FT_AnnivDays-1,0))),IF(AU11="PT",IF(BJ11&lt;PT_First,0,1+INT((BJ11-PT_First)/PT_Int)),0)),0)+IF(AND(AM11&gt;=3,AP11&lt;=EOMONTH(AsOfDate,-1)),IF(AV11="FT",IF(BI11&lt;FT_First,0,IF(BI11&lt;FT_Y5,1+INT((BI11-FT_First)/FT_Int1),FT_PreY5+FT_PerYear*INT((BI11-FT_Y5)/12)+FT_AnnivDays+INT(MOD(BI11-FT_Y5,12)/FT_Int2)-IF(EDATE(AL11,FT_Y5)&lt;PolicyEff,FT_AnnivDays-1,0))),IF(AV11="PT",IF(BI11&lt;PT_First,0,1+INT((BI11-PT_First)/PT_Int)),0))-IF(AV11="FT",IF(BK11&lt;FT_First,0,IF(BK11&lt;FT_Y5,1+INT((BK11-FT_First)/FT_Int1),FT_PreY5+FT_PerYear*INT((BK11-FT_Y5)/12)+FT_AnnivDays+INT(MOD(BK11-FT_Y5,12)/FT_Int2)-IF(EDATE(AL11,FT_Y5)&lt;PolicyEff,FT_AnnivDays-1,0))),IF(AV11="PT",IF(BK11&lt;PT_First,0,1+INT((BK11-PT_First)/PT_Int)),0)),0))</f>
        <v/>
      </c>
      <c r="BM11" s="16" t="str">
        <f aca="false">IF(AK11=0,"",IF(AW11="FT",IF(AX11&lt;FT_First,"",IF(AX11&lt;FT_Y5,FT_First+FT_Int1*INT((AX11-FT_First)/FT_Int1),FT_Y5+FT_Int2*INT((AX11-FT_Y5)/FT_Int2))),IF(AW11="PT",IF(AX11&lt;PT_First,"",PT_First+PT_Int*INT((AX11-PT_First)/PT_Int)),"")))</f>
        <v/>
      </c>
      <c r="BN11" s="16" t="str">
        <f aca="false">IF(AK11=0,"",IF((SchemeStart-1)&lt;AL11,-1,12*(YEAR((SchemeStart-1))-YEAR(AL11))+MONTH((SchemeStart-1))-MONTH(AL11)-IF(DAY((SchemeStart-1))&lt;MIN(DAY(AL11),DAY(EOMONTH((SchemeStart-1),0))),1,0)))</f>
        <v/>
      </c>
      <c r="BO11" s="16" t="str">
        <f aca="false">IF(AK11=0,"",IF(OR(AM11&lt;2,AO11&gt;(SchemeStart-1)),BN11,IF((AO11-1)&lt;AL11,-1,12*(YEAR((AO11-1))-YEAR(AL11))+MONTH((AO11-1))-MONTH(AL11)-IF(DAY((AO11-1))&lt;MIN(DAY(AL11),DAY(EOMONTH((AO11-1),0))),1,0))))</f>
        <v/>
      </c>
      <c r="BP11" s="16" t="str">
        <f aca="false">IF(AK11=0,"",IF(OR(AM11&lt;3,AP11&gt;(SchemeStart-1)),BN11,IF((AP11-1)&lt;AL11,-1,12*(YEAR((AP11-1))-YEAR(AL11))+MONTH((AP11-1))-MONTH(AL11)-IF(DAY((AP11-1))&lt;MIN(DAY(AL11),DAY(EOMONTH((AP11-1),0))),1,0))))</f>
        <v/>
      </c>
      <c r="BQ11" s="16" t="str">
        <f aca="false">IF(AK11=0,"",IF(AT11="FT",IF(BO11&lt;FT_First,0,IF(BO11&lt;FT_Y5,1+INT((BO11-FT_First)/FT_Int1),FT_PreY5+FT_PerYear*INT((BO11-FT_Y5)/12)+FT_AnnivDays+INT(MOD(BO11-FT_Y5,12)/FT_Int2)-IF(EDATE(AL11,FT_Y5)&lt;PolicyEff,FT_AnnivDays-1,0))),IF(AT11="PT",IF(BO11&lt;PT_First,0,1+INT((BO11-PT_First)/PT_Int)),0))+IF(AND(AM11&gt;=2,AO11&lt;=(SchemeStart-1)),IF(AU11="FT",IF(BP11&lt;FT_First,0,IF(BP11&lt;FT_Y5,1+INT((BP11-FT_First)/FT_Int1),FT_PreY5+FT_PerYear*INT((BP11-FT_Y5)/12)+FT_AnnivDays+INT(MOD(BP11-FT_Y5,12)/FT_Int2)-IF(EDATE(AL11,FT_Y5)&lt;PolicyEff,FT_AnnivDays-1,0))),IF(AU11="PT",IF(BP11&lt;PT_First,0,1+INT((BP11-PT_First)/PT_Int)),0))-IF(AU11="FT",IF(BO11&lt;FT_First,0,IF(BO11&lt;FT_Y5,1+INT((BO11-FT_First)/FT_Int1),FT_PreY5+FT_PerYear*INT((BO11-FT_Y5)/12)+FT_AnnivDays+INT(MOD(BO11-FT_Y5,12)/FT_Int2)-IF(EDATE(AL11,FT_Y5)&lt;PolicyEff,FT_AnnivDays-1,0))),IF(AU11="PT",IF(BO11&lt;PT_First,0,1+INT((BO11-PT_First)/PT_Int)),0)),0)+IF(AND(AM11&gt;=3,AP11&lt;=(SchemeStart-1)),IF(AV11="FT",IF(BN11&lt;FT_First,0,IF(BN11&lt;FT_Y5,1+INT((BN11-FT_First)/FT_Int1),FT_PreY5+FT_PerYear*INT((BN11-FT_Y5)/12)+FT_AnnivDays+INT(MOD(BN11-FT_Y5,12)/FT_Int2)-IF(EDATE(AL11,FT_Y5)&lt;PolicyEff,FT_AnnivDays-1,0))),IF(AV11="PT",IF(BN11&lt;PT_First,0,1+INT((BN11-PT_First)/PT_Int)),0))-IF(AV11="FT",IF(BP11&lt;FT_First,0,IF(BP11&lt;FT_Y5,1+INT((BP11-FT_First)/FT_Int1),FT_PreY5+FT_PerYear*INT((BP11-FT_Y5)/12)+FT_AnnivDays+INT(MOD(BP11-FT_Y5,12)/FT_Int2)-IF(EDATE(AL11,FT_Y5)&lt;PolicyEff,FT_AnnivDays-1,0))),IF(AV11="PT",IF(BP11&lt;PT_First,0,1+INT((BP11-PT_First)/PT_Int)),0)),0))</f>
        <v/>
      </c>
      <c r="BR11" s="0" t="str">
        <f aca="false">IF(LEN($A11&amp;$B11)=0,"",$A11&amp;" "&amp;$B11)</f>
        <v/>
      </c>
    </row>
    <row r="12" customFormat="false" ht="15" hidden="false" customHeight="false" outlineLevel="0" collapsed="false">
      <c r="A12" s="12"/>
      <c r="B12" s="12"/>
      <c r="C12" s="12"/>
      <c r="D12" s="13"/>
      <c r="E12" s="14" t="str">
        <f aca="false">IF(OR(AK12=0,$D12=""),"",DATE(YEAR(AsOfDate)+IF(DATE(YEAR(AsOfDate),MONTH($D12),DAY($D12))&lt;=AsOfDate,1,0),MONTH($D12),DAY($D12)))</f>
        <v/>
      </c>
      <c r="F12" s="13"/>
      <c r="G12" s="13"/>
      <c r="H12" s="13"/>
      <c r="I12" s="13"/>
      <c r="J12" s="13"/>
      <c r="K12" s="14" t="str">
        <f aca="false">IF(AK12=0,"",DATE(YEAR(AsOfDate)+IF(DATE(YEAR(AsOfDate),MONTH(AL12),DAY(AL12))&lt;=AsOfDate,1,0),MONTH(AL12),DAY(AL12)))</f>
        <v/>
      </c>
      <c r="L12" s="15" t="str">
        <f aca="false">IF(AK12=0,"",ROUND((AsOfDate-AL12)/365.25,1))</f>
        <v/>
      </c>
      <c r="M12" s="16" t="str">
        <f aca="false">IF(AK12=0,"",IF(AsOfDate&lt;AL12,"-",DATEDIF(AL12,AsOfDate,"y")&amp;"y "&amp;DATEDIF(AL12,AsOfDate,"ym")&amp;"m "&amp;DATEDIF(AL12,AsOfDate,"md")&amp;"d"))</f>
        <v/>
      </c>
      <c r="N12" s="17" t="str">
        <f aca="false">IF(AK12=0,"",O12*HoursPerDay)</f>
        <v/>
      </c>
      <c r="O12" s="17" t="str">
        <f aca="false">IF(AK12=0,"",MAX(0,BD12-BQ12))</f>
        <v/>
      </c>
      <c r="P12" s="18"/>
      <c r="Q12" s="16" t="str">
        <f aca="false">IF(AK12=0,"",IF(AM12&lt;2,"",AQ12&amp;" to "&amp;AR12&amp;" on "&amp;TEXT(AO12,"dd/mm/yyyy")&amp;IF(AO12&gt;AsOfDate," (future)",IF(AT12=AU12,"",IF(AU12="None"," - STOPPED accruing",IF(AT12="None"," - commencement for Bonus Leave"," - pathway changed"))))&amp;IF(AM12&lt;3,"","; "&amp;AR12&amp;" to "&amp;AS12&amp;" on "&amp;TEXT(AP12,"dd/mm/yyyy")&amp;IF(AP12&gt;AsOfDate," (future)",IF(AU12=AV12,"",IF(AV12="None"," - STOPPED accruing",IF(AU12="None"," - commencement for Bonus Leave"," - pathway changed")))))))</f>
        <v/>
      </c>
      <c r="R12" s="16" t="str">
        <f aca="false">IF(AK12=0,"",IF(AW12="None",IF(O12&gt;0,"No longer accruing","Not eligible - "&amp;IF(AND(OR(ISNUMBER(SEARCH("part",$C12)),UPPER(TRIM($C12))="PT",UPPER(TRIM($C12))="PTE"),Apply2026="No"),"part-time (scheme is full-time only)",IF(AND(OR(ISNUMBER(SEARCH("part",$C12)),UPPER(TRIM($C12))="PT",UPPER(TRIM($C12))="PTE"),$P12&lt;&gt;"",N($P12)&lt;PT_MinHours),"under "&amp;PT_MinHours&amp;" hrs",IF(IF($C12="","",IF(OR(ISNUMBER(SEARCH("full",$C12)),UPPER(TRIM($C12))="FT",UPPER(TRIM($C12))="FTE"),"Full-Time",IF(OR(ISNUMBER(SEARCH("part",$C12)),UPPER(TRIM($C12))="PT",UPPER(TRIM($C12))="PTE"),"Part-Time",IF(OR(ISNUMBER(SEARCH("cas",$C12)),UPPER(TRIM($C12))="CAS"),"Casual","Unknown"))))="Unknown","type not recognised",$C12)))),IF(O12&gt;0,"Yes - Accrual Required","Not yet - from "&amp;TEXT(S12,"dd/mm/yyyy"))))</f>
        <v/>
      </c>
      <c r="S12" s="14" t="str">
        <f aca="false">IF(AK12=0,"",IF(AW12="None","",EDATE(AL12,BF12)))</f>
        <v/>
      </c>
      <c r="T12" s="17" t="str">
        <f aca="false">IF(AK12=0,"",IF(NOT(LH_Ready),"",IF($F12&gt;PFYDate,0,IF(LH_ColPeriod=0,W12-U12+V12,SUMIFS(INDEX(LH_Data,0,LH_ColAcc),INDEX(LH_Data,0,LH_ColFirst),$A12,INDEX(LH_Data,0,LH_ColSur),$B12,INDEX(LH_Data,0,LH_ColCat),BonusCat,INDEX(LH_Data,0,LH_ColPeriod),LH_OpenLabel)*UnitFactor))))</f>
        <v/>
      </c>
      <c r="U12" s="17" t="str">
        <f aca="false">IF(AK12=0,"",IF(NOT(LH_Ready),"",SUMIFS(INDEX(LH_Data,0,LH_ColAcc),INDEX(LH_Data,0,LH_ColFirst),$A12,INDEX(LH_Data,0,LH_ColSur),$B12,INDEX(LH_Data,0,LH_ColCat),BonusCat,INDEX(LH_Data,0,LH_ColStart),"&gt;="&amp;AL12)*UnitFactor))</f>
        <v/>
      </c>
      <c r="V12" s="17" t="str">
        <f aca="false">IF(AK12=0,"",IF(NOT(LH_Ready),"",SUMIFS(INDEX(LH_Data,0,LH_ColTaken),INDEX(LH_Data,0,LH_ColFirst),$A12,INDEX(LH_Data,0,LH_ColSur),$B12,INDEX(LH_Data,0,LH_ColCat),BonusCat,INDEX(LH_Data,0,LH_ColStart),"&gt;="&amp;AL12)*UnitFactor))</f>
        <v/>
      </c>
      <c r="W12" s="17" t="str">
        <f aca="false">IF(AK12=0,"",IF(NOT(LH_Ready),"",IF(BH12=0,0,INDEX(INDEX(LH_Data,0,LH_ColClose),BH12-1)*UnitFactor)))</f>
        <v/>
      </c>
      <c r="X12" s="17" t="str">
        <f aca="false">IF(AK12=0,"",(MAX(0,BD12-BQ12)-MAX(0,BE12-BQ12))*HoursPerDay)</f>
        <v/>
      </c>
      <c r="Y12" s="17" t="str">
        <f aca="false">IF(AK12=0,"",IF(NOT(LH_Ready),"",IF($AI12="Yes",N(AE12)*HoursPerDay-SUMIFS(INDEX(LH_Data,0,LH_ColAcc),INDEX(LH_Data,0,LH_ColFirst),$A12,INDEX(LH_Data,0,LH_ColSur),$B12,INDEX(LH_Data,0,LH_ColCat),BonusCat,INDEX(LH_Data,0,LH_ColStart),"&gt;="&amp;(EOMONTH(AsOfDate,-1)+1),INDEX(LH_Data,0,LH_ColStart),"&lt;="&amp;AsOfDate)*UnitFactor,IF(BG12=0,N12,N12-N(T12)-N(U12)))))</f>
        <v/>
      </c>
      <c r="Z12" s="16" t="str">
        <f aca="false">IF(OR(AK12=0,Y12=""),"",IF(Y12&gt;0,"Yes","No"))</f>
        <v/>
      </c>
      <c r="AA12" s="16" t="str">
        <f aca="false">IF(AK12=0,IF(LEN($A12&amp;$B12)=0,"","FIX INPUT - StartDate missing"),IF(AD12&lt;&gt;"","FIX INPUT - "&amp;AD12,IF(NOT(LH_Ready),"Paste Leave History export (Settings must show YES)",IF(AND($AI12="Yes",Y12&lt;=0),"OK - EH balance accepted to date"&amp;IF(N(AH12)&gt;0," (EH holds "&amp;AH12&amp;" hrs over the scheme)","")&amp;"; next day "&amp;TEXT(S12,"dd mmm yy")&amp;IF(N(AE12)&gt;0," ("&amp;AE12&amp;" day(s) for "&amp;UPPER(TEXT(AsOfDate,"mmm yyyy"))&amp;" already in EH)",""),IF(Y12&gt;0,"ACCRUE "&amp;ROUND(Y12,2)&amp;" hrs ("&amp;ROUND(Y12/HoursPerDay,2)&amp;" days): "&amp;IF(N(AE12)&gt;0,AE12&amp;" day(s) for "&amp;UPPER(TEXT(AsOfDate,"mmm yyyy"))&amp;" (milestone "&amp;UPPER(TEXT(AF12,"dd mmm yy"))&amp;")"&amp;IF(Y12/HoursPerDay&gt;AE12+0.001," + "&amp;ROUND(Y12/HoursPerDay-AE12,2)&amp;" day(s) catch-up from earlier months",""),"all catch-up from earlier months, nothing new this month")&amp;IF(BG12=0,"; no Bonus Leave in EH yet",""),IF(Y12&lt;0,"CHECK - EH accrued "&amp;ROUND(-Y12,2)&amp;" hrs more than policy since commencement",IF(N(W12)&gt;O12*HoursPerDay+0.01,"CHECK - EH balance "&amp;ROUND(W12-O12*HoursPerDay,2)&amp;" hrs more than policy entitlement",IF(O12&gt;0,"OK - nothing to add"&amp;IF(N(AE12)&gt;0," ("&amp;AE12&amp;" day(s) for "&amp;UPPER(TEXT(AsOfDate,"mmm yyyy"))&amp;" already in EH)",""),IF(AW12="None",R12,"Not yet - first day on "&amp;TEXT(S12,"dd/mm/yyyy"))))))))))</f>
        <v/>
      </c>
      <c r="AB12" s="17" t="str">
        <f aca="false">IF(OR(AK12=0,T12=""),"",MAX(0,BE12-BQ12)*HoursPerDay-T12)</f>
        <v/>
      </c>
      <c r="AC12" s="16" t="str">
        <f aca="false">IF(AK12=0,"",BG12)</f>
        <v/>
      </c>
      <c r="AD12" s="16" t="str">
        <f aca="false">IF(AK12=0,"",TRIM(IF(OR(ISTEXT($F12),ISTEXT($H12),ISTEXT($I12),ISTEXT($G12),ISTEXT($J12),ISTEXT($D12)),"A date is typed as text - retype it as dd/mm/yyyy. ","")&amp;IF(IF($C12="","",IF(OR(ISNUMBER(SEARCH("full",$C12)),UPPER(TRIM($C12))="FT",UPPER(TRIM($C12))="FTE"),"Full-Time",IF(OR(ISNUMBER(SEARCH("part",$C12)),UPPER(TRIM($C12))="PT",UPPER(TRIM($C12))="PTE"),"Part-Time",IF(OR(ISNUMBER(SEARCH("cas",$C12)),UPPER(TRIM($C12))="CAS"),"Casual","Unknown"))))="Unknown","EmploymentType not recognised - use Full-Time, Part-Time or Casual. ","")&amp;IF(AND(AM12&gt;=1,IF(AM12&gt;=3,AS12,IF(AM12=2,AR12,AQ12))&lt;&gt;IF($C12="","",IF(OR(ISNUMBER(SEARCH("full",$C12)),UPPER(TRIM($C12))="FT",UPPER(TRIM($C12))="FTE"),"Full-Time",IF(OR(ISNUMBER(SEARCH("part",$C12)),UPPER(TRIM($C12))="PT",UPPER(TRIM($C12))="PTE"),"Part-Time",IF(OR(ISNUMBER(SEARCH("cas",$C12)),UPPER(TRIM($C12))="CAS"),"Casual","Unknown"))))),"EmploymentType does not match latest start date ("&amp;IF(AM12&gt;=3,AS12,IF(AM12=2,AR12,AQ12))&amp;"). ","")&amp;IF(AND(AM12&gt;=1,AN12&lt;&gt;$F12),"Earliest type date should equal StartDate. ","")&amp;IF(AND(AM12&gt;=2,AN12=AO12),"Two types start on the same date. ","")&amp;IF(AND(OR(ISNUMBER(SEARCH("part",$C12)),UPPER(TRIM($C12))="PT",UPPER(TRIM($C12))="PTE"),$P12=""),"Part-time: enter PT Hrs/Week (blank = 24+). ","")))</f>
        <v/>
      </c>
      <c r="AE12" s="17" t="str">
        <f aca="false">IF(AK12=0,"",O12-MAX(0,BL12-BQ12))</f>
        <v/>
      </c>
      <c r="AF12" s="14" t="str">
        <f aca="false">IF(OR(AK12=0,AE12="",N(AE12)=0,BM12=""),"",EDATE(AL12,BM12))</f>
        <v/>
      </c>
      <c r="AG12" s="17" t="str">
        <f aca="false">IF(AK12=0,"",MIN(BD12,BQ12))</f>
        <v/>
      </c>
      <c r="AH12" s="17" t="str">
        <f aca="false">IF(AK12=0,"",IF(NOT(LH_Ready),"",IF(BG12=0,0,MAX(0,ROUND(N(T12)+N(U12)-N12,2)))))</f>
        <v/>
      </c>
      <c r="AI12" s="12"/>
      <c r="AJ12" s="12"/>
      <c r="AK12" s="16" t="n">
        <f aca="false">IF(OR(LEN($A12&amp;$B12)=0,$F12=""),0,1)</f>
        <v>0</v>
      </c>
      <c r="AL12" s="14" t="str">
        <f aca="false">IF(AK12=0,"",IF(PreSchemeCounts="No",MAX(SchemeStart,IF($J12&lt;&gt;"",$J12,IF(OR(CasualCounts="Yes",COUNT($G12:$I12)=0),$F12,IF(Apply2026="No",IF($I12="",$F12,$I12),IF(COUNT($H12:$I12)=0,$F12,MIN($H12:$I12)))))),IF($J12&lt;&gt;"",$J12,IF(OR(CasualCounts="Yes",COUNT($G12:$I12)=0),$F12,IF(Apply2026="No",IF($I12="",$F12,$I12),IF(COUNT($H12:$I12)=0,$F12,MIN($H12:$I12)))))))</f>
        <v/>
      </c>
      <c r="AM12" s="16" t="str">
        <f aca="false">IF(AK12=0,"",COUNT($G12:$I12))</f>
        <v/>
      </c>
      <c r="AN12" s="14" t="str">
        <f aca="false">IF(AK12=0,"",IFERROR(SMALL($G12:$I12,1),""))</f>
        <v/>
      </c>
      <c r="AO12" s="14" t="str">
        <f aca="false">IF(AK12=0,"",IFERROR(SMALL($G12:$I12,2),""))</f>
        <v/>
      </c>
      <c r="AP12" s="14" t="str">
        <f aca="false">IF(AK12=0,"",IFERROR(SMALL($G12:$I12,3),""))</f>
        <v/>
      </c>
      <c r="AQ12" s="16" t="str">
        <f aca="false">IF(AK12=0,"",IF(AN12="","",IF(AN12=$H12,"Part-Time",IF(AN12=$I12,"Full-Time","Casual"))))</f>
        <v/>
      </c>
      <c r="AR12" s="16" t="str">
        <f aca="false">IF(AK12=0,"",IF(AO12="","",IF(AO12=$H12,"Part-Time",IF(AO12=$I12,"Full-Time","Casual"))))</f>
        <v/>
      </c>
      <c r="AS12" s="16" t="str">
        <f aca="false">IF(AK12=0,"",IF(AP12="","",IF(AP12=$H12,"Part-Time",IF(AP12=$I12,"Full-Time","Casual"))))</f>
        <v/>
      </c>
      <c r="AT12" s="16" t="str">
        <f aca="false">IF(AK12=0,"",IF(AM12=0,IF(OR(ISNUMBER(SEARCH("full",$C12)),UPPER(TRIM($C12))="FT",UPPER(TRIM($C12))="FTE"),"FT",IF(AND(OR(ISNUMBER(SEARCH("part",$C12)),UPPER(TRIM($C12))="PT",UPPER(TRIM($C12))="PTE"),Apply2026="Yes",OR($P12="",N($P12)&gt;=PT_MinHours)),"PT","None")),IF(OR(ISNUMBER(SEARCH("full",AQ12)),UPPER(TRIM(AQ12))="FT",UPPER(TRIM(AQ12))="FTE"),"FT",IF(AND(OR(ISNUMBER(SEARCH("part",AQ12)),UPPER(TRIM(AQ12))="PT",UPPER(TRIM(AQ12))="PTE"),Apply2026="Yes",OR($P12="",N($P12)&gt;=PT_MinHours)),"PT","None"))))</f>
        <v/>
      </c>
      <c r="AU12" s="16" t="str">
        <f aca="false">IF(AK12=0,"",IF(AM12&lt;2,"",IF(OR(ISNUMBER(SEARCH("full",AR12)),UPPER(TRIM(AR12))="FT",UPPER(TRIM(AR12))="FTE"),"FT",IF(AND(OR(ISNUMBER(SEARCH("part",AR12)),UPPER(TRIM(AR12))="PT",UPPER(TRIM(AR12))="PTE"),Apply2026="Yes",OR($P12="",N($P12)&gt;=PT_MinHours)),"PT","None"))))</f>
        <v/>
      </c>
      <c r="AV12" s="16" t="str">
        <f aca="false">IF(AK12=0,"",IF(AM12&lt;3,"",IF(OR(ISNUMBER(SEARCH("full",AS12)),UPPER(TRIM(AS12))="FT",UPPER(TRIM(AS12))="FTE"),"FT",IF(AND(OR(ISNUMBER(SEARCH("part",AS12)),UPPER(TRIM(AS12))="PT",UPPER(TRIM(AS12))="PTE"),Apply2026="Yes",OR($P12="",N($P12)&gt;=PT_MinHours)),"PT","None"))))</f>
        <v/>
      </c>
      <c r="AW12" s="16" t="str">
        <f aca="false">IF(AK12=0,"",IF(AND(AM12&gt;=3,AP12&lt;=AsOfDate),AV12,IF(AND(AM12&gt;=2,AO12&lt;=AsOfDate),AU12,AT12)))</f>
        <v/>
      </c>
      <c r="AX12" s="16" t="str">
        <f aca="false">IF(AK12=0,"",IF(AsOfDate&lt;AL12,-1,12*(YEAR(AsOfDate)-YEAR(AL12))+MONTH(AsOfDate)-MONTH(AL12)-IF(DAY(AsOfDate)&lt;MIN(DAY(AL12),DAY(EOMONTH(AsOfDate,0))),1,0)))</f>
        <v/>
      </c>
      <c r="AY12" s="16" t="str">
        <f aca="false">IF(AK12=0,"",IF(OR(AM12&lt;2,AO12&gt;AsOfDate),AX12,IF((AO12-1)&lt;AL12,-1,12*(YEAR((AO12-1))-YEAR(AL12))+MONTH((AO12-1))-MONTH(AL12)-IF(DAY((AO12-1))&lt;MIN(DAY(AL12),DAY(EOMONTH((AO12-1),0))),1,0))))</f>
        <v/>
      </c>
      <c r="AZ12" s="16" t="str">
        <f aca="false">IF(AK12=0,"",IF(OR(AM12&lt;3,AP12&gt;AsOfDate),AX12,IF((AP12-1)&lt;AL12,-1,12*(YEAR((AP12-1))-YEAR(AL12))+MONTH((AP12-1))-MONTH(AL12)-IF(DAY((AP12-1))&lt;MIN(DAY(AL12),DAY(EOMONTH((AP12-1),0))),1,0))))</f>
        <v/>
      </c>
      <c r="BA12" s="16" t="str">
        <f aca="false">IF(AK12=0,"",IF(PFYDate&lt;AL12,-1,12*(YEAR(PFYDate)-YEAR(AL12))+MONTH(PFYDate)-MONTH(AL12)-IF(DAY(PFYDate)&lt;MIN(DAY(AL12),DAY(EOMONTH(PFYDate,0))),1,0)))</f>
        <v/>
      </c>
      <c r="BB12" s="16" t="str">
        <f aca="false">IF(AK12=0,"",IF(OR(AM12&lt;2,AO12&gt;PFYDate),BA12,IF((AO12-1)&lt;AL12,-1,12*(YEAR((AO12-1))-YEAR(AL12))+MONTH((AO12-1))-MONTH(AL12)-IF(DAY((AO12-1))&lt;MIN(DAY(AL12),DAY(EOMONTH((AO12-1),0))),1,0))))</f>
        <v/>
      </c>
      <c r="BC12" s="16" t="str">
        <f aca="false">IF(AK12=0,"",IF(OR(AM12&lt;3,AP12&gt;PFYDate),BA12,IF((AP12-1)&lt;AL12,-1,12*(YEAR((AP12-1))-YEAR(AL12))+MONTH((AP12-1))-MONTH(AL12)-IF(DAY((AP12-1))&lt;MIN(DAY(AL12),DAY(EOMONTH((AP12-1),0))),1,0))))</f>
        <v/>
      </c>
      <c r="BD12" s="16" t="str">
        <f aca="false">IF(AK12=0,"",IF(AT12="FT",IF(AY12&lt;FT_First,0,IF(AY12&lt;FT_Y5,1+INT((AY12-FT_First)/FT_Int1),FT_PreY5+FT_PerYear*INT((AY12-FT_Y5)/12)+FT_AnnivDays+INT(MOD(AY12-FT_Y5,12)/FT_Int2)-IF(EDATE(AL12,FT_Y5)&lt;PolicyEff,FT_AnnivDays-1,0))),IF(AT12="PT",IF(AY12&lt;PT_First,0,1+INT((AY12-PT_First)/PT_Int)),0))+IF(AND(AM12&gt;=2,AO12&lt;=AsOfDate),IF(AU12="FT",IF(AZ12&lt;FT_First,0,IF(AZ12&lt;FT_Y5,1+INT((AZ12-FT_First)/FT_Int1),FT_PreY5+FT_PerYear*INT((AZ12-FT_Y5)/12)+FT_AnnivDays+INT(MOD(AZ12-FT_Y5,12)/FT_Int2)-IF(EDATE(AL12,FT_Y5)&lt;PolicyEff,FT_AnnivDays-1,0))),IF(AU12="PT",IF(AZ12&lt;PT_First,0,1+INT((AZ12-PT_First)/PT_Int)),0))-IF(AU12="FT",IF(AY12&lt;FT_First,0,IF(AY12&lt;FT_Y5,1+INT((AY12-FT_First)/FT_Int1),FT_PreY5+FT_PerYear*INT((AY12-FT_Y5)/12)+FT_AnnivDays+INT(MOD(AY12-FT_Y5,12)/FT_Int2)-IF(EDATE(AL12,FT_Y5)&lt;PolicyEff,FT_AnnivDays-1,0))),IF(AU12="PT",IF(AY12&lt;PT_First,0,1+INT((AY12-PT_First)/PT_Int)),0)),0)+IF(AND(AM12&gt;=3,AP12&lt;=AsOfDate),IF(AV12="FT",IF(AX12&lt;FT_First,0,IF(AX12&lt;FT_Y5,1+INT((AX12-FT_First)/FT_Int1),FT_PreY5+FT_PerYear*INT((AX12-FT_Y5)/12)+FT_AnnivDays+INT(MOD(AX12-FT_Y5,12)/FT_Int2)-IF(EDATE(AL12,FT_Y5)&lt;PolicyEff,FT_AnnivDays-1,0))),IF(AV12="PT",IF(AX12&lt;PT_First,0,1+INT((AX12-PT_First)/PT_Int)),0))-IF(AV12="FT",IF(AZ12&lt;FT_First,0,IF(AZ12&lt;FT_Y5,1+INT((AZ12-FT_First)/FT_Int1),FT_PreY5+FT_PerYear*INT((AZ12-FT_Y5)/12)+FT_AnnivDays+INT(MOD(AZ12-FT_Y5,12)/FT_Int2)-IF(EDATE(AL12,FT_Y5)&lt;PolicyEff,FT_AnnivDays-1,0))),IF(AV12="PT",IF(AZ12&lt;PT_First,0,1+INT((AZ12-PT_First)/PT_Int)),0)),0))</f>
        <v/>
      </c>
      <c r="BE12" s="16" t="str">
        <f aca="false">IF(AK12=0,"",IF(AT12="FT",IF(BB12&lt;FT_First,0,IF(BB12&lt;FT_Y5,1+INT((BB12-FT_First)/FT_Int1),FT_PreY5+FT_PerYear*INT((BB12-FT_Y5)/12)+FT_AnnivDays+INT(MOD(BB12-FT_Y5,12)/FT_Int2)-IF(EDATE(AL12,FT_Y5)&lt;PolicyEff,FT_AnnivDays-1,0))),IF(AT12="PT",IF(BB12&lt;PT_First,0,1+INT((BB12-PT_First)/PT_Int)),0))+IF(AND(AM12&gt;=2,AO12&lt;=PFYDate),IF(AU12="FT",IF(BC12&lt;FT_First,0,IF(BC12&lt;FT_Y5,1+INT((BC12-FT_First)/FT_Int1),FT_PreY5+FT_PerYear*INT((BC12-FT_Y5)/12)+FT_AnnivDays+INT(MOD(BC12-FT_Y5,12)/FT_Int2)-IF(EDATE(AL12,FT_Y5)&lt;PolicyEff,FT_AnnivDays-1,0))),IF(AU12="PT",IF(BC12&lt;PT_First,0,1+INT((BC12-PT_First)/PT_Int)),0))-IF(AU12="FT",IF(BB12&lt;FT_First,0,IF(BB12&lt;FT_Y5,1+INT((BB12-FT_First)/FT_Int1),FT_PreY5+FT_PerYear*INT((BB12-FT_Y5)/12)+FT_AnnivDays+INT(MOD(BB12-FT_Y5,12)/FT_Int2)-IF(EDATE(AL12,FT_Y5)&lt;PolicyEff,FT_AnnivDays-1,0))),IF(AU12="PT",IF(BB12&lt;PT_First,0,1+INT((BB12-PT_First)/PT_Int)),0)),0)+IF(AND(AM12&gt;=3,AP12&lt;=PFYDate),IF(AV12="FT",IF(BA12&lt;FT_First,0,IF(BA12&lt;FT_Y5,1+INT((BA12-FT_First)/FT_Int1),FT_PreY5+FT_PerYear*INT((BA12-FT_Y5)/12)+FT_AnnivDays+INT(MOD(BA12-FT_Y5,12)/FT_Int2)-IF(EDATE(AL12,FT_Y5)&lt;PolicyEff,FT_AnnivDays-1,0))),IF(AV12="PT",IF(BA12&lt;PT_First,0,1+INT((BA12-PT_First)/PT_Int)),0))-IF(AV12="FT",IF(BC12&lt;FT_First,0,IF(BC12&lt;FT_Y5,1+INT((BC12-FT_First)/FT_Int1),FT_PreY5+FT_PerYear*INT((BC12-FT_Y5)/12)+FT_AnnivDays+INT(MOD(BC12-FT_Y5,12)/FT_Int2)-IF(EDATE(AL12,FT_Y5)&lt;PolicyEff,FT_AnnivDays-1,0))),IF(AV12="PT",IF(BC12&lt;PT_First,0,1+INT((BC12-PT_First)/PT_Int)),0)),0))</f>
        <v/>
      </c>
      <c r="BF12" s="16" t="str">
        <f aca="false">IF(AK12=0,"",IF(AW12="FT",IF(AX12&lt;FT_First,FT_First,IF(AX12&lt;FT_Y5,MIN(FT_Y5,FT_First+FT_Int1*(INT((AX12-FT_First)/FT_Int1)+1)),FT_Y5+12*INT((AX12-FT_Y5)/12)+FT_Int2*(INT(MOD(AX12-FT_Y5,12)/FT_Int2)+1))),IF(AW12="PT",IF(AX12&lt;PT_First,PT_First,PT_First+PT_Int*(INT((AX12-PT_First)/PT_Int)+1)),"")))</f>
        <v/>
      </c>
      <c r="BG12" s="16" t="str">
        <f aca="false">IF(AK12=0,"",IF(NOT(LH_Ready),0,COUNTIFS(INDEX(LH_Data,0,LH_ColFirst),$A12,INDEX(LH_Data,0,LH_ColSur),$B12,INDEX(LH_Data,0,LH_ColCat),BonusCat)))</f>
        <v/>
      </c>
      <c r="BH12" s="16" t="str">
        <f aca="false">IF(AK12=0,"",IF(OR(NOT(LH_Ready),BG12=0),0,SUMPRODUCT(MAX((INDEX(LH_Data,0,LH_ColFirst)=$A12)*(INDEX(LH_Data,0,LH_ColSur)=$B12)*(INDEX(LH_Data,0,LH_ColCat)=BonusCat)*ROW(LH_Data)))))</f>
        <v/>
      </c>
      <c r="BI12" s="16" t="str">
        <f aca="false">IF(AK12=0,"",IF(EOMONTH(AsOfDate,-1)&lt;AL12,-1,12*(YEAR(EOMONTH(AsOfDate,-1))-YEAR(AL12))+MONTH(EOMONTH(AsOfDate,-1))-MONTH(AL12)-IF(DAY(EOMONTH(AsOfDate,-1))&lt;MIN(DAY(AL12),DAY(EOMONTH(EOMONTH(AsOfDate,-1),0))),1,0)))</f>
        <v/>
      </c>
      <c r="BJ12" s="16" t="str">
        <f aca="false">IF(AK12=0,"",IF(OR(AM12&lt;2,AO12&gt;EOMONTH(AsOfDate,-1)),BI12,IF((AO12-1)&lt;AL12,-1,12*(YEAR((AO12-1))-YEAR(AL12))+MONTH((AO12-1))-MONTH(AL12)-IF(DAY((AO12-1))&lt;MIN(DAY(AL12),DAY(EOMONTH((AO12-1),0))),1,0))))</f>
        <v/>
      </c>
      <c r="BK12" s="16" t="str">
        <f aca="false">IF(AK12=0,"",IF(OR(AM12&lt;3,AP12&gt;EOMONTH(AsOfDate,-1)),BI12,IF((AP12-1)&lt;AL12,-1,12*(YEAR((AP12-1))-YEAR(AL12))+MONTH((AP12-1))-MONTH(AL12)-IF(DAY((AP12-1))&lt;MIN(DAY(AL12),DAY(EOMONTH((AP12-1),0))),1,0))))</f>
        <v/>
      </c>
      <c r="BL12" s="16" t="str">
        <f aca="false">IF(AK12=0,"",IF(AT12="FT",IF(BJ12&lt;FT_First,0,IF(BJ12&lt;FT_Y5,1+INT((BJ12-FT_First)/FT_Int1),FT_PreY5+FT_PerYear*INT((BJ12-FT_Y5)/12)+FT_AnnivDays+INT(MOD(BJ12-FT_Y5,12)/FT_Int2)-IF(EDATE(AL12,FT_Y5)&lt;PolicyEff,FT_AnnivDays-1,0))),IF(AT12="PT",IF(BJ12&lt;PT_First,0,1+INT((BJ12-PT_First)/PT_Int)),0))+IF(AND(AM12&gt;=2,AO12&lt;=EOMONTH(AsOfDate,-1)),IF(AU12="FT",IF(BK12&lt;FT_First,0,IF(BK12&lt;FT_Y5,1+INT((BK12-FT_First)/FT_Int1),FT_PreY5+FT_PerYear*INT((BK12-FT_Y5)/12)+FT_AnnivDays+INT(MOD(BK12-FT_Y5,12)/FT_Int2)-IF(EDATE(AL12,FT_Y5)&lt;PolicyEff,FT_AnnivDays-1,0))),IF(AU12="PT",IF(BK12&lt;PT_First,0,1+INT((BK12-PT_First)/PT_Int)),0))-IF(AU12="FT",IF(BJ12&lt;FT_First,0,IF(BJ12&lt;FT_Y5,1+INT((BJ12-FT_First)/FT_Int1),FT_PreY5+FT_PerYear*INT((BJ12-FT_Y5)/12)+FT_AnnivDays+INT(MOD(BJ12-FT_Y5,12)/FT_Int2)-IF(EDATE(AL12,FT_Y5)&lt;PolicyEff,FT_AnnivDays-1,0))),IF(AU12="PT",IF(BJ12&lt;PT_First,0,1+INT((BJ12-PT_First)/PT_Int)),0)),0)+IF(AND(AM12&gt;=3,AP12&lt;=EOMONTH(AsOfDate,-1)),IF(AV12="FT",IF(BI12&lt;FT_First,0,IF(BI12&lt;FT_Y5,1+INT((BI12-FT_First)/FT_Int1),FT_PreY5+FT_PerYear*INT((BI12-FT_Y5)/12)+FT_AnnivDays+INT(MOD(BI12-FT_Y5,12)/FT_Int2)-IF(EDATE(AL12,FT_Y5)&lt;PolicyEff,FT_AnnivDays-1,0))),IF(AV12="PT",IF(BI12&lt;PT_First,0,1+INT((BI12-PT_First)/PT_Int)),0))-IF(AV12="FT",IF(BK12&lt;FT_First,0,IF(BK12&lt;FT_Y5,1+INT((BK12-FT_First)/FT_Int1),FT_PreY5+FT_PerYear*INT((BK12-FT_Y5)/12)+FT_AnnivDays+INT(MOD(BK12-FT_Y5,12)/FT_Int2)-IF(EDATE(AL12,FT_Y5)&lt;PolicyEff,FT_AnnivDays-1,0))),IF(AV12="PT",IF(BK12&lt;PT_First,0,1+INT((BK12-PT_First)/PT_Int)),0)),0))</f>
        <v/>
      </c>
      <c r="BM12" s="16" t="str">
        <f aca="false">IF(AK12=0,"",IF(AW12="FT",IF(AX12&lt;FT_First,"",IF(AX12&lt;FT_Y5,FT_First+FT_Int1*INT((AX12-FT_First)/FT_Int1),FT_Y5+FT_Int2*INT((AX12-FT_Y5)/FT_Int2))),IF(AW12="PT",IF(AX12&lt;PT_First,"",PT_First+PT_Int*INT((AX12-PT_First)/PT_Int)),"")))</f>
        <v/>
      </c>
      <c r="BN12" s="16" t="str">
        <f aca="false">IF(AK12=0,"",IF((SchemeStart-1)&lt;AL12,-1,12*(YEAR((SchemeStart-1))-YEAR(AL12))+MONTH((SchemeStart-1))-MONTH(AL12)-IF(DAY((SchemeStart-1))&lt;MIN(DAY(AL12),DAY(EOMONTH((SchemeStart-1),0))),1,0)))</f>
        <v/>
      </c>
      <c r="BO12" s="16" t="str">
        <f aca="false">IF(AK12=0,"",IF(OR(AM12&lt;2,AO12&gt;(SchemeStart-1)),BN12,IF((AO12-1)&lt;AL12,-1,12*(YEAR((AO12-1))-YEAR(AL12))+MONTH((AO12-1))-MONTH(AL12)-IF(DAY((AO12-1))&lt;MIN(DAY(AL12),DAY(EOMONTH((AO12-1),0))),1,0))))</f>
        <v/>
      </c>
      <c r="BP12" s="16" t="str">
        <f aca="false">IF(AK12=0,"",IF(OR(AM12&lt;3,AP12&gt;(SchemeStart-1)),BN12,IF((AP12-1)&lt;AL12,-1,12*(YEAR((AP12-1))-YEAR(AL12))+MONTH((AP12-1))-MONTH(AL12)-IF(DAY((AP12-1))&lt;MIN(DAY(AL12),DAY(EOMONTH((AP12-1),0))),1,0))))</f>
        <v/>
      </c>
      <c r="BQ12" s="16" t="str">
        <f aca="false">IF(AK12=0,"",IF(AT12="FT",IF(BO12&lt;FT_First,0,IF(BO12&lt;FT_Y5,1+INT((BO12-FT_First)/FT_Int1),FT_PreY5+FT_PerYear*INT((BO12-FT_Y5)/12)+FT_AnnivDays+INT(MOD(BO12-FT_Y5,12)/FT_Int2)-IF(EDATE(AL12,FT_Y5)&lt;PolicyEff,FT_AnnivDays-1,0))),IF(AT12="PT",IF(BO12&lt;PT_First,0,1+INT((BO12-PT_First)/PT_Int)),0))+IF(AND(AM12&gt;=2,AO12&lt;=(SchemeStart-1)),IF(AU12="FT",IF(BP12&lt;FT_First,0,IF(BP12&lt;FT_Y5,1+INT((BP12-FT_First)/FT_Int1),FT_PreY5+FT_PerYear*INT((BP12-FT_Y5)/12)+FT_AnnivDays+INT(MOD(BP12-FT_Y5,12)/FT_Int2)-IF(EDATE(AL12,FT_Y5)&lt;PolicyEff,FT_AnnivDays-1,0))),IF(AU12="PT",IF(BP12&lt;PT_First,0,1+INT((BP12-PT_First)/PT_Int)),0))-IF(AU12="FT",IF(BO12&lt;FT_First,0,IF(BO12&lt;FT_Y5,1+INT((BO12-FT_First)/FT_Int1),FT_PreY5+FT_PerYear*INT((BO12-FT_Y5)/12)+FT_AnnivDays+INT(MOD(BO12-FT_Y5,12)/FT_Int2)-IF(EDATE(AL12,FT_Y5)&lt;PolicyEff,FT_AnnivDays-1,0))),IF(AU12="PT",IF(BO12&lt;PT_First,0,1+INT((BO12-PT_First)/PT_Int)),0)),0)+IF(AND(AM12&gt;=3,AP12&lt;=(SchemeStart-1)),IF(AV12="FT",IF(BN12&lt;FT_First,0,IF(BN12&lt;FT_Y5,1+INT((BN12-FT_First)/FT_Int1),FT_PreY5+FT_PerYear*INT((BN12-FT_Y5)/12)+FT_AnnivDays+INT(MOD(BN12-FT_Y5,12)/FT_Int2)-IF(EDATE(AL12,FT_Y5)&lt;PolicyEff,FT_AnnivDays-1,0))),IF(AV12="PT",IF(BN12&lt;PT_First,0,1+INT((BN12-PT_First)/PT_Int)),0))-IF(AV12="FT",IF(BP12&lt;FT_First,0,IF(BP12&lt;FT_Y5,1+INT((BP12-FT_First)/FT_Int1),FT_PreY5+FT_PerYear*INT((BP12-FT_Y5)/12)+FT_AnnivDays+INT(MOD(BP12-FT_Y5,12)/FT_Int2)-IF(EDATE(AL12,FT_Y5)&lt;PolicyEff,FT_AnnivDays-1,0))),IF(AV12="PT",IF(BP12&lt;PT_First,0,1+INT((BP12-PT_First)/PT_Int)),0)),0))</f>
        <v/>
      </c>
      <c r="BR12" s="0" t="str">
        <f aca="false">IF(LEN($A12&amp;$B12)=0,"",$A12&amp;" "&amp;$B12)</f>
        <v/>
      </c>
    </row>
    <row r="13" customFormat="false" ht="15" hidden="false" customHeight="false" outlineLevel="0" collapsed="false">
      <c r="A13" s="12"/>
      <c r="B13" s="12"/>
      <c r="C13" s="12"/>
      <c r="D13" s="13"/>
      <c r="E13" s="14" t="str">
        <f aca="false">IF(OR(AK13=0,$D13=""),"",DATE(YEAR(AsOfDate)+IF(DATE(YEAR(AsOfDate),MONTH($D13),DAY($D13))&lt;=AsOfDate,1,0),MONTH($D13),DAY($D13)))</f>
        <v/>
      </c>
      <c r="F13" s="13"/>
      <c r="G13" s="13"/>
      <c r="H13" s="13"/>
      <c r="I13" s="13"/>
      <c r="J13" s="13"/>
      <c r="K13" s="14" t="str">
        <f aca="false">IF(AK13=0,"",DATE(YEAR(AsOfDate)+IF(DATE(YEAR(AsOfDate),MONTH(AL13),DAY(AL13))&lt;=AsOfDate,1,0),MONTH(AL13),DAY(AL13)))</f>
        <v/>
      </c>
      <c r="L13" s="15" t="str">
        <f aca="false">IF(AK13=0,"",ROUND((AsOfDate-AL13)/365.25,1))</f>
        <v/>
      </c>
      <c r="M13" s="16" t="str">
        <f aca="false">IF(AK13=0,"",IF(AsOfDate&lt;AL13,"-",DATEDIF(AL13,AsOfDate,"y")&amp;"y "&amp;DATEDIF(AL13,AsOfDate,"ym")&amp;"m "&amp;DATEDIF(AL13,AsOfDate,"md")&amp;"d"))</f>
        <v/>
      </c>
      <c r="N13" s="17" t="str">
        <f aca="false">IF(AK13=0,"",O13*HoursPerDay)</f>
        <v/>
      </c>
      <c r="O13" s="17" t="str">
        <f aca="false">IF(AK13=0,"",MAX(0,BD13-BQ13))</f>
        <v/>
      </c>
      <c r="P13" s="18"/>
      <c r="Q13" s="16" t="str">
        <f aca="false">IF(AK13=0,"",IF(AM13&lt;2,"",AQ13&amp;" to "&amp;AR13&amp;" on "&amp;TEXT(AO13,"dd/mm/yyyy")&amp;IF(AO13&gt;AsOfDate," (future)",IF(AT13=AU13,"",IF(AU13="None"," - STOPPED accruing",IF(AT13="None"," - commencement for Bonus Leave"," - pathway changed"))))&amp;IF(AM13&lt;3,"","; "&amp;AR13&amp;" to "&amp;AS13&amp;" on "&amp;TEXT(AP13,"dd/mm/yyyy")&amp;IF(AP13&gt;AsOfDate," (future)",IF(AU13=AV13,"",IF(AV13="None"," - STOPPED accruing",IF(AU13="None"," - commencement for Bonus Leave"," - pathway changed")))))))</f>
        <v/>
      </c>
      <c r="R13" s="16" t="str">
        <f aca="false">IF(AK13=0,"",IF(AW13="None",IF(O13&gt;0,"No longer accruing","Not eligible - "&amp;IF(AND(OR(ISNUMBER(SEARCH("part",$C13)),UPPER(TRIM($C13))="PT",UPPER(TRIM($C13))="PTE"),Apply2026="No"),"part-time (scheme is full-time only)",IF(AND(OR(ISNUMBER(SEARCH("part",$C13)),UPPER(TRIM($C13))="PT",UPPER(TRIM($C13))="PTE"),$P13&lt;&gt;"",N($P13)&lt;PT_MinHours),"under "&amp;PT_MinHours&amp;" hrs",IF(IF($C13="","",IF(OR(ISNUMBER(SEARCH("full",$C13)),UPPER(TRIM($C13))="FT",UPPER(TRIM($C13))="FTE"),"Full-Time",IF(OR(ISNUMBER(SEARCH("part",$C13)),UPPER(TRIM($C13))="PT",UPPER(TRIM($C13))="PTE"),"Part-Time",IF(OR(ISNUMBER(SEARCH("cas",$C13)),UPPER(TRIM($C13))="CAS"),"Casual","Unknown"))))="Unknown","type not recognised",$C13)))),IF(O13&gt;0,"Yes - Accrual Required","Not yet - from "&amp;TEXT(S13,"dd/mm/yyyy"))))</f>
        <v/>
      </c>
      <c r="S13" s="14" t="str">
        <f aca="false">IF(AK13=0,"",IF(AW13="None","",EDATE(AL13,BF13)))</f>
        <v/>
      </c>
      <c r="T13" s="17" t="str">
        <f aca="false">IF(AK13=0,"",IF(NOT(LH_Ready),"",IF($F13&gt;PFYDate,0,IF(LH_ColPeriod=0,W13-U13+V13,SUMIFS(INDEX(LH_Data,0,LH_ColAcc),INDEX(LH_Data,0,LH_ColFirst),$A13,INDEX(LH_Data,0,LH_ColSur),$B13,INDEX(LH_Data,0,LH_ColCat),BonusCat,INDEX(LH_Data,0,LH_ColPeriod),LH_OpenLabel)*UnitFactor))))</f>
        <v/>
      </c>
      <c r="U13" s="17" t="str">
        <f aca="false">IF(AK13=0,"",IF(NOT(LH_Ready),"",SUMIFS(INDEX(LH_Data,0,LH_ColAcc),INDEX(LH_Data,0,LH_ColFirst),$A13,INDEX(LH_Data,0,LH_ColSur),$B13,INDEX(LH_Data,0,LH_ColCat),BonusCat,INDEX(LH_Data,0,LH_ColStart),"&gt;="&amp;AL13)*UnitFactor))</f>
        <v/>
      </c>
      <c r="V13" s="17" t="str">
        <f aca="false">IF(AK13=0,"",IF(NOT(LH_Ready),"",SUMIFS(INDEX(LH_Data,0,LH_ColTaken),INDEX(LH_Data,0,LH_ColFirst),$A13,INDEX(LH_Data,0,LH_ColSur),$B13,INDEX(LH_Data,0,LH_ColCat),BonusCat,INDEX(LH_Data,0,LH_ColStart),"&gt;="&amp;AL13)*UnitFactor))</f>
        <v/>
      </c>
      <c r="W13" s="17" t="str">
        <f aca="false">IF(AK13=0,"",IF(NOT(LH_Ready),"",IF(BH13=0,0,INDEX(INDEX(LH_Data,0,LH_ColClose),BH13-1)*UnitFactor)))</f>
        <v/>
      </c>
      <c r="X13" s="17" t="str">
        <f aca="false">IF(AK13=0,"",(MAX(0,BD13-BQ13)-MAX(0,BE13-BQ13))*HoursPerDay)</f>
        <v/>
      </c>
      <c r="Y13" s="17" t="str">
        <f aca="false">IF(AK13=0,"",IF(NOT(LH_Ready),"",IF($AI13="Yes",N(AE13)*HoursPerDay-SUMIFS(INDEX(LH_Data,0,LH_ColAcc),INDEX(LH_Data,0,LH_ColFirst),$A13,INDEX(LH_Data,0,LH_ColSur),$B13,INDEX(LH_Data,0,LH_ColCat),BonusCat,INDEX(LH_Data,0,LH_ColStart),"&gt;="&amp;(EOMONTH(AsOfDate,-1)+1),INDEX(LH_Data,0,LH_ColStart),"&lt;="&amp;AsOfDate)*UnitFactor,IF(BG13=0,N13,N13-N(T13)-N(U13)))))</f>
        <v/>
      </c>
      <c r="Z13" s="16" t="str">
        <f aca="false">IF(OR(AK13=0,Y13=""),"",IF(Y13&gt;0,"Yes","No"))</f>
        <v/>
      </c>
      <c r="AA13" s="16" t="str">
        <f aca="false">IF(AK13=0,IF(LEN($A13&amp;$B13)=0,"","FIX INPUT - StartDate missing"),IF(AD13&lt;&gt;"","FIX INPUT - "&amp;AD13,IF(NOT(LH_Ready),"Paste Leave History export (Settings must show YES)",IF(AND($AI13="Yes",Y13&lt;=0),"OK - EH balance accepted to date"&amp;IF(N(AH13)&gt;0," (EH holds "&amp;AH13&amp;" hrs over the scheme)","")&amp;"; next day "&amp;TEXT(S13,"dd mmm yy")&amp;IF(N(AE13)&gt;0," ("&amp;AE13&amp;" day(s) for "&amp;UPPER(TEXT(AsOfDate,"mmm yyyy"))&amp;" already in EH)",""),IF(Y13&gt;0,"ACCRUE "&amp;ROUND(Y13,2)&amp;" hrs ("&amp;ROUND(Y13/HoursPerDay,2)&amp;" days): "&amp;IF(N(AE13)&gt;0,AE13&amp;" day(s) for "&amp;UPPER(TEXT(AsOfDate,"mmm yyyy"))&amp;" (milestone "&amp;UPPER(TEXT(AF13,"dd mmm yy"))&amp;")"&amp;IF(Y13/HoursPerDay&gt;AE13+0.001," + "&amp;ROUND(Y13/HoursPerDay-AE13,2)&amp;" day(s) catch-up from earlier months",""),"all catch-up from earlier months, nothing new this month")&amp;IF(BG13=0,"; no Bonus Leave in EH yet",""),IF(Y13&lt;0,"CHECK - EH accrued "&amp;ROUND(-Y13,2)&amp;" hrs more than policy since commencement",IF(N(W13)&gt;O13*HoursPerDay+0.01,"CHECK - EH balance "&amp;ROUND(W13-O13*HoursPerDay,2)&amp;" hrs more than policy entitlement",IF(O13&gt;0,"OK - nothing to add"&amp;IF(N(AE13)&gt;0," ("&amp;AE13&amp;" day(s) for "&amp;UPPER(TEXT(AsOfDate,"mmm yyyy"))&amp;" already in EH)",""),IF(AW13="None",R13,"Not yet - first day on "&amp;TEXT(S13,"dd/mm/yyyy"))))))))))</f>
        <v/>
      </c>
      <c r="AB13" s="17" t="str">
        <f aca="false">IF(OR(AK13=0,T13=""),"",MAX(0,BE13-BQ13)*HoursPerDay-T13)</f>
        <v/>
      </c>
      <c r="AC13" s="16" t="str">
        <f aca="false">IF(AK13=0,"",BG13)</f>
        <v/>
      </c>
      <c r="AD13" s="16" t="str">
        <f aca="false">IF(AK13=0,"",TRIM(IF(OR(ISTEXT($F13),ISTEXT($H13),ISTEXT($I13),ISTEXT($G13),ISTEXT($J13),ISTEXT($D13)),"A date is typed as text - retype it as dd/mm/yyyy. ","")&amp;IF(IF($C13="","",IF(OR(ISNUMBER(SEARCH("full",$C13)),UPPER(TRIM($C13))="FT",UPPER(TRIM($C13))="FTE"),"Full-Time",IF(OR(ISNUMBER(SEARCH("part",$C13)),UPPER(TRIM($C13))="PT",UPPER(TRIM($C13))="PTE"),"Part-Time",IF(OR(ISNUMBER(SEARCH("cas",$C13)),UPPER(TRIM($C13))="CAS"),"Casual","Unknown"))))="Unknown","EmploymentType not recognised - use Full-Time, Part-Time or Casual. ","")&amp;IF(AND(AM13&gt;=1,IF(AM13&gt;=3,AS13,IF(AM13=2,AR13,AQ13))&lt;&gt;IF($C13="","",IF(OR(ISNUMBER(SEARCH("full",$C13)),UPPER(TRIM($C13))="FT",UPPER(TRIM($C13))="FTE"),"Full-Time",IF(OR(ISNUMBER(SEARCH("part",$C13)),UPPER(TRIM($C13))="PT",UPPER(TRIM($C13))="PTE"),"Part-Time",IF(OR(ISNUMBER(SEARCH("cas",$C13)),UPPER(TRIM($C13))="CAS"),"Casual","Unknown"))))),"EmploymentType does not match latest start date ("&amp;IF(AM13&gt;=3,AS13,IF(AM13=2,AR13,AQ13))&amp;"). ","")&amp;IF(AND(AM13&gt;=1,AN13&lt;&gt;$F13),"Earliest type date should equal StartDate. ","")&amp;IF(AND(AM13&gt;=2,AN13=AO13),"Two types start on the same date. ","")&amp;IF(AND(OR(ISNUMBER(SEARCH("part",$C13)),UPPER(TRIM($C13))="PT",UPPER(TRIM($C13))="PTE"),$P13=""),"Part-time: enter PT Hrs/Week (blank = 24+). ","")))</f>
        <v/>
      </c>
      <c r="AE13" s="17" t="str">
        <f aca="false">IF(AK13=0,"",O13-MAX(0,BL13-BQ13))</f>
        <v/>
      </c>
      <c r="AF13" s="14" t="str">
        <f aca="false">IF(OR(AK13=0,AE13="",N(AE13)=0,BM13=""),"",EDATE(AL13,BM13))</f>
        <v/>
      </c>
      <c r="AG13" s="17" t="str">
        <f aca="false">IF(AK13=0,"",MIN(BD13,BQ13))</f>
        <v/>
      </c>
      <c r="AH13" s="17" t="str">
        <f aca="false">IF(AK13=0,"",IF(NOT(LH_Ready),"",IF(BG13=0,0,MAX(0,ROUND(N(T13)+N(U13)-N13,2)))))</f>
        <v/>
      </c>
      <c r="AI13" s="12"/>
      <c r="AJ13" s="12"/>
      <c r="AK13" s="16" t="n">
        <f aca="false">IF(OR(LEN($A13&amp;$B13)=0,$F13=""),0,1)</f>
        <v>0</v>
      </c>
      <c r="AL13" s="14" t="str">
        <f aca="false">IF(AK13=0,"",IF(PreSchemeCounts="No",MAX(SchemeStart,IF($J13&lt;&gt;"",$J13,IF(OR(CasualCounts="Yes",COUNT($G13:$I13)=0),$F13,IF(Apply2026="No",IF($I13="",$F13,$I13),IF(COUNT($H13:$I13)=0,$F13,MIN($H13:$I13)))))),IF($J13&lt;&gt;"",$J13,IF(OR(CasualCounts="Yes",COUNT($G13:$I13)=0),$F13,IF(Apply2026="No",IF($I13="",$F13,$I13),IF(COUNT($H13:$I13)=0,$F13,MIN($H13:$I13)))))))</f>
        <v/>
      </c>
      <c r="AM13" s="16" t="str">
        <f aca="false">IF(AK13=0,"",COUNT($G13:$I13))</f>
        <v/>
      </c>
      <c r="AN13" s="14" t="str">
        <f aca="false">IF(AK13=0,"",IFERROR(SMALL($G13:$I13,1),""))</f>
        <v/>
      </c>
      <c r="AO13" s="14" t="str">
        <f aca="false">IF(AK13=0,"",IFERROR(SMALL($G13:$I13,2),""))</f>
        <v/>
      </c>
      <c r="AP13" s="14" t="str">
        <f aca="false">IF(AK13=0,"",IFERROR(SMALL($G13:$I13,3),""))</f>
        <v/>
      </c>
      <c r="AQ13" s="16" t="str">
        <f aca="false">IF(AK13=0,"",IF(AN13="","",IF(AN13=$H13,"Part-Time",IF(AN13=$I13,"Full-Time","Casual"))))</f>
        <v/>
      </c>
      <c r="AR13" s="16" t="str">
        <f aca="false">IF(AK13=0,"",IF(AO13="","",IF(AO13=$H13,"Part-Time",IF(AO13=$I13,"Full-Time","Casual"))))</f>
        <v/>
      </c>
      <c r="AS13" s="16" t="str">
        <f aca="false">IF(AK13=0,"",IF(AP13="","",IF(AP13=$H13,"Part-Time",IF(AP13=$I13,"Full-Time","Casual"))))</f>
        <v/>
      </c>
      <c r="AT13" s="16" t="str">
        <f aca="false">IF(AK13=0,"",IF(AM13=0,IF(OR(ISNUMBER(SEARCH("full",$C13)),UPPER(TRIM($C13))="FT",UPPER(TRIM($C13))="FTE"),"FT",IF(AND(OR(ISNUMBER(SEARCH("part",$C13)),UPPER(TRIM($C13))="PT",UPPER(TRIM($C13))="PTE"),Apply2026="Yes",OR($P13="",N($P13)&gt;=PT_MinHours)),"PT","None")),IF(OR(ISNUMBER(SEARCH("full",AQ13)),UPPER(TRIM(AQ13))="FT",UPPER(TRIM(AQ13))="FTE"),"FT",IF(AND(OR(ISNUMBER(SEARCH("part",AQ13)),UPPER(TRIM(AQ13))="PT",UPPER(TRIM(AQ13))="PTE"),Apply2026="Yes",OR($P13="",N($P13)&gt;=PT_MinHours)),"PT","None"))))</f>
        <v/>
      </c>
      <c r="AU13" s="16" t="str">
        <f aca="false">IF(AK13=0,"",IF(AM13&lt;2,"",IF(OR(ISNUMBER(SEARCH("full",AR13)),UPPER(TRIM(AR13))="FT",UPPER(TRIM(AR13))="FTE"),"FT",IF(AND(OR(ISNUMBER(SEARCH("part",AR13)),UPPER(TRIM(AR13))="PT",UPPER(TRIM(AR13))="PTE"),Apply2026="Yes",OR($P13="",N($P13)&gt;=PT_MinHours)),"PT","None"))))</f>
        <v/>
      </c>
      <c r="AV13" s="16" t="str">
        <f aca="false">IF(AK13=0,"",IF(AM13&lt;3,"",IF(OR(ISNUMBER(SEARCH("full",AS13)),UPPER(TRIM(AS13))="FT",UPPER(TRIM(AS13))="FTE"),"FT",IF(AND(OR(ISNUMBER(SEARCH("part",AS13)),UPPER(TRIM(AS13))="PT",UPPER(TRIM(AS13))="PTE"),Apply2026="Yes",OR($P13="",N($P13)&gt;=PT_MinHours)),"PT","None"))))</f>
        <v/>
      </c>
      <c r="AW13" s="16" t="str">
        <f aca="false">IF(AK13=0,"",IF(AND(AM13&gt;=3,AP13&lt;=AsOfDate),AV13,IF(AND(AM13&gt;=2,AO13&lt;=AsOfDate),AU13,AT13)))</f>
        <v/>
      </c>
      <c r="AX13" s="16" t="str">
        <f aca="false">IF(AK13=0,"",IF(AsOfDate&lt;AL13,-1,12*(YEAR(AsOfDate)-YEAR(AL13))+MONTH(AsOfDate)-MONTH(AL13)-IF(DAY(AsOfDate)&lt;MIN(DAY(AL13),DAY(EOMONTH(AsOfDate,0))),1,0)))</f>
        <v/>
      </c>
      <c r="AY13" s="16" t="str">
        <f aca="false">IF(AK13=0,"",IF(OR(AM13&lt;2,AO13&gt;AsOfDate),AX13,IF((AO13-1)&lt;AL13,-1,12*(YEAR((AO13-1))-YEAR(AL13))+MONTH((AO13-1))-MONTH(AL13)-IF(DAY((AO13-1))&lt;MIN(DAY(AL13),DAY(EOMONTH((AO13-1),0))),1,0))))</f>
        <v/>
      </c>
      <c r="AZ13" s="16" t="str">
        <f aca="false">IF(AK13=0,"",IF(OR(AM13&lt;3,AP13&gt;AsOfDate),AX13,IF((AP13-1)&lt;AL13,-1,12*(YEAR((AP13-1))-YEAR(AL13))+MONTH((AP13-1))-MONTH(AL13)-IF(DAY((AP13-1))&lt;MIN(DAY(AL13),DAY(EOMONTH((AP13-1),0))),1,0))))</f>
        <v/>
      </c>
      <c r="BA13" s="16" t="str">
        <f aca="false">IF(AK13=0,"",IF(PFYDate&lt;AL13,-1,12*(YEAR(PFYDate)-YEAR(AL13))+MONTH(PFYDate)-MONTH(AL13)-IF(DAY(PFYDate)&lt;MIN(DAY(AL13),DAY(EOMONTH(PFYDate,0))),1,0)))</f>
        <v/>
      </c>
      <c r="BB13" s="16" t="str">
        <f aca="false">IF(AK13=0,"",IF(OR(AM13&lt;2,AO13&gt;PFYDate),BA13,IF((AO13-1)&lt;AL13,-1,12*(YEAR((AO13-1))-YEAR(AL13))+MONTH((AO13-1))-MONTH(AL13)-IF(DAY((AO13-1))&lt;MIN(DAY(AL13),DAY(EOMONTH((AO13-1),0))),1,0))))</f>
        <v/>
      </c>
      <c r="BC13" s="16" t="str">
        <f aca="false">IF(AK13=0,"",IF(OR(AM13&lt;3,AP13&gt;PFYDate),BA13,IF((AP13-1)&lt;AL13,-1,12*(YEAR((AP13-1))-YEAR(AL13))+MONTH((AP13-1))-MONTH(AL13)-IF(DAY((AP13-1))&lt;MIN(DAY(AL13),DAY(EOMONTH((AP13-1),0))),1,0))))</f>
        <v/>
      </c>
      <c r="BD13" s="16" t="str">
        <f aca="false">IF(AK13=0,"",IF(AT13="FT",IF(AY13&lt;FT_First,0,IF(AY13&lt;FT_Y5,1+INT((AY13-FT_First)/FT_Int1),FT_PreY5+FT_PerYear*INT((AY13-FT_Y5)/12)+FT_AnnivDays+INT(MOD(AY13-FT_Y5,12)/FT_Int2)-IF(EDATE(AL13,FT_Y5)&lt;PolicyEff,FT_AnnivDays-1,0))),IF(AT13="PT",IF(AY13&lt;PT_First,0,1+INT((AY13-PT_First)/PT_Int)),0))+IF(AND(AM13&gt;=2,AO13&lt;=AsOfDate),IF(AU13="FT",IF(AZ13&lt;FT_First,0,IF(AZ13&lt;FT_Y5,1+INT((AZ13-FT_First)/FT_Int1),FT_PreY5+FT_PerYear*INT((AZ13-FT_Y5)/12)+FT_AnnivDays+INT(MOD(AZ13-FT_Y5,12)/FT_Int2)-IF(EDATE(AL13,FT_Y5)&lt;PolicyEff,FT_AnnivDays-1,0))),IF(AU13="PT",IF(AZ13&lt;PT_First,0,1+INT((AZ13-PT_First)/PT_Int)),0))-IF(AU13="FT",IF(AY13&lt;FT_First,0,IF(AY13&lt;FT_Y5,1+INT((AY13-FT_First)/FT_Int1),FT_PreY5+FT_PerYear*INT((AY13-FT_Y5)/12)+FT_AnnivDays+INT(MOD(AY13-FT_Y5,12)/FT_Int2)-IF(EDATE(AL13,FT_Y5)&lt;PolicyEff,FT_AnnivDays-1,0))),IF(AU13="PT",IF(AY13&lt;PT_First,0,1+INT((AY13-PT_First)/PT_Int)),0)),0)+IF(AND(AM13&gt;=3,AP13&lt;=AsOfDate),IF(AV13="FT",IF(AX13&lt;FT_First,0,IF(AX13&lt;FT_Y5,1+INT((AX13-FT_First)/FT_Int1),FT_PreY5+FT_PerYear*INT((AX13-FT_Y5)/12)+FT_AnnivDays+INT(MOD(AX13-FT_Y5,12)/FT_Int2)-IF(EDATE(AL13,FT_Y5)&lt;PolicyEff,FT_AnnivDays-1,0))),IF(AV13="PT",IF(AX13&lt;PT_First,0,1+INT((AX13-PT_First)/PT_Int)),0))-IF(AV13="FT",IF(AZ13&lt;FT_First,0,IF(AZ13&lt;FT_Y5,1+INT((AZ13-FT_First)/FT_Int1),FT_PreY5+FT_PerYear*INT((AZ13-FT_Y5)/12)+FT_AnnivDays+INT(MOD(AZ13-FT_Y5,12)/FT_Int2)-IF(EDATE(AL13,FT_Y5)&lt;PolicyEff,FT_AnnivDays-1,0))),IF(AV13="PT",IF(AZ13&lt;PT_First,0,1+INT((AZ13-PT_First)/PT_Int)),0)),0))</f>
        <v/>
      </c>
      <c r="BE13" s="16" t="str">
        <f aca="false">IF(AK13=0,"",IF(AT13="FT",IF(BB13&lt;FT_First,0,IF(BB13&lt;FT_Y5,1+INT((BB13-FT_First)/FT_Int1),FT_PreY5+FT_PerYear*INT((BB13-FT_Y5)/12)+FT_AnnivDays+INT(MOD(BB13-FT_Y5,12)/FT_Int2)-IF(EDATE(AL13,FT_Y5)&lt;PolicyEff,FT_AnnivDays-1,0))),IF(AT13="PT",IF(BB13&lt;PT_First,0,1+INT((BB13-PT_First)/PT_Int)),0))+IF(AND(AM13&gt;=2,AO13&lt;=PFYDate),IF(AU13="FT",IF(BC13&lt;FT_First,0,IF(BC13&lt;FT_Y5,1+INT((BC13-FT_First)/FT_Int1),FT_PreY5+FT_PerYear*INT((BC13-FT_Y5)/12)+FT_AnnivDays+INT(MOD(BC13-FT_Y5,12)/FT_Int2)-IF(EDATE(AL13,FT_Y5)&lt;PolicyEff,FT_AnnivDays-1,0))),IF(AU13="PT",IF(BC13&lt;PT_First,0,1+INT((BC13-PT_First)/PT_Int)),0))-IF(AU13="FT",IF(BB13&lt;FT_First,0,IF(BB13&lt;FT_Y5,1+INT((BB13-FT_First)/FT_Int1),FT_PreY5+FT_PerYear*INT((BB13-FT_Y5)/12)+FT_AnnivDays+INT(MOD(BB13-FT_Y5,12)/FT_Int2)-IF(EDATE(AL13,FT_Y5)&lt;PolicyEff,FT_AnnivDays-1,0))),IF(AU13="PT",IF(BB13&lt;PT_First,0,1+INT((BB13-PT_First)/PT_Int)),0)),0)+IF(AND(AM13&gt;=3,AP13&lt;=PFYDate),IF(AV13="FT",IF(BA13&lt;FT_First,0,IF(BA13&lt;FT_Y5,1+INT((BA13-FT_First)/FT_Int1),FT_PreY5+FT_PerYear*INT((BA13-FT_Y5)/12)+FT_AnnivDays+INT(MOD(BA13-FT_Y5,12)/FT_Int2)-IF(EDATE(AL13,FT_Y5)&lt;PolicyEff,FT_AnnivDays-1,0))),IF(AV13="PT",IF(BA13&lt;PT_First,0,1+INT((BA13-PT_First)/PT_Int)),0))-IF(AV13="FT",IF(BC13&lt;FT_First,0,IF(BC13&lt;FT_Y5,1+INT((BC13-FT_First)/FT_Int1),FT_PreY5+FT_PerYear*INT((BC13-FT_Y5)/12)+FT_AnnivDays+INT(MOD(BC13-FT_Y5,12)/FT_Int2)-IF(EDATE(AL13,FT_Y5)&lt;PolicyEff,FT_AnnivDays-1,0))),IF(AV13="PT",IF(BC13&lt;PT_First,0,1+INT((BC13-PT_First)/PT_Int)),0)),0))</f>
        <v/>
      </c>
      <c r="BF13" s="16" t="str">
        <f aca="false">IF(AK13=0,"",IF(AW13="FT",IF(AX13&lt;FT_First,FT_First,IF(AX13&lt;FT_Y5,MIN(FT_Y5,FT_First+FT_Int1*(INT((AX13-FT_First)/FT_Int1)+1)),FT_Y5+12*INT((AX13-FT_Y5)/12)+FT_Int2*(INT(MOD(AX13-FT_Y5,12)/FT_Int2)+1))),IF(AW13="PT",IF(AX13&lt;PT_First,PT_First,PT_First+PT_Int*(INT((AX13-PT_First)/PT_Int)+1)),"")))</f>
        <v/>
      </c>
      <c r="BG13" s="16" t="str">
        <f aca="false">IF(AK13=0,"",IF(NOT(LH_Ready),0,COUNTIFS(INDEX(LH_Data,0,LH_ColFirst),$A13,INDEX(LH_Data,0,LH_ColSur),$B13,INDEX(LH_Data,0,LH_ColCat),BonusCat)))</f>
        <v/>
      </c>
      <c r="BH13" s="16" t="str">
        <f aca="false">IF(AK13=0,"",IF(OR(NOT(LH_Ready),BG13=0),0,SUMPRODUCT(MAX((INDEX(LH_Data,0,LH_ColFirst)=$A13)*(INDEX(LH_Data,0,LH_ColSur)=$B13)*(INDEX(LH_Data,0,LH_ColCat)=BonusCat)*ROW(LH_Data)))))</f>
        <v/>
      </c>
      <c r="BI13" s="16" t="str">
        <f aca="false">IF(AK13=0,"",IF(EOMONTH(AsOfDate,-1)&lt;AL13,-1,12*(YEAR(EOMONTH(AsOfDate,-1))-YEAR(AL13))+MONTH(EOMONTH(AsOfDate,-1))-MONTH(AL13)-IF(DAY(EOMONTH(AsOfDate,-1))&lt;MIN(DAY(AL13),DAY(EOMONTH(EOMONTH(AsOfDate,-1),0))),1,0)))</f>
        <v/>
      </c>
      <c r="BJ13" s="16" t="str">
        <f aca="false">IF(AK13=0,"",IF(OR(AM13&lt;2,AO13&gt;EOMONTH(AsOfDate,-1)),BI13,IF((AO13-1)&lt;AL13,-1,12*(YEAR((AO13-1))-YEAR(AL13))+MONTH((AO13-1))-MONTH(AL13)-IF(DAY((AO13-1))&lt;MIN(DAY(AL13),DAY(EOMONTH((AO13-1),0))),1,0))))</f>
        <v/>
      </c>
      <c r="BK13" s="16" t="str">
        <f aca="false">IF(AK13=0,"",IF(OR(AM13&lt;3,AP13&gt;EOMONTH(AsOfDate,-1)),BI13,IF((AP13-1)&lt;AL13,-1,12*(YEAR((AP13-1))-YEAR(AL13))+MONTH((AP13-1))-MONTH(AL13)-IF(DAY((AP13-1))&lt;MIN(DAY(AL13),DAY(EOMONTH((AP13-1),0))),1,0))))</f>
        <v/>
      </c>
      <c r="BL13" s="16" t="str">
        <f aca="false">IF(AK13=0,"",IF(AT13="FT",IF(BJ13&lt;FT_First,0,IF(BJ13&lt;FT_Y5,1+INT((BJ13-FT_First)/FT_Int1),FT_PreY5+FT_PerYear*INT((BJ13-FT_Y5)/12)+FT_AnnivDays+INT(MOD(BJ13-FT_Y5,12)/FT_Int2)-IF(EDATE(AL13,FT_Y5)&lt;PolicyEff,FT_AnnivDays-1,0))),IF(AT13="PT",IF(BJ13&lt;PT_First,0,1+INT((BJ13-PT_First)/PT_Int)),0))+IF(AND(AM13&gt;=2,AO13&lt;=EOMONTH(AsOfDate,-1)),IF(AU13="FT",IF(BK13&lt;FT_First,0,IF(BK13&lt;FT_Y5,1+INT((BK13-FT_First)/FT_Int1),FT_PreY5+FT_PerYear*INT((BK13-FT_Y5)/12)+FT_AnnivDays+INT(MOD(BK13-FT_Y5,12)/FT_Int2)-IF(EDATE(AL13,FT_Y5)&lt;PolicyEff,FT_AnnivDays-1,0))),IF(AU13="PT",IF(BK13&lt;PT_First,0,1+INT((BK13-PT_First)/PT_Int)),0))-IF(AU13="FT",IF(BJ13&lt;FT_First,0,IF(BJ13&lt;FT_Y5,1+INT((BJ13-FT_First)/FT_Int1),FT_PreY5+FT_PerYear*INT((BJ13-FT_Y5)/12)+FT_AnnivDays+INT(MOD(BJ13-FT_Y5,12)/FT_Int2)-IF(EDATE(AL13,FT_Y5)&lt;PolicyEff,FT_AnnivDays-1,0))),IF(AU13="PT",IF(BJ13&lt;PT_First,0,1+INT((BJ13-PT_First)/PT_Int)),0)),0)+IF(AND(AM13&gt;=3,AP13&lt;=EOMONTH(AsOfDate,-1)),IF(AV13="FT",IF(BI13&lt;FT_First,0,IF(BI13&lt;FT_Y5,1+INT((BI13-FT_First)/FT_Int1),FT_PreY5+FT_PerYear*INT((BI13-FT_Y5)/12)+FT_AnnivDays+INT(MOD(BI13-FT_Y5,12)/FT_Int2)-IF(EDATE(AL13,FT_Y5)&lt;PolicyEff,FT_AnnivDays-1,0))),IF(AV13="PT",IF(BI13&lt;PT_First,0,1+INT((BI13-PT_First)/PT_Int)),0))-IF(AV13="FT",IF(BK13&lt;FT_First,0,IF(BK13&lt;FT_Y5,1+INT((BK13-FT_First)/FT_Int1),FT_PreY5+FT_PerYear*INT((BK13-FT_Y5)/12)+FT_AnnivDays+INT(MOD(BK13-FT_Y5,12)/FT_Int2)-IF(EDATE(AL13,FT_Y5)&lt;PolicyEff,FT_AnnivDays-1,0))),IF(AV13="PT",IF(BK13&lt;PT_First,0,1+INT((BK13-PT_First)/PT_Int)),0)),0))</f>
        <v/>
      </c>
      <c r="BM13" s="16" t="str">
        <f aca="false">IF(AK13=0,"",IF(AW13="FT",IF(AX13&lt;FT_First,"",IF(AX13&lt;FT_Y5,FT_First+FT_Int1*INT((AX13-FT_First)/FT_Int1),FT_Y5+FT_Int2*INT((AX13-FT_Y5)/FT_Int2))),IF(AW13="PT",IF(AX13&lt;PT_First,"",PT_First+PT_Int*INT((AX13-PT_First)/PT_Int)),"")))</f>
        <v/>
      </c>
      <c r="BN13" s="16" t="str">
        <f aca="false">IF(AK13=0,"",IF((SchemeStart-1)&lt;AL13,-1,12*(YEAR((SchemeStart-1))-YEAR(AL13))+MONTH((SchemeStart-1))-MONTH(AL13)-IF(DAY((SchemeStart-1))&lt;MIN(DAY(AL13),DAY(EOMONTH((SchemeStart-1),0))),1,0)))</f>
        <v/>
      </c>
      <c r="BO13" s="16" t="str">
        <f aca="false">IF(AK13=0,"",IF(OR(AM13&lt;2,AO13&gt;(SchemeStart-1)),BN13,IF((AO13-1)&lt;AL13,-1,12*(YEAR((AO13-1))-YEAR(AL13))+MONTH((AO13-1))-MONTH(AL13)-IF(DAY((AO13-1))&lt;MIN(DAY(AL13),DAY(EOMONTH((AO13-1),0))),1,0))))</f>
        <v/>
      </c>
      <c r="BP13" s="16" t="str">
        <f aca="false">IF(AK13=0,"",IF(OR(AM13&lt;3,AP13&gt;(SchemeStart-1)),BN13,IF((AP13-1)&lt;AL13,-1,12*(YEAR((AP13-1))-YEAR(AL13))+MONTH((AP13-1))-MONTH(AL13)-IF(DAY((AP13-1))&lt;MIN(DAY(AL13),DAY(EOMONTH((AP13-1),0))),1,0))))</f>
        <v/>
      </c>
      <c r="BQ13" s="16" t="str">
        <f aca="false">IF(AK13=0,"",IF(AT13="FT",IF(BO13&lt;FT_First,0,IF(BO13&lt;FT_Y5,1+INT((BO13-FT_First)/FT_Int1),FT_PreY5+FT_PerYear*INT((BO13-FT_Y5)/12)+FT_AnnivDays+INT(MOD(BO13-FT_Y5,12)/FT_Int2)-IF(EDATE(AL13,FT_Y5)&lt;PolicyEff,FT_AnnivDays-1,0))),IF(AT13="PT",IF(BO13&lt;PT_First,0,1+INT((BO13-PT_First)/PT_Int)),0))+IF(AND(AM13&gt;=2,AO13&lt;=(SchemeStart-1)),IF(AU13="FT",IF(BP13&lt;FT_First,0,IF(BP13&lt;FT_Y5,1+INT((BP13-FT_First)/FT_Int1),FT_PreY5+FT_PerYear*INT((BP13-FT_Y5)/12)+FT_AnnivDays+INT(MOD(BP13-FT_Y5,12)/FT_Int2)-IF(EDATE(AL13,FT_Y5)&lt;PolicyEff,FT_AnnivDays-1,0))),IF(AU13="PT",IF(BP13&lt;PT_First,0,1+INT((BP13-PT_First)/PT_Int)),0))-IF(AU13="FT",IF(BO13&lt;FT_First,0,IF(BO13&lt;FT_Y5,1+INT((BO13-FT_First)/FT_Int1),FT_PreY5+FT_PerYear*INT((BO13-FT_Y5)/12)+FT_AnnivDays+INT(MOD(BO13-FT_Y5,12)/FT_Int2)-IF(EDATE(AL13,FT_Y5)&lt;PolicyEff,FT_AnnivDays-1,0))),IF(AU13="PT",IF(BO13&lt;PT_First,0,1+INT((BO13-PT_First)/PT_Int)),0)),0)+IF(AND(AM13&gt;=3,AP13&lt;=(SchemeStart-1)),IF(AV13="FT",IF(BN13&lt;FT_First,0,IF(BN13&lt;FT_Y5,1+INT((BN13-FT_First)/FT_Int1),FT_PreY5+FT_PerYear*INT((BN13-FT_Y5)/12)+FT_AnnivDays+INT(MOD(BN13-FT_Y5,12)/FT_Int2)-IF(EDATE(AL13,FT_Y5)&lt;PolicyEff,FT_AnnivDays-1,0))),IF(AV13="PT",IF(BN13&lt;PT_First,0,1+INT((BN13-PT_First)/PT_Int)),0))-IF(AV13="FT",IF(BP13&lt;FT_First,0,IF(BP13&lt;FT_Y5,1+INT((BP13-FT_First)/FT_Int1),FT_PreY5+FT_PerYear*INT((BP13-FT_Y5)/12)+FT_AnnivDays+INT(MOD(BP13-FT_Y5,12)/FT_Int2)-IF(EDATE(AL13,FT_Y5)&lt;PolicyEff,FT_AnnivDays-1,0))),IF(AV13="PT",IF(BP13&lt;PT_First,0,1+INT((BP13-PT_First)/PT_Int)),0)),0))</f>
        <v/>
      </c>
      <c r="BR13" s="0" t="str">
        <f aca="false">IF(LEN($A13&amp;$B13)=0,"",$A13&amp;" "&amp;$B13)</f>
        <v/>
      </c>
    </row>
    <row r="14" customFormat="false" ht="15" hidden="false" customHeight="false" outlineLevel="0" collapsed="false">
      <c r="A14" s="12"/>
      <c r="B14" s="12"/>
      <c r="C14" s="12"/>
      <c r="D14" s="13"/>
      <c r="E14" s="14" t="str">
        <f aca="false">IF(OR(AK14=0,$D14=""),"",DATE(YEAR(AsOfDate)+IF(DATE(YEAR(AsOfDate),MONTH($D14),DAY($D14))&lt;=AsOfDate,1,0),MONTH($D14),DAY($D14)))</f>
        <v/>
      </c>
      <c r="F14" s="13"/>
      <c r="G14" s="13"/>
      <c r="H14" s="13"/>
      <c r="I14" s="13"/>
      <c r="J14" s="13"/>
      <c r="K14" s="14" t="str">
        <f aca="false">IF(AK14=0,"",DATE(YEAR(AsOfDate)+IF(DATE(YEAR(AsOfDate),MONTH(AL14),DAY(AL14))&lt;=AsOfDate,1,0),MONTH(AL14),DAY(AL14)))</f>
        <v/>
      </c>
      <c r="L14" s="15" t="str">
        <f aca="false">IF(AK14=0,"",ROUND((AsOfDate-AL14)/365.25,1))</f>
        <v/>
      </c>
      <c r="M14" s="16" t="str">
        <f aca="false">IF(AK14=0,"",IF(AsOfDate&lt;AL14,"-",DATEDIF(AL14,AsOfDate,"y")&amp;"y "&amp;DATEDIF(AL14,AsOfDate,"ym")&amp;"m "&amp;DATEDIF(AL14,AsOfDate,"md")&amp;"d"))</f>
        <v/>
      </c>
      <c r="N14" s="17" t="str">
        <f aca="false">IF(AK14=0,"",O14*HoursPerDay)</f>
        <v/>
      </c>
      <c r="O14" s="17" t="str">
        <f aca="false">IF(AK14=0,"",MAX(0,BD14-BQ14))</f>
        <v/>
      </c>
      <c r="P14" s="18"/>
      <c r="Q14" s="16" t="str">
        <f aca="false">IF(AK14=0,"",IF(AM14&lt;2,"",AQ14&amp;" to "&amp;AR14&amp;" on "&amp;TEXT(AO14,"dd/mm/yyyy")&amp;IF(AO14&gt;AsOfDate," (future)",IF(AT14=AU14,"",IF(AU14="None"," - STOPPED accruing",IF(AT14="None"," - commencement for Bonus Leave"," - pathway changed"))))&amp;IF(AM14&lt;3,"","; "&amp;AR14&amp;" to "&amp;AS14&amp;" on "&amp;TEXT(AP14,"dd/mm/yyyy")&amp;IF(AP14&gt;AsOfDate," (future)",IF(AU14=AV14,"",IF(AV14="None"," - STOPPED accruing",IF(AU14="None"," - commencement for Bonus Leave"," - pathway changed")))))))</f>
        <v/>
      </c>
      <c r="R14" s="16" t="str">
        <f aca="false">IF(AK14=0,"",IF(AW14="None",IF(O14&gt;0,"No longer accruing","Not eligible - "&amp;IF(AND(OR(ISNUMBER(SEARCH("part",$C14)),UPPER(TRIM($C14))="PT",UPPER(TRIM($C14))="PTE"),Apply2026="No"),"part-time (scheme is full-time only)",IF(AND(OR(ISNUMBER(SEARCH("part",$C14)),UPPER(TRIM($C14))="PT",UPPER(TRIM($C14))="PTE"),$P14&lt;&gt;"",N($P14)&lt;PT_MinHours),"under "&amp;PT_MinHours&amp;" hrs",IF(IF($C14="","",IF(OR(ISNUMBER(SEARCH("full",$C14)),UPPER(TRIM($C14))="FT",UPPER(TRIM($C14))="FTE"),"Full-Time",IF(OR(ISNUMBER(SEARCH("part",$C14)),UPPER(TRIM($C14))="PT",UPPER(TRIM($C14))="PTE"),"Part-Time",IF(OR(ISNUMBER(SEARCH("cas",$C14)),UPPER(TRIM($C14))="CAS"),"Casual","Unknown"))))="Unknown","type not recognised",$C14)))),IF(O14&gt;0,"Yes - Accrual Required","Not yet - from "&amp;TEXT(S14,"dd/mm/yyyy"))))</f>
        <v/>
      </c>
      <c r="S14" s="14" t="str">
        <f aca="false">IF(AK14=0,"",IF(AW14="None","",EDATE(AL14,BF14)))</f>
        <v/>
      </c>
      <c r="T14" s="17" t="str">
        <f aca="false">IF(AK14=0,"",IF(NOT(LH_Ready),"",IF($F14&gt;PFYDate,0,IF(LH_ColPeriod=0,W14-U14+V14,SUMIFS(INDEX(LH_Data,0,LH_ColAcc),INDEX(LH_Data,0,LH_ColFirst),$A14,INDEX(LH_Data,0,LH_ColSur),$B14,INDEX(LH_Data,0,LH_ColCat),BonusCat,INDEX(LH_Data,0,LH_ColPeriod),LH_OpenLabel)*UnitFactor))))</f>
        <v/>
      </c>
      <c r="U14" s="17" t="str">
        <f aca="false">IF(AK14=0,"",IF(NOT(LH_Ready),"",SUMIFS(INDEX(LH_Data,0,LH_ColAcc),INDEX(LH_Data,0,LH_ColFirst),$A14,INDEX(LH_Data,0,LH_ColSur),$B14,INDEX(LH_Data,0,LH_ColCat),BonusCat,INDEX(LH_Data,0,LH_ColStart),"&gt;="&amp;AL14)*UnitFactor))</f>
        <v/>
      </c>
      <c r="V14" s="17" t="str">
        <f aca="false">IF(AK14=0,"",IF(NOT(LH_Ready),"",SUMIFS(INDEX(LH_Data,0,LH_ColTaken),INDEX(LH_Data,0,LH_ColFirst),$A14,INDEX(LH_Data,0,LH_ColSur),$B14,INDEX(LH_Data,0,LH_ColCat),BonusCat,INDEX(LH_Data,0,LH_ColStart),"&gt;="&amp;AL14)*UnitFactor))</f>
        <v/>
      </c>
      <c r="W14" s="17" t="str">
        <f aca="false">IF(AK14=0,"",IF(NOT(LH_Ready),"",IF(BH14=0,0,INDEX(INDEX(LH_Data,0,LH_ColClose),BH14-1)*UnitFactor)))</f>
        <v/>
      </c>
      <c r="X14" s="17" t="str">
        <f aca="false">IF(AK14=0,"",(MAX(0,BD14-BQ14)-MAX(0,BE14-BQ14))*HoursPerDay)</f>
        <v/>
      </c>
      <c r="Y14" s="17" t="str">
        <f aca="false">IF(AK14=0,"",IF(NOT(LH_Ready),"",IF($AI14="Yes",N(AE14)*HoursPerDay-SUMIFS(INDEX(LH_Data,0,LH_ColAcc),INDEX(LH_Data,0,LH_ColFirst),$A14,INDEX(LH_Data,0,LH_ColSur),$B14,INDEX(LH_Data,0,LH_ColCat),BonusCat,INDEX(LH_Data,0,LH_ColStart),"&gt;="&amp;(EOMONTH(AsOfDate,-1)+1),INDEX(LH_Data,0,LH_ColStart),"&lt;="&amp;AsOfDate)*UnitFactor,IF(BG14=0,N14,N14-N(T14)-N(U14)))))</f>
        <v/>
      </c>
      <c r="Z14" s="16" t="str">
        <f aca="false">IF(OR(AK14=0,Y14=""),"",IF(Y14&gt;0,"Yes","No"))</f>
        <v/>
      </c>
      <c r="AA14" s="16" t="str">
        <f aca="false">IF(AK14=0,IF(LEN($A14&amp;$B14)=0,"","FIX INPUT - StartDate missing"),IF(AD14&lt;&gt;"","FIX INPUT - "&amp;AD14,IF(NOT(LH_Ready),"Paste Leave History export (Settings must show YES)",IF(AND($AI14="Yes",Y14&lt;=0),"OK - EH balance accepted to date"&amp;IF(N(AH14)&gt;0," (EH holds "&amp;AH14&amp;" hrs over the scheme)","")&amp;"; next day "&amp;TEXT(S14,"dd mmm yy")&amp;IF(N(AE14)&gt;0," ("&amp;AE14&amp;" day(s) for "&amp;UPPER(TEXT(AsOfDate,"mmm yyyy"))&amp;" already in EH)",""),IF(Y14&gt;0,"ACCRUE "&amp;ROUND(Y14,2)&amp;" hrs ("&amp;ROUND(Y14/HoursPerDay,2)&amp;" days): "&amp;IF(N(AE14)&gt;0,AE14&amp;" day(s) for "&amp;UPPER(TEXT(AsOfDate,"mmm yyyy"))&amp;" (milestone "&amp;UPPER(TEXT(AF14,"dd mmm yy"))&amp;")"&amp;IF(Y14/HoursPerDay&gt;AE14+0.001," + "&amp;ROUND(Y14/HoursPerDay-AE14,2)&amp;" day(s) catch-up from earlier months",""),"all catch-up from earlier months, nothing new this month")&amp;IF(BG14=0,"; no Bonus Leave in EH yet",""),IF(Y14&lt;0,"CHECK - EH accrued "&amp;ROUND(-Y14,2)&amp;" hrs more than policy since commencement",IF(N(W14)&gt;O14*HoursPerDay+0.01,"CHECK - EH balance "&amp;ROUND(W14-O14*HoursPerDay,2)&amp;" hrs more than policy entitlement",IF(O14&gt;0,"OK - nothing to add"&amp;IF(N(AE14)&gt;0," ("&amp;AE14&amp;" day(s) for "&amp;UPPER(TEXT(AsOfDate,"mmm yyyy"))&amp;" already in EH)",""),IF(AW14="None",R14,"Not yet - first day on "&amp;TEXT(S14,"dd/mm/yyyy"))))))))))</f>
        <v/>
      </c>
      <c r="AB14" s="17" t="str">
        <f aca="false">IF(OR(AK14=0,T14=""),"",MAX(0,BE14-BQ14)*HoursPerDay-T14)</f>
        <v/>
      </c>
      <c r="AC14" s="16" t="str">
        <f aca="false">IF(AK14=0,"",BG14)</f>
        <v/>
      </c>
      <c r="AD14" s="16" t="str">
        <f aca="false">IF(AK14=0,"",TRIM(IF(OR(ISTEXT($F14),ISTEXT($H14),ISTEXT($I14),ISTEXT($G14),ISTEXT($J14),ISTEXT($D14)),"A date is typed as text - retype it as dd/mm/yyyy. ","")&amp;IF(IF($C14="","",IF(OR(ISNUMBER(SEARCH("full",$C14)),UPPER(TRIM($C14))="FT",UPPER(TRIM($C14))="FTE"),"Full-Time",IF(OR(ISNUMBER(SEARCH("part",$C14)),UPPER(TRIM($C14))="PT",UPPER(TRIM($C14))="PTE"),"Part-Time",IF(OR(ISNUMBER(SEARCH("cas",$C14)),UPPER(TRIM($C14))="CAS"),"Casual","Unknown"))))="Unknown","EmploymentType not recognised - use Full-Time, Part-Time or Casual. ","")&amp;IF(AND(AM14&gt;=1,IF(AM14&gt;=3,AS14,IF(AM14=2,AR14,AQ14))&lt;&gt;IF($C14="","",IF(OR(ISNUMBER(SEARCH("full",$C14)),UPPER(TRIM($C14))="FT",UPPER(TRIM($C14))="FTE"),"Full-Time",IF(OR(ISNUMBER(SEARCH("part",$C14)),UPPER(TRIM($C14))="PT",UPPER(TRIM($C14))="PTE"),"Part-Time",IF(OR(ISNUMBER(SEARCH("cas",$C14)),UPPER(TRIM($C14))="CAS"),"Casual","Unknown"))))),"EmploymentType does not match latest start date ("&amp;IF(AM14&gt;=3,AS14,IF(AM14=2,AR14,AQ14))&amp;"). ","")&amp;IF(AND(AM14&gt;=1,AN14&lt;&gt;$F14),"Earliest type date should equal StartDate. ","")&amp;IF(AND(AM14&gt;=2,AN14=AO14),"Two types start on the same date. ","")&amp;IF(AND(OR(ISNUMBER(SEARCH("part",$C14)),UPPER(TRIM($C14))="PT",UPPER(TRIM($C14))="PTE"),$P14=""),"Part-time: enter PT Hrs/Week (blank = 24+). ","")))</f>
        <v/>
      </c>
      <c r="AE14" s="17" t="str">
        <f aca="false">IF(AK14=0,"",O14-MAX(0,BL14-BQ14))</f>
        <v/>
      </c>
      <c r="AF14" s="14" t="str">
        <f aca="false">IF(OR(AK14=0,AE14="",N(AE14)=0,BM14=""),"",EDATE(AL14,BM14))</f>
        <v/>
      </c>
      <c r="AG14" s="17" t="str">
        <f aca="false">IF(AK14=0,"",MIN(BD14,BQ14))</f>
        <v/>
      </c>
      <c r="AH14" s="17" t="str">
        <f aca="false">IF(AK14=0,"",IF(NOT(LH_Ready),"",IF(BG14=0,0,MAX(0,ROUND(N(T14)+N(U14)-N14,2)))))</f>
        <v/>
      </c>
      <c r="AI14" s="12"/>
      <c r="AJ14" s="12"/>
      <c r="AK14" s="16" t="n">
        <f aca="false">IF(OR(LEN($A14&amp;$B14)=0,$F14=""),0,1)</f>
        <v>0</v>
      </c>
      <c r="AL14" s="14" t="str">
        <f aca="false">IF(AK14=0,"",IF(PreSchemeCounts="No",MAX(SchemeStart,IF($J14&lt;&gt;"",$J14,IF(OR(CasualCounts="Yes",COUNT($G14:$I14)=0),$F14,IF(Apply2026="No",IF($I14="",$F14,$I14),IF(COUNT($H14:$I14)=0,$F14,MIN($H14:$I14)))))),IF($J14&lt;&gt;"",$J14,IF(OR(CasualCounts="Yes",COUNT($G14:$I14)=0),$F14,IF(Apply2026="No",IF($I14="",$F14,$I14),IF(COUNT($H14:$I14)=0,$F14,MIN($H14:$I14)))))))</f>
        <v/>
      </c>
      <c r="AM14" s="16" t="str">
        <f aca="false">IF(AK14=0,"",COUNT($G14:$I14))</f>
        <v/>
      </c>
      <c r="AN14" s="14" t="str">
        <f aca="false">IF(AK14=0,"",IFERROR(SMALL($G14:$I14,1),""))</f>
        <v/>
      </c>
      <c r="AO14" s="14" t="str">
        <f aca="false">IF(AK14=0,"",IFERROR(SMALL($G14:$I14,2),""))</f>
        <v/>
      </c>
      <c r="AP14" s="14" t="str">
        <f aca="false">IF(AK14=0,"",IFERROR(SMALL($G14:$I14,3),""))</f>
        <v/>
      </c>
      <c r="AQ14" s="16" t="str">
        <f aca="false">IF(AK14=0,"",IF(AN14="","",IF(AN14=$H14,"Part-Time",IF(AN14=$I14,"Full-Time","Casual"))))</f>
        <v/>
      </c>
      <c r="AR14" s="16" t="str">
        <f aca="false">IF(AK14=0,"",IF(AO14="","",IF(AO14=$H14,"Part-Time",IF(AO14=$I14,"Full-Time","Casual"))))</f>
        <v/>
      </c>
      <c r="AS14" s="16" t="str">
        <f aca="false">IF(AK14=0,"",IF(AP14="","",IF(AP14=$H14,"Part-Time",IF(AP14=$I14,"Full-Time","Casual"))))</f>
        <v/>
      </c>
      <c r="AT14" s="16" t="str">
        <f aca="false">IF(AK14=0,"",IF(AM14=0,IF(OR(ISNUMBER(SEARCH("full",$C14)),UPPER(TRIM($C14))="FT",UPPER(TRIM($C14))="FTE"),"FT",IF(AND(OR(ISNUMBER(SEARCH("part",$C14)),UPPER(TRIM($C14))="PT",UPPER(TRIM($C14))="PTE"),Apply2026="Yes",OR($P14="",N($P14)&gt;=PT_MinHours)),"PT","None")),IF(OR(ISNUMBER(SEARCH("full",AQ14)),UPPER(TRIM(AQ14))="FT",UPPER(TRIM(AQ14))="FTE"),"FT",IF(AND(OR(ISNUMBER(SEARCH("part",AQ14)),UPPER(TRIM(AQ14))="PT",UPPER(TRIM(AQ14))="PTE"),Apply2026="Yes",OR($P14="",N($P14)&gt;=PT_MinHours)),"PT","None"))))</f>
        <v/>
      </c>
      <c r="AU14" s="16" t="str">
        <f aca="false">IF(AK14=0,"",IF(AM14&lt;2,"",IF(OR(ISNUMBER(SEARCH("full",AR14)),UPPER(TRIM(AR14))="FT",UPPER(TRIM(AR14))="FTE"),"FT",IF(AND(OR(ISNUMBER(SEARCH("part",AR14)),UPPER(TRIM(AR14))="PT",UPPER(TRIM(AR14))="PTE"),Apply2026="Yes",OR($P14="",N($P14)&gt;=PT_MinHours)),"PT","None"))))</f>
        <v/>
      </c>
      <c r="AV14" s="16" t="str">
        <f aca="false">IF(AK14=0,"",IF(AM14&lt;3,"",IF(OR(ISNUMBER(SEARCH("full",AS14)),UPPER(TRIM(AS14))="FT",UPPER(TRIM(AS14))="FTE"),"FT",IF(AND(OR(ISNUMBER(SEARCH("part",AS14)),UPPER(TRIM(AS14))="PT",UPPER(TRIM(AS14))="PTE"),Apply2026="Yes",OR($P14="",N($P14)&gt;=PT_MinHours)),"PT","None"))))</f>
        <v/>
      </c>
      <c r="AW14" s="16" t="str">
        <f aca="false">IF(AK14=0,"",IF(AND(AM14&gt;=3,AP14&lt;=AsOfDate),AV14,IF(AND(AM14&gt;=2,AO14&lt;=AsOfDate),AU14,AT14)))</f>
        <v/>
      </c>
      <c r="AX14" s="16" t="str">
        <f aca="false">IF(AK14=0,"",IF(AsOfDate&lt;AL14,-1,12*(YEAR(AsOfDate)-YEAR(AL14))+MONTH(AsOfDate)-MONTH(AL14)-IF(DAY(AsOfDate)&lt;MIN(DAY(AL14),DAY(EOMONTH(AsOfDate,0))),1,0)))</f>
        <v/>
      </c>
      <c r="AY14" s="16" t="str">
        <f aca="false">IF(AK14=0,"",IF(OR(AM14&lt;2,AO14&gt;AsOfDate),AX14,IF((AO14-1)&lt;AL14,-1,12*(YEAR((AO14-1))-YEAR(AL14))+MONTH((AO14-1))-MONTH(AL14)-IF(DAY((AO14-1))&lt;MIN(DAY(AL14),DAY(EOMONTH((AO14-1),0))),1,0))))</f>
        <v/>
      </c>
      <c r="AZ14" s="16" t="str">
        <f aca="false">IF(AK14=0,"",IF(OR(AM14&lt;3,AP14&gt;AsOfDate),AX14,IF((AP14-1)&lt;AL14,-1,12*(YEAR((AP14-1))-YEAR(AL14))+MONTH((AP14-1))-MONTH(AL14)-IF(DAY((AP14-1))&lt;MIN(DAY(AL14),DAY(EOMONTH((AP14-1),0))),1,0))))</f>
        <v/>
      </c>
      <c r="BA14" s="16" t="str">
        <f aca="false">IF(AK14=0,"",IF(PFYDate&lt;AL14,-1,12*(YEAR(PFYDate)-YEAR(AL14))+MONTH(PFYDate)-MONTH(AL14)-IF(DAY(PFYDate)&lt;MIN(DAY(AL14),DAY(EOMONTH(PFYDate,0))),1,0)))</f>
        <v/>
      </c>
      <c r="BB14" s="16" t="str">
        <f aca="false">IF(AK14=0,"",IF(OR(AM14&lt;2,AO14&gt;PFYDate),BA14,IF((AO14-1)&lt;AL14,-1,12*(YEAR((AO14-1))-YEAR(AL14))+MONTH((AO14-1))-MONTH(AL14)-IF(DAY((AO14-1))&lt;MIN(DAY(AL14),DAY(EOMONTH((AO14-1),0))),1,0))))</f>
        <v/>
      </c>
      <c r="BC14" s="16" t="str">
        <f aca="false">IF(AK14=0,"",IF(OR(AM14&lt;3,AP14&gt;PFYDate),BA14,IF((AP14-1)&lt;AL14,-1,12*(YEAR((AP14-1))-YEAR(AL14))+MONTH((AP14-1))-MONTH(AL14)-IF(DAY((AP14-1))&lt;MIN(DAY(AL14),DAY(EOMONTH((AP14-1),0))),1,0))))</f>
        <v/>
      </c>
      <c r="BD14" s="16" t="str">
        <f aca="false">IF(AK14=0,"",IF(AT14="FT",IF(AY14&lt;FT_First,0,IF(AY14&lt;FT_Y5,1+INT((AY14-FT_First)/FT_Int1),FT_PreY5+FT_PerYear*INT((AY14-FT_Y5)/12)+FT_AnnivDays+INT(MOD(AY14-FT_Y5,12)/FT_Int2)-IF(EDATE(AL14,FT_Y5)&lt;PolicyEff,FT_AnnivDays-1,0))),IF(AT14="PT",IF(AY14&lt;PT_First,0,1+INT((AY14-PT_First)/PT_Int)),0))+IF(AND(AM14&gt;=2,AO14&lt;=AsOfDate),IF(AU14="FT",IF(AZ14&lt;FT_First,0,IF(AZ14&lt;FT_Y5,1+INT((AZ14-FT_First)/FT_Int1),FT_PreY5+FT_PerYear*INT((AZ14-FT_Y5)/12)+FT_AnnivDays+INT(MOD(AZ14-FT_Y5,12)/FT_Int2)-IF(EDATE(AL14,FT_Y5)&lt;PolicyEff,FT_AnnivDays-1,0))),IF(AU14="PT",IF(AZ14&lt;PT_First,0,1+INT((AZ14-PT_First)/PT_Int)),0))-IF(AU14="FT",IF(AY14&lt;FT_First,0,IF(AY14&lt;FT_Y5,1+INT((AY14-FT_First)/FT_Int1),FT_PreY5+FT_PerYear*INT((AY14-FT_Y5)/12)+FT_AnnivDays+INT(MOD(AY14-FT_Y5,12)/FT_Int2)-IF(EDATE(AL14,FT_Y5)&lt;PolicyEff,FT_AnnivDays-1,0))),IF(AU14="PT",IF(AY14&lt;PT_First,0,1+INT((AY14-PT_First)/PT_Int)),0)),0)+IF(AND(AM14&gt;=3,AP14&lt;=AsOfDate),IF(AV14="FT",IF(AX14&lt;FT_First,0,IF(AX14&lt;FT_Y5,1+INT((AX14-FT_First)/FT_Int1),FT_PreY5+FT_PerYear*INT((AX14-FT_Y5)/12)+FT_AnnivDays+INT(MOD(AX14-FT_Y5,12)/FT_Int2)-IF(EDATE(AL14,FT_Y5)&lt;PolicyEff,FT_AnnivDays-1,0))),IF(AV14="PT",IF(AX14&lt;PT_First,0,1+INT((AX14-PT_First)/PT_Int)),0))-IF(AV14="FT",IF(AZ14&lt;FT_First,0,IF(AZ14&lt;FT_Y5,1+INT((AZ14-FT_First)/FT_Int1),FT_PreY5+FT_PerYear*INT((AZ14-FT_Y5)/12)+FT_AnnivDays+INT(MOD(AZ14-FT_Y5,12)/FT_Int2)-IF(EDATE(AL14,FT_Y5)&lt;PolicyEff,FT_AnnivDays-1,0))),IF(AV14="PT",IF(AZ14&lt;PT_First,0,1+INT((AZ14-PT_First)/PT_Int)),0)),0))</f>
        <v/>
      </c>
      <c r="BE14" s="16" t="str">
        <f aca="false">IF(AK14=0,"",IF(AT14="FT",IF(BB14&lt;FT_First,0,IF(BB14&lt;FT_Y5,1+INT((BB14-FT_First)/FT_Int1),FT_PreY5+FT_PerYear*INT((BB14-FT_Y5)/12)+FT_AnnivDays+INT(MOD(BB14-FT_Y5,12)/FT_Int2)-IF(EDATE(AL14,FT_Y5)&lt;PolicyEff,FT_AnnivDays-1,0))),IF(AT14="PT",IF(BB14&lt;PT_First,0,1+INT((BB14-PT_First)/PT_Int)),0))+IF(AND(AM14&gt;=2,AO14&lt;=PFYDate),IF(AU14="FT",IF(BC14&lt;FT_First,0,IF(BC14&lt;FT_Y5,1+INT((BC14-FT_First)/FT_Int1),FT_PreY5+FT_PerYear*INT((BC14-FT_Y5)/12)+FT_AnnivDays+INT(MOD(BC14-FT_Y5,12)/FT_Int2)-IF(EDATE(AL14,FT_Y5)&lt;PolicyEff,FT_AnnivDays-1,0))),IF(AU14="PT",IF(BC14&lt;PT_First,0,1+INT((BC14-PT_First)/PT_Int)),0))-IF(AU14="FT",IF(BB14&lt;FT_First,0,IF(BB14&lt;FT_Y5,1+INT((BB14-FT_First)/FT_Int1),FT_PreY5+FT_PerYear*INT((BB14-FT_Y5)/12)+FT_AnnivDays+INT(MOD(BB14-FT_Y5,12)/FT_Int2)-IF(EDATE(AL14,FT_Y5)&lt;PolicyEff,FT_AnnivDays-1,0))),IF(AU14="PT",IF(BB14&lt;PT_First,0,1+INT((BB14-PT_First)/PT_Int)),0)),0)+IF(AND(AM14&gt;=3,AP14&lt;=PFYDate),IF(AV14="FT",IF(BA14&lt;FT_First,0,IF(BA14&lt;FT_Y5,1+INT((BA14-FT_First)/FT_Int1),FT_PreY5+FT_PerYear*INT((BA14-FT_Y5)/12)+FT_AnnivDays+INT(MOD(BA14-FT_Y5,12)/FT_Int2)-IF(EDATE(AL14,FT_Y5)&lt;PolicyEff,FT_AnnivDays-1,0))),IF(AV14="PT",IF(BA14&lt;PT_First,0,1+INT((BA14-PT_First)/PT_Int)),0))-IF(AV14="FT",IF(BC14&lt;FT_First,0,IF(BC14&lt;FT_Y5,1+INT((BC14-FT_First)/FT_Int1),FT_PreY5+FT_PerYear*INT((BC14-FT_Y5)/12)+FT_AnnivDays+INT(MOD(BC14-FT_Y5,12)/FT_Int2)-IF(EDATE(AL14,FT_Y5)&lt;PolicyEff,FT_AnnivDays-1,0))),IF(AV14="PT",IF(BC14&lt;PT_First,0,1+INT((BC14-PT_First)/PT_Int)),0)),0))</f>
        <v/>
      </c>
      <c r="BF14" s="16" t="str">
        <f aca="false">IF(AK14=0,"",IF(AW14="FT",IF(AX14&lt;FT_First,FT_First,IF(AX14&lt;FT_Y5,MIN(FT_Y5,FT_First+FT_Int1*(INT((AX14-FT_First)/FT_Int1)+1)),FT_Y5+12*INT((AX14-FT_Y5)/12)+FT_Int2*(INT(MOD(AX14-FT_Y5,12)/FT_Int2)+1))),IF(AW14="PT",IF(AX14&lt;PT_First,PT_First,PT_First+PT_Int*(INT((AX14-PT_First)/PT_Int)+1)),"")))</f>
        <v/>
      </c>
      <c r="BG14" s="16" t="str">
        <f aca="false">IF(AK14=0,"",IF(NOT(LH_Ready),0,COUNTIFS(INDEX(LH_Data,0,LH_ColFirst),$A14,INDEX(LH_Data,0,LH_ColSur),$B14,INDEX(LH_Data,0,LH_ColCat),BonusCat)))</f>
        <v/>
      </c>
      <c r="BH14" s="16" t="str">
        <f aca="false">IF(AK14=0,"",IF(OR(NOT(LH_Ready),BG14=0),0,SUMPRODUCT(MAX((INDEX(LH_Data,0,LH_ColFirst)=$A14)*(INDEX(LH_Data,0,LH_ColSur)=$B14)*(INDEX(LH_Data,0,LH_ColCat)=BonusCat)*ROW(LH_Data)))))</f>
        <v/>
      </c>
      <c r="BI14" s="16" t="str">
        <f aca="false">IF(AK14=0,"",IF(EOMONTH(AsOfDate,-1)&lt;AL14,-1,12*(YEAR(EOMONTH(AsOfDate,-1))-YEAR(AL14))+MONTH(EOMONTH(AsOfDate,-1))-MONTH(AL14)-IF(DAY(EOMONTH(AsOfDate,-1))&lt;MIN(DAY(AL14),DAY(EOMONTH(EOMONTH(AsOfDate,-1),0))),1,0)))</f>
        <v/>
      </c>
      <c r="BJ14" s="16" t="str">
        <f aca="false">IF(AK14=0,"",IF(OR(AM14&lt;2,AO14&gt;EOMONTH(AsOfDate,-1)),BI14,IF((AO14-1)&lt;AL14,-1,12*(YEAR((AO14-1))-YEAR(AL14))+MONTH((AO14-1))-MONTH(AL14)-IF(DAY((AO14-1))&lt;MIN(DAY(AL14),DAY(EOMONTH((AO14-1),0))),1,0))))</f>
        <v/>
      </c>
      <c r="BK14" s="16" t="str">
        <f aca="false">IF(AK14=0,"",IF(OR(AM14&lt;3,AP14&gt;EOMONTH(AsOfDate,-1)),BI14,IF((AP14-1)&lt;AL14,-1,12*(YEAR((AP14-1))-YEAR(AL14))+MONTH((AP14-1))-MONTH(AL14)-IF(DAY((AP14-1))&lt;MIN(DAY(AL14),DAY(EOMONTH((AP14-1),0))),1,0))))</f>
        <v/>
      </c>
      <c r="BL14" s="16" t="str">
        <f aca="false">IF(AK14=0,"",IF(AT14="FT",IF(BJ14&lt;FT_First,0,IF(BJ14&lt;FT_Y5,1+INT((BJ14-FT_First)/FT_Int1),FT_PreY5+FT_PerYear*INT((BJ14-FT_Y5)/12)+FT_AnnivDays+INT(MOD(BJ14-FT_Y5,12)/FT_Int2)-IF(EDATE(AL14,FT_Y5)&lt;PolicyEff,FT_AnnivDays-1,0))),IF(AT14="PT",IF(BJ14&lt;PT_First,0,1+INT((BJ14-PT_First)/PT_Int)),0))+IF(AND(AM14&gt;=2,AO14&lt;=EOMONTH(AsOfDate,-1)),IF(AU14="FT",IF(BK14&lt;FT_First,0,IF(BK14&lt;FT_Y5,1+INT((BK14-FT_First)/FT_Int1),FT_PreY5+FT_PerYear*INT((BK14-FT_Y5)/12)+FT_AnnivDays+INT(MOD(BK14-FT_Y5,12)/FT_Int2)-IF(EDATE(AL14,FT_Y5)&lt;PolicyEff,FT_AnnivDays-1,0))),IF(AU14="PT",IF(BK14&lt;PT_First,0,1+INT((BK14-PT_First)/PT_Int)),0))-IF(AU14="FT",IF(BJ14&lt;FT_First,0,IF(BJ14&lt;FT_Y5,1+INT((BJ14-FT_First)/FT_Int1),FT_PreY5+FT_PerYear*INT((BJ14-FT_Y5)/12)+FT_AnnivDays+INT(MOD(BJ14-FT_Y5,12)/FT_Int2)-IF(EDATE(AL14,FT_Y5)&lt;PolicyEff,FT_AnnivDays-1,0))),IF(AU14="PT",IF(BJ14&lt;PT_First,0,1+INT((BJ14-PT_First)/PT_Int)),0)),0)+IF(AND(AM14&gt;=3,AP14&lt;=EOMONTH(AsOfDate,-1)),IF(AV14="FT",IF(BI14&lt;FT_First,0,IF(BI14&lt;FT_Y5,1+INT((BI14-FT_First)/FT_Int1),FT_PreY5+FT_PerYear*INT((BI14-FT_Y5)/12)+FT_AnnivDays+INT(MOD(BI14-FT_Y5,12)/FT_Int2)-IF(EDATE(AL14,FT_Y5)&lt;PolicyEff,FT_AnnivDays-1,0))),IF(AV14="PT",IF(BI14&lt;PT_First,0,1+INT((BI14-PT_First)/PT_Int)),0))-IF(AV14="FT",IF(BK14&lt;FT_First,0,IF(BK14&lt;FT_Y5,1+INT((BK14-FT_First)/FT_Int1),FT_PreY5+FT_PerYear*INT((BK14-FT_Y5)/12)+FT_AnnivDays+INT(MOD(BK14-FT_Y5,12)/FT_Int2)-IF(EDATE(AL14,FT_Y5)&lt;PolicyEff,FT_AnnivDays-1,0))),IF(AV14="PT",IF(BK14&lt;PT_First,0,1+INT((BK14-PT_First)/PT_Int)),0)),0))</f>
        <v/>
      </c>
      <c r="BM14" s="16" t="str">
        <f aca="false">IF(AK14=0,"",IF(AW14="FT",IF(AX14&lt;FT_First,"",IF(AX14&lt;FT_Y5,FT_First+FT_Int1*INT((AX14-FT_First)/FT_Int1),FT_Y5+FT_Int2*INT((AX14-FT_Y5)/FT_Int2))),IF(AW14="PT",IF(AX14&lt;PT_First,"",PT_First+PT_Int*INT((AX14-PT_First)/PT_Int)),"")))</f>
        <v/>
      </c>
      <c r="BN14" s="16" t="str">
        <f aca="false">IF(AK14=0,"",IF((SchemeStart-1)&lt;AL14,-1,12*(YEAR((SchemeStart-1))-YEAR(AL14))+MONTH((SchemeStart-1))-MONTH(AL14)-IF(DAY((SchemeStart-1))&lt;MIN(DAY(AL14),DAY(EOMONTH((SchemeStart-1),0))),1,0)))</f>
        <v/>
      </c>
      <c r="BO14" s="16" t="str">
        <f aca="false">IF(AK14=0,"",IF(OR(AM14&lt;2,AO14&gt;(SchemeStart-1)),BN14,IF((AO14-1)&lt;AL14,-1,12*(YEAR((AO14-1))-YEAR(AL14))+MONTH((AO14-1))-MONTH(AL14)-IF(DAY((AO14-1))&lt;MIN(DAY(AL14),DAY(EOMONTH((AO14-1),0))),1,0))))</f>
        <v/>
      </c>
      <c r="BP14" s="16" t="str">
        <f aca="false">IF(AK14=0,"",IF(OR(AM14&lt;3,AP14&gt;(SchemeStart-1)),BN14,IF((AP14-1)&lt;AL14,-1,12*(YEAR((AP14-1))-YEAR(AL14))+MONTH((AP14-1))-MONTH(AL14)-IF(DAY((AP14-1))&lt;MIN(DAY(AL14),DAY(EOMONTH((AP14-1),0))),1,0))))</f>
        <v/>
      </c>
      <c r="BQ14" s="16" t="str">
        <f aca="false">IF(AK14=0,"",IF(AT14="FT",IF(BO14&lt;FT_First,0,IF(BO14&lt;FT_Y5,1+INT((BO14-FT_First)/FT_Int1),FT_PreY5+FT_PerYear*INT((BO14-FT_Y5)/12)+FT_AnnivDays+INT(MOD(BO14-FT_Y5,12)/FT_Int2)-IF(EDATE(AL14,FT_Y5)&lt;PolicyEff,FT_AnnivDays-1,0))),IF(AT14="PT",IF(BO14&lt;PT_First,0,1+INT((BO14-PT_First)/PT_Int)),0))+IF(AND(AM14&gt;=2,AO14&lt;=(SchemeStart-1)),IF(AU14="FT",IF(BP14&lt;FT_First,0,IF(BP14&lt;FT_Y5,1+INT((BP14-FT_First)/FT_Int1),FT_PreY5+FT_PerYear*INT((BP14-FT_Y5)/12)+FT_AnnivDays+INT(MOD(BP14-FT_Y5,12)/FT_Int2)-IF(EDATE(AL14,FT_Y5)&lt;PolicyEff,FT_AnnivDays-1,0))),IF(AU14="PT",IF(BP14&lt;PT_First,0,1+INT((BP14-PT_First)/PT_Int)),0))-IF(AU14="FT",IF(BO14&lt;FT_First,0,IF(BO14&lt;FT_Y5,1+INT((BO14-FT_First)/FT_Int1),FT_PreY5+FT_PerYear*INT((BO14-FT_Y5)/12)+FT_AnnivDays+INT(MOD(BO14-FT_Y5,12)/FT_Int2)-IF(EDATE(AL14,FT_Y5)&lt;PolicyEff,FT_AnnivDays-1,0))),IF(AU14="PT",IF(BO14&lt;PT_First,0,1+INT((BO14-PT_First)/PT_Int)),0)),0)+IF(AND(AM14&gt;=3,AP14&lt;=(SchemeStart-1)),IF(AV14="FT",IF(BN14&lt;FT_First,0,IF(BN14&lt;FT_Y5,1+INT((BN14-FT_First)/FT_Int1),FT_PreY5+FT_PerYear*INT((BN14-FT_Y5)/12)+FT_AnnivDays+INT(MOD(BN14-FT_Y5,12)/FT_Int2)-IF(EDATE(AL14,FT_Y5)&lt;PolicyEff,FT_AnnivDays-1,0))),IF(AV14="PT",IF(BN14&lt;PT_First,0,1+INT((BN14-PT_First)/PT_Int)),0))-IF(AV14="FT",IF(BP14&lt;FT_First,0,IF(BP14&lt;FT_Y5,1+INT((BP14-FT_First)/FT_Int1),FT_PreY5+FT_PerYear*INT((BP14-FT_Y5)/12)+FT_AnnivDays+INT(MOD(BP14-FT_Y5,12)/FT_Int2)-IF(EDATE(AL14,FT_Y5)&lt;PolicyEff,FT_AnnivDays-1,0))),IF(AV14="PT",IF(BP14&lt;PT_First,0,1+INT((BP14-PT_First)/PT_Int)),0)),0))</f>
        <v/>
      </c>
      <c r="BR14" s="0" t="str">
        <f aca="false">IF(LEN($A14&amp;$B14)=0,"",$A14&amp;" "&amp;$B14)</f>
        <v/>
      </c>
    </row>
    <row r="15" customFormat="false" ht="15" hidden="false" customHeight="false" outlineLevel="0" collapsed="false">
      <c r="A15" s="12"/>
      <c r="B15" s="12"/>
      <c r="C15" s="12"/>
      <c r="D15" s="13"/>
      <c r="E15" s="14" t="str">
        <f aca="false">IF(OR(AK15=0,$D15=""),"",DATE(YEAR(AsOfDate)+IF(DATE(YEAR(AsOfDate),MONTH($D15),DAY($D15))&lt;=AsOfDate,1,0),MONTH($D15),DAY($D15)))</f>
        <v/>
      </c>
      <c r="F15" s="13"/>
      <c r="G15" s="13"/>
      <c r="H15" s="13"/>
      <c r="I15" s="13"/>
      <c r="J15" s="13"/>
      <c r="K15" s="14" t="str">
        <f aca="false">IF(AK15=0,"",DATE(YEAR(AsOfDate)+IF(DATE(YEAR(AsOfDate),MONTH(AL15),DAY(AL15))&lt;=AsOfDate,1,0),MONTH(AL15),DAY(AL15)))</f>
        <v/>
      </c>
      <c r="L15" s="15" t="str">
        <f aca="false">IF(AK15=0,"",ROUND((AsOfDate-AL15)/365.25,1))</f>
        <v/>
      </c>
      <c r="M15" s="16" t="str">
        <f aca="false">IF(AK15=0,"",IF(AsOfDate&lt;AL15,"-",DATEDIF(AL15,AsOfDate,"y")&amp;"y "&amp;DATEDIF(AL15,AsOfDate,"ym")&amp;"m "&amp;DATEDIF(AL15,AsOfDate,"md")&amp;"d"))</f>
        <v/>
      </c>
      <c r="N15" s="17" t="str">
        <f aca="false">IF(AK15=0,"",O15*HoursPerDay)</f>
        <v/>
      </c>
      <c r="O15" s="17" t="str">
        <f aca="false">IF(AK15=0,"",MAX(0,BD15-BQ15))</f>
        <v/>
      </c>
      <c r="P15" s="18"/>
      <c r="Q15" s="16" t="str">
        <f aca="false">IF(AK15=0,"",IF(AM15&lt;2,"",AQ15&amp;" to "&amp;AR15&amp;" on "&amp;TEXT(AO15,"dd/mm/yyyy")&amp;IF(AO15&gt;AsOfDate," (future)",IF(AT15=AU15,"",IF(AU15="None"," - STOPPED accruing",IF(AT15="None"," - commencement for Bonus Leave"," - pathway changed"))))&amp;IF(AM15&lt;3,"","; "&amp;AR15&amp;" to "&amp;AS15&amp;" on "&amp;TEXT(AP15,"dd/mm/yyyy")&amp;IF(AP15&gt;AsOfDate," (future)",IF(AU15=AV15,"",IF(AV15="None"," - STOPPED accruing",IF(AU15="None"," - commencement for Bonus Leave"," - pathway changed")))))))</f>
        <v/>
      </c>
      <c r="R15" s="16" t="str">
        <f aca="false">IF(AK15=0,"",IF(AW15="None",IF(O15&gt;0,"No longer accruing","Not eligible - "&amp;IF(AND(OR(ISNUMBER(SEARCH("part",$C15)),UPPER(TRIM($C15))="PT",UPPER(TRIM($C15))="PTE"),Apply2026="No"),"part-time (scheme is full-time only)",IF(AND(OR(ISNUMBER(SEARCH("part",$C15)),UPPER(TRIM($C15))="PT",UPPER(TRIM($C15))="PTE"),$P15&lt;&gt;"",N($P15)&lt;PT_MinHours),"under "&amp;PT_MinHours&amp;" hrs",IF(IF($C15="","",IF(OR(ISNUMBER(SEARCH("full",$C15)),UPPER(TRIM($C15))="FT",UPPER(TRIM($C15))="FTE"),"Full-Time",IF(OR(ISNUMBER(SEARCH("part",$C15)),UPPER(TRIM($C15))="PT",UPPER(TRIM($C15))="PTE"),"Part-Time",IF(OR(ISNUMBER(SEARCH("cas",$C15)),UPPER(TRIM($C15))="CAS"),"Casual","Unknown"))))="Unknown","type not recognised",$C15)))),IF(O15&gt;0,"Yes - Accrual Required","Not yet - from "&amp;TEXT(S15,"dd/mm/yyyy"))))</f>
        <v/>
      </c>
      <c r="S15" s="14" t="str">
        <f aca="false">IF(AK15=0,"",IF(AW15="None","",EDATE(AL15,BF15)))</f>
        <v/>
      </c>
      <c r="T15" s="17" t="str">
        <f aca="false">IF(AK15=0,"",IF(NOT(LH_Ready),"",IF($F15&gt;PFYDate,0,IF(LH_ColPeriod=0,W15-U15+V15,SUMIFS(INDEX(LH_Data,0,LH_ColAcc),INDEX(LH_Data,0,LH_ColFirst),$A15,INDEX(LH_Data,0,LH_ColSur),$B15,INDEX(LH_Data,0,LH_ColCat),BonusCat,INDEX(LH_Data,0,LH_ColPeriod),LH_OpenLabel)*UnitFactor))))</f>
        <v/>
      </c>
      <c r="U15" s="17" t="str">
        <f aca="false">IF(AK15=0,"",IF(NOT(LH_Ready),"",SUMIFS(INDEX(LH_Data,0,LH_ColAcc),INDEX(LH_Data,0,LH_ColFirst),$A15,INDEX(LH_Data,0,LH_ColSur),$B15,INDEX(LH_Data,0,LH_ColCat),BonusCat,INDEX(LH_Data,0,LH_ColStart),"&gt;="&amp;AL15)*UnitFactor))</f>
        <v/>
      </c>
      <c r="V15" s="17" t="str">
        <f aca="false">IF(AK15=0,"",IF(NOT(LH_Ready),"",SUMIFS(INDEX(LH_Data,0,LH_ColTaken),INDEX(LH_Data,0,LH_ColFirst),$A15,INDEX(LH_Data,0,LH_ColSur),$B15,INDEX(LH_Data,0,LH_ColCat),BonusCat,INDEX(LH_Data,0,LH_ColStart),"&gt;="&amp;AL15)*UnitFactor))</f>
        <v/>
      </c>
      <c r="W15" s="17" t="str">
        <f aca="false">IF(AK15=0,"",IF(NOT(LH_Ready),"",IF(BH15=0,0,INDEX(INDEX(LH_Data,0,LH_ColClose),BH15-1)*UnitFactor)))</f>
        <v/>
      </c>
      <c r="X15" s="17" t="str">
        <f aca="false">IF(AK15=0,"",(MAX(0,BD15-BQ15)-MAX(0,BE15-BQ15))*HoursPerDay)</f>
        <v/>
      </c>
      <c r="Y15" s="17" t="str">
        <f aca="false">IF(AK15=0,"",IF(NOT(LH_Ready),"",IF($AI15="Yes",N(AE15)*HoursPerDay-SUMIFS(INDEX(LH_Data,0,LH_ColAcc),INDEX(LH_Data,0,LH_ColFirst),$A15,INDEX(LH_Data,0,LH_ColSur),$B15,INDEX(LH_Data,0,LH_ColCat),BonusCat,INDEX(LH_Data,0,LH_ColStart),"&gt;="&amp;(EOMONTH(AsOfDate,-1)+1),INDEX(LH_Data,0,LH_ColStart),"&lt;="&amp;AsOfDate)*UnitFactor,IF(BG15=0,N15,N15-N(T15)-N(U15)))))</f>
        <v/>
      </c>
      <c r="Z15" s="16" t="str">
        <f aca="false">IF(OR(AK15=0,Y15=""),"",IF(Y15&gt;0,"Yes","No"))</f>
        <v/>
      </c>
      <c r="AA15" s="16" t="str">
        <f aca="false">IF(AK15=0,IF(LEN($A15&amp;$B15)=0,"","FIX INPUT - StartDate missing"),IF(AD15&lt;&gt;"","FIX INPUT - "&amp;AD15,IF(NOT(LH_Ready),"Paste Leave History export (Settings must show YES)",IF(AND($AI15="Yes",Y15&lt;=0),"OK - EH balance accepted to date"&amp;IF(N(AH15)&gt;0," (EH holds "&amp;AH15&amp;" hrs over the scheme)","")&amp;"; next day "&amp;TEXT(S15,"dd mmm yy")&amp;IF(N(AE15)&gt;0," ("&amp;AE15&amp;" day(s) for "&amp;UPPER(TEXT(AsOfDate,"mmm yyyy"))&amp;" already in EH)",""),IF(Y15&gt;0,"ACCRUE "&amp;ROUND(Y15,2)&amp;" hrs ("&amp;ROUND(Y15/HoursPerDay,2)&amp;" days): "&amp;IF(N(AE15)&gt;0,AE15&amp;" day(s) for "&amp;UPPER(TEXT(AsOfDate,"mmm yyyy"))&amp;" (milestone "&amp;UPPER(TEXT(AF15,"dd mmm yy"))&amp;")"&amp;IF(Y15/HoursPerDay&gt;AE15+0.001," + "&amp;ROUND(Y15/HoursPerDay-AE15,2)&amp;" day(s) catch-up from earlier months",""),"all catch-up from earlier months, nothing new this month")&amp;IF(BG15=0,"; no Bonus Leave in EH yet",""),IF(Y15&lt;0,"CHECK - EH accrued "&amp;ROUND(-Y15,2)&amp;" hrs more than policy since commencement",IF(N(W15)&gt;O15*HoursPerDay+0.01,"CHECK - EH balance "&amp;ROUND(W15-O15*HoursPerDay,2)&amp;" hrs more than policy entitlement",IF(O15&gt;0,"OK - nothing to add"&amp;IF(N(AE15)&gt;0," ("&amp;AE15&amp;" day(s) for "&amp;UPPER(TEXT(AsOfDate,"mmm yyyy"))&amp;" already in EH)",""),IF(AW15="None",R15,"Not yet - first day on "&amp;TEXT(S15,"dd/mm/yyyy"))))))))))</f>
        <v/>
      </c>
      <c r="AB15" s="17" t="str">
        <f aca="false">IF(OR(AK15=0,T15=""),"",MAX(0,BE15-BQ15)*HoursPerDay-T15)</f>
        <v/>
      </c>
      <c r="AC15" s="16" t="str">
        <f aca="false">IF(AK15=0,"",BG15)</f>
        <v/>
      </c>
      <c r="AD15" s="16" t="str">
        <f aca="false">IF(AK15=0,"",TRIM(IF(OR(ISTEXT($F15),ISTEXT($H15),ISTEXT($I15),ISTEXT($G15),ISTEXT($J15),ISTEXT($D15)),"A date is typed as text - retype it as dd/mm/yyyy. ","")&amp;IF(IF($C15="","",IF(OR(ISNUMBER(SEARCH("full",$C15)),UPPER(TRIM($C15))="FT",UPPER(TRIM($C15))="FTE"),"Full-Time",IF(OR(ISNUMBER(SEARCH("part",$C15)),UPPER(TRIM($C15))="PT",UPPER(TRIM($C15))="PTE"),"Part-Time",IF(OR(ISNUMBER(SEARCH("cas",$C15)),UPPER(TRIM($C15))="CAS"),"Casual","Unknown"))))="Unknown","EmploymentType not recognised - use Full-Time, Part-Time or Casual. ","")&amp;IF(AND(AM15&gt;=1,IF(AM15&gt;=3,AS15,IF(AM15=2,AR15,AQ15))&lt;&gt;IF($C15="","",IF(OR(ISNUMBER(SEARCH("full",$C15)),UPPER(TRIM($C15))="FT",UPPER(TRIM($C15))="FTE"),"Full-Time",IF(OR(ISNUMBER(SEARCH("part",$C15)),UPPER(TRIM($C15))="PT",UPPER(TRIM($C15))="PTE"),"Part-Time",IF(OR(ISNUMBER(SEARCH("cas",$C15)),UPPER(TRIM($C15))="CAS"),"Casual","Unknown"))))),"EmploymentType does not match latest start date ("&amp;IF(AM15&gt;=3,AS15,IF(AM15=2,AR15,AQ15))&amp;"). ","")&amp;IF(AND(AM15&gt;=1,AN15&lt;&gt;$F15),"Earliest type date should equal StartDate. ","")&amp;IF(AND(AM15&gt;=2,AN15=AO15),"Two types start on the same date. ","")&amp;IF(AND(OR(ISNUMBER(SEARCH("part",$C15)),UPPER(TRIM($C15))="PT",UPPER(TRIM($C15))="PTE"),$P15=""),"Part-time: enter PT Hrs/Week (blank = 24+). ","")))</f>
        <v/>
      </c>
      <c r="AE15" s="17" t="str">
        <f aca="false">IF(AK15=0,"",O15-MAX(0,BL15-BQ15))</f>
        <v/>
      </c>
      <c r="AF15" s="14" t="str">
        <f aca="false">IF(OR(AK15=0,AE15="",N(AE15)=0,BM15=""),"",EDATE(AL15,BM15))</f>
        <v/>
      </c>
      <c r="AG15" s="17" t="str">
        <f aca="false">IF(AK15=0,"",MIN(BD15,BQ15))</f>
        <v/>
      </c>
      <c r="AH15" s="17" t="str">
        <f aca="false">IF(AK15=0,"",IF(NOT(LH_Ready),"",IF(BG15=0,0,MAX(0,ROUND(N(T15)+N(U15)-N15,2)))))</f>
        <v/>
      </c>
      <c r="AI15" s="12"/>
      <c r="AJ15" s="12"/>
      <c r="AK15" s="16" t="n">
        <f aca="false">IF(OR(LEN($A15&amp;$B15)=0,$F15=""),0,1)</f>
        <v>0</v>
      </c>
      <c r="AL15" s="14" t="str">
        <f aca="false">IF(AK15=0,"",IF(PreSchemeCounts="No",MAX(SchemeStart,IF($J15&lt;&gt;"",$J15,IF(OR(CasualCounts="Yes",COUNT($G15:$I15)=0),$F15,IF(Apply2026="No",IF($I15="",$F15,$I15),IF(COUNT($H15:$I15)=0,$F15,MIN($H15:$I15)))))),IF($J15&lt;&gt;"",$J15,IF(OR(CasualCounts="Yes",COUNT($G15:$I15)=0),$F15,IF(Apply2026="No",IF($I15="",$F15,$I15),IF(COUNT($H15:$I15)=0,$F15,MIN($H15:$I15)))))))</f>
        <v/>
      </c>
      <c r="AM15" s="16" t="str">
        <f aca="false">IF(AK15=0,"",COUNT($G15:$I15))</f>
        <v/>
      </c>
      <c r="AN15" s="14" t="str">
        <f aca="false">IF(AK15=0,"",IFERROR(SMALL($G15:$I15,1),""))</f>
        <v/>
      </c>
      <c r="AO15" s="14" t="str">
        <f aca="false">IF(AK15=0,"",IFERROR(SMALL($G15:$I15,2),""))</f>
        <v/>
      </c>
      <c r="AP15" s="14" t="str">
        <f aca="false">IF(AK15=0,"",IFERROR(SMALL($G15:$I15,3),""))</f>
        <v/>
      </c>
      <c r="AQ15" s="16" t="str">
        <f aca="false">IF(AK15=0,"",IF(AN15="","",IF(AN15=$H15,"Part-Time",IF(AN15=$I15,"Full-Time","Casual"))))</f>
        <v/>
      </c>
      <c r="AR15" s="16" t="str">
        <f aca="false">IF(AK15=0,"",IF(AO15="","",IF(AO15=$H15,"Part-Time",IF(AO15=$I15,"Full-Time","Casual"))))</f>
        <v/>
      </c>
      <c r="AS15" s="16" t="str">
        <f aca="false">IF(AK15=0,"",IF(AP15="","",IF(AP15=$H15,"Part-Time",IF(AP15=$I15,"Full-Time","Casual"))))</f>
        <v/>
      </c>
      <c r="AT15" s="16" t="str">
        <f aca="false">IF(AK15=0,"",IF(AM15=0,IF(OR(ISNUMBER(SEARCH("full",$C15)),UPPER(TRIM($C15))="FT",UPPER(TRIM($C15))="FTE"),"FT",IF(AND(OR(ISNUMBER(SEARCH("part",$C15)),UPPER(TRIM($C15))="PT",UPPER(TRIM($C15))="PTE"),Apply2026="Yes",OR($P15="",N($P15)&gt;=PT_MinHours)),"PT","None")),IF(OR(ISNUMBER(SEARCH("full",AQ15)),UPPER(TRIM(AQ15))="FT",UPPER(TRIM(AQ15))="FTE"),"FT",IF(AND(OR(ISNUMBER(SEARCH("part",AQ15)),UPPER(TRIM(AQ15))="PT",UPPER(TRIM(AQ15))="PTE"),Apply2026="Yes",OR($P15="",N($P15)&gt;=PT_MinHours)),"PT","None"))))</f>
        <v/>
      </c>
      <c r="AU15" s="16" t="str">
        <f aca="false">IF(AK15=0,"",IF(AM15&lt;2,"",IF(OR(ISNUMBER(SEARCH("full",AR15)),UPPER(TRIM(AR15))="FT",UPPER(TRIM(AR15))="FTE"),"FT",IF(AND(OR(ISNUMBER(SEARCH("part",AR15)),UPPER(TRIM(AR15))="PT",UPPER(TRIM(AR15))="PTE"),Apply2026="Yes",OR($P15="",N($P15)&gt;=PT_MinHours)),"PT","None"))))</f>
        <v/>
      </c>
      <c r="AV15" s="16" t="str">
        <f aca="false">IF(AK15=0,"",IF(AM15&lt;3,"",IF(OR(ISNUMBER(SEARCH("full",AS15)),UPPER(TRIM(AS15))="FT",UPPER(TRIM(AS15))="FTE"),"FT",IF(AND(OR(ISNUMBER(SEARCH("part",AS15)),UPPER(TRIM(AS15))="PT",UPPER(TRIM(AS15))="PTE"),Apply2026="Yes",OR($P15="",N($P15)&gt;=PT_MinHours)),"PT","None"))))</f>
        <v/>
      </c>
      <c r="AW15" s="16" t="str">
        <f aca="false">IF(AK15=0,"",IF(AND(AM15&gt;=3,AP15&lt;=AsOfDate),AV15,IF(AND(AM15&gt;=2,AO15&lt;=AsOfDate),AU15,AT15)))</f>
        <v/>
      </c>
      <c r="AX15" s="16" t="str">
        <f aca="false">IF(AK15=0,"",IF(AsOfDate&lt;AL15,-1,12*(YEAR(AsOfDate)-YEAR(AL15))+MONTH(AsOfDate)-MONTH(AL15)-IF(DAY(AsOfDate)&lt;MIN(DAY(AL15),DAY(EOMONTH(AsOfDate,0))),1,0)))</f>
        <v/>
      </c>
      <c r="AY15" s="16" t="str">
        <f aca="false">IF(AK15=0,"",IF(OR(AM15&lt;2,AO15&gt;AsOfDate),AX15,IF((AO15-1)&lt;AL15,-1,12*(YEAR((AO15-1))-YEAR(AL15))+MONTH((AO15-1))-MONTH(AL15)-IF(DAY((AO15-1))&lt;MIN(DAY(AL15),DAY(EOMONTH((AO15-1),0))),1,0))))</f>
        <v/>
      </c>
      <c r="AZ15" s="16" t="str">
        <f aca="false">IF(AK15=0,"",IF(OR(AM15&lt;3,AP15&gt;AsOfDate),AX15,IF((AP15-1)&lt;AL15,-1,12*(YEAR((AP15-1))-YEAR(AL15))+MONTH((AP15-1))-MONTH(AL15)-IF(DAY((AP15-1))&lt;MIN(DAY(AL15),DAY(EOMONTH((AP15-1),0))),1,0))))</f>
        <v/>
      </c>
      <c r="BA15" s="16" t="str">
        <f aca="false">IF(AK15=0,"",IF(PFYDate&lt;AL15,-1,12*(YEAR(PFYDate)-YEAR(AL15))+MONTH(PFYDate)-MONTH(AL15)-IF(DAY(PFYDate)&lt;MIN(DAY(AL15),DAY(EOMONTH(PFYDate,0))),1,0)))</f>
        <v/>
      </c>
      <c r="BB15" s="16" t="str">
        <f aca="false">IF(AK15=0,"",IF(OR(AM15&lt;2,AO15&gt;PFYDate),BA15,IF((AO15-1)&lt;AL15,-1,12*(YEAR((AO15-1))-YEAR(AL15))+MONTH((AO15-1))-MONTH(AL15)-IF(DAY((AO15-1))&lt;MIN(DAY(AL15),DAY(EOMONTH((AO15-1),0))),1,0))))</f>
        <v/>
      </c>
      <c r="BC15" s="16" t="str">
        <f aca="false">IF(AK15=0,"",IF(OR(AM15&lt;3,AP15&gt;PFYDate),BA15,IF((AP15-1)&lt;AL15,-1,12*(YEAR((AP15-1))-YEAR(AL15))+MONTH((AP15-1))-MONTH(AL15)-IF(DAY((AP15-1))&lt;MIN(DAY(AL15),DAY(EOMONTH((AP15-1),0))),1,0))))</f>
        <v/>
      </c>
      <c r="BD15" s="16" t="str">
        <f aca="false">IF(AK15=0,"",IF(AT15="FT",IF(AY15&lt;FT_First,0,IF(AY15&lt;FT_Y5,1+INT((AY15-FT_First)/FT_Int1),FT_PreY5+FT_PerYear*INT((AY15-FT_Y5)/12)+FT_AnnivDays+INT(MOD(AY15-FT_Y5,12)/FT_Int2)-IF(EDATE(AL15,FT_Y5)&lt;PolicyEff,FT_AnnivDays-1,0))),IF(AT15="PT",IF(AY15&lt;PT_First,0,1+INT((AY15-PT_First)/PT_Int)),0))+IF(AND(AM15&gt;=2,AO15&lt;=AsOfDate),IF(AU15="FT",IF(AZ15&lt;FT_First,0,IF(AZ15&lt;FT_Y5,1+INT((AZ15-FT_First)/FT_Int1),FT_PreY5+FT_PerYear*INT((AZ15-FT_Y5)/12)+FT_AnnivDays+INT(MOD(AZ15-FT_Y5,12)/FT_Int2)-IF(EDATE(AL15,FT_Y5)&lt;PolicyEff,FT_AnnivDays-1,0))),IF(AU15="PT",IF(AZ15&lt;PT_First,0,1+INT((AZ15-PT_First)/PT_Int)),0))-IF(AU15="FT",IF(AY15&lt;FT_First,0,IF(AY15&lt;FT_Y5,1+INT((AY15-FT_First)/FT_Int1),FT_PreY5+FT_PerYear*INT((AY15-FT_Y5)/12)+FT_AnnivDays+INT(MOD(AY15-FT_Y5,12)/FT_Int2)-IF(EDATE(AL15,FT_Y5)&lt;PolicyEff,FT_AnnivDays-1,0))),IF(AU15="PT",IF(AY15&lt;PT_First,0,1+INT((AY15-PT_First)/PT_Int)),0)),0)+IF(AND(AM15&gt;=3,AP15&lt;=AsOfDate),IF(AV15="FT",IF(AX15&lt;FT_First,0,IF(AX15&lt;FT_Y5,1+INT((AX15-FT_First)/FT_Int1),FT_PreY5+FT_PerYear*INT((AX15-FT_Y5)/12)+FT_AnnivDays+INT(MOD(AX15-FT_Y5,12)/FT_Int2)-IF(EDATE(AL15,FT_Y5)&lt;PolicyEff,FT_AnnivDays-1,0))),IF(AV15="PT",IF(AX15&lt;PT_First,0,1+INT((AX15-PT_First)/PT_Int)),0))-IF(AV15="FT",IF(AZ15&lt;FT_First,0,IF(AZ15&lt;FT_Y5,1+INT((AZ15-FT_First)/FT_Int1),FT_PreY5+FT_PerYear*INT((AZ15-FT_Y5)/12)+FT_AnnivDays+INT(MOD(AZ15-FT_Y5,12)/FT_Int2)-IF(EDATE(AL15,FT_Y5)&lt;PolicyEff,FT_AnnivDays-1,0))),IF(AV15="PT",IF(AZ15&lt;PT_First,0,1+INT((AZ15-PT_First)/PT_Int)),0)),0))</f>
        <v/>
      </c>
      <c r="BE15" s="16" t="str">
        <f aca="false">IF(AK15=0,"",IF(AT15="FT",IF(BB15&lt;FT_First,0,IF(BB15&lt;FT_Y5,1+INT((BB15-FT_First)/FT_Int1),FT_PreY5+FT_PerYear*INT((BB15-FT_Y5)/12)+FT_AnnivDays+INT(MOD(BB15-FT_Y5,12)/FT_Int2)-IF(EDATE(AL15,FT_Y5)&lt;PolicyEff,FT_AnnivDays-1,0))),IF(AT15="PT",IF(BB15&lt;PT_First,0,1+INT((BB15-PT_First)/PT_Int)),0))+IF(AND(AM15&gt;=2,AO15&lt;=PFYDate),IF(AU15="FT",IF(BC15&lt;FT_First,0,IF(BC15&lt;FT_Y5,1+INT((BC15-FT_First)/FT_Int1),FT_PreY5+FT_PerYear*INT((BC15-FT_Y5)/12)+FT_AnnivDays+INT(MOD(BC15-FT_Y5,12)/FT_Int2)-IF(EDATE(AL15,FT_Y5)&lt;PolicyEff,FT_AnnivDays-1,0))),IF(AU15="PT",IF(BC15&lt;PT_First,0,1+INT((BC15-PT_First)/PT_Int)),0))-IF(AU15="FT",IF(BB15&lt;FT_First,0,IF(BB15&lt;FT_Y5,1+INT((BB15-FT_First)/FT_Int1),FT_PreY5+FT_PerYear*INT((BB15-FT_Y5)/12)+FT_AnnivDays+INT(MOD(BB15-FT_Y5,12)/FT_Int2)-IF(EDATE(AL15,FT_Y5)&lt;PolicyEff,FT_AnnivDays-1,0))),IF(AU15="PT",IF(BB15&lt;PT_First,0,1+INT((BB15-PT_First)/PT_Int)),0)),0)+IF(AND(AM15&gt;=3,AP15&lt;=PFYDate),IF(AV15="FT",IF(BA15&lt;FT_First,0,IF(BA15&lt;FT_Y5,1+INT((BA15-FT_First)/FT_Int1),FT_PreY5+FT_PerYear*INT((BA15-FT_Y5)/12)+FT_AnnivDays+INT(MOD(BA15-FT_Y5,12)/FT_Int2)-IF(EDATE(AL15,FT_Y5)&lt;PolicyEff,FT_AnnivDays-1,0))),IF(AV15="PT",IF(BA15&lt;PT_First,0,1+INT((BA15-PT_First)/PT_Int)),0))-IF(AV15="FT",IF(BC15&lt;FT_First,0,IF(BC15&lt;FT_Y5,1+INT((BC15-FT_First)/FT_Int1),FT_PreY5+FT_PerYear*INT((BC15-FT_Y5)/12)+FT_AnnivDays+INT(MOD(BC15-FT_Y5,12)/FT_Int2)-IF(EDATE(AL15,FT_Y5)&lt;PolicyEff,FT_AnnivDays-1,0))),IF(AV15="PT",IF(BC15&lt;PT_First,0,1+INT((BC15-PT_First)/PT_Int)),0)),0))</f>
        <v/>
      </c>
      <c r="BF15" s="16" t="str">
        <f aca="false">IF(AK15=0,"",IF(AW15="FT",IF(AX15&lt;FT_First,FT_First,IF(AX15&lt;FT_Y5,MIN(FT_Y5,FT_First+FT_Int1*(INT((AX15-FT_First)/FT_Int1)+1)),FT_Y5+12*INT((AX15-FT_Y5)/12)+FT_Int2*(INT(MOD(AX15-FT_Y5,12)/FT_Int2)+1))),IF(AW15="PT",IF(AX15&lt;PT_First,PT_First,PT_First+PT_Int*(INT((AX15-PT_First)/PT_Int)+1)),"")))</f>
        <v/>
      </c>
      <c r="BG15" s="16" t="str">
        <f aca="false">IF(AK15=0,"",IF(NOT(LH_Ready),0,COUNTIFS(INDEX(LH_Data,0,LH_ColFirst),$A15,INDEX(LH_Data,0,LH_ColSur),$B15,INDEX(LH_Data,0,LH_ColCat),BonusCat)))</f>
        <v/>
      </c>
      <c r="BH15" s="16" t="str">
        <f aca="false">IF(AK15=0,"",IF(OR(NOT(LH_Ready),BG15=0),0,SUMPRODUCT(MAX((INDEX(LH_Data,0,LH_ColFirst)=$A15)*(INDEX(LH_Data,0,LH_ColSur)=$B15)*(INDEX(LH_Data,0,LH_ColCat)=BonusCat)*ROW(LH_Data)))))</f>
        <v/>
      </c>
      <c r="BI15" s="16" t="str">
        <f aca="false">IF(AK15=0,"",IF(EOMONTH(AsOfDate,-1)&lt;AL15,-1,12*(YEAR(EOMONTH(AsOfDate,-1))-YEAR(AL15))+MONTH(EOMONTH(AsOfDate,-1))-MONTH(AL15)-IF(DAY(EOMONTH(AsOfDate,-1))&lt;MIN(DAY(AL15),DAY(EOMONTH(EOMONTH(AsOfDate,-1),0))),1,0)))</f>
        <v/>
      </c>
      <c r="BJ15" s="16" t="str">
        <f aca="false">IF(AK15=0,"",IF(OR(AM15&lt;2,AO15&gt;EOMONTH(AsOfDate,-1)),BI15,IF((AO15-1)&lt;AL15,-1,12*(YEAR((AO15-1))-YEAR(AL15))+MONTH((AO15-1))-MONTH(AL15)-IF(DAY((AO15-1))&lt;MIN(DAY(AL15),DAY(EOMONTH((AO15-1),0))),1,0))))</f>
        <v/>
      </c>
      <c r="BK15" s="16" t="str">
        <f aca="false">IF(AK15=0,"",IF(OR(AM15&lt;3,AP15&gt;EOMONTH(AsOfDate,-1)),BI15,IF((AP15-1)&lt;AL15,-1,12*(YEAR((AP15-1))-YEAR(AL15))+MONTH((AP15-1))-MONTH(AL15)-IF(DAY((AP15-1))&lt;MIN(DAY(AL15),DAY(EOMONTH((AP15-1),0))),1,0))))</f>
        <v/>
      </c>
      <c r="BL15" s="16" t="str">
        <f aca="false">IF(AK15=0,"",IF(AT15="FT",IF(BJ15&lt;FT_First,0,IF(BJ15&lt;FT_Y5,1+INT((BJ15-FT_First)/FT_Int1),FT_PreY5+FT_PerYear*INT((BJ15-FT_Y5)/12)+FT_AnnivDays+INT(MOD(BJ15-FT_Y5,12)/FT_Int2)-IF(EDATE(AL15,FT_Y5)&lt;PolicyEff,FT_AnnivDays-1,0))),IF(AT15="PT",IF(BJ15&lt;PT_First,0,1+INT((BJ15-PT_First)/PT_Int)),0))+IF(AND(AM15&gt;=2,AO15&lt;=EOMONTH(AsOfDate,-1)),IF(AU15="FT",IF(BK15&lt;FT_First,0,IF(BK15&lt;FT_Y5,1+INT((BK15-FT_First)/FT_Int1),FT_PreY5+FT_PerYear*INT((BK15-FT_Y5)/12)+FT_AnnivDays+INT(MOD(BK15-FT_Y5,12)/FT_Int2)-IF(EDATE(AL15,FT_Y5)&lt;PolicyEff,FT_AnnivDays-1,0))),IF(AU15="PT",IF(BK15&lt;PT_First,0,1+INT((BK15-PT_First)/PT_Int)),0))-IF(AU15="FT",IF(BJ15&lt;FT_First,0,IF(BJ15&lt;FT_Y5,1+INT((BJ15-FT_First)/FT_Int1),FT_PreY5+FT_PerYear*INT((BJ15-FT_Y5)/12)+FT_AnnivDays+INT(MOD(BJ15-FT_Y5,12)/FT_Int2)-IF(EDATE(AL15,FT_Y5)&lt;PolicyEff,FT_AnnivDays-1,0))),IF(AU15="PT",IF(BJ15&lt;PT_First,0,1+INT((BJ15-PT_First)/PT_Int)),0)),0)+IF(AND(AM15&gt;=3,AP15&lt;=EOMONTH(AsOfDate,-1)),IF(AV15="FT",IF(BI15&lt;FT_First,0,IF(BI15&lt;FT_Y5,1+INT((BI15-FT_First)/FT_Int1),FT_PreY5+FT_PerYear*INT((BI15-FT_Y5)/12)+FT_AnnivDays+INT(MOD(BI15-FT_Y5,12)/FT_Int2)-IF(EDATE(AL15,FT_Y5)&lt;PolicyEff,FT_AnnivDays-1,0))),IF(AV15="PT",IF(BI15&lt;PT_First,0,1+INT((BI15-PT_First)/PT_Int)),0))-IF(AV15="FT",IF(BK15&lt;FT_First,0,IF(BK15&lt;FT_Y5,1+INT((BK15-FT_First)/FT_Int1),FT_PreY5+FT_PerYear*INT((BK15-FT_Y5)/12)+FT_AnnivDays+INT(MOD(BK15-FT_Y5,12)/FT_Int2)-IF(EDATE(AL15,FT_Y5)&lt;PolicyEff,FT_AnnivDays-1,0))),IF(AV15="PT",IF(BK15&lt;PT_First,0,1+INT((BK15-PT_First)/PT_Int)),0)),0))</f>
        <v/>
      </c>
      <c r="BM15" s="16" t="str">
        <f aca="false">IF(AK15=0,"",IF(AW15="FT",IF(AX15&lt;FT_First,"",IF(AX15&lt;FT_Y5,FT_First+FT_Int1*INT((AX15-FT_First)/FT_Int1),FT_Y5+FT_Int2*INT((AX15-FT_Y5)/FT_Int2))),IF(AW15="PT",IF(AX15&lt;PT_First,"",PT_First+PT_Int*INT((AX15-PT_First)/PT_Int)),"")))</f>
        <v/>
      </c>
      <c r="BN15" s="16" t="str">
        <f aca="false">IF(AK15=0,"",IF((SchemeStart-1)&lt;AL15,-1,12*(YEAR((SchemeStart-1))-YEAR(AL15))+MONTH((SchemeStart-1))-MONTH(AL15)-IF(DAY((SchemeStart-1))&lt;MIN(DAY(AL15),DAY(EOMONTH((SchemeStart-1),0))),1,0)))</f>
        <v/>
      </c>
      <c r="BO15" s="16" t="str">
        <f aca="false">IF(AK15=0,"",IF(OR(AM15&lt;2,AO15&gt;(SchemeStart-1)),BN15,IF((AO15-1)&lt;AL15,-1,12*(YEAR((AO15-1))-YEAR(AL15))+MONTH((AO15-1))-MONTH(AL15)-IF(DAY((AO15-1))&lt;MIN(DAY(AL15),DAY(EOMONTH((AO15-1),0))),1,0))))</f>
        <v/>
      </c>
      <c r="BP15" s="16" t="str">
        <f aca="false">IF(AK15=0,"",IF(OR(AM15&lt;3,AP15&gt;(SchemeStart-1)),BN15,IF((AP15-1)&lt;AL15,-1,12*(YEAR((AP15-1))-YEAR(AL15))+MONTH((AP15-1))-MONTH(AL15)-IF(DAY((AP15-1))&lt;MIN(DAY(AL15),DAY(EOMONTH((AP15-1),0))),1,0))))</f>
        <v/>
      </c>
      <c r="BQ15" s="16" t="str">
        <f aca="false">IF(AK15=0,"",IF(AT15="FT",IF(BO15&lt;FT_First,0,IF(BO15&lt;FT_Y5,1+INT((BO15-FT_First)/FT_Int1),FT_PreY5+FT_PerYear*INT((BO15-FT_Y5)/12)+FT_AnnivDays+INT(MOD(BO15-FT_Y5,12)/FT_Int2)-IF(EDATE(AL15,FT_Y5)&lt;PolicyEff,FT_AnnivDays-1,0))),IF(AT15="PT",IF(BO15&lt;PT_First,0,1+INT((BO15-PT_First)/PT_Int)),0))+IF(AND(AM15&gt;=2,AO15&lt;=(SchemeStart-1)),IF(AU15="FT",IF(BP15&lt;FT_First,0,IF(BP15&lt;FT_Y5,1+INT((BP15-FT_First)/FT_Int1),FT_PreY5+FT_PerYear*INT((BP15-FT_Y5)/12)+FT_AnnivDays+INT(MOD(BP15-FT_Y5,12)/FT_Int2)-IF(EDATE(AL15,FT_Y5)&lt;PolicyEff,FT_AnnivDays-1,0))),IF(AU15="PT",IF(BP15&lt;PT_First,0,1+INT((BP15-PT_First)/PT_Int)),0))-IF(AU15="FT",IF(BO15&lt;FT_First,0,IF(BO15&lt;FT_Y5,1+INT((BO15-FT_First)/FT_Int1),FT_PreY5+FT_PerYear*INT((BO15-FT_Y5)/12)+FT_AnnivDays+INT(MOD(BO15-FT_Y5,12)/FT_Int2)-IF(EDATE(AL15,FT_Y5)&lt;PolicyEff,FT_AnnivDays-1,0))),IF(AU15="PT",IF(BO15&lt;PT_First,0,1+INT((BO15-PT_First)/PT_Int)),0)),0)+IF(AND(AM15&gt;=3,AP15&lt;=(SchemeStart-1)),IF(AV15="FT",IF(BN15&lt;FT_First,0,IF(BN15&lt;FT_Y5,1+INT((BN15-FT_First)/FT_Int1),FT_PreY5+FT_PerYear*INT((BN15-FT_Y5)/12)+FT_AnnivDays+INT(MOD(BN15-FT_Y5,12)/FT_Int2)-IF(EDATE(AL15,FT_Y5)&lt;PolicyEff,FT_AnnivDays-1,0))),IF(AV15="PT",IF(BN15&lt;PT_First,0,1+INT((BN15-PT_First)/PT_Int)),0))-IF(AV15="FT",IF(BP15&lt;FT_First,0,IF(BP15&lt;FT_Y5,1+INT((BP15-FT_First)/FT_Int1),FT_PreY5+FT_PerYear*INT((BP15-FT_Y5)/12)+FT_AnnivDays+INT(MOD(BP15-FT_Y5,12)/FT_Int2)-IF(EDATE(AL15,FT_Y5)&lt;PolicyEff,FT_AnnivDays-1,0))),IF(AV15="PT",IF(BP15&lt;PT_First,0,1+INT((BP15-PT_First)/PT_Int)),0)),0))</f>
        <v/>
      </c>
      <c r="BR15" s="0" t="str">
        <f aca="false">IF(LEN($A15&amp;$B15)=0,"",$A15&amp;" "&amp;$B15)</f>
        <v/>
      </c>
    </row>
    <row r="16" customFormat="false" ht="15" hidden="false" customHeight="false" outlineLevel="0" collapsed="false">
      <c r="A16" s="12"/>
      <c r="B16" s="12"/>
      <c r="C16" s="12"/>
      <c r="D16" s="13"/>
      <c r="E16" s="14" t="str">
        <f aca="false">IF(OR(AK16=0,$D16=""),"",DATE(YEAR(AsOfDate)+IF(DATE(YEAR(AsOfDate),MONTH($D16),DAY($D16))&lt;=AsOfDate,1,0),MONTH($D16),DAY($D16)))</f>
        <v/>
      </c>
      <c r="F16" s="13"/>
      <c r="G16" s="13"/>
      <c r="H16" s="13"/>
      <c r="I16" s="13"/>
      <c r="J16" s="13"/>
      <c r="K16" s="14" t="str">
        <f aca="false">IF(AK16=0,"",DATE(YEAR(AsOfDate)+IF(DATE(YEAR(AsOfDate),MONTH(AL16),DAY(AL16))&lt;=AsOfDate,1,0),MONTH(AL16),DAY(AL16)))</f>
        <v/>
      </c>
      <c r="L16" s="15" t="str">
        <f aca="false">IF(AK16=0,"",ROUND((AsOfDate-AL16)/365.25,1))</f>
        <v/>
      </c>
      <c r="M16" s="16" t="str">
        <f aca="false">IF(AK16=0,"",IF(AsOfDate&lt;AL16,"-",DATEDIF(AL16,AsOfDate,"y")&amp;"y "&amp;DATEDIF(AL16,AsOfDate,"ym")&amp;"m "&amp;DATEDIF(AL16,AsOfDate,"md")&amp;"d"))</f>
        <v/>
      </c>
      <c r="N16" s="17" t="str">
        <f aca="false">IF(AK16=0,"",O16*HoursPerDay)</f>
        <v/>
      </c>
      <c r="O16" s="17" t="str">
        <f aca="false">IF(AK16=0,"",MAX(0,BD16-BQ16))</f>
        <v/>
      </c>
      <c r="P16" s="18"/>
      <c r="Q16" s="16" t="str">
        <f aca="false">IF(AK16=0,"",IF(AM16&lt;2,"",AQ16&amp;" to "&amp;AR16&amp;" on "&amp;TEXT(AO16,"dd/mm/yyyy")&amp;IF(AO16&gt;AsOfDate," (future)",IF(AT16=AU16,"",IF(AU16="None"," - STOPPED accruing",IF(AT16="None"," - commencement for Bonus Leave"," - pathway changed"))))&amp;IF(AM16&lt;3,"","; "&amp;AR16&amp;" to "&amp;AS16&amp;" on "&amp;TEXT(AP16,"dd/mm/yyyy")&amp;IF(AP16&gt;AsOfDate," (future)",IF(AU16=AV16,"",IF(AV16="None"," - STOPPED accruing",IF(AU16="None"," - commencement for Bonus Leave"," - pathway changed")))))))</f>
        <v/>
      </c>
      <c r="R16" s="16" t="str">
        <f aca="false">IF(AK16=0,"",IF(AW16="None",IF(O16&gt;0,"No longer accruing","Not eligible - "&amp;IF(AND(OR(ISNUMBER(SEARCH("part",$C16)),UPPER(TRIM($C16))="PT",UPPER(TRIM($C16))="PTE"),Apply2026="No"),"part-time (scheme is full-time only)",IF(AND(OR(ISNUMBER(SEARCH("part",$C16)),UPPER(TRIM($C16))="PT",UPPER(TRIM($C16))="PTE"),$P16&lt;&gt;"",N($P16)&lt;PT_MinHours),"under "&amp;PT_MinHours&amp;" hrs",IF(IF($C16="","",IF(OR(ISNUMBER(SEARCH("full",$C16)),UPPER(TRIM($C16))="FT",UPPER(TRIM($C16))="FTE"),"Full-Time",IF(OR(ISNUMBER(SEARCH("part",$C16)),UPPER(TRIM($C16))="PT",UPPER(TRIM($C16))="PTE"),"Part-Time",IF(OR(ISNUMBER(SEARCH("cas",$C16)),UPPER(TRIM($C16))="CAS"),"Casual","Unknown"))))="Unknown","type not recognised",$C16)))),IF(O16&gt;0,"Yes - Accrual Required","Not yet - from "&amp;TEXT(S16,"dd/mm/yyyy"))))</f>
        <v/>
      </c>
      <c r="S16" s="14" t="str">
        <f aca="false">IF(AK16=0,"",IF(AW16="None","",EDATE(AL16,BF16)))</f>
        <v/>
      </c>
      <c r="T16" s="17" t="str">
        <f aca="false">IF(AK16=0,"",IF(NOT(LH_Ready),"",IF($F16&gt;PFYDate,0,IF(LH_ColPeriod=0,W16-U16+V16,SUMIFS(INDEX(LH_Data,0,LH_ColAcc),INDEX(LH_Data,0,LH_ColFirst),$A16,INDEX(LH_Data,0,LH_ColSur),$B16,INDEX(LH_Data,0,LH_ColCat),BonusCat,INDEX(LH_Data,0,LH_ColPeriod),LH_OpenLabel)*UnitFactor))))</f>
        <v/>
      </c>
      <c r="U16" s="17" t="str">
        <f aca="false">IF(AK16=0,"",IF(NOT(LH_Ready),"",SUMIFS(INDEX(LH_Data,0,LH_ColAcc),INDEX(LH_Data,0,LH_ColFirst),$A16,INDEX(LH_Data,0,LH_ColSur),$B16,INDEX(LH_Data,0,LH_ColCat),BonusCat,INDEX(LH_Data,0,LH_ColStart),"&gt;="&amp;AL16)*UnitFactor))</f>
        <v/>
      </c>
      <c r="V16" s="17" t="str">
        <f aca="false">IF(AK16=0,"",IF(NOT(LH_Ready),"",SUMIFS(INDEX(LH_Data,0,LH_ColTaken),INDEX(LH_Data,0,LH_ColFirst),$A16,INDEX(LH_Data,0,LH_ColSur),$B16,INDEX(LH_Data,0,LH_ColCat),BonusCat,INDEX(LH_Data,0,LH_ColStart),"&gt;="&amp;AL16)*UnitFactor))</f>
        <v/>
      </c>
      <c r="W16" s="17" t="str">
        <f aca="false">IF(AK16=0,"",IF(NOT(LH_Ready),"",IF(BH16=0,0,INDEX(INDEX(LH_Data,0,LH_ColClose),BH16-1)*UnitFactor)))</f>
        <v/>
      </c>
      <c r="X16" s="17" t="str">
        <f aca="false">IF(AK16=0,"",(MAX(0,BD16-BQ16)-MAX(0,BE16-BQ16))*HoursPerDay)</f>
        <v/>
      </c>
      <c r="Y16" s="17" t="str">
        <f aca="false">IF(AK16=0,"",IF(NOT(LH_Ready),"",IF($AI16="Yes",N(AE16)*HoursPerDay-SUMIFS(INDEX(LH_Data,0,LH_ColAcc),INDEX(LH_Data,0,LH_ColFirst),$A16,INDEX(LH_Data,0,LH_ColSur),$B16,INDEX(LH_Data,0,LH_ColCat),BonusCat,INDEX(LH_Data,0,LH_ColStart),"&gt;="&amp;(EOMONTH(AsOfDate,-1)+1),INDEX(LH_Data,0,LH_ColStart),"&lt;="&amp;AsOfDate)*UnitFactor,IF(BG16=0,N16,N16-N(T16)-N(U16)))))</f>
        <v/>
      </c>
      <c r="Z16" s="16" t="str">
        <f aca="false">IF(OR(AK16=0,Y16=""),"",IF(Y16&gt;0,"Yes","No"))</f>
        <v/>
      </c>
      <c r="AA16" s="16" t="str">
        <f aca="false">IF(AK16=0,IF(LEN($A16&amp;$B16)=0,"","FIX INPUT - StartDate missing"),IF(AD16&lt;&gt;"","FIX INPUT - "&amp;AD16,IF(NOT(LH_Ready),"Paste Leave History export (Settings must show YES)",IF(AND($AI16="Yes",Y16&lt;=0),"OK - EH balance accepted to date"&amp;IF(N(AH16)&gt;0," (EH holds "&amp;AH16&amp;" hrs over the scheme)","")&amp;"; next day "&amp;TEXT(S16,"dd mmm yy")&amp;IF(N(AE16)&gt;0," ("&amp;AE16&amp;" day(s) for "&amp;UPPER(TEXT(AsOfDate,"mmm yyyy"))&amp;" already in EH)",""),IF(Y16&gt;0,"ACCRUE "&amp;ROUND(Y16,2)&amp;" hrs ("&amp;ROUND(Y16/HoursPerDay,2)&amp;" days): "&amp;IF(N(AE16)&gt;0,AE16&amp;" day(s) for "&amp;UPPER(TEXT(AsOfDate,"mmm yyyy"))&amp;" (milestone "&amp;UPPER(TEXT(AF16,"dd mmm yy"))&amp;")"&amp;IF(Y16/HoursPerDay&gt;AE16+0.001," + "&amp;ROUND(Y16/HoursPerDay-AE16,2)&amp;" day(s) catch-up from earlier months",""),"all catch-up from earlier months, nothing new this month")&amp;IF(BG16=0,"; no Bonus Leave in EH yet",""),IF(Y16&lt;0,"CHECK - EH accrued "&amp;ROUND(-Y16,2)&amp;" hrs more than policy since commencement",IF(N(W16)&gt;O16*HoursPerDay+0.01,"CHECK - EH balance "&amp;ROUND(W16-O16*HoursPerDay,2)&amp;" hrs more than policy entitlement",IF(O16&gt;0,"OK - nothing to add"&amp;IF(N(AE16)&gt;0," ("&amp;AE16&amp;" day(s) for "&amp;UPPER(TEXT(AsOfDate,"mmm yyyy"))&amp;" already in EH)",""),IF(AW16="None",R16,"Not yet - first day on "&amp;TEXT(S16,"dd/mm/yyyy"))))))))))</f>
        <v/>
      </c>
      <c r="AB16" s="17" t="str">
        <f aca="false">IF(OR(AK16=0,T16=""),"",MAX(0,BE16-BQ16)*HoursPerDay-T16)</f>
        <v/>
      </c>
      <c r="AC16" s="16" t="str">
        <f aca="false">IF(AK16=0,"",BG16)</f>
        <v/>
      </c>
      <c r="AD16" s="16" t="str">
        <f aca="false">IF(AK16=0,"",TRIM(IF(OR(ISTEXT($F16),ISTEXT($H16),ISTEXT($I16),ISTEXT($G16),ISTEXT($J16),ISTEXT($D16)),"A date is typed as text - retype it as dd/mm/yyyy. ","")&amp;IF(IF($C16="","",IF(OR(ISNUMBER(SEARCH("full",$C16)),UPPER(TRIM($C16))="FT",UPPER(TRIM($C16))="FTE"),"Full-Time",IF(OR(ISNUMBER(SEARCH("part",$C16)),UPPER(TRIM($C16))="PT",UPPER(TRIM($C16))="PTE"),"Part-Time",IF(OR(ISNUMBER(SEARCH("cas",$C16)),UPPER(TRIM($C16))="CAS"),"Casual","Unknown"))))="Unknown","EmploymentType not recognised - use Full-Time, Part-Time or Casual. ","")&amp;IF(AND(AM16&gt;=1,IF(AM16&gt;=3,AS16,IF(AM16=2,AR16,AQ16))&lt;&gt;IF($C16="","",IF(OR(ISNUMBER(SEARCH("full",$C16)),UPPER(TRIM($C16))="FT",UPPER(TRIM($C16))="FTE"),"Full-Time",IF(OR(ISNUMBER(SEARCH("part",$C16)),UPPER(TRIM($C16))="PT",UPPER(TRIM($C16))="PTE"),"Part-Time",IF(OR(ISNUMBER(SEARCH("cas",$C16)),UPPER(TRIM($C16))="CAS"),"Casual","Unknown"))))),"EmploymentType does not match latest start date ("&amp;IF(AM16&gt;=3,AS16,IF(AM16=2,AR16,AQ16))&amp;"). ","")&amp;IF(AND(AM16&gt;=1,AN16&lt;&gt;$F16),"Earliest type date should equal StartDate. ","")&amp;IF(AND(AM16&gt;=2,AN16=AO16),"Two types start on the same date. ","")&amp;IF(AND(OR(ISNUMBER(SEARCH("part",$C16)),UPPER(TRIM($C16))="PT",UPPER(TRIM($C16))="PTE"),$P16=""),"Part-time: enter PT Hrs/Week (blank = 24+). ","")))</f>
        <v/>
      </c>
      <c r="AE16" s="17" t="str">
        <f aca="false">IF(AK16=0,"",O16-MAX(0,BL16-BQ16))</f>
        <v/>
      </c>
      <c r="AF16" s="14" t="str">
        <f aca="false">IF(OR(AK16=0,AE16="",N(AE16)=0,BM16=""),"",EDATE(AL16,BM16))</f>
        <v/>
      </c>
      <c r="AG16" s="17" t="str">
        <f aca="false">IF(AK16=0,"",MIN(BD16,BQ16))</f>
        <v/>
      </c>
      <c r="AH16" s="17" t="str">
        <f aca="false">IF(AK16=0,"",IF(NOT(LH_Ready),"",IF(BG16=0,0,MAX(0,ROUND(N(T16)+N(U16)-N16,2)))))</f>
        <v/>
      </c>
      <c r="AI16" s="12"/>
      <c r="AJ16" s="12"/>
      <c r="AK16" s="16" t="n">
        <f aca="false">IF(OR(LEN($A16&amp;$B16)=0,$F16=""),0,1)</f>
        <v>0</v>
      </c>
      <c r="AL16" s="14" t="str">
        <f aca="false">IF(AK16=0,"",IF(PreSchemeCounts="No",MAX(SchemeStart,IF($J16&lt;&gt;"",$J16,IF(OR(CasualCounts="Yes",COUNT($G16:$I16)=0),$F16,IF(Apply2026="No",IF($I16="",$F16,$I16),IF(COUNT($H16:$I16)=0,$F16,MIN($H16:$I16)))))),IF($J16&lt;&gt;"",$J16,IF(OR(CasualCounts="Yes",COUNT($G16:$I16)=0),$F16,IF(Apply2026="No",IF($I16="",$F16,$I16),IF(COUNT($H16:$I16)=0,$F16,MIN($H16:$I16)))))))</f>
        <v/>
      </c>
      <c r="AM16" s="16" t="str">
        <f aca="false">IF(AK16=0,"",COUNT($G16:$I16))</f>
        <v/>
      </c>
      <c r="AN16" s="14" t="str">
        <f aca="false">IF(AK16=0,"",IFERROR(SMALL($G16:$I16,1),""))</f>
        <v/>
      </c>
      <c r="AO16" s="14" t="str">
        <f aca="false">IF(AK16=0,"",IFERROR(SMALL($G16:$I16,2),""))</f>
        <v/>
      </c>
      <c r="AP16" s="14" t="str">
        <f aca="false">IF(AK16=0,"",IFERROR(SMALL($G16:$I16,3),""))</f>
        <v/>
      </c>
      <c r="AQ16" s="16" t="str">
        <f aca="false">IF(AK16=0,"",IF(AN16="","",IF(AN16=$H16,"Part-Time",IF(AN16=$I16,"Full-Time","Casual"))))</f>
        <v/>
      </c>
      <c r="AR16" s="16" t="str">
        <f aca="false">IF(AK16=0,"",IF(AO16="","",IF(AO16=$H16,"Part-Time",IF(AO16=$I16,"Full-Time","Casual"))))</f>
        <v/>
      </c>
      <c r="AS16" s="16" t="str">
        <f aca="false">IF(AK16=0,"",IF(AP16="","",IF(AP16=$H16,"Part-Time",IF(AP16=$I16,"Full-Time","Casual"))))</f>
        <v/>
      </c>
      <c r="AT16" s="16" t="str">
        <f aca="false">IF(AK16=0,"",IF(AM16=0,IF(OR(ISNUMBER(SEARCH("full",$C16)),UPPER(TRIM($C16))="FT",UPPER(TRIM($C16))="FTE"),"FT",IF(AND(OR(ISNUMBER(SEARCH("part",$C16)),UPPER(TRIM($C16))="PT",UPPER(TRIM($C16))="PTE"),Apply2026="Yes",OR($P16="",N($P16)&gt;=PT_MinHours)),"PT","None")),IF(OR(ISNUMBER(SEARCH("full",AQ16)),UPPER(TRIM(AQ16))="FT",UPPER(TRIM(AQ16))="FTE"),"FT",IF(AND(OR(ISNUMBER(SEARCH("part",AQ16)),UPPER(TRIM(AQ16))="PT",UPPER(TRIM(AQ16))="PTE"),Apply2026="Yes",OR($P16="",N($P16)&gt;=PT_MinHours)),"PT","None"))))</f>
        <v/>
      </c>
      <c r="AU16" s="16" t="str">
        <f aca="false">IF(AK16=0,"",IF(AM16&lt;2,"",IF(OR(ISNUMBER(SEARCH("full",AR16)),UPPER(TRIM(AR16))="FT",UPPER(TRIM(AR16))="FTE"),"FT",IF(AND(OR(ISNUMBER(SEARCH("part",AR16)),UPPER(TRIM(AR16))="PT",UPPER(TRIM(AR16))="PTE"),Apply2026="Yes",OR($P16="",N($P16)&gt;=PT_MinHours)),"PT","None"))))</f>
        <v/>
      </c>
      <c r="AV16" s="16" t="str">
        <f aca="false">IF(AK16=0,"",IF(AM16&lt;3,"",IF(OR(ISNUMBER(SEARCH("full",AS16)),UPPER(TRIM(AS16))="FT",UPPER(TRIM(AS16))="FTE"),"FT",IF(AND(OR(ISNUMBER(SEARCH("part",AS16)),UPPER(TRIM(AS16))="PT",UPPER(TRIM(AS16))="PTE"),Apply2026="Yes",OR($P16="",N($P16)&gt;=PT_MinHours)),"PT","None"))))</f>
        <v/>
      </c>
      <c r="AW16" s="16" t="str">
        <f aca="false">IF(AK16=0,"",IF(AND(AM16&gt;=3,AP16&lt;=AsOfDate),AV16,IF(AND(AM16&gt;=2,AO16&lt;=AsOfDate),AU16,AT16)))</f>
        <v/>
      </c>
      <c r="AX16" s="16" t="str">
        <f aca="false">IF(AK16=0,"",IF(AsOfDate&lt;AL16,-1,12*(YEAR(AsOfDate)-YEAR(AL16))+MONTH(AsOfDate)-MONTH(AL16)-IF(DAY(AsOfDate)&lt;MIN(DAY(AL16),DAY(EOMONTH(AsOfDate,0))),1,0)))</f>
        <v/>
      </c>
      <c r="AY16" s="16" t="str">
        <f aca="false">IF(AK16=0,"",IF(OR(AM16&lt;2,AO16&gt;AsOfDate),AX16,IF((AO16-1)&lt;AL16,-1,12*(YEAR((AO16-1))-YEAR(AL16))+MONTH((AO16-1))-MONTH(AL16)-IF(DAY((AO16-1))&lt;MIN(DAY(AL16),DAY(EOMONTH((AO16-1),0))),1,0))))</f>
        <v/>
      </c>
      <c r="AZ16" s="16" t="str">
        <f aca="false">IF(AK16=0,"",IF(OR(AM16&lt;3,AP16&gt;AsOfDate),AX16,IF((AP16-1)&lt;AL16,-1,12*(YEAR((AP16-1))-YEAR(AL16))+MONTH((AP16-1))-MONTH(AL16)-IF(DAY((AP16-1))&lt;MIN(DAY(AL16),DAY(EOMONTH((AP16-1),0))),1,0))))</f>
        <v/>
      </c>
      <c r="BA16" s="16" t="str">
        <f aca="false">IF(AK16=0,"",IF(PFYDate&lt;AL16,-1,12*(YEAR(PFYDate)-YEAR(AL16))+MONTH(PFYDate)-MONTH(AL16)-IF(DAY(PFYDate)&lt;MIN(DAY(AL16),DAY(EOMONTH(PFYDate,0))),1,0)))</f>
        <v/>
      </c>
      <c r="BB16" s="16" t="str">
        <f aca="false">IF(AK16=0,"",IF(OR(AM16&lt;2,AO16&gt;PFYDate),BA16,IF((AO16-1)&lt;AL16,-1,12*(YEAR((AO16-1))-YEAR(AL16))+MONTH((AO16-1))-MONTH(AL16)-IF(DAY((AO16-1))&lt;MIN(DAY(AL16),DAY(EOMONTH((AO16-1),0))),1,0))))</f>
        <v/>
      </c>
      <c r="BC16" s="16" t="str">
        <f aca="false">IF(AK16=0,"",IF(OR(AM16&lt;3,AP16&gt;PFYDate),BA16,IF((AP16-1)&lt;AL16,-1,12*(YEAR((AP16-1))-YEAR(AL16))+MONTH((AP16-1))-MONTH(AL16)-IF(DAY((AP16-1))&lt;MIN(DAY(AL16),DAY(EOMONTH((AP16-1),0))),1,0))))</f>
        <v/>
      </c>
      <c r="BD16" s="16" t="str">
        <f aca="false">IF(AK16=0,"",IF(AT16="FT",IF(AY16&lt;FT_First,0,IF(AY16&lt;FT_Y5,1+INT((AY16-FT_First)/FT_Int1),FT_PreY5+FT_PerYear*INT((AY16-FT_Y5)/12)+FT_AnnivDays+INT(MOD(AY16-FT_Y5,12)/FT_Int2)-IF(EDATE(AL16,FT_Y5)&lt;PolicyEff,FT_AnnivDays-1,0))),IF(AT16="PT",IF(AY16&lt;PT_First,0,1+INT((AY16-PT_First)/PT_Int)),0))+IF(AND(AM16&gt;=2,AO16&lt;=AsOfDate),IF(AU16="FT",IF(AZ16&lt;FT_First,0,IF(AZ16&lt;FT_Y5,1+INT((AZ16-FT_First)/FT_Int1),FT_PreY5+FT_PerYear*INT((AZ16-FT_Y5)/12)+FT_AnnivDays+INT(MOD(AZ16-FT_Y5,12)/FT_Int2)-IF(EDATE(AL16,FT_Y5)&lt;PolicyEff,FT_AnnivDays-1,0))),IF(AU16="PT",IF(AZ16&lt;PT_First,0,1+INT((AZ16-PT_First)/PT_Int)),0))-IF(AU16="FT",IF(AY16&lt;FT_First,0,IF(AY16&lt;FT_Y5,1+INT((AY16-FT_First)/FT_Int1),FT_PreY5+FT_PerYear*INT((AY16-FT_Y5)/12)+FT_AnnivDays+INT(MOD(AY16-FT_Y5,12)/FT_Int2)-IF(EDATE(AL16,FT_Y5)&lt;PolicyEff,FT_AnnivDays-1,0))),IF(AU16="PT",IF(AY16&lt;PT_First,0,1+INT((AY16-PT_First)/PT_Int)),0)),0)+IF(AND(AM16&gt;=3,AP16&lt;=AsOfDate),IF(AV16="FT",IF(AX16&lt;FT_First,0,IF(AX16&lt;FT_Y5,1+INT((AX16-FT_First)/FT_Int1),FT_PreY5+FT_PerYear*INT((AX16-FT_Y5)/12)+FT_AnnivDays+INT(MOD(AX16-FT_Y5,12)/FT_Int2)-IF(EDATE(AL16,FT_Y5)&lt;PolicyEff,FT_AnnivDays-1,0))),IF(AV16="PT",IF(AX16&lt;PT_First,0,1+INT((AX16-PT_First)/PT_Int)),0))-IF(AV16="FT",IF(AZ16&lt;FT_First,0,IF(AZ16&lt;FT_Y5,1+INT((AZ16-FT_First)/FT_Int1),FT_PreY5+FT_PerYear*INT((AZ16-FT_Y5)/12)+FT_AnnivDays+INT(MOD(AZ16-FT_Y5,12)/FT_Int2)-IF(EDATE(AL16,FT_Y5)&lt;PolicyEff,FT_AnnivDays-1,0))),IF(AV16="PT",IF(AZ16&lt;PT_First,0,1+INT((AZ16-PT_First)/PT_Int)),0)),0))</f>
        <v/>
      </c>
      <c r="BE16" s="16" t="str">
        <f aca="false">IF(AK16=0,"",IF(AT16="FT",IF(BB16&lt;FT_First,0,IF(BB16&lt;FT_Y5,1+INT((BB16-FT_First)/FT_Int1),FT_PreY5+FT_PerYear*INT((BB16-FT_Y5)/12)+FT_AnnivDays+INT(MOD(BB16-FT_Y5,12)/FT_Int2)-IF(EDATE(AL16,FT_Y5)&lt;PolicyEff,FT_AnnivDays-1,0))),IF(AT16="PT",IF(BB16&lt;PT_First,0,1+INT((BB16-PT_First)/PT_Int)),0))+IF(AND(AM16&gt;=2,AO16&lt;=PFYDate),IF(AU16="FT",IF(BC16&lt;FT_First,0,IF(BC16&lt;FT_Y5,1+INT((BC16-FT_First)/FT_Int1),FT_PreY5+FT_PerYear*INT((BC16-FT_Y5)/12)+FT_AnnivDays+INT(MOD(BC16-FT_Y5,12)/FT_Int2)-IF(EDATE(AL16,FT_Y5)&lt;PolicyEff,FT_AnnivDays-1,0))),IF(AU16="PT",IF(BC16&lt;PT_First,0,1+INT((BC16-PT_First)/PT_Int)),0))-IF(AU16="FT",IF(BB16&lt;FT_First,0,IF(BB16&lt;FT_Y5,1+INT((BB16-FT_First)/FT_Int1),FT_PreY5+FT_PerYear*INT((BB16-FT_Y5)/12)+FT_AnnivDays+INT(MOD(BB16-FT_Y5,12)/FT_Int2)-IF(EDATE(AL16,FT_Y5)&lt;PolicyEff,FT_AnnivDays-1,0))),IF(AU16="PT",IF(BB16&lt;PT_First,0,1+INT((BB16-PT_First)/PT_Int)),0)),0)+IF(AND(AM16&gt;=3,AP16&lt;=PFYDate),IF(AV16="FT",IF(BA16&lt;FT_First,0,IF(BA16&lt;FT_Y5,1+INT((BA16-FT_First)/FT_Int1),FT_PreY5+FT_PerYear*INT((BA16-FT_Y5)/12)+FT_AnnivDays+INT(MOD(BA16-FT_Y5,12)/FT_Int2)-IF(EDATE(AL16,FT_Y5)&lt;PolicyEff,FT_AnnivDays-1,0))),IF(AV16="PT",IF(BA16&lt;PT_First,0,1+INT((BA16-PT_First)/PT_Int)),0))-IF(AV16="FT",IF(BC16&lt;FT_First,0,IF(BC16&lt;FT_Y5,1+INT((BC16-FT_First)/FT_Int1),FT_PreY5+FT_PerYear*INT((BC16-FT_Y5)/12)+FT_AnnivDays+INT(MOD(BC16-FT_Y5,12)/FT_Int2)-IF(EDATE(AL16,FT_Y5)&lt;PolicyEff,FT_AnnivDays-1,0))),IF(AV16="PT",IF(BC16&lt;PT_First,0,1+INT((BC16-PT_First)/PT_Int)),0)),0))</f>
        <v/>
      </c>
      <c r="BF16" s="16" t="str">
        <f aca="false">IF(AK16=0,"",IF(AW16="FT",IF(AX16&lt;FT_First,FT_First,IF(AX16&lt;FT_Y5,MIN(FT_Y5,FT_First+FT_Int1*(INT((AX16-FT_First)/FT_Int1)+1)),FT_Y5+12*INT((AX16-FT_Y5)/12)+FT_Int2*(INT(MOD(AX16-FT_Y5,12)/FT_Int2)+1))),IF(AW16="PT",IF(AX16&lt;PT_First,PT_First,PT_First+PT_Int*(INT((AX16-PT_First)/PT_Int)+1)),"")))</f>
        <v/>
      </c>
      <c r="BG16" s="16" t="str">
        <f aca="false">IF(AK16=0,"",IF(NOT(LH_Ready),0,COUNTIFS(INDEX(LH_Data,0,LH_ColFirst),$A16,INDEX(LH_Data,0,LH_ColSur),$B16,INDEX(LH_Data,0,LH_ColCat),BonusCat)))</f>
        <v/>
      </c>
      <c r="BH16" s="16" t="str">
        <f aca="false">IF(AK16=0,"",IF(OR(NOT(LH_Ready),BG16=0),0,SUMPRODUCT(MAX((INDEX(LH_Data,0,LH_ColFirst)=$A16)*(INDEX(LH_Data,0,LH_ColSur)=$B16)*(INDEX(LH_Data,0,LH_ColCat)=BonusCat)*ROW(LH_Data)))))</f>
        <v/>
      </c>
      <c r="BI16" s="16" t="str">
        <f aca="false">IF(AK16=0,"",IF(EOMONTH(AsOfDate,-1)&lt;AL16,-1,12*(YEAR(EOMONTH(AsOfDate,-1))-YEAR(AL16))+MONTH(EOMONTH(AsOfDate,-1))-MONTH(AL16)-IF(DAY(EOMONTH(AsOfDate,-1))&lt;MIN(DAY(AL16),DAY(EOMONTH(EOMONTH(AsOfDate,-1),0))),1,0)))</f>
        <v/>
      </c>
      <c r="BJ16" s="16" t="str">
        <f aca="false">IF(AK16=0,"",IF(OR(AM16&lt;2,AO16&gt;EOMONTH(AsOfDate,-1)),BI16,IF((AO16-1)&lt;AL16,-1,12*(YEAR((AO16-1))-YEAR(AL16))+MONTH((AO16-1))-MONTH(AL16)-IF(DAY((AO16-1))&lt;MIN(DAY(AL16),DAY(EOMONTH((AO16-1),0))),1,0))))</f>
        <v/>
      </c>
      <c r="BK16" s="16" t="str">
        <f aca="false">IF(AK16=0,"",IF(OR(AM16&lt;3,AP16&gt;EOMONTH(AsOfDate,-1)),BI16,IF((AP16-1)&lt;AL16,-1,12*(YEAR((AP16-1))-YEAR(AL16))+MONTH((AP16-1))-MONTH(AL16)-IF(DAY((AP16-1))&lt;MIN(DAY(AL16),DAY(EOMONTH((AP16-1),0))),1,0))))</f>
        <v/>
      </c>
      <c r="BL16" s="16" t="str">
        <f aca="false">IF(AK16=0,"",IF(AT16="FT",IF(BJ16&lt;FT_First,0,IF(BJ16&lt;FT_Y5,1+INT((BJ16-FT_First)/FT_Int1),FT_PreY5+FT_PerYear*INT((BJ16-FT_Y5)/12)+FT_AnnivDays+INT(MOD(BJ16-FT_Y5,12)/FT_Int2)-IF(EDATE(AL16,FT_Y5)&lt;PolicyEff,FT_AnnivDays-1,0))),IF(AT16="PT",IF(BJ16&lt;PT_First,0,1+INT((BJ16-PT_First)/PT_Int)),0))+IF(AND(AM16&gt;=2,AO16&lt;=EOMONTH(AsOfDate,-1)),IF(AU16="FT",IF(BK16&lt;FT_First,0,IF(BK16&lt;FT_Y5,1+INT((BK16-FT_First)/FT_Int1),FT_PreY5+FT_PerYear*INT((BK16-FT_Y5)/12)+FT_AnnivDays+INT(MOD(BK16-FT_Y5,12)/FT_Int2)-IF(EDATE(AL16,FT_Y5)&lt;PolicyEff,FT_AnnivDays-1,0))),IF(AU16="PT",IF(BK16&lt;PT_First,0,1+INT((BK16-PT_First)/PT_Int)),0))-IF(AU16="FT",IF(BJ16&lt;FT_First,0,IF(BJ16&lt;FT_Y5,1+INT((BJ16-FT_First)/FT_Int1),FT_PreY5+FT_PerYear*INT((BJ16-FT_Y5)/12)+FT_AnnivDays+INT(MOD(BJ16-FT_Y5,12)/FT_Int2)-IF(EDATE(AL16,FT_Y5)&lt;PolicyEff,FT_AnnivDays-1,0))),IF(AU16="PT",IF(BJ16&lt;PT_First,0,1+INT((BJ16-PT_First)/PT_Int)),0)),0)+IF(AND(AM16&gt;=3,AP16&lt;=EOMONTH(AsOfDate,-1)),IF(AV16="FT",IF(BI16&lt;FT_First,0,IF(BI16&lt;FT_Y5,1+INT((BI16-FT_First)/FT_Int1),FT_PreY5+FT_PerYear*INT((BI16-FT_Y5)/12)+FT_AnnivDays+INT(MOD(BI16-FT_Y5,12)/FT_Int2)-IF(EDATE(AL16,FT_Y5)&lt;PolicyEff,FT_AnnivDays-1,0))),IF(AV16="PT",IF(BI16&lt;PT_First,0,1+INT((BI16-PT_First)/PT_Int)),0))-IF(AV16="FT",IF(BK16&lt;FT_First,0,IF(BK16&lt;FT_Y5,1+INT((BK16-FT_First)/FT_Int1),FT_PreY5+FT_PerYear*INT((BK16-FT_Y5)/12)+FT_AnnivDays+INT(MOD(BK16-FT_Y5,12)/FT_Int2)-IF(EDATE(AL16,FT_Y5)&lt;PolicyEff,FT_AnnivDays-1,0))),IF(AV16="PT",IF(BK16&lt;PT_First,0,1+INT((BK16-PT_First)/PT_Int)),0)),0))</f>
        <v/>
      </c>
      <c r="BM16" s="16" t="str">
        <f aca="false">IF(AK16=0,"",IF(AW16="FT",IF(AX16&lt;FT_First,"",IF(AX16&lt;FT_Y5,FT_First+FT_Int1*INT((AX16-FT_First)/FT_Int1),FT_Y5+FT_Int2*INT((AX16-FT_Y5)/FT_Int2))),IF(AW16="PT",IF(AX16&lt;PT_First,"",PT_First+PT_Int*INT((AX16-PT_First)/PT_Int)),"")))</f>
        <v/>
      </c>
      <c r="BN16" s="16" t="str">
        <f aca="false">IF(AK16=0,"",IF((SchemeStart-1)&lt;AL16,-1,12*(YEAR((SchemeStart-1))-YEAR(AL16))+MONTH((SchemeStart-1))-MONTH(AL16)-IF(DAY((SchemeStart-1))&lt;MIN(DAY(AL16),DAY(EOMONTH((SchemeStart-1),0))),1,0)))</f>
        <v/>
      </c>
      <c r="BO16" s="16" t="str">
        <f aca="false">IF(AK16=0,"",IF(OR(AM16&lt;2,AO16&gt;(SchemeStart-1)),BN16,IF((AO16-1)&lt;AL16,-1,12*(YEAR((AO16-1))-YEAR(AL16))+MONTH((AO16-1))-MONTH(AL16)-IF(DAY((AO16-1))&lt;MIN(DAY(AL16),DAY(EOMONTH((AO16-1),0))),1,0))))</f>
        <v/>
      </c>
      <c r="BP16" s="16" t="str">
        <f aca="false">IF(AK16=0,"",IF(OR(AM16&lt;3,AP16&gt;(SchemeStart-1)),BN16,IF((AP16-1)&lt;AL16,-1,12*(YEAR((AP16-1))-YEAR(AL16))+MONTH((AP16-1))-MONTH(AL16)-IF(DAY((AP16-1))&lt;MIN(DAY(AL16),DAY(EOMONTH((AP16-1),0))),1,0))))</f>
        <v/>
      </c>
      <c r="BQ16" s="16" t="str">
        <f aca="false">IF(AK16=0,"",IF(AT16="FT",IF(BO16&lt;FT_First,0,IF(BO16&lt;FT_Y5,1+INT((BO16-FT_First)/FT_Int1),FT_PreY5+FT_PerYear*INT((BO16-FT_Y5)/12)+FT_AnnivDays+INT(MOD(BO16-FT_Y5,12)/FT_Int2)-IF(EDATE(AL16,FT_Y5)&lt;PolicyEff,FT_AnnivDays-1,0))),IF(AT16="PT",IF(BO16&lt;PT_First,0,1+INT((BO16-PT_First)/PT_Int)),0))+IF(AND(AM16&gt;=2,AO16&lt;=(SchemeStart-1)),IF(AU16="FT",IF(BP16&lt;FT_First,0,IF(BP16&lt;FT_Y5,1+INT((BP16-FT_First)/FT_Int1),FT_PreY5+FT_PerYear*INT((BP16-FT_Y5)/12)+FT_AnnivDays+INT(MOD(BP16-FT_Y5,12)/FT_Int2)-IF(EDATE(AL16,FT_Y5)&lt;PolicyEff,FT_AnnivDays-1,0))),IF(AU16="PT",IF(BP16&lt;PT_First,0,1+INT((BP16-PT_First)/PT_Int)),0))-IF(AU16="FT",IF(BO16&lt;FT_First,0,IF(BO16&lt;FT_Y5,1+INT((BO16-FT_First)/FT_Int1),FT_PreY5+FT_PerYear*INT((BO16-FT_Y5)/12)+FT_AnnivDays+INT(MOD(BO16-FT_Y5,12)/FT_Int2)-IF(EDATE(AL16,FT_Y5)&lt;PolicyEff,FT_AnnivDays-1,0))),IF(AU16="PT",IF(BO16&lt;PT_First,0,1+INT((BO16-PT_First)/PT_Int)),0)),0)+IF(AND(AM16&gt;=3,AP16&lt;=(SchemeStart-1)),IF(AV16="FT",IF(BN16&lt;FT_First,0,IF(BN16&lt;FT_Y5,1+INT((BN16-FT_First)/FT_Int1),FT_PreY5+FT_PerYear*INT((BN16-FT_Y5)/12)+FT_AnnivDays+INT(MOD(BN16-FT_Y5,12)/FT_Int2)-IF(EDATE(AL16,FT_Y5)&lt;PolicyEff,FT_AnnivDays-1,0))),IF(AV16="PT",IF(BN16&lt;PT_First,0,1+INT((BN16-PT_First)/PT_Int)),0))-IF(AV16="FT",IF(BP16&lt;FT_First,0,IF(BP16&lt;FT_Y5,1+INT((BP16-FT_First)/FT_Int1),FT_PreY5+FT_PerYear*INT((BP16-FT_Y5)/12)+FT_AnnivDays+INT(MOD(BP16-FT_Y5,12)/FT_Int2)-IF(EDATE(AL16,FT_Y5)&lt;PolicyEff,FT_AnnivDays-1,0))),IF(AV16="PT",IF(BP16&lt;PT_First,0,1+INT((BP16-PT_First)/PT_Int)),0)),0))</f>
        <v/>
      </c>
      <c r="BR16" s="0" t="str">
        <f aca="false">IF(LEN($A16&amp;$B16)=0,"",$A16&amp;" "&amp;$B16)</f>
        <v/>
      </c>
    </row>
    <row r="17" customFormat="false" ht="15" hidden="false" customHeight="false" outlineLevel="0" collapsed="false">
      <c r="A17" s="12"/>
      <c r="B17" s="12"/>
      <c r="C17" s="12"/>
      <c r="D17" s="13"/>
      <c r="E17" s="14" t="str">
        <f aca="false">IF(OR(AK17=0,$D17=""),"",DATE(YEAR(AsOfDate)+IF(DATE(YEAR(AsOfDate),MONTH($D17),DAY($D17))&lt;=AsOfDate,1,0),MONTH($D17),DAY($D17)))</f>
        <v/>
      </c>
      <c r="F17" s="13"/>
      <c r="G17" s="13"/>
      <c r="H17" s="13"/>
      <c r="I17" s="13"/>
      <c r="J17" s="13"/>
      <c r="K17" s="14" t="str">
        <f aca="false">IF(AK17=0,"",DATE(YEAR(AsOfDate)+IF(DATE(YEAR(AsOfDate),MONTH(AL17),DAY(AL17))&lt;=AsOfDate,1,0),MONTH(AL17),DAY(AL17)))</f>
        <v/>
      </c>
      <c r="L17" s="15" t="str">
        <f aca="false">IF(AK17=0,"",ROUND((AsOfDate-AL17)/365.25,1))</f>
        <v/>
      </c>
      <c r="M17" s="16" t="str">
        <f aca="false">IF(AK17=0,"",IF(AsOfDate&lt;AL17,"-",DATEDIF(AL17,AsOfDate,"y")&amp;"y "&amp;DATEDIF(AL17,AsOfDate,"ym")&amp;"m "&amp;DATEDIF(AL17,AsOfDate,"md")&amp;"d"))</f>
        <v/>
      </c>
      <c r="N17" s="17" t="str">
        <f aca="false">IF(AK17=0,"",O17*HoursPerDay)</f>
        <v/>
      </c>
      <c r="O17" s="17" t="str">
        <f aca="false">IF(AK17=0,"",MAX(0,BD17-BQ17))</f>
        <v/>
      </c>
      <c r="P17" s="18"/>
      <c r="Q17" s="16" t="str">
        <f aca="false">IF(AK17=0,"",IF(AM17&lt;2,"",AQ17&amp;" to "&amp;AR17&amp;" on "&amp;TEXT(AO17,"dd/mm/yyyy")&amp;IF(AO17&gt;AsOfDate," (future)",IF(AT17=AU17,"",IF(AU17="None"," - STOPPED accruing",IF(AT17="None"," - commencement for Bonus Leave"," - pathway changed"))))&amp;IF(AM17&lt;3,"","; "&amp;AR17&amp;" to "&amp;AS17&amp;" on "&amp;TEXT(AP17,"dd/mm/yyyy")&amp;IF(AP17&gt;AsOfDate," (future)",IF(AU17=AV17,"",IF(AV17="None"," - STOPPED accruing",IF(AU17="None"," - commencement for Bonus Leave"," - pathway changed")))))))</f>
        <v/>
      </c>
      <c r="R17" s="16" t="str">
        <f aca="false">IF(AK17=0,"",IF(AW17="None",IF(O17&gt;0,"No longer accruing","Not eligible - "&amp;IF(AND(OR(ISNUMBER(SEARCH("part",$C17)),UPPER(TRIM($C17))="PT",UPPER(TRIM($C17))="PTE"),Apply2026="No"),"part-time (scheme is full-time only)",IF(AND(OR(ISNUMBER(SEARCH("part",$C17)),UPPER(TRIM($C17))="PT",UPPER(TRIM($C17))="PTE"),$P17&lt;&gt;"",N($P17)&lt;PT_MinHours),"under "&amp;PT_MinHours&amp;" hrs",IF(IF($C17="","",IF(OR(ISNUMBER(SEARCH("full",$C17)),UPPER(TRIM($C17))="FT",UPPER(TRIM($C17))="FTE"),"Full-Time",IF(OR(ISNUMBER(SEARCH("part",$C17)),UPPER(TRIM($C17))="PT",UPPER(TRIM($C17))="PTE"),"Part-Time",IF(OR(ISNUMBER(SEARCH("cas",$C17)),UPPER(TRIM($C17))="CAS"),"Casual","Unknown"))))="Unknown","type not recognised",$C17)))),IF(O17&gt;0,"Yes - Accrual Required","Not yet - from "&amp;TEXT(S17,"dd/mm/yyyy"))))</f>
        <v/>
      </c>
      <c r="S17" s="14" t="str">
        <f aca="false">IF(AK17=0,"",IF(AW17="None","",EDATE(AL17,BF17)))</f>
        <v/>
      </c>
      <c r="T17" s="17" t="str">
        <f aca="false">IF(AK17=0,"",IF(NOT(LH_Ready),"",IF($F17&gt;PFYDate,0,IF(LH_ColPeriod=0,W17-U17+V17,SUMIFS(INDEX(LH_Data,0,LH_ColAcc),INDEX(LH_Data,0,LH_ColFirst),$A17,INDEX(LH_Data,0,LH_ColSur),$B17,INDEX(LH_Data,0,LH_ColCat),BonusCat,INDEX(LH_Data,0,LH_ColPeriod),LH_OpenLabel)*UnitFactor))))</f>
        <v/>
      </c>
      <c r="U17" s="17" t="str">
        <f aca="false">IF(AK17=0,"",IF(NOT(LH_Ready),"",SUMIFS(INDEX(LH_Data,0,LH_ColAcc),INDEX(LH_Data,0,LH_ColFirst),$A17,INDEX(LH_Data,0,LH_ColSur),$B17,INDEX(LH_Data,0,LH_ColCat),BonusCat,INDEX(LH_Data,0,LH_ColStart),"&gt;="&amp;AL17)*UnitFactor))</f>
        <v/>
      </c>
      <c r="V17" s="17" t="str">
        <f aca="false">IF(AK17=0,"",IF(NOT(LH_Ready),"",SUMIFS(INDEX(LH_Data,0,LH_ColTaken),INDEX(LH_Data,0,LH_ColFirst),$A17,INDEX(LH_Data,0,LH_ColSur),$B17,INDEX(LH_Data,0,LH_ColCat),BonusCat,INDEX(LH_Data,0,LH_ColStart),"&gt;="&amp;AL17)*UnitFactor))</f>
        <v/>
      </c>
      <c r="W17" s="17" t="str">
        <f aca="false">IF(AK17=0,"",IF(NOT(LH_Ready),"",IF(BH17=0,0,INDEX(INDEX(LH_Data,0,LH_ColClose),BH17-1)*UnitFactor)))</f>
        <v/>
      </c>
      <c r="X17" s="17" t="str">
        <f aca="false">IF(AK17=0,"",(MAX(0,BD17-BQ17)-MAX(0,BE17-BQ17))*HoursPerDay)</f>
        <v/>
      </c>
      <c r="Y17" s="17" t="str">
        <f aca="false">IF(AK17=0,"",IF(NOT(LH_Ready),"",IF($AI17="Yes",N(AE17)*HoursPerDay-SUMIFS(INDEX(LH_Data,0,LH_ColAcc),INDEX(LH_Data,0,LH_ColFirst),$A17,INDEX(LH_Data,0,LH_ColSur),$B17,INDEX(LH_Data,0,LH_ColCat),BonusCat,INDEX(LH_Data,0,LH_ColStart),"&gt;="&amp;(EOMONTH(AsOfDate,-1)+1),INDEX(LH_Data,0,LH_ColStart),"&lt;="&amp;AsOfDate)*UnitFactor,IF(BG17=0,N17,N17-N(T17)-N(U17)))))</f>
        <v/>
      </c>
      <c r="Z17" s="16" t="str">
        <f aca="false">IF(OR(AK17=0,Y17=""),"",IF(Y17&gt;0,"Yes","No"))</f>
        <v/>
      </c>
      <c r="AA17" s="16" t="str">
        <f aca="false">IF(AK17=0,IF(LEN($A17&amp;$B17)=0,"","FIX INPUT - StartDate missing"),IF(AD17&lt;&gt;"","FIX INPUT - "&amp;AD17,IF(NOT(LH_Ready),"Paste Leave History export (Settings must show YES)",IF(AND($AI17="Yes",Y17&lt;=0),"OK - EH balance accepted to date"&amp;IF(N(AH17)&gt;0," (EH holds "&amp;AH17&amp;" hrs over the scheme)","")&amp;"; next day "&amp;TEXT(S17,"dd mmm yy")&amp;IF(N(AE17)&gt;0," ("&amp;AE17&amp;" day(s) for "&amp;UPPER(TEXT(AsOfDate,"mmm yyyy"))&amp;" already in EH)",""),IF(Y17&gt;0,"ACCRUE "&amp;ROUND(Y17,2)&amp;" hrs ("&amp;ROUND(Y17/HoursPerDay,2)&amp;" days): "&amp;IF(N(AE17)&gt;0,AE17&amp;" day(s) for "&amp;UPPER(TEXT(AsOfDate,"mmm yyyy"))&amp;" (milestone "&amp;UPPER(TEXT(AF17,"dd mmm yy"))&amp;")"&amp;IF(Y17/HoursPerDay&gt;AE17+0.001," + "&amp;ROUND(Y17/HoursPerDay-AE17,2)&amp;" day(s) catch-up from earlier months",""),"all catch-up from earlier months, nothing new this month")&amp;IF(BG17=0,"; no Bonus Leave in EH yet",""),IF(Y17&lt;0,"CHECK - EH accrued "&amp;ROUND(-Y17,2)&amp;" hrs more than policy since commencement",IF(N(W17)&gt;O17*HoursPerDay+0.01,"CHECK - EH balance "&amp;ROUND(W17-O17*HoursPerDay,2)&amp;" hrs more than policy entitlement",IF(O17&gt;0,"OK - nothing to add"&amp;IF(N(AE17)&gt;0," ("&amp;AE17&amp;" day(s) for "&amp;UPPER(TEXT(AsOfDate,"mmm yyyy"))&amp;" already in EH)",""),IF(AW17="None",R17,"Not yet - first day on "&amp;TEXT(S17,"dd/mm/yyyy"))))))))))</f>
        <v/>
      </c>
      <c r="AB17" s="17" t="str">
        <f aca="false">IF(OR(AK17=0,T17=""),"",MAX(0,BE17-BQ17)*HoursPerDay-T17)</f>
        <v/>
      </c>
      <c r="AC17" s="16" t="str">
        <f aca="false">IF(AK17=0,"",BG17)</f>
        <v/>
      </c>
      <c r="AD17" s="16" t="str">
        <f aca="false">IF(AK17=0,"",TRIM(IF(OR(ISTEXT($F17),ISTEXT($H17),ISTEXT($I17),ISTEXT($G17),ISTEXT($J17),ISTEXT($D17)),"A date is typed as text - retype it as dd/mm/yyyy. ","")&amp;IF(IF($C17="","",IF(OR(ISNUMBER(SEARCH("full",$C17)),UPPER(TRIM($C17))="FT",UPPER(TRIM($C17))="FTE"),"Full-Time",IF(OR(ISNUMBER(SEARCH("part",$C17)),UPPER(TRIM($C17))="PT",UPPER(TRIM($C17))="PTE"),"Part-Time",IF(OR(ISNUMBER(SEARCH("cas",$C17)),UPPER(TRIM($C17))="CAS"),"Casual","Unknown"))))="Unknown","EmploymentType not recognised - use Full-Time, Part-Time or Casual. ","")&amp;IF(AND(AM17&gt;=1,IF(AM17&gt;=3,AS17,IF(AM17=2,AR17,AQ17))&lt;&gt;IF($C17="","",IF(OR(ISNUMBER(SEARCH("full",$C17)),UPPER(TRIM($C17))="FT",UPPER(TRIM($C17))="FTE"),"Full-Time",IF(OR(ISNUMBER(SEARCH("part",$C17)),UPPER(TRIM($C17))="PT",UPPER(TRIM($C17))="PTE"),"Part-Time",IF(OR(ISNUMBER(SEARCH("cas",$C17)),UPPER(TRIM($C17))="CAS"),"Casual","Unknown"))))),"EmploymentType does not match latest start date ("&amp;IF(AM17&gt;=3,AS17,IF(AM17=2,AR17,AQ17))&amp;"). ","")&amp;IF(AND(AM17&gt;=1,AN17&lt;&gt;$F17),"Earliest type date should equal StartDate. ","")&amp;IF(AND(AM17&gt;=2,AN17=AO17),"Two types start on the same date. ","")&amp;IF(AND(OR(ISNUMBER(SEARCH("part",$C17)),UPPER(TRIM($C17))="PT",UPPER(TRIM($C17))="PTE"),$P17=""),"Part-time: enter PT Hrs/Week (blank = 24+). ","")))</f>
        <v/>
      </c>
      <c r="AE17" s="17" t="str">
        <f aca="false">IF(AK17=0,"",O17-MAX(0,BL17-BQ17))</f>
        <v/>
      </c>
      <c r="AF17" s="14" t="str">
        <f aca="false">IF(OR(AK17=0,AE17="",N(AE17)=0,BM17=""),"",EDATE(AL17,BM17))</f>
        <v/>
      </c>
      <c r="AG17" s="17" t="str">
        <f aca="false">IF(AK17=0,"",MIN(BD17,BQ17))</f>
        <v/>
      </c>
      <c r="AH17" s="17" t="str">
        <f aca="false">IF(AK17=0,"",IF(NOT(LH_Ready),"",IF(BG17=0,0,MAX(0,ROUND(N(T17)+N(U17)-N17,2)))))</f>
        <v/>
      </c>
      <c r="AI17" s="12"/>
      <c r="AJ17" s="12"/>
      <c r="AK17" s="16" t="n">
        <f aca="false">IF(OR(LEN($A17&amp;$B17)=0,$F17=""),0,1)</f>
        <v>0</v>
      </c>
      <c r="AL17" s="14" t="str">
        <f aca="false">IF(AK17=0,"",IF(PreSchemeCounts="No",MAX(SchemeStart,IF($J17&lt;&gt;"",$J17,IF(OR(CasualCounts="Yes",COUNT($G17:$I17)=0),$F17,IF(Apply2026="No",IF($I17="",$F17,$I17),IF(COUNT($H17:$I17)=0,$F17,MIN($H17:$I17)))))),IF($J17&lt;&gt;"",$J17,IF(OR(CasualCounts="Yes",COUNT($G17:$I17)=0),$F17,IF(Apply2026="No",IF($I17="",$F17,$I17),IF(COUNT($H17:$I17)=0,$F17,MIN($H17:$I17)))))))</f>
        <v/>
      </c>
      <c r="AM17" s="16" t="str">
        <f aca="false">IF(AK17=0,"",COUNT($G17:$I17))</f>
        <v/>
      </c>
      <c r="AN17" s="14" t="str">
        <f aca="false">IF(AK17=0,"",IFERROR(SMALL($G17:$I17,1),""))</f>
        <v/>
      </c>
      <c r="AO17" s="14" t="str">
        <f aca="false">IF(AK17=0,"",IFERROR(SMALL($G17:$I17,2),""))</f>
        <v/>
      </c>
      <c r="AP17" s="14" t="str">
        <f aca="false">IF(AK17=0,"",IFERROR(SMALL($G17:$I17,3),""))</f>
        <v/>
      </c>
      <c r="AQ17" s="16" t="str">
        <f aca="false">IF(AK17=0,"",IF(AN17="","",IF(AN17=$H17,"Part-Time",IF(AN17=$I17,"Full-Time","Casual"))))</f>
        <v/>
      </c>
      <c r="AR17" s="16" t="str">
        <f aca="false">IF(AK17=0,"",IF(AO17="","",IF(AO17=$H17,"Part-Time",IF(AO17=$I17,"Full-Time","Casual"))))</f>
        <v/>
      </c>
      <c r="AS17" s="16" t="str">
        <f aca="false">IF(AK17=0,"",IF(AP17="","",IF(AP17=$H17,"Part-Time",IF(AP17=$I17,"Full-Time","Casual"))))</f>
        <v/>
      </c>
      <c r="AT17" s="16" t="str">
        <f aca="false">IF(AK17=0,"",IF(AM17=0,IF(OR(ISNUMBER(SEARCH("full",$C17)),UPPER(TRIM($C17))="FT",UPPER(TRIM($C17))="FTE"),"FT",IF(AND(OR(ISNUMBER(SEARCH("part",$C17)),UPPER(TRIM($C17))="PT",UPPER(TRIM($C17))="PTE"),Apply2026="Yes",OR($P17="",N($P17)&gt;=PT_MinHours)),"PT","None")),IF(OR(ISNUMBER(SEARCH("full",AQ17)),UPPER(TRIM(AQ17))="FT",UPPER(TRIM(AQ17))="FTE"),"FT",IF(AND(OR(ISNUMBER(SEARCH("part",AQ17)),UPPER(TRIM(AQ17))="PT",UPPER(TRIM(AQ17))="PTE"),Apply2026="Yes",OR($P17="",N($P17)&gt;=PT_MinHours)),"PT","None"))))</f>
        <v/>
      </c>
      <c r="AU17" s="16" t="str">
        <f aca="false">IF(AK17=0,"",IF(AM17&lt;2,"",IF(OR(ISNUMBER(SEARCH("full",AR17)),UPPER(TRIM(AR17))="FT",UPPER(TRIM(AR17))="FTE"),"FT",IF(AND(OR(ISNUMBER(SEARCH("part",AR17)),UPPER(TRIM(AR17))="PT",UPPER(TRIM(AR17))="PTE"),Apply2026="Yes",OR($P17="",N($P17)&gt;=PT_MinHours)),"PT","None"))))</f>
        <v/>
      </c>
      <c r="AV17" s="16" t="str">
        <f aca="false">IF(AK17=0,"",IF(AM17&lt;3,"",IF(OR(ISNUMBER(SEARCH("full",AS17)),UPPER(TRIM(AS17))="FT",UPPER(TRIM(AS17))="FTE"),"FT",IF(AND(OR(ISNUMBER(SEARCH("part",AS17)),UPPER(TRIM(AS17))="PT",UPPER(TRIM(AS17))="PTE"),Apply2026="Yes",OR($P17="",N($P17)&gt;=PT_MinHours)),"PT","None"))))</f>
        <v/>
      </c>
      <c r="AW17" s="16" t="str">
        <f aca="false">IF(AK17=0,"",IF(AND(AM17&gt;=3,AP17&lt;=AsOfDate),AV17,IF(AND(AM17&gt;=2,AO17&lt;=AsOfDate),AU17,AT17)))</f>
        <v/>
      </c>
      <c r="AX17" s="16" t="str">
        <f aca="false">IF(AK17=0,"",IF(AsOfDate&lt;AL17,-1,12*(YEAR(AsOfDate)-YEAR(AL17))+MONTH(AsOfDate)-MONTH(AL17)-IF(DAY(AsOfDate)&lt;MIN(DAY(AL17),DAY(EOMONTH(AsOfDate,0))),1,0)))</f>
        <v/>
      </c>
      <c r="AY17" s="16" t="str">
        <f aca="false">IF(AK17=0,"",IF(OR(AM17&lt;2,AO17&gt;AsOfDate),AX17,IF((AO17-1)&lt;AL17,-1,12*(YEAR((AO17-1))-YEAR(AL17))+MONTH((AO17-1))-MONTH(AL17)-IF(DAY((AO17-1))&lt;MIN(DAY(AL17),DAY(EOMONTH((AO17-1),0))),1,0))))</f>
        <v/>
      </c>
      <c r="AZ17" s="16" t="str">
        <f aca="false">IF(AK17=0,"",IF(OR(AM17&lt;3,AP17&gt;AsOfDate),AX17,IF((AP17-1)&lt;AL17,-1,12*(YEAR((AP17-1))-YEAR(AL17))+MONTH((AP17-1))-MONTH(AL17)-IF(DAY((AP17-1))&lt;MIN(DAY(AL17),DAY(EOMONTH((AP17-1),0))),1,0))))</f>
        <v/>
      </c>
      <c r="BA17" s="16" t="str">
        <f aca="false">IF(AK17=0,"",IF(PFYDate&lt;AL17,-1,12*(YEAR(PFYDate)-YEAR(AL17))+MONTH(PFYDate)-MONTH(AL17)-IF(DAY(PFYDate)&lt;MIN(DAY(AL17),DAY(EOMONTH(PFYDate,0))),1,0)))</f>
        <v/>
      </c>
      <c r="BB17" s="16" t="str">
        <f aca="false">IF(AK17=0,"",IF(OR(AM17&lt;2,AO17&gt;PFYDate),BA17,IF((AO17-1)&lt;AL17,-1,12*(YEAR((AO17-1))-YEAR(AL17))+MONTH((AO17-1))-MONTH(AL17)-IF(DAY((AO17-1))&lt;MIN(DAY(AL17),DAY(EOMONTH((AO17-1),0))),1,0))))</f>
        <v/>
      </c>
      <c r="BC17" s="16" t="str">
        <f aca="false">IF(AK17=0,"",IF(OR(AM17&lt;3,AP17&gt;PFYDate),BA17,IF((AP17-1)&lt;AL17,-1,12*(YEAR((AP17-1))-YEAR(AL17))+MONTH((AP17-1))-MONTH(AL17)-IF(DAY((AP17-1))&lt;MIN(DAY(AL17),DAY(EOMONTH((AP17-1),0))),1,0))))</f>
        <v/>
      </c>
      <c r="BD17" s="16" t="str">
        <f aca="false">IF(AK17=0,"",IF(AT17="FT",IF(AY17&lt;FT_First,0,IF(AY17&lt;FT_Y5,1+INT((AY17-FT_First)/FT_Int1),FT_PreY5+FT_PerYear*INT((AY17-FT_Y5)/12)+FT_AnnivDays+INT(MOD(AY17-FT_Y5,12)/FT_Int2)-IF(EDATE(AL17,FT_Y5)&lt;PolicyEff,FT_AnnivDays-1,0))),IF(AT17="PT",IF(AY17&lt;PT_First,0,1+INT((AY17-PT_First)/PT_Int)),0))+IF(AND(AM17&gt;=2,AO17&lt;=AsOfDate),IF(AU17="FT",IF(AZ17&lt;FT_First,0,IF(AZ17&lt;FT_Y5,1+INT((AZ17-FT_First)/FT_Int1),FT_PreY5+FT_PerYear*INT((AZ17-FT_Y5)/12)+FT_AnnivDays+INT(MOD(AZ17-FT_Y5,12)/FT_Int2)-IF(EDATE(AL17,FT_Y5)&lt;PolicyEff,FT_AnnivDays-1,0))),IF(AU17="PT",IF(AZ17&lt;PT_First,0,1+INT((AZ17-PT_First)/PT_Int)),0))-IF(AU17="FT",IF(AY17&lt;FT_First,0,IF(AY17&lt;FT_Y5,1+INT((AY17-FT_First)/FT_Int1),FT_PreY5+FT_PerYear*INT((AY17-FT_Y5)/12)+FT_AnnivDays+INT(MOD(AY17-FT_Y5,12)/FT_Int2)-IF(EDATE(AL17,FT_Y5)&lt;PolicyEff,FT_AnnivDays-1,0))),IF(AU17="PT",IF(AY17&lt;PT_First,0,1+INT((AY17-PT_First)/PT_Int)),0)),0)+IF(AND(AM17&gt;=3,AP17&lt;=AsOfDate),IF(AV17="FT",IF(AX17&lt;FT_First,0,IF(AX17&lt;FT_Y5,1+INT((AX17-FT_First)/FT_Int1),FT_PreY5+FT_PerYear*INT((AX17-FT_Y5)/12)+FT_AnnivDays+INT(MOD(AX17-FT_Y5,12)/FT_Int2)-IF(EDATE(AL17,FT_Y5)&lt;PolicyEff,FT_AnnivDays-1,0))),IF(AV17="PT",IF(AX17&lt;PT_First,0,1+INT((AX17-PT_First)/PT_Int)),0))-IF(AV17="FT",IF(AZ17&lt;FT_First,0,IF(AZ17&lt;FT_Y5,1+INT((AZ17-FT_First)/FT_Int1),FT_PreY5+FT_PerYear*INT((AZ17-FT_Y5)/12)+FT_AnnivDays+INT(MOD(AZ17-FT_Y5,12)/FT_Int2)-IF(EDATE(AL17,FT_Y5)&lt;PolicyEff,FT_AnnivDays-1,0))),IF(AV17="PT",IF(AZ17&lt;PT_First,0,1+INT((AZ17-PT_First)/PT_Int)),0)),0))</f>
        <v/>
      </c>
      <c r="BE17" s="16" t="str">
        <f aca="false">IF(AK17=0,"",IF(AT17="FT",IF(BB17&lt;FT_First,0,IF(BB17&lt;FT_Y5,1+INT((BB17-FT_First)/FT_Int1),FT_PreY5+FT_PerYear*INT((BB17-FT_Y5)/12)+FT_AnnivDays+INT(MOD(BB17-FT_Y5,12)/FT_Int2)-IF(EDATE(AL17,FT_Y5)&lt;PolicyEff,FT_AnnivDays-1,0))),IF(AT17="PT",IF(BB17&lt;PT_First,0,1+INT((BB17-PT_First)/PT_Int)),0))+IF(AND(AM17&gt;=2,AO17&lt;=PFYDate),IF(AU17="FT",IF(BC17&lt;FT_First,0,IF(BC17&lt;FT_Y5,1+INT((BC17-FT_First)/FT_Int1),FT_PreY5+FT_PerYear*INT((BC17-FT_Y5)/12)+FT_AnnivDays+INT(MOD(BC17-FT_Y5,12)/FT_Int2)-IF(EDATE(AL17,FT_Y5)&lt;PolicyEff,FT_AnnivDays-1,0))),IF(AU17="PT",IF(BC17&lt;PT_First,0,1+INT((BC17-PT_First)/PT_Int)),0))-IF(AU17="FT",IF(BB17&lt;FT_First,0,IF(BB17&lt;FT_Y5,1+INT((BB17-FT_First)/FT_Int1),FT_PreY5+FT_PerYear*INT((BB17-FT_Y5)/12)+FT_AnnivDays+INT(MOD(BB17-FT_Y5,12)/FT_Int2)-IF(EDATE(AL17,FT_Y5)&lt;PolicyEff,FT_AnnivDays-1,0))),IF(AU17="PT",IF(BB17&lt;PT_First,0,1+INT((BB17-PT_First)/PT_Int)),0)),0)+IF(AND(AM17&gt;=3,AP17&lt;=PFYDate),IF(AV17="FT",IF(BA17&lt;FT_First,0,IF(BA17&lt;FT_Y5,1+INT((BA17-FT_First)/FT_Int1),FT_PreY5+FT_PerYear*INT((BA17-FT_Y5)/12)+FT_AnnivDays+INT(MOD(BA17-FT_Y5,12)/FT_Int2)-IF(EDATE(AL17,FT_Y5)&lt;PolicyEff,FT_AnnivDays-1,0))),IF(AV17="PT",IF(BA17&lt;PT_First,0,1+INT((BA17-PT_First)/PT_Int)),0))-IF(AV17="FT",IF(BC17&lt;FT_First,0,IF(BC17&lt;FT_Y5,1+INT((BC17-FT_First)/FT_Int1),FT_PreY5+FT_PerYear*INT((BC17-FT_Y5)/12)+FT_AnnivDays+INT(MOD(BC17-FT_Y5,12)/FT_Int2)-IF(EDATE(AL17,FT_Y5)&lt;PolicyEff,FT_AnnivDays-1,0))),IF(AV17="PT",IF(BC17&lt;PT_First,0,1+INT((BC17-PT_First)/PT_Int)),0)),0))</f>
        <v/>
      </c>
      <c r="BF17" s="16" t="str">
        <f aca="false">IF(AK17=0,"",IF(AW17="FT",IF(AX17&lt;FT_First,FT_First,IF(AX17&lt;FT_Y5,MIN(FT_Y5,FT_First+FT_Int1*(INT((AX17-FT_First)/FT_Int1)+1)),FT_Y5+12*INT((AX17-FT_Y5)/12)+FT_Int2*(INT(MOD(AX17-FT_Y5,12)/FT_Int2)+1))),IF(AW17="PT",IF(AX17&lt;PT_First,PT_First,PT_First+PT_Int*(INT((AX17-PT_First)/PT_Int)+1)),"")))</f>
        <v/>
      </c>
      <c r="BG17" s="16" t="str">
        <f aca="false">IF(AK17=0,"",IF(NOT(LH_Ready),0,COUNTIFS(INDEX(LH_Data,0,LH_ColFirst),$A17,INDEX(LH_Data,0,LH_ColSur),$B17,INDEX(LH_Data,0,LH_ColCat),BonusCat)))</f>
        <v/>
      </c>
      <c r="BH17" s="16" t="str">
        <f aca="false">IF(AK17=0,"",IF(OR(NOT(LH_Ready),BG17=0),0,SUMPRODUCT(MAX((INDEX(LH_Data,0,LH_ColFirst)=$A17)*(INDEX(LH_Data,0,LH_ColSur)=$B17)*(INDEX(LH_Data,0,LH_ColCat)=BonusCat)*ROW(LH_Data)))))</f>
        <v/>
      </c>
      <c r="BI17" s="16" t="str">
        <f aca="false">IF(AK17=0,"",IF(EOMONTH(AsOfDate,-1)&lt;AL17,-1,12*(YEAR(EOMONTH(AsOfDate,-1))-YEAR(AL17))+MONTH(EOMONTH(AsOfDate,-1))-MONTH(AL17)-IF(DAY(EOMONTH(AsOfDate,-1))&lt;MIN(DAY(AL17),DAY(EOMONTH(EOMONTH(AsOfDate,-1),0))),1,0)))</f>
        <v/>
      </c>
      <c r="BJ17" s="16" t="str">
        <f aca="false">IF(AK17=0,"",IF(OR(AM17&lt;2,AO17&gt;EOMONTH(AsOfDate,-1)),BI17,IF((AO17-1)&lt;AL17,-1,12*(YEAR((AO17-1))-YEAR(AL17))+MONTH((AO17-1))-MONTH(AL17)-IF(DAY((AO17-1))&lt;MIN(DAY(AL17),DAY(EOMONTH((AO17-1),0))),1,0))))</f>
        <v/>
      </c>
      <c r="BK17" s="16" t="str">
        <f aca="false">IF(AK17=0,"",IF(OR(AM17&lt;3,AP17&gt;EOMONTH(AsOfDate,-1)),BI17,IF((AP17-1)&lt;AL17,-1,12*(YEAR((AP17-1))-YEAR(AL17))+MONTH((AP17-1))-MONTH(AL17)-IF(DAY((AP17-1))&lt;MIN(DAY(AL17),DAY(EOMONTH((AP17-1),0))),1,0))))</f>
        <v/>
      </c>
      <c r="BL17" s="16" t="str">
        <f aca="false">IF(AK17=0,"",IF(AT17="FT",IF(BJ17&lt;FT_First,0,IF(BJ17&lt;FT_Y5,1+INT((BJ17-FT_First)/FT_Int1),FT_PreY5+FT_PerYear*INT((BJ17-FT_Y5)/12)+FT_AnnivDays+INT(MOD(BJ17-FT_Y5,12)/FT_Int2)-IF(EDATE(AL17,FT_Y5)&lt;PolicyEff,FT_AnnivDays-1,0))),IF(AT17="PT",IF(BJ17&lt;PT_First,0,1+INT((BJ17-PT_First)/PT_Int)),0))+IF(AND(AM17&gt;=2,AO17&lt;=EOMONTH(AsOfDate,-1)),IF(AU17="FT",IF(BK17&lt;FT_First,0,IF(BK17&lt;FT_Y5,1+INT((BK17-FT_First)/FT_Int1),FT_PreY5+FT_PerYear*INT((BK17-FT_Y5)/12)+FT_AnnivDays+INT(MOD(BK17-FT_Y5,12)/FT_Int2)-IF(EDATE(AL17,FT_Y5)&lt;PolicyEff,FT_AnnivDays-1,0))),IF(AU17="PT",IF(BK17&lt;PT_First,0,1+INT((BK17-PT_First)/PT_Int)),0))-IF(AU17="FT",IF(BJ17&lt;FT_First,0,IF(BJ17&lt;FT_Y5,1+INT((BJ17-FT_First)/FT_Int1),FT_PreY5+FT_PerYear*INT((BJ17-FT_Y5)/12)+FT_AnnivDays+INT(MOD(BJ17-FT_Y5,12)/FT_Int2)-IF(EDATE(AL17,FT_Y5)&lt;PolicyEff,FT_AnnivDays-1,0))),IF(AU17="PT",IF(BJ17&lt;PT_First,0,1+INT((BJ17-PT_First)/PT_Int)),0)),0)+IF(AND(AM17&gt;=3,AP17&lt;=EOMONTH(AsOfDate,-1)),IF(AV17="FT",IF(BI17&lt;FT_First,0,IF(BI17&lt;FT_Y5,1+INT((BI17-FT_First)/FT_Int1),FT_PreY5+FT_PerYear*INT((BI17-FT_Y5)/12)+FT_AnnivDays+INT(MOD(BI17-FT_Y5,12)/FT_Int2)-IF(EDATE(AL17,FT_Y5)&lt;PolicyEff,FT_AnnivDays-1,0))),IF(AV17="PT",IF(BI17&lt;PT_First,0,1+INT((BI17-PT_First)/PT_Int)),0))-IF(AV17="FT",IF(BK17&lt;FT_First,0,IF(BK17&lt;FT_Y5,1+INT((BK17-FT_First)/FT_Int1),FT_PreY5+FT_PerYear*INT((BK17-FT_Y5)/12)+FT_AnnivDays+INT(MOD(BK17-FT_Y5,12)/FT_Int2)-IF(EDATE(AL17,FT_Y5)&lt;PolicyEff,FT_AnnivDays-1,0))),IF(AV17="PT",IF(BK17&lt;PT_First,0,1+INT((BK17-PT_First)/PT_Int)),0)),0))</f>
        <v/>
      </c>
      <c r="BM17" s="16" t="str">
        <f aca="false">IF(AK17=0,"",IF(AW17="FT",IF(AX17&lt;FT_First,"",IF(AX17&lt;FT_Y5,FT_First+FT_Int1*INT((AX17-FT_First)/FT_Int1),FT_Y5+FT_Int2*INT((AX17-FT_Y5)/FT_Int2))),IF(AW17="PT",IF(AX17&lt;PT_First,"",PT_First+PT_Int*INT((AX17-PT_First)/PT_Int)),"")))</f>
        <v/>
      </c>
      <c r="BN17" s="16" t="str">
        <f aca="false">IF(AK17=0,"",IF((SchemeStart-1)&lt;AL17,-1,12*(YEAR((SchemeStart-1))-YEAR(AL17))+MONTH((SchemeStart-1))-MONTH(AL17)-IF(DAY((SchemeStart-1))&lt;MIN(DAY(AL17),DAY(EOMONTH((SchemeStart-1),0))),1,0)))</f>
        <v/>
      </c>
      <c r="BO17" s="16" t="str">
        <f aca="false">IF(AK17=0,"",IF(OR(AM17&lt;2,AO17&gt;(SchemeStart-1)),BN17,IF((AO17-1)&lt;AL17,-1,12*(YEAR((AO17-1))-YEAR(AL17))+MONTH((AO17-1))-MONTH(AL17)-IF(DAY((AO17-1))&lt;MIN(DAY(AL17),DAY(EOMONTH((AO17-1),0))),1,0))))</f>
        <v/>
      </c>
      <c r="BP17" s="16" t="str">
        <f aca="false">IF(AK17=0,"",IF(OR(AM17&lt;3,AP17&gt;(SchemeStart-1)),BN17,IF((AP17-1)&lt;AL17,-1,12*(YEAR((AP17-1))-YEAR(AL17))+MONTH((AP17-1))-MONTH(AL17)-IF(DAY((AP17-1))&lt;MIN(DAY(AL17),DAY(EOMONTH((AP17-1),0))),1,0))))</f>
        <v/>
      </c>
      <c r="BQ17" s="16" t="str">
        <f aca="false">IF(AK17=0,"",IF(AT17="FT",IF(BO17&lt;FT_First,0,IF(BO17&lt;FT_Y5,1+INT((BO17-FT_First)/FT_Int1),FT_PreY5+FT_PerYear*INT((BO17-FT_Y5)/12)+FT_AnnivDays+INT(MOD(BO17-FT_Y5,12)/FT_Int2)-IF(EDATE(AL17,FT_Y5)&lt;PolicyEff,FT_AnnivDays-1,0))),IF(AT17="PT",IF(BO17&lt;PT_First,0,1+INT((BO17-PT_First)/PT_Int)),0))+IF(AND(AM17&gt;=2,AO17&lt;=(SchemeStart-1)),IF(AU17="FT",IF(BP17&lt;FT_First,0,IF(BP17&lt;FT_Y5,1+INT((BP17-FT_First)/FT_Int1),FT_PreY5+FT_PerYear*INT((BP17-FT_Y5)/12)+FT_AnnivDays+INT(MOD(BP17-FT_Y5,12)/FT_Int2)-IF(EDATE(AL17,FT_Y5)&lt;PolicyEff,FT_AnnivDays-1,0))),IF(AU17="PT",IF(BP17&lt;PT_First,0,1+INT((BP17-PT_First)/PT_Int)),0))-IF(AU17="FT",IF(BO17&lt;FT_First,0,IF(BO17&lt;FT_Y5,1+INT((BO17-FT_First)/FT_Int1),FT_PreY5+FT_PerYear*INT((BO17-FT_Y5)/12)+FT_AnnivDays+INT(MOD(BO17-FT_Y5,12)/FT_Int2)-IF(EDATE(AL17,FT_Y5)&lt;PolicyEff,FT_AnnivDays-1,0))),IF(AU17="PT",IF(BO17&lt;PT_First,0,1+INT((BO17-PT_First)/PT_Int)),0)),0)+IF(AND(AM17&gt;=3,AP17&lt;=(SchemeStart-1)),IF(AV17="FT",IF(BN17&lt;FT_First,0,IF(BN17&lt;FT_Y5,1+INT((BN17-FT_First)/FT_Int1),FT_PreY5+FT_PerYear*INT((BN17-FT_Y5)/12)+FT_AnnivDays+INT(MOD(BN17-FT_Y5,12)/FT_Int2)-IF(EDATE(AL17,FT_Y5)&lt;PolicyEff,FT_AnnivDays-1,0))),IF(AV17="PT",IF(BN17&lt;PT_First,0,1+INT((BN17-PT_First)/PT_Int)),0))-IF(AV17="FT",IF(BP17&lt;FT_First,0,IF(BP17&lt;FT_Y5,1+INT((BP17-FT_First)/FT_Int1),FT_PreY5+FT_PerYear*INT((BP17-FT_Y5)/12)+FT_AnnivDays+INT(MOD(BP17-FT_Y5,12)/FT_Int2)-IF(EDATE(AL17,FT_Y5)&lt;PolicyEff,FT_AnnivDays-1,0))),IF(AV17="PT",IF(BP17&lt;PT_First,0,1+INT((BP17-PT_First)/PT_Int)),0)),0))</f>
        <v/>
      </c>
      <c r="BR17" s="0" t="str">
        <f aca="false">IF(LEN($A17&amp;$B17)=0,"",$A17&amp;" "&amp;$B17)</f>
        <v/>
      </c>
    </row>
    <row r="18" customFormat="false" ht="15" hidden="false" customHeight="false" outlineLevel="0" collapsed="false">
      <c r="A18" s="12"/>
      <c r="B18" s="12"/>
      <c r="C18" s="12"/>
      <c r="D18" s="13"/>
      <c r="E18" s="14" t="str">
        <f aca="false">IF(OR(AK18=0,$D18=""),"",DATE(YEAR(AsOfDate)+IF(DATE(YEAR(AsOfDate),MONTH($D18),DAY($D18))&lt;=AsOfDate,1,0),MONTH($D18),DAY($D18)))</f>
        <v/>
      </c>
      <c r="F18" s="13"/>
      <c r="G18" s="13"/>
      <c r="H18" s="13"/>
      <c r="I18" s="13"/>
      <c r="J18" s="13"/>
      <c r="K18" s="14" t="str">
        <f aca="false">IF(AK18=0,"",DATE(YEAR(AsOfDate)+IF(DATE(YEAR(AsOfDate),MONTH(AL18),DAY(AL18))&lt;=AsOfDate,1,0),MONTH(AL18),DAY(AL18)))</f>
        <v/>
      </c>
      <c r="L18" s="15" t="str">
        <f aca="false">IF(AK18=0,"",ROUND((AsOfDate-AL18)/365.25,1))</f>
        <v/>
      </c>
      <c r="M18" s="16" t="str">
        <f aca="false">IF(AK18=0,"",IF(AsOfDate&lt;AL18,"-",DATEDIF(AL18,AsOfDate,"y")&amp;"y "&amp;DATEDIF(AL18,AsOfDate,"ym")&amp;"m "&amp;DATEDIF(AL18,AsOfDate,"md")&amp;"d"))</f>
        <v/>
      </c>
      <c r="N18" s="17" t="str">
        <f aca="false">IF(AK18=0,"",O18*HoursPerDay)</f>
        <v/>
      </c>
      <c r="O18" s="17" t="str">
        <f aca="false">IF(AK18=0,"",MAX(0,BD18-BQ18))</f>
        <v/>
      </c>
      <c r="P18" s="18"/>
      <c r="Q18" s="16" t="str">
        <f aca="false">IF(AK18=0,"",IF(AM18&lt;2,"",AQ18&amp;" to "&amp;AR18&amp;" on "&amp;TEXT(AO18,"dd/mm/yyyy")&amp;IF(AO18&gt;AsOfDate," (future)",IF(AT18=AU18,"",IF(AU18="None"," - STOPPED accruing",IF(AT18="None"," - commencement for Bonus Leave"," - pathway changed"))))&amp;IF(AM18&lt;3,"","; "&amp;AR18&amp;" to "&amp;AS18&amp;" on "&amp;TEXT(AP18,"dd/mm/yyyy")&amp;IF(AP18&gt;AsOfDate," (future)",IF(AU18=AV18,"",IF(AV18="None"," - STOPPED accruing",IF(AU18="None"," - commencement for Bonus Leave"," - pathway changed")))))))</f>
        <v/>
      </c>
      <c r="R18" s="16" t="str">
        <f aca="false">IF(AK18=0,"",IF(AW18="None",IF(O18&gt;0,"No longer accruing","Not eligible - "&amp;IF(AND(OR(ISNUMBER(SEARCH("part",$C18)),UPPER(TRIM($C18))="PT",UPPER(TRIM($C18))="PTE"),Apply2026="No"),"part-time (scheme is full-time only)",IF(AND(OR(ISNUMBER(SEARCH("part",$C18)),UPPER(TRIM($C18))="PT",UPPER(TRIM($C18))="PTE"),$P18&lt;&gt;"",N($P18)&lt;PT_MinHours),"under "&amp;PT_MinHours&amp;" hrs",IF(IF($C18="","",IF(OR(ISNUMBER(SEARCH("full",$C18)),UPPER(TRIM($C18))="FT",UPPER(TRIM($C18))="FTE"),"Full-Time",IF(OR(ISNUMBER(SEARCH("part",$C18)),UPPER(TRIM($C18))="PT",UPPER(TRIM($C18))="PTE"),"Part-Time",IF(OR(ISNUMBER(SEARCH("cas",$C18)),UPPER(TRIM($C18))="CAS"),"Casual","Unknown"))))="Unknown","type not recognised",$C18)))),IF(O18&gt;0,"Yes - Accrual Required","Not yet - from "&amp;TEXT(S18,"dd/mm/yyyy"))))</f>
        <v/>
      </c>
      <c r="S18" s="14" t="str">
        <f aca="false">IF(AK18=0,"",IF(AW18="None","",EDATE(AL18,BF18)))</f>
        <v/>
      </c>
      <c r="T18" s="17" t="str">
        <f aca="false">IF(AK18=0,"",IF(NOT(LH_Ready),"",IF($F18&gt;PFYDate,0,IF(LH_ColPeriod=0,W18-U18+V18,SUMIFS(INDEX(LH_Data,0,LH_ColAcc),INDEX(LH_Data,0,LH_ColFirst),$A18,INDEX(LH_Data,0,LH_ColSur),$B18,INDEX(LH_Data,0,LH_ColCat),BonusCat,INDEX(LH_Data,0,LH_ColPeriod),LH_OpenLabel)*UnitFactor))))</f>
        <v/>
      </c>
      <c r="U18" s="17" t="str">
        <f aca="false">IF(AK18=0,"",IF(NOT(LH_Ready),"",SUMIFS(INDEX(LH_Data,0,LH_ColAcc),INDEX(LH_Data,0,LH_ColFirst),$A18,INDEX(LH_Data,0,LH_ColSur),$B18,INDEX(LH_Data,0,LH_ColCat),BonusCat,INDEX(LH_Data,0,LH_ColStart),"&gt;="&amp;AL18)*UnitFactor))</f>
        <v/>
      </c>
      <c r="V18" s="17" t="str">
        <f aca="false">IF(AK18=0,"",IF(NOT(LH_Ready),"",SUMIFS(INDEX(LH_Data,0,LH_ColTaken),INDEX(LH_Data,0,LH_ColFirst),$A18,INDEX(LH_Data,0,LH_ColSur),$B18,INDEX(LH_Data,0,LH_ColCat),BonusCat,INDEX(LH_Data,0,LH_ColStart),"&gt;="&amp;AL18)*UnitFactor))</f>
        <v/>
      </c>
      <c r="W18" s="17" t="str">
        <f aca="false">IF(AK18=0,"",IF(NOT(LH_Ready),"",IF(BH18=0,0,INDEX(INDEX(LH_Data,0,LH_ColClose),BH18-1)*UnitFactor)))</f>
        <v/>
      </c>
      <c r="X18" s="17" t="str">
        <f aca="false">IF(AK18=0,"",(MAX(0,BD18-BQ18)-MAX(0,BE18-BQ18))*HoursPerDay)</f>
        <v/>
      </c>
      <c r="Y18" s="17" t="str">
        <f aca="false">IF(AK18=0,"",IF(NOT(LH_Ready),"",IF($AI18="Yes",N(AE18)*HoursPerDay-SUMIFS(INDEX(LH_Data,0,LH_ColAcc),INDEX(LH_Data,0,LH_ColFirst),$A18,INDEX(LH_Data,0,LH_ColSur),$B18,INDEX(LH_Data,0,LH_ColCat),BonusCat,INDEX(LH_Data,0,LH_ColStart),"&gt;="&amp;(EOMONTH(AsOfDate,-1)+1),INDEX(LH_Data,0,LH_ColStart),"&lt;="&amp;AsOfDate)*UnitFactor,IF(BG18=0,N18,N18-N(T18)-N(U18)))))</f>
        <v/>
      </c>
      <c r="Z18" s="16" t="str">
        <f aca="false">IF(OR(AK18=0,Y18=""),"",IF(Y18&gt;0,"Yes","No"))</f>
        <v/>
      </c>
      <c r="AA18" s="16" t="str">
        <f aca="false">IF(AK18=0,IF(LEN($A18&amp;$B18)=0,"","FIX INPUT - StartDate missing"),IF(AD18&lt;&gt;"","FIX INPUT - "&amp;AD18,IF(NOT(LH_Ready),"Paste Leave History export (Settings must show YES)",IF(AND($AI18="Yes",Y18&lt;=0),"OK - EH balance accepted to date"&amp;IF(N(AH18)&gt;0," (EH holds "&amp;AH18&amp;" hrs over the scheme)","")&amp;"; next day "&amp;TEXT(S18,"dd mmm yy")&amp;IF(N(AE18)&gt;0," ("&amp;AE18&amp;" day(s) for "&amp;UPPER(TEXT(AsOfDate,"mmm yyyy"))&amp;" already in EH)",""),IF(Y18&gt;0,"ACCRUE "&amp;ROUND(Y18,2)&amp;" hrs ("&amp;ROUND(Y18/HoursPerDay,2)&amp;" days): "&amp;IF(N(AE18)&gt;0,AE18&amp;" day(s) for "&amp;UPPER(TEXT(AsOfDate,"mmm yyyy"))&amp;" (milestone "&amp;UPPER(TEXT(AF18,"dd mmm yy"))&amp;")"&amp;IF(Y18/HoursPerDay&gt;AE18+0.001," + "&amp;ROUND(Y18/HoursPerDay-AE18,2)&amp;" day(s) catch-up from earlier months",""),"all catch-up from earlier months, nothing new this month")&amp;IF(BG18=0,"; no Bonus Leave in EH yet",""),IF(Y18&lt;0,"CHECK - EH accrued "&amp;ROUND(-Y18,2)&amp;" hrs more than policy since commencement",IF(N(W18)&gt;O18*HoursPerDay+0.01,"CHECK - EH balance "&amp;ROUND(W18-O18*HoursPerDay,2)&amp;" hrs more than policy entitlement",IF(O18&gt;0,"OK - nothing to add"&amp;IF(N(AE18)&gt;0," ("&amp;AE18&amp;" day(s) for "&amp;UPPER(TEXT(AsOfDate,"mmm yyyy"))&amp;" already in EH)",""),IF(AW18="None",R18,"Not yet - first day on "&amp;TEXT(S18,"dd/mm/yyyy"))))))))))</f>
        <v/>
      </c>
      <c r="AB18" s="17" t="str">
        <f aca="false">IF(OR(AK18=0,T18=""),"",MAX(0,BE18-BQ18)*HoursPerDay-T18)</f>
        <v/>
      </c>
      <c r="AC18" s="16" t="str">
        <f aca="false">IF(AK18=0,"",BG18)</f>
        <v/>
      </c>
      <c r="AD18" s="16" t="str">
        <f aca="false">IF(AK18=0,"",TRIM(IF(OR(ISTEXT($F18),ISTEXT($H18),ISTEXT($I18),ISTEXT($G18),ISTEXT($J18),ISTEXT($D18)),"A date is typed as text - retype it as dd/mm/yyyy. ","")&amp;IF(IF($C18="","",IF(OR(ISNUMBER(SEARCH("full",$C18)),UPPER(TRIM($C18))="FT",UPPER(TRIM($C18))="FTE"),"Full-Time",IF(OR(ISNUMBER(SEARCH("part",$C18)),UPPER(TRIM($C18))="PT",UPPER(TRIM($C18))="PTE"),"Part-Time",IF(OR(ISNUMBER(SEARCH("cas",$C18)),UPPER(TRIM($C18))="CAS"),"Casual","Unknown"))))="Unknown","EmploymentType not recognised - use Full-Time, Part-Time or Casual. ","")&amp;IF(AND(AM18&gt;=1,IF(AM18&gt;=3,AS18,IF(AM18=2,AR18,AQ18))&lt;&gt;IF($C18="","",IF(OR(ISNUMBER(SEARCH("full",$C18)),UPPER(TRIM($C18))="FT",UPPER(TRIM($C18))="FTE"),"Full-Time",IF(OR(ISNUMBER(SEARCH("part",$C18)),UPPER(TRIM($C18))="PT",UPPER(TRIM($C18))="PTE"),"Part-Time",IF(OR(ISNUMBER(SEARCH("cas",$C18)),UPPER(TRIM($C18))="CAS"),"Casual","Unknown"))))),"EmploymentType does not match latest start date ("&amp;IF(AM18&gt;=3,AS18,IF(AM18=2,AR18,AQ18))&amp;"). ","")&amp;IF(AND(AM18&gt;=1,AN18&lt;&gt;$F18),"Earliest type date should equal StartDate. ","")&amp;IF(AND(AM18&gt;=2,AN18=AO18),"Two types start on the same date. ","")&amp;IF(AND(OR(ISNUMBER(SEARCH("part",$C18)),UPPER(TRIM($C18))="PT",UPPER(TRIM($C18))="PTE"),$P18=""),"Part-time: enter PT Hrs/Week (blank = 24+). ","")))</f>
        <v/>
      </c>
      <c r="AE18" s="17" t="str">
        <f aca="false">IF(AK18=0,"",O18-MAX(0,BL18-BQ18))</f>
        <v/>
      </c>
      <c r="AF18" s="14" t="str">
        <f aca="false">IF(OR(AK18=0,AE18="",N(AE18)=0,BM18=""),"",EDATE(AL18,BM18))</f>
        <v/>
      </c>
      <c r="AG18" s="17" t="str">
        <f aca="false">IF(AK18=0,"",MIN(BD18,BQ18))</f>
        <v/>
      </c>
      <c r="AH18" s="17" t="str">
        <f aca="false">IF(AK18=0,"",IF(NOT(LH_Ready),"",IF(BG18=0,0,MAX(0,ROUND(N(T18)+N(U18)-N18,2)))))</f>
        <v/>
      </c>
      <c r="AI18" s="12"/>
      <c r="AJ18" s="12"/>
      <c r="AK18" s="16" t="n">
        <f aca="false">IF(OR(LEN($A18&amp;$B18)=0,$F18=""),0,1)</f>
        <v>0</v>
      </c>
      <c r="AL18" s="14" t="str">
        <f aca="false">IF(AK18=0,"",IF(PreSchemeCounts="No",MAX(SchemeStart,IF($J18&lt;&gt;"",$J18,IF(OR(CasualCounts="Yes",COUNT($G18:$I18)=0),$F18,IF(Apply2026="No",IF($I18="",$F18,$I18),IF(COUNT($H18:$I18)=0,$F18,MIN($H18:$I18)))))),IF($J18&lt;&gt;"",$J18,IF(OR(CasualCounts="Yes",COUNT($G18:$I18)=0),$F18,IF(Apply2026="No",IF($I18="",$F18,$I18),IF(COUNT($H18:$I18)=0,$F18,MIN($H18:$I18)))))))</f>
        <v/>
      </c>
      <c r="AM18" s="16" t="str">
        <f aca="false">IF(AK18=0,"",COUNT($G18:$I18))</f>
        <v/>
      </c>
      <c r="AN18" s="14" t="str">
        <f aca="false">IF(AK18=0,"",IFERROR(SMALL($G18:$I18,1),""))</f>
        <v/>
      </c>
      <c r="AO18" s="14" t="str">
        <f aca="false">IF(AK18=0,"",IFERROR(SMALL($G18:$I18,2),""))</f>
        <v/>
      </c>
      <c r="AP18" s="14" t="str">
        <f aca="false">IF(AK18=0,"",IFERROR(SMALL($G18:$I18,3),""))</f>
        <v/>
      </c>
      <c r="AQ18" s="16" t="str">
        <f aca="false">IF(AK18=0,"",IF(AN18="","",IF(AN18=$H18,"Part-Time",IF(AN18=$I18,"Full-Time","Casual"))))</f>
        <v/>
      </c>
      <c r="AR18" s="16" t="str">
        <f aca="false">IF(AK18=0,"",IF(AO18="","",IF(AO18=$H18,"Part-Time",IF(AO18=$I18,"Full-Time","Casual"))))</f>
        <v/>
      </c>
      <c r="AS18" s="16" t="str">
        <f aca="false">IF(AK18=0,"",IF(AP18="","",IF(AP18=$H18,"Part-Time",IF(AP18=$I18,"Full-Time","Casual"))))</f>
        <v/>
      </c>
      <c r="AT18" s="16" t="str">
        <f aca="false">IF(AK18=0,"",IF(AM18=0,IF(OR(ISNUMBER(SEARCH("full",$C18)),UPPER(TRIM($C18))="FT",UPPER(TRIM($C18))="FTE"),"FT",IF(AND(OR(ISNUMBER(SEARCH("part",$C18)),UPPER(TRIM($C18))="PT",UPPER(TRIM($C18))="PTE"),Apply2026="Yes",OR($P18="",N($P18)&gt;=PT_MinHours)),"PT","None")),IF(OR(ISNUMBER(SEARCH("full",AQ18)),UPPER(TRIM(AQ18))="FT",UPPER(TRIM(AQ18))="FTE"),"FT",IF(AND(OR(ISNUMBER(SEARCH("part",AQ18)),UPPER(TRIM(AQ18))="PT",UPPER(TRIM(AQ18))="PTE"),Apply2026="Yes",OR($P18="",N($P18)&gt;=PT_MinHours)),"PT","None"))))</f>
        <v/>
      </c>
      <c r="AU18" s="16" t="str">
        <f aca="false">IF(AK18=0,"",IF(AM18&lt;2,"",IF(OR(ISNUMBER(SEARCH("full",AR18)),UPPER(TRIM(AR18))="FT",UPPER(TRIM(AR18))="FTE"),"FT",IF(AND(OR(ISNUMBER(SEARCH("part",AR18)),UPPER(TRIM(AR18))="PT",UPPER(TRIM(AR18))="PTE"),Apply2026="Yes",OR($P18="",N($P18)&gt;=PT_MinHours)),"PT","None"))))</f>
        <v/>
      </c>
      <c r="AV18" s="16" t="str">
        <f aca="false">IF(AK18=0,"",IF(AM18&lt;3,"",IF(OR(ISNUMBER(SEARCH("full",AS18)),UPPER(TRIM(AS18))="FT",UPPER(TRIM(AS18))="FTE"),"FT",IF(AND(OR(ISNUMBER(SEARCH("part",AS18)),UPPER(TRIM(AS18))="PT",UPPER(TRIM(AS18))="PTE"),Apply2026="Yes",OR($P18="",N($P18)&gt;=PT_MinHours)),"PT","None"))))</f>
        <v/>
      </c>
      <c r="AW18" s="16" t="str">
        <f aca="false">IF(AK18=0,"",IF(AND(AM18&gt;=3,AP18&lt;=AsOfDate),AV18,IF(AND(AM18&gt;=2,AO18&lt;=AsOfDate),AU18,AT18)))</f>
        <v/>
      </c>
      <c r="AX18" s="16" t="str">
        <f aca="false">IF(AK18=0,"",IF(AsOfDate&lt;AL18,-1,12*(YEAR(AsOfDate)-YEAR(AL18))+MONTH(AsOfDate)-MONTH(AL18)-IF(DAY(AsOfDate)&lt;MIN(DAY(AL18),DAY(EOMONTH(AsOfDate,0))),1,0)))</f>
        <v/>
      </c>
      <c r="AY18" s="16" t="str">
        <f aca="false">IF(AK18=0,"",IF(OR(AM18&lt;2,AO18&gt;AsOfDate),AX18,IF((AO18-1)&lt;AL18,-1,12*(YEAR((AO18-1))-YEAR(AL18))+MONTH((AO18-1))-MONTH(AL18)-IF(DAY((AO18-1))&lt;MIN(DAY(AL18),DAY(EOMONTH((AO18-1),0))),1,0))))</f>
        <v/>
      </c>
      <c r="AZ18" s="16" t="str">
        <f aca="false">IF(AK18=0,"",IF(OR(AM18&lt;3,AP18&gt;AsOfDate),AX18,IF((AP18-1)&lt;AL18,-1,12*(YEAR((AP18-1))-YEAR(AL18))+MONTH((AP18-1))-MONTH(AL18)-IF(DAY((AP18-1))&lt;MIN(DAY(AL18),DAY(EOMONTH((AP18-1),0))),1,0))))</f>
        <v/>
      </c>
      <c r="BA18" s="16" t="str">
        <f aca="false">IF(AK18=0,"",IF(PFYDate&lt;AL18,-1,12*(YEAR(PFYDate)-YEAR(AL18))+MONTH(PFYDate)-MONTH(AL18)-IF(DAY(PFYDate)&lt;MIN(DAY(AL18),DAY(EOMONTH(PFYDate,0))),1,0)))</f>
        <v/>
      </c>
      <c r="BB18" s="16" t="str">
        <f aca="false">IF(AK18=0,"",IF(OR(AM18&lt;2,AO18&gt;PFYDate),BA18,IF((AO18-1)&lt;AL18,-1,12*(YEAR((AO18-1))-YEAR(AL18))+MONTH((AO18-1))-MONTH(AL18)-IF(DAY((AO18-1))&lt;MIN(DAY(AL18),DAY(EOMONTH((AO18-1),0))),1,0))))</f>
        <v/>
      </c>
      <c r="BC18" s="16" t="str">
        <f aca="false">IF(AK18=0,"",IF(OR(AM18&lt;3,AP18&gt;PFYDate),BA18,IF((AP18-1)&lt;AL18,-1,12*(YEAR((AP18-1))-YEAR(AL18))+MONTH((AP18-1))-MONTH(AL18)-IF(DAY((AP18-1))&lt;MIN(DAY(AL18),DAY(EOMONTH((AP18-1),0))),1,0))))</f>
        <v/>
      </c>
      <c r="BD18" s="16" t="str">
        <f aca="false">IF(AK18=0,"",IF(AT18="FT",IF(AY18&lt;FT_First,0,IF(AY18&lt;FT_Y5,1+INT((AY18-FT_First)/FT_Int1),FT_PreY5+FT_PerYear*INT((AY18-FT_Y5)/12)+FT_AnnivDays+INT(MOD(AY18-FT_Y5,12)/FT_Int2)-IF(EDATE(AL18,FT_Y5)&lt;PolicyEff,FT_AnnivDays-1,0))),IF(AT18="PT",IF(AY18&lt;PT_First,0,1+INT((AY18-PT_First)/PT_Int)),0))+IF(AND(AM18&gt;=2,AO18&lt;=AsOfDate),IF(AU18="FT",IF(AZ18&lt;FT_First,0,IF(AZ18&lt;FT_Y5,1+INT((AZ18-FT_First)/FT_Int1),FT_PreY5+FT_PerYear*INT((AZ18-FT_Y5)/12)+FT_AnnivDays+INT(MOD(AZ18-FT_Y5,12)/FT_Int2)-IF(EDATE(AL18,FT_Y5)&lt;PolicyEff,FT_AnnivDays-1,0))),IF(AU18="PT",IF(AZ18&lt;PT_First,0,1+INT((AZ18-PT_First)/PT_Int)),0))-IF(AU18="FT",IF(AY18&lt;FT_First,0,IF(AY18&lt;FT_Y5,1+INT((AY18-FT_First)/FT_Int1),FT_PreY5+FT_PerYear*INT((AY18-FT_Y5)/12)+FT_AnnivDays+INT(MOD(AY18-FT_Y5,12)/FT_Int2)-IF(EDATE(AL18,FT_Y5)&lt;PolicyEff,FT_AnnivDays-1,0))),IF(AU18="PT",IF(AY18&lt;PT_First,0,1+INT((AY18-PT_First)/PT_Int)),0)),0)+IF(AND(AM18&gt;=3,AP18&lt;=AsOfDate),IF(AV18="FT",IF(AX18&lt;FT_First,0,IF(AX18&lt;FT_Y5,1+INT((AX18-FT_First)/FT_Int1),FT_PreY5+FT_PerYear*INT((AX18-FT_Y5)/12)+FT_AnnivDays+INT(MOD(AX18-FT_Y5,12)/FT_Int2)-IF(EDATE(AL18,FT_Y5)&lt;PolicyEff,FT_AnnivDays-1,0))),IF(AV18="PT",IF(AX18&lt;PT_First,0,1+INT((AX18-PT_First)/PT_Int)),0))-IF(AV18="FT",IF(AZ18&lt;FT_First,0,IF(AZ18&lt;FT_Y5,1+INT((AZ18-FT_First)/FT_Int1),FT_PreY5+FT_PerYear*INT((AZ18-FT_Y5)/12)+FT_AnnivDays+INT(MOD(AZ18-FT_Y5,12)/FT_Int2)-IF(EDATE(AL18,FT_Y5)&lt;PolicyEff,FT_AnnivDays-1,0))),IF(AV18="PT",IF(AZ18&lt;PT_First,0,1+INT((AZ18-PT_First)/PT_Int)),0)),0))</f>
        <v/>
      </c>
      <c r="BE18" s="16" t="str">
        <f aca="false">IF(AK18=0,"",IF(AT18="FT",IF(BB18&lt;FT_First,0,IF(BB18&lt;FT_Y5,1+INT((BB18-FT_First)/FT_Int1),FT_PreY5+FT_PerYear*INT((BB18-FT_Y5)/12)+FT_AnnivDays+INT(MOD(BB18-FT_Y5,12)/FT_Int2)-IF(EDATE(AL18,FT_Y5)&lt;PolicyEff,FT_AnnivDays-1,0))),IF(AT18="PT",IF(BB18&lt;PT_First,0,1+INT((BB18-PT_First)/PT_Int)),0))+IF(AND(AM18&gt;=2,AO18&lt;=PFYDate),IF(AU18="FT",IF(BC18&lt;FT_First,0,IF(BC18&lt;FT_Y5,1+INT((BC18-FT_First)/FT_Int1),FT_PreY5+FT_PerYear*INT((BC18-FT_Y5)/12)+FT_AnnivDays+INT(MOD(BC18-FT_Y5,12)/FT_Int2)-IF(EDATE(AL18,FT_Y5)&lt;PolicyEff,FT_AnnivDays-1,0))),IF(AU18="PT",IF(BC18&lt;PT_First,0,1+INT((BC18-PT_First)/PT_Int)),0))-IF(AU18="FT",IF(BB18&lt;FT_First,0,IF(BB18&lt;FT_Y5,1+INT((BB18-FT_First)/FT_Int1),FT_PreY5+FT_PerYear*INT((BB18-FT_Y5)/12)+FT_AnnivDays+INT(MOD(BB18-FT_Y5,12)/FT_Int2)-IF(EDATE(AL18,FT_Y5)&lt;PolicyEff,FT_AnnivDays-1,0))),IF(AU18="PT",IF(BB18&lt;PT_First,0,1+INT((BB18-PT_First)/PT_Int)),0)),0)+IF(AND(AM18&gt;=3,AP18&lt;=PFYDate),IF(AV18="FT",IF(BA18&lt;FT_First,0,IF(BA18&lt;FT_Y5,1+INT((BA18-FT_First)/FT_Int1),FT_PreY5+FT_PerYear*INT((BA18-FT_Y5)/12)+FT_AnnivDays+INT(MOD(BA18-FT_Y5,12)/FT_Int2)-IF(EDATE(AL18,FT_Y5)&lt;PolicyEff,FT_AnnivDays-1,0))),IF(AV18="PT",IF(BA18&lt;PT_First,0,1+INT((BA18-PT_First)/PT_Int)),0))-IF(AV18="FT",IF(BC18&lt;FT_First,0,IF(BC18&lt;FT_Y5,1+INT((BC18-FT_First)/FT_Int1),FT_PreY5+FT_PerYear*INT((BC18-FT_Y5)/12)+FT_AnnivDays+INT(MOD(BC18-FT_Y5,12)/FT_Int2)-IF(EDATE(AL18,FT_Y5)&lt;PolicyEff,FT_AnnivDays-1,0))),IF(AV18="PT",IF(BC18&lt;PT_First,0,1+INT((BC18-PT_First)/PT_Int)),0)),0))</f>
        <v/>
      </c>
      <c r="BF18" s="16" t="str">
        <f aca="false">IF(AK18=0,"",IF(AW18="FT",IF(AX18&lt;FT_First,FT_First,IF(AX18&lt;FT_Y5,MIN(FT_Y5,FT_First+FT_Int1*(INT((AX18-FT_First)/FT_Int1)+1)),FT_Y5+12*INT((AX18-FT_Y5)/12)+FT_Int2*(INT(MOD(AX18-FT_Y5,12)/FT_Int2)+1))),IF(AW18="PT",IF(AX18&lt;PT_First,PT_First,PT_First+PT_Int*(INT((AX18-PT_First)/PT_Int)+1)),"")))</f>
        <v/>
      </c>
      <c r="BG18" s="16" t="str">
        <f aca="false">IF(AK18=0,"",IF(NOT(LH_Ready),0,COUNTIFS(INDEX(LH_Data,0,LH_ColFirst),$A18,INDEX(LH_Data,0,LH_ColSur),$B18,INDEX(LH_Data,0,LH_ColCat),BonusCat)))</f>
        <v/>
      </c>
      <c r="BH18" s="16" t="str">
        <f aca="false">IF(AK18=0,"",IF(OR(NOT(LH_Ready),BG18=0),0,SUMPRODUCT(MAX((INDEX(LH_Data,0,LH_ColFirst)=$A18)*(INDEX(LH_Data,0,LH_ColSur)=$B18)*(INDEX(LH_Data,0,LH_ColCat)=BonusCat)*ROW(LH_Data)))))</f>
        <v/>
      </c>
      <c r="BI18" s="16" t="str">
        <f aca="false">IF(AK18=0,"",IF(EOMONTH(AsOfDate,-1)&lt;AL18,-1,12*(YEAR(EOMONTH(AsOfDate,-1))-YEAR(AL18))+MONTH(EOMONTH(AsOfDate,-1))-MONTH(AL18)-IF(DAY(EOMONTH(AsOfDate,-1))&lt;MIN(DAY(AL18),DAY(EOMONTH(EOMONTH(AsOfDate,-1),0))),1,0)))</f>
        <v/>
      </c>
      <c r="BJ18" s="16" t="str">
        <f aca="false">IF(AK18=0,"",IF(OR(AM18&lt;2,AO18&gt;EOMONTH(AsOfDate,-1)),BI18,IF((AO18-1)&lt;AL18,-1,12*(YEAR((AO18-1))-YEAR(AL18))+MONTH((AO18-1))-MONTH(AL18)-IF(DAY((AO18-1))&lt;MIN(DAY(AL18),DAY(EOMONTH((AO18-1),0))),1,0))))</f>
        <v/>
      </c>
      <c r="BK18" s="16" t="str">
        <f aca="false">IF(AK18=0,"",IF(OR(AM18&lt;3,AP18&gt;EOMONTH(AsOfDate,-1)),BI18,IF((AP18-1)&lt;AL18,-1,12*(YEAR((AP18-1))-YEAR(AL18))+MONTH((AP18-1))-MONTH(AL18)-IF(DAY((AP18-1))&lt;MIN(DAY(AL18),DAY(EOMONTH((AP18-1),0))),1,0))))</f>
        <v/>
      </c>
      <c r="BL18" s="16" t="str">
        <f aca="false">IF(AK18=0,"",IF(AT18="FT",IF(BJ18&lt;FT_First,0,IF(BJ18&lt;FT_Y5,1+INT((BJ18-FT_First)/FT_Int1),FT_PreY5+FT_PerYear*INT((BJ18-FT_Y5)/12)+FT_AnnivDays+INT(MOD(BJ18-FT_Y5,12)/FT_Int2)-IF(EDATE(AL18,FT_Y5)&lt;PolicyEff,FT_AnnivDays-1,0))),IF(AT18="PT",IF(BJ18&lt;PT_First,0,1+INT((BJ18-PT_First)/PT_Int)),0))+IF(AND(AM18&gt;=2,AO18&lt;=EOMONTH(AsOfDate,-1)),IF(AU18="FT",IF(BK18&lt;FT_First,0,IF(BK18&lt;FT_Y5,1+INT((BK18-FT_First)/FT_Int1),FT_PreY5+FT_PerYear*INT((BK18-FT_Y5)/12)+FT_AnnivDays+INT(MOD(BK18-FT_Y5,12)/FT_Int2)-IF(EDATE(AL18,FT_Y5)&lt;PolicyEff,FT_AnnivDays-1,0))),IF(AU18="PT",IF(BK18&lt;PT_First,0,1+INT((BK18-PT_First)/PT_Int)),0))-IF(AU18="FT",IF(BJ18&lt;FT_First,0,IF(BJ18&lt;FT_Y5,1+INT((BJ18-FT_First)/FT_Int1),FT_PreY5+FT_PerYear*INT((BJ18-FT_Y5)/12)+FT_AnnivDays+INT(MOD(BJ18-FT_Y5,12)/FT_Int2)-IF(EDATE(AL18,FT_Y5)&lt;PolicyEff,FT_AnnivDays-1,0))),IF(AU18="PT",IF(BJ18&lt;PT_First,0,1+INT((BJ18-PT_First)/PT_Int)),0)),0)+IF(AND(AM18&gt;=3,AP18&lt;=EOMONTH(AsOfDate,-1)),IF(AV18="FT",IF(BI18&lt;FT_First,0,IF(BI18&lt;FT_Y5,1+INT((BI18-FT_First)/FT_Int1),FT_PreY5+FT_PerYear*INT((BI18-FT_Y5)/12)+FT_AnnivDays+INT(MOD(BI18-FT_Y5,12)/FT_Int2)-IF(EDATE(AL18,FT_Y5)&lt;PolicyEff,FT_AnnivDays-1,0))),IF(AV18="PT",IF(BI18&lt;PT_First,0,1+INT((BI18-PT_First)/PT_Int)),0))-IF(AV18="FT",IF(BK18&lt;FT_First,0,IF(BK18&lt;FT_Y5,1+INT((BK18-FT_First)/FT_Int1),FT_PreY5+FT_PerYear*INT((BK18-FT_Y5)/12)+FT_AnnivDays+INT(MOD(BK18-FT_Y5,12)/FT_Int2)-IF(EDATE(AL18,FT_Y5)&lt;PolicyEff,FT_AnnivDays-1,0))),IF(AV18="PT",IF(BK18&lt;PT_First,0,1+INT((BK18-PT_First)/PT_Int)),0)),0))</f>
        <v/>
      </c>
      <c r="BM18" s="16" t="str">
        <f aca="false">IF(AK18=0,"",IF(AW18="FT",IF(AX18&lt;FT_First,"",IF(AX18&lt;FT_Y5,FT_First+FT_Int1*INT((AX18-FT_First)/FT_Int1),FT_Y5+FT_Int2*INT((AX18-FT_Y5)/FT_Int2))),IF(AW18="PT",IF(AX18&lt;PT_First,"",PT_First+PT_Int*INT((AX18-PT_First)/PT_Int)),"")))</f>
        <v/>
      </c>
      <c r="BN18" s="16" t="str">
        <f aca="false">IF(AK18=0,"",IF((SchemeStart-1)&lt;AL18,-1,12*(YEAR((SchemeStart-1))-YEAR(AL18))+MONTH((SchemeStart-1))-MONTH(AL18)-IF(DAY((SchemeStart-1))&lt;MIN(DAY(AL18),DAY(EOMONTH((SchemeStart-1),0))),1,0)))</f>
        <v/>
      </c>
      <c r="BO18" s="16" t="str">
        <f aca="false">IF(AK18=0,"",IF(OR(AM18&lt;2,AO18&gt;(SchemeStart-1)),BN18,IF((AO18-1)&lt;AL18,-1,12*(YEAR((AO18-1))-YEAR(AL18))+MONTH((AO18-1))-MONTH(AL18)-IF(DAY((AO18-1))&lt;MIN(DAY(AL18),DAY(EOMONTH((AO18-1),0))),1,0))))</f>
        <v/>
      </c>
      <c r="BP18" s="16" t="str">
        <f aca="false">IF(AK18=0,"",IF(OR(AM18&lt;3,AP18&gt;(SchemeStart-1)),BN18,IF((AP18-1)&lt;AL18,-1,12*(YEAR((AP18-1))-YEAR(AL18))+MONTH((AP18-1))-MONTH(AL18)-IF(DAY((AP18-1))&lt;MIN(DAY(AL18),DAY(EOMONTH((AP18-1),0))),1,0))))</f>
        <v/>
      </c>
      <c r="BQ18" s="16" t="str">
        <f aca="false">IF(AK18=0,"",IF(AT18="FT",IF(BO18&lt;FT_First,0,IF(BO18&lt;FT_Y5,1+INT((BO18-FT_First)/FT_Int1),FT_PreY5+FT_PerYear*INT((BO18-FT_Y5)/12)+FT_AnnivDays+INT(MOD(BO18-FT_Y5,12)/FT_Int2)-IF(EDATE(AL18,FT_Y5)&lt;PolicyEff,FT_AnnivDays-1,0))),IF(AT18="PT",IF(BO18&lt;PT_First,0,1+INT((BO18-PT_First)/PT_Int)),0))+IF(AND(AM18&gt;=2,AO18&lt;=(SchemeStart-1)),IF(AU18="FT",IF(BP18&lt;FT_First,0,IF(BP18&lt;FT_Y5,1+INT((BP18-FT_First)/FT_Int1),FT_PreY5+FT_PerYear*INT((BP18-FT_Y5)/12)+FT_AnnivDays+INT(MOD(BP18-FT_Y5,12)/FT_Int2)-IF(EDATE(AL18,FT_Y5)&lt;PolicyEff,FT_AnnivDays-1,0))),IF(AU18="PT",IF(BP18&lt;PT_First,0,1+INT((BP18-PT_First)/PT_Int)),0))-IF(AU18="FT",IF(BO18&lt;FT_First,0,IF(BO18&lt;FT_Y5,1+INT((BO18-FT_First)/FT_Int1),FT_PreY5+FT_PerYear*INT((BO18-FT_Y5)/12)+FT_AnnivDays+INT(MOD(BO18-FT_Y5,12)/FT_Int2)-IF(EDATE(AL18,FT_Y5)&lt;PolicyEff,FT_AnnivDays-1,0))),IF(AU18="PT",IF(BO18&lt;PT_First,0,1+INT((BO18-PT_First)/PT_Int)),0)),0)+IF(AND(AM18&gt;=3,AP18&lt;=(SchemeStart-1)),IF(AV18="FT",IF(BN18&lt;FT_First,0,IF(BN18&lt;FT_Y5,1+INT((BN18-FT_First)/FT_Int1),FT_PreY5+FT_PerYear*INT((BN18-FT_Y5)/12)+FT_AnnivDays+INT(MOD(BN18-FT_Y5,12)/FT_Int2)-IF(EDATE(AL18,FT_Y5)&lt;PolicyEff,FT_AnnivDays-1,0))),IF(AV18="PT",IF(BN18&lt;PT_First,0,1+INT((BN18-PT_First)/PT_Int)),0))-IF(AV18="FT",IF(BP18&lt;FT_First,0,IF(BP18&lt;FT_Y5,1+INT((BP18-FT_First)/FT_Int1),FT_PreY5+FT_PerYear*INT((BP18-FT_Y5)/12)+FT_AnnivDays+INT(MOD(BP18-FT_Y5,12)/FT_Int2)-IF(EDATE(AL18,FT_Y5)&lt;PolicyEff,FT_AnnivDays-1,0))),IF(AV18="PT",IF(BP18&lt;PT_First,0,1+INT((BP18-PT_First)/PT_Int)),0)),0))</f>
        <v/>
      </c>
      <c r="BR18" s="0" t="str">
        <f aca="false">IF(LEN($A18&amp;$B18)=0,"",$A18&amp;" "&amp;$B18)</f>
        <v/>
      </c>
    </row>
    <row r="19" customFormat="false" ht="15" hidden="false" customHeight="false" outlineLevel="0" collapsed="false">
      <c r="A19" s="12"/>
      <c r="B19" s="12"/>
      <c r="C19" s="12"/>
      <c r="D19" s="13"/>
      <c r="E19" s="14" t="str">
        <f aca="false">IF(OR(AK19=0,$D19=""),"",DATE(YEAR(AsOfDate)+IF(DATE(YEAR(AsOfDate),MONTH($D19),DAY($D19))&lt;=AsOfDate,1,0),MONTH($D19),DAY($D19)))</f>
        <v/>
      </c>
      <c r="F19" s="13"/>
      <c r="G19" s="13"/>
      <c r="H19" s="13"/>
      <c r="I19" s="13"/>
      <c r="J19" s="13"/>
      <c r="K19" s="14" t="str">
        <f aca="false">IF(AK19=0,"",DATE(YEAR(AsOfDate)+IF(DATE(YEAR(AsOfDate),MONTH(AL19),DAY(AL19))&lt;=AsOfDate,1,0),MONTH(AL19),DAY(AL19)))</f>
        <v/>
      </c>
      <c r="L19" s="15" t="str">
        <f aca="false">IF(AK19=0,"",ROUND((AsOfDate-AL19)/365.25,1))</f>
        <v/>
      </c>
      <c r="M19" s="16" t="str">
        <f aca="false">IF(AK19=0,"",IF(AsOfDate&lt;AL19,"-",DATEDIF(AL19,AsOfDate,"y")&amp;"y "&amp;DATEDIF(AL19,AsOfDate,"ym")&amp;"m "&amp;DATEDIF(AL19,AsOfDate,"md")&amp;"d"))</f>
        <v/>
      </c>
      <c r="N19" s="17" t="str">
        <f aca="false">IF(AK19=0,"",O19*HoursPerDay)</f>
        <v/>
      </c>
      <c r="O19" s="17" t="str">
        <f aca="false">IF(AK19=0,"",MAX(0,BD19-BQ19))</f>
        <v/>
      </c>
      <c r="P19" s="18"/>
      <c r="Q19" s="16" t="str">
        <f aca="false">IF(AK19=0,"",IF(AM19&lt;2,"",AQ19&amp;" to "&amp;AR19&amp;" on "&amp;TEXT(AO19,"dd/mm/yyyy")&amp;IF(AO19&gt;AsOfDate," (future)",IF(AT19=AU19,"",IF(AU19="None"," - STOPPED accruing",IF(AT19="None"," - commencement for Bonus Leave"," - pathway changed"))))&amp;IF(AM19&lt;3,"","; "&amp;AR19&amp;" to "&amp;AS19&amp;" on "&amp;TEXT(AP19,"dd/mm/yyyy")&amp;IF(AP19&gt;AsOfDate," (future)",IF(AU19=AV19,"",IF(AV19="None"," - STOPPED accruing",IF(AU19="None"," - commencement for Bonus Leave"," - pathway changed")))))))</f>
        <v/>
      </c>
      <c r="R19" s="16" t="str">
        <f aca="false">IF(AK19=0,"",IF(AW19="None",IF(O19&gt;0,"No longer accruing","Not eligible - "&amp;IF(AND(OR(ISNUMBER(SEARCH("part",$C19)),UPPER(TRIM($C19))="PT",UPPER(TRIM($C19))="PTE"),Apply2026="No"),"part-time (scheme is full-time only)",IF(AND(OR(ISNUMBER(SEARCH("part",$C19)),UPPER(TRIM($C19))="PT",UPPER(TRIM($C19))="PTE"),$P19&lt;&gt;"",N($P19)&lt;PT_MinHours),"under "&amp;PT_MinHours&amp;" hrs",IF(IF($C19="","",IF(OR(ISNUMBER(SEARCH("full",$C19)),UPPER(TRIM($C19))="FT",UPPER(TRIM($C19))="FTE"),"Full-Time",IF(OR(ISNUMBER(SEARCH("part",$C19)),UPPER(TRIM($C19))="PT",UPPER(TRIM($C19))="PTE"),"Part-Time",IF(OR(ISNUMBER(SEARCH("cas",$C19)),UPPER(TRIM($C19))="CAS"),"Casual","Unknown"))))="Unknown","type not recognised",$C19)))),IF(O19&gt;0,"Yes - Accrual Required","Not yet - from "&amp;TEXT(S19,"dd/mm/yyyy"))))</f>
        <v/>
      </c>
      <c r="S19" s="14" t="str">
        <f aca="false">IF(AK19=0,"",IF(AW19="None","",EDATE(AL19,BF19)))</f>
        <v/>
      </c>
      <c r="T19" s="17" t="str">
        <f aca="false">IF(AK19=0,"",IF(NOT(LH_Ready),"",IF($F19&gt;PFYDate,0,IF(LH_ColPeriod=0,W19-U19+V19,SUMIFS(INDEX(LH_Data,0,LH_ColAcc),INDEX(LH_Data,0,LH_ColFirst),$A19,INDEX(LH_Data,0,LH_ColSur),$B19,INDEX(LH_Data,0,LH_ColCat),BonusCat,INDEX(LH_Data,0,LH_ColPeriod),LH_OpenLabel)*UnitFactor))))</f>
        <v/>
      </c>
      <c r="U19" s="17" t="str">
        <f aca="false">IF(AK19=0,"",IF(NOT(LH_Ready),"",SUMIFS(INDEX(LH_Data,0,LH_ColAcc),INDEX(LH_Data,0,LH_ColFirst),$A19,INDEX(LH_Data,0,LH_ColSur),$B19,INDEX(LH_Data,0,LH_ColCat),BonusCat,INDEX(LH_Data,0,LH_ColStart),"&gt;="&amp;AL19)*UnitFactor))</f>
        <v/>
      </c>
      <c r="V19" s="17" t="str">
        <f aca="false">IF(AK19=0,"",IF(NOT(LH_Ready),"",SUMIFS(INDEX(LH_Data,0,LH_ColTaken),INDEX(LH_Data,0,LH_ColFirst),$A19,INDEX(LH_Data,0,LH_ColSur),$B19,INDEX(LH_Data,0,LH_ColCat),BonusCat,INDEX(LH_Data,0,LH_ColStart),"&gt;="&amp;AL19)*UnitFactor))</f>
        <v/>
      </c>
      <c r="W19" s="17" t="str">
        <f aca="false">IF(AK19=0,"",IF(NOT(LH_Ready),"",IF(BH19=0,0,INDEX(INDEX(LH_Data,0,LH_ColClose),BH19-1)*UnitFactor)))</f>
        <v/>
      </c>
      <c r="X19" s="17" t="str">
        <f aca="false">IF(AK19=0,"",(MAX(0,BD19-BQ19)-MAX(0,BE19-BQ19))*HoursPerDay)</f>
        <v/>
      </c>
      <c r="Y19" s="17" t="str">
        <f aca="false">IF(AK19=0,"",IF(NOT(LH_Ready),"",IF($AI19="Yes",N(AE19)*HoursPerDay-SUMIFS(INDEX(LH_Data,0,LH_ColAcc),INDEX(LH_Data,0,LH_ColFirst),$A19,INDEX(LH_Data,0,LH_ColSur),$B19,INDEX(LH_Data,0,LH_ColCat),BonusCat,INDEX(LH_Data,0,LH_ColStart),"&gt;="&amp;(EOMONTH(AsOfDate,-1)+1),INDEX(LH_Data,0,LH_ColStart),"&lt;="&amp;AsOfDate)*UnitFactor,IF(BG19=0,N19,N19-N(T19)-N(U19)))))</f>
        <v/>
      </c>
      <c r="Z19" s="16" t="str">
        <f aca="false">IF(OR(AK19=0,Y19=""),"",IF(Y19&gt;0,"Yes","No"))</f>
        <v/>
      </c>
      <c r="AA19" s="16" t="str">
        <f aca="false">IF(AK19=0,IF(LEN($A19&amp;$B19)=0,"","FIX INPUT - StartDate missing"),IF(AD19&lt;&gt;"","FIX INPUT - "&amp;AD19,IF(NOT(LH_Ready),"Paste Leave History export (Settings must show YES)",IF(AND($AI19="Yes",Y19&lt;=0),"OK - EH balance accepted to date"&amp;IF(N(AH19)&gt;0," (EH holds "&amp;AH19&amp;" hrs over the scheme)","")&amp;"; next day "&amp;TEXT(S19,"dd mmm yy")&amp;IF(N(AE19)&gt;0," ("&amp;AE19&amp;" day(s) for "&amp;UPPER(TEXT(AsOfDate,"mmm yyyy"))&amp;" already in EH)",""),IF(Y19&gt;0,"ACCRUE "&amp;ROUND(Y19,2)&amp;" hrs ("&amp;ROUND(Y19/HoursPerDay,2)&amp;" days): "&amp;IF(N(AE19)&gt;0,AE19&amp;" day(s) for "&amp;UPPER(TEXT(AsOfDate,"mmm yyyy"))&amp;" (milestone "&amp;UPPER(TEXT(AF19,"dd mmm yy"))&amp;")"&amp;IF(Y19/HoursPerDay&gt;AE19+0.001," + "&amp;ROUND(Y19/HoursPerDay-AE19,2)&amp;" day(s) catch-up from earlier months",""),"all catch-up from earlier months, nothing new this month")&amp;IF(BG19=0,"; no Bonus Leave in EH yet",""),IF(Y19&lt;0,"CHECK - EH accrued "&amp;ROUND(-Y19,2)&amp;" hrs more than policy since commencement",IF(N(W19)&gt;O19*HoursPerDay+0.01,"CHECK - EH balance "&amp;ROUND(W19-O19*HoursPerDay,2)&amp;" hrs more than policy entitlement",IF(O19&gt;0,"OK - nothing to add"&amp;IF(N(AE19)&gt;0," ("&amp;AE19&amp;" day(s) for "&amp;UPPER(TEXT(AsOfDate,"mmm yyyy"))&amp;" already in EH)",""),IF(AW19="None",R19,"Not yet - first day on "&amp;TEXT(S19,"dd/mm/yyyy"))))))))))</f>
        <v/>
      </c>
      <c r="AB19" s="17" t="str">
        <f aca="false">IF(OR(AK19=0,T19=""),"",MAX(0,BE19-BQ19)*HoursPerDay-T19)</f>
        <v/>
      </c>
      <c r="AC19" s="16" t="str">
        <f aca="false">IF(AK19=0,"",BG19)</f>
        <v/>
      </c>
      <c r="AD19" s="16" t="str">
        <f aca="false">IF(AK19=0,"",TRIM(IF(OR(ISTEXT($F19),ISTEXT($H19),ISTEXT($I19),ISTEXT($G19),ISTEXT($J19),ISTEXT($D19)),"A date is typed as text - retype it as dd/mm/yyyy. ","")&amp;IF(IF($C19="","",IF(OR(ISNUMBER(SEARCH("full",$C19)),UPPER(TRIM($C19))="FT",UPPER(TRIM($C19))="FTE"),"Full-Time",IF(OR(ISNUMBER(SEARCH("part",$C19)),UPPER(TRIM($C19))="PT",UPPER(TRIM($C19))="PTE"),"Part-Time",IF(OR(ISNUMBER(SEARCH("cas",$C19)),UPPER(TRIM($C19))="CAS"),"Casual","Unknown"))))="Unknown","EmploymentType not recognised - use Full-Time, Part-Time or Casual. ","")&amp;IF(AND(AM19&gt;=1,IF(AM19&gt;=3,AS19,IF(AM19=2,AR19,AQ19))&lt;&gt;IF($C19="","",IF(OR(ISNUMBER(SEARCH("full",$C19)),UPPER(TRIM($C19))="FT",UPPER(TRIM($C19))="FTE"),"Full-Time",IF(OR(ISNUMBER(SEARCH("part",$C19)),UPPER(TRIM($C19))="PT",UPPER(TRIM($C19))="PTE"),"Part-Time",IF(OR(ISNUMBER(SEARCH("cas",$C19)),UPPER(TRIM($C19))="CAS"),"Casual","Unknown"))))),"EmploymentType does not match latest start date ("&amp;IF(AM19&gt;=3,AS19,IF(AM19=2,AR19,AQ19))&amp;"). ","")&amp;IF(AND(AM19&gt;=1,AN19&lt;&gt;$F19),"Earliest type date should equal StartDate. ","")&amp;IF(AND(AM19&gt;=2,AN19=AO19),"Two types start on the same date. ","")&amp;IF(AND(OR(ISNUMBER(SEARCH("part",$C19)),UPPER(TRIM($C19))="PT",UPPER(TRIM($C19))="PTE"),$P19=""),"Part-time: enter PT Hrs/Week (blank = 24+). ","")))</f>
        <v/>
      </c>
      <c r="AE19" s="17" t="str">
        <f aca="false">IF(AK19=0,"",O19-MAX(0,BL19-BQ19))</f>
        <v/>
      </c>
      <c r="AF19" s="14" t="str">
        <f aca="false">IF(OR(AK19=0,AE19="",N(AE19)=0,BM19=""),"",EDATE(AL19,BM19))</f>
        <v/>
      </c>
      <c r="AG19" s="17" t="str">
        <f aca="false">IF(AK19=0,"",MIN(BD19,BQ19))</f>
        <v/>
      </c>
      <c r="AH19" s="17" t="str">
        <f aca="false">IF(AK19=0,"",IF(NOT(LH_Ready),"",IF(BG19=0,0,MAX(0,ROUND(N(T19)+N(U19)-N19,2)))))</f>
        <v/>
      </c>
      <c r="AI19" s="12"/>
      <c r="AJ19" s="12"/>
      <c r="AK19" s="16" t="n">
        <f aca="false">IF(OR(LEN($A19&amp;$B19)=0,$F19=""),0,1)</f>
        <v>0</v>
      </c>
      <c r="AL19" s="14" t="str">
        <f aca="false">IF(AK19=0,"",IF(PreSchemeCounts="No",MAX(SchemeStart,IF($J19&lt;&gt;"",$J19,IF(OR(CasualCounts="Yes",COUNT($G19:$I19)=0),$F19,IF(Apply2026="No",IF($I19="",$F19,$I19),IF(COUNT($H19:$I19)=0,$F19,MIN($H19:$I19)))))),IF($J19&lt;&gt;"",$J19,IF(OR(CasualCounts="Yes",COUNT($G19:$I19)=0),$F19,IF(Apply2026="No",IF($I19="",$F19,$I19),IF(COUNT($H19:$I19)=0,$F19,MIN($H19:$I19)))))))</f>
        <v/>
      </c>
      <c r="AM19" s="16" t="str">
        <f aca="false">IF(AK19=0,"",COUNT($G19:$I19))</f>
        <v/>
      </c>
      <c r="AN19" s="14" t="str">
        <f aca="false">IF(AK19=0,"",IFERROR(SMALL($G19:$I19,1),""))</f>
        <v/>
      </c>
      <c r="AO19" s="14" t="str">
        <f aca="false">IF(AK19=0,"",IFERROR(SMALL($G19:$I19,2),""))</f>
        <v/>
      </c>
      <c r="AP19" s="14" t="str">
        <f aca="false">IF(AK19=0,"",IFERROR(SMALL($G19:$I19,3),""))</f>
        <v/>
      </c>
      <c r="AQ19" s="16" t="str">
        <f aca="false">IF(AK19=0,"",IF(AN19="","",IF(AN19=$H19,"Part-Time",IF(AN19=$I19,"Full-Time","Casual"))))</f>
        <v/>
      </c>
      <c r="AR19" s="16" t="str">
        <f aca="false">IF(AK19=0,"",IF(AO19="","",IF(AO19=$H19,"Part-Time",IF(AO19=$I19,"Full-Time","Casual"))))</f>
        <v/>
      </c>
      <c r="AS19" s="16" t="str">
        <f aca="false">IF(AK19=0,"",IF(AP19="","",IF(AP19=$H19,"Part-Time",IF(AP19=$I19,"Full-Time","Casual"))))</f>
        <v/>
      </c>
      <c r="AT19" s="16" t="str">
        <f aca="false">IF(AK19=0,"",IF(AM19=0,IF(OR(ISNUMBER(SEARCH("full",$C19)),UPPER(TRIM($C19))="FT",UPPER(TRIM($C19))="FTE"),"FT",IF(AND(OR(ISNUMBER(SEARCH("part",$C19)),UPPER(TRIM($C19))="PT",UPPER(TRIM($C19))="PTE"),Apply2026="Yes",OR($P19="",N($P19)&gt;=PT_MinHours)),"PT","None")),IF(OR(ISNUMBER(SEARCH("full",AQ19)),UPPER(TRIM(AQ19))="FT",UPPER(TRIM(AQ19))="FTE"),"FT",IF(AND(OR(ISNUMBER(SEARCH("part",AQ19)),UPPER(TRIM(AQ19))="PT",UPPER(TRIM(AQ19))="PTE"),Apply2026="Yes",OR($P19="",N($P19)&gt;=PT_MinHours)),"PT","None"))))</f>
        <v/>
      </c>
      <c r="AU19" s="16" t="str">
        <f aca="false">IF(AK19=0,"",IF(AM19&lt;2,"",IF(OR(ISNUMBER(SEARCH("full",AR19)),UPPER(TRIM(AR19))="FT",UPPER(TRIM(AR19))="FTE"),"FT",IF(AND(OR(ISNUMBER(SEARCH("part",AR19)),UPPER(TRIM(AR19))="PT",UPPER(TRIM(AR19))="PTE"),Apply2026="Yes",OR($P19="",N($P19)&gt;=PT_MinHours)),"PT","None"))))</f>
        <v/>
      </c>
      <c r="AV19" s="16" t="str">
        <f aca="false">IF(AK19=0,"",IF(AM19&lt;3,"",IF(OR(ISNUMBER(SEARCH("full",AS19)),UPPER(TRIM(AS19))="FT",UPPER(TRIM(AS19))="FTE"),"FT",IF(AND(OR(ISNUMBER(SEARCH("part",AS19)),UPPER(TRIM(AS19))="PT",UPPER(TRIM(AS19))="PTE"),Apply2026="Yes",OR($P19="",N($P19)&gt;=PT_MinHours)),"PT","None"))))</f>
        <v/>
      </c>
      <c r="AW19" s="16" t="str">
        <f aca="false">IF(AK19=0,"",IF(AND(AM19&gt;=3,AP19&lt;=AsOfDate),AV19,IF(AND(AM19&gt;=2,AO19&lt;=AsOfDate),AU19,AT19)))</f>
        <v/>
      </c>
      <c r="AX19" s="16" t="str">
        <f aca="false">IF(AK19=0,"",IF(AsOfDate&lt;AL19,-1,12*(YEAR(AsOfDate)-YEAR(AL19))+MONTH(AsOfDate)-MONTH(AL19)-IF(DAY(AsOfDate)&lt;MIN(DAY(AL19),DAY(EOMONTH(AsOfDate,0))),1,0)))</f>
        <v/>
      </c>
      <c r="AY19" s="16" t="str">
        <f aca="false">IF(AK19=0,"",IF(OR(AM19&lt;2,AO19&gt;AsOfDate),AX19,IF((AO19-1)&lt;AL19,-1,12*(YEAR((AO19-1))-YEAR(AL19))+MONTH((AO19-1))-MONTH(AL19)-IF(DAY((AO19-1))&lt;MIN(DAY(AL19),DAY(EOMONTH((AO19-1),0))),1,0))))</f>
        <v/>
      </c>
      <c r="AZ19" s="16" t="str">
        <f aca="false">IF(AK19=0,"",IF(OR(AM19&lt;3,AP19&gt;AsOfDate),AX19,IF((AP19-1)&lt;AL19,-1,12*(YEAR((AP19-1))-YEAR(AL19))+MONTH((AP19-1))-MONTH(AL19)-IF(DAY((AP19-1))&lt;MIN(DAY(AL19),DAY(EOMONTH((AP19-1),0))),1,0))))</f>
        <v/>
      </c>
      <c r="BA19" s="16" t="str">
        <f aca="false">IF(AK19=0,"",IF(PFYDate&lt;AL19,-1,12*(YEAR(PFYDate)-YEAR(AL19))+MONTH(PFYDate)-MONTH(AL19)-IF(DAY(PFYDate)&lt;MIN(DAY(AL19),DAY(EOMONTH(PFYDate,0))),1,0)))</f>
        <v/>
      </c>
      <c r="BB19" s="16" t="str">
        <f aca="false">IF(AK19=0,"",IF(OR(AM19&lt;2,AO19&gt;PFYDate),BA19,IF((AO19-1)&lt;AL19,-1,12*(YEAR((AO19-1))-YEAR(AL19))+MONTH((AO19-1))-MONTH(AL19)-IF(DAY((AO19-1))&lt;MIN(DAY(AL19),DAY(EOMONTH((AO19-1),0))),1,0))))</f>
        <v/>
      </c>
      <c r="BC19" s="16" t="str">
        <f aca="false">IF(AK19=0,"",IF(OR(AM19&lt;3,AP19&gt;PFYDate),BA19,IF((AP19-1)&lt;AL19,-1,12*(YEAR((AP19-1))-YEAR(AL19))+MONTH((AP19-1))-MONTH(AL19)-IF(DAY((AP19-1))&lt;MIN(DAY(AL19),DAY(EOMONTH((AP19-1),0))),1,0))))</f>
        <v/>
      </c>
      <c r="BD19" s="16" t="str">
        <f aca="false">IF(AK19=0,"",IF(AT19="FT",IF(AY19&lt;FT_First,0,IF(AY19&lt;FT_Y5,1+INT((AY19-FT_First)/FT_Int1),FT_PreY5+FT_PerYear*INT((AY19-FT_Y5)/12)+FT_AnnivDays+INT(MOD(AY19-FT_Y5,12)/FT_Int2)-IF(EDATE(AL19,FT_Y5)&lt;PolicyEff,FT_AnnivDays-1,0))),IF(AT19="PT",IF(AY19&lt;PT_First,0,1+INT((AY19-PT_First)/PT_Int)),0))+IF(AND(AM19&gt;=2,AO19&lt;=AsOfDate),IF(AU19="FT",IF(AZ19&lt;FT_First,0,IF(AZ19&lt;FT_Y5,1+INT((AZ19-FT_First)/FT_Int1),FT_PreY5+FT_PerYear*INT((AZ19-FT_Y5)/12)+FT_AnnivDays+INT(MOD(AZ19-FT_Y5,12)/FT_Int2)-IF(EDATE(AL19,FT_Y5)&lt;PolicyEff,FT_AnnivDays-1,0))),IF(AU19="PT",IF(AZ19&lt;PT_First,0,1+INT((AZ19-PT_First)/PT_Int)),0))-IF(AU19="FT",IF(AY19&lt;FT_First,0,IF(AY19&lt;FT_Y5,1+INT((AY19-FT_First)/FT_Int1),FT_PreY5+FT_PerYear*INT((AY19-FT_Y5)/12)+FT_AnnivDays+INT(MOD(AY19-FT_Y5,12)/FT_Int2)-IF(EDATE(AL19,FT_Y5)&lt;PolicyEff,FT_AnnivDays-1,0))),IF(AU19="PT",IF(AY19&lt;PT_First,0,1+INT((AY19-PT_First)/PT_Int)),0)),0)+IF(AND(AM19&gt;=3,AP19&lt;=AsOfDate),IF(AV19="FT",IF(AX19&lt;FT_First,0,IF(AX19&lt;FT_Y5,1+INT((AX19-FT_First)/FT_Int1),FT_PreY5+FT_PerYear*INT((AX19-FT_Y5)/12)+FT_AnnivDays+INT(MOD(AX19-FT_Y5,12)/FT_Int2)-IF(EDATE(AL19,FT_Y5)&lt;PolicyEff,FT_AnnivDays-1,0))),IF(AV19="PT",IF(AX19&lt;PT_First,0,1+INT((AX19-PT_First)/PT_Int)),0))-IF(AV19="FT",IF(AZ19&lt;FT_First,0,IF(AZ19&lt;FT_Y5,1+INT((AZ19-FT_First)/FT_Int1),FT_PreY5+FT_PerYear*INT((AZ19-FT_Y5)/12)+FT_AnnivDays+INT(MOD(AZ19-FT_Y5,12)/FT_Int2)-IF(EDATE(AL19,FT_Y5)&lt;PolicyEff,FT_AnnivDays-1,0))),IF(AV19="PT",IF(AZ19&lt;PT_First,0,1+INT((AZ19-PT_First)/PT_Int)),0)),0))</f>
        <v/>
      </c>
      <c r="BE19" s="16" t="str">
        <f aca="false">IF(AK19=0,"",IF(AT19="FT",IF(BB19&lt;FT_First,0,IF(BB19&lt;FT_Y5,1+INT((BB19-FT_First)/FT_Int1),FT_PreY5+FT_PerYear*INT((BB19-FT_Y5)/12)+FT_AnnivDays+INT(MOD(BB19-FT_Y5,12)/FT_Int2)-IF(EDATE(AL19,FT_Y5)&lt;PolicyEff,FT_AnnivDays-1,0))),IF(AT19="PT",IF(BB19&lt;PT_First,0,1+INT((BB19-PT_First)/PT_Int)),0))+IF(AND(AM19&gt;=2,AO19&lt;=PFYDate),IF(AU19="FT",IF(BC19&lt;FT_First,0,IF(BC19&lt;FT_Y5,1+INT((BC19-FT_First)/FT_Int1),FT_PreY5+FT_PerYear*INT((BC19-FT_Y5)/12)+FT_AnnivDays+INT(MOD(BC19-FT_Y5,12)/FT_Int2)-IF(EDATE(AL19,FT_Y5)&lt;PolicyEff,FT_AnnivDays-1,0))),IF(AU19="PT",IF(BC19&lt;PT_First,0,1+INT((BC19-PT_First)/PT_Int)),0))-IF(AU19="FT",IF(BB19&lt;FT_First,0,IF(BB19&lt;FT_Y5,1+INT((BB19-FT_First)/FT_Int1),FT_PreY5+FT_PerYear*INT((BB19-FT_Y5)/12)+FT_AnnivDays+INT(MOD(BB19-FT_Y5,12)/FT_Int2)-IF(EDATE(AL19,FT_Y5)&lt;PolicyEff,FT_AnnivDays-1,0))),IF(AU19="PT",IF(BB19&lt;PT_First,0,1+INT((BB19-PT_First)/PT_Int)),0)),0)+IF(AND(AM19&gt;=3,AP19&lt;=PFYDate),IF(AV19="FT",IF(BA19&lt;FT_First,0,IF(BA19&lt;FT_Y5,1+INT((BA19-FT_First)/FT_Int1),FT_PreY5+FT_PerYear*INT((BA19-FT_Y5)/12)+FT_AnnivDays+INT(MOD(BA19-FT_Y5,12)/FT_Int2)-IF(EDATE(AL19,FT_Y5)&lt;PolicyEff,FT_AnnivDays-1,0))),IF(AV19="PT",IF(BA19&lt;PT_First,0,1+INT((BA19-PT_First)/PT_Int)),0))-IF(AV19="FT",IF(BC19&lt;FT_First,0,IF(BC19&lt;FT_Y5,1+INT((BC19-FT_First)/FT_Int1),FT_PreY5+FT_PerYear*INT((BC19-FT_Y5)/12)+FT_AnnivDays+INT(MOD(BC19-FT_Y5,12)/FT_Int2)-IF(EDATE(AL19,FT_Y5)&lt;PolicyEff,FT_AnnivDays-1,0))),IF(AV19="PT",IF(BC19&lt;PT_First,0,1+INT((BC19-PT_First)/PT_Int)),0)),0))</f>
        <v/>
      </c>
      <c r="BF19" s="16" t="str">
        <f aca="false">IF(AK19=0,"",IF(AW19="FT",IF(AX19&lt;FT_First,FT_First,IF(AX19&lt;FT_Y5,MIN(FT_Y5,FT_First+FT_Int1*(INT((AX19-FT_First)/FT_Int1)+1)),FT_Y5+12*INT((AX19-FT_Y5)/12)+FT_Int2*(INT(MOD(AX19-FT_Y5,12)/FT_Int2)+1))),IF(AW19="PT",IF(AX19&lt;PT_First,PT_First,PT_First+PT_Int*(INT((AX19-PT_First)/PT_Int)+1)),"")))</f>
        <v/>
      </c>
      <c r="BG19" s="16" t="str">
        <f aca="false">IF(AK19=0,"",IF(NOT(LH_Ready),0,COUNTIFS(INDEX(LH_Data,0,LH_ColFirst),$A19,INDEX(LH_Data,0,LH_ColSur),$B19,INDEX(LH_Data,0,LH_ColCat),BonusCat)))</f>
        <v/>
      </c>
      <c r="BH19" s="16" t="str">
        <f aca="false">IF(AK19=0,"",IF(OR(NOT(LH_Ready),BG19=0),0,SUMPRODUCT(MAX((INDEX(LH_Data,0,LH_ColFirst)=$A19)*(INDEX(LH_Data,0,LH_ColSur)=$B19)*(INDEX(LH_Data,0,LH_ColCat)=BonusCat)*ROW(LH_Data)))))</f>
        <v/>
      </c>
      <c r="BI19" s="16" t="str">
        <f aca="false">IF(AK19=0,"",IF(EOMONTH(AsOfDate,-1)&lt;AL19,-1,12*(YEAR(EOMONTH(AsOfDate,-1))-YEAR(AL19))+MONTH(EOMONTH(AsOfDate,-1))-MONTH(AL19)-IF(DAY(EOMONTH(AsOfDate,-1))&lt;MIN(DAY(AL19),DAY(EOMONTH(EOMONTH(AsOfDate,-1),0))),1,0)))</f>
        <v/>
      </c>
      <c r="BJ19" s="16" t="str">
        <f aca="false">IF(AK19=0,"",IF(OR(AM19&lt;2,AO19&gt;EOMONTH(AsOfDate,-1)),BI19,IF((AO19-1)&lt;AL19,-1,12*(YEAR((AO19-1))-YEAR(AL19))+MONTH((AO19-1))-MONTH(AL19)-IF(DAY((AO19-1))&lt;MIN(DAY(AL19),DAY(EOMONTH((AO19-1),0))),1,0))))</f>
        <v/>
      </c>
      <c r="BK19" s="16" t="str">
        <f aca="false">IF(AK19=0,"",IF(OR(AM19&lt;3,AP19&gt;EOMONTH(AsOfDate,-1)),BI19,IF((AP19-1)&lt;AL19,-1,12*(YEAR((AP19-1))-YEAR(AL19))+MONTH((AP19-1))-MONTH(AL19)-IF(DAY((AP19-1))&lt;MIN(DAY(AL19),DAY(EOMONTH((AP19-1),0))),1,0))))</f>
        <v/>
      </c>
      <c r="BL19" s="16" t="str">
        <f aca="false">IF(AK19=0,"",IF(AT19="FT",IF(BJ19&lt;FT_First,0,IF(BJ19&lt;FT_Y5,1+INT((BJ19-FT_First)/FT_Int1),FT_PreY5+FT_PerYear*INT((BJ19-FT_Y5)/12)+FT_AnnivDays+INT(MOD(BJ19-FT_Y5,12)/FT_Int2)-IF(EDATE(AL19,FT_Y5)&lt;PolicyEff,FT_AnnivDays-1,0))),IF(AT19="PT",IF(BJ19&lt;PT_First,0,1+INT((BJ19-PT_First)/PT_Int)),0))+IF(AND(AM19&gt;=2,AO19&lt;=EOMONTH(AsOfDate,-1)),IF(AU19="FT",IF(BK19&lt;FT_First,0,IF(BK19&lt;FT_Y5,1+INT((BK19-FT_First)/FT_Int1),FT_PreY5+FT_PerYear*INT((BK19-FT_Y5)/12)+FT_AnnivDays+INT(MOD(BK19-FT_Y5,12)/FT_Int2)-IF(EDATE(AL19,FT_Y5)&lt;PolicyEff,FT_AnnivDays-1,0))),IF(AU19="PT",IF(BK19&lt;PT_First,0,1+INT((BK19-PT_First)/PT_Int)),0))-IF(AU19="FT",IF(BJ19&lt;FT_First,0,IF(BJ19&lt;FT_Y5,1+INT((BJ19-FT_First)/FT_Int1),FT_PreY5+FT_PerYear*INT((BJ19-FT_Y5)/12)+FT_AnnivDays+INT(MOD(BJ19-FT_Y5,12)/FT_Int2)-IF(EDATE(AL19,FT_Y5)&lt;PolicyEff,FT_AnnivDays-1,0))),IF(AU19="PT",IF(BJ19&lt;PT_First,0,1+INT((BJ19-PT_First)/PT_Int)),0)),0)+IF(AND(AM19&gt;=3,AP19&lt;=EOMONTH(AsOfDate,-1)),IF(AV19="FT",IF(BI19&lt;FT_First,0,IF(BI19&lt;FT_Y5,1+INT((BI19-FT_First)/FT_Int1),FT_PreY5+FT_PerYear*INT((BI19-FT_Y5)/12)+FT_AnnivDays+INT(MOD(BI19-FT_Y5,12)/FT_Int2)-IF(EDATE(AL19,FT_Y5)&lt;PolicyEff,FT_AnnivDays-1,0))),IF(AV19="PT",IF(BI19&lt;PT_First,0,1+INT((BI19-PT_First)/PT_Int)),0))-IF(AV19="FT",IF(BK19&lt;FT_First,0,IF(BK19&lt;FT_Y5,1+INT((BK19-FT_First)/FT_Int1),FT_PreY5+FT_PerYear*INT((BK19-FT_Y5)/12)+FT_AnnivDays+INT(MOD(BK19-FT_Y5,12)/FT_Int2)-IF(EDATE(AL19,FT_Y5)&lt;PolicyEff,FT_AnnivDays-1,0))),IF(AV19="PT",IF(BK19&lt;PT_First,0,1+INT((BK19-PT_First)/PT_Int)),0)),0))</f>
        <v/>
      </c>
      <c r="BM19" s="16" t="str">
        <f aca="false">IF(AK19=0,"",IF(AW19="FT",IF(AX19&lt;FT_First,"",IF(AX19&lt;FT_Y5,FT_First+FT_Int1*INT((AX19-FT_First)/FT_Int1),FT_Y5+FT_Int2*INT((AX19-FT_Y5)/FT_Int2))),IF(AW19="PT",IF(AX19&lt;PT_First,"",PT_First+PT_Int*INT((AX19-PT_First)/PT_Int)),"")))</f>
        <v/>
      </c>
      <c r="BN19" s="16" t="str">
        <f aca="false">IF(AK19=0,"",IF((SchemeStart-1)&lt;AL19,-1,12*(YEAR((SchemeStart-1))-YEAR(AL19))+MONTH((SchemeStart-1))-MONTH(AL19)-IF(DAY((SchemeStart-1))&lt;MIN(DAY(AL19),DAY(EOMONTH((SchemeStart-1),0))),1,0)))</f>
        <v/>
      </c>
      <c r="BO19" s="16" t="str">
        <f aca="false">IF(AK19=0,"",IF(OR(AM19&lt;2,AO19&gt;(SchemeStart-1)),BN19,IF((AO19-1)&lt;AL19,-1,12*(YEAR((AO19-1))-YEAR(AL19))+MONTH((AO19-1))-MONTH(AL19)-IF(DAY((AO19-1))&lt;MIN(DAY(AL19),DAY(EOMONTH((AO19-1),0))),1,0))))</f>
        <v/>
      </c>
      <c r="BP19" s="16" t="str">
        <f aca="false">IF(AK19=0,"",IF(OR(AM19&lt;3,AP19&gt;(SchemeStart-1)),BN19,IF((AP19-1)&lt;AL19,-1,12*(YEAR((AP19-1))-YEAR(AL19))+MONTH((AP19-1))-MONTH(AL19)-IF(DAY((AP19-1))&lt;MIN(DAY(AL19),DAY(EOMONTH((AP19-1),0))),1,0))))</f>
        <v/>
      </c>
      <c r="BQ19" s="16" t="str">
        <f aca="false">IF(AK19=0,"",IF(AT19="FT",IF(BO19&lt;FT_First,0,IF(BO19&lt;FT_Y5,1+INT((BO19-FT_First)/FT_Int1),FT_PreY5+FT_PerYear*INT((BO19-FT_Y5)/12)+FT_AnnivDays+INT(MOD(BO19-FT_Y5,12)/FT_Int2)-IF(EDATE(AL19,FT_Y5)&lt;PolicyEff,FT_AnnivDays-1,0))),IF(AT19="PT",IF(BO19&lt;PT_First,0,1+INT((BO19-PT_First)/PT_Int)),0))+IF(AND(AM19&gt;=2,AO19&lt;=(SchemeStart-1)),IF(AU19="FT",IF(BP19&lt;FT_First,0,IF(BP19&lt;FT_Y5,1+INT((BP19-FT_First)/FT_Int1),FT_PreY5+FT_PerYear*INT((BP19-FT_Y5)/12)+FT_AnnivDays+INT(MOD(BP19-FT_Y5,12)/FT_Int2)-IF(EDATE(AL19,FT_Y5)&lt;PolicyEff,FT_AnnivDays-1,0))),IF(AU19="PT",IF(BP19&lt;PT_First,0,1+INT((BP19-PT_First)/PT_Int)),0))-IF(AU19="FT",IF(BO19&lt;FT_First,0,IF(BO19&lt;FT_Y5,1+INT((BO19-FT_First)/FT_Int1),FT_PreY5+FT_PerYear*INT((BO19-FT_Y5)/12)+FT_AnnivDays+INT(MOD(BO19-FT_Y5,12)/FT_Int2)-IF(EDATE(AL19,FT_Y5)&lt;PolicyEff,FT_AnnivDays-1,0))),IF(AU19="PT",IF(BO19&lt;PT_First,0,1+INT((BO19-PT_First)/PT_Int)),0)),0)+IF(AND(AM19&gt;=3,AP19&lt;=(SchemeStart-1)),IF(AV19="FT",IF(BN19&lt;FT_First,0,IF(BN19&lt;FT_Y5,1+INT((BN19-FT_First)/FT_Int1),FT_PreY5+FT_PerYear*INT((BN19-FT_Y5)/12)+FT_AnnivDays+INT(MOD(BN19-FT_Y5,12)/FT_Int2)-IF(EDATE(AL19,FT_Y5)&lt;PolicyEff,FT_AnnivDays-1,0))),IF(AV19="PT",IF(BN19&lt;PT_First,0,1+INT((BN19-PT_First)/PT_Int)),0))-IF(AV19="FT",IF(BP19&lt;FT_First,0,IF(BP19&lt;FT_Y5,1+INT((BP19-FT_First)/FT_Int1),FT_PreY5+FT_PerYear*INT((BP19-FT_Y5)/12)+FT_AnnivDays+INT(MOD(BP19-FT_Y5,12)/FT_Int2)-IF(EDATE(AL19,FT_Y5)&lt;PolicyEff,FT_AnnivDays-1,0))),IF(AV19="PT",IF(BP19&lt;PT_First,0,1+INT((BP19-PT_First)/PT_Int)),0)),0))</f>
        <v/>
      </c>
      <c r="BR19" s="0" t="str">
        <f aca="false">IF(LEN($A19&amp;$B19)=0,"",$A19&amp;" "&amp;$B19)</f>
        <v/>
      </c>
    </row>
    <row r="20" customFormat="false" ht="15" hidden="false" customHeight="false" outlineLevel="0" collapsed="false">
      <c r="A20" s="12"/>
      <c r="B20" s="12"/>
      <c r="C20" s="12"/>
      <c r="D20" s="13"/>
      <c r="E20" s="14" t="str">
        <f aca="false">IF(OR(AK20=0,$D20=""),"",DATE(YEAR(AsOfDate)+IF(DATE(YEAR(AsOfDate),MONTH($D20),DAY($D20))&lt;=AsOfDate,1,0),MONTH($D20),DAY($D20)))</f>
        <v/>
      </c>
      <c r="F20" s="13"/>
      <c r="G20" s="13"/>
      <c r="H20" s="13"/>
      <c r="I20" s="13"/>
      <c r="J20" s="13"/>
      <c r="K20" s="14" t="str">
        <f aca="false">IF(AK20=0,"",DATE(YEAR(AsOfDate)+IF(DATE(YEAR(AsOfDate),MONTH(AL20),DAY(AL20))&lt;=AsOfDate,1,0),MONTH(AL20),DAY(AL20)))</f>
        <v/>
      </c>
      <c r="L20" s="15" t="str">
        <f aca="false">IF(AK20=0,"",ROUND((AsOfDate-AL20)/365.25,1))</f>
        <v/>
      </c>
      <c r="M20" s="16" t="str">
        <f aca="false">IF(AK20=0,"",IF(AsOfDate&lt;AL20,"-",DATEDIF(AL20,AsOfDate,"y")&amp;"y "&amp;DATEDIF(AL20,AsOfDate,"ym")&amp;"m "&amp;DATEDIF(AL20,AsOfDate,"md")&amp;"d"))</f>
        <v/>
      </c>
      <c r="N20" s="17" t="str">
        <f aca="false">IF(AK20=0,"",O20*HoursPerDay)</f>
        <v/>
      </c>
      <c r="O20" s="17" t="str">
        <f aca="false">IF(AK20=0,"",MAX(0,BD20-BQ20))</f>
        <v/>
      </c>
      <c r="P20" s="18"/>
      <c r="Q20" s="16" t="str">
        <f aca="false">IF(AK20=0,"",IF(AM20&lt;2,"",AQ20&amp;" to "&amp;AR20&amp;" on "&amp;TEXT(AO20,"dd/mm/yyyy")&amp;IF(AO20&gt;AsOfDate," (future)",IF(AT20=AU20,"",IF(AU20="None"," - STOPPED accruing",IF(AT20="None"," - commencement for Bonus Leave"," - pathway changed"))))&amp;IF(AM20&lt;3,"","; "&amp;AR20&amp;" to "&amp;AS20&amp;" on "&amp;TEXT(AP20,"dd/mm/yyyy")&amp;IF(AP20&gt;AsOfDate," (future)",IF(AU20=AV20,"",IF(AV20="None"," - STOPPED accruing",IF(AU20="None"," - commencement for Bonus Leave"," - pathway changed")))))))</f>
        <v/>
      </c>
      <c r="R20" s="16" t="str">
        <f aca="false">IF(AK20=0,"",IF(AW20="None",IF(O20&gt;0,"No longer accruing","Not eligible - "&amp;IF(AND(OR(ISNUMBER(SEARCH("part",$C20)),UPPER(TRIM($C20))="PT",UPPER(TRIM($C20))="PTE"),Apply2026="No"),"part-time (scheme is full-time only)",IF(AND(OR(ISNUMBER(SEARCH("part",$C20)),UPPER(TRIM($C20))="PT",UPPER(TRIM($C20))="PTE"),$P20&lt;&gt;"",N($P20)&lt;PT_MinHours),"under "&amp;PT_MinHours&amp;" hrs",IF(IF($C20="","",IF(OR(ISNUMBER(SEARCH("full",$C20)),UPPER(TRIM($C20))="FT",UPPER(TRIM($C20))="FTE"),"Full-Time",IF(OR(ISNUMBER(SEARCH("part",$C20)),UPPER(TRIM($C20))="PT",UPPER(TRIM($C20))="PTE"),"Part-Time",IF(OR(ISNUMBER(SEARCH("cas",$C20)),UPPER(TRIM($C20))="CAS"),"Casual","Unknown"))))="Unknown","type not recognised",$C20)))),IF(O20&gt;0,"Yes - Accrual Required","Not yet - from "&amp;TEXT(S20,"dd/mm/yyyy"))))</f>
        <v/>
      </c>
      <c r="S20" s="14" t="str">
        <f aca="false">IF(AK20=0,"",IF(AW20="None","",EDATE(AL20,BF20)))</f>
        <v/>
      </c>
      <c r="T20" s="17" t="str">
        <f aca="false">IF(AK20=0,"",IF(NOT(LH_Ready),"",IF($F20&gt;PFYDate,0,IF(LH_ColPeriod=0,W20-U20+V20,SUMIFS(INDEX(LH_Data,0,LH_ColAcc),INDEX(LH_Data,0,LH_ColFirst),$A20,INDEX(LH_Data,0,LH_ColSur),$B20,INDEX(LH_Data,0,LH_ColCat),BonusCat,INDEX(LH_Data,0,LH_ColPeriod),LH_OpenLabel)*UnitFactor))))</f>
        <v/>
      </c>
      <c r="U20" s="17" t="str">
        <f aca="false">IF(AK20=0,"",IF(NOT(LH_Ready),"",SUMIFS(INDEX(LH_Data,0,LH_ColAcc),INDEX(LH_Data,0,LH_ColFirst),$A20,INDEX(LH_Data,0,LH_ColSur),$B20,INDEX(LH_Data,0,LH_ColCat),BonusCat,INDEX(LH_Data,0,LH_ColStart),"&gt;="&amp;AL20)*UnitFactor))</f>
        <v/>
      </c>
      <c r="V20" s="17" t="str">
        <f aca="false">IF(AK20=0,"",IF(NOT(LH_Ready),"",SUMIFS(INDEX(LH_Data,0,LH_ColTaken),INDEX(LH_Data,0,LH_ColFirst),$A20,INDEX(LH_Data,0,LH_ColSur),$B20,INDEX(LH_Data,0,LH_ColCat),BonusCat,INDEX(LH_Data,0,LH_ColStart),"&gt;="&amp;AL20)*UnitFactor))</f>
        <v/>
      </c>
      <c r="W20" s="17" t="str">
        <f aca="false">IF(AK20=0,"",IF(NOT(LH_Ready),"",IF(BH20=0,0,INDEX(INDEX(LH_Data,0,LH_ColClose),BH20-1)*UnitFactor)))</f>
        <v/>
      </c>
      <c r="X20" s="17" t="str">
        <f aca="false">IF(AK20=0,"",(MAX(0,BD20-BQ20)-MAX(0,BE20-BQ20))*HoursPerDay)</f>
        <v/>
      </c>
      <c r="Y20" s="17" t="str">
        <f aca="false">IF(AK20=0,"",IF(NOT(LH_Ready),"",IF($AI20="Yes",N(AE20)*HoursPerDay-SUMIFS(INDEX(LH_Data,0,LH_ColAcc),INDEX(LH_Data,0,LH_ColFirst),$A20,INDEX(LH_Data,0,LH_ColSur),$B20,INDEX(LH_Data,0,LH_ColCat),BonusCat,INDEX(LH_Data,0,LH_ColStart),"&gt;="&amp;(EOMONTH(AsOfDate,-1)+1),INDEX(LH_Data,0,LH_ColStart),"&lt;="&amp;AsOfDate)*UnitFactor,IF(BG20=0,N20,N20-N(T20)-N(U20)))))</f>
        <v/>
      </c>
      <c r="Z20" s="16" t="str">
        <f aca="false">IF(OR(AK20=0,Y20=""),"",IF(Y20&gt;0,"Yes","No"))</f>
        <v/>
      </c>
      <c r="AA20" s="16" t="str">
        <f aca="false">IF(AK20=0,IF(LEN($A20&amp;$B20)=0,"","FIX INPUT - StartDate missing"),IF(AD20&lt;&gt;"","FIX INPUT - "&amp;AD20,IF(NOT(LH_Ready),"Paste Leave History export (Settings must show YES)",IF(AND($AI20="Yes",Y20&lt;=0),"OK - EH balance accepted to date"&amp;IF(N(AH20)&gt;0," (EH holds "&amp;AH20&amp;" hrs over the scheme)","")&amp;"; next day "&amp;TEXT(S20,"dd mmm yy")&amp;IF(N(AE20)&gt;0," ("&amp;AE20&amp;" day(s) for "&amp;UPPER(TEXT(AsOfDate,"mmm yyyy"))&amp;" already in EH)",""),IF(Y20&gt;0,"ACCRUE "&amp;ROUND(Y20,2)&amp;" hrs ("&amp;ROUND(Y20/HoursPerDay,2)&amp;" days): "&amp;IF(N(AE20)&gt;0,AE20&amp;" day(s) for "&amp;UPPER(TEXT(AsOfDate,"mmm yyyy"))&amp;" (milestone "&amp;UPPER(TEXT(AF20,"dd mmm yy"))&amp;")"&amp;IF(Y20/HoursPerDay&gt;AE20+0.001," + "&amp;ROUND(Y20/HoursPerDay-AE20,2)&amp;" day(s) catch-up from earlier months",""),"all catch-up from earlier months, nothing new this month")&amp;IF(BG20=0,"; no Bonus Leave in EH yet",""),IF(Y20&lt;0,"CHECK - EH accrued "&amp;ROUND(-Y20,2)&amp;" hrs more than policy since commencement",IF(N(W20)&gt;O20*HoursPerDay+0.01,"CHECK - EH balance "&amp;ROUND(W20-O20*HoursPerDay,2)&amp;" hrs more than policy entitlement",IF(O20&gt;0,"OK - nothing to add"&amp;IF(N(AE20)&gt;0," ("&amp;AE20&amp;" day(s) for "&amp;UPPER(TEXT(AsOfDate,"mmm yyyy"))&amp;" already in EH)",""),IF(AW20="None",R20,"Not yet - first day on "&amp;TEXT(S20,"dd/mm/yyyy"))))))))))</f>
        <v/>
      </c>
      <c r="AB20" s="17" t="str">
        <f aca="false">IF(OR(AK20=0,T20=""),"",MAX(0,BE20-BQ20)*HoursPerDay-T20)</f>
        <v/>
      </c>
      <c r="AC20" s="16" t="str">
        <f aca="false">IF(AK20=0,"",BG20)</f>
        <v/>
      </c>
      <c r="AD20" s="16" t="str">
        <f aca="false">IF(AK20=0,"",TRIM(IF(OR(ISTEXT($F20),ISTEXT($H20),ISTEXT($I20),ISTEXT($G20),ISTEXT($J20),ISTEXT($D20)),"A date is typed as text - retype it as dd/mm/yyyy. ","")&amp;IF(IF($C20="","",IF(OR(ISNUMBER(SEARCH("full",$C20)),UPPER(TRIM($C20))="FT",UPPER(TRIM($C20))="FTE"),"Full-Time",IF(OR(ISNUMBER(SEARCH("part",$C20)),UPPER(TRIM($C20))="PT",UPPER(TRIM($C20))="PTE"),"Part-Time",IF(OR(ISNUMBER(SEARCH("cas",$C20)),UPPER(TRIM($C20))="CAS"),"Casual","Unknown"))))="Unknown","EmploymentType not recognised - use Full-Time, Part-Time or Casual. ","")&amp;IF(AND(AM20&gt;=1,IF(AM20&gt;=3,AS20,IF(AM20=2,AR20,AQ20))&lt;&gt;IF($C20="","",IF(OR(ISNUMBER(SEARCH("full",$C20)),UPPER(TRIM($C20))="FT",UPPER(TRIM($C20))="FTE"),"Full-Time",IF(OR(ISNUMBER(SEARCH("part",$C20)),UPPER(TRIM($C20))="PT",UPPER(TRIM($C20))="PTE"),"Part-Time",IF(OR(ISNUMBER(SEARCH("cas",$C20)),UPPER(TRIM($C20))="CAS"),"Casual","Unknown"))))),"EmploymentType does not match latest start date ("&amp;IF(AM20&gt;=3,AS20,IF(AM20=2,AR20,AQ20))&amp;"). ","")&amp;IF(AND(AM20&gt;=1,AN20&lt;&gt;$F20),"Earliest type date should equal StartDate. ","")&amp;IF(AND(AM20&gt;=2,AN20=AO20),"Two types start on the same date. ","")&amp;IF(AND(OR(ISNUMBER(SEARCH("part",$C20)),UPPER(TRIM($C20))="PT",UPPER(TRIM($C20))="PTE"),$P20=""),"Part-time: enter PT Hrs/Week (blank = 24+). ","")))</f>
        <v/>
      </c>
      <c r="AE20" s="17" t="str">
        <f aca="false">IF(AK20=0,"",O20-MAX(0,BL20-BQ20))</f>
        <v/>
      </c>
      <c r="AF20" s="14" t="str">
        <f aca="false">IF(OR(AK20=0,AE20="",N(AE20)=0,BM20=""),"",EDATE(AL20,BM20))</f>
        <v/>
      </c>
      <c r="AG20" s="17" t="str">
        <f aca="false">IF(AK20=0,"",MIN(BD20,BQ20))</f>
        <v/>
      </c>
      <c r="AH20" s="17" t="str">
        <f aca="false">IF(AK20=0,"",IF(NOT(LH_Ready),"",IF(BG20=0,0,MAX(0,ROUND(N(T20)+N(U20)-N20,2)))))</f>
        <v/>
      </c>
      <c r="AI20" s="12"/>
      <c r="AJ20" s="12"/>
      <c r="AK20" s="16" t="n">
        <f aca="false">IF(OR(LEN($A20&amp;$B20)=0,$F20=""),0,1)</f>
        <v>0</v>
      </c>
      <c r="AL20" s="14" t="str">
        <f aca="false">IF(AK20=0,"",IF(PreSchemeCounts="No",MAX(SchemeStart,IF($J20&lt;&gt;"",$J20,IF(OR(CasualCounts="Yes",COUNT($G20:$I20)=0),$F20,IF(Apply2026="No",IF($I20="",$F20,$I20),IF(COUNT($H20:$I20)=0,$F20,MIN($H20:$I20)))))),IF($J20&lt;&gt;"",$J20,IF(OR(CasualCounts="Yes",COUNT($G20:$I20)=0),$F20,IF(Apply2026="No",IF($I20="",$F20,$I20),IF(COUNT($H20:$I20)=0,$F20,MIN($H20:$I20)))))))</f>
        <v/>
      </c>
      <c r="AM20" s="16" t="str">
        <f aca="false">IF(AK20=0,"",COUNT($G20:$I20))</f>
        <v/>
      </c>
      <c r="AN20" s="14" t="str">
        <f aca="false">IF(AK20=0,"",IFERROR(SMALL($G20:$I20,1),""))</f>
        <v/>
      </c>
      <c r="AO20" s="14" t="str">
        <f aca="false">IF(AK20=0,"",IFERROR(SMALL($G20:$I20,2),""))</f>
        <v/>
      </c>
      <c r="AP20" s="14" t="str">
        <f aca="false">IF(AK20=0,"",IFERROR(SMALL($G20:$I20,3),""))</f>
        <v/>
      </c>
      <c r="AQ20" s="16" t="str">
        <f aca="false">IF(AK20=0,"",IF(AN20="","",IF(AN20=$H20,"Part-Time",IF(AN20=$I20,"Full-Time","Casual"))))</f>
        <v/>
      </c>
      <c r="AR20" s="16" t="str">
        <f aca="false">IF(AK20=0,"",IF(AO20="","",IF(AO20=$H20,"Part-Time",IF(AO20=$I20,"Full-Time","Casual"))))</f>
        <v/>
      </c>
      <c r="AS20" s="16" t="str">
        <f aca="false">IF(AK20=0,"",IF(AP20="","",IF(AP20=$H20,"Part-Time",IF(AP20=$I20,"Full-Time","Casual"))))</f>
        <v/>
      </c>
      <c r="AT20" s="16" t="str">
        <f aca="false">IF(AK20=0,"",IF(AM20=0,IF(OR(ISNUMBER(SEARCH("full",$C20)),UPPER(TRIM($C20))="FT",UPPER(TRIM($C20))="FTE"),"FT",IF(AND(OR(ISNUMBER(SEARCH("part",$C20)),UPPER(TRIM($C20))="PT",UPPER(TRIM($C20))="PTE"),Apply2026="Yes",OR($P20="",N($P20)&gt;=PT_MinHours)),"PT","None")),IF(OR(ISNUMBER(SEARCH("full",AQ20)),UPPER(TRIM(AQ20))="FT",UPPER(TRIM(AQ20))="FTE"),"FT",IF(AND(OR(ISNUMBER(SEARCH("part",AQ20)),UPPER(TRIM(AQ20))="PT",UPPER(TRIM(AQ20))="PTE"),Apply2026="Yes",OR($P20="",N($P20)&gt;=PT_MinHours)),"PT","None"))))</f>
        <v/>
      </c>
      <c r="AU20" s="16" t="str">
        <f aca="false">IF(AK20=0,"",IF(AM20&lt;2,"",IF(OR(ISNUMBER(SEARCH("full",AR20)),UPPER(TRIM(AR20))="FT",UPPER(TRIM(AR20))="FTE"),"FT",IF(AND(OR(ISNUMBER(SEARCH("part",AR20)),UPPER(TRIM(AR20))="PT",UPPER(TRIM(AR20))="PTE"),Apply2026="Yes",OR($P20="",N($P20)&gt;=PT_MinHours)),"PT","None"))))</f>
        <v/>
      </c>
      <c r="AV20" s="16" t="str">
        <f aca="false">IF(AK20=0,"",IF(AM20&lt;3,"",IF(OR(ISNUMBER(SEARCH("full",AS20)),UPPER(TRIM(AS20))="FT",UPPER(TRIM(AS20))="FTE"),"FT",IF(AND(OR(ISNUMBER(SEARCH("part",AS20)),UPPER(TRIM(AS20))="PT",UPPER(TRIM(AS20))="PTE"),Apply2026="Yes",OR($P20="",N($P20)&gt;=PT_MinHours)),"PT","None"))))</f>
        <v/>
      </c>
      <c r="AW20" s="16" t="str">
        <f aca="false">IF(AK20=0,"",IF(AND(AM20&gt;=3,AP20&lt;=AsOfDate),AV20,IF(AND(AM20&gt;=2,AO20&lt;=AsOfDate),AU20,AT20)))</f>
        <v/>
      </c>
      <c r="AX20" s="16" t="str">
        <f aca="false">IF(AK20=0,"",IF(AsOfDate&lt;AL20,-1,12*(YEAR(AsOfDate)-YEAR(AL20))+MONTH(AsOfDate)-MONTH(AL20)-IF(DAY(AsOfDate)&lt;MIN(DAY(AL20),DAY(EOMONTH(AsOfDate,0))),1,0)))</f>
        <v/>
      </c>
      <c r="AY20" s="16" t="str">
        <f aca="false">IF(AK20=0,"",IF(OR(AM20&lt;2,AO20&gt;AsOfDate),AX20,IF((AO20-1)&lt;AL20,-1,12*(YEAR((AO20-1))-YEAR(AL20))+MONTH((AO20-1))-MONTH(AL20)-IF(DAY((AO20-1))&lt;MIN(DAY(AL20),DAY(EOMONTH((AO20-1),0))),1,0))))</f>
        <v/>
      </c>
      <c r="AZ20" s="16" t="str">
        <f aca="false">IF(AK20=0,"",IF(OR(AM20&lt;3,AP20&gt;AsOfDate),AX20,IF((AP20-1)&lt;AL20,-1,12*(YEAR((AP20-1))-YEAR(AL20))+MONTH((AP20-1))-MONTH(AL20)-IF(DAY((AP20-1))&lt;MIN(DAY(AL20),DAY(EOMONTH((AP20-1),0))),1,0))))</f>
        <v/>
      </c>
      <c r="BA20" s="16" t="str">
        <f aca="false">IF(AK20=0,"",IF(PFYDate&lt;AL20,-1,12*(YEAR(PFYDate)-YEAR(AL20))+MONTH(PFYDate)-MONTH(AL20)-IF(DAY(PFYDate)&lt;MIN(DAY(AL20),DAY(EOMONTH(PFYDate,0))),1,0)))</f>
        <v/>
      </c>
      <c r="BB20" s="16" t="str">
        <f aca="false">IF(AK20=0,"",IF(OR(AM20&lt;2,AO20&gt;PFYDate),BA20,IF((AO20-1)&lt;AL20,-1,12*(YEAR((AO20-1))-YEAR(AL20))+MONTH((AO20-1))-MONTH(AL20)-IF(DAY((AO20-1))&lt;MIN(DAY(AL20),DAY(EOMONTH((AO20-1),0))),1,0))))</f>
        <v/>
      </c>
      <c r="BC20" s="16" t="str">
        <f aca="false">IF(AK20=0,"",IF(OR(AM20&lt;3,AP20&gt;PFYDate),BA20,IF((AP20-1)&lt;AL20,-1,12*(YEAR((AP20-1))-YEAR(AL20))+MONTH((AP20-1))-MONTH(AL20)-IF(DAY((AP20-1))&lt;MIN(DAY(AL20),DAY(EOMONTH((AP20-1),0))),1,0))))</f>
        <v/>
      </c>
      <c r="BD20" s="16" t="str">
        <f aca="false">IF(AK20=0,"",IF(AT20="FT",IF(AY20&lt;FT_First,0,IF(AY20&lt;FT_Y5,1+INT((AY20-FT_First)/FT_Int1),FT_PreY5+FT_PerYear*INT((AY20-FT_Y5)/12)+FT_AnnivDays+INT(MOD(AY20-FT_Y5,12)/FT_Int2)-IF(EDATE(AL20,FT_Y5)&lt;PolicyEff,FT_AnnivDays-1,0))),IF(AT20="PT",IF(AY20&lt;PT_First,0,1+INT((AY20-PT_First)/PT_Int)),0))+IF(AND(AM20&gt;=2,AO20&lt;=AsOfDate),IF(AU20="FT",IF(AZ20&lt;FT_First,0,IF(AZ20&lt;FT_Y5,1+INT((AZ20-FT_First)/FT_Int1),FT_PreY5+FT_PerYear*INT((AZ20-FT_Y5)/12)+FT_AnnivDays+INT(MOD(AZ20-FT_Y5,12)/FT_Int2)-IF(EDATE(AL20,FT_Y5)&lt;PolicyEff,FT_AnnivDays-1,0))),IF(AU20="PT",IF(AZ20&lt;PT_First,0,1+INT((AZ20-PT_First)/PT_Int)),0))-IF(AU20="FT",IF(AY20&lt;FT_First,0,IF(AY20&lt;FT_Y5,1+INT((AY20-FT_First)/FT_Int1),FT_PreY5+FT_PerYear*INT((AY20-FT_Y5)/12)+FT_AnnivDays+INT(MOD(AY20-FT_Y5,12)/FT_Int2)-IF(EDATE(AL20,FT_Y5)&lt;PolicyEff,FT_AnnivDays-1,0))),IF(AU20="PT",IF(AY20&lt;PT_First,0,1+INT((AY20-PT_First)/PT_Int)),0)),0)+IF(AND(AM20&gt;=3,AP20&lt;=AsOfDate),IF(AV20="FT",IF(AX20&lt;FT_First,0,IF(AX20&lt;FT_Y5,1+INT((AX20-FT_First)/FT_Int1),FT_PreY5+FT_PerYear*INT((AX20-FT_Y5)/12)+FT_AnnivDays+INT(MOD(AX20-FT_Y5,12)/FT_Int2)-IF(EDATE(AL20,FT_Y5)&lt;PolicyEff,FT_AnnivDays-1,0))),IF(AV20="PT",IF(AX20&lt;PT_First,0,1+INT((AX20-PT_First)/PT_Int)),0))-IF(AV20="FT",IF(AZ20&lt;FT_First,0,IF(AZ20&lt;FT_Y5,1+INT((AZ20-FT_First)/FT_Int1),FT_PreY5+FT_PerYear*INT((AZ20-FT_Y5)/12)+FT_AnnivDays+INT(MOD(AZ20-FT_Y5,12)/FT_Int2)-IF(EDATE(AL20,FT_Y5)&lt;PolicyEff,FT_AnnivDays-1,0))),IF(AV20="PT",IF(AZ20&lt;PT_First,0,1+INT((AZ20-PT_First)/PT_Int)),0)),0))</f>
        <v/>
      </c>
      <c r="BE20" s="16" t="str">
        <f aca="false">IF(AK20=0,"",IF(AT20="FT",IF(BB20&lt;FT_First,0,IF(BB20&lt;FT_Y5,1+INT((BB20-FT_First)/FT_Int1),FT_PreY5+FT_PerYear*INT((BB20-FT_Y5)/12)+FT_AnnivDays+INT(MOD(BB20-FT_Y5,12)/FT_Int2)-IF(EDATE(AL20,FT_Y5)&lt;PolicyEff,FT_AnnivDays-1,0))),IF(AT20="PT",IF(BB20&lt;PT_First,0,1+INT((BB20-PT_First)/PT_Int)),0))+IF(AND(AM20&gt;=2,AO20&lt;=PFYDate),IF(AU20="FT",IF(BC20&lt;FT_First,0,IF(BC20&lt;FT_Y5,1+INT((BC20-FT_First)/FT_Int1),FT_PreY5+FT_PerYear*INT((BC20-FT_Y5)/12)+FT_AnnivDays+INT(MOD(BC20-FT_Y5,12)/FT_Int2)-IF(EDATE(AL20,FT_Y5)&lt;PolicyEff,FT_AnnivDays-1,0))),IF(AU20="PT",IF(BC20&lt;PT_First,0,1+INT((BC20-PT_First)/PT_Int)),0))-IF(AU20="FT",IF(BB20&lt;FT_First,0,IF(BB20&lt;FT_Y5,1+INT((BB20-FT_First)/FT_Int1),FT_PreY5+FT_PerYear*INT((BB20-FT_Y5)/12)+FT_AnnivDays+INT(MOD(BB20-FT_Y5,12)/FT_Int2)-IF(EDATE(AL20,FT_Y5)&lt;PolicyEff,FT_AnnivDays-1,0))),IF(AU20="PT",IF(BB20&lt;PT_First,0,1+INT((BB20-PT_First)/PT_Int)),0)),0)+IF(AND(AM20&gt;=3,AP20&lt;=PFYDate),IF(AV20="FT",IF(BA20&lt;FT_First,0,IF(BA20&lt;FT_Y5,1+INT((BA20-FT_First)/FT_Int1),FT_PreY5+FT_PerYear*INT((BA20-FT_Y5)/12)+FT_AnnivDays+INT(MOD(BA20-FT_Y5,12)/FT_Int2)-IF(EDATE(AL20,FT_Y5)&lt;PolicyEff,FT_AnnivDays-1,0))),IF(AV20="PT",IF(BA20&lt;PT_First,0,1+INT((BA20-PT_First)/PT_Int)),0))-IF(AV20="FT",IF(BC20&lt;FT_First,0,IF(BC20&lt;FT_Y5,1+INT((BC20-FT_First)/FT_Int1),FT_PreY5+FT_PerYear*INT((BC20-FT_Y5)/12)+FT_AnnivDays+INT(MOD(BC20-FT_Y5,12)/FT_Int2)-IF(EDATE(AL20,FT_Y5)&lt;PolicyEff,FT_AnnivDays-1,0))),IF(AV20="PT",IF(BC20&lt;PT_First,0,1+INT((BC20-PT_First)/PT_Int)),0)),0))</f>
        <v/>
      </c>
      <c r="BF20" s="16" t="str">
        <f aca="false">IF(AK20=0,"",IF(AW20="FT",IF(AX20&lt;FT_First,FT_First,IF(AX20&lt;FT_Y5,MIN(FT_Y5,FT_First+FT_Int1*(INT((AX20-FT_First)/FT_Int1)+1)),FT_Y5+12*INT((AX20-FT_Y5)/12)+FT_Int2*(INT(MOD(AX20-FT_Y5,12)/FT_Int2)+1))),IF(AW20="PT",IF(AX20&lt;PT_First,PT_First,PT_First+PT_Int*(INT((AX20-PT_First)/PT_Int)+1)),"")))</f>
        <v/>
      </c>
      <c r="BG20" s="16" t="str">
        <f aca="false">IF(AK20=0,"",IF(NOT(LH_Ready),0,COUNTIFS(INDEX(LH_Data,0,LH_ColFirst),$A20,INDEX(LH_Data,0,LH_ColSur),$B20,INDEX(LH_Data,0,LH_ColCat),BonusCat)))</f>
        <v/>
      </c>
      <c r="BH20" s="16" t="str">
        <f aca="false">IF(AK20=0,"",IF(OR(NOT(LH_Ready),BG20=0),0,SUMPRODUCT(MAX((INDEX(LH_Data,0,LH_ColFirst)=$A20)*(INDEX(LH_Data,0,LH_ColSur)=$B20)*(INDEX(LH_Data,0,LH_ColCat)=BonusCat)*ROW(LH_Data)))))</f>
        <v/>
      </c>
      <c r="BI20" s="16" t="str">
        <f aca="false">IF(AK20=0,"",IF(EOMONTH(AsOfDate,-1)&lt;AL20,-1,12*(YEAR(EOMONTH(AsOfDate,-1))-YEAR(AL20))+MONTH(EOMONTH(AsOfDate,-1))-MONTH(AL20)-IF(DAY(EOMONTH(AsOfDate,-1))&lt;MIN(DAY(AL20),DAY(EOMONTH(EOMONTH(AsOfDate,-1),0))),1,0)))</f>
        <v/>
      </c>
      <c r="BJ20" s="16" t="str">
        <f aca="false">IF(AK20=0,"",IF(OR(AM20&lt;2,AO20&gt;EOMONTH(AsOfDate,-1)),BI20,IF((AO20-1)&lt;AL20,-1,12*(YEAR((AO20-1))-YEAR(AL20))+MONTH((AO20-1))-MONTH(AL20)-IF(DAY((AO20-1))&lt;MIN(DAY(AL20),DAY(EOMONTH((AO20-1),0))),1,0))))</f>
        <v/>
      </c>
      <c r="BK20" s="16" t="str">
        <f aca="false">IF(AK20=0,"",IF(OR(AM20&lt;3,AP20&gt;EOMONTH(AsOfDate,-1)),BI20,IF((AP20-1)&lt;AL20,-1,12*(YEAR((AP20-1))-YEAR(AL20))+MONTH((AP20-1))-MONTH(AL20)-IF(DAY((AP20-1))&lt;MIN(DAY(AL20),DAY(EOMONTH((AP20-1),0))),1,0))))</f>
        <v/>
      </c>
      <c r="BL20" s="16" t="str">
        <f aca="false">IF(AK20=0,"",IF(AT20="FT",IF(BJ20&lt;FT_First,0,IF(BJ20&lt;FT_Y5,1+INT((BJ20-FT_First)/FT_Int1),FT_PreY5+FT_PerYear*INT((BJ20-FT_Y5)/12)+FT_AnnivDays+INT(MOD(BJ20-FT_Y5,12)/FT_Int2)-IF(EDATE(AL20,FT_Y5)&lt;PolicyEff,FT_AnnivDays-1,0))),IF(AT20="PT",IF(BJ20&lt;PT_First,0,1+INT((BJ20-PT_First)/PT_Int)),0))+IF(AND(AM20&gt;=2,AO20&lt;=EOMONTH(AsOfDate,-1)),IF(AU20="FT",IF(BK20&lt;FT_First,0,IF(BK20&lt;FT_Y5,1+INT((BK20-FT_First)/FT_Int1),FT_PreY5+FT_PerYear*INT((BK20-FT_Y5)/12)+FT_AnnivDays+INT(MOD(BK20-FT_Y5,12)/FT_Int2)-IF(EDATE(AL20,FT_Y5)&lt;PolicyEff,FT_AnnivDays-1,0))),IF(AU20="PT",IF(BK20&lt;PT_First,0,1+INT((BK20-PT_First)/PT_Int)),0))-IF(AU20="FT",IF(BJ20&lt;FT_First,0,IF(BJ20&lt;FT_Y5,1+INT((BJ20-FT_First)/FT_Int1),FT_PreY5+FT_PerYear*INT((BJ20-FT_Y5)/12)+FT_AnnivDays+INT(MOD(BJ20-FT_Y5,12)/FT_Int2)-IF(EDATE(AL20,FT_Y5)&lt;PolicyEff,FT_AnnivDays-1,0))),IF(AU20="PT",IF(BJ20&lt;PT_First,0,1+INT((BJ20-PT_First)/PT_Int)),0)),0)+IF(AND(AM20&gt;=3,AP20&lt;=EOMONTH(AsOfDate,-1)),IF(AV20="FT",IF(BI20&lt;FT_First,0,IF(BI20&lt;FT_Y5,1+INT((BI20-FT_First)/FT_Int1),FT_PreY5+FT_PerYear*INT((BI20-FT_Y5)/12)+FT_AnnivDays+INT(MOD(BI20-FT_Y5,12)/FT_Int2)-IF(EDATE(AL20,FT_Y5)&lt;PolicyEff,FT_AnnivDays-1,0))),IF(AV20="PT",IF(BI20&lt;PT_First,0,1+INT((BI20-PT_First)/PT_Int)),0))-IF(AV20="FT",IF(BK20&lt;FT_First,0,IF(BK20&lt;FT_Y5,1+INT((BK20-FT_First)/FT_Int1),FT_PreY5+FT_PerYear*INT((BK20-FT_Y5)/12)+FT_AnnivDays+INT(MOD(BK20-FT_Y5,12)/FT_Int2)-IF(EDATE(AL20,FT_Y5)&lt;PolicyEff,FT_AnnivDays-1,0))),IF(AV20="PT",IF(BK20&lt;PT_First,0,1+INT((BK20-PT_First)/PT_Int)),0)),0))</f>
        <v/>
      </c>
      <c r="BM20" s="16" t="str">
        <f aca="false">IF(AK20=0,"",IF(AW20="FT",IF(AX20&lt;FT_First,"",IF(AX20&lt;FT_Y5,FT_First+FT_Int1*INT((AX20-FT_First)/FT_Int1),FT_Y5+FT_Int2*INT((AX20-FT_Y5)/FT_Int2))),IF(AW20="PT",IF(AX20&lt;PT_First,"",PT_First+PT_Int*INT((AX20-PT_First)/PT_Int)),"")))</f>
        <v/>
      </c>
      <c r="BN20" s="16" t="str">
        <f aca="false">IF(AK20=0,"",IF((SchemeStart-1)&lt;AL20,-1,12*(YEAR((SchemeStart-1))-YEAR(AL20))+MONTH((SchemeStart-1))-MONTH(AL20)-IF(DAY((SchemeStart-1))&lt;MIN(DAY(AL20),DAY(EOMONTH((SchemeStart-1),0))),1,0)))</f>
        <v/>
      </c>
      <c r="BO20" s="16" t="str">
        <f aca="false">IF(AK20=0,"",IF(OR(AM20&lt;2,AO20&gt;(SchemeStart-1)),BN20,IF((AO20-1)&lt;AL20,-1,12*(YEAR((AO20-1))-YEAR(AL20))+MONTH((AO20-1))-MONTH(AL20)-IF(DAY((AO20-1))&lt;MIN(DAY(AL20),DAY(EOMONTH((AO20-1),0))),1,0))))</f>
        <v/>
      </c>
      <c r="BP20" s="16" t="str">
        <f aca="false">IF(AK20=0,"",IF(OR(AM20&lt;3,AP20&gt;(SchemeStart-1)),BN20,IF((AP20-1)&lt;AL20,-1,12*(YEAR((AP20-1))-YEAR(AL20))+MONTH((AP20-1))-MONTH(AL20)-IF(DAY((AP20-1))&lt;MIN(DAY(AL20),DAY(EOMONTH((AP20-1),0))),1,0))))</f>
        <v/>
      </c>
      <c r="BQ20" s="16" t="str">
        <f aca="false">IF(AK20=0,"",IF(AT20="FT",IF(BO20&lt;FT_First,0,IF(BO20&lt;FT_Y5,1+INT((BO20-FT_First)/FT_Int1),FT_PreY5+FT_PerYear*INT((BO20-FT_Y5)/12)+FT_AnnivDays+INT(MOD(BO20-FT_Y5,12)/FT_Int2)-IF(EDATE(AL20,FT_Y5)&lt;PolicyEff,FT_AnnivDays-1,0))),IF(AT20="PT",IF(BO20&lt;PT_First,0,1+INT((BO20-PT_First)/PT_Int)),0))+IF(AND(AM20&gt;=2,AO20&lt;=(SchemeStart-1)),IF(AU20="FT",IF(BP20&lt;FT_First,0,IF(BP20&lt;FT_Y5,1+INT((BP20-FT_First)/FT_Int1),FT_PreY5+FT_PerYear*INT((BP20-FT_Y5)/12)+FT_AnnivDays+INT(MOD(BP20-FT_Y5,12)/FT_Int2)-IF(EDATE(AL20,FT_Y5)&lt;PolicyEff,FT_AnnivDays-1,0))),IF(AU20="PT",IF(BP20&lt;PT_First,0,1+INT((BP20-PT_First)/PT_Int)),0))-IF(AU20="FT",IF(BO20&lt;FT_First,0,IF(BO20&lt;FT_Y5,1+INT((BO20-FT_First)/FT_Int1),FT_PreY5+FT_PerYear*INT((BO20-FT_Y5)/12)+FT_AnnivDays+INT(MOD(BO20-FT_Y5,12)/FT_Int2)-IF(EDATE(AL20,FT_Y5)&lt;PolicyEff,FT_AnnivDays-1,0))),IF(AU20="PT",IF(BO20&lt;PT_First,0,1+INT((BO20-PT_First)/PT_Int)),0)),0)+IF(AND(AM20&gt;=3,AP20&lt;=(SchemeStart-1)),IF(AV20="FT",IF(BN20&lt;FT_First,0,IF(BN20&lt;FT_Y5,1+INT((BN20-FT_First)/FT_Int1),FT_PreY5+FT_PerYear*INT((BN20-FT_Y5)/12)+FT_AnnivDays+INT(MOD(BN20-FT_Y5,12)/FT_Int2)-IF(EDATE(AL20,FT_Y5)&lt;PolicyEff,FT_AnnivDays-1,0))),IF(AV20="PT",IF(BN20&lt;PT_First,0,1+INT((BN20-PT_First)/PT_Int)),0))-IF(AV20="FT",IF(BP20&lt;FT_First,0,IF(BP20&lt;FT_Y5,1+INT((BP20-FT_First)/FT_Int1),FT_PreY5+FT_PerYear*INT((BP20-FT_Y5)/12)+FT_AnnivDays+INT(MOD(BP20-FT_Y5,12)/FT_Int2)-IF(EDATE(AL20,FT_Y5)&lt;PolicyEff,FT_AnnivDays-1,0))),IF(AV20="PT",IF(BP20&lt;PT_First,0,1+INT((BP20-PT_First)/PT_Int)),0)),0))</f>
        <v/>
      </c>
      <c r="BR20" s="0" t="str">
        <f aca="false">IF(LEN($A20&amp;$B20)=0,"",$A20&amp;" "&amp;$B20)</f>
        <v/>
      </c>
    </row>
    <row r="21" customFormat="false" ht="15" hidden="false" customHeight="false" outlineLevel="0" collapsed="false">
      <c r="A21" s="12"/>
      <c r="B21" s="12"/>
      <c r="C21" s="12"/>
      <c r="D21" s="13"/>
      <c r="E21" s="14" t="str">
        <f aca="false">IF(OR(AK21=0,$D21=""),"",DATE(YEAR(AsOfDate)+IF(DATE(YEAR(AsOfDate),MONTH($D21),DAY($D21))&lt;=AsOfDate,1,0),MONTH($D21),DAY($D21)))</f>
        <v/>
      </c>
      <c r="F21" s="13"/>
      <c r="G21" s="13"/>
      <c r="H21" s="13"/>
      <c r="I21" s="13"/>
      <c r="J21" s="13"/>
      <c r="K21" s="14" t="str">
        <f aca="false">IF(AK21=0,"",DATE(YEAR(AsOfDate)+IF(DATE(YEAR(AsOfDate),MONTH(AL21),DAY(AL21))&lt;=AsOfDate,1,0),MONTH(AL21),DAY(AL21)))</f>
        <v/>
      </c>
      <c r="L21" s="15" t="str">
        <f aca="false">IF(AK21=0,"",ROUND((AsOfDate-AL21)/365.25,1))</f>
        <v/>
      </c>
      <c r="M21" s="16" t="str">
        <f aca="false">IF(AK21=0,"",IF(AsOfDate&lt;AL21,"-",DATEDIF(AL21,AsOfDate,"y")&amp;"y "&amp;DATEDIF(AL21,AsOfDate,"ym")&amp;"m "&amp;DATEDIF(AL21,AsOfDate,"md")&amp;"d"))</f>
        <v/>
      </c>
      <c r="N21" s="17" t="str">
        <f aca="false">IF(AK21=0,"",O21*HoursPerDay)</f>
        <v/>
      </c>
      <c r="O21" s="17" t="str">
        <f aca="false">IF(AK21=0,"",MAX(0,BD21-BQ21))</f>
        <v/>
      </c>
      <c r="P21" s="18"/>
      <c r="Q21" s="16" t="str">
        <f aca="false">IF(AK21=0,"",IF(AM21&lt;2,"",AQ21&amp;" to "&amp;AR21&amp;" on "&amp;TEXT(AO21,"dd/mm/yyyy")&amp;IF(AO21&gt;AsOfDate," (future)",IF(AT21=AU21,"",IF(AU21="None"," - STOPPED accruing",IF(AT21="None"," - commencement for Bonus Leave"," - pathway changed"))))&amp;IF(AM21&lt;3,"","; "&amp;AR21&amp;" to "&amp;AS21&amp;" on "&amp;TEXT(AP21,"dd/mm/yyyy")&amp;IF(AP21&gt;AsOfDate," (future)",IF(AU21=AV21,"",IF(AV21="None"," - STOPPED accruing",IF(AU21="None"," - commencement for Bonus Leave"," - pathway changed")))))))</f>
        <v/>
      </c>
      <c r="R21" s="16" t="str">
        <f aca="false">IF(AK21=0,"",IF(AW21="None",IF(O21&gt;0,"No longer accruing","Not eligible - "&amp;IF(AND(OR(ISNUMBER(SEARCH("part",$C21)),UPPER(TRIM($C21))="PT",UPPER(TRIM($C21))="PTE"),Apply2026="No"),"part-time (scheme is full-time only)",IF(AND(OR(ISNUMBER(SEARCH("part",$C21)),UPPER(TRIM($C21))="PT",UPPER(TRIM($C21))="PTE"),$P21&lt;&gt;"",N($P21)&lt;PT_MinHours),"under "&amp;PT_MinHours&amp;" hrs",IF(IF($C21="","",IF(OR(ISNUMBER(SEARCH("full",$C21)),UPPER(TRIM($C21))="FT",UPPER(TRIM($C21))="FTE"),"Full-Time",IF(OR(ISNUMBER(SEARCH("part",$C21)),UPPER(TRIM($C21))="PT",UPPER(TRIM($C21))="PTE"),"Part-Time",IF(OR(ISNUMBER(SEARCH("cas",$C21)),UPPER(TRIM($C21))="CAS"),"Casual","Unknown"))))="Unknown","type not recognised",$C21)))),IF(O21&gt;0,"Yes - Accrual Required","Not yet - from "&amp;TEXT(S21,"dd/mm/yyyy"))))</f>
        <v/>
      </c>
      <c r="S21" s="14" t="str">
        <f aca="false">IF(AK21=0,"",IF(AW21="None","",EDATE(AL21,BF21)))</f>
        <v/>
      </c>
      <c r="T21" s="17" t="str">
        <f aca="false">IF(AK21=0,"",IF(NOT(LH_Ready),"",IF($F21&gt;PFYDate,0,IF(LH_ColPeriod=0,W21-U21+V21,SUMIFS(INDEX(LH_Data,0,LH_ColAcc),INDEX(LH_Data,0,LH_ColFirst),$A21,INDEX(LH_Data,0,LH_ColSur),$B21,INDEX(LH_Data,0,LH_ColCat),BonusCat,INDEX(LH_Data,0,LH_ColPeriod),LH_OpenLabel)*UnitFactor))))</f>
        <v/>
      </c>
      <c r="U21" s="17" t="str">
        <f aca="false">IF(AK21=0,"",IF(NOT(LH_Ready),"",SUMIFS(INDEX(LH_Data,0,LH_ColAcc),INDEX(LH_Data,0,LH_ColFirst),$A21,INDEX(LH_Data,0,LH_ColSur),$B21,INDEX(LH_Data,0,LH_ColCat),BonusCat,INDEX(LH_Data,0,LH_ColStart),"&gt;="&amp;AL21)*UnitFactor))</f>
        <v/>
      </c>
      <c r="V21" s="17" t="str">
        <f aca="false">IF(AK21=0,"",IF(NOT(LH_Ready),"",SUMIFS(INDEX(LH_Data,0,LH_ColTaken),INDEX(LH_Data,0,LH_ColFirst),$A21,INDEX(LH_Data,0,LH_ColSur),$B21,INDEX(LH_Data,0,LH_ColCat),BonusCat,INDEX(LH_Data,0,LH_ColStart),"&gt;="&amp;AL21)*UnitFactor))</f>
        <v/>
      </c>
      <c r="W21" s="17" t="str">
        <f aca="false">IF(AK21=0,"",IF(NOT(LH_Ready),"",IF(BH21=0,0,INDEX(INDEX(LH_Data,0,LH_ColClose),BH21-1)*UnitFactor)))</f>
        <v/>
      </c>
      <c r="X21" s="17" t="str">
        <f aca="false">IF(AK21=0,"",(MAX(0,BD21-BQ21)-MAX(0,BE21-BQ21))*HoursPerDay)</f>
        <v/>
      </c>
      <c r="Y21" s="17" t="str">
        <f aca="false">IF(AK21=0,"",IF(NOT(LH_Ready),"",IF($AI21="Yes",N(AE21)*HoursPerDay-SUMIFS(INDEX(LH_Data,0,LH_ColAcc),INDEX(LH_Data,0,LH_ColFirst),$A21,INDEX(LH_Data,0,LH_ColSur),$B21,INDEX(LH_Data,0,LH_ColCat),BonusCat,INDEX(LH_Data,0,LH_ColStart),"&gt;="&amp;(EOMONTH(AsOfDate,-1)+1),INDEX(LH_Data,0,LH_ColStart),"&lt;="&amp;AsOfDate)*UnitFactor,IF(BG21=0,N21,N21-N(T21)-N(U21)))))</f>
        <v/>
      </c>
      <c r="Z21" s="16" t="str">
        <f aca="false">IF(OR(AK21=0,Y21=""),"",IF(Y21&gt;0,"Yes","No"))</f>
        <v/>
      </c>
      <c r="AA21" s="16" t="str">
        <f aca="false">IF(AK21=0,IF(LEN($A21&amp;$B21)=0,"","FIX INPUT - StartDate missing"),IF(AD21&lt;&gt;"","FIX INPUT - "&amp;AD21,IF(NOT(LH_Ready),"Paste Leave History export (Settings must show YES)",IF(AND($AI21="Yes",Y21&lt;=0),"OK - EH balance accepted to date"&amp;IF(N(AH21)&gt;0," (EH holds "&amp;AH21&amp;" hrs over the scheme)","")&amp;"; next day "&amp;TEXT(S21,"dd mmm yy")&amp;IF(N(AE21)&gt;0," ("&amp;AE21&amp;" day(s) for "&amp;UPPER(TEXT(AsOfDate,"mmm yyyy"))&amp;" already in EH)",""),IF(Y21&gt;0,"ACCRUE "&amp;ROUND(Y21,2)&amp;" hrs ("&amp;ROUND(Y21/HoursPerDay,2)&amp;" days): "&amp;IF(N(AE21)&gt;0,AE21&amp;" day(s) for "&amp;UPPER(TEXT(AsOfDate,"mmm yyyy"))&amp;" (milestone "&amp;UPPER(TEXT(AF21,"dd mmm yy"))&amp;")"&amp;IF(Y21/HoursPerDay&gt;AE21+0.001," + "&amp;ROUND(Y21/HoursPerDay-AE21,2)&amp;" day(s) catch-up from earlier months",""),"all catch-up from earlier months, nothing new this month")&amp;IF(BG21=0,"; no Bonus Leave in EH yet",""),IF(Y21&lt;0,"CHECK - EH accrued "&amp;ROUND(-Y21,2)&amp;" hrs more than policy since commencement",IF(N(W21)&gt;O21*HoursPerDay+0.01,"CHECK - EH balance "&amp;ROUND(W21-O21*HoursPerDay,2)&amp;" hrs more than policy entitlement",IF(O21&gt;0,"OK - nothing to add"&amp;IF(N(AE21)&gt;0," ("&amp;AE21&amp;" day(s) for "&amp;UPPER(TEXT(AsOfDate,"mmm yyyy"))&amp;" already in EH)",""),IF(AW21="None",R21,"Not yet - first day on "&amp;TEXT(S21,"dd/mm/yyyy"))))))))))</f>
        <v/>
      </c>
      <c r="AB21" s="17" t="str">
        <f aca="false">IF(OR(AK21=0,T21=""),"",MAX(0,BE21-BQ21)*HoursPerDay-T21)</f>
        <v/>
      </c>
      <c r="AC21" s="16" t="str">
        <f aca="false">IF(AK21=0,"",BG21)</f>
        <v/>
      </c>
      <c r="AD21" s="16" t="str">
        <f aca="false">IF(AK21=0,"",TRIM(IF(OR(ISTEXT($F21),ISTEXT($H21),ISTEXT($I21),ISTEXT($G21),ISTEXT($J21),ISTEXT($D21)),"A date is typed as text - retype it as dd/mm/yyyy. ","")&amp;IF(IF($C21="","",IF(OR(ISNUMBER(SEARCH("full",$C21)),UPPER(TRIM($C21))="FT",UPPER(TRIM($C21))="FTE"),"Full-Time",IF(OR(ISNUMBER(SEARCH("part",$C21)),UPPER(TRIM($C21))="PT",UPPER(TRIM($C21))="PTE"),"Part-Time",IF(OR(ISNUMBER(SEARCH("cas",$C21)),UPPER(TRIM($C21))="CAS"),"Casual","Unknown"))))="Unknown","EmploymentType not recognised - use Full-Time, Part-Time or Casual. ","")&amp;IF(AND(AM21&gt;=1,IF(AM21&gt;=3,AS21,IF(AM21=2,AR21,AQ21))&lt;&gt;IF($C21="","",IF(OR(ISNUMBER(SEARCH("full",$C21)),UPPER(TRIM($C21))="FT",UPPER(TRIM($C21))="FTE"),"Full-Time",IF(OR(ISNUMBER(SEARCH("part",$C21)),UPPER(TRIM($C21))="PT",UPPER(TRIM($C21))="PTE"),"Part-Time",IF(OR(ISNUMBER(SEARCH("cas",$C21)),UPPER(TRIM($C21))="CAS"),"Casual","Unknown"))))),"EmploymentType does not match latest start date ("&amp;IF(AM21&gt;=3,AS21,IF(AM21=2,AR21,AQ21))&amp;"). ","")&amp;IF(AND(AM21&gt;=1,AN21&lt;&gt;$F21),"Earliest type date should equal StartDate. ","")&amp;IF(AND(AM21&gt;=2,AN21=AO21),"Two types start on the same date. ","")&amp;IF(AND(OR(ISNUMBER(SEARCH("part",$C21)),UPPER(TRIM($C21))="PT",UPPER(TRIM($C21))="PTE"),$P21=""),"Part-time: enter PT Hrs/Week (blank = 24+). ","")))</f>
        <v/>
      </c>
      <c r="AE21" s="17" t="str">
        <f aca="false">IF(AK21=0,"",O21-MAX(0,BL21-BQ21))</f>
        <v/>
      </c>
      <c r="AF21" s="14" t="str">
        <f aca="false">IF(OR(AK21=0,AE21="",N(AE21)=0,BM21=""),"",EDATE(AL21,BM21))</f>
        <v/>
      </c>
      <c r="AG21" s="17" t="str">
        <f aca="false">IF(AK21=0,"",MIN(BD21,BQ21))</f>
        <v/>
      </c>
      <c r="AH21" s="17" t="str">
        <f aca="false">IF(AK21=0,"",IF(NOT(LH_Ready),"",IF(BG21=0,0,MAX(0,ROUND(N(T21)+N(U21)-N21,2)))))</f>
        <v/>
      </c>
      <c r="AI21" s="12"/>
      <c r="AJ21" s="12"/>
      <c r="AK21" s="16" t="n">
        <f aca="false">IF(OR(LEN($A21&amp;$B21)=0,$F21=""),0,1)</f>
        <v>0</v>
      </c>
      <c r="AL21" s="14" t="str">
        <f aca="false">IF(AK21=0,"",IF(PreSchemeCounts="No",MAX(SchemeStart,IF($J21&lt;&gt;"",$J21,IF(OR(CasualCounts="Yes",COUNT($G21:$I21)=0),$F21,IF(Apply2026="No",IF($I21="",$F21,$I21),IF(COUNT($H21:$I21)=0,$F21,MIN($H21:$I21)))))),IF($J21&lt;&gt;"",$J21,IF(OR(CasualCounts="Yes",COUNT($G21:$I21)=0),$F21,IF(Apply2026="No",IF($I21="",$F21,$I21),IF(COUNT($H21:$I21)=0,$F21,MIN($H21:$I21)))))))</f>
        <v/>
      </c>
      <c r="AM21" s="16" t="str">
        <f aca="false">IF(AK21=0,"",COUNT($G21:$I21))</f>
        <v/>
      </c>
      <c r="AN21" s="14" t="str">
        <f aca="false">IF(AK21=0,"",IFERROR(SMALL($G21:$I21,1),""))</f>
        <v/>
      </c>
      <c r="AO21" s="14" t="str">
        <f aca="false">IF(AK21=0,"",IFERROR(SMALL($G21:$I21,2),""))</f>
        <v/>
      </c>
      <c r="AP21" s="14" t="str">
        <f aca="false">IF(AK21=0,"",IFERROR(SMALL($G21:$I21,3),""))</f>
        <v/>
      </c>
      <c r="AQ21" s="16" t="str">
        <f aca="false">IF(AK21=0,"",IF(AN21="","",IF(AN21=$H21,"Part-Time",IF(AN21=$I21,"Full-Time","Casual"))))</f>
        <v/>
      </c>
      <c r="AR21" s="16" t="str">
        <f aca="false">IF(AK21=0,"",IF(AO21="","",IF(AO21=$H21,"Part-Time",IF(AO21=$I21,"Full-Time","Casual"))))</f>
        <v/>
      </c>
      <c r="AS21" s="16" t="str">
        <f aca="false">IF(AK21=0,"",IF(AP21="","",IF(AP21=$H21,"Part-Time",IF(AP21=$I21,"Full-Time","Casual"))))</f>
        <v/>
      </c>
      <c r="AT21" s="16" t="str">
        <f aca="false">IF(AK21=0,"",IF(AM21=0,IF(OR(ISNUMBER(SEARCH("full",$C21)),UPPER(TRIM($C21))="FT",UPPER(TRIM($C21))="FTE"),"FT",IF(AND(OR(ISNUMBER(SEARCH("part",$C21)),UPPER(TRIM($C21))="PT",UPPER(TRIM($C21))="PTE"),Apply2026="Yes",OR($P21="",N($P21)&gt;=PT_MinHours)),"PT","None")),IF(OR(ISNUMBER(SEARCH("full",AQ21)),UPPER(TRIM(AQ21))="FT",UPPER(TRIM(AQ21))="FTE"),"FT",IF(AND(OR(ISNUMBER(SEARCH("part",AQ21)),UPPER(TRIM(AQ21))="PT",UPPER(TRIM(AQ21))="PTE"),Apply2026="Yes",OR($P21="",N($P21)&gt;=PT_MinHours)),"PT","None"))))</f>
        <v/>
      </c>
      <c r="AU21" s="16" t="str">
        <f aca="false">IF(AK21=0,"",IF(AM21&lt;2,"",IF(OR(ISNUMBER(SEARCH("full",AR21)),UPPER(TRIM(AR21))="FT",UPPER(TRIM(AR21))="FTE"),"FT",IF(AND(OR(ISNUMBER(SEARCH("part",AR21)),UPPER(TRIM(AR21))="PT",UPPER(TRIM(AR21))="PTE"),Apply2026="Yes",OR($P21="",N($P21)&gt;=PT_MinHours)),"PT","None"))))</f>
        <v/>
      </c>
      <c r="AV21" s="16" t="str">
        <f aca="false">IF(AK21=0,"",IF(AM21&lt;3,"",IF(OR(ISNUMBER(SEARCH("full",AS21)),UPPER(TRIM(AS21))="FT",UPPER(TRIM(AS21))="FTE"),"FT",IF(AND(OR(ISNUMBER(SEARCH("part",AS21)),UPPER(TRIM(AS21))="PT",UPPER(TRIM(AS21))="PTE"),Apply2026="Yes",OR($P21="",N($P21)&gt;=PT_MinHours)),"PT","None"))))</f>
        <v/>
      </c>
      <c r="AW21" s="16" t="str">
        <f aca="false">IF(AK21=0,"",IF(AND(AM21&gt;=3,AP21&lt;=AsOfDate),AV21,IF(AND(AM21&gt;=2,AO21&lt;=AsOfDate),AU21,AT21)))</f>
        <v/>
      </c>
      <c r="AX21" s="16" t="str">
        <f aca="false">IF(AK21=0,"",IF(AsOfDate&lt;AL21,-1,12*(YEAR(AsOfDate)-YEAR(AL21))+MONTH(AsOfDate)-MONTH(AL21)-IF(DAY(AsOfDate)&lt;MIN(DAY(AL21),DAY(EOMONTH(AsOfDate,0))),1,0)))</f>
        <v/>
      </c>
      <c r="AY21" s="16" t="str">
        <f aca="false">IF(AK21=0,"",IF(OR(AM21&lt;2,AO21&gt;AsOfDate),AX21,IF((AO21-1)&lt;AL21,-1,12*(YEAR((AO21-1))-YEAR(AL21))+MONTH((AO21-1))-MONTH(AL21)-IF(DAY((AO21-1))&lt;MIN(DAY(AL21),DAY(EOMONTH((AO21-1),0))),1,0))))</f>
        <v/>
      </c>
      <c r="AZ21" s="16" t="str">
        <f aca="false">IF(AK21=0,"",IF(OR(AM21&lt;3,AP21&gt;AsOfDate),AX21,IF((AP21-1)&lt;AL21,-1,12*(YEAR((AP21-1))-YEAR(AL21))+MONTH((AP21-1))-MONTH(AL21)-IF(DAY((AP21-1))&lt;MIN(DAY(AL21),DAY(EOMONTH((AP21-1),0))),1,0))))</f>
        <v/>
      </c>
      <c r="BA21" s="16" t="str">
        <f aca="false">IF(AK21=0,"",IF(PFYDate&lt;AL21,-1,12*(YEAR(PFYDate)-YEAR(AL21))+MONTH(PFYDate)-MONTH(AL21)-IF(DAY(PFYDate)&lt;MIN(DAY(AL21),DAY(EOMONTH(PFYDate,0))),1,0)))</f>
        <v/>
      </c>
      <c r="BB21" s="16" t="str">
        <f aca="false">IF(AK21=0,"",IF(OR(AM21&lt;2,AO21&gt;PFYDate),BA21,IF((AO21-1)&lt;AL21,-1,12*(YEAR((AO21-1))-YEAR(AL21))+MONTH((AO21-1))-MONTH(AL21)-IF(DAY((AO21-1))&lt;MIN(DAY(AL21),DAY(EOMONTH((AO21-1),0))),1,0))))</f>
        <v/>
      </c>
      <c r="BC21" s="16" t="str">
        <f aca="false">IF(AK21=0,"",IF(OR(AM21&lt;3,AP21&gt;PFYDate),BA21,IF((AP21-1)&lt;AL21,-1,12*(YEAR((AP21-1))-YEAR(AL21))+MONTH((AP21-1))-MONTH(AL21)-IF(DAY((AP21-1))&lt;MIN(DAY(AL21),DAY(EOMONTH((AP21-1),0))),1,0))))</f>
        <v/>
      </c>
      <c r="BD21" s="16" t="str">
        <f aca="false">IF(AK21=0,"",IF(AT21="FT",IF(AY21&lt;FT_First,0,IF(AY21&lt;FT_Y5,1+INT((AY21-FT_First)/FT_Int1),FT_PreY5+FT_PerYear*INT((AY21-FT_Y5)/12)+FT_AnnivDays+INT(MOD(AY21-FT_Y5,12)/FT_Int2)-IF(EDATE(AL21,FT_Y5)&lt;PolicyEff,FT_AnnivDays-1,0))),IF(AT21="PT",IF(AY21&lt;PT_First,0,1+INT((AY21-PT_First)/PT_Int)),0))+IF(AND(AM21&gt;=2,AO21&lt;=AsOfDate),IF(AU21="FT",IF(AZ21&lt;FT_First,0,IF(AZ21&lt;FT_Y5,1+INT((AZ21-FT_First)/FT_Int1),FT_PreY5+FT_PerYear*INT((AZ21-FT_Y5)/12)+FT_AnnivDays+INT(MOD(AZ21-FT_Y5,12)/FT_Int2)-IF(EDATE(AL21,FT_Y5)&lt;PolicyEff,FT_AnnivDays-1,0))),IF(AU21="PT",IF(AZ21&lt;PT_First,0,1+INT((AZ21-PT_First)/PT_Int)),0))-IF(AU21="FT",IF(AY21&lt;FT_First,0,IF(AY21&lt;FT_Y5,1+INT((AY21-FT_First)/FT_Int1),FT_PreY5+FT_PerYear*INT((AY21-FT_Y5)/12)+FT_AnnivDays+INT(MOD(AY21-FT_Y5,12)/FT_Int2)-IF(EDATE(AL21,FT_Y5)&lt;PolicyEff,FT_AnnivDays-1,0))),IF(AU21="PT",IF(AY21&lt;PT_First,0,1+INT((AY21-PT_First)/PT_Int)),0)),0)+IF(AND(AM21&gt;=3,AP21&lt;=AsOfDate),IF(AV21="FT",IF(AX21&lt;FT_First,0,IF(AX21&lt;FT_Y5,1+INT((AX21-FT_First)/FT_Int1),FT_PreY5+FT_PerYear*INT((AX21-FT_Y5)/12)+FT_AnnivDays+INT(MOD(AX21-FT_Y5,12)/FT_Int2)-IF(EDATE(AL21,FT_Y5)&lt;PolicyEff,FT_AnnivDays-1,0))),IF(AV21="PT",IF(AX21&lt;PT_First,0,1+INT((AX21-PT_First)/PT_Int)),0))-IF(AV21="FT",IF(AZ21&lt;FT_First,0,IF(AZ21&lt;FT_Y5,1+INT((AZ21-FT_First)/FT_Int1),FT_PreY5+FT_PerYear*INT((AZ21-FT_Y5)/12)+FT_AnnivDays+INT(MOD(AZ21-FT_Y5,12)/FT_Int2)-IF(EDATE(AL21,FT_Y5)&lt;PolicyEff,FT_AnnivDays-1,0))),IF(AV21="PT",IF(AZ21&lt;PT_First,0,1+INT((AZ21-PT_First)/PT_Int)),0)),0))</f>
        <v/>
      </c>
      <c r="BE21" s="16" t="str">
        <f aca="false">IF(AK21=0,"",IF(AT21="FT",IF(BB21&lt;FT_First,0,IF(BB21&lt;FT_Y5,1+INT((BB21-FT_First)/FT_Int1),FT_PreY5+FT_PerYear*INT((BB21-FT_Y5)/12)+FT_AnnivDays+INT(MOD(BB21-FT_Y5,12)/FT_Int2)-IF(EDATE(AL21,FT_Y5)&lt;PolicyEff,FT_AnnivDays-1,0))),IF(AT21="PT",IF(BB21&lt;PT_First,0,1+INT((BB21-PT_First)/PT_Int)),0))+IF(AND(AM21&gt;=2,AO21&lt;=PFYDate),IF(AU21="FT",IF(BC21&lt;FT_First,0,IF(BC21&lt;FT_Y5,1+INT((BC21-FT_First)/FT_Int1),FT_PreY5+FT_PerYear*INT((BC21-FT_Y5)/12)+FT_AnnivDays+INT(MOD(BC21-FT_Y5,12)/FT_Int2)-IF(EDATE(AL21,FT_Y5)&lt;PolicyEff,FT_AnnivDays-1,0))),IF(AU21="PT",IF(BC21&lt;PT_First,0,1+INT((BC21-PT_First)/PT_Int)),0))-IF(AU21="FT",IF(BB21&lt;FT_First,0,IF(BB21&lt;FT_Y5,1+INT((BB21-FT_First)/FT_Int1),FT_PreY5+FT_PerYear*INT((BB21-FT_Y5)/12)+FT_AnnivDays+INT(MOD(BB21-FT_Y5,12)/FT_Int2)-IF(EDATE(AL21,FT_Y5)&lt;PolicyEff,FT_AnnivDays-1,0))),IF(AU21="PT",IF(BB21&lt;PT_First,0,1+INT((BB21-PT_First)/PT_Int)),0)),0)+IF(AND(AM21&gt;=3,AP21&lt;=PFYDate),IF(AV21="FT",IF(BA21&lt;FT_First,0,IF(BA21&lt;FT_Y5,1+INT((BA21-FT_First)/FT_Int1),FT_PreY5+FT_PerYear*INT((BA21-FT_Y5)/12)+FT_AnnivDays+INT(MOD(BA21-FT_Y5,12)/FT_Int2)-IF(EDATE(AL21,FT_Y5)&lt;PolicyEff,FT_AnnivDays-1,0))),IF(AV21="PT",IF(BA21&lt;PT_First,0,1+INT((BA21-PT_First)/PT_Int)),0))-IF(AV21="FT",IF(BC21&lt;FT_First,0,IF(BC21&lt;FT_Y5,1+INT((BC21-FT_First)/FT_Int1),FT_PreY5+FT_PerYear*INT((BC21-FT_Y5)/12)+FT_AnnivDays+INT(MOD(BC21-FT_Y5,12)/FT_Int2)-IF(EDATE(AL21,FT_Y5)&lt;PolicyEff,FT_AnnivDays-1,0))),IF(AV21="PT",IF(BC21&lt;PT_First,0,1+INT((BC21-PT_First)/PT_Int)),0)),0))</f>
        <v/>
      </c>
      <c r="BF21" s="16" t="str">
        <f aca="false">IF(AK21=0,"",IF(AW21="FT",IF(AX21&lt;FT_First,FT_First,IF(AX21&lt;FT_Y5,MIN(FT_Y5,FT_First+FT_Int1*(INT((AX21-FT_First)/FT_Int1)+1)),FT_Y5+12*INT((AX21-FT_Y5)/12)+FT_Int2*(INT(MOD(AX21-FT_Y5,12)/FT_Int2)+1))),IF(AW21="PT",IF(AX21&lt;PT_First,PT_First,PT_First+PT_Int*(INT((AX21-PT_First)/PT_Int)+1)),"")))</f>
        <v/>
      </c>
      <c r="BG21" s="16" t="str">
        <f aca="false">IF(AK21=0,"",IF(NOT(LH_Ready),0,COUNTIFS(INDEX(LH_Data,0,LH_ColFirst),$A21,INDEX(LH_Data,0,LH_ColSur),$B21,INDEX(LH_Data,0,LH_ColCat),BonusCat)))</f>
        <v/>
      </c>
      <c r="BH21" s="16" t="str">
        <f aca="false">IF(AK21=0,"",IF(OR(NOT(LH_Ready),BG21=0),0,SUMPRODUCT(MAX((INDEX(LH_Data,0,LH_ColFirst)=$A21)*(INDEX(LH_Data,0,LH_ColSur)=$B21)*(INDEX(LH_Data,0,LH_ColCat)=BonusCat)*ROW(LH_Data)))))</f>
        <v/>
      </c>
      <c r="BI21" s="16" t="str">
        <f aca="false">IF(AK21=0,"",IF(EOMONTH(AsOfDate,-1)&lt;AL21,-1,12*(YEAR(EOMONTH(AsOfDate,-1))-YEAR(AL21))+MONTH(EOMONTH(AsOfDate,-1))-MONTH(AL21)-IF(DAY(EOMONTH(AsOfDate,-1))&lt;MIN(DAY(AL21),DAY(EOMONTH(EOMONTH(AsOfDate,-1),0))),1,0)))</f>
        <v/>
      </c>
      <c r="BJ21" s="16" t="str">
        <f aca="false">IF(AK21=0,"",IF(OR(AM21&lt;2,AO21&gt;EOMONTH(AsOfDate,-1)),BI21,IF((AO21-1)&lt;AL21,-1,12*(YEAR((AO21-1))-YEAR(AL21))+MONTH((AO21-1))-MONTH(AL21)-IF(DAY((AO21-1))&lt;MIN(DAY(AL21),DAY(EOMONTH((AO21-1),0))),1,0))))</f>
        <v/>
      </c>
      <c r="BK21" s="16" t="str">
        <f aca="false">IF(AK21=0,"",IF(OR(AM21&lt;3,AP21&gt;EOMONTH(AsOfDate,-1)),BI21,IF((AP21-1)&lt;AL21,-1,12*(YEAR((AP21-1))-YEAR(AL21))+MONTH((AP21-1))-MONTH(AL21)-IF(DAY((AP21-1))&lt;MIN(DAY(AL21),DAY(EOMONTH((AP21-1),0))),1,0))))</f>
        <v/>
      </c>
      <c r="BL21" s="16" t="str">
        <f aca="false">IF(AK21=0,"",IF(AT21="FT",IF(BJ21&lt;FT_First,0,IF(BJ21&lt;FT_Y5,1+INT((BJ21-FT_First)/FT_Int1),FT_PreY5+FT_PerYear*INT((BJ21-FT_Y5)/12)+FT_AnnivDays+INT(MOD(BJ21-FT_Y5,12)/FT_Int2)-IF(EDATE(AL21,FT_Y5)&lt;PolicyEff,FT_AnnivDays-1,0))),IF(AT21="PT",IF(BJ21&lt;PT_First,0,1+INT((BJ21-PT_First)/PT_Int)),0))+IF(AND(AM21&gt;=2,AO21&lt;=EOMONTH(AsOfDate,-1)),IF(AU21="FT",IF(BK21&lt;FT_First,0,IF(BK21&lt;FT_Y5,1+INT((BK21-FT_First)/FT_Int1),FT_PreY5+FT_PerYear*INT((BK21-FT_Y5)/12)+FT_AnnivDays+INT(MOD(BK21-FT_Y5,12)/FT_Int2)-IF(EDATE(AL21,FT_Y5)&lt;PolicyEff,FT_AnnivDays-1,0))),IF(AU21="PT",IF(BK21&lt;PT_First,0,1+INT((BK21-PT_First)/PT_Int)),0))-IF(AU21="FT",IF(BJ21&lt;FT_First,0,IF(BJ21&lt;FT_Y5,1+INT((BJ21-FT_First)/FT_Int1),FT_PreY5+FT_PerYear*INT((BJ21-FT_Y5)/12)+FT_AnnivDays+INT(MOD(BJ21-FT_Y5,12)/FT_Int2)-IF(EDATE(AL21,FT_Y5)&lt;PolicyEff,FT_AnnivDays-1,0))),IF(AU21="PT",IF(BJ21&lt;PT_First,0,1+INT((BJ21-PT_First)/PT_Int)),0)),0)+IF(AND(AM21&gt;=3,AP21&lt;=EOMONTH(AsOfDate,-1)),IF(AV21="FT",IF(BI21&lt;FT_First,0,IF(BI21&lt;FT_Y5,1+INT((BI21-FT_First)/FT_Int1),FT_PreY5+FT_PerYear*INT((BI21-FT_Y5)/12)+FT_AnnivDays+INT(MOD(BI21-FT_Y5,12)/FT_Int2)-IF(EDATE(AL21,FT_Y5)&lt;PolicyEff,FT_AnnivDays-1,0))),IF(AV21="PT",IF(BI21&lt;PT_First,0,1+INT((BI21-PT_First)/PT_Int)),0))-IF(AV21="FT",IF(BK21&lt;FT_First,0,IF(BK21&lt;FT_Y5,1+INT((BK21-FT_First)/FT_Int1),FT_PreY5+FT_PerYear*INT((BK21-FT_Y5)/12)+FT_AnnivDays+INT(MOD(BK21-FT_Y5,12)/FT_Int2)-IF(EDATE(AL21,FT_Y5)&lt;PolicyEff,FT_AnnivDays-1,0))),IF(AV21="PT",IF(BK21&lt;PT_First,0,1+INT((BK21-PT_First)/PT_Int)),0)),0))</f>
        <v/>
      </c>
      <c r="BM21" s="16" t="str">
        <f aca="false">IF(AK21=0,"",IF(AW21="FT",IF(AX21&lt;FT_First,"",IF(AX21&lt;FT_Y5,FT_First+FT_Int1*INT((AX21-FT_First)/FT_Int1),FT_Y5+FT_Int2*INT((AX21-FT_Y5)/FT_Int2))),IF(AW21="PT",IF(AX21&lt;PT_First,"",PT_First+PT_Int*INT((AX21-PT_First)/PT_Int)),"")))</f>
        <v/>
      </c>
      <c r="BN21" s="16" t="str">
        <f aca="false">IF(AK21=0,"",IF((SchemeStart-1)&lt;AL21,-1,12*(YEAR((SchemeStart-1))-YEAR(AL21))+MONTH((SchemeStart-1))-MONTH(AL21)-IF(DAY((SchemeStart-1))&lt;MIN(DAY(AL21),DAY(EOMONTH((SchemeStart-1),0))),1,0)))</f>
        <v/>
      </c>
      <c r="BO21" s="16" t="str">
        <f aca="false">IF(AK21=0,"",IF(OR(AM21&lt;2,AO21&gt;(SchemeStart-1)),BN21,IF((AO21-1)&lt;AL21,-1,12*(YEAR((AO21-1))-YEAR(AL21))+MONTH((AO21-1))-MONTH(AL21)-IF(DAY((AO21-1))&lt;MIN(DAY(AL21),DAY(EOMONTH((AO21-1),0))),1,0))))</f>
        <v/>
      </c>
      <c r="BP21" s="16" t="str">
        <f aca="false">IF(AK21=0,"",IF(OR(AM21&lt;3,AP21&gt;(SchemeStart-1)),BN21,IF((AP21-1)&lt;AL21,-1,12*(YEAR((AP21-1))-YEAR(AL21))+MONTH((AP21-1))-MONTH(AL21)-IF(DAY((AP21-1))&lt;MIN(DAY(AL21),DAY(EOMONTH((AP21-1),0))),1,0))))</f>
        <v/>
      </c>
      <c r="BQ21" s="16" t="str">
        <f aca="false">IF(AK21=0,"",IF(AT21="FT",IF(BO21&lt;FT_First,0,IF(BO21&lt;FT_Y5,1+INT((BO21-FT_First)/FT_Int1),FT_PreY5+FT_PerYear*INT((BO21-FT_Y5)/12)+FT_AnnivDays+INT(MOD(BO21-FT_Y5,12)/FT_Int2)-IF(EDATE(AL21,FT_Y5)&lt;PolicyEff,FT_AnnivDays-1,0))),IF(AT21="PT",IF(BO21&lt;PT_First,0,1+INT((BO21-PT_First)/PT_Int)),0))+IF(AND(AM21&gt;=2,AO21&lt;=(SchemeStart-1)),IF(AU21="FT",IF(BP21&lt;FT_First,0,IF(BP21&lt;FT_Y5,1+INT((BP21-FT_First)/FT_Int1),FT_PreY5+FT_PerYear*INT((BP21-FT_Y5)/12)+FT_AnnivDays+INT(MOD(BP21-FT_Y5,12)/FT_Int2)-IF(EDATE(AL21,FT_Y5)&lt;PolicyEff,FT_AnnivDays-1,0))),IF(AU21="PT",IF(BP21&lt;PT_First,0,1+INT((BP21-PT_First)/PT_Int)),0))-IF(AU21="FT",IF(BO21&lt;FT_First,0,IF(BO21&lt;FT_Y5,1+INT((BO21-FT_First)/FT_Int1),FT_PreY5+FT_PerYear*INT((BO21-FT_Y5)/12)+FT_AnnivDays+INT(MOD(BO21-FT_Y5,12)/FT_Int2)-IF(EDATE(AL21,FT_Y5)&lt;PolicyEff,FT_AnnivDays-1,0))),IF(AU21="PT",IF(BO21&lt;PT_First,0,1+INT((BO21-PT_First)/PT_Int)),0)),0)+IF(AND(AM21&gt;=3,AP21&lt;=(SchemeStart-1)),IF(AV21="FT",IF(BN21&lt;FT_First,0,IF(BN21&lt;FT_Y5,1+INT((BN21-FT_First)/FT_Int1),FT_PreY5+FT_PerYear*INT((BN21-FT_Y5)/12)+FT_AnnivDays+INT(MOD(BN21-FT_Y5,12)/FT_Int2)-IF(EDATE(AL21,FT_Y5)&lt;PolicyEff,FT_AnnivDays-1,0))),IF(AV21="PT",IF(BN21&lt;PT_First,0,1+INT((BN21-PT_First)/PT_Int)),0))-IF(AV21="FT",IF(BP21&lt;FT_First,0,IF(BP21&lt;FT_Y5,1+INT((BP21-FT_First)/FT_Int1),FT_PreY5+FT_PerYear*INT((BP21-FT_Y5)/12)+FT_AnnivDays+INT(MOD(BP21-FT_Y5,12)/FT_Int2)-IF(EDATE(AL21,FT_Y5)&lt;PolicyEff,FT_AnnivDays-1,0))),IF(AV21="PT",IF(BP21&lt;PT_First,0,1+INT((BP21-PT_First)/PT_Int)),0)),0))</f>
        <v/>
      </c>
      <c r="BR21" s="0" t="str">
        <f aca="false">IF(LEN($A21&amp;$B21)=0,"",$A21&amp;" "&amp;$B21)</f>
        <v/>
      </c>
    </row>
    <row r="22" customFormat="false" ht="15" hidden="false" customHeight="false" outlineLevel="0" collapsed="false">
      <c r="A22" s="12"/>
      <c r="B22" s="12"/>
      <c r="C22" s="12"/>
      <c r="D22" s="13"/>
      <c r="E22" s="14" t="str">
        <f aca="false">IF(OR(AK22=0,$D22=""),"",DATE(YEAR(AsOfDate)+IF(DATE(YEAR(AsOfDate),MONTH($D22),DAY($D22))&lt;=AsOfDate,1,0),MONTH($D22),DAY($D22)))</f>
        <v/>
      </c>
      <c r="F22" s="13"/>
      <c r="G22" s="13"/>
      <c r="H22" s="13"/>
      <c r="I22" s="13"/>
      <c r="J22" s="13"/>
      <c r="K22" s="14" t="str">
        <f aca="false">IF(AK22=0,"",DATE(YEAR(AsOfDate)+IF(DATE(YEAR(AsOfDate),MONTH(AL22),DAY(AL22))&lt;=AsOfDate,1,0),MONTH(AL22),DAY(AL22)))</f>
        <v/>
      </c>
      <c r="L22" s="15" t="str">
        <f aca="false">IF(AK22=0,"",ROUND((AsOfDate-AL22)/365.25,1))</f>
        <v/>
      </c>
      <c r="M22" s="16" t="str">
        <f aca="false">IF(AK22=0,"",IF(AsOfDate&lt;AL22,"-",DATEDIF(AL22,AsOfDate,"y")&amp;"y "&amp;DATEDIF(AL22,AsOfDate,"ym")&amp;"m "&amp;DATEDIF(AL22,AsOfDate,"md")&amp;"d"))</f>
        <v/>
      </c>
      <c r="N22" s="17" t="str">
        <f aca="false">IF(AK22=0,"",O22*HoursPerDay)</f>
        <v/>
      </c>
      <c r="O22" s="17" t="str">
        <f aca="false">IF(AK22=0,"",MAX(0,BD22-BQ22))</f>
        <v/>
      </c>
      <c r="P22" s="18"/>
      <c r="Q22" s="16" t="str">
        <f aca="false">IF(AK22=0,"",IF(AM22&lt;2,"",AQ22&amp;" to "&amp;AR22&amp;" on "&amp;TEXT(AO22,"dd/mm/yyyy")&amp;IF(AO22&gt;AsOfDate," (future)",IF(AT22=AU22,"",IF(AU22="None"," - STOPPED accruing",IF(AT22="None"," - commencement for Bonus Leave"," - pathway changed"))))&amp;IF(AM22&lt;3,"","; "&amp;AR22&amp;" to "&amp;AS22&amp;" on "&amp;TEXT(AP22,"dd/mm/yyyy")&amp;IF(AP22&gt;AsOfDate," (future)",IF(AU22=AV22,"",IF(AV22="None"," - STOPPED accruing",IF(AU22="None"," - commencement for Bonus Leave"," - pathway changed")))))))</f>
        <v/>
      </c>
      <c r="R22" s="16" t="str">
        <f aca="false">IF(AK22=0,"",IF(AW22="None",IF(O22&gt;0,"No longer accruing","Not eligible - "&amp;IF(AND(OR(ISNUMBER(SEARCH("part",$C22)),UPPER(TRIM($C22))="PT",UPPER(TRIM($C22))="PTE"),Apply2026="No"),"part-time (scheme is full-time only)",IF(AND(OR(ISNUMBER(SEARCH("part",$C22)),UPPER(TRIM($C22))="PT",UPPER(TRIM($C22))="PTE"),$P22&lt;&gt;"",N($P22)&lt;PT_MinHours),"under "&amp;PT_MinHours&amp;" hrs",IF(IF($C22="","",IF(OR(ISNUMBER(SEARCH("full",$C22)),UPPER(TRIM($C22))="FT",UPPER(TRIM($C22))="FTE"),"Full-Time",IF(OR(ISNUMBER(SEARCH("part",$C22)),UPPER(TRIM($C22))="PT",UPPER(TRIM($C22))="PTE"),"Part-Time",IF(OR(ISNUMBER(SEARCH("cas",$C22)),UPPER(TRIM($C22))="CAS"),"Casual","Unknown"))))="Unknown","type not recognised",$C22)))),IF(O22&gt;0,"Yes - Accrual Required","Not yet - from "&amp;TEXT(S22,"dd/mm/yyyy"))))</f>
        <v/>
      </c>
      <c r="S22" s="14" t="str">
        <f aca="false">IF(AK22=0,"",IF(AW22="None","",EDATE(AL22,BF22)))</f>
        <v/>
      </c>
      <c r="T22" s="17" t="str">
        <f aca="false">IF(AK22=0,"",IF(NOT(LH_Ready),"",IF($F22&gt;PFYDate,0,IF(LH_ColPeriod=0,W22-U22+V22,SUMIFS(INDEX(LH_Data,0,LH_ColAcc),INDEX(LH_Data,0,LH_ColFirst),$A22,INDEX(LH_Data,0,LH_ColSur),$B22,INDEX(LH_Data,0,LH_ColCat),BonusCat,INDEX(LH_Data,0,LH_ColPeriod),LH_OpenLabel)*UnitFactor))))</f>
        <v/>
      </c>
      <c r="U22" s="17" t="str">
        <f aca="false">IF(AK22=0,"",IF(NOT(LH_Ready),"",SUMIFS(INDEX(LH_Data,0,LH_ColAcc),INDEX(LH_Data,0,LH_ColFirst),$A22,INDEX(LH_Data,0,LH_ColSur),$B22,INDEX(LH_Data,0,LH_ColCat),BonusCat,INDEX(LH_Data,0,LH_ColStart),"&gt;="&amp;AL22)*UnitFactor))</f>
        <v/>
      </c>
      <c r="V22" s="17" t="str">
        <f aca="false">IF(AK22=0,"",IF(NOT(LH_Ready),"",SUMIFS(INDEX(LH_Data,0,LH_ColTaken),INDEX(LH_Data,0,LH_ColFirst),$A22,INDEX(LH_Data,0,LH_ColSur),$B22,INDEX(LH_Data,0,LH_ColCat),BonusCat,INDEX(LH_Data,0,LH_ColStart),"&gt;="&amp;AL22)*UnitFactor))</f>
        <v/>
      </c>
      <c r="W22" s="17" t="str">
        <f aca="false">IF(AK22=0,"",IF(NOT(LH_Ready),"",IF(BH22=0,0,INDEX(INDEX(LH_Data,0,LH_ColClose),BH22-1)*UnitFactor)))</f>
        <v/>
      </c>
      <c r="X22" s="17" t="str">
        <f aca="false">IF(AK22=0,"",(MAX(0,BD22-BQ22)-MAX(0,BE22-BQ22))*HoursPerDay)</f>
        <v/>
      </c>
      <c r="Y22" s="17" t="str">
        <f aca="false">IF(AK22=0,"",IF(NOT(LH_Ready),"",IF($AI22="Yes",N(AE22)*HoursPerDay-SUMIFS(INDEX(LH_Data,0,LH_ColAcc),INDEX(LH_Data,0,LH_ColFirst),$A22,INDEX(LH_Data,0,LH_ColSur),$B22,INDEX(LH_Data,0,LH_ColCat),BonusCat,INDEX(LH_Data,0,LH_ColStart),"&gt;="&amp;(EOMONTH(AsOfDate,-1)+1),INDEX(LH_Data,0,LH_ColStart),"&lt;="&amp;AsOfDate)*UnitFactor,IF(BG22=0,N22,N22-N(T22)-N(U22)))))</f>
        <v/>
      </c>
      <c r="Z22" s="16" t="str">
        <f aca="false">IF(OR(AK22=0,Y22=""),"",IF(Y22&gt;0,"Yes","No"))</f>
        <v/>
      </c>
      <c r="AA22" s="16" t="str">
        <f aca="false">IF(AK22=0,IF(LEN($A22&amp;$B22)=0,"","FIX INPUT - StartDate missing"),IF(AD22&lt;&gt;"","FIX INPUT - "&amp;AD22,IF(NOT(LH_Ready),"Paste Leave History export (Settings must show YES)",IF(AND($AI22="Yes",Y22&lt;=0),"OK - EH balance accepted to date"&amp;IF(N(AH22)&gt;0," (EH holds "&amp;AH22&amp;" hrs over the scheme)","")&amp;"; next day "&amp;TEXT(S22,"dd mmm yy")&amp;IF(N(AE22)&gt;0," ("&amp;AE22&amp;" day(s) for "&amp;UPPER(TEXT(AsOfDate,"mmm yyyy"))&amp;" already in EH)",""),IF(Y22&gt;0,"ACCRUE "&amp;ROUND(Y22,2)&amp;" hrs ("&amp;ROUND(Y22/HoursPerDay,2)&amp;" days): "&amp;IF(N(AE22)&gt;0,AE22&amp;" day(s) for "&amp;UPPER(TEXT(AsOfDate,"mmm yyyy"))&amp;" (milestone "&amp;UPPER(TEXT(AF22,"dd mmm yy"))&amp;")"&amp;IF(Y22/HoursPerDay&gt;AE22+0.001," + "&amp;ROUND(Y22/HoursPerDay-AE22,2)&amp;" day(s) catch-up from earlier months",""),"all catch-up from earlier months, nothing new this month")&amp;IF(BG22=0,"; no Bonus Leave in EH yet",""),IF(Y22&lt;0,"CHECK - EH accrued "&amp;ROUND(-Y22,2)&amp;" hrs more than policy since commencement",IF(N(W22)&gt;O22*HoursPerDay+0.01,"CHECK - EH balance "&amp;ROUND(W22-O22*HoursPerDay,2)&amp;" hrs more than policy entitlement",IF(O22&gt;0,"OK - nothing to add"&amp;IF(N(AE22)&gt;0," ("&amp;AE22&amp;" day(s) for "&amp;UPPER(TEXT(AsOfDate,"mmm yyyy"))&amp;" already in EH)",""),IF(AW22="None",R22,"Not yet - first day on "&amp;TEXT(S22,"dd/mm/yyyy"))))))))))</f>
        <v/>
      </c>
      <c r="AB22" s="17" t="str">
        <f aca="false">IF(OR(AK22=0,T22=""),"",MAX(0,BE22-BQ22)*HoursPerDay-T22)</f>
        <v/>
      </c>
      <c r="AC22" s="16" t="str">
        <f aca="false">IF(AK22=0,"",BG22)</f>
        <v/>
      </c>
      <c r="AD22" s="16" t="str">
        <f aca="false">IF(AK22=0,"",TRIM(IF(OR(ISTEXT($F22),ISTEXT($H22),ISTEXT($I22),ISTEXT($G22),ISTEXT($J22),ISTEXT($D22)),"A date is typed as text - retype it as dd/mm/yyyy. ","")&amp;IF(IF($C22="","",IF(OR(ISNUMBER(SEARCH("full",$C22)),UPPER(TRIM($C22))="FT",UPPER(TRIM($C22))="FTE"),"Full-Time",IF(OR(ISNUMBER(SEARCH("part",$C22)),UPPER(TRIM($C22))="PT",UPPER(TRIM($C22))="PTE"),"Part-Time",IF(OR(ISNUMBER(SEARCH("cas",$C22)),UPPER(TRIM($C22))="CAS"),"Casual","Unknown"))))="Unknown","EmploymentType not recognised - use Full-Time, Part-Time or Casual. ","")&amp;IF(AND(AM22&gt;=1,IF(AM22&gt;=3,AS22,IF(AM22=2,AR22,AQ22))&lt;&gt;IF($C22="","",IF(OR(ISNUMBER(SEARCH("full",$C22)),UPPER(TRIM($C22))="FT",UPPER(TRIM($C22))="FTE"),"Full-Time",IF(OR(ISNUMBER(SEARCH("part",$C22)),UPPER(TRIM($C22))="PT",UPPER(TRIM($C22))="PTE"),"Part-Time",IF(OR(ISNUMBER(SEARCH("cas",$C22)),UPPER(TRIM($C22))="CAS"),"Casual","Unknown"))))),"EmploymentType does not match latest start date ("&amp;IF(AM22&gt;=3,AS22,IF(AM22=2,AR22,AQ22))&amp;"). ","")&amp;IF(AND(AM22&gt;=1,AN22&lt;&gt;$F22),"Earliest type date should equal StartDate. ","")&amp;IF(AND(AM22&gt;=2,AN22=AO22),"Two types start on the same date. ","")&amp;IF(AND(OR(ISNUMBER(SEARCH("part",$C22)),UPPER(TRIM($C22))="PT",UPPER(TRIM($C22))="PTE"),$P22=""),"Part-time: enter PT Hrs/Week (blank = 24+). ","")))</f>
        <v/>
      </c>
      <c r="AE22" s="17" t="str">
        <f aca="false">IF(AK22=0,"",O22-MAX(0,BL22-BQ22))</f>
        <v/>
      </c>
      <c r="AF22" s="14" t="str">
        <f aca="false">IF(OR(AK22=0,AE22="",N(AE22)=0,BM22=""),"",EDATE(AL22,BM22))</f>
        <v/>
      </c>
      <c r="AG22" s="17" t="str">
        <f aca="false">IF(AK22=0,"",MIN(BD22,BQ22))</f>
        <v/>
      </c>
      <c r="AH22" s="17" t="str">
        <f aca="false">IF(AK22=0,"",IF(NOT(LH_Ready),"",IF(BG22=0,0,MAX(0,ROUND(N(T22)+N(U22)-N22,2)))))</f>
        <v/>
      </c>
      <c r="AI22" s="12"/>
      <c r="AJ22" s="12"/>
      <c r="AK22" s="16" t="n">
        <f aca="false">IF(OR(LEN($A22&amp;$B22)=0,$F22=""),0,1)</f>
        <v>0</v>
      </c>
      <c r="AL22" s="14" t="str">
        <f aca="false">IF(AK22=0,"",IF(PreSchemeCounts="No",MAX(SchemeStart,IF($J22&lt;&gt;"",$J22,IF(OR(CasualCounts="Yes",COUNT($G22:$I22)=0),$F22,IF(Apply2026="No",IF($I22="",$F22,$I22),IF(COUNT($H22:$I22)=0,$F22,MIN($H22:$I22)))))),IF($J22&lt;&gt;"",$J22,IF(OR(CasualCounts="Yes",COUNT($G22:$I22)=0),$F22,IF(Apply2026="No",IF($I22="",$F22,$I22),IF(COUNT($H22:$I22)=0,$F22,MIN($H22:$I22)))))))</f>
        <v/>
      </c>
      <c r="AM22" s="16" t="str">
        <f aca="false">IF(AK22=0,"",COUNT($G22:$I22))</f>
        <v/>
      </c>
      <c r="AN22" s="14" t="str">
        <f aca="false">IF(AK22=0,"",IFERROR(SMALL($G22:$I22,1),""))</f>
        <v/>
      </c>
      <c r="AO22" s="14" t="str">
        <f aca="false">IF(AK22=0,"",IFERROR(SMALL($G22:$I22,2),""))</f>
        <v/>
      </c>
      <c r="AP22" s="14" t="str">
        <f aca="false">IF(AK22=0,"",IFERROR(SMALL($G22:$I22,3),""))</f>
        <v/>
      </c>
      <c r="AQ22" s="16" t="str">
        <f aca="false">IF(AK22=0,"",IF(AN22="","",IF(AN22=$H22,"Part-Time",IF(AN22=$I22,"Full-Time","Casual"))))</f>
        <v/>
      </c>
      <c r="AR22" s="16" t="str">
        <f aca="false">IF(AK22=0,"",IF(AO22="","",IF(AO22=$H22,"Part-Time",IF(AO22=$I22,"Full-Time","Casual"))))</f>
        <v/>
      </c>
      <c r="AS22" s="16" t="str">
        <f aca="false">IF(AK22=0,"",IF(AP22="","",IF(AP22=$H22,"Part-Time",IF(AP22=$I22,"Full-Time","Casual"))))</f>
        <v/>
      </c>
      <c r="AT22" s="16" t="str">
        <f aca="false">IF(AK22=0,"",IF(AM22=0,IF(OR(ISNUMBER(SEARCH("full",$C22)),UPPER(TRIM($C22))="FT",UPPER(TRIM($C22))="FTE"),"FT",IF(AND(OR(ISNUMBER(SEARCH("part",$C22)),UPPER(TRIM($C22))="PT",UPPER(TRIM($C22))="PTE"),Apply2026="Yes",OR($P22="",N($P22)&gt;=PT_MinHours)),"PT","None")),IF(OR(ISNUMBER(SEARCH("full",AQ22)),UPPER(TRIM(AQ22))="FT",UPPER(TRIM(AQ22))="FTE"),"FT",IF(AND(OR(ISNUMBER(SEARCH("part",AQ22)),UPPER(TRIM(AQ22))="PT",UPPER(TRIM(AQ22))="PTE"),Apply2026="Yes",OR($P22="",N($P22)&gt;=PT_MinHours)),"PT","None"))))</f>
        <v/>
      </c>
      <c r="AU22" s="16" t="str">
        <f aca="false">IF(AK22=0,"",IF(AM22&lt;2,"",IF(OR(ISNUMBER(SEARCH("full",AR22)),UPPER(TRIM(AR22))="FT",UPPER(TRIM(AR22))="FTE"),"FT",IF(AND(OR(ISNUMBER(SEARCH("part",AR22)),UPPER(TRIM(AR22))="PT",UPPER(TRIM(AR22))="PTE"),Apply2026="Yes",OR($P22="",N($P22)&gt;=PT_MinHours)),"PT","None"))))</f>
        <v/>
      </c>
      <c r="AV22" s="16" t="str">
        <f aca="false">IF(AK22=0,"",IF(AM22&lt;3,"",IF(OR(ISNUMBER(SEARCH("full",AS22)),UPPER(TRIM(AS22))="FT",UPPER(TRIM(AS22))="FTE"),"FT",IF(AND(OR(ISNUMBER(SEARCH("part",AS22)),UPPER(TRIM(AS22))="PT",UPPER(TRIM(AS22))="PTE"),Apply2026="Yes",OR($P22="",N($P22)&gt;=PT_MinHours)),"PT","None"))))</f>
        <v/>
      </c>
      <c r="AW22" s="16" t="str">
        <f aca="false">IF(AK22=0,"",IF(AND(AM22&gt;=3,AP22&lt;=AsOfDate),AV22,IF(AND(AM22&gt;=2,AO22&lt;=AsOfDate),AU22,AT22)))</f>
        <v/>
      </c>
      <c r="AX22" s="16" t="str">
        <f aca="false">IF(AK22=0,"",IF(AsOfDate&lt;AL22,-1,12*(YEAR(AsOfDate)-YEAR(AL22))+MONTH(AsOfDate)-MONTH(AL22)-IF(DAY(AsOfDate)&lt;MIN(DAY(AL22),DAY(EOMONTH(AsOfDate,0))),1,0)))</f>
        <v/>
      </c>
      <c r="AY22" s="16" t="str">
        <f aca="false">IF(AK22=0,"",IF(OR(AM22&lt;2,AO22&gt;AsOfDate),AX22,IF((AO22-1)&lt;AL22,-1,12*(YEAR((AO22-1))-YEAR(AL22))+MONTH((AO22-1))-MONTH(AL22)-IF(DAY((AO22-1))&lt;MIN(DAY(AL22),DAY(EOMONTH((AO22-1),0))),1,0))))</f>
        <v/>
      </c>
      <c r="AZ22" s="16" t="str">
        <f aca="false">IF(AK22=0,"",IF(OR(AM22&lt;3,AP22&gt;AsOfDate),AX22,IF((AP22-1)&lt;AL22,-1,12*(YEAR((AP22-1))-YEAR(AL22))+MONTH((AP22-1))-MONTH(AL22)-IF(DAY((AP22-1))&lt;MIN(DAY(AL22),DAY(EOMONTH((AP22-1),0))),1,0))))</f>
        <v/>
      </c>
      <c r="BA22" s="16" t="str">
        <f aca="false">IF(AK22=0,"",IF(PFYDate&lt;AL22,-1,12*(YEAR(PFYDate)-YEAR(AL22))+MONTH(PFYDate)-MONTH(AL22)-IF(DAY(PFYDate)&lt;MIN(DAY(AL22),DAY(EOMONTH(PFYDate,0))),1,0)))</f>
        <v/>
      </c>
      <c r="BB22" s="16" t="str">
        <f aca="false">IF(AK22=0,"",IF(OR(AM22&lt;2,AO22&gt;PFYDate),BA22,IF((AO22-1)&lt;AL22,-1,12*(YEAR((AO22-1))-YEAR(AL22))+MONTH((AO22-1))-MONTH(AL22)-IF(DAY((AO22-1))&lt;MIN(DAY(AL22),DAY(EOMONTH((AO22-1),0))),1,0))))</f>
        <v/>
      </c>
      <c r="BC22" s="16" t="str">
        <f aca="false">IF(AK22=0,"",IF(OR(AM22&lt;3,AP22&gt;PFYDate),BA22,IF((AP22-1)&lt;AL22,-1,12*(YEAR((AP22-1))-YEAR(AL22))+MONTH((AP22-1))-MONTH(AL22)-IF(DAY((AP22-1))&lt;MIN(DAY(AL22),DAY(EOMONTH((AP22-1),0))),1,0))))</f>
        <v/>
      </c>
      <c r="BD22" s="16" t="str">
        <f aca="false">IF(AK22=0,"",IF(AT22="FT",IF(AY22&lt;FT_First,0,IF(AY22&lt;FT_Y5,1+INT((AY22-FT_First)/FT_Int1),FT_PreY5+FT_PerYear*INT((AY22-FT_Y5)/12)+FT_AnnivDays+INT(MOD(AY22-FT_Y5,12)/FT_Int2)-IF(EDATE(AL22,FT_Y5)&lt;PolicyEff,FT_AnnivDays-1,0))),IF(AT22="PT",IF(AY22&lt;PT_First,0,1+INT((AY22-PT_First)/PT_Int)),0))+IF(AND(AM22&gt;=2,AO22&lt;=AsOfDate),IF(AU22="FT",IF(AZ22&lt;FT_First,0,IF(AZ22&lt;FT_Y5,1+INT((AZ22-FT_First)/FT_Int1),FT_PreY5+FT_PerYear*INT((AZ22-FT_Y5)/12)+FT_AnnivDays+INT(MOD(AZ22-FT_Y5,12)/FT_Int2)-IF(EDATE(AL22,FT_Y5)&lt;PolicyEff,FT_AnnivDays-1,0))),IF(AU22="PT",IF(AZ22&lt;PT_First,0,1+INT((AZ22-PT_First)/PT_Int)),0))-IF(AU22="FT",IF(AY22&lt;FT_First,0,IF(AY22&lt;FT_Y5,1+INT((AY22-FT_First)/FT_Int1),FT_PreY5+FT_PerYear*INT((AY22-FT_Y5)/12)+FT_AnnivDays+INT(MOD(AY22-FT_Y5,12)/FT_Int2)-IF(EDATE(AL22,FT_Y5)&lt;PolicyEff,FT_AnnivDays-1,0))),IF(AU22="PT",IF(AY22&lt;PT_First,0,1+INT((AY22-PT_First)/PT_Int)),0)),0)+IF(AND(AM22&gt;=3,AP22&lt;=AsOfDate),IF(AV22="FT",IF(AX22&lt;FT_First,0,IF(AX22&lt;FT_Y5,1+INT((AX22-FT_First)/FT_Int1),FT_PreY5+FT_PerYear*INT((AX22-FT_Y5)/12)+FT_AnnivDays+INT(MOD(AX22-FT_Y5,12)/FT_Int2)-IF(EDATE(AL22,FT_Y5)&lt;PolicyEff,FT_AnnivDays-1,0))),IF(AV22="PT",IF(AX22&lt;PT_First,0,1+INT((AX22-PT_First)/PT_Int)),0))-IF(AV22="FT",IF(AZ22&lt;FT_First,0,IF(AZ22&lt;FT_Y5,1+INT((AZ22-FT_First)/FT_Int1),FT_PreY5+FT_PerYear*INT((AZ22-FT_Y5)/12)+FT_AnnivDays+INT(MOD(AZ22-FT_Y5,12)/FT_Int2)-IF(EDATE(AL22,FT_Y5)&lt;PolicyEff,FT_AnnivDays-1,0))),IF(AV22="PT",IF(AZ22&lt;PT_First,0,1+INT((AZ22-PT_First)/PT_Int)),0)),0))</f>
        <v/>
      </c>
      <c r="BE22" s="16" t="str">
        <f aca="false">IF(AK22=0,"",IF(AT22="FT",IF(BB22&lt;FT_First,0,IF(BB22&lt;FT_Y5,1+INT((BB22-FT_First)/FT_Int1),FT_PreY5+FT_PerYear*INT((BB22-FT_Y5)/12)+FT_AnnivDays+INT(MOD(BB22-FT_Y5,12)/FT_Int2)-IF(EDATE(AL22,FT_Y5)&lt;PolicyEff,FT_AnnivDays-1,0))),IF(AT22="PT",IF(BB22&lt;PT_First,0,1+INT((BB22-PT_First)/PT_Int)),0))+IF(AND(AM22&gt;=2,AO22&lt;=PFYDate),IF(AU22="FT",IF(BC22&lt;FT_First,0,IF(BC22&lt;FT_Y5,1+INT((BC22-FT_First)/FT_Int1),FT_PreY5+FT_PerYear*INT((BC22-FT_Y5)/12)+FT_AnnivDays+INT(MOD(BC22-FT_Y5,12)/FT_Int2)-IF(EDATE(AL22,FT_Y5)&lt;PolicyEff,FT_AnnivDays-1,0))),IF(AU22="PT",IF(BC22&lt;PT_First,0,1+INT((BC22-PT_First)/PT_Int)),0))-IF(AU22="FT",IF(BB22&lt;FT_First,0,IF(BB22&lt;FT_Y5,1+INT((BB22-FT_First)/FT_Int1),FT_PreY5+FT_PerYear*INT((BB22-FT_Y5)/12)+FT_AnnivDays+INT(MOD(BB22-FT_Y5,12)/FT_Int2)-IF(EDATE(AL22,FT_Y5)&lt;PolicyEff,FT_AnnivDays-1,0))),IF(AU22="PT",IF(BB22&lt;PT_First,0,1+INT((BB22-PT_First)/PT_Int)),0)),0)+IF(AND(AM22&gt;=3,AP22&lt;=PFYDate),IF(AV22="FT",IF(BA22&lt;FT_First,0,IF(BA22&lt;FT_Y5,1+INT((BA22-FT_First)/FT_Int1),FT_PreY5+FT_PerYear*INT((BA22-FT_Y5)/12)+FT_AnnivDays+INT(MOD(BA22-FT_Y5,12)/FT_Int2)-IF(EDATE(AL22,FT_Y5)&lt;PolicyEff,FT_AnnivDays-1,0))),IF(AV22="PT",IF(BA22&lt;PT_First,0,1+INT((BA22-PT_First)/PT_Int)),0))-IF(AV22="FT",IF(BC22&lt;FT_First,0,IF(BC22&lt;FT_Y5,1+INT((BC22-FT_First)/FT_Int1),FT_PreY5+FT_PerYear*INT((BC22-FT_Y5)/12)+FT_AnnivDays+INT(MOD(BC22-FT_Y5,12)/FT_Int2)-IF(EDATE(AL22,FT_Y5)&lt;PolicyEff,FT_AnnivDays-1,0))),IF(AV22="PT",IF(BC22&lt;PT_First,0,1+INT((BC22-PT_First)/PT_Int)),0)),0))</f>
        <v/>
      </c>
      <c r="BF22" s="16" t="str">
        <f aca="false">IF(AK22=0,"",IF(AW22="FT",IF(AX22&lt;FT_First,FT_First,IF(AX22&lt;FT_Y5,MIN(FT_Y5,FT_First+FT_Int1*(INT((AX22-FT_First)/FT_Int1)+1)),FT_Y5+12*INT((AX22-FT_Y5)/12)+FT_Int2*(INT(MOD(AX22-FT_Y5,12)/FT_Int2)+1))),IF(AW22="PT",IF(AX22&lt;PT_First,PT_First,PT_First+PT_Int*(INT((AX22-PT_First)/PT_Int)+1)),"")))</f>
        <v/>
      </c>
      <c r="BG22" s="16" t="str">
        <f aca="false">IF(AK22=0,"",IF(NOT(LH_Ready),0,COUNTIFS(INDEX(LH_Data,0,LH_ColFirst),$A22,INDEX(LH_Data,0,LH_ColSur),$B22,INDEX(LH_Data,0,LH_ColCat),BonusCat)))</f>
        <v/>
      </c>
      <c r="BH22" s="16" t="str">
        <f aca="false">IF(AK22=0,"",IF(OR(NOT(LH_Ready),BG22=0),0,SUMPRODUCT(MAX((INDEX(LH_Data,0,LH_ColFirst)=$A22)*(INDEX(LH_Data,0,LH_ColSur)=$B22)*(INDEX(LH_Data,0,LH_ColCat)=BonusCat)*ROW(LH_Data)))))</f>
        <v/>
      </c>
      <c r="BI22" s="16" t="str">
        <f aca="false">IF(AK22=0,"",IF(EOMONTH(AsOfDate,-1)&lt;AL22,-1,12*(YEAR(EOMONTH(AsOfDate,-1))-YEAR(AL22))+MONTH(EOMONTH(AsOfDate,-1))-MONTH(AL22)-IF(DAY(EOMONTH(AsOfDate,-1))&lt;MIN(DAY(AL22),DAY(EOMONTH(EOMONTH(AsOfDate,-1),0))),1,0)))</f>
        <v/>
      </c>
      <c r="BJ22" s="16" t="str">
        <f aca="false">IF(AK22=0,"",IF(OR(AM22&lt;2,AO22&gt;EOMONTH(AsOfDate,-1)),BI22,IF((AO22-1)&lt;AL22,-1,12*(YEAR((AO22-1))-YEAR(AL22))+MONTH((AO22-1))-MONTH(AL22)-IF(DAY((AO22-1))&lt;MIN(DAY(AL22),DAY(EOMONTH((AO22-1),0))),1,0))))</f>
        <v/>
      </c>
      <c r="BK22" s="16" t="str">
        <f aca="false">IF(AK22=0,"",IF(OR(AM22&lt;3,AP22&gt;EOMONTH(AsOfDate,-1)),BI22,IF((AP22-1)&lt;AL22,-1,12*(YEAR((AP22-1))-YEAR(AL22))+MONTH((AP22-1))-MONTH(AL22)-IF(DAY((AP22-1))&lt;MIN(DAY(AL22),DAY(EOMONTH((AP22-1),0))),1,0))))</f>
        <v/>
      </c>
      <c r="BL22" s="16" t="str">
        <f aca="false">IF(AK22=0,"",IF(AT22="FT",IF(BJ22&lt;FT_First,0,IF(BJ22&lt;FT_Y5,1+INT((BJ22-FT_First)/FT_Int1),FT_PreY5+FT_PerYear*INT((BJ22-FT_Y5)/12)+FT_AnnivDays+INT(MOD(BJ22-FT_Y5,12)/FT_Int2)-IF(EDATE(AL22,FT_Y5)&lt;PolicyEff,FT_AnnivDays-1,0))),IF(AT22="PT",IF(BJ22&lt;PT_First,0,1+INT((BJ22-PT_First)/PT_Int)),0))+IF(AND(AM22&gt;=2,AO22&lt;=EOMONTH(AsOfDate,-1)),IF(AU22="FT",IF(BK22&lt;FT_First,0,IF(BK22&lt;FT_Y5,1+INT((BK22-FT_First)/FT_Int1),FT_PreY5+FT_PerYear*INT((BK22-FT_Y5)/12)+FT_AnnivDays+INT(MOD(BK22-FT_Y5,12)/FT_Int2)-IF(EDATE(AL22,FT_Y5)&lt;PolicyEff,FT_AnnivDays-1,0))),IF(AU22="PT",IF(BK22&lt;PT_First,0,1+INT((BK22-PT_First)/PT_Int)),0))-IF(AU22="FT",IF(BJ22&lt;FT_First,0,IF(BJ22&lt;FT_Y5,1+INT((BJ22-FT_First)/FT_Int1),FT_PreY5+FT_PerYear*INT((BJ22-FT_Y5)/12)+FT_AnnivDays+INT(MOD(BJ22-FT_Y5,12)/FT_Int2)-IF(EDATE(AL22,FT_Y5)&lt;PolicyEff,FT_AnnivDays-1,0))),IF(AU22="PT",IF(BJ22&lt;PT_First,0,1+INT((BJ22-PT_First)/PT_Int)),0)),0)+IF(AND(AM22&gt;=3,AP22&lt;=EOMONTH(AsOfDate,-1)),IF(AV22="FT",IF(BI22&lt;FT_First,0,IF(BI22&lt;FT_Y5,1+INT((BI22-FT_First)/FT_Int1),FT_PreY5+FT_PerYear*INT((BI22-FT_Y5)/12)+FT_AnnivDays+INT(MOD(BI22-FT_Y5,12)/FT_Int2)-IF(EDATE(AL22,FT_Y5)&lt;PolicyEff,FT_AnnivDays-1,0))),IF(AV22="PT",IF(BI22&lt;PT_First,0,1+INT((BI22-PT_First)/PT_Int)),0))-IF(AV22="FT",IF(BK22&lt;FT_First,0,IF(BK22&lt;FT_Y5,1+INT((BK22-FT_First)/FT_Int1),FT_PreY5+FT_PerYear*INT((BK22-FT_Y5)/12)+FT_AnnivDays+INT(MOD(BK22-FT_Y5,12)/FT_Int2)-IF(EDATE(AL22,FT_Y5)&lt;PolicyEff,FT_AnnivDays-1,0))),IF(AV22="PT",IF(BK22&lt;PT_First,0,1+INT((BK22-PT_First)/PT_Int)),0)),0))</f>
        <v/>
      </c>
      <c r="BM22" s="16" t="str">
        <f aca="false">IF(AK22=0,"",IF(AW22="FT",IF(AX22&lt;FT_First,"",IF(AX22&lt;FT_Y5,FT_First+FT_Int1*INT((AX22-FT_First)/FT_Int1),FT_Y5+FT_Int2*INT((AX22-FT_Y5)/FT_Int2))),IF(AW22="PT",IF(AX22&lt;PT_First,"",PT_First+PT_Int*INT((AX22-PT_First)/PT_Int)),"")))</f>
        <v/>
      </c>
      <c r="BN22" s="16" t="str">
        <f aca="false">IF(AK22=0,"",IF((SchemeStart-1)&lt;AL22,-1,12*(YEAR((SchemeStart-1))-YEAR(AL22))+MONTH((SchemeStart-1))-MONTH(AL22)-IF(DAY((SchemeStart-1))&lt;MIN(DAY(AL22),DAY(EOMONTH((SchemeStart-1),0))),1,0)))</f>
        <v/>
      </c>
      <c r="BO22" s="16" t="str">
        <f aca="false">IF(AK22=0,"",IF(OR(AM22&lt;2,AO22&gt;(SchemeStart-1)),BN22,IF((AO22-1)&lt;AL22,-1,12*(YEAR((AO22-1))-YEAR(AL22))+MONTH((AO22-1))-MONTH(AL22)-IF(DAY((AO22-1))&lt;MIN(DAY(AL22),DAY(EOMONTH((AO22-1),0))),1,0))))</f>
        <v/>
      </c>
      <c r="BP22" s="16" t="str">
        <f aca="false">IF(AK22=0,"",IF(OR(AM22&lt;3,AP22&gt;(SchemeStart-1)),BN22,IF((AP22-1)&lt;AL22,-1,12*(YEAR((AP22-1))-YEAR(AL22))+MONTH((AP22-1))-MONTH(AL22)-IF(DAY((AP22-1))&lt;MIN(DAY(AL22),DAY(EOMONTH((AP22-1),0))),1,0))))</f>
        <v/>
      </c>
      <c r="BQ22" s="16" t="str">
        <f aca="false">IF(AK22=0,"",IF(AT22="FT",IF(BO22&lt;FT_First,0,IF(BO22&lt;FT_Y5,1+INT((BO22-FT_First)/FT_Int1),FT_PreY5+FT_PerYear*INT((BO22-FT_Y5)/12)+FT_AnnivDays+INT(MOD(BO22-FT_Y5,12)/FT_Int2)-IF(EDATE(AL22,FT_Y5)&lt;PolicyEff,FT_AnnivDays-1,0))),IF(AT22="PT",IF(BO22&lt;PT_First,0,1+INT((BO22-PT_First)/PT_Int)),0))+IF(AND(AM22&gt;=2,AO22&lt;=(SchemeStart-1)),IF(AU22="FT",IF(BP22&lt;FT_First,0,IF(BP22&lt;FT_Y5,1+INT((BP22-FT_First)/FT_Int1),FT_PreY5+FT_PerYear*INT((BP22-FT_Y5)/12)+FT_AnnivDays+INT(MOD(BP22-FT_Y5,12)/FT_Int2)-IF(EDATE(AL22,FT_Y5)&lt;PolicyEff,FT_AnnivDays-1,0))),IF(AU22="PT",IF(BP22&lt;PT_First,0,1+INT((BP22-PT_First)/PT_Int)),0))-IF(AU22="FT",IF(BO22&lt;FT_First,0,IF(BO22&lt;FT_Y5,1+INT((BO22-FT_First)/FT_Int1),FT_PreY5+FT_PerYear*INT((BO22-FT_Y5)/12)+FT_AnnivDays+INT(MOD(BO22-FT_Y5,12)/FT_Int2)-IF(EDATE(AL22,FT_Y5)&lt;PolicyEff,FT_AnnivDays-1,0))),IF(AU22="PT",IF(BO22&lt;PT_First,0,1+INT((BO22-PT_First)/PT_Int)),0)),0)+IF(AND(AM22&gt;=3,AP22&lt;=(SchemeStart-1)),IF(AV22="FT",IF(BN22&lt;FT_First,0,IF(BN22&lt;FT_Y5,1+INT((BN22-FT_First)/FT_Int1),FT_PreY5+FT_PerYear*INT((BN22-FT_Y5)/12)+FT_AnnivDays+INT(MOD(BN22-FT_Y5,12)/FT_Int2)-IF(EDATE(AL22,FT_Y5)&lt;PolicyEff,FT_AnnivDays-1,0))),IF(AV22="PT",IF(BN22&lt;PT_First,0,1+INT((BN22-PT_First)/PT_Int)),0))-IF(AV22="FT",IF(BP22&lt;FT_First,0,IF(BP22&lt;FT_Y5,1+INT((BP22-FT_First)/FT_Int1),FT_PreY5+FT_PerYear*INT((BP22-FT_Y5)/12)+FT_AnnivDays+INT(MOD(BP22-FT_Y5,12)/FT_Int2)-IF(EDATE(AL22,FT_Y5)&lt;PolicyEff,FT_AnnivDays-1,0))),IF(AV22="PT",IF(BP22&lt;PT_First,0,1+INT((BP22-PT_First)/PT_Int)),0)),0))</f>
        <v/>
      </c>
      <c r="BR22" s="0" t="str">
        <f aca="false">IF(LEN($A22&amp;$B22)=0,"",$A22&amp;" "&amp;$B22)</f>
        <v/>
      </c>
    </row>
    <row r="23" customFormat="false" ht="15" hidden="false" customHeight="false" outlineLevel="0" collapsed="false">
      <c r="A23" s="12"/>
      <c r="B23" s="12"/>
      <c r="C23" s="12"/>
      <c r="D23" s="13"/>
      <c r="E23" s="14" t="str">
        <f aca="false">IF(OR(AK23=0,$D23=""),"",DATE(YEAR(AsOfDate)+IF(DATE(YEAR(AsOfDate),MONTH($D23),DAY($D23))&lt;=AsOfDate,1,0),MONTH($D23),DAY($D23)))</f>
        <v/>
      </c>
      <c r="F23" s="13"/>
      <c r="G23" s="13"/>
      <c r="H23" s="13"/>
      <c r="I23" s="13"/>
      <c r="J23" s="13"/>
      <c r="K23" s="14" t="str">
        <f aca="false">IF(AK23=0,"",DATE(YEAR(AsOfDate)+IF(DATE(YEAR(AsOfDate),MONTH(AL23),DAY(AL23))&lt;=AsOfDate,1,0),MONTH(AL23),DAY(AL23)))</f>
        <v/>
      </c>
      <c r="L23" s="15" t="str">
        <f aca="false">IF(AK23=0,"",ROUND((AsOfDate-AL23)/365.25,1))</f>
        <v/>
      </c>
      <c r="M23" s="16" t="str">
        <f aca="false">IF(AK23=0,"",IF(AsOfDate&lt;AL23,"-",DATEDIF(AL23,AsOfDate,"y")&amp;"y "&amp;DATEDIF(AL23,AsOfDate,"ym")&amp;"m "&amp;DATEDIF(AL23,AsOfDate,"md")&amp;"d"))</f>
        <v/>
      </c>
      <c r="N23" s="17" t="str">
        <f aca="false">IF(AK23=0,"",O23*HoursPerDay)</f>
        <v/>
      </c>
      <c r="O23" s="17" t="str">
        <f aca="false">IF(AK23=0,"",MAX(0,BD23-BQ23))</f>
        <v/>
      </c>
      <c r="P23" s="18"/>
      <c r="Q23" s="16" t="str">
        <f aca="false">IF(AK23=0,"",IF(AM23&lt;2,"",AQ23&amp;" to "&amp;AR23&amp;" on "&amp;TEXT(AO23,"dd/mm/yyyy")&amp;IF(AO23&gt;AsOfDate," (future)",IF(AT23=AU23,"",IF(AU23="None"," - STOPPED accruing",IF(AT23="None"," - commencement for Bonus Leave"," - pathway changed"))))&amp;IF(AM23&lt;3,"","; "&amp;AR23&amp;" to "&amp;AS23&amp;" on "&amp;TEXT(AP23,"dd/mm/yyyy")&amp;IF(AP23&gt;AsOfDate," (future)",IF(AU23=AV23,"",IF(AV23="None"," - STOPPED accruing",IF(AU23="None"," - commencement for Bonus Leave"," - pathway changed")))))))</f>
        <v/>
      </c>
      <c r="R23" s="16" t="str">
        <f aca="false">IF(AK23=0,"",IF(AW23="None",IF(O23&gt;0,"No longer accruing","Not eligible - "&amp;IF(AND(OR(ISNUMBER(SEARCH("part",$C23)),UPPER(TRIM($C23))="PT",UPPER(TRIM($C23))="PTE"),Apply2026="No"),"part-time (scheme is full-time only)",IF(AND(OR(ISNUMBER(SEARCH("part",$C23)),UPPER(TRIM($C23))="PT",UPPER(TRIM($C23))="PTE"),$P23&lt;&gt;"",N($P23)&lt;PT_MinHours),"under "&amp;PT_MinHours&amp;" hrs",IF(IF($C23="","",IF(OR(ISNUMBER(SEARCH("full",$C23)),UPPER(TRIM($C23))="FT",UPPER(TRIM($C23))="FTE"),"Full-Time",IF(OR(ISNUMBER(SEARCH("part",$C23)),UPPER(TRIM($C23))="PT",UPPER(TRIM($C23))="PTE"),"Part-Time",IF(OR(ISNUMBER(SEARCH("cas",$C23)),UPPER(TRIM($C23))="CAS"),"Casual","Unknown"))))="Unknown","type not recognised",$C23)))),IF(O23&gt;0,"Yes - Accrual Required","Not yet - from "&amp;TEXT(S23,"dd/mm/yyyy"))))</f>
        <v/>
      </c>
      <c r="S23" s="14" t="str">
        <f aca="false">IF(AK23=0,"",IF(AW23="None","",EDATE(AL23,BF23)))</f>
        <v/>
      </c>
      <c r="T23" s="17" t="str">
        <f aca="false">IF(AK23=0,"",IF(NOT(LH_Ready),"",IF($F23&gt;PFYDate,0,IF(LH_ColPeriod=0,W23-U23+V23,SUMIFS(INDEX(LH_Data,0,LH_ColAcc),INDEX(LH_Data,0,LH_ColFirst),$A23,INDEX(LH_Data,0,LH_ColSur),$B23,INDEX(LH_Data,0,LH_ColCat),BonusCat,INDEX(LH_Data,0,LH_ColPeriod),LH_OpenLabel)*UnitFactor))))</f>
        <v/>
      </c>
      <c r="U23" s="17" t="str">
        <f aca="false">IF(AK23=0,"",IF(NOT(LH_Ready),"",SUMIFS(INDEX(LH_Data,0,LH_ColAcc),INDEX(LH_Data,0,LH_ColFirst),$A23,INDEX(LH_Data,0,LH_ColSur),$B23,INDEX(LH_Data,0,LH_ColCat),BonusCat,INDEX(LH_Data,0,LH_ColStart),"&gt;="&amp;AL23)*UnitFactor))</f>
        <v/>
      </c>
      <c r="V23" s="17" t="str">
        <f aca="false">IF(AK23=0,"",IF(NOT(LH_Ready),"",SUMIFS(INDEX(LH_Data,0,LH_ColTaken),INDEX(LH_Data,0,LH_ColFirst),$A23,INDEX(LH_Data,0,LH_ColSur),$B23,INDEX(LH_Data,0,LH_ColCat),BonusCat,INDEX(LH_Data,0,LH_ColStart),"&gt;="&amp;AL23)*UnitFactor))</f>
        <v/>
      </c>
      <c r="W23" s="17" t="str">
        <f aca="false">IF(AK23=0,"",IF(NOT(LH_Ready),"",IF(BH23=0,0,INDEX(INDEX(LH_Data,0,LH_ColClose),BH23-1)*UnitFactor)))</f>
        <v/>
      </c>
      <c r="X23" s="17" t="str">
        <f aca="false">IF(AK23=0,"",(MAX(0,BD23-BQ23)-MAX(0,BE23-BQ23))*HoursPerDay)</f>
        <v/>
      </c>
      <c r="Y23" s="17" t="str">
        <f aca="false">IF(AK23=0,"",IF(NOT(LH_Ready),"",IF($AI23="Yes",N(AE23)*HoursPerDay-SUMIFS(INDEX(LH_Data,0,LH_ColAcc),INDEX(LH_Data,0,LH_ColFirst),$A23,INDEX(LH_Data,0,LH_ColSur),$B23,INDEX(LH_Data,0,LH_ColCat),BonusCat,INDEX(LH_Data,0,LH_ColStart),"&gt;="&amp;(EOMONTH(AsOfDate,-1)+1),INDEX(LH_Data,0,LH_ColStart),"&lt;="&amp;AsOfDate)*UnitFactor,IF(BG23=0,N23,N23-N(T23)-N(U23)))))</f>
        <v/>
      </c>
      <c r="Z23" s="16" t="str">
        <f aca="false">IF(OR(AK23=0,Y23=""),"",IF(Y23&gt;0,"Yes","No"))</f>
        <v/>
      </c>
      <c r="AA23" s="16" t="str">
        <f aca="false">IF(AK23=0,IF(LEN($A23&amp;$B23)=0,"","FIX INPUT - StartDate missing"),IF(AD23&lt;&gt;"","FIX INPUT - "&amp;AD23,IF(NOT(LH_Ready),"Paste Leave History export (Settings must show YES)",IF(AND($AI23="Yes",Y23&lt;=0),"OK - EH balance accepted to date"&amp;IF(N(AH23)&gt;0," (EH holds "&amp;AH23&amp;" hrs over the scheme)","")&amp;"; next day "&amp;TEXT(S23,"dd mmm yy")&amp;IF(N(AE23)&gt;0," ("&amp;AE23&amp;" day(s) for "&amp;UPPER(TEXT(AsOfDate,"mmm yyyy"))&amp;" already in EH)",""),IF(Y23&gt;0,"ACCRUE "&amp;ROUND(Y23,2)&amp;" hrs ("&amp;ROUND(Y23/HoursPerDay,2)&amp;" days): "&amp;IF(N(AE23)&gt;0,AE23&amp;" day(s) for "&amp;UPPER(TEXT(AsOfDate,"mmm yyyy"))&amp;" (milestone "&amp;UPPER(TEXT(AF23,"dd mmm yy"))&amp;")"&amp;IF(Y23/HoursPerDay&gt;AE23+0.001," + "&amp;ROUND(Y23/HoursPerDay-AE23,2)&amp;" day(s) catch-up from earlier months",""),"all catch-up from earlier months, nothing new this month")&amp;IF(BG23=0,"; no Bonus Leave in EH yet",""),IF(Y23&lt;0,"CHECK - EH accrued "&amp;ROUND(-Y23,2)&amp;" hrs more than policy since commencement",IF(N(W23)&gt;O23*HoursPerDay+0.01,"CHECK - EH balance "&amp;ROUND(W23-O23*HoursPerDay,2)&amp;" hrs more than policy entitlement",IF(O23&gt;0,"OK - nothing to add"&amp;IF(N(AE23)&gt;0," ("&amp;AE23&amp;" day(s) for "&amp;UPPER(TEXT(AsOfDate,"mmm yyyy"))&amp;" already in EH)",""),IF(AW23="None",R23,"Not yet - first day on "&amp;TEXT(S23,"dd/mm/yyyy"))))))))))</f>
        <v/>
      </c>
      <c r="AB23" s="17" t="str">
        <f aca="false">IF(OR(AK23=0,T23=""),"",MAX(0,BE23-BQ23)*HoursPerDay-T23)</f>
        <v/>
      </c>
      <c r="AC23" s="16" t="str">
        <f aca="false">IF(AK23=0,"",BG23)</f>
        <v/>
      </c>
      <c r="AD23" s="16" t="str">
        <f aca="false">IF(AK23=0,"",TRIM(IF(OR(ISTEXT($F23),ISTEXT($H23),ISTEXT($I23),ISTEXT($G23),ISTEXT($J23),ISTEXT($D23)),"A date is typed as text - retype it as dd/mm/yyyy. ","")&amp;IF(IF($C23="","",IF(OR(ISNUMBER(SEARCH("full",$C23)),UPPER(TRIM($C23))="FT",UPPER(TRIM($C23))="FTE"),"Full-Time",IF(OR(ISNUMBER(SEARCH("part",$C23)),UPPER(TRIM($C23))="PT",UPPER(TRIM($C23))="PTE"),"Part-Time",IF(OR(ISNUMBER(SEARCH("cas",$C23)),UPPER(TRIM($C23))="CAS"),"Casual","Unknown"))))="Unknown","EmploymentType not recognised - use Full-Time, Part-Time or Casual. ","")&amp;IF(AND(AM23&gt;=1,IF(AM23&gt;=3,AS23,IF(AM23=2,AR23,AQ23))&lt;&gt;IF($C23="","",IF(OR(ISNUMBER(SEARCH("full",$C23)),UPPER(TRIM($C23))="FT",UPPER(TRIM($C23))="FTE"),"Full-Time",IF(OR(ISNUMBER(SEARCH("part",$C23)),UPPER(TRIM($C23))="PT",UPPER(TRIM($C23))="PTE"),"Part-Time",IF(OR(ISNUMBER(SEARCH("cas",$C23)),UPPER(TRIM($C23))="CAS"),"Casual","Unknown"))))),"EmploymentType does not match latest start date ("&amp;IF(AM23&gt;=3,AS23,IF(AM23=2,AR23,AQ23))&amp;"). ","")&amp;IF(AND(AM23&gt;=1,AN23&lt;&gt;$F23),"Earliest type date should equal StartDate. ","")&amp;IF(AND(AM23&gt;=2,AN23=AO23),"Two types start on the same date. ","")&amp;IF(AND(OR(ISNUMBER(SEARCH("part",$C23)),UPPER(TRIM($C23))="PT",UPPER(TRIM($C23))="PTE"),$P23=""),"Part-time: enter PT Hrs/Week (blank = 24+). ","")))</f>
        <v/>
      </c>
      <c r="AE23" s="17" t="str">
        <f aca="false">IF(AK23=0,"",O23-MAX(0,BL23-BQ23))</f>
        <v/>
      </c>
      <c r="AF23" s="14" t="str">
        <f aca="false">IF(OR(AK23=0,AE23="",N(AE23)=0,BM23=""),"",EDATE(AL23,BM23))</f>
        <v/>
      </c>
      <c r="AG23" s="17" t="str">
        <f aca="false">IF(AK23=0,"",MIN(BD23,BQ23))</f>
        <v/>
      </c>
      <c r="AH23" s="17" t="str">
        <f aca="false">IF(AK23=0,"",IF(NOT(LH_Ready),"",IF(BG23=0,0,MAX(0,ROUND(N(T23)+N(U23)-N23,2)))))</f>
        <v/>
      </c>
      <c r="AI23" s="12"/>
      <c r="AJ23" s="12"/>
      <c r="AK23" s="16" t="n">
        <f aca="false">IF(OR(LEN($A23&amp;$B23)=0,$F23=""),0,1)</f>
        <v>0</v>
      </c>
      <c r="AL23" s="14" t="str">
        <f aca="false">IF(AK23=0,"",IF(PreSchemeCounts="No",MAX(SchemeStart,IF($J23&lt;&gt;"",$J23,IF(OR(CasualCounts="Yes",COUNT($G23:$I23)=0),$F23,IF(Apply2026="No",IF($I23="",$F23,$I23),IF(COUNT($H23:$I23)=0,$F23,MIN($H23:$I23)))))),IF($J23&lt;&gt;"",$J23,IF(OR(CasualCounts="Yes",COUNT($G23:$I23)=0),$F23,IF(Apply2026="No",IF($I23="",$F23,$I23),IF(COUNT($H23:$I23)=0,$F23,MIN($H23:$I23)))))))</f>
        <v/>
      </c>
      <c r="AM23" s="16" t="str">
        <f aca="false">IF(AK23=0,"",COUNT($G23:$I23))</f>
        <v/>
      </c>
      <c r="AN23" s="14" t="str">
        <f aca="false">IF(AK23=0,"",IFERROR(SMALL($G23:$I23,1),""))</f>
        <v/>
      </c>
      <c r="AO23" s="14" t="str">
        <f aca="false">IF(AK23=0,"",IFERROR(SMALL($G23:$I23,2),""))</f>
        <v/>
      </c>
      <c r="AP23" s="14" t="str">
        <f aca="false">IF(AK23=0,"",IFERROR(SMALL($G23:$I23,3),""))</f>
        <v/>
      </c>
      <c r="AQ23" s="16" t="str">
        <f aca="false">IF(AK23=0,"",IF(AN23="","",IF(AN23=$H23,"Part-Time",IF(AN23=$I23,"Full-Time","Casual"))))</f>
        <v/>
      </c>
      <c r="AR23" s="16" t="str">
        <f aca="false">IF(AK23=0,"",IF(AO23="","",IF(AO23=$H23,"Part-Time",IF(AO23=$I23,"Full-Time","Casual"))))</f>
        <v/>
      </c>
      <c r="AS23" s="16" t="str">
        <f aca="false">IF(AK23=0,"",IF(AP23="","",IF(AP23=$H23,"Part-Time",IF(AP23=$I23,"Full-Time","Casual"))))</f>
        <v/>
      </c>
      <c r="AT23" s="16" t="str">
        <f aca="false">IF(AK23=0,"",IF(AM23=0,IF(OR(ISNUMBER(SEARCH("full",$C23)),UPPER(TRIM($C23))="FT",UPPER(TRIM($C23))="FTE"),"FT",IF(AND(OR(ISNUMBER(SEARCH("part",$C23)),UPPER(TRIM($C23))="PT",UPPER(TRIM($C23))="PTE"),Apply2026="Yes",OR($P23="",N($P23)&gt;=PT_MinHours)),"PT","None")),IF(OR(ISNUMBER(SEARCH("full",AQ23)),UPPER(TRIM(AQ23))="FT",UPPER(TRIM(AQ23))="FTE"),"FT",IF(AND(OR(ISNUMBER(SEARCH("part",AQ23)),UPPER(TRIM(AQ23))="PT",UPPER(TRIM(AQ23))="PTE"),Apply2026="Yes",OR($P23="",N($P23)&gt;=PT_MinHours)),"PT","None"))))</f>
        <v/>
      </c>
      <c r="AU23" s="16" t="str">
        <f aca="false">IF(AK23=0,"",IF(AM23&lt;2,"",IF(OR(ISNUMBER(SEARCH("full",AR23)),UPPER(TRIM(AR23))="FT",UPPER(TRIM(AR23))="FTE"),"FT",IF(AND(OR(ISNUMBER(SEARCH("part",AR23)),UPPER(TRIM(AR23))="PT",UPPER(TRIM(AR23))="PTE"),Apply2026="Yes",OR($P23="",N($P23)&gt;=PT_MinHours)),"PT","None"))))</f>
        <v/>
      </c>
      <c r="AV23" s="16" t="str">
        <f aca="false">IF(AK23=0,"",IF(AM23&lt;3,"",IF(OR(ISNUMBER(SEARCH("full",AS23)),UPPER(TRIM(AS23))="FT",UPPER(TRIM(AS23))="FTE"),"FT",IF(AND(OR(ISNUMBER(SEARCH("part",AS23)),UPPER(TRIM(AS23))="PT",UPPER(TRIM(AS23))="PTE"),Apply2026="Yes",OR($P23="",N($P23)&gt;=PT_MinHours)),"PT","None"))))</f>
        <v/>
      </c>
      <c r="AW23" s="16" t="str">
        <f aca="false">IF(AK23=0,"",IF(AND(AM23&gt;=3,AP23&lt;=AsOfDate),AV23,IF(AND(AM23&gt;=2,AO23&lt;=AsOfDate),AU23,AT23)))</f>
        <v/>
      </c>
      <c r="AX23" s="16" t="str">
        <f aca="false">IF(AK23=0,"",IF(AsOfDate&lt;AL23,-1,12*(YEAR(AsOfDate)-YEAR(AL23))+MONTH(AsOfDate)-MONTH(AL23)-IF(DAY(AsOfDate)&lt;MIN(DAY(AL23),DAY(EOMONTH(AsOfDate,0))),1,0)))</f>
        <v/>
      </c>
      <c r="AY23" s="16" t="str">
        <f aca="false">IF(AK23=0,"",IF(OR(AM23&lt;2,AO23&gt;AsOfDate),AX23,IF((AO23-1)&lt;AL23,-1,12*(YEAR((AO23-1))-YEAR(AL23))+MONTH((AO23-1))-MONTH(AL23)-IF(DAY((AO23-1))&lt;MIN(DAY(AL23),DAY(EOMONTH((AO23-1),0))),1,0))))</f>
        <v/>
      </c>
      <c r="AZ23" s="16" t="str">
        <f aca="false">IF(AK23=0,"",IF(OR(AM23&lt;3,AP23&gt;AsOfDate),AX23,IF((AP23-1)&lt;AL23,-1,12*(YEAR((AP23-1))-YEAR(AL23))+MONTH((AP23-1))-MONTH(AL23)-IF(DAY((AP23-1))&lt;MIN(DAY(AL23),DAY(EOMONTH((AP23-1),0))),1,0))))</f>
        <v/>
      </c>
      <c r="BA23" s="16" t="str">
        <f aca="false">IF(AK23=0,"",IF(PFYDate&lt;AL23,-1,12*(YEAR(PFYDate)-YEAR(AL23))+MONTH(PFYDate)-MONTH(AL23)-IF(DAY(PFYDate)&lt;MIN(DAY(AL23),DAY(EOMONTH(PFYDate,0))),1,0)))</f>
        <v/>
      </c>
      <c r="BB23" s="16" t="str">
        <f aca="false">IF(AK23=0,"",IF(OR(AM23&lt;2,AO23&gt;PFYDate),BA23,IF((AO23-1)&lt;AL23,-1,12*(YEAR((AO23-1))-YEAR(AL23))+MONTH((AO23-1))-MONTH(AL23)-IF(DAY((AO23-1))&lt;MIN(DAY(AL23),DAY(EOMONTH((AO23-1),0))),1,0))))</f>
        <v/>
      </c>
      <c r="BC23" s="16" t="str">
        <f aca="false">IF(AK23=0,"",IF(OR(AM23&lt;3,AP23&gt;PFYDate),BA23,IF((AP23-1)&lt;AL23,-1,12*(YEAR((AP23-1))-YEAR(AL23))+MONTH((AP23-1))-MONTH(AL23)-IF(DAY((AP23-1))&lt;MIN(DAY(AL23),DAY(EOMONTH((AP23-1),0))),1,0))))</f>
        <v/>
      </c>
      <c r="BD23" s="16" t="str">
        <f aca="false">IF(AK23=0,"",IF(AT23="FT",IF(AY23&lt;FT_First,0,IF(AY23&lt;FT_Y5,1+INT((AY23-FT_First)/FT_Int1),FT_PreY5+FT_PerYear*INT((AY23-FT_Y5)/12)+FT_AnnivDays+INT(MOD(AY23-FT_Y5,12)/FT_Int2)-IF(EDATE(AL23,FT_Y5)&lt;PolicyEff,FT_AnnivDays-1,0))),IF(AT23="PT",IF(AY23&lt;PT_First,0,1+INT((AY23-PT_First)/PT_Int)),0))+IF(AND(AM23&gt;=2,AO23&lt;=AsOfDate),IF(AU23="FT",IF(AZ23&lt;FT_First,0,IF(AZ23&lt;FT_Y5,1+INT((AZ23-FT_First)/FT_Int1),FT_PreY5+FT_PerYear*INT((AZ23-FT_Y5)/12)+FT_AnnivDays+INT(MOD(AZ23-FT_Y5,12)/FT_Int2)-IF(EDATE(AL23,FT_Y5)&lt;PolicyEff,FT_AnnivDays-1,0))),IF(AU23="PT",IF(AZ23&lt;PT_First,0,1+INT((AZ23-PT_First)/PT_Int)),0))-IF(AU23="FT",IF(AY23&lt;FT_First,0,IF(AY23&lt;FT_Y5,1+INT((AY23-FT_First)/FT_Int1),FT_PreY5+FT_PerYear*INT((AY23-FT_Y5)/12)+FT_AnnivDays+INT(MOD(AY23-FT_Y5,12)/FT_Int2)-IF(EDATE(AL23,FT_Y5)&lt;PolicyEff,FT_AnnivDays-1,0))),IF(AU23="PT",IF(AY23&lt;PT_First,0,1+INT((AY23-PT_First)/PT_Int)),0)),0)+IF(AND(AM23&gt;=3,AP23&lt;=AsOfDate),IF(AV23="FT",IF(AX23&lt;FT_First,0,IF(AX23&lt;FT_Y5,1+INT((AX23-FT_First)/FT_Int1),FT_PreY5+FT_PerYear*INT((AX23-FT_Y5)/12)+FT_AnnivDays+INT(MOD(AX23-FT_Y5,12)/FT_Int2)-IF(EDATE(AL23,FT_Y5)&lt;PolicyEff,FT_AnnivDays-1,0))),IF(AV23="PT",IF(AX23&lt;PT_First,0,1+INT((AX23-PT_First)/PT_Int)),0))-IF(AV23="FT",IF(AZ23&lt;FT_First,0,IF(AZ23&lt;FT_Y5,1+INT((AZ23-FT_First)/FT_Int1),FT_PreY5+FT_PerYear*INT((AZ23-FT_Y5)/12)+FT_AnnivDays+INT(MOD(AZ23-FT_Y5,12)/FT_Int2)-IF(EDATE(AL23,FT_Y5)&lt;PolicyEff,FT_AnnivDays-1,0))),IF(AV23="PT",IF(AZ23&lt;PT_First,0,1+INT((AZ23-PT_First)/PT_Int)),0)),0))</f>
        <v/>
      </c>
      <c r="BE23" s="16" t="str">
        <f aca="false">IF(AK23=0,"",IF(AT23="FT",IF(BB23&lt;FT_First,0,IF(BB23&lt;FT_Y5,1+INT((BB23-FT_First)/FT_Int1),FT_PreY5+FT_PerYear*INT((BB23-FT_Y5)/12)+FT_AnnivDays+INT(MOD(BB23-FT_Y5,12)/FT_Int2)-IF(EDATE(AL23,FT_Y5)&lt;PolicyEff,FT_AnnivDays-1,0))),IF(AT23="PT",IF(BB23&lt;PT_First,0,1+INT((BB23-PT_First)/PT_Int)),0))+IF(AND(AM23&gt;=2,AO23&lt;=PFYDate),IF(AU23="FT",IF(BC23&lt;FT_First,0,IF(BC23&lt;FT_Y5,1+INT((BC23-FT_First)/FT_Int1),FT_PreY5+FT_PerYear*INT((BC23-FT_Y5)/12)+FT_AnnivDays+INT(MOD(BC23-FT_Y5,12)/FT_Int2)-IF(EDATE(AL23,FT_Y5)&lt;PolicyEff,FT_AnnivDays-1,0))),IF(AU23="PT",IF(BC23&lt;PT_First,0,1+INT((BC23-PT_First)/PT_Int)),0))-IF(AU23="FT",IF(BB23&lt;FT_First,0,IF(BB23&lt;FT_Y5,1+INT((BB23-FT_First)/FT_Int1),FT_PreY5+FT_PerYear*INT((BB23-FT_Y5)/12)+FT_AnnivDays+INT(MOD(BB23-FT_Y5,12)/FT_Int2)-IF(EDATE(AL23,FT_Y5)&lt;PolicyEff,FT_AnnivDays-1,0))),IF(AU23="PT",IF(BB23&lt;PT_First,0,1+INT((BB23-PT_First)/PT_Int)),0)),0)+IF(AND(AM23&gt;=3,AP23&lt;=PFYDate),IF(AV23="FT",IF(BA23&lt;FT_First,0,IF(BA23&lt;FT_Y5,1+INT((BA23-FT_First)/FT_Int1),FT_PreY5+FT_PerYear*INT((BA23-FT_Y5)/12)+FT_AnnivDays+INT(MOD(BA23-FT_Y5,12)/FT_Int2)-IF(EDATE(AL23,FT_Y5)&lt;PolicyEff,FT_AnnivDays-1,0))),IF(AV23="PT",IF(BA23&lt;PT_First,0,1+INT((BA23-PT_First)/PT_Int)),0))-IF(AV23="FT",IF(BC23&lt;FT_First,0,IF(BC23&lt;FT_Y5,1+INT((BC23-FT_First)/FT_Int1),FT_PreY5+FT_PerYear*INT((BC23-FT_Y5)/12)+FT_AnnivDays+INT(MOD(BC23-FT_Y5,12)/FT_Int2)-IF(EDATE(AL23,FT_Y5)&lt;PolicyEff,FT_AnnivDays-1,0))),IF(AV23="PT",IF(BC23&lt;PT_First,0,1+INT((BC23-PT_First)/PT_Int)),0)),0))</f>
        <v/>
      </c>
      <c r="BF23" s="16" t="str">
        <f aca="false">IF(AK23=0,"",IF(AW23="FT",IF(AX23&lt;FT_First,FT_First,IF(AX23&lt;FT_Y5,MIN(FT_Y5,FT_First+FT_Int1*(INT((AX23-FT_First)/FT_Int1)+1)),FT_Y5+12*INT((AX23-FT_Y5)/12)+FT_Int2*(INT(MOD(AX23-FT_Y5,12)/FT_Int2)+1))),IF(AW23="PT",IF(AX23&lt;PT_First,PT_First,PT_First+PT_Int*(INT((AX23-PT_First)/PT_Int)+1)),"")))</f>
        <v/>
      </c>
      <c r="BG23" s="16" t="str">
        <f aca="false">IF(AK23=0,"",IF(NOT(LH_Ready),0,COUNTIFS(INDEX(LH_Data,0,LH_ColFirst),$A23,INDEX(LH_Data,0,LH_ColSur),$B23,INDEX(LH_Data,0,LH_ColCat),BonusCat)))</f>
        <v/>
      </c>
      <c r="BH23" s="16" t="str">
        <f aca="false">IF(AK23=0,"",IF(OR(NOT(LH_Ready),BG23=0),0,SUMPRODUCT(MAX((INDEX(LH_Data,0,LH_ColFirst)=$A23)*(INDEX(LH_Data,0,LH_ColSur)=$B23)*(INDEX(LH_Data,0,LH_ColCat)=BonusCat)*ROW(LH_Data)))))</f>
        <v/>
      </c>
      <c r="BI23" s="16" t="str">
        <f aca="false">IF(AK23=0,"",IF(EOMONTH(AsOfDate,-1)&lt;AL23,-1,12*(YEAR(EOMONTH(AsOfDate,-1))-YEAR(AL23))+MONTH(EOMONTH(AsOfDate,-1))-MONTH(AL23)-IF(DAY(EOMONTH(AsOfDate,-1))&lt;MIN(DAY(AL23),DAY(EOMONTH(EOMONTH(AsOfDate,-1),0))),1,0)))</f>
        <v/>
      </c>
      <c r="BJ23" s="16" t="str">
        <f aca="false">IF(AK23=0,"",IF(OR(AM23&lt;2,AO23&gt;EOMONTH(AsOfDate,-1)),BI23,IF((AO23-1)&lt;AL23,-1,12*(YEAR((AO23-1))-YEAR(AL23))+MONTH((AO23-1))-MONTH(AL23)-IF(DAY((AO23-1))&lt;MIN(DAY(AL23),DAY(EOMONTH((AO23-1),0))),1,0))))</f>
        <v/>
      </c>
      <c r="BK23" s="16" t="str">
        <f aca="false">IF(AK23=0,"",IF(OR(AM23&lt;3,AP23&gt;EOMONTH(AsOfDate,-1)),BI23,IF((AP23-1)&lt;AL23,-1,12*(YEAR((AP23-1))-YEAR(AL23))+MONTH((AP23-1))-MONTH(AL23)-IF(DAY((AP23-1))&lt;MIN(DAY(AL23),DAY(EOMONTH((AP23-1),0))),1,0))))</f>
        <v/>
      </c>
      <c r="BL23" s="16" t="str">
        <f aca="false">IF(AK23=0,"",IF(AT23="FT",IF(BJ23&lt;FT_First,0,IF(BJ23&lt;FT_Y5,1+INT((BJ23-FT_First)/FT_Int1),FT_PreY5+FT_PerYear*INT((BJ23-FT_Y5)/12)+FT_AnnivDays+INT(MOD(BJ23-FT_Y5,12)/FT_Int2)-IF(EDATE(AL23,FT_Y5)&lt;PolicyEff,FT_AnnivDays-1,0))),IF(AT23="PT",IF(BJ23&lt;PT_First,0,1+INT((BJ23-PT_First)/PT_Int)),0))+IF(AND(AM23&gt;=2,AO23&lt;=EOMONTH(AsOfDate,-1)),IF(AU23="FT",IF(BK23&lt;FT_First,0,IF(BK23&lt;FT_Y5,1+INT((BK23-FT_First)/FT_Int1),FT_PreY5+FT_PerYear*INT((BK23-FT_Y5)/12)+FT_AnnivDays+INT(MOD(BK23-FT_Y5,12)/FT_Int2)-IF(EDATE(AL23,FT_Y5)&lt;PolicyEff,FT_AnnivDays-1,0))),IF(AU23="PT",IF(BK23&lt;PT_First,0,1+INT((BK23-PT_First)/PT_Int)),0))-IF(AU23="FT",IF(BJ23&lt;FT_First,0,IF(BJ23&lt;FT_Y5,1+INT((BJ23-FT_First)/FT_Int1),FT_PreY5+FT_PerYear*INT((BJ23-FT_Y5)/12)+FT_AnnivDays+INT(MOD(BJ23-FT_Y5,12)/FT_Int2)-IF(EDATE(AL23,FT_Y5)&lt;PolicyEff,FT_AnnivDays-1,0))),IF(AU23="PT",IF(BJ23&lt;PT_First,0,1+INT((BJ23-PT_First)/PT_Int)),0)),0)+IF(AND(AM23&gt;=3,AP23&lt;=EOMONTH(AsOfDate,-1)),IF(AV23="FT",IF(BI23&lt;FT_First,0,IF(BI23&lt;FT_Y5,1+INT((BI23-FT_First)/FT_Int1),FT_PreY5+FT_PerYear*INT((BI23-FT_Y5)/12)+FT_AnnivDays+INT(MOD(BI23-FT_Y5,12)/FT_Int2)-IF(EDATE(AL23,FT_Y5)&lt;PolicyEff,FT_AnnivDays-1,0))),IF(AV23="PT",IF(BI23&lt;PT_First,0,1+INT((BI23-PT_First)/PT_Int)),0))-IF(AV23="FT",IF(BK23&lt;FT_First,0,IF(BK23&lt;FT_Y5,1+INT((BK23-FT_First)/FT_Int1),FT_PreY5+FT_PerYear*INT((BK23-FT_Y5)/12)+FT_AnnivDays+INT(MOD(BK23-FT_Y5,12)/FT_Int2)-IF(EDATE(AL23,FT_Y5)&lt;PolicyEff,FT_AnnivDays-1,0))),IF(AV23="PT",IF(BK23&lt;PT_First,0,1+INT((BK23-PT_First)/PT_Int)),0)),0))</f>
        <v/>
      </c>
      <c r="BM23" s="16" t="str">
        <f aca="false">IF(AK23=0,"",IF(AW23="FT",IF(AX23&lt;FT_First,"",IF(AX23&lt;FT_Y5,FT_First+FT_Int1*INT((AX23-FT_First)/FT_Int1),FT_Y5+FT_Int2*INT((AX23-FT_Y5)/FT_Int2))),IF(AW23="PT",IF(AX23&lt;PT_First,"",PT_First+PT_Int*INT((AX23-PT_First)/PT_Int)),"")))</f>
        <v/>
      </c>
      <c r="BN23" s="16" t="str">
        <f aca="false">IF(AK23=0,"",IF((SchemeStart-1)&lt;AL23,-1,12*(YEAR((SchemeStart-1))-YEAR(AL23))+MONTH((SchemeStart-1))-MONTH(AL23)-IF(DAY((SchemeStart-1))&lt;MIN(DAY(AL23),DAY(EOMONTH((SchemeStart-1),0))),1,0)))</f>
        <v/>
      </c>
      <c r="BO23" s="16" t="str">
        <f aca="false">IF(AK23=0,"",IF(OR(AM23&lt;2,AO23&gt;(SchemeStart-1)),BN23,IF((AO23-1)&lt;AL23,-1,12*(YEAR((AO23-1))-YEAR(AL23))+MONTH((AO23-1))-MONTH(AL23)-IF(DAY((AO23-1))&lt;MIN(DAY(AL23),DAY(EOMONTH((AO23-1),0))),1,0))))</f>
        <v/>
      </c>
      <c r="BP23" s="16" t="str">
        <f aca="false">IF(AK23=0,"",IF(OR(AM23&lt;3,AP23&gt;(SchemeStart-1)),BN23,IF((AP23-1)&lt;AL23,-1,12*(YEAR((AP23-1))-YEAR(AL23))+MONTH((AP23-1))-MONTH(AL23)-IF(DAY((AP23-1))&lt;MIN(DAY(AL23),DAY(EOMONTH((AP23-1),0))),1,0))))</f>
        <v/>
      </c>
      <c r="BQ23" s="16" t="str">
        <f aca="false">IF(AK23=0,"",IF(AT23="FT",IF(BO23&lt;FT_First,0,IF(BO23&lt;FT_Y5,1+INT((BO23-FT_First)/FT_Int1),FT_PreY5+FT_PerYear*INT((BO23-FT_Y5)/12)+FT_AnnivDays+INT(MOD(BO23-FT_Y5,12)/FT_Int2)-IF(EDATE(AL23,FT_Y5)&lt;PolicyEff,FT_AnnivDays-1,0))),IF(AT23="PT",IF(BO23&lt;PT_First,0,1+INT((BO23-PT_First)/PT_Int)),0))+IF(AND(AM23&gt;=2,AO23&lt;=(SchemeStart-1)),IF(AU23="FT",IF(BP23&lt;FT_First,0,IF(BP23&lt;FT_Y5,1+INT((BP23-FT_First)/FT_Int1),FT_PreY5+FT_PerYear*INT((BP23-FT_Y5)/12)+FT_AnnivDays+INT(MOD(BP23-FT_Y5,12)/FT_Int2)-IF(EDATE(AL23,FT_Y5)&lt;PolicyEff,FT_AnnivDays-1,0))),IF(AU23="PT",IF(BP23&lt;PT_First,0,1+INT((BP23-PT_First)/PT_Int)),0))-IF(AU23="FT",IF(BO23&lt;FT_First,0,IF(BO23&lt;FT_Y5,1+INT((BO23-FT_First)/FT_Int1),FT_PreY5+FT_PerYear*INT((BO23-FT_Y5)/12)+FT_AnnivDays+INT(MOD(BO23-FT_Y5,12)/FT_Int2)-IF(EDATE(AL23,FT_Y5)&lt;PolicyEff,FT_AnnivDays-1,0))),IF(AU23="PT",IF(BO23&lt;PT_First,0,1+INT((BO23-PT_First)/PT_Int)),0)),0)+IF(AND(AM23&gt;=3,AP23&lt;=(SchemeStart-1)),IF(AV23="FT",IF(BN23&lt;FT_First,0,IF(BN23&lt;FT_Y5,1+INT((BN23-FT_First)/FT_Int1),FT_PreY5+FT_PerYear*INT((BN23-FT_Y5)/12)+FT_AnnivDays+INT(MOD(BN23-FT_Y5,12)/FT_Int2)-IF(EDATE(AL23,FT_Y5)&lt;PolicyEff,FT_AnnivDays-1,0))),IF(AV23="PT",IF(BN23&lt;PT_First,0,1+INT((BN23-PT_First)/PT_Int)),0))-IF(AV23="FT",IF(BP23&lt;FT_First,0,IF(BP23&lt;FT_Y5,1+INT((BP23-FT_First)/FT_Int1),FT_PreY5+FT_PerYear*INT((BP23-FT_Y5)/12)+FT_AnnivDays+INT(MOD(BP23-FT_Y5,12)/FT_Int2)-IF(EDATE(AL23,FT_Y5)&lt;PolicyEff,FT_AnnivDays-1,0))),IF(AV23="PT",IF(BP23&lt;PT_First,0,1+INT((BP23-PT_First)/PT_Int)),0)),0))</f>
        <v/>
      </c>
      <c r="BR23" s="0" t="str">
        <f aca="false">IF(LEN($A23&amp;$B23)=0,"",$A23&amp;" "&amp;$B23)</f>
        <v/>
      </c>
    </row>
    <row r="24" customFormat="false" ht="15" hidden="false" customHeight="false" outlineLevel="0" collapsed="false">
      <c r="A24" s="12"/>
      <c r="B24" s="12"/>
      <c r="C24" s="12"/>
      <c r="D24" s="13"/>
      <c r="E24" s="14" t="str">
        <f aca="false">IF(OR(AK24=0,$D24=""),"",DATE(YEAR(AsOfDate)+IF(DATE(YEAR(AsOfDate),MONTH($D24),DAY($D24))&lt;=AsOfDate,1,0),MONTH($D24),DAY($D24)))</f>
        <v/>
      </c>
      <c r="F24" s="13"/>
      <c r="G24" s="13"/>
      <c r="H24" s="13"/>
      <c r="I24" s="13"/>
      <c r="J24" s="13"/>
      <c r="K24" s="14" t="str">
        <f aca="false">IF(AK24=0,"",DATE(YEAR(AsOfDate)+IF(DATE(YEAR(AsOfDate),MONTH(AL24),DAY(AL24))&lt;=AsOfDate,1,0),MONTH(AL24),DAY(AL24)))</f>
        <v/>
      </c>
      <c r="L24" s="15" t="str">
        <f aca="false">IF(AK24=0,"",ROUND((AsOfDate-AL24)/365.25,1))</f>
        <v/>
      </c>
      <c r="M24" s="16" t="str">
        <f aca="false">IF(AK24=0,"",IF(AsOfDate&lt;AL24,"-",DATEDIF(AL24,AsOfDate,"y")&amp;"y "&amp;DATEDIF(AL24,AsOfDate,"ym")&amp;"m "&amp;DATEDIF(AL24,AsOfDate,"md")&amp;"d"))</f>
        <v/>
      </c>
      <c r="N24" s="17" t="str">
        <f aca="false">IF(AK24=0,"",O24*HoursPerDay)</f>
        <v/>
      </c>
      <c r="O24" s="17" t="str">
        <f aca="false">IF(AK24=0,"",MAX(0,BD24-BQ24))</f>
        <v/>
      </c>
      <c r="P24" s="18"/>
      <c r="Q24" s="16" t="str">
        <f aca="false">IF(AK24=0,"",IF(AM24&lt;2,"",AQ24&amp;" to "&amp;AR24&amp;" on "&amp;TEXT(AO24,"dd/mm/yyyy")&amp;IF(AO24&gt;AsOfDate," (future)",IF(AT24=AU24,"",IF(AU24="None"," - STOPPED accruing",IF(AT24="None"," - commencement for Bonus Leave"," - pathway changed"))))&amp;IF(AM24&lt;3,"","; "&amp;AR24&amp;" to "&amp;AS24&amp;" on "&amp;TEXT(AP24,"dd/mm/yyyy")&amp;IF(AP24&gt;AsOfDate," (future)",IF(AU24=AV24,"",IF(AV24="None"," - STOPPED accruing",IF(AU24="None"," - commencement for Bonus Leave"," - pathway changed")))))))</f>
        <v/>
      </c>
      <c r="R24" s="16" t="str">
        <f aca="false">IF(AK24=0,"",IF(AW24="None",IF(O24&gt;0,"No longer accruing","Not eligible - "&amp;IF(AND(OR(ISNUMBER(SEARCH("part",$C24)),UPPER(TRIM($C24))="PT",UPPER(TRIM($C24))="PTE"),Apply2026="No"),"part-time (scheme is full-time only)",IF(AND(OR(ISNUMBER(SEARCH("part",$C24)),UPPER(TRIM($C24))="PT",UPPER(TRIM($C24))="PTE"),$P24&lt;&gt;"",N($P24)&lt;PT_MinHours),"under "&amp;PT_MinHours&amp;" hrs",IF(IF($C24="","",IF(OR(ISNUMBER(SEARCH("full",$C24)),UPPER(TRIM($C24))="FT",UPPER(TRIM($C24))="FTE"),"Full-Time",IF(OR(ISNUMBER(SEARCH("part",$C24)),UPPER(TRIM($C24))="PT",UPPER(TRIM($C24))="PTE"),"Part-Time",IF(OR(ISNUMBER(SEARCH("cas",$C24)),UPPER(TRIM($C24))="CAS"),"Casual","Unknown"))))="Unknown","type not recognised",$C24)))),IF(O24&gt;0,"Yes - Accrual Required","Not yet - from "&amp;TEXT(S24,"dd/mm/yyyy"))))</f>
        <v/>
      </c>
      <c r="S24" s="14" t="str">
        <f aca="false">IF(AK24=0,"",IF(AW24="None","",EDATE(AL24,BF24)))</f>
        <v/>
      </c>
      <c r="T24" s="17" t="str">
        <f aca="false">IF(AK24=0,"",IF(NOT(LH_Ready),"",IF($F24&gt;PFYDate,0,IF(LH_ColPeriod=0,W24-U24+V24,SUMIFS(INDEX(LH_Data,0,LH_ColAcc),INDEX(LH_Data,0,LH_ColFirst),$A24,INDEX(LH_Data,0,LH_ColSur),$B24,INDEX(LH_Data,0,LH_ColCat),BonusCat,INDEX(LH_Data,0,LH_ColPeriod),LH_OpenLabel)*UnitFactor))))</f>
        <v/>
      </c>
      <c r="U24" s="17" t="str">
        <f aca="false">IF(AK24=0,"",IF(NOT(LH_Ready),"",SUMIFS(INDEX(LH_Data,0,LH_ColAcc),INDEX(LH_Data,0,LH_ColFirst),$A24,INDEX(LH_Data,0,LH_ColSur),$B24,INDEX(LH_Data,0,LH_ColCat),BonusCat,INDEX(LH_Data,0,LH_ColStart),"&gt;="&amp;AL24)*UnitFactor))</f>
        <v/>
      </c>
      <c r="V24" s="17" t="str">
        <f aca="false">IF(AK24=0,"",IF(NOT(LH_Ready),"",SUMIFS(INDEX(LH_Data,0,LH_ColTaken),INDEX(LH_Data,0,LH_ColFirst),$A24,INDEX(LH_Data,0,LH_ColSur),$B24,INDEX(LH_Data,0,LH_ColCat),BonusCat,INDEX(LH_Data,0,LH_ColStart),"&gt;="&amp;AL24)*UnitFactor))</f>
        <v/>
      </c>
      <c r="W24" s="17" t="str">
        <f aca="false">IF(AK24=0,"",IF(NOT(LH_Ready),"",IF(BH24=0,0,INDEX(INDEX(LH_Data,0,LH_ColClose),BH24-1)*UnitFactor)))</f>
        <v/>
      </c>
      <c r="X24" s="17" t="str">
        <f aca="false">IF(AK24=0,"",(MAX(0,BD24-BQ24)-MAX(0,BE24-BQ24))*HoursPerDay)</f>
        <v/>
      </c>
      <c r="Y24" s="17" t="str">
        <f aca="false">IF(AK24=0,"",IF(NOT(LH_Ready),"",IF($AI24="Yes",N(AE24)*HoursPerDay-SUMIFS(INDEX(LH_Data,0,LH_ColAcc),INDEX(LH_Data,0,LH_ColFirst),$A24,INDEX(LH_Data,0,LH_ColSur),$B24,INDEX(LH_Data,0,LH_ColCat),BonusCat,INDEX(LH_Data,0,LH_ColStart),"&gt;="&amp;(EOMONTH(AsOfDate,-1)+1),INDEX(LH_Data,0,LH_ColStart),"&lt;="&amp;AsOfDate)*UnitFactor,IF(BG24=0,N24,N24-N(T24)-N(U24)))))</f>
        <v/>
      </c>
      <c r="Z24" s="16" t="str">
        <f aca="false">IF(OR(AK24=0,Y24=""),"",IF(Y24&gt;0,"Yes","No"))</f>
        <v/>
      </c>
      <c r="AA24" s="16" t="str">
        <f aca="false">IF(AK24=0,IF(LEN($A24&amp;$B24)=0,"","FIX INPUT - StartDate missing"),IF(AD24&lt;&gt;"","FIX INPUT - "&amp;AD24,IF(NOT(LH_Ready),"Paste Leave History export (Settings must show YES)",IF(AND($AI24="Yes",Y24&lt;=0),"OK - EH balance accepted to date"&amp;IF(N(AH24)&gt;0," (EH holds "&amp;AH24&amp;" hrs over the scheme)","")&amp;"; next day "&amp;TEXT(S24,"dd mmm yy")&amp;IF(N(AE24)&gt;0," ("&amp;AE24&amp;" day(s) for "&amp;UPPER(TEXT(AsOfDate,"mmm yyyy"))&amp;" already in EH)",""),IF(Y24&gt;0,"ACCRUE "&amp;ROUND(Y24,2)&amp;" hrs ("&amp;ROUND(Y24/HoursPerDay,2)&amp;" days): "&amp;IF(N(AE24)&gt;0,AE24&amp;" day(s) for "&amp;UPPER(TEXT(AsOfDate,"mmm yyyy"))&amp;" (milestone "&amp;UPPER(TEXT(AF24,"dd mmm yy"))&amp;")"&amp;IF(Y24/HoursPerDay&gt;AE24+0.001," + "&amp;ROUND(Y24/HoursPerDay-AE24,2)&amp;" day(s) catch-up from earlier months",""),"all catch-up from earlier months, nothing new this month")&amp;IF(BG24=0,"; no Bonus Leave in EH yet",""),IF(Y24&lt;0,"CHECK - EH accrued "&amp;ROUND(-Y24,2)&amp;" hrs more than policy since commencement",IF(N(W24)&gt;O24*HoursPerDay+0.01,"CHECK - EH balance "&amp;ROUND(W24-O24*HoursPerDay,2)&amp;" hrs more than policy entitlement",IF(O24&gt;0,"OK - nothing to add"&amp;IF(N(AE24)&gt;0," ("&amp;AE24&amp;" day(s) for "&amp;UPPER(TEXT(AsOfDate,"mmm yyyy"))&amp;" already in EH)",""),IF(AW24="None",R24,"Not yet - first day on "&amp;TEXT(S24,"dd/mm/yyyy"))))))))))</f>
        <v/>
      </c>
      <c r="AB24" s="17" t="str">
        <f aca="false">IF(OR(AK24=0,T24=""),"",MAX(0,BE24-BQ24)*HoursPerDay-T24)</f>
        <v/>
      </c>
      <c r="AC24" s="16" t="str">
        <f aca="false">IF(AK24=0,"",BG24)</f>
        <v/>
      </c>
      <c r="AD24" s="16" t="str">
        <f aca="false">IF(AK24=0,"",TRIM(IF(OR(ISTEXT($F24),ISTEXT($H24),ISTEXT($I24),ISTEXT($G24),ISTEXT($J24),ISTEXT($D24)),"A date is typed as text - retype it as dd/mm/yyyy. ","")&amp;IF(IF($C24="","",IF(OR(ISNUMBER(SEARCH("full",$C24)),UPPER(TRIM($C24))="FT",UPPER(TRIM($C24))="FTE"),"Full-Time",IF(OR(ISNUMBER(SEARCH("part",$C24)),UPPER(TRIM($C24))="PT",UPPER(TRIM($C24))="PTE"),"Part-Time",IF(OR(ISNUMBER(SEARCH("cas",$C24)),UPPER(TRIM($C24))="CAS"),"Casual","Unknown"))))="Unknown","EmploymentType not recognised - use Full-Time, Part-Time or Casual. ","")&amp;IF(AND(AM24&gt;=1,IF(AM24&gt;=3,AS24,IF(AM24=2,AR24,AQ24))&lt;&gt;IF($C24="","",IF(OR(ISNUMBER(SEARCH("full",$C24)),UPPER(TRIM($C24))="FT",UPPER(TRIM($C24))="FTE"),"Full-Time",IF(OR(ISNUMBER(SEARCH("part",$C24)),UPPER(TRIM($C24))="PT",UPPER(TRIM($C24))="PTE"),"Part-Time",IF(OR(ISNUMBER(SEARCH("cas",$C24)),UPPER(TRIM($C24))="CAS"),"Casual","Unknown"))))),"EmploymentType does not match latest start date ("&amp;IF(AM24&gt;=3,AS24,IF(AM24=2,AR24,AQ24))&amp;"). ","")&amp;IF(AND(AM24&gt;=1,AN24&lt;&gt;$F24),"Earliest type date should equal StartDate. ","")&amp;IF(AND(AM24&gt;=2,AN24=AO24),"Two types start on the same date. ","")&amp;IF(AND(OR(ISNUMBER(SEARCH("part",$C24)),UPPER(TRIM($C24))="PT",UPPER(TRIM($C24))="PTE"),$P24=""),"Part-time: enter PT Hrs/Week (blank = 24+). ","")))</f>
        <v/>
      </c>
      <c r="AE24" s="17" t="str">
        <f aca="false">IF(AK24=0,"",O24-MAX(0,BL24-BQ24))</f>
        <v/>
      </c>
      <c r="AF24" s="14" t="str">
        <f aca="false">IF(OR(AK24=0,AE24="",N(AE24)=0,BM24=""),"",EDATE(AL24,BM24))</f>
        <v/>
      </c>
      <c r="AG24" s="17" t="str">
        <f aca="false">IF(AK24=0,"",MIN(BD24,BQ24))</f>
        <v/>
      </c>
      <c r="AH24" s="17" t="str">
        <f aca="false">IF(AK24=0,"",IF(NOT(LH_Ready),"",IF(BG24=0,0,MAX(0,ROUND(N(T24)+N(U24)-N24,2)))))</f>
        <v/>
      </c>
      <c r="AI24" s="12"/>
      <c r="AJ24" s="12"/>
      <c r="AK24" s="16" t="n">
        <f aca="false">IF(OR(LEN($A24&amp;$B24)=0,$F24=""),0,1)</f>
        <v>0</v>
      </c>
      <c r="AL24" s="14" t="str">
        <f aca="false">IF(AK24=0,"",IF(PreSchemeCounts="No",MAX(SchemeStart,IF($J24&lt;&gt;"",$J24,IF(OR(CasualCounts="Yes",COUNT($G24:$I24)=0),$F24,IF(Apply2026="No",IF($I24="",$F24,$I24),IF(COUNT($H24:$I24)=0,$F24,MIN($H24:$I24)))))),IF($J24&lt;&gt;"",$J24,IF(OR(CasualCounts="Yes",COUNT($G24:$I24)=0),$F24,IF(Apply2026="No",IF($I24="",$F24,$I24),IF(COUNT($H24:$I24)=0,$F24,MIN($H24:$I24)))))))</f>
        <v/>
      </c>
      <c r="AM24" s="16" t="str">
        <f aca="false">IF(AK24=0,"",COUNT($G24:$I24))</f>
        <v/>
      </c>
      <c r="AN24" s="14" t="str">
        <f aca="false">IF(AK24=0,"",IFERROR(SMALL($G24:$I24,1),""))</f>
        <v/>
      </c>
      <c r="AO24" s="14" t="str">
        <f aca="false">IF(AK24=0,"",IFERROR(SMALL($G24:$I24,2),""))</f>
        <v/>
      </c>
      <c r="AP24" s="14" t="str">
        <f aca="false">IF(AK24=0,"",IFERROR(SMALL($G24:$I24,3),""))</f>
        <v/>
      </c>
      <c r="AQ24" s="16" t="str">
        <f aca="false">IF(AK24=0,"",IF(AN24="","",IF(AN24=$H24,"Part-Time",IF(AN24=$I24,"Full-Time","Casual"))))</f>
        <v/>
      </c>
      <c r="AR24" s="16" t="str">
        <f aca="false">IF(AK24=0,"",IF(AO24="","",IF(AO24=$H24,"Part-Time",IF(AO24=$I24,"Full-Time","Casual"))))</f>
        <v/>
      </c>
      <c r="AS24" s="16" t="str">
        <f aca="false">IF(AK24=0,"",IF(AP24="","",IF(AP24=$H24,"Part-Time",IF(AP24=$I24,"Full-Time","Casual"))))</f>
        <v/>
      </c>
      <c r="AT24" s="16" t="str">
        <f aca="false">IF(AK24=0,"",IF(AM24=0,IF(OR(ISNUMBER(SEARCH("full",$C24)),UPPER(TRIM($C24))="FT",UPPER(TRIM($C24))="FTE"),"FT",IF(AND(OR(ISNUMBER(SEARCH("part",$C24)),UPPER(TRIM($C24))="PT",UPPER(TRIM($C24))="PTE"),Apply2026="Yes",OR($P24="",N($P24)&gt;=PT_MinHours)),"PT","None")),IF(OR(ISNUMBER(SEARCH("full",AQ24)),UPPER(TRIM(AQ24))="FT",UPPER(TRIM(AQ24))="FTE"),"FT",IF(AND(OR(ISNUMBER(SEARCH("part",AQ24)),UPPER(TRIM(AQ24))="PT",UPPER(TRIM(AQ24))="PTE"),Apply2026="Yes",OR($P24="",N($P24)&gt;=PT_MinHours)),"PT","None"))))</f>
        <v/>
      </c>
      <c r="AU24" s="16" t="str">
        <f aca="false">IF(AK24=0,"",IF(AM24&lt;2,"",IF(OR(ISNUMBER(SEARCH("full",AR24)),UPPER(TRIM(AR24))="FT",UPPER(TRIM(AR24))="FTE"),"FT",IF(AND(OR(ISNUMBER(SEARCH("part",AR24)),UPPER(TRIM(AR24))="PT",UPPER(TRIM(AR24))="PTE"),Apply2026="Yes",OR($P24="",N($P24)&gt;=PT_MinHours)),"PT","None"))))</f>
        <v/>
      </c>
      <c r="AV24" s="16" t="str">
        <f aca="false">IF(AK24=0,"",IF(AM24&lt;3,"",IF(OR(ISNUMBER(SEARCH("full",AS24)),UPPER(TRIM(AS24))="FT",UPPER(TRIM(AS24))="FTE"),"FT",IF(AND(OR(ISNUMBER(SEARCH("part",AS24)),UPPER(TRIM(AS24))="PT",UPPER(TRIM(AS24))="PTE"),Apply2026="Yes",OR($P24="",N($P24)&gt;=PT_MinHours)),"PT","None"))))</f>
        <v/>
      </c>
      <c r="AW24" s="16" t="str">
        <f aca="false">IF(AK24=0,"",IF(AND(AM24&gt;=3,AP24&lt;=AsOfDate),AV24,IF(AND(AM24&gt;=2,AO24&lt;=AsOfDate),AU24,AT24)))</f>
        <v/>
      </c>
      <c r="AX24" s="16" t="str">
        <f aca="false">IF(AK24=0,"",IF(AsOfDate&lt;AL24,-1,12*(YEAR(AsOfDate)-YEAR(AL24))+MONTH(AsOfDate)-MONTH(AL24)-IF(DAY(AsOfDate)&lt;MIN(DAY(AL24),DAY(EOMONTH(AsOfDate,0))),1,0)))</f>
        <v/>
      </c>
      <c r="AY24" s="16" t="str">
        <f aca="false">IF(AK24=0,"",IF(OR(AM24&lt;2,AO24&gt;AsOfDate),AX24,IF((AO24-1)&lt;AL24,-1,12*(YEAR((AO24-1))-YEAR(AL24))+MONTH((AO24-1))-MONTH(AL24)-IF(DAY((AO24-1))&lt;MIN(DAY(AL24),DAY(EOMONTH((AO24-1),0))),1,0))))</f>
        <v/>
      </c>
      <c r="AZ24" s="16" t="str">
        <f aca="false">IF(AK24=0,"",IF(OR(AM24&lt;3,AP24&gt;AsOfDate),AX24,IF((AP24-1)&lt;AL24,-1,12*(YEAR((AP24-1))-YEAR(AL24))+MONTH((AP24-1))-MONTH(AL24)-IF(DAY((AP24-1))&lt;MIN(DAY(AL24),DAY(EOMONTH((AP24-1),0))),1,0))))</f>
        <v/>
      </c>
      <c r="BA24" s="16" t="str">
        <f aca="false">IF(AK24=0,"",IF(PFYDate&lt;AL24,-1,12*(YEAR(PFYDate)-YEAR(AL24))+MONTH(PFYDate)-MONTH(AL24)-IF(DAY(PFYDate)&lt;MIN(DAY(AL24),DAY(EOMONTH(PFYDate,0))),1,0)))</f>
        <v/>
      </c>
      <c r="BB24" s="16" t="str">
        <f aca="false">IF(AK24=0,"",IF(OR(AM24&lt;2,AO24&gt;PFYDate),BA24,IF((AO24-1)&lt;AL24,-1,12*(YEAR((AO24-1))-YEAR(AL24))+MONTH((AO24-1))-MONTH(AL24)-IF(DAY((AO24-1))&lt;MIN(DAY(AL24),DAY(EOMONTH((AO24-1),0))),1,0))))</f>
        <v/>
      </c>
      <c r="BC24" s="16" t="str">
        <f aca="false">IF(AK24=0,"",IF(OR(AM24&lt;3,AP24&gt;PFYDate),BA24,IF((AP24-1)&lt;AL24,-1,12*(YEAR((AP24-1))-YEAR(AL24))+MONTH((AP24-1))-MONTH(AL24)-IF(DAY((AP24-1))&lt;MIN(DAY(AL24),DAY(EOMONTH((AP24-1),0))),1,0))))</f>
        <v/>
      </c>
      <c r="BD24" s="16" t="str">
        <f aca="false">IF(AK24=0,"",IF(AT24="FT",IF(AY24&lt;FT_First,0,IF(AY24&lt;FT_Y5,1+INT((AY24-FT_First)/FT_Int1),FT_PreY5+FT_PerYear*INT((AY24-FT_Y5)/12)+FT_AnnivDays+INT(MOD(AY24-FT_Y5,12)/FT_Int2)-IF(EDATE(AL24,FT_Y5)&lt;PolicyEff,FT_AnnivDays-1,0))),IF(AT24="PT",IF(AY24&lt;PT_First,0,1+INT((AY24-PT_First)/PT_Int)),0))+IF(AND(AM24&gt;=2,AO24&lt;=AsOfDate),IF(AU24="FT",IF(AZ24&lt;FT_First,0,IF(AZ24&lt;FT_Y5,1+INT((AZ24-FT_First)/FT_Int1),FT_PreY5+FT_PerYear*INT((AZ24-FT_Y5)/12)+FT_AnnivDays+INT(MOD(AZ24-FT_Y5,12)/FT_Int2)-IF(EDATE(AL24,FT_Y5)&lt;PolicyEff,FT_AnnivDays-1,0))),IF(AU24="PT",IF(AZ24&lt;PT_First,0,1+INT((AZ24-PT_First)/PT_Int)),0))-IF(AU24="FT",IF(AY24&lt;FT_First,0,IF(AY24&lt;FT_Y5,1+INT((AY24-FT_First)/FT_Int1),FT_PreY5+FT_PerYear*INT((AY24-FT_Y5)/12)+FT_AnnivDays+INT(MOD(AY24-FT_Y5,12)/FT_Int2)-IF(EDATE(AL24,FT_Y5)&lt;PolicyEff,FT_AnnivDays-1,0))),IF(AU24="PT",IF(AY24&lt;PT_First,0,1+INT((AY24-PT_First)/PT_Int)),0)),0)+IF(AND(AM24&gt;=3,AP24&lt;=AsOfDate),IF(AV24="FT",IF(AX24&lt;FT_First,0,IF(AX24&lt;FT_Y5,1+INT((AX24-FT_First)/FT_Int1),FT_PreY5+FT_PerYear*INT((AX24-FT_Y5)/12)+FT_AnnivDays+INT(MOD(AX24-FT_Y5,12)/FT_Int2)-IF(EDATE(AL24,FT_Y5)&lt;PolicyEff,FT_AnnivDays-1,0))),IF(AV24="PT",IF(AX24&lt;PT_First,0,1+INT((AX24-PT_First)/PT_Int)),0))-IF(AV24="FT",IF(AZ24&lt;FT_First,0,IF(AZ24&lt;FT_Y5,1+INT((AZ24-FT_First)/FT_Int1),FT_PreY5+FT_PerYear*INT((AZ24-FT_Y5)/12)+FT_AnnivDays+INT(MOD(AZ24-FT_Y5,12)/FT_Int2)-IF(EDATE(AL24,FT_Y5)&lt;PolicyEff,FT_AnnivDays-1,0))),IF(AV24="PT",IF(AZ24&lt;PT_First,0,1+INT((AZ24-PT_First)/PT_Int)),0)),0))</f>
        <v/>
      </c>
      <c r="BE24" s="16" t="str">
        <f aca="false">IF(AK24=0,"",IF(AT24="FT",IF(BB24&lt;FT_First,0,IF(BB24&lt;FT_Y5,1+INT((BB24-FT_First)/FT_Int1),FT_PreY5+FT_PerYear*INT((BB24-FT_Y5)/12)+FT_AnnivDays+INT(MOD(BB24-FT_Y5,12)/FT_Int2)-IF(EDATE(AL24,FT_Y5)&lt;PolicyEff,FT_AnnivDays-1,0))),IF(AT24="PT",IF(BB24&lt;PT_First,0,1+INT((BB24-PT_First)/PT_Int)),0))+IF(AND(AM24&gt;=2,AO24&lt;=PFYDate),IF(AU24="FT",IF(BC24&lt;FT_First,0,IF(BC24&lt;FT_Y5,1+INT((BC24-FT_First)/FT_Int1),FT_PreY5+FT_PerYear*INT((BC24-FT_Y5)/12)+FT_AnnivDays+INT(MOD(BC24-FT_Y5,12)/FT_Int2)-IF(EDATE(AL24,FT_Y5)&lt;PolicyEff,FT_AnnivDays-1,0))),IF(AU24="PT",IF(BC24&lt;PT_First,0,1+INT((BC24-PT_First)/PT_Int)),0))-IF(AU24="FT",IF(BB24&lt;FT_First,0,IF(BB24&lt;FT_Y5,1+INT((BB24-FT_First)/FT_Int1),FT_PreY5+FT_PerYear*INT((BB24-FT_Y5)/12)+FT_AnnivDays+INT(MOD(BB24-FT_Y5,12)/FT_Int2)-IF(EDATE(AL24,FT_Y5)&lt;PolicyEff,FT_AnnivDays-1,0))),IF(AU24="PT",IF(BB24&lt;PT_First,0,1+INT((BB24-PT_First)/PT_Int)),0)),0)+IF(AND(AM24&gt;=3,AP24&lt;=PFYDate),IF(AV24="FT",IF(BA24&lt;FT_First,0,IF(BA24&lt;FT_Y5,1+INT((BA24-FT_First)/FT_Int1),FT_PreY5+FT_PerYear*INT((BA24-FT_Y5)/12)+FT_AnnivDays+INT(MOD(BA24-FT_Y5,12)/FT_Int2)-IF(EDATE(AL24,FT_Y5)&lt;PolicyEff,FT_AnnivDays-1,0))),IF(AV24="PT",IF(BA24&lt;PT_First,0,1+INT((BA24-PT_First)/PT_Int)),0))-IF(AV24="FT",IF(BC24&lt;FT_First,0,IF(BC24&lt;FT_Y5,1+INT((BC24-FT_First)/FT_Int1),FT_PreY5+FT_PerYear*INT((BC24-FT_Y5)/12)+FT_AnnivDays+INT(MOD(BC24-FT_Y5,12)/FT_Int2)-IF(EDATE(AL24,FT_Y5)&lt;PolicyEff,FT_AnnivDays-1,0))),IF(AV24="PT",IF(BC24&lt;PT_First,0,1+INT((BC24-PT_First)/PT_Int)),0)),0))</f>
        <v/>
      </c>
      <c r="BF24" s="16" t="str">
        <f aca="false">IF(AK24=0,"",IF(AW24="FT",IF(AX24&lt;FT_First,FT_First,IF(AX24&lt;FT_Y5,MIN(FT_Y5,FT_First+FT_Int1*(INT((AX24-FT_First)/FT_Int1)+1)),FT_Y5+12*INT((AX24-FT_Y5)/12)+FT_Int2*(INT(MOD(AX24-FT_Y5,12)/FT_Int2)+1))),IF(AW24="PT",IF(AX24&lt;PT_First,PT_First,PT_First+PT_Int*(INT((AX24-PT_First)/PT_Int)+1)),"")))</f>
        <v/>
      </c>
      <c r="BG24" s="16" t="str">
        <f aca="false">IF(AK24=0,"",IF(NOT(LH_Ready),0,COUNTIFS(INDEX(LH_Data,0,LH_ColFirst),$A24,INDEX(LH_Data,0,LH_ColSur),$B24,INDEX(LH_Data,0,LH_ColCat),BonusCat)))</f>
        <v/>
      </c>
      <c r="BH24" s="16" t="str">
        <f aca="false">IF(AK24=0,"",IF(OR(NOT(LH_Ready),BG24=0),0,SUMPRODUCT(MAX((INDEX(LH_Data,0,LH_ColFirst)=$A24)*(INDEX(LH_Data,0,LH_ColSur)=$B24)*(INDEX(LH_Data,0,LH_ColCat)=BonusCat)*ROW(LH_Data)))))</f>
        <v/>
      </c>
      <c r="BI24" s="16" t="str">
        <f aca="false">IF(AK24=0,"",IF(EOMONTH(AsOfDate,-1)&lt;AL24,-1,12*(YEAR(EOMONTH(AsOfDate,-1))-YEAR(AL24))+MONTH(EOMONTH(AsOfDate,-1))-MONTH(AL24)-IF(DAY(EOMONTH(AsOfDate,-1))&lt;MIN(DAY(AL24),DAY(EOMONTH(EOMONTH(AsOfDate,-1),0))),1,0)))</f>
        <v/>
      </c>
      <c r="BJ24" s="16" t="str">
        <f aca="false">IF(AK24=0,"",IF(OR(AM24&lt;2,AO24&gt;EOMONTH(AsOfDate,-1)),BI24,IF((AO24-1)&lt;AL24,-1,12*(YEAR((AO24-1))-YEAR(AL24))+MONTH((AO24-1))-MONTH(AL24)-IF(DAY((AO24-1))&lt;MIN(DAY(AL24),DAY(EOMONTH((AO24-1),0))),1,0))))</f>
        <v/>
      </c>
      <c r="BK24" s="16" t="str">
        <f aca="false">IF(AK24=0,"",IF(OR(AM24&lt;3,AP24&gt;EOMONTH(AsOfDate,-1)),BI24,IF((AP24-1)&lt;AL24,-1,12*(YEAR((AP24-1))-YEAR(AL24))+MONTH((AP24-1))-MONTH(AL24)-IF(DAY((AP24-1))&lt;MIN(DAY(AL24),DAY(EOMONTH((AP24-1),0))),1,0))))</f>
        <v/>
      </c>
      <c r="BL24" s="16" t="str">
        <f aca="false">IF(AK24=0,"",IF(AT24="FT",IF(BJ24&lt;FT_First,0,IF(BJ24&lt;FT_Y5,1+INT((BJ24-FT_First)/FT_Int1),FT_PreY5+FT_PerYear*INT((BJ24-FT_Y5)/12)+FT_AnnivDays+INT(MOD(BJ24-FT_Y5,12)/FT_Int2)-IF(EDATE(AL24,FT_Y5)&lt;PolicyEff,FT_AnnivDays-1,0))),IF(AT24="PT",IF(BJ24&lt;PT_First,0,1+INT((BJ24-PT_First)/PT_Int)),0))+IF(AND(AM24&gt;=2,AO24&lt;=EOMONTH(AsOfDate,-1)),IF(AU24="FT",IF(BK24&lt;FT_First,0,IF(BK24&lt;FT_Y5,1+INT((BK24-FT_First)/FT_Int1),FT_PreY5+FT_PerYear*INT((BK24-FT_Y5)/12)+FT_AnnivDays+INT(MOD(BK24-FT_Y5,12)/FT_Int2)-IF(EDATE(AL24,FT_Y5)&lt;PolicyEff,FT_AnnivDays-1,0))),IF(AU24="PT",IF(BK24&lt;PT_First,0,1+INT((BK24-PT_First)/PT_Int)),0))-IF(AU24="FT",IF(BJ24&lt;FT_First,0,IF(BJ24&lt;FT_Y5,1+INT((BJ24-FT_First)/FT_Int1),FT_PreY5+FT_PerYear*INT((BJ24-FT_Y5)/12)+FT_AnnivDays+INT(MOD(BJ24-FT_Y5,12)/FT_Int2)-IF(EDATE(AL24,FT_Y5)&lt;PolicyEff,FT_AnnivDays-1,0))),IF(AU24="PT",IF(BJ24&lt;PT_First,0,1+INT((BJ24-PT_First)/PT_Int)),0)),0)+IF(AND(AM24&gt;=3,AP24&lt;=EOMONTH(AsOfDate,-1)),IF(AV24="FT",IF(BI24&lt;FT_First,0,IF(BI24&lt;FT_Y5,1+INT((BI24-FT_First)/FT_Int1),FT_PreY5+FT_PerYear*INT((BI24-FT_Y5)/12)+FT_AnnivDays+INT(MOD(BI24-FT_Y5,12)/FT_Int2)-IF(EDATE(AL24,FT_Y5)&lt;PolicyEff,FT_AnnivDays-1,0))),IF(AV24="PT",IF(BI24&lt;PT_First,0,1+INT((BI24-PT_First)/PT_Int)),0))-IF(AV24="FT",IF(BK24&lt;FT_First,0,IF(BK24&lt;FT_Y5,1+INT((BK24-FT_First)/FT_Int1),FT_PreY5+FT_PerYear*INT((BK24-FT_Y5)/12)+FT_AnnivDays+INT(MOD(BK24-FT_Y5,12)/FT_Int2)-IF(EDATE(AL24,FT_Y5)&lt;PolicyEff,FT_AnnivDays-1,0))),IF(AV24="PT",IF(BK24&lt;PT_First,0,1+INT((BK24-PT_First)/PT_Int)),0)),0))</f>
        <v/>
      </c>
      <c r="BM24" s="16" t="str">
        <f aca="false">IF(AK24=0,"",IF(AW24="FT",IF(AX24&lt;FT_First,"",IF(AX24&lt;FT_Y5,FT_First+FT_Int1*INT((AX24-FT_First)/FT_Int1),FT_Y5+FT_Int2*INT((AX24-FT_Y5)/FT_Int2))),IF(AW24="PT",IF(AX24&lt;PT_First,"",PT_First+PT_Int*INT((AX24-PT_First)/PT_Int)),"")))</f>
        <v/>
      </c>
      <c r="BN24" s="16" t="str">
        <f aca="false">IF(AK24=0,"",IF((SchemeStart-1)&lt;AL24,-1,12*(YEAR((SchemeStart-1))-YEAR(AL24))+MONTH((SchemeStart-1))-MONTH(AL24)-IF(DAY((SchemeStart-1))&lt;MIN(DAY(AL24),DAY(EOMONTH((SchemeStart-1),0))),1,0)))</f>
        <v/>
      </c>
      <c r="BO24" s="16" t="str">
        <f aca="false">IF(AK24=0,"",IF(OR(AM24&lt;2,AO24&gt;(SchemeStart-1)),BN24,IF((AO24-1)&lt;AL24,-1,12*(YEAR((AO24-1))-YEAR(AL24))+MONTH((AO24-1))-MONTH(AL24)-IF(DAY((AO24-1))&lt;MIN(DAY(AL24),DAY(EOMONTH((AO24-1),0))),1,0))))</f>
        <v/>
      </c>
      <c r="BP24" s="16" t="str">
        <f aca="false">IF(AK24=0,"",IF(OR(AM24&lt;3,AP24&gt;(SchemeStart-1)),BN24,IF((AP24-1)&lt;AL24,-1,12*(YEAR((AP24-1))-YEAR(AL24))+MONTH((AP24-1))-MONTH(AL24)-IF(DAY((AP24-1))&lt;MIN(DAY(AL24),DAY(EOMONTH((AP24-1),0))),1,0))))</f>
        <v/>
      </c>
      <c r="BQ24" s="16" t="str">
        <f aca="false">IF(AK24=0,"",IF(AT24="FT",IF(BO24&lt;FT_First,0,IF(BO24&lt;FT_Y5,1+INT((BO24-FT_First)/FT_Int1),FT_PreY5+FT_PerYear*INT((BO24-FT_Y5)/12)+FT_AnnivDays+INT(MOD(BO24-FT_Y5,12)/FT_Int2)-IF(EDATE(AL24,FT_Y5)&lt;PolicyEff,FT_AnnivDays-1,0))),IF(AT24="PT",IF(BO24&lt;PT_First,0,1+INT((BO24-PT_First)/PT_Int)),0))+IF(AND(AM24&gt;=2,AO24&lt;=(SchemeStart-1)),IF(AU24="FT",IF(BP24&lt;FT_First,0,IF(BP24&lt;FT_Y5,1+INT((BP24-FT_First)/FT_Int1),FT_PreY5+FT_PerYear*INT((BP24-FT_Y5)/12)+FT_AnnivDays+INT(MOD(BP24-FT_Y5,12)/FT_Int2)-IF(EDATE(AL24,FT_Y5)&lt;PolicyEff,FT_AnnivDays-1,0))),IF(AU24="PT",IF(BP24&lt;PT_First,0,1+INT((BP24-PT_First)/PT_Int)),0))-IF(AU24="FT",IF(BO24&lt;FT_First,0,IF(BO24&lt;FT_Y5,1+INT((BO24-FT_First)/FT_Int1),FT_PreY5+FT_PerYear*INT((BO24-FT_Y5)/12)+FT_AnnivDays+INT(MOD(BO24-FT_Y5,12)/FT_Int2)-IF(EDATE(AL24,FT_Y5)&lt;PolicyEff,FT_AnnivDays-1,0))),IF(AU24="PT",IF(BO24&lt;PT_First,0,1+INT((BO24-PT_First)/PT_Int)),0)),0)+IF(AND(AM24&gt;=3,AP24&lt;=(SchemeStart-1)),IF(AV24="FT",IF(BN24&lt;FT_First,0,IF(BN24&lt;FT_Y5,1+INT((BN24-FT_First)/FT_Int1),FT_PreY5+FT_PerYear*INT((BN24-FT_Y5)/12)+FT_AnnivDays+INT(MOD(BN24-FT_Y5,12)/FT_Int2)-IF(EDATE(AL24,FT_Y5)&lt;PolicyEff,FT_AnnivDays-1,0))),IF(AV24="PT",IF(BN24&lt;PT_First,0,1+INT((BN24-PT_First)/PT_Int)),0))-IF(AV24="FT",IF(BP24&lt;FT_First,0,IF(BP24&lt;FT_Y5,1+INT((BP24-FT_First)/FT_Int1),FT_PreY5+FT_PerYear*INT((BP24-FT_Y5)/12)+FT_AnnivDays+INT(MOD(BP24-FT_Y5,12)/FT_Int2)-IF(EDATE(AL24,FT_Y5)&lt;PolicyEff,FT_AnnivDays-1,0))),IF(AV24="PT",IF(BP24&lt;PT_First,0,1+INT((BP24-PT_First)/PT_Int)),0)),0))</f>
        <v/>
      </c>
      <c r="BR24" s="0" t="str">
        <f aca="false">IF(LEN($A24&amp;$B24)=0,"",$A24&amp;" "&amp;$B24)</f>
        <v/>
      </c>
    </row>
    <row r="25" customFormat="false" ht="15" hidden="false" customHeight="false" outlineLevel="0" collapsed="false">
      <c r="A25" s="12"/>
      <c r="B25" s="12"/>
      <c r="C25" s="12"/>
      <c r="D25" s="13"/>
      <c r="E25" s="14" t="str">
        <f aca="false">IF(OR(AK25=0,$D25=""),"",DATE(YEAR(AsOfDate)+IF(DATE(YEAR(AsOfDate),MONTH($D25),DAY($D25))&lt;=AsOfDate,1,0),MONTH($D25),DAY($D25)))</f>
        <v/>
      </c>
      <c r="F25" s="13"/>
      <c r="G25" s="13"/>
      <c r="H25" s="13"/>
      <c r="I25" s="13"/>
      <c r="J25" s="13"/>
      <c r="K25" s="14" t="str">
        <f aca="false">IF(AK25=0,"",DATE(YEAR(AsOfDate)+IF(DATE(YEAR(AsOfDate),MONTH(AL25),DAY(AL25))&lt;=AsOfDate,1,0),MONTH(AL25),DAY(AL25)))</f>
        <v/>
      </c>
      <c r="L25" s="15" t="str">
        <f aca="false">IF(AK25=0,"",ROUND((AsOfDate-AL25)/365.25,1))</f>
        <v/>
      </c>
      <c r="M25" s="16" t="str">
        <f aca="false">IF(AK25=0,"",IF(AsOfDate&lt;AL25,"-",DATEDIF(AL25,AsOfDate,"y")&amp;"y "&amp;DATEDIF(AL25,AsOfDate,"ym")&amp;"m "&amp;DATEDIF(AL25,AsOfDate,"md")&amp;"d"))</f>
        <v/>
      </c>
      <c r="N25" s="17" t="str">
        <f aca="false">IF(AK25=0,"",O25*HoursPerDay)</f>
        <v/>
      </c>
      <c r="O25" s="17" t="str">
        <f aca="false">IF(AK25=0,"",MAX(0,BD25-BQ25))</f>
        <v/>
      </c>
      <c r="P25" s="18"/>
      <c r="Q25" s="16" t="str">
        <f aca="false">IF(AK25=0,"",IF(AM25&lt;2,"",AQ25&amp;" to "&amp;AR25&amp;" on "&amp;TEXT(AO25,"dd/mm/yyyy")&amp;IF(AO25&gt;AsOfDate," (future)",IF(AT25=AU25,"",IF(AU25="None"," - STOPPED accruing",IF(AT25="None"," - commencement for Bonus Leave"," - pathway changed"))))&amp;IF(AM25&lt;3,"","; "&amp;AR25&amp;" to "&amp;AS25&amp;" on "&amp;TEXT(AP25,"dd/mm/yyyy")&amp;IF(AP25&gt;AsOfDate," (future)",IF(AU25=AV25,"",IF(AV25="None"," - STOPPED accruing",IF(AU25="None"," - commencement for Bonus Leave"," - pathway changed")))))))</f>
        <v/>
      </c>
      <c r="R25" s="16" t="str">
        <f aca="false">IF(AK25=0,"",IF(AW25="None",IF(O25&gt;0,"No longer accruing","Not eligible - "&amp;IF(AND(OR(ISNUMBER(SEARCH("part",$C25)),UPPER(TRIM($C25))="PT",UPPER(TRIM($C25))="PTE"),Apply2026="No"),"part-time (scheme is full-time only)",IF(AND(OR(ISNUMBER(SEARCH("part",$C25)),UPPER(TRIM($C25))="PT",UPPER(TRIM($C25))="PTE"),$P25&lt;&gt;"",N($P25)&lt;PT_MinHours),"under "&amp;PT_MinHours&amp;" hrs",IF(IF($C25="","",IF(OR(ISNUMBER(SEARCH("full",$C25)),UPPER(TRIM($C25))="FT",UPPER(TRIM($C25))="FTE"),"Full-Time",IF(OR(ISNUMBER(SEARCH("part",$C25)),UPPER(TRIM($C25))="PT",UPPER(TRIM($C25))="PTE"),"Part-Time",IF(OR(ISNUMBER(SEARCH("cas",$C25)),UPPER(TRIM($C25))="CAS"),"Casual","Unknown"))))="Unknown","type not recognised",$C25)))),IF(O25&gt;0,"Yes - Accrual Required","Not yet - from "&amp;TEXT(S25,"dd/mm/yyyy"))))</f>
        <v/>
      </c>
      <c r="S25" s="14" t="str">
        <f aca="false">IF(AK25=0,"",IF(AW25="None","",EDATE(AL25,BF25)))</f>
        <v/>
      </c>
      <c r="T25" s="17" t="str">
        <f aca="false">IF(AK25=0,"",IF(NOT(LH_Ready),"",IF($F25&gt;PFYDate,0,IF(LH_ColPeriod=0,W25-U25+V25,SUMIFS(INDEX(LH_Data,0,LH_ColAcc),INDEX(LH_Data,0,LH_ColFirst),$A25,INDEX(LH_Data,0,LH_ColSur),$B25,INDEX(LH_Data,0,LH_ColCat),BonusCat,INDEX(LH_Data,0,LH_ColPeriod),LH_OpenLabel)*UnitFactor))))</f>
        <v/>
      </c>
      <c r="U25" s="17" t="str">
        <f aca="false">IF(AK25=0,"",IF(NOT(LH_Ready),"",SUMIFS(INDEX(LH_Data,0,LH_ColAcc),INDEX(LH_Data,0,LH_ColFirst),$A25,INDEX(LH_Data,0,LH_ColSur),$B25,INDEX(LH_Data,0,LH_ColCat),BonusCat,INDEX(LH_Data,0,LH_ColStart),"&gt;="&amp;AL25)*UnitFactor))</f>
        <v/>
      </c>
      <c r="V25" s="17" t="str">
        <f aca="false">IF(AK25=0,"",IF(NOT(LH_Ready),"",SUMIFS(INDEX(LH_Data,0,LH_ColTaken),INDEX(LH_Data,0,LH_ColFirst),$A25,INDEX(LH_Data,0,LH_ColSur),$B25,INDEX(LH_Data,0,LH_ColCat),BonusCat,INDEX(LH_Data,0,LH_ColStart),"&gt;="&amp;AL25)*UnitFactor))</f>
        <v/>
      </c>
      <c r="W25" s="17" t="str">
        <f aca="false">IF(AK25=0,"",IF(NOT(LH_Ready),"",IF(BH25=0,0,INDEX(INDEX(LH_Data,0,LH_ColClose),BH25-1)*UnitFactor)))</f>
        <v/>
      </c>
      <c r="X25" s="17" t="str">
        <f aca="false">IF(AK25=0,"",(MAX(0,BD25-BQ25)-MAX(0,BE25-BQ25))*HoursPerDay)</f>
        <v/>
      </c>
      <c r="Y25" s="17" t="str">
        <f aca="false">IF(AK25=0,"",IF(NOT(LH_Ready),"",IF($AI25="Yes",N(AE25)*HoursPerDay-SUMIFS(INDEX(LH_Data,0,LH_ColAcc),INDEX(LH_Data,0,LH_ColFirst),$A25,INDEX(LH_Data,0,LH_ColSur),$B25,INDEX(LH_Data,0,LH_ColCat),BonusCat,INDEX(LH_Data,0,LH_ColStart),"&gt;="&amp;(EOMONTH(AsOfDate,-1)+1),INDEX(LH_Data,0,LH_ColStart),"&lt;="&amp;AsOfDate)*UnitFactor,IF(BG25=0,N25,N25-N(T25)-N(U25)))))</f>
        <v/>
      </c>
      <c r="Z25" s="16" t="str">
        <f aca="false">IF(OR(AK25=0,Y25=""),"",IF(Y25&gt;0,"Yes","No"))</f>
        <v/>
      </c>
      <c r="AA25" s="16" t="str">
        <f aca="false">IF(AK25=0,IF(LEN($A25&amp;$B25)=0,"","FIX INPUT - StartDate missing"),IF(AD25&lt;&gt;"","FIX INPUT - "&amp;AD25,IF(NOT(LH_Ready),"Paste Leave History export (Settings must show YES)",IF(AND($AI25="Yes",Y25&lt;=0),"OK - EH balance accepted to date"&amp;IF(N(AH25)&gt;0," (EH holds "&amp;AH25&amp;" hrs over the scheme)","")&amp;"; next day "&amp;TEXT(S25,"dd mmm yy")&amp;IF(N(AE25)&gt;0," ("&amp;AE25&amp;" day(s) for "&amp;UPPER(TEXT(AsOfDate,"mmm yyyy"))&amp;" already in EH)",""),IF(Y25&gt;0,"ACCRUE "&amp;ROUND(Y25,2)&amp;" hrs ("&amp;ROUND(Y25/HoursPerDay,2)&amp;" days): "&amp;IF(N(AE25)&gt;0,AE25&amp;" day(s) for "&amp;UPPER(TEXT(AsOfDate,"mmm yyyy"))&amp;" (milestone "&amp;UPPER(TEXT(AF25,"dd mmm yy"))&amp;")"&amp;IF(Y25/HoursPerDay&gt;AE25+0.001," + "&amp;ROUND(Y25/HoursPerDay-AE25,2)&amp;" day(s) catch-up from earlier months",""),"all catch-up from earlier months, nothing new this month")&amp;IF(BG25=0,"; no Bonus Leave in EH yet",""),IF(Y25&lt;0,"CHECK - EH accrued "&amp;ROUND(-Y25,2)&amp;" hrs more than policy since commencement",IF(N(W25)&gt;O25*HoursPerDay+0.01,"CHECK - EH balance "&amp;ROUND(W25-O25*HoursPerDay,2)&amp;" hrs more than policy entitlement",IF(O25&gt;0,"OK - nothing to add"&amp;IF(N(AE25)&gt;0," ("&amp;AE25&amp;" day(s) for "&amp;UPPER(TEXT(AsOfDate,"mmm yyyy"))&amp;" already in EH)",""),IF(AW25="None",R25,"Not yet - first day on "&amp;TEXT(S25,"dd/mm/yyyy"))))))))))</f>
        <v/>
      </c>
      <c r="AB25" s="17" t="str">
        <f aca="false">IF(OR(AK25=0,T25=""),"",MAX(0,BE25-BQ25)*HoursPerDay-T25)</f>
        <v/>
      </c>
      <c r="AC25" s="16" t="str">
        <f aca="false">IF(AK25=0,"",BG25)</f>
        <v/>
      </c>
      <c r="AD25" s="16" t="str">
        <f aca="false">IF(AK25=0,"",TRIM(IF(OR(ISTEXT($F25),ISTEXT($H25),ISTEXT($I25),ISTEXT($G25),ISTEXT($J25),ISTEXT($D25)),"A date is typed as text - retype it as dd/mm/yyyy. ","")&amp;IF(IF($C25="","",IF(OR(ISNUMBER(SEARCH("full",$C25)),UPPER(TRIM($C25))="FT",UPPER(TRIM($C25))="FTE"),"Full-Time",IF(OR(ISNUMBER(SEARCH("part",$C25)),UPPER(TRIM($C25))="PT",UPPER(TRIM($C25))="PTE"),"Part-Time",IF(OR(ISNUMBER(SEARCH("cas",$C25)),UPPER(TRIM($C25))="CAS"),"Casual","Unknown"))))="Unknown","EmploymentType not recognised - use Full-Time, Part-Time or Casual. ","")&amp;IF(AND(AM25&gt;=1,IF(AM25&gt;=3,AS25,IF(AM25=2,AR25,AQ25))&lt;&gt;IF($C25="","",IF(OR(ISNUMBER(SEARCH("full",$C25)),UPPER(TRIM($C25))="FT",UPPER(TRIM($C25))="FTE"),"Full-Time",IF(OR(ISNUMBER(SEARCH("part",$C25)),UPPER(TRIM($C25))="PT",UPPER(TRIM($C25))="PTE"),"Part-Time",IF(OR(ISNUMBER(SEARCH("cas",$C25)),UPPER(TRIM($C25))="CAS"),"Casual","Unknown"))))),"EmploymentType does not match latest start date ("&amp;IF(AM25&gt;=3,AS25,IF(AM25=2,AR25,AQ25))&amp;"). ","")&amp;IF(AND(AM25&gt;=1,AN25&lt;&gt;$F25),"Earliest type date should equal StartDate. ","")&amp;IF(AND(AM25&gt;=2,AN25=AO25),"Two types start on the same date. ","")&amp;IF(AND(OR(ISNUMBER(SEARCH("part",$C25)),UPPER(TRIM($C25))="PT",UPPER(TRIM($C25))="PTE"),$P25=""),"Part-time: enter PT Hrs/Week (blank = 24+). ","")))</f>
        <v/>
      </c>
      <c r="AE25" s="17" t="str">
        <f aca="false">IF(AK25=0,"",O25-MAX(0,BL25-BQ25))</f>
        <v/>
      </c>
      <c r="AF25" s="14" t="str">
        <f aca="false">IF(OR(AK25=0,AE25="",N(AE25)=0,BM25=""),"",EDATE(AL25,BM25))</f>
        <v/>
      </c>
      <c r="AG25" s="17" t="str">
        <f aca="false">IF(AK25=0,"",MIN(BD25,BQ25))</f>
        <v/>
      </c>
      <c r="AH25" s="17" t="str">
        <f aca="false">IF(AK25=0,"",IF(NOT(LH_Ready),"",IF(BG25=0,0,MAX(0,ROUND(N(T25)+N(U25)-N25,2)))))</f>
        <v/>
      </c>
      <c r="AI25" s="12"/>
      <c r="AJ25" s="12"/>
      <c r="AK25" s="16" t="n">
        <f aca="false">IF(OR(LEN($A25&amp;$B25)=0,$F25=""),0,1)</f>
        <v>0</v>
      </c>
      <c r="AL25" s="14" t="str">
        <f aca="false">IF(AK25=0,"",IF(PreSchemeCounts="No",MAX(SchemeStart,IF($J25&lt;&gt;"",$J25,IF(OR(CasualCounts="Yes",COUNT($G25:$I25)=0),$F25,IF(Apply2026="No",IF($I25="",$F25,$I25),IF(COUNT($H25:$I25)=0,$F25,MIN($H25:$I25)))))),IF($J25&lt;&gt;"",$J25,IF(OR(CasualCounts="Yes",COUNT($G25:$I25)=0),$F25,IF(Apply2026="No",IF($I25="",$F25,$I25),IF(COUNT($H25:$I25)=0,$F25,MIN($H25:$I25)))))))</f>
        <v/>
      </c>
      <c r="AM25" s="16" t="str">
        <f aca="false">IF(AK25=0,"",COUNT($G25:$I25))</f>
        <v/>
      </c>
      <c r="AN25" s="14" t="str">
        <f aca="false">IF(AK25=0,"",IFERROR(SMALL($G25:$I25,1),""))</f>
        <v/>
      </c>
      <c r="AO25" s="14" t="str">
        <f aca="false">IF(AK25=0,"",IFERROR(SMALL($G25:$I25,2),""))</f>
        <v/>
      </c>
      <c r="AP25" s="14" t="str">
        <f aca="false">IF(AK25=0,"",IFERROR(SMALL($G25:$I25,3),""))</f>
        <v/>
      </c>
      <c r="AQ25" s="16" t="str">
        <f aca="false">IF(AK25=0,"",IF(AN25="","",IF(AN25=$H25,"Part-Time",IF(AN25=$I25,"Full-Time","Casual"))))</f>
        <v/>
      </c>
      <c r="AR25" s="16" t="str">
        <f aca="false">IF(AK25=0,"",IF(AO25="","",IF(AO25=$H25,"Part-Time",IF(AO25=$I25,"Full-Time","Casual"))))</f>
        <v/>
      </c>
      <c r="AS25" s="16" t="str">
        <f aca="false">IF(AK25=0,"",IF(AP25="","",IF(AP25=$H25,"Part-Time",IF(AP25=$I25,"Full-Time","Casual"))))</f>
        <v/>
      </c>
      <c r="AT25" s="16" t="str">
        <f aca="false">IF(AK25=0,"",IF(AM25=0,IF(OR(ISNUMBER(SEARCH("full",$C25)),UPPER(TRIM($C25))="FT",UPPER(TRIM($C25))="FTE"),"FT",IF(AND(OR(ISNUMBER(SEARCH("part",$C25)),UPPER(TRIM($C25))="PT",UPPER(TRIM($C25))="PTE"),Apply2026="Yes",OR($P25="",N($P25)&gt;=PT_MinHours)),"PT","None")),IF(OR(ISNUMBER(SEARCH("full",AQ25)),UPPER(TRIM(AQ25))="FT",UPPER(TRIM(AQ25))="FTE"),"FT",IF(AND(OR(ISNUMBER(SEARCH("part",AQ25)),UPPER(TRIM(AQ25))="PT",UPPER(TRIM(AQ25))="PTE"),Apply2026="Yes",OR($P25="",N($P25)&gt;=PT_MinHours)),"PT","None"))))</f>
        <v/>
      </c>
      <c r="AU25" s="16" t="str">
        <f aca="false">IF(AK25=0,"",IF(AM25&lt;2,"",IF(OR(ISNUMBER(SEARCH("full",AR25)),UPPER(TRIM(AR25))="FT",UPPER(TRIM(AR25))="FTE"),"FT",IF(AND(OR(ISNUMBER(SEARCH("part",AR25)),UPPER(TRIM(AR25))="PT",UPPER(TRIM(AR25))="PTE"),Apply2026="Yes",OR($P25="",N($P25)&gt;=PT_MinHours)),"PT","None"))))</f>
        <v/>
      </c>
      <c r="AV25" s="16" t="str">
        <f aca="false">IF(AK25=0,"",IF(AM25&lt;3,"",IF(OR(ISNUMBER(SEARCH("full",AS25)),UPPER(TRIM(AS25))="FT",UPPER(TRIM(AS25))="FTE"),"FT",IF(AND(OR(ISNUMBER(SEARCH("part",AS25)),UPPER(TRIM(AS25))="PT",UPPER(TRIM(AS25))="PTE"),Apply2026="Yes",OR($P25="",N($P25)&gt;=PT_MinHours)),"PT","None"))))</f>
        <v/>
      </c>
      <c r="AW25" s="16" t="str">
        <f aca="false">IF(AK25=0,"",IF(AND(AM25&gt;=3,AP25&lt;=AsOfDate),AV25,IF(AND(AM25&gt;=2,AO25&lt;=AsOfDate),AU25,AT25)))</f>
        <v/>
      </c>
      <c r="AX25" s="16" t="str">
        <f aca="false">IF(AK25=0,"",IF(AsOfDate&lt;AL25,-1,12*(YEAR(AsOfDate)-YEAR(AL25))+MONTH(AsOfDate)-MONTH(AL25)-IF(DAY(AsOfDate)&lt;MIN(DAY(AL25),DAY(EOMONTH(AsOfDate,0))),1,0)))</f>
        <v/>
      </c>
      <c r="AY25" s="16" t="str">
        <f aca="false">IF(AK25=0,"",IF(OR(AM25&lt;2,AO25&gt;AsOfDate),AX25,IF((AO25-1)&lt;AL25,-1,12*(YEAR((AO25-1))-YEAR(AL25))+MONTH((AO25-1))-MONTH(AL25)-IF(DAY((AO25-1))&lt;MIN(DAY(AL25),DAY(EOMONTH((AO25-1),0))),1,0))))</f>
        <v/>
      </c>
      <c r="AZ25" s="16" t="str">
        <f aca="false">IF(AK25=0,"",IF(OR(AM25&lt;3,AP25&gt;AsOfDate),AX25,IF((AP25-1)&lt;AL25,-1,12*(YEAR((AP25-1))-YEAR(AL25))+MONTH((AP25-1))-MONTH(AL25)-IF(DAY((AP25-1))&lt;MIN(DAY(AL25),DAY(EOMONTH((AP25-1),0))),1,0))))</f>
        <v/>
      </c>
      <c r="BA25" s="16" t="str">
        <f aca="false">IF(AK25=0,"",IF(PFYDate&lt;AL25,-1,12*(YEAR(PFYDate)-YEAR(AL25))+MONTH(PFYDate)-MONTH(AL25)-IF(DAY(PFYDate)&lt;MIN(DAY(AL25),DAY(EOMONTH(PFYDate,0))),1,0)))</f>
        <v/>
      </c>
      <c r="BB25" s="16" t="str">
        <f aca="false">IF(AK25=0,"",IF(OR(AM25&lt;2,AO25&gt;PFYDate),BA25,IF((AO25-1)&lt;AL25,-1,12*(YEAR((AO25-1))-YEAR(AL25))+MONTH((AO25-1))-MONTH(AL25)-IF(DAY((AO25-1))&lt;MIN(DAY(AL25),DAY(EOMONTH((AO25-1),0))),1,0))))</f>
        <v/>
      </c>
      <c r="BC25" s="16" t="str">
        <f aca="false">IF(AK25=0,"",IF(OR(AM25&lt;3,AP25&gt;PFYDate),BA25,IF((AP25-1)&lt;AL25,-1,12*(YEAR((AP25-1))-YEAR(AL25))+MONTH((AP25-1))-MONTH(AL25)-IF(DAY((AP25-1))&lt;MIN(DAY(AL25),DAY(EOMONTH((AP25-1),0))),1,0))))</f>
        <v/>
      </c>
      <c r="BD25" s="16" t="str">
        <f aca="false">IF(AK25=0,"",IF(AT25="FT",IF(AY25&lt;FT_First,0,IF(AY25&lt;FT_Y5,1+INT((AY25-FT_First)/FT_Int1),FT_PreY5+FT_PerYear*INT((AY25-FT_Y5)/12)+FT_AnnivDays+INT(MOD(AY25-FT_Y5,12)/FT_Int2)-IF(EDATE(AL25,FT_Y5)&lt;PolicyEff,FT_AnnivDays-1,0))),IF(AT25="PT",IF(AY25&lt;PT_First,0,1+INT((AY25-PT_First)/PT_Int)),0))+IF(AND(AM25&gt;=2,AO25&lt;=AsOfDate),IF(AU25="FT",IF(AZ25&lt;FT_First,0,IF(AZ25&lt;FT_Y5,1+INT((AZ25-FT_First)/FT_Int1),FT_PreY5+FT_PerYear*INT((AZ25-FT_Y5)/12)+FT_AnnivDays+INT(MOD(AZ25-FT_Y5,12)/FT_Int2)-IF(EDATE(AL25,FT_Y5)&lt;PolicyEff,FT_AnnivDays-1,0))),IF(AU25="PT",IF(AZ25&lt;PT_First,0,1+INT((AZ25-PT_First)/PT_Int)),0))-IF(AU25="FT",IF(AY25&lt;FT_First,0,IF(AY25&lt;FT_Y5,1+INT((AY25-FT_First)/FT_Int1),FT_PreY5+FT_PerYear*INT((AY25-FT_Y5)/12)+FT_AnnivDays+INT(MOD(AY25-FT_Y5,12)/FT_Int2)-IF(EDATE(AL25,FT_Y5)&lt;PolicyEff,FT_AnnivDays-1,0))),IF(AU25="PT",IF(AY25&lt;PT_First,0,1+INT((AY25-PT_First)/PT_Int)),0)),0)+IF(AND(AM25&gt;=3,AP25&lt;=AsOfDate),IF(AV25="FT",IF(AX25&lt;FT_First,0,IF(AX25&lt;FT_Y5,1+INT((AX25-FT_First)/FT_Int1),FT_PreY5+FT_PerYear*INT((AX25-FT_Y5)/12)+FT_AnnivDays+INT(MOD(AX25-FT_Y5,12)/FT_Int2)-IF(EDATE(AL25,FT_Y5)&lt;PolicyEff,FT_AnnivDays-1,0))),IF(AV25="PT",IF(AX25&lt;PT_First,0,1+INT((AX25-PT_First)/PT_Int)),0))-IF(AV25="FT",IF(AZ25&lt;FT_First,0,IF(AZ25&lt;FT_Y5,1+INT((AZ25-FT_First)/FT_Int1),FT_PreY5+FT_PerYear*INT((AZ25-FT_Y5)/12)+FT_AnnivDays+INT(MOD(AZ25-FT_Y5,12)/FT_Int2)-IF(EDATE(AL25,FT_Y5)&lt;PolicyEff,FT_AnnivDays-1,0))),IF(AV25="PT",IF(AZ25&lt;PT_First,0,1+INT((AZ25-PT_First)/PT_Int)),0)),0))</f>
        <v/>
      </c>
      <c r="BE25" s="16" t="str">
        <f aca="false">IF(AK25=0,"",IF(AT25="FT",IF(BB25&lt;FT_First,0,IF(BB25&lt;FT_Y5,1+INT((BB25-FT_First)/FT_Int1),FT_PreY5+FT_PerYear*INT((BB25-FT_Y5)/12)+FT_AnnivDays+INT(MOD(BB25-FT_Y5,12)/FT_Int2)-IF(EDATE(AL25,FT_Y5)&lt;PolicyEff,FT_AnnivDays-1,0))),IF(AT25="PT",IF(BB25&lt;PT_First,0,1+INT((BB25-PT_First)/PT_Int)),0))+IF(AND(AM25&gt;=2,AO25&lt;=PFYDate),IF(AU25="FT",IF(BC25&lt;FT_First,0,IF(BC25&lt;FT_Y5,1+INT((BC25-FT_First)/FT_Int1),FT_PreY5+FT_PerYear*INT((BC25-FT_Y5)/12)+FT_AnnivDays+INT(MOD(BC25-FT_Y5,12)/FT_Int2)-IF(EDATE(AL25,FT_Y5)&lt;PolicyEff,FT_AnnivDays-1,0))),IF(AU25="PT",IF(BC25&lt;PT_First,0,1+INT((BC25-PT_First)/PT_Int)),0))-IF(AU25="FT",IF(BB25&lt;FT_First,0,IF(BB25&lt;FT_Y5,1+INT((BB25-FT_First)/FT_Int1),FT_PreY5+FT_PerYear*INT((BB25-FT_Y5)/12)+FT_AnnivDays+INT(MOD(BB25-FT_Y5,12)/FT_Int2)-IF(EDATE(AL25,FT_Y5)&lt;PolicyEff,FT_AnnivDays-1,0))),IF(AU25="PT",IF(BB25&lt;PT_First,0,1+INT((BB25-PT_First)/PT_Int)),0)),0)+IF(AND(AM25&gt;=3,AP25&lt;=PFYDate),IF(AV25="FT",IF(BA25&lt;FT_First,0,IF(BA25&lt;FT_Y5,1+INT((BA25-FT_First)/FT_Int1),FT_PreY5+FT_PerYear*INT((BA25-FT_Y5)/12)+FT_AnnivDays+INT(MOD(BA25-FT_Y5,12)/FT_Int2)-IF(EDATE(AL25,FT_Y5)&lt;PolicyEff,FT_AnnivDays-1,0))),IF(AV25="PT",IF(BA25&lt;PT_First,0,1+INT((BA25-PT_First)/PT_Int)),0))-IF(AV25="FT",IF(BC25&lt;FT_First,0,IF(BC25&lt;FT_Y5,1+INT((BC25-FT_First)/FT_Int1),FT_PreY5+FT_PerYear*INT((BC25-FT_Y5)/12)+FT_AnnivDays+INT(MOD(BC25-FT_Y5,12)/FT_Int2)-IF(EDATE(AL25,FT_Y5)&lt;PolicyEff,FT_AnnivDays-1,0))),IF(AV25="PT",IF(BC25&lt;PT_First,0,1+INT((BC25-PT_First)/PT_Int)),0)),0))</f>
        <v/>
      </c>
      <c r="BF25" s="16" t="str">
        <f aca="false">IF(AK25=0,"",IF(AW25="FT",IF(AX25&lt;FT_First,FT_First,IF(AX25&lt;FT_Y5,MIN(FT_Y5,FT_First+FT_Int1*(INT((AX25-FT_First)/FT_Int1)+1)),FT_Y5+12*INT((AX25-FT_Y5)/12)+FT_Int2*(INT(MOD(AX25-FT_Y5,12)/FT_Int2)+1))),IF(AW25="PT",IF(AX25&lt;PT_First,PT_First,PT_First+PT_Int*(INT((AX25-PT_First)/PT_Int)+1)),"")))</f>
        <v/>
      </c>
      <c r="BG25" s="16" t="str">
        <f aca="false">IF(AK25=0,"",IF(NOT(LH_Ready),0,COUNTIFS(INDEX(LH_Data,0,LH_ColFirst),$A25,INDEX(LH_Data,0,LH_ColSur),$B25,INDEX(LH_Data,0,LH_ColCat),BonusCat)))</f>
        <v/>
      </c>
      <c r="BH25" s="16" t="str">
        <f aca="false">IF(AK25=0,"",IF(OR(NOT(LH_Ready),BG25=0),0,SUMPRODUCT(MAX((INDEX(LH_Data,0,LH_ColFirst)=$A25)*(INDEX(LH_Data,0,LH_ColSur)=$B25)*(INDEX(LH_Data,0,LH_ColCat)=BonusCat)*ROW(LH_Data)))))</f>
        <v/>
      </c>
      <c r="BI25" s="16" t="str">
        <f aca="false">IF(AK25=0,"",IF(EOMONTH(AsOfDate,-1)&lt;AL25,-1,12*(YEAR(EOMONTH(AsOfDate,-1))-YEAR(AL25))+MONTH(EOMONTH(AsOfDate,-1))-MONTH(AL25)-IF(DAY(EOMONTH(AsOfDate,-1))&lt;MIN(DAY(AL25),DAY(EOMONTH(EOMONTH(AsOfDate,-1),0))),1,0)))</f>
        <v/>
      </c>
      <c r="BJ25" s="16" t="str">
        <f aca="false">IF(AK25=0,"",IF(OR(AM25&lt;2,AO25&gt;EOMONTH(AsOfDate,-1)),BI25,IF((AO25-1)&lt;AL25,-1,12*(YEAR((AO25-1))-YEAR(AL25))+MONTH((AO25-1))-MONTH(AL25)-IF(DAY((AO25-1))&lt;MIN(DAY(AL25),DAY(EOMONTH((AO25-1),0))),1,0))))</f>
        <v/>
      </c>
      <c r="BK25" s="16" t="str">
        <f aca="false">IF(AK25=0,"",IF(OR(AM25&lt;3,AP25&gt;EOMONTH(AsOfDate,-1)),BI25,IF((AP25-1)&lt;AL25,-1,12*(YEAR((AP25-1))-YEAR(AL25))+MONTH((AP25-1))-MONTH(AL25)-IF(DAY((AP25-1))&lt;MIN(DAY(AL25),DAY(EOMONTH((AP25-1),0))),1,0))))</f>
        <v/>
      </c>
      <c r="BL25" s="16" t="str">
        <f aca="false">IF(AK25=0,"",IF(AT25="FT",IF(BJ25&lt;FT_First,0,IF(BJ25&lt;FT_Y5,1+INT((BJ25-FT_First)/FT_Int1),FT_PreY5+FT_PerYear*INT((BJ25-FT_Y5)/12)+FT_AnnivDays+INT(MOD(BJ25-FT_Y5,12)/FT_Int2)-IF(EDATE(AL25,FT_Y5)&lt;PolicyEff,FT_AnnivDays-1,0))),IF(AT25="PT",IF(BJ25&lt;PT_First,0,1+INT((BJ25-PT_First)/PT_Int)),0))+IF(AND(AM25&gt;=2,AO25&lt;=EOMONTH(AsOfDate,-1)),IF(AU25="FT",IF(BK25&lt;FT_First,0,IF(BK25&lt;FT_Y5,1+INT((BK25-FT_First)/FT_Int1),FT_PreY5+FT_PerYear*INT((BK25-FT_Y5)/12)+FT_AnnivDays+INT(MOD(BK25-FT_Y5,12)/FT_Int2)-IF(EDATE(AL25,FT_Y5)&lt;PolicyEff,FT_AnnivDays-1,0))),IF(AU25="PT",IF(BK25&lt;PT_First,0,1+INT((BK25-PT_First)/PT_Int)),0))-IF(AU25="FT",IF(BJ25&lt;FT_First,0,IF(BJ25&lt;FT_Y5,1+INT((BJ25-FT_First)/FT_Int1),FT_PreY5+FT_PerYear*INT((BJ25-FT_Y5)/12)+FT_AnnivDays+INT(MOD(BJ25-FT_Y5,12)/FT_Int2)-IF(EDATE(AL25,FT_Y5)&lt;PolicyEff,FT_AnnivDays-1,0))),IF(AU25="PT",IF(BJ25&lt;PT_First,0,1+INT((BJ25-PT_First)/PT_Int)),0)),0)+IF(AND(AM25&gt;=3,AP25&lt;=EOMONTH(AsOfDate,-1)),IF(AV25="FT",IF(BI25&lt;FT_First,0,IF(BI25&lt;FT_Y5,1+INT((BI25-FT_First)/FT_Int1),FT_PreY5+FT_PerYear*INT((BI25-FT_Y5)/12)+FT_AnnivDays+INT(MOD(BI25-FT_Y5,12)/FT_Int2)-IF(EDATE(AL25,FT_Y5)&lt;PolicyEff,FT_AnnivDays-1,0))),IF(AV25="PT",IF(BI25&lt;PT_First,0,1+INT((BI25-PT_First)/PT_Int)),0))-IF(AV25="FT",IF(BK25&lt;FT_First,0,IF(BK25&lt;FT_Y5,1+INT((BK25-FT_First)/FT_Int1),FT_PreY5+FT_PerYear*INT((BK25-FT_Y5)/12)+FT_AnnivDays+INT(MOD(BK25-FT_Y5,12)/FT_Int2)-IF(EDATE(AL25,FT_Y5)&lt;PolicyEff,FT_AnnivDays-1,0))),IF(AV25="PT",IF(BK25&lt;PT_First,0,1+INT((BK25-PT_First)/PT_Int)),0)),0))</f>
        <v/>
      </c>
      <c r="BM25" s="16" t="str">
        <f aca="false">IF(AK25=0,"",IF(AW25="FT",IF(AX25&lt;FT_First,"",IF(AX25&lt;FT_Y5,FT_First+FT_Int1*INT((AX25-FT_First)/FT_Int1),FT_Y5+FT_Int2*INT((AX25-FT_Y5)/FT_Int2))),IF(AW25="PT",IF(AX25&lt;PT_First,"",PT_First+PT_Int*INT((AX25-PT_First)/PT_Int)),"")))</f>
        <v/>
      </c>
      <c r="BN25" s="16" t="str">
        <f aca="false">IF(AK25=0,"",IF((SchemeStart-1)&lt;AL25,-1,12*(YEAR((SchemeStart-1))-YEAR(AL25))+MONTH((SchemeStart-1))-MONTH(AL25)-IF(DAY((SchemeStart-1))&lt;MIN(DAY(AL25),DAY(EOMONTH((SchemeStart-1),0))),1,0)))</f>
        <v/>
      </c>
      <c r="BO25" s="16" t="str">
        <f aca="false">IF(AK25=0,"",IF(OR(AM25&lt;2,AO25&gt;(SchemeStart-1)),BN25,IF((AO25-1)&lt;AL25,-1,12*(YEAR((AO25-1))-YEAR(AL25))+MONTH((AO25-1))-MONTH(AL25)-IF(DAY((AO25-1))&lt;MIN(DAY(AL25),DAY(EOMONTH((AO25-1),0))),1,0))))</f>
        <v/>
      </c>
      <c r="BP25" s="16" t="str">
        <f aca="false">IF(AK25=0,"",IF(OR(AM25&lt;3,AP25&gt;(SchemeStart-1)),BN25,IF((AP25-1)&lt;AL25,-1,12*(YEAR((AP25-1))-YEAR(AL25))+MONTH((AP25-1))-MONTH(AL25)-IF(DAY((AP25-1))&lt;MIN(DAY(AL25),DAY(EOMONTH((AP25-1),0))),1,0))))</f>
        <v/>
      </c>
      <c r="BQ25" s="16" t="str">
        <f aca="false">IF(AK25=0,"",IF(AT25="FT",IF(BO25&lt;FT_First,0,IF(BO25&lt;FT_Y5,1+INT((BO25-FT_First)/FT_Int1),FT_PreY5+FT_PerYear*INT((BO25-FT_Y5)/12)+FT_AnnivDays+INT(MOD(BO25-FT_Y5,12)/FT_Int2)-IF(EDATE(AL25,FT_Y5)&lt;PolicyEff,FT_AnnivDays-1,0))),IF(AT25="PT",IF(BO25&lt;PT_First,0,1+INT((BO25-PT_First)/PT_Int)),0))+IF(AND(AM25&gt;=2,AO25&lt;=(SchemeStart-1)),IF(AU25="FT",IF(BP25&lt;FT_First,0,IF(BP25&lt;FT_Y5,1+INT((BP25-FT_First)/FT_Int1),FT_PreY5+FT_PerYear*INT((BP25-FT_Y5)/12)+FT_AnnivDays+INT(MOD(BP25-FT_Y5,12)/FT_Int2)-IF(EDATE(AL25,FT_Y5)&lt;PolicyEff,FT_AnnivDays-1,0))),IF(AU25="PT",IF(BP25&lt;PT_First,0,1+INT((BP25-PT_First)/PT_Int)),0))-IF(AU25="FT",IF(BO25&lt;FT_First,0,IF(BO25&lt;FT_Y5,1+INT((BO25-FT_First)/FT_Int1),FT_PreY5+FT_PerYear*INT((BO25-FT_Y5)/12)+FT_AnnivDays+INT(MOD(BO25-FT_Y5,12)/FT_Int2)-IF(EDATE(AL25,FT_Y5)&lt;PolicyEff,FT_AnnivDays-1,0))),IF(AU25="PT",IF(BO25&lt;PT_First,0,1+INT((BO25-PT_First)/PT_Int)),0)),0)+IF(AND(AM25&gt;=3,AP25&lt;=(SchemeStart-1)),IF(AV25="FT",IF(BN25&lt;FT_First,0,IF(BN25&lt;FT_Y5,1+INT((BN25-FT_First)/FT_Int1),FT_PreY5+FT_PerYear*INT((BN25-FT_Y5)/12)+FT_AnnivDays+INT(MOD(BN25-FT_Y5,12)/FT_Int2)-IF(EDATE(AL25,FT_Y5)&lt;PolicyEff,FT_AnnivDays-1,0))),IF(AV25="PT",IF(BN25&lt;PT_First,0,1+INT((BN25-PT_First)/PT_Int)),0))-IF(AV25="FT",IF(BP25&lt;FT_First,0,IF(BP25&lt;FT_Y5,1+INT((BP25-FT_First)/FT_Int1),FT_PreY5+FT_PerYear*INT((BP25-FT_Y5)/12)+FT_AnnivDays+INT(MOD(BP25-FT_Y5,12)/FT_Int2)-IF(EDATE(AL25,FT_Y5)&lt;PolicyEff,FT_AnnivDays-1,0))),IF(AV25="PT",IF(BP25&lt;PT_First,0,1+INT((BP25-PT_First)/PT_Int)),0)),0))</f>
        <v/>
      </c>
      <c r="BR25" s="0" t="str">
        <f aca="false">IF(LEN($A25&amp;$B25)=0,"",$A25&amp;" "&amp;$B25)</f>
        <v/>
      </c>
    </row>
    <row r="26" customFormat="false" ht="15" hidden="false" customHeight="false" outlineLevel="0" collapsed="false">
      <c r="A26" s="12"/>
      <c r="B26" s="12"/>
      <c r="C26" s="12"/>
      <c r="D26" s="13"/>
      <c r="E26" s="14" t="str">
        <f aca="false">IF(OR(AK26=0,$D26=""),"",DATE(YEAR(AsOfDate)+IF(DATE(YEAR(AsOfDate),MONTH($D26),DAY($D26))&lt;=AsOfDate,1,0),MONTH($D26),DAY($D26)))</f>
        <v/>
      </c>
      <c r="F26" s="13"/>
      <c r="G26" s="13"/>
      <c r="H26" s="13"/>
      <c r="I26" s="13"/>
      <c r="J26" s="13"/>
      <c r="K26" s="14" t="str">
        <f aca="false">IF(AK26=0,"",DATE(YEAR(AsOfDate)+IF(DATE(YEAR(AsOfDate),MONTH(AL26),DAY(AL26))&lt;=AsOfDate,1,0),MONTH(AL26),DAY(AL26)))</f>
        <v/>
      </c>
      <c r="L26" s="15" t="str">
        <f aca="false">IF(AK26=0,"",ROUND((AsOfDate-AL26)/365.25,1))</f>
        <v/>
      </c>
      <c r="M26" s="16" t="str">
        <f aca="false">IF(AK26=0,"",IF(AsOfDate&lt;AL26,"-",DATEDIF(AL26,AsOfDate,"y")&amp;"y "&amp;DATEDIF(AL26,AsOfDate,"ym")&amp;"m "&amp;DATEDIF(AL26,AsOfDate,"md")&amp;"d"))</f>
        <v/>
      </c>
      <c r="N26" s="17" t="str">
        <f aca="false">IF(AK26=0,"",O26*HoursPerDay)</f>
        <v/>
      </c>
      <c r="O26" s="17" t="str">
        <f aca="false">IF(AK26=0,"",MAX(0,BD26-BQ26))</f>
        <v/>
      </c>
      <c r="P26" s="18"/>
      <c r="Q26" s="16" t="str">
        <f aca="false">IF(AK26=0,"",IF(AM26&lt;2,"",AQ26&amp;" to "&amp;AR26&amp;" on "&amp;TEXT(AO26,"dd/mm/yyyy")&amp;IF(AO26&gt;AsOfDate," (future)",IF(AT26=AU26,"",IF(AU26="None"," - STOPPED accruing",IF(AT26="None"," - commencement for Bonus Leave"," - pathway changed"))))&amp;IF(AM26&lt;3,"","; "&amp;AR26&amp;" to "&amp;AS26&amp;" on "&amp;TEXT(AP26,"dd/mm/yyyy")&amp;IF(AP26&gt;AsOfDate," (future)",IF(AU26=AV26,"",IF(AV26="None"," - STOPPED accruing",IF(AU26="None"," - commencement for Bonus Leave"," - pathway changed")))))))</f>
        <v/>
      </c>
      <c r="R26" s="16" t="str">
        <f aca="false">IF(AK26=0,"",IF(AW26="None",IF(O26&gt;0,"No longer accruing","Not eligible - "&amp;IF(AND(OR(ISNUMBER(SEARCH("part",$C26)),UPPER(TRIM($C26))="PT",UPPER(TRIM($C26))="PTE"),Apply2026="No"),"part-time (scheme is full-time only)",IF(AND(OR(ISNUMBER(SEARCH("part",$C26)),UPPER(TRIM($C26))="PT",UPPER(TRIM($C26))="PTE"),$P26&lt;&gt;"",N($P26)&lt;PT_MinHours),"under "&amp;PT_MinHours&amp;" hrs",IF(IF($C26="","",IF(OR(ISNUMBER(SEARCH("full",$C26)),UPPER(TRIM($C26))="FT",UPPER(TRIM($C26))="FTE"),"Full-Time",IF(OR(ISNUMBER(SEARCH("part",$C26)),UPPER(TRIM($C26))="PT",UPPER(TRIM($C26))="PTE"),"Part-Time",IF(OR(ISNUMBER(SEARCH("cas",$C26)),UPPER(TRIM($C26))="CAS"),"Casual","Unknown"))))="Unknown","type not recognised",$C26)))),IF(O26&gt;0,"Yes - Accrual Required","Not yet - from "&amp;TEXT(S26,"dd/mm/yyyy"))))</f>
        <v/>
      </c>
      <c r="S26" s="14" t="str">
        <f aca="false">IF(AK26=0,"",IF(AW26="None","",EDATE(AL26,BF26)))</f>
        <v/>
      </c>
      <c r="T26" s="17" t="str">
        <f aca="false">IF(AK26=0,"",IF(NOT(LH_Ready),"",IF($F26&gt;PFYDate,0,IF(LH_ColPeriod=0,W26-U26+V26,SUMIFS(INDEX(LH_Data,0,LH_ColAcc),INDEX(LH_Data,0,LH_ColFirst),$A26,INDEX(LH_Data,0,LH_ColSur),$B26,INDEX(LH_Data,0,LH_ColCat),BonusCat,INDEX(LH_Data,0,LH_ColPeriod),LH_OpenLabel)*UnitFactor))))</f>
        <v/>
      </c>
      <c r="U26" s="17" t="str">
        <f aca="false">IF(AK26=0,"",IF(NOT(LH_Ready),"",SUMIFS(INDEX(LH_Data,0,LH_ColAcc),INDEX(LH_Data,0,LH_ColFirst),$A26,INDEX(LH_Data,0,LH_ColSur),$B26,INDEX(LH_Data,0,LH_ColCat),BonusCat,INDEX(LH_Data,0,LH_ColStart),"&gt;="&amp;AL26)*UnitFactor))</f>
        <v/>
      </c>
      <c r="V26" s="17" t="str">
        <f aca="false">IF(AK26=0,"",IF(NOT(LH_Ready),"",SUMIFS(INDEX(LH_Data,0,LH_ColTaken),INDEX(LH_Data,0,LH_ColFirst),$A26,INDEX(LH_Data,0,LH_ColSur),$B26,INDEX(LH_Data,0,LH_ColCat),BonusCat,INDEX(LH_Data,0,LH_ColStart),"&gt;="&amp;AL26)*UnitFactor))</f>
        <v/>
      </c>
      <c r="W26" s="17" t="str">
        <f aca="false">IF(AK26=0,"",IF(NOT(LH_Ready),"",IF(BH26=0,0,INDEX(INDEX(LH_Data,0,LH_ColClose),BH26-1)*UnitFactor)))</f>
        <v/>
      </c>
      <c r="X26" s="17" t="str">
        <f aca="false">IF(AK26=0,"",(MAX(0,BD26-BQ26)-MAX(0,BE26-BQ26))*HoursPerDay)</f>
        <v/>
      </c>
      <c r="Y26" s="17" t="str">
        <f aca="false">IF(AK26=0,"",IF(NOT(LH_Ready),"",IF($AI26="Yes",N(AE26)*HoursPerDay-SUMIFS(INDEX(LH_Data,0,LH_ColAcc),INDEX(LH_Data,0,LH_ColFirst),$A26,INDEX(LH_Data,0,LH_ColSur),$B26,INDEX(LH_Data,0,LH_ColCat),BonusCat,INDEX(LH_Data,0,LH_ColStart),"&gt;="&amp;(EOMONTH(AsOfDate,-1)+1),INDEX(LH_Data,0,LH_ColStart),"&lt;="&amp;AsOfDate)*UnitFactor,IF(BG26=0,N26,N26-N(T26)-N(U26)))))</f>
        <v/>
      </c>
      <c r="Z26" s="16" t="str">
        <f aca="false">IF(OR(AK26=0,Y26=""),"",IF(Y26&gt;0,"Yes","No"))</f>
        <v/>
      </c>
      <c r="AA26" s="16" t="str">
        <f aca="false">IF(AK26=0,IF(LEN($A26&amp;$B26)=0,"","FIX INPUT - StartDate missing"),IF(AD26&lt;&gt;"","FIX INPUT - "&amp;AD26,IF(NOT(LH_Ready),"Paste Leave History export (Settings must show YES)",IF(AND($AI26="Yes",Y26&lt;=0),"OK - EH balance accepted to date"&amp;IF(N(AH26)&gt;0," (EH holds "&amp;AH26&amp;" hrs over the scheme)","")&amp;"; next day "&amp;TEXT(S26,"dd mmm yy")&amp;IF(N(AE26)&gt;0," ("&amp;AE26&amp;" day(s) for "&amp;UPPER(TEXT(AsOfDate,"mmm yyyy"))&amp;" already in EH)",""),IF(Y26&gt;0,"ACCRUE "&amp;ROUND(Y26,2)&amp;" hrs ("&amp;ROUND(Y26/HoursPerDay,2)&amp;" days): "&amp;IF(N(AE26)&gt;0,AE26&amp;" day(s) for "&amp;UPPER(TEXT(AsOfDate,"mmm yyyy"))&amp;" (milestone "&amp;UPPER(TEXT(AF26,"dd mmm yy"))&amp;")"&amp;IF(Y26/HoursPerDay&gt;AE26+0.001," + "&amp;ROUND(Y26/HoursPerDay-AE26,2)&amp;" day(s) catch-up from earlier months",""),"all catch-up from earlier months, nothing new this month")&amp;IF(BG26=0,"; no Bonus Leave in EH yet",""),IF(Y26&lt;0,"CHECK - EH accrued "&amp;ROUND(-Y26,2)&amp;" hrs more than policy since commencement",IF(N(W26)&gt;O26*HoursPerDay+0.01,"CHECK - EH balance "&amp;ROUND(W26-O26*HoursPerDay,2)&amp;" hrs more than policy entitlement",IF(O26&gt;0,"OK - nothing to add"&amp;IF(N(AE26)&gt;0," ("&amp;AE26&amp;" day(s) for "&amp;UPPER(TEXT(AsOfDate,"mmm yyyy"))&amp;" already in EH)",""),IF(AW26="None",R26,"Not yet - first day on "&amp;TEXT(S26,"dd/mm/yyyy"))))))))))</f>
        <v/>
      </c>
      <c r="AB26" s="17" t="str">
        <f aca="false">IF(OR(AK26=0,T26=""),"",MAX(0,BE26-BQ26)*HoursPerDay-T26)</f>
        <v/>
      </c>
      <c r="AC26" s="16" t="str">
        <f aca="false">IF(AK26=0,"",BG26)</f>
        <v/>
      </c>
      <c r="AD26" s="16" t="str">
        <f aca="false">IF(AK26=0,"",TRIM(IF(OR(ISTEXT($F26),ISTEXT($H26),ISTEXT($I26),ISTEXT($G26),ISTEXT($J26),ISTEXT($D26)),"A date is typed as text - retype it as dd/mm/yyyy. ","")&amp;IF(IF($C26="","",IF(OR(ISNUMBER(SEARCH("full",$C26)),UPPER(TRIM($C26))="FT",UPPER(TRIM($C26))="FTE"),"Full-Time",IF(OR(ISNUMBER(SEARCH("part",$C26)),UPPER(TRIM($C26))="PT",UPPER(TRIM($C26))="PTE"),"Part-Time",IF(OR(ISNUMBER(SEARCH("cas",$C26)),UPPER(TRIM($C26))="CAS"),"Casual","Unknown"))))="Unknown","EmploymentType not recognised - use Full-Time, Part-Time or Casual. ","")&amp;IF(AND(AM26&gt;=1,IF(AM26&gt;=3,AS26,IF(AM26=2,AR26,AQ26))&lt;&gt;IF($C26="","",IF(OR(ISNUMBER(SEARCH("full",$C26)),UPPER(TRIM($C26))="FT",UPPER(TRIM($C26))="FTE"),"Full-Time",IF(OR(ISNUMBER(SEARCH("part",$C26)),UPPER(TRIM($C26))="PT",UPPER(TRIM($C26))="PTE"),"Part-Time",IF(OR(ISNUMBER(SEARCH("cas",$C26)),UPPER(TRIM($C26))="CAS"),"Casual","Unknown"))))),"EmploymentType does not match latest start date ("&amp;IF(AM26&gt;=3,AS26,IF(AM26=2,AR26,AQ26))&amp;"). ","")&amp;IF(AND(AM26&gt;=1,AN26&lt;&gt;$F26),"Earliest type date should equal StartDate. ","")&amp;IF(AND(AM26&gt;=2,AN26=AO26),"Two types start on the same date. ","")&amp;IF(AND(OR(ISNUMBER(SEARCH("part",$C26)),UPPER(TRIM($C26))="PT",UPPER(TRIM($C26))="PTE"),$P26=""),"Part-time: enter PT Hrs/Week (blank = 24+). ","")))</f>
        <v/>
      </c>
      <c r="AE26" s="17" t="str">
        <f aca="false">IF(AK26=0,"",O26-MAX(0,BL26-BQ26))</f>
        <v/>
      </c>
      <c r="AF26" s="14" t="str">
        <f aca="false">IF(OR(AK26=0,AE26="",N(AE26)=0,BM26=""),"",EDATE(AL26,BM26))</f>
        <v/>
      </c>
      <c r="AG26" s="17" t="str">
        <f aca="false">IF(AK26=0,"",MIN(BD26,BQ26))</f>
        <v/>
      </c>
      <c r="AH26" s="17" t="str">
        <f aca="false">IF(AK26=0,"",IF(NOT(LH_Ready),"",IF(BG26=0,0,MAX(0,ROUND(N(T26)+N(U26)-N26,2)))))</f>
        <v/>
      </c>
      <c r="AI26" s="12"/>
      <c r="AJ26" s="12"/>
      <c r="AK26" s="16" t="n">
        <f aca="false">IF(OR(LEN($A26&amp;$B26)=0,$F26=""),0,1)</f>
        <v>0</v>
      </c>
      <c r="AL26" s="14" t="str">
        <f aca="false">IF(AK26=0,"",IF(PreSchemeCounts="No",MAX(SchemeStart,IF($J26&lt;&gt;"",$J26,IF(OR(CasualCounts="Yes",COUNT($G26:$I26)=0),$F26,IF(Apply2026="No",IF($I26="",$F26,$I26),IF(COUNT($H26:$I26)=0,$F26,MIN($H26:$I26)))))),IF($J26&lt;&gt;"",$J26,IF(OR(CasualCounts="Yes",COUNT($G26:$I26)=0),$F26,IF(Apply2026="No",IF($I26="",$F26,$I26),IF(COUNT($H26:$I26)=0,$F26,MIN($H26:$I26)))))))</f>
        <v/>
      </c>
      <c r="AM26" s="16" t="str">
        <f aca="false">IF(AK26=0,"",COUNT($G26:$I26))</f>
        <v/>
      </c>
      <c r="AN26" s="14" t="str">
        <f aca="false">IF(AK26=0,"",IFERROR(SMALL($G26:$I26,1),""))</f>
        <v/>
      </c>
      <c r="AO26" s="14" t="str">
        <f aca="false">IF(AK26=0,"",IFERROR(SMALL($G26:$I26,2),""))</f>
        <v/>
      </c>
      <c r="AP26" s="14" t="str">
        <f aca="false">IF(AK26=0,"",IFERROR(SMALL($G26:$I26,3),""))</f>
        <v/>
      </c>
      <c r="AQ26" s="16" t="str">
        <f aca="false">IF(AK26=0,"",IF(AN26="","",IF(AN26=$H26,"Part-Time",IF(AN26=$I26,"Full-Time","Casual"))))</f>
        <v/>
      </c>
      <c r="AR26" s="16" t="str">
        <f aca="false">IF(AK26=0,"",IF(AO26="","",IF(AO26=$H26,"Part-Time",IF(AO26=$I26,"Full-Time","Casual"))))</f>
        <v/>
      </c>
      <c r="AS26" s="16" t="str">
        <f aca="false">IF(AK26=0,"",IF(AP26="","",IF(AP26=$H26,"Part-Time",IF(AP26=$I26,"Full-Time","Casual"))))</f>
        <v/>
      </c>
      <c r="AT26" s="16" t="str">
        <f aca="false">IF(AK26=0,"",IF(AM26=0,IF(OR(ISNUMBER(SEARCH("full",$C26)),UPPER(TRIM($C26))="FT",UPPER(TRIM($C26))="FTE"),"FT",IF(AND(OR(ISNUMBER(SEARCH("part",$C26)),UPPER(TRIM($C26))="PT",UPPER(TRIM($C26))="PTE"),Apply2026="Yes",OR($P26="",N($P26)&gt;=PT_MinHours)),"PT","None")),IF(OR(ISNUMBER(SEARCH("full",AQ26)),UPPER(TRIM(AQ26))="FT",UPPER(TRIM(AQ26))="FTE"),"FT",IF(AND(OR(ISNUMBER(SEARCH("part",AQ26)),UPPER(TRIM(AQ26))="PT",UPPER(TRIM(AQ26))="PTE"),Apply2026="Yes",OR($P26="",N($P26)&gt;=PT_MinHours)),"PT","None"))))</f>
        <v/>
      </c>
      <c r="AU26" s="16" t="str">
        <f aca="false">IF(AK26=0,"",IF(AM26&lt;2,"",IF(OR(ISNUMBER(SEARCH("full",AR26)),UPPER(TRIM(AR26))="FT",UPPER(TRIM(AR26))="FTE"),"FT",IF(AND(OR(ISNUMBER(SEARCH("part",AR26)),UPPER(TRIM(AR26))="PT",UPPER(TRIM(AR26))="PTE"),Apply2026="Yes",OR($P26="",N($P26)&gt;=PT_MinHours)),"PT","None"))))</f>
        <v/>
      </c>
      <c r="AV26" s="16" t="str">
        <f aca="false">IF(AK26=0,"",IF(AM26&lt;3,"",IF(OR(ISNUMBER(SEARCH("full",AS26)),UPPER(TRIM(AS26))="FT",UPPER(TRIM(AS26))="FTE"),"FT",IF(AND(OR(ISNUMBER(SEARCH("part",AS26)),UPPER(TRIM(AS26))="PT",UPPER(TRIM(AS26))="PTE"),Apply2026="Yes",OR($P26="",N($P26)&gt;=PT_MinHours)),"PT","None"))))</f>
        <v/>
      </c>
      <c r="AW26" s="16" t="str">
        <f aca="false">IF(AK26=0,"",IF(AND(AM26&gt;=3,AP26&lt;=AsOfDate),AV26,IF(AND(AM26&gt;=2,AO26&lt;=AsOfDate),AU26,AT26)))</f>
        <v/>
      </c>
      <c r="AX26" s="16" t="str">
        <f aca="false">IF(AK26=0,"",IF(AsOfDate&lt;AL26,-1,12*(YEAR(AsOfDate)-YEAR(AL26))+MONTH(AsOfDate)-MONTH(AL26)-IF(DAY(AsOfDate)&lt;MIN(DAY(AL26),DAY(EOMONTH(AsOfDate,0))),1,0)))</f>
        <v/>
      </c>
      <c r="AY26" s="16" t="str">
        <f aca="false">IF(AK26=0,"",IF(OR(AM26&lt;2,AO26&gt;AsOfDate),AX26,IF((AO26-1)&lt;AL26,-1,12*(YEAR((AO26-1))-YEAR(AL26))+MONTH((AO26-1))-MONTH(AL26)-IF(DAY((AO26-1))&lt;MIN(DAY(AL26),DAY(EOMONTH((AO26-1),0))),1,0))))</f>
        <v/>
      </c>
      <c r="AZ26" s="16" t="str">
        <f aca="false">IF(AK26=0,"",IF(OR(AM26&lt;3,AP26&gt;AsOfDate),AX26,IF((AP26-1)&lt;AL26,-1,12*(YEAR((AP26-1))-YEAR(AL26))+MONTH((AP26-1))-MONTH(AL26)-IF(DAY((AP26-1))&lt;MIN(DAY(AL26),DAY(EOMONTH((AP26-1),0))),1,0))))</f>
        <v/>
      </c>
      <c r="BA26" s="16" t="str">
        <f aca="false">IF(AK26=0,"",IF(PFYDate&lt;AL26,-1,12*(YEAR(PFYDate)-YEAR(AL26))+MONTH(PFYDate)-MONTH(AL26)-IF(DAY(PFYDate)&lt;MIN(DAY(AL26),DAY(EOMONTH(PFYDate,0))),1,0)))</f>
        <v/>
      </c>
      <c r="BB26" s="16" t="str">
        <f aca="false">IF(AK26=0,"",IF(OR(AM26&lt;2,AO26&gt;PFYDate),BA26,IF((AO26-1)&lt;AL26,-1,12*(YEAR((AO26-1))-YEAR(AL26))+MONTH((AO26-1))-MONTH(AL26)-IF(DAY((AO26-1))&lt;MIN(DAY(AL26),DAY(EOMONTH((AO26-1),0))),1,0))))</f>
        <v/>
      </c>
      <c r="BC26" s="16" t="str">
        <f aca="false">IF(AK26=0,"",IF(OR(AM26&lt;3,AP26&gt;PFYDate),BA26,IF((AP26-1)&lt;AL26,-1,12*(YEAR((AP26-1))-YEAR(AL26))+MONTH((AP26-1))-MONTH(AL26)-IF(DAY((AP26-1))&lt;MIN(DAY(AL26),DAY(EOMONTH((AP26-1),0))),1,0))))</f>
        <v/>
      </c>
      <c r="BD26" s="16" t="str">
        <f aca="false">IF(AK26=0,"",IF(AT26="FT",IF(AY26&lt;FT_First,0,IF(AY26&lt;FT_Y5,1+INT((AY26-FT_First)/FT_Int1),FT_PreY5+FT_PerYear*INT((AY26-FT_Y5)/12)+FT_AnnivDays+INT(MOD(AY26-FT_Y5,12)/FT_Int2)-IF(EDATE(AL26,FT_Y5)&lt;PolicyEff,FT_AnnivDays-1,0))),IF(AT26="PT",IF(AY26&lt;PT_First,0,1+INT((AY26-PT_First)/PT_Int)),0))+IF(AND(AM26&gt;=2,AO26&lt;=AsOfDate),IF(AU26="FT",IF(AZ26&lt;FT_First,0,IF(AZ26&lt;FT_Y5,1+INT((AZ26-FT_First)/FT_Int1),FT_PreY5+FT_PerYear*INT((AZ26-FT_Y5)/12)+FT_AnnivDays+INT(MOD(AZ26-FT_Y5,12)/FT_Int2)-IF(EDATE(AL26,FT_Y5)&lt;PolicyEff,FT_AnnivDays-1,0))),IF(AU26="PT",IF(AZ26&lt;PT_First,0,1+INT((AZ26-PT_First)/PT_Int)),0))-IF(AU26="FT",IF(AY26&lt;FT_First,0,IF(AY26&lt;FT_Y5,1+INT((AY26-FT_First)/FT_Int1),FT_PreY5+FT_PerYear*INT((AY26-FT_Y5)/12)+FT_AnnivDays+INT(MOD(AY26-FT_Y5,12)/FT_Int2)-IF(EDATE(AL26,FT_Y5)&lt;PolicyEff,FT_AnnivDays-1,0))),IF(AU26="PT",IF(AY26&lt;PT_First,0,1+INT((AY26-PT_First)/PT_Int)),0)),0)+IF(AND(AM26&gt;=3,AP26&lt;=AsOfDate),IF(AV26="FT",IF(AX26&lt;FT_First,0,IF(AX26&lt;FT_Y5,1+INT((AX26-FT_First)/FT_Int1),FT_PreY5+FT_PerYear*INT((AX26-FT_Y5)/12)+FT_AnnivDays+INT(MOD(AX26-FT_Y5,12)/FT_Int2)-IF(EDATE(AL26,FT_Y5)&lt;PolicyEff,FT_AnnivDays-1,0))),IF(AV26="PT",IF(AX26&lt;PT_First,0,1+INT((AX26-PT_First)/PT_Int)),0))-IF(AV26="FT",IF(AZ26&lt;FT_First,0,IF(AZ26&lt;FT_Y5,1+INT((AZ26-FT_First)/FT_Int1),FT_PreY5+FT_PerYear*INT((AZ26-FT_Y5)/12)+FT_AnnivDays+INT(MOD(AZ26-FT_Y5,12)/FT_Int2)-IF(EDATE(AL26,FT_Y5)&lt;PolicyEff,FT_AnnivDays-1,0))),IF(AV26="PT",IF(AZ26&lt;PT_First,0,1+INT((AZ26-PT_First)/PT_Int)),0)),0))</f>
        <v/>
      </c>
      <c r="BE26" s="16" t="str">
        <f aca="false">IF(AK26=0,"",IF(AT26="FT",IF(BB26&lt;FT_First,0,IF(BB26&lt;FT_Y5,1+INT((BB26-FT_First)/FT_Int1),FT_PreY5+FT_PerYear*INT((BB26-FT_Y5)/12)+FT_AnnivDays+INT(MOD(BB26-FT_Y5,12)/FT_Int2)-IF(EDATE(AL26,FT_Y5)&lt;PolicyEff,FT_AnnivDays-1,0))),IF(AT26="PT",IF(BB26&lt;PT_First,0,1+INT((BB26-PT_First)/PT_Int)),0))+IF(AND(AM26&gt;=2,AO26&lt;=PFYDate),IF(AU26="FT",IF(BC26&lt;FT_First,0,IF(BC26&lt;FT_Y5,1+INT((BC26-FT_First)/FT_Int1),FT_PreY5+FT_PerYear*INT((BC26-FT_Y5)/12)+FT_AnnivDays+INT(MOD(BC26-FT_Y5,12)/FT_Int2)-IF(EDATE(AL26,FT_Y5)&lt;PolicyEff,FT_AnnivDays-1,0))),IF(AU26="PT",IF(BC26&lt;PT_First,0,1+INT((BC26-PT_First)/PT_Int)),0))-IF(AU26="FT",IF(BB26&lt;FT_First,0,IF(BB26&lt;FT_Y5,1+INT((BB26-FT_First)/FT_Int1),FT_PreY5+FT_PerYear*INT((BB26-FT_Y5)/12)+FT_AnnivDays+INT(MOD(BB26-FT_Y5,12)/FT_Int2)-IF(EDATE(AL26,FT_Y5)&lt;PolicyEff,FT_AnnivDays-1,0))),IF(AU26="PT",IF(BB26&lt;PT_First,0,1+INT((BB26-PT_First)/PT_Int)),0)),0)+IF(AND(AM26&gt;=3,AP26&lt;=PFYDate),IF(AV26="FT",IF(BA26&lt;FT_First,0,IF(BA26&lt;FT_Y5,1+INT((BA26-FT_First)/FT_Int1),FT_PreY5+FT_PerYear*INT((BA26-FT_Y5)/12)+FT_AnnivDays+INT(MOD(BA26-FT_Y5,12)/FT_Int2)-IF(EDATE(AL26,FT_Y5)&lt;PolicyEff,FT_AnnivDays-1,0))),IF(AV26="PT",IF(BA26&lt;PT_First,0,1+INT((BA26-PT_First)/PT_Int)),0))-IF(AV26="FT",IF(BC26&lt;FT_First,0,IF(BC26&lt;FT_Y5,1+INT((BC26-FT_First)/FT_Int1),FT_PreY5+FT_PerYear*INT((BC26-FT_Y5)/12)+FT_AnnivDays+INT(MOD(BC26-FT_Y5,12)/FT_Int2)-IF(EDATE(AL26,FT_Y5)&lt;PolicyEff,FT_AnnivDays-1,0))),IF(AV26="PT",IF(BC26&lt;PT_First,0,1+INT((BC26-PT_First)/PT_Int)),0)),0))</f>
        <v/>
      </c>
      <c r="BF26" s="16" t="str">
        <f aca="false">IF(AK26=0,"",IF(AW26="FT",IF(AX26&lt;FT_First,FT_First,IF(AX26&lt;FT_Y5,MIN(FT_Y5,FT_First+FT_Int1*(INT((AX26-FT_First)/FT_Int1)+1)),FT_Y5+12*INT((AX26-FT_Y5)/12)+FT_Int2*(INT(MOD(AX26-FT_Y5,12)/FT_Int2)+1))),IF(AW26="PT",IF(AX26&lt;PT_First,PT_First,PT_First+PT_Int*(INT((AX26-PT_First)/PT_Int)+1)),"")))</f>
        <v/>
      </c>
      <c r="BG26" s="16" t="str">
        <f aca="false">IF(AK26=0,"",IF(NOT(LH_Ready),0,COUNTIFS(INDEX(LH_Data,0,LH_ColFirst),$A26,INDEX(LH_Data,0,LH_ColSur),$B26,INDEX(LH_Data,0,LH_ColCat),BonusCat)))</f>
        <v/>
      </c>
      <c r="BH26" s="16" t="str">
        <f aca="false">IF(AK26=0,"",IF(OR(NOT(LH_Ready),BG26=0),0,SUMPRODUCT(MAX((INDEX(LH_Data,0,LH_ColFirst)=$A26)*(INDEX(LH_Data,0,LH_ColSur)=$B26)*(INDEX(LH_Data,0,LH_ColCat)=BonusCat)*ROW(LH_Data)))))</f>
        <v/>
      </c>
      <c r="BI26" s="16" t="str">
        <f aca="false">IF(AK26=0,"",IF(EOMONTH(AsOfDate,-1)&lt;AL26,-1,12*(YEAR(EOMONTH(AsOfDate,-1))-YEAR(AL26))+MONTH(EOMONTH(AsOfDate,-1))-MONTH(AL26)-IF(DAY(EOMONTH(AsOfDate,-1))&lt;MIN(DAY(AL26),DAY(EOMONTH(EOMONTH(AsOfDate,-1),0))),1,0)))</f>
        <v/>
      </c>
      <c r="BJ26" s="16" t="str">
        <f aca="false">IF(AK26=0,"",IF(OR(AM26&lt;2,AO26&gt;EOMONTH(AsOfDate,-1)),BI26,IF((AO26-1)&lt;AL26,-1,12*(YEAR((AO26-1))-YEAR(AL26))+MONTH((AO26-1))-MONTH(AL26)-IF(DAY((AO26-1))&lt;MIN(DAY(AL26),DAY(EOMONTH((AO26-1),0))),1,0))))</f>
        <v/>
      </c>
      <c r="BK26" s="16" t="str">
        <f aca="false">IF(AK26=0,"",IF(OR(AM26&lt;3,AP26&gt;EOMONTH(AsOfDate,-1)),BI26,IF((AP26-1)&lt;AL26,-1,12*(YEAR((AP26-1))-YEAR(AL26))+MONTH((AP26-1))-MONTH(AL26)-IF(DAY((AP26-1))&lt;MIN(DAY(AL26),DAY(EOMONTH((AP26-1),0))),1,0))))</f>
        <v/>
      </c>
      <c r="BL26" s="16" t="str">
        <f aca="false">IF(AK26=0,"",IF(AT26="FT",IF(BJ26&lt;FT_First,0,IF(BJ26&lt;FT_Y5,1+INT((BJ26-FT_First)/FT_Int1),FT_PreY5+FT_PerYear*INT((BJ26-FT_Y5)/12)+FT_AnnivDays+INT(MOD(BJ26-FT_Y5,12)/FT_Int2)-IF(EDATE(AL26,FT_Y5)&lt;PolicyEff,FT_AnnivDays-1,0))),IF(AT26="PT",IF(BJ26&lt;PT_First,0,1+INT((BJ26-PT_First)/PT_Int)),0))+IF(AND(AM26&gt;=2,AO26&lt;=EOMONTH(AsOfDate,-1)),IF(AU26="FT",IF(BK26&lt;FT_First,0,IF(BK26&lt;FT_Y5,1+INT((BK26-FT_First)/FT_Int1),FT_PreY5+FT_PerYear*INT((BK26-FT_Y5)/12)+FT_AnnivDays+INT(MOD(BK26-FT_Y5,12)/FT_Int2)-IF(EDATE(AL26,FT_Y5)&lt;PolicyEff,FT_AnnivDays-1,0))),IF(AU26="PT",IF(BK26&lt;PT_First,0,1+INT((BK26-PT_First)/PT_Int)),0))-IF(AU26="FT",IF(BJ26&lt;FT_First,0,IF(BJ26&lt;FT_Y5,1+INT((BJ26-FT_First)/FT_Int1),FT_PreY5+FT_PerYear*INT((BJ26-FT_Y5)/12)+FT_AnnivDays+INT(MOD(BJ26-FT_Y5,12)/FT_Int2)-IF(EDATE(AL26,FT_Y5)&lt;PolicyEff,FT_AnnivDays-1,0))),IF(AU26="PT",IF(BJ26&lt;PT_First,0,1+INT((BJ26-PT_First)/PT_Int)),0)),0)+IF(AND(AM26&gt;=3,AP26&lt;=EOMONTH(AsOfDate,-1)),IF(AV26="FT",IF(BI26&lt;FT_First,0,IF(BI26&lt;FT_Y5,1+INT((BI26-FT_First)/FT_Int1),FT_PreY5+FT_PerYear*INT((BI26-FT_Y5)/12)+FT_AnnivDays+INT(MOD(BI26-FT_Y5,12)/FT_Int2)-IF(EDATE(AL26,FT_Y5)&lt;PolicyEff,FT_AnnivDays-1,0))),IF(AV26="PT",IF(BI26&lt;PT_First,0,1+INT((BI26-PT_First)/PT_Int)),0))-IF(AV26="FT",IF(BK26&lt;FT_First,0,IF(BK26&lt;FT_Y5,1+INT((BK26-FT_First)/FT_Int1),FT_PreY5+FT_PerYear*INT((BK26-FT_Y5)/12)+FT_AnnivDays+INT(MOD(BK26-FT_Y5,12)/FT_Int2)-IF(EDATE(AL26,FT_Y5)&lt;PolicyEff,FT_AnnivDays-1,0))),IF(AV26="PT",IF(BK26&lt;PT_First,0,1+INT((BK26-PT_First)/PT_Int)),0)),0))</f>
        <v/>
      </c>
      <c r="BM26" s="16" t="str">
        <f aca="false">IF(AK26=0,"",IF(AW26="FT",IF(AX26&lt;FT_First,"",IF(AX26&lt;FT_Y5,FT_First+FT_Int1*INT((AX26-FT_First)/FT_Int1),FT_Y5+FT_Int2*INT((AX26-FT_Y5)/FT_Int2))),IF(AW26="PT",IF(AX26&lt;PT_First,"",PT_First+PT_Int*INT((AX26-PT_First)/PT_Int)),"")))</f>
        <v/>
      </c>
      <c r="BN26" s="16" t="str">
        <f aca="false">IF(AK26=0,"",IF((SchemeStart-1)&lt;AL26,-1,12*(YEAR((SchemeStart-1))-YEAR(AL26))+MONTH((SchemeStart-1))-MONTH(AL26)-IF(DAY((SchemeStart-1))&lt;MIN(DAY(AL26),DAY(EOMONTH((SchemeStart-1),0))),1,0)))</f>
        <v/>
      </c>
      <c r="BO26" s="16" t="str">
        <f aca="false">IF(AK26=0,"",IF(OR(AM26&lt;2,AO26&gt;(SchemeStart-1)),BN26,IF((AO26-1)&lt;AL26,-1,12*(YEAR((AO26-1))-YEAR(AL26))+MONTH((AO26-1))-MONTH(AL26)-IF(DAY((AO26-1))&lt;MIN(DAY(AL26),DAY(EOMONTH((AO26-1),0))),1,0))))</f>
        <v/>
      </c>
      <c r="BP26" s="16" t="str">
        <f aca="false">IF(AK26=0,"",IF(OR(AM26&lt;3,AP26&gt;(SchemeStart-1)),BN26,IF((AP26-1)&lt;AL26,-1,12*(YEAR((AP26-1))-YEAR(AL26))+MONTH((AP26-1))-MONTH(AL26)-IF(DAY((AP26-1))&lt;MIN(DAY(AL26),DAY(EOMONTH((AP26-1),0))),1,0))))</f>
        <v/>
      </c>
      <c r="BQ26" s="16" t="str">
        <f aca="false">IF(AK26=0,"",IF(AT26="FT",IF(BO26&lt;FT_First,0,IF(BO26&lt;FT_Y5,1+INT((BO26-FT_First)/FT_Int1),FT_PreY5+FT_PerYear*INT((BO26-FT_Y5)/12)+FT_AnnivDays+INT(MOD(BO26-FT_Y5,12)/FT_Int2)-IF(EDATE(AL26,FT_Y5)&lt;PolicyEff,FT_AnnivDays-1,0))),IF(AT26="PT",IF(BO26&lt;PT_First,0,1+INT((BO26-PT_First)/PT_Int)),0))+IF(AND(AM26&gt;=2,AO26&lt;=(SchemeStart-1)),IF(AU26="FT",IF(BP26&lt;FT_First,0,IF(BP26&lt;FT_Y5,1+INT((BP26-FT_First)/FT_Int1),FT_PreY5+FT_PerYear*INT((BP26-FT_Y5)/12)+FT_AnnivDays+INT(MOD(BP26-FT_Y5,12)/FT_Int2)-IF(EDATE(AL26,FT_Y5)&lt;PolicyEff,FT_AnnivDays-1,0))),IF(AU26="PT",IF(BP26&lt;PT_First,0,1+INT((BP26-PT_First)/PT_Int)),0))-IF(AU26="FT",IF(BO26&lt;FT_First,0,IF(BO26&lt;FT_Y5,1+INT((BO26-FT_First)/FT_Int1),FT_PreY5+FT_PerYear*INT((BO26-FT_Y5)/12)+FT_AnnivDays+INT(MOD(BO26-FT_Y5,12)/FT_Int2)-IF(EDATE(AL26,FT_Y5)&lt;PolicyEff,FT_AnnivDays-1,0))),IF(AU26="PT",IF(BO26&lt;PT_First,0,1+INT((BO26-PT_First)/PT_Int)),0)),0)+IF(AND(AM26&gt;=3,AP26&lt;=(SchemeStart-1)),IF(AV26="FT",IF(BN26&lt;FT_First,0,IF(BN26&lt;FT_Y5,1+INT((BN26-FT_First)/FT_Int1),FT_PreY5+FT_PerYear*INT((BN26-FT_Y5)/12)+FT_AnnivDays+INT(MOD(BN26-FT_Y5,12)/FT_Int2)-IF(EDATE(AL26,FT_Y5)&lt;PolicyEff,FT_AnnivDays-1,0))),IF(AV26="PT",IF(BN26&lt;PT_First,0,1+INT((BN26-PT_First)/PT_Int)),0))-IF(AV26="FT",IF(BP26&lt;FT_First,0,IF(BP26&lt;FT_Y5,1+INT((BP26-FT_First)/FT_Int1),FT_PreY5+FT_PerYear*INT((BP26-FT_Y5)/12)+FT_AnnivDays+INT(MOD(BP26-FT_Y5,12)/FT_Int2)-IF(EDATE(AL26,FT_Y5)&lt;PolicyEff,FT_AnnivDays-1,0))),IF(AV26="PT",IF(BP26&lt;PT_First,0,1+INT((BP26-PT_First)/PT_Int)),0)),0))</f>
        <v/>
      </c>
      <c r="BR26" s="0" t="str">
        <f aca="false">IF(LEN($A26&amp;$B26)=0,"",$A26&amp;" "&amp;$B26)</f>
        <v/>
      </c>
    </row>
    <row r="27" customFormat="false" ht="15" hidden="false" customHeight="false" outlineLevel="0" collapsed="false">
      <c r="A27" s="12"/>
      <c r="B27" s="12"/>
      <c r="C27" s="12"/>
      <c r="D27" s="13"/>
      <c r="E27" s="14" t="str">
        <f aca="false">IF(OR(AK27=0,$D27=""),"",DATE(YEAR(AsOfDate)+IF(DATE(YEAR(AsOfDate),MONTH($D27),DAY($D27))&lt;=AsOfDate,1,0),MONTH($D27),DAY($D27)))</f>
        <v/>
      </c>
      <c r="F27" s="13"/>
      <c r="G27" s="13"/>
      <c r="H27" s="13"/>
      <c r="I27" s="13"/>
      <c r="J27" s="13"/>
      <c r="K27" s="14" t="str">
        <f aca="false">IF(AK27=0,"",DATE(YEAR(AsOfDate)+IF(DATE(YEAR(AsOfDate),MONTH(AL27),DAY(AL27))&lt;=AsOfDate,1,0),MONTH(AL27),DAY(AL27)))</f>
        <v/>
      </c>
      <c r="L27" s="15" t="str">
        <f aca="false">IF(AK27=0,"",ROUND((AsOfDate-AL27)/365.25,1))</f>
        <v/>
      </c>
      <c r="M27" s="16" t="str">
        <f aca="false">IF(AK27=0,"",IF(AsOfDate&lt;AL27,"-",DATEDIF(AL27,AsOfDate,"y")&amp;"y "&amp;DATEDIF(AL27,AsOfDate,"ym")&amp;"m "&amp;DATEDIF(AL27,AsOfDate,"md")&amp;"d"))</f>
        <v/>
      </c>
      <c r="N27" s="17" t="str">
        <f aca="false">IF(AK27=0,"",O27*HoursPerDay)</f>
        <v/>
      </c>
      <c r="O27" s="17" t="str">
        <f aca="false">IF(AK27=0,"",MAX(0,BD27-BQ27))</f>
        <v/>
      </c>
      <c r="P27" s="18"/>
      <c r="Q27" s="16" t="str">
        <f aca="false">IF(AK27=0,"",IF(AM27&lt;2,"",AQ27&amp;" to "&amp;AR27&amp;" on "&amp;TEXT(AO27,"dd/mm/yyyy")&amp;IF(AO27&gt;AsOfDate," (future)",IF(AT27=AU27,"",IF(AU27="None"," - STOPPED accruing",IF(AT27="None"," - commencement for Bonus Leave"," - pathway changed"))))&amp;IF(AM27&lt;3,"","; "&amp;AR27&amp;" to "&amp;AS27&amp;" on "&amp;TEXT(AP27,"dd/mm/yyyy")&amp;IF(AP27&gt;AsOfDate," (future)",IF(AU27=AV27,"",IF(AV27="None"," - STOPPED accruing",IF(AU27="None"," - commencement for Bonus Leave"," - pathway changed")))))))</f>
        <v/>
      </c>
      <c r="R27" s="16" t="str">
        <f aca="false">IF(AK27=0,"",IF(AW27="None",IF(O27&gt;0,"No longer accruing","Not eligible - "&amp;IF(AND(OR(ISNUMBER(SEARCH("part",$C27)),UPPER(TRIM($C27))="PT",UPPER(TRIM($C27))="PTE"),Apply2026="No"),"part-time (scheme is full-time only)",IF(AND(OR(ISNUMBER(SEARCH("part",$C27)),UPPER(TRIM($C27))="PT",UPPER(TRIM($C27))="PTE"),$P27&lt;&gt;"",N($P27)&lt;PT_MinHours),"under "&amp;PT_MinHours&amp;" hrs",IF(IF($C27="","",IF(OR(ISNUMBER(SEARCH("full",$C27)),UPPER(TRIM($C27))="FT",UPPER(TRIM($C27))="FTE"),"Full-Time",IF(OR(ISNUMBER(SEARCH("part",$C27)),UPPER(TRIM($C27))="PT",UPPER(TRIM($C27))="PTE"),"Part-Time",IF(OR(ISNUMBER(SEARCH("cas",$C27)),UPPER(TRIM($C27))="CAS"),"Casual","Unknown"))))="Unknown","type not recognised",$C27)))),IF(O27&gt;0,"Yes - Accrual Required","Not yet - from "&amp;TEXT(S27,"dd/mm/yyyy"))))</f>
        <v/>
      </c>
      <c r="S27" s="14" t="str">
        <f aca="false">IF(AK27=0,"",IF(AW27="None","",EDATE(AL27,BF27)))</f>
        <v/>
      </c>
      <c r="T27" s="17" t="str">
        <f aca="false">IF(AK27=0,"",IF(NOT(LH_Ready),"",IF($F27&gt;PFYDate,0,IF(LH_ColPeriod=0,W27-U27+V27,SUMIFS(INDEX(LH_Data,0,LH_ColAcc),INDEX(LH_Data,0,LH_ColFirst),$A27,INDEX(LH_Data,0,LH_ColSur),$B27,INDEX(LH_Data,0,LH_ColCat),BonusCat,INDEX(LH_Data,0,LH_ColPeriod),LH_OpenLabel)*UnitFactor))))</f>
        <v/>
      </c>
      <c r="U27" s="17" t="str">
        <f aca="false">IF(AK27=0,"",IF(NOT(LH_Ready),"",SUMIFS(INDEX(LH_Data,0,LH_ColAcc),INDEX(LH_Data,0,LH_ColFirst),$A27,INDEX(LH_Data,0,LH_ColSur),$B27,INDEX(LH_Data,0,LH_ColCat),BonusCat,INDEX(LH_Data,0,LH_ColStart),"&gt;="&amp;AL27)*UnitFactor))</f>
        <v/>
      </c>
      <c r="V27" s="17" t="str">
        <f aca="false">IF(AK27=0,"",IF(NOT(LH_Ready),"",SUMIFS(INDEX(LH_Data,0,LH_ColTaken),INDEX(LH_Data,0,LH_ColFirst),$A27,INDEX(LH_Data,0,LH_ColSur),$B27,INDEX(LH_Data,0,LH_ColCat),BonusCat,INDEX(LH_Data,0,LH_ColStart),"&gt;="&amp;AL27)*UnitFactor))</f>
        <v/>
      </c>
      <c r="W27" s="17" t="str">
        <f aca="false">IF(AK27=0,"",IF(NOT(LH_Ready),"",IF(BH27=0,0,INDEX(INDEX(LH_Data,0,LH_ColClose),BH27-1)*UnitFactor)))</f>
        <v/>
      </c>
      <c r="X27" s="17" t="str">
        <f aca="false">IF(AK27=0,"",(MAX(0,BD27-BQ27)-MAX(0,BE27-BQ27))*HoursPerDay)</f>
        <v/>
      </c>
      <c r="Y27" s="17" t="str">
        <f aca="false">IF(AK27=0,"",IF(NOT(LH_Ready),"",IF($AI27="Yes",N(AE27)*HoursPerDay-SUMIFS(INDEX(LH_Data,0,LH_ColAcc),INDEX(LH_Data,0,LH_ColFirst),$A27,INDEX(LH_Data,0,LH_ColSur),$B27,INDEX(LH_Data,0,LH_ColCat),BonusCat,INDEX(LH_Data,0,LH_ColStart),"&gt;="&amp;(EOMONTH(AsOfDate,-1)+1),INDEX(LH_Data,0,LH_ColStart),"&lt;="&amp;AsOfDate)*UnitFactor,IF(BG27=0,N27,N27-N(T27)-N(U27)))))</f>
        <v/>
      </c>
      <c r="Z27" s="16" t="str">
        <f aca="false">IF(OR(AK27=0,Y27=""),"",IF(Y27&gt;0,"Yes","No"))</f>
        <v/>
      </c>
      <c r="AA27" s="16" t="str">
        <f aca="false">IF(AK27=0,IF(LEN($A27&amp;$B27)=0,"","FIX INPUT - StartDate missing"),IF(AD27&lt;&gt;"","FIX INPUT - "&amp;AD27,IF(NOT(LH_Ready),"Paste Leave History export (Settings must show YES)",IF(AND($AI27="Yes",Y27&lt;=0),"OK - EH balance accepted to date"&amp;IF(N(AH27)&gt;0," (EH holds "&amp;AH27&amp;" hrs over the scheme)","")&amp;"; next day "&amp;TEXT(S27,"dd mmm yy")&amp;IF(N(AE27)&gt;0," ("&amp;AE27&amp;" day(s) for "&amp;UPPER(TEXT(AsOfDate,"mmm yyyy"))&amp;" already in EH)",""),IF(Y27&gt;0,"ACCRUE "&amp;ROUND(Y27,2)&amp;" hrs ("&amp;ROUND(Y27/HoursPerDay,2)&amp;" days): "&amp;IF(N(AE27)&gt;0,AE27&amp;" day(s) for "&amp;UPPER(TEXT(AsOfDate,"mmm yyyy"))&amp;" (milestone "&amp;UPPER(TEXT(AF27,"dd mmm yy"))&amp;")"&amp;IF(Y27/HoursPerDay&gt;AE27+0.001," + "&amp;ROUND(Y27/HoursPerDay-AE27,2)&amp;" day(s) catch-up from earlier months",""),"all catch-up from earlier months, nothing new this month")&amp;IF(BG27=0,"; no Bonus Leave in EH yet",""),IF(Y27&lt;0,"CHECK - EH accrued "&amp;ROUND(-Y27,2)&amp;" hrs more than policy since commencement",IF(N(W27)&gt;O27*HoursPerDay+0.01,"CHECK - EH balance "&amp;ROUND(W27-O27*HoursPerDay,2)&amp;" hrs more than policy entitlement",IF(O27&gt;0,"OK - nothing to add"&amp;IF(N(AE27)&gt;0," ("&amp;AE27&amp;" day(s) for "&amp;UPPER(TEXT(AsOfDate,"mmm yyyy"))&amp;" already in EH)",""),IF(AW27="None",R27,"Not yet - first day on "&amp;TEXT(S27,"dd/mm/yyyy"))))))))))</f>
        <v/>
      </c>
      <c r="AB27" s="17" t="str">
        <f aca="false">IF(OR(AK27=0,T27=""),"",MAX(0,BE27-BQ27)*HoursPerDay-T27)</f>
        <v/>
      </c>
      <c r="AC27" s="16" t="str">
        <f aca="false">IF(AK27=0,"",BG27)</f>
        <v/>
      </c>
      <c r="AD27" s="16" t="str">
        <f aca="false">IF(AK27=0,"",TRIM(IF(OR(ISTEXT($F27),ISTEXT($H27),ISTEXT($I27),ISTEXT($G27),ISTEXT($J27),ISTEXT($D27)),"A date is typed as text - retype it as dd/mm/yyyy. ","")&amp;IF(IF($C27="","",IF(OR(ISNUMBER(SEARCH("full",$C27)),UPPER(TRIM($C27))="FT",UPPER(TRIM($C27))="FTE"),"Full-Time",IF(OR(ISNUMBER(SEARCH("part",$C27)),UPPER(TRIM($C27))="PT",UPPER(TRIM($C27))="PTE"),"Part-Time",IF(OR(ISNUMBER(SEARCH("cas",$C27)),UPPER(TRIM($C27))="CAS"),"Casual","Unknown"))))="Unknown","EmploymentType not recognised - use Full-Time, Part-Time or Casual. ","")&amp;IF(AND(AM27&gt;=1,IF(AM27&gt;=3,AS27,IF(AM27=2,AR27,AQ27))&lt;&gt;IF($C27="","",IF(OR(ISNUMBER(SEARCH("full",$C27)),UPPER(TRIM($C27))="FT",UPPER(TRIM($C27))="FTE"),"Full-Time",IF(OR(ISNUMBER(SEARCH("part",$C27)),UPPER(TRIM($C27))="PT",UPPER(TRIM($C27))="PTE"),"Part-Time",IF(OR(ISNUMBER(SEARCH("cas",$C27)),UPPER(TRIM($C27))="CAS"),"Casual","Unknown"))))),"EmploymentType does not match latest start date ("&amp;IF(AM27&gt;=3,AS27,IF(AM27=2,AR27,AQ27))&amp;"). ","")&amp;IF(AND(AM27&gt;=1,AN27&lt;&gt;$F27),"Earliest type date should equal StartDate. ","")&amp;IF(AND(AM27&gt;=2,AN27=AO27),"Two types start on the same date. ","")&amp;IF(AND(OR(ISNUMBER(SEARCH("part",$C27)),UPPER(TRIM($C27))="PT",UPPER(TRIM($C27))="PTE"),$P27=""),"Part-time: enter PT Hrs/Week (blank = 24+). ","")))</f>
        <v/>
      </c>
      <c r="AE27" s="17" t="str">
        <f aca="false">IF(AK27=0,"",O27-MAX(0,BL27-BQ27))</f>
        <v/>
      </c>
      <c r="AF27" s="14" t="str">
        <f aca="false">IF(OR(AK27=0,AE27="",N(AE27)=0,BM27=""),"",EDATE(AL27,BM27))</f>
        <v/>
      </c>
      <c r="AG27" s="17" t="str">
        <f aca="false">IF(AK27=0,"",MIN(BD27,BQ27))</f>
        <v/>
      </c>
      <c r="AH27" s="17" t="str">
        <f aca="false">IF(AK27=0,"",IF(NOT(LH_Ready),"",IF(BG27=0,0,MAX(0,ROUND(N(T27)+N(U27)-N27,2)))))</f>
        <v/>
      </c>
      <c r="AI27" s="12"/>
      <c r="AJ27" s="12"/>
      <c r="AK27" s="16" t="n">
        <f aca="false">IF(OR(LEN($A27&amp;$B27)=0,$F27=""),0,1)</f>
        <v>0</v>
      </c>
      <c r="AL27" s="14" t="str">
        <f aca="false">IF(AK27=0,"",IF(PreSchemeCounts="No",MAX(SchemeStart,IF($J27&lt;&gt;"",$J27,IF(OR(CasualCounts="Yes",COUNT($G27:$I27)=0),$F27,IF(Apply2026="No",IF($I27="",$F27,$I27),IF(COUNT($H27:$I27)=0,$F27,MIN($H27:$I27)))))),IF($J27&lt;&gt;"",$J27,IF(OR(CasualCounts="Yes",COUNT($G27:$I27)=0),$F27,IF(Apply2026="No",IF($I27="",$F27,$I27),IF(COUNT($H27:$I27)=0,$F27,MIN($H27:$I27)))))))</f>
        <v/>
      </c>
      <c r="AM27" s="16" t="str">
        <f aca="false">IF(AK27=0,"",COUNT($G27:$I27))</f>
        <v/>
      </c>
      <c r="AN27" s="14" t="str">
        <f aca="false">IF(AK27=0,"",IFERROR(SMALL($G27:$I27,1),""))</f>
        <v/>
      </c>
      <c r="AO27" s="14" t="str">
        <f aca="false">IF(AK27=0,"",IFERROR(SMALL($G27:$I27,2),""))</f>
        <v/>
      </c>
      <c r="AP27" s="14" t="str">
        <f aca="false">IF(AK27=0,"",IFERROR(SMALL($G27:$I27,3),""))</f>
        <v/>
      </c>
      <c r="AQ27" s="16" t="str">
        <f aca="false">IF(AK27=0,"",IF(AN27="","",IF(AN27=$H27,"Part-Time",IF(AN27=$I27,"Full-Time","Casual"))))</f>
        <v/>
      </c>
      <c r="AR27" s="16" t="str">
        <f aca="false">IF(AK27=0,"",IF(AO27="","",IF(AO27=$H27,"Part-Time",IF(AO27=$I27,"Full-Time","Casual"))))</f>
        <v/>
      </c>
      <c r="AS27" s="16" t="str">
        <f aca="false">IF(AK27=0,"",IF(AP27="","",IF(AP27=$H27,"Part-Time",IF(AP27=$I27,"Full-Time","Casual"))))</f>
        <v/>
      </c>
      <c r="AT27" s="16" t="str">
        <f aca="false">IF(AK27=0,"",IF(AM27=0,IF(OR(ISNUMBER(SEARCH("full",$C27)),UPPER(TRIM($C27))="FT",UPPER(TRIM($C27))="FTE"),"FT",IF(AND(OR(ISNUMBER(SEARCH("part",$C27)),UPPER(TRIM($C27))="PT",UPPER(TRIM($C27))="PTE"),Apply2026="Yes",OR($P27="",N($P27)&gt;=PT_MinHours)),"PT","None")),IF(OR(ISNUMBER(SEARCH("full",AQ27)),UPPER(TRIM(AQ27))="FT",UPPER(TRIM(AQ27))="FTE"),"FT",IF(AND(OR(ISNUMBER(SEARCH("part",AQ27)),UPPER(TRIM(AQ27))="PT",UPPER(TRIM(AQ27))="PTE"),Apply2026="Yes",OR($P27="",N($P27)&gt;=PT_MinHours)),"PT","None"))))</f>
        <v/>
      </c>
      <c r="AU27" s="16" t="str">
        <f aca="false">IF(AK27=0,"",IF(AM27&lt;2,"",IF(OR(ISNUMBER(SEARCH("full",AR27)),UPPER(TRIM(AR27))="FT",UPPER(TRIM(AR27))="FTE"),"FT",IF(AND(OR(ISNUMBER(SEARCH("part",AR27)),UPPER(TRIM(AR27))="PT",UPPER(TRIM(AR27))="PTE"),Apply2026="Yes",OR($P27="",N($P27)&gt;=PT_MinHours)),"PT","None"))))</f>
        <v/>
      </c>
      <c r="AV27" s="16" t="str">
        <f aca="false">IF(AK27=0,"",IF(AM27&lt;3,"",IF(OR(ISNUMBER(SEARCH("full",AS27)),UPPER(TRIM(AS27))="FT",UPPER(TRIM(AS27))="FTE"),"FT",IF(AND(OR(ISNUMBER(SEARCH("part",AS27)),UPPER(TRIM(AS27))="PT",UPPER(TRIM(AS27))="PTE"),Apply2026="Yes",OR($P27="",N($P27)&gt;=PT_MinHours)),"PT","None"))))</f>
        <v/>
      </c>
      <c r="AW27" s="16" t="str">
        <f aca="false">IF(AK27=0,"",IF(AND(AM27&gt;=3,AP27&lt;=AsOfDate),AV27,IF(AND(AM27&gt;=2,AO27&lt;=AsOfDate),AU27,AT27)))</f>
        <v/>
      </c>
      <c r="AX27" s="16" t="str">
        <f aca="false">IF(AK27=0,"",IF(AsOfDate&lt;AL27,-1,12*(YEAR(AsOfDate)-YEAR(AL27))+MONTH(AsOfDate)-MONTH(AL27)-IF(DAY(AsOfDate)&lt;MIN(DAY(AL27),DAY(EOMONTH(AsOfDate,0))),1,0)))</f>
        <v/>
      </c>
      <c r="AY27" s="16" t="str">
        <f aca="false">IF(AK27=0,"",IF(OR(AM27&lt;2,AO27&gt;AsOfDate),AX27,IF((AO27-1)&lt;AL27,-1,12*(YEAR((AO27-1))-YEAR(AL27))+MONTH((AO27-1))-MONTH(AL27)-IF(DAY((AO27-1))&lt;MIN(DAY(AL27),DAY(EOMONTH((AO27-1),0))),1,0))))</f>
        <v/>
      </c>
      <c r="AZ27" s="16" t="str">
        <f aca="false">IF(AK27=0,"",IF(OR(AM27&lt;3,AP27&gt;AsOfDate),AX27,IF((AP27-1)&lt;AL27,-1,12*(YEAR((AP27-1))-YEAR(AL27))+MONTH((AP27-1))-MONTH(AL27)-IF(DAY((AP27-1))&lt;MIN(DAY(AL27),DAY(EOMONTH((AP27-1),0))),1,0))))</f>
        <v/>
      </c>
      <c r="BA27" s="16" t="str">
        <f aca="false">IF(AK27=0,"",IF(PFYDate&lt;AL27,-1,12*(YEAR(PFYDate)-YEAR(AL27))+MONTH(PFYDate)-MONTH(AL27)-IF(DAY(PFYDate)&lt;MIN(DAY(AL27),DAY(EOMONTH(PFYDate,0))),1,0)))</f>
        <v/>
      </c>
      <c r="BB27" s="16" t="str">
        <f aca="false">IF(AK27=0,"",IF(OR(AM27&lt;2,AO27&gt;PFYDate),BA27,IF((AO27-1)&lt;AL27,-1,12*(YEAR((AO27-1))-YEAR(AL27))+MONTH((AO27-1))-MONTH(AL27)-IF(DAY((AO27-1))&lt;MIN(DAY(AL27),DAY(EOMONTH((AO27-1),0))),1,0))))</f>
        <v/>
      </c>
      <c r="BC27" s="16" t="str">
        <f aca="false">IF(AK27=0,"",IF(OR(AM27&lt;3,AP27&gt;PFYDate),BA27,IF((AP27-1)&lt;AL27,-1,12*(YEAR((AP27-1))-YEAR(AL27))+MONTH((AP27-1))-MONTH(AL27)-IF(DAY((AP27-1))&lt;MIN(DAY(AL27),DAY(EOMONTH((AP27-1),0))),1,0))))</f>
        <v/>
      </c>
      <c r="BD27" s="16" t="str">
        <f aca="false">IF(AK27=0,"",IF(AT27="FT",IF(AY27&lt;FT_First,0,IF(AY27&lt;FT_Y5,1+INT((AY27-FT_First)/FT_Int1),FT_PreY5+FT_PerYear*INT((AY27-FT_Y5)/12)+FT_AnnivDays+INT(MOD(AY27-FT_Y5,12)/FT_Int2)-IF(EDATE(AL27,FT_Y5)&lt;PolicyEff,FT_AnnivDays-1,0))),IF(AT27="PT",IF(AY27&lt;PT_First,0,1+INT((AY27-PT_First)/PT_Int)),0))+IF(AND(AM27&gt;=2,AO27&lt;=AsOfDate),IF(AU27="FT",IF(AZ27&lt;FT_First,0,IF(AZ27&lt;FT_Y5,1+INT((AZ27-FT_First)/FT_Int1),FT_PreY5+FT_PerYear*INT((AZ27-FT_Y5)/12)+FT_AnnivDays+INT(MOD(AZ27-FT_Y5,12)/FT_Int2)-IF(EDATE(AL27,FT_Y5)&lt;PolicyEff,FT_AnnivDays-1,0))),IF(AU27="PT",IF(AZ27&lt;PT_First,0,1+INT((AZ27-PT_First)/PT_Int)),0))-IF(AU27="FT",IF(AY27&lt;FT_First,0,IF(AY27&lt;FT_Y5,1+INT((AY27-FT_First)/FT_Int1),FT_PreY5+FT_PerYear*INT((AY27-FT_Y5)/12)+FT_AnnivDays+INT(MOD(AY27-FT_Y5,12)/FT_Int2)-IF(EDATE(AL27,FT_Y5)&lt;PolicyEff,FT_AnnivDays-1,0))),IF(AU27="PT",IF(AY27&lt;PT_First,0,1+INT((AY27-PT_First)/PT_Int)),0)),0)+IF(AND(AM27&gt;=3,AP27&lt;=AsOfDate),IF(AV27="FT",IF(AX27&lt;FT_First,0,IF(AX27&lt;FT_Y5,1+INT((AX27-FT_First)/FT_Int1),FT_PreY5+FT_PerYear*INT((AX27-FT_Y5)/12)+FT_AnnivDays+INT(MOD(AX27-FT_Y5,12)/FT_Int2)-IF(EDATE(AL27,FT_Y5)&lt;PolicyEff,FT_AnnivDays-1,0))),IF(AV27="PT",IF(AX27&lt;PT_First,0,1+INT((AX27-PT_First)/PT_Int)),0))-IF(AV27="FT",IF(AZ27&lt;FT_First,0,IF(AZ27&lt;FT_Y5,1+INT((AZ27-FT_First)/FT_Int1),FT_PreY5+FT_PerYear*INT((AZ27-FT_Y5)/12)+FT_AnnivDays+INT(MOD(AZ27-FT_Y5,12)/FT_Int2)-IF(EDATE(AL27,FT_Y5)&lt;PolicyEff,FT_AnnivDays-1,0))),IF(AV27="PT",IF(AZ27&lt;PT_First,0,1+INT((AZ27-PT_First)/PT_Int)),0)),0))</f>
        <v/>
      </c>
      <c r="BE27" s="16" t="str">
        <f aca="false">IF(AK27=0,"",IF(AT27="FT",IF(BB27&lt;FT_First,0,IF(BB27&lt;FT_Y5,1+INT((BB27-FT_First)/FT_Int1),FT_PreY5+FT_PerYear*INT((BB27-FT_Y5)/12)+FT_AnnivDays+INT(MOD(BB27-FT_Y5,12)/FT_Int2)-IF(EDATE(AL27,FT_Y5)&lt;PolicyEff,FT_AnnivDays-1,0))),IF(AT27="PT",IF(BB27&lt;PT_First,0,1+INT((BB27-PT_First)/PT_Int)),0))+IF(AND(AM27&gt;=2,AO27&lt;=PFYDate),IF(AU27="FT",IF(BC27&lt;FT_First,0,IF(BC27&lt;FT_Y5,1+INT((BC27-FT_First)/FT_Int1),FT_PreY5+FT_PerYear*INT((BC27-FT_Y5)/12)+FT_AnnivDays+INT(MOD(BC27-FT_Y5,12)/FT_Int2)-IF(EDATE(AL27,FT_Y5)&lt;PolicyEff,FT_AnnivDays-1,0))),IF(AU27="PT",IF(BC27&lt;PT_First,0,1+INT((BC27-PT_First)/PT_Int)),0))-IF(AU27="FT",IF(BB27&lt;FT_First,0,IF(BB27&lt;FT_Y5,1+INT((BB27-FT_First)/FT_Int1),FT_PreY5+FT_PerYear*INT((BB27-FT_Y5)/12)+FT_AnnivDays+INT(MOD(BB27-FT_Y5,12)/FT_Int2)-IF(EDATE(AL27,FT_Y5)&lt;PolicyEff,FT_AnnivDays-1,0))),IF(AU27="PT",IF(BB27&lt;PT_First,0,1+INT((BB27-PT_First)/PT_Int)),0)),0)+IF(AND(AM27&gt;=3,AP27&lt;=PFYDate),IF(AV27="FT",IF(BA27&lt;FT_First,0,IF(BA27&lt;FT_Y5,1+INT((BA27-FT_First)/FT_Int1),FT_PreY5+FT_PerYear*INT((BA27-FT_Y5)/12)+FT_AnnivDays+INT(MOD(BA27-FT_Y5,12)/FT_Int2)-IF(EDATE(AL27,FT_Y5)&lt;PolicyEff,FT_AnnivDays-1,0))),IF(AV27="PT",IF(BA27&lt;PT_First,0,1+INT((BA27-PT_First)/PT_Int)),0))-IF(AV27="FT",IF(BC27&lt;FT_First,0,IF(BC27&lt;FT_Y5,1+INT((BC27-FT_First)/FT_Int1),FT_PreY5+FT_PerYear*INT((BC27-FT_Y5)/12)+FT_AnnivDays+INT(MOD(BC27-FT_Y5,12)/FT_Int2)-IF(EDATE(AL27,FT_Y5)&lt;PolicyEff,FT_AnnivDays-1,0))),IF(AV27="PT",IF(BC27&lt;PT_First,0,1+INT((BC27-PT_First)/PT_Int)),0)),0))</f>
        <v/>
      </c>
      <c r="BF27" s="16" t="str">
        <f aca="false">IF(AK27=0,"",IF(AW27="FT",IF(AX27&lt;FT_First,FT_First,IF(AX27&lt;FT_Y5,MIN(FT_Y5,FT_First+FT_Int1*(INT((AX27-FT_First)/FT_Int1)+1)),FT_Y5+12*INT((AX27-FT_Y5)/12)+FT_Int2*(INT(MOD(AX27-FT_Y5,12)/FT_Int2)+1))),IF(AW27="PT",IF(AX27&lt;PT_First,PT_First,PT_First+PT_Int*(INT((AX27-PT_First)/PT_Int)+1)),"")))</f>
        <v/>
      </c>
      <c r="BG27" s="16" t="str">
        <f aca="false">IF(AK27=0,"",IF(NOT(LH_Ready),0,COUNTIFS(INDEX(LH_Data,0,LH_ColFirst),$A27,INDEX(LH_Data,0,LH_ColSur),$B27,INDEX(LH_Data,0,LH_ColCat),BonusCat)))</f>
        <v/>
      </c>
      <c r="BH27" s="16" t="str">
        <f aca="false">IF(AK27=0,"",IF(OR(NOT(LH_Ready),BG27=0),0,SUMPRODUCT(MAX((INDEX(LH_Data,0,LH_ColFirst)=$A27)*(INDEX(LH_Data,0,LH_ColSur)=$B27)*(INDEX(LH_Data,0,LH_ColCat)=BonusCat)*ROW(LH_Data)))))</f>
        <v/>
      </c>
      <c r="BI27" s="16" t="str">
        <f aca="false">IF(AK27=0,"",IF(EOMONTH(AsOfDate,-1)&lt;AL27,-1,12*(YEAR(EOMONTH(AsOfDate,-1))-YEAR(AL27))+MONTH(EOMONTH(AsOfDate,-1))-MONTH(AL27)-IF(DAY(EOMONTH(AsOfDate,-1))&lt;MIN(DAY(AL27),DAY(EOMONTH(EOMONTH(AsOfDate,-1),0))),1,0)))</f>
        <v/>
      </c>
      <c r="BJ27" s="16" t="str">
        <f aca="false">IF(AK27=0,"",IF(OR(AM27&lt;2,AO27&gt;EOMONTH(AsOfDate,-1)),BI27,IF((AO27-1)&lt;AL27,-1,12*(YEAR((AO27-1))-YEAR(AL27))+MONTH((AO27-1))-MONTH(AL27)-IF(DAY((AO27-1))&lt;MIN(DAY(AL27),DAY(EOMONTH((AO27-1),0))),1,0))))</f>
        <v/>
      </c>
      <c r="BK27" s="16" t="str">
        <f aca="false">IF(AK27=0,"",IF(OR(AM27&lt;3,AP27&gt;EOMONTH(AsOfDate,-1)),BI27,IF((AP27-1)&lt;AL27,-1,12*(YEAR((AP27-1))-YEAR(AL27))+MONTH((AP27-1))-MONTH(AL27)-IF(DAY((AP27-1))&lt;MIN(DAY(AL27),DAY(EOMONTH((AP27-1),0))),1,0))))</f>
        <v/>
      </c>
      <c r="BL27" s="16" t="str">
        <f aca="false">IF(AK27=0,"",IF(AT27="FT",IF(BJ27&lt;FT_First,0,IF(BJ27&lt;FT_Y5,1+INT((BJ27-FT_First)/FT_Int1),FT_PreY5+FT_PerYear*INT((BJ27-FT_Y5)/12)+FT_AnnivDays+INT(MOD(BJ27-FT_Y5,12)/FT_Int2)-IF(EDATE(AL27,FT_Y5)&lt;PolicyEff,FT_AnnivDays-1,0))),IF(AT27="PT",IF(BJ27&lt;PT_First,0,1+INT((BJ27-PT_First)/PT_Int)),0))+IF(AND(AM27&gt;=2,AO27&lt;=EOMONTH(AsOfDate,-1)),IF(AU27="FT",IF(BK27&lt;FT_First,0,IF(BK27&lt;FT_Y5,1+INT((BK27-FT_First)/FT_Int1),FT_PreY5+FT_PerYear*INT((BK27-FT_Y5)/12)+FT_AnnivDays+INT(MOD(BK27-FT_Y5,12)/FT_Int2)-IF(EDATE(AL27,FT_Y5)&lt;PolicyEff,FT_AnnivDays-1,0))),IF(AU27="PT",IF(BK27&lt;PT_First,0,1+INT((BK27-PT_First)/PT_Int)),0))-IF(AU27="FT",IF(BJ27&lt;FT_First,0,IF(BJ27&lt;FT_Y5,1+INT((BJ27-FT_First)/FT_Int1),FT_PreY5+FT_PerYear*INT((BJ27-FT_Y5)/12)+FT_AnnivDays+INT(MOD(BJ27-FT_Y5,12)/FT_Int2)-IF(EDATE(AL27,FT_Y5)&lt;PolicyEff,FT_AnnivDays-1,0))),IF(AU27="PT",IF(BJ27&lt;PT_First,0,1+INT((BJ27-PT_First)/PT_Int)),0)),0)+IF(AND(AM27&gt;=3,AP27&lt;=EOMONTH(AsOfDate,-1)),IF(AV27="FT",IF(BI27&lt;FT_First,0,IF(BI27&lt;FT_Y5,1+INT((BI27-FT_First)/FT_Int1),FT_PreY5+FT_PerYear*INT((BI27-FT_Y5)/12)+FT_AnnivDays+INT(MOD(BI27-FT_Y5,12)/FT_Int2)-IF(EDATE(AL27,FT_Y5)&lt;PolicyEff,FT_AnnivDays-1,0))),IF(AV27="PT",IF(BI27&lt;PT_First,0,1+INT((BI27-PT_First)/PT_Int)),0))-IF(AV27="FT",IF(BK27&lt;FT_First,0,IF(BK27&lt;FT_Y5,1+INT((BK27-FT_First)/FT_Int1),FT_PreY5+FT_PerYear*INT((BK27-FT_Y5)/12)+FT_AnnivDays+INT(MOD(BK27-FT_Y5,12)/FT_Int2)-IF(EDATE(AL27,FT_Y5)&lt;PolicyEff,FT_AnnivDays-1,0))),IF(AV27="PT",IF(BK27&lt;PT_First,0,1+INT((BK27-PT_First)/PT_Int)),0)),0))</f>
        <v/>
      </c>
      <c r="BM27" s="16" t="str">
        <f aca="false">IF(AK27=0,"",IF(AW27="FT",IF(AX27&lt;FT_First,"",IF(AX27&lt;FT_Y5,FT_First+FT_Int1*INT((AX27-FT_First)/FT_Int1),FT_Y5+FT_Int2*INT((AX27-FT_Y5)/FT_Int2))),IF(AW27="PT",IF(AX27&lt;PT_First,"",PT_First+PT_Int*INT((AX27-PT_First)/PT_Int)),"")))</f>
        <v/>
      </c>
      <c r="BN27" s="16" t="str">
        <f aca="false">IF(AK27=0,"",IF((SchemeStart-1)&lt;AL27,-1,12*(YEAR((SchemeStart-1))-YEAR(AL27))+MONTH((SchemeStart-1))-MONTH(AL27)-IF(DAY((SchemeStart-1))&lt;MIN(DAY(AL27),DAY(EOMONTH((SchemeStart-1),0))),1,0)))</f>
        <v/>
      </c>
      <c r="BO27" s="16" t="str">
        <f aca="false">IF(AK27=0,"",IF(OR(AM27&lt;2,AO27&gt;(SchemeStart-1)),BN27,IF((AO27-1)&lt;AL27,-1,12*(YEAR((AO27-1))-YEAR(AL27))+MONTH((AO27-1))-MONTH(AL27)-IF(DAY((AO27-1))&lt;MIN(DAY(AL27),DAY(EOMONTH((AO27-1),0))),1,0))))</f>
        <v/>
      </c>
      <c r="BP27" s="16" t="str">
        <f aca="false">IF(AK27=0,"",IF(OR(AM27&lt;3,AP27&gt;(SchemeStart-1)),BN27,IF((AP27-1)&lt;AL27,-1,12*(YEAR((AP27-1))-YEAR(AL27))+MONTH((AP27-1))-MONTH(AL27)-IF(DAY((AP27-1))&lt;MIN(DAY(AL27),DAY(EOMONTH((AP27-1),0))),1,0))))</f>
        <v/>
      </c>
      <c r="BQ27" s="16" t="str">
        <f aca="false">IF(AK27=0,"",IF(AT27="FT",IF(BO27&lt;FT_First,0,IF(BO27&lt;FT_Y5,1+INT((BO27-FT_First)/FT_Int1),FT_PreY5+FT_PerYear*INT((BO27-FT_Y5)/12)+FT_AnnivDays+INT(MOD(BO27-FT_Y5,12)/FT_Int2)-IF(EDATE(AL27,FT_Y5)&lt;PolicyEff,FT_AnnivDays-1,0))),IF(AT27="PT",IF(BO27&lt;PT_First,0,1+INT((BO27-PT_First)/PT_Int)),0))+IF(AND(AM27&gt;=2,AO27&lt;=(SchemeStart-1)),IF(AU27="FT",IF(BP27&lt;FT_First,0,IF(BP27&lt;FT_Y5,1+INT((BP27-FT_First)/FT_Int1),FT_PreY5+FT_PerYear*INT((BP27-FT_Y5)/12)+FT_AnnivDays+INT(MOD(BP27-FT_Y5,12)/FT_Int2)-IF(EDATE(AL27,FT_Y5)&lt;PolicyEff,FT_AnnivDays-1,0))),IF(AU27="PT",IF(BP27&lt;PT_First,0,1+INT((BP27-PT_First)/PT_Int)),0))-IF(AU27="FT",IF(BO27&lt;FT_First,0,IF(BO27&lt;FT_Y5,1+INT((BO27-FT_First)/FT_Int1),FT_PreY5+FT_PerYear*INT((BO27-FT_Y5)/12)+FT_AnnivDays+INT(MOD(BO27-FT_Y5,12)/FT_Int2)-IF(EDATE(AL27,FT_Y5)&lt;PolicyEff,FT_AnnivDays-1,0))),IF(AU27="PT",IF(BO27&lt;PT_First,0,1+INT((BO27-PT_First)/PT_Int)),0)),0)+IF(AND(AM27&gt;=3,AP27&lt;=(SchemeStart-1)),IF(AV27="FT",IF(BN27&lt;FT_First,0,IF(BN27&lt;FT_Y5,1+INT((BN27-FT_First)/FT_Int1),FT_PreY5+FT_PerYear*INT((BN27-FT_Y5)/12)+FT_AnnivDays+INT(MOD(BN27-FT_Y5,12)/FT_Int2)-IF(EDATE(AL27,FT_Y5)&lt;PolicyEff,FT_AnnivDays-1,0))),IF(AV27="PT",IF(BN27&lt;PT_First,0,1+INT((BN27-PT_First)/PT_Int)),0))-IF(AV27="FT",IF(BP27&lt;FT_First,0,IF(BP27&lt;FT_Y5,1+INT((BP27-FT_First)/FT_Int1),FT_PreY5+FT_PerYear*INT((BP27-FT_Y5)/12)+FT_AnnivDays+INT(MOD(BP27-FT_Y5,12)/FT_Int2)-IF(EDATE(AL27,FT_Y5)&lt;PolicyEff,FT_AnnivDays-1,0))),IF(AV27="PT",IF(BP27&lt;PT_First,0,1+INT((BP27-PT_First)/PT_Int)),0)),0))</f>
        <v/>
      </c>
      <c r="BR27" s="0" t="str">
        <f aca="false">IF(LEN($A27&amp;$B27)=0,"",$A27&amp;" "&amp;$B27)</f>
        <v/>
      </c>
    </row>
    <row r="28" customFormat="false" ht="15" hidden="false" customHeight="false" outlineLevel="0" collapsed="false">
      <c r="A28" s="12"/>
      <c r="B28" s="12"/>
      <c r="C28" s="12"/>
      <c r="D28" s="13"/>
      <c r="E28" s="14" t="str">
        <f aca="false">IF(OR(AK28=0,$D28=""),"",DATE(YEAR(AsOfDate)+IF(DATE(YEAR(AsOfDate),MONTH($D28),DAY($D28))&lt;=AsOfDate,1,0),MONTH($D28),DAY($D28)))</f>
        <v/>
      </c>
      <c r="F28" s="13"/>
      <c r="G28" s="13"/>
      <c r="H28" s="13"/>
      <c r="I28" s="13"/>
      <c r="J28" s="13"/>
      <c r="K28" s="14" t="str">
        <f aca="false">IF(AK28=0,"",DATE(YEAR(AsOfDate)+IF(DATE(YEAR(AsOfDate),MONTH(AL28),DAY(AL28))&lt;=AsOfDate,1,0),MONTH(AL28),DAY(AL28)))</f>
        <v/>
      </c>
      <c r="L28" s="15" t="str">
        <f aca="false">IF(AK28=0,"",ROUND((AsOfDate-AL28)/365.25,1))</f>
        <v/>
      </c>
      <c r="M28" s="16" t="str">
        <f aca="false">IF(AK28=0,"",IF(AsOfDate&lt;AL28,"-",DATEDIF(AL28,AsOfDate,"y")&amp;"y "&amp;DATEDIF(AL28,AsOfDate,"ym")&amp;"m "&amp;DATEDIF(AL28,AsOfDate,"md")&amp;"d"))</f>
        <v/>
      </c>
      <c r="N28" s="17" t="str">
        <f aca="false">IF(AK28=0,"",O28*HoursPerDay)</f>
        <v/>
      </c>
      <c r="O28" s="17" t="str">
        <f aca="false">IF(AK28=0,"",MAX(0,BD28-BQ28))</f>
        <v/>
      </c>
      <c r="P28" s="18"/>
      <c r="Q28" s="16" t="str">
        <f aca="false">IF(AK28=0,"",IF(AM28&lt;2,"",AQ28&amp;" to "&amp;AR28&amp;" on "&amp;TEXT(AO28,"dd/mm/yyyy")&amp;IF(AO28&gt;AsOfDate," (future)",IF(AT28=AU28,"",IF(AU28="None"," - STOPPED accruing",IF(AT28="None"," - commencement for Bonus Leave"," - pathway changed"))))&amp;IF(AM28&lt;3,"","; "&amp;AR28&amp;" to "&amp;AS28&amp;" on "&amp;TEXT(AP28,"dd/mm/yyyy")&amp;IF(AP28&gt;AsOfDate," (future)",IF(AU28=AV28,"",IF(AV28="None"," - STOPPED accruing",IF(AU28="None"," - commencement for Bonus Leave"," - pathway changed")))))))</f>
        <v/>
      </c>
      <c r="R28" s="16" t="str">
        <f aca="false">IF(AK28=0,"",IF(AW28="None",IF(O28&gt;0,"No longer accruing","Not eligible - "&amp;IF(AND(OR(ISNUMBER(SEARCH("part",$C28)),UPPER(TRIM($C28))="PT",UPPER(TRIM($C28))="PTE"),Apply2026="No"),"part-time (scheme is full-time only)",IF(AND(OR(ISNUMBER(SEARCH("part",$C28)),UPPER(TRIM($C28))="PT",UPPER(TRIM($C28))="PTE"),$P28&lt;&gt;"",N($P28)&lt;PT_MinHours),"under "&amp;PT_MinHours&amp;" hrs",IF(IF($C28="","",IF(OR(ISNUMBER(SEARCH("full",$C28)),UPPER(TRIM($C28))="FT",UPPER(TRIM($C28))="FTE"),"Full-Time",IF(OR(ISNUMBER(SEARCH("part",$C28)),UPPER(TRIM($C28))="PT",UPPER(TRIM($C28))="PTE"),"Part-Time",IF(OR(ISNUMBER(SEARCH("cas",$C28)),UPPER(TRIM($C28))="CAS"),"Casual","Unknown"))))="Unknown","type not recognised",$C28)))),IF(O28&gt;0,"Yes - Accrual Required","Not yet - from "&amp;TEXT(S28,"dd/mm/yyyy"))))</f>
        <v/>
      </c>
      <c r="S28" s="14" t="str">
        <f aca="false">IF(AK28=0,"",IF(AW28="None","",EDATE(AL28,BF28)))</f>
        <v/>
      </c>
      <c r="T28" s="17" t="str">
        <f aca="false">IF(AK28=0,"",IF(NOT(LH_Ready),"",IF($F28&gt;PFYDate,0,IF(LH_ColPeriod=0,W28-U28+V28,SUMIFS(INDEX(LH_Data,0,LH_ColAcc),INDEX(LH_Data,0,LH_ColFirst),$A28,INDEX(LH_Data,0,LH_ColSur),$B28,INDEX(LH_Data,0,LH_ColCat),BonusCat,INDEX(LH_Data,0,LH_ColPeriod),LH_OpenLabel)*UnitFactor))))</f>
        <v/>
      </c>
      <c r="U28" s="17" t="str">
        <f aca="false">IF(AK28=0,"",IF(NOT(LH_Ready),"",SUMIFS(INDEX(LH_Data,0,LH_ColAcc),INDEX(LH_Data,0,LH_ColFirst),$A28,INDEX(LH_Data,0,LH_ColSur),$B28,INDEX(LH_Data,0,LH_ColCat),BonusCat,INDEX(LH_Data,0,LH_ColStart),"&gt;="&amp;AL28)*UnitFactor))</f>
        <v/>
      </c>
      <c r="V28" s="17" t="str">
        <f aca="false">IF(AK28=0,"",IF(NOT(LH_Ready),"",SUMIFS(INDEX(LH_Data,0,LH_ColTaken),INDEX(LH_Data,0,LH_ColFirst),$A28,INDEX(LH_Data,0,LH_ColSur),$B28,INDEX(LH_Data,0,LH_ColCat),BonusCat,INDEX(LH_Data,0,LH_ColStart),"&gt;="&amp;AL28)*UnitFactor))</f>
        <v/>
      </c>
      <c r="W28" s="17" t="str">
        <f aca="false">IF(AK28=0,"",IF(NOT(LH_Ready),"",IF(BH28=0,0,INDEX(INDEX(LH_Data,0,LH_ColClose),BH28-1)*UnitFactor)))</f>
        <v/>
      </c>
      <c r="X28" s="17" t="str">
        <f aca="false">IF(AK28=0,"",(MAX(0,BD28-BQ28)-MAX(0,BE28-BQ28))*HoursPerDay)</f>
        <v/>
      </c>
      <c r="Y28" s="17" t="str">
        <f aca="false">IF(AK28=0,"",IF(NOT(LH_Ready),"",IF($AI28="Yes",N(AE28)*HoursPerDay-SUMIFS(INDEX(LH_Data,0,LH_ColAcc),INDEX(LH_Data,0,LH_ColFirst),$A28,INDEX(LH_Data,0,LH_ColSur),$B28,INDEX(LH_Data,0,LH_ColCat),BonusCat,INDEX(LH_Data,0,LH_ColStart),"&gt;="&amp;(EOMONTH(AsOfDate,-1)+1),INDEX(LH_Data,0,LH_ColStart),"&lt;="&amp;AsOfDate)*UnitFactor,IF(BG28=0,N28,N28-N(T28)-N(U28)))))</f>
        <v/>
      </c>
      <c r="Z28" s="16" t="str">
        <f aca="false">IF(OR(AK28=0,Y28=""),"",IF(Y28&gt;0,"Yes","No"))</f>
        <v/>
      </c>
      <c r="AA28" s="16" t="str">
        <f aca="false">IF(AK28=0,IF(LEN($A28&amp;$B28)=0,"","FIX INPUT - StartDate missing"),IF(AD28&lt;&gt;"","FIX INPUT - "&amp;AD28,IF(NOT(LH_Ready),"Paste Leave History export (Settings must show YES)",IF(AND($AI28="Yes",Y28&lt;=0),"OK - EH balance accepted to date"&amp;IF(N(AH28)&gt;0," (EH holds "&amp;AH28&amp;" hrs over the scheme)","")&amp;"; next day "&amp;TEXT(S28,"dd mmm yy")&amp;IF(N(AE28)&gt;0," ("&amp;AE28&amp;" day(s) for "&amp;UPPER(TEXT(AsOfDate,"mmm yyyy"))&amp;" already in EH)",""),IF(Y28&gt;0,"ACCRUE "&amp;ROUND(Y28,2)&amp;" hrs ("&amp;ROUND(Y28/HoursPerDay,2)&amp;" days): "&amp;IF(N(AE28)&gt;0,AE28&amp;" day(s) for "&amp;UPPER(TEXT(AsOfDate,"mmm yyyy"))&amp;" (milestone "&amp;UPPER(TEXT(AF28,"dd mmm yy"))&amp;")"&amp;IF(Y28/HoursPerDay&gt;AE28+0.001," + "&amp;ROUND(Y28/HoursPerDay-AE28,2)&amp;" day(s) catch-up from earlier months",""),"all catch-up from earlier months, nothing new this month")&amp;IF(BG28=0,"; no Bonus Leave in EH yet",""),IF(Y28&lt;0,"CHECK - EH accrued "&amp;ROUND(-Y28,2)&amp;" hrs more than policy since commencement",IF(N(W28)&gt;O28*HoursPerDay+0.01,"CHECK - EH balance "&amp;ROUND(W28-O28*HoursPerDay,2)&amp;" hrs more than policy entitlement",IF(O28&gt;0,"OK - nothing to add"&amp;IF(N(AE28)&gt;0," ("&amp;AE28&amp;" day(s) for "&amp;UPPER(TEXT(AsOfDate,"mmm yyyy"))&amp;" already in EH)",""),IF(AW28="None",R28,"Not yet - first day on "&amp;TEXT(S28,"dd/mm/yyyy"))))))))))</f>
        <v/>
      </c>
      <c r="AB28" s="17" t="str">
        <f aca="false">IF(OR(AK28=0,T28=""),"",MAX(0,BE28-BQ28)*HoursPerDay-T28)</f>
        <v/>
      </c>
      <c r="AC28" s="16" t="str">
        <f aca="false">IF(AK28=0,"",BG28)</f>
        <v/>
      </c>
      <c r="AD28" s="16" t="str">
        <f aca="false">IF(AK28=0,"",TRIM(IF(OR(ISTEXT($F28),ISTEXT($H28),ISTEXT($I28),ISTEXT($G28),ISTEXT($J28),ISTEXT($D28)),"A date is typed as text - retype it as dd/mm/yyyy. ","")&amp;IF(IF($C28="","",IF(OR(ISNUMBER(SEARCH("full",$C28)),UPPER(TRIM($C28))="FT",UPPER(TRIM($C28))="FTE"),"Full-Time",IF(OR(ISNUMBER(SEARCH("part",$C28)),UPPER(TRIM($C28))="PT",UPPER(TRIM($C28))="PTE"),"Part-Time",IF(OR(ISNUMBER(SEARCH("cas",$C28)),UPPER(TRIM($C28))="CAS"),"Casual","Unknown"))))="Unknown","EmploymentType not recognised - use Full-Time, Part-Time or Casual. ","")&amp;IF(AND(AM28&gt;=1,IF(AM28&gt;=3,AS28,IF(AM28=2,AR28,AQ28))&lt;&gt;IF($C28="","",IF(OR(ISNUMBER(SEARCH("full",$C28)),UPPER(TRIM($C28))="FT",UPPER(TRIM($C28))="FTE"),"Full-Time",IF(OR(ISNUMBER(SEARCH("part",$C28)),UPPER(TRIM($C28))="PT",UPPER(TRIM($C28))="PTE"),"Part-Time",IF(OR(ISNUMBER(SEARCH("cas",$C28)),UPPER(TRIM($C28))="CAS"),"Casual","Unknown"))))),"EmploymentType does not match latest start date ("&amp;IF(AM28&gt;=3,AS28,IF(AM28=2,AR28,AQ28))&amp;"). ","")&amp;IF(AND(AM28&gt;=1,AN28&lt;&gt;$F28),"Earliest type date should equal StartDate. ","")&amp;IF(AND(AM28&gt;=2,AN28=AO28),"Two types start on the same date. ","")&amp;IF(AND(OR(ISNUMBER(SEARCH("part",$C28)),UPPER(TRIM($C28))="PT",UPPER(TRIM($C28))="PTE"),$P28=""),"Part-time: enter PT Hrs/Week (blank = 24+). ","")))</f>
        <v/>
      </c>
      <c r="AE28" s="17" t="str">
        <f aca="false">IF(AK28=0,"",O28-MAX(0,BL28-BQ28))</f>
        <v/>
      </c>
      <c r="AF28" s="14" t="str">
        <f aca="false">IF(OR(AK28=0,AE28="",N(AE28)=0,BM28=""),"",EDATE(AL28,BM28))</f>
        <v/>
      </c>
      <c r="AG28" s="17" t="str">
        <f aca="false">IF(AK28=0,"",MIN(BD28,BQ28))</f>
        <v/>
      </c>
      <c r="AH28" s="17" t="str">
        <f aca="false">IF(AK28=0,"",IF(NOT(LH_Ready),"",IF(BG28=0,0,MAX(0,ROUND(N(T28)+N(U28)-N28,2)))))</f>
        <v/>
      </c>
      <c r="AI28" s="12"/>
      <c r="AJ28" s="12"/>
      <c r="AK28" s="16" t="n">
        <f aca="false">IF(OR(LEN($A28&amp;$B28)=0,$F28=""),0,1)</f>
        <v>0</v>
      </c>
      <c r="AL28" s="14" t="str">
        <f aca="false">IF(AK28=0,"",IF(PreSchemeCounts="No",MAX(SchemeStart,IF($J28&lt;&gt;"",$J28,IF(OR(CasualCounts="Yes",COUNT($G28:$I28)=0),$F28,IF(Apply2026="No",IF($I28="",$F28,$I28),IF(COUNT($H28:$I28)=0,$F28,MIN($H28:$I28)))))),IF($J28&lt;&gt;"",$J28,IF(OR(CasualCounts="Yes",COUNT($G28:$I28)=0),$F28,IF(Apply2026="No",IF($I28="",$F28,$I28),IF(COUNT($H28:$I28)=0,$F28,MIN($H28:$I28)))))))</f>
        <v/>
      </c>
      <c r="AM28" s="16" t="str">
        <f aca="false">IF(AK28=0,"",COUNT($G28:$I28))</f>
        <v/>
      </c>
      <c r="AN28" s="14" t="str">
        <f aca="false">IF(AK28=0,"",IFERROR(SMALL($G28:$I28,1),""))</f>
        <v/>
      </c>
      <c r="AO28" s="14" t="str">
        <f aca="false">IF(AK28=0,"",IFERROR(SMALL($G28:$I28,2),""))</f>
        <v/>
      </c>
      <c r="AP28" s="14" t="str">
        <f aca="false">IF(AK28=0,"",IFERROR(SMALL($G28:$I28,3),""))</f>
        <v/>
      </c>
      <c r="AQ28" s="16" t="str">
        <f aca="false">IF(AK28=0,"",IF(AN28="","",IF(AN28=$H28,"Part-Time",IF(AN28=$I28,"Full-Time","Casual"))))</f>
        <v/>
      </c>
      <c r="AR28" s="16" t="str">
        <f aca="false">IF(AK28=0,"",IF(AO28="","",IF(AO28=$H28,"Part-Time",IF(AO28=$I28,"Full-Time","Casual"))))</f>
        <v/>
      </c>
      <c r="AS28" s="16" t="str">
        <f aca="false">IF(AK28=0,"",IF(AP28="","",IF(AP28=$H28,"Part-Time",IF(AP28=$I28,"Full-Time","Casual"))))</f>
        <v/>
      </c>
      <c r="AT28" s="16" t="str">
        <f aca="false">IF(AK28=0,"",IF(AM28=0,IF(OR(ISNUMBER(SEARCH("full",$C28)),UPPER(TRIM($C28))="FT",UPPER(TRIM($C28))="FTE"),"FT",IF(AND(OR(ISNUMBER(SEARCH("part",$C28)),UPPER(TRIM($C28))="PT",UPPER(TRIM($C28))="PTE"),Apply2026="Yes",OR($P28="",N($P28)&gt;=PT_MinHours)),"PT","None")),IF(OR(ISNUMBER(SEARCH("full",AQ28)),UPPER(TRIM(AQ28))="FT",UPPER(TRIM(AQ28))="FTE"),"FT",IF(AND(OR(ISNUMBER(SEARCH("part",AQ28)),UPPER(TRIM(AQ28))="PT",UPPER(TRIM(AQ28))="PTE"),Apply2026="Yes",OR($P28="",N($P28)&gt;=PT_MinHours)),"PT","None"))))</f>
        <v/>
      </c>
      <c r="AU28" s="16" t="str">
        <f aca="false">IF(AK28=0,"",IF(AM28&lt;2,"",IF(OR(ISNUMBER(SEARCH("full",AR28)),UPPER(TRIM(AR28))="FT",UPPER(TRIM(AR28))="FTE"),"FT",IF(AND(OR(ISNUMBER(SEARCH("part",AR28)),UPPER(TRIM(AR28))="PT",UPPER(TRIM(AR28))="PTE"),Apply2026="Yes",OR($P28="",N($P28)&gt;=PT_MinHours)),"PT","None"))))</f>
        <v/>
      </c>
      <c r="AV28" s="16" t="str">
        <f aca="false">IF(AK28=0,"",IF(AM28&lt;3,"",IF(OR(ISNUMBER(SEARCH("full",AS28)),UPPER(TRIM(AS28))="FT",UPPER(TRIM(AS28))="FTE"),"FT",IF(AND(OR(ISNUMBER(SEARCH("part",AS28)),UPPER(TRIM(AS28))="PT",UPPER(TRIM(AS28))="PTE"),Apply2026="Yes",OR($P28="",N($P28)&gt;=PT_MinHours)),"PT","None"))))</f>
        <v/>
      </c>
      <c r="AW28" s="16" t="str">
        <f aca="false">IF(AK28=0,"",IF(AND(AM28&gt;=3,AP28&lt;=AsOfDate),AV28,IF(AND(AM28&gt;=2,AO28&lt;=AsOfDate),AU28,AT28)))</f>
        <v/>
      </c>
      <c r="AX28" s="16" t="str">
        <f aca="false">IF(AK28=0,"",IF(AsOfDate&lt;AL28,-1,12*(YEAR(AsOfDate)-YEAR(AL28))+MONTH(AsOfDate)-MONTH(AL28)-IF(DAY(AsOfDate)&lt;MIN(DAY(AL28),DAY(EOMONTH(AsOfDate,0))),1,0)))</f>
        <v/>
      </c>
      <c r="AY28" s="16" t="str">
        <f aca="false">IF(AK28=0,"",IF(OR(AM28&lt;2,AO28&gt;AsOfDate),AX28,IF((AO28-1)&lt;AL28,-1,12*(YEAR((AO28-1))-YEAR(AL28))+MONTH((AO28-1))-MONTH(AL28)-IF(DAY((AO28-1))&lt;MIN(DAY(AL28),DAY(EOMONTH((AO28-1),0))),1,0))))</f>
        <v/>
      </c>
      <c r="AZ28" s="16" t="str">
        <f aca="false">IF(AK28=0,"",IF(OR(AM28&lt;3,AP28&gt;AsOfDate),AX28,IF((AP28-1)&lt;AL28,-1,12*(YEAR((AP28-1))-YEAR(AL28))+MONTH((AP28-1))-MONTH(AL28)-IF(DAY((AP28-1))&lt;MIN(DAY(AL28),DAY(EOMONTH((AP28-1),0))),1,0))))</f>
        <v/>
      </c>
      <c r="BA28" s="16" t="str">
        <f aca="false">IF(AK28=0,"",IF(PFYDate&lt;AL28,-1,12*(YEAR(PFYDate)-YEAR(AL28))+MONTH(PFYDate)-MONTH(AL28)-IF(DAY(PFYDate)&lt;MIN(DAY(AL28),DAY(EOMONTH(PFYDate,0))),1,0)))</f>
        <v/>
      </c>
      <c r="BB28" s="16" t="str">
        <f aca="false">IF(AK28=0,"",IF(OR(AM28&lt;2,AO28&gt;PFYDate),BA28,IF((AO28-1)&lt;AL28,-1,12*(YEAR((AO28-1))-YEAR(AL28))+MONTH((AO28-1))-MONTH(AL28)-IF(DAY((AO28-1))&lt;MIN(DAY(AL28),DAY(EOMONTH((AO28-1),0))),1,0))))</f>
        <v/>
      </c>
      <c r="BC28" s="16" t="str">
        <f aca="false">IF(AK28=0,"",IF(OR(AM28&lt;3,AP28&gt;PFYDate),BA28,IF((AP28-1)&lt;AL28,-1,12*(YEAR((AP28-1))-YEAR(AL28))+MONTH((AP28-1))-MONTH(AL28)-IF(DAY((AP28-1))&lt;MIN(DAY(AL28),DAY(EOMONTH((AP28-1),0))),1,0))))</f>
        <v/>
      </c>
      <c r="BD28" s="16" t="str">
        <f aca="false">IF(AK28=0,"",IF(AT28="FT",IF(AY28&lt;FT_First,0,IF(AY28&lt;FT_Y5,1+INT((AY28-FT_First)/FT_Int1),FT_PreY5+FT_PerYear*INT((AY28-FT_Y5)/12)+FT_AnnivDays+INT(MOD(AY28-FT_Y5,12)/FT_Int2)-IF(EDATE(AL28,FT_Y5)&lt;PolicyEff,FT_AnnivDays-1,0))),IF(AT28="PT",IF(AY28&lt;PT_First,0,1+INT((AY28-PT_First)/PT_Int)),0))+IF(AND(AM28&gt;=2,AO28&lt;=AsOfDate),IF(AU28="FT",IF(AZ28&lt;FT_First,0,IF(AZ28&lt;FT_Y5,1+INT((AZ28-FT_First)/FT_Int1),FT_PreY5+FT_PerYear*INT((AZ28-FT_Y5)/12)+FT_AnnivDays+INT(MOD(AZ28-FT_Y5,12)/FT_Int2)-IF(EDATE(AL28,FT_Y5)&lt;PolicyEff,FT_AnnivDays-1,0))),IF(AU28="PT",IF(AZ28&lt;PT_First,0,1+INT((AZ28-PT_First)/PT_Int)),0))-IF(AU28="FT",IF(AY28&lt;FT_First,0,IF(AY28&lt;FT_Y5,1+INT((AY28-FT_First)/FT_Int1),FT_PreY5+FT_PerYear*INT((AY28-FT_Y5)/12)+FT_AnnivDays+INT(MOD(AY28-FT_Y5,12)/FT_Int2)-IF(EDATE(AL28,FT_Y5)&lt;PolicyEff,FT_AnnivDays-1,0))),IF(AU28="PT",IF(AY28&lt;PT_First,0,1+INT((AY28-PT_First)/PT_Int)),0)),0)+IF(AND(AM28&gt;=3,AP28&lt;=AsOfDate),IF(AV28="FT",IF(AX28&lt;FT_First,0,IF(AX28&lt;FT_Y5,1+INT((AX28-FT_First)/FT_Int1),FT_PreY5+FT_PerYear*INT((AX28-FT_Y5)/12)+FT_AnnivDays+INT(MOD(AX28-FT_Y5,12)/FT_Int2)-IF(EDATE(AL28,FT_Y5)&lt;PolicyEff,FT_AnnivDays-1,0))),IF(AV28="PT",IF(AX28&lt;PT_First,0,1+INT((AX28-PT_First)/PT_Int)),0))-IF(AV28="FT",IF(AZ28&lt;FT_First,0,IF(AZ28&lt;FT_Y5,1+INT((AZ28-FT_First)/FT_Int1),FT_PreY5+FT_PerYear*INT((AZ28-FT_Y5)/12)+FT_AnnivDays+INT(MOD(AZ28-FT_Y5,12)/FT_Int2)-IF(EDATE(AL28,FT_Y5)&lt;PolicyEff,FT_AnnivDays-1,0))),IF(AV28="PT",IF(AZ28&lt;PT_First,0,1+INT((AZ28-PT_First)/PT_Int)),0)),0))</f>
        <v/>
      </c>
      <c r="BE28" s="16" t="str">
        <f aca="false">IF(AK28=0,"",IF(AT28="FT",IF(BB28&lt;FT_First,0,IF(BB28&lt;FT_Y5,1+INT((BB28-FT_First)/FT_Int1),FT_PreY5+FT_PerYear*INT((BB28-FT_Y5)/12)+FT_AnnivDays+INT(MOD(BB28-FT_Y5,12)/FT_Int2)-IF(EDATE(AL28,FT_Y5)&lt;PolicyEff,FT_AnnivDays-1,0))),IF(AT28="PT",IF(BB28&lt;PT_First,0,1+INT((BB28-PT_First)/PT_Int)),0))+IF(AND(AM28&gt;=2,AO28&lt;=PFYDate),IF(AU28="FT",IF(BC28&lt;FT_First,0,IF(BC28&lt;FT_Y5,1+INT((BC28-FT_First)/FT_Int1),FT_PreY5+FT_PerYear*INT((BC28-FT_Y5)/12)+FT_AnnivDays+INT(MOD(BC28-FT_Y5,12)/FT_Int2)-IF(EDATE(AL28,FT_Y5)&lt;PolicyEff,FT_AnnivDays-1,0))),IF(AU28="PT",IF(BC28&lt;PT_First,0,1+INT((BC28-PT_First)/PT_Int)),0))-IF(AU28="FT",IF(BB28&lt;FT_First,0,IF(BB28&lt;FT_Y5,1+INT((BB28-FT_First)/FT_Int1),FT_PreY5+FT_PerYear*INT((BB28-FT_Y5)/12)+FT_AnnivDays+INT(MOD(BB28-FT_Y5,12)/FT_Int2)-IF(EDATE(AL28,FT_Y5)&lt;PolicyEff,FT_AnnivDays-1,0))),IF(AU28="PT",IF(BB28&lt;PT_First,0,1+INT((BB28-PT_First)/PT_Int)),0)),0)+IF(AND(AM28&gt;=3,AP28&lt;=PFYDate),IF(AV28="FT",IF(BA28&lt;FT_First,0,IF(BA28&lt;FT_Y5,1+INT((BA28-FT_First)/FT_Int1),FT_PreY5+FT_PerYear*INT((BA28-FT_Y5)/12)+FT_AnnivDays+INT(MOD(BA28-FT_Y5,12)/FT_Int2)-IF(EDATE(AL28,FT_Y5)&lt;PolicyEff,FT_AnnivDays-1,0))),IF(AV28="PT",IF(BA28&lt;PT_First,0,1+INT((BA28-PT_First)/PT_Int)),0))-IF(AV28="FT",IF(BC28&lt;FT_First,0,IF(BC28&lt;FT_Y5,1+INT((BC28-FT_First)/FT_Int1),FT_PreY5+FT_PerYear*INT((BC28-FT_Y5)/12)+FT_AnnivDays+INT(MOD(BC28-FT_Y5,12)/FT_Int2)-IF(EDATE(AL28,FT_Y5)&lt;PolicyEff,FT_AnnivDays-1,0))),IF(AV28="PT",IF(BC28&lt;PT_First,0,1+INT((BC28-PT_First)/PT_Int)),0)),0))</f>
        <v/>
      </c>
      <c r="BF28" s="16" t="str">
        <f aca="false">IF(AK28=0,"",IF(AW28="FT",IF(AX28&lt;FT_First,FT_First,IF(AX28&lt;FT_Y5,MIN(FT_Y5,FT_First+FT_Int1*(INT((AX28-FT_First)/FT_Int1)+1)),FT_Y5+12*INT((AX28-FT_Y5)/12)+FT_Int2*(INT(MOD(AX28-FT_Y5,12)/FT_Int2)+1))),IF(AW28="PT",IF(AX28&lt;PT_First,PT_First,PT_First+PT_Int*(INT((AX28-PT_First)/PT_Int)+1)),"")))</f>
        <v/>
      </c>
      <c r="BG28" s="16" t="str">
        <f aca="false">IF(AK28=0,"",IF(NOT(LH_Ready),0,COUNTIFS(INDEX(LH_Data,0,LH_ColFirst),$A28,INDEX(LH_Data,0,LH_ColSur),$B28,INDEX(LH_Data,0,LH_ColCat),BonusCat)))</f>
        <v/>
      </c>
      <c r="BH28" s="16" t="str">
        <f aca="false">IF(AK28=0,"",IF(OR(NOT(LH_Ready),BG28=0),0,SUMPRODUCT(MAX((INDEX(LH_Data,0,LH_ColFirst)=$A28)*(INDEX(LH_Data,0,LH_ColSur)=$B28)*(INDEX(LH_Data,0,LH_ColCat)=BonusCat)*ROW(LH_Data)))))</f>
        <v/>
      </c>
      <c r="BI28" s="16" t="str">
        <f aca="false">IF(AK28=0,"",IF(EOMONTH(AsOfDate,-1)&lt;AL28,-1,12*(YEAR(EOMONTH(AsOfDate,-1))-YEAR(AL28))+MONTH(EOMONTH(AsOfDate,-1))-MONTH(AL28)-IF(DAY(EOMONTH(AsOfDate,-1))&lt;MIN(DAY(AL28),DAY(EOMONTH(EOMONTH(AsOfDate,-1),0))),1,0)))</f>
        <v/>
      </c>
      <c r="BJ28" s="16" t="str">
        <f aca="false">IF(AK28=0,"",IF(OR(AM28&lt;2,AO28&gt;EOMONTH(AsOfDate,-1)),BI28,IF((AO28-1)&lt;AL28,-1,12*(YEAR((AO28-1))-YEAR(AL28))+MONTH((AO28-1))-MONTH(AL28)-IF(DAY((AO28-1))&lt;MIN(DAY(AL28),DAY(EOMONTH((AO28-1),0))),1,0))))</f>
        <v/>
      </c>
      <c r="BK28" s="16" t="str">
        <f aca="false">IF(AK28=0,"",IF(OR(AM28&lt;3,AP28&gt;EOMONTH(AsOfDate,-1)),BI28,IF((AP28-1)&lt;AL28,-1,12*(YEAR((AP28-1))-YEAR(AL28))+MONTH((AP28-1))-MONTH(AL28)-IF(DAY((AP28-1))&lt;MIN(DAY(AL28),DAY(EOMONTH((AP28-1),0))),1,0))))</f>
        <v/>
      </c>
      <c r="BL28" s="16" t="str">
        <f aca="false">IF(AK28=0,"",IF(AT28="FT",IF(BJ28&lt;FT_First,0,IF(BJ28&lt;FT_Y5,1+INT((BJ28-FT_First)/FT_Int1),FT_PreY5+FT_PerYear*INT((BJ28-FT_Y5)/12)+FT_AnnivDays+INT(MOD(BJ28-FT_Y5,12)/FT_Int2)-IF(EDATE(AL28,FT_Y5)&lt;PolicyEff,FT_AnnivDays-1,0))),IF(AT28="PT",IF(BJ28&lt;PT_First,0,1+INT((BJ28-PT_First)/PT_Int)),0))+IF(AND(AM28&gt;=2,AO28&lt;=EOMONTH(AsOfDate,-1)),IF(AU28="FT",IF(BK28&lt;FT_First,0,IF(BK28&lt;FT_Y5,1+INT((BK28-FT_First)/FT_Int1),FT_PreY5+FT_PerYear*INT((BK28-FT_Y5)/12)+FT_AnnivDays+INT(MOD(BK28-FT_Y5,12)/FT_Int2)-IF(EDATE(AL28,FT_Y5)&lt;PolicyEff,FT_AnnivDays-1,0))),IF(AU28="PT",IF(BK28&lt;PT_First,0,1+INT((BK28-PT_First)/PT_Int)),0))-IF(AU28="FT",IF(BJ28&lt;FT_First,0,IF(BJ28&lt;FT_Y5,1+INT((BJ28-FT_First)/FT_Int1),FT_PreY5+FT_PerYear*INT((BJ28-FT_Y5)/12)+FT_AnnivDays+INT(MOD(BJ28-FT_Y5,12)/FT_Int2)-IF(EDATE(AL28,FT_Y5)&lt;PolicyEff,FT_AnnivDays-1,0))),IF(AU28="PT",IF(BJ28&lt;PT_First,0,1+INT((BJ28-PT_First)/PT_Int)),0)),0)+IF(AND(AM28&gt;=3,AP28&lt;=EOMONTH(AsOfDate,-1)),IF(AV28="FT",IF(BI28&lt;FT_First,0,IF(BI28&lt;FT_Y5,1+INT((BI28-FT_First)/FT_Int1),FT_PreY5+FT_PerYear*INT((BI28-FT_Y5)/12)+FT_AnnivDays+INT(MOD(BI28-FT_Y5,12)/FT_Int2)-IF(EDATE(AL28,FT_Y5)&lt;PolicyEff,FT_AnnivDays-1,0))),IF(AV28="PT",IF(BI28&lt;PT_First,0,1+INT((BI28-PT_First)/PT_Int)),0))-IF(AV28="FT",IF(BK28&lt;FT_First,0,IF(BK28&lt;FT_Y5,1+INT((BK28-FT_First)/FT_Int1),FT_PreY5+FT_PerYear*INT((BK28-FT_Y5)/12)+FT_AnnivDays+INT(MOD(BK28-FT_Y5,12)/FT_Int2)-IF(EDATE(AL28,FT_Y5)&lt;PolicyEff,FT_AnnivDays-1,0))),IF(AV28="PT",IF(BK28&lt;PT_First,0,1+INT((BK28-PT_First)/PT_Int)),0)),0))</f>
        <v/>
      </c>
      <c r="BM28" s="16" t="str">
        <f aca="false">IF(AK28=0,"",IF(AW28="FT",IF(AX28&lt;FT_First,"",IF(AX28&lt;FT_Y5,FT_First+FT_Int1*INT((AX28-FT_First)/FT_Int1),FT_Y5+FT_Int2*INT((AX28-FT_Y5)/FT_Int2))),IF(AW28="PT",IF(AX28&lt;PT_First,"",PT_First+PT_Int*INT((AX28-PT_First)/PT_Int)),"")))</f>
        <v/>
      </c>
      <c r="BN28" s="16" t="str">
        <f aca="false">IF(AK28=0,"",IF((SchemeStart-1)&lt;AL28,-1,12*(YEAR((SchemeStart-1))-YEAR(AL28))+MONTH((SchemeStart-1))-MONTH(AL28)-IF(DAY((SchemeStart-1))&lt;MIN(DAY(AL28),DAY(EOMONTH((SchemeStart-1),0))),1,0)))</f>
        <v/>
      </c>
      <c r="BO28" s="16" t="str">
        <f aca="false">IF(AK28=0,"",IF(OR(AM28&lt;2,AO28&gt;(SchemeStart-1)),BN28,IF((AO28-1)&lt;AL28,-1,12*(YEAR((AO28-1))-YEAR(AL28))+MONTH((AO28-1))-MONTH(AL28)-IF(DAY((AO28-1))&lt;MIN(DAY(AL28),DAY(EOMONTH((AO28-1),0))),1,0))))</f>
        <v/>
      </c>
      <c r="BP28" s="16" t="str">
        <f aca="false">IF(AK28=0,"",IF(OR(AM28&lt;3,AP28&gt;(SchemeStart-1)),BN28,IF((AP28-1)&lt;AL28,-1,12*(YEAR((AP28-1))-YEAR(AL28))+MONTH((AP28-1))-MONTH(AL28)-IF(DAY((AP28-1))&lt;MIN(DAY(AL28),DAY(EOMONTH((AP28-1),0))),1,0))))</f>
        <v/>
      </c>
      <c r="BQ28" s="16" t="str">
        <f aca="false">IF(AK28=0,"",IF(AT28="FT",IF(BO28&lt;FT_First,0,IF(BO28&lt;FT_Y5,1+INT((BO28-FT_First)/FT_Int1),FT_PreY5+FT_PerYear*INT((BO28-FT_Y5)/12)+FT_AnnivDays+INT(MOD(BO28-FT_Y5,12)/FT_Int2)-IF(EDATE(AL28,FT_Y5)&lt;PolicyEff,FT_AnnivDays-1,0))),IF(AT28="PT",IF(BO28&lt;PT_First,0,1+INT((BO28-PT_First)/PT_Int)),0))+IF(AND(AM28&gt;=2,AO28&lt;=(SchemeStart-1)),IF(AU28="FT",IF(BP28&lt;FT_First,0,IF(BP28&lt;FT_Y5,1+INT((BP28-FT_First)/FT_Int1),FT_PreY5+FT_PerYear*INT((BP28-FT_Y5)/12)+FT_AnnivDays+INT(MOD(BP28-FT_Y5,12)/FT_Int2)-IF(EDATE(AL28,FT_Y5)&lt;PolicyEff,FT_AnnivDays-1,0))),IF(AU28="PT",IF(BP28&lt;PT_First,0,1+INT((BP28-PT_First)/PT_Int)),0))-IF(AU28="FT",IF(BO28&lt;FT_First,0,IF(BO28&lt;FT_Y5,1+INT((BO28-FT_First)/FT_Int1),FT_PreY5+FT_PerYear*INT((BO28-FT_Y5)/12)+FT_AnnivDays+INT(MOD(BO28-FT_Y5,12)/FT_Int2)-IF(EDATE(AL28,FT_Y5)&lt;PolicyEff,FT_AnnivDays-1,0))),IF(AU28="PT",IF(BO28&lt;PT_First,0,1+INT((BO28-PT_First)/PT_Int)),0)),0)+IF(AND(AM28&gt;=3,AP28&lt;=(SchemeStart-1)),IF(AV28="FT",IF(BN28&lt;FT_First,0,IF(BN28&lt;FT_Y5,1+INT((BN28-FT_First)/FT_Int1),FT_PreY5+FT_PerYear*INT((BN28-FT_Y5)/12)+FT_AnnivDays+INT(MOD(BN28-FT_Y5,12)/FT_Int2)-IF(EDATE(AL28,FT_Y5)&lt;PolicyEff,FT_AnnivDays-1,0))),IF(AV28="PT",IF(BN28&lt;PT_First,0,1+INT((BN28-PT_First)/PT_Int)),0))-IF(AV28="FT",IF(BP28&lt;FT_First,0,IF(BP28&lt;FT_Y5,1+INT((BP28-FT_First)/FT_Int1),FT_PreY5+FT_PerYear*INT((BP28-FT_Y5)/12)+FT_AnnivDays+INT(MOD(BP28-FT_Y5,12)/FT_Int2)-IF(EDATE(AL28,FT_Y5)&lt;PolicyEff,FT_AnnivDays-1,0))),IF(AV28="PT",IF(BP28&lt;PT_First,0,1+INT((BP28-PT_First)/PT_Int)),0)),0))</f>
        <v/>
      </c>
      <c r="BR28" s="0" t="str">
        <f aca="false">IF(LEN($A28&amp;$B28)=0,"",$A28&amp;" "&amp;$B28)</f>
        <v/>
      </c>
    </row>
    <row r="29" customFormat="false" ht="15" hidden="false" customHeight="false" outlineLevel="0" collapsed="false">
      <c r="A29" s="12"/>
      <c r="B29" s="12"/>
      <c r="C29" s="12"/>
      <c r="D29" s="13"/>
      <c r="E29" s="14" t="str">
        <f aca="false">IF(OR(AK29=0,$D29=""),"",DATE(YEAR(AsOfDate)+IF(DATE(YEAR(AsOfDate),MONTH($D29),DAY($D29))&lt;=AsOfDate,1,0),MONTH($D29),DAY($D29)))</f>
        <v/>
      </c>
      <c r="F29" s="13"/>
      <c r="G29" s="13"/>
      <c r="H29" s="13"/>
      <c r="I29" s="13"/>
      <c r="J29" s="13"/>
      <c r="K29" s="14" t="str">
        <f aca="false">IF(AK29=0,"",DATE(YEAR(AsOfDate)+IF(DATE(YEAR(AsOfDate),MONTH(AL29),DAY(AL29))&lt;=AsOfDate,1,0),MONTH(AL29),DAY(AL29)))</f>
        <v/>
      </c>
      <c r="L29" s="15" t="str">
        <f aca="false">IF(AK29=0,"",ROUND((AsOfDate-AL29)/365.25,1))</f>
        <v/>
      </c>
      <c r="M29" s="16" t="str">
        <f aca="false">IF(AK29=0,"",IF(AsOfDate&lt;AL29,"-",DATEDIF(AL29,AsOfDate,"y")&amp;"y "&amp;DATEDIF(AL29,AsOfDate,"ym")&amp;"m "&amp;DATEDIF(AL29,AsOfDate,"md")&amp;"d"))</f>
        <v/>
      </c>
      <c r="N29" s="17" t="str">
        <f aca="false">IF(AK29=0,"",O29*HoursPerDay)</f>
        <v/>
      </c>
      <c r="O29" s="17" t="str">
        <f aca="false">IF(AK29=0,"",MAX(0,BD29-BQ29))</f>
        <v/>
      </c>
      <c r="P29" s="18"/>
      <c r="Q29" s="16" t="str">
        <f aca="false">IF(AK29=0,"",IF(AM29&lt;2,"",AQ29&amp;" to "&amp;AR29&amp;" on "&amp;TEXT(AO29,"dd/mm/yyyy")&amp;IF(AO29&gt;AsOfDate," (future)",IF(AT29=AU29,"",IF(AU29="None"," - STOPPED accruing",IF(AT29="None"," - commencement for Bonus Leave"," - pathway changed"))))&amp;IF(AM29&lt;3,"","; "&amp;AR29&amp;" to "&amp;AS29&amp;" on "&amp;TEXT(AP29,"dd/mm/yyyy")&amp;IF(AP29&gt;AsOfDate," (future)",IF(AU29=AV29,"",IF(AV29="None"," - STOPPED accruing",IF(AU29="None"," - commencement for Bonus Leave"," - pathway changed")))))))</f>
        <v/>
      </c>
      <c r="R29" s="16" t="str">
        <f aca="false">IF(AK29=0,"",IF(AW29="None",IF(O29&gt;0,"No longer accruing","Not eligible - "&amp;IF(AND(OR(ISNUMBER(SEARCH("part",$C29)),UPPER(TRIM($C29))="PT",UPPER(TRIM($C29))="PTE"),Apply2026="No"),"part-time (scheme is full-time only)",IF(AND(OR(ISNUMBER(SEARCH("part",$C29)),UPPER(TRIM($C29))="PT",UPPER(TRIM($C29))="PTE"),$P29&lt;&gt;"",N($P29)&lt;PT_MinHours),"under "&amp;PT_MinHours&amp;" hrs",IF(IF($C29="","",IF(OR(ISNUMBER(SEARCH("full",$C29)),UPPER(TRIM($C29))="FT",UPPER(TRIM($C29))="FTE"),"Full-Time",IF(OR(ISNUMBER(SEARCH("part",$C29)),UPPER(TRIM($C29))="PT",UPPER(TRIM($C29))="PTE"),"Part-Time",IF(OR(ISNUMBER(SEARCH("cas",$C29)),UPPER(TRIM($C29))="CAS"),"Casual","Unknown"))))="Unknown","type not recognised",$C29)))),IF(O29&gt;0,"Yes - Accrual Required","Not yet - from "&amp;TEXT(S29,"dd/mm/yyyy"))))</f>
        <v/>
      </c>
      <c r="S29" s="14" t="str">
        <f aca="false">IF(AK29=0,"",IF(AW29="None","",EDATE(AL29,BF29)))</f>
        <v/>
      </c>
      <c r="T29" s="17" t="str">
        <f aca="false">IF(AK29=0,"",IF(NOT(LH_Ready),"",IF($F29&gt;PFYDate,0,IF(LH_ColPeriod=0,W29-U29+V29,SUMIFS(INDEX(LH_Data,0,LH_ColAcc),INDEX(LH_Data,0,LH_ColFirst),$A29,INDEX(LH_Data,0,LH_ColSur),$B29,INDEX(LH_Data,0,LH_ColCat),BonusCat,INDEX(LH_Data,0,LH_ColPeriod),LH_OpenLabel)*UnitFactor))))</f>
        <v/>
      </c>
      <c r="U29" s="17" t="str">
        <f aca="false">IF(AK29=0,"",IF(NOT(LH_Ready),"",SUMIFS(INDEX(LH_Data,0,LH_ColAcc),INDEX(LH_Data,0,LH_ColFirst),$A29,INDEX(LH_Data,0,LH_ColSur),$B29,INDEX(LH_Data,0,LH_ColCat),BonusCat,INDEX(LH_Data,0,LH_ColStart),"&gt;="&amp;AL29)*UnitFactor))</f>
        <v/>
      </c>
      <c r="V29" s="17" t="str">
        <f aca="false">IF(AK29=0,"",IF(NOT(LH_Ready),"",SUMIFS(INDEX(LH_Data,0,LH_ColTaken),INDEX(LH_Data,0,LH_ColFirst),$A29,INDEX(LH_Data,0,LH_ColSur),$B29,INDEX(LH_Data,0,LH_ColCat),BonusCat,INDEX(LH_Data,0,LH_ColStart),"&gt;="&amp;AL29)*UnitFactor))</f>
        <v/>
      </c>
      <c r="W29" s="17" t="str">
        <f aca="false">IF(AK29=0,"",IF(NOT(LH_Ready),"",IF(BH29=0,0,INDEX(INDEX(LH_Data,0,LH_ColClose),BH29-1)*UnitFactor)))</f>
        <v/>
      </c>
      <c r="X29" s="17" t="str">
        <f aca="false">IF(AK29=0,"",(MAX(0,BD29-BQ29)-MAX(0,BE29-BQ29))*HoursPerDay)</f>
        <v/>
      </c>
      <c r="Y29" s="17" t="str">
        <f aca="false">IF(AK29=0,"",IF(NOT(LH_Ready),"",IF($AI29="Yes",N(AE29)*HoursPerDay-SUMIFS(INDEX(LH_Data,0,LH_ColAcc),INDEX(LH_Data,0,LH_ColFirst),$A29,INDEX(LH_Data,0,LH_ColSur),$B29,INDEX(LH_Data,0,LH_ColCat),BonusCat,INDEX(LH_Data,0,LH_ColStart),"&gt;="&amp;(EOMONTH(AsOfDate,-1)+1),INDEX(LH_Data,0,LH_ColStart),"&lt;="&amp;AsOfDate)*UnitFactor,IF(BG29=0,N29,N29-N(T29)-N(U29)))))</f>
        <v/>
      </c>
      <c r="Z29" s="16" t="str">
        <f aca="false">IF(OR(AK29=0,Y29=""),"",IF(Y29&gt;0,"Yes","No"))</f>
        <v/>
      </c>
      <c r="AA29" s="16" t="str">
        <f aca="false">IF(AK29=0,IF(LEN($A29&amp;$B29)=0,"","FIX INPUT - StartDate missing"),IF(AD29&lt;&gt;"","FIX INPUT - "&amp;AD29,IF(NOT(LH_Ready),"Paste Leave History export (Settings must show YES)",IF(AND($AI29="Yes",Y29&lt;=0),"OK - EH balance accepted to date"&amp;IF(N(AH29)&gt;0," (EH holds "&amp;AH29&amp;" hrs over the scheme)","")&amp;"; next day "&amp;TEXT(S29,"dd mmm yy")&amp;IF(N(AE29)&gt;0," ("&amp;AE29&amp;" day(s) for "&amp;UPPER(TEXT(AsOfDate,"mmm yyyy"))&amp;" already in EH)",""),IF(Y29&gt;0,"ACCRUE "&amp;ROUND(Y29,2)&amp;" hrs ("&amp;ROUND(Y29/HoursPerDay,2)&amp;" days): "&amp;IF(N(AE29)&gt;0,AE29&amp;" day(s) for "&amp;UPPER(TEXT(AsOfDate,"mmm yyyy"))&amp;" (milestone "&amp;UPPER(TEXT(AF29,"dd mmm yy"))&amp;")"&amp;IF(Y29/HoursPerDay&gt;AE29+0.001," + "&amp;ROUND(Y29/HoursPerDay-AE29,2)&amp;" day(s) catch-up from earlier months",""),"all catch-up from earlier months, nothing new this month")&amp;IF(BG29=0,"; no Bonus Leave in EH yet",""),IF(Y29&lt;0,"CHECK - EH accrued "&amp;ROUND(-Y29,2)&amp;" hrs more than policy since commencement",IF(N(W29)&gt;O29*HoursPerDay+0.01,"CHECK - EH balance "&amp;ROUND(W29-O29*HoursPerDay,2)&amp;" hrs more than policy entitlement",IF(O29&gt;0,"OK - nothing to add"&amp;IF(N(AE29)&gt;0," ("&amp;AE29&amp;" day(s) for "&amp;UPPER(TEXT(AsOfDate,"mmm yyyy"))&amp;" already in EH)",""),IF(AW29="None",R29,"Not yet - first day on "&amp;TEXT(S29,"dd/mm/yyyy"))))))))))</f>
        <v/>
      </c>
      <c r="AB29" s="17" t="str">
        <f aca="false">IF(OR(AK29=0,T29=""),"",MAX(0,BE29-BQ29)*HoursPerDay-T29)</f>
        <v/>
      </c>
      <c r="AC29" s="16" t="str">
        <f aca="false">IF(AK29=0,"",BG29)</f>
        <v/>
      </c>
      <c r="AD29" s="16" t="str">
        <f aca="false">IF(AK29=0,"",TRIM(IF(OR(ISTEXT($F29),ISTEXT($H29),ISTEXT($I29),ISTEXT($G29),ISTEXT($J29),ISTEXT($D29)),"A date is typed as text - retype it as dd/mm/yyyy. ","")&amp;IF(IF($C29="","",IF(OR(ISNUMBER(SEARCH("full",$C29)),UPPER(TRIM($C29))="FT",UPPER(TRIM($C29))="FTE"),"Full-Time",IF(OR(ISNUMBER(SEARCH("part",$C29)),UPPER(TRIM($C29))="PT",UPPER(TRIM($C29))="PTE"),"Part-Time",IF(OR(ISNUMBER(SEARCH("cas",$C29)),UPPER(TRIM($C29))="CAS"),"Casual","Unknown"))))="Unknown","EmploymentType not recognised - use Full-Time, Part-Time or Casual. ","")&amp;IF(AND(AM29&gt;=1,IF(AM29&gt;=3,AS29,IF(AM29=2,AR29,AQ29))&lt;&gt;IF($C29="","",IF(OR(ISNUMBER(SEARCH("full",$C29)),UPPER(TRIM($C29))="FT",UPPER(TRIM($C29))="FTE"),"Full-Time",IF(OR(ISNUMBER(SEARCH("part",$C29)),UPPER(TRIM($C29))="PT",UPPER(TRIM($C29))="PTE"),"Part-Time",IF(OR(ISNUMBER(SEARCH("cas",$C29)),UPPER(TRIM($C29))="CAS"),"Casual","Unknown"))))),"EmploymentType does not match latest start date ("&amp;IF(AM29&gt;=3,AS29,IF(AM29=2,AR29,AQ29))&amp;"). ","")&amp;IF(AND(AM29&gt;=1,AN29&lt;&gt;$F29),"Earliest type date should equal StartDate. ","")&amp;IF(AND(AM29&gt;=2,AN29=AO29),"Two types start on the same date. ","")&amp;IF(AND(OR(ISNUMBER(SEARCH("part",$C29)),UPPER(TRIM($C29))="PT",UPPER(TRIM($C29))="PTE"),$P29=""),"Part-time: enter PT Hrs/Week (blank = 24+). ","")))</f>
        <v/>
      </c>
      <c r="AE29" s="17" t="str">
        <f aca="false">IF(AK29=0,"",O29-MAX(0,BL29-BQ29))</f>
        <v/>
      </c>
      <c r="AF29" s="14" t="str">
        <f aca="false">IF(OR(AK29=0,AE29="",N(AE29)=0,BM29=""),"",EDATE(AL29,BM29))</f>
        <v/>
      </c>
      <c r="AG29" s="17" t="str">
        <f aca="false">IF(AK29=0,"",MIN(BD29,BQ29))</f>
        <v/>
      </c>
      <c r="AH29" s="17" t="str">
        <f aca="false">IF(AK29=0,"",IF(NOT(LH_Ready),"",IF(BG29=0,0,MAX(0,ROUND(N(T29)+N(U29)-N29,2)))))</f>
        <v/>
      </c>
      <c r="AI29" s="12"/>
      <c r="AJ29" s="12"/>
      <c r="AK29" s="16" t="n">
        <f aca="false">IF(OR(LEN($A29&amp;$B29)=0,$F29=""),0,1)</f>
        <v>0</v>
      </c>
      <c r="AL29" s="14" t="str">
        <f aca="false">IF(AK29=0,"",IF(PreSchemeCounts="No",MAX(SchemeStart,IF($J29&lt;&gt;"",$J29,IF(OR(CasualCounts="Yes",COUNT($G29:$I29)=0),$F29,IF(Apply2026="No",IF($I29="",$F29,$I29),IF(COUNT($H29:$I29)=0,$F29,MIN($H29:$I29)))))),IF($J29&lt;&gt;"",$J29,IF(OR(CasualCounts="Yes",COUNT($G29:$I29)=0),$F29,IF(Apply2026="No",IF($I29="",$F29,$I29),IF(COUNT($H29:$I29)=0,$F29,MIN($H29:$I29)))))))</f>
        <v/>
      </c>
      <c r="AM29" s="16" t="str">
        <f aca="false">IF(AK29=0,"",COUNT($G29:$I29))</f>
        <v/>
      </c>
      <c r="AN29" s="14" t="str">
        <f aca="false">IF(AK29=0,"",IFERROR(SMALL($G29:$I29,1),""))</f>
        <v/>
      </c>
      <c r="AO29" s="14" t="str">
        <f aca="false">IF(AK29=0,"",IFERROR(SMALL($G29:$I29,2),""))</f>
        <v/>
      </c>
      <c r="AP29" s="14" t="str">
        <f aca="false">IF(AK29=0,"",IFERROR(SMALL($G29:$I29,3),""))</f>
        <v/>
      </c>
      <c r="AQ29" s="16" t="str">
        <f aca="false">IF(AK29=0,"",IF(AN29="","",IF(AN29=$H29,"Part-Time",IF(AN29=$I29,"Full-Time","Casual"))))</f>
        <v/>
      </c>
      <c r="AR29" s="16" t="str">
        <f aca="false">IF(AK29=0,"",IF(AO29="","",IF(AO29=$H29,"Part-Time",IF(AO29=$I29,"Full-Time","Casual"))))</f>
        <v/>
      </c>
      <c r="AS29" s="16" t="str">
        <f aca="false">IF(AK29=0,"",IF(AP29="","",IF(AP29=$H29,"Part-Time",IF(AP29=$I29,"Full-Time","Casual"))))</f>
        <v/>
      </c>
      <c r="AT29" s="16" t="str">
        <f aca="false">IF(AK29=0,"",IF(AM29=0,IF(OR(ISNUMBER(SEARCH("full",$C29)),UPPER(TRIM($C29))="FT",UPPER(TRIM($C29))="FTE"),"FT",IF(AND(OR(ISNUMBER(SEARCH("part",$C29)),UPPER(TRIM($C29))="PT",UPPER(TRIM($C29))="PTE"),Apply2026="Yes",OR($P29="",N($P29)&gt;=PT_MinHours)),"PT","None")),IF(OR(ISNUMBER(SEARCH("full",AQ29)),UPPER(TRIM(AQ29))="FT",UPPER(TRIM(AQ29))="FTE"),"FT",IF(AND(OR(ISNUMBER(SEARCH("part",AQ29)),UPPER(TRIM(AQ29))="PT",UPPER(TRIM(AQ29))="PTE"),Apply2026="Yes",OR($P29="",N($P29)&gt;=PT_MinHours)),"PT","None"))))</f>
        <v/>
      </c>
      <c r="AU29" s="16" t="str">
        <f aca="false">IF(AK29=0,"",IF(AM29&lt;2,"",IF(OR(ISNUMBER(SEARCH("full",AR29)),UPPER(TRIM(AR29))="FT",UPPER(TRIM(AR29))="FTE"),"FT",IF(AND(OR(ISNUMBER(SEARCH("part",AR29)),UPPER(TRIM(AR29))="PT",UPPER(TRIM(AR29))="PTE"),Apply2026="Yes",OR($P29="",N($P29)&gt;=PT_MinHours)),"PT","None"))))</f>
        <v/>
      </c>
      <c r="AV29" s="16" t="str">
        <f aca="false">IF(AK29=0,"",IF(AM29&lt;3,"",IF(OR(ISNUMBER(SEARCH("full",AS29)),UPPER(TRIM(AS29))="FT",UPPER(TRIM(AS29))="FTE"),"FT",IF(AND(OR(ISNUMBER(SEARCH("part",AS29)),UPPER(TRIM(AS29))="PT",UPPER(TRIM(AS29))="PTE"),Apply2026="Yes",OR($P29="",N($P29)&gt;=PT_MinHours)),"PT","None"))))</f>
        <v/>
      </c>
      <c r="AW29" s="16" t="str">
        <f aca="false">IF(AK29=0,"",IF(AND(AM29&gt;=3,AP29&lt;=AsOfDate),AV29,IF(AND(AM29&gt;=2,AO29&lt;=AsOfDate),AU29,AT29)))</f>
        <v/>
      </c>
      <c r="AX29" s="16" t="str">
        <f aca="false">IF(AK29=0,"",IF(AsOfDate&lt;AL29,-1,12*(YEAR(AsOfDate)-YEAR(AL29))+MONTH(AsOfDate)-MONTH(AL29)-IF(DAY(AsOfDate)&lt;MIN(DAY(AL29),DAY(EOMONTH(AsOfDate,0))),1,0)))</f>
        <v/>
      </c>
      <c r="AY29" s="16" t="str">
        <f aca="false">IF(AK29=0,"",IF(OR(AM29&lt;2,AO29&gt;AsOfDate),AX29,IF((AO29-1)&lt;AL29,-1,12*(YEAR((AO29-1))-YEAR(AL29))+MONTH((AO29-1))-MONTH(AL29)-IF(DAY((AO29-1))&lt;MIN(DAY(AL29),DAY(EOMONTH((AO29-1),0))),1,0))))</f>
        <v/>
      </c>
      <c r="AZ29" s="16" t="str">
        <f aca="false">IF(AK29=0,"",IF(OR(AM29&lt;3,AP29&gt;AsOfDate),AX29,IF((AP29-1)&lt;AL29,-1,12*(YEAR((AP29-1))-YEAR(AL29))+MONTH((AP29-1))-MONTH(AL29)-IF(DAY((AP29-1))&lt;MIN(DAY(AL29),DAY(EOMONTH((AP29-1),0))),1,0))))</f>
        <v/>
      </c>
      <c r="BA29" s="16" t="str">
        <f aca="false">IF(AK29=0,"",IF(PFYDate&lt;AL29,-1,12*(YEAR(PFYDate)-YEAR(AL29))+MONTH(PFYDate)-MONTH(AL29)-IF(DAY(PFYDate)&lt;MIN(DAY(AL29),DAY(EOMONTH(PFYDate,0))),1,0)))</f>
        <v/>
      </c>
      <c r="BB29" s="16" t="str">
        <f aca="false">IF(AK29=0,"",IF(OR(AM29&lt;2,AO29&gt;PFYDate),BA29,IF((AO29-1)&lt;AL29,-1,12*(YEAR((AO29-1))-YEAR(AL29))+MONTH((AO29-1))-MONTH(AL29)-IF(DAY((AO29-1))&lt;MIN(DAY(AL29),DAY(EOMONTH((AO29-1),0))),1,0))))</f>
        <v/>
      </c>
      <c r="BC29" s="16" t="str">
        <f aca="false">IF(AK29=0,"",IF(OR(AM29&lt;3,AP29&gt;PFYDate),BA29,IF((AP29-1)&lt;AL29,-1,12*(YEAR((AP29-1))-YEAR(AL29))+MONTH((AP29-1))-MONTH(AL29)-IF(DAY((AP29-1))&lt;MIN(DAY(AL29),DAY(EOMONTH((AP29-1),0))),1,0))))</f>
        <v/>
      </c>
      <c r="BD29" s="16" t="str">
        <f aca="false">IF(AK29=0,"",IF(AT29="FT",IF(AY29&lt;FT_First,0,IF(AY29&lt;FT_Y5,1+INT((AY29-FT_First)/FT_Int1),FT_PreY5+FT_PerYear*INT((AY29-FT_Y5)/12)+FT_AnnivDays+INT(MOD(AY29-FT_Y5,12)/FT_Int2)-IF(EDATE(AL29,FT_Y5)&lt;PolicyEff,FT_AnnivDays-1,0))),IF(AT29="PT",IF(AY29&lt;PT_First,0,1+INT((AY29-PT_First)/PT_Int)),0))+IF(AND(AM29&gt;=2,AO29&lt;=AsOfDate),IF(AU29="FT",IF(AZ29&lt;FT_First,0,IF(AZ29&lt;FT_Y5,1+INT((AZ29-FT_First)/FT_Int1),FT_PreY5+FT_PerYear*INT((AZ29-FT_Y5)/12)+FT_AnnivDays+INT(MOD(AZ29-FT_Y5,12)/FT_Int2)-IF(EDATE(AL29,FT_Y5)&lt;PolicyEff,FT_AnnivDays-1,0))),IF(AU29="PT",IF(AZ29&lt;PT_First,0,1+INT((AZ29-PT_First)/PT_Int)),0))-IF(AU29="FT",IF(AY29&lt;FT_First,0,IF(AY29&lt;FT_Y5,1+INT((AY29-FT_First)/FT_Int1),FT_PreY5+FT_PerYear*INT((AY29-FT_Y5)/12)+FT_AnnivDays+INT(MOD(AY29-FT_Y5,12)/FT_Int2)-IF(EDATE(AL29,FT_Y5)&lt;PolicyEff,FT_AnnivDays-1,0))),IF(AU29="PT",IF(AY29&lt;PT_First,0,1+INT((AY29-PT_First)/PT_Int)),0)),0)+IF(AND(AM29&gt;=3,AP29&lt;=AsOfDate),IF(AV29="FT",IF(AX29&lt;FT_First,0,IF(AX29&lt;FT_Y5,1+INT((AX29-FT_First)/FT_Int1),FT_PreY5+FT_PerYear*INT((AX29-FT_Y5)/12)+FT_AnnivDays+INT(MOD(AX29-FT_Y5,12)/FT_Int2)-IF(EDATE(AL29,FT_Y5)&lt;PolicyEff,FT_AnnivDays-1,0))),IF(AV29="PT",IF(AX29&lt;PT_First,0,1+INT((AX29-PT_First)/PT_Int)),0))-IF(AV29="FT",IF(AZ29&lt;FT_First,0,IF(AZ29&lt;FT_Y5,1+INT((AZ29-FT_First)/FT_Int1),FT_PreY5+FT_PerYear*INT((AZ29-FT_Y5)/12)+FT_AnnivDays+INT(MOD(AZ29-FT_Y5,12)/FT_Int2)-IF(EDATE(AL29,FT_Y5)&lt;PolicyEff,FT_AnnivDays-1,0))),IF(AV29="PT",IF(AZ29&lt;PT_First,0,1+INT((AZ29-PT_First)/PT_Int)),0)),0))</f>
        <v/>
      </c>
      <c r="BE29" s="16" t="str">
        <f aca="false">IF(AK29=0,"",IF(AT29="FT",IF(BB29&lt;FT_First,0,IF(BB29&lt;FT_Y5,1+INT((BB29-FT_First)/FT_Int1),FT_PreY5+FT_PerYear*INT((BB29-FT_Y5)/12)+FT_AnnivDays+INT(MOD(BB29-FT_Y5,12)/FT_Int2)-IF(EDATE(AL29,FT_Y5)&lt;PolicyEff,FT_AnnivDays-1,0))),IF(AT29="PT",IF(BB29&lt;PT_First,0,1+INT((BB29-PT_First)/PT_Int)),0))+IF(AND(AM29&gt;=2,AO29&lt;=PFYDate),IF(AU29="FT",IF(BC29&lt;FT_First,0,IF(BC29&lt;FT_Y5,1+INT((BC29-FT_First)/FT_Int1),FT_PreY5+FT_PerYear*INT((BC29-FT_Y5)/12)+FT_AnnivDays+INT(MOD(BC29-FT_Y5,12)/FT_Int2)-IF(EDATE(AL29,FT_Y5)&lt;PolicyEff,FT_AnnivDays-1,0))),IF(AU29="PT",IF(BC29&lt;PT_First,0,1+INT((BC29-PT_First)/PT_Int)),0))-IF(AU29="FT",IF(BB29&lt;FT_First,0,IF(BB29&lt;FT_Y5,1+INT((BB29-FT_First)/FT_Int1),FT_PreY5+FT_PerYear*INT((BB29-FT_Y5)/12)+FT_AnnivDays+INT(MOD(BB29-FT_Y5,12)/FT_Int2)-IF(EDATE(AL29,FT_Y5)&lt;PolicyEff,FT_AnnivDays-1,0))),IF(AU29="PT",IF(BB29&lt;PT_First,0,1+INT((BB29-PT_First)/PT_Int)),0)),0)+IF(AND(AM29&gt;=3,AP29&lt;=PFYDate),IF(AV29="FT",IF(BA29&lt;FT_First,0,IF(BA29&lt;FT_Y5,1+INT((BA29-FT_First)/FT_Int1),FT_PreY5+FT_PerYear*INT((BA29-FT_Y5)/12)+FT_AnnivDays+INT(MOD(BA29-FT_Y5,12)/FT_Int2)-IF(EDATE(AL29,FT_Y5)&lt;PolicyEff,FT_AnnivDays-1,0))),IF(AV29="PT",IF(BA29&lt;PT_First,0,1+INT((BA29-PT_First)/PT_Int)),0))-IF(AV29="FT",IF(BC29&lt;FT_First,0,IF(BC29&lt;FT_Y5,1+INT((BC29-FT_First)/FT_Int1),FT_PreY5+FT_PerYear*INT((BC29-FT_Y5)/12)+FT_AnnivDays+INT(MOD(BC29-FT_Y5,12)/FT_Int2)-IF(EDATE(AL29,FT_Y5)&lt;PolicyEff,FT_AnnivDays-1,0))),IF(AV29="PT",IF(BC29&lt;PT_First,0,1+INT((BC29-PT_First)/PT_Int)),0)),0))</f>
        <v/>
      </c>
      <c r="BF29" s="16" t="str">
        <f aca="false">IF(AK29=0,"",IF(AW29="FT",IF(AX29&lt;FT_First,FT_First,IF(AX29&lt;FT_Y5,MIN(FT_Y5,FT_First+FT_Int1*(INT((AX29-FT_First)/FT_Int1)+1)),FT_Y5+12*INT((AX29-FT_Y5)/12)+FT_Int2*(INT(MOD(AX29-FT_Y5,12)/FT_Int2)+1))),IF(AW29="PT",IF(AX29&lt;PT_First,PT_First,PT_First+PT_Int*(INT((AX29-PT_First)/PT_Int)+1)),"")))</f>
        <v/>
      </c>
      <c r="BG29" s="16" t="str">
        <f aca="false">IF(AK29=0,"",IF(NOT(LH_Ready),0,COUNTIFS(INDEX(LH_Data,0,LH_ColFirst),$A29,INDEX(LH_Data,0,LH_ColSur),$B29,INDEX(LH_Data,0,LH_ColCat),BonusCat)))</f>
        <v/>
      </c>
      <c r="BH29" s="16" t="str">
        <f aca="false">IF(AK29=0,"",IF(OR(NOT(LH_Ready),BG29=0),0,SUMPRODUCT(MAX((INDEX(LH_Data,0,LH_ColFirst)=$A29)*(INDEX(LH_Data,0,LH_ColSur)=$B29)*(INDEX(LH_Data,0,LH_ColCat)=BonusCat)*ROW(LH_Data)))))</f>
        <v/>
      </c>
      <c r="BI29" s="16" t="str">
        <f aca="false">IF(AK29=0,"",IF(EOMONTH(AsOfDate,-1)&lt;AL29,-1,12*(YEAR(EOMONTH(AsOfDate,-1))-YEAR(AL29))+MONTH(EOMONTH(AsOfDate,-1))-MONTH(AL29)-IF(DAY(EOMONTH(AsOfDate,-1))&lt;MIN(DAY(AL29),DAY(EOMONTH(EOMONTH(AsOfDate,-1),0))),1,0)))</f>
        <v/>
      </c>
      <c r="BJ29" s="16" t="str">
        <f aca="false">IF(AK29=0,"",IF(OR(AM29&lt;2,AO29&gt;EOMONTH(AsOfDate,-1)),BI29,IF((AO29-1)&lt;AL29,-1,12*(YEAR((AO29-1))-YEAR(AL29))+MONTH((AO29-1))-MONTH(AL29)-IF(DAY((AO29-1))&lt;MIN(DAY(AL29),DAY(EOMONTH((AO29-1),0))),1,0))))</f>
        <v/>
      </c>
      <c r="BK29" s="16" t="str">
        <f aca="false">IF(AK29=0,"",IF(OR(AM29&lt;3,AP29&gt;EOMONTH(AsOfDate,-1)),BI29,IF((AP29-1)&lt;AL29,-1,12*(YEAR((AP29-1))-YEAR(AL29))+MONTH((AP29-1))-MONTH(AL29)-IF(DAY((AP29-1))&lt;MIN(DAY(AL29),DAY(EOMONTH((AP29-1),0))),1,0))))</f>
        <v/>
      </c>
      <c r="BL29" s="16" t="str">
        <f aca="false">IF(AK29=0,"",IF(AT29="FT",IF(BJ29&lt;FT_First,0,IF(BJ29&lt;FT_Y5,1+INT((BJ29-FT_First)/FT_Int1),FT_PreY5+FT_PerYear*INT((BJ29-FT_Y5)/12)+FT_AnnivDays+INT(MOD(BJ29-FT_Y5,12)/FT_Int2)-IF(EDATE(AL29,FT_Y5)&lt;PolicyEff,FT_AnnivDays-1,0))),IF(AT29="PT",IF(BJ29&lt;PT_First,0,1+INT((BJ29-PT_First)/PT_Int)),0))+IF(AND(AM29&gt;=2,AO29&lt;=EOMONTH(AsOfDate,-1)),IF(AU29="FT",IF(BK29&lt;FT_First,0,IF(BK29&lt;FT_Y5,1+INT((BK29-FT_First)/FT_Int1),FT_PreY5+FT_PerYear*INT((BK29-FT_Y5)/12)+FT_AnnivDays+INT(MOD(BK29-FT_Y5,12)/FT_Int2)-IF(EDATE(AL29,FT_Y5)&lt;PolicyEff,FT_AnnivDays-1,0))),IF(AU29="PT",IF(BK29&lt;PT_First,0,1+INT((BK29-PT_First)/PT_Int)),0))-IF(AU29="FT",IF(BJ29&lt;FT_First,0,IF(BJ29&lt;FT_Y5,1+INT((BJ29-FT_First)/FT_Int1),FT_PreY5+FT_PerYear*INT((BJ29-FT_Y5)/12)+FT_AnnivDays+INT(MOD(BJ29-FT_Y5,12)/FT_Int2)-IF(EDATE(AL29,FT_Y5)&lt;PolicyEff,FT_AnnivDays-1,0))),IF(AU29="PT",IF(BJ29&lt;PT_First,0,1+INT((BJ29-PT_First)/PT_Int)),0)),0)+IF(AND(AM29&gt;=3,AP29&lt;=EOMONTH(AsOfDate,-1)),IF(AV29="FT",IF(BI29&lt;FT_First,0,IF(BI29&lt;FT_Y5,1+INT((BI29-FT_First)/FT_Int1),FT_PreY5+FT_PerYear*INT((BI29-FT_Y5)/12)+FT_AnnivDays+INT(MOD(BI29-FT_Y5,12)/FT_Int2)-IF(EDATE(AL29,FT_Y5)&lt;PolicyEff,FT_AnnivDays-1,0))),IF(AV29="PT",IF(BI29&lt;PT_First,0,1+INT((BI29-PT_First)/PT_Int)),0))-IF(AV29="FT",IF(BK29&lt;FT_First,0,IF(BK29&lt;FT_Y5,1+INT((BK29-FT_First)/FT_Int1),FT_PreY5+FT_PerYear*INT((BK29-FT_Y5)/12)+FT_AnnivDays+INT(MOD(BK29-FT_Y5,12)/FT_Int2)-IF(EDATE(AL29,FT_Y5)&lt;PolicyEff,FT_AnnivDays-1,0))),IF(AV29="PT",IF(BK29&lt;PT_First,0,1+INT((BK29-PT_First)/PT_Int)),0)),0))</f>
        <v/>
      </c>
      <c r="BM29" s="16" t="str">
        <f aca="false">IF(AK29=0,"",IF(AW29="FT",IF(AX29&lt;FT_First,"",IF(AX29&lt;FT_Y5,FT_First+FT_Int1*INT((AX29-FT_First)/FT_Int1),FT_Y5+FT_Int2*INT((AX29-FT_Y5)/FT_Int2))),IF(AW29="PT",IF(AX29&lt;PT_First,"",PT_First+PT_Int*INT((AX29-PT_First)/PT_Int)),"")))</f>
        <v/>
      </c>
      <c r="BN29" s="16" t="str">
        <f aca="false">IF(AK29=0,"",IF((SchemeStart-1)&lt;AL29,-1,12*(YEAR((SchemeStart-1))-YEAR(AL29))+MONTH((SchemeStart-1))-MONTH(AL29)-IF(DAY((SchemeStart-1))&lt;MIN(DAY(AL29),DAY(EOMONTH((SchemeStart-1),0))),1,0)))</f>
        <v/>
      </c>
      <c r="BO29" s="16" t="str">
        <f aca="false">IF(AK29=0,"",IF(OR(AM29&lt;2,AO29&gt;(SchemeStart-1)),BN29,IF((AO29-1)&lt;AL29,-1,12*(YEAR((AO29-1))-YEAR(AL29))+MONTH((AO29-1))-MONTH(AL29)-IF(DAY((AO29-1))&lt;MIN(DAY(AL29),DAY(EOMONTH((AO29-1),0))),1,0))))</f>
        <v/>
      </c>
      <c r="BP29" s="16" t="str">
        <f aca="false">IF(AK29=0,"",IF(OR(AM29&lt;3,AP29&gt;(SchemeStart-1)),BN29,IF((AP29-1)&lt;AL29,-1,12*(YEAR((AP29-1))-YEAR(AL29))+MONTH((AP29-1))-MONTH(AL29)-IF(DAY((AP29-1))&lt;MIN(DAY(AL29),DAY(EOMONTH((AP29-1),0))),1,0))))</f>
        <v/>
      </c>
      <c r="BQ29" s="16" t="str">
        <f aca="false">IF(AK29=0,"",IF(AT29="FT",IF(BO29&lt;FT_First,0,IF(BO29&lt;FT_Y5,1+INT((BO29-FT_First)/FT_Int1),FT_PreY5+FT_PerYear*INT((BO29-FT_Y5)/12)+FT_AnnivDays+INT(MOD(BO29-FT_Y5,12)/FT_Int2)-IF(EDATE(AL29,FT_Y5)&lt;PolicyEff,FT_AnnivDays-1,0))),IF(AT29="PT",IF(BO29&lt;PT_First,0,1+INT((BO29-PT_First)/PT_Int)),0))+IF(AND(AM29&gt;=2,AO29&lt;=(SchemeStart-1)),IF(AU29="FT",IF(BP29&lt;FT_First,0,IF(BP29&lt;FT_Y5,1+INT((BP29-FT_First)/FT_Int1),FT_PreY5+FT_PerYear*INT((BP29-FT_Y5)/12)+FT_AnnivDays+INT(MOD(BP29-FT_Y5,12)/FT_Int2)-IF(EDATE(AL29,FT_Y5)&lt;PolicyEff,FT_AnnivDays-1,0))),IF(AU29="PT",IF(BP29&lt;PT_First,0,1+INT((BP29-PT_First)/PT_Int)),0))-IF(AU29="FT",IF(BO29&lt;FT_First,0,IF(BO29&lt;FT_Y5,1+INT((BO29-FT_First)/FT_Int1),FT_PreY5+FT_PerYear*INT((BO29-FT_Y5)/12)+FT_AnnivDays+INT(MOD(BO29-FT_Y5,12)/FT_Int2)-IF(EDATE(AL29,FT_Y5)&lt;PolicyEff,FT_AnnivDays-1,0))),IF(AU29="PT",IF(BO29&lt;PT_First,0,1+INT((BO29-PT_First)/PT_Int)),0)),0)+IF(AND(AM29&gt;=3,AP29&lt;=(SchemeStart-1)),IF(AV29="FT",IF(BN29&lt;FT_First,0,IF(BN29&lt;FT_Y5,1+INT((BN29-FT_First)/FT_Int1),FT_PreY5+FT_PerYear*INT((BN29-FT_Y5)/12)+FT_AnnivDays+INT(MOD(BN29-FT_Y5,12)/FT_Int2)-IF(EDATE(AL29,FT_Y5)&lt;PolicyEff,FT_AnnivDays-1,0))),IF(AV29="PT",IF(BN29&lt;PT_First,0,1+INT((BN29-PT_First)/PT_Int)),0))-IF(AV29="FT",IF(BP29&lt;FT_First,0,IF(BP29&lt;FT_Y5,1+INT((BP29-FT_First)/FT_Int1),FT_PreY5+FT_PerYear*INT((BP29-FT_Y5)/12)+FT_AnnivDays+INT(MOD(BP29-FT_Y5,12)/FT_Int2)-IF(EDATE(AL29,FT_Y5)&lt;PolicyEff,FT_AnnivDays-1,0))),IF(AV29="PT",IF(BP29&lt;PT_First,0,1+INT((BP29-PT_First)/PT_Int)),0)),0))</f>
        <v/>
      </c>
      <c r="BR29" s="0" t="str">
        <f aca="false">IF(LEN($A29&amp;$B29)=0,"",$A29&amp;" "&amp;$B29)</f>
        <v/>
      </c>
    </row>
    <row r="30" customFormat="false" ht="15" hidden="false" customHeight="false" outlineLevel="0" collapsed="false">
      <c r="A30" s="12"/>
      <c r="B30" s="12"/>
      <c r="C30" s="12"/>
      <c r="D30" s="13"/>
      <c r="E30" s="14" t="str">
        <f aca="false">IF(OR(AK30=0,$D30=""),"",DATE(YEAR(AsOfDate)+IF(DATE(YEAR(AsOfDate),MONTH($D30),DAY($D30))&lt;=AsOfDate,1,0),MONTH($D30),DAY($D30)))</f>
        <v/>
      </c>
      <c r="F30" s="13"/>
      <c r="G30" s="13"/>
      <c r="H30" s="13"/>
      <c r="I30" s="13"/>
      <c r="J30" s="13"/>
      <c r="K30" s="14" t="str">
        <f aca="false">IF(AK30=0,"",DATE(YEAR(AsOfDate)+IF(DATE(YEAR(AsOfDate),MONTH(AL30),DAY(AL30))&lt;=AsOfDate,1,0),MONTH(AL30),DAY(AL30)))</f>
        <v/>
      </c>
      <c r="L30" s="15" t="str">
        <f aca="false">IF(AK30=0,"",ROUND((AsOfDate-AL30)/365.25,1))</f>
        <v/>
      </c>
      <c r="M30" s="16" t="str">
        <f aca="false">IF(AK30=0,"",IF(AsOfDate&lt;AL30,"-",DATEDIF(AL30,AsOfDate,"y")&amp;"y "&amp;DATEDIF(AL30,AsOfDate,"ym")&amp;"m "&amp;DATEDIF(AL30,AsOfDate,"md")&amp;"d"))</f>
        <v/>
      </c>
      <c r="N30" s="17" t="str">
        <f aca="false">IF(AK30=0,"",O30*HoursPerDay)</f>
        <v/>
      </c>
      <c r="O30" s="17" t="str">
        <f aca="false">IF(AK30=0,"",MAX(0,BD30-BQ30))</f>
        <v/>
      </c>
      <c r="P30" s="18"/>
      <c r="Q30" s="16" t="str">
        <f aca="false">IF(AK30=0,"",IF(AM30&lt;2,"",AQ30&amp;" to "&amp;AR30&amp;" on "&amp;TEXT(AO30,"dd/mm/yyyy")&amp;IF(AO30&gt;AsOfDate," (future)",IF(AT30=AU30,"",IF(AU30="None"," - STOPPED accruing",IF(AT30="None"," - commencement for Bonus Leave"," - pathway changed"))))&amp;IF(AM30&lt;3,"","; "&amp;AR30&amp;" to "&amp;AS30&amp;" on "&amp;TEXT(AP30,"dd/mm/yyyy")&amp;IF(AP30&gt;AsOfDate," (future)",IF(AU30=AV30,"",IF(AV30="None"," - STOPPED accruing",IF(AU30="None"," - commencement for Bonus Leave"," - pathway changed")))))))</f>
        <v/>
      </c>
      <c r="R30" s="16" t="str">
        <f aca="false">IF(AK30=0,"",IF(AW30="None",IF(O30&gt;0,"No longer accruing","Not eligible - "&amp;IF(AND(OR(ISNUMBER(SEARCH("part",$C30)),UPPER(TRIM($C30))="PT",UPPER(TRIM($C30))="PTE"),Apply2026="No"),"part-time (scheme is full-time only)",IF(AND(OR(ISNUMBER(SEARCH("part",$C30)),UPPER(TRIM($C30))="PT",UPPER(TRIM($C30))="PTE"),$P30&lt;&gt;"",N($P30)&lt;PT_MinHours),"under "&amp;PT_MinHours&amp;" hrs",IF(IF($C30="","",IF(OR(ISNUMBER(SEARCH("full",$C30)),UPPER(TRIM($C30))="FT",UPPER(TRIM($C30))="FTE"),"Full-Time",IF(OR(ISNUMBER(SEARCH("part",$C30)),UPPER(TRIM($C30))="PT",UPPER(TRIM($C30))="PTE"),"Part-Time",IF(OR(ISNUMBER(SEARCH("cas",$C30)),UPPER(TRIM($C30))="CAS"),"Casual","Unknown"))))="Unknown","type not recognised",$C30)))),IF(O30&gt;0,"Yes - Accrual Required","Not yet - from "&amp;TEXT(S30,"dd/mm/yyyy"))))</f>
        <v/>
      </c>
      <c r="S30" s="14" t="str">
        <f aca="false">IF(AK30=0,"",IF(AW30="None","",EDATE(AL30,BF30)))</f>
        <v/>
      </c>
      <c r="T30" s="17" t="str">
        <f aca="false">IF(AK30=0,"",IF(NOT(LH_Ready),"",IF($F30&gt;PFYDate,0,IF(LH_ColPeriod=0,W30-U30+V30,SUMIFS(INDEX(LH_Data,0,LH_ColAcc),INDEX(LH_Data,0,LH_ColFirst),$A30,INDEX(LH_Data,0,LH_ColSur),$B30,INDEX(LH_Data,0,LH_ColCat),BonusCat,INDEX(LH_Data,0,LH_ColPeriod),LH_OpenLabel)*UnitFactor))))</f>
        <v/>
      </c>
      <c r="U30" s="17" t="str">
        <f aca="false">IF(AK30=0,"",IF(NOT(LH_Ready),"",SUMIFS(INDEX(LH_Data,0,LH_ColAcc),INDEX(LH_Data,0,LH_ColFirst),$A30,INDEX(LH_Data,0,LH_ColSur),$B30,INDEX(LH_Data,0,LH_ColCat),BonusCat,INDEX(LH_Data,0,LH_ColStart),"&gt;="&amp;AL30)*UnitFactor))</f>
        <v/>
      </c>
      <c r="V30" s="17" t="str">
        <f aca="false">IF(AK30=0,"",IF(NOT(LH_Ready),"",SUMIFS(INDEX(LH_Data,0,LH_ColTaken),INDEX(LH_Data,0,LH_ColFirst),$A30,INDEX(LH_Data,0,LH_ColSur),$B30,INDEX(LH_Data,0,LH_ColCat),BonusCat,INDEX(LH_Data,0,LH_ColStart),"&gt;="&amp;AL30)*UnitFactor))</f>
        <v/>
      </c>
      <c r="W30" s="17" t="str">
        <f aca="false">IF(AK30=0,"",IF(NOT(LH_Ready),"",IF(BH30=0,0,INDEX(INDEX(LH_Data,0,LH_ColClose),BH30-1)*UnitFactor)))</f>
        <v/>
      </c>
      <c r="X30" s="17" t="str">
        <f aca="false">IF(AK30=0,"",(MAX(0,BD30-BQ30)-MAX(0,BE30-BQ30))*HoursPerDay)</f>
        <v/>
      </c>
      <c r="Y30" s="17" t="str">
        <f aca="false">IF(AK30=0,"",IF(NOT(LH_Ready),"",IF($AI30="Yes",N(AE30)*HoursPerDay-SUMIFS(INDEX(LH_Data,0,LH_ColAcc),INDEX(LH_Data,0,LH_ColFirst),$A30,INDEX(LH_Data,0,LH_ColSur),$B30,INDEX(LH_Data,0,LH_ColCat),BonusCat,INDEX(LH_Data,0,LH_ColStart),"&gt;="&amp;(EOMONTH(AsOfDate,-1)+1),INDEX(LH_Data,0,LH_ColStart),"&lt;="&amp;AsOfDate)*UnitFactor,IF(BG30=0,N30,N30-N(T30)-N(U30)))))</f>
        <v/>
      </c>
      <c r="Z30" s="16" t="str">
        <f aca="false">IF(OR(AK30=0,Y30=""),"",IF(Y30&gt;0,"Yes","No"))</f>
        <v/>
      </c>
      <c r="AA30" s="16" t="str">
        <f aca="false">IF(AK30=0,IF(LEN($A30&amp;$B30)=0,"","FIX INPUT - StartDate missing"),IF(AD30&lt;&gt;"","FIX INPUT - "&amp;AD30,IF(NOT(LH_Ready),"Paste Leave History export (Settings must show YES)",IF(AND($AI30="Yes",Y30&lt;=0),"OK - EH balance accepted to date"&amp;IF(N(AH30)&gt;0," (EH holds "&amp;AH30&amp;" hrs over the scheme)","")&amp;"; next day "&amp;TEXT(S30,"dd mmm yy")&amp;IF(N(AE30)&gt;0," ("&amp;AE30&amp;" day(s) for "&amp;UPPER(TEXT(AsOfDate,"mmm yyyy"))&amp;" already in EH)",""),IF(Y30&gt;0,"ACCRUE "&amp;ROUND(Y30,2)&amp;" hrs ("&amp;ROUND(Y30/HoursPerDay,2)&amp;" days): "&amp;IF(N(AE30)&gt;0,AE30&amp;" day(s) for "&amp;UPPER(TEXT(AsOfDate,"mmm yyyy"))&amp;" (milestone "&amp;UPPER(TEXT(AF30,"dd mmm yy"))&amp;")"&amp;IF(Y30/HoursPerDay&gt;AE30+0.001," + "&amp;ROUND(Y30/HoursPerDay-AE30,2)&amp;" day(s) catch-up from earlier months",""),"all catch-up from earlier months, nothing new this month")&amp;IF(BG30=0,"; no Bonus Leave in EH yet",""),IF(Y30&lt;0,"CHECK - EH accrued "&amp;ROUND(-Y30,2)&amp;" hrs more than policy since commencement",IF(N(W30)&gt;O30*HoursPerDay+0.01,"CHECK - EH balance "&amp;ROUND(W30-O30*HoursPerDay,2)&amp;" hrs more than policy entitlement",IF(O30&gt;0,"OK - nothing to add"&amp;IF(N(AE30)&gt;0," ("&amp;AE30&amp;" day(s) for "&amp;UPPER(TEXT(AsOfDate,"mmm yyyy"))&amp;" already in EH)",""),IF(AW30="None",R30,"Not yet - first day on "&amp;TEXT(S30,"dd/mm/yyyy"))))))))))</f>
        <v/>
      </c>
      <c r="AB30" s="17" t="str">
        <f aca="false">IF(OR(AK30=0,T30=""),"",MAX(0,BE30-BQ30)*HoursPerDay-T30)</f>
        <v/>
      </c>
      <c r="AC30" s="16" t="str">
        <f aca="false">IF(AK30=0,"",BG30)</f>
        <v/>
      </c>
      <c r="AD30" s="16" t="str">
        <f aca="false">IF(AK30=0,"",TRIM(IF(OR(ISTEXT($F30),ISTEXT($H30),ISTEXT($I30),ISTEXT($G30),ISTEXT($J30),ISTEXT($D30)),"A date is typed as text - retype it as dd/mm/yyyy. ","")&amp;IF(IF($C30="","",IF(OR(ISNUMBER(SEARCH("full",$C30)),UPPER(TRIM($C30))="FT",UPPER(TRIM($C30))="FTE"),"Full-Time",IF(OR(ISNUMBER(SEARCH("part",$C30)),UPPER(TRIM($C30))="PT",UPPER(TRIM($C30))="PTE"),"Part-Time",IF(OR(ISNUMBER(SEARCH("cas",$C30)),UPPER(TRIM($C30))="CAS"),"Casual","Unknown"))))="Unknown","EmploymentType not recognised - use Full-Time, Part-Time or Casual. ","")&amp;IF(AND(AM30&gt;=1,IF(AM30&gt;=3,AS30,IF(AM30=2,AR30,AQ30))&lt;&gt;IF($C30="","",IF(OR(ISNUMBER(SEARCH("full",$C30)),UPPER(TRIM($C30))="FT",UPPER(TRIM($C30))="FTE"),"Full-Time",IF(OR(ISNUMBER(SEARCH("part",$C30)),UPPER(TRIM($C30))="PT",UPPER(TRIM($C30))="PTE"),"Part-Time",IF(OR(ISNUMBER(SEARCH("cas",$C30)),UPPER(TRIM($C30))="CAS"),"Casual","Unknown"))))),"EmploymentType does not match latest start date ("&amp;IF(AM30&gt;=3,AS30,IF(AM30=2,AR30,AQ30))&amp;"). ","")&amp;IF(AND(AM30&gt;=1,AN30&lt;&gt;$F30),"Earliest type date should equal StartDate. ","")&amp;IF(AND(AM30&gt;=2,AN30=AO30),"Two types start on the same date. ","")&amp;IF(AND(OR(ISNUMBER(SEARCH("part",$C30)),UPPER(TRIM($C30))="PT",UPPER(TRIM($C30))="PTE"),$P30=""),"Part-time: enter PT Hrs/Week (blank = 24+). ","")))</f>
        <v/>
      </c>
      <c r="AE30" s="17" t="str">
        <f aca="false">IF(AK30=0,"",O30-MAX(0,BL30-BQ30))</f>
        <v/>
      </c>
      <c r="AF30" s="14" t="str">
        <f aca="false">IF(OR(AK30=0,AE30="",N(AE30)=0,BM30=""),"",EDATE(AL30,BM30))</f>
        <v/>
      </c>
      <c r="AG30" s="17" t="str">
        <f aca="false">IF(AK30=0,"",MIN(BD30,BQ30))</f>
        <v/>
      </c>
      <c r="AH30" s="17" t="str">
        <f aca="false">IF(AK30=0,"",IF(NOT(LH_Ready),"",IF(BG30=0,0,MAX(0,ROUND(N(T30)+N(U30)-N30,2)))))</f>
        <v/>
      </c>
      <c r="AI30" s="12"/>
      <c r="AJ30" s="12"/>
      <c r="AK30" s="16" t="n">
        <f aca="false">IF(OR(LEN($A30&amp;$B30)=0,$F30=""),0,1)</f>
        <v>0</v>
      </c>
      <c r="AL30" s="14" t="str">
        <f aca="false">IF(AK30=0,"",IF(PreSchemeCounts="No",MAX(SchemeStart,IF($J30&lt;&gt;"",$J30,IF(OR(CasualCounts="Yes",COUNT($G30:$I30)=0),$F30,IF(Apply2026="No",IF($I30="",$F30,$I30),IF(COUNT($H30:$I30)=0,$F30,MIN($H30:$I30)))))),IF($J30&lt;&gt;"",$J30,IF(OR(CasualCounts="Yes",COUNT($G30:$I30)=0),$F30,IF(Apply2026="No",IF($I30="",$F30,$I30),IF(COUNT($H30:$I30)=0,$F30,MIN($H30:$I30)))))))</f>
        <v/>
      </c>
      <c r="AM30" s="16" t="str">
        <f aca="false">IF(AK30=0,"",COUNT($G30:$I30))</f>
        <v/>
      </c>
      <c r="AN30" s="14" t="str">
        <f aca="false">IF(AK30=0,"",IFERROR(SMALL($G30:$I30,1),""))</f>
        <v/>
      </c>
      <c r="AO30" s="14" t="str">
        <f aca="false">IF(AK30=0,"",IFERROR(SMALL($G30:$I30,2),""))</f>
        <v/>
      </c>
      <c r="AP30" s="14" t="str">
        <f aca="false">IF(AK30=0,"",IFERROR(SMALL($G30:$I30,3),""))</f>
        <v/>
      </c>
      <c r="AQ30" s="16" t="str">
        <f aca="false">IF(AK30=0,"",IF(AN30="","",IF(AN30=$H30,"Part-Time",IF(AN30=$I30,"Full-Time","Casual"))))</f>
        <v/>
      </c>
      <c r="AR30" s="16" t="str">
        <f aca="false">IF(AK30=0,"",IF(AO30="","",IF(AO30=$H30,"Part-Time",IF(AO30=$I30,"Full-Time","Casual"))))</f>
        <v/>
      </c>
      <c r="AS30" s="16" t="str">
        <f aca="false">IF(AK30=0,"",IF(AP30="","",IF(AP30=$H30,"Part-Time",IF(AP30=$I30,"Full-Time","Casual"))))</f>
        <v/>
      </c>
      <c r="AT30" s="16" t="str">
        <f aca="false">IF(AK30=0,"",IF(AM30=0,IF(OR(ISNUMBER(SEARCH("full",$C30)),UPPER(TRIM($C30))="FT",UPPER(TRIM($C30))="FTE"),"FT",IF(AND(OR(ISNUMBER(SEARCH("part",$C30)),UPPER(TRIM($C30))="PT",UPPER(TRIM($C30))="PTE"),Apply2026="Yes",OR($P30="",N($P30)&gt;=PT_MinHours)),"PT","None")),IF(OR(ISNUMBER(SEARCH("full",AQ30)),UPPER(TRIM(AQ30))="FT",UPPER(TRIM(AQ30))="FTE"),"FT",IF(AND(OR(ISNUMBER(SEARCH("part",AQ30)),UPPER(TRIM(AQ30))="PT",UPPER(TRIM(AQ30))="PTE"),Apply2026="Yes",OR($P30="",N($P30)&gt;=PT_MinHours)),"PT","None"))))</f>
        <v/>
      </c>
      <c r="AU30" s="16" t="str">
        <f aca="false">IF(AK30=0,"",IF(AM30&lt;2,"",IF(OR(ISNUMBER(SEARCH("full",AR30)),UPPER(TRIM(AR30))="FT",UPPER(TRIM(AR30))="FTE"),"FT",IF(AND(OR(ISNUMBER(SEARCH("part",AR30)),UPPER(TRIM(AR30))="PT",UPPER(TRIM(AR30))="PTE"),Apply2026="Yes",OR($P30="",N($P30)&gt;=PT_MinHours)),"PT","None"))))</f>
        <v/>
      </c>
      <c r="AV30" s="16" t="str">
        <f aca="false">IF(AK30=0,"",IF(AM30&lt;3,"",IF(OR(ISNUMBER(SEARCH("full",AS30)),UPPER(TRIM(AS30))="FT",UPPER(TRIM(AS30))="FTE"),"FT",IF(AND(OR(ISNUMBER(SEARCH("part",AS30)),UPPER(TRIM(AS30))="PT",UPPER(TRIM(AS30))="PTE"),Apply2026="Yes",OR($P30="",N($P30)&gt;=PT_MinHours)),"PT","None"))))</f>
        <v/>
      </c>
      <c r="AW30" s="16" t="str">
        <f aca="false">IF(AK30=0,"",IF(AND(AM30&gt;=3,AP30&lt;=AsOfDate),AV30,IF(AND(AM30&gt;=2,AO30&lt;=AsOfDate),AU30,AT30)))</f>
        <v/>
      </c>
      <c r="AX30" s="16" t="str">
        <f aca="false">IF(AK30=0,"",IF(AsOfDate&lt;AL30,-1,12*(YEAR(AsOfDate)-YEAR(AL30))+MONTH(AsOfDate)-MONTH(AL30)-IF(DAY(AsOfDate)&lt;MIN(DAY(AL30),DAY(EOMONTH(AsOfDate,0))),1,0)))</f>
        <v/>
      </c>
      <c r="AY30" s="16" t="str">
        <f aca="false">IF(AK30=0,"",IF(OR(AM30&lt;2,AO30&gt;AsOfDate),AX30,IF((AO30-1)&lt;AL30,-1,12*(YEAR((AO30-1))-YEAR(AL30))+MONTH((AO30-1))-MONTH(AL30)-IF(DAY((AO30-1))&lt;MIN(DAY(AL30),DAY(EOMONTH((AO30-1),0))),1,0))))</f>
        <v/>
      </c>
      <c r="AZ30" s="16" t="str">
        <f aca="false">IF(AK30=0,"",IF(OR(AM30&lt;3,AP30&gt;AsOfDate),AX30,IF((AP30-1)&lt;AL30,-1,12*(YEAR((AP30-1))-YEAR(AL30))+MONTH((AP30-1))-MONTH(AL30)-IF(DAY((AP30-1))&lt;MIN(DAY(AL30),DAY(EOMONTH((AP30-1),0))),1,0))))</f>
        <v/>
      </c>
      <c r="BA30" s="16" t="str">
        <f aca="false">IF(AK30=0,"",IF(PFYDate&lt;AL30,-1,12*(YEAR(PFYDate)-YEAR(AL30))+MONTH(PFYDate)-MONTH(AL30)-IF(DAY(PFYDate)&lt;MIN(DAY(AL30),DAY(EOMONTH(PFYDate,0))),1,0)))</f>
        <v/>
      </c>
      <c r="BB30" s="16" t="str">
        <f aca="false">IF(AK30=0,"",IF(OR(AM30&lt;2,AO30&gt;PFYDate),BA30,IF((AO30-1)&lt;AL30,-1,12*(YEAR((AO30-1))-YEAR(AL30))+MONTH((AO30-1))-MONTH(AL30)-IF(DAY((AO30-1))&lt;MIN(DAY(AL30),DAY(EOMONTH((AO30-1),0))),1,0))))</f>
        <v/>
      </c>
      <c r="BC30" s="16" t="str">
        <f aca="false">IF(AK30=0,"",IF(OR(AM30&lt;3,AP30&gt;PFYDate),BA30,IF((AP30-1)&lt;AL30,-1,12*(YEAR((AP30-1))-YEAR(AL30))+MONTH((AP30-1))-MONTH(AL30)-IF(DAY((AP30-1))&lt;MIN(DAY(AL30),DAY(EOMONTH((AP30-1),0))),1,0))))</f>
        <v/>
      </c>
      <c r="BD30" s="16" t="str">
        <f aca="false">IF(AK30=0,"",IF(AT30="FT",IF(AY30&lt;FT_First,0,IF(AY30&lt;FT_Y5,1+INT((AY30-FT_First)/FT_Int1),FT_PreY5+FT_PerYear*INT((AY30-FT_Y5)/12)+FT_AnnivDays+INT(MOD(AY30-FT_Y5,12)/FT_Int2)-IF(EDATE(AL30,FT_Y5)&lt;PolicyEff,FT_AnnivDays-1,0))),IF(AT30="PT",IF(AY30&lt;PT_First,0,1+INT((AY30-PT_First)/PT_Int)),0))+IF(AND(AM30&gt;=2,AO30&lt;=AsOfDate),IF(AU30="FT",IF(AZ30&lt;FT_First,0,IF(AZ30&lt;FT_Y5,1+INT((AZ30-FT_First)/FT_Int1),FT_PreY5+FT_PerYear*INT((AZ30-FT_Y5)/12)+FT_AnnivDays+INT(MOD(AZ30-FT_Y5,12)/FT_Int2)-IF(EDATE(AL30,FT_Y5)&lt;PolicyEff,FT_AnnivDays-1,0))),IF(AU30="PT",IF(AZ30&lt;PT_First,0,1+INT((AZ30-PT_First)/PT_Int)),0))-IF(AU30="FT",IF(AY30&lt;FT_First,0,IF(AY30&lt;FT_Y5,1+INT((AY30-FT_First)/FT_Int1),FT_PreY5+FT_PerYear*INT((AY30-FT_Y5)/12)+FT_AnnivDays+INT(MOD(AY30-FT_Y5,12)/FT_Int2)-IF(EDATE(AL30,FT_Y5)&lt;PolicyEff,FT_AnnivDays-1,0))),IF(AU30="PT",IF(AY30&lt;PT_First,0,1+INT((AY30-PT_First)/PT_Int)),0)),0)+IF(AND(AM30&gt;=3,AP30&lt;=AsOfDate),IF(AV30="FT",IF(AX30&lt;FT_First,0,IF(AX30&lt;FT_Y5,1+INT((AX30-FT_First)/FT_Int1),FT_PreY5+FT_PerYear*INT((AX30-FT_Y5)/12)+FT_AnnivDays+INT(MOD(AX30-FT_Y5,12)/FT_Int2)-IF(EDATE(AL30,FT_Y5)&lt;PolicyEff,FT_AnnivDays-1,0))),IF(AV30="PT",IF(AX30&lt;PT_First,0,1+INT((AX30-PT_First)/PT_Int)),0))-IF(AV30="FT",IF(AZ30&lt;FT_First,0,IF(AZ30&lt;FT_Y5,1+INT((AZ30-FT_First)/FT_Int1),FT_PreY5+FT_PerYear*INT((AZ30-FT_Y5)/12)+FT_AnnivDays+INT(MOD(AZ30-FT_Y5,12)/FT_Int2)-IF(EDATE(AL30,FT_Y5)&lt;PolicyEff,FT_AnnivDays-1,0))),IF(AV30="PT",IF(AZ30&lt;PT_First,0,1+INT((AZ30-PT_First)/PT_Int)),0)),0))</f>
        <v/>
      </c>
      <c r="BE30" s="16" t="str">
        <f aca="false">IF(AK30=0,"",IF(AT30="FT",IF(BB30&lt;FT_First,0,IF(BB30&lt;FT_Y5,1+INT((BB30-FT_First)/FT_Int1),FT_PreY5+FT_PerYear*INT((BB30-FT_Y5)/12)+FT_AnnivDays+INT(MOD(BB30-FT_Y5,12)/FT_Int2)-IF(EDATE(AL30,FT_Y5)&lt;PolicyEff,FT_AnnivDays-1,0))),IF(AT30="PT",IF(BB30&lt;PT_First,0,1+INT((BB30-PT_First)/PT_Int)),0))+IF(AND(AM30&gt;=2,AO30&lt;=PFYDate),IF(AU30="FT",IF(BC30&lt;FT_First,0,IF(BC30&lt;FT_Y5,1+INT((BC30-FT_First)/FT_Int1),FT_PreY5+FT_PerYear*INT((BC30-FT_Y5)/12)+FT_AnnivDays+INT(MOD(BC30-FT_Y5,12)/FT_Int2)-IF(EDATE(AL30,FT_Y5)&lt;PolicyEff,FT_AnnivDays-1,0))),IF(AU30="PT",IF(BC30&lt;PT_First,0,1+INT((BC30-PT_First)/PT_Int)),0))-IF(AU30="FT",IF(BB30&lt;FT_First,0,IF(BB30&lt;FT_Y5,1+INT((BB30-FT_First)/FT_Int1),FT_PreY5+FT_PerYear*INT((BB30-FT_Y5)/12)+FT_AnnivDays+INT(MOD(BB30-FT_Y5,12)/FT_Int2)-IF(EDATE(AL30,FT_Y5)&lt;PolicyEff,FT_AnnivDays-1,0))),IF(AU30="PT",IF(BB30&lt;PT_First,0,1+INT((BB30-PT_First)/PT_Int)),0)),0)+IF(AND(AM30&gt;=3,AP30&lt;=PFYDate),IF(AV30="FT",IF(BA30&lt;FT_First,0,IF(BA30&lt;FT_Y5,1+INT((BA30-FT_First)/FT_Int1),FT_PreY5+FT_PerYear*INT((BA30-FT_Y5)/12)+FT_AnnivDays+INT(MOD(BA30-FT_Y5,12)/FT_Int2)-IF(EDATE(AL30,FT_Y5)&lt;PolicyEff,FT_AnnivDays-1,0))),IF(AV30="PT",IF(BA30&lt;PT_First,0,1+INT((BA30-PT_First)/PT_Int)),0))-IF(AV30="FT",IF(BC30&lt;FT_First,0,IF(BC30&lt;FT_Y5,1+INT((BC30-FT_First)/FT_Int1),FT_PreY5+FT_PerYear*INT((BC30-FT_Y5)/12)+FT_AnnivDays+INT(MOD(BC30-FT_Y5,12)/FT_Int2)-IF(EDATE(AL30,FT_Y5)&lt;PolicyEff,FT_AnnivDays-1,0))),IF(AV30="PT",IF(BC30&lt;PT_First,0,1+INT((BC30-PT_First)/PT_Int)),0)),0))</f>
        <v/>
      </c>
      <c r="BF30" s="16" t="str">
        <f aca="false">IF(AK30=0,"",IF(AW30="FT",IF(AX30&lt;FT_First,FT_First,IF(AX30&lt;FT_Y5,MIN(FT_Y5,FT_First+FT_Int1*(INT((AX30-FT_First)/FT_Int1)+1)),FT_Y5+12*INT((AX30-FT_Y5)/12)+FT_Int2*(INT(MOD(AX30-FT_Y5,12)/FT_Int2)+1))),IF(AW30="PT",IF(AX30&lt;PT_First,PT_First,PT_First+PT_Int*(INT((AX30-PT_First)/PT_Int)+1)),"")))</f>
        <v/>
      </c>
      <c r="BG30" s="16" t="str">
        <f aca="false">IF(AK30=0,"",IF(NOT(LH_Ready),0,COUNTIFS(INDEX(LH_Data,0,LH_ColFirst),$A30,INDEX(LH_Data,0,LH_ColSur),$B30,INDEX(LH_Data,0,LH_ColCat),BonusCat)))</f>
        <v/>
      </c>
      <c r="BH30" s="16" t="str">
        <f aca="false">IF(AK30=0,"",IF(OR(NOT(LH_Ready),BG30=0),0,SUMPRODUCT(MAX((INDEX(LH_Data,0,LH_ColFirst)=$A30)*(INDEX(LH_Data,0,LH_ColSur)=$B30)*(INDEX(LH_Data,0,LH_ColCat)=BonusCat)*ROW(LH_Data)))))</f>
        <v/>
      </c>
      <c r="BI30" s="16" t="str">
        <f aca="false">IF(AK30=0,"",IF(EOMONTH(AsOfDate,-1)&lt;AL30,-1,12*(YEAR(EOMONTH(AsOfDate,-1))-YEAR(AL30))+MONTH(EOMONTH(AsOfDate,-1))-MONTH(AL30)-IF(DAY(EOMONTH(AsOfDate,-1))&lt;MIN(DAY(AL30),DAY(EOMONTH(EOMONTH(AsOfDate,-1),0))),1,0)))</f>
        <v/>
      </c>
      <c r="BJ30" s="16" t="str">
        <f aca="false">IF(AK30=0,"",IF(OR(AM30&lt;2,AO30&gt;EOMONTH(AsOfDate,-1)),BI30,IF((AO30-1)&lt;AL30,-1,12*(YEAR((AO30-1))-YEAR(AL30))+MONTH((AO30-1))-MONTH(AL30)-IF(DAY((AO30-1))&lt;MIN(DAY(AL30),DAY(EOMONTH((AO30-1),0))),1,0))))</f>
        <v/>
      </c>
      <c r="BK30" s="16" t="str">
        <f aca="false">IF(AK30=0,"",IF(OR(AM30&lt;3,AP30&gt;EOMONTH(AsOfDate,-1)),BI30,IF((AP30-1)&lt;AL30,-1,12*(YEAR((AP30-1))-YEAR(AL30))+MONTH((AP30-1))-MONTH(AL30)-IF(DAY((AP30-1))&lt;MIN(DAY(AL30),DAY(EOMONTH((AP30-1),0))),1,0))))</f>
        <v/>
      </c>
      <c r="BL30" s="16" t="str">
        <f aca="false">IF(AK30=0,"",IF(AT30="FT",IF(BJ30&lt;FT_First,0,IF(BJ30&lt;FT_Y5,1+INT((BJ30-FT_First)/FT_Int1),FT_PreY5+FT_PerYear*INT((BJ30-FT_Y5)/12)+FT_AnnivDays+INT(MOD(BJ30-FT_Y5,12)/FT_Int2)-IF(EDATE(AL30,FT_Y5)&lt;PolicyEff,FT_AnnivDays-1,0))),IF(AT30="PT",IF(BJ30&lt;PT_First,0,1+INT((BJ30-PT_First)/PT_Int)),0))+IF(AND(AM30&gt;=2,AO30&lt;=EOMONTH(AsOfDate,-1)),IF(AU30="FT",IF(BK30&lt;FT_First,0,IF(BK30&lt;FT_Y5,1+INT((BK30-FT_First)/FT_Int1),FT_PreY5+FT_PerYear*INT((BK30-FT_Y5)/12)+FT_AnnivDays+INT(MOD(BK30-FT_Y5,12)/FT_Int2)-IF(EDATE(AL30,FT_Y5)&lt;PolicyEff,FT_AnnivDays-1,0))),IF(AU30="PT",IF(BK30&lt;PT_First,0,1+INT((BK30-PT_First)/PT_Int)),0))-IF(AU30="FT",IF(BJ30&lt;FT_First,0,IF(BJ30&lt;FT_Y5,1+INT((BJ30-FT_First)/FT_Int1),FT_PreY5+FT_PerYear*INT((BJ30-FT_Y5)/12)+FT_AnnivDays+INT(MOD(BJ30-FT_Y5,12)/FT_Int2)-IF(EDATE(AL30,FT_Y5)&lt;PolicyEff,FT_AnnivDays-1,0))),IF(AU30="PT",IF(BJ30&lt;PT_First,0,1+INT((BJ30-PT_First)/PT_Int)),0)),0)+IF(AND(AM30&gt;=3,AP30&lt;=EOMONTH(AsOfDate,-1)),IF(AV30="FT",IF(BI30&lt;FT_First,0,IF(BI30&lt;FT_Y5,1+INT((BI30-FT_First)/FT_Int1),FT_PreY5+FT_PerYear*INT((BI30-FT_Y5)/12)+FT_AnnivDays+INT(MOD(BI30-FT_Y5,12)/FT_Int2)-IF(EDATE(AL30,FT_Y5)&lt;PolicyEff,FT_AnnivDays-1,0))),IF(AV30="PT",IF(BI30&lt;PT_First,0,1+INT((BI30-PT_First)/PT_Int)),0))-IF(AV30="FT",IF(BK30&lt;FT_First,0,IF(BK30&lt;FT_Y5,1+INT((BK30-FT_First)/FT_Int1),FT_PreY5+FT_PerYear*INT((BK30-FT_Y5)/12)+FT_AnnivDays+INT(MOD(BK30-FT_Y5,12)/FT_Int2)-IF(EDATE(AL30,FT_Y5)&lt;PolicyEff,FT_AnnivDays-1,0))),IF(AV30="PT",IF(BK30&lt;PT_First,0,1+INT((BK30-PT_First)/PT_Int)),0)),0))</f>
        <v/>
      </c>
      <c r="BM30" s="16" t="str">
        <f aca="false">IF(AK30=0,"",IF(AW30="FT",IF(AX30&lt;FT_First,"",IF(AX30&lt;FT_Y5,FT_First+FT_Int1*INT((AX30-FT_First)/FT_Int1),FT_Y5+FT_Int2*INT((AX30-FT_Y5)/FT_Int2))),IF(AW30="PT",IF(AX30&lt;PT_First,"",PT_First+PT_Int*INT((AX30-PT_First)/PT_Int)),"")))</f>
        <v/>
      </c>
      <c r="BN30" s="16" t="str">
        <f aca="false">IF(AK30=0,"",IF((SchemeStart-1)&lt;AL30,-1,12*(YEAR((SchemeStart-1))-YEAR(AL30))+MONTH((SchemeStart-1))-MONTH(AL30)-IF(DAY((SchemeStart-1))&lt;MIN(DAY(AL30),DAY(EOMONTH((SchemeStart-1),0))),1,0)))</f>
        <v/>
      </c>
      <c r="BO30" s="16" t="str">
        <f aca="false">IF(AK30=0,"",IF(OR(AM30&lt;2,AO30&gt;(SchemeStart-1)),BN30,IF((AO30-1)&lt;AL30,-1,12*(YEAR((AO30-1))-YEAR(AL30))+MONTH((AO30-1))-MONTH(AL30)-IF(DAY((AO30-1))&lt;MIN(DAY(AL30),DAY(EOMONTH((AO30-1),0))),1,0))))</f>
        <v/>
      </c>
      <c r="BP30" s="16" t="str">
        <f aca="false">IF(AK30=0,"",IF(OR(AM30&lt;3,AP30&gt;(SchemeStart-1)),BN30,IF((AP30-1)&lt;AL30,-1,12*(YEAR((AP30-1))-YEAR(AL30))+MONTH((AP30-1))-MONTH(AL30)-IF(DAY((AP30-1))&lt;MIN(DAY(AL30),DAY(EOMONTH((AP30-1),0))),1,0))))</f>
        <v/>
      </c>
      <c r="BQ30" s="16" t="str">
        <f aca="false">IF(AK30=0,"",IF(AT30="FT",IF(BO30&lt;FT_First,0,IF(BO30&lt;FT_Y5,1+INT((BO30-FT_First)/FT_Int1),FT_PreY5+FT_PerYear*INT((BO30-FT_Y5)/12)+FT_AnnivDays+INT(MOD(BO30-FT_Y5,12)/FT_Int2)-IF(EDATE(AL30,FT_Y5)&lt;PolicyEff,FT_AnnivDays-1,0))),IF(AT30="PT",IF(BO30&lt;PT_First,0,1+INT((BO30-PT_First)/PT_Int)),0))+IF(AND(AM30&gt;=2,AO30&lt;=(SchemeStart-1)),IF(AU30="FT",IF(BP30&lt;FT_First,0,IF(BP30&lt;FT_Y5,1+INT((BP30-FT_First)/FT_Int1),FT_PreY5+FT_PerYear*INT((BP30-FT_Y5)/12)+FT_AnnivDays+INT(MOD(BP30-FT_Y5,12)/FT_Int2)-IF(EDATE(AL30,FT_Y5)&lt;PolicyEff,FT_AnnivDays-1,0))),IF(AU30="PT",IF(BP30&lt;PT_First,0,1+INT((BP30-PT_First)/PT_Int)),0))-IF(AU30="FT",IF(BO30&lt;FT_First,0,IF(BO30&lt;FT_Y5,1+INT((BO30-FT_First)/FT_Int1),FT_PreY5+FT_PerYear*INT((BO30-FT_Y5)/12)+FT_AnnivDays+INT(MOD(BO30-FT_Y5,12)/FT_Int2)-IF(EDATE(AL30,FT_Y5)&lt;PolicyEff,FT_AnnivDays-1,0))),IF(AU30="PT",IF(BO30&lt;PT_First,0,1+INT((BO30-PT_First)/PT_Int)),0)),0)+IF(AND(AM30&gt;=3,AP30&lt;=(SchemeStart-1)),IF(AV30="FT",IF(BN30&lt;FT_First,0,IF(BN30&lt;FT_Y5,1+INT((BN30-FT_First)/FT_Int1),FT_PreY5+FT_PerYear*INT((BN30-FT_Y5)/12)+FT_AnnivDays+INT(MOD(BN30-FT_Y5,12)/FT_Int2)-IF(EDATE(AL30,FT_Y5)&lt;PolicyEff,FT_AnnivDays-1,0))),IF(AV30="PT",IF(BN30&lt;PT_First,0,1+INT((BN30-PT_First)/PT_Int)),0))-IF(AV30="FT",IF(BP30&lt;FT_First,0,IF(BP30&lt;FT_Y5,1+INT((BP30-FT_First)/FT_Int1),FT_PreY5+FT_PerYear*INT((BP30-FT_Y5)/12)+FT_AnnivDays+INT(MOD(BP30-FT_Y5,12)/FT_Int2)-IF(EDATE(AL30,FT_Y5)&lt;PolicyEff,FT_AnnivDays-1,0))),IF(AV30="PT",IF(BP30&lt;PT_First,0,1+INT((BP30-PT_First)/PT_Int)),0)),0))</f>
        <v/>
      </c>
      <c r="BR30" s="0" t="str">
        <f aca="false">IF(LEN($A30&amp;$B30)=0,"",$A30&amp;" "&amp;$B30)</f>
        <v/>
      </c>
    </row>
    <row r="31" customFormat="false" ht="15" hidden="false" customHeight="false" outlineLevel="0" collapsed="false">
      <c r="A31" s="12"/>
      <c r="B31" s="12"/>
      <c r="C31" s="12"/>
      <c r="D31" s="13"/>
      <c r="E31" s="14" t="str">
        <f aca="false">IF(OR(AK31=0,$D31=""),"",DATE(YEAR(AsOfDate)+IF(DATE(YEAR(AsOfDate),MONTH($D31),DAY($D31))&lt;=AsOfDate,1,0),MONTH($D31),DAY($D31)))</f>
        <v/>
      </c>
      <c r="F31" s="13"/>
      <c r="G31" s="13"/>
      <c r="H31" s="13"/>
      <c r="I31" s="13"/>
      <c r="J31" s="13"/>
      <c r="K31" s="14" t="str">
        <f aca="false">IF(AK31=0,"",DATE(YEAR(AsOfDate)+IF(DATE(YEAR(AsOfDate),MONTH(AL31),DAY(AL31))&lt;=AsOfDate,1,0),MONTH(AL31),DAY(AL31)))</f>
        <v/>
      </c>
      <c r="L31" s="15" t="str">
        <f aca="false">IF(AK31=0,"",ROUND((AsOfDate-AL31)/365.25,1))</f>
        <v/>
      </c>
      <c r="M31" s="16" t="str">
        <f aca="false">IF(AK31=0,"",IF(AsOfDate&lt;AL31,"-",DATEDIF(AL31,AsOfDate,"y")&amp;"y "&amp;DATEDIF(AL31,AsOfDate,"ym")&amp;"m "&amp;DATEDIF(AL31,AsOfDate,"md")&amp;"d"))</f>
        <v/>
      </c>
      <c r="N31" s="17" t="str">
        <f aca="false">IF(AK31=0,"",O31*HoursPerDay)</f>
        <v/>
      </c>
      <c r="O31" s="17" t="str">
        <f aca="false">IF(AK31=0,"",MAX(0,BD31-BQ31))</f>
        <v/>
      </c>
      <c r="P31" s="18"/>
      <c r="Q31" s="16" t="str">
        <f aca="false">IF(AK31=0,"",IF(AM31&lt;2,"",AQ31&amp;" to "&amp;AR31&amp;" on "&amp;TEXT(AO31,"dd/mm/yyyy")&amp;IF(AO31&gt;AsOfDate," (future)",IF(AT31=AU31,"",IF(AU31="None"," - STOPPED accruing",IF(AT31="None"," - commencement for Bonus Leave"," - pathway changed"))))&amp;IF(AM31&lt;3,"","; "&amp;AR31&amp;" to "&amp;AS31&amp;" on "&amp;TEXT(AP31,"dd/mm/yyyy")&amp;IF(AP31&gt;AsOfDate," (future)",IF(AU31=AV31,"",IF(AV31="None"," - STOPPED accruing",IF(AU31="None"," - commencement for Bonus Leave"," - pathway changed")))))))</f>
        <v/>
      </c>
      <c r="R31" s="16" t="str">
        <f aca="false">IF(AK31=0,"",IF(AW31="None",IF(O31&gt;0,"No longer accruing","Not eligible - "&amp;IF(AND(OR(ISNUMBER(SEARCH("part",$C31)),UPPER(TRIM($C31))="PT",UPPER(TRIM($C31))="PTE"),Apply2026="No"),"part-time (scheme is full-time only)",IF(AND(OR(ISNUMBER(SEARCH("part",$C31)),UPPER(TRIM($C31))="PT",UPPER(TRIM($C31))="PTE"),$P31&lt;&gt;"",N($P31)&lt;PT_MinHours),"under "&amp;PT_MinHours&amp;" hrs",IF(IF($C31="","",IF(OR(ISNUMBER(SEARCH("full",$C31)),UPPER(TRIM($C31))="FT",UPPER(TRIM($C31))="FTE"),"Full-Time",IF(OR(ISNUMBER(SEARCH("part",$C31)),UPPER(TRIM($C31))="PT",UPPER(TRIM($C31))="PTE"),"Part-Time",IF(OR(ISNUMBER(SEARCH("cas",$C31)),UPPER(TRIM($C31))="CAS"),"Casual","Unknown"))))="Unknown","type not recognised",$C31)))),IF(O31&gt;0,"Yes - Accrual Required","Not yet - from "&amp;TEXT(S31,"dd/mm/yyyy"))))</f>
        <v/>
      </c>
      <c r="S31" s="14" t="str">
        <f aca="false">IF(AK31=0,"",IF(AW31="None","",EDATE(AL31,BF31)))</f>
        <v/>
      </c>
      <c r="T31" s="17" t="str">
        <f aca="false">IF(AK31=0,"",IF(NOT(LH_Ready),"",IF($F31&gt;PFYDate,0,IF(LH_ColPeriod=0,W31-U31+V31,SUMIFS(INDEX(LH_Data,0,LH_ColAcc),INDEX(LH_Data,0,LH_ColFirst),$A31,INDEX(LH_Data,0,LH_ColSur),$B31,INDEX(LH_Data,0,LH_ColCat),BonusCat,INDEX(LH_Data,0,LH_ColPeriod),LH_OpenLabel)*UnitFactor))))</f>
        <v/>
      </c>
      <c r="U31" s="17" t="str">
        <f aca="false">IF(AK31=0,"",IF(NOT(LH_Ready),"",SUMIFS(INDEX(LH_Data,0,LH_ColAcc),INDEX(LH_Data,0,LH_ColFirst),$A31,INDEX(LH_Data,0,LH_ColSur),$B31,INDEX(LH_Data,0,LH_ColCat),BonusCat,INDEX(LH_Data,0,LH_ColStart),"&gt;="&amp;AL31)*UnitFactor))</f>
        <v/>
      </c>
      <c r="V31" s="17" t="str">
        <f aca="false">IF(AK31=0,"",IF(NOT(LH_Ready),"",SUMIFS(INDEX(LH_Data,0,LH_ColTaken),INDEX(LH_Data,0,LH_ColFirst),$A31,INDEX(LH_Data,0,LH_ColSur),$B31,INDEX(LH_Data,0,LH_ColCat),BonusCat,INDEX(LH_Data,0,LH_ColStart),"&gt;="&amp;AL31)*UnitFactor))</f>
        <v/>
      </c>
      <c r="W31" s="17" t="str">
        <f aca="false">IF(AK31=0,"",IF(NOT(LH_Ready),"",IF(BH31=0,0,INDEX(INDEX(LH_Data,0,LH_ColClose),BH31-1)*UnitFactor)))</f>
        <v/>
      </c>
      <c r="X31" s="17" t="str">
        <f aca="false">IF(AK31=0,"",(MAX(0,BD31-BQ31)-MAX(0,BE31-BQ31))*HoursPerDay)</f>
        <v/>
      </c>
      <c r="Y31" s="17" t="str">
        <f aca="false">IF(AK31=0,"",IF(NOT(LH_Ready),"",IF($AI31="Yes",N(AE31)*HoursPerDay-SUMIFS(INDEX(LH_Data,0,LH_ColAcc),INDEX(LH_Data,0,LH_ColFirst),$A31,INDEX(LH_Data,0,LH_ColSur),$B31,INDEX(LH_Data,0,LH_ColCat),BonusCat,INDEX(LH_Data,0,LH_ColStart),"&gt;="&amp;(EOMONTH(AsOfDate,-1)+1),INDEX(LH_Data,0,LH_ColStart),"&lt;="&amp;AsOfDate)*UnitFactor,IF(BG31=0,N31,N31-N(T31)-N(U31)))))</f>
        <v/>
      </c>
      <c r="Z31" s="16" t="str">
        <f aca="false">IF(OR(AK31=0,Y31=""),"",IF(Y31&gt;0,"Yes","No"))</f>
        <v/>
      </c>
      <c r="AA31" s="16" t="str">
        <f aca="false">IF(AK31=0,IF(LEN($A31&amp;$B31)=0,"","FIX INPUT - StartDate missing"),IF(AD31&lt;&gt;"","FIX INPUT - "&amp;AD31,IF(NOT(LH_Ready),"Paste Leave History export (Settings must show YES)",IF(AND($AI31="Yes",Y31&lt;=0),"OK - EH balance accepted to date"&amp;IF(N(AH31)&gt;0," (EH holds "&amp;AH31&amp;" hrs over the scheme)","")&amp;"; next day "&amp;TEXT(S31,"dd mmm yy")&amp;IF(N(AE31)&gt;0," ("&amp;AE31&amp;" day(s) for "&amp;UPPER(TEXT(AsOfDate,"mmm yyyy"))&amp;" already in EH)",""),IF(Y31&gt;0,"ACCRUE "&amp;ROUND(Y31,2)&amp;" hrs ("&amp;ROUND(Y31/HoursPerDay,2)&amp;" days): "&amp;IF(N(AE31)&gt;0,AE31&amp;" day(s) for "&amp;UPPER(TEXT(AsOfDate,"mmm yyyy"))&amp;" (milestone "&amp;UPPER(TEXT(AF31,"dd mmm yy"))&amp;")"&amp;IF(Y31/HoursPerDay&gt;AE31+0.001," + "&amp;ROUND(Y31/HoursPerDay-AE31,2)&amp;" day(s) catch-up from earlier months",""),"all catch-up from earlier months, nothing new this month")&amp;IF(BG31=0,"; no Bonus Leave in EH yet",""),IF(Y31&lt;0,"CHECK - EH accrued "&amp;ROUND(-Y31,2)&amp;" hrs more than policy since commencement",IF(N(W31)&gt;O31*HoursPerDay+0.01,"CHECK - EH balance "&amp;ROUND(W31-O31*HoursPerDay,2)&amp;" hrs more than policy entitlement",IF(O31&gt;0,"OK - nothing to add"&amp;IF(N(AE31)&gt;0," ("&amp;AE31&amp;" day(s) for "&amp;UPPER(TEXT(AsOfDate,"mmm yyyy"))&amp;" already in EH)",""),IF(AW31="None",R31,"Not yet - first day on "&amp;TEXT(S31,"dd/mm/yyyy"))))))))))</f>
        <v/>
      </c>
      <c r="AB31" s="17" t="str">
        <f aca="false">IF(OR(AK31=0,T31=""),"",MAX(0,BE31-BQ31)*HoursPerDay-T31)</f>
        <v/>
      </c>
      <c r="AC31" s="16" t="str">
        <f aca="false">IF(AK31=0,"",BG31)</f>
        <v/>
      </c>
      <c r="AD31" s="16" t="str">
        <f aca="false">IF(AK31=0,"",TRIM(IF(OR(ISTEXT($F31),ISTEXT($H31),ISTEXT($I31),ISTEXT($G31),ISTEXT($J31),ISTEXT($D31)),"A date is typed as text - retype it as dd/mm/yyyy. ","")&amp;IF(IF($C31="","",IF(OR(ISNUMBER(SEARCH("full",$C31)),UPPER(TRIM($C31))="FT",UPPER(TRIM($C31))="FTE"),"Full-Time",IF(OR(ISNUMBER(SEARCH("part",$C31)),UPPER(TRIM($C31))="PT",UPPER(TRIM($C31))="PTE"),"Part-Time",IF(OR(ISNUMBER(SEARCH("cas",$C31)),UPPER(TRIM($C31))="CAS"),"Casual","Unknown"))))="Unknown","EmploymentType not recognised - use Full-Time, Part-Time or Casual. ","")&amp;IF(AND(AM31&gt;=1,IF(AM31&gt;=3,AS31,IF(AM31=2,AR31,AQ31))&lt;&gt;IF($C31="","",IF(OR(ISNUMBER(SEARCH("full",$C31)),UPPER(TRIM($C31))="FT",UPPER(TRIM($C31))="FTE"),"Full-Time",IF(OR(ISNUMBER(SEARCH("part",$C31)),UPPER(TRIM($C31))="PT",UPPER(TRIM($C31))="PTE"),"Part-Time",IF(OR(ISNUMBER(SEARCH("cas",$C31)),UPPER(TRIM($C31))="CAS"),"Casual","Unknown"))))),"EmploymentType does not match latest start date ("&amp;IF(AM31&gt;=3,AS31,IF(AM31=2,AR31,AQ31))&amp;"). ","")&amp;IF(AND(AM31&gt;=1,AN31&lt;&gt;$F31),"Earliest type date should equal StartDate. ","")&amp;IF(AND(AM31&gt;=2,AN31=AO31),"Two types start on the same date. ","")&amp;IF(AND(OR(ISNUMBER(SEARCH("part",$C31)),UPPER(TRIM($C31))="PT",UPPER(TRIM($C31))="PTE"),$P31=""),"Part-time: enter PT Hrs/Week (blank = 24+). ","")))</f>
        <v/>
      </c>
      <c r="AE31" s="17" t="str">
        <f aca="false">IF(AK31=0,"",O31-MAX(0,BL31-BQ31))</f>
        <v/>
      </c>
      <c r="AF31" s="14" t="str">
        <f aca="false">IF(OR(AK31=0,AE31="",N(AE31)=0,BM31=""),"",EDATE(AL31,BM31))</f>
        <v/>
      </c>
      <c r="AG31" s="17" t="str">
        <f aca="false">IF(AK31=0,"",MIN(BD31,BQ31))</f>
        <v/>
      </c>
      <c r="AH31" s="17" t="str">
        <f aca="false">IF(AK31=0,"",IF(NOT(LH_Ready),"",IF(BG31=0,0,MAX(0,ROUND(N(T31)+N(U31)-N31,2)))))</f>
        <v/>
      </c>
      <c r="AI31" s="12"/>
      <c r="AJ31" s="12"/>
      <c r="AK31" s="16" t="n">
        <f aca="false">IF(OR(LEN($A31&amp;$B31)=0,$F31=""),0,1)</f>
        <v>0</v>
      </c>
      <c r="AL31" s="14" t="str">
        <f aca="false">IF(AK31=0,"",IF(PreSchemeCounts="No",MAX(SchemeStart,IF($J31&lt;&gt;"",$J31,IF(OR(CasualCounts="Yes",COUNT($G31:$I31)=0),$F31,IF(Apply2026="No",IF($I31="",$F31,$I31),IF(COUNT($H31:$I31)=0,$F31,MIN($H31:$I31)))))),IF($J31&lt;&gt;"",$J31,IF(OR(CasualCounts="Yes",COUNT($G31:$I31)=0),$F31,IF(Apply2026="No",IF($I31="",$F31,$I31),IF(COUNT($H31:$I31)=0,$F31,MIN($H31:$I31)))))))</f>
        <v/>
      </c>
      <c r="AM31" s="16" t="str">
        <f aca="false">IF(AK31=0,"",COUNT($G31:$I31))</f>
        <v/>
      </c>
      <c r="AN31" s="14" t="str">
        <f aca="false">IF(AK31=0,"",IFERROR(SMALL($G31:$I31,1),""))</f>
        <v/>
      </c>
      <c r="AO31" s="14" t="str">
        <f aca="false">IF(AK31=0,"",IFERROR(SMALL($G31:$I31,2),""))</f>
        <v/>
      </c>
      <c r="AP31" s="14" t="str">
        <f aca="false">IF(AK31=0,"",IFERROR(SMALL($G31:$I31,3),""))</f>
        <v/>
      </c>
      <c r="AQ31" s="16" t="str">
        <f aca="false">IF(AK31=0,"",IF(AN31="","",IF(AN31=$H31,"Part-Time",IF(AN31=$I31,"Full-Time","Casual"))))</f>
        <v/>
      </c>
      <c r="AR31" s="16" t="str">
        <f aca="false">IF(AK31=0,"",IF(AO31="","",IF(AO31=$H31,"Part-Time",IF(AO31=$I31,"Full-Time","Casual"))))</f>
        <v/>
      </c>
      <c r="AS31" s="16" t="str">
        <f aca="false">IF(AK31=0,"",IF(AP31="","",IF(AP31=$H31,"Part-Time",IF(AP31=$I31,"Full-Time","Casual"))))</f>
        <v/>
      </c>
      <c r="AT31" s="16" t="str">
        <f aca="false">IF(AK31=0,"",IF(AM31=0,IF(OR(ISNUMBER(SEARCH("full",$C31)),UPPER(TRIM($C31))="FT",UPPER(TRIM($C31))="FTE"),"FT",IF(AND(OR(ISNUMBER(SEARCH("part",$C31)),UPPER(TRIM($C31))="PT",UPPER(TRIM($C31))="PTE"),Apply2026="Yes",OR($P31="",N($P31)&gt;=PT_MinHours)),"PT","None")),IF(OR(ISNUMBER(SEARCH("full",AQ31)),UPPER(TRIM(AQ31))="FT",UPPER(TRIM(AQ31))="FTE"),"FT",IF(AND(OR(ISNUMBER(SEARCH("part",AQ31)),UPPER(TRIM(AQ31))="PT",UPPER(TRIM(AQ31))="PTE"),Apply2026="Yes",OR($P31="",N($P31)&gt;=PT_MinHours)),"PT","None"))))</f>
        <v/>
      </c>
      <c r="AU31" s="16" t="str">
        <f aca="false">IF(AK31=0,"",IF(AM31&lt;2,"",IF(OR(ISNUMBER(SEARCH("full",AR31)),UPPER(TRIM(AR31))="FT",UPPER(TRIM(AR31))="FTE"),"FT",IF(AND(OR(ISNUMBER(SEARCH("part",AR31)),UPPER(TRIM(AR31))="PT",UPPER(TRIM(AR31))="PTE"),Apply2026="Yes",OR($P31="",N($P31)&gt;=PT_MinHours)),"PT","None"))))</f>
        <v/>
      </c>
      <c r="AV31" s="16" t="str">
        <f aca="false">IF(AK31=0,"",IF(AM31&lt;3,"",IF(OR(ISNUMBER(SEARCH("full",AS31)),UPPER(TRIM(AS31))="FT",UPPER(TRIM(AS31))="FTE"),"FT",IF(AND(OR(ISNUMBER(SEARCH("part",AS31)),UPPER(TRIM(AS31))="PT",UPPER(TRIM(AS31))="PTE"),Apply2026="Yes",OR($P31="",N($P31)&gt;=PT_MinHours)),"PT","None"))))</f>
        <v/>
      </c>
      <c r="AW31" s="16" t="str">
        <f aca="false">IF(AK31=0,"",IF(AND(AM31&gt;=3,AP31&lt;=AsOfDate),AV31,IF(AND(AM31&gt;=2,AO31&lt;=AsOfDate),AU31,AT31)))</f>
        <v/>
      </c>
      <c r="AX31" s="16" t="str">
        <f aca="false">IF(AK31=0,"",IF(AsOfDate&lt;AL31,-1,12*(YEAR(AsOfDate)-YEAR(AL31))+MONTH(AsOfDate)-MONTH(AL31)-IF(DAY(AsOfDate)&lt;MIN(DAY(AL31),DAY(EOMONTH(AsOfDate,0))),1,0)))</f>
        <v/>
      </c>
      <c r="AY31" s="16" t="str">
        <f aca="false">IF(AK31=0,"",IF(OR(AM31&lt;2,AO31&gt;AsOfDate),AX31,IF((AO31-1)&lt;AL31,-1,12*(YEAR((AO31-1))-YEAR(AL31))+MONTH((AO31-1))-MONTH(AL31)-IF(DAY((AO31-1))&lt;MIN(DAY(AL31),DAY(EOMONTH((AO31-1),0))),1,0))))</f>
        <v/>
      </c>
      <c r="AZ31" s="16" t="str">
        <f aca="false">IF(AK31=0,"",IF(OR(AM31&lt;3,AP31&gt;AsOfDate),AX31,IF((AP31-1)&lt;AL31,-1,12*(YEAR((AP31-1))-YEAR(AL31))+MONTH((AP31-1))-MONTH(AL31)-IF(DAY((AP31-1))&lt;MIN(DAY(AL31),DAY(EOMONTH((AP31-1),0))),1,0))))</f>
        <v/>
      </c>
      <c r="BA31" s="16" t="str">
        <f aca="false">IF(AK31=0,"",IF(PFYDate&lt;AL31,-1,12*(YEAR(PFYDate)-YEAR(AL31))+MONTH(PFYDate)-MONTH(AL31)-IF(DAY(PFYDate)&lt;MIN(DAY(AL31),DAY(EOMONTH(PFYDate,0))),1,0)))</f>
        <v/>
      </c>
      <c r="BB31" s="16" t="str">
        <f aca="false">IF(AK31=0,"",IF(OR(AM31&lt;2,AO31&gt;PFYDate),BA31,IF((AO31-1)&lt;AL31,-1,12*(YEAR((AO31-1))-YEAR(AL31))+MONTH((AO31-1))-MONTH(AL31)-IF(DAY((AO31-1))&lt;MIN(DAY(AL31),DAY(EOMONTH((AO31-1),0))),1,0))))</f>
        <v/>
      </c>
      <c r="BC31" s="16" t="str">
        <f aca="false">IF(AK31=0,"",IF(OR(AM31&lt;3,AP31&gt;PFYDate),BA31,IF((AP31-1)&lt;AL31,-1,12*(YEAR((AP31-1))-YEAR(AL31))+MONTH((AP31-1))-MONTH(AL31)-IF(DAY((AP31-1))&lt;MIN(DAY(AL31),DAY(EOMONTH((AP31-1),0))),1,0))))</f>
        <v/>
      </c>
      <c r="BD31" s="16" t="str">
        <f aca="false">IF(AK31=0,"",IF(AT31="FT",IF(AY31&lt;FT_First,0,IF(AY31&lt;FT_Y5,1+INT((AY31-FT_First)/FT_Int1),FT_PreY5+FT_PerYear*INT((AY31-FT_Y5)/12)+FT_AnnivDays+INT(MOD(AY31-FT_Y5,12)/FT_Int2)-IF(EDATE(AL31,FT_Y5)&lt;PolicyEff,FT_AnnivDays-1,0))),IF(AT31="PT",IF(AY31&lt;PT_First,0,1+INT((AY31-PT_First)/PT_Int)),0))+IF(AND(AM31&gt;=2,AO31&lt;=AsOfDate),IF(AU31="FT",IF(AZ31&lt;FT_First,0,IF(AZ31&lt;FT_Y5,1+INT((AZ31-FT_First)/FT_Int1),FT_PreY5+FT_PerYear*INT((AZ31-FT_Y5)/12)+FT_AnnivDays+INT(MOD(AZ31-FT_Y5,12)/FT_Int2)-IF(EDATE(AL31,FT_Y5)&lt;PolicyEff,FT_AnnivDays-1,0))),IF(AU31="PT",IF(AZ31&lt;PT_First,0,1+INT((AZ31-PT_First)/PT_Int)),0))-IF(AU31="FT",IF(AY31&lt;FT_First,0,IF(AY31&lt;FT_Y5,1+INT((AY31-FT_First)/FT_Int1),FT_PreY5+FT_PerYear*INT((AY31-FT_Y5)/12)+FT_AnnivDays+INT(MOD(AY31-FT_Y5,12)/FT_Int2)-IF(EDATE(AL31,FT_Y5)&lt;PolicyEff,FT_AnnivDays-1,0))),IF(AU31="PT",IF(AY31&lt;PT_First,0,1+INT((AY31-PT_First)/PT_Int)),0)),0)+IF(AND(AM31&gt;=3,AP31&lt;=AsOfDate),IF(AV31="FT",IF(AX31&lt;FT_First,0,IF(AX31&lt;FT_Y5,1+INT((AX31-FT_First)/FT_Int1),FT_PreY5+FT_PerYear*INT((AX31-FT_Y5)/12)+FT_AnnivDays+INT(MOD(AX31-FT_Y5,12)/FT_Int2)-IF(EDATE(AL31,FT_Y5)&lt;PolicyEff,FT_AnnivDays-1,0))),IF(AV31="PT",IF(AX31&lt;PT_First,0,1+INT((AX31-PT_First)/PT_Int)),0))-IF(AV31="FT",IF(AZ31&lt;FT_First,0,IF(AZ31&lt;FT_Y5,1+INT((AZ31-FT_First)/FT_Int1),FT_PreY5+FT_PerYear*INT((AZ31-FT_Y5)/12)+FT_AnnivDays+INT(MOD(AZ31-FT_Y5,12)/FT_Int2)-IF(EDATE(AL31,FT_Y5)&lt;PolicyEff,FT_AnnivDays-1,0))),IF(AV31="PT",IF(AZ31&lt;PT_First,0,1+INT((AZ31-PT_First)/PT_Int)),0)),0))</f>
        <v/>
      </c>
      <c r="BE31" s="16" t="str">
        <f aca="false">IF(AK31=0,"",IF(AT31="FT",IF(BB31&lt;FT_First,0,IF(BB31&lt;FT_Y5,1+INT((BB31-FT_First)/FT_Int1),FT_PreY5+FT_PerYear*INT((BB31-FT_Y5)/12)+FT_AnnivDays+INT(MOD(BB31-FT_Y5,12)/FT_Int2)-IF(EDATE(AL31,FT_Y5)&lt;PolicyEff,FT_AnnivDays-1,0))),IF(AT31="PT",IF(BB31&lt;PT_First,0,1+INT((BB31-PT_First)/PT_Int)),0))+IF(AND(AM31&gt;=2,AO31&lt;=PFYDate),IF(AU31="FT",IF(BC31&lt;FT_First,0,IF(BC31&lt;FT_Y5,1+INT((BC31-FT_First)/FT_Int1),FT_PreY5+FT_PerYear*INT((BC31-FT_Y5)/12)+FT_AnnivDays+INT(MOD(BC31-FT_Y5,12)/FT_Int2)-IF(EDATE(AL31,FT_Y5)&lt;PolicyEff,FT_AnnivDays-1,0))),IF(AU31="PT",IF(BC31&lt;PT_First,0,1+INT((BC31-PT_First)/PT_Int)),0))-IF(AU31="FT",IF(BB31&lt;FT_First,0,IF(BB31&lt;FT_Y5,1+INT((BB31-FT_First)/FT_Int1),FT_PreY5+FT_PerYear*INT((BB31-FT_Y5)/12)+FT_AnnivDays+INT(MOD(BB31-FT_Y5,12)/FT_Int2)-IF(EDATE(AL31,FT_Y5)&lt;PolicyEff,FT_AnnivDays-1,0))),IF(AU31="PT",IF(BB31&lt;PT_First,0,1+INT((BB31-PT_First)/PT_Int)),0)),0)+IF(AND(AM31&gt;=3,AP31&lt;=PFYDate),IF(AV31="FT",IF(BA31&lt;FT_First,0,IF(BA31&lt;FT_Y5,1+INT((BA31-FT_First)/FT_Int1),FT_PreY5+FT_PerYear*INT((BA31-FT_Y5)/12)+FT_AnnivDays+INT(MOD(BA31-FT_Y5,12)/FT_Int2)-IF(EDATE(AL31,FT_Y5)&lt;PolicyEff,FT_AnnivDays-1,0))),IF(AV31="PT",IF(BA31&lt;PT_First,0,1+INT((BA31-PT_First)/PT_Int)),0))-IF(AV31="FT",IF(BC31&lt;FT_First,0,IF(BC31&lt;FT_Y5,1+INT((BC31-FT_First)/FT_Int1),FT_PreY5+FT_PerYear*INT((BC31-FT_Y5)/12)+FT_AnnivDays+INT(MOD(BC31-FT_Y5,12)/FT_Int2)-IF(EDATE(AL31,FT_Y5)&lt;PolicyEff,FT_AnnivDays-1,0))),IF(AV31="PT",IF(BC31&lt;PT_First,0,1+INT((BC31-PT_First)/PT_Int)),0)),0))</f>
        <v/>
      </c>
      <c r="BF31" s="16" t="str">
        <f aca="false">IF(AK31=0,"",IF(AW31="FT",IF(AX31&lt;FT_First,FT_First,IF(AX31&lt;FT_Y5,MIN(FT_Y5,FT_First+FT_Int1*(INT((AX31-FT_First)/FT_Int1)+1)),FT_Y5+12*INT((AX31-FT_Y5)/12)+FT_Int2*(INT(MOD(AX31-FT_Y5,12)/FT_Int2)+1))),IF(AW31="PT",IF(AX31&lt;PT_First,PT_First,PT_First+PT_Int*(INT((AX31-PT_First)/PT_Int)+1)),"")))</f>
        <v/>
      </c>
      <c r="BG31" s="16" t="str">
        <f aca="false">IF(AK31=0,"",IF(NOT(LH_Ready),0,COUNTIFS(INDEX(LH_Data,0,LH_ColFirst),$A31,INDEX(LH_Data,0,LH_ColSur),$B31,INDEX(LH_Data,0,LH_ColCat),BonusCat)))</f>
        <v/>
      </c>
      <c r="BH31" s="16" t="str">
        <f aca="false">IF(AK31=0,"",IF(OR(NOT(LH_Ready),BG31=0),0,SUMPRODUCT(MAX((INDEX(LH_Data,0,LH_ColFirst)=$A31)*(INDEX(LH_Data,0,LH_ColSur)=$B31)*(INDEX(LH_Data,0,LH_ColCat)=BonusCat)*ROW(LH_Data)))))</f>
        <v/>
      </c>
      <c r="BI31" s="16" t="str">
        <f aca="false">IF(AK31=0,"",IF(EOMONTH(AsOfDate,-1)&lt;AL31,-1,12*(YEAR(EOMONTH(AsOfDate,-1))-YEAR(AL31))+MONTH(EOMONTH(AsOfDate,-1))-MONTH(AL31)-IF(DAY(EOMONTH(AsOfDate,-1))&lt;MIN(DAY(AL31),DAY(EOMONTH(EOMONTH(AsOfDate,-1),0))),1,0)))</f>
        <v/>
      </c>
      <c r="BJ31" s="16" t="str">
        <f aca="false">IF(AK31=0,"",IF(OR(AM31&lt;2,AO31&gt;EOMONTH(AsOfDate,-1)),BI31,IF((AO31-1)&lt;AL31,-1,12*(YEAR((AO31-1))-YEAR(AL31))+MONTH((AO31-1))-MONTH(AL31)-IF(DAY((AO31-1))&lt;MIN(DAY(AL31),DAY(EOMONTH((AO31-1),0))),1,0))))</f>
        <v/>
      </c>
      <c r="BK31" s="16" t="str">
        <f aca="false">IF(AK31=0,"",IF(OR(AM31&lt;3,AP31&gt;EOMONTH(AsOfDate,-1)),BI31,IF((AP31-1)&lt;AL31,-1,12*(YEAR((AP31-1))-YEAR(AL31))+MONTH((AP31-1))-MONTH(AL31)-IF(DAY((AP31-1))&lt;MIN(DAY(AL31),DAY(EOMONTH((AP31-1),0))),1,0))))</f>
        <v/>
      </c>
      <c r="BL31" s="16" t="str">
        <f aca="false">IF(AK31=0,"",IF(AT31="FT",IF(BJ31&lt;FT_First,0,IF(BJ31&lt;FT_Y5,1+INT((BJ31-FT_First)/FT_Int1),FT_PreY5+FT_PerYear*INT((BJ31-FT_Y5)/12)+FT_AnnivDays+INT(MOD(BJ31-FT_Y5,12)/FT_Int2)-IF(EDATE(AL31,FT_Y5)&lt;PolicyEff,FT_AnnivDays-1,0))),IF(AT31="PT",IF(BJ31&lt;PT_First,0,1+INT((BJ31-PT_First)/PT_Int)),0))+IF(AND(AM31&gt;=2,AO31&lt;=EOMONTH(AsOfDate,-1)),IF(AU31="FT",IF(BK31&lt;FT_First,0,IF(BK31&lt;FT_Y5,1+INT((BK31-FT_First)/FT_Int1),FT_PreY5+FT_PerYear*INT((BK31-FT_Y5)/12)+FT_AnnivDays+INT(MOD(BK31-FT_Y5,12)/FT_Int2)-IF(EDATE(AL31,FT_Y5)&lt;PolicyEff,FT_AnnivDays-1,0))),IF(AU31="PT",IF(BK31&lt;PT_First,0,1+INT((BK31-PT_First)/PT_Int)),0))-IF(AU31="FT",IF(BJ31&lt;FT_First,0,IF(BJ31&lt;FT_Y5,1+INT((BJ31-FT_First)/FT_Int1),FT_PreY5+FT_PerYear*INT((BJ31-FT_Y5)/12)+FT_AnnivDays+INT(MOD(BJ31-FT_Y5,12)/FT_Int2)-IF(EDATE(AL31,FT_Y5)&lt;PolicyEff,FT_AnnivDays-1,0))),IF(AU31="PT",IF(BJ31&lt;PT_First,0,1+INT((BJ31-PT_First)/PT_Int)),0)),0)+IF(AND(AM31&gt;=3,AP31&lt;=EOMONTH(AsOfDate,-1)),IF(AV31="FT",IF(BI31&lt;FT_First,0,IF(BI31&lt;FT_Y5,1+INT((BI31-FT_First)/FT_Int1),FT_PreY5+FT_PerYear*INT((BI31-FT_Y5)/12)+FT_AnnivDays+INT(MOD(BI31-FT_Y5,12)/FT_Int2)-IF(EDATE(AL31,FT_Y5)&lt;PolicyEff,FT_AnnivDays-1,0))),IF(AV31="PT",IF(BI31&lt;PT_First,0,1+INT((BI31-PT_First)/PT_Int)),0))-IF(AV31="FT",IF(BK31&lt;FT_First,0,IF(BK31&lt;FT_Y5,1+INT((BK31-FT_First)/FT_Int1),FT_PreY5+FT_PerYear*INT((BK31-FT_Y5)/12)+FT_AnnivDays+INT(MOD(BK31-FT_Y5,12)/FT_Int2)-IF(EDATE(AL31,FT_Y5)&lt;PolicyEff,FT_AnnivDays-1,0))),IF(AV31="PT",IF(BK31&lt;PT_First,0,1+INT((BK31-PT_First)/PT_Int)),0)),0))</f>
        <v/>
      </c>
      <c r="BM31" s="16" t="str">
        <f aca="false">IF(AK31=0,"",IF(AW31="FT",IF(AX31&lt;FT_First,"",IF(AX31&lt;FT_Y5,FT_First+FT_Int1*INT((AX31-FT_First)/FT_Int1),FT_Y5+FT_Int2*INT((AX31-FT_Y5)/FT_Int2))),IF(AW31="PT",IF(AX31&lt;PT_First,"",PT_First+PT_Int*INT((AX31-PT_First)/PT_Int)),"")))</f>
        <v/>
      </c>
      <c r="BN31" s="16" t="str">
        <f aca="false">IF(AK31=0,"",IF((SchemeStart-1)&lt;AL31,-1,12*(YEAR((SchemeStart-1))-YEAR(AL31))+MONTH((SchemeStart-1))-MONTH(AL31)-IF(DAY((SchemeStart-1))&lt;MIN(DAY(AL31),DAY(EOMONTH((SchemeStart-1),0))),1,0)))</f>
        <v/>
      </c>
      <c r="BO31" s="16" t="str">
        <f aca="false">IF(AK31=0,"",IF(OR(AM31&lt;2,AO31&gt;(SchemeStart-1)),BN31,IF((AO31-1)&lt;AL31,-1,12*(YEAR((AO31-1))-YEAR(AL31))+MONTH((AO31-1))-MONTH(AL31)-IF(DAY((AO31-1))&lt;MIN(DAY(AL31),DAY(EOMONTH((AO31-1),0))),1,0))))</f>
        <v/>
      </c>
      <c r="BP31" s="16" t="str">
        <f aca="false">IF(AK31=0,"",IF(OR(AM31&lt;3,AP31&gt;(SchemeStart-1)),BN31,IF((AP31-1)&lt;AL31,-1,12*(YEAR((AP31-1))-YEAR(AL31))+MONTH((AP31-1))-MONTH(AL31)-IF(DAY((AP31-1))&lt;MIN(DAY(AL31),DAY(EOMONTH((AP31-1),0))),1,0))))</f>
        <v/>
      </c>
      <c r="BQ31" s="16" t="str">
        <f aca="false">IF(AK31=0,"",IF(AT31="FT",IF(BO31&lt;FT_First,0,IF(BO31&lt;FT_Y5,1+INT((BO31-FT_First)/FT_Int1),FT_PreY5+FT_PerYear*INT((BO31-FT_Y5)/12)+FT_AnnivDays+INT(MOD(BO31-FT_Y5,12)/FT_Int2)-IF(EDATE(AL31,FT_Y5)&lt;PolicyEff,FT_AnnivDays-1,0))),IF(AT31="PT",IF(BO31&lt;PT_First,0,1+INT((BO31-PT_First)/PT_Int)),0))+IF(AND(AM31&gt;=2,AO31&lt;=(SchemeStart-1)),IF(AU31="FT",IF(BP31&lt;FT_First,0,IF(BP31&lt;FT_Y5,1+INT((BP31-FT_First)/FT_Int1),FT_PreY5+FT_PerYear*INT((BP31-FT_Y5)/12)+FT_AnnivDays+INT(MOD(BP31-FT_Y5,12)/FT_Int2)-IF(EDATE(AL31,FT_Y5)&lt;PolicyEff,FT_AnnivDays-1,0))),IF(AU31="PT",IF(BP31&lt;PT_First,0,1+INT((BP31-PT_First)/PT_Int)),0))-IF(AU31="FT",IF(BO31&lt;FT_First,0,IF(BO31&lt;FT_Y5,1+INT((BO31-FT_First)/FT_Int1),FT_PreY5+FT_PerYear*INT((BO31-FT_Y5)/12)+FT_AnnivDays+INT(MOD(BO31-FT_Y5,12)/FT_Int2)-IF(EDATE(AL31,FT_Y5)&lt;PolicyEff,FT_AnnivDays-1,0))),IF(AU31="PT",IF(BO31&lt;PT_First,0,1+INT((BO31-PT_First)/PT_Int)),0)),0)+IF(AND(AM31&gt;=3,AP31&lt;=(SchemeStart-1)),IF(AV31="FT",IF(BN31&lt;FT_First,0,IF(BN31&lt;FT_Y5,1+INT((BN31-FT_First)/FT_Int1),FT_PreY5+FT_PerYear*INT((BN31-FT_Y5)/12)+FT_AnnivDays+INT(MOD(BN31-FT_Y5,12)/FT_Int2)-IF(EDATE(AL31,FT_Y5)&lt;PolicyEff,FT_AnnivDays-1,0))),IF(AV31="PT",IF(BN31&lt;PT_First,0,1+INT((BN31-PT_First)/PT_Int)),0))-IF(AV31="FT",IF(BP31&lt;FT_First,0,IF(BP31&lt;FT_Y5,1+INT((BP31-FT_First)/FT_Int1),FT_PreY5+FT_PerYear*INT((BP31-FT_Y5)/12)+FT_AnnivDays+INT(MOD(BP31-FT_Y5,12)/FT_Int2)-IF(EDATE(AL31,FT_Y5)&lt;PolicyEff,FT_AnnivDays-1,0))),IF(AV31="PT",IF(BP31&lt;PT_First,0,1+INT((BP31-PT_First)/PT_Int)),0)),0))</f>
        <v/>
      </c>
      <c r="BR31" s="0" t="str">
        <f aca="false">IF(LEN($A31&amp;$B31)=0,"",$A31&amp;" "&amp;$B31)</f>
        <v/>
      </c>
    </row>
    <row r="32" customFormat="false" ht="15" hidden="false" customHeight="false" outlineLevel="0" collapsed="false">
      <c r="A32" s="12"/>
      <c r="B32" s="12"/>
      <c r="C32" s="12"/>
      <c r="D32" s="13"/>
      <c r="E32" s="14" t="str">
        <f aca="false">IF(OR(AK32=0,$D32=""),"",DATE(YEAR(AsOfDate)+IF(DATE(YEAR(AsOfDate),MONTH($D32),DAY($D32))&lt;=AsOfDate,1,0),MONTH($D32),DAY($D32)))</f>
        <v/>
      </c>
      <c r="F32" s="13"/>
      <c r="G32" s="13"/>
      <c r="H32" s="13"/>
      <c r="I32" s="13"/>
      <c r="J32" s="13"/>
      <c r="K32" s="14" t="str">
        <f aca="false">IF(AK32=0,"",DATE(YEAR(AsOfDate)+IF(DATE(YEAR(AsOfDate),MONTH(AL32),DAY(AL32))&lt;=AsOfDate,1,0),MONTH(AL32),DAY(AL32)))</f>
        <v/>
      </c>
      <c r="L32" s="15" t="str">
        <f aca="false">IF(AK32=0,"",ROUND((AsOfDate-AL32)/365.25,1))</f>
        <v/>
      </c>
      <c r="M32" s="16" t="str">
        <f aca="false">IF(AK32=0,"",IF(AsOfDate&lt;AL32,"-",DATEDIF(AL32,AsOfDate,"y")&amp;"y "&amp;DATEDIF(AL32,AsOfDate,"ym")&amp;"m "&amp;DATEDIF(AL32,AsOfDate,"md")&amp;"d"))</f>
        <v/>
      </c>
      <c r="N32" s="17" t="str">
        <f aca="false">IF(AK32=0,"",O32*HoursPerDay)</f>
        <v/>
      </c>
      <c r="O32" s="17" t="str">
        <f aca="false">IF(AK32=0,"",MAX(0,BD32-BQ32))</f>
        <v/>
      </c>
      <c r="P32" s="18"/>
      <c r="Q32" s="16" t="str">
        <f aca="false">IF(AK32=0,"",IF(AM32&lt;2,"",AQ32&amp;" to "&amp;AR32&amp;" on "&amp;TEXT(AO32,"dd/mm/yyyy")&amp;IF(AO32&gt;AsOfDate," (future)",IF(AT32=AU32,"",IF(AU32="None"," - STOPPED accruing",IF(AT32="None"," - commencement for Bonus Leave"," - pathway changed"))))&amp;IF(AM32&lt;3,"","; "&amp;AR32&amp;" to "&amp;AS32&amp;" on "&amp;TEXT(AP32,"dd/mm/yyyy")&amp;IF(AP32&gt;AsOfDate," (future)",IF(AU32=AV32,"",IF(AV32="None"," - STOPPED accruing",IF(AU32="None"," - commencement for Bonus Leave"," - pathway changed")))))))</f>
        <v/>
      </c>
      <c r="R32" s="16" t="str">
        <f aca="false">IF(AK32=0,"",IF(AW32="None",IF(O32&gt;0,"No longer accruing","Not eligible - "&amp;IF(AND(OR(ISNUMBER(SEARCH("part",$C32)),UPPER(TRIM($C32))="PT",UPPER(TRIM($C32))="PTE"),Apply2026="No"),"part-time (scheme is full-time only)",IF(AND(OR(ISNUMBER(SEARCH("part",$C32)),UPPER(TRIM($C32))="PT",UPPER(TRIM($C32))="PTE"),$P32&lt;&gt;"",N($P32)&lt;PT_MinHours),"under "&amp;PT_MinHours&amp;" hrs",IF(IF($C32="","",IF(OR(ISNUMBER(SEARCH("full",$C32)),UPPER(TRIM($C32))="FT",UPPER(TRIM($C32))="FTE"),"Full-Time",IF(OR(ISNUMBER(SEARCH("part",$C32)),UPPER(TRIM($C32))="PT",UPPER(TRIM($C32))="PTE"),"Part-Time",IF(OR(ISNUMBER(SEARCH("cas",$C32)),UPPER(TRIM($C32))="CAS"),"Casual","Unknown"))))="Unknown","type not recognised",$C32)))),IF(O32&gt;0,"Yes - Accrual Required","Not yet - from "&amp;TEXT(S32,"dd/mm/yyyy"))))</f>
        <v/>
      </c>
      <c r="S32" s="14" t="str">
        <f aca="false">IF(AK32=0,"",IF(AW32="None","",EDATE(AL32,BF32)))</f>
        <v/>
      </c>
      <c r="T32" s="17" t="str">
        <f aca="false">IF(AK32=0,"",IF(NOT(LH_Ready),"",IF($F32&gt;PFYDate,0,IF(LH_ColPeriod=0,W32-U32+V32,SUMIFS(INDEX(LH_Data,0,LH_ColAcc),INDEX(LH_Data,0,LH_ColFirst),$A32,INDEX(LH_Data,0,LH_ColSur),$B32,INDEX(LH_Data,0,LH_ColCat),BonusCat,INDEX(LH_Data,0,LH_ColPeriod),LH_OpenLabel)*UnitFactor))))</f>
        <v/>
      </c>
      <c r="U32" s="17" t="str">
        <f aca="false">IF(AK32=0,"",IF(NOT(LH_Ready),"",SUMIFS(INDEX(LH_Data,0,LH_ColAcc),INDEX(LH_Data,0,LH_ColFirst),$A32,INDEX(LH_Data,0,LH_ColSur),$B32,INDEX(LH_Data,0,LH_ColCat),BonusCat,INDEX(LH_Data,0,LH_ColStart),"&gt;="&amp;AL32)*UnitFactor))</f>
        <v/>
      </c>
      <c r="V32" s="17" t="str">
        <f aca="false">IF(AK32=0,"",IF(NOT(LH_Ready),"",SUMIFS(INDEX(LH_Data,0,LH_ColTaken),INDEX(LH_Data,0,LH_ColFirst),$A32,INDEX(LH_Data,0,LH_ColSur),$B32,INDEX(LH_Data,0,LH_ColCat),BonusCat,INDEX(LH_Data,0,LH_ColStart),"&gt;="&amp;AL32)*UnitFactor))</f>
        <v/>
      </c>
      <c r="W32" s="17" t="str">
        <f aca="false">IF(AK32=0,"",IF(NOT(LH_Ready),"",IF(BH32=0,0,INDEX(INDEX(LH_Data,0,LH_ColClose),BH32-1)*UnitFactor)))</f>
        <v/>
      </c>
      <c r="X32" s="17" t="str">
        <f aca="false">IF(AK32=0,"",(MAX(0,BD32-BQ32)-MAX(0,BE32-BQ32))*HoursPerDay)</f>
        <v/>
      </c>
      <c r="Y32" s="17" t="str">
        <f aca="false">IF(AK32=0,"",IF(NOT(LH_Ready),"",IF($AI32="Yes",N(AE32)*HoursPerDay-SUMIFS(INDEX(LH_Data,0,LH_ColAcc),INDEX(LH_Data,0,LH_ColFirst),$A32,INDEX(LH_Data,0,LH_ColSur),$B32,INDEX(LH_Data,0,LH_ColCat),BonusCat,INDEX(LH_Data,0,LH_ColStart),"&gt;="&amp;(EOMONTH(AsOfDate,-1)+1),INDEX(LH_Data,0,LH_ColStart),"&lt;="&amp;AsOfDate)*UnitFactor,IF(BG32=0,N32,N32-N(T32)-N(U32)))))</f>
        <v/>
      </c>
      <c r="Z32" s="16" t="str">
        <f aca="false">IF(OR(AK32=0,Y32=""),"",IF(Y32&gt;0,"Yes","No"))</f>
        <v/>
      </c>
      <c r="AA32" s="16" t="str">
        <f aca="false">IF(AK32=0,IF(LEN($A32&amp;$B32)=0,"","FIX INPUT - StartDate missing"),IF(AD32&lt;&gt;"","FIX INPUT - "&amp;AD32,IF(NOT(LH_Ready),"Paste Leave History export (Settings must show YES)",IF(AND($AI32="Yes",Y32&lt;=0),"OK - EH balance accepted to date"&amp;IF(N(AH32)&gt;0," (EH holds "&amp;AH32&amp;" hrs over the scheme)","")&amp;"; next day "&amp;TEXT(S32,"dd mmm yy")&amp;IF(N(AE32)&gt;0," ("&amp;AE32&amp;" day(s) for "&amp;UPPER(TEXT(AsOfDate,"mmm yyyy"))&amp;" already in EH)",""),IF(Y32&gt;0,"ACCRUE "&amp;ROUND(Y32,2)&amp;" hrs ("&amp;ROUND(Y32/HoursPerDay,2)&amp;" days): "&amp;IF(N(AE32)&gt;0,AE32&amp;" day(s) for "&amp;UPPER(TEXT(AsOfDate,"mmm yyyy"))&amp;" (milestone "&amp;UPPER(TEXT(AF32,"dd mmm yy"))&amp;")"&amp;IF(Y32/HoursPerDay&gt;AE32+0.001," + "&amp;ROUND(Y32/HoursPerDay-AE32,2)&amp;" day(s) catch-up from earlier months",""),"all catch-up from earlier months, nothing new this month")&amp;IF(BG32=0,"; no Bonus Leave in EH yet",""),IF(Y32&lt;0,"CHECK - EH accrued "&amp;ROUND(-Y32,2)&amp;" hrs more than policy since commencement",IF(N(W32)&gt;O32*HoursPerDay+0.01,"CHECK - EH balance "&amp;ROUND(W32-O32*HoursPerDay,2)&amp;" hrs more than policy entitlement",IF(O32&gt;0,"OK - nothing to add"&amp;IF(N(AE32)&gt;0," ("&amp;AE32&amp;" day(s) for "&amp;UPPER(TEXT(AsOfDate,"mmm yyyy"))&amp;" already in EH)",""),IF(AW32="None",R32,"Not yet - first day on "&amp;TEXT(S32,"dd/mm/yyyy"))))))))))</f>
        <v/>
      </c>
      <c r="AB32" s="17" t="str">
        <f aca="false">IF(OR(AK32=0,T32=""),"",MAX(0,BE32-BQ32)*HoursPerDay-T32)</f>
        <v/>
      </c>
      <c r="AC32" s="16" t="str">
        <f aca="false">IF(AK32=0,"",BG32)</f>
        <v/>
      </c>
      <c r="AD32" s="16" t="str">
        <f aca="false">IF(AK32=0,"",TRIM(IF(OR(ISTEXT($F32),ISTEXT($H32),ISTEXT($I32),ISTEXT($G32),ISTEXT($J32),ISTEXT($D32)),"A date is typed as text - retype it as dd/mm/yyyy. ","")&amp;IF(IF($C32="","",IF(OR(ISNUMBER(SEARCH("full",$C32)),UPPER(TRIM($C32))="FT",UPPER(TRIM($C32))="FTE"),"Full-Time",IF(OR(ISNUMBER(SEARCH("part",$C32)),UPPER(TRIM($C32))="PT",UPPER(TRIM($C32))="PTE"),"Part-Time",IF(OR(ISNUMBER(SEARCH("cas",$C32)),UPPER(TRIM($C32))="CAS"),"Casual","Unknown"))))="Unknown","EmploymentType not recognised - use Full-Time, Part-Time or Casual. ","")&amp;IF(AND(AM32&gt;=1,IF(AM32&gt;=3,AS32,IF(AM32=2,AR32,AQ32))&lt;&gt;IF($C32="","",IF(OR(ISNUMBER(SEARCH("full",$C32)),UPPER(TRIM($C32))="FT",UPPER(TRIM($C32))="FTE"),"Full-Time",IF(OR(ISNUMBER(SEARCH("part",$C32)),UPPER(TRIM($C32))="PT",UPPER(TRIM($C32))="PTE"),"Part-Time",IF(OR(ISNUMBER(SEARCH("cas",$C32)),UPPER(TRIM($C32))="CAS"),"Casual","Unknown"))))),"EmploymentType does not match latest start date ("&amp;IF(AM32&gt;=3,AS32,IF(AM32=2,AR32,AQ32))&amp;"). ","")&amp;IF(AND(AM32&gt;=1,AN32&lt;&gt;$F32),"Earliest type date should equal StartDate. ","")&amp;IF(AND(AM32&gt;=2,AN32=AO32),"Two types start on the same date. ","")&amp;IF(AND(OR(ISNUMBER(SEARCH("part",$C32)),UPPER(TRIM($C32))="PT",UPPER(TRIM($C32))="PTE"),$P32=""),"Part-time: enter PT Hrs/Week (blank = 24+). ","")))</f>
        <v/>
      </c>
      <c r="AE32" s="17" t="str">
        <f aca="false">IF(AK32=0,"",O32-MAX(0,BL32-BQ32))</f>
        <v/>
      </c>
      <c r="AF32" s="14" t="str">
        <f aca="false">IF(OR(AK32=0,AE32="",N(AE32)=0,BM32=""),"",EDATE(AL32,BM32))</f>
        <v/>
      </c>
      <c r="AG32" s="17" t="str">
        <f aca="false">IF(AK32=0,"",MIN(BD32,BQ32))</f>
        <v/>
      </c>
      <c r="AH32" s="17" t="str">
        <f aca="false">IF(AK32=0,"",IF(NOT(LH_Ready),"",IF(BG32=0,0,MAX(0,ROUND(N(T32)+N(U32)-N32,2)))))</f>
        <v/>
      </c>
      <c r="AI32" s="12"/>
      <c r="AJ32" s="12"/>
      <c r="AK32" s="16" t="n">
        <f aca="false">IF(OR(LEN($A32&amp;$B32)=0,$F32=""),0,1)</f>
        <v>0</v>
      </c>
      <c r="AL32" s="14" t="str">
        <f aca="false">IF(AK32=0,"",IF(PreSchemeCounts="No",MAX(SchemeStart,IF($J32&lt;&gt;"",$J32,IF(OR(CasualCounts="Yes",COUNT($G32:$I32)=0),$F32,IF(Apply2026="No",IF($I32="",$F32,$I32),IF(COUNT($H32:$I32)=0,$F32,MIN($H32:$I32)))))),IF($J32&lt;&gt;"",$J32,IF(OR(CasualCounts="Yes",COUNT($G32:$I32)=0),$F32,IF(Apply2026="No",IF($I32="",$F32,$I32),IF(COUNT($H32:$I32)=0,$F32,MIN($H32:$I32)))))))</f>
        <v/>
      </c>
      <c r="AM32" s="16" t="str">
        <f aca="false">IF(AK32=0,"",COUNT($G32:$I32))</f>
        <v/>
      </c>
      <c r="AN32" s="14" t="str">
        <f aca="false">IF(AK32=0,"",IFERROR(SMALL($G32:$I32,1),""))</f>
        <v/>
      </c>
      <c r="AO32" s="14" t="str">
        <f aca="false">IF(AK32=0,"",IFERROR(SMALL($G32:$I32,2),""))</f>
        <v/>
      </c>
      <c r="AP32" s="14" t="str">
        <f aca="false">IF(AK32=0,"",IFERROR(SMALL($G32:$I32,3),""))</f>
        <v/>
      </c>
      <c r="AQ32" s="16" t="str">
        <f aca="false">IF(AK32=0,"",IF(AN32="","",IF(AN32=$H32,"Part-Time",IF(AN32=$I32,"Full-Time","Casual"))))</f>
        <v/>
      </c>
      <c r="AR32" s="16" t="str">
        <f aca="false">IF(AK32=0,"",IF(AO32="","",IF(AO32=$H32,"Part-Time",IF(AO32=$I32,"Full-Time","Casual"))))</f>
        <v/>
      </c>
      <c r="AS32" s="16" t="str">
        <f aca="false">IF(AK32=0,"",IF(AP32="","",IF(AP32=$H32,"Part-Time",IF(AP32=$I32,"Full-Time","Casual"))))</f>
        <v/>
      </c>
      <c r="AT32" s="16" t="str">
        <f aca="false">IF(AK32=0,"",IF(AM32=0,IF(OR(ISNUMBER(SEARCH("full",$C32)),UPPER(TRIM($C32))="FT",UPPER(TRIM($C32))="FTE"),"FT",IF(AND(OR(ISNUMBER(SEARCH("part",$C32)),UPPER(TRIM($C32))="PT",UPPER(TRIM($C32))="PTE"),Apply2026="Yes",OR($P32="",N($P32)&gt;=PT_MinHours)),"PT","None")),IF(OR(ISNUMBER(SEARCH("full",AQ32)),UPPER(TRIM(AQ32))="FT",UPPER(TRIM(AQ32))="FTE"),"FT",IF(AND(OR(ISNUMBER(SEARCH("part",AQ32)),UPPER(TRIM(AQ32))="PT",UPPER(TRIM(AQ32))="PTE"),Apply2026="Yes",OR($P32="",N($P32)&gt;=PT_MinHours)),"PT","None"))))</f>
        <v/>
      </c>
      <c r="AU32" s="16" t="str">
        <f aca="false">IF(AK32=0,"",IF(AM32&lt;2,"",IF(OR(ISNUMBER(SEARCH("full",AR32)),UPPER(TRIM(AR32))="FT",UPPER(TRIM(AR32))="FTE"),"FT",IF(AND(OR(ISNUMBER(SEARCH("part",AR32)),UPPER(TRIM(AR32))="PT",UPPER(TRIM(AR32))="PTE"),Apply2026="Yes",OR($P32="",N($P32)&gt;=PT_MinHours)),"PT","None"))))</f>
        <v/>
      </c>
      <c r="AV32" s="16" t="str">
        <f aca="false">IF(AK32=0,"",IF(AM32&lt;3,"",IF(OR(ISNUMBER(SEARCH("full",AS32)),UPPER(TRIM(AS32))="FT",UPPER(TRIM(AS32))="FTE"),"FT",IF(AND(OR(ISNUMBER(SEARCH("part",AS32)),UPPER(TRIM(AS32))="PT",UPPER(TRIM(AS32))="PTE"),Apply2026="Yes",OR($P32="",N($P32)&gt;=PT_MinHours)),"PT","None"))))</f>
        <v/>
      </c>
      <c r="AW32" s="16" t="str">
        <f aca="false">IF(AK32=0,"",IF(AND(AM32&gt;=3,AP32&lt;=AsOfDate),AV32,IF(AND(AM32&gt;=2,AO32&lt;=AsOfDate),AU32,AT32)))</f>
        <v/>
      </c>
      <c r="AX32" s="16" t="str">
        <f aca="false">IF(AK32=0,"",IF(AsOfDate&lt;AL32,-1,12*(YEAR(AsOfDate)-YEAR(AL32))+MONTH(AsOfDate)-MONTH(AL32)-IF(DAY(AsOfDate)&lt;MIN(DAY(AL32),DAY(EOMONTH(AsOfDate,0))),1,0)))</f>
        <v/>
      </c>
      <c r="AY32" s="16" t="str">
        <f aca="false">IF(AK32=0,"",IF(OR(AM32&lt;2,AO32&gt;AsOfDate),AX32,IF((AO32-1)&lt;AL32,-1,12*(YEAR((AO32-1))-YEAR(AL32))+MONTH((AO32-1))-MONTH(AL32)-IF(DAY((AO32-1))&lt;MIN(DAY(AL32),DAY(EOMONTH((AO32-1),0))),1,0))))</f>
        <v/>
      </c>
      <c r="AZ32" s="16" t="str">
        <f aca="false">IF(AK32=0,"",IF(OR(AM32&lt;3,AP32&gt;AsOfDate),AX32,IF((AP32-1)&lt;AL32,-1,12*(YEAR((AP32-1))-YEAR(AL32))+MONTH((AP32-1))-MONTH(AL32)-IF(DAY((AP32-1))&lt;MIN(DAY(AL32),DAY(EOMONTH((AP32-1),0))),1,0))))</f>
        <v/>
      </c>
      <c r="BA32" s="16" t="str">
        <f aca="false">IF(AK32=0,"",IF(PFYDate&lt;AL32,-1,12*(YEAR(PFYDate)-YEAR(AL32))+MONTH(PFYDate)-MONTH(AL32)-IF(DAY(PFYDate)&lt;MIN(DAY(AL32),DAY(EOMONTH(PFYDate,0))),1,0)))</f>
        <v/>
      </c>
      <c r="BB32" s="16" t="str">
        <f aca="false">IF(AK32=0,"",IF(OR(AM32&lt;2,AO32&gt;PFYDate),BA32,IF((AO32-1)&lt;AL32,-1,12*(YEAR((AO32-1))-YEAR(AL32))+MONTH((AO32-1))-MONTH(AL32)-IF(DAY((AO32-1))&lt;MIN(DAY(AL32),DAY(EOMONTH((AO32-1),0))),1,0))))</f>
        <v/>
      </c>
      <c r="BC32" s="16" t="str">
        <f aca="false">IF(AK32=0,"",IF(OR(AM32&lt;3,AP32&gt;PFYDate),BA32,IF((AP32-1)&lt;AL32,-1,12*(YEAR((AP32-1))-YEAR(AL32))+MONTH((AP32-1))-MONTH(AL32)-IF(DAY((AP32-1))&lt;MIN(DAY(AL32),DAY(EOMONTH((AP32-1),0))),1,0))))</f>
        <v/>
      </c>
      <c r="BD32" s="16" t="str">
        <f aca="false">IF(AK32=0,"",IF(AT32="FT",IF(AY32&lt;FT_First,0,IF(AY32&lt;FT_Y5,1+INT((AY32-FT_First)/FT_Int1),FT_PreY5+FT_PerYear*INT((AY32-FT_Y5)/12)+FT_AnnivDays+INT(MOD(AY32-FT_Y5,12)/FT_Int2)-IF(EDATE(AL32,FT_Y5)&lt;PolicyEff,FT_AnnivDays-1,0))),IF(AT32="PT",IF(AY32&lt;PT_First,0,1+INT((AY32-PT_First)/PT_Int)),0))+IF(AND(AM32&gt;=2,AO32&lt;=AsOfDate),IF(AU32="FT",IF(AZ32&lt;FT_First,0,IF(AZ32&lt;FT_Y5,1+INT((AZ32-FT_First)/FT_Int1),FT_PreY5+FT_PerYear*INT((AZ32-FT_Y5)/12)+FT_AnnivDays+INT(MOD(AZ32-FT_Y5,12)/FT_Int2)-IF(EDATE(AL32,FT_Y5)&lt;PolicyEff,FT_AnnivDays-1,0))),IF(AU32="PT",IF(AZ32&lt;PT_First,0,1+INT((AZ32-PT_First)/PT_Int)),0))-IF(AU32="FT",IF(AY32&lt;FT_First,0,IF(AY32&lt;FT_Y5,1+INT((AY32-FT_First)/FT_Int1),FT_PreY5+FT_PerYear*INT((AY32-FT_Y5)/12)+FT_AnnivDays+INT(MOD(AY32-FT_Y5,12)/FT_Int2)-IF(EDATE(AL32,FT_Y5)&lt;PolicyEff,FT_AnnivDays-1,0))),IF(AU32="PT",IF(AY32&lt;PT_First,0,1+INT((AY32-PT_First)/PT_Int)),0)),0)+IF(AND(AM32&gt;=3,AP32&lt;=AsOfDate),IF(AV32="FT",IF(AX32&lt;FT_First,0,IF(AX32&lt;FT_Y5,1+INT((AX32-FT_First)/FT_Int1),FT_PreY5+FT_PerYear*INT((AX32-FT_Y5)/12)+FT_AnnivDays+INT(MOD(AX32-FT_Y5,12)/FT_Int2)-IF(EDATE(AL32,FT_Y5)&lt;PolicyEff,FT_AnnivDays-1,0))),IF(AV32="PT",IF(AX32&lt;PT_First,0,1+INT((AX32-PT_First)/PT_Int)),0))-IF(AV32="FT",IF(AZ32&lt;FT_First,0,IF(AZ32&lt;FT_Y5,1+INT((AZ32-FT_First)/FT_Int1),FT_PreY5+FT_PerYear*INT((AZ32-FT_Y5)/12)+FT_AnnivDays+INT(MOD(AZ32-FT_Y5,12)/FT_Int2)-IF(EDATE(AL32,FT_Y5)&lt;PolicyEff,FT_AnnivDays-1,0))),IF(AV32="PT",IF(AZ32&lt;PT_First,0,1+INT((AZ32-PT_First)/PT_Int)),0)),0))</f>
        <v/>
      </c>
      <c r="BE32" s="16" t="str">
        <f aca="false">IF(AK32=0,"",IF(AT32="FT",IF(BB32&lt;FT_First,0,IF(BB32&lt;FT_Y5,1+INT((BB32-FT_First)/FT_Int1),FT_PreY5+FT_PerYear*INT((BB32-FT_Y5)/12)+FT_AnnivDays+INT(MOD(BB32-FT_Y5,12)/FT_Int2)-IF(EDATE(AL32,FT_Y5)&lt;PolicyEff,FT_AnnivDays-1,0))),IF(AT32="PT",IF(BB32&lt;PT_First,0,1+INT((BB32-PT_First)/PT_Int)),0))+IF(AND(AM32&gt;=2,AO32&lt;=PFYDate),IF(AU32="FT",IF(BC32&lt;FT_First,0,IF(BC32&lt;FT_Y5,1+INT((BC32-FT_First)/FT_Int1),FT_PreY5+FT_PerYear*INT((BC32-FT_Y5)/12)+FT_AnnivDays+INT(MOD(BC32-FT_Y5,12)/FT_Int2)-IF(EDATE(AL32,FT_Y5)&lt;PolicyEff,FT_AnnivDays-1,0))),IF(AU32="PT",IF(BC32&lt;PT_First,0,1+INT((BC32-PT_First)/PT_Int)),0))-IF(AU32="FT",IF(BB32&lt;FT_First,0,IF(BB32&lt;FT_Y5,1+INT((BB32-FT_First)/FT_Int1),FT_PreY5+FT_PerYear*INT((BB32-FT_Y5)/12)+FT_AnnivDays+INT(MOD(BB32-FT_Y5,12)/FT_Int2)-IF(EDATE(AL32,FT_Y5)&lt;PolicyEff,FT_AnnivDays-1,0))),IF(AU32="PT",IF(BB32&lt;PT_First,0,1+INT((BB32-PT_First)/PT_Int)),0)),0)+IF(AND(AM32&gt;=3,AP32&lt;=PFYDate),IF(AV32="FT",IF(BA32&lt;FT_First,0,IF(BA32&lt;FT_Y5,1+INT((BA32-FT_First)/FT_Int1),FT_PreY5+FT_PerYear*INT((BA32-FT_Y5)/12)+FT_AnnivDays+INT(MOD(BA32-FT_Y5,12)/FT_Int2)-IF(EDATE(AL32,FT_Y5)&lt;PolicyEff,FT_AnnivDays-1,0))),IF(AV32="PT",IF(BA32&lt;PT_First,0,1+INT((BA32-PT_First)/PT_Int)),0))-IF(AV32="FT",IF(BC32&lt;FT_First,0,IF(BC32&lt;FT_Y5,1+INT((BC32-FT_First)/FT_Int1),FT_PreY5+FT_PerYear*INT((BC32-FT_Y5)/12)+FT_AnnivDays+INT(MOD(BC32-FT_Y5,12)/FT_Int2)-IF(EDATE(AL32,FT_Y5)&lt;PolicyEff,FT_AnnivDays-1,0))),IF(AV32="PT",IF(BC32&lt;PT_First,0,1+INT((BC32-PT_First)/PT_Int)),0)),0))</f>
        <v/>
      </c>
      <c r="BF32" s="16" t="str">
        <f aca="false">IF(AK32=0,"",IF(AW32="FT",IF(AX32&lt;FT_First,FT_First,IF(AX32&lt;FT_Y5,MIN(FT_Y5,FT_First+FT_Int1*(INT((AX32-FT_First)/FT_Int1)+1)),FT_Y5+12*INT((AX32-FT_Y5)/12)+FT_Int2*(INT(MOD(AX32-FT_Y5,12)/FT_Int2)+1))),IF(AW32="PT",IF(AX32&lt;PT_First,PT_First,PT_First+PT_Int*(INT((AX32-PT_First)/PT_Int)+1)),"")))</f>
        <v/>
      </c>
      <c r="BG32" s="16" t="str">
        <f aca="false">IF(AK32=0,"",IF(NOT(LH_Ready),0,COUNTIFS(INDEX(LH_Data,0,LH_ColFirst),$A32,INDEX(LH_Data,0,LH_ColSur),$B32,INDEX(LH_Data,0,LH_ColCat),BonusCat)))</f>
        <v/>
      </c>
      <c r="BH32" s="16" t="str">
        <f aca="false">IF(AK32=0,"",IF(OR(NOT(LH_Ready),BG32=0),0,SUMPRODUCT(MAX((INDEX(LH_Data,0,LH_ColFirst)=$A32)*(INDEX(LH_Data,0,LH_ColSur)=$B32)*(INDEX(LH_Data,0,LH_ColCat)=BonusCat)*ROW(LH_Data)))))</f>
        <v/>
      </c>
      <c r="BI32" s="16" t="str">
        <f aca="false">IF(AK32=0,"",IF(EOMONTH(AsOfDate,-1)&lt;AL32,-1,12*(YEAR(EOMONTH(AsOfDate,-1))-YEAR(AL32))+MONTH(EOMONTH(AsOfDate,-1))-MONTH(AL32)-IF(DAY(EOMONTH(AsOfDate,-1))&lt;MIN(DAY(AL32),DAY(EOMONTH(EOMONTH(AsOfDate,-1),0))),1,0)))</f>
        <v/>
      </c>
      <c r="BJ32" s="16" t="str">
        <f aca="false">IF(AK32=0,"",IF(OR(AM32&lt;2,AO32&gt;EOMONTH(AsOfDate,-1)),BI32,IF((AO32-1)&lt;AL32,-1,12*(YEAR((AO32-1))-YEAR(AL32))+MONTH((AO32-1))-MONTH(AL32)-IF(DAY((AO32-1))&lt;MIN(DAY(AL32),DAY(EOMONTH((AO32-1),0))),1,0))))</f>
        <v/>
      </c>
      <c r="BK32" s="16" t="str">
        <f aca="false">IF(AK32=0,"",IF(OR(AM32&lt;3,AP32&gt;EOMONTH(AsOfDate,-1)),BI32,IF((AP32-1)&lt;AL32,-1,12*(YEAR((AP32-1))-YEAR(AL32))+MONTH((AP32-1))-MONTH(AL32)-IF(DAY((AP32-1))&lt;MIN(DAY(AL32),DAY(EOMONTH((AP32-1),0))),1,0))))</f>
        <v/>
      </c>
      <c r="BL32" s="16" t="str">
        <f aca="false">IF(AK32=0,"",IF(AT32="FT",IF(BJ32&lt;FT_First,0,IF(BJ32&lt;FT_Y5,1+INT((BJ32-FT_First)/FT_Int1),FT_PreY5+FT_PerYear*INT((BJ32-FT_Y5)/12)+FT_AnnivDays+INT(MOD(BJ32-FT_Y5,12)/FT_Int2)-IF(EDATE(AL32,FT_Y5)&lt;PolicyEff,FT_AnnivDays-1,0))),IF(AT32="PT",IF(BJ32&lt;PT_First,0,1+INT((BJ32-PT_First)/PT_Int)),0))+IF(AND(AM32&gt;=2,AO32&lt;=EOMONTH(AsOfDate,-1)),IF(AU32="FT",IF(BK32&lt;FT_First,0,IF(BK32&lt;FT_Y5,1+INT((BK32-FT_First)/FT_Int1),FT_PreY5+FT_PerYear*INT((BK32-FT_Y5)/12)+FT_AnnivDays+INT(MOD(BK32-FT_Y5,12)/FT_Int2)-IF(EDATE(AL32,FT_Y5)&lt;PolicyEff,FT_AnnivDays-1,0))),IF(AU32="PT",IF(BK32&lt;PT_First,0,1+INT((BK32-PT_First)/PT_Int)),0))-IF(AU32="FT",IF(BJ32&lt;FT_First,0,IF(BJ32&lt;FT_Y5,1+INT((BJ32-FT_First)/FT_Int1),FT_PreY5+FT_PerYear*INT((BJ32-FT_Y5)/12)+FT_AnnivDays+INT(MOD(BJ32-FT_Y5,12)/FT_Int2)-IF(EDATE(AL32,FT_Y5)&lt;PolicyEff,FT_AnnivDays-1,0))),IF(AU32="PT",IF(BJ32&lt;PT_First,0,1+INT((BJ32-PT_First)/PT_Int)),0)),0)+IF(AND(AM32&gt;=3,AP32&lt;=EOMONTH(AsOfDate,-1)),IF(AV32="FT",IF(BI32&lt;FT_First,0,IF(BI32&lt;FT_Y5,1+INT((BI32-FT_First)/FT_Int1),FT_PreY5+FT_PerYear*INT((BI32-FT_Y5)/12)+FT_AnnivDays+INT(MOD(BI32-FT_Y5,12)/FT_Int2)-IF(EDATE(AL32,FT_Y5)&lt;PolicyEff,FT_AnnivDays-1,0))),IF(AV32="PT",IF(BI32&lt;PT_First,0,1+INT((BI32-PT_First)/PT_Int)),0))-IF(AV32="FT",IF(BK32&lt;FT_First,0,IF(BK32&lt;FT_Y5,1+INT((BK32-FT_First)/FT_Int1),FT_PreY5+FT_PerYear*INT((BK32-FT_Y5)/12)+FT_AnnivDays+INT(MOD(BK32-FT_Y5,12)/FT_Int2)-IF(EDATE(AL32,FT_Y5)&lt;PolicyEff,FT_AnnivDays-1,0))),IF(AV32="PT",IF(BK32&lt;PT_First,0,1+INT((BK32-PT_First)/PT_Int)),0)),0))</f>
        <v/>
      </c>
      <c r="BM32" s="16" t="str">
        <f aca="false">IF(AK32=0,"",IF(AW32="FT",IF(AX32&lt;FT_First,"",IF(AX32&lt;FT_Y5,FT_First+FT_Int1*INT((AX32-FT_First)/FT_Int1),FT_Y5+FT_Int2*INT((AX32-FT_Y5)/FT_Int2))),IF(AW32="PT",IF(AX32&lt;PT_First,"",PT_First+PT_Int*INT((AX32-PT_First)/PT_Int)),"")))</f>
        <v/>
      </c>
      <c r="BN32" s="16" t="str">
        <f aca="false">IF(AK32=0,"",IF((SchemeStart-1)&lt;AL32,-1,12*(YEAR((SchemeStart-1))-YEAR(AL32))+MONTH((SchemeStart-1))-MONTH(AL32)-IF(DAY((SchemeStart-1))&lt;MIN(DAY(AL32),DAY(EOMONTH((SchemeStart-1),0))),1,0)))</f>
        <v/>
      </c>
      <c r="BO32" s="16" t="str">
        <f aca="false">IF(AK32=0,"",IF(OR(AM32&lt;2,AO32&gt;(SchemeStart-1)),BN32,IF((AO32-1)&lt;AL32,-1,12*(YEAR((AO32-1))-YEAR(AL32))+MONTH((AO32-1))-MONTH(AL32)-IF(DAY((AO32-1))&lt;MIN(DAY(AL32),DAY(EOMONTH((AO32-1),0))),1,0))))</f>
        <v/>
      </c>
      <c r="BP32" s="16" t="str">
        <f aca="false">IF(AK32=0,"",IF(OR(AM32&lt;3,AP32&gt;(SchemeStart-1)),BN32,IF((AP32-1)&lt;AL32,-1,12*(YEAR((AP32-1))-YEAR(AL32))+MONTH((AP32-1))-MONTH(AL32)-IF(DAY((AP32-1))&lt;MIN(DAY(AL32),DAY(EOMONTH((AP32-1),0))),1,0))))</f>
        <v/>
      </c>
      <c r="BQ32" s="16" t="str">
        <f aca="false">IF(AK32=0,"",IF(AT32="FT",IF(BO32&lt;FT_First,0,IF(BO32&lt;FT_Y5,1+INT((BO32-FT_First)/FT_Int1),FT_PreY5+FT_PerYear*INT((BO32-FT_Y5)/12)+FT_AnnivDays+INT(MOD(BO32-FT_Y5,12)/FT_Int2)-IF(EDATE(AL32,FT_Y5)&lt;PolicyEff,FT_AnnivDays-1,0))),IF(AT32="PT",IF(BO32&lt;PT_First,0,1+INT((BO32-PT_First)/PT_Int)),0))+IF(AND(AM32&gt;=2,AO32&lt;=(SchemeStart-1)),IF(AU32="FT",IF(BP32&lt;FT_First,0,IF(BP32&lt;FT_Y5,1+INT((BP32-FT_First)/FT_Int1),FT_PreY5+FT_PerYear*INT((BP32-FT_Y5)/12)+FT_AnnivDays+INT(MOD(BP32-FT_Y5,12)/FT_Int2)-IF(EDATE(AL32,FT_Y5)&lt;PolicyEff,FT_AnnivDays-1,0))),IF(AU32="PT",IF(BP32&lt;PT_First,0,1+INT((BP32-PT_First)/PT_Int)),0))-IF(AU32="FT",IF(BO32&lt;FT_First,0,IF(BO32&lt;FT_Y5,1+INT((BO32-FT_First)/FT_Int1),FT_PreY5+FT_PerYear*INT((BO32-FT_Y5)/12)+FT_AnnivDays+INT(MOD(BO32-FT_Y5,12)/FT_Int2)-IF(EDATE(AL32,FT_Y5)&lt;PolicyEff,FT_AnnivDays-1,0))),IF(AU32="PT",IF(BO32&lt;PT_First,0,1+INT((BO32-PT_First)/PT_Int)),0)),0)+IF(AND(AM32&gt;=3,AP32&lt;=(SchemeStart-1)),IF(AV32="FT",IF(BN32&lt;FT_First,0,IF(BN32&lt;FT_Y5,1+INT((BN32-FT_First)/FT_Int1),FT_PreY5+FT_PerYear*INT((BN32-FT_Y5)/12)+FT_AnnivDays+INT(MOD(BN32-FT_Y5,12)/FT_Int2)-IF(EDATE(AL32,FT_Y5)&lt;PolicyEff,FT_AnnivDays-1,0))),IF(AV32="PT",IF(BN32&lt;PT_First,0,1+INT((BN32-PT_First)/PT_Int)),0))-IF(AV32="FT",IF(BP32&lt;FT_First,0,IF(BP32&lt;FT_Y5,1+INT((BP32-FT_First)/FT_Int1),FT_PreY5+FT_PerYear*INT((BP32-FT_Y5)/12)+FT_AnnivDays+INT(MOD(BP32-FT_Y5,12)/FT_Int2)-IF(EDATE(AL32,FT_Y5)&lt;PolicyEff,FT_AnnivDays-1,0))),IF(AV32="PT",IF(BP32&lt;PT_First,0,1+INT((BP32-PT_First)/PT_Int)),0)),0))</f>
        <v/>
      </c>
      <c r="BR32" s="0" t="str">
        <f aca="false">IF(LEN($A32&amp;$B32)=0,"",$A32&amp;" "&amp;$B32)</f>
        <v/>
      </c>
    </row>
    <row r="33" customFormat="false" ht="15" hidden="false" customHeight="false" outlineLevel="0" collapsed="false">
      <c r="A33" s="12"/>
      <c r="B33" s="12"/>
      <c r="C33" s="12"/>
      <c r="D33" s="13"/>
      <c r="E33" s="14" t="str">
        <f aca="false">IF(OR(AK33=0,$D33=""),"",DATE(YEAR(AsOfDate)+IF(DATE(YEAR(AsOfDate),MONTH($D33),DAY($D33))&lt;=AsOfDate,1,0),MONTH($D33),DAY($D33)))</f>
        <v/>
      </c>
      <c r="F33" s="13"/>
      <c r="G33" s="13"/>
      <c r="H33" s="13"/>
      <c r="I33" s="13"/>
      <c r="J33" s="13"/>
      <c r="K33" s="14" t="str">
        <f aca="false">IF(AK33=0,"",DATE(YEAR(AsOfDate)+IF(DATE(YEAR(AsOfDate),MONTH(AL33),DAY(AL33))&lt;=AsOfDate,1,0),MONTH(AL33),DAY(AL33)))</f>
        <v/>
      </c>
      <c r="L33" s="15" t="str">
        <f aca="false">IF(AK33=0,"",ROUND((AsOfDate-AL33)/365.25,1))</f>
        <v/>
      </c>
      <c r="M33" s="16" t="str">
        <f aca="false">IF(AK33=0,"",IF(AsOfDate&lt;AL33,"-",DATEDIF(AL33,AsOfDate,"y")&amp;"y "&amp;DATEDIF(AL33,AsOfDate,"ym")&amp;"m "&amp;DATEDIF(AL33,AsOfDate,"md")&amp;"d"))</f>
        <v/>
      </c>
      <c r="N33" s="17" t="str">
        <f aca="false">IF(AK33=0,"",O33*HoursPerDay)</f>
        <v/>
      </c>
      <c r="O33" s="17" t="str">
        <f aca="false">IF(AK33=0,"",MAX(0,BD33-BQ33))</f>
        <v/>
      </c>
      <c r="P33" s="18"/>
      <c r="Q33" s="16" t="str">
        <f aca="false">IF(AK33=0,"",IF(AM33&lt;2,"",AQ33&amp;" to "&amp;AR33&amp;" on "&amp;TEXT(AO33,"dd/mm/yyyy")&amp;IF(AO33&gt;AsOfDate," (future)",IF(AT33=AU33,"",IF(AU33="None"," - STOPPED accruing",IF(AT33="None"," - commencement for Bonus Leave"," - pathway changed"))))&amp;IF(AM33&lt;3,"","; "&amp;AR33&amp;" to "&amp;AS33&amp;" on "&amp;TEXT(AP33,"dd/mm/yyyy")&amp;IF(AP33&gt;AsOfDate," (future)",IF(AU33=AV33,"",IF(AV33="None"," - STOPPED accruing",IF(AU33="None"," - commencement for Bonus Leave"," - pathway changed")))))))</f>
        <v/>
      </c>
      <c r="R33" s="16" t="str">
        <f aca="false">IF(AK33=0,"",IF(AW33="None",IF(O33&gt;0,"No longer accruing","Not eligible - "&amp;IF(AND(OR(ISNUMBER(SEARCH("part",$C33)),UPPER(TRIM($C33))="PT",UPPER(TRIM($C33))="PTE"),Apply2026="No"),"part-time (scheme is full-time only)",IF(AND(OR(ISNUMBER(SEARCH("part",$C33)),UPPER(TRIM($C33))="PT",UPPER(TRIM($C33))="PTE"),$P33&lt;&gt;"",N($P33)&lt;PT_MinHours),"under "&amp;PT_MinHours&amp;" hrs",IF(IF($C33="","",IF(OR(ISNUMBER(SEARCH("full",$C33)),UPPER(TRIM($C33))="FT",UPPER(TRIM($C33))="FTE"),"Full-Time",IF(OR(ISNUMBER(SEARCH("part",$C33)),UPPER(TRIM($C33))="PT",UPPER(TRIM($C33))="PTE"),"Part-Time",IF(OR(ISNUMBER(SEARCH("cas",$C33)),UPPER(TRIM($C33))="CAS"),"Casual","Unknown"))))="Unknown","type not recognised",$C33)))),IF(O33&gt;0,"Yes - Accrual Required","Not yet - from "&amp;TEXT(S33,"dd/mm/yyyy"))))</f>
        <v/>
      </c>
      <c r="S33" s="14" t="str">
        <f aca="false">IF(AK33=0,"",IF(AW33="None","",EDATE(AL33,BF33)))</f>
        <v/>
      </c>
      <c r="T33" s="17" t="str">
        <f aca="false">IF(AK33=0,"",IF(NOT(LH_Ready),"",IF($F33&gt;PFYDate,0,IF(LH_ColPeriod=0,W33-U33+V33,SUMIFS(INDEX(LH_Data,0,LH_ColAcc),INDEX(LH_Data,0,LH_ColFirst),$A33,INDEX(LH_Data,0,LH_ColSur),$B33,INDEX(LH_Data,0,LH_ColCat),BonusCat,INDEX(LH_Data,0,LH_ColPeriod),LH_OpenLabel)*UnitFactor))))</f>
        <v/>
      </c>
      <c r="U33" s="17" t="str">
        <f aca="false">IF(AK33=0,"",IF(NOT(LH_Ready),"",SUMIFS(INDEX(LH_Data,0,LH_ColAcc),INDEX(LH_Data,0,LH_ColFirst),$A33,INDEX(LH_Data,0,LH_ColSur),$B33,INDEX(LH_Data,0,LH_ColCat),BonusCat,INDEX(LH_Data,0,LH_ColStart),"&gt;="&amp;AL33)*UnitFactor))</f>
        <v/>
      </c>
      <c r="V33" s="17" t="str">
        <f aca="false">IF(AK33=0,"",IF(NOT(LH_Ready),"",SUMIFS(INDEX(LH_Data,0,LH_ColTaken),INDEX(LH_Data,0,LH_ColFirst),$A33,INDEX(LH_Data,0,LH_ColSur),$B33,INDEX(LH_Data,0,LH_ColCat),BonusCat,INDEX(LH_Data,0,LH_ColStart),"&gt;="&amp;AL33)*UnitFactor))</f>
        <v/>
      </c>
      <c r="W33" s="17" t="str">
        <f aca="false">IF(AK33=0,"",IF(NOT(LH_Ready),"",IF(BH33=0,0,INDEX(INDEX(LH_Data,0,LH_ColClose),BH33-1)*UnitFactor)))</f>
        <v/>
      </c>
      <c r="X33" s="17" t="str">
        <f aca="false">IF(AK33=0,"",(MAX(0,BD33-BQ33)-MAX(0,BE33-BQ33))*HoursPerDay)</f>
        <v/>
      </c>
      <c r="Y33" s="17" t="str">
        <f aca="false">IF(AK33=0,"",IF(NOT(LH_Ready),"",IF($AI33="Yes",N(AE33)*HoursPerDay-SUMIFS(INDEX(LH_Data,0,LH_ColAcc),INDEX(LH_Data,0,LH_ColFirst),$A33,INDEX(LH_Data,0,LH_ColSur),$B33,INDEX(LH_Data,0,LH_ColCat),BonusCat,INDEX(LH_Data,0,LH_ColStart),"&gt;="&amp;(EOMONTH(AsOfDate,-1)+1),INDEX(LH_Data,0,LH_ColStart),"&lt;="&amp;AsOfDate)*UnitFactor,IF(BG33=0,N33,N33-N(T33)-N(U33)))))</f>
        <v/>
      </c>
      <c r="Z33" s="16" t="str">
        <f aca="false">IF(OR(AK33=0,Y33=""),"",IF(Y33&gt;0,"Yes","No"))</f>
        <v/>
      </c>
      <c r="AA33" s="16" t="str">
        <f aca="false">IF(AK33=0,IF(LEN($A33&amp;$B33)=0,"","FIX INPUT - StartDate missing"),IF(AD33&lt;&gt;"","FIX INPUT - "&amp;AD33,IF(NOT(LH_Ready),"Paste Leave History export (Settings must show YES)",IF(AND($AI33="Yes",Y33&lt;=0),"OK - EH balance accepted to date"&amp;IF(N(AH33)&gt;0," (EH holds "&amp;AH33&amp;" hrs over the scheme)","")&amp;"; next day "&amp;TEXT(S33,"dd mmm yy")&amp;IF(N(AE33)&gt;0," ("&amp;AE33&amp;" day(s) for "&amp;UPPER(TEXT(AsOfDate,"mmm yyyy"))&amp;" already in EH)",""),IF(Y33&gt;0,"ACCRUE "&amp;ROUND(Y33,2)&amp;" hrs ("&amp;ROUND(Y33/HoursPerDay,2)&amp;" days): "&amp;IF(N(AE33)&gt;0,AE33&amp;" day(s) for "&amp;UPPER(TEXT(AsOfDate,"mmm yyyy"))&amp;" (milestone "&amp;UPPER(TEXT(AF33,"dd mmm yy"))&amp;")"&amp;IF(Y33/HoursPerDay&gt;AE33+0.001," + "&amp;ROUND(Y33/HoursPerDay-AE33,2)&amp;" day(s) catch-up from earlier months",""),"all catch-up from earlier months, nothing new this month")&amp;IF(BG33=0,"; no Bonus Leave in EH yet",""),IF(Y33&lt;0,"CHECK - EH accrued "&amp;ROUND(-Y33,2)&amp;" hrs more than policy since commencement",IF(N(W33)&gt;O33*HoursPerDay+0.01,"CHECK - EH balance "&amp;ROUND(W33-O33*HoursPerDay,2)&amp;" hrs more than policy entitlement",IF(O33&gt;0,"OK - nothing to add"&amp;IF(N(AE33)&gt;0," ("&amp;AE33&amp;" day(s) for "&amp;UPPER(TEXT(AsOfDate,"mmm yyyy"))&amp;" already in EH)",""),IF(AW33="None",R33,"Not yet - first day on "&amp;TEXT(S33,"dd/mm/yyyy"))))))))))</f>
        <v/>
      </c>
      <c r="AB33" s="17" t="str">
        <f aca="false">IF(OR(AK33=0,T33=""),"",MAX(0,BE33-BQ33)*HoursPerDay-T33)</f>
        <v/>
      </c>
      <c r="AC33" s="16" t="str">
        <f aca="false">IF(AK33=0,"",BG33)</f>
        <v/>
      </c>
      <c r="AD33" s="16" t="str">
        <f aca="false">IF(AK33=0,"",TRIM(IF(OR(ISTEXT($F33),ISTEXT($H33),ISTEXT($I33),ISTEXT($G33),ISTEXT($J33),ISTEXT($D33)),"A date is typed as text - retype it as dd/mm/yyyy. ","")&amp;IF(IF($C33="","",IF(OR(ISNUMBER(SEARCH("full",$C33)),UPPER(TRIM($C33))="FT",UPPER(TRIM($C33))="FTE"),"Full-Time",IF(OR(ISNUMBER(SEARCH("part",$C33)),UPPER(TRIM($C33))="PT",UPPER(TRIM($C33))="PTE"),"Part-Time",IF(OR(ISNUMBER(SEARCH("cas",$C33)),UPPER(TRIM($C33))="CAS"),"Casual","Unknown"))))="Unknown","EmploymentType not recognised - use Full-Time, Part-Time or Casual. ","")&amp;IF(AND(AM33&gt;=1,IF(AM33&gt;=3,AS33,IF(AM33=2,AR33,AQ33))&lt;&gt;IF($C33="","",IF(OR(ISNUMBER(SEARCH("full",$C33)),UPPER(TRIM($C33))="FT",UPPER(TRIM($C33))="FTE"),"Full-Time",IF(OR(ISNUMBER(SEARCH("part",$C33)),UPPER(TRIM($C33))="PT",UPPER(TRIM($C33))="PTE"),"Part-Time",IF(OR(ISNUMBER(SEARCH("cas",$C33)),UPPER(TRIM($C33))="CAS"),"Casual","Unknown"))))),"EmploymentType does not match latest start date ("&amp;IF(AM33&gt;=3,AS33,IF(AM33=2,AR33,AQ33))&amp;"). ","")&amp;IF(AND(AM33&gt;=1,AN33&lt;&gt;$F33),"Earliest type date should equal StartDate. ","")&amp;IF(AND(AM33&gt;=2,AN33=AO33),"Two types start on the same date. ","")&amp;IF(AND(OR(ISNUMBER(SEARCH("part",$C33)),UPPER(TRIM($C33))="PT",UPPER(TRIM($C33))="PTE"),$P33=""),"Part-time: enter PT Hrs/Week (blank = 24+). ","")))</f>
        <v/>
      </c>
      <c r="AE33" s="17" t="str">
        <f aca="false">IF(AK33=0,"",O33-MAX(0,BL33-BQ33))</f>
        <v/>
      </c>
      <c r="AF33" s="14" t="str">
        <f aca="false">IF(OR(AK33=0,AE33="",N(AE33)=0,BM33=""),"",EDATE(AL33,BM33))</f>
        <v/>
      </c>
      <c r="AG33" s="17" t="str">
        <f aca="false">IF(AK33=0,"",MIN(BD33,BQ33))</f>
        <v/>
      </c>
      <c r="AH33" s="17" t="str">
        <f aca="false">IF(AK33=0,"",IF(NOT(LH_Ready),"",IF(BG33=0,0,MAX(0,ROUND(N(T33)+N(U33)-N33,2)))))</f>
        <v/>
      </c>
      <c r="AI33" s="12"/>
      <c r="AJ33" s="12"/>
      <c r="AK33" s="16" t="n">
        <f aca="false">IF(OR(LEN($A33&amp;$B33)=0,$F33=""),0,1)</f>
        <v>0</v>
      </c>
      <c r="AL33" s="14" t="str">
        <f aca="false">IF(AK33=0,"",IF(PreSchemeCounts="No",MAX(SchemeStart,IF($J33&lt;&gt;"",$J33,IF(OR(CasualCounts="Yes",COUNT($G33:$I33)=0),$F33,IF(Apply2026="No",IF($I33="",$F33,$I33),IF(COUNT($H33:$I33)=0,$F33,MIN($H33:$I33)))))),IF($J33&lt;&gt;"",$J33,IF(OR(CasualCounts="Yes",COUNT($G33:$I33)=0),$F33,IF(Apply2026="No",IF($I33="",$F33,$I33),IF(COUNT($H33:$I33)=0,$F33,MIN($H33:$I33)))))))</f>
        <v/>
      </c>
      <c r="AM33" s="16" t="str">
        <f aca="false">IF(AK33=0,"",COUNT($G33:$I33))</f>
        <v/>
      </c>
      <c r="AN33" s="14" t="str">
        <f aca="false">IF(AK33=0,"",IFERROR(SMALL($G33:$I33,1),""))</f>
        <v/>
      </c>
      <c r="AO33" s="14" t="str">
        <f aca="false">IF(AK33=0,"",IFERROR(SMALL($G33:$I33,2),""))</f>
        <v/>
      </c>
      <c r="AP33" s="14" t="str">
        <f aca="false">IF(AK33=0,"",IFERROR(SMALL($G33:$I33,3),""))</f>
        <v/>
      </c>
      <c r="AQ33" s="16" t="str">
        <f aca="false">IF(AK33=0,"",IF(AN33="","",IF(AN33=$H33,"Part-Time",IF(AN33=$I33,"Full-Time","Casual"))))</f>
        <v/>
      </c>
      <c r="AR33" s="16" t="str">
        <f aca="false">IF(AK33=0,"",IF(AO33="","",IF(AO33=$H33,"Part-Time",IF(AO33=$I33,"Full-Time","Casual"))))</f>
        <v/>
      </c>
      <c r="AS33" s="16" t="str">
        <f aca="false">IF(AK33=0,"",IF(AP33="","",IF(AP33=$H33,"Part-Time",IF(AP33=$I33,"Full-Time","Casual"))))</f>
        <v/>
      </c>
      <c r="AT33" s="16" t="str">
        <f aca="false">IF(AK33=0,"",IF(AM33=0,IF(OR(ISNUMBER(SEARCH("full",$C33)),UPPER(TRIM($C33))="FT",UPPER(TRIM($C33))="FTE"),"FT",IF(AND(OR(ISNUMBER(SEARCH("part",$C33)),UPPER(TRIM($C33))="PT",UPPER(TRIM($C33))="PTE"),Apply2026="Yes",OR($P33="",N($P33)&gt;=PT_MinHours)),"PT","None")),IF(OR(ISNUMBER(SEARCH("full",AQ33)),UPPER(TRIM(AQ33))="FT",UPPER(TRIM(AQ33))="FTE"),"FT",IF(AND(OR(ISNUMBER(SEARCH("part",AQ33)),UPPER(TRIM(AQ33))="PT",UPPER(TRIM(AQ33))="PTE"),Apply2026="Yes",OR($P33="",N($P33)&gt;=PT_MinHours)),"PT","None"))))</f>
        <v/>
      </c>
      <c r="AU33" s="16" t="str">
        <f aca="false">IF(AK33=0,"",IF(AM33&lt;2,"",IF(OR(ISNUMBER(SEARCH("full",AR33)),UPPER(TRIM(AR33))="FT",UPPER(TRIM(AR33))="FTE"),"FT",IF(AND(OR(ISNUMBER(SEARCH("part",AR33)),UPPER(TRIM(AR33))="PT",UPPER(TRIM(AR33))="PTE"),Apply2026="Yes",OR($P33="",N($P33)&gt;=PT_MinHours)),"PT","None"))))</f>
        <v/>
      </c>
      <c r="AV33" s="16" t="str">
        <f aca="false">IF(AK33=0,"",IF(AM33&lt;3,"",IF(OR(ISNUMBER(SEARCH("full",AS33)),UPPER(TRIM(AS33))="FT",UPPER(TRIM(AS33))="FTE"),"FT",IF(AND(OR(ISNUMBER(SEARCH("part",AS33)),UPPER(TRIM(AS33))="PT",UPPER(TRIM(AS33))="PTE"),Apply2026="Yes",OR($P33="",N($P33)&gt;=PT_MinHours)),"PT","None"))))</f>
        <v/>
      </c>
      <c r="AW33" s="16" t="str">
        <f aca="false">IF(AK33=0,"",IF(AND(AM33&gt;=3,AP33&lt;=AsOfDate),AV33,IF(AND(AM33&gt;=2,AO33&lt;=AsOfDate),AU33,AT33)))</f>
        <v/>
      </c>
      <c r="AX33" s="16" t="str">
        <f aca="false">IF(AK33=0,"",IF(AsOfDate&lt;AL33,-1,12*(YEAR(AsOfDate)-YEAR(AL33))+MONTH(AsOfDate)-MONTH(AL33)-IF(DAY(AsOfDate)&lt;MIN(DAY(AL33),DAY(EOMONTH(AsOfDate,0))),1,0)))</f>
        <v/>
      </c>
      <c r="AY33" s="16" t="str">
        <f aca="false">IF(AK33=0,"",IF(OR(AM33&lt;2,AO33&gt;AsOfDate),AX33,IF((AO33-1)&lt;AL33,-1,12*(YEAR((AO33-1))-YEAR(AL33))+MONTH((AO33-1))-MONTH(AL33)-IF(DAY((AO33-1))&lt;MIN(DAY(AL33),DAY(EOMONTH((AO33-1),0))),1,0))))</f>
        <v/>
      </c>
      <c r="AZ33" s="16" t="str">
        <f aca="false">IF(AK33=0,"",IF(OR(AM33&lt;3,AP33&gt;AsOfDate),AX33,IF((AP33-1)&lt;AL33,-1,12*(YEAR((AP33-1))-YEAR(AL33))+MONTH((AP33-1))-MONTH(AL33)-IF(DAY((AP33-1))&lt;MIN(DAY(AL33),DAY(EOMONTH((AP33-1),0))),1,0))))</f>
        <v/>
      </c>
      <c r="BA33" s="16" t="str">
        <f aca="false">IF(AK33=0,"",IF(PFYDate&lt;AL33,-1,12*(YEAR(PFYDate)-YEAR(AL33))+MONTH(PFYDate)-MONTH(AL33)-IF(DAY(PFYDate)&lt;MIN(DAY(AL33),DAY(EOMONTH(PFYDate,0))),1,0)))</f>
        <v/>
      </c>
      <c r="BB33" s="16" t="str">
        <f aca="false">IF(AK33=0,"",IF(OR(AM33&lt;2,AO33&gt;PFYDate),BA33,IF((AO33-1)&lt;AL33,-1,12*(YEAR((AO33-1))-YEAR(AL33))+MONTH((AO33-1))-MONTH(AL33)-IF(DAY((AO33-1))&lt;MIN(DAY(AL33),DAY(EOMONTH((AO33-1),0))),1,0))))</f>
        <v/>
      </c>
      <c r="BC33" s="16" t="str">
        <f aca="false">IF(AK33=0,"",IF(OR(AM33&lt;3,AP33&gt;PFYDate),BA33,IF((AP33-1)&lt;AL33,-1,12*(YEAR((AP33-1))-YEAR(AL33))+MONTH((AP33-1))-MONTH(AL33)-IF(DAY((AP33-1))&lt;MIN(DAY(AL33),DAY(EOMONTH((AP33-1),0))),1,0))))</f>
        <v/>
      </c>
      <c r="BD33" s="16" t="str">
        <f aca="false">IF(AK33=0,"",IF(AT33="FT",IF(AY33&lt;FT_First,0,IF(AY33&lt;FT_Y5,1+INT((AY33-FT_First)/FT_Int1),FT_PreY5+FT_PerYear*INT((AY33-FT_Y5)/12)+FT_AnnivDays+INT(MOD(AY33-FT_Y5,12)/FT_Int2)-IF(EDATE(AL33,FT_Y5)&lt;PolicyEff,FT_AnnivDays-1,0))),IF(AT33="PT",IF(AY33&lt;PT_First,0,1+INT((AY33-PT_First)/PT_Int)),0))+IF(AND(AM33&gt;=2,AO33&lt;=AsOfDate),IF(AU33="FT",IF(AZ33&lt;FT_First,0,IF(AZ33&lt;FT_Y5,1+INT((AZ33-FT_First)/FT_Int1),FT_PreY5+FT_PerYear*INT((AZ33-FT_Y5)/12)+FT_AnnivDays+INT(MOD(AZ33-FT_Y5,12)/FT_Int2)-IF(EDATE(AL33,FT_Y5)&lt;PolicyEff,FT_AnnivDays-1,0))),IF(AU33="PT",IF(AZ33&lt;PT_First,0,1+INT((AZ33-PT_First)/PT_Int)),0))-IF(AU33="FT",IF(AY33&lt;FT_First,0,IF(AY33&lt;FT_Y5,1+INT((AY33-FT_First)/FT_Int1),FT_PreY5+FT_PerYear*INT((AY33-FT_Y5)/12)+FT_AnnivDays+INT(MOD(AY33-FT_Y5,12)/FT_Int2)-IF(EDATE(AL33,FT_Y5)&lt;PolicyEff,FT_AnnivDays-1,0))),IF(AU33="PT",IF(AY33&lt;PT_First,0,1+INT((AY33-PT_First)/PT_Int)),0)),0)+IF(AND(AM33&gt;=3,AP33&lt;=AsOfDate),IF(AV33="FT",IF(AX33&lt;FT_First,0,IF(AX33&lt;FT_Y5,1+INT((AX33-FT_First)/FT_Int1),FT_PreY5+FT_PerYear*INT((AX33-FT_Y5)/12)+FT_AnnivDays+INT(MOD(AX33-FT_Y5,12)/FT_Int2)-IF(EDATE(AL33,FT_Y5)&lt;PolicyEff,FT_AnnivDays-1,0))),IF(AV33="PT",IF(AX33&lt;PT_First,0,1+INT((AX33-PT_First)/PT_Int)),0))-IF(AV33="FT",IF(AZ33&lt;FT_First,0,IF(AZ33&lt;FT_Y5,1+INT((AZ33-FT_First)/FT_Int1),FT_PreY5+FT_PerYear*INT((AZ33-FT_Y5)/12)+FT_AnnivDays+INT(MOD(AZ33-FT_Y5,12)/FT_Int2)-IF(EDATE(AL33,FT_Y5)&lt;PolicyEff,FT_AnnivDays-1,0))),IF(AV33="PT",IF(AZ33&lt;PT_First,0,1+INT((AZ33-PT_First)/PT_Int)),0)),0))</f>
        <v/>
      </c>
      <c r="BE33" s="16" t="str">
        <f aca="false">IF(AK33=0,"",IF(AT33="FT",IF(BB33&lt;FT_First,0,IF(BB33&lt;FT_Y5,1+INT((BB33-FT_First)/FT_Int1),FT_PreY5+FT_PerYear*INT((BB33-FT_Y5)/12)+FT_AnnivDays+INT(MOD(BB33-FT_Y5,12)/FT_Int2)-IF(EDATE(AL33,FT_Y5)&lt;PolicyEff,FT_AnnivDays-1,0))),IF(AT33="PT",IF(BB33&lt;PT_First,0,1+INT((BB33-PT_First)/PT_Int)),0))+IF(AND(AM33&gt;=2,AO33&lt;=PFYDate),IF(AU33="FT",IF(BC33&lt;FT_First,0,IF(BC33&lt;FT_Y5,1+INT((BC33-FT_First)/FT_Int1),FT_PreY5+FT_PerYear*INT((BC33-FT_Y5)/12)+FT_AnnivDays+INT(MOD(BC33-FT_Y5,12)/FT_Int2)-IF(EDATE(AL33,FT_Y5)&lt;PolicyEff,FT_AnnivDays-1,0))),IF(AU33="PT",IF(BC33&lt;PT_First,0,1+INT((BC33-PT_First)/PT_Int)),0))-IF(AU33="FT",IF(BB33&lt;FT_First,0,IF(BB33&lt;FT_Y5,1+INT((BB33-FT_First)/FT_Int1),FT_PreY5+FT_PerYear*INT((BB33-FT_Y5)/12)+FT_AnnivDays+INT(MOD(BB33-FT_Y5,12)/FT_Int2)-IF(EDATE(AL33,FT_Y5)&lt;PolicyEff,FT_AnnivDays-1,0))),IF(AU33="PT",IF(BB33&lt;PT_First,0,1+INT((BB33-PT_First)/PT_Int)),0)),0)+IF(AND(AM33&gt;=3,AP33&lt;=PFYDate),IF(AV33="FT",IF(BA33&lt;FT_First,0,IF(BA33&lt;FT_Y5,1+INT((BA33-FT_First)/FT_Int1),FT_PreY5+FT_PerYear*INT((BA33-FT_Y5)/12)+FT_AnnivDays+INT(MOD(BA33-FT_Y5,12)/FT_Int2)-IF(EDATE(AL33,FT_Y5)&lt;PolicyEff,FT_AnnivDays-1,0))),IF(AV33="PT",IF(BA33&lt;PT_First,0,1+INT((BA33-PT_First)/PT_Int)),0))-IF(AV33="FT",IF(BC33&lt;FT_First,0,IF(BC33&lt;FT_Y5,1+INT((BC33-FT_First)/FT_Int1),FT_PreY5+FT_PerYear*INT((BC33-FT_Y5)/12)+FT_AnnivDays+INT(MOD(BC33-FT_Y5,12)/FT_Int2)-IF(EDATE(AL33,FT_Y5)&lt;PolicyEff,FT_AnnivDays-1,0))),IF(AV33="PT",IF(BC33&lt;PT_First,0,1+INT((BC33-PT_First)/PT_Int)),0)),0))</f>
        <v/>
      </c>
      <c r="BF33" s="16" t="str">
        <f aca="false">IF(AK33=0,"",IF(AW33="FT",IF(AX33&lt;FT_First,FT_First,IF(AX33&lt;FT_Y5,MIN(FT_Y5,FT_First+FT_Int1*(INT((AX33-FT_First)/FT_Int1)+1)),FT_Y5+12*INT((AX33-FT_Y5)/12)+FT_Int2*(INT(MOD(AX33-FT_Y5,12)/FT_Int2)+1))),IF(AW33="PT",IF(AX33&lt;PT_First,PT_First,PT_First+PT_Int*(INT((AX33-PT_First)/PT_Int)+1)),"")))</f>
        <v/>
      </c>
      <c r="BG33" s="16" t="str">
        <f aca="false">IF(AK33=0,"",IF(NOT(LH_Ready),0,COUNTIFS(INDEX(LH_Data,0,LH_ColFirst),$A33,INDEX(LH_Data,0,LH_ColSur),$B33,INDEX(LH_Data,0,LH_ColCat),BonusCat)))</f>
        <v/>
      </c>
      <c r="BH33" s="16" t="str">
        <f aca="false">IF(AK33=0,"",IF(OR(NOT(LH_Ready),BG33=0),0,SUMPRODUCT(MAX((INDEX(LH_Data,0,LH_ColFirst)=$A33)*(INDEX(LH_Data,0,LH_ColSur)=$B33)*(INDEX(LH_Data,0,LH_ColCat)=BonusCat)*ROW(LH_Data)))))</f>
        <v/>
      </c>
      <c r="BI33" s="16" t="str">
        <f aca="false">IF(AK33=0,"",IF(EOMONTH(AsOfDate,-1)&lt;AL33,-1,12*(YEAR(EOMONTH(AsOfDate,-1))-YEAR(AL33))+MONTH(EOMONTH(AsOfDate,-1))-MONTH(AL33)-IF(DAY(EOMONTH(AsOfDate,-1))&lt;MIN(DAY(AL33),DAY(EOMONTH(EOMONTH(AsOfDate,-1),0))),1,0)))</f>
        <v/>
      </c>
      <c r="BJ33" s="16" t="str">
        <f aca="false">IF(AK33=0,"",IF(OR(AM33&lt;2,AO33&gt;EOMONTH(AsOfDate,-1)),BI33,IF((AO33-1)&lt;AL33,-1,12*(YEAR((AO33-1))-YEAR(AL33))+MONTH((AO33-1))-MONTH(AL33)-IF(DAY((AO33-1))&lt;MIN(DAY(AL33),DAY(EOMONTH((AO33-1),0))),1,0))))</f>
        <v/>
      </c>
      <c r="BK33" s="16" t="str">
        <f aca="false">IF(AK33=0,"",IF(OR(AM33&lt;3,AP33&gt;EOMONTH(AsOfDate,-1)),BI33,IF((AP33-1)&lt;AL33,-1,12*(YEAR((AP33-1))-YEAR(AL33))+MONTH((AP33-1))-MONTH(AL33)-IF(DAY((AP33-1))&lt;MIN(DAY(AL33),DAY(EOMONTH((AP33-1),0))),1,0))))</f>
        <v/>
      </c>
      <c r="BL33" s="16" t="str">
        <f aca="false">IF(AK33=0,"",IF(AT33="FT",IF(BJ33&lt;FT_First,0,IF(BJ33&lt;FT_Y5,1+INT((BJ33-FT_First)/FT_Int1),FT_PreY5+FT_PerYear*INT((BJ33-FT_Y5)/12)+FT_AnnivDays+INT(MOD(BJ33-FT_Y5,12)/FT_Int2)-IF(EDATE(AL33,FT_Y5)&lt;PolicyEff,FT_AnnivDays-1,0))),IF(AT33="PT",IF(BJ33&lt;PT_First,0,1+INT((BJ33-PT_First)/PT_Int)),0))+IF(AND(AM33&gt;=2,AO33&lt;=EOMONTH(AsOfDate,-1)),IF(AU33="FT",IF(BK33&lt;FT_First,0,IF(BK33&lt;FT_Y5,1+INT((BK33-FT_First)/FT_Int1),FT_PreY5+FT_PerYear*INT((BK33-FT_Y5)/12)+FT_AnnivDays+INT(MOD(BK33-FT_Y5,12)/FT_Int2)-IF(EDATE(AL33,FT_Y5)&lt;PolicyEff,FT_AnnivDays-1,0))),IF(AU33="PT",IF(BK33&lt;PT_First,0,1+INT((BK33-PT_First)/PT_Int)),0))-IF(AU33="FT",IF(BJ33&lt;FT_First,0,IF(BJ33&lt;FT_Y5,1+INT((BJ33-FT_First)/FT_Int1),FT_PreY5+FT_PerYear*INT((BJ33-FT_Y5)/12)+FT_AnnivDays+INT(MOD(BJ33-FT_Y5,12)/FT_Int2)-IF(EDATE(AL33,FT_Y5)&lt;PolicyEff,FT_AnnivDays-1,0))),IF(AU33="PT",IF(BJ33&lt;PT_First,0,1+INT((BJ33-PT_First)/PT_Int)),0)),0)+IF(AND(AM33&gt;=3,AP33&lt;=EOMONTH(AsOfDate,-1)),IF(AV33="FT",IF(BI33&lt;FT_First,0,IF(BI33&lt;FT_Y5,1+INT((BI33-FT_First)/FT_Int1),FT_PreY5+FT_PerYear*INT((BI33-FT_Y5)/12)+FT_AnnivDays+INT(MOD(BI33-FT_Y5,12)/FT_Int2)-IF(EDATE(AL33,FT_Y5)&lt;PolicyEff,FT_AnnivDays-1,0))),IF(AV33="PT",IF(BI33&lt;PT_First,0,1+INT((BI33-PT_First)/PT_Int)),0))-IF(AV33="FT",IF(BK33&lt;FT_First,0,IF(BK33&lt;FT_Y5,1+INT((BK33-FT_First)/FT_Int1),FT_PreY5+FT_PerYear*INT((BK33-FT_Y5)/12)+FT_AnnivDays+INT(MOD(BK33-FT_Y5,12)/FT_Int2)-IF(EDATE(AL33,FT_Y5)&lt;PolicyEff,FT_AnnivDays-1,0))),IF(AV33="PT",IF(BK33&lt;PT_First,0,1+INT((BK33-PT_First)/PT_Int)),0)),0))</f>
        <v/>
      </c>
      <c r="BM33" s="16" t="str">
        <f aca="false">IF(AK33=0,"",IF(AW33="FT",IF(AX33&lt;FT_First,"",IF(AX33&lt;FT_Y5,FT_First+FT_Int1*INT((AX33-FT_First)/FT_Int1),FT_Y5+FT_Int2*INT((AX33-FT_Y5)/FT_Int2))),IF(AW33="PT",IF(AX33&lt;PT_First,"",PT_First+PT_Int*INT((AX33-PT_First)/PT_Int)),"")))</f>
        <v/>
      </c>
      <c r="BN33" s="16" t="str">
        <f aca="false">IF(AK33=0,"",IF((SchemeStart-1)&lt;AL33,-1,12*(YEAR((SchemeStart-1))-YEAR(AL33))+MONTH((SchemeStart-1))-MONTH(AL33)-IF(DAY((SchemeStart-1))&lt;MIN(DAY(AL33),DAY(EOMONTH((SchemeStart-1),0))),1,0)))</f>
        <v/>
      </c>
      <c r="BO33" s="16" t="str">
        <f aca="false">IF(AK33=0,"",IF(OR(AM33&lt;2,AO33&gt;(SchemeStart-1)),BN33,IF((AO33-1)&lt;AL33,-1,12*(YEAR((AO33-1))-YEAR(AL33))+MONTH((AO33-1))-MONTH(AL33)-IF(DAY((AO33-1))&lt;MIN(DAY(AL33),DAY(EOMONTH((AO33-1),0))),1,0))))</f>
        <v/>
      </c>
      <c r="BP33" s="16" t="str">
        <f aca="false">IF(AK33=0,"",IF(OR(AM33&lt;3,AP33&gt;(SchemeStart-1)),BN33,IF((AP33-1)&lt;AL33,-1,12*(YEAR((AP33-1))-YEAR(AL33))+MONTH((AP33-1))-MONTH(AL33)-IF(DAY((AP33-1))&lt;MIN(DAY(AL33),DAY(EOMONTH((AP33-1),0))),1,0))))</f>
        <v/>
      </c>
      <c r="BQ33" s="16" t="str">
        <f aca="false">IF(AK33=0,"",IF(AT33="FT",IF(BO33&lt;FT_First,0,IF(BO33&lt;FT_Y5,1+INT((BO33-FT_First)/FT_Int1),FT_PreY5+FT_PerYear*INT((BO33-FT_Y5)/12)+FT_AnnivDays+INT(MOD(BO33-FT_Y5,12)/FT_Int2)-IF(EDATE(AL33,FT_Y5)&lt;PolicyEff,FT_AnnivDays-1,0))),IF(AT33="PT",IF(BO33&lt;PT_First,0,1+INT((BO33-PT_First)/PT_Int)),0))+IF(AND(AM33&gt;=2,AO33&lt;=(SchemeStart-1)),IF(AU33="FT",IF(BP33&lt;FT_First,0,IF(BP33&lt;FT_Y5,1+INT((BP33-FT_First)/FT_Int1),FT_PreY5+FT_PerYear*INT((BP33-FT_Y5)/12)+FT_AnnivDays+INT(MOD(BP33-FT_Y5,12)/FT_Int2)-IF(EDATE(AL33,FT_Y5)&lt;PolicyEff,FT_AnnivDays-1,0))),IF(AU33="PT",IF(BP33&lt;PT_First,0,1+INT((BP33-PT_First)/PT_Int)),0))-IF(AU33="FT",IF(BO33&lt;FT_First,0,IF(BO33&lt;FT_Y5,1+INT((BO33-FT_First)/FT_Int1),FT_PreY5+FT_PerYear*INT((BO33-FT_Y5)/12)+FT_AnnivDays+INT(MOD(BO33-FT_Y5,12)/FT_Int2)-IF(EDATE(AL33,FT_Y5)&lt;PolicyEff,FT_AnnivDays-1,0))),IF(AU33="PT",IF(BO33&lt;PT_First,0,1+INT((BO33-PT_First)/PT_Int)),0)),0)+IF(AND(AM33&gt;=3,AP33&lt;=(SchemeStart-1)),IF(AV33="FT",IF(BN33&lt;FT_First,0,IF(BN33&lt;FT_Y5,1+INT((BN33-FT_First)/FT_Int1),FT_PreY5+FT_PerYear*INT((BN33-FT_Y5)/12)+FT_AnnivDays+INT(MOD(BN33-FT_Y5,12)/FT_Int2)-IF(EDATE(AL33,FT_Y5)&lt;PolicyEff,FT_AnnivDays-1,0))),IF(AV33="PT",IF(BN33&lt;PT_First,0,1+INT((BN33-PT_First)/PT_Int)),0))-IF(AV33="FT",IF(BP33&lt;FT_First,0,IF(BP33&lt;FT_Y5,1+INT((BP33-FT_First)/FT_Int1),FT_PreY5+FT_PerYear*INT((BP33-FT_Y5)/12)+FT_AnnivDays+INT(MOD(BP33-FT_Y5,12)/FT_Int2)-IF(EDATE(AL33,FT_Y5)&lt;PolicyEff,FT_AnnivDays-1,0))),IF(AV33="PT",IF(BP33&lt;PT_First,0,1+INT((BP33-PT_First)/PT_Int)),0)),0))</f>
        <v/>
      </c>
      <c r="BR33" s="0" t="str">
        <f aca="false">IF(LEN($A33&amp;$B33)=0,"",$A33&amp;" "&amp;$B33)</f>
        <v/>
      </c>
    </row>
    <row r="34" customFormat="false" ht="15" hidden="false" customHeight="false" outlineLevel="0" collapsed="false">
      <c r="A34" s="12"/>
      <c r="B34" s="12"/>
      <c r="C34" s="12"/>
      <c r="D34" s="13"/>
      <c r="E34" s="14" t="str">
        <f aca="false">IF(OR(AK34=0,$D34=""),"",DATE(YEAR(AsOfDate)+IF(DATE(YEAR(AsOfDate),MONTH($D34),DAY($D34))&lt;=AsOfDate,1,0),MONTH($D34),DAY($D34)))</f>
        <v/>
      </c>
      <c r="F34" s="13"/>
      <c r="G34" s="13"/>
      <c r="H34" s="13"/>
      <c r="I34" s="13"/>
      <c r="J34" s="13"/>
      <c r="K34" s="14" t="str">
        <f aca="false">IF(AK34=0,"",DATE(YEAR(AsOfDate)+IF(DATE(YEAR(AsOfDate),MONTH(AL34),DAY(AL34))&lt;=AsOfDate,1,0),MONTH(AL34),DAY(AL34)))</f>
        <v/>
      </c>
      <c r="L34" s="15" t="str">
        <f aca="false">IF(AK34=0,"",ROUND((AsOfDate-AL34)/365.25,1))</f>
        <v/>
      </c>
      <c r="M34" s="16" t="str">
        <f aca="false">IF(AK34=0,"",IF(AsOfDate&lt;AL34,"-",DATEDIF(AL34,AsOfDate,"y")&amp;"y "&amp;DATEDIF(AL34,AsOfDate,"ym")&amp;"m "&amp;DATEDIF(AL34,AsOfDate,"md")&amp;"d"))</f>
        <v/>
      </c>
      <c r="N34" s="17" t="str">
        <f aca="false">IF(AK34=0,"",O34*HoursPerDay)</f>
        <v/>
      </c>
      <c r="O34" s="17" t="str">
        <f aca="false">IF(AK34=0,"",MAX(0,BD34-BQ34))</f>
        <v/>
      </c>
      <c r="P34" s="18"/>
      <c r="Q34" s="16" t="str">
        <f aca="false">IF(AK34=0,"",IF(AM34&lt;2,"",AQ34&amp;" to "&amp;AR34&amp;" on "&amp;TEXT(AO34,"dd/mm/yyyy")&amp;IF(AO34&gt;AsOfDate," (future)",IF(AT34=AU34,"",IF(AU34="None"," - STOPPED accruing",IF(AT34="None"," - commencement for Bonus Leave"," - pathway changed"))))&amp;IF(AM34&lt;3,"","; "&amp;AR34&amp;" to "&amp;AS34&amp;" on "&amp;TEXT(AP34,"dd/mm/yyyy")&amp;IF(AP34&gt;AsOfDate," (future)",IF(AU34=AV34,"",IF(AV34="None"," - STOPPED accruing",IF(AU34="None"," - commencement for Bonus Leave"," - pathway changed")))))))</f>
        <v/>
      </c>
      <c r="R34" s="16" t="str">
        <f aca="false">IF(AK34=0,"",IF(AW34="None",IF(O34&gt;0,"No longer accruing","Not eligible - "&amp;IF(AND(OR(ISNUMBER(SEARCH("part",$C34)),UPPER(TRIM($C34))="PT",UPPER(TRIM($C34))="PTE"),Apply2026="No"),"part-time (scheme is full-time only)",IF(AND(OR(ISNUMBER(SEARCH("part",$C34)),UPPER(TRIM($C34))="PT",UPPER(TRIM($C34))="PTE"),$P34&lt;&gt;"",N($P34)&lt;PT_MinHours),"under "&amp;PT_MinHours&amp;" hrs",IF(IF($C34="","",IF(OR(ISNUMBER(SEARCH("full",$C34)),UPPER(TRIM($C34))="FT",UPPER(TRIM($C34))="FTE"),"Full-Time",IF(OR(ISNUMBER(SEARCH("part",$C34)),UPPER(TRIM($C34))="PT",UPPER(TRIM($C34))="PTE"),"Part-Time",IF(OR(ISNUMBER(SEARCH("cas",$C34)),UPPER(TRIM($C34))="CAS"),"Casual","Unknown"))))="Unknown","type not recognised",$C34)))),IF(O34&gt;0,"Yes - Accrual Required","Not yet - from "&amp;TEXT(S34,"dd/mm/yyyy"))))</f>
        <v/>
      </c>
      <c r="S34" s="14" t="str">
        <f aca="false">IF(AK34=0,"",IF(AW34="None","",EDATE(AL34,BF34)))</f>
        <v/>
      </c>
      <c r="T34" s="17" t="str">
        <f aca="false">IF(AK34=0,"",IF(NOT(LH_Ready),"",IF($F34&gt;PFYDate,0,IF(LH_ColPeriod=0,W34-U34+V34,SUMIFS(INDEX(LH_Data,0,LH_ColAcc),INDEX(LH_Data,0,LH_ColFirst),$A34,INDEX(LH_Data,0,LH_ColSur),$B34,INDEX(LH_Data,0,LH_ColCat),BonusCat,INDEX(LH_Data,0,LH_ColPeriod),LH_OpenLabel)*UnitFactor))))</f>
        <v/>
      </c>
      <c r="U34" s="17" t="str">
        <f aca="false">IF(AK34=0,"",IF(NOT(LH_Ready),"",SUMIFS(INDEX(LH_Data,0,LH_ColAcc),INDEX(LH_Data,0,LH_ColFirst),$A34,INDEX(LH_Data,0,LH_ColSur),$B34,INDEX(LH_Data,0,LH_ColCat),BonusCat,INDEX(LH_Data,0,LH_ColStart),"&gt;="&amp;AL34)*UnitFactor))</f>
        <v/>
      </c>
      <c r="V34" s="17" t="str">
        <f aca="false">IF(AK34=0,"",IF(NOT(LH_Ready),"",SUMIFS(INDEX(LH_Data,0,LH_ColTaken),INDEX(LH_Data,0,LH_ColFirst),$A34,INDEX(LH_Data,0,LH_ColSur),$B34,INDEX(LH_Data,0,LH_ColCat),BonusCat,INDEX(LH_Data,0,LH_ColStart),"&gt;="&amp;AL34)*UnitFactor))</f>
        <v/>
      </c>
      <c r="W34" s="17" t="str">
        <f aca="false">IF(AK34=0,"",IF(NOT(LH_Ready),"",IF(BH34=0,0,INDEX(INDEX(LH_Data,0,LH_ColClose),BH34-1)*UnitFactor)))</f>
        <v/>
      </c>
      <c r="X34" s="17" t="str">
        <f aca="false">IF(AK34=0,"",(MAX(0,BD34-BQ34)-MAX(0,BE34-BQ34))*HoursPerDay)</f>
        <v/>
      </c>
      <c r="Y34" s="17" t="str">
        <f aca="false">IF(AK34=0,"",IF(NOT(LH_Ready),"",IF($AI34="Yes",N(AE34)*HoursPerDay-SUMIFS(INDEX(LH_Data,0,LH_ColAcc),INDEX(LH_Data,0,LH_ColFirst),$A34,INDEX(LH_Data,0,LH_ColSur),$B34,INDEX(LH_Data,0,LH_ColCat),BonusCat,INDEX(LH_Data,0,LH_ColStart),"&gt;="&amp;(EOMONTH(AsOfDate,-1)+1),INDEX(LH_Data,0,LH_ColStart),"&lt;="&amp;AsOfDate)*UnitFactor,IF(BG34=0,N34,N34-N(T34)-N(U34)))))</f>
        <v/>
      </c>
      <c r="Z34" s="16" t="str">
        <f aca="false">IF(OR(AK34=0,Y34=""),"",IF(Y34&gt;0,"Yes","No"))</f>
        <v/>
      </c>
      <c r="AA34" s="16" t="str">
        <f aca="false">IF(AK34=0,IF(LEN($A34&amp;$B34)=0,"","FIX INPUT - StartDate missing"),IF(AD34&lt;&gt;"","FIX INPUT - "&amp;AD34,IF(NOT(LH_Ready),"Paste Leave History export (Settings must show YES)",IF(AND($AI34="Yes",Y34&lt;=0),"OK - EH balance accepted to date"&amp;IF(N(AH34)&gt;0," (EH holds "&amp;AH34&amp;" hrs over the scheme)","")&amp;"; next day "&amp;TEXT(S34,"dd mmm yy")&amp;IF(N(AE34)&gt;0," ("&amp;AE34&amp;" day(s) for "&amp;UPPER(TEXT(AsOfDate,"mmm yyyy"))&amp;" already in EH)",""),IF(Y34&gt;0,"ACCRUE "&amp;ROUND(Y34,2)&amp;" hrs ("&amp;ROUND(Y34/HoursPerDay,2)&amp;" days): "&amp;IF(N(AE34)&gt;0,AE34&amp;" day(s) for "&amp;UPPER(TEXT(AsOfDate,"mmm yyyy"))&amp;" (milestone "&amp;UPPER(TEXT(AF34,"dd mmm yy"))&amp;")"&amp;IF(Y34/HoursPerDay&gt;AE34+0.001," + "&amp;ROUND(Y34/HoursPerDay-AE34,2)&amp;" day(s) catch-up from earlier months",""),"all catch-up from earlier months, nothing new this month")&amp;IF(BG34=0,"; no Bonus Leave in EH yet",""),IF(Y34&lt;0,"CHECK - EH accrued "&amp;ROUND(-Y34,2)&amp;" hrs more than policy since commencement",IF(N(W34)&gt;O34*HoursPerDay+0.01,"CHECK - EH balance "&amp;ROUND(W34-O34*HoursPerDay,2)&amp;" hrs more than policy entitlement",IF(O34&gt;0,"OK - nothing to add"&amp;IF(N(AE34)&gt;0," ("&amp;AE34&amp;" day(s) for "&amp;UPPER(TEXT(AsOfDate,"mmm yyyy"))&amp;" already in EH)",""),IF(AW34="None",R34,"Not yet - first day on "&amp;TEXT(S34,"dd/mm/yyyy"))))))))))</f>
        <v/>
      </c>
      <c r="AB34" s="17" t="str">
        <f aca="false">IF(OR(AK34=0,T34=""),"",MAX(0,BE34-BQ34)*HoursPerDay-T34)</f>
        <v/>
      </c>
      <c r="AC34" s="16" t="str">
        <f aca="false">IF(AK34=0,"",BG34)</f>
        <v/>
      </c>
      <c r="AD34" s="16" t="str">
        <f aca="false">IF(AK34=0,"",TRIM(IF(OR(ISTEXT($F34),ISTEXT($H34),ISTEXT($I34),ISTEXT($G34),ISTEXT($J34),ISTEXT($D34)),"A date is typed as text - retype it as dd/mm/yyyy. ","")&amp;IF(IF($C34="","",IF(OR(ISNUMBER(SEARCH("full",$C34)),UPPER(TRIM($C34))="FT",UPPER(TRIM($C34))="FTE"),"Full-Time",IF(OR(ISNUMBER(SEARCH("part",$C34)),UPPER(TRIM($C34))="PT",UPPER(TRIM($C34))="PTE"),"Part-Time",IF(OR(ISNUMBER(SEARCH("cas",$C34)),UPPER(TRIM($C34))="CAS"),"Casual","Unknown"))))="Unknown","EmploymentType not recognised - use Full-Time, Part-Time or Casual. ","")&amp;IF(AND(AM34&gt;=1,IF(AM34&gt;=3,AS34,IF(AM34=2,AR34,AQ34))&lt;&gt;IF($C34="","",IF(OR(ISNUMBER(SEARCH("full",$C34)),UPPER(TRIM($C34))="FT",UPPER(TRIM($C34))="FTE"),"Full-Time",IF(OR(ISNUMBER(SEARCH("part",$C34)),UPPER(TRIM($C34))="PT",UPPER(TRIM($C34))="PTE"),"Part-Time",IF(OR(ISNUMBER(SEARCH("cas",$C34)),UPPER(TRIM($C34))="CAS"),"Casual","Unknown"))))),"EmploymentType does not match latest start date ("&amp;IF(AM34&gt;=3,AS34,IF(AM34=2,AR34,AQ34))&amp;"). ","")&amp;IF(AND(AM34&gt;=1,AN34&lt;&gt;$F34),"Earliest type date should equal StartDate. ","")&amp;IF(AND(AM34&gt;=2,AN34=AO34),"Two types start on the same date. ","")&amp;IF(AND(OR(ISNUMBER(SEARCH("part",$C34)),UPPER(TRIM($C34))="PT",UPPER(TRIM($C34))="PTE"),$P34=""),"Part-time: enter PT Hrs/Week (blank = 24+). ","")))</f>
        <v/>
      </c>
      <c r="AE34" s="17" t="str">
        <f aca="false">IF(AK34=0,"",O34-MAX(0,BL34-BQ34))</f>
        <v/>
      </c>
      <c r="AF34" s="14" t="str">
        <f aca="false">IF(OR(AK34=0,AE34="",N(AE34)=0,BM34=""),"",EDATE(AL34,BM34))</f>
        <v/>
      </c>
      <c r="AG34" s="17" t="str">
        <f aca="false">IF(AK34=0,"",MIN(BD34,BQ34))</f>
        <v/>
      </c>
      <c r="AH34" s="17" t="str">
        <f aca="false">IF(AK34=0,"",IF(NOT(LH_Ready),"",IF(BG34=0,0,MAX(0,ROUND(N(T34)+N(U34)-N34,2)))))</f>
        <v/>
      </c>
      <c r="AI34" s="12"/>
      <c r="AJ34" s="12"/>
      <c r="AK34" s="16" t="n">
        <f aca="false">IF(OR(LEN($A34&amp;$B34)=0,$F34=""),0,1)</f>
        <v>0</v>
      </c>
      <c r="AL34" s="14" t="str">
        <f aca="false">IF(AK34=0,"",IF(PreSchemeCounts="No",MAX(SchemeStart,IF($J34&lt;&gt;"",$J34,IF(OR(CasualCounts="Yes",COUNT($G34:$I34)=0),$F34,IF(Apply2026="No",IF($I34="",$F34,$I34),IF(COUNT($H34:$I34)=0,$F34,MIN($H34:$I34)))))),IF($J34&lt;&gt;"",$J34,IF(OR(CasualCounts="Yes",COUNT($G34:$I34)=0),$F34,IF(Apply2026="No",IF($I34="",$F34,$I34),IF(COUNT($H34:$I34)=0,$F34,MIN($H34:$I34)))))))</f>
        <v/>
      </c>
      <c r="AM34" s="16" t="str">
        <f aca="false">IF(AK34=0,"",COUNT($G34:$I34))</f>
        <v/>
      </c>
      <c r="AN34" s="14" t="str">
        <f aca="false">IF(AK34=0,"",IFERROR(SMALL($G34:$I34,1),""))</f>
        <v/>
      </c>
      <c r="AO34" s="14" t="str">
        <f aca="false">IF(AK34=0,"",IFERROR(SMALL($G34:$I34,2),""))</f>
        <v/>
      </c>
      <c r="AP34" s="14" t="str">
        <f aca="false">IF(AK34=0,"",IFERROR(SMALL($G34:$I34,3),""))</f>
        <v/>
      </c>
      <c r="AQ34" s="16" t="str">
        <f aca="false">IF(AK34=0,"",IF(AN34="","",IF(AN34=$H34,"Part-Time",IF(AN34=$I34,"Full-Time","Casual"))))</f>
        <v/>
      </c>
      <c r="AR34" s="16" t="str">
        <f aca="false">IF(AK34=0,"",IF(AO34="","",IF(AO34=$H34,"Part-Time",IF(AO34=$I34,"Full-Time","Casual"))))</f>
        <v/>
      </c>
      <c r="AS34" s="16" t="str">
        <f aca="false">IF(AK34=0,"",IF(AP34="","",IF(AP34=$H34,"Part-Time",IF(AP34=$I34,"Full-Time","Casual"))))</f>
        <v/>
      </c>
      <c r="AT34" s="16" t="str">
        <f aca="false">IF(AK34=0,"",IF(AM34=0,IF(OR(ISNUMBER(SEARCH("full",$C34)),UPPER(TRIM($C34))="FT",UPPER(TRIM($C34))="FTE"),"FT",IF(AND(OR(ISNUMBER(SEARCH("part",$C34)),UPPER(TRIM($C34))="PT",UPPER(TRIM($C34))="PTE"),Apply2026="Yes",OR($P34="",N($P34)&gt;=PT_MinHours)),"PT","None")),IF(OR(ISNUMBER(SEARCH("full",AQ34)),UPPER(TRIM(AQ34))="FT",UPPER(TRIM(AQ34))="FTE"),"FT",IF(AND(OR(ISNUMBER(SEARCH("part",AQ34)),UPPER(TRIM(AQ34))="PT",UPPER(TRIM(AQ34))="PTE"),Apply2026="Yes",OR($P34="",N($P34)&gt;=PT_MinHours)),"PT","None"))))</f>
        <v/>
      </c>
      <c r="AU34" s="16" t="str">
        <f aca="false">IF(AK34=0,"",IF(AM34&lt;2,"",IF(OR(ISNUMBER(SEARCH("full",AR34)),UPPER(TRIM(AR34))="FT",UPPER(TRIM(AR34))="FTE"),"FT",IF(AND(OR(ISNUMBER(SEARCH("part",AR34)),UPPER(TRIM(AR34))="PT",UPPER(TRIM(AR34))="PTE"),Apply2026="Yes",OR($P34="",N($P34)&gt;=PT_MinHours)),"PT","None"))))</f>
        <v/>
      </c>
      <c r="AV34" s="16" t="str">
        <f aca="false">IF(AK34=0,"",IF(AM34&lt;3,"",IF(OR(ISNUMBER(SEARCH("full",AS34)),UPPER(TRIM(AS34))="FT",UPPER(TRIM(AS34))="FTE"),"FT",IF(AND(OR(ISNUMBER(SEARCH("part",AS34)),UPPER(TRIM(AS34))="PT",UPPER(TRIM(AS34))="PTE"),Apply2026="Yes",OR($P34="",N($P34)&gt;=PT_MinHours)),"PT","None"))))</f>
        <v/>
      </c>
      <c r="AW34" s="16" t="str">
        <f aca="false">IF(AK34=0,"",IF(AND(AM34&gt;=3,AP34&lt;=AsOfDate),AV34,IF(AND(AM34&gt;=2,AO34&lt;=AsOfDate),AU34,AT34)))</f>
        <v/>
      </c>
      <c r="AX34" s="16" t="str">
        <f aca="false">IF(AK34=0,"",IF(AsOfDate&lt;AL34,-1,12*(YEAR(AsOfDate)-YEAR(AL34))+MONTH(AsOfDate)-MONTH(AL34)-IF(DAY(AsOfDate)&lt;MIN(DAY(AL34),DAY(EOMONTH(AsOfDate,0))),1,0)))</f>
        <v/>
      </c>
      <c r="AY34" s="16" t="str">
        <f aca="false">IF(AK34=0,"",IF(OR(AM34&lt;2,AO34&gt;AsOfDate),AX34,IF((AO34-1)&lt;AL34,-1,12*(YEAR((AO34-1))-YEAR(AL34))+MONTH((AO34-1))-MONTH(AL34)-IF(DAY((AO34-1))&lt;MIN(DAY(AL34),DAY(EOMONTH((AO34-1),0))),1,0))))</f>
        <v/>
      </c>
      <c r="AZ34" s="16" t="str">
        <f aca="false">IF(AK34=0,"",IF(OR(AM34&lt;3,AP34&gt;AsOfDate),AX34,IF((AP34-1)&lt;AL34,-1,12*(YEAR((AP34-1))-YEAR(AL34))+MONTH((AP34-1))-MONTH(AL34)-IF(DAY((AP34-1))&lt;MIN(DAY(AL34),DAY(EOMONTH((AP34-1),0))),1,0))))</f>
        <v/>
      </c>
      <c r="BA34" s="16" t="str">
        <f aca="false">IF(AK34=0,"",IF(PFYDate&lt;AL34,-1,12*(YEAR(PFYDate)-YEAR(AL34))+MONTH(PFYDate)-MONTH(AL34)-IF(DAY(PFYDate)&lt;MIN(DAY(AL34),DAY(EOMONTH(PFYDate,0))),1,0)))</f>
        <v/>
      </c>
      <c r="BB34" s="16" t="str">
        <f aca="false">IF(AK34=0,"",IF(OR(AM34&lt;2,AO34&gt;PFYDate),BA34,IF((AO34-1)&lt;AL34,-1,12*(YEAR((AO34-1))-YEAR(AL34))+MONTH((AO34-1))-MONTH(AL34)-IF(DAY((AO34-1))&lt;MIN(DAY(AL34),DAY(EOMONTH((AO34-1),0))),1,0))))</f>
        <v/>
      </c>
      <c r="BC34" s="16" t="str">
        <f aca="false">IF(AK34=0,"",IF(OR(AM34&lt;3,AP34&gt;PFYDate),BA34,IF((AP34-1)&lt;AL34,-1,12*(YEAR((AP34-1))-YEAR(AL34))+MONTH((AP34-1))-MONTH(AL34)-IF(DAY((AP34-1))&lt;MIN(DAY(AL34),DAY(EOMONTH((AP34-1),0))),1,0))))</f>
        <v/>
      </c>
      <c r="BD34" s="16" t="str">
        <f aca="false">IF(AK34=0,"",IF(AT34="FT",IF(AY34&lt;FT_First,0,IF(AY34&lt;FT_Y5,1+INT((AY34-FT_First)/FT_Int1),FT_PreY5+FT_PerYear*INT((AY34-FT_Y5)/12)+FT_AnnivDays+INT(MOD(AY34-FT_Y5,12)/FT_Int2)-IF(EDATE(AL34,FT_Y5)&lt;PolicyEff,FT_AnnivDays-1,0))),IF(AT34="PT",IF(AY34&lt;PT_First,0,1+INT((AY34-PT_First)/PT_Int)),0))+IF(AND(AM34&gt;=2,AO34&lt;=AsOfDate),IF(AU34="FT",IF(AZ34&lt;FT_First,0,IF(AZ34&lt;FT_Y5,1+INT((AZ34-FT_First)/FT_Int1),FT_PreY5+FT_PerYear*INT((AZ34-FT_Y5)/12)+FT_AnnivDays+INT(MOD(AZ34-FT_Y5,12)/FT_Int2)-IF(EDATE(AL34,FT_Y5)&lt;PolicyEff,FT_AnnivDays-1,0))),IF(AU34="PT",IF(AZ34&lt;PT_First,0,1+INT((AZ34-PT_First)/PT_Int)),0))-IF(AU34="FT",IF(AY34&lt;FT_First,0,IF(AY34&lt;FT_Y5,1+INT((AY34-FT_First)/FT_Int1),FT_PreY5+FT_PerYear*INT((AY34-FT_Y5)/12)+FT_AnnivDays+INT(MOD(AY34-FT_Y5,12)/FT_Int2)-IF(EDATE(AL34,FT_Y5)&lt;PolicyEff,FT_AnnivDays-1,0))),IF(AU34="PT",IF(AY34&lt;PT_First,0,1+INT((AY34-PT_First)/PT_Int)),0)),0)+IF(AND(AM34&gt;=3,AP34&lt;=AsOfDate),IF(AV34="FT",IF(AX34&lt;FT_First,0,IF(AX34&lt;FT_Y5,1+INT((AX34-FT_First)/FT_Int1),FT_PreY5+FT_PerYear*INT((AX34-FT_Y5)/12)+FT_AnnivDays+INT(MOD(AX34-FT_Y5,12)/FT_Int2)-IF(EDATE(AL34,FT_Y5)&lt;PolicyEff,FT_AnnivDays-1,0))),IF(AV34="PT",IF(AX34&lt;PT_First,0,1+INT((AX34-PT_First)/PT_Int)),0))-IF(AV34="FT",IF(AZ34&lt;FT_First,0,IF(AZ34&lt;FT_Y5,1+INT((AZ34-FT_First)/FT_Int1),FT_PreY5+FT_PerYear*INT((AZ34-FT_Y5)/12)+FT_AnnivDays+INT(MOD(AZ34-FT_Y5,12)/FT_Int2)-IF(EDATE(AL34,FT_Y5)&lt;PolicyEff,FT_AnnivDays-1,0))),IF(AV34="PT",IF(AZ34&lt;PT_First,0,1+INT((AZ34-PT_First)/PT_Int)),0)),0))</f>
        <v/>
      </c>
      <c r="BE34" s="16" t="str">
        <f aca="false">IF(AK34=0,"",IF(AT34="FT",IF(BB34&lt;FT_First,0,IF(BB34&lt;FT_Y5,1+INT((BB34-FT_First)/FT_Int1),FT_PreY5+FT_PerYear*INT((BB34-FT_Y5)/12)+FT_AnnivDays+INT(MOD(BB34-FT_Y5,12)/FT_Int2)-IF(EDATE(AL34,FT_Y5)&lt;PolicyEff,FT_AnnivDays-1,0))),IF(AT34="PT",IF(BB34&lt;PT_First,0,1+INT((BB34-PT_First)/PT_Int)),0))+IF(AND(AM34&gt;=2,AO34&lt;=PFYDate),IF(AU34="FT",IF(BC34&lt;FT_First,0,IF(BC34&lt;FT_Y5,1+INT((BC34-FT_First)/FT_Int1),FT_PreY5+FT_PerYear*INT((BC34-FT_Y5)/12)+FT_AnnivDays+INT(MOD(BC34-FT_Y5,12)/FT_Int2)-IF(EDATE(AL34,FT_Y5)&lt;PolicyEff,FT_AnnivDays-1,0))),IF(AU34="PT",IF(BC34&lt;PT_First,0,1+INT((BC34-PT_First)/PT_Int)),0))-IF(AU34="FT",IF(BB34&lt;FT_First,0,IF(BB34&lt;FT_Y5,1+INT((BB34-FT_First)/FT_Int1),FT_PreY5+FT_PerYear*INT((BB34-FT_Y5)/12)+FT_AnnivDays+INT(MOD(BB34-FT_Y5,12)/FT_Int2)-IF(EDATE(AL34,FT_Y5)&lt;PolicyEff,FT_AnnivDays-1,0))),IF(AU34="PT",IF(BB34&lt;PT_First,0,1+INT((BB34-PT_First)/PT_Int)),0)),0)+IF(AND(AM34&gt;=3,AP34&lt;=PFYDate),IF(AV34="FT",IF(BA34&lt;FT_First,0,IF(BA34&lt;FT_Y5,1+INT((BA34-FT_First)/FT_Int1),FT_PreY5+FT_PerYear*INT((BA34-FT_Y5)/12)+FT_AnnivDays+INT(MOD(BA34-FT_Y5,12)/FT_Int2)-IF(EDATE(AL34,FT_Y5)&lt;PolicyEff,FT_AnnivDays-1,0))),IF(AV34="PT",IF(BA34&lt;PT_First,0,1+INT((BA34-PT_First)/PT_Int)),0))-IF(AV34="FT",IF(BC34&lt;FT_First,0,IF(BC34&lt;FT_Y5,1+INT((BC34-FT_First)/FT_Int1),FT_PreY5+FT_PerYear*INT((BC34-FT_Y5)/12)+FT_AnnivDays+INT(MOD(BC34-FT_Y5,12)/FT_Int2)-IF(EDATE(AL34,FT_Y5)&lt;PolicyEff,FT_AnnivDays-1,0))),IF(AV34="PT",IF(BC34&lt;PT_First,0,1+INT((BC34-PT_First)/PT_Int)),0)),0))</f>
        <v/>
      </c>
      <c r="BF34" s="16" t="str">
        <f aca="false">IF(AK34=0,"",IF(AW34="FT",IF(AX34&lt;FT_First,FT_First,IF(AX34&lt;FT_Y5,MIN(FT_Y5,FT_First+FT_Int1*(INT((AX34-FT_First)/FT_Int1)+1)),FT_Y5+12*INT((AX34-FT_Y5)/12)+FT_Int2*(INT(MOD(AX34-FT_Y5,12)/FT_Int2)+1))),IF(AW34="PT",IF(AX34&lt;PT_First,PT_First,PT_First+PT_Int*(INT((AX34-PT_First)/PT_Int)+1)),"")))</f>
        <v/>
      </c>
      <c r="BG34" s="16" t="str">
        <f aca="false">IF(AK34=0,"",IF(NOT(LH_Ready),0,COUNTIFS(INDEX(LH_Data,0,LH_ColFirst),$A34,INDEX(LH_Data,0,LH_ColSur),$B34,INDEX(LH_Data,0,LH_ColCat),BonusCat)))</f>
        <v/>
      </c>
      <c r="BH34" s="16" t="str">
        <f aca="false">IF(AK34=0,"",IF(OR(NOT(LH_Ready),BG34=0),0,SUMPRODUCT(MAX((INDEX(LH_Data,0,LH_ColFirst)=$A34)*(INDEX(LH_Data,0,LH_ColSur)=$B34)*(INDEX(LH_Data,0,LH_ColCat)=BonusCat)*ROW(LH_Data)))))</f>
        <v/>
      </c>
      <c r="BI34" s="16" t="str">
        <f aca="false">IF(AK34=0,"",IF(EOMONTH(AsOfDate,-1)&lt;AL34,-1,12*(YEAR(EOMONTH(AsOfDate,-1))-YEAR(AL34))+MONTH(EOMONTH(AsOfDate,-1))-MONTH(AL34)-IF(DAY(EOMONTH(AsOfDate,-1))&lt;MIN(DAY(AL34),DAY(EOMONTH(EOMONTH(AsOfDate,-1),0))),1,0)))</f>
        <v/>
      </c>
      <c r="BJ34" s="16" t="str">
        <f aca="false">IF(AK34=0,"",IF(OR(AM34&lt;2,AO34&gt;EOMONTH(AsOfDate,-1)),BI34,IF((AO34-1)&lt;AL34,-1,12*(YEAR((AO34-1))-YEAR(AL34))+MONTH((AO34-1))-MONTH(AL34)-IF(DAY((AO34-1))&lt;MIN(DAY(AL34),DAY(EOMONTH((AO34-1),0))),1,0))))</f>
        <v/>
      </c>
      <c r="BK34" s="16" t="str">
        <f aca="false">IF(AK34=0,"",IF(OR(AM34&lt;3,AP34&gt;EOMONTH(AsOfDate,-1)),BI34,IF((AP34-1)&lt;AL34,-1,12*(YEAR((AP34-1))-YEAR(AL34))+MONTH((AP34-1))-MONTH(AL34)-IF(DAY((AP34-1))&lt;MIN(DAY(AL34),DAY(EOMONTH((AP34-1),0))),1,0))))</f>
        <v/>
      </c>
      <c r="BL34" s="16" t="str">
        <f aca="false">IF(AK34=0,"",IF(AT34="FT",IF(BJ34&lt;FT_First,0,IF(BJ34&lt;FT_Y5,1+INT((BJ34-FT_First)/FT_Int1),FT_PreY5+FT_PerYear*INT((BJ34-FT_Y5)/12)+FT_AnnivDays+INT(MOD(BJ34-FT_Y5,12)/FT_Int2)-IF(EDATE(AL34,FT_Y5)&lt;PolicyEff,FT_AnnivDays-1,0))),IF(AT34="PT",IF(BJ34&lt;PT_First,0,1+INT((BJ34-PT_First)/PT_Int)),0))+IF(AND(AM34&gt;=2,AO34&lt;=EOMONTH(AsOfDate,-1)),IF(AU34="FT",IF(BK34&lt;FT_First,0,IF(BK34&lt;FT_Y5,1+INT((BK34-FT_First)/FT_Int1),FT_PreY5+FT_PerYear*INT((BK34-FT_Y5)/12)+FT_AnnivDays+INT(MOD(BK34-FT_Y5,12)/FT_Int2)-IF(EDATE(AL34,FT_Y5)&lt;PolicyEff,FT_AnnivDays-1,0))),IF(AU34="PT",IF(BK34&lt;PT_First,0,1+INT((BK34-PT_First)/PT_Int)),0))-IF(AU34="FT",IF(BJ34&lt;FT_First,0,IF(BJ34&lt;FT_Y5,1+INT((BJ34-FT_First)/FT_Int1),FT_PreY5+FT_PerYear*INT((BJ34-FT_Y5)/12)+FT_AnnivDays+INT(MOD(BJ34-FT_Y5,12)/FT_Int2)-IF(EDATE(AL34,FT_Y5)&lt;PolicyEff,FT_AnnivDays-1,0))),IF(AU34="PT",IF(BJ34&lt;PT_First,0,1+INT((BJ34-PT_First)/PT_Int)),0)),0)+IF(AND(AM34&gt;=3,AP34&lt;=EOMONTH(AsOfDate,-1)),IF(AV34="FT",IF(BI34&lt;FT_First,0,IF(BI34&lt;FT_Y5,1+INT((BI34-FT_First)/FT_Int1),FT_PreY5+FT_PerYear*INT((BI34-FT_Y5)/12)+FT_AnnivDays+INT(MOD(BI34-FT_Y5,12)/FT_Int2)-IF(EDATE(AL34,FT_Y5)&lt;PolicyEff,FT_AnnivDays-1,0))),IF(AV34="PT",IF(BI34&lt;PT_First,0,1+INT((BI34-PT_First)/PT_Int)),0))-IF(AV34="FT",IF(BK34&lt;FT_First,0,IF(BK34&lt;FT_Y5,1+INT((BK34-FT_First)/FT_Int1),FT_PreY5+FT_PerYear*INT((BK34-FT_Y5)/12)+FT_AnnivDays+INT(MOD(BK34-FT_Y5,12)/FT_Int2)-IF(EDATE(AL34,FT_Y5)&lt;PolicyEff,FT_AnnivDays-1,0))),IF(AV34="PT",IF(BK34&lt;PT_First,0,1+INT((BK34-PT_First)/PT_Int)),0)),0))</f>
        <v/>
      </c>
      <c r="BM34" s="16" t="str">
        <f aca="false">IF(AK34=0,"",IF(AW34="FT",IF(AX34&lt;FT_First,"",IF(AX34&lt;FT_Y5,FT_First+FT_Int1*INT((AX34-FT_First)/FT_Int1),FT_Y5+FT_Int2*INT((AX34-FT_Y5)/FT_Int2))),IF(AW34="PT",IF(AX34&lt;PT_First,"",PT_First+PT_Int*INT((AX34-PT_First)/PT_Int)),"")))</f>
        <v/>
      </c>
      <c r="BN34" s="16" t="str">
        <f aca="false">IF(AK34=0,"",IF((SchemeStart-1)&lt;AL34,-1,12*(YEAR((SchemeStart-1))-YEAR(AL34))+MONTH((SchemeStart-1))-MONTH(AL34)-IF(DAY((SchemeStart-1))&lt;MIN(DAY(AL34),DAY(EOMONTH((SchemeStart-1),0))),1,0)))</f>
        <v/>
      </c>
      <c r="BO34" s="16" t="str">
        <f aca="false">IF(AK34=0,"",IF(OR(AM34&lt;2,AO34&gt;(SchemeStart-1)),BN34,IF((AO34-1)&lt;AL34,-1,12*(YEAR((AO34-1))-YEAR(AL34))+MONTH((AO34-1))-MONTH(AL34)-IF(DAY((AO34-1))&lt;MIN(DAY(AL34),DAY(EOMONTH((AO34-1),0))),1,0))))</f>
        <v/>
      </c>
      <c r="BP34" s="16" t="str">
        <f aca="false">IF(AK34=0,"",IF(OR(AM34&lt;3,AP34&gt;(SchemeStart-1)),BN34,IF((AP34-1)&lt;AL34,-1,12*(YEAR((AP34-1))-YEAR(AL34))+MONTH((AP34-1))-MONTH(AL34)-IF(DAY((AP34-1))&lt;MIN(DAY(AL34),DAY(EOMONTH((AP34-1),0))),1,0))))</f>
        <v/>
      </c>
      <c r="BQ34" s="16" t="str">
        <f aca="false">IF(AK34=0,"",IF(AT34="FT",IF(BO34&lt;FT_First,0,IF(BO34&lt;FT_Y5,1+INT((BO34-FT_First)/FT_Int1),FT_PreY5+FT_PerYear*INT((BO34-FT_Y5)/12)+FT_AnnivDays+INT(MOD(BO34-FT_Y5,12)/FT_Int2)-IF(EDATE(AL34,FT_Y5)&lt;PolicyEff,FT_AnnivDays-1,0))),IF(AT34="PT",IF(BO34&lt;PT_First,0,1+INT((BO34-PT_First)/PT_Int)),0))+IF(AND(AM34&gt;=2,AO34&lt;=(SchemeStart-1)),IF(AU34="FT",IF(BP34&lt;FT_First,0,IF(BP34&lt;FT_Y5,1+INT((BP34-FT_First)/FT_Int1),FT_PreY5+FT_PerYear*INT((BP34-FT_Y5)/12)+FT_AnnivDays+INT(MOD(BP34-FT_Y5,12)/FT_Int2)-IF(EDATE(AL34,FT_Y5)&lt;PolicyEff,FT_AnnivDays-1,0))),IF(AU34="PT",IF(BP34&lt;PT_First,0,1+INT((BP34-PT_First)/PT_Int)),0))-IF(AU34="FT",IF(BO34&lt;FT_First,0,IF(BO34&lt;FT_Y5,1+INT((BO34-FT_First)/FT_Int1),FT_PreY5+FT_PerYear*INT((BO34-FT_Y5)/12)+FT_AnnivDays+INT(MOD(BO34-FT_Y5,12)/FT_Int2)-IF(EDATE(AL34,FT_Y5)&lt;PolicyEff,FT_AnnivDays-1,0))),IF(AU34="PT",IF(BO34&lt;PT_First,0,1+INT((BO34-PT_First)/PT_Int)),0)),0)+IF(AND(AM34&gt;=3,AP34&lt;=(SchemeStart-1)),IF(AV34="FT",IF(BN34&lt;FT_First,0,IF(BN34&lt;FT_Y5,1+INT((BN34-FT_First)/FT_Int1),FT_PreY5+FT_PerYear*INT((BN34-FT_Y5)/12)+FT_AnnivDays+INT(MOD(BN34-FT_Y5,12)/FT_Int2)-IF(EDATE(AL34,FT_Y5)&lt;PolicyEff,FT_AnnivDays-1,0))),IF(AV34="PT",IF(BN34&lt;PT_First,0,1+INT((BN34-PT_First)/PT_Int)),0))-IF(AV34="FT",IF(BP34&lt;FT_First,0,IF(BP34&lt;FT_Y5,1+INT((BP34-FT_First)/FT_Int1),FT_PreY5+FT_PerYear*INT((BP34-FT_Y5)/12)+FT_AnnivDays+INT(MOD(BP34-FT_Y5,12)/FT_Int2)-IF(EDATE(AL34,FT_Y5)&lt;PolicyEff,FT_AnnivDays-1,0))),IF(AV34="PT",IF(BP34&lt;PT_First,0,1+INT((BP34-PT_First)/PT_Int)),0)),0))</f>
        <v/>
      </c>
      <c r="BR34" s="0" t="str">
        <f aca="false">IF(LEN($A34&amp;$B34)=0,"",$A34&amp;" "&amp;$B34)</f>
        <v/>
      </c>
    </row>
    <row r="35" customFormat="false" ht="15" hidden="false" customHeight="false" outlineLevel="0" collapsed="false">
      <c r="A35" s="12"/>
      <c r="B35" s="12"/>
      <c r="C35" s="12"/>
      <c r="D35" s="13"/>
      <c r="E35" s="14" t="str">
        <f aca="false">IF(OR(AK35=0,$D35=""),"",DATE(YEAR(AsOfDate)+IF(DATE(YEAR(AsOfDate),MONTH($D35),DAY($D35))&lt;=AsOfDate,1,0),MONTH($D35),DAY($D35)))</f>
        <v/>
      </c>
      <c r="F35" s="13"/>
      <c r="G35" s="13"/>
      <c r="H35" s="13"/>
      <c r="I35" s="13"/>
      <c r="J35" s="13"/>
      <c r="K35" s="14" t="str">
        <f aca="false">IF(AK35=0,"",DATE(YEAR(AsOfDate)+IF(DATE(YEAR(AsOfDate),MONTH(AL35),DAY(AL35))&lt;=AsOfDate,1,0),MONTH(AL35),DAY(AL35)))</f>
        <v/>
      </c>
      <c r="L35" s="15" t="str">
        <f aca="false">IF(AK35=0,"",ROUND((AsOfDate-AL35)/365.25,1))</f>
        <v/>
      </c>
      <c r="M35" s="16" t="str">
        <f aca="false">IF(AK35=0,"",IF(AsOfDate&lt;AL35,"-",DATEDIF(AL35,AsOfDate,"y")&amp;"y "&amp;DATEDIF(AL35,AsOfDate,"ym")&amp;"m "&amp;DATEDIF(AL35,AsOfDate,"md")&amp;"d"))</f>
        <v/>
      </c>
      <c r="N35" s="17" t="str">
        <f aca="false">IF(AK35=0,"",O35*HoursPerDay)</f>
        <v/>
      </c>
      <c r="O35" s="17" t="str">
        <f aca="false">IF(AK35=0,"",MAX(0,BD35-BQ35))</f>
        <v/>
      </c>
      <c r="P35" s="18"/>
      <c r="Q35" s="16" t="str">
        <f aca="false">IF(AK35=0,"",IF(AM35&lt;2,"",AQ35&amp;" to "&amp;AR35&amp;" on "&amp;TEXT(AO35,"dd/mm/yyyy")&amp;IF(AO35&gt;AsOfDate," (future)",IF(AT35=AU35,"",IF(AU35="None"," - STOPPED accruing",IF(AT35="None"," - commencement for Bonus Leave"," - pathway changed"))))&amp;IF(AM35&lt;3,"","; "&amp;AR35&amp;" to "&amp;AS35&amp;" on "&amp;TEXT(AP35,"dd/mm/yyyy")&amp;IF(AP35&gt;AsOfDate," (future)",IF(AU35=AV35,"",IF(AV35="None"," - STOPPED accruing",IF(AU35="None"," - commencement for Bonus Leave"," - pathway changed")))))))</f>
        <v/>
      </c>
      <c r="R35" s="16" t="str">
        <f aca="false">IF(AK35=0,"",IF(AW35="None",IF(O35&gt;0,"No longer accruing","Not eligible - "&amp;IF(AND(OR(ISNUMBER(SEARCH("part",$C35)),UPPER(TRIM($C35))="PT",UPPER(TRIM($C35))="PTE"),Apply2026="No"),"part-time (scheme is full-time only)",IF(AND(OR(ISNUMBER(SEARCH("part",$C35)),UPPER(TRIM($C35))="PT",UPPER(TRIM($C35))="PTE"),$P35&lt;&gt;"",N($P35)&lt;PT_MinHours),"under "&amp;PT_MinHours&amp;" hrs",IF(IF($C35="","",IF(OR(ISNUMBER(SEARCH("full",$C35)),UPPER(TRIM($C35))="FT",UPPER(TRIM($C35))="FTE"),"Full-Time",IF(OR(ISNUMBER(SEARCH("part",$C35)),UPPER(TRIM($C35))="PT",UPPER(TRIM($C35))="PTE"),"Part-Time",IF(OR(ISNUMBER(SEARCH("cas",$C35)),UPPER(TRIM($C35))="CAS"),"Casual","Unknown"))))="Unknown","type not recognised",$C35)))),IF(O35&gt;0,"Yes - Accrual Required","Not yet - from "&amp;TEXT(S35,"dd/mm/yyyy"))))</f>
        <v/>
      </c>
      <c r="S35" s="14" t="str">
        <f aca="false">IF(AK35=0,"",IF(AW35="None","",EDATE(AL35,BF35)))</f>
        <v/>
      </c>
      <c r="T35" s="17" t="str">
        <f aca="false">IF(AK35=0,"",IF(NOT(LH_Ready),"",IF($F35&gt;PFYDate,0,IF(LH_ColPeriod=0,W35-U35+V35,SUMIFS(INDEX(LH_Data,0,LH_ColAcc),INDEX(LH_Data,0,LH_ColFirst),$A35,INDEX(LH_Data,0,LH_ColSur),$B35,INDEX(LH_Data,0,LH_ColCat),BonusCat,INDEX(LH_Data,0,LH_ColPeriod),LH_OpenLabel)*UnitFactor))))</f>
        <v/>
      </c>
      <c r="U35" s="17" t="str">
        <f aca="false">IF(AK35=0,"",IF(NOT(LH_Ready),"",SUMIFS(INDEX(LH_Data,0,LH_ColAcc),INDEX(LH_Data,0,LH_ColFirst),$A35,INDEX(LH_Data,0,LH_ColSur),$B35,INDEX(LH_Data,0,LH_ColCat),BonusCat,INDEX(LH_Data,0,LH_ColStart),"&gt;="&amp;AL35)*UnitFactor))</f>
        <v/>
      </c>
      <c r="V35" s="17" t="str">
        <f aca="false">IF(AK35=0,"",IF(NOT(LH_Ready),"",SUMIFS(INDEX(LH_Data,0,LH_ColTaken),INDEX(LH_Data,0,LH_ColFirst),$A35,INDEX(LH_Data,0,LH_ColSur),$B35,INDEX(LH_Data,0,LH_ColCat),BonusCat,INDEX(LH_Data,0,LH_ColStart),"&gt;="&amp;AL35)*UnitFactor))</f>
        <v/>
      </c>
      <c r="W35" s="17" t="str">
        <f aca="false">IF(AK35=0,"",IF(NOT(LH_Ready),"",IF(BH35=0,0,INDEX(INDEX(LH_Data,0,LH_ColClose),BH35-1)*UnitFactor)))</f>
        <v/>
      </c>
      <c r="X35" s="17" t="str">
        <f aca="false">IF(AK35=0,"",(MAX(0,BD35-BQ35)-MAX(0,BE35-BQ35))*HoursPerDay)</f>
        <v/>
      </c>
      <c r="Y35" s="17" t="str">
        <f aca="false">IF(AK35=0,"",IF(NOT(LH_Ready),"",IF($AI35="Yes",N(AE35)*HoursPerDay-SUMIFS(INDEX(LH_Data,0,LH_ColAcc),INDEX(LH_Data,0,LH_ColFirst),$A35,INDEX(LH_Data,0,LH_ColSur),$B35,INDEX(LH_Data,0,LH_ColCat),BonusCat,INDEX(LH_Data,0,LH_ColStart),"&gt;="&amp;(EOMONTH(AsOfDate,-1)+1),INDEX(LH_Data,0,LH_ColStart),"&lt;="&amp;AsOfDate)*UnitFactor,IF(BG35=0,N35,N35-N(T35)-N(U35)))))</f>
        <v/>
      </c>
      <c r="Z35" s="16" t="str">
        <f aca="false">IF(OR(AK35=0,Y35=""),"",IF(Y35&gt;0,"Yes","No"))</f>
        <v/>
      </c>
      <c r="AA35" s="16" t="str">
        <f aca="false">IF(AK35=0,IF(LEN($A35&amp;$B35)=0,"","FIX INPUT - StartDate missing"),IF(AD35&lt;&gt;"","FIX INPUT - "&amp;AD35,IF(NOT(LH_Ready),"Paste Leave History export (Settings must show YES)",IF(AND($AI35="Yes",Y35&lt;=0),"OK - EH balance accepted to date"&amp;IF(N(AH35)&gt;0," (EH holds "&amp;AH35&amp;" hrs over the scheme)","")&amp;"; next day "&amp;TEXT(S35,"dd mmm yy")&amp;IF(N(AE35)&gt;0," ("&amp;AE35&amp;" day(s) for "&amp;UPPER(TEXT(AsOfDate,"mmm yyyy"))&amp;" already in EH)",""),IF(Y35&gt;0,"ACCRUE "&amp;ROUND(Y35,2)&amp;" hrs ("&amp;ROUND(Y35/HoursPerDay,2)&amp;" days): "&amp;IF(N(AE35)&gt;0,AE35&amp;" day(s) for "&amp;UPPER(TEXT(AsOfDate,"mmm yyyy"))&amp;" (milestone "&amp;UPPER(TEXT(AF35,"dd mmm yy"))&amp;")"&amp;IF(Y35/HoursPerDay&gt;AE35+0.001," + "&amp;ROUND(Y35/HoursPerDay-AE35,2)&amp;" day(s) catch-up from earlier months",""),"all catch-up from earlier months, nothing new this month")&amp;IF(BG35=0,"; no Bonus Leave in EH yet",""),IF(Y35&lt;0,"CHECK - EH accrued "&amp;ROUND(-Y35,2)&amp;" hrs more than policy since commencement",IF(N(W35)&gt;O35*HoursPerDay+0.01,"CHECK - EH balance "&amp;ROUND(W35-O35*HoursPerDay,2)&amp;" hrs more than policy entitlement",IF(O35&gt;0,"OK - nothing to add"&amp;IF(N(AE35)&gt;0," ("&amp;AE35&amp;" day(s) for "&amp;UPPER(TEXT(AsOfDate,"mmm yyyy"))&amp;" already in EH)",""),IF(AW35="None",R35,"Not yet - first day on "&amp;TEXT(S35,"dd/mm/yyyy"))))))))))</f>
        <v/>
      </c>
      <c r="AB35" s="17" t="str">
        <f aca="false">IF(OR(AK35=0,T35=""),"",MAX(0,BE35-BQ35)*HoursPerDay-T35)</f>
        <v/>
      </c>
      <c r="AC35" s="16" t="str">
        <f aca="false">IF(AK35=0,"",BG35)</f>
        <v/>
      </c>
      <c r="AD35" s="16" t="str">
        <f aca="false">IF(AK35=0,"",TRIM(IF(OR(ISTEXT($F35),ISTEXT($H35),ISTEXT($I35),ISTEXT($G35),ISTEXT($J35),ISTEXT($D35)),"A date is typed as text - retype it as dd/mm/yyyy. ","")&amp;IF(IF($C35="","",IF(OR(ISNUMBER(SEARCH("full",$C35)),UPPER(TRIM($C35))="FT",UPPER(TRIM($C35))="FTE"),"Full-Time",IF(OR(ISNUMBER(SEARCH("part",$C35)),UPPER(TRIM($C35))="PT",UPPER(TRIM($C35))="PTE"),"Part-Time",IF(OR(ISNUMBER(SEARCH("cas",$C35)),UPPER(TRIM($C35))="CAS"),"Casual","Unknown"))))="Unknown","EmploymentType not recognised - use Full-Time, Part-Time or Casual. ","")&amp;IF(AND(AM35&gt;=1,IF(AM35&gt;=3,AS35,IF(AM35=2,AR35,AQ35))&lt;&gt;IF($C35="","",IF(OR(ISNUMBER(SEARCH("full",$C35)),UPPER(TRIM($C35))="FT",UPPER(TRIM($C35))="FTE"),"Full-Time",IF(OR(ISNUMBER(SEARCH("part",$C35)),UPPER(TRIM($C35))="PT",UPPER(TRIM($C35))="PTE"),"Part-Time",IF(OR(ISNUMBER(SEARCH("cas",$C35)),UPPER(TRIM($C35))="CAS"),"Casual","Unknown"))))),"EmploymentType does not match latest start date ("&amp;IF(AM35&gt;=3,AS35,IF(AM35=2,AR35,AQ35))&amp;"). ","")&amp;IF(AND(AM35&gt;=1,AN35&lt;&gt;$F35),"Earliest type date should equal StartDate. ","")&amp;IF(AND(AM35&gt;=2,AN35=AO35),"Two types start on the same date. ","")&amp;IF(AND(OR(ISNUMBER(SEARCH("part",$C35)),UPPER(TRIM($C35))="PT",UPPER(TRIM($C35))="PTE"),$P35=""),"Part-time: enter PT Hrs/Week (blank = 24+). ","")))</f>
        <v/>
      </c>
      <c r="AE35" s="17" t="str">
        <f aca="false">IF(AK35=0,"",O35-MAX(0,BL35-BQ35))</f>
        <v/>
      </c>
      <c r="AF35" s="14" t="str">
        <f aca="false">IF(OR(AK35=0,AE35="",N(AE35)=0,BM35=""),"",EDATE(AL35,BM35))</f>
        <v/>
      </c>
      <c r="AG35" s="17" t="str">
        <f aca="false">IF(AK35=0,"",MIN(BD35,BQ35))</f>
        <v/>
      </c>
      <c r="AH35" s="17" t="str">
        <f aca="false">IF(AK35=0,"",IF(NOT(LH_Ready),"",IF(BG35=0,0,MAX(0,ROUND(N(T35)+N(U35)-N35,2)))))</f>
        <v/>
      </c>
      <c r="AI35" s="12"/>
      <c r="AJ35" s="12"/>
      <c r="AK35" s="16" t="n">
        <f aca="false">IF(OR(LEN($A35&amp;$B35)=0,$F35=""),0,1)</f>
        <v>0</v>
      </c>
      <c r="AL35" s="14" t="str">
        <f aca="false">IF(AK35=0,"",IF(PreSchemeCounts="No",MAX(SchemeStart,IF($J35&lt;&gt;"",$J35,IF(OR(CasualCounts="Yes",COUNT($G35:$I35)=0),$F35,IF(Apply2026="No",IF($I35="",$F35,$I35),IF(COUNT($H35:$I35)=0,$F35,MIN($H35:$I35)))))),IF($J35&lt;&gt;"",$J35,IF(OR(CasualCounts="Yes",COUNT($G35:$I35)=0),$F35,IF(Apply2026="No",IF($I35="",$F35,$I35),IF(COUNT($H35:$I35)=0,$F35,MIN($H35:$I35)))))))</f>
        <v/>
      </c>
      <c r="AM35" s="16" t="str">
        <f aca="false">IF(AK35=0,"",COUNT($G35:$I35))</f>
        <v/>
      </c>
      <c r="AN35" s="14" t="str">
        <f aca="false">IF(AK35=0,"",IFERROR(SMALL($G35:$I35,1),""))</f>
        <v/>
      </c>
      <c r="AO35" s="14" t="str">
        <f aca="false">IF(AK35=0,"",IFERROR(SMALL($G35:$I35,2),""))</f>
        <v/>
      </c>
      <c r="AP35" s="14" t="str">
        <f aca="false">IF(AK35=0,"",IFERROR(SMALL($G35:$I35,3),""))</f>
        <v/>
      </c>
      <c r="AQ35" s="16" t="str">
        <f aca="false">IF(AK35=0,"",IF(AN35="","",IF(AN35=$H35,"Part-Time",IF(AN35=$I35,"Full-Time","Casual"))))</f>
        <v/>
      </c>
      <c r="AR35" s="16" t="str">
        <f aca="false">IF(AK35=0,"",IF(AO35="","",IF(AO35=$H35,"Part-Time",IF(AO35=$I35,"Full-Time","Casual"))))</f>
        <v/>
      </c>
      <c r="AS35" s="16" t="str">
        <f aca="false">IF(AK35=0,"",IF(AP35="","",IF(AP35=$H35,"Part-Time",IF(AP35=$I35,"Full-Time","Casual"))))</f>
        <v/>
      </c>
      <c r="AT35" s="16" t="str">
        <f aca="false">IF(AK35=0,"",IF(AM35=0,IF(OR(ISNUMBER(SEARCH("full",$C35)),UPPER(TRIM($C35))="FT",UPPER(TRIM($C35))="FTE"),"FT",IF(AND(OR(ISNUMBER(SEARCH("part",$C35)),UPPER(TRIM($C35))="PT",UPPER(TRIM($C35))="PTE"),Apply2026="Yes",OR($P35="",N($P35)&gt;=PT_MinHours)),"PT","None")),IF(OR(ISNUMBER(SEARCH("full",AQ35)),UPPER(TRIM(AQ35))="FT",UPPER(TRIM(AQ35))="FTE"),"FT",IF(AND(OR(ISNUMBER(SEARCH("part",AQ35)),UPPER(TRIM(AQ35))="PT",UPPER(TRIM(AQ35))="PTE"),Apply2026="Yes",OR($P35="",N($P35)&gt;=PT_MinHours)),"PT","None"))))</f>
        <v/>
      </c>
      <c r="AU35" s="16" t="str">
        <f aca="false">IF(AK35=0,"",IF(AM35&lt;2,"",IF(OR(ISNUMBER(SEARCH("full",AR35)),UPPER(TRIM(AR35))="FT",UPPER(TRIM(AR35))="FTE"),"FT",IF(AND(OR(ISNUMBER(SEARCH("part",AR35)),UPPER(TRIM(AR35))="PT",UPPER(TRIM(AR35))="PTE"),Apply2026="Yes",OR($P35="",N($P35)&gt;=PT_MinHours)),"PT","None"))))</f>
        <v/>
      </c>
      <c r="AV35" s="16" t="str">
        <f aca="false">IF(AK35=0,"",IF(AM35&lt;3,"",IF(OR(ISNUMBER(SEARCH("full",AS35)),UPPER(TRIM(AS35))="FT",UPPER(TRIM(AS35))="FTE"),"FT",IF(AND(OR(ISNUMBER(SEARCH("part",AS35)),UPPER(TRIM(AS35))="PT",UPPER(TRIM(AS35))="PTE"),Apply2026="Yes",OR($P35="",N($P35)&gt;=PT_MinHours)),"PT","None"))))</f>
        <v/>
      </c>
      <c r="AW35" s="16" t="str">
        <f aca="false">IF(AK35=0,"",IF(AND(AM35&gt;=3,AP35&lt;=AsOfDate),AV35,IF(AND(AM35&gt;=2,AO35&lt;=AsOfDate),AU35,AT35)))</f>
        <v/>
      </c>
      <c r="AX35" s="16" t="str">
        <f aca="false">IF(AK35=0,"",IF(AsOfDate&lt;AL35,-1,12*(YEAR(AsOfDate)-YEAR(AL35))+MONTH(AsOfDate)-MONTH(AL35)-IF(DAY(AsOfDate)&lt;MIN(DAY(AL35),DAY(EOMONTH(AsOfDate,0))),1,0)))</f>
        <v/>
      </c>
      <c r="AY35" s="16" t="str">
        <f aca="false">IF(AK35=0,"",IF(OR(AM35&lt;2,AO35&gt;AsOfDate),AX35,IF((AO35-1)&lt;AL35,-1,12*(YEAR((AO35-1))-YEAR(AL35))+MONTH((AO35-1))-MONTH(AL35)-IF(DAY((AO35-1))&lt;MIN(DAY(AL35),DAY(EOMONTH((AO35-1),0))),1,0))))</f>
        <v/>
      </c>
      <c r="AZ35" s="16" t="str">
        <f aca="false">IF(AK35=0,"",IF(OR(AM35&lt;3,AP35&gt;AsOfDate),AX35,IF((AP35-1)&lt;AL35,-1,12*(YEAR((AP35-1))-YEAR(AL35))+MONTH((AP35-1))-MONTH(AL35)-IF(DAY((AP35-1))&lt;MIN(DAY(AL35),DAY(EOMONTH((AP35-1),0))),1,0))))</f>
        <v/>
      </c>
      <c r="BA35" s="16" t="str">
        <f aca="false">IF(AK35=0,"",IF(PFYDate&lt;AL35,-1,12*(YEAR(PFYDate)-YEAR(AL35))+MONTH(PFYDate)-MONTH(AL35)-IF(DAY(PFYDate)&lt;MIN(DAY(AL35),DAY(EOMONTH(PFYDate,0))),1,0)))</f>
        <v/>
      </c>
      <c r="BB35" s="16" t="str">
        <f aca="false">IF(AK35=0,"",IF(OR(AM35&lt;2,AO35&gt;PFYDate),BA35,IF((AO35-1)&lt;AL35,-1,12*(YEAR((AO35-1))-YEAR(AL35))+MONTH((AO35-1))-MONTH(AL35)-IF(DAY((AO35-1))&lt;MIN(DAY(AL35),DAY(EOMONTH((AO35-1),0))),1,0))))</f>
        <v/>
      </c>
      <c r="BC35" s="16" t="str">
        <f aca="false">IF(AK35=0,"",IF(OR(AM35&lt;3,AP35&gt;PFYDate),BA35,IF((AP35-1)&lt;AL35,-1,12*(YEAR((AP35-1))-YEAR(AL35))+MONTH((AP35-1))-MONTH(AL35)-IF(DAY((AP35-1))&lt;MIN(DAY(AL35),DAY(EOMONTH((AP35-1),0))),1,0))))</f>
        <v/>
      </c>
      <c r="BD35" s="16" t="str">
        <f aca="false">IF(AK35=0,"",IF(AT35="FT",IF(AY35&lt;FT_First,0,IF(AY35&lt;FT_Y5,1+INT((AY35-FT_First)/FT_Int1),FT_PreY5+FT_PerYear*INT((AY35-FT_Y5)/12)+FT_AnnivDays+INT(MOD(AY35-FT_Y5,12)/FT_Int2)-IF(EDATE(AL35,FT_Y5)&lt;PolicyEff,FT_AnnivDays-1,0))),IF(AT35="PT",IF(AY35&lt;PT_First,0,1+INT((AY35-PT_First)/PT_Int)),0))+IF(AND(AM35&gt;=2,AO35&lt;=AsOfDate),IF(AU35="FT",IF(AZ35&lt;FT_First,0,IF(AZ35&lt;FT_Y5,1+INT((AZ35-FT_First)/FT_Int1),FT_PreY5+FT_PerYear*INT((AZ35-FT_Y5)/12)+FT_AnnivDays+INT(MOD(AZ35-FT_Y5,12)/FT_Int2)-IF(EDATE(AL35,FT_Y5)&lt;PolicyEff,FT_AnnivDays-1,0))),IF(AU35="PT",IF(AZ35&lt;PT_First,0,1+INT((AZ35-PT_First)/PT_Int)),0))-IF(AU35="FT",IF(AY35&lt;FT_First,0,IF(AY35&lt;FT_Y5,1+INT((AY35-FT_First)/FT_Int1),FT_PreY5+FT_PerYear*INT((AY35-FT_Y5)/12)+FT_AnnivDays+INT(MOD(AY35-FT_Y5,12)/FT_Int2)-IF(EDATE(AL35,FT_Y5)&lt;PolicyEff,FT_AnnivDays-1,0))),IF(AU35="PT",IF(AY35&lt;PT_First,0,1+INT((AY35-PT_First)/PT_Int)),0)),0)+IF(AND(AM35&gt;=3,AP35&lt;=AsOfDate),IF(AV35="FT",IF(AX35&lt;FT_First,0,IF(AX35&lt;FT_Y5,1+INT((AX35-FT_First)/FT_Int1),FT_PreY5+FT_PerYear*INT((AX35-FT_Y5)/12)+FT_AnnivDays+INT(MOD(AX35-FT_Y5,12)/FT_Int2)-IF(EDATE(AL35,FT_Y5)&lt;PolicyEff,FT_AnnivDays-1,0))),IF(AV35="PT",IF(AX35&lt;PT_First,0,1+INT((AX35-PT_First)/PT_Int)),0))-IF(AV35="FT",IF(AZ35&lt;FT_First,0,IF(AZ35&lt;FT_Y5,1+INT((AZ35-FT_First)/FT_Int1),FT_PreY5+FT_PerYear*INT((AZ35-FT_Y5)/12)+FT_AnnivDays+INT(MOD(AZ35-FT_Y5,12)/FT_Int2)-IF(EDATE(AL35,FT_Y5)&lt;PolicyEff,FT_AnnivDays-1,0))),IF(AV35="PT",IF(AZ35&lt;PT_First,0,1+INT((AZ35-PT_First)/PT_Int)),0)),0))</f>
        <v/>
      </c>
      <c r="BE35" s="16" t="str">
        <f aca="false">IF(AK35=0,"",IF(AT35="FT",IF(BB35&lt;FT_First,0,IF(BB35&lt;FT_Y5,1+INT((BB35-FT_First)/FT_Int1),FT_PreY5+FT_PerYear*INT((BB35-FT_Y5)/12)+FT_AnnivDays+INT(MOD(BB35-FT_Y5,12)/FT_Int2)-IF(EDATE(AL35,FT_Y5)&lt;PolicyEff,FT_AnnivDays-1,0))),IF(AT35="PT",IF(BB35&lt;PT_First,0,1+INT((BB35-PT_First)/PT_Int)),0))+IF(AND(AM35&gt;=2,AO35&lt;=PFYDate),IF(AU35="FT",IF(BC35&lt;FT_First,0,IF(BC35&lt;FT_Y5,1+INT((BC35-FT_First)/FT_Int1),FT_PreY5+FT_PerYear*INT((BC35-FT_Y5)/12)+FT_AnnivDays+INT(MOD(BC35-FT_Y5,12)/FT_Int2)-IF(EDATE(AL35,FT_Y5)&lt;PolicyEff,FT_AnnivDays-1,0))),IF(AU35="PT",IF(BC35&lt;PT_First,0,1+INT((BC35-PT_First)/PT_Int)),0))-IF(AU35="FT",IF(BB35&lt;FT_First,0,IF(BB35&lt;FT_Y5,1+INT((BB35-FT_First)/FT_Int1),FT_PreY5+FT_PerYear*INT((BB35-FT_Y5)/12)+FT_AnnivDays+INT(MOD(BB35-FT_Y5,12)/FT_Int2)-IF(EDATE(AL35,FT_Y5)&lt;PolicyEff,FT_AnnivDays-1,0))),IF(AU35="PT",IF(BB35&lt;PT_First,0,1+INT((BB35-PT_First)/PT_Int)),0)),0)+IF(AND(AM35&gt;=3,AP35&lt;=PFYDate),IF(AV35="FT",IF(BA35&lt;FT_First,0,IF(BA35&lt;FT_Y5,1+INT((BA35-FT_First)/FT_Int1),FT_PreY5+FT_PerYear*INT((BA35-FT_Y5)/12)+FT_AnnivDays+INT(MOD(BA35-FT_Y5,12)/FT_Int2)-IF(EDATE(AL35,FT_Y5)&lt;PolicyEff,FT_AnnivDays-1,0))),IF(AV35="PT",IF(BA35&lt;PT_First,0,1+INT((BA35-PT_First)/PT_Int)),0))-IF(AV35="FT",IF(BC35&lt;FT_First,0,IF(BC35&lt;FT_Y5,1+INT((BC35-FT_First)/FT_Int1),FT_PreY5+FT_PerYear*INT((BC35-FT_Y5)/12)+FT_AnnivDays+INT(MOD(BC35-FT_Y5,12)/FT_Int2)-IF(EDATE(AL35,FT_Y5)&lt;PolicyEff,FT_AnnivDays-1,0))),IF(AV35="PT",IF(BC35&lt;PT_First,0,1+INT((BC35-PT_First)/PT_Int)),0)),0))</f>
        <v/>
      </c>
      <c r="BF35" s="16" t="str">
        <f aca="false">IF(AK35=0,"",IF(AW35="FT",IF(AX35&lt;FT_First,FT_First,IF(AX35&lt;FT_Y5,MIN(FT_Y5,FT_First+FT_Int1*(INT((AX35-FT_First)/FT_Int1)+1)),FT_Y5+12*INT((AX35-FT_Y5)/12)+FT_Int2*(INT(MOD(AX35-FT_Y5,12)/FT_Int2)+1))),IF(AW35="PT",IF(AX35&lt;PT_First,PT_First,PT_First+PT_Int*(INT((AX35-PT_First)/PT_Int)+1)),"")))</f>
        <v/>
      </c>
      <c r="BG35" s="16" t="str">
        <f aca="false">IF(AK35=0,"",IF(NOT(LH_Ready),0,COUNTIFS(INDEX(LH_Data,0,LH_ColFirst),$A35,INDEX(LH_Data,0,LH_ColSur),$B35,INDEX(LH_Data,0,LH_ColCat),BonusCat)))</f>
        <v/>
      </c>
      <c r="BH35" s="16" t="str">
        <f aca="false">IF(AK35=0,"",IF(OR(NOT(LH_Ready),BG35=0),0,SUMPRODUCT(MAX((INDEX(LH_Data,0,LH_ColFirst)=$A35)*(INDEX(LH_Data,0,LH_ColSur)=$B35)*(INDEX(LH_Data,0,LH_ColCat)=BonusCat)*ROW(LH_Data)))))</f>
        <v/>
      </c>
      <c r="BI35" s="16" t="str">
        <f aca="false">IF(AK35=0,"",IF(EOMONTH(AsOfDate,-1)&lt;AL35,-1,12*(YEAR(EOMONTH(AsOfDate,-1))-YEAR(AL35))+MONTH(EOMONTH(AsOfDate,-1))-MONTH(AL35)-IF(DAY(EOMONTH(AsOfDate,-1))&lt;MIN(DAY(AL35),DAY(EOMONTH(EOMONTH(AsOfDate,-1),0))),1,0)))</f>
        <v/>
      </c>
      <c r="BJ35" s="16" t="str">
        <f aca="false">IF(AK35=0,"",IF(OR(AM35&lt;2,AO35&gt;EOMONTH(AsOfDate,-1)),BI35,IF((AO35-1)&lt;AL35,-1,12*(YEAR((AO35-1))-YEAR(AL35))+MONTH((AO35-1))-MONTH(AL35)-IF(DAY((AO35-1))&lt;MIN(DAY(AL35),DAY(EOMONTH((AO35-1),0))),1,0))))</f>
        <v/>
      </c>
      <c r="BK35" s="16" t="str">
        <f aca="false">IF(AK35=0,"",IF(OR(AM35&lt;3,AP35&gt;EOMONTH(AsOfDate,-1)),BI35,IF((AP35-1)&lt;AL35,-1,12*(YEAR((AP35-1))-YEAR(AL35))+MONTH((AP35-1))-MONTH(AL35)-IF(DAY((AP35-1))&lt;MIN(DAY(AL35),DAY(EOMONTH((AP35-1),0))),1,0))))</f>
        <v/>
      </c>
      <c r="BL35" s="16" t="str">
        <f aca="false">IF(AK35=0,"",IF(AT35="FT",IF(BJ35&lt;FT_First,0,IF(BJ35&lt;FT_Y5,1+INT((BJ35-FT_First)/FT_Int1),FT_PreY5+FT_PerYear*INT((BJ35-FT_Y5)/12)+FT_AnnivDays+INT(MOD(BJ35-FT_Y5,12)/FT_Int2)-IF(EDATE(AL35,FT_Y5)&lt;PolicyEff,FT_AnnivDays-1,0))),IF(AT35="PT",IF(BJ35&lt;PT_First,0,1+INT((BJ35-PT_First)/PT_Int)),0))+IF(AND(AM35&gt;=2,AO35&lt;=EOMONTH(AsOfDate,-1)),IF(AU35="FT",IF(BK35&lt;FT_First,0,IF(BK35&lt;FT_Y5,1+INT((BK35-FT_First)/FT_Int1),FT_PreY5+FT_PerYear*INT((BK35-FT_Y5)/12)+FT_AnnivDays+INT(MOD(BK35-FT_Y5,12)/FT_Int2)-IF(EDATE(AL35,FT_Y5)&lt;PolicyEff,FT_AnnivDays-1,0))),IF(AU35="PT",IF(BK35&lt;PT_First,0,1+INT((BK35-PT_First)/PT_Int)),0))-IF(AU35="FT",IF(BJ35&lt;FT_First,0,IF(BJ35&lt;FT_Y5,1+INT((BJ35-FT_First)/FT_Int1),FT_PreY5+FT_PerYear*INT((BJ35-FT_Y5)/12)+FT_AnnivDays+INT(MOD(BJ35-FT_Y5,12)/FT_Int2)-IF(EDATE(AL35,FT_Y5)&lt;PolicyEff,FT_AnnivDays-1,0))),IF(AU35="PT",IF(BJ35&lt;PT_First,0,1+INT((BJ35-PT_First)/PT_Int)),0)),0)+IF(AND(AM35&gt;=3,AP35&lt;=EOMONTH(AsOfDate,-1)),IF(AV35="FT",IF(BI35&lt;FT_First,0,IF(BI35&lt;FT_Y5,1+INT((BI35-FT_First)/FT_Int1),FT_PreY5+FT_PerYear*INT((BI35-FT_Y5)/12)+FT_AnnivDays+INT(MOD(BI35-FT_Y5,12)/FT_Int2)-IF(EDATE(AL35,FT_Y5)&lt;PolicyEff,FT_AnnivDays-1,0))),IF(AV35="PT",IF(BI35&lt;PT_First,0,1+INT((BI35-PT_First)/PT_Int)),0))-IF(AV35="FT",IF(BK35&lt;FT_First,0,IF(BK35&lt;FT_Y5,1+INT((BK35-FT_First)/FT_Int1),FT_PreY5+FT_PerYear*INT((BK35-FT_Y5)/12)+FT_AnnivDays+INT(MOD(BK35-FT_Y5,12)/FT_Int2)-IF(EDATE(AL35,FT_Y5)&lt;PolicyEff,FT_AnnivDays-1,0))),IF(AV35="PT",IF(BK35&lt;PT_First,0,1+INT((BK35-PT_First)/PT_Int)),0)),0))</f>
        <v/>
      </c>
      <c r="BM35" s="16" t="str">
        <f aca="false">IF(AK35=0,"",IF(AW35="FT",IF(AX35&lt;FT_First,"",IF(AX35&lt;FT_Y5,FT_First+FT_Int1*INT((AX35-FT_First)/FT_Int1),FT_Y5+FT_Int2*INT((AX35-FT_Y5)/FT_Int2))),IF(AW35="PT",IF(AX35&lt;PT_First,"",PT_First+PT_Int*INT((AX35-PT_First)/PT_Int)),"")))</f>
        <v/>
      </c>
      <c r="BN35" s="16" t="str">
        <f aca="false">IF(AK35=0,"",IF((SchemeStart-1)&lt;AL35,-1,12*(YEAR((SchemeStart-1))-YEAR(AL35))+MONTH((SchemeStart-1))-MONTH(AL35)-IF(DAY((SchemeStart-1))&lt;MIN(DAY(AL35),DAY(EOMONTH((SchemeStart-1),0))),1,0)))</f>
        <v/>
      </c>
      <c r="BO35" s="16" t="str">
        <f aca="false">IF(AK35=0,"",IF(OR(AM35&lt;2,AO35&gt;(SchemeStart-1)),BN35,IF((AO35-1)&lt;AL35,-1,12*(YEAR((AO35-1))-YEAR(AL35))+MONTH((AO35-1))-MONTH(AL35)-IF(DAY((AO35-1))&lt;MIN(DAY(AL35),DAY(EOMONTH((AO35-1),0))),1,0))))</f>
        <v/>
      </c>
      <c r="BP35" s="16" t="str">
        <f aca="false">IF(AK35=0,"",IF(OR(AM35&lt;3,AP35&gt;(SchemeStart-1)),BN35,IF((AP35-1)&lt;AL35,-1,12*(YEAR((AP35-1))-YEAR(AL35))+MONTH((AP35-1))-MONTH(AL35)-IF(DAY((AP35-1))&lt;MIN(DAY(AL35),DAY(EOMONTH((AP35-1),0))),1,0))))</f>
        <v/>
      </c>
      <c r="BQ35" s="16" t="str">
        <f aca="false">IF(AK35=0,"",IF(AT35="FT",IF(BO35&lt;FT_First,0,IF(BO35&lt;FT_Y5,1+INT((BO35-FT_First)/FT_Int1),FT_PreY5+FT_PerYear*INT((BO35-FT_Y5)/12)+FT_AnnivDays+INT(MOD(BO35-FT_Y5,12)/FT_Int2)-IF(EDATE(AL35,FT_Y5)&lt;PolicyEff,FT_AnnivDays-1,0))),IF(AT35="PT",IF(BO35&lt;PT_First,0,1+INT((BO35-PT_First)/PT_Int)),0))+IF(AND(AM35&gt;=2,AO35&lt;=(SchemeStart-1)),IF(AU35="FT",IF(BP35&lt;FT_First,0,IF(BP35&lt;FT_Y5,1+INT((BP35-FT_First)/FT_Int1),FT_PreY5+FT_PerYear*INT((BP35-FT_Y5)/12)+FT_AnnivDays+INT(MOD(BP35-FT_Y5,12)/FT_Int2)-IF(EDATE(AL35,FT_Y5)&lt;PolicyEff,FT_AnnivDays-1,0))),IF(AU35="PT",IF(BP35&lt;PT_First,0,1+INT((BP35-PT_First)/PT_Int)),0))-IF(AU35="FT",IF(BO35&lt;FT_First,0,IF(BO35&lt;FT_Y5,1+INT((BO35-FT_First)/FT_Int1),FT_PreY5+FT_PerYear*INT((BO35-FT_Y5)/12)+FT_AnnivDays+INT(MOD(BO35-FT_Y5,12)/FT_Int2)-IF(EDATE(AL35,FT_Y5)&lt;PolicyEff,FT_AnnivDays-1,0))),IF(AU35="PT",IF(BO35&lt;PT_First,0,1+INT((BO35-PT_First)/PT_Int)),0)),0)+IF(AND(AM35&gt;=3,AP35&lt;=(SchemeStart-1)),IF(AV35="FT",IF(BN35&lt;FT_First,0,IF(BN35&lt;FT_Y5,1+INT((BN35-FT_First)/FT_Int1),FT_PreY5+FT_PerYear*INT((BN35-FT_Y5)/12)+FT_AnnivDays+INT(MOD(BN35-FT_Y5,12)/FT_Int2)-IF(EDATE(AL35,FT_Y5)&lt;PolicyEff,FT_AnnivDays-1,0))),IF(AV35="PT",IF(BN35&lt;PT_First,0,1+INT((BN35-PT_First)/PT_Int)),0))-IF(AV35="FT",IF(BP35&lt;FT_First,0,IF(BP35&lt;FT_Y5,1+INT((BP35-FT_First)/FT_Int1),FT_PreY5+FT_PerYear*INT((BP35-FT_Y5)/12)+FT_AnnivDays+INT(MOD(BP35-FT_Y5,12)/FT_Int2)-IF(EDATE(AL35,FT_Y5)&lt;PolicyEff,FT_AnnivDays-1,0))),IF(AV35="PT",IF(BP35&lt;PT_First,0,1+INT((BP35-PT_First)/PT_Int)),0)),0))</f>
        <v/>
      </c>
      <c r="BR35" s="0" t="str">
        <f aca="false">IF(LEN($A35&amp;$B35)=0,"",$A35&amp;" "&amp;$B35)</f>
        <v/>
      </c>
    </row>
    <row r="36" customFormat="false" ht="15" hidden="false" customHeight="false" outlineLevel="0" collapsed="false">
      <c r="A36" s="12"/>
      <c r="B36" s="12"/>
      <c r="C36" s="12"/>
      <c r="D36" s="13"/>
      <c r="E36" s="14" t="str">
        <f aca="false">IF(OR(AK36=0,$D36=""),"",DATE(YEAR(AsOfDate)+IF(DATE(YEAR(AsOfDate),MONTH($D36),DAY($D36))&lt;=AsOfDate,1,0),MONTH($D36),DAY($D36)))</f>
        <v/>
      </c>
      <c r="F36" s="13"/>
      <c r="G36" s="13"/>
      <c r="H36" s="13"/>
      <c r="I36" s="13"/>
      <c r="J36" s="13"/>
      <c r="K36" s="14" t="str">
        <f aca="false">IF(AK36=0,"",DATE(YEAR(AsOfDate)+IF(DATE(YEAR(AsOfDate),MONTH(AL36),DAY(AL36))&lt;=AsOfDate,1,0),MONTH(AL36),DAY(AL36)))</f>
        <v/>
      </c>
      <c r="L36" s="15" t="str">
        <f aca="false">IF(AK36=0,"",ROUND((AsOfDate-AL36)/365.25,1))</f>
        <v/>
      </c>
      <c r="M36" s="16" t="str">
        <f aca="false">IF(AK36=0,"",IF(AsOfDate&lt;AL36,"-",DATEDIF(AL36,AsOfDate,"y")&amp;"y "&amp;DATEDIF(AL36,AsOfDate,"ym")&amp;"m "&amp;DATEDIF(AL36,AsOfDate,"md")&amp;"d"))</f>
        <v/>
      </c>
      <c r="N36" s="17" t="str">
        <f aca="false">IF(AK36=0,"",O36*HoursPerDay)</f>
        <v/>
      </c>
      <c r="O36" s="17" t="str">
        <f aca="false">IF(AK36=0,"",MAX(0,BD36-BQ36))</f>
        <v/>
      </c>
      <c r="P36" s="18"/>
      <c r="Q36" s="16" t="str">
        <f aca="false">IF(AK36=0,"",IF(AM36&lt;2,"",AQ36&amp;" to "&amp;AR36&amp;" on "&amp;TEXT(AO36,"dd/mm/yyyy")&amp;IF(AO36&gt;AsOfDate," (future)",IF(AT36=AU36,"",IF(AU36="None"," - STOPPED accruing",IF(AT36="None"," - commencement for Bonus Leave"," - pathway changed"))))&amp;IF(AM36&lt;3,"","; "&amp;AR36&amp;" to "&amp;AS36&amp;" on "&amp;TEXT(AP36,"dd/mm/yyyy")&amp;IF(AP36&gt;AsOfDate," (future)",IF(AU36=AV36,"",IF(AV36="None"," - STOPPED accruing",IF(AU36="None"," - commencement for Bonus Leave"," - pathway changed")))))))</f>
        <v/>
      </c>
      <c r="R36" s="16" t="str">
        <f aca="false">IF(AK36=0,"",IF(AW36="None",IF(O36&gt;0,"No longer accruing","Not eligible - "&amp;IF(AND(OR(ISNUMBER(SEARCH("part",$C36)),UPPER(TRIM($C36))="PT",UPPER(TRIM($C36))="PTE"),Apply2026="No"),"part-time (scheme is full-time only)",IF(AND(OR(ISNUMBER(SEARCH("part",$C36)),UPPER(TRIM($C36))="PT",UPPER(TRIM($C36))="PTE"),$P36&lt;&gt;"",N($P36)&lt;PT_MinHours),"under "&amp;PT_MinHours&amp;" hrs",IF(IF($C36="","",IF(OR(ISNUMBER(SEARCH("full",$C36)),UPPER(TRIM($C36))="FT",UPPER(TRIM($C36))="FTE"),"Full-Time",IF(OR(ISNUMBER(SEARCH("part",$C36)),UPPER(TRIM($C36))="PT",UPPER(TRIM($C36))="PTE"),"Part-Time",IF(OR(ISNUMBER(SEARCH("cas",$C36)),UPPER(TRIM($C36))="CAS"),"Casual","Unknown"))))="Unknown","type not recognised",$C36)))),IF(O36&gt;0,"Yes - Accrual Required","Not yet - from "&amp;TEXT(S36,"dd/mm/yyyy"))))</f>
        <v/>
      </c>
      <c r="S36" s="14" t="str">
        <f aca="false">IF(AK36=0,"",IF(AW36="None","",EDATE(AL36,BF36)))</f>
        <v/>
      </c>
      <c r="T36" s="17" t="str">
        <f aca="false">IF(AK36=0,"",IF(NOT(LH_Ready),"",IF($F36&gt;PFYDate,0,IF(LH_ColPeriod=0,W36-U36+V36,SUMIFS(INDEX(LH_Data,0,LH_ColAcc),INDEX(LH_Data,0,LH_ColFirst),$A36,INDEX(LH_Data,0,LH_ColSur),$B36,INDEX(LH_Data,0,LH_ColCat),BonusCat,INDEX(LH_Data,0,LH_ColPeriod),LH_OpenLabel)*UnitFactor))))</f>
        <v/>
      </c>
      <c r="U36" s="17" t="str">
        <f aca="false">IF(AK36=0,"",IF(NOT(LH_Ready),"",SUMIFS(INDEX(LH_Data,0,LH_ColAcc),INDEX(LH_Data,0,LH_ColFirst),$A36,INDEX(LH_Data,0,LH_ColSur),$B36,INDEX(LH_Data,0,LH_ColCat),BonusCat,INDEX(LH_Data,0,LH_ColStart),"&gt;="&amp;AL36)*UnitFactor))</f>
        <v/>
      </c>
      <c r="V36" s="17" t="str">
        <f aca="false">IF(AK36=0,"",IF(NOT(LH_Ready),"",SUMIFS(INDEX(LH_Data,0,LH_ColTaken),INDEX(LH_Data,0,LH_ColFirst),$A36,INDEX(LH_Data,0,LH_ColSur),$B36,INDEX(LH_Data,0,LH_ColCat),BonusCat,INDEX(LH_Data,0,LH_ColStart),"&gt;="&amp;AL36)*UnitFactor))</f>
        <v/>
      </c>
      <c r="W36" s="17" t="str">
        <f aca="false">IF(AK36=0,"",IF(NOT(LH_Ready),"",IF(BH36=0,0,INDEX(INDEX(LH_Data,0,LH_ColClose),BH36-1)*UnitFactor)))</f>
        <v/>
      </c>
      <c r="X36" s="17" t="str">
        <f aca="false">IF(AK36=0,"",(MAX(0,BD36-BQ36)-MAX(0,BE36-BQ36))*HoursPerDay)</f>
        <v/>
      </c>
      <c r="Y36" s="17" t="str">
        <f aca="false">IF(AK36=0,"",IF(NOT(LH_Ready),"",IF($AI36="Yes",N(AE36)*HoursPerDay-SUMIFS(INDEX(LH_Data,0,LH_ColAcc),INDEX(LH_Data,0,LH_ColFirst),$A36,INDEX(LH_Data,0,LH_ColSur),$B36,INDEX(LH_Data,0,LH_ColCat),BonusCat,INDEX(LH_Data,0,LH_ColStart),"&gt;="&amp;(EOMONTH(AsOfDate,-1)+1),INDEX(LH_Data,0,LH_ColStart),"&lt;="&amp;AsOfDate)*UnitFactor,IF(BG36=0,N36,N36-N(T36)-N(U36)))))</f>
        <v/>
      </c>
      <c r="Z36" s="16" t="str">
        <f aca="false">IF(OR(AK36=0,Y36=""),"",IF(Y36&gt;0,"Yes","No"))</f>
        <v/>
      </c>
      <c r="AA36" s="16" t="str">
        <f aca="false">IF(AK36=0,IF(LEN($A36&amp;$B36)=0,"","FIX INPUT - StartDate missing"),IF(AD36&lt;&gt;"","FIX INPUT - "&amp;AD36,IF(NOT(LH_Ready),"Paste Leave History export (Settings must show YES)",IF(AND($AI36="Yes",Y36&lt;=0),"OK - EH balance accepted to date"&amp;IF(N(AH36)&gt;0," (EH holds "&amp;AH36&amp;" hrs over the scheme)","")&amp;"; next day "&amp;TEXT(S36,"dd mmm yy")&amp;IF(N(AE36)&gt;0," ("&amp;AE36&amp;" day(s) for "&amp;UPPER(TEXT(AsOfDate,"mmm yyyy"))&amp;" already in EH)",""),IF(Y36&gt;0,"ACCRUE "&amp;ROUND(Y36,2)&amp;" hrs ("&amp;ROUND(Y36/HoursPerDay,2)&amp;" days): "&amp;IF(N(AE36)&gt;0,AE36&amp;" day(s) for "&amp;UPPER(TEXT(AsOfDate,"mmm yyyy"))&amp;" (milestone "&amp;UPPER(TEXT(AF36,"dd mmm yy"))&amp;")"&amp;IF(Y36/HoursPerDay&gt;AE36+0.001," + "&amp;ROUND(Y36/HoursPerDay-AE36,2)&amp;" day(s) catch-up from earlier months",""),"all catch-up from earlier months, nothing new this month")&amp;IF(BG36=0,"; no Bonus Leave in EH yet",""),IF(Y36&lt;0,"CHECK - EH accrued "&amp;ROUND(-Y36,2)&amp;" hrs more than policy since commencement",IF(N(W36)&gt;O36*HoursPerDay+0.01,"CHECK - EH balance "&amp;ROUND(W36-O36*HoursPerDay,2)&amp;" hrs more than policy entitlement",IF(O36&gt;0,"OK - nothing to add"&amp;IF(N(AE36)&gt;0," ("&amp;AE36&amp;" day(s) for "&amp;UPPER(TEXT(AsOfDate,"mmm yyyy"))&amp;" already in EH)",""),IF(AW36="None",R36,"Not yet - first day on "&amp;TEXT(S36,"dd/mm/yyyy"))))))))))</f>
        <v/>
      </c>
      <c r="AB36" s="17" t="str">
        <f aca="false">IF(OR(AK36=0,T36=""),"",MAX(0,BE36-BQ36)*HoursPerDay-T36)</f>
        <v/>
      </c>
      <c r="AC36" s="16" t="str">
        <f aca="false">IF(AK36=0,"",BG36)</f>
        <v/>
      </c>
      <c r="AD36" s="16" t="str">
        <f aca="false">IF(AK36=0,"",TRIM(IF(OR(ISTEXT($F36),ISTEXT($H36),ISTEXT($I36),ISTEXT($G36),ISTEXT($J36),ISTEXT($D36)),"A date is typed as text - retype it as dd/mm/yyyy. ","")&amp;IF(IF($C36="","",IF(OR(ISNUMBER(SEARCH("full",$C36)),UPPER(TRIM($C36))="FT",UPPER(TRIM($C36))="FTE"),"Full-Time",IF(OR(ISNUMBER(SEARCH("part",$C36)),UPPER(TRIM($C36))="PT",UPPER(TRIM($C36))="PTE"),"Part-Time",IF(OR(ISNUMBER(SEARCH("cas",$C36)),UPPER(TRIM($C36))="CAS"),"Casual","Unknown"))))="Unknown","EmploymentType not recognised - use Full-Time, Part-Time or Casual. ","")&amp;IF(AND(AM36&gt;=1,IF(AM36&gt;=3,AS36,IF(AM36=2,AR36,AQ36))&lt;&gt;IF($C36="","",IF(OR(ISNUMBER(SEARCH("full",$C36)),UPPER(TRIM($C36))="FT",UPPER(TRIM($C36))="FTE"),"Full-Time",IF(OR(ISNUMBER(SEARCH("part",$C36)),UPPER(TRIM($C36))="PT",UPPER(TRIM($C36))="PTE"),"Part-Time",IF(OR(ISNUMBER(SEARCH("cas",$C36)),UPPER(TRIM($C36))="CAS"),"Casual","Unknown"))))),"EmploymentType does not match latest start date ("&amp;IF(AM36&gt;=3,AS36,IF(AM36=2,AR36,AQ36))&amp;"). ","")&amp;IF(AND(AM36&gt;=1,AN36&lt;&gt;$F36),"Earliest type date should equal StartDate. ","")&amp;IF(AND(AM36&gt;=2,AN36=AO36),"Two types start on the same date. ","")&amp;IF(AND(OR(ISNUMBER(SEARCH("part",$C36)),UPPER(TRIM($C36))="PT",UPPER(TRIM($C36))="PTE"),$P36=""),"Part-time: enter PT Hrs/Week (blank = 24+). ","")))</f>
        <v/>
      </c>
      <c r="AE36" s="17" t="str">
        <f aca="false">IF(AK36=0,"",O36-MAX(0,BL36-BQ36))</f>
        <v/>
      </c>
      <c r="AF36" s="14" t="str">
        <f aca="false">IF(OR(AK36=0,AE36="",N(AE36)=0,BM36=""),"",EDATE(AL36,BM36))</f>
        <v/>
      </c>
      <c r="AG36" s="17" t="str">
        <f aca="false">IF(AK36=0,"",MIN(BD36,BQ36))</f>
        <v/>
      </c>
      <c r="AH36" s="17" t="str">
        <f aca="false">IF(AK36=0,"",IF(NOT(LH_Ready),"",IF(BG36=0,0,MAX(0,ROUND(N(T36)+N(U36)-N36,2)))))</f>
        <v/>
      </c>
      <c r="AI36" s="12"/>
      <c r="AJ36" s="12"/>
      <c r="AK36" s="16" t="n">
        <f aca="false">IF(OR(LEN($A36&amp;$B36)=0,$F36=""),0,1)</f>
        <v>0</v>
      </c>
      <c r="AL36" s="14" t="str">
        <f aca="false">IF(AK36=0,"",IF(PreSchemeCounts="No",MAX(SchemeStart,IF($J36&lt;&gt;"",$J36,IF(OR(CasualCounts="Yes",COUNT($G36:$I36)=0),$F36,IF(Apply2026="No",IF($I36="",$F36,$I36),IF(COUNT($H36:$I36)=0,$F36,MIN($H36:$I36)))))),IF($J36&lt;&gt;"",$J36,IF(OR(CasualCounts="Yes",COUNT($G36:$I36)=0),$F36,IF(Apply2026="No",IF($I36="",$F36,$I36),IF(COUNT($H36:$I36)=0,$F36,MIN($H36:$I36)))))))</f>
        <v/>
      </c>
      <c r="AM36" s="16" t="str">
        <f aca="false">IF(AK36=0,"",COUNT($G36:$I36))</f>
        <v/>
      </c>
      <c r="AN36" s="14" t="str">
        <f aca="false">IF(AK36=0,"",IFERROR(SMALL($G36:$I36,1),""))</f>
        <v/>
      </c>
      <c r="AO36" s="14" t="str">
        <f aca="false">IF(AK36=0,"",IFERROR(SMALL($G36:$I36,2),""))</f>
        <v/>
      </c>
      <c r="AP36" s="14" t="str">
        <f aca="false">IF(AK36=0,"",IFERROR(SMALL($G36:$I36,3),""))</f>
        <v/>
      </c>
      <c r="AQ36" s="16" t="str">
        <f aca="false">IF(AK36=0,"",IF(AN36="","",IF(AN36=$H36,"Part-Time",IF(AN36=$I36,"Full-Time","Casual"))))</f>
        <v/>
      </c>
      <c r="AR36" s="16" t="str">
        <f aca="false">IF(AK36=0,"",IF(AO36="","",IF(AO36=$H36,"Part-Time",IF(AO36=$I36,"Full-Time","Casual"))))</f>
        <v/>
      </c>
      <c r="AS36" s="16" t="str">
        <f aca="false">IF(AK36=0,"",IF(AP36="","",IF(AP36=$H36,"Part-Time",IF(AP36=$I36,"Full-Time","Casual"))))</f>
        <v/>
      </c>
      <c r="AT36" s="16" t="str">
        <f aca="false">IF(AK36=0,"",IF(AM36=0,IF(OR(ISNUMBER(SEARCH("full",$C36)),UPPER(TRIM($C36))="FT",UPPER(TRIM($C36))="FTE"),"FT",IF(AND(OR(ISNUMBER(SEARCH("part",$C36)),UPPER(TRIM($C36))="PT",UPPER(TRIM($C36))="PTE"),Apply2026="Yes",OR($P36="",N($P36)&gt;=PT_MinHours)),"PT","None")),IF(OR(ISNUMBER(SEARCH("full",AQ36)),UPPER(TRIM(AQ36))="FT",UPPER(TRIM(AQ36))="FTE"),"FT",IF(AND(OR(ISNUMBER(SEARCH("part",AQ36)),UPPER(TRIM(AQ36))="PT",UPPER(TRIM(AQ36))="PTE"),Apply2026="Yes",OR($P36="",N($P36)&gt;=PT_MinHours)),"PT","None"))))</f>
        <v/>
      </c>
      <c r="AU36" s="16" t="str">
        <f aca="false">IF(AK36=0,"",IF(AM36&lt;2,"",IF(OR(ISNUMBER(SEARCH("full",AR36)),UPPER(TRIM(AR36))="FT",UPPER(TRIM(AR36))="FTE"),"FT",IF(AND(OR(ISNUMBER(SEARCH("part",AR36)),UPPER(TRIM(AR36))="PT",UPPER(TRIM(AR36))="PTE"),Apply2026="Yes",OR($P36="",N($P36)&gt;=PT_MinHours)),"PT","None"))))</f>
        <v/>
      </c>
      <c r="AV36" s="16" t="str">
        <f aca="false">IF(AK36=0,"",IF(AM36&lt;3,"",IF(OR(ISNUMBER(SEARCH("full",AS36)),UPPER(TRIM(AS36))="FT",UPPER(TRIM(AS36))="FTE"),"FT",IF(AND(OR(ISNUMBER(SEARCH("part",AS36)),UPPER(TRIM(AS36))="PT",UPPER(TRIM(AS36))="PTE"),Apply2026="Yes",OR($P36="",N($P36)&gt;=PT_MinHours)),"PT","None"))))</f>
        <v/>
      </c>
      <c r="AW36" s="16" t="str">
        <f aca="false">IF(AK36=0,"",IF(AND(AM36&gt;=3,AP36&lt;=AsOfDate),AV36,IF(AND(AM36&gt;=2,AO36&lt;=AsOfDate),AU36,AT36)))</f>
        <v/>
      </c>
      <c r="AX36" s="16" t="str">
        <f aca="false">IF(AK36=0,"",IF(AsOfDate&lt;AL36,-1,12*(YEAR(AsOfDate)-YEAR(AL36))+MONTH(AsOfDate)-MONTH(AL36)-IF(DAY(AsOfDate)&lt;MIN(DAY(AL36),DAY(EOMONTH(AsOfDate,0))),1,0)))</f>
        <v/>
      </c>
      <c r="AY36" s="16" t="str">
        <f aca="false">IF(AK36=0,"",IF(OR(AM36&lt;2,AO36&gt;AsOfDate),AX36,IF((AO36-1)&lt;AL36,-1,12*(YEAR((AO36-1))-YEAR(AL36))+MONTH((AO36-1))-MONTH(AL36)-IF(DAY((AO36-1))&lt;MIN(DAY(AL36),DAY(EOMONTH((AO36-1),0))),1,0))))</f>
        <v/>
      </c>
      <c r="AZ36" s="16" t="str">
        <f aca="false">IF(AK36=0,"",IF(OR(AM36&lt;3,AP36&gt;AsOfDate),AX36,IF((AP36-1)&lt;AL36,-1,12*(YEAR((AP36-1))-YEAR(AL36))+MONTH((AP36-1))-MONTH(AL36)-IF(DAY((AP36-1))&lt;MIN(DAY(AL36),DAY(EOMONTH((AP36-1),0))),1,0))))</f>
        <v/>
      </c>
      <c r="BA36" s="16" t="str">
        <f aca="false">IF(AK36=0,"",IF(PFYDate&lt;AL36,-1,12*(YEAR(PFYDate)-YEAR(AL36))+MONTH(PFYDate)-MONTH(AL36)-IF(DAY(PFYDate)&lt;MIN(DAY(AL36),DAY(EOMONTH(PFYDate,0))),1,0)))</f>
        <v/>
      </c>
      <c r="BB36" s="16" t="str">
        <f aca="false">IF(AK36=0,"",IF(OR(AM36&lt;2,AO36&gt;PFYDate),BA36,IF((AO36-1)&lt;AL36,-1,12*(YEAR((AO36-1))-YEAR(AL36))+MONTH((AO36-1))-MONTH(AL36)-IF(DAY((AO36-1))&lt;MIN(DAY(AL36),DAY(EOMONTH((AO36-1),0))),1,0))))</f>
        <v/>
      </c>
      <c r="BC36" s="16" t="str">
        <f aca="false">IF(AK36=0,"",IF(OR(AM36&lt;3,AP36&gt;PFYDate),BA36,IF((AP36-1)&lt;AL36,-1,12*(YEAR((AP36-1))-YEAR(AL36))+MONTH((AP36-1))-MONTH(AL36)-IF(DAY((AP36-1))&lt;MIN(DAY(AL36),DAY(EOMONTH((AP36-1),0))),1,0))))</f>
        <v/>
      </c>
      <c r="BD36" s="16" t="str">
        <f aca="false">IF(AK36=0,"",IF(AT36="FT",IF(AY36&lt;FT_First,0,IF(AY36&lt;FT_Y5,1+INT((AY36-FT_First)/FT_Int1),FT_PreY5+FT_PerYear*INT((AY36-FT_Y5)/12)+FT_AnnivDays+INT(MOD(AY36-FT_Y5,12)/FT_Int2)-IF(EDATE(AL36,FT_Y5)&lt;PolicyEff,FT_AnnivDays-1,0))),IF(AT36="PT",IF(AY36&lt;PT_First,0,1+INT((AY36-PT_First)/PT_Int)),0))+IF(AND(AM36&gt;=2,AO36&lt;=AsOfDate),IF(AU36="FT",IF(AZ36&lt;FT_First,0,IF(AZ36&lt;FT_Y5,1+INT((AZ36-FT_First)/FT_Int1),FT_PreY5+FT_PerYear*INT((AZ36-FT_Y5)/12)+FT_AnnivDays+INT(MOD(AZ36-FT_Y5,12)/FT_Int2)-IF(EDATE(AL36,FT_Y5)&lt;PolicyEff,FT_AnnivDays-1,0))),IF(AU36="PT",IF(AZ36&lt;PT_First,0,1+INT((AZ36-PT_First)/PT_Int)),0))-IF(AU36="FT",IF(AY36&lt;FT_First,0,IF(AY36&lt;FT_Y5,1+INT((AY36-FT_First)/FT_Int1),FT_PreY5+FT_PerYear*INT((AY36-FT_Y5)/12)+FT_AnnivDays+INT(MOD(AY36-FT_Y5,12)/FT_Int2)-IF(EDATE(AL36,FT_Y5)&lt;PolicyEff,FT_AnnivDays-1,0))),IF(AU36="PT",IF(AY36&lt;PT_First,0,1+INT((AY36-PT_First)/PT_Int)),0)),0)+IF(AND(AM36&gt;=3,AP36&lt;=AsOfDate),IF(AV36="FT",IF(AX36&lt;FT_First,0,IF(AX36&lt;FT_Y5,1+INT((AX36-FT_First)/FT_Int1),FT_PreY5+FT_PerYear*INT((AX36-FT_Y5)/12)+FT_AnnivDays+INT(MOD(AX36-FT_Y5,12)/FT_Int2)-IF(EDATE(AL36,FT_Y5)&lt;PolicyEff,FT_AnnivDays-1,0))),IF(AV36="PT",IF(AX36&lt;PT_First,0,1+INT((AX36-PT_First)/PT_Int)),0))-IF(AV36="FT",IF(AZ36&lt;FT_First,0,IF(AZ36&lt;FT_Y5,1+INT((AZ36-FT_First)/FT_Int1),FT_PreY5+FT_PerYear*INT((AZ36-FT_Y5)/12)+FT_AnnivDays+INT(MOD(AZ36-FT_Y5,12)/FT_Int2)-IF(EDATE(AL36,FT_Y5)&lt;PolicyEff,FT_AnnivDays-1,0))),IF(AV36="PT",IF(AZ36&lt;PT_First,0,1+INT((AZ36-PT_First)/PT_Int)),0)),0))</f>
        <v/>
      </c>
      <c r="BE36" s="16" t="str">
        <f aca="false">IF(AK36=0,"",IF(AT36="FT",IF(BB36&lt;FT_First,0,IF(BB36&lt;FT_Y5,1+INT((BB36-FT_First)/FT_Int1),FT_PreY5+FT_PerYear*INT((BB36-FT_Y5)/12)+FT_AnnivDays+INT(MOD(BB36-FT_Y5,12)/FT_Int2)-IF(EDATE(AL36,FT_Y5)&lt;PolicyEff,FT_AnnivDays-1,0))),IF(AT36="PT",IF(BB36&lt;PT_First,0,1+INT((BB36-PT_First)/PT_Int)),0))+IF(AND(AM36&gt;=2,AO36&lt;=PFYDate),IF(AU36="FT",IF(BC36&lt;FT_First,0,IF(BC36&lt;FT_Y5,1+INT((BC36-FT_First)/FT_Int1),FT_PreY5+FT_PerYear*INT((BC36-FT_Y5)/12)+FT_AnnivDays+INT(MOD(BC36-FT_Y5,12)/FT_Int2)-IF(EDATE(AL36,FT_Y5)&lt;PolicyEff,FT_AnnivDays-1,0))),IF(AU36="PT",IF(BC36&lt;PT_First,0,1+INT((BC36-PT_First)/PT_Int)),0))-IF(AU36="FT",IF(BB36&lt;FT_First,0,IF(BB36&lt;FT_Y5,1+INT((BB36-FT_First)/FT_Int1),FT_PreY5+FT_PerYear*INT((BB36-FT_Y5)/12)+FT_AnnivDays+INT(MOD(BB36-FT_Y5,12)/FT_Int2)-IF(EDATE(AL36,FT_Y5)&lt;PolicyEff,FT_AnnivDays-1,0))),IF(AU36="PT",IF(BB36&lt;PT_First,0,1+INT((BB36-PT_First)/PT_Int)),0)),0)+IF(AND(AM36&gt;=3,AP36&lt;=PFYDate),IF(AV36="FT",IF(BA36&lt;FT_First,0,IF(BA36&lt;FT_Y5,1+INT((BA36-FT_First)/FT_Int1),FT_PreY5+FT_PerYear*INT((BA36-FT_Y5)/12)+FT_AnnivDays+INT(MOD(BA36-FT_Y5,12)/FT_Int2)-IF(EDATE(AL36,FT_Y5)&lt;PolicyEff,FT_AnnivDays-1,0))),IF(AV36="PT",IF(BA36&lt;PT_First,0,1+INT((BA36-PT_First)/PT_Int)),0))-IF(AV36="FT",IF(BC36&lt;FT_First,0,IF(BC36&lt;FT_Y5,1+INT((BC36-FT_First)/FT_Int1),FT_PreY5+FT_PerYear*INT((BC36-FT_Y5)/12)+FT_AnnivDays+INT(MOD(BC36-FT_Y5,12)/FT_Int2)-IF(EDATE(AL36,FT_Y5)&lt;PolicyEff,FT_AnnivDays-1,0))),IF(AV36="PT",IF(BC36&lt;PT_First,0,1+INT((BC36-PT_First)/PT_Int)),0)),0))</f>
        <v/>
      </c>
      <c r="BF36" s="16" t="str">
        <f aca="false">IF(AK36=0,"",IF(AW36="FT",IF(AX36&lt;FT_First,FT_First,IF(AX36&lt;FT_Y5,MIN(FT_Y5,FT_First+FT_Int1*(INT((AX36-FT_First)/FT_Int1)+1)),FT_Y5+12*INT((AX36-FT_Y5)/12)+FT_Int2*(INT(MOD(AX36-FT_Y5,12)/FT_Int2)+1))),IF(AW36="PT",IF(AX36&lt;PT_First,PT_First,PT_First+PT_Int*(INT((AX36-PT_First)/PT_Int)+1)),"")))</f>
        <v/>
      </c>
      <c r="BG36" s="16" t="str">
        <f aca="false">IF(AK36=0,"",IF(NOT(LH_Ready),0,COUNTIFS(INDEX(LH_Data,0,LH_ColFirst),$A36,INDEX(LH_Data,0,LH_ColSur),$B36,INDEX(LH_Data,0,LH_ColCat),BonusCat)))</f>
        <v/>
      </c>
      <c r="BH36" s="16" t="str">
        <f aca="false">IF(AK36=0,"",IF(OR(NOT(LH_Ready),BG36=0),0,SUMPRODUCT(MAX((INDEX(LH_Data,0,LH_ColFirst)=$A36)*(INDEX(LH_Data,0,LH_ColSur)=$B36)*(INDEX(LH_Data,0,LH_ColCat)=BonusCat)*ROW(LH_Data)))))</f>
        <v/>
      </c>
      <c r="BI36" s="16" t="str">
        <f aca="false">IF(AK36=0,"",IF(EOMONTH(AsOfDate,-1)&lt;AL36,-1,12*(YEAR(EOMONTH(AsOfDate,-1))-YEAR(AL36))+MONTH(EOMONTH(AsOfDate,-1))-MONTH(AL36)-IF(DAY(EOMONTH(AsOfDate,-1))&lt;MIN(DAY(AL36),DAY(EOMONTH(EOMONTH(AsOfDate,-1),0))),1,0)))</f>
        <v/>
      </c>
      <c r="BJ36" s="16" t="str">
        <f aca="false">IF(AK36=0,"",IF(OR(AM36&lt;2,AO36&gt;EOMONTH(AsOfDate,-1)),BI36,IF((AO36-1)&lt;AL36,-1,12*(YEAR((AO36-1))-YEAR(AL36))+MONTH((AO36-1))-MONTH(AL36)-IF(DAY((AO36-1))&lt;MIN(DAY(AL36),DAY(EOMONTH((AO36-1),0))),1,0))))</f>
        <v/>
      </c>
      <c r="BK36" s="16" t="str">
        <f aca="false">IF(AK36=0,"",IF(OR(AM36&lt;3,AP36&gt;EOMONTH(AsOfDate,-1)),BI36,IF((AP36-1)&lt;AL36,-1,12*(YEAR((AP36-1))-YEAR(AL36))+MONTH((AP36-1))-MONTH(AL36)-IF(DAY((AP36-1))&lt;MIN(DAY(AL36),DAY(EOMONTH((AP36-1),0))),1,0))))</f>
        <v/>
      </c>
      <c r="BL36" s="16" t="str">
        <f aca="false">IF(AK36=0,"",IF(AT36="FT",IF(BJ36&lt;FT_First,0,IF(BJ36&lt;FT_Y5,1+INT((BJ36-FT_First)/FT_Int1),FT_PreY5+FT_PerYear*INT((BJ36-FT_Y5)/12)+FT_AnnivDays+INT(MOD(BJ36-FT_Y5,12)/FT_Int2)-IF(EDATE(AL36,FT_Y5)&lt;PolicyEff,FT_AnnivDays-1,0))),IF(AT36="PT",IF(BJ36&lt;PT_First,0,1+INT((BJ36-PT_First)/PT_Int)),0))+IF(AND(AM36&gt;=2,AO36&lt;=EOMONTH(AsOfDate,-1)),IF(AU36="FT",IF(BK36&lt;FT_First,0,IF(BK36&lt;FT_Y5,1+INT((BK36-FT_First)/FT_Int1),FT_PreY5+FT_PerYear*INT((BK36-FT_Y5)/12)+FT_AnnivDays+INT(MOD(BK36-FT_Y5,12)/FT_Int2)-IF(EDATE(AL36,FT_Y5)&lt;PolicyEff,FT_AnnivDays-1,0))),IF(AU36="PT",IF(BK36&lt;PT_First,0,1+INT((BK36-PT_First)/PT_Int)),0))-IF(AU36="FT",IF(BJ36&lt;FT_First,0,IF(BJ36&lt;FT_Y5,1+INT((BJ36-FT_First)/FT_Int1),FT_PreY5+FT_PerYear*INT((BJ36-FT_Y5)/12)+FT_AnnivDays+INT(MOD(BJ36-FT_Y5,12)/FT_Int2)-IF(EDATE(AL36,FT_Y5)&lt;PolicyEff,FT_AnnivDays-1,0))),IF(AU36="PT",IF(BJ36&lt;PT_First,0,1+INT((BJ36-PT_First)/PT_Int)),0)),0)+IF(AND(AM36&gt;=3,AP36&lt;=EOMONTH(AsOfDate,-1)),IF(AV36="FT",IF(BI36&lt;FT_First,0,IF(BI36&lt;FT_Y5,1+INT((BI36-FT_First)/FT_Int1),FT_PreY5+FT_PerYear*INT((BI36-FT_Y5)/12)+FT_AnnivDays+INT(MOD(BI36-FT_Y5,12)/FT_Int2)-IF(EDATE(AL36,FT_Y5)&lt;PolicyEff,FT_AnnivDays-1,0))),IF(AV36="PT",IF(BI36&lt;PT_First,0,1+INT((BI36-PT_First)/PT_Int)),0))-IF(AV36="FT",IF(BK36&lt;FT_First,0,IF(BK36&lt;FT_Y5,1+INT((BK36-FT_First)/FT_Int1),FT_PreY5+FT_PerYear*INT((BK36-FT_Y5)/12)+FT_AnnivDays+INT(MOD(BK36-FT_Y5,12)/FT_Int2)-IF(EDATE(AL36,FT_Y5)&lt;PolicyEff,FT_AnnivDays-1,0))),IF(AV36="PT",IF(BK36&lt;PT_First,0,1+INT((BK36-PT_First)/PT_Int)),0)),0))</f>
        <v/>
      </c>
      <c r="BM36" s="16" t="str">
        <f aca="false">IF(AK36=0,"",IF(AW36="FT",IF(AX36&lt;FT_First,"",IF(AX36&lt;FT_Y5,FT_First+FT_Int1*INT((AX36-FT_First)/FT_Int1),FT_Y5+FT_Int2*INT((AX36-FT_Y5)/FT_Int2))),IF(AW36="PT",IF(AX36&lt;PT_First,"",PT_First+PT_Int*INT((AX36-PT_First)/PT_Int)),"")))</f>
        <v/>
      </c>
      <c r="BN36" s="16" t="str">
        <f aca="false">IF(AK36=0,"",IF((SchemeStart-1)&lt;AL36,-1,12*(YEAR((SchemeStart-1))-YEAR(AL36))+MONTH((SchemeStart-1))-MONTH(AL36)-IF(DAY((SchemeStart-1))&lt;MIN(DAY(AL36),DAY(EOMONTH((SchemeStart-1),0))),1,0)))</f>
        <v/>
      </c>
      <c r="BO36" s="16" t="str">
        <f aca="false">IF(AK36=0,"",IF(OR(AM36&lt;2,AO36&gt;(SchemeStart-1)),BN36,IF((AO36-1)&lt;AL36,-1,12*(YEAR((AO36-1))-YEAR(AL36))+MONTH((AO36-1))-MONTH(AL36)-IF(DAY((AO36-1))&lt;MIN(DAY(AL36),DAY(EOMONTH((AO36-1),0))),1,0))))</f>
        <v/>
      </c>
      <c r="BP36" s="16" t="str">
        <f aca="false">IF(AK36=0,"",IF(OR(AM36&lt;3,AP36&gt;(SchemeStart-1)),BN36,IF((AP36-1)&lt;AL36,-1,12*(YEAR((AP36-1))-YEAR(AL36))+MONTH((AP36-1))-MONTH(AL36)-IF(DAY((AP36-1))&lt;MIN(DAY(AL36),DAY(EOMONTH((AP36-1),0))),1,0))))</f>
        <v/>
      </c>
      <c r="BQ36" s="16" t="str">
        <f aca="false">IF(AK36=0,"",IF(AT36="FT",IF(BO36&lt;FT_First,0,IF(BO36&lt;FT_Y5,1+INT((BO36-FT_First)/FT_Int1),FT_PreY5+FT_PerYear*INT((BO36-FT_Y5)/12)+FT_AnnivDays+INT(MOD(BO36-FT_Y5,12)/FT_Int2)-IF(EDATE(AL36,FT_Y5)&lt;PolicyEff,FT_AnnivDays-1,0))),IF(AT36="PT",IF(BO36&lt;PT_First,0,1+INT((BO36-PT_First)/PT_Int)),0))+IF(AND(AM36&gt;=2,AO36&lt;=(SchemeStart-1)),IF(AU36="FT",IF(BP36&lt;FT_First,0,IF(BP36&lt;FT_Y5,1+INT((BP36-FT_First)/FT_Int1),FT_PreY5+FT_PerYear*INT((BP36-FT_Y5)/12)+FT_AnnivDays+INT(MOD(BP36-FT_Y5,12)/FT_Int2)-IF(EDATE(AL36,FT_Y5)&lt;PolicyEff,FT_AnnivDays-1,0))),IF(AU36="PT",IF(BP36&lt;PT_First,0,1+INT((BP36-PT_First)/PT_Int)),0))-IF(AU36="FT",IF(BO36&lt;FT_First,0,IF(BO36&lt;FT_Y5,1+INT((BO36-FT_First)/FT_Int1),FT_PreY5+FT_PerYear*INT((BO36-FT_Y5)/12)+FT_AnnivDays+INT(MOD(BO36-FT_Y5,12)/FT_Int2)-IF(EDATE(AL36,FT_Y5)&lt;PolicyEff,FT_AnnivDays-1,0))),IF(AU36="PT",IF(BO36&lt;PT_First,0,1+INT((BO36-PT_First)/PT_Int)),0)),0)+IF(AND(AM36&gt;=3,AP36&lt;=(SchemeStart-1)),IF(AV36="FT",IF(BN36&lt;FT_First,0,IF(BN36&lt;FT_Y5,1+INT((BN36-FT_First)/FT_Int1),FT_PreY5+FT_PerYear*INT((BN36-FT_Y5)/12)+FT_AnnivDays+INT(MOD(BN36-FT_Y5,12)/FT_Int2)-IF(EDATE(AL36,FT_Y5)&lt;PolicyEff,FT_AnnivDays-1,0))),IF(AV36="PT",IF(BN36&lt;PT_First,0,1+INT((BN36-PT_First)/PT_Int)),0))-IF(AV36="FT",IF(BP36&lt;FT_First,0,IF(BP36&lt;FT_Y5,1+INT((BP36-FT_First)/FT_Int1),FT_PreY5+FT_PerYear*INT((BP36-FT_Y5)/12)+FT_AnnivDays+INT(MOD(BP36-FT_Y5,12)/FT_Int2)-IF(EDATE(AL36,FT_Y5)&lt;PolicyEff,FT_AnnivDays-1,0))),IF(AV36="PT",IF(BP36&lt;PT_First,0,1+INT((BP36-PT_First)/PT_Int)),0)),0))</f>
        <v/>
      </c>
      <c r="BR36" s="0" t="str">
        <f aca="false">IF(LEN($A36&amp;$B36)=0,"",$A36&amp;" "&amp;$B36)</f>
        <v/>
      </c>
    </row>
    <row r="37" customFormat="false" ht="15" hidden="false" customHeight="false" outlineLevel="0" collapsed="false">
      <c r="A37" s="12"/>
      <c r="B37" s="12"/>
      <c r="C37" s="12"/>
      <c r="D37" s="13"/>
      <c r="E37" s="14" t="str">
        <f aca="false">IF(OR(AK37=0,$D37=""),"",DATE(YEAR(AsOfDate)+IF(DATE(YEAR(AsOfDate),MONTH($D37),DAY($D37))&lt;=AsOfDate,1,0),MONTH($D37),DAY($D37)))</f>
        <v/>
      </c>
      <c r="F37" s="13"/>
      <c r="G37" s="13"/>
      <c r="H37" s="13"/>
      <c r="I37" s="13"/>
      <c r="J37" s="13"/>
      <c r="K37" s="14" t="str">
        <f aca="false">IF(AK37=0,"",DATE(YEAR(AsOfDate)+IF(DATE(YEAR(AsOfDate),MONTH(AL37),DAY(AL37))&lt;=AsOfDate,1,0),MONTH(AL37),DAY(AL37)))</f>
        <v/>
      </c>
      <c r="L37" s="15" t="str">
        <f aca="false">IF(AK37=0,"",ROUND((AsOfDate-AL37)/365.25,1))</f>
        <v/>
      </c>
      <c r="M37" s="16" t="str">
        <f aca="false">IF(AK37=0,"",IF(AsOfDate&lt;AL37,"-",DATEDIF(AL37,AsOfDate,"y")&amp;"y "&amp;DATEDIF(AL37,AsOfDate,"ym")&amp;"m "&amp;DATEDIF(AL37,AsOfDate,"md")&amp;"d"))</f>
        <v/>
      </c>
      <c r="N37" s="17" t="str">
        <f aca="false">IF(AK37=0,"",O37*HoursPerDay)</f>
        <v/>
      </c>
      <c r="O37" s="17" t="str">
        <f aca="false">IF(AK37=0,"",MAX(0,BD37-BQ37))</f>
        <v/>
      </c>
      <c r="P37" s="18"/>
      <c r="Q37" s="16" t="str">
        <f aca="false">IF(AK37=0,"",IF(AM37&lt;2,"",AQ37&amp;" to "&amp;AR37&amp;" on "&amp;TEXT(AO37,"dd/mm/yyyy")&amp;IF(AO37&gt;AsOfDate," (future)",IF(AT37=AU37,"",IF(AU37="None"," - STOPPED accruing",IF(AT37="None"," - commencement for Bonus Leave"," - pathway changed"))))&amp;IF(AM37&lt;3,"","; "&amp;AR37&amp;" to "&amp;AS37&amp;" on "&amp;TEXT(AP37,"dd/mm/yyyy")&amp;IF(AP37&gt;AsOfDate," (future)",IF(AU37=AV37,"",IF(AV37="None"," - STOPPED accruing",IF(AU37="None"," - commencement for Bonus Leave"," - pathway changed")))))))</f>
        <v/>
      </c>
      <c r="R37" s="16" t="str">
        <f aca="false">IF(AK37=0,"",IF(AW37="None",IF(O37&gt;0,"No longer accruing","Not eligible - "&amp;IF(AND(OR(ISNUMBER(SEARCH("part",$C37)),UPPER(TRIM($C37))="PT",UPPER(TRIM($C37))="PTE"),Apply2026="No"),"part-time (scheme is full-time only)",IF(AND(OR(ISNUMBER(SEARCH("part",$C37)),UPPER(TRIM($C37))="PT",UPPER(TRIM($C37))="PTE"),$P37&lt;&gt;"",N($P37)&lt;PT_MinHours),"under "&amp;PT_MinHours&amp;" hrs",IF(IF($C37="","",IF(OR(ISNUMBER(SEARCH("full",$C37)),UPPER(TRIM($C37))="FT",UPPER(TRIM($C37))="FTE"),"Full-Time",IF(OR(ISNUMBER(SEARCH("part",$C37)),UPPER(TRIM($C37))="PT",UPPER(TRIM($C37))="PTE"),"Part-Time",IF(OR(ISNUMBER(SEARCH("cas",$C37)),UPPER(TRIM($C37))="CAS"),"Casual","Unknown"))))="Unknown","type not recognised",$C37)))),IF(O37&gt;0,"Yes - Accrual Required","Not yet - from "&amp;TEXT(S37,"dd/mm/yyyy"))))</f>
        <v/>
      </c>
      <c r="S37" s="14" t="str">
        <f aca="false">IF(AK37=0,"",IF(AW37="None","",EDATE(AL37,BF37)))</f>
        <v/>
      </c>
      <c r="T37" s="17" t="str">
        <f aca="false">IF(AK37=0,"",IF(NOT(LH_Ready),"",IF($F37&gt;PFYDate,0,IF(LH_ColPeriod=0,W37-U37+V37,SUMIFS(INDEX(LH_Data,0,LH_ColAcc),INDEX(LH_Data,0,LH_ColFirst),$A37,INDEX(LH_Data,0,LH_ColSur),$B37,INDEX(LH_Data,0,LH_ColCat),BonusCat,INDEX(LH_Data,0,LH_ColPeriod),LH_OpenLabel)*UnitFactor))))</f>
        <v/>
      </c>
      <c r="U37" s="17" t="str">
        <f aca="false">IF(AK37=0,"",IF(NOT(LH_Ready),"",SUMIFS(INDEX(LH_Data,0,LH_ColAcc),INDEX(LH_Data,0,LH_ColFirst),$A37,INDEX(LH_Data,0,LH_ColSur),$B37,INDEX(LH_Data,0,LH_ColCat),BonusCat,INDEX(LH_Data,0,LH_ColStart),"&gt;="&amp;AL37)*UnitFactor))</f>
        <v/>
      </c>
      <c r="V37" s="17" t="str">
        <f aca="false">IF(AK37=0,"",IF(NOT(LH_Ready),"",SUMIFS(INDEX(LH_Data,0,LH_ColTaken),INDEX(LH_Data,0,LH_ColFirst),$A37,INDEX(LH_Data,0,LH_ColSur),$B37,INDEX(LH_Data,0,LH_ColCat),BonusCat,INDEX(LH_Data,0,LH_ColStart),"&gt;="&amp;AL37)*UnitFactor))</f>
        <v/>
      </c>
      <c r="W37" s="17" t="str">
        <f aca="false">IF(AK37=0,"",IF(NOT(LH_Ready),"",IF(BH37=0,0,INDEX(INDEX(LH_Data,0,LH_ColClose),BH37-1)*UnitFactor)))</f>
        <v/>
      </c>
      <c r="X37" s="17" t="str">
        <f aca="false">IF(AK37=0,"",(MAX(0,BD37-BQ37)-MAX(0,BE37-BQ37))*HoursPerDay)</f>
        <v/>
      </c>
      <c r="Y37" s="17" t="str">
        <f aca="false">IF(AK37=0,"",IF(NOT(LH_Ready),"",IF($AI37="Yes",N(AE37)*HoursPerDay-SUMIFS(INDEX(LH_Data,0,LH_ColAcc),INDEX(LH_Data,0,LH_ColFirst),$A37,INDEX(LH_Data,0,LH_ColSur),$B37,INDEX(LH_Data,0,LH_ColCat),BonusCat,INDEX(LH_Data,0,LH_ColStart),"&gt;="&amp;(EOMONTH(AsOfDate,-1)+1),INDEX(LH_Data,0,LH_ColStart),"&lt;="&amp;AsOfDate)*UnitFactor,IF(BG37=0,N37,N37-N(T37)-N(U37)))))</f>
        <v/>
      </c>
      <c r="Z37" s="16" t="str">
        <f aca="false">IF(OR(AK37=0,Y37=""),"",IF(Y37&gt;0,"Yes","No"))</f>
        <v/>
      </c>
      <c r="AA37" s="16" t="str">
        <f aca="false">IF(AK37=0,IF(LEN($A37&amp;$B37)=0,"","FIX INPUT - StartDate missing"),IF(AD37&lt;&gt;"","FIX INPUT - "&amp;AD37,IF(NOT(LH_Ready),"Paste Leave History export (Settings must show YES)",IF(AND($AI37="Yes",Y37&lt;=0),"OK - EH balance accepted to date"&amp;IF(N(AH37)&gt;0," (EH holds "&amp;AH37&amp;" hrs over the scheme)","")&amp;"; next day "&amp;TEXT(S37,"dd mmm yy")&amp;IF(N(AE37)&gt;0," ("&amp;AE37&amp;" day(s) for "&amp;UPPER(TEXT(AsOfDate,"mmm yyyy"))&amp;" already in EH)",""),IF(Y37&gt;0,"ACCRUE "&amp;ROUND(Y37,2)&amp;" hrs ("&amp;ROUND(Y37/HoursPerDay,2)&amp;" days): "&amp;IF(N(AE37)&gt;0,AE37&amp;" day(s) for "&amp;UPPER(TEXT(AsOfDate,"mmm yyyy"))&amp;" (milestone "&amp;UPPER(TEXT(AF37,"dd mmm yy"))&amp;")"&amp;IF(Y37/HoursPerDay&gt;AE37+0.001," + "&amp;ROUND(Y37/HoursPerDay-AE37,2)&amp;" day(s) catch-up from earlier months",""),"all catch-up from earlier months, nothing new this month")&amp;IF(BG37=0,"; no Bonus Leave in EH yet",""),IF(Y37&lt;0,"CHECK - EH accrued "&amp;ROUND(-Y37,2)&amp;" hrs more than policy since commencement",IF(N(W37)&gt;O37*HoursPerDay+0.01,"CHECK - EH balance "&amp;ROUND(W37-O37*HoursPerDay,2)&amp;" hrs more than policy entitlement",IF(O37&gt;0,"OK - nothing to add"&amp;IF(N(AE37)&gt;0," ("&amp;AE37&amp;" day(s) for "&amp;UPPER(TEXT(AsOfDate,"mmm yyyy"))&amp;" already in EH)",""),IF(AW37="None",R37,"Not yet - first day on "&amp;TEXT(S37,"dd/mm/yyyy"))))))))))</f>
        <v/>
      </c>
      <c r="AB37" s="17" t="str">
        <f aca="false">IF(OR(AK37=0,T37=""),"",MAX(0,BE37-BQ37)*HoursPerDay-T37)</f>
        <v/>
      </c>
      <c r="AC37" s="16" t="str">
        <f aca="false">IF(AK37=0,"",BG37)</f>
        <v/>
      </c>
      <c r="AD37" s="16" t="str">
        <f aca="false">IF(AK37=0,"",TRIM(IF(OR(ISTEXT($F37),ISTEXT($H37),ISTEXT($I37),ISTEXT($G37),ISTEXT($J37),ISTEXT($D37)),"A date is typed as text - retype it as dd/mm/yyyy. ","")&amp;IF(IF($C37="","",IF(OR(ISNUMBER(SEARCH("full",$C37)),UPPER(TRIM($C37))="FT",UPPER(TRIM($C37))="FTE"),"Full-Time",IF(OR(ISNUMBER(SEARCH("part",$C37)),UPPER(TRIM($C37))="PT",UPPER(TRIM($C37))="PTE"),"Part-Time",IF(OR(ISNUMBER(SEARCH("cas",$C37)),UPPER(TRIM($C37))="CAS"),"Casual","Unknown"))))="Unknown","EmploymentType not recognised - use Full-Time, Part-Time or Casual. ","")&amp;IF(AND(AM37&gt;=1,IF(AM37&gt;=3,AS37,IF(AM37=2,AR37,AQ37))&lt;&gt;IF($C37="","",IF(OR(ISNUMBER(SEARCH("full",$C37)),UPPER(TRIM($C37))="FT",UPPER(TRIM($C37))="FTE"),"Full-Time",IF(OR(ISNUMBER(SEARCH("part",$C37)),UPPER(TRIM($C37))="PT",UPPER(TRIM($C37))="PTE"),"Part-Time",IF(OR(ISNUMBER(SEARCH("cas",$C37)),UPPER(TRIM($C37))="CAS"),"Casual","Unknown"))))),"EmploymentType does not match latest start date ("&amp;IF(AM37&gt;=3,AS37,IF(AM37=2,AR37,AQ37))&amp;"). ","")&amp;IF(AND(AM37&gt;=1,AN37&lt;&gt;$F37),"Earliest type date should equal StartDate. ","")&amp;IF(AND(AM37&gt;=2,AN37=AO37),"Two types start on the same date. ","")&amp;IF(AND(OR(ISNUMBER(SEARCH("part",$C37)),UPPER(TRIM($C37))="PT",UPPER(TRIM($C37))="PTE"),$P37=""),"Part-time: enter PT Hrs/Week (blank = 24+). ","")))</f>
        <v/>
      </c>
      <c r="AE37" s="17" t="str">
        <f aca="false">IF(AK37=0,"",O37-MAX(0,BL37-BQ37))</f>
        <v/>
      </c>
      <c r="AF37" s="14" t="str">
        <f aca="false">IF(OR(AK37=0,AE37="",N(AE37)=0,BM37=""),"",EDATE(AL37,BM37))</f>
        <v/>
      </c>
      <c r="AG37" s="17" t="str">
        <f aca="false">IF(AK37=0,"",MIN(BD37,BQ37))</f>
        <v/>
      </c>
      <c r="AH37" s="17" t="str">
        <f aca="false">IF(AK37=0,"",IF(NOT(LH_Ready),"",IF(BG37=0,0,MAX(0,ROUND(N(T37)+N(U37)-N37,2)))))</f>
        <v/>
      </c>
      <c r="AI37" s="12"/>
      <c r="AJ37" s="12"/>
      <c r="AK37" s="16" t="n">
        <f aca="false">IF(OR(LEN($A37&amp;$B37)=0,$F37=""),0,1)</f>
        <v>0</v>
      </c>
      <c r="AL37" s="14" t="str">
        <f aca="false">IF(AK37=0,"",IF(PreSchemeCounts="No",MAX(SchemeStart,IF($J37&lt;&gt;"",$J37,IF(OR(CasualCounts="Yes",COUNT($G37:$I37)=0),$F37,IF(Apply2026="No",IF($I37="",$F37,$I37),IF(COUNT($H37:$I37)=0,$F37,MIN($H37:$I37)))))),IF($J37&lt;&gt;"",$J37,IF(OR(CasualCounts="Yes",COUNT($G37:$I37)=0),$F37,IF(Apply2026="No",IF($I37="",$F37,$I37),IF(COUNT($H37:$I37)=0,$F37,MIN($H37:$I37)))))))</f>
        <v/>
      </c>
      <c r="AM37" s="16" t="str">
        <f aca="false">IF(AK37=0,"",COUNT($G37:$I37))</f>
        <v/>
      </c>
      <c r="AN37" s="14" t="str">
        <f aca="false">IF(AK37=0,"",IFERROR(SMALL($G37:$I37,1),""))</f>
        <v/>
      </c>
      <c r="AO37" s="14" t="str">
        <f aca="false">IF(AK37=0,"",IFERROR(SMALL($G37:$I37,2),""))</f>
        <v/>
      </c>
      <c r="AP37" s="14" t="str">
        <f aca="false">IF(AK37=0,"",IFERROR(SMALL($G37:$I37,3),""))</f>
        <v/>
      </c>
      <c r="AQ37" s="16" t="str">
        <f aca="false">IF(AK37=0,"",IF(AN37="","",IF(AN37=$H37,"Part-Time",IF(AN37=$I37,"Full-Time","Casual"))))</f>
        <v/>
      </c>
      <c r="AR37" s="16" t="str">
        <f aca="false">IF(AK37=0,"",IF(AO37="","",IF(AO37=$H37,"Part-Time",IF(AO37=$I37,"Full-Time","Casual"))))</f>
        <v/>
      </c>
      <c r="AS37" s="16" t="str">
        <f aca="false">IF(AK37=0,"",IF(AP37="","",IF(AP37=$H37,"Part-Time",IF(AP37=$I37,"Full-Time","Casual"))))</f>
        <v/>
      </c>
      <c r="AT37" s="16" t="str">
        <f aca="false">IF(AK37=0,"",IF(AM37=0,IF(OR(ISNUMBER(SEARCH("full",$C37)),UPPER(TRIM($C37))="FT",UPPER(TRIM($C37))="FTE"),"FT",IF(AND(OR(ISNUMBER(SEARCH("part",$C37)),UPPER(TRIM($C37))="PT",UPPER(TRIM($C37))="PTE"),Apply2026="Yes",OR($P37="",N($P37)&gt;=PT_MinHours)),"PT","None")),IF(OR(ISNUMBER(SEARCH("full",AQ37)),UPPER(TRIM(AQ37))="FT",UPPER(TRIM(AQ37))="FTE"),"FT",IF(AND(OR(ISNUMBER(SEARCH("part",AQ37)),UPPER(TRIM(AQ37))="PT",UPPER(TRIM(AQ37))="PTE"),Apply2026="Yes",OR($P37="",N($P37)&gt;=PT_MinHours)),"PT","None"))))</f>
        <v/>
      </c>
      <c r="AU37" s="16" t="str">
        <f aca="false">IF(AK37=0,"",IF(AM37&lt;2,"",IF(OR(ISNUMBER(SEARCH("full",AR37)),UPPER(TRIM(AR37))="FT",UPPER(TRIM(AR37))="FTE"),"FT",IF(AND(OR(ISNUMBER(SEARCH("part",AR37)),UPPER(TRIM(AR37))="PT",UPPER(TRIM(AR37))="PTE"),Apply2026="Yes",OR($P37="",N($P37)&gt;=PT_MinHours)),"PT","None"))))</f>
        <v/>
      </c>
      <c r="AV37" s="16" t="str">
        <f aca="false">IF(AK37=0,"",IF(AM37&lt;3,"",IF(OR(ISNUMBER(SEARCH("full",AS37)),UPPER(TRIM(AS37))="FT",UPPER(TRIM(AS37))="FTE"),"FT",IF(AND(OR(ISNUMBER(SEARCH("part",AS37)),UPPER(TRIM(AS37))="PT",UPPER(TRIM(AS37))="PTE"),Apply2026="Yes",OR($P37="",N($P37)&gt;=PT_MinHours)),"PT","None"))))</f>
        <v/>
      </c>
      <c r="AW37" s="16" t="str">
        <f aca="false">IF(AK37=0,"",IF(AND(AM37&gt;=3,AP37&lt;=AsOfDate),AV37,IF(AND(AM37&gt;=2,AO37&lt;=AsOfDate),AU37,AT37)))</f>
        <v/>
      </c>
      <c r="AX37" s="16" t="str">
        <f aca="false">IF(AK37=0,"",IF(AsOfDate&lt;AL37,-1,12*(YEAR(AsOfDate)-YEAR(AL37))+MONTH(AsOfDate)-MONTH(AL37)-IF(DAY(AsOfDate)&lt;MIN(DAY(AL37),DAY(EOMONTH(AsOfDate,0))),1,0)))</f>
        <v/>
      </c>
      <c r="AY37" s="16" t="str">
        <f aca="false">IF(AK37=0,"",IF(OR(AM37&lt;2,AO37&gt;AsOfDate),AX37,IF((AO37-1)&lt;AL37,-1,12*(YEAR((AO37-1))-YEAR(AL37))+MONTH((AO37-1))-MONTH(AL37)-IF(DAY((AO37-1))&lt;MIN(DAY(AL37),DAY(EOMONTH((AO37-1),0))),1,0))))</f>
        <v/>
      </c>
      <c r="AZ37" s="16" t="str">
        <f aca="false">IF(AK37=0,"",IF(OR(AM37&lt;3,AP37&gt;AsOfDate),AX37,IF((AP37-1)&lt;AL37,-1,12*(YEAR((AP37-1))-YEAR(AL37))+MONTH((AP37-1))-MONTH(AL37)-IF(DAY((AP37-1))&lt;MIN(DAY(AL37),DAY(EOMONTH((AP37-1),0))),1,0))))</f>
        <v/>
      </c>
      <c r="BA37" s="16" t="str">
        <f aca="false">IF(AK37=0,"",IF(PFYDate&lt;AL37,-1,12*(YEAR(PFYDate)-YEAR(AL37))+MONTH(PFYDate)-MONTH(AL37)-IF(DAY(PFYDate)&lt;MIN(DAY(AL37),DAY(EOMONTH(PFYDate,0))),1,0)))</f>
        <v/>
      </c>
      <c r="BB37" s="16" t="str">
        <f aca="false">IF(AK37=0,"",IF(OR(AM37&lt;2,AO37&gt;PFYDate),BA37,IF((AO37-1)&lt;AL37,-1,12*(YEAR((AO37-1))-YEAR(AL37))+MONTH((AO37-1))-MONTH(AL37)-IF(DAY((AO37-1))&lt;MIN(DAY(AL37),DAY(EOMONTH((AO37-1),0))),1,0))))</f>
        <v/>
      </c>
      <c r="BC37" s="16" t="str">
        <f aca="false">IF(AK37=0,"",IF(OR(AM37&lt;3,AP37&gt;PFYDate),BA37,IF((AP37-1)&lt;AL37,-1,12*(YEAR((AP37-1))-YEAR(AL37))+MONTH((AP37-1))-MONTH(AL37)-IF(DAY((AP37-1))&lt;MIN(DAY(AL37),DAY(EOMONTH((AP37-1),0))),1,0))))</f>
        <v/>
      </c>
      <c r="BD37" s="16" t="str">
        <f aca="false">IF(AK37=0,"",IF(AT37="FT",IF(AY37&lt;FT_First,0,IF(AY37&lt;FT_Y5,1+INT((AY37-FT_First)/FT_Int1),FT_PreY5+FT_PerYear*INT((AY37-FT_Y5)/12)+FT_AnnivDays+INT(MOD(AY37-FT_Y5,12)/FT_Int2)-IF(EDATE(AL37,FT_Y5)&lt;PolicyEff,FT_AnnivDays-1,0))),IF(AT37="PT",IF(AY37&lt;PT_First,0,1+INT((AY37-PT_First)/PT_Int)),0))+IF(AND(AM37&gt;=2,AO37&lt;=AsOfDate),IF(AU37="FT",IF(AZ37&lt;FT_First,0,IF(AZ37&lt;FT_Y5,1+INT((AZ37-FT_First)/FT_Int1),FT_PreY5+FT_PerYear*INT((AZ37-FT_Y5)/12)+FT_AnnivDays+INT(MOD(AZ37-FT_Y5,12)/FT_Int2)-IF(EDATE(AL37,FT_Y5)&lt;PolicyEff,FT_AnnivDays-1,0))),IF(AU37="PT",IF(AZ37&lt;PT_First,0,1+INT((AZ37-PT_First)/PT_Int)),0))-IF(AU37="FT",IF(AY37&lt;FT_First,0,IF(AY37&lt;FT_Y5,1+INT((AY37-FT_First)/FT_Int1),FT_PreY5+FT_PerYear*INT((AY37-FT_Y5)/12)+FT_AnnivDays+INT(MOD(AY37-FT_Y5,12)/FT_Int2)-IF(EDATE(AL37,FT_Y5)&lt;PolicyEff,FT_AnnivDays-1,0))),IF(AU37="PT",IF(AY37&lt;PT_First,0,1+INT((AY37-PT_First)/PT_Int)),0)),0)+IF(AND(AM37&gt;=3,AP37&lt;=AsOfDate),IF(AV37="FT",IF(AX37&lt;FT_First,0,IF(AX37&lt;FT_Y5,1+INT((AX37-FT_First)/FT_Int1),FT_PreY5+FT_PerYear*INT((AX37-FT_Y5)/12)+FT_AnnivDays+INT(MOD(AX37-FT_Y5,12)/FT_Int2)-IF(EDATE(AL37,FT_Y5)&lt;PolicyEff,FT_AnnivDays-1,0))),IF(AV37="PT",IF(AX37&lt;PT_First,0,1+INT((AX37-PT_First)/PT_Int)),0))-IF(AV37="FT",IF(AZ37&lt;FT_First,0,IF(AZ37&lt;FT_Y5,1+INT((AZ37-FT_First)/FT_Int1),FT_PreY5+FT_PerYear*INT((AZ37-FT_Y5)/12)+FT_AnnivDays+INT(MOD(AZ37-FT_Y5,12)/FT_Int2)-IF(EDATE(AL37,FT_Y5)&lt;PolicyEff,FT_AnnivDays-1,0))),IF(AV37="PT",IF(AZ37&lt;PT_First,0,1+INT((AZ37-PT_First)/PT_Int)),0)),0))</f>
        <v/>
      </c>
      <c r="BE37" s="16" t="str">
        <f aca="false">IF(AK37=0,"",IF(AT37="FT",IF(BB37&lt;FT_First,0,IF(BB37&lt;FT_Y5,1+INT((BB37-FT_First)/FT_Int1),FT_PreY5+FT_PerYear*INT((BB37-FT_Y5)/12)+FT_AnnivDays+INT(MOD(BB37-FT_Y5,12)/FT_Int2)-IF(EDATE(AL37,FT_Y5)&lt;PolicyEff,FT_AnnivDays-1,0))),IF(AT37="PT",IF(BB37&lt;PT_First,0,1+INT((BB37-PT_First)/PT_Int)),0))+IF(AND(AM37&gt;=2,AO37&lt;=PFYDate),IF(AU37="FT",IF(BC37&lt;FT_First,0,IF(BC37&lt;FT_Y5,1+INT((BC37-FT_First)/FT_Int1),FT_PreY5+FT_PerYear*INT((BC37-FT_Y5)/12)+FT_AnnivDays+INT(MOD(BC37-FT_Y5,12)/FT_Int2)-IF(EDATE(AL37,FT_Y5)&lt;PolicyEff,FT_AnnivDays-1,0))),IF(AU37="PT",IF(BC37&lt;PT_First,0,1+INT((BC37-PT_First)/PT_Int)),0))-IF(AU37="FT",IF(BB37&lt;FT_First,0,IF(BB37&lt;FT_Y5,1+INT((BB37-FT_First)/FT_Int1),FT_PreY5+FT_PerYear*INT((BB37-FT_Y5)/12)+FT_AnnivDays+INT(MOD(BB37-FT_Y5,12)/FT_Int2)-IF(EDATE(AL37,FT_Y5)&lt;PolicyEff,FT_AnnivDays-1,0))),IF(AU37="PT",IF(BB37&lt;PT_First,0,1+INT((BB37-PT_First)/PT_Int)),0)),0)+IF(AND(AM37&gt;=3,AP37&lt;=PFYDate),IF(AV37="FT",IF(BA37&lt;FT_First,0,IF(BA37&lt;FT_Y5,1+INT((BA37-FT_First)/FT_Int1),FT_PreY5+FT_PerYear*INT((BA37-FT_Y5)/12)+FT_AnnivDays+INT(MOD(BA37-FT_Y5,12)/FT_Int2)-IF(EDATE(AL37,FT_Y5)&lt;PolicyEff,FT_AnnivDays-1,0))),IF(AV37="PT",IF(BA37&lt;PT_First,0,1+INT((BA37-PT_First)/PT_Int)),0))-IF(AV37="FT",IF(BC37&lt;FT_First,0,IF(BC37&lt;FT_Y5,1+INT((BC37-FT_First)/FT_Int1),FT_PreY5+FT_PerYear*INT((BC37-FT_Y5)/12)+FT_AnnivDays+INT(MOD(BC37-FT_Y5,12)/FT_Int2)-IF(EDATE(AL37,FT_Y5)&lt;PolicyEff,FT_AnnivDays-1,0))),IF(AV37="PT",IF(BC37&lt;PT_First,0,1+INT((BC37-PT_First)/PT_Int)),0)),0))</f>
        <v/>
      </c>
      <c r="BF37" s="16" t="str">
        <f aca="false">IF(AK37=0,"",IF(AW37="FT",IF(AX37&lt;FT_First,FT_First,IF(AX37&lt;FT_Y5,MIN(FT_Y5,FT_First+FT_Int1*(INT((AX37-FT_First)/FT_Int1)+1)),FT_Y5+12*INT((AX37-FT_Y5)/12)+FT_Int2*(INT(MOD(AX37-FT_Y5,12)/FT_Int2)+1))),IF(AW37="PT",IF(AX37&lt;PT_First,PT_First,PT_First+PT_Int*(INT((AX37-PT_First)/PT_Int)+1)),"")))</f>
        <v/>
      </c>
      <c r="BG37" s="16" t="str">
        <f aca="false">IF(AK37=0,"",IF(NOT(LH_Ready),0,COUNTIFS(INDEX(LH_Data,0,LH_ColFirst),$A37,INDEX(LH_Data,0,LH_ColSur),$B37,INDEX(LH_Data,0,LH_ColCat),BonusCat)))</f>
        <v/>
      </c>
      <c r="BH37" s="16" t="str">
        <f aca="false">IF(AK37=0,"",IF(OR(NOT(LH_Ready),BG37=0),0,SUMPRODUCT(MAX((INDEX(LH_Data,0,LH_ColFirst)=$A37)*(INDEX(LH_Data,0,LH_ColSur)=$B37)*(INDEX(LH_Data,0,LH_ColCat)=BonusCat)*ROW(LH_Data)))))</f>
        <v/>
      </c>
      <c r="BI37" s="16" t="str">
        <f aca="false">IF(AK37=0,"",IF(EOMONTH(AsOfDate,-1)&lt;AL37,-1,12*(YEAR(EOMONTH(AsOfDate,-1))-YEAR(AL37))+MONTH(EOMONTH(AsOfDate,-1))-MONTH(AL37)-IF(DAY(EOMONTH(AsOfDate,-1))&lt;MIN(DAY(AL37),DAY(EOMONTH(EOMONTH(AsOfDate,-1),0))),1,0)))</f>
        <v/>
      </c>
      <c r="BJ37" s="16" t="str">
        <f aca="false">IF(AK37=0,"",IF(OR(AM37&lt;2,AO37&gt;EOMONTH(AsOfDate,-1)),BI37,IF((AO37-1)&lt;AL37,-1,12*(YEAR((AO37-1))-YEAR(AL37))+MONTH((AO37-1))-MONTH(AL37)-IF(DAY((AO37-1))&lt;MIN(DAY(AL37),DAY(EOMONTH((AO37-1),0))),1,0))))</f>
        <v/>
      </c>
      <c r="BK37" s="16" t="str">
        <f aca="false">IF(AK37=0,"",IF(OR(AM37&lt;3,AP37&gt;EOMONTH(AsOfDate,-1)),BI37,IF((AP37-1)&lt;AL37,-1,12*(YEAR((AP37-1))-YEAR(AL37))+MONTH((AP37-1))-MONTH(AL37)-IF(DAY((AP37-1))&lt;MIN(DAY(AL37),DAY(EOMONTH((AP37-1),0))),1,0))))</f>
        <v/>
      </c>
      <c r="BL37" s="16" t="str">
        <f aca="false">IF(AK37=0,"",IF(AT37="FT",IF(BJ37&lt;FT_First,0,IF(BJ37&lt;FT_Y5,1+INT((BJ37-FT_First)/FT_Int1),FT_PreY5+FT_PerYear*INT((BJ37-FT_Y5)/12)+FT_AnnivDays+INT(MOD(BJ37-FT_Y5,12)/FT_Int2)-IF(EDATE(AL37,FT_Y5)&lt;PolicyEff,FT_AnnivDays-1,0))),IF(AT37="PT",IF(BJ37&lt;PT_First,0,1+INT((BJ37-PT_First)/PT_Int)),0))+IF(AND(AM37&gt;=2,AO37&lt;=EOMONTH(AsOfDate,-1)),IF(AU37="FT",IF(BK37&lt;FT_First,0,IF(BK37&lt;FT_Y5,1+INT((BK37-FT_First)/FT_Int1),FT_PreY5+FT_PerYear*INT((BK37-FT_Y5)/12)+FT_AnnivDays+INT(MOD(BK37-FT_Y5,12)/FT_Int2)-IF(EDATE(AL37,FT_Y5)&lt;PolicyEff,FT_AnnivDays-1,0))),IF(AU37="PT",IF(BK37&lt;PT_First,0,1+INT((BK37-PT_First)/PT_Int)),0))-IF(AU37="FT",IF(BJ37&lt;FT_First,0,IF(BJ37&lt;FT_Y5,1+INT((BJ37-FT_First)/FT_Int1),FT_PreY5+FT_PerYear*INT((BJ37-FT_Y5)/12)+FT_AnnivDays+INT(MOD(BJ37-FT_Y5,12)/FT_Int2)-IF(EDATE(AL37,FT_Y5)&lt;PolicyEff,FT_AnnivDays-1,0))),IF(AU37="PT",IF(BJ37&lt;PT_First,0,1+INT((BJ37-PT_First)/PT_Int)),0)),0)+IF(AND(AM37&gt;=3,AP37&lt;=EOMONTH(AsOfDate,-1)),IF(AV37="FT",IF(BI37&lt;FT_First,0,IF(BI37&lt;FT_Y5,1+INT((BI37-FT_First)/FT_Int1),FT_PreY5+FT_PerYear*INT((BI37-FT_Y5)/12)+FT_AnnivDays+INT(MOD(BI37-FT_Y5,12)/FT_Int2)-IF(EDATE(AL37,FT_Y5)&lt;PolicyEff,FT_AnnivDays-1,0))),IF(AV37="PT",IF(BI37&lt;PT_First,0,1+INT((BI37-PT_First)/PT_Int)),0))-IF(AV37="FT",IF(BK37&lt;FT_First,0,IF(BK37&lt;FT_Y5,1+INT((BK37-FT_First)/FT_Int1),FT_PreY5+FT_PerYear*INT((BK37-FT_Y5)/12)+FT_AnnivDays+INT(MOD(BK37-FT_Y5,12)/FT_Int2)-IF(EDATE(AL37,FT_Y5)&lt;PolicyEff,FT_AnnivDays-1,0))),IF(AV37="PT",IF(BK37&lt;PT_First,0,1+INT((BK37-PT_First)/PT_Int)),0)),0))</f>
        <v/>
      </c>
      <c r="BM37" s="16" t="str">
        <f aca="false">IF(AK37=0,"",IF(AW37="FT",IF(AX37&lt;FT_First,"",IF(AX37&lt;FT_Y5,FT_First+FT_Int1*INT((AX37-FT_First)/FT_Int1),FT_Y5+FT_Int2*INT((AX37-FT_Y5)/FT_Int2))),IF(AW37="PT",IF(AX37&lt;PT_First,"",PT_First+PT_Int*INT((AX37-PT_First)/PT_Int)),"")))</f>
        <v/>
      </c>
      <c r="BN37" s="16" t="str">
        <f aca="false">IF(AK37=0,"",IF((SchemeStart-1)&lt;AL37,-1,12*(YEAR((SchemeStart-1))-YEAR(AL37))+MONTH((SchemeStart-1))-MONTH(AL37)-IF(DAY((SchemeStart-1))&lt;MIN(DAY(AL37),DAY(EOMONTH((SchemeStart-1),0))),1,0)))</f>
        <v/>
      </c>
      <c r="BO37" s="16" t="str">
        <f aca="false">IF(AK37=0,"",IF(OR(AM37&lt;2,AO37&gt;(SchemeStart-1)),BN37,IF((AO37-1)&lt;AL37,-1,12*(YEAR((AO37-1))-YEAR(AL37))+MONTH((AO37-1))-MONTH(AL37)-IF(DAY((AO37-1))&lt;MIN(DAY(AL37),DAY(EOMONTH((AO37-1),0))),1,0))))</f>
        <v/>
      </c>
      <c r="BP37" s="16" t="str">
        <f aca="false">IF(AK37=0,"",IF(OR(AM37&lt;3,AP37&gt;(SchemeStart-1)),BN37,IF((AP37-1)&lt;AL37,-1,12*(YEAR((AP37-1))-YEAR(AL37))+MONTH((AP37-1))-MONTH(AL37)-IF(DAY((AP37-1))&lt;MIN(DAY(AL37),DAY(EOMONTH((AP37-1),0))),1,0))))</f>
        <v/>
      </c>
      <c r="BQ37" s="16" t="str">
        <f aca="false">IF(AK37=0,"",IF(AT37="FT",IF(BO37&lt;FT_First,0,IF(BO37&lt;FT_Y5,1+INT((BO37-FT_First)/FT_Int1),FT_PreY5+FT_PerYear*INT((BO37-FT_Y5)/12)+FT_AnnivDays+INT(MOD(BO37-FT_Y5,12)/FT_Int2)-IF(EDATE(AL37,FT_Y5)&lt;PolicyEff,FT_AnnivDays-1,0))),IF(AT37="PT",IF(BO37&lt;PT_First,0,1+INT((BO37-PT_First)/PT_Int)),0))+IF(AND(AM37&gt;=2,AO37&lt;=(SchemeStart-1)),IF(AU37="FT",IF(BP37&lt;FT_First,0,IF(BP37&lt;FT_Y5,1+INT((BP37-FT_First)/FT_Int1),FT_PreY5+FT_PerYear*INT((BP37-FT_Y5)/12)+FT_AnnivDays+INT(MOD(BP37-FT_Y5,12)/FT_Int2)-IF(EDATE(AL37,FT_Y5)&lt;PolicyEff,FT_AnnivDays-1,0))),IF(AU37="PT",IF(BP37&lt;PT_First,0,1+INT((BP37-PT_First)/PT_Int)),0))-IF(AU37="FT",IF(BO37&lt;FT_First,0,IF(BO37&lt;FT_Y5,1+INT((BO37-FT_First)/FT_Int1),FT_PreY5+FT_PerYear*INT((BO37-FT_Y5)/12)+FT_AnnivDays+INT(MOD(BO37-FT_Y5,12)/FT_Int2)-IF(EDATE(AL37,FT_Y5)&lt;PolicyEff,FT_AnnivDays-1,0))),IF(AU37="PT",IF(BO37&lt;PT_First,0,1+INT((BO37-PT_First)/PT_Int)),0)),0)+IF(AND(AM37&gt;=3,AP37&lt;=(SchemeStart-1)),IF(AV37="FT",IF(BN37&lt;FT_First,0,IF(BN37&lt;FT_Y5,1+INT((BN37-FT_First)/FT_Int1),FT_PreY5+FT_PerYear*INT((BN37-FT_Y5)/12)+FT_AnnivDays+INT(MOD(BN37-FT_Y5,12)/FT_Int2)-IF(EDATE(AL37,FT_Y5)&lt;PolicyEff,FT_AnnivDays-1,0))),IF(AV37="PT",IF(BN37&lt;PT_First,0,1+INT((BN37-PT_First)/PT_Int)),0))-IF(AV37="FT",IF(BP37&lt;FT_First,0,IF(BP37&lt;FT_Y5,1+INT((BP37-FT_First)/FT_Int1),FT_PreY5+FT_PerYear*INT((BP37-FT_Y5)/12)+FT_AnnivDays+INT(MOD(BP37-FT_Y5,12)/FT_Int2)-IF(EDATE(AL37,FT_Y5)&lt;PolicyEff,FT_AnnivDays-1,0))),IF(AV37="PT",IF(BP37&lt;PT_First,0,1+INT((BP37-PT_First)/PT_Int)),0)),0))</f>
        <v/>
      </c>
      <c r="BR37" s="0" t="str">
        <f aca="false">IF(LEN($A37&amp;$B37)=0,"",$A37&amp;" "&amp;$B37)</f>
        <v/>
      </c>
    </row>
    <row r="38" customFormat="false" ht="15" hidden="false" customHeight="false" outlineLevel="0" collapsed="false">
      <c r="A38" s="12"/>
      <c r="B38" s="12"/>
      <c r="C38" s="12"/>
      <c r="D38" s="13"/>
      <c r="E38" s="14" t="str">
        <f aca="false">IF(OR(AK38=0,$D38=""),"",DATE(YEAR(AsOfDate)+IF(DATE(YEAR(AsOfDate),MONTH($D38),DAY($D38))&lt;=AsOfDate,1,0),MONTH($D38),DAY($D38)))</f>
        <v/>
      </c>
      <c r="F38" s="13"/>
      <c r="G38" s="13"/>
      <c r="H38" s="13"/>
      <c r="I38" s="13"/>
      <c r="J38" s="13"/>
      <c r="K38" s="14" t="str">
        <f aca="false">IF(AK38=0,"",DATE(YEAR(AsOfDate)+IF(DATE(YEAR(AsOfDate),MONTH(AL38),DAY(AL38))&lt;=AsOfDate,1,0),MONTH(AL38),DAY(AL38)))</f>
        <v/>
      </c>
      <c r="L38" s="15" t="str">
        <f aca="false">IF(AK38=0,"",ROUND((AsOfDate-AL38)/365.25,1))</f>
        <v/>
      </c>
      <c r="M38" s="16" t="str">
        <f aca="false">IF(AK38=0,"",IF(AsOfDate&lt;AL38,"-",DATEDIF(AL38,AsOfDate,"y")&amp;"y "&amp;DATEDIF(AL38,AsOfDate,"ym")&amp;"m "&amp;DATEDIF(AL38,AsOfDate,"md")&amp;"d"))</f>
        <v/>
      </c>
      <c r="N38" s="17" t="str">
        <f aca="false">IF(AK38=0,"",O38*HoursPerDay)</f>
        <v/>
      </c>
      <c r="O38" s="17" t="str">
        <f aca="false">IF(AK38=0,"",MAX(0,BD38-BQ38))</f>
        <v/>
      </c>
      <c r="P38" s="18"/>
      <c r="Q38" s="16" t="str">
        <f aca="false">IF(AK38=0,"",IF(AM38&lt;2,"",AQ38&amp;" to "&amp;AR38&amp;" on "&amp;TEXT(AO38,"dd/mm/yyyy")&amp;IF(AO38&gt;AsOfDate," (future)",IF(AT38=AU38,"",IF(AU38="None"," - STOPPED accruing",IF(AT38="None"," - commencement for Bonus Leave"," - pathway changed"))))&amp;IF(AM38&lt;3,"","; "&amp;AR38&amp;" to "&amp;AS38&amp;" on "&amp;TEXT(AP38,"dd/mm/yyyy")&amp;IF(AP38&gt;AsOfDate," (future)",IF(AU38=AV38,"",IF(AV38="None"," - STOPPED accruing",IF(AU38="None"," - commencement for Bonus Leave"," - pathway changed")))))))</f>
        <v/>
      </c>
      <c r="R38" s="16" t="str">
        <f aca="false">IF(AK38=0,"",IF(AW38="None",IF(O38&gt;0,"No longer accruing","Not eligible - "&amp;IF(AND(OR(ISNUMBER(SEARCH("part",$C38)),UPPER(TRIM($C38))="PT",UPPER(TRIM($C38))="PTE"),Apply2026="No"),"part-time (scheme is full-time only)",IF(AND(OR(ISNUMBER(SEARCH("part",$C38)),UPPER(TRIM($C38))="PT",UPPER(TRIM($C38))="PTE"),$P38&lt;&gt;"",N($P38)&lt;PT_MinHours),"under "&amp;PT_MinHours&amp;" hrs",IF(IF($C38="","",IF(OR(ISNUMBER(SEARCH("full",$C38)),UPPER(TRIM($C38))="FT",UPPER(TRIM($C38))="FTE"),"Full-Time",IF(OR(ISNUMBER(SEARCH("part",$C38)),UPPER(TRIM($C38))="PT",UPPER(TRIM($C38))="PTE"),"Part-Time",IF(OR(ISNUMBER(SEARCH("cas",$C38)),UPPER(TRIM($C38))="CAS"),"Casual","Unknown"))))="Unknown","type not recognised",$C38)))),IF(O38&gt;0,"Yes - Accrual Required","Not yet - from "&amp;TEXT(S38,"dd/mm/yyyy"))))</f>
        <v/>
      </c>
      <c r="S38" s="14" t="str">
        <f aca="false">IF(AK38=0,"",IF(AW38="None","",EDATE(AL38,BF38)))</f>
        <v/>
      </c>
      <c r="T38" s="17" t="str">
        <f aca="false">IF(AK38=0,"",IF(NOT(LH_Ready),"",IF($F38&gt;PFYDate,0,IF(LH_ColPeriod=0,W38-U38+V38,SUMIFS(INDEX(LH_Data,0,LH_ColAcc),INDEX(LH_Data,0,LH_ColFirst),$A38,INDEX(LH_Data,0,LH_ColSur),$B38,INDEX(LH_Data,0,LH_ColCat),BonusCat,INDEX(LH_Data,0,LH_ColPeriod),LH_OpenLabel)*UnitFactor))))</f>
        <v/>
      </c>
      <c r="U38" s="17" t="str">
        <f aca="false">IF(AK38=0,"",IF(NOT(LH_Ready),"",SUMIFS(INDEX(LH_Data,0,LH_ColAcc),INDEX(LH_Data,0,LH_ColFirst),$A38,INDEX(LH_Data,0,LH_ColSur),$B38,INDEX(LH_Data,0,LH_ColCat),BonusCat,INDEX(LH_Data,0,LH_ColStart),"&gt;="&amp;AL38)*UnitFactor))</f>
        <v/>
      </c>
      <c r="V38" s="17" t="str">
        <f aca="false">IF(AK38=0,"",IF(NOT(LH_Ready),"",SUMIFS(INDEX(LH_Data,0,LH_ColTaken),INDEX(LH_Data,0,LH_ColFirst),$A38,INDEX(LH_Data,0,LH_ColSur),$B38,INDEX(LH_Data,0,LH_ColCat),BonusCat,INDEX(LH_Data,0,LH_ColStart),"&gt;="&amp;AL38)*UnitFactor))</f>
        <v/>
      </c>
      <c r="W38" s="17" t="str">
        <f aca="false">IF(AK38=0,"",IF(NOT(LH_Ready),"",IF(BH38=0,0,INDEX(INDEX(LH_Data,0,LH_ColClose),BH38-1)*UnitFactor)))</f>
        <v/>
      </c>
      <c r="X38" s="17" t="str">
        <f aca="false">IF(AK38=0,"",(MAX(0,BD38-BQ38)-MAX(0,BE38-BQ38))*HoursPerDay)</f>
        <v/>
      </c>
      <c r="Y38" s="17" t="str">
        <f aca="false">IF(AK38=0,"",IF(NOT(LH_Ready),"",IF($AI38="Yes",N(AE38)*HoursPerDay-SUMIFS(INDEX(LH_Data,0,LH_ColAcc),INDEX(LH_Data,0,LH_ColFirst),$A38,INDEX(LH_Data,0,LH_ColSur),$B38,INDEX(LH_Data,0,LH_ColCat),BonusCat,INDEX(LH_Data,0,LH_ColStart),"&gt;="&amp;(EOMONTH(AsOfDate,-1)+1),INDEX(LH_Data,0,LH_ColStart),"&lt;="&amp;AsOfDate)*UnitFactor,IF(BG38=0,N38,N38-N(T38)-N(U38)))))</f>
        <v/>
      </c>
      <c r="Z38" s="16" t="str">
        <f aca="false">IF(OR(AK38=0,Y38=""),"",IF(Y38&gt;0,"Yes","No"))</f>
        <v/>
      </c>
      <c r="AA38" s="16" t="str">
        <f aca="false">IF(AK38=0,IF(LEN($A38&amp;$B38)=0,"","FIX INPUT - StartDate missing"),IF(AD38&lt;&gt;"","FIX INPUT - "&amp;AD38,IF(NOT(LH_Ready),"Paste Leave History export (Settings must show YES)",IF(AND($AI38="Yes",Y38&lt;=0),"OK - EH balance accepted to date"&amp;IF(N(AH38)&gt;0," (EH holds "&amp;AH38&amp;" hrs over the scheme)","")&amp;"; next day "&amp;TEXT(S38,"dd mmm yy")&amp;IF(N(AE38)&gt;0," ("&amp;AE38&amp;" day(s) for "&amp;UPPER(TEXT(AsOfDate,"mmm yyyy"))&amp;" already in EH)",""),IF(Y38&gt;0,"ACCRUE "&amp;ROUND(Y38,2)&amp;" hrs ("&amp;ROUND(Y38/HoursPerDay,2)&amp;" days): "&amp;IF(N(AE38)&gt;0,AE38&amp;" day(s) for "&amp;UPPER(TEXT(AsOfDate,"mmm yyyy"))&amp;" (milestone "&amp;UPPER(TEXT(AF38,"dd mmm yy"))&amp;")"&amp;IF(Y38/HoursPerDay&gt;AE38+0.001," + "&amp;ROUND(Y38/HoursPerDay-AE38,2)&amp;" day(s) catch-up from earlier months",""),"all catch-up from earlier months, nothing new this month")&amp;IF(BG38=0,"; no Bonus Leave in EH yet",""),IF(Y38&lt;0,"CHECK - EH accrued "&amp;ROUND(-Y38,2)&amp;" hrs more than policy since commencement",IF(N(W38)&gt;O38*HoursPerDay+0.01,"CHECK - EH balance "&amp;ROUND(W38-O38*HoursPerDay,2)&amp;" hrs more than policy entitlement",IF(O38&gt;0,"OK - nothing to add"&amp;IF(N(AE38)&gt;0," ("&amp;AE38&amp;" day(s) for "&amp;UPPER(TEXT(AsOfDate,"mmm yyyy"))&amp;" already in EH)",""),IF(AW38="None",R38,"Not yet - first day on "&amp;TEXT(S38,"dd/mm/yyyy"))))))))))</f>
        <v/>
      </c>
      <c r="AB38" s="17" t="str">
        <f aca="false">IF(OR(AK38=0,T38=""),"",MAX(0,BE38-BQ38)*HoursPerDay-T38)</f>
        <v/>
      </c>
      <c r="AC38" s="16" t="str">
        <f aca="false">IF(AK38=0,"",BG38)</f>
        <v/>
      </c>
      <c r="AD38" s="16" t="str">
        <f aca="false">IF(AK38=0,"",TRIM(IF(OR(ISTEXT($F38),ISTEXT($H38),ISTEXT($I38),ISTEXT($G38),ISTEXT($J38),ISTEXT($D38)),"A date is typed as text - retype it as dd/mm/yyyy. ","")&amp;IF(IF($C38="","",IF(OR(ISNUMBER(SEARCH("full",$C38)),UPPER(TRIM($C38))="FT",UPPER(TRIM($C38))="FTE"),"Full-Time",IF(OR(ISNUMBER(SEARCH("part",$C38)),UPPER(TRIM($C38))="PT",UPPER(TRIM($C38))="PTE"),"Part-Time",IF(OR(ISNUMBER(SEARCH("cas",$C38)),UPPER(TRIM($C38))="CAS"),"Casual","Unknown"))))="Unknown","EmploymentType not recognised - use Full-Time, Part-Time or Casual. ","")&amp;IF(AND(AM38&gt;=1,IF(AM38&gt;=3,AS38,IF(AM38=2,AR38,AQ38))&lt;&gt;IF($C38="","",IF(OR(ISNUMBER(SEARCH("full",$C38)),UPPER(TRIM($C38))="FT",UPPER(TRIM($C38))="FTE"),"Full-Time",IF(OR(ISNUMBER(SEARCH("part",$C38)),UPPER(TRIM($C38))="PT",UPPER(TRIM($C38))="PTE"),"Part-Time",IF(OR(ISNUMBER(SEARCH("cas",$C38)),UPPER(TRIM($C38))="CAS"),"Casual","Unknown"))))),"EmploymentType does not match latest start date ("&amp;IF(AM38&gt;=3,AS38,IF(AM38=2,AR38,AQ38))&amp;"). ","")&amp;IF(AND(AM38&gt;=1,AN38&lt;&gt;$F38),"Earliest type date should equal StartDate. ","")&amp;IF(AND(AM38&gt;=2,AN38=AO38),"Two types start on the same date. ","")&amp;IF(AND(OR(ISNUMBER(SEARCH("part",$C38)),UPPER(TRIM($C38))="PT",UPPER(TRIM($C38))="PTE"),$P38=""),"Part-time: enter PT Hrs/Week (blank = 24+). ","")))</f>
        <v/>
      </c>
      <c r="AE38" s="17" t="str">
        <f aca="false">IF(AK38=0,"",O38-MAX(0,BL38-BQ38))</f>
        <v/>
      </c>
      <c r="AF38" s="14" t="str">
        <f aca="false">IF(OR(AK38=0,AE38="",N(AE38)=0,BM38=""),"",EDATE(AL38,BM38))</f>
        <v/>
      </c>
      <c r="AG38" s="17" t="str">
        <f aca="false">IF(AK38=0,"",MIN(BD38,BQ38))</f>
        <v/>
      </c>
      <c r="AH38" s="17" t="str">
        <f aca="false">IF(AK38=0,"",IF(NOT(LH_Ready),"",IF(BG38=0,0,MAX(0,ROUND(N(T38)+N(U38)-N38,2)))))</f>
        <v/>
      </c>
      <c r="AI38" s="12"/>
      <c r="AJ38" s="12"/>
      <c r="AK38" s="16" t="n">
        <f aca="false">IF(OR(LEN($A38&amp;$B38)=0,$F38=""),0,1)</f>
        <v>0</v>
      </c>
      <c r="AL38" s="14" t="str">
        <f aca="false">IF(AK38=0,"",IF(PreSchemeCounts="No",MAX(SchemeStart,IF($J38&lt;&gt;"",$J38,IF(OR(CasualCounts="Yes",COUNT($G38:$I38)=0),$F38,IF(Apply2026="No",IF($I38="",$F38,$I38),IF(COUNT($H38:$I38)=0,$F38,MIN($H38:$I38)))))),IF($J38&lt;&gt;"",$J38,IF(OR(CasualCounts="Yes",COUNT($G38:$I38)=0),$F38,IF(Apply2026="No",IF($I38="",$F38,$I38),IF(COUNT($H38:$I38)=0,$F38,MIN($H38:$I38)))))))</f>
        <v/>
      </c>
      <c r="AM38" s="16" t="str">
        <f aca="false">IF(AK38=0,"",COUNT($G38:$I38))</f>
        <v/>
      </c>
      <c r="AN38" s="14" t="str">
        <f aca="false">IF(AK38=0,"",IFERROR(SMALL($G38:$I38,1),""))</f>
        <v/>
      </c>
      <c r="AO38" s="14" t="str">
        <f aca="false">IF(AK38=0,"",IFERROR(SMALL($G38:$I38,2),""))</f>
        <v/>
      </c>
      <c r="AP38" s="14" t="str">
        <f aca="false">IF(AK38=0,"",IFERROR(SMALL($G38:$I38,3),""))</f>
        <v/>
      </c>
      <c r="AQ38" s="16" t="str">
        <f aca="false">IF(AK38=0,"",IF(AN38="","",IF(AN38=$H38,"Part-Time",IF(AN38=$I38,"Full-Time","Casual"))))</f>
        <v/>
      </c>
      <c r="AR38" s="16" t="str">
        <f aca="false">IF(AK38=0,"",IF(AO38="","",IF(AO38=$H38,"Part-Time",IF(AO38=$I38,"Full-Time","Casual"))))</f>
        <v/>
      </c>
      <c r="AS38" s="16" t="str">
        <f aca="false">IF(AK38=0,"",IF(AP38="","",IF(AP38=$H38,"Part-Time",IF(AP38=$I38,"Full-Time","Casual"))))</f>
        <v/>
      </c>
      <c r="AT38" s="16" t="str">
        <f aca="false">IF(AK38=0,"",IF(AM38=0,IF(OR(ISNUMBER(SEARCH("full",$C38)),UPPER(TRIM($C38))="FT",UPPER(TRIM($C38))="FTE"),"FT",IF(AND(OR(ISNUMBER(SEARCH("part",$C38)),UPPER(TRIM($C38))="PT",UPPER(TRIM($C38))="PTE"),Apply2026="Yes",OR($P38="",N($P38)&gt;=PT_MinHours)),"PT","None")),IF(OR(ISNUMBER(SEARCH("full",AQ38)),UPPER(TRIM(AQ38))="FT",UPPER(TRIM(AQ38))="FTE"),"FT",IF(AND(OR(ISNUMBER(SEARCH("part",AQ38)),UPPER(TRIM(AQ38))="PT",UPPER(TRIM(AQ38))="PTE"),Apply2026="Yes",OR($P38="",N($P38)&gt;=PT_MinHours)),"PT","None"))))</f>
        <v/>
      </c>
      <c r="AU38" s="16" t="str">
        <f aca="false">IF(AK38=0,"",IF(AM38&lt;2,"",IF(OR(ISNUMBER(SEARCH("full",AR38)),UPPER(TRIM(AR38))="FT",UPPER(TRIM(AR38))="FTE"),"FT",IF(AND(OR(ISNUMBER(SEARCH("part",AR38)),UPPER(TRIM(AR38))="PT",UPPER(TRIM(AR38))="PTE"),Apply2026="Yes",OR($P38="",N($P38)&gt;=PT_MinHours)),"PT","None"))))</f>
        <v/>
      </c>
      <c r="AV38" s="16" t="str">
        <f aca="false">IF(AK38=0,"",IF(AM38&lt;3,"",IF(OR(ISNUMBER(SEARCH("full",AS38)),UPPER(TRIM(AS38))="FT",UPPER(TRIM(AS38))="FTE"),"FT",IF(AND(OR(ISNUMBER(SEARCH("part",AS38)),UPPER(TRIM(AS38))="PT",UPPER(TRIM(AS38))="PTE"),Apply2026="Yes",OR($P38="",N($P38)&gt;=PT_MinHours)),"PT","None"))))</f>
        <v/>
      </c>
      <c r="AW38" s="16" t="str">
        <f aca="false">IF(AK38=0,"",IF(AND(AM38&gt;=3,AP38&lt;=AsOfDate),AV38,IF(AND(AM38&gt;=2,AO38&lt;=AsOfDate),AU38,AT38)))</f>
        <v/>
      </c>
      <c r="AX38" s="16" t="str">
        <f aca="false">IF(AK38=0,"",IF(AsOfDate&lt;AL38,-1,12*(YEAR(AsOfDate)-YEAR(AL38))+MONTH(AsOfDate)-MONTH(AL38)-IF(DAY(AsOfDate)&lt;MIN(DAY(AL38),DAY(EOMONTH(AsOfDate,0))),1,0)))</f>
        <v/>
      </c>
      <c r="AY38" s="16" t="str">
        <f aca="false">IF(AK38=0,"",IF(OR(AM38&lt;2,AO38&gt;AsOfDate),AX38,IF((AO38-1)&lt;AL38,-1,12*(YEAR((AO38-1))-YEAR(AL38))+MONTH((AO38-1))-MONTH(AL38)-IF(DAY((AO38-1))&lt;MIN(DAY(AL38),DAY(EOMONTH((AO38-1),0))),1,0))))</f>
        <v/>
      </c>
      <c r="AZ38" s="16" t="str">
        <f aca="false">IF(AK38=0,"",IF(OR(AM38&lt;3,AP38&gt;AsOfDate),AX38,IF((AP38-1)&lt;AL38,-1,12*(YEAR((AP38-1))-YEAR(AL38))+MONTH((AP38-1))-MONTH(AL38)-IF(DAY((AP38-1))&lt;MIN(DAY(AL38),DAY(EOMONTH((AP38-1),0))),1,0))))</f>
        <v/>
      </c>
      <c r="BA38" s="16" t="str">
        <f aca="false">IF(AK38=0,"",IF(PFYDate&lt;AL38,-1,12*(YEAR(PFYDate)-YEAR(AL38))+MONTH(PFYDate)-MONTH(AL38)-IF(DAY(PFYDate)&lt;MIN(DAY(AL38),DAY(EOMONTH(PFYDate,0))),1,0)))</f>
        <v/>
      </c>
      <c r="BB38" s="16" t="str">
        <f aca="false">IF(AK38=0,"",IF(OR(AM38&lt;2,AO38&gt;PFYDate),BA38,IF((AO38-1)&lt;AL38,-1,12*(YEAR((AO38-1))-YEAR(AL38))+MONTH((AO38-1))-MONTH(AL38)-IF(DAY((AO38-1))&lt;MIN(DAY(AL38),DAY(EOMONTH((AO38-1),0))),1,0))))</f>
        <v/>
      </c>
      <c r="BC38" s="16" t="str">
        <f aca="false">IF(AK38=0,"",IF(OR(AM38&lt;3,AP38&gt;PFYDate),BA38,IF((AP38-1)&lt;AL38,-1,12*(YEAR((AP38-1))-YEAR(AL38))+MONTH((AP38-1))-MONTH(AL38)-IF(DAY((AP38-1))&lt;MIN(DAY(AL38),DAY(EOMONTH((AP38-1),0))),1,0))))</f>
        <v/>
      </c>
      <c r="BD38" s="16" t="str">
        <f aca="false">IF(AK38=0,"",IF(AT38="FT",IF(AY38&lt;FT_First,0,IF(AY38&lt;FT_Y5,1+INT((AY38-FT_First)/FT_Int1),FT_PreY5+FT_PerYear*INT((AY38-FT_Y5)/12)+FT_AnnivDays+INT(MOD(AY38-FT_Y5,12)/FT_Int2)-IF(EDATE(AL38,FT_Y5)&lt;PolicyEff,FT_AnnivDays-1,0))),IF(AT38="PT",IF(AY38&lt;PT_First,0,1+INT((AY38-PT_First)/PT_Int)),0))+IF(AND(AM38&gt;=2,AO38&lt;=AsOfDate),IF(AU38="FT",IF(AZ38&lt;FT_First,0,IF(AZ38&lt;FT_Y5,1+INT((AZ38-FT_First)/FT_Int1),FT_PreY5+FT_PerYear*INT((AZ38-FT_Y5)/12)+FT_AnnivDays+INT(MOD(AZ38-FT_Y5,12)/FT_Int2)-IF(EDATE(AL38,FT_Y5)&lt;PolicyEff,FT_AnnivDays-1,0))),IF(AU38="PT",IF(AZ38&lt;PT_First,0,1+INT((AZ38-PT_First)/PT_Int)),0))-IF(AU38="FT",IF(AY38&lt;FT_First,0,IF(AY38&lt;FT_Y5,1+INT((AY38-FT_First)/FT_Int1),FT_PreY5+FT_PerYear*INT((AY38-FT_Y5)/12)+FT_AnnivDays+INT(MOD(AY38-FT_Y5,12)/FT_Int2)-IF(EDATE(AL38,FT_Y5)&lt;PolicyEff,FT_AnnivDays-1,0))),IF(AU38="PT",IF(AY38&lt;PT_First,0,1+INT((AY38-PT_First)/PT_Int)),0)),0)+IF(AND(AM38&gt;=3,AP38&lt;=AsOfDate),IF(AV38="FT",IF(AX38&lt;FT_First,0,IF(AX38&lt;FT_Y5,1+INT((AX38-FT_First)/FT_Int1),FT_PreY5+FT_PerYear*INT((AX38-FT_Y5)/12)+FT_AnnivDays+INT(MOD(AX38-FT_Y5,12)/FT_Int2)-IF(EDATE(AL38,FT_Y5)&lt;PolicyEff,FT_AnnivDays-1,0))),IF(AV38="PT",IF(AX38&lt;PT_First,0,1+INT((AX38-PT_First)/PT_Int)),0))-IF(AV38="FT",IF(AZ38&lt;FT_First,0,IF(AZ38&lt;FT_Y5,1+INT((AZ38-FT_First)/FT_Int1),FT_PreY5+FT_PerYear*INT((AZ38-FT_Y5)/12)+FT_AnnivDays+INT(MOD(AZ38-FT_Y5,12)/FT_Int2)-IF(EDATE(AL38,FT_Y5)&lt;PolicyEff,FT_AnnivDays-1,0))),IF(AV38="PT",IF(AZ38&lt;PT_First,0,1+INT((AZ38-PT_First)/PT_Int)),0)),0))</f>
        <v/>
      </c>
      <c r="BE38" s="16" t="str">
        <f aca="false">IF(AK38=0,"",IF(AT38="FT",IF(BB38&lt;FT_First,0,IF(BB38&lt;FT_Y5,1+INT((BB38-FT_First)/FT_Int1),FT_PreY5+FT_PerYear*INT((BB38-FT_Y5)/12)+FT_AnnivDays+INT(MOD(BB38-FT_Y5,12)/FT_Int2)-IF(EDATE(AL38,FT_Y5)&lt;PolicyEff,FT_AnnivDays-1,0))),IF(AT38="PT",IF(BB38&lt;PT_First,0,1+INT((BB38-PT_First)/PT_Int)),0))+IF(AND(AM38&gt;=2,AO38&lt;=PFYDate),IF(AU38="FT",IF(BC38&lt;FT_First,0,IF(BC38&lt;FT_Y5,1+INT((BC38-FT_First)/FT_Int1),FT_PreY5+FT_PerYear*INT((BC38-FT_Y5)/12)+FT_AnnivDays+INT(MOD(BC38-FT_Y5,12)/FT_Int2)-IF(EDATE(AL38,FT_Y5)&lt;PolicyEff,FT_AnnivDays-1,0))),IF(AU38="PT",IF(BC38&lt;PT_First,0,1+INT((BC38-PT_First)/PT_Int)),0))-IF(AU38="FT",IF(BB38&lt;FT_First,0,IF(BB38&lt;FT_Y5,1+INT((BB38-FT_First)/FT_Int1),FT_PreY5+FT_PerYear*INT((BB38-FT_Y5)/12)+FT_AnnivDays+INT(MOD(BB38-FT_Y5,12)/FT_Int2)-IF(EDATE(AL38,FT_Y5)&lt;PolicyEff,FT_AnnivDays-1,0))),IF(AU38="PT",IF(BB38&lt;PT_First,0,1+INT((BB38-PT_First)/PT_Int)),0)),0)+IF(AND(AM38&gt;=3,AP38&lt;=PFYDate),IF(AV38="FT",IF(BA38&lt;FT_First,0,IF(BA38&lt;FT_Y5,1+INT((BA38-FT_First)/FT_Int1),FT_PreY5+FT_PerYear*INT((BA38-FT_Y5)/12)+FT_AnnivDays+INT(MOD(BA38-FT_Y5,12)/FT_Int2)-IF(EDATE(AL38,FT_Y5)&lt;PolicyEff,FT_AnnivDays-1,0))),IF(AV38="PT",IF(BA38&lt;PT_First,0,1+INT((BA38-PT_First)/PT_Int)),0))-IF(AV38="FT",IF(BC38&lt;FT_First,0,IF(BC38&lt;FT_Y5,1+INT((BC38-FT_First)/FT_Int1),FT_PreY5+FT_PerYear*INT((BC38-FT_Y5)/12)+FT_AnnivDays+INT(MOD(BC38-FT_Y5,12)/FT_Int2)-IF(EDATE(AL38,FT_Y5)&lt;PolicyEff,FT_AnnivDays-1,0))),IF(AV38="PT",IF(BC38&lt;PT_First,0,1+INT((BC38-PT_First)/PT_Int)),0)),0))</f>
        <v/>
      </c>
      <c r="BF38" s="16" t="str">
        <f aca="false">IF(AK38=0,"",IF(AW38="FT",IF(AX38&lt;FT_First,FT_First,IF(AX38&lt;FT_Y5,MIN(FT_Y5,FT_First+FT_Int1*(INT((AX38-FT_First)/FT_Int1)+1)),FT_Y5+12*INT((AX38-FT_Y5)/12)+FT_Int2*(INT(MOD(AX38-FT_Y5,12)/FT_Int2)+1))),IF(AW38="PT",IF(AX38&lt;PT_First,PT_First,PT_First+PT_Int*(INT((AX38-PT_First)/PT_Int)+1)),"")))</f>
        <v/>
      </c>
      <c r="BG38" s="16" t="str">
        <f aca="false">IF(AK38=0,"",IF(NOT(LH_Ready),0,COUNTIFS(INDEX(LH_Data,0,LH_ColFirst),$A38,INDEX(LH_Data,0,LH_ColSur),$B38,INDEX(LH_Data,0,LH_ColCat),BonusCat)))</f>
        <v/>
      </c>
      <c r="BH38" s="16" t="str">
        <f aca="false">IF(AK38=0,"",IF(OR(NOT(LH_Ready),BG38=0),0,SUMPRODUCT(MAX((INDEX(LH_Data,0,LH_ColFirst)=$A38)*(INDEX(LH_Data,0,LH_ColSur)=$B38)*(INDEX(LH_Data,0,LH_ColCat)=BonusCat)*ROW(LH_Data)))))</f>
        <v/>
      </c>
      <c r="BI38" s="16" t="str">
        <f aca="false">IF(AK38=0,"",IF(EOMONTH(AsOfDate,-1)&lt;AL38,-1,12*(YEAR(EOMONTH(AsOfDate,-1))-YEAR(AL38))+MONTH(EOMONTH(AsOfDate,-1))-MONTH(AL38)-IF(DAY(EOMONTH(AsOfDate,-1))&lt;MIN(DAY(AL38),DAY(EOMONTH(EOMONTH(AsOfDate,-1),0))),1,0)))</f>
        <v/>
      </c>
      <c r="BJ38" s="16" t="str">
        <f aca="false">IF(AK38=0,"",IF(OR(AM38&lt;2,AO38&gt;EOMONTH(AsOfDate,-1)),BI38,IF((AO38-1)&lt;AL38,-1,12*(YEAR((AO38-1))-YEAR(AL38))+MONTH((AO38-1))-MONTH(AL38)-IF(DAY((AO38-1))&lt;MIN(DAY(AL38),DAY(EOMONTH((AO38-1),0))),1,0))))</f>
        <v/>
      </c>
      <c r="BK38" s="16" t="str">
        <f aca="false">IF(AK38=0,"",IF(OR(AM38&lt;3,AP38&gt;EOMONTH(AsOfDate,-1)),BI38,IF((AP38-1)&lt;AL38,-1,12*(YEAR((AP38-1))-YEAR(AL38))+MONTH((AP38-1))-MONTH(AL38)-IF(DAY((AP38-1))&lt;MIN(DAY(AL38),DAY(EOMONTH((AP38-1),0))),1,0))))</f>
        <v/>
      </c>
      <c r="BL38" s="16" t="str">
        <f aca="false">IF(AK38=0,"",IF(AT38="FT",IF(BJ38&lt;FT_First,0,IF(BJ38&lt;FT_Y5,1+INT((BJ38-FT_First)/FT_Int1),FT_PreY5+FT_PerYear*INT((BJ38-FT_Y5)/12)+FT_AnnivDays+INT(MOD(BJ38-FT_Y5,12)/FT_Int2)-IF(EDATE(AL38,FT_Y5)&lt;PolicyEff,FT_AnnivDays-1,0))),IF(AT38="PT",IF(BJ38&lt;PT_First,0,1+INT((BJ38-PT_First)/PT_Int)),0))+IF(AND(AM38&gt;=2,AO38&lt;=EOMONTH(AsOfDate,-1)),IF(AU38="FT",IF(BK38&lt;FT_First,0,IF(BK38&lt;FT_Y5,1+INT((BK38-FT_First)/FT_Int1),FT_PreY5+FT_PerYear*INT((BK38-FT_Y5)/12)+FT_AnnivDays+INT(MOD(BK38-FT_Y5,12)/FT_Int2)-IF(EDATE(AL38,FT_Y5)&lt;PolicyEff,FT_AnnivDays-1,0))),IF(AU38="PT",IF(BK38&lt;PT_First,0,1+INT((BK38-PT_First)/PT_Int)),0))-IF(AU38="FT",IF(BJ38&lt;FT_First,0,IF(BJ38&lt;FT_Y5,1+INT((BJ38-FT_First)/FT_Int1),FT_PreY5+FT_PerYear*INT((BJ38-FT_Y5)/12)+FT_AnnivDays+INT(MOD(BJ38-FT_Y5,12)/FT_Int2)-IF(EDATE(AL38,FT_Y5)&lt;PolicyEff,FT_AnnivDays-1,0))),IF(AU38="PT",IF(BJ38&lt;PT_First,0,1+INT((BJ38-PT_First)/PT_Int)),0)),0)+IF(AND(AM38&gt;=3,AP38&lt;=EOMONTH(AsOfDate,-1)),IF(AV38="FT",IF(BI38&lt;FT_First,0,IF(BI38&lt;FT_Y5,1+INT((BI38-FT_First)/FT_Int1),FT_PreY5+FT_PerYear*INT((BI38-FT_Y5)/12)+FT_AnnivDays+INT(MOD(BI38-FT_Y5,12)/FT_Int2)-IF(EDATE(AL38,FT_Y5)&lt;PolicyEff,FT_AnnivDays-1,0))),IF(AV38="PT",IF(BI38&lt;PT_First,0,1+INT((BI38-PT_First)/PT_Int)),0))-IF(AV38="FT",IF(BK38&lt;FT_First,0,IF(BK38&lt;FT_Y5,1+INT((BK38-FT_First)/FT_Int1),FT_PreY5+FT_PerYear*INT((BK38-FT_Y5)/12)+FT_AnnivDays+INT(MOD(BK38-FT_Y5,12)/FT_Int2)-IF(EDATE(AL38,FT_Y5)&lt;PolicyEff,FT_AnnivDays-1,0))),IF(AV38="PT",IF(BK38&lt;PT_First,0,1+INT((BK38-PT_First)/PT_Int)),0)),0))</f>
        <v/>
      </c>
      <c r="BM38" s="16" t="str">
        <f aca="false">IF(AK38=0,"",IF(AW38="FT",IF(AX38&lt;FT_First,"",IF(AX38&lt;FT_Y5,FT_First+FT_Int1*INT((AX38-FT_First)/FT_Int1),FT_Y5+FT_Int2*INT((AX38-FT_Y5)/FT_Int2))),IF(AW38="PT",IF(AX38&lt;PT_First,"",PT_First+PT_Int*INT((AX38-PT_First)/PT_Int)),"")))</f>
        <v/>
      </c>
      <c r="BN38" s="16" t="str">
        <f aca="false">IF(AK38=0,"",IF((SchemeStart-1)&lt;AL38,-1,12*(YEAR((SchemeStart-1))-YEAR(AL38))+MONTH((SchemeStart-1))-MONTH(AL38)-IF(DAY((SchemeStart-1))&lt;MIN(DAY(AL38),DAY(EOMONTH((SchemeStart-1),0))),1,0)))</f>
        <v/>
      </c>
      <c r="BO38" s="16" t="str">
        <f aca="false">IF(AK38=0,"",IF(OR(AM38&lt;2,AO38&gt;(SchemeStart-1)),BN38,IF((AO38-1)&lt;AL38,-1,12*(YEAR((AO38-1))-YEAR(AL38))+MONTH((AO38-1))-MONTH(AL38)-IF(DAY((AO38-1))&lt;MIN(DAY(AL38),DAY(EOMONTH((AO38-1),0))),1,0))))</f>
        <v/>
      </c>
      <c r="BP38" s="16" t="str">
        <f aca="false">IF(AK38=0,"",IF(OR(AM38&lt;3,AP38&gt;(SchemeStart-1)),BN38,IF((AP38-1)&lt;AL38,-1,12*(YEAR((AP38-1))-YEAR(AL38))+MONTH((AP38-1))-MONTH(AL38)-IF(DAY((AP38-1))&lt;MIN(DAY(AL38),DAY(EOMONTH((AP38-1),0))),1,0))))</f>
        <v/>
      </c>
      <c r="BQ38" s="16" t="str">
        <f aca="false">IF(AK38=0,"",IF(AT38="FT",IF(BO38&lt;FT_First,0,IF(BO38&lt;FT_Y5,1+INT((BO38-FT_First)/FT_Int1),FT_PreY5+FT_PerYear*INT((BO38-FT_Y5)/12)+FT_AnnivDays+INT(MOD(BO38-FT_Y5,12)/FT_Int2)-IF(EDATE(AL38,FT_Y5)&lt;PolicyEff,FT_AnnivDays-1,0))),IF(AT38="PT",IF(BO38&lt;PT_First,0,1+INT((BO38-PT_First)/PT_Int)),0))+IF(AND(AM38&gt;=2,AO38&lt;=(SchemeStart-1)),IF(AU38="FT",IF(BP38&lt;FT_First,0,IF(BP38&lt;FT_Y5,1+INT((BP38-FT_First)/FT_Int1),FT_PreY5+FT_PerYear*INT((BP38-FT_Y5)/12)+FT_AnnivDays+INT(MOD(BP38-FT_Y5,12)/FT_Int2)-IF(EDATE(AL38,FT_Y5)&lt;PolicyEff,FT_AnnivDays-1,0))),IF(AU38="PT",IF(BP38&lt;PT_First,0,1+INT((BP38-PT_First)/PT_Int)),0))-IF(AU38="FT",IF(BO38&lt;FT_First,0,IF(BO38&lt;FT_Y5,1+INT((BO38-FT_First)/FT_Int1),FT_PreY5+FT_PerYear*INT((BO38-FT_Y5)/12)+FT_AnnivDays+INT(MOD(BO38-FT_Y5,12)/FT_Int2)-IF(EDATE(AL38,FT_Y5)&lt;PolicyEff,FT_AnnivDays-1,0))),IF(AU38="PT",IF(BO38&lt;PT_First,0,1+INT((BO38-PT_First)/PT_Int)),0)),0)+IF(AND(AM38&gt;=3,AP38&lt;=(SchemeStart-1)),IF(AV38="FT",IF(BN38&lt;FT_First,0,IF(BN38&lt;FT_Y5,1+INT((BN38-FT_First)/FT_Int1),FT_PreY5+FT_PerYear*INT((BN38-FT_Y5)/12)+FT_AnnivDays+INT(MOD(BN38-FT_Y5,12)/FT_Int2)-IF(EDATE(AL38,FT_Y5)&lt;PolicyEff,FT_AnnivDays-1,0))),IF(AV38="PT",IF(BN38&lt;PT_First,0,1+INT((BN38-PT_First)/PT_Int)),0))-IF(AV38="FT",IF(BP38&lt;FT_First,0,IF(BP38&lt;FT_Y5,1+INT((BP38-FT_First)/FT_Int1),FT_PreY5+FT_PerYear*INT((BP38-FT_Y5)/12)+FT_AnnivDays+INT(MOD(BP38-FT_Y5,12)/FT_Int2)-IF(EDATE(AL38,FT_Y5)&lt;PolicyEff,FT_AnnivDays-1,0))),IF(AV38="PT",IF(BP38&lt;PT_First,0,1+INT((BP38-PT_First)/PT_Int)),0)),0))</f>
        <v/>
      </c>
      <c r="BR38" s="0" t="str">
        <f aca="false">IF(LEN($A38&amp;$B38)=0,"",$A38&amp;" "&amp;$B38)</f>
        <v/>
      </c>
    </row>
    <row r="39" customFormat="false" ht="15" hidden="false" customHeight="false" outlineLevel="0" collapsed="false">
      <c r="A39" s="12"/>
      <c r="B39" s="12"/>
      <c r="C39" s="12"/>
      <c r="D39" s="13"/>
      <c r="E39" s="14" t="str">
        <f aca="false">IF(OR(AK39=0,$D39=""),"",DATE(YEAR(AsOfDate)+IF(DATE(YEAR(AsOfDate),MONTH($D39),DAY($D39))&lt;=AsOfDate,1,0),MONTH($D39),DAY($D39)))</f>
        <v/>
      </c>
      <c r="F39" s="13"/>
      <c r="G39" s="13"/>
      <c r="H39" s="13"/>
      <c r="I39" s="13"/>
      <c r="J39" s="13"/>
      <c r="K39" s="14" t="str">
        <f aca="false">IF(AK39=0,"",DATE(YEAR(AsOfDate)+IF(DATE(YEAR(AsOfDate),MONTH(AL39),DAY(AL39))&lt;=AsOfDate,1,0),MONTH(AL39),DAY(AL39)))</f>
        <v/>
      </c>
      <c r="L39" s="15" t="str">
        <f aca="false">IF(AK39=0,"",ROUND((AsOfDate-AL39)/365.25,1))</f>
        <v/>
      </c>
      <c r="M39" s="16" t="str">
        <f aca="false">IF(AK39=0,"",IF(AsOfDate&lt;AL39,"-",DATEDIF(AL39,AsOfDate,"y")&amp;"y "&amp;DATEDIF(AL39,AsOfDate,"ym")&amp;"m "&amp;DATEDIF(AL39,AsOfDate,"md")&amp;"d"))</f>
        <v/>
      </c>
      <c r="N39" s="17" t="str">
        <f aca="false">IF(AK39=0,"",O39*HoursPerDay)</f>
        <v/>
      </c>
      <c r="O39" s="17" t="str">
        <f aca="false">IF(AK39=0,"",MAX(0,BD39-BQ39))</f>
        <v/>
      </c>
      <c r="P39" s="18"/>
      <c r="Q39" s="16" t="str">
        <f aca="false">IF(AK39=0,"",IF(AM39&lt;2,"",AQ39&amp;" to "&amp;AR39&amp;" on "&amp;TEXT(AO39,"dd/mm/yyyy")&amp;IF(AO39&gt;AsOfDate," (future)",IF(AT39=AU39,"",IF(AU39="None"," - STOPPED accruing",IF(AT39="None"," - commencement for Bonus Leave"," - pathway changed"))))&amp;IF(AM39&lt;3,"","; "&amp;AR39&amp;" to "&amp;AS39&amp;" on "&amp;TEXT(AP39,"dd/mm/yyyy")&amp;IF(AP39&gt;AsOfDate," (future)",IF(AU39=AV39,"",IF(AV39="None"," - STOPPED accruing",IF(AU39="None"," - commencement for Bonus Leave"," - pathway changed")))))))</f>
        <v/>
      </c>
      <c r="R39" s="16" t="str">
        <f aca="false">IF(AK39=0,"",IF(AW39="None",IF(O39&gt;0,"No longer accruing","Not eligible - "&amp;IF(AND(OR(ISNUMBER(SEARCH("part",$C39)),UPPER(TRIM($C39))="PT",UPPER(TRIM($C39))="PTE"),Apply2026="No"),"part-time (scheme is full-time only)",IF(AND(OR(ISNUMBER(SEARCH("part",$C39)),UPPER(TRIM($C39))="PT",UPPER(TRIM($C39))="PTE"),$P39&lt;&gt;"",N($P39)&lt;PT_MinHours),"under "&amp;PT_MinHours&amp;" hrs",IF(IF($C39="","",IF(OR(ISNUMBER(SEARCH("full",$C39)),UPPER(TRIM($C39))="FT",UPPER(TRIM($C39))="FTE"),"Full-Time",IF(OR(ISNUMBER(SEARCH("part",$C39)),UPPER(TRIM($C39))="PT",UPPER(TRIM($C39))="PTE"),"Part-Time",IF(OR(ISNUMBER(SEARCH("cas",$C39)),UPPER(TRIM($C39))="CAS"),"Casual","Unknown"))))="Unknown","type not recognised",$C39)))),IF(O39&gt;0,"Yes - Accrual Required","Not yet - from "&amp;TEXT(S39,"dd/mm/yyyy"))))</f>
        <v/>
      </c>
      <c r="S39" s="14" t="str">
        <f aca="false">IF(AK39=0,"",IF(AW39="None","",EDATE(AL39,BF39)))</f>
        <v/>
      </c>
      <c r="T39" s="17" t="str">
        <f aca="false">IF(AK39=0,"",IF(NOT(LH_Ready),"",IF($F39&gt;PFYDate,0,IF(LH_ColPeriod=0,W39-U39+V39,SUMIFS(INDEX(LH_Data,0,LH_ColAcc),INDEX(LH_Data,0,LH_ColFirst),$A39,INDEX(LH_Data,0,LH_ColSur),$B39,INDEX(LH_Data,0,LH_ColCat),BonusCat,INDEX(LH_Data,0,LH_ColPeriod),LH_OpenLabel)*UnitFactor))))</f>
        <v/>
      </c>
      <c r="U39" s="17" t="str">
        <f aca="false">IF(AK39=0,"",IF(NOT(LH_Ready),"",SUMIFS(INDEX(LH_Data,0,LH_ColAcc),INDEX(LH_Data,0,LH_ColFirst),$A39,INDEX(LH_Data,0,LH_ColSur),$B39,INDEX(LH_Data,0,LH_ColCat),BonusCat,INDEX(LH_Data,0,LH_ColStart),"&gt;="&amp;AL39)*UnitFactor))</f>
        <v/>
      </c>
      <c r="V39" s="17" t="str">
        <f aca="false">IF(AK39=0,"",IF(NOT(LH_Ready),"",SUMIFS(INDEX(LH_Data,0,LH_ColTaken),INDEX(LH_Data,0,LH_ColFirst),$A39,INDEX(LH_Data,0,LH_ColSur),$B39,INDEX(LH_Data,0,LH_ColCat),BonusCat,INDEX(LH_Data,0,LH_ColStart),"&gt;="&amp;AL39)*UnitFactor))</f>
        <v/>
      </c>
      <c r="W39" s="17" t="str">
        <f aca="false">IF(AK39=0,"",IF(NOT(LH_Ready),"",IF(BH39=0,0,INDEX(INDEX(LH_Data,0,LH_ColClose),BH39-1)*UnitFactor)))</f>
        <v/>
      </c>
      <c r="X39" s="17" t="str">
        <f aca="false">IF(AK39=0,"",(MAX(0,BD39-BQ39)-MAX(0,BE39-BQ39))*HoursPerDay)</f>
        <v/>
      </c>
      <c r="Y39" s="17" t="str">
        <f aca="false">IF(AK39=0,"",IF(NOT(LH_Ready),"",IF($AI39="Yes",N(AE39)*HoursPerDay-SUMIFS(INDEX(LH_Data,0,LH_ColAcc),INDEX(LH_Data,0,LH_ColFirst),$A39,INDEX(LH_Data,0,LH_ColSur),$B39,INDEX(LH_Data,0,LH_ColCat),BonusCat,INDEX(LH_Data,0,LH_ColStart),"&gt;="&amp;(EOMONTH(AsOfDate,-1)+1),INDEX(LH_Data,0,LH_ColStart),"&lt;="&amp;AsOfDate)*UnitFactor,IF(BG39=0,N39,N39-N(T39)-N(U39)))))</f>
        <v/>
      </c>
      <c r="Z39" s="16" t="str">
        <f aca="false">IF(OR(AK39=0,Y39=""),"",IF(Y39&gt;0,"Yes","No"))</f>
        <v/>
      </c>
      <c r="AA39" s="16" t="str">
        <f aca="false">IF(AK39=0,IF(LEN($A39&amp;$B39)=0,"","FIX INPUT - StartDate missing"),IF(AD39&lt;&gt;"","FIX INPUT - "&amp;AD39,IF(NOT(LH_Ready),"Paste Leave History export (Settings must show YES)",IF(AND($AI39="Yes",Y39&lt;=0),"OK - EH balance accepted to date"&amp;IF(N(AH39)&gt;0," (EH holds "&amp;AH39&amp;" hrs over the scheme)","")&amp;"; next day "&amp;TEXT(S39,"dd mmm yy")&amp;IF(N(AE39)&gt;0," ("&amp;AE39&amp;" day(s) for "&amp;UPPER(TEXT(AsOfDate,"mmm yyyy"))&amp;" already in EH)",""),IF(Y39&gt;0,"ACCRUE "&amp;ROUND(Y39,2)&amp;" hrs ("&amp;ROUND(Y39/HoursPerDay,2)&amp;" days): "&amp;IF(N(AE39)&gt;0,AE39&amp;" day(s) for "&amp;UPPER(TEXT(AsOfDate,"mmm yyyy"))&amp;" (milestone "&amp;UPPER(TEXT(AF39,"dd mmm yy"))&amp;")"&amp;IF(Y39/HoursPerDay&gt;AE39+0.001," + "&amp;ROUND(Y39/HoursPerDay-AE39,2)&amp;" day(s) catch-up from earlier months",""),"all catch-up from earlier months, nothing new this month")&amp;IF(BG39=0,"; no Bonus Leave in EH yet",""),IF(Y39&lt;0,"CHECK - EH accrued "&amp;ROUND(-Y39,2)&amp;" hrs more than policy since commencement",IF(N(W39)&gt;O39*HoursPerDay+0.01,"CHECK - EH balance "&amp;ROUND(W39-O39*HoursPerDay,2)&amp;" hrs more than policy entitlement",IF(O39&gt;0,"OK - nothing to add"&amp;IF(N(AE39)&gt;0," ("&amp;AE39&amp;" day(s) for "&amp;UPPER(TEXT(AsOfDate,"mmm yyyy"))&amp;" already in EH)",""),IF(AW39="None",R39,"Not yet - first day on "&amp;TEXT(S39,"dd/mm/yyyy"))))))))))</f>
        <v/>
      </c>
      <c r="AB39" s="17" t="str">
        <f aca="false">IF(OR(AK39=0,T39=""),"",MAX(0,BE39-BQ39)*HoursPerDay-T39)</f>
        <v/>
      </c>
      <c r="AC39" s="16" t="str">
        <f aca="false">IF(AK39=0,"",BG39)</f>
        <v/>
      </c>
      <c r="AD39" s="16" t="str">
        <f aca="false">IF(AK39=0,"",TRIM(IF(OR(ISTEXT($F39),ISTEXT($H39),ISTEXT($I39),ISTEXT($G39),ISTEXT($J39),ISTEXT($D39)),"A date is typed as text - retype it as dd/mm/yyyy. ","")&amp;IF(IF($C39="","",IF(OR(ISNUMBER(SEARCH("full",$C39)),UPPER(TRIM($C39))="FT",UPPER(TRIM($C39))="FTE"),"Full-Time",IF(OR(ISNUMBER(SEARCH("part",$C39)),UPPER(TRIM($C39))="PT",UPPER(TRIM($C39))="PTE"),"Part-Time",IF(OR(ISNUMBER(SEARCH("cas",$C39)),UPPER(TRIM($C39))="CAS"),"Casual","Unknown"))))="Unknown","EmploymentType not recognised - use Full-Time, Part-Time or Casual. ","")&amp;IF(AND(AM39&gt;=1,IF(AM39&gt;=3,AS39,IF(AM39=2,AR39,AQ39))&lt;&gt;IF($C39="","",IF(OR(ISNUMBER(SEARCH("full",$C39)),UPPER(TRIM($C39))="FT",UPPER(TRIM($C39))="FTE"),"Full-Time",IF(OR(ISNUMBER(SEARCH("part",$C39)),UPPER(TRIM($C39))="PT",UPPER(TRIM($C39))="PTE"),"Part-Time",IF(OR(ISNUMBER(SEARCH("cas",$C39)),UPPER(TRIM($C39))="CAS"),"Casual","Unknown"))))),"EmploymentType does not match latest start date ("&amp;IF(AM39&gt;=3,AS39,IF(AM39=2,AR39,AQ39))&amp;"). ","")&amp;IF(AND(AM39&gt;=1,AN39&lt;&gt;$F39),"Earliest type date should equal StartDate. ","")&amp;IF(AND(AM39&gt;=2,AN39=AO39),"Two types start on the same date. ","")&amp;IF(AND(OR(ISNUMBER(SEARCH("part",$C39)),UPPER(TRIM($C39))="PT",UPPER(TRIM($C39))="PTE"),$P39=""),"Part-time: enter PT Hrs/Week (blank = 24+). ","")))</f>
        <v/>
      </c>
      <c r="AE39" s="17" t="str">
        <f aca="false">IF(AK39=0,"",O39-MAX(0,BL39-BQ39))</f>
        <v/>
      </c>
      <c r="AF39" s="14" t="str">
        <f aca="false">IF(OR(AK39=0,AE39="",N(AE39)=0,BM39=""),"",EDATE(AL39,BM39))</f>
        <v/>
      </c>
      <c r="AG39" s="17" t="str">
        <f aca="false">IF(AK39=0,"",MIN(BD39,BQ39))</f>
        <v/>
      </c>
      <c r="AH39" s="17" t="str">
        <f aca="false">IF(AK39=0,"",IF(NOT(LH_Ready),"",IF(BG39=0,0,MAX(0,ROUND(N(T39)+N(U39)-N39,2)))))</f>
        <v/>
      </c>
      <c r="AI39" s="12"/>
      <c r="AJ39" s="12"/>
      <c r="AK39" s="16" t="n">
        <f aca="false">IF(OR(LEN($A39&amp;$B39)=0,$F39=""),0,1)</f>
        <v>0</v>
      </c>
      <c r="AL39" s="14" t="str">
        <f aca="false">IF(AK39=0,"",IF(PreSchemeCounts="No",MAX(SchemeStart,IF($J39&lt;&gt;"",$J39,IF(OR(CasualCounts="Yes",COUNT($G39:$I39)=0),$F39,IF(Apply2026="No",IF($I39="",$F39,$I39),IF(COUNT($H39:$I39)=0,$F39,MIN($H39:$I39)))))),IF($J39&lt;&gt;"",$J39,IF(OR(CasualCounts="Yes",COUNT($G39:$I39)=0),$F39,IF(Apply2026="No",IF($I39="",$F39,$I39),IF(COUNT($H39:$I39)=0,$F39,MIN($H39:$I39)))))))</f>
        <v/>
      </c>
      <c r="AM39" s="16" t="str">
        <f aca="false">IF(AK39=0,"",COUNT($G39:$I39))</f>
        <v/>
      </c>
      <c r="AN39" s="14" t="str">
        <f aca="false">IF(AK39=0,"",IFERROR(SMALL($G39:$I39,1),""))</f>
        <v/>
      </c>
      <c r="AO39" s="14" t="str">
        <f aca="false">IF(AK39=0,"",IFERROR(SMALL($G39:$I39,2),""))</f>
        <v/>
      </c>
      <c r="AP39" s="14" t="str">
        <f aca="false">IF(AK39=0,"",IFERROR(SMALL($G39:$I39,3),""))</f>
        <v/>
      </c>
      <c r="AQ39" s="16" t="str">
        <f aca="false">IF(AK39=0,"",IF(AN39="","",IF(AN39=$H39,"Part-Time",IF(AN39=$I39,"Full-Time","Casual"))))</f>
        <v/>
      </c>
      <c r="AR39" s="16" t="str">
        <f aca="false">IF(AK39=0,"",IF(AO39="","",IF(AO39=$H39,"Part-Time",IF(AO39=$I39,"Full-Time","Casual"))))</f>
        <v/>
      </c>
      <c r="AS39" s="16" t="str">
        <f aca="false">IF(AK39=0,"",IF(AP39="","",IF(AP39=$H39,"Part-Time",IF(AP39=$I39,"Full-Time","Casual"))))</f>
        <v/>
      </c>
      <c r="AT39" s="16" t="str">
        <f aca="false">IF(AK39=0,"",IF(AM39=0,IF(OR(ISNUMBER(SEARCH("full",$C39)),UPPER(TRIM($C39))="FT",UPPER(TRIM($C39))="FTE"),"FT",IF(AND(OR(ISNUMBER(SEARCH("part",$C39)),UPPER(TRIM($C39))="PT",UPPER(TRIM($C39))="PTE"),Apply2026="Yes",OR($P39="",N($P39)&gt;=PT_MinHours)),"PT","None")),IF(OR(ISNUMBER(SEARCH("full",AQ39)),UPPER(TRIM(AQ39))="FT",UPPER(TRIM(AQ39))="FTE"),"FT",IF(AND(OR(ISNUMBER(SEARCH("part",AQ39)),UPPER(TRIM(AQ39))="PT",UPPER(TRIM(AQ39))="PTE"),Apply2026="Yes",OR($P39="",N($P39)&gt;=PT_MinHours)),"PT","None"))))</f>
        <v/>
      </c>
      <c r="AU39" s="16" t="str">
        <f aca="false">IF(AK39=0,"",IF(AM39&lt;2,"",IF(OR(ISNUMBER(SEARCH("full",AR39)),UPPER(TRIM(AR39))="FT",UPPER(TRIM(AR39))="FTE"),"FT",IF(AND(OR(ISNUMBER(SEARCH("part",AR39)),UPPER(TRIM(AR39))="PT",UPPER(TRIM(AR39))="PTE"),Apply2026="Yes",OR($P39="",N($P39)&gt;=PT_MinHours)),"PT","None"))))</f>
        <v/>
      </c>
      <c r="AV39" s="16" t="str">
        <f aca="false">IF(AK39=0,"",IF(AM39&lt;3,"",IF(OR(ISNUMBER(SEARCH("full",AS39)),UPPER(TRIM(AS39))="FT",UPPER(TRIM(AS39))="FTE"),"FT",IF(AND(OR(ISNUMBER(SEARCH("part",AS39)),UPPER(TRIM(AS39))="PT",UPPER(TRIM(AS39))="PTE"),Apply2026="Yes",OR($P39="",N($P39)&gt;=PT_MinHours)),"PT","None"))))</f>
        <v/>
      </c>
      <c r="AW39" s="16" t="str">
        <f aca="false">IF(AK39=0,"",IF(AND(AM39&gt;=3,AP39&lt;=AsOfDate),AV39,IF(AND(AM39&gt;=2,AO39&lt;=AsOfDate),AU39,AT39)))</f>
        <v/>
      </c>
      <c r="AX39" s="16" t="str">
        <f aca="false">IF(AK39=0,"",IF(AsOfDate&lt;AL39,-1,12*(YEAR(AsOfDate)-YEAR(AL39))+MONTH(AsOfDate)-MONTH(AL39)-IF(DAY(AsOfDate)&lt;MIN(DAY(AL39),DAY(EOMONTH(AsOfDate,0))),1,0)))</f>
        <v/>
      </c>
      <c r="AY39" s="16" t="str">
        <f aca="false">IF(AK39=0,"",IF(OR(AM39&lt;2,AO39&gt;AsOfDate),AX39,IF((AO39-1)&lt;AL39,-1,12*(YEAR((AO39-1))-YEAR(AL39))+MONTH((AO39-1))-MONTH(AL39)-IF(DAY((AO39-1))&lt;MIN(DAY(AL39),DAY(EOMONTH((AO39-1),0))),1,0))))</f>
        <v/>
      </c>
      <c r="AZ39" s="16" t="str">
        <f aca="false">IF(AK39=0,"",IF(OR(AM39&lt;3,AP39&gt;AsOfDate),AX39,IF((AP39-1)&lt;AL39,-1,12*(YEAR((AP39-1))-YEAR(AL39))+MONTH((AP39-1))-MONTH(AL39)-IF(DAY((AP39-1))&lt;MIN(DAY(AL39),DAY(EOMONTH((AP39-1),0))),1,0))))</f>
        <v/>
      </c>
      <c r="BA39" s="16" t="str">
        <f aca="false">IF(AK39=0,"",IF(PFYDate&lt;AL39,-1,12*(YEAR(PFYDate)-YEAR(AL39))+MONTH(PFYDate)-MONTH(AL39)-IF(DAY(PFYDate)&lt;MIN(DAY(AL39),DAY(EOMONTH(PFYDate,0))),1,0)))</f>
        <v/>
      </c>
      <c r="BB39" s="16" t="str">
        <f aca="false">IF(AK39=0,"",IF(OR(AM39&lt;2,AO39&gt;PFYDate),BA39,IF((AO39-1)&lt;AL39,-1,12*(YEAR((AO39-1))-YEAR(AL39))+MONTH((AO39-1))-MONTH(AL39)-IF(DAY((AO39-1))&lt;MIN(DAY(AL39),DAY(EOMONTH((AO39-1),0))),1,0))))</f>
        <v/>
      </c>
      <c r="BC39" s="16" t="str">
        <f aca="false">IF(AK39=0,"",IF(OR(AM39&lt;3,AP39&gt;PFYDate),BA39,IF((AP39-1)&lt;AL39,-1,12*(YEAR((AP39-1))-YEAR(AL39))+MONTH((AP39-1))-MONTH(AL39)-IF(DAY((AP39-1))&lt;MIN(DAY(AL39),DAY(EOMONTH((AP39-1),0))),1,0))))</f>
        <v/>
      </c>
      <c r="BD39" s="16" t="str">
        <f aca="false">IF(AK39=0,"",IF(AT39="FT",IF(AY39&lt;FT_First,0,IF(AY39&lt;FT_Y5,1+INT((AY39-FT_First)/FT_Int1),FT_PreY5+FT_PerYear*INT((AY39-FT_Y5)/12)+FT_AnnivDays+INT(MOD(AY39-FT_Y5,12)/FT_Int2)-IF(EDATE(AL39,FT_Y5)&lt;PolicyEff,FT_AnnivDays-1,0))),IF(AT39="PT",IF(AY39&lt;PT_First,0,1+INT((AY39-PT_First)/PT_Int)),0))+IF(AND(AM39&gt;=2,AO39&lt;=AsOfDate),IF(AU39="FT",IF(AZ39&lt;FT_First,0,IF(AZ39&lt;FT_Y5,1+INT((AZ39-FT_First)/FT_Int1),FT_PreY5+FT_PerYear*INT((AZ39-FT_Y5)/12)+FT_AnnivDays+INT(MOD(AZ39-FT_Y5,12)/FT_Int2)-IF(EDATE(AL39,FT_Y5)&lt;PolicyEff,FT_AnnivDays-1,0))),IF(AU39="PT",IF(AZ39&lt;PT_First,0,1+INT((AZ39-PT_First)/PT_Int)),0))-IF(AU39="FT",IF(AY39&lt;FT_First,0,IF(AY39&lt;FT_Y5,1+INT((AY39-FT_First)/FT_Int1),FT_PreY5+FT_PerYear*INT((AY39-FT_Y5)/12)+FT_AnnivDays+INT(MOD(AY39-FT_Y5,12)/FT_Int2)-IF(EDATE(AL39,FT_Y5)&lt;PolicyEff,FT_AnnivDays-1,0))),IF(AU39="PT",IF(AY39&lt;PT_First,0,1+INT((AY39-PT_First)/PT_Int)),0)),0)+IF(AND(AM39&gt;=3,AP39&lt;=AsOfDate),IF(AV39="FT",IF(AX39&lt;FT_First,0,IF(AX39&lt;FT_Y5,1+INT((AX39-FT_First)/FT_Int1),FT_PreY5+FT_PerYear*INT((AX39-FT_Y5)/12)+FT_AnnivDays+INT(MOD(AX39-FT_Y5,12)/FT_Int2)-IF(EDATE(AL39,FT_Y5)&lt;PolicyEff,FT_AnnivDays-1,0))),IF(AV39="PT",IF(AX39&lt;PT_First,0,1+INT((AX39-PT_First)/PT_Int)),0))-IF(AV39="FT",IF(AZ39&lt;FT_First,0,IF(AZ39&lt;FT_Y5,1+INT((AZ39-FT_First)/FT_Int1),FT_PreY5+FT_PerYear*INT((AZ39-FT_Y5)/12)+FT_AnnivDays+INT(MOD(AZ39-FT_Y5,12)/FT_Int2)-IF(EDATE(AL39,FT_Y5)&lt;PolicyEff,FT_AnnivDays-1,0))),IF(AV39="PT",IF(AZ39&lt;PT_First,0,1+INT((AZ39-PT_First)/PT_Int)),0)),0))</f>
        <v/>
      </c>
      <c r="BE39" s="16" t="str">
        <f aca="false">IF(AK39=0,"",IF(AT39="FT",IF(BB39&lt;FT_First,0,IF(BB39&lt;FT_Y5,1+INT((BB39-FT_First)/FT_Int1),FT_PreY5+FT_PerYear*INT((BB39-FT_Y5)/12)+FT_AnnivDays+INT(MOD(BB39-FT_Y5,12)/FT_Int2)-IF(EDATE(AL39,FT_Y5)&lt;PolicyEff,FT_AnnivDays-1,0))),IF(AT39="PT",IF(BB39&lt;PT_First,0,1+INT((BB39-PT_First)/PT_Int)),0))+IF(AND(AM39&gt;=2,AO39&lt;=PFYDate),IF(AU39="FT",IF(BC39&lt;FT_First,0,IF(BC39&lt;FT_Y5,1+INT((BC39-FT_First)/FT_Int1),FT_PreY5+FT_PerYear*INT((BC39-FT_Y5)/12)+FT_AnnivDays+INT(MOD(BC39-FT_Y5,12)/FT_Int2)-IF(EDATE(AL39,FT_Y5)&lt;PolicyEff,FT_AnnivDays-1,0))),IF(AU39="PT",IF(BC39&lt;PT_First,0,1+INT((BC39-PT_First)/PT_Int)),0))-IF(AU39="FT",IF(BB39&lt;FT_First,0,IF(BB39&lt;FT_Y5,1+INT((BB39-FT_First)/FT_Int1),FT_PreY5+FT_PerYear*INT((BB39-FT_Y5)/12)+FT_AnnivDays+INT(MOD(BB39-FT_Y5,12)/FT_Int2)-IF(EDATE(AL39,FT_Y5)&lt;PolicyEff,FT_AnnivDays-1,0))),IF(AU39="PT",IF(BB39&lt;PT_First,0,1+INT((BB39-PT_First)/PT_Int)),0)),0)+IF(AND(AM39&gt;=3,AP39&lt;=PFYDate),IF(AV39="FT",IF(BA39&lt;FT_First,0,IF(BA39&lt;FT_Y5,1+INT((BA39-FT_First)/FT_Int1),FT_PreY5+FT_PerYear*INT((BA39-FT_Y5)/12)+FT_AnnivDays+INT(MOD(BA39-FT_Y5,12)/FT_Int2)-IF(EDATE(AL39,FT_Y5)&lt;PolicyEff,FT_AnnivDays-1,0))),IF(AV39="PT",IF(BA39&lt;PT_First,0,1+INT((BA39-PT_First)/PT_Int)),0))-IF(AV39="FT",IF(BC39&lt;FT_First,0,IF(BC39&lt;FT_Y5,1+INT((BC39-FT_First)/FT_Int1),FT_PreY5+FT_PerYear*INT((BC39-FT_Y5)/12)+FT_AnnivDays+INT(MOD(BC39-FT_Y5,12)/FT_Int2)-IF(EDATE(AL39,FT_Y5)&lt;PolicyEff,FT_AnnivDays-1,0))),IF(AV39="PT",IF(BC39&lt;PT_First,0,1+INT((BC39-PT_First)/PT_Int)),0)),0))</f>
        <v/>
      </c>
      <c r="BF39" s="16" t="str">
        <f aca="false">IF(AK39=0,"",IF(AW39="FT",IF(AX39&lt;FT_First,FT_First,IF(AX39&lt;FT_Y5,MIN(FT_Y5,FT_First+FT_Int1*(INT((AX39-FT_First)/FT_Int1)+1)),FT_Y5+12*INT((AX39-FT_Y5)/12)+FT_Int2*(INT(MOD(AX39-FT_Y5,12)/FT_Int2)+1))),IF(AW39="PT",IF(AX39&lt;PT_First,PT_First,PT_First+PT_Int*(INT((AX39-PT_First)/PT_Int)+1)),"")))</f>
        <v/>
      </c>
      <c r="BG39" s="16" t="str">
        <f aca="false">IF(AK39=0,"",IF(NOT(LH_Ready),0,COUNTIFS(INDEX(LH_Data,0,LH_ColFirst),$A39,INDEX(LH_Data,0,LH_ColSur),$B39,INDEX(LH_Data,0,LH_ColCat),BonusCat)))</f>
        <v/>
      </c>
      <c r="BH39" s="16" t="str">
        <f aca="false">IF(AK39=0,"",IF(OR(NOT(LH_Ready),BG39=0),0,SUMPRODUCT(MAX((INDEX(LH_Data,0,LH_ColFirst)=$A39)*(INDEX(LH_Data,0,LH_ColSur)=$B39)*(INDEX(LH_Data,0,LH_ColCat)=BonusCat)*ROW(LH_Data)))))</f>
        <v/>
      </c>
      <c r="BI39" s="16" t="str">
        <f aca="false">IF(AK39=0,"",IF(EOMONTH(AsOfDate,-1)&lt;AL39,-1,12*(YEAR(EOMONTH(AsOfDate,-1))-YEAR(AL39))+MONTH(EOMONTH(AsOfDate,-1))-MONTH(AL39)-IF(DAY(EOMONTH(AsOfDate,-1))&lt;MIN(DAY(AL39),DAY(EOMONTH(EOMONTH(AsOfDate,-1),0))),1,0)))</f>
        <v/>
      </c>
      <c r="BJ39" s="16" t="str">
        <f aca="false">IF(AK39=0,"",IF(OR(AM39&lt;2,AO39&gt;EOMONTH(AsOfDate,-1)),BI39,IF((AO39-1)&lt;AL39,-1,12*(YEAR((AO39-1))-YEAR(AL39))+MONTH((AO39-1))-MONTH(AL39)-IF(DAY((AO39-1))&lt;MIN(DAY(AL39),DAY(EOMONTH((AO39-1),0))),1,0))))</f>
        <v/>
      </c>
      <c r="BK39" s="16" t="str">
        <f aca="false">IF(AK39=0,"",IF(OR(AM39&lt;3,AP39&gt;EOMONTH(AsOfDate,-1)),BI39,IF((AP39-1)&lt;AL39,-1,12*(YEAR((AP39-1))-YEAR(AL39))+MONTH((AP39-1))-MONTH(AL39)-IF(DAY((AP39-1))&lt;MIN(DAY(AL39),DAY(EOMONTH((AP39-1),0))),1,0))))</f>
        <v/>
      </c>
      <c r="BL39" s="16" t="str">
        <f aca="false">IF(AK39=0,"",IF(AT39="FT",IF(BJ39&lt;FT_First,0,IF(BJ39&lt;FT_Y5,1+INT((BJ39-FT_First)/FT_Int1),FT_PreY5+FT_PerYear*INT((BJ39-FT_Y5)/12)+FT_AnnivDays+INT(MOD(BJ39-FT_Y5,12)/FT_Int2)-IF(EDATE(AL39,FT_Y5)&lt;PolicyEff,FT_AnnivDays-1,0))),IF(AT39="PT",IF(BJ39&lt;PT_First,0,1+INT((BJ39-PT_First)/PT_Int)),0))+IF(AND(AM39&gt;=2,AO39&lt;=EOMONTH(AsOfDate,-1)),IF(AU39="FT",IF(BK39&lt;FT_First,0,IF(BK39&lt;FT_Y5,1+INT((BK39-FT_First)/FT_Int1),FT_PreY5+FT_PerYear*INT((BK39-FT_Y5)/12)+FT_AnnivDays+INT(MOD(BK39-FT_Y5,12)/FT_Int2)-IF(EDATE(AL39,FT_Y5)&lt;PolicyEff,FT_AnnivDays-1,0))),IF(AU39="PT",IF(BK39&lt;PT_First,0,1+INT((BK39-PT_First)/PT_Int)),0))-IF(AU39="FT",IF(BJ39&lt;FT_First,0,IF(BJ39&lt;FT_Y5,1+INT((BJ39-FT_First)/FT_Int1),FT_PreY5+FT_PerYear*INT((BJ39-FT_Y5)/12)+FT_AnnivDays+INT(MOD(BJ39-FT_Y5,12)/FT_Int2)-IF(EDATE(AL39,FT_Y5)&lt;PolicyEff,FT_AnnivDays-1,0))),IF(AU39="PT",IF(BJ39&lt;PT_First,0,1+INT((BJ39-PT_First)/PT_Int)),0)),0)+IF(AND(AM39&gt;=3,AP39&lt;=EOMONTH(AsOfDate,-1)),IF(AV39="FT",IF(BI39&lt;FT_First,0,IF(BI39&lt;FT_Y5,1+INT((BI39-FT_First)/FT_Int1),FT_PreY5+FT_PerYear*INT((BI39-FT_Y5)/12)+FT_AnnivDays+INT(MOD(BI39-FT_Y5,12)/FT_Int2)-IF(EDATE(AL39,FT_Y5)&lt;PolicyEff,FT_AnnivDays-1,0))),IF(AV39="PT",IF(BI39&lt;PT_First,0,1+INT((BI39-PT_First)/PT_Int)),0))-IF(AV39="FT",IF(BK39&lt;FT_First,0,IF(BK39&lt;FT_Y5,1+INT((BK39-FT_First)/FT_Int1),FT_PreY5+FT_PerYear*INT((BK39-FT_Y5)/12)+FT_AnnivDays+INT(MOD(BK39-FT_Y5,12)/FT_Int2)-IF(EDATE(AL39,FT_Y5)&lt;PolicyEff,FT_AnnivDays-1,0))),IF(AV39="PT",IF(BK39&lt;PT_First,0,1+INT((BK39-PT_First)/PT_Int)),0)),0))</f>
        <v/>
      </c>
      <c r="BM39" s="16" t="str">
        <f aca="false">IF(AK39=0,"",IF(AW39="FT",IF(AX39&lt;FT_First,"",IF(AX39&lt;FT_Y5,FT_First+FT_Int1*INT((AX39-FT_First)/FT_Int1),FT_Y5+FT_Int2*INT((AX39-FT_Y5)/FT_Int2))),IF(AW39="PT",IF(AX39&lt;PT_First,"",PT_First+PT_Int*INT((AX39-PT_First)/PT_Int)),"")))</f>
        <v/>
      </c>
      <c r="BN39" s="16" t="str">
        <f aca="false">IF(AK39=0,"",IF((SchemeStart-1)&lt;AL39,-1,12*(YEAR((SchemeStart-1))-YEAR(AL39))+MONTH((SchemeStart-1))-MONTH(AL39)-IF(DAY((SchemeStart-1))&lt;MIN(DAY(AL39),DAY(EOMONTH((SchemeStart-1),0))),1,0)))</f>
        <v/>
      </c>
      <c r="BO39" s="16" t="str">
        <f aca="false">IF(AK39=0,"",IF(OR(AM39&lt;2,AO39&gt;(SchemeStart-1)),BN39,IF((AO39-1)&lt;AL39,-1,12*(YEAR((AO39-1))-YEAR(AL39))+MONTH((AO39-1))-MONTH(AL39)-IF(DAY((AO39-1))&lt;MIN(DAY(AL39),DAY(EOMONTH((AO39-1),0))),1,0))))</f>
        <v/>
      </c>
      <c r="BP39" s="16" t="str">
        <f aca="false">IF(AK39=0,"",IF(OR(AM39&lt;3,AP39&gt;(SchemeStart-1)),BN39,IF((AP39-1)&lt;AL39,-1,12*(YEAR((AP39-1))-YEAR(AL39))+MONTH((AP39-1))-MONTH(AL39)-IF(DAY((AP39-1))&lt;MIN(DAY(AL39),DAY(EOMONTH((AP39-1),0))),1,0))))</f>
        <v/>
      </c>
      <c r="BQ39" s="16" t="str">
        <f aca="false">IF(AK39=0,"",IF(AT39="FT",IF(BO39&lt;FT_First,0,IF(BO39&lt;FT_Y5,1+INT((BO39-FT_First)/FT_Int1),FT_PreY5+FT_PerYear*INT((BO39-FT_Y5)/12)+FT_AnnivDays+INT(MOD(BO39-FT_Y5,12)/FT_Int2)-IF(EDATE(AL39,FT_Y5)&lt;PolicyEff,FT_AnnivDays-1,0))),IF(AT39="PT",IF(BO39&lt;PT_First,0,1+INT((BO39-PT_First)/PT_Int)),0))+IF(AND(AM39&gt;=2,AO39&lt;=(SchemeStart-1)),IF(AU39="FT",IF(BP39&lt;FT_First,0,IF(BP39&lt;FT_Y5,1+INT((BP39-FT_First)/FT_Int1),FT_PreY5+FT_PerYear*INT((BP39-FT_Y5)/12)+FT_AnnivDays+INT(MOD(BP39-FT_Y5,12)/FT_Int2)-IF(EDATE(AL39,FT_Y5)&lt;PolicyEff,FT_AnnivDays-1,0))),IF(AU39="PT",IF(BP39&lt;PT_First,0,1+INT((BP39-PT_First)/PT_Int)),0))-IF(AU39="FT",IF(BO39&lt;FT_First,0,IF(BO39&lt;FT_Y5,1+INT((BO39-FT_First)/FT_Int1),FT_PreY5+FT_PerYear*INT((BO39-FT_Y5)/12)+FT_AnnivDays+INT(MOD(BO39-FT_Y5,12)/FT_Int2)-IF(EDATE(AL39,FT_Y5)&lt;PolicyEff,FT_AnnivDays-1,0))),IF(AU39="PT",IF(BO39&lt;PT_First,0,1+INT((BO39-PT_First)/PT_Int)),0)),0)+IF(AND(AM39&gt;=3,AP39&lt;=(SchemeStart-1)),IF(AV39="FT",IF(BN39&lt;FT_First,0,IF(BN39&lt;FT_Y5,1+INT((BN39-FT_First)/FT_Int1),FT_PreY5+FT_PerYear*INT((BN39-FT_Y5)/12)+FT_AnnivDays+INT(MOD(BN39-FT_Y5,12)/FT_Int2)-IF(EDATE(AL39,FT_Y5)&lt;PolicyEff,FT_AnnivDays-1,0))),IF(AV39="PT",IF(BN39&lt;PT_First,0,1+INT((BN39-PT_First)/PT_Int)),0))-IF(AV39="FT",IF(BP39&lt;FT_First,0,IF(BP39&lt;FT_Y5,1+INT((BP39-FT_First)/FT_Int1),FT_PreY5+FT_PerYear*INT((BP39-FT_Y5)/12)+FT_AnnivDays+INT(MOD(BP39-FT_Y5,12)/FT_Int2)-IF(EDATE(AL39,FT_Y5)&lt;PolicyEff,FT_AnnivDays-1,0))),IF(AV39="PT",IF(BP39&lt;PT_First,0,1+INT((BP39-PT_First)/PT_Int)),0)),0))</f>
        <v/>
      </c>
      <c r="BR39" s="0" t="str">
        <f aca="false">IF(LEN($A39&amp;$B39)=0,"",$A39&amp;" "&amp;$B39)</f>
        <v/>
      </c>
    </row>
    <row r="40" customFormat="false" ht="15" hidden="false" customHeight="false" outlineLevel="0" collapsed="false">
      <c r="A40" s="12"/>
      <c r="B40" s="12"/>
      <c r="C40" s="12"/>
      <c r="D40" s="13"/>
      <c r="E40" s="14" t="str">
        <f aca="false">IF(OR(AK40=0,$D40=""),"",DATE(YEAR(AsOfDate)+IF(DATE(YEAR(AsOfDate),MONTH($D40),DAY($D40))&lt;=AsOfDate,1,0),MONTH($D40),DAY($D40)))</f>
        <v/>
      </c>
      <c r="F40" s="13"/>
      <c r="G40" s="13"/>
      <c r="H40" s="13"/>
      <c r="I40" s="13"/>
      <c r="J40" s="13"/>
      <c r="K40" s="14" t="str">
        <f aca="false">IF(AK40=0,"",DATE(YEAR(AsOfDate)+IF(DATE(YEAR(AsOfDate),MONTH(AL40),DAY(AL40))&lt;=AsOfDate,1,0),MONTH(AL40),DAY(AL40)))</f>
        <v/>
      </c>
      <c r="L40" s="15" t="str">
        <f aca="false">IF(AK40=0,"",ROUND((AsOfDate-AL40)/365.25,1))</f>
        <v/>
      </c>
      <c r="M40" s="16" t="str">
        <f aca="false">IF(AK40=0,"",IF(AsOfDate&lt;AL40,"-",DATEDIF(AL40,AsOfDate,"y")&amp;"y "&amp;DATEDIF(AL40,AsOfDate,"ym")&amp;"m "&amp;DATEDIF(AL40,AsOfDate,"md")&amp;"d"))</f>
        <v/>
      </c>
      <c r="N40" s="17" t="str">
        <f aca="false">IF(AK40=0,"",O40*HoursPerDay)</f>
        <v/>
      </c>
      <c r="O40" s="17" t="str">
        <f aca="false">IF(AK40=0,"",MAX(0,BD40-BQ40))</f>
        <v/>
      </c>
      <c r="P40" s="18"/>
      <c r="Q40" s="16" t="str">
        <f aca="false">IF(AK40=0,"",IF(AM40&lt;2,"",AQ40&amp;" to "&amp;AR40&amp;" on "&amp;TEXT(AO40,"dd/mm/yyyy")&amp;IF(AO40&gt;AsOfDate," (future)",IF(AT40=AU40,"",IF(AU40="None"," - STOPPED accruing",IF(AT40="None"," - commencement for Bonus Leave"," - pathway changed"))))&amp;IF(AM40&lt;3,"","; "&amp;AR40&amp;" to "&amp;AS40&amp;" on "&amp;TEXT(AP40,"dd/mm/yyyy")&amp;IF(AP40&gt;AsOfDate," (future)",IF(AU40=AV40,"",IF(AV40="None"," - STOPPED accruing",IF(AU40="None"," - commencement for Bonus Leave"," - pathway changed")))))))</f>
        <v/>
      </c>
      <c r="R40" s="16" t="str">
        <f aca="false">IF(AK40=0,"",IF(AW40="None",IF(O40&gt;0,"No longer accruing","Not eligible - "&amp;IF(AND(OR(ISNUMBER(SEARCH("part",$C40)),UPPER(TRIM($C40))="PT",UPPER(TRIM($C40))="PTE"),Apply2026="No"),"part-time (scheme is full-time only)",IF(AND(OR(ISNUMBER(SEARCH("part",$C40)),UPPER(TRIM($C40))="PT",UPPER(TRIM($C40))="PTE"),$P40&lt;&gt;"",N($P40)&lt;PT_MinHours),"under "&amp;PT_MinHours&amp;" hrs",IF(IF($C40="","",IF(OR(ISNUMBER(SEARCH("full",$C40)),UPPER(TRIM($C40))="FT",UPPER(TRIM($C40))="FTE"),"Full-Time",IF(OR(ISNUMBER(SEARCH("part",$C40)),UPPER(TRIM($C40))="PT",UPPER(TRIM($C40))="PTE"),"Part-Time",IF(OR(ISNUMBER(SEARCH("cas",$C40)),UPPER(TRIM($C40))="CAS"),"Casual","Unknown"))))="Unknown","type not recognised",$C40)))),IF(O40&gt;0,"Yes - Accrual Required","Not yet - from "&amp;TEXT(S40,"dd/mm/yyyy"))))</f>
        <v/>
      </c>
      <c r="S40" s="14" t="str">
        <f aca="false">IF(AK40=0,"",IF(AW40="None","",EDATE(AL40,BF40)))</f>
        <v/>
      </c>
      <c r="T40" s="17" t="str">
        <f aca="false">IF(AK40=0,"",IF(NOT(LH_Ready),"",IF($F40&gt;PFYDate,0,IF(LH_ColPeriod=0,W40-U40+V40,SUMIFS(INDEX(LH_Data,0,LH_ColAcc),INDEX(LH_Data,0,LH_ColFirst),$A40,INDEX(LH_Data,0,LH_ColSur),$B40,INDEX(LH_Data,0,LH_ColCat),BonusCat,INDEX(LH_Data,0,LH_ColPeriod),LH_OpenLabel)*UnitFactor))))</f>
        <v/>
      </c>
      <c r="U40" s="17" t="str">
        <f aca="false">IF(AK40=0,"",IF(NOT(LH_Ready),"",SUMIFS(INDEX(LH_Data,0,LH_ColAcc),INDEX(LH_Data,0,LH_ColFirst),$A40,INDEX(LH_Data,0,LH_ColSur),$B40,INDEX(LH_Data,0,LH_ColCat),BonusCat,INDEX(LH_Data,0,LH_ColStart),"&gt;="&amp;AL40)*UnitFactor))</f>
        <v/>
      </c>
      <c r="V40" s="17" t="str">
        <f aca="false">IF(AK40=0,"",IF(NOT(LH_Ready),"",SUMIFS(INDEX(LH_Data,0,LH_ColTaken),INDEX(LH_Data,0,LH_ColFirst),$A40,INDEX(LH_Data,0,LH_ColSur),$B40,INDEX(LH_Data,0,LH_ColCat),BonusCat,INDEX(LH_Data,0,LH_ColStart),"&gt;="&amp;AL40)*UnitFactor))</f>
        <v/>
      </c>
      <c r="W40" s="17" t="str">
        <f aca="false">IF(AK40=0,"",IF(NOT(LH_Ready),"",IF(BH40=0,0,INDEX(INDEX(LH_Data,0,LH_ColClose),BH40-1)*UnitFactor)))</f>
        <v/>
      </c>
      <c r="X40" s="17" t="str">
        <f aca="false">IF(AK40=0,"",(MAX(0,BD40-BQ40)-MAX(0,BE40-BQ40))*HoursPerDay)</f>
        <v/>
      </c>
      <c r="Y40" s="17" t="str">
        <f aca="false">IF(AK40=0,"",IF(NOT(LH_Ready),"",IF($AI40="Yes",N(AE40)*HoursPerDay-SUMIFS(INDEX(LH_Data,0,LH_ColAcc),INDEX(LH_Data,0,LH_ColFirst),$A40,INDEX(LH_Data,0,LH_ColSur),$B40,INDEX(LH_Data,0,LH_ColCat),BonusCat,INDEX(LH_Data,0,LH_ColStart),"&gt;="&amp;(EOMONTH(AsOfDate,-1)+1),INDEX(LH_Data,0,LH_ColStart),"&lt;="&amp;AsOfDate)*UnitFactor,IF(BG40=0,N40,N40-N(T40)-N(U40)))))</f>
        <v/>
      </c>
      <c r="Z40" s="16" t="str">
        <f aca="false">IF(OR(AK40=0,Y40=""),"",IF(Y40&gt;0,"Yes","No"))</f>
        <v/>
      </c>
      <c r="AA40" s="16" t="str">
        <f aca="false">IF(AK40=0,IF(LEN($A40&amp;$B40)=0,"","FIX INPUT - StartDate missing"),IF(AD40&lt;&gt;"","FIX INPUT - "&amp;AD40,IF(NOT(LH_Ready),"Paste Leave History export (Settings must show YES)",IF(AND($AI40="Yes",Y40&lt;=0),"OK - EH balance accepted to date"&amp;IF(N(AH40)&gt;0," (EH holds "&amp;AH40&amp;" hrs over the scheme)","")&amp;"; next day "&amp;TEXT(S40,"dd mmm yy")&amp;IF(N(AE40)&gt;0," ("&amp;AE40&amp;" day(s) for "&amp;UPPER(TEXT(AsOfDate,"mmm yyyy"))&amp;" already in EH)",""),IF(Y40&gt;0,"ACCRUE "&amp;ROUND(Y40,2)&amp;" hrs ("&amp;ROUND(Y40/HoursPerDay,2)&amp;" days): "&amp;IF(N(AE40)&gt;0,AE40&amp;" day(s) for "&amp;UPPER(TEXT(AsOfDate,"mmm yyyy"))&amp;" (milestone "&amp;UPPER(TEXT(AF40,"dd mmm yy"))&amp;")"&amp;IF(Y40/HoursPerDay&gt;AE40+0.001," + "&amp;ROUND(Y40/HoursPerDay-AE40,2)&amp;" day(s) catch-up from earlier months",""),"all catch-up from earlier months, nothing new this month")&amp;IF(BG40=0,"; no Bonus Leave in EH yet",""),IF(Y40&lt;0,"CHECK - EH accrued "&amp;ROUND(-Y40,2)&amp;" hrs more than policy since commencement",IF(N(W40)&gt;O40*HoursPerDay+0.01,"CHECK - EH balance "&amp;ROUND(W40-O40*HoursPerDay,2)&amp;" hrs more than policy entitlement",IF(O40&gt;0,"OK - nothing to add"&amp;IF(N(AE40)&gt;0," ("&amp;AE40&amp;" day(s) for "&amp;UPPER(TEXT(AsOfDate,"mmm yyyy"))&amp;" already in EH)",""),IF(AW40="None",R40,"Not yet - first day on "&amp;TEXT(S40,"dd/mm/yyyy"))))))))))</f>
        <v/>
      </c>
      <c r="AB40" s="17" t="str">
        <f aca="false">IF(OR(AK40=0,T40=""),"",MAX(0,BE40-BQ40)*HoursPerDay-T40)</f>
        <v/>
      </c>
      <c r="AC40" s="16" t="str">
        <f aca="false">IF(AK40=0,"",BG40)</f>
        <v/>
      </c>
      <c r="AD40" s="16" t="str">
        <f aca="false">IF(AK40=0,"",TRIM(IF(OR(ISTEXT($F40),ISTEXT($H40),ISTEXT($I40),ISTEXT($G40),ISTEXT($J40),ISTEXT($D40)),"A date is typed as text - retype it as dd/mm/yyyy. ","")&amp;IF(IF($C40="","",IF(OR(ISNUMBER(SEARCH("full",$C40)),UPPER(TRIM($C40))="FT",UPPER(TRIM($C40))="FTE"),"Full-Time",IF(OR(ISNUMBER(SEARCH("part",$C40)),UPPER(TRIM($C40))="PT",UPPER(TRIM($C40))="PTE"),"Part-Time",IF(OR(ISNUMBER(SEARCH("cas",$C40)),UPPER(TRIM($C40))="CAS"),"Casual","Unknown"))))="Unknown","EmploymentType not recognised - use Full-Time, Part-Time or Casual. ","")&amp;IF(AND(AM40&gt;=1,IF(AM40&gt;=3,AS40,IF(AM40=2,AR40,AQ40))&lt;&gt;IF($C40="","",IF(OR(ISNUMBER(SEARCH("full",$C40)),UPPER(TRIM($C40))="FT",UPPER(TRIM($C40))="FTE"),"Full-Time",IF(OR(ISNUMBER(SEARCH("part",$C40)),UPPER(TRIM($C40))="PT",UPPER(TRIM($C40))="PTE"),"Part-Time",IF(OR(ISNUMBER(SEARCH("cas",$C40)),UPPER(TRIM($C40))="CAS"),"Casual","Unknown"))))),"EmploymentType does not match latest start date ("&amp;IF(AM40&gt;=3,AS40,IF(AM40=2,AR40,AQ40))&amp;"). ","")&amp;IF(AND(AM40&gt;=1,AN40&lt;&gt;$F40),"Earliest type date should equal StartDate. ","")&amp;IF(AND(AM40&gt;=2,AN40=AO40),"Two types start on the same date. ","")&amp;IF(AND(OR(ISNUMBER(SEARCH("part",$C40)),UPPER(TRIM($C40))="PT",UPPER(TRIM($C40))="PTE"),$P40=""),"Part-time: enter PT Hrs/Week (blank = 24+). ","")))</f>
        <v/>
      </c>
      <c r="AE40" s="17" t="str">
        <f aca="false">IF(AK40=0,"",O40-MAX(0,BL40-BQ40))</f>
        <v/>
      </c>
      <c r="AF40" s="14" t="str">
        <f aca="false">IF(OR(AK40=0,AE40="",N(AE40)=0,BM40=""),"",EDATE(AL40,BM40))</f>
        <v/>
      </c>
      <c r="AG40" s="17" t="str">
        <f aca="false">IF(AK40=0,"",MIN(BD40,BQ40))</f>
        <v/>
      </c>
      <c r="AH40" s="17" t="str">
        <f aca="false">IF(AK40=0,"",IF(NOT(LH_Ready),"",IF(BG40=0,0,MAX(0,ROUND(N(T40)+N(U40)-N40,2)))))</f>
        <v/>
      </c>
      <c r="AI40" s="12"/>
      <c r="AJ40" s="12"/>
      <c r="AK40" s="16" t="n">
        <f aca="false">IF(OR(LEN($A40&amp;$B40)=0,$F40=""),0,1)</f>
        <v>0</v>
      </c>
      <c r="AL40" s="14" t="str">
        <f aca="false">IF(AK40=0,"",IF(PreSchemeCounts="No",MAX(SchemeStart,IF($J40&lt;&gt;"",$J40,IF(OR(CasualCounts="Yes",COUNT($G40:$I40)=0),$F40,IF(Apply2026="No",IF($I40="",$F40,$I40),IF(COUNT($H40:$I40)=0,$F40,MIN($H40:$I40)))))),IF($J40&lt;&gt;"",$J40,IF(OR(CasualCounts="Yes",COUNT($G40:$I40)=0),$F40,IF(Apply2026="No",IF($I40="",$F40,$I40),IF(COUNT($H40:$I40)=0,$F40,MIN($H40:$I40)))))))</f>
        <v/>
      </c>
      <c r="AM40" s="16" t="str">
        <f aca="false">IF(AK40=0,"",COUNT($G40:$I40))</f>
        <v/>
      </c>
      <c r="AN40" s="14" t="str">
        <f aca="false">IF(AK40=0,"",IFERROR(SMALL($G40:$I40,1),""))</f>
        <v/>
      </c>
      <c r="AO40" s="14" t="str">
        <f aca="false">IF(AK40=0,"",IFERROR(SMALL($G40:$I40,2),""))</f>
        <v/>
      </c>
      <c r="AP40" s="14" t="str">
        <f aca="false">IF(AK40=0,"",IFERROR(SMALL($G40:$I40,3),""))</f>
        <v/>
      </c>
      <c r="AQ40" s="16" t="str">
        <f aca="false">IF(AK40=0,"",IF(AN40="","",IF(AN40=$H40,"Part-Time",IF(AN40=$I40,"Full-Time","Casual"))))</f>
        <v/>
      </c>
      <c r="AR40" s="16" t="str">
        <f aca="false">IF(AK40=0,"",IF(AO40="","",IF(AO40=$H40,"Part-Time",IF(AO40=$I40,"Full-Time","Casual"))))</f>
        <v/>
      </c>
      <c r="AS40" s="16" t="str">
        <f aca="false">IF(AK40=0,"",IF(AP40="","",IF(AP40=$H40,"Part-Time",IF(AP40=$I40,"Full-Time","Casual"))))</f>
        <v/>
      </c>
      <c r="AT40" s="16" t="str">
        <f aca="false">IF(AK40=0,"",IF(AM40=0,IF(OR(ISNUMBER(SEARCH("full",$C40)),UPPER(TRIM($C40))="FT",UPPER(TRIM($C40))="FTE"),"FT",IF(AND(OR(ISNUMBER(SEARCH("part",$C40)),UPPER(TRIM($C40))="PT",UPPER(TRIM($C40))="PTE"),Apply2026="Yes",OR($P40="",N($P40)&gt;=PT_MinHours)),"PT","None")),IF(OR(ISNUMBER(SEARCH("full",AQ40)),UPPER(TRIM(AQ40))="FT",UPPER(TRIM(AQ40))="FTE"),"FT",IF(AND(OR(ISNUMBER(SEARCH("part",AQ40)),UPPER(TRIM(AQ40))="PT",UPPER(TRIM(AQ40))="PTE"),Apply2026="Yes",OR($P40="",N($P40)&gt;=PT_MinHours)),"PT","None"))))</f>
        <v/>
      </c>
      <c r="AU40" s="16" t="str">
        <f aca="false">IF(AK40=0,"",IF(AM40&lt;2,"",IF(OR(ISNUMBER(SEARCH("full",AR40)),UPPER(TRIM(AR40))="FT",UPPER(TRIM(AR40))="FTE"),"FT",IF(AND(OR(ISNUMBER(SEARCH("part",AR40)),UPPER(TRIM(AR40))="PT",UPPER(TRIM(AR40))="PTE"),Apply2026="Yes",OR($P40="",N($P40)&gt;=PT_MinHours)),"PT","None"))))</f>
        <v/>
      </c>
      <c r="AV40" s="16" t="str">
        <f aca="false">IF(AK40=0,"",IF(AM40&lt;3,"",IF(OR(ISNUMBER(SEARCH("full",AS40)),UPPER(TRIM(AS40))="FT",UPPER(TRIM(AS40))="FTE"),"FT",IF(AND(OR(ISNUMBER(SEARCH("part",AS40)),UPPER(TRIM(AS40))="PT",UPPER(TRIM(AS40))="PTE"),Apply2026="Yes",OR($P40="",N($P40)&gt;=PT_MinHours)),"PT","None"))))</f>
        <v/>
      </c>
      <c r="AW40" s="16" t="str">
        <f aca="false">IF(AK40=0,"",IF(AND(AM40&gt;=3,AP40&lt;=AsOfDate),AV40,IF(AND(AM40&gt;=2,AO40&lt;=AsOfDate),AU40,AT40)))</f>
        <v/>
      </c>
      <c r="AX40" s="16" t="str">
        <f aca="false">IF(AK40=0,"",IF(AsOfDate&lt;AL40,-1,12*(YEAR(AsOfDate)-YEAR(AL40))+MONTH(AsOfDate)-MONTH(AL40)-IF(DAY(AsOfDate)&lt;MIN(DAY(AL40),DAY(EOMONTH(AsOfDate,0))),1,0)))</f>
        <v/>
      </c>
      <c r="AY40" s="16" t="str">
        <f aca="false">IF(AK40=0,"",IF(OR(AM40&lt;2,AO40&gt;AsOfDate),AX40,IF((AO40-1)&lt;AL40,-1,12*(YEAR((AO40-1))-YEAR(AL40))+MONTH((AO40-1))-MONTH(AL40)-IF(DAY((AO40-1))&lt;MIN(DAY(AL40),DAY(EOMONTH((AO40-1),0))),1,0))))</f>
        <v/>
      </c>
      <c r="AZ40" s="16" t="str">
        <f aca="false">IF(AK40=0,"",IF(OR(AM40&lt;3,AP40&gt;AsOfDate),AX40,IF((AP40-1)&lt;AL40,-1,12*(YEAR((AP40-1))-YEAR(AL40))+MONTH((AP40-1))-MONTH(AL40)-IF(DAY((AP40-1))&lt;MIN(DAY(AL40),DAY(EOMONTH((AP40-1),0))),1,0))))</f>
        <v/>
      </c>
      <c r="BA40" s="16" t="str">
        <f aca="false">IF(AK40=0,"",IF(PFYDate&lt;AL40,-1,12*(YEAR(PFYDate)-YEAR(AL40))+MONTH(PFYDate)-MONTH(AL40)-IF(DAY(PFYDate)&lt;MIN(DAY(AL40),DAY(EOMONTH(PFYDate,0))),1,0)))</f>
        <v/>
      </c>
      <c r="BB40" s="16" t="str">
        <f aca="false">IF(AK40=0,"",IF(OR(AM40&lt;2,AO40&gt;PFYDate),BA40,IF((AO40-1)&lt;AL40,-1,12*(YEAR((AO40-1))-YEAR(AL40))+MONTH((AO40-1))-MONTH(AL40)-IF(DAY((AO40-1))&lt;MIN(DAY(AL40),DAY(EOMONTH((AO40-1),0))),1,0))))</f>
        <v/>
      </c>
      <c r="BC40" s="16" t="str">
        <f aca="false">IF(AK40=0,"",IF(OR(AM40&lt;3,AP40&gt;PFYDate),BA40,IF((AP40-1)&lt;AL40,-1,12*(YEAR((AP40-1))-YEAR(AL40))+MONTH((AP40-1))-MONTH(AL40)-IF(DAY((AP40-1))&lt;MIN(DAY(AL40),DAY(EOMONTH((AP40-1),0))),1,0))))</f>
        <v/>
      </c>
      <c r="BD40" s="16" t="str">
        <f aca="false">IF(AK40=0,"",IF(AT40="FT",IF(AY40&lt;FT_First,0,IF(AY40&lt;FT_Y5,1+INT((AY40-FT_First)/FT_Int1),FT_PreY5+FT_PerYear*INT((AY40-FT_Y5)/12)+FT_AnnivDays+INT(MOD(AY40-FT_Y5,12)/FT_Int2)-IF(EDATE(AL40,FT_Y5)&lt;PolicyEff,FT_AnnivDays-1,0))),IF(AT40="PT",IF(AY40&lt;PT_First,0,1+INT((AY40-PT_First)/PT_Int)),0))+IF(AND(AM40&gt;=2,AO40&lt;=AsOfDate),IF(AU40="FT",IF(AZ40&lt;FT_First,0,IF(AZ40&lt;FT_Y5,1+INT((AZ40-FT_First)/FT_Int1),FT_PreY5+FT_PerYear*INT((AZ40-FT_Y5)/12)+FT_AnnivDays+INT(MOD(AZ40-FT_Y5,12)/FT_Int2)-IF(EDATE(AL40,FT_Y5)&lt;PolicyEff,FT_AnnivDays-1,0))),IF(AU40="PT",IF(AZ40&lt;PT_First,0,1+INT((AZ40-PT_First)/PT_Int)),0))-IF(AU40="FT",IF(AY40&lt;FT_First,0,IF(AY40&lt;FT_Y5,1+INT((AY40-FT_First)/FT_Int1),FT_PreY5+FT_PerYear*INT((AY40-FT_Y5)/12)+FT_AnnivDays+INT(MOD(AY40-FT_Y5,12)/FT_Int2)-IF(EDATE(AL40,FT_Y5)&lt;PolicyEff,FT_AnnivDays-1,0))),IF(AU40="PT",IF(AY40&lt;PT_First,0,1+INT((AY40-PT_First)/PT_Int)),0)),0)+IF(AND(AM40&gt;=3,AP40&lt;=AsOfDate),IF(AV40="FT",IF(AX40&lt;FT_First,0,IF(AX40&lt;FT_Y5,1+INT((AX40-FT_First)/FT_Int1),FT_PreY5+FT_PerYear*INT((AX40-FT_Y5)/12)+FT_AnnivDays+INT(MOD(AX40-FT_Y5,12)/FT_Int2)-IF(EDATE(AL40,FT_Y5)&lt;PolicyEff,FT_AnnivDays-1,0))),IF(AV40="PT",IF(AX40&lt;PT_First,0,1+INT((AX40-PT_First)/PT_Int)),0))-IF(AV40="FT",IF(AZ40&lt;FT_First,0,IF(AZ40&lt;FT_Y5,1+INT((AZ40-FT_First)/FT_Int1),FT_PreY5+FT_PerYear*INT((AZ40-FT_Y5)/12)+FT_AnnivDays+INT(MOD(AZ40-FT_Y5,12)/FT_Int2)-IF(EDATE(AL40,FT_Y5)&lt;PolicyEff,FT_AnnivDays-1,0))),IF(AV40="PT",IF(AZ40&lt;PT_First,0,1+INT((AZ40-PT_First)/PT_Int)),0)),0))</f>
        <v/>
      </c>
      <c r="BE40" s="16" t="str">
        <f aca="false">IF(AK40=0,"",IF(AT40="FT",IF(BB40&lt;FT_First,0,IF(BB40&lt;FT_Y5,1+INT((BB40-FT_First)/FT_Int1),FT_PreY5+FT_PerYear*INT((BB40-FT_Y5)/12)+FT_AnnivDays+INT(MOD(BB40-FT_Y5,12)/FT_Int2)-IF(EDATE(AL40,FT_Y5)&lt;PolicyEff,FT_AnnivDays-1,0))),IF(AT40="PT",IF(BB40&lt;PT_First,0,1+INT((BB40-PT_First)/PT_Int)),0))+IF(AND(AM40&gt;=2,AO40&lt;=PFYDate),IF(AU40="FT",IF(BC40&lt;FT_First,0,IF(BC40&lt;FT_Y5,1+INT((BC40-FT_First)/FT_Int1),FT_PreY5+FT_PerYear*INT((BC40-FT_Y5)/12)+FT_AnnivDays+INT(MOD(BC40-FT_Y5,12)/FT_Int2)-IF(EDATE(AL40,FT_Y5)&lt;PolicyEff,FT_AnnivDays-1,0))),IF(AU40="PT",IF(BC40&lt;PT_First,0,1+INT((BC40-PT_First)/PT_Int)),0))-IF(AU40="FT",IF(BB40&lt;FT_First,0,IF(BB40&lt;FT_Y5,1+INT((BB40-FT_First)/FT_Int1),FT_PreY5+FT_PerYear*INT((BB40-FT_Y5)/12)+FT_AnnivDays+INT(MOD(BB40-FT_Y5,12)/FT_Int2)-IF(EDATE(AL40,FT_Y5)&lt;PolicyEff,FT_AnnivDays-1,0))),IF(AU40="PT",IF(BB40&lt;PT_First,0,1+INT((BB40-PT_First)/PT_Int)),0)),0)+IF(AND(AM40&gt;=3,AP40&lt;=PFYDate),IF(AV40="FT",IF(BA40&lt;FT_First,0,IF(BA40&lt;FT_Y5,1+INT((BA40-FT_First)/FT_Int1),FT_PreY5+FT_PerYear*INT((BA40-FT_Y5)/12)+FT_AnnivDays+INT(MOD(BA40-FT_Y5,12)/FT_Int2)-IF(EDATE(AL40,FT_Y5)&lt;PolicyEff,FT_AnnivDays-1,0))),IF(AV40="PT",IF(BA40&lt;PT_First,0,1+INT((BA40-PT_First)/PT_Int)),0))-IF(AV40="FT",IF(BC40&lt;FT_First,0,IF(BC40&lt;FT_Y5,1+INT((BC40-FT_First)/FT_Int1),FT_PreY5+FT_PerYear*INT((BC40-FT_Y5)/12)+FT_AnnivDays+INT(MOD(BC40-FT_Y5,12)/FT_Int2)-IF(EDATE(AL40,FT_Y5)&lt;PolicyEff,FT_AnnivDays-1,0))),IF(AV40="PT",IF(BC40&lt;PT_First,0,1+INT((BC40-PT_First)/PT_Int)),0)),0))</f>
        <v/>
      </c>
      <c r="BF40" s="16" t="str">
        <f aca="false">IF(AK40=0,"",IF(AW40="FT",IF(AX40&lt;FT_First,FT_First,IF(AX40&lt;FT_Y5,MIN(FT_Y5,FT_First+FT_Int1*(INT((AX40-FT_First)/FT_Int1)+1)),FT_Y5+12*INT((AX40-FT_Y5)/12)+FT_Int2*(INT(MOD(AX40-FT_Y5,12)/FT_Int2)+1))),IF(AW40="PT",IF(AX40&lt;PT_First,PT_First,PT_First+PT_Int*(INT((AX40-PT_First)/PT_Int)+1)),"")))</f>
        <v/>
      </c>
      <c r="BG40" s="16" t="str">
        <f aca="false">IF(AK40=0,"",IF(NOT(LH_Ready),0,COUNTIFS(INDEX(LH_Data,0,LH_ColFirst),$A40,INDEX(LH_Data,0,LH_ColSur),$B40,INDEX(LH_Data,0,LH_ColCat),BonusCat)))</f>
        <v/>
      </c>
      <c r="BH40" s="16" t="str">
        <f aca="false">IF(AK40=0,"",IF(OR(NOT(LH_Ready),BG40=0),0,SUMPRODUCT(MAX((INDEX(LH_Data,0,LH_ColFirst)=$A40)*(INDEX(LH_Data,0,LH_ColSur)=$B40)*(INDEX(LH_Data,0,LH_ColCat)=BonusCat)*ROW(LH_Data)))))</f>
        <v/>
      </c>
      <c r="BI40" s="16" t="str">
        <f aca="false">IF(AK40=0,"",IF(EOMONTH(AsOfDate,-1)&lt;AL40,-1,12*(YEAR(EOMONTH(AsOfDate,-1))-YEAR(AL40))+MONTH(EOMONTH(AsOfDate,-1))-MONTH(AL40)-IF(DAY(EOMONTH(AsOfDate,-1))&lt;MIN(DAY(AL40),DAY(EOMONTH(EOMONTH(AsOfDate,-1),0))),1,0)))</f>
        <v/>
      </c>
      <c r="BJ40" s="16" t="str">
        <f aca="false">IF(AK40=0,"",IF(OR(AM40&lt;2,AO40&gt;EOMONTH(AsOfDate,-1)),BI40,IF((AO40-1)&lt;AL40,-1,12*(YEAR((AO40-1))-YEAR(AL40))+MONTH((AO40-1))-MONTH(AL40)-IF(DAY((AO40-1))&lt;MIN(DAY(AL40),DAY(EOMONTH((AO40-1),0))),1,0))))</f>
        <v/>
      </c>
      <c r="BK40" s="16" t="str">
        <f aca="false">IF(AK40=0,"",IF(OR(AM40&lt;3,AP40&gt;EOMONTH(AsOfDate,-1)),BI40,IF((AP40-1)&lt;AL40,-1,12*(YEAR((AP40-1))-YEAR(AL40))+MONTH((AP40-1))-MONTH(AL40)-IF(DAY((AP40-1))&lt;MIN(DAY(AL40),DAY(EOMONTH((AP40-1),0))),1,0))))</f>
        <v/>
      </c>
      <c r="BL40" s="16" t="str">
        <f aca="false">IF(AK40=0,"",IF(AT40="FT",IF(BJ40&lt;FT_First,0,IF(BJ40&lt;FT_Y5,1+INT((BJ40-FT_First)/FT_Int1),FT_PreY5+FT_PerYear*INT((BJ40-FT_Y5)/12)+FT_AnnivDays+INT(MOD(BJ40-FT_Y5,12)/FT_Int2)-IF(EDATE(AL40,FT_Y5)&lt;PolicyEff,FT_AnnivDays-1,0))),IF(AT40="PT",IF(BJ40&lt;PT_First,0,1+INT((BJ40-PT_First)/PT_Int)),0))+IF(AND(AM40&gt;=2,AO40&lt;=EOMONTH(AsOfDate,-1)),IF(AU40="FT",IF(BK40&lt;FT_First,0,IF(BK40&lt;FT_Y5,1+INT((BK40-FT_First)/FT_Int1),FT_PreY5+FT_PerYear*INT((BK40-FT_Y5)/12)+FT_AnnivDays+INT(MOD(BK40-FT_Y5,12)/FT_Int2)-IF(EDATE(AL40,FT_Y5)&lt;PolicyEff,FT_AnnivDays-1,0))),IF(AU40="PT",IF(BK40&lt;PT_First,0,1+INT((BK40-PT_First)/PT_Int)),0))-IF(AU40="FT",IF(BJ40&lt;FT_First,0,IF(BJ40&lt;FT_Y5,1+INT((BJ40-FT_First)/FT_Int1),FT_PreY5+FT_PerYear*INT((BJ40-FT_Y5)/12)+FT_AnnivDays+INT(MOD(BJ40-FT_Y5,12)/FT_Int2)-IF(EDATE(AL40,FT_Y5)&lt;PolicyEff,FT_AnnivDays-1,0))),IF(AU40="PT",IF(BJ40&lt;PT_First,0,1+INT((BJ40-PT_First)/PT_Int)),0)),0)+IF(AND(AM40&gt;=3,AP40&lt;=EOMONTH(AsOfDate,-1)),IF(AV40="FT",IF(BI40&lt;FT_First,0,IF(BI40&lt;FT_Y5,1+INT((BI40-FT_First)/FT_Int1),FT_PreY5+FT_PerYear*INT((BI40-FT_Y5)/12)+FT_AnnivDays+INT(MOD(BI40-FT_Y5,12)/FT_Int2)-IF(EDATE(AL40,FT_Y5)&lt;PolicyEff,FT_AnnivDays-1,0))),IF(AV40="PT",IF(BI40&lt;PT_First,0,1+INT((BI40-PT_First)/PT_Int)),0))-IF(AV40="FT",IF(BK40&lt;FT_First,0,IF(BK40&lt;FT_Y5,1+INT((BK40-FT_First)/FT_Int1),FT_PreY5+FT_PerYear*INT((BK40-FT_Y5)/12)+FT_AnnivDays+INT(MOD(BK40-FT_Y5,12)/FT_Int2)-IF(EDATE(AL40,FT_Y5)&lt;PolicyEff,FT_AnnivDays-1,0))),IF(AV40="PT",IF(BK40&lt;PT_First,0,1+INT((BK40-PT_First)/PT_Int)),0)),0))</f>
        <v/>
      </c>
      <c r="BM40" s="16" t="str">
        <f aca="false">IF(AK40=0,"",IF(AW40="FT",IF(AX40&lt;FT_First,"",IF(AX40&lt;FT_Y5,FT_First+FT_Int1*INT((AX40-FT_First)/FT_Int1),FT_Y5+FT_Int2*INT((AX40-FT_Y5)/FT_Int2))),IF(AW40="PT",IF(AX40&lt;PT_First,"",PT_First+PT_Int*INT((AX40-PT_First)/PT_Int)),"")))</f>
        <v/>
      </c>
      <c r="BN40" s="16" t="str">
        <f aca="false">IF(AK40=0,"",IF((SchemeStart-1)&lt;AL40,-1,12*(YEAR((SchemeStart-1))-YEAR(AL40))+MONTH((SchemeStart-1))-MONTH(AL40)-IF(DAY((SchemeStart-1))&lt;MIN(DAY(AL40),DAY(EOMONTH((SchemeStart-1),0))),1,0)))</f>
        <v/>
      </c>
      <c r="BO40" s="16" t="str">
        <f aca="false">IF(AK40=0,"",IF(OR(AM40&lt;2,AO40&gt;(SchemeStart-1)),BN40,IF((AO40-1)&lt;AL40,-1,12*(YEAR((AO40-1))-YEAR(AL40))+MONTH((AO40-1))-MONTH(AL40)-IF(DAY((AO40-1))&lt;MIN(DAY(AL40),DAY(EOMONTH((AO40-1),0))),1,0))))</f>
        <v/>
      </c>
      <c r="BP40" s="16" t="str">
        <f aca="false">IF(AK40=0,"",IF(OR(AM40&lt;3,AP40&gt;(SchemeStart-1)),BN40,IF((AP40-1)&lt;AL40,-1,12*(YEAR((AP40-1))-YEAR(AL40))+MONTH((AP40-1))-MONTH(AL40)-IF(DAY((AP40-1))&lt;MIN(DAY(AL40),DAY(EOMONTH((AP40-1),0))),1,0))))</f>
        <v/>
      </c>
      <c r="BQ40" s="16" t="str">
        <f aca="false">IF(AK40=0,"",IF(AT40="FT",IF(BO40&lt;FT_First,0,IF(BO40&lt;FT_Y5,1+INT((BO40-FT_First)/FT_Int1),FT_PreY5+FT_PerYear*INT((BO40-FT_Y5)/12)+FT_AnnivDays+INT(MOD(BO40-FT_Y5,12)/FT_Int2)-IF(EDATE(AL40,FT_Y5)&lt;PolicyEff,FT_AnnivDays-1,0))),IF(AT40="PT",IF(BO40&lt;PT_First,0,1+INT((BO40-PT_First)/PT_Int)),0))+IF(AND(AM40&gt;=2,AO40&lt;=(SchemeStart-1)),IF(AU40="FT",IF(BP40&lt;FT_First,0,IF(BP40&lt;FT_Y5,1+INT((BP40-FT_First)/FT_Int1),FT_PreY5+FT_PerYear*INT((BP40-FT_Y5)/12)+FT_AnnivDays+INT(MOD(BP40-FT_Y5,12)/FT_Int2)-IF(EDATE(AL40,FT_Y5)&lt;PolicyEff,FT_AnnivDays-1,0))),IF(AU40="PT",IF(BP40&lt;PT_First,0,1+INT((BP40-PT_First)/PT_Int)),0))-IF(AU40="FT",IF(BO40&lt;FT_First,0,IF(BO40&lt;FT_Y5,1+INT((BO40-FT_First)/FT_Int1),FT_PreY5+FT_PerYear*INT((BO40-FT_Y5)/12)+FT_AnnivDays+INT(MOD(BO40-FT_Y5,12)/FT_Int2)-IF(EDATE(AL40,FT_Y5)&lt;PolicyEff,FT_AnnivDays-1,0))),IF(AU40="PT",IF(BO40&lt;PT_First,0,1+INT((BO40-PT_First)/PT_Int)),0)),0)+IF(AND(AM40&gt;=3,AP40&lt;=(SchemeStart-1)),IF(AV40="FT",IF(BN40&lt;FT_First,0,IF(BN40&lt;FT_Y5,1+INT((BN40-FT_First)/FT_Int1),FT_PreY5+FT_PerYear*INT((BN40-FT_Y5)/12)+FT_AnnivDays+INT(MOD(BN40-FT_Y5,12)/FT_Int2)-IF(EDATE(AL40,FT_Y5)&lt;PolicyEff,FT_AnnivDays-1,0))),IF(AV40="PT",IF(BN40&lt;PT_First,0,1+INT((BN40-PT_First)/PT_Int)),0))-IF(AV40="FT",IF(BP40&lt;FT_First,0,IF(BP40&lt;FT_Y5,1+INT((BP40-FT_First)/FT_Int1),FT_PreY5+FT_PerYear*INT((BP40-FT_Y5)/12)+FT_AnnivDays+INT(MOD(BP40-FT_Y5,12)/FT_Int2)-IF(EDATE(AL40,FT_Y5)&lt;PolicyEff,FT_AnnivDays-1,0))),IF(AV40="PT",IF(BP40&lt;PT_First,0,1+INT((BP40-PT_First)/PT_Int)),0)),0))</f>
        <v/>
      </c>
      <c r="BR40" s="0" t="str">
        <f aca="false">IF(LEN($A40&amp;$B40)=0,"",$A40&amp;" "&amp;$B40)</f>
        <v/>
      </c>
    </row>
    <row r="41" customFormat="false" ht="15" hidden="false" customHeight="false" outlineLevel="0" collapsed="false">
      <c r="A41" s="12"/>
      <c r="B41" s="12"/>
      <c r="C41" s="12"/>
      <c r="D41" s="13"/>
      <c r="E41" s="14" t="str">
        <f aca="false">IF(OR(AK41=0,$D41=""),"",DATE(YEAR(AsOfDate)+IF(DATE(YEAR(AsOfDate),MONTH($D41),DAY($D41))&lt;=AsOfDate,1,0),MONTH($D41),DAY($D41)))</f>
        <v/>
      </c>
      <c r="F41" s="13"/>
      <c r="G41" s="13"/>
      <c r="H41" s="13"/>
      <c r="I41" s="13"/>
      <c r="J41" s="13"/>
      <c r="K41" s="14" t="str">
        <f aca="false">IF(AK41=0,"",DATE(YEAR(AsOfDate)+IF(DATE(YEAR(AsOfDate),MONTH(AL41),DAY(AL41))&lt;=AsOfDate,1,0),MONTH(AL41),DAY(AL41)))</f>
        <v/>
      </c>
      <c r="L41" s="15" t="str">
        <f aca="false">IF(AK41=0,"",ROUND((AsOfDate-AL41)/365.25,1))</f>
        <v/>
      </c>
      <c r="M41" s="16" t="str">
        <f aca="false">IF(AK41=0,"",IF(AsOfDate&lt;AL41,"-",DATEDIF(AL41,AsOfDate,"y")&amp;"y "&amp;DATEDIF(AL41,AsOfDate,"ym")&amp;"m "&amp;DATEDIF(AL41,AsOfDate,"md")&amp;"d"))</f>
        <v/>
      </c>
      <c r="N41" s="17" t="str">
        <f aca="false">IF(AK41=0,"",O41*HoursPerDay)</f>
        <v/>
      </c>
      <c r="O41" s="17" t="str">
        <f aca="false">IF(AK41=0,"",MAX(0,BD41-BQ41))</f>
        <v/>
      </c>
      <c r="P41" s="18"/>
      <c r="Q41" s="16" t="str">
        <f aca="false">IF(AK41=0,"",IF(AM41&lt;2,"",AQ41&amp;" to "&amp;AR41&amp;" on "&amp;TEXT(AO41,"dd/mm/yyyy")&amp;IF(AO41&gt;AsOfDate," (future)",IF(AT41=AU41,"",IF(AU41="None"," - STOPPED accruing",IF(AT41="None"," - commencement for Bonus Leave"," - pathway changed"))))&amp;IF(AM41&lt;3,"","; "&amp;AR41&amp;" to "&amp;AS41&amp;" on "&amp;TEXT(AP41,"dd/mm/yyyy")&amp;IF(AP41&gt;AsOfDate," (future)",IF(AU41=AV41,"",IF(AV41="None"," - STOPPED accruing",IF(AU41="None"," - commencement for Bonus Leave"," - pathway changed")))))))</f>
        <v/>
      </c>
      <c r="R41" s="16" t="str">
        <f aca="false">IF(AK41=0,"",IF(AW41="None",IF(O41&gt;0,"No longer accruing","Not eligible - "&amp;IF(AND(OR(ISNUMBER(SEARCH("part",$C41)),UPPER(TRIM($C41))="PT",UPPER(TRIM($C41))="PTE"),Apply2026="No"),"part-time (scheme is full-time only)",IF(AND(OR(ISNUMBER(SEARCH("part",$C41)),UPPER(TRIM($C41))="PT",UPPER(TRIM($C41))="PTE"),$P41&lt;&gt;"",N($P41)&lt;PT_MinHours),"under "&amp;PT_MinHours&amp;" hrs",IF(IF($C41="","",IF(OR(ISNUMBER(SEARCH("full",$C41)),UPPER(TRIM($C41))="FT",UPPER(TRIM($C41))="FTE"),"Full-Time",IF(OR(ISNUMBER(SEARCH("part",$C41)),UPPER(TRIM($C41))="PT",UPPER(TRIM($C41))="PTE"),"Part-Time",IF(OR(ISNUMBER(SEARCH("cas",$C41)),UPPER(TRIM($C41))="CAS"),"Casual","Unknown"))))="Unknown","type not recognised",$C41)))),IF(O41&gt;0,"Yes - Accrual Required","Not yet - from "&amp;TEXT(S41,"dd/mm/yyyy"))))</f>
        <v/>
      </c>
      <c r="S41" s="14" t="str">
        <f aca="false">IF(AK41=0,"",IF(AW41="None","",EDATE(AL41,BF41)))</f>
        <v/>
      </c>
      <c r="T41" s="17" t="str">
        <f aca="false">IF(AK41=0,"",IF(NOT(LH_Ready),"",IF($F41&gt;PFYDate,0,IF(LH_ColPeriod=0,W41-U41+V41,SUMIFS(INDEX(LH_Data,0,LH_ColAcc),INDEX(LH_Data,0,LH_ColFirst),$A41,INDEX(LH_Data,0,LH_ColSur),$B41,INDEX(LH_Data,0,LH_ColCat),BonusCat,INDEX(LH_Data,0,LH_ColPeriod),LH_OpenLabel)*UnitFactor))))</f>
        <v/>
      </c>
      <c r="U41" s="17" t="str">
        <f aca="false">IF(AK41=0,"",IF(NOT(LH_Ready),"",SUMIFS(INDEX(LH_Data,0,LH_ColAcc),INDEX(LH_Data,0,LH_ColFirst),$A41,INDEX(LH_Data,0,LH_ColSur),$B41,INDEX(LH_Data,0,LH_ColCat),BonusCat,INDEX(LH_Data,0,LH_ColStart),"&gt;="&amp;AL41)*UnitFactor))</f>
        <v/>
      </c>
      <c r="V41" s="17" t="str">
        <f aca="false">IF(AK41=0,"",IF(NOT(LH_Ready),"",SUMIFS(INDEX(LH_Data,0,LH_ColTaken),INDEX(LH_Data,0,LH_ColFirst),$A41,INDEX(LH_Data,0,LH_ColSur),$B41,INDEX(LH_Data,0,LH_ColCat),BonusCat,INDEX(LH_Data,0,LH_ColStart),"&gt;="&amp;AL41)*UnitFactor))</f>
        <v/>
      </c>
      <c r="W41" s="17" t="str">
        <f aca="false">IF(AK41=0,"",IF(NOT(LH_Ready),"",IF(BH41=0,0,INDEX(INDEX(LH_Data,0,LH_ColClose),BH41-1)*UnitFactor)))</f>
        <v/>
      </c>
      <c r="X41" s="17" t="str">
        <f aca="false">IF(AK41=0,"",(MAX(0,BD41-BQ41)-MAX(0,BE41-BQ41))*HoursPerDay)</f>
        <v/>
      </c>
      <c r="Y41" s="17" t="str">
        <f aca="false">IF(AK41=0,"",IF(NOT(LH_Ready),"",IF($AI41="Yes",N(AE41)*HoursPerDay-SUMIFS(INDEX(LH_Data,0,LH_ColAcc),INDEX(LH_Data,0,LH_ColFirst),$A41,INDEX(LH_Data,0,LH_ColSur),$B41,INDEX(LH_Data,0,LH_ColCat),BonusCat,INDEX(LH_Data,0,LH_ColStart),"&gt;="&amp;(EOMONTH(AsOfDate,-1)+1),INDEX(LH_Data,0,LH_ColStart),"&lt;="&amp;AsOfDate)*UnitFactor,IF(BG41=0,N41,N41-N(T41)-N(U41)))))</f>
        <v/>
      </c>
      <c r="Z41" s="16" t="str">
        <f aca="false">IF(OR(AK41=0,Y41=""),"",IF(Y41&gt;0,"Yes","No"))</f>
        <v/>
      </c>
      <c r="AA41" s="16" t="str">
        <f aca="false">IF(AK41=0,IF(LEN($A41&amp;$B41)=0,"","FIX INPUT - StartDate missing"),IF(AD41&lt;&gt;"","FIX INPUT - "&amp;AD41,IF(NOT(LH_Ready),"Paste Leave History export (Settings must show YES)",IF(AND($AI41="Yes",Y41&lt;=0),"OK - EH balance accepted to date"&amp;IF(N(AH41)&gt;0," (EH holds "&amp;AH41&amp;" hrs over the scheme)","")&amp;"; next day "&amp;TEXT(S41,"dd mmm yy")&amp;IF(N(AE41)&gt;0," ("&amp;AE41&amp;" day(s) for "&amp;UPPER(TEXT(AsOfDate,"mmm yyyy"))&amp;" already in EH)",""),IF(Y41&gt;0,"ACCRUE "&amp;ROUND(Y41,2)&amp;" hrs ("&amp;ROUND(Y41/HoursPerDay,2)&amp;" days): "&amp;IF(N(AE41)&gt;0,AE41&amp;" day(s) for "&amp;UPPER(TEXT(AsOfDate,"mmm yyyy"))&amp;" (milestone "&amp;UPPER(TEXT(AF41,"dd mmm yy"))&amp;")"&amp;IF(Y41/HoursPerDay&gt;AE41+0.001," + "&amp;ROUND(Y41/HoursPerDay-AE41,2)&amp;" day(s) catch-up from earlier months",""),"all catch-up from earlier months, nothing new this month")&amp;IF(BG41=0,"; no Bonus Leave in EH yet",""),IF(Y41&lt;0,"CHECK - EH accrued "&amp;ROUND(-Y41,2)&amp;" hrs more than policy since commencement",IF(N(W41)&gt;O41*HoursPerDay+0.01,"CHECK - EH balance "&amp;ROUND(W41-O41*HoursPerDay,2)&amp;" hrs more than policy entitlement",IF(O41&gt;0,"OK - nothing to add"&amp;IF(N(AE41)&gt;0," ("&amp;AE41&amp;" day(s) for "&amp;UPPER(TEXT(AsOfDate,"mmm yyyy"))&amp;" already in EH)",""),IF(AW41="None",R41,"Not yet - first day on "&amp;TEXT(S41,"dd/mm/yyyy"))))))))))</f>
        <v/>
      </c>
      <c r="AB41" s="17" t="str">
        <f aca="false">IF(OR(AK41=0,T41=""),"",MAX(0,BE41-BQ41)*HoursPerDay-T41)</f>
        <v/>
      </c>
      <c r="AC41" s="16" t="str">
        <f aca="false">IF(AK41=0,"",BG41)</f>
        <v/>
      </c>
      <c r="AD41" s="16" t="str">
        <f aca="false">IF(AK41=0,"",TRIM(IF(OR(ISTEXT($F41),ISTEXT($H41),ISTEXT($I41),ISTEXT($G41),ISTEXT($J41),ISTEXT($D41)),"A date is typed as text - retype it as dd/mm/yyyy. ","")&amp;IF(IF($C41="","",IF(OR(ISNUMBER(SEARCH("full",$C41)),UPPER(TRIM($C41))="FT",UPPER(TRIM($C41))="FTE"),"Full-Time",IF(OR(ISNUMBER(SEARCH("part",$C41)),UPPER(TRIM($C41))="PT",UPPER(TRIM($C41))="PTE"),"Part-Time",IF(OR(ISNUMBER(SEARCH("cas",$C41)),UPPER(TRIM($C41))="CAS"),"Casual","Unknown"))))="Unknown","EmploymentType not recognised - use Full-Time, Part-Time or Casual. ","")&amp;IF(AND(AM41&gt;=1,IF(AM41&gt;=3,AS41,IF(AM41=2,AR41,AQ41))&lt;&gt;IF($C41="","",IF(OR(ISNUMBER(SEARCH("full",$C41)),UPPER(TRIM($C41))="FT",UPPER(TRIM($C41))="FTE"),"Full-Time",IF(OR(ISNUMBER(SEARCH("part",$C41)),UPPER(TRIM($C41))="PT",UPPER(TRIM($C41))="PTE"),"Part-Time",IF(OR(ISNUMBER(SEARCH("cas",$C41)),UPPER(TRIM($C41))="CAS"),"Casual","Unknown"))))),"EmploymentType does not match latest start date ("&amp;IF(AM41&gt;=3,AS41,IF(AM41=2,AR41,AQ41))&amp;"). ","")&amp;IF(AND(AM41&gt;=1,AN41&lt;&gt;$F41),"Earliest type date should equal StartDate. ","")&amp;IF(AND(AM41&gt;=2,AN41=AO41),"Two types start on the same date. ","")&amp;IF(AND(OR(ISNUMBER(SEARCH("part",$C41)),UPPER(TRIM($C41))="PT",UPPER(TRIM($C41))="PTE"),$P41=""),"Part-time: enter PT Hrs/Week (blank = 24+). ","")))</f>
        <v/>
      </c>
      <c r="AE41" s="17" t="str">
        <f aca="false">IF(AK41=0,"",O41-MAX(0,BL41-BQ41))</f>
        <v/>
      </c>
      <c r="AF41" s="14" t="str">
        <f aca="false">IF(OR(AK41=0,AE41="",N(AE41)=0,BM41=""),"",EDATE(AL41,BM41))</f>
        <v/>
      </c>
      <c r="AG41" s="17" t="str">
        <f aca="false">IF(AK41=0,"",MIN(BD41,BQ41))</f>
        <v/>
      </c>
      <c r="AH41" s="17" t="str">
        <f aca="false">IF(AK41=0,"",IF(NOT(LH_Ready),"",IF(BG41=0,0,MAX(0,ROUND(N(T41)+N(U41)-N41,2)))))</f>
        <v/>
      </c>
      <c r="AI41" s="12"/>
      <c r="AJ41" s="12"/>
      <c r="AK41" s="16" t="n">
        <f aca="false">IF(OR(LEN($A41&amp;$B41)=0,$F41=""),0,1)</f>
        <v>0</v>
      </c>
      <c r="AL41" s="14" t="str">
        <f aca="false">IF(AK41=0,"",IF(PreSchemeCounts="No",MAX(SchemeStart,IF($J41&lt;&gt;"",$J41,IF(OR(CasualCounts="Yes",COUNT($G41:$I41)=0),$F41,IF(Apply2026="No",IF($I41="",$F41,$I41),IF(COUNT($H41:$I41)=0,$F41,MIN($H41:$I41)))))),IF($J41&lt;&gt;"",$J41,IF(OR(CasualCounts="Yes",COUNT($G41:$I41)=0),$F41,IF(Apply2026="No",IF($I41="",$F41,$I41),IF(COUNT($H41:$I41)=0,$F41,MIN($H41:$I41)))))))</f>
        <v/>
      </c>
      <c r="AM41" s="16" t="str">
        <f aca="false">IF(AK41=0,"",COUNT($G41:$I41))</f>
        <v/>
      </c>
      <c r="AN41" s="14" t="str">
        <f aca="false">IF(AK41=0,"",IFERROR(SMALL($G41:$I41,1),""))</f>
        <v/>
      </c>
      <c r="AO41" s="14" t="str">
        <f aca="false">IF(AK41=0,"",IFERROR(SMALL($G41:$I41,2),""))</f>
        <v/>
      </c>
      <c r="AP41" s="14" t="str">
        <f aca="false">IF(AK41=0,"",IFERROR(SMALL($G41:$I41,3),""))</f>
        <v/>
      </c>
      <c r="AQ41" s="16" t="str">
        <f aca="false">IF(AK41=0,"",IF(AN41="","",IF(AN41=$H41,"Part-Time",IF(AN41=$I41,"Full-Time","Casual"))))</f>
        <v/>
      </c>
      <c r="AR41" s="16" t="str">
        <f aca="false">IF(AK41=0,"",IF(AO41="","",IF(AO41=$H41,"Part-Time",IF(AO41=$I41,"Full-Time","Casual"))))</f>
        <v/>
      </c>
      <c r="AS41" s="16" t="str">
        <f aca="false">IF(AK41=0,"",IF(AP41="","",IF(AP41=$H41,"Part-Time",IF(AP41=$I41,"Full-Time","Casual"))))</f>
        <v/>
      </c>
      <c r="AT41" s="16" t="str">
        <f aca="false">IF(AK41=0,"",IF(AM41=0,IF(OR(ISNUMBER(SEARCH("full",$C41)),UPPER(TRIM($C41))="FT",UPPER(TRIM($C41))="FTE"),"FT",IF(AND(OR(ISNUMBER(SEARCH("part",$C41)),UPPER(TRIM($C41))="PT",UPPER(TRIM($C41))="PTE"),Apply2026="Yes",OR($P41="",N($P41)&gt;=PT_MinHours)),"PT","None")),IF(OR(ISNUMBER(SEARCH("full",AQ41)),UPPER(TRIM(AQ41))="FT",UPPER(TRIM(AQ41))="FTE"),"FT",IF(AND(OR(ISNUMBER(SEARCH("part",AQ41)),UPPER(TRIM(AQ41))="PT",UPPER(TRIM(AQ41))="PTE"),Apply2026="Yes",OR($P41="",N($P41)&gt;=PT_MinHours)),"PT","None"))))</f>
        <v/>
      </c>
      <c r="AU41" s="16" t="str">
        <f aca="false">IF(AK41=0,"",IF(AM41&lt;2,"",IF(OR(ISNUMBER(SEARCH("full",AR41)),UPPER(TRIM(AR41))="FT",UPPER(TRIM(AR41))="FTE"),"FT",IF(AND(OR(ISNUMBER(SEARCH("part",AR41)),UPPER(TRIM(AR41))="PT",UPPER(TRIM(AR41))="PTE"),Apply2026="Yes",OR($P41="",N($P41)&gt;=PT_MinHours)),"PT","None"))))</f>
        <v/>
      </c>
      <c r="AV41" s="16" t="str">
        <f aca="false">IF(AK41=0,"",IF(AM41&lt;3,"",IF(OR(ISNUMBER(SEARCH("full",AS41)),UPPER(TRIM(AS41))="FT",UPPER(TRIM(AS41))="FTE"),"FT",IF(AND(OR(ISNUMBER(SEARCH("part",AS41)),UPPER(TRIM(AS41))="PT",UPPER(TRIM(AS41))="PTE"),Apply2026="Yes",OR($P41="",N($P41)&gt;=PT_MinHours)),"PT","None"))))</f>
        <v/>
      </c>
      <c r="AW41" s="16" t="str">
        <f aca="false">IF(AK41=0,"",IF(AND(AM41&gt;=3,AP41&lt;=AsOfDate),AV41,IF(AND(AM41&gt;=2,AO41&lt;=AsOfDate),AU41,AT41)))</f>
        <v/>
      </c>
      <c r="AX41" s="16" t="str">
        <f aca="false">IF(AK41=0,"",IF(AsOfDate&lt;AL41,-1,12*(YEAR(AsOfDate)-YEAR(AL41))+MONTH(AsOfDate)-MONTH(AL41)-IF(DAY(AsOfDate)&lt;MIN(DAY(AL41),DAY(EOMONTH(AsOfDate,0))),1,0)))</f>
        <v/>
      </c>
      <c r="AY41" s="16" t="str">
        <f aca="false">IF(AK41=0,"",IF(OR(AM41&lt;2,AO41&gt;AsOfDate),AX41,IF((AO41-1)&lt;AL41,-1,12*(YEAR((AO41-1))-YEAR(AL41))+MONTH((AO41-1))-MONTH(AL41)-IF(DAY((AO41-1))&lt;MIN(DAY(AL41),DAY(EOMONTH((AO41-1),0))),1,0))))</f>
        <v/>
      </c>
      <c r="AZ41" s="16" t="str">
        <f aca="false">IF(AK41=0,"",IF(OR(AM41&lt;3,AP41&gt;AsOfDate),AX41,IF((AP41-1)&lt;AL41,-1,12*(YEAR((AP41-1))-YEAR(AL41))+MONTH((AP41-1))-MONTH(AL41)-IF(DAY((AP41-1))&lt;MIN(DAY(AL41),DAY(EOMONTH((AP41-1),0))),1,0))))</f>
        <v/>
      </c>
      <c r="BA41" s="16" t="str">
        <f aca="false">IF(AK41=0,"",IF(PFYDate&lt;AL41,-1,12*(YEAR(PFYDate)-YEAR(AL41))+MONTH(PFYDate)-MONTH(AL41)-IF(DAY(PFYDate)&lt;MIN(DAY(AL41),DAY(EOMONTH(PFYDate,0))),1,0)))</f>
        <v/>
      </c>
      <c r="BB41" s="16" t="str">
        <f aca="false">IF(AK41=0,"",IF(OR(AM41&lt;2,AO41&gt;PFYDate),BA41,IF((AO41-1)&lt;AL41,-1,12*(YEAR((AO41-1))-YEAR(AL41))+MONTH((AO41-1))-MONTH(AL41)-IF(DAY((AO41-1))&lt;MIN(DAY(AL41),DAY(EOMONTH((AO41-1),0))),1,0))))</f>
        <v/>
      </c>
      <c r="BC41" s="16" t="str">
        <f aca="false">IF(AK41=0,"",IF(OR(AM41&lt;3,AP41&gt;PFYDate),BA41,IF((AP41-1)&lt;AL41,-1,12*(YEAR((AP41-1))-YEAR(AL41))+MONTH((AP41-1))-MONTH(AL41)-IF(DAY((AP41-1))&lt;MIN(DAY(AL41),DAY(EOMONTH((AP41-1),0))),1,0))))</f>
        <v/>
      </c>
      <c r="BD41" s="16" t="str">
        <f aca="false">IF(AK41=0,"",IF(AT41="FT",IF(AY41&lt;FT_First,0,IF(AY41&lt;FT_Y5,1+INT((AY41-FT_First)/FT_Int1),FT_PreY5+FT_PerYear*INT((AY41-FT_Y5)/12)+FT_AnnivDays+INT(MOD(AY41-FT_Y5,12)/FT_Int2)-IF(EDATE(AL41,FT_Y5)&lt;PolicyEff,FT_AnnivDays-1,0))),IF(AT41="PT",IF(AY41&lt;PT_First,0,1+INT((AY41-PT_First)/PT_Int)),0))+IF(AND(AM41&gt;=2,AO41&lt;=AsOfDate),IF(AU41="FT",IF(AZ41&lt;FT_First,0,IF(AZ41&lt;FT_Y5,1+INT((AZ41-FT_First)/FT_Int1),FT_PreY5+FT_PerYear*INT((AZ41-FT_Y5)/12)+FT_AnnivDays+INT(MOD(AZ41-FT_Y5,12)/FT_Int2)-IF(EDATE(AL41,FT_Y5)&lt;PolicyEff,FT_AnnivDays-1,0))),IF(AU41="PT",IF(AZ41&lt;PT_First,0,1+INT((AZ41-PT_First)/PT_Int)),0))-IF(AU41="FT",IF(AY41&lt;FT_First,0,IF(AY41&lt;FT_Y5,1+INT((AY41-FT_First)/FT_Int1),FT_PreY5+FT_PerYear*INT((AY41-FT_Y5)/12)+FT_AnnivDays+INT(MOD(AY41-FT_Y5,12)/FT_Int2)-IF(EDATE(AL41,FT_Y5)&lt;PolicyEff,FT_AnnivDays-1,0))),IF(AU41="PT",IF(AY41&lt;PT_First,0,1+INT((AY41-PT_First)/PT_Int)),0)),0)+IF(AND(AM41&gt;=3,AP41&lt;=AsOfDate),IF(AV41="FT",IF(AX41&lt;FT_First,0,IF(AX41&lt;FT_Y5,1+INT((AX41-FT_First)/FT_Int1),FT_PreY5+FT_PerYear*INT((AX41-FT_Y5)/12)+FT_AnnivDays+INT(MOD(AX41-FT_Y5,12)/FT_Int2)-IF(EDATE(AL41,FT_Y5)&lt;PolicyEff,FT_AnnivDays-1,0))),IF(AV41="PT",IF(AX41&lt;PT_First,0,1+INT((AX41-PT_First)/PT_Int)),0))-IF(AV41="FT",IF(AZ41&lt;FT_First,0,IF(AZ41&lt;FT_Y5,1+INT((AZ41-FT_First)/FT_Int1),FT_PreY5+FT_PerYear*INT((AZ41-FT_Y5)/12)+FT_AnnivDays+INT(MOD(AZ41-FT_Y5,12)/FT_Int2)-IF(EDATE(AL41,FT_Y5)&lt;PolicyEff,FT_AnnivDays-1,0))),IF(AV41="PT",IF(AZ41&lt;PT_First,0,1+INT((AZ41-PT_First)/PT_Int)),0)),0))</f>
        <v/>
      </c>
      <c r="BE41" s="16" t="str">
        <f aca="false">IF(AK41=0,"",IF(AT41="FT",IF(BB41&lt;FT_First,0,IF(BB41&lt;FT_Y5,1+INT((BB41-FT_First)/FT_Int1),FT_PreY5+FT_PerYear*INT((BB41-FT_Y5)/12)+FT_AnnivDays+INT(MOD(BB41-FT_Y5,12)/FT_Int2)-IF(EDATE(AL41,FT_Y5)&lt;PolicyEff,FT_AnnivDays-1,0))),IF(AT41="PT",IF(BB41&lt;PT_First,0,1+INT((BB41-PT_First)/PT_Int)),0))+IF(AND(AM41&gt;=2,AO41&lt;=PFYDate),IF(AU41="FT",IF(BC41&lt;FT_First,0,IF(BC41&lt;FT_Y5,1+INT((BC41-FT_First)/FT_Int1),FT_PreY5+FT_PerYear*INT((BC41-FT_Y5)/12)+FT_AnnivDays+INT(MOD(BC41-FT_Y5,12)/FT_Int2)-IF(EDATE(AL41,FT_Y5)&lt;PolicyEff,FT_AnnivDays-1,0))),IF(AU41="PT",IF(BC41&lt;PT_First,0,1+INT((BC41-PT_First)/PT_Int)),0))-IF(AU41="FT",IF(BB41&lt;FT_First,0,IF(BB41&lt;FT_Y5,1+INT((BB41-FT_First)/FT_Int1),FT_PreY5+FT_PerYear*INT((BB41-FT_Y5)/12)+FT_AnnivDays+INT(MOD(BB41-FT_Y5,12)/FT_Int2)-IF(EDATE(AL41,FT_Y5)&lt;PolicyEff,FT_AnnivDays-1,0))),IF(AU41="PT",IF(BB41&lt;PT_First,0,1+INT((BB41-PT_First)/PT_Int)),0)),0)+IF(AND(AM41&gt;=3,AP41&lt;=PFYDate),IF(AV41="FT",IF(BA41&lt;FT_First,0,IF(BA41&lt;FT_Y5,1+INT((BA41-FT_First)/FT_Int1),FT_PreY5+FT_PerYear*INT((BA41-FT_Y5)/12)+FT_AnnivDays+INT(MOD(BA41-FT_Y5,12)/FT_Int2)-IF(EDATE(AL41,FT_Y5)&lt;PolicyEff,FT_AnnivDays-1,0))),IF(AV41="PT",IF(BA41&lt;PT_First,0,1+INT((BA41-PT_First)/PT_Int)),0))-IF(AV41="FT",IF(BC41&lt;FT_First,0,IF(BC41&lt;FT_Y5,1+INT((BC41-FT_First)/FT_Int1),FT_PreY5+FT_PerYear*INT((BC41-FT_Y5)/12)+FT_AnnivDays+INT(MOD(BC41-FT_Y5,12)/FT_Int2)-IF(EDATE(AL41,FT_Y5)&lt;PolicyEff,FT_AnnivDays-1,0))),IF(AV41="PT",IF(BC41&lt;PT_First,0,1+INT((BC41-PT_First)/PT_Int)),0)),0))</f>
        <v/>
      </c>
      <c r="BF41" s="16" t="str">
        <f aca="false">IF(AK41=0,"",IF(AW41="FT",IF(AX41&lt;FT_First,FT_First,IF(AX41&lt;FT_Y5,MIN(FT_Y5,FT_First+FT_Int1*(INT((AX41-FT_First)/FT_Int1)+1)),FT_Y5+12*INT((AX41-FT_Y5)/12)+FT_Int2*(INT(MOD(AX41-FT_Y5,12)/FT_Int2)+1))),IF(AW41="PT",IF(AX41&lt;PT_First,PT_First,PT_First+PT_Int*(INT((AX41-PT_First)/PT_Int)+1)),"")))</f>
        <v/>
      </c>
      <c r="BG41" s="16" t="str">
        <f aca="false">IF(AK41=0,"",IF(NOT(LH_Ready),0,COUNTIFS(INDEX(LH_Data,0,LH_ColFirst),$A41,INDEX(LH_Data,0,LH_ColSur),$B41,INDEX(LH_Data,0,LH_ColCat),BonusCat)))</f>
        <v/>
      </c>
      <c r="BH41" s="16" t="str">
        <f aca="false">IF(AK41=0,"",IF(OR(NOT(LH_Ready),BG41=0),0,SUMPRODUCT(MAX((INDEX(LH_Data,0,LH_ColFirst)=$A41)*(INDEX(LH_Data,0,LH_ColSur)=$B41)*(INDEX(LH_Data,0,LH_ColCat)=BonusCat)*ROW(LH_Data)))))</f>
        <v/>
      </c>
      <c r="BI41" s="16" t="str">
        <f aca="false">IF(AK41=0,"",IF(EOMONTH(AsOfDate,-1)&lt;AL41,-1,12*(YEAR(EOMONTH(AsOfDate,-1))-YEAR(AL41))+MONTH(EOMONTH(AsOfDate,-1))-MONTH(AL41)-IF(DAY(EOMONTH(AsOfDate,-1))&lt;MIN(DAY(AL41),DAY(EOMONTH(EOMONTH(AsOfDate,-1),0))),1,0)))</f>
        <v/>
      </c>
      <c r="BJ41" s="16" t="str">
        <f aca="false">IF(AK41=0,"",IF(OR(AM41&lt;2,AO41&gt;EOMONTH(AsOfDate,-1)),BI41,IF((AO41-1)&lt;AL41,-1,12*(YEAR((AO41-1))-YEAR(AL41))+MONTH((AO41-1))-MONTH(AL41)-IF(DAY((AO41-1))&lt;MIN(DAY(AL41),DAY(EOMONTH((AO41-1),0))),1,0))))</f>
        <v/>
      </c>
      <c r="BK41" s="16" t="str">
        <f aca="false">IF(AK41=0,"",IF(OR(AM41&lt;3,AP41&gt;EOMONTH(AsOfDate,-1)),BI41,IF((AP41-1)&lt;AL41,-1,12*(YEAR((AP41-1))-YEAR(AL41))+MONTH((AP41-1))-MONTH(AL41)-IF(DAY((AP41-1))&lt;MIN(DAY(AL41),DAY(EOMONTH((AP41-1),0))),1,0))))</f>
        <v/>
      </c>
      <c r="BL41" s="16" t="str">
        <f aca="false">IF(AK41=0,"",IF(AT41="FT",IF(BJ41&lt;FT_First,0,IF(BJ41&lt;FT_Y5,1+INT((BJ41-FT_First)/FT_Int1),FT_PreY5+FT_PerYear*INT((BJ41-FT_Y5)/12)+FT_AnnivDays+INT(MOD(BJ41-FT_Y5,12)/FT_Int2)-IF(EDATE(AL41,FT_Y5)&lt;PolicyEff,FT_AnnivDays-1,0))),IF(AT41="PT",IF(BJ41&lt;PT_First,0,1+INT((BJ41-PT_First)/PT_Int)),0))+IF(AND(AM41&gt;=2,AO41&lt;=EOMONTH(AsOfDate,-1)),IF(AU41="FT",IF(BK41&lt;FT_First,0,IF(BK41&lt;FT_Y5,1+INT((BK41-FT_First)/FT_Int1),FT_PreY5+FT_PerYear*INT((BK41-FT_Y5)/12)+FT_AnnivDays+INT(MOD(BK41-FT_Y5,12)/FT_Int2)-IF(EDATE(AL41,FT_Y5)&lt;PolicyEff,FT_AnnivDays-1,0))),IF(AU41="PT",IF(BK41&lt;PT_First,0,1+INT((BK41-PT_First)/PT_Int)),0))-IF(AU41="FT",IF(BJ41&lt;FT_First,0,IF(BJ41&lt;FT_Y5,1+INT((BJ41-FT_First)/FT_Int1),FT_PreY5+FT_PerYear*INT((BJ41-FT_Y5)/12)+FT_AnnivDays+INT(MOD(BJ41-FT_Y5,12)/FT_Int2)-IF(EDATE(AL41,FT_Y5)&lt;PolicyEff,FT_AnnivDays-1,0))),IF(AU41="PT",IF(BJ41&lt;PT_First,0,1+INT((BJ41-PT_First)/PT_Int)),0)),0)+IF(AND(AM41&gt;=3,AP41&lt;=EOMONTH(AsOfDate,-1)),IF(AV41="FT",IF(BI41&lt;FT_First,0,IF(BI41&lt;FT_Y5,1+INT((BI41-FT_First)/FT_Int1),FT_PreY5+FT_PerYear*INT((BI41-FT_Y5)/12)+FT_AnnivDays+INT(MOD(BI41-FT_Y5,12)/FT_Int2)-IF(EDATE(AL41,FT_Y5)&lt;PolicyEff,FT_AnnivDays-1,0))),IF(AV41="PT",IF(BI41&lt;PT_First,0,1+INT((BI41-PT_First)/PT_Int)),0))-IF(AV41="FT",IF(BK41&lt;FT_First,0,IF(BK41&lt;FT_Y5,1+INT((BK41-FT_First)/FT_Int1),FT_PreY5+FT_PerYear*INT((BK41-FT_Y5)/12)+FT_AnnivDays+INT(MOD(BK41-FT_Y5,12)/FT_Int2)-IF(EDATE(AL41,FT_Y5)&lt;PolicyEff,FT_AnnivDays-1,0))),IF(AV41="PT",IF(BK41&lt;PT_First,0,1+INT((BK41-PT_First)/PT_Int)),0)),0))</f>
        <v/>
      </c>
      <c r="BM41" s="16" t="str">
        <f aca="false">IF(AK41=0,"",IF(AW41="FT",IF(AX41&lt;FT_First,"",IF(AX41&lt;FT_Y5,FT_First+FT_Int1*INT((AX41-FT_First)/FT_Int1),FT_Y5+FT_Int2*INT((AX41-FT_Y5)/FT_Int2))),IF(AW41="PT",IF(AX41&lt;PT_First,"",PT_First+PT_Int*INT((AX41-PT_First)/PT_Int)),"")))</f>
        <v/>
      </c>
      <c r="BN41" s="16" t="str">
        <f aca="false">IF(AK41=0,"",IF((SchemeStart-1)&lt;AL41,-1,12*(YEAR((SchemeStart-1))-YEAR(AL41))+MONTH((SchemeStart-1))-MONTH(AL41)-IF(DAY((SchemeStart-1))&lt;MIN(DAY(AL41),DAY(EOMONTH((SchemeStart-1),0))),1,0)))</f>
        <v/>
      </c>
      <c r="BO41" s="16" t="str">
        <f aca="false">IF(AK41=0,"",IF(OR(AM41&lt;2,AO41&gt;(SchemeStart-1)),BN41,IF((AO41-1)&lt;AL41,-1,12*(YEAR((AO41-1))-YEAR(AL41))+MONTH((AO41-1))-MONTH(AL41)-IF(DAY((AO41-1))&lt;MIN(DAY(AL41),DAY(EOMONTH((AO41-1),0))),1,0))))</f>
        <v/>
      </c>
      <c r="BP41" s="16" t="str">
        <f aca="false">IF(AK41=0,"",IF(OR(AM41&lt;3,AP41&gt;(SchemeStart-1)),BN41,IF((AP41-1)&lt;AL41,-1,12*(YEAR((AP41-1))-YEAR(AL41))+MONTH((AP41-1))-MONTH(AL41)-IF(DAY((AP41-1))&lt;MIN(DAY(AL41),DAY(EOMONTH((AP41-1),0))),1,0))))</f>
        <v/>
      </c>
      <c r="BQ41" s="16" t="str">
        <f aca="false">IF(AK41=0,"",IF(AT41="FT",IF(BO41&lt;FT_First,0,IF(BO41&lt;FT_Y5,1+INT((BO41-FT_First)/FT_Int1),FT_PreY5+FT_PerYear*INT((BO41-FT_Y5)/12)+FT_AnnivDays+INT(MOD(BO41-FT_Y5,12)/FT_Int2)-IF(EDATE(AL41,FT_Y5)&lt;PolicyEff,FT_AnnivDays-1,0))),IF(AT41="PT",IF(BO41&lt;PT_First,0,1+INT((BO41-PT_First)/PT_Int)),0))+IF(AND(AM41&gt;=2,AO41&lt;=(SchemeStart-1)),IF(AU41="FT",IF(BP41&lt;FT_First,0,IF(BP41&lt;FT_Y5,1+INT((BP41-FT_First)/FT_Int1),FT_PreY5+FT_PerYear*INT((BP41-FT_Y5)/12)+FT_AnnivDays+INT(MOD(BP41-FT_Y5,12)/FT_Int2)-IF(EDATE(AL41,FT_Y5)&lt;PolicyEff,FT_AnnivDays-1,0))),IF(AU41="PT",IF(BP41&lt;PT_First,0,1+INT((BP41-PT_First)/PT_Int)),0))-IF(AU41="FT",IF(BO41&lt;FT_First,0,IF(BO41&lt;FT_Y5,1+INT((BO41-FT_First)/FT_Int1),FT_PreY5+FT_PerYear*INT((BO41-FT_Y5)/12)+FT_AnnivDays+INT(MOD(BO41-FT_Y5,12)/FT_Int2)-IF(EDATE(AL41,FT_Y5)&lt;PolicyEff,FT_AnnivDays-1,0))),IF(AU41="PT",IF(BO41&lt;PT_First,0,1+INT((BO41-PT_First)/PT_Int)),0)),0)+IF(AND(AM41&gt;=3,AP41&lt;=(SchemeStart-1)),IF(AV41="FT",IF(BN41&lt;FT_First,0,IF(BN41&lt;FT_Y5,1+INT((BN41-FT_First)/FT_Int1),FT_PreY5+FT_PerYear*INT((BN41-FT_Y5)/12)+FT_AnnivDays+INT(MOD(BN41-FT_Y5,12)/FT_Int2)-IF(EDATE(AL41,FT_Y5)&lt;PolicyEff,FT_AnnivDays-1,0))),IF(AV41="PT",IF(BN41&lt;PT_First,0,1+INT((BN41-PT_First)/PT_Int)),0))-IF(AV41="FT",IF(BP41&lt;FT_First,0,IF(BP41&lt;FT_Y5,1+INT((BP41-FT_First)/FT_Int1),FT_PreY5+FT_PerYear*INT((BP41-FT_Y5)/12)+FT_AnnivDays+INT(MOD(BP41-FT_Y5,12)/FT_Int2)-IF(EDATE(AL41,FT_Y5)&lt;PolicyEff,FT_AnnivDays-1,0))),IF(AV41="PT",IF(BP41&lt;PT_First,0,1+INT((BP41-PT_First)/PT_Int)),0)),0))</f>
        <v/>
      </c>
      <c r="BR41" s="0" t="str">
        <f aca="false">IF(LEN($A41&amp;$B41)=0,"",$A41&amp;" "&amp;$B41)</f>
        <v/>
      </c>
    </row>
    <row r="42" customFormat="false" ht="15" hidden="false" customHeight="false" outlineLevel="0" collapsed="false">
      <c r="A42" s="12"/>
      <c r="B42" s="12"/>
      <c r="C42" s="12"/>
      <c r="D42" s="13"/>
      <c r="E42" s="14" t="str">
        <f aca="false">IF(OR(AK42=0,$D42=""),"",DATE(YEAR(AsOfDate)+IF(DATE(YEAR(AsOfDate),MONTH($D42),DAY($D42))&lt;=AsOfDate,1,0),MONTH($D42),DAY($D42)))</f>
        <v/>
      </c>
      <c r="F42" s="13"/>
      <c r="G42" s="13"/>
      <c r="H42" s="13"/>
      <c r="I42" s="13"/>
      <c r="J42" s="13"/>
      <c r="K42" s="14" t="str">
        <f aca="false">IF(AK42=0,"",DATE(YEAR(AsOfDate)+IF(DATE(YEAR(AsOfDate),MONTH(AL42),DAY(AL42))&lt;=AsOfDate,1,0),MONTH(AL42),DAY(AL42)))</f>
        <v/>
      </c>
      <c r="L42" s="15" t="str">
        <f aca="false">IF(AK42=0,"",ROUND((AsOfDate-AL42)/365.25,1))</f>
        <v/>
      </c>
      <c r="M42" s="16" t="str">
        <f aca="false">IF(AK42=0,"",IF(AsOfDate&lt;AL42,"-",DATEDIF(AL42,AsOfDate,"y")&amp;"y "&amp;DATEDIF(AL42,AsOfDate,"ym")&amp;"m "&amp;DATEDIF(AL42,AsOfDate,"md")&amp;"d"))</f>
        <v/>
      </c>
      <c r="N42" s="17" t="str">
        <f aca="false">IF(AK42=0,"",O42*HoursPerDay)</f>
        <v/>
      </c>
      <c r="O42" s="17" t="str">
        <f aca="false">IF(AK42=0,"",MAX(0,BD42-BQ42))</f>
        <v/>
      </c>
      <c r="P42" s="18"/>
      <c r="Q42" s="16" t="str">
        <f aca="false">IF(AK42=0,"",IF(AM42&lt;2,"",AQ42&amp;" to "&amp;AR42&amp;" on "&amp;TEXT(AO42,"dd/mm/yyyy")&amp;IF(AO42&gt;AsOfDate," (future)",IF(AT42=AU42,"",IF(AU42="None"," - STOPPED accruing",IF(AT42="None"," - commencement for Bonus Leave"," - pathway changed"))))&amp;IF(AM42&lt;3,"","; "&amp;AR42&amp;" to "&amp;AS42&amp;" on "&amp;TEXT(AP42,"dd/mm/yyyy")&amp;IF(AP42&gt;AsOfDate," (future)",IF(AU42=AV42,"",IF(AV42="None"," - STOPPED accruing",IF(AU42="None"," - commencement for Bonus Leave"," - pathway changed")))))))</f>
        <v/>
      </c>
      <c r="R42" s="16" t="str">
        <f aca="false">IF(AK42=0,"",IF(AW42="None",IF(O42&gt;0,"No longer accruing","Not eligible - "&amp;IF(AND(OR(ISNUMBER(SEARCH("part",$C42)),UPPER(TRIM($C42))="PT",UPPER(TRIM($C42))="PTE"),Apply2026="No"),"part-time (scheme is full-time only)",IF(AND(OR(ISNUMBER(SEARCH("part",$C42)),UPPER(TRIM($C42))="PT",UPPER(TRIM($C42))="PTE"),$P42&lt;&gt;"",N($P42)&lt;PT_MinHours),"under "&amp;PT_MinHours&amp;" hrs",IF(IF($C42="","",IF(OR(ISNUMBER(SEARCH("full",$C42)),UPPER(TRIM($C42))="FT",UPPER(TRIM($C42))="FTE"),"Full-Time",IF(OR(ISNUMBER(SEARCH("part",$C42)),UPPER(TRIM($C42))="PT",UPPER(TRIM($C42))="PTE"),"Part-Time",IF(OR(ISNUMBER(SEARCH("cas",$C42)),UPPER(TRIM($C42))="CAS"),"Casual","Unknown"))))="Unknown","type not recognised",$C42)))),IF(O42&gt;0,"Yes - Accrual Required","Not yet - from "&amp;TEXT(S42,"dd/mm/yyyy"))))</f>
        <v/>
      </c>
      <c r="S42" s="14" t="str">
        <f aca="false">IF(AK42=0,"",IF(AW42="None","",EDATE(AL42,BF42)))</f>
        <v/>
      </c>
      <c r="T42" s="17" t="str">
        <f aca="false">IF(AK42=0,"",IF(NOT(LH_Ready),"",IF($F42&gt;PFYDate,0,IF(LH_ColPeriod=0,W42-U42+V42,SUMIFS(INDEX(LH_Data,0,LH_ColAcc),INDEX(LH_Data,0,LH_ColFirst),$A42,INDEX(LH_Data,0,LH_ColSur),$B42,INDEX(LH_Data,0,LH_ColCat),BonusCat,INDEX(LH_Data,0,LH_ColPeriod),LH_OpenLabel)*UnitFactor))))</f>
        <v/>
      </c>
      <c r="U42" s="17" t="str">
        <f aca="false">IF(AK42=0,"",IF(NOT(LH_Ready),"",SUMIFS(INDEX(LH_Data,0,LH_ColAcc),INDEX(LH_Data,0,LH_ColFirst),$A42,INDEX(LH_Data,0,LH_ColSur),$B42,INDEX(LH_Data,0,LH_ColCat),BonusCat,INDEX(LH_Data,0,LH_ColStart),"&gt;="&amp;AL42)*UnitFactor))</f>
        <v/>
      </c>
      <c r="V42" s="17" t="str">
        <f aca="false">IF(AK42=0,"",IF(NOT(LH_Ready),"",SUMIFS(INDEX(LH_Data,0,LH_ColTaken),INDEX(LH_Data,0,LH_ColFirst),$A42,INDEX(LH_Data,0,LH_ColSur),$B42,INDEX(LH_Data,0,LH_ColCat),BonusCat,INDEX(LH_Data,0,LH_ColStart),"&gt;="&amp;AL42)*UnitFactor))</f>
        <v/>
      </c>
      <c r="W42" s="17" t="str">
        <f aca="false">IF(AK42=0,"",IF(NOT(LH_Ready),"",IF(BH42=0,0,INDEX(INDEX(LH_Data,0,LH_ColClose),BH42-1)*UnitFactor)))</f>
        <v/>
      </c>
      <c r="X42" s="17" t="str">
        <f aca="false">IF(AK42=0,"",(MAX(0,BD42-BQ42)-MAX(0,BE42-BQ42))*HoursPerDay)</f>
        <v/>
      </c>
      <c r="Y42" s="17" t="str">
        <f aca="false">IF(AK42=0,"",IF(NOT(LH_Ready),"",IF($AI42="Yes",N(AE42)*HoursPerDay-SUMIFS(INDEX(LH_Data,0,LH_ColAcc),INDEX(LH_Data,0,LH_ColFirst),$A42,INDEX(LH_Data,0,LH_ColSur),$B42,INDEX(LH_Data,0,LH_ColCat),BonusCat,INDEX(LH_Data,0,LH_ColStart),"&gt;="&amp;(EOMONTH(AsOfDate,-1)+1),INDEX(LH_Data,0,LH_ColStart),"&lt;="&amp;AsOfDate)*UnitFactor,IF(BG42=0,N42,N42-N(T42)-N(U42)))))</f>
        <v/>
      </c>
      <c r="Z42" s="16" t="str">
        <f aca="false">IF(OR(AK42=0,Y42=""),"",IF(Y42&gt;0,"Yes","No"))</f>
        <v/>
      </c>
      <c r="AA42" s="16" t="str">
        <f aca="false">IF(AK42=0,IF(LEN($A42&amp;$B42)=0,"","FIX INPUT - StartDate missing"),IF(AD42&lt;&gt;"","FIX INPUT - "&amp;AD42,IF(NOT(LH_Ready),"Paste Leave History export (Settings must show YES)",IF(AND($AI42="Yes",Y42&lt;=0),"OK - EH balance accepted to date"&amp;IF(N(AH42)&gt;0," (EH holds "&amp;AH42&amp;" hrs over the scheme)","")&amp;"; next day "&amp;TEXT(S42,"dd mmm yy")&amp;IF(N(AE42)&gt;0," ("&amp;AE42&amp;" day(s) for "&amp;UPPER(TEXT(AsOfDate,"mmm yyyy"))&amp;" already in EH)",""),IF(Y42&gt;0,"ACCRUE "&amp;ROUND(Y42,2)&amp;" hrs ("&amp;ROUND(Y42/HoursPerDay,2)&amp;" days): "&amp;IF(N(AE42)&gt;0,AE42&amp;" day(s) for "&amp;UPPER(TEXT(AsOfDate,"mmm yyyy"))&amp;" (milestone "&amp;UPPER(TEXT(AF42,"dd mmm yy"))&amp;")"&amp;IF(Y42/HoursPerDay&gt;AE42+0.001," + "&amp;ROUND(Y42/HoursPerDay-AE42,2)&amp;" day(s) catch-up from earlier months",""),"all catch-up from earlier months, nothing new this month")&amp;IF(BG42=0,"; no Bonus Leave in EH yet",""),IF(Y42&lt;0,"CHECK - EH accrued "&amp;ROUND(-Y42,2)&amp;" hrs more than policy since commencement",IF(N(W42)&gt;O42*HoursPerDay+0.01,"CHECK - EH balance "&amp;ROUND(W42-O42*HoursPerDay,2)&amp;" hrs more than policy entitlement",IF(O42&gt;0,"OK - nothing to add"&amp;IF(N(AE42)&gt;0," ("&amp;AE42&amp;" day(s) for "&amp;UPPER(TEXT(AsOfDate,"mmm yyyy"))&amp;" already in EH)",""),IF(AW42="None",R42,"Not yet - first day on "&amp;TEXT(S42,"dd/mm/yyyy"))))))))))</f>
        <v/>
      </c>
      <c r="AB42" s="17" t="str">
        <f aca="false">IF(OR(AK42=0,T42=""),"",MAX(0,BE42-BQ42)*HoursPerDay-T42)</f>
        <v/>
      </c>
      <c r="AC42" s="16" t="str">
        <f aca="false">IF(AK42=0,"",BG42)</f>
        <v/>
      </c>
      <c r="AD42" s="16" t="str">
        <f aca="false">IF(AK42=0,"",TRIM(IF(OR(ISTEXT($F42),ISTEXT($H42),ISTEXT($I42),ISTEXT($G42),ISTEXT($J42),ISTEXT($D42)),"A date is typed as text - retype it as dd/mm/yyyy. ","")&amp;IF(IF($C42="","",IF(OR(ISNUMBER(SEARCH("full",$C42)),UPPER(TRIM($C42))="FT",UPPER(TRIM($C42))="FTE"),"Full-Time",IF(OR(ISNUMBER(SEARCH("part",$C42)),UPPER(TRIM($C42))="PT",UPPER(TRIM($C42))="PTE"),"Part-Time",IF(OR(ISNUMBER(SEARCH("cas",$C42)),UPPER(TRIM($C42))="CAS"),"Casual","Unknown"))))="Unknown","EmploymentType not recognised - use Full-Time, Part-Time or Casual. ","")&amp;IF(AND(AM42&gt;=1,IF(AM42&gt;=3,AS42,IF(AM42=2,AR42,AQ42))&lt;&gt;IF($C42="","",IF(OR(ISNUMBER(SEARCH("full",$C42)),UPPER(TRIM($C42))="FT",UPPER(TRIM($C42))="FTE"),"Full-Time",IF(OR(ISNUMBER(SEARCH("part",$C42)),UPPER(TRIM($C42))="PT",UPPER(TRIM($C42))="PTE"),"Part-Time",IF(OR(ISNUMBER(SEARCH("cas",$C42)),UPPER(TRIM($C42))="CAS"),"Casual","Unknown"))))),"EmploymentType does not match latest start date ("&amp;IF(AM42&gt;=3,AS42,IF(AM42=2,AR42,AQ42))&amp;"). ","")&amp;IF(AND(AM42&gt;=1,AN42&lt;&gt;$F42),"Earliest type date should equal StartDate. ","")&amp;IF(AND(AM42&gt;=2,AN42=AO42),"Two types start on the same date. ","")&amp;IF(AND(OR(ISNUMBER(SEARCH("part",$C42)),UPPER(TRIM($C42))="PT",UPPER(TRIM($C42))="PTE"),$P42=""),"Part-time: enter PT Hrs/Week (blank = 24+). ","")))</f>
        <v/>
      </c>
      <c r="AE42" s="17" t="str">
        <f aca="false">IF(AK42=0,"",O42-MAX(0,BL42-BQ42))</f>
        <v/>
      </c>
      <c r="AF42" s="14" t="str">
        <f aca="false">IF(OR(AK42=0,AE42="",N(AE42)=0,BM42=""),"",EDATE(AL42,BM42))</f>
        <v/>
      </c>
      <c r="AG42" s="17" t="str">
        <f aca="false">IF(AK42=0,"",MIN(BD42,BQ42))</f>
        <v/>
      </c>
      <c r="AH42" s="17" t="str">
        <f aca="false">IF(AK42=0,"",IF(NOT(LH_Ready),"",IF(BG42=0,0,MAX(0,ROUND(N(T42)+N(U42)-N42,2)))))</f>
        <v/>
      </c>
      <c r="AI42" s="12"/>
      <c r="AJ42" s="12"/>
      <c r="AK42" s="16" t="n">
        <f aca="false">IF(OR(LEN($A42&amp;$B42)=0,$F42=""),0,1)</f>
        <v>0</v>
      </c>
      <c r="AL42" s="14" t="str">
        <f aca="false">IF(AK42=0,"",IF(PreSchemeCounts="No",MAX(SchemeStart,IF($J42&lt;&gt;"",$J42,IF(OR(CasualCounts="Yes",COUNT($G42:$I42)=0),$F42,IF(Apply2026="No",IF($I42="",$F42,$I42),IF(COUNT($H42:$I42)=0,$F42,MIN($H42:$I42)))))),IF($J42&lt;&gt;"",$J42,IF(OR(CasualCounts="Yes",COUNT($G42:$I42)=0),$F42,IF(Apply2026="No",IF($I42="",$F42,$I42),IF(COUNT($H42:$I42)=0,$F42,MIN($H42:$I42)))))))</f>
        <v/>
      </c>
      <c r="AM42" s="16" t="str">
        <f aca="false">IF(AK42=0,"",COUNT($G42:$I42))</f>
        <v/>
      </c>
      <c r="AN42" s="14" t="str">
        <f aca="false">IF(AK42=0,"",IFERROR(SMALL($G42:$I42,1),""))</f>
        <v/>
      </c>
      <c r="AO42" s="14" t="str">
        <f aca="false">IF(AK42=0,"",IFERROR(SMALL($G42:$I42,2),""))</f>
        <v/>
      </c>
      <c r="AP42" s="14" t="str">
        <f aca="false">IF(AK42=0,"",IFERROR(SMALL($G42:$I42,3),""))</f>
        <v/>
      </c>
      <c r="AQ42" s="16" t="str">
        <f aca="false">IF(AK42=0,"",IF(AN42="","",IF(AN42=$H42,"Part-Time",IF(AN42=$I42,"Full-Time","Casual"))))</f>
        <v/>
      </c>
      <c r="AR42" s="16" t="str">
        <f aca="false">IF(AK42=0,"",IF(AO42="","",IF(AO42=$H42,"Part-Time",IF(AO42=$I42,"Full-Time","Casual"))))</f>
        <v/>
      </c>
      <c r="AS42" s="16" t="str">
        <f aca="false">IF(AK42=0,"",IF(AP42="","",IF(AP42=$H42,"Part-Time",IF(AP42=$I42,"Full-Time","Casual"))))</f>
        <v/>
      </c>
      <c r="AT42" s="16" t="str">
        <f aca="false">IF(AK42=0,"",IF(AM42=0,IF(OR(ISNUMBER(SEARCH("full",$C42)),UPPER(TRIM($C42))="FT",UPPER(TRIM($C42))="FTE"),"FT",IF(AND(OR(ISNUMBER(SEARCH("part",$C42)),UPPER(TRIM($C42))="PT",UPPER(TRIM($C42))="PTE"),Apply2026="Yes",OR($P42="",N($P42)&gt;=PT_MinHours)),"PT","None")),IF(OR(ISNUMBER(SEARCH("full",AQ42)),UPPER(TRIM(AQ42))="FT",UPPER(TRIM(AQ42))="FTE"),"FT",IF(AND(OR(ISNUMBER(SEARCH("part",AQ42)),UPPER(TRIM(AQ42))="PT",UPPER(TRIM(AQ42))="PTE"),Apply2026="Yes",OR($P42="",N($P42)&gt;=PT_MinHours)),"PT","None"))))</f>
        <v/>
      </c>
      <c r="AU42" s="16" t="str">
        <f aca="false">IF(AK42=0,"",IF(AM42&lt;2,"",IF(OR(ISNUMBER(SEARCH("full",AR42)),UPPER(TRIM(AR42))="FT",UPPER(TRIM(AR42))="FTE"),"FT",IF(AND(OR(ISNUMBER(SEARCH("part",AR42)),UPPER(TRIM(AR42))="PT",UPPER(TRIM(AR42))="PTE"),Apply2026="Yes",OR($P42="",N($P42)&gt;=PT_MinHours)),"PT","None"))))</f>
        <v/>
      </c>
      <c r="AV42" s="16" t="str">
        <f aca="false">IF(AK42=0,"",IF(AM42&lt;3,"",IF(OR(ISNUMBER(SEARCH("full",AS42)),UPPER(TRIM(AS42))="FT",UPPER(TRIM(AS42))="FTE"),"FT",IF(AND(OR(ISNUMBER(SEARCH("part",AS42)),UPPER(TRIM(AS42))="PT",UPPER(TRIM(AS42))="PTE"),Apply2026="Yes",OR($P42="",N($P42)&gt;=PT_MinHours)),"PT","None"))))</f>
        <v/>
      </c>
      <c r="AW42" s="16" t="str">
        <f aca="false">IF(AK42=0,"",IF(AND(AM42&gt;=3,AP42&lt;=AsOfDate),AV42,IF(AND(AM42&gt;=2,AO42&lt;=AsOfDate),AU42,AT42)))</f>
        <v/>
      </c>
      <c r="AX42" s="16" t="str">
        <f aca="false">IF(AK42=0,"",IF(AsOfDate&lt;AL42,-1,12*(YEAR(AsOfDate)-YEAR(AL42))+MONTH(AsOfDate)-MONTH(AL42)-IF(DAY(AsOfDate)&lt;MIN(DAY(AL42),DAY(EOMONTH(AsOfDate,0))),1,0)))</f>
        <v/>
      </c>
      <c r="AY42" s="16" t="str">
        <f aca="false">IF(AK42=0,"",IF(OR(AM42&lt;2,AO42&gt;AsOfDate),AX42,IF((AO42-1)&lt;AL42,-1,12*(YEAR((AO42-1))-YEAR(AL42))+MONTH((AO42-1))-MONTH(AL42)-IF(DAY((AO42-1))&lt;MIN(DAY(AL42),DAY(EOMONTH((AO42-1),0))),1,0))))</f>
        <v/>
      </c>
      <c r="AZ42" s="16" t="str">
        <f aca="false">IF(AK42=0,"",IF(OR(AM42&lt;3,AP42&gt;AsOfDate),AX42,IF((AP42-1)&lt;AL42,-1,12*(YEAR((AP42-1))-YEAR(AL42))+MONTH((AP42-1))-MONTH(AL42)-IF(DAY((AP42-1))&lt;MIN(DAY(AL42),DAY(EOMONTH((AP42-1),0))),1,0))))</f>
        <v/>
      </c>
      <c r="BA42" s="16" t="str">
        <f aca="false">IF(AK42=0,"",IF(PFYDate&lt;AL42,-1,12*(YEAR(PFYDate)-YEAR(AL42))+MONTH(PFYDate)-MONTH(AL42)-IF(DAY(PFYDate)&lt;MIN(DAY(AL42),DAY(EOMONTH(PFYDate,0))),1,0)))</f>
        <v/>
      </c>
      <c r="BB42" s="16" t="str">
        <f aca="false">IF(AK42=0,"",IF(OR(AM42&lt;2,AO42&gt;PFYDate),BA42,IF((AO42-1)&lt;AL42,-1,12*(YEAR((AO42-1))-YEAR(AL42))+MONTH((AO42-1))-MONTH(AL42)-IF(DAY((AO42-1))&lt;MIN(DAY(AL42),DAY(EOMONTH((AO42-1),0))),1,0))))</f>
        <v/>
      </c>
      <c r="BC42" s="16" t="str">
        <f aca="false">IF(AK42=0,"",IF(OR(AM42&lt;3,AP42&gt;PFYDate),BA42,IF((AP42-1)&lt;AL42,-1,12*(YEAR((AP42-1))-YEAR(AL42))+MONTH((AP42-1))-MONTH(AL42)-IF(DAY((AP42-1))&lt;MIN(DAY(AL42),DAY(EOMONTH((AP42-1),0))),1,0))))</f>
        <v/>
      </c>
      <c r="BD42" s="16" t="str">
        <f aca="false">IF(AK42=0,"",IF(AT42="FT",IF(AY42&lt;FT_First,0,IF(AY42&lt;FT_Y5,1+INT((AY42-FT_First)/FT_Int1),FT_PreY5+FT_PerYear*INT((AY42-FT_Y5)/12)+FT_AnnivDays+INT(MOD(AY42-FT_Y5,12)/FT_Int2)-IF(EDATE(AL42,FT_Y5)&lt;PolicyEff,FT_AnnivDays-1,0))),IF(AT42="PT",IF(AY42&lt;PT_First,0,1+INT((AY42-PT_First)/PT_Int)),0))+IF(AND(AM42&gt;=2,AO42&lt;=AsOfDate),IF(AU42="FT",IF(AZ42&lt;FT_First,0,IF(AZ42&lt;FT_Y5,1+INT((AZ42-FT_First)/FT_Int1),FT_PreY5+FT_PerYear*INT((AZ42-FT_Y5)/12)+FT_AnnivDays+INT(MOD(AZ42-FT_Y5,12)/FT_Int2)-IF(EDATE(AL42,FT_Y5)&lt;PolicyEff,FT_AnnivDays-1,0))),IF(AU42="PT",IF(AZ42&lt;PT_First,0,1+INT((AZ42-PT_First)/PT_Int)),0))-IF(AU42="FT",IF(AY42&lt;FT_First,0,IF(AY42&lt;FT_Y5,1+INT((AY42-FT_First)/FT_Int1),FT_PreY5+FT_PerYear*INT((AY42-FT_Y5)/12)+FT_AnnivDays+INT(MOD(AY42-FT_Y5,12)/FT_Int2)-IF(EDATE(AL42,FT_Y5)&lt;PolicyEff,FT_AnnivDays-1,0))),IF(AU42="PT",IF(AY42&lt;PT_First,0,1+INT((AY42-PT_First)/PT_Int)),0)),0)+IF(AND(AM42&gt;=3,AP42&lt;=AsOfDate),IF(AV42="FT",IF(AX42&lt;FT_First,0,IF(AX42&lt;FT_Y5,1+INT((AX42-FT_First)/FT_Int1),FT_PreY5+FT_PerYear*INT((AX42-FT_Y5)/12)+FT_AnnivDays+INT(MOD(AX42-FT_Y5,12)/FT_Int2)-IF(EDATE(AL42,FT_Y5)&lt;PolicyEff,FT_AnnivDays-1,0))),IF(AV42="PT",IF(AX42&lt;PT_First,0,1+INT((AX42-PT_First)/PT_Int)),0))-IF(AV42="FT",IF(AZ42&lt;FT_First,0,IF(AZ42&lt;FT_Y5,1+INT((AZ42-FT_First)/FT_Int1),FT_PreY5+FT_PerYear*INT((AZ42-FT_Y5)/12)+FT_AnnivDays+INT(MOD(AZ42-FT_Y5,12)/FT_Int2)-IF(EDATE(AL42,FT_Y5)&lt;PolicyEff,FT_AnnivDays-1,0))),IF(AV42="PT",IF(AZ42&lt;PT_First,0,1+INT((AZ42-PT_First)/PT_Int)),0)),0))</f>
        <v/>
      </c>
      <c r="BE42" s="16" t="str">
        <f aca="false">IF(AK42=0,"",IF(AT42="FT",IF(BB42&lt;FT_First,0,IF(BB42&lt;FT_Y5,1+INT((BB42-FT_First)/FT_Int1),FT_PreY5+FT_PerYear*INT((BB42-FT_Y5)/12)+FT_AnnivDays+INT(MOD(BB42-FT_Y5,12)/FT_Int2)-IF(EDATE(AL42,FT_Y5)&lt;PolicyEff,FT_AnnivDays-1,0))),IF(AT42="PT",IF(BB42&lt;PT_First,0,1+INT((BB42-PT_First)/PT_Int)),0))+IF(AND(AM42&gt;=2,AO42&lt;=PFYDate),IF(AU42="FT",IF(BC42&lt;FT_First,0,IF(BC42&lt;FT_Y5,1+INT((BC42-FT_First)/FT_Int1),FT_PreY5+FT_PerYear*INT((BC42-FT_Y5)/12)+FT_AnnivDays+INT(MOD(BC42-FT_Y5,12)/FT_Int2)-IF(EDATE(AL42,FT_Y5)&lt;PolicyEff,FT_AnnivDays-1,0))),IF(AU42="PT",IF(BC42&lt;PT_First,0,1+INT((BC42-PT_First)/PT_Int)),0))-IF(AU42="FT",IF(BB42&lt;FT_First,0,IF(BB42&lt;FT_Y5,1+INT((BB42-FT_First)/FT_Int1),FT_PreY5+FT_PerYear*INT((BB42-FT_Y5)/12)+FT_AnnivDays+INT(MOD(BB42-FT_Y5,12)/FT_Int2)-IF(EDATE(AL42,FT_Y5)&lt;PolicyEff,FT_AnnivDays-1,0))),IF(AU42="PT",IF(BB42&lt;PT_First,0,1+INT((BB42-PT_First)/PT_Int)),0)),0)+IF(AND(AM42&gt;=3,AP42&lt;=PFYDate),IF(AV42="FT",IF(BA42&lt;FT_First,0,IF(BA42&lt;FT_Y5,1+INT((BA42-FT_First)/FT_Int1),FT_PreY5+FT_PerYear*INT((BA42-FT_Y5)/12)+FT_AnnivDays+INT(MOD(BA42-FT_Y5,12)/FT_Int2)-IF(EDATE(AL42,FT_Y5)&lt;PolicyEff,FT_AnnivDays-1,0))),IF(AV42="PT",IF(BA42&lt;PT_First,0,1+INT((BA42-PT_First)/PT_Int)),0))-IF(AV42="FT",IF(BC42&lt;FT_First,0,IF(BC42&lt;FT_Y5,1+INT((BC42-FT_First)/FT_Int1),FT_PreY5+FT_PerYear*INT((BC42-FT_Y5)/12)+FT_AnnivDays+INT(MOD(BC42-FT_Y5,12)/FT_Int2)-IF(EDATE(AL42,FT_Y5)&lt;PolicyEff,FT_AnnivDays-1,0))),IF(AV42="PT",IF(BC42&lt;PT_First,0,1+INT((BC42-PT_First)/PT_Int)),0)),0))</f>
        <v/>
      </c>
      <c r="BF42" s="16" t="str">
        <f aca="false">IF(AK42=0,"",IF(AW42="FT",IF(AX42&lt;FT_First,FT_First,IF(AX42&lt;FT_Y5,MIN(FT_Y5,FT_First+FT_Int1*(INT((AX42-FT_First)/FT_Int1)+1)),FT_Y5+12*INT((AX42-FT_Y5)/12)+FT_Int2*(INT(MOD(AX42-FT_Y5,12)/FT_Int2)+1))),IF(AW42="PT",IF(AX42&lt;PT_First,PT_First,PT_First+PT_Int*(INT((AX42-PT_First)/PT_Int)+1)),"")))</f>
        <v/>
      </c>
      <c r="BG42" s="16" t="str">
        <f aca="false">IF(AK42=0,"",IF(NOT(LH_Ready),0,COUNTIFS(INDEX(LH_Data,0,LH_ColFirst),$A42,INDEX(LH_Data,0,LH_ColSur),$B42,INDEX(LH_Data,0,LH_ColCat),BonusCat)))</f>
        <v/>
      </c>
      <c r="BH42" s="16" t="str">
        <f aca="false">IF(AK42=0,"",IF(OR(NOT(LH_Ready),BG42=0),0,SUMPRODUCT(MAX((INDEX(LH_Data,0,LH_ColFirst)=$A42)*(INDEX(LH_Data,0,LH_ColSur)=$B42)*(INDEX(LH_Data,0,LH_ColCat)=BonusCat)*ROW(LH_Data)))))</f>
        <v/>
      </c>
      <c r="BI42" s="16" t="str">
        <f aca="false">IF(AK42=0,"",IF(EOMONTH(AsOfDate,-1)&lt;AL42,-1,12*(YEAR(EOMONTH(AsOfDate,-1))-YEAR(AL42))+MONTH(EOMONTH(AsOfDate,-1))-MONTH(AL42)-IF(DAY(EOMONTH(AsOfDate,-1))&lt;MIN(DAY(AL42),DAY(EOMONTH(EOMONTH(AsOfDate,-1),0))),1,0)))</f>
        <v/>
      </c>
      <c r="BJ42" s="16" t="str">
        <f aca="false">IF(AK42=0,"",IF(OR(AM42&lt;2,AO42&gt;EOMONTH(AsOfDate,-1)),BI42,IF((AO42-1)&lt;AL42,-1,12*(YEAR((AO42-1))-YEAR(AL42))+MONTH((AO42-1))-MONTH(AL42)-IF(DAY((AO42-1))&lt;MIN(DAY(AL42),DAY(EOMONTH((AO42-1),0))),1,0))))</f>
        <v/>
      </c>
      <c r="BK42" s="16" t="str">
        <f aca="false">IF(AK42=0,"",IF(OR(AM42&lt;3,AP42&gt;EOMONTH(AsOfDate,-1)),BI42,IF((AP42-1)&lt;AL42,-1,12*(YEAR((AP42-1))-YEAR(AL42))+MONTH((AP42-1))-MONTH(AL42)-IF(DAY((AP42-1))&lt;MIN(DAY(AL42),DAY(EOMONTH((AP42-1),0))),1,0))))</f>
        <v/>
      </c>
      <c r="BL42" s="16" t="str">
        <f aca="false">IF(AK42=0,"",IF(AT42="FT",IF(BJ42&lt;FT_First,0,IF(BJ42&lt;FT_Y5,1+INT((BJ42-FT_First)/FT_Int1),FT_PreY5+FT_PerYear*INT((BJ42-FT_Y5)/12)+FT_AnnivDays+INT(MOD(BJ42-FT_Y5,12)/FT_Int2)-IF(EDATE(AL42,FT_Y5)&lt;PolicyEff,FT_AnnivDays-1,0))),IF(AT42="PT",IF(BJ42&lt;PT_First,0,1+INT((BJ42-PT_First)/PT_Int)),0))+IF(AND(AM42&gt;=2,AO42&lt;=EOMONTH(AsOfDate,-1)),IF(AU42="FT",IF(BK42&lt;FT_First,0,IF(BK42&lt;FT_Y5,1+INT((BK42-FT_First)/FT_Int1),FT_PreY5+FT_PerYear*INT((BK42-FT_Y5)/12)+FT_AnnivDays+INT(MOD(BK42-FT_Y5,12)/FT_Int2)-IF(EDATE(AL42,FT_Y5)&lt;PolicyEff,FT_AnnivDays-1,0))),IF(AU42="PT",IF(BK42&lt;PT_First,0,1+INT((BK42-PT_First)/PT_Int)),0))-IF(AU42="FT",IF(BJ42&lt;FT_First,0,IF(BJ42&lt;FT_Y5,1+INT((BJ42-FT_First)/FT_Int1),FT_PreY5+FT_PerYear*INT((BJ42-FT_Y5)/12)+FT_AnnivDays+INT(MOD(BJ42-FT_Y5,12)/FT_Int2)-IF(EDATE(AL42,FT_Y5)&lt;PolicyEff,FT_AnnivDays-1,0))),IF(AU42="PT",IF(BJ42&lt;PT_First,0,1+INT((BJ42-PT_First)/PT_Int)),0)),0)+IF(AND(AM42&gt;=3,AP42&lt;=EOMONTH(AsOfDate,-1)),IF(AV42="FT",IF(BI42&lt;FT_First,0,IF(BI42&lt;FT_Y5,1+INT((BI42-FT_First)/FT_Int1),FT_PreY5+FT_PerYear*INT((BI42-FT_Y5)/12)+FT_AnnivDays+INT(MOD(BI42-FT_Y5,12)/FT_Int2)-IF(EDATE(AL42,FT_Y5)&lt;PolicyEff,FT_AnnivDays-1,0))),IF(AV42="PT",IF(BI42&lt;PT_First,0,1+INT((BI42-PT_First)/PT_Int)),0))-IF(AV42="FT",IF(BK42&lt;FT_First,0,IF(BK42&lt;FT_Y5,1+INT((BK42-FT_First)/FT_Int1),FT_PreY5+FT_PerYear*INT((BK42-FT_Y5)/12)+FT_AnnivDays+INT(MOD(BK42-FT_Y5,12)/FT_Int2)-IF(EDATE(AL42,FT_Y5)&lt;PolicyEff,FT_AnnivDays-1,0))),IF(AV42="PT",IF(BK42&lt;PT_First,0,1+INT((BK42-PT_First)/PT_Int)),0)),0))</f>
        <v/>
      </c>
      <c r="BM42" s="16" t="str">
        <f aca="false">IF(AK42=0,"",IF(AW42="FT",IF(AX42&lt;FT_First,"",IF(AX42&lt;FT_Y5,FT_First+FT_Int1*INT((AX42-FT_First)/FT_Int1),FT_Y5+FT_Int2*INT((AX42-FT_Y5)/FT_Int2))),IF(AW42="PT",IF(AX42&lt;PT_First,"",PT_First+PT_Int*INT((AX42-PT_First)/PT_Int)),"")))</f>
        <v/>
      </c>
      <c r="BN42" s="16" t="str">
        <f aca="false">IF(AK42=0,"",IF((SchemeStart-1)&lt;AL42,-1,12*(YEAR((SchemeStart-1))-YEAR(AL42))+MONTH((SchemeStart-1))-MONTH(AL42)-IF(DAY((SchemeStart-1))&lt;MIN(DAY(AL42),DAY(EOMONTH((SchemeStart-1),0))),1,0)))</f>
        <v/>
      </c>
      <c r="BO42" s="16" t="str">
        <f aca="false">IF(AK42=0,"",IF(OR(AM42&lt;2,AO42&gt;(SchemeStart-1)),BN42,IF((AO42-1)&lt;AL42,-1,12*(YEAR((AO42-1))-YEAR(AL42))+MONTH((AO42-1))-MONTH(AL42)-IF(DAY((AO42-1))&lt;MIN(DAY(AL42),DAY(EOMONTH((AO42-1),0))),1,0))))</f>
        <v/>
      </c>
      <c r="BP42" s="16" t="str">
        <f aca="false">IF(AK42=0,"",IF(OR(AM42&lt;3,AP42&gt;(SchemeStart-1)),BN42,IF((AP42-1)&lt;AL42,-1,12*(YEAR((AP42-1))-YEAR(AL42))+MONTH((AP42-1))-MONTH(AL42)-IF(DAY((AP42-1))&lt;MIN(DAY(AL42),DAY(EOMONTH((AP42-1),0))),1,0))))</f>
        <v/>
      </c>
      <c r="BQ42" s="16" t="str">
        <f aca="false">IF(AK42=0,"",IF(AT42="FT",IF(BO42&lt;FT_First,0,IF(BO42&lt;FT_Y5,1+INT((BO42-FT_First)/FT_Int1),FT_PreY5+FT_PerYear*INT((BO42-FT_Y5)/12)+FT_AnnivDays+INT(MOD(BO42-FT_Y5,12)/FT_Int2)-IF(EDATE(AL42,FT_Y5)&lt;PolicyEff,FT_AnnivDays-1,0))),IF(AT42="PT",IF(BO42&lt;PT_First,0,1+INT((BO42-PT_First)/PT_Int)),0))+IF(AND(AM42&gt;=2,AO42&lt;=(SchemeStart-1)),IF(AU42="FT",IF(BP42&lt;FT_First,0,IF(BP42&lt;FT_Y5,1+INT((BP42-FT_First)/FT_Int1),FT_PreY5+FT_PerYear*INT((BP42-FT_Y5)/12)+FT_AnnivDays+INT(MOD(BP42-FT_Y5,12)/FT_Int2)-IF(EDATE(AL42,FT_Y5)&lt;PolicyEff,FT_AnnivDays-1,0))),IF(AU42="PT",IF(BP42&lt;PT_First,0,1+INT((BP42-PT_First)/PT_Int)),0))-IF(AU42="FT",IF(BO42&lt;FT_First,0,IF(BO42&lt;FT_Y5,1+INT((BO42-FT_First)/FT_Int1),FT_PreY5+FT_PerYear*INT((BO42-FT_Y5)/12)+FT_AnnivDays+INT(MOD(BO42-FT_Y5,12)/FT_Int2)-IF(EDATE(AL42,FT_Y5)&lt;PolicyEff,FT_AnnivDays-1,0))),IF(AU42="PT",IF(BO42&lt;PT_First,0,1+INT((BO42-PT_First)/PT_Int)),0)),0)+IF(AND(AM42&gt;=3,AP42&lt;=(SchemeStart-1)),IF(AV42="FT",IF(BN42&lt;FT_First,0,IF(BN42&lt;FT_Y5,1+INT((BN42-FT_First)/FT_Int1),FT_PreY5+FT_PerYear*INT((BN42-FT_Y5)/12)+FT_AnnivDays+INT(MOD(BN42-FT_Y5,12)/FT_Int2)-IF(EDATE(AL42,FT_Y5)&lt;PolicyEff,FT_AnnivDays-1,0))),IF(AV42="PT",IF(BN42&lt;PT_First,0,1+INT((BN42-PT_First)/PT_Int)),0))-IF(AV42="FT",IF(BP42&lt;FT_First,0,IF(BP42&lt;FT_Y5,1+INT((BP42-FT_First)/FT_Int1),FT_PreY5+FT_PerYear*INT((BP42-FT_Y5)/12)+FT_AnnivDays+INT(MOD(BP42-FT_Y5,12)/FT_Int2)-IF(EDATE(AL42,FT_Y5)&lt;PolicyEff,FT_AnnivDays-1,0))),IF(AV42="PT",IF(BP42&lt;PT_First,0,1+INT((BP42-PT_First)/PT_Int)),0)),0))</f>
        <v/>
      </c>
      <c r="BR42" s="0" t="str">
        <f aca="false">IF(LEN($A42&amp;$B42)=0,"",$A42&amp;" "&amp;$B42)</f>
        <v/>
      </c>
    </row>
    <row r="43" customFormat="false" ht="15" hidden="false" customHeight="false" outlineLevel="0" collapsed="false">
      <c r="A43" s="12"/>
      <c r="B43" s="12"/>
      <c r="C43" s="12"/>
      <c r="D43" s="13"/>
      <c r="E43" s="14" t="str">
        <f aca="false">IF(OR(AK43=0,$D43=""),"",DATE(YEAR(AsOfDate)+IF(DATE(YEAR(AsOfDate),MONTH($D43),DAY($D43))&lt;=AsOfDate,1,0),MONTH($D43),DAY($D43)))</f>
        <v/>
      </c>
      <c r="F43" s="13"/>
      <c r="G43" s="13"/>
      <c r="H43" s="13"/>
      <c r="I43" s="13"/>
      <c r="J43" s="13"/>
      <c r="K43" s="14" t="str">
        <f aca="false">IF(AK43=0,"",DATE(YEAR(AsOfDate)+IF(DATE(YEAR(AsOfDate),MONTH(AL43),DAY(AL43))&lt;=AsOfDate,1,0),MONTH(AL43),DAY(AL43)))</f>
        <v/>
      </c>
      <c r="L43" s="15" t="str">
        <f aca="false">IF(AK43=0,"",ROUND((AsOfDate-AL43)/365.25,1))</f>
        <v/>
      </c>
      <c r="M43" s="16" t="str">
        <f aca="false">IF(AK43=0,"",IF(AsOfDate&lt;AL43,"-",DATEDIF(AL43,AsOfDate,"y")&amp;"y "&amp;DATEDIF(AL43,AsOfDate,"ym")&amp;"m "&amp;DATEDIF(AL43,AsOfDate,"md")&amp;"d"))</f>
        <v/>
      </c>
      <c r="N43" s="17" t="str">
        <f aca="false">IF(AK43=0,"",O43*HoursPerDay)</f>
        <v/>
      </c>
      <c r="O43" s="17" t="str">
        <f aca="false">IF(AK43=0,"",MAX(0,BD43-BQ43))</f>
        <v/>
      </c>
      <c r="P43" s="18"/>
      <c r="Q43" s="16" t="str">
        <f aca="false">IF(AK43=0,"",IF(AM43&lt;2,"",AQ43&amp;" to "&amp;AR43&amp;" on "&amp;TEXT(AO43,"dd/mm/yyyy")&amp;IF(AO43&gt;AsOfDate," (future)",IF(AT43=AU43,"",IF(AU43="None"," - STOPPED accruing",IF(AT43="None"," - commencement for Bonus Leave"," - pathway changed"))))&amp;IF(AM43&lt;3,"","; "&amp;AR43&amp;" to "&amp;AS43&amp;" on "&amp;TEXT(AP43,"dd/mm/yyyy")&amp;IF(AP43&gt;AsOfDate," (future)",IF(AU43=AV43,"",IF(AV43="None"," - STOPPED accruing",IF(AU43="None"," - commencement for Bonus Leave"," - pathway changed")))))))</f>
        <v/>
      </c>
      <c r="R43" s="16" t="str">
        <f aca="false">IF(AK43=0,"",IF(AW43="None",IF(O43&gt;0,"No longer accruing","Not eligible - "&amp;IF(AND(OR(ISNUMBER(SEARCH("part",$C43)),UPPER(TRIM($C43))="PT",UPPER(TRIM($C43))="PTE"),Apply2026="No"),"part-time (scheme is full-time only)",IF(AND(OR(ISNUMBER(SEARCH("part",$C43)),UPPER(TRIM($C43))="PT",UPPER(TRIM($C43))="PTE"),$P43&lt;&gt;"",N($P43)&lt;PT_MinHours),"under "&amp;PT_MinHours&amp;" hrs",IF(IF($C43="","",IF(OR(ISNUMBER(SEARCH("full",$C43)),UPPER(TRIM($C43))="FT",UPPER(TRIM($C43))="FTE"),"Full-Time",IF(OR(ISNUMBER(SEARCH("part",$C43)),UPPER(TRIM($C43))="PT",UPPER(TRIM($C43))="PTE"),"Part-Time",IF(OR(ISNUMBER(SEARCH("cas",$C43)),UPPER(TRIM($C43))="CAS"),"Casual","Unknown"))))="Unknown","type not recognised",$C43)))),IF(O43&gt;0,"Yes - Accrual Required","Not yet - from "&amp;TEXT(S43,"dd/mm/yyyy"))))</f>
        <v/>
      </c>
      <c r="S43" s="14" t="str">
        <f aca="false">IF(AK43=0,"",IF(AW43="None","",EDATE(AL43,BF43)))</f>
        <v/>
      </c>
      <c r="T43" s="17" t="str">
        <f aca="false">IF(AK43=0,"",IF(NOT(LH_Ready),"",IF($F43&gt;PFYDate,0,IF(LH_ColPeriod=0,W43-U43+V43,SUMIFS(INDEX(LH_Data,0,LH_ColAcc),INDEX(LH_Data,0,LH_ColFirst),$A43,INDEX(LH_Data,0,LH_ColSur),$B43,INDEX(LH_Data,0,LH_ColCat),BonusCat,INDEX(LH_Data,0,LH_ColPeriod),LH_OpenLabel)*UnitFactor))))</f>
        <v/>
      </c>
      <c r="U43" s="17" t="str">
        <f aca="false">IF(AK43=0,"",IF(NOT(LH_Ready),"",SUMIFS(INDEX(LH_Data,0,LH_ColAcc),INDEX(LH_Data,0,LH_ColFirst),$A43,INDEX(LH_Data,0,LH_ColSur),$B43,INDEX(LH_Data,0,LH_ColCat),BonusCat,INDEX(LH_Data,0,LH_ColStart),"&gt;="&amp;AL43)*UnitFactor))</f>
        <v/>
      </c>
      <c r="V43" s="17" t="str">
        <f aca="false">IF(AK43=0,"",IF(NOT(LH_Ready),"",SUMIFS(INDEX(LH_Data,0,LH_ColTaken),INDEX(LH_Data,0,LH_ColFirst),$A43,INDEX(LH_Data,0,LH_ColSur),$B43,INDEX(LH_Data,0,LH_ColCat),BonusCat,INDEX(LH_Data,0,LH_ColStart),"&gt;="&amp;AL43)*UnitFactor))</f>
        <v/>
      </c>
      <c r="W43" s="17" t="str">
        <f aca="false">IF(AK43=0,"",IF(NOT(LH_Ready),"",IF(BH43=0,0,INDEX(INDEX(LH_Data,0,LH_ColClose),BH43-1)*UnitFactor)))</f>
        <v/>
      </c>
      <c r="X43" s="17" t="str">
        <f aca="false">IF(AK43=0,"",(MAX(0,BD43-BQ43)-MAX(0,BE43-BQ43))*HoursPerDay)</f>
        <v/>
      </c>
      <c r="Y43" s="17" t="str">
        <f aca="false">IF(AK43=0,"",IF(NOT(LH_Ready),"",IF($AI43="Yes",N(AE43)*HoursPerDay-SUMIFS(INDEX(LH_Data,0,LH_ColAcc),INDEX(LH_Data,0,LH_ColFirst),$A43,INDEX(LH_Data,0,LH_ColSur),$B43,INDEX(LH_Data,0,LH_ColCat),BonusCat,INDEX(LH_Data,0,LH_ColStart),"&gt;="&amp;(EOMONTH(AsOfDate,-1)+1),INDEX(LH_Data,0,LH_ColStart),"&lt;="&amp;AsOfDate)*UnitFactor,IF(BG43=0,N43,N43-N(T43)-N(U43)))))</f>
        <v/>
      </c>
      <c r="Z43" s="16" t="str">
        <f aca="false">IF(OR(AK43=0,Y43=""),"",IF(Y43&gt;0,"Yes","No"))</f>
        <v/>
      </c>
      <c r="AA43" s="16" t="str">
        <f aca="false">IF(AK43=0,IF(LEN($A43&amp;$B43)=0,"","FIX INPUT - StartDate missing"),IF(AD43&lt;&gt;"","FIX INPUT - "&amp;AD43,IF(NOT(LH_Ready),"Paste Leave History export (Settings must show YES)",IF(AND($AI43="Yes",Y43&lt;=0),"OK - EH balance accepted to date"&amp;IF(N(AH43)&gt;0," (EH holds "&amp;AH43&amp;" hrs over the scheme)","")&amp;"; next day "&amp;TEXT(S43,"dd mmm yy")&amp;IF(N(AE43)&gt;0," ("&amp;AE43&amp;" day(s) for "&amp;UPPER(TEXT(AsOfDate,"mmm yyyy"))&amp;" already in EH)",""),IF(Y43&gt;0,"ACCRUE "&amp;ROUND(Y43,2)&amp;" hrs ("&amp;ROUND(Y43/HoursPerDay,2)&amp;" days): "&amp;IF(N(AE43)&gt;0,AE43&amp;" day(s) for "&amp;UPPER(TEXT(AsOfDate,"mmm yyyy"))&amp;" (milestone "&amp;UPPER(TEXT(AF43,"dd mmm yy"))&amp;")"&amp;IF(Y43/HoursPerDay&gt;AE43+0.001," + "&amp;ROUND(Y43/HoursPerDay-AE43,2)&amp;" day(s) catch-up from earlier months",""),"all catch-up from earlier months, nothing new this month")&amp;IF(BG43=0,"; no Bonus Leave in EH yet",""),IF(Y43&lt;0,"CHECK - EH accrued "&amp;ROUND(-Y43,2)&amp;" hrs more than policy since commencement",IF(N(W43)&gt;O43*HoursPerDay+0.01,"CHECK - EH balance "&amp;ROUND(W43-O43*HoursPerDay,2)&amp;" hrs more than policy entitlement",IF(O43&gt;0,"OK - nothing to add"&amp;IF(N(AE43)&gt;0," ("&amp;AE43&amp;" day(s) for "&amp;UPPER(TEXT(AsOfDate,"mmm yyyy"))&amp;" already in EH)",""),IF(AW43="None",R43,"Not yet - first day on "&amp;TEXT(S43,"dd/mm/yyyy"))))))))))</f>
        <v/>
      </c>
      <c r="AB43" s="17" t="str">
        <f aca="false">IF(OR(AK43=0,T43=""),"",MAX(0,BE43-BQ43)*HoursPerDay-T43)</f>
        <v/>
      </c>
      <c r="AC43" s="16" t="str">
        <f aca="false">IF(AK43=0,"",BG43)</f>
        <v/>
      </c>
      <c r="AD43" s="16" t="str">
        <f aca="false">IF(AK43=0,"",TRIM(IF(OR(ISTEXT($F43),ISTEXT($H43),ISTEXT($I43),ISTEXT($G43),ISTEXT($J43),ISTEXT($D43)),"A date is typed as text - retype it as dd/mm/yyyy. ","")&amp;IF(IF($C43="","",IF(OR(ISNUMBER(SEARCH("full",$C43)),UPPER(TRIM($C43))="FT",UPPER(TRIM($C43))="FTE"),"Full-Time",IF(OR(ISNUMBER(SEARCH("part",$C43)),UPPER(TRIM($C43))="PT",UPPER(TRIM($C43))="PTE"),"Part-Time",IF(OR(ISNUMBER(SEARCH("cas",$C43)),UPPER(TRIM($C43))="CAS"),"Casual","Unknown"))))="Unknown","EmploymentType not recognised - use Full-Time, Part-Time or Casual. ","")&amp;IF(AND(AM43&gt;=1,IF(AM43&gt;=3,AS43,IF(AM43=2,AR43,AQ43))&lt;&gt;IF($C43="","",IF(OR(ISNUMBER(SEARCH("full",$C43)),UPPER(TRIM($C43))="FT",UPPER(TRIM($C43))="FTE"),"Full-Time",IF(OR(ISNUMBER(SEARCH("part",$C43)),UPPER(TRIM($C43))="PT",UPPER(TRIM($C43))="PTE"),"Part-Time",IF(OR(ISNUMBER(SEARCH("cas",$C43)),UPPER(TRIM($C43))="CAS"),"Casual","Unknown"))))),"EmploymentType does not match latest start date ("&amp;IF(AM43&gt;=3,AS43,IF(AM43=2,AR43,AQ43))&amp;"). ","")&amp;IF(AND(AM43&gt;=1,AN43&lt;&gt;$F43),"Earliest type date should equal StartDate. ","")&amp;IF(AND(AM43&gt;=2,AN43=AO43),"Two types start on the same date. ","")&amp;IF(AND(OR(ISNUMBER(SEARCH("part",$C43)),UPPER(TRIM($C43))="PT",UPPER(TRIM($C43))="PTE"),$P43=""),"Part-time: enter PT Hrs/Week (blank = 24+). ","")))</f>
        <v/>
      </c>
      <c r="AE43" s="17" t="str">
        <f aca="false">IF(AK43=0,"",O43-MAX(0,BL43-BQ43))</f>
        <v/>
      </c>
      <c r="AF43" s="14" t="str">
        <f aca="false">IF(OR(AK43=0,AE43="",N(AE43)=0,BM43=""),"",EDATE(AL43,BM43))</f>
        <v/>
      </c>
      <c r="AG43" s="17" t="str">
        <f aca="false">IF(AK43=0,"",MIN(BD43,BQ43))</f>
        <v/>
      </c>
      <c r="AH43" s="17" t="str">
        <f aca="false">IF(AK43=0,"",IF(NOT(LH_Ready),"",IF(BG43=0,0,MAX(0,ROUND(N(T43)+N(U43)-N43,2)))))</f>
        <v/>
      </c>
      <c r="AI43" s="12"/>
      <c r="AJ43" s="12"/>
      <c r="AK43" s="16" t="n">
        <f aca="false">IF(OR(LEN($A43&amp;$B43)=0,$F43=""),0,1)</f>
        <v>0</v>
      </c>
      <c r="AL43" s="14" t="str">
        <f aca="false">IF(AK43=0,"",IF(PreSchemeCounts="No",MAX(SchemeStart,IF($J43&lt;&gt;"",$J43,IF(OR(CasualCounts="Yes",COUNT($G43:$I43)=0),$F43,IF(Apply2026="No",IF($I43="",$F43,$I43),IF(COUNT($H43:$I43)=0,$F43,MIN($H43:$I43)))))),IF($J43&lt;&gt;"",$J43,IF(OR(CasualCounts="Yes",COUNT($G43:$I43)=0),$F43,IF(Apply2026="No",IF($I43="",$F43,$I43),IF(COUNT($H43:$I43)=0,$F43,MIN($H43:$I43)))))))</f>
        <v/>
      </c>
      <c r="AM43" s="16" t="str">
        <f aca="false">IF(AK43=0,"",COUNT($G43:$I43))</f>
        <v/>
      </c>
      <c r="AN43" s="14" t="str">
        <f aca="false">IF(AK43=0,"",IFERROR(SMALL($G43:$I43,1),""))</f>
        <v/>
      </c>
      <c r="AO43" s="14" t="str">
        <f aca="false">IF(AK43=0,"",IFERROR(SMALL($G43:$I43,2),""))</f>
        <v/>
      </c>
      <c r="AP43" s="14" t="str">
        <f aca="false">IF(AK43=0,"",IFERROR(SMALL($G43:$I43,3),""))</f>
        <v/>
      </c>
      <c r="AQ43" s="16" t="str">
        <f aca="false">IF(AK43=0,"",IF(AN43="","",IF(AN43=$H43,"Part-Time",IF(AN43=$I43,"Full-Time","Casual"))))</f>
        <v/>
      </c>
      <c r="AR43" s="16" t="str">
        <f aca="false">IF(AK43=0,"",IF(AO43="","",IF(AO43=$H43,"Part-Time",IF(AO43=$I43,"Full-Time","Casual"))))</f>
        <v/>
      </c>
      <c r="AS43" s="16" t="str">
        <f aca="false">IF(AK43=0,"",IF(AP43="","",IF(AP43=$H43,"Part-Time",IF(AP43=$I43,"Full-Time","Casual"))))</f>
        <v/>
      </c>
      <c r="AT43" s="16" t="str">
        <f aca="false">IF(AK43=0,"",IF(AM43=0,IF(OR(ISNUMBER(SEARCH("full",$C43)),UPPER(TRIM($C43))="FT",UPPER(TRIM($C43))="FTE"),"FT",IF(AND(OR(ISNUMBER(SEARCH("part",$C43)),UPPER(TRIM($C43))="PT",UPPER(TRIM($C43))="PTE"),Apply2026="Yes",OR($P43="",N($P43)&gt;=PT_MinHours)),"PT","None")),IF(OR(ISNUMBER(SEARCH("full",AQ43)),UPPER(TRIM(AQ43))="FT",UPPER(TRIM(AQ43))="FTE"),"FT",IF(AND(OR(ISNUMBER(SEARCH("part",AQ43)),UPPER(TRIM(AQ43))="PT",UPPER(TRIM(AQ43))="PTE"),Apply2026="Yes",OR($P43="",N($P43)&gt;=PT_MinHours)),"PT","None"))))</f>
        <v/>
      </c>
      <c r="AU43" s="16" t="str">
        <f aca="false">IF(AK43=0,"",IF(AM43&lt;2,"",IF(OR(ISNUMBER(SEARCH("full",AR43)),UPPER(TRIM(AR43))="FT",UPPER(TRIM(AR43))="FTE"),"FT",IF(AND(OR(ISNUMBER(SEARCH("part",AR43)),UPPER(TRIM(AR43))="PT",UPPER(TRIM(AR43))="PTE"),Apply2026="Yes",OR($P43="",N($P43)&gt;=PT_MinHours)),"PT","None"))))</f>
        <v/>
      </c>
      <c r="AV43" s="16" t="str">
        <f aca="false">IF(AK43=0,"",IF(AM43&lt;3,"",IF(OR(ISNUMBER(SEARCH("full",AS43)),UPPER(TRIM(AS43))="FT",UPPER(TRIM(AS43))="FTE"),"FT",IF(AND(OR(ISNUMBER(SEARCH("part",AS43)),UPPER(TRIM(AS43))="PT",UPPER(TRIM(AS43))="PTE"),Apply2026="Yes",OR($P43="",N($P43)&gt;=PT_MinHours)),"PT","None"))))</f>
        <v/>
      </c>
      <c r="AW43" s="16" t="str">
        <f aca="false">IF(AK43=0,"",IF(AND(AM43&gt;=3,AP43&lt;=AsOfDate),AV43,IF(AND(AM43&gt;=2,AO43&lt;=AsOfDate),AU43,AT43)))</f>
        <v/>
      </c>
      <c r="AX43" s="16" t="str">
        <f aca="false">IF(AK43=0,"",IF(AsOfDate&lt;AL43,-1,12*(YEAR(AsOfDate)-YEAR(AL43))+MONTH(AsOfDate)-MONTH(AL43)-IF(DAY(AsOfDate)&lt;MIN(DAY(AL43),DAY(EOMONTH(AsOfDate,0))),1,0)))</f>
        <v/>
      </c>
      <c r="AY43" s="16" t="str">
        <f aca="false">IF(AK43=0,"",IF(OR(AM43&lt;2,AO43&gt;AsOfDate),AX43,IF((AO43-1)&lt;AL43,-1,12*(YEAR((AO43-1))-YEAR(AL43))+MONTH((AO43-1))-MONTH(AL43)-IF(DAY((AO43-1))&lt;MIN(DAY(AL43),DAY(EOMONTH((AO43-1),0))),1,0))))</f>
        <v/>
      </c>
      <c r="AZ43" s="16" t="str">
        <f aca="false">IF(AK43=0,"",IF(OR(AM43&lt;3,AP43&gt;AsOfDate),AX43,IF((AP43-1)&lt;AL43,-1,12*(YEAR((AP43-1))-YEAR(AL43))+MONTH((AP43-1))-MONTH(AL43)-IF(DAY((AP43-1))&lt;MIN(DAY(AL43),DAY(EOMONTH((AP43-1),0))),1,0))))</f>
        <v/>
      </c>
      <c r="BA43" s="16" t="str">
        <f aca="false">IF(AK43=0,"",IF(PFYDate&lt;AL43,-1,12*(YEAR(PFYDate)-YEAR(AL43))+MONTH(PFYDate)-MONTH(AL43)-IF(DAY(PFYDate)&lt;MIN(DAY(AL43),DAY(EOMONTH(PFYDate,0))),1,0)))</f>
        <v/>
      </c>
      <c r="BB43" s="16" t="str">
        <f aca="false">IF(AK43=0,"",IF(OR(AM43&lt;2,AO43&gt;PFYDate),BA43,IF((AO43-1)&lt;AL43,-1,12*(YEAR((AO43-1))-YEAR(AL43))+MONTH((AO43-1))-MONTH(AL43)-IF(DAY((AO43-1))&lt;MIN(DAY(AL43),DAY(EOMONTH((AO43-1),0))),1,0))))</f>
        <v/>
      </c>
      <c r="BC43" s="16" t="str">
        <f aca="false">IF(AK43=0,"",IF(OR(AM43&lt;3,AP43&gt;PFYDate),BA43,IF((AP43-1)&lt;AL43,-1,12*(YEAR((AP43-1))-YEAR(AL43))+MONTH((AP43-1))-MONTH(AL43)-IF(DAY((AP43-1))&lt;MIN(DAY(AL43),DAY(EOMONTH((AP43-1),0))),1,0))))</f>
        <v/>
      </c>
      <c r="BD43" s="16" t="str">
        <f aca="false">IF(AK43=0,"",IF(AT43="FT",IF(AY43&lt;FT_First,0,IF(AY43&lt;FT_Y5,1+INT((AY43-FT_First)/FT_Int1),FT_PreY5+FT_PerYear*INT((AY43-FT_Y5)/12)+FT_AnnivDays+INT(MOD(AY43-FT_Y5,12)/FT_Int2)-IF(EDATE(AL43,FT_Y5)&lt;PolicyEff,FT_AnnivDays-1,0))),IF(AT43="PT",IF(AY43&lt;PT_First,0,1+INT((AY43-PT_First)/PT_Int)),0))+IF(AND(AM43&gt;=2,AO43&lt;=AsOfDate),IF(AU43="FT",IF(AZ43&lt;FT_First,0,IF(AZ43&lt;FT_Y5,1+INT((AZ43-FT_First)/FT_Int1),FT_PreY5+FT_PerYear*INT((AZ43-FT_Y5)/12)+FT_AnnivDays+INT(MOD(AZ43-FT_Y5,12)/FT_Int2)-IF(EDATE(AL43,FT_Y5)&lt;PolicyEff,FT_AnnivDays-1,0))),IF(AU43="PT",IF(AZ43&lt;PT_First,0,1+INT((AZ43-PT_First)/PT_Int)),0))-IF(AU43="FT",IF(AY43&lt;FT_First,0,IF(AY43&lt;FT_Y5,1+INT((AY43-FT_First)/FT_Int1),FT_PreY5+FT_PerYear*INT((AY43-FT_Y5)/12)+FT_AnnivDays+INT(MOD(AY43-FT_Y5,12)/FT_Int2)-IF(EDATE(AL43,FT_Y5)&lt;PolicyEff,FT_AnnivDays-1,0))),IF(AU43="PT",IF(AY43&lt;PT_First,0,1+INT((AY43-PT_First)/PT_Int)),0)),0)+IF(AND(AM43&gt;=3,AP43&lt;=AsOfDate),IF(AV43="FT",IF(AX43&lt;FT_First,0,IF(AX43&lt;FT_Y5,1+INT((AX43-FT_First)/FT_Int1),FT_PreY5+FT_PerYear*INT((AX43-FT_Y5)/12)+FT_AnnivDays+INT(MOD(AX43-FT_Y5,12)/FT_Int2)-IF(EDATE(AL43,FT_Y5)&lt;PolicyEff,FT_AnnivDays-1,0))),IF(AV43="PT",IF(AX43&lt;PT_First,0,1+INT((AX43-PT_First)/PT_Int)),0))-IF(AV43="FT",IF(AZ43&lt;FT_First,0,IF(AZ43&lt;FT_Y5,1+INT((AZ43-FT_First)/FT_Int1),FT_PreY5+FT_PerYear*INT((AZ43-FT_Y5)/12)+FT_AnnivDays+INT(MOD(AZ43-FT_Y5,12)/FT_Int2)-IF(EDATE(AL43,FT_Y5)&lt;PolicyEff,FT_AnnivDays-1,0))),IF(AV43="PT",IF(AZ43&lt;PT_First,0,1+INT((AZ43-PT_First)/PT_Int)),0)),0))</f>
        <v/>
      </c>
      <c r="BE43" s="16" t="str">
        <f aca="false">IF(AK43=0,"",IF(AT43="FT",IF(BB43&lt;FT_First,0,IF(BB43&lt;FT_Y5,1+INT((BB43-FT_First)/FT_Int1),FT_PreY5+FT_PerYear*INT((BB43-FT_Y5)/12)+FT_AnnivDays+INT(MOD(BB43-FT_Y5,12)/FT_Int2)-IF(EDATE(AL43,FT_Y5)&lt;PolicyEff,FT_AnnivDays-1,0))),IF(AT43="PT",IF(BB43&lt;PT_First,0,1+INT((BB43-PT_First)/PT_Int)),0))+IF(AND(AM43&gt;=2,AO43&lt;=PFYDate),IF(AU43="FT",IF(BC43&lt;FT_First,0,IF(BC43&lt;FT_Y5,1+INT((BC43-FT_First)/FT_Int1),FT_PreY5+FT_PerYear*INT((BC43-FT_Y5)/12)+FT_AnnivDays+INT(MOD(BC43-FT_Y5,12)/FT_Int2)-IF(EDATE(AL43,FT_Y5)&lt;PolicyEff,FT_AnnivDays-1,0))),IF(AU43="PT",IF(BC43&lt;PT_First,0,1+INT((BC43-PT_First)/PT_Int)),0))-IF(AU43="FT",IF(BB43&lt;FT_First,0,IF(BB43&lt;FT_Y5,1+INT((BB43-FT_First)/FT_Int1),FT_PreY5+FT_PerYear*INT((BB43-FT_Y5)/12)+FT_AnnivDays+INT(MOD(BB43-FT_Y5,12)/FT_Int2)-IF(EDATE(AL43,FT_Y5)&lt;PolicyEff,FT_AnnivDays-1,0))),IF(AU43="PT",IF(BB43&lt;PT_First,0,1+INT((BB43-PT_First)/PT_Int)),0)),0)+IF(AND(AM43&gt;=3,AP43&lt;=PFYDate),IF(AV43="FT",IF(BA43&lt;FT_First,0,IF(BA43&lt;FT_Y5,1+INT((BA43-FT_First)/FT_Int1),FT_PreY5+FT_PerYear*INT((BA43-FT_Y5)/12)+FT_AnnivDays+INT(MOD(BA43-FT_Y5,12)/FT_Int2)-IF(EDATE(AL43,FT_Y5)&lt;PolicyEff,FT_AnnivDays-1,0))),IF(AV43="PT",IF(BA43&lt;PT_First,0,1+INT((BA43-PT_First)/PT_Int)),0))-IF(AV43="FT",IF(BC43&lt;FT_First,0,IF(BC43&lt;FT_Y5,1+INT((BC43-FT_First)/FT_Int1),FT_PreY5+FT_PerYear*INT((BC43-FT_Y5)/12)+FT_AnnivDays+INT(MOD(BC43-FT_Y5,12)/FT_Int2)-IF(EDATE(AL43,FT_Y5)&lt;PolicyEff,FT_AnnivDays-1,0))),IF(AV43="PT",IF(BC43&lt;PT_First,0,1+INT((BC43-PT_First)/PT_Int)),0)),0))</f>
        <v/>
      </c>
      <c r="BF43" s="16" t="str">
        <f aca="false">IF(AK43=0,"",IF(AW43="FT",IF(AX43&lt;FT_First,FT_First,IF(AX43&lt;FT_Y5,MIN(FT_Y5,FT_First+FT_Int1*(INT((AX43-FT_First)/FT_Int1)+1)),FT_Y5+12*INT((AX43-FT_Y5)/12)+FT_Int2*(INT(MOD(AX43-FT_Y5,12)/FT_Int2)+1))),IF(AW43="PT",IF(AX43&lt;PT_First,PT_First,PT_First+PT_Int*(INT((AX43-PT_First)/PT_Int)+1)),"")))</f>
        <v/>
      </c>
      <c r="BG43" s="16" t="str">
        <f aca="false">IF(AK43=0,"",IF(NOT(LH_Ready),0,COUNTIFS(INDEX(LH_Data,0,LH_ColFirst),$A43,INDEX(LH_Data,0,LH_ColSur),$B43,INDEX(LH_Data,0,LH_ColCat),BonusCat)))</f>
        <v/>
      </c>
      <c r="BH43" s="16" t="str">
        <f aca="false">IF(AK43=0,"",IF(OR(NOT(LH_Ready),BG43=0),0,SUMPRODUCT(MAX((INDEX(LH_Data,0,LH_ColFirst)=$A43)*(INDEX(LH_Data,0,LH_ColSur)=$B43)*(INDEX(LH_Data,0,LH_ColCat)=BonusCat)*ROW(LH_Data)))))</f>
        <v/>
      </c>
      <c r="BI43" s="16" t="str">
        <f aca="false">IF(AK43=0,"",IF(EOMONTH(AsOfDate,-1)&lt;AL43,-1,12*(YEAR(EOMONTH(AsOfDate,-1))-YEAR(AL43))+MONTH(EOMONTH(AsOfDate,-1))-MONTH(AL43)-IF(DAY(EOMONTH(AsOfDate,-1))&lt;MIN(DAY(AL43),DAY(EOMONTH(EOMONTH(AsOfDate,-1),0))),1,0)))</f>
        <v/>
      </c>
      <c r="BJ43" s="16" t="str">
        <f aca="false">IF(AK43=0,"",IF(OR(AM43&lt;2,AO43&gt;EOMONTH(AsOfDate,-1)),BI43,IF((AO43-1)&lt;AL43,-1,12*(YEAR((AO43-1))-YEAR(AL43))+MONTH((AO43-1))-MONTH(AL43)-IF(DAY((AO43-1))&lt;MIN(DAY(AL43),DAY(EOMONTH((AO43-1),0))),1,0))))</f>
        <v/>
      </c>
      <c r="BK43" s="16" t="str">
        <f aca="false">IF(AK43=0,"",IF(OR(AM43&lt;3,AP43&gt;EOMONTH(AsOfDate,-1)),BI43,IF((AP43-1)&lt;AL43,-1,12*(YEAR((AP43-1))-YEAR(AL43))+MONTH((AP43-1))-MONTH(AL43)-IF(DAY((AP43-1))&lt;MIN(DAY(AL43),DAY(EOMONTH((AP43-1),0))),1,0))))</f>
        <v/>
      </c>
      <c r="BL43" s="16" t="str">
        <f aca="false">IF(AK43=0,"",IF(AT43="FT",IF(BJ43&lt;FT_First,0,IF(BJ43&lt;FT_Y5,1+INT((BJ43-FT_First)/FT_Int1),FT_PreY5+FT_PerYear*INT((BJ43-FT_Y5)/12)+FT_AnnivDays+INT(MOD(BJ43-FT_Y5,12)/FT_Int2)-IF(EDATE(AL43,FT_Y5)&lt;PolicyEff,FT_AnnivDays-1,0))),IF(AT43="PT",IF(BJ43&lt;PT_First,0,1+INT((BJ43-PT_First)/PT_Int)),0))+IF(AND(AM43&gt;=2,AO43&lt;=EOMONTH(AsOfDate,-1)),IF(AU43="FT",IF(BK43&lt;FT_First,0,IF(BK43&lt;FT_Y5,1+INT((BK43-FT_First)/FT_Int1),FT_PreY5+FT_PerYear*INT((BK43-FT_Y5)/12)+FT_AnnivDays+INT(MOD(BK43-FT_Y5,12)/FT_Int2)-IF(EDATE(AL43,FT_Y5)&lt;PolicyEff,FT_AnnivDays-1,0))),IF(AU43="PT",IF(BK43&lt;PT_First,0,1+INT((BK43-PT_First)/PT_Int)),0))-IF(AU43="FT",IF(BJ43&lt;FT_First,0,IF(BJ43&lt;FT_Y5,1+INT((BJ43-FT_First)/FT_Int1),FT_PreY5+FT_PerYear*INT((BJ43-FT_Y5)/12)+FT_AnnivDays+INT(MOD(BJ43-FT_Y5,12)/FT_Int2)-IF(EDATE(AL43,FT_Y5)&lt;PolicyEff,FT_AnnivDays-1,0))),IF(AU43="PT",IF(BJ43&lt;PT_First,0,1+INT((BJ43-PT_First)/PT_Int)),0)),0)+IF(AND(AM43&gt;=3,AP43&lt;=EOMONTH(AsOfDate,-1)),IF(AV43="FT",IF(BI43&lt;FT_First,0,IF(BI43&lt;FT_Y5,1+INT((BI43-FT_First)/FT_Int1),FT_PreY5+FT_PerYear*INT((BI43-FT_Y5)/12)+FT_AnnivDays+INT(MOD(BI43-FT_Y5,12)/FT_Int2)-IF(EDATE(AL43,FT_Y5)&lt;PolicyEff,FT_AnnivDays-1,0))),IF(AV43="PT",IF(BI43&lt;PT_First,0,1+INT((BI43-PT_First)/PT_Int)),0))-IF(AV43="FT",IF(BK43&lt;FT_First,0,IF(BK43&lt;FT_Y5,1+INT((BK43-FT_First)/FT_Int1),FT_PreY5+FT_PerYear*INT((BK43-FT_Y5)/12)+FT_AnnivDays+INT(MOD(BK43-FT_Y5,12)/FT_Int2)-IF(EDATE(AL43,FT_Y5)&lt;PolicyEff,FT_AnnivDays-1,0))),IF(AV43="PT",IF(BK43&lt;PT_First,0,1+INT((BK43-PT_First)/PT_Int)),0)),0))</f>
        <v/>
      </c>
      <c r="BM43" s="16" t="str">
        <f aca="false">IF(AK43=0,"",IF(AW43="FT",IF(AX43&lt;FT_First,"",IF(AX43&lt;FT_Y5,FT_First+FT_Int1*INT((AX43-FT_First)/FT_Int1),FT_Y5+FT_Int2*INT((AX43-FT_Y5)/FT_Int2))),IF(AW43="PT",IF(AX43&lt;PT_First,"",PT_First+PT_Int*INT((AX43-PT_First)/PT_Int)),"")))</f>
        <v/>
      </c>
      <c r="BN43" s="16" t="str">
        <f aca="false">IF(AK43=0,"",IF((SchemeStart-1)&lt;AL43,-1,12*(YEAR((SchemeStart-1))-YEAR(AL43))+MONTH((SchemeStart-1))-MONTH(AL43)-IF(DAY((SchemeStart-1))&lt;MIN(DAY(AL43),DAY(EOMONTH((SchemeStart-1),0))),1,0)))</f>
        <v/>
      </c>
      <c r="BO43" s="16" t="str">
        <f aca="false">IF(AK43=0,"",IF(OR(AM43&lt;2,AO43&gt;(SchemeStart-1)),BN43,IF((AO43-1)&lt;AL43,-1,12*(YEAR((AO43-1))-YEAR(AL43))+MONTH((AO43-1))-MONTH(AL43)-IF(DAY((AO43-1))&lt;MIN(DAY(AL43),DAY(EOMONTH((AO43-1),0))),1,0))))</f>
        <v/>
      </c>
      <c r="BP43" s="16" t="str">
        <f aca="false">IF(AK43=0,"",IF(OR(AM43&lt;3,AP43&gt;(SchemeStart-1)),BN43,IF((AP43-1)&lt;AL43,-1,12*(YEAR((AP43-1))-YEAR(AL43))+MONTH((AP43-1))-MONTH(AL43)-IF(DAY((AP43-1))&lt;MIN(DAY(AL43),DAY(EOMONTH((AP43-1),0))),1,0))))</f>
        <v/>
      </c>
      <c r="BQ43" s="16" t="str">
        <f aca="false">IF(AK43=0,"",IF(AT43="FT",IF(BO43&lt;FT_First,0,IF(BO43&lt;FT_Y5,1+INT((BO43-FT_First)/FT_Int1),FT_PreY5+FT_PerYear*INT((BO43-FT_Y5)/12)+FT_AnnivDays+INT(MOD(BO43-FT_Y5,12)/FT_Int2)-IF(EDATE(AL43,FT_Y5)&lt;PolicyEff,FT_AnnivDays-1,0))),IF(AT43="PT",IF(BO43&lt;PT_First,0,1+INT((BO43-PT_First)/PT_Int)),0))+IF(AND(AM43&gt;=2,AO43&lt;=(SchemeStart-1)),IF(AU43="FT",IF(BP43&lt;FT_First,0,IF(BP43&lt;FT_Y5,1+INT((BP43-FT_First)/FT_Int1),FT_PreY5+FT_PerYear*INT((BP43-FT_Y5)/12)+FT_AnnivDays+INT(MOD(BP43-FT_Y5,12)/FT_Int2)-IF(EDATE(AL43,FT_Y5)&lt;PolicyEff,FT_AnnivDays-1,0))),IF(AU43="PT",IF(BP43&lt;PT_First,0,1+INT((BP43-PT_First)/PT_Int)),0))-IF(AU43="FT",IF(BO43&lt;FT_First,0,IF(BO43&lt;FT_Y5,1+INT((BO43-FT_First)/FT_Int1),FT_PreY5+FT_PerYear*INT((BO43-FT_Y5)/12)+FT_AnnivDays+INT(MOD(BO43-FT_Y5,12)/FT_Int2)-IF(EDATE(AL43,FT_Y5)&lt;PolicyEff,FT_AnnivDays-1,0))),IF(AU43="PT",IF(BO43&lt;PT_First,0,1+INT((BO43-PT_First)/PT_Int)),0)),0)+IF(AND(AM43&gt;=3,AP43&lt;=(SchemeStart-1)),IF(AV43="FT",IF(BN43&lt;FT_First,0,IF(BN43&lt;FT_Y5,1+INT((BN43-FT_First)/FT_Int1),FT_PreY5+FT_PerYear*INT((BN43-FT_Y5)/12)+FT_AnnivDays+INT(MOD(BN43-FT_Y5,12)/FT_Int2)-IF(EDATE(AL43,FT_Y5)&lt;PolicyEff,FT_AnnivDays-1,0))),IF(AV43="PT",IF(BN43&lt;PT_First,0,1+INT((BN43-PT_First)/PT_Int)),0))-IF(AV43="FT",IF(BP43&lt;FT_First,0,IF(BP43&lt;FT_Y5,1+INT((BP43-FT_First)/FT_Int1),FT_PreY5+FT_PerYear*INT((BP43-FT_Y5)/12)+FT_AnnivDays+INT(MOD(BP43-FT_Y5,12)/FT_Int2)-IF(EDATE(AL43,FT_Y5)&lt;PolicyEff,FT_AnnivDays-1,0))),IF(AV43="PT",IF(BP43&lt;PT_First,0,1+INT((BP43-PT_First)/PT_Int)),0)),0))</f>
        <v/>
      </c>
      <c r="BR43" s="0" t="str">
        <f aca="false">IF(LEN($A43&amp;$B43)=0,"",$A43&amp;" "&amp;$B43)</f>
        <v/>
      </c>
    </row>
    <row r="44" customFormat="false" ht="15" hidden="false" customHeight="false" outlineLevel="0" collapsed="false">
      <c r="A44" s="12"/>
      <c r="B44" s="12"/>
      <c r="C44" s="12"/>
      <c r="D44" s="13"/>
      <c r="E44" s="14" t="str">
        <f aca="false">IF(OR(AK44=0,$D44=""),"",DATE(YEAR(AsOfDate)+IF(DATE(YEAR(AsOfDate),MONTH($D44),DAY($D44))&lt;=AsOfDate,1,0),MONTH($D44),DAY($D44)))</f>
        <v/>
      </c>
      <c r="F44" s="13"/>
      <c r="G44" s="13"/>
      <c r="H44" s="13"/>
      <c r="I44" s="13"/>
      <c r="J44" s="13"/>
      <c r="K44" s="14" t="str">
        <f aca="false">IF(AK44=0,"",DATE(YEAR(AsOfDate)+IF(DATE(YEAR(AsOfDate),MONTH(AL44),DAY(AL44))&lt;=AsOfDate,1,0),MONTH(AL44),DAY(AL44)))</f>
        <v/>
      </c>
      <c r="L44" s="15" t="str">
        <f aca="false">IF(AK44=0,"",ROUND((AsOfDate-AL44)/365.25,1))</f>
        <v/>
      </c>
      <c r="M44" s="16" t="str">
        <f aca="false">IF(AK44=0,"",IF(AsOfDate&lt;AL44,"-",DATEDIF(AL44,AsOfDate,"y")&amp;"y "&amp;DATEDIF(AL44,AsOfDate,"ym")&amp;"m "&amp;DATEDIF(AL44,AsOfDate,"md")&amp;"d"))</f>
        <v/>
      </c>
      <c r="N44" s="17" t="str">
        <f aca="false">IF(AK44=0,"",O44*HoursPerDay)</f>
        <v/>
      </c>
      <c r="O44" s="17" t="str">
        <f aca="false">IF(AK44=0,"",MAX(0,BD44-BQ44))</f>
        <v/>
      </c>
      <c r="P44" s="18"/>
      <c r="Q44" s="16" t="str">
        <f aca="false">IF(AK44=0,"",IF(AM44&lt;2,"",AQ44&amp;" to "&amp;AR44&amp;" on "&amp;TEXT(AO44,"dd/mm/yyyy")&amp;IF(AO44&gt;AsOfDate," (future)",IF(AT44=AU44,"",IF(AU44="None"," - STOPPED accruing",IF(AT44="None"," - commencement for Bonus Leave"," - pathway changed"))))&amp;IF(AM44&lt;3,"","; "&amp;AR44&amp;" to "&amp;AS44&amp;" on "&amp;TEXT(AP44,"dd/mm/yyyy")&amp;IF(AP44&gt;AsOfDate," (future)",IF(AU44=AV44,"",IF(AV44="None"," - STOPPED accruing",IF(AU44="None"," - commencement for Bonus Leave"," - pathway changed")))))))</f>
        <v/>
      </c>
      <c r="R44" s="16" t="str">
        <f aca="false">IF(AK44=0,"",IF(AW44="None",IF(O44&gt;0,"No longer accruing","Not eligible - "&amp;IF(AND(OR(ISNUMBER(SEARCH("part",$C44)),UPPER(TRIM($C44))="PT",UPPER(TRIM($C44))="PTE"),Apply2026="No"),"part-time (scheme is full-time only)",IF(AND(OR(ISNUMBER(SEARCH("part",$C44)),UPPER(TRIM($C44))="PT",UPPER(TRIM($C44))="PTE"),$P44&lt;&gt;"",N($P44)&lt;PT_MinHours),"under "&amp;PT_MinHours&amp;" hrs",IF(IF($C44="","",IF(OR(ISNUMBER(SEARCH("full",$C44)),UPPER(TRIM($C44))="FT",UPPER(TRIM($C44))="FTE"),"Full-Time",IF(OR(ISNUMBER(SEARCH("part",$C44)),UPPER(TRIM($C44))="PT",UPPER(TRIM($C44))="PTE"),"Part-Time",IF(OR(ISNUMBER(SEARCH("cas",$C44)),UPPER(TRIM($C44))="CAS"),"Casual","Unknown"))))="Unknown","type not recognised",$C44)))),IF(O44&gt;0,"Yes - Accrual Required","Not yet - from "&amp;TEXT(S44,"dd/mm/yyyy"))))</f>
        <v/>
      </c>
      <c r="S44" s="14" t="str">
        <f aca="false">IF(AK44=0,"",IF(AW44="None","",EDATE(AL44,BF44)))</f>
        <v/>
      </c>
      <c r="T44" s="17" t="str">
        <f aca="false">IF(AK44=0,"",IF(NOT(LH_Ready),"",IF($F44&gt;PFYDate,0,IF(LH_ColPeriod=0,W44-U44+V44,SUMIFS(INDEX(LH_Data,0,LH_ColAcc),INDEX(LH_Data,0,LH_ColFirst),$A44,INDEX(LH_Data,0,LH_ColSur),$B44,INDEX(LH_Data,0,LH_ColCat),BonusCat,INDEX(LH_Data,0,LH_ColPeriod),LH_OpenLabel)*UnitFactor))))</f>
        <v/>
      </c>
      <c r="U44" s="17" t="str">
        <f aca="false">IF(AK44=0,"",IF(NOT(LH_Ready),"",SUMIFS(INDEX(LH_Data,0,LH_ColAcc),INDEX(LH_Data,0,LH_ColFirst),$A44,INDEX(LH_Data,0,LH_ColSur),$B44,INDEX(LH_Data,0,LH_ColCat),BonusCat,INDEX(LH_Data,0,LH_ColStart),"&gt;="&amp;AL44)*UnitFactor))</f>
        <v/>
      </c>
      <c r="V44" s="17" t="str">
        <f aca="false">IF(AK44=0,"",IF(NOT(LH_Ready),"",SUMIFS(INDEX(LH_Data,0,LH_ColTaken),INDEX(LH_Data,0,LH_ColFirst),$A44,INDEX(LH_Data,0,LH_ColSur),$B44,INDEX(LH_Data,0,LH_ColCat),BonusCat,INDEX(LH_Data,0,LH_ColStart),"&gt;="&amp;AL44)*UnitFactor))</f>
        <v/>
      </c>
      <c r="W44" s="17" t="str">
        <f aca="false">IF(AK44=0,"",IF(NOT(LH_Ready),"",IF(BH44=0,0,INDEX(INDEX(LH_Data,0,LH_ColClose),BH44-1)*UnitFactor)))</f>
        <v/>
      </c>
      <c r="X44" s="17" t="str">
        <f aca="false">IF(AK44=0,"",(MAX(0,BD44-BQ44)-MAX(0,BE44-BQ44))*HoursPerDay)</f>
        <v/>
      </c>
      <c r="Y44" s="17" t="str">
        <f aca="false">IF(AK44=0,"",IF(NOT(LH_Ready),"",IF($AI44="Yes",N(AE44)*HoursPerDay-SUMIFS(INDEX(LH_Data,0,LH_ColAcc),INDEX(LH_Data,0,LH_ColFirst),$A44,INDEX(LH_Data,0,LH_ColSur),$B44,INDEX(LH_Data,0,LH_ColCat),BonusCat,INDEX(LH_Data,0,LH_ColStart),"&gt;="&amp;(EOMONTH(AsOfDate,-1)+1),INDEX(LH_Data,0,LH_ColStart),"&lt;="&amp;AsOfDate)*UnitFactor,IF(BG44=0,N44,N44-N(T44)-N(U44)))))</f>
        <v/>
      </c>
      <c r="Z44" s="16" t="str">
        <f aca="false">IF(OR(AK44=0,Y44=""),"",IF(Y44&gt;0,"Yes","No"))</f>
        <v/>
      </c>
      <c r="AA44" s="16" t="str">
        <f aca="false">IF(AK44=0,IF(LEN($A44&amp;$B44)=0,"","FIX INPUT - StartDate missing"),IF(AD44&lt;&gt;"","FIX INPUT - "&amp;AD44,IF(NOT(LH_Ready),"Paste Leave History export (Settings must show YES)",IF(AND($AI44="Yes",Y44&lt;=0),"OK - EH balance accepted to date"&amp;IF(N(AH44)&gt;0," (EH holds "&amp;AH44&amp;" hrs over the scheme)","")&amp;"; next day "&amp;TEXT(S44,"dd mmm yy")&amp;IF(N(AE44)&gt;0," ("&amp;AE44&amp;" day(s) for "&amp;UPPER(TEXT(AsOfDate,"mmm yyyy"))&amp;" already in EH)",""),IF(Y44&gt;0,"ACCRUE "&amp;ROUND(Y44,2)&amp;" hrs ("&amp;ROUND(Y44/HoursPerDay,2)&amp;" days): "&amp;IF(N(AE44)&gt;0,AE44&amp;" day(s) for "&amp;UPPER(TEXT(AsOfDate,"mmm yyyy"))&amp;" (milestone "&amp;UPPER(TEXT(AF44,"dd mmm yy"))&amp;")"&amp;IF(Y44/HoursPerDay&gt;AE44+0.001," + "&amp;ROUND(Y44/HoursPerDay-AE44,2)&amp;" day(s) catch-up from earlier months",""),"all catch-up from earlier months, nothing new this month")&amp;IF(BG44=0,"; no Bonus Leave in EH yet",""),IF(Y44&lt;0,"CHECK - EH accrued "&amp;ROUND(-Y44,2)&amp;" hrs more than policy since commencement",IF(N(W44)&gt;O44*HoursPerDay+0.01,"CHECK - EH balance "&amp;ROUND(W44-O44*HoursPerDay,2)&amp;" hrs more than policy entitlement",IF(O44&gt;0,"OK - nothing to add"&amp;IF(N(AE44)&gt;0," ("&amp;AE44&amp;" day(s) for "&amp;UPPER(TEXT(AsOfDate,"mmm yyyy"))&amp;" already in EH)",""),IF(AW44="None",R44,"Not yet - first day on "&amp;TEXT(S44,"dd/mm/yyyy"))))))))))</f>
        <v/>
      </c>
      <c r="AB44" s="17" t="str">
        <f aca="false">IF(OR(AK44=0,T44=""),"",MAX(0,BE44-BQ44)*HoursPerDay-T44)</f>
        <v/>
      </c>
      <c r="AC44" s="16" t="str">
        <f aca="false">IF(AK44=0,"",BG44)</f>
        <v/>
      </c>
      <c r="AD44" s="16" t="str">
        <f aca="false">IF(AK44=0,"",TRIM(IF(OR(ISTEXT($F44),ISTEXT($H44),ISTEXT($I44),ISTEXT($G44),ISTEXT($J44),ISTEXT($D44)),"A date is typed as text - retype it as dd/mm/yyyy. ","")&amp;IF(IF($C44="","",IF(OR(ISNUMBER(SEARCH("full",$C44)),UPPER(TRIM($C44))="FT",UPPER(TRIM($C44))="FTE"),"Full-Time",IF(OR(ISNUMBER(SEARCH("part",$C44)),UPPER(TRIM($C44))="PT",UPPER(TRIM($C44))="PTE"),"Part-Time",IF(OR(ISNUMBER(SEARCH("cas",$C44)),UPPER(TRIM($C44))="CAS"),"Casual","Unknown"))))="Unknown","EmploymentType not recognised - use Full-Time, Part-Time or Casual. ","")&amp;IF(AND(AM44&gt;=1,IF(AM44&gt;=3,AS44,IF(AM44=2,AR44,AQ44))&lt;&gt;IF($C44="","",IF(OR(ISNUMBER(SEARCH("full",$C44)),UPPER(TRIM($C44))="FT",UPPER(TRIM($C44))="FTE"),"Full-Time",IF(OR(ISNUMBER(SEARCH("part",$C44)),UPPER(TRIM($C44))="PT",UPPER(TRIM($C44))="PTE"),"Part-Time",IF(OR(ISNUMBER(SEARCH("cas",$C44)),UPPER(TRIM($C44))="CAS"),"Casual","Unknown"))))),"EmploymentType does not match latest start date ("&amp;IF(AM44&gt;=3,AS44,IF(AM44=2,AR44,AQ44))&amp;"). ","")&amp;IF(AND(AM44&gt;=1,AN44&lt;&gt;$F44),"Earliest type date should equal StartDate. ","")&amp;IF(AND(AM44&gt;=2,AN44=AO44),"Two types start on the same date. ","")&amp;IF(AND(OR(ISNUMBER(SEARCH("part",$C44)),UPPER(TRIM($C44))="PT",UPPER(TRIM($C44))="PTE"),$P44=""),"Part-time: enter PT Hrs/Week (blank = 24+). ","")))</f>
        <v/>
      </c>
      <c r="AE44" s="17" t="str">
        <f aca="false">IF(AK44=0,"",O44-MAX(0,BL44-BQ44))</f>
        <v/>
      </c>
      <c r="AF44" s="14" t="str">
        <f aca="false">IF(OR(AK44=0,AE44="",N(AE44)=0,BM44=""),"",EDATE(AL44,BM44))</f>
        <v/>
      </c>
      <c r="AG44" s="17" t="str">
        <f aca="false">IF(AK44=0,"",MIN(BD44,BQ44))</f>
        <v/>
      </c>
      <c r="AH44" s="17" t="str">
        <f aca="false">IF(AK44=0,"",IF(NOT(LH_Ready),"",IF(BG44=0,0,MAX(0,ROUND(N(T44)+N(U44)-N44,2)))))</f>
        <v/>
      </c>
      <c r="AI44" s="12"/>
      <c r="AJ44" s="12"/>
      <c r="AK44" s="16" t="n">
        <f aca="false">IF(OR(LEN($A44&amp;$B44)=0,$F44=""),0,1)</f>
        <v>0</v>
      </c>
      <c r="AL44" s="14" t="str">
        <f aca="false">IF(AK44=0,"",IF(PreSchemeCounts="No",MAX(SchemeStart,IF($J44&lt;&gt;"",$J44,IF(OR(CasualCounts="Yes",COUNT($G44:$I44)=0),$F44,IF(Apply2026="No",IF($I44="",$F44,$I44),IF(COUNT($H44:$I44)=0,$F44,MIN($H44:$I44)))))),IF($J44&lt;&gt;"",$J44,IF(OR(CasualCounts="Yes",COUNT($G44:$I44)=0),$F44,IF(Apply2026="No",IF($I44="",$F44,$I44),IF(COUNT($H44:$I44)=0,$F44,MIN($H44:$I44)))))))</f>
        <v/>
      </c>
      <c r="AM44" s="16" t="str">
        <f aca="false">IF(AK44=0,"",COUNT($G44:$I44))</f>
        <v/>
      </c>
      <c r="AN44" s="14" t="str">
        <f aca="false">IF(AK44=0,"",IFERROR(SMALL($G44:$I44,1),""))</f>
        <v/>
      </c>
      <c r="AO44" s="14" t="str">
        <f aca="false">IF(AK44=0,"",IFERROR(SMALL($G44:$I44,2),""))</f>
        <v/>
      </c>
      <c r="AP44" s="14" t="str">
        <f aca="false">IF(AK44=0,"",IFERROR(SMALL($G44:$I44,3),""))</f>
        <v/>
      </c>
      <c r="AQ44" s="16" t="str">
        <f aca="false">IF(AK44=0,"",IF(AN44="","",IF(AN44=$H44,"Part-Time",IF(AN44=$I44,"Full-Time","Casual"))))</f>
        <v/>
      </c>
      <c r="AR44" s="16" t="str">
        <f aca="false">IF(AK44=0,"",IF(AO44="","",IF(AO44=$H44,"Part-Time",IF(AO44=$I44,"Full-Time","Casual"))))</f>
        <v/>
      </c>
      <c r="AS44" s="16" t="str">
        <f aca="false">IF(AK44=0,"",IF(AP44="","",IF(AP44=$H44,"Part-Time",IF(AP44=$I44,"Full-Time","Casual"))))</f>
        <v/>
      </c>
      <c r="AT44" s="16" t="str">
        <f aca="false">IF(AK44=0,"",IF(AM44=0,IF(OR(ISNUMBER(SEARCH("full",$C44)),UPPER(TRIM($C44))="FT",UPPER(TRIM($C44))="FTE"),"FT",IF(AND(OR(ISNUMBER(SEARCH("part",$C44)),UPPER(TRIM($C44))="PT",UPPER(TRIM($C44))="PTE"),Apply2026="Yes",OR($P44="",N($P44)&gt;=PT_MinHours)),"PT","None")),IF(OR(ISNUMBER(SEARCH("full",AQ44)),UPPER(TRIM(AQ44))="FT",UPPER(TRIM(AQ44))="FTE"),"FT",IF(AND(OR(ISNUMBER(SEARCH("part",AQ44)),UPPER(TRIM(AQ44))="PT",UPPER(TRIM(AQ44))="PTE"),Apply2026="Yes",OR($P44="",N($P44)&gt;=PT_MinHours)),"PT","None"))))</f>
        <v/>
      </c>
      <c r="AU44" s="16" t="str">
        <f aca="false">IF(AK44=0,"",IF(AM44&lt;2,"",IF(OR(ISNUMBER(SEARCH("full",AR44)),UPPER(TRIM(AR44))="FT",UPPER(TRIM(AR44))="FTE"),"FT",IF(AND(OR(ISNUMBER(SEARCH("part",AR44)),UPPER(TRIM(AR44))="PT",UPPER(TRIM(AR44))="PTE"),Apply2026="Yes",OR($P44="",N($P44)&gt;=PT_MinHours)),"PT","None"))))</f>
        <v/>
      </c>
      <c r="AV44" s="16" t="str">
        <f aca="false">IF(AK44=0,"",IF(AM44&lt;3,"",IF(OR(ISNUMBER(SEARCH("full",AS44)),UPPER(TRIM(AS44))="FT",UPPER(TRIM(AS44))="FTE"),"FT",IF(AND(OR(ISNUMBER(SEARCH("part",AS44)),UPPER(TRIM(AS44))="PT",UPPER(TRIM(AS44))="PTE"),Apply2026="Yes",OR($P44="",N($P44)&gt;=PT_MinHours)),"PT","None"))))</f>
        <v/>
      </c>
      <c r="AW44" s="16" t="str">
        <f aca="false">IF(AK44=0,"",IF(AND(AM44&gt;=3,AP44&lt;=AsOfDate),AV44,IF(AND(AM44&gt;=2,AO44&lt;=AsOfDate),AU44,AT44)))</f>
        <v/>
      </c>
      <c r="AX44" s="16" t="str">
        <f aca="false">IF(AK44=0,"",IF(AsOfDate&lt;AL44,-1,12*(YEAR(AsOfDate)-YEAR(AL44))+MONTH(AsOfDate)-MONTH(AL44)-IF(DAY(AsOfDate)&lt;MIN(DAY(AL44),DAY(EOMONTH(AsOfDate,0))),1,0)))</f>
        <v/>
      </c>
      <c r="AY44" s="16" t="str">
        <f aca="false">IF(AK44=0,"",IF(OR(AM44&lt;2,AO44&gt;AsOfDate),AX44,IF((AO44-1)&lt;AL44,-1,12*(YEAR((AO44-1))-YEAR(AL44))+MONTH((AO44-1))-MONTH(AL44)-IF(DAY((AO44-1))&lt;MIN(DAY(AL44),DAY(EOMONTH((AO44-1),0))),1,0))))</f>
        <v/>
      </c>
      <c r="AZ44" s="16" t="str">
        <f aca="false">IF(AK44=0,"",IF(OR(AM44&lt;3,AP44&gt;AsOfDate),AX44,IF((AP44-1)&lt;AL44,-1,12*(YEAR((AP44-1))-YEAR(AL44))+MONTH((AP44-1))-MONTH(AL44)-IF(DAY((AP44-1))&lt;MIN(DAY(AL44),DAY(EOMONTH((AP44-1),0))),1,0))))</f>
        <v/>
      </c>
      <c r="BA44" s="16" t="str">
        <f aca="false">IF(AK44=0,"",IF(PFYDate&lt;AL44,-1,12*(YEAR(PFYDate)-YEAR(AL44))+MONTH(PFYDate)-MONTH(AL44)-IF(DAY(PFYDate)&lt;MIN(DAY(AL44),DAY(EOMONTH(PFYDate,0))),1,0)))</f>
        <v/>
      </c>
      <c r="BB44" s="16" t="str">
        <f aca="false">IF(AK44=0,"",IF(OR(AM44&lt;2,AO44&gt;PFYDate),BA44,IF((AO44-1)&lt;AL44,-1,12*(YEAR((AO44-1))-YEAR(AL44))+MONTH((AO44-1))-MONTH(AL44)-IF(DAY((AO44-1))&lt;MIN(DAY(AL44),DAY(EOMONTH((AO44-1),0))),1,0))))</f>
        <v/>
      </c>
      <c r="BC44" s="16" t="str">
        <f aca="false">IF(AK44=0,"",IF(OR(AM44&lt;3,AP44&gt;PFYDate),BA44,IF((AP44-1)&lt;AL44,-1,12*(YEAR((AP44-1))-YEAR(AL44))+MONTH((AP44-1))-MONTH(AL44)-IF(DAY((AP44-1))&lt;MIN(DAY(AL44),DAY(EOMONTH((AP44-1),0))),1,0))))</f>
        <v/>
      </c>
      <c r="BD44" s="16" t="str">
        <f aca="false">IF(AK44=0,"",IF(AT44="FT",IF(AY44&lt;FT_First,0,IF(AY44&lt;FT_Y5,1+INT((AY44-FT_First)/FT_Int1),FT_PreY5+FT_PerYear*INT((AY44-FT_Y5)/12)+FT_AnnivDays+INT(MOD(AY44-FT_Y5,12)/FT_Int2)-IF(EDATE(AL44,FT_Y5)&lt;PolicyEff,FT_AnnivDays-1,0))),IF(AT44="PT",IF(AY44&lt;PT_First,0,1+INT((AY44-PT_First)/PT_Int)),0))+IF(AND(AM44&gt;=2,AO44&lt;=AsOfDate),IF(AU44="FT",IF(AZ44&lt;FT_First,0,IF(AZ44&lt;FT_Y5,1+INT((AZ44-FT_First)/FT_Int1),FT_PreY5+FT_PerYear*INT((AZ44-FT_Y5)/12)+FT_AnnivDays+INT(MOD(AZ44-FT_Y5,12)/FT_Int2)-IF(EDATE(AL44,FT_Y5)&lt;PolicyEff,FT_AnnivDays-1,0))),IF(AU44="PT",IF(AZ44&lt;PT_First,0,1+INT((AZ44-PT_First)/PT_Int)),0))-IF(AU44="FT",IF(AY44&lt;FT_First,0,IF(AY44&lt;FT_Y5,1+INT((AY44-FT_First)/FT_Int1),FT_PreY5+FT_PerYear*INT((AY44-FT_Y5)/12)+FT_AnnivDays+INT(MOD(AY44-FT_Y5,12)/FT_Int2)-IF(EDATE(AL44,FT_Y5)&lt;PolicyEff,FT_AnnivDays-1,0))),IF(AU44="PT",IF(AY44&lt;PT_First,0,1+INT((AY44-PT_First)/PT_Int)),0)),0)+IF(AND(AM44&gt;=3,AP44&lt;=AsOfDate),IF(AV44="FT",IF(AX44&lt;FT_First,0,IF(AX44&lt;FT_Y5,1+INT((AX44-FT_First)/FT_Int1),FT_PreY5+FT_PerYear*INT((AX44-FT_Y5)/12)+FT_AnnivDays+INT(MOD(AX44-FT_Y5,12)/FT_Int2)-IF(EDATE(AL44,FT_Y5)&lt;PolicyEff,FT_AnnivDays-1,0))),IF(AV44="PT",IF(AX44&lt;PT_First,0,1+INT((AX44-PT_First)/PT_Int)),0))-IF(AV44="FT",IF(AZ44&lt;FT_First,0,IF(AZ44&lt;FT_Y5,1+INT((AZ44-FT_First)/FT_Int1),FT_PreY5+FT_PerYear*INT((AZ44-FT_Y5)/12)+FT_AnnivDays+INT(MOD(AZ44-FT_Y5,12)/FT_Int2)-IF(EDATE(AL44,FT_Y5)&lt;PolicyEff,FT_AnnivDays-1,0))),IF(AV44="PT",IF(AZ44&lt;PT_First,0,1+INT((AZ44-PT_First)/PT_Int)),0)),0))</f>
        <v/>
      </c>
      <c r="BE44" s="16" t="str">
        <f aca="false">IF(AK44=0,"",IF(AT44="FT",IF(BB44&lt;FT_First,0,IF(BB44&lt;FT_Y5,1+INT((BB44-FT_First)/FT_Int1),FT_PreY5+FT_PerYear*INT((BB44-FT_Y5)/12)+FT_AnnivDays+INT(MOD(BB44-FT_Y5,12)/FT_Int2)-IF(EDATE(AL44,FT_Y5)&lt;PolicyEff,FT_AnnivDays-1,0))),IF(AT44="PT",IF(BB44&lt;PT_First,0,1+INT((BB44-PT_First)/PT_Int)),0))+IF(AND(AM44&gt;=2,AO44&lt;=PFYDate),IF(AU44="FT",IF(BC44&lt;FT_First,0,IF(BC44&lt;FT_Y5,1+INT((BC44-FT_First)/FT_Int1),FT_PreY5+FT_PerYear*INT((BC44-FT_Y5)/12)+FT_AnnivDays+INT(MOD(BC44-FT_Y5,12)/FT_Int2)-IF(EDATE(AL44,FT_Y5)&lt;PolicyEff,FT_AnnivDays-1,0))),IF(AU44="PT",IF(BC44&lt;PT_First,0,1+INT((BC44-PT_First)/PT_Int)),0))-IF(AU44="FT",IF(BB44&lt;FT_First,0,IF(BB44&lt;FT_Y5,1+INT((BB44-FT_First)/FT_Int1),FT_PreY5+FT_PerYear*INT((BB44-FT_Y5)/12)+FT_AnnivDays+INT(MOD(BB44-FT_Y5,12)/FT_Int2)-IF(EDATE(AL44,FT_Y5)&lt;PolicyEff,FT_AnnivDays-1,0))),IF(AU44="PT",IF(BB44&lt;PT_First,0,1+INT((BB44-PT_First)/PT_Int)),0)),0)+IF(AND(AM44&gt;=3,AP44&lt;=PFYDate),IF(AV44="FT",IF(BA44&lt;FT_First,0,IF(BA44&lt;FT_Y5,1+INT((BA44-FT_First)/FT_Int1),FT_PreY5+FT_PerYear*INT((BA44-FT_Y5)/12)+FT_AnnivDays+INT(MOD(BA44-FT_Y5,12)/FT_Int2)-IF(EDATE(AL44,FT_Y5)&lt;PolicyEff,FT_AnnivDays-1,0))),IF(AV44="PT",IF(BA44&lt;PT_First,0,1+INT((BA44-PT_First)/PT_Int)),0))-IF(AV44="FT",IF(BC44&lt;FT_First,0,IF(BC44&lt;FT_Y5,1+INT((BC44-FT_First)/FT_Int1),FT_PreY5+FT_PerYear*INT((BC44-FT_Y5)/12)+FT_AnnivDays+INT(MOD(BC44-FT_Y5,12)/FT_Int2)-IF(EDATE(AL44,FT_Y5)&lt;PolicyEff,FT_AnnivDays-1,0))),IF(AV44="PT",IF(BC44&lt;PT_First,0,1+INT((BC44-PT_First)/PT_Int)),0)),0))</f>
        <v/>
      </c>
      <c r="BF44" s="16" t="str">
        <f aca="false">IF(AK44=0,"",IF(AW44="FT",IF(AX44&lt;FT_First,FT_First,IF(AX44&lt;FT_Y5,MIN(FT_Y5,FT_First+FT_Int1*(INT((AX44-FT_First)/FT_Int1)+1)),FT_Y5+12*INT((AX44-FT_Y5)/12)+FT_Int2*(INT(MOD(AX44-FT_Y5,12)/FT_Int2)+1))),IF(AW44="PT",IF(AX44&lt;PT_First,PT_First,PT_First+PT_Int*(INT((AX44-PT_First)/PT_Int)+1)),"")))</f>
        <v/>
      </c>
      <c r="BG44" s="16" t="str">
        <f aca="false">IF(AK44=0,"",IF(NOT(LH_Ready),0,COUNTIFS(INDEX(LH_Data,0,LH_ColFirst),$A44,INDEX(LH_Data,0,LH_ColSur),$B44,INDEX(LH_Data,0,LH_ColCat),BonusCat)))</f>
        <v/>
      </c>
      <c r="BH44" s="16" t="str">
        <f aca="false">IF(AK44=0,"",IF(OR(NOT(LH_Ready),BG44=0),0,SUMPRODUCT(MAX((INDEX(LH_Data,0,LH_ColFirst)=$A44)*(INDEX(LH_Data,0,LH_ColSur)=$B44)*(INDEX(LH_Data,0,LH_ColCat)=BonusCat)*ROW(LH_Data)))))</f>
        <v/>
      </c>
      <c r="BI44" s="16" t="str">
        <f aca="false">IF(AK44=0,"",IF(EOMONTH(AsOfDate,-1)&lt;AL44,-1,12*(YEAR(EOMONTH(AsOfDate,-1))-YEAR(AL44))+MONTH(EOMONTH(AsOfDate,-1))-MONTH(AL44)-IF(DAY(EOMONTH(AsOfDate,-1))&lt;MIN(DAY(AL44),DAY(EOMONTH(EOMONTH(AsOfDate,-1),0))),1,0)))</f>
        <v/>
      </c>
      <c r="BJ44" s="16" t="str">
        <f aca="false">IF(AK44=0,"",IF(OR(AM44&lt;2,AO44&gt;EOMONTH(AsOfDate,-1)),BI44,IF((AO44-1)&lt;AL44,-1,12*(YEAR((AO44-1))-YEAR(AL44))+MONTH((AO44-1))-MONTH(AL44)-IF(DAY((AO44-1))&lt;MIN(DAY(AL44),DAY(EOMONTH((AO44-1),0))),1,0))))</f>
        <v/>
      </c>
      <c r="BK44" s="16" t="str">
        <f aca="false">IF(AK44=0,"",IF(OR(AM44&lt;3,AP44&gt;EOMONTH(AsOfDate,-1)),BI44,IF((AP44-1)&lt;AL44,-1,12*(YEAR((AP44-1))-YEAR(AL44))+MONTH((AP44-1))-MONTH(AL44)-IF(DAY((AP44-1))&lt;MIN(DAY(AL44),DAY(EOMONTH((AP44-1),0))),1,0))))</f>
        <v/>
      </c>
      <c r="BL44" s="16" t="str">
        <f aca="false">IF(AK44=0,"",IF(AT44="FT",IF(BJ44&lt;FT_First,0,IF(BJ44&lt;FT_Y5,1+INT((BJ44-FT_First)/FT_Int1),FT_PreY5+FT_PerYear*INT((BJ44-FT_Y5)/12)+FT_AnnivDays+INT(MOD(BJ44-FT_Y5,12)/FT_Int2)-IF(EDATE(AL44,FT_Y5)&lt;PolicyEff,FT_AnnivDays-1,0))),IF(AT44="PT",IF(BJ44&lt;PT_First,0,1+INT((BJ44-PT_First)/PT_Int)),0))+IF(AND(AM44&gt;=2,AO44&lt;=EOMONTH(AsOfDate,-1)),IF(AU44="FT",IF(BK44&lt;FT_First,0,IF(BK44&lt;FT_Y5,1+INT((BK44-FT_First)/FT_Int1),FT_PreY5+FT_PerYear*INT((BK44-FT_Y5)/12)+FT_AnnivDays+INT(MOD(BK44-FT_Y5,12)/FT_Int2)-IF(EDATE(AL44,FT_Y5)&lt;PolicyEff,FT_AnnivDays-1,0))),IF(AU44="PT",IF(BK44&lt;PT_First,0,1+INT((BK44-PT_First)/PT_Int)),0))-IF(AU44="FT",IF(BJ44&lt;FT_First,0,IF(BJ44&lt;FT_Y5,1+INT((BJ44-FT_First)/FT_Int1),FT_PreY5+FT_PerYear*INT((BJ44-FT_Y5)/12)+FT_AnnivDays+INT(MOD(BJ44-FT_Y5,12)/FT_Int2)-IF(EDATE(AL44,FT_Y5)&lt;PolicyEff,FT_AnnivDays-1,0))),IF(AU44="PT",IF(BJ44&lt;PT_First,0,1+INT((BJ44-PT_First)/PT_Int)),0)),0)+IF(AND(AM44&gt;=3,AP44&lt;=EOMONTH(AsOfDate,-1)),IF(AV44="FT",IF(BI44&lt;FT_First,0,IF(BI44&lt;FT_Y5,1+INT((BI44-FT_First)/FT_Int1),FT_PreY5+FT_PerYear*INT((BI44-FT_Y5)/12)+FT_AnnivDays+INT(MOD(BI44-FT_Y5,12)/FT_Int2)-IF(EDATE(AL44,FT_Y5)&lt;PolicyEff,FT_AnnivDays-1,0))),IF(AV44="PT",IF(BI44&lt;PT_First,0,1+INT((BI44-PT_First)/PT_Int)),0))-IF(AV44="FT",IF(BK44&lt;FT_First,0,IF(BK44&lt;FT_Y5,1+INT((BK44-FT_First)/FT_Int1),FT_PreY5+FT_PerYear*INT((BK44-FT_Y5)/12)+FT_AnnivDays+INT(MOD(BK44-FT_Y5,12)/FT_Int2)-IF(EDATE(AL44,FT_Y5)&lt;PolicyEff,FT_AnnivDays-1,0))),IF(AV44="PT",IF(BK44&lt;PT_First,0,1+INT((BK44-PT_First)/PT_Int)),0)),0))</f>
        <v/>
      </c>
      <c r="BM44" s="16" t="str">
        <f aca="false">IF(AK44=0,"",IF(AW44="FT",IF(AX44&lt;FT_First,"",IF(AX44&lt;FT_Y5,FT_First+FT_Int1*INT((AX44-FT_First)/FT_Int1),FT_Y5+FT_Int2*INT((AX44-FT_Y5)/FT_Int2))),IF(AW44="PT",IF(AX44&lt;PT_First,"",PT_First+PT_Int*INT((AX44-PT_First)/PT_Int)),"")))</f>
        <v/>
      </c>
      <c r="BN44" s="16" t="str">
        <f aca="false">IF(AK44=0,"",IF((SchemeStart-1)&lt;AL44,-1,12*(YEAR((SchemeStart-1))-YEAR(AL44))+MONTH((SchemeStart-1))-MONTH(AL44)-IF(DAY((SchemeStart-1))&lt;MIN(DAY(AL44),DAY(EOMONTH((SchemeStart-1),0))),1,0)))</f>
        <v/>
      </c>
      <c r="BO44" s="16" t="str">
        <f aca="false">IF(AK44=0,"",IF(OR(AM44&lt;2,AO44&gt;(SchemeStart-1)),BN44,IF((AO44-1)&lt;AL44,-1,12*(YEAR((AO44-1))-YEAR(AL44))+MONTH((AO44-1))-MONTH(AL44)-IF(DAY((AO44-1))&lt;MIN(DAY(AL44),DAY(EOMONTH((AO44-1),0))),1,0))))</f>
        <v/>
      </c>
      <c r="BP44" s="16" t="str">
        <f aca="false">IF(AK44=0,"",IF(OR(AM44&lt;3,AP44&gt;(SchemeStart-1)),BN44,IF((AP44-1)&lt;AL44,-1,12*(YEAR((AP44-1))-YEAR(AL44))+MONTH((AP44-1))-MONTH(AL44)-IF(DAY((AP44-1))&lt;MIN(DAY(AL44),DAY(EOMONTH((AP44-1),0))),1,0))))</f>
        <v/>
      </c>
      <c r="BQ44" s="16" t="str">
        <f aca="false">IF(AK44=0,"",IF(AT44="FT",IF(BO44&lt;FT_First,0,IF(BO44&lt;FT_Y5,1+INT((BO44-FT_First)/FT_Int1),FT_PreY5+FT_PerYear*INT((BO44-FT_Y5)/12)+FT_AnnivDays+INT(MOD(BO44-FT_Y5,12)/FT_Int2)-IF(EDATE(AL44,FT_Y5)&lt;PolicyEff,FT_AnnivDays-1,0))),IF(AT44="PT",IF(BO44&lt;PT_First,0,1+INT((BO44-PT_First)/PT_Int)),0))+IF(AND(AM44&gt;=2,AO44&lt;=(SchemeStart-1)),IF(AU44="FT",IF(BP44&lt;FT_First,0,IF(BP44&lt;FT_Y5,1+INT((BP44-FT_First)/FT_Int1),FT_PreY5+FT_PerYear*INT((BP44-FT_Y5)/12)+FT_AnnivDays+INT(MOD(BP44-FT_Y5,12)/FT_Int2)-IF(EDATE(AL44,FT_Y5)&lt;PolicyEff,FT_AnnivDays-1,0))),IF(AU44="PT",IF(BP44&lt;PT_First,0,1+INT((BP44-PT_First)/PT_Int)),0))-IF(AU44="FT",IF(BO44&lt;FT_First,0,IF(BO44&lt;FT_Y5,1+INT((BO44-FT_First)/FT_Int1),FT_PreY5+FT_PerYear*INT((BO44-FT_Y5)/12)+FT_AnnivDays+INT(MOD(BO44-FT_Y5,12)/FT_Int2)-IF(EDATE(AL44,FT_Y5)&lt;PolicyEff,FT_AnnivDays-1,0))),IF(AU44="PT",IF(BO44&lt;PT_First,0,1+INT((BO44-PT_First)/PT_Int)),0)),0)+IF(AND(AM44&gt;=3,AP44&lt;=(SchemeStart-1)),IF(AV44="FT",IF(BN44&lt;FT_First,0,IF(BN44&lt;FT_Y5,1+INT((BN44-FT_First)/FT_Int1),FT_PreY5+FT_PerYear*INT((BN44-FT_Y5)/12)+FT_AnnivDays+INT(MOD(BN44-FT_Y5,12)/FT_Int2)-IF(EDATE(AL44,FT_Y5)&lt;PolicyEff,FT_AnnivDays-1,0))),IF(AV44="PT",IF(BN44&lt;PT_First,0,1+INT((BN44-PT_First)/PT_Int)),0))-IF(AV44="FT",IF(BP44&lt;FT_First,0,IF(BP44&lt;FT_Y5,1+INT((BP44-FT_First)/FT_Int1),FT_PreY5+FT_PerYear*INT((BP44-FT_Y5)/12)+FT_AnnivDays+INT(MOD(BP44-FT_Y5,12)/FT_Int2)-IF(EDATE(AL44,FT_Y5)&lt;PolicyEff,FT_AnnivDays-1,0))),IF(AV44="PT",IF(BP44&lt;PT_First,0,1+INT((BP44-PT_First)/PT_Int)),0)),0))</f>
        <v/>
      </c>
      <c r="BR44" s="0" t="str">
        <f aca="false">IF(LEN($A44&amp;$B44)=0,"",$A44&amp;" "&amp;$B44)</f>
        <v/>
      </c>
    </row>
    <row r="45" customFormat="false" ht="15" hidden="false" customHeight="false" outlineLevel="0" collapsed="false">
      <c r="A45" s="12"/>
      <c r="B45" s="12"/>
      <c r="C45" s="12"/>
      <c r="D45" s="13"/>
      <c r="E45" s="14" t="str">
        <f aca="false">IF(OR(AK45=0,$D45=""),"",DATE(YEAR(AsOfDate)+IF(DATE(YEAR(AsOfDate),MONTH($D45),DAY($D45))&lt;=AsOfDate,1,0),MONTH($D45),DAY($D45)))</f>
        <v/>
      </c>
      <c r="F45" s="13"/>
      <c r="G45" s="13"/>
      <c r="H45" s="13"/>
      <c r="I45" s="13"/>
      <c r="J45" s="13"/>
      <c r="K45" s="14" t="str">
        <f aca="false">IF(AK45=0,"",DATE(YEAR(AsOfDate)+IF(DATE(YEAR(AsOfDate),MONTH(AL45),DAY(AL45))&lt;=AsOfDate,1,0),MONTH(AL45),DAY(AL45)))</f>
        <v/>
      </c>
      <c r="L45" s="15" t="str">
        <f aca="false">IF(AK45=0,"",ROUND((AsOfDate-AL45)/365.25,1))</f>
        <v/>
      </c>
      <c r="M45" s="16" t="str">
        <f aca="false">IF(AK45=0,"",IF(AsOfDate&lt;AL45,"-",DATEDIF(AL45,AsOfDate,"y")&amp;"y "&amp;DATEDIF(AL45,AsOfDate,"ym")&amp;"m "&amp;DATEDIF(AL45,AsOfDate,"md")&amp;"d"))</f>
        <v/>
      </c>
      <c r="N45" s="17" t="str">
        <f aca="false">IF(AK45=0,"",O45*HoursPerDay)</f>
        <v/>
      </c>
      <c r="O45" s="17" t="str">
        <f aca="false">IF(AK45=0,"",MAX(0,BD45-BQ45))</f>
        <v/>
      </c>
      <c r="P45" s="18"/>
      <c r="Q45" s="16" t="str">
        <f aca="false">IF(AK45=0,"",IF(AM45&lt;2,"",AQ45&amp;" to "&amp;AR45&amp;" on "&amp;TEXT(AO45,"dd/mm/yyyy")&amp;IF(AO45&gt;AsOfDate," (future)",IF(AT45=AU45,"",IF(AU45="None"," - STOPPED accruing",IF(AT45="None"," - commencement for Bonus Leave"," - pathway changed"))))&amp;IF(AM45&lt;3,"","; "&amp;AR45&amp;" to "&amp;AS45&amp;" on "&amp;TEXT(AP45,"dd/mm/yyyy")&amp;IF(AP45&gt;AsOfDate," (future)",IF(AU45=AV45,"",IF(AV45="None"," - STOPPED accruing",IF(AU45="None"," - commencement for Bonus Leave"," - pathway changed")))))))</f>
        <v/>
      </c>
      <c r="R45" s="16" t="str">
        <f aca="false">IF(AK45=0,"",IF(AW45="None",IF(O45&gt;0,"No longer accruing","Not eligible - "&amp;IF(AND(OR(ISNUMBER(SEARCH("part",$C45)),UPPER(TRIM($C45))="PT",UPPER(TRIM($C45))="PTE"),Apply2026="No"),"part-time (scheme is full-time only)",IF(AND(OR(ISNUMBER(SEARCH("part",$C45)),UPPER(TRIM($C45))="PT",UPPER(TRIM($C45))="PTE"),$P45&lt;&gt;"",N($P45)&lt;PT_MinHours),"under "&amp;PT_MinHours&amp;" hrs",IF(IF($C45="","",IF(OR(ISNUMBER(SEARCH("full",$C45)),UPPER(TRIM($C45))="FT",UPPER(TRIM($C45))="FTE"),"Full-Time",IF(OR(ISNUMBER(SEARCH("part",$C45)),UPPER(TRIM($C45))="PT",UPPER(TRIM($C45))="PTE"),"Part-Time",IF(OR(ISNUMBER(SEARCH("cas",$C45)),UPPER(TRIM($C45))="CAS"),"Casual","Unknown"))))="Unknown","type not recognised",$C45)))),IF(O45&gt;0,"Yes - Accrual Required","Not yet - from "&amp;TEXT(S45,"dd/mm/yyyy"))))</f>
        <v/>
      </c>
      <c r="S45" s="14" t="str">
        <f aca="false">IF(AK45=0,"",IF(AW45="None","",EDATE(AL45,BF45)))</f>
        <v/>
      </c>
      <c r="T45" s="17" t="str">
        <f aca="false">IF(AK45=0,"",IF(NOT(LH_Ready),"",IF($F45&gt;PFYDate,0,IF(LH_ColPeriod=0,W45-U45+V45,SUMIFS(INDEX(LH_Data,0,LH_ColAcc),INDEX(LH_Data,0,LH_ColFirst),$A45,INDEX(LH_Data,0,LH_ColSur),$B45,INDEX(LH_Data,0,LH_ColCat),BonusCat,INDEX(LH_Data,0,LH_ColPeriod),LH_OpenLabel)*UnitFactor))))</f>
        <v/>
      </c>
      <c r="U45" s="17" t="str">
        <f aca="false">IF(AK45=0,"",IF(NOT(LH_Ready),"",SUMIFS(INDEX(LH_Data,0,LH_ColAcc),INDEX(LH_Data,0,LH_ColFirst),$A45,INDEX(LH_Data,0,LH_ColSur),$B45,INDEX(LH_Data,0,LH_ColCat),BonusCat,INDEX(LH_Data,0,LH_ColStart),"&gt;="&amp;AL45)*UnitFactor))</f>
        <v/>
      </c>
      <c r="V45" s="17" t="str">
        <f aca="false">IF(AK45=0,"",IF(NOT(LH_Ready),"",SUMIFS(INDEX(LH_Data,0,LH_ColTaken),INDEX(LH_Data,0,LH_ColFirst),$A45,INDEX(LH_Data,0,LH_ColSur),$B45,INDEX(LH_Data,0,LH_ColCat),BonusCat,INDEX(LH_Data,0,LH_ColStart),"&gt;="&amp;AL45)*UnitFactor))</f>
        <v/>
      </c>
      <c r="W45" s="17" t="str">
        <f aca="false">IF(AK45=0,"",IF(NOT(LH_Ready),"",IF(BH45=0,0,INDEX(INDEX(LH_Data,0,LH_ColClose),BH45-1)*UnitFactor)))</f>
        <v/>
      </c>
      <c r="X45" s="17" t="str">
        <f aca="false">IF(AK45=0,"",(MAX(0,BD45-BQ45)-MAX(0,BE45-BQ45))*HoursPerDay)</f>
        <v/>
      </c>
      <c r="Y45" s="17" t="str">
        <f aca="false">IF(AK45=0,"",IF(NOT(LH_Ready),"",IF($AI45="Yes",N(AE45)*HoursPerDay-SUMIFS(INDEX(LH_Data,0,LH_ColAcc),INDEX(LH_Data,0,LH_ColFirst),$A45,INDEX(LH_Data,0,LH_ColSur),$B45,INDEX(LH_Data,0,LH_ColCat),BonusCat,INDEX(LH_Data,0,LH_ColStart),"&gt;="&amp;(EOMONTH(AsOfDate,-1)+1),INDEX(LH_Data,0,LH_ColStart),"&lt;="&amp;AsOfDate)*UnitFactor,IF(BG45=0,N45,N45-N(T45)-N(U45)))))</f>
        <v/>
      </c>
      <c r="Z45" s="16" t="str">
        <f aca="false">IF(OR(AK45=0,Y45=""),"",IF(Y45&gt;0,"Yes","No"))</f>
        <v/>
      </c>
      <c r="AA45" s="16" t="str">
        <f aca="false">IF(AK45=0,IF(LEN($A45&amp;$B45)=0,"","FIX INPUT - StartDate missing"),IF(AD45&lt;&gt;"","FIX INPUT - "&amp;AD45,IF(NOT(LH_Ready),"Paste Leave History export (Settings must show YES)",IF(AND($AI45="Yes",Y45&lt;=0),"OK - EH balance accepted to date"&amp;IF(N(AH45)&gt;0," (EH holds "&amp;AH45&amp;" hrs over the scheme)","")&amp;"; next day "&amp;TEXT(S45,"dd mmm yy")&amp;IF(N(AE45)&gt;0," ("&amp;AE45&amp;" day(s) for "&amp;UPPER(TEXT(AsOfDate,"mmm yyyy"))&amp;" already in EH)",""),IF(Y45&gt;0,"ACCRUE "&amp;ROUND(Y45,2)&amp;" hrs ("&amp;ROUND(Y45/HoursPerDay,2)&amp;" days): "&amp;IF(N(AE45)&gt;0,AE45&amp;" day(s) for "&amp;UPPER(TEXT(AsOfDate,"mmm yyyy"))&amp;" (milestone "&amp;UPPER(TEXT(AF45,"dd mmm yy"))&amp;")"&amp;IF(Y45/HoursPerDay&gt;AE45+0.001," + "&amp;ROUND(Y45/HoursPerDay-AE45,2)&amp;" day(s) catch-up from earlier months",""),"all catch-up from earlier months, nothing new this month")&amp;IF(BG45=0,"; no Bonus Leave in EH yet",""),IF(Y45&lt;0,"CHECK - EH accrued "&amp;ROUND(-Y45,2)&amp;" hrs more than policy since commencement",IF(N(W45)&gt;O45*HoursPerDay+0.01,"CHECK - EH balance "&amp;ROUND(W45-O45*HoursPerDay,2)&amp;" hrs more than policy entitlement",IF(O45&gt;0,"OK - nothing to add"&amp;IF(N(AE45)&gt;0," ("&amp;AE45&amp;" day(s) for "&amp;UPPER(TEXT(AsOfDate,"mmm yyyy"))&amp;" already in EH)",""),IF(AW45="None",R45,"Not yet - first day on "&amp;TEXT(S45,"dd/mm/yyyy"))))))))))</f>
        <v/>
      </c>
      <c r="AB45" s="17" t="str">
        <f aca="false">IF(OR(AK45=0,T45=""),"",MAX(0,BE45-BQ45)*HoursPerDay-T45)</f>
        <v/>
      </c>
      <c r="AC45" s="16" t="str">
        <f aca="false">IF(AK45=0,"",BG45)</f>
        <v/>
      </c>
      <c r="AD45" s="16" t="str">
        <f aca="false">IF(AK45=0,"",TRIM(IF(OR(ISTEXT($F45),ISTEXT($H45),ISTEXT($I45),ISTEXT($G45),ISTEXT($J45),ISTEXT($D45)),"A date is typed as text - retype it as dd/mm/yyyy. ","")&amp;IF(IF($C45="","",IF(OR(ISNUMBER(SEARCH("full",$C45)),UPPER(TRIM($C45))="FT",UPPER(TRIM($C45))="FTE"),"Full-Time",IF(OR(ISNUMBER(SEARCH("part",$C45)),UPPER(TRIM($C45))="PT",UPPER(TRIM($C45))="PTE"),"Part-Time",IF(OR(ISNUMBER(SEARCH("cas",$C45)),UPPER(TRIM($C45))="CAS"),"Casual","Unknown"))))="Unknown","EmploymentType not recognised - use Full-Time, Part-Time or Casual. ","")&amp;IF(AND(AM45&gt;=1,IF(AM45&gt;=3,AS45,IF(AM45=2,AR45,AQ45))&lt;&gt;IF($C45="","",IF(OR(ISNUMBER(SEARCH("full",$C45)),UPPER(TRIM($C45))="FT",UPPER(TRIM($C45))="FTE"),"Full-Time",IF(OR(ISNUMBER(SEARCH("part",$C45)),UPPER(TRIM($C45))="PT",UPPER(TRIM($C45))="PTE"),"Part-Time",IF(OR(ISNUMBER(SEARCH("cas",$C45)),UPPER(TRIM($C45))="CAS"),"Casual","Unknown"))))),"EmploymentType does not match latest start date ("&amp;IF(AM45&gt;=3,AS45,IF(AM45=2,AR45,AQ45))&amp;"). ","")&amp;IF(AND(AM45&gt;=1,AN45&lt;&gt;$F45),"Earliest type date should equal StartDate. ","")&amp;IF(AND(AM45&gt;=2,AN45=AO45),"Two types start on the same date. ","")&amp;IF(AND(OR(ISNUMBER(SEARCH("part",$C45)),UPPER(TRIM($C45))="PT",UPPER(TRIM($C45))="PTE"),$P45=""),"Part-time: enter PT Hrs/Week (blank = 24+). ","")))</f>
        <v/>
      </c>
      <c r="AE45" s="17" t="str">
        <f aca="false">IF(AK45=0,"",O45-MAX(0,BL45-BQ45))</f>
        <v/>
      </c>
      <c r="AF45" s="14" t="str">
        <f aca="false">IF(OR(AK45=0,AE45="",N(AE45)=0,BM45=""),"",EDATE(AL45,BM45))</f>
        <v/>
      </c>
      <c r="AG45" s="17" t="str">
        <f aca="false">IF(AK45=0,"",MIN(BD45,BQ45))</f>
        <v/>
      </c>
      <c r="AH45" s="17" t="str">
        <f aca="false">IF(AK45=0,"",IF(NOT(LH_Ready),"",IF(BG45=0,0,MAX(0,ROUND(N(T45)+N(U45)-N45,2)))))</f>
        <v/>
      </c>
      <c r="AI45" s="12"/>
      <c r="AJ45" s="12"/>
      <c r="AK45" s="16" t="n">
        <f aca="false">IF(OR(LEN($A45&amp;$B45)=0,$F45=""),0,1)</f>
        <v>0</v>
      </c>
      <c r="AL45" s="14" t="str">
        <f aca="false">IF(AK45=0,"",IF(PreSchemeCounts="No",MAX(SchemeStart,IF($J45&lt;&gt;"",$J45,IF(OR(CasualCounts="Yes",COUNT($G45:$I45)=0),$F45,IF(Apply2026="No",IF($I45="",$F45,$I45),IF(COUNT($H45:$I45)=0,$F45,MIN($H45:$I45)))))),IF($J45&lt;&gt;"",$J45,IF(OR(CasualCounts="Yes",COUNT($G45:$I45)=0),$F45,IF(Apply2026="No",IF($I45="",$F45,$I45),IF(COUNT($H45:$I45)=0,$F45,MIN($H45:$I45)))))))</f>
        <v/>
      </c>
      <c r="AM45" s="16" t="str">
        <f aca="false">IF(AK45=0,"",COUNT($G45:$I45))</f>
        <v/>
      </c>
      <c r="AN45" s="14" t="str">
        <f aca="false">IF(AK45=0,"",IFERROR(SMALL($G45:$I45,1),""))</f>
        <v/>
      </c>
      <c r="AO45" s="14" t="str">
        <f aca="false">IF(AK45=0,"",IFERROR(SMALL($G45:$I45,2),""))</f>
        <v/>
      </c>
      <c r="AP45" s="14" t="str">
        <f aca="false">IF(AK45=0,"",IFERROR(SMALL($G45:$I45,3),""))</f>
        <v/>
      </c>
      <c r="AQ45" s="16" t="str">
        <f aca="false">IF(AK45=0,"",IF(AN45="","",IF(AN45=$H45,"Part-Time",IF(AN45=$I45,"Full-Time","Casual"))))</f>
        <v/>
      </c>
      <c r="AR45" s="16" t="str">
        <f aca="false">IF(AK45=0,"",IF(AO45="","",IF(AO45=$H45,"Part-Time",IF(AO45=$I45,"Full-Time","Casual"))))</f>
        <v/>
      </c>
      <c r="AS45" s="16" t="str">
        <f aca="false">IF(AK45=0,"",IF(AP45="","",IF(AP45=$H45,"Part-Time",IF(AP45=$I45,"Full-Time","Casual"))))</f>
        <v/>
      </c>
      <c r="AT45" s="16" t="str">
        <f aca="false">IF(AK45=0,"",IF(AM45=0,IF(OR(ISNUMBER(SEARCH("full",$C45)),UPPER(TRIM($C45))="FT",UPPER(TRIM($C45))="FTE"),"FT",IF(AND(OR(ISNUMBER(SEARCH("part",$C45)),UPPER(TRIM($C45))="PT",UPPER(TRIM($C45))="PTE"),Apply2026="Yes",OR($P45="",N($P45)&gt;=PT_MinHours)),"PT","None")),IF(OR(ISNUMBER(SEARCH("full",AQ45)),UPPER(TRIM(AQ45))="FT",UPPER(TRIM(AQ45))="FTE"),"FT",IF(AND(OR(ISNUMBER(SEARCH("part",AQ45)),UPPER(TRIM(AQ45))="PT",UPPER(TRIM(AQ45))="PTE"),Apply2026="Yes",OR($P45="",N($P45)&gt;=PT_MinHours)),"PT","None"))))</f>
        <v/>
      </c>
      <c r="AU45" s="16" t="str">
        <f aca="false">IF(AK45=0,"",IF(AM45&lt;2,"",IF(OR(ISNUMBER(SEARCH("full",AR45)),UPPER(TRIM(AR45))="FT",UPPER(TRIM(AR45))="FTE"),"FT",IF(AND(OR(ISNUMBER(SEARCH("part",AR45)),UPPER(TRIM(AR45))="PT",UPPER(TRIM(AR45))="PTE"),Apply2026="Yes",OR($P45="",N($P45)&gt;=PT_MinHours)),"PT","None"))))</f>
        <v/>
      </c>
      <c r="AV45" s="16" t="str">
        <f aca="false">IF(AK45=0,"",IF(AM45&lt;3,"",IF(OR(ISNUMBER(SEARCH("full",AS45)),UPPER(TRIM(AS45))="FT",UPPER(TRIM(AS45))="FTE"),"FT",IF(AND(OR(ISNUMBER(SEARCH("part",AS45)),UPPER(TRIM(AS45))="PT",UPPER(TRIM(AS45))="PTE"),Apply2026="Yes",OR($P45="",N($P45)&gt;=PT_MinHours)),"PT","None"))))</f>
        <v/>
      </c>
      <c r="AW45" s="16" t="str">
        <f aca="false">IF(AK45=0,"",IF(AND(AM45&gt;=3,AP45&lt;=AsOfDate),AV45,IF(AND(AM45&gt;=2,AO45&lt;=AsOfDate),AU45,AT45)))</f>
        <v/>
      </c>
      <c r="AX45" s="16" t="str">
        <f aca="false">IF(AK45=0,"",IF(AsOfDate&lt;AL45,-1,12*(YEAR(AsOfDate)-YEAR(AL45))+MONTH(AsOfDate)-MONTH(AL45)-IF(DAY(AsOfDate)&lt;MIN(DAY(AL45),DAY(EOMONTH(AsOfDate,0))),1,0)))</f>
        <v/>
      </c>
      <c r="AY45" s="16" t="str">
        <f aca="false">IF(AK45=0,"",IF(OR(AM45&lt;2,AO45&gt;AsOfDate),AX45,IF((AO45-1)&lt;AL45,-1,12*(YEAR((AO45-1))-YEAR(AL45))+MONTH((AO45-1))-MONTH(AL45)-IF(DAY((AO45-1))&lt;MIN(DAY(AL45),DAY(EOMONTH((AO45-1),0))),1,0))))</f>
        <v/>
      </c>
      <c r="AZ45" s="16" t="str">
        <f aca="false">IF(AK45=0,"",IF(OR(AM45&lt;3,AP45&gt;AsOfDate),AX45,IF((AP45-1)&lt;AL45,-1,12*(YEAR((AP45-1))-YEAR(AL45))+MONTH((AP45-1))-MONTH(AL45)-IF(DAY((AP45-1))&lt;MIN(DAY(AL45),DAY(EOMONTH((AP45-1),0))),1,0))))</f>
        <v/>
      </c>
      <c r="BA45" s="16" t="str">
        <f aca="false">IF(AK45=0,"",IF(PFYDate&lt;AL45,-1,12*(YEAR(PFYDate)-YEAR(AL45))+MONTH(PFYDate)-MONTH(AL45)-IF(DAY(PFYDate)&lt;MIN(DAY(AL45),DAY(EOMONTH(PFYDate,0))),1,0)))</f>
        <v/>
      </c>
      <c r="BB45" s="16" t="str">
        <f aca="false">IF(AK45=0,"",IF(OR(AM45&lt;2,AO45&gt;PFYDate),BA45,IF((AO45-1)&lt;AL45,-1,12*(YEAR((AO45-1))-YEAR(AL45))+MONTH((AO45-1))-MONTH(AL45)-IF(DAY((AO45-1))&lt;MIN(DAY(AL45),DAY(EOMONTH((AO45-1),0))),1,0))))</f>
        <v/>
      </c>
      <c r="BC45" s="16" t="str">
        <f aca="false">IF(AK45=0,"",IF(OR(AM45&lt;3,AP45&gt;PFYDate),BA45,IF((AP45-1)&lt;AL45,-1,12*(YEAR((AP45-1))-YEAR(AL45))+MONTH((AP45-1))-MONTH(AL45)-IF(DAY((AP45-1))&lt;MIN(DAY(AL45),DAY(EOMONTH((AP45-1),0))),1,0))))</f>
        <v/>
      </c>
      <c r="BD45" s="16" t="str">
        <f aca="false">IF(AK45=0,"",IF(AT45="FT",IF(AY45&lt;FT_First,0,IF(AY45&lt;FT_Y5,1+INT((AY45-FT_First)/FT_Int1),FT_PreY5+FT_PerYear*INT((AY45-FT_Y5)/12)+FT_AnnivDays+INT(MOD(AY45-FT_Y5,12)/FT_Int2)-IF(EDATE(AL45,FT_Y5)&lt;PolicyEff,FT_AnnivDays-1,0))),IF(AT45="PT",IF(AY45&lt;PT_First,0,1+INT((AY45-PT_First)/PT_Int)),0))+IF(AND(AM45&gt;=2,AO45&lt;=AsOfDate),IF(AU45="FT",IF(AZ45&lt;FT_First,0,IF(AZ45&lt;FT_Y5,1+INT((AZ45-FT_First)/FT_Int1),FT_PreY5+FT_PerYear*INT((AZ45-FT_Y5)/12)+FT_AnnivDays+INT(MOD(AZ45-FT_Y5,12)/FT_Int2)-IF(EDATE(AL45,FT_Y5)&lt;PolicyEff,FT_AnnivDays-1,0))),IF(AU45="PT",IF(AZ45&lt;PT_First,0,1+INT((AZ45-PT_First)/PT_Int)),0))-IF(AU45="FT",IF(AY45&lt;FT_First,0,IF(AY45&lt;FT_Y5,1+INT((AY45-FT_First)/FT_Int1),FT_PreY5+FT_PerYear*INT((AY45-FT_Y5)/12)+FT_AnnivDays+INT(MOD(AY45-FT_Y5,12)/FT_Int2)-IF(EDATE(AL45,FT_Y5)&lt;PolicyEff,FT_AnnivDays-1,0))),IF(AU45="PT",IF(AY45&lt;PT_First,0,1+INT((AY45-PT_First)/PT_Int)),0)),0)+IF(AND(AM45&gt;=3,AP45&lt;=AsOfDate),IF(AV45="FT",IF(AX45&lt;FT_First,0,IF(AX45&lt;FT_Y5,1+INT((AX45-FT_First)/FT_Int1),FT_PreY5+FT_PerYear*INT((AX45-FT_Y5)/12)+FT_AnnivDays+INT(MOD(AX45-FT_Y5,12)/FT_Int2)-IF(EDATE(AL45,FT_Y5)&lt;PolicyEff,FT_AnnivDays-1,0))),IF(AV45="PT",IF(AX45&lt;PT_First,0,1+INT((AX45-PT_First)/PT_Int)),0))-IF(AV45="FT",IF(AZ45&lt;FT_First,0,IF(AZ45&lt;FT_Y5,1+INT((AZ45-FT_First)/FT_Int1),FT_PreY5+FT_PerYear*INT((AZ45-FT_Y5)/12)+FT_AnnivDays+INT(MOD(AZ45-FT_Y5,12)/FT_Int2)-IF(EDATE(AL45,FT_Y5)&lt;PolicyEff,FT_AnnivDays-1,0))),IF(AV45="PT",IF(AZ45&lt;PT_First,0,1+INT((AZ45-PT_First)/PT_Int)),0)),0))</f>
        <v/>
      </c>
      <c r="BE45" s="16" t="str">
        <f aca="false">IF(AK45=0,"",IF(AT45="FT",IF(BB45&lt;FT_First,0,IF(BB45&lt;FT_Y5,1+INT((BB45-FT_First)/FT_Int1),FT_PreY5+FT_PerYear*INT((BB45-FT_Y5)/12)+FT_AnnivDays+INT(MOD(BB45-FT_Y5,12)/FT_Int2)-IF(EDATE(AL45,FT_Y5)&lt;PolicyEff,FT_AnnivDays-1,0))),IF(AT45="PT",IF(BB45&lt;PT_First,0,1+INT((BB45-PT_First)/PT_Int)),0))+IF(AND(AM45&gt;=2,AO45&lt;=PFYDate),IF(AU45="FT",IF(BC45&lt;FT_First,0,IF(BC45&lt;FT_Y5,1+INT((BC45-FT_First)/FT_Int1),FT_PreY5+FT_PerYear*INT((BC45-FT_Y5)/12)+FT_AnnivDays+INT(MOD(BC45-FT_Y5,12)/FT_Int2)-IF(EDATE(AL45,FT_Y5)&lt;PolicyEff,FT_AnnivDays-1,0))),IF(AU45="PT",IF(BC45&lt;PT_First,0,1+INT((BC45-PT_First)/PT_Int)),0))-IF(AU45="FT",IF(BB45&lt;FT_First,0,IF(BB45&lt;FT_Y5,1+INT((BB45-FT_First)/FT_Int1),FT_PreY5+FT_PerYear*INT((BB45-FT_Y5)/12)+FT_AnnivDays+INT(MOD(BB45-FT_Y5,12)/FT_Int2)-IF(EDATE(AL45,FT_Y5)&lt;PolicyEff,FT_AnnivDays-1,0))),IF(AU45="PT",IF(BB45&lt;PT_First,0,1+INT((BB45-PT_First)/PT_Int)),0)),0)+IF(AND(AM45&gt;=3,AP45&lt;=PFYDate),IF(AV45="FT",IF(BA45&lt;FT_First,0,IF(BA45&lt;FT_Y5,1+INT((BA45-FT_First)/FT_Int1),FT_PreY5+FT_PerYear*INT((BA45-FT_Y5)/12)+FT_AnnivDays+INT(MOD(BA45-FT_Y5,12)/FT_Int2)-IF(EDATE(AL45,FT_Y5)&lt;PolicyEff,FT_AnnivDays-1,0))),IF(AV45="PT",IF(BA45&lt;PT_First,0,1+INT((BA45-PT_First)/PT_Int)),0))-IF(AV45="FT",IF(BC45&lt;FT_First,0,IF(BC45&lt;FT_Y5,1+INT((BC45-FT_First)/FT_Int1),FT_PreY5+FT_PerYear*INT((BC45-FT_Y5)/12)+FT_AnnivDays+INT(MOD(BC45-FT_Y5,12)/FT_Int2)-IF(EDATE(AL45,FT_Y5)&lt;PolicyEff,FT_AnnivDays-1,0))),IF(AV45="PT",IF(BC45&lt;PT_First,0,1+INT((BC45-PT_First)/PT_Int)),0)),0))</f>
        <v/>
      </c>
      <c r="BF45" s="16" t="str">
        <f aca="false">IF(AK45=0,"",IF(AW45="FT",IF(AX45&lt;FT_First,FT_First,IF(AX45&lt;FT_Y5,MIN(FT_Y5,FT_First+FT_Int1*(INT((AX45-FT_First)/FT_Int1)+1)),FT_Y5+12*INT((AX45-FT_Y5)/12)+FT_Int2*(INT(MOD(AX45-FT_Y5,12)/FT_Int2)+1))),IF(AW45="PT",IF(AX45&lt;PT_First,PT_First,PT_First+PT_Int*(INT((AX45-PT_First)/PT_Int)+1)),"")))</f>
        <v/>
      </c>
      <c r="BG45" s="16" t="str">
        <f aca="false">IF(AK45=0,"",IF(NOT(LH_Ready),0,COUNTIFS(INDEX(LH_Data,0,LH_ColFirst),$A45,INDEX(LH_Data,0,LH_ColSur),$B45,INDEX(LH_Data,0,LH_ColCat),BonusCat)))</f>
        <v/>
      </c>
      <c r="BH45" s="16" t="str">
        <f aca="false">IF(AK45=0,"",IF(OR(NOT(LH_Ready),BG45=0),0,SUMPRODUCT(MAX((INDEX(LH_Data,0,LH_ColFirst)=$A45)*(INDEX(LH_Data,0,LH_ColSur)=$B45)*(INDEX(LH_Data,0,LH_ColCat)=BonusCat)*ROW(LH_Data)))))</f>
        <v/>
      </c>
      <c r="BI45" s="16" t="str">
        <f aca="false">IF(AK45=0,"",IF(EOMONTH(AsOfDate,-1)&lt;AL45,-1,12*(YEAR(EOMONTH(AsOfDate,-1))-YEAR(AL45))+MONTH(EOMONTH(AsOfDate,-1))-MONTH(AL45)-IF(DAY(EOMONTH(AsOfDate,-1))&lt;MIN(DAY(AL45),DAY(EOMONTH(EOMONTH(AsOfDate,-1),0))),1,0)))</f>
        <v/>
      </c>
      <c r="BJ45" s="16" t="str">
        <f aca="false">IF(AK45=0,"",IF(OR(AM45&lt;2,AO45&gt;EOMONTH(AsOfDate,-1)),BI45,IF((AO45-1)&lt;AL45,-1,12*(YEAR((AO45-1))-YEAR(AL45))+MONTH((AO45-1))-MONTH(AL45)-IF(DAY((AO45-1))&lt;MIN(DAY(AL45),DAY(EOMONTH((AO45-1),0))),1,0))))</f>
        <v/>
      </c>
      <c r="BK45" s="16" t="str">
        <f aca="false">IF(AK45=0,"",IF(OR(AM45&lt;3,AP45&gt;EOMONTH(AsOfDate,-1)),BI45,IF((AP45-1)&lt;AL45,-1,12*(YEAR((AP45-1))-YEAR(AL45))+MONTH((AP45-1))-MONTH(AL45)-IF(DAY((AP45-1))&lt;MIN(DAY(AL45),DAY(EOMONTH((AP45-1),0))),1,0))))</f>
        <v/>
      </c>
      <c r="BL45" s="16" t="str">
        <f aca="false">IF(AK45=0,"",IF(AT45="FT",IF(BJ45&lt;FT_First,0,IF(BJ45&lt;FT_Y5,1+INT((BJ45-FT_First)/FT_Int1),FT_PreY5+FT_PerYear*INT((BJ45-FT_Y5)/12)+FT_AnnivDays+INT(MOD(BJ45-FT_Y5,12)/FT_Int2)-IF(EDATE(AL45,FT_Y5)&lt;PolicyEff,FT_AnnivDays-1,0))),IF(AT45="PT",IF(BJ45&lt;PT_First,0,1+INT((BJ45-PT_First)/PT_Int)),0))+IF(AND(AM45&gt;=2,AO45&lt;=EOMONTH(AsOfDate,-1)),IF(AU45="FT",IF(BK45&lt;FT_First,0,IF(BK45&lt;FT_Y5,1+INT((BK45-FT_First)/FT_Int1),FT_PreY5+FT_PerYear*INT((BK45-FT_Y5)/12)+FT_AnnivDays+INT(MOD(BK45-FT_Y5,12)/FT_Int2)-IF(EDATE(AL45,FT_Y5)&lt;PolicyEff,FT_AnnivDays-1,0))),IF(AU45="PT",IF(BK45&lt;PT_First,0,1+INT((BK45-PT_First)/PT_Int)),0))-IF(AU45="FT",IF(BJ45&lt;FT_First,0,IF(BJ45&lt;FT_Y5,1+INT((BJ45-FT_First)/FT_Int1),FT_PreY5+FT_PerYear*INT((BJ45-FT_Y5)/12)+FT_AnnivDays+INT(MOD(BJ45-FT_Y5,12)/FT_Int2)-IF(EDATE(AL45,FT_Y5)&lt;PolicyEff,FT_AnnivDays-1,0))),IF(AU45="PT",IF(BJ45&lt;PT_First,0,1+INT((BJ45-PT_First)/PT_Int)),0)),0)+IF(AND(AM45&gt;=3,AP45&lt;=EOMONTH(AsOfDate,-1)),IF(AV45="FT",IF(BI45&lt;FT_First,0,IF(BI45&lt;FT_Y5,1+INT((BI45-FT_First)/FT_Int1),FT_PreY5+FT_PerYear*INT((BI45-FT_Y5)/12)+FT_AnnivDays+INT(MOD(BI45-FT_Y5,12)/FT_Int2)-IF(EDATE(AL45,FT_Y5)&lt;PolicyEff,FT_AnnivDays-1,0))),IF(AV45="PT",IF(BI45&lt;PT_First,0,1+INT((BI45-PT_First)/PT_Int)),0))-IF(AV45="FT",IF(BK45&lt;FT_First,0,IF(BK45&lt;FT_Y5,1+INT((BK45-FT_First)/FT_Int1),FT_PreY5+FT_PerYear*INT((BK45-FT_Y5)/12)+FT_AnnivDays+INT(MOD(BK45-FT_Y5,12)/FT_Int2)-IF(EDATE(AL45,FT_Y5)&lt;PolicyEff,FT_AnnivDays-1,0))),IF(AV45="PT",IF(BK45&lt;PT_First,0,1+INT((BK45-PT_First)/PT_Int)),0)),0))</f>
        <v/>
      </c>
      <c r="BM45" s="16" t="str">
        <f aca="false">IF(AK45=0,"",IF(AW45="FT",IF(AX45&lt;FT_First,"",IF(AX45&lt;FT_Y5,FT_First+FT_Int1*INT((AX45-FT_First)/FT_Int1),FT_Y5+FT_Int2*INT((AX45-FT_Y5)/FT_Int2))),IF(AW45="PT",IF(AX45&lt;PT_First,"",PT_First+PT_Int*INT((AX45-PT_First)/PT_Int)),"")))</f>
        <v/>
      </c>
      <c r="BN45" s="16" t="str">
        <f aca="false">IF(AK45=0,"",IF((SchemeStart-1)&lt;AL45,-1,12*(YEAR((SchemeStart-1))-YEAR(AL45))+MONTH((SchemeStart-1))-MONTH(AL45)-IF(DAY((SchemeStart-1))&lt;MIN(DAY(AL45),DAY(EOMONTH((SchemeStart-1),0))),1,0)))</f>
        <v/>
      </c>
      <c r="BO45" s="16" t="str">
        <f aca="false">IF(AK45=0,"",IF(OR(AM45&lt;2,AO45&gt;(SchemeStart-1)),BN45,IF((AO45-1)&lt;AL45,-1,12*(YEAR((AO45-1))-YEAR(AL45))+MONTH((AO45-1))-MONTH(AL45)-IF(DAY((AO45-1))&lt;MIN(DAY(AL45),DAY(EOMONTH((AO45-1),0))),1,0))))</f>
        <v/>
      </c>
      <c r="BP45" s="16" t="str">
        <f aca="false">IF(AK45=0,"",IF(OR(AM45&lt;3,AP45&gt;(SchemeStart-1)),BN45,IF((AP45-1)&lt;AL45,-1,12*(YEAR((AP45-1))-YEAR(AL45))+MONTH((AP45-1))-MONTH(AL45)-IF(DAY((AP45-1))&lt;MIN(DAY(AL45),DAY(EOMONTH((AP45-1),0))),1,0))))</f>
        <v/>
      </c>
      <c r="BQ45" s="16" t="str">
        <f aca="false">IF(AK45=0,"",IF(AT45="FT",IF(BO45&lt;FT_First,0,IF(BO45&lt;FT_Y5,1+INT((BO45-FT_First)/FT_Int1),FT_PreY5+FT_PerYear*INT((BO45-FT_Y5)/12)+FT_AnnivDays+INT(MOD(BO45-FT_Y5,12)/FT_Int2)-IF(EDATE(AL45,FT_Y5)&lt;PolicyEff,FT_AnnivDays-1,0))),IF(AT45="PT",IF(BO45&lt;PT_First,0,1+INT((BO45-PT_First)/PT_Int)),0))+IF(AND(AM45&gt;=2,AO45&lt;=(SchemeStart-1)),IF(AU45="FT",IF(BP45&lt;FT_First,0,IF(BP45&lt;FT_Y5,1+INT((BP45-FT_First)/FT_Int1),FT_PreY5+FT_PerYear*INT((BP45-FT_Y5)/12)+FT_AnnivDays+INT(MOD(BP45-FT_Y5,12)/FT_Int2)-IF(EDATE(AL45,FT_Y5)&lt;PolicyEff,FT_AnnivDays-1,0))),IF(AU45="PT",IF(BP45&lt;PT_First,0,1+INT((BP45-PT_First)/PT_Int)),0))-IF(AU45="FT",IF(BO45&lt;FT_First,0,IF(BO45&lt;FT_Y5,1+INT((BO45-FT_First)/FT_Int1),FT_PreY5+FT_PerYear*INT((BO45-FT_Y5)/12)+FT_AnnivDays+INT(MOD(BO45-FT_Y5,12)/FT_Int2)-IF(EDATE(AL45,FT_Y5)&lt;PolicyEff,FT_AnnivDays-1,0))),IF(AU45="PT",IF(BO45&lt;PT_First,0,1+INT((BO45-PT_First)/PT_Int)),0)),0)+IF(AND(AM45&gt;=3,AP45&lt;=(SchemeStart-1)),IF(AV45="FT",IF(BN45&lt;FT_First,0,IF(BN45&lt;FT_Y5,1+INT((BN45-FT_First)/FT_Int1),FT_PreY5+FT_PerYear*INT((BN45-FT_Y5)/12)+FT_AnnivDays+INT(MOD(BN45-FT_Y5,12)/FT_Int2)-IF(EDATE(AL45,FT_Y5)&lt;PolicyEff,FT_AnnivDays-1,0))),IF(AV45="PT",IF(BN45&lt;PT_First,0,1+INT((BN45-PT_First)/PT_Int)),0))-IF(AV45="FT",IF(BP45&lt;FT_First,0,IF(BP45&lt;FT_Y5,1+INT((BP45-FT_First)/FT_Int1),FT_PreY5+FT_PerYear*INT((BP45-FT_Y5)/12)+FT_AnnivDays+INT(MOD(BP45-FT_Y5,12)/FT_Int2)-IF(EDATE(AL45,FT_Y5)&lt;PolicyEff,FT_AnnivDays-1,0))),IF(AV45="PT",IF(BP45&lt;PT_First,0,1+INT((BP45-PT_First)/PT_Int)),0)),0))</f>
        <v/>
      </c>
      <c r="BR45" s="0" t="str">
        <f aca="false">IF(LEN($A45&amp;$B45)=0,"",$A45&amp;" "&amp;$B45)</f>
        <v/>
      </c>
    </row>
    <row r="46" customFormat="false" ht="15" hidden="false" customHeight="false" outlineLevel="0" collapsed="false">
      <c r="A46" s="12"/>
      <c r="B46" s="12"/>
      <c r="C46" s="12"/>
      <c r="D46" s="13"/>
      <c r="E46" s="14" t="str">
        <f aca="false">IF(OR(AK46=0,$D46=""),"",DATE(YEAR(AsOfDate)+IF(DATE(YEAR(AsOfDate),MONTH($D46),DAY($D46))&lt;=AsOfDate,1,0),MONTH($D46),DAY($D46)))</f>
        <v/>
      </c>
      <c r="F46" s="13"/>
      <c r="G46" s="13"/>
      <c r="H46" s="13"/>
      <c r="I46" s="13"/>
      <c r="J46" s="13"/>
      <c r="K46" s="14" t="str">
        <f aca="false">IF(AK46=0,"",DATE(YEAR(AsOfDate)+IF(DATE(YEAR(AsOfDate),MONTH(AL46),DAY(AL46))&lt;=AsOfDate,1,0),MONTH(AL46),DAY(AL46)))</f>
        <v/>
      </c>
      <c r="L46" s="15" t="str">
        <f aca="false">IF(AK46=0,"",ROUND((AsOfDate-AL46)/365.25,1))</f>
        <v/>
      </c>
      <c r="M46" s="16" t="str">
        <f aca="false">IF(AK46=0,"",IF(AsOfDate&lt;AL46,"-",DATEDIF(AL46,AsOfDate,"y")&amp;"y "&amp;DATEDIF(AL46,AsOfDate,"ym")&amp;"m "&amp;DATEDIF(AL46,AsOfDate,"md")&amp;"d"))</f>
        <v/>
      </c>
      <c r="N46" s="17" t="str">
        <f aca="false">IF(AK46=0,"",O46*HoursPerDay)</f>
        <v/>
      </c>
      <c r="O46" s="17" t="str">
        <f aca="false">IF(AK46=0,"",MAX(0,BD46-BQ46))</f>
        <v/>
      </c>
      <c r="P46" s="18"/>
      <c r="Q46" s="16" t="str">
        <f aca="false">IF(AK46=0,"",IF(AM46&lt;2,"",AQ46&amp;" to "&amp;AR46&amp;" on "&amp;TEXT(AO46,"dd/mm/yyyy")&amp;IF(AO46&gt;AsOfDate," (future)",IF(AT46=AU46,"",IF(AU46="None"," - STOPPED accruing",IF(AT46="None"," - commencement for Bonus Leave"," - pathway changed"))))&amp;IF(AM46&lt;3,"","; "&amp;AR46&amp;" to "&amp;AS46&amp;" on "&amp;TEXT(AP46,"dd/mm/yyyy")&amp;IF(AP46&gt;AsOfDate," (future)",IF(AU46=AV46,"",IF(AV46="None"," - STOPPED accruing",IF(AU46="None"," - commencement for Bonus Leave"," - pathway changed")))))))</f>
        <v/>
      </c>
      <c r="R46" s="16" t="str">
        <f aca="false">IF(AK46=0,"",IF(AW46="None",IF(O46&gt;0,"No longer accruing","Not eligible - "&amp;IF(AND(OR(ISNUMBER(SEARCH("part",$C46)),UPPER(TRIM($C46))="PT",UPPER(TRIM($C46))="PTE"),Apply2026="No"),"part-time (scheme is full-time only)",IF(AND(OR(ISNUMBER(SEARCH("part",$C46)),UPPER(TRIM($C46))="PT",UPPER(TRIM($C46))="PTE"),$P46&lt;&gt;"",N($P46)&lt;PT_MinHours),"under "&amp;PT_MinHours&amp;" hrs",IF(IF($C46="","",IF(OR(ISNUMBER(SEARCH("full",$C46)),UPPER(TRIM($C46))="FT",UPPER(TRIM($C46))="FTE"),"Full-Time",IF(OR(ISNUMBER(SEARCH("part",$C46)),UPPER(TRIM($C46))="PT",UPPER(TRIM($C46))="PTE"),"Part-Time",IF(OR(ISNUMBER(SEARCH("cas",$C46)),UPPER(TRIM($C46))="CAS"),"Casual","Unknown"))))="Unknown","type not recognised",$C46)))),IF(O46&gt;0,"Yes - Accrual Required","Not yet - from "&amp;TEXT(S46,"dd/mm/yyyy"))))</f>
        <v/>
      </c>
      <c r="S46" s="14" t="str">
        <f aca="false">IF(AK46=0,"",IF(AW46="None","",EDATE(AL46,BF46)))</f>
        <v/>
      </c>
      <c r="T46" s="17" t="str">
        <f aca="false">IF(AK46=0,"",IF(NOT(LH_Ready),"",IF($F46&gt;PFYDate,0,IF(LH_ColPeriod=0,W46-U46+V46,SUMIFS(INDEX(LH_Data,0,LH_ColAcc),INDEX(LH_Data,0,LH_ColFirst),$A46,INDEX(LH_Data,0,LH_ColSur),$B46,INDEX(LH_Data,0,LH_ColCat),BonusCat,INDEX(LH_Data,0,LH_ColPeriod),LH_OpenLabel)*UnitFactor))))</f>
        <v/>
      </c>
      <c r="U46" s="17" t="str">
        <f aca="false">IF(AK46=0,"",IF(NOT(LH_Ready),"",SUMIFS(INDEX(LH_Data,0,LH_ColAcc),INDEX(LH_Data,0,LH_ColFirst),$A46,INDEX(LH_Data,0,LH_ColSur),$B46,INDEX(LH_Data,0,LH_ColCat),BonusCat,INDEX(LH_Data,0,LH_ColStart),"&gt;="&amp;AL46)*UnitFactor))</f>
        <v/>
      </c>
      <c r="V46" s="17" t="str">
        <f aca="false">IF(AK46=0,"",IF(NOT(LH_Ready),"",SUMIFS(INDEX(LH_Data,0,LH_ColTaken),INDEX(LH_Data,0,LH_ColFirst),$A46,INDEX(LH_Data,0,LH_ColSur),$B46,INDEX(LH_Data,0,LH_ColCat),BonusCat,INDEX(LH_Data,0,LH_ColStart),"&gt;="&amp;AL46)*UnitFactor))</f>
        <v/>
      </c>
      <c r="W46" s="17" t="str">
        <f aca="false">IF(AK46=0,"",IF(NOT(LH_Ready),"",IF(BH46=0,0,INDEX(INDEX(LH_Data,0,LH_ColClose),BH46-1)*UnitFactor)))</f>
        <v/>
      </c>
      <c r="X46" s="17" t="str">
        <f aca="false">IF(AK46=0,"",(MAX(0,BD46-BQ46)-MAX(0,BE46-BQ46))*HoursPerDay)</f>
        <v/>
      </c>
      <c r="Y46" s="17" t="str">
        <f aca="false">IF(AK46=0,"",IF(NOT(LH_Ready),"",IF($AI46="Yes",N(AE46)*HoursPerDay-SUMIFS(INDEX(LH_Data,0,LH_ColAcc),INDEX(LH_Data,0,LH_ColFirst),$A46,INDEX(LH_Data,0,LH_ColSur),$B46,INDEX(LH_Data,0,LH_ColCat),BonusCat,INDEX(LH_Data,0,LH_ColStart),"&gt;="&amp;(EOMONTH(AsOfDate,-1)+1),INDEX(LH_Data,0,LH_ColStart),"&lt;="&amp;AsOfDate)*UnitFactor,IF(BG46=0,N46,N46-N(T46)-N(U46)))))</f>
        <v/>
      </c>
      <c r="Z46" s="16" t="str">
        <f aca="false">IF(OR(AK46=0,Y46=""),"",IF(Y46&gt;0,"Yes","No"))</f>
        <v/>
      </c>
      <c r="AA46" s="16" t="str">
        <f aca="false">IF(AK46=0,IF(LEN($A46&amp;$B46)=0,"","FIX INPUT - StartDate missing"),IF(AD46&lt;&gt;"","FIX INPUT - "&amp;AD46,IF(NOT(LH_Ready),"Paste Leave History export (Settings must show YES)",IF(AND($AI46="Yes",Y46&lt;=0),"OK - EH balance accepted to date"&amp;IF(N(AH46)&gt;0," (EH holds "&amp;AH46&amp;" hrs over the scheme)","")&amp;"; next day "&amp;TEXT(S46,"dd mmm yy")&amp;IF(N(AE46)&gt;0," ("&amp;AE46&amp;" day(s) for "&amp;UPPER(TEXT(AsOfDate,"mmm yyyy"))&amp;" already in EH)",""),IF(Y46&gt;0,"ACCRUE "&amp;ROUND(Y46,2)&amp;" hrs ("&amp;ROUND(Y46/HoursPerDay,2)&amp;" days): "&amp;IF(N(AE46)&gt;0,AE46&amp;" day(s) for "&amp;UPPER(TEXT(AsOfDate,"mmm yyyy"))&amp;" (milestone "&amp;UPPER(TEXT(AF46,"dd mmm yy"))&amp;")"&amp;IF(Y46/HoursPerDay&gt;AE46+0.001," + "&amp;ROUND(Y46/HoursPerDay-AE46,2)&amp;" day(s) catch-up from earlier months",""),"all catch-up from earlier months, nothing new this month")&amp;IF(BG46=0,"; no Bonus Leave in EH yet",""),IF(Y46&lt;0,"CHECK - EH accrued "&amp;ROUND(-Y46,2)&amp;" hrs more than policy since commencement",IF(N(W46)&gt;O46*HoursPerDay+0.01,"CHECK - EH balance "&amp;ROUND(W46-O46*HoursPerDay,2)&amp;" hrs more than policy entitlement",IF(O46&gt;0,"OK - nothing to add"&amp;IF(N(AE46)&gt;0," ("&amp;AE46&amp;" day(s) for "&amp;UPPER(TEXT(AsOfDate,"mmm yyyy"))&amp;" already in EH)",""),IF(AW46="None",R46,"Not yet - first day on "&amp;TEXT(S46,"dd/mm/yyyy"))))))))))</f>
        <v/>
      </c>
      <c r="AB46" s="17" t="str">
        <f aca="false">IF(OR(AK46=0,T46=""),"",MAX(0,BE46-BQ46)*HoursPerDay-T46)</f>
        <v/>
      </c>
      <c r="AC46" s="16" t="str">
        <f aca="false">IF(AK46=0,"",BG46)</f>
        <v/>
      </c>
      <c r="AD46" s="16" t="str">
        <f aca="false">IF(AK46=0,"",TRIM(IF(OR(ISTEXT($F46),ISTEXT($H46),ISTEXT($I46),ISTEXT($G46),ISTEXT($J46),ISTEXT($D46)),"A date is typed as text - retype it as dd/mm/yyyy. ","")&amp;IF(IF($C46="","",IF(OR(ISNUMBER(SEARCH("full",$C46)),UPPER(TRIM($C46))="FT",UPPER(TRIM($C46))="FTE"),"Full-Time",IF(OR(ISNUMBER(SEARCH("part",$C46)),UPPER(TRIM($C46))="PT",UPPER(TRIM($C46))="PTE"),"Part-Time",IF(OR(ISNUMBER(SEARCH("cas",$C46)),UPPER(TRIM($C46))="CAS"),"Casual","Unknown"))))="Unknown","EmploymentType not recognised - use Full-Time, Part-Time or Casual. ","")&amp;IF(AND(AM46&gt;=1,IF(AM46&gt;=3,AS46,IF(AM46=2,AR46,AQ46))&lt;&gt;IF($C46="","",IF(OR(ISNUMBER(SEARCH("full",$C46)),UPPER(TRIM($C46))="FT",UPPER(TRIM($C46))="FTE"),"Full-Time",IF(OR(ISNUMBER(SEARCH("part",$C46)),UPPER(TRIM($C46))="PT",UPPER(TRIM($C46))="PTE"),"Part-Time",IF(OR(ISNUMBER(SEARCH("cas",$C46)),UPPER(TRIM($C46))="CAS"),"Casual","Unknown"))))),"EmploymentType does not match latest start date ("&amp;IF(AM46&gt;=3,AS46,IF(AM46=2,AR46,AQ46))&amp;"). ","")&amp;IF(AND(AM46&gt;=1,AN46&lt;&gt;$F46),"Earliest type date should equal StartDate. ","")&amp;IF(AND(AM46&gt;=2,AN46=AO46),"Two types start on the same date. ","")&amp;IF(AND(OR(ISNUMBER(SEARCH("part",$C46)),UPPER(TRIM($C46))="PT",UPPER(TRIM($C46))="PTE"),$P46=""),"Part-time: enter PT Hrs/Week (blank = 24+). ","")))</f>
        <v/>
      </c>
      <c r="AE46" s="17" t="str">
        <f aca="false">IF(AK46=0,"",O46-MAX(0,BL46-BQ46))</f>
        <v/>
      </c>
      <c r="AF46" s="14" t="str">
        <f aca="false">IF(OR(AK46=0,AE46="",N(AE46)=0,BM46=""),"",EDATE(AL46,BM46))</f>
        <v/>
      </c>
      <c r="AG46" s="17" t="str">
        <f aca="false">IF(AK46=0,"",MIN(BD46,BQ46))</f>
        <v/>
      </c>
      <c r="AH46" s="17" t="str">
        <f aca="false">IF(AK46=0,"",IF(NOT(LH_Ready),"",IF(BG46=0,0,MAX(0,ROUND(N(T46)+N(U46)-N46,2)))))</f>
        <v/>
      </c>
      <c r="AI46" s="12"/>
      <c r="AJ46" s="12"/>
      <c r="AK46" s="16" t="n">
        <f aca="false">IF(OR(LEN($A46&amp;$B46)=0,$F46=""),0,1)</f>
        <v>0</v>
      </c>
      <c r="AL46" s="14" t="str">
        <f aca="false">IF(AK46=0,"",IF(PreSchemeCounts="No",MAX(SchemeStart,IF($J46&lt;&gt;"",$J46,IF(OR(CasualCounts="Yes",COUNT($G46:$I46)=0),$F46,IF(Apply2026="No",IF($I46="",$F46,$I46),IF(COUNT($H46:$I46)=0,$F46,MIN($H46:$I46)))))),IF($J46&lt;&gt;"",$J46,IF(OR(CasualCounts="Yes",COUNT($G46:$I46)=0),$F46,IF(Apply2026="No",IF($I46="",$F46,$I46),IF(COUNT($H46:$I46)=0,$F46,MIN($H46:$I46)))))))</f>
        <v/>
      </c>
      <c r="AM46" s="16" t="str">
        <f aca="false">IF(AK46=0,"",COUNT($G46:$I46))</f>
        <v/>
      </c>
      <c r="AN46" s="14" t="str">
        <f aca="false">IF(AK46=0,"",IFERROR(SMALL($G46:$I46,1),""))</f>
        <v/>
      </c>
      <c r="AO46" s="14" t="str">
        <f aca="false">IF(AK46=0,"",IFERROR(SMALL($G46:$I46,2),""))</f>
        <v/>
      </c>
      <c r="AP46" s="14" t="str">
        <f aca="false">IF(AK46=0,"",IFERROR(SMALL($G46:$I46,3),""))</f>
        <v/>
      </c>
      <c r="AQ46" s="16" t="str">
        <f aca="false">IF(AK46=0,"",IF(AN46="","",IF(AN46=$H46,"Part-Time",IF(AN46=$I46,"Full-Time","Casual"))))</f>
        <v/>
      </c>
      <c r="AR46" s="16" t="str">
        <f aca="false">IF(AK46=0,"",IF(AO46="","",IF(AO46=$H46,"Part-Time",IF(AO46=$I46,"Full-Time","Casual"))))</f>
        <v/>
      </c>
      <c r="AS46" s="16" t="str">
        <f aca="false">IF(AK46=0,"",IF(AP46="","",IF(AP46=$H46,"Part-Time",IF(AP46=$I46,"Full-Time","Casual"))))</f>
        <v/>
      </c>
      <c r="AT46" s="16" t="str">
        <f aca="false">IF(AK46=0,"",IF(AM46=0,IF(OR(ISNUMBER(SEARCH("full",$C46)),UPPER(TRIM($C46))="FT",UPPER(TRIM($C46))="FTE"),"FT",IF(AND(OR(ISNUMBER(SEARCH("part",$C46)),UPPER(TRIM($C46))="PT",UPPER(TRIM($C46))="PTE"),Apply2026="Yes",OR($P46="",N($P46)&gt;=PT_MinHours)),"PT","None")),IF(OR(ISNUMBER(SEARCH("full",AQ46)),UPPER(TRIM(AQ46))="FT",UPPER(TRIM(AQ46))="FTE"),"FT",IF(AND(OR(ISNUMBER(SEARCH("part",AQ46)),UPPER(TRIM(AQ46))="PT",UPPER(TRIM(AQ46))="PTE"),Apply2026="Yes",OR($P46="",N($P46)&gt;=PT_MinHours)),"PT","None"))))</f>
        <v/>
      </c>
      <c r="AU46" s="16" t="str">
        <f aca="false">IF(AK46=0,"",IF(AM46&lt;2,"",IF(OR(ISNUMBER(SEARCH("full",AR46)),UPPER(TRIM(AR46))="FT",UPPER(TRIM(AR46))="FTE"),"FT",IF(AND(OR(ISNUMBER(SEARCH("part",AR46)),UPPER(TRIM(AR46))="PT",UPPER(TRIM(AR46))="PTE"),Apply2026="Yes",OR($P46="",N($P46)&gt;=PT_MinHours)),"PT","None"))))</f>
        <v/>
      </c>
      <c r="AV46" s="16" t="str">
        <f aca="false">IF(AK46=0,"",IF(AM46&lt;3,"",IF(OR(ISNUMBER(SEARCH("full",AS46)),UPPER(TRIM(AS46))="FT",UPPER(TRIM(AS46))="FTE"),"FT",IF(AND(OR(ISNUMBER(SEARCH("part",AS46)),UPPER(TRIM(AS46))="PT",UPPER(TRIM(AS46))="PTE"),Apply2026="Yes",OR($P46="",N($P46)&gt;=PT_MinHours)),"PT","None"))))</f>
        <v/>
      </c>
      <c r="AW46" s="16" t="str">
        <f aca="false">IF(AK46=0,"",IF(AND(AM46&gt;=3,AP46&lt;=AsOfDate),AV46,IF(AND(AM46&gt;=2,AO46&lt;=AsOfDate),AU46,AT46)))</f>
        <v/>
      </c>
      <c r="AX46" s="16" t="str">
        <f aca="false">IF(AK46=0,"",IF(AsOfDate&lt;AL46,-1,12*(YEAR(AsOfDate)-YEAR(AL46))+MONTH(AsOfDate)-MONTH(AL46)-IF(DAY(AsOfDate)&lt;MIN(DAY(AL46),DAY(EOMONTH(AsOfDate,0))),1,0)))</f>
        <v/>
      </c>
      <c r="AY46" s="16" t="str">
        <f aca="false">IF(AK46=0,"",IF(OR(AM46&lt;2,AO46&gt;AsOfDate),AX46,IF((AO46-1)&lt;AL46,-1,12*(YEAR((AO46-1))-YEAR(AL46))+MONTH((AO46-1))-MONTH(AL46)-IF(DAY((AO46-1))&lt;MIN(DAY(AL46),DAY(EOMONTH((AO46-1),0))),1,0))))</f>
        <v/>
      </c>
      <c r="AZ46" s="16" t="str">
        <f aca="false">IF(AK46=0,"",IF(OR(AM46&lt;3,AP46&gt;AsOfDate),AX46,IF((AP46-1)&lt;AL46,-1,12*(YEAR((AP46-1))-YEAR(AL46))+MONTH((AP46-1))-MONTH(AL46)-IF(DAY((AP46-1))&lt;MIN(DAY(AL46),DAY(EOMONTH((AP46-1),0))),1,0))))</f>
        <v/>
      </c>
      <c r="BA46" s="16" t="str">
        <f aca="false">IF(AK46=0,"",IF(PFYDate&lt;AL46,-1,12*(YEAR(PFYDate)-YEAR(AL46))+MONTH(PFYDate)-MONTH(AL46)-IF(DAY(PFYDate)&lt;MIN(DAY(AL46),DAY(EOMONTH(PFYDate,0))),1,0)))</f>
        <v/>
      </c>
      <c r="BB46" s="16" t="str">
        <f aca="false">IF(AK46=0,"",IF(OR(AM46&lt;2,AO46&gt;PFYDate),BA46,IF((AO46-1)&lt;AL46,-1,12*(YEAR((AO46-1))-YEAR(AL46))+MONTH((AO46-1))-MONTH(AL46)-IF(DAY((AO46-1))&lt;MIN(DAY(AL46),DAY(EOMONTH((AO46-1),0))),1,0))))</f>
        <v/>
      </c>
      <c r="BC46" s="16" t="str">
        <f aca="false">IF(AK46=0,"",IF(OR(AM46&lt;3,AP46&gt;PFYDate),BA46,IF((AP46-1)&lt;AL46,-1,12*(YEAR((AP46-1))-YEAR(AL46))+MONTH((AP46-1))-MONTH(AL46)-IF(DAY((AP46-1))&lt;MIN(DAY(AL46),DAY(EOMONTH((AP46-1),0))),1,0))))</f>
        <v/>
      </c>
      <c r="BD46" s="16" t="str">
        <f aca="false">IF(AK46=0,"",IF(AT46="FT",IF(AY46&lt;FT_First,0,IF(AY46&lt;FT_Y5,1+INT((AY46-FT_First)/FT_Int1),FT_PreY5+FT_PerYear*INT((AY46-FT_Y5)/12)+FT_AnnivDays+INT(MOD(AY46-FT_Y5,12)/FT_Int2)-IF(EDATE(AL46,FT_Y5)&lt;PolicyEff,FT_AnnivDays-1,0))),IF(AT46="PT",IF(AY46&lt;PT_First,0,1+INT((AY46-PT_First)/PT_Int)),0))+IF(AND(AM46&gt;=2,AO46&lt;=AsOfDate),IF(AU46="FT",IF(AZ46&lt;FT_First,0,IF(AZ46&lt;FT_Y5,1+INT((AZ46-FT_First)/FT_Int1),FT_PreY5+FT_PerYear*INT((AZ46-FT_Y5)/12)+FT_AnnivDays+INT(MOD(AZ46-FT_Y5,12)/FT_Int2)-IF(EDATE(AL46,FT_Y5)&lt;PolicyEff,FT_AnnivDays-1,0))),IF(AU46="PT",IF(AZ46&lt;PT_First,0,1+INT((AZ46-PT_First)/PT_Int)),0))-IF(AU46="FT",IF(AY46&lt;FT_First,0,IF(AY46&lt;FT_Y5,1+INT((AY46-FT_First)/FT_Int1),FT_PreY5+FT_PerYear*INT((AY46-FT_Y5)/12)+FT_AnnivDays+INT(MOD(AY46-FT_Y5,12)/FT_Int2)-IF(EDATE(AL46,FT_Y5)&lt;PolicyEff,FT_AnnivDays-1,0))),IF(AU46="PT",IF(AY46&lt;PT_First,0,1+INT((AY46-PT_First)/PT_Int)),0)),0)+IF(AND(AM46&gt;=3,AP46&lt;=AsOfDate),IF(AV46="FT",IF(AX46&lt;FT_First,0,IF(AX46&lt;FT_Y5,1+INT((AX46-FT_First)/FT_Int1),FT_PreY5+FT_PerYear*INT((AX46-FT_Y5)/12)+FT_AnnivDays+INT(MOD(AX46-FT_Y5,12)/FT_Int2)-IF(EDATE(AL46,FT_Y5)&lt;PolicyEff,FT_AnnivDays-1,0))),IF(AV46="PT",IF(AX46&lt;PT_First,0,1+INT((AX46-PT_First)/PT_Int)),0))-IF(AV46="FT",IF(AZ46&lt;FT_First,0,IF(AZ46&lt;FT_Y5,1+INT((AZ46-FT_First)/FT_Int1),FT_PreY5+FT_PerYear*INT((AZ46-FT_Y5)/12)+FT_AnnivDays+INT(MOD(AZ46-FT_Y5,12)/FT_Int2)-IF(EDATE(AL46,FT_Y5)&lt;PolicyEff,FT_AnnivDays-1,0))),IF(AV46="PT",IF(AZ46&lt;PT_First,0,1+INT((AZ46-PT_First)/PT_Int)),0)),0))</f>
        <v/>
      </c>
      <c r="BE46" s="16" t="str">
        <f aca="false">IF(AK46=0,"",IF(AT46="FT",IF(BB46&lt;FT_First,0,IF(BB46&lt;FT_Y5,1+INT((BB46-FT_First)/FT_Int1),FT_PreY5+FT_PerYear*INT((BB46-FT_Y5)/12)+FT_AnnivDays+INT(MOD(BB46-FT_Y5,12)/FT_Int2)-IF(EDATE(AL46,FT_Y5)&lt;PolicyEff,FT_AnnivDays-1,0))),IF(AT46="PT",IF(BB46&lt;PT_First,0,1+INT((BB46-PT_First)/PT_Int)),0))+IF(AND(AM46&gt;=2,AO46&lt;=PFYDate),IF(AU46="FT",IF(BC46&lt;FT_First,0,IF(BC46&lt;FT_Y5,1+INT((BC46-FT_First)/FT_Int1),FT_PreY5+FT_PerYear*INT((BC46-FT_Y5)/12)+FT_AnnivDays+INT(MOD(BC46-FT_Y5,12)/FT_Int2)-IF(EDATE(AL46,FT_Y5)&lt;PolicyEff,FT_AnnivDays-1,0))),IF(AU46="PT",IF(BC46&lt;PT_First,0,1+INT((BC46-PT_First)/PT_Int)),0))-IF(AU46="FT",IF(BB46&lt;FT_First,0,IF(BB46&lt;FT_Y5,1+INT((BB46-FT_First)/FT_Int1),FT_PreY5+FT_PerYear*INT((BB46-FT_Y5)/12)+FT_AnnivDays+INT(MOD(BB46-FT_Y5,12)/FT_Int2)-IF(EDATE(AL46,FT_Y5)&lt;PolicyEff,FT_AnnivDays-1,0))),IF(AU46="PT",IF(BB46&lt;PT_First,0,1+INT((BB46-PT_First)/PT_Int)),0)),0)+IF(AND(AM46&gt;=3,AP46&lt;=PFYDate),IF(AV46="FT",IF(BA46&lt;FT_First,0,IF(BA46&lt;FT_Y5,1+INT((BA46-FT_First)/FT_Int1),FT_PreY5+FT_PerYear*INT((BA46-FT_Y5)/12)+FT_AnnivDays+INT(MOD(BA46-FT_Y5,12)/FT_Int2)-IF(EDATE(AL46,FT_Y5)&lt;PolicyEff,FT_AnnivDays-1,0))),IF(AV46="PT",IF(BA46&lt;PT_First,0,1+INT((BA46-PT_First)/PT_Int)),0))-IF(AV46="FT",IF(BC46&lt;FT_First,0,IF(BC46&lt;FT_Y5,1+INT((BC46-FT_First)/FT_Int1),FT_PreY5+FT_PerYear*INT((BC46-FT_Y5)/12)+FT_AnnivDays+INT(MOD(BC46-FT_Y5,12)/FT_Int2)-IF(EDATE(AL46,FT_Y5)&lt;PolicyEff,FT_AnnivDays-1,0))),IF(AV46="PT",IF(BC46&lt;PT_First,0,1+INT((BC46-PT_First)/PT_Int)),0)),0))</f>
        <v/>
      </c>
      <c r="BF46" s="16" t="str">
        <f aca="false">IF(AK46=0,"",IF(AW46="FT",IF(AX46&lt;FT_First,FT_First,IF(AX46&lt;FT_Y5,MIN(FT_Y5,FT_First+FT_Int1*(INT((AX46-FT_First)/FT_Int1)+1)),FT_Y5+12*INT((AX46-FT_Y5)/12)+FT_Int2*(INT(MOD(AX46-FT_Y5,12)/FT_Int2)+1))),IF(AW46="PT",IF(AX46&lt;PT_First,PT_First,PT_First+PT_Int*(INT((AX46-PT_First)/PT_Int)+1)),"")))</f>
        <v/>
      </c>
      <c r="BG46" s="16" t="str">
        <f aca="false">IF(AK46=0,"",IF(NOT(LH_Ready),0,COUNTIFS(INDEX(LH_Data,0,LH_ColFirst),$A46,INDEX(LH_Data,0,LH_ColSur),$B46,INDEX(LH_Data,0,LH_ColCat),BonusCat)))</f>
        <v/>
      </c>
      <c r="BH46" s="16" t="str">
        <f aca="false">IF(AK46=0,"",IF(OR(NOT(LH_Ready),BG46=0),0,SUMPRODUCT(MAX((INDEX(LH_Data,0,LH_ColFirst)=$A46)*(INDEX(LH_Data,0,LH_ColSur)=$B46)*(INDEX(LH_Data,0,LH_ColCat)=BonusCat)*ROW(LH_Data)))))</f>
        <v/>
      </c>
      <c r="BI46" s="16" t="str">
        <f aca="false">IF(AK46=0,"",IF(EOMONTH(AsOfDate,-1)&lt;AL46,-1,12*(YEAR(EOMONTH(AsOfDate,-1))-YEAR(AL46))+MONTH(EOMONTH(AsOfDate,-1))-MONTH(AL46)-IF(DAY(EOMONTH(AsOfDate,-1))&lt;MIN(DAY(AL46),DAY(EOMONTH(EOMONTH(AsOfDate,-1),0))),1,0)))</f>
        <v/>
      </c>
      <c r="BJ46" s="16" t="str">
        <f aca="false">IF(AK46=0,"",IF(OR(AM46&lt;2,AO46&gt;EOMONTH(AsOfDate,-1)),BI46,IF((AO46-1)&lt;AL46,-1,12*(YEAR((AO46-1))-YEAR(AL46))+MONTH((AO46-1))-MONTH(AL46)-IF(DAY((AO46-1))&lt;MIN(DAY(AL46),DAY(EOMONTH((AO46-1),0))),1,0))))</f>
        <v/>
      </c>
      <c r="BK46" s="16" t="str">
        <f aca="false">IF(AK46=0,"",IF(OR(AM46&lt;3,AP46&gt;EOMONTH(AsOfDate,-1)),BI46,IF((AP46-1)&lt;AL46,-1,12*(YEAR((AP46-1))-YEAR(AL46))+MONTH((AP46-1))-MONTH(AL46)-IF(DAY((AP46-1))&lt;MIN(DAY(AL46),DAY(EOMONTH((AP46-1),0))),1,0))))</f>
        <v/>
      </c>
      <c r="BL46" s="16" t="str">
        <f aca="false">IF(AK46=0,"",IF(AT46="FT",IF(BJ46&lt;FT_First,0,IF(BJ46&lt;FT_Y5,1+INT((BJ46-FT_First)/FT_Int1),FT_PreY5+FT_PerYear*INT((BJ46-FT_Y5)/12)+FT_AnnivDays+INT(MOD(BJ46-FT_Y5,12)/FT_Int2)-IF(EDATE(AL46,FT_Y5)&lt;PolicyEff,FT_AnnivDays-1,0))),IF(AT46="PT",IF(BJ46&lt;PT_First,0,1+INT((BJ46-PT_First)/PT_Int)),0))+IF(AND(AM46&gt;=2,AO46&lt;=EOMONTH(AsOfDate,-1)),IF(AU46="FT",IF(BK46&lt;FT_First,0,IF(BK46&lt;FT_Y5,1+INT((BK46-FT_First)/FT_Int1),FT_PreY5+FT_PerYear*INT((BK46-FT_Y5)/12)+FT_AnnivDays+INT(MOD(BK46-FT_Y5,12)/FT_Int2)-IF(EDATE(AL46,FT_Y5)&lt;PolicyEff,FT_AnnivDays-1,0))),IF(AU46="PT",IF(BK46&lt;PT_First,0,1+INT((BK46-PT_First)/PT_Int)),0))-IF(AU46="FT",IF(BJ46&lt;FT_First,0,IF(BJ46&lt;FT_Y5,1+INT((BJ46-FT_First)/FT_Int1),FT_PreY5+FT_PerYear*INT((BJ46-FT_Y5)/12)+FT_AnnivDays+INT(MOD(BJ46-FT_Y5,12)/FT_Int2)-IF(EDATE(AL46,FT_Y5)&lt;PolicyEff,FT_AnnivDays-1,0))),IF(AU46="PT",IF(BJ46&lt;PT_First,0,1+INT((BJ46-PT_First)/PT_Int)),0)),0)+IF(AND(AM46&gt;=3,AP46&lt;=EOMONTH(AsOfDate,-1)),IF(AV46="FT",IF(BI46&lt;FT_First,0,IF(BI46&lt;FT_Y5,1+INT((BI46-FT_First)/FT_Int1),FT_PreY5+FT_PerYear*INT((BI46-FT_Y5)/12)+FT_AnnivDays+INT(MOD(BI46-FT_Y5,12)/FT_Int2)-IF(EDATE(AL46,FT_Y5)&lt;PolicyEff,FT_AnnivDays-1,0))),IF(AV46="PT",IF(BI46&lt;PT_First,0,1+INT((BI46-PT_First)/PT_Int)),0))-IF(AV46="FT",IF(BK46&lt;FT_First,0,IF(BK46&lt;FT_Y5,1+INT((BK46-FT_First)/FT_Int1),FT_PreY5+FT_PerYear*INT((BK46-FT_Y5)/12)+FT_AnnivDays+INT(MOD(BK46-FT_Y5,12)/FT_Int2)-IF(EDATE(AL46,FT_Y5)&lt;PolicyEff,FT_AnnivDays-1,0))),IF(AV46="PT",IF(BK46&lt;PT_First,0,1+INT((BK46-PT_First)/PT_Int)),0)),0))</f>
        <v/>
      </c>
      <c r="BM46" s="16" t="str">
        <f aca="false">IF(AK46=0,"",IF(AW46="FT",IF(AX46&lt;FT_First,"",IF(AX46&lt;FT_Y5,FT_First+FT_Int1*INT((AX46-FT_First)/FT_Int1),FT_Y5+FT_Int2*INT((AX46-FT_Y5)/FT_Int2))),IF(AW46="PT",IF(AX46&lt;PT_First,"",PT_First+PT_Int*INT((AX46-PT_First)/PT_Int)),"")))</f>
        <v/>
      </c>
      <c r="BN46" s="16" t="str">
        <f aca="false">IF(AK46=0,"",IF((SchemeStart-1)&lt;AL46,-1,12*(YEAR((SchemeStart-1))-YEAR(AL46))+MONTH((SchemeStart-1))-MONTH(AL46)-IF(DAY((SchemeStart-1))&lt;MIN(DAY(AL46),DAY(EOMONTH((SchemeStart-1),0))),1,0)))</f>
        <v/>
      </c>
      <c r="BO46" s="16" t="str">
        <f aca="false">IF(AK46=0,"",IF(OR(AM46&lt;2,AO46&gt;(SchemeStart-1)),BN46,IF((AO46-1)&lt;AL46,-1,12*(YEAR((AO46-1))-YEAR(AL46))+MONTH((AO46-1))-MONTH(AL46)-IF(DAY((AO46-1))&lt;MIN(DAY(AL46),DAY(EOMONTH((AO46-1),0))),1,0))))</f>
        <v/>
      </c>
      <c r="BP46" s="16" t="str">
        <f aca="false">IF(AK46=0,"",IF(OR(AM46&lt;3,AP46&gt;(SchemeStart-1)),BN46,IF((AP46-1)&lt;AL46,-1,12*(YEAR((AP46-1))-YEAR(AL46))+MONTH((AP46-1))-MONTH(AL46)-IF(DAY((AP46-1))&lt;MIN(DAY(AL46),DAY(EOMONTH((AP46-1),0))),1,0))))</f>
        <v/>
      </c>
      <c r="BQ46" s="16" t="str">
        <f aca="false">IF(AK46=0,"",IF(AT46="FT",IF(BO46&lt;FT_First,0,IF(BO46&lt;FT_Y5,1+INT((BO46-FT_First)/FT_Int1),FT_PreY5+FT_PerYear*INT((BO46-FT_Y5)/12)+FT_AnnivDays+INT(MOD(BO46-FT_Y5,12)/FT_Int2)-IF(EDATE(AL46,FT_Y5)&lt;PolicyEff,FT_AnnivDays-1,0))),IF(AT46="PT",IF(BO46&lt;PT_First,0,1+INT((BO46-PT_First)/PT_Int)),0))+IF(AND(AM46&gt;=2,AO46&lt;=(SchemeStart-1)),IF(AU46="FT",IF(BP46&lt;FT_First,0,IF(BP46&lt;FT_Y5,1+INT((BP46-FT_First)/FT_Int1),FT_PreY5+FT_PerYear*INT((BP46-FT_Y5)/12)+FT_AnnivDays+INT(MOD(BP46-FT_Y5,12)/FT_Int2)-IF(EDATE(AL46,FT_Y5)&lt;PolicyEff,FT_AnnivDays-1,0))),IF(AU46="PT",IF(BP46&lt;PT_First,0,1+INT((BP46-PT_First)/PT_Int)),0))-IF(AU46="FT",IF(BO46&lt;FT_First,0,IF(BO46&lt;FT_Y5,1+INT((BO46-FT_First)/FT_Int1),FT_PreY5+FT_PerYear*INT((BO46-FT_Y5)/12)+FT_AnnivDays+INT(MOD(BO46-FT_Y5,12)/FT_Int2)-IF(EDATE(AL46,FT_Y5)&lt;PolicyEff,FT_AnnivDays-1,0))),IF(AU46="PT",IF(BO46&lt;PT_First,0,1+INT((BO46-PT_First)/PT_Int)),0)),0)+IF(AND(AM46&gt;=3,AP46&lt;=(SchemeStart-1)),IF(AV46="FT",IF(BN46&lt;FT_First,0,IF(BN46&lt;FT_Y5,1+INT((BN46-FT_First)/FT_Int1),FT_PreY5+FT_PerYear*INT((BN46-FT_Y5)/12)+FT_AnnivDays+INT(MOD(BN46-FT_Y5,12)/FT_Int2)-IF(EDATE(AL46,FT_Y5)&lt;PolicyEff,FT_AnnivDays-1,0))),IF(AV46="PT",IF(BN46&lt;PT_First,0,1+INT((BN46-PT_First)/PT_Int)),0))-IF(AV46="FT",IF(BP46&lt;FT_First,0,IF(BP46&lt;FT_Y5,1+INT((BP46-FT_First)/FT_Int1),FT_PreY5+FT_PerYear*INT((BP46-FT_Y5)/12)+FT_AnnivDays+INT(MOD(BP46-FT_Y5,12)/FT_Int2)-IF(EDATE(AL46,FT_Y5)&lt;PolicyEff,FT_AnnivDays-1,0))),IF(AV46="PT",IF(BP46&lt;PT_First,0,1+INT((BP46-PT_First)/PT_Int)),0)),0))</f>
        <v/>
      </c>
      <c r="BR46" s="0" t="str">
        <f aca="false">IF(LEN($A46&amp;$B46)=0,"",$A46&amp;" "&amp;$B46)</f>
        <v/>
      </c>
    </row>
    <row r="47" customFormat="false" ht="15" hidden="false" customHeight="false" outlineLevel="0" collapsed="false">
      <c r="A47" s="12"/>
      <c r="B47" s="12"/>
      <c r="C47" s="12"/>
      <c r="D47" s="13"/>
      <c r="E47" s="14" t="str">
        <f aca="false">IF(OR(AK47=0,$D47=""),"",DATE(YEAR(AsOfDate)+IF(DATE(YEAR(AsOfDate),MONTH($D47),DAY($D47))&lt;=AsOfDate,1,0),MONTH($D47),DAY($D47)))</f>
        <v/>
      </c>
      <c r="F47" s="13"/>
      <c r="G47" s="13"/>
      <c r="H47" s="13"/>
      <c r="I47" s="13"/>
      <c r="J47" s="13"/>
      <c r="K47" s="14" t="str">
        <f aca="false">IF(AK47=0,"",DATE(YEAR(AsOfDate)+IF(DATE(YEAR(AsOfDate),MONTH(AL47),DAY(AL47))&lt;=AsOfDate,1,0),MONTH(AL47),DAY(AL47)))</f>
        <v/>
      </c>
      <c r="L47" s="15" t="str">
        <f aca="false">IF(AK47=0,"",ROUND((AsOfDate-AL47)/365.25,1))</f>
        <v/>
      </c>
      <c r="M47" s="16" t="str">
        <f aca="false">IF(AK47=0,"",IF(AsOfDate&lt;AL47,"-",DATEDIF(AL47,AsOfDate,"y")&amp;"y "&amp;DATEDIF(AL47,AsOfDate,"ym")&amp;"m "&amp;DATEDIF(AL47,AsOfDate,"md")&amp;"d"))</f>
        <v/>
      </c>
      <c r="N47" s="17" t="str">
        <f aca="false">IF(AK47=0,"",O47*HoursPerDay)</f>
        <v/>
      </c>
      <c r="O47" s="17" t="str">
        <f aca="false">IF(AK47=0,"",MAX(0,BD47-BQ47))</f>
        <v/>
      </c>
      <c r="P47" s="18"/>
      <c r="Q47" s="16" t="str">
        <f aca="false">IF(AK47=0,"",IF(AM47&lt;2,"",AQ47&amp;" to "&amp;AR47&amp;" on "&amp;TEXT(AO47,"dd/mm/yyyy")&amp;IF(AO47&gt;AsOfDate," (future)",IF(AT47=AU47,"",IF(AU47="None"," - STOPPED accruing",IF(AT47="None"," - commencement for Bonus Leave"," - pathway changed"))))&amp;IF(AM47&lt;3,"","; "&amp;AR47&amp;" to "&amp;AS47&amp;" on "&amp;TEXT(AP47,"dd/mm/yyyy")&amp;IF(AP47&gt;AsOfDate," (future)",IF(AU47=AV47,"",IF(AV47="None"," - STOPPED accruing",IF(AU47="None"," - commencement for Bonus Leave"," - pathway changed")))))))</f>
        <v/>
      </c>
      <c r="R47" s="16" t="str">
        <f aca="false">IF(AK47=0,"",IF(AW47="None",IF(O47&gt;0,"No longer accruing","Not eligible - "&amp;IF(AND(OR(ISNUMBER(SEARCH("part",$C47)),UPPER(TRIM($C47))="PT",UPPER(TRIM($C47))="PTE"),Apply2026="No"),"part-time (scheme is full-time only)",IF(AND(OR(ISNUMBER(SEARCH("part",$C47)),UPPER(TRIM($C47))="PT",UPPER(TRIM($C47))="PTE"),$P47&lt;&gt;"",N($P47)&lt;PT_MinHours),"under "&amp;PT_MinHours&amp;" hrs",IF(IF($C47="","",IF(OR(ISNUMBER(SEARCH("full",$C47)),UPPER(TRIM($C47))="FT",UPPER(TRIM($C47))="FTE"),"Full-Time",IF(OR(ISNUMBER(SEARCH("part",$C47)),UPPER(TRIM($C47))="PT",UPPER(TRIM($C47))="PTE"),"Part-Time",IF(OR(ISNUMBER(SEARCH("cas",$C47)),UPPER(TRIM($C47))="CAS"),"Casual","Unknown"))))="Unknown","type not recognised",$C47)))),IF(O47&gt;0,"Yes - Accrual Required","Not yet - from "&amp;TEXT(S47,"dd/mm/yyyy"))))</f>
        <v/>
      </c>
      <c r="S47" s="14" t="str">
        <f aca="false">IF(AK47=0,"",IF(AW47="None","",EDATE(AL47,BF47)))</f>
        <v/>
      </c>
      <c r="T47" s="17" t="str">
        <f aca="false">IF(AK47=0,"",IF(NOT(LH_Ready),"",IF($F47&gt;PFYDate,0,IF(LH_ColPeriod=0,W47-U47+V47,SUMIFS(INDEX(LH_Data,0,LH_ColAcc),INDEX(LH_Data,0,LH_ColFirst),$A47,INDEX(LH_Data,0,LH_ColSur),$B47,INDEX(LH_Data,0,LH_ColCat),BonusCat,INDEX(LH_Data,0,LH_ColPeriod),LH_OpenLabel)*UnitFactor))))</f>
        <v/>
      </c>
      <c r="U47" s="17" t="str">
        <f aca="false">IF(AK47=0,"",IF(NOT(LH_Ready),"",SUMIFS(INDEX(LH_Data,0,LH_ColAcc),INDEX(LH_Data,0,LH_ColFirst),$A47,INDEX(LH_Data,0,LH_ColSur),$B47,INDEX(LH_Data,0,LH_ColCat),BonusCat,INDEX(LH_Data,0,LH_ColStart),"&gt;="&amp;AL47)*UnitFactor))</f>
        <v/>
      </c>
      <c r="V47" s="17" t="str">
        <f aca="false">IF(AK47=0,"",IF(NOT(LH_Ready),"",SUMIFS(INDEX(LH_Data,0,LH_ColTaken),INDEX(LH_Data,0,LH_ColFirst),$A47,INDEX(LH_Data,0,LH_ColSur),$B47,INDEX(LH_Data,0,LH_ColCat),BonusCat,INDEX(LH_Data,0,LH_ColStart),"&gt;="&amp;AL47)*UnitFactor))</f>
        <v/>
      </c>
      <c r="W47" s="17" t="str">
        <f aca="false">IF(AK47=0,"",IF(NOT(LH_Ready),"",IF(BH47=0,0,INDEX(INDEX(LH_Data,0,LH_ColClose),BH47-1)*UnitFactor)))</f>
        <v/>
      </c>
      <c r="X47" s="17" t="str">
        <f aca="false">IF(AK47=0,"",(MAX(0,BD47-BQ47)-MAX(0,BE47-BQ47))*HoursPerDay)</f>
        <v/>
      </c>
      <c r="Y47" s="17" t="str">
        <f aca="false">IF(AK47=0,"",IF(NOT(LH_Ready),"",IF($AI47="Yes",N(AE47)*HoursPerDay-SUMIFS(INDEX(LH_Data,0,LH_ColAcc),INDEX(LH_Data,0,LH_ColFirst),$A47,INDEX(LH_Data,0,LH_ColSur),$B47,INDEX(LH_Data,0,LH_ColCat),BonusCat,INDEX(LH_Data,0,LH_ColStart),"&gt;="&amp;(EOMONTH(AsOfDate,-1)+1),INDEX(LH_Data,0,LH_ColStart),"&lt;="&amp;AsOfDate)*UnitFactor,IF(BG47=0,N47,N47-N(T47)-N(U47)))))</f>
        <v/>
      </c>
      <c r="Z47" s="16" t="str">
        <f aca="false">IF(OR(AK47=0,Y47=""),"",IF(Y47&gt;0,"Yes","No"))</f>
        <v/>
      </c>
      <c r="AA47" s="16" t="str">
        <f aca="false">IF(AK47=0,IF(LEN($A47&amp;$B47)=0,"","FIX INPUT - StartDate missing"),IF(AD47&lt;&gt;"","FIX INPUT - "&amp;AD47,IF(NOT(LH_Ready),"Paste Leave History export (Settings must show YES)",IF(AND($AI47="Yes",Y47&lt;=0),"OK - EH balance accepted to date"&amp;IF(N(AH47)&gt;0," (EH holds "&amp;AH47&amp;" hrs over the scheme)","")&amp;"; next day "&amp;TEXT(S47,"dd mmm yy")&amp;IF(N(AE47)&gt;0," ("&amp;AE47&amp;" day(s) for "&amp;UPPER(TEXT(AsOfDate,"mmm yyyy"))&amp;" already in EH)",""),IF(Y47&gt;0,"ACCRUE "&amp;ROUND(Y47,2)&amp;" hrs ("&amp;ROUND(Y47/HoursPerDay,2)&amp;" days): "&amp;IF(N(AE47)&gt;0,AE47&amp;" day(s) for "&amp;UPPER(TEXT(AsOfDate,"mmm yyyy"))&amp;" (milestone "&amp;UPPER(TEXT(AF47,"dd mmm yy"))&amp;")"&amp;IF(Y47/HoursPerDay&gt;AE47+0.001," + "&amp;ROUND(Y47/HoursPerDay-AE47,2)&amp;" day(s) catch-up from earlier months",""),"all catch-up from earlier months, nothing new this month")&amp;IF(BG47=0,"; no Bonus Leave in EH yet",""),IF(Y47&lt;0,"CHECK - EH accrued "&amp;ROUND(-Y47,2)&amp;" hrs more than policy since commencement",IF(N(W47)&gt;O47*HoursPerDay+0.01,"CHECK - EH balance "&amp;ROUND(W47-O47*HoursPerDay,2)&amp;" hrs more than policy entitlement",IF(O47&gt;0,"OK - nothing to add"&amp;IF(N(AE47)&gt;0," ("&amp;AE47&amp;" day(s) for "&amp;UPPER(TEXT(AsOfDate,"mmm yyyy"))&amp;" already in EH)",""),IF(AW47="None",R47,"Not yet - first day on "&amp;TEXT(S47,"dd/mm/yyyy"))))))))))</f>
        <v/>
      </c>
      <c r="AB47" s="17" t="str">
        <f aca="false">IF(OR(AK47=0,T47=""),"",MAX(0,BE47-BQ47)*HoursPerDay-T47)</f>
        <v/>
      </c>
      <c r="AC47" s="16" t="str">
        <f aca="false">IF(AK47=0,"",BG47)</f>
        <v/>
      </c>
      <c r="AD47" s="16" t="str">
        <f aca="false">IF(AK47=0,"",TRIM(IF(OR(ISTEXT($F47),ISTEXT($H47),ISTEXT($I47),ISTEXT($G47),ISTEXT($J47),ISTEXT($D47)),"A date is typed as text - retype it as dd/mm/yyyy. ","")&amp;IF(IF($C47="","",IF(OR(ISNUMBER(SEARCH("full",$C47)),UPPER(TRIM($C47))="FT",UPPER(TRIM($C47))="FTE"),"Full-Time",IF(OR(ISNUMBER(SEARCH("part",$C47)),UPPER(TRIM($C47))="PT",UPPER(TRIM($C47))="PTE"),"Part-Time",IF(OR(ISNUMBER(SEARCH("cas",$C47)),UPPER(TRIM($C47))="CAS"),"Casual","Unknown"))))="Unknown","EmploymentType not recognised - use Full-Time, Part-Time or Casual. ","")&amp;IF(AND(AM47&gt;=1,IF(AM47&gt;=3,AS47,IF(AM47=2,AR47,AQ47))&lt;&gt;IF($C47="","",IF(OR(ISNUMBER(SEARCH("full",$C47)),UPPER(TRIM($C47))="FT",UPPER(TRIM($C47))="FTE"),"Full-Time",IF(OR(ISNUMBER(SEARCH("part",$C47)),UPPER(TRIM($C47))="PT",UPPER(TRIM($C47))="PTE"),"Part-Time",IF(OR(ISNUMBER(SEARCH("cas",$C47)),UPPER(TRIM($C47))="CAS"),"Casual","Unknown"))))),"EmploymentType does not match latest start date ("&amp;IF(AM47&gt;=3,AS47,IF(AM47=2,AR47,AQ47))&amp;"). ","")&amp;IF(AND(AM47&gt;=1,AN47&lt;&gt;$F47),"Earliest type date should equal StartDate. ","")&amp;IF(AND(AM47&gt;=2,AN47=AO47),"Two types start on the same date. ","")&amp;IF(AND(OR(ISNUMBER(SEARCH("part",$C47)),UPPER(TRIM($C47))="PT",UPPER(TRIM($C47))="PTE"),$P47=""),"Part-time: enter PT Hrs/Week (blank = 24+). ","")))</f>
        <v/>
      </c>
      <c r="AE47" s="17" t="str">
        <f aca="false">IF(AK47=0,"",O47-MAX(0,BL47-BQ47))</f>
        <v/>
      </c>
      <c r="AF47" s="14" t="str">
        <f aca="false">IF(OR(AK47=0,AE47="",N(AE47)=0,BM47=""),"",EDATE(AL47,BM47))</f>
        <v/>
      </c>
      <c r="AG47" s="17" t="str">
        <f aca="false">IF(AK47=0,"",MIN(BD47,BQ47))</f>
        <v/>
      </c>
      <c r="AH47" s="17" t="str">
        <f aca="false">IF(AK47=0,"",IF(NOT(LH_Ready),"",IF(BG47=0,0,MAX(0,ROUND(N(T47)+N(U47)-N47,2)))))</f>
        <v/>
      </c>
      <c r="AI47" s="12"/>
      <c r="AJ47" s="12"/>
      <c r="AK47" s="16" t="n">
        <f aca="false">IF(OR(LEN($A47&amp;$B47)=0,$F47=""),0,1)</f>
        <v>0</v>
      </c>
      <c r="AL47" s="14" t="str">
        <f aca="false">IF(AK47=0,"",IF(PreSchemeCounts="No",MAX(SchemeStart,IF($J47&lt;&gt;"",$J47,IF(OR(CasualCounts="Yes",COUNT($G47:$I47)=0),$F47,IF(Apply2026="No",IF($I47="",$F47,$I47),IF(COUNT($H47:$I47)=0,$F47,MIN($H47:$I47)))))),IF($J47&lt;&gt;"",$J47,IF(OR(CasualCounts="Yes",COUNT($G47:$I47)=0),$F47,IF(Apply2026="No",IF($I47="",$F47,$I47),IF(COUNT($H47:$I47)=0,$F47,MIN($H47:$I47)))))))</f>
        <v/>
      </c>
      <c r="AM47" s="16" t="str">
        <f aca="false">IF(AK47=0,"",COUNT($G47:$I47))</f>
        <v/>
      </c>
      <c r="AN47" s="14" t="str">
        <f aca="false">IF(AK47=0,"",IFERROR(SMALL($G47:$I47,1),""))</f>
        <v/>
      </c>
      <c r="AO47" s="14" t="str">
        <f aca="false">IF(AK47=0,"",IFERROR(SMALL($G47:$I47,2),""))</f>
        <v/>
      </c>
      <c r="AP47" s="14" t="str">
        <f aca="false">IF(AK47=0,"",IFERROR(SMALL($G47:$I47,3),""))</f>
        <v/>
      </c>
      <c r="AQ47" s="16" t="str">
        <f aca="false">IF(AK47=0,"",IF(AN47="","",IF(AN47=$H47,"Part-Time",IF(AN47=$I47,"Full-Time","Casual"))))</f>
        <v/>
      </c>
      <c r="AR47" s="16" t="str">
        <f aca="false">IF(AK47=0,"",IF(AO47="","",IF(AO47=$H47,"Part-Time",IF(AO47=$I47,"Full-Time","Casual"))))</f>
        <v/>
      </c>
      <c r="AS47" s="16" t="str">
        <f aca="false">IF(AK47=0,"",IF(AP47="","",IF(AP47=$H47,"Part-Time",IF(AP47=$I47,"Full-Time","Casual"))))</f>
        <v/>
      </c>
      <c r="AT47" s="16" t="str">
        <f aca="false">IF(AK47=0,"",IF(AM47=0,IF(OR(ISNUMBER(SEARCH("full",$C47)),UPPER(TRIM($C47))="FT",UPPER(TRIM($C47))="FTE"),"FT",IF(AND(OR(ISNUMBER(SEARCH("part",$C47)),UPPER(TRIM($C47))="PT",UPPER(TRIM($C47))="PTE"),Apply2026="Yes",OR($P47="",N($P47)&gt;=PT_MinHours)),"PT","None")),IF(OR(ISNUMBER(SEARCH("full",AQ47)),UPPER(TRIM(AQ47))="FT",UPPER(TRIM(AQ47))="FTE"),"FT",IF(AND(OR(ISNUMBER(SEARCH("part",AQ47)),UPPER(TRIM(AQ47))="PT",UPPER(TRIM(AQ47))="PTE"),Apply2026="Yes",OR($P47="",N($P47)&gt;=PT_MinHours)),"PT","None"))))</f>
        <v/>
      </c>
      <c r="AU47" s="16" t="str">
        <f aca="false">IF(AK47=0,"",IF(AM47&lt;2,"",IF(OR(ISNUMBER(SEARCH("full",AR47)),UPPER(TRIM(AR47))="FT",UPPER(TRIM(AR47))="FTE"),"FT",IF(AND(OR(ISNUMBER(SEARCH("part",AR47)),UPPER(TRIM(AR47))="PT",UPPER(TRIM(AR47))="PTE"),Apply2026="Yes",OR($P47="",N($P47)&gt;=PT_MinHours)),"PT","None"))))</f>
        <v/>
      </c>
      <c r="AV47" s="16" t="str">
        <f aca="false">IF(AK47=0,"",IF(AM47&lt;3,"",IF(OR(ISNUMBER(SEARCH("full",AS47)),UPPER(TRIM(AS47))="FT",UPPER(TRIM(AS47))="FTE"),"FT",IF(AND(OR(ISNUMBER(SEARCH("part",AS47)),UPPER(TRIM(AS47))="PT",UPPER(TRIM(AS47))="PTE"),Apply2026="Yes",OR($P47="",N($P47)&gt;=PT_MinHours)),"PT","None"))))</f>
        <v/>
      </c>
      <c r="AW47" s="16" t="str">
        <f aca="false">IF(AK47=0,"",IF(AND(AM47&gt;=3,AP47&lt;=AsOfDate),AV47,IF(AND(AM47&gt;=2,AO47&lt;=AsOfDate),AU47,AT47)))</f>
        <v/>
      </c>
      <c r="AX47" s="16" t="str">
        <f aca="false">IF(AK47=0,"",IF(AsOfDate&lt;AL47,-1,12*(YEAR(AsOfDate)-YEAR(AL47))+MONTH(AsOfDate)-MONTH(AL47)-IF(DAY(AsOfDate)&lt;MIN(DAY(AL47),DAY(EOMONTH(AsOfDate,0))),1,0)))</f>
        <v/>
      </c>
      <c r="AY47" s="16" t="str">
        <f aca="false">IF(AK47=0,"",IF(OR(AM47&lt;2,AO47&gt;AsOfDate),AX47,IF((AO47-1)&lt;AL47,-1,12*(YEAR((AO47-1))-YEAR(AL47))+MONTH((AO47-1))-MONTH(AL47)-IF(DAY((AO47-1))&lt;MIN(DAY(AL47),DAY(EOMONTH((AO47-1),0))),1,0))))</f>
        <v/>
      </c>
      <c r="AZ47" s="16" t="str">
        <f aca="false">IF(AK47=0,"",IF(OR(AM47&lt;3,AP47&gt;AsOfDate),AX47,IF((AP47-1)&lt;AL47,-1,12*(YEAR((AP47-1))-YEAR(AL47))+MONTH((AP47-1))-MONTH(AL47)-IF(DAY((AP47-1))&lt;MIN(DAY(AL47),DAY(EOMONTH((AP47-1),0))),1,0))))</f>
        <v/>
      </c>
      <c r="BA47" s="16" t="str">
        <f aca="false">IF(AK47=0,"",IF(PFYDate&lt;AL47,-1,12*(YEAR(PFYDate)-YEAR(AL47))+MONTH(PFYDate)-MONTH(AL47)-IF(DAY(PFYDate)&lt;MIN(DAY(AL47),DAY(EOMONTH(PFYDate,0))),1,0)))</f>
        <v/>
      </c>
      <c r="BB47" s="16" t="str">
        <f aca="false">IF(AK47=0,"",IF(OR(AM47&lt;2,AO47&gt;PFYDate),BA47,IF((AO47-1)&lt;AL47,-1,12*(YEAR((AO47-1))-YEAR(AL47))+MONTH((AO47-1))-MONTH(AL47)-IF(DAY((AO47-1))&lt;MIN(DAY(AL47),DAY(EOMONTH((AO47-1),0))),1,0))))</f>
        <v/>
      </c>
      <c r="BC47" s="16" t="str">
        <f aca="false">IF(AK47=0,"",IF(OR(AM47&lt;3,AP47&gt;PFYDate),BA47,IF((AP47-1)&lt;AL47,-1,12*(YEAR((AP47-1))-YEAR(AL47))+MONTH((AP47-1))-MONTH(AL47)-IF(DAY((AP47-1))&lt;MIN(DAY(AL47),DAY(EOMONTH((AP47-1),0))),1,0))))</f>
        <v/>
      </c>
      <c r="BD47" s="16" t="str">
        <f aca="false">IF(AK47=0,"",IF(AT47="FT",IF(AY47&lt;FT_First,0,IF(AY47&lt;FT_Y5,1+INT((AY47-FT_First)/FT_Int1),FT_PreY5+FT_PerYear*INT((AY47-FT_Y5)/12)+FT_AnnivDays+INT(MOD(AY47-FT_Y5,12)/FT_Int2)-IF(EDATE(AL47,FT_Y5)&lt;PolicyEff,FT_AnnivDays-1,0))),IF(AT47="PT",IF(AY47&lt;PT_First,0,1+INT((AY47-PT_First)/PT_Int)),0))+IF(AND(AM47&gt;=2,AO47&lt;=AsOfDate),IF(AU47="FT",IF(AZ47&lt;FT_First,0,IF(AZ47&lt;FT_Y5,1+INT((AZ47-FT_First)/FT_Int1),FT_PreY5+FT_PerYear*INT((AZ47-FT_Y5)/12)+FT_AnnivDays+INT(MOD(AZ47-FT_Y5,12)/FT_Int2)-IF(EDATE(AL47,FT_Y5)&lt;PolicyEff,FT_AnnivDays-1,0))),IF(AU47="PT",IF(AZ47&lt;PT_First,0,1+INT((AZ47-PT_First)/PT_Int)),0))-IF(AU47="FT",IF(AY47&lt;FT_First,0,IF(AY47&lt;FT_Y5,1+INT((AY47-FT_First)/FT_Int1),FT_PreY5+FT_PerYear*INT((AY47-FT_Y5)/12)+FT_AnnivDays+INT(MOD(AY47-FT_Y5,12)/FT_Int2)-IF(EDATE(AL47,FT_Y5)&lt;PolicyEff,FT_AnnivDays-1,0))),IF(AU47="PT",IF(AY47&lt;PT_First,0,1+INT((AY47-PT_First)/PT_Int)),0)),0)+IF(AND(AM47&gt;=3,AP47&lt;=AsOfDate),IF(AV47="FT",IF(AX47&lt;FT_First,0,IF(AX47&lt;FT_Y5,1+INT((AX47-FT_First)/FT_Int1),FT_PreY5+FT_PerYear*INT((AX47-FT_Y5)/12)+FT_AnnivDays+INT(MOD(AX47-FT_Y5,12)/FT_Int2)-IF(EDATE(AL47,FT_Y5)&lt;PolicyEff,FT_AnnivDays-1,0))),IF(AV47="PT",IF(AX47&lt;PT_First,0,1+INT((AX47-PT_First)/PT_Int)),0))-IF(AV47="FT",IF(AZ47&lt;FT_First,0,IF(AZ47&lt;FT_Y5,1+INT((AZ47-FT_First)/FT_Int1),FT_PreY5+FT_PerYear*INT((AZ47-FT_Y5)/12)+FT_AnnivDays+INT(MOD(AZ47-FT_Y5,12)/FT_Int2)-IF(EDATE(AL47,FT_Y5)&lt;PolicyEff,FT_AnnivDays-1,0))),IF(AV47="PT",IF(AZ47&lt;PT_First,0,1+INT((AZ47-PT_First)/PT_Int)),0)),0))</f>
        <v/>
      </c>
      <c r="BE47" s="16" t="str">
        <f aca="false">IF(AK47=0,"",IF(AT47="FT",IF(BB47&lt;FT_First,0,IF(BB47&lt;FT_Y5,1+INT((BB47-FT_First)/FT_Int1),FT_PreY5+FT_PerYear*INT((BB47-FT_Y5)/12)+FT_AnnivDays+INT(MOD(BB47-FT_Y5,12)/FT_Int2)-IF(EDATE(AL47,FT_Y5)&lt;PolicyEff,FT_AnnivDays-1,0))),IF(AT47="PT",IF(BB47&lt;PT_First,0,1+INT((BB47-PT_First)/PT_Int)),0))+IF(AND(AM47&gt;=2,AO47&lt;=PFYDate),IF(AU47="FT",IF(BC47&lt;FT_First,0,IF(BC47&lt;FT_Y5,1+INT((BC47-FT_First)/FT_Int1),FT_PreY5+FT_PerYear*INT((BC47-FT_Y5)/12)+FT_AnnivDays+INT(MOD(BC47-FT_Y5,12)/FT_Int2)-IF(EDATE(AL47,FT_Y5)&lt;PolicyEff,FT_AnnivDays-1,0))),IF(AU47="PT",IF(BC47&lt;PT_First,0,1+INT((BC47-PT_First)/PT_Int)),0))-IF(AU47="FT",IF(BB47&lt;FT_First,0,IF(BB47&lt;FT_Y5,1+INT((BB47-FT_First)/FT_Int1),FT_PreY5+FT_PerYear*INT((BB47-FT_Y5)/12)+FT_AnnivDays+INT(MOD(BB47-FT_Y5,12)/FT_Int2)-IF(EDATE(AL47,FT_Y5)&lt;PolicyEff,FT_AnnivDays-1,0))),IF(AU47="PT",IF(BB47&lt;PT_First,0,1+INT((BB47-PT_First)/PT_Int)),0)),0)+IF(AND(AM47&gt;=3,AP47&lt;=PFYDate),IF(AV47="FT",IF(BA47&lt;FT_First,0,IF(BA47&lt;FT_Y5,1+INT((BA47-FT_First)/FT_Int1),FT_PreY5+FT_PerYear*INT((BA47-FT_Y5)/12)+FT_AnnivDays+INT(MOD(BA47-FT_Y5,12)/FT_Int2)-IF(EDATE(AL47,FT_Y5)&lt;PolicyEff,FT_AnnivDays-1,0))),IF(AV47="PT",IF(BA47&lt;PT_First,0,1+INT((BA47-PT_First)/PT_Int)),0))-IF(AV47="FT",IF(BC47&lt;FT_First,0,IF(BC47&lt;FT_Y5,1+INT((BC47-FT_First)/FT_Int1),FT_PreY5+FT_PerYear*INT((BC47-FT_Y5)/12)+FT_AnnivDays+INT(MOD(BC47-FT_Y5,12)/FT_Int2)-IF(EDATE(AL47,FT_Y5)&lt;PolicyEff,FT_AnnivDays-1,0))),IF(AV47="PT",IF(BC47&lt;PT_First,0,1+INT((BC47-PT_First)/PT_Int)),0)),0))</f>
        <v/>
      </c>
      <c r="BF47" s="16" t="str">
        <f aca="false">IF(AK47=0,"",IF(AW47="FT",IF(AX47&lt;FT_First,FT_First,IF(AX47&lt;FT_Y5,MIN(FT_Y5,FT_First+FT_Int1*(INT((AX47-FT_First)/FT_Int1)+1)),FT_Y5+12*INT((AX47-FT_Y5)/12)+FT_Int2*(INT(MOD(AX47-FT_Y5,12)/FT_Int2)+1))),IF(AW47="PT",IF(AX47&lt;PT_First,PT_First,PT_First+PT_Int*(INT((AX47-PT_First)/PT_Int)+1)),"")))</f>
        <v/>
      </c>
      <c r="BG47" s="16" t="str">
        <f aca="false">IF(AK47=0,"",IF(NOT(LH_Ready),0,COUNTIFS(INDEX(LH_Data,0,LH_ColFirst),$A47,INDEX(LH_Data,0,LH_ColSur),$B47,INDEX(LH_Data,0,LH_ColCat),BonusCat)))</f>
        <v/>
      </c>
      <c r="BH47" s="16" t="str">
        <f aca="false">IF(AK47=0,"",IF(OR(NOT(LH_Ready),BG47=0),0,SUMPRODUCT(MAX((INDEX(LH_Data,0,LH_ColFirst)=$A47)*(INDEX(LH_Data,0,LH_ColSur)=$B47)*(INDEX(LH_Data,0,LH_ColCat)=BonusCat)*ROW(LH_Data)))))</f>
        <v/>
      </c>
      <c r="BI47" s="16" t="str">
        <f aca="false">IF(AK47=0,"",IF(EOMONTH(AsOfDate,-1)&lt;AL47,-1,12*(YEAR(EOMONTH(AsOfDate,-1))-YEAR(AL47))+MONTH(EOMONTH(AsOfDate,-1))-MONTH(AL47)-IF(DAY(EOMONTH(AsOfDate,-1))&lt;MIN(DAY(AL47),DAY(EOMONTH(EOMONTH(AsOfDate,-1),0))),1,0)))</f>
        <v/>
      </c>
      <c r="BJ47" s="16" t="str">
        <f aca="false">IF(AK47=0,"",IF(OR(AM47&lt;2,AO47&gt;EOMONTH(AsOfDate,-1)),BI47,IF((AO47-1)&lt;AL47,-1,12*(YEAR((AO47-1))-YEAR(AL47))+MONTH((AO47-1))-MONTH(AL47)-IF(DAY((AO47-1))&lt;MIN(DAY(AL47),DAY(EOMONTH((AO47-1),0))),1,0))))</f>
        <v/>
      </c>
      <c r="BK47" s="16" t="str">
        <f aca="false">IF(AK47=0,"",IF(OR(AM47&lt;3,AP47&gt;EOMONTH(AsOfDate,-1)),BI47,IF((AP47-1)&lt;AL47,-1,12*(YEAR((AP47-1))-YEAR(AL47))+MONTH((AP47-1))-MONTH(AL47)-IF(DAY((AP47-1))&lt;MIN(DAY(AL47),DAY(EOMONTH((AP47-1),0))),1,0))))</f>
        <v/>
      </c>
      <c r="BL47" s="16" t="str">
        <f aca="false">IF(AK47=0,"",IF(AT47="FT",IF(BJ47&lt;FT_First,0,IF(BJ47&lt;FT_Y5,1+INT((BJ47-FT_First)/FT_Int1),FT_PreY5+FT_PerYear*INT((BJ47-FT_Y5)/12)+FT_AnnivDays+INT(MOD(BJ47-FT_Y5,12)/FT_Int2)-IF(EDATE(AL47,FT_Y5)&lt;PolicyEff,FT_AnnivDays-1,0))),IF(AT47="PT",IF(BJ47&lt;PT_First,0,1+INT((BJ47-PT_First)/PT_Int)),0))+IF(AND(AM47&gt;=2,AO47&lt;=EOMONTH(AsOfDate,-1)),IF(AU47="FT",IF(BK47&lt;FT_First,0,IF(BK47&lt;FT_Y5,1+INT((BK47-FT_First)/FT_Int1),FT_PreY5+FT_PerYear*INT((BK47-FT_Y5)/12)+FT_AnnivDays+INT(MOD(BK47-FT_Y5,12)/FT_Int2)-IF(EDATE(AL47,FT_Y5)&lt;PolicyEff,FT_AnnivDays-1,0))),IF(AU47="PT",IF(BK47&lt;PT_First,0,1+INT((BK47-PT_First)/PT_Int)),0))-IF(AU47="FT",IF(BJ47&lt;FT_First,0,IF(BJ47&lt;FT_Y5,1+INT((BJ47-FT_First)/FT_Int1),FT_PreY5+FT_PerYear*INT((BJ47-FT_Y5)/12)+FT_AnnivDays+INT(MOD(BJ47-FT_Y5,12)/FT_Int2)-IF(EDATE(AL47,FT_Y5)&lt;PolicyEff,FT_AnnivDays-1,0))),IF(AU47="PT",IF(BJ47&lt;PT_First,0,1+INT((BJ47-PT_First)/PT_Int)),0)),0)+IF(AND(AM47&gt;=3,AP47&lt;=EOMONTH(AsOfDate,-1)),IF(AV47="FT",IF(BI47&lt;FT_First,0,IF(BI47&lt;FT_Y5,1+INT((BI47-FT_First)/FT_Int1),FT_PreY5+FT_PerYear*INT((BI47-FT_Y5)/12)+FT_AnnivDays+INT(MOD(BI47-FT_Y5,12)/FT_Int2)-IF(EDATE(AL47,FT_Y5)&lt;PolicyEff,FT_AnnivDays-1,0))),IF(AV47="PT",IF(BI47&lt;PT_First,0,1+INT((BI47-PT_First)/PT_Int)),0))-IF(AV47="FT",IF(BK47&lt;FT_First,0,IF(BK47&lt;FT_Y5,1+INT((BK47-FT_First)/FT_Int1),FT_PreY5+FT_PerYear*INT((BK47-FT_Y5)/12)+FT_AnnivDays+INT(MOD(BK47-FT_Y5,12)/FT_Int2)-IF(EDATE(AL47,FT_Y5)&lt;PolicyEff,FT_AnnivDays-1,0))),IF(AV47="PT",IF(BK47&lt;PT_First,0,1+INT((BK47-PT_First)/PT_Int)),0)),0))</f>
        <v/>
      </c>
      <c r="BM47" s="16" t="str">
        <f aca="false">IF(AK47=0,"",IF(AW47="FT",IF(AX47&lt;FT_First,"",IF(AX47&lt;FT_Y5,FT_First+FT_Int1*INT((AX47-FT_First)/FT_Int1),FT_Y5+FT_Int2*INT((AX47-FT_Y5)/FT_Int2))),IF(AW47="PT",IF(AX47&lt;PT_First,"",PT_First+PT_Int*INT((AX47-PT_First)/PT_Int)),"")))</f>
        <v/>
      </c>
      <c r="BN47" s="16" t="str">
        <f aca="false">IF(AK47=0,"",IF((SchemeStart-1)&lt;AL47,-1,12*(YEAR((SchemeStart-1))-YEAR(AL47))+MONTH((SchemeStart-1))-MONTH(AL47)-IF(DAY((SchemeStart-1))&lt;MIN(DAY(AL47),DAY(EOMONTH((SchemeStart-1),0))),1,0)))</f>
        <v/>
      </c>
      <c r="BO47" s="16" t="str">
        <f aca="false">IF(AK47=0,"",IF(OR(AM47&lt;2,AO47&gt;(SchemeStart-1)),BN47,IF((AO47-1)&lt;AL47,-1,12*(YEAR((AO47-1))-YEAR(AL47))+MONTH((AO47-1))-MONTH(AL47)-IF(DAY((AO47-1))&lt;MIN(DAY(AL47),DAY(EOMONTH((AO47-1),0))),1,0))))</f>
        <v/>
      </c>
      <c r="BP47" s="16" t="str">
        <f aca="false">IF(AK47=0,"",IF(OR(AM47&lt;3,AP47&gt;(SchemeStart-1)),BN47,IF((AP47-1)&lt;AL47,-1,12*(YEAR((AP47-1))-YEAR(AL47))+MONTH((AP47-1))-MONTH(AL47)-IF(DAY((AP47-1))&lt;MIN(DAY(AL47),DAY(EOMONTH((AP47-1),0))),1,0))))</f>
        <v/>
      </c>
      <c r="BQ47" s="16" t="str">
        <f aca="false">IF(AK47=0,"",IF(AT47="FT",IF(BO47&lt;FT_First,0,IF(BO47&lt;FT_Y5,1+INT((BO47-FT_First)/FT_Int1),FT_PreY5+FT_PerYear*INT((BO47-FT_Y5)/12)+FT_AnnivDays+INT(MOD(BO47-FT_Y5,12)/FT_Int2)-IF(EDATE(AL47,FT_Y5)&lt;PolicyEff,FT_AnnivDays-1,0))),IF(AT47="PT",IF(BO47&lt;PT_First,0,1+INT((BO47-PT_First)/PT_Int)),0))+IF(AND(AM47&gt;=2,AO47&lt;=(SchemeStart-1)),IF(AU47="FT",IF(BP47&lt;FT_First,0,IF(BP47&lt;FT_Y5,1+INT((BP47-FT_First)/FT_Int1),FT_PreY5+FT_PerYear*INT((BP47-FT_Y5)/12)+FT_AnnivDays+INT(MOD(BP47-FT_Y5,12)/FT_Int2)-IF(EDATE(AL47,FT_Y5)&lt;PolicyEff,FT_AnnivDays-1,0))),IF(AU47="PT",IF(BP47&lt;PT_First,0,1+INT((BP47-PT_First)/PT_Int)),0))-IF(AU47="FT",IF(BO47&lt;FT_First,0,IF(BO47&lt;FT_Y5,1+INT((BO47-FT_First)/FT_Int1),FT_PreY5+FT_PerYear*INT((BO47-FT_Y5)/12)+FT_AnnivDays+INT(MOD(BO47-FT_Y5,12)/FT_Int2)-IF(EDATE(AL47,FT_Y5)&lt;PolicyEff,FT_AnnivDays-1,0))),IF(AU47="PT",IF(BO47&lt;PT_First,0,1+INT((BO47-PT_First)/PT_Int)),0)),0)+IF(AND(AM47&gt;=3,AP47&lt;=(SchemeStart-1)),IF(AV47="FT",IF(BN47&lt;FT_First,0,IF(BN47&lt;FT_Y5,1+INT((BN47-FT_First)/FT_Int1),FT_PreY5+FT_PerYear*INT((BN47-FT_Y5)/12)+FT_AnnivDays+INT(MOD(BN47-FT_Y5,12)/FT_Int2)-IF(EDATE(AL47,FT_Y5)&lt;PolicyEff,FT_AnnivDays-1,0))),IF(AV47="PT",IF(BN47&lt;PT_First,0,1+INT((BN47-PT_First)/PT_Int)),0))-IF(AV47="FT",IF(BP47&lt;FT_First,0,IF(BP47&lt;FT_Y5,1+INT((BP47-FT_First)/FT_Int1),FT_PreY5+FT_PerYear*INT((BP47-FT_Y5)/12)+FT_AnnivDays+INT(MOD(BP47-FT_Y5,12)/FT_Int2)-IF(EDATE(AL47,FT_Y5)&lt;PolicyEff,FT_AnnivDays-1,0))),IF(AV47="PT",IF(BP47&lt;PT_First,0,1+INT((BP47-PT_First)/PT_Int)),0)),0))</f>
        <v/>
      </c>
      <c r="BR47" s="0" t="str">
        <f aca="false">IF(LEN($A47&amp;$B47)=0,"",$A47&amp;" "&amp;$B47)</f>
        <v/>
      </c>
    </row>
    <row r="48" customFormat="false" ht="15" hidden="false" customHeight="false" outlineLevel="0" collapsed="false">
      <c r="A48" s="12"/>
      <c r="B48" s="12"/>
      <c r="C48" s="12"/>
      <c r="D48" s="13"/>
      <c r="E48" s="14" t="str">
        <f aca="false">IF(OR(AK48=0,$D48=""),"",DATE(YEAR(AsOfDate)+IF(DATE(YEAR(AsOfDate),MONTH($D48),DAY($D48))&lt;=AsOfDate,1,0),MONTH($D48),DAY($D48)))</f>
        <v/>
      </c>
      <c r="F48" s="13"/>
      <c r="G48" s="13"/>
      <c r="H48" s="13"/>
      <c r="I48" s="13"/>
      <c r="J48" s="13"/>
      <c r="K48" s="14" t="str">
        <f aca="false">IF(AK48=0,"",DATE(YEAR(AsOfDate)+IF(DATE(YEAR(AsOfDate),MONTH(AL48),DAY(AL48))&lt;=AsOfDate,1,0),MONTH(AL48),DAY(AL48)))</f>
        <v/>
      </c>
      <c r="L48" s="15" t="str">
        <f aca="false">IF(AK48=0,"",ROUND((AsOfDate-AL48)/365.25,1))</f>
        <v/>
      </c>
      <c r="M48" s="16" t="str">
        <f aca="false">IF(AK48=0,"",IF(AsOfDate&lt;AL48,"-",DATEDIF(AL48,AsOfDate,"y")&amp;"y "&amp;DATEDIF(AL48,AsOfDate,"ym")&amp;"m "&amp;DATEDIF(AL48,AsOfDate,"md")&amp;"d"))</f>
        <v/>
      </c>
      <c r="N48" s="17" t="str">
        <f aca="false">IF(AK48=0,"",O48*HoursPerDay)</f>
        <v/>
      </c>
      <c r="O48" s="17" t="str">
        <f aca="false">IF(AK48=0,"",MAX(0,BD48-BQ48))</f>
        <v/>
      </c>
      <c r="P48" s="18"/>
      <c r="Q48" s="16" t="str">
        <f aca="false">IF(AK48=0,"",IF(AM48&lt;2,"",AQ48&amp;" to "&amp;AR48&amp;" on "&amp;TEXT(AO48,"dd/mm/yyyy")&amp;IF(AO48&gt;AsOfDate," (future)",IF(AT48=AU48,"",IF(AU48="None"," - STOPPED accruing",IF(AT48="None"," - commencement for Bonus Leave"," - pathway changed"))))&amp;IF(AM48&lt;3,"","; "&amp;AR48&amp;" to "&amp;AS48&amp;" on "&amp;TEXT(AP48,"dd/mm/yyyy")&amp;IF(AP48&gt;AsOfDate," (future)",IF(AU48=AV48,"",IF(AV48="None"," - STOPPED accruing",IF(AU48="None"," - commencement for Bonus Leave"," - pathway changed")))))))</f>
        <v/>
      </c>
      <c r="R48" s="16" t="str">
        <f aca="false">IF(AK48=0,"",IF(AW48="None",IF(O48&gt;0,"No longer accruing","Not eligible - "&amp;IF(AND(OR(ISNUMBER(SEARCH("part",$C48)),UPPER(TRIM($C48))="PT",UPPER(TRIM($C48))="PTE"),Apply2026="No"),"part-time (scheme is full-time only)",IF(AND(OR(ISNUMBER(SEARCH("part",$C48)),UPPER(TRIM($C48))="PT",UPPER(TRIM($C48))="PTE"),$P48&lt;&gt;"",N($P48)&lt;PT_MinHours),"under "&amp;PT_MinHours&amp;" hrs",IF(IF($C48="","",IF(OR(ISNUMBER(SEARCH("full",$C48)),UPPER(TRIM($C48))="FT",UPPER(TRIM($C48))="FTE"),"Full-Time",IF(OR(ISNUMBER(SEARCH("part",$C48)),UPPER(TRIM($C48))="PT",UPPER(TRIM($C48))="PTE"),"Part-Time",IF(OR(ISNUMBER(SEARCH("cas",$C48)),UPPER(TRIM($C48))="CAS"),"Casual","Unknown"))))="Unknown","type not recognised",$C48)))),IF(O48&gt;0,"Yes - Accrual Required","Not yet - from "&amp;TEXT(S48,"dd/mm/yyyy"))))</f>
        <v/>
      </c>
      <c r="S48" s="14" t="str">
        <f aca="false">IF(AK48=0,"",IF(AW48="None","",EDATE(AL48,BF48)))</f>
        <v/>
      </c>
      <c r="T48" s="17" t="str">
        <f aca="false">IF(AK48=0,"",IF(NOT(LH_Ready),"",IF($F48&gt;PFYDate,0,IF(LH_ColPeriod=0,W48-U48+V48,SUMIFS(INDEX(LH_Data,0,LH_ColAcc),INDEX(LH_Data,0,LH_ColFirst),$A48,INDEX(LH_Data,0,LH_ColSur),$B48,INDEX(LH_Data,0,LH_ColCat),BonusCat,INDEX(LH_Data,0,LH_ColPeriod),LH_OpenLabel)*UnitFactor))))</f>
        <v/>
      </c>
      <c r="U48" s="17" t="str">
        <f aca="false">IF(AK48=0,"",IF(NOT(LH_Ready),"",SUMIFS(INDEX(LH_Data,0,LH_ColAcc),INDEX(LH_Data,0,LH_ColFirst),$A48,INDEX(LH_Data,0,LH_ColSur),$B48,INDEX(LH_Data,0,LH_ColCat),BonusCat,INDEX(LH_Data,0,LH_ColStart),"&gt;="&amp;AL48)*UnitFactor))</f>
        <v/>
      </c>
      <c r="V48" s="17" t="str">
        <f aca="false">IF(AK48=0,"",IF(NOT(LH_Ready),"",SUMIFS(INDEX(LH_Data,0,LH_ColTaken),INDEX(LH_Data,0,LH_ColFirst),$A48,INDEX(LH_Data,0,LH_ColSur),$B48,INDEX(LH_Data,0,LH_ColCat),BonusCat,INDEX(LH_Data,0,LH_ColStart),"&gt;="&amp;AL48)*UnitFactor))</f>
        <v/>
      </c>
      <c r="W48" s="17" t="str">
        <f aca="false">IF(AK48=0,"",IF(NOT(LH_Ready),"",IF(BH48=0,0,INDEX(INDEX(LH_Data,0,LH_ColClose),BH48-1)*UnitFactor)))</f>
        <v/>
      </c>
      <c r="X48" s="17" t="str">
        <f aca="false">IF(AK48=0,"",(MAX(0,BD48-BQ48)-MAX(0,BE48-BQ48))*HoursPerDay)</f>
        <v/>
      </c>
      <c r="Y48" s="17" t="str">
        <f aca="false">IF(AK48=0,"",IF(NOT(LH_Ready),"",IF($AI48="Yes",N(AE48)*HoursPerDay-SUMIFS(INDEX(LH_Data,0,LH_ColAcc),INDEX(LH_Data,0,LH_ColFirst),$A48,INDEX(LH_Data,0,LH_ColSur),$B48,INDEX(LH_Data,0,LH_ColCat),BonusCat,INDEX(LH_Data,0,LH_ColStart),"&gt;="&amp;(EOMONTH(AsOfDate,-1)+1),INDEX(LH_Data,0,LH_ColStart),"&lt;="&amp;AsOfDate)*UnitFactor,IF(BG48=0,N48,N48-N(T48)-N(U48)))))</f>
        <v/>
      </c>
      <c r="Z48" s="16" t="str">
        <f aca="false">IF(OR(AK48=0,Y48=""),"",IF(Y48&gt;0,"Yes","No"))</f>
        <v/>
      </c>
      <c r="AA48" s="16" t="str">
        <f aca="false">IF(AK48=0,IF(LEN($A48&amp;$B48)=0,"","FIX INPUT - StartDate missing"),IF(AD48&lt;&gt;"","FIX INPUT - "&amp;AD48,IF(NOT(LH_Ready),"Paste Leave History export (Settings must show YES)",IF(AND($AI48="Yes",Y48&lt;=0),"OK - EH balance accepted to date"&amp;IF(N(AH48)&gt;0," (EH holds "&amp;AH48&amp;" hrs over the scheme)","")&amp;"; next day "&amp;TEXT(S48,"dd mmm yy")&amp;IF(N(AE48)&gt;0," ("&amp;AE48&amp;" day(s) for "&amp;UPPER(TEXT(AsOfDate,"mmm yyyy"))&amp;" already in EH)",""),IF(Y48&gt;0,"ACCRUE "&amp;ROUND(Y48,2)&amp;" hrs ("&amp;ROUND(Y48/HoursPerDay,2)&amp;" days): "&amp;IF(N(AE48)&gt;0,AE48&amp;" day(s) for "&amp;UPPER(TEXT(AsOfDate,"mmm yyyy"))&amp;" (milestone "&amp;UPPER(TEXT(AF48,"dd mmm yy"))&amp;")"&amp;IF(Y48/HoursPerDay&gt;AE48+0.001," + "&amp;ROUND(Y48/HoursPerDay-AE48,2)&amp;" day(s) catch-up from earlier months",""),"all catch-up from earlier months, nothing new this month")&amp;IF(BG48=0,"; no Bonus Leave in EH yet",""),IF(Y48&lt;0,"CHECK - EH accrued "&amp;ROUND(-Y48,2)&amp;" hrs more than policy since commencement",IF(N(W48)&gt;O48*HoursPerDay+0.01,"CHECK - EH balance "&amp;ROUND(W48-O48*HoursPerDay,2)&amp;" hrs more than policy entitlement",IF(O48&gt;0,"OK - nothing to add"&amp;IF(N(AE48)&gt;0," ("&amp;AE48&amp;" day(s) for "&amp;UPPER(TEXT(AsOfDate,"mmm yyyy"))&amp;" already in EH)",""),IF(AW48="None",R48,"Not yet - first day on "&amp;TEXT(S48,"dd/mm/yyyy"))))))))))</f>
        <v/>
      </c>
      <c r="AB48" s="17" t="str">
        <f aca="false">IF(OR(AK48=0,T48=""),"",MAX(0,BE48-BQ48)*HoursPerDay-T48)</f>
        <v/>
      </c>
      <c r="AC48" s="16" t="str">
        <f aca="false">IF(AK48=0,"",BG48)</f>
        <v/>
      </c>
      <c r="AD48" s="16" t="str">
        <f aca="false">IF(AK48=0,"",TRIM(IF(OR(ISTEXT($F48),ISTEXT($H48),ISTEXT($I48),ISTEXT($G48),ISTEXT($J48),ISTEXT($D48)),"A date is typed as text - retype it as dd/mm/yyyy. ","")&amp;IF(IF($C48="","",IF(OR(ISNUMBER(SEARCH("full",$C48)),UPPER(TRIM($C48))="FT",UPPER(TRIM($C48))="FTE"),"Full-Time",IF(OR(ISNUMBER(SEARCH("part",$C48)),UPPER(TRIM($C48))="PT",UPPER(TRIM($C48))="PTE"),"Part-Time",IF(OR(ISNUMBER(SEARCH("cas",$C48)),UPPER(TRIM($C48))="CAS"),"Casual","Unknown"))))="Unknown","EmploymentType not recognised - use Full-Time, Part-Time or Casual. ","")&amp;IF(AND(AM48&gt;=1,IF(AM48&gt;=3,AS48,IF(AM48=2,AR48,AQ48))&lt;&gt;IF($C48="","",IF(OR(ISNUMBER(SEARCH("full",$C48)),UPPER(TRIM($C48))="FT",UPPER(TRIM($C48))="FTE"),"Full-Time",IF(OR(ISNUMBER(SEARCH("part",$C48)),UPPER(TRIM($C48))="PT",UPPER(TRIM($C48))="PTE"),"Part-Time",IF(OR(ISNUMBER(SEARCH("cas",$C48)),UPPER(TRIM($C48))="CAS"),"Casual","Unknown"))))),"EmploymentType does not match latest start date ("&amp;IF(AM48&gt;=3,AS48,IF(AM48=2,AR48,AQ48))&amp;"). ","")&amp;IF(AND(AM48&gt;=1,AN48&lt;&gt;$F48),"Earliest type date should equal StartDate. ","")&amp;IF(AND(AM48&gt;=2,AN48=AO48),"Two types start on the same date. ","")&amp;IF(AND(OR(ISNUMBER(SEARCH("part",$C48)),UPPER(TRIM($C48))="PT",UPPER(TRIM($C48))="PTE"),$P48=""),"Part-time: enter PT Hrs/Week (blank = 24+). ","")))</f>
        <v/>
      </c>
      <c r="AE48" s="17" t="str">
        <f aca="false">IF(AK48=0,"",O48-MAX(0,BL48-BQ48))</f>
        <v/>
      </c>
      <c r="AF48" s="14" t="str">
        <f aca="false">IF(OR(AK48=0,AE48="",N(AE48)=0,BM48=""),"",EDATE(AL48,BM48))</f>
        <v/>
      </c>
      <c r="AG48" s="17" t="str">
        <f aca="false">IF(AK48=0,"",MIN(BD48,BQ48))</f>
        <v/>
      </c>
      <c r="AH48" s="17" t="str">
        <f aca="false">IF(AK48=0,"",IF(NOT(LH_Ready),"",IF(BG48=0,0,MAX(0,ROUND(N(T48)+N(U48)-N48,2)))))</f>
        <v/>
      </c>
      <c r="AI48" s="12"/>
      <c r="AJ48" s="12"/>
      <c r="AK48" s="16" t="n">
        <f aca="false">IF(OR(LEN($A48&amp;$B48)=0,$F48=""),0,1)</f>
        <v>0</v>
      </c>
      <c r="AL48" s="14" t="str">
        <f aca="false">IF(AK48=0,"",IF(PreSchemeCounts="No",MAX(SchemeStart,IF($J48&lt;&gt;"",$J48,IF(OR(CasualCounts="Yes",COUNT($G48:$I48)=0),$F48,IF(Apply2026="No",IF($I48="",$F48,$I48),IF(COUNT($H48:$I48)=0,$F48,MIN($H48:$I48)))))),IF($J48&lt;&gt;"",$J48,IF(OR(CasualCounts="Yes",COUNT($G48:$I48)=0),$F48,IF(Apply2026="No",IF($I48="",$F48,$I48),IF(COUNT($H48:$I48)=0,$F48,MIN($H48:$I48)))))))</f>
        <v/>
      </c>
      <c r="AM48" s="16" t="str">
        <f aca="false">IF(AK48=0,"",COUNT($G48:$I48))</f>
        <v/>
      </c>
      <c r="AN48" s="14" t="str">
        <f aca="false">IF(AK48=0,"",IFERROR(SMALL($G48:$I48,1),""))</f>
        <v/>
      </c>
      <c r="AO48" s="14" t="str">
        <f aca="false">IF(AK48=0,"",IFERROR(SMALL($G48:$I48,2),""))</f>
        <v/>
      </c>
      <c r="AP48" s="14" t="str">
        <f aca="false">IF(AK48=0,"",IFERROR(SMALL($G48:$I48,3),""))</f>
        <v/>
      </c>
      <c r="AQ48" s="16" t="str">
        <f aca="false">IF(AK48=0,"",IF(AN48="","",IF(AN48=$H48,"Part-Time",IF(AN48=$I48,"Full-Time","Casual"))))</f>
        <v/>
      </c>
      <c r="AR48" s="16" t="str">
        <f aca="false">IF(AK48=0,"",IF(AO48="","",IF(AO48=$H48,"Part-Time",IF(AO48=$I48,"Full-Time","Casual"))))</f>
        <v/>
      </c>
      <c r="AS48" s="16" t="str">
        <f aca="false">IF(AK48=0,"",IF(AP48="","",IF(AP48=$H48,"Part-Time",IF(AP48=$I48,"Full-Time","Casual"))))</f>
        <v/>
      </c>
      <c r="AT48" s="16" t="str">
        <f aca="false">IF(AK48=0,"",IF(AM48=0,IF(OR(ISNUMBER(SEARCH("full",$C48)),UPPER(TRIM($C48))="FT",UPPER(TRIM($C48))="FTE"),"FT",IF(AND(OR(ISNUMBER(SEARCH("part",$C48)),UPPER(TRIM($C48))="PT",UPPER(TRIM($C48))="PTE"),Apply2026="Yes",OR($P48="",N($P48)&gt;=PT_MinHours)),"PT","None")),IF(OR(ISNUMBER(SEARCH("full",AQ48)),UPPER(TRIM(AQ48))="FT",UPPER(TRIM(AQ48))="FTE"),"FT",IF(AND(OR(ISNUMBER(SEARCH("part",AQ48)),UPPER(TRIM(AQ48))="PT",UPPER(TRIM(AQ48))="PTE"),Apply2026="Yes",OR($P48="",N($P48)&gt;=PT_MinHours)),"PT","None"))))</f>
        <v/>
      </c>
      <c r="AU48" s="16" t="str">
        <f aca="false">IF(AK48=0,"",IF(AM48&lt;2,"",IF(OR(ISNUMBER(SEARCH("full",AR48)),UPPER(TRIM(AR48))="FT",UPPER(TRIM(AR48))="FTE"),"FT",IF(AND(OR(ISNUMBER(SEARCH("part",AR48)),UPPER(TRIM(AR48))="PT",UPPER(TRIM(AR48))="PTE"),Apply2026="Yes",OR($P48="",N($P48)&gt;=PT_MinHours)),"PT","None"))))</f>
        <v/>
      </c>
      <c r="AV48" s="16" t="str">
        <f aca="false">IF(AK48=0,"",IF(AM48&lt;3,"",IF(OR(ISNUMBER(SEARCH("full",AS48)),UPPER(TRIM(AS48))="FT",UPPER(TRIM(AS48))="FTE"),"FT",IF(AND(OR(ISNUMBER(SEARCH("part",AS48)),UPPER(TRIM(AS48))="PT",UPPER(TRIM(AS48))="PTE"),Apply2026="Yes",OR($P48="",N($P48)&gt;=PT_MinHours)),"PT","None"))))</f>
        <v/>
      </c>
      <c r="AW48" s="16" t="str">
        <f aca="false">IF(AK48=0,"",IF(AND(AM48&gt;=3,AP48&lt;=AsOfDate),AV48,IF(AND(AM48&gt;=2,AO48&lt;=AsOfDate),AU48,AT48)))</f>
        <v/>
      </c>
      <c r="AX48" s="16" t="str">
        <f aca="false">IF(AK48=0,"",IF(AsOfDate&lt;AL48,-1,12*(YEAR(AsOfDate)-YEAR(AL48))+MONTH(AsOfDate)-MONTH(AL48)-IF(DAY(AsOfDate)&lt;MIN(DAY(AL48),DAY(EOMONTH(AsOfDate,0))),1,0)))</f>
        <v/>
      </c>
      <c r="AY48" s="16" t="str">
        <f aca="false">IF(AK48=0,"",IF(OR(AM48&lt;2,AO48&gt;AsOfDate),AX48,IF((AO48-1)&lt;AL48,-1,12*(YEAR((AO48-1))-YEAR(AL48))+MONTH((AO48-1))-MONTH(AL48)-IF(DAY((AO48-1))&lt;MIN(DAY(AL48),DAY(EOMONTH((AO48-1),0))),1,0))))</f>
        <v/>
      </c>
      <c r="AZ48" s="16" t="str">
        <f aca="false">IF(AK48=0,"",IF(OR(AM48&lt;3,AP48&gt;AsOfDate),AX48,IF((AP48-1)&lt;AL48,-1,12*(YEAR((AP48-1))-YEAR(AL48))+MONTH((AP48-1))-MONTH(AL48)-IF(DAY((AP48-1))&lt;MIN(DAY(AL48),DAY(EOMONTH((AP48-1),0))),1,0))))</f>
        <v/>
      </c>
      <c r="BA48" s="16" t="str">
        <f aca="false">IF(AK48=0,"",IF(PFYDate&lt;AL48,-1,12*(YEAR(PFYDate)-YEAR(AL48))+MONTH(PFYDate)-MONTH(AL48)-IF(DAY(PFYDate)&lt;MIN(DAY(AL48),DAY(EOMONTH(PFYDate,0))),1,0)))</f>
        <v/>
      </c>
      <c r="BB48" s="16" t="str">
        <f aca="false">IF(AK48=0,"",IF(OR(AM48&lt;2,AO48&gt;PFYDate),BA48,IF((AO48-1)&lt;AL48,-1,12*(YEAR((AO48-1))-YEAR(AL48))+MONTH((AO48-1))-MONTH(AL48)-IF(DAY((AO48-1))&lt;MIN(DAY(AL48),DAY(EOMONTH((AO48-1),0))),1,0))))</f>
        <v/>
      </c>
      <c r="BC48" s="16" t="str">
        <f aca="false">IF(AK48=0,"",IF(OR(AM48&lt;3,AP48&gt;PFYDate),BA48,IF((AP48-1)&lt;AL48,-1,12*(YEAR((AP48-1))-YEAR(AL48))+MONTH((AP48-1))-MONTH(AL48)-IF(DAY((AP48-1))&lt;MIN(DAY(AL48),DAY(EOMONTH((AP48-1),0))),1,0))))</f>
        <v/>
      </c>
      <c r="BD48" s="16" t="str">
        <f aca="false">IF(AK48=0,"",IF(AT48="FT",IF(AY48&lt;FT_First,0,IF(AY48&lt;FT_Y5,1+INT((AY48-FT_First)/FT_Int1),FT_PreY5+FT_PerYear*INT((AY48-FT_Y5)/12)+FT_AnnivDays+INT(MOD(AY48-FT_Y5,12)/FT_Int2)-IF(EDATE(AL48,FT_Y5)&lt;PolicyEff,FT_AnnivDays-1,0))),IF(AT48="PT",IF(AY48&lt;PT_First,0,1+INT((AY48-PT_First)/PT_Int)),0))+IF(AND(AM48&gt;=2,AO48&lt;=AsOfDate),IF(AU48="FT",IF(AZ48&lt;FT_First,0,IF(AZ48&lt;FT_Y5,1+INT((AZ48-FT_First)/FT_Int1),FT_PreY5+FT_PerYear*INT((AZ48-FT_Y5)/12)+FT_AnnivDays+INT(MOD(AZ48-FT_Y5,12)/FT_Int2)-IF(EDATE(AL48,FT_Y5)&lt;PolicyEff,FT_AnnivDays-1,0))),IF(AU48="PT",IF(AZ48&lt;PT_First,0,1+INT((AZ48-PT_First)/PT_Int)),0))-IF(AU48="FT",IF(AY48&lt;FT_First,0,IF(AY48&lt;FT_Y5,1+INT((AY48-FT_First)/FT_Int1),FT_PreY5+FT_PerYear*INT((AY48-FT_Y5)/12)+FT_AnnivDays+INT(MOD(AY48-FT_Y5,12)/FT_Int2)-IF(EDATE(AL48,FT_Y5)&lt;PolicyEff,FT_AnnivDays-1,0))),IF(AU48="PT",IF(AY48&lt;PT_First,0,1+INT((AY48-PT_First)/PT_Int)),0)),0)+IF(AND(AM48&gt;=3,AP48&lt;=AsOfDate),IF(AV48="FT",IF(AX48&lt;FT_First,0,IF(AX48&lt;FT_Y5,1+INT((AX48-FT_First)/FT_Int1),FT_PreY5+FT_PerYear*INT((AX48-FT_Y5)/12)+FT_AnnivDays+INT(MOD(AX48-FT_Y5,12)/FT_Int2)-IF(EDATE(AL48,FT_Y5)&lt;PolicyEff,FT_AnnivDays-1,0))),IF(AV48="PT",IF(AX48&lt;PT_First,0,1+INT((AX48-PT_First)/PT_Int)),0))-IF(AV48="FT",IF(AZ48&lt;FT_First,0,IF(AZ48&lt;FT_Y5,1+INT((AZ48-FT_First)/FT_Int1),FT_PreY5+FT_PerYear*INT((AZ48-FT_Y5)/12)+FT_AnnivDays+INT(MOD(AZ48-FT_Y5,12)/FT_Int2)-IF(EDATE(AL48,FT_Y5)&lt;PolicyEff,FT_AnnivDays-1,0))),IF(AV48="PT",IF(AZ48&lt;PT_First,0,1+INT((AZ48-PT_First)/PT_Int)),0)),0))</f>
        <v/>
      </c>
      <c r="BE48" s="16" t="str">
        <f aca="false">IF(AK48=0,"",IF(AT48="FT",IF(BB48&lt;FT_First,0,IF(BB48&lt;FT_Y5,1+INT((BB48-FT_First)/FT_Int1),FT_PreY5+FT_PerYear*INT((BB48-FT_Y5)/12)+FT_AnnivDays+INT(MOD(BB48-FT_Y5,12)/FT_Int2)-IF(EDATE(AL48,FT_Y5)&lt;PolicyEff,FT_AnnivDays-1,0))),IF(AT48="PT",IF(BB48&lt;PT_First,0,1+INT((BB48-PT_First)/PT_Int)),0))+IF(AND(AM48&gt;=2,AO48&lt;=PFYDate),IF(AU48="FT",IF(BC48&lt;FT_First,0,IF(BC48&lt;FT_Y5,1+INT((BC48-FT_First)/FT_Int1),FT_PreY5+FT_PerYear*INT((BC48-FT_Y5)/12)+FT_AnnivDays+INT(MOD(BC48-FT_Y5,12)/FT_Int2)-IF(EDATE(AL48,FT_Y5)&lt;PolicyEff,FT_AnnivDays-1,0))),IF(AU48="PT",IF(BC48&lt;PT_First,0,1+INT((BC48-PT_First)/PT_Int)),0))-IF(AU48="FT",IF(BB48&lt;FT_First,0,IF(BB48&lt;FT_Y5,1+INT((BB48-FT_First)/FT_Int1),FT_PreY5+FT_PerYear*INT((BB48-FT_Y5)/12)+FT_AnnivDays+INT(MOD(BB48-FT_Y5,12)/FT_Int2)-IF(EDATE(AL48,FT_Y5)&lt;PolicyEff,FT_AnnivDays-1,0))),IF(AU48="PT",IF(BB48&lt;PT_First,0,1+INT((BB48-PT_First)/PT_Int)),0)),0)+IF(AND(AM48&gt;=3,AP48&lt;=PFYDate),IF(AV48="FT",IF(BA48&lt;FT_First,0,IF(BA48&lt;FT_Y5,1+INT((BA48-FT_First)/FT_Int1),FT_PreY5+FT_PerYear*INT((BA48-FT_Y5)/12)+FT_AnnivDays+INT(MOD(BA48-FT_Y5,12)/FT_Int2)-IF(EDATE(AL48,FT_Y5)&lt;PolicyEff,FT_AnnivDays-1,0))),IF(AV48="PT",IF(BA48&lt;PT_First,0,1+INT((BA48-PT_First)/PT_Int)),0))-IF(AV48="FT",IF(BC48&lt;FT_First,0,IF(BC48&lt;FT_Y5,1+INT((BC48-FT_First)/FT_Int1),FT_PreY5+FT_PerYear*INT((BC48-FT_Y5)/12)+FT_AnnivDays+INT(MOD(BC48-FT_Y5,12)/FT_Int2)-IF(EDATE(AL48,FT_Y5)&lt;PolicyEff,FT_AnnivDays-1,0))),IF(AV48="PT",IF(BC48&lt;PT_First,0,1+INT((BC48-PT_First)/PT_Int)),0)),0))</f>
        <v/>
      </c>
      <c r="BF48" s="16" t="str">
        <f aca="false">IF(AK48=0,"",IF(AW48="FT",IF(AX48&lt;FT_First,FT_First,IF(AX48&lt;FT_Y5,MIN(FT_Y5,FT_First+FT_Int1*(INT((AX48-FT_First)/FT_Int1)+1)),FT_Y5+12*INT((AX48-FT_Y5)/12)+FT_Int2*(INT(MOD(AX48-FT_Y5,12)/FT_Int2)+1))),IF(AW48="PT",IF(AX48&lt;PT_First,PT_First,PT_First+PT_Int*(INT((AX48-PT_First)/PT_Int)+1)),"")))</f>
        <v/>
      </c>
      <c r="BG48" s="16" t="str">
        <f aca="false">IF(AK48=0,"",IF(NOT(LH_Ready),0,COUNTIFS(INDEX(LH_Data,0,LH_ColFirst),$A48,INDEX(LH_Data,0,LH_ColSur),$B48,INDEX(LH_Data,0,LH_ColCat),BonusCat)))</f>
        <v/>
      </c>
      <c r="BH48" s="16" t="str">
        <f aca="false">IF(AK48=0,"",IF(OR(NOT(LH_Ready),BG48=0),0,SUMPRODUCT(MAX((INDEX(LH_Data,0,LH_ColFirst)=$A48)*(INDEX(LH_Data,0,LH_ColSur)=$B48)*(INDEX(LH_Data,0,LH_ColCat)=BonusCat)*ROW(LH_Data)))))</f>
        <v/>
      </c>
      <c r="BI48" s="16" t="str">
        <f aca="false">IF(AK48=0,"",IF(EOMONTH(AsOfDate,-1)&lt;AL48,-1,12*(YEAR(EOMONTH(AsOfDate,-1))-YEAR(AL48))+MONTH(EOMONTH(AsOfDate,-1))-MONTH(AL48)-IF(DAY(EOMONTH(AsOfDate,-1))&lt;MIN(DAY(AL48),DAY(EOMONTH(EOMONTH(AsOfDate,-1),0))),1,0)))</f>
        <v/>
      </c>
      <c r="BJ48" s="16" t="str">
        <f aca="false">IF(AK48=0,"",IF(OR(AM48&lt;2,AO48&gt;EOMONTH(AsOfDate,-1)),BI48,IF((AO48-1)&lt;AL48,-1,12*(YEAR((AO48-1))-YEAR(AL48))+MONTH((AO48-1))-MONTH(AL48)-IF(DAY((AO48-1))&lt;MIN(DAY(AL48),DAY(EOMONTH((AO48-1),0))),1,0))))</f>
        <v/>
      </c>
      <c r="BK48" s="16" t="str">
        <f aca="false">IF(AK48=0,"",IF(OR(AM48&lt;3,AP48&gt;EOMONTH(AsOfDate,-1)),BI48,IF((AP48-1)&lt;AL48,-1,12*(YEAR((AP48-1))-YEAR(AL48))+MONTH((AP48-1))-MONTH(AL48)-IF(DAY((AP48-1))&lt;MIN(DAY(AL48),DAY(EOMONTH((AP48-1),0))),1,0))))</f>
        <v/>
      </c>
      <c r="BL48" s="16" t="str">
        <f aca="false">IF(AK48=0,"",IF(AT48="FT",IF(BJ48&lt;FT_First,0,IF(BJ48&lt;FT_Y5,1+INT((BJ48-FT_First)/FT_Int1),FT_PreY5+FT_PerYear*INT((BJ48-FT_Y5)/12)+FT_AnnivDays+INT(MOD(BJ48-FT_Y5,12)/FT_Int2)-IF(EDATE(AL48,FT_Y5)&lt;PolicyEff,FT_AnnivDays-1,0))),IF(AT48="PT",IF(BJ48&lt;PT_First,0,1+INT((BJ48-PT_First)/PT_Int)),0))+IF(AND(AM48&gt;=2,AO48&lt;=EOMONTH(AsOfDate,-1)),IF(AU48="FT",IF(BK48&lt;FT_First,0,IF(BK48&lt;FT_Y5,1+INT((BK48-FT_First)/FT_Int1),FT_PreY5+FT_PerYear*INT((BK48-FT_Y5)/12)+FT_AnnivDays+INT(MOD(BK48-FT_Y5,12)/FT_Int2)-IF(EDATE(AL48,FT_Y5)&lt;PolicyEff,FT_AnnivDays-1,0))),IF(AU48="PT",IF(BK48&lt;PT_First,0,1+INT((BK48-PT_First)/PT_Int)),0))-IF(AU48="FT",IF(BJ48&lt;FT_First,0,IF(BJ48&lt;FT_Y5,1+INT((BJ48-FT_First)/FT_Int1),FT_PreY5+FT_PerYear*INT((BJ48-FT_Y5)/12)+FT_AnnivDays+INT(MOD(BJ48-FT_Y5,12)/FT_Int2)-IF(EDATE(AL48,FT_Y5)&lt;PolicyEff,FT_AnnivDays-1,0))),IF(AU48="PT",IF(BJ48&lt;PT_First,0,1+INT((BJ48-PT_First)/PT_Int)),0)),0)+IF(AND(AM48&gt;=3,AP48&lt;=EOMONTH(AsOfDate,-1)),IF(AV48="FT",IF(BI48&lt;FT_First,0,IF(BI48&lt;FT_Y5,1+INT((BI48-FT_First)/FT_Int1),FT_PreY5+FT_PerYear*INT((BI48-FT_Y5)/12)+FT_AnnivDays+INT(MOD(BI48-FT_Y5,12)/FT_Int2)-IF(EDATE(AL48,FT_Y5)&lt;PolicyEff,FT_AnnivDays-1,0))),IF(AV48="PT",IF(BI48&lt;PT_First,0,1+INT((BI48-PT_First)/PT_Int)),0))-IF(AV48="FT",IF(BK48&lt;FT_First,0,IF(BK48&lt;FT_Y5,1+INT((BK48-FT_First)/FT_Int1),FT_PreY5+FT_PerYear*INT((BK48-FT_Y5)/12)+FT_AnnivDays+INT(MOD(BK48-FT_Y5,12)/FT_Int2)-IF(EDATE(AL48,FT_Y5)&lt;PolicyEff,FT_AnnivDays-1,0))),IF(AV48="PT",IF(BK48&lt;PT_First,0,1+INT((BK48-PT_First)/PT_Int)),0)),0))</f>
        <v/>
      </c>
      <c r="BM48" s="16" t="str">
        <f aca="false">IF(AK48=0,"",IF(AW48="FT",IF(AX48&lt;FT_First,"",IF(AX48&lt;FT_Y5,FT_First+FT_Int1*INT((AX48-FT_First)/FT_Int1),FT_Y5+FT_Int2*INT((AX48-FT_Y5)/FT_Int2))),IF(AW48="PT",IF(AX48&lt;PT_First,"",PT_First+PT_Int*INT((AX48-PT_First)/PT_Int)),"")))</f>
        <v/>
      </c>
      <c r="BN48" s="16" t="str">
        <f aca="false">IF(AK48=0,"",IF((SchemeStart-1)&lt;AL48,-1,12*(YEAR((SchemeStart-1))-YEAR(AL48))+MONTH((SchemeStart-1))-MONTH(AL48)-IF(DAY((SchemeStart-1))&lt;MIN(DAY(AL48),DAY(EOMONTH((SchemeStart-1),0))),1,0)))</f>
        <v/>
      </c>
      <c r="BO48" s="16" t="str">
        <f aca="false">IF(AK48=0,"",IF(OR(AM48&lt;2,AO48&gt;(SchemeStart-1)),BN48,IF((AO48-1)&lt;AL48,-1,12*(YEAR((AO48-1))-YEAR(AL48))+MONTH((AO48-1))-MONTH(AL48)-IF(DAY((AO48-1))&lt;MIN(DAY(AL48),DAY(EOMONTH((AO48-1),0))),1,0))))</f>
        <v/>
      </c>
      <c r="BP48" s="16" t="str">
        <f aca="false">IF(AK48=0,"",IF(OR(AM48&lt;3,AP48&gt;(SchemeStart-1)),BN48,IF((AP48-1)&lt;AL48,-1,12*(YEAR((AP48-1))-YEAR(AL48))+MONTH((AP48-1))-MONTH(AL48)-IF(DAY((AP48-1))&lt;MIN(DAY(AL48),DAY(EOMONTH((AP48-1),0))),1,0))))</f>
        <v/>
      </c>
      <c r="BQ48" s="16" t="str">
        <f aca="false">IF(AK48=0,"",IF(AT48="FT",IF(BO48&lt;FT_First,0,IF(BO48&lt;FT_Y5,1+INT((BO48-FT_First)/FT_Int1),FT_PreY5+FT_PerYear*INT((BO48-FT_Y5)/12)+FT_AnnivDays+INT(MOD(BO48-FT_Y5,12)/FT_Int2)-IF(EDATE(AL48,FT_Y5)&lt;PolicyEff,FT_AnnivDays-1,0))),IF(AT48="PT",IF(BO48&lt;PT_First,0,1+INT((BO48-PT_First)/PT_Int)),0))+IF(AND(AM48&gt;=2,AO48&lt;=(SchemeStart-1)),IF(AU48="FT",IF(BP48&lt;FT_First,0,IF(BP48&lt;FT_Y5,1+INT((BP48-FT_First)/FT_Int1),FT_PreY5+FT_PerYear*INT((BP48-FT_Y5)/12)+FT_AnnivDays+INT(MOD(BP48-FT_Y5,12)/FT_Int2)-IF(EDATE(AL48,FT_Y5)&lt;PolicyEff,FT_AnnivDays-1,0))),IF(AU48="PT",IF(BP48&lt;PT_First,0,1+INT((BP48-PT_First)/PT_Int)),0))-IF(AU48="FT",IF(BO48&lt;FT_First,0,IF(BO48&lt;FT_Y5,1+INT((BO48-FT_First)/FT_Int1),FT_PreY5+FT_PerYear*INT((BO48-FT_Y5)/12)+FT_AnnivDays+INT(MOD(BO48-FT_Y5,12)/FT_Int2)-IF(EDATE(AL48,FT_Y5)&lt;PolicyEff,FT_AnnivDays-1,0))),IF(AU48="PT",IF(BO48&lt;PT_First,0,1+INT((BO48-PT_First)/PT_Int)),0)),0)+IF(AND(AM48&gt;=3,AP48&lt;=(SchemeStart-1)),IF(AV48="FT",IF(BN48&lt;FT_First,0,IF(BN48&lt;FT_Y5,1+INT((BN48-FT_First)/FT_Int1),FT_PreY5+FT_PerYear*INT((BN48-FT_Y5)/12)+FT_AnnivDays+INT(MOD(BN48-FT_Y5,12)/FT_Int2)-IF(EDATE(AL48,FT_Y5)&lt;PolicyEff,FT_AnnivDays-1,0))),IF(AV48="PT",IF(BN48&lt;PT_First,0,1+INT((BN48-PT_First)/PT_Int)),0))-IF(AV48="FT",IF(BP48&lt;FT_First,0,IF(BP48&lt;FT_Y5,1+INT((BP48-FT_First)/FT_Int1),FT_PreY5+FT_PerYear*INT((BP48-FT_Y5)/12)+FT_AnnivDays+INT(MOD(BP48-FT_Y5,12)/FT_Int2)-IF(EDATE(AL48,FT_Y5)&lt;PolicyEff,FT_AnnivDays-1,0))),IF(AV48="PT",IF(BP48&lt;PT_First,0,1+INT((BP48-PT_First)/PT_Int)),0)),0))</f>
        <v/>
      </c>
      <c r="BR48" s="0" t="str">
        <f aca="false">IF(LEN($A48&amp;$B48)=0,"",$A48&amp;" "&amp;$B48)</f>
        <v/>
      </c>
    </row>
    <row r="49" customFormat="false" ht="15" hidden="false" customHeight="false" outlineLevel="0" collapsed="false">
      <c r="A49" s="12"/>
      <c r="B49" s="12"/>
      <c r="C49" s="12"/>
      <c r="D49" s="13"/>
      <c r="E49" s="14" t="str">
        <f aca="false">IF(OR(AK49=0,$D49=""),"",DATE(YEAR(AsOfDate)+IF(DATE(YEAR(AsOfDate),MONTH($D49),DAY($D49))&lt;=AsOfDate,1,0),MONTH($D49),DAY($D49)))</f>
        <v/>
      </c>
      <c r="F49" s="13"/>
      <c r="G49" s="13"/>
      <c r="H49" s="13"/>
      <c r="I49" s="13"/>
      <c r="J49" s="13"/>
      <c r="K49" s="14" t="str">
        <f aca="false">IF(AK49=0,"",DATE(YEAR(AsOfDate)+IF(DATE(YEAR(AsOfDate),MONTH(AL49),DAY(AL49))&lt;=AsOfDate,1,0),MONTH(AL49),DAY(AL49)))</f>
        <v/>
      </c>
      <c r="L49" s="15" t="str">
        <f aca="false">IF(AK49=0,"",ROUND((AsOfDate-AL49)/365.25,1))</f>
        <v/>
      </c>
      <c r="M49" s="16" t="str">
        <f aca="false">IF(AK49=0,"",IF(AsOfDate&lt;AL49,"-",DATEDIF(AL49,AsOfDate,"y")&amp;"y "&amp;DATEDIF(AL49,AsOfDate,"ym")&amp;"m "&amp;DATEDIF(AL49,AsOfDate,"md")&amp;"d"))</f>
        <v/>
      </c>
      <c r="N49" s="17" t="str">
        <f aca="false">IF(AK49=0,"",O49*HoursPerDay)</f>
        <v/>
      </c>
      <c r="O49" s="17" t="str">
        <f aca="false">IF(AK49=0,"",MAX(0,BD49-BQ49))</f>
        <v/>
      </c>
      <c r="P49" s="18"/>
      <c r="Q49" s="16" t="str">
        <f aca="false">IF(AK49=0,"",IF(AM49&lt;2,"",AQ49&amp;" to "&amp;AR49&amp;" on "&amp;TEXT(AO49,"dd/mm/yyyy")&amp;IF(AO49&gt;AsOfDate," (future)",IF(AT49=AU49,"",IF(AU49="None"," - STOPPED accruing",IF(AT49="None"," - commencement for Bonus Leave"," - pathway changed"))))&amp;IF(AM49&lt;3,"","; "&amp;AR49&amp;" to "&amp;AS49&amp;" on "&amp;TEXT(AP49,"dd/mm/yyyy")&amp;IF(AP49&gt;AsOfDate," (future)",IF(AU49=AV49,"",IF(AV49="None"," - STOPPED accruing",IF(AU49="None"," - commencement for Bonus Leave"," - pathway changed")))))))</f>
        <v/>
      </c>
      <c r="R49" s="16" t="str">
        <f aca="false">IF(AK49=0,"",IF(AW49="None",IF(O49&gt;0,"No longer accruing","Not eligible - "&amp;IF(AND(OR(ISNUMBER(SEARCH("part",$C49)),UPPER(TRIM($C49))="PT",UPPER(TRIM($C49))="PTE"),Apply2026="No"),"part-time (scheme is full-time only)",IF(AND(OR(ISNUMBER(SEARCH("part",$C49)),UPPER(TRIM($C49))="PT",UPPER(TRIM($C49))="PTE"),$P49&lt;&gt;"",N($P49)&lt;PT_MinHours),"under "&amp;PT_MinHours&amp;" hrs",IF(IF($C49="","",IF(OR(ISNUMBER(SEARCH("full",$C49)),UPPER(TRIM($C49))="FT",UPPER(TRIM($C49))="FTE"),"Full-Time",IF(OR(ISNUMBER(SEARCH("part",$C49)),UPPER(TRIM($C49))="PT",UPPER(TRIM($C49))="PTE"),"Part-Time",IF(OR(ISNUMBER(SEARCH("cas",$C49)),UPPER(TRIM($C49))="CAS"),"Casual","Unknown"))))="Unknown","type not recognised",$C49)))),IF(O49&gt;0,"Yes - Accrual Required","Not yet - from "&amp;TEXT(S49,"dd/mm/yyyy"))))</f>
        <v/>
      </c>
      <c r="S49" s="14" t="str">
        <f aca="false">IF(AK49=0,"",IF(AW49="None","",EDATE(AL49,BF49)))</f>
        <v/>
      </c>
      <c r="T49" s="17" t="str">
        <f aca="false">IF(AK49=0,"",IF(NOT(LH_Ready),"",IF($F49&gt;PFYDate,0,IF(LH_ColPeriod=0,W49-U49+V49,SUMIFS(INDEX(LH_Data,0,LH_ColAcc),INDEX(LH_Data,0,LH_ColFirst),$A49,INDEX(LH_Data,0,LH_ColSur),$B49,INDEX(LH_Data,0,LH_ColCat),BonusCat,INDEX(LH_Data,0,LH_ColPeriod),LH_OpenLabel)*UnitFactor))))</f>
        <v/>
      </c>
      <c r="U49" s="17" t="str">
        <f aca="false">IF(AK49=0,"",IF(NOT(LH_Ready),"",SUMIFS(INDEX(LH_Data,0,LH_ColAcc),INDEX(LH_Data,0,LH_ColFirst),$A49,INDEX(LH_Data,0,LH_ColSur),$B49,INDEX(LH_Data,0,LH_ColCat),BonusCat,INDEX(LH_Data,0,LH_ColStart),"&gt;="&amp;AL49)*UnitFactor))</f>
        <v/>
      </c>
      <c r="V49" s="17" t="str">
        <f aca="false">IF(AK49=0,"",IF(NOT(LH_Ready),"",SUMIFS(INDEX(LH_Data,0,LH_ColTaken),INDEX(LH_Data,0,LH_ColFirst),$A49,INDEX(LH_Data,0,LH_ColSur),$B49,INDEX(LH_Data,0,LH_ColCat),BonusCat,INDEX(LH_Data,0,LH_ColStart),"&gt;="&amp;AL49)*UnitFactor))</f>
        <v/>
      </c>
      <c r="W49" s="17" t="str">
        <f aca="false">IF(AK49=0,"",IF(NOT(LH_Ready),"",IF(BH49=0,0,INDEX(INDEX(LH_Data,0,LH_ColClose),BH49-1)*UnitFactor)))</f>
        <v/>
      </c>
      <c r="X49" s="17" t="str">
        <f aca="false">IF(AK49=0,"",(MAX(0,BD49-BQ49)-MAX(0,BE49-BQ49))*HoursPerDay)</f>
        <v/>
      </c>
      <c r="Y49" s="17" t="str">
        <f aca="false">IF(AK49=0,"",IF(NOT(LH_Ready),"",IF($AI49="Yes",N(AE49)*HoursPerDay-SUMIFS(INDEX(LH_Data,0,LH_ColAcc),INDEX(LH_Data,0,LH_ColFirst),$A49,INDEX(LH_Data,0,LH_ColSur),$B49,INDEX(LH_Data,0,LH_ColCat),BonusCat,INDEX(LH_Data,0,LH_ColStart),"&gt;="&amp;(EOMONTH(AsOfDate,-1)+1),INDEX(LH_Data,0,LH_ColStart),"&lt;="&amp;AsOfDate)*UnitFactor,IF(BG49=0,N49,N49-N(T49)-N(U49)))))</f>
        <v/>
      </c>
      <c r="Z49" s="16" t="str">
        <f aca="false">IF(OR(AK49=0,Y49=""),"",IF(Y49&gt;0,"Yes","No"))</f>
        <v/>
      </c>
      <c r="AA49" s="16" t="str">
        <f aca="false">IF(AK49=0,IF(LEN($A49&amp;$B49)=0,"","FIX INPUT - StartDate missing"),IF(AD49&lt;&gt;"","FIX INPUT - "&amp;AD49,IF(NOT(LH_Ready),"Paste Leave History export (Settings must show YES)",IF(AND($AI49="Yes",Y49&lt;=0),"OK - EH balance accepted to date"&amp;IF(N(AH49)&gt;0," (EH holds "&amp;AH49&amp;" hrs over the scheme)","")&amp;"; next day "&amp;TEXT(S49,"dd mmm yy")&amp;IF(N(AE49)&gt;0," ("&amp;AE49&amp;" day(s) for "&amp;UPPER(TEXT(AsOfDate,"mmm yyyy"))&amp;" already in EH)",""),IF(Y49&gt;0,"ACCRUE "&amp;ROUND(Y49,2)&amp;" hrs ("&amp;ROUND(Y49/HoursPerDay,2)&amp;" days): "&amp;IF(N(AE49)&gt;0,AE49&amp;" day(s) for "&amp;UPPER(TEXT(AsOfDate,"mmm yyyy"))&amp;" (milestone "&amp;UPPER(TEXT(AF49,"dd mmm yy"))&amp;")"&amp;IF(Y49/HoursPerDay&gt;AE49+0.001," + "&amp;ROUND(Y49/HoursPerDay-AE49,2)&amp;" day(s) catch-up from earlier months",""),"all catch-up from earlier months, nothing new this month")&amp;IF(BG49=0,"; no Bonus Leave in EH yet",""),IF(Y49&lt;0,"CHECK - EH accrued "&amp;ROUND(-Y49,2)&amp;" hrs more than policy since commencement",IF(N(W49)&gt;O49*HoursPerDay+0.01,"CHECK - EH balance "&amp;ROUND(W49-O49*HoursPerDay,2)&amp;" hrs more than policy entitlement",IF(O49&gt;0,"OK - nothing to add"&amp;IF(N(AE49)&gt;0," ("&amp;AE49&amp;" day(s) for "&amp;UPPER(TEXT(AsOfDate,"mmm yyyy"))&amp;" already in EH)",""),IF(AW49="None",R49,"Not yet - first day on "&amp;TEXT(S49,"dd/mm/yyyy"))))))))))</f>
        <v/>
      </c>
      <c r="AB49" s="17" t="str">
        <f aca="false">IF(OR(AK49=0,T49=""),"",MAX(0,BE49-BQ49)*HoursPerDay-T49)</f>
        <v/>
      </c>
      <c r="AC49" s="16" t="str">
        <f aca="false">IF(AK49=0,"",BG49)</f>
        <v/>
      </c>
      <c r="AD49" s="16" t="str">
        <f aca="false">IF(AK49=0,"",TRIM(IF(OR(ISTEXT($F49),ISTEXT($H49),ISTEXT($I49),ISTEXT($G49),ISTEXT($J49),ISTEXT($D49)),"A date is typed as text - retype it as dd/mm/yyyy. ","")&amp;IF(IF($C49="","",IF(OR(ISNUMBER(SEARCH("full",$C49)),UPPER(TRIM($C49))="FT",UPPER(TRIM($C49))="FTE"),"Full-Time",IF(OR(ISNUMBER(SEARCH("part",$C49)),UPPER(TRIM($C49))="PT",UPPER(TRIM($C49))="PTE"),"Part-Time",IF(OR(ISNUMBER(SEARCH("cas",$C49)),UPPER(TRIM($C49))="CAS"),"Casual","Unknown"))))="Unknown","EmploymentType not recognised - use Full-Time, Part-Time or Casual. ","")&amp;IF(AND(AM49&gt;=1,IF(AM49&gt;=3,AS49,IF(AM49=2,AR49,AQ49))&lt;&gt;IF($C49="","",IF(OR(ISNUMBER(SEARCH("full",$C49)),UPPER(TRIM($C49))="FT",UPPER(TRIM($C49))="FTE"),"Full-Time",IF(OR(ISNUMBER(SEARCH("part",$C49)),UPPER(TRIM($C49))="PT",UPPER(TRIM($C49))="PTE"),"Part-Time",IF(OR(ISNUMBER(SEARCH("cas",$C49)),UPPER(TRIM($C49))="CAS"),"Casual","Unknown"))))),"EmploymentType does not match latest start date ("&amp;IF(AM49&gt;=3,AS49,IF(AM49=2,AR49,AQ49))&amp;"). ","")&amp;IF(AND(AM49&gt;=1,AN49&lt;&gt;$F49),"Earliest type date should equal StartDate. ","")&amp;IF(AND(AM49&gt;=2,AN49=AO49),"Two types start on the same date. ","")&amp;IF(AND(OR(ISNUMBER(SEARCH("part",$C49)),UPPER(TRIM($C49))="PT",UPPER(TRIM($C49))="PTE"),$P49=""),"Part-time: enter PT Hrs/Week (blank = 24+). ","")))</f>
        <v/>
      </c>
      <c r="AE49" s="17" t="str">
        <f aca="false">IF(AK49=0,"",O49-MAX(0,BL49-BQ49))</f>
        <v/>
      </c>
      <c r="AF49" s="14" t="str">
        <f aca="false">IF(OR(AK49=0,AE49="",N(AE49)=0,BM49=""),"",EDATE(AL49,BM49))</f>
        <v/>
      </c>
      <c r="AG49" s="17" t="str">
        <f aca="false">IF(AK49=0,"",MIN(BD49,BQ49))</f>
        <v/>
      </c>
      <c r="AH49" s="17" t="str">
        <f aca="false">IF(AK49=0,"",IF(NOT(LH_Ready),"",IF(BG49=0,0,MAX(0,ROUND(N(T49)+N(U49)-N49,2)))))</f>
        <v/>
      </c>
      <c r="AI49" s="12"/>
      <c r="AJ49" s="12"/>
      <c r="AK49" s="16" t="n">
        <f aca="false">IF(OR(LEN($A49&amp;$B49)=0,$F49=""),0,1)</f>
        <v>0</v>
      </c>
      <c r="AL49" s="14" t="str">
        <f aca="false">IF(AK49=0,"",IF(PreSchemeCounts="No",MAX(SchemeStart,IF($J49&lt;&gt;"",$J49,IF(OR(CasualCounts="Yes",COUNT($G49:$I49)=0),$F49,IF(Apply2026="No",IF($I49="",$F49,$I49),IF(COUNT($H49:$I49)=0,$F49,MIN($H49:$I49)))))),IF($J49&lt;&gt;"",$J49,IF(OR(CasualCounts="Yes",COUNT($G49:$I49)=0),$F49,IF(Apply2026="No",IF($I49="",$F49,$I49),IF(COUNT($H49:$I49)=0,$F49,MIN($H49:$I49)))))))</f>
        <v/>
      </c>
      <c r="AM49" s="16" t="str">
        <f aca="false">IF(AK49=0,"",COUNT($G49:$I49))</f>
        <v/>
      </c>
      <c r="AN49" s="14" t="str">
        <f aca="false">IF(AK49=0,"",IFERROR(SMALL($G49:$I49,1),""))</f>
        <v/>
      </c>
      <c r="AO49" s="14" t="str">
        <f aca="false">IF(AK49=0,"",IFERROR(SMALL($G49:$I49,2),""))</f>
        <v/>
      </c>
      <c r="AP49" s="14" t="str">
        <f aca="false">IF(AK49=0,"",IFERROR(SMALL($G49:$I49,3),""))</f>
        <v/>
      </c>
      <c r="AQ49" s="16" t="str">
        <f aca="false">IF(AK49=0,"",IF(AN49="","",IF(AN49=$H49,"Part-Time",IF(AN49=$I49,"Full-Time","Casual"))))</f>
        <v/>
      </c>
      <c r="AR49" s="16" t="str">
        <f aca="false">IF(AK49=0,"",IF(AO49="","",IF(AO49=$H49,"Part-Time",IF(AO49=$I49,"Full-Time","Casual"))))</f>
        <v/>
      </c>
      <c r="AS49" s="16" t="str">
        <f aca="false">IF(AK49=0,"",IF(AP49="","",IF(AP49=$H49,"Part-Time",IF(AP49=$I49,"Full-Time","Casual"))))</f>
        <v/>
      </c>
      <c r="AT49" s="16" t="str">
        <f aca="false">IF(AK49=0,"",IF(AM49=0,IF(OR(ISNUMBER(SEARCH("full",$C49)),UPPER(TRIM($C49))="FT",UPPER(TRIM($C49))="FTE"),"FT",IF(AND(OR(ISNUMBER(SEARCH("part",$C49)),UPPER(TRIM($C49))="PT",UPPER(TRIM($C49))="PTE"),Apply2026="Yes",OR($P49="",N($P49)&gt;=PT_MinHours)),"PT","None")),IF(OR(ISNUMBER(SEARCH("full",AQ49)),UPPER(TRIM(AQ49))="FT",UPPER(TRIM(AQ49))="FTE"),"FT",IF(AND(OR(ISNUMBER(SEARCH("part",AQ49)),UPPER(TRIM(AQ49))="PT",UPPER(TRIM(AQ49))="PTE"),Apply2026="Yes",OR($P49="",N($P49)&gt;=PT_MinHours)),"PT","None"))))</f>
        <v/>
      </c>
      <c r="AU49" s="16" t="str">
        <f aca="false">IF(AK49=0,"",IF(AM49&lt;2,"",IF(OR(ISNUMBER(SEARCH("full",AR49)),UPPER(TRIM(AR49))="FT",UPPER(TRIM(AR49))="FTE"),"FT",IF(AND(OR(ISNUMBER(SEARCH("part",AR49)),UPPER(TRIM(AR49))="PT",UPPER(TRIM(AR49))="PTE"),Apply2026="Yes",OR($P49="",N($P49)&gt;=PT_MinHours)),"PT","None"))))</f>
        <v/>
      </c>
      <c r="AV49" s="16" t="str">
        <f aca="false">IF(AK49=0,"",IF(AM49&lt;3,"",IF(OR(ISNUMBER(SEARCH("full",AS49)),UPPER(TRIM(AS49))="FT",UPPER(TRIM(AS49))="FTE"),"FT",IF(AND(OR(ISNUMBER(SEARCH("part",AS49)),UPPER(TRIM(AS49))="PT",UPPER(TRIM(AS49))="PTE"),Apply2026="Yes",OR($P49="",N($P49)&gt;=PT_MinHours)),"PT","None"))))</f>
        <v/>
      </c>
      <c r="AW49" s="16" t="str">
        <f aca="false">IF(AK49=0,"",IF(AND(AM49&gt;=3,AP49&lt;=AsOfDate),AV49,IF(AND(AM49&gt;=2,AO49&lt;=AsOfDate),AU49,AT49)))</f>
        <v/>
      </c>
      <c r="AX49" s="16" t="str">
        <f aca="false">IF(AK49=0,"",IF(AsOfDate&lt;AL49,-1,12*(YEAR(AsOfDate)-YEAR(AL49))+MONTH(AsOfDate)-MONTH(AL49)-IF(DAY(AsOfDate)&lt;MIN(DAY(AL49),DAY(EOMONTH(AsOfDate,0))),1,0)))</f>
        <v/>
      </c>
      <c r="AY49" s="16" t="str">
        <f aca="false">IF(AK49=0,"",IF(OR(AM49&lt;2,AO49&gt;AsOfDate),AX49,IF((AO49-1)&lt;AL49,-1,12*(YEAR((AO49-1))-YEAR(AL49))+MONTH((AO49-1))-MONTH(AL49)-IF(DAY((AO49-1))&lt;MIN(DAY(AL49),DAY(EOMONTH((AO49-1),0))),1,0))))</f>
        <v/>
      </c>
      <c r="AZ49" s="16" t="str">
        <f aca="false">IF(AK49=0,"",IF(OR(AM49&lt;3,AP49&gt;AsOfDate),AX49,IF((AP49-1)&lt;AL49,-1,12*(YEAR((AP49-1))-YEAR(AL49))+MONTH((AP49-1))-MONTH(AL49)-IF(DAY((AP49-1))&lt;MIN(DAY(AL49),DAY(EOMONTH((AP49-1),0))),1,0))))</f>
        <v/>
      </c>
      <c r="BA49" s="16" t="str">
        <f aca="false">IF(AK49=0,"",IF(PFYDate&lt;AL49,-1,12*(YEAR(PFYDate)-YEAR(AL49))+MONTH(PFYDate)-MONTH(AL49)-IF(DAY(PFYDate)&lt;MIN(DAY(AL49),DAY(EOMONTH(PFYDate,0))),1,0)))</f>
        <v/>
      </c>
      <c r="BB49" s="16" t="str">
        <f aca="false">IF(AK49=0,"",IF(OR(AM49&lt;2,AO49&gt;PFYDate),BA49,IF((AO49-1)&lt;AL49,-1,12*(YEAR((AO49-1))-YEAR(AL49))+MONTH((AO49-1))-MONTH(AL49)-IF(DAY((AO49-1))&lt;MIN(DAY(AL49),DAY(EOMONTH((AO49-1),0))),1,0))))</f>
        <v/>
      </c>
      <c r="BC49" s="16" t="str">
        <f aca="false">IF(AK49=0,"",IF(OR(AM49&lt;3,AP49&gt;PFYDate),BA49,IF((AP49-1)&lt;AL49,-1,12*(YEAR((AP49-1))-YEAR(AL49))+MONTH((AP49-1))-MONTH(AL49)-IF(DAY((AP49-1))&lt;MIN(DAY(AL49),DAY(EOMONTH((AP49-1),0))),1,0))))</f>
        <v/>
      </c>
      <c r="BD49" s="16" t="str">
        <f aca="false">IF(AK49=0,"",IF(AT49="FT",IF(AY49&lt;FT_First,0,IF(AY49&lt;FT_Y5,1+INT((AY49-FT_First)/FT_Int1),FT_PreY5+FT_PerYear*INT((AY49-FT_Y5)/12)+FT_AnnivDays+INT(MOD(AY49-FT_Y5,12)/FT_Int2)-IF(EDATE(AL49,FT_Y5)&lt;PolicyEff,FT_AnnivDays-1,0))),IF(AT49="PT",IF(AY49&lt;PT_First,0,1+INT((AY49-PT_First)/PT_Int)),0))+IF(AND(AM49&gt;=2,AO49&lt;=AsOfDate),IF(AU49="FT",IF(AZ49&lt;FT_First,0,IF(AZ49&lt;FT_Y5,1+INT((AZ49-FT_First)/FT_Int1),FT_PreY5+FT_PerYear*INT((AZ49-FT_Y5)/12)+FT_AnnivDays+INT(MOD(AZ49-FT_Y5,12)/FT_Int2)-IF(EDATE(AL49,FT_Y5)&lt;PolicyEff,FT_AnnivDays-1,0))),IF(AU49="PT",IF(AZ49&lt;PT_First,0,1+INT((AZ49-PT_First)/PT_Int)),0))-IF(AU49="FT",IF(AY49&lt;FT_First,0,IF(AY49&lt;FT_Y5,1+INT((AY49-FT_First)/FT_Int1),FT_PreY5+FT_PerYear*INT((AY49-FT_Y5)/12)+FT_AnnivDays+INT(MOD(AY49-FT_Y5,12)/FT_Int2)-IF(EDATE(AL49,FT_Y5)&lt;PolicyEff,FT_AnnivDays-1,0))),IF(AU49="PT",IF(AY49&lt;PT_First,0,1+INT((AY49-PT_First)/PT_Int)),0)),0)+IF(AND(AM49&gt;=3,AP49&lt;=AsOfDate),IF(AV49="FT",IF(AX49&lt;FT_First,0,IF(AX49&lt;FT_Y5,1+INT((AX49-FT_First)/FT_Int1),FT_PreY5+FT_PerYear*INT((AX49-FT_Y5)/12)+FT_AnnivDays+INT(MOD(AX49-FT_Y5,12)/FT_Int2)-IF(EDATE(AL49,FT_Y5)&lt;PolicyEff,FT_AnnivDays-1,0))),IF(AV49="PT",IF(AX49&lt;PT_First,0,1+INT((AX49-PT_First)/PT_Int)),0))-IF(AV49="FT",IF(AZ49&lt;FT_First,0,IF(AZ49&lt;FT_Y5,1+INT((AZ49-FT_First)/FT_Int1),FT_PreY5+FT_PerYear*INT((AZ49-FT_Y5)/12)+FT_AnnivDays+INT(MOD(AZ49-FT_Y5,12)/FT_Int2)-IF(EDATE(AL49,FT_Y5)&lt;PolicyEff,FT_AnnivDays-1,0))),IF(AV49="PT",IF(AZ49&lt;PT_First,0,1+INT((AZ49-PT_First)/PT_Int)),0)),0))</f>
        <v/>
      </c>
      <c r="BE49" s="16" t="str">
        <f aca="false">IF(AK49=0,"",IF(AT49="FT",IF(BB49&lt;FT_First,0,IF(BB49&lt;FT_Y5,1+INT((BB49-FT_First)/FT_Int1),FT_PreY5+FT_PerYear*INT((BB49-FT_Y5)/12)+FT_AnnivDays+INT(MOD(BB49-FT_Y5,12)/FT_Int2)-IF(EDATE(AL49,FT_Y5)&lt;PolicyEff,FT_AnnivDays-1,0))),IF(AT49="PT",IF(BB49&lt;PT_First,0,1+INT((BB49-PT_First)/PT_Int)),0))+IF(AND(AM49&gt;=2,AO49&lt;=PFYDate),IF(AU49="FT",IF(BC49&lt;FT_First,0,IF(BC49&lt;FT_Y5,1+INT((BC49-FT_First)/FT_Int1),FT_PreY5+FT_PerYear*INT((BC49-FT_Y5)/12)+FT_AnnivDays+INT(MOD(BC49-FT_Y5,12)/FT_Int2)-IF(EDATE(AL49,FT_Y5)&lt;PolicyEff,FT_AnnivDays-1,0))),IF(AU49="PT",IF(BC49&lt;PT_First,0,1+INT((BC49-PT_First)/PT_Int)),0))-IF(AU49="FT",IF(BB49&lt;FT_First,0,IF(BB49&lt;FT_Y5,1+INT((BB49-FT_First)/FT_Int1),FT_PreY5+FT_PerYear*INT((BB49-FT_Y5)/12)+FT_AnnivDays+INT(MOD(BB49-FT_Y5,12)/FT_Int2)-IF(EDATE(AL49,FT_Y5)&lt;PolicyEff,FT_AnnivDays-1,0))),IF(AU49="PT",IF(BB49&lt;PT_First,0,1+INT((BB49-PT_First)/PT_Int)),0)),0)+IF(AND(AM49&gt;=3,AP49&lt;=PFYDate),IF(AV49="FT",IF(BA49&lt;FT_First,0,IF(BA49&lt;FT_Y5,1+INT((BA49-FT_First)/FT_Int1),FT_PreY5+FT_PerYear*INT((BA49-FT_Y5)/12)+FT_AnnivDays+INT(MOD(BA49-FT_Y5,12)/FT_Int2)-IF(EDATE(AL49,FT_Y5)&lt;PolicyEff,FT_AnnivDays-1,0))),IF(AV49="PT",IF(BA49&lt;PT_First,0,1+INT((BA49-PT_First)/PT_Int)),0))-IF(AV49="FT",IF(BC49&lt;FT_First,0,IF(BC49&lt;FT_Y5,1+INT((BC49-FT_First)/FT_Int1),FT_PreY5+FT_PerYear*INT((BC49-FT_Y5)/12)+FT_AnnivDays+INT(MOD(BC49-FT_Y5,12)/FT_Int2)-IF(EDATE(AL49,FT_Y5)&lt;PolicyEff,FT_AnnivDays-1,0))),IF(AV49="PT",IF(BC49&lt;PT_First,0,1+INT((BC49-PT_First)/PT_Int)),0)),0))</f>
        <v/>
      </c>
      <c r="BF49" s="16" t="str">
        <f aca="false">IF(AK49=0,"",IF(AW49="FT",IF(AX49&lt;FT_First,FT_First,IF(AX49&lt;FT_Y5,MIN(FT_Y5,FT_First+FT_Int1*(INT((AX49-FT_First)/FT_Int1)+1)),FT_Y5+12*INT((AX49-FT_Y5)/12)+FT_Int2*(INT(MOD(AX49-FT_Y5,12)/FT_Int2)+1))),IF(AW49="PT",IF(AX49&lt;PT_First,PT_First,PT_First+PT_Int*(INT((AX49-PT_First)/PT_Int)+1)),"")))</f>
        <v/>
      </c>
      <c r="BG49" s="16" t="str">
        <f aca="false">IF(AK49=0,"",IF(NOT(LH_Ready),0,COUNTIFS(INDEX(LH_Data,0,LH_ColFirst),$A49,INDEX(LH_Data,0,LH_ColSur),$B49,INDEX(LH_Data,0,LH_ColCat),BonusCat)))</f>
        <v/>
      </c>
      <c r="BH49" s="16" t="str">
        <f aca="false">IF(AK49=0,"",IF(OR(NOT(LH_Ready),BG49=0),0,SUMPRODUCT(MAX((INDEX(LH_Data,0,LH_ColFirst)=$A49)*(INDEX(LH_Data,0,LH_ColSur)=$B49)*(INDEX(LH_Data,0,LH_ColCat)=BonusCat)*ROW(LH_Data)))))</f>
        <v/>
      </c>
      <c r="BI49" s="16" t="str">
        <f aca="false">IF(AK49=0,"",IF(EOMONTH(AsOfDate,-1)&lt;AL49,-1,12*(YEAR(EOMONTH(AsOfDate,-1))-YEAR(AL49))+MONTH(EOMONTH(AsOfDate,-1))-MONTH(AL49)-IF(DAY(EOMONTH(AsOfDate,-1))&lt;MIN(DAY(AL49),DAY(EOMONTH(EOMONTH(AsOfDate,-1),0))),1,0)))</f>
        <v/>
      </c>
      <c r="BJ49" s="16" t="str">
        <f aca="false">IF(AK49=0,"",IF(OR(AM49&lt;2,AO49&gt;EOMONTH(AsOfDate,-1)),BI49,IF((AO49-1)&lt;AL49,-1,12*(YEAR((AO49-1))-YEAR(AL49))+MONTH((AO49-1))-MONTH(AL49)-IF(DAY((AO49-1))&lt;MIN(DAY(AL49),DAY(EOMONTH((AO49-1),0))),1,0))))</f>
        <v/>
      </c>
      <c r="BK49" s="16" t="str">
        <f aca="false">IF(AK49=0,"",IF(OR(AM49&lt;3,AP49&gt;EOMONTH(AsOfDate,-1)),BI49,IF((AP49-1)&lt;AL49,-1,12*(YEAR((AP49-1))-YEAR(AL49))+MONTH((AP49-1))-MONTH(AL49)-IF(DAY((AP49-1))&lt;MIN(DAY(AL49),DAY(EOMONTH((AP49-1),0))),1,0))))</f>
        <v/>
      </c>
      <c r="BL49" s="16" t="str">
        <f aca="false">IF(AK49=0,"",IF(AT49="FT",IF(BJ49&lt;FT_First,0,IF(BJ49&lt;FT_Y5,1+INT((BJ49-FT_First)/FT_Int1),FT_PreY5+FT_PerYear*INT((BJ49-FT_Y5)/12)+FT_AnnivDays+INT(MOD(BJ49-FT_Y5,12)/FT_Int2)-IF(EDATE(AL49,FT_Y5)&lt;PolicyEff,FT_AnnivDays-1,0))),IF(AT49="PT",IF(BJ49&lt;PT_First,0,1+INT((BJ49-PT_First)/PT_Int)),0))+IF(AND(AM49&gt;=2,AO49&lt;=EOMONTH(AsOfDate,-1)),IF(AU49="FT",IF(BK49&lt;FT_First,0,IF(BK49&lt;FT_Y5,1+INT((BK49-FT_First)/FT_Int1),FT_PreY5+FT_PerYear*INT((BK49-FT_Y5)/12)+FT_AnnivDays+INT(MOD(BK49-FT_Y5,12)/FT_Int2)-IF(EDATE(AL49,FT_Y5)&lt;PolicyEff,FT_AnnivDays-1,0))),IF(AU49="PT",IF(BK49&lt;PT_First,0,1+INT((BK49-PT_First)/PT_Int)),0))-IF(AU49="FT",IF(BJ49&lt;FT_First,0,IF(BJ49&lt;FT_Y5,1+INT((BJ49-FT_First)/FT_Int1),FT_PreY5+FT_PerYear*INT((BJ49-FT_Y5)/12)+FT_AnnivDays+INT(MOD(BJ49-FT_Y5,12)/FT_Int2)-IF(EDATE(AL49,FT_Y5)&lt;PolicyEff,FT_AnnivDays-1,0))),IF(AU49="PT",IF(BJ49&lt;PT_First,0,1+INT((BJ49-PT_First)/PT_Int)),0)),0)+IF(AND(AM49&gt;=3,AP49&lt;=EOMONTH(AsOfDate,-1)),IF(AV49="FT",IF(BI49&lt;FT_First,0,IF(BI49&lt;FT_Y5,1+INT((BI49-FT_First)/FT_Int1),FT_PreY5+FT_PerYear*INT((BI49-FT_Y5)/12)+FT_AnnivDays+INT(MOD(BI49-FT_Y5,12)/FT_Int2)-IF(EDATE(AL49,FT_Y5)&lt;PolicyEff,FT_AnnivDays-1,0))),IF(AV49="PT",IF(BI49&lt;PT_First,0,1+INT((BI49-PT_First)/PT_Int)),0))-IF(AV49="FT",IF(BK49&lt;FT_First,0,IF(BK49&lt;FT_Y5,1+INT((BK49-FT_First)/FT_Int1),FT_PreY5+FT_PerYear*INT((BK49-FT_Y5)/12)+FT_AnnivDays+INT(MOD(BK49-FT_Y5,12)/FT_Int2)-IF(EDATE(AL49,FT_Y5)&lt;PolicyEff,FT_AnnivDays-1,0))),IF(AV49="PT",IF(BK49&lt;PT_First,0,1+INT((BK49-PT_First)/PT_Int)),0)),0))</f>
        <v/>
      </c>
      <c r="BM49" s="16" t="str">
        <f aca="false">IF(AK49=0,"",IF(AW49="FT",IF(AX49&lt;FT_First,"",IF(AX49&lt;FT_Y5,FT_First+FT_Int1*INT((AX49-FT_First)/FT_Int1),FT_Y5+FT_Int2*INT((AX49-FT_Y5)/FT_Int2))),IF(AW49="PT",IF(AX49&lt;PT_First,"",PT_First+PT_Int*INT((AX49-PT_First)/PT_Int)),"")))</f>
        <v/>
      </c>
      <c r="BN49" s="16" t="str">
        <f aca="false">IF(AK49=0,"",IF((SchemeStart-1)&lt;AL49,-1,12*(YEAR((SchemeStart-1))-YEAR(AL49))+MONTH((SchemeStart-1))-MONTH(AL49)-IF(DAY((SchemeStart-1))&lt;MIN(DAY(AL49),DAY(EOMONTH((SchemeStart-1),0))),1,0)))</f>
        <v/>
      </c>
      <c r="BO49" s="16" t="str">
        <f aca="false">IF(AK49=0,"",IF(OR(AM49&lt;2,AO49&gt;(SchemeStart-1)),BN49,IF((AO49-1)&lt;AL49,-1,12*(YEAR((AO49-1))-YEAR(AL49))+MONTH((AO49-1))-MONTH(AL49)-IF(DAY((AO49-1))&lt;MIN(DAY(AL49),DAY(EOMONTH((AO49-1),0))),1,0))))</f>
        <v/>
      </c>
      <c r="BP49" s="16" t="str">
        <f aca="false">IF(AK49=0,"",IF(OR(AM49&lt;3,AP49&gt;(SchemeStart-1)),BN49,IF((AP49-1)&lt;AL49,-1,12*(YEAR((AP49-1))-YEAR(AL49))+MONTH((AP49-1))-MONTH(AL49)-IF(DAY((AP49-1))&lt;MIN(DAY(AL49),DAY(EOMONTH((AP49-1),0))),1,0))))</f>
        <v/>
      </c>
      <c r="BQ49" s="16" t="str">
        <f aca="false">IF(AK49=0,"",IF(AT49="FT",IF(BO49&lt;FT_First,0,IF(BO49&lt;FT_Y5,1+INT((BO49-FT_First)/FT_Int1),FT_PreY5+FT_PerYear*INT((BO49-FT_Y5)/12)+FT_AnnivDays+INT(MOD(BO49-FT_Y5,12)/FT_Int2)-IF(EDATE(AL49,FT_Y5)&lt;PolicyEff,FT_AnnivDays-1,0))),IF(AT49="PT",IF(BO49&lt;PT_First,0,1+INT((BO49-PT_First)/PT_Int)),0))+IF(AND(AM49&gt;=2,AO49&lt;=(SchemeStart-1)),IF(AU49="FT",IF(BP49&lt;FT_First,0,IF(BP49&lt;FT_Y5,1+INT((BP49-FT_First)/FT_Int1),FT_PreY5+FT_PerYear*INT((BP49-FT_Y5)/12)+FT_AnnivDays+INT(MOD(BP49-FT_Y5,12)/FT_Int2)-IF(EDATE(AL49,FT_Y5)&lt;PolicyEff,FT_AnnivDays-1,0))),IF(AU49="PT",IF(BP49&lt;PT_First,0,1+INT((BP49-PT_First)/PT_Int)),0))-IF(AU49="FT",IF(BO49&lt;FT_First,0,IF(BO49&lt;FT_Y5,1+INT((BO49-FT_First)/FT_Int1),FT_PreY5+FT_PerYear*INT((BO49-FT_Y5)/12)+FT_AnnivDays+INT(MOD(BO49-FT_Y5,12)/FT_Int2)-IF(EDATE(AL49,FT_Y5)&lt;PolicyEff,FT_AnnivDays-1,0))),IF(AU49="PT",IF(BO49&lt;PT_First,0,1+INT((BO49-PT_First)/PT_Int)),0)),0)+IF(AND(AM49&gt;=3,AP49&lt;=(SchemeStart-1)),IF(AV49="FT",IF(BN49&lt;FT_First,0,IF(BN49&lt;FT_Y5,1+INT((BN49-FT_First)/FT_Int1),FT_PreY5+FT_PerYear*INT((BN49-FT_Y5)/12)+FT_AnnivDays+INT(MOD(BN49-FT_Y5,12)/FT_Int2)-IF(EDATE(AL49,FT_Y5)&lt;PolicyEff,FT_AnnivDays-1,0))),IF(AV49="PT",IF(BN49&lt;PT_First,0,1+INT((BN49-PT_First)/PT_Int)),0))-IF(AV49="FT",IF(BP49&lt;FT_First,0,IF(BP49&lt;FT_Y5,1+INT((BP49-FT_First)/FT_Int1),FT_PreY5+FT_PerYear*INT((BP49-FT_Y5)/12)+FT_AnnivDays+INT(MOD(BP49-FT_Y5,12)/FT_Int2)-IF(EDATE(AL49,FT_Y5)&lt;PolicyEff,FT_AnnivDays-1,0))),IF(AV49="PT",IF(BP49&lt;PT_First,0,1+INT((BP49-PT_First)/PT_Int)),0)),0))</f>
        <v/>
      </c>
      <c r="BR49" s="0" t="str">
        <f aca="false">IF(LEN($A49&amp;$B49)=0,"",$A49&amp;" "&amp;$B49)</f>
        <v/>
      </c>
    </row>
    <row r="50" customFormat="false" ht="15" hidden="false" customHeight="false" outlineLevel="0" collapsed="false">
      <c r="A50" s="12"/>
      <c r="B50" s="12"/>
      <c r="C50" s="12"/>
      <c r="D50" s="13"/>
      <c r="E50" s="14" t="str">
        <f aca="false">IF(OR(AK50=0,$D50=""),"",DATE(YEAR(AsOfDate)+IF(DATE(YEAR(AsOfDate),MONTH($D50),DAY($D50))&lt;=AsOfDate,1,0),MONTH($D50),DAY($D50)))</f>
        <v/>
      </c>
      <c r="F50" s="13"/>
      <c r="G50" s="13"/>
      <c r="H50" s="13"/>
      <c r="I50" s="13"/>
      <c r="J50" s="13"/>
      <c r="K50" s="14" t="str">
        <f aca="false">IF(AK50=0,"",DATE(YEAR(AsOfDate)+IF(DATE(YEAR(AsOfDate),MONTH(AL50),DAY(AL50))&lt;=AsOfDate,1,0),MONTH(AL50),DAY(AL50)))</f>
        <v/>
      </c>
      <c r="L50" s="15" t="str">
        <f aca="false">IF(AK50=0,"",ROUND((AsOfDate-AL50)/365.25,1))</f>
        <v/>
      </c>
      <c r="M50" s="16" t="str">
        <f aca="false">IF(AK50=0,"",IF(AsOfDate&lt;AL50,"-",DATEDIF(AL50,AsOfDate,"y")&amp;"y "&amp;DATEDIF(AL50,AsOfDate,"ym")&amp;"m "&amp;DATEDIF(AL50,AsOfDate,"md")&amp;"d"))</f>
        <v/>
      </c>
      <c r="N50" s="17" t="str">
        <f aca="false">IF(AK50=0,"",O50*HoursPerDay)</f>
        <v/>
      </c>
      <c r="O50" s="17" t="str">
        <f aca="false">IF(AK50=0,"",MAX(0,BD50-BQ50))</f>
        <v/>
      </c>
      <c r="P50" s="18"/>
      <c r="Q50" s="16" t="str">
        <f aca="false">IF(AK50=0,"",IF(AM50&lt;2,"",AQ50&amp;" to "&amp;AR50&amp;" on "&amp;TEXT(AO50,"dd/mm/yyyy")&amp;IF(AO50&gt;AsOfDate," (future)",IF(AT50=AU50,"",IF(AU50="None"," - STOPPED accruing",IF(AT50="None"," - commencement for Bonus Leave"," - pathway changed"))))&amp;IF(AM50&lt;3,"","; "&amp;AR50&amp;" to "&amp;AS50&amp;" on "&amp;TEXT(AP50,"dd/mm/yyyy")&amp;IF(AP50&gt;AsOfDate," (future)",IF(AU50=AV50,"",IF(AV50="None"," - STOPPED accruing",IF(AU50="None"," - commencement for Bonus Leave"," - pathway changed")))))))</f>
        <v/>
      </c>
      <c r="R50" s="16" t="str">
        <f aca="false">IF(AK50=0,"",IF(AW50="None",IF(O50&gt;0,"No longer accruing","Not eligible - "&amp;IF(AND(OR(ISNUMBER(SEARCH("part",$C50)),UPPER(TRIM($C50))="PT",UPPER(TRIM($C50))="PTE"),Apply2026="No"),"part-time (scheme is full-time only)",IF(AND(OR(ISNUMBER(SEARCH("part",$C50)),UPPER(TRIM($C50))="PT",UPPER(TRIM($C50))="PTE"),$P50&lt;&gt;"",N($P50)&lt;PT_MinHours),"under "&amp;PT_MinHours&amp;" hrs",IF(IF($C50="","",IF(OR(ISNUMBER(SEARCH("full",$C50)),UPPER(TRIM($C50))="FT",UPPER(TRIM($C50))="FTE"),"Full-Time",IF(OR(ISNUMBER(SEARCH("part",$C50)),UPPER(TRIM($C50))="PT",UPPER(TRIM($C50))="PTE"),"Part-Time",IF(OR(ISNUMBER(SEARCH("cas",$C50)),UPPER(TRIM($C50))="CAS"),"Casual","Unknown"))))="Unknown","type not recognised",$C50)))),IF(O50&gt;0,"Yes - Accrual Required","Not yet - from "&amp;TEXT(S50,"dd/mm/yyyy"))))</f>
        <v/>
      </c>
      <c r="S50" s="14" t="str">
        <f aca="false">IF(AK50=0,"",IF(AW50="None","",EDATE(AL50,BF50)))</f>
        <v/>
      </c>
      <c r="T50" s="17" t="str">
        <f aca="false">IF(AK50=0,"",IF(NOT(LH_Ready),"",IF($F50&gt;PFYDate,0,IF(LH_ColPeriod=0,W50-U50+V50,SUMIFS(INDEX(LH_Data,0,LH_ColAcc),INDEX(LH_Data,0,LH_ColFirst),$A50,INDEX(LH_Data,0,LH_ColSur),$B50,INDEX(LH_Data,0,LH_ColCat),BonusCat,INDEX(LH_Data,0,LH_ColPeriod),LH_OpenLabel)*UnitFactor))))</f>
        <v/>
      </c>
      <c r="U50" s="17" t="str">
        <f aca="false">IF(AK50=0,"",IF(NOT(LH_Ready),"",SUMIFS(INDEX(LH_Data,0,LH_ColAcc),INDEX(LH_Data,0,LH_ColFirst),$A50,INDEX(LH_Data,0,LH_ColSur),$B50,INDEX(LH_Data,0,LH_ColCat),BonusCat,INDEX(LH_Data,0,LH_ColStart),"&gt;="&amp;AL50)*UnitFactor))</f>
        <v/>
      </c>
      <c r="V50" s="17" t="str">
        <f aca="false">IF(AK50=0,"",IF(NOT(LH_Ready),"",SUMIFS(INDEX(LH_Data,0,LH_ColTaken),INDEX(LH_Data,0,LH_ColFirst),$A50,INDEX(LH_Data,0,LH_ColSur),$B50,INDEX(LH_Data,0,LH_ColCat),BonusCat,INDEX(LH_Data,0,LH_ColStart),"&gt;="&amp;AL50)*UnitFactor))</f>
        <v/>
      </c>
      <c r="W50" s="17" t="str">
        <f aca="false">IF(AK50=0,"",IF(NOT(LH_Ready),"",IF(BH50=0,0,INDEX(INDEX(LH_Data,0,LH_ColClose),BH50-1)*UnitFactor)))</f>
        <v/>
      </c>
      <c r="X50" s="17" t="str">
        <f aca="false">IF(AK50=0,"",(MAX(0,BD50-BQ50)-MAX(0,BE50-BQ50))*HoursPerDay)</f>
        <v/>
      </c>
      <c r="Y50" s="17" t="str">
        <f aca="false">IF(AK50=0,"",IF(NOT(LH_Ready),"",IF($AI50="Yes",N(AE50)*HoursPerDay-SUMIFS(INDEX(LH_Data,0,LH_ColAcc),INDEX(LH_Data,0,LH_ColFirst),$A50,INDEX(LH_Data,0,LH_ColSur),$B50,INDEX(LH_Data,0,LH_ColCat),BonusCat,INDEX(LH_Data,0,LH_ColStart),"&gt;="&amp;(EOMONTH(AsOfDate,-1)+1),INDEX(LH_Data,0,LH_ColStart),"&lt;="&amp;AsOfDate)*UnitFactor,IF(BG50=0,N50,N50-N(T50)-N(U50)))))</f>
        <v/>
      </c>
      <c r="Z50" s="16" t="str">
        <f aca="false">IF(OR(AK50=0,Y50=""),"",IF(Y50&gt;0,"Yes","No"))</f>
        <v/>
      </c>
      <c r="AA50" s="16" t="str">
        <f aca="false">IF(AK50=0,IF(LEN($A50&amp;$B50)=0,"","FIX INPUT - StartDate missing"),IF(AD50&lt;&gt;"","FIX INPUT - "&amp;AD50,IF(NOT(LH_Ready),"Paste Leave History export (Settings must show YES)",IF(AND($AI50="Yes",Y50&lt;=0),"OK - EH balance accepted to date"&amp;IF(N(AH50)&gt;0," (EH holds "&amp;AH50&amp;" hrs over the scheme)","")&amp;"; next day "&amp;TEXT(S50,"dd mmm yy")&amp;IF(N(AE50)&gt;0," ("&amp;AE50&amp;" day(s) for "&amp;UPPER(TEXT(AsOfDate,"mmm yyyy"))&amp;" already in EH)",""),IF(Y50&gt;0,"ACCRUE "&amp;ROUND(Y50,2)&amp;" hrs ("&amp;ROUND(Y50/HoursPerDay,2)&amp;" days): "&amp;IF(N(AE50)&gt;0,AE50&amp;" day(s) for "&amp;UPPER(TEXT(AsOfDate,"mmm yyyy"))&amp;" (milestone "&amp;UPPER(TEXT(AF50,"dd mmm yy"))&amp;")"&amp;IF(Y50/HoursPerDay&gt;AE50+0.001," + "&amp;ROUND(Y50/HoursPerDay-AE50,2)&amp;" day(s) catch-up from earlier months",""),"all catch-up from earlier months, nothing new this month")&amp;IF(BG50=0,"; no Bonus Leave in EH yet",""),IF(Y50&lt;0,"CHECK - EH accrued "&amp;ROUND(-Y50,2)&amp;" hrs more than policy since commencement",IF(N(W50)&gt;O50*HoursPerDay+0.01,"CHECK - EH balance "&amp;ROUND(W50-O50*HoursPerDay,2)&amp;" hrs more than policy entitlement",IF(O50&gt;0,"OK - nothing to add"&amp;IF(N(AE50)&gt;0," ("&amp;AE50&amp;" day(s) for "&amp;UPPER(TEXT(AsOfDate,"mmm yyyy"))&amp;" already in EH)",""),IF(AW50="None",R50,"Not yet - first day on "&amp;TEXT(S50,"dd/mm/yyyy"))))))))))</f>
        <v/>
      </c>
      <c r="AB50" s="17" t="str">
        <f aca="false">IF(OR(AK50=0,T50=""),"",MAX(0,BE50-BQ50)*HoursPerDay-T50)</f>
        <v/>
      </c>
      <c r="AC50" s="16" t="str">
        <f aca="false">IF(AK50=0,"",BG50)</f>
        <v/>
      </c>
      <c r="AD50" s="16" t="str">
        <f aca="false">IF(AK50=0,"",TRIM(IF(OR(ISTEXT($F50),ISTEXT($H50),ISTEXT($I50),ISTEXT($G50),ISTEXT($J50),ISTEXT($D50)),"A date is typed as text - retype it as dd/mm/yyyy. ","")&amp;IF(IF($C50="","",IF(OR(ISNUMBER(SEARCH("full",$C50)),UPPER(TRIM($C50))="FT",UPPER(TRIM($C50))="FTE"),"Full-Time",IF(OR(ISNUMBER(SEARCH("part",$C50)),UPPER(TRIM($C50))="PT",UPPER(TRIM($C50))="PTE"),"Part-Time",IF(OR(ISNUMBER(SEARCH("cas",$C50)),UPPER(TRIM($C50))="CAS"),"Casual","Unknown"))))="Unknown","EmploymentType not recognised - use Full-Time, Part-Time or Casual. ","")&amp;IF(AND(AM50&gt;=1,IF(AM50&gt;=3,AS50,IF(AM50=2,AR50,AQ50))&lt;&gt;IF($C50="","",IF(OR(ISNUMBER(SEARCH("full",$C50)),UPPER(TRIM($C50))="FT",UPPER(TRIM($C50))="FTE"),"Full-Time",IF(OR(ISNUMBER(SEARCH("part",$C50)),UPPER(TRIM($C50))="PT",UPPER(TRIM($C50))="PTE"),"Part-Time",IF(OR(ISNUMBER(SEARCH("cas",$C50)),UPPER(TRIM($C50))="CAS"),"Casual","Unknown"))))),"EmploymentType does not match latest start date ("&amp;IF(AM50&gt;=3,AS50,IF(AM50=2,AR50,AQ50))&amp;"). ","")&amp;IF(AND(AM50&gt;=1,AN50&lt;&gt;$F50),"Earliest type date should equal StartDate. ","")&amp;IF(AND(AM50&gt;=2,AN50=AO50),"Two types start on the same date. ","")&amp;IF(AND(OR(ISNUMBER(SEARCH("part",$C50)),UPPER(TRIM($C50))="PT",UPPER(TRIM($C50))="PTE"),$P50=""),"Part-time: enter PT Hrs/Week (blank = 24+). ","")))</f>
        <v/>
      </c>
      <c r="AE50" s="17" t="str">
        <f aca="false">IF(AK50=0,"",O50-MAX(0,BL50-BQ50))</f>
        <v/>
      </c>
      <c r="AF50" s="14" t="str">
        <f aca="false">IF(OR(AK50=0,AE50="",N(AE50)=0,BM50=""),"",EDATE(AL50,BM50))</f>
        <v/>
      </c>
      <c r="AG50" s="17" t="str">
        <f aca="false">IF(AK50=0,"",MIN(BD50,BQ50))</f>
        <v/>
      </c>
      <c r="AH50" s="17" t="str">
        <f aca="false">IF(AK50=0,"",IF(NOT(LH_Ready),"",IF(BG50=0,0,MAX(0,ROUND(N(T50)+N(U50)-N50,2)))))</f>
        <v/>
      </c>
      <c r="AI50" s="12"/>
      <c r="AJ50" s="12"/>
      <c r="AK50" s="16" t="n">
        <f aca="false">IF(OR(LEN($A50&amp;$B50)=0,$F50=""),0,1)</f>
        <v>0</v>
      </c>
      <c r="AL50" s="14" t="str">
        <f aca="false">IF(AK50=0,"",IF(PreSchemeCounts="No",MAX(SchemeStart,IF($J50&lt;&gt;"",$J50,IF(OR(CasualCounts="Yes",COUNT($G50:$I50)=0),$F50,IF(Apply2026="No",IF($I50="",$F50,$I50),IF(COUNT($H50:$I50)=0,$F50,MIN($H50:$I50)))))),IF($J50&lt;&gt;"",$J50,IF(OR(CasualCounts="Yes",COUNT($G50:$I50)=0),$F50,IF(Apply2026="No",IF($I50="",$F50,$I50),IF(COUNT($H50:$I50)=0,$F50,MIN($H50:$I50)))))))</f>
        <v/>
      </c>
      <c r="AM50" s="16" t="str">
        <f aca="false">IF(AK50=0,"",COUNT($G50:$I50))</f>
        <v/>
      </c>
      <c r="AN50" s="14" t="str">
        <f aca="false">IF(AK50=0,"",IFERROR(SMALL($G50:$I50,1),""))</f>
        <v/>
      </c>
      <c r="AO50" s="14" t="str">
        <f aca="false">IF(AK50=0,"",IFERROR(SMALL($G50:$I50,2),""))</f>
        <v/>
      </c>
      <c r="AP50" s="14" t="str">
        <f aca="false">IF(AK50=0,"",IFERROR(SMALL($G50:$I50,3),""))</f>
        <v/>
      </c>
      <c r="AQ50" s="16" t="str">
        <f aca="false">IF(AK50=0,"",IF(AN50="","",IF(AN50=$H50,"Part-Time",IF(AN50=$I50,"Full-Time","Casual"))))</f>
        <v/>
      </c>
      <c r="AR50" s="16" t="str">
        <f aca="false">IF(AK50=0,"",IF(AO50="","",IF(AO50=$H50,"Part-Time",IF(AO50=$I50,"Full-Time","Casual"))))</f>
        <v/>
      </c>
      <c r="AS50" s="16" t="str">
        <f aca="false">IF(AK50=0,"",IF(AP50="","",IF(AP50=$H50,"Part-Time",IF(AP50=$I50,"Full-Time","Casual"))))</f>
        <v/>
      </c>
      <c r="AT50" s="16" t="str">
        <f aca="false">IF(AK50=0,"",IF(AM50=0,IF(OR(ISNUMBER(SEARCH("full",$C50)),UPPER(TRIM($C50))="FT",UPPER(TRIM($C50))="FTE"),"FT",IF(AND(OR(ISNUMBER(SEARCH("part",$C50)),UPPER(TRIM($C50))="PT",UPPER(TRIM($C50))="PTE"),Apply2026="Yes",OR($P50="",N($P50)&gt;=PT_MinHours)),"PT","None")),IF(OR(ISNUMBER(SEARCH("full",AQ50)),UPPER(TRIM(AQ50))="FT",UPPER(TRIM(AQ50))="FTE"),"FT",IF(AND(OR(ISNUMBER(SEARCH("part",AQ50)),UPPER(TRIM(AQ50))="PT",UPPER(TRIM(AQ50))="PTE"),Apply2026="Yes",OR($P50="",N($P50)&gt;=PT_MinHours)),"PT","None"))))</f>
        <v/>
      </c>
      <c r="AU50" s="16" t="str">
        <f aca="false">IF(AK50=0,"",IF(AM50&lt;2,"",IF(OR(ISNUMBER(SEARCH("full",AR50)),UPPER(TRIM(AR50))="FT",UPPER(TRIM(AR50))="FTE"),"FT",IF(AND(OR(ISNUMBER(SEARCH("part",AR50)),UPPER(TRIM(AR50))="PT",UPPER(TRIM(AR50))="PTE"),Apply2026="Yes",OR($P50="",N($P50)&gt;=PT_MinHours)),"PT","None"))))</f>
        <v/>
      </c>
      <c r="AV50" s="16" t="str">
        <f aca="false">IF(AK50=0,"",IF(AM50&lt;3,"",IF(OR(ISNUMBER(SEARCH("full",AS50)),UPPER(TRIM(AS50))="FT",UPPER(TRIM(AS50))="FTE"),"FT",IF(AND(OR(ISNUMBER(SEARCH("part",AS50)),UPPER(TRIM(AS50))="PT",UPPER(TRIM(AS50))="PTE"),Apply2026="Yes",OR($P50="",N($P50)&gt;=PT_MinHours)),"PT","None"))))</f>
        <v/>
      </c>
      <c r="AW50" s="16" t="str">
        <f aca="false">IF(AK50=0,"",IF(AND(AM50&gt;=3,AP50&lt;=AsOfDate),AV50,IF(AND(AM50&gt;=2,AO50&lt;=AsOfDate),AU50,AT50)))</f>
        <v/>
      </c>
      <c r="AX50" s="16" t="str">
        <f aca="false">IF(AK50=0,"",IF(AsOfDate&lt;AL50,-1,12*(YEAR(AsOfDate)-YEAR(AL50))+MONTH(AsOfDate)-MONTH(AL50)-IF(DAY(AsOfDate)&lt;MIN(DAY(AL50),DAY(EOMONTH(AsOfDate,0))),1,0)))</f>
        <v/>
      </c>
      <c r="AY50" s="16" t="str">
        <f aca="false">IF(AK50=0,"",IF(OR(AM50&lt;2,AO50&gt;AsOfDate),AX50,IF((AO50-1)&lt;AL50,-1,12*(YEAR((AO50-1))-YEAR(AL50))+MONTH((AO50-1))-MONTH(AL50)-IF(DAY((AO50-1))&lt;MIN(DAY(AL50),DAY(EOMONTH((AO50-1),0))),1,0))))</f>
        <v/>
      </c>
      <c r="AZ50" s="16" t="str">
        <f aca="false">IF(AK50=0,"",IF(OR(AM50&lt;3,AP50&gt;AsOfDate),AX50,IF((AP50-1)&lt;AL50,-1,12*(YEAR((AP50-1))-YEAR(AL50))+MONTH((AP50-1))-MONTH(AL50)-IF(DAY((AP50-1))&lt;MIN(DAY(AL50),DAY(EOMONTH((AP50-1),0))),1,0))))</f>
        <v/>
      </c>
      <c r="BA50" s="16" t="str">
        <f aca="false">IF(AK50=0,"",IF(PFYDate&lt;AL50,-1,12*(YEAR(PFYDate)-YEAR(AL50))+MONTH(PFYDate)-MONTH(AL50)-IF(DAY(PFYDate)&lt;MIN(DAY(AL50),DAY(EOMONTH(PFYDate,0))),1,0)))</f>
        <v/>
      </c>
      <c r="BB50" s="16" t="str">
        <f aca="false">IF(AK50=0,"",IF(OR(AM50&lt;2,AO50&gt;PFYDate),BA50,IF((AO50-1)&lt;AL50,-1,12*(YEAR((AO50-1))-YEAR(AL50))+MONTH((AO50-1))-MONTH(AL50)-IF(DAY((AO50-1))&lt;MIN(DAY(AL50),DAY(EOMONTH((AO50-1),0))),1,0))))</f>
        <v/>
      </c>
      <c r="BC50" s="16" t="str">
        <f aca="false">IF(AK50=0,"",IF(OR(AM50&lt;3,AP50&gt;PFYDate),BA50,IF((AP50-1)&lt;AL50,-1,12*(YEAR((AP50-1))-YEAR(AL50))+MONTH((AP50-1))-MONTH(AL50)-IF(DAY((AP50-1))&lt;MIN(DAY(AL50),DAY(EOMONTH((AP50-1),0))),1,0))))</f>
        <v/>
      </c>
      <c r="BD50" s="16" t="str">
        <f aca="false">IF(AK50=0,"",IF(AT50="FT",IF(AY50&lt;FT_First,0,IF(AY50&lt;FT_Y5,1+INT((AY50-FT_First)/FT_Int1),FT_PreY5+FT_PerYear*INT((AY50-FT_Y5)/12)+FT_AnnivDays+INT(MOD(AY50-FT_Y5,12)/FT_Int2)-IF(EDATE(AL50,FT_Y5)&lt;PolicyEff,FT_AnnivDays-1,0))),IF(AT50="PT",IF(AY50&lt;PT_First,0,1+INT((AY50-PT_First)/PT_Int)),0))+IF(AND(AM50&gt;=2,AO50&lt;=AsOfDate),IF(AU50="FT",IF(AZ50&lt;FT_First,0,IF(AZ50&lt;FT_Y5,1+INT((AZ50-FT_First)/FT_Int1),FT_PreY5+FT_PerYear*INT((AZ50-FT_Y5)/12)+FT_AnnivDays+INT(MOD(AZ50-FT_Y5,12)/FT_Int2)-IF(EDATE(AL50,FT_Y5)&lt;PolicyEff,FT_AnnivDays-1,0))),IF(AU50="PT",IF(AZ50&lt;PT_First,0,1+INT((AZ50-PT_First)/PT_Int)),0))-IF(AU50="FT",IF(AY50&lt;FT_First,0,IF(AY50&lt;FT_Y5,1+INT((AY50-FT_First)/FT_Int1),FT_PreY5+FT_PerYear*INT((AY50-FT_Y5)/12)+FT_AnnivDays+INT(MOD(AY50-FT_Y5,12)/FT_Int2)-IF(EDATE(AL50,FT_Y5)&lt;PolicyEff,FT_AnnivDays-1,0))),IF(AU50="PT",IF(AY50&lt;PT_First,0,1+INT((AY50-PT_First)/PT_Int)),0)),0)+IF(AND(AM50&gt;=3,AP50&lt;=AsOfDate),IF(AV50="FT",IF(AX50&lt;FT_First,0,IF(AX50&lt;FT_Y5,1+INT((AX50-FT_First)/FT_Int1),FT_PreY5+FT_PerYear*INT((AX50-FT_Y5)/12)+FT_AnnivDays+INT(MOD(AX50-FT_Y5,12)/FT_Int2)-IF(EDATE(AL50,FT_Y5)&lt;PolicyEff,FT_AnnivDays-1,0))),IF(AV50="PT",IF(AX50&lt;PT_First,0,1+INT((AX50-PT_First)/PT_Int)),0))-IF(AV50="FT",IF(AZ50&lt;FT_First,0,IF(AZ50&lt;FT_Y5,1+INT((AZ50-FT_First)/FT_Int1),FT_PreY5+FT_PerYear*INT((AZ50-FT_Y5)/12)+FT_AnnivDays+INT(MOD(AZ50-FT_Y5,12)/FT_Int2)-IF(EDATE(AL50,FT_Y5)&lt;PolicyEff,FT_AnnivDays-1,0))),IF(AV50="PT",IF(AZ50&lt;PT_First,0,1+INT((AZ50-PT_First)/PT_Int)),0)),0))</f>
        <v/>
      </c>
      <c r="BE50" s="16" t="str">
        <f aca="false">IF(AK50=0,"",IF(AT50="FT",IF(BB50&lt;FT_First,0,IF(BB50&lt;FT_Y5,1+INT((BB50-FT_First)/FT_Int1),FT_PreY5+FT_PerYear*INT((BB50-FT_Y5)/12)+FT_AnnivDays+INT(MOD(BB50-FT_Y5,12)/FT_Int2)-IF(EDATE(AL50,FT_Y5)&lt;PolicyEff,FT_AnnivDays-1,0))),IF(AT50="PT",IF(BB50&lt;PT_First,0,1+INT((BB50-PT_First)/PT_Int)),0))+IF(AND(AM50&gt;=2,AO50&lt;=PFYDate),IF(AU50="FT",IF(BC50&lt;FT_First,0,IF(BC50&lt;FT_Y5,1+INT((BC50-FT_First)/FT_Int1),FT_PreY5+FT_PerYear*INT((BC50-FT_Y5)/12)+FT_AnnivDays+INT(MOD(BC50-FT_Y5,12)/FT_Int2)-IF(EDATE(AL50,FT_Y5)&lt;PolicyEff,FT_AnnivDays-1,0))),IF(AU50="PT",IF(BC50&lt;PT_First,0,1+INT((BC50-PT_First)/PT_Int)),0))-IF(AU50="FT",IF(BB50&lt;FT_First,0,IF(BB50&lt;FT_Y5,1+INT((BB50-FT_First)/FT_Int1),FT_PreY5+FT_PerYear*INT((BB50-FT_Y5)/12)+FT_AnnivDays+INT(MOD(BB50-FT_Y5,12)/FT_Int2)-IF(EDATE(AL50,FT_Y5)&lt;PolicyEff,FT_AnnivDays-1,0))),IF(AU50="PT",IF(BB50&lt;PT_First,0,1+INT((BB50-PT_First)/PT_Int)),0)),0)+IF(AND(AM50&gt;=3,AP50&lt;=PFYDate),IF(AV50="FT",IF(BA50&lt;FT_First,0,IF(BA50&lt;FT_Y5,1+INT((BA50-FT_First)/FT_Int1),FT_PreY5+FT_PerYear*INT((BA50-FT_Y5)/12)+FT_AnnivDays+INT(MOD(BA50-FT_Y5,12)/FT_Int2)-IF(EDATE(AL50,FT_Y5)&lt;PolicyEff,FT_AnnivDays-1,0))),IF(AV50="PT",IF(BA50&lt;PT_First,0,1+INT((BA50-PT_First)/PT_Int)),0))-IF(AV50="FT",IF(BC50&lt;FT_First,0,IF(BC50&lt;FT_Y5,1+INT((BC50-FT_First)/FT_Int1),FT_PreY5+FT_PerYear*INT((BC50-FT_Y5)/12)+FT_AnnivDays+INT(MOD(BC50-FT_Y5,12)/FT_Int2)-IF(EDATE(AL50,FT_Y5)&lt;PolicyEff,FT_AnnivDays-1,0))),IF(AV50="PT",IF(BC50&lt;PT_First,0,1+INT((BC50-PT_First)/PT_Int)),0)),0))</f>
        <v/>
      </c>
      <c r="BF50" s="16" t="str">
        <f aca="false">IF(AK50=0,"",IF(AW50="FT",IF(AX50&lt;FT_First,FT_First,IF(AX50&lt;FT_Y5,MIN(FT_Y5,FT_First+FT_Int1*(INT((AX50-FT_First)/FT_Int1)+1)),FT_Y5+12*INT((AX50-FT_Y5)/12)+FT_Int2*(INT(MOD(AX50-FT_Y5,12)/FT_Int2)+1))),IF(AW50="PT",IF(AX50&lt;PT_First,PT_First,PT_First+PT_Int*(INT((AX50-PT_First)/PT_Int)+1)),"")))</f>
        <v/>
      </c>
      <c r="BG50" s="16" t="str">
        <f aca="false">IF(AK50=0,"",IF(NOT(LH_Ready),0,COUNTIFS(INDEX(LH_Data,0,LH_ColFirst),$A50,INDEX(LH_Data,0,LH_ColSur),$B50,INDEX(LH_Data,0,LH_ColCat),BonusCat)))</f>
        <v/>
      </c>
      <c r="BH50" s="16" t="str">
        <f aca="false">IF(AK50=0,"",IF(OR(NOT(LH_Ready),BG50=0),0,SUMPRODUCT(MAX((INDEX(LH_Data,0,LH_ColFirst)=$A50)*(INDEX(LH_Data,0,LH_ColSur)=$B50)*(INDEX(LH_Data,0,LH_ColCat)=BonusCat)*ROW(LH_Data)))))</f>
        <v/>
      </c>
      <c r="BI50" s="16" t="str">
        <f aca="false">IF(AK50=0,"",IF(EOMONTH(AsOfDate,-1)&lt;AL50,-1,12*(YEAR(EOMONTH(AsOfDate,-1))-YEAR(AL50))+MONTH(EOMONTH(AsOfDate,-1))-MONTH(AL50)-IF(DAY(EOMONTH(AsOfDate,-1))&lt;MIN(DAY(AL50),DAY(EOMONTH(EOMONTH(AsOfDate,-1),0))),1,0)))</f>
        <v/>
      </c>
      <c r="BJ50" s="16" t="str">
        <f aca="false">IF(AK50=0,"",IF(OR(AM50&lt;2,AO50&gt;EOMONTH(AsOfDate,-1)),BI50,IF((AO50-1)&lt;AL50,-1,12*(YEAR((AO50-1))-YEAR(AL50))+MONTH((AO50-1))-MONTH(AL50)-IF(DAY((AO50-1))&lt;MIN(DAY(AL50),DAY(EOMONTH((AO50-1),0))),1,0))))</f>
        <v/>
      </c>
      <c r="BK50" s="16" t="str">
        <f aca="false">IF(AK50=0,"",IF(OR(AM50&lt;3,AP50&gt;EOMONTH(AsOfDate,-1)),BI50,IF((AP50-1)&lt;AL50,-1,12*(YEAR((AP50-1))-YEAR(AL50))+MONTH((AP50-1))-MONTH(AL50)-IF(DAY((AP50-1))&lt;MIN(DAY(AL50),DAY(EOMONTH((AP50-1),0))),1,0))))</f>
        <v/>
      </c>
      <c r="BL50" s="16" t="str">
        <f aca="false">IF(AK50=0,"",IF(AT50="FT",IF(BJ50&lt;FT_First,0,IF(BJ50&lt;FT_Y5,1+INT((BJ50-FT_First)/FT_Int1),FT_PreY5+FT_PerYear*INT((BJ50-FT_Y5)/12)+FT_AnnivDays+INT(MOD(BJ50-FT_Y5,12)/FT_Int2)-IF(EDATE(AL50,FT_Y5)&lt;PolicyEff,FT_AnnivDays-1,0))),IF(AT50="PT",IF(BJ50&lt;PT_First,0,1+INT((BJ50-PT_First)/PT_Int)),0))+IF(AND(AM50&gt;=2,AO50&lt;=EOMONTH(AsOfDate,-1)),IF(AU50="FT",IF(BK50&lt;FT_First,0,IF(BK50&lt;FT_Y5,1+INT((BK50-FT_First)/FT_Int1),FT_PreY5+FT_PerYear*INT((BK50-FT_Y5)/12)+FT_AnnivDays+INT(MOD(BK50-FT_Y5,12)/FT_Int2)-IF(EDATE(AL50,FT_Y5)&lt;PolicyEff,FT_AnnivDays-1,0))),IF(AU50="PT",IF(BK50&lt;PT_First,0,1+INT((BK50-PT_First)/PT_Int)),0))-IF(AU50="FT",IF(BJ50&lt;FT_First,0,IF(BJ50&lt;FT_Y5,1+INT((BJ50-FT_First)/FT_Int1),FT_PreY5+FT_PerYear*INT((BJ50-FT_Y5)/12)+FT_AnnivDays+INT(MOD(BJ50-FT_Y5,12)/FT_Int2)-IF(EDATE(AL50,FT_Y5)&lt;PolicyEff,FT_AnnivDays-1,0))),IF(AU50="PT",IF(BJ50&lt;PT_First,0,1+INT((BJ50-PT_First)/PT_Int)),0)),0)+IF(AND(AM50&gt;=3,AP50&lt;=EOMONTH(AsOfDate,-1)),IF(AV50="FT",IF(BI50&lt;FT_First,0,IF(BI50&lt;FT_Y5,1+INT((BI50-FT_First)/FT_Int1),FT_PreY5+FT_PerYear*INT((BI50-FT_Y5)/12)+FT_AnnivDays+INT(MOD(BI50-FT_Y5,12)/FT_Int2)-IF(EDATE(AL50,FT_Y5)&lt;PolicyEff,FT_AnnivDays-1,0))),IF(AV50="PT",IF(BI50&lt;PT_First,0,1+INT((BI50-PT_First)/PT_Int)),0))-IF(AV50="FT",IF(BK50&lt;FT_First,0,IF(BK50&lt;FT_Y5,1+INT((BK50-FT_First)/FT_Int1),FT_PreY5+FT_PerYear*INT((BK50-FT_Y5)/12)+FT_AnnivDays+INT(MOD(BK50-FT_Y5,12)/FT_Int2)-IF(EDATE(AL50,FT_Y5)&lt;PolicyEff,FT_AnnivDays-1,0))),IF(AV50="PT",IF(BK50&lt;PT_First,0,1+INT((BK50-PT_First)/PT_Int)),0)),0))</f>
        <v/>
      </c>
      <c r="BM50" s="16" t="str">
        <f aca="false">IF(AK50=0,"",IF(AW50="FT",IF(AX50&lt;FT_First,"",IF(AX50&lt;FT_Y5,FT_First+FT_Int1*INT((AX50-FT_First)/FT_Int1),FT_Y5+FT_Int2*INT((AX50-FT_Y5)/FT_Int2))),IF(AW50="PT",IF(AX50&lt;PT_First,"",PT_First+PT_Int*INT((AX50-PT_First)/PT_Int)),"")))</f>
        <v/>
      </c>
      <c r="BN50" s="16" t="str">
        <f aca="false">IF(AK50=0,"",IF((SchemeStart-1)&lt;AL50,-1,12*(YEAR((SchemeStart-1))-YEAR(AL50))+MONTH((SchemeStart-1))-MONTH(AL50)-IF(DAY((SchemeStart-1))&lt;MIN(DAY(AL50),DAY(EOMONTH((SchemeStart-1),0))),1,0)))</f>
        <v/>
      </c>
      <c r="BO50" s="16" t="str">
        <f aca="false">IF(AK50=0,"",IF(OR(AM50&lt;2,AO50&gt;(SchemeStart-1)),BN50,IF((AO50-1)&lt;AL50,-1,12*(YEAR((AO50-1))-YEAR(AL50))+MONTH((AO50-1))-MONTH(AL50)-IF(DAY((AO50-1))&lt;MIN(DAY(AL50),DAY(EOMONTH((AO50-1),0))),1,0))))</f>
        <v/>
      </c>
      <c r="BP50" s="16" t="str">
        <f aca="false">IF(AK50=0,"",IF(OR(AM50&lt;3,AP50&gt;(SchemeStart-1)),BN50,IF((AP50-1)&lt;AL50,-1,12*(YEAR((AP50-1))-YEAR(AL50))+MONTH((AP50-1))-MONTH(AL50)-IF(DAY((AP50-1))&lt;MIN(DAY(AL50),DAY(EOMONTH((AP50-1),0))),1,0))))</f>
        <v/>
      </c>
      <c r="BQ50" s="16" t="str">
        <f aca="false">IF(AK50=0,"",IF(AT50="FT",IF(BO50&lt;FT_First,0,IF(BO50&lt;FT_Y5,1+INT((BO50-FT_First)/FT_Int1),FT_PreY5+FT_PerYear*INT((BO50-FT_Y5)/12)+FT_AnnivDays+INT(MOD(BO50-FT_Y5,12)/FT_Int2)-IF(EDATE(AL50,FT_Y5)&lt;PolicyEff,FT_AnnivDays-1,0))),IF(AT50="PT",IF(BO50&lt;PT_First,0,1+INT((BO50-PT_First)/PT_Int)),0))+IF(AND(AM50&gt;=2,AO50&lt;=(SchemeStart-1)),IF(AU50="FT",IF(BP50&lt;FT_First,0,IF(BP50&lt;FT_Y5,1+INT((BP50-FT_First)/FT_Int1),FT_PreY5+FT_PerYear*INT((BP50-FT_Y5)/12)+FT_AnnivDays+INT(MOD(BP50-FT_Y5,12)/FT_Int2)-IF(EDATE(AL50,FT_Y5)&lt;PolicyEff,FT_AnnivDays-1,0))),IF(AU50="PT",IF(BP50&lt;PT_First,0,1+INT((BP50-PT_First)/PT_Int)),0))-IF(AU50="FT",IF(BO50&lt;FT_First,0,IF(BO50&lt;FT_Y5,1+INT((BO50-FT_First)/FT_Int1),FT_PreY5+FT_PerYear*INT((BO50-FT_Y5)/12)+FT_AnnivDays+INT(MOD(BO50-FT_Y5,12)/FT_Int2)-IF(EDATE(AL50,FT_Y5)&lt;PolicyEff,FT_AnnivDays-1,0))),IF(AU50="PT",IF(BO50&lt;PT_First,0,1+INT((BO50-PT_First)/PT_Int)),0)),0)+IF(AND(AM50&gt;=3,AP50&lt;=(SchemeStart-1)),IF(AV50="FT",IF(BN50&lt;FT_First,0,IF(BN50&lt;FT_Y5,1+INT((BN50-FT_First)/FT_Int1),FT_PreY5+FT_PerYear*INT((BN50-FT_Y5)/12)+FT_AnnivDays+INT(MOD(BN50-FT_Y5,12)/FT_Int2)-IF(EDATE(AL50,FT_Y5)&lt;PolicyEff,FT_AnnivDays-1,0))),IF(AV50="PT",IF(BN50&lt;PT_First,0,1+INT((BN50-PT_First)/PT_Int)),0))-IF(AV50="FT",IF(BP50&lt;FT_First,0,IF(BP50&lt;FT_Y5,1+INT((BP50-FT_First)/FT_Int1),FT_PreY5+FT_PerYear*INT((BP50-FT_Y5)/12)+FT_AnnivDays+INT(MOD(BP50-FT_Y5,12)/FT_Int2)-IF(EDATE(AL50,FT_Y5)&lt;PolicyEff,FT_AnnivDays-1,0))),IF(AV50="PT",IF(BP50&lt;PT_First,0,1+INT((BP50-PT_First)/PT_Int)),0)),0))</f>
        <v/>
      </c>
      <c r="BR50" s="0" t="str">
        <f aca="false">IF(LEN($A50&amp;$B50)=0,"",$A50&amp;" "&amp;$B50)</f>
        <v/>
      </c>
    </row>
    <row r="51" customFormat="false" ht="15" hidden="false" customHeight="false" outlineLevel="0" collapsed="false">
      <c r="A51" s="12"/>
      <c r="B51" s="12"/>
      <c r="C51" s="12"/>
      <c r="D51" s="13"/>
      <c r="E51" s="14" t="str">
        <f aca="false">IF(OR(AK51=0,$D51=""),"",DATE(YEAR(AsOfDate)+IF(DATE(YEAR(AsOfDate),MONTH($D51),DAY($D51))&lt;=AsOfDate,1,0),MONTH($D51),DAY($D51)))</f>
        <v/>
      </c>
      <c r="F51" s="13"/>
      <c r="G51" s="13"/>
      <c r="H51" s="13"/>
      <c r="I51" s="13"/>
      <c r="J51" s="13"/>
      <c r="K51" s="14" t="str">
        <f aca="false">IF(AK51=0,"",DATE(YEAR(AsOfDate)+IF(DATE(YEAR(AsOfDate),MONTH(AL51),DAY(AL51))&lt;=AsOfDate,1,0),MONTH(AL51),DAY(AL51)))</f>
        <v/>
      </c>
      <c r="L51" s="15" t="str">
        <f aca="false">IF(AK51=0,"",ROUND((AsOfDate-AL51)/365.25,1))</f>
        <v/>
      </c>
      <c r="M51" s="16" t="str">
        <f aca="false">IF(AK51=0,"",IF(AsOfDate&lt;AL51,"-",DATEDIF(AL51,AsOfDate,"y")&amp;"y "&amp;DATEDIF(AL51,AsOfDate,"ym")&amp;"m "&amp;DATEDIF(AL51,AsOfDate,"md")&amp;"d"))</f>
        <v/>
      </c>
      <c r="N51" s="17" t="str">
        <f aca="false">IF(AK51=0,"",O51*HoursPerDay)</f>
        <v/>
      </c>
      <c r="O51" s="17" t="str">
        <f aca="false">IF(AK51=0,"",MAX(0,BD51-BQ51))</f>
        <v/>
      </c>
      <c r="P51" s="18"/>
      <c r="Q51" s="16" t="str">
        <f aca="false">IF(AK51=0,"",IF(AM51&lt;2,"",AQ51&amp;" to "&amp;AR51&amp;" on "&amp;TEXT(AO51,"dd/mm/yyyy")&amp;IF(AO51&gt;AsOfDate," (future)",IF(AT51=AU51,"",IF(AU51="None"," - STOPPED accruing",IF(AT51="None"," - commencement for Bonus Leave"," - pathway changed"))))&amp;IF(AM51&lt;3,"","; "&amp;AR51&amp;" to "&amp;AS51&amp;" on "&amp;TEXT(AP51,"dd/mm/yyyy")&amp;IF(AP51&gt;AsOfDate," (future)",IF(AU51=AV51,"",IF(AV51="None"," - STOPPED accruing",IF(AU51="None"," - commencement for Bonus Leave"," - pathway changed")))))))</f>
        <v/>
      </c>
      <c r="R51" s="16" t="str">
        <f aca="false">IF(AK51=0,"",IF(AW51="None",IF(O51&gt;0,"No longer accruing","Not eligible - "&amp;IF(AND(OR(ISNUMBER(SEARCH("part",$C51)),UPPER(TRIM($C51))="PT",UPPER(TRIM($C51))="PTE"),Apply2026="No"),"part-time (scheme is full-time only)",IF(AND(OR(ISNUMBER(SEARCH("part",$C51)),UPPER(TRIM($C51))="PT",UPPER(TRIM($C51))="PTE"),$P51&lt;&gt;"",N($P51)&lt;PT_MinHours),"under "&amp;PT_MinHours&amp;" hrs",IF(IF($C51="","",IF(OR(ISNUMBER(SEARCH("full",$C51)),UPPER(TRIM($C51))="FT",UPPER(TRIM($C51))="FTE"),"Full-Time",IF(OR(ISNUMBER(SEARCH("part",$C51)),UPPER(TRIM($C51))="PT",UPPER(TRIM($C51))="PTE"),"Part-Time",IF(OR(ISNUMBER(SEARCH("cas",$C51)),UPPER(TRIM($C51))="CAS"),"Casual","Unknown"))))="Unknown","type not recognised",$C51)))),IF(O51&gt;0,"Yes - Accrual Required","Not yet - from "&amp;TEXT(S51,"dd/mm/yyyy"))))</f>
        <v/>
      </c>
      <c r="S51" s="14" t="str">
        <f aca="false">IF(AK51=0,"",IF(AW51="None","",EDATE(AL51,BF51)))</f>
        <v/>
      </c>
      <c r="T51" s="17" t="str">
        <f aca="false">IF(AK51=0,"",IF(NOT(LH_Ready),"",IF($F51&gt;PFYDate,0,IF(LH_ColPeriod=0,W51-U51+V51,SUMIFS(INDEX(LH_Data,0,LH_ColAcc),INDEX(LH_Data,0,LH_ColFirst),$A51,INDEX(LH_Data,0,LH_ColSur),$B51,INDEX(LH_Data,0,LH_ColCat),BonusCat,INDEX(LH_Data,0,LH_ColPeriod),LH_OpenLabel)*UnitFactor))))</f>
        <v/>
      </c>
      <c r="U51" s="17" t="str">
        <f aca="false">IF(AK51=0,"",IF(NOT(LH_Ready),"",SUMIFS(INDEX(LH_Data,0,LH_ColAcc),INDEX(LH_Data,0,LH_ColFirst),$A51,INDEX(LH_Data,0,LH_ColSur),$B51,INDEX(LH_Data,0,LH_ColCat),BonusCat,INDEX(LH_Data,0,LH_ColStart),"&gt;="&amp;AL51)*UnitFactor))</f>
        <v/>
      </c>
      <c r="V51" s="17" t="str">
        <f aca="false">IF(AK51=0,"",IF(NOT(LH_Ready),"",SUMIFS(INDEX(LH_Data,0,LH_ColTaken),INDEX(LH_Data,0,LH_ColFirst),$A51,INDEX(LH_Data,0,LH_ColSur),$B51,INDEX(LH_Data,0,LH_ColCat),BonusCat,INDEX(LH_Data,0,LH_ColStart),"&gt;="&amp;AL51)*UnitFactor))</f>
        <v/>
      </c>
      <c r="W51" s="17" t="str">
        <f aca="false">IF(AK51=0,"",IF(NOT(LH_Ready),"",IF(BH51=0,0,INDEX(INDEX(LH_Data,0,LH_ColClose),BH51-1)*UnitFactor)))</f>
        <v/>
      </c>
      <c r="X51" s="17" t="str">
        <f aca="false">IF(AK51=0,"",(MAX(0,BD51-BQ51)-MAX(0,BE51-BQ51))*HoursPerDay)</f>
        <v/>
      </c>
      <c r="Y51" s="17" t="str">
        <f aca="false">IF(AK51=0,"",IF(NOT(LH_Ready),"",IF($AI51="Yes",N(AE51)*HoursPerDay-SUMIFS(INDEX(LH_Data,0,LH_ColAcc),INDEX(LH_Data,0,LH_ColFirst),$A51,INDEX(LH_Data,0,LH_ColSur),$B51,INDEX(LH_Data,0,LH_ColCat),BonusCat,INDEX(LH_Data,0,LH_ColStart),"&gt;="&amp;(EOMONTH(AsOfDate,-1)+1),INDEX(LH_Data,0,LH_ColStart),"&lt;="&amp;AsOfDate)*UnitFactor,IF(BG51=0,N51,N51-N(T51)-N(U51)))))</f>
        <v/>
      </c>
      <c r="Z51" s="16" t="str">
        <f aca="false">IF(OR(AK51=0,Y51=""),"",IF(Y51&gt;0,"Yes","No"))</f>
        <v/>
      </c>
      <c r="AA51" s="16" t="str">
        <f aca="false">IF(AK51=0,IF(LEN($A51&amp;$B51)=0,"","FIX INPUT - StartDate missing"),IF(AD51&lt;&gt;"","FIX INPUT - "&amp;AD51,IF(NOT(LH_Ready),"Paste Leave History export (Settings must show YES)",IF(AND($AI51="Yes",Y51&lt;=0),"OK - EH balance accepted to date"&amp;IF(N(AH51)&gt;0," (EH holds "&amp;AH51&amp;" hrs over the scheme)","")&amp;"; next day "&amp;TEXT(S51,"dd mmm yy")&amp;IF(N(AE51)&gt;0," ("&amp;AE51&amp;" day(s) for "&amp;UPPER(TEXT(AsOfDate,"mmm yyyy"))&amp;" already in EH)",""),IF(Y51&gt;0,"ACCRUE "&amp;ROUND(Y51,2)&amp;" hrs ("&amp;ROUND(Y51/HoursPerDay,2)&amp;" days): "&amp;IF(N(AE51)&gt;0,AE51&amp;" day(s) for "&amp;UPPER(TEXT(AsOfDate,"mmm yyyy"))&amp;" (milestone "&amp;UPPER(TEXT(AF51,"dd mmm yy"))&amp;")"&amp;IF(Y51/HoursPerDay&gt;AE51+0.001," + "&amp;ROUND(Y51/HoursPerDay-AE51,2)&amp;" day(s) catch-up from earlier months",""),"all catch-up from earlier months, nothing new this month")&amp;IF(BG51=0,"; no Bonus Leave in EH yet",""),IF(Y51&lt;0,"CHECK - EH accrued "&amp;ROUND(-Y51,2)&amp;" hrs more than policy since commencement",IF(N(W51)&gt;O51*HoursPerDay+0.01,"CHECK - EH balance "&amp;ROUND(W51-O51*HoursPerDay,2)&amp;" hrs more than policy entitlement",IF(O51&gt;0,"OK - nothing to add"&amp;IF(N(AE51)&gt;0," ("&amp;AE51&amp;" day(s) for "&amp;UPPER(TEXT(AsOfDate,"mmm yyyy"))&amp;" already in EH)",""),IF(AW51="None",R51,"Not yet - first day on "&amp;TEXT(S51,"dd/mm/yyyy"))))))))))</f>
        <v/>
      </c>
      <c r="AB51" s="17" t="str">
        <f aca="false">IF(OR(AK51=0,T51=""),"",MAX(0,BE51-BQ51)*HoursPerDay-T51)</f>
        <v/>
      </c>
      <c r="AC51" s="16" t="str">
        <f aca="false">IF(AK51=0,"",BG51)</f>
        <v/>
      </c>
      <c r="AD51" s="16" t="str">
        <f aca="false">IF(AK51=0,"",TRIM(IF(OR(ISTEXT($F51),ISTEXT($H51),ISTEXT($I51),ISTEXT($G51),ISTEXT($J51),ISTEXT($D51)),"A date is typed as text - retype it as dd/mm/yyyy. ","")&amp;IF(IF($C51="","",IF(OR(ISNUMBER(SEARCH("full",$C51)),UPPER(TRIM($C51))="FT",UPPER(TRIM($C51))="FTE"),"Full-Time",IF(OR(ISNUMBER(SEARCH("part",$C51)),UPPER(TRIM($C51))="PT",UPPER(TRIM($C51))="PTE"),"Part-Time",IF(OR(ISNUMBER(SEARCH("cas",$C51)),UPPER(TRIM($C51))="CAS"),"Casual","Unknown"))))="Unknown","EmploymentType not recognised - use Full-Time, Part-Time or Casual. ","")&amp;IF(AND(AM51&gt;=1,IF(AM51&gt;=3,AS51,IF(AM51=2,AR51,AQ51))&lt;&gt;IF($C51="","",IF(OR(ISNUMBER(SEARCH("full",$C51)),UPPER(TRIM($C51))="FT",UPPER(TRIM($C51))="FTE"),"Full-Time",IF(OR(ISNUMBER(SEARCH("part",$C51)),UPPER(TRIM($C51))="PT",UPPER(TRIM($C51))="PTE"),"Part-Time",IF(OR(ISNUMBER(SEARCH("cas",$C51)),UPPER(TRIM($C51))="CAS"),"Casual","Unknown"))))),"EmploymentType does not match latest start date ("&amp;IF(AM51&gt;=3,AS51,IF(AM51=2,AR51,AQ51))&amp;"). ","")&amp;IF(AND(AM51&gt;=1,AN51&lt;&gt;$F51),"Earliest type date should equal StartDate. ","")&amp;IF(AND(AM51&gt;=2,AN51=AO51),"Two types start on the same date. ","")&amp;IF(AND(OR(ISNUMBER(SEARCH("part",$C51)),UPPER(TRIM($C51))="PT",UPPER(TRIM($C51))="PTE"),$P51=""),"Part-time: enter PT Hrs/Week (blank = 24+). ","")))</f>
        <v/>
      </c>
      <c r="AE51" s="17" t="str">
        <f aca="false">IF(AK51=0,"",O51-MAX(0,BL51-BQ51))</f>
        <v/>
      </c>
      <c r="AF51" s="14" t="str">
        <f aca="false">IF(OR(AK51=0,AE51="",N(AE51)=0,BM51=""),"",EDATE(AL51,BM51))</f>
        <v/>
      </c>
      <c r="AG51" s="17" t="str">
        <f aca="false">IF(AK51=0,"",MIN(BD51,BQ51))</f>
        <v/>
      </c>
      <c r="AH51" s="17" t="str">
        <f aca="false">IF(AK51=0,"",IF(NOT(LH_Ready),"",IF(BG51=0,0,MAX(0,ROUND(N(T51)+N(U51)-N51,2)))))</f>
        <v/>
      </c>
      <c r="AI51" s="12"/>
      <c r="AJ51" s="12"/>
      <c r="AK51" s="16" t="n">
        <f aca="false">IF(OR(LEN($A51&amp;$B51)=0,$F51=""),0,1)</f>
        <v>0</v>
      </c>
      <c r="AL51" s="14" t="str">
        <f aca="false">IF(AK51=0,"",IF(PreSchemeCounts="No",MAX(SchemeStart,IF($J51&lt;&gt;"",$J51,IF(OR(CasualCounts="Yes",COUNT($G51:$I51)=0),$F51,IF(Apply2026="No",IF($I51="",$F51,$I51),IF(COUNT($H51:$I51)=0,$F51,MIN($H51:$I51)))))),IF($J51&lt;&gt;"",$J51,IF(OR(CasualCounts="Yes",COUNT($G51:$I51)=0),$F51,IF(Apply2026="No",IF($I51="",$F51,$I51),IF(COUNT($H51:$I51)=0,$F51,MIN($H51:$I51)))))))</f>
        <v/>
      </c>
      <c r="AM51" s="16" t="str">
        <f aca="false">IF(AK51=0,"",COUNT($G51:$I51))</f>
        <v/>
      </c>
      <c r="AN51" s="14" t="str">
        <f aca="false">IF(AK51=0,"",IFERROR(SMALL($G51:$I51,1),""))</f>
        <v/>
      </c>
      <c r="AO51" s="14" t="str">
        <f aca="false">IF(AK51=0,"",IFERROR(SMALL($G51:$I51,2),""))</f>
        <v/>
      </c>
      <c r="AP51" s="14" t="str">
        <f aca="false">IF(AK51=0,"",IFERROR(SMALL($G51:$I51,3),""))</f>
        <v/>
      </c>
      <c r="AQ51" s="16" t="str">
        <f aca="false">IF(AK51=0,"",IF(AN51="","",IF(AN51=$H51,"Part-Time",IF(AN51=$I51,"Full-Time","Casual"))))</f>
        <v/>
      </c>
      <c r="AR51" s="16" t="str">
        <f aca="false">IF(AK51=0,"",IF(AO51="","",IF(AO51=$H51,"Part-Time",IF(AO51=$I51,"Full-Time","Casual"))))</f>
        <v/>
      </c>
      <c r="AS51" s="16" t="str">
        <f aca="false">IF(AK51=0,"",IF(AP51="","",IF(AP51=$H51,"Part-Time",IF(AP51=$I51,"Full-Time","Casual"))))</f>
        <v/>
      </c>
      <c r="AT51" s="16" t="str">
        <f aca="false">IF(AK51=0,"",IF(AM51=0,IF(OR(ISNUMBER(SEARCH("full",$C51)),UPPER(TRIM($C51))="FT",UPPER(TRIM($C51))="FTE"),"FT",IF(AND(OR(ISNUMBER(SEARCH("part",$C51)),UPPER(TRIM($C51))="PT",UPPER(TRIM($C51))="PTE"),Apply2026="Yes",OR($P51="",N($P51)&gt;=PT_MinHours)),"PT","None")),IF(OR(ISNUMBER(SEARCH("full",AQ51)),UPPER(TRIM(AQ51))="FT",UPPER(TRIM(AQ51))="FTE"),"FT",IF(AND(OR(ISNUMBER(SEARCH("part",AQ51)),UPPER(TRIM(AQ51))="PT",UPPER(TRIM(AQ51))="PTE"),Apply2026="Yes",OR($P51="",N($P51)&gt;=PT_MinHours)),"PT","None"))))</f>
        <v/>
      </c>
      <c r="AU51" s="16" t="str">
        <f aca="false">IF(AK51=0,"",IF(AM51&lt;2,"",IF(OR(ISNUMBER(SEARCH("full",AR51)),UPPER(TRIM(AR51))="FT",UPPER(TRIM(AR51))="FTE"),"FT",IF(AND(OR(ISNUMBER(SEARCH("part",AR51)),UPPER(TRIM(AR51))="PT",UPPER(TRIM(AR51))="PTE"),Apply2026="Yes",OR($P51="",N($P51)&gt;=PT_MinHours)),"PT","None"))))</f>
        <v/>
      </c>
      <c r="AV51" s="16" t="str">
        <f aca="false">IF(AK51=0,"",IF(AM51&lt;3,"",IF(OR(ISNUMBER(SEARCH("full",AS51)),UPPER(TRIM(AS51))="FT",UPPER(TRIM(AS51))="FTE"),"FT",IF(AND(OR(ISNUMBER(SEARCH("part",AS51)),UPPER(TRIM(AS51))="PT",UPPER(TRIM(AS51))="PTE"),Apply2026="Yes",OR($P51="",N($P51)&gt;=PT_MinHours)),"PT","None"))))</f>
        <v/>
      </c>
      <c r="AW51" s="16" t="str">
        <f aca="false">IF(AK51=0,"",IF(AND(AM51&gt;=3,AP51&lt;=AsOfDate),AV51,IF(AND(AM51&gt;=2,AO51&lt;=AsOfDate),AU51,AT51)))</f>
        <v/>
      </c>
      <c r="AX51" s="16" t="str">
        <f aca="false">IF(AK51=0,"",IF(AsOfDate&lt;AL51,-1,12*(YEAR(AsOfDate)-YEAR(AL51))+MONTH(AsOfDate)-MONTH(AL51)-IF(DAY(AsOfDate)&lt;MIN(DAY(AL51),DAY(EOMONTH(AsOfDate,0))),1,0)))</f>
        <v/>
      </c>
      <c r="AY51" s="16" t="str">
        <f aca="false">IF(AK51=0,"",IF(OR(AM51&lt;2,AO51&gt;AsOfDate),AX51,IF((AO51-1)&lt;AL51,-1,12*(YEAR((AO51-1))-YEAR(AL51))+MONTH((AO51-1))-MONTH(AL51)-IF(DAY((AO51-1))&lt;MIN(DAY(AL51),DAY(EOMONTH((AO51-1),0))),1,0))))</f>
        <v/>
      </c>
      <c r="AZ51" s="16" t="str">
        <f aca="false">IF(AK51=0,"",IF(OR(AM51&lt;3,AP51&gt;AsOfDate),AX51,IF((AP51-1)&lt;AL51,-1,12*(YEAR((AP51-1))-YEAR(AL51))+MONTH((AP51-1))-MONTH(AL51)-IF(DAY((AP51-1))&lt;MIN(DAY(AL51),DAY(EOMONTH((AP51-1),0))),1,0))))</f>
        <v/>
      </c>
      <c r="BA51" s="16" t="str">
        <f aca="false">IF(AK51=0,"",IF(PFYDate&lt;AL51,-1,12*(YEAR(PFYDate)-YEAR(AL51))+MONTH(PFYDate)-MONTH(AL51)-IF(DAY(PFYDate)&lt;MIN(DAY(AL51),DAY(EOMONTH(PFYDate,0))),1,0)))</f>
        <v/>
      </c>
      <c r="BB51" s="16" t="str">
        <f aca="false">IF(AK51=0,"",IF(OR(AM51&lt;2,AO51&gt;PFYDate),BA51,IF((AO51-1)&lt;AL51,-1,12*(YEAR((AO51-1))-YEAR(AL51))+MONTH((AO51-1))-MONTH(AL51)-IF(DAY((AO51-1))&lt;MIN(DAY(AL51),DAY(EOMONTH((AO51-1),0))),1,0))))</f>
        <v/>
      </c>
      <c r="BC51" s="16" t="str">
        <f aca="false">IF(AK51=0,"",IF(OR(AM51&lt;3,AP51&gt;PFYDate),BA51,IF((AP51-1)&lt;AL51,-1,12*(YEAR((AP51-1))-YEAR(AL51))+MONTH((AP51-1))-MONTH(AL51)-IF(DAY((AP51-1))&lt;MIN(DAY(AL51),DAY(EOMONTH((AP51-1),0))),1,0))))</f>
        <v/>
      </c>
      <c r="BD51" s="16" t="str">
        <f aca="false">IF(AK51=0,"",IF(AT51="FT",IF(AY51&lt;FT_First,0,IF(AY51&lt;FT_Y5,1+INT((AY51-FT_First)/FT_Int1),FT_PreY5+FT_PerYear*INT((AY51-FT_Y5)/12)+FT_AnnivDays+INT(MOD(AY51-FT_Y5,12)/FT_Int2)-IF(EDATE(AL51,FT_Y5)&lt;PolicyEff,FT_AnnivDays-1,0))),IF(AT51="PT",IF(AY51&lt;PT_First,0,1+INT((AY51-PT_First)/PT_Int)),0))+IF(AND(AM51&gt;=2,AO51&lt;=AsOfDate),IF(AU51="FT",IF(AZ51&lt;FT_First,0,IF(AZ51&lt;FT_Y5,1+INT((AZ51-FT_First)/FT_Int1),FT_PreY5+FT_PerYear*INT((AZ51-FT_Y5)/12)+FT_AnnivDays+INT(MOD(AZ51-FT_Y5,12)/FT_Int2)-IF(EDATE(AL51,FT_Y5)&lt;PolicyEff,FT_AnnivDays-1,0))),IF(AU51="PT",IF(AZ51&lt;PT_First,0,1+INT((AZ51-PT_First)/PT_Int)),0))-IF(AU51="FT",IF(AY51&lt;FT_First,0,IF(AY51&lt;FT_Y5,1+INT((AY51-FT_First)/FT_Int1),FT_PreY5+FT_PerYear*INT((AY51-FT_Y5)/12)+FT_AnnivDays+INT(MOD(AY51-FT_Y5,12)/FT_Int2)-IF(EDATE(AL51,FT_Y5)&lt;PolicyEff,FT_AnnivDays-1,0))),IF(AU51="PT",IF(AY51&lt;PT_First,0,1+INT((AY51-PT_First)/PT_Int)),0)),0)+IF(AND(AM51&gt;=3,AP51&lt;=AsOfDate),IF(AV51="FT",IF(AX51&lt;FT_First,0,IF(AX51&lt;FT_Y5,1+INT((AX51-FT_First)/FT_Int1),FT_PreY5+FT_PerYear*INT((AX51-FT_Y5)/12)+FT_AnnivDays+INT(MOD(AX51-FT_Y5,12)/FT_Int2)-IF(EDATE(AL51,FT_Y5)&lt;PolicyEff,FT_AnnivDays-1,0))),IF(AV51="PT",IF(AX51&lt;PT_First,0,1+INT((AX51-PT_First)/PT_Int)),0))-IF(AV51="FT",IF(AZ51&lt;FT_First,0,IF(AZ51&lt;FT_Y5,1+INT((AZ51-FT_First)/FT_Int1),FT_PreY5+FT_PerYear*INT((AZ51-FT_Y5)/12)+FT_AnnivDays+INT(MOD(AZ51-FT_Y5,12)/FT_Int2)-IF(EDATE(AL51,FT_Y5)&lt;PolicyEff,FT_AnnivDays-1,0))),IF(AV51="PT",IF(AZ51&lt;PT_First,0,1+INT((AZ51-PT_First)/PT_Int)),0)),0))</f>
        <v/>
      </c>
      <c r="BE51" s="16" t="str">
        <f aca="false">IF(AK51=0,"",IF(AT51="FT",IF(BB51&lt;FT_First,0,IF(BB51&lt;FT_Y5,1+INT((BB51-FT_First)/FT_Int1),FT_PreY5+FT_PerYear*INT((BB51-FT_Y5)/12)+FT_AnnivDays+INT(MOD(BB51-FT_Y5,12)/FT_Int2)-IF(EDATE(AL51,FT_Y5)&lt;PolicyEff,FT_AnnivDays-1,0))),IF(AT51="PT",IF(BB51&lt;PT_First,0,1+INT((BB51-PT_First)/PT_Int)),0))+IF(AND(AM51&gt;=2,AO51&lt;=PFYDate),IF(AU51="FT",IF(BC51&lt;FT_First,0,IF(BC51&lt;FT_Y5,1+INT((BC51-FT_First)/FT_Int1),FT_PreY5+FT_PerYear*INT((BC51-FT_Y5)/12)+FT_AnnivDays+INT(MOD(BC51-FT_Y5,12)/FT_Int2)-IF(EDATE(AL51,FT_Y5)&lt;PolicyEff,FT_AnnivDays-1,0))),IF(AU51="PT",IF(BC51&lt;PT_First,0,1+INT((BC51-PT_First)/PT_Int)),0))-IF(AU51="FT",IF(BB51&lt;FT_First,0,IF(BB51&lt;FT_Y5,1+INT((BB51-FT_First)/FT_Int1),FT_PreY5+FT_PerYear*INT((BB51-FT_Y5)/12)+FT_AnnivDays+INT(MOD(BB51-FT_Y5,12)/FT_Int2)-IF(EDATE(AL51,FT_Y5)&lt;PolicyEff,FT_AnnivDays-1,0))),IF(AU51="PT",IF(BB51&lt;PT_First,0,1+INT((BB51-PT_First)/PT_Int)),0)),0)+IF(AND(AM51&gt;=3,AP51&lt;=PFYDate),IF(AV51="FT",IF(BA51&lt;FT_First,0,IF(BA51&lt;FT_Y5,1+INT((BA51-FT_First)/FT_Int1),FT_PreY5+FT_PerYear*INT((BA51-FT_Y5)/12)+FT_AnnivDays+INT(MOD(BA51-FT_Y5,12)/FT_Int2)-IF(EDATE(AL51,FT_Y5)&lt;PolicyEff,FT_AnnivDays-1,0))),IF(AV51="PT",IF(BA51&lt;PT_First,0,1+INT((BA51-PT_First)/PT_Int)),0))-IF(AV51="FT",IF(BC51&lt;FT_First,0,IF(BC51&lt;FT_Y5,1+INT((BC51-FT_First)/FT_Int1),FT_PreY5+FT_PerYear*INT((BC51-FT_Y5)/12)+FT_AnnivDays+INT(MOD(BC51-FT_Y5,12)/FT_Int2)-IF(EDATE(AL51,FT_Y5)&lt;PolicyEff,FT_AnnivDays-1,0))),IF(AV51="PT",IF(BC51&lt;PT_First,0,1+INT((BC51-PT_First)/PT_Int)),0)),0))</f>
        <v/>
      </c>
      <c r="BF51" s="16" t="str">
        <f aca="false">IF(AK51=0,"",IF(AW51="FT",IF(AX51&lt;FT_First,FT_First,IF(AX51&lt;FT_Y5,MIN(FT_Y5,FT_First+FT_Int1*(INT((AX51-FT_First)/FT_Int1)+1)),FT_Y5+12*INT((AX51-FT_Y5)/12)+FT_Int2*(INT(MOD(AX51-FT_Y5,12)/FT_Int2)+1))),IF(AW51="PT",IF(AX51&lt;PT_First,PT_First,PT_First+PT_Int*(INT((AX51-PT_First)/PT_Int)+1)),"")))</f>
        <v/>
      </c>
      <c r="BG51" s="16" t="str">
        <f aca="false">IF(AK51=0,"",IF(NOT(LH_Ready),0,COUNTIFS(INDEX(LH_Data,0,LH_ColFirst),$A51,INDEX(LH_Data,0,LH_ColSur),$B51,INDEX(LH_Data,0,LH_ColCat),BonusCat)))</f>
        <v/>
      </c>
      <c r="BH51" s="16" t="str">
        <f aca="false">IF(AK51=0,"",IF(OR(NOT(LH_Ready),BG51=0),0,SUMPRODUCT(MAX((INDEX(LH_Data,0,LH_ColFirst)=$A51)*(INDEX(LH_Data,0,LH_ColSur)=$B51)*(INDEX(LH_Data,0,LH_ColCat)=BonusCat)*ROW(LH_Data)))))</f>
        <v/>
      </c>
      <c r="BI51" s="16" t="str">
        <f aca="false">IF(AK51=0,"",IF(EOMONTH(AsOfDate,-1)&lt;AL51,-1,12*(YEAR(EOMONTH(AsOfDate,-1))-YEAR(AL51))+MONTH(EOMONTH(AsOfDate,-1))-MONTH(AL51)-IF(DAY(EOMONTH(AsOfDate,-1))&lt;MIN(DAY(AL51),DAY(EOMONTH(EOMONTH(AsOfDate,-1),0))),1,0)))</f>
        <v/>
      </c>
      <c r="BJ51" s="16" t="str">
        <f aca="false">IF(AK51=0,"",IF(OR(AM51&lt;2,AO51&gt;EOMONTH(AsOfDate,-1)),BI51,IF((AO51-1)&lt;AL51,-1,12*(YEAR((AO51-1))-YEAR(AL51))+MONTH((AO51-1))-MONTH(AL51)-IF(DAY((AO51-1))&lt;MIN(DAY(AL51),DAY(EOMONTH((AO51-1),0))),1,0))))</f>
        <v/>
      </c>
      <c r="BK51" s="16" t="str">
        <f aca="false">IF(AK51=0,"",IF(OR(AM51&lt;3,AP51&gt;EOMONTH(AsOfDate,-1)),BI51,IF((AP51-1)&lt;AL51,-1,12*(YEAR((AP51-1))-YEAR(AL51))+MONTH((AP51-1))-MONTH(AL51)-IF(DAY((AP51-1))&lt;MIN(DAY(AL51),DAY(EOMONTH((AP51-1),0))),1,0))))</f>
        <v/>
      </c>
      <c r="BL51" s="16" t="str">
        <f aca="false">IF(AK51=0,"",IF(AT51="FT",IF(BJ51&lt;FT_First,0,IF(BJ51&lt;FT_Y5,1+INT((BJ51-FT_First)/FT_Int1),FT_PreY5+FT_PerYear*INT((BJ51-FT_Y5)/12)+FT_AnnivDays+INT(MOD(BJ51-FT_Y5,12)/FT_Int2)-IF(EDATE(AL51,FT_Y5)&lt;PolicyEff,FT_AnnivDays-1,0))),IF(AT51="PT",IF(BJ51&lt;PT_First,0,1+INT((BJ51-PT_First)/PT_Int)),0))+IF(AND(AM51&gt;=2,AO51&lt;=EOMONTH(AsOfDate,-1)),IF(AU51="FT",IF(BK51&lt;FT_First,0,IF(BK51&lt;FT_Y5,1+INT((BK51-FT_First)/FT_Int1),FT_PreY5+FT_PerYear*INT((BK51-FT_Y5)/12)+FT_AnnivDays+INT(MOD(BK51-FT_Y5,12)/FT_Int2)-IF(EDATE(AL51,FT_Y5)&lt;PolicyEff,FT_AnnivDays-1,0))),IF(AU51="PT",IF(BK51&lt;PT_First,0,1+INT((BK51-PT_First)/PT_Int)),0))-IF(AU51="FT",IF(BJ51&lt;FT_First,0,IF(BJ51&lt;FT_Y5,1+INT((BJ51-FT_First)/FT_Int1),FT_PreY5+FT_PerYear*INT((BJ51-FT_Y5)/12)+FT_AnnivDays+INT(MOD(BJ51-FT_Y5,12)/FT_Int2)-IF(EDATE(AL51,FT_Y5)&lt;PolicyEff,FT_AnnivDays-1,0))),IF(AU51="PT",IF(BJ51&lt;PT_First,0,1+INT((BJ51-PT_First)/PT_Int)),0)),0)+IF(AND(AM51&gt;=3,AP51&lt;=EOMONTH(AsOfDate,-1)),IF(AV51="FT",IF(BI51&lt;FT_First,0,IF(BI51&lt;FT_Y5,1+INT((BI51-FT_First)/FT_Int1),FT_PreY5+FT_PerYear*INT((BI51-FT_Y5)/12)+FT_AnnivDays+INT(MOD(BI51-FT_Y5,12)/FT_Int2)-IF(EDATE(AL51,FT_Y5)&lt;PolicyEff,FT_AnnivDays-1,0))),IF(AV51="PT",IF(BI51&lt;PT_First,0,1+INT((BI51-PT_First)/PT_Int)),0))-IF(AV51="FT",IF(BK51&lt;FT_First,0,IF(BK51&lt;FT_Y5,1+INT((BK51-FT_First)/FT_Int1),FT_PreY5+FT_PerYear*INT((BK51-FT_Y5)/12)+FT_AnnivDays+INT(MOD(BK51-FT_Y5,12)/FT_Int2)-IF(EDATE(AL51,FT_Y5)&lt;PolicyEff,FT_AnnivDays-1,0))),IF(AV51="PT",IF(BK51&lt;PT_First,0,1+INT((BK51-PT_First)/PT_Int)),0)),0))</f>
        <v/>
      </c>
      <c r="BM51" s="16" t="str">
        <f aca="false">IF(AK51=0,"",IF(AW51="FT",IF(AX51&lt;FT_First,"",IF(AX51&lt;FT_Y5,FT_First+FT_Int1*INT((AX51-FT_First)/FT_Int1),FT_Y5+FT_Int2*INT((AX51-FT_Y5)/FT_Int2))),IF(AW51="PT",IF(AX51&lt;PT_First,"",PT_First+PT_Int*INT((AX51-PT_First)/PT_Int)),"")))</f>
        <v/>
      </c>
      <c r="BN51" s="16" t="str">
        <f aca="false">IF(AK51=0,"",IF((SchemeStart-1)&lt;AL51,-1,12*(YEAR((SchemeStart-1))-YEAR(AL51))+MONTH((SchemeStart-1))-MONTH(AL51)-IF(DAY((SchemeStart-1))&lt;MIN(DAY(AL51),DAY(EOMONTH((SchemeStart-1),0))),1,0)))</f>
        <v/>
      </c>
      <c r="BO51" s="16" t="str">
        <f aca="false">IF(AK51=0,"",IF(OR(AM51&lt;2,AO51&gt;(SchemeStart-1)),BN51,IF((AO51-1)&lt;AL51,-1,12*(YEAR((AO51-1))-YEAR(AL51))+MONTH((AO51-1))-MONTH(AL51)-IF(DAY((AO51-1))&lt;MIN(DAY(AL51),DAY(EOMONTH((AO51-1),0))),1,0))))</f>
        <v/>
      </c>
      <c r="BP51" s="16" t="str">
        <f aca="false">IF(AK51=0,"",IF(OR(AM51&lt;3,AP51&gt;(SchemeStart-1)),BN51,IF((AP51-1)&lt;AL51,-1,12*(YEAR((AP51-1))-YEAR(AL51))+MONTH((AP51-1))-MONTH(AL51)-IF(DAY((AP51-1))&lt;MIN(DAY(AL51),DAY(EOMONTH((AP51-1),0))),1,0))))</f>
        <v/>
      </c>
      <c r="BQ51" s="16" t="str">
        <f aca="false">IF(AK51=0,"",IF(AT51="FT",IF(BO51&lt;FT_First,0,IF(BO51&lt;FT_Y5,1+INT((BO51-FT_First)/FT_Int1),FT_PreY5+FT_PerYear*INT((BO51-FT_Y5)/12)+FT_AnnivDays+INT(MOD(BO51-FT_Y5,12)/FT_Int2)-IF(EDATE(AL51,FT_Y5)&lt;PolicyEff,FT_AnnivDays-1,0))),IF(AT51="PT",IF(BO51&lt;PT_First,0,1+INT((BO51-PT_First)/PT_Int)),0))+IF(AND(AM51&gt;=2,AO51&lt;=(SchemeStart-1)),IF(AU51="FT",IF(BP51&lt;FT_First,0,IF(BP51&lt;FT_Y5,1+INT((BP51-FT_First)/FT_Int1),FT_PreY5+FT_PerYear*INT((BP51-FT_Y5)/12)+FT_AnnivDays+INT(MOD(BP51-FT_Y5,12)/FT_Int2)-IF(EDATE(AL51,FT_Y5)&lt;PolicyEff,FT_AnnivDays-1,0))),IF(AU51="PT",IF(BP51&lt;PT_First,0,1+INT((BP51-PT_First)/PT_Int)),0))-IF(AU51="FT",IF(BO51&lt;FT_First,0,IF(BO51&lt;FT_Y5,1+INT((BO51-FT_First)/FT_Int1),FT_PreY5+FT_PerYear*INT((BO51-FT_Y5)/12)+FT_AnnivDays+INT(MOD(BO51-FT_Y5,12)/FT_Int2)-IF(EDATE(AL51,FT_Y5)&lt;PolicyEff,FT_AnnivDays-1,0))),IF(AU51="PT",IF(BO51&lt;PT_First,0,1+INT((BO51-PT_First)/PT_Int)),0)),0)+IF(AND(AM51&gt;=3,AP51&lt;=(SchemeStart-1)),IF(AV51="FT",IF(BN51&lt;FT_First,0,IF(BN51&lt;FT_Y5,1+INT((BN51-FT_First)/FT_Int1),FT_PreY5+FT_PerYear*INT((BN51-FT_Y5)/12)+FT_AnnivDays+INT(MOD(BN51-FT_Y5,12)/FT_Int2)-IF(EDATE(AL51,FT_Y5)&lt;PolicyEff,FT_AnnivDays-1,0))),IF(AV51="PT",IF(BN51&lt;PT_First,0,1+INT((BN51-PT_First)/PT_Int)),0))-IF(AV51="FT",IF(BP51&lt;FT_First,0,IF(BP51&lt;FT_Y5,1+INT((BP51-FT_First)/FT_Int1),FT_PreY5+FT_PerYear*INT((BP51-FT_Y5)/12)+FT_AnnivDays+INT(MOD(BP51-FT_Y5,12)/FT_Int2)-IF(EDATE(AL51,FT_Y5)&lt;PolicyEff,FT_AnnivDays-1,0))),IF(AV51="PT",IF(BP51&lt;PT_First,0,1+INT((BP51-PT_First)/PT_Int)),0)),0))</f>
        <v/>
      </c>
      <c r="BR51" s="0" t="str">
        <f aca="false">IF(LEN($A51&amp;$B51)=0,"",$A51&amp;" "&amp;$B51)</f>
        <v/>
      </c>
    </row>
    <row r="52" customFormat="false" ht="15" hidden="false" customHeight="false" outlineLevel="0" collapsed="false">
      <c r="A52" s="12"/>
      <c r="B52" s="12"/>
      <c r="C52" s="12"/>
      <c r="D52" s="13"/>
      <c r="E52" s="14" t="str">
        <f aca="false">IF(OR(AK52=0,$D52=""),"",DATE(YEAR(AsOfDate)+IF(DATE(YEAR(AsOfDate),MONTH($D52),DAY($D52))&lt;=AsOfDate,1,0),MONTH($D52),DAY($D52)))</f>
        <v/>
      </c>
      <c r="F52" s="13"/>
      <c r="G52" s="13"/>
      <c r="H52" s="13"/>
      <c r="I52" s="13"/>
      <c r="J52" s="13"/>
      <c r="K52" s="14" t="str">
        <f aca="false">IF(AK52=0,"",DATE(YEAR(AsOfDate)+IF(DATE(YEAR(AsOfDate),MONTH(AL52),DAY(AL52))&lt;=AsOfDate,1,0),MONTH(AL52),DAY(AL52)))</f>
        <v/>
      </c>
      <c r="L52" s="15" t="str">
        <f aca="false">IF(AK52=0,"",ROUND((AsOfDate-AL52)/365.25,1))</f>
        <v/>
      </c>
      <c r="M52" s="16" t="str">
        <f aca="false">IF(AK52=0,"",IF(AsOfDate&lt;AL52,"-",DATEDIF(AL52,AsOfDate,"y")&amp;"y "&amp;DATEDIF(AL52,AsOfDate,"ym")&amp;"m "&amp;DATEDIF(AL52,AsOfDate,"md")&amp;"d"))</f>
        <v/>
      </c>
      <c r="N52" s="17" t="str">
        <f aca="false">IF(AK52=0,"",O52*HoursPerDay)</f>
        <v/>
      </c>
      <c r="O52" s="17" t="str">
        <f aca="false">IF(AK52=0,"",MAX(0,BD52-BQ52))</f>
        <v/>
      </c>
      <c r="P52" s="18"/>
      <c r="Q52" s="16" t="str">
        <f aca="false">IF(AK52=0,"",IF(AM52&lt;2,"",AQ52&amp;" to "&amp;AR52&amp;" on "&amp;TEXT(AO52,"dd/mm/yyyy")&amp;IF(AO52&gt;AsOfDate," (future)",IF(AT52=AU52,"",IF(AU52="None"," - STOPPED accruing",IF(AT52="None"," - commencement for Bonus Leave"," - pathway changed"))))&amp;IF(AM52&lt;3,"","; "&amp;AR52&amp;" to "&amp;AS52&amp;" on "&amp;TEXT(AP52,"dd/mm/yyyy")&amp;IF(AP52&gt;AsOfDate," (future)",IF(AU52=AV52,"",IF(AV52="None"," - STOPPED accruing",IF(AU52="None"," - commencement for Bonus Leave"," - pathway changed")))))))</f>
        <v/>
      </c>
      <c r="R52" s="16" t="str">
        <f aca="false">IF(AK52=0,"",IF(AW52="None",IF(O52&gt;0,"No longer accruing","Not eligible - "&amp;IF(AND(OR(ISNUMBER(SEARCH("part",$C52)),UPPER(TRIM($C52))="PT",UPPER(TRIM($C52))="PTE"),Apply2026="No"),"part-time (scheme is full-time only)",IF(AND(OR(ISNUMBER(SEARCH("part",$C52)),UPPER(TRIM($C52))="PT",UPPER(TRIM($C52))="PTE"),$P52&lt;&gt;"",N($P52)&lt;PT_MinHours),"under "&amp;PT_MinHours&amp;" hrs",IF(IF($C52="","",IF(OR(ISNUMBER(SEARCH("full",$C52)),UPPER(TRIM($C52))="FT",UPPER(TRIM($C52))="FTE"),"Full-Time",IF(OR(ISNUMBER(SEARCH("part",$C52)),UPPER(TRIM($C52))="PT",UPPER(TRIM($C52))="PTE"),"Part-Time",IF(OR(ISNUMBER(SEARCH("cas",$C52)),UPPER(TRIM($C52))="CAS"),"Casual","Unknown"))))="Unknown","type not recognised",$C52)))),IF(O52&gt;0,"Yes - Accrual Required","Not yet - from "&amp;TEXT(S52,"dd/mm/yyyy"))))</f>
        <v/>
      </c>
      <c r="S52" s="14" t="str">
        <f aca="false">IF(AK52=0,"",IF(AW52="None","",EDATE(AL52,BF52)))</f>
        <v/>
      </c>
      <c r="T52" s="17" t="str">
        <f aca="false">IF(AK52=0,"",IF(NOT(LH_Ready),"",IF($F52&gt;PFYDate,0,IF(LH_ColPeriod=0,W52-U52+V52,SUMIFS(INDEX(LH_Data,0,LH_ColAcc),INDEX(LH_Data,0,LH_ColFirst),$A52,INDEX(LH_Data,0,LH_ColSur),$B52,INDEX(LH_Data,0,LH_ColCat),BonusCat,INDEX(LH_Data,0,LH_ColPeriod),LH_OpenLabel)*UnitFactor))))</f>
        <v/>
      </c>
      <c r="U52" s="17" t="str">
        <f aca="false">IF(AK52=0,"",IF(NOT(LH_Ready),"",SUMIFS(INDEX(LH_Data,0,LH_ColAcc),INDEX(LH_Data,0,LH_ColFirst),$A52,INDEX(LH_Data,0,LH_ColSur),$B52,INDEX(LH_Data,0,LH_ColCat),BonusCat,INDEX(LH_Data,0,LH_ColStart),"&gt;="&amp;AL52)*UnitFactor))</f>
        <v/>
      </c>
      <c r="V52" s="17" t="str">
        <f aca="false">IF(AK52=0,"",IF(NOT(LH_Ready),"",SUMIFS(INDEX(LH_Data,0,LH_ColTaken),INDEX(LH_Data,0,LH_ColFirst),$A52,INDEX(LH_Data,0,LH_ColSur),$B52,INDEX(LH_Data,0,LH_ColCat),BonusCat,INDEX(LH_Data,0,LH_ColStart),"&gt;="&amp;AL52)*UnitFactor))</f>
        <v/>
      </c>
      <c r="W52" s="17" t="str">
        <f aca="false">IF(AK52=0,"",IF(NOT(LH_Ready),"",IF(BH52=0,0,INDEX(INDEX(LH_Data,0,LH_ColClose),BH52-1)*UnitFactor)))</f>
        <v/>
      </c>
      <c r="X52" s="17" t="str">
        <f aca="false">IF(AK52=0,"",(MAX(0,BD52-BQ52)-MAX(0,BE52-BQ52))*HoursPerDay)</f>
        <v/>
      </c>
      <c r="Y52" s="17" t="str">
        <f aca="false">IF(AK52=0,"",IF(NOT(LH_Ready),"",IF($AI52="Yes",N(AE52)*HoursPerDay-SUMIFS(INDEX(LH_Data,0,LH_ColAcc),INDEX(LH_Data,0,LH_ColFirst),$A52,INDEX(LH_Data,0,LH_ColSur),$B52,INDEX(LH_Data,0,LH_ColCat),BonusCat,INDEX(LH_Data,0,LH_ColStart),"&gt;="&amp;(EOMONTH(AsOfDate,-1)+1),INDEX(LH_Data,0,LH_ColStart),"&lt;="&amp;AsOfDate)*UnitFactor,IF(BG52=0,N52,N52-N(T52)-N(U52)))))</f>
        <v/>
      </c>
      <c r="Z52" s="16" t="str">
        <f aca="false">IF(OR(AK52=0,Y52=""),"",IF(Y52&gt;0,"Yes","No"))</f>
        <v/>
      </c>
      <c r="AA52" s="16" t="str">
        <f aca="false">IF(AK52=0,IF(LEN($A52&amp;$B52)=0,"","FIX INPUT - StartDate missing"),IF(AD52&lt;&gt;"","FIX INPUT - "&amp;AD52,IF(NOT(LH_Ready),"Paste Leave History export (Settings must show YES)",IF(AND($AI52="Yes",Y52&lt;=0),"OK - EH balance accepted to date"&amp;IF(N(AH52)&gt;0," (EH holds "&amp;AH52&amp;" hrs over the scheme)","")&amp;"; next day "&amp;TEXT(S52,"dd mmm yy")&amp;IF(N(AE52)&gt;0," ("&amp;AE52&amp;" day(s) for "&amp;UPPER(TEXT(AsOfDate,"mmm yyyy"))&amp;" already in EH)",""),IF(Y52&gt;0,"ACCRUE "&amp;ROUND(Y52,2)&amp;" hrs ("&amp;ROUND(Y52/HoursPerDay,2)&amp;" days): "&amp;IF(N(AE52)&gt;0,AE52&amp;" day(s) for "&amp;UPPER(TEXT(AsOfDate,"mmm yyyy"))&amp;" (milestone "&amp;UPPER(TEXT(AF52,"dd mmm yy"))&amp;")"&amp;IF(Y52/HoursPerDay&gt;AE52+0.001," + "&amp;ROUND(Y52/HoursPerDay-AE52,2)&amp;" day(s) catch-up from earlier months",""),"all catch-up from earlier months, nothing new this month")&amp;IF(BG52=0,"; no Bonus Leave in EH yet",""),IF(Y52&lt;0,"CHECK - EH accrued "&amp;ROUND(-Y52,2)&amp;" hrs more than policy since commencement",IF(N(W52)&gt;O52*HoursPerDay+0.01,"CHECK - EH balance "&amp;ROUND(W52-O52*HoursPerDay,2)&amp;" hrs more than policy entitlement",IF(O52&gt;0,"OK - nothing to add"&amp;IF(N(AE52)&gt;0," ("&amp;AE52&amp;" day(s) for "&amp;UPPER(TEXT(AsOfDate,"mmm yyyy"))&amp;" already in EH)",""),IF(AW52="None",R52,"Not yet - first day on "&amp;TEXT(S52,"dd/mm/yyyy"))))))))))</f>
        <v/>
      </c>
      <c r="AB52" s="17" t="str">
        <f aca="false">IF(OR(AK52=0,T52=""),"",MAX(0,BE52-BQ52)*HoursPerDay-T52)</f>
        <v/>
      </c>
      <c r="AC52" s="16" t="str">
        <f aca="false">IF(AK52=0,"",BG52)</f>
        <v/>
      </c>
      <c r="AD52" s="16" t="str">
        <f aca="false">IF(AK52=0,"",TRIM(IF(OR(ISTEXT($F52),ISTEXT($H52),ISTEXT($I52),ISTEXT($G52),ISTEXT($J52),ISTEXT($D52)),"A date is typed as text - retype it as dd/mm/yyyy. ","")&amp;IF(IF($C52="","",IF(OR(ISNUMBER(SEARCH("full",$C52)),UPPER(TRIM($C52))="FT",UPPER(TRIM($C52))="FTE"),"Full-Time",IF(OR(ISNUMBER(SEARCH("part",$C52)),UPPER(TRIM($C52))="PT",UPPER(TRIM($C52))="PTE"),"Part-Time",IF(OR(ISNUMBER(SEARCH("cas",$C52)),UPPER(TRIM($C52))="CAS"),"Casual","Unknown"))))="Unknown","EmploymentType not recognised - use Full-Time, Part-Time or Casual. ","")&amp;IF(AND(AM52&gt;=1,IF(AM52&gt;=3,AS52,IF(AM52=2,AR52,AQ52))&lt;&gt;IF($C52="","",IF(OR(ISNUMBER(SEARCH("full",$C52)),UPPER(TRIM($C52))="FT",UPPER(TRIM($C52))="FTE"),"Full-Time",IF(OR(ISNUMBER(SEARCH("part",$C52)),UPPER(TRIM($C52))="PT",UPPER(TRIM($C52))="PTE"),"Part-Time",IF(OR(ISNUMBER(SEARCH("cas",$C52)),UPPER(TRIM($C52))="CAS"),"Casual","Unknown"))))),"EmploymentType does not match latest start date ("&amp;IF(AM52&gt;=3,AS52,IF(AM52=2,AR52,AQ52))&amp;"). ","")&amp;IF(AND(AM52&gt;=1,AN52&lt;&gt;$F52),"Earliest type date should equal StartDate. ","")&amp;IF(AND(AM52&gt;=2,AN52=AO52),"Two types start on the same date. ","")&amp;IF(AND(OR(ISNUMBER(SEARCH("part",$C52)),UPPER(TRIM($C52))="PT",UPPER(TRIM($C52))="PTE"),$P52=""),"Part-time: enter PT Hrs/Week (blank = 24+). ","")))</f>
        <v/>
      </c>
      <c r="AE52" s="17" t="str">
        <f aca="false">IF(AK52=0,"",O52-MAX(0,BL52-BQ52))</f>
        <v/>
      </c>
      <c r="AF52" s="14" t="str">
        <f aca="false">IF(OR(AK52=0,AE52="",N(AE52)=0,BM52=""),"",EDATE(AL52,BM52))</f>
        <v/>
      </c>
      <c r="AG52" s="17" t="str">
        <f aca="false">IF(AK52=0,"",MIN(BD52,BQ52))</f>
        <v/>
      </c>
      <c r="AH52" s="17" t="str">
        <f aca="false">IF(AK52=0,"",IF(NOT(LH_Ready),"",IF(BG52=0,0,MAX(0,ROUND(N(T52)+N(U52)-N52,2)))))</f>
        <v/>
      </c>
      <c r="AI52" s="12"/>
      <c r="AJ52" s="12"/>
      <c r="AK52" s="16" t="n">
        <f aca="false">IF(OR(LEN($A52&amp;$B52)=0,$F52=""),0,1)</f>
        <v>0</v>
      </c>
      <c r="AL52" s="14" t="str">
        <f aca="false">IF(AK52=0,"",IF(PreSchemeCounts="No",MAX(SchemeStart,IF($J52&lt;&gt;"",$J52,IF(OR(CasualCounts="Yes",COUNT($G52:$I52)=0),$F52,IF(Apply2026="No",IF($I52="",$F52,$I52),IF(COUNT($H52:$I52)=0,$F52,MIN($H52:$I52)))))),IF($J52&lt;&gt;"",$J52,IF(OR(CasualCounts="Yes",COUNT($G52:$I52)=0),$F52,IF(Apply2026="No",IF($I52="",$F52,$I52),IF(COUNT($H52:$I52)=0,$F52,MIN($H52:$I52)))))))</f>
        <v/>
      </c>
      <c r="AM52" s="16" t="str">
        <f aca="false">IF(AK52=0,"",COUNT($G52:$I52))</f>
        <v/>
      </c>
      <c r="AN52" s="14" t="str">
        <f aca="false">IF(AK52=0,"",IFERROR(SMALL($G52:$I52,1),""))</f>
        <v/>
      </c>
      <c r="AO52" s="14" t="str">
        <f aca="false">IF(AK52=0,"",IFERROR(SMALL($G52:$I52,2),""))</f>
        <v/>
      </c>
      <c r="AP52" s="14" t="str">
        <f aca="false">IF(AK52=0,"",IFERROR(SMALL($G52:$I52,3),""))</f>
        <v/>
      </c>
      <c r="AQ52" s="16" t="str">
        <f aca="false">IF(AK52=0,"",IF(AN52="","",IF(AN52=$H52,"Part-Time",IF(AN52=$I52,"Full-Time","Casual"))))</f>
        <v/>
      </c>
      <c r="AR52" s="16" t="str">
        <f aca="false">IF(AK52=0,"",IF(AO52="","",IF(AO52=$H52,"Part-Time",IF(AO52=$I52,"Full-Time","Casual"))))</f>
        <v/>
      </c>
      <c r="AS52" s="16" t="str">
        <f aca="false">IF(AK52=0,"",IF(AP52="","",IF(AP52=$H52,"Part-Time",IF(AP52=$I52,"Full-Time","Casual"))))</f>
        <v/>
      </c>
      <c r="AT52" s="16" t="str">
        <f aca="false">IF(AK52=0,"",IF(AM52=0,IF(OR(ISNUMBER(SEARCH("full",$C52)),UPPER(TRIM($C52))="FT",UPPER(TRIM($C52))="FTE"),"FT",IF(AND(OR(ISNUMBER(SEARCH("part",$C52)),UPPER(TRIM($C52))="PT",UPPER(TRIM($C52))="PTE"),Apply2026="Yes",OR($P52="",N($P52)&gt;=PT_MinHours)),"PT","None")),IF(OR(ISNUMBER(SEARCH("full",AQ52)),UPPER(TRIM(AQ52))="FT",UPPER(TRIM(AQ52))="FTE"),"FT",IF(AND(OR(ISNUMBER(SEARCH("part",AQ52)),UPPER(TRIM(AQ52))="PT",UPPER(TRIM(AQ52))="PTE"),Apply2026="Yes",OR($P52="",N($P52)&gt;=PT_MinHours)),"PT","None"))))</f>
        <v/>
      </c>
      <c r="AU52" s="16" t="str">
        <f aca="false">IF(AK52=0,"",IF(AM52&lt;2,"",IF(OR(ISNUMBER(SEARCH("full",AR52)),UPPER(TRIM(AR52))="FT",UPPER(TRIM(AR52))="FTE"),"FT",IF(AND(OR(ISNUMBER(SEARCH("part",AR52)),UPPER(TRIM(AR52))="PT",UPPER(TRIM(AR52))="PTE"),Apply2026="Yes",OR($P52="",N($P52)&gt;=PT_MinHours)),"PT","None"))))</f>
        <v/>
      </c>
      <c r="AV52" s="16" t="str">
        <f aca="false">IF(AK52=0,"",IF(AM52&lt;3,"",IF(OR(ISNUMBER(SEARCH("full",AS52)),UPPER(TRIM(AS52))="FT",UPPER(TRIM(AS52))="FTE"),"FT",IF(AND(OR(ISNUMBER(SEARCH("part",AS52)),UPPER(TRIM(AS52))="PT",UPPER(TRIM(AS52))="PTE"),Apply2026="Yes",OR($P52="",N($P52)&gt;=PT_MinHours)),"PT","None"))))</f>
        <v/>
      </c>
      <c r="AW52" s="16" t="str">
        <f aca="false">IF(AK52=0,"",IF(AND(AM52&gt;=3,AP52&lt;=AsOfDate),AV52,IF(AND(AM52&gt;=2,AO52&lt;=AsOfDate),AU52,AT52)))</f>
        <v/>
      </c>
      <c r="AX52" s="16" t="str">
        <f aca="false">IF(AK52=0,"",IF(AsOfDate&lt;AL52,-1,12*(YEAR(AsOfDate)-YEAR(AL52))+MONTH(AsOfDate)-MONTH(AL52)-IF(DAY(AsOfDate)&lt;MIN(DAY(AL52),DAY(EOMONTH(AsOfDate,0))),1,0)))</f>
        <v/>
      </c>
      <c r="AY52" s="16" t="str">
        <f aca="false">IF(AK52=0,"",IF(OR(AM52&lt;2,AO52&gt;AsOfDate),AX52,IF((AO52-1)&lt;AL52,-1,12*(YEAR((AO52-1))-YEAR(AL52))+MONTH((AO52-1))-MONTH(AL52)-IF(DAY((AO52-1))&lt;MIN(DAY(AL52),DAY(EOMONTH((AO52-1),0))),1,0))))</f>
        <v/>
      </c>
      <c r="AZ52" s="16" t="str">
        <f aca="false">IF(AK52=0,"",IF(OR(AM52&lt;3,AP52&gt;AsOfDate),AX52,IF((AP52-1)&lt;AL52,-1,12*(YEAR((AP52-1))-YEAR(AL52))+MONTH((AP52-1))-MONTH(AL52)-IF(DAY((AP52-1))&lt;MIN(DAY(AL52),DAY(EOMONTH((AP52-1),0))),1,0))))</f>
        <v/>
      </c>
      <c r="BA52" s="16" t="str">
        <f aca="false">IF(AK52=0,"",IF(PFYDate&lt;AL52,-1,12*(YEAR(PFYDate)-YEAR(AL52))+MONTH(PFYDate)-MONTH(AL52)-IF(DAY(PFYDate)&lt;MIN(DAY(AL52),DAY(EOMONTH(PFYDate,0))),1,0)))</f>
        <v/>
      </c>
      <c r="BB52" s="16" t="str">
        <f aca="false">IF(AK52=0,"",IF(OR(AM52&lt;2,AO52&gt;PFYDate),BA52,IF((AO52-1)&lt;AL52,-1,12*(YEAR((AO52-1))-YEAR(AL52))+MONTH((AO52-1))-MONTH(AL52)-IF(DAY((AO52-1))&lt;MIN(DAY(AL52),DAY(EOMONTH((AO52-1),0))),1,0))))</f>
        <v/>
      </c>
      <c r="BC52" s="16" t="str">
        <f aca="false">IF(AK52=0,"",IF(OR(AM52&lt;3,AP52&gt;PFYDate),BA52,IF((AP52-1)&lt;AL52,-1,12*(YEAR((AP52-1))-YEAR(AL52))+MONTH((AP52-1))-MONTH(AL52)-IF(DAY((AP52-1))&lt;MIN(DAY(AL52),DAY(EOMONTH((AP52-1),0))),1,0))))</f>
        <v/>
      </c>
      <c r="BD52" s="16" t="str">
        <f aca="false">IF(AK52=0,"",IF(AT52="FT",IF(AY52&lt;FT_First,0,IF(AY52&lt;FT_Y5,1+INT((AY52-FT_First)/FT_Int1),FT_PreY5+FT_PerYear*INT((AY52-FT_Y5)/12)+FT_AnnivDays+INT(MOD(AY52-FT_Y5,12)/FT_Int2)-IF(EDATE(AL52,FT_Y5)&lt;PolicyEff,FT_AnnivDays-1,0))),IF(AT52="PT",IF(AY52&lt;PT_First,0,1+INT((AY52-PT_First)/PT_Int)),0))+IF(AND(AM52&gt;=2,AO52&lt;=AsOfDate),IF(AU52="FT",IF(AZ52&lt;FT_First,0,IF(AZ52&lt;FT_Y5,1+INT((AZ52-FT_First)/FT_Int1),FT_PreY5+FT_PerYear*INT((AZ52-FT_Y5)/12)+FT_AnnivDays+INT(MOD(AZ52-FT_Y5,12)/FT_Int2)-IF(EDATE(AL52,FT_Y5)&lt;PolicyEff,FT_AnnivDays-1,0))),IF(AU52="PT",IF(AZ52&lt;PT_First,0,1+INT((AZ52-PT_First)/PT_Int)),0))-IF(AU52="FT",IF(AY52&lt;FT_First,0,IF(AY52&lt;FT_Y5,1+INT((AY52-FT_First)/FT_Int1),FT_PreY5+FT_PerYear*INT((AY52-FT_Y5)/12)+FT_AnnivDays+INT(MOD(AY52-FT_Y5,12)/FT_Int2)-IF(EDATE(AL52,FT_Y5)&lt;PolicyEff,FT_AnnivDays-1,0))),IF(AU52="PT",IF(AY52&lt;PT_First,0,1+INT((AY52-PT_First)/PT_Int)),0)),0)+IF(AND(AM52&gt;=3,AP52&lt;=AsOfDate),IF(AV52="FT",IF(AX52&lt;FT_First,0,IF(AX52&lt;FT_Y5,1+INT((AX52-FT_First)/FT_Int1),FT_PreY5+FT_PerYear*INT((AX52-FT_Y5)/12)+FT_AnnivDays+INT(MOD(AX52-FT_Y5,12)/FT_Int2)-IF(EDATE(AL52,FT_Y5)&lt;PolicyEff,FT_AnnivDays-1,0))),IF(AV52="PT",IF(AX52&lt;PT_First,0,1+INT((AX52-PT_First)/PT_Int)),0))-IF(AV52="FT",IF(AZ52&lt;FT_First,0,IF(AZ52&lt;FT_Y5,1+INT((AZ52-FT_First)/FT_Int1),FT_PreY5+FT_PerYear*INT((AZ52-FT_Y5)/12)+FT_AnnivDays+INT(MOD(AZ52-FT_Y5,12)/FT_Int2)-IF(EDATE(AL52,FT_Y5)&lt;PolicyEff,FT_AnnivDays-1,0))),IF(AV52="PT",IF(AZ52&lt;PT_First,0,1+INT((AZ52-PT_First)/PT_Int)),0)),0))</f>
        <v/>
      </c>
      <c r="BE52" s="16" t="str">
        <f aca="false">IF(AK52=0,"",IF(AT52="FT",IF(BB52&lt;FT_First,0,IF(BB52&lt;FT_Y5,1+INT((BB52-FT_First)/FT_Int1),FT_PreY5+FT_PerYear*INT((BB52-FT_Y5)/12)+FT_AnnivDays+INT(MOD(BB52-FT_Y5,12)/FT_Int2)-IF(EDATE(AL52,FT_Y5)&lt;PolicyEff,FT_AnnivDays-1,0))),IF(AT52="PT",IF(BB52&lt;PT_First,0,1+INT((BB52-PT_First)/PT_Int)),0))+IF(AND(AM52&gt;=2,AO52&lt;=PFYDate),IF(AU52="FT",IF(BC52&lt;FT_First,0,IF(BC52&lt;FT_Y5,1+INT((BC52-FT_First)/FT_Int1),FT_PreY5+FT_PerYear*INT((BC52-FT_Y5)/12)+FT_AnnivDays+INT(MOD(BC52-FT_Y5,12)/FT_Int2)-IF(EDATE(AL52,FT_Y5)&lt;PolicyEff,FT_AnnivDays-1,0))),IF(AU52="PT",IF(BC52&lt;PT_First,0,1+INT((BC52-PT_First)/PT_Int)),0))-IF(AU52="FT",IF(BB52&lt;FT_First,0,IF(BB52&lt;FT_Y5,1+INT((BB52-FT_First)/FT_Int1),FT_PreY5+FT_PerYear*INT((BB52-FT_Y5)/12)+FT_AnnivDays+INT(MOD(BB52-FT_Y5,12)/FT_Int2)-IF(EDATE(AL52,FT_Y5)&lt;PolicyEff,FT_AnnivDays-1,0))),IF(AU52="PT",IF(BB52&lt;PT_First,0,1+INT((BB52-PT_First)/PT_Int)),0)),0)+IF(AND(AM52&gt;=3,AP52&lt;=PFYDate),IF(AV52="FT",IF(BA52&lt;FT_First,0,IF(BA52&lt;FT_Y5,1+INT((BA52-FT_First)/FT_Int1),FT_PreY5+FT_PerYear*INT((BA52-FT_Y5)/12)+FT_AnnivDays+INT(MOD(BA52-FT_Y5,12)/FT_Int2)-IF(EDATE(AL52,FT_Y5)&lt;PolicyEff,FT_AnnivDays-1,0))),IF(AV52="PT",IF(BA52&lt;PT_First,0,1+INT((BA52-PT_First)/PT_Int)),0))-IF(AV52="FT",IF(BC52&lt;FT_First,0,IF(BC52&lt;FT_Y5,1+INT((BC52-FT_First)/FT_Int1),FT_PreY5+FT_PerYear*INT((BC52-FT_Y5)/12)+FT_AnnivDays+INT(MOD(BC52-FT_Y5,12)/FT_Int2)-IF(EDATE(AL52,FT_Y5)&lt;PolicyEff,FT_AnnivDays-1,0))),IF(AV52="PT",IF(BC52&lt;PT_First,0,1+INT((BC52-PT_First)/PT_Int)),0)),0))</f>
        <v/>
      </c>
      <c r="BF52" s="16" t="str">
        <f aca="false">IF(AK52=0,"",IF(AW52="FT",IF(AX52&lt;FT_First,FT_First,IF(AX52&lt;FT_Y5,MIN(FT_Y5,FT_First+FT_Int1*(INT((AX52-FT_First)/FT_Int1)+1)),FT_Y5+12*INT((AX52-FT_Y5)/12)+FT_Int2*(INT(MOD(AX52-FT_Y5,12)/FT_Int2)+1))),IF(AW52="PT",IF(AX52&lt;PT_First,PT_First,PT_First+PT_Int*(INT((AX52-PT_First)/PT_Int)+1)),"")))</f>
        <v/>
      </c>
      <c r="BG52" s="16" t="str">
        <f aca="false">IF(AK52=0,"",IF(NOT(LH_Ready),0,COUNTIFS(INDEX(LH_Data,0,LH_ColFirst),$A52,INDEX(LH_Data,0,LH_ColSur),$B52,INDEX(LH_Data,0,LH_ColCat),BonusCat)))</f>
        <v/>
      </c>
      <c r="BH52" s="16" t="str">
        <f aca="false">IF(AK52=0,"",IF(OR(NOT(LH_Ready),BG52=0),0,SUMPRODUCT(MAX((INDEX(LH_Data,0,LH_ColFirst)=$A52)*(INDEX(LH_Data,0,LH_ColSur)=$B52)*(INDEX(LH_Data,0,LH_ColCat)=BonusCat)*ROW(LH_Data)))))</f>
        <v/>
      </c>
      <c r="BI52" s="16" t="str">
        <f aca="false">IF(AK52=0,"",IF(EOMONTH(AsOfDate,-1)&lt;AL52,-1,12*(YEAR(EOMONTH(AsOfDate,-1))-YEAR(AL52))+MONTH(EOMONTH(AsOfDate,-1))-MONTH(AL52)-IF(DAY(EOMONTH(AsOfDate,-1))&lt;MIN(DAY(AL52),DAY(EOMONTH(EOMONTH(AsOfDate,-1),0))),1,0)))</f>
        <v/>
      </c>
      <c r="BJ52" s="16" t="str">
        <f aca="false">IF(AK52=0,"",IF(OR(AM52&lt;2,AO52&gt;EOMONTH(AsOfDate,-1)),BI52,IF((AO52-1)&lt;AL52,-1,12*(YEAR((AO52-1))-YEAR(AL52))+MONTH((AO52-1))-MONTH(AL52)-IF(DAY((AO52-1))&lt;MIN(DAY(AL52),DAY(EOMONTH((AO52-1),0))),1,0))))</f>
        <v/>
      </c>
      <c r="BK52" s="16" t="str">
        <f aca="false">IF(AK52=0,"",IF(OR(AM52&lt;3,AP52&gt;EOMONTH(AsOfDate,-1)),BI52,IF((AP52-1)&lt;AL52,-1,12*(YEAR((AP52-1))-YEAR(AL52))+MONTH((AP52-1))-MONTH(AL52)-IF(DAY((AP52-1))&lt;MIN(DAY(AL52),DAY(EOMONTH((AP52-1),0))),1,0))))</f>
        <v/>
      </c>
      <c r="BL52" s="16" t="str">
        <f aca="false">IF(AK52=0,"",IF(AT52="FT",IF(BJ52&lt;FT_First,0,IF(BJ52&lt;FT_Y5,1+INT((BJ52-FT_First)/FT_Int1),FT_PreY5+FT_PerYear*INT((BJ52-FT_Y5)/12)+FT_AnnivDays+INT(MOD(BJ52-FT_Y5,12)/FT_Int2)-IF(EDATE(AL52,FT_Y5)&lt;PolicyEff,FT_AnnivDays-1,0))),IF(AT52="PT",IF(BJ52&lt;PT_First,0,1+INT((BJ52-PT_First)/PT_Int)),0))+IF(AND(AM52&gt;=2,AO52&lt;=EOMONTH(AsOfDate,-1)),IF(AU52="FT",IF(BK52&lt;FT_First,0,IF(BK52&lt;FT_Y5,1+INT((BK52-FT_First)/FT_Int1),FT_PreY5+FT_PerYear*INT((BK52-FT_Y5)/12)+FT_AnnivDays+INT(MOD(BK52-FT_Y5,12)/FT_Int2)-IF(EDATE(AL52,FT_Y5)&lt;PolicyEff,FT_AnnivDays-1,0))),IF(AU52="PT",IF(BK52&lt;PT_First,0,1+INT((BK52-PT_First)/PT_Int)),0))-IF(AU52="FT",IF(BJ52&lt;FT_First,0,IF(BJ52&lt;FT_Y5,1+INT((BJ52-FT_First)/FT_Int1),FT_PreY5+FT_PerYear*INT((BJ52-FT_Y5)/12)+FT_AnnivDays+INT(MOD(BJ52-FT_Y5,12)/FT_Int2)-IF(EDATE(AL52,FT_Y5)&lt;PolicyEff,FT_AnnivDays-1,0))),IF(AU52="PT",IF(BJ52&lt;PT_First,0,1+INT((BJ52-PT_First)/PT_Int)),0)),0)+IF(AND(AM52&gt;=3,AP52&lt;=EOMONTH(AsOfDate,-1)),IF(AV52="FT",IF(BI52&lt;FT_First,0,IF(BI52&lt;FT_Y5,1+INT((BI52-FT_First)/FT_Int1),FT_PreY5+FT_PerYear*INT((BI52-FT_Y5)/12)+FT_AnnivDays+INT(MOD(BI52-FT_Y5,12)/FT_Int2)-IF(EDATE(AL52,FT_Y5)&lt;PolicyEff,FT_AnnivDays-1,0))),IF(AV52="PT",IF(BI52&lt;PT_First,0,1+INT((BI52-PT_First)/PT_Int)),0))-IF(AV52="FT",IF(BK52&lt;FT_First,0,IF(BK52&lt;FT_Y5,1+INT((BK52-FT_First)/FT_Int1),FT_PreY5+FT_PerYear*INT((BK52-FT_Y5)/12)+FT_AnnivDays+INT(MOD(BK52-FT_Y5,12)/FT_Int2)-IF(EDATE(AL52,FT_Y5)&lt;PolicyEff,FT_AnnivDays-1,0))),IF(AV52="PT",IF(BK52&lt;PT_First,0,1+INT((BK52-PT_First)/PT_Int)),0)),0))</f>
        <v/>
      </c>
      <c r="BM52" s="16" t="str">
        <f aca="false">IF(AK52=0,"",IF(AW52="FT",IF(AX52&lt;FT_First,"",IF(AX52&lt;FT_Y5,FT_First+FT_Int1*INT((AX52-FT_First)/FT_Int1),FT_Y5+FT_Int2*INT((AX52-FT_Y5)/FT_Int2))),IF(AW52="PT",IF(AX52&lt;PT_First,"",PT_First+PT_Int*INT((AX52-PT_First)/PT_Int)),"")))</f>
        <v/>
      </c>
      <c r="BN52" s="16" t="str">
        <f aca="false">IF(AK52=0,"",IF((SchemeStart-1)&lt;AL52,-1,12*(YEAR((SchemeStart-1))-YEAR(AL52))+MONTH((SchemeStart-1))-MONTH(AL52)-IF(DAY((SchemeStart-1))&lt;MIN(DAY(AL52),DAY(EOMONTH((SchemeStart-1),0))),1,0)))</f>
        <v/>
      </c>
      <c r="BO52" s="16" t="str">
        <f aca="false">IF(AK52=0,"",IF(OR(AM52&lt;2,AO52&gt;(SchemeStart-1)),BN52,IF((AO52-1)&lt;AL52,-1,12*(YEAR((AO52-1))-YEAR(AL52))+MONTH((AO52-1))-MONTH(AL52)-IF(DAY((AO52-1))&lt;MIN(DAY(AL52),DAY(EOMONTH((AO52-1),0))),1,0))))</f>
        <v/>
      </c>
      <c r="BP52" s="16" t="str">
        <f aca="false">IF(AK52=0,"",IF(OR(AM52&lt;3,AP52&gt;(SchemeStart-1)),BN52,IF((AP52-1)&lt;AL52,-1,12*(YEAR((AP52-1))-YEAR(AL52))+MONTH((AP52-1))-MONTH(AL52)-IF(DAY((AP52-1))&lt;MIN(DAY(AL52),DAY(EOMONTH((AP52-1),0))),1,0))))</f>
        <v/>
      </c>
      <c r="BQ52" s="16" t="str">
        <f aca="false">IF(AK52=0,"",IF(AT52="FT",IF(BO52&lt;FT_First,0,IF(BO52&lt;FT_Y5,1+INT((BO52-FT_First)/FT_Int1),FT_PreY5+FT_PerYear*INT((BO52-FT_Y5)/12)+FT_AnnivDays+INT(MOD(BO52-FT_Y5,12)/FT_Int2)-IF(EDATE(AL52,FT_Y5)&lt;PolicyEff,FT_AnnivDays-1,0))),IF(AT52="PT",IF(BO52&lt;PT_First,0,1+INT((BO52-PT_First)/PT_Int)),0))+IF(AND(AM52&gt;=2,AO52&lt;=(SchemeStart-1)),IF(AU52="FT",IF(BP52&lt;FT_First,0,IF(BP52&lt;FT_Y5,1+INT((BP52-FT_First)/FT_Int1),FT_PreY5+FT_PerYear*INT((BP52-FT_Y5)/12)+FT_AnnivDays+INT(MOD(BP52-FT_Y5,12)/FT_Int2)-IF(EDATE(AL52,FT_Y5)&lt;PolicyEff,FT_AnnivDays-1,0))),IF(AU52="PT",IF(BP52&lt;PT_First,0,1+INT((BP52-PT_First)/PT_Int)),0))-IF(AU52="FT",IF(BO52&lt;FT_First,0,IF(BO52&lt;FT_Y5,1+INT((BO52-FT_First)/FT_Int1),FT_PreY5+FT_PerYear*INT((BO52-FT_Y5)/12)+FT_AnnivDays+INT(MOD(BO52-FT_Y5,12)/FT_Int2)-IF(EDATE(AL52,FT_Y5)&lt;PolicyEff,FT_AnnivDays-1,0))),IF(AU52="PT",IF(BO52&lt;PT_First,0,1+INT((BO52-PT_First)/PT_Int)),0)),0)+IF(AND(AM52&gt;=3,AP52&lt;=(SchemeStart-1)),IF(AV52="FT",IF(BN52&lt;FT_First,0,IF(BN52&lt;FT_Y5,1+INT((BN52-FT_First)/FT_Int1),FT_PreY5+FT_PerYear*INT((BN52-FT_Y5)/12)+FT_AnnivDays+INT(MOD(BN52-FT_Y5,12)/FT_Int2)-IF(EDATE(AL52,FT_Y5)&lt;PolicyEff,FT_AnnivDays-1,0))),IF(AV52="PT",IF(BN52&lt;PT_First,0,1+INT((BN52-PT_First)/PT_Int)),0))-IF(AV52="FT",IF(BP52&lt;FT_First,0,IF(BP52&lt;FT_Y5,1+INT((BP52-FT_First)/FT_Int1),FT_PreY5+FT_PerYear*INT((BP52-FT_Y5)/12)+FT_AnnivDays+INT(MOD(BP52-FT_Y5,12)/FT_Int2)-IF(EDATE(AL52,FT_Y5)&lt;PolicyEff,FT_AnnivDays-1,0))),IF(AV52="PT",IF(BP52&lt;PT_First,0,1+INT((BP52-PT_First)/PT_Int)),0)),0))</f>
        <v/>
      </c>
      <c r="BR52" s="0" t="str">
        <f aca="false">IF(LEN($A52&amp;$B52)=0,"",$A52&amp;" "&amp;$B52)</f>
        <v/>
      </c>
    </row>
    <row r="53" customFormat="false" ht="15" hidden="false" customHeight="false" outlineLevel="0" collapsed="false">
      <c r="A53" s="12"/>
      <c r="B53" s="12"/>
      <c r="C53" s="12"/>
      <c r="D53" s="13"/>
      <c r="E53" s="14" t="str">
        <f aca="false">IF(OR(AK53=0,$D53=""),"",DATE(YEAR(AsOfDate)+IF(DATE(YEAR(AsOfDate),MONTH($D53),DAY($D53))&lt;=AsOfDate,1,0),MONTH($D53),DAY($D53)))</f>
        <v/>
      </c>
      <c r="F53" s="13"/>
      <c r="G53" s="13"/>
      <c r="H53" s="13"/>
      <c r="I53" s="13"/>
      <c r="J53" s="13"/>
      <c r="K53" s="14" t="str">
        <f aca="false">IF(AK53=0,"",DATE(YEAR(AsOfDate)+IF(DATE(YEAR(AsOfDate),MONTH(AL53),DAY(AL53))&lt;=AsOfDate,1,0),MONTH(AL53),DAY(AL53)))</f>
        <v/>
      </c>
      <c r="L53" s="15" t="str">
        <f aca="false">IF(AK53=0,"",ROUND((AsOfDate-AL53)/365.25,1))</f>
        <v/>
      </c>
      <c r="M53" s="16" t="str">
        <f aca="false">IF(AK53=0,"",IF(AsOfDate&lt;AL53,"-",DATEDIF(AL53,AsOfDate,"y")&amp;"y "&amp;DATEDIF(AL53,AsOfDate,"ym")&amp;"m "&amp;DATEDIF(AL53,AsOfDate,"md")&amp;"d"))</f>
        <v/>
      </c>
      <c r="N53" s="17" t="str">
        <f aca="false">IF(AK53=0,"",O53*HoursPerDay)</f>
        <v/>
      </c>
      <c r="O53" s="17" t="str">
        <f aca="false">IF(AK53=0,"",MAX(0,BD53-BQ53))</f>
        <v/>
      </c>
      <c r="P53" s="18"/>
      <c r="Q53" s="16" t="str">
        <f aca="false">IF(AK53=0,"",IF(AM53&lt;2,"",AQ53&amp;" to "&amp;AR53&amp;" on "&amp;TEXT(AO53,"dd/mm/yyyy")&amp;IF(AO53&gt;AsOfDate," (future)",IF(AT53=AU53,"",IF(AU53="None"," - STOPPED accruing",IF(AT53="None"," - commencement for Bonus Leave"," - pathway changed"))))&amp;IF(AM53&lt;3,"","; "&amp;AR53&amp;" to "&amp;AS53&amp;" on "&amp;TEXT(AP53,"dd/mm/yyyy")&amp;IF(AP53&gt;AsOfDate," (future)",IF(AU53=AV53,"",IF(AV53="None"," - STOPPED accruing",IF(AU53="None"," - commencement for Bonus Leave"," - pathway changed")))))))</f>
        <v/>
      </c>
      <c r="R53" s="16" t="str">
        <f aca="false">IF(AK53=0,"",IF(AW53="None",IF(O53&gt;0,"No longer accruing","Not eligible - "&amp;IF(AND(OR(ISNUMBER(SEARCH("part",$C53)),UPPER(TRIM($C53))="PT",UPPER(TRIM($C53))="PTE"),Apply2026="No"),"part-time (scheme is full-time only)",IF(AND(OR(ISNUMBER(SEARCH("part",$C53)),UPPER(TRIM($C53))="PT",UPPER(TRIM($C53))="PTE"),$P53&lt;&gt;"",N($P53)&lt;PT_MinHours),"under "&amp;PT_MinHours&amp;" hrs",IF(IF($C53="","",IF(OR(ISNUMBER(SEARCH("full",$C53)),UPPER(TRIM($C53))="FT",UPPER(TRIM($C53))="FTE"),"Full-Time",IF(OR(ISNUMBER(SEARCH("part",$C53)),UPPER(TRIM($C53))="PT",UPPER(TRIM($C53))="PTE"),"Part-Time",IF(OR(ISNUMBER(SEARCH("cas",$C53)),UPPER(TRIM($C53))="CAS"),"Casual","Unknown"))))="Unknown","type not recognised",$C53)))),IF(O53&gt;0,"Yes - Accrual Required","Not yet - from "&amp;TEXT(S53,"dd/mm/yyyy"))))</f>
        <v/>
      </c>
      <c r="S53" s="14" t="str">
        <f aca="false">IF(AK53=0,"",IF(AW53="None","",EDATE(AL53,BF53)))</f>
        <v/>
      </c>
      <c r="T53" s="17" t="str">
        <f aca="false">IF(AK53=0,"",IF(NOT(LH_Ready),"",IF($F53&gt;PFYDate,0,IF(LH_ColPeriod=0,W53-U53+V53,SUMIFS(INDEX(LH_Data,0,LH_ColAcc),INDEX(LH_Data,0,LH_ColFirst),$A53,INDEX(LH_Data,0,LH_ColSur),$B53,INDEX(LH_Data,0,LH_ColCat),BonusCat,INDEX(LH_Data,0,LH_ColPeriod),LH_OpenLabel)*UnitFactor))))</f>
        <v/>
      </c>
      <c r="U53" s="17" t="str">
        <f aca="false">IF(AK53=0,"",IF(NOT(LH_Ready),"",SUMIFS(INDEX(LH_Data,0,LH_ColAcc),INDEX(LH_Data,0,LH_ColFirst),$A53,INDEX(LH_Data,0,LH_ColSur),$B53,INDEX(LH_Data,0,LH_ColCat),BonusCat,INDEX(LH_Data,0,LH_ColStart),"&gt;="&amp;AL53)*UnitFactor))</f>
        <v/>
      </c>
      <c r="V53" s="17" t="str">
        <f aca="false">IF(AK53=0,"",IF(NOT(LH_Ready),"",SUMIFS(INDEX(LH_Data,0,LH_ColTaken),INDEX(LH_Data,0,LH_ColFirst),$A53,INDEX(LH_Data,0,LH_ColSur),$B53,INDEX(LH_Data,0,LH_ColCat),BonusCat,INDEX(LH_Data,0,LH_ColStart),"&gt;="&amp;AL53)*UnitFactor))</f>
        <v/>
      </c>
      <c r="W53" s="17" t="str">
        <f aca="false">IF(AK53=0,"",IF(NOT(LH_Ready),"",IF(BH53=0,0,INDEX(INDEX(LH_Data,0,LH_ColClose),BH53-1)*UnitFactor)))</f>
        <v/>
      </c>
      <c r="X53" s="17" t="str">
        <f aca="false">IF(AK53=0,"",(MAX(0,BD53-BQ53)-MAX(0,BE53-BQ53))*HoursPerDay)</f>
        <v/>
      </c>
      <c r="Y53" s="17" t="str">
        <f aca="false">IF(AK53=0,"",IF(NOT(LH_Ready),"",IF($AI53="Yes",N(AE53)*HoursPerDay-SUMIFS(INDEX(LH_Data,0,LH_ColAcc),INDEX(LH_Data,0,LH_ColFirst),$A53,INDEX(LH_Data,0,LH_ColSur),$B53,INDEX(LH_Data,0,LH_ColCat),BonusCat,INDEX(LH_Data,0,LH_ColStart),"&gt;="&amp;(EOMONTH(AsOfDate,-1)+1),INDEX(LH_Data,0,LH_ColStart),"&lt;="&amp;AsOfDate)*UnitFactor,IF(BG53=0,N53,N53-N(T53)-N(U53)))))</f>
        <v/>
      </c>
      <c r="Z53" s="16" t="str">
        <f aca="false">IF(OR(AK53=0,Y53=""),"",IF(Y53&gt;0,"Yes","No"))</f>
        <v/>
      </c>
      <c r="AA53" s="16" t="str">
        <f aca="false">IF(AK53=0,IF(LEN($A53&amp;$B53)=0,"","FIX INPUT - StartDate missing"),IF(AD53&lt;&gt;"","FIX INPUT - "&amp;AD53,IF(NOT(LH_Ready),"Paste Leave History export (Settings must show YES)",IF(AND($AI53="Yes",Y53&lt;=0),"OK - EH balance accepted to date"&amp;IF(N(AH53)&gt;0," (EH holds "&amp;AH53&amp;" hrs over the scheme)","")&amp;"; next day "&amp;TEXT(S53,"dd mmm yy")&amp;IF(N(AE53)&gt;0," ("&amp;AE53&amp;" day(s) for "&amp;UPPER(TEXT(AsOfDate,"mmm yyyy"))&amp;" already in EH)",""),IF(Y53&gt;0,"ACCRUE "&amp;ROUND(Y53,2)&amp;" hrs ("&amp;ROUND(Y53/HoursPerDay,2)&amp;" days): "&amp;IF(N(AE53)&gt;0,AE53&amp;" day(s) for "&amp;UPPER(TEXT(AsOfDate,"mmm yyyy"))&amp;" (milestone "&amp;UPPER(TEXT(AF53,"dd mmm yy"))&amp;")"&amp;IF(Y53/HoursPerDay&gt;AE53+0.001," + "&amp;ROUND(Y53/HoursPerDay-AE53,2)&amp;" day(s) catch-up from earlier months",""),"all catch-up from earlier months, nothing new this month")&amp;IF(BG53=0,"; no Bonus Leave in EH yet",""),IF(Y53&lt;0,"CHECK - EH accrued "&amp;ROUND(-Y53,2)&amp;" hrs more than policy since commencement",IF(N(W53)&gt;O53*HoursPerDay+0.01,"CHECK - EH balance "&amp;ROUND(W53-O53*HoursPerDay,2)&amp;" hrs more than policy entitlement",IF(O53&gt;0,"OK - nothing to add"&amp;IF(N(AE53)&gt;0," ("&amp;AE53&amp;" day(s) for "&amp;UPPER(TEXT(AsOfDate,"mmm yyyy"))&amp;" already in EH)",""),IF(AW53="None",R53,"Not yet - first day on "&amp;TEXT(S53,"dd/mm/yyyy"))))))))))</f>
        <v/>
      </c>
      <c r="AB53" s="17" t="str">
        <f aca="false">IF(OR(AK53=0,T53=""),"",MAX(0,BE53-BQ53)*HoursPerDay-T53)</f>
        <v/>
      </c>
      <c r="AC53" s="16" t="str">
        <f aca="false">IF(AK53=0,"",BG53)</f>
        <v/>
      </c>
      <c r="AD53" s="16" t="str">
        <f aca="false">IF(AK53=0,"",TRIM(IF(OR(ISTEXT($F53),ISTEXT($H53),ISTEXT($I53),ISTEXT($G53),ISTEXT($J53),ISTEXT($D53)),"A date is typed as text - retype it as dd/mm/yyyy. ","")&amp;IF(IF($C53="","",IF(OR(ISNUMBER(SEARCH("full",$C53)),UPPER(TRIM($C53))="FT",UPPER(TRIM($C53))="FTE"),"Full-Time",IF(OR(ISNUMBER(SEARCH("part",$C53)),UPPER(TRIM($C53))="PT",UPPER(TRIM($C53))="PTE"),"Part-Time",IF(OR(ISNUMBER(SEARCH("cas",$C53)),UPPER(TRIM($C53))="CAS"),"Casual","Unknown"))))="Unknown","EmploymentType not recognised - use Full-Time, Part-Time or Casual. ","")&amp;IF(AND(AM53&gt;=1,IF(AM53&gt;=3,AS53,IF(AM53=2,AR53,AQ53))&lt;&gt;IF($C53="","",IF(OR(ISNUMBER(SEARCH("full",$C53)),UPPER(TRIM($C53))="FT",UPPER(TRIM($C53))="FTE"),"Full-Time",IF(OR(ISNUMBER(SEARCH("part",$C53)),UPPER(TRIM($C53))="PT",UPPER(TRIM($C53))="PTE"),"Part-Time",IF(OR(ISNUMBER(SEARCH("cas",$C53)),UPPER(TRIM($C53))="CAS"),"Casual","Unknown"))))),"EmploymentType does not match latest start date ("&amp;IF(AM53&gt;=3,AS53,IF(AM53=2,AR53,AQ53))&amp;"). ","")&amp;IF(AND(AM53&gt;=1,AN53&lt;&gt;$F53),"Earliest type date should equal StartDate. ","")&amp;IF(AND(AM53&gt;=2,AN53=AO53),"Two types start on the same date. ","")&amp;IF(AND(OR(ISNUMBER(SEARCH("part",$C53)),UPPER(TRIM($C53))="PT",UPPER(TRIM($C53))="PTE"),$P53=""),"Part-time: enter PT Hrs/Week (blank = 24+). ","")))</f>
        <v/>
      </c>
      <c r="AE53" s="17" t="str">
        <f aca="false">IF(AK53=0,"",O53-MAX(0,BL53-BQ53))</f>
        <v/>
      </c>
      <c r="AF53" s="14" t="str">
        <f aca="false">IF(OR(AK53=0,AE53="",N(AE53)=0,BM53=""),"",EDATE(AL53,BM53))</f>
        <v/>
      </c>
      <c r="AG53" s="17" t="str">
        <f aca="false">IF(AK53=0,"",MIN(BD53,BQ53))</f>
        <v/>
      </c>
      <c r="AH53" s="17" t="str">
        <f aca="false">IF(AK53=0,"",IF(NOT(LH_Ready),"",IF(BG53=0,0,MAX(0,ROUND(N(T53)+N(U53)-N53,2)))))</f>
        <v/>
      </c>
      <c r="AI53" s="12"/>
      <c r="AJ53" s="12"/>
      <c r="AK53" s="16" t="n">
        <f aca="false">IF(OR(LEN($A53&amp;$B53)=0,$F53=""),0,1)</f>
        <v>0</v>
      </c>
      <c r="AL53" s="14" t="str">
        <f aca="false">IF(AK53=0,"",IF(PreSchemeCounts="No",MAX(SchemeStart,IF($J53&lt;&gt;"",$J53,IF(OR(CasualCounts="Yes",COUNT($G53:$I53)=0),$F53,IF(Apply2026="No",IF($I53="",$F53,$I53),IF(COUNT($H53:$I53)=0,$F53,MIN($H53:$I53)))))),IF($J53&lt;&gt;"",$J53,IF(OR(CasualCounts="Yes",COUNT($G53:$I53)=0),$F53,IF(Apply2026="No",IF($I53="",$F53,$I53),IF(COUNT($H53:$I53)=0,$F53,MIN($H53:$I53)))))))</f>
        <v/>
      </c>
      <c r="AM53" s="16" t="str">
        <f aca="false">IF(AK53=0,"",COUNT($G53:$I53))</f>
        <v/>
      </c>
      <c r="AN53" s="14" t="str">
        <f aca="false">IF(AK53=0,"",IFERROR(SMALL($G53:$I53,1),""))</f>
        <v/>
      </c>
      <c r="AO53" s="14" t="str">
        <f aca="false">IF(AK53=0,"",IFERROR(SMALL($G53:$I53,2),""))</f>
        <v/>
      </c>
      <c r="AP53" s="14" t="str">
        <f aca="false">IF(AK53=0,"",IFERROR(SMALL($G53:$I53,3),""))</f>
        <v/>
      </c>
      <c r="AQ53" s="16" t="str">
        <f aca="false">IF(AK53=0,"",IF(AN53="","",IF(AN53=$H53,"Part-Time",IF(AN53=$I53,"Full-Time","Casual"))))</f>
        <v/>
      </c>
      <c r="AR53" s="16" t="str">
        <f aca="false">IF(AK53=0,"",IF(AO53="","",IF(AO53=$H53,"Part-Time",IF(AO53=$I53,"Full-Time","Casual"))))</f>
        <v/>
      </c>
      <c r="AS53" s="16" t="str">
        <f aca="false">IF(AK53=0,"",IF(AP53="","",IF(AP53=$H53,"Part-Time",IF(AP53=$I53,"Full-Time","Casual"))))</f>
        <v/>
      </c>
      <c r="AT53" s="16" t="str">
        <f aca="false">IF(AK53=0,"",IF(AM53=0,IF(OR(ISNUMBER(SEARCH("full",$C53)),UPPER(TRIM($C53))="FT",UPPER(TRIM($C53))="FTE"),"FT",IF(AND(OR(ISNUMBER(SEARCH("part",$C53)),UPPER(TRIM($C53))="PT",UPPER(TRIM($C53))="PTE"),Apply2026="Yes",OR($P53="",N($P53)&gt;=PT_MinHours)),"PT","None")),IF(OR(ISNUMBER(SEARCH("full",AQ53)),UPPER(TRIM(AQ53))="FT",UPPER(TRIM(AQ53))="FTE"),"FT",IF(AND(OR(ISNUMBER(SEARCH("part",AQ53)),UPPER(TRIM(AQ53))="PT",UPPER(TRIM(AQ53))="PTE"),Apply2026="Yes",OR($P53="",N($P53)&gt;=PT_MinHours)),"PT","None"))))</f>
        <v/>
      </c>
      <c r="AU53" s="16" t="str">
        <f aca="false">IF(AK53=0,"",IF(AM53&lt;2,"",IF(OR(ISNUMBER(SEARCH("full",AR53)),UPPER(TRIM(AR53))="FT",UPPER(TRIM(AR53))="FTE"),"FT",IF(AND(OR(ISNUMBER(SEARCH("part",AR53)),UPPER(TRIM(AR53))="PT",UPPER(TRIM(AR53))="PTE"),Apply2026="Yes",OR($P53="",N($P53)&gt;=PT_MinHours)),"PT","None"))))</f>
        <v/>
      </c>
      <c r="AV53" s="16" t="str">
        <f aca="false">IF(AK53=0,"",IF(AM53&lt;3,"",IF(OR(ISNUMBER(SEARCH("full",AS53)),UPPER(TRIM(AS53))="FT",UPPER(TRIM(AS53))="FTE"),"FT",IF(AND(OR(ISNUMBER(SEARCH("part",AS53)),UPPER(TRIM(AS53))="PT",UPPER(TRIM(AS53))="PTE"),Apply2026="Yes",OR($P53="",N($P53)&gt;=PT_MinHours)),"PT","None"))))</f>
        <v/>
      </c>
      <c r="AW53" s="16" t="str">
        <f aca="false">IF(AK53=0,"",IF(AND(AM53&gt;=3,AP53&lt;=AsOfDate),AV53,IF(AND(AM53&gt;=2,AO53&lt;=AsOfDate),AU53,AT53)))</f>
        <v/>
      </c>
      <c r="AX53" s="16" t="str">
        <f aca="false">IF(AK53=0,"",IF(AsOfDate&lt;AL53,-1,12*(YEAR(AsOfDate)-YEAR(AL53))+MONTH(AsOfDate)-MONTH(AL53)-IF(DAY(AsOfDate)&lt;MIN(DAY(AL53),DAY(EOMONTH(AsOfDate,0))),1,0)))</f>
        <v/>
      </c>
      <c r="AY53" s="16" t="str">
        <f aca="false">IF(AK53=0,"",IF(OR(AM53&lt;2,AO53&gt;AsOfDate),AX53,IF((AO53-1)&lt;AL53,-1,12*(YEAR((AO53-1))-YEAR(AL53))+MONTH((AO53-1))-MONTH(AL53)-IF(DAY((AO53-1))&lt;MIN(DAY(AL53),DAY(EOMONTH((AO53-1),0))),1,0))))</f>
        <v/>
      </c>
      <c r="AZ53" s="16" t="str">
        <f aca="false">IF(AK53=0,"",IF(OR(AM53&lt;3,AP53&gt;AsOfDate),AX53,IF((AP53-1)&lt;AL53,-1,12*(YEAR((AP53-1))-YEAR(AL53))+MONTH((AP53-1))-MONTH(AL53)-IF(DAY((AP53-1))&lt;MIN(DAY(AL53),DAY(EOMONTH((AP53-1),0))),1,0))))</f>
        <v/>
      </c>
      <c r="BA53" s="16" t="str">
        <f aca="false">IF(AK53=0,"",IF(PFYDate&lt;AL53,-1,12*(YEAR(PFYDate)-YEAR(AL53))+MONTH(PFYDate)-MONTH(AL53)-IF(DAY(PFYDate)&lt;MIN(DAY(AL53),DAY(EOMONTH(PFYDate,0))),1,0)))</f>
        <v/>
      </c>
      <c r="BB53" s="16" t="str">
        <f aca="false">IF(AK53=0,"",IF(OR(AM53&lt;2,AO53&gt;PFYDate),BA53,IF((AO53-1)&lt;AL53,-1,12*(YEAR((AO53-1))-YEAR(AL53))+MONTH((AO53-1))-MONTH(AL53)-IF(DAY((AO53-1))&lt;MIN(DAY(AL53),DAY(EOMONTH((AO53-1),0))),1,0))))</f>
        <v/>
      </c>
      <c r="BC53" s="16" t="str">
        <f aca="false">IF(AK53=0,"",IF(OR(AM53&lt;3,AP53&gt;PFYDate),BA53,IF((AP53-1)&lt;AL53,-1,12*(YEAR((AP53-1))-YEAR(AL53))+MONTH((AP53-1))-MONTH(AL53)-IF(DAY((AP53-1))&lt;MIN(DAY(AL53),DAY(EOMONTH((AP53-1),0))),1,0))))</f>
        <v/>
      </c>
      <c r="BD53" s="16" t="str">
        <f aca="false">IF(AK53=0,"",IF(AT53="FT",IF(AY53&lt;FT_First,0,IF(AY53&lt;FT_Y5,1+INT((AY53-FT_First)/FT_Int1),FT_PreY5+FT_PerYear*INT((AY53-FT_Y5)/12)+FT_AnnivDays+INT(MOD(AY53-FT_Y5,12)/FT_Int2)-IF(EDATE(AL53,FT_Y5)&lt;PolicyEff,FT_AnnivDays-1,0))),IF(AT53="PT",IF(AY53&lt;PT_First,0,1+INT((AY53-PT_First)/PT_Int)),0))+IF(AND(AM53&gt;=2,AO53&lt;=AsOfDate),IF(AU53="FT",IF(AZ53&lt;FT_First,0,IF(AZ53&lt;FT_Y5,1+INT((AZ53-FT_First)/FT_Int1),FT_PreY5+FT_PerYear*INT((AZ53-FT_Y5)/12)+FT_AnnivDays+INT(MOD(AZ53-FT_Y5,12)/FT_Int2)-IF(EDATE(AL53,FT_Y5)&lt;PolicyEff,FT_AnnivDays-1,0))),IF(AU53="PT",IF(AZ53&lt;PT_First,0,1+INT((AZ53-PT_First)/PT_Int)),0))-IF(AU53="FT",IF(AY53&lt;FT_First,0,IF(AY53&lt;FT_Y5,1+INT((AY53-FT_First)/FT_Int1),FT_PreY5+FT_PerYear*INT((AY53-FT_Y5)/12)+FT_AnnivDays+INT(MOD(AY53-FT_Y5,12)/FT_Int2)-IF(EDATE(AL53,FT_Y5)&lt;PolicyEff,FT_AnnivDays-1,0))),IF(AU53="PT",IF(AY53&lt;PT_First,0,1+INT((AY53-PT_First)/PT_Int)),0)),0)+IF(AND(AM53&gt;=3,AP53&lt;=AsOfDate),IF(AV53="FT",IF(AX53&lt;FT_First,0,IF(AX53&lt;FT_Y5,1+INT((AX53-FT_First)/FT_Int1),FT_PreY5+FT_PerYear*INT((AX53-FT_Y5)/12)+FT_AnnivDays+INT(MOD(AX53-FT_Y5,12)/FT_Int2)-IF(EDATE(AL53,FT_Y5)&lt;PolicyEff,FT_AnnivDays-1,0))),IF(AV53="PT",IF(AX53&lt;PT_First,0,1+INT((AX53-PT_First)/PT_Int)),0))-IF(AV53="FT",IF(AZ53&lt;FT_First,0,IF(AZ53&lt;FT_Y5,1+INT((AZ53-FT_First)/FT_Int1),FT_PreY5+FT_PerYear*INT((AZ53-FT_Y5)/12)+FT_AnnivDays+INT(MOD(AZ53-FT_Y5,12)/FT_Int2)-IF(EDATE(AL53,FT_Y5)&lt;PolicyEff,FT_AnnivDays-1,0))),IF(AV53="PT",IF(AZ53&lt;PT_First,0,1+INT((AZ53-PT_First)/PT_Int)),0)),0))</f>
        <v/>
      </c>
      <c r="BE53" s="16" t="str">
        <f aca="false">IF(AK53=0,"",IF(AT53="FT",IF(BB53&lt;FT_First,0,IF(BB53&lt;FT_Y5,1+INT((BB53-FT_First)/FT_Int1),FT_PreY5+FT_PerYear*INT((BB53-FT_Y5)/12)+FT_AnnivDays+INT(MOD(BB53-FT_Y5,12)/FT_Int2)-IF(EDATE(AL53,FT_Y5)&lt;PolicyEff,FT_AnnivDays-1,0))),IF(AT53="PT",IF(BB53&lt;PT_First,0,1+INT((BB53-PT_First)/PT_Int)),0))+IF(AND(AM53&gt;=2,AO53&lt;=PFYDate),IF(AU53="FT",IF(BC53&lt;FT_First,0,IF(BC53&lt;FT_Y5,1+INT((BC53-FT_First)/FT_Int1),FT_PreY5+FT_PerYear*INT((BC53-FT_Y5)/12)+FT_AnnivDays+INT(MOD(BC53-FT_Y5,12)/FT_Int2)-IF(EDATE(AL53,FT_Y5)&lt;PolicyEff,FT_AnnivDays-1,0))),IF(AU53="PT",IF(BC53&lt;PT_First,0,1+INT((BC53-PT_First)/PT_Int)),0))-IF(AU53="FT",IF(BB53&lt;FT_First,0,IF(BB53&lt;FT_Y5,1+INT((BB53-FT_First)/FT_Int1),FT_PreY5+FT_PerYear*INT((BB53-FT_Y5)/12)+FT_AnnivDays+INT(MOD(BB53-FT_Y5,12)/FT_Int2)-IF(EDATE(AL53,FT_Y5)&lt;PolicyEff,FT_AnnivDays-1,0))),IF(AU53="PT",IF(BB53&lt;PT_First,0,1+INT((BB53-PT_First)/PT_Int)),0)),0)+IF(AND(AM53&gt;=3,AP53&lt;=PFYDate),IF(AV53="FT",IF(BA53&lt;FT_First,0,IF(BA53&lt;FT_Y5,1+INT((BA53-FT_First)/FT_Int1),FT_PreY5+FT_PerYear*INT((BA53-FT_Y5)/12)+FT_AnnivDays+INT(MOD(BA53-FT_Y5,12)/FT_Int2)-IF(EDATE(AL53,FT_Y5)&lt;PolicyEff,FT_AnnivDays-1,0))),IF(AV53="PT",IF(BA53&lt;PT_First,0,1+INT((BA53-PT_First)/PT_Int)),0))-IF(AV53="FT",IF(BC53&lt;FT_First,0,IF(BC53&lt;FT_Y5,1+INT((BC53-FT_First)/FT_Int1),FT_PreY5+FT_PerYear*INT((BC53-FT_Y5)/12)+FT_AnnivDays+INT(MOD(BC53-FT_Y5,12)/FT_Int2)-IF(EDATE(AL53,FT_Y5)&lt;PolicyEff,FT_AnnivDays-1,0))),IF(AV53="PT",IF(BC53&lt;PT_First,0,1+INT((BC53-PT_First)/PT_Int)),0)),0))</f>
        <v/>
      </c>
      <c r="BF53" s="16" t="str">
        <f aca="false">IF(AK53=0,"",IF(AW53="FT",IF(AX53&lt;FT_First,FT_First,IF(AX53&lt;FT_Y5,MIN(FT_Y5,FT_First+FT_Int1*(INT((AX53-FT_First)/FT_Int1)+1)),FT_Y5+12*INT((AX53-FT_Y5)/12)+FT_Int2*(INT(MOD(AX53-FT_Y5,12)/FT_Int2)+1))),IF(AW53="PT",IF(AX53&lt;PT_First,PT_First,PT_First+PT_Int*(INT((AX53-PT_First)/PT_Int)+1)),"")))</f>
        <v/>
      </c>
      <c r="BG53" s="16" t="str">
        <f aca="false">IF(AK53=0,"",IF(NOT(LH_Ready),0,COUNTIFS(INDEX(LH_Data,0,LH_ColFirst),$A53,INDEX(LH_Data,0,LH_ColSur),$B53,INDEX(LH_Data,0,LH_ColCat),BonusCat)))</f>
        <v/>
      </c>
      <c r="BH53" s="16" t="str">
        <f aca="false">IF(AK53=0,"",IF(OR(NOT(LH_Ready),BG53=0),0,SUMPRODUCT(MAX((INDEX(LH_Data,0,LH_ColFirst)=$A53)*(INDEX(LH_Data,0,LH_ColSur)=$B53)*(INDEX(LH_Data,0,LH_ColCat)=BonusCat)*ROW(LH_Data)))))</f>
        <v/>
      </c>
      <c r="BI53" s="16" t="str">
        <f aca="false">IF(AK53=0,"",IF(EOMONTH(AsOfDate,-1)&lt;AL53,-1,12*(YEAR(EOMONTH(AsOfDate,-1))-YEAR(AL53))+MONTH(EOMONTH(AsOfDate,-1))-MONTH(AL53)-IF(DAY(EOMONTH(AsOfDate,-1))&lt;MIN(DAY(AL53),DAY(EOMONTH(EOMONTH(AsOfDate,-1),0))),1,0)))</f>
        <v/>
      </c>
      <c r="BJ53" s="16" t="str">
        <f aca="false">IF(AK53=0,"",IF(OR(AM53&lt;2,AO53&gt;EOMONTH(AsOfDate,-1)),BI53,IF((AO53-1)&lt;AL53,-1,12*(YEAR((AO53-1))-YEAR(AL53))+MONTH((AO53-1))-MONTH(AL53)-IF(DAY((AO53-1))&lt;MIN(DAY(AL53),DAY(EOMONTH((AO53-1),0))),1,0))))</f>
        <v/>
      </c>
      <c r="BK53" s="16" t="str">
        <f aca="false">IF(AK53=0,"",IF(OR(AM53&lt;3,AP53&gt;EOMONTH(AsOfDate,-1)),BI53,IF((AP53-1)&lt;AL53,-1,12*(YEAR((AP53-1))-YEAR(AL53))+MONTH((AP53-1))-MONTH(AL53)-IF(DAY((AP53-1))&lt;MIN(DAY(AL53),DAY(EOMONTH((AP53-1),0))),1,0))))</f>
        <v/>
      </c>
      <c r="BL53" s="16" t="str">
        <f aca="false">IF(AK53=0,"",IF(AT53="FT",IF(BJ53&lt;FT_First,0,IF(BJ53&lt;FT_Y5,1+INT((BJ53-FT_First)/FT_Int1),FT_PreY5+FT_PerYear*INT((BJ53-FT_Y5)/12)+FT_AnnivDays+INT(MOD(BJ53-FT_Y5,12)/FT_Int2)-IF(EDATE(AL53,FT_Y5)&lt;PolicyEff,FT_AnnivDays-1,0))),IF(AT53="PT",IF(BJ53&lt;PT_First,0,1+INT((BJ53-PT_First)/PT_Int)),0))+IF(AND(AM53&gt;=2,AO53&lt;=EOMONTH(AsOfDate,-1)),IF(AU53="FT",IF(BK53&lt;FT_First,0,IF(BK53&lt;FT_Y5,1+INT((BK53-FT_First)/FT_Int1),FT_PreY5+FT_PerYear*INT((BK53-FT_Y5)/12)+FT_AnnivDays+INT(MOD(BK53-FT_Y5,12)/FT_Int2)-IF(EDATE(AL53,FT_Y5)&lt;PolicyEff,FT_AnnivDays-1,0))),IF(AU53="PT",IF(BK53&lt;PT_First,0,1+INT((BK53-PT_First)/PT_Int)),0))-IF(AU53="FT",IF(BJ53&lt;FT_First,0,IF(BJ53&lt;FT_Y5,1+INT((BJ53-FT_First)/FT_Int1),FT_PreY5+FT_PerYear*INT((BJ53-FT_Y5)/12)+FT_AnnivDays+INT(MOD(BJ53-FT_Y5,12)/FT_Int2)-IF(EDATE(AL53,FT_Y5)&lt;PolicyEff,FT_AnnivDays-1,0))),IF(AU53="PT",IF(BJ53&lt;PT_First,0,1+INT((BJ53-PT_First)/PT_Int)),0)),0)+IF(AND(AM53&gt;=3,AP53&lt;=EOMONTH(AsOfDate,-1)),IF(AV53="FT",IF(BI53&lt;FT_First,0,IF(BI53&lt;FT_Y5,1+INT((BI53-FT_First)/FT_Int1),FT_PreY5+FT_PerYear*INT((BI53-FT_Y5)/12)+FT_AnnivDays+INT(MOD(BI53-FT_Y5,12)/FT_Int2)-IF(EDATE(AL53,FT_Y5)&lt;PolicyEff,FT_AnnivDays-1,0))),IF(AV53="PT",IF(BI53&lt;PT_First,0,1+INT((BI53-PT_First)/PT_Int)),0))-IF(AV53="FT",IF(BK53&lt;FT_First,0,IF(BK53&lt;FT_Y5,1+INT((BK53-FT_First)/FT_Int1),FT_PreY5+FT_PerYear*INT((BK53-FT_Y5)/12)+FT_AnnivDays+INT(MOD(BK53-FT_Y5,12)/FT_Int2)-IF(EDATE(AL53,FT_Y5)&lt;PolicyEff,FT_AnnivDays-1,0))),IF(AV53="PT",IF(BK53&lt;PT_First,0,1+INT((BK53-PT_First)/PT_Int)),0)),0))</f>
        <v/>
      </c>
      <c r="BM53" s="16" t="str">
        <f aca="false">IF(AK53=0,"",IF(AW53="FT",IF(AX53&lt;FT_First,"",IF(AX53&lt;FT_Y5,FT_First+FT_Int1*INT((AX53-FT_First)/FT_Int1),FT_Y5+FT_Int2*INT((AX53-FT_Y5)/FT_Int2))),IF(AW53="PT",IF(AX53&lt;PT_First,"",PT_First+PT_Int*INT((AX53-PT_First)/PT_Int)),"")))</f>
        <v/>
      </c>
      <c r="BN53" s="16" t="str">
        <f aca="false">IF(AK53=0,"",IF((SchemeStart-1)&lt;AL53,-1,12*(YEAR((SchemeStart-1))-YEAR(AL53))+MONTH((SchemeStart-1))-MONTH(AL53)-IF(DAY((SchemeStart-1))&lt;MIN(DAY(AL53),DAY(EOMONTH((SchemeStart-1),0))),1,0)))</f>
        <v/>
      </c>
      <c r="BO53" s="16" t="str">
        <f aca="false">IF(AK53=0,"",IF(OR(AM53&lt;2,AO53&gt;(SchemeStart-1)),BN53,IF((AO53-1)&lt;AL53,-1,12*(YEAR((AO53-1))-YEAR(AL53))+MONTH((AO53-1))-MONTH(AL53)-IF(DAY((AO53-1))&lt;MIN(DAY(AL53),DAY(EOMONTH((AO53-1),0))),1,0))))</f>
        <v/>
      </c>
      <c r="BP53" s="16" t="str">
        <f aca="false">IF(AK53=0,"",IF(OR(AM53&lt;3,AP53&gt;(SchemeStart-1)),BN53,IF((AP53-1)&lt;AL53,-1,12*(YEAR((AP53-1))-YEAR(AL53))+MONTH((AP53-1))-MONTH(AL53)-IF(DAY((AP53-1))&lt;MIN(DAY(AL53),DAY(EOMONTH((AP53-1),0))),1,0))))</f>
        <v/>
      </c>
      <c r="BQ53" s="16" t="str">
        <f aca="false">IF(AK53=0,"",IF(AT53="FT",IF(BO53&lt;FT_First,0,IF(BO53&lt;FT_Y5,1+INT((BO53-FT_First)/FT_Int1),FT_PreY5+FT_PerYear*INT((BO53-FT_Y5)/12)+FT_AnnivDays+INT(MOD(BO53-FT_Y5,12)/FT_Int2)-IF(EDATE(AL53,FT_Y5)&lt;PolicyEff,FT_AnnivDays-1,0))),IF(AT53="PT",IF(BO53&lt;PT_First,0,1+INT((BO53-PT_First)/PT_Int)),0))+IF(AND(AM53&gt;=2,AO53&lt;=(SchemeStart-1)),IF(AU53="FT",IF(BP53&lt;FT_First,0,IF(BP53&lt;FT_Y5,1+INT((BP53-FT_First)/FT_Int1),FT_PreY5+FT_PerYear*INT((BP53-FT_Y5)/12)+FT_AnnivDays+INT(MOD(BP53-FT_Y5,12)/FT_Int2)-IF(EDATE(AL53,FT_Y5)&lt;PolicyEff,FT_AnnivDays-1,0))),IF(AU53="PT",IF(BP53&lt;PT_First,0,1+INT((BP53-PT_First)/PT_Int)),0))-IF(AU53="FT",IF(BO53&lt;FT_First,0,IF(BO53&lt;FT_Y5,1+INT((BO53-FT_First)/FT_Int1),FT_PreY5+FT_PerYear*INT((BO53-FT_Y5)/12)+FT_AnnivDays+INT(MOD(BO53-FT_Y5,12)/FT_Int2)-IF(EDATE(AL53,FT_Y5)&lt;PolicyEff,FT_AnnivDays-1,0))),IF(AU53="PT",IF(BO53&lt;PT_First,0,1+INT((BO53-PT_First)/PT_Int)),0)),0)+IF(AND(AM53&gt;=3,AP53&lt;=(SchemeStart-1)),IF(AV53="FT",IF(BN53&lt;FT_First,0,IF(BN53&lt;FT_Y5,1+INT((BN53-FT_First)/FT_Int1),FT_PreY5+FT_PerYear*INT((BN53-FT_Y5)/12)+FT_AnnivDays+INT(MOD(BN53-FT_Y5,12)/FT_Int2)-IF(EDATE(AL53,FT_Y5)&lt;PolicyEff,FT_AnnivDays-1,0))),IF(AV53="PT",IF(BN53&lt;PT_First,0,1+INT((BN53-PT_First)/PT_Int)),0))-IF(AV53="FT",IF(BP53&lt;FT_First,0,IF(BP53&lt;FT_Y5,1+INT((BP53-FT_First)/FT_Int1),FT_PreY5+FT_PerYear*INT((BP53-FT_Y5)/12)+FT_AnnivDays+INT(MOD(BP53-FT_Y5,12)/FT_Int2)-IF(EDATE(AL53,FT_Y5)&lt;PolicyEff,FT_AnnivDays-1,0))),IF(AV53="PT",IF(BP53&lt;PT_First,0,1+INT((BP53-PT_First)/PT_Int)),0)),0))</f>
        <v/>
      </c>
      <c r="BR53" s="0" t="str">
        <f aca="false">IF(LEN($A53&amp;$B53)=0,"",$A53&amp;" "&amp;$B53)</f>
        <v/>
      </c>
    </row>
    <row r="54" customFormat="false" ht="15" hidden="false" customHeight="false" outlineLevel="0" collapsed="false">
      <c r="A54" s="12"/>
      <c r="B54" s="12"/>
      <c r="C54" s="12"/>
      <c r="D54" s="13"/>
      <c r="E54" s="14" t="str">
        <f aca="false">IF(OR(AK54=0,$D54=""),"",DATE(YEAR(AsOfDate)+IF(DATE(YEAR(AsOfDate),MONTH($D54),DAY($D54))&lt;=AsOfDate,1,0),MONTH($D54),DAY($D54)))</f>
        <v/>
      </c>
      <c r="F54" s="13"/>
      <c r="G54" s="13"/>
      <c r="H54" s="13"/>
      <c r="I54" s="13"/>
      <c r="J54" s="13"/>
      <c r="K54" s="14" t="str">
        <f aca="false">IF(AK54=0,"",DATE(YEAR(AsOfDate)+IF(DATE(YEAR(AsOfDate),MONTH(AL54),DAY(AL54))&lt;=AsOfDate,1,0),MONTH(AL54),DAY(AL54)))</f>
        <v/>
      </c>
      <c r="L54" s="15" t="str">
        <f aca="false">IF(AK54=0,"",ROUND((AsOfDate-AL54)/365.25,1))</f>
        <v/>
      </c>
      <c r="M54" s="16" t="str">
        <f aca="false">IF(AK54=0,"",IF(AsOfDate&lt;AL54,"-",DATEDIF(AL54,AsOfDate,"y")&amp;"y "&amp;DATEDIF(AL54,AsOfDate,"ym")&amp;"m "&amp;DATEDIF(AL54,AsOfDate,"md")&amp;"d"))</f>
        <v/>
      </c>
      <c r="N54" s="17" t="str">
        <f aca="false">IF(AK54=0,"",O54*HoursPerDay)</f>
        <v/>
      </c>
      <c r="O54" s="17" t="str">
        <f aca="false">IF(AK54=0,"",MAX(0,BD54-BQ54))</f>
        <v/>
      </c>
      <c r="P54" s="18"/>
      <c r="Q54" s="16" t="str">
        <f aca="false">IF(AK54=0,"",IF(AM54&lt;2,"",AQ54&amp;" to "&amp;AR54&amp;" on "&amp;TEXT(AO54,"dd/mm/yyyy")&amp;IF(AO54&gt;AsOfDate," (future)",IF(AT54=AU54,"",IF(AU54="None"," - STOPPED accruing",IF(AT54="None"," - commencement for Bonus Leave"," - pathway changed"))))&amp;IF(AM54&lt;3,"","; "&amp;AR54&amp;" to "&amp;AS54&amp;" on "&amp;TEXT(AP54,"dd/mm/yyyy")&amp;IF(AP54&gt;AsOfDate," (future)",IF(AU54=AV54,"",IF(AV54="None"," - STOPPED accruing",IF(AU54="None"," - commencement for Bonus Leave"," - pathway changed")))))))</f>
        <v/>
      </c>
      <c r="R54" s="16" t="str">
        <f aca="false">IF(AK54=0,"",IF(AW54="None",IF(O54&gt;0,"No longer accruing","Not eligible - "&amp;IF(AND(OR(ISNUMBER(SEARCH("part",$C54)),UPPER(TRIM($C54))="PT",UPPER(TRIM($C54))="PTE"),Apply2026="No"),"part-time (scheme is full-time only)",IF(AND(OR(ISNUMBER(SEARCH("part",$C54)),UPPER(TRIM($C54))="PT",UPPER(TRIM($C54))="PTE"),$P54&lt;&gt;"",N($P54)&lt;PT_MinHours),"under "&amp;PT_MinHours&amp;" hrs",IF(IF($C54="","",IF(OR(ISNUMBER(SEARCH("full",$C54)),UPPER(TRIM($C54))="FT",UPPER(TRIM($C54))="FTE"),"Full-Time",IF(OR(ISNUMBER(SEARCH("part",$C54)),UPPER(TRIM($C54))="PT",UPPER(TRIM($C54))="PTE"),"Part-Time",IF(OR(ISNUMBER(SEARCH("cas",$C54)),UPPER(TRIM($C54))="CAS"),"Casual","Unknown"))))="Unknown","type not recognised",$C54)))),IF(O54&gt;0,"Yes - Accrual Required","Not yet - from "&amp;TEXT(S54,"dd/mm/yyyy"))))</f>
        <v/>
      </c>
      <c r="S54" s="14" t="str">
        <f aca="false">IF(AK54=0,"",IF(AW54="None","",EDATE(AL54,BF54)))</f>
        <v/>
      </c>
      <c r="T54" s="17" t="str">
        <f aca="false">IF(AK54=0,"",IF(NOT(LH_Ready),"",IF($F54&gt;PFYDate,0,IF(LH_ColPeriod=0,W54-U54+V54,SUMIFS(INDEX(LH_Data,0,LH_ColAcc),INDEX(LH_Data,0,LH_ColFirst),$A54,INDEX(LH_Data,0,LH_ColSur),$B54,INDEX(LH_Data,0,LH_ColCat),BonusCat,INDEX(LH_Data,0,LH_ColPeriod),LH_OpenLabel)*UnitFactor))))</f>
        <v/>
      </c>
      <c r="U54" s="17" t="str">
        <f aca="false">IF(AK54=0,"",IF(NOT(LH_Ready),"",SUMIFS(INDEX(LH_Data,0,LH_ColAcc),INDEX(LH_Data,0,LH_ColFirst),$A54,INDEX(LH_Data,0,LH_ColSur),$B54,INDEX(LH_Data,0,LH_ColCat),BonusCat,INDEX(LH_Data,0,LH_ColStart),"&gt;="&amp;AL54)*UnitFactor))</f>
        <v/>
      </c>
      <c r="V54" s="17" t="str">
        <f aca="false">IF(AK54=0,"",IF(NOT(LH_Ready),"",SUMIFS(INDEX(LH_Data,0,LH_ColTaken),INDEX(LH_Data,0,LH_ColFirst),$A54,INDEX(LH_Data,0,LH_ColSur),$B54,INDEX(LH_Data,0,LH_ColCat),BonusCat,INDEX(LH_Data,0,LH_ColStart),"&gt;="&amp;AL54)*UnitFactor))</f>
        <v/>
      </c>
      <c r="W54" s="17" t="str">
        <f aca="false">IF(AK54=0,"",IF(NOT(LH_Ready),"",IF(BH54=0,0,INDEX(INDEX(LH_Data,0,LH_ColClose),BH54-1)*UnitFactor)))</f>
        <v/>
      </c>
      <c r="X54" s="17" t="str">
        <f aca="false">IF(AK54=0,"",(MAX(0,BD54-BQ54)-MAX(0,BE54-BQ54))*HoursPerDay)</f>
        <v/>
      </c>
      <c r="Y54" s="17" t="str">
        <f aca="false">IF(AK54=0,"",IF(NOT(LH_Ready),"",IF($AI54="Yes",N(AE54)*HoursPerDay-SUMIFS(INDEX(LH_Data,0,LH_ColAcc),INDEX(LH_Data,0,LH_ColFirst),$A54,INDEX(LH_Data,0,LH_ColSur),$B54,INDEX(LH_Data,0,LH_ColCat),BonusCat,INDEX(LH_Data,0,LH_ColStart),"&gt;="&amp;(EOMONTH(AsOfDate,-1)+1),INDEX(LH_Data,0,LH_ColStart),"&lt;="&amp;AsOfDate)*UnitFactor,IF(BG54=0,N54,N54-N(T54)-N(U54)))))</f>
        <v/>
      </c>
      <c r="Z54" s="16" t="str">
        <f aca="false">IF(OR(AK54=0,Y54=""),"",IF(Y54&gt;0,"Yes","No"))</f>
        <v/>
      </c>
      <c r="AA54" s="16" t="str">
        <f aca="false">IF(AK54=0,IF(LEN($A54&amp;$B54)=0,"","FIX INPUT - StartDate missing"),IF(AD54&lt;&gt;"","FIX INPUT - "&amp;AD54,IF(NOT(LH_Ready),"Paste Leave History export (Settings must show YES)",IF(AND($AI54="Yes",Y54&lt;=0),"OK - EH balance accepted to date"&amp;IF(N(AH54)&gt;0," (EH holds "&amp;AH54&amp;" hrs over the scheme)","")&amp;"; next day "&amp;TEXT(S54,"dd mmm yy")&amp;IF(N(AE54)&gt;0," ("&amp;AE54&amp;" day(s) for "&amp;UPPER(TEXT(AsOfDate,"mmm yyyy"))&amp;" already in EH)",""),IF(Y54&gt;0,"ACCRUE "&amp;ROUND(Y54,2)&amp;" hrs ("&amp;ROUND(Y54/HoursPerDay,2)&amp;" days): "&amp;IF(N(AE54)&gt;0,AE54&amp;" day(s) for "&amp;UPPER(TEXT(AsOfDate,"mmm yyyy"))&amp;" (milestone "&amp;UPPER(TEXT(AF54,"dd mmm yy"))&amp;")"&amp;IF(Y54/HoursPerDay&gt;AE54+0.001," + "&amp;ROUND(Y54/HoursPerDay-AE54,2)&amp;" day(s) catch-up from earlier months",""),"all catch-up from earlier months, nothing new this month")&amp;IF(BG54=0,"; no Bonus Leave in EH yet",""),IF(Y54&lt;0,"CHECK - EH accrued "&amp;ROUND(-Y54,2)&amp;" hrs more than policy since commencement",IF(N(W54)&gt;O54*HoursPerDay+0.01,"CHECK - EH balance "&amp;ROUND(W54-O54*HoursPerDay,2)&amp;" hrs more than policy entitlement",IF(O54&gt;0,"OK - nothing to add"&amp;IF(N(AE54)&gt;0," ("&amp;AE54&amp;" day(s) for "&amp;UPPER(TEXT(AsOfDate,"mmm yyyy"))&amp;" already in EH)",""),IF(AW54="None",R54,"Not yet - first day on "&amp;TEXT(S54,"dd/mm/yyyy"))))))))))</f>
        <v/>
      </c>
      <c r="AB54" s="17" t="str">
        <f aca="false">IF(OR(AK54=0,T54=""),"",MAX(0,BE54-BQ54)*HoursPerDay-T54)</f>
        <v/>
      </c>
      <c r="AC54" s="16" t="str">
        <f aca="false">IF(AK54=0,"",BG54)</f>
        <v/>
      </c>
      <c r="AD54" s="16" t="str">
        <f aca="false">IF(AK54=0,"",TRIM(IF(OR(ISTEXT($F54),ISTEXT($H54),ISTEXT($I54),ISTEXT($G54),ISTEXT($J54),ISTEXT($D54)),"A date is typed as text - retype it as dd/mm/yyyy. ","")&amp;IF(IF($C54="","",IF(OR(ISNUMBER(SEARCH("full",$C54)),UPPER(TRIM($C54))="FT",UPPER(TRIM($C54))="FTE"),"Full-Time",IF(OR(ISNUMBER(SEARCH("part",$C54)),UPPER(TRIM($C54))="PT",UPPER(TRIM($C54))="PTE"),"Part-Time",IF(OR(ISNUMBER(SEARCH("cas",$C54)),UPPER(TRIM($C54))="CAS"),"Casual","Unknown"))))="Unknown","EmploymentType not recognised - use Full-Time, Part-Time or Casual. ","")&amp;IF(AND(AM54&gt;=1,IF(AM54&gt;=3,AS54,IF(AM54=2,AR54,AQ54))&lt;&gt;IF($C54="","",IF(OR(ISNUMBER(SEARCH("full",$C54)),UPPER(TRIM($C54))="FT",UPPER(TRIM($C54))="FTE"),"Full-Time",IF(OR(ISNUMBER(SEARCH("part",$C54)),UPPER(TRIM($C54))="PT",UPPER(TRIM($C54))="PTE"),"Part-Time",IF(OR(ISNUMBER(SEARCH("cas",$C54)),UPPER(TRIM($C54))="CAS"),"Casual","Unknown"))))),"EmploymentType does not match latest start date ("&amp;IF(AM54&gt;=3,AS54,IF(AM54=2,AR54,AQ54))&amp;"). ","")&amp;IF(AND(AM54&gt;=1,AN54&lt;&gt;$F54),"Earliest type date should equal StartDate. ","")&amp;IF(AND(AM54&gt;=2,AN54=AO54),"Two types start on the same date. ","")&amp;IF(AND(OR(ISNUMBER(SEARCH("part",$C54)),UPPER(TRIM($C54))="PT",UPPER(TRIM($C54))="PTE"),$P54=""),"Part-time: enter PT Hrs/Week (blank = 24+). ","")))</f>
        <v/>
      </c>
      <c r="AE54" s="17" t="str">
        <f aca="false">IF(AK54=0,"",O54-MAX(0,BL54-BQ54))</f>
        <v/>
      </c>
      <c r="AF54" s="14" t="str">
        <f aca="false">IF(OR(AK54=0,AE54="",N(AE54)=0,BM54=""),"",EDATE(AL54,BM54))</f>
        <v/>
      </c>
      <c r="AG54" s="17" t="str">
        <f aca="false">IF(AK54=0,"",MIN(BD54,BQ54))</f>
        <v/>
      </c>
      <c r="AH54" s="17" t="str">
        <f aca="false">IF(AK54=0,"",IF(NOT(LH_Ready),"",IF(BG54=0,0,MAX(0,ROUND(N(T54)+N(U54)-N54,2)))))</f>
        <v/>
      </c>
      <c r="AI54" s="12"/>
      <c r="AJ54" s="12"/>
      <c r="AK54" s="16" t="n">
        <f aca="false">IF(OR(LEN($A54&amp;$B54)=0,$F54=""),0,1)</f>
        <v>0</v>
      </c>
      <c r="AL54" s="14" t="str">
        <f aca="false">IF(AK54=0,"",IF(PreSchemeCounts="No",MAX(SchemeStart,IF($J54&lt;&gt;"",$J54,IF(OR(CasualCounts="Yes",COUNT($G54:$I54)=0),$F54,IF(Apply2026="No",IF($I54="",$F54,$I54),IF(COUNT($H54:$I54)=0,$F54,MIN($H54:$I54)))))),IF($J54&lt;&gt;"",$J54,IF(OR(CasualCounts="Yes",COUNT($G54:$I54)=0),$F54,IF(Apply2026="No",IF($I54="",$F54,$I54),IF(COUNT($H54:$I54)=0,$F54,MIN($H54:$I54)))))))</f>
        <v/>
      </c>
      <c r="AM54" s="16" t="str">
        <f aca="false">IF(AK54=0,"",COUNT($G54:$I54))</f>
        <v/>
      </c>
      <c r="AN54" s="14" t="str">
        <f aca="false">IF(AK54=0,"",IFERROR(SMALL($G54:$I54,1),""))</f>
        <v/>
      </c>
      <c r="AO54" s="14" t="str">
        <f aca="false">IF(AK54=0,"",IFERROR(SMALL($G54:$I54,2),""))</f>
        <v/>
      </c>
      <c r="AP54" s="14" t="str">
        <f aca="false">IF(AK54=0,"",IFERROR(SMALL($G54:$I54,3),""))</f>
        <v/>
      </c>
      <c r="AQ54" s="16" t="str">
        <f aca="false">IF(AK54=0,"",IF(AN54="","",IF(AN54=$H54,"Part-Time",IF(AN54=$I54,"Full-Time","Casual"))))</f>
        <v/>
      </c>
      <c r="AR54" s="16" t="str">
        <f aca="false">IF(AK54=0,"",IF(AO54="","",IF(AO54=$H54,"Part-Time",IF(AO54=$I54,"Full-Time","Casual"))))</f>
        <v/>
      </c>
      <c r="AS54" s="16" t="str">
        <f aca="false">IF(AK54=0,"",IF(AP54="","",IF(AP54=$H54,"Part-Time",IF(AP54=$I54,"Full-Time","Casual"))))</f>
        <v/>
      </c>
      <c r="AT54" s="16" t="str">
        <f aca="false">IF(AK54=0,"",IF(AM54=0,IF(OR(ISNUMBER(SEARCH("full",$C54)),UPPER(TRIM($C54))="FT",UPPER(TRIM($C54))="FTE"),"FT",IF(AND(OR(ISNUMBER(SEARCH("part",$C54)),UPPER(TRIM($C54))="PT",UPPER(TRIM($C54))="PTE"),Apply2026="Yes",OR($P54="",N($P54)&gt;=PT_MinHours)),"PT","None")),IF(OR(ISNUMBER(SEARCH("full",AQ54)),UPPER(TRIM(AQ54))="FT",UPPER(TRIM(AQ54))="FTE"),"FT",IF(AND(OR(ISNUMBER(SEARCH("part",AQ54)),UPPER(TRIM(AQ54))="PT",UPPER(TRIM(AQ54))="PTE"),Apply2026="Yes",OR($P54="",N($P54)&gt;=PT_MinHours)),"PT","None"))))</f>
        <v/>
      </c>
      <c r="AU54" s="16" t="str">
        <f aca="false">IF(AK54=0,"",IF(AM54&lt;2,"",IF(OR(ISNUMBER(SEARCH("full",AR54)),UPPER(TRIM(AR54))="FT",UPPER(TRIM(AR54))="FTE"),"FT",IF(AND(OR(ISNUMBER(SEARCH("part",AR54)),UPPER(TRIM(AR54))="PT",UPPER(TRIM(AR54))="PTE"),Apply2026="Yes",OR($P54="",N($P54)&gt;=PT_MinHours)),"PT","None"))))</f>
        <v/>
      </c>
      <c r="AV54" s="16" t="str">
        <f aca="false">IF(AK54=0,"",IF(AM54&lt;3,"",IF(OR(ISNUMBER(SEARCH("full",AS54)),UPPER(TRIM(AS54))="FT",UPPER(TRIM(AS54))="FTE"),"FT",IF(AND(OR(ISNUMBER(SEARCH("part",AS54)),UPPER(TRIM(AS54))="PT",UPPER(TRIM(AS54))="PTE"),Apply2026="Yes",OR($P54="",N($P54)&gt;=PT_MinHours)),"PT","None"))))</f>
        <v/>
      </c>
      <c r="AW54" s="16" t="str">
        <f aca="false">IF(AK54=0,"",IF(AND(AM54&gt;=3,AP54&lt;=AsOfDate),AV54,IF(AND(AM54&gt;=2,AO54&lt;=AsOfDate),AU54,AT54)))</f>
        <v/>
      </c>
      <c r="AX54" s="16" t="str">
        <f aca="false">IF(AK54=0,"",IF(AsOfDate&lt;AL54,-1,12*(YEAR(AsOfDate)-YEAR(AL54))+MONTH(AsOfDate)-MONTH(AL54)-IF(DAY(AsOfDate)&lt;MIN(DAY(AL54),DAY(EOMONTH(AsOfDate,0))),1,0)))</f>
        <v/>
      </c>
      <c r="AY54" s="16" t="str">
        <f aca="false">IF(AK54=0,"",IF(OR(AM54&lt;2,AO54&gt;AsOfDate),AX54,IF((AO54-1)&lt;AL54,-1,12*(YEAR((AO54-1))-YEAR(AL54))+MONTH((AO54-1))-MONTH(AL54)-IF(DAY((AO54-1))&lt;MIN(DAY(AL54),DAY(EOMONTH((AO54-1),0))),1,0))))</f>
        <v/>
      </c>
      <c r="AZ54" s="16" t="str">
        <f aca="false">IF(AK54=0,"",IF(OR(AM54&lt;3,AP54&gt;AsOfDate),AX54,IF((AP54-1)&lt;AL54,-1,12*(YEAR((AP54-1))-YEAR(AL54))+MONTH((AP54-1))-MONTH(AL54)-IF(DAY((AP54-1))&lt;MIN(DAY(AL54),DAY(EOMONTH((AP54-1),0))),1,0))))</f>
        <v/>
      </c>
      <c r="BA54" s="16" t="str">
        <f aca="false">IF(AK54=0,"",IF(PFYDate&lt;AL54,-1,12*(YEAR(PFYDate)-YEAR(AL54))+MONTH(PFYDate)-MONTH(AL54)-IF(DAY(PFYDate)&lt;MIN(DAY(AL54),DAY(EOMONTH(PFYDate,0))),1,0)))</f>
        <v/>
      </c>
      <c r="BB54" s="16" t="str">
        <f aca="false">IF(AK54=0,"",IF(OR(AM54&lt;2,AO54&gt;PFYDate),BA54,IF((AO54-1)&lt;AL54,-1,12*(YEAR((AO54-1))-YEAR(AL54))+MONTH((AO54-1))-MONTH(AL54)-IF(DAY((AO54-1))&lt;MIN(DAY(AL54),DAY(EOMONTH((AO54-1),0))),1,0))))</f>
        <v/>
      </c>
      <c r="BC54" s="16" t="str">
        <f aca="false">IF(AK54=0,"",IF(OR(AM54&lt;3,AP54&gt;PFYDate),BA54,IF((AP54-1)&lt;AL54,-1,12*(YEAR((AP54-1))-YEAR(AL54))+MONTH((AP54-1))-MONTH(AL54)-IF(DAY((AP54-1))&lt;MIN(DAY(AL54),DAY(EOMONTH((AP54-1),0))),1,0))))</f>
        <v/>
      </c>
      <c r="BD54" s="16" t="str">
        <f aca="false">IF(AK54=0,"",IF(AT54="FT",IF(AY54&lt;FT_First,0,IF(AY54&lt;FT_Y5,1+INT((AY54-FT_First)/FT_Int1),FT_PreY5+FT_PerYear*INT((AY54-FT_Y5)/12)+FT_AnnivDays+INT(MOD(AY54-FT_Y5,12)/FT_Int2)-IF(EDATE(AL54,FT_Y5)&lt;PolicyEff,FT_AnnivDays-1,0))),IF(AT54="PT",IF(AY54&lt;PT_First,0,1+INT((AY54-PT_First)/PT_Int)),0))+IF(AND(AM54&gt;=2,AO54&lt;=AsOfDate),IF(AU54="FT",IF(AZ54&lt;FT_First,0,IF(AZ54&lt;FT_Y5,1+INT((AZ54-FT_First)/FT_Int1),FT_PreY5+FT_PerYear*INT((AZ54-FT_Y5)/12)+FT_AnnivDays+INT(MOD(AZ54-FT_Y5,12)/FT_Int2)-IF(EDATE(AL54,FT_Y5)&lt;PolicyEff,FT_AnnivDays-1,0))),IF(AU54="PT",IF(AZ54&lt;PT_First,0,1+INT((AZ54-PT_First)/PT_Int)),0))-IF(AU54="FT",IF(AY54&lt;FT_First,0,IF(AY54&lt;FT_Y5,1+INT((AY54-FT_First)/FT_Int1),FT_PreY5+FT_PerYear*INT((AY54-FT_Y5)/12)+FT_AnnivDays+INT(MOD(AY54-FT_Y5,12)/FT_Int2)-IF(EDATE(AL54,FT_Y5)&lt;PolicyEff,FT_AnnivDays-1,0))),IF(AU54="PT",IF(AY54&lt;PT_First,0,1+INT((AY54-PT_First)/PT_Int)),0)),0)+IF(AND(AM54&gt;=3,AP54&lt;=AsOfDate),IF(AV54="FT",IF(AX54&lt;FT_First,0,IF(AX54&lt;FT_Y5,1+INT((AX54-FT_First)/FT_Int1),FT_PreY5+FT_PerYear*INT((AX54-FT_Y5)/12)+FT_AnnivDays+INT(MOD(AX54-FT_Y5,12)/FT_Int2)-IF(EDATE(AL54,FT_Y5)&lt;PolicyEff,FT_AnnivDays-1,0))),IF(AV54="PT",IF(AX54&lt;PT_First,0,1+INT((AX54-PT_First)/PT_Int)),0))-IF(AV54="FT",IF(AZ54&lt;FT_First,0,IF(AZ54&lt;FT_Y5,1+INT((AZ54-FT_First)/FT_Int1),FT_PreY5+FT_PerYear*INT((AZ54-FT_Y5)/12)+FT_AnnivDays+INT(MOD(AZ54-FT_Y5,12)/FT_Int2)-IF(EDATE(AL54,FT_Y5)&lt;PolicyEff,FT_AnnivDays-1,0))),IF(AV54="PT",IF(AZ54&lt;PT_First,0,1+INT((AZ54-PT_First)/PT_Int)),0)),0))</f>
        <v/>
      </c>
      <c r="BE54" s="16" t="str">
        <f aca="false">IF(AK54=0,"",IF(AT54="FT",IF(BB54&lt;FT_First,0,IF(BB54&lt;FT_Y5,1+INT((BB54-FT_First)/FT_Int1),FT_PreY5+FT_PerYear*INT((BB54-FT_Y5)/12)+FT_AnnivDays+INT(MOD(BB54-FT_Y5,12)/FT_Int2)-IF(EDATE(AL54,FT_Y5)&lt;PolicyEff,FT_AnnivDays-1,0))),IF(AT54="PT",IF(BB54&lt;PT_First,0,1+INT((BB54-PT_First)/PT_Int)),0))+IF(AND(AM54&gt;=2,AO54&lt;=PFYDate),IF(AU54="FT",IF(BC54&lt;FT_First,0,IF(BC54&lt;FT_Y5,1+INT((BC54-FT_First)/FT_Int1),FT_PreY5+FT_PerYear*INT((BC54-FT_Y5)/12)+FT_AnnivDays+INT(MOD(BC54-FT_Y5,12)/FT_Int2)-IF(EDATE(AL54,FT_Y5)&lt;PolicyEff,FT_AnnivDays-1,0))),IF(AU54="PT",IF(BC54&lt;PT_First,0,1+INT((BC54-PT_First)/PT_Int)),0))-IF(AU54="FT",IF(BB54&lt;FT_First,0,IF(BB54&lt;FT_Y5,1+INT((BB54-FT_First)/FT_Int1),FT_PreY5+FT_PerYear*INT((BB54-FT_Y5)/12)+FT_AnnivDays+INT(MOD(BB54-FT_Y5,12)/FT_Int2)-IF(EDATE(AL54,FT_Y5)&lt;PolicyEff,FT_AnnivDays-1,0))),IF(AU54="PT",IF(BB54&lt;PT_First,0,1+INT((BB54-PT_First)/PT_Int)),0)),0)+IF(AND(AM54&gt;=3,AP54&lt;=PFYDate),IF(AV54="FT",IF(BA54&lt;FT_First,0,IF(BA54&lt;FT_Y5,1+INT((BA54-FT_First)/FT_Int1),FT_PreY5+FT_PerYear*INT((BA54-FT_Y5)/12)+FT_AnnivDays+INT(MOD(BA54-FT_Y5,12)/FT_Int2)-IF(EDATE(AL54,FT_Y5)&lt;PolicyEff,FT_AnnivDays-1,0))),IF(AV54="PT",IF(BA54&lt;PT_First,0,1+INT((BA54-PT_First)/PT_Int)),0))-IF(AV54="FT",IF(BC54&lt;FT_First,0,IF(BC54&lt;FT_Y5,1+INT((BC54-FT_First)/FT_Int1),FT_PreY5+FT_PerYear*INT((BC54-FT_Y5)/12)+FT_AnnivDays+INT(MOD(BC54-FT_Y5,12)/FT_Int2)-IF(EDATE(AL54,FT_Y5)&lt;PolicyEff,FT_AnnivDays-1,0))),IF(AV54="PT",IF(BC54&lt;PT_First,0,1+INT((BC54-PT_First)/PT_Int)),0)),0))</f>
        <v/>
      </c>
      <c r="BF54" s="16" t="str">
        <f aca="false">IF(AK54=0,"",IF(AW54="FT",IF(AX54&lt;FT_First,FT_First,IF(AX54&lt;FT_Y5,MIN(FT_Y5,FT_First+FT_Int1*(INT((AX54-FT_First)/FT_Int1)+1)),FT_Y5+12*INT((AX54-FT_Y5)/12)+FT_Int2*(INT(MOD(AX54-FT_Y5,12)/FT_Int2)+1))),IF(AW54="PT",IF(AX54&lt;PT_First,PT_First,PT_First+PT_Int*(INT((AX54-PT_First)/PT_Int)+1)),"")))</f>
        <v/>
      </c>
      <c r="BG54" s="16" t="str">
        <f aca="false">IF(AK54=0,"",IF(NOT(LH_Ready),0,COUNTIFS(INDEX(LH_Data,0,LH_ColFirst),$A54,INDEX(LH_Data,0,LH_ColSur),$B54,INDEX(LH_Data,0,LH_ColCat),BonusCat)))</f>
        <v/>
      </c>
      <c r="BH54" s="16" t="str">
        <f aca="false">IF(AK54=0,"",IF(OR(NOT(LH_Ready),BG54=0),0,SUMPRODUCT(MAX((INDEX(LH_Data,0,LH_ColFirst)=$A54)*(INDEX(LH_Data,0,LH_ColSur)=$B54)*(INDEX(LH_Data,0,LH_ColCat)=BonusCat)*ROW(LH_Data)))))</f>
        <v/>
      </c>
      <c r="BI54" s="16" t="str">
        <f aca="false">IF(AK54=0,"",IF(EOMONTH(AsOfDate,-1)&lt;AL54,-1,12*(YEAR(EOMONTH(AsOfDate,-1))-YEAR(AL54))+MONTH(EOMONTH(AsOfDate,-1))-MONTH(AL54)-IF(DAY(EOMONTH(AsOfDate,-1))&lt;MIN(DAY(AL54),DAY(EOMONTH(EOMONTH(AsOfDate,-1),0))),1,0)))</f>
        <v/>
      </c>
      <c r="BJ54" s="16" t="str">
        <f aca="false">IF(AK54=0,"",IF(OR(AM54&lt;2,AO54&gt;EOMONTH(AsOfDate,-1)),BI54,IF((AO54-1)&lt;AL54,-1,12*(YEAR((AO54-1))-YEAR(AL54))+MONTH((AO54-1))-MONTH(AL54)-IF(DAY((AO54-1))&lt;MIN(DAY(AL54),DAY(EOMONTH((AO54-1),0))),1,0))))</f>
        <v/>
      </c>
      <c r="BK54" s="16" t="str">
        <f aca="false">IF(AK54=0,"",IF(OR(AM54&lt;3,AP54&gt;EOMONTH(AsOfDate,-1)),BI54,IF((AP54-1)&lt;AL54,-1,12*(YEAR((AP54-1))-YEAR(AL54))+MONTH((AP54-1))-MONTH(AL54)-IF(DAY((AP54-1))&lt;MIN(DAY(AL54),DAY(EOMONTH((AP54-1),0))),1,0))))</f>
        <v/>
      </c>
      <c r="BL54" s="16" t="str">
        <f aca="false">IF(AK54=0,"",IF(AT54="FT",IF(BJ54&lt;FT_First,0,IF(BJ54&lt;FT_Y5,1+INT((BJ54-FT_First)/FT_Int1),FT_PreY5+FT_PerYear*INT((BJ54-FT_Y5)/12)+FT_AnnivDays+INT(MOD(BJ54-FT_Y5,12)/FT_Int2)-IF(EDATE(AL54,FT_Y5)&lt;PolicyEff,FT_AnnivDays-1,0))),IF(AT54="PT",IF(BJ54&lt;PT_First,0,1+INT((BJ54-PT_First)/PT_Int)),0))+IF(AND(AM54&gt;=2,AO54&lt;=EOMONTH(AsOfDate,-1)),IF(AU54="FT",IF(BK54&lt;FT_First,0,IF(BK54&lt;FT_Y5,1+INT((BK54-FT_First)/FT_Int1),FT_PreY5+FT_PerYear*INT((BK54-FT_Y5)/12)+FT_AnnivDays+INT(MOD(BK54-FT_Y5,12)/FT_Int2)-IF(EDATE(AL54,FT_Y5)&lt;PolicyEff,FT_AnnivDays-1,0))),IF(AU54="PT",IF(BK54&lt;PT_First,0,1+INT((BK54-PT_First)/PT_Int)),0))-IF(AU54="FT",IF(BJ54&lt;FT_First,0,IF(BJ54&lt;FT_Y5,1+INT((BJ54-FT_First)/FT_Int1),FT_PreY5+FT_PerYear*INT((BJ54-FT_Y5)/12)+FT_AnnivDays+INT(MOD(BJ54-FT_Y5,12)/FT_Int2)-IF(EDATE(AL54,FT_Y5)&lt;PolicyEff,FT_AnnivDays-1,0))),IF(AU54="PT",IF(BJ54&lt;PT_First,0,1+INT((BJ54-PT_First)/PT_Int)),0)),0)+IF(AND(AM54&gt;=3,AP54&lt;=EOMONTH(AsOfDate,-1)),IF(AV54="FT",IF(BI54&lt;FT_First,0,IF(BI54&lt;FT_Y5,1+INT((BI54-FT_First)/FT_Int1),FT_PreY5+FT_PerYear*INT((BI54-FT_Y5)/12)+FT_AnnivDays+INT(MOD(BI54-FT_Y5,12)/FT_Int2)-IF(EDATE(AL54,FT_Y5)&lt;PolicyEff,FT_AnnivDays-1,0))),IF(AV54="PT",IF(BI54&lt;PT_First,0,1+INT((BI54-PT_First)/PT_Int)),0))-IF(AV54="FT",IF(BK54&lt;FT_First,0,IF(BK54&lt;FT_Y5,1+INT((BK54-FT_First)/FT_Int1),FT_PreY5+FT_PerYear*INT((BK54-FT_Y5)/12)+FT_AnnivDays+INT(MOD(BK54-FT_Y5,12)/FT_Int2)-IF(EDATE(AL54,FT_Y5)&lt;PolicyEff,FT_AnnivDays-1,0))),IF(AV54="PT",IF(BK54&lt;PT_First,0,1+INT((BK54-PT_First)/PT_Int)),0)),0))</f>
        <v/>
      </c>
      <c r="BM54" s="16" t="str">
        <f aca="false">IF(AK54=0,"",IF(AW54="FT",IF(AX54&lt;FT_First,"",IF(AX54&lt;FT_Y5,FT_First+FT_Int1*INT((AX54-FT_First)/FT_Int1),FT_Y5+FT_Int2*INT((AX54-FT_Y5)/FT_Int2))),IF(AW54="PT",IF(AX54&lt;PT_First,"",PT_First+PT_Int*INT((AX54-PT_First)/PT_Int)),"")))</f>
        <v/>
      </c>
      <c r="BN54" s="16" t="str">
        <f aca="false">IF(AK54=0,"",IF((SchemeStart-1)&lt;AL54,-1,12*(YEAR((SchemeStart-1))-YEAR(AL54))+MONTH((SchemeStart-1))-MONTH(AL54)-IF(DAY((SchemeStart-1))&lt;MIN(DAY(AL54),DAY(EOMONTH((SchemeStart-1),0))),1,0)))</f>
        <v/>
      </c>
      <c r="BO54" s="16" t="str">
        <f aca="false">IF(AK54=0,"",IF(OR(AM54&lt;2,AO54&gt;(SchemeStart-1)),BN54,IF((AO54-1)&lt;AL54,-1,12*(YEAR((AO54-1))-YEAR(AL54))+MONTH((AO54-1))-MONTH(AL54)-IF(DAY((AO54-1))&lt;MIN(DAY(AL54),DAY(EOMONTH((AO54-1),0))),1,0))))</f>
        <v/>
      </c>
      <c r="BP54" s="16" t="str">
        <f aca="false">IF(AK54=0,"",IF(OR(AM54&lt;3,AP54&gt;(SchemeStart-1)),BN54,IF((AP54-1)&lt;AL54,-1,12*(YEAR((AP54-1))-YEAR(AL54))+MONTH((AP54-1))-MONTH(AL54)-IF(DAY((AP54-1))&lt;MIN(DAY(AL54),DAY(EOMONTH((AP54-1),0))),1,0))))</f>
        <v/>
      </c>
      <c r="BQ54" s="16" t="str">
        <f aca="false">IF(AK54=0,"",IF(AT54="FT",IF(BO54&lt;FT_First,0,IF(BO54&lt;FT_Y5,1+INT((BO54-FT_First)/FT_Int1),FT_PreY5+FT_PerYear*INT((BO54-FT_Y5)/12)+FT_AnnivDays+INT(MOD(BO54-FT_Y5,12)/FT_Int2)-IF(EDATE(AL54,FT_Y5)&lt;PolicyEff,FT_AnnivDays-1,0))),IF(AT54="PT",IF(BO54&lt;PT_First,0,1+INT((BO54-PT_First)/PT_Int)),0))+IF(AND(AM54&gt;=2,AO54&lt;=(SchemeStart-1)),IF(AU54="FT",IF(BP54&lt;FT_First,0,IF(BP54&lt;FT_Y5,1+INT((BP54-FT_First)/FT_Int1),FT_PreY5+FT_PerYear*INT((BP54-FT_Y5)/12)+FT_AnnivDays+INT(MOD(BP54-FT_Y5,12)/FT_Int2)-IF(EDATE(AL54,FT_Y5)&lt;PolicyEff,FT_AnnivDays-1,0))),IF(AU54="PT",IF(BP54&lt;PT_First,0,1+INT((BP54-PT_First)/PT_Int)),0))-IF(AU54="FT",IF(BO54&lt;FT_First,0,IF(BO54&lt;FT_Y5,1+INT((BO54-FT_First)/FT_Int1),FT_PreY5+FT_PerYear*INT((BO54-FT_Y5)/12)+FT_AnnivDays+INT(MOD(BO54-FT_Y5,12)/FT_Int2)-IF(EDATE(AL54,FT_Y5)&lt;PolicyEff,FT_AnnivDays-1,0))),IF(AU54="PT",IF(BO54&lt;PT_First,0,1+INT((BO54-PT_First)/PT_Int)),0)),0)+IF(AND(AM54&gt;=3,AP54&lt;=(SchemeStart-1)),IF(AV54="FT",IF(BN54&lt;FT_First,0,IF(BN54&lt;FT_Y5,1+INT((BN54-FT_First)/FT_Int1),FT_PreY5+FT_PerYear*INT((BN54-FT_Y5)/12)+FT_AnnivDays+INT(MOD(BN54-FT_Y5,12)/FT_Int2)-IF(EDATE(AL54,FT_Y5)&lt;PolicyEff,FT_AnnivDays-1,0))),IF(AV54="PT",IF(BN54&lt;PT_First,0,1+INT((BN54-PT_First)/PT_Int)),0))-IF(AV54="FT",IF(BP54&lt;FT_First,0,IF(BP54&lt;FT_Y5,1+INT((BP54-FT_First)/FT_Int1),FT_PreY5+FT_PerYear*INT((BP54-FT_Y5)/12)+FT_AnnivDays+INT(MOD(BP54-FT_Y5,12)/FT_Int2)-IF(EDATE(AL54,FT_Y5)&lt;PolicyEff,FT_AnnivDays-1,0))),IF(AV54="PT",IF(BP54&lt;PT_First,0,1+INT((BP54-PT_First)/PT_Int)),0)),0))</f>
        <v/>
      </c>
      <c r="BR54" s="0" t="str">
        <f aca="false">IF(LEN($A54&amp;$B54)=0,"",$A54&amp;" "&amp;$B54)</f>
        <v/>
      </c>
    </row>
    <row r="55" customFormat="false" ht="15" hidden="false" customHeight="false" outlineLevel="0" collapsed="false">
      <c r="A55" s="12"/>
      <c r="B55" s="12"/>
      <c r="C55" s="12"/>
      <c r="D55" s="13"/>
      <c r="E55" s="14" t="str">
        <f aca="false">IF(OR(AK55=0,$D55=""),"",DATE(YEAR(AsOfDate)+IF(DATE(YEAR(AsOfDate),MONTH($D55),DAY($D55))&lt;=AsOfDate,1,0),MONTH($D55),DAY($D55)))</f>
        <v/>
      </c>
      <c r="F55" s="13"/>
      <c r="G55" s="13"/>
      <c r="H55" s="13"/>
      <c r="I55" s="13"/>
      <c r="J55" s="13"/>
      <c r="K55" s="14" t="str">
        <f aca="false">IF(AK55=0,"",DATE(YEAR(AsOfDate)+IF(DATE(YEAR(AsOfDate),MONTH(AL55),DAY(AL55))&lt;=AsOfDate,1,0),MONTH(AL55),DAY(AL55)))</f>
        <v/>
      </c>
      <c r="L55" s="15" t="str">
        <f aca="false">IF(AK55=0,"",ROUND((AsOfDate-AL55)/365.25,1))</f>
        <v/>
      </c>
      <c r="M55" s="16" t="str">
        <f aca="false">IF(AK55=0,"",IF(AsOfDate&lt;AL55,"-",DATEDIF(AL55,AsOfDate,"y")&amp;"y "&amp;DATEDIF(AL55,AsOfDate,"ym")&amp;"m "&amp;DATEDIF(AL55,AsOfDate,"md")&amp;"d"))</f>
        <v/>
      </c>
      <c r="N55" s="17" t="str">
        <f aca="false">IF(AK55=0,"",O55*HoursPerDay)</f>
        <v/>
      </c>
      <c r="O55" s="17" t="str">
        <f aca="false">IF(AK55=0,"",MAX(0,BD55-BQ55))</f>
        <v/>
      </c>
      <c r="P55" s="18"/>
      <c r="Q55" s="16" t="str">
        <f aca="false">IF(AK55=0,"",IF(AM55&lt;2,"",AQ55&amp;" to "&amp;AR55&amp;" on "&amp;TEXT(AO55,"dd/mm/yyyy")&amp;IF(AO55&gt;AsOfDate," (future)",IF(AT55=AU55,"",IF(AU55="None"," - STOPPED accruing",IF(AT55="None"," - commencement for Bonus Leave"," - pathway changed"))))&amp;IF(AM55&lt;3,"","; "&amp;AR55&amp;" to "&amp;AS55&amp;" on "&amp;TEXT(AP55,"dd/mm/yyyy")&amp;IF(AP55&gt;AsOfDate," (future)",IF(AU55=AV55,"",IF(AV55="None"," - STOPPED accruing",IF(AU55="None"," - commencement for Bonus Leave"," - pathway changed")))))))</f>
        <v/>
      </c>
      <c r="R55" s="16" t="str">
        <f aca="false">IF(AK55=0,"",IF(AW55="None",IF(O55&gt;0,"No longer accruing","Not eligible - "&amp;IF(AND(OR(ISNUMBER(SEARCH("part",$C55)),UPPER(TRIM($C55))="PT",UPPER(TRIM($C55))="PTE"),Apply2026="No"),"part-time (scheme is full-time only)",IF(AND(OR(ISNUMBER(SEARCH("part",$C55)),UPPER(TRIM($C55))="PT",UPPER(TRIM($C55))="PTE"),$P55&lt;&gt;"",N($P55)&lt;PT_MinHours),"under "&amp;PT_MinHours&amp;" hrs",IF(IF($C55="","",IF(OR(ISNUMBER(SEARCH("full",$C55)),UPPER(TRIM($C55))="FT",UPPER(TRIM($C55))="FTE"),"Full-Time",IF(OR(ISNUMBER(SEARCH("part",$C55)),UPPER(TRIM($C55))="PT",UPPER(TRIM($C55))="PTE"),"Part-Time",IF(OR(ISNUMBER(SEARCH("cas",$C55)),UPPER(TRIM($C55))="CAS"),"Casual","Unknown"))))="Unknown","type not recognised",$C55)))),IF(O55&gt;0,"Yes - Accrual Required","Not yet - from "&amp;TEXT(S55,"dd/mm/yyyy"))))</f>
        <v/>
      </c>
      <c r="S55" s="14" t="str">
        <f aca="false">IF(AK55=0,"",IF(AW55="None","",EDATE(AL55,BF55)))</f>
        <v/>
      </c>
      <c r="T55" s="17" t="str">
        <f aca="false">IF(AK55=0,"",IF(NOT(LH_Ready),"",IF($F55&gt;PFYDate,0,IF(LH_ColPeriod=0,W55-U55+V55,SUMIFS(INDEX(LH_Data,0,LH_ColAcc),INDEX(LH_Data,0,LH_ColFirst),$A55,INDEX(LH_Data,0,LH_ColSur),$B55,INDEX(LH_Data,0,LH_ColCat),BonusCat,INDEX(LH_Data,0,LH_ColPeriod),LH_OpenLabel)*UnitFactor))))</f>
        <v/>
      </c>
      <c r="U55" s="17" t="str">
        <f aca="false">IF(AK55=0,"",IF(NOT(LH_Ready),"",SUMIFS(INDEX(LH_Data,0,LH_ColAcc),INDEX(LH_Data,0,LH_ColFirst),$A55,INDEX(LH_Data,0,LH_ColSur),$B55,INDEX(LH_Data,0,LH_ColCat),BonusCat,INDEX(LH_Data,0,LH_ColStart),"&gt;="&amp;AL55)*UnitFactor))</f>
        <v/>
      </c>
      <c r="V55" s="17" t="str">
        <f aca="false">IF(AK55=0,"",IF(NOT(LH_Ready),"",SUMIFS(INDEX(LH_Data,0,LH_ColTaken),INDEX(LH_Data,0,LH_ColFirst),$A55,INDEX(LH_Data,0,LH_ColSur),$B55,INDEX(LH_Data,0,LH_ColCat),BonusCat,INDEX(LH_Data,0,LH_ColStart),"&gt;="&amp;AL55)*UnitFactor))</f>
        <v/>
      </c>
      <c r="W55" s="17" t="str">
        <f aca="false">IF(AK55=0,"",IF(NOT(LH_Ready),"",IF(BH55=0,0,INDEX(INDEX(LH_Data,0,LH_ColClose),BH55-1)*UnitFactor)))</f>
        <v/>
      </c>
      <c r="X55" s="17" t="str">
        <f aca="false">IF(AK55=0,"",(MAX(0,BD55-BQ55)-MAX(0,BE55-BQ55))*HoursPerDay)</f>
        <v/>
      </c>
      <c r="Y55" s="17" t="str">
        <f aca="false">IF(AK55=0,"",IF(NOT(LH_Ready),"",IF($AI55="Yes",N(AE55)*HoursPerDay-SUMIFS(INDEX(LH_Data,0,LH_ColAcc),INDEX(LH_Data,0,LH_ColFirst),$A55,INDEX(LH_Data,0,LH_ColSur),$B55,INDEX(LH_Data,0,LH_ColCat),BonusCat,INDEX(LH_Data,0,LH_ColStart),"&gt;="&amp;(EOMONTH(AsOfDate,-1)+1),INDEX(LH_Data,0,LH_ColStart),"&lt;="&amp;AsOfDate)*UnitFactor,IF(BG55=0,N55,N55-N(T55)-N(U55)))))</f>
        <v/>
      </c>
      <c r="Z55" s="16" t="str">
        <f aca="false">IF(OR(AK55=0,Y55=""),"",IF(Y55&gt;0,"Yes","No"))</f>
        <v/>
      </c>
      <c r="AA55" s="16" t="str">
        <f aca="false">IF(AK55=0,IF(LEN($A55&amp;$B55)=0,"","FIX INPUT - StartDate missing"),IF(AD55&lt;&gt;"","FIX INPUT - "&amp;AD55,IF(NOT(LH_Ready),"Paste Leave History export (Settings must show YES)",IF(AND($AI55="Yes",Y55&lt;=0),"OK - EH balance accepted to date"&amp;IF(N(AH55)&gt;0," (EH holds "&amp;AH55&amp;" hrs over the scheme)","")&amp;"; next day "&amp;TEXT(S55,"dd mmm yy")&amp;IF(N(AE55)&gt;0," ("&amp;AE55&amp;" day(s) for "&amp;UPPER(TEXT(AsOfDate,"mmm yyyy"))&amp;" already in EH)",""),IF(Y55&gt;0,"ACCRUE "&amp;ROUND(Y55,2)&amp;" hrs ("&amp;ROUND(Y55/HoursPerDay,2)&amp;" days): "&amp;IF(N(AE55)&gt;0,AE55&amp;" day(s) for "&amp;UPPER(TEXT(AsOfDate,"mmm yyyy"))&amp;" (milestone "&amp;UPPER(TEXT(AF55,"dd mmm yy"))&amp;")"&amp;IF(Y55/HoursPerDay&gt;AE55+0.001," + "&amp;ROUND(Y55/HoursPerDay-AE55,2)&amp;" day(s) catch-up from earlier months",""),"all catch-up from earlier months, nothing new this month")&amp;IF(BG55=0,"; no Bonus Leave in EH yet",""),IF(Y55&lt;0,"CHECK - EH accrued "&amp;ROUND(-Y55,2)&amp;" hrs more than policy since commencement",IF(N(W55)&gt;O55*HoursPerDay+0.01,"CHECK - EH balance "&amp;ROUND(W55-O55*HoursPerDay,2)&amp;" hrs more than policy entitlement",IF(O55&gt;0,"OK - nothing to add"&amp;IF(N(AE55)&gt;0," ("&amp;AE55&amp;" day(s) for "&amp;UPPER(TEXT(AsOfDate,"mmm yyyy"))&amp;" already in EH)",""),IF(AW55="None",R55,"Not yet - first day on "&amp;TEXT(S55,"dd/mm/yyyy"))))))))))</f>
        <v/>
      </c>
      <c r="AB55" s="17" t="str">
        <f aca="false">IF(OR(AK55=0,T55=""),"",MAX(0,BE55-BQ55)*HoursPerDay-T55)</f>
        <v/>
      </c>
      <c r="AC55" s="16" t="str">
        <f aca="false">IF(AK55=0,"",BG55)</f>
        <v/>
      </c>
      <c r="AD55" s="16" t="str">
        <f aca="false">IF(AK55=0,"",TRIM(IF(OR(ISTEXT($F55),ISTEXT($H55),ISTEXT($I55),ISTEXT($G55),ISTEXT($J55),ISTEXT($D55)),"A date is typed as text - retype it as dd/mm/yyyy. ","")&amp;IF(IF($C55="","",IF(OR(ISNUMBER(SEARCH("full",$C55)),UPPER(TRIM($C55))="FT",UPPER(TRIM($C55))="FTE"),"Full-Time",IF(OR(ISNUMBER(SEARCH("part",$C55)),UPPER(TRIM($C55))="PT",UPPER(TRIM($C55))="PTE"),"Part-Time",IF(OR(ISNUMBER(SEARCH("cas",$C55)),UPPER(TRIM($C55))="CAS"),"Casual","Unknown"))))="Unknown","EmploymentType not recognised - use Full-Time, Part-Time or Casual. ","")&amp;IF(AND(AM55&gt;=1,IF(AM55&gt;=3,AS55,IF(AM55=2,AR55,AQ55))&lt;&gt;IF($C55="","",IF(OR(ISNUMBER(SEARCH("full",$C55)),UPPER(TRIM($C55))="FT",UPPER(TRIM($C55))="FTE"),"Full-Time",IF(OR(ISNUMBER(SEARCH("part",$C55)),UPPER(TRIM($C55))="PT",UPPER(TRIM($C55))="PTE"),"Part-Time",IF(OR(ISNUMBER(SEARCH("cas",$C55)),UPPER(TRIM($C55))="CAS"),"Casual","Unknown"))))),"EmploymentType does not match latest start date ("&amp;IF(AM55&gt;=3,AS55,IF(AM55=2,AR55,AQ55))&amp;"). ","")&amp;IF(AND(AM55&gt;=1,AN55&lt;&gt;$F55),"Earliest type date should equal StartDate. ","")&amp;IF(AND(AM55&gt;=2,AN55=AO55),"Two types start on the same date. ","")&amp;IF(AND(OR(ISNUMBER(SEARCH("part",$C55)),UPPER(TRIM($C55))="PT",UPPER(TRIM($C55))="PTE"),$P55=""),"Part-time: enter PT Hrs/Week (blank = 24+). ","")))</f>
        <v/>
      </c>
      <c r="AE55" s="17" t="str">
        <f aca="false">IF(AK55=0,"",O55-MAX(0,BL55-BQ55))</f>
        <v/>
      </c>
      <c r="AF55" s="14" t="str">
        <f aca="false">IF(OR(AK55=0,AE55="",N(AE55)=0,BM55=""),"",EDATE(AL55,BM55))</f>
        <v/>
      </c>
      <c r="AG55" s="17" t="str">
        <f aca="false">IF(AK55=0,"",MIN(BD55,BQ55))</f>
        <v/>
      </c>
      <c r="AH55" s="17" t="str">
        <f aca="false">IF(AK55=0,"",IF(NOT(LH_Ready),"",IF(BG55=0,0,MAX(0,ROUND(N(T55)+N(U55)-N55,2)))))</f>
        <v/>
      </c>
      <c r="AI55" s="12"/>
      <c r="AJ55" s="12"/>
      <c r="AK55" s="16" t="n">
        <f aca="false">IF(OR(LEN($A55&amp;$B55)=0,$F55=""),0,1)</f>
        <v>0</v>
      </c>
      <c r="AL55" s="14" t="str">
        <f aca="false">IF(AK55=0,"",IF(PreSchemeCounts="No",MAX(SchemeStart,IF($J55&lt;&gt;"",$J55,IF(OR(CasualCounts="Yes",COUNT($G55:$I55)=0),$F55,IF(Apply2026="No",IF($I55="",$F55,$I55),IF(COUNT($H55:$I55)=0,$F55,MIN($H55:$I55)))))),IF($J55&lt;&gt;"",$J55,IF(OR(CasualCounts="Yes",COUNT($G55:$I55)=0),$F55,IF(Apply2026="No",IF($I55="",$F55,$I55),IF(COUNT($H55:$I55)=0,$F55,MIN($H55:$I55)))))))</f>
        <v/>
      </c>
      <c r="AM55" s="16" t="str">
        <f aca="false">IF(AK55=0,"",COUNT($G55:$I55))</f>
        <v/>
      </c>
      <c r="AN55" s="14" t="str">
        <f aca="false">IF(AK55=0,"",IFERROR(SMALL($G55:$I55,1),""))</f>
        <v/>
      </c>
      <c r="AO55" s="14" t="str">
        <f aca="false">IF(AK55=0,"",IFERROR(SMALL($G55:$I55,2),""))</f>
        <v/>
      </c>
      <c r="AP55" s="14" t="str">
        <f aca="false">IF(AK55=0,"",IFERROR(SMALL($G55:$I55,3),""))</f>
        <v/>
      </c>
      <c r="AQ55" s="16" t="str">
        <f aca="false">IF(AK55=0,"",IF(AN55="","",IF(AN55=$H55,"Part-Time",IF(AN55=$I55,"Full-Time","Casual"))))</f>
        <v/>
      </c>
      <c r="AR55" s="16" t="str">
        <f aca="false">IF(AK55=0,"",IF(AO55="","",IF(AO55=$H55,"Part-Time",IF(AO55=$I55,"Full-Time","Casual"))))</f>
        <v/>
      </c>
      <c r="AS55" s="16" t="str">
        <f aca="false">IF(AK55=0,"",IF(AP55="","",IF(AP55=$H55,"Part-Time",IF(AP55=$I55,"Full-Time","Casual"))))</f>
        <v/>
      </c>
      <c r="AT55" s="16" t="str">
        <f aca="false">IF(AK55=0,"",IF(AM55=0,IF(OR(ISNUMBER(SEARCH("full",$C55)),UPPER(TRIM($C55))="FT",UPPER(TRIM($C55))="FTE"),"FT",IF(AND(OR(ISNUMBER(SEARCH("part",$C55)),UPPER(TRIM($C55))="PT",UPPER(TRIM($C55))="PTE"),Apply2026="Yes",OR($P55="",N($P55)&gt;=PT_MinHours)),"PT","None")),IF(OR(ISNUMBER(SEARCH("full",AQ55)),UPPER(TRIM(AQ55))="FT",UPPER(TRIM(AQ55))="FTE"),"FT",IF(AND(OR(ISNUMBER(SEARCH("part",AQ55)),UPPER(TRIM(AQ55))="PT",UPPER(TRIM(AQ55))="PTE"),Apply2026="Yes",OR($P55="",N($P55)&gt;=PT_MinHours)),"PT","None"))))</f>
        <v/>
      </c>
      <c r="AU55" s="16" t="str">
        <f aca="false">IF(AK55=0,"",IF(AM55&lt;2,"",IF(OR(ISNUMBER(SEARCH("full",AR55)),UPPER(TRIM(AR55))="FT",UPPER(TRIM(AR55))="FTE"),"FT",IF(AND(OR(ISNUMBER(SEARCH("part",AR55)),UPPER(TRIM(AR55))="PT",UPPER(TRIM(AR55))="PTE"),Apply2026="Yes",OR($P55="",N($P55)&gt;=PT_MinHours)),"PT","None"))))</f>
        <v/>
      </c>
      <c r="AV55" s="16" t="str">
        <f aca="false">IF(AK55=0,"",IF(AM55&lt;3,"",IF(OR(ISNUMBER(SEARCH("full",AS55)),UPPER(TRIM(AS55))="FT",UPPER(TRIM(AS55))="FTE"),"FT",IF(AND(OR(ISNUMBER(SEARCH("part",AS55)),UPPER(TRIM(AS55))="PT",UPPER(TRIM(AS55))="PTE"),Apply2026="Yes",OR($P55="",N($P55)&gt;=PT_MinHours)),"PT","None"))))</f>
        <v/>
      </c>
      <c r="AW55" s="16" t="str">
        <f aca="false">IF(AK55=0,"",IF(AND(AM55&gt;=3,AP55&lt;=AsOfDate),AV55,IF(AND(AM55&gt;=2,AO55&lt;=AsOfDate),AU55,AT55)))</f>
        <v/>
      </c>
      <c r="AX55" s="16" t="str">
        <f aca="false">IF(AK55=0,"",IF(AsOfDate&lt;AL55,-1,12*(YEAR(AsOfDate)-YEAR(AL55))+MONTH(AsOfDate)-MONTH(AL55)-IF(DAY(AsOfDate)&lt;MIN(DAY(AL55),DAY(EOMONTH(AsOfDate,0))),1,0)))</f>
        <v/>
      </c>
      <c r="AY55" s="16" t="str">
        <f aca="false">IF(AK55=0,"",IF(OR(AM55&lt;2,AO55&gt;AsOfDate),AX55,IF((AO55-1)&lt;AL55,-1,12*(YEAR((AO55-1))-YEAR(AL55))+MONTH((AO55-1))-MONTH(AL55)-IF(DAY((AO55-1))&lt;MIN(DAY(AL55),DAY(EOMONTH((AO55-1),0))),1,0))))</f>
        <v/>
      </c>
      <c r="AZ55" s="16" t="str">
        <f aca="false">IF(AK55=0,"",IF(OR(AM55&lt;3,AP55&gt;AsOfDate),AX55,IF((AP55-1)&lt;AL55,-1,12*(YEAR((AP55-1))-YEAR(AL55))+MONTH((AP55-1))-MONTH(AL55)-IF(DAY((AP55-1))&lt;MIN(DAY(AL55),DAY(EOMONTH((AP55-1),0))),1,0))))</f>
        <v/>
      </c>
      <c r="BA55" s="16" t="str">
        <f aca="false">IF(AK55=0,"",IF(PFYDate&lt;AL55,-1,12*(YEAR(PFYDate)-YEAR(AL55))+MONTH(PFYDate)-MONTH(AL55)-IF(DAY(PFYDate)&lt;MIN(DAY(AL55),DAY(EOMONTH(PFYDate,0))),1,0)))</f>
        <v/>
      </c>
      <c r="BB55" s="16" t="str">
        <f aca="false">IF(AK55=0,"",IF(OR(AM55&lt;2,AO55&gt;PFYDate),BA55,IF((AO55-1)&lt;AL55,-1,12*(YEAR((AO55-1))-YEAR(AL55))+MONTH((AO55-1))-MONTH(AL55)-IF(DAY((AO55-1))&lt;MIN(DAY(AL55),DAY(EOMONTH((AO55-1),0))),1,0))))</f>
        <v/>
      </c>
      <c r="BC55" s="16" t="str">
        <f aca="false">IF(AK55=0,"",IF(OR(AM55&lt;3,AP55&gt;PFYDate),BA55,IF((AP55-1)&lt;AL55,-1,12*(YEAR((AP55-1))-YEAR(AL55))+MONTH((AP55-1))-MONTH(AL55)-IF(DAY((AP55-1))&lt;MIN(DAY(AL55),DAY(EOMONTH((AP55-1),0))),1,0))))</f>
        <v/>
      </c>
      <c r="BD55" s="16" t="str">
        <f aca="false">IF(AK55=0,"",IF(AT55="FT",IF(AY55&lt;FT_First,0,IF(AY55&lt;FT_Y5,1+INT((AY55-FT_First)/FT_Int1),FT_PreY5+FT_PerYear*INT((AY55-FT_Y5)/12)+FT_AnnivDays+INT(MOD(AY55-FT_Y5,12)/FT_Int2)-IF(EDATE(AL55,FT_Y5)&lt;PolicyEff,FT_AnnivDays-1,0))),IF(AT55="PT",IF(AY55&lt;PT_First,0,1+INT((AY55-PT_First)/PT_Int)),0))+IF(AND(AM55&gt;=2,AO55&lt;=AsOfDate),IF(AU55="FT",IF(AZ55&lt;FT_First,0,IF(AZ55&lt;FT_Y5,1+INT((AZ55-FT_First)/FT_Int1),FT_PreY5+FT_PerYear*INT((AZ55-FT_Y5)/12)+FT_AnnivDays+INT(MOD(AZ55-FT_Y5,12)/FT_Int2)-IF(EDATE(AL55,FT_Y5)&lt;PolicyEff,FT_AnnivDays-1,0))),IF(AU55="PT",IF(AZ55&lt;PT_First,0,1+INT((AZ55-PT_First)/PT_Int)),0))-IF(AU55="FT",IF(AY55&lt;FT_First,0,IF(AY55&lt;FT_Y5,1+INT((AY55-FT_First)/FT_Int1),FT_PreY5+FT_PerYear*INT((AY55-FT_Y5)/12)+FT_AnnivDays+INT(MOD(AY55-FT_Y5,12)/FT_Int2)-IF(EDATE(AL55,FT_Y5)&lt;PolicyEff,FT_AnnivDays-1,0))),IF(AU55="PT",IF(AY55&lt;PT_First,0,1+INT((AY55-PT_First)/PT_Int)),0)),0)+IF(AND(AM55&gt;=3,AP55&lt;=AsOfDate),IF(AV55="FT",IF(AX55&lt;FT_First,0,IF(AX55&lt;FT_Y5,1+INT((AX55-FT_First)/FT_Int1),FT_PreY5+FT_PerYear*INT((AX55-FT_Y5)/12)+FT_AnnivDays+INT(MOD(AX55-FT_Y5,12)/FT_Int2)-IF(EDATE(AL55,FT_Y5)&lt;PolicyEff,FT_AnnivDays-1,0))),IF(AV55="PT",IF(AX55&lt;PT_First,0,1+INT((AX55-PT_First)/PT_Int)),0))-IF(AV55="FT",IF(AZ55&lt;FT_First,0,IF(AZ55&lt;FT_Y5,1+INT((AZ55-FT_First)/FT_Int1),FT_PreY5+FT_PerYear*INT((AZ55-FT_Y5)/12)+FT_AnnivDays+INT(MOD(AZ55-FT_Y5,12)/FT_Int2)-IF(EDATE(AL55,FT_Y5)&lt;PolicyEff,FT_AnnivDays-1,0))),IF(AV55="PT",IF(AZ55&lt;PT_First,0,1+INT((AZ55-PT_First)/PT_Int)),0)),0))</f>
        <v/>
      </c>
      <c r="BE55" s="16" t="str">
        <f aca="false">IF(AK55=0,"",IF(AT55="FT",IF(BB55&lt;FT_First,0,IF(BB55&lt;FT_Y5,1+INT((BB55-FT_First)/FT_Int1),FT_PreY5+FT_PerYear*INT((BB55-FT_Y5)/12)+FT_AnnivDays+INT(MOD(BB55-FT_Y5,12)/FT_Int2)-IF(EDATE(AL55,FT_Y5)&lt;PolicyEff,FT_AnnivDays-1,0))),IF(AT55="PT",IF(BB55&lt;PT_First,0,1+INT((BB55-PT_First)/PT_Int)),0))+IF(AND(AM55&gt;=2,AO55&lt;=PFYDate),IF(AU55="FT",IF(BC55&lt;FT_First,0,IF(BC55&lt;FT_Y5,1+INT((BC55-FT_First)/FT_Int1),FT_PreY5+FT_PerYear*INT((BC55-FT_Y5)/12)+FT_AnnivDays+INT(MOD(BC55-FT_Y5,12)/FT_Int2)-IF(EDATE(AL55,FT_Y5)&lt;PolicyEff,FT_AnnivDays-1,0))),IF(AU55="PT",IF(BC55&lt;PT_First,0,1+INT((BC55-PT_First)/PT_Int)),0))-IF(AU55="FT",IF(BB55&lt;FT_First,0,IF(BB55&lt;FT_Y5,1+INT((BB55-FT_First)/FT_Int1),FT_PreY5+FT_PerYear*INT((BB55-FT_Y5)/12)+FT_AnnivDays+INT(MOD(BB55-FT_Y5,12)/FT_Int2)-IF(EDATE(AL55,FT_Y5)&lt;PolicyEff,FT_AnnivDays-1,0))),IF(AU55="PT",IF(BB55&lt;PT_First,0,1+INT((BB55-PT_First)/PT_Int)),0)),0)+IF(AND(AM55&gt;=3,AP55&lt;=PFYDate),IF(AV55="FT",IF(BA55&lt;FT_First,0,IF(BA55&lt;FT_Y5,1+INT((BA55-FT_First)/FT_Int1),FT_PreY5+FT_PerYear*INT((BA55-FT_Y5)/12)+FT_AnnivDays+INT(MOD(BA55-FT_Y5,12)/FT_Int2)-IF(EDATE(AL55,FT_Y5)&lt;PolicyEff,FT_AnnivDays-1,0))),IF(AV55="PT",IF(BA55&lt;PT_First,0,1+INT((BA55-PT_First)/PT_Int)),0))-IF(AV55="FT",IF(BC55&lt;FT_First,0,IF(BC55&lt;FT_Y5,1+INT((BC55-FT_First)/FT_Int1),FT_PreY5+FT_PerYear*INT((BC55-FT_Y5)/12)+FT_AnnivDays+INT(MOD(BC55-FT_Y5,12)/FT_Int2)-IF(EDATE(AL55,FT_Y5)&lt;PolicyEff,FT_AnnivDays-1,0))),IF(AV55="PT",IF(BC55&lt;PT_First,0,1+INT((BC55-PT_First)/PT_Int)),0)),0))</f>
        <v/>
      </c>
      <c r="BF55" s="16" t="str">
        <f aca="false">IF(AK55=0,"",IF(AW55="FT",IF(AX55&lt;FT_First,FT_First,IF(AX55&lt;FT_Y5,MIN(FT_Y5,FT_First+FT_Int1*(INT((AX55-FT_First)/FT_Int1)+1)),FT_Y5+12*INT((AX55-FT_Y5)/12)+FT_Int2*(INT(MOD(AX55-FT_Y5,12)/FT_Int2)+1))),IF(AW55="PT",IF(AX55&lt;PT_First,PT_First,PT_First+PT_Int*(INT((AX55-PT_First)/PT_Int)+1)),"")))</f>
        <v/>
      </c>
      <c r="BG55" s="16" t="str">
        <f aca="false">IF(AK55=0,"",IF(NOT(LH_Ready),0,COUNTIFS(INDEX(LH_Data,0,LH_ColFirst),$A55,INDEX(LH_Data,0,LH_ColSur),$B55,INDEX(LH_Data,0,LH_ColCat),BonusCat)))</f>
        <v/>
      </c>
      <c r="BH55" s="16" t="str">
        <f aca="false">IF(AK55=0,"",IF(OR(NOT(LH_Ready),BG55=0),0,SUMPRODUCT(MAX((INDEX(LH_Data,0,LH_ColFirst)=$A55)*(INDEX(LH_Data,0,LH_ColSur)=$B55)*(INDEX(LH_Data,0,LH_ColCat)=BonusCat)*ROW(LH_Data)))))</f>
        <v/>
      </c>
      <c r="BI55" s="16" t="str">
        <f aca="false">IF(AK55=0,"",IF(EOMONTH(AsOfDate,-1)&lt;AL55,-1,12*(YEAR(EOMONTH(AsOfDate,-1))-YEAR(AL55))+MONTH(EOMONTH(AsOfDate,-1))-MONTH(AL55)-IF(DAY(EOMONTH(AsOfDate,-1))&lt;MIN(DAY(AL55),DAY(EOMONTH(EOMONTH(AsOfDate,-1),0))),1,0)))</f>
        <v/>
      </c>
      <c r="BJ55" s="16" t="str">
        <f aca="false">IF(AK55=0,"",IF(OR(AM55&lt;2,AO55&gt;EOMONTH(AsOfDate,-1)),BI55,IF((AO55-1)&lt;AL55,-1,12*(YEAR((AO55-1))-YEAR(AL55))+MONTH((AO55-1))-MONTH(AL55)-IF(DAY((AO55-1))&lt;MIN(DAY(AL55),DAY(EOMONTH((AO55-1),0))),1,0))))</f>
        <v/>
      </c>
      <c r="BK55" s="16" t="str">
        <f aca="false">IF(AK55=0,"",IF(OR(AM55&lt;3,AP55&gt;EOMONTH(AsOfDate,-1)),BI55,IF((AP55-1)&lt;AL55,-1,12*(YEAR((AP55-1))-YEAR(AL55))+MONTH((AP55-1))-MONTH(AL55)-IF(DAY((AP55-1))&lt;MIN(DAY(AL55),DAY(EOMONTH((AP55-1),0))),1,0))))</f>
        <v/>
      </c>
      <c r="BL55" s="16" t="str">
        <f aca="false">IF(AK55=0,"",IF(AT55="FT",IF(BJ55&lt;FT_First,0,IF(BJ55&lt;FT_Y5,1+INT((BJ55-FT_First)/FT_Int1),FT_PreY5+FT_PerYear*INT((BJ55-FT_Y5)/12)+FT_AnnivDays+INT(MOD(BJ55-FT_Y5,12)/FT_Int2)-IF(EDATE(AL55,FT_Y5)&lt;PolicyEff,FT_AnnivDays-1,0))),IF(AT55="PT",IF(BJ55&lt;PT_First,0,1+INT((BJ55-PT_First)/PT_Int)),0))+IF(AND(AM55&gt;=2,AO55&lt;=EOMONTH(AsOfDate,-1)),IF(AU55="FT",IF(BK55&lt;FT_First,0,IF(BK55&lt;FT_Y5,1+INT((BK55-FT_First)/FT_Int1),FT_PreY5+FT_PerYear*INT((BK55-FT_Y5)/12)+FT_AnnivDays+INT(MOD(BK55-FT_Y5,12)/FT_Int2)-IF(EDATE(AL55,FT_Y5)&lt;PolicyEff,FT_AnnivDays-1,0))),IF(AU55="PT",IF(BK55&lt;PT_First,0,1+INT((BK55-PT_First)/PT_Int)),0))-IF(AU55="FT",IF(BJ55&lt;FT_First,0,IF(BJ55&lt;FT_Y5,1+INT((BJ55-FT_First)/FT_Int1),FT_PreY5+FT_PerYear*INT((BJ55-FT_Y5)/12)+FT_AnnivDays+INT(MOD(BJ55-FT_Y5,12)/FT_Int2)-IF(EDATE(AL55,FT_Y5)&lt;PolicyEff,FT_AnnivDays-1,0))),IF(AU55="PT",IF(BJ55&lt;PT_First,0,1+INT((BJ55-PT_First)/PT_Int)),0)),0)+IF(AND(AM55&gt;=3,AP55&lt;=EOMONTH(AsOfDate,-1)),IF(AV55="FT",IF(BI55&lt;FT_First,0,IF(BI55&lt;FT_Y5,1+INT((BI55-FT_First)/FT_Int1),FT_PreY5+FT_PerYear*INT((BI55-FT_Y5)/12)+FT_AnnivDays+INT(MOD(BI55-FT_Y5,12)/FT_Int2)-IF(EDATE(AL55,FT_Y5)&lt;PolicyEff,FT_AnnivDays-1,0))),IF(AV55="PT",IF(BI55&lt;PT_First,0,1+INT((BI55-PT_First)/PT_Int)),0))-IF(AV55="FT",IF(BK55&lt;FT_First,0,IF(BK55&lt;FT_Y5,1+INT((BK55-FT_First)/FT_Int1),FT_PreY5+FT_PerYear*INT((BK55-FT_Y5)/12)+FT_AnnivDays+INT(MOD(BK55-FT_Y5,12)/FT_Int2)-IF(EDATE(AL55,FT_Y5)&lt;PolicyEff,FT_AnnivDays-1,0))),IF(AV55="PT",IF(BK55&lt;PT_First,0,1+INT((BK55-PT_First)/PT_Int)),0)),0))</f>
        <v/>
      </c>
      <c r="BM55" s="16" t="str">
        <f aca="false">IF(AK55=0,"",IF(AW55="FT",IF(AX55&lt;FT_First,"",IF(AX55&lt;FT_Y5,FT_First+FT_Int1*INT((AX55-FT_First)/FT_Int1),FT_Y5+FT_Int2*INT((AX55-FT_Y5)/FT_Int2))),IF(AW55="PT",IF(AX55&lt;PT_First,"",PT_First+PT_Int*INT((AX55-PT_First)/PT_Int)),"")))</f>
        <v/>
      </c>
      <c r="BN55" s="16" t="str">
        <f aca="false">IF(AK55=0,"",IF((SchemeStart-1)&lt;AL55,-1,12*(YEAR((SchemeStart-1))-YEAR(AL55))+MONTH((SchemeStart-1))-MONTH(AL55)-IF(DAY((SchemeStart-1))&lt;MIN(DAY(AL55),DAY(EOMONTH((SchemeStart-1),0))),1,0)))</f>
        <v/>
      </c>
      <c r="BO55" s="16" t="str">
        <f aca="false">IF(AK55=0,"",IF(OR(AM55&lt;2,AO55&gt;(SchemeStart-1)),BN55,IF((AO55-1)&lt;AL55,-1,12*(YEAR((AO55-1))-YEAR(AL55))+MONTH((AO55-1))-MONTH(AL55)-IF(DAY((AO55-1))&lt;MIN(DAY(AL55),DAY(EOMONTH((AO55-1),0))),1,0))))</f>
        <v/>
      </c>
      <c r="BP55" s="16" t="str">
        <f aca="false">IF(AK55=0,"",IF(OR(AM55&lt;3,AP55&gt;(SchemeStart-1)),BN55,IF((AP55-1)&lt;AL55,-1,12*(YEAR((AP55-1))-YEAR(AL55))+MONTH((AP55-1))-MONTH(AL55)-IF(DAY((AP55-1))&lt;MIN(DAY(AL55),DAY(EOMONTH((AP55-1),0))),1,0))))</f>
        <v/>
      </c>
      <c r="BQ55" s="16" t="str">
        <f aca="false">IF(AK55=0,"",IF(AT55="FT",IF(BO55&lt;FT_First,0,IF(BO55&lt;FT_Y5,1+INT((BO55-FT_First)/FT_Int1),FT_PreY5+FT_PerYear*INT((BO55-FT_Y5)/12)+FT_AnnivDays+INT(MOD(BO55-FT_Y5,12)/FT_Int2)-IF(EDATE(AL55,FT_Y5)&lt;PolicyEff,FT_AnnivDays-1,0))),IF(AT55="PT",IF(BO55&lt;PT_First,0,1+INT((BO55-PT_First)/PT_Int)),0))+IF(AND(AM55&gt;=2,AO55&lt;=(SchemeStart-1)),IF(AU55="FT",IF(BP55&lt;FT_First,0,IF(BP55&lt;FT_Y5,1+INT((BP55-FT_First)/FT_Int1),FT_PreY5+FT_PerYear*INT((BP55-FT_Y5)/12)+FT_AnnivDays+INT(MOD(BP55-FT_Y5,12)/FT_Int2)-IF(EDATE(AL55,FT_Y5)&lt;PolicyEff,FT_AnnivDays-1,0))),IF(AU55="PT",IF(BP55&lt;PT_First,0,1+INT((BP55-PT_First)/PT_Int)),0))-IF(AU55="FT",IF(BO55&lt;FT_First,0,IF(BO55&lt;FT_Y5,1+INT((BO55-FT_First)/FT_Int1),FT_PreY5+FT_PerYear*INT((BO55-FT_Y5)/12)+FT_AnnivDays+INT(MOD(BO55-FT_Y5,12)/FT_Int2)-IF(EDATE(AL55,FT_Y5)&lt;PolicyEff,FT_AnnivDays-1,0))),IF(AU55="PT",IF(BO55&lt;PT_First,0,1+INT((BO55-PT_First)/PT_Int)),0)),0)+IF(AND(AM55&gt;=3,AP55&lt;=(SchemeStart-1)),IF(AV55="FT",IF(BN55&lt;FT_First,0,IF(BN55&lt;FT_Y5,1+INT((BN55-FT_First)/FT_Int1),FT_PreY5+FT_PerYear*INT((BN55-FT_Y5)/12)+FT_AnnivDays+INT(MOD(BN55-FT_Y5,12)/FT_Int2)-IF(EDATE(AL55,FT_Y5)&lt;PolicyEff,FT_AnnivDays-1,0))),IF(AV55="PT",IF(BN55&lt;PT_First,0,1+INT((BN55-PT_First)/PT_Int)),0))-IF(AV55="FT",IF(BP55&lt;FT_First,0,IF(BP55&lt;FT_Y5,1+INT((BP55-FT_First)/FT_Int1),FT_PreY5+FT_PerYear*INT((BP55-FT_Y5)/12)+FT_AnnivDays+INT(MOD(BP55-FT_Y5,12)/FT_Int2)-IF(EDATE(AL55,FT_Y5)&lt;PolicyEff,FT_AnnivDays-1,0))),IF(AV55="PT",IF(BP55&lt;PT_First,0,1+INT((BP55-PT_First)/PT_Int)),0)),0))</f>
        <v/>
      </c>
      <c r="BR55" s="0" t="str">
        <f aca="false">IF(LEN($A55&amp;$B55)=0,"",$A55&amp;" "&amp;$B55)</f>
        <v/>
      </c>
    </row>
    <row r="56" customFormat="false" ht="15" hidden="false" customHeight="false" outlineLevel="0" collapsed="false">
      <c r="A56" s="12"/>
      <c r="B56" s="12"/>
      <c r="C56" s="12"/>
      <c r="D56" s="13"/>
      <c r="E56" s="14" t="str">
        <f aca="false">IF(OR(AK56=0,$D56=""),"",DATE(YEAR(AsOfDate)+IF(DATE(YEAR(AsOfDate),MONTH($D56),DAY($D56))&lt;=AsOfDate,1,0),MONTH($D56),DAY($D56)))</f>
        <v/>
      </c>
      <c r="F56" s="13"/>
      <c r="G56" s="13"/>
      <c r="H56" s="13"/>
      <c r="I56" s="13"/>
      <c r="J56" s="13"/>
      <c r="K56" s="14" t="str">
        <f aca="false">IF(AK56=0,"",DATE(YEAR(AsOfDate)+IF(DATE(YEAR(AsOfDate),MONTH(AL56),DAY(AL56))&lt;=AsOfDate,1,0),MONTH(AL56),DAY(AL56)))</f>
        <v/>
      </c>
      <c r="L56" s="15" t="str">
        <f aca="false">IF(AK56=0,"",ROUND((AsOfDate-AL56)/365.25,1))</f>
        <v/>
      </c>
      <c r="M56" s="16" t="str">
        <f aca="false">IF(AK56=0,"",IF(AsOfDate&lt;AL56,"-",DATEDIF(AL56,AsOfDate,"y")&amp;"y "&amp;DATEDIF(AL56,AsOfDate,"ym")&amp;"m "&amp;DATEDIF(AL56,AsOfDate,"md")&amp;"d"))</f>
        <v/>
      </c>
      <c r="N56" s="17" t="str">
        <f aca="false">IF(AK56=0,"",O56*HoursPerDay)</f>
        <v/>
      </c>
      <c r="O56" s="17" t="str">
        <f aca="false">IF(AK56=0,"",MAX(0,BD56-BQ56))</f>
        <v/>
      </c>
      <c r="P56" s="18"/>
      <c r="Q56" s="16" t="str">
        <f aca="false">IF(AK56=0,"",IF(AM56&lt;2,"",AQ56&amp;" to "&amp;AR56&amp;" on "&amp;TEXT(AO56,"dd/mm/yyyy")&amp;IF(AO56&gt;AsOfDate," (future)",IF(AT56=AU56,"",IF(AU56="None"," - STOPPED accruing",IF(AT56="None"," - commencement for Bonus Leave"," - pathway changed"))))&amp;IF(AM56&lt;3,"","; "&amp;AR56&amp;" to "&amp;AS56&amp;" on "&amp;TEXT(AP56,"dd/mm/yyyy")&amp;IF(AP56&gt;AsOfDate," (future)",IF(AU56=AV56,"",IF(AV56="None"," - STOPPED accruing",IF(AU56="None"," - commencement for Bonus Leave"," - pathway changed")))))))</f>
        <v/>
      </c>
      <c r="R56" s="16" t="str">
        <f aca="false">IF(AK56=0,"",IF(AW56="None",IF(O56&gt;0,"No longer accruing","Not eligible - "&amp;IF(AND(OR(ISNUMBER(SEARCH("part",$C56)),UPPER(TRIM($C56))="PT",UPPER(TRIM($C56))="PTE"),Apply2026="No"),"part-time (scheme is full-time only)",IF(AND(OR(ISNUMBER(SEARCH("part",$C56)),UPPER(TRIM($C56))="PT",UPPER(TRIM($C56))="PTE"),$P56&lt;&gt;"",N($P56)&lt;PT_MinHours),"under "&amp;PT_MinHours&amp;" hrs",IF(IF($C56="","",IF(OR(ISNUMBER(SEARCH("full",$C56)),UPPER(TRIM($C56))="FT",UPPER(TRIM($C56))="FTE"),"Full-Time",IF(OR(ISNUMBER(SEARCH("part",$C56)),UPPER(TRIM($C56))="PT",UPPER(TRIM($C56))="PTE"),"Part-Time",IF(OR(ISNUMBER(SEARCH("cas",$C56)),UPPER(TRIM($C56))="CAS"),"Casual","Unknown"))))="Unknown","type not recognised",$C56)))),IF(O56&gt;0,"Yes - Accrual Required","Not yet - from "&amp;TEXT(S56,"dd/mm/yyyy"))))</f>
        <v/>
      </c>
      <c r="S56" s="14" t="str">
        <f aca="false">IF(AK56=0,"",IF(AW56="None","",EDATE(AL56,BF56)))</f>
        <v/>
      </c>
      <c r="T56" s="17" t="str">
        <f aca="false">IF(AK56=0,"",IF(NOT(LH_Ready),"",IF($F56&gt;PFYDate,0,IF(LH_ColPeriod=0,W56-U56+V56,SUMIFS(INDEX(LH_Data,0,LH_ColAcc),INDEX(LH_Data,0,LH_ColFirst),$A56,INDEX(LH_Data,0,LH_ColSur),$B56,INDEX(LH_Data,0,LH_ColCat),BonusCat,INDEX(LH_Data,0,LH_ColPeriod),LH_OpenLabel)*UnitFactor))))</f>
        <v/>
      </c>
      <c r="U56" s="17" t="str">
        <f aca="false">IF(AK56=0,"",IF(NOT(LH_Ready),"",SUMIFS(INDEX(LH_Data,0,LH_ColAcc),INDEX(LH_Data,0,LH_ColFirst),$A56,INDEX(LH_Data,0,LH_ColSur),$B56,INDEX(LH_Data,0,LH_ColCat),BonusCat,INDEX(LH_Data,0,LH_ColStart),"&gt;="&amp;AL56)*UnitFactor))</f>
        <v/>
      </c>
      <c r="V56" s="17" t="str">
        <f aca="false">IF(AK56=0,"",IF(NOT(LH_Ready),"",SUMIFS(INDEX(LH_Data,0,LH_ColTaken),INDEX(LH_Data,0,LH_ColFirst),$A56,INDEX(LH_Data,0,LH_ColSur),$B56,INDEX(LH_Data,0,LH_ColCat),BonusCat,INDEX(LH_Data,0,LH_ColStart),"&gt;="&amp;AL56)*UnitFactor))</f>
        <v/>
      </c>
      <c r="W56" s="17" t="str">
        <f aca="false">IF(AK56=0,"",IF(NOT(LH_Ready),"",IF(BH56=0,0,INDEX(INDEX(LH_Data,0,LH_ColClose),BH56-1)*UnitFactor)))</f>
        <v/>
      </c>
      <c r="X56" s="17" t="str">
        <f aca="false">IF(AK56=0,"",(MAX(0,BD56-BQ56)-MAX(0,BE56-BQ56))*HoursPerDay)</f>
        <v/>
      </c>
      <c r="Y56" s="17" t="str">
        <f aca="false">IF(AK56=0,"",IF(NOT(LH_Ready),"",IF($AI56="Yes",N(AE56)*HoursPerDay-SUMIFS(INDEX(LH_Data,0,LH_ColAcc),INDEX(LH_Data,0,LH_ColFirst),$A56,INDEX(LH_Data,0,LH_ColSur),$B56,INDEX(LH_Data,0,LH_ColCat),BonusCat,INDEX(LH_Data,0,LH_ColStart),"&gt;="&amp;(EOMONTH(AsOfDate,-1)+1),INDEX(LH_Data,0,LH_ColStart),"&lt;="&amp;AsOfDate)*UnitFactor,IF(BG56=0,N56,N56-N(T56)-N(U56)))))</f>
        <v/>
      </c>
      <c r="Z56" s="16" t="str">
        <f aca="false">IF(OR(AK56=0,Y56=""),"",IF(Y56&gt;0,"Yes","No"))</f>
        <v/>
      </c>
      <c r="AA56" s="16" t="str">
        <f aca="false">IF(AK56=0,IF(LEN($A56&amp;$B56)=0,"","FIX INPUT - StartDate missing"),IF(AD56&lt;&gt;"","FIX INPUT - "&amp;AD56,IF(NOT(LH_Ready),"Paste Leave History export (Settings must show YES)",IF(AND($AI56="Yes",Y56&lt;=0),"OK - EH balance accepted to date"&amp;IF(N(AH56)&gt;0," (EH holds "&amp;AH56&amp;" hrs over the scheme)","")&amp;"; next day "&amp;TEXT(S56,"dd mmm yy")&amp;IF(N(AE56)&gt;0," ("&amp;AE56&amp;" day(s) for "&amp;UPPER(TEXT(AsOfDate,"mmm yyyy"))&amp;" already in EH)",""),IF(Y56&gt;0,"ACCRUE "&amp;ROUND(Y56,2)&amp;" hrs ("&amp;ROUND(Y56/HoursPerDay,2)&amp;" days): "&amp;IF(N(AE56)&gt;0,AE56&amp;" day(s) for "&amp;UPPER(TEXT(AsOfDate,"mmm yyyy"))&amp;" (milestone "&amp;UPPER(TEXT(AF56,"dd mmm yy"))&amp;")"&amp;IF(Y56/HoursPerDay&gt;AE56+0.001," + "&amp;ROUND(Y56/HoursPerDay-AE56,2)&amp;" day(s) catch-up from earlier months",""),"all catch-up from earlier months, nothing new this month")&amp;IF(BG56=0,"; no Bonus Leave in EH yet",""),IF(Y56&lt;0,"CHECK - EH accrued "&amp;ROUND(-Y56,2)&amp;" hrs more than policy since commencement",IF(N(W56)&gt;O56*HoursPerDay+0.01,"CHECK - EH balance "&amp;ROUND(W56-O56*HoursPerDay,2)&amp;" hrs more than policy entitlement",IF(O56&gt;0,"OK - nothing to add"&amp;IF(N(AE56)&gt;0," ("&amp;AE56&amp;" day(s) for "&amp;UPPER(TEXT(AsOfDate,"mmm yyyy"))&amp;" already in EH)",""),IF(AW56="None",R56,"Not yet - first day on "&amp;TEXT(S56,"dd/mm/yyyy"))))))))))</f>
        <v/>
      </c>
      <c r="AB56" s="17" t="str">
        <f aca="false">IF(OR(AK56=0,T56=""),"",MAX(0,BE56-BQ56)*HoursPerDay-T56)</f>
        <v/>
      </c>
      <c r="AC56" s="16" t="str">
        <f aca="false">IF(AK56=0,"",BG56)</f>
        <v/>
      </c>
      <c r="AD56" s="16" t="str">
        <f aca="false">IF(AK56=0,"",TRIM(IF(OR(ISTEXT($F56),ISTEXT($H56),ISTEXT($I56),ISTEXT($G56),ISTEXT($J56),ISTEXT($D56)),"A date is typed as text - retype it as dd/mm/yyyy. ","")&amp;IF(IF($C56="","",IF(OR(ISNUMBER(SEARCH("full",$C56)),UPPER(TRIM($C56))="FT",UPPER(TRIM($C56))="FTE"),"Full-Time",IF(OR(ISNUMBER(SEARCH("part",$C56)),UPPER(TRIM($C56))="PT",UPPER(TRIM($C56))="PTE"),"Part-Time",IF(OR(ISNUMBER(SEARCH("cas",$C56)),UPPER(TRIM($C56))="CAS"),"Casual","Unknown"))))="Unknown","EmploymentType not recognised - use Full-Time, Part-Time or Casual. ","")&amp;IF(AND(AM56&gt;=1,IF(AM56&gt;=3,AS56,IF(AM56=2,AR56,AQ56))&lt;&gt;IF($C56="","",IF(OR(ISNUMBER(SEARCH("full",$C56)),UPPER(TRIM($C56))="FT",UPPER(TRIM($C56))="FTE"),"Full-Time",IF(OR(ISNUMBER(SEARCH("part",$C56)),UPPER(TRIM($C56))="PT",UPPER(TRIM($C56))="PTE"),"Part-Time",IF(OR(ISNUMBER(SEARCH("cas",$C56)),UPPER(TRIM($C56))="CAS"),"Casual","Unknown"))))),"EmploymentType does not match latest start date ("&amp;IF(AM56&gt;=3,AS56,IF(AM56=2,AR56,AQ56))&amp;"). ","")&amp;IF(AND(AM56&gt;=1,AN56&lt;&gt;$F56),"Earliest type date should equal StartDate. ","")&amp;IF(AND(AM56&gt;=2,AN56=AO56),"Two types start on the same date. ","")&amp;IF(AND(OR(ISNUMBER(SEARCH("part",$C56)),UPPER(TRIM($C56))="PT",UPPER(TRIM($C56))="PTE"),$P56=""),"Part-time: enter PT Hrs/Week (blank = 24+). ","")))</f>
        <v/>
      </c>
      <c r="AE56" s="17" t="str">
        <f aca="false">IF(AK56=0,"",O56-MAX(0,BL56-BQ56))</f>
        <v/>
      </c>
      <c r="AF56" s="14" t="str">
        <f aca="false">IF(OR(AK56=0,AE56="",N(AE56)=0,BM56=""),"",EDATE(AL56,BM56))</f>
        <v/>
      </c>
      <c r="AG56" s="17" t="str">
        <f aca="false">IF(AK56=0,"",MIN(BD56,BQ56))</f>
        <v/>
      </c>
      <c r="AH56" s="17" t="str">
        <f aca="false">IF(AK56=0,"",IF(NOT(LH_Ready),"",IF(BG56=0,0,MAX(0,ROUND(N(T56)+N(U56)-N56,2)))))</f>
        <v/>
      </c>
      <c r="AI56" s="12"/>
      <c r="AJ56" s="12"/>
      <c r="AK56" s="16" t="n">
        <f aca="false">IF(OR(LEN($A56&amp;$B56)=0,$F56=""),0,1)</f>
        <v>0</v>
      </c>
      <c r="AL56" s="14" t="str">
        <f aca="false">IF(AK56=0,"",IF(PreSchemeCounts="No",MAX(SchemeStart,IF($J56&lt;&gt;"",$J56,IF(OR(CasualCounts="Yes",COUNT($G56:$I56)=0),$F56,IF(Apply2026="No",IF($I56="",$F56,$I56),IF(COUNT($H56:$I56)=0,$F56,MIN($H56:$I56)))))),IF($J56&lt;&gt;"",$J56,IF(OR(CasualCounts="Yes",COUNT($G56:$I56)=0),$F56,IF(Apply2026="No",IF($I56="",$F56,$I56),IF(COUNT($H56:$I56)=0,$F56,MIN($H56:$I56)))))))</f>
        <v/>
      </c>
      <c r="AM56" s="16" t="str">
        <f aca="false">IF(AK56=0,"",COUNT($G56:$I56))</f>
        <v/>
      </c>
      <c r="AN56" s="14" t="str">
        <f aca="false">IF(AK56=0,"",IFERROR(SMALL($G56:$I56,1),""))</f>
        <v/>
      </c>
      <c r="AO56" s="14" t="str">
        <f aca="false">IF(AK56=0,"",IFERROR(SMALL($G56:$I56,2),""))</f>
        <v/>
      </c>
      <c r="AP56" s="14" t="str">
        <f aca="false">IF(AK56=0,"",IFERROR(SMALL($G56:$I56,3),""))</f>
        <v/>
      </c>
      <c r="AQ56" s="16" t="str">
        <f aca="false">IF(AK56=0,"",IF(AN56="","",IF(AN56=$H56,"Part-Time",IF(AN56=$I56,"Full-Time","Casual"))))</f>
        <v/>
      </c>
      <c r="AR56" s="16" t="str">
        <f aca="false">IF(AK56=0,"",IF(AO56="","",IF(AO56=$H56,"Part-Time",IF(AO56=$I56,"Full-Time","Casual"))))</f>
        <v/>
      </c>
      <c r="AS56" s="16" t="str">
        <f aca="false">IF(AK56=0,"",IF(AP56="","",IF(AP56=$H56,"Part-Time",IF(AP56=$I56,"Full-Time","Casual"))))</f>
        <v/>
      </c>
      <c r="AT56" s="16" t="str">
        <f aca="false">IF(AK56=0,"",IF(AM56=0,IF(OR(ISNUMBER(SEARCH("full",$C56)),UPPER(TRIM($C56))="FT",UPPER(TRIM($C56))="FTE"),"FT",IF(AND(OR(ISNUMBER(SEARCH("part",$C56)),UPPER(TRIM($C56))="PT",UPPER(TRIM($C56))="PTE"),Apply2026="Yes",OR($P56="",N($P56)&gt;=PT_MinHours)),"PT","None")),IF(OR(ISNUMBER(SEARCH("full",AQ56)),UPPER(TRIM(AQ56))="FT",UPPER(TRIM(AQ56))="FTE"),"FT",IF(AND(OR(ISNUMBER(SEARCH("part",AQ56)),UPPER(TRIM(AQ56))="PT",UPPER(TRIM(AQ56))="PTE"),Apply2026="Yes",OR($P56="",N($P56)&gt;=PT_MinHours)),"PT","None"))))</f>
        <v/>
      </c>
      <c r="AU56" s="16" t="str">
        <f aca="false">IF(AK56=0,"",IF(AM56&lt;2,"",IF(OR(ISNUMBER(SEARCH("full",AR56)),UPPER(TRIM(AR56))="FT",UPPER(TRIM(AR56))="FTE"),"FT",IF(AND(OR(ISNUMBER(SEARCH("part",AR56)),UPPER(TRIM(AR56))="PT",UPPER(TRIM(AR56))="PTE"),Apply2026="Yes",OR($P56="",N($P56)&gt;=PT_MinHours)),"PT","None"))))</f>
        <v/>
      </c>
      <c r="AV56" s="16" t="str">
        <f aca="false">IF(AK56=0,"",IF(AM56&lt;3,"",IF(OR(ISNUMBER(SEARCH("full",AS56)),UPPER(TRIM(AS56))="FT",UPPER(TRIM(AS56))="FTE"),"FT",IF(AND(OR(ISNUMBER(SEARCH("part",AS56)),UPPER(TRIM(AS56))="PT",UPPER(TRIM(AS56))="PTE"),Apply2026="Yes",OR($P56="",N($P56)&gt;=PT_MinHours)),"PT","None"))))</f>
        <v/>
      </c>
      <c r="AW56" s="16" t="str">
        <f aca="false">IF(AK56=0,"",IF(AND(AM56&gt;=3,AP56&lt;=AsOfDate),AV56,IF(AND(AM56&gt;=2,AO56&lt;=AsOfDate),AU56,AT56)))</f>
        <v/>
      </c>
      <c r="AX56" s="16" t="str">
        <f aca="false">IF(AK56=0,"",IF(AsOfDate&lt;AL56,-1,12*(YEAR(AsOfDate)-YEAR(AL56))+MONTH(AsOfDate)-MONTH(AL56)-IF(DAY(AsOfDate)&lt;MIN(DAY(AL56),DAY(EOMONTH(AsOfDate,0))),1,0)))</f>
        <v/>
      </c>
      <c r="AY56" s="16" t="str">
        <f aca="false">IF(AK56=0,"",IF(OR(AM56&lt;2,AO56&gt;AsOfDate),AX56,IF((AO56-1)&lt;AL56,-1,12*(YEAR((AO56-1))-YEAR(AL56))+MONTH((AO56-1))-MONTH(AL56)-IF(DAY((AO56-1))&lt;MIN(DAY(AL56),DAY(EOMONTH((AO56-1),0))),1,0))))</f>
        <v/>
      </c>
      <c r="AZ56" s="16" t="str">
        <f aca="false">IF(AK56=0,"",IF(OR(AM56&lt;3,AP56&gt;AsOfDate),AX56,IF((AP56-1)&lt;AL56,-1,12*(YEAR((AP56-1))-YEAR(AL56))+MONTH((AP56-1))-MONTH(AL56)-IF(DAY((AP56-1))&lt;MIN(DAY(AL56),DAY(EOMONTH((AP56-1),0))),1,0))))</f>
        <v/>
      </c>
      <c r="BA56" s="16" t="str">
        <f aca="false">IF(AK56=0,"",IF(PFYDate&lt;AL56,-1,12*(YEAR(PFYDate)-YEAR(AL56))+MONTH(PFYDate)-MONTH(AL56)-IF(DAY(PFYDate)&lt;MIN(DAY(AL56),DAY(EOMONTH(PFYDate,0))),1,0)))</f>
        <v/>
      </c>
      <c r="BB56" s="16" t="str">
        <f aca="false">IF(AK56=0,"",IF(OR(AM56&lt;2,AO56&gt;PFYDate),BA56,IF((AO56-1)&lt;AL56,-1,12*(YEAR((AO56-1))-YEAR(AL56))+MONTH((AO56-1))-MONTH(AL56)-IF(DAY((AO56-1))&lt;MIN(DAY(AL56),DAY(EOMONTH((AO56-1),0))),1,0))))</f>
        <v/>
      </c>
      <c r="BC56" s="16" t="str">
        <f aca="false">IF(AK56=0,"",IF(OR(AM56&lt;3,AP56&gt;PFYDate),BA56,IF((AP56-1)&lt;AL56,-1,12*(YEAR((AP56-1))-YEAR(AL56))+MONTH((AP56-1))-MONTH(AL56)-IF(DAY((AP56-1))&lt;MIN(DAY(AL56),DAY(EOMONTH((AP56-1),0))),1,0))))</f>
        <v/>
      </c>
      <c r="BD56" s="16" t="str">
        <f aca="false">IF(AK56=0,"",IF(AT56="FT",IF(AY56&lt;FT_First,0,IF(AY56&lt;FT_Y5,1+INT((AY56-FT_First)/FT_Int1),FT_PreY5+FT_PerYear*INT((AY56-FT_Y5)/12)+FT_AnnivDays+INT(MOD(AY56-FT_Y5,12)/FT_Int2)-IF(EDATE(AL56,FT_Y5)&lt;PolicyEff,FT_AnnivDays-1,0))),IF(AT56="PT",IF(AY56&lt;PT_First,0,1+INT((AY56-PT_First)/PT_Int)),0))+IF(AND(AM56&gt;=2,AO56&lt;=AsOfDate),IF(AU56="FT",IF(AZ56&lt;FT_First,0,IF(AZ56&lt;FT_Y5,1+INT((AZ56-FT_First)/FT_Int1),FT_PreY5+FT_PerYear*INT((AZ56-FT_Y5)/12)+FT_AnnivDays+INT(MOD(AZ56-FT_Y5,12)/FT_Int2)-IF(EDATE(AL56,FT_Y5)&lt;PolicyEff,FT_AnnivDays-1,0))),IF(AU56="PT",IF(AZ56&lt;PT_First,0,1+INT((AZ56-PT_First)/PT_Int)),0))-IF(AU56="FT",IF(AY56&lt;FT_First,0,IF(AY56&lt;FT_Y5,1+INT((AY56-FT_First)/FT_Int1),FT_PreY5+FT_PerYear*INT((AY56-FT_Y5)/12)+FT_AnnivDays+INT(MOD(AY56-FT_Y5,12)/FT_Int2)-IF(EDATE(AL56,FT_Y5)&lt;PolicyEff,FT_AnnivDays-1,0))),IF(AU56="PT",IF(AY56&lt;PT_First,0,1+INT((AY56-PT_First)/PT_Int)),0)),0)+IF(AND(AM56&gt;=3,AP56&lt;=AsOfDate),IF(AV56="FT",IF(AX56&lt;FT_First,0,IF(AX56&lt;FT_Y5,1+INT((AX56-FT_First)/FT_Int1),FT_PreY5+FT_PerYear*INT((AX56-FT_Y5)/12)+FT_AnnivDays+INT(MOD(AX56-FT_Y5,12)/FT_Int2)-IF(EDATE(AL56,FT_Y5)&lt;PolicyEff,FT_AnnivDays-1,0))),IF(AV56="PT",IF(AX56&lt;PT_First,0,1+INT((AX56-PT_First)/PT_Int)),0))-IF(AV56="FT",IF(AZ56&lt;FT_First,0,IF(AZ56&lt;FT_Y5,1+INT((AZ56-FT_First)/FT_Int1),FT_PreY5+FT_PerYear*INT((AZ56-FT_Y5)/12)+FT_AnnivDays+INT(MOD(AZ56-FT_Y5,12)/FT_Int2)-IF(EDATE(AL56,FT_Y5)&lt;PolicyEff,FT_AnnivDays-1,0))),IF(AV56="PT",IF(AZ56&lt;PT_First,0,1+INT((AZ56-PT_First)/PT_Int)),0)),0))</f>
        <v/>
      </c>
      <c r="BE56" s="16" t="str">
        <f aca="false">IF(AK56=0,"",IF(AT56="FT",IF(BB56&lt;FT_First,0,IF(BB56&lt;FT_Y5,1+INT((BB56-FT_First)/FT_Int1),FT_PreY5+FT_PerYear*INT((BB56-FT_Y5)/12)+FT_AnnivDays+INT(MOD(BB56-FT_Y5,12)/FT_Int2)-IF(EDATE(AL56,FT_Y5)&lt;PolicyEff,FT_AnnivDays-1,0))),IF(AT56="PT",IF(BB56&lt;PT_First,0,1+INT((BB56-PT_First)/PT_Int)),0))+IF(AND(AM56&gt;=2,AO56&lt;=PFYDate),IF(AU56="FT",IF(BC56&lt;FT_First,0,IF(BC56&lt;FT_Y5,1+INT((BC56-FT_First)/FT_Int1),FT_PreY5+FT_PerYear*INT((BC56-FT_Y5)/12)+FT_AnnivDays+INT(MOD(BC56-FT_Y5,12)/FT_Int2)-IF(EDATE(AL56,FT_Y5)&lt;PolicyEff,FT_AnnivDays-1,0))),IF(AU56="PT",IF(BC56&lt;PT_First,0,1+INT((BC56-PT_First)/PT_Int)),0))-IF(AU56="FT",IF(BB56&lt;FT_First,0,IF(BB56&lt;FT_Y5,1+INT((BB56-FT_First)/FT_Int1),FT_PreY5+FT_PerYear*INT((BB56-FT_Y5)/12)+FT_AnnivDays+INT(MOD(BB56-FT_Y5,12)/FT_Int2)-IF(EDATE(AL56,FT_Y5)&lt;PolicyEff,FT_AnnivDays-1,0))),IF(AU56="PT",IF(BB56&lt;PT_First,0,1+INT((BB56-PT_First)/PT_Int)),0)),0)+IF(AND(AM56&gt;=3,AP56&lt;=PFYDate),IF(AV56="FT",IF(BA56&lt;FT_First,0,IF(BA56&lt;FT_Y5,1+INT((BA56-FT_First)/FT_Int1),FT_PreY5+FT_PerYear*INT((BA56-FT_Y5)/12)+FT_AnnivDays+INT(MOD(BA56-FT_Y5,12)/FT_Int2)-IF(EDATE(AL56,FT_Y5)&lt;PolicyEff,FT_AnnivDays-1,0))),IF(AV56="PT",IF(BA56&lt;PT_First,0,1+INT((BA56-PT_First)/PT_Int)),0))-IF(AV56="FT",IF(BC56&lt;FT_First,0,IF(BC56&lt;FT_Y5,1+INT((BC56-FT_First)/FT_Int1),FT_PreY5+FT_PerYear*INT((BC56-FT_Y5)/12)+FT_AnnivDays+INT(MOD(BC56-FT_Y5,12)/FT_Int2)-IF(EDATE(AL56,FT_Y5)&lt;PolicyEff,FT_AnnivDays-1,0))),IF(AV56="PT",IF(BC56&lt;PT_First,0,1+INT((BC56-PT_First)/PT_Int)),0)),0))</f>
        <v/>
      </c>
      <c r="BF56" s="16" t="str">
        <f aca="false">IF(AK56=0,"",IF(AW56="FT",IF(AX56&lt;FT_First,FT_First,IF(AX56&lt;FT_Y5,MIN(FT_Y5,FT_First+FT_Int1*(INT((AX56-FT_First)/FT_Int1)+1)),FT_Y5+12*INT((AX56-FT_Y5)/12)+FT_Int2*(INT(MOD(AX56-FT_Y5,12)/FT_Int2)+1))),IF(AW56="PT",IF(AX56&lt;PT_First,PT_First,PT_First+PT_Int*(INT((AX56-PT_First)/PT_Int)+1)),"")))</f>
        <v/>
      </c>
      <c r="BG56" s="16" t="str">
        <f aca="false">IF(AK56=0,"",IF(NOT(LH_Ready),0,COUNTIFS(INDEX(LH_Data,0,LH_ColFirst),$A56,INDEX(LH_Data,0,LH_ColSur),$B56,INDEX(LH_Data,0,LH_ColCat),BonusCat)))</f>
        <v/>
      </c>
      <c r="BH56" s="16" t="str">
        <f aca="false">IF(AK56=0,"",IF(OR(NOT(LH_Ready),BG56=0),0,SUMPRODUCT(MAX((INDEX(LH_Data,0,LH_ColFirst)=$A56)*(INDEX(LH_Data,0,LH_ColSur)=$B56)*(INDEX(LH_Data,0,LH_ColCat)=BonusCat)*ROW(LH_Data)))))</f>
        <v/>
      </c>
      <c r="BI56" s="16" t="str">
        <f aca="false">IF(AK56=0,"",IF(EOMONTH(AsOfDate,-1)&lt;AL56,-1,12*(YEAR(EOMONTH(AsOfDate,-1))-YEAR(AL56))+MONTH(EOMONTH(AsOfDate,-1))-MONTH(AL56)-IF(DAY(EOMONTH(AsOfDate,-1))&lt;MIN(DAY(AL56),DAY(EOMONTH(EOMONTH(AsOfDate,-1),0))),1,0)))</f>
        <v/>
      </c>
      <c r="BJ56" s="16" t="str">
        <f aca="false">IF(AK56=0,"",IF(OR(AM56&lt;2,AO56&gt;EOMONTH(AsOfDate,-1)),BI56,IF((AO56-1)&lt;AL56,-1,12*(YEAR((AO56-1))-YEAR(AL56))+MONTH((AO56-1))-MONTH(AL56)-IF(DAY((AO56-1))&lt;MIN(DAY(AL56),DAY(EOMONTH((AO56-1),0))),1,0))))</f>
        <v/>
      </c>
      <c r="BK56" s="16" t="str">
        <f aca="false">IF(AK56=0,"",IF(OR(AM56&lt;3,AP56&gt;EOMONTH(AsOfDate,-1)),BI56,IF((AP56-1)&lt;AL56,-1,12*(YEAR((AP56-1))-YEAR(AL56))+MONTH((AP56-1))-MONTH(AL56)-IF(DAY((AP56-1))&lt;MIN(DAY(AL56),DAY(EOMONTH((AP56-1),0))),1,0))))</f>
        <v/>
      </c>
      <c r="BL56" s="16" t="str">
        <f aca="false">IF(AK56=0,"",IF(AT56="FT",IF(BJ56&lt;FT_First,0,IF(BJ56&lt;FT_Y5,1+INT((BJ56-FT_First)/FT_Int1),FT_PreY5+FT_PerYear*INT((BJ56-FT_Y5)/12)+FT_AnnivDays+INT(MOD(BJ56-FT_Y5,12)/FT_Int2)-IF(EDATE(AL56,FT_Y5)&lt;PolicyEff,FT_AnnivDays-1,0))),IF(AT56="PT",IF(BJ56&lt;PT_First,0,1+INT((BJ56-PT_First)/PT_Int)),0))+IF(AND(AM56&gt;=2,AO56&lt;=EOMONTH(AsOfDate,-1)),IF(AU56="FT",IF(BK56&lt;FT_First,0,IF(BK56&lt;FT_Y5,1+INT((BK56-FT_First)/FT_Int1),FT_PreY5+FT_PerYear*INT((BK56-FT_Y5)/12)+FT_AnnivDays+INT(MOD(BK56-FT_Y5,12)/FT_Int2)-IF(EDATE(AL56,FT_Y5)&lt;PolicyEff,FT_AnnivDays-1,0))),IF(AU56="PT",IF(BK56&lt;PT_First,0,1+INT((BK56-PT_First)/PT_Int)),0))-IF(AU56="FT",IF(BJ56&lt;FT_First,0,IF(BJ56&lt;FT_Y5,1+INT((BJ56-FT_First)/FT_Int1),FT_PreY5+FT_PerYear*INT((BJ56-FT_Y5)/12)+FT_AnnivDays+INT(MOD(BJ56-FT_Y5,12)/FT_Int2)-IF(EDATE(AL56,FT_Y5)&lt;PolicyEff,FT_AnnivDays-1,0))),IF(AU56="PT",IF(BJ56&lt;PT_First,0,1+INT((BJ56-PT_First)/PT_Int)),0)),0)+IF(AND(AM56&gt;=3,AP56&lt;=EOMONTH(AsOfDate,-1)),IF(AV56="FT",IF(BI56&lt;FT_First,0,IF(BI56&lt;FT_Y5,1+INT((BI56-FT_First)/FT_Int1),FT_PreY5+FT_PerYear*INT((BI56-FT_Y5)/12)+FT_AnnivDays+INT(MOD(BI56-FT_Y5,12)/FT_Int2)-IF(EDATE(AL56,FT_Y5)&lt;PolicyEff,FT_AnnivDays-1,0))),IF(AV56="PT",IF(BI56&lt;PT_First,0,1+INT((BI56-PT_First)/PT_Int)),0))-IF(AV56="FT",IF(BK56&lt;FT_First,0,IF(BK56&lt;FT_Y5,1+INT((BK56-FT_First)/FT_Int1),FT_PreY5+FT_PerYear*INT((BK56-FT_Y5)/12)+FT_AnnivDays+INT(MOD(BK56-FT_Y5,12)/FT_Int2)-IF(EDATE(AL56,FT_Y5)&lt;PolicyEff,FT_AnnivDays-1,0))),IF(AV56="PT",IF(BK56&lt;PT_First,0,1+INT((BK56-PT_First)/PT_Int)),0)),0))</f>
        <v/>
      </c>
      <c r="BM56" s="16" t="str">
        <f aca="false">IF(AK56=0,"",IF(AW56="FT",IF(AX56&lt;FT_First,"",IF(AX56&lt;FT_Y5,FT_First+FT_Int1*INT((AX56-FT_First)/FT_Int1),FT_Y5+FT_Int2*INT((AX56-FT_Y5)/FT_Int2))),IF(AW56="PT",IF(AX56&lt;PT_First,"",PT_First+PT_Int*INT((AX56-PT_First)/PT_Int)),"")))</f>
        <v/>
      </c>
      <c r="BN56" s="16" t="str">
        <f aca="false">IF(AK56=0,"",IF((SchemeStart-1)&lt;AL56,-1,12*(YEAR((SchemeStart-1))-YEAR(AL56))+MONTH((SchemeStart-1))-MONTH(AL56)-IF(DAY((SchemeStart-1))&lt;MIN(DAY(AL56),DAY(EOMONTH((SchemeStart-1),0))),1,0)))</f>
        <v/>
      </c>
      <c r="BO56" s="16" t="str">
        <f aca="false">IF(AK56=0,"",IF(OR(AM56&lt;2,AO56&gt;(SchemeStart-1)),BN56,IF((AO56-1)&lt;AL56,-1,12*(YEAR((AO56-1))-YEAR(AL56))+MONTH((AO56-1))-MONTH(AL56)-IF(DAY((AO56-1))&lt;MIN(DAY(AL56),DAY(EOMONTH((AO56-1),0))),1,0))))</f>
        <v/>
      </c>
      <c r="BP56" s="16" t="str">
        <f aca="false">IF(AK56=0,"",IF(OR(AM56&lt;3,AP56&gt;(SchemeStart-1)),BN56,IF((AP56-1)&lt;AL56,-1,12*(YEAR((AP56-1))-YEAR(AL56))+MONTH((AP56-1))-MONTH(AL56)-IF(DAY((AP56-1))&lt;MIN(DAY(AL56),DAY(EOMONTH((AP56-1),0))),1,0))))</f>
        <v/>
      </c>
      <c r="BQ56" s="16" t="str">
        <f aca="false">IF(AK56=0,"",IF(AT56="FT",IF(BO56&lt;FT_First,0,IF(BO56&lt;FT_Y5,1+INT((BO56-FT_First)/FT_Int1),FT_PreY5+FT_PerYear*INT((BO56-FT_Y5)/12)+FT_AnnivDays+INT(MOD(BO56-FT_Y5,12)/FT_Int2)-IF(EDATE(AL56,FT_Y5)&lt;PolicyEff,FT_AnnivDays-1,0))),IF(AT56="PT",IF(BO56&lt;PT_First,0,1+INT((BO56-PT_First)/PT_Int)),0))+IF(AND(AM56&gt;=2,AO56&lt;=(SchemeStart-1)),IF(AU56="FT",IF(BP56&lt;FT_First,0,IF(BP56&lt;FT_Y5,1+INT((BP56-FT_First)/FT_Int1),FT_PreY5+FT_PerYear*INT((BP56-FT_Y5)/12)+FT_AnnivDays+INT(MOD(BP56-FT_Y5,12)/FT_Int2)-IF(EDATE(AL56,FT_Y5)&lt;PolicyEff,FT_AnnivDays-1,0))),IF(AU56="PT",IF(BP56&lt;PT_First,0,1+INT((BP56-PT_First)/PT_Int)),0))-IF(AU56="FT",IF(BO56&lt;FT_First,0,IF(BO56&lt;FT_Y5,1+INT((BO56-FT_First)/FT_Int1),FT_PreY5+FT_PerYear*INT((BO56-FT_Y5)/12)+FT_AnnivDays+INT(MOD(BO56-FT_Y5,12)/FT_Int2)-IF(EDATE(AL56,FT_Y5)&lt;PolicyEff,FT_AnnivDays-1,0))),IF(AU56="PT",IF(BO56&lt;PT_First,0,1+INT((BO56-PT_First)/PT_Int)),0)),0)+IF(AND(AM56&gt;=3,AP56&lt;=(SchemeStart-1)),IF(AV56="FT",IF(BN56&lt;FT_First,0,IF(BN56&lt;FT_Y5,1+INT((BN56-FT_First)/FT_Int1),FT_PreY5+FT_PerYear*INT((BN56-FT_Y5)/12)+FT_AnnivDays+INT(MOD(BN56-FT_Y5,12)/FT_Int2)-IF(EDATE(AL56,FT_Y5)&lt;PolicyEff,FT_AnnivDays-1,0))),IF(AV56="PT",IF(BN56&lt;PT_First,0,1+INT((BN56-PT_First)/PT_Int)),0))-IF(AV56="FT",IF(BP56&lt;FT_First,0,IF(BP56&lt;FT_Y5,1+INT((BP56-FT_First)/FT_Int1),FT_PreY5+FT_PerYear*INT((BP56-FT_Y5)/12)+FT_AnnivDays+INT(MOD(BP56-FT_Y5,12)/FT_Int2)-IF(EDATE(AL56,FT_Y5)&lt;PolicyEff,FT_AnnivDays-1,0))),IF(AV56="PT",IF(BP56&lt;PT_First,0,1+INT((BP56-PT_First)/PT_Int)),0)),0))</f>
        <v/>
      </c>
      <c r="BR56" s="0" t="str">
        <f aca="false">IF(LEN($A56&amp;$B56)=0,"",$A56&amp;" "&amp;$B56)</f>
        <v/>
      </c>
    </row>
    <row r="57" customFormat="false" ht="15" hidden="false" customHeight="false" outlineLevel="0" collapsed="false">
      <c r="A57" s="12"/>
      <c r="B57" s="12"/>
      <c r="C57" s="12"/>
      <c r="D57" s="13"/>
      <c r="E57" s="14" t="str">
        <f aca="false">IF(OR(AK57=0,$D57=""),"",DATE(YEAR(AsOfDate)+IF(DATE(YEAR(AsOfDate),MONTH($D57),DAY($D57))&lt;=AsOfDate,1,0),MONTH($D57),DAY($D57)))</f>
        <v/>
      </c>
      <c r="F57" s="13"/>
      <c r="G57" s="13"/>
      <c r="H57" s="13"/>
      <c r="I57" s="13"/>
      <c r="J57" s="13"/>
      <c r="K57" s="14" t="str">
        <f aca="false">IF(AK57=0,"",DATE(YEAR(AsOfDate)+IF(DATE(YEAR(AsOfDate),MONTH(AL57),DAY(AL57))&lt;=AsOfDate,1,0),MONTH(AL57),DAY(AL57)))</f>
        <v/>
      </c>
      <c r="L57" s="15" t="str">
        <f aca="false">IF(AK57=0,"",ROUND((AsOfDate-AL57)/365.25,1))</f>
        <v/>
      </c>
      <c r="M57" s="16" t="str">
        <f aca="false">IF(AK57=0,"",IF(AsOfDate&lt;AL57,"-",DATEDIF(AL57,AsOfDate,"y")&amp;"y "&amp;DATEDIF(AL57,AsOfDate,"ym")&amp;"m "&amp;DATEDIF(AL57,AsOfDate,"md")&amp;"d"))</f>
        <v/>
      </c>
      <c r="N57" s="17" t="str">
        <f aca="false">IF(AK57=0,"",O57*HoursPerDay)</f>
        <v/>
      </c>
      <c r="O57" s="17" t="str">
        <f aca="false">IF(AK57=0,"",MAX(0,BD57-BQ57))</f>
        <v/>
      </c>
      <c r="P57" s="18"/>
      <c r="Q57" s="16" t="str">
        <f aca="false">IF(AK57=0,"",IF(AM57&lt;2,"",AQ57&amp;" to "&amp;AR57&amp;" on "&amp;TEXT(AO57,"dd/mm/yyyy")&amp;IF(AO57&gt;AsOfDate," (future)",IF(AT57=AU57,"",IF(AU57="None"," - STOPPED accruing",IF(AT57="None"," - commencement for Bonus Leave"," - pathway changed"))))&amp;IF(AM57&lt;3,"","; "&amp;AR57&amp;" to "&amp;AS57&amp;" on "&amp;TEXT(AP57,"dd/mm/yyyy")&amp;IF(AP57&gt;AsOfDate," (future)",IF(AU57=AV57,"",IF(AV57="None"," - STOPPED accruing",IF(AU57="None"," - commencement for Bonus Leave"," - pathway changed")))))))</f>
        <v/>
      </c>
      <c r="R57" s="16" t="str">
        <f aca="false">IF(AK57=0,"",IF(AW57="None",IF(O57&gt;0,"No longer accruing","Not eligible - "&amp;IF(AND(OR(ISNUMBER(SEARCH("part",$C57)),UPPER(TRIM($C57))="PT",UPPER(TRIM($C57))="PTE"),Apply2026="No"),"part-time (scheme is full-time only)",IF(AND(OR(ISNUMBER(SEARCH("part",$C57)),UPPER(TRIM($C57))="PT",UPPER(TRIM($C57))="PTE"),$P57&lt;&gt;"",N($P57)&lt;PT_MinHours),"under "&amp;PT_MinHours&amp;" hrs",IF(IF($C57="","",IF(OR(ISNUMBER(SEARCH("full",$C57)),UPPER(TRIM($C57))="FT",UPPER(TRIM($C57))="FTE"),"Full-Time",IF(OR(ISNUMBER(SEARCH("part",$C57)),UPPER(TRIM($C57))="PT",UPPER(TRIM($C57))="PTE"),"Part-Time",IF(OR(ISNUMBER(SEARCH("cas",$C57)),UPPER(TRIM($C57))="CAS"),"Casual","Unknown"))))="Unknown","type not recognised",$C57)))),IF(O57&gt;0,"Yes - Accrual Required","Not yet - from "&amp;TEXT(S57,"dd/mm/yyyy"))))</f>
        <v/>
      </c>
      <c r="S57" s="14" t="str">
        <f aca="false">IF(AK57=0,"",IF(AW57="None","",EDATE(AL57,BF57)))</f>
        <v/>
      </c>
      <c r="T57" s="17" t="str">
        <f aca="false">IF(AK57=0,"",IF(NOT(LH_Ready),"",IF($F57&gt;PFYDate,0,IF(LH_ColPeriod=0,W57-U57+V57,SUMIFS(INDEX(LH_Data,0,LH_ColAcc),INDEX(LH_Data,0,LH_ColFirst),$A57,INDEX(LH_Data,0,LH_ColSur),$B57,INDEX(LH_Data,0,LH_ColCat),BonusCat,INDEX(LH_Data,0,LH_ColPeriod),LH_OpenLabel)*UnitFactor))))</f>
        <v/>
      </c>
      <c r="U57" s="17" t="str">
        <f aca="false">IF(AK57=0,"",IF(NOT(LH_Ready),"",SUMIFS(INDEX(LH_Data,0,LH_ColAcc),INDEX(LH_Data,0,LH_ColFirst),$A57,INDEX(LH_Data,0,LH_ColSur),$B57,INDEX(LH_Data,0,LH_ColCat),BonusCat,INDEX(LH_Data,0,LH_ColStart),"&gt;="&amp;AL57)*UnitFactor))</f>
        <v/>
      </c>
      <c r="V57" s="17" t="str">
        <f aca="false">IF(AK57=0,"",IF(NOT(LH_Ready),"",SUMIFS(INDEX(LH_Data,0,LH_ColTaken),INDEX(LH_Data,0,LH_ColFirst),$A57,INDEX(LH_Data,0,LH_ColSur),$B57,INDEX(LH_Data,0,LH_ColCat),BonusCat,INDEX(LH_Data,0,LH_ColStart),"&gt;="&amp;AL57)*UnitFactor))</f>
        <v/>
      </c>
      <c r="W57" s="17" t="str">
        <f aca="false">IF(AK57=0,"",IF(NOT(LH_Ready),"",IF(BH57=0,0,INDEX(INDEX(LH_Data,0,LH_ColClose),BH57-1)*UnitFactor)))</f>
        <v/>
      </c>
      <c r="X57" s="17" t="str">
        <f aca="false">IF(AK57=0,"",(MAX(0,BD57-BQ57)-MAX(0,BE57-BQ57))*HoursPerDay)</f>
        <v/>
      </c>
      <c r="Y57" s="17" t="str">
        <f aca="false">IF(AK57=0,"",IF(NOT(LH_Ready),"",IF($AI57="Yes",N(AE57)*HoursPerDay-SUMIFS(INDEX(LH_Data,0,LH_ColAcc),INDEX(LH_Data,0,LH_ColFirst),$A57,INDEX(LH_Data,0,LH_ColSur),$B57,INDEX(LH_Data,0,LH_ColCat),BonusCat,INDEX(LH_Data,0,LH_ColStart),"&gt;="&amp;(EOMONTH(AsOfDate,-1)+1),INDEX(LH_Data,0,LH_ColStart),"&lt;="&amp;AsOfDate)*UnitFactor,IF(BG57=0,N57,N57-N(T57)-N(U57)))))</f>
        <v/>
      </c>
      <c r="Z57" s="16" t="str">
        <f aca="false">IF(OR(AK57=0,Y57=""),"",IF(Y57&gt;0,"Yes","No"))</f>
        <v/>
      </c>
      <c r="AA57" s="16" t="str">
        <f aca="false">IF(AK57=0,IF(LEN($A57&amp;$B57)=0,"","FIX INPUT - StartDate missing"),IF(AD57&lt;&gt;"","FIX INPUT - "&amp;AD57,IF(NOT(LH_Ready),"Paste Leave History export (Settings must show YES)",IF(AND($AI57="Yes",Y57&lt;=0),"OK - EH balance accepted to date"&amp;IF(N(AH57)&gt;0," (EH holds "&amp;AH57&amp;" hrs over the scheme)","")&amp;"; next day "&amp;TEXT(S57,"dd mmm yy")&amp;IF(N(AE57)&gt;0," ("&amp;AE57&amp;" day(s) for "&amp;UPPER(TEXT(AsOfDate,"mmm yyyy"))&amp;" already in EH)",""),IF(Y57&gt;0,"ACCRUE "&amp;ROUND(Y57,2)&amp;" hrs ("&amp;ROUND(Y57/HoursPerDay,2)&amp;" days): "&amp;IF(N(AE57)&gt;0,AE57&amp;" day(s) for "&amp;UPPER(TEXT(AsOfDate,"mmm yyyy"))&amp;" (milestone "&amp;UPPER(TEXT(AF57,"dd mmm yy"))&amp;")"&amp;IF(Y57/HoursPerDay&gt;AE57+0.001," + "&amp;ROUND(Y57/HoursPerDay-AE57,2)&amp;" day(s) catch-up from earlier months",""),"all catch-up from earlier months, nothing new this month")&amp;IF(BG57=0,"; no Bonus Leave in EH yet",""),IF(Y57&lt;0,"CHECK - EH accrued "&amp;ROUND(-Y57,2)&amp;" hrs more than policy since commencement",IF(N(W57)&gt;O57*HoursPerDay+0.01,"CHECK - EH balance "&amp;ROUND(W57-O57*HoursPerDay,2)&amp;" hrs more than policy entitlement",IF(O57&gt;0,"OK - nothing to add"&amp;IF(N(AE57)&gt;0," ("&amp;AE57&amp;" day(s) for "&amp;UPPER(TEXT(AsOfDate,"mmm yyyy"))&amp;" already in EH)",""),IF(AW57="None",R57,"Not yet - first day on "&amp;TEXT(S57,"dd/mm/yyyy"))))))))))</f>
        <v/>
      </c>
      <c r="AB57" s="17" t="str">
        <f aca="false">IF(OR(AK57=0,T57=""),"",MAX(0,BE57-BQ57)*HoursPerDay-T57)</f>
        <v/>
      </c>
      <c r="AC57" s="16" t="str">
        <f aca="false">IF(AK57=0,"",BG57)</f>
        <v/>
      </c>
      <c r="AD57" s="16" t="str">
        <f aca="false">IF(AK57=0,"",TRIM(IF(OR(ISTEXT($F57),ISTEXT($H57),ISTEXT($I57),ISTEXT($G57),ISTEXT($J57),ISTEXT($D57)),"A date is typed as text - retype it as dd/mm/yyyy. ","")&amp;IF(IF($C57="","",IF(OR(ISNUMBER(SEARCH("full",$C57)),UPPER(TRIM($C57))="FT",UPPER(TRIM($C57))="FTE"),"Full-Time",IF(OR(ISNUMBER(SEARCH("part",$C57)),UPPER(TRIM($C57))="PT",UPPER(TRIM($C57))="PTE"),"Part-Time",IF(OR(ISNUMBER(SEARCH("cas",$C57)),UPPER(TRIM($C57))="CAS"),"Casual","Unknown"))))="Unknown","EmploymentType not recognised - use Full-Time, Part-Time or Casual. ","")&amp;IF(AND(AM57&gt;=1,IF(AM57&gt;=3,AS57,IF(AM57=2,AR57,AQ57))&lt;&gt;IF($C57="","",IF(OR(ISNUMBER(SEARCH("full",$C57)),UPPER(TRIM($C57))="FT",UPPER(TRIM($C57))="FTE"),"Full-Time",IF(OR(ISNUMBER(SEARCH("part",$C57)),UPPER(TRIM($C57))="PT",UPPER(TRIM($C57))="PTE"),"Part-Time",IF(OR(ISNUMBER(SEARCH("cas",$C57)),UPPER(TRIM($C57))="CAS"),"Casual","Unknown"))))),"EmploymentType does not match latest start date ("&amp;IF(AM57&gt;=3,AS57,IF(AM57=2,AR57,AQ57))&amp;"). ","")&amp;IF(AND(AM57&gt;=1,AN57&lt;&gt;$F57),"Earliest type date should equal StartDate. ","")&amp;IF(AND(AM57&gt;=2,AN57=AO57),"Two types start on the same date. ","")&amp;IF(AND(OR(ISNUMBER(SEARCH("part",$C57)),UPPER(TRIM($C57))="PT",UPPER(TRIM($C57))="PTE"),$P57=""),"Part-time: enter PT Hrs/Week (blank = 24+). ","")))</f>
        <v/>
      </c>
      <c r="AE57" s="17" t="str">
        <f aca="false">IF(AK57=0,"",O57-MAX(0,BL57-BQ57))</f>
        <v/>
      </c>
      <c r="AF57" s="14" t="str">
        <f aca="false">IF(OR(AK57=0,AE57="",N(AE57)=0,BM57=""),"",EDATE(AL57,BM57))</f>
        <v/>
      </c>
      <c r="AG57" s="17" t="str">
        <f aca="false">IF(AK57=0,"",MIN(BD57,BQ57))</f>
        <v/>
      </c>
      <c r="AH57" s="17" t="str">
        <f aca="false">IF(AK57=0,"",IF(NOT(LH_Ready),"",IF(BG57=0,0,MAX(0,ROUND(N(T57)+N(U57)-N57,2)))))</f>
        <v/>
      </c>
      <c r="AI57" s="12"/>
      <c r="AJ57" s="12"/>
      <c r="AK57" s="16" t="n">
        <f aca="false">IF(OR(LEN($A57&amp;$B57)=0,$F57=""),0,1)</f>
        <v>0</v>
      </c>
      <c r="AL57" s="14" t="str">
        <f aca="false">IF(AK57=0,"",IF(PreSchemeCounts="No",MAX(SchemeStart,IF($J57&lt;&gt;"",$J57,IF(OR(CasualCounts="Yes",COUNT($G57:$I57)=0),$F57,IF(Apply2026="No",IF($I57="",$F57,$I57),IF(COUNT($H57:$I57)=0,$F57,MIN($H57:$I57)))))),IF($J57&lt;&gt;"",$J57,IF(OR(CasualCounts="Yes",COUNT($G57:$I57)=0),$F57,IF(Apply2026="No",IF($I57="",$F57,$I57),IF(COUNT($H57:$I57)=0,$F57,MIN($H57:$I57)))))))</f>
        <v/>
      </c>
      <c r="AM57" s="16" t="str">
        <f aca="false">IF(AK57=0,"",COUNT($G57:$I57))</f>
        <v/>
      </c>
      <c r="AN57" s="14" t="str">
        <f aca="false">IF(AK57=0,"",IFERROR(SMALL($G57:$I57,1),""))</f>
        <v/>
      </c>
      <c r="AO57" s="14" t="str">
        <f aca="false">IF(AK57=0,"",IFERROR(SMALL($G57:$I57,2),""))</f>
        <v/>
      </c>
      <c r="AP57" s="14" t="str">
        <f aca="false">IF(AK57=0,"",IFERROR(SMALL($G57:$I57,3),""))</f>
        <v/>
      </c>
      <c r="AQ57" s="16" t="str">
        <f aca="false">IF(AK57=0,"",IF(AN57="","",IF(AN57=$H57,"Part-Time",IF(AN57=$I57,"Full-Time","Casual"))))</f>
        <v/>
      </c>
      <c r="AR57" s="16" t="str">
        <f aca="false">IF(AK57=0,"",IF(AO57="","",IF(AO57=$H57,"Part-Time",IF(AO57=$I57,"Full-Time","Casual"))))</f>
        <v/>
      </c>
      <c r="AS57" s="16" t="str">
        <f aca="false">IF(AK57=0,"",IF(AP57="","",IF(AP57=$H57,"Part-Time",IF(AP57=$I57,"Full-Time","Casual"))))</f>
        <v/>
      </c>
      <c r="AT57" s="16" t="str">
        <f aca="false">IF(AK57=0,"",IF(AM57=0,IF(OR(ISNUMBER(SEARCH("full",$C57)),UPPER(TRIM($C57))="FT",UPPER(TRIM($C57))="FTE"),"FT",IF(AND(OR(ISNUMBER(SEARCH("part",$C57)),UPPER(TRIM($C57))="PT",UPPER(TRIM($C57))="PTE"),Apply2026="Yes",OR($P57="",N($P57)&gt;=PT_MinHours)),"PT","None")),IF(OR(ISNUMBER(SEARCH("full",AQ57)),UPPER(TRIM(AQ57))="FT",UPPER(TRIM(AQ57))="FTE"),"FT",IF(AND(OR(ISNUMBER(SEARCH("part",AQ57)),UPPER(TRIM(AQ57))="PT",UPPER(TRIM(AQ57))="PTE"),Apply2026="Yes",OR($P57="",N($P57)&gt;=PT_MinHours)),"PT","None"))))</f>
        <v/>
      </c>
      <c r="AU57" s="16" t="str">
        <f aca="false">IF(AK57=0,"",IF(AM57&lt;2,"",IF(OR(ISNUMBER(SEARCH("full",AR57)),UPPER(TRIM(AR57))="FT",UPPER(TRIM(AR57))="FTE"),"FT",IF(AND(OR(ISNUMBER(SEARCH("part",AR57)),UPPER(TRIM(AR57))="PT",UPPER(TRIM(AR57))="PTE"),Apply2026="Yes",OR($P57="",N($P57)&gt;=PT_MinHours)),"PT","None"))))</f>
        <v/>
      </c>
      <c r="AV57" s="16" t="str">
        <f aca="false">IF(AK57=0,"",IF(AM57&lt;3,"",IF(OR(ISNUMBER(SEARCH("full",AS57)),UPPER(TRIM(AS57))="FT",UPPER(TRIM(AS57))="FTE"),"FT",IF(AND(OR(ISNUMBER(SEARCH("part",AS57)),UPPER(TRIM(AS57))="PT",UPPER(TRIM(AS57))="PTE"),Apply2026="Yes",OR($P57="",N($P57)&gt;=PT_MinHours)),"PT","None"))))</f>
        <v/>
      </c>
      <c r="AW57" s="16" t="str">
        <f aca="false">IF(AK57=0,"",IF(AND(AM57&gt;=3,AP57&lt;=AsOfDate),AV57,IF(AND(AM57&gt;=2,AO57&lt;=AsOfDate),AU57,AT57)))</f>
        <v/>
      </c>
      <c r="AX57" s="16" t="str">
        <f aca="false">IF(AK57=0,"",IF(AsOfDate&lt;AL57,-1,12*(YEAR(AsOfDate)-YEAR(AL57))+MONTH(AsOfDate)-MONTH(AL57)-IF(DAY(AsOfDate)&lt;MIN(DAY(AL57),DAY(EOMONTH(AsOfDate,0))),1,0)))</f>
        <v/>
      </c>
      <c r="AY57" s="16" t="str">
        <f aca="false">IF(AK57=0,"",IF(OR(AM57&lt;2,AO57&gt;AsOfDate),AX57,IF((AO57-1)&lt;AL57,-1,12*(YEAR((AO57-1))-YEAR(AL57))+MONTH((AO57-1))-MONTH(AL57)-IF(DAY((AO57-1))&lt;MIN(DAY(AL57),DAY(EOMONTH((AO57-1),0))),1,0))))</f>
        <v/>
      </c>
      <c r="AZ57" s="16" t="str">
        <f aca="false">IF(AK57=0,"",IF(OR(AM57&lt;3,AP57&gt;AsOfDate),AX57,IF((AP57-1)&lt;AL57,-1,12*(YEAR((AP57-1))-YEAR(AL57))+MONTH((AP57-1))-MONTH(AL57)-IF(DAY((AP57-1))&lt;MIN(DAY(AL57),DAY(EOMONTH((AP57-1),0))),1,0))))</f>
        <v/>
      </c>
      <c r="BA57" s="16" t="str">
        <f aca="false">IF(AK57=0,"",IF(PFYDate&lt;AL57,-1,12*(YEAR(PFYDate)-YEAR(AL57))+MONTH(PFYDate)-MONTH(AL57)-IF(DAY(PFYDate)&lt;MIN(DAY(AL57),DAY(EOMONTH(PFYDate,0))),1,0)))</f>
        <v/>
      </c>
      <c r="BB57" s="16" t="str">
        <f aca="false">IF(AK57=0,"",IF(OR(AM57&lt;2,AO57&gt;PFYDate),BA57,IF((AO57-1)&lt;AL57,-1,12*(YEAR((AO57-1))-YEAR(AL57))+MONTH((AO57-1))-MONTH(AL57)-IF(DAY((AO57-1))&lt;MIN(DAY(AL57),DAY(EOMONTH((AO57-1),0))),1,0))))</f>
        <v/>
      </c>
      <c r="BC57" s="16" t="str">
        <f aca="false">IF(AK57=0,"",IF(OR(AM57&lt;3,AP57&gt;PFYDate),BA57,IF((AP57-1)&lt;AL57,-1,12*(YEAR((AP57-1))-YEAR(AL57))+MONTH((AP57-1))-MONTH(AL57)-IF(DAY((AP57-1))&lt;MIN(DAY(AL57),DAY(EOMONTH((AP57-1),0))),1,0))))</f>
        <v/>
      </c>
      <c r="BD57" s="16" t="str">
        <f aca="false">IF(AK57=0,"",IF(AT57="FT",IF(AY57&lt;FT_First,0,IF(AY57&lt;FT_Y5,1+INT((AY57-FT_First)/FT_Int1),FT_PreY5+FT_PerYear*INT((AY57-FT_Y5)/12)+FT_AnnivDays+INT(MOD(AY57-FT_Y5,12)/FT_Int2)-IF(EDATE(AL57,FT_Y5)&lt;PolicyEff,FT_AnnivDays-1,0))),IF(AT57="PT",IF(AY57&lt;PT_First,0,1+INT((AY57-PT_First)/PT_Int)),0))+IF(AND(AM57&gt;=2,AO57&lt;=AsOfDate),IF(AU57="FT",IF(AZ57&lt;FT_First,0,IF(AZ57&lt;FT_Y5,1+INT((AZ57-FT_First)/FT_Int1),FT_PreY5+FT_PerYear*INT((AZ57-FT_Y5)/12)+FT_AnnivDays+INT(MOD(AZ57-FT_Y5,12)/FT_Int2)-IF(EDATE(AL57,FT_Y5)&lt;PolicyEff,FT_AnnivDays-1,0))),IF(AU57="PT",IF(AZ57&lt;PT_First,0,1+INT((AZ57-PT_First)/PT_Int)),0))-IF(AU57="FT",IF(AY57&lt;FT_First,0,IF(AY57&lt;FT_Y5,1+INT((AY57-FT_First)/FT_Int1),FT_PreY5+FT_PerYear*INT((AY57-FT_Y5)/12)+FT_AnnivDays+INT(MOD(AY57-FT_Y5,12)/FT_Int2)-IF(EDATE(AL57,FT_Y5)&lt;PolicyEff,FT_AnnivDays-1,0))),IF(AU57="PT",IF(AY57&lt;PT_First,0,1+INT((AY57-PT_First)/PT_Int)),0)),0)+IF(AND(AM57&gt;=3,AP57&lt;=AsOfDate),IF(AV57="FT",IF(AX57&lt;FT_First,0,IF(AX57&lt;FT_Y5,1+INT((AX57-FT_First)/FT_Int1),FT_PreY5+FT_PerYear*INT((AX57-FT_Y5)/12)+FT_AnnivDays+INT(MOD(AX57-FT_Y5,12)/FT_Int2)-IF(EDATE(AL57,FT_Y5)&lt;PolicyEff,FT_AnnivDays-1,0))),IF(AV57="PT",IF(AX57&lt;PT_First,0,1+INT((AX57-PT_First)/PT_Int)),0))-IF(AV57="FT",IF(AZ57&lt;FT_First,0,IF(AZ57&lt;FT_Y5,1+INT((AZ57-FT_First)/FT_Int1),FT_PreY5+FT_PerYear*INT((AZ57-FT_Y5)/12)+FT_AnnivDays+INT(MOD(AZ57-FT_Y5,12)/FT_Int2)-IF(EDATE(AL57,FT_Y5)&lt;PolicyEff,FT_AnnivDays-1,0))),IF(AV57="PT",IF(AZ57&lt;PT_First,0,1+INT((AZ57-PT_First)/PT_Int)),0)),0))</f>
        <v/>
      </c>
      <c r="BE57" s="16" t="str">
        <f aca="false">IF(AK57=0,"",IF(AT57="FT",IF(BB57&lt;FT_First,0,IF(BB57&lt;FT_Y5,1+INT((BB57-FT_First)/FT_Int1),FT_PreY5+FT_PerYear*INT((BB57-FT_Y5)/12)+FT_AnnivDays+INT(MOD(BB57-FT_Y5,12)/FT_Int2)-IF(EDATE(AL57,FT_Y5)&lt;PolicyEff,FT_AnnivDays-1,0))),IF(AT57="PT",IF(BB57&lt;PT_First,0,1+INT((BB57-PT_First)/PT_Int)),0))+IF(AND(AM57&gt;=2,AO57&lt;=PFYDate),IF(AU57="FT",IF(BC57&lt;FT_First,0,IF(BC57&lt;FT_Y5,1+INT((BC57-FT_First)/FT_Int1),FT_PreY5+FT_PerYear*INT((BC57-FT_Y5)/12)+FT_AnnivDays+INT(MOD(BC57-FT_Y5,12)/FT_Int2)-IF(EDATE(AL57,FT_Y5)&lt;PolicyEff,FT_AnnivDays-1,0))),IF(AU57="PT",IF(BC57&lt;PT_First,0,1+INT((BC57-PT_First)/PT_Int)),0))-IF(AU57="FT",IF(BB57&lt;FT_First,0,IF(BB57&lt;FT_Y5,1+INT((BB57-FT_First)/FT_Int1),FT_PreY5+FT_PerYear*INT((BB57-FT_Y5)/12)+FT_AnnivDays+INT(MOD(BB57-FT_Y5,12)/FT_Int2)-IF(EDATE(AL57,FT_Y5)&lt;PolicyEff,FT_AnnivDays-1,0))),IF(AU57="PT",IF(BB57&lt;PT_First,0,1+INT((BB57-PT_First)/PT_Int)),0)),0)+IF(AND(AM57&gt;=3,AP57&lt;=PFYDate),IF(AV57="FT",IF(BA57&lt;FT_First,0,IF(BA57&lt;FT_Y5,1+INT((BA57-FT_First)/FT_Int1),FT_PreY5+FT_PerYear*INT((BA57-FT_Y5)/12)+FT_AnnivDays+INT(MOD(BA57-FT_Y5,12)/FT_Int2)-IF(EDATE(AL57,FT_Y5)&lt;PolicyEff,FT_AnnivDays-1,0))),IF(AV57="PT",IF(BA57&lt;PT_First,0,1+INT((BA57-PT_First)/PT_Int)),0))-IF(AV57="FT",IF(BC57&lt;FT_First,0,IF(BC57&lt;FT_Y5,1+INT((BC57-FT_First)/FT_Int1),FT_PreY5+FT_PerYear*INT((BC57-FT_Y5)/12)+FT_AnnivDays+INT(MOD(BC57-FT_Y5,12)/FT_Int2)-IF(EDATE(AL57,FT_Y5)&lt;PolicyEff,FT_AnnivDays-1,0))),IF(AV57="PT",IF(BC57&lt;PT_First,0,1+INT((BC57-PT_First)/PT_Int)),0)),0))</f>
        <v/>
      </c>
      <c r="BF57" s="16" t="str">
        <f aca="false">IF(AK57=0,"",IF(AW57="FT",IF(AX57&lt;FT_First,FT_First,IF(AX57&lt;FT_Y5,MIN(FT_Y5,FT_First+FT_Int1*(INT((AX57-FT_First)/FT_Int1)+1)),FT_Y5+12*INT((AX57-FT_Y5)/12)+FT_Int2*(INT(MOD(AX57-FT_Y5,12)/FT_Int2)+1))),IF(AW57="PT",IF(AX57&lt;PT_First,PT_First,PT_First+PT_Int*(INT((AX57-PT_First)/PT_Int)+1)),"")))</f>
        <v/>
      </c>
      <c r="BG57" s="16" t="str">
        <f aca="false">IF(AK57=0,"",IF(NOT(LH_Ready),0,COUNTIFS(INDEX(LH_Data,0,LH_ColFirst),$A57,INDEX(LH_Data,0,LH_ColSur),$B57,INDEX(LH_Data,0,LH_ColCat),BonusCat)))</f>
        <v/>
      </c>
      <c r="BH57" s="16" t="str">
        <f aca="false">IF(AK57=0,"",IF(OR(NOT(LH_Ready),BG57=0),0,SUMPRODUCT(MAX((INDEX(LH_Data,0,LH_ColFirst)=$A57)*(INDEX(LH_Data,0,LH_ColSur)=$B57)*(INDEX(LH_Data,0,LH_ColCat)=BonusCat)*ROW(LH_Data)))))</f>
        <v/>
      </c>
      <c r="BI57" s="16" t="str">
        <f aca="false">IF(AK57=0,"",IF(EOMONTH(AsOfDate,-1)&lt;AL57,-1,12*(YEAR(EOMONTH(AsOfDate,-1))-YEAR(AL57))+MONTH(EOMONTH(AsOfDate,-1))-MONTH(AL57)-IF(DAY(EOMONTH(AsOfDate,-1))&lt;MIN(DAY(AL57),DAY(EOMONTH(EOMONTH(AsOfDate,-1),0))),1,0)))</f>
        <v/>
      </c>
      <c r="BJ57" s="16" t="str">
        <f aca="false">IF(AK57=0,"",IF(OR(AM57&lt;2,AO57&gt;EOMONTH(AsOfDate,-1)),BI57,IF((AO57-1)&lt;AL57,-1,12*(YEAR((AO57-1))-YEAR(AL57))+MONTH((AO57-1))-MONTH(AL57)-IF(DAY((AO57-1))&lt;MIN(DAY(AL57),DAY(EOMONTH((AO57-1),0))),1,0))))</f>
        <v/>
      </c>
      <c r="BK57" s="16" t="str">
        <f aca="false">IF(AK57=0,"",IF(OR(AM57&lt;3,AP57&gt;EOMONTH(AsOfDate,-1)),BI57,IF((AP57-1)&lt;AL57,-1,12*(YEAR((AP57-1))-YEAR(AL57))+MONTH((AP57-1))-MONTH(AL57)-IF(DAY((AP57-1))&lt;MIN(DAY(AL57),DAY(EOMONTH((AP57-1),0))),1,0))))</f>
        <v/>
      </c>
      <c r="BL57" s="16" t="str">
        <f aca="false">IF(AK57=0,"",IF(AT57="FT",IF(BJ57&lt;FT_First,0,IF(BJ57&lt;FT_Y5,1+INT((BJ57-FT_First)/FT_Int1),FT_PreY5+FT_PerYear*INT((BJ57-FT_Y5)/12)+FT_AnnivDays+INT(MOD(BJ57-FT_Y5,12)/FT_Int2)-IF(EDATE(AL57,FT_Y5)&lt;PolicyEff,FT_AnnivDays-1,0))),IF(AT57="PT",IF(BJ57&lt;PT_First,0,1+INT((BJ57-PT_First)/PT_Int)),0))+IF(AND(AM57&gt;=2,AO57&lt;=EOMONTH(AsOfDate,-1)),IF(AU57="FT",IF(BK57&lt;FT_First,0,IF(BK57&lt;FT_Y5,1+INT((BK57-FT_First)/FT_Int1),FT_PreY5+FT_PerYear*INT((BK57-FT_Y5)/12)+FT_AnnivDays+INT(MOD(BK57-FT_Y5,12)/FT_Int2)-IF(EDATE(AL57,FT_Y5)&lt;PolicyEff,FT_AnnivDays-1,0))),IF(AU57="PT",IF(BK57&lt;PT_First,0,1+INT((BK57-PT_First)/PT_Int)),0))-IF(AU57="FT",IF(BJ57&lt;FT_First,0,IF(BJ57&lt;FT_Y5,1+INT((BJ57-FT_First)/FT_Int1),FT_PreY5+FT_PerYear*INT((BJ57-FT_Y5)/12)+FT_AnnivDays+INT(MOD(BJ57-FT_Y5,12)/FT_Int2)-IF(EDATE(AL57,FT_Y5)&lt;PolicyEff,FT_AnnivDays-1,0))),IF(AU57="PT",IF(BJ57&lt;PT_First,0,1+INT((BJ57-PT_First)/PT_Int)),0)),0)+IF(AND(AM57&gt;=3,AP57&lt;=EOMONTH(AsOfDate,-1)),IF(AV57="FT",IF(BI57&lt;FT_First,0,IF(BI57&lt;FT_Y5,1+INT((BI57-FT_First)/FT_Int1),FT_PreY5+FT_PerYear*INT((BI57-FT_Y5)/12)+FT_AnnivDays+INT(MOD(BI57-FT_Y5,12)/FT_Int2)-IF(EDATE(AL57,FT_Y5)&lt;PolicyEff,FT_AnnivDays-1,0))),IF(AV57="PT",IF(BI57&lt;PT_First,0,1+INT((BI57-PT_First)/PT_Int)),0))-IF(AV57="FT",IF(BK57&lt;FT_First,0,IF(BK57&lt;FT_Y5,1+INT((BK57-FT_First)/FT_Int1),FT_PreY5+FT_PerYear*INT((BK57-FT_Y5)/12)+FT_AnnivDays+INT(MOD(BK57-FT_Y5,12)/FT_Int2)-IF(EDATE(AL57,FT_Y5)&lt;PolicyEff,FT_AnnivDays-1,0))),IF(AV57="PT",IF(BK57&lt;PT_First,0,1+INT((BK57-PT_First)/PT_Int)),0)),0))</f>
        <v/>
      </c>
      <c r="BM57" s="16" t="str">
        <f aca="false">IF(AK57=0,"",IF(AW57="FT",IF(AX57&lt;FT_First,"",IF(AX57&lt;FT_Y5,FT_First+FT_Int1*INT((AX57-FT_First)/FT_Int1),FT_Y5+FT_Int2*INT((AX57-FT_Y5)/FT_Int2))),IF(AW57="PT",IF(AX57&lt;PT_First,"",PT_First+PT_Int*INT((AX57-PT_First)/PT_Int)),"")))</f>
        <v/>
      </c>
      <c r="BN57" s="16" t="str">
        <f aca="false">IF(AK57=0,"",IF((SchemeStart-1)&lt;AL57,-1,12*(YEAR((SchemeStart-1))-YEAR(AL57))+MONTH((SchemeStart-1))-MONTH(AL57)-IF(DAY((SchemeStart-1))&lt;MIN(DAY(AL57),DAY(EOMONTH((SchemeStart-1),0))),1,0)))</f>
        <v/>
      </c>
      <c r="BO57" s="16" t="str">
        <f aca="false">IF(AK57=0,"",IF(OR(AM57&lt;2,AO57&gt;(SchemeStart-1)),BN57,IF((AO57-1)&lt;AL57,-1,12*(YEAR((AO57-1))-YEAR(AL57))+MONTH((AO57-1))-MONTH(AL57)-IF(DAY((AO57-1))&lt;MIN(DAY(AL57),DAY(EOMONTH((AO57-1),0))),1,0))))</f>
        <v/>
      </c>
      <c r="BP57" s="16" t="str">
        <f aca="false">IF(AK57=0,"",IF(OR(AM57&lt;3,AP57&gt;(SchemeStart-1)),BN57,IF((AP57-1)&lt;AL57,-1,12*(YEAR((AP57-1))-YEAR(AL57))+MONTH((AP57-1))-MONTH(AL57)-IF(DAY((AP57-1))&lt;MIN(DAY(AL57),DAY(EOMONTH((AP57-1),0))),1,0))))</f>
        <v/>
      </c>
      <c r="BQ57" s="16" t="str">
        <f aca="false">IF(AK57=0,"",IF(AT57="FT",IF(BO57&lt;FT_First,0,IF(BO57&lt;FT_Y5,1+INT((BO57-FT_First)/FT_Int1),FT_PreY5+FT_PerYear*INT((BO57-FT_Y5)/12)+FT_AnnivDays+INT(MOD(BO57-FT_Y5,12)/FT_Int2)-IF(EDATE(AL57,FT_Y5)&lt;PolicyEff,FT_AnnivDays-1,0))),IF(AT57="PT",IF(BO57&lt;PT_First,0,1+INT((BO57-PT_First)/PT_Int)),0))+IF(AND(AM57&gt;=2,AO57&lt;=(SchemeStart-1)),IF(AU57="FT",IF(BP57&lt;FT_First,0,IF(BP57&lt;FT_Y5,1+INT((BP57-FT_First)/FT_Int1),FT_PreY5+FT_PerYear*INT((BP57-FT_Y5)/12)+FT_AnnivDays+INT(MOD(BP57-FT_Y5,12)/FT_Int2)-IF(EDATE(AL57,FT_Y5)&lt;PolicyEff,FT_AnnivDays-1,0))),IF(AU57="PT",IF(BP57&lt;PT_First,0,1+INT((BP57-PT_First)/PT_Int)),0))-IF(AU57="FT",IF(BO57&lt;FT_First,0,IF(BO57&lt;FT_Y5,1+INT((BO57-FT_First)/FT_Int1),FT_PreY5+FT_PerYear*INT((BO57-FT_Y5)/12)+FT_AnnivDays+INT(MOD(BO57-FT_Y5,12)/FT_Int2)-IF(EDATE(AL57,FT_Y5)&lt;PolicyEff,FT_AnnivDays-1,0))),IF(AU57="PT",IF(BO57&lt;PT_First,0,1+INT((BO57-PT_First)/PT_Int)),0)),0)+IF(AND(AM57&gt;=3,AP57&lt;=(SchemeStart-1)),IF(AV57="FT",IF(BN57&lt;FT_First,0,IF(BN57&lt;FT_Y5,1+INT((BN57-FT_First)/FT_Int1),FT_PreY5+FT_PerYear*INT((BN57-FT_Y5)/12)+FT_AnnivDays+INT(MOD(BN57-FT_Y5,12)/FT_Int2)-IF(EDATE(AL57,FT_Y5)&lt;PolicyEff,FT_AnnivDays-1,0))),IF(AV57="PT",IF(BN57&lt;PT_First,0,1+INT((BN57-PT_First)/PT_Int)),0))-IF(AV57="FT",IF(BP57&lt;FT_First,0,IF(BP57&lt;FT_Y5,1+INT((BP57-FT_First)/FT_Int1),FT_PreY5+FT_PerYear*INT((BP57-FT_Y5)/12)+FT_AnnivDays+INT(MOD(BP57-FT_Y5,12)/FT_Int2)-IF(EDATE(AL57,FT_Y5)&lt;PolicyEff,FT_AnnivDays-1,0))),IF(AV57="PT",IF(BP57&lt;PT_First,0,1+INT((BP57-PT_First)/PT_Int)),0)),0))</f>
        <v/>
      </c>
      <c r="BR57" s="0" t="str">
        <f aca="false">IF(LEN($A57&amp;$B57)=0,"",$A57&amp;" "&amp;$B57)</f>
        <v/>
      </c>
    </row>
    <row r="58" customFormat="false" ht="15" hidden="false" customHeight="false" outlineLevel="0" collapsed="false">
      <c r="A58" s="12"/>
      <c r="B58" s="12"/>
      <c r="C58" s="12"/>
      <c r="D58" s="13"/>
      <c r="E58" s="14" t="str">
        <f aca="false">IF(OR(AK58=0,$D58=""),"",DATE(YEAR(AsOfDate)+IF(DATE(YEAR(AsOfDate),MONTH($D58),DAY($D58))&lt;=AsOfDate,1,0),MONTH($D58),DAY($D58)))</f>
        <v/>
      </c>
      <c r="F58" s="13"/>
      <c r="G58" s="13"/>
      <c r="H58" s="13"/>
      <c r="I58" s="13"/>
      <c r="J58" s="13"/>
      <c r="K58" s="14" t="str">
        <f aca="false">IF(AK58=0,"",DATE(YEAR(AsOfDate)+IF(DATE(YEAR(AsOfDate),MONTH(AL58),DAY(AL58))&lt;=AsOfDate,1,0),MONTH(AL58),DAY(AL58)))</f>
        <v/>
      </c>
      <c r="L58" s="15" t="str">
        <f aca="false">IF(AK58=0,"",ROUND((AsOfDate-AL58)/365.25,1))</f>
        <v/>
      </c>
      <c r="M58" s="16" t="str">
        <f aca="false">IF(AK58=0,"",IF(AsOfDate&lt;AL58,"-",DATEDIF(AL58,AsOfDate,"y")&amp;"y "&amp;DATEDIF(AL58,AsOfDate,"ym")&amp;"m "&amp;DATEDIF(AL58,AsOfDate,"md")&amp;"d"))</f>
        <v/>
      </c>
      <c r="N58" s="17" t="str">
        <f aca="false">IF(AK58=0,"",O58*HoursPerDay)</f>
        <v/>
      </c>
      <c r="O58" s="17" t="str">
        <f aca="false">IF(AK58=0,"",MAX(0,BD58-BQ58))</f>
        <v/>
      </c>
      <c r="P58" s="18"/>
      <c r="Q58" s="16" t="str">
        <f aca="false">IF(AK58=0,"",IF(AM58&lt;2,"",AQ58&amp;" to "&amp;AR58&amp;" on "&amp;TEXT(AO58,"dd/mm/yyyy")&amp;IF(AO58&gt;AsOfDate," (future)",IF(AT58=AU58,"",IF(AU58="None"," - STOPPED accruing",IF(AT58="None"," - commencement for Bonus Leave"," - pathway changed"))))&amp;IF(AM58&lt;3,"","; "&amp;AR58&amp;" to "&amp;AS58&amp;" on "&amp;TEXT(AP58,"dd/mm/yyyy")&amp;IF(AP58&gt;AsOfDate," (future)",IF(AU58=AV58,"",IF(AV58="None"," - STOPPED accruing",IF(AU58="None"," - commencement for Bonus Leave"," - pathway changed")))))))</f>
        <v/>
      </c>
      <c r="R58" s="16" t="str">
        <f aca="false">IF(AK58=0,"",IF(AW58="None",IF(O58&gt;0,"No longer accruing","Not eligible - "&amp;IF(AND(OR(ISNUMBER(SEARCH("part",$C58)),UPPER(TRIM($C58))="PT",UPPER(TRIM($C58))="PTE"),Apply2026="No"),"part-time (scheme is full-time only)",IF(AND(OR(ISNUMBER(SEARCH("part",$C58)),UPPER(TRIM($C58))="PT",UPPER(TRIM($C58))="PTE"),$P58&lt;&gt;"",N($P58)&lt;PT_MinHours),"under "&amp;PT_MinHours&amp;" hrs",IF(IF($C58="","",IF(OR(ISNUMBER(SEARCH("full",$C58)),UPPER(TRIM($C58))="FT",UPPER(TRIM($C58))="FTE"),"Full-Time",IF(OR(ISNUMBER(SEARCH("part",$C58)),UPPER(TRIM($C58))="PT",UPPER(TRIM($C58))="PTE"),"Part-Time",IF(OR(ISNUMBER(SEARCH("cas",$C58)),UPPER(TRIM($C58))="CAS"),"Casual","Unknown"))))="Unknown","type not recognised",$C58)))),IF(O58&gt;0,"Yes - Accrual Required","Not yet - from "&amp;TEXT(S58,"dd/mm/yyyy"))))</f>
        <v/>
      </c>
      <c r="S58" s="14" t="str">
        <f aca="false">IF(AK58=0,"",IF(AW58="None","",EDATE(AL58,BF58)))</f>
        <v/>
      </c>
      <c r="T58" s="17" t="str">
        <f aca="false">IF(AK58=0,"",IF(NOT(LH_Ready),"",IF($F58&gt;PFYDate,0,IF(LH_ColPeriod=0,W58-U58+V58,SUMIFS(INDEX(LH_Data,0,LH_ColAcc),INDEX(LH_Data,0,LH_ColFirst),$A58,INDEX(LH_Data,0,LH_ColSur),$B58,INDEX(LH_Data,0,LH_ColCat),BonusCat,INDEX(LH_Data,0,LH_ColPeriod),LH_OpenLabel)*UnitFactor))))</f>
        <v/>
      </c>
      <c r="U58" s="17" t="str">
        <f aca="false">IF(AK58=0,"",IF(NOT(LH_Ready),"",SUMIFS(INDEX(LH_Data,0,LH_ColAcc),INDEX(LH_Data,0,LH_ColFirst),$A58,INDEX(LH_Data,0,LH_ColSur),$B58,INDEX(LH_Data,0,LH_ColCat),BonusCat,INDEX(LH_Data,0,LH_ColStart),"&gt;="&amp;AL58)*UnitFactor))</f>
        <v/>
      </c>
      <c r="V58" s="17" t="str">
        <f aca="false">IF(AK58=0,"",IF(NOT(LH_Ready),"",SUMIFS(INDEX(LH_Data,0,LH_ColTaken),INDEX(LH_Data,0,LH_ColFirst),$A58,INDEX(LH_Data,0,LH_ColSur),$B58,INDEX(LH_Data,0,LH_ColCat),BonusCat,INDEX(LH_Data,0,LH_ColStart),"&gt;="&amp;AL58)*UnitFactor))</f>
        <v/>
      </c>
      <c r="W58" s="17" t="str">
        <f aca="false">IF(AK58=0,"",IF(NOT(LH_Ready),"",IF(BH58=0,0,INDEX(INDEX(LH_Data,0,LH_ColClose),BH58-1)*UnitFactor)))</f>
        <v/>
      </c>
      <c r="X58" s="17" t="str">
        <f aca="false">IF(AK58=0,"",(MAX(0,BD58-BQ58)-MAX(0,BE58-BQ58))*HoursPerDay)</f>
        <v/>
      </c>
      <c r="Y58" s="17" t="str">
        <f aca="false">IF(AK58=0,"",IF(NOT(LH_Ready),"",IF($AI58="Yes",N(AE58)*HoursPerDay-SUMIFS(INDEX(LH_Data,0,LH_ColAcc),INDEX(LH_Data,0,LH_ColFirst),$A58,INDEX(LH_Data,0,LH_ColSur),$B58,INDEX(LH_Data,0,LH_ColCat),BonusCat,INDEX(LH_Data,0,LH_ColStart),"&gt;="&amp;(EOMONTH(AsOfDate,-1)+1),INDEX(LH_Data,0,LH_ColStart),"&lt;="&amp;AsOfDate)*UnitFactor,IF(BG58=0,N58,N58-N(T58)-N(U58)))))</f>
        <v/>
      </c>
      <c r="Z58" s="16" t="str">
        <f aca="false">IF(OR(AK58=0,Y58=""),"",IF(Y58&gt;0,"Yes","No"))</f>
        <v/>
      </c>
      <c r="AA58" s="16" t="str">
        <f aca="false">IF(AK58=0,IF(LEN($A58&amp;$B58)=0,"","FIX INPUT - StartDate missing"),IF(AD58&lt;&gt;"","FIX INPUT - "&amp;AD58,IF(NOT(LH_Ready),"Paste Leave History export (Settings must show YES)",IF(AND($AI58="Yes",Y58&lt;=0),"OK - EH balance accepted to date"&amp;IF(N(AH58)&gt;0," (EH holds "&amp;AH58&amp;" hrs over the scheme)","")&amp;"; next day "&amp;TEXT(S58,"dd mmm yy")&amp;IF(N(AE58)&gt;0," ("&amp;AE58&amp;" day(s) for "&amp;UPPER(TEXT(AsOfDate,"mmm yyyy"))&amp;" already in EH)",""),IF(Y58&gt;0,"ACCRUE "&amp;ROUND(Y58,2)&amp;" hrs ("&amp;ROUND(Y58/HoursPerDay,2)&amp;" days): "&amp;IF(N(AE58)&gt;0,AE58&amp;" day(s) for "&amp;UPPER(TEXT(AsOfDate,"mmm yyyy"))&amp;" (milestone "&amp;UPPER(TEXT(AF58,"dd mmm yy"))&amp;")"&amp;IF(Y58/HoursPerDay&gt;AE58+0.001," + "&amp;ROUND(Y58/HoursPerDay-AE58,2)&amp;" day(s) catch-up from earlier months",""),"all catch-up from earlier months, nothing new this month")&amp;IF(BG58=0,"; no Bonus Leave in EH yet",""),IF(Y58&lt;0,"CHECK - EH accrued "&amp;ROUND(-Y58,2)&amp;" hrs more than policy since commencement",IF(N(W58)&gt;O58*HoursPerDay+0.01,"CHECK - EH balance "&amp;ROUND(W58-O58*HoursPerDay,2)&amp;" hrs more than policy entitlement",IF(O58&gt;0,"OK - nothing to add"&amp;IF(N(AE58)&gt;0," ("&amp;AE58&amp;" day(s) for "&amp;UPPER(TEXT(AsOfDate,"mmm yyyy"))&amp;" already in EH)",""),IF(AW58="None",R58,"Not yet - first day on "&amp;TEXT(S58,"dd/mm/yyyy"))))))))))</f>
        <v/>
      </c>
      <c r="AB58" s="17" t="str">
        <f aca="false">IF(OR(AK58=0,T58=""),"",MAX(0,BE58-BQ58)*HoursPerDay-T58)</f>
        <v/>
      </c>
      <c r="AC58" s="16" t="str">
        <f aca="false">IF(AK58=0,"",BG58)</f>
        <v/>
      </c>
      <c r="AD58" s="16" t="str">
        <f aca="false">IF(AK58=0,"",TRIM(IF(OR(ISTEXT($F58),ISTEXT($H58),ISTEXT($I58),ISTEXT($G58),ISTEXT($J58),ISTEXT($D58)),"A date is typed as text - retype it as dd/mm/yyyy. ","")&amp;IF(IF($C58="","",IF(OR(ISNUMBER(SEARCH("full",$C58)),UPPER(TRIM($C58))="FT",UPPER(TRIM($C58))="FTE"),"Full-Time",IF(OR(ISNUMBER(SEARCH("part",$C58)),UPPER(TRIM($C58))="PT",UPPER(TRIM($C58))="PTE"),"Part-Time",IF(OR(ISNUMBER(SEARCH("cas",$C58)),UPPER(TRIM($C58))="CAS"),"Casual","Unknown"))))="Unknown","EmploymentType not recognised - use Full-Time, Part-Time or Casual. ","")&amp;IF(AND(AM58&gt;=1,IF(AM58&gt;=3,AS58,IF(AM58=2,AR58,AQ58))&lt;&gt;IF($C58="","",IF(OR(ISNUMBER(SEARCH("full",$C58)),UPPER(TRIM($C58))="FT",UPPER(TRIM($C58))="FTE"),"Full-Time",IF(OR(ISNUMBER(SEARCH("part",$C58)),UPPER(TRIM($C58))="PT",UPPER(TRIM($C58))="PTE"),"Part-Time",IF(OR(ISNUMBER(SEARCH("cas",$C58)),UPPER(TRIM($C58))="CAS"),"Casual","Unknown"))))),"EmploymentType does not match latest start date ("&amp;IF(AM58&gt;=3,AS58,IF(AM58=2,AR58,AQ58))&amp;"). ","")&amp;IF(AND(AM58&gt;=1,AN58&lt;&gt;$F58),"Earliest type date should equal StartDate. ","")&amp;IF(AND(AM58&gt;=2,AN58=AO58),"Two types start on the same date. ","")&amp;IF(AND(OR(ISNUMBER(SEARCH("part",$C58)),UPPER(TRIM($C58))="PT",UPPER(TRIM($C58))="PTE"),$P58=""),"Part-time: enter PT Hrs/Week (blank = 24+). ","")))</f>
        <v/>
      </c>
      <c r="AE58" s="17" t="str">
        <f aca="false">IF(AK58=0,"",O58-MAX(0,BL58-BQ58))</f>
        <v/>
      </c>
      <c r="AF58" s="14" t="str">
        <f aca="false">IF(OR(AK58=0,AE58="",N(AE58)=0,BM58=""),"",EDATE(AL58,BM58))</f>
        <v/>
      </c>
      <c r="AG58" s="17" t="str">
        <f aca="false">IF(AK58=0,"",MIN(BD58,BQ58))</f>
        <v/>
      </c>
      <c r="AH58" s="17" t="str">
        <f aca="false">IF(AK58=0,"",IF(NOT(LH_Ready),"",IF(BG58=0,0,MAX(0,ROUND(N(T58)+N(U58)-N58,2)))))</f>
        <v/>
      </c>
      <c r="AI58" s="12"/>
      <c r="AJ58" s="12"/>
      <c r="AK58" s="16" t="n">
        <f aca="false">IF(OR(LEN($A58&amp;$B58)=0,$F58=""),0,1)</f>
        <v>0</v>
      </c>
      <c r="AL58" s="14" t="str">
        <f aca="false">IF(AK58=0,"",IF(PreSchemeCounts="No",MAX(SchemeStart,IF($J58&lt;&gt;"",$J58,IF(OR(CasualCounts="Yes",COUNT($G58:$I58)=0),$F58,IF(Apply2026="No",IF($I58="",$F58,$I58),IF(COUNT($H58:$I58)=0,$F58,MIN($H58:$I58)))))),IF($J58&lt;&gt;"",$J58,IF(OR(CasualCounts="Yes",COUNT($G58:$I58)=0),$F58,IF(Apply2026="No",IF($I58="",$F58,$I58),IF(COUNT($H58:$I58)=0,$F58,MIN($H58:$I58)))))))</f>
        <v/>
      </c>
      <c r="AM58" s="16" t="str">
        <f aca="false">IF(AK58=0,"",COUNT($G58:$I58))</f>
        <v/>
      </c>
      <c r="AN58" s="14" t="str">
        <f aca="false">IF(AK58=0,"",IFERROR(SMALL($G58:$I58,1),""))</f>
        <v/>
      </c>
      <c r="AO58" s="14" t="str">
        <f aca="false">IF(AK58=0,"",IFERROR(SMALL($G58:$I58,2),""))</f>
        <v/>
      </c>
      <c r="AP58" s="14" t="str">
        <f aca="false">IF(AK58=0,"",IFERROR(SMALL($G58:$I58,3),""))</f>
        <v/>
      </c>
      <c r="AQ58" s="16" t="str">
        <f aca="false">IF(AK58=0,"",IF(AN58="","",IF(AN58=$H58,"Part-Time",IF(AN58=$I58,"Full-Time","Casual"))))</f>
        <v/>
      </c>
      <c r="AR58" s="16" t="str">
        <f aca="false">IF(AK58=0,"",IF(AO58="","",IF(AO58=$H58,"Part-Time",IF(AO58=$I58,"Full-Time","Casual"))))</f>
        <v/>
      </c>
      <c r="AS58" s="16" t="str">
        <f aca="false">IF(AK58=0,"",IF(AP58="","",IF(AP58=$H58,"Part-Time",IF(AP58=$I58,"Full-Time","Casual"))))</f>
        <v/>
      </c>
      <c r="AT58" s="16" t="str">
        <f aca="false">IF(AK58=0,"",IF(AM58=0,IF(OR(ISNUMBER(SEARCH("full",$C58)),UPPER(TRIM($C58))="FT",UPPER(TRIM($C58))="FTE"),"FT",IF(AND(OR(ISNUMBER(SEARCH("part",$C58)),UPPER(TRIM($C58))="PT",UPPER(TRIM($C58))="PTE"),Apply2026="Yes",OR($P58="",N($P58)&gt;=PT_MinHours)),"PT","None")),IF(OR(ISNUMBER(SEARCH("full",AQ58)),UPPER(TRIM(AQ58))="FT",UPPER(TRIM(AQ58))="FTE"),"FT",IF(AND(OR(ISNUMBER(SEARCH("part",AQ58)),UPPER(TRIM(AQ58))="PT",UPPER(TRIM(AQ58))="PTE"),Apply2026="Yes",OR($P58="",N($P58)&gt;=PT_MinHours)),"PT","None"))))</f>
        <v/>
      </c>
      <c r="AU58" s="16" t="str">
        <f aca="false">IF(AK58=0,"",IF(AM58&lt;2,"",IF(OR(ISNUMBER(SEARCH("full",AR58)),UPPER(TRIM(AR58))="FT",UPPER(TRIM(AR58))="FTE"),"FT",IF(AND(OR(ISNUMBER(SEARCH("part",AR58)),UPPER(TRIM(AR58))="PT",UPPER(TRIM(AR58))="PTE"),Apply2026="Yes",OR($P58="",N($P58)&gt;=PT_MinHours)),"PT","None"))))</f>
        <v/>
      </c>
      <c r="AV58" s="16" t="str">
        <f aca="false">IF(AK58=0,"",IF(AM58&lt;3,"",IF(OR(ISNUMBER(SEARCH("full",AS58)),UPPER(TRIM(AS58))="FT",UPPER(TRIM(AS58))="FTE"),"FT",IF(AND(OR(ISNUMBER(SEARCH("part",AS58)),UPPER(TRIM(AS58))="PT",UPPER(TRIM(AS58))="PTE"),Apply2026="Yes",OR($P58="",N($P58)&gt;=PT_MinHours)),"PT","None"))))</f>
        <v/>
      </c>
      <c r="AW58" s="16" t="str">
        <f aca="false">IF(AK58=0,"",IF(AND(AM58&gt;=3,AP58&lt;=AsOfDate),AV58,IF(AND(AM58&gt;=2,AO58&lt;=AsOfDate),AU58,AT58)))</f>
        <v/>
      </c>
      <c r="AX58" s="16" t="str">
        <f aca="false">IF(AK58=0,"",IF(AsOfDate&lt;AL58,-1,12*(YEAR(AsOfDate)-YEAR(AL58))+MONTH(AsOfDate)-MONTH(AL58)-IF(DAY(AsOfDate)&lt;MIN(DAY(AL58),DAY(EOMONTH(AsOfDate,0))),1,0)))</f>
        <v/>
      </c>
      <c r="AY58" s="16" t="str">
        <f aca="false">IF(AK58=0,"",IF(OR(AM58&lt;2,AO58&gt;AsOfDate),AX58,IF((AO58-1)&lt;AL58,-1,12*(YEAR((AO58-1))-YEAR(AL58))+MONTH((AO58-1))-MONTH(AL58)-IF(DAY((AO58-1))&lt;MIN(DAY(AL58),DAY(EOMONTH((AO58-1),0))),1,0))))</f>
        <v/>
      </c>
      <c r="AZ58" s="16" t="str">
        <f aca="false">IF(AK58=0,"",IF(OR(AM58&lt;3,AP58&gt;AsOfDate),AX58,IF((AP58-1)&lt;AL58,-1,12*(YEAR((AP58-1))-YEAR(AL58))+MONTH((AP58-1))-MONTH(AL58)-IF(DAY((AP58-1))&lt;MIN(DAY(AL58),DAY(EOMONTH((AP58-1),0))),1,0))))</f>
        <v/>
      </c>
      <c r="BA58" s="16" t="str">
        <f aca="false">IF(AK58=0,"",IF(PFYDate&lt;AL58,-1,12*(YEAR(PFYDate)-YEAR(AL58))+MONTH(PFYDate)-MONTH(AL58)-IF(DAY(PFYDate)&lt;MIN(DAY(AL58),DAY(EOMONTH(PFYDate,0))),1,0)))</f>
        <v/>
      </c>
      <c r="BB58" s="16" t="str">
        <f aca="false">IF(AK58=0,"",IF(OR(AM58&lt;2,AO58&gt;PFYDate),BA58,IF((AO58-1)&lt;AL58,-1,12*(YEAR((AO58-1))-YEAR(AL58))+MONTH((AO58-1))-MONTH(AL58)-IF(DAY((AO58-1))&lt;MIN(DAY(AL58),DAY(EOMONTH((AO58-1),0))),1,0))))</f>
        <v/>
      </c>
      <c r="BC58" s="16" t="str">
        <f aca="false">IF(AK58=0,"",IF(OR(AM58&lt;3,AP58&gt;PFYDate),BA58,IF((AP58-1)&lt;AL58,-1,12*(YEAR((AP58-1))-YEAR(AL58))+MONTH((AP58-1))-MONTH(AL58)-IF(DAY((AP58-1))&lt;MIN(DAY(AL58),DAY(EOMONTH((AP58-1),0))),1,0))))</f>
        <v/>
      </c>
      <c r="BD58" s="16" t="str">
        <f aca="false">IF(AK58=0,"",IF(AT58="FT",IF(AY58&lt;FT_First,0,IF(AY58&lt;FT_Y5,1+INT((AY58-FT_First)/FT_Int1),FT_PreY5+FT_PerYear*INT((AY58-FT_Y5)/12)+FT_AnnivDays+INT(MOD(AY58-FT_Y5,12)/FT_Int2)-IF(EDATE(AL58,FT_Y5)&lt;PolicyEff,FT_AnnivDays-1,0))),IF(AT58="PT",IF(AY58&lt;PT_First,0,1+INT((AY58-PT_First)/PT_Int)),0))+IF(AND(AM58&gt;=2,AO58&lt;=AsOfDate),IF(AU58="FT",IF(AZ58&lt;FT_First,0,IF(AZ58&lt;FT_Y5,1+INT((AZ58-FT_First)/FT_Int1),FT_PreY5+FT_PerYear*INT((AZ58-FT_Y5)/12)+FT_AnnivDays+INT(MOD(AZ58-FT_Y5,12)/FT_Int2)-IF(EDATE(AL58,FT_Y5)&lt;PolicyEff,FT_AnnivDays-1,0))),IF(AU58="PT",IF(AZ58&lt;PT_First,0,1+INT((AZ58-PT_First)/PT_Int)),0))-IF(AU58="FT",IF(AY58&lt;FT_First,0,IF(AY58&lt;FT_Y5,1+INT((AY58-FT_First)/FT_Int1),FT_PreY5+FT_PerYear*INT((AY58-FT_Y5)/12)+FT_AnnivDays+INT(MOD(AY58-FT_Y5,12)/FT_Int2)-IF(EDATE(AL58,FT_Y5)&lt;PolicyEff,FT_AnnivDays-1,0))),IF(AU58="PT",IF(AY58&lt;PT_First,0,1+INT((AY58-PT_First)/PT_Int)),0)),0)+IF(AND(AM58&gt;=3,AP58&lt;=AsOfDate),IF(AV58="FT",IF(AX58&lt;FT_First,0,IF(AX58&lt;FT_Y5,1+INT((AX58-FT_First)/FT_Int1),FT_PreY5+FT_PerYear*INT((AX58-FT_Y5)/12)+FT_AnnivDays+INT(MOD(AX58-FT_Y5,12)/FT_Int2)-IF(EDATE(AL58,FT_Y5)&lt;PolicyEff,FT_AnnivDays-1,0))),IF(AV58="PT",IF(AX58&lt;PT_First,0,1+INT((AX58-PT_First)/PT_Int)),0))-IF(AV58="FT",IF(AZ58&lt;FT_First,0,IF(AZ58&lt;FT_Y5,1+INT((AZ58-FT_First)/FT_Int1),FT_PreY5+FT_PerYear*INT((AZ58-FT_Y5)/12)+FT_AnnivDays+INT(MOD(AZ58-FT_Y5,12)/FT_Int2)-IF(EDATE(AL58,FT_Y5)&lt;PolicyEff,FT_AnnivDays-1,0))),IF(AV58="PT",IF(AZ58&lt;PT_First,0,1+INT((AZ58-PT_First)/PT_Int)),0)),0))</f>
        <v/>
      </c>
      <c r="BE58" s="16" t="str">
        <f aca="false">IF(AK58=0,"",IF(AT58="FT",IF(BB58&lt;FT_First,0,IF(BB58&lt;FT_Y5,1+INT((BB58-FT_First)/FT_Int1),FT_PreY5+FT_PerYear*INT((BB58-FT_Y5)/12)+FT_AnnivDays+INT(MOD(BB58-FT_Y5,12)/FT_Int2)-IF(EDATE(AL58,FT_Y5)&lt;PolicyEff,FT_AnnivDays-1,0))),IF(AT58="PT",IF(BB58&lt;PT_First,0,1+INT((BB58-PT_First)/PT_Int)),0))+IF(AND(AM58&gt;=2,AO58&lt;=PFYDate),IF(AU58="FT",IF(BC58&lt;FT_First,0,IF(BC58&lt;FT_Y5,1+INT((BC58-FT_First)/FT_Int1),FT_PreY5+FT_PerYear*INT((BC58-FT_Y5)/12)+FT_AnnivDays+INT(MOD(BC58-FT_Y5,12)/FT_Int2)-IF(EDATE(AL58,FT_Y5)&lt;PolicyEff,FT_AnnivDays-1,0))),IF(AU58="PT",IF(BC58&lt;PT_First,0,1+INT((BC58-PT_First)/PT_Int)),0))-IF(AU58="FT",IF(BB58&lt;FT_First,0,IF(BB58&lt;FT_Y5,1+INT((BB58-FT_First)/FT_Int1),FT_PreY5+FT_PerYear*INT((BB58-FT_Y5)/12)+FT_AnnivDays+INT(MOD(BB58-FT_Y5,12)/FT_Int2)-IF(EDATE(AL58,FT_Y5)&lt;PolicyEff,FT_AnnivDays-1,0))),IF(AU58="PT",IF(BB58&lt;PT_First,0,1+INT((BB58-PT_First)/PT_Int)),0)),0)+IF(AND(AM58&gt;=3,AP58&lt;=PFYDate),IF(AV58="FT",IF(BA58&lt;FT_First,0,IF(BA58&lt;FT_Y5,1+INT((BA58-FT_First)/FT_Int1),FT_PreY5+FT_PerYear*INT((BA58-FT_Y5)/12)+FT_AnnivDays+INT(MOD(BA58-FT_Y5,12)/FT_Int2)-IF(EDATE(AL58,FT_Y5)&lt;PolicyEff,FT_AnnivDays-1,0))),IF(AV58="PT",IF(BA58&lt;PT_First,0,1+INT((BA58-PT_First)/PT_Int)),0))-IF(AV58="FT",IF(BC58&lt;FT_First,0,IF(BC58&lt;FT_Y5,1+INT((BC58-FT_First)/FT_Int1),FT_PreY5+FT_PerYear*INT((BC58-FT_Y5)/12)+FT_AnnivDays+INT(MOD(BC58-FT_Y5,12)/FT_Int2)-IF(EDATE(AL58,FT_Y5)&lt;PolicyEff,FT_AnnivDays-1,0))),IF(AV58="PT",IF(BC58&lt;PT_First,0,1+INT((BC58-PT_First)/PT_Int)),0)),0))</f>
        <v/>
      </c>
      <c r="BF58" s="16" t="str">
        <f aca="false">IF(AK58=0,"",IF(AW58="FT",IF(AX58&lt;FT_First,FT_First,IF(AX58&lt;FT_Y5,MIN(FT_Y5,FT_First+FT_Int1*(INT((AX58-FT_First)/FT_Int1)+1)),FT_Y5+12*INT((AX58-FT_Y5)/12)+FT_Int2*(INT(MOD(AX58-FT_Y5,12)/FT_Int2)+1))),IF(AW58="PT",IF(AX58&lt;PT_First,PT_First,PT_First+PT_Int*(INT((AX58-PT_First)/PT_Int)+1)),"")))</f>
        <v/>
      </c>
      <c r="BG58" s="16" t="str">
        <f aca="false">IF(AK58=0,"",IF(NOT(LH_Ready),0,COUNTIFS(INDEX(LH_Data,0,LH_ColFirst),$A58,INDEX(LH_Data,0,LH_ColSur),$B58,INDEX(LH_Data,0,LH_ColCat),BonusCat)))</f>
        <v/>
      </c>
      <c r="BH58" s="16" t="str">
        <f aca="false">IF(AK58=0,"",IF(OR(NOT(LH_Ready),BG58=0),0,SUMPRODUCT(MAX((INDEX(LH_Data,0,LH_ColFirst)=$A58)*(INDEX(LH_Data,0,LH_ColSur)=$B58)*(INDEX(LH_Data,0,LH_ColCat)=BonusCat)*ROW(LH_Data)))))</f>
        <v/>
      </c>
      <c r="BI58" s="16" t="str">
        <f aca="false">IF(AK58=0,"",IF(EOMONTH(AsOfDate,-1)&lt;AL58,-1,12*(YEAR(EOMONTH(AsOfDate,-1))-YEAR(AL58))+MONTH(EOMONTH(AsOfDate,-1))-MONTH(AL58)-IF(DAY(EOMONTH(AsOfDate,-1))&lt;MIN(DAY(AL58),DAY(EOMONTH(EOMONTH(AsOfDate,-1),0))),1,0)))</f>
        <v/>
      </c>
      <c r="BJ58" s="16" t="str">
        <f aca="false">IF(AK58=0,"",IF(OR(AM58&lt;2,AO58&gt;EOMONTH(AsOfDate,-1)),BI58,IF((AO58-1)&lt;AL58,-1,12*(YEAR((AO58-1))-YEAR(AL58))+MONTH((AO58-1))-MONTH(AL58)-IF(DAY((AO58-1))&lt;MIN(DAY(AL58),DAY(EOMONTH((AO58-1),0))),1,0))))</f>
        <v/>
      </c>
      <c r="BK58" s="16" t="str">
        <f aca="false">IF(AK58=0,"",IF(OR(AM58&lt;3,AP58&gt;EOMONTH(AsOfDate,-1)),BI58,IF((AP58-1)&lt;AL58,-1,12*(YEAR((AP58-1))-YEAR(AL58))+MONTH((AP58-1))-MONTH(AL58)-IF(DAY((AP58-1))&lt;MIN(DAY(AL58),DAY(EOMONTH((AP58-1),0))),1,0))))</f>
        <v/>
      </c>
      <c r="BL58" s="16" t="str">
        <f aca="false">IF(AK58=0,"",IF(AT58="FT",IF(BJ58&lt;FT_First,0,IF(BJ58&lt;FT_Y5,1+INT((BJ58-FT_First)/FT_Int1),FT_PreY5+FT_PerYear*INT((BJ58-FT_Y5)/12)+FT_AnnivDays+INT(MOD(BJ58-FT_Y5,12)/FT_Int2)-IF(EDATE(AL58,FT_Y5)&lt;PolicyEff,FT_AnnivDays-1,0))),IF(AT58="PT",IF(BJ58&lt;PT_First,0,1+INT((BJ58-PT_First)/PT_Int)),0))+IF(AND(AM58&gt;=2,AO58&lt;=EOMONTH(AsOfDate,-1)),IF(AU58="FT",IF(BK58&lt;FT_First,0,IF(BK58&lt;FT_Y5,1+INT((BK58-FT_First)/FT_Int1),FT_PreY5+FT_PerYear*INT((BK58-FT_Y5)/12)+FT_AnnivDays+INT(MOD(BK58-FT_Y5,12)/FT_Int2)-IF(EDATE(AL58,FT_Y5)&lt;PolicyEff,FT_AnnivDays-1,0))),IF(AU58="PT",IF(BK58&lt;PT_First,0,1+INT((BK58-PT_First)/PT_Int)),0))-IF(AU58="FT",IF(BJ58&lt;FT_First,0,IF(BJ58&lt;FT_Y5,1+INT((BJ58-FT_First)/FT_Int1),FT_PreY5+FT_PerYear*INT((BJ58-FT_Y5)/12)+FT_AnnivDays+INT(MOD(BJ58-FT_Y5,12)/FT_Int2)-IF(EDATE(AL58,FT_Y5)&lt;PolicyEff,FT_AnnivDays-1,0))),IF(AU58="PT",IF(BJ58&lt;PT_First,0,1+INT((BJ58-PT_First)/PT_Int)),0)),0)+IF(AND(AM58&gt;=3,AP58&lt;=EOMONTH(AsOfDate,-1)),IF(AV58="FT",IF(BI58&lt;FT_First,0,IF(BI58&lt;FT_Y5,1+INT((BI58-FT_First)/FT_Int1),FT_PreY5+FT_PerYear*INT((BI58-FT_Y5)/12)+FT_AnnivDays+INT(MOD(BI58-FT_Y5,12)/FT_Int2)-IF(EDATE(AL58,FT_Y5)&lt;PolicyEff,FT_AnnivDays-1,0))),IF(AV58="PT",IF(BI58&lt;PT_First,0,1+INT((BI58-PT_First)/PT_Int)),0))-IF(AV58="FT",IF(BK58&lt;FT_First,0,IF(BK58&lt;FT_Y5,1+INT((BK58-FT_First)/FT_Int1),FT_PreY5+FT_PerYear*INT((BK58-FT_Y5)/12)+FT_AnnivDays+INT(MOD(BK58-FT_Y5,12)/FT_Int2)-IF(EDATE(AL58,FT_Y5)&lt;PolicyEff,FT_AnnivDays-1,0))),IF(AV58="PT",IF(BK58&lt;PT_First,0,1+INT((BK58-PT_First)/PT_Int)),0)),0))</f>
        <v/>
      </c>
      <c r="BM58" s="16" t="str">
        <f aca="false">IF(AK58=0,"",IF(AW58="FT",IF(AX58&lt;FT_First,"",IF(AX58&lt;FT_Y5,FT_First+FT_Int1*INT((AX58-FT_First)/FT_Int1),FT_Y5+FT_Int2*INT((AX58-FT_Y5)/FT_Int2))),IF(AW58="PT",IF(AX58&lt;PT_First,"",PT_First+PT_Int*INT((AX58-PT_First)/PT_Int)),"")))</f>
        <v/>
      </c>
      <c r="BN58" s="16" t="str">
        <f aca="false">IF(AK58=0,"",IF((SchemeStart-1)&lt;AL58,-1,12*(YEAR((SchemeStart-1))-YEAR(AL58))+MONTH((SchemeStart-1))-MONTH(AL58)-IF(DAY((SchemeStart-1))&lt;MIN(DAY(AL58),DAY(EOMONTH((SchemeStart-1),0))),1,0)))</f>
        <v/>
      </c>
      <c r="BO58" s="16" t="str">
        <f aca="false">IF(AK58=0,"",IF(OR(AM58&lt;2,AO58&gt;(SchemeStart-1)),BN58,IF((AO58-1)&lt;AL58,-1,12*(YEAR((AO58-1))-YEAR(AL58))+MONTH((AO58-1))-MONTH(AL58)-IF(DAY((AO58-1))&lt;MIN(DAY(AL58),DAY(EOMONTH((AO58-1),0))),1,0))))</f>
        <v/>
      </c>
      <c r="BP58" s="16" t="str">
        <f aca="false">IF(AK58=0,"",IF(OR(AM58&lt;3,AP58&gt;(SchemeStart-1)),BN58,IF((AP58-1)&lt;AL58,-1,12*(YEAR((AP58-1))-YEAR(AL58))+MONTH((AP58-1))-MONTH(AL58)-IF(DAY((AP58-1))&lt;MIN(DAY(AL58),DAY(EOMONTH((AP58-1),0))),1,0))))</f>
        <v/>
      </c>
      <c r="BQ58" s="16" t="str">
        <f aca="false">IF(AK58=0,"",IF(AT58="FT",IF(BO58&lt;FT_First,0,IF(BO58&lt;FT_Y5,1+INT((BO58-FT_First)/FT_Int1),FT_PreY5+FT_PerYear*INT((BO58-FT_Y5)/12)+FT_AnnivDays+INT(MOD(BO58-FT_Y5,12)/FT_Int2)-IF(EDATE(AL58,FT_Y5)&lt;PolicyEff,FT_AnnivDays-1,0))),IF(AT58="PT",IF(BO58&lt;PT_First,0,1+INT((BO58-PT_First)/PT_Int)),0))+IF(AND(AM58&gt;=2,AO58&lt;=(SchemeStart-1)),IF(AU58="FT",IF(BP58&lt;FT_First,0,IF(BP58&lt;FT_Y5,1+INT((BP58-FT_First)/FT_Int1),FT_PreY5+FT_PerYear*INT((BP58-FT_Y5)/12)+FT_AnnivDays+INT(MOD(BP58-FT_Y5,12)/FT_Int2)-IF(EDATE(AL58,FT_Y5)&lt;PolicyEff,FT_AnnivDays-1,0))),IF(AU58="PT",IF(BP58&lt;PT_First,0,1+INT((BP58-PT_First)/PT_Int)),0))-IF(AU58="FT",IF(BO58&lt;FT_First,0,IF(BO58&lt;FT_Y5,1+INT((BO58-FT_First)/FT_Int1),FT_PreY5+FT_PerYear*INT((BO58-FT_Y5)/12)+FT_AnnivDays+INT(MOD(BO58-FT_Y5,12)/FT_Int2)-IF(EDATE(AL58,FT_Y5)&lt;PolicyEff,FT_AnnivDays-1,0))),IF(AU58="PT",IF(BO58&lt;PT_First,0,1+INT((BO58-PT_First)/PT_Int)),0)),0)+IF(AND(AM58&gt;=3,AP58&lt;=(SchemeStart-1)),IF(AV58="FT",IF(BN58&lt;FT_First,0,IF(BN58&lt;FT_Y5,1+INT((BN58-FT_First)/FT_Int1),FT_PreY5+FT_PerYear*INT((BN58-FT_Y5)/12)+FT_AnnivDays+INT(MOD(BN58-FT_Y5,12)/FT_Int2)-IF(EDATE(AL58,FT_Y5)&lt;PolicyEff,FT_AnnivDays-1,0))),IF(AV58="PT",IF(BN58&lt;PT_First,0,1+INT((BN58-PT_First)/PT_Int)),0))-IF(AV58="FT",IF(BP58&lt;FT_First,0,IF(BP58&lt;FT_Y5,1+INT((BP58-FT_First)/FT_Int1),FT_PreY5+FT_PerYear*INT((BP58-FT_Y5)/12)+FT_AnnivDays+INT(MOD(BP58-FT_Y5,12)/FT_Int2)-IF(EDATE(AL58,FT_Y5)&lt;PolicyEff,FT_AnnivDays-1,0))),IF(AV58="PT",IF(BP58&lt;PT_First,0,1+INT((BP58-PT_First)/PT_Int)),0)),0))</f>
        <v/>
      </c>
      <c r="BR58" s="0" t="str">
        <f aca="false">IF(LEN($A58&amp;$B58)=0,"",$A58&amp;" "&amp;$B58)</f>
        <v/>
      </c>
    </row>
    <row r="59" customFormat="false" ht="15" hidden="false" customHeight="false" outlineLevel="0" collapsed="false">
      <c r="A59" s="12"/>
      <c r="B59" s="12"/>
      <c r="C59" s="12"/>
      <c r="D59" s="13"/>
      <c r="E59" s="14" t="str">
        <f aca="false">IF(OR(AK59=0,$D59=""),"",DATE(YEAR(AsOfDate)+IF(DATE(YEAR(AsOfDate),MONTH($D59),DAY($D59))&lt;=AsOfDate,1,0),MONTH($D59),DAY($D59)))</f>
        <v/>
      </c>
      <c r="F59" s="13"/>
      <c r="G59" s="13"/>
      <c r="H59" s="13"/>
      <c r="I59" s="13"/>
      <c r="J59" s="13"/>
      <c r="K59" s="14" t="str">
        <f aca="false">IF(AK59=0,"",DATE(YEAR(AsOfDate)+IF(DATE(YEAR(AsOfDate),MONTH(AL59),DAY(AL59))&lt;=AsOfDate,1,0),MONTH(AL59),DAY(AL59)))</f>
        <v/>
      </c>
      <c r="L59" s="15" t="str">
        <f aca="false">IF(AK59=0,"",ROUND((AsOfDate-AL59)/365.25,1))</f>
        <v/>
      </c>
      <c r="M59" s="16" t="str">
        <f aca="false">IF(AK59=0,"",IF(AsOfDate&lt;AL59,"-",DATEDIF(AL59,AsOfDate,"y")&amp;"y "&amp;DATEDIF(AL59,AsOfDate,"ym")&amp;"m "&amp;DATEDIF(AL59,AsOfDate,"md")&amp;"d"))</f>
        <v/>
      </c>
      <c r="N59" s="17" t="str">
        <f aca="false">IF(AK59=0,"",O59*HoursPerDay)</f>
        <v/>
      </c>
      <c r="O59" s="17" t="str">
        <f aca="false">IF(AK59=0,"",MAX(0,BD59-BQ59))</f>
        <v/>
      </c>
      <c r="P59" s="18"/>
      <c r="Q59" s="16" t="str">
        <f aca="false">IF(AK59=0,"",IF(AM59&lt;2,"",AQ59&amp;" to "&amp;AR59&amp;" on "&amp;TEXT(AO59,"dd/mm/yyyy")&amp;IF(AO59&gt;AsOfDate," (future)",IF(AT59=AU59,"",IF(AU59="None"," - STOPPED accruing",IF(AT59="None"," - commencement for Bonus Leave"," - pathway changed"))))&amp;IF(AM59&lt;3,"","; "&amp;AR59&amp;" to "&amp;AS59&amp;" on "&amp;TEXT(AP59,"dd/mm/yyyy")&amp;IF(AP59&gt;AsOfDate," (future)",IF(AU59=AV59,"",IF(AV59="None"," - STOPPED accruing",IF(AU59="None"," - commencement for Bonus Leave"," - pathway changed")))))))</f>
        <v/>
      </c>
      <c r="R59" s="16" t="str">
        <f aca="false">IF(AK59=0,"",IF(AW59="None",IF(O59&gt;0,"No longer accruing","Not eligible - "&amp;IF(AND(OR(ISNUMBER(SEARCH("part",$C59)),UPPER(TRIM($C59))="PT",UPPER(TRIM($C59))="PTE"),Apply2026="No"),"part-time (scheme is full-time only)",IF(AND(OR(ISNUMBER(SEARCH("part",$C59)),UPPER(TRIM($C59))="PT",UPPER(TRIM($C59))="PTE"),$P59&lt;&gt;"",N($P59)&lt;PT_MinHours),"under "&amp;PT_MinHours&amp;" hrs",IF(IF($C59="","",IF(OR(ISNUMBER(SEARCH("full",$C59)),UPPER(TRIM($C59))="FT",UPPER(TRIM($C59))="FTE"),"Full-Time",IF(OR(ISNUMBER(SEARCH("part",$C59)),UPPER(TRIM($C59))="PT",UPPER(TRIM($C59))="PTE"),"Part-Time",IF(OR(ISNUMBER(SEARCH("cas",$C59)),UPPER(TRIM($C59))="CAS"),"Casual","Unknown"))))="Unknown","type not recognised",$C59)))),IF(O59&gt;0,"Yes - Accrual Required","Not yet - from "&amp;TEXT(S59,"dd/mm/yyyy"))))</f>
        <v/>
      </c>
      <c r="S59" s="14" t="str">
        <f aca="false">IF(AK59=0,"",IF(AW59="None","",EDATE(AL59,BF59)))</f>
        <v/>
      </c>
      <c r="T59" s="17" t="str">
        <f aca="false">IF(AK59=0,"",IF(NOT(LH_Ready),"",IF($F59&gt;PFYDate,0,IF(LH_ColPeriod=0,W59-U59+V59,SUMIFS(INDEX(LH_Data,0,LH_ColAcc),INDEX(LH_Data,0,LH_ColFirst),$A59,INDEX(LH_Data,0,LH_ColSur),$B59,INDEX(LH_Data,0,LH_ColCat),BonusCat,INDEX(LH_Data,0,LH_ColPeriod),LH_OpenLabel)*UnitFactor))))</f>
        <v/>
      </c>
      <c r="U59" s="17" t="str">
        <f aca="false">IF(AK59=0,"",IF(NOT(LH_Ready),"",SUMIFS(INDEX(LH_Data,0,LH_ColAcc),INDEX(LH_Data,0,LH_ColFirst),$A59,INDEX(LH_Data,0,LH_ColSur),$B59,INDEX(LH_Data,0,LH_ColCat),BonusCat,INDEX(LH_Data,0,LH_ColStart),"&gt;="&amp;AL59)*UnitFactor))</f>
        <v/>
      </c>
      <c r="V59" s="17" t="str">
        <f aca="false">IF(AK59=0,"",IF(NOT(LH_Ready),"",SUMIFS(INDEX(LH_Data,0,LH_ColTaken),INDEX(LH_Data,0,LH_ColFirst),$A59,INDEX(LH_Data,0,LH_ColSur),$B59,INDEX(LH_Data,0,LH_ColCat),BonusCat,INDEX(LH_Data,0,LH_ColStart),"&gt;="&amp;AL59)*UnitFactor))</f>
        <v/>
      </c>
      <c r="W59" s="17" t="str">
        <f aca="false">IF(AK59=0,"",IF(NOT(LH_Ready),"",IF(BH59=0,0,INDEX(INDEX(LH_Data,0,LH_ColClose),BH59-1)*UnitFactor)))</f>
        <v/>
      </c>
      <c r="X59" s="17" t="str">
        <f aca="false">IF(AK59=0,"",(MAX(0,BD59-BQ59)-MAX(0,BE59-BQ59))*HoursPerDay)</f>
        <v/>
      </c>
      <c r="Y59" s="17" t="str">
        <f aca="false">IF(AK59=0,"",IF(NOT(LH_Ready),"",IF($AI59="Yes",N(AE59)*HoursPerDay-SUMIFS(INDEX(LH_Data,0,LH_ColAcc),INDEX(LH_Data,0,LH_ColFirst),$A59,INDEX(LH_Data,0,LH_ColSur),$B59,INDEX(LH_Data,0,LH_ColCat),BonusCat,INDEX(LH_Data,0,LH_ColStart),"&gt;="&amp;(EOMONTH(AsOfDate,-1)+1),INDEX(LH_Data,0,LH_ColStart),"&lt;="&amp;AsOfDate)*UnitFactor,IF(BG59=0,N59,N59-N(T59)-N(U59)))))</f>
        <v/>
      </c>
      <c r="Z59" s="16" t="str">
        <f aca="false">IF(OR(AK59=0,Y59=""),"",IF(Y59&gt;0,"Yes","No"))</f>
        <v/>
      </c>
      <c r="AA59" s="16" t="str">
        <f aca="false">IF(AK59=0,IF(LEN($A59&amp;$B59)=0,"","FIX INPUT - StartDate missing"),IF(AD59&lt;&gt;"","FIX INPUT - "&amp;AD59,IF(NOT(LH_Ready),"Paste Leave History export (Settings must show YES)",IF(AND($AI59="Yes",Y59&lt;=0),"OK - EH balance accepted to date"&amp;IF(N(AH59)&gt;0," (EH holds "&amp;AH59&amp;" hrs over the scheme)","")&amp;"; next day "&amp;TEXT(S59,"dd mmm yy")&amp;IF(N(AE59)&gt;0," ("&amp;AE59&amp;" day(s) for "&amp;UPPER(TEXT(AsOfDate,"mmm yyyy"))&amp;" already in EH)",""),IF(Y59&gt;0,"ACCRUE "&amp;ROUND(Y59,2)&amp;" hrs ("&amp;ROUND(Y59/HoursPerDay,2)&amp;" days): "&amp;IF(N(AE59)&gt;0,AE59&amp;" day(s) for "&amp;UPPER(TEXT(AsOfDate,"mmm yyyy"))&amp;" (milestone "&amp;UPPER(TEXT(AF59,"dd mmm yy"))&amp;")"&amp;IF(Y59/HoursPerDay&gt;AE59+0.001," + "&amp;ROUND(Y59/HoursPerDay-AE59,2)&amp;" day(s) catch-up from earlier months",""),"all catch-up from earlier months, nothing new this month")&amp;IF(BG59=0,"; no Bonus Leave in EH yet",""),IF(Y59&lt;0,"CHECK - EH accrued "&amp;ROUND(-Y59,2)&amp;" hrs more than policy since commencement",IF(N(W59)&gt;O59*HoursPerDay+0.01,"CHECK - EH balance "&amp;ROUND(W59-O59*HoursPerDay,2)&amp;" hrs more than policy entitlement",IF(O59&gt;0,"OK - nothing to add"&amp;IF(N(AE59)&gt;0," ("&amp;AE59&amp;" day(s) for "&amp;UPPER(TEXT(AsOfDate,"mmm yyyy"))&amp;" already in EH)",""),IF(AW59="None",R59,"Not yet - first day on "&amp;TEXT(S59,"dd/mm/yyyy"))))))))))</f>
        <v/>
      </c>
      <c r="AB59" s="17" t="str">
        <f aca="false">IF(OR(AK59=0,T59=""),"",MAX(0,BE59-BQ59)*HoursPerDay-T59)</f>
        <v/>
      </c>
      <c r="AC59" s="16" t="str">
        <f aca="false">IF(AK59=0,"",BG59)</f>
        <v/>
      </c>
      <c r="AD59" s="16" t="str">
        <f aca="false">IF(AK59=0,"",TRIM(IF(OR(ISTEXT($F59),ISTEXT($H59),ISTEXT($I59),ISTEXT($G59),ISTEXT($J59),ISTEXT($D59)),"A date is typed as text - retype it as dd/mm/yyyy. ","")&amp;IF(IF($C59="","",IF(OR(ISNUMBER(SEARCH("full",$C59)),UPPER(TRIM($C59))="FT",UPPER(TRIM($C59))="FTE"),"Full-Time",IF(OR(ISNUMBER(SEARCH("part",$C59)),UPPER(TRIM($C59))="PT",UPPER(TRIM($C59))="PTE"),"Part-Time",IF(OR(ISNUMBER(SEARCH("cas",$C59)),UPPER(TRIM($C59))="CAS"),"Casual","Unknown"))))="Unknown","EmploymentType not recognised - use Full-Time, Part-Time or Casual. ","")&amp;IF(AND(AM59&gt;=1,IF(AM59&gt;=3,AS59,IF(AM59=2,AR59,AQ59))&lt;&gt;IF($C59="","",IF(OR(ISNUMBER(SEARCH("full",$C59)),UPPER(TRIM($C59))="FT",UPPER(TRIM($C59))="FTE"),"Full-Time",IF(OR(ISNUMBER(SEARCH("part",$C59)),UPPER(TRIM($C59))="PT",UPPER(TRIM($C59))="PTE"),"Part-Time",IF(OR(ISNUMBER(SEARCH("cas",$C59)),UPPER(TRIM($C59))="CAS"),"Casual","Unknown"))))),"EmploymentType does not match latest start date ("&amp;IF(AM59&gt;=3,AS59,IF(AM59=2,AR59,AQ59))&amp;"). ","")&amp;IF(AND(AM59&gt;=1,AN59&lt;&gt;$F59),"Earliest type date should equal StartDate. ","")&amp;IF(AND(AM59&gt;=2,AN59=AO59),"Two types start on the same date. ","")&amp;IF(AND(OR(ISNUMBER(SEARCH("part",$C59)),UPPER(TRIM($C59))="PT",UPPER(TRIM($C59))="PTE"),$P59=""),"Part-time: enter PT Hrs/Week (blank = 24+). ","")))</f>
        <v/>
      </c>
      <c r="AE59" s="17" t="str">
        <f aca="false">IF(AK59=0,"",O59-MAX(0,BL59-BQ59))</f>
        <v/>
      </c>
      <c r="AF59" s="14" t="str">
        <f aca="false">IF(OR(AK59=0,AE59="",N(AE59)=0,BM59=""),"",EDATE(AL59,BM59))</f>
        <v/>
      </c>
      <c r="AG59" s="17" t="str">
        <f aca="false">IF(AK59=0,"",MIN(BD59,BQ59))</f>
        <v/>
      </c>
      <c r="AH59" s="17" t="str">
        <f aca="false">IF(AK59=0,"",IF(NOT(LH_Ready),"",IF(BG59=0,0,MAX(0,ROUND(N(T59)+N(U59)-N59,2)))))</f>
        <v/>
      </c>
      <c r="AI59" s="12"/>
      <c r="AJ59" s="12"/>
      <c r="AK59" s="16" t="n">
        <f aca="false">IF(OR(LEN($A59&amp;$B59)=0,$F59=""),0,1)</f>
        <v>0</v>
      </c>
      <c r="AL59" s="14" t="str">
        <f aca="false">IF(AK59=0,"",IF(PreSchemeCounts="No",MAX(SchemeStart,IF($J59&lt;&gt;"",$J59,IF(OR(CasualCounts="Yes",COUNT($G59:$I59)=0),$F59,IF(Apply2026="No",IF($I59="",$F59,$I59),IF(COUNT($H59:$I59)=0,$F59,MIN($H59:$I59)))))),IF($J59&lt;&gt;"",$J59,IF(OR(CasualCounts="Yes",COUNT($G59:$I59)=0),$F59,IF(Apply2026="No",IF($I59="",$F59,$I59),IF(COUNT($H59:$I59)=0,$F59,MIN($H59:$I59)))))))</f>
        <v/>
      </c>
      <c r="AM59" s="16" t="str">
        <f aca="false">IF(AK59=0,"",COUNT($G59:$I59))</f>
        <v/>
      </c>
      <c r="AN59" s="14" t="str">
        <f aca="false">IF(AK59=0,"",IFERROR(SMALL($G59:$I59,1),""))</f>
        <v/>
      </c>
      <c r="AO59" s="14" t="str">
        <f aca="false">IF(AK59=0,"",IFERROR(SMALL($G59:$I59,2),""))</f>
        <v/>
      </c>
      <c r="AP59" s="14" t="str">
        <f aca="false">IF(AK59=0,"",IFERROR(SMALL($G59:$I59,3),""))</f>
        <v/>
      </c>
      <c r="AQ59" s="16" t="str">
        <f aca="false">IF(AK59=0,"",IF(AN59="","",IF(AN59=$H59,"Part-Time",IF(AN59=$I59,"Full-Time","Casual"))))</f>
        <v/>
      </c>
      <c r="AR59" s="16" t="str">
        <f aca="false">IF(AK59=0,"",IF(AO59="","",IF(AO59=$H59,"Part-Time",IF(AO59=$I59,"Full-Time","Casual"))))</f>
        <v/>
      </c>
      <c r="AS59" s="16" t="str">
        <f aca="false">IF(AK59=0,"",IF(AP59="","",IF(AP59=$H59,"Part-Time",IF(AP59=$I59,"Full-Time","Casual"))))</f>
        <v/>
      </c>
      <c r="AT59" s="16" t="str">
        <f aca="false">IF(AK59=0,"",IF(AM59=0,IF(OR(ISNUMBER(SEARCH("full",$C59)),UPPER(TRIM($C59))="FT",UPPER(TRIM($C59))="FTE"),"FT",IF(AND(OR(ISNUMBER(SEARCH("part",$C59)),UPPER(TRIM($C59))="PT",UPPER(TRIM($C59))="PTE"),Apply2026="Yes",OR($P59="",N($P59)&gt;=PT_MinHours)),"PT","None")),IF(OR(ISNUMBER(SEARCH("full",AQ59)),UPPER(TRIM(AQ59))="FT",UPPER(TRIM(AQ59))="FTE"),"FT",IF(AND(OR(ISNUMBER(SEARCH("part",AQ59)),UPPER(TRIM(AQ59))="PT",UPPER(TRIM(AQ59))="PTE"),Apply2026="Yes",OR($P59="",N($P59)&gt;=PT_MinHours)),"PT","None"))))</f>
        <v/>
      </c>
      <c r="AU59" s="16" t="str">
        <f aca="false">IF(AK59=0,"",IF(AM59&lt;2,"",IF(OR(ISNUMBER(SEARCH("full",AR59)),UPPER(TRIM(AR59))="FT",UPPER(TRIM(AR59))="FTE"),"FT",IF(AND(OR(ISNUMBER(SEARCH("part",AR59)),UPPER(TRIM(AR59))="PT",UPPER(TRIM(AR59))="PTE"),Apply2026="Yes",OR($P59="",N($P59)&gt;=PT_MinHours)),"PT","None"))))</f>
        <v/>
      </c>
      <c r="AV59" s="16" t="str">
        <f aca="false">IF(AK59=0,"",IF(AM59&lt;3,"",IF(OR(ISNUMBER(SEARCH("full",AS59)),UPPER(TRIM(AS59))="FT",UPPER(TRIM(AS59))="FTE"),"FT",IF(AND(OR(ISNUMBER(SEARCH("part",AS59)),UPPER(TRIM(AS59))="PT",UPPER(TRIM(AS59))="PTE"),Apply2026="Yes",OR($P59="",N($P59)&gt;=PT_MinHours)),"PT","None"))))</f>
        <v/>
      </c>
      <c r="AW59" s="16" t="str">
        <f aca="false">IF(AK59=0,"",IF(AND(AM59&gt;=3,AP59&lt;=AsOfDate),AV59,IF(AND(AM59&gt;=2,AO59&lt;=AsOfDate),AU59,AT59)))</f>
        <v/>
      </c>
      <c r="AX59" s="16" t="str">
        <f aca="false">IF(AK59=0,"",IF(AsOfDate&lt;AL59,-1,12*(YEAR(AsOfDate)-YEAR(AL59))+MONTH(AsOfDate)-MONTH(AL59)-IF(DAY(AsOfDate)&lt;MIN(DAY(AL59),DAY(EOMONTH(AsOfDate,0))),1,0)))</f>
        <v/>
      </c>
      <c r="AY59" s="16" t="str">
        <f aca="false">IF(AK59=0,"",IF(OR(AM59&lt;2,AO59&gt;AsOfDate),AX59,IF((AO59-1)&lt;AL59,-1,12*(YEAR((AO59-1))-YEAR(AL59))+MONTH((AO59-1))-MONTH(AL59)-IF(DAY((AO59-1))&lt;MIN(DAY(AL59),DAY(EOMONTH((AO59-1),0))),1,0))))</f>
        <v/>
      </c>
      <c r="AZ59" s="16" t="str">
        <f aca="false">IF(AK59=0,"",IF(OR(AM59&lt;3,AP59&gt;AsOfDate),AX59,IF((AP59-1)&lt;AL59,-1,12*(YEAR((AP59-1))-YEAR(AL59))+MONTH((AP59-1))-MONTH(AL59)-IF(DAY((AP59-1))&lt;MIN(DAY(AL59),DAY(EOMONTH((AP59-1),0))),1,0))))</f>
        <v/>
      </c>
      <c r="BA59" s="16" t="str">
        <f aca="false">IF(AK59=0,"",IF(PFYDate&lt;AL59,-1,12*(YEAR(PFYDate)-YEAR(AL59))+MONTH(PFYDate)-MONTH(AL59)-IF(DAY(PFYDate)&lt;MIN(DAY(AL59),DAY(EOMONTH(PFYDate,0))),1,0)))</f>
        <v/>
      </c>
      <c r="BB59" s="16" t="str">
        <f aca="false">IF(AK59=0,"",IF(OR(AM59&lt;2,AO59&gt;PFYDate),BA59,IF((AO59-1)&lt;AL59,-1,12*(YEAR((AO59-1))-YEAR(AL59))+MONTH((AO59-1))-MONTH(AL59)-IF(DAY((AO59-1))&lt;MIN(DAY(AL59),DAY(EOMONTH((AO59-1),0))),1,0))))</f>
        <v/>
      </c>
      <c r="BC59" s="16" t="str">
        <f aca="false">IF(AK59=0,"",IF(OR(AM59&lt;3,AP59&gt;PFYDate),BA59,IF((AP59-1)&lt;AL59,-1,12*(YEAR((AP59-1))-YEAR(AL59))+MONTH((AP59-1))-MONTH(AL59)-IF(DAY((AP59-1))&lt;MIN(DAY(AL59),DAY(EOMONTH((AP59-1),0))),1,0))))</f>
        <v/>
      </c>
      <c r="BD59" s="16" t="str">
        <f aca="false">IF(AK59=0,"",IF(AT59="FT",IF(AY59&lt;FT_First,0,IF(AY59&lt;FT_Y5,1+INT((AY59-FT_First)/FT_Int1),FT_PreY5+FT_PerYear*INT((AY59-FT_Y5)/12)+FT_AnnivDays+INT(MOD(AY59-FT_Y5,12)/FT_Int2)-IF(EDATE(AL59,FT_Y5)&lt;PolicyEff,FT_AnnivDays-1,0))),IF(AT59="PT",IF(AY59&lt;PT_First,0,1+INT((AY59-PT_First)/PT_Int)),0))+IF(AND(AM59&gt;=2,AO59&lt;=AsOfDate),IF(AU59="FT",IF(AZ59&lt;FT_First,0,IF(AZ59&lt;FT_Y5,1+INT((AZ59-FT_First)/FT_Int1),FT_PreY5+FT_PerYear*INT((AZ59-FT_Y5)/12)+FT_AnnivDays+INT(MOD(AZ59-FT_Y5,12)/FT_Int2)-IF(EDATE(AL59,FT_Y5)&lt;PolicyEff,FT_AnnivDays-1,0))),IF(AU59="PT",IF(AZ59&lt;PT_First,0,1+INT((AZ59-PT_First)/PT_Int)),0))-IF(AU59="FT",IF(AY59&lt;FT_First,0,IF(AY59&lt;FT_Y5,1+INT((AY59-FT_First)/FT_Int1),FT_PreY5+FT_PerYear*INT((AY59-FT_Y5)/12)+FT_AnnivDays+INT(MOD(AY59-FT_Y5,12)/FT_Int2)-IF(EDATE(AL59,FT_Y5)&lt;PolicyEff,FT_AnnivDays-1,0))),IF(AU59="PT",IF(AY59&lt;PT_First,0,1+INT((AY59-PT_First)/PT_Int)),0)),0)+IF(AND(AM59&gt;=3,AP59&lt;=AsOfDate),IF(AV59="FT",IF(AX59&lt;FT_First,0,IF(AX59&lt;FT_Y5,1+INT((AX59-FT_First)/FT_Int1),FT_PreY5+FT_PerYear*INT((AX59-FT_Y5)/12)+FT_AnnivDays+INT(MOD(AX59-FT_Y5,12)/FT_Int2)-IF(EDATE(AL59,FT_Y5)&lt;PolicyEff,FT_AnnivDays-1,0))),IF(AV59="PT",IF(AX59&lt;PT_First,0,1+INT((AX59-PT_First)/PT_Int)),0))-IF(AV59="FT",IF(AZ59&lt;FT_First,0,IF(AZ59&lt;FT_Y5,1+INT((AZ59-FT_First)/FT_Int1),FT_PreY5+FT_PerYear*INT((AZ59-FT_Y5)/12)+FT_AnnivDays+INT(MOD(AZ59-FT_Y5,12)/FT_Int2)-IF(EDATE(AL59,FT_Y5)&lt;PolicyEff,FT_AnnivDays-1,0))),IF(AV59="PT",IF(AZ59&lt;PT_First,0,1+INT((AZ59-PT_First)/PT_Int)),0)),0))</f>
        <v/>
      </c>
      <c r="BE59" s="16" t="str">
        <f aca="false">IF(AK59=0,"",IF(AT59="FT",IF(BB59&lt;FT_First,0,IF(BB59&lt;FT_Y5,1+INT((BB59-FT_First)/FT_Int1),FT_PreY5+FT_PerYear*INT((BB59-FT_Y5)/12)+FT_AnnivDays+INT(MOD(BB59-FT_Y5,12)/FT_Int2)-IF(EDATE(AL59,FT_Y5)&lt;PolicyEff,FT_AnnivDays-1,0))),IF(AT59="PT",IF(BB59&lt;PT_First,0,1+INT((BB59-PT_First)/PT_Int)),0))+IF(AND(AM59&gt;=2,AO59&lt;=PFYDate),IF(AU59="FT",IF(BC59&lt;FT_First,0,IF(BC59&lt;FT_Y5,1+INT((BC59-FT_First)/FT_Int1),FT_PreY5+FT_PerYear*INT((BC59-FT_Y5)/12)+FT_AnnivDays+INT(MOD(BC59-FT_Y5,12)/FT_Int2)-IF(EDATE(AL59,FT_Y5)&lt;PolicyEff,FT_AnnivDays-1,0))),IF(AU59="PT",IF(BC59&lt;PT_First,0,1+INT((BC59-PT_First)/PT_Int)),0))-IF(AU59="FT",IF(BB59&lt;FT_First,0,IF(BB59&lt;FT_Y5,1+INT((BB59-FT_First)/FT_Int1),FT_PreY5+FT_PerYear*INT((BB59-FT_Y5)/12)+FT_AnnivDays+INT(MOD(BB59-FT_Y5,12)/FT_Int2)-IF(EDATE(AL59,FT_Y5)&lt;PolicyEff,FT_AnnivDays-1,0))),IF(AU59="PT",IF(BB59&lt;PT_First,0,1+INT((BB59-PT_First)/PT_Int)),0)),0)+IF(AND(AM59&gt;=3,AP59&lt;=PFYDate),IF(AV59="FT",IF(BA59&lt;FT_First,0,IF(BA59&lt;FT_Y5,1+INT((BA59-FT_First)/FT_Int1),FT_PreY5+FT_PerYear*INT((BA59-FT_Y5)/12)+FT_AnnivDays+INT(MOD(BA59-FT_Y5,12)/FT_Int2)-IF(EDATE(AL59,FT_Y5)&lt;PolicyEff,FT_AnnivDays-1,0))),IF(AV59="PT",IF(BA59&lt;PT_First,0,1+INT((BA59-PT_First)/PT_Int)),0))-IF(AV59="FT",IF(BC59&lt;FT_First,0,IF(BC59&lt;FT_Y5,1+INT((BC59-FT_First)/FT_Int1),FT_PreY5+FT_PerYear*INT((BC59-FT_Y5)/12)+FT_AnnivDays+INT(MOD(BC59-FT_Y5,12)/FT_Int2)-IF(EDATE(AL59,FT_Y5)&lt;PolicyEff,FT_AnnivDays-1,0))),IF(AV59="PT",IF(BC59&lt;PT_First,0,1+INT((BC59-PT_First)/PT_Int)),0)),0))</f>
        <v/>
      </c>
      <c r="BF59" s="16" t="str">
        <f aca="false">IF(AK59=0,"",IF(AW59="FT",IF(AX59&lt;FT_First,FT_First,IF(AX59&lt;FT_Y5,MIN(FT_Y5,FT_First+FT_Int1*(INT((AX59-FT_First)/FT_Int1)+1)),FT_Y5+12*INT((AX59-FT_Y5)/12)+FT_Int2*(INT(MOD(AX59-FT_Y5,12)/FT_Int2)+1))),IF(AW59="PT",IF(AX59&lt;PT_First,PT_First,PT_First+PT_Int*(INT((AX59-PT_First)/PT_Int)+1)),"")))</f>
        <v/>
      </c>
      <c r="BG59" s="16" t="str">
        <f aca="false">IF(AK59=0,"",IF(NOT(LH_Ready),0,COUNTIFS(INDEX(LH_Data,0,LH_ColFirst),$A59,INDEX(LH_Data,0,LH_ColSur),$B59,INDEX(LH_Data,0,LH_ColCat),BonusCat)))</f>
        <v/>
      </c>
      <c r="BH59" s="16" t="str">
        <f aca="false">IF(AK59=0,"",IF(OR(NOT(LH_Ready),BG59=0),0,SUMPRODUCT(MAX((INDEX(LH_Data,0,LH_ColFirst)=$A59)*(INDEX(LH_Data,0,LH_ColSur)=$B59)*(INDEX(LH_Data,0,LH_ColCat)=BonusCat)*ROW(LH_Data)))))</f>
        <v/>
      </c>
      <c r="BI59" s="16" t="str">
        <f aca="false">IF(AK59=0,"",IF(EOMONTH(AsOfDate,-1)&lt;AL59,-1,12*(YEAR(EOMONTH(AsOfDate,-1))-YEAR(AL59))+MONTH(EOMONTH(AsOfDate,-1))-MONTH(AL59)-IF(DAY(EOMONTH(AsOfDate,-1))&lt;MIN(DAY(AL59),DAY(EOMONTH(EOMONTH(AsOfDate,-1),0))),1,0)))</f>
        <v/>
      </c>
      <c r="BJ59" s="16" t="str">
        <f aca="false">IF(AK59=0,"",IF(OR(AM59&lt;2,AO59&gt;EOMONTH(AsOfDate,-1)),BI59,IF((AO59-1)&lt;AL59,-1,12*(YEAR((AO59-1))-YEAR(AL59))+MONTH((AO59-1))-MONTH(AL59)-IF(DAY((AO59-1))&lt;MIN(DAY(AL59),DAY(EOMONTH((AO59-1),0))),1,0))))</f>
        <v/>
      </c>
      <c r="BK59" s="16" t="str">
        <f aca="false">IF(AK59=0,"",IF(OR(AM59&lt;3,AP59&gt;EOMONTH(AsOfDate,-1)),BI59,IF((AP59-1)&lt;AL59,-1,12*(YEAR((AP59-1))-YEAR(AL59))+MONTH((AP59-1))-MONTH(AL59)-IF(DAY((AP59-1))&lt;MIN(DAY(AL59),DAY(EOMONTH((AP59-1),0))),1,0))))</f>
        <v/>
      </c>
      <c r="BL59" s="16" t="str">
        <f aca="false">IF(AK59=0,"",IF(AT59="FT",IF(BJ59&lt;FT_First,0,IF(BJ59&lt;FT_Y5,1+INT((BJ59-FT_First)/FT_Int1),FT_PreY5+FT_PerYear*INT((BJ59-FT_Y5)/12)+FT_AnnivDays+INT(MOD(BJ59-FT_Y5,12)/FT_Int2)-IF(EDATE(AL59,FT_Y5)&lt;PolicyEff,FT_AnnivDays-1,0))),IF(AT59="PT",IF(BJ59&lt;PT_First,0,1+INT((BJ59-PT_First)/PT_Int)),0))+IF(AND(AM59&gt;=2,AO59&lt;=EOMONTH(AsOfDate,-1)),IF(AU59="FT",IF(BK59&lt;FT_First,0,IF(BK59&lt;FT_Y5,1+INT((BK59-FT_First)/FT_Int1),FT_PreY5+FT_PerYear*INT((BK59-FT_Y5)/12)+FT_AnnivDays+INT(MOD(BK59-FT_Y5,12)/FT_Int2)-IF(EDATE(AL59,FT_Y5)&lt;PolicyEff,FT_AnnivDays-1,0))),IF(AU59="PT",IF(BK59&lt;PT_First,0,1+INT((BK59-PT_First)/PT_Int)),0))-IF(AU59="FT",IF(BJ59&lt;FT_First,0,IF(BJ59&lt;FT_Y5,1+INT((BJ59-FT_First)/FT_Int1),FT_PreY5+FT_PerYear*INT((BJ59-FT_Y5)/12)+FT_AnnivDays+INT(MOD(BJ59-FT_Y5,12)/FT_Int2)-IF(EDATE(AL59,FT_Y5)&lt;PolicyEff,FT_AnnivDays-1,0))),IF(AU59="PT",IF(BJ59&lt;PT_First,0,1+INT((BJ59-PT_First)/PT_Int)),0)),0)+IF(AND(AM59&gt;=3,AP59&lt;=EOMONTH(AsOfDate,-1)),IF(AV59="FT",IF(BI59&lt;FT_First,0,IF(BI59&lt;FT_Y5,1+INT((BI59-FT_First)/FT_Int1),FT_PreY5+FT_PerYear*INT((BI59-FT_Y5)/12)+FT_AnnivDays+INT(MOD(BI59-FT_Y5,12)/FT_Int2)-IF(EDATE(AL59,FT_Y5)&lt;PolicyEff,FT_AnnivDays-1,0))),IF(AV59="PT",IF(BI59&lt;PT_First,0,1+INT((BI59-PT_First)/PT_Int)),0))-IF(AV59="FT",IF(BK59&lt;FT_First,0,IF(BK59&lt;FT_Y5,1+INT((BK59-FT_First)/FT_Int1),FT_PreY5+FT_PerYear*INT((BK59-FT_Y5)/12)+FT_AnnivDays+INT(MOD(BK59-FT_Y5,12)/FT_Int2)-IF(EDATE(AL59,FT_Y5)&lt;PolicyEff,FT_AnnivDays-1,0))),IF(AV59="PT",IF(BK59&lt;PT_First,0,1+INT((BK59-PT_First)/PT_Int)),0)),0))</f>
        <v/>
      </c>
      <c r="BM59" s="16" t="str">
        <f aca="false">IF(AK59=0,"",IF(AW59="FT",IF(AX59&lt;FT_First,"",IF(AX59&lt;FT_Y5,FT_First+FT_Int1*INT((AX59-FT_First)/FT_Int1),FT_Y5+FT_Int2*INT((AX59-FT_Y5)/FT_Int2))),IF(AW59="PT",IF(AX59&lt;PT_First,"",PT_First+PT_Int*INT((AX59-PT_First)/PT_Int)),"")))</f>
        <v/>
      </c>
      <c r="BN59" s="16" t="str">
        <f aca="false">IF(AK59=0,"",IF((SchemeStart-1)&lt;AL59,-1,12*(YEAR((SchemeStart-1))-YEAR(AL59))+MONTH((SchemeStart-1))-MONTH(AL59)-IF(DAY((SchemeStart-1))&lt;MIN(DAY(AL59),DAY(EOMONTH((SchemeStart-1),0))),1,0)))</f>
        <v/>
      </c>
      <c r="BO59" s="16" t="str">
        <f aca="false">IF(AK59=0,"",IF(OR(AM59&lt;2,AO59&gt;(SchemeStart-1)),BN59,IF((AO59-1)&lt;AL59,-1,12*(YEAR((AO59-1))-YEAR(AL59))+MONTH((AO59-1))-MONTH(AL59)-IF(DAY((AO59-1))&lt;MIN(DAY(AL59),DAY(EOMONTH((AO59-1),0))),1,0))))</f>
        <v/>
      </c>
      <c r="BP59" s="16" t="str">
        <f aca="false">IF(AK59=0,"",IF(OR(AM59&lt;3,AP59&gt;(SchemeStart-1)),BN59,IF((AP59-1)&lt;AL59,-1,12*(YEAR((AP59-1))-YEAR(AL59))+MONTH((AP59-1))-MONTH(AL59)-IF(DAY((AP59-1))&lt;MIN(DAY(AL59),DAY(EOMONTH((AP59-1),0))),1,0))))</f>
        <v/>
      </c>
      <c r="BQ59" s="16" t="str">
        <f aca="false">IF(AK59=0,"",IF(AT59="FT",IF(BO59&lt;FT_First,0,IF(BO59&lt;FT_Y5,1+INT((BO59-FT_First)/FT_Int1),FT_PreY5+FT_PerYear*INT((BO59-FT_Y5)/12)+FT_AnnivDays+INT(MOD(BO59-FT_Y5,12)/FT_Int2)-IF(EDATE(AL59,FT_Y5)&lt;PolicyEff,FT_AnnivDays-1,0))),IF(AT59="PT",IF(BO59&lt;PT_First,0,1+INT((BO59-PT_First)/PT_Int)),0))+IF(AND(AM59&gt;=2,AO59&lt;=(SchemeStart-1)),IF(AU59="FT",IF(BP59&lt;FT_First,0,IF(BP59&lt;FT_Y5,1+INT((BP59-FT_First)/FT_Int1),FT_PreY5+FT_PerYear*INT((BP59-FT_Y5)/12)+FT_AnnivDays+INT(MOD(BP59-FT_Y5,12)/FT_Int2)-IF(EDATE(AL59,FT_Y5)&lt;PolicyEff,FT_AnnivDays-1,0))),IF(AU59="PT",IF(BP59&lt;PT_First,0,1+INT((BP59-PT_First)/PT_Int)),0))-IF(AU59="FT",IF(BO59&lt;FT_First,0,IF(BO59&lt;FT_Y5,1+INT((BO59-FT_First)/FT_Int1),FT_PreY5+FT_PerYear*INT((BO59-FT_Y5)/12)+FT_AnnivDays+INT(MOD(BO59-FT_Y5,12)/FT_Int2)-IF(EDATE(AL59,FT_Y5)&lt;PolicyEff,FT_AnnivDays-1,0))),IF(AU59="PT",IF(BO59&lt;PT_First,0,1+INT((BO59-PT_First)/PT_Int)),0)),0)+IF(AND(AM59&gt;=3,AP59&lt;=(SchemeStart-1)),IF(AV59="FT",IF(BN59&lt;FT_First,0,IF(BN59&lt;FT_Y5,1+INT((BN59-FT_First)/FT_Int1),FT_PreY5+FT_PerYear*INT((BN59-FT_Y5)/12)+FT_AnnivDays+INT(MOD(BN59-FT_Y5,12)/FT_Int2)-IF(EDATE(AL59,FT_Y5)&lt;PolicyEff,FT_AnnivDays-1,0))),IF(AV59="PT",IF(BN59&lt;PT_First,0,1+INT((BN59-PT_First)/PT_Int)),0))-IF(AV59="FT",IF(BP59&lt;FT_First,0,IF(BP59&lt;FT_Y5,1+INT((BP59-FT_First)/FT_Int1),FT_PreY5+FT_PerYear*INT((BP59-FT_Y5)/12)+FT_AnnivDays+INT(MOD(BP59-FT_Y5,12)/FT_Int2)-IF(EDATE(AL59,FT_Y5)&lt;PolicyEff,FT_AnnivDays-1,0))),IF(AV59="PT",IF(BP59&lt;PT_First,0,1+INT((BP59-PT_First)/PT_Int)),0)),0))</f>
        <v/>
      </c>
      <c r="BR59" s="0" t="str">
        <f aca="false">IF(LEN($A59&amp;$B59)=0,"",$A59&amp;" "&amp;$B59)</f>
        <v/>
      </c>
    </row>
    <row r="60" customFormat="false" ht="15" hidden="false" customHeight="false" outlineLevel="0" collapsed="false">
      <c r="A60" s="12"/>
      <c r="B60" s="12"/>
      <c r="C60" s="12"/>
      <c r="D60" s="13"/>
      <c r="E60" s="14" t="str">
        <f aca="false">IF(OR(AK60=0,$D60=""),"",DATE(YEAR(AsOfDate)+IF(DATE(YEAR(AsOfDate),MONTH($D60),DAY($D60))&lt;=AsOfDate,1,0),MONTH($D60),DAY($D60)))</f>
        <v/>
      </c>
      <c r="F60" s="13"/>
      <c r="G60" s="13"/>
      <c r="H60" s="13"/>
      <c r="I60" s="13"/>
      <c r="J60" s="13"/>
      <c r="K60" s="14" t="str">
        <f aca="false">IF(AK60=0,"",DATE(YEAR(AsOfDate)+IF(DATE(YEAR(AsOfDate),MONTH(AL60),DAY(AL60))&lt;=AsOfDate,1,0),MONTH(AL60),DAY(AL60)))</f>
        <v/>
      </c>
      <c r="L60" s="15" t="str">
        <f aca="false">IF(AK60=0,"",ROUND((AsOfDate-AL60)/365.25,1))</f>
        <v/>
      </c>
      <c r="M60" s="16" t="str">
        <f aca="false">IF(AK60=0,"",IF(AsOfDate&lt;AL60,"-",DATEDIF(AL60,AsOfDate,"y")&amp;"y "&amp;DATEDIF(AL60,AsOfDate,"ym")&amp;"m "&amp;DATEDIF(AL60,AsOfDate,"md")&amp;"d"))</f>
        <v/>
      </c>
      <c r="N60" s="17" t="str">
        <f aca="false">IF(AK60=0,"",O60*HoursPerDay)</f>
        <v/>
      </c>
      <c r="O60" s="17" t="str">
        <f aca="false">IF(AK60=0,"",MAX(0,BD60-BQ60))</f>
        <v/>
      </c>
      <c r="P60" s="18"/>
      <c r="Q60" s="16" t="str">
        <f aca="false">IF(AK60=0,"",IF(AM60&lt;2,"",AQ60&amp;" to "&amp;AR60&amp;" on "&amp;TEXT(AO60,"dd/mm/yyyy")&amp;IF(AO60&gt;AsOfDate," (future)",IF(AT60=AU60,"",IF(AU60="None"," - STOPPED accruing",IF(AT60="None"," - commencement for Bonus Leave"," - pathway changed"))))&amp;IF(AM60&lt;3,"","; "&amp;AR60&amp;" to "&amp;AS60&amp;" on "&amp;TEXT(AP60,"dd/mm/yyyy")&amp;IF(AP60&gt;AsOfDate," (future)",IF(AU60=AV60,"",IF(AV60="None"," - STOPPED accruing",IF(AU60="None"," - commencement for Bonus Leave"," - pathway changed")))))))</f>
        <v/>
      </c>
      <c r="R60" s="16" t="str">
        <f aca="false">IF(AK60=0,"",IF(AW60="None",IF(O60&gt;0,"No longer accruing","Not eligible - "&amp;IF(AND(OR(ISNUMBER(SEARCH("part",$C60)),UPPER(TRIM($C60))="PT",UPPER(TRIM($C60))="PTE"),Apply2026="No"),"part-time (scheme is full-time only)",IF(AND(OR(ISNUMBER(SEARCH("part",$C60)),UPPER(TRIM($C60))="PT",UPPER(TRIM($C60))="PTE"),$P60&lt;&gt;"",N($P60)&lt;PT_MinHours),"under "&amp;PT_MinHours&amp;" hrs",IF(IF($C60="","",IF(OR(ISNUMBER(SEARCH("full",$C60)),UPPER(TRIM($C60))="FT",UPPER(TRIM($C60))="FTE"),"Full-Time",IF(OR(ISNUMBER(SEARCH("part",$C60)),UPPER(TRIM($C60))="PT",UPPER(TRIM($C60))="PTE"),"Part-Time",IF(OR(ISNUMBER(SEARCH("cas",$C60)),UPPER(TRIM($C60))="CAS"),"Casual","Unknown"))))="Unknown","type not recognised",$C60)))),IF(O60&gt;0,"Yes - Accrual Required","Not yet - from "&amp;TEXT(S60,"dd/mm/yyyy"))))</f>
        <v/>
      </c>
      <c r="S60" s="14" t="str">
        <f aca="false">IF(AK60=0,"",IF(AW60="None","",EDATE(AL60,BF60)))</f>
        <v/>
      </c>
      <c r="T60" s="17" t="str">
        <f aca="false">IF(AK60=0,"",IF(NOT(LH_Ready),"",IF($F60&gt;PFYDate,0,IF(LH_ColPeriod=0,W60-U60+V60,SUMIFS(INDEX(LH_Data,0,LH_ColAcc),INDEX(LH_Data,0,LH_ColFirst),$A60,INDEX(LH_Data,0,LH_ColSur),$B60,INDEX(LH_Data,0,LH_ColCat),BonusCat,INDEX(LH_Data,0,LH_ColPeriod),LH_OpenLabel)*UnitFactor))))</f>
        <v/>
      </c>
      <c r="U60" s="17" t="str">
        <f aca="false">IF(AK60=0,"",IF(NOT(LH_Ready),"",SUMIFS(INDEX(LH_Data,0,LH_ColAcc),INDEX(LH_Data,0,LH_ColFirst),$A60,INDEX(LH_Data,0,LH_ColSur),$B60,INDEX(LH_Data,0,LH_ColCat),BonusCat,INDEX(LH_Data,0,LH_ColStart),"&gt;="&amp;AL60)*UnitFactor))</f>
        <v/>
      </c>
      <c r="V60" s="17" t="str">
        <f aca="false">IF(AK60=0,"",IF(NOT(LH_Ready),"",SUMIFS(INDEX(LH_Data,0,LH_ColTaken),INDEX(LH_Data,0,LH_ColFirst),$A60,INDEX(LH_Data,0,LH_ColSur),$B60,INDEX(LH_Data,0,LH_ColCat),BonusCat,INDEX(LH_Data,0,LH_ColStart),"&gt;="&amp;AL60)*UnitFactor))</f>
        <v/>
      </c>
      <c r="W60" s="17" t="str">
        <f aca="false">IF(AK60=0,"",IF(NOT(LH_Ready),"",IF(BH60=0,0,INDEX(INDEX(LH_Data,0,LH_ColClose),BH60-1)*UnitFactor)))</f>
        <v/>
      </c>
      <c r="X60" s="17" t="str">
        <f aca="false">IF(AK60=0,"",(MAX(0,BD60-BQ60)-MAX(0,BE60-BQ60))*HoursPerDay)</f>
        <v/>
      </c>
      <c r="Y60" s="17" t="str">
        <f aca="false">IF(AK60=0,"",IF(NOT(LH_Ready),"",IF($AI60="Yes",N(AE60)*HoursPerDay-SUMIFS(INDEX(LH_Data,0,LH_ColAcc),INDEX(LH_Data,0,LH_ColFirst),$A60,INDEX(LH_Data,0,LH_ColSur),$B60,INDEX(LH_Data,0,LH_ColCat),BonusCat,INDEX(LH_Data,0,LH_ColStart),"&gt;="&amp;(EOMONTH(AsOfDate,-1)+1),INDEX(LH_Data,0,LH_ColStart),"&lt;="&amp;AsOfDate)*UnitFactor,IF(BG60=0,N60,N60-N(T60)-N(U60)))))</f>
        <v/>
      </c>
      <c r="Z60" s="16" t="str">
        <f aca="false">IF(OR(AK60=0,Y60=""),"",IF(Y60&gt;0,"Yes","No"))</f>
        <v/>
      </c>
      <c r="AA60" s="16" t="str">
        <f aca="false">IF(AK60=0,IF(LEN($A60&amp;$B60)=0,"","FIX INPUT - StartDate missing"),IF(AD60&lt;&gt;"","FIX INPUT - "&amp;AD60,IF(NOT(LH_Ready),"Paste Leave History export (Settings must show YES)",IF(AND($AI60="Yes",Y60&lt;=0),"OK - EH balance accepted to date"&amp;IF(N(AH60)&gt;0," (EH holds "&amp;AH60&amp;" hrs over the scheme)","")&amp;"; next day "&amp;TEXT(S60,"dd mmm yy")&amp;IF(N(AE60)&gt;0," ("&amp;AE60&amp;" day(s) for "&amp;UPPER(TEXT(AsOfDate,"mmm yyyy"))&amp;" already in EH)",""),IF(Y60&gt;0,"ACCRUE "&amp;ROUND(Y60,2)&amp;" hrs ("&amp;ROUND(Y60/HoursPerDay,2)&amp;" days): "&amp;IF(N(AE60)&gt;0,AE60&amp;" day(s) for "&amp;UPPER(TEXT(AsOfDate,"mmm yyyy"))&amp;" (milestone "&amp;UPPER(TEXT(AF60,"dd mmm yy"))&amp;")"&amp;IF(Y60/HoursPerDay&gt;AE60+0.001," + "&amp;ROUND(Y60/HoursPerDay-AE60,2)&amp;" day(s) catch-up from earlier months",""),"all catch-up from earlier months, nothing new this month")&amp;IF(BG60=0,"; no Bonus Leave in EH yet",""),IF(Y60&lt;0,"CHECK - EH accrued "&amp;ROUND(-Y60,2)&amp;" hrs more than policy since commencement",IF(N(W60)&gt;O60*HoursPerDay+0.01,"CHECK - EH balance "&amp;ROUND(W60-O60*HoursPerDay,2)&amp;" hrs more than policy entitlement",IF(O60&gt;0,"OK - nothing to add"&amp;IF(N(AE60)&gt;0," ("&amp;AE60&amp;" day(s) for "&amp;UPPER(TEXT(AsOfDate,"mmm yyyy"))&amp;" already in EH)",""),IF(AW60="None",R60,"Not yet - first day on "&amp;TEXT(S60,"dd/mm/yyyy"))))))))))</f>
        <v/>
      </c>
      <c r="AB60" s="17" t="str">
        <f aca="false">IF(OR(AK60=0,T60=""),"",MAX(0,BE60-BQ60)*HoursPerDay-T60)</f>
        <v/>
      </c>
      <c r="AC60" s="16" t="str">
        <f aca="false">IF(AK60=0,"",BG60)</f>
        <v/>
      </c>
      <c r="AD60" s="16" t="str">
        <f aca="false">IF(AK60=0,"",TRIM(IF(OR(ISTEXT($F60),ISTEXT($H60),ISTEXT($I60),ISTEXT($G60),ISTEXT($J60),ISTEXT($D60)),"A date is typed as text - retype it as dd/mm/yyyy. ","")&amp;IF(IF($C60="","",IF(OR(ISNUMBER(SEARCH("full",$C60)),UPPER(TRIM($C60))="FT",UPPER(TRIM($C60))="FTE"),"Full-Time",IF(OR(ISNUMBER(SEARCH("part",$C60)),UPPER(TRIM($C60))="PT",UPPER(TRIM($C60))="PTE"),"Part-Time",IF(OR(ISNUMBER(SEARCH("cas",$C60)),UPPER(TRIM($C60))="CAS"),"Casual","Unknown"))))="Unknown","EmploymentType not recognised - use Full-Time, Part-Time or Casual. ","")&amp;IF(AND(AM60&gt;=1,IF(AM60&gt;=3,AS60,IF(AM60=2,AR60,AQ60))&lt;&gt;IF($C60="","",IF(OR(ISNUMBER(SEARCH("full",$C60)),UPPER(TRIM($C60))="FT",UPPER(TRIM($C60))="FTE"),"Full-Time",IF(OR(ISNUMBER(SEARCH("part",$C60)),UPPER(TRIM($C60))="PT",UPPER(TRIM($C60))="PTE"),"Part-Time",IF(OR(ISNUMBER(SEARCH("cas",$C60)),UPPER(TRIM($C60))="CAS"),"Casual","Unknown"))))),"EmploymentType does not match latest start date ("&amp;IF(AM60&gt;=3,AS60,IF(AM60=2,AR60,AQ60))&amp;"). ","")&amp;IF(AND(AM60&gt;=1,AN60&lt;&gt;$F60),"Earliest type date should equal StartDate. ","")&amp;IF(AND(AM60&gt;=2,AN60=AO60),"Two types start on the same date. ","")&amp;IF(AND(OR(ISNUMBER(SEARCH("part",$C60)),UPPER(TRIM($C60))="PT",UPPER(TRIM($C60))="PTE"),$P60=""),"Part-time: enter PT Hrs/Week (blank = 24+). ","")))</f>
        <v/>
      </c>
      <c r="AE60" s="17" t="str">
        <f aca="false">IF(AK60=0,"",O60-MAX(0,BL60-BQ60))</f>
        <v/>
      </c>
      <c r="AF60" s="14" t="str">
        <f aca="false">IF(OR(AK60=0,AE60="",N(AE60)=0,BM60=""),"",EDATE(AL60,BM60))</f>
        <v/>
      </c>
      <c r="AG60" s="17" t="str">
        <f aca="false">IF(AK60=0,"",MIN(BD60,BQ60))</f>
        <v/>
      </c>
      <c r="AH60" s="17" t="str">
        <f aca="false">IF(AK60=0,"",IF(NOT(LH_Ready),"",IF(BG60=0,0,MAX(0,ROUND(N(T60)+N(U60)-N60,2)))))</f>
        <v/>
      </c>
      <c r="AI60" s="12"/>
      <c r="AJ60" s="12"/>
      <c r="AK60" s="16" t="n">
        <f aca="false">IF(OR(LEN($A60&amp;$B60)=0,$F60=""),0,1)</f>
        <v>0</v>
      </c>
      <c r="AL60" s="14" t="str">
        <f aca="false">IF(AK60=0,"",IF(PreSchemeCounts="No",MAX(SchemeStart,IF($J60&lt;&gt;"",$J60,IF(OR(CasualCounts="Yes",COUNT($G60:$I60)=0),$F60,IF(Apply2026="No",IF($I60="",$F60,$I60),IF(COUNT($H60:$I60)=0,$F60,MIN($H60:$I60)))))),IF($J60&lt;&gt;"",$J60,IF(OR(CasualCounts="Yes",COUNT($G60:$I60)=0),$F60,IF(Apply2026="No",IF($I60="",$F60,$I60),IF(COUNT($H60:$I60)=0,$F60,MIN($H60:$I60)))))))</f>
        <v/>
      </c>
      <c r="AM60" s="16" t="str">
        <f aca="false">IF(AK60=0,"",COUNT($G60:$I60))</f>
        <v/>
      </c>
      <c r="AN60" s="14" t="str">
        <f aca="false">IF(AK60=0,"",IFERROR(SMALL($G60:$I60,1),""))</f>
        <v/>
      </c>
      <c r="AO60" s="14" t="str">
        <f aca="false">IF(AK60=0,"",IFERROR(SMALL($G60:$I60,2),""))</f>
        <v/>
      </c>
      <c r="AP60" s="14" t="str">
        <f aca="false">IF(AK60=0,"",IFERROR(SMALL($G60:$I60,3),""))</f>
        <v/>
      </c>
      <c r="AQ60" s="16" t="str">
        <f aca="false">IF(AK60=0,"",IF(AN60="","",IF(AN60=$H60,"Part-Time",IF(AN60=$I60,"Full-Time","Casual"))))</f>
        <v/>
      </c>
      <c r="AR60" s="16" t="str">
        <f aca="false">IF(AK60=0,"",IF(AO60="","",IF(AO60=$H60,"Part-Time",IF(AO60=$I60,"Full-Time","Casual"))))</f>
        <v/>
      </c>
      <c r="AS60" s="16" t="str">
        <f aca="false">IF(AK60=0,"",IF(AP60="","",IF(AP60=$H60,"Part-Time",IF(AP60=$I60,"Full-Time","Casual"))))</f>
        <v/>
      </c>
      <c r="AT60" s="16" t="str">
        <f aca="false">IF(AK60=0,"",IF(AM60=0,IF(OR(ISNUMBER(SEARCH("full",$C60)),UPPER(TRIM($C60))="FT",UPPER(TRIM($C60))="FTE"),"FT",IF(AND(OR(ISNUMBER(SEARCH("part",$C60)),UPPER(TRIM($C60))="PT",UPPER(TRIM($C60))="PTE"),Apply2026="Yes",OR($P60="",N($P60)&gt;=PT_MinHours)),"PT","None")),IF(OR(ISNUMBER(SEARCH("full",AQ60)),UPPER(TRIM(AQ60))="FT",UPPER(TRIM(AQ60))="FTE"),"FT",IF(AND(OR(ISNUMBER(SEARCH("part",AQ60)),UPPER(TRIM(AQ60))="PT",UPPER(TRIM(AQ60))="PTE"),Apply2026="Yes",OR($P60="",N($P60)&gt;=PT_MinHours)),"PT","None"))))</f>
        <v/>
      </c>
      <c r="AU60" s="16" t="str">
        <f aca="false">IF(AK60=0,"",IF(AM60&lt;2,"",IF(OR(ISNUMBER(SEARCH("full",AR60)),UPPER(TRIM(AR60))="FT",UPPER(TRIM(AR60))="FTE"),"FT",IF(AND(OR(ISNUMBER(SEARCH("part",AR60)),UPPER(TRIM(AR60))="PT",UPPER(TRIM(AR60))="PTE"),Apply2026="Yes",OR($P60="",N($P60)&gt;=PT_MinHours)),"PT","None"))))</f>
        <v/>
      </c>
      <c r="AV60" s="16" t="str">
        <f aca="false">IF(AK60=0,"",IF(AM60&lt;3,"",IF(OR(ISNUMBER(SEARCH("full",AS60)),UPPER(TRIM(AS60))="FT",UPPER(TRIM(AS60))="FTE"),"FT",IF(AND(OR(ISNUMBER(SEARCH("part",AS60)),UPPER(TRIM(AS60))="PT",UPPER(TRIM(AS60))="PTE"),Apply2026="Yes",OR($P60="",N($P60)&gt;=PT_MinHours)),"PT","None"))))</f>
        <v/>
      </c>
      <c r="AW60" s="16" t="str">
        <f aca="false">IF(AK60=0,"",IF(AND(AM60&gt;=3,AP60&lt;=AsOfDate),AV60,IF(AND(AM60&gt;=2,AO60&lt;=AsOfDate),AU60,AT60)))</f>
        <v/>
      </c>
      <c r="AX60" s="16" t="str">
        <f aca="false">IF(AK60=0,"",IF(AsOfDate&lt;AL60,-1,12*(YEAR(AsOfDate)-YEAR(AL60))+MONTH(AsOfDate)-MONTH(AL60)-IF(DAY(AsOfDate)&lt;MIN(DAY(AL60),DAY(EOMONTH(AsOfDate,0))),1,0)))</f>
        <v/>
      </c>
      <c r="AY60" s="16" t="str">
        <f aca="false">IF(AK60=0,"",IF(OR(AM60&lt;2,AO60&gt;AsOfDate),AX60,IF((AO60-1)&lt;AL60,-1,12*(YEAR((AO60-1))-YEAR(AL60))+MONTH((AO60-1))-MONTH(AL60)-IF(DAY((AO60-1))&lt;MIN(DAY(AL60),DAY(EOMONTH((AO60-1),0))),1,0))))</f>
        <v/>
      </c>
      <c r="AZ60" s="16" t="str">
        <f aca="false">IF(AK60=0,"",IF(OR(AM60&lt;3,AP60&gt;AsOfDate),AX60,IF((AP60-1)&lt;AL60,-1,12*(YEAR((AP60-1))-YEAR(AL60))+MONTH((AP60-1))-MONTH(AL60)-IF(DAY((AP60-1))&lt;MIN(DAY(AL60),DAY(EOMONTH((AP60-1),0))),1,0))))</f>
        <v/>
      </c>
      <c r="BA60" s="16" t="str">
        <f aca="false">IF(AK60=0,"",IF(PFYDate&lt;AL60,-1,12*(YEAR(PFYDate)-YEAR(AL60))+MONTH(PFYDate)-MONTH(AL60)-IF(DAY(PFYDate)&lt;MIN(DAY(AL60),DAY(EOMONTH(PFYDate,0))),1,0)))</f>
        <v/>
      </c>
      <c r="BB60" s="16" t="str">
        <f aca="false">IF(AK60=0,"",IF(OR(AM60&lt;2,AO60&gt;PFYDate),BA60,IF((AO60-1)&lt;AL60,-1,12*(YEAR((AO60-1))-YEAR(AL60))+MONTH((AO60-1))-MONTH(AL60)-IF(DAY((AO60-1))&lt;MIN(DAY(AL60),DAY(EOMONTH((AO60-1),0))),1,0))))</f>
        <v/>
      </c>
      <c r="BC60" s="16" t="str">
        <f aca="false">IF(AK60=0,"",IF(OR(AM60&lt;3,AP60&gt;PFYDate),BA60,IF((AP60-1)&lt;AL60,-1,12*(YEAR((AP60-1))-YEAR(AL60))+MONTH((AP60-1))-MONTH(AL60)-IF(DAY((AP60-1))&lt;MIN(DAY(AL60),DAY(EOMONTH((AP60-1),0))),1,0))))</f>
        <v/>
      </c>
      <c r="BD60" s="16" t="str">
        <f aca="false">IF(AK60=0,"",IF(AT60="FT",IF(AY60&lt;FT_First,0,IF(AY60&lt;FT_Y5,1+INT((AY60-FT_First)/FT_Int1),FT_PreY5+FT_PerYear*INT((AY60-FT_Y5)/12)+FT_AnnivDays+INT(MOD(AY60-FT_Y5,12)/FT_Int2)-IF(EDATE(AL60,FT_Y5)&lt;PolicyEff,FT_AnnivDays-1,0))),IF(AT60="PT",IF(AY60&lt;PT_First,0,1+INT((AY60-PT_First)/PT_Int)),0))+IF(AND(AM60&gt;=2,AO60&lt;=AsOfDate),IF(AU60="FT",IF(AZ60&lt;FT_First,0,IF(AZ60&lt;FT_Y5,1+INT((AZ60-FT_First)/FT_Int1),FT_PreY5+FT_PerYear*INT((AZ60-FT_Y5)/12)+FT_AnnivDays+INT(MOD(AZ60-FT_Y5,12)/FT_Int2)-IF(EDATE(AL60,FT_Y5)&lt;PolicyEff,FT_AnnivDays-1,0))),IF(AU60="PT",IF(AZ60&lt;PT_First,0,1+INT((AZ60-PT_First)/PT_Int)),0))-IF(AU60="FT",IF(AY60&lt;FT_First,0,IF(AY60&lt;FT_Y5,1+INT((AY60-FT_First)/FT_Int1),FT_PreY5+FT_PerYear*INT((AY60-FT_Y5)/12)+FT_AnnivDays+INT(MOD(AY60-FT_Y5,12)/FT_Int2)-IF(EDATE(AL60,FT_Y5)&lt;PolicyEff,FT_AnnivDays-1,0))),IF(AU60="PT",IF(AY60&lt;PT_First,0,1+INT((AY60-PT_First)/PT_Int)),0)),0)+IF(AND(AM60&gt;=3,AP60&lt;=AsOfDate),IF(AV60="FT",IF(AX60&lt;FT_First,0,IF(AX60&lt;FT_Y5,1+INT((AX60-FT_First)/FT_Int1),FT_PreY5+FT_PerYear*INT((AX60-FT_Y5)/12)+FT_AnnivDays+INT(MOD(AX60-FT_Y5,12)/FT_Int2)-IF(EDATE(AL60,FT_Y5)&lt;PolicyEff,FT_AnnivDays-1,0))),IF(AV60="PT",IF(AX60&lt;PT_First,0,1+INT((AX60-PT_First)/PT_Int)),0))-IF(AV60="FT",IF(AZ60&lt;FT_First,0,IF(AZ60&lt;FT_Y5,1+INT((AZ60-FT_First)/FT_Int1),FT_PreY5+FT_PerYear*INT((AZ60-FT_Y5)/12)+FT_AnnivDays+INT(MOD(AZ60-FT_Y5,12)/FT_Int2)-IF(EDATE(AL60,FT_Y5)&lt;PolicyEff,FT_AnnivDays-1,0))),IF(AV60="PT",IF(AZ60&lt;PT_First,0,1+INT((AZ60-PT_First)/PT_Int)),0)),0))</f>
        <v/>
      </c>
      <c r="BE60" s="16" t="str">
        <f aca="false">IF(AK60=0,"",IF(AT60="FT",IF(BB60&lt;FT_First,0,IF(BB60&lt;FT_Y5,1+INT((BB60-FT_First)/FT_Int1),FT_PreY5+FT_PerYear*INT((BB60-FT_Y5)/12)+FT_AnnivDays+INT(MOD(BB60-FT_Y5,12)/FT_Int2)-IF(EDATE(AL60,FT_Y5)&lt;PolicyEff,FT_AnnivDays-1,0))),IF(AT60="PT",IF(BB60&lt;PT_First,0,1+INT((BB60-PT_First)/PT_Int)),0))+IF(AND(AM60&gt;=2,AO60&lt;=PFYDate),IF(AU60="FT",IF(BC60&lt;FT_First,0,IF(BC60&lt;FT_Y5,1+INT((BC60-FT_First)/FT_Int1),FT_PreY5+FT_PerYear*INT((BC60-FT_Y5)/12)+FT_AnnivDays+INT(MOD(BC60-FT_Y5,12)/FT_Int2)-IF(EDATE(AL60,FT_Y5)&lt;PolicyEff,FT_AnnivDays-1,0))),IF(AU60="PT",IF(BC60&lt;PT_First,0,1+INT((BC60-PT_First)/PT_Int)),0))-IF(AU60="FT",IF(BB60&lt;FT_First,0,IF(BB60&lt;FT_Y5,1+INT((BB60-FT_First)/FT_Int1),FT_PreY5+FT_PerYear*INT((BB60-FT_Y5)/12)+FT_AnnivDays+INT(MOD(BB60-FT_Y5,12)/FT_Int2)-IF(EDATE(AL60,FT_Y5)&lt;PolicyEff,FT_AnnivDays-1,0))),IF(AU60="PT",IF(BB60&lt;PT_First,0,1+INT((BB60-PT_First)/PT_Int)),0)),0)+IF(AND(AM60&gt;=3,AP60&lt;=PFYDate),IF(AV60="FT",IF(BA60&lt;FT_First,0,IF(BA60&lt;FT_Y5,1+INT((BA60-FT_First)/FT_Int1),FT_PreY5+FT_PerYear*INT((BA60-FT_Y5)/12)+FT_AnnivDays+INT(MOD(BA60-FT_Y5,12)/FT_Int2)-IF(EDATE(AL60,FT_Y5)&lt;PolicyEff,FT_AnnivDays-1,0))),IF(AV60="PT",IF(BA60&lt;PT_First,0,1+INT((BA60-PT_First)/PT_Int)),0))-IF(AV60="FT",IF(BC60&lt;FT_First,0,IF(BC60&lt;FT_Y5,1+INT((BC60-FT_First)/FT_Int1),FT_PreY5+FT_PerYear*INT((BC60-FT_Y5)/12)+FT_AnnivDays+INT(MOD(BC60-FT_Y5,12)/FT_Int2)-IF(EDATE(AL60,FT_Y5)&lt;PolicyEff,FT_AnnivDays-1,0))),IF(AV60="PT",IF(BC60&lt;PT_First,0,1+INT((BC60-PT_First)/PT_Int)),0)),0))</f>
        <v/>
      </c>
      <c r="BF60" s="16" t="str">
        <f aca="false">IF(AK60=0,"",IF(AW60="FT",IF(AX60&lt;FT_First,FT_First,IF(AX60&lt;FT_Y5,MIN(FT_Y5,FT_First+FT_Int1*(INT((AX60-FT_First)/FT_Int1)+1)),FT_Y5+12*INT((AX60-FT_Y5)/12)+FT_Int2*(INT(MOD(AX60-FT_Y5,12)/FT_Int2)+1))),IF(AW60="PT",IF(AX60&lt;PT_First,PT_First,PT_First+PT_Int*(INT((AX60-PT_First)/PT_Int)+1)),"")))</f>
        <v/>
      </c>
      <c r="BG60" s="16" t="str">
        <f aca="false">IF(AK60=0,"",IF(NOT(LH_Ready),0,COUNTIFS(INDEX(LH_Data,0,LH_ColFirst),$A60,INDEX(LH_Data,0,LH_ColSur),$B60,INDEX(LH_Data,0,LH_ColCat),BonusCat)))</f>
        <v/>
      </c>
      <c r="BH60" s="16" t="str">
        <f aca="false">IF(AK60=0,"",IF(OR(NOT(LH_Ready),BG60=0),0,SUMPRODUCT(MAX((INDEX(LH_Data,0,LH_ColFirst)=$A60)*(INDEX(LH_Data,0,LH_ColSur)=$B60)*(INDEX(LH_Data,0,LH_ColCat)=BonusCat)*ROW(LH_Data)))))</f>
        <v/>
      </c>
      <c r="BI60" s="16" t="str">
        <f aca="false">IF(AK60=0,"",IF(EOMONTH(AsOfDate,-1)&lt;AL60,-1,12*(YEAR(EOMONTH(AsOfDate,-1))-YEAR(AL60))+MONTH(EOMONTH(AsOfDate,-1))-MONTH(AL60)-IF(DAY(EOMONTH(AsOfDate,-1))&lt;MIN(DAY(AL60),DAY(EOMONTH(EOMONTH(AsOfDate,-1),0))),1,0)))</f>
        <v/>
      </c>
      <c r="BJ60" s="16" t="str">
        <f aca="false">IF(AK60=0,"",IF(OR(AM60&lt;2,AO60&gt;EOMONTH(AsOfDate,-1)),BI60,IF((AO60-1)&lt;AL60,-1,12*(YEAR((AO60-1))-YEAR(AL60))+MONTH((AO60-1))-MONTH(AL60)-IF(DAY((AO60-1))&lt;MIN(DAY(AL60),DAY(EOMONTH((AO60-1),0))),1,0))))</f>
        <v/>
      </c>
      <c r="BK60" s="16" t="str">
        <f aca="false">IF(AK60=0,"",IF(OR(AM60&lt;3,AP60&gt;EOMONTH(AsOfDate,-1)),BI60,IF((AP60-1)&lt;AL60,-1,12*(YEAR((AP60-1))-YEAR(AL60))+MONTH((AP60-1))-MONTH(AL60)-IF(DAY((AP60-1))&lt;MIN(DAY(AL60),DAY(EOMONTH((AP60-1),0))),1,0))))</f>
        <v/>
      </c>
      <c r="BL60" s="16" t="str">
        <f aca="false">IF(AK60=0,"",IF(AT60="FT",IF(BJ60&lt;FT_First,0,IF(BJ60&lt;FT_Y5,1+INT((BJ60-FT_First)/FT_Int1),FT_PreY5+FT_PerYear*INT((BJ60-FT_Y5)/12)+FT_AnnivDays+INT(MOD(BJ60-FT_Y5,12)/FT_Int2)-IF(EDATE(AL60,FT_Y5)&lt;PolicyEff,FT_AnnivDays-1,0))),IF(AT60="PT",IF(BJ60&lt;PT_First,0,1+INT((BJ60-PT_First)/PT_Int)),0))+IF(AND(AM60&gt;=2,AO60&lt;=EOMONTH(AsOfDate,-1)),IF(AU60="FT",IF(BK60&lt;FT_First,0,IF(BK60&lt;FT_Y5,1+INT((BK60-FT_First)/FT_Int1),FT_PreY5+FT_PerYear*INT((BK60-FT_Y5)/12)+FT_AnnivDays+INT(MOD(BK60-FT_Y5,12)/FT_Int2)-IF(EDATE(AL60,FT_Y5)&lt;PolicyEff,FT_AnnivDays-1,0))),IF(AU60="PT",IF(BK60&lt;PT_First,0,1+INT((BK60-PT_First)/PT_Int)),0))-IF(AU60="FT",IF(BJ60&lt;FT_First,0,IF(BJ60&lt;FT_Y5,1+INT((BJ60-FT_First)/FT_Int1),FT_PreY5+FT_PerYear*INT((BJ60-FT_Y5)/12)+FT_AnnivDays+INT(MOD(BJ60-FT_Y5,12)/FT_Int2)-IF(EDATE(AL60,FT_Y5)&lt;PolicyEff,FT_AnnivDays-1,0))),IF(AU60="PT",IF(BJ60&lt;PT_First,0,1+INT((BJ60-PT_First)/PT_Int)),0)),0)+IF(AND(AM60&gt;=3,AP60&lt;=EOMONTH(AsOfDate,-1)),IF(AV60="FT",IF(BI60&lt;FT_First,0,IF(BI60&lt;FT_Y5,1+INT((BI60-FT_First)/FT_Int1),FT_PreY5+FT_PerYear*INT((BI60-FT_Y5)/12)+FT_AnnivDays+INT(MOD(BI60-FT_Y5,12)/FT_Int2)-IF(EDATE(AL60,FT_Y5)&lt;PolicyEff,FT_AnnivDays-1,0))),IF(AV60="PT",IF(BI60&lt;PT_First,0,1+INT((BI60-PT_First)/PT_Int)),0))-IF(AV60="FT",IF(BK60&lt;FT_First,0,IF(BK60&lt;FT_Y5,1+INT((BK60-FT_First)/FT_Int1),FT_PreY5+FT_PerYear*INT((BK60-FT_Y5)/12)+FT_AnnivDays+INT(MOD(BK60-FT_Y5,12)/FT_Int2)-IF(EDATE(AL60,FT_Y5)&lt;PolicyEff,FT_AnnivDays-1,0))),IF(AV60="PT",IF(BK60&lt;PT_First,0,1+INT((BK60-PT_First)/PT_Int)),0)),0))</f>
        <v/>
      </c>
      <c r="BM60" s="16" t="str">
        <f aca="false">IF(AK60=0,"",IF(AW60="FT",IF(AX60&lt;FT_First,"",IF(AX60&lt;FT_Y5,FT_First+FT_Int1*INT((AX60-FT_First)/FT_Int1),FT_Y5+FT_Int2*INT((AX60-FT_Y5)/FT_Int2))),IF(AW60="PT",IF(AX60&lt;PT_First,"",PT_First+PT_Int*INT((AX60-PT_First)/PT_Int)),"")))</f>
        <v/>
      </c>
      <c r="BN60" s="16" t="str">
        <f aca="false">IF(AK60=0,"",IF((SchemeStart-1)&lt;AL60,-1,12*(YEAR((SchemeStart-1))-YEAR(AL60))+MONTH((SchemeStart-1))-MONTH(AL60)-IF(DAY((SchemeStart-1))&lt;MIN(DAY(AL60),DAY(EOMONTH((SchemeStart-1),0))),1,0)))</f>
        <v/>
      </c>
      <c r="BO60" s="16" t="str">
        <f aca="false">IF(AK60=0,"",IF(OR(AM60&lt;2,AO60&gt;(SchemeStart-1)),BN60,IF((AO60-1)&lt;AL60,-1,12*(YEAR((AO60-1))-YEAR(AL60))+MONTH((AO60-1))-MONTH(AL60)-IF(DAY((AO60-1))&lt;MIN(DAY(AL60),DAY(EOMONTH((AO60-1),0))),1,0))))</f>
        <v/>
      </c>
      <c r="BP60" s="16" t="str">
        <f aca="false">IF(AK60=0,"",IF(OR(AM60&lt;3,AP60&gt;(SchemeStart-1)),BN60,IF((AP60-1)&lt;AL60,-1,12*(YEAR((AP60-1))-YEAR(AL60))+MONTH((AP60-1))-MONTH(AL60)-IF(DAY((AP60-1))&lt;MIN(DAY(AL60),DAY(EOMONTH((AP60-1),0))),1,0))))</f>
        <v/>
      </c>
      <c r="BQ60" s="16" t="str">
        <f aca="false">IF(AK60=0,"",IF(AT60="FT",IF(BO60&lt;FT_First,0,IF(BO60&lt;FT_Y5,1+INT((BO60-FT_First)/FT_Int1),FT_PreY5+FT_PerYear*INT((BO60-FT_Y5)/12)+FT_AnnivDays+INT(MOD(BO60-FT_Y5,12)/FT_Int2)-IF(EDATE(AL60,FT_Y5)&lt;PolicyEff,FT_AnnivDays-1,0))),IF(AT60="PT",IF(BO60&lt;PT_First,0,1+INT((BO60-PT_First)/PT_Int)),0))+IF(AND(AM60&gt;=2,AO60&lt;=(SchemeStart-1)),IF(AU60="FT",IF(BP60&lt;FT_First,0,IF(BP60&lt;FT_Y5,1+INT((BP60-FT_First)/FT_Int1),FT_PreY5+FT_PerYear*INT((BP60-FT_Y5)/12)+FT_AnnivDays+INT(MOD(BP60-FT_Y5,12)/FT_Int2)-IF(EDATE(AL60,FT_Y5)&lt;PolicyEff,FT_AnnivDays-1,0))),IF(AU60="PT",IF(BP60&lt;PT_First,0,1+INT((BP60-PT_First)/PT_Int)),0))-IF(AU60="FT",IF(BO60&lt;FT_First,0,IF(BO60&lt;FT_Y5,1+INT((BO60-FT_First)/FT_Int1),FT_PreY5+FT_PerYear*INT((BO60-FT_Y5)/12)+FT_AnnivDays+INT(MOD(BO60-FT_Y5,12)/FT_Int2)-IF(EDATE(AL60,FT_Y5)&lt;PolicyEff,FT_AnnivDays-1,0))),IF(AU60="PT",IF(BO60&lt;PT_First,0,1+INT((BO60-PT_First)/PT_Int)),0)),0)+IF(AND(AM60&gt;=3,AP60&lt;=(SchemeStart-1)),IF(AV60="FT",IF(BN60&lt;FT_First,0,IF(BN60&lt;FT_Y5,1+INT((BN60-FT_First)/FT_Int1),FT_PreY5+FT_PerYear*INT((BN60-FT_Y5)/12)+FT_AnnivDays+INT(MOD(BN60-FT_Y5,12)/FT_Int2)-IF(EDATE(AL60,FT_Y5)&lt;PolicyEff,FT_AnnivDays-1,0))),IF(AV60="PT",IF(BN60&lt;PT_First,0,1+INT((BN60-PT_First)/PT_Int)),0))-IF(AV60="FT",IF(BP60&lt;FT_First,0,IF(BP60&lt;FT_Y5,1+INT((BP60-FT_First)/FT_Int1),FT_PreY5+FT_PerYear*INT((BP60-FT_Y5)/12)+FT_AnnivDays+INT(MOD(BP60-FT_Y5,12)/FT_Int2)-IF(EDATE(AL60,FT_Y5)&lt;PolicyEff,FT_AnnivDays-1,0))),IF(AV60="PT",IF(BP60&lt;PT_First,0,1+INT((BP60-PT_First)/PT_Int)),0)),0))</f>
        <v/>
      </c>
      <c r="BR60" s="0" t="str">
        <f aca="false">IF(LEN($A60&amp;$B60)=0,"",$A60&amp;" "&amp;$B60)</f>
        <v/>
      </c>
    </row>
    <row r="61" customFormat="false" ht="15" hidden="false" customHeight="false" outlineLevel="0" collapsed="false">
      <c r="A61" s="12"/>
      <c r="B61" s="12"/>
      <c r="C61" s="12"/>
      <c r="D61" s="13"/>
      <c r="E61" s="14" t="str">
        <f aca="false">IF(OR(AK61=0,$D61=""),"",DATE(YEAR(AsOfDate)+IF(DATE(YEAR(AsOfDate),MONTH($D61),DAY($D61))&lt;=AsOfDate,1,0),MONTH($D61),DAY($D61)))</f>
        <v/>
      </c>
      <c r="F61" s="13"/>
      <c r="G61" s="13"/>
      <c r="H61" s="13"/>
      <c r="I61" s="13"/>
      <c r="J61" s="13"/>
      <c r="K61" s="14" t="str">
        <f aca="false">IF(AK61=0,"",DATE(YEAR(AsOfDate)+IF(DATE(YEAR(AsOfDate),MONTH(AL61),DAY(AL61))&lt;=AsOfDate,1,0),MONTH(AL61),DAY(AL61)))</f>
        <v/>
      </c>
      <c r="L61" s="15" t="str">
        <f aca="false">IF(AK61=0,"",ROUND((AsOfDate-AL61)/365.25,1))</f>
        <v/>
      </c>
      <c r="M61" s="16" t="str">
        <f aca="false">IF(AK61=0,"",IF(AsOfDate&lt;AL61,"-",DATEDIF(AL61,AsOfDate,"y")&amp;"y "&amp;DATEDIF(AL61,AsOfDate,"ym")&amp;"m "&amp;DATEDIF(AL61,AsOfDate,"md")&amp;"d"))</f>
        <v/>
      </c>
      <c r="N61" s="17" t="str">
        <f aca="false">IF(AK61=0,"",O61*HoursPerDay)</f>
        <v/>
      </c>
      <c r="O61" s="17" t="str">
        <f aca="false">IF(AK61=0,"",MAX(0,BD61-BQ61))</f>
        <v/>
      </c>
      <c r="P61" s="18"/>
      <c r="Q61" s="16" t="str">
        <f aca="false">IF(AK61=0,"",IF(AM61&lt;2,"",AQ61&amp;" to "&amp;AR61&amp;" on "&amp;TEXT(AO61,"dd/mm/yyyy")&amp;IF(AO61&gt;AsOfDate," (future)",IF(AT61=AU61,"",IF(AU61="None"," - STOPPED accruing",IF(AT61="None"," - commencement for Bonus Leave"," - pathway changed"))))&amp;IF(AM61&lt;3,"","; "&amp;AR61&amp;" to "&amp;AS61&amp;" on "&amp;TEXT(AP61,"dd/mm/yyyy")&amp;IF(AP61&gt;AsOfDate," (future)",IF(AU61=AV61,"",IF(AV61="None"," - STOPPED accruing",IF(AU61="None"," - commencement for Bonus Leave"," - pathway changed")))))))</f>
        <v/>
      </c>
      <c r="R61" s="16" t="str">
        <f aca="false">IF(AK61=0,"",IF(AW61="None",IF(O61&gt;0,"No longer accruing","Not eligible - "&amp;IF(AND(OR(ISNUMBER(SEARCH("part",$C61)),UPPER(TRIM($C61))="PT",UPPER(TRIM($C61))="PTE"),Apply2026="No"),"part-time (scheme is full-time only)",IF(AND(OR(ISNUMBER(SEARCH("part",$C61)),UPPER(TRIM($C61))="PT",UPPER(TRIM($C61))="PTE"),$P61&lt;&gt;"",N($P61)&lt;PT_MinHours),"under "&amp;PT_MinHours&amp;" hrs",IF(IF($C61="","",IF(OR(ISNUMBER(SEARCH("full",$C61)),UPPER(TRIM($C61))="FT",UPPER(TRIM($C61))="FTE"),"Full-Time",IF(OR(ISNUMBER(SEARCH("part",$C61)),UPPER(TRIM($C61))="PT",UPPER(TRIM($C61))="PTE"),"Part-Time",IF(OR(ISNUMBER(SEARCH("cas",$C61)),UPPER(TRIM($C61))="CAS"),"Casual","Unknown"))))="Unknown","type not recognised",$C61)))),IF(O61&gt;0,"Yes - Accrual Required","Not yet - from "&amp;TEXT(S61,"dd/mm/yyyy"))))</f>
        <v/>
      </c>
      <c r="S61" s="14" t="str">
        <f aca="false">IF(AK61=0,"",IF(AW61="None","",EDATE(AL61,BF61)))</f>
        <v/>
      </c>
      <c r="T61" s="17" t="str">
        <f aca="false">IF(AK61=0,"",IF(NOT(LH_Ready),"",IF($F61&gt;PFYDate,0,IF(LH_ColPeriod=0,W61-U61+V61,SUMIFS(INDEX(LH_Data,0,LH_ColAcc),INDEX(LH_Data,0,LH_ColFirst),$A61,INDEX(LH_Data,0,LH_ColSur),$B61,INDEX(LH_Data,0,LH_ColCat),BonusCat,INDEX(LH_Data,0,LH_ColPeriod),LH_OpenLabel)*UnitFactor))))</f>
        <v/>
      </c>
      <c r="U61" s="17" t="str">
        <f aca="false">IF(AK61=0,"",IF(NOT(LH_Ready),"",SUMIFS(INDEX(LH_Data,0,LH_ColAcc),INDEX(LH_Data,0,LH_ColFirst),$A61,INDEX(LH_Data,0,LH_ColSur),$B61,INDEX(LH_Data,0,LH_ColCat),BonusCat,INDEX(LH_Data,0,LH_ColStart),"&gt;="&amp;AL61)*UnitFactor))</f>
        <v/>
      </c>
      <c r="V61" s="17" t="str">
        <f aca="false">IF(AK61=0,"",IF(NOT(LH_Ready),"",SUMIFS(INDEX(LH_Data,0,LH_ColTaken),INDEX(LH_Data,0,LH_ColFirst),$A61,INDEX(LH_Data,0,LH_ColSur),$B61,INDEX(LH_Data,0,LH_ColCat),BonusCat,INDEX(LH_Data,0,LH_ColStart),"&gt;="&amp;AL61)*UnitFactor))</f>
        <v/>
      </c>
      <c r="W61" s="17" t="str">
        <f aca="false">IF(AK61=0,"",IF(NOT(LH_Ready),"",IF(BH61=0,0,INDEX(INDEX(LH_Data,0,LH_ColClose),BH61-1)*UnitFactor)))</f>
        <v/>
      </c>
      <c r="X61" s="17" t="str">
        <f aca="false">IF(AK61=0,"",(MAX(0,BD61-BQ61)-MAX(0,BE61-BQ61))*HoursPerDay)</f>
        <v/>
      </c>
      <c r="Y61" s="17" t="str">
        <f aca="false">IF(AK61=0,"",IF(NOT(LH_Ready),"",IF($AI61="Yes",N(AE61)*HoursPerDay-SUMIFS(INDEX(LH_Data,0,LH_ColAcc),INDEX(LH_Data,0,LH_ColFirst),$A61,INDEX(LH_Data,0,LH_ColSur),$B61,INDEX(LH_Data,0,LH_ColCat),BonusCat,INDEX(LH_Data,0,LH_ColStart),"&gt;="&amp;(EOMONTH(AsOfDate,-1)+1),INDEX(LH_Data,0,LH_ColStart),"&lt;="&amp;AsOfDate)*UnitFactor,IF(BG61=0,N61,N61-N(T61)-N(U61)))))</f>
        <v/>
      </c>
      <c r="Z61" s="16" t="str">
        <f aca="false">IF(OR(AK61=0,Y61=""),"",IF(Y61&gt;0,"Yes","No"))</f>
        <v/>
      </c>
      <c r="AA61" s="16" t="str">
        <f aca="false">IF(AK61=0,IF(LEN($A61&amp;$B61)=0,"","FIX INPUT - StartDate missing"),IF(AD61&lt;&gt;"","FIX INPUT - "&amp;AD61,IF(NOT(LH_Ready),"Paste Leave History export (Settings must show YES)",IF(AND($AI61="Yes",Y61&lt;=0),"OK - EH balance accepted to date"&amp;IF(N(AH61)&gt;0," (EH holds "&amp;AH61&amp;" hrs over the scheme)","")&amp;"; next day "&amp;TEXT(S61,"dd mmm yy")&amp;IF(N(AE61)&gt;0," ("&amp;AE61&amp;" day(s) for "&amp;UPPER(TEXT(AsOfDate,"mmm yyyy"))&amp;" already in EH)",""),IF(Y61&gt;0,"ACCRUE "&amp;ROUND(Y61,2)&amp;" hrs ("&amp;ROUND(Y61/HoursPerDay,2)&amp;" days): "&amp;IF(N(AE61)&gt;0,AE61&amp;" day(s) for "&amp;UPPER(TEXT(AsOfDate,"mmm yyyy"))&amp;" (milestone "&amp;UPPER(TEXT(AF61,"dd mmm yy"))&amp;")"&amp;IF(Y61/HoursPerDay&gt;AE61+0.001," + "&amp;ROUND(Y61/HoursPerDay-AE61,2)&amp;" day(s) catch-up from earlier months",""),"all catch-up from earlier months, nothing new this month")&amp;IF(BG61=0,"; no Bonus Leave in EH yet",""),IF(Y61&lt;0,"CHECK - EH accrued "&amp;ROUND(-Y61,2)&amp;" hrs more than policy since commencement",IF(N(W61)&gt;O61*HoursPerDay+0.01,"CHECK - EH balance "&amp;ROUND(W61-O61*HoursPerDay,2)&amp;" hrs more than policy entitlement",IF(O61&gt;0,"OK - nothing to add"&amp;IF(N(AE61)&gt;0," ("&amp;AE61&amp;" day(s) for "&amp;UPPER(TEXT(AsOfDate,"mmm yyyy"))&amp;" already in EH)",""),IF(AW61="None",R61,"Not yet - first day on "&amp;TEXT(S61,"dd/mm/yyyy"))))))))))</f>
        <v/>
      </c>
      <c r="AB61" s="17" t="str">
        <f aca="false">IF(OR(AK61=0,T61=""),"",MAX(0,BE61-BQ61)*HoursPerDay-T61)</f>
        <v/>
      </c>
      <c r="AC61" s="16" t="str">
        <f aca="false">IF(AK61=0,"",BG61)</f>
        <v/>
      </c>
      <c r="AD61" s="16" t="str">
        <f aca="false">IF(AK61=0,"",TRIM(IF(OR(ISTEXT($F61),ISTEXT($H61),ISTEXT($I61),ISTEXT($G61),ISTEXT($J61),ISTEXT($D61)),"A date is typed as text - retype it as dd/mm/yyyy. ","")&amp;IF(IF($C61="","",IF(OR(ISNUMBER(SEARCH("full",$C61)),UPPER(TRIM($C61))="FT",UPPER(TRIM($C61))="FTE"),"Full-Time",IF(OR(ISNUMBER(SEARCH("part",$C61)),UPPER(TRIM($C61))="PT",UPPER(TRIM($C61))="PTE"),"Part-Time",IF(OR(ISNUMBER(SEARCH("cas",$C61)),UPPER(TRIM($C61))="CAS"),"Casual","Unknown"))))="Unknown","EmploymentType not recognised - use Full-Time, Part-Time or Casual. ","")&amp;IF(AND(AM61&gt;=1,IF(AM61&gt;=3,AS61,IF(AM61=2,AR61,AQ61))&lt;&gt;IF($C61="","",IF(OR(ISNUMBER(SEARCH("full",$C61)),UPPER(TRIM($C61))="FT",UPPER(TRIM($C61))="FTE"),"Full-Time",IF(OR(ISNUMBER(SEARCH("part",$C61)),UPPER(TRIM($C61))="PT",UPPER(TRIM($C61))="PTE"),"Part-Time",IF(OR(ISNUMBER(SEARCH("cas",$C61)),UPPER(TRIM($C61))="CAS"),"Casual","Unknown"))))),"EmploymentType does not match latest start date ("&amp;IF(AM61&gt;=3,AS61,IF(AM61=2,AR61,AQ61))&amp;"). ","")&amp;IF(AND(AM61&gt;=1,AN61&lt;&gt;$F61),"Earliest type date should equal StartDate. ","")&amp;IF(AND(AM61&gt;=2,AN61=AO61),"Two types start on the same date. ","")&amp;IF(AND(OR(ISNUMBER(SEARCH("part",$C61)),UPPER(TRIM($C61))="PT",UPPER(TRIM($C61))="PTE"),$P61=""),"Part-time: enter PT Hrs/Week (blank = 24+). ","")))</f>
        <v/>
      </c>
      <c r="AE61" s="17" t="str">
        <f aca="false">IF(AK61=0,"",O61-MAX(0,BL61-BQ61))</f>
        <v/>
      </c>
      <c r="AF61" s="14" t="str">
        <f aca="false">IF(OR(AK61=0,AE61="",N(AE61)=0,BM61=""),"",EDATE(AL61,BM61))</f>
        <v/>
      </c>
      <c r="AG61" s="17" t="str">
        <f aca="false">IF(AK61=0,"",MIN(BD61,BQ61))</f>
        <v/>
      </c>
      <c r="AH61" s="17" t="str">
        <f aca="false">IF(AK61=0,"",IF(NOT(LH_Ready),"",IF(BG61=0,0,MAX(0,ROUND(N(T61)+N(U61)-N61,2)))))</f>
        <v/>
      </c>
      <c r="AI61" s="12"/>
      <c r="AJ61" s="12"/>
      <c r="AK61" s="16" t="n">
        <f aca="false">IF(OR(LEN($A61&amp;$B61)=0,$F61=""),0,1)</f>
        <v>0</v>
      </c>
      <c r="AL61" s="14" t="str">
        <f aca="false">IF(AK61=0,"",IF(PreSchemeCounts="No",MAX(SchemeStart,IF($J61&lt;&gt;"",$J61,IF(OR(CasualCounts="Yes",COUNT($G61:$I61)=0),$F61,IF(Apply2026="No",IF($I61="",$F61,$I61),IF(COUNT($H61:$I61)=0,$F61,MIN($H61:$I61)))))),IF($J61&lt;&gt;"",$J61,IF(OR(CasualCounts="Yes",COUNT($G61:$I61)=0),$F61,IF(Apply2026="No",IF($I61="",$F61,$I61),IF(COUNT($H61:$I61)=0,$F61,MIN($H61:$I61)))))))</f>
        <v/>
      </c>
      <c r="AM61" s="16" t="str">
        <f aca="false">IF(AK61=0,"",COUNT($G61:$I61))</f>
        <v/>
      </c>
      <c r="AN61" s="14" t="str">
        <f aca="false">IF(AK61=0,"",IFERROR(SMALL($G61:$I61,1),""))</f>
        <v/>
      </c>
      <c r="AO61" s="14" t="str">
        <f aca="false">IF(AK61=0,"",IFERROR(SMALL($G61:$I61,2),""))</f>
        <v/>
      </c>
      <c r="AP61" s="14" t="str">
        <f aca="false">IF(AK61=0,"",IFERROR(SMALL($G61:$I61,3),""))</f>
        <v/>
      </c>
      <c r="AQ61" s="16" t="str">
        <f aca="false">IF(AK61=0,"",IF(AN61="","",IF(AN61=$H61,"Part-Time",IF(AN61=$I61,"Full-Time","Casual"))))</f>
        <v/>
      </c>
      <c r="AR61" s="16" t="str">
        <f aca="false">IF(AK61=0,"",IF(AO61="","",IF(AO61=$H61,"Part-Time",IF(AO61=$I61,"Full-Time","Casual"))))</f>
        <v/>
      </c>
      <c r="AS61" s="16" t="str">
        <f aca="false">IF(AK61=0,"",IF(AP61="","",IF(AP61=$H61,"Part-Time",IF(AP61=$I61,"Full-Time","Casual"))))</f>
        <v/>
      </c>
      <c r="AT61" s="16" t="str">
        <f aca="false">IF(AK61=0,"",IF(AM61=0,IF(OR(ISNUMBER(SEARCH("full",$C61)),UPPER(TRIM($C61))="FT",UPPER(TRIM($C61))="FTE"),"FT",IF(AND(OR(ISNUMBER(SEARCH("part",$C61)),UPPER(TRIM($C61))="PT",UPPER(TRIM($C61))="PTE"),Apply2026="Yes",OR($P61="",N($P61)&gt;=PT_MinHours)),"PT","None")),IF(OR(ISNUMBER(SEARCH("full",AQ61)),UPPER(TRIM(AQ61))="FT",UPPER(TRIM(AQ61))="FTE"),"FT",IF(AND(OR(ISNUMBER(SEARCH("part",AQ61)),UPPER(TRIM(AQ61))="PT",UPPER(TRIM(AQ61))="PTE"),Apply2026="Yes",OR($P61="",N($P61)&gt;=PT_MinHours)),"PT","None"))))</f>
        <v/>
      </c>
      <c r="AU61" s="16" t="str">
        <f aca="false">IF(AK61=0,"",IF(AM61&lt;2,"",IF(OR(ISNUMBER(SEARCH("full",AR61)),UPPER(TRIM(AR61))="FT",UPPER(TRIM(AR61))="FTE"),"FT",IF(AND(OR(ISNUMBER(SEARCH("part",AR61)),UPPER(TRIM(AR61))="PT",UPPER(TRIM(AR61))="PTE"),Apply2026="Yes",OR($P61="",N($P61)&gt;=PT_MinHours)),"PT","None"))))</f>
        <v/>
      </c>
      <c r="AV61" s="16" t="str">
        <f aca="false">IF(AK61=0,"",IF(AM61&lt;3,"",IF(OR(ISNUMBER(SEARCH("full",AS61)),UPPER(TRIM(AS61))="FT",UPPER(TRIM(AS61))="FTE"),"FT",IF(AND(OR(ISNUMBER(SEARCH("part",AS61)),UPPER(TRIM(AS61))="PT",UPPER(TRIM(AS61))="PTE"),Apply2026="Yes",OR($P61="",N($P61)&gt;=PT_MinHours)),"PT","None"))))</f>
        <v/>
      </c>
      <c r="AW61" s="16" t="str">
        <f aca="false">IF(AK61=0,"",IF(AND(AM61&gt;=3,AP61&lt;=AsOfDate),AV61,IF(AND(AM61&gt;=2,AO61&lt;=AsOfDate),AU61,AT61)))</f>
        <v/>
      </c>
      <c r="AX61" s="16" t="str">
        <f aca="false">IF(AK61=0,"",IF(AsOfDate&lt;AL61,-1,12*(YEAR(AsOfDate)-YEAR(AL61))+MONTH(AsOfDate)-MONTH(AL61)-IF(DAY(AsOfDate)&lt;MIN(DAY(AL61),DAY(EOMONTH(AsOfDate,0))),1,0)))</f>
        <v/>
      </c>
      <c r="AY61" s="16" t="str">
        <f aca="false">IF(AK61=0,"",IF(OR(AM61&lt;2,AO61&gt;AsOfDate),AX61,IF((AO61-1)&lt;AL61,-1,12*(YEAR((AO61-1))-YEAR(AL61))+MONTH((AO61-1))-MONTH(AL61)-IF(DAY((AO61-1))&lt;MIN(DAY(AL61),DAY(EOMONTH((AO61-1),0))),1,0))))</f>
        <v/>
      </c>
      <c r="AZ61" s="16" t="str">
        <f aca="false">IF(AK61=0,"",IF(OR(AM61&lt;3,AP61&gt;AsOfDate),AX61,IF((AP61-1)&lt;AL61,-1,12*(YEAR((AP61-1))-YEAR(AL61))+MONTH((AP61-1))-MONTH(AL61)-IF(DAY((AP61-1))&lt;MIN(DAY(AL61),DAY(EOMONTH((AP61-1),0))),1,0))))</f>
        <v/>
      </c>
      <c r="BA61" s="16" t="str">
        <f aca="false">IF(AK61=0,"",IF(PFYDate&lt;AL61,-1,12*(YEAR(PFYDate)-YEAR(AL61))+MONTH(PFYDate)-MONTH(AL61)-IF(DAY(PFYDate)&lt;MIN(DAY(AL61),DAY(EOMONTH(PFYDate,0))),1,0)))</f>
        <v/>
      </c>
      <c r="BB61" s="16" t="str">
        <f aca="false">IF(AK61=0,"",IF(OR(AM61&lt;2,AO61&gt;PFYDate),BA61,IF((AO61-1)&lt;AL61,-1,12*(YEAR((AO61-1))-YEAR(AL61))+MONTH((AO61-1))-MONTH(AL61)-IF(DAY((AO61-1))&lt;MIN(DAY(AL61),DAY(EOMONTH((AO61-1),0))),1,0))))</f>
        <v/>
      </c>
      <c r="BC61" s="16" t="str">
        <f aca="false">IF(AK61=0,"",IF(OR(AM61&lt;3,AP61&gt;PFYDate),BA61,IF((AP61-1)&lt;AL61,-1,12*(YEAR((AP61-1))-YEAR(AL61))+MONTH((AP61-1))-MONTH(AL61)-IF(DAY((AP61-1))&lt;MIN(DAY(AL61),DAY(EOMONTH((AP61-1),0))),1,0))))</f>
        <v/>
      </c>
      <c r="BD61" s="16" t="str">
        <f aca="false">IF(AK61=0,"",IF(AT61="FT",IF(AY61&lt;FT_First,0,IF(AY61&lt;FT_Y5,1+INT((AY61-FT_First)/FT_Int1),FT_PreY5+FT_PerYear*INT((AY61-FT_Y5)/12)+FT_AnnivDays+INT(MOD(AY61-FT_Y5,12)/FT_Int2)-IF(EDATE(AL61,FT_Y5)&lt;PolicyEff,FT_AnnivDays-1,0))),IF(AT61="PT",IF(AY61&lt;PT_First,0,1+INT((AY61-PT_First)/PT_Int)),0))+IF(AND(AM61&gt;=2,AO61&lt;=AsOfDate),IF(AU61="FT",IF(AZ61&lt;FT_First,0,IF(AZ61&lt;FT_Y5,1+INT((AZ61-FT_First)/FT_Int1),FT_PreY5+FT_PerYear*INT((AZ61-FT_Y5)/12)+FT_AnnivDays+INT(MOD(AZ61-FT_Y5,12)/FT_Int2)-IF(EDATE(AL61,FT_Y5)&lt;PolicyEff,FT_AnnivDays-1,0))),IF(AU61="PT",IF(AZ61&lt;PT_First,0,1+INT((AZ61-PT_First)/PT_Int)),0))-IF(AU61="FT",IF(AY61&lt;FT_First,0,IF(AY61&lt;FT_Y5,1+INT((AY61-FT_First)/FT_Int1),FT_PreY5+FT_PerYear*INT((AY61-FT_Y5)/12)+FT_AnnivDays+INT(MOD(AY61-FT_Y5,12)/FT_Int2)-IF(EDATE(AL61,FT_Y5)&lt;PolicyEff,FT_AnnivDays-1,0))),IF(AU61="PT",IF(AY61&lt;PT_First,0,1+INT((AY61-PT_First)/PT_Int)),0)),0)+IF(AND(AM61&gt;=3,AP61&lt;=AsOfDate),IF(AV61="FT",IF(AX61&lt;FT_First,0,IF(AX61&lt;FT_Y5,1+INT((AX61-FT_First)/FT_Int1),FT_PreY5+FT_PerYear*INT((AX61-FT_Y5)/12)+FT_AnnivDays+INT(MOD(AX61-FT_Y5,12)/FT_Int2)-IF(EDATE(AL61,FT_Y5)&lt;PolicyEff,FT_AnnivDays-1,0))),IF(AV61="PT",IF(AX61&lt;PT_First,0,1+INT((AX61-PT_First)/PT_Int)),0))-IF(AV61="FT",IF(AZ61&lt;FT_First,0,IF(AZ61&lt;FT_Y5,1+INT((AZ61-FT_First)/FT_Int1),FT_PreY5+FT_PerYear*INT((AZ61-FT_Y5)/12)+FT_AnnivDays+INT(MOD(AZ61-FT_Y5,12)/FT_Int2)-IF(EDATE(AL61,FT_Y5)&lt;PolicyEff,FT_AnnivDays-1,0))),IF(AV61="PT",IF(AZ61&lt;PT_First,0,1+INT((AZ61-PT_First)/PT_Int)),0)),0))</f>
        <v/>
      </c>
      <c r="BE61" s="16" t="str">
        <f aca="false">IF(AK61=0,"",IF(AT61="FT",IF(BB61&lt;FT_First,0,IF(BB61&lt;FT_Y5,1+INT((BB61-FT_First)/FT_Int1),FT_PreY5+FT_PerYear*INT((BB61-FT_Y5)/12)+FT_AnnivDays+INT(MOD(BB61-FT_Y5,12)/FT_Int2)-IF(EDATE(AL61,FT_Y5)&lt;PolicyEff,FT_AnnivDays-1,0))),IF(AT61="PT",IF(BB61&lt;PT_First,0,1+INT((BB61-PT_First)/PT_Int)),0))+IF(AND(AM61&gt;=2,AO61&lt;=PFYDate),IF(AU61="FT",IF(BC61&lt;FT_First,0,IF(BC61&lt;FT_Y5,1+INT((BC61-FT_First)/FT_Int1),FT_PreY5+FT_PerYear*INT((BC61-FT_Y5)/12)+FT_AnnivDays+INT(MOD(BC61-FT_Y5,12)/FT_Int2)-IF(EDATE(AL61,FT_Y5)&lt;PolicyEff,FT_AnnivDays-1,0))),IF(AU61="PT",IF(BC61&lt;PT_First,0,1+INT((BC61-PT_First)/PT_Int)),0))-IF(AU61="FT",IF(BB61&lt;FT_First,0,IF(BB61&lt;FT_Y5,1+INT((BB61-FT_First)/FT_Int1),FT_PreY5+FT_PerYear*INT((BB61-FT_Y5)/12)+FT_AnnivDays+INT(MOD(BB61-FT_Y5,12)/FT_Int2)-IF(EDATE(AL61,FT_Y5)&lt;PolicyEff,FT_AnnivDays-1,0))),IF(AU61="PT",IF(BB61&lt;PT_First,0,1+INT((BB61-PT_First)/PT_Int)),0)),0)+IF(AND(AM61&gt;=3,AP61&lt;=PFYDate),IF(AV61="FT",IF(BA61&lt;FT_First,0,IF(BA61&lt;FT_Y5,1+INT((BA61-FT_First)/FT_Int1),FT_PreY5+FT_PerYear*INT((BA61-FT_Y5)/12)+FT_AnnivDays+INT(MOD(BA61-FT_Y5,12)/FT_Int2)-IF(EDATE(AL61,FT_Y5)&lt;PolicyEff,FT_AnnivDays-1,0))),IF(AV61="PT",IF(BA61&lt;PT_First,0,1+INT((BA61-PT_First)/PT_Int)),0))-IF(AV61="FT",IF(BC61&lt;FT_First,0,IF(BC61&lt;FT_Y5,1+INT((BC61-FT_First)/FT_Int1),FT_PreY5+FT_PerYear*INT((BC61-FT_Y5)/12)+FT_AnnivDays+INT(MOD(BC61-FT_Y5,12)/FT_Int2)-IF(EDATE(AL61,FT_Y5)&lt;PolicyEff,FT_AnnivDays-1,0))),IF(AV61="PT",IF(BC61&lt;PT_First,0,1+INT((BC61-PT_First)/PT_Int)),0)),0))</f>
        <v/>
      </c>
      <c r="BF61" s="16" t="str">
        <f aca="false">IF(AK61=0,"",IF(AW61="FT",IF(AX61&lt;FT_First,FT_First,IF(AX61&lt;FT_Y5,MIN(FT_Y5,FT_First+FT_Int1*(INT((AX61-FT_First)/FT_Int1)+1)),FT_Y5+12*INT((AX61-FT_Y5)/12)+FT_Int2*(INT(MOD(AX61-FT_Y5,12)/FT_Int2)+1))),IF(AW61="PT",IF(AX61&lt;PT_First,PT_First,PT_First+PT_Int*(INT((AX61-PT_First)/PT_Int)+1)),"")))</f>
        <v/>
      </c>
      <c r="BG61" s="16" t="str">
        <f aca="false">IF(AK61=0,"",IF(NOT(LH_Ready),0,COUNTIFS(INDEX(LH_Data,0,LH_ColFirst),$A61,INDEX(LH_Data,0,LH_ColSur),$B61,INDEX(LH_Data,0,LH_ColCat),BonusCat)))</f>
        <v/>
      </c>
      <c r="BH61" s="16" t="str">
        <f aca="false">IF(AK61=0,"",IF(OR(NOT(LH_Ready),BG61=0),0,SUMPRODUCT(MAX((INDEX(LH_Data,0,LH_ColFirst)=$A61)*(INDEX(LH_Data,0,LH_ColSur)=$B61)*(INDEX(LH_Data,0,LH_ColCat)=BonusCat)*ROW(LH_Data)))))</f>
        <v/>
      </c>
      <c r="BI61" s="16" t="str">
        <f aca="false">IF(AK61=0,"",IF(EOMONTH(AsOfDate,-1)&lt;AL61,-1,12*(YEAR(EOMONTH(AsOfDate,-1))-YEAR(AL61))+MONTH(EOMONTH(AsOfDate,-1))-MONTH(AL61)-IF(DAY(EOMONTH(AsOfDate,-1))&lt;MIN(DAY(AL61),DAY(EOMONTH(EOMONTH(AsOfDate,-1),0))),1,0)))</f>
        <v/>
      </c>
      <c r="BJ61" s="16" t="str">
        <f aca="false">IF(AK61=0,"",IF(OR(AM61&lt;2,AO61&gt;EOMONTH(AsOfDate,-1)),BI61,IF((AO61-1)&lt;AL61,-1,12*(YEAR((AO61-1))-YEAR(AL61))+MONTH((AO61-1))-MONTH(AL61)-IF(DAY((AO61-1))&lt;MIN(DAY(AL61),DAY(EOMONTH((AO61-1),0))),1,0))))</f>
        <v/>
      </c>
      <c r="BK61" s="16" t="str">
        <f aca="false">IF(AK61=0,"",IF(OR(AM61&lt;3,AP61&gt;EOMONTH(AsOfDate,-1)),BI61,IF((AP61-1)&lt;AL61,-1,12*(YEAR((AP61-1))-YEAR(AL61))+MONTH((AP61-1))-MONTH(AL61)-IF(DAY((AP61-1))&lt;MIN(DAY(AL61),DAY(EOMONTH((AP61-1),0))),1,0))))</f>
        <v/>
      </c>
      <c r="BL61" s="16" t="str">
        <f aca="false">IF(AK61=0,"",IF(AT61="FT",IF(BJ61&lt;FT_First,0,IF(BJ61&lt;FT_Y5,1+INT((BJ61-FT_First)/FT_Int1),FT_PreY5+FT_PerYear*INT((BJ61-FT_Y5)/12)+FT_AnnivDays+INT(MOD(BJ61-FT_Y5,12)/FT_Int2)-IF(EDATE(AL61,FT_Y5)&lt;PolicyEff,FT_AnnivDays-1,0))),IF(AT61="PT",IF(BJ61&lt;PT_First,0,1+INT((BJ61-PT_First)/PT_Int)),0))+IF(AND(AM61&gt;=2,AO61&lt;=EOMONTH(AsOfDate,-1)),IF(AU61="FT",IF(BK61&lt;FT_First,0,IF(BK61&lt;FT_Y5,1+INT((BK61-FT_First)/FT_Int1),FT_PreY5+FT_PerYear*INT((BK61-FT_Y5)/12)+FT_AnnivDays+INT(MOD(BK61-FT_Y5,12)/FT_Int2)-IF(EDATE(AL61,FT_Y5)&lt;PolicyEff,FT_AnnivDays-1,0))),IF(AU61="PT",IF(BK61&lt;PT_First,0,1+INT((BK61-PT_First)/PT_Int)),0))-IF(AU61="FT",IF(BJ61&lt;FT_First,0,IF(BJ61&lt;FT_Y5,1+INT((BJ61-FT_First)/FT_Int1),FT_PreY5+FT_PerYear*INT((BJ61-FT_Y5)/12)+FT_AnnivDays+INT(MOD(BJ61-FT_Y5,12)/FT_Int2)-IF(EDATE(AL61,FT_Y5)&lt;PolicyEff,FT_AnnivDays-1,0))),IF(AU61="PT",IF(BJ61&lt;PT_First,0,1+INT((BJ61-PT_First)/PT_Int)),0)),0)+IF(AND(AM61&gt;=3,AP61&lt;=EOMONTH(AsOfDate,-1)),IF(AV61="FT",IF(BI61&lt;FT_First,0,IF(BI61&lt;FT_Y5,1+INT((BI61-FT_First)/FT_Int1),FT_PreY5+FT_PerYear*INT((BI61-FT_Y5)/12)+FT_AnnivDays+INT(MOD(BI61-FT_Y5,12)/FT_Int2)-IF(EDATE(AL61,FT_Y5)&lt;PolicyEff,FT_AnnivDays-1,0))),IF(AV61="PT",IF(BI61&lt;PT_First,0,1+INT((BI61-PT_First)/PT_Int)),0))-IF(AV61="FT",IF(BK61&lt;FT_First,0,IF(BK61&lt;FT_Y5,1+INT((BK61-FT_First)/FT_Int1),FT_PreY5+FT_PerYear*INT((BK61-FT_Y5)/12)+FT_AnnivDays+INT(MOD(BK61-FT_Y5,12)/FT_Int2)-IF(EDATE(AL61,FT_Y5)&lt;PolicyEff,FT_AnnivDays-1,0))),IF(AV61="PT",IF(BK61&lt;PT_First,0,1+INT((BK61-PT_First)/PT_Int)),0)),0))</f>
        <v/>
      </c>
      <c r="BM61" s="16" t="str">
        <f aca="false">IF(AK61=0,"",IF(AW61="FT",IF(AX61&lt;FT_First,"",IF(AX61&lt;FT_Y5,FT_First+FT_Int1*INT((AX61-FT_First)/FT_Int1),FT_Y5+FT_Int2*INT((AX61-FT_Y5)/FT_Int2))),IF(AW61="PT",IF(AX61&lt;PT_First,"",PT_First+PT_Int*INT((AX61-PT_First)/PT_Int)),"")))</f>
        <v/>
      </c>
      <c r="BN61" s="16" t="str">
        <f aca="false">IF(AK61=0,"",IF((SchemeStart-1)&lt;AL61,-1,12*(YEAR((SchemeStart-1))-YEAR(AL61))+MONTH((SchemeStart-1))-MONTH(AL61)-IF(DAY((SchemeStart-1))&lt;MIN(DAY(AL61),DAY(EOMONTH((SchemeStart-1),0))),1,0)))</f>
        <v/>
      </c>
      <c r="BO61" s="16" t="str">
        <f aca="false">IF(AK61=0,"",IF(OR(AM61&lt;2,AO61&gt;(SchemeStart-1)),BN61,IF((AO61-1)&lt;AL61,-1,12*(YEAR((AO61-1))-YEAR(AL61))+MONTH((AO61-1))-MONTH(AL61)-IF(DAY((AO61-1))&lt;MIN(DAY(AL61),DAY(EOMONTH((AO61-1),0))),1,0))))</f>
        <v/>
      </c>
      <c r="BP61" s="16" t="str">
        <f aca="false">IF(AK61=0,"",IF(OR(AM61&lt;3,AP61&gt;(SchemeStart-1)),BN61,IF((AP61-1)&lt;AL61,-1,12*(YEAR((AP61-1))-YEAR(AL61))+MONTH((AP61-1))-MONTH(AL61)-IF(DAY((AP61-1))&lt;MIN(DAY(AL61),DAY(EOMONTH((AP61-1),0))),1,0))))</f>
        <v/>
      </c>
      <c r="BQ61" s="16" t="str">
        <f aca="false">IF(AK61=0,"",IF(AT61="FT",IF(BO61&lt;FT_First,0,IF(BO61&lt;FT_Y5,1+INT((BO61-FT_First)/FT_Int1),FT_PreY5+FT_PerYear*INT((BO61-FT_Y5)/12)+FT_AnnivDays+INT(MOD(BO61-FT_Y5,12)/FT_Int2)-IF(EDATE(AL61,FT_Y5)&lt;PolicyEff,FT_AnnivDays-1,0))),IF(AT61="PT",IF(BO61&lt;PT_First,0,1+INT((BO61-PT_First)/PT_Int)),0))+IF(AND(AM61&gt;=2,AO61&lt;=(SchemeStart-1)),IF(AU61="FT",IF(BP61&lt;FT_First,0,IF(BP61&lt;FT_Y5,1+INT((BP61-FT_First)/FT_Int1),FT_PreY5+FT_PerYear*INT((BP61-FT_Y5)/12)+FT_AnnivDays+INT(MOD(BP61-FT_Y5,12)/FT_Int2)-IF(EDATE(AL61,FT_Y5)&lt;PolicyEff,FT_AnnivDays-1,0))),IF(AU61="PT",IF(BP61&lt;PT_First,0,1+INT((BP61-PT_First)/PT_Int)),0))-IF(AU61="FT",IF(BO61&lt;FT_First,0,IF(BO61&lt;FT_Y5,1+INT((BO61-FT_First)/FT_Int1),FT_PreY5+FT_PerYear*INT((BO61-FT_Y5)/12)+FT_AnnivDays+INT(MOD(BO61-FT_Y5,12)/FT_Int2)-IF(EDATE(AL61,FT_Y5)&lt;PolicyEff,FT_AnnivDays-1,0))),IF(AU61="PT",IF(BO61&lt;PT_First,0,1+INT((BO61-PT_First)/PT_Int)),0)),0)+IF(AND(AM61&gt;=3,AP61&lt;=(SchemeStart-1)),IF(AV61="FT",IF(BN61&lt;FT_First,0,IF(BN61&lt;FT_Y5,1+INT((BN61-FT_First)/FT_Int1),FT_PreY5+FT_PerYear*INT((BN61-FT_Y5)/12)+FT_AnnivDays+INT(MOD(BN61-FT_Y5,12)/FT_Int2)-IF(EDATE(AL61,FT_Y5)&lt;PolicyEff,FT_AnnivDays-1,0))),IF(AV61="PT",IF(BN61&lt;PT_First,0,1+INT((BN61-PT_First)/PT_Int)),0))-IF(AV61="FT",IF(BP61&lt;FT_First,0,IF(BP61&lt;FT_Y5,1+INT((BP61-FT_First)/FT_Int1),FT_PreY5+FT_PerYear*INT((BP61-FT_Y5)/12)+FT_AnnivDays+INT(MOD(BP61-FT_Y5,12)/FT_Int2)-IF(EDATE(AL61,FT_Y5)&lt;PolicyEff,FT_AnnivDays-1,0))),IF(AV61="PT",IF(BP61&lt;PT_First,0,1+INT((BP61-PT_First)/PT_Int)),0)),0))</f>
        <v/>
      </c>
      <c r="BR61" s="0" t="str">
        <f aca="false">IF(LEN($A61&amp;$B61)=0,"",$A61&amp;" "&amp;$B61)</f>
        <v/>
      </c>
    </row>
    <row r="62" customFormat="false" ht="15" hidden="false" customHeight="false" outlineLevel="0" collapsed="false">
      <c r="A62" s="12"/>
      <c r="B62" s="12"/>
      <c r="C62" s="12"/>
      <c r="D62" s="13"/>
      <c r="E62" s="14" t="str">
        <f aca="false">IF(OR(AK62=0,$D62=""),"",DATE(YEAR(AsOfDate)+IF(DATE(YEAR(AsOfDate),MONTH($D62),DAY($D62))&lt;=AsOfDate,1,0),MONTH($D62),DAY($D62)))</f>
        <v/>
      </c>
      <c r="F62" s="13"/>
      <c r="G62" s="13"/>
      <c r="H62" s="13"/>
      <c r="I62" s="13"/>
      <c r="J62" s="13"/>
      <c r="K62" s="14" t="str">
        <f aca="false">IF(AK62=0,"",DATE(YEAR(AsOfDate)+IF(DATE(YEAR(AsOfDate),MONTH(AL62),DAY(AL62))&lt;=AsOfDate,1,0),MONTH(AL62),DAY(AL62)))</f>
        <v/>
      </c>
      <c r="L62" s="15" t="str">
        <f aca="false">IF(AK62=0,"",ROUND((AsOfDate-AL62)/365.25,1))</f>
        <v/>
      </c>
      <c r="M62" s="16" t="str">
        <f aca="false">IF(AK62=0,"",IF(AsOfDate&lt;AL62,"-",DATEDIF(AL62,AsOfDate,"y")&amp;"y "&amp;DATEDIF(AL62,AsOfDate,"ym")&amp;"m "&amp;DATEDIF(AL62,AsOfDate,"md")&amp;"d"))</f>
        <v/>
      </c>
      <c r="N62" s="17" t="str">
        <f aca="false">IF(AK62=0,"",O62*HoursPerDay)</f>
        <v/>
      </c>
      <c r="O62" s="17" t="str">
        <f aca="false">IF(AK62=0,"",MAX(0,BD62-BQ62))</f>
        <v/>
      </c>
      <c r="P62" s="18"/>
      <c r="Q62" s="16" t="str">
        <f aca="false">IF(AK62=0,"",IF(AM62&lt;2,"",AQ62&amp;" to "&amp;AR62&amp;" on "&amp;TEXT(AO62,"dd/mm/yyyy")&amp;IF(AO62&gt;AsOfDate," (future)",IF(AT62=AU62,"",IF(AU62="None"," - STOPPED accruing",IF(AT62="None"," - commencement for Bonus Leave"," - pathway changed"))))&amp;IF(AM62&lt;3,"","; "&amp;AR62&amp;" to "&amp;AS62&amp;" on "&amp;TEXT(AP62,"dd/mm/yyyy")&amp;IF(AP62&gt;AsOfDate," (future)",IF(AU62=AV62,"",IF(AV62="None"," - STOPPED accruing",IF(AU62="None"," - commencement for Bonus Leave"," - pathway changed")))))))</f>
        <v/>
      </c>
      <c r="R62" s="16" t="str">
        <f aca="false">IF(AK62=0,"",IF(AW62="None",IF(O62&gt;0,"No longer accruing","Not eligible - "&amp;IF(AND(OR(ISNUMBER(SEARCH("part",$C62)),UPPER(TRIM($C62))="PT",UPPER(TRIM($C62))="PTE"),Apply2026="No"),"part-time (scheme is full-time only)",IF(AND(OR(ISNUMBER(SEARCH("part",$C62)),UPPER(TRIM($C62))="PT",UPPER(TRIM($C62))="PTE"),$P62&lt;&gt;"",N($P62)&lt;PT_MinHours),"under "&amp;PT_MinHours&amp;" hrs",IF(IF($C62="","",IF(OR(ISNUMBER(SEARCH("full",$C62)),UPPER(TRIM($C62))="FT",UPPER(TRIM($C62))="FTE"),"Full-Time",IF(OR(ISNUMBER(SEARCH("part",$C62)),UPPER(TRIM($C62))="PT",UPPER(TRIM($C62))="PTE"),"Part-Time",IF(OR(ISNUMBER(SEARCH("cas",$C62)),UPPER(TRIM($C62))="CAS"),"Casual","Unknown"))))="Unknown","type not recognised",$C62)))),IF(O62&gt;0,"Yes - Accrual Required","Not yet - from "&amp;TEXT(S62,"dd/mm/yyyy"))))</f>
        <v/>
      </c>
      <c r="S62" s="14" t="str">
        <f aca="false">IF(AK62=0,"",IF(AW62="None","",EDATE(AL62,BF62)))</f>
        <v/>
      </c>
      <c r="T62" s="17" t="str">
        <f aca="false">IF(AK62=0,"",IF(NOT(LH_Ready),"",IF($F62&gt;PFYDate,0,IF(LH_ColPeriod=0,W62-U62+V62,SUMIFS(INDEX(LH_Data,0,LH_ColAcc),INDEX(LH_Data,0,LH_ColFirst),$A62,INDEX(LH_Data,0,LH_ColSur),$B62,INDEX(LH_Data,0,LH_ColCat),BonusCat,INDEX(LH_Data,0,LH_ColPeriod),LH_OpenLabel)*UnitFactor))))</f>
        <v/>
      </c>
      <c r="U62" s="17" t="str">
        <f aca="false">IF(AK62=0,"",IF(NOT(LH_Ready),"",SUMIFS(INDEX(LH_Data,0,LH_ColAcc),INDEX(LH_Data,0,LH_ColFirst),$A62,INDEX(LH_Data,0,LH_ColSur),$B62,INDEX(LH_Data,0,LH_ColCat),BonusCat,INDEX(LH_Data,0,LH_ColStart),"&gt;="&amp;AL62)*UnitFactor))</f>
        <v/>
      </c>
      <c r="V62" s="17" t="str">
        <f aca="false">IF(AK62=0,"",IF(NOT(LH_Ready),"",SUMIFS(INDEX(LH_Data,0,LH_ColTaken),INDEX(LH_Data,0,LH_ColFirst),$A62,INDEX(LH_Data,0,LH_ColSur),$B62,INDEX(LH_Data,0,LH_ColCat),BonusCat,INDEX(LH_Data,0,LH_ColStart),"&gt;="&amp;AL62)*UnitFactor))</f>
        <v/>
      </c>
      <c r="W62" s="17" t="str">
        <f aca="false">IF(AK62=0,"",IF(NOT(LH_Ready),"",IF(BH62=0,0,INDEX(INDEX(LH_Data,0,LH_ColClose),BH62-1)*UnitFactor)))</f>
        <v/>
      </c>
      <c r="X62" s="17" t="str">
        <f aca="false">IF(AK62=0,"",(MAX(0,BD62-BQ62)-MAX(0,BE62-BQ62))*HoursPerDay)</f>
        <v/>
      </c>
      <c r="Y62" s="17" t="str">
        <f aca="false">IF(AK62=0,"",IF(NOT(LH_Ready),"",IF($AI62="Yes",N(AE62)*HoursPerDay-SUMIFS(INDEX(LH_Data,0,LH_ColAcc),INDEX(LH_Data,0,LH_ColFirst),$A62,INDEX(LH_Data,0,LH_ColSur),$B62,INDEX(LH_Data,0,LH_ColCat),BonusCat,INDEX(LH_Data,0,LH_ColStart),"&gt;="&amp;(EOMONTH(AsOfDate,-1)+1),INDEX(LH_Data,0,LH_ColStart),"&lt;="&amp;AsOfDate)*UnitFactor,IF(BG62=0,N62,N62-N(T62)-N(U62)))))</f>
        <v/>
      </c>
      <c r="Z62" s="16" t="str">
        <f aca="false">IF(OR(AK62=0,Y62=""),"",IF(Y62&gt;0,"Yes","No"))</f>
        <v/>
      </c>
      <c r="AA62" s="16" t="str">
        <f aca="false">IF(AK62=0,IF(LEN($A62&amp;$B62)=0,"","FIX INPUT - StartDate missing"),IF(AD62&lt;&gt;"","FIX INPUT - "&amp;AD62,IF(NOT(LH_Ready),"Paste Leave History export (Settings must show YES)",IF(AND($AI62="Yes",Y62&lt;=0),"OK - EH balance accepted to date"&amp;IF(N(AH62)&gt;0," (EH holds "&amp;AH62&amp;" hrs over the scheme)","")&amp;"; next day "&amp;TEXT(S62,"dd mmm yy")&amp;IF(N(AE62)&gt;0," ("&amp;AE62&amp;" day(s) for "&amp;UPPER(TEXT(AsOfDate,"mmm yyyy"))&amp;" already in EH)",""),IF(Y62&gt;0,"ACCRUE "&amp;ROUND(Y62,2)&amp;" hrs ("&amp;ROUND(Y62/HoursPerDay,2)&amp;" days): "&amp;IF(N(AE62)&gt;0,AE62&amp;" day(s) for "&amp;UPPER(TEXT(AsOfDate,"mmm yyyy"))&amp;" (milestone "&amp;UPPER(TEXT(AF62,"dd mmm yy"))&amp;")"&amp;IF(Y62/HoursPerDay&gt;AE62+0.001," + "&amp;ROUND(Y62/HoursPerDay-AE62,2)&amp;" day(s) catch-up from earlier months",""),"all catch-up from earlier months, nothing new this month")&amp;IF(BG62=0,"; no Bonus Leave in EH yet",""),IF(Y62&lt;0,"CHECK - EH accrued "&amp;ROUND(-Y62,2)&amp;" hrs more than policy since commencement",IF(N(W62)&gt;O62*HoursPerDay+0.01,"CHECK - EH balance "&amp;ROUND(W62-O62*HoursPerDay,2)&amp;" hrs more than policy entitlement",IF(O62&gt;0,"OK - nothing to add"&amp;IF(N(AE62)&gt;0," ("&amp;AE62&amp;" day(s) for "&amp;UPPER(TEXT(AsOfDate,"mmm yyyy"))&amp;" already in EH)",""),IF(AW62="None",R62,"Not yet - first day on "&amp;TEXT(S62,"dd/mm/yyyy"))))))))))</f>
        <v/>
      </c>
      <c r="AB62" s="17" t="str">
        <f aca="false">IF(OR(AK62=0,T62=""),"",MAX(0,BE62-BQ62)*HoursPerDay-T62)</f>
        <v/>
      </c>
      <c r="AC62" s="16" t="str">
        <f aca="false">IF(AK62=0,"",BG62)</f>
        <v/>
      </c>
      <c r="AD62" s="16" t="str">
        <f aca="false">IF(AK62=0,"",TRIM(IF(OR(ISTEXT($F62),ISTEXT($H62),ISTEXT($I62),ISTEXT($G62),ISTEXT($J62),ISTEXT($D62)),"A date is typed as text - retype it as dd/mm/yyyy. ","")&amp;IF(IF($C62="","",IF(OR(ISNUMBER(SEARCH("full",$C62)),UPPER(TRIM($C62))="FT",UPPER(TRIM($C62))="FTE"),"Full-Time",IF(OR(ISNUMBER(SEARCH("part",$C62)),UPPER(TRIM($C62))="PT",UPPER(TRIM($C62))="PTE"),"Part-Time",IF(OR(ISNUMBER(SEARCH("cas",$C62)),UPPER(TRIM($C62))="CAS"),"Casual","Unknown"))))="Unknown","EmploymentType not recognised - use Full-Time, Part-Time or Casual. ","")&amp;IF(AND(AM62&gt;=1,IF(AM62&gt;=3,AS62,IF(AM62=2,AR62,AQ62))&lt;&gt;IF($C62="","",IF(OR(ISNUMBER(SEARCH("full",$C62)),UPPER(TRIM($C62))="FT",UPPER(TRIM($C62))="FTE"),"Full-Time",IF(OR(ISNUMBER(SEARCH("part",$C62)),UPPER(TRIM($C62))="PT",UPPER(TRIM($C62))="PTE"),"Part-Time",IF(OR(ISNUMBER(SEARCH("cas",$C62)),UPPER(TRIM($C62))="CAS"),"Casual","Unknown"))))),"EmploymentType does not match latest start date ("&amp;IF(AM62&gt;=3,AS62,IF(AM62=2,AR62,AQ62))&amp;"). ","")&amp;IF(AND(AM62&gt;=1,AN62&lt;&gt;$F62),"Earliest type date should equal StartDate. ","")&amp;IF(AND(AM62&gt;=2,AN62=AO62),"Two types start on the same date. ","")&amp;IF(AND(OR(ISNUMBER(SEARCH("part",$C62)),UPPER(TRIM($C62))="PT",UPPER(TRIM($C62))="PTE"),$P62=""),"Part-time: enter PT Hrs/Week (blank = 24+). ","")))</f>
        <v/>
      </c>
      <c r="AE62" s="17" t="str">
        <f aca="false">IF(AK62=0,"",O62-MAX(0,BL62-BQ62))</f>
        <v/>
      </c>
      <c r="AF62" s="14" t="str">
        <f aca="false">IF(OR(AK62=0,AE62="",N(AE62)=0,BM62=""),"",EDATE(AL62,BM62))</f>
        <v/>
      </c>
      <c r="AG62" s="17" t="str">
        <f aca="false">IF(AK62=0,"",MIN(BD62,BQ62))</f>
        <v/>
      </c>
      <c r="AH62" s="17" t="str">
        <f aca="false">IF(AK62=0,"",IF(NOT(LH_Ready),"",IF(BG62=0,0,MAX(0,ROUND(N(T62)+N(U62)-N62,2)))))</f>
        <v/>
      </c>
      <c r="AI62" s="12"/>
      <c r="AJ62" s="12"/>
      <c r="AK62" s="16" t="n">
        <f aca="false">IF(OR(LEN($A62&amp;$B62)=0,$F62=""),0,1)</f>
        <v>0</v>
      </c>
      <c r="AL62" s="14" t="str">
        <f aca="false">IF(AK62=0,"",IF(PreSchemeCounts="No",MAX(SchemeStart,IF($J62&lt;&gt;"",$J62,IF(OR(CasualCounts="Yes",COUNT($G62:$I62)=0),$F62,IF(Apply2026="No",IF($I62="",$F62,$I62),IF(COUNT($H62:$I62)=0,$F62,MIN($H62:$I62)))))),IF($J62&lt;&gt;"",$J62,IF(OR(CasualCounts="Yes",COUNT($G62:$I62)=0),$F62,IF(Apply2026="No",IF($I62="",$F62,$I62),IF(COUNT($H62:$I62)=0,$F62,MIN($H62:$I62)))))))</f>
        <v/>
      </c>
      <c r="AM62" s="16" t="str">
        <f aca="false">IF(AK62=0,"",COUNT($G62:$I62))</f>
        <v/>
      </c>
      <c r="AN62" s="14" t="str">
        <f aca="false">IF(AK62=0,"",IFERROR(SMALL($G62:$I62,1),""))</f>
        <v/>
      </c>
      <c r="AO62" s="14" t="str">
        <f aca="false">IF(AK62=0,"",IFERROR(SMALL($G62:$I62,2),""))</f>
        <v/>
      </c>
      <c r="AP62" s="14" t="str">
        <f aca="false">IF(AK62=0,"",IFERROR(SMALL($G62:$I62,3),""))</f>
        <v/>
      </c>
      <c r="AQ62" s="16" t="str">
        <f aca="false">IF(AK62=0,"",IF(AN62="","",IF(AN62=$H62,"Part-Time",IF(AN62=$I62,"Full-Time","Casual"))))</f>
        <v/>
      </c>
      <c r="AR62" s="16" t="str">
        <f aca="false">IF(AK62=0,"",IF(AO62="","",IF(AO62=$H62,"Part-Time",IF(AO62=$I62,"Full-Time","Casual"))))</f>
        <v/>
      </c>
      <c r="AS62" s="16" t="str">
        <f aca="false">IF(AK62=0,"",IF(AP62="","",IF(AP62=$H62,"Part-Time",IF(AP62=$I62,"Full-Time","Casual"))))</f>
        <v/>
      </c>
      <c r="AT62" s="16" t="str">
        <f aca="false">IF(AK62=0,"",IF(AM62=0,IF(OR(ISNUMBER(SEARCH("full",$C62)),UPPER(TRIM($C62))="FT",UPPER(TRIM($C62))="FTE"),"FT",IF(AND(OR(ISNUMBER(SEARCH("part",$C62)),UPPER(TRIM($C62))="PT",UPPER(TRIM($C62))="PTE"),Apply2026="Yes",OR($P62="",N($P62)&gt;=PT_MinHours)),"PT","None")),IF(OR(ISNUMBER(SEARCH("full",AQ62)),UPPER(TRIM(AQ62))="FT",UPPER(TRIM(AQ62))="FTE"),"FT",IF(AND(OR(ISNUMBER(SEARCH("part",AQ62)),UPPER(TRIM(AQ62))="PT",UPPER(TRIM(AQ62))="PTE"),Apply2026="Yes",OR($P62="",N($P62)&gt;=PT_MinHours)),"PT","None"))))</f>
        <v/>
      </c>
      <c r="AU62" s="16" t="str">
        <f aca="false">IF(AK62=0,"",IF(AM62&lt;2,"",IF(OR(ISNUMBER(SEARCH("full",AR62)),UPPER(TRIM(AR62))="FT",UPPER(TRIM(AR62))="FTE"),"FT",IF(AND(OR(ISNUMBER(SEARCH("part",AR62)),UPPER(TRIM(AR62))="PT",UPPER(TRIM(AR62))="PTE"),Apply2026="Yes",OR($P62="",N($P62)&gt;=PT_MinHours)),"PT","None"))))</f>
        <v/>
      </c>
      <c r="AV62" s="16" t="str">
        <f aca="false">IF(AK62=0,"",IF(AM62&lt;3,"",IF(OR(ISNUMBER(SEARCH("full",AS62)),UPPER(TRIM(AS62))="FT",UPPER(TRIM(AS62))="FTE"),"FT",IF(AND(OR(ISNUMBER(SEARCH("part",AS62)),UPPER(TRIM(AS62))="PT",UPPER(TRIM(AS62))="PTE"),Apply2026="Yes",OR($P62="",N($P62)&gt;=PT_MinHours)),"PT","None"))))</f>
        <v/>
      </c>
      <c r="AW62" s="16" t="str">
        <f aca="false">IF(AK62=0,"",IF(AND(AM62&gt;=3,AP62&lt;=AsOfDate),AV62,IF(AND(AM62&gt;=2,AO62&lt;=AsOfDate),AU62,AT62)))</f>
        <v/>
      </c>
      <c r="AX62" s="16" t="str">
        <f aca="false">IF(AK62=0,"",IF(AsOfDate&lt;AL62,-1,12*(YEAR(AsOfDate)-YEAR(AL62))+MONTH(AsOfDate)-MONTH(AL62)-IF(DAY(AsOfDate)&lt;MIN(DAY(AL62),DAY(EOMONTH(AsOfDate,0))),1,0)))</f>
        <v/>
      </c>
      <c r="AY62" s="16" t="str">
        <f aca="false">IF(AK62=0,"",IF(OR(AM62&lt;2,AO62&gt;AsOfDate),AX62,IF((AO62-1)&lt;AL62,-1,12*(YEAR((AO62-1))-YEAR(AL62))+MONTH((AO62-1))-MONTH(AL62)-IF(DAY((AO62-1))&lt;MIN(DAY(AL62),DAY(EOMONTH((AO62-1),0))),1,0))))</f>
        <v/>
      </c>
      <c r="AZ62" s="16" t="str">
        <f aca="false">IF(AK62=0,"",IF(OR(AM62&lt;3,AP62&gt;AsOfDate),AX62,IF((AP62-1)&lt;AL62,-1,12*(YEAR((AP62-1))-YEAR(AL62))+MONTH((AP62-1))-MONTH(AL62)-IF(DAY((AP62-1))&lt;MIN(DAY(AL62),DAY(EOMONTH((AP62-1),0))),1,0))))</f>
        <v/>
      </c>
      <c r="BA62" s="16" t="str">
        <f aca="false">IF(AK62=0,"",IF(PFYDate&lt;AL62,-1,12*(YEAR(PFYDate)-YEAR(AL62))+MONTH(PFYDate)-MONTH(AL62)-IF(DAY(PFYDate)&lt;MIN(DAY(AL62),DAY(EOMONTH(PFYDate,0))),1,0)))</f>
        <v/>
      </c>
      <c r="BB62" s="16" t="str">
        <f aca="false">IF(AK62=0,"",IF(OR(AM62&lt;2,AO62&gt;PFYDate),BA62,IF((AO62-1)&lt;AL62,-1,12*(YEAR((AO62-1))-YEAR(AL62))+MONTH((AO62-1))-MONTH(AL62)-IF(DAY((AO62-1))&lt;MIN(DAY(AL62),DAY(EOMONTH((AO62-1),0))),1,0))))</f>
        <v/>
      </c>
      <c r="BC62" s="16" t="str">
        <f aca="false">IF(AK62=0,"",IF(OR(AM62&lt;3,AP62&gt;PFYDate),BA62,IF((AP62-1)&lt;AL62,-1,12*(YEAR((AP62-1))-YEAR(AL62))+MONTH((AP62-1))-MONTH(AL62)-IF(DAY((AP62-1))&lt;MIN(DAY(AL62),DAY(EOMONTH((AP62-1),0))),1,0))))</f>
        <v/>
      </c>
      <c r="BD62" s="16" t="str">
        <f aca="false">IF(AK62=0,"",IF(AT62="FT",IF(AY62&lt;FT_First,0,IF(AY62&lt;FT_Y5,1+INT((AY62-FT_First)/FT_Int1),FT_PreY5+FT_PerYear*INT((AY62-FT_Y5)/12)+FT_AnnivDays+INT(MOD(AY62-FT_Y5,12)/FT_Int2)-IF(EDATE(AL62,FT_Y5)&lt;PolicyEff,FT_AnnivDays-1,0))),IF(AT62="PT",IF(AY62&lt;PT_First,0,1+INT((AY62-PT_First)/PT_Int)),0))+IF(AND(AM62&gt;=2,AO62&lt;=AsOfDate),IF(AU62="FT",IF(AZ62&lt;FT_First,0,IF(AZ62&lt;FT_Y5,1+INT((AZ62-FT_First)/FT_Int1),FT_PreY5+FT_PerYear*INT((AZ62-FT_Y5)/12)+FT_AnnivDays+INT(MOD(AZ62-FT_Y5,12)/FT_Int2)-IF(EDATE(AL62,FT_Y5)&lt;PolicyEff,FT_AnnivDays-1,0))),IF(AU62="PT",IF(AZ62&lt;PT_First,0,1+INT((AZ62-PT_First)/PT_Int)),0))-IF(AU62="FT",IF(AY62&lt;FT_First,0,IF(AY62&lt;FT_Y5,1+INT((AY62-FT_First)/FT_Int1),FT_PreY5+FT_PerYear*INT((AY62-FT_Y5)/12)+FT_AnnivDays+INT(MOD(AY62-FT_Y5,12)/FT_Int2)-IF(EDATE(AL62,FT_Y5)&lt;PolicyEff,FT_AnnivDays-1,0))),IF(AU62="PT",IF(AY62&lt;PT_First,0,1+INT((AY62-PT_First)/PT_Int)),0)),0)+IF(AND(AM62&gt;=3,AP62&lt;=AsOfDate),IF(AV62="FT",IF(AX62&lt;FT_First,0,IF(AX62&lt;FT_Y5,1+INT((AX62-FT_First)/FT_Int1),FT_PreY5+FT_PerYear*INT((AX62-FT_Y5)/12)+FT_AnnivDays+INT(MOD(AX62-FT_Y5,12)/FT_Int2)-IF(EDATE(AL62,FT_Y5)&lt;PolicyEff,FT_AnnivDays-1,0))),IF(AV62="PT",IF(AX62&lt;PT_First,0,1+INT((AX62-PT_First)/PT_Int)),0))-IF(AV62="FT",IF(AZ62&lt;FT_First,0,IF(AZ62&lt;FT_Y5,1+INT((AZ62-FT_First)/FT_Int1),FT_PreY5+FT_PerYear*INT((AZ62-FT_Y5)/12)+FT_AnnivDays+INT(MOD(AZ62-FT_Y5,12)/FT_Int2)-IF(EDATE(AL62,FT_Y5)&lt;PolicyEff,FT_AnnivDays-1,0))),IF(AV62="PT",IF(AZ62&lt;PT_First,0,1+INT((AZ62-PT_First)/PT_Int)),0)),0))</f>
        <v/>
      </c>
      <c r="BE62" s="16" t="str">
        <f aca="false">IF(AK62=0,"",IF(AT62="FT",IF(BB62&lt;FT_First,0,IF(BB62&lt;FT_Y5,1+INT((BB62-FT_First)/FT_Int1),FT_PreY5+FT_PerYear*INT((BB62-FT_Y5)/12)+FT_AnnivDays+INT(MOD(BB62-FT_Y5,12)/FT_Int2)-IF(EDATE(AL62,FT_Y5)&lt;PolicyEff,FT_AnnivDays-1,0))),IF(AT62="PT",IF(BB62&lt;PT_First,0,1+INT((BB62-PT_First)/PT_Int)),0))+IF(AND(AM62&gt;=2,AO62&lt;=PFYDate),IF(AU62="FT",IF(BC62&lt;FT_First,0,IF(BC62&lt;FT_Y5,1+INT((BC62-FT_First)/FT_Int1),FT_PreY5+FT_PerYear*INT((BC62-FT_Y5)/12)+FT_AnnivDays+INT(MOD(BC62-FT_Y5,12)/FT_Int2)-IF(EDATE(AL62,FT_Y5)&lt;PolicyEff,FT_AnnivDays-1,0))),IF(AU62="PT",IF(BC62&lt;PT_First,0,1+INT((BC62-PT_First)/PT_Int)),0))-IF(AU62="FT",IF(BB62&lt;FT_First,0,IF(BB62&lt;FT_Y5,1+INT((BB62-FT_First)/FT_Int1),FT_PreY5+FT_PerYear*INT((BB62-FT_Y5)/12)+FT_AnnivDays+INT(MOD(BB62-FT_Y5,12)/FT_Int2)-IF(EDATE(AL62,FT_Y5)&lt;PolicyEff,FT_AnnivDays-1,0))),IF(AU62="PT",IF(BB62&lt;PT_First,0,1+INT((BB62-PT_First)/PT_Int)),0)),0)+IF(AND(AM62&gt;=3,AP62&lt;=PFYDate),IF(AV62="FT",IF(BA62&lt;FT_First,0,IF(BA62&lt;FT_Y5,1+INT((BA62-FT_First)/FT_Int1),FT_PreY5+FT_PerYear*INT((BA62-FT_Y5)/12)+FT_AnnivDays+INT(MOD(BA62-FT_Y5,12)/FT_Int2)-IF(EDATE(AL62,FT_Y5)&lt;PolicyEff,FT_AnnivDays-1,0))),IF(AV62="PT",IF(BA62&lt;PT_First,0,1+INT((BA62-PT_First)/PT_Int)),0))-IF(AV62="FT",IF(BC62&lt;FT_First,0,IF(BC62&lt;FT_Y5,1+INT((BC62-FT_First)/FT_Int1),FT_PreY5+FT_PerYear*INT((BC62-FT_Y5)/12)+FT_AnnivDays+INT(MOD(BC62-FT_Y5,12)/FT_Int2)-IF(EDATE(AL62,FT_Y5)&lt;PolicyEff,FT_AnnivDays-1,0))),IF(AV62="PT",IF(BC62&lt;PT_First,0,1+INT((BC62-PT_First)/PT_Int)),0)),0))</f>
        <v/>
      </c>
      <c r="BF62" s="16" t="str">
        <f aca="false">IF(AK62=0,"",IF(AW62="FT",IF(AX62&lt;FT_First,FT_First,IF(AX62&lt;FT_Y5,MIN(FT_Y5,FT_First+FT_Int1*(INT((AX62-FT_First)/FT_Int1)+1)),FT_Y5+12*INT((AX62-FT_Y5)/12)+FT_Int2*(INT(MOD(AX62-FT_Y5,12)/FT_Int2)+1))),IF(AW62="PT",IF(AX62&lt;PT_First,PT_First,PT_First+PT_Int*(INT((AX62-PT_First)/PT_Int)+1)),"")))</f>
        <v/>
      </c>
      <c r="BG62" s="16" t="str">
        <f aca="false">IF(AK62=0,"",IF(NOT(LH_Ready),0,COUNTIFS(INDEX(LH_Data,0,LH_ColFirst),$A62,INDEX(LH_Data,0,LH_ColSur),$B62,INDEX(LH_Data,0,LH_ColCat),BonusCat)))</f>
        <v/>
      </c>
      <c r="BH62" s="16" t="str">
        <f aca="false">IF(AK62=0,"",IF(OR(NOT(LH_Ready),BG62=0),0,SUMPRODUCT(MAX((INDEX(LH_Data,0,LH_ColFirst)=$A62)*(INDEX(LH_Data,0,LH_ColSur)=$B62)*(INDEX(LH_Data,0,LH_ColCat)=BonusCat)*ROW(LH_Data)))))</f>
        <v/>
      </c>
      <c r="BI62" s="16" t="str">
        <f aca="false">IF(AK62=0,"",IF(EOMONTH(AsOfDate,-1)&lt;AL62,-1,12*(YEAR(EOMONTH(AsOfDate,-1))-YEAR(AL62))+MONTH(EOMONTH(AsOfDate,-1))-MONTH(AL62)-IF(DAY(EOMONTH(AsOfDate,-1))&lt;MIN(DAY(AL62),DAY(EOMONTH(EOMONTH(AsOfDate,-1),0))),1,0)))</f>
        <v/>
      </c>
      <c r="BJ62" s="16" t="str">
        <f aca="false">IF(AK62=0,"",IF(OR(AM62&lt;2,AO62&gt;EOMONTH(AsOfDate,-1)),BI62,IF((AO62-1)&lt;AL62,-1,12*(YEAR((AO62-1))-YEAR(AL62))+MONTH((AO62-1))-MONTH(AL62)-IF(DAY((AO62-1))&lt;MIN(DAY(AL62),DAY(EOMONTH((AO62-1),0))),1,0))))</f>
        <v/>
      </c>
      <c r="BK62" s="16" t="str">
        <f aca="false">IF(AK62=0,"",IF(OR(AM62&lt;3,AP62&gt;EOMONTH(AsOfDate,-1)),BI62,IF((AP62-1)&lt;AL62,-1,12*(YEAR((AP62-1))-YEAR(AL62))+MONTH((AP62-1))-MONTH(AL62)-IF(DAY((AP62-1))&lt;MIN(DAY(AL62),DAY(EOMONTH((AP62-1),0))),1,0))))</f>
        <v/>
      </c>
      <c r="BL62" s="16" t="str">
        <f aca="false">IF(AK62=0,"",IF(AT62="FT",IF(BJ62&lt;FT_First,0,IF(BJ62&lt;FT_Y5,1+INT((BJ62-FT_First)/FT_Int1),FT_PreY5+FT_PerYear*INT((BJ62-FT_Y5)/12)+FT_AnnivDays+INT(MOD(BJ62-FT_Y5,12)/FT_Int2)-IF(EDATE(AL62,FT_Y5)&lt;PolicyEff,FT_AnnivDays-1,0))),IF(AT62="PT",IF(BJ62&lt;PT_First,0,1+INT((BJ62-PT_First)/PT_Int)),0))+IF(AND(AM62&gt;=2,AO62&lt;=EOMONTH(AsOfDate,-1)),IF(AU62="FT",IF(BK62&lt;FT_First,0,IF(BK62&lt;FT_Y5,1+INT((BK62-FT_First)/FT_Int1),FT_PreY5+FT_PerYear*INT((BK62-FT_Y5)/12)+FT_AnnivDays+INT(MOD(BK62-FT_Y5,12)/FT_Int2)-IF(EDATE(AL62,FT_Y5)&lt;PolicyEff,FT_AnnivDays-1,0))),IF(AU62="PT",IF(BK62&lt;PT_First,0,1+INT((BK62-PT_First)/PT_Int)),0))-IF(AU62="FT",IF(BJ62&lt;FT_First,0,IF(BJ62&lt;FT_Y5,1+INT((BJ62-FT_First)/FT_Int1),FT_PreY5+FT_PerYear*INT((BJ62-FT_Y5)/12)+FT_AnnivDays+INT(MOD(BJ62-FT_Y5,12)/FT_Int2)-IF(EDATE(AL62,FT_Y5)&lt;PolicyEff,FT_AnnivDays-1,0))),IF(AU62="PT",IF(BJ62&lt;PT_First,0,1+INT((BJ62-PT_First)/PT_Int)),0)),0)+IF(AND(AM62&gt;=3,AP62&lt;=EOMONTH(AsOfDate,-1)),IF(AV62="FT",IF(BI62&lt;FT_First,0,IF(BI62&lt;FT_Y5,1+INT((BI62-FT_First)/FT_Int1),FT_PreY5+FT_PerYear*INT((BI62-FT_Y5)/12)+FT_AnnivDays+INT(MOD(BI62-FT_Y5,12)/FT_Int2)-IF(EDATE(AL62,FT_Y5)&lt;PolicyEff,FT_AnnivDays-1,0))),IF(AV62="PT",IF(BI62&lt;PT_First,0,1+INT((BI62-PT_First)/PT_Int)),0))-IF(AV62="FT",IF(BK62&lt;FT_First,0,IF(BK62&lt;FT_Y5,1+INT((BK62-FT_First)/FT_Int1),FT_PreY5+FT_PerYear*INT((BK62-FT_Y5)/12)+FT_AnnivDays+INT(MOD(BK62-FT_Y5,12)/FT_Int2)-IF(EDATE(AL62,FT_Y5)&lt;PolicyEff,FT_AnnivDays-1,0))),IF(AV62="PT",IF(BK62&lt;PT_First,0,1+INT((BK62-PT_First)/PT_Int)),0)),0))</f>
        <v/>
      </c>
      <c r="BM62" s="16" t="str">
        <f aca="false">IF(AK62=0,"",IF(AW62="FT",IF(AX62&lt;FT_First,"",IF(AX62&lt;FT_Y5,FT_First+FT_Int1*INT((AX62-FT_First)/FT_Int1),FT_Y5+FT_Int2*INT((AX62-FT_Y5)/FT_Int2))),IF(AW62="PT",IF(AX62&lt;PT_First,"",PT_First+PT_Int*INT((AX62-PT_First)/PT_Int)),"")))</f>
        <v/>
      </c>
      <c r="BN62" s="16" t="str">
        <f aca="false">IF(AK62=0,"",IF((SchemeStart-1)&lt;AL62,-1,12*(YEAR((SchemeStart-1))-YEAR(AL62))+MONTH((SchemeStart-1))-MONTH(AL62)-IF(DAY((SchemeStart-1))&lt;MIN(DAY(AL62),DAY(EOMONTH((SchemeStart-1),0))),1,0)))</f>
        <v/>
      </c>
      <c r="BO62" s="16" t="str">
        <f aca="false">IF(AK62=0,"",IF(OR(AM62&lt;2,AO62&gt;(SchemeStart-1)),BN62,IF((AO62-1)&lt;AL62,-1,12*(YEAR((AO62-1))-YEAR(AL62))+MONTH((AO62-1))-MONTH(AL62)-IF(DAY((AO62-1))&lt;MIN(DAY(AL62),DAY(EOMONTH((AO62-1),0))),1,0))))</f>
        <v/>
      </c>
      <c r="BP62" s="16" t="str">
        <f aca="false">IF(AK62=0,"",IF(OR(AM62&lt;3,AP62&gt;(SchemeStart-1)),BN62,IF((AP62-1)&lt;AL62,-1,12*(YEAR((AP62-1))-YEAR(AL62))+MONTH((AP62-1))-MONTH(AL62)-IF(DAY((AP62-1))&lt;MIN(DAY(AL62),DAY(EOMONTH((AP62-1),0))),1,0))))</f>
        <v/>
      </c>
      <c r="BQ62" s="16" t="str">
        <f aca="false">IF(AK62=0,"",IF(AT62="FT",IF(BO62&lt;FT_First,0,IF(BO62&lt;FT_Y5,1+INT((BO62-FT_First)/FT_Int1),FT_PreY5+FT_PerYear*INT((BO62-FT_Y5)/12)+FT_AnnivDays+INT(MOD(BO62-FT_Y5,12)/FT_Int2)-IF(EDATE(AL62,FT_Y5)&lt;PolicyEff,FT_AnnivDays-1,0))),IF(AT62="PT",IF(BO62&lt;PT_First,0,1+INT((BO62-PT_First)/PT_Int)),0))+IF(AND(AM62&gt;=2,AO62&lt;=(SchemeStart-1)),IF(AU62="FT",IF(BP62&lt;FT_First,0,IF(BP62&lt;FT_Y5,1+INT((BP62-FT_First)/FT_Int1),FT_PreY5+FT_PerYear*INT((BP62-FT_Y5)/12)+FT_AnnivDays+INT(MOD(BP62-FT_Y5,12)/FT_Int2)-IF(EDATE(AL62,FT_Y5)&lt;PolicyEff,FT_AnnivDays-1,0))),IF(AU62="PT",IF(BP62&lt;PT_First,0,1+INT((BP62-PT_First)/PT_Int)),0))-IF(AU62="FT",IF(BO62&lt;FT_First,0,IF(BO62&lt;FT_Y5,1+INT((BO62-FT_First)/FT_Int1),FT_PreY5+FT_PerYear*INT((BO62-FT_Y5)/12)+FT_AnnivDays+INT(MOD(BO62-FT_Y5,12)/FT_Int2)-IF(EDATE(AL62,FT_Y5)&lt;PolicyEff,FT_AnnivDays-1,0))),IF(AU62="PT",IF(BO62&lt;PT_First,0,1+INT((BO62-PT_First)/PT_Int)),0)),0)+IF(AND(AM62&gt;=3,AP62&lt;=(SchemeStart-1)),IF(AV62="FT",IF(BN62&lt;FT_First,0,IF(BN62&lt;FT_Y5,1+INT((BN62-FT_First)/FT_Int1),FT_PreY5+FT_PerYear*INT((BN62-FT_Y5)/12)+FT_AnnivDays+INT(MOD(BN62-FT_Y5,12)/FT_Int2)-IF(EDATE(AL62,FT_Y5)&lt;PolicyEff,FT_AnnivDays-1,0))),IF(AV62="PT",IF(BN62&lt;PT_First,0,1+INT((BN62-PT_First)/PT_Int)),0))-IF(AV62="FT",IF(BP62&lt;FT_First,0,IF(BP62&lt;FT_Y5,1+INT((BP62-FT_First)/FT_Int1),FT_PreY5+FT_PerYear*INT((BP62-FT_Y5)/12)+FT_AnnivDays+INT(MOD(BP62-FT_Y5,12)/FT_Int2)-IF(EDATE(AL62,FT_Y5)&lt;PolicyEff,FT_AnnivDays-1,0))),IF(AV62="PT",IF(BP62&lt;PT_First,0,1+INT((BP62-PT_First)/PT_Int)),0)),0))</f>
        <v/>
      </c>
      <c r="BR62" s="0" t="str">
        <f aca="false">IF(LEN($A62&amp;$B62)=0,"",$A62&amp;" "&amp;$B62)</f>
        <v/>
      </c>
    </row>
    <row r="63" customFormat="false" ht="15" hidden="false" customHeight="false" outlineLevel="0" collapsed="false">
      <c r="A63" s="12"/>
      <c r="B63" s="12"/>
      <c r="C63" s="12"/>
      <c r="D63" s="13"/>
      <c r="E63" s="14" t="str">
        <f aca="false">IF(OR(AK63=0,$D63=""),"",DATE(YEAR(AsOfDate)+IF(DATE(YEAR(AsOfDate),MONTH($D63),DAY($D63))&lt;=AsOfDate,1,0),MONTH($D63),DAY($D63)))</f>
        <v/>
      </c>
      <c r="F63" s="13"/>
      <c r="G63" s="13"/>
      <c r="H63" s="13"/>
      <c r="I63" s="13"/>
      <c r="J63" s="13"/>
      <c r="K63" s="14" t="str">
        <f aca="false">IF(AK63=0,"",DATE(YEAR(AsOfDate)+IF(DATE(YEAR(AsOfDate),MONTH(AL63),DAY(AL63))&lt;=AsOfDate,1,0),MONTH(AL63),DAY(AL63)))</f>
        <v/>
      </c>
      <c r="L63" s="15" t="str">
        <f aca="false">IF(AK63=0,"",ROUND((AsOfDate-AL63)/365.25,1))</f>
        <v/>
      </c>
      <c r="M63" s="16" t="str">
        <f aca="false">IF(AK63=0,"",IF(AsOfDate&lt;AL63,"-",DATEDIF(AL63,AsOfDate,"y")&amp;"y "&amp;DATEDIF(AL63,AsOfDate,"ym")&amp;"m "&amp;DATEDIF(AL63,AsOfDate,"md")&amp;"d"))</f>
        <v/>
      </c>
      <c r="N63" s="17" t="str">
        <f aca="false">IF(AK63=0,"",O63*HoursPerDay)</f>
        <v/>
      </c>
      <c r="O63" s="17" t="str">
        <f aca="false">IF(AK63=0,"",MAX(0,BD63-BQ63))</f>
        <v/>
      </c>
      <c r="P63" s="18"/>
      <c r="Q63" s="16" t="str">
        <f aca="false">IF(AK63=0,"",IF(AM63&lt;2,"",AQ63&amp;" to "&amp;AR63&amp;" on "&amp;TEXT(AO63,"dd/mm/yyyy")&amp;IF(AO63&gt;AsOfDate," (future)",IF(AT63=AU63,"",IF(AU63="None"," - STOPPED accruing",IF(AT63="None"," - commencement for Bonus Leave"," - pathway changed"))))&amp;IF(AM63&lt;3,"","; "&amp;AR63&amp;" to "&amp;AS63&amp;" on "&amp;TEXT(AP63,"dd/mm/yyyy")&amp;IF(AP63&gt;AsOfDate," (future)",IF(AU63=AV63,"",IF(AV63="None"," - STOPPED accruing",IF(AU63="None"," - commencement for Bonus Leave"," - pathway changed")))))))</f>
        <v/>
      </c>
      <c r="R63" s="16" t="str">
        <f aca="false">IF(AK63=0,"",IF(AW63="None",IF(O63&gt;0,"No longer accruing","Not eligible - "&amp;IF(AND(OR(ISNUMBER(SEARCH("part",$C63)),UPPER(TRIM($C63))="PT",UPPER(TRIM($C63))="PTE"),Apply2026="No"),"part-time (scheme is full-time only)",IF(AND(OR(ISNUMBER(SEARCH("part",$C63)),UPPER(TRIM($C63))="PT",UPPER(TRIM($C63))="PTE"),$P63&lt;&gt;"",N($P63)&lt;PT_MinHours),"under "&amp;PT_MinHours&amp;" hrs",IF(IF($C63="","",IF(OR(ISNUMBER(SEARCH("full",$C63)),UPPER(TRIM($C63))="FT",UPPER(TRIM($C63))="FTE"),"Full-Time",IF(OR(ISNUMBER(SEARCH("part",$C63)),UPPER(TRIM($C63))="PT",UPPER(TRIM($C63))="PTE"),"Part-Time",IF(OR(ISNUMBER(SEARCH("cas",$C63)),UPPER(TRIM($C63))="CAS"),"Casual","Unknown"))))="Unknown","type not recognised",$C63)))),IF(O63&gt;0,"Yes - Accrual Required","Not yet - from "&amp;TEXT(S63,"dd/mm/yyyy"))))</f>
        <v/>
      </c>
      <c r="S63" s="14" t="str">
        <f aca="false">IF(AK63=0,"",IF(AW63="None","",EDATE(AL63,BF63)))</f>
        <v/>
      </c>
      <c r="T63" s="17" t="str">
        <f aca="false">IF(AK63=0,"",IF(NOT(LH_Ready),"",IF($F63&gt;PFYDate,0,IF(LH_ColPeriod=0,W63-U63+V63,SUMIFS(INDEX(LH_Data,0,LH_ColAcc),INDEX(LH_Data,0,LH_ColFirst),$A63,INDEX(LH_Data,0,LH_ColSur),$B63,INDEX(LH_Data,0,LH_ColCat),BonusCat,INDEX(LH_Data,0,LH_ColPeriod),LH_OpenLabel)*UnitFactor))))</f>
        <v/>
      </c>
      <c r="U63" s="17" t="str">
        <f aca="false">IF(AK63=0,"",IF(NOT(LH_Ready),"",SUMIFS(INDEX(LH_Data,0,LH_ColAcc),INDEX(LH_Data,0,LH_ColFirst),$A63,INDEX(LH_Data,0,LH_ColSur),$B63,INDEX(LH_Data,0,LH_ColCat),BonusCat,INDEX(LH_Data,0,LH_ColStart),"&gt;="&amp;AL63)*UnitFactor))</f>
        <v/>
      </c>
      <c r="V63" s="17" t="str">
        <f aca="false">IF(AK63=0,"",IF(NOT(LH_Ready),"",SUMIFS(INDEX(LH_Data,0,LH_ColTaken),INDEX(LH_Data,0,LH_ColFirst),$A63,INDEX(LH_Data,0,LH_ColSur),$B63,INDEX(LH_Data,0,LH_ColCat),BonusCat,INDEX(LH_Data,0,LH_ColStart),"&gt;="&amp;AL63)*UnitFactor))</f>
        <v/>
      </c>
      <c r="W63" s="17" t="str">
        <f aca="false">IF(AK63=0,"",IF(NOT(LH_Ready),"",IF(BH63=0,0,INDEX(INDEX(LH_Data,0,LH_ColClose),BH63-1)*UnitFactor)))</f>
        <v/>
      </c>
      <c r="X63" s="17" t="str">
        <f aca="false">IF(AK63=0,"",(MAX(0,BD63-BQ63)-MAX(0,BE63-BQ63))*HoursPerDay)</f>
        <v/>
      </c>
      <c r="Y63" s="17" t="str">
        <f aca="false">IF(AK63=0,"",IF(NOT(LH_Ready),"",IF($AI63="Yes",N(AE63)*HoursPerDay-SUMIFS(INDEX(LH_Data,0,LH_ColAcc),INDEX(LH_Data,0,LH_ColFirst),$A63,INDEX(LH_Data,0,LH_ColSur),$B63,INDEX(LH_Data,0,LH_ColCat),BonusCat,INDEX(LH_Data,0,LH_ColStart),"&gt;="&amp;(EOMONTH(AsOfDate,-1)+1),INDEX(LH_Data,0,LH_ColStart),"&lt;="&amp;AsOfDate)*UnitFactor,IF(BG63=0,N63,N63-N(T63)-N(U63)))))</f>
        <v/>
      </c>
      <c r="Z63" s="16" t="str">
        <f aca="false">IF(OR(AK63=0,Y63=""),"",IF(Y63&gt;0,"Yes","No"))</f>
        <v/>
      </c>
      <c r="AA63" s="16" t="str">
        <f aca="false">IF(AK63=0,IF(LEN($A63&amp;$B63)=0,"","FIX INPUT - StartDate missing"),IF(AD63&lt;&gt;"","FIX INPUT - "&amp;AD63,IF(NOT(LH_Ready),"Paste Leave History export (Settings must show YES)",IF(AND($AI63="Yes",Y63&lt;=0),"OK - EH balance accepted to date"&amp;IF(N(AH63)&gt;0," (EH holds "&amp;AH63&amp;" hrs over the scheme)","")&amp;"; next day "&amp;TEXT(S63,"dd mmm yy")&amp;IF(N(AE63)&gt;0," ("&amp;AE63&amp;" day(s) for "&amp;UPPER(TEXT(AsOfDate,"mmm yyyy"))&amp;" already in EH)",""),IF(Y63&gt;0,"ACCRUE "&amp;ROUND(Y63,2)&amp;" hrs ("&amp;ROUND(Y63/HoursPerDay,2)&amp;" days): "&amp;IF(N(AE63)&gt;0,AE63&amp;" day(s) for "&amp;UPPER(TEXT(AsOfDate,"mmm yyyy"))&amp;" (milestone "&amp;UPPER(TEXT(AF63,"dd mmm yy"))&amp;")"&amp;IF(Y63/HoursPerDay&gt;AE63+0.001," + "&amp;ROUND(Y63/HoursPerDay-AE63,2)&amp;" day(s) catch-up from earlier months",""),"all catch-up from earlier months, nothing new this month")&amp;IF(BG63=0,"; no Bonus Leave in EH yet",""),IF(Y63&lt;0,"CHECK - EH accrued "&amp;ROUND(-Y63,2)&amp;" hrs more than policy since commencement",IF(N(W63)&gt;O63*HoursPerDay+0.01,"CHECK - EH balance "&amp;ROUND(W63-O63*HoursPerDay,2)&amp;" hrs more than policy entitlement",IF(O63&gt;0,"OK - nothing to add"&amp;IF(N(AE63)&gt;0," ("&amp;AE63&amp;" day(s) for "&amp;UPPER(TEXT(AsOfDate,"mmm yyyy"))&amp;" already in EH)",""),IF(AW63="None",R63,"Not yet - first day on "&amp;TEXT(S63,"dd/mm/yyyy"))))))))))</f>
        <v/>
      </c>
      <c r="AB63" s="17" t="str">
        <f aca="false">IF(OR(AK63=0,T63=""),"",MAX(0,BE63-BQ63)*HoursPerDay-T63)</f>
        <v/>
      </c>
      <c r="AC63" s="16" t="str">
        <f aca="false">IF(AK63=0,"",BG63)</f>
        <v/>
      </c>
      <c r="AD63" s="16" t="str">
        <f aca="false">IF(AK63=0,"",TRIM(IF(OR(ISTEXT($F63),ISTEXT($H63),ISTEXT($I63),ISTEXT($G63),ISTEXT($J63),ISTEXT($D63)),"A date is typed as text - retype it as dd/mm/yyyy. ","")&amp;IF(IF($C63="","",IF(OR(ISNUMBER(SEARCH("full",$C63)),UPPER(TRIM($C63))="FT",UPPER(TRIM($C63))="FTE"),"Full-Time",IF(OR(ISNUMBER(SEARCH("part",$C63)),UPPER(TRIM($C63))="PT",UPPER(TRIM($C63))="PTE"),"Part-Time",IF(OR(ISNUMBER(SEARCH("cas",$C63)),UPPER(TRIM($C63))="CAS"),"Casual","Unknown"))))="Unknown","EmploymentType not recognised - use Full-Time, Part-Time or Casual. ","")&amp;IF(AND(AM63&gt;=1,IF(AM63&gt;=3,AS63,IF(AM63=2,AR63,AQ63))&lt;&gt;IF($C63="","",IF(OR(ISNUMBER(SEARCH("full",$C63)),UPPER(TRIM($C63))="FT",UPPER(TRIM($C63))="FTE"),"Full-Time",IF(OR(ISNUMBER(SEARCH("part",$C63)),UPPER(TRIM($C63))="PT",UPPER(TRIM($C63))="PTE"),"Part-Time",IF(OR(ISNUMBER(SEARCH("cas",$C63)),UPPER(TRIM($C63))="CAS"),"Casual","Unknown"))))),"EmploymentType does not match latest start date ("&amp;IF(AM63&gt;=3,AS63,IF(AM63=2,AR63,AQ63))&amp;"). ","")&amp;IF(AND(AM63&gt;=1,AN63&lt;&gt;$F63),"Earliest type date should equal StartDate. ","")&amp;IF(AND(AM63&gt;=2,AN63=AO63),"Two types start on the same date. ","")&amp;IF(AND(OR(ISNUMBER(SEARCH("part",$C63)),UPPER(TRIM($C63))="PT",UPPER(TRIM($C63))="PTE"),$P63=""),"Part-time: enter PT Hrs/Week (blank = 24+). ","")))</f>
        <v/>
      </c>
      <c r="AE63" s="17" t="str">
        <f aca="false">IF(AK63=0,"",O63-MAX(0,BL63-BQ63))</f>
        <v/>
      </c>
      <c r="AF63" s="14" t="str">
        <f aca="false">IF(OR(AK63=0,AE63="",N(AE63)=0,BM63=""),"",EDATE(AL63,BM63))</f>
        <v/>
      </c>
      <c r="AG63" s="17" t="str">
        <f aca="false">IF(AK63=0,"",MIN(BD63,BQ63))</f>
        <v/>
      </c>
      <c r="AH63" s="17" t="str">
        <f aca="false">IF(AK63=0,"",IF(NOT(LH_Ready),"",IF(BG63=0,0,MAX(0,ROUND(N(T63)+N(U63)-N63,2)))))</f>
        <v/>
      </c>
      <c r="AI63" s="12"/>
      <c r="AJ63" s="12"/>
      <c r="AK63" s="16" t="n">
        <f aca="false">IF(OR(LEN($A63&amp;$B63)=0,$F63=""),0,1)</f>
        <v>0</v>
      </c>
      <c r="AL63" s="14" t="str">
        <f aca="false">IF(AK63=0,"",IF(PreSchemeCounts="No",MAX(SchemeStart,IF($J63&lt;&gt;"",$J63,IF(OR(CasualCounts="Yes",COUNT($G63:$I63)=0),$F63,IF(Apply2026="No",IF($I63="",$F63,$I63),IF(COUNT($H63:$I63)=0,$F63,MIN($H63:$I63)))))),IF($J63&lt;&gt;"",$J63,IF(OR(CasualCounts="Yes",COUNT($G63:$I63)=0),$F63,IF(Apply2026="No",IF($I63="",$F63,$I63),IF(COUNT($H63:$I63)=0,$F63,MIN($H63:$I63)))))))</f>
        <v/>
      </c>
      <c r="AM63" s="16" t="str">
        <f aca="false">IF(AK63=0,"",COUNT($G63:$I63))</f>
        <v/>
      </c>
      <c r="AN63" s="14" t="str">
        <f aca="false">IF(AK63=0,"",IFERROR(SMALL($G63:$I63,1),""))</f>
        <v/>
      </c>
      <c r="AO63" s="14" t="str">
        <f aca="false">IF(AK63=0,"",IFERROR(SMALL($G63:$I63,2),""))</f>
        <v/>
      </c>
      <c r="AP63" s="14" t="str">
        <f aca="false">IF(AK63=0,"",IFERROR(SMALL($G63:$I63,3),""))</f>
        <v/>
      </c>
      <c r="AQ63" s="16" t="str">
        <f aca="false">IF(AK63=0,"",IF(AN63="","",IF(AN63=$H63,"Part-Time",IF(AN63=$I63,"Full-Time","Casual"))))</f>
        <v/>
      </c>
      <c r="AR63" s="16" t="str">
        <f aca="false">IF(AK63=0,"",IF(AO63="","",IF(AO63=$H63,"Part-Time",IF(AO63=$I63,"Full-Time","Casual"))))</f>
        <v/>
      </c>
      <c r="AS63" s="16" t="str">
        <f aca="false">IF(AK63=0,"",IF(AP63="","",IF(AP63=$H63,"Part-Time",IF(AP63=$I63,"Full-Time","Casual"))))</f>
        <v/>
      </c>
      <c r="AT63" s="16" t="str">
        <f aca="false">IF(AK63=0,"",IF(AM63=0,IF(OR(ISNUMBER(SEARCH("full",$C63)),UPPER(TRIM($C63))="FT",UPPER(TRIM($C63))="FTE"),"FT",IF(AND(OR(ISNUMBER(SEARCH("part",$C63)),UPPER(TRIM($C63))="PT",UPPER(TRIM($C63))="PTE"),Apply2026="Yes",OR($P63="",N($P63)&gt;=PT_MinHours)),"PT","None")),IF(OR(ISNUMBER(SEARCH("full",AQ63)),UPPER(TRIM(AQ63))="FT",UPPER(TRIM(AQ63))="FTE"),"FT",IF(AND(OR(ISNUMBER(SEARCH("part",AQ63)),UPPER(TRIM(AQ63))="PT",UPPER(TRIM(AQ63))="PTE"),Apply2026="Yes",OR($P63="",N($P63)&gt;=PT_MinHours)),"PT","None"))))</f>
        <v/>
      </c>
      <c r="AU63" s="16" t="str">
        <f aca="false">IF(AK63=0,"",IF(AM63&lt;2,"",IF(OR(ISNUMBER(SEARCH("full",AR63)),UPPER(TRIM(AR63))="FT",UPPER(TRIM(AR63))="FTE"),"FT",IF(AND(OR(ISNUMBER(SEARCH("part",AR63)),UPPER(TRIM(AR63))="PT",UPPER(TRIM(AR63))="PTE"),Apply2026="Yes",OR($P63="",N($P63)&gt;=PT_MinHours)),"PT","None"))))</f>
        <v/>
      </c>
      <c r="AV63" s="16" t="str">
        <f aca="false">IF(AK63=0,"",IF(AM63&lt;3,"",IF(OR(ISNUMBER(SEARCH("full",AS63)),UPPER(TRIM(AS63))="FT",UPPER(TRIM(AS63))="FTE"),"FT",IF(AND(OR(ISNUMBER(SEARCH("part",AS63)),UPPER(TRIM(AS63))="PT",UPPER(TRIM(AS63))="PTE"),Apply2026="Yes",OR($P63="",N($P63)&gt;=PT_MinHours)),"PT","None"))))</f>
        <v/>
      </c>
      <c r="AW63" s="16" t="str">
        <f aca="false">IF(AK63=0,"",IF(AND(AM63&gt;=3,AP63&lt;=AsOfDate),AV63,IF(AND(AM63&gt;=2,AO63&lt;=AsOfDate),AU63,AT63)))</f>
        <v/>
      </c>
      <c r="AX63" s="16" t="str">
        <f aca="false">IF(AK63=0,"",IF(AsOfDate&lt;AL63,-1,12*(YEAR(AsOfDate)-YEAR(AL63))+MONTH(AsOfDate)-MONTH(AL63)-IF(DAY(AsOfDate)&lt;MIN(DAY(AL63),DAY(EOMONTH(AsOfDate,0))),1,0)))</f>
        <v/>
      </c>
      <c r="AY63" s="16" t="str">
        <f aca="false">IF(AK63=0,"",IF(OR(AM63&lt;2,AO63&gt;AsOfDate),AX63,IF((AO63-1)&lt;AL63,-1,12*(YEAR((AO63-1))-YEAR(AL63))+MONTH((AO63-1))-MONTH(AL63)-IF(DAY((AO63-1))&lt;MIN(DAY(AL63),DAY(EOMONTH((AO63-1),0))),1,0))))</f>
        <v/>
      </c>
      <c r="AZ63" s="16" t="str">
        <f aca="false">IF(AK63=0,"",IF(OR(AM63&lt;3,AP63&gt;AsOfDate),AX63,IF((AP63-1)&lt;AL63,-1,12*(YEAR((AP63-1))-YEAR(AL63))+MONTH((AP63-1))-MONTH(AL63)-IF(DAY((AP63-1))&lt;MIN(DAY(AL63),DAY(EOMONTH((AP63-1),0))),1,0))))</f>
        <v/>
      </c>
      <c r="BA63" s="16" t="str">
        <f aca="false">IF(AK63=0,"",IF(PFYDate&lt;AL63,-1,12*(YEAR(PFYDate)-YEAR(AL63))+MONTH(PFYDate)-MONTH(AL63)-IF(DAY(PFYDate)&lt;MIN(DAY(AL63),DAY(EOMONTH(PFYDate,0))),1,0)))</f>
        <v/>
      </c>
      <c r="BB63" s="16" t="str">
        <f aca="false">IF(AK63=0,"",IF(OR(AM63&lt;2,AO63&gt;PFYDate),BA63,IF((AO63-1)&lt;AL63,-1,12*(YEAR((AO63-1))-YEAR(AL63))+MONTH((AO63-1))-MONTH(AL63)-IF(DAY((AO63-1))&lt;MIN(DAY(AL63),DAY(EOMONTH((AO63-1),0))),1,0))))</f>
        <v/>
      </c>
      <c r="BC63" s="16" t="str">
        <f aca="false">IF(AK63=0,"",IF(OR(AM63&lt;3,AP63&gt;PFYDate),BA63,IF((AP63-1)&lt;AL63,-1,12*(YEAR((AP63-1))-YEAR(AL63))+MONTH((AP63-1))-MONTH(AL63)-IF(DAY((AP63-1))&lt;MIN(DAY(AL63),DAY(EOMONTH((AP63-1),0))),1,0))))</f>
        <v/>
      </c>
      <c r="BD63" s="16" t="str">
        <f aca="false">IF(AK63=0,"",IF(AT63="FT",IF(AY63&lt;FT_First,0,IF(AY63&lt;FT_Y5,1+INT((AY63-FT_First)/FT_Int1),FT_PreY5+FT_PerYear*INT((AY63-FT_Y5)/12)+FT_AnnivDays+INT(MOD(AY63-FT_Y5,12)/FT_Int2)-IF(EDATE(AL63,FT_Y5)&lt;PolicyEff,FT_AnnivDays-1,0))),IF(AT63="PT",IF(AY63&lt;PT_First,0,1+INT((AY63-PT_First)/PT_Int)),0))+IF(AND(AM63&gt;=2,AO63&lt;=AsOfDate),IF(AU63="FT",IF(AZ63&lt;FT_First,0,IF(AZ63&lt;FT_Y5,1+INT((AZ63-FT_First)/FT_Int1),FT_PreY5+FT_PerYear*INT((AZ63-FT_Y5)/12)+FT_AnnivDays+INT(MOD(AZ63-FT_Y5,12)/FT_Int2)-IF(EDATE(AL63,FT_Y5)&lt;PolicyEff,FT_AnnivDays-1,0))),IF(AU63="PT",IF(AZ63&lt;PT_First,0,1+INT((AZ63-PT_First)/PT_Int)),0))-IF(AU63="FT",IF(AY63&lt;FT_First,0,IF(AY63&lt;FT_Y5,1+INT((AY63-FT_First)/FT_Int1),FT_PreY5+FT_PerYear*INT((AY63-FT_Y5)/12)+FT_AnnivDays+INT(MOD(AY63-FT_Y5,12)/FT_Int2)-IF(EDATE(AL63,FT_Y5)&lt;PolicyEff,FT_AnnivDays-1,0))),IF(AU63="PT",IF(AY63&lt;PT_First,0,1+INT((AY63-PT_First)/PT_Int)),0)),0)+IF(AND(AM63&gt;=3,AP63&lt;=AsOfDate),IF(AV63="FT",IF(AX63&lt;FT_First,0,IF(AX63&lt;FT_Y5,1+INT((AX63-FT_First)/FT_Int1),FT_PreY5+FT_PerYear*INT((AX63-FT_Y5)/12)+FT_AnnivDays+INT(MOD(AX63-FT_Y5,12)/FT_Int2)-IF(EDATE(AL63,FT_Y5)&lt;PolicyEff,FT_AnnivDays-1,0))),IF(AV63="PT",IF(AX63&lt;PT_First,0,1+INT((AX63-PT_First)/PT_Int)),0))-IF(AV63="FT",IF(AZ63&lt;FT_First,0,IF(AZ63&lt;FT_Y5,1+INT((AZ63-FT_First)/FT_Int1),FT_PreY5+FT_PerYear*INT((AZ63-FT_Y5)/12)+FT_AnnivDays+INT(MOD(AZ63-FT_Y5,12)/FT_Int2)-IF(EDATE(AL63,FT_Y5)&lt;PolicyEff,FT_AnnivDays-1,0))),IF(AV63="PT",IF(AZ63&lt;PT_First,0,1+INT((AZ63-PT_First)/PT_Int)),0)),0))</f>
        <v/>
      </c>
      <c r="BE63" s="16" t="str">
        <f aca="false">IF(AK63=0,"",IF(AT63="FT",IF(BB63&lt;FT_First,0,IF(BB63&lt;FT_Y5,1+INT((BB63-FT_First)/FT_Int1),FT_PreY5+FT_PerYear*INT((BB63-FT_Y5)/12)+FT_AnnivDays+INT(MOD(BB63-FT_Y5,12)/FT_Int2)-IF(EDATE(AL63,FT_Y5)&lt;PolicyEff,FT_AnnivDays-1,0))),IF(AT63="PT",IF(BB63&lt;PT_First,0,1+INT((BB63-PT_First)/PT_Int)),0))+IF(AND(AM63&gt;=2,AO63&lt;=PFYDate),IF(AU63="FT",IF(BC63&lt;FT_First,0,IF(BC63&lt;FT_Y5,1+INT((BC63-FT_First)/FT_Int1),FT_PreY5+FT_PerYear*INT((BC63-FT_Y5)/12)+FT_AnnivDays+INT(MOD(BC63-FT_Y5,12)/FT_Int2)-IF(EDATE(AL63,FT_Y5)&lt;PolicyEff,FT_AnnivDays-1,0))),IF(AU63="PT",IF(BC63&lt;PT_First,0,1+INT((BC63-PT_First)/PT_Int)),0))-IF(AU63="FT",IF(BB63&lt;FT_First,0,IF(BB63&lt;FT_Y5,1+INT((BB63-FT_First)/FT_Int1),FT_PreY5+FT_PerYear*INT((BB63-FT_Y5)/12)+FT_AnnivDays+INT(MOD(BB63-FT_Y5,12)/FT_Int2)-IF(EDATE(AL63,FT_Y5)&lt;PolicyEff,FT_AnnivDays-1,0))),IF(AU63="PT",IF(BB63&lt;PT_First,0,1+INT((BB63-PT_First)/PT_Int)),0)),0)+IF(AND(AM63&gt;=3,AP63&lt;=PFYDate),IF(AV63="FT",IF(BA63&lt;FT_First,0,IF(BA63&lt;FT_Y5,1+INT((BA63-FT_First)/FT_Int1),FT_PreY5+FT_PerYear*INT((BA63-FT_Y5)/12)+FT_AnnivDays+INT(MOD(BA63-FT_Y5,12)/FT_Int2)-IF(EDATE(AL63,FT_Y5)&lt;PolicyEff,FT_AnnivDays-1,0))),IF(AV63="PT",IF(BA63&lt;PT_First,0,1+INT((BA63-PT_First)/PT_Int)),0))-IF(AV63="FT",IF(BC63&lt;FT_First,0,IF(BC63&lt;FT_Y5,1+INT((BC63-FT_First)/FT_Int1),FT_PreY5+FT_PerYear*INT((BC63-FT_Y5)/12)+FT_AnnivDays+INT(MOD(BC63-FT_Y5,12)/FT_Int2)-IF(EDATE(AL63,FT_Y5)&lt;PolicyEff,FT_AnnivDays-1,0))),IF(AV63="PT",IF(BC63&lt;PT_First,0,1+INT((BC63-PT_First)/PT_Int)),0)),0))</f>
        <v/>
      </c>
      <c r="BF63" s="16" t="str">
        <f aca="false">IF(AK63=0,"",IF(AW63="FT",IF(AX63&lt;FT_First,FT_First,IF(AX63&lt;FT_Y5,MIN(FT_Y5,FT_First+FT_Int1*(INT((AX63-FT_First)/FT_Int1)+1)),FT_Y5+12*INT((AX63-FT_Y5)/12)+FT_Int2*(INT(MOD(AX63-FT_Y5,12)/FT_Int2)+1))),IF(AW63="PT",IF(AX63&lt;PT_First,PT_First,PT_First+PT_Int*(INT((AX63-PT_First)/PT_Int)+1)),"")))</f>
        <v/>
      </c>
      <c r="BG63" s="16" t="str">
        <f aca="false">IF(AK63=0,"",IF(NOT(LH_Ready),0,COUNTIFS(INDEX(LH_Data,0,LH_ColFirst),$A63,INDEX(LH_Data,0,LH_ColSur),$B63,INDEX(LH_Data,0,LH_ColCat),BonusCat)))</f>
        <v/>
      </c>
      <c r="BH63" s="16" t="str">
        <f aca="false">IF(AK63=0,"",IF(OR(NOT(LH_Ready),BG63=0),0,SUMPRODUCT(MAX((INDEX(LH_Data,0,LH_ColFirst)=$A63)*(INDEX(LH_Data,0,LH_ColSur)=$B63)*(INDEX(LH_Data,0,LH_ColCat)=BonusCat)*ROW(LH_Data)))))</f>
        <v/>
      </c>
      <c r="BI63" s="16" t="str">
        <f aca="false">IF(AK63=0,"",IF(EOMONTH(AsOfDate,-1)&lt;AL63,-1,12*(YEAR(EOMONTH(AsOfDate,-1))-YEAR(AL63))+MONTH(EOMONTH(AsOfDate,-1))-MONTH(AL63)-IF(DAY(EOMONTH(AsOfDate,-1))&lt;MIN(DAY(AL63),DAY(EOMONTH(EOMONTH(AsOfDate,-1),0))),1,0)))</f>
        <v/>
      </c>
      <c r="BJ63" s="16" t="str">
        <f aca="false">IF(AK63=0,"",IF(OR(AM63&lt;2,AO63&gt;EOMONTH(AsOfDate,-1)),BI63,IF((AO63-1)&lt;AL63,-1,12*(YEAR((AO63-1))-YEAR(AL63))+MONTH((AO63-1))-MONTH(AL63)-IF(DAY((AO63-1))&lt;MIN(DAY(AL63),DAY(EOMONTH((AO63-1),0))),1,0))))</f>
        <v/>
      </c>
      <c r="BK63" s="16" t="str">
        <f aca="false">IF(AK63=0,"",IF(OR(AM63&lt;3,AP63&gt;EOMONTH(AsOfDate,-1)),BI63,IF((AP63-1)&lt;AL63,-1,12*(YEAR((AP63-1))-YEAR(AL63))+MONTH((AP63-1))-MONTH(AL63)-IF(DAY((AP63-1))&lt;MIN(DAY(AL63),DAY(EOMONTH((AP63-1),0))),1,0))))</f>
        <v/>
      </c>
      <c r="BL63" s="16" t="str">
        <f aca="false">IF(AK63=0,"",IF(AT63="FT",IF(BJ63&lt;FT_First,0,IF(BJ63&lt;FT_Y5,1+INT((BJ63-FT_First)/FT_Int1),FT_PreY5+FT_PerYear*INT((BJ63-FT_Y5)/12)+FT_AnnivDays+INT(MOD(BJ63-FT_Y5,12)/FT_Int2)-IF(EDATE(AL63,FT_Y5)&lt;PolicyEff,FT_AnnivDays-1,0))),IF(AT63="PT",IF(BJ63&lt;PT_First,0,1+INT((BJ63-PT_First)/PT_Int)),0))+IF(AND(AM63&gt;=2,AO63&lt;=EOMONTH(AsOfDate,-1)),IF(AU63="FT",IF(BK63&lt;FT_First,0,IF(BK63&lt;FT_Y5,1+INT((BK63-FT_First)/FT_Int1),FT_PreY5+FT_PerYear*INT((BK63-FT_Y5)/12)+FT_AnnivDays+INT(MOD(BK63-FT_Y5,12)/FT_Int2)-IF(EDATE(AL63,FT_Y5)&lt;PolicyEff,FT_AnnivDays-1,0))),IF(AU63="PT",IF(BK63&lt;PT_First,0,1+INT((BK63-PT_First)/PT_Int)),0))-IF(AU63="FT",IF(BJ63&lt;FT_First,0,IF(BJ63&lt;FT_Y5,1+INT((BJ63-FT_First)/FT_Int1),FT_PreY5+FT_PerYear*INT((BJ63-FT_Y5)/12)+FT_AnnivDays+INT(MOD(BJ63-FT_Y5,12)/FT_Int2)-IF(EDATE(AL63,FT_Y5)&lt;PolicyEff,FT_AnnivDays-1,0))),IF(AU63="PT",IF(BJ63&lt;PT_First,0,1+INT((BJ63-PT_First)/PT_Int)),0)),0)+IF(AND(AM63&gt;=3,AP63&lt;=EOMONTH(AsOfDate,-1)),IF(AV63="FT",IF(BI63&lt;FT_First,0,IF(BI63&lt;FT_Y5,1+INT((BI63-FT_First)/FT_Int1),FT_PreY5+FT_PerYear*INT((BI63-FT_Y5)/12)+FT_AnnivDays+INT(MOD(BI63-FT_Y5,12)/FT_Int2)-IF(EDATE(AL63,FT_Y5)&lt;PolicyEff,FT_AnnivDays-1,0))),IF(AV63="PT",IF(BI63&lt;PT_First,0,1+INT((BI63-PT_First)/PT_Int)),0))-IF(AV63="FT",IF(BK63&lt;FT_First,0,IF(BK63&lt;FT_Y5,1+INT((BK63-FT_First)/FT_Int1),FT_PreY5+FT_PerYear*INT((BK63-FT_Y5)/12)+FT_AnnivDays+INT(MOD(BK63-FT_Y5,12)/FT_Int2)-IF(EDATE(AL63,FT_Y5)&lt;PolicyEff,FT_AnnivDays-1,0))),IF(AV63="PT",IF(BK63&lt;PT_First,0,1+INT((BK63-PT_First)/PT_Int)),0)),0))</f>
        <v/>
      </c>
      <c r="BM63" s="16" t="str">
        <f aca="false">IF(AK63=0,"",IF(AW63="FT",IF(AX63&lt;FT_First,"",IF(AX63&lt;FT_Y5,FT_First+FT_Int1*INT((AX63-FT_First)/FT_Int1),FT_Y5+FT_Int2*INT((AX63-FT_Y5)/FT_Int2))),IF(AW63="PT",IF(AX63&lt;PT_First,"",PT_First+PT_Int*INT((AX63-PT_First)/PT_Int)),"")))</f>
        <v/>
      </c>
      <c r="BN63" s="16" t="str">
        <f aca="false">IF(AK63=0,"",IF((SchemeStart-1)&lt;AL63,-1,12*(YEAR((SchemeStart-1))-YEAR(AL63))+MONTH((SchemeStart-1))-MONTH(AL63)-IF(DAY((SchemeStart-1))&lt;MIN(DAY(AL63),DAY(EOMONTH((SchemeStart-1),0))),1,0)))</f>
        <v/>
      </c>
      <c r="BO63" s="16" t="str">
        <f aca="false">IF(AK63=0,"",IF(OR(AM63&lt;2,AO63&gt;(SchemeStart-1)),BN63,IF((AO63-1)&lt;AL63,-1,12*(YEAR((AO63-1))-YEAR(AL63))+MONTH((AO63-1))-MONTH(AL63)-IF(DAY((AO63-1))&lt;MIN(DAY(AL63),DAY(EOMONTH((AO63-1),0))),1,0))))</f>
        <v/>
      </c>
      <c r="BP63" s="16" t="str">
        <f aca="false">IF(AK63=0,"",IF(OR(AM63&lt;3,AP63&gt;(SchemeStart-1)),BN63,IF((AP63-1)&lt;AL63,-1,12*(YEAR((AP63-1))-YEAR(AL63))+MONTH((AP63-1))-MONTH(AL63)-IF(DAY((AP63-1))&lt;MIN(DAY(AL63),DAY(EOMONTH((AP63-1),0))),1,0))))</f>
        <v/>
      </c>
      <c r="BQ63" s="16" t="str">
        <f aca="false">IF(AK63=0,"",IF(AT63="FT",IF(BO63&lt;FT_First,0,IF(BO63&lt;FT_Y5,1+INT((BO63-FT_First)/FT_Int1),FT_PreY5+FT_PerYear*INT((BO63-FT_Y5)/12)+FT_AnnivDays+INT(MOD(BO63-FT_Y5,12)/FT_Int2)-IF(EDATE(AL63,FT_Y5)&lt;PolicyEff,FT_AnnivDays-1,0))),IF(AT63="PT",IF(BO63&lt;PT_First,0,1+INT((BO63-PT_First)/PT_Int)),0))+IF(AND(AM63&gt;=2,AO63&lt;=(SchemeStart-1)),IF(AU63="FT",IF(BP63&lt;FT_First,0,IF(BP63&lt;FT_Y5,1+INT((BP63-FT_First)/FT_Int1),FT_PreY5+FT_PerYear*INT((BP63-FT_Y5)/12)+FT_AnnivDays+INT(MOD(BP63-FT_Y5,12)/FT_Int2)-IF(EDATE(AL63,FT_Y5)&lt;PolicyEff,FT_AnnivDays-1,0))),IF(AU63="PT",IF(BP63&lt;PT_First,0,1+INT((BP63-PT_First)/PT_Int)),0))-IF(AU63="FT",IF(BO63&lt;FT_First,0,IF(BO63&lt;FT_Y5,1+INT((BO63-FT_First)/FT_Int1),FT_PreY5+FT_PerYear*INT((BO63-FT_Y5)/12)+FT_AnnivDays+INT(MOD(BO63-FT_Y5,12)/FT_Int2)-IF(EDATE(AL63,FT_Y5)&lt;PolicyEff,FT_AnnivDays-1,0))),IF(AU63="PT",IF(BO63&lt;PT_First,0,1+INT((BO63-PT_First)/PT_Int)),0)),0)+IF(AND(AM63&gt;=3,AP63&lt;=(SchemeStart-1)),IF(AV63="FT",IF(BN63&lt;FT_First,0,IF(BN63&lt;FT_Y5,1+INT((BN63-FT_First)/FT_Int1),FT_PreY5+FT_PerYear*INT((BN63-FT_Y5)/12)+FT_AnnivDays+INT(MOD(BN63-FT_Y5,12)/FT_Int2)-IF(EDATE(AL63,FT_Y5)&lt;PolicyEff,FT_AnnivDays-1,0))),IF(AV63="PT",IF(BN63&lt;PT_First,0,1+INT((BN63-PT_First)/PT_Int)),0))-IF(AV63="FT",IF(BP63&lt;FT_First,0,IF(BP63&lt;FT_Y5,1+INT((BP63-FT_First)/FT_Int1),FT_PreY5+FT_PerYear*INT((BP63-FT_Y5)/12)+FT_AnnivDays+INT(MOD(BP63-FT_Y5,12)/FT_Int2)-IF(EDATE(AL63,FT_Y5)&lt;PolicyEff,FT_AnnivDays-1,0))),IF(AV63="PT",IF(BP63&lt;PT_First,0,1+INT((BP63-PT_First)/PT_Int)),0)),0))</f>
        <v/>
      </c>
      <c r="BR63" s="0" t="str">
        <f aca="false">IF(LEN($A63&amp;$B63)=0,"",$A63&amp;" "&amp;$B63)</f>
        <v/>
      </c>
    </row>
    <row r="64" customFormat="false" ht="15" hidden="false" customHeight="false" outlineLevel="0" collapsed="false">
      <c r="A64" s="12"/>
      <c r="B64" s="12"/>
      <c r="C64" s="12"/>
      <c r="D64" s="13"/>
      <c r="E64" s="14" t="str">
        <f aca="false">IF(OR(AK64=0,$D64=""),"",DATE(YEAR(AsOfDate)+IF(DATE(YEAR(AsOfDate),MONTH($D64),DAY($D64))&lt;=AsOfDate,1,0),MONTH($D64),DAY($D64)))</f>
        <v/>
      </c>
      <c r="F64" s="13"/>
      <c r="G64" s="13"/>
      <c r="H64" s="13"/>
      <c r="I64" s="13"/>
      <c r="J64" s="13"/>
      <c r="K64" s="14" t="str">
        <f aca="false">IF(AK64=0,"",DATE(YEAR(AsOfDate)+IF(DATE(YEAR(AsOfDate),MONTH(AL64),DAY(AL64))&lt;=AsOfDate,1,0),MONTH(AL64),DAY(AL64)))</f>
        <v/>
      </c>
      <c r="L64" s="15" t="str">
        <f aca="false">IF(AK64=0,"",ROUND((AsOfDate-AL64)/365.25,1))</f>
        <v/>
      </c>
      <c r="M64" s="16" t="str">
        <f aca="false">IF(AK64=0,"",IF(AsOfDate&lt;AL64,"-",DATEDIF(AL64,AsOfDate,"y")&amp;"y "&amp;DATEDIF(AL64,AsOfDate,"ym")&amp;"m "&amp;DATEDIF(AL64,AsOfDate,"md")&amp;"d"))</f>
        <v/>
      </c>
      <c r="N64" s="17" t="str">
        <f aca="false">IF(AK64=0,"",O64*HoursPerDay)</f>
        <v/>
      </c>
      <c r="O64" s="17" t="str">
        <f aca="false">IF(AK64=0,"",MAX(0,BD64-BQ64))</f>
        <v/>
      </c>
      <c r="P64" s="18"/>
      <c r="Q64" s="16" t="str">
        <f aca="false">IF(AK64=0,"",IF(AM64&lt;2,"",AQ64&amp;" to "&amp;AR64&amp;" on "&amp;TEXT(AO64,"dd/mm/yyyy")&amp;IF(AO64&gt;AsOfDate," (future)",IF(AT64=AU64,"",IF(AU64="None"," - STOPPED accruing",IF(AT64="None"," - commencement for Bonus Leave"," - pathway changed"))))&amp;IF(AM64&lt;3,"","; "&amp;AR64&amp;" to "&amp;AS64&amp;" on "&amp;TEXT(AP64,"dd/mm/yyyy")&amp;IF(AP64&gt;AsOfDate," (future)",IF(AU64=AV64,"",IF(AV64="None"," - STOPPED accruing",IF(AU64="None"," - commencement for Bonus Leave"," - pathway changed")))))))</f>
        <v/>
      </c>
      <c r="R64" s="16" t="str">
        <f aca="false">IF(AK64=0,"",IF(AW64="None",IF(O64&gt;0,"No longer accruing","Not eligible - "&amp;IF(AND(OR(ISNUMBER(SEARCH("part",$C64)),UPPER(TRIM($C64))="PT",UPPER(TRIM($C64))="PTE"),Apply2026="No"),"part-time (scheme is full-time only)",IF(AND(OR(ISNUMBER(SEARCH("part",$C64)),UPPER(TRIM($C64))="PT",UPPER(TRIM($C64))="PTE"),$P64&lt;&gt;"",N($P64)&lt;PT_MinHours),"under "&amp;PT_MinHours&amp;" hrs",IF(IF($C64="","",IF(OR(ISNUMBER(SEARCH("full",$C64)),UPPER(TRIM($C64))="FT",UPPER(TRIM($C64))="FTE"),"Full-Time",IF(OR(ISNUMBER(SEARCH("part",$C64)),UPPER(TRIM($C64))="PT",UPPER(TRIM($C64))="PTE"),"Part-Time",IF(OR(ISNUMBER(SEARCH("cas",$C64)),UPPER(TRIM($C64))="CAS"),"Casual","Unknown"))))="Unknown","type not recognised",$C64)))),IF(O64&gt;0,"Yes - Accrual Required","Not yet - from "&amp;TEXT(S64,"dd/mm/yyyy"))))</f>
        <v/>
      </c>
      <c r="S64" s="14" t="str">
        <f aca="false">IF(AK64=0,"",IF(AW64="None","",EDATE(AL64,BF64)))</f>
        <v/>
      </c>
      <c r="T64" s="17" t="str">
        <f aca="false">IF(AK64=0,"",IF(NOT(LH_Ready),"",IF($F64&gt;PFYDate,0,IF(LH_ColPeriod=0,W64-U64+V64,SUMIFS(INDEX(LH_Data,0,LH_ColAcc),INDEX(LH_Data,0,LH_ColFirst),$A64,INDEX(LH_Data,0,LH_ColSur),$B64,INDEX(LH_Data,0,LH_ColCat),BonusCat,INDEX(LH_Data,0,LH_ColPeriod),LH_OpenLabel)*UnitFactor))))</f>
        <v/>
      </c>
      <c r="U64" s="17" t="str">
        <f aca="false">IF(AK64=0,"",IF(NOT(LH_Ready),"",SUMIFS(INDEX(LH_Data,0,LH_ColAcc),INDEX(LH_Data,0,LH_ColFirst),$A64,INDEX(LH_Data,0,LH_ColSur),$B64,INDEX(LH_Data,0,LH_ColCat),BonusCat,INDEX(LH_Data,0,LH_ColStart),"&gt;="&amp;AL64)*UnitFactor))</f>
        <v/>
      </c>
      <c r="V64" s="17" t="str">
        <f aca="false">IF(AK64=0,"",IF(NOT(LH_Ready),"",SUMIFS(INDEX(LH_Data,0,LH_ColTaken),INDEX(LH_Data,0,LH_ColFirst),$A64,INDEX(LH_Data,0,LH_ColSur),$B64,INDEX(LH_Data,0,LH_ColCat),BonusCat,INDEX(LH_Data,0,LH_ColStart),"&gt;="&amp;AL64)*UnitFactor))</f>
        <v/>
      </c>
      <c r="W64" s="17" t="str">
        <f aca="false">IF(AK64=0,"",IF(NOT(LH_Ready),"",IF(BH64=0,0,INDEX(INDEX(LH_Data,0,LH_ColClose),BH64-1)*UnitFactor)))</f>
        <v/>
      </c>
      <c r="X64" s="17" t="str">
        <f aca="false">IF(AK64=0,"",(MAX(0,BD64-BQ64)-MAX(0,BE64-BQ64))*HoursPerDay)</f>
        <v/>
      </c>
      <c r="Y64" s="17" t="str">
        <f aca="false">IF(AK64=0,"",IF(NOT(LH_Ready),"",IF($AI64="Yes",N(AE64)*HoursPerDay-SUMIFS(INDEX(LH_Data,0,LH_ColAcc),INDEX(LH_Data,0,LH_ColFirst),$A64,INDEX(LH_Data,0,LH_ColSur),$B64,INDEX(LH_Data,0,LH_ColCat),BonusCat,INDEX(LH_Data,0,LH_ColStart),"&gt;="&amp;(EOMONTH(AsOfDate,-1)+1),INDEX(LH_Data,0,LH_ColStart),"&lt;="&amp;AsOfDate)*UnitFactor,IF(BG64=0,N64,N64-N(T64)-N(U64)))))</f>
        <v/>
      </c>
      <c r="Z64" s="16" t="str">
        <f aca="false">IF(OR(AK64=0,Y64=""),"",IF(Y64&gt;0,"Yes","No"))</f>
        <v/>
      </c>
      <c r="AA64" s="16" t="str">
        <f aca="false">IF(AK64=0,IF(LEN($A64&amp;$B64)=0,"","FIX INPUT - StartDate missing"),IF(AD64&lt;&gt;"","FIX INPUT - "&amp;AD64,IF(NOT(LH_Ready),"Paste Leave History export (Settings must show YES)",IF(AND($AI64="Yes",Y64&lt;=0),"OK - EH balance accepted to date"&amp;IF(N(AH64)&gt;0," (EH holds "&amp;AH64&amp;" hrs over the scheme)","")&amp;"; next day "&amp;TEXT(S64,"dd mmm yy")&amp;IF(N(AE64)&gt;0," ("&amp;AE64&amp;" day(s) for "&amp;UPPER(TEXT(AsOfDate,"mmm yyyy"))&amp;" already in EH)",""),IF(Y64&gt;0,"ACCRUE "&amp;ROUND(Y64,2)&amp;" hrs ("&amp;ROUND(Y64/HoursPerDay,2)&amp;" days): "&amp;IF(N(AE64)&gt;0,AE64&amp;" day(s) for "&amp;UPPER(TEXT(AsOfDate,"mmm yyyy"))&amp;" (milestone "&amp;UPPER(TEXT(AF64,"dd mmm yy"))&amp;")"&amp;IF(Y64/HoursPerDay&gt;AE64+0.001," + "&amp;ROUND(Y64/HoursPerDay-AE64,2)&amp;" day(s) catch-up from earlier months",""),"all catch-up from earlier months, nothing new this month")&amp;IF(BG64=0,"; no Bonus Leave in EH yet",""),IF(Y64&lt;0,"CHECK - EH accrued "&amp;ROUND(-Y64,2)&amp;" hrs more than policy since commencement",IF(N(W64)&gt;O64*HoursPerDay+0.01,"CHECK - EH balance "&amp;ROUND(W64-O64*HoursPerDay,2)&amp;" hrs more than policy entitlement",IF(O64&gt;0,"OK - nothing to add"&amp;IF(N(AE64)&gt;0," ("&amp;AE64&amp;" day(s) for "&amp;UPPER(TEXT(AsOfDate,"mmm yyyy"))&amp;" already in EH)",""),IF(AW64="None",R64,"Not yet - first day on "&amp;TEXT(S64,"dd/mm/yyyy"))))))))))</f>
        <v/>
      </c>
      <c r="AB64" s="17" t="str">
        <f aca="false">IF(OR(AK64=0,T64=""),"",MAX(0,BE64-BQ64)*HoursPerDay-T64)</f>
        <v/>
      </c>
      <c r="AC64" s="16" t="str">
        <f aca="false">IF(AK64=0,"",BG64)</f>
        <v/>
      </c>
      <c r="AD64" s="16" t="str">
        <f aca="false">IF(AK64=0,"",TRIM(IF(OR(ISTEXT($F64),ISTEXT($H64),ISTEXT($I64),ISTEXT($G64),ISTEXT($J64),ISTEXT($D64)),"A date is typed as text - retype it as dd/mm/yyyy. ","")&amp;IF(IF($C64="","",IF(OR(ISNUMBER(SEARCH("full",$C64)),UPPER(TRIM($C64))="FT",UPPER(TRIM($C64))="FTE"),"Full-Time",IF(OR(ISNUMBER(SEARCH("part",$C64)),UPPER(TRIM($C64))="PT",UPPER(TRIM($C64))="PTE"),"Part-Time",IF(OR(ISNUMBER(SEARCH("cas",$C64)),UPPER(TRIM($C64))="CAS"),"Casual","Unknown"))))="Unknown","EmploymentType not recognised - use Full-Time, Part-Time or Casual. ","")&amp;IF(AND(AM64&gt;=1,IF(AM64&gt;=3,AS64,IF(AM64=2,AR64,AQ64))&lt;&gt;IF($C64="","",IF(OR(ISNUMBER(SEARCH("full",$C64)),UPPER(TRIM($C64))="FT",UPPER(TRIM($C64))="FTE"),"Full-Time",IF(OR(ISNUMBER(SEARCH("part",$C64)),UPPER(TRIM($C64))="PT",UPPER(TRIM($C64))="PTE"),"Part-Time",IF(OR(ISNUMBER(SEARCH("cas",$C64)),UPPER(TRIM($C64))="CAS"),"Casual","Unknown"))))),"EmploymentType does not match latest start date ("&amp;IF(AM64&gt;=3,AS64,IF(AM64=2,AR64,AQ64))&amp;"). ","")&amp;IF(AND(AM64&gt;=1,AN64&lt;&gt;$F64),"Earliest type date should equal StartDate. ","")&amp;IF(AND(AM64&gt;=2,AN64=AO64),"Two types start on the same date. ","")&amp;IF(AND(OR(ISNUMBER(SEARCH("part",$C64)),UPPER(TRIM($C64))="PT",UPPER(TRIM($C64))="PTE"),$P64=""),"Part-time: enter PT Hrs/Week (blank = 24+). ","")))</f>
        <v/>
      </c>
      <c r="AE64" s="17" t="str">
        <f aca="false">IF(AK64=0,"",O64-MAX(0,BL64-BQ64))</f>
        <v/>
      </c>
      <c r="AF64" s="14" t="str">
        <f aca="false">IF(OR(AK64=0,AE64="",N(AE64)=0,BM64=""),"",EDATE(AL64,BM64))</f>
        <v/>
      </c>
      <c r="AG64" s="17" t="str">
        <f aca="false">IF(AK64=0,"",MIN(BD64,BQ64))</f>
        <v/>
      </c>
      <c r="AH64" s="17" t="str">
        <f aca="false">IF(AK64=0,"",IF(NOT(LH_Ready),"",IF(BG64=0,0,MAX(0,ROUND(N(T64)+N(U64)-N64,2)))))</f>
        <v/>
      </c>
      <c r="AI64" s="12"/>
      <c r="AJ64" s="12"/>
      <c r="AK64" s="16" t="n">
        <f aca="false">IF(OR(LEN($A64&amp;$B64)=0,$F64=""),0,1)</f>
        <v>0</v>
      </c>
      <c r="AL64" s="14" t="str">
        <f aca="false">IF(AK64=0,"",IF(PreSchemeCounts="No",MAX(SchemeStart,IF($J64&lt;&gt;"",$J64,IF(OR(CasualCounts="Yes",COUNT($G64:$I64)=0),$F64,IF(Apply2026="No",IF($I64="",$F64,$I64),IF(COUNT($H64:$I64)=0,$F64,MIN($H64:$I64)))))),IF($J64&lt;&gt;"",$J64,IF(OR(CasualCounts="Yes",COUNT($G64:$I64)=0),$F64,IF(Apply2026="No",IF($I64="",$F64,$I64),IF(COUNT($H64:$I64)=0,$F64,MIN($H64:$I64)))))))</f>
        <v/>
      </c>
      <c r="AM64" s="16" t="str">
        <f aca="false">IF(AK64=0,"",COUNT($G64:$I64))</f>
        <v/>
      </c>
      <c r="AN64" s="14" t="str">
        <f aca="false">IF(AK64=0,"",IFERROR(SMALL($G64:$I64,1),""))</f>
        <v/>
      </c>
      <c r="AO64" s="14" t="str">
        <f aca="false">IF(AK64=0,"",IFERROR(SMALL($G64:$I64,2),""))</f>
        <v/>
      </c>
      <c r="AP64" s="14" t="str">
        <f aca="false">IF(AK64=0,"",IFERROR(SMALL($G64:$I64,3),""))</f>
        <v/>
      </c>
      <c r="AQ64" s="16" t="str">
        <f aca="false">IF(AK64=0,"",IF(AN64="","",IF(AN64=$H64,"Part-Time",IF(AN64=$I64,"Full-Time","Casual"))))</f>
        <v/>
      </c>
      <c r="AR64" s="16" t="str">
        <f aca="false">IF(AK64=0,"",IF(AO64="","",IF(AO64=$H64,"Part-Time",IF(AO64=$I64,"Full-Time","Casual"))))</f>
        <v/>
      </c>
      <c r="AS64" s="16" t="str">
        <f aca="false">IF(AK64=0,"",IF(AP64="","",IF(AP64=$H64,"Part-Time",IF(AP64=$I64,"Full-Time","Casual"))))</f>
        <v/>
      </c>
      <c r="AT64" s="16" t="str">
        <f aca="false">IF(AK64=0,"",IF(AM64=0,IF(OR(ISNUMBER(SEARCH("full",$C64)),UPPER(TRIM($C64))="FT",UPPER(TRIM($C64))="FTE"),"FT",IF(AND(OR(ISNUMBER(SEARCH("part",$C64)),UPPER(TRIM($C64))="PT",UPPER(TRIM($C64))="PTE"),Apply2026="Yes",OR($P64="",N($P64)&gt;=PT_MinHours)),"PT","None")),IF(OR(ISNUMBER(SEARCH("full",AQ64)),UPPER(TRIM(AQ64))="FT",UPPER(TRIM(AQ64))="FTE"),"FT",IF(AND(OR(ISNUMBER(SEARCH("part",AQ64)),UPPER(TRIM(AQ64))="PT",UPPER(TRIM(AQ64))="PTE"),Apply2026="Yes",OR($P64="",N($P64)&gt;=PT_MinHours)),"PT","None"))))</f>
        <v/>
      </c>
      <c r="AU64" s="16" t="str">
        <f aca="false">IF(AK64=0,"",IF(AM64&lt;2,"",IF(OR(ISNUMBER(SEARCH("full",AR64)),UPPER(TRIM(AR64))="FT",UPPER(TRIM(AR64))="FTE"),"FT",IF(AND(OR(ISNUMBER(SEARCH("part",AR64)),UPPER(TRIM(AR64))="PT",UPPER(TRIM(AR64))="PTE"),Apply2026="Yes",OR($P64="",N($P64)&gt;=PT_MinHours)),"PT","None"))))</f>
        <v/>
      </c>
      <c r="AV64" s="16" t="str">
        <f aca="false">IF(AK64=0,"",IF(AM64&lt;3,"",IF(OR(ISNUMBER(SEARCH("full",AS64)),UPPER(TRIM(AS64))="FT",UPPER(TRIM(AS64))="FTE"),"FT",IF(AND(OR(ISNUMBER(SEARCH("part",AS64)),UPPER(TRIM(AS64))="PT",UPPER(TRIM(AS64))="PTE"),Apply2026="Yes",OR($P64="",N($P64)&gt;=PT_MinHours)),"PT","None"))))</f>
        <v/>
      </c>
      <c r="AW64" s="16" t="str">
        <f aca="false">IF(AK64=0,"",IF(AND(AM64&gt;=3,AP64&lt;=AsOfDate),AV64,IF(AND(AM64&gt;=2,AO64&lt;=AsOfDate),AU64,AT64)))</f>
        <v/>
      </c>
      <c r="AX64" s="16" t="str">
        <f aca="false">IF(AK64=0,"",IF(AsOfDate&lt;AL64,-1,12*(YEAR(AsOfDate)-YEAR(AL64))+MONTH(AsOfDate)-MONTH(AL64)-IF(DAY(AsOfDate)&lt;MIN(DAY(AL64),DAY(EOMONTH(AsOfDate,0))),1,0)))</f>
        <v/>
      </c>
      <c r="AY64" s="16" t="str">
        <f aca="false">IF(AK64=0,"",IF(OR(AM64&lt;2,AO64&gt;AsOfDate),AX64,IF((AO64-1)&lt;AL64,-1,12*(YEAR((AO64-1))-YEAR(AL64))+MONTH((AO64-1))-MONTH(AL64)-IF(DAY((AO64-1))&lt;MIN(DAY(AL64),DAY(EOMONTH((AO64-1),0))),1,0))))</f>
        <v/>
      </c>
      <c r="AZ64" s="16" t="str">
        <f aca="false">IF(AK64=0,"",IF(OR(AM64&lt;3,AP64&gt;AsOfDate),AX64,IF((AP64-1)&lt;AL64,-1,12*(YEAR((AP64-1))-YEAR(AL64))+MONTH((AP64-1))-MONTH(AL64)-IF(DAY((AP64-1))&lt;MIN(DAY(AL64),DAY(EOMONTH((AP64-1),0))),1,0))))</f>
        <v/>
      </c>
      <c r="BA64" s="16" t="str">
        <f aca="false">IF(AK64=0,"",IF(PFYDate&lt;AL64,-1,12*(YEAR(PFYDate)-YEAR(AL64))+MONTH(PFYDate)-MONTH(AL64)-IF(DAY(PFYDate)&lt;MIN(DAY(AL64),DAY(EOMONTH(PFYDate,0))),1,0)))</f>
        <v/>
      </c>
      <c r="BB64" s="16" t="str">
        <f aca="false">IF(AK64=0,"",IF(OR(AM64&lt;2,AO64&gt;PFYDate),BA64,IF((AO64-1)&lt;AL64,-1,12*(YEAR((AO64-1))-YEAR(AL64))+MONTH((AO64-1))-MONTH(AL64)-IF(DAY((AO64-1))&lt;MIN(DAY(AL64),DAY(EOMONTH((AO64-1),0))),1,0))))</f>
        <v/>
      </c>
      <c r="BC64" s="16" t="str">
        <f aca="false">IF(AK64=0,"",IF(OR(AM64&lt;3,AP64&gt;PFYDate),BA64,IF((AP64-1)&lt;AL64,-1,12*(YEAR((AP64-1))-YEAR(AL64))+MONTH((AP64-1))-MONTH(AL64)-IF(DAY((AP64-1))&lt;MIN(DAY(AL64),DAY(EOMONTH((AP64-1),0))),1,0))))</f>
        <v/>
      </c>
      <c r="BD64" s="16" t="str">
        <f aca="false">IF(AK64=0,"",IF(AT64="FT",IF(AY64&lt;FT_First,0,IF(AY64&lt;FT_Y5,1+INT((AY64-FT_First)/FT_Int1),FT_PreY5+FT_PerYear*INT((AY64-FT_Y5)/12)+FT_AnnivDays+INT(MOD(AY64-FT_Y5,12)/FT_Int2)-IF(EDATE(AL64,FT_Y5)&lt;PolicyEff,FT_AnnivDays-1,0))),IF(AT64="PT",IF(AY64&lt;PT_First,0,1+INT((AY64-PT_First)/PT_Int)),0))+IF(AND(AM64&gt;=2,AO64&lt;=AsOfDate),IF(AU64="FT",IF(AZ64&lt;FT_First,0,IF(AZ64&lt;FT_Y5,1+INT((AZ64-FT_First)/FT_Int1),FT_PreY5+FT_PerYear*INT((AZ64-FT_Y5)/12)+FT_AnnivDays+INT(MOD(AZ64-FT_Y5,12)/FT_Int2)-IF(EDATE(AL64,FT_Y5)&lt;PolicyEff,FT_AnnivDays-1,0))),IF(AU64="PT",IF(AZ64&lt;PT_First,0,1+INT((AZ64-PT_First)/PT_Int)),0))-IF(AU64="FT",IF(AY64&lt;FT_First,0,IF(AY64&lt;FT_Y5,1+INT((AY64-FT_First)/FT_Int1),FT_PreY5+FT_PerYear*INT((AY64-FT_Y5)/12)+FT_AnnivDays+INT(MOD(AY64-FT_Y5,12)/FT_Int2)-IF(EDATE(AL64,FT_Y5)&lt;PolicyEff,FT_AnnivDays-1,0))),IF(AU64="PT",IF(AY64&lt;PT_First,0,1+INT((AY64-PT_First)/PT_Int)),0)),0)+IF(AND(AM64&gt;=3,AP64&lt;=AsOfDate),IF(AV64="FT",IF(AX64&lt;FT_First,0,IF(AX64&lt;FT_Y5,1+INT((AX64-FT_First)/FT_Int1),FT_PreY5+FT_PerYear*INT((AX64-FT_Y5)/12)+FT_AnnivDays+INT(MOD(AX64-FT_Y5,12)/FT_Int2)-IF(EDATE(AL64,FT_Y5)&lt;PolicyEff,FT_AnnivDays-1,0))),IF(AV64="PT",IF(AX64&lt;PT_First,0,1+INT((AX64-PT_First)/PT_Int)),0))-IF(AV64="FT",IF(AZ64&lt;FT_First,0,IF(AZ64&lt;FT_Y5,1+INT((AZ64-FT_First)/FT_Int1),FT_PreY5+FT_PerYear*INT((AZ64-FT_Y5)/12)+FT_AnnivDays+INT(MOD(AZ64-FT_Y5,12)/FT_Int2)-IF(EDATE(AL64,FT_Y5)&lt;PolicyEff,FT_AnnivDays-1,0))),IF(AV64="PT",IF(AZ64&lt;PT_First,0,1+INT((AZ64-PT_First)/PT_Int)),0)),0))</f>
        <v/>
      </c>
      <c r="BE64" s="16" t="str">
        <f aca="false">IF(AK64=0,"",IF(AT64="FT",IF(BB64&lt;FT_First,0,IF(BB64&lt;FT_Y5,1+INT((BB64-FT_First)/FT_Int1),FT_PreY5+FT_PerYear*INT((BB64-FT_Y5)/12)+FT_AnnivDays+INT(MOD(BB64-FT_Y5,12)/FT_Int2)-IF(EDATE(AL64,FT_Y5)&lt;PolicyEff,FT_AnnivDays-1,0))),IF(AT64="PT",IF(BB64&lt;PT_First,0,1+INT((BB64-PT_First)/PT_Int)),0))+IF(AND(AM64&gt;=2,AO64&lt;=PFYDate),IF(AU64="FT",IF(BC64&lt;FT_First,0,IF(BC64&lt;FT_Y5,1+INT((BC64-FT_First)/FT_Int1),FT_PreY5+FT_PerYear*INT((BC64-FT_Y5)/12)+FT_AnnivDays+INT(MOD(BC64-FT_Y5,12)/FT_Int2)-IF(EDATE(AL64,FT_Y5)&lt;PolicyEff,FT_AnnivDays-1,0))),IF(AU64="PT",IF(BC64&lt;PT_First,0,1+INT((BC64-PT_First)/PT_Int)),0))-IF(AU64="FT",IF(BB64&lt;FT_First,0,IF(BB64&lt;FT_Y5,1+INT((BB64-FT_First)/FT_Int1),FT_PreY5+FT_PerYear*INT((BB64-FT_Y5)/12)+FT_AnnivDays+INT(MOD(BB64-FT_Y5,12)/FT_Int2)-IF(EDATE(AL64,FT_Y5)&lt;PolicyEff,FT_AnnivDays-1,0))),IF(AU64="PT",IF(BB64&lt;PT_First,0,1+INT((BB64-PT_First)/PT_Int)),0)),0)+IF(AND(AM64&gt;=3,AP64&lt;=PFYDate),IF(AV64="FT",IF(BA64&lt;FT_First,0,IF(BA64&lt;FT_Y5,1+INT((BA64-FT_First)/FT_Int1),FT_PreY5+FT_PerYear*INT((BA64-FT_Y5)/12)+FT_AnnivDays+INT(MOD(BA64-FT_Y5,12)/FT_Int2)-IF(EDATE(AL64,FT_Y5)&lt;PolicyEff,FT_AnnivDays-1,0))),IF(AV64="PT",IF(BA64&lt;PT_First,0,1+INT((BA64-PT_First)/PT_Int)),0))-IF(AV64="FT",IF(BC64&lt;FT_First,0,IF(BC64&lt;FT_Y5,1+INT((BC64-FT_First)/FT_Int1),FT_PreY5+FT_PerYear*INT((BC64-FT_Y5)/12)+FT_AnnivDays+INT(MOD(BC64-FT_Y5,12)/FT_Int2)-IF(EDATE(AL64,FT_Y5)&lt;PolicyEff,FT_AnnivDays-1,0))),IF(AV64="PT",IF(BC64&lt;PT_First,0,1+INT((BC64-PT_First)/PT_Int)),0)),0))</f>
        <v/>
      </c>
      <c r="BF64" s="16" t="str">
        <f aca="false">IF(AK64=0,"",IF(AW64="FT",IF(AX64&lt;FT_First,FT_First,IF(AX64&lt;FT_Y5,MIN(FT_Y5,FT_First+FT_Int1*(INT((AX64-FT_First)/FT_Int1)+1)),FT_Y5+12*INT((AX64-FT_Y5)/12)+FT_Int2*(INT(MOD(AX64-FT_Y5,12)/FT_Int2)+1))),IF(AW64="PT",IF(AX64&lt;PT_First,PT_First,PT_First+PT_Int*(INT((AX64-PT_First)/PT_Int)+1)),"")))</f>
        <v/>
      </c>
      <c r="BG64" s="16" t="str">
        <f aca="false">IF(AK64=0,"",IF(NOT(LH_Ready),0,COUNTIFS(INDEX(LH_Data,0,LH_ColFirst),$A64,INDEX(LH_Data,0,LH_ColSur),$B64,INDEX(LH_Data,0,LH_ColCat),BonusCat)))</f>
        <v/>
      </c>
      <c r="BH64" s="16" t="str">
        <f aca="false">IF(AK64=0,"",IF(OR(NOT(LH_Ready),BG64=0),0,SUMPRODUCT(MAX((INDEX(LH_Data,0,LH_ColFirst)=$A64)*(INDEX(LH_Data,0,LH_ColSur)=$B64)*(INDEX(LH_Data,0,LH_ColCat)=BonusCat)*ROW(LH_Data)))))</f>
        <v/>
      </c>
      <c r="BI64" s="16" t="str">
        <f aca="false">IF(AK64=0,"",IF(EOMONTH(AsOfDate,-1)&lt;AL64,-1,12*(YEAR(EOMONTH(AsOfDate,-1))-YEAR(AL64))+MONTH(EOMONTH(AsOfDate,-1))-MONTH(AL64)-IF(DAY(EOMONTH(AsOfDate,-1))&lt;MIN(DAY(AL64),DAY(EOMONTH(EOMONTH(AsOfDate,-1),0))),1,0)))</f>
        <v/>
      </c>
      <c r="BJ64" s="16" t="str">
        <f aca="false">IF(AK64=0,"",IF(OR(AM64&lt;2,AO64&gt;EOMONTH(AsOfDate,-1)),BI64,IF((AO64-1)&lt;AL64,-1,12*(YEAR((AO64-1))-YEAR(AL64))+MONTH((AO64-1))-MONTH(AL64)-IF(DAY((AO64-1))&lt;MIN(DAY(AL64),DAY(EOMONTH((AO64-1),0))),1,0))))</f>
        <v/>
      </c>
      <c r="BK64" s="16" t="str">
        <f aca="false">IF(AK64=0,"",IF(OR(AM64&lt;3,AP64&gt;EOMONTH(AsOfDate,-1)),BI64,IF((AP64-1)&lt;AL64,-1,12*(YEAR((AP64-1))-YEAR(AL64))+MONTH((AP64-1))-MONTH(AL64)-IF(DAY((AP64-1))&lt;MIN(DAY(AL64),DAY(EOMONTH((AP64-1),0))),1,0))))</f>
        <v/>
      </c>
      <c r="BL64" s="16" t="str">
        <f aca="false">IF(AK64=0,"",IF(AT64="FT",IF(BJ64&lt;FT_First,0,IF(BJ64&lt;FT_Y5,1+INT((BJ64-FT_First)/FT_Int1),FT_PreY5+FT_PerYear*INT((BJ64-FT_Y5)/12)+FT_AnnivDays+INT(MOD(BJ64-FT_Y5,12)/FT_Int2)-IF(EDATE(AL64,FT_Y5)&lt;PolicyEff,FT_AnnivDays-1,0))),IF(AT64="PT",IF(BJ64&lt;PT_First,0,1+INT((BJ64-PT_First)/PT_Int)),0))+IF(AND(AM64&gt;=2,AO64&lt;=EOMONTH(AsOfDate,-1)),IF(AU64="FT",IF(BK64&lt;FT_First,0,IF(BK64&lt;FT_Y5,1+INT((BK64-FT_First)/FT_Int1),FT_PreY5+FT_PerYear*INT((BK64-FT_Y5)/12)+FT_AnnivDays+INT(MOD(BK64-FT_Y5,12)/FT_Int2)-IF(EDATE(AL64,FT_Y5)&lt;PolicyEff,FT_AnnivDays-1,0))),IF(AU64="PT",IF(BK64&lt;PT_First,0,1+INT((BK64-PT_First)/PT_Int)),0))-IF(AU64="FT",IF(BJ64&lt;FT_First,0,IF(BJ64&lt;FT_Y5,1+INT((BJ64-FT_First)/FT_Int1),FT_PreY5+FT_PerYear*INT((BJ64-FT_Y5)/12)+FT_AnnivDays+INT(MOD(BJ64-FT_Y5,12)/FT_Int2)-IF(EDATE(AL64,FT_Y5)&lt;PolicyEff,FT_AnnivDays-1,0))),IF(AU64="PT",IF(BJ64&lt;PT_First,0,1+INT((BJ64-PT_First)/PT_Int)),0)),0)+IF(AND(AM64&gt;=3,AP64&lt;=EOMONTH(AsOfDate,-1)),IF(AV64="FT",IF(BI64&lt;FT_First,0,IF(BI64&lt;FT_Y5,1+INT((BI64-FT_First)/FT_Int1),FT_PreY5+FT_PerYear*INT((BI64-FT_Y5)/12)+FT_AnnivDays+INT(MOD(BI64-FT_Y5,12)/FT_Int2)-IF(EDATE(AL64,FT_Y5)&lt;PolicyEff,FT_AnnivDays-1,0))),IF(AV64="PT",IF(BI64&lt;PT_First,0,1+INT((BI64-PT_First)/PT_Int)),0))-IF(AV64="FT",IF(BK64&lt;FT_First,0,IF(BK64&lt;FT_Y5,1+INT((BK64-FT_First)/FT_Int1),FT_PreY5+FT_PerYear*INT((BK64-FT_Y5)/12)+FT_AnnivDays+INT(MOD(BK64-FT_Y5,12)/FT_Int2)-IF(EDATE(AL64,FT_Y5)&lt;PolicyEff,FT_AnnivDays-1,0))),IF(AV64="PT",IF(BK64&lt;PT_First,0,1+INT((BK64-PT_First)/PT_Int)),0)),0))</f>
        <v/>
      </c>
      <c r="BM64" s="16" t="str">
        <f aca="false">IF(AK64=0,"",IF(AW64="FT",IF(AX64&lt;FT_First,"",IF(AX64&lt;FT_Y5,FT_First+FT_Int1*INT((AX64-FT_First)/FT_Int1),FT_Y5+FT_Int2*INT((AX64-FT_Y5)/FT_Int2))),IF(AW64="PT",IF(AX64&lt;PT_First,"",PT_First+PT_Int*INT((AX64-PT_First)/PT_Int)),"")))</f>
        <v/>
      </c>
      <c r="BN64" s="16" t="str">
        <f aca="false">IF(AK64=0,"",IF((SchemeStart-1)&lt;AL64,-1,12*(YEAR((SchemeStart-1))-YEAR(AL64))+MONTH((SchemeStart-1))-MONTH(AL64)-IF(DAY((SchemeStart-1))&lt;MIN(DAY(AL64),DAY(EOMONTH((SchemeStart-1),0))),1,0)))</f>
        <v/>
      </c>
      <c r="BO64" s="16" t="str">
        <f aca="false">IF(AK64=0,"",IF(OR(AM64&lt;2,AO64&gt;(SchemeStart-1)),BN64,IF((AO64-1)&lt;AL64,-1,12*(YEAR((AO64-1))-YEAR(AL64))+MONTH((AO64-1))-MONTH(AL64)-IF(DAY((AO64-1))&lt;MIN(DAY(AL64),DAY(EOMONTH((AO64-1),0))),1,0))))</f>
        <v/>
      </c>
      <c r="BP64" s="16" t="str">
        <f aca="false">IF(AK64=0,"",IF(OR(AM64&lt;3,AP64&gt;(SchemeStart-1)),BN64,IF((AP64-1)&lt;AL64,-1,12*(YEAR((AP64-1))-YEAR(AL64))+MONTH((AP64-1))-MONTH(AL64)-IF(DAY((AP64-1))&lt;MIN(DAY(AL64),DAY(EOMONTH((AP64-1),0))),1,0))))</f>
        <v/>
      </c>
      <c r="BQ64" s="16" t="str">
        <f aca="false">IF(AK64=0,"",IF(AT64="FT",IF(BO64&lt;FT_First,0,IF(BO64&lt;FT_Y5,1+INT((BO64-FT_First)/FT_Int1),FT_PreY5+FT_PerYear*INT((BO64-FT_Y5)/12)+FT_AnnivDays+INT(MOD(BO64-FT_Y5,12)/FT_Int2)-IF(EDATE(AL64,FT_Y5)&lt;PolicyEff,FT_AnnivDays-1,0))),IF(AT64="PT",IF(BO64&lt;PT_First,0,1+INT((BO64-PT_First)/PT_Int)),0))+IF(AND(AM64&gt;=2,AO64&lt;=(SchemeStart-1)),IF(AU64="FT",IF(BP64&lt;FT_First,0,IF(BP64&lt;FT_Y5,1+INT((BP64-FT_First)/FT_Int1),FT_PreY5+FT_PerYear*INT((BP64-FT_Y5)/12)+FT_AnnivDays+INT(MOD(BP64-FT_Y5,12)/FT_Int2)-IF(EDATE(AL64,FT_Y5)&lt;PolicyEff,FT_AnnivDays-1,0))),IF(AU64="PT",IF(BP64&lt;PT_First,0,1+INT((BP64-PT_First)/PT_Int)),0))-IF(AU64="FT",IF(BO64&lt;FT_First,0,IF(BO64&lt;FT_Y5,1+INT((BO64-FT_First)/FT_Int1),FT_PreY5+FT_PerYear*INT((BO64-FT_Y5)/12)+FT_AnnivDays+INT(MOD(BO64-FT_Y5,12)/FT_Int2)-IF(EDATE(AL64,FT_Y5)&lt;PolicyEff,FT_AnnivDays-1,0))),IF(AU64="PT",IF(BO64&lt;PT_First,0,1+INT((BO64-PT_First)/PT_Int)),0)),0)+IF(AND(AM64&gt;=3,AP64&lt;=(SchemeStart-1)),IF(AV64="FT",IF(BN64&lt;FT_First,0,IF(BN64&lt;FT_Y5,1+INT((BN64-FT_First)/FT_Int1),FT_PreY5+FT_PerYear*INT((BN64-FT_Y5)/12)+FT_AnnivDays+INT(MOD(BN64-FT_Y5,12)/FT_Int2)-IF(EDATE(AL64,FT_Y5)&lt;PolicyEff,FT_AnnivDays-1,0))),IF(AV64="PT",IF(BN64&lt;PT_First,0,1+INT((BN64-PT_First)/PT_Int)),0))-IF(AV64="FT",IF(BP64&lt;FT_First,0,IF(BP64&lt;FT_Y5,1+INT((BP64-FT_First)/FT_Int1),FT_PreY5+FT_PerYear*INT((BP64-FT_Y5)/12)+FT_AnnivDays+INT(MOD(BP64-FT_Y5,12)/FT_Int2)-IF(EDATE(AL64,FT_Y5)&lt;PolicyEff,FT_AnnivDays-1,0))),IF(AV64="PT",IF(BP64&lt;PT_First,0,1+INT((BP64-PT_First)/PT_Int)),0)),0))</f>
        <v/>
      </c>
      <c r="BR64" s="0" t="str">
        <f aca="false">IF(LEN($A64&amp;$B64)=0,"",$A64&amp;" "&amp;$B64)</f>
        <v/>
      </c>
    </row>
    <row r="65" customFormat="false" ht="15" hidden="false" customHeight="false" outlineLevel="0" collapsed="false">
      <c r="A65" s="12"/>
      <c r="B65" s="12"/>
      <c r="C65" s="12"/>
      <c r="D65" s="13"/>
      <c r="E65" s="14" t="str">
        <f aca="false">IF(OR(AK65=0,$D65=""),"",DATE(YEAR(AsOfDate)+IF(DATE(YEAR(AsOfDate),MONTH($D65),DAY($D65))&lt;=AsOfDate,1,0),MONTH($D65),DAY($D65)))</f>
        <v/>
      </c>
      <c r="F65" s="13"/>
      <c r="G65" s="13"/>
      <c r="H65" s="13"/>
      <c r="I65" s="13"/>
      <c r="J65" s="13"/>
      <c r="K65" s="14" t="str">
        <f aca="false">IF(AK65=0,"",DATE(YEAR(AsOfDate)+IF(DATE(YEAR(AsOfDate),MONTH(AL65),DAY(AL65))&lt;=AsOfDate,1,0),MONTH(AL65),DAY(AL65)))</f>
        <v/>
      </c>
      <c r="L65" s="15" t="str">
        <f aca="false">IF(AK65=0,"",ROUND((AsOfDate-AL65)/365.25,1))</f>
        <v/>
      </c>
      <c r="M65" s="16" t="str">
        <f aca="false">IF(AK65=0,"",IF(AsOfDate&lt;AL65,"-",DATEDIF(AL65,AsOfDate,"y")&amp;"y "&amp;DATEDIF(AL65,AsOfDate,"ym")&amp;"m "&amp;DATEDIF(AL65,AsOfDate,"md")&amp;"d"))</f>
        <v/>
      </c>
      <c r="N65" s="17" t="str">
        <f aca="false">IF(AK65=0,"",O65*HoursPerDay)</f>
        <v/>
      </c>
      <c r="O65" s="17" t="str">
        <f aca="false">IF(AK65=0,"",MAX(0,BD65-BQ65))</f>
        <v/>
      </c>
      <c r="P65" s="18"/>
      <c r="Q65" s="16" t="str">
        <f aca="false">IF(AK65=0,"",IF(AM65&lt;2,"",AQ65&amp;" to "&amp;AR65&amp;" on "&amp;TEXT(AO65,"dd/mm/yyyy")&amp;IF(AO65&gt;AsOfDate," (future)",IF(AT65=AU65,"",IF(AU65="None"," - STOPPED accruing",IF(AT65="None"," - commencement for Bonus Leave"," - pathway changed"))))&amp;IF(AM65&lt;3,"","; "&amp;AR65&amp;" to "&amp;AS65&amp;" on "&amp;TEXT(AP65,"dd/mm/yyyy")&amp;IF(AP65&gt;AsOfDate," (future)",IF(AU65=AV65,"",IF(AV65="None"," - STOPPED accruing",IF(AU65="None"," - commencement for Bonus Leave"," - pathway changed")))))))</f>
        <v/>
      </c>
      <c r="R65" s="16" t="str">
        <f aca="false">IF(AK65=0,"",IF(AW65="None",IF(O65&gt;0,"No longer accruing","Not eligible - "&amp;IF(AND(OR(ISNUMBER(SEARCH("part",$C65)),UPPER(TRIM($C65))="PT",UPPER(TRIM($C65))="PTE"),Apply2026="No"),"part-time (scheme is full-time only)",IF(AND(OR(ISNUMBER(SEARCH("part",$C65)),UPPER(TRIM($C65))="PT",UPPER(TRIM($C65))="PTE"),$P65&lt;&gt;"",N($P65)&lt;PT_MinHours),"under "&amp;PT_MinHours&amp;" hrs",IF(IF($C65="","",IF(OR(ISNUMBER(SEARCH("full",$C65)),UPPER(TRIM($C65))="FT",UPPER(TRIM($C65))="FTE"),"Full-Time",IF(OR(ISNUMBER(SEARCH("part",$C65)),UPPER(TRIM($C65))="PT",UPPER(TRIM($C65))="PTE"),"Part-Time",IF(OR(ISNUMBER(SEARCH("cas",$C65)),UPPER(TRIM($C65))="CAS"),"Casual","Unknown"))))="Unknown","type not recognised",$C65)))),IF(O65&gt;0,"Yes - Accrual Required","Not yet - from "&amp;TEXT(S65,"dd/mm/yyyy"))))</f>
        <v/>
      </c>
      <c r="S65" s="14" t="str">
        <f aca="false">IF(AK65=0,"",IF(AW65="None","",EDATE(AL65,BF65)))</f>
        <v/>
      </c>
      <c r="T65" s="17" t="str">
        <f aca="false">IF(AK65=0,"",IF(NOT(LH_Ready),"",IF($F65&gt;PFYDate,0,IF(LH_ColPeriod=0,W65-U65+V65,SUMIFS(INDEX(LH_Data,0,LH_ColAcc),INDEX(LH_Data,0,LH_ColFirst),$A65,INDEX(LH_Data,0,LH_ColSur),$B65,INDEX(LH_Data,0,LH_ColCat),BonusCat,INDEX(LH_Data,0,LH_ColPeriod),LH_OpenLabel)*UnitFactor))))</f>
        <v/>
      </c>
      <c r="U65" s="17" t="str">
        <f aca="false">IF(AK65=0,"",IF(NOT(LH_Ready),"",SUMIFS(INDEX(LH_Data,0,LH_ColAcc),INDEX(LH_Data,0,LH_ColFirst),$A65,INDEX(LH_Data,0,LH_ColSur),$B65,INDEX(LH_Data,0,LH_ColCat),BonusCat,INDEX(LH_Data,0,LH_ColStart),"&gt;="&amp;AL65)*UnitFactor))</f>
        <v/>
      </c>
      <c r="V65" s="17" t="str">
        <f aca="false">IF(AK65=0,"",IF(NOT(LH_Ready),"",SUMIFS(INDEX(LH_Data,0,LH_ColTaken),INDEX(LH_Data,0,LH_ColFirst),$A65,INDEX(LH_Data,0,LH_ColSur),$B65,INDEX(LH_Data,0,LH_ColCat),BonusCat,INDEX(LH_Data,0,LH_ColStart),"&gt;="&amp;AL65)*UnitFactor))</f>
        <v/>
      </c>
      <c r="W65" s="17" t="str">
        <f aca="false">IF(AK65=0,"",IF(NOT(LH_Ready),"",IF(BH65=0,0,INDEX(INDEX(LH_Data,0,LH_ColClose),BH65-1)*UnitFactor)))</f>
        <v/>
      </c>
      <c r="X65" s="17" t="str">
        <f aca="false">IF(AK65=0,"",(MAX(0,BD65-BQ65)-MAX(0,BE65-BQ65))*HoursPerDay)</f>
        <v/>
      </c>
      <c r="Y65" s="17" t="str">
        <f aca="false">IF(AK65=0,"",IF(NOT(LH_Ready),"",IF($AI65="Yes",N(AE65)*HoursPerDay-SUMIFS(INDEX(LH_Data,0,LH_ColAcc),INDEX(LH_Data,0,LH_ColFirst),$A65,INDEX(LH_Data,0,LH_ColSur),$B65,INDEX(LH_Data,0,LH_ColCat),BonusCat,INDEX(LH_Data,0,LH_ColStart),"&gt;="&amp;(EOMONTH(AsOfDate,-1)+1),INDEX(LH_Data,0,LH_ColStart),"&lt;="&amp;AsOfDate)*UnitFactor,IF(BG65=0,N65,N65-N(T65)-N(U65)))))</f>
        <v/>
      </c>
      <c r="Z65" s="16" t="str">
        <f aca="false">IF(OR(AK65=0,Y65=""),"",IF(Y65&gt;0,"Yes","No"))</f>
        <v/>
      </c>
      <c r="AA65" s="16" t="str">
        <f aca="false">IF(AK65=0,IF(LEN($A65&amp;$B65)=0,"","FIX INPUT - StartDate missing"),IF(AD65&lt;&gt;"","FIX INPUT - "&amp;AD65,IF(NOT(LH_Ready),"Paste Leave History export (Settings must show YES)",IF(AND($AI65="Yes",Y65&lt;=0),"OK - EH balance accepted to date"&amp;IF(N(AH65)&gt;0," (EH holds "&amp;AH65&amp;" hrs over the scheme)","")&amp;"; next day "&amp;TEXT(S65,"dd mmm yy")&amp;IF(N(AE65)&gt;0," ("&amp;AE65&amp;" day(s) for "&amp;UPPER(TEXT(AsOfDate,"mmm yyyy"))&amp;" already in EH)",""),IF(Y65&gt;0,"ACCRUE "&amp;ROUND(Y65,2)&amp;" hrs ("&amp;ROUND(Y65/HoursPerDay,2)&amp;" days): "&amp;IF(N(AE65)&gt;0,AE65&amp;" day(s) for "&amp;UPPER(TEXT(AsOfDate,"mmm yyyy"))&amp;" (milestone "&amp;UPPER(TEXT(AF65,"dd mmm yy"))&amp;")"&amp;IF(Y65/HoursPerDay&gt;AE65+0.001," + "&amp;ROUND(Y65/HoursPerDay-AE65,2)&amp;" day(s) catch-up from earlier months",""),"all catch-up from earlier months, nothing new this month")&amp;IF(BG65=0,"; no Bonus Leave in EH yet",""),IF(Y65&lt;0,"CHECK - EH accrued "&amp;ROUND(-Y65,2)&amp;" hrs more than policy since commencement",IF(N(W65)&gt;O65*HoursPerDay+0.01,"CHECK - EH balance "&amp;ROUND(W65-O65*HoursPerDay,2)&amp;" hrs more than policy entitlement",IF(O65&gt;0,"OK - nothing to add"&amp;IF(N(AE65)&gt;0," ("&amp;AE65&amp;" day(s) for "&amp;UPPER(TEXT(AsOfDate,"mmm yyyy"))&amp;" already in EH)",""),IF(AW65="None",R65,"Not yet - first day on "&amp;TEXT(S65,"dd/mm/yyyy"))))))))))</f>
        <v/>
      </c>
      <c r="AB65" s="17" t="str">
        <f aca="false">IF(OR(AK65=0,T65=""),"",MAX(0,BE65-BQ65)*HoursPerDay-T65)</f>
        <v/>
      </c>
      <c r="AC65" s="16" t="str">
        <f aca="false">IF(AK65=0,"",BG65)</f>
        <v/>
      </c>
      <c r="AD65" s="16" t="str">
        <f aca="false">IF(AK65=0,"",TRIM(IF(OR(ISTEXT($F65),ISTEXT($H65),ISTEXT($I65),ISTEXT($G65),ISTEXT($J65),ISTEXT($D65)),"A date is typed as text - retype it as dd/mm/yyyy. ","")&amp;IF(IF($C65="","",IF(OR(ISNUMBER(SEARCH("full",$C65)),UPPER(TRIM($C65))="FT",UPPER(TRIM($C65))="FTE"),"Full-Time",IF(OR(ISNUMBER(SEARCH("part",$C65)),UPPER(TRIM($C65))="PT",UPPER(TRIM($C65))="PTE"),"Part-Time",IF(OR(ISNUMBER(SEARCH("cas",$C65)),UPPER(TRIM($C65))="CAS"),"Casual","Unknown"))))="Unknown","EmploymentType not recognised - use Full-Time, Part-Time or Casual. ","")&amp;IF(AND(AM65&gt;=1,IF(AM65&gt;=3,AS65,IF(AM65=2,AR65,AQ65))&lt;&gt;IF($C65="","",IF(OR(ISNUMBER(SEARCH("full",$C65)),UPPER(TRIM($C65))="FT",UPPER(TRIM($C65))="FTE"),"Full-Time",IF(OR(ISNUMBER(SEARCH("part",$C65)),UPPER(TRIM($C65))="PT",UPPER(TRIM($C65))="PTE"),"Part-Time",IF(OR(ISNUMBER(SEARCH("cas",$C65)),UPPER(TRIM($C65))="CAS"),"Casual","Unknown"))))),"EmploymentType does not match latest start date ("&amp;IF(AM65&gt;=3,AS65,IF(AM65=2,AR65,AQ65))&amp;"). ","")&amp;IF(AND(AM65&gt;=1,AN65&lt;&gt;$F65),"Earliest type date should equal StartDate. ","")&amp;IF(AND(AM65&gt;=2,AN65=AO65),"Two types start on the same date. ","")&amp;IF(AND(OR(ISNUMBER(SEARCH("part",$C65)),UPPER(TRIM($C65))="PT",UPPER(TRIM($C65))="PTE"),$P65=""),"Part-time: enter PT Hrs/Week (blank = 24+). ","")))</f>
        <v/>
      </c>
      <c r="AE65" s="17" t="str">
        <f aca="false">IF(AK65=0,"",O65-MAX(0,BL65-BQ65))</f>
        <v/>
      </c>
      <c r="AF65" s="14" t="str">
        <f aca="false">IF(OR(AK65=0,AE65="",N(AE65)=0,BM65=""),"",EDATE(AL65,BM65))</f>
        <v/>
      </c>
      <c r="AG65" s="17" t="str">
        <f aca="false">IF(AK65=0,"",MIN(BD65,BQ65))</f>
        <v/>
      </c>
      <c r="AH65" s="17" t="str">
        <f aca="false">IF(AK65=0,"",IF(NOT(LH_Ready),"",IF(BG65=0,0,MAX(0,ROUND(N(T65)+N(U65)-N65,2)))))</f>
        <v/>
      </c>
      <c r="AI65" s="12"/>
      <c r="AJ65" s="12"/>
      <c r="AK65" s="16" t="n">
        <f aca="false">IF(OR(LEN($A65&amp;$B65)=0,$F65=""),0,1)</f>
        <v>0</v>
      </c>
      <c r="AL65" s="14" t="str">
        <f aca="false">IF(AK65=0,"",IF(PreSchemeCounts="No",MAX(SchemeStart,IF($J65&lt;&gt;"",$J65,IF(OR(CasualCounts="Yes",COUNT($G65:$I65)=0),$F65,IF(Apply2026="No",IF($I65="",$F65,$I65),IF(COUNT($H65:$I65)=0,$F65,MIN($H65:$I65)))))),IF($J65&lt;&gt;"",$J65,IF(OR(CasualCounts="Yes",COUNT($G65:$I65)=0),$F65,IF(Apply2026="No",IF($I65="",$F65,$I65),IF(COUNT($H65:$I65)=0,$F65,MIN($H65:$I65)))))))</f>
        <v/>
      </c>
      <c r="AM65" s="16" t="str">
        <f aca="false">IF(AK65=0,"",COUNT($G65:$I65))</f>
        <v/>
      </c>
      <c r="AN65" s="14" t="str">
        <f aca="false">IF(AK65=0,"",IFERROR(SMALL($G65:$I65,1),""))</f>
        <v/>
      </c>
      <c r="AO65" s="14" t="str">
        <f aca="false">IF(AK65=0,"",IFERROR(SMALL($G65:$I65,2),""))</f>
        <v/>
      </c>
      <c r="AP65" s="14" t="str">
        <f aca="false">IF(AK65=0,"",IFERROR(SMALL($G65:$I65,3),""))</f>
        <v/>
      </c>
      <c r="AQ65" s="16" t="str">
        <f aca="false">IF(AK65=0,"",IF(AN65="","",IF(AN65=$H65,"Part-Time",IF(AN65=$I65,"Full-Time","Casual"))))</f>
        <v/>
      </c>
      <c r="AR65" s="16" t="str">
        <f aca="false">IF(AK65=0,"",IF(AO65="","",IF(AO65=$H65,"Part-Time",IF(AO65=$I65,"Full-Time","Casual"))))</f>
        <v/>
      </c>
      <c r="AS65" s="16" t="str">
        <f aca="false">IF(AK65=0,"",IF(AP65="","",IF(AP65=$H65,"Part-Time",IF(AP65=$I65,"Full-Time","Casual"))))</f>
        <v/>
      </c>
      <c r="AT65" s="16" t="str">
        <f aca="false">IF(AK65=0,"",IF(AM65=0,IF(OR(ISNUMBER(SEARCH("full",$C65)),UPPER(TRIM($C65))="FT",UPPER(TRIM($C65))="FTE"),"FT",IF(AND(OR(ISNUMBER(SEARCH("part",$C65)),UPPER(TRIM($C65))="PT",UPPER(TRIM($C65))="PTE"),Apply2026="Yes",OR($P65="",N($P65)&gt;=PT_MinHours)),"PT","None")),IF(OR(ISNUMBER(SEARCH("full",AQ65)),UPPER(TRIM(AQ65))="FT",UPPER(TRIM(AQ65))="FTE"),"FT",IF(AND(OR(ISNUMBER(SEARCH("part",AQ65)),UPPER(TRIM(AQ65))="PT",UPPER(TRIM(AQ65))="PTE"),Apply2026="Yes",OR($P65="",N($P65)&gt;=PT_MinHours)),"PT","None"))))</f>
        <v/>
      </c>
      <c r="AU65" s="16" t="str">
        <f aca="false">IF(AK65=0,"",IF(AM65&lt;2,"",IF(OR(ISNUMBER(SEARCH("full",AR65)),UPPER(TRIM(AR65))="FT",UPPER(TRIM(AR65))="FTE"),"FT",IF(AND(OR(ISNUMBER(SEARCH("part",AR65)),UPPER(TRIM(AR65))="PT",UPPER(TRIM(AR65))="PTE"),Apply2026="Yes",OR($P65="",N($P65)&gt;=PT_MinHours)),"PT","None"))))</f>
        <v/>
      </c>
      <c r="AV65" s="16" t="str">
        <f aca="false">IF(AK65=0,"",IF(AM65&lt;3,"",IF(OR(ISNUMBER(SEARCH("full",AS65)),UPPER(TRIM(AS65))="FT",UPPER(TRIM(AS65))="FTE"),"FT",IF(AND(OR(ISNUMBER(SEARCH("part",AS65)),UPPER(TRIM(AS65))="PT",UPPER(TRIM(AS65))="PTE"),Apply2026="Yes",OR($P65="",N($P65)&gt;=PT_MinHours)),"PT","None"))))</f>
        <v/>
      </c>
      <c r="AW65" s="16" t="str">
        <f aca="false">IF(AK65=0,"",IF(AND(AM65&gt;=3,AP65&lt;=AsOfDate),AV65,IF(AND(AM65&gt;=2,AO65&lt;=AsOfDate),AU65,AT65)))</f>
        <v/>
      </c>
      <c r="AX65" s="16" t="str">
        <f aca="false">IF(AK65=0,"",IF(AsOfDate&lt;AL65,-1,12*(YEAR(AsOfDate)-YEAR(AL65))+MONTH(AsOfDate)-MONTH(AL65)-IF(DAY(AsOfDate)&lt;MIN(DAY(AL65),DAY(EOMONTH(AsOfDate,0))),1,0)))</f>
        <v/>
      </c>
      <c r="AY65" s="16" t="str">
        <f aca="false">IF(AK65=0,"",IF(OR(AM65&lt;2,AO65&gt;AsOfDate),AX65,IF((AO65-1)&lt;AL65,-1,12*(YEAR((AO65-1))-YEAR(AL65))+MONTH((AO65-1))-MONTH(AL65)-IF(DAY((AO65-1))&lt;MIN(DAY(AL65),DAY(EOMONTH((AO65-1),0))),1,0))))</f>
        <v/>
      </c>
      <c r="AZ65" s="16" t="str">
        <f aca="false">IF(AK65=0,"",IF(OR(AM65&lt;3,AP65&gt;AsOfDate),AX65,IF((AP65-1)&lt;AL65,-1,12*(YEAR((AP65-1))-YEAR(AL65))+MONTH((AP65-1))-MONTH(AL65)-IF(DAY((AP65-1))&lt;MIN(DAY(AL65),DAY(EOMONTH((AP65-1),0))),1,0))))</f>
        <v/>
      </c>
      <c r="BA65" s="16" t="str">
        <f aca="false">IF(AK65=0,"",IF(PFYDate&lt;AL65,-1,12*(YEAR(PFYDate)-YEAR(AL65))+MONTH(PFYDate)-MONTH(AL65)-IF(DAY(PFYDate)&lt;MIN(DAY(AL65),DAY(EOMONTH(PFYDate,0))),1,0)))</f>
        <v/>
      </c>
      <c r="BB65" s="16" t="str">
        <f aca="false">IF(AK65=0,"",IF(OR(AM65&lt;2,AO65&gt;PFYDate),BA65,IF((AO65-1)&lt;AL65,-1,12*(YEAR((AO65-1))-YEAR(AL65))+MONTH((AO65-1))-MONTH(AL65)-IF(DAY((AO65-1))&lt;MIN(DAY(AL65),DAY(EOMONTH((AO65-1),0))),1,0))))</f>
        <v/>
      </c>
      <c r="BC65" s="16" t="str">
        <f aca="false">IF(AK65=0,"",IF(OR(AM65&lt;3,AP65&gt;PFYDate),BA65,IF((AP65-1)&lt;AL65,-1,12*(YEAR((AP65-1))-YEAR(AL65))+MONTH((AP65-1))-MONTH(AL65)-IF(DAY((AP65-1))&lt;MIN(DAY(AL65),DAY(EOMONTH((AP65-1),0))),1,0))))</f>
        <v/>
      </c>
      <c r="BD65" s="16" t="str">
        <f aca="false">IF(AK65=0,"",IF(AT65="FT",IF(AY65&lt;FT_First,0,IF(AY65&lt;FT_Y5,1+INT((AY65-FT_First)/FT_Int1),FT_PreY5+FT_PerYear*INT((AY65-FT_Y5)/12)+FT_AnnivDays+INT(MOD(AY65-FT_Y5,12)/FT_Int2)-IF(EDATE(AL65,FT_Y5)&lt;PolicyEff,FT_AnnivDays-1,0))),IF(AT65="PT",IF(AY65&lt;PT_First,0,1+INT((AY65-PT_First)/PT_Int)),0))+IF(AND(AM65&gt;=2,AO65&lt;=AsOfDate),IF(AU65="FT",IF(AZ65&lt;FT_First,0,IF(AZ65&lt;FT_Y5,1+INT((AZ65-FT_First)/FT_Int1),FT_PreY5+FT_PerYear*INT((AZ65-FT_Y5)/12)+FT_AnnivDays+INT(MOD(AZ65-FT_Y5,12)/FT_Int2)-IF(EDATE(AL65,FT_Y5)&lt;PolicyEff,FT_AnnivDays-1,0))),IF(AU65="PT",IF(AZ65&lt;PT_First,0,1+INT((AZ65-PT_First)/PT_Int)),0))-IF(AU65="FT",IF(AY65&lt;FT_First,0,IF(AY65&lt;FT_Y5,1+INT((AY65-FT_First)/FT_Int1),FT_PreY5+FT_PerYear*INT((AY65-FT_Y5)/12)+FT_AnnivDays+INT(MOD(AY65-FT_Y5,12)/FT_Int2)-IF(EDATE(AL65,FT_Y5)&lt;PolicyEff,FT_AnnivDays-1,0))),IF(AU65="PT",IF(AY65&lt;PT_First,0,1+INT((AY65-PT_First)/PT_Int)),0)),0)+IF(AND(AM65&gt;=3,AP65&lt;=AsOfDate),IF(AV65="FT",IF(AX65&lt;FT_First,0,IF(AX65&lt;FT_Y5,1+INT((AX65-FT_First)/FT_Int1),FT_PreY5+FT_PerYear*INT((AX65-FT_Y5)/12)+FT_AnnivDays+INT(MOD(AX65-FT_Y5,12)/FT_Int2)-IF(EDATE(AL65,FT_Y5)&lt;PolicyEff,FT_AnnivDays-1,0))),IF(AV65="PT",IF(AX65&lt;PT_First,0,1+INT((AX65-PT_First)/PT_Int)),0))-IF(AV65="FT",IF(AZ65&lt;FT_First,0,IF(AZ65&lt;FT_Y5,1+INT((AZ65-FT_First)/FT_Int1),FT_PreY5+FT_PerYear*INT((AZ65-FT_Y5)/12)+FT_AnnivDays+INT(MOD(AZ65-FT_Y5,12)/FT_Int2)-IF(EDATE(AL65,FT_Y5)&lt;PolicyEff,FT_AnnivDays-1,0))),IF(AV65="PT",IF(AZ65&lt;PT_First,0,1+INT((AZ65-PT_First)/PT_Int)),0)),0))</f>
        <v/>
      </c>
      <c r="BE65" s="16" t="str">
        <f aca="false">IF(AK65=0,"",IF(AT65="FT",IF(BB65&lt;FT_First,0,IF(BB65&lt;FT_Y5,1+INT((BB65-FT_First)/FT_Int1),FT_PreY5+FT_PerYear*INT((BB65-FT_Y5)/12)+FT_AnnivDays+INT(MOD(BB65-FT_Y5,12)/FT_Int2)-IF(EDATE(AL65,FT_Y5)&lt;PolicyEff,FT_AnnivDays-1,0))),IF(AT65="PT",IF(BB65&lt;PT_First,0,1+INT((BB65-PT_First)/PT_Int)),0))+IF(AND(AM65&gt;=2,AO65&lt;=PFYDate),IF(AU65="FT",IF(BC65&lt;FT_First,0,IF(BC65&lt;FT_Y5,1+INT((BC65-FT_First)/FT_Int1),FT_PreY5+FT_PerYear*INT((BC65-FT_Y5)/12)+FT_AnnivDays+INT(MOD(BC65-FT_Y5,12)/FT_Int2)-IF(EDATE(AL65,FT_Y5)&lt;PolicyEff,FT_AnnivDays-1,0))),IF(AU65="PT",IF(BC65&lt;PT_First,0,1+INT((BC65-PT_First)/PT_Int)),0))-IF(AU65="FT",IF(BB65&lt;FT_First,0,IF(BB65&lt;FT_Y5,1+INT((BB65-FT_First)/FT_Int1),FT_PreY5+FT_PerYear*INT((BB65-FT_Y5)/12)+FT_AnnivDays+INT(MOD(BB65-FT_Y5,12)/FT_Int2)-IF(EDATE(AL65,FT_Y5)&lt;PolicyEff,FT_AnnivDays-1,0))),IF(AU65="PT",IF(BB65&lt;PT_First,0,1+INT((BB65-PT_First)/PT_Int)),0)),0)+IF(AND(AM65&gt;=3,AP65&lt;=PFYDate),IF(AV65="FT",IF(BA65&lt;FT_First,0,IF(BA65&lt;FT_Y5,1+INT((BA65-FT_First)/FT_Int1),FT_PreY5+FT_PerYear*INT((BA65-FT_Y5)/12)+FT_AnnivDays+INT(MOD(BA65-FT_Y5,12)/FT_Int2)-IF(EDATE(AL65,FT_Y5)&lt;PolicyEff,FT_AnnivDays-1,0))),IF(AV65="PT",IF(BA65&lt;PT_First,0,1+INT((BA65-PT_First)/PT_Int)),0))-IF(AV65="FT",IF(BC65&lt;FT_First,0,IF(BC65&lt;FT_Y5,1+INT((BC65-FT_First)/FT_Int1),FT_PreY5+FT_PerYear*INT((BC65-FT_Y5)/12)+FT_AnnivDays+INT(MOD(BC65-FT_Y5,12)/FT_Int2)-IF(EDATE(AL65,FT_Y5)&lt;PolicyEff,FT_AnnivDays-1,0))),IF(AV65="PT",IF(BC65&lt;PT_First,0,1+INT((BC65-PT_First)/PT_Int)),0)),0))</f>
        <v/>
      </c>
      <c r="BF65" s="16" t="str">
        <f aca="false">IF(AK65=0,"",IF(AW65="FT",IF(AX65&lt;FT_First,FT_First,IF(AX65&lt;FT_Y5,MIN(FT_Y5,FT_First+FT_Int1*(INT((AX65-FT_First)/FT_Int1)+1)),FT_Y5+12*INT((AX65-FT_Y5)/12)+FT_Int2*(INT(MOD(AX65-FT_Y5,12)/FT_Int2)+1))),IF(AW65="PT",IF(AX65&lt;PT_First,PT_First,PT_First+PT_Int*(INT((AX65-PT_First)/PT_Int)+1)),"")))</f>
        <v/>
      </c>
      <c r="BG65" s="16" t="str">
        <f aca="false">IF(AK65=0,"",IF(NOT(LH_Ready),0,COUNTIFS(INDEX(LH_Data,0,LH_ColFirst),$A65,INDEX(LH_Data,0,LH_ColSur),$B65,INDEX(LH_Data,0,LH_ColCat),BonusCat)))</f>
        <v/>
      </c>
      <c r="BH65" s="16" t="str">
        <f aca="false">IF(AK65=0,"",IF(OR(NOT(LH_Ready),BG65=0),0,SUMPRODUCT(MAX((INDEX(LH_Data,0,LH_ColFirst)=$A65)*(INDEX(LH_Data,0,LH_ColSur)=$B65)*(INDEX(LH_Data,0,LH_ColCat)=BonusCat)*ROW(LH_Data)))))</f>
        <v/>
      </c>
      <c r="BI65" s="16" t="str">
        <f aca="false">IF(AK65=0,"",IF(EOMONTH(AsOfDate,-1)&lt;AL65,-1,12*(YEAR(EOMONTH(AsOfDate,-1))-YEAR(AL65))+MONTH(EOMONTH(AsOfDate,-1))-MONTH(AL65)-IF(DAY(EOMONTH(AsOfDate,-1))&lt;MIN(DAY(AL65),DAY(EOMONTH(EOMONTH(AsOfDate,-1),0))),1,0)))</f>
        <v/>
      </c>
      <c r="BJ65" s="16" t="str">
        <f aca="false">IF(AK65=0,"",IF(OR(AM65&lt;2,AO65&gt;EOMONTH(AsOfDate,-1)),BI65,IF((AO65-1)&lt;AL65,-1,12*(YEAR((AO65-1))-YEAR(AL65))+MONTH((AO65-1))-MONTH(AL65)-IF(DAY((AO65-1))&lt;MIN(DAY(AL65),DAY(EOMONTH((AO65-1),0))),1,0))))</f>
        <v/>
      </c>
      <c r="BK65" s="16" t="str">
        <f aca="false">IF(AK65=0,"",IF(OR(AM65&lt;3,AP65&gt;EOMONTH(AsOfDate,-1)),BI65,IF((AP65-1)&lt;AL65,-1,12*(YEAR((AP65-1))-YEAR(AL65))+MONTH((AP65-1))-MONTH(AL65)-IF(DAY((AP65-1))&lt;MIN(DAY(AL65),DAY(EOMONTH((AP65-1),0))),1,0))))</f>
        <v/>
      </c>
      <c r="BL65" s="16" t="str">
        <f aca="false">IF(AK65=0,"",IF(AT65="FT",IF(BJ65&lt;FT_First,0,IF(BJ65&lt;FT_Y5,1+INT((BJ65-FT_First)/FT_Int1),FT_PreY5+FT_PerYear*INT((BJ65-FT_Y5)/12)+FT_AnnivDays+INT(MOD(BJ65-FT_Y5,12)/FT_Int2)-IF(EDATE(AL65,FT_Y5)&lt;PolicyEff,FT_AnnivDays-1,0))),IF(AT65="PT",IF(BJ65&lt;PT_First,0,1+INT((BJ65-PT_First)/PT_Int)),0))+IF(AND(AM65&gt;=2,AO65&lt;=EOMONTH(AsOfDate,-1)),IF(AU65="FT",IF(BK65&lt;FT_First,0,IF(BK65&lt;FT_Y5,1+INT((BK65-FT_First)/FT_Int1),FT_PreY5+FT_PerYear*INT((BK65-FT_Y5)/12)+FT_AnnivDays+INT(MOD(BK65-FT_Y5,12)/FT_Int2)-IF(EDATE(AL65,FT_Y5)&lt;PolicyEff,FT_AnnivDays-1,0))),IF(AU65="PT",IF(BK65&lt;PT_First,0,1+INT((BK65-PT_First)/PT_Int)),0))-IF(AU65="FT",IF(BJ65&lt;FT_First,0,IF(BJ65&lt;FT_Y5,1+INT((BJ65-FT_First)/FT_Int1),FT_PreY5+FT_PerYear*INT((BJ65-FT_Y5)/12)+FT_AnnivDays+INT(MOD(BJ65-FT_Y5,12)/FT_Int2)-IF(EDATE(AL65,FT_Y5)&lt;PolicyEff,FT_AnnivDays-1,0))),IF(AU65="PT",IF(BJ65&lt;PT_First,0,1+INT((BJ65-PT_First)/PT_Int)),0)),0)+IF(AND(AM65&gt;=3,AP65&lt;=EOMONTH(AsOfDate,-1)),IF(AV65="FT",IF(BI65&lt;FT_First,0,IF(BI65&lt;FT_Y5,1+INT((BI65-FT_First)/FT_Int1),FT_PreY5+FT_PerYear*INT((BI65-FT_Y5)/12)+FT_AnnivDays+INT(MOD(BI65-FT_Y5,12)/FT_Int2)-IF(EDATE(AL65,FT_Y5)&lt;PolicyEff,FT_AnnivDays-1,0))),IF(AV65="PT",IF(BI65&lt;PT_First,0,1+INT((BI65-PT_First)/PT_Int)),0))-IF(AV65="FT",IF(BK65&lt;FT_First,0,IF(BK65&lt;FT_Y5,1+INT((BK65-FT_First)/FT_Int1),FT_PreY5+FT_PerYear*INT((BK65-FT_Y5)/12)+FT_AnnivDays+INT(MOD(BK65-FT_Y5,12)/FT_Int2)-IF(EDATE(AL65,FT_Y5)&lt;PolicyEff,FT_AnnivDays-1,0))),IF(AV65="PT",IF(BK65&lt;PT_First,0,1+INT((BK65-PT_First)/PT_Int)),0)),0))</f>
        <v/>
      </c>
      <c r="BM65" s="16" t="str">
        <f aca="false">IF(AK65=0,"",IF(AW65="FT",IF(AX65&lt;FT_First,"",IF(AX65&lt;FT_Y5,FT_First+FT_Int1*INT((AX65-FT_First)/FT_Int1),FT_Y5+FT_Int2*INT((AX65-FT_Y5)/FT_Int2))),IF(AW65="PT",IF(AX65&lt;PT_First,"",PT_First+PT_Int*INT((AX65-PT_First)/PT_Int)),"")))</f>
        <v/>
      </c>
      <c r="BN65" s="16" t="str">
        <f aca="false">IF(AK65=0,"",IF((SchemeStart-1)&lt;AL65,-1,12*(YEAR((SchemeStart-1))-YEAR(AL65))+MONTH((SchemeStart-1))-MONTH(AL65)-IF(DAY((SchemeStart-1))&lt;MIN(DAY(AL65),DAY(EOMONTH((SchemeStart-1),0))),1,0)))</f>
        <v/>
      </c>
      <c r="BO65" s="16" t="str">
        <f aca="false">IF(AK65=0,"",IF(OR(AM65&lt;2,AO65&gt;(SchemeStart-1)),BN65,IF((AO65-1)&lt;AL65,-1,12*(YEAR((AO65-1))-YEAR(AL65))+MONTH((AO65-1))-MONTH(AL65)-IF(DAY((AO65-1))&lt;MIN(DAY(AL65),DAY(EOMONTH((AO65-1),0))),1,0))))</f>
        <v/>
      </c>
      <c r="BP65" s="16" t="str">
        <f aca="false">IF(AK65=0,"",IF(OR(AM65&lt;3,AP65&gt;(SchemeStart-1)),BN65,IF((AP65-1)&lt;AL65,-1,12*(YEAR((AP65-1))-YEAR(AL65))+MONTH((AP65-1))-MONTH(AL65)-IF(DAY((AP65-1))&lt;MIN(DAY(AL65),DAY(EOMONTH((AP65-1),0))),1,0))))</f>
        <v/>
      </c>
      <c r="BQ65" s="16" t="str">
        <f aca="false">IF(AK65=0,"",IF(AT65="FT",IF(BO65&lt;FT_First,0,IF(BO65&lt;FT_Y5,1+INT((BO65-FT_First)/FT_Int1),FT_PreY5+FT_PerYear*INT((BO65-FT_Y5)/12)+FT_AnnivDays+INT(MOD(BO65-FT_Y5,12)/FT_Int2)-IF(EDATE(AL65,FT_Y5)&lt;PolicyEff,FT_AnnivDays-1,0))),IF(AT65="PT",IF(BO65&lt;PT_First,0,1+INT((BO65-PT_First)/PT_Int)),0))+IF(AND(AM65&gt;=2,AO65&lt;=(SchemeStart-1)),IF(AU65="FT",IF(BP65&lt;FT_First,0,IF(BP65&lt;FT_Y5,1+INT((BP65-FT_First)/FT_Int1),FT_PreY5+FT_PerYear*INT((BP65-FT_Y5)/12)+FT_AnnivDays+INT(MOD(BP65-FT_Y5,12)/FT_Int2)-IF(EDATE(AL65,FT_Y5)&lt;PolicyEff,FT_AnnivDays-1,0))),IF(AU65="PT",IF(BP65&lt;PT_First,0,1+INT((BP65-PT_First)/PT_Int)),0))-IF(AU65="FT",IF(BO65&lt;FT_First,0,IF(BO65&lt;FT_Y5,1+INT((BO65-FT_First)/FT_Int1),FT_PreY5+FT_PerYear*INT((BO65-FT_Y5)/12)+FT_AnnivDays+INT(MOD(BO65-FT_Y5,12)/FT_Int2)-IF(EDATE(AL65,FT_Y5)&lt;PolicyEff,FT_AnnivDays-1,0))),IF(AU65="PT",IF(BO65&lt;PT_First,0,1+INT((BO65-PT_First)/PT_Int)),0)),0)+IF(AND(AM65&gt;=3,AP65&lt;=(SchemeStart-1)),IF(AV65="FT",IF(BN65&lt;FT_First,0,IF(BN65&lt;FT_Y5,1+INT((BN65-FT_First)/FT_Int1),FT_PreY5+FT_PerYear*INT((BN65-FT_Y5)/12)+FT_AnnivDays+INT(MOD(BN65-FT_Y5,12)/FT_Int2)-IF(EDATE(AL65,FT_Y5)&lt;PolicyEff,FT_AnnivDays-1,0))),IF(AV65="PT",IF(BN65&lt;PT_First,0,1+INT((BN65-PT_First)/PT_Int)),0))-IF(AV65="FT",IF(BP65&lt;FT_First,0,IF(BP65&lt;FT_Y5,1+INT((BP65-FT_First)/FT_Int1),FT_PreY5+FT_PerYear*INT((BP65-FT_Y5)/12)+FT_AnnivDays+INT(MOD(BP65-FT_Y5,12)/FT_Int2)-IF(EDATE(AL65,FT_Y5)&lt;PolicyEff,FT_AnnivDays-1,0))),IF(AV65="PT",IF(BP65&lt;PT_First,0,1+INT((BP65-PT_First)/PT_Int)),0)),0))</f>
        <v/>
      </c>
      <c r="BR65" s="0" t="str">
        <f aca="false">IF(LEN($A65&amp;$B65)=0,"",$A65&amp;" "&amp;$B65)</f>
        <v/>
      </c>
    </row>
    <row r="66" customFormat="false" ht="15" hidden="false" customHeight="false" outlineLevel="0" collapsed="false">
      <c r="A66" s="12"/>
      <c r="B66" s="12"/>
      <c r="C66" s="12"/>
      <c r="D66" s="13"/>
      <c r="E66" s="14" t="str">
        <f aca="false">IF(OR(AK66=0,$D66=""),"",DATE(YEAR(AsOfDate)+IF(DATE(YEAR(AsOfDate),MONTH($D66),DAY($D66))&lt;=AsOfDate,1,0),MONTH($D66),DAY($D66)))</f>
        <v/>
      </c>
      <c r="F66" s="13"/>
      <c r="G66" s="13"/>
      <c r="H66" s="13"/>
      <c r="I66" s="13"/>
      <c r="J66" s="13"/>
      <c r="K66" s="14" t="str">
        <f aca="false">IF(AK66=0,"",DATE(YEAR(AsOfDate)+IF(DATE(YEAR(AsOfDate),MONTH(AL66),DAY(AL66))&lt;=AsOfDate,1,0),MONTH(AL66),DAY(AL66)))</f>
        <v/>
      </c>
      <c r="L66" s="15" t="str">
        <f aca="false">IF(AK66=0,"",ROUND((AsOfDate-AL66)/365.25,1))</f>
        <v/>
      </c>
      <c r="M66" s="16" t="str">
        <f aca="false">IF(AK66=0,"",IF(AsOfDate&lt;AL66,"-",DATEDIF(AL66,AsOfDate,"y")&amp;"y "&amp;DATEDIF(AL66,AsOfDate,"ym")&amp;"m "&amp;DATEDIF(AL66,AsOfDate,"md")&amp;"d"))</f>
        <v/>
      </c>
      <c r="N66" s="17" t="str">
        <f aca="false">IF(AK66=0,"",O66*HoursPerDay)</f>
        <v/>
      </c>
      <c r="O66" s="17" t="str">
        <f aca="false">IF(AK66=0,"",MAX(0,BD66-BQ66))</f>
        <v/>
      </c>
      <c r="P66" s="18"/>
      <c r="Q66" s="16" t="str">
        <f aca="false">IF(AK66=0,"",IF(AM66&lt;2,"",AQ66&amp;" to "&amp;AR66&amp;" on "&amp;TEXT(AO66,"dd/mm/yyyy")&amp;IF(AO66&gt;AsOfDate," (future)",IF(AT66=AU66,"",IF(AU66="None"," - STOPPED accruing",IF(AT66="None"," - commencement for Bonus Leave"," - pathway changed"))))&amp;IF(AM66&lt;3,"","; "&amp;AR66&amp;" to "&amp;AS66&amp;" on "&amp;TEXT(AP66,"dd/mm/yyyy")&amp;IF(AP66&gt;AsOfDate," (future)",IF(AU66=AV66,"",IF(AV66="None"," - STOPPED accruing",IF(AU66="None"," - commencement for Bonus Leave"," - pathway changed")))))))</f>
        <v/>
      </c>
      <c r="R66" s="16" t="str">
        <f aca="false">IF(AK66=0,"",IF(AW66="None",IF(O66&gt;0,"No longer accruing","Not eligible - "&amp;IF(AND(OR(ISNUMBER(SEARCH("part",$C66)),UPPER(TRIM($C66))="PT",UPPER(TRIM($C66))="PTE"),Apply2026="No"),"part-time (scheme is full-time only)",IF(AND(OR(ISNUMBER(SEARCH("part",$C66)),UPPER(TRIM($C66))="PT",UPPER(TRIM($C66))="PTE"),$P66&lt;&gt;"",N($P66)&lt;PT_MinHours),"under "&amp;PT_MinHours&amp;" hrs",IF(IF($C66="","",IF(OR(ISNUMBER(SEARCH("full",$C66)),UPPER(TRIM($C66))="FT",UPPER(TRIM($C66))="FTE"),"Full-Time",IF(OR(ISNUMBER(SEARCH("part",$C66)),UPPER(TRIM($C66))="PT",UPPER(TRIM($C66))="PTE"),"Part-Time",IF(OR(ISNUMBER(SEARCH("cas",$C66)),UPPER(TRIM($C66))="CAS"),"Casual","Unknown"))))="Unknown","type not recognised",$C66)))),IF(O66&gt;0,"Yes - Accrual Required","Not yet - from "&amp;TEXT(S66,"dd/mm/yyyy"))))</f>
        <v/>
      </c>
      <c r="S66" s="14" t="str">
        <f aca="false">IF(AK66=0,"",IF(AW66="None","",EDATE(AL66,BF66)))</f>
        <v/>
      </c>
      <c r="T66" s="17" t="str">
        <f aca="false">IF(AK66=0,"",IF(NOT(LH_Ready),"",IF($F66&gt;PFYDate,0,IF(LH_ColPeriod=0,W66-U66+V66,SUMIFS(INDEX(LH_Data,0,LH_ColAcc),INDEX(LH_Data,0,LH_ColFirst),$A66,INDEX(LH_Data,0,LH_ColSur),$B66,INDEX(LH_Data,0,LH_ColCat),BonusCat,INDEX(LH_Data,0,LH_ColPeriod),LH_OpenLabel)*UnitFactor))))</f>
        <v/>
      </c>
      <c r="U66" s="17" t="str">
        <f aca="false">IF(AK66=0,"",IF(NOT(LH_Ready),"",SUMIFS(INDEX(LH_Data,0,LH_ColAcc),INDEX(LH_Data,0,LH_ColFirst),$A66,INDEX(LH_Data,0,LH_ColSur),$B66,INDEX(LH_Data,0,LH_ColCat),BonusCat,INDEX(LH_Data,0,LH_ColStart),"&gt;="&amp;AL66)*UnitFactor))</f>
        <v/>
      </c>
      <c r="V66" s="17" t="str">
        <f aca="false">IF(AK66=0,"",IF(NOT(LH_Ready),"",SUMIFS(INDEX(LH_Data,0,LH_ColTaken),INDEX(LH_Data,0,LH_ColFirst),$A66,INDEX(LH_Data,0,LH_ColSur),$B66,INDEX(LH_Data,0,LH_ColCat),BonusCat,INDEX(LH_Data,0,LH_ColStart),"&gt;="&amp;AL66)*UnitFactor))</f>
        <v/>
      </c>
      <c r="W66" s="17" t="str">
        <f aca="false">IF(AK66=0,"",IF(NOT(LH_Ready),"",IF(BH66=0,0,INDEX(INDEX(LH_Data,0,LH_ColClose),BH66-1)*UnitFactor)))</f>
        <v/>
      </c>
      <c r="X66" s="17" t="str">
        <f aca="false">IF(AK66=0,"",(MAX(0,BD66-BQ66)-MAX(0,BE66-BQ66))*HoursPerDay)</f>
        <v/>
      </c>
      <c r="Y66" s="17" t="str">
        <f aca="false">IF(AK66=0,"",IF(NOT(LH_Ready),"",IF($AI66="Yes",N(AE66)*HoursPerDay-SUMIFS(INDEX(LH_Data,0,LH_ColAcc),INDEX(LH_Data,0,LH_ColFirst),$A66,INDEX(LH_Data,0,LH_ColSur),$B66,INDEX(LH_Data,0,LH_ColCat),BonusCat,INDEX(LH_Data,0,LH_ColStart),"&gt;="&amp;(EOMONTH(AsOfDate,-1)+1),INDEX(LH_Data,0,LH_ColStart),"&lt;="&amp;AsOfDate)*UnitFactor,IF(BG66=0,N66,N66-N(T66)-N(U66)))))</f>
        <v/>
      </c>
      <c r="Z66" s="16" t="str">
        <f aca="false">IF(OR(AK66=0,Y66=""),"",IF(Y66&gt;0,"Yes","No"))</f>
        <v/>
      </c>
      <c r="AA66" s="16" t="str">
        <f aca="false">IF(AK66=0,IF(LEN($A66&amp;$B66)=0,"","FIX INPUT - StartDate missing"),IF(AD66&lt;&gt;"","FIX INPUT - "&amp;AD66,IF(NOT(LH_Ready),"Paste Leave History export (Settings must show YES)",IF(AND($AI66="Yes",Y66&lt;=0),"OK - EH balance accepted to date"&amp;IF(N(AH66)&gt;0," (EH holds "&amp;AH66&amp;" hrs over the scheme)","")&amp;"; next day "&amp;TEXT(S66,"dd mmm yy")&amp;IF(N(AE66)&gt;0," ("&amp;AE66&amp;" day(s) for "&amp;UPPER(TEXT(AsOfDate,"mmm yyyy"))&amp;" already in EH)",""),IF(Y66&gt;0,"ACCRUE "&amp;ROUND(Y66,2)&amp;" hrs ("&amp;ROUND(Y66/HoursPerDay,2)&amp;" days): "&amp;IF(N(AE66)&gt;0,AE66&amp;" day(s) for "&amp;UPPER(TEXT(AsOfDate,"mmm yyyy"))&amp;" (milestone "&amp;UPPER(TEXT(AF66,"dd mmm yy"))&amp;")"&amp;IF(Y66/HoursPerDay&gt;AE66+0.001," + "&amp;ROUND(Y66/HoursPerDay-AE66,2)&amp;" day(s) catch-up from earlier months",""),"all catch-up from earlier months, nothing new this month")&amp;IF(BG66=0,"; no Bonus Leave in EH yet",""),IF(Y66&lt;0,"CHECK - EH accrued "&amp;ROUND(-Y66,2)&amp;" hrs more than policy since commencement",IF(N(W66)&gt;O66*HoursPerDay+0.01,"CHECK - EH balance "&amp;ROUND(W66-O66*HoursPerDay,2)&amp;" hrs more than policy entitlement",IF(O66&gt;0,"OK - nothing to add"&amp;IF(N(AE66)&gt;0," ("&amp;AE66&amp;" day(s) for "&amp;UPPER(TEXT(AsOfDate,"mmm yyyy"))&amp;" already in EH)",""),IF(AW66="None",R66,"Not yet - first day on "&amp;TEXT(S66,"dd/mm/yyyy"))))))))))</f>
        <v/>
      </c>
      <c r="AB66" s="17" t="str">
        <f aca="false">IF(OR(AK66=0,T66=""),"",MAX(0,BE66-BQ66)*HoursPerDay-T66)</f>
        <v/>
      </c>
      <c r="AC66" s="16" t="str">
        <f aca="false">IF(AK66=0,"",BG66)</f>
        <v/>
      </c>
      <c r="AD66" s="16" t="str">
        <f aca="false">IF(AK66=0,"",TRIM(IF(OR(ISTEXT($F66),ISTEXT($H66),ISTEXT($I66),ISTEXT($G66),ISTEXT($J66),ISTEXT($D66)),"A date is typed as text - retype it as dd/mm/yyyy. ","")&amp;IF(IF($C66="","",IF(OR(ISNUMBER(SEARCH("full",$C66)),UPPER(TRIM($C66))="FT",UPPER(TRIM($C66))="FTE"),"Full-Time",IF(OR(ISNUMBER(SEARCH("part",$C66)),UPPER(TRIM($C66))="PT",UPPER(TRIM($C66))="PTE"),"Part-Time",IF(OR(ISNUMBER(SEARCH("cas",$C66)),UPPER(TRIM($C66))="CAS"),"Casual","Unknown"))))="Unknown","EmploymentType not recognised - use Full-Time, Part-Time or Casual. ","")&amp;IF(AND(AM66&gt;=1,IF(AM66&gt;=3,AS66,IF(AM66=2,AR66,AQ66))&lt;&gt;IF($C66="","",IF(OR(ISNUMBER(SEARCH("full",$C66)),UPPER(TRIM($C66))="FT",UPPER(TRIM($C66))="FTE"),"Full-Time",IF(OR(ISNUMBER(SEARCH("part",$C66)),UPPER(TRIM($C66))="PT",UPPER(TRIM($C66))="PTE"),"Part-Time",IF(OR(ISNUMBER(SEARCH("cas",$C66)),UPPER(TRIM($C66))="CAS"),"Casual","Unknown"))))),"EmploymentType does not match latest start date ("&amp;IF(AM66&gt;=3,AS66,IF(AM66=2,AR66,AQ66))&amp;"). ","")&amp;IF(AND(AM66&gt;=1,AN66&lt;&gt;$F66),"Earliest type date should equal StartDate. ","")&amp;IF(AND(AM66&gt;=2,AN66=AO66),"Two types start on the same date. ","")&amp;IF(AND(OR(ISNUMBER(SEARCH("part",$C66)),UPPER(TRIM($C66))="PT",UPPER(TRIM($C66))="PTE"),$P66=""),"Part-time: enter PT Hrs/Week (blank = 24+). ","")))</f>
        <v/>
      </c>
      <c r="AE66" s="17" t="str">
        <f aca="false">IF(AK66=0,"",O66-MAX(0,BL66-BQ66))</f>
        <v/>
      </c>
      <c r="AF66" s="14" t="str">
        <f aca="false">IF(OR(AK66=0,AE66="",N(AE66)=0,BM66=""),"",EDATE(AL66,BM66))</f>
        <v/>
      </c>
      <c r="AG66" s="17" t="str">
        <f aca="false">IF(AK66=0,"",MIN(BD66,BQ66))</f>
        <v/>
      </c>
      <c r="AH66" s="17" t="str">
        <f aca="false">IF(AK66=0,"",IF(NOT(LH_Ready),"",IF(BG66=0,0,MAX(0,ROUND(N(T66)+N(U66)-N66,2)))))</f>
        <v/>
      </c>
      <c r="AI66" s="12"/>
      <c r="AJ66" s="12"/>
      <c r="AK66" s="16" t="n">
        <f aca="false">IF(OR(LEN($A66&amp;$B66)=0,$F66=""),0,1)</f>
        <v>0</v>
      </c>
      <c r="AL66" s="14" t="str">
        <f aca="false">IF(AK66=0,"",IF(PreSchemeCounts="No",MAX(SchemeStart,IF($J66&lt;&gt;"",$J66,IF(OR(CasualCounts="Yes",COUNT($G66:$I66)=0),$F66,IF(Apply2026="No",IF($I66="",$F66,$I66),IF(COUNT($H66:$I66)=0,$F66,MIN($H66:$I66)))))),IF($J66&lt;&gt;"",$J66,IF(OR(CasualCounts="Yes",COUNT($G66:$I66)=0),$F66,IF(Apply2026="No",IF($I66="",$F66,$I66),IF(COUNT($H66:$I66)=0,$F66,MIN($H66:$I66)))))))</f>
        <v/>
      </c>
      <c r="AM66" s="16" t="str">
        <f aca="false">IF(AK66=0,"",COUNT($G66:$I66))</f>
        <v/>
      </c>
      <c r="AN66" s="14" t="str">
        <f aca="false">IF(AK66=0,"",IFERROR(SMALL($G66:$I66,1),""))</f>
        <v/>
      </c>
      <c r="AO66" s="14" t="str">
        <f aca="false">IF(AK66=0,"",IFERROR(SMALL($G66:$I66,2),""))</f>
        <v/>
      </c>
      <c r="AP66" s="14" t="str">
        <f aca="false">IF(AK66=0,"",IFERROR(SMALL($G66:$I66,3),""))</f>
        <v/>
      </c>
      <c r="AQ66" s="16" t="str">
        <f aca="false">IF(AK66=0,"",IF(AN66="","",IF(AN66=$H66,"Part-Time",IF(AN66=$I66,"Full-Time","Casual"))))</f>
        <v/>
      </c>
      <c r="AR66" s="16" t="str">
        <f aca="false">IF(AK66=0,"",IF(AO66="","",IF(AO66=$H66,"Part-Time",IF(AO66=$I66,"Full-Time","Casual"))))</f>
        <v/>
      </c>
      <c r="AS66" s="16" t="str">
        <f aca="false">IF(AK66=0,"",IF(AP66="","",IF(AP66=$H66,"Part-Time",IF(AP66=$I66,"Full-Time","Casual"))))</f>
        <v/>
      </c>
      <c r="AT66" s="16" t="str">
        <f aca="false">IF(AK66=0,"",IF(AM66=0,IF(OR(ISNUMBER(SEARCH("full",$C66)),UPPER(TRIM($C66))="FT",UPPER(TRIM($C66))="FTE"),"FT",IF(AND(OR(ISNUMBER(SEARCH("part",$C66)),UPPER(TRIM($C66))="PT",UPPER(TRIM($C66))="PTE"),Apply2026="Yes",OR($P66="",N($P66)&gt;=PT_MinHours)),"PT","None")),IF(OR(ISNUMBER(SEARCH("full",AQ66)),UPPER(TRIM(AQ66))="FT",UPPER(TRIM(AQ66))="FTE"),"FT",IF(AND(OR(ISNUMBER(SEARCH("part",AQ66)),UPPER(TRIM(AQ66))="PT",UPPER(TRIM(AQ66))="PTE"),Apply2026="Yes",OR($P66="",N($P66)&gt;=PT_MinHours)),"PT","None"))))</f>
        <v/>
      </c>
      <c r="AU66" s="16" t="str">
        <f aca="false">IF(AK66=0,"",IF(AM66&lt;2,"",IF(OR(ISNUMBER(SEARCH("full",AR66)),UPPER(TRIM(AR66))="FT",UPPER(TRIM(AR66))="FTE"),"FT",IF(AND(OR(ISNUMBER(SEARCH("part",AR66)),UPPER(TRIM(AR66))="PT",UPPER(TRIM(AR66))="PTE"),Apply2026="Yes",OR($P66="",N($P66)&gt;=PT_MinHours)),"PT","None"))))</f>
        <v/>
      </c>
      <c r="AV66" s="16" t="str">
        <f aca="false">IF(AK66=0,"",IF(AM66&lt;3,"",IF(OR(ISNUMBER(SEARCH("full",AS66)),UPPER(TRIM(AS66))="FT",UPPER(TRIM(AS66))="FTE"),"FT",IF(AND(OR(ISNUMBER(SEARCH("part",AS66)),UPPER(TRIM(AS66))="PT",UPPER(TRIM(AS66))="PTE"),Apply2026="Yes",OR($P66="",N($P66)&gt;=PT_MinHours)),"PT","None"))))</f>
        <v/>
      </c>
      <c r="AW66" s="16" t="str">
        <f aca="false">IF(AK66=0,"",IF(AND(AM66&gt;=3,AP66&lt;=AsOfDate),AV66,IF(AND(AM66&gt;=2,AO66&lt;=AsOfDate),AU66,AT66)))</f>
        <v/>
      </c>
      <c r="AX66" s="16" t="str">
        <f aca="false">IF(AK66=0,"",IF(AsOfDate&lt;AL66,-1,12*(YEAR(AsOfDate)-YEAR(AL66))+MONTH(AsOfDate)-MONTH(AL66)-IF(DAY(AsOfDate)&lt;MIN(DAY(AL66),DAY(EOMONTH(AsOfDate,0))),1,0)))</f>
        <v/>
      </c>
      <c r="AY66" s="16" t="str">
        <f aca="false">IF(AK66=0,"",IF(OR(AM66&lt;2,AO66&gt;AsOfDate),AX66,IF((AO66-1)&lt;AL66,-1,12*(YEAR((AO66-1))-YEAR(AL66))+MONTH((AO66-1))-MONTH(AL66)-IF(DAY((AO66-1))&lt;MIN(DAY(AL66),DAY(EOMONTH((AO66-1),0))),1,0))))</f>
        <v/>
      </c>
      <c r="AZ66" s="16" t="str">
        <f aca="false">IF(AK66=0,"",IF(OR(AM66&lt;3,AP66&gt;AsOfDate),AX66,IF((AP66-1)&lt;AL66,-1,12*(YEAR((AP66-1))-YEAR(AL66))+MONTH((AP66-1))-MONTH(AL66)-IF(DAY((AP66-1))&lt;MIN(DAY(AL66),DAY(EOMONTH((AP66-1),0))),1,0))))</f>
        <v/>
      </c>
      <c r="BA66" s="16" t="str">
        <f aca="false">IF(AK66=0,"",IF(PFYDate&lt;AL66,-1,12*(YEAR(PFYDate)-YEAR(AL66))+MONTH(PFYDate)-MONTH(AL66)-IF(DAY(PFYDate)&lt;MIN(DAY(AL66),DAY(EOMONTH(PFYDate,0))),1,0)))</f>
        <v/>
      </c>
      <c r="BB66" s="16" t="str">
        <f aca="false">IF(AK66=0,"",IF(OR(AM66&lt;2,AO66&gt;PFYDate),BA66,IF((AO66-1)&lt;AL66,-1,12*(YEAR((AO66-1))-YEAR(AL66))+MONTH((AO66-1))-MONTH(AL66)-IF(DAY((AO66-1))&lt;MIN(DAY(AL66),DAY(EOMONTH((AO66-1),0))),1,0))))</f>
        <v/>
      </c>
      <c r="BC66" s="16" t="str">
        <f aca="false">IF(AK66=0,"",IF(OR(AM66&lt;3,AP66&gt;PFYDate),BA66,IF((AP66-1)&lt;AL66,-1,12*(YEAR((AP66-1))-YEAR(AL66))+MONTH((AP66-1))-MONTH(AL66)-IF(DAY((AP66-1))&lt;MIN(DAY(AL66),DAY(EOMONTH((AP66-1),0))),1,0))))</f>
        <v/>
      </c>
      <c r="BD66" s="16" t="str">
        <f aca="false">IF(AK66=0,"",IF(AT66="FT",IF(AY66&lt;FT_First,0,IF(AY66&lt;FT_Y5,1+INT((AY66-FT_First)/FT_Int1),FT_PreY5+FT_PerYear*INT((AY66-FT_Y5)/12)+FT_AnnivDays+INT(MOD(AY66-FT_Y5,12)/FT_Int2)-IF(EDATE(AL66,FT_Y5)&lt;PolicyEff,FT_AnnivDays-1,0))),IF(AT66="PT",IF(AY66&lt;PT_First,0,1+INT((AY66-PT_First)/PT_Int)),0))+IF(AND(AM66&gt;=2,AO66&lt;=AsOfDate),IF(AU66="FT",IF(AZ66&lt;FT_First,0,IF(AZ66&lt;FT_Y5,1+INT((AZ66-FT_First)/FT_Int1),FT_PreY5+FT_PerYear*INT((AZ66-FT_Y5)/12)+FT_AnnivDays+INT(MOD(AZ66-FT_Y5,12)/FT_Int2)-IF(EDATE(AL66,FT_Y5)&lt;PolicyEff,FT_AnnivDays-1,0))),IF(AU66="PT",IF(AZ66&lt;PT_First,0,1+INT((AZ66-PT_First)/PT_Int)),0))-IF(AU66="FT",IF(AY66&lt;FT_First,0,IF(AY66&lt;FT_Y5,1+INT((AY66-FT_First)/FT_Int1),FT_PreY5+FT_PerYear*INT((AY66-FT_Y5)/12)+FT_AnnivDays+INT(MOD(AY66-FT_Y5,12)/FT_Int2)-IF(EDATE(AL66,FT_Y5)&lt;PolicyEff,FT_AnnivDays-1,0))),IF(AU66="PT",IF(AY66&lt;PT_First,0,1+INT((AY66-PT_First)/PT_Int)),0)),0)+IF(AND(AM66&gt;=3,AP66&lt;=AsOfDate),IF(AV66="FT",IF(AX66&lt;FT_First,0,IF(AX66&lt;FT_Y5,1+INT((AX66-FT_First)/FT_Int1),FT_PreY5+FT_PerYear*INT((AX66-FT_Y5)/12)+FT_AnnivDays+INT(MOD(AX66-FT_Y5,12)/FT_Int2)-IF(EDATE(AL66,FT_Y5)&lt;PolicyEff,FT_AnnivDays-1,0))),IF(AV66="PT",IF(AX66&lt;PT_First,0,1+INT((AX66-PT_First)/PT_Int)),0))-IF(AV66="FT",IF(AZ66&lt;FT_First,0,IF(AZ66&lt;FT_Y5,1+INT((AZ66-FT_First)/FT_Int1),FT_PreY5+FT_PerYear*INT((AZ66-FT_Y5)/12)+FT_AnnivDays+INT(MOD(AZ66-FT_Y5,12)/FT_Int2)-IF(EDATE(AL66,FT_Y5)&lt;PolicyEff,FT_AnnivDays-1,0))),IF(AV66="PT",IF(AZ66&lt;PT_First,0,1+INT((AZ66-PT_First)/PT_Int)),0)),0))</f>
        <v/>
      </c>
      <c r="BE66" s="16" t="str">
        <f aca="false">IF(AK66=0,"",IF(AT66="FT",IF(BB66&lt;FT_First,0,IF(BB66&lt;FT_Y5,1+INT((BB66-FT_First)/FT_Int1),FT_PreY5+FT_PerYear*INT((BB66-FT_Y5)/12)+FT_AnnivDays+INT(MOD(BB66-FT_Y5,12)/FT_Int2)-IF(EDATE(AL66,FT_Y5)&lt;PolicyEff,FT_AnnivDays-1,0))),IF(AT66="PT",IF(BB66&lt;PT_First,0,1+INT((BB66-PT_First)/PT_Int)),0))+IF(AND(AM66&gt;=2,AO66&lt;=PFYDate),IF(AU66="FT",IF(BC66&lt;FT_First,0,IF(BC66&lt;FT_Y5,1+INT((BC66-FT_First)/FT_Int1),FT_PreY5+FT_PerYear*INT((BC66-FT_Y5)/12)+FT_AnnivDays+INT(MOD(BC66-FT_Y5,12)/FT_Int2)-IF(EDATE(AL66,FT_Y5)&lt;PolicyEff,FT_AnnivDays-1,0))),IF(AU66="PT",IF(BC66&lt;PT_First,0,1+INT((BC66-PT_First)/PT_Int)),0))-IF(AU66="FT",IF(BB66&lt;FT_First,0,IF(BB66&lt;FT_Y5,1+INT((BB66-FT_First)/FT_Int1),FT_PreY5+FT_PerYear*INT((BB66-FT_Y5)/12)+FT_AnnivDays+INT(MOD(BB66-FT_Y5,12)/FT_Int2)-IF(EDATE(AL66,FT_Y5)&lt;PolicyEff,FT_AnnivDays-1,0))),IF(AU66="PT",IF(BB66&lt;PT_First,0,1+INT((BB66-PT_First)/PT_Int)),0)),0)+IF(AND(AM66&gt;=3,AP66&lt;=PFYDate),IF(AV66="FT",IF(BA66&lt;FT_First,0,IF(BA66&lt;FT_Y5,1+INT((BA66-FT_First)/FT_Int1),FT_PreY5+FT_PerYear*INT((BA66-FT_Y5)/12)+FT_AnnivDays+INT(MOD(BA66-FT_Y5,12)/FT_Int2)-IF(EDATE(AL66,FT_Y5)&lt;PolicyEff,FT_AnnivDays-1,0))),IF(AV66="PT",IF(BA66&lt;PT_First,0,1+INT((BA66-PT_First)/PT_Int)),0))-IF(AV66="FT",IF(BC66&lt;FT_First,0,IF(BC66&lt;FT_Y5,1+INT((BC66-FT_First)/FT_Int1),FT_PreY5+FT_PerYear*INT((BC66-FT_Y5)/12)+FT_AnnivDays+INT(MOD(BC66-FT_Y5,12)/FT_Int2)-IF(EDATE(AL66,FT_Y5)&lt;PolicyEff,FT_AnnivDays-1,0))),IF(AV66="PT",IF(BC66&lt;PT_First,0,1+INT((BC66-PT_First)/PT_Int)),0)),0))</f>
        <v/>
      </c>
      <c r="BF66" s="16" t="str">
        <f aca="false">IF(AK66=0,"",IF(AW66="FT",IF(AX66&lt;FT_First,FT_First,IF(AX66&lt;FT_Y5,MIN(FT_Y5,FT_First+FT_Int1*(INT((AX66-FT_First)/FT_Int1)+1)),FT_Y5+12*INT((AX66-FT_Y5)/12)+FT_Int2*(INT(MOD(AX66-FT_Y5,12)/FT_Int2)+1))),IF(AW66="PT",IF(AX66&lt;PT_First,PT_First,PT_First+PT_Int*(INT((AX66-PT_First)/PT_Int)+1)),"")))</f>
        <v/>
      </c>
      <c r="BG66" s="16" t="str">
        <f aca="false">IF(AK66=0,"",IF(NOT(LH_Ready),0,COUNTIFS(INDEX(LH_Data,0,LH_ColFirst),$A66,INDEX(LH_Data,0,LH_ColSur),$B66,INDEX(LH_Data,0,LH_ColCat),BonusCat)))</f>
        <v/>
      </c>
      <c r="BH66" s="16" t="str">
        <f aca="false">IF(AK66=0,"",IF(OR(NOT(LH_Ready),BG66=0),0,SUMPRODUCT(MAX((INDEX(LH_Data,0,LH_ColFirst)=$A66)*(INDEX(LH_Data,0,LH_ColSur)=$B66)*(INDEX(LH_Data,0,LH_ColCat)=BonusCat)*ROW(LH_Data)))))</f>
        <v/>
      </c>
      <c r="BI66" s="16" t="str">
        <f aca="false">IF(AK66=0,"",IF(EOMONTH(AsOfDate,-1)&lt;AL66,-1,12*(YEAR(EOMONTH(AsOfDate,-1))-YEAR(AL66))+MONTH(EOMONTH(AsOfDate,-1))-MONTH(AL66)-IF(DAY(EOMONTH(AsOfDate,-1))&lt;MIN(DAY(AL66),DAY(EOMONTH(EOMONTH(AsOfDate,-1),0))),1,0)))</f>
        <v/>
      </c>
      <c r="BJ66" s="16" t="str">
        <f aca="false">IF(AK66=0,"",IF(OR(AM66&lt;2,AO66&gt;EOMONTH(AsOfDate,-1)),BI66,IF((AO66-1)&lt;AL66,-1,12*(YEAR((AO66-1))-YEAR(AL66))+MONTH((AO66-1))-MONTH(AL66)-IF(DAY((AO66-1))&lt;MIN(DAY(AL66),DAY(EOMONTH((AO66-1),0))),1,0))))</f>
        <v/>
      </c>
      <c r="BK66" s="16" t="str">
        <f aca="false">IF(AK66=0,"",IF(OR(AM66&lt;3,AP66&gt;EOMONTH(AsOfDate,-1)),BI66,IF((AP66-1)&lt;AL66,-1,12*(YEAR((AP66-1))-YEAR(AL66))+MONTH((AP66-1))-MONTH(AL66)-IF(DAY((AP66-1))&lt;MIN(DAY(AL66),DAY(EOMONTH((AP66-1),0))),1,0))))</f>
        <v/>
      </c>
      <c r="BL66" s="16" t="str">
        <f aca="false">IF(AK66=0,"",IF(AT66="FT",IF(BJ66&lt;FT_First,0,IF(BJ66&lt;FT_Y5,1+INT((BJ66-FT_First)/FT_Int1),FT_PreY5+FT_PerYear*INT((BJ66-FT_Y5)/12)+FT_AnnivDays+INT(MOD(BJ66-FT_Y5,12)/FT_Int2)-IF(EDATE(AL66,FT_Y5)&lt;PolicyEff,FT_AnnivDays-1,0))),IF(AT66="PT",IF(BJ66&lt;PT_First,0,1+INT((BJ66-PT_First)/PT_Int)),0))+IF(AND(AM66&gt;=2,AO66&lt;=EOMONTH(AsOfDate,-1)),IF(AU66="FT",IF(BK66&lt;FT_First,0,IF(BK66&lt;FT_Y5,1+INT((BK66-FT_First)/FT_Int1),FT_PreY5+FT_PerYear*INT((BK66-FT_Y5)/12)+FT_AnnivDays+INT(MOD(BK66-FT_Y5,12)/FT_Int2)-IF(EDATE(AL66,FT_Y5)&lt;PolicyEff,FT_AnnivDays-1,0))),IF(AU66="PT",IF(BK66&lt;PT_First,0,1+INT((BK66-PT_First)/PT_Int)),0))-IF(AU66="FT",IF(BJ66&lt;FT_First,0,IF(BJ66&lt;FT_Y5,1+INT((BJ66-FT_First)/FT_Int1),FT_PreY5+FT_PerYear*INT((BJ66-FT_Y5)/12)+FT_AnnivDays+INT(MOD(BJ66-FT_Y5,12)/FT_Int2)-IF(EDATE(AL66,FT_Y5)&lt;PolicyEff,FT_AnnivDays-1,0))),IF(AU66="PT",IF(BJ66&lt;PT_First,0,1+INT((BJ66-PT_First)/PT_Int)),0)),0)+IF(AND(AM66&gt;=3,AP66&lt;=EOMONTH(AsOfDate,-1)),IF(AV66="FT",IF(BI66&lt;FT_First,0,IF(BI66&lt;FT_Y5,1+INT((BI66-FT_First)/FT_Int1),FT_PreY5+FT_PerYear*INT((BI66-FT_Y5)/12)+FT_AnnivDays+INT(MOD(BI66-FT_Y5,12)/FT_Int2)-IF(EDATE(AL66,FT_Y5)&lt;PolicyEff,FT_AnnivDays-1,0))),IF(AV66="PT",IF(BI66&lt;PT_First,0,1+INT((BI66-PT_First)/PT_Int)),0))-IF(AV66="FT",IF(BK66&lt;FT_First,0,IF(BK66&lt;FT_Y5,1+INT((BK66-FT_First)/FT_Int1),FT_PreY5+FT_PerYear*INT((BK66-FT_Y5)/12)+FT_AnnivDays+INT(MOD(BK66-FT_Y5,12)/FT_Int2)-IF(EDATE(AL66,FT_Y5)&lt;PolicyEff,FT_AnnivDays-1,0))),IF(AV66="PT",IF(BK66&lt;PT_First,0,1+INT((BK66-PT_First)/PT_Int)),0)),0))</f>
        <v/>
      </c>
      <c r="BM66" s="16" t="str">
        <f aca="false">IF(AK66=0,"",IF(AW66="FT",IF(AX66&lt;FT_First,"",IF(AX66&lt;FT_Y5,FT_First+FT_Int1*INT((AX66-FT_First)/FT_Int1),FT_Y5+FT_Int2*INT((AX66-FT_Y5)/FT_Int2))),IF(AW66="PT",IF(AX66&lt;PT_First,"",PT_First+PT_Int*INT((AX66-PT_First)/PT_Int)),"")))</f>
        <v/>
      </c>
      <c r="BN66" s="16" t="str">
        <f aca="false">IF(AK66=0,"",IF((SchemeStart-1)&lt;AL66,-1,12*(YEAR((SchemeStart-1))-YEAR(AL66))+MONTH((SchemeStart-1))-MONTH(AL66)-IF(DAY((SchemeStart-1))&lt;MIN(DAY(AL66),DAY(EOMONTH((SchemeStart-1),0))),1,0)))</f>
        <v/>
      </c>
      <c r="BO66" s="16" t="str">
        <f aca="false">IF(AK66=0,"",IF(OR(AM66&lt;2,AO66&gt;(SchemeStart-1)),BN66,IF((AO66-1)&lt;AL66,-1,12*(YEAR((AO66-1))-YEAR(AL66))+MONTH((AO66-1))-MONTH(AL66)-IF(DAY((AO66-1))&lt;MIN(DAY(AL66),DAY(EOMONTH((AO66-1),0))),1,0))))</f>
        <v/>
      </c>
      <c r="BP66" s="16" t="str">
        <f aca="false">IF(AK66=0,"",IF(OR(AM66&lt;3,AP66&gt;(SchemeStart-1)),BN66,IF((AP66-1)&lt;AL66,-1,12*(YEAR((AP66-1))-YEAR(AL66))+MONTH((AP66-1))-MONTH(AL66)-IF(DAY((AP66-1))&lt;MIN(DAY(AL66),DAY(EOMONTH((AP66-1),0))),1,0))))</f>
        <v/>
      </c>
      <c r="BQ66" s="16" t="str">
        <f aca="false">IF(AK66=0,"",IF(AT66="FT",IF(BO66&lt;FT_First,0,IF(BO66&lt;FT_Y5,1+INT((BO66-FT_First)/FT_Int1),FT_PreY5+FT_PerYear*INT((BO66-FT_Y5)/12)+FT_AnnivDays+INT(MOD(BO66-FT_Y5,12)/FT_Int2)-IF(EDATE(AL66,FT_Y5)&lt;PolicyEff,FT_AnnivDays-1,0))),IF(AT66="PT",IF(BO66&lt;PT_First,0,1+INT((BO66-PT_First)/PT_Int)),0))+IF(AND(AM66&gt;=2,AO66&lt;=(SchemeStart-1)),IF(AU66="FT",IF(BP66&lt;FT_First,0,IF(BP66&lt;FT_Y5,1+INT((BP66-FT_First)/FT_Int1),FT_PreY5+FT_PerYear*INT((BP66-FT_Y5)/12)+FT_AnnivDays+INT(MOD(BP66-FT_Y5,12)/FT_Int2)-IF(EDATE(AL66,FT_Y5)&lt;PolicyEff,FT_AnnivDays-1,0))),IF(AU66="PT",IF(BP66&lt;PT_First,0,1+INT((BP66-PT_First)/PT_Int)),0))-IF(AU66="FT",IF(BO66&lt;FT_First,0,IF(BO66&lt;FT_Y5,1+INT((BO66-FT_First)/FT_Int1),FT_PreY5+FT_PerYear*INT((BO66-FT_Y5)/12)+FT_AnnivDays+INT(MOD(BO66-FT_Y5,12)/FT_Int2)-IF(EDATE(AL66,FT_Y5)&lt;PolicyEff,FT_AnnivDays-1,0))),IF(AU66="PT",IF(BO66&lt;PT_First,0,1+INT((BO66-PT_First)/PT_Int)),0)),0)+IF(AND(AM66&gt;=3,AP66&lt;=(SchemeStart-1)),IF(AV66="FT",IF(BN66&lt;FT_First,0,IF(BN66&lt;FT_Y5,1+INT((BN66-FT_First)/FT_Int1),FT_PreY5+FT_PerYear*INT((BN66-FT_Y5)/12)+FT_AnnivDays+INT(MOD(BN66-FT_Y5,12)/FT_Int2)-IF(EDATE(AL66,FT_Y5)&lt;PolicyEff,FT_AnnivDays-1,0))),IF(AV66="PT",IF(BN66&lt;PT_First,0,1+INT((BN66-PT_First)/PT_Int)),0))-IF(AV66="FT",IF(BP66&lt;FT_First,0,IF(BP66&lt;FT_Y5,1+INT((BP66-FT_First)/FT_Int1),FT_PreY5+FT_PerYear*INT((BP66-FT_Y5)/12)+FT_AnnivDays+INT(MOD(BP66-FT_Y5,12)/FT_Int2)-IF(EDATE(AL66,FT_Y5)&lt;PolicyEff,FT_AnnivDays-1,0))),IF(AV66="PT",IF(BP66&lt;PT_First,0,1+INT((BP66-PT_First)/PT_Int)),0)),0))</f>
        <v/>
      </c>
      <c r="BR66" s="0" t="str">
        <f aca="false">IF(LEN($A66&amp;$B66)=0,"",$A66&amp;" "&amp;$B66)</f>
        <v/>
      </c>
    </row>
    <row r="67" customFormat="false" ht="15" hidden="false" customHeight="false" outlineLevel="0" collapsed="false">
      <c r="A67" s="12"/>
      <c r="B67" s="12"/>
      <c r="C67" s="12"/>
      <c r="D67" s="13"/>
      <c r="E67" s="14" t="str">
        <f aca="false">IF(OR(AK67=0,$D67=""),"",DATE(YEAR(AsOfDate)+IF(DATE(YEAR(AsOfDate),MONTH($D67),DAY($D67))&lt;=AsOfDate,1,0),MONTH($D67),DAY($D67)))</f>
        <v/>
      </c>
      <c r="F67" s="13"/>
      <c r="G67" s="13"/>
      <c r="H67" s="13"/>
      <c r="I67" s="13"/>
      <c r="J67" s="13"/>
      <c r="K67" s="14" t="str">
        <f aca="false">IF(AK67=0,"",DATE(YEAR(AsOfDate)+IF(DATE(YEAR(AsOfDate),MONTH(AL67),DAY(AL67))&lt;=AsOfDate,1,0),MONTH(AL67),DAY(AL67)))</f>
        <v/>
      </c>
      <c r="L67" s="15" t="str">
        <f aca="false">IF(AK67=0,"",ROUND((AsOfDate-AL67)/365.25,1))</f>
        <v/>
      </c>
      <c r="M67" s="16" t="str">
        <f aca="false">IF(AK67=0,"",IF(AsOfDate&lt;AL67,"-",DATEDIF(AL67,AsOfDate,"y")&amp;"y "&amp;DATEDIF(AL67,AsOfDate,"ym")&amp;"m "&amp;DATEDIF(AL67,AsOfDate,"md")&amp;"d"))</f>
        <v/>
      </c>
      <c r="N67" s="17" t="str">
        <f aca="false">IF(AK67=0,"",O67*HoursPerDay)</f>
        <v/>
      </c>
      <c r="O67" s="17" t="str">
        <f aca="false">IF(AK67=0,"",MAX(0,BD67-BQ67))</f>
        <v/>
      </c>
      <c r="P67" s="18"/>
      <c r="Q67" s="16" t="str">
        <f aca="false">IF(AK67=0,"",IF(AM67&lt;2,"",AQ67&amp;" to "&amp;AR67&amp;" on "&amp;TEXT(AO67,"dd/mm/yyyy")&amp;IF(AO67&gt;AsOfDate," (future)",IF(AT67=AU67,"",IF(AU67="None"," - STOPPED accruing",IF(AT67="None"," - commencement for Bonus Leave"," - pathway changed"))))&amp;IF(AM67&lt;3,"","; "&amp;AR67&amp;" to "&amp;AS67&amp;" on "&amp;TEXT(AP67,"dd/mm/yyyy")&amp;IF(AP67&gt;AsOfDate," (future)",IF(AU67=AV67,"",IF(AV67="None"," - STOPPED accruing",IF(AU67="None"," - commencement for Bonus Leave"," - pathway changed")))))))</f>
        <v/>
      </c>
      <c r="R67" s="16" t="str">
        <f aca="false">IF(AK67=0,"",IF(AW67="None",IF(O67&gt;0,"No longer accruing","Not eligible - "&amp;IF(AND(OR(ISNUMBER(SEARCH("part",$C67)),UPPER(TRIM($C67))="PT",UPPER(TRIM($C67))="PTE"),Apply2026="No"),"part-time (scheme is full-time only)",IF(AND(OR(ISNUMBER(SEARCH("part",$C67)),UPPER(TRIM($C67))="PT",UPPER(TRIM($C67))="PTE"),$P67&lt;&gt;"",N($P67)&lt;PT_MinHours),"under "&amp;PT_MinHours&amp;" hrs",IF(IF($C67="","",IF(OR(ISNUMBER(SEARCH("full",$C67)),UPPER(TRIM($C67))="FT",UPPER(TRIM($C67))="FTE"),"Full-Time",IF(OR(ISNUMBER(SEARCH("part",$C67)),UPPER(TRIM($C67))="PT",UPPER(TRIM($C67))="PTE"),"Part-Time",IF(OR(ISNUMBER(SEARCH("cas",$C67)),UPPER(TRIM($C67))="CAS"),"Casual","Unknown"))))="Unknown","type not recognised",$C67)))),IF(O67&gt;0,"Yes - Accrual Required","Not yet - from "&amp;TEXT(S67,"dd/mm/yyyy"))))</f>
        <v/>
      </c>
      <c r="S67" s="14" t="str">
        <f aca="false">IF(AK67=0,"",IF(AW67="None","",EDATE(AL67,BF67)))</f>
        <v/>
      </c>
      <c r="T67" s="17" t="str">
        <f aca="false">IF(AK67=0,"",IF(NOT(LH_Ready),"",IF($F67&gt;PFYDate,0,IF(LH_ColPeriod=0,W67-U67+V67,SUMIFS(INDEX(LH_Data,0,LH_ColAcc),INDEX(LH_Data,0,LH_ColFirst),$A67,INDEX(LH_Data,0,LH_ColSur),$B67,INDEX(LH_Data,0,LH_ColCat),BonusCat,INDEX(LH_Data,0,LH_ColPeriod),LH_OpenLabel)*UnitFactor))))</f>
        <v/>
      </c>
      <c r="U67" s="17" t="str">
        <f aca="false">IF(AK67=0,"",IF(NOT(LH_Ready),"",SUMIFS(INDEX(LH_Data,0,LH_ColAcc),INDEX(LH_Data,0,LH_ColFirst),$A67,INDEX(LH_Data,0,LH_ColSur),$B67,INDEX(LH_Data,0,LH_ColCat),BonusCat,INDEX(LH_Data,0,LH_ColStart),"&gt;="&amp;AL67)*UnitFactor))</f>
        <v/>
      </c>
      <c r="V67" s="17" t="str">
        <f aca="false">IF(AK67=0,"",IF(NOT(LH_Ready),"",SUMIFS(INDEX(LH_Data,0,LH_ColTaken),INDEX(LH_Data,0,LH_ColFirst),$A67,INDEX(LH_Data,0,LH_ColSur),$B67,INDEX(LH_Data,0,LH_ColCat),BonusCat,INDEX(LH_Data,0,LH_ColStart),"&gt;="&amp;AL67)*UnitFactor))</f>
        <v/>
      </c>
      <c r="W67" s="17" t="str">
        <f aca="false">IF(AK67=0,"",IF(NOT(LH_Ready),"",IF(BH67=0,0,INDEX(INDEX(LH_Data,0,LH_ColClose),BH67-1)*UnitFactor)))</f>
        <v/>
      </c>
      <c r="X67" s="17" t="str">
        <f aca="false">IF(AK67=0,"",(MAX(0,BD67-BQ67)-MAX(0,BE67-BQ67))*HoursPerDay)</f>
        <v/>
      </c>
      <c r="Y67" s="17" t="str">
        <f aca="false">IF(AK67=0,"",IF(NOT(LH_Ready),"",IF($AI67="Yes",N(AE67)*HoursPerDay-SUMIFS(INDEX(LH_Data,0,LH_ColAcc),INDEX(LH_Data,0,LH_ColFirst),$A67,INDEX(LH_Data,0,LH_ColSur),$B67,INDEX(LH_Data,0,LH_ColCat),BonusCat,INDEX(LH_Data,0,LH_ColStart),"&gt;="&amp;(EOMONTH(AsOfDate,-1)+1),INDEX(LH_Data,0,LH_ColStart),"&lt;="&amp;AsOfDate)*UnitFactor,IF(BG67=0,N67,N67-N(T67)-N(U67)))))</f>
        <v/>
      </c>
      <c r="Z67" s="16" t="str">
        <f aca="false">IF(OR(AK67=0,Y67=""),"",IF(Y67&gt;0,"Yes","No"))</f>
        <v/>
      </c>
      <c r="AA67" s="16" t="str">
        <f aca="false">IF(AK67=0,IF(LEN($A67&amp;$B67)=0,"","FIX INPUT - StartDate missing"),IF(AD67&lt;&gt;"","FIX INPUT - "&amp;AD67,IF(NOT(LH_Ready),"Paste Leave History export (Settings must show YES)",IF(AND($AI67="Yes",Y67&lt;=0),"OK - EH balance accepted to date"&amp;IF(N(AH67)&gt;0," (EH holds "&amp;AH67&amp;" hrs over the scheme)","")&amp;"; next day "&amp;TEXT(S67,"dd mmm yy")&amp;IF(N(AE67)&gt;0," ("&amp;AE67&amp;" day(s) for "&amp;UPPER(TEXT(AsOfDate,"mmm yyyy"))&amp;" already in EH)",""),IF(Y67&gt;0,"ACCRUE "&amp;ROUND(Y67,2)&amp;" hrs ("&amp;ROUND(Y67/HoursPerDay,2)&amp;" days): "&amp;IF(N(AE67)&gt;0,AE67&amp;" day(s) for "&amp;UPPER(TEXT(AsOfDate,"mmm yyyy"))&amp;" (milestone "&amp;UPPER(TEXT(AF67,"dd mmm yy"))&amp;")"&amp;IF(Y67/HoursPerDay&gt;AE67+0.001," + "&amp;ROUND(Y67/HoursPerDay-AE67,2)&amp;" day(s) catch-up from earlier months",""),"all catch-up from earlier months, nothing new this month")&amp;IF(BG67=0,"; no Bonus Leave in EH yet",""),IF(Y67&lt;0,"CHECK - EH accrued "&amp;ROUND(-Y67,2)&amp;" hrs more than policy since commencement",IF(N(W67)&gt;O67*HoursPerDay+0.01,"CHECK - EH balance "&amp;ROUND(W67-O67*HoursPerDay,2)&amp;" hrs more than policy entitlement",IF(O67&gt;0,"OK - nothing to add"&amp;IF(N(AE67)&gt;0," ("&amp;AE67&amp;" day(s) for "&amp;UPPER(TEXT(AsOfDate,"mmm yyyy"))&amp;" already in EH)",""),IF(AW67="None",R67,"Not yet - first day on "&amp;TEXT(S67,"dd/mm/yyyy"))))))))))</f>
        <v/>
      </c>
      <c r="AB67" s="17" t="str">
        <f aca="false">IF(OR(AK67=0,T67=""),"",MAX(0,BE67-BQ67)*HoursPerDay-T67)</f>
        <v/>
      </c>
      <c r="AC67" s="16" t="str">
        <f aca="false">IF(AK67=0,"",BG67)</f>
        <v/>
      </c>
      <c r="AD67" s="16" t="str">
        <f aca="false">IF(AK67=0,"",TRIM(IF(OR(ISTEXT($F67),ISTEXT($H67),ISTEXT($I67),ISTEXT($G67),ISTEXT($J67),ISTEXT($D67)),"A date is typed as text - retype it as dd/mm/yyyy. ","")&amp;IF(IF($C67="","",IF(OR(ISNUMBER(SEARCH("full",$C67)),UPPER(TRIM($C67))="FT",UPPER(TRIM($C67))="FTE"),"Full-Time",IF(OR(ISNUMBER(SEARCH("part",$C67)),UPPER(TRIM($C67))="PT",UPPER(TRIM($C67))="PTE"),"Part-Time",IF(OR(ISNUMBER(SEARCH("cas",$C67)),UPPER(TRIM($C67))="CAS"),"Casual","Unknown"))))="Unknown","EmploymentType not recognised - use Full-Time, Part-Time or Casual. ","")&amp;IF(AND(AM67&gt;=1,IF(AM67&gt;=3,AS67,IF(AM67=2,AR67,AQ67))&lt;&gt;IF($C67="","",IF(OR(ISNUMBER(SEARCH("full",$C67)),UPPER(TRIM($C67))="FT",UPPER(TRIM($C67))="FTE"),"Full-Time",IF(OR(ISNUMBER(SEARCH("part",$C67)),UPPER(TRIM($C67))="PT",UPPER(TRIM($C67))="PTE"),"Part-Time",IF(OR(ISNUMBER(SEARCH("cas",$C67)),UPPER(TRIM($C67))="CAS"),"Casual","Unknown"))))),"EmploymentType does not match latest start date ("&amp;IF(AM67&gt;=3,AS67,IF(AM67=2,AR67,AQ67))&amp;"). ","")&amp;IF(AND(AM67&gt;=1,AN67&lt;&gt;$F67),"Earliest type date should equal StartDate. ","")&amp;IF(AND(AM67&gt;=2,AN67=AO67),"Two types start on the same date. ","")&amp;IF(AND(OR(ISNUMBER(SEARCH("part",$C67)),UPPER(TRIM($C67))="PT",UPPER(TRIM($C67))="PTE"),$P67=""),"Part-time: enter PT Hrs/Week (blank = 24+). ","")))</f>
        <v/>
      </c>
      <c r="AE67" s="17" t="str">
        <f aca="false">IF(AK67=0,"",O67-MAX(0,BL67-BQ67))</f>
        <v/>
      </c>
      <c r="AF67" s="14" t="str">
        <f aca="false">IF(OR(AK67=0,AE67="",N(AE67)=0,BM67=""),"",EDATE(AL67,BM67))</f>
        <v/>
      </c>
      <c r="AG67" s="17" t="str">
        <f aca="false">IF(AK67=0,"",MIN(BD67,BQ67))</f>
        <v/>
      </c>
      <c r="AH67" s="17" t="str">
        <f aca="false">IF(AK67=0,"",IF(NOT(LH_Ready),"",IF(BG67=0,0,MAX(0,ROUND(N(T67)+N(U67)-N67,2)))))</f>
        <v/>
      </c>
      <c r="AI67" s="12"/>
      <c r="AJ67" s="12"/>
      <c r="AK67" s="16" t="n">
        <f aca="false">IF(OR(LEN($A67&amp;$B67)=0,$F67=""),0,1)</f>
        <v>0</v>
      </c>
      <c r="AL67" s="14" t="str">
        <f aca="false">IF(AK67=0,"",IF(PreSchemeCounts="No",MAX(SchemeStart,IF($J67&lt;&gt;"",$J67,IF(OR(CasualCounts="Yes",COUNT($G67:$I67)=0),$F67,IF(Apply2026="No",IF($I67="",$F67,$I67),IF(COUNT($H67:$I67)=0,$F67,MIN($H67:$I67)))))),IF($J67&lt;&gt;"",$J67,IF(OR(CasualCounts="Yes",COUNT($G67:$I67)=0),$F67,IF(Apply2026="No",IF($I67="",$F67,$I67),IF(COUNT($H67:$I67)=0,$F67,MIN($H67:$I67)))))))</f>
        <v/>
      </c>
      <c r="AM67" s="16" t="str">
        <f aca="false">IF(AK67=0,"",COUNT($G67:$I67))</f>
        <v/>
      </c>
      <c r="AN67" s="14" t="str">
        <f aca="false">IF(AK67=0,"",IFERROR(SMALL($G67:$I67,1),""))</f>
        <v/>
      </c>
      <c r="AO67" s="14" t="str">
        <f aca="false">IF(AK67=0,"",IFERROR(SMALL($G67:$I67,2),""))</f>
        <v/>
      </c>
      <c r="AP67" s="14" t="str">
        <f aca="false">IF(AK67=0,"",IFERROR(SMALL($G67:$I67,3),""))</f>
        <v/>
      </c>
      <c r="AQ67" s="16" t="str">
        <f aca="false">IF(AK67=0,"",IF(AN67="","",IF(AN67=$H67,"Part-Time",IF(AN67=$I67,"Full-Time","Casual"))))</f>
        <v/>
      </c>
      <c r="AR67" s="16" t="str">
        <f aca="false">IF(AK67=0,"",IF(AO67="","",IF(AO67=$H67,"Part-Time",IF(AO67=$I67,"Full-Time","Casual"))))</f>
        <v/>
      </c>
      <c r="AS67" s="16" t="str">
        <f aca="false">IF(AK67=0,"",IF(AP67="","",IF(AP67=$H67,"Part-Time",IF(AP67=$I67,"Full-Time","Casual"))))</f>
        <v/>
      </c>
      <c r="AT67" s="16" t="str">
        <f aca="false">IF(AK67=0,"",IF(AM67=0,IF(OR(ISNUMBER(SEARCH("full",$C67)),UPPER(TRIM($C67))="FT",UPPER(TRIM($C67))="FTE"),"FT",IF(AND(OR(ISNUMBER(SEARCH("part",$C67)),UPPER(TRIM($C67))="PT",UPPER(TRIM($C67))="PTE"),Apply2026="Yes",OR($P67="",N($P67)&gt;=PT_MinHours)),"PT","None")),IF(OR(ISNUMBER(SEARCH("full",AQ67)),UPPER(TRIM(AQ67))="FT",UPPER(TRIM(AQ67))="FTE"),"FT",IF(AND(OR(ISNUMBER(SEARCH("part",AQ67)),UPPER(TRIM(AQ67))="PT",UPPER(TRIM(AQ67))="PTE"),Apply2026="Yes",OR($P67="",N($P67)&gt;=PT_MinHours)),"PT","None"))))</f>
        <v/>
      </c>
      <c r="AU67" s="16" t="str">
        <f aca="false">IF(AK67=0,"",IF(AM67&lt;2,"",IF(OR(ISNUMBER(SEARCH("full",AR67)),UPPER(TRIM(AR67))="FT",UPPER(TRIM(AR67))="FTE"),"FT",IF(AND(OR(ISNUMBER(SEARCH("part",AR67)),UPPER(TRIM(AR67))="PT",UPPER(TRIM(AR67))="PTE"),Apply2026="Yes",OR($P67="",N($P67)&gt;=PT_MinHours)),"PT","None"))))</f>
        <v/>
      </c>
      <c r="AV67" s="16" t="str">
        <f aca="false">IF(AK67=0,"",IF(AM67&lt;3,"",IF(OR(ISNUMBER(SEARCH("full",AS67)),UPPER(TRIM(AS67))="FT",UPPER(TRIM(AS67))="FTE"),"FT",IF(AND(OR(ISNUMBER(SEARCH("part",AS67)),UPPER(TRIM(AS67))="PT",UPPER(TRIM(AS67))="PTE"),Apply2026="Yes",OR($P67="",N($P67)&gt;=PT_MinHours)),"PT","None"))))</f>
        <v/>
      </c>
      <c r="AW67" s="16" t="str">
        <f aca="false">IF(AK67=0,"",IF(AND(AM67&gt;=3,AP67&lt;=AsOfDate),AV67,IF(AND(AM67&gt;=2,AO67&lt;=AsOfDate),AU67,AT67)))</f>
        <v/>
      </c>
      <c r="AX67" s="16" t="str">
        <f aca="false">IF(AK67=0,"",IF(AsOfDate&lt;AL67,-1,12*(YEAR(AsOfDate)-YEAR(AL67))+MONTH(AsOfDate)-MONTH(AL67)-IF(DAY(AsOfDate)&lt;MIN(DAY(AL67),DAY(EOMONTH(AsOfDate,0))),1,0)))</f>
        <v/>
      </c>
      <c r="AY67" s="16" t="str">
        <f aca="false">IF(AK67=0,"",IF(OR(AM67&lt;2,AO67&gt;AsOfDate),AX67,IF((AO67-1)&lt;AL67,-1,12*(YEAR((AO67-1))-YEAR(AL67))+MONTH((AO67-1))-MONTH(AL67)-IF(DAY((AO67-1))&lt;MIN(DAY(AL67),DAY(EOMONTH((AO67-1),0))),1,0))))</f>
        <v/>
      </c>
      <c r="AZ67" s="16" t="str">
        <f aca="false">IF(AK67=0,"",IF(OR(AM67&lt;3,AP67&gt;AsOfDate),AX67,IF((AP67-1)&lt;AL67,-1,12*(YEAR((AP67-1))-YEAR(AL67))+MONTH((AP67-1))-MONTH(AL67)-IF(DAY((AP67-1))&lt;MIN(DAY(AL67),DAY(EOMONTH((AP67-1),0))),1,0))))</f>
        <v/>
      </c>
      <c r="BA67" s="16" t="str">
        <f aca="false">IF(AK67=0,"",IF(PFYDate&lt;AL67,-1,12*(YEAR(PFYDate)-YEAR(AL67))+MONTH(PFYDate)-MONTH(AL67)-IF(DAY(PFYDate)&lt;MIN(DAY(AL67),DAY(EOMONTH(PFYDate,0))),1,0)))</f>
        <v/>
      </c>
      <c r="BB67" s="16" t="str">
        <f aca="false">IF(AK67=0,"",IF(OR(AM67&lt;2,AO67&gt;PFYDate),BA67,IF((AO67-1)&lt;AL67,-1,12*(YEAR((AO67-1))-YEAR(AL67))+MONTH((AO67-1))-MONTH(AL67)-IF(DAY((AO67-1))&lt;MIN(DAY(AL67),DAY(EOMONTH((AO67-1),0))),1,0))))</f>
        <v/>
      </c>
      <c r="BC67" s="16" t="str">
        <f aca="false">IF(AK67=0,"",IF(OR(AM67&lt;3,AP67&gt;PFYDate),BA67,IF((AP67-1)&lt;AL67,-1,12*(YEAR((AP67-1))-YEAR(AL67))+MONTH((AP67-1))-MONTH(AL67)-IF(DAY((AP67-1))&lt;MIN(DAY(AL67),DAY(EOMONTH((AP67-1),0))),1,0))))</f>
        <v/>
      </c>
      <c r="BD67" s="16" t="str">
        <f aca="false">IF(AK67=0,"",IF(AT67="FT",IF(AY67&lt;FT_First,0,IF(AY67&lt;FT_Y5,1+INT((AY67-FT_First)/FT_Int1),FT_PreY5+FT_PerYear*INT((AY67-FT_Y5)/12)+FT_AnnivDays+INT(MOD(AY67-FT_Y5,12)/FT_Int2)-IF(EDATE(AL67,FT_Y5)&lt;PolicyEff,FT_AnnivDays-1,0))),IF(AT67="PT",IF(AY67&lt;PT_First,0,1+INT((AY67-PT_First)/PT_Int)),0))+IF(AND(AM67&gt;=2,AO67&lt;=AsOfDate),IF(AU67="FT",IF(AZ67&lt;FT_First,0,IF(AZ67&lt;FT_Y5,1+INT((AZ67-FT_First)/FT_Int1),FT_PreY5+FT_PerYear*INT((AZ67-FT_Y5)/12)+FT_AnnivDays+INT(MOD(AZ67-FT_Y5,12)/FT_Int2)-IF(EDATE(AL67,FT_Y5)&lt;PolicyEff,FT_AnnivDays-1,0))),IF(AU67="PT",IF(AZ67&lt;PT_First,0,1+INT((AZ67-PT_First)/PT_Int)),0))-IF(AU67="FT",IF(AY67&lt;FT_First,0,IF(AY67&lt;FT_Y5,1+INT((AY67-FT_First)/FT_Int1),FT_PreY5+FT_PerYear*INT((AY67-FT_Y5)/12)+FT_AnnivDays+INT(MOD(AY67-FT_Y5,12)/FT_Int2)-IF(EDATE(AL67,FT_Y5)&lt;PolicyEff,FT_AnnivDays-1,0))),IF(AU67="PT",IF(AY67&lt;PT_First,0,1+INT((AY67-PT_First)/PT_Int)),0)),0)+IF(AND(AM67&gt;=3,AP67&lt;=AsOfDate),IF(AV67="FT",IF(AX67&lt;FT_First,0,IF(AX67&lt;FT_Y5,1+INT((AX67-FT_First)/FT_Int1),FT_PreY5+FT_PerYear*INT((AX67-FT_Y5)/12)+FT_AnnivDays+INT(MOD(AX67-FT_Y5,12)/FT_Int2)-IF(EDATE(AL67,FT_Y5)&lt;PolicyEff,FT_AnnivDays-1,0))),IF(AV67="PT",IF(AX67&lt;PT_First,0,1+INT((AX67-PT_First)/PT_Int)),0))-IF(AV67="FT",IF(AZ67&lt;FT_First,0,IF(AZ67&lt;FT_Y5,1+INT((AZ67-FT_First)/FT_Int1),FT_PreY5+FT_PerYear*INT((AZ67-FT_Y5)/12)+FT_AnnivDays+INT(MOD(AZ67-FT_Y5,12)/FT_Int2)-IF(EDATE(AL67,FT_Y5)&lt;PolicyEff,FT_AnnivDays-1,0))),IF(AV67="PT",IF(AZ67&lt;PT_First,0,1+INT((AZ67-PT_First)/PT_Int)),0)),0))</f>
        <v/>
      </c>
      <c r="BE67" s="16" t="str">
        <f aca="false">IF(AK67=0,"",IF(AT67="FT",IF(BB67&lt;FT_First,0,IF(BB67&lt;FT_Y5,1+INT((BB67-FT_First)/FT_Int1),FT_PreY5+FT_PerYear*INT((BB67-FT_Y5)/12)+FT_AnnivDays+INT(MOD(BB67-FT_Y5,12)/FT_Int2)-IF(EDATE(AL67,FT_Y5)&lt;PolicyEff,FT_AnnivDays-1,0))),IF(AT67="PT",IF(BB67&lt;PT_First,0,1+INT((BB67-PT_First)/PT_Int)),0))+IF(AND(AM67&gt;=2,AO67&lt;=PFYDate),IF(AU67="FT",IF(BC67&lt;FT_First,0,IF(BC67&lt;FT_Y5,1+INT((BC67-FT_First)/FT_Int1),FT_PreY5+FT_PerYear*INT((BC67-FT_Y5)/12)+FT_AnnivDays+INT(MOD(BC67-FT_Y5,12)/FT_Int2)-IF(EDATE(AL67,FT_Y5)&lt;PolicyEff,FT_AnnivDays-1,0))),IF(AU67="PT",IF(BC67&lt;PT_First,0,1+INT((BC67-PT_First)/PT_Int)),0))-IF(AU67="FT",IF(BB67&lt;FT_First,0,IF(BB67&lt;FT_Y5,1+INT((BB67-FT_First)/FT_Int1),FT_PreY5+FT_PerYear*INT((BB67-FT_Y5)/12)+FT_AnnivDays+INT(MOD(BB67-FT_Y5,12)/FT_Int2)-IF(EDATE(AL67,FT_Y5)&lt;PolicyEff,FT_AnnivDays-1,0))),IF(AU67="PT",IF(BB67&lt;PT_First,0,1+INT((BB67-PT_First)/PT_Int)),0)),0)+IF(AND(AM67&gt;=3,AP67&lt;=PFYDate),IF(AV67="FT",IF(BA67&lt;FT_First,0,IF(BA67&lt;FT_Y5,1+INT((BA67-FT_First)/FT_Int1),FT_PreY5+FT_PerYear*INT((BA67-FT_Y5)/12)+FT_AnnivDays+INT(MOD(BA67-FT_Y5,12)/FT_Int2)-IF(EDATE(AL67,FT_Y5)&lt;PolicyEff,FT_AnnivDays-1,0))),IF(AV67="PT",IF(BA67&lt;PT_First,0,1+INT((BA67-PT_First)/PT_Int)),0))-IF(AV67="FT",IF(BC67&lt;FT_First,0,IF(BC67&lt;FT_Y5,1+INT((BC67-FT_First)/FT_Int1),FT_PreY5+FT_PerYear*INT((BC67-FT_Y5)/12)+FT_AnnivDays+INT(MOD(BC67-FT_Y5,12)/FT_Int2)-IF(EDATE(AL67,FT_Y5)&lt;PolicyEff,FT_AnnivDays-1,0))),IF(AV67="PT",IF(BC67&lt;PT_First,0,1+INT((BC67-PT_First)/PT_Int)),0)),0))</f>
        <v/>
      </c>
      <c r="BF67" s="16" t="str">
        <f aca="false">IF(AK67=0,"",IF(AW67="FT",IF(AX67&lt;FT_First,FT_First,IF(AX67&lt;FT_Y5,MIN(FT_Y5,FT_First+FT_Int1*(INT((AX67-FT_First)/FT_Int1)+1)),FT_Y5+12*INT((AX67-FT_Y5)/12)+FT_Int2*(INT(MOD(AX67-FT_Y5,12)/FT_Int2)+1))),IF(AW67="PT",IF(AX67&lt;PT_First,PT_First,PT_First+PT_Int*(INT((AX67-PT_First)/PT_Int)+1)),"")))</f>
        <v/>
      </c>
      <c r="BG67" s="16" t="str">
        <f aca="false">IF(AK67=0,"",IF(NOT(LH_Ready),0,COUNTIFS(INDEX(LH_Data,0,LH_ColFirst),$A67,INDEX(LH_Data,0,LH_ColSur),$B67,INDEX(LH_Data,0,LH_ColCat),BonusCat)))</f>
        <v/>
      </c>
      <c r="BH67" s="16" t="str">
        <f aca="false">IF(AK67=0,"",IF(OR(NOT(LH_Ready),BG67=0),0,SUMPRODUCT(MAX((INDEX(LH_Data,0,LH_ColFirst)=$A67)*(INDEX(LH_Data,0,LH_ColSur)=$B67)*(INDEX(LH_Data,0,LH_ColCat)=BonusCat)*ROW(LH_Data)))))</f>
        <v/>
      </c>
      <c r="BI67" s="16" t="str">
        <f aca="false">IF(AK67=0,"",IF(EOMONTH(AsOfDate,-1)&lt;AL67,-1,12*(YEAR(EOMONTH(AsOfDate,-1))-YEAR(AL67))+MONTH(EOMONTH(AsOfDate,-1))-MONTH(AL67)-IF(DAY(EOMONTH(AsOfDate,-1))&lt;MIN(DAY(AL67),DAY(EOMONTH(EOMONTH(AsOfDate,-1),0))),1,0)))</f>
        <v/>
      </c>
      <c r="BJ67" s="16" t="str">
        <f aca="false">IF(AK67=0,"",IF(OR(AM67&lt;2,AO67&gt;EOMONTH(AsOfDate,-1)),BI67,IF((AO67-1)&lt;AL67,-1,12*(YEAR((AO67-1))-YEAR(AL67))+MONTH((AO67-1))-MONTH(AL67)-IF(DAY((AO67-1))&lt;MIN(DAY(AL67),DAY(EOMONTH((AO67-1),0))),1,0))))</f>
        <v/>
      </c>
      <c r="BK67" s="16" t="str">
        <f aca="false">IF(AK67=0,"",IF(OR(AM67&lt;3,AP67&gt;EOMONTH(AsOfDate,-1)),BI67,IF((AP67-1)&lt;AL67,-1,12*(YEAR((AP67-1))-YEAR(AL67))+MONTH((AP67-1))-MONTH(AL67)-IF(DAY((AP67-1))&lt;MIN(DAY(AL67),DAY(EOMONTH((AP67-1),0))),1,0))))</f>
        <v/>
      </c>
      <c r="BL67" s="16" t="str">
        <f aca="false">IF(AK67=0,"",IF(AT67="FT",IF(BJ67&lt;FT_First,0,IF(BJ67&lt;FT_Y5,1+INT((BJ67-FT_First)/FT_Int1),FT_PreY5+FT_PerYear*INT((BJ67-FT_Y5)/12)+FT_AnnivDays+INT(MOD(BJ67-FT_Y5,12)/FT_Int2)-IF(EDATE(AL67,FT_Y5)&lt;PolicyEff,FT_AnnivDays-1,0))),IF(AT67="PT",IF(BJ67&lt;PT_First,0,1+INT((BJ67-PT_First)/PT_Int)),0))+IF(AND(AM67&gt;=2,AO67&lt;=EOMONTH(AsOfDate,-1)),IF(AU67="FT",IF(BK67&lt;FT_First,0,IF(BK67&lt;FT_Y5,1+INT((BK67-FT_First)/FT_Int1),FT_PreY5+FT_PerYear*INT((BK67-FT_Y5)/12)+FT_AnnivDays+INT(MOD(BK67-FT_Y5,12)/FT_Int2)-IF(EDATE(AL67,FT_Y5)&lt;PolicyEff,FT_AnnivDays-1,0))),IF(AU67="PT",IF(BK67&lt;PT_First,0,1+INT((BK67-PT_First)/PT_Int)),0))-IF(AU67="FT",IF(BJ67&lt;FT_First,0,IF(BJ67&lt;FT_Y5,1+INT((BJ67-FT_First)/FT_Int1),FT_PreY5+FT_PerYear*INT((BJ67-FT_Y5)/12)+FT_AnnivDays+INT(MOD(BJ67-FT_Y5,12)/FT_Int2)-IF(EDATE(AL67,FT_Y5)&lt;PolicyEff,FT_AnnivDays-1,0))),IF(AU67="PT",IF(BJ67&lt;PT_First,0,1+INT((BJ67-PT_First)/PT_Int)),0)),0)+IF(AND(AM67&gt;=3,AP67&lt;=EOMONTH(AsOfDate,-1)),IF(AV67="FT",IF(BI67&lt;FT_First,0,IF(BI67&lt;FT_Y5,1+INT((BI67-FT_First)/FT_Int1),FT_PreY5+FT_PerYear*INT((BI67-FT_Y5)/12)+FT_AnnivDays+INT(MOD(BI67-FT_Y5,12)/FT_Int2)-IF(EDATE(AL67,FT_Y5)&lt;PolicyEff,FT_AnnivDays-1,0))),IF(AV67="PT",IF(BI67&lt;PT_First,0,1+INT((BI67-PT_First)/PT_Int)),0))-IF(AV67="FT",IF(BK67&lt;FT_First,0,IF(BK67&lt;FT_Y5,1+INT((BK67-FT_First)/FT_Int1),FT_PreY5+FT_PerYear*INT((BK67-FT_Y5)/12)+FT_AnnivDays+INT(MOD(BK67-FT_Y5,12)/FT_Int2)-IF(EDATE(AL67,FT_Y5)&lt;PolicyEff,FT_AnnivDays-1,0))),IF(AV67="PT",IF(BK67&lt;PT_First,0,1+INT((BK67-PT_First)/PT_Int)),0)),0))</f>
        <v/>
      </c>
      <c r="BM67" s="16" t="str">
        <f aca="false">IF(AK67=0,"",IF(AW67="FT",IF(AX67&lt;FT_First,"",IF(AX67&lt;FT_Y5,FT_First+FT_Int1*INT((AX67-FT_First)/FT_Int1),FT_Y5+FT_Int2*INT((AX67-FT_Y5)/FT_Int2))),IF(AW67="PT",IF(AX67&lt;PT_First,"",PT_First+PT_Int*INT((AX67-PT_First)/PT_Int)),"")))</f>
        <v/>
      </c>
      <c r="BN67" s="16" t="str">
        <f aca="false">IF(AK67=0,"",IF((SchemeStart-1)&lt;AL67,-1,12*(YEAR((SchemeStart-1))-YEAR(AL67))+MONTH((SchemeStart-1))-MONTH(AL67)-IF(DAY((SchemeStart-1))&lt;MIN(DAY(AL67),DAY(EOMONTH((SchemeStart-1),0))),1,0)))</f>
        <v/>
      </c>
      <c r="BO67" s="16" t="str">
        <f aca="false">IF(AK67=0,"",IF(OR(AM67&lt;2,AO67&gt;(SchemeStart-1)),BN67,IF((AO67-1)&lt;AL67,-1,12*(YEAR((AO67-1))-YEAR(AL67))+MONTH((AO67-1))-MONTH(AL67)-IF(DAY((AO67-1))&lt;MIN(DAY(AL67),DAY(EOMONTH((AO67-1),0))),1,0))))</f>
        <v/>
      </c>
      <c r="BP67" s="16" t="str">
        <f aca="false">IF(AK67=0,"",IF(OR(AM67&lt;3,AP67&gt;(SchemeStart-1)),BN67,IF((AP67-1)&lt;AL67,-1,12*(YEAR((AP67-1))-YEAR(AL67))+MONTH((AP67-1))-MONTH(AL67)-IF(DAY((AP67-1))&lt;MIN(DAY(AL67),DAY(EOMONTH((AP67-1),0))),1,0))))</f>
        <v/>
      </c>
      <c r="BQ67" s="16" t="str">
        <f aca="false">IF(AK67=0,"",IF(AT67="FT",IF(BO67&lt;FT_First,0,IF(BO67&lt;FT_Y5,1+INT((BO67-FT_First)/FT_Int1),FT_PreY5+FT_PerYear*INT((BO67-FT_Y5)/12)+FT_AnnivDays+INT(MOD(BO67-FT_Y5,12)/FT_Int2)-IF(EDATE(AL67,FT_Y5)&lt;PolicyEff,FT_AnnivDays-1,0))),IF(AT67="PT",IF(BO67&lt;PT_First,0,1+INT((BO67-PT_First)/PT_Int)),0))+IF(AND(AM67&gt;=2,AO67&lt;=(SchemeStart-1)),IF(AU67="FT",IF(BP67&lt;FT_First,0,IF(BP67&lt;FT_Y5,1+INT((BP67-FT_First)/FT_Int1),FT_PreY5+FT_PerYear*INT((BP67-FT_Y5)/12)+FT_AnnivDays+INT(MOD(BP67-FT_Y5,12)/FT_Int2)-IF(EDATE(AL67,FT_Y5)&lt;PolicyEff,FT_AnnivDays-1,0))),IF(AU67="PT",IF(BP67&lt;PT_First,0,1+INT((BP67-PT_First)/PT_Int)),0))-IF(AU67="FT",IF(BO67&lt;FT_First,0,IF(BO67&lt;FT_Y5,1+INT((BO67-FT_First)/FT_Int1),FT_PreY5+FT_PerYear*INT((BO67-FT_Y5)/12)+FT_AnnivDays+INT(MOD(BO67-FT_Y5,12)/FT_Int2)-IF(EDATE(AL67,FT_Y5)&lt;PolicyEff,FT_AnnivDays-1,0))),IF(AU67="PT",IF(BO67&lt;PT_First,0,1+INT((BO67-PT_First)/PT_Int)),0)),0)+IF(AND(AM67&gt;=3,AP67&lt;=(SchemeStart-1)),IF(AV67="FT",IF(BN67&lt;FT_First,0,IF(BN67&lt;FT_Y5,1+INT((BN67-FT_First)/FT_Int1),FT_PreY5+FT_PerYear*INT((BN67-FT_Y5)/12)+FT_AnnivDays+INT(MOD(BN67-FT_Y5,12)/FT_Int2)-IF(EDATE(AL67,FT_Y5)&lt;PolicyEff,FT_AnnivDays-1,0))),IF(AV67="PT",IF(BN67&lt;PT_First,0,1+INT((BN67-PT_First)/PT_Int)),0))-IF(AV67="FT",IF(BP67&lt;FT_First,0,IF(BP67&lt;FT_Y5,1+INT((BP67-FT_First)/FT_Int1),FT_PreY5+FT_PerYear*INT((BP67-FT_Y5)/12)+FT_AnnivDays+INT(MOD(BP67-FT_Y5,12)/FT_Int2)-IF(EDATE(AL67,FT_Y5)&lt;PolicyEff,FT_AnnivDays-1,0))),IF(AV67="PT",IF(BP67&lt;PT_First,0,1+INT((BP67-PT_First)/PT_Int)),0)),0))</f>
        <v/>
      </c>
      <c r="BR67" s="0" t="str">
        <f aca="false">IF(LEN($A67&amp;$B67)=0,"",$A67&amp;" "&amp;$B67)</f>
        <v/>
      </c>
    </row>
    <row r="68" customFormat="false" ht="15" hidden="false" customHeight="false" outlineLevel="0" collapsed="false">
      <c r="A68" s="12"/>
      <c r="B68" s="12"/>
      <c r="C68" s="12"/>
      <c r="D68" s="13"/>
      <c r="E68" s="14" t="str">
        <f aca="false">IF(OR(AK68=0,$D68=""),"",DATE(YEAR(AsOfDate)+IF(DATE(YEAR(AsOfDate),MONTH($D68),DAY($D68))&lt;=AsOfDate,1,0),MONTH($D68),DAY($D68)))</f>
        <v/>
      </c>
      <c r="F68" s="13"/>
      <c r="G68" s="13"/>
      <c r="H68" s="13"/>
      <c r="I68" s="13"/>
      <c r="J68" s="13"/>
      <c r="K68" s="14" t="str">
        <f aca="false">IF(AK68=0,"",DATE(YEAR(AsOfDate)+IF(DATE(YEAR(AsOfDate),MONTH(AL68),DAY(AL68))&lt;=AsOfDate,1,0),MONTH(AL68),DAY(AL68)))</f>
        <v/>
      </c>
      <c r="L68" s="15" t="str">
        <f aca="false">IF(AK68=0,"",ROUND((AsOfDate-AL68)/365.25,1))</f>
        <v/>
      </c>
      <c r="M68" s="16" t="str">
        <f aca="false">IF(AK68=0,"",IF(AsOfDate&lt;AL68,"-",DATEDIF(AL68,AsOfDate,"y")&amp;"y "&amp;DATEDIF(AL68,AsOfDate,"ym")&amp;"m "&amp;DATEDIF(AL68,AsOfDate,"md")&amp;"d"))</f>
        <v/>
      </c>
      <c r="N68" s="17" t="str">
        <f aca="false">IF(AK68=0,"",O68*HoursPerDay)</f>
        <v/>
      </c>
      <c r="O68" s="17" t="str">
        <f aca="false">IF(AK68=0,"",MAX(0,BD68-BQ68))</f>
        <v/>
      </c>
      <c r="P68" s="18"/>
      <c r="Q68" s="16" t="str">
        <f aca="false">IF(AK68=0,"",IF(AM68&lt;2,"",AQ68&amp;" to "&amp;AR68&amp;" on "&amp;TEXT(AO68,"dd/mm/yyyy")&amp;IF(AO68&gt;AsOfDate," (future)",IF(AT68=AU68,"",IF(AU68="None"," - STOPPED accruing",IF(AT68="None"," - commencement for Bonus Leave"," - pathway changed"))))&amp;IF(AM68&lt;3,"","; "&amp;AR68&amp;" to "&amp;AS68&amp;" on "&amp;TEXT(AP68,"dd/mm/yyyy")&amp;IF(AP68&gt;AsOfDate," (future)",IF(AU68=AV68,"",IF(AV68="None"," - STOPPED accruing",IF(AU68="None"," - commencement for Bonus Leave"," - pathway changed")))))))</f>
        <v/>
      </c>
      <c r="R68" s="16" t="str">
        <f aca="false">IF(AK68=0,"",IF(AW68="None",IF(O68&gt;0,"No longer accruing","Not eligible - "&amp;IF(AND(OR(ISNUMBER(SEARCH("part",$C68)),UPPER(TRIM($C68))="PT",UPPER(TRIM($C68))="PTE"),Apply2026="No"),"part-time (scheme is full-time only)",IF(AND(OR(ISNUMBER(SEARCH("part",$C68)),UPPER(TRIM($C68))="PT",UPPER(TRIM($C68))="PTE"),$P68&lt;&gt;"",N($P68)&lt;PT_MinHours),"under "&amp;PT_MinHours&amp;" hrs",IF(IF($C68="","",IF(OR(ISNUMBER(SEARCH("full",$C68)),UPPER(TRIM($C68))="FT",UPPER(TRIM($C68))="FTE"),"Full-Time",IF(OR(ISNUMBER(SEARCH("part",$C68)),UPPER(TRIM($C68))="PT",UPPER(TRIM($C68))="PTE"),"Part-Time",IF(OR(ISNUMBER(SEARCH("cas",$C68)),UPPER(TRIM($C68))="CAS"),"Casual","Unknown"))))="Unknown","type not recognised",$C68)))),IF(O68&gt;0,"Yes - Accrual Required","Not yet - from "&amp;TEXT(S68,"dd/mm/yyyy"))))</f>
        <v/>
      </c>
      <c r="S68" s="14" t="str">
        <f aca="false">IF(AK68=0,"",IF(AW68="None","",EDATE(AL68,BF68)))</f>
        <v/>
      </c>
      <c r="T68" s="17" t="str">
        <f aca="false">IF(AK68=0,"",IF(NOT(LH_Ready),"",IF($F68&gt;PFYDate,0,IF(LH_ColPeriod=0,W68-U68+V68,SUMIFS(INDEX(LH_Data,0,LH_ColAcc),INDEX(LH_Data,0,LH_ColFirst),$A68,INDEX(LH_Data,0,LH_ColSur),$B68,INDEX(LH_Data,0,LH_ColCat),BonusCat,INDEX(LH_Data,0,LH_ColPeriod),LH_OpenLabel)*UnitFactor))))</f>
        <v/>
      </c>
      <c r="U68" s="17" t="str">
        <f aca="false">IF(AK68=0,"",IF(NOT(LH_Ready),"",SUMIFS(INDEX(LH_Data,0,LH_ColAcc),INDEX(LH_Data,0,LH_ColFirst),$A68,INDEX(LH_Data,0,LH_ColSur),$B68,INDEX(LH_Data,0,LH_ColCat),BonusCat,INDEX(LH_Data,0,LH_ColStart),"&gt;="&amp;AL68)*UnitFactor))</f>
        <v/>
      </c>
      <c r="V68" s="17" t="str">
        <f aca="false">IF(AK68=0,"",IF(NOT(LH_Ready),"",SUMIFS(INDEX(LH_Data,0,LH_ColTaken),INDEX(LH_Data,0,LH_ColFirst),$A68,INDEX(LH_Data,0,LH_ColSur),$B68,INDEX(LH_Data,0,LH_ColCat),BonusCat,INDEX(LH_Data,0,LH_ColStart),"&gt;="&amp;AL68)*UnitFactor))</f>
        <v/>
      </c>
      <c r="W68" s="17" t="str">
        <f aca="false">IF(AK68=0,"",IF(NOT(LH_Ready),"",IF(BH68=0,0,INDEX(INDEX(LH_Data,0,LH_ColClose),BH68-1)*UnitFactor)))</f>
        <v/>
      </c>
      <c r="X68" s="17" t="str">
        <f aca="false">IF(AK68=0,"",(MAX(0,BD68-BQ68)-MAX(0,BE68-BQ68))*HoursPerDay)</f>
        <v/>
      </c>
      <c r="Y68" s="17" t="str">
        <f aca="false">IF(AK68=0,"",IF(NOT(LH_Ready),"",IF($AI68="Yes",N(AE68)*HoursPerDay-SUMIFS(INDEX(LH_Data,0,LH_ColAcc),INDEX(LH_Data,0,LH_ColFirst),$A68,INDEX(LH_Data,0,LH_ColSur),$B68,INDEX(LH_Data,0,LH_ColCat),BonusCat,INDEX(LH_Data,0,LH_ColStart),"&gt;="&amp;(EOMONTH(AsOfDate,-1)+1),INDEX(LH_Data,0,LH_ColStart),"&lt;="&amp;AsOfDate)*UnitFactor,IF(BG68=0,N68,N68-N(T68)-N(U68)))))</f>
        <v/>
      </c>
      <c r="Z68" s="16" t="str">
        <f aca="false">IF(OR(AK68=0,Y68=""),"",IF(Y68&gt;0,"Yes","No"))</f>
        <v/>
      </c>
      <c r="AA68" s="16" t="str">
        <f aca="false">IF(AK68=0,IF(LEN($A68&amp;$B68)=0,"","FIX INPUT - StartDate missing"),IF(AD68&lt;&gt;"","FIX INPUT - "&amp;AD68,IF(NOT(LH_Ready),"Paste Leave History export (Settings must show YES)",IF(AND($AI68="Yes",Y68&lt;=0),"OK - EH balance accepted to date"&amp;IF(N(AH68)&gt;0," (EH holds "&amp;AH68&amp;" hrs over the scheme)","")&amp;"; next day "&amp;TEXT(S68,"dd mmm yy")&amp;IF(N(AE68)&gt;0," ("&amp;AE68&amp;" day(s) for "&amp;UPPER(TEXT(AsOfDate,"mmm yyyy"))&amp;" already in EH)",""),IF(Y68&gt;0,"ACCRUE "&amp;ROUND(Y68,2)&amp;" hrs ("&amp;ROUND(Y68/HoursPerDay,2)&amp;" days): "&amp;IF(N(AE68)&gt;0,AE68&amp;" day(s) for "&amp;UPPER(TEXT(AsOfDate,"mmm yyyy"))&amp;" (milestone "&amp;UPPER(TEXT(AF68,"dd mmm yy"))&amp;")"&amp;IF(Y68/HoursPerDay&gt;AE68+0.001," + "&amp;ROUND(Y68/HoursPerDay-AE68,2)&amp;" day(s) catch-up from earlier months",""),"all catch-up from earlier months, nothing new this month")&amp;IF(BG68=0,"; no Bonus Leave in EH yet",""),IF(Y68&lt;0,"CHECK - EH accrued "&amp;ROUND(-Y68,2)&amp;" hrs more than policy since commencement",IF(N(W68)&gt;O68*HoursPerDay+0.01,"CHECK - EH balance "&amp;ROUND(W68-O68*HoursPerDay,2)&amp;" hrs more than policy entitlement",IF(O68&gt;0,"OK - nothing to add"&amp;IF(N(AE68)&gt;0," ("&amp;AE68&amp;" day(s) for "&amp;UPPER(TEXT(AsOfDate,"mmm yyyy"))&amp;" already in EH)",""),IF(AW68="None",R68,"Not yet - first day on "&amp;TEXT(S68,"dd/mm/yyyy"))))))))))</f>
        <v/>
      </c>
      <c r="AB68" s="17" t="str">
        <f aca="false">IF(OR(AK68=0,T68=""),"",MAX(0,BE68-BQ68)*HoursPerDay-T68)</f>
        <v/>
      </c>
      <c r="AC68" s="16" t="str">
        <f aca="false">IF(AK68=0,"",BG68)</f>
        <v/>
      </c>
      <c r="AD68" s="16" t="str">
        <f aca="false">IF(AK68=0,"",TRIM(IF(OR(ISTEXT($F68),ISTEXT($H68),ISTEXT($I68),ISTEXT($G68),ISTEXT($J68),ISTEXT($D68)),"A date is typed as text - retype it as dd/mm/yyyy. ","")&amp;IF(IF($C68="","",IF(OR(ISNUMBER(SEARCH("full",$C68)),UPPER(TRIM($C68))="FT",UPPER(TRIM($C68))="FTE"),"Full-Time",IF(OR(ISNUMBER(SEARCH("part",$C68)),UPPER(TRIM($C68))="PT",UPPER(TRIM($C68))="PTE"),"Part-Time",IF(OR(ISNUMBER(SEARCH("cas",$C68)),UPPER(TRIM($C68))="CAS"),"Casual","Unknown"))))="Unknown","EmploymentType not recognised - use Full-Time, Part-Time or Casual. ","")&amp;IF(AND(AM68&gt;=1,IF(AM68&gt;=3,AS68,IF(AM68=2,AR68,AQ68))&lt;&gt;IF($C68="","",IF(OR(ISNUMBER(SEARCH("full",$C68)),UPPER(TRIM($C68))="FT",UPPER(TRIM($C68))="FTE"),"Full-Time",IF(OR(ISNUMBER(SEARCH("part",$C68)),UPPER(TRIM($C68))="PT",UPPER(TRIM($C68))="PTE"),"Part-Time",IF(OR(ISNUMBER(SEARCH("cas",$C68)),UPPER(TRIM($C68))="CAS"),"Casual","Unknown"))))),"EmploymentType does not match latest start date ("&amp;IF(AM68&gt;=3,AS68,IF(AM68=2,AR68,AQ68))&amp;"). ","")&amp;IF(AND(AM68&gt;=1,AN68&lt;&gt;$F68),"Earliest type date should equal StartDate. ","")&amp;IF(AND(AM68&gt;=2,AN68=AO68),"Two types start on the same date. ","")&amp;IF(AND(OR(ISNUMBER(SEARCH("part",$C68)),UPPER(TRIM($C68))="PT",UPPER(TRIM($C68))="PTE"),$P68=""),"Part-time: enter PT Hrs/Week (blank = 24+). ","")))</f>
        <v/>
      </c>
      <c r="AE68" s="17" t="str">
        <f aca="false">IF(AK68=0,"",O68-MAX(0,BL68-BQ68))</f>
        <v/>
      </c>
      <c r="AF68" s="14" t="str">
        <f aca="false">IF(OR(AK68=0,AE68="",N(AE68)=0,BM68=""),"",EDATE(AL68,BM68))</f>
        <v/>
      </c>
      <c r="AG68" s="17" t="str">
        <f aca="false">IF(AK68=0,"",MIN(BD68,BQ68))</f>
        <v/>
      </c>
      <c r="AH68" s="17" t="str">
        <f aca="false">IF(AK68=0,"",IF(NOT(LH_Ready),"",IF(BG68=0,0,MAX(0,ROUND(N(T68)+N(U68)-N68,2)))))</f>
        <v/>
      </c>
      <c r="AI68" s="12"/>
      <c r="AJ68" s="12"/>
      <c r="AK68" s="16" t="n">
        <f aca="false">IF(OR(LEN($A68&amp;$B68)=0,$F68=""),0,1)</f>
        <v>0</v>
      </c>
      <c r="AL68" s="14" t="str">
        <f aca="false">IF(AK68=0,"",IF(PreSchemeCounts="No",MAX(SchemeStart,IF($J68&lt;&gt;"",$J68,IF(OR(CasualCounts="Yes",COUNT($G68:$I68)=0),$F68,IF(Apply2026="No",IF($I68="",$F68,$I68),IF(COUNT($H68:$I68)=0,$F68,MIN($H68:$I68)))))),IF($J68&lt;&gt;"",$J68,IF(OR(CasualCounts="Yes",COUNT($G68:$I68)=0),$F68,IF(Apply2026="No",IF($I68="",$F68,$I68),IF(COUNT($H68:$I68)=0,$F68,MIN($H68:$I68)))))))</f>
        <v/>
      </c>
      <c r="AM68" s="16" t="str">
        <f aca="false">IF(AK68=0,"",COUNT($G68:$I68))</f>
        <v/>
      </c>
      <c r="AN68" s="14" t="str">
        <f aca="false">IF(AK68=0,"",IFERROR(SMALL($G68:$I68,1),""))</f>
        <v/>
      </c>
      <c r="AO68" s="14" t="str">
        <f aca="false">IF(AK68=0,"",IFERROR(SMALL($G68:$I68,2),""))</f>
        <v/>
      </c>
      <c r="AP68" s="14" t="str">
        <f aca="false">IF(AK68=0,"",IFERROR(SMALL($G68:$I68,3),""))</f>
        <v/>
      </c>
      <c r="AQ68" s="16" t="str">
        <f aca="false">IF(AK68=0,"",IF(AN68="","",IF(AN68=$H68,"Part-Time",IF(AN68=$I68,"Full-Time","Casual"))))</f>
        <v/>
      </c>
      <c r="AR68" s="16" t="str">
        <f aca="false">IF(AK68=0,"",IF(AO68="","",IF(AO68=$H68,"Part-Time",IF(AO68=$I68,"Full-Time","Casual"))))</f>
        <v/>
      </c>
      <c r="AS68" s="16" t="str">
        <f aca="false">IF(AK68=0,"",IF(AP68="","",IF(AP68=$H68,"Part-Time",IF(AP68=$I68,"Full-Time","Casual"))))</f>
        <v/>
      </c>
      <c r="AT68" s="16" t="str">
        <f aca="false">IF(AK68=0,"",IF(AM68=0,IF(OR(ISNUMBER(SEARCH("full",$C68)),UPPER(TRIM($C68))="FT",UPPER(TRIM($C68))="FTE"),"FT",IF(AND(OR(ISNUMBER(SEARCH("part",$C68)),UPPER(TRIM($C68))="PT",UPPER(TRIM($C68))="PTE"),Apply2026="Yes",OR($P68="",N($P68)&gt;=PT_MinHours)),"PT","None")),IF(OR(ISNUMBER(SEARCH("full",AQ68)),UPPER(TRIM(AQ68))="FT",UPPER(TRIM(AQ68))="FTE"),"FT",IF(AND(OR(ISNUMBER(SEARCH("part",AQ68)),UPPER(TRIM(AQ68))="PT",UPPER(TRIM(AQ68))="PTE"),Apply2026="Yes",OR($P68="",N($P68)&gt;=PT_MinHours)),"PT","None"))))</f>
        <v/>
      </c>
      <c r="AU68" s="16" t="str">
        <f aca="false">IF(AK68=0,"",IF(AM68&lt;2,"",IF(OR(ISNUMBER(SEARCH("full",AR68)),UPPER(TRIM(AR68))="FT",UPPER(TRIM(AR68))="FTE"),"FT",IF(AND(OR(ISNUMBER(SEARCH("part",AR68)),UPPER(TRIM(AR68))="PT",UPPER(TRIM(AR68))="PTE"),Apply2026="Yes",OR($P68="",N($P68)&gt;=PT_MinHours)),"PT","None"))))</f>
        <v/>
      </c>
      <c r="AV68" s="16" t="str">
        <f aca="false">IF(AK68=0,"",IF(AM68&lt;3,"",IF(OR(ISNUMBER(SEARCH("full",AS68)),UPPER(TRIM(AS68))="FT",UPPER(TRIM(AS68))="FTE"),"FT",IF(AND(OR(ISNUMBER(SEARCH("part",AS68)),UPPER(TRIM(AS68))="PT",UPPER(TRIM(AS68))="PTE"),Apply2026="Yes",OR($P68="",N($P68)&gt;=PT_MinHours)),"PT","None"))))</f>
        <v/>
      </c>
      <c r="AW68" s="16" t="str">
        <f aca="false">IF(AK68=0,"",IF(AND(AM68&gt;=3,AP68&lt;=AsOfDate),AV68,IF(AND(AM68&gt;=2,AO68&lt;=AsOfDate),AU68,AT68)))</f>
        <v/>
      </c>
      <c r="AX68" s="16" t="str">
        <f aca="false">IF(AK68=0,"",IF(AsOfDate&lt;AL68,-1,12*(YEAR(AsOfDate)-YEAR(AL68))+MONTH(AsOfDate)-MONTH(AL68)-IF(DAY(AsOfDate)&lt;MIN(DAY(AL68),DAY(EOMONTH(AsOfDate,0))),1,0)))</f>
        <v/>
      </c>
      <c r="AY68" s="16" t="str">
        <f aca="false">IF(AK68=0,"",IF(OR(AM68&lt;2,AO68&gt;AsOfDate),AX68,IF((AO68-1)&lt;AL68,-1,12*(YEAR((AO68-1))-YEAR(AL68))+MONTH((AO68-1))-MONTH(AL68)-IF(DAY((AO68-1))&lt;MIN(DAY(AL68),DAY(EOMONTH((AO68-1),0))),1,0))))</f>
        <v/>
      </c>
      <c r="AZ68" s="16" t="str">
        <f aca="false">IF(AK68=0,"",IF(OR(AM68&lt;3,AP68&gt;AsOfDate),AX68,IF((AP68-1)&lt;AL68,-1,12*(YEAR((AP68-1))-YEAR(AL68))+MONTH((AP68-1))-MONTH(AL68)-IF(DAY((AP68-1))&lt;MIN(DAY(AL68),DAY(EOMONTH((AP68-1),0))),1,0))))</f>
        <v/>
      </c>
      <c r="BA68" s="16" t="str">
        <f aca="false">IF(AK68=0,"",IF(PFYDate&lt;AL68,-1,12*(YEAR(PFYDate)-YEAR(AL68))+MONTH(PFYDate)-MONTH(AL68)-IF(DAY(PFYDate)&lt;MIN(DAY(AL68),DAY(EOMONTH(PFYDate,0))),1,0)))</f>
        <v/>
      </c>
      <c r="BB68" s="16" t="str">
        <f aca="false">IF(AK68=0,"",IF(OR(AM68&lt;2,AO68&gt;PFYDate),BA68,IF((AO68-1)&lt;AL68,-1,12*(YEAR((AO68-1))-YEAR(AL68))+MONTH((AO68-1))-MONTH(AL68)-IF(DAY((AO68-1))&lt;MIN(DAY(AL68),DAY(EOMONTH((AO68-1),0))),1,0))))</f>
        <v/>
      </c>
      <c r="BC68" s="16" t="str">
        <f aca="false">IF(AK68=0,"",IF(OR(AM68&lt;3,AP68&gt;PFYDate),BA68,IF((AP68-1)&lt;AL68,-1,12*(YEAR((AP68-1))-YEAR(AL68))+MONTH((AP68-1))-MONTH(AL68)-IF(DAY((AP68-1))&lt;MIN(DAY(AL68),DAY(EOMONTH((AP68-1),0))),1,0))))</f>
        <v/>
      </c>
      <c r="BD68" s="16" t="str">
        <f aca="false">IF(AK68=0,"",IF(AT68="FT",IF(AY68&lt;FT_First,0,IF(AY68&lt;FT_Y5,1+INT((AY68-FT_First)/FT_Int1),FT_PreY5+FT_PerYear*INT((AY68-FT_Y5)/12)+FT_AnnivDays+INT(MOD(AY68-FT_Y5,12)/FT_Int2)-IF(EDATE(AL68,FT_Y5)&lt;PolicyEff,FT_AnnivDays-1,0))),IF(AT68="PT",IF(AY68&lt;PT_First,0,1+INT((AY68-PT_First)/PT_Int)),0))+IF(AND(AM68&gt;=2,AO68&lt;=AsOfDate),IF(AU68="FT",IF(AZ68&lt;FT_First,0,IF(AZ68&lt;FT_Y5,1+INT((AZ68-FT_First)/FT_Int1),FT_PreY5+FT_PerYear*INT((AZ68-FT_Y5)/12)+FT_AnnivDays+INT(MOD(AZ68-FT_Y5,12)/FT_Int2)-IF(EDATE(AL68,FT_Y5)&lt;PolicyEff,FT_AnnivDays-1,0))),IF(AU68="PT",IF(AZ68&lt;PT_First,0,1+INT((AZ68-PT_First)/PT_Int)),0))-IF(AU68="FT",IF(AY68&lt;FT_First,0,IF(AY68&lt;FT_Y5,1+INT((AY68-FT_First)/FT_Int1),FT_PreY5+FT_PerYear*INT((AY68-FT_Y5)/12)+FT_AnnivDays+INT(MOD(AY68-FT_Y5,12)/FT_Int2)-IF(EDATE(AL68,FT_Y5)&lt;PolicyEff,FT_AnnivDays-1,0))),IF(AU68="PT",IF(AY68&lt;PT_First,0,1+INT((AY68-PT_First)/PT_Int)),0)),0)+IF(AND(AM68&gt;=3,AP68&lt;=AsOfDate),IF(AV68="FT",IF(AX68&lt;FT_First,0,IF(AX68&lt;FT_Y5,1+INT((AX68-FT_First)/FT_Int1),FT_PreY5+FT_PerYear*INT((AX68-FT_Y5)/12)+FT_AnnivDays+INT(MOD(AX68-FT_Y5,12)/FT_Int2)-IF(EDATE(AL68,FT_Y5)&lt;PolicyEff,FT_AnnivDays-1,0))),IF(AV68="PT",IF(AX68&lt;PT_First,0,1+INT((AX68-PT_First)/PT_Int)),0))-IF(AV68="FT",IF(AZ68&lt;FT_First,0,IF(AZ68&lt;FT_Y5,1+INT((AZ68-FT_First)/FT_Int1),FT_PreY5+FT_PerYear*INT((AZ68-FT_Y5)/12)+FT_AnnivDays+INT(MOD(AZ68-FT_Y5,12)/FT_Int2)-IF(EDATE(AL68,FT_Y5)&lt;PolicyEff,FT_AnnivDays-1,0))),IF(AV68="PT",IF(AZ68&lt;PT_First,0,1+INT((AZ68-PT_First)/PT_Int)),0)),0))</f>
        <v/>
      </c>
      <c r="BE68" s="16" t="str">
        <f aca="false">IF(AK68=0,"",IF(AT68="FT",IF(BB68&lt;FT_First,0,IF(BB68&lt;FT_Y5,1+INT((BB68-FT_First)/FT_Int1),FT_PreY5+FT_PerYear*INT((BB68-FT_Y5)/12)+FT_AnnivDays+INT(MOD(BB68-FT_Y5,12)/FT_Int2)-IF(EDATE(AL68,FT_Y5)&lt;PolicyEff,FT_AnnivDays-1,0))),IF(AT68="PT",IF(BB68&lt;PT_First,0,1+INT((BB68-PT_First)/PT_Int)),0))+IF(AND(AM68&gt;=2,AO68&lt;=PFYDate),IF(AU68="FT",IF(BC68&lt;FT_First,0,IF(BC68&lt;FT_Y5,1+INT((BC68-FT_First)/FT_Int1),FT_PreY5+FT_PerYear*INT((BC68-FT_Y5)/12)+FT_AnnivDays+INT(MOD(BC68-FT_Y5,12)/FT_Int2)-IF(EDATE(AL68,FT_Y5)&lt;PolicyEff,FT_AnnivDays-1,0))),IF(AU68="PT",IF(BC68&lt;PT_First,0,1+INT((BC68-PT_First)/PT_Int)),0))-IF(AU68="FT",IF(BB68&lt;FT_First,0,IF(BB68&lt;FT_Y5,1+INT((BB68-FT_First)/FT_Int1),FT_PreY5+FT_PerYear*INT((BB68-FT_Y5)/12)+FT_AnnivDays+INT(MOD(BB68-FT_Y5,12)/FT_Int2)-IF(EDATE(AL68,FT_Y5)&lt;PolicyEff,FT_AnnivDays-1,0))),IF(AU68="PT",IF(BB68&lt;PT_First,0,1+INT((BB68-PT_First)/PT_Int)),0)),0)+IF(AND(AM68&gt;=3,AP68&lt;=PFYDate),IF(AV68="FT",IF(BA68&lt;FT_First,0,IF(BA68&lt;FT_Y5,1+INT((BA68-FT_First)/FT_Int1),FT_PreY5+FT_PerYear*INT((BA68-FT_Y5)/12)+FT_AnnivDays+INT(MOD(BA68-FT_Y5,12)/FT_Int2)-IF(EDATE(AL68,FT_Y5)&lt;PolicyEff,FT_AnnivDays-1,0))),IF(AV68="PT",IF(BA68&lt;PT_First,0,1+INT((BA68-PT_First)/PT_Int)),0))-IF(AV68="FT",IF(BC68&lt;FT_First,0,IF(BC68&lt;FT_Y5,1+INT((BC68-FT_First)/FT_Int1),FT_PreY5+FT_PerYear*INT((BC68-FT_Y5)/12)+FT_AnnivDays+INT(MOD(BC68-FT_Y5,12)/FT_Int2)-IF(EDATE(AL68,FT_Y5)&lt;PolicyEff,FT_AnnivDays-1,0))),IF(AV68="PT",IF(BC68&lt;PT_First,0,1+INT((BC68-PT_First)/PT_Int)),0)),0))</f>
        <v/>
      </c>
      <c r="BF68" s="16" t="str">
        <f aca="false">IF(AK68=0,"",IF(AW68="FT",IF(AX68&lt;FT_First,FT_First,IF(AX68&lt;FT_Y5,MIN(FT_Y5,FT_First+FT_Int1*(INT((AX68-FT_First)/FT_Int1)+1)),FT_Y5+12*INT((AX68-FT_Y5)/12)+FT_Int2*(INT(MOD(AX68-FT_Y5,12)/FT_Int2)+1))),IF(AW68="PT",IF(AX68&lt;PT_First,PT_First,PT_First+PT_Int*(INT((AX68-PT_First)/PT_Int)+1)),"")))</f>
        <v/>
      </c>
      <c r="BG68" s="16" t="str">
        <f aca="false">IF(AK68=0,"",IF(NOT(LH_Ready),0,COUNTIFS(INDEX(LH_Data,0,LH_ColFirst),$A68,INDEX(LH_Data,0,LH_ColSur),$B68,INDEX(LH_Data,0,LH_ColCat),BonusCat)))</f>
        <v/>
      </c>
      <c r="BH68" s="16" t="str">
        <f aca="false">IF(AK68=0,"",IF(OR(NOT(LH_Ready),BG68=0),0,SUMPRODUCT(MAX((INDEX(LH_Data,0,LH_ColFirst)=$A68)*(INDEX(LH_Data,0,LH_ColSur)=$B68)*(INDEX(LH_Data,0,LH_ColCat)=BonusCat)*ROW(LH_Data)))))</f>
        <v/>
      </c>
      <c r="BI68" s="16" t="str">
        <f aca="false">IF(AK68=0,"",IF(EOMONTH(AsOfDate,-1)&lt;AL68,-1,12*(YEAR(EOMONTH(AsOfDate,-1))-YEAR(AL68))+MONTH(EOMONTH(AsOfDate,-1))-MONTH(AL68)-IF(DAY(EOMONTH(AsOfDate,-1))&lt;MIN(DAY(AL68),DAY(EOMONTH(EOMONTH(AsOfDate,-1),0))),1,0)))</f>
        <v/>
      </c>
      <c r="BJ68" s="16" t="str">
        <f aca="false">IF(AK68=0,"",IF(OR(AM68&lt;2,AO68&gt;EOMONTH(AsOfDate,-1)),BI68,IF((AO68-1)&lt;AL68,-1,12*(YEAR((AO68-1))-YEAR(AL68))+MONTH((AO68-1))-MONTH(AL68)-IF(DAY((AO68-1))&lt;MIN(DAY(AL68),DAY(EOMONTH((AO68-1),0))),1,0))))</f>
        <v/>
      </c>
      <c r="BK68" s="16" t="str">
        <f aca="false">IF(AK68=0,"",IF(OR(AM68&lt;3,AP68&gt;EOMONTH(AsOfDate,-1)),BI68,IF((AP68-1)&lt;AL68,-1,12*(YEAR((AP68-1))-YEAR(AL68))+MONTH((AP68-1))-MONTH(AL68)-IF(DAY((AP68-1))&lt;MIN(DAY(AL68),DAY(EOMONTH((AP68-1),0))),1,0))))</f>
        <v/>
      </c>
      <c r="BL68" s="16" t="str">
        <f aca="false">IF(AK68=0,"",IF(AT68="FT",IF(BJ68&lt;FT_First,0,IF(BJ68&lt;FT_Y5,1+INT((BJ68-FT_First)/FT_Int1),FT_PreY5+FT_PerYear*INT((BJ68-FT_Y5)/12)+FT_AnnivDays+INT(MOD(BJ68-FT_Y5,12)/FT_Int2)-IF(EDATE(AL68,FT_Y5)&lt;PolicyEff,FT_AnnivDays-1,0))),IF(AT68="PT",IF(BJ68&lt;PT_First,0,1+INT((BJ68-PT_First)/PT_Int)),0))+IF(AND(AM68&gt;=2,AO68&lt;=EOMONTH(AsOfDate,-1)),IF(AU68="FT",IF(BK68&lt;FT_First,0,IF(BK68&lt;FT_Y5,1+INT((BK68-FT_First)/FT_Int1),FT_PreY5+FT_PerYear*INT((BK68-FT_Y5)/12)+FT_AnnivDays+INT(MOD(BK68-FT_Y5,12)/FT_Int2)-IF(EDATE(AL68,FT_Y5)&lt;PolicyEff,FT_AnnivDays-1,0))),IF(AU68="PT",IF(BK68&lt;PT_First,0,1+INT((BK68-PT_First)/PT_Int)),0))-IF(AU68="FT",IF(BJ68&lt;FT_First,0,IF(BJ68&lt;FT_Y5,1+INT((BJ68-FT_First)/FT_Int1),FT_PreY5+FT_PerYear*INT((BJ68-FT_Y5)/12)+FT_AnnivDays+INT(MOD(BJ68-FT_Y5,12)/FT_Int2)-IF(EDATE(AL68,FT_Y5)&lt;PolicyEff,FT_AnnivDays-1,0))),IF(AU68="PT",IF(BJ68&lt;PT_First,0,1+INT((BJ68-PT_First)/PT_Int)),0)),0)+IF(AND(AM68&gt;=3,AP68&lt;=EOMONTH(AsOfDate,-1)),IF(AV68="FT",IF(BI68&lt;FT_First,0,IF(BI68&lt;FT_Y5,1+INT((BI68-FT_First)/FT_Int1),FT_PreY5+FT_PerYear*INT((BI68-FT_Y5)/12)+FT_AnnivDays+INT(MOD(BI68-FT_Y5,12)/FT_Int2)-IF(EDATE(AL68,FT_Y5)&lt;PolicyEff,FT_AnnivDays-1,0))),IF(AV68="PT",IF(BI68&lt;PT_First,0,1+INT((BI68-PT_First)/PT_Int)),0))-IF(AV68="FT",IF(BK68&lt;FT_First,0,IF(BK68&lt;FT_Y5,1+INT((BK68-FT_First)/FT_Int1),FT_PreY5+FT_PerYear*INT((BK68-FT_Y5)/12)+FT_AnnivDays+INT(MOD(BK68-FT_Y5,12)/FT_Int2)-IF(EDATE(AL68,FT_Y5)&lt;PolicyEff,FT_AnnivDays-1,0))),IF(AV68="PT",IF(BK68&lt;PT_First,0,1+INT((BK68-PT_First)/PT_Int)),0)),0))</f>
        <v/>
      </c>
      <c r="BM68" s="16" t="str">
        <f aca="false">IF(AK68=0,"",IF(AW68="FT",IF(AX68&lt;FT_First,"",IF(AX68&lt;FT_Y5,FT_First+FT_Int1*INT((AX68-FT_First)/FT_Int1),FT_Y5+FT_Int2*INT((AX68-FT_Y5)/FT_Int2))),IF(AW68="PT",IF(AX68&lt;PT_First,"",PT_First+PT_Int*INT((AX68-PT_First)/PT_Int)),"")))</f>
        <v/>
      </c>
      <c r="BN68" s="16" t="str">
        <f aca="false">IF(AK68=0,"",IF((SchemeStart-1)&lt;AL68,-1,12*(YEAR((SchemeStart-1))-YEAR(AL68))+MONTH((SchemeStart-1))-MONTH(AL68)-IF(DAY((SchemeStart-1))&lt;MIN(DAY(AL68),DAY(EOMONTH((SchemeStart-1),0))),1,0)))</f>
        <v/>
      </c>
      <c r="BO68" s="16" t="str">
        <f aca="false">IF(AK68=0,"",IF(OR(AM68&lt;2,AO68&gt;(SchemeStart-1)),BN68,IF((AO68-1)&lt;AL68,-1,12*(YEAR((AO68-1))-YEAR(AL68))+MONTH((AO68-1))-MONTH(AL68)-IF(DAY((AO68-1))&lt;MIN(DAY(AL68),DAY(EOMONTH((AO68-1),0))),1,0))))</f>
        <v/>
      </c>
      <c r="BP68" s="16" t="str">
        <f aca="false">IF(AK68=0,"",IF(OR(AM68&lt;3,AP68&gt;(SchemeStart-1)),BN68,IF((AP68-1)&lt;AL68,-1,12*(YEAR((AP68-1))-YEAR(AL68))+MONTH((AP68-1))-MONTH(AL68)-IF(DAY((AP68-1))&lt;MIN(DAY(AL68),DAY(EOMONTH((AP68-1),0))),1,0))))</f>
        <v/>
      </c>
      <c r="BQ68" s="16" t="str">
        <f aca="false">IF(AK68=0,"",IF(AT68="FT",IF(BO68&lt;FT_First,0,IF(BO68&lt;FT_Y5,1+INT((BO68-FT_First)/FT_Int1),FT_PreY5+FT_PerYear*INT((BO68-FT_Y5)/12)+FT_AnnivDays+INT(MOD(BO68-FT_Y5,12)/FT_Int2)-IF(EDATE(AL68,FT_Y5)&lt;PolicyEff,FT_AnnivDays-1,0))),IF(AT68="PT",IF(BO68&lt;PT_First,0,1+INT((BO68-PT_First)/PT_Int)),0))+IF(AND(AM68&gt;=2,AO68&lt;=(SchemeStart-1)),IF(AU68="FT",IF(BP68&lt;FT_First,0,IF(BP68&lt;FT_Y5,1+INT((BP68-FT_First)/FT_Int1),FT_PreY5+FT_PerYear*INT((BP68-FT_Y5)/12)+FT_AnnivDays+INT(MOD(BP68-FT_Y5,12)/FT_Int2)-IF(EDATE(AL68,FT_Y5)&lt;PolicyEff,FT_AnnivDays-1,0))),IF(AU68="PT",IF(BP68&lt;PT_First,0,1+INT((BP68-PT_First)/PT_Int)),0))-IF(AU68="FT",IF(BO68&lt;FT_First,0,IF(BO68&lt;FT_Y5,1+INT((BO68-FT_First)/FT_Int1),FT_PreY5+FT_PerYear*INT((BO68-FT_Y5)/12)+FT_AnnivDays+INT(MOD(BO68-FT_Y5,12)/FT_Int2)-IF(EDATE(AL68,FT_Y5)&lt;PolicyEff,FT_AnnivDays-1,0))),IF(AU68="PT",IF(BO68&lt;PT_First,0,1+INT((BO68-PT_First)/PT_Int)),0)),0)+IF(AND(AM68&gt;=3,AP68&lt;=(SchemeStart-1)),IF(AV68="FT",IF(BN68&lt;FT_First,0,IF(BN68&lt;FT_Y5,1+INT((BN68-FT_First)/FT_Int1),FT_PreY5+FT_PerYear*INT((BN68-FT_Y5)/12)+FT_AnnivDays+INT(MOD(BN68-FT_Y5,12)/FT_Int2)-IF(EDATE(AL68,FT_Y5)&lt;PolicyEff,FT_AnnivDays-1,0))),IF(AV68="PT",IF(BN68&lt;PT_First,0,1+INT((BN68-PT_First)/PT_Int)),0))-IF(AV68="FT",IF(BP68&lt;FT_First,0,IF(BP68&lt;FT_Y5,1+INT((BP68-FT_First)/FT_Int1),FT_PreY5+FT_PerYear*INT((BP68-FT_Y5)/12)+FT_AnnivDays+INT(MOD(BP68-FT_Y5,12)/FT_Int2)-IF(EDATE(AL68,FT_Y5)&lt;PolicyEff,FT_AnnivDays-1,0))),IF(AV68="PT",IF(BP68&lt;PT_First,0,1+INT((BP68-PT_First)/PT_Int)),0)),0))</f>
        <v/>
      </c>
      <c r="BR68" s="0" t="str">
        <f aca="false">IF(LEN($A68&amp;$B68)=0,"",$A68&amp;" "&amp;$B68)</f>
        <v/>
      </c>
    </row>
    <row r="69" customFormat="false" ht="15" hidden="false" customHeight="false" outlineLevel="0" collapsed="false">
      <c r="A69" s="12"/>
      <c r="B69" s="12"/>
      <c r="C69" s="12"/>
      <c r="D69" s="13"/>
      <c r="E69" s="14" t="str">
        <f aca="false">IF(OR(AK69=0,$D69=""),"",DATE(YEAR(AsOfDate)+IF(DATE(YEAR(AsOfDate),MONTH($D69),DAY($D69))&lt;=AsOfDate,1,0),MONTH($D69),DAY($D69)))</f>
        <v/>
      </c>
      <c r="F69" s="13"/>
      <c r="G69" s="13"/>
      <c r="H69" s="13"/>
      <c r="I69" s="13"/>
      <c r="J69" s="13"/>
      <c r="K69" s="14" t="str">
        <f aca="false">IF(AK69=0,"",DATE(YEAR(AsOfDate)+IF(DATE(YEAR(AsOfDate),MONTH(AL69),DAY(AL69))&lt;=AsOfDate,1,0),MONTH(AL69),DAY(AL69)))</f>
        <v/>
      </c>
      <c r="L69" s="15" t="str">
        <f aca="false">IF(AK69=0,"",ROUND((AsOfDate-AL69)/365.25,1))</f>
        <v/>
      </c>
      <c r="M69" s="16" t="str">
        <f aca="false">IF(AK69=0,"",IF(AsOfDate&lt;AL69,"-",DATEDIF(AL69,AsOfDate,"y")&amp;"y "&amp;DATEDIF(AL69,AsOfDate,"ym")&amp;"m "&amp;DATEDIF(AL69,AsOfDate,"md")&amp;"d"))</f>
        <v/>
      </c>
      <c r="N69" s="17" t="str">
        <f aca="false">IF(AK69=0,"",O69*HoursPerDay)</f>
        <v/>
      </c>
      <c r="O69" s="17" t="str">
        <f aca="false">IF(AK69=0,"",MAX(0,BD69-BQ69))</f>
        <v/>
      </c>
      <c r="P69" s="18"/>
      <c r="Q69" s="16" t="str">
        <f aca="false">IF(AK69=0,"",IF(AM69&lt;2,"",AQ69&amp;" to "&amp;AR69&amp;" on "&amp;TEXT(AO69,"dd/mm/yyyy")&amp;IF(AO69&gt;AsOfDate," (future)",IF(AT69=AU69,"",IF(AU69="None"," - STOPPED accruing",IF(AT69="None"," - commencement for Bonus Leave"," - pathway changed"))))&amp;IF(AM69&lt;3,"","; "&amp;AR69&amp;" to "&amp;AS69&amp;" on "&amp;TEXT(AP69,"dd/mm/yyyy")&amp;IF(AP69&gt;AsOfDate," (future)",IF(AU69=AV69,"",IF(AV69="None"," - STOPPED accruing",IF(AU69="None"," - commencement for Bonus Leave"," - pathway changed")))))))</f>
        <v/>
      </c>
      <c r="R69" s="16" t="str">
        <f aca="false">IF(AK69=0,"",IF(AW69="None",IF(O69&gt;0,"No longer accruing","Not eligible - "&amp;IF(AND(OR(ISNUMBER(SEARCH("part",$C69)),UPPER(TRIM($C69))="PT",UPPER(TRIM($C69))="PTE"),Apply2026="No"),"part-time (scheme is full-time only)",IF(AND(OR(ISNUMBER(SEARCH("part",$C69)),UPPER(TRIM($C69))="PT",UPPER(TRIM($C69))="PTE"),$P69&lt;&gt;"",N($P69)&lt;PT_MinHours),"under "&amp;PT_MinHours&amp;" hrs",IF(IF($C69="","",IF(OR(ISNUMBER(SEARCH("full",$C69)),UPPER(TRIM($C69))="FT",UPPER(TRIM($C69))="FTE"),"Full-Time",IF(OR(ISNUMBER(SEARCH("part",$C69)),UPPER(TRIM($C69))="PT",UPPER(TRIM($C69))="PTE"),"Part-Time",IF(OR(ISNUMBER(SEARCH("cas",$C69)),UPPER(TRIM($C69))="CAS"),"Casual","Unknown"))))="Unknown","type not recognised",$C69)))),IF(O69&gt;0,"Yes - Accrual Required","Not yet - from "&amp;TEXT(S69,"dd/mm/yyyy"))))</f>
        <v/>
      </c>
      <c r="S69" s="14" t="str">
        <f aca="false">IF(AK69=0,"",IF(AW69="None","",EDATE(AL69,BF69)))</f>
        <v/>
      </c>
      <c r="T69" s="17" t="str">
        <f aca="false">IF(AK69=0,"",IF(NOT(LH_Ready),"",IF($F69&gt;PFYDate,0,IF(LH_ColPeriod=0,W69-U69+V69,SUMIFS(INDEX(LH_Data,0,LH_ColAcc),INDEX(LH_Data,0,LH_ColFirst),$A69,INDEX(LH_Data,0,LH_ColSur),$B69,INDEX(LH_Data,0,LH_ColCat),BonusCat,INDEX(LH_Data,0,LH_ColPeriod),LH_OpenLabel)*UnitFactor))))</f>
        <v/>
      </c>
      <c r="U69" s="17" t="str">
        <f aca="false">IF(AK69=0,"",IF(NOT(LH_Ready),"",SUMIFS(INDEX(LH_Data,0,LH_ColAcc),INDEX(LH_Data,0,LH_ColFirst),$A69,INDEX(LH_Data,0,LH_ColSur),$B69,INDEX(LH_Data,0,LH_ColCat),BonusCat,INDEX(LH_Data,0,LH_ColStart),"&gt;="&amp;AL69)*UnitFactor))</f>
        <v/>
      </c>
      <c r="V69" s="17" t="str">
        <f aca="false">IF(AK69=0,"",IF(NOT(LH_Ready),"",SUMIFS(INDEX(LH_Data,0,LH_ColTaken),INDEX(LH_Data,0,LH_ColFirst),$A69,INDEX(LH_Data,0,LH_ColSur),$B69,INDEX(LH_Data,0,LH_ColCat),BonusCat,INDEX(LH_Data,0,LH_ColStart),"&gt;="&amp;AL69)*UnitFactor))</f>
        <v/>
      </c>
      <c r="W69" s="17" t="str">
        <f aca="false">IF(AK69=0,"",IF(NOT(LH_Ready),"",IF(BH69=0,0,INDEX(INDEX(LH_Data,0,LH_ColClose),BH69-1)*UnitFactor)))</f>
        <v/>
      </c>
      <c r="X69" s="17" t="str">
        <f aca="false">IF(AK69=0,"",(MAX(0,BD69-BQ69)-MAX(0,BE69-BQ69))*HoursPerDay)</f>
        <v/>
      </c>
      <c r="Y69" s="17" t="str">
        <f aca="false">IF(AK69=0,"",IF(NOT(LH_Ready),"",IF($AI69="Yes",N(AE69)*HoursPerDay-SUMIFS(INDEX(LH_Data,0,LH_ColAcc),INDEX(LH_Data,0,LH_ColFirst),$A69,INDEX(LH_Data,0,LH_ColSur),$B69,INDEX(LH_Data,0,LH_ColCat),BonusCat,INDEX(LH_Data,0,LH_ColStart),"&gt;="&amp;(EOMONTH(AsOfDate,-1)+1),INDEX(LH_Data,0,LH_ColStart),"&lt;="&amp;AsOfDate)*UnitFactor,IF(BG69=0,N69,N69-N(T69)-N(U69)))))</f>
        <v/>
      </c>
      <c r="Z69" s="16" t="str">
        <f aca="false">IF(OR(AK69=0,Y69=""),"",IF(Y69&gt;0,"Yes","No"))</f>
        <v/>
      </c>
      <c r="AA69" s="16" t="str">
        <f aca="false">IF(AK69=0,IF(LEN($A69&amp;$B69)=0,"","FIX INPUT - StartDate missing"),IF(AD69&lt;&gt;"","FIX INPUT - "&amp;AD69,IF(NOT(LH_Ready),"Paste Leave History export (Settings must show YES)",IF(AND($AI69="Yes",Y69&lt;=0),"OK - EH balance accepted to date"&amp;IF(N(AH69)&gt;0," (EH holds "&amp;AH69&amp;" hrs over the scheme)","")&amp;"; next day "&amp;TEXT(S69,"dd mmm yy")&amp;IF(N(AE69)&gt;0," ("&amp;AE69&amp;" day(s) for "&amp;UPPER(TEXT(AsOfDate,"mmm yyyy"))&amp;" already in EH)",""),IF(Y69&gt;0,"ACCRUE "&amp;ROUND(Y69,2)&amp;" hrs ("&amp;ROUND(Y69/HoursPerDay,2)&amp;" days): "&amp;IF(N(AE69)&gt;0,AE69&amp;" day(s) for "&amp;UPPER(TEXT(AsOfDate,"mmm yyyy"))&amp;" (milestone "&amp;UPPER(TEXT(AF69,"dd mmm yy"))&amp;")"&amp;IF(Y69/HoursPerDay&gt;AE69+0.001," + "&amp;ROUND(Y69/HoursPerDay-AE69,2)&amp;" day(s) catch-up from earlier months",""),"all catch-up from earlier months, nothing new this month")&amp;IF(BG69=0,"; no Bonus Leave in EH yet",""),IF(Y69&lt;0,"CHECK - EH accrued "&amp;ROUND(-Y69,2)&amp;" hrs more than policy since commencement",IF(N(W69)&gt;O69*HoursPerDay+0.01,"CHECK - EH balance "&amp;ROUND(W69-O69*HoursPerDay,2)&amp;" hrs more than policy entitlement",IF(O69&gt;0,"OK - nothing to add"&amp;IF(N(AE69)&gt;0," ("&amp;AE69&amp;" day(s) for "&amp;UPPER(TEXT(AsOfDate,"mmm yyyy"))&amp;" already in EH)",""),IF(AW69="None",R69,"Not yet - first day on "&amp;TEXT(S69,"dd/mm/yyyy"))))))))))</f>
        <v/>
      </c>
      <c r="AB69" s="17" t="str">
        <f aca="false">IF(OR(AK69=0,T69=""),"",MAX(0,BE69-BQ69)*HoursPerDay-T69)</f>
        <v/>
      </c>
      <c r="AC69" s="16" t="str">
        <f aca="false">IF(AK69=0,"",BG69)</f>
        <v/>
      </c>
      <c r="AD69" s="16" t="str">
        <f aca="false">IF(AK69=0,"",TRIM(IF(OR(ISTEXT($F69),ISTEXT($H69),ISTEXT($I69),ISTEXT($G69),ISTEXT($J69),ISTEXT($D69)),"A date is typed as text - retype it as dd/mm/yyyy. ","")&amp;IF(IF($C69="","",IF(OR(ISNUMBER(SEARCH("full",$C69)),UPPER(TRIM($C69))="FT",UPPER(TRIM($C69))="FTE"),"Full-Time",IF(OR(ISNUMBER(SEARCH("part",$C69)),UPPER(TRIM($C69))="PT",UPPER(TRIM($C69))="PTE"),"Part-Time",IF(OR(ISNUMBER(SEARCH("cas",$C69)),UPPER(TRIM($C69))="CAS"),"Casual","Unknown"))))="Unknown","EmploymentType not recognised - use Full-Time, Part-Time or Casual. ","")&amp;IF(AND(AM69&gt;=1,IF(AM69&gt;=3,AS69,IF(AM69=2,AR69,AQ69))&lt;&gt;IF($C69="","",IF(OR(ISNUMBER(SEARCH("full",$C69)),UPPER(TRIM($C69))="FT",UPPER(TRIM($C69))="FTE"),"Full-Time",IF(OR(ISNUMBER(SEARCH("part",$C69)),UPPER(TRIM($C69))="PT",UPPER(TRIM($C69))="PTE"),"Part-Time",IF(OR(ISNUMBER(SEARCH("cas",$C69)),UPPER(TRIM($C69))="CAS"),"Casual","Unknown"))))),"EmploymentType does not match latest start date ("&amp;IF(AM69&gt;=3,AS69,IF(AM69=2,AR69,AQ69))&amp;"). ","")&amp;IF(AND(AM69&gt;=1,AN69&lt;&gt;$F69),"Earliest type date should equal StartDate. ","")&amp;IF(AND(AM69&gt;=2,AN69=AO69),"Two types start on the same date. ","")&amp;IF(AND(OR(ISNUMBER(SEARCH("part",$C69)),UPPER(TRIM($C69))="PT",UPPER(TRIM($C69))="PTE"),$P69=""),"Part-time: enter PT Hrs/Week (blank = 24+). ","")))</f>
        <v/>
      </c>
      <c r="AE69" s="17" t="str">
        <f aca="false">IF(AK69=0,"",O69-MAX(0,BL69-BQ69))</f>
        <v/>
      </c>
      <c r="AF69" s="14" t="str">
        <f aca="false">IF(OR(AK69=0,AE69="",N(AE69)=0,BM69=""),"",EDATE(AL69,BM69))</f>
        <v/>
      </c>
      <c r="AG69" s="17" t="str">
        <f aca="false">IF(AK69=0,"",MIN(BD69,BQ69))</f>
        <v/>
      </c>
      <c r="AH69" s="17" t="str">
        <f aca="false">IF(AK69=0,"",IF(NOT(LH_Ready),"",IF(BG69=0,0,MAX(0,ROUND(N(T69)+N(U69)-N69,2)))))</f>
        <v/>
      </c>
      <c r="AI69" s="12"/>
      <c r="AJ69" s="12"/>
      <c r="AK69" s="16" t="n">
        <f aca="false">IF(OR(LEN($A69&amp;$B69)=0,$F69=""),0,1)</f>
        <v>0</v>
      </c>
      <c r="AL69" s="14" t="str">
        <f aca="false">IF(AK69=0,"",IF(PreSchemeCounts="No",MAX(SchemeStart,IF($J69&lt;&gt;"",$J69,IF(OR(CasualCounts="Yes",COUNT($G69:$I69)=0),$F69,IF(Apply2026="No",IF($I69="",$F69,$I69),IF(COUNT($H69:$I69)=0,$F69,MIN($H69:$I69)))))),IF($J69&lt;&gt;"",$J69,IF(OR(CasualCounts="Yes",COUNT($G69:$I69)=0),$F69,IF(Apply2026="No",IF($I69="",$F69,$I69),IF(COUNT($H69:$I69)=0,$F69,MIN($H69:$I69)))))))</f>
        <v/>
      </c>
      <c r="AM69" s="16" t="str">
        <f aca="false">IF(AK69=0,"",COUNT($G69:$I69))</f>
        <v/>
      </c>
      <c r="AN69" s="14" t="str">
        <f aca="false">IF(AK69=0,"",IFERROR(SMALL($G69:$I69,1),""))</f>
        <v/>
      </c>
      <c r="AO69" s="14" t="str">
        <f aca="false">IF(AK69=0,"",IFERROR(SMALL($G69:$I69,2),""))</f>
        <v/>
      </c>
      <c r="AP69" s="14" t="str">
        <f aca="false">IF(AK69=0,"",IFERROR(SMALL($G69:$I69,3),""))</f>
        <v/>
      </c>
      <c r="AQ69" s="16" t="str">
        <f aca="false">IF(AK69=0,"",IF(AN69="","",IF(AN69=$H69,"Part-Time",IF(AN69=$I69,"Full-Time","Casual"))))</f>
        <v/>
      </c>
      <c r="AR69" s="16" t="str">
        <f aca="false">IF(AK69=0,"",IF(AO69="","",IF(AO69=$H69,"Part-Time",IF(AO69=$I69,"Full-Time","Casual"))))</f>
        <v/>
      </c>
      <c r="AS69" s="16" t="str">
        <f aca="false">IF(AK69=0,"",IF(AP69="","",IF(AP69=$H69,"Part-Time",IF(AP69=$I69,"Full-Time","Casual"))))</f>
        <v/>
      </c>
      <c r="AT69" s="16" t="str">
        <f aca="false">IF(AK69=0,"",IF(AM69=0,IF(OR(ISNUMBER(SEARCH("full",$C69)),UPPER(TRIM($C69))="FT",UPPER(TRIM($C69))="FTE"),"FT",IF(AND(OR(ISNUMBER(SEARCH("part",$C69)),UPPER(TRIM($C69))="PT",UPPER(TRIM($C69))="PTE"),Apply2026="Yes",OR($P69="",N($P69)&gt;=PT_MinHours)),"PT","None")),IF(OR(ISNUMBER(SEARCH("full",AQ69)),UPPER(TRIM(AQ69))="FT",UPPER(TRIM(AQ69))="FTE"),"FT",IF(AND(OR(ISNUMBER(SEARCH("part",AQ69)),UPPER(TRIM(AQ69))="PT",UPPER(TRIM(AQ69))="PTE"),Apply2026="Yes",OR($P69="",N($P69)&gt;=PT_MinHours)),"PT","None"))))</f>
        <v/>
      </c>
      <c r="AU69" s="16" t="str">
        <f aca="false">IF(AK69=0,"",IF(AM69&lt;2,"",IF(OR(ISNUMBER(SEARCH("full",AR69)),UPPER(TRIM(AR69))="FT",UPPER(TRIM(AR69))="FTE"),"FT",IF(AND(OR(ISNUMBER(SEARCH("part",AR69)),UPPER(TRIM(AR69))="PT",UPPER(TRIM(AR69))="PTE"),Apply2026="Yes",OR($P69="",N($P69)&gt;=PT_MinHours)),"PT","None"))))</f>
        <v/>
      </c>
      <c r="AV69" s="16" t="str">
        <f aca="false">IF(AK69=0,"",IF(AM69&lt;3,"",IF(OR(ISNUMBER(SEARCH("full",AS69)),UPPER(TRIM(AS69))="FT",UPPER(TRIM(AS69))="FTE"),"FT",IF(AND(OR(ISNUMBER(SEARCH("part",AS69)),UPPER(TRIM(AS69))="PT",UPPER(TRIM(AS69))="PTE"),Apply2026="Yes",OR($P69="",N($P69)&gt;=PT_MinHours)),"PT","None"))))</f>
        <v/>
      </c>
      <c r="AW69" s="16" t="str">
        <f aca="false">IF(AK69=0,"",IF(AND(AM69&gt;=3,AP69&lt;=AsOfDate),AV69,IF(AND(AM69&gt;=2,AO69&lt;=AsOfDate),AU69,AT69)))</f>
        <v/>
      </c>
      <c r="AX69" s="16" t="str">
        <f aca="false">IF(AK69=0,"",IF(AsOfDate&lt;AL69,-1,12*(YEAR(AsOfDate)-YEAR(AL69))+MONTH(AsOfDate)-MONTH(AL69)-IF(DAY(AsOfDate)&lt;MIN(DAY(AL69),DAY(EOMONTH(AsOfDate,0))),1,0)))</f>
        <v/>
      </c>
      <c r="AY69" s="16" t="str">
        <f aca="false">IF(AK69=0,"",IF(OR(AM69&lt;2,AO69&gt;AsOfDate),AX69,IF((AO69-1)&lt;AL69,-1,12*(YEAR((AO69-1))-YEAR(AL69))+MONTH((AO69-1))-MONTH(AL69)-IF(DAY((AO69-1))&lt;MIN(DAY(AL69),DAY(EOMONTH((AO69-1),0))),1,0))))</f>
        <v/>
      </c>
      <c r="AZ69" s="16" t="str">
        <f aca="false">IF(AK69=0,"",IF(OR(AM69&lt;3,AP69&gt;AsOfDate),AX69,IF((AP69-1)&lt;AL69,-1,12*(YEAR((AP69-1))-YEAR(AL69))+MONTH((AP69-1))-MONTH(AL69)-IF(DAY((AP69-1))&lt;MIN(DAY(AL69),DAY(EOMONTH((AP69-1),0))),1,0))))</f>
        <v/>
      </c>
      <c r="BA69" s="16" t="str">
        <f aca="false">IF(AK69=0,"",IF(PFYDate&lt;AL69,-1,12*(YEAR(PFYDate)-YEAR(AL69))+MONTH(PFYDate)-MONTH(AL69)-IF(DAY(PFYDate)&lt;MIN(DAY(AL69),DAY(EOMONTH(PFYDate,0))),1,0)))</f>
        <v/>
      </c>
      <c r="BB69" s="16" t="str">
        <f aca="false">IF(AK69=0,"",IF(OR(AM69&lt;2,AO69&gt;PFYDate),BA69,IF((AO69-1)&lt;AL69,-1,12*(YEAR((AO69-1))-YEAR(AL69))+MONTH((AO69-1))-MONTH(AL69)-IF(DAY((AO69-1))&lt;MIN(DAY(AL69),DAY(EOMONTH((AO69-1),0))),1,0))))</f>
        <v/>
      </c>
      <c r="BC69" s="16" t="str">
        <f aca="false">IF(AK69=0,"",IF(OR(AM69&lt;3,AP69&gt;PFYDate),BA69,IF((AP69-1)&lt;AL69,-1,12*(YEAR((AP69-1))-YEAR(AL69))+MONTH((AP69-1))-MONTH(AL69)-IF(DAY((AP69-1))&lt;MIN(DAY(AL69),DAY(EOMONTH((AP69-1),0))),1,0))))</f>
        <v/>
      </c>
      <c r="BD69" s="16" t="str">
        <f aca="false">IF(AK69=0,"",IF(AT69="FT",IF(AY69&lt;FT_First,0,IF(AY69&lt;FT_Y5,1+INT((AY69-FT_First)/FT_Int1),FT_PreY5+FT_PerYear*INT((AY69-FT_Y5)/12)+FT_AnnivDays+INT(MOD(AY69-FT_Y5,12)/FT_Int2)-IF(EDATE(AL69,FT_Y5)&lt;PolicyEff,FT_AnnivDays-1,0))),IF(AT69="PT",IF(AY69&lt;PT_First,0,1+INT((AY69-PT_First)/PT_Int)),0))+IF(AND(AM69&gt;=2,AO69&lt;=AsOfDate),IF(AU69="FT",IF(AZ69&lt;FT_First,0,IF(AZ69&lt;FT_Y5,1+INT((AZ69-FT_First)/FT_Int1),FT_PreY5+FT_PerYear*INT((AZ69-FT_Y5)/12)+FT_AnnivDays+INT(MOD(AZ69-FT_Y5,12)/FT_Int2)-IF(EDATE(AL69,FT_Y5)&lt;PolicyEff,FT_AnnivDays-1,0))),IF(AU69="PT",IF(AZ69&lt;PT_First,0,1+INT((AZ69-PT_First)/PT_Int)),0))-IF(AU69="FT",IF(AY69&lt;FT_First,0,IF(AY69&lt;FT_Y5,1+INT((AY69-FT_First)/FT_Int1),FT_PreY5+FT_PerYear*INT((AY69-FT_Y5)/12)+FT_AnnivDays+INT(MOD(AY69-FT_Y5,12)/FT_Int2)-IF(EDATE(AL69,FT_Y5)&lt;PolicyEff,FT_AnnivDays-1,0))),IF(AU69="PT",IF(AY69&lt;PT_First,0,1+INT((AY69-PT_First)/PT_Int)),0)),0)+IF(AND(AM69&gt;=3,AP69&lt;=AsOfDate),IF(AV69="FT",IF(AX69&lt;FT_First,0,IF(AX69&lt;FT_Y5,1+INT((AX69-FT_First)/FT_Int1),FT_PreY5+FT_PerYear*INT((AX69-FT_Y5)/12)+FT_AnnivDays+INT(MOD(AX69-FT_Y5,12)/FT_Int2)-IF(EDATE(AL69,FT_Y5)&lt;PolicyEff,FT_AnnivDays-1,0))),IF(AV69="PT",IF(AX69&lt;PT_First,0,1+INT((AX69-PT_First)/PT_Int)),0))-IF(AV69="FT",IF(AZ69&lt;FT_First,0,IF(AZ69&lt;FT_Y5,1+INT((AZ69-FT_First)/FT_Int1),FT_PreY5+FT_PerYear*INT((AZ69-FT_Y5)/12)+FT_AnnivDays+INT(MOD(AZ69-FT_Y5,12)/FT_Int2)-IF(EDATE(AL69,FT_Y5)&lt;PolicyEff,FT_AnnivDays-1,0))),IF(AV69="PT",IF(AZ69&lt;PT_First,0,1+INT((AZ69-PT_First)/PT_Int)),0)),0))</f>
        <v/>
      </c>
      <c r="BE69" s="16" t="str">
        <f aca="false">IF(AK69=0,"",IF(AT69="FT",IF(BB69&lt;FT_First,0,IF(BB69&lt;FT_Y5,1+INT((BB69-FT_First)/FT_Int1),FT_PreY5+FT_PerYear*INT((BB69-FT_Y5)/12)+FT_AnnivDays+INT(MOD(BB69-FT_Y5,12)/FT_Int2)-IF(EDATE(AL69,FT_Y5)&lt;PolicyEff,FT_AnnivDays-1,0))),IF(AT69="PT",IF(BB69&lt;PT_First,0,1+INT((BB69-PT_First)/PT_Int)),0))+IF(AND(AM69&gt;=2,AO69&lt;=PFYDate),IF(AU69="FT",IF(BC69&lt;FT_First,0,IF(BC69&lt;FT_Y5,1+INT((BC69-FT_First)/FT_Int1),FT_PreY5+FT_PerYear*INT((BC69-FT_Y5)/12)+FT_AnnivDays+INT(MOD(BC69-FT_Y5,12)/FT_Int2)-IF(EDATE(AL69,FT_Y5)&lt;PolicyEff,FT_AnnivDays-1,0))),IF(AU69="PT",IF(BC69&lt;PT_First,0,1+INT((BC69-PT_First)/PT_Int)),0))-IF(AU69="FT",IF(BB69&lt;FT_First,0,IF(BB69&lt;FT_Y5,1+INT((BB69-FT_First)/FT_Int1),FT_PreY5+FT_PerYear*INT((BB69-FT_Y5)/12)+FT_AnnivDays+INT(MOD(BB69-FT_Y5,12)/FT_Int2)-IF(EDATE(AL69,FT_Y5)&lt;PolicyEff,FT_AnnivDays-1,0))),IF(AU69="PT",IF(BB69&lt;PT_First,0,1+INT((BB69-PT_First)/PT_Int)),0)),0)+IF(AND(AM69&gt;=3,AP69&lt;=PFYDate),IF(AV69="FT",IF(BA69&lt;FT_First,0,IF(BA69&lt;FT_Y5,1+INT((BA69-FT_First)/FT_Int1),FT_PreY5+FT_PerYear*INT((BA69-FT_Y5)/12)+FT_AnnivDays+INT(MOD(BA69-FT_Y5,12)/FT_Int2)-IF(EDATE(AL69,FT_Y5)&lt;PolicyEff,FT_AnnivDays-1,0))),IF(AV69="PT",IF(BA69&lt;PT_First,0,1+INT((BA69-PT_First)/PT_Int)),0))-IF(AV69="FT",IF(BC69&lt;FT_First,0,IF(BC69&lt;FT_Y5,1+INT((BC69-FT_First)/FT_Int1),FT_PreY5+FT_PerYear*INT((BC69-FT_Y5)/12)+FT_AnnivDays+INT(MOD(BC69-FT_Y5,12)/FT_Int2)-IF(EDATE(AL69,FT_Y5)&lt;PolicyEff,FT_AnnivDays-1,0))),IF(AV69="PT",IF(BC69&lt;PT_First,0,1+INT((BC69-PT_First)/PT_Int)),0)),0))</f>
        <v/>
      </c>
      <c r="BF69" s="16" t="str">
        <f aca="false">IF(AK69=0,"",IF(AW69="FT",IF(AX69&lt;FT_First,FT_First,IF(AX69&lt;FT_Y5,MIN(FT_Y5,FT_First+FT_Int1*(INT((AX69-FT_First)/FT_Int1)+1)),FT_Y5+12*INT((AX69-FT_Y5)/12)+FT_Int2*(INT(MOD(AX69-FT_Y5,12)/FT_Int2)+1))),IF(AW69="PT",IF(AX69&lt;PT_First,PT_First,PT_First+PT_Int*(INT((AX69-PT_First)/PT_Int)+1)),"")))</f>
        <v/>
      </c>
      <c r="BG69" s="16" t="str">
        <f aca="false">IF(AK69=0,"",IF(NOT(LH_Ready),0,COUNTIFS(INDEX(LH_Data,0,LH_ColFirst),$A69,INDEX(LH_Data,0,LH_ColSur),$B69,INDEX(LH_Data,0,LH_ColCat),BonusCat)))</f>
        <v/>
      </c>
      <c r="BH69" s="16" t="str">
        <f aca="false">IF(AK69=0,"",IF(OR(NOT(LH_Ready),BG69=0),0,SUMPRODUCT(MAX((INDEX(LH_Data,0,LH_ColFirst)=$A69)*(INDEX(LH_Data,0,LH_ColSur)=$B69)*(INDEX(LH_Data,0,LH_ColCat)=BonusCat)*ROW(LH_Data)))))</f>
        <v/>
      </c>
      <c r="BI69" s="16" t="str">
        <f aca="false">IF(AK69=0,"",IF(EOMONTH(AsOfDate,-1)&lt;AL69,-1,12*(YEAR(EOMONTH(AsOfDate,-1))-YEAR(AL69))+MONTH(EOMONTH(AsOfDate,-1))-MONTH(AL69)-IF(DAY(EOMONTH(AsOfDate,-1))&lt;MIN(DAY(AL69),DAY(EOMONTH(EOMONTH(AsOfDate,-1),0))),1,0)))</f>
        <v/>
      </c>
      <c r="BJ69" s="16" t="str">
        <f aca="false">IF(AK69=0,"",IF(OR(AM69&lt;2,AO69&gt;EOMONTH(AsOfDate,-1)),BI69,IF((AO69-1)&lt;AL69,-1,12*(YEAR((AO69-1))-YEAR(AL69))+MONTH((AO69-1))-MONTH(AL69)-IF(DAY((AO69-1))&lt;MIN(DAY(AL69),DAY(EOMONTH((AO69-1),0))),1,0))))</f>
        <v/>
      </c>
      <c r="BK69" s="16" t="str">
        <f aca="false">IF(AK69=0,"",IF(OR(AM69&lt;3,AP69&gt;EOMONTH(AsOfDate,-1)),BI69,IF((AP69-1)&lt;AL69,-1,12*(YEAR((AP69-1))-YEAR(AL69))+MONTH((AP69-1))-MONTH(AL69)-IF(DAY((AP69-1))&lt;MIN(DAY(AL69),DAY(EOMONTH((AP69-1),0))),1,0))))</f>
        <v/>
      </c>
      <c r="BL69" s="16" t="str">
        <f aca="false">IF(AK69=0,"",IF(AT69="FT",IF(BJ69&lt;FT_First,0,IF(BJ69&lt;FT_Y5,1+INT((BJ69-FT_First)/FT_Int1),FT_PreY5+FT_PerYear*INT((BJ69-FT_Y5)/12)+FT_AnnivDays+INT(MOD(BJ69-FT_Y5,12)/FT_Int2)-IF(EDATE(AL69,FT_Y5)&lt;PolicyEff,FT_AnnivDays-1,0))),IF(AT69="PT",IF(BJ69&lt;PT_First,0,1+INT((BJ69-PT_First)/PT_Int)),0))+IF(AND(AM69&gt;=2,AO69&lt;=EOMONTH(AsOfDate,-1)),IF(AU69="FT",IF(BK69&lt;FT_First,0,IF(BK69&lt;FT_Y5,1+INT((BK69-FT_First)/FT_Int1),FT_PreY5+FT_PerYear*INT((BK69-FT_Y5)/12)+FT_AnnivDays+INT(MOD(BK69-FT_Y5,12)/FT_Int2)-IF(EDATE(AL69,FT_Y5)&lt;PolicyEff,FT_AnnivDays-1,0))),IF(AU69="PT",IF(BK69&lt;PT_First,0,1+INT((BK69-PT_First)/PT_Int)),0))-IF(AU69="FT",IF(BJ69&lt;FT_First,0,IF(BJ69&lt;FT_Y5,1+INT((BJ69-FT_First)/FT_Int1),FT_PreY5+FT_PerYear*INT((BJ69-FT_Y5)/12)+FT_AnnivDays+INT(MOD(BJ69-FT_Y5,12)/FT_Int2)-IF(EDATE(AL69,FT_Y5)&lt;PolicyEff,FT_AnnivDays-1,0))),IF(AU69="PT",IF(BJ69&lt;PT_First,0,1+INT((BJ69-PT_First)/PT_Int)),0)),0)+IF(AND(AM69&gt;=3,AP69&lt;=EOMONTH(AsOfDate,-1)),IF(AV69="FT",IF(BI69&lt;FT_First,0,IF(BI69&lt;FT_Y5,1+INT((BI69-FT_First)/FT_Int1),FT_PreY5+FT_PerYear*INT((BI69-FT_Y5)/12)+FT_AnnivDays+INT(MOD(BI69-FT_Y5,12)/FT_Int2)-IF(EDATE(AL69,FT_Y5)&lt;PolicyEff,FT_AnnivDays-1,0))),IF(AV69="PT",IF(BI69&lt;PT_First,0,1+INT((BI69-PT_First)/PT_Int)),0))-IF(AV69="FT",IF(BK69&lt;FT_First,0,IF(BK69&lt;FT_Y5,1+INT((BK69-FT_First)/FT_Int1),FT_PreY5+FT_PerYear*INT((BK69-FT_Y5)/12)+FT_AnnivDays+INT(MOD(BK69-FT_Y5,12)/FT_Int2)-IF(EDATE(AL69,FT_Y5)&lt;PolicyEff,FT_AnnivDays-1,0))),IF(AV69="PT",IF(BK69&lt;PT_First,0,1+INT((BK69-PT_First)/PT_Int)),0)),0))</f>
        <v/>
      </c>
      <c r="BM69" s="16" t="str">
        <f aca="false">IF(AK69=0,"",IF(AW69="FT",IF(AX69&lt;FT_First,"",IF(AX69&lt;FT_Y5,FT_First+FT_Int1*INT((AX69-FT_First)/FT_Int1),FT_Y5+FT_Int2*INT((AX69-FT_Y5)/FT_Int2))),IF(AW69="PT",IF(AX69&lt;PT_First,"",PT_First+PT_Int*INT((AX69-PT_First)/PT_Int)),"")))</f>
        <v/>
      </c>
      <c r="BN69" s="16" t="str">
        <f aca="false">IF(AK69=0,"",IF((SchemeStart-1)&lt;AL69,-1,12*(YEAR((SchemeStart-1))-YEAR(AL69))+MONTH((SchemeStart-1))-MONTH(AL69)-IF(DAY((SchemeStart-1))&lt;MIN(DAY(AL69),DAY(EOMONTH((SchemeStart-1),0))),1,0)))</f>
        <v/>
      </c>
      <c r="BO69" s="16" t="str">
        <f aca="false">IF(AK69=0,"",IF(OR(AM69&lt;2,AO69&gt;(SchemeStart-1)),BN69,IF((AO69-1)&lt;AL69,-1,12*(YEAR((AO69-1))-YEAR(AL69))+MONTH((AO69-1))-MONTH(AL69)-IF(DAY((AO69-1))&lt;MIN(DAY(AL69),DAY(EOMONTH((AO69-1),0))),1,0))))</f>
        <v/>
      </c>
      <c r="BP69" s="16" t="str">
        <f aca="false">IF(AK69=0,"",IF(OR(AM69&lt;3,AP69&gt;(SchemeStart-1)),BN69,IF((AP69-1)&lt;AL69,-1,12*(YEAR((AP69-1))-YEAR(AL69))+MONTH((AP69-1))-MONTH(AL69)-IF(DAY((AP69-1))&lt;MIN(DAY(AL69),DAY(EOMONTH((AP69-1),0))),1,0))))</f>
        <v/>
      </c>
      <c r="BQ69" s="16" t="str">
        <f aca="false">IF(AK69=0,"",IF(AT69="FT",IF(BO69&lt;FT_First,0,IF(BO69&lt;FT_Y5,1+INT((BO69-FT_First)/FT_Int1),FT_PreY5+FT_PerYear*INT((BO69-FT_Y5)/12)+FT_AnnivDays+INT(MOD(BO69-FT_Y5,12)/FT_Int2)-IF(EDATE(AL69,FT_Y5)&lt;PolicyEff,FT_AnnivDays-1,0))),IF(AT69="PT",IF(BO69&lt;PT_First,0,1+INT((BO69-PT_First)/PT_Int)),0))+IF(AND(AM69&gt;=2,AO69&lt;=(SchemeStart-1)),IF(AU69="FT",IF(BP69&lt;FT_First,0,IF(BP69&lt;FT_Y5,1+INT((BP69-FT_First)/FT_Int1),FT_PreY5+FT_PerYear*INT((BP69-FT_Y5)/12)+FT_AnnivDays+INT(MOD(BP69-FT_Y5,12)/FT_Int2)-IF(EDATE(AL69,FT_Y5)&lt;PolicyEff,FT_AnnivDays-1,0))),IF(AU69="PT",IF(BP69&lt;PT_First,0,1+INT((BP69-PT_First)/PT_Int)),0))-IF(AU69="FT",IF(BO69&lt;FT_First,0,IF(BO69&lt;FT_Y5,1+INT((BO69-FT_First)/FT_Int1),FT_PreY5+FT_PerYear*INT((BO69-FT_Y5)/12)+FT_AnnivDays+INT(MOD(BO69-FT_Y5,12)/FT_Int2)-IF(EDATE(AL69,FT_Y5)&lt;PolicyEff,FT_AnnivDays-1,0))),IF(AU69="PT",IF(BO69&lt;PT_First,0,1+INT((BO69-PT_First)/PT_Int)),0)),0)+IF(AND(AM69&gt;=3,AP69&lt;=(SchemeStart-1)),IF(AV69="FT",IF(BN69&lt;FT_First,0,IF(BN69&lt;FT_Y5,1+INT((BN69-FT_First)/FT_Int1),FT_PreY5+FT_PerYear*INT((BN69-FT_Y5)/12)+FT_AnnivDays+INT(MOD(BN69-FT_Y5,12)/FT_Int2)-IF(EDATE(AL69,FT_Y5)&lt;PolicyEff,FT_AnnivDays-1,0))),IF(AV69="PT",IF(BN69&lt;PT_First,0,1+INT((BN69-PT_First)/PT_Int)),0))-IF(AV69="FT",IF(BP69&lt;FT_First,0,IF(BP69&lt;FT_Y5,1+INT((BP69-FT_First)/FT_Int1),FT_PreY5+FT_PerYear*INT((BP69-FT_Y5)/12)+FT_AnnivDays+INT(MOD(BP69-FT_Y5,12)/FT_Int2)-IF(EDATE(AL69,FT_Y5)&lt;PolicyEff,FT_AnnivDays-1,0))),IF(AV69="PT",IF(BP69&lt;PT_First,0,1+INT((BP69-PT_First)/PT_Int)),0)),0))</f>
        <v/>
      </c>
      <c r="BR69" s="0" t="str">
        <f aca="false">IF(LEN($A69&amp;$B69)=0,"",$A69&amp;" "&amp;$B69)</f>
        <v/>
      </c>
    </row>
    <row r="70" customFormat="false" ht="15" hidden="false" customHeight="false" outlineLevel="0" collapsed="false">
      <c r="A70" s="12"/>
      <c r="B70" s="12"/>
      <c r="C70" s="12"/>
      <c r="D70" s="13"/>
      <c r="E70" s="14" t="str">
        <f aca="false">IF(OR(AK70=0,$D70=""),"",DATE(YEAR(AsOfDate)+IF(DATE(YEAR(AsOfDate),MONTH($D70),DAY($D70))&lt;=AsOfDate,1,0),MONTH($D70),DAY($D70)))</f>
        <v/>
      </c>
      <c r="F70" s="13"/>
      <c r="G70" s="13"/>
      <c r="H70" s="13"/>
      <c r="I70" s="13"/>
      <c r="J70" s="13"/>
      <c r="K70" s="14" t="str">
        <f aca="false">IF(AK70=0,"",DATE(YEAR(AsOfDate)+IF(DATE(YEAR(AsOfDate),MONTH(AL70),DAY(AL70))&lt;=AsOfDate,1,0),MONTH(AL70),DAY(AL70)))</f>
        <v/>
      </c>
      <c r="L70" s="15" t="str">
        <f aca="false">IF(AK70=0,"",ROUND((AsOfDate-AL70)/365.25,1))</f>
        <v/>
      </c>
      <c r="M70" s="16" t="str">
        <f aca="false">IF(AK70=0,"",IF(AsOfDate&lt;AL70,"-",DATEDIF(AL70,AsOfDate,"y")&amp;"y "&amp;DATEDIF(AL70,AsOfDate,"ym")&amp;"m "&amp;DATEDIF(AL70,AsOfDate,"md")&amp;"d"))</f>
        <v/>
      </c>
      <c r="N70" s="17" t="str">
        <f aca="false">IF(AK70=0,"",O70*HoursPerDay)</f>
        <v/>
      </c>
      <c r="O70" s="17" t="str">
        <f aca="false">IF(AK70=0,"",MAX(0,BD70-BQ70))</f>
        <v/>
      </c>
      <c r="P70" s="18"/>
      <c r="Q70" s="16" t="str">
        <f aca="false">IF(AK70=0,"",IF(AM70&lt;2,"",AQ70&amp;" to "&amp;AR70&amp;" on "&amp;TEXT(AO70,"dd/mm/yyyy")&amp;IF(AO70&gt;AsOfDate," (future)",IF(AT70=AU70,"",IF(AU70="None"," - STOPPED accruing",IF(AT70="None"," - commencement for Bonus Leave"," - pathway changed"))))&amp;IF(AM70&lt;3,"","; "&amp;AR70&amp;" to "&amp;AS70&amp;" on "&amp;TEXT(AP70,"dd/mm/yyyy")&amp;IF(AP70&gt;AsOfDate," (future)",IF(AU70=AV70,"",IF(AV70="None"," - STOPPED accruing",IF(AU70="None"," - commencement for Bonus Leave"," - pathway changed")))))))</f>
        <v/>
      </c>
      <c r="R70" s="16" t="str">
        <f aca="false">IF(AK70=0,"",IF(AW70="None",IF(O70&gt;0,"No longer accruing","Not eligible - "&amp;IF(AND(OR(ISNUMBER(SEARCH("part",$C70)),UPPER(TRIM($C70))="PT",UPPER(TRIM($C70))="PTE"),Apply2026="No"),"part-time (scheme is full-time only)",IF(AND(OR(ISNUMBER(SEARCH("part",$C70)),UPPER(TRIM($C70))="PT",UPPER(TRIM($C70))="PTE"),$P70&lt;&gt;"",N($P70)&lt;PT_MinHours),"under "&amp;PT_MinHours&amp;" hrs",IF(IF($C70="","",IF(OR(ISNUMBER(SEARCH("full",$C70)),UPPER(TRIM($C70))="FT",UPPER(TRIM($C70))="FTE"),"Full-Time",IF(OR(ISNUMBER(SEARCH("part",$C70)),UPPER(TRIM($C70))="PT",UPPER(TRIM($C70))="PTE"),"Part-Time",IF(OR(ISNUMBER(SEARCH("cas",$C70)),UPPER(TRIM($C70))="CAS"),"Casual","Unknown"))))="Unknown","type not recognised",$C70)))),IF(O70&gt;0,"Yes - Accrual Required","Not yet - from "&amp;TEXT(S70,"dd/mm/yyyy"))))</f>
        <v/>
      </c>
      <c r="S70" s="14" t="str">
        <f aca="false">IF(AK70=0,"",IF(AW70="None","",EDATE(AL70,BF70)))</f>
        <v/>
      </c>
      <c r="T70" s="17" t="str">
        <f aca="false">IF(AK70=0,"",IF(NOT(LH_Ready),"",IF($F70&gt;PFYDate,0,IF(LH_ColPeriod=0,W70-U70+V70,SUMIFS(INDEX(LH_Data,0,LH_ColAcc),INDEX(LH_Data,0,LH_ColFirst),$A70,INDEX(LH_Data,0,LH_ColSur),$B70,INDEX(LH_Data,0,LH_ColCat),BonusCat,INDEX(LH_Data,0,LH_ColPeriod),LH_OpenLabel)*UnitFactor))))</f>
        <v/>
      </c>
      <c r="U70" s="17" t="str">
        <f aca="false">IF(AK70=0,"",IF(NOT(LH_Ready),"",SUMIFS(INDEX(LH_Data,0,LH_ColAcc),INDEX(LH_Data,0,LH_ColFirst),$A70,INDEX(LH_Data,0,LH_ColSur),$B70,INDEX(LH_Data,0,LH_ColCat),BonusCat,INDEX(LH_Data,0,LH_ColStart),"&gt;="&amp;AL70)*UnitFactor))</f>
        <v/>
      </c>
      <c r="V70" s="17" t="str">
        <f aca="false">IF(AK70=0,"",IF(NOT(LH_Ready),"",SUMIFS(INDEX(LH_Data,0,LH_ColTaken),INDEX(LH_Data,0,LH_ColFirst),$A70,INDEX(LH_Data,0,LH_ColSur),$B70,INDEX(LH_Data,0,LH_ColCat),BonusCat,INDEX(LH_Data,0,LH_ColStart),"&gt;="&amp;AL70)*UnitFactor))</f>
        <v/>
      </c>
      <c r="W70" s="17" t="str">
        <f aca="false">IF(AK70=0,"",IF(NOT(LH_Ready),"",IF(BH70=0,0,INDEX(INDEX(LH_Data,0,LH_ColClose),BH70-1)*UnitFactor)))</f>
        <v/>
      </c>
      <c r="X70" s="17" t="str">
        <f aca="false">IF(AK70=0,"",(MAX(0,BD70-BQ70)-MAX(0,BE70-BQ70))*HoursPerDay)</f>
        <v/>
      </c>
      <c r="Y70" s="17" t="str">
        <f aca="false">IF(AK70=0,"",IF(NOT(LH_Ready),"",IF($AI70="Yes",N(AE70)*HoursPerDay-SUMIFS(INDEX(LH_Data,0,LH_ColAcc),INDEX(LH_Data,0,LH_ColFirst),$A70,INDEX(LH_Data,0,LH_ColSur),$B70,INDEX(LH_Data,0,LH_ColCat),BonusCat,INDEX(LH_Data,0,LH_ColStart),"&gt;="&amp;(EOMONTH(AsOfDate,-1)+1),INDEX(LH_Data,0,LH_ColStart),"&lt;="&amp;AsOfDate)*UnitFactor,IF(BG70=0,N70,N70-N(T70)-N(U70)))))</f>
        <v/>
      </c>
      <c r="Z70" s="16" t="str">
        <f aca="false">IF(OR(AK70=0,Y70=""),"",IF(Y70&gt;0,"Yes","No"))</f>
        <v/>
      </c>
      <c r="AA70" s="16" t="str">
        <f aca="false">IF(AK70=0,IF(LEN($A70&amp;$B70)=0,"","FIX INPUT - StartDate missing"),IF(AD70&lt;&gt;"","FIX INPUT - "&amp;AD70,IF(NOT(LH_Ready),"Paste Leave History export (Settings must show YES)",IF(AND($AI70="Yes",Y70&lt;=0),"OK - EH balance accepted to date"&amp;IF(N(AH70)&gt;0," (EH holds "&amp;AH70&amp;" hrs over the scheme)","")&amp;"; next day "&amp;TEXT(S70,"dd mmm yy")&amp;IF(N(AE70)&gt;0," ("&amp;AE70&amp;" day(s) for "&amp;UPPER(TEXT(AsOfDate,"mmm yyyy"))&amp;" already in EH)",""),IF(Y70&gt;0,"ACCRUE "&amp;ROUND(Y70,2)&amp;" hrs ("&amp;ROUND(Y70/HoursPerDay,2)&amp;" days): "&amp;IF(N(AE70)&gt;0,AE70&amp;" day(s) for "&amp;UPPER(TEXT(AsOfDate,"mmm yyyy"))&amp;" (milestone "&amp;UPPER(TEXT(AF70,"dd mmm yy"))&amp;")"&amp;IF(Y70/HoursPerDay&gt;AE70+0.001," + "&amp;ROUND(Y70/HoursPerDay-AE70,2)&amp;" day(s) catch-up from earlier months",""),"all catch-up from earlier months, nothing new this month")&amp;IF(BG70=0,"; no Bonus Leave in EH yet",""),IF(Y70&lt;0,"CHECK - EH accrued "&amp;ROUND(-Y70,2)&amp;" hrs more than policy since commencement",IF(N(W70)&gt;O70*HoursPerDay+0.01,"CHECK - EH balance "&amp;ROUND(W70-O70*HoursPerDay,2)&amp;" hrs more than policy entitlement",IF(O70&gt;0,"OK - nothing to add"&amp;IF(N(AE70)&gt;0," ("&amp;AE70&amp;" day(s) for "&amp;UPPER(TEXT(AsOfDate,"mmm yyyy"))&amp;" already in EH)",""),IF(AW70="None",R70,"Not yet - first day on "&amp;TEXT(S70,"dd/mm/yyyy"))))))))))</f>
        <v/>
      </c>
      <c r="AB70" s="17" t="str">
        <f aca="false">IF(OR(AK70=0,T70=""),"",MAX(0,BE70-BQ70)*HoursPerDay-T70)</f>
        <v/>
      </c>
      <c r="AC70" s="16" t="str">
        <f aca="false">IF(AK70=0,"",BG70)</f>
        <v/>
      </c>
      <c r="AD70" s="16" t="str">
        <f aca="false">IF(AK70=0,"",TRIM(IF(OR(ISTEXT($F70),ISTEXT($H70),ISTEXT($I70),ISTEXT($G70),ISTEXT($J70),ISTEXT($D70)),"A date is typed as text - retype it as dd/mm/yyyy. ","")&amp;IF(IF($C70="","",IF(OR(ISNUMBER(SEARCH("full",$C70)),UPPER(TRIM($C70))="FT",UPPER(TRIM($C70))="FTE"),"Full-Time",IF(OR(ISNUMBER(SEARCH("part",$C70)),UPPER(TRIM($C70))="PT",UPPER(TRIM($C70))="PTE"),"Part-Time",IF(OR(ISNUMBER(SEARCH("cas",$C70)),UPPER(TRIM($C70))="CAS"),"Casual","Unknown"))))="Unknown","EmploymentType not recognised - use Full-Time, Part-Time or Casual. ","")&amp;IF(AND(AM70&gt;=1,IF(AM70&gt;=3,AS70,IF(AM70=2,AR70,AQ70))&lt;&gt;IF($C70="","",IF(OR(ISNUMBER(SEARCH("full",$C70)),UPPER(TRIM($C70))="FT",UPPER(TRIM($C70))="FTE"),"Full-Time",IF(OR(ISNUMBER(SEARCH("part",$C70)),UPPER(TRIM($C70))="PT",UPPER(TRIM($C70))="PTE"),"Part-Time",IF(OR(ISNUMBER(SEARCH("cas",$C70)),UPPER(TRIM($C70))="CAS"),"Casual","Unknown"))))),"EmploymentType does not match latest start date ("&amp;IF(AM70&gt;=3,AS70,IF(AM70=2,AR70,AQ70))&amp;"). ","")&amp;IF(AND(AM70&gt;=1,AN70&lt;&gt;$F70),"Earliest type date should equal StartDate. ","")&amp;IF(AND(AM70&gt;=2,AN70=AO70),"Two types start on the same date. ","")&amp;IF(AND(OR(ISNUMBER(SEARCH("part",$C70)),UPPER(TRIM($C70))="PT",UPPER(TRIM($C70))="PTE"),$P70=""),"Part-time: enter PT Hrs/Week (blank = 24+). ","")))</f>
        <v/>
      </c>
      <c r="AE70" s="17" t="str">
        <f aca="false">IF(AK70=0,"",O70-MAX(0,BL70-BQ70))</f>
        <v/>
      </c>
      <c r="AF70" s="14" t="str">
        <f aca="false">IF(OR(AK70=0,AE70="",N(AE70)=0,BM70=""),"",EDATE(AL70,BM70))</f>
        <v/>
      </c>
      <c r="AG70" s="17" t="str">
        <f aca="false">IF(AK70=0,"",MIN(BD70,BQ70))</f>
        <v/>
      </c>
      <c r="AH70" s="17" t="str">
        <f aca="false">IF(AK70=0,"",IF(NOT(LH_Ready),"",IF(BG70=0,0,MAX(0,ROUND(N(T70)+N(U70)-N70,2)))))</f>
        <v/>
      </c>
      <c r="AI70" s="12"/>
      <c r="AJ70" s="12"/>
      <c r="AK70" s="16" t="n">
        <f aca="false">IF(OR(LEN($A70&amp;$B70)=0,$F70=""),0,1)</f>
        <v>0</v>
      </c>
      <c r="AL70" s="14" t="str">
        <f aca="false">IF(AK70=0,"",IF(PreSchemeCounts="No",MAX(SchemeStart,IF($J70&lt;&gt;"",$J70,IF(OR(CasualCounts="Yes",COUNT($G70:$I70)=0),$F70,IF(Apply2026="No",IF($I70="",$F70,$I70),IF(COUNT($H70:$I70)=0,$F70,MIN($H70:$I70)))))),IF($J70&lt;&gt;"",$J70,IF(OR(CasualCounts="Yes",COUNT($G70:$I70)=0),$F70,IF(Apply2026="No",IF($I70="",$F70,$I70),IF(COUNT($H70:$I70)=0,$F70,MIN($H70:$I70)))))))</f>
        <v/>
      </c>
      <c r="AM70" s="16" t="str">
        <f aca="false">IF(AK70=0,"",COUNT($G70:$I70))</f>
        <v/>
      </c>
      <c r="AN70" s="14" t="str">
        <f aca="false">IF(AK70=0,"",IFERROR(SMALL($G70:$I70,1),""))</f>
        <v/>
      </c>
      <c r="AO70" s="14" t="str">
        <f aca="false">IF(AK70=0,"",IFERROR(SMALL($G70:$I70,2),""))</f>
        <v/>
      </c>
      <c r="AP70" s="14" t="str">
        <f aca="false">IF(AK70=0,"",IFERROR(SMALL($G70:$I70,3),""))</f>
        <v/>
      </c>
      <c r="AQ70" s="16" t="str">
        <f aca="false">IF(AK70=0,"",IF(AN70="","",IF(AN70=$H70,"Part-Time",IF(AN70=$I70,"Full-Time","Casual"))))</f>
        <v/>
      </c>
      <c r="AR70" s="16" t="str">
        <f aca="false">IF(AK70=0,"",IF(AO70="","",IF(AO70=$H70,"Part-Time",IF(AO70=$I70,"Full-Time","Casual"))))</f>
        <v/>
      </c>
      <c r="AS70" s="16" t="str">
        <f aca="false">IF(AK70=0,"",IF(AP70="","",IF(AP70=$H70,"Part-Time",IF(AP70=$I70,"Full-Time","Casual"))))</f>
        <v/>
      </c>
      <c r="AT70" s="16" t="str">
        <f aca="false">IF(AK70=0,"",IF(AM70=0,IF(OR(ISNUMBER(SEARCH("full",$C70)),UPPER(TRIM($C70))="FT",UPPER(TRIM($C70))="FTE"),"FT",IF(AND(OR(ISNUMBER(SEARCH("part",$C70)),UPPER(TRIM($C70))="PT",UPPER(TRIM($C70))="PTE"),Apply2026="Yes",OR($P70="",N($P70)&gt;=PT_MinHours)),"PT","None")),IF(OR(ISNUMBER(SEARCH("full",AQ70)),UPPER(TRIM(AQ70))="FT",UPPER(TRIM(AQ70))="FTE"),"FT",IF(AND(OR(ISNUMBER(SEARCH("part",AQ70)),UPPER(TRIM(AQ70))="PT",UPPER(TRIM(AQ70))="PTE"),Apply2026="Yes",OR($P70="",N($P70)&gt;=PT_MinHours)),"PT","None"))))</f>
        <v/>
      </c>
      <c r="AU70" s="16" t="str">
        <f aca="false">IF(AK70=0,"",IF(AM70&lt;2,"",IF(OR(ISNUMBER(SEARCH("full",AR70)),UPPER(TRIM(AR70))="FT",UPPER(TRIM(AR70))="FTE"),"FT",IF(AND(OR(ISNUMBER(SEARCH("part",AR70)),UPPER(TRIM(AR70))="PT",UPPER(TRIM(AR70))="PTE"),Apply2026="Yes",OR($P70="",N($P70)&gt;=PT_MinHours)),"PT","None"))))</f>
        <v/>
      </c>
      <c r="AV70" s="16" t="str">
        <f aca="false">IF(AK70=0,"",IF(AM70&lt;3,"",IF(OR(ISNUMBER(SEARCH("full",AS70)),UPPER(TRIM(AS70))="FT",UPPER(TRIM(AS70))="FTE"),"FT",IF(AND(OR(ISNUMBER(SEARCH("part",AS70)),UPPER(TRIM(AS70))="PT",UPPER(TRIM(AS70))="PTE"),Apply2026="Yes",OR($P70="",N($P70)&gt;=PT_MinHours)),"PT","None"))))</f>
        <v/>
      </c>
      <c r="AW70" s="16" t="str">
        <f aca="false">IF(AK70=0,"",IF(AND(AM70&gt;=3,AP70&lt;=AsOfDate),AV70,IF(AND(AM70&gt;=2,AO70&lt;=AsOfDate),AU70,AT70)))</f>
        <v/>
      </c>
      <c r="AX70" s="16" t="str">
        <f aca="false">IF(AK70=0,"",IF(AsOfDate&lt;AL70,-1,12*(YEAR(AsOfDate)-YEAR(AL70))+MONTH(AsOfDate)-MONTH(AL70)-IF(DAY(AsOfDate)&lt;MIN(DAY(AL70),DAY(EOMONTH(AsOfDate,0))),1,0)))</f>
        <v/>
      </c>
      <c r="AY70" s="16" t="str">
        <f aca="false">IF(AK70=0,"",IF(OR(AM70&lt;2,AO70&gt;AsOfDate),AX70,IF((AO70-1)&lt;AL70,-1,12*(YEAR((AO70-1))-YEAR(AL70))+MONTH((AO70-1))-MONTH(AL70)-IF(DAY((AO70-1))&lt;MIN(DAY(AL70),DAY(EOMONTH((AO70-1),0))),1,0))))</f>
        <v/>
      </c>
      <c r="AZ70" s="16" t="str">
        <f aca="false">IF(AK70=0,"",IF(OR(AM70&lt;3,AP70&gt;AsOfDate),AX70,IF((AP70-1)&lt;AL70,-1,12*(YEAR((AP70-1))-YEAR(AL70))+MONTH((AP70-1))-MONTH(AL70)-IF(DAY((AP70-1))&lt;MIN(DAY(AL70),DAY(EOMONTH((AP70-1),0))),1,0))))</f>
        <v/>
      </c>
      <c r="BA70" s="16" t="str">
        <f aca="false">IF(AK70=0,"",IF(PFYDate&lt;AL70,-1,12*(YEAR(PFYDate)-YEAR(AL70))+MONTH(PFYDate)-MONTH(AL70)-IF(DAY(PFYDate)&lt;MIN(DAY(AL70),DAY(EOMONTH(PFYDate,0))),1,0)))</f>
        <v/>
      </c>
      <c r="BB70" s="16" t="str">
        <f aca="false">IF(AK70=0,"",IF(OR(AM70&lt;2,AO70&gt;PFYDate),BA70,IF((AO70-1)&lt;AL70,-1,12*(YEAR((AO70-1))-YEAR(AL70))+MONTH((AO70-1))-MONTH(AL70)-IF(DAY((AO70-1))&lt;MIN(DAY(AL70),DAY(EOMONTH((AO70-1),0))),1,0))))</f>
        <v/>
      </c>
      <c r="BC70" s="16" t="str">
        <f aca="false">IF(AK70=0,"",IF(OR(AM70&lt;3,AP70&gt;PFYDate),BA70,IF((AP70-1)&lt;AL70,-1,12*(YEAR((AP70-1))-YEAR(AL70))+MONTH((AP70-1))-MONTH(AL70)-IF(DAY((AP70-1))&lt;MIN(DAY(AL70),DAY(EOMONTH((AP70-1),0))),1,0))))</f>
        <v/>
      </c>
      <c r="BD70" s="16" t="str">
        <f aca="false">IF(AK70=0,"",IF(AT70="FT",IF(AY70&lt;FT_First,0,IF(AY70&lt;FT_Y5,1+INT((AY70-FT_First)/FT_Int1),FT_PreY5+FT_PerYear*INT((AY70-FT_Y5)/12)+FT_AnnivDays+INT(MOD(AY70-FT_Y5,12)/FT_Int2)-IF(EDATE(AL70,FT_Y5)&lt;PolicyEff,FT_AnnivDays-1,0))),IF(AT70="PT",IF(AY70&lt;PT_First,0,1+INT((AY70-PT_First)/PT_Int)),0))+IF(AND(AM70&gt;=2,AO70&lt;=AsOfDate),IF(AU70="FT",IF(AZ70&lt;FT_First,0,IF(AZ70&lt;FT_Y5,1+INT((AZ70-FT_First)/FT_Int1),FT_PreY5+FT_PerYear*INT((AZ70-FT_Y5)/12)+FT_AnnivDays+INT(MOD(AZ70-FT_Y5,12)/FT_Int2)-IF(EDATE(AL70,FT_Y5)&lt;PolicyEff,FT_AnnivDays-1,0))),IF(AU70="PT",IF(AZ70&lt;PT_First,0,1+INT((AZ70-PT_First)/PT_Int)),0))-IF(AU70="FT",IF(AY70&lt;FT_First,0,IF(AY70&lt;FT_Y5,1+INT((AY70-FT_First)/FT_Int1),FT_PreY5+FT_PerYear*INT((AY70-FT_Y5)/12)+FT_AnnivDays+INT(MOD(AY70-FT_Y5,12)/FT_Int2)-IF(EDATE(AL70,FT_Y5)&lt;PolicyEff,FT_AnnivDays-1,0))),IF(AU70="PT",IF(AY70&lt;PT_First,0,1+INT((AY70-PT_First)/PT_Int)),0)),0)+IF(AND(AM70&gt;=3,AP70&lt;=AsOfDate),IF(AV70="FT",IF(AX70&lt;FT_First,0,IF(AX70&lt;FT_Y5,1+INT((AX70-FT_First)/FT_Int1),FT_PreY5+FT_PerYear*INT((AX70-FT_Y5)/12)+FT_AnnivDays+INT(MOD(AX70-FT_Y5,12)/FT_Int2)-IF(EDATE(AL70,FT_Y5)&lt;PolicyEff,FT_AnnivDays-1,0))),IF(AV70="PT",IF(AX70&lt;PT_First,0,1+INT((AX70-PT_First)/PT_Int)),0))-IF(AV70="FT",IF(AZ70&lt;FT_First,0,IF(AZ70&lt;FT_Y5,1+INT((AZ70-FT_First)/FT_Int1),FT_PreY5+FT_PerYear*INT((AZ70-FT_Y5)/12)+FT_AnnivDays+INT(MOD(AZ70-FT_Y5,12)/FT_Int2)-IF(EDATE(AL70,FT_Y5)&lt;PolicyEff,FT_AnnivDays-1,0))),IF(AV70="PT",IF(AZ70&lt;PT_First,0,1+INT((AZ70-PT_First)/PT_Int)),0)),0))</f>
        <v/>
      </c>
      <c r="BE70" s="16" t="str">
        <f aca="false">IF(AK70=0,"",IF(AT70="FT",IF(BB70&lt;FT_First,0,IF(BB70&lt;FT_Y5,1+INT((BB70-FT_First)/FT_Int1),FT_PreY5+FT_PerYear*INT((BB70-FT_Y5)/12)+FT_AnnivDays+INT(MOD(BB70-FT_Y5,12)/FT_Int2)-IF(EDATE(AL70,FT_Y5)&lt;PolicyEff,FT_AnnivDays-1,0))),IF(AT70="PT",IF(BB70&lt;PT_First,0,1+INT((BB70-PT_First)/PT_Int)),0))+IF(AND(AM70&gt;=2,AO70&lt;=PFYDate),IF(AU70="FT",IF(BC70&lt;FT_First,0,IF(BC70&lt;FT_Y5,1+INT((BC70-FT_First)/FT_Int1),FT_PreY5+FT_PerYear*INT((BC70-FT_Y5)/12)+FT_AnnivDays+INT(MOD(BC70-FT_Y5,12)/FT_Int2)-IF(EDATE(AL70,FT_Y5)&lt;PolicyEff,FT_AnnivDays-1,0))),IF(AU70="PT",IF(BC70&lt;PT_First,0,1+INT((BC70-PT_First)/PT_Int)),0))-IF(AU70="FT",IF(BB70&lt;FT_First,0,IF(BB70&lt;FT_Y5,1+INT((BB70-FT_First)/FT_Int1),FT_PreY5+FT_PerYear*INT((BB70-FT_Y5)/12)+FT_AnnivDays+INT(MOD(BB70-FT_Y5,12)/FT_Int2)-IF(EDATE(AL70,FT_Y5)&lt;PolicyEff,FT_AnnivDays-1,0))),IF(AU70="PT",IF(BB70&lt;PT_First,0,1+INT((BB70-PT_First)/PT_Int)),0)),0)+IF(AND(AM70&gt;=3,AP70&lt;=PFYDate),IF(AV70="FT",IF(BA70&lt;FT_First,0,IF(BA70&lt;FT_Y5,1+INT((BA70-FT_First)/FT_Int1),FT_PreY5+FT_PerYear*INT((BA70-FT_Y5)/12)+FT_AnnivDays+INT(MOD(BA70-FT_Y5,12)/FT_Int2)-IF(EDATE(AL70,FT_Y5)&lt;PolicyEff,FT_AnnivDays-1,0))),IF(AV70="PT",IF(BA70&lt;PT_First,0,1+INT((BA70-PT_First)/PT_Int)),0))-IF(AV70="FT",IF(BC70&lt;FT_First,0,IF(BC70&lt;FT_Y5,1+INT((BC70-FT_First)/FT_Int1),FT_PreY5+FT_PerYear*INT((BC70-FT_Y5)/12)+FT_AnnivDays+INT(MOD(BC70-FT_Y5,12)/FT_Int2)-IF(EDATE(AL70,FT_Y5)&lt;PolicyEff,FT_AnnivDays-1,0))),IF(AV70="PT",IF(BC70&lt;PT_First,0,1+INT((BC70-PT_First)/PT_Int)),0)),0))</f>
        <v/>
      </c>
      <c r="BF70" s="16" t="str">
        <f aca="false">IF(AK70=0,"",IF(AW70="FT",IF(AX70&lt;FT_First,FT_First,IF(AX70&lt;FT_Y5,MIN(FT_Y5,FT_First+FT_Int1*(INT((AX70-FT_First)/FT_Int1)+1)),FT_Y5+12*INT((AX70-FT_Y5)/12)+FT_Int2*(INT(MOD(AX70-FT_Y5,12)/FT_Int2)+1))),IF(AW70="PT",IF(AX70&lt;PT_First,PT_First,PT_First+PT_Int*(INT((AX70-PT_First)/PT_Int)+1)),"")))</f>
        <v/>
      </c>
      <c r="BG70" s="16" t="str">
        <f aca="false">IF(AK70=0,"",IF(NOT(LH_Ready),0,COUNTIFS(INDEX(LH_Data,0,LH_ColFirst),$A70,INDEX(LH_Data,0,LH_ColSur),$B70,INDEX(LH_Data,0,LH_ColCat),BonusCat)))</f>
        <v/>
      </c>
      <c r="BH70" s="16" t="str">
        <f aca="false">IF(AK70=0,"",IF(OR(NOT(LH_Ready),BG70=0),0,SUMPRODUCT(MAX((INDEX(LH_Data,0,LH_ColFirst)=$A70)*(INDEX(LH_Data,0,LH_ColSur)=$B70)*(INDEX(LH_Data,0,LH_ColCat)=BonusCat)*ROW(LH_Data)))))</f>
        <v/>
      </c>
      <c r="BI70" s="16" t="str">
        <f aca="false">IF(AK70=0,"",IF(EOMONTH(AsOfDate,-1)&lt;AL70,-1,12*(YEAR(EOMONTH(AsOfDate,-1))-YEAR(AL70))+MONTH(EOMONTH(AsOfDate,-1))-MONTH(AL70)-IF(DAY(EOMONTH(AsOfDate,-1))&lt;MIN(DAY(AL70),DAY(EOMONTH(EOMONTH(AsOfDate,-1),0))),1,0)))</f>
        <v/>
      </c>
      <c r="BJ70" s="16" t="str">
        <f aca="false">IF(AK70=0,"",IF(OR(AM70&lt;2,AO70&gt;EOMONTH(AsOfDate,-1)),BI70,IF((AO70-1)&lt;AL70,-1,12*(YEAR((AO70-1))-YEAR(AL70))+MONTH((AO70-1))-MONTH(AL70)-IF(DAY((AO70-1))&lt;MIN(DAY(AL70),DAY(EOMONTH((AO70-1),0))),1,0))))</f>
        <v/>
      </c>
      <c r="BK70" s="16" t="str">
        <f aca="false">IF(AK70=0,"",IF(OR(AM70&lt;3,AP70&gt;EOMONTH(AsOfDate,-1)),BI70,IF((AP70-1)&lt;AL70,-1,12*(YEAR((AP70-1))-YEAR(AL70))+MONTH((AP70-1))-MONTH(AL70)-IF(DAY((AP70-1))&lt;MIN(DAY(AL70),DAY(EOMONTH((AP70-1),0))),1,0))))</f>
        <v/>
      </c>
      <c r="BL70" s="16" t="str">
        <f aca="false">IF(AK70=0,"",IF(AT70="FT",IF(BJ70&lt;FT_First,0,IF(BJ70&lt;FT_Y5,1+INT((BJ70-FT_First)/FT_Int1),FT_PreY5+FT_PerYear*INT((BJ70-FT_Y5)/12)+FT_AnnivDays+INT(MOD(BJ70-FT_Y5,12)/FT_Int2)-IF(EDATE(AL70,FT_Y5)&lt;PolicyEff,FT_AnnivDays-1,0))),IF(AT70="PT",IF(BJ70&lt;PT_First,0,1+INT((BJ70-PT_First)/PT_Int)),0))+IF(AND(AM70&gt;=2,AO70&lt;=EOMONTH(AsOfDate,-1)),IF(AU70="FT",IF(BK70&lt;FT_First,0,IF(BK70&lt;FT_Y5,1+INT((BK70-FT_First)/FT_Int1),FT_PreY5+FT_PerYear*INT((BK70-FT_Y5)/12)+FT_AnnivDays+INT(MOD(BK70-FT_Y5,12)/FT_Int2)-IF(EDATE(AL70,FT_Y5)&lt;PolicyEff,FT_AnnivDays-1,0))),IF(AU70="PT",IF(BK70&lt;PT_First,0,1+INT((BK70-PT_First)/PT_Int)),0))-IF(AU70="FT",IF(BJ70&lt;FT_First,0,IF(BJ70&lt;FT_Y5,1+INT((BJ70-FT_First)/FT_Int1),FT_PreY5+FT_PerYear*INT((BJ70-FT_Y5)/12)+FT_AnnivDays+INT(MOD(BJ70-FT_Y5,12)/FT_Int2)-IF(EDATE(AL70,FT_Y5)&lt;PolicyEff,FT_AnnivDays-1,0))),IF(AU70="PT",IF(BJ70&lt;PT_First,0,1+INT((BJ70-PT_First)/PT_Int)),0)),0)+IF(AND(AM70&gt;=3,AP70&lt;=EOMONTH(AsOfDate,-1)),IF(AV70="FT",IF(BI70&lt;FT_First,0,IF(BI70&lt;FT_Y5,1+INT((BI70-FT_First)/FT_Int1),FT_PreY5+FT_PerYear*INT((BI70-FT_Y5)/12)+FT_AnnivDays+INT(MOD(BI70-FT_Y5,12)/FT_Int2)-IF(EDATE(AL70,FT_Y5)&lt;PolicyEff,FT_AnnivDays-1,0))),IF(AV70="PT",IF(BI70&lt;PT_First,0,1+INT((BI70-PT_First)/PT_Int)),0))-IF(AV70="FT",IF(BK70&lt;FT_First,0,IF(BK70&lt;FT_Y5,1+INT((BK70-FT_First)/FT_Int1),FT_PreY5+FT_PerYear*INT((BK70-FT_Y5)/12)+FT_AnnivDays+INT(MOD(BK70-FT_Y5,12)/FT_Int2)-IF(EDATE(AL70,FT_Y5)&lt;PolicyEff,FT_AnnivDays-1,0))),IF(AV70="PT",IF(BK70&lt;PT_First,0,1+INT((BK70-PT_First)/PT_Int)),0)),0))</f>
        <v/>
      </c>
      <c r="BM70" s="16" t="str">
        <f aca="false">IF(AK70=0,"",IF(AW70="FT",IF(AX70&lt;FT_First,"",IF(AX70&lt;FT_Y5,FT_First+FT_Int1*INT((AX70-FT_First)/FT_Int1),FT_Y5+FT_Int2*INT((AX70-FT_Y5)/FT_Int2))),IF(AW70="PT",IF(AX70&lt;PT_First,"",PT_First+PT_Int*INT((AX70-PT_First)/PT_Int)),"")))</f>
        <v/>
      </c>
      <c r="BN70" s="16" t="str">
        <f aca="false">IF(AK70=0,"",IF((SchemeStart-1)&lt;AL70,-1,12*(YEAR((SchemeStart-1))-YEAR(AL70))+MONTH((SchemeStart-1))-MONTH(AL70)-IF(DAY((SchemeStart-1))&lt;MIN(DAY(AL70),DAY(EOMONTH((SchemeStart-1),0))),1,0)))</f>
        <v/>
      </c>
      <c r="BO70" s="16" t="str">
        <f aca="false">IF(AK70=0,"",IF(OR(AM70&lt;2,AO70&gt;(SchemeStart-1)),BN70,IF((AO70-1)&lt;AL70,-1,12*(YEAR((AO70-1))-YEAR(AL70))+MONTH((AO70-1))-MONTH(AL70)-IF(DAY((AO70-1))&lt;MIN(DAY(AL70),DAY(EOMONTH((AO70-1),0))),1,0))))</f>
        <v/>
      </c>
      <c r="BP70" s="16" t="str">
        <f aca="false">IF(AK70=0,"",IF(OR(AM70&lt;3,AP70&gt;(SchemeStart-1)),BN70,IF((AP70-1)&lt;AL70,-1,12*(YEAR((AP70-1))-YEAR(AL70))+MONTH((AP70-1))-MONTH(AL70)-IF(DAY((AP70-1))&lt;MIN(DAY(AL70),DAY(EOMONTH((AP70-1),0))),1,0))))</f>
        <v/>
      </c>
      <c r="BQ70" s="16" t="str">
        <f aca="false">IF(AK70=0,"",IF(AT70="FT",IF(BO70&lt;FT_First,0,IF(BO70&lt;FT_Y5,1+INT((BO70-FT_First)/FT_Int1),FT_PreY5+FT_PerYear*INT((BO70-FT_Y5)/12)+FT_AnnivDays+INT(MOD(BO70-FT_Y5,12)/FT_Int2)-IF(EDATE(AL70,FT_Y5)&lt;PolicyEff,FT_AnnivDays-1,0))),IF(AT70="PT",IF(BO70&lt;PT_First,0,1+INT((BO70-PT_First)/PT_Int)),0))+IF(AND(AM70&gt;=2,AO70&lt;=(SchemeStart-1)),IF(AU70="FT",IF(BP70&lt;FT_First,0,IF(BP70&lt;FT_Y5,1+INT((BP70-FT_First)/FT_Int1),FT_PreY5+FT_PerYear*INT((BP70-FT_Y5)/12)+FT_AnnivDays+INT(MOD(BP70-FT_Y5,12)/FT_Int2)-IF(EDATE(AL70,FT_Y5)&lt;PolicyEff,FT_AnnivDays-1,0))),IF(AU70="PT",IF(BP70&lt;PT_First,0,1+INT((BP70-PT_First)/PT_Int)),0))-IF(AU70="FT",IF(BO70&lt;FT_First,0,IF(BO70&lt;FT_Y5,1+INT((BO70-FT_First)/FT_Int1),FT_PreY5+FT_PerYear*INT((BO70-FT_Y5)/12)+FT_AnnivDays+INT(MOD(BO70-FT_Y5,12)/FT_Int2)-IF(EDATE(AL70,FT_Y5)&lt;PolicyEff,FT_AnnivDays-1,0))),IF(AU70="PT",IF(BO70&lt;PT_First,0,1+INT((BO70-PT_First)/PT_Int)),0)),0)+IF(AND(AM70&gt;=3,AP70&lt;=(SchemeStart-1)),IF(AV70="FT",IF(BN70&lt;FT_First,0,IF(BN70&lt;FT_Y5,1+INT((BN70-FT_First)/FT_Int1),FT_PreY5+FT_PerYear*INT((BN70-FT_Y5)/12)+FT_AnnivDays+INT(MOD(BN70-FT_Y5,12)/FT_Int2)-IF(EDATE(AL70,FT_Y5)&lt;PolicyEff,FT_AnnivDays-1,0))),IF(AV70="PT",IF(BN70&lt;PT_First,0,1+INT((BN70-PT_First)/PT_Int)),0))-IF(AV70="FT",IF(BP70&lt;FT_First,0,IF(BP70&lt;FT_Y5,1+INT((BP70-FT_First)/FT_Int1),FT_PreY5+FT_PerYear*INT((BP70-FT_Y5)/12)+FT_AnnivDays+INT(MOD(BP70-FT_Y5,12)/FT_Int2)-IF(EDATE(AL70,FT_Y5)&lt;PolicyEff,FT_AnnivDays-1,0))),IF(AV70="PT",IF(BP70&lt;PT_First,0,1+INT((BP70-PT_First)/PT_Int)),0)),0))</f>
        <v/>
      </c>
      <c r="BR70" s="0" t="str">
        <f aca="false">IF(LEN($A70&amp;$B70)=0,"",$A70&amp;" "&amp;$B70)</f>
        <v/>
      </c>
    </row>
    <row r="71" customFormat="false" ht="15" hidden="false" customHeight="false" outlineLevel="0" collapsed="false">
      <c r="A71" s="12"/>
      <c r="B71" s="12"/>
      <c r="C71" s="12"/>
      <c r="D71" s="13"/>
      <c r="E71" s="14" t="str">
        <f aca="false">IF(OR(AK71=0,$D71=""),"",DATE(YEAR(AsOfDate)+IF(DATE(YEAR(AsOfDate),MONTH($D71),DAY($D71))&lt;=AsOfDate,1,0),MONTH($D71),DAY($D71)))</f>
        <v/>
      </c>
      <c r="F71" s="13"/>
      <c r="G71" s="13"/>
      <c r="H71" s="13"/>
      <c r="I71" s="13"/>
      <c r="J71" s="13"/>
      <c r="K71" s="14" t="str">
        <f aca="false">IF(AK71=0,"",DATE(YEAR(AsOfDate)+IF(DATE(YEAR(AsOfDate),MONTH(AL71),DAY(AL71))&lt;=AsOfDate,1,0),MONTH(AL71),DAY(AL71)))</f>
        <v/>
      </c>
      <c r="L71" s="15" t="str">
        <f aca="false">IF(AK71=0,"",ROUND((AsOfDate-AL71)/365.25,1))</f>
        <v/>
      </c>
      <c r="M71" s="16" t="str">
        <f aca="false">IF(AK71=0,"",IF(AsOfDate&lt;AL71,"-",DATEDIF(AL71,AsOfDate,"y")&amp;"y "&amp;DATEDIF(AL71,AsOfDate,"ym")&amp;"m "&amp;DATEDIF(AL71,AsOfDate,"md")&amp;"d"))</f>
        <v/>
      </c>
      <c r="N71" s="17" t="str">
        <f aca="false">IF(AK71=0,"",O71*HoursPerDay)</f>
        <v/>
      </c>
      <c r="O71" s="17" t="str">
        <f aca="false">IF(AK71=0,"",MAX(0,BD71-BQ71))</f>
        <v/>
      </c>
      <c r="P71" s="18"/>
      <c r="Q71" s="16" t="str">
        <f aca="false">IF(AK71=0,"",IF(AM71&lt;2,"",AQ71&amp;" to "&amp;AR71&amp;" on "&amp;TEXT(AO71,"dd/mm/yyyy")&amp;IF(AO71&gt;AsOfDate," (future)",IF(AT71=AU71,"",IF(AU71="None"," - STOPPED accruing",IF(AT71="None"," - commencement for Bonus Leave"," - pathway changed"))))&amp;IF(AM71&lt;3,"","; "&amp;AR71&amp;" to "&amp;AS71&amp;" on "&amp;TEXT(AP71,"dd/mm/yyyy")&amp;IF(AP71&gt;AsOfDate," (future)",IF(AU71=AV71,"",IF(AV71="None"," - STOPPED accruing",IF(AU71="None"," - commencement for Bonus Leave"," - pathway changed")))))))</f>
        <v/>
      </c>
      <c r="R71" s="16" t="str">
        <f aca="false">IF(AK71=0,"",IF(AW71="None",IF(O71&gt;0,"No longer accruing","Not eligible - "&amp;IF(AND(OR(ISNUMBER(SEARCH("part",$C71)),UPPER(TRIM($C71))="PT",UPPER(TRIM($C71))="PTE"),Apply2026="No"),"part-time (scheme is full-time only)",IF(AND(OR(ISNUMBER(SEARCH("part",$C71)),UPPER(TRIM($C71))="PT",UPPER(TRIM($C71))="PTE"),$P71&lt;&gt;"",N($P71)&lt;PT_MinHours),"under "&amp;PT_MinHours&amp;" hrs",IF(IF($C71="","",IF(OR(ISNUMBER(SEARCH("full",$C71)),UPPER(TRIM($C71))="FT",UPPER(TRIM($C71))="FTE"),"Full-Time",IF(OR(ISNUMBER(SEARCH("part",$C71)),UPPER(TRIM($C71))="PT",UPPER(TRIM($C71))="PTE"),"Part-Time",IF(OR(ISNUMBER(SEARCH("cas",$C71)),UPPER(TRIM($C71))="CAS"),"Casual","Unknown"))))="Unknown","type not recognised",$C71)))),IF(O71&gt;0,"Yes - Accrual Required","Not yet - from "&amp;TEXT(S71,"dd/mm/yyyy"))))</f>
        <v/>
      </c>
      <c r="S71" s="14" t="str">
        <f aca="false">IF(AK71=0,"",IF(AW71="None","",EDATE(AL71,BF71)))</f>
        <v/>
      </c>
      <c r="T71" s="17" t="str">
        <f aca="false">IF(AK71=0,"",IF(NOT(LH_Ready),"",IF($F71&gt;PFYDate,0,IF(LH_ColPeriod=0,W71-U71+V71,SUMIFS(INDEX(LH_Data,0,LH_ColAcc),INDEX(LH_Data,0,LH_ColFirst),$A71,INDEX(LH_Data,0,LH_ColSur),$B71,INDEX(LH_Data,0,LH_ColCat),BonusCat,INDEX(LH_Data,0,LH_ColPeriod),LH_OpenLabel)*UnitFactor))))</f>
        <v/>
      </c>
      <c r="U71" s="17" t="str">
        <f aca="false">IF(AK71=0,"",IF(NOT(LH_Ready),"",SUMIFS(INDEX(LH_Data,0,LH_ColAcc),INDEX(LH_Data,0,LH_ColFirst),$A71,INDEX(LH_Data,0,LH_ColSur),$B71,INDEX(LH_Data,0,LH_ColCat),BonusCat,INDEX(LH_Data,0,LH_ColStart),"&gt;="&amp;AL71)*UnitFactor))</f>
        <v/>
      </c>
      <c r="V71" s="17" t="str">
        <f aca="false">IF(AK71=0,"",IF(NOT(LH_Ready),"",SUMIFS(INDEX(LH_Data,0,LH_ColTaken),INDEX(LH_Data,0,LH_ColFirst),$A71,INDEX(LH_Data,0,LH_ColSur),$B71,INDEX(LH_Data,0,LH_ColCat),BonusCat,INDEX(LH_Data,0,LH_ColStart),"&gt;="&amp;AL71)*UnitFactor))</f>
        <v/>
      </c>
      <c r="W71" s="17" t="str">
        <f aca="false">IF(AK71=0,"",IF(NOT(LH_Ready),"",IF(BH71=0,0,INDEX(INDEX(LH_Data,0,LH_ColClose),BH71-1)*UnitFactor)))</f>
        <v/>
      </c>
      <c r="X71" s="17" t="str">
        <f aca="false">IF(AK71=0,"",(MAX(0,BD71-BQ71)-MAX(0,BE71-BQ71))*HoursPerDay)</f>
        <v/>
      </c>
      <c r="Y71" s="17" t="str">
        <f aca="false">IF(AK71=0,"",IF(NOT(LH_Ready),"",IF($AI71="Yes",N(AE71)*HoursPerDay-SUMIFS(INDEX(LH_Data,0,LH_ColAcc),INDEX(LH_Data,0,LH_ColFirst),$A71,INDEX(LH_Data,0,LH_ColSur),$B71,INDEX(LH_Data,0,LH_ColCat),BonusCat,INDEX(LH_Data,0,LH_ColStart),"&gt;="&amp;(EOMONTH(AsOfDate,-1)+1),INDEX(LH_Data,0,LH_ColStart),"&lt;="&amp;AsOfDate)*UnitFactor,IF(BG71=0,N71,N71-N(T71)-N(U71)))))</f>
        <v/>
      </c>
      <c r="Z71" s="16" t="str">
        <f aca="false">IF(OR(AK71=0,Y71=""),"",IF(Y71&gt;0,"Yes","No"))</f>
        <v/>
      </c>
      <c r="AA71" s="16" t="str">
        <f aca="false">IF(AK71=0,IF(LEN($A71&amp;$B71)=0,"","FIX INPUT - StartDate missing"),IF(AD71&lt;&gt;"","FIX INPUT - "&amp;AD71,IF(NOT(LH_Ready),"Paste Leave History export (Settings must show YES)",IF(AND($AI71="Yes",Y71&lt;=0),"OK - EH balance accepted to date"&amp;IF(N(AH71)&gt;0," (EH holds "&amp;AH71&amp;" hrs over the scheme)","")&amp;"; next day "&amp;TEXT(S71,"dd mmm yy")&amp;IF(N(AE71)&gt;0," ("&amp;AE71&amp;" day(s) for "&amp;UPPER(TEXT(AsOfDate,"mmm yyyy"))&amp;" already in EH)",""),IF(Y71&gt;0,"ACCRUE "&amp;ROUND(Y71,2)&amp;" hrs ("&amp;ROUND(Y71/HoursPerDay,2)&amp;" days): "&amp;IF(N(AE71)&gt;0,AE71&amp;" day(s) for "&amp;UPPER(TEXT(AsOfDate,"mmm yyyy"))&amp;" (milestone "&amp;UPPER(TEXT(AF71,"dd mmm yy"))&amp;")"&amp;IF(Y71/HoursPerDay&gt;AE71+0.001," + "&amp;ROUND(Y71/HoursPerDay-AE71,2)&amp;" day(s) catch-up from earlier months",""),"all catch-up from earlier months, nothing new this month")&amp;IF(BG71=0,"; no Bonus Leave in EH yet",""),IF(Y71&lt;0,"CHECK - EH accrued "&amp;ROUND(-Y71,2)&amp;" hrs more than policy since commencement",IF(N(W71)&gt;O71*HoursPerDay+0.01,"CHECK - EH balance "&amp;ROUND(W71-O71*HoursPerDay,2)&amp;" hrs more than policy entitlement",IF(O71&gt;0,"OK - nothing to add"&amp;IF(N(AE71)&gt;0," ("&amp;AE71&amp;" day(s) for "&amp;UPPER(TEXT(AsOfDate,"mmm yyyy"))&amp;" already in EH)",""),IF(AW71="None",R71,"Not yet - first day on "&amp;TEXT(S71,"dd/mm/yyyy"))))))))))</f>
        <v/>
      </c>
      <c r="AB71" s="17" t="str">
        <f aca="false">IF(OR(AK71=0,T71=""),"",MAX(0,BE71-BQ71)*HoursPerDay-T71)</f>
        <v/>
      </c>
      <c r="AC71" s="16" t="str">
        <f aca="false">IF(AK71=0,"",BG71)</f>
        <v/>
      </c>
      <c r="AD71" s="16" t="str">
        <f aca="false">IF(AK71=0,"",TRIM(IF(OR(ISTEXT($F71),ISTEXT($H71),ISTEXT($I71),ISTEXT($G71),ISTEXT($J71),ISTEXT($D71)),"A date is typed as text - retype it as dd/mm/yyyy. ","")&amp;IF(IF($C71="","",IF(OR(ISNUMBER(SEARCH("full",$C71)),UPPER(TRIM($C71))="FT",UPPER(TRIM($C71))="FTE"),"Full-Time",IF(OR(ISNUMBER(SEARCH("part",$C71)),UPPER(TRIM($C71))="PT",UPPER(TRIM($C71))="PTE"),"Part-Time",IF(OR(ISNUMBER(SEARCH("cas",$C71)),UPPER(TRIM($C71))="CAS"),"Casual","Unknown"))))="Unknown","EmploymentType not recognised - use Full-Time, Part-Time or Casual. ","")&amp;IF(AND(AM71&gt;=1,IF(AM71&gt;=3,AS71,IF(AM71=2,AR71,AQ71))&lt;&gt;IF($C71="","",IF(OR(ISNUMBER(SEARCH("full",$C71)),UPPER(TRIM($C71))="FT",UPPER(TRIM($C71))="FTE"),"Full-Time",IF(OR(ISNUMBER(SEARCH("part",$C71)),UPPER(TRIM($C71))="PT",UPPER(TRIM($C71))="PTE"),"Part-Time",IF(OR(ISNUMBER(SEARCH("cas",$C71)),UPPER(TRIM($C71))="CAS"),"Casual","Unknown"))))),"EmploymentType does not match latest start date ("&amp;IF(AM71&gt;=3,AS71,IF(AM71=2,AR71,AQ71))&amp;"). ","")&amp;IF(AND(AM71&gt;=1,AN71&lt;&gt;$F71),"Earliest type date should equal StartDate. ","")&amp;IF(AND(AM71&gt;=2,AN71=AO71),"Two types start on the same date. ","")&amp;IF(AND(OR(ISNUMBER(SEARCH("part",$C71)),UPPER(TRIM($C71))="PT",UPPER(TRIM($C71))="PTE"),$P71=""),"Part-time: enter PT Hrs/Week (blank = 24+). ","")))</f>
        <v/>
      </c>
      <c r="AE71" s="17" t="str">
        <f aca="false">IF(AK71=0,"",O71-MAX(0,BL71-BQ71))</f>
        <v/>
      </c>
      <c r="AF71" s="14" t="str">
        <f aca="false">IF(OR(AK71=0,AE71="",N(AE71)=0,BM71=""),"",EDATE(AL71,BM71))</f>
        <v/>
      </c>
      <c r="AG71" s="17" t="str">
        <f aca="false">IF(AK71=0,"",MIN(BD71,BQ71))</f>
        <v/>
      </c>
      <c r="AH71" s="17" t="str">
        <f aca="false">IF(AK71=0,"",IF(NOT(LH_Ready),"",IF(BG71=0,0,MAX(0,ROUND(N(T71)+N(U71)-N71,2)))))</f>
        <v/>
      </c>
      <c r="AI71" s="12"/>
      <c r="AJ71" s="12"/>
      <c r="AK71" s="16" t="n">
        <f aca="false">IF(OR(LEN($A71&amp;$B71)=0,$F71=""),0,1)</f>
        <v>0</v>
      </c>
      <c r="AL71" s="14" t="str">
        <f aca="false">IF(AK71=0,"",IF(PreSchemeCounts="No",MAX(SchemeStart,IF($J71&lt;&gt;"",$J71,IF(OR(CasualCounts="Yes",COUNT($G71:$I71)=0),$F71,IF(Apply2026="No",IF($I71="",$F71,$I71),IF(COUNT($H71:$I71)=0,$F71,MIN($H71:$I71)))))),IF($J71&lt;&gt;"",$J71,IF(OR(CasualCounts="Yes",COUNT($G71:$I71)=0),$F71,IF(Apply2026="No",IF($I71="",$F71,$I71),IF(COUNT($H71:$I71)=0,$F71,MIN($H71:$I71)))))))</f>
        <v/>
      </c>
      <c r="AM71" s="16" t="str">
        <f aca="false">IF(AK71=0,"",COUNT($G71:$I71))</f>
        <v/>
      </c>
      <c r="AN71" s="14" t="str">
        <f aca="false">IF(AK71=0,"",IFERROR(SMALL($G71:$I71,1),""))</f>
        <v/>
      </c>
      <c r="AO71" s="14" t="str">
        <f aca="false">IF(AK71=0,"",IFERROR(SMALL($G71:$I71,2),""))</f>
        <v/>
      </c>
      <c r="AP71" s="14" t="str">
        <f aca="false">IF(AK71=0,"",IFERROR(SMALL($G71:$I71,3),""))</f>
        <v/>
      </c>
      <c r="AQ71" s="16" t="str">
        <f aca="false">IF(AK71=0,"",IF(AN71="","",IF(AN71=$H71,"Part-Time",IF(AN71=$I71,"Full-Time","Casual"))))</f>
        <v/>
      </c>
      <c r="AR71" s="16" t="str">
        <f aca="false">IF(AK71=0,"",IF(AO71="","",IF(AO71=$H71,"Part-Time",IF(AO71=$I71,"Full-Time","Casual"))))</f>
        <v/>
      </c>
      <c r="AS71" s="16" t="str">
        <f aca="false">IF(AK71=0,"",IF(AP71="","",IF(AP71=$H71,"Part-Time",IF(AP71=$I71,"Full-Time","Casual"))))</f>
        <v/>
      </c>
      <c r="AT71" s="16" t="str">
        <f aca="false">IF(AK71=0,"",IF(AM71=0,IF(OR(ISNUMBER(SEARCH("full",$C71)),UPPER(TRIM($C71))="FT",UPPER(TRIM($C71))="FTE"),"FT",IF(AND(OR(ISNUMBER(SEARCH("part",$C71)),UPPER(TRIM($C71))="PT",UPPER(TRIM($C71))="PTE"),Apply2026="Yes",OR($P71="",N($P71)&gt;=PT_MinHours)),"PT","None")),IF(OR(ISNUMBER(SEARCH("full",AQ71)),UPPER(TRIM(AQ71))="FT",UPPER(TRIM(AQ71))="FTE"),"FT",IF(AND(OR(ISNUMBER(SEARCH("part",AQ71)),UPPER(TRIM(AQ71))="PT",UPPER(TRIM(AQ71))="PTE"),Apply2026="Yes",OR($P71="",N($P71)&gt;=PT_MinHours)),"PT","None"))))</f>
        <v/>
      </c>
      <c r="AU71" s="16" t="str">
        <f aca="false">IF(AK71=0,"",IF(AM71&lt;2,"",IF(OR(ISNUMBER(SEARCH("full",AR71)),UPPER(TRIM(AR71))="FT",UPPER(TRIM(AR71))="FTE"),"FT",IF(AND(OR(ISNUMBER(SEARCH("part",AR71)),UPPER(TRIM(AR71))="PT",UPPER(TRIM(AR71))="PTE"),Apply2026="Yes",OR($P71="",N($P71)&gt;=PT_MinHours)),"PT","None"))))</f>
        <v/>
      </c>
      <c r="AV71" s="16" t="str">
        <f aca="false">IF(AK71=0,"",IF(AM71&lt;3,"",IF(OR(ISNUMBER(SEARCH("full",AS71)),UPPER(TRIM(AS71))="FT",UPPER(TRIM(AS71))="FTE"),"FT",IF(AND(OR(ISNUMBER(SEARCH("part",AS71)),UPPER(TRIM(AS71))="PT",UPPER(TRIM(AS71))="PTE"),Apply2026="Yes",OR($P71="",N($P71)&gt;=PT_MinHours)),"PT","None"))))</f>
        <v/>
      </c>
      <c r="AW71" s="16" t="str">
        <f aca="false">IF(AK71=0,"",IF(AND(AM71&gt;=3,AP71&lt;=AsOfDate),AV71,IF(AND(AM71&gt;=2,AO71&lt;=AsOfDate),AU71,AT71)))</f>
        <v/>
      </c>
      <c r="AX71" s="16" t="str">
        <f aca="false">IF(AK71=0,"",IF(AsOfDate&lt;AL71,-1,12*(YEAR(AsOfDate)-YEAR(AL71))+MONTH(AsOfDate)-MONTH(AL71)-IF(DAY(AsOfDate)&lt;MIN(DAY(AL71),DAY(EOMONTH(AsOfDate,0))),1,0)))</f>
        <v/>
      </c>
      <c r="AY71" s="16" t="str">
        <f aca="false">IF(AK71=0,"",IF(OR(AM71&lt;2,AO71&gt;AsOfDate),AX71,IF((AO71-1)&lt;AL71,-1,12*(YEAR((AO71-1))-YEAR(AL71))+MONTH((AO71-1))-MONTH(AL71)-IF(DAY((AO71-1))&lt;MIN(DAY(AL71),DAY(EOMONTH((AO71-1),0))),1,0))))</f>
        <v/>
      </c>
      <c r="AZ71" s="16" t="str">
        <f aca="false">IF(AK71=0,"",IF(OR(AM71&lt;3,AP71&gt;AsOfDate),AX71,IF((AP71-1)&lt;AL71,-1,12*(YEAR((AP71-1))-YEAR(AL71))+MONTH((AP71-1))-MONTH(AL71)-IF(DAY((AP71-1))&lt;MIN(DAY(AL71),DAY(EOMONTH((AP71-1),0))),1,0))))</f>
        <v/>
      </c>
      <c r="BA71" s="16" t="str">
        <f aca="false">IF(AK71=0,"",IF(PFYDate&lt;AL71,-1,12*(YEAR(PFYDate)-YEAR(AL71))+MONTH(PFYDate)-MONTH(AL71)-IF(DAY(PFYDate)&lt;MIN(DAY(AL71),DAY(EOMONTH(PFYDate,0))),1,0)))</f>
        <v/>
      </c>
      <c r="BB71" s="16" t="str">
        <f aca="false">IF(AK71=0,"",IF(OR(AM71&lt;2,AO71&gt;PFYDate),BA71,IF((AO71-1)&lt;AL71,-1,12*(YEAR((AO71-1))-YEAR(AL71))+MONTH((AO71-1))-MONTH(AL71)-IF(DAY((AO71-1))&lt;MIN(DAY(AL71),DAY(EOMONTH((AO71-1),0))),1,0))))</f>
        <v/>
      </c>
      <c r="BC71" s="16" t="str">
        <f aca="false">IF(AK71=0,"",IF(OR(AM71&lt;3,AP71&gt;PFYDate),BA71,IF((AP71-1)&lt;AL71,-1,12*(YEAR((AP71-1))-YEAR(AL71))+MONTH((AP71-1))-MONTH(AL71)-IF(DAY((AP71-1))&lt;MIN(DAY(AL71),DAY(EOMONTH((AP71-1),0))),1,0))))</f>
        <v/>
      </c>
      <c r="BD71" s="16" t="str">
        <f aca="false">IF(AK71=0,"",IF(AT71="FT",IF(AY71&lt;FT_First,0,IF(AY71&lt;FT_Y5,1+INT((AY71-FT_First)/FT_Int1),FT_PreY5+FT_PerYear*INT((AY71-FT_Y5)/12)+FT_AnnivDays+INT(MOD(AY71-FT_Y5,12)/FT_Int2)-IF(EDATE(AL71,FT_Y5)&lt;PolicyEff,FT_AnnivDays-1,0))),IF(AT71="PT",IF(AY71&lt;PT_First,0,1+INT((AY71-PT_First)/PT_Int)),0))+IF(AND(AM71&gt;=2,AO71&lt;=AsOfDate),IF(AU71="FT",IF(AZ71&lt;FT_First,0,IF(AZ71&lt;FT_Y5,1+INT((AZ71-FT_First)/FT_Int1),FT_PreY5+FT_PerYear*INT((AZ71-FT_Y5)/12)+FT_AnnivDays+INT(MOD(AZ71-FT_Y5,12)/FT_Int2)-IF(EDATE(AL71,FT_Y5)&lt;PolicyEff,FT_AnnivDays-1,0))),IF(AU71="PT",IF(AZ71&lt;PT_First,0,1+INT((AZ71-PT_First)/PT_Int)),0))-IF(AU71="FT",IF(AY71&lt;FT_First,0,IF(AY71&lt;FT_Y5,1+INT((AY71-FT_First)/FT_Int1),FT_PreY5+FT_PerYear*INT((AY71-FT_Y5)/12)+FT_AnnivDays+INT(MOD(AY71-FT_Y5,12)/FT_Int2)-IF(EDATE(AL71,FT_Y5)&lt;PolicyEff,FT_AnnivDays-1,0))),IF(AU71="PT",IF(AY71&lt;PT_First,0,1+INT((AY71-PT_First)/PT_Int)),0)),0)+IF(AND(AM71&gt;=3,AP71&lt;=AsOfDate),IF(AV71="FT",IF(AX71&lt;FT_First,0,IF(AX71&lt;FT_Y5,1+INT((AX71-FT_First)/FT_Int1),FT_PreY5+FT_PerYear*INT((AX71-FT_Y5)/12)+FT_AnnivDays+INT(MOD(AX71-FT_Y5,12)/FT_Int2)-IF(EDATE(AL71,FT_Y5)&lt;PolicyEff,FT_AnnivDays-1,0))),IF(AV71="PT",IF(AX71&lt;PT_First,0,1+INT((AX71-PT_First)/PT_Int)),0))-IF(AV71="FT",IF(AZ71&lt;FT_First,0,IF(AZ71&lt;FT_Y5,1+INT((AZ71-FT_First)/FT_Int1),FT_PreY5+FT_PerYear*INT((AZ71-FT_Y5)/12)+FT_AnnivDays+INT(MOD(AZ71-FT_Y5,12)/FT_Int2)-IF(EDATE(AL71,FT_Y5)&lt;PolicyEff,FT_AnnivDays-1,0))),IF(AV71="PT",IF(AZ71&lt;PT_First,0,1+INT((AZ71-PT_First)/PT_Int)),0)),0))</f>
        <v/>
      </c>
      <c r="BE71" s="16" t="str">
        <f aca="false">IF(AK71=0,"",IF(AT71="FT",IF(BB71&lt;FT_First,0,IF(BB71&lt;FT_Y5,1+INT((BB71-FT_First)/FT_Int1),FT_PreY5+FT_PerYear*INT((BB71-FT_Y5)/12)+FT_AnnivDays+INT(MOD(BB71-FT_Y5,12)/FT_Int2)-IF(EDATE(AL71,FT_Y5)&lt;PolicyEff,FT_AnnivDays-1,0))),IF(AT71="PT",IF(BB71&lt;PT_First,0,1+INT((BB71-PT_First)/PT_Int)),0))+IF(AND(AM71&gt;=2,AO71&lt;=PFYDate),IF(AU71="FT",IF(BC71&lt;FT_First,0,IF(BC71&lt;FT_Y5,1+INT((BC71-FT_First)/FT_Int1),FT_PreY5+FT_PerYear*INT((BC71-FT_Y5)/12)+FT_AnnivDays+INT(MOD(BC71-FT_Y5,12)/FT_Int2)-IF(EDATE(AL71,FT_Y5)&lt;PolicyEff,FT_AnnivDays-1,0))),IF(AU71="PT",IF(BC71&lt;PT_First,0,1+INT((BC71-PT_First)/PT_Int)),0))-IF(AU71="FT",IF(BB71&lt;FT_First,0,IF(BB71&lt;FT_Y5,1+INT((BB71-FT_First)/FT_Int1),FT_PreY5+FT_PerYear*INT((BB71-FT_Y5)/12)+FT_AnnivDays+INT(MOD(BB71-FT_Y5,12)/FT_Int2)-IF(EDATE(AL71,FT_Y5)&lt;PolicyEff,FT_AnnivDays-1,0))),IF(AU71="PT",IF(BB71&lt;PT_First,0,1+INT((BB71-PT_First)/PT_Int)),0)),0)+IF(AND(AM71&gt;=3,AP71&lt;=PFYDate),IF(AV71="FT",IF(BA71&lt;FT_First,0,IF(BA71&lt;FT_Y5,1+INT((BA71-FT_First)/FT_Int1),FT_PreY5+FT_PerYear*INT((BA71-FT_Y5)/12)+FT_AnnivDays+INT(MOD(BA71-FT_Y5,12)/FT_Int2)-IF(EDATE(AL71,FT_Y5)&lt;PolicyEff,FT_AnnivDays-1,0))),IF(AV71="PT",IF(BA71&lt;PT_First,0,1+INT((BA71-PT_First)/PT_Int)),0))-IF(AV71="FT",IF(BC71&lt;FT_First,0,IF(BC71&lt;FT_Y5,1+INT((BC71-FT_First)/FT_Int1),FT_PreY5+FT_PerYear*INT((BC71-FT_Y5)/12)+FT_AnnivDays+INT(MOD(BC71-FT_Y5,12)/FT_Int2)-IF(EDATE(AL71,FT_Y5)&lt;PolicyEff,FT_AnnivDays-1,0))),IF(AV71="PT",IF(BC71&lt;PT_First,0,1+INT((BC71-PT_First)/PT_Int)),0)),0))</f>
        <v/>
      </c>
      <c r="BF71" s="16" t="str">
        <f aca="false">IF(AK71=0,"",IF(AW71="FT",IF(AX71&lt;FT_First,FT_First,IF(AX71&lt;FT_Y5,MIN(FT_Y5,FT_First+FT_Int1*(INT((AX71-FT_First)/FT_Int1)+1)),FT_Y5+12*INT((AX71-FT_Y5)/12)+FT_Int2*(INT(MOD(AX71-FT_Y5,12)/FT_Int2)+1))),IF(AW71="PT",IF(AX71&lt;PT_First,PT_First,PT_First+PT_Int*(INT((AX71-PT_First)/PT_Int)+1)),"")))</f>
        <v/>
      </c>
      <c r="BG71" s="16" t="str">
        <f aca="false">IF(AK71=0,"",IF(NOT(LH_Ready),0,COUNTIFS(INDEX(LH_Data,0,LH_ColFirst),$A71,INDEX(LH_Data,0,LH_ColSur),$B71,INDEX(LH_Data,0,LH_ColCat),BonusCat)))</f>
        <v/>
      </c>
      <c r="BH71" s="16" t="str">
        <f aca="false">IF(AK71=0,"",IF(OR(NOT(LH_Ready),BG71=0),0,SUMPRODUCT(MAX((INDEX(LH_Data,0,LH_ColFirst)=$A71)*(INDEX(LH_Data,0,LH_ColSur)=$B71)*(INDEX(LH_Data,0,LH_ColCat)=BonusCat)*ROW(LH_Data)))))</f>
        <v/>
      </c>
      <c r="BI71" s="16" t="str">
        <f aca="false">IF(AK71=0,"",IF(EOMONTH(AsOfDate,-1)&lt;AL71,-1,12*(YEAR(EOMONTH(AsOfDate,-1))-YEAR(AL71))+MONTH(EOMONTH(AsOfDate,-1))-MONTH(AL71)-IF(DAY(EOMONTH(AsOfDate,-1))&lt;MIN(DAY(AL71),DAY(EOMONTH(EOMONTH(AsOfDate,-1),0))),1,0)))</f>
        <v/>
      </c>
      <c r="BJ71" s="16" t="str">
        <f aca="false">IF(AK71=0,"",IF(OR(AM71&lt;2,AO71&gt;EOMONTH(AsOfDate,-1)),BI71,IF((AO71-1)&lt;AL71,-1,12*(YEAR((AO71-1))-YEAR(AL71))+MONTH((AO71-1))-MONTH(AL71)-IF(DAY((AO71-1))&lt;MIN(DAY(AL71),DAY(EOMONTH((AO71-1),0))),1,0))))</f>
        <v/>
      </c>
      <c r="BK71" s="16" t="str">
        <f aca="false">IF(AK71=0,"",IF(OR(AM71&lt;3,AP71&gt;EOMONTH(AsOfDate,-1)),BI71,IF((AP71-1)&lt;AL71,-1,12*(YEAR((AP71-1))-YEAR(AL71))+MONTH((AP71-1))-MONTH(AL71)-IF(DAY((AP71-1))&lt;MIN(DAY(AL71),DAY(EOMONTH((AP71-1),0))),1,0))))</f>
        <v/>
      </c>
      <c r="BL71" s="16" t="str">
        <f aca="false">IF(AK71=0,"",IF(AT71="FT",IF(BJ71&lt;FT_First,0,IF(BJ71&lt;FT_Y5,1+INT((BJ71-FT_First)/FT_Int1),FT_PreY5+FT_PerYear*INT((BJ71-FT_Y5)/12)+FT_AnnivDays+INT(MOD(BJ71-FT_Y5,12)/FT_Int2)-IF(EDATE(AL71,FT_Y5)&lt;PolicyEff,FT_AnnivDays-1,0))),IF(AT71="PT",IF(BJ71&lt;PT_First,0,1+INT((BJ71-PT_First)/PT_Int)),0))+IF(AND(AM71&gt;=2,AO71&lt;=EOMONTH(AsOfDate,-1)),IF(AU71="FT",IF(BK71&lt;FT_First,0,IF(BK71&lt;FT_Y5,1+INT((BK71-FT_First)/FT_Int1),FT_PreY5+FT_PerYear*INT((BK71-FT_Y5)/12)+FT_AnnivDays+INT(MOD(BK71-FT_Y5,12)/FT_Int2)-IF(EDATE(AL71,FT_Y5)&lt;PolicyEff,FT_AnnivDays-1,0))),IF(AU71="PT",IF(BK71&lt;PT_First,0,1+INT((BK71-PT_First)/PT_Int)),0))-IF(AU71="FT",IF(BJ71&lt;FT_First,0,IF(BJ71&lt;FT_Y5,1+INT((BJ71-FT_First)/FT_Int1),FT_PreY5+FT_PerYear*INT((BJ71-FT_Y5)/12)+FT_AnnivDays+INT(MOD(BJ71-FT_Y5,12)/FT_Int2)-IF(EDATE(AL71,FT_Y5)&lt;PolicyEff,FT_AnnivDays-1,0))),IF(AU71="PT",IF(BJ71&lt;PT_First,0,1+INT((BJ71-PT_First)/PT_Int)),0)),0)+IF(AND(AM71&gt;=3,AP71&lt;=EOMONTH(AsOfDate,-1)),IF(AV71="FT",IF(BI71&lt;FT_First,0,IF(BI71&lt;FT_Y5,1+INT((BI71-FT_First)/FT_Int1),FT_PreY5+FT_PerYear*INT((BI71-FT_Y5)/12)+FT_AnnivDays+INT(MOD(BI71-FT_Y5,12)/FT_Int2)-IF(EDATE(AL71,FT_Y5)&lt;PolicyEff,FT_AnnivDays-1,0))),IF(AV71="PT",IF(BI71&lt;PT_First,0,1+INT((BI71-PT_First)/PT_Int)),0))-IF(AV71="FT",IF(BK71&lt;FT_First,0,IF(BK71&lt;FT_Y5,1+INT((BK71-FT_First)/FT_Int1),FT_PreY5+FT_PerYear*INT((BK71-FT_Y5)/12)+FT_AnnivDays+INT(MOD(BK71-FT_Y5,12)/FT_Int2)-IF(EDATE(AL71,FT_Y5)&lt;PolicyEff,FT_AnnivDays-1,0))),IF(AV71="PT",IF(BK71&lt;PT_First,0,1+INT((BK71-PT_First)/PT_Int)),0)),0))</f>
        <v/>
      </c>
      <c r="BM71" s="16" t="str">
        <f aca="false">IF(AK71=0,"",IF(AW71="FT",IF(AX71&lt;FT_First,"",IF(AX71&lt;FT_Y5,FT_First+FT_Int1*INT((AX71-FT_First)/FT_Int1),FT_Y5+FT_Int2*INT((AX71-FT_Y5)/FT_Int2))),IF(AW71="PT",IF(AX71&lt;PT_First,"",PT_First+PT_Int*INT((AX71-PT_First)/PT_Int)),"")))</f>
        <v/>
      </c>
      <c r="BN71" s="16" t="str">
        <f aca="false">IF(AK71=0,"",IF((SchemeStart-1)&lt;AL71,-1,12*(YEAR((SchemeStart-1))-YEAR(AL71))+MONTH((SchemeStart-1))-MONTH(AL71)-IF(DAY((SchemeStart-1))&lt;MIN(DAY(AL71),DAY(EOMONTH((SchemeStart-1),0))),1,0)))</f>
        <v/>
      </c>
      <c r="BO71" s="16" t="str">
        <f aca="false">IF(AK71=0,"",IF(OR(AM71&lt;2,AO71&gt;(SchemeStart-1)),BN71,IF((AO71-1)&lt;AL71,-1,12*(YEAR((AO71-1))-YEAR(AL71))+MONTH((AO71-1))-MONTH(AL71)-IF(DAY((AO71-1))&lt;MIN(DAY(AL71),DAY(EOMONTH((AO71-1),0))),1,0))))</f>
        <v/>
      </c>
      <c r="BP71" s="16" t="str">
        <f aca="false">IF(AK71=0,"",IF(OR(AM71&lt;3,AP71&gt;(SchemeStart-1)),BN71,IF((AP71-1)&lt;AL71,-1,12*(YEAR((AP71-1))-YEAR(AL71))+MONTH((AP71-1))-MONTH(AL71)-IF(DAY((AP71-1))&lt;MIN(DAY(AL71),DAY(EOMONTH((AP71-1),0))),1,0))))</f>
        <v/>
      </c>
      <c r="BQ71" s="16" t="str">
        <f aca="false">IF(AK71=0,"",IF(AT71="FT",IF(BO71&lt;FT_First,0,IF(BO71&lt;FT_Y5,1+INT((BO71-FT_First)/FT_Int1),FT_PreY5+FT_PerYear*INT((BO71-FT_Y5)/12)+FT_AnnivDays+INT(MOD(BO71-FT_Y5,12)/FT_Int2)-IF(EDATE(AL71,FT_Y5)&lt;PolicyEff,FT_AnnivDays-1,0))),IF(AT71="PT",IF(BO71&lt;PT_First,0,1+INT((BO71-PT_First)/PT_Int)),0))+IF(AND(AM71&gt;=2,AO71&lt;=(SchemeStart-1)),IF(AU71="FT",IF(BP71&lt;FT_First,0,IF(BP71&lt;FT_Y5,1+INT((BP71-FT_First)/FT_Int1),FT_PreY5+FT_PerYear*INT((BP71-FT_Y5)/12)+FT_AnnivDays+INT(MOD(BP71-FT_Y5,12)/FT_Int2)-IF(EDATE(AL71,FT_Y5)&lt;PolicyEff,FT_AnnivDays-1,0))),IF(AU71="PT",IF(BP71&lt;PT_First,0,1+INT((BP71-PT_First)/PT_Int)),0))-IF(AU71="FT",IF(BO71&lt;FT_First,0,IF(BO71&lt;FT_Y5,1+INT((BO71-FT_First)/FT_Int1),FT_PreY5+FT_PerYear*INT((BO71-FT_Y5)/12)+FT_AnnivDays+INT(MOD(BO71-FT_Y5,12)/FT_Int2)-IF(EDATE(AL71,FT_Y5)&lt;PolicyEff,FT_AnnivDays-1,0))),IF(AU71="PT",IF(BO71&lt;PT_First,0,1+INT((BO71-PT_First)/PT_Int)),0)),0)+IF(AND(AM71&gt;=3,AP71&lt;=(SchemeStart-1)),IF(AV71="FT",IF(BN71&lt;FT_First,0,IF(BN71&lt;FT_Y5,1+INT((BN71-FT_First)/FT_Int1),FT_PreY5+FT_PerYear*INT((BN71-FT_Y5)/12)+FT_AnnivDays+INT(MOD(BN71-FT_Y5,12)/FT_Int2)-IF(EDATE(AL71,FT_Y5)&lt;PolicyEff,FT_AnnivDays-1,0))),IF(AV71="PT",IF(BN71&lt;PT_First,0,1+INT((BN71-PT_First)/PT_Int)),0))-IF(AV71="FT",IF(BP71&lt;FT_First,0,IF(BP71&lt;FT_Y5,1+INT((BP71-FT_First)/FT_Int1),FT_PreY5+FT_PerYear*INT((BP71-FT_Y5)/12)+FT_AnnivDays+INT(MOD(BP71-FT_Y5,12)/FT_Int2)-IF(EDATE(AL71,FT_Y5)&lt;PolicyEff,FT_AnnivDays-1,0))),IF(AV71="PT",IF(BP71&lt;PT_First,0,1+INT((BP71-PT_First)/PT_Int)),0)),0))</f>
        <v/>
      </c>
      <c r="BR71" s="0" t="str">
        <f aca="false">IF(LEN($A71&amp;$B71)=0,"",$A71&amp;" "&amp;$B71)</f>
        <v/>
      </c>
    </row>
    <row r="72" customFormat="false" ht="15" hidden="false" customHeight="false" outlineLevel="0" collapsed="false">
      <c r="A72" s="12"/>
      <c r="B72" s="12"/>
      <c r="C72" s="12"/>
      <c r="D72" s="13"/>
      <c r="E72" s="14" t="str">
        <f aca="false">IF(OR(AK72=0,$D72=""),"",DATE(YEAR(AsOfDate)+IF(DATE(YEAR(AsOfDate),MONTH($D72),DAY($D72))&lt;=AsOfDate,1,0),MONTH($D72),DAY($D72)))</f>
        <v/>
      </c>
      <c r="F72" s="13"/>
      <c r="G72" s="13"/>
      <c r="H72" s="13"/>
      <c r="I72" s="13"/>
      <c r="J72" s="13"/>
      <c r="K72" s="14" t="str">
        <f aca="false">IF(AK72=0,"",DATE(YEAR(AsOfDate)+IF(DATE(YEAR(AsOfDate),MONTH(AL72),DAY(AL72))&lt;=AsOfDate,1,0),MONTH(AL72),DAY(AL72)))</f>
        <v/>
      </c>
      <c r="L72" s="15" t="str">
        <f aca="false">IF(AK72=0,"",ROUND((AsOfDate-AL72)/365.25,1))</f>
        <v/>
      </c>
      <c r="M72" s="16" t="str">
        <f aca="false">IF(AK72=0,"",IF(AsOfDate&lt;AL72,"-",DATEDIF(AL72,AsOfDate,"y")&amp;"y "&amp;DATEDIF(AL72,AsOfDate,"ym")&amp;"m "&amp;DATEDIF(AL72,AsOfDate,"md")&amp;"d"))</f>
        <v/>
      </c>
      <c r="N72" s="17" t="str">
        <f aca="false">IF(AK72=0,"",O72*HoursPerDay)</f>
        <v/>
      </c>
      <c r="O72" s="17" t="str">
        <f aca="false">IF(AK72=0,"",MAX(0,BD72-BQ72))</f>
        <v/>
      </c>
      <c r="P72" s="18"/>
      <c r="Q72" s="16" t="str">
        <f aca="false">IF(AK72=0,"",IF(AM72&lt;2,"",AQ72&amp;" to "&amp;AR72&amp;" on "&amp;TEXT(AO72,"dd/mm/yyyy")&amp;IF(AO72&gt;AsOfDate," (future)",IF(AT72=AU72,"",IF(AU72="None"," - STOPPED accruing",IF(AT72="None"," - commencement for Bonus Leave"," - pathway changed"))))&amp;IF(AM72&lt;3,"","; "&amp;AR72&amp;" to "&amp;AS72&amp;" on "&amp;TEXT(AP72,"dd/mm/yyyy")&amp;IF(AP72&gt;AsOfDate," (future)",IF(AU72=AV72,"",IF(AV72="None"," - STOPPED accruing",IF(AU72="None"," - commencement for Bonus Leave"," - pathway changed")))))))</f>
        <v/>
      </c>
      <c r="R72" s="16" t="str">
        <f aca="false">IF(AK72=0,"",IF(AW72="None",IF(O72&gt;0,"No longer accruing","Not eligible - "&amp;IF(AND(OR(ISNUMBER(SEARCH("part",$C72)),UPPER(TRIM($C72))="PT",UPPER(TRIM($C72))="PTE"),Apply2026="No"),"part-time (scheme is full-time only)",IF(AND(OR(ISNUMBER(SEARCH("part",$C72)),UPPER(TRIM($C72))="PT",UPPER(TRIM($C72))="PTE"),$P72&lt;&gt;"",N($P72)&lt;PT_MinHours),"under "&amp;PT_MinHours&amp;" hrs",IF(IF($C72="","",IF(OR(ISNUMBER(SEARCH("full",$C72)),UPPER(TRIM($C72))="FT",UPPER(TRIM($C72))="FTE"),"Full-Time",IF(OR(ISNUMBER(SEARCH("part",$C72)),UPPER(TRIM($C72))="PT",UPPER(TRIM($C72))="PTE"),"Part-Time",IF(OR(ISNUMBER(SEARCH("cas",$C72)),UPPER(TRIM($C72))="CAS"),"Casual","Unknown"))))="Unknown","type not recognised",$C72)))),IF(O72&gt;0,"Yes - Accrual Required","Not yet - from "&amp;TEXT(S72,"dd/mm/yyyy"))))</f>
        <v/>
      </c>
      <c r="S72" s="14" t="str">
        <f aca="false">IF(AK72=0,"",IF(AW72="None","",EDATE(AL72,BF72)))</f>
        <v/>
      </c>
      <c r="T72" s="17" t="str">
        <f aca="false">IF(AK72=0,"",IF(NOT(LH_Ready),"",IF($F72&gt;PFYDate,0,IF(LH_ColPeriod=0,W72-U72+V72,SUMIFS(INDEX(LH_Data,0,LH_ColAcc),INDEX(LH_Data,0,LH_ColFirst),$A72,INDEX(LH_Data,0,LH_ColSur),$B72,INDEX(LH_Data,0,LH_ColCat),BonusCat,INDEX(LH_Data,0,LH_ColPeriod),LH_OpenLabel)*UnitFactor))))</f>
        <v/>
      </c>
      <c r="U72" s="17" t="str">
        <f aca="false">IF(AK72=0,"",IF(NOT(LH_Ready),"",SUMIFS(INDEX(LH_Data,0,LH_ColAcc),INDEX(LH_Data,0,LH_ColFirst),$A72,INDEX(LH_Data,0,LH_ColSur),$B72,INDEX(LH_Data,0,LH_ColCat),BonusCat,INDEX(LH_Data,0,LH_ColStart),"&gt;="&amp;AL72)*UnitFactor))</f>
        <v/>
      </c>
      <c r="V72" s="17" t="str">
        <f aca="false">IF(AK72=0,"",IF(NOT(LH_Ready),"",SUMIFS(INDEX(LH_Data,0,LH_ColTaken),INDEX(LH_Data,0,LH_ColFirst),$A72,INDEX(LH_Data,0,LH_ColSur),$B72,INDEX(LH_Data,0,LH_ColCat),BonusCat,INDEX(LH_Data,0,LH_ColStart),"&gt;="&amp;AL72)*UnitFactor))</f>
        <v/>
      </c>
      <c r="W72" s="17" t="str">
        <f aca="false">IF(AK72=0,"",IF(NOT(LH_Ready),"",IF(BH72=0,0,INDEX(INDEX(LH_Data,0,LH_ColClose),BH72-1)*UnitFactor)))</f>
        <v/>
      </c>
      <c r="X72" s="17" t="str">
        <f aca="false">IF(AK72=0,"",(MAX(0,BD72-BQ72)-MAX(0,BE72-BQ72))*HoursPerDay)</f>
        <v/>
      </c>
      <c r="Y72" s="17" t="str">
        <f aca="false">IF(AK72=0,"",IF(NOT(LH_Ready),"",IF($AI72="Yes",N(AE72)*HoursPerDay-SUMIFS(INDEX(LH_Data,0,LH_ColAcc),INDEX(LH_Data,0,LH_ColFirst),$A72,INDEX(LH_Data,0,LH_ColSur),$B72,INDEX(LH_Data,0,LH_ColCat),BonusCat,INDEX(LH_Data,0,LH_ColStart),"&gt;="&amp;(EOMONTH(AsOfDate,-1)+1),INDEX(LH_Data,0,LH_ColStart),"&lt;="&amp;AsOfDate)*UnitFactor,IF(BG72=0,N72,N72-N(T72)-N(U72)))))</f>
        <v/>
      </c>
      <c r="Z72" s="16" t="str">
        <f aca="false">IF(OR(AK72=0,Y72=""),"",IF(Y72&gt;0,"Yes","No"))</f>
        <v/>
      </c>
      <c r="AA72" s="16" t="str">
        <f aca="false">IF(AK72=0,IF(LEN($A72&amp;$B72)=0,"","FIX INPUT - StartDate missing"),IF(AD72&lt;&gt;"","FIX INPUT - "&amp;AD72,IF(NOT(LH_Ready),"Paste Leave History export (Settings must show YES)",IF(AND($AI72="Yes",Y72&lt;=0),"OK - EH balance accepted to date"&amp;IF(N(AH72)&gt;0," (EH holds "&amp;AH72&amp;" hrs over the scheme)","")&amp;"; next day "&amp;TEXT(S72,"dd mmm yy")&amp;IF(N(AE72)&gt;0," ("&amp;AE72&amp;" day(s) for "&amp;UPPER(TEXT(AsOfDate,"mmm yyyy"))&amp;" already in EH)",""),IF(Y72&gt;0,"ACCRUE "&amp;ROUND(Y72,2)&amp;" hrs ("&amp;ROUND(Y72/HoursPerDay,2)&amp;" days): "&amp;IF(N(AE72)&gt;0,AE72&amp;" day(s) for "&amp;UPPER(TEXT(AsOfDate,"mmm yyyy"))&amp;" (milestone "&amp;UPPER(TEXT(AF72,"dd mmm yy"))&amp;")"&amp;IF(Y72/HoursPerDay&gt;AE72+0.001," + "&amp;ROUND(Y72/HoursPerDay-AE72,2)&amp;" day(s) catch-up from earlier months",""),"all catch-up from earlier months, nothing new this month")&amp;IF(BG72=0,"; no Bonus Leave in EH yet",""),IF(Y72&lt;0,"CHECK - EH accrued "&amp;ROUND(-Y72,2)&amp;" hrs more than policy since commencement",IF(N(W72)&gt;O72*HoursPerDay+0.01,"CHECK - EH balance "&amp;ROUND(W72-O72*HoursPerDay,2)&amp;" hrs more than policy entitlement",IF(O72&gt;0,"OK - nothing to add"&amp;IF(N(AE72)&gt;0," ("&amp;AE72&amp;" day(s) for "&amp;UPPER(TEXT(AsOfDate,"mmm yyyy"))&amp;" already in EH)",""),IF(AW72="None",R72,"Not yet - first day on "&amp;TEXT(S72,"dd/mm/yyyy"))))))))))</f>
        <v/>
      </c>
      <c r="AB72" s="17" t="str">
        <f aca="false">IF(OR(AK72=0,T72=""),"",MAX(0,BE72-BQ72)*HoursPerDay-T72)</f>
        <v/>
      </c>
      <c r="AC72" s="16" t="str">
        <f aca="false">IF(AK72=0,"",BG72)</f>
        <v/>
      </c>
      <c r="AD72" s="16" t="str">
        <f aca="false">IF(AK72=0,"",TRIM(IF(OR(ISTEXT($F72),ISTEXT($H72),ISTEXT($I72),ISTEXT($G72),ISTEXT($J72),ISTEXT($D72)),"A date is typed as text - retype it as dd/mm/yyyy. ","")&amp;IF(IF($C72="","",IF(OR(ISNUMBER(SEARCH("full",$C72)),UPPER(TRIM($C72))="FT",UPPER(TRIM($C72))="FTE"),"Full-Time",IF(OR(ISNUMBER(SEARCH("part",$C72)),UPPER(TRIM($C72))="PT",UPPER(TRIM($C72))="PTE"),"Part-Time",IF(OR(ISNUMBER(SEARCH("cas",$C72)),UPPER(TRIM($C72))="CAS"),"Casual","Unknown"))))="Unknown","EmploymentType not recognised - use Full-Time, Part-Time or Casual. ","")&amp;IF(AND(AM72&gt;=1,IF(AM72&gt;=3,AS72,IF(AM72=2,AR72,AQ72))&lt;&gt;IF($C72="","",IF(OR(ISNUMBER(SEARCH("full",$C72)),UPPER(TRIM($C72))="FT",UPPER(TRIM($C72))="FTE"),"Full-Time",IF(OR(ISNUMBER(SEARCH("part",$C72)),UPPER(TRIM($C72))="PT",UPPER(TRIM($C72))="PTE"),"Part-Time",IF(OR(ISNUMBER(SEARCH("cas",$C72)),UPPER(TRIM($C72))="CAS"),"Casual","Unknown"))))),"EmploymentType does not match latest start date ("&amp;IF(AM72&gt;=3,AS72,IF(AM72=2,AR72,AQ72))&amp;"). ","")&amp;IF(AND(AM72&gt;=1,AN72&lt;&gt;$F72),"Earliest type date should equal StartDate. ","")&amp;IF(AND(AM72&gt;=2,AN72=AO72),"Two types start on the same date. ","")&amp;IF(AND(OR(ISNUMBER(SEARCH("part",$C72)),UPPER(TRIM($C72))="PT",UPPER(TRIM($C72))="PTE"),$P72=""),"Part-time: enter PT Hrs/Week (blank = 24+). ","")))</f>
        <v/>
      </c>
      <c r="AE72" s="17" t="str">
        <f aca="false">IF(AK72=0,"",O72-MAX(0,BL72-BQ72))</f>
        <v/>
      </c>
      <c r="AF72" s="14" t="str">
        <f aca="false">IF(OR(AK72=0,AE72="",N(AE72)=0,BM72=""),"",EDATE(AL72,BM72))</f>
        <v/>
      </c>
      <c r="AG72" s="17" t="str">
        <f aca="false">IF(AK72=0,"",MIN(BD72,BQ72))</f>
        <v/>
      </c>
      <c r="AH72" s="17" t="str">
        <f aca="false">IF(AK72=0,"",IF(NOT(LH_Ready),"",IF(BG72=0,0,MAX(0,ROUND(N(T72)+N(U72)-N72,2)))))</f>
        <v/>
      </c>
      <c r="AI72" s="12"/>
      <c r="AJ72" s="12"/>
      <c r="AK72" s="16" t="n">
        <f aca="false">IF(OR(LEN($A72&amp;$B72)=0,$F72=""),0,1)</f>
        <v>0</v>
      </c>
      <c r="AL72" s="14" t="str">
        <f aca="false">IF(AK72=0,"",IF(PreSchemeCounts="No",MAX(SchemeStart,IF($J72&lt;&gt;"",$J72,IF(OR(CasualCounts="Yes",COUNT($G72:$I72)=0),$F72,IF(Apply2026="No",IF($I72="",$F72,$I72),IF(COUNT($H72:$I72)=0,$F72,MIN($H72:$I72)))))),IF($J72&lt;&gt;"",$J72,IF(OR(CasualCounts="Yes",COUNT($G72:$I72)=0),$F72,IF(Apply2026="No",IF($I72="",$F72,$I72),IF(COUNT($H72:$I72)=0,$F72,MIN($H72:$I72)))))))</f>
        <v/>
      </c>
      <c r="AM72" s="16" t="str">
        <f aca="false">IF(AK72=0,"",COUNT($G72:$I72))</f>
        <v/>
      </c>
      <c r="AN72" s="14" t="str">
        <f aca="false">IF(AK72=0,"",IFERROR(SMALL($G72:$I72,1),""))</f>
        <v/>
      </c>
      <c r="AO72" s="14" t="str">
        <f aca="false">IF(AK72=0,"",IFERROR(SMALL($G72:$I72,2),""))</f>
        <v/>
      </c>
      <c r="AP72" s="14" t="str">
        <f aca="false">IF(AK72=0,"",IFERROR(SMALL($G72:$I72,3),""))</f>
        <v/>
      </c>
      <c r="AQ72" s="16" t="str">
        <f aca="false">IF(AK72=0,"",IF(AN72="","",IF(AN72=$H72,"Part-Time",IF(AN72=$I72,"Full-Time","Casual"))))</f>
        <v/>
      </c>
      <c r="AR72" s="16" t="str">
        <f aca="false">IF(AK72=0,"",IF(AO72="","",IF(AO72=$H72,"Part-Time",IF(AO72=$I72,"Full-Time","Casual"))))</f>
        <v/>
      </c>
      <c r="AS72" s="16" t="str">
        <f aca="false">IF(AK72=0,"",IF(AP72="","",IF(AP72=$H72,"Part-Time",IF(AP72=$I72,"Full-Time","Casual"))))</f>
        <v/>
      </c>
      <c r="AT72" s="16" t="str">
        <f aca="false">IF(AK72=0,"",IF(AM72=0,IF(OR(ISNUMBER(SEARCH("full",$C72)),UPPER(TRIM($C72))="FT",UPPER(TRIM($C72))="FTE"),"FT",IF(AND(OR(ISNUMBER(SEARCH("part",$C72)),UPPER(TRIM($C72))="PT",UPPER(TRIM($C72))="PTE"),Apply2026="Yes",OR($P72="",N($P72)&gt;=PT_MinHours)),"PT","None")),IF(OR(ISNUMBER(SEARCH("full",AQ72)),UPPER(TRIM(AQ72))="FT",UPPER(TRIM(AQ72))="FTE"),"FT",IF(AND(OR(ISNUMBER(SEARCH("part",AQ72)),UPPER(TRIM(AQ72))="PT",UPPER(TRIM(AQ72))="PTE"),Apply2026="Yes",OR($P72="",N($P72)&gt;=PT_MinHours)),"PT","None"))))</f>
        <v/>
      </c>
      <c r="AU72" s="16" t="str">
        <f aca="false">IF(AK72=0,"",IF(AM72&lt;2,"",IF(OR(ISNUMBER(SEARCH("full",AR72)),UPPER(TRIM(AR72))="FT",UPPER(TRIM(AR72))="FTE"),"FT",IF(AND(OR(ISNUMBER(SEARCH("part",AR72)),UPPER(TRIM(AR72))="PT",UPPER(TRIM(AR72))="PTE"),Apply2026="Yes",OR($P72="",N($P72)&gt;=PT_MinHours)),"PT","None"))))</f>
        <v/>
      </c>
      <c r="AV72" s="16" t="str">
        <f aca="false">IF(AK72=0,"",IF(AM72&lt;3,"",IF(OR(ISNUMBER(SEARCH("full",AS72)),UPPER(TRIM(AS72))="FT",UPPER(TRIM(AS72))="FTE"),"FT",IF(AND(OR(ISNUMBER(SEARCH("part",AS72)),UPPER(TRIM(AS72))="PT",UPPER(TRIM(AS72))="PTE"),Apply2026="Yes",OR($P72="",N($P72)&gt;=PT_MinHours)),"PT","None"))))</f>
        <v/>
      </c>
      <c r="AW72" s="16" t="str">
        <f aca="false">IF(AK72=0,"",IF(AND(AM72&gt;=3,AP72&lt;=AsOfDate),AV72,IF(AND(AM72&gt;=2,AO72&lt;=AsOfDate),AU72,AT72)))</f>
        <v/>
      </c>
      <c r="AX72" s="16" t="str">
        <f aca="false">IF(AK72=0,"",IF(AsOfDate&lt;AL72,-1,12*(YEAR(AsOfDate)-YEAR(AL72))+MONTH(AsOfDate)-MONTH(AL72)-IF(DAY(AsOfDate)&lt;MIN(DAY(AL72),DAY(EOMONTH(AsOfDate,0))),1,0)))</f>
        <v/>
      </c>
      <c r="AY72" s="16" t="str">
        <f aca="false">IF(AK72=0,"",IF(OR(AM72&lt;2,AO72&gt;AsOfDate),AX72,IF((AO72-1)&lt;AL72,-1,12*(YEAR((AO72-1))-YEAR(AL72))+MONTH((AO72-1))-MONTH(AL72)-IF(DAY((AO72-1))&lt;MIN(DAY(AL72),DAY(EOMONTH((AO72-1),0))),1,0))))</f>
        <v/>
      </c>
      <c r="AZ72" s="16" t="str">
        <f aca="false">IF(AK72=0,"",IF(OR(AM72&lt;3,AP72&gt;AsOfDate),AX72,IF((AP72-1)&lt;AL72,-1,12*(YEAR((AP72-1))-YEAR(AL72))+MONTH((AP72-1))-MONTH(AL72)-IF(DAY((AP72-1))&lt;MIN(DAY(AL72),DAY(EOMONTH((AP72-1),0))),1,0))))</f>
        <v/>
      </c>
      <c r="BA72" s="16" t="str">
        <f aca="false">IF(AK72=0,"",IF(PFYDate&lt;AL72,-1,12*(YEAR(PFYDate)-YEAR(AL72))+MONTH(PFYDate)-MONTH(AL72)-IF(DAY(PFYDate)&lt;MIN(DAY(AL72),DAY(EOMONTH(PFYDate,0))),1,0)))</f>
        <v/>
      </c>
      <c r="BB72" s="16" t="str">
        <f aca="false">IF(AK72=0,"",IF(OR(AM72&lt;2,AO72&gt;PFYDate),BA72,IF((AO72-1)&lt;AL72,-1,12*(YEAR((AO72-1))-YEAR(AL72))+MONTH((AO72-1))-MONTH(AL72)-IF(DAY((AO72-1))&lt;MIN(DAY(AL72),DAY(EOMONTH((AO72-1),0))),1,0))))</f>
        <v/>
      </c>
      <c r="BC72" s="16" t="str">
        <f aca="false">IF(AK72=0,"",IF(OR(AM72&lt;3,AP72&gt;PFYDate),BA72,IF((AP72-1)&lt;AL72,-1,12*(YEAR((AP72-1))-YEAR(AL72))+MONTH((AP72-1))-MONTH(AL72)-IF(DAY((AP72-1))&lt;MIN(DAY(AL72),DAY(EOMONTH((AP72-1),0))),1,0))))</f>
        <v/>
      </c>
      <c r="BD72" s="16" t="str">
        <f aca="false">IF(AK72=0,"",IF(AT72="FT",IF(AY72&lt;FT_First,0,IF(AY72&lt;FT_Y5,1+INT((AY72-FT_First)/FT_Int1),FT_PreY5+FT_PerYear*INT((AY72-FT_Y5)/12)+FT_AnnivDays+INT(MOD(AY72-FT_Y5,12)/FT_Int2)-IF(EDATE(AL72,FT_Y5)&lt;PolicyEff,FT_AnnivDays-1,0))),IF(AT72="PT",IF(AY72&lt;PT_First,0,1+INT((AY72-PT_First)/PT_Int)),0))+IF(AND(AM72&gt;=2,AO72&lt;=AsOfDate),IF(AU72="FT",IF(AZ72&lt;FT_First,0,IF(AZ72&lt;FT_Y5,1+INT((AZ72-FT_First)/FT_Int1),FT_PreY5+FT_PerYear*INT((AZ72-FT_Y5)/12)+FT_AnnivDays+INT(MOD(AZ72-FT_Y5,12)/FT_Int2)-IF(EDATE(AL72,FT_Y5)&lt;PolicyEff,FT_AnnivDays-1,0))),IF(AU72="PT",IF(AZ72&lt;PT_First,0,1+INT((AZ72-PT_First)/PT_Int)),0))-IF(AU72="FT",IF(AY72&lt;FT_First,0,IF(AY72&lt;FT_Y5,1+INT((AY72-FT_First)/FT_Int1),FT_PreY5+FT_PerYear*INT((AY72-FT_Y5)/12)+FT_AnnivDays+INT(MOD(AY72-FT_Y5,12)/FT_Int2)-IF(EDATE(AL72,FT_Y5)&lt;PolicyEff,FT_AnnivDays-1,0))),IF(AU72="PT",IF(AY72&lt;PT_First,0,1+INT((AY72-PT_First)/PT_Int)),0)),0)+IF(AND(AM72&gt;=3,AP72&lt;=AsOfDate),IF(AV72="FT",IF(AX72&lt;FT_First,0,IF(AX72&lt;FT_Y5,1+INT((AX72-FT_First)/FT_Int1),FT_PreY5+FT_PerYear*INT((AX72-FT_Y5)/12)+FT_AnnivDays+INT(MOD(AX72-FT_Y5,12)/FT_Int2)-IF(EDATE(AL72,FT_Y5)&lt;PolicyEff,FT_AnnivDays-1,0))),IF(AV72="PT",IF(AX72&lt;PT_First,0,1+INT((AX72-PT_First)/PT_Int)),0))-IF(AV72="FT",IF(AZ72&lt;FT_First,0,IF(AZ72&lt;FT_Y5,1+INT((AZ72-FT_First)/FT_Int1),FT_PreY5+FT_PerYear*INT((AZ72-FT_Y5)/12)+FT_AnnivDays+INT(MOD(AZ72-FT_Y5,12)/FT_Int2)-IF(EDATE(AL72,FT_Y5)&lt;PolicyEff,FT_AnnivDays-1,0))),IF(AV72="PT",IF(AZ72&lt;PT_First,0,1+INT((AZ72-PT_First)/PT_Int)),0)),0))</f>
        <v/>
      </c>
      <c r="BE72" s="16" t="str">
        <f aca="false">IF(AK72=0,"",IF(AT72="FT",IF(BB72&lt;FT_First,0,IF(BB72&lt;FT_Y5,1+INT((BB72-FT_First)/FT_Int1),FT_PreY5+FT_PerYear*INT((BB72-FT_Y5)/12)+FT_AnnivDays+INT(MOD(BB72-FT_Y5,12)/FT_Int2)-IF(EDATE(AL72,FT_Y5)&lt;PolicyEff,FT_AnnivDays-1,0))),IF(AT72="PT",IF(BB72&lt;PT_First,0,1+INT((BB72-PT_First)/PT_Int)),0))+IF(AND(AM72&gt;=2,AO72&lt;=PFYDate),IF(AU72="FT",IF(BC72&lt;FT_First,0,IF(BC72&lt;FT_Y5,1+INT((BC72-FT_First)/FT_Int1),FT_PreY5+FT_PerYear*INT((BC72-FT_Y5)/12)+FT_AnnivDays+INT(MOD(BC72-FT_Y5,12)/FT_Int2)-IF(EDATE(AL72,FT_Y5)&lt;PolicyEff,FT_AnnivDays-1,0))),IF(AU72="PT",IF(BC72&lt;PT_First,0,1+INT((BC72-PT_First)/PT_Int)),0))-IF(AU72="FT",IF(BB72&lt;FT_First,0,IF(BB72&lt;FT_Y5,1+INT((BB72-FT_First)/FT_Int1),FT_PreY5+FT_PerYear*INT((BB72-FT_Y5)/12)+FT_AnnivDays+INT(MOD(BB72-FT_Y5,12)/FT_Int2)-IF(EDATE(AL72,FT_Y5)&lt;PolicyEff,FT_AnnivDays-1,0))),IF(AU72="PT",IF(BB72&lt;PT_First,0,1+INT((BB72-PT_First)/PT_Int)),0)),0)+IF(AND(AM72&gt;=3,AP72&lt;=PFYDate),IF(AV72="FT",IF(BA72&lt;FT_First,0,IF(BA72&lt;FT_Y5,1+INT((BA72-FT_First)/FT_Int1),FT_PreY5+FT_PerYear*INT((BA72-FT_Y5)/12)+FT_AnnivDays+INT(MOD(BA72-FT_Y5,12)/FT_Int2)-IF(EDATE(AL72,FT_Y5)&lt;PolicyEff,FT_AnnivDays-1,0))),IF(AV72="PT",IF(BA72&lt;PT_First,0,1+INT((BA72-PT_First)/PT_Int)),0))-IF(AV72="FT",IF(BC72&lt;FT_First,0,IF(BC72&lt;FT_Y5,1+INT((BC72-FT_First)/FT_Int1),FT_PreY5+FT_PerYear*INT((BC72-FT_Y5)/12)+FT_AnnivDays+INT(MOD(BC72-FT_Y5,12)/FT_Int2)-IF(EDATE(AL72,FT_Y5)&lt;PolicyEff,FT_AnnivDays-1,0))),IF(AV72="PT",IF(BC72&lt;PT_First,0,1+INT((BC72-PT_First)/PT_Int)),0)),0))</f>
        <v/>
      </c>
      <c r="BF72" s="16" t="str">
        <f aca="false">IF(AK72=0,"",IF(AW72="FT",IF(AX72&lt;FT_First,FT_First,IF(AX72&lt;FT_Y5,MIN(FT_Y5,FT_First+FT_Int1*(INT((AX72-FT_First)/FT_Int1)+1)),FT_Y5+12*INT((AX72-FT_Y5)/12)+FT_Int2*(INT(MOD(AX72-FT_Y5,12)/FT_Int2)+1))),IF(AW72="PT",IF(AX72&lt;PT_First,PT_First,PT_First+PT_Int*(INT((AX72-PT_First)/PT_Int)+1)),"")))</f>
        <v/>
      </c>
      <c r="BG72" s="16" t="str">
        <f aca="false">IF(AK72=0,"",IF(NOT(LH_Ready),0,COUNTIFS(INDEX(LH_Data,0,LH_ColFirst),$A72,INDEX(LH_Data,0,LH_ColSur),$B72,INDEX(LH_Data,0,LH_ColCat),BonusCat)))</f>
        <v/>
      </c>
      <c r="BH72" s="16" t="str">
        <f aca="false">IF(AK72=0,"",IF(OR(NOT(LH_Ready),BG72=0),0,SUMPRODUCT(MAX((INDEX(LH_Data,0,LH_ColFirst)=$A72)*(INDEX(LH_Data,0,LH_ColSur)=$B72)*(INDEX(LH_Data,0,LH_ColCat)=BonusCat)*ROW(LH_Data)))))</f>
        <v/>
      </c>
      <c r="BI72" s="16" t="str">
        <f aca="false">IF(AK72=0,"",IF(EOMONTH(AsOfDate,-1)&lt;AL72,-1,12*(YEAR(EOMONTH(AsOfDate,-1))-YEAR(AL72))+MONTH(EOMONTH(AsOfDate,-1))-MONTH(AL72)-IF(DAY(EOMONTH(AsOfDate,-1))&lt;MIN(DAY(AL72),DAY(EOMONTH(EOMONTH(AsOfDate,-1),0))),1,0)))</f>
        <v/>
      </c>
      <c r="BJ72" s="16" t="str">
        <f aca="false">IF(AK72=0,"",IF(OR(AM72&lt;2,AO72&gt;EOMONTH(AsOfDate,-1)),BI72,IF((AO72-1)&lt;AL72,-1,12*(YEAR((AO72-1))-YEAR(AL72))+MONTH((AO72-1))-MONTH(AL72)-IF(DAY((AO72-1))&lt;MIN(DAY(AL72),DAY(EOMONTH((AO72-1),0))),1,0))))</f>
        <v/>
      </c>
      <c r="BK72" s="16" t="str">
        <f aca="false">IF(AK72=0,"",IF(OR(AM72&lt;3,AP72&gt;EOMONTH(AsOfDate,-1)),BI72,IF((AP72-1)&lt;AL72,-1,12*(YEAR((AP72-1))-YEAR(AL72))+MONTH((AP72-1))-MONTH(AL72)-IF(DAY((AP72-1))&lt;MIN(DAY(AL72),DAY(EOMONTH((AP72-1),0))),1,0))))</f>
        <v/>
      </c>
      <c r="BL72" s="16" t="str">
        <f aca="false">IF(AK72=0,"",IF(AT72="FT",IF(BJ72&lt;FT_First,0,IF(BJ72&lt;FT_Y5,1+INT((BJ72-FT_First)/FT_Int1),FT_PreY5+FT_PerYear*INT((BJ72-FT_Y5)/12)+FT_AnnivDays+INT(MOD(BJ72-FT_Y5,12)/FT_Int2)-IF(EDATE(AL72,FT_Y5)&lt;PolicyEff,FT_AnnivDays-1,0))),IF(AT72="PT",IF(BJ72&lt;PT_First,0,1+INT((BJ72-PT_First)/PT_Int)),0))+IF(AND(AM72&gt;=2,AO72&lt;=EOMONTH(AsOfDate,-1)),IF(AU72="FT",IF(BK72&lt;FT_First,0,IF(BK72&lt;FT_Y5,1+INT((BK72-FT_First)/FT_Int1),FT_PreY5+FT_PerYear*INT((BK72-FT_Y5)/12)+FT_AnnivDays+INT(MOD(BK72-FT_Y5,12)/FT_Int2)-IF(EDATE(AL72,FT_Y5)&lt;PolicyEff,FT_AnnivDays-1,0))),IF(AU72="PT",IF(BK72&lt;PT_First,0,1+INT((BK72-PT_First)/PT_Int)),0))-IF(AU72="FT",IF(BJ72&lt;FT_First,0,IF(BJ72&lt;FT_Y5,1+INT((BJ72-FT_First)/FT_Int1),FT_PreY5+FT_PerYear*INT((BJ72-FT_Y5)/12)+FT_AnnivDays+INT(MOD(BJ72-FT_Y5,12)/FT_Int2)-IF(EDATE(AL72,FT_Y5)&lt;PolicyEff,FT_AnnivDays-1,0))),IF(AU72="PT",IF(BJ72&lt;PT_First,0,1+INT((BJ72-PT_First)/PT_Int)),0)),0)+IF(AND(AM72&gt;=3,AP72&lt;=EOMONTH(AsOfDate,-1)),IF(AV72="FT",IF(BI72&lt;FT_First,0,IF(BI72&lt;FT_Y5,1+INT((BI72-FT_First)/FT_Int1),FT_PreY5+FT_PerYear*INT((BI72-FT_Y5)/12)+FT_AnnivDays+INT(MOD(BI72-FT_Y5,12)/FT_Int2)-IF(EDATE(AL72,FT_Y5)&lt;PolicyEff,FT_AnnivDays-1,0))),IF(AV72="PT",IF(BI72&lt;PT_First,0,1+INT((BI72-PT_First)/PT_Int)),0))-IF(AV72="FT",IF(BK72&lt;FT_First,0,IF(BK72&lt;FT_Y5,1+INT((BK72-FT_First)/FT_Int1),FT_PreY5+FT_PerYear*INT((BK72-FT_Y5)/12)+FT_AnnivDays+INT(MOD(BK72-FT_Y5,12)/FT_Int2)-IF(EDATE(AL72,FT_Y5)&lt;PolicyEff,FT_AnnivDays-1,0))),IF(AV72="PT",IF(BK72&lt;PT_First,0,1+INT((BK72-PT_First)/PT_Int)),0)),0))</f>
        <v/>
      </c>
      <c r="BM72" s="16" t="str">
        <f aca="false">IF(AK72=0,"",IF(AW72="FT",IF(AX72&lt;FT_First,"",IF(AX72&lt;FT_Y5,FT_First+FT_Int1*INT((AX72-FT_First)/FT_Int1),FT_Y5+FT_Int2*INT((AX72-FT_Y5)/FT_Int2))),IF(AW72="PT",IF(AX72&lt;PT_First,"",PT_First+PT_Int*INT((AX72-PT_First)/PT_Int)),"")))</f>
        <v/>
      </c>
      <c r="BN72" s="16" t="str">
        <f aca="false">IF(AK72=0,"",IF((SchemeStart-1)&lt;AL72,-1,12*(YEAR((SchemeStart-1))-YEAR(AL72))+MONTH((SchemeStart-1))-MONTH(AL72)-IF(DAY((SchemeStart-1))&lt;MIN(DAY(AL72),DAY(EOMONTH((SchemeStart-1),0))),1,0)))</f>
        <v/>
      </c>
      <c r="BO72" s="16" t="str">
        <f aca="false">IF(AK72=0,"",IF(OR(AM72&lt;2,AO72&gt;(SchemeStart-1)),BN72,IF((AO72-1)&lt;AL72,-1,12*(YEAR((AO72-1))-YEAR(AL72))+MONTH((AO72-1))-MONTH(AL72)-IF(DAY((AO72-1))&lt;MIN(DAY(AL72),DAY(EOMONTH((AO72-1),0))),1,0))))</f>
        <v/>
      </c>
      <c r="BP72" s="16" t="str">
        <f aca="false">IF(AK72=0,"",IF(OR(AM72&lt;3,AP72&gt;(SchemeStart-1)),BN72,IF((AP72-1)&lt;AL72,-1,12*(YEAR((AP72-1))-YEAR(AL72))+MONTH((AP72-1))-MONTH(AL72)-IF(DAY((AP72-1))&lt;MIN(DAY(AL72),DAY(EOMONTH((AP72-1),0))),1,0))))</f>
        <v/>
      </c>
      <c r="BQ72" s="16" t="str">
        <f aca="false">IF(AK72=0,"",IF(AT72="FT",IF(BO72&lt;FT_First,0,IF(BO72&lt;FT_Y5,1+INT((BO72-FT_First)/FT_Int1),FT_PreY5+FT_PerYear*INT((BO72-FT_Y5)/12)+FT_AnnivDays+INT(MOD(BO72-FT_Y5,12)/FT_Int2)-IF(EDATE(AL72,FT_Y5)&lt;PolicyEff,FT_AnnivDays-1,0))),IF(AT72="PT",IF(BO72&lt;PT_First,0,1+INT((BO72-PT_First)/PT_Int)),0))+IF(AND(AM72&gt;=2,AO72&lt;=(SchemeStart-1)),IF(AU72="FT",IF(BP72&lt;FT_First,0,IF(BP72&lt;FT_Y5,1+INT((BP72-FT_First)/FT_Int1),FT_PreY5+FT_PerYear*INT((BP72-FT_Y5)/12)+FT_AnnivDays+INT(MOD(BP72-FT_Y5,12)/FT_Int2)-IF(EDATE(AL72,FT_Y5)&lt;PolicyEff,FT_AnnivDays-1,0))),IF(AU72="PT",IF(BP72&lt;PT_First,0,1+INT((BP72-PT_First)/PT_Int)),0))-IF(AU72="FT",IF(BO72&lt;FT_First,0,IF(BO72&lt;FT_Y5,1+INT((BO72-FT_First)/FT_Int1),FT_PreY5+FT_PerYear*INT((BO72-FT_Y5)/12)+FT_AnnivDays+INT(MOD(BO72-FT_Y5,12)/FT_Int2)-IF(EDATE(AL72,FT_Y5)&lt;PolicyEff,FT_AnnivDays-1,0))),IF(AU72="PT",IF(BO72&lt;PT_First,0,1+INT((BO72-PT_First)/PT_Int)),0)),0)+IF(AND(AM72&gt;=3,AP72&lt;=(SchemeStart-1)),IF(AV72="FT",IF(BN72&lt;FT_First,0,IF(BN72&lt;FT_Y5,1+INT((BN72-FT_First)/FT_Int1),FT_PreY5+FT_PerYear*INT((BN72-FT_Y5)/12)+FT_AnnivDays+INT(MOD(BN72-FT_Y5,12)/FT_Int2)-IF(EDATE(AL72,FT_Y5)&lt;PolicyEff,FT_AnnivDays-1,0))),IF(AV72="PT",IF(BN72&lt;PT_First,0,1+INT((BN72-PT_First)/PT_Int)),0))-IF(AV72="FT",IF(BP72&lt;FT_First,0,IF(BP72&lt;FT_Y5,1+INT((BP72-FT_First)/FT_Int1),FT_PreY5+FT_PerYear*INT((BP72-FT_Y5)/12)+FT_AnnivDays+INT(MOD(BP72-FT_Y5,12)/FT_Int2)-IF(EDATE(AL72,FT_Y5)&lt;PolicyEff,FT_AnnivDays-1,0))),IF(AV72="PT",IF(BP72&lt;PT_First,0,1+INT((BP72-PT_First)/PT_Int)),0)),0))</f>
        <v/>
      </c>
      <c r="BR72" s="0" t="str">
        <f aca="false">IF(LEN($A72&amp;$B72)=0,"",$A72&amp;" "&amp;$B72)</f>
        <v/>
      </c>
    </row>
    <row r="73" customFormat="false" ht="15" hidden="false" customHeight="false" outlineLevel="0" collapsed="false">
      <c r="A73" s="12"/>
      <c r="B73" s="12"/>
      <c r="C73" s="12"/>
      <c r="D73" s="13"/>
      <c r="E73" s="14" t="str">
        <f aca="false">IF(OR(AK73=0,$D73=""),"",DATE(YEAR(AsOfDate)+IF(DATE(YEAR(AsOfDate),MONTH($D73),DAY($D73))&lt;=AsOfDate,1,0),MONTH($D73),DAY($D73)))</f>
        <v/>
      </c>
      <c r="F73" s="13"/>
      <c r="G73" s="13"/>
      <c r="H73" s="13"/>
      <c r="I73" s="13"/>
      <c r="J73" s="13"/>
      <c r="K73" s="14" t="str">
        <f aca="false">IF(AK73=0,"",DATE(YEAR(AsOfDate)+IF(DATE(YEAR(AsOfDate),MONTH(AL73),DAY(AL73))&lt;=AsOfDate,1,0),MONTH(AL73),DAY(AL73)))</f>
        <v/>
      </c>
      <c r="L73" s="15" t="str">
        <f aca="false">IF(AK73=0,"",ROUND((AsOfDate-AL73)/365.25,1))</f>
        <v/>
      </c>
      <c r="M73" s="16" t="str">
        <f aca="false">IF(AK73=0,"",IF(AsOfDate&lt;AL73,"-",DATEDIF(AL73,AsOfDate,"y")&amp;"y "&amp;DATEDIF(AL73,AsOfDate,"ym")&amp;"m "&amp;DATEDIF(AL73,AsOfDate,"md")&amp;"d"))</f>
        <v/>
      </c>
      <c r="N73" s="17" t="str">
        <f aca="false">IF(AK73=0,"",O73*HoursPerDay)</f>
        <v/>
      </c>
      <c r="O73" s="17" t="str">
        <f aca="false">IF(AK73=0,"",MAX(0,BD73-BQ73))</f>
        <v/>
      </c>
      <c r="P73" s="18"/>
      <c r="Q73" s="16" t="str">
        <f aca="false">IF(AK73=0,"",IF(AM73&lt;2,"",AQ73&amp;" to "&amp;AR73&amp;" on "&amp;TEXT(AO73,"dd/mm/yyyy")&amp;IF(AO73&gt;AsOfDate," (future)",IF(AT73=AU73,"",IF(AU73="None"," - STOPPED accruing",IF(AT73="None"," - commencement for Bonus Leave"," - pathway changed"))))&amp;IF(AM73&lt;3,"","; "&amp;AR73&amp;" to "&amp;AS73&amp;" on "&amp;TEXT(AP73,"dd/mm/yyyy")&amp;IF(AP73&gt;AsOfDate," (future)",IF(AU73=AV73,"",IF(AV73="None"," - STOPPED accruing",IF(AU73="None"," - commencement for Bonus Leave"," - pathway changed")))))))</f>
        <v/>
      </c>
      <c r="R73" s="16" t="str">
        <f aca="false">IF(AK73=0,"",IF(AW73="None",IF(O73&gt;0,"No longer accruing","Not eligible - "&amp;IF(AND(OR(ISNUMBER(SEARCH("part",$C73)),UPPER(TRIM($C73))="PT",UPPER(TRIM($C73))="PTE"),Apply2026="No"),"part-time (scheme is full-time only)",IF(AND(OR(ISNUMBER(SEARCH("part",$C73)),UPPER(TRIM($C73))="PT",UPPER(TRIM($C73))="PTE"),$P73&lt;&gt;"",N($P73)&lt;PT_MinHours),"under "&amp;PT_MinHours&amp;" hrs",IF(IF($C73="","",IF(OR(ISNUMBER(SEARCH("full",$C73)),UPPER(TRIM($C73))="FT",UPPER(TRIM($C73))="FTE"),"Full-Time",IF(OR(ISNUMBER(SEARCH("part",$C73)),UPPER(TRIM($C73))="PT",UPPER(TRIM($C73))="PTE"),"Part-Time",IF(OR(ISNUMBER(SEARCH("cas",$C73)),UPPER(TRIM($C73))="CAS"),"Casual","Unknown"))))="Unknown","type not recognised",$C73)))),IF(O73&gt;0,"Yes - Accrual Required","Not yet - from "&amp;TEXT(S73,"dd/mm/yyyy"))))</f>
        <v/>
      </c>
      <c r="S73" s="14" t="str">
        <f aca="false">IF(AK73=0,"",IF(AW73="None","",EDATE(AL73,BF73)))</f>
        <v/>
      </c>
      <c r="T73" s="17" t="str">
        <f aca="false">IF(AK73=0,"",IF(NOT(LH_Ready),"",IF($F73&gt;PFYDate,0,IF(LH_ColPeriod=0,W73-U73+V73,SUMIFS(INDEX(LH_Data,0,LH_ColAcc),INDEX(LH_Data,0,LH_ColFirst),$A73,INDEX(LH_Data,0,LH_ColSur),$B73,INDEX(LH_Data,0,LH_ColCat),BonusCat,INDEX(LH_Data,0,LH_ColPeriod),LH_OpenLabel)*UnitFactor))))</f>
        <v/>
      </c>
      <c r="U73" s="17" t="str">
        <f aca="false">IF(AK73=0,"",IF(NOT(LH_Ready),"",SUMIFS(INDEX(LH_Data,0,LH_ColAcc),INDEX(LH_Data,0,LH_ColFirst),$A73,INDEX(LH_Data,0,LH_ColSur),$B73,INDEX(LH_Data,0,LH_ColCat),BonusCat,INDEX(LH_Data,0,LH_ColStart),"&gt;="&amp;AL73)*UnitFactor))</f>
        <v/>
      </c>
      <c r="V73" s="17" t="str">
        <f aca="false">IF(AK73=0,"",IF(NOT(LH_Ready),"",SUMIFS(INDEX(LH_Data,0,LH_ColTaken),INDEX(LH_Data,0,LH_ColFirst),$A73,INDEX(LH_Data,0,LH_ColSur),$B73,INDEX(LH_Data,0,LH_ColCat),BonusCat,INDEX(LH_Data,0,LH_ColStart),"&gt;="&amp;AL73)*UnitFactor))</f>
        <v/>
      </c>
      <c r="W73" s="17" t="str">
        <f aca="false">IF(AK73=0,"",IF(NOT(LH_Ready),"",IF(BH73=0,0,INDEX(INDEX(LH_Data,0,LH_ColClose),BH73-1)*UnitFactor)))</f>
        <v/>
      </c>
      <c r="X73" s="17" t="str">
        <f aca="false">IF(AK73=0,"",(MAX(0,BD73-BQ73)-MAX(0,BE73-BQ73))*HoursPerDay)</f>
        <v/>
      </c>
      <c r="Y73" s="17" t="str">
        <f aca="false">IF(AK73=0,"",IF(NOT(LH_Ready),"",IF($AI73="Yes",N(AE73)*HoursPerDay-SUMIFS(INDEX(LH_Data,0,LH_ColAcc),INDEX(LH_Data,0,LH_ColFirst),$A73,INDEX(LH_Data,0,LH_ColSur),$B73,INDEX(LH_Data,0,LH_ColCat),BonusCat,INDEX(LH_Data,0,LH_ColStart),"&gt;="&amp;(EOMONTH(AsOfDate,-1)+1),INDEX(LH_Data,0,LH_ColStart),"&lt;="&amp;AsOfDate)*UnitFactor,IF(BG73=0,N73,N73-N(T73)-N(U73)))))</f>
        <v/>
      </c>
      <c r="Z73" s="16" t="str">
        <f aca="false">IF(OR(AK73=0,Y73=""),"",IF(Y73&gt;0,"Yes","No"))</f>
        <v/>
      </c>
      <c r="AA73" s="16" t="str">
        <f aca="false">IF(AK73=0,IF(LEN($A73&amp;$B73)=0,"","FIX INPUT - StartDate missing"),IF(AD73&lt;&gt;"","FIX INPUT - "&amp;AD73,IF(NOT(LH_Ready),"Paste Leave History export (Settings must show YES)",IF(AND($AI73="Yes",Y73&lt;=0),"OK - EH balance accepted to date"&amp;IF(N(AH73)&gt;0," (EH holds "&amp;AH73&amp;" hrs over the scheme)","")&amp;"; next day "&amp;TEXT(S73,"dd mmm yy")&amp;IF(N(AE73)&gt;0," ("&amp;AE73&amp;" day(s) for "&amp;UPPER(TEXT(AsOfDate,"mmm yyyy"))&amp;" already in EH)",""),IF(Y73&gt;0,"ACCRUE "&amp;ROUND(Y73,2)&amp;" hrs ("&amp;ROUND(Y73/HoursPerDay,2)&amp;" days): "&amp;IF(N(AE73)&gt;0,AE73&amp;" day(s) for "&amp;UPPER(TEXT(AsOfDate,"mmm yyyy"))&amp;" (milestone "&amp;UPPER(TEXT(AF73,"dd mmm yy"))&amp;")"&amp;IF(Y73/HoursPerDay&gt;AE73+0.001," + "&amp;ROUND(Y73/HoursPerDay-AE73,2)&amp;" day(s) catch-up from earlier months",""),"all catch-up from earlier months, nothing new this month")&amp;IF(BG73=0,"; no Bonus Leave in EH yet",""),IF(Y73&lt;0,"CHECK - EH accrued "&amp;ROUND(-Y73,2)&amp;" hrs more than policy since commencement",IF(N(W73)&gt;O73*HoursPerDay+0.01,"CHECK - EH balance "&amp;ROUND(W73-O73*HoursPerDay,2)&amp;" hrs more than policy entitlement",IF(O73&gt;0,"OK - nothing to add"&amp;IF(N(AE73)&gt;0," ("&amp;AE73&amp;" day(s) for "&amp;UPPER(TEXT(AsOfDate,"mmm yyyy"))&amp;" already in EH)",""),IF(AW73="None",R73,"Not yet - first day on "&amp;TEXT(S73,"dd/mm/yyyy"))))))))))</f>
        <v/>
      </c>
      <c r="AB73" s="17" t="str">
        <f aca="false">IF(OR(AK73=0,T73=""),"",MAX(0,BE73-BQ73)*HoursPerDay-T73)</f>
        <v/>
      </c>
      <c r="AC73" s="16" t="str">
        <f aca="false">IF(AK73=0,"",BG73)</f>
        <v/>
      </c>
      <c r="AD73" s="16" t="str">
        <f aca="false">IF(AK73=0,"",TRIM(IF(OR(ISTEXT($F73),ISTEXT($H73),ISTEXT($I73),ISTEXT($G73),ISTEXT($J73),ISTEXT($D73)),"A date is typed as text - retype it as dd/mm/yyyy. ","")&amp;IF(IF($C73="","",IF(OR(ISNUMBER(SEARCH("full",$C73)),UPPER(TRIM($C73))="FT",UPPER(TRIM($C73))="FTE"),"Full-Time",IF(OR(ISNUMBER(SEARCH("part",$C73)),UPPER(TRIM($C73))="PT",UPPER(TRIM($C73))="PTE"),"Part-Time",IF(OR(ISNUMBER(SEARCH("cas",$C73)),UPPER(TRIM($C73))="CAS"),"Casual","Unknown"))))="Unknown","EmploymentType not recognised - use Full-Time, Part-Time or Casual. ","")&amp;IF(AND(AM73&gt;=1,IF(AM73&gt;=3,AS73,IF(AM73=2,AR73,AQ73))&lt;&gt;IF($C73="","",IF(OR(ISNUMBER(SEARCH("full",$C73)),UPPER(TRIM($C73))="FT",UPPER(TRIM($C73))="FTE"),"Full-Time",IF(OR(ISNUMBER(SEARCH("part",$C73)),UPPER(TRIM($C73))="PT",UPPER(TRIM($C73))="PTE"),"Part-Time",IF(OR(ISNUMBER(SEARCH("cas",$C73)),UPPER(TRIM($C73))="CAS"),"Casual","Unknown"))))),"EmploymentType does not match latest start date ("&amp;IF(AM73&gt;=3,AS73,IF(AM73=2,AR73,AQ73))&amp;"). ","")&amp;IF(AND(AM73&gt;=1,AN73&lt;&gt;$F73),"Earliest type date should equal StartDate. ","")&amp;IF(AND(AM73&gt;=2,AN73=AO73),"Two types start on the same date. ","")&amp;IF(AND(OR(ISNUMBER(SEARCH("part",$C73)),UPPER(TRIM($C73))="PT",UPPER(TRIM($C73))="PTE"),$P73=""),"Part-time: enter PT Hrs/Week (blank = 24+). ","")))</f>
        <v/>
      </c>
      <c r="AE73" s="17" t="str">
        <f aca="false">IF(AK73=0,"",O73-MAX(0,BL73-BQ73))</f>
        <v/>
      </c>
      <c r="AF73" s="14" t="str">
        <f aca="false">IF(OR(AK73=0,AE73="",N(AE73)=0,BM73=""),"",EDATE(AL73,BM73))</f>
        <v/>
      </c>
      <c r="AG73" s="17" t="str">
        <f aca="false">IF(AK73=0,"",MIN(BD73,BQ73))</f>
        <v/>
      </c>
      <c r="AH73" s="17" t="str">
        <f aca="false">IF(AK73=0,"",IF(NOT(LH_Ready),"",IF(BG73=0,0,MAX(0,ROUND(N(T73)+N(U73)-N73,2)))))</f>
        <v/>
      </c>
      <c r="AI73" s="12"/>
      <c r="AJ73" s="12"/>
      <c r="AK73" s="16" t="n">
        <f aca="false">IF(OR(LEN($A73&amp;$B73)=0,$F73=""),0,1)</f>
        <v>0</v>
      </c>
      <c r="AL73" s="14" t="str">
        <f aca="false">IF(AK73=0,"",IF(PreSchemeCounts="No",MAX(SchemeStart,IF($J73&lt;&gt;"",$J73,IF(OR(CasualCounts="Yes",COUNT($G73:$I73)=0),$F73,IF(Apply2026="No",IF($I73="",$F73,$I73),IF(COUNT($H73:$I73)=0,$F73,MIN($H73:$I73)))))),IF($J73&lt;&gt;"",$J73,IF(OR(CasualCounts="Yes",COUNT($G73:$I73)=0),$F73,IF(Apply2026="No",IF($I73="",$F73,$I73),IF(COUNT($H73:$I73)=0,$F73,MIN($H73:$I73)))))))</f>
        <v/>
      </c>
      <c r="AM73" s="16" t="str">
        <f aca="false">IF(AK73=0,"",COUNT($G73:$I73))</f>
        <v/>
      </c>
      <c r="AN73" s="14" t="str">
        <f aca="false">IF(AK73=0,"",IFERROR(SMALL($G73:$I73,1),""))</f>
        <v/>
      </c>
      <c r="AO73" s="14" t="str">
        <f aca="false">IF(AK73=0,"",IFERROR(SMALL($G73:$I73,2),""))</f>
        <v/>
      </c>
      <c r="AP73" s="14" t="str">
        <f aca="false">IF(AK73=0,"",IFERROR(SMALL($G73:$I73,3),""))</f>
        <v/>
      </c>
      <c r="AQ73" s="16" t="str">
        <f aca="false">IF(AK73=0,"",IF(AN73="","",IF(AN73=$H73,"Part-Time",IF(AN73=$I73,"Full-Time","Casual"))))</f>
        <v/>
      </c>
      <c r="AR73" s="16" t="str">
        <f aca="false">IF(AK73=0,"",IF(AO73="","",IF(AO73=$H73,"Part-Time",IF(AO73=$I73,"Full-Time","Casual"))))</f>
        <v/>
      </c>
      <c r="AS73" s="16" t="str">
        <f aca="false">IF(AK73=0,"",IF(AP73="","",IF(AP73=$H73,"Part-Time",IF(AP73=$I73,"Full-Time","Casual"))))</f>
        <v/>
      </c>
      <c r="AT73" s="16" t="str">
        <f aca="false">IF(AK73=0,"",IF(AM73=0,IF(OR(ISNUMBER(SEARCH("full",$C73)),UPPER(TRIM($C73))="FT",UPPER(TRIM($C73))="FTE"),"FT",IF(AND(OR(ISNUMBER(SEARCH("part",$C73)),UPPER(TRIM($C73))="PT",UPPER(TRIM($C73))="PTE"),Apply2026="Yes",OR($P73="",N($P73)&gt;=PT_MinHours)),"PT","None")),IF(OR(ISNUMBER(SEARCH("full",AQ73)),UPPER(TRIM(AQ73))="FT",UPPER(TRIM(AQ73))="FTE"),"FT",IF(AND(OR(ISNUMBER(SEARCH("part",AQ73)),UPPER(TRIM(AQ73))="PT",UPPER(TRIM(AQ73))="PTE"),Apply2026="Yes",OR($P73="",N($P73)&gt;=PT_MinHours)),"PT","None"))))</f>
        <v/>
      </c>
      <c r="AU73" s="16" t="str">
        <f aca="false">IF(AK73=0,"",IF(AM73&lt;2,"",IF(OR(ISNUMBER(SEARCH("full",AR73)),UPPER(TRIM(AR73))="FT",UPPER(TRIM(AR73))="FTE"),"FT",IF(AND(OR(ISNUMBER(SEARCH("part",AR73)),UPPER(TRIM(AR73))="PT",UPPER(TRIM(AR73))="PTE"),Apply2026="Yes",OR($P73="",N($P73)&gt;=PT_MinHours)),"PT","None"))))</f>
        <v/>
      </c>
      <c r="AV73" s="16" t="str">
        <f aca="false">IF(AK73=0,"",IF(AM73&lt;3,"",IF(OR(ISNUMBER(SEARCH("full",AS73)),UPPER(TRIM(AS73))="FT",UPPER(TRIM(AS73))="FTE"),"FT",IF(AND(OR(ISNUMBER(SEARCH("part",AS73)),UPPER(TRIM(AS73))="PT",UPPER(TRIM(AS73))="PTE"),Apply2026="Yes",OR($P73="",N($P73)&gt;=PT_MinHours)),"PT","None"))))</f>
        <v/>
      </c>
      <c r="AW73" s="16" t="str">
        <f aca="false">IF(AK73=0,"",IF(AND(AM73&gt;=3,AP73&lt;=AsOfDate),AV73,IF(AND(AM73&gt;=2,AO73&lt;=AsOfDate),AU73,AT73)))</f>
        <v/>
      </c>
      <c r="AX73" s="16" t="str">
        <f aca="false">IF(AK73=0,"",IF(AsOfDate&lt;AL73,-1,12*(YEAR(AsOfDate)-YEAR(AL73))+MONTH(AsOfDate)-MONTH(AL73)-IF(DAY(AsOfDate)&lt;MIN(DAY(AL73),DAY(EOMONTH(AsOfDate,0))),1,0)))</f>
        <v/>
      </c>
      <c r="AY73" s="16" t="str">
        <f aca="false">IF(AK73=0,"",IF(OR(AM73&lt;2,AO73&gt;AsOfDate),AX73,IF((AO73-1)&lt;AL73,-1,12*(YEAR((AO73-1))-YEAR(AL73))+MONTH((AO73-1))-MONTH(AL73)-IF(DAY((AO73-1))&lt;MIN(DAY(AL73),DAY(EOMONTH((AO73-1),0))),1,0))))</f>
        <v/>
      </c>
      <c r="AZ73" s="16" t="str">
        <f aca="false">IF(AK73=0,"",IF(OR(AM73&lt;3,AP73&gt;AsOfDate),AX73,IF((AP73-1)&lt;AL73,-1,12*(YEAR((AP73-1))-YEAR(AL73))+MONTH((AP73-1))-MONTH(AL73)-IF(DAY((AP73-1))&lt;MIN(DAY(AL73),DAY(EOMONTH((AP73-1),0))),1,0))))</f>
        <v/>
      </c>
      <c r="BA73" s="16" t="str">
        <f aca="false">IF(AK73=0,"",IF(PFYDate&lt;AL73,-1,12*(YEAR(PFYDate)-YEAR(AL73))+MONTH(PFYDate)-MONTH(AL73)-IF(DAY(PFYDate)&lt;MIN(DAY(AL73),DAY(EOMONTH(PFYDate,0))),1,0)))</f>
        <v/>
      </c>
      <c r="BB73" s="16" t="str">
        <f aca="false">IF(AK73=0,"",IF(OR(AM73&lt;2,AO73&gt;PFYDate),BA73,IF((AO73-1)&lt;AL73,-1,12*(YEAR((AO73-1))-YEAR(AL73))+MONTH((AO73-1))-MONTH(AL73)-IF(DAY((AO73-1))&lt;MIN(DAY(AL73),DAY(EOMONTH((AO73-1),0))),1,0))))</f>
        <v/>
      </c>
      <c r="BC73" s="16" t="str">
        <f aca="false">IF(AK73=0,"",IF(OR(AM73&lt;3,AP73&gt;PFYDate),BA73,IF((AP73-1)&lt;AL73,-1,12*(YEAR((AP73-1))-YEAR(AL73))+MONTH((AP73-1))-MONTH(AL73)-IF(DAY((AP73-1))&lt;MIN(DAY(AL73),DAY(EOMONTH((AP73-1),0))),1,0))))</f>
        <v/>
      </c>
      <c r="BD73" s="16" t="str">
        <f aca="false">IF(AK73=0,"",IF(AT73="FT",IF(AY73&lt;FT_First,0,IF(AY73&lt;FT_Y5,1+INT((AY73-FT_First)/FT_Int1),FT_PreY5+FT_PerYear*INT((AY73-FT_Y5)/12)+FT_AnnivDays+INT(MOD(AY73-FT_Y5,12)/FT_Int2)-IF(EDATE(AL73,FT_Y5)&lt;PolicyEff,FT_AnnivDays-1,0))),IF(AT73="PT",IF(AY73&lt;PT_First,0,1+INT((AY73-PT_First)/PT_Int)),0))+IF(AND(AM73&gt;=2,AO73&lt;=AsOfDate),IF(AU73="FT",IF(AZ73&lt;FT_First,0,IF(AZ73&lt;FT_Y5,1+INT((AZ73-FT_First)/FT_Int1),FT_PreY5+FT_PerYear*INT((AZ73-FT_Y5)/12)+FT_AnnivDays+INT(MOD(AZ73-FT_Y5,12)/FT_Int2)-IF(EDATE(AL73,FT_Y5)&lt;PolicyEff,FT_AnnivDays-1,0))),IF(AU73="PT",IF(AZ73&lt;PT_First,0,1+INT((AZ73-PT_First)/PT_Int)),0))-IF(AU73="FT",IF(AY73&lt;FT_First,0,IF(AY73&lt;FT_Y5,1+INT((AY73-FT_First)/FT_Int1),FT_PreY5+FT_PerYear*INT((AY73-FT_Y5)/12)+FT_AnnivDays+INT(MOD(AY73-FT_Y5,12)/FT_Int2)-IF(EDATE(AL73,FT_Y5)&lt;PolicyEff,FT_AnnivDays-1,0))),IF(AU73="PT",IF(AY73&lt;PT_First,0,1+INT((AY73-PT_First)/PT_Int)),0)),0)+IF(AND(AM73&gt;=3,AP73&lt;=AsOfDate),IF(AV73="FT",IF(AX73&lt;FT_First,0,IF(AX73&lt;FT_Y5,1+INT((AX73-FT_First)/FT_Int1),FT_PreY5+FT_PerYear*INT((AX73-FT_Y5)/12)+FT_AnnivDays+INT(MOD(AX73-FT_Y5,12)/FT_Int2)-IF(EDATE(AL73,FT_Y5)&lt;PolicyEff,FT_AnnivDays-1,0))),IF(AV73="PT",IF(AX73&lt;PT_First,0,1+INT((AX73-PT_First)/PT_Int)),0))-IF(AV73="FT",IF(AZ73&lt;FT_First,0,IF(AZ73&lt;FT_Y5,1+INT((AZ73-FT_First)/FT_Int1),FT_PreY5+FT_PerYear*INT((AZ73-FT_Y5)/12)+FT_AnnivDays+INT(MOD(AZ73-FT_Y5,12)/FT_Int2)-IF(EDATE(AL73,FT_Y5)&lt;PolicyEff,FT_AnnivDays-1,0))),IF(AV73="PT",IF(AZ73&lt;PT_First,0,1+INT((AZ73-PT_First)/PT_Int)),0)),0))</f>
        <v/>
      </c>
      <c r="BE73" s="16" t="str">
        <f aca="false">IF(AK73=0,"",IF(AT73="FT",IF(BB73&lt;FT_First,0,IF(BB73&lt;FT_Y5,1+INT((BB73-FT_First)/FT_Int1),FT_PreY5+FT_PerYear*INT((BB73-FT_Y5)/12)+FT_AnnivDays+INT(MOD(BB73-FT_Y5,12)/FT_Int2)-IF(EDATE(AL73,FT_Y5)&lt;PolicyEff,FT_AnnivDays-1,0))),IF(AT73="PT",IF(BB73&lt;PT_First,0,1+INT((BB73-PT_First)/PT_Int)),0))+IF(AND(AM73&gt;=2,AO73&lt;=PFYDate),IF(AU73="FT",IF(BC73&lt;FT_First,0,IF(BC73&lt;FT_Y5,1+INT((BC73-FT_First)/FT_Int1),FT_PreY5+FT_PerYear*INT((BC73-FT_Y5)/12)+FT_AnnivDays+INT(MOD(BC73-FT_Y5,12)/FT_Int2)-IF(EDATE(AL73,FT_Y5)&lt;PolicyEff,FT_AnnivDays-1,0))),IF(AU73="PT",IF(BC73&lt;PT_First,0,1+INT((BC73-PT_First)/PT_Int)),0))-IF(AU73="FT",IF(BB73&lt;FT_First,0,IF(BB73&lt;FT_Y5,1+INT((BB73-FT_First)/FT_Int1),FT_PreY5+FT_PerYear*INT((BB73-FT_Y5)/12)+FT_AnnivDays+INT(MOD(BB73-FT_Y5,12)/FT_Int2)-IF(EDATE(AL73,FT_Y5)&lt;PolicyEff,FT_AnnivDays-1,0))),IF(AU73="PT",IF(BB73&lt;PT_First,0,1+INT((BB73-PT_First)/PT_Int)),0)),0)+IF(AND(AM73&gt;=3,AP73&lt;=PFYDate),IF(AV73="FT",IF(BA73&lt;FT_First,0,IF(BA73&lt;FT_Y5,1+INT((BA73-FT_First)/FT_Int1),FT_PreY5+FT_PerYear*INT((BA73-FT_Y5)/12)+FT_AnnivDays+INT(MOD(BA73-FT_Y5,12)/FT_Int2)-IF(EDATE(AL73,FT_Y5)&lt;PolicyEff,FT_AnnivDays-1,0))),IF(AV73="PT",IF(BA73&lt;PT_First,0,1+INT((BA73-PT_First)/PT_Int)),0))-IF(AV73="FT",IF(BC73&lt;FT_First,0,IF(BC73&lt;FT_Y5,1+INT((BC73-FT_First)/FT_Int1),FT_PreY5+FT_PerYear*INT((BC73-FT_Y5)/12)+FT_AnnivDays+INT(MOD(BC73-FT_Y5,12)/FT_Int2)-IF(EDATE(AL73,FT_Y5)&lt;PolicyEff,FT_AnnivDays-1,0))),IF(AV73="PT",IF(BC73&lt;PT_First,0,1+INT((BC73-PT_First)/PT_Int)),0)),0))</f>
        <v/>
      </c>
      <c r="BF73" s="16" t="str">
        <f aca="false">IF(AK73=0,"",IF(AW73="FT",IF(AX73&lt;FT_First,FT_First,IF(AX73&lt;FT_Y5,MIN(FT_Y5,FT_First+FT_Int1*(INT((AX73-FT_First)/FT_Int1)+1)),FT_Y5+12*INT((AX73-FT_Y5)/12)+FT_Int2*(INT(MOD(AX73-FT_Y5,12)/FT_Int2)+1))),IF(AW73="PT",IF(AX73&lt;PT_First,PT_First,PT_First+PT_Int*(INT((AX73-PT_First)/PT_Int)+1)),"")))</f>
        <v/>
      </c>
      <c r="BG73" s="16" t="str">
        <f aca="false">IF(AK73=0,"",IF(NOT(LH_Ready),0,COUNTIFS(INDEX(LH_Data,0,LH_ColFirst),$A73,INDEX(LH_Data,0,LH_ColSur),$B73,INDEX(LH_Data,0,LH_ColCat),BonusCat)))</f>
        <v/>
      </c>
      <c r="BH73" s="16" t="str">
        <f aca="false">IF(AK73=0,"",IF(OR(NOT(LH_Ready),BG73=0),0,SUMPRODUCT(MAX((INDEX(LH_Data,0,LH_ColFirst)=$A73)*(INDEX(LH_Data,0,LH_ColSur)=$B73)*(INDEX(LH_Data,0,LH_ColCat)=BonusCat)*ROW(LH_Data)))))</f>
        <v/>
      </c>
      <c r="BI73" s="16" t="str">
        <f aca="false">IF(AK73=0,"",IF(EOMONTH(AsOfDate,-1)&lt;AL73,-1,12*(YEAR(EOMONTH(AsOfDate,-1))-YEAR(AL73))+MONTH(EOMONTH(AsOfDate,-1))-MONTH(AL73)-IF(DAY(EOMONTH(AsOfDate,-1))&lt;MIN(DAY(AL73),DAY(EOMONTH(EOMONTH(AsOfDate,-1),0))),1,0)))</f>
        <v/>
      </c>
      <c r="BJ73" s="16" t="str">
        <f aca="false">IF(AK73=0,"",IF(OR(AM73&lt;2,AO73&gt;EOMONTH(AsOfDate,-1)),BI73,IF((AO73-1)&lt;AL73,-1,12*(YEAR((AO73-1))-YEAR(AL73))+MONTH((AO73-1))-MONTH(AL73)-IF(DAY((AO73-1))&lt;MIN(DAY(AL73),DAY(EOMONTH((AO73-1),0))),1,0))))</f>
        <v/>
      </c>
      <c r="BK73" s="16" t="str">
        <f aca="false">IF(AK73=0,"",IF(OR(AM73&lt;3,AP73&gt;EOMONTH(AsOfDate,-1)),BI73,IF((AP73-1)&lt;AL73,-1,12*(YEAR((AP73-1))-YEAR(AL73))+MONTH((AP73-1))-MONTH(AL73)-IF(DAY((AP73-1))&lt;MIN(DAY(AL73),DAY(EOMONTH((AP73-1),0))),1,0))))</f>
        <v/>
      </c>
      <c r="BL73" s="16" t="str">
        <f aca="false">IF(AK73=0,"",IF(AT73="FT",IF(BJ73&lt;FT_First,0,IF(BJ73&lt;FT_Y5,1+INT((BJ73-FT_First)/FT_Int1),FT_PreY5+FT_PerYear*INT((BJ73-FT_Y5)/12)+FT_AnnivDays+INT(MOD(BJ73-FT_Y5,12)/FT_Int2)-IF(EDATE(AL73,FT_Y5)&lt;PolicyEff,FT_AnnivDays-1,0))),IF(AT73="PT",IF(BJ73&lt;PT_First,0,1+INT((BJ73-PT_First)/PT_Int)),0))+IF(AND(AM73&gt;=2,AO73&lt;=EOMONTH(AsOfDate,-1)),IF(AU73="FT",IF(BK73&lt;FT_First,0,IF(BK73&lt;FT_Y5,1+INT((BK73-FT_First)/FT_Int1),FT_PreY5+FT_PerYear*INT((BK73-FT_Y5)/12)+FT_AnnivDays+INT(MOD(BK73-FT_Y5,12)/FT_Int2)-IF(EDATE(AL73,FT_Y5)&lt;PolicyEff,FT_AnnivDays-1,0))),IF(AU73="PT",IF(BK73&lt;PT_First,0,1+INT((BK73-PT_First)/PT_Int)),0))-IF(AU73="FT",IF(BJ73&lt;FT_First,0,IF(BJ73&lt;FT_Y5,1+INT((BJ73-FT_First)/FT_Int1),FT_PreY5+FT_PerYear*INT((BJ73-FT_Y5)/12)+FT_AnnivDays+INT(MOD(BJ73-FT_Y5,12)/FT_Int2)-IF(EDATE(AL73,FT_Y5)&lt;PolicyEff,FT_AnnivDays-1,0))),IF(AU73="PT",IF(BJ73&lt;PT_First,0,1+INT((BJ73-PT_First)/PT_Int)),0)),0)+IF(AND(AM73&gt;=3,AP73&lt;=EOMONTH(AsOfDate,-1)),IF(AV73="FT",IF(BI73&lt;FT_First,0,IF(BI73&lt;FT_Y5,1+INT((BI73-FT_First)/FT_Int1),FT_PreY5+FT_PerYear*INT((BI73-FT_Y5)/12)+FT_AnnivDays+INT(MOD(BI73-FT_Y5,12)/FT_Int2)-IF(EDATE(AL73,FT_Y5)&lt;PolicyEff,FT_AnnivDays-1,0))),IF(AV73="PT",IF(BI73&lt;PT_First,0,1+INT((BI73-PT_First)/PT_Int)),0))-IF(AV73="FT",IF(BK73&lt;FT_First,0,IF(BK73&lt;FT_Y5,1+INT((BK73-FT_First)/FT_Int1),FT_PreY5+FT_PerYear*INT((BK73-FT_Y5)/12)+FT_AnnivDays+INT(MOD(BK73-FT_Y5,12)/FT_Int2)-IF(EDATE(AL73,FT_Y5)&lt;PolicyEff,FT_AnnivDays-1,0))),IF(AV73="PT",IF(BK73&lt;PT_First,0,1+INT((BK73-PT_First)/PT_Int)),0)),0))</f>
        <v/>
      </c>
      <c r="BM73" s="16" t="str">
        <f aca="false">IF(AK73=0,"",IF(AW73="FT",IF(AX73&lt;FT_First,"",IF(AX73&lt;FT_Y5,FT_First+FT_Int1*INT((AX73-FT_First)/FT_Int1),FT_Y5+FT_Int2*INT((AX73-FT_Y5)/FT_Int2))),IF(AW73="PT",IF(AX73&lt;PT_First,"",PT_First+PT_Int*INT((AX73-PT_First)/PT_Int)),"")))</f>
        <v/>
      </c>
      <c r="BN73" s="16" t="str">
        <f aca="false">IF(AK73=0,"",IF((SchemeStart-1)&lt;AL73,-1,12*(YEAR((SchemeStart-1))-YEAR(AL73))+MONTH((SchemeStart-1))-MONTH(AL73)-IF(DAY((SchemeStart-1))&lt;MIN(DAY(AL73),DAY(EOMONTH((SchemeStart-1),0))),1,0)))</f>
        <v/>
      </c>
      <c r="BO73" s="16" t="str">
        <f aca="false">IF(AK73=0,"",IF(OR(AM73&lt;2,AO73&gt;(SchemeStart-1)),BN73,IF((AO73-1)&lt;AL73,-1,12*(YEAR((AO73-1))-YEAR(AL73))+MONTH((AO73-1))-MONTH(AL73)-IF(DAY((AO73-1))&lt;MIN(DAY(AL73),DAY(EOMONTH((AO73-1),0))),1,0))))</f>
        <v/>
      </c>
      <c r="BP73" s="16" t="str">
        <f aca="false">IF(AK73=0,"",IF(OR(AM73&lt;3,AP73&gt;(SchemeStart-1)),BN73,IF((AP73-1)&lt;AL73,-1,12*(YEAR((AP73-1))-YEAR(AL73))+MONTH((AP73-1))-MONTH(AL73)-IF(DAY((AP73-1))&lt;MIN(DAY(AL73),DAY(EOMONTH((AP73-1),0))),1,0))))</f>
        <v/>
      </c>
      <c r="BQ73" s="16" t="str">
        <f aca="false">IF(AK73=0,"",IF(AT73="FT",IF(BO73&lt;FT_First,0,IF(BO73&lt;FT_Y5,1+INT((BO73-FT_First)/FT_Int1),FT_PreY5+FT_PerYear*INT((BO73-FT_Y5)/12)+FT_AnnivDays+INT(MOD(BO73-FT_Y5,12)/FT_Int2)-IF(EDATE(AL73,FT_Y5)&lt;PolicyEff,FT_AnnivDays-1,0))),IF(AT73="PT",IF(BO73&lt;PT_First,0,1+INT((BO73-PT_First)/PT_Int)),0))+IF(AND(AM73&gt;=2,AO73&lt;=(SchemeStart-1)),IF(AU73="FT",IF(BP73&lt;FT_First,0,IF(BP73&lt;FT_Y5,1+INT((BP73-FT_First)/FT_Int1),FT_PreY5+FT_PerYear*INT((BP73-FT_Y5)/12)+FT_AnnivDays+INT(MOD(BP73-FT_Y5,12)/FT_Int2)-IF(EDATE(AL73,FT_Y5)&lt;PolicyEff,FT_AnnivDays-1,0))),IF(AU73="PT",IF(BP73&lt;PT_First,0,1+INT((BP73-PT_First)/PT_Int)),0))-IF(AU73="FT",IF(BO73&lt;FT_First,0,IF(BO73&lt;FT_Y5,1+INT((BO73-FT_First)/FT_Int1),FT_PreY5+FT_PerYear*INT((BO73-FT_Y5)/12)+FT_AnnivDays+INT(MOD(BO73-FT_Y5,12)/FT_Int2)-IF(EDATE(AL73,FT_Y5)&lt;PolicyEff,FT_AnnivDays-1,0))),IF(AU73="PT",IF(BO73&lt;PT_First,0,1+INT((BO73-PT_First)/PT_Int)),0)),0)+IF(AND(AM73&gt;=3,AP73&lt;=(SchemeStart-1)),IF(AV73="FT",IF(BN73&lt;FT_First,0,IF(BN73&lt;FT_Y5,1+INT((BN73-FT_First)/FT_Int1),FT_PreY5+FT_PerYear*INT((BN73-FT_Y5)/12)+FT_AnnivDays+INT(MOD(BN73-FT_Y5,12)/FT_Int2)-IF(EDATE(AL73,FT_Y5)&lt;PolicyEff,FT_AnnivDays-1,0))),IF(AV73="PT",IF(BN73&lt;PT_First,0,1+INT((BN73-PT_First)/PT_Int)),0))-IF(AV73="FT",IF(BP73&lt;FT_First,0,IF(BP73&lt;FT_Y5,1+INT((BP73-FT_First)/FT_Int1),FT_PreY5+FT_PerYear*INT((BP73-FT_Y5)/12)+FT_AnnivDays+INT(MOD(BP73-FT_Y5,12)/FT_Int2)-IF(EDATE(AL73,FT_Y5)&lt;PolicyEff,FT_AnnivDays-1,0))),IF(AV73="PT",IF(BP73&lt;PT_First,0,1+INT((BP73-PT_First)/PT_Int)),0)),0))</f>
        <v/>
      </c>
      <c r="BR73" s="0" t="str">
        <f aca="false">IF(LEN($A73&amp;$B73)=0,"",$A73&amp;" "&amp;$B73)</f>
        <v/>
      </c>
    </row>
    <row r="74" customFormat="false" ht="15" hidden="false" customHeight="false" outlineLevel="0" collapsed="false">
      <c r="A74" s="12"/>
      <c r="B74" s="12"/>
      <c r="C74" s="12"/>
      <c r="D74" s="13"/>
      <c r="E74" s="14" t="str">
        <f aca="false">IF(OR(AK74=0,$D74=""),"",DATE(YEAR(AsOfDate)+IF(DATE(YEAR(AsOfDate),MONTH($D74),DAY($D74))&lt;=AsOfDate,1,0),MONTH($D74),DAY($D74)))</f>
        <v/>
      </c>
      <c r="F74" s="13"/>
      <c r="G74" s="13"/>
      <c r="H74" s="13"/>
      <c r="I74" s="13"/>
      <c r="J74" s="13"/>
      <c r="K74" s="14" t="str">
        <f aca="false">IF(AK74=0,"",DATE(YEAR(AsOfDate)+IF(DATE(YEAR(AsOfDate),MONTH(AL74),DAY(AL74))&lt;=AsOfDate,1,0),MONTH(AL74),DAY(AL74)))</f>
        <v/>
      </c>
      <c r="L74" s="15" t="str">
        <f aca="false">IF(AK74=0,"",ROUND((AsOfDate-AL74)/365.25,1))</f>
        <v/>
      </c>
      <c r="M74" s="16" t="str">
        <f aca="false">IF(AK74=0,"",IF(AsOfDate&lt;AL74,"-",DATEDIF(AL74,AsOfDate,"y")&amp;"y "&amp;DATEDIF(AL74,AsOfDate,"ym")&amp;"m "&amp;DATEDIF(AL74,AsOfDate,"md")&amp;"d"))</f>
        <v/>
      </c>
      <c r="N74" s="17" t="str">
        <f aca="false">IF(AK74=0,"",O74*HoursPerDay)</f>
        <v/>
      </c>
      <c r="O74" s="17" t="str">
        <f aca="false">IF(AK74=0,"",MAX(0,BD74-BQ74))</f>
        <v/>
      </c>
      <c r="P74" s="18"/>
      <c r="Q74" s="16" t="str">
        <f aca="false">IF(AK74=0,"",IF(AM74&lt;2,"",AQ74&amp;" to "&amp;AR74&amp;" on "&amp;TEXT(AO74,"dd/mm/yyyy")&amp;IF(AO74&gt;AsOfDate," (future)",IF(AT74=AU74,"",IF(AU74="None"," - STOPPED accruing",IF(AT74="None"," - commencement for Bonus Leave"," - pathway changed"))))&amp;IF(AM74&lt;3,"","; "&amp;AR74&amp;" to "&amp;AS74&amp;" on "&amp;TEXT(AP74,"dd/mm/yyyy")&amp;IF(AP74&gt;AsOfDate," (future)",IF(AU74=AV74,"",IF(AV74="None"," - STOPPED accruing",IF(AU74="None"," - commencement for Bonus Leave"," - pathway changed")))))))</f>
        <v/>
      </c>
      <c r="R74" s="16" t="str">
        <f aca="false">IF(AK74=0,"",IF(AW74="None",IF(O74&gt;0,"No longer accruing","Not eligible - "&amp;IF(AND(OR(ISNUMBER(SEARCH("part",$C74)),UPPER(TRIM($C74))="PT",UPPER(TRIM($C74))="PTE"),Apply2026="No"),"part-time (scheme is full-time only)",IF(AND(OR(ISNUMBER(SEARCH("part",$C74)),UPPER(TRIM($C74))="PT",UPPER(TRIM($C74))="PTE"),$P74&lt;&gt;"",N($P74)&lt;PT_MinHours),"under "&amp;PT_MinHours&amp;" hrs",IF(IF($C74="","",IF(OR(ISNUMBER(SEARCH("full",$C74)),UPPER(TRIM($C74))="FT",UPPER(TRIM($C74))="FTE"),"Full-Time",IF(OR(ISNUMBER(SEARCH("part",$C74)),UPPER(TRIM($C74))="PT",UPPER(TRIM($C74))="PTE"),"Part-Time",IF(OR(ISNUMBER(SEARCH("cas",$C74)),UPPER(TRIM($C74))="CAS"),"Casual","Unknown"))))="Unknown","type not recognised",$C74)))),IF(O74&gt;0,"Yes - Accrual Required","Not yet - from "&amp;TEXT(S74,"dd/mm/yyyy"))))</f>
        <v/>
      </c>
      <c r="S74" s="14" t="str">
        <f aca="false">IF(AK74=0,"",IF(AW74="None","",EDATE(AL74,BF74)))</f>
        <v/>
      </c>
      <c r="T74" s="17" t="str">
        <f aca="false">IF(AK74=0,"",IF(NOT(LH_Ready),"",IF($F74&gt;PFYDate,0,IF(LH_ColPeriod=0,W74-U74+V74,SUMIFS(INDEX(LH_Data,0,LH_ColAcc),INDEX(LH_Data,0,LH_ColFirst),$A74,INDEX(LH_Data,0,LH_ColSur),$B74,INDEX(LH_Data,0,LH_ColCat),BonusCat,INDEX(LH_Data,0,LH_ColPeriod),LH_OpenLabel)*UnitFactor))))</f>
        <v/>
      </c>
      <c r="U74" s="17" t="str">
        <f aca="false">IF(AK74=0,"",IF(NOT(LH_Ready),"",SUMIFS(INDEX(LH_Data,0,LH_ColAcc),INDEX(LH_Data,0,LH_ColFirst),$A74,INDEX(LH_Data,0,LH_ColSur),$B74,INDEX(LH_Data,0,LH_ColCat),BonusCat,INDEX(LH_Data,0,LH_ColStart),"&gt;="&amp;AL74)*UnitFactor))</f>
        <v/>
      </c>
      <c r="V74" s="17" t="str">
        <f aca="false">IF(AK74=0,"",IF(NOT(LH_Ready),"",SUMIFS(INDEX(LH_Data,0,LH_ColTaken),INDEX(LH_Data,0,LH_ColFirst),$A74,INDEX(LH_Data,0,LH_ColSur),$B74,INDEX(LH_Data,0,LH_ColCat),BonusCat,INDEX(LH_Data,0,LH_ColStart),"&gt;="&amp;AL74)*UnitFactor))</f>
        <v/>
      </c>
      <c r="W74" s="17" t="str">
        <f aca="false">IF(AK74=0,"",IF(NOT(LH_Ready),"",IF(BH74=0,0,INDEX(INDEX(LH_Data,0,LH_ColClose),BH74-1)*UnitFactor)))</f>
        <v/>
      </c>
      <c r="X74" s="17" t="str">
        <f aca="false">IF(AK74=0,"",(MAX(0,BD74-BQ74)-MAX(0,BE74-BQ74))*HoursPerDay)</f>
        <v/>
      </c>
      <c r="Y74" s="17" t="str">
        <f aca="false">IF(AK74=0,"",IF(NOT(LH_Ready),"",IF($AI74="Yes",N(AE74)*HoursPerDay-SUMIFS(INDEX(LH_Data,0,LH_ColAcc),INDEX(LH_Data,0,LH_ColFirst),$A74,INDEX(LH_Data,0,LH_ColSur),$B74,INDEX(LH_Data,0,LH_ColCat),BonusCat,INDEX(LH_Data,0,LH_ColStart),"&gt;="&amp;(EOMONTH(AsOfDate,-1)+1),INDEX(LH_Data,0,LH_ColStart),"&lt;="&amp;AsOfDate)*UnitFactor,IF(BG74=0,N74,N74-N(T74)-N(U74)))))</f>
        <v/>
      </c>
      <c r="Z74" s="16" t="str">
        <f aca="false">IF(OR(AK74=0,Y74=""),"",IF(Y74&gt;0,"Yes","No"))</f>
        <v/>
      </c>
      <c r="AA74" s="16" t="str">
        <f aca="false">IF(AK74=0,IF(LEN($A74&amp;$B74)=0,"","FIX INPUT - StartDate missing"),IF(AD74&lt;&gt;"","FIX INPUT - "&amp;AD74,IF(NOT(LH_Ready),"Paste Leave History export (Settings must show YES)",IF(AND($AI74="Yes",Y74&lt;=0),"OK - EH balance accepted to date"&amp;IF(N(AH74)&gt;0," (EH holds "&amp;AH74&amp;" hrs over the scheme)","")&amp;"; next day "&amp;TEXT(S74,"dd mmm yy")&amp;IF(N(AE74)&gt;0," ("&amp;AE74&amp;" day(s) for "&amp;UPPER(TEXT(AsOfDate,"mmm yyyy"))&amp;" already in EH)",""),IF(Y74&gt;0,"ACCRUE "&amp;ROUND(Y74,2)&amp;" hrs ("&amp;ROUND(Y74/HoursPerDay,2)&amp;" days): "&amp;IF(N(AE74)&gt;0,AE74&amp;" day(s) for "&amp;UPPER(TEXT(AsOfDate,"mmm yyyy"))&amp;" (milestone "&amp;UPPER(TEXT(AF74,"dd mmm yy"))&amp;")"&amp;IF(Y74/HoursPerDay&gt;AE74+0.001," + "&amp;ROUND(Y74/HoursPerDay-AE74,2)&amp;" day(s) catch-up from earlier months",""),"all catch-up from earlier months, nothing new this month")&amp;IF(BG74=0,"; no Bonus Leave in EH yet",""),IF(Y74&lt;0,"CHECK - EH accrued "&amp;ROUND(-Y74,2)&amp;" hrs more than policy since commencement",IF(N(W74)&gt;O74*HoursPerDay+0.01,"CHECK - EH balance "&amp;ROUND(W74-O74*HoursPerDay,2)&amp;" hrs more than policy entitlement",IF(O74&gt;0,"OK - nothing to add"&amp;IF(N(AE74)&gt;0," ("&amp;AE74&amp;" day(s) for "&amp;UPPER(TEXT(AsOfDate,"mmm yyyy"))&amp;" already in EH)",""),IF(AW74="None",R74,"Not yet - first day on "&amp;TEXT(S74,"dd/mm/yyyy"))))))))))</f>
        <v/>
      </c>
      <c r="AB74" s="17" t="str">
        <f aca="false">IF(OR(AK74=0,T74=""),"",MAX(0,BE74-BQ74)*HoursPerDay-T74)</f>
        <v/>
      </c>
      <c r="AC74" s="16" t="str">
        <f aca="false">IF(AK74=0,"",BG74)</f>
        <v/>
      </c>
      <c r="AD74" s="16" t="str">
        <f aca="false">IF(AK74=0,"",TRIM(IF(OR(ISTEXT($F74),ISTEXT($H74),ISTEXT($I74),ISTEXT($G74),ISTEXT($J74),ISTEXT($D74)),"A date is typed as text - retype it as dd/mm/yyyy. ","")&amp;IF(IF($C74="","",IF(OR(ISNUMBER(SEARCH("full",$C74)),UPPER(TRIM($C74))="FT",UPPER(TRIM($C74))="FTE"),"Full-Time",IF(OR(ISNUMBER(SEARCH("part",$C74)),UPPER(TRIM($C74))="PT",UPPER(TRIM($C74))="PTE"),"Part-Time",IF(OR(ISNUMBER(SEARCH("cas",$C74)),UPPER(TRIM($C74))="CAS"),"Casual","Unknown"))))="Unknown","EmploymentType not recognised - use Full-Time, Part-Time or Casual. ","")&amp;IF(AND(AM74&gt;=1,IF(AM74&gt;=3,AS74,IF(AM74=2,AR74,AQ74))&lt;&gt;IF($C74="","",IF(OR(ISNUMBER(SEARCH("full",$C74)),UPPER(TRIM($C74))="FT",UPPER(TRIM($C74))="FTE"),"Full-Time",IF(OR(ISNUMBER(SEARCH("part",$C74)),UPPER(TRIM($C74))="PT",UPPER(TRIM($C74))="PTE"),"Part-Time",IF(OR(ISNUMBER(SEARCH("cas",$C74)),UPPER(TRIM($C74))="CAS"),"Casual","Unknown"))))),"EmploymentType does not match latest start date ("&amp;IF(AM74&gt;=3,AS74,IF(AM74=2,AR74,AQ74))&amp;"). ","")&amp;IF(AND(AM74&gt;=1,AN74&lt;&gt;$F74),"Earliest type date should equal StartDate. ","")&amp;IF(AND(AM74&gt;=2,AN74=AO74),"Two types start on the same date. ","")&amp;IF(AND(OR(ISNUMBER(SEARCH("part",$C74)),UPPER(TRIM($C74))="PT",UPPER(TRIM($C74))="PTE"),$P74=""),"Part-time: enter PT Hrs/Week (blank = 24+). ","")))</f>
        <v/>
      </c>
      <c r="AE74" s="17" t="str">
        <f aca="false">IF(AK74=0,"",O74-MAX(0,BL74-BQ74))</f>
        <v/>
      </c>
      <c r="AF74" s="14" t="str">
        <f aca="false">IF(OR(AK74=0,AE74="",N(AE74)=0,BM74=""),"",EDATE(AL74,BM74))</f>
        <v/>
      </c>
      <c r="AG74" s="17" t="str">
        <f aca="false">IF(AK74=0,"",MIN(BD74,BQ74))</f>
        <v/>
      </c>
      <c r="AH74" s="17" t="str">
        <f aca="false">IF(AK74=0,"",IF(NOT(LH_Ready),"",IF(BG74=0,0,MAX(0,ROUND(N(T74)+N(U74)-N74,2)))))</f>
        <v/>
      </c>
      <c r="AI74" s="12"/>
      <c r="AJ74" s="12"/>
      <c r="AK74" s="16" t="n">
        <f aca="false">IF(OR(LEN($A74&amp;$B74)=0,$F74=""),0,1)</f>
        <v>0</v>
      </c>
      <c r="AL74" s="14" t="str">
        <f aca="false">IF(AK74=0,"",IF(PreSchemeCounts="No",MAX(SchemeStart,IF($J74&lt;&gt;"",$J74,IF(OR(CasualCounts="Yes",COUNT($G74:$I74)=0),$F74,IF(Apply2026="No",IF($I74="",$F74,$I74),IF(COUNT($H74:$I74)=0,$F74,MIN($H74:$I74)))))),IF($J74&lt;&gt;"",$J74,IF(OR(CasualCounts="Yes",COUNT($G74:$I74)=0),$F74,IF(Apply2026="No",IF($I74="",$F74,$I74),IF(COUNT($H74:$I74)=0,$F74,MIN($H74:$I74)))))))</f>
        <v/>
      </c>
      <c r="AM74" s="16" t="str">
        <f aca="false">IF(AK74=0,"",COUNT($G74:$I74))</f>
        <v/>
      </c>
      <c r="AN74" s="14" t="str">
        <f aca="false">IF(AK74=0,"",IFERROR(SMALL($G74:$I74,1),""))</f>
        <v/>
      </c>
      <c r="AO74" s="14" t="str">
        <f aca="false">IF(AK74=0,"",IFERROR(SMALL($G74:$I74,2),""))</f>
        <v/>
      </c>
      <c r="AP74" s="14" t="str">
        <f aca="false">IF(AK74=0,"",IFERROR(SMALL($G74:$I74,3),""))</f>
        <v/>
      </c>
      <c r="AQ74" s="16" t="str">
        <f aca="false">IF(AK74=0,"",IF(AN74="","",IF(AN74=$H74,"Part-Time",IF(AN74=$I74,"Full-Time","Casual"))))</f>
        <v/>
      </c>
      <c r="AR74" s="16" t="str">
        <f aca="false">IF(AK74=0,"",IF(AO74="","",IF(AO74=$H74,"Part-Time",IF(AO74=$I74,"Full-Time","Casual"))))</f>
        <v/>
      </c>
      <c r="AS74" s="16" t="str">
        <f aca="false">IF(AK74=0,"",IF(AP74="","",IF(AP74=$H74,"Part-Time",IF(AP74=$I74,"Full-Time","Casual"))))</f>
        <v/>
      </c>
      <c r="AT74" s="16" t="str">
        <f aca="false">IF(AK74=0,"",IF(AM74=0,IF(OR(ISNUMBER(SEARCH("full",$C74)),UPPER(TRIM($C74))="FT",UPPER(TRIM($C74))="FTE"),"FT",IF(AND(OR(ISNUMBER(SEARCH("part",$C74)),UPPER(TRIM($C74))="PT",UPPER(TRIM($C74))="PTE"),Apply2026="Yes",OR($P74="",N($P74)&gt;=PT_MinHours)),"PT","None")),IF(OR(ISNUMBER(SEARCH("full",AQ74)),UPPER(TRIM(AQ74))="FT",UPPER(TRIM(AQ74))="FTE"),"FT",IF(AND(OR(ISNUMBER(SEARCH("part",AQ74)),UPPER(TRIM(AQ74))="PT",UPPER(TRIM(AQ74))="PTE"),Apply2026="Yes",OR($P74="",N($P74)&gt;=PT_MinHours)),"PT","None"))))</f>
        <v/>
      </c>
      <c r="AU74" s="16" t="str">
        <f aca="false">IF(AK74=0,"",IF(AM74&lt;2,"",IF(OR(ISNUMBER(SEARCH("full",AR74)),UPPER(TRIM(AR74))="FT",UPPER(TRIM(AR74))="FTE"),"FT",IF(AND(OR(ISNUMBER(SEARCH("part",AR74)),UPPER(TRIM(AR74))="PT",UPPER(TRIM(AR74))="PTE"),Apply2026="Yes",OR($P74="",N($P74)&gt;=PT_MinHours)),"PT","None"))))</f>
        <v/>
      </c>
      <c r="AV74" s="16" t="str">
        <f aca="false">IF(AK74=0,"",IF(AM74&lt;3,"",IF(OR(ISNUMBER(SEARCH("full",AS74)),UPPER(TRIM(AS74))="FT",UPPER(TRIM(AS74))="FTE"),"FT",IF(AND(OR(ISNUMBER(SEARCH("part",AS74)),UPPER(TRIM(AS74))="PT",UPPER(TRIM(AS74))="PTE"),Apply2026="Yes",OR($P74="",N($P74)&gt;=PT_MinHours)),"PT","None"))))</f>
        <v/>
      </c>
      <c r="AW74" s="16" t="str">
        <f aca="false">IF(AK74=0,"",IF(AND(AM74&gt;=3,AP74&lt;=AsOfDate),AV74,IF(AND(AM74&gt;=2,AO74&lt;=AsOfDate),AU74,AT74)))</f>
        <v/>
      </c>
      <c r="AX74" s="16" t="str">
        <f aca="false">IF(AK74=0,"",IF(AsOfDate&lt;AL74,-1,12*(YEAR(AsOfDate)-YEAR(AL74))+MONTH(AsOfDate)-MONTH(AL74)-IF(DAY(AsOfDate)&lt;MIN(DAY(AL74),DAY(EOMONTH(AsOfDate,0))),1,0)))</f>
        <v/>
      </c>
      <c r="AY74" s="16" t="str">
        <f aca="false">IF(AK74=0,"",IF(OR(AM74&lt;2,AO74&gt;AsOfDate),AX74,IF((AO74-1)&lt;AL74,-1,12*(YEAR((AO74-1))-YEAR(AL74))+MONTH((AO74-1))-MONTH(AL74)-IF(DAY((AO74-1))&lt;MIN(DAY(AL74),DAY(EOMONTH((AO74-1),0))),1,0))))</f>
        <v/>
      </c>
      <c r="AZ74" s="16" t="str">
        <f aca="false">IF(AK74=0,"",IF(OR(AM74&lt;3,AP74&gt;AsOfDate),AX74,IF((AP74-1)&lt;AL74,-1,12*(YEAR((AP74-1))-YEAR(AL74))+MONTH((AP74-1))-MONTH(AL74)-IF(DAY((AP74-1))&lt;MIN(DAY(AL74),DAY(EOMONTH((AP74-1),0))),1,0))))</f>
        <v/>
      </c>
      <c r="BA74" s="16" t="str">
        <f aca="false">IF(AK74=0,"",IF(PFYDate&lt;AL74,-1,12*(YEAR(PFYDate)-YEAR(AL74))+MONTH(PFYDate)-MONTH(AL74)-IF(DAY(PFYDate)&lt;MIN(DAY(AL74),DAY(EOMONTH(PFYDate,0))),1,0)))</f>
        <v/>
      </c>
      <c r="BB74" s="16" t="str">
        <f aca="false">IF(AK74=0,"",IF(OR(AM74&lt;2,AO74&gt;PFYDate),BA74,IF((AO74-1)&lt;AL74,-1,12*(YEAR((AO74-1))-YEAR(AL74))+MONTH((AO74-1))-MONTH(AL74)-IF(DAY((AO74-1))&lt;MIN(DAY(AL74),DAY(EOMONTH((AO74-1),0))),1,0))))</f>
        <v/>
      </c>
      <c r="BC74" s="16" t="str">
        <f aca="false">IF(AK74=0,"",IF(OR(AM74&lt;3,AP74&gt;PFYDate),BA74,IF((AP74-1)&lt;AL74,-1,12*(YEAR((AP74-1))-YEAR(AL74))+MONTH((AP74-1))-MONTH(AL74)-IF(DAY((AP74-1))&lt;MIN(DAY(AL74),DAY(EOMONTH((AP74-1),0))),1,0))))</f>
        <v/>
      </c>
      <c r="BD74" s="16" t="str">
        <f aca="false">IF(AK74=0,"",IF(AT74="FT",IF(AY74&lt;FT_First,0,IF(AY74&lt;FT_Y5,1+INT((AY74-FT_First)/FT_Int1),FT_PreY5+FT_PerYear*INT((AY74-FT_Y5)/12)+FT_AnnivDays+INT(MOD(AY74-FT_Y5,12)/FT_Int2)-IF(EDATE(AL74,FT_Y5)&lt;PolicyEff,FT_AnnivDays-1,0))),IF(AT74="PT",IF(AY74&lt;PT_First,0,1+INT((AY74-PT_First)/PT_Int)),0))+IF(AND(AM74&gt;=2,AO74&lt;=AsOfDate),IF(AU74="FT",IF(AZ74&lt;FT_First,0,IF(AZ74&lt;FT_Y5,1+INT((AZ74-FT_First)/FT_Int1),FT_PreY5+FT_PerYear*INT((AZ74-FT_Y5)/12)+FT_AnnivDays+INT(MOD(AZ74-FT_Y5,12)/FT_Int2)-IF(EDATE(AL74,FT_Y5)&lt;PolicyEff,FT_AnnivDays-1,0))),IF(AU74="PT",IF(AZ74&lt;PT_First,0,1+INT((AZ74-PT_First)/PT_Int)),0))-IF(AU74="FT",IF(AY74&lt;FT_First,0,IF(AY74&lt;FT_Y5,1+INT((AY74-FT_First)/FT_Int1),FT_PreY5+FT_PerYear*INT((AY74-FT_Y5)/12)+FT_AnnivDays+INT(MOD(AY74-FT_Y5,12)/FT_Int2)-IF(EDATE(AL74,FT_Y5)&lt;PolicyEff,FT_AnnivDays-1,0))),IF(AU74="PT",IF(AY74&lt;PT_First,0,1+INT((AY74-PT_First)/PT_Int)),0)),0)+IF(AND(AM74&gt;=3,AP74&lt;=AsOfDate),IF(AV74="FT",IF(AX74&lt;FT_First,0,IF(AX74&lt;FT_Y5,1+INT((AX74-FT_First)/FT_Int1),FT_PreY5+FT_PerYear*INT((AX74-FT_Y5)/12)+FT_AnnivDays+INT(MOD(AX74-FT_Y5,12)/FT_Int2)-IF(EDATE(AL74,FT_Y5)&lt;PolicyEff,FT_AnnivDays-1,0))),IF(AV74="PT",IF(AX74&lt;PT_First,0,1+INT((AX74-PT_First)/PT_Int)),0))-IF(AV74="FT",IF(AZ74&lt;FT_First,0,IF(AZ74&lt;FT_Y5,1+INT((AZ74-FT_First)/FT_Int1),FT_PreY5+FT_PerYear*INT((AZ74-FT_Y5)/12)+FT_AnnivDays+INT(MOD(AZ74-FT_Y5,12)/FT_Int2)-IF(EDATE(AL74,FT_Y5)&lt;PolicyEff,FT_AnnivDays-1,0))),IF(AV74="PT",IF(AZ74&lt;PT_First,0,1+INT((AZ74-PT_First)/PT_Int)),0)),0))</f>
        <v/>
      </c>
      <c r="BE74" s="16" t="str">
        <f aca="false">IF(AK74=0,"",IF(AT74="FT",IF(BB74&lt;FT_First,0,IF(BB74&lt;FT_Y5,1+INT((BB74-FT_First)/FT_Int1),FT_PreY5+FT_PerYear*INT((BB74-FT_Y5)/12)+FT_AnnivDays+INT(MOD(BB74-FT_Y5,12)/FT_Int2)-IF(EDATE(AL74,FT_Y5)&lt;PolicyEff,FT_AnnivDays-1,0))),IF(AT74="PT",IF(BB74&lt;PT_First,0,1+INT((BB74-PT_First)/PT_Int)),0))+IF(AND(AM74&gt;=2,AO74&lt;=PFYDate),IF(AU74="FT",IF(BC74&lt;FT_First,0,IF(BC74&lt;FT_Y5,1+INT((BC74-FT_First)/FT_Int1),FT_PreY5+FT_PerYear*INT((BC74-FT_Y5)/12)+FT_AnnivDays+INT(MOD(BC74-FT_Y5,12)/FT_Int2)-IF(EDATE(AL74,FT_Y5)&lt;PolicyEff,FT_AnnivDays-1,0))),IF(AU74="PT",IF(BC74&lt;PT_First,0,1+INT((BC74-PT_First)/PT_Int)),0))-IF(AU74="FT",IF(BB74&lt;FT_First,0,IF(BB74&lt;FT_Y5,1+INT((BB74-FT_First)/FT_Int1),FT_PreY5+FT_PerYear*INT((BB74-FT_Y5)/12)+FT_AnnivDays+INT(MOD(BB74-FT_Y5,12)/FT_Int2)-IF(EDATE(AL74,FT_Y5)&lt;PolicyEff,FT_AnnivDays-1,0))),IF(AU74="PT",IF(BB74&lt;PT_First,0,1+INT((BB74-PT_First)/PT_Int)),0)),0)+IF(AND(AM74&gt;=3,AP74&lt;=PFYDate),IF(AV74="FT",IF(BA74&lt;FT_First,0,IF(BA74&lt;FT_Y5,1+INT((BA74-FT_First)/FT_Int1),FT_PreY5+FT_PerYear*INT((BA74-FT_Y5)/12)+FT_AnnivDays+INT(MOD(BA74-FT_Y5,12)/FT_Int2)-IF(EDATE(AL74,FT_Y5)&lt;PolicyEff,FT_AnnivDays-1,0))),IF(AV74="PT",IF(BA74&lt;PT_First,0,1+INT((BA74-PT_First)/PT_Int)),0))-IF(AV74="FT",IF(BC74&lt;FT_First,0,IF(BC74&lt;FT_Y5,1+INT((BC74-FT_First)/FT_Int1),FT_PreY5+FT_PerYear*INT((BC74-FT_Y5)/12)+FT_AnnivDays+INT(MOD(BC74-FT_Y5,12)/FT_Int2)-IF(EDATE(AL74,FT_Y5)&lt;PolicyEff,FT_AnnivDays-1,0))),IF(AV74="PT",IF(BC74&lt;PT_First,0,1+INT((BC74-PT_First)/PT_Int)),0)),0))</f>
        <v/>
      </c>
      <c r="BF74" s="16" t="str">
        <f aca="false">IF(AK74=0,"",IF(AW74="FT",IF(AX74&lt;FT_First,FT_First,IF(AX74&lt;FT_Y5,MIN(FT_Y5,FT_First+FT_Int1*(INT((AX74-FT_First)/FT_Int1)+1)),FT_Y5+12*INT((AX74-FT_Y5)/12)+FT_Int2*(INT(MOD(AX74-FT_Y5,12)/FT_Int2)+1))),IF(AW74="PT",IF(AX74&lt;PT_First,PT_First,PT_First+PT_Int*(INT((AX74-PT_First)/PT_Int)+1)),"")))</f>
        <v/>
      </c>
      <c r="BG74" s="16" t="str">
        <f aca="false">IF(AK74=0,"",IF(NOT(LH_Ready),0,COUNTIFS(INDEX(LH_Data,0,LH_ColFirst),$A74,INDEX(LH_Data,0,LH_ColSur),$B74,INDEX(LH_Data,0,LH_ColCat),BonusCat)))</f>
        <v/>
      </c>
      <c r="BH74" s="16" t="str">
        <f aca="false">IF(AK74=0,"",IF(OR(NOT(LH_Ready),BG74=0),0,SUMPRODUCT(MAX((INDEX(LH_Data,0,LH_ColFirst)=$A74)*(INDEX(LH_Data,0,LH_ColSur)=$B74)*(INDEX(LH_Data,0,LH_ColCat)=BonusCat)*ROW(LH_Data)))))</f>
        <v/>
      </c>
      <c r="BI74" s="16" t="str">
        <f aca="false">IF(AK74=0,"",IF(EOMONTH(AsOfDate,-1)&lt;AL74,-1,12*(YEAR(EOMONTH(AsOfDate,-1))-YEAR(AL74))+MONTH(EOMONTH(AsOfDate,-1))-MONTH(AL74)-IF(DAY(EOMONTH(AsOfDate,-1))&lt;MIN(DAY(AL74),DAY(EOMONTH(EOMONTH(AsOfDate,-1),0))),1,0)))</f>
        <v/>
      </c>
      <c r="BJ74" s="16" t="str">
        <f aca="false">IF(AK74=0,"",IF(OR(AM74&lt;2,AO74&gt;EOMONTH(AsOfDate,-1)),BI74,IF((AO74-1)&lt;AL74,-1,12*(YEAR((AO74-1))-YEAR(AL74))+MONTH((AO74-1))-MONTH(AL74)-IF(DAY((AO74-1))&lt;MIN(DAY(AL74),DAY(EOMONTH((AO74-1),0))),1,0))))</f>
        <v/>
      </c>
      <c r="BK74" s="16" t="str">
        <f aca="false">IF(AK74=0,"",IF(OR(AM74&lt;3,AP74&gt;EOMONTH(AsOfDate,-1)),BI74,IF((AP74-1)&lt;AL74,-1,12*(YEAR((AP74-1))-YEAR(AL74))+MONTH((AP74-1))-MONTH(AL74)-IF(DAY((AP74-1))&lt;MIN(DAY(AL74),DAY(EOMONTH((AP74-1),0))),1,0))))</f>
        <v/>
      </c>
      <c r="BL74" s="16" t="str">
        <f aca="false">IF(AK74=0,"",IF(AT74="FT",IF(BJ74&lt;FT_First,0,IF(BJ74&lt;FT_Y5,1+INT((BJ74-FT_First)/FT_Int1),FT_PreY5+FT_PerYear*INT((BJ74-FT_Y5)/12)+FT_AnnivDays+INT(MOD(BJ74-FT_Y5,12)/FT_Int2)-IF(EDATE(AL74,FT_Y5)&lt;PolicyEff,FT_AnnivDays-1,0))),IF(AT74="PT",IF(BJ74&lt;PT_First,0,1+INT((BJ74-PT_First)/PT_Int)),0))+IF(AND(AM74&gt;=2,AO74&lt;=EOMONTH(AsOfDate,-1)),IF(AU74="FT",IF(BK74&lt;FT_First,0,IF(BK74&lt;FT_Y5,1+INT((BK74-FT_First)/FT_Int1),FT_PreY5+FT_PerYear*INT((BK74-FT_Y5)/12)+FT_AnnivDays+INT(MOD(BK74-FT_Y5,12)/FT_Int2)-IF(EDATE(AL74,FT_Y5)&lt;PolicyEff,FT_AnnivDays-1,0))),IF(AU74="PT",IF(BK74&lt;PT_First,0,1+INT((BK74-PT_First)/PT_Int)),0))-IF(AU74="FT",IF(BJ74&lt;FT_First,0,IF(BJ74&lt;FT_Y5,1+INT((BJ74-FT_First)/FT_Int1),FT_PreY5+FT_PerYear*INT((BJ74-FT_Y5)/12)+FT_AnnivDays+INT(MOD(BJ74-FT_Y5,12)/FT_Int2)-IF(EDATE(AL74,FT_Y5)&lt;PolicyEff,FT_AnnivDays-1,0))),IF(AU74="PT",IF(BJ74&lt;PT_First,0,1+INT((BJ74-PT_First)/PT_Int)),0)),0)+IF(AND(AM74&gt;=3,AP74&lt;=EOMONTH(AsOfDate,-1)),IF(AV74="FT",IF(BI74&lt;FT_First,0,IF(BI74&lt;FT_Y5,1+INT((BI74-FT_First)/FT_Int1),FT_PreY5+FT_PerYear*INT((BI74-FT_Y5)/12)+FT_AnnivDays+INT(MOD(BI74-FT_Y5,12)/FT_Int2)-IF(EDATE(AL74,FT_Y5)&lt;PolicyEff,FT_AnnivDays-1,0))),IF(AV74="PT",IF(BI74&lt;PT_First,0,1+INT((BI74-PT_First)/PT_Int)),0))-IF(AV74="FT",IF(BK74&lt;FT_First,0,IF(BK74&lt;FT_Y5,1+INT((BK74-FT_First)/FT_Int1),FT_PreY5+FT_PerYear*INT((BK74-FT_Y5)/12)+FT_AnnivDays+INT(MOD(BK74-FT_Y5,12)/FT_Int2)-IF(EDATE(AL74,FT_Y5)&lt;PolicyEff,FT_AnnivDays-1,0))),IF(AV74="PT",IF(BK74&lt;PT_First,0,1+INT((BK74-PT_First)/PT_Int)),0)),0))</f>
        <v/>
      </c>
      <c r="BM74" s="16" t="str">
        <f aca="false">IF(AK74=0,"",IF(AW74="FT",IF(AX74&lt;FT_First,"",IF(AX74&lt;FT_Y5,FT_First+FT_Int1*INT((AX74-FT_First)/FT_Int1),FT_Y5+FT_Int2*INT((AX74-FT_Y5)/FT_Int2))),IF(AW74="PT",IF(AX74&lt;PT_First,"",PT_First+PT_Int*INT((AX74-PT_First)/PT_Int)),"")))</f>
        <v/>
      </c>
      <c r="BN74" s="16" t="str">
        <f aca="false">IF(AK74=0,"",IF((SchemeStart-1)&lt;AL74,-1,12*(YEAR((SchemeStart-1))-YEAR(AL74))+MONTH((SchemeStart-1))-MONTH(AL74)-IF(DAY((SchemeStart-1))&lt;MIN(DAY(AL74),DAY(EOMONTH((SchemeStart-1),0))),1,0)))</f>
        <v/>
      </c>
      <c r="BO74" s="16" t="str">
        <f aca="false">IF(AK74=0,"",IF(OR(AM74&lt;2,AO74&gt;(SchemeStart-1)),BN74,IF((AO74-1)&lt;AL74,-1,12*(YEAR((AO74-1))-YEAR(AL74))+MONTH((AO74-1))-MONTH(AL74)-IF(DAY((AO74-1))&lt;MIN(DAY(AL74),DAY(EOMONTH((AO74-1),0))),1,0))))</f>
        <v/>
      </c>
      <c r="BP74" s="16" t="str">
        <f aca="false">IF(AK74=0,"",IF(OR(AM74&lt;3,AP74&gt;(SchemeStart-1)),BN74,IF((AP74-1)&lt;AL74,-1,12*(YEAR((AP74-1))-YEAR(AL74))+MONTH((AP74-1))-MONTH(AL74)-IF(DAY((AP74-1))&lt;MIN(DAY(AL74),DAY(EOMONTH((AP74-1),0))),1,0))))</f>
        <v/>
      </c>
      <c r="BQ74" s="16" t="str">
        <f aca="false">IF(AK74=0,"",IF(AT74="FT",IF(BO74&lt;FT_First,0,IF(BO74&lt;FT_Y5,1+INT((BO74-FT_First)/FT_Int1),FT_PreY5+FT_PerYear*INT((BO74-FT_Y5)/12)+FT_AnnivDays+INT(MOD(BO74-FT_Y5,12)/FT_Int2)-IF(EDATE(AL74,FT_Y5)&lt;PolicyEff,FT_AnnivDays-1,0))),IF(AT74="PT",IF(BO74&lt;PT_First,0,1+INT((BO74-PT_First)/PT_Int)),0))+IF(AND(AM74&gt;=2,AO74&lt;=(SchemeStart-1)),IF(AU74="FT",IF(BP74&lt;FT_First,0,IF(BP74&lt;FT_Y5,1+INT((BP74-FT_First)/FT_Int1),FT_PreY5+FT_PerYear*INT((BP74-FT_Y5)/12)+FT_AnnivDays+INT(MOD(BP74-FT_Y5,12)/FT_Int2)-IF(EDATE(AL74,FT_Y5)&lt;PolicyEff,FT_AnnivDays-1,0))),IF(AU74="PT",IF(BP74&lt;PT_First,0,1+INT((BP74-PT_First)/PT_Int)),0))-IF(AU74="FT",IF(BO74&lt;FT_First,0,IF(BO74&lt;FT_Y5,1+INT((BO74-FT_First)/FT_Int1),FT_PreY5+FT_PerYear*INT((BO74-FT_Y5)/12)+FT_AnnivDays+INT(MOD(BO74-FT_Y5,12)/FT_Int2)-IF(EDATE(AL74,FT_Y5)&lt;PolicyEff,FT_AnnivDays-1,0))),IF(AU74="PT",IF(BO74&lt;PT_First,0,1+INT((BO74-PT_First)/PT_Int)),0)),0)+IF(AND(AM74&gt;=3,AP74&lt;=(SchemeStart-1)),IF(AV74="FT",IF(BN74&lt;FT_First,0,IF(BN74&lt;FT_Y5,1+INT((BN74-FT_First)/FT_Int1),FT_PreY5+FT_PerYear*INT((BN74-FT_Y5)/12)+FT_AnnivDays+INT(MOD(BN74-FT_Y5,12)/FT_Int2)-IF(EDATE(AL74,FT_Y5)&lt;PolicyEff,FT_AnnivDays-1,0))),IF(AV74="PT",IF(BN74&lt;PT_First,0,1+INT((BN74-PT_First)/PT_Int)),0))-IF(AV74="FT",IF(BP74&lt;FT_First,0,IF(BP74&lt;FT_Y5,1+INT((BP74-FT_First)/FT_Int1),FT_PreY5+FT_PerYear*INT((BP74-FT_Y5)/12)+FT_AnnivDays+INT(MOD(BP74-FT_Y5,12)/FT_Int2)-IF(EDATE(AL74,FT_Y5)&lt;PolicyEff,FT_AnnivDays-1,0))),IF(AV74="PT",IF(BP74&lt;PT_First,0,1+INT((BP74-PT_First)/PT_Int)),0)),0))</f>
        <v/>
      </c>
      <c r="BR74" s="0" t="str">
        <f aca="false">IF(LEN($A74&amp;$B74)=0,"",$A74&amp;" "&amp;$B74)</f>
        <v/>
      </c>
    </row>
    <row r="75" customFormat="false" ht="15" hidden="false" customHeight="false" outlineLevel="0" collapsed="false">
      <c r="A75" s="12"/>
      <c r="B75" s="12"/>
      <c r="C75" s="12"/>
      <c r="D75" s="13"/>
      <c r="E75" s="14" t="str">
        <f aca="false">IF(OR(AK75=0,$D75=""),"",DATE(YEAR(AsOfDate)+IF(DATE(YEAR(AsOfDate),MONTH($D75),DAY($D75))&lt;=AsOfDate,1,0),MONTH($D75),DAY($D75)))</f>
        <v/>
      </c>
      <c r="F75" s="13"/>
      <c r="G75" s="13"/>
      <c r="H75" s="13"/>
      <c r="I75" s="13"/>
      <c r="J75" s="13"/>
      <c r="K75" s="14" t="str">
        <f aca="false">IF(AK75=0,"",DATE(YEAR(AsOfDate)+IF(DATE(YEAR(AsOfDate),MONTH(AL75),DAY(AL75))&lt;=AsOfDate,1,0),MONTH(AL75),DAY(AL75)))</f>
        <v/>
      </c>
      <c r="L75" s="15" t="str">
        <f aca="false">IF(AK75=0,"",ROUND((AsOfDate-AL75)/365.25,1))</f>
        <v/>
      </c>
      <c r="M75" s="16" t="str">
        <f aca="false">IF(AK75=0,"",IF(AsOfDate&lt;AL75,"-",DATEDIF(AL75,AsOfDate,"y")&amp;"y "&amp;DATEDIF(AL75,AsOfDate,"ym")&amp;"m "&amp;DATEDIF(AL75,AsOfDate,"md")&amp;"d"))</f>
        <v/>
      </c>
      <c r="N75" s="17" t="str">
        <f aca="false">IF(AK75=0,"",O75*HoursPerDay)</f>
        <v/>
      </c>
      <c r="O75" s="17" t="str">
        <f aca="false">IF(AK75=0,"",MAX(0,BD75-BQ75))</f>
        <v/>
      </c>
      <c r="P75" s="18"/>
      <c r="Q75" s="16" t="str">
        <f aca="false">IF(AK75=0,"",IF(AM75&lt;2,"",AQ75&amp;" to "&amp;AR75&amp;" on "&amp;TEXT(AO75,"dd/mm/yyyy")&amp;IF(AO75&gt;AsOfDate," (future)",IF(AT75=AU75,"",IF(AU75="None"," - STOPPED accruing",IF(AT75="None"," - commencement for Bonus Leave"," - pathway changed"))))&amp;IF(AM75&lt;3,"","; "&amp;AR75&amp;" to "&amp;AS75&amp;" on "&amp;TEXT(AP75,"dd/mm/yyyy")&amp;IF(AP75&gt;AsOfDate," (future)",IF(AU75=AV75,"",IF(AV75="None"," - STOPPED accruing",IF(AU75="None"," - commencement for Bonus Leave"," - pathway changed")))))))</f>
        <v/>
      </c>
      <c r="R75" s="16" t="str">
        <f aca="false">IF(AK75=0,"",IF(AW75="None",IF(O75&gt;0,"No longer accruing","Not eligible - "&amp;IF(AND(OR(ISNUMBER(SEARCH("part",$C75)),UPPER(TRIM($C75))="PT",UPPER(TRIM($C75))="PTE"),Apply2026="No"),"part-time (scheme is full-time only)",IF(AND(OR(ISNUMBER(SEARCH("part",$C75)),UPPER(TRIM($C75))="PT",UPPER(TRIM($C75))="PTE"),$P75&lt;&gt;"",N($P75)&lt;PT_MinHours),"under "&amp;PT_MinHours&amp;" hrs",IF(IF($C75="","",IF(OR(ISNUMBER(SEARCH("full",$C75)),UPPER(TRIM($C75))="FT",UPPER(TRIM($C75))="FTE"),"Full-Time",IF(OR(ISNUMBER(SEARCH("part",$C75)),UPPER(TRIM($C75))="PT",UPPER(TRIM($C75))="PTE"),"Part-Time",IF(OR(ISNUMBER(SEARCH("cas",$C75)),UPPER(TRIM($C75))="CAS"),"Casual","Unknown"))))="Unknown","type not recognised",$C75)))),IF(O75&gt;0,"Yes - Accrual Required","Not yet - from "&amp;TEXT(S75,"dd/mm/yyyy"))))</f>
        <v/>
      </c>
      <c r="S75" s="14" t="str">
        <f aca="false">IF(AK75=0,"",IF(AW75="None","",EDATE(AL75,BF75)))</f>
        <v/>
      </c>
      <c r="T75" s="17" t="str">
        <f aca="false">IF(AK75=0,"",IF(NOT(LH_Ready),"",IF($F75&gt;PFYDate,0,IF(LH_ColPeriod=0,W75-U75+V75,SUMIFS(INDEX(LH_Data,0,LH_ColAcc),INDEX(LH_Data,0,LH_ColFirst),$A75,INDEX(LH_Data,0,LH_ColSur),$B75,INDEX(LH_Data,0,LH_ColCat),BonusCat,INDEX(LH_Data,0,LH_ColPeriod),LH_OpenLabel)*UnitFactor))))</f>
        <v/>
      </c>
      <c r="U75" s="17" t="str">
        <f aca="false">IF(AK75=0,"",IF(NOT(LH_Ready),"",SUMIFS(INDEX(LH_Data,0,LH_ColAcc),INDEX(LH_Data,0,LH_ColFirst),$A75,INDEX(LH_Data,0,LH_ColSur),$B75,INDEX(LH_Data,0,LH_ColCat),BonusCat,INDEX(LH_Data,0,LH_ColStart),"&gt;="&amp;AL75)*UnitFactor))</f>
        <v/>
      </c>
      <c r="V75" s="17" t="str">
        <f aca="false">IF(AK75=0,"",IF(NOT(LH_Ready),"",SUMIFS(INDEX(LH_Data,0,LH_ColTaken),INDEX(LH_Data,0,LH_ColFirst),$A75,INDEX(LH_Data,0,LH_ColSur),$B75,INDEX(LH_Data,0,LH_ColCat),BonusCat,INDEX(LH_Data,0,LH_ColStart),"&gt;="&amp;AL75)*UnitFactor))</f>
        <v/>
      </c>
      <c r="W75" s="17" t="str">
        <f aca="false">IF(AK75=0,"",IF(NOT(LH_Ready),"",IF(BH75=0,0,INDEX(INDEX(LH_Data,0,LH_ColClose),BH75-1)*UnitFactor)))</f>
        <v/>
      </c>
      <c r="X75" s="17" t="str">
        <f aca="false">IF(AK75=0,"",(MAX(0,BD75-BQ75)-MAX(0,BE75-BQ75))*HoursPerDay)</f>
        <v/>
      </c>
      <c r="Y75" s="17" t="str">
        <f aca="false">IF(AK75=0,"",IF(NOT(LH_Ready),"",IF($AI75="Yes",N(AE75)*HoursPerDay-SUMIFS(INDEX(LH_Data,0,LH_ColAcc),INDEX(LH_Data,0,LH_ColFirst),$A75,INDEX(LH_Data,0,LH_ColSur),$B75,INDEX(LH_Data,0,LH_ColCat),BonusCat,INDEX(LH_Data,0,LH_ColStart),"&gt;="&amp;(EOMONTH(AsOfDate,-1)+1),INDEX(LH_Data,0,LH_ColStart),"&lt;="&amp;AsOfDate)*UnitFactor,IF(BG75=0,N75,N75-N(T75)-N(U75)))))</f>
        <v/>
      </c>
      <c r="Z75" s="16" t="str">
        <f aca="false">IF(OR(AK75=0,Y75=""),"",IF(Y75&gt;0,"Yes","No"))</f>
        <v/>
      </c>
      <c r="AA75" s="16" t="str">
        <f aca="false">IF(AK75=0,IF(LEN($A75&amp;$B75)=0,"","FIX INPUT - StartDate missing"),IF(AD75&lt;&gt;"","FIX INPUT - "&amp;AD75,IF(NOT(LH_Ready),"Paste Leave History export (Settings must show YES)",IF(AND($AI75="Yes",Y75&lt;=0),"OK - EH balance accepted to date"&amp;IF(N(AH75)&gt;0," (EH holds "&amp;AH75&amp;" hrs over the scheme)","")&amp;"; next day "&amp;TEXT(S75,"dd mmm yy")&amp;IF(N(AE75)&gt;0," ("&amp;AE75&amp;" day(s) for "&amp;UPPER(TEXT(AsOfDate,"mmm yyyy"))&amp;" already in EH)",""),IF(Y75&gt;0,"ACCRUE "&amp;ROUND(Y75,2)&amp;" hrs ("&amp;ROUND(Y75/HoursPerDay,2)&amp;" days): "&amp;IF(N(AE75)&gt;0,AE75&amp;" day(s) for "&amp;UPPER(TEXT(AsOfDate,"mmm yyyy"))&amp;" (milestone "&amp;UPPER(TEXT(AF75,"dd mmm yy"))&amp;")"&amp;IF(Y75/HoursPerDay&gt;AE75+0.001," + "&amp;ROUND(Y75/HoursPerDay-AE75,2)&amp;" day(s) catch-up from earlier months",""),"all catch-up from earlier months, nothing new this month")&amp;IF(BG75=0,"; no Bonus Leave in EH yet",""),IF(Y75&lt;0,"CHECK - EH accrued "&amp;ROUND(-Y75,2)&amp;" hrs more than policy since commencement",IF(N(W75)&gt;O75*HoursPerDay+0.01,"CHECK - EH balance "&amp;ROUND(W75-O75*HoursPerDay,2)&amp;" hrs more than policy entitlement",IF(O75&gt;0,"OK - nothing to add"&amp;IF(N(AE75)&gt;0," ("&amp;AE75&amp;" day(s) for "&amp;UPPER(TEXT(AsOfDate,"mmm yyyy"))&amp;" already in EH)",""),IF(AW75="None",R75,"Not yet - first day on "&amp;TEXT(S75,"dd/mm/yyyy"))))))))))</f>
        <v/>
      </c>
      <c r="AB75" s="17" t="str">
        <f aca="false">IF(OR(AK75=0,T75=""),"",MAX(0,BE75-BQ75)*HoursPerDay-T75)</f>
        <v/>
      </c>
      <c r="AC75" s="16" t="str">
        <f aca="false">IF(AK75=0,"",BG75)</f>
        <v/>
      </c>
      <c r="AD75" s="16" t="str">
        <f aca="false">IF(AK75=0,"",TRIM(IF(OR(ISTEXT($F75),ISTEXT($H75),ISTEXT($I75),ISTEXT($G75),ISTEXT($J75),ISTEXT($D75)),"A date is typed as text - retype it as dd/mm/yyyy. ","")&amp;IF(IF($C75="","",IF(OR(ISNUMBER(SEARCH("full",$C75)),UPPER(TRIM($C75))="FT",UPPER(TRIM($C75))="FTE"),"Full-Time",IF(OR(ISNUMBER(SEARCH("part",$C75)),UPPER(TRIM($C75))="PT",UPPER(TRIM($C75))="PTE"),"Part-Time",IF(OR(ISNUMBER(SEARCH("cas",$C75)),UPPER(TRIM($C75))="CAS"),"Casual","Unknown"))))="Unknown","EmploymentType not recognised - use Full-Time, Part-Time or Casual. ","")&amp;IF(AND(AM75&gt;=1,IF(AM75&gt;=3,AS75,IF(AM75=2,AR75,AQ75))&lt;&gt;IF($C75="","",IF(OR(ISNUMBER(SEARCH("full",$C75)),UPPER(TRIM($C75))="FT",UPPER(TRIM($C75))="FTE"),"Full-Time",IF(OR(ISNUMBER(SEARCH("part",$C75)),UPPER(TRIM($C75))="PT",UPPER(TRIM($C75))="PTE"),"Part-Time",IF(OR(ISNUMBER(SEARCH("cas",$C75)),UPPER(TRIM($C75))="CAS"),"Casual","Unknown"))))),"EmploymentType does not match latest start date ("&amp;IF(AM75&gt;=3,AS75,IF(AM75=2,AR75,AQ75))&amp;"). ","")&amp;IF(AND(AM75&gt;=1,AN75&lt;&gt;$F75),"Earliest type date should equal StartDate. ","")&amp;IF(AND(AM75&gt;=2,AN75=AO75),"Two types start on the same date. ","")&amp;IF(AND(OR(ISNUMBER(SEARCH("part",$C75)),UPPER(TRIM($C75))="PT",UPPER(TRIM($C75))="PTE"),$P75=""),"Part-time: enter PT Hrs/Week (blank = 24+). ","")))</f>
        <v/>
      </c>
      <c r="AE75" s="17" t="str">
        <f aca="false">IF(AK75=0,"",O75-MAX(0,BL75-BQ75))</f>
        <v/>
      </c>
      <c r="AF75" s="14" t="str">
        <f aca="false">IF(OR(AK75=0,AE75="",N(AE75)=0,BM75=""),"",EDATE(AL75,BM75))</f>
        <v/>
      </c>
      <c r="AG75" s="17" t="str">
        <f aca="false">IF(AK75=0,"",MIN(BD75,BQ75))</f>
        <v/>
      </c>
      <c r="AH75" s="17" t="str">
        <f aca="false">IF(AK75=0,"",IF(NOT(LH_Ready),"",IF(BG75=0,0,MAX(0,ROUND(N(T75)+N(U75)-N75,2)))))</f>
        <v/>
      </c>
      <c r="AI75" s="12"/>
      <c r="AJ75" s="12"/>
      <c r="AK75" s="16" t="n">
        <f aca="false">IF(OR(LEN($A75&amp;$B75)=0,$F75=""),0,1)</f>
        <v>0</v>
      </c>
      <c r="AL75" s="14" t="str">
        <f aca="false">IF(AK75=0,"",IF(PreSchemeCounts="No",MAX(SchemeStart,IF($J75&lt;&gt;"",$J75,IF(OR(CasualCounts="Yes",COUNT($G75:$I75)=0),$F75,IF(Apply2026="No",IF($I75="",$F75,$I75),IF(COUNT($H75:$I75)=0,$F75,MIN($H75:$I75)))))),IF($J75&lt;&gt;"",$J75,IF(OR(CasualCounts="Yes",COUNT($G75:$I75)=0),$F75,IF(Apply2026="No",IF($I75="",$F75,$I75),IF(COUNT($H75:$I75)=0,$F75,MIN($H75:$I75)))))))</f>
        <v/>
      </c>
      <c r="AM75" s="16" t="str">
        <f aca="false">IF(AK75=0,"",COUNT($G75:$I75))</f>
        <v/>
      </c>
      <c r="AN75" s="14" t="str">
        <f aca="false">IF(AK75=0,"",IFERROR(SMALL($G75:$I75,1),""))</f>
        <v/>
      </c>
      <c r="AO75" s="14" t="str">
        <f aca="false">IF(AK75=0,"",IFERROR(SMALL($G75:$I75,2),""))</f>
        <v/>
      </c>
      <c r="AP75" s="14" t="str">
        <f aca="false">IF(AK75=0,"",IFERROR(SMALL($G75:$I75,3),""))</f>
        <v/>
      </c>
      <c r="AQ75" s="16" t="str">
        <f aca="false">IF(AK75=0,"",IF(AN75="","",IF(AN75=$H75,"Part-Time",IF(AN75=$I75,"Full-Time","Casual"))))</f>
        <v/>
      </c>
      <c r="AR75" s="16" t="str">
        <f aca="false">IF(AK75=0,"",IF(AO75="","",IF(AO75=$H75,"Part-Time",IF(AO75=$I75,"Full-Time","Casual"))))</f>
        <v/>
      </c>
      <c r="AS75" s="16" t="str">
        <f aca="false">IF(AK75=0,"",IF(AP75="","",IF(AP75=$H75,"Part-Time",IF(AP75=$I75,"Full-Time","Casual"))))</f>
        <v/>
      </c>
      <c r="AT75" s="16" t="str">
        <f aca="false">IF(AK75=0,"",IF(AM75=0,IF(OR(ISNUMBER(SEARCH("full",$C75)),UPPER(TRIM($C75))="FT",UPPER(TRIM($C75))="FTE"),"FT",IF(AND(OR(ISNUMBER(SEARCH("part",$C75)),UPPER(TRIM($C75))="PT",UPPER(TRIM($C75))="PTE"),Apply2026="Yes",OR($P75="",N($P75)&gt;=PT_MinHours)),"PT","None")),IF(OR(ISNUMBER(SEARCH("full",AQ75)),UPPER(TRIM(AQ75))="FT",UPPER(TRIM(AQ75))="FTE"),"FT",IF(AND(OR(ISNUMBER(SEARCH("part",AQ75)),UPPER(TRIM(AQ75))="PT",UPPER(TRIM(AQ75))="PTE"),Apply2026="Yes",OR($P75="",N($P75)&gt;=PT_MinHours)),"PT","None"))))</f>
        <v/>
      </c>
      <c r="AU75" s="16" t="str">
        <f aca="false">IF(AK75=0,"",IF(AM75&lt;2,"",IF(OR(ISNUMBER(SEARCH("full",AR75)),UPPER(TRIM(AR75))="FT",UPPER(TRIM(AR75))="FTE"),"FT",IF(AND(OR(ISNUMBER(SEARCH("part",AR75)),UPPER(TRIM(AR75))="PT",UPPER(TRIM(AR75))="PTE"),Apply2026="Yes",OR($P75="",N($P75)&gt;=PT_MinHours)),"PT","None"))))</f>
        <v/>
      </c>
      <c r="AV75" s="16" t="str">
        <f aca="false">IF(AK75=0,"",IF(AM75&lt;3,"",IF(OR(ISNUMBER(SEARCH("full",AS75)),UPPER(TRIM(AS75))="FT",UPPER(TRIM(AS75))="FTE"),"FT",IF(AND(OR(ISNUMBER(SEARCH("part",AS75)),UPPER(TRIM(AS75))="PT",UPPER(TRIM(AS75))="PTE"),Apply2026="Yes",OR($P75="",N($P75)&gt;=PT_MinHours)),"PT","None"))))</f>
        <v/>
      </c>
      <c r="AW75" s="16" t="str">
        <f aca="false">IF(AK75=0,"",IF(AND(AM75&gt;=3,AP75&lt;=AsOfDate),AV75,IF(AND(AM75&gt;=2,AO75&lt;=AsOfDate),AU75,AT75)))</f>
        <v/>
      </c>
      <c r="AX75" s="16" t="str">
        <f aca="false">IF(AK75=0,"",IF(AsOfDate&lt;AL75,-1,12*(YEAR(AsOfDate)-YEAR(AL75))+MONTH(AsOfDate)-MONTH(AL75)-IF(DAY(AsOfDate)&lt;MIN(DAY(AL75),DAY(EOMONTH(AsOfDate,0))),1,0)))</f>
        <v/>
      </c>
      <c r="AY75" s="16" t="str">
        <f aca="false">IF(AK75=0,"",IF(OR(AM75&lt;2,AO75&gt;AsOfDate),AX75,IF((AO75-1)&lt;AL75,-1,12*(YEAR((AO75-1))-YEAR(AL75))+MONTH((AO75-1))-MONTH(AL75)-IF(DAY((AO75-1))&lt;MIN(DAY(AL75),DAY(EOMONTH((AO75-1),0))),1,0))))</f>
        <v/>
      </c>
      <c r="AZ75" s="16" t="str">
        <f aca="false">IF(AK75=0,"",IF(OR(AM75&lt;3,AP75&gt;AsOfDate),AX75,IF((AP75-1)&lt;AL75,-1,12*(YEAR((AP75-1))-YEAR(AL75))+MONTH((AP75-1))-MONTH(AL75)-IF(DAY((AP75-1))&lt;MIN(DAY(AL75),DAY(EOMONTH((AP75-1),0))),1,0))))</f>
        <v/>
      </c>
      <c r="BA75" s="16" t="str">
        <f aca="false">IF(AK75=0,"",IF(PFYDate&lt;AL75,-1,12*(YEAR(PFYDate)-YEAR(AL75))+MONTH(PFYDate)-MONTH(AL75)-IF(DAY(PFYDate)&lt;MIN(DAY(AL75),DAY(EOMONTH(PFYDate,0))),1,0)))</f>
        <v/>
      </c>
      <c r="BB75" s="16" t="str">
        <f aca="false">IF(AK75=0,"",IF(OR(AM75&lt;2,AO75&gt;PFYDate),BA75,IF((AO75-1)&lt;AL75,-1,12*(YEAR((AO75-1))-YEAR(AL75))+MONTH((AO75-1))-MONTH(AL75)-IF(DAY((AO75-1))&lt;MIN(DAY(AL75),DAY(EOMONTH((AO75-1),0))),1,0))))</f>
        <v/>
      </c>
      <c r="BC75" s="16" t="str">
        <f aca="false">IF(AK75=0,"",IF(OR(AM75&lt;3,AP75&gt;PFYDate),BA75,IF((AP75-1)&lt;AL75,-1,12*(YEAR((AP75-1))-YEAR(AL75))+MONTH((AP75-1))-MONTH(AL75)-IF(DAY((AP75-1))&lt;MIN(DAY(AL75),DAY(EOMONTH((AP75-1),0))),1,0))))</f>
        <v/>
      </c>
      <c r="BD75" s="16" t="str">
        <f aca="false">IF(AK75=0,"",IF(AT75="FT",IF(AY75&lt;FT_First,0,IF(AY75&lt;FT_Y5,1+INT((AY75-FT_First)/FT_Int1),FT_PreY5+FT_PerYear*INT((AY75-FT_Y5)/12)+FT_AnnivDays+INT(MOD(AY75-FT_Y5,12)/FT_Int2)-IF(EDATE(AL75,FT_Y5)&lt;PolicyEff,FT_AnnivDays-1,0))),IF(AT75="PT",IF(AY75&lt;PT_First,0,1+INT((AY75-PT_First)/PT_Int)),0))+IF(AND(AM75&gt;=2,AO75&lt;=AsOfDate),IF(AU75="FT",IF(AZ75&lt;FT_First,0,IF(AZ75&lt;FT_Y5,1+INT((AZ75-FT_First)/FT_Int1),FT_PreY5+FT_PerYear*INT((AZ75-FT_Y5)/12)+FT_AnnivDays+INT(MOD(AZ75-FT_Y5,12)/FT_Int2)-IF(EDATE(AL75,FT_Y5)&lt;PolicyEff,FT_AnnivDays-1,0))),IF(AU75="PT",IF(AZ75&lt;PT_First,0,1+INT((AZ75-PT_First)/PT_Int)),0))-IF(AU75="FT",IF(AY75&lt;FT_First,0,IF(AY75&lt;FT_Y5,1+INT((AY75-FT_First)/FT_Int1),FT_PreY5+FT_PerYear*INT((AY75-FT_Y5)/12)+FT_AnnivDays+INT(MOD(AY75-FT_Y5,12)/FT_Int2)-IF(EDATE(AL75,FT_Y5)&lt;PolicyEff,FT_AnnivDays-1,0))),IF(AU75="PT",IF(AY75&lt;PT_First,0,1+INT((AY75-PT_First)/PT_Int)),0)),0)+IF(AND(AM75&gt;=3,AP75&lt;=AsOfDate),IF(AV75="FT",IF(AX75&lt;FT_First,0,IF(AX75&lt;FT_Y5,1+INT((AX75-FT_First)/FT_Int1),FT_PreY5+FT_PerYear*INT((AX75-FT_Y5)/12)+FT_AnnivDays+INT(MOD(AX75-FT_Y5,12)/FT_Int2)-IF(EDATE(AL75,FT_Y5)&lt;PolicyEff,FT_AnnivDays-1,0))),IF(AV75="PT",IF(AX75&lt;PT_First,0,1+INT((AX75-PT_First)/PT_Int)),0))-IF(AV75="FT",IF(AZ75&lt;FT_First,0,IF(AZ75&lt;FT_Y5,1+INT((AZ75-FT_First)/FT_Int1),FT_PreY5+FT_PerYear*INT((AZ75-FT_Y5)/12)+FT_AnnivDays+INT(MOD(AZ75-FT_Y5,12)/FT_Int2)-IF(EDATE(AL75,FT_Y5)&lt;PolicyEff,FT_AnnivDays-1,0))),IF(AV75="PT",IF(AZ75&lt;PT_First,0,1+INT((AZ75-PT_First)/PT_Int)),0)),0))</f>
        <v/>
      </c>
      <c r="BE75" s="16" t="str">
        <f aca="false">IF(AK75=0,"",IF(AT75="FT",IF(BB75&lt;FT_First,0,IF(BB75&lt;FT_Y5,1+INT((BB75-FT_First)/FT_Int1),FT_PreY5+FT_PerYear*INT((BB75-FT_Y5)/12)+FT_AnnivDays+INT(MOD(BB75-FT_Y5,12)/FT_Int2)-IF(EDATE(AL75,FT_Y5)&lt;PolicyEff,FT_AnnivDays-1,0))),IF(AT75="PT",IF(BB75&lt;PT_First,0,1+INT((BB75-PT_First)/PT_Int)),0))+IF(AND(AM75&gt;=2,AO75&lt;=PFYDate),IF(AU75="FT",IF(BC75&lt;FT_First,0,IF(BC75&lt;FT_Y5,1+INT((BC75-FT_First)/FT_Int1),FT_PreY5+FT_PerYear*INT((BC75-FT_Y5)/12)+FT_AnnivDays+INT(MOD(BC75-FT_Y5,12)/FT_Int2)-IF(EDATE(AL75,FT_Y5)&lt;PolicyEff,FT_AnnivDays-1,0))),IF(AU75="PT",IF(BC75&lt;PT_First,0,1+INT((BC75-PT_First)/PT_Int)),0))-IF(AU75="FT",IF(BB75&lt;FT_First,0,IF(BB75&lt;FT_Y5,1+INT((BB75-FT_First)/FT_Int1),FT_PreY5+FT_PerYear*INT((BB75-FT_Y5)/12)+FT_AnnivDays+INT(MOD(BB75-FT_Y5,12)/FT_Int2)-IF(EDATE(AL75,FT_Y5)&lt;PolicyEff,FT_AnnivDays-1,0))),IF(AU75="PT",IF(BB75&lt;PT_First,0,1+INT((BB75-PT_First)/PT_Int)),0)),0)+IF(AND(AM75&gt;=3,AP75&lt;=PFYDate),IF(AV75="FT",IF(BA75&lt;FT_First,0,IF(BA75&lt;FT_Y5,1+INT((BA75-FT_First)/FT_Int1),FT_PreY5+FT_PerYear*INT((BA75-FT_Y5)/12)+FT_AnnivDays+INT(MOD(BA75-FT_Y5,12)/FT_Int2)-IF(EDATE(AL75,FT_Y5)&lt;PolicyEff,FT_AnnivDays-1,0))),IF(AV75="PT",IF(BA75&lt;PT_First,0,1+INT((BA75-PT_First)/PT_Int)),0))-IF(AV75="FT",IF(BC75&lt;FT_First,0,IF(BC75&lt;FT_Y5,1+INT((BC75-FT_First)/FT_Int1),FT_PreY5+FT_PerYear*INT((BC75-FT_Y5)/12)+FT_AnnivDays+INT(MOD(BC75-FT_Y5,12)/FT_Int2)-IF(EDATE(AL75,FT_Y5)&lt;PolicyEff,FT_AnnivDays-1,0))),IF(AV75="PT",IF(BC75&lt;PT_First,0,1+INT((BC75-PT_First)/PT_Int)),0)),0))</f>
        <v/>
      </c>
      <c r="BF75" s="16" t="str">
        <f aca="false">IF(AK75=0,"",IF(AW75="FT",IF(AX75&lt;FT_First,FT_First,IF(AX75&lt;FT_Y5,MIN(FT_Y5,FT_First+FT_Int1*(INT((AX75-FT_First)/FT_Int1)+1)),FT_Y5+12*INT((AX75-FT_Y5)/12)+FT_Int2*(INT(MOD(AX75-FT_Y5,12)/FT_Int2)+1))),IF(AW75="PT",IF(AX75&lt;PT_First,PT_First,PT_First+PT_Int*(INT((AX75-PT_First)/PT_Int)+1)),"")))</f>
        <v/>
      </c>
      <c r="BG75" s="16" t="str">
        <f aca="false">IF(AK75=0,"",IF(NOT(LH_Ready),0,COUNTIFS(INDEX(LH_Data,0,LH_ColFirst),$A75,INDEX(LH_Data,0,LH_ColSur),$B75,INDEX(LH_Data,0,LH_ColCat),BonusCat)))</f>
        <v/>
      </c>
      <c r="BH75" s="16" t="str">
        <f aca="false">IF(AK75=0,"",IF(OR(NOT(LH_Ready),BG75=0),0,SUMPRODUCT(MAX((INDEX(LH_Data,0,LH_ColFirst)=$A75)*(INDEX(LH_Data,0,LH_ColSur)=$B75)*(INDEX(LH_Data,0,LH_ColCat)=BonusCat)*ROW(LH_Data)))))</f>
        <v/>
      </c>
      <c r="BI75" s="16" t="str">
        <f aca="false">IF(AK75=0,"",IF(EOMONTH(AsOfDate,-1)&lt;AL75,-1,12*(YEAR(EOMONTH(AsOfDate,-1))-YEAR(AL75))+MONTH(EOMONTH(AsOfDate,-1))-MONTH(AL75)-IF(DAY(EOMONTH(AsOfDate,-1))&lt;MIN(DAY(AL75),DAY(EOMONTH(EOMONTH(AsOfDate,-1),0))),1,0)))</f>
        <v/>
      </c>
      <c r="BJ75" s="16" t="str">
        <f aca="false">IF(AK75=0,"",IF(OR(AM75&lt;2,AO75&gt;EOMONTH(AsOfDate,-1)),BI75,IF((AO75-1)&lt;AL75,-1,12*(YEAR((AO75-1))-YEAR(AL75))+MONTH((AO75-1))-MONTH(AL75)-IF(DAY((AO75-1))&lt;MIN(DAY(AL75),DAY(EOMONTH((AO75-1),0))),1,0))))</f>
        <v/>
      </c>
      <c r="BK75" s="16" t="str">
        <f aca="false">IF(AK75=0,"",IF(OR(AM75&lt;3,AP75&gt;EOMONTH(AsOfDate,-1)),BI75,IF((AP75-1)&lt;AL75,-1,12*(YEAR((AP75-1))-YEAR(AL75))+MONTH((AP75-1))-MONTH(AL75)-IF(DAY((AP75-1))&lt;MIN(DAY(AL75),DAY(EOMONTH((AP75-1),0))),1,0))))</f>
        <v/>
      </c>
      <c r="BL75" s="16" t="str">
        <f aca="false">IF(AK75=0,"",IF(AT75="FT",IF(BJ75&lt;FT_First,0,IF(BJ75&lt;FT_Y5,1+INT((BJ75-FT_First)/FT_Int1),FT_PreY5+FT_PerYear*INT((BJ75-FT_Y5)/12)+FT_AnnivDays+INT(MOD(BJ75-FT_Y5,12)/FT_Int2)-IF(EDATE(AL75,FT_Y5)&lt;PolicyEff,FT_AnnivDays-1,0))),IF(AT75="PT",IF(BJ75&lt;PT_First,0,1+INT((BJ75-PT_First)/PT_Int)),0))+IF(AND(AM75&gt;=2,AO75&lt;=EOMONTH(AsOfDate,-1)),IF(AU75="FT",IF(BK75&lt;FT_First,0,IF(BK75&lt;FT_Y5,1+INT((BK75-FT_First)/FT_Int1),FT_PreY5+FT_PerYear*INT((BK75-FT_Y5)/12)+FT_AnnivDays+INT(MOD(BK75-FT_Y5,12)/FT_Int2)-IF(EDATE(AL75,FT_Y5)&lt;PolicyEff,FT_AnnivDays-1,0))),IF(AU75="PT",IF(BK75&lt;PT_First,0,1+INT((BK75-PT_First)/PT_Int)),0))-IF(AU75="FT",IF(BJ75&lt;FT_First,0,IF(BJ75&lt;FT_Y5,1+INT((BJ75-FT_First)/FT_Int1),FT_PreY5+FT_PerYear*INT((BJ75-FT_Y5)/12)+FT_AnnivDays+INT(MOD(BJ75-FT_Y5,12)/FT_Int2)-IF(EDATE(AL75,FT_Y5)&lt;PolicyEff,FT_AnnivDays-1,0))),IF(AU75="PT",IF(BJ75&lt;PT_First,0,1+INT((BJ75-PT_First)/PT_Int)),0)),0)+IF(AND(AM75&gt;=3,AP75&lt;=EOMONTH(AsOfDate,-1)),IF(AV75="FT",IF(BI75&lt;FT_First,0,IF(BI75&lt;FT_Y5,1+INT((BI75-FT_First)/FT_Int1),FT_PreY5+FT_PerYear*INT((BI75-FT_Y5)/12)+FT_AnnivDays+INT(MOD(BI75-FT_Y5,12)/FT_Int2)-IF(EDATE(AL75,FT_Y5)&lt;PolicyEff,FT_AnnivDays-1,0))),IF(AV75="PT",IF(BI75&lt;PT_First,0,1+INT((BI75-PT_First)/PT_Int)),0))-IF(AV75="FT",IF(BK75&lt;FT_First,0,IF(BK75&lt;FT_Y5,1+INT((BK75-FT_First)/FT_Int1),FT_PreY5+FT_PerYear*INT((BK75-FT_Y5)/12)+FT_AnnivDays+INT(MOD(BK75-FT_Y5,12)/FT_Int2)-IF(EDATE(AL75,FT_Y5)&lt;PolicyEff,FT_AnnivDays-1,0))),IF(AV75="PT",IF(BK75&lt;PT_First,0,1+INT((BK75-PT_First)/PT_Int)),0)),0))</f>
        <v/>
      </c>
      <c r="BM75" s="16" t="str">
        <f aca="false">IF(AK75=0,"",IF(AW75="FT",IF(AX75&lt;FT_First,"",IF(AX75&lt;FT_Y5,FT_First+FT_Int1*INT((AX75-FT_First)/FT_Int1),FT_Y5+FT_Int2*INT((AX75-FT_Y5)/FT_Int2))),IF(AW75="PT",IF(AX75&lt;PT_First,"",PT_First+PT_Int*INT((AX75-PT_First)/PT_Int)),"")))</f>
        <v/>
      </c>
      <c r="BN75" s="16" t="str">
        <f aca="false">IF(AK75=0,"",IF((SchemeStart-1)&lt;AL75,-1,12*(YEAR((SchemeStart-1))-YEAR(AL75))+MONTH((SchemeStart-1))-MONTH(AL75)-IF(DAY((SchemeStart-1))&lt;MIN(DAY(AL75),DAY(EOMONTH((SchemeStart-1),0))),1,0)))</f>
        <v/>
      </c>
      <c r="BO75" s="16" t="str">
        <f aca="false">IF(AK75=0,"",IF(OR(AM75&lt;2,AO75&gt;(SchemeStart-1)),BN75,IF((AO75-1)&lt;AL75,-1,12*(YEAR((AO75-1))-YEAR(AL75))+MONTH((AO75-1))-MONTH(AL75)-IF(DAY((AO75-1))&lt;MIN(DAY(AL75),DAY(EOMONTH((AO75-1),0))),1,0))))</f>
        <v/>
      </c>
      <c r="BP75" s="16" t="str">
        <f aca="false">IF(AK75=0,"",IF(OR(AM75&lt;3,AP75&gt;(SchemeStart-1)),BN75,IF((AP75-1)&lt;AL75,-1,12*(YEAR((AP75-1))-YEAR(AL75))+MONTH((AP75-1))-MONTH(AL75)-IF(DAY((AP75-1))&lt;MIN(DAY(AL75),DAY(EOMONTH((AP75-1),0))),1,0))))</f>
        <v/>
      </c>
      <c r="BQ75" s="16" t="str">
        <f aca="false">IF(AK75=0,"",IF(AT75="FT",IF(BO75&lt;FT_First,0,IF(BO75&lt;FT_Y5,1+INT((BO75-FT_First)/FT_Int1),FT_PreY5+FT_PerYear*INT((BO75-FT_Y5)/12)+FT_AnnivDays+INT(MOD(BO75-FT_Y5,12)/FT_Int2)-IF(EDATE(AL75,FT_Y5)&lt;PolicyEff,FT_AnnivDays-1,0))),IF(AT75="PT",IF(BO75&lt;PT_First,0,1+INT((BO75-PT_First)/PT_Int)),0))+IF(AND(AM75&gt;=2,AO75&lt;=(SchemeStart-1)),IF(AU75="FT",IF(BP75&lt;FT_First,0,IF(BP75&lt;FT_Y5,1+INT((BP75-FT_First)/FT_Int1),FT_PreY5+FT_PerYear*INT((BP75-FT_Y5)/12)+FT_AnnivDays+INT(MOD(BP75-FT_Y5,12)/FT_Int2)-IF(EDATE(AL75,FT_Y5)&lt;PolicyEff,FT_AnnivDays-1,0))),IF(AU75="PT",IF(BP75&lt;PT_First,0,1+INT((BP75-PT_First)/PT_Int)),0))-IF(AU75="FT",IF(BO75&lt;FT_First,0,IF(BO75&lt;FT_Y5,1+INT((BO75-FT_First)/FT_Int1),FT_PreY5+FT_PerYear*INT((BO75-FT_Y5)/12)+FT_AnnivDays+INT(MOD(BO75-FT_Y5,12)/FT_Int2)-IF(EDATE(AL75,FT_Y5)&lt;PolicyEff,FT_AnnivDays-1,0))),IF(AU75="PT",IF(BO75&lt;PT_First,0,1+INT((BO75-PT_First)/PT_Int)),0)),0)+IF(AND(AM75&gt;=3,AP75&lt;=(SchemeStart-1)),IF(AV75="FT",IF(BN75&lt;FT_First,0,IF(BN75&lt;FT_Y5,1+INT((BN75-FT_First)/FT_Int1),FT_PreY5+FT_PerYear*INT((BN75-FT_Y5)/12)+FT_AnnivDays+INT(MOD(BN75-FT_Y5,12)/FT_Int2)-IF(EDATE(AL75,FT_Y5)&lt;PolicyEff,FT_AnnivDays-1,0))),IF(AV75="PT",IF(BN75&lt;PT_First,0,1+INT((BN75-PT_First)/PT_Int)),0))-IF(AV75="FT",IF(BP75&lt;FT_First,0,IF(BP75&lt;FT_Y5,1+INT((BP75-FT_First)/FT_Int1),FT_PreY5+FT_PerYear*INT((BP75-FT_Y5)/12)+FT_AnnivDays+INT(MOD(BP75-FT_Y5,12)/FT_Int2)-IF(EDATE(AL75,FT_Y5)&lt;PolicyEff,FT_AnnivDays-1,0))),IF(AV75="PT",IF(BP75&lt;PT_First,0,1+INT((BP75-PT_First)/PT_Int)),0)),0))</f>
        <v/>
      </c>
      <c r="BR75" s="0" t="str">
        <f aca="false">IF(LEN($A75&amp;$B75)=0,"",$A75&amp;" "&amp;$B75)</f>
        <v/>
      </c>
    </row>
    <row r="76" customFormat="false" ht="15" hidden="false" customHeight="false" outlineLevel="0" collapsed="false">
      <c r="A76" s="12"/>
      <c r="B76" s="12"/>
      <c r="C76" s="12"/>
      <c r="D76" s="13"/>
      <c r="E76" s="14" t="str">
        <f aca="false">IF(OR(AK76=0,$D76=""),"",DATE(YEAR(AsOfDate)+IF(DATE(YEAR(AsOfDate),MONTH($D76),DAY($D76))&lt;=AsOfDate,1,0),MONTH($D76),DAY($D76)))</f>
        <v/>
      </c>
      <c r="F76" s="13"/>
      <c r="G76" s="13"/>
      <c r="H76" s="13"/>
      <c r="I76" s="13"/>
      <c r="J76" s="13"/>
      <c r="K76" s="14" t="str">
        <f aca="false">IF(AK76=0,"",DATE(YEAR(AsOfDate)+IF(DATE(YEAR(AsOfDate),MONTH(AL76),DAY(AL76))&lt;=AsOfDate,1,0),MONTH(AL76),DAY(AL76)))</f>
        <v/>
      </c>
      <c r="L76" s="15" t="str">
        <f aca="false">IF(AK76=0,"",ROUND((AsOfDate-AL76)/365.25,1))</f>
        <v/>
      </c>
      <c r="M76" s="16" t="str">
        <f aca="false">IF(AK76=0,"",IF(AsOfDate&lt;AL76,"-",DATEDIF(AL76,AsOfDate,"y")&amp;"y "&amp;DATEDIF(AL76,AsOfDate,"ym")&amp;"m "&amp;DATEDIF(AL76,AsOfDate,"md")&amp;"d"))</f>
        <v/>
      </c>
      <c r="N76" s="17" t="str">
        <f aca="false">IF(AK76=0,"",O76*HoursPerDay)</f>
        <v/>
      </c>
      <c r="O76" s="17" t="str">
        <f aca="false">IF(AK76=0,"",MAX(0,BD76-BQ76))</f>
        <v/>
      </c>
      <c r="P76" s="18"/>
      <c r="Q76" s="16" t="str">
        <f aca="false">IF(AK76=0,"",IF(AM76&lt;2,"",AQ76&amp;" to "&amp;AR76&amp;" on "&amp;TEXT(AO76,"dd/mm/yyyy")&amp;IF(AO76&gt;AsOfDate," (future)",IF(AT76=AU76,"",IF(AU76="None"," - STOPPED accruing",IF(AT76="None"," - commencement for Bonus Leave"," - pathway changed"))))&amp;IF(AM76&lt;3,"","; "&amp;AR76&amp;" to "&amp;AS76&amp;" on "&amp;TEXT(AP76,"dd/mm/yyyy")&amp;IF(AP76&gt;AsOfDate," (future)",IF(AU76=AV76,"",IF(AV76="None"," - STOPPED accruing",IF(AU76="None"," - commencement for Bonus Leave"," - pathway changed")))))))</f>
        <v/>
      </c>
      <c r="R76" s="16" t="str">
        <f aca="false">IF(AK76=0,"",IF(AW76="None",IF(O76&gt;0,"No longer accruing","Not eligible - "&amp;IF(AND(OR(ISNUMBER(SEARCH("part",$C76)),UPPER(TRIM($C76))="PT",UPPER(TRIM($C76))="PTE"),Apply2026="No"),"part-time (scheme is full-time only)",IF(AND(OR(ISNUMBER(SEARCH("part",$C76)),UPPER(TRIM($C76))="PT",UPPER(TRIM($C76))="PTE"),$P76&lt;&gt;"",N($P76)&lt;PT_MinHours),"under "&amp;PT_MinHours&amp;" hrs",IF(IF($C76="","",IF(OR(ISNUMBER(SEARCH("full",$C76)),UPPER(TRIM($C76))="FT",UPPER(TRIM($C76))="FTE"),"Full-Time",IF(OR(ISNUMBER(SEARCH("part",$C76)),UPPER(TRIM($C76))="PT",UPPER(TRIM($C76))="PTE"),"Part-Time",IF(OR(ISNUMBER(SEARCH("cas",$C76)),UPPER(TRIM($C76))="CAS"),"Casual","Unknown"))))="Unknown","type not recognised",$C76)))),IF(O76&gt;0,"Yes - Accrual Required","Not yet - from "&amp;TEXT(S76,"dd/mm/yyyy"))))</f>
        <v/>
      </c>
      <c r="S76" s="14" t="str">
        <f aca="false">IF(AK76=0,"",IF(AW76="None","",EDATE(AL76,BF76)))</f>
        <v/>
      </c>
      <c r="T76" s="17" t="str">
        <f aca="false">IF(AK76=0,"",IF(NOT(LH_Ready),"",IF($F76&gt;PFYDate,0,IF(LH_ColPeriod=0,W76-U76+V76,SUMIFS(INDEX(LH_Data,0,LH_ColAcc),INDEX(LH_Data,0,LH_ColFirst),$A76,INDEX(LH_Data,0,LH_ColSur),$B76,INDEX(LH_Data,0,LH_ColCat),BonusCat,INDEX(LH_Data,0,LH_ColPeriod),LH_OpenLabel)*UnitFactor))))</f>
        <v/>
      </c>
      <c r="U76" s="17" t="str">
        <f aca="false">IF(AK76=0,"",IF(NOT(LH_Ready),"",SUMIFS(INDEX(LH_Data,0,LH_ColAcc),INDEX(LH_Data,0,LH_ColFirst),$A76,INDEX(LH_Data,0,LH_ColSur),$B76,INDEX(LH_Data,0,LH_ColCat),BonusCat,INDEX(LH_Data,0,LH_ColStart),"&gt;="&amp;AL76)*UnitFactor))</f>
        <v/>
      </c>
      <c r="V76" s="17" t="str">
        <f aca="false">IF(AK76=0,"",IF(NOT(LH_Ready),"",SUMIFS(INDEX(LH_Data,0,LH_ColTaken),INDEX(LH_Data,0,LH_ColFirst),$A76,INDEX(LH_Data,0,LH_ColSur),$B76,INDEX(LH_Data,0,LH_ColCat),BonusCat,INDEX(LH_Data,0,LH_ColStart),"&gt;="&amp;AL76)*UnitFactor))</f>
        <v/>
      </c>
      <c r="W76" s="17" t="str">
        <f aca="false">IF(AK76=0,"",IF(NOT(LH_Ready),"",IF(BH76=0,0,INDEX(INDEX(LH_Data,0,LH_ColClose),BH76-1)*UnitFactor)))</f>
        <v/>
      </c>
      <c r="X76" s="17" t="str">
        <f aca="false">IF(AK76=0,"",(MAX(0,BD76-BQ76)-MAX(0,BE76-BQ76))*HoursPerDay)</f>
        <v/>
      </c>
      <c r="Y76" s="17" t="str">
        <f aca="false">IF(AK76=0,"",IF(NOT(LH_Ready),"",IF($AI76="Yes",N(AE76)*HoursPerDay-SUMIFS(INDEX(LH_Data,0,LH_ColAcc),INDEX(LH_Data,0,LH_ColFirst),$A76,INDEX(LH_Data,0,LH_ColSur),$B76,INDEX(LH_Data,0,LH_ColCat),BonusCat,INDEX(LH_Data,0,LH_ColStart),"&gt;="&amp;(EOMONTH(AsOfDate,-1)+1),INDEX(LH_Data,0,LH_ColStart),"&lt;="&amp;AsOfDate)*UnitFactor,IF(BG76=0,N76,N76-N(T76)-N(U76)))))</f>
        <v/>
      </c>
      <c r="Z76" s="16" t="str">
        <f aca="false">IF(OR(AK76=0,Y76=""),"",IF(Y76&gt;0,"Yes","No"))</f>
        <v/>
      </c>
      <c r="AA76" s="16" t="str">
        <f aca="false">IF(AK76=0,IF(LEN($A76&amp;$B76)=0,"","FIX INPUT - StartDate missing"),IF(AD76&lt;&gt;"","FIX INPUT - "&amp;AD76,IF(NOT(LH_Ready),"Paste Leave History export (Settings must show YES)",IF(AND($AI76="Yes",Y76&lt;=0),"OK - EH balance accepted to date"&amp;IF(N(AH76)&gt;0," (EH holds "&amp;AH76&amp;" hrs over the scheme)","")&amp;"; next day "&amp;TEXT(S76,"dd mmm yy")&amp;IF(N(AE76)&gt;0," ("&amp;AE76&amp;" day(s) for "&amp;UPPER(TEXT(AsOfDate,"mmm yyyy"))&amp;" already in EH)",""),IF(Y76&gt;0,"ACCRUE "&amp;ROUND(Y76,2)&amp;" hrs ("&amp;ROUND(Y76/HoursPerDay,2)&amp;" days): "&amp;IF(N(AE76)&gt;0,AE76&amp;" day(s) for "&amp;UPPER(TEXT(AsOfDate,"mmm yyyy"))&amp;" (milestone "&amp;UPPER(TEXT(AF76,"dd mmm yy"))&amp;")"&amp;IF(Y76/HoursPerDay&gt;AE76+0.001," + "&amp;ROUND(Y76/HoursPerDay-AE76,2)&amp;" day(s) catch-up from earlier months",""),"all catch-up from earlier months, nothing new this month")&amp;IF(BG76=0,"; no Bonus Leave in EH yet",""),IF(Y76&lt;0,"CHECK - EH accrued "&amp;ROUND(-Y76,2)&amp;" hrs more than policy since commencement",IF(N(W76)&gt;O76*HoursPerDay+0.01,"CHECK - EH balance "&amp;ROUND(W76-O76*HoursPerDay,2)&amp;" hrs more than policy entitlement",IF(O76&gt;0,"OK - nothing to add"&amp;IF(N(AE76)&gt;0," ("&amp;AE76&amp;" day(s) for "&amp;UPPER(TEXT(AsOfDate,"mmm yyyy"))&amp;" already in EH)",""),IF(AW76="None",R76,"Not yet - first day on "&amp;TEXT(S76,"dd/mm/yyyy"))))))))))</f>
        <v/>
      </c>
      <c r="AB76" s="17" t="str">
        <f aca="false">IF(OR(AK76=0,T76=""),"",MAX(0,BE76-BQ76)*HoursPerDay-T76)</f>
        <v/>
      </c>
      <c r="AC76" s="16" t="str">
        <f aca="false">IF(AK76=0,"",BG76)</f>
        <v/>
      </c>
      <c r="AD76" s="16" t="str">
        <f aca="false">IF(AK76=0,"",TRIM(IF(OR(ISTEXT($F76),ISTEXT($H76),ISTEXT($I76),ISTEXT($G76),ISTEXT($J76),ISTEXT($D76)),"A date is typed as text - retype it as dd/mm/yyyy. ","")&amp;IF(IF($C76="","",IF(OR(ISNUMBER(SEARCH("full",$C76)),UPPER(TRIM($C76))="FT",UPPER(TRIM($C76))="FTE"),"Full-Time",IF(OR(ISNUMBER(SEARCH("part",$C76)),UPPER(TRIM($C76))="PT",UPPER(TRIM($C76))="PTE"),"Part-Time",IF(OR(ISNUMBER(SEARCH("cas",$C76)),UPPER(TRIM($C76))="CAS"),"Casual","Unknown"))))="Unknown","EmploymentType not recognised - use Full-Time, Part-Time or Casual. ","")&amp;IF(AND(AM76&gt;=1,IF(AM76&gt;=3,AS76,IF(AM76=2,AR76,AQ76))&lt;&gt;IF($C76="","",IF(OR(ISNUMBER(SEARCH("full",$C76)),UPPER(TRIM($C76))="FT",UPPER(TRIM($C76))="FTE"),"Full-Time",IF(OR(ISNUMBER(SEARCH("part",$C76)),UPPER(TRIM($C76))="PT",UPPER(TRIM($C76))="PTE"),"Part-Time",IF(OR(ISNUMBER(SEARCH("cas",$C76)),UPPER(TRIM($C76))="CAS"),"Casual","Unknown"))))),"EmploymentType does not match latest start date ("&amp;IF(AM76&gt;=3,AS76,IF(AM76=2,AR76,AQ76))&amp;"). ","")&amp;IF(AND(AM76&gt;=1,AN76&lt;&gt;$F76),"Earliest type date should equal StartDate. ","")&amp;IF(AND(AM76&gt;=2,AN76=AO76),"Two types start on the same date. ","")&amp;IF(AND(OR(ISNUMBER(SEARCH("part",$C76)),UPPER(TRIM($C76))="PT",UPPER(TRIM($C76))="PTE"),$P76=""),"Part-time: enter PT Hrs/Week (blank = 24+). ","")))</f>
        <v/>
      </c>
      <c r="AE76" s="17" t="str">
        <f aca="false">IF(AK76=0,"",O76-MAX(0,BL76-BQ76))</f>
        <v/>
      </c>
      <c r="AF76" s="14" t="str">
        <f aca="false">IF(OR(AK76=0,AE76="",N(AE76)=0,BM76=""),"",EDATE(AL76,BM76))</f>
        <v/>
      </c>
      <c r="AG76" s="17" t="str">
        <f aca="false">IF(AK76=0,"",MIN(BD76,BQ76))</f>
        <v/>
      </c>
      <c r="AH76" s="17" t="str">
        <f aca="false">IF(AK76=0,"",IF(NOT(LH_Ready),"",IF(BG76=0,0,MAX(0,ROUND(N(T76)+N(U76)-N76,2)))))</f>
        <v/>
      </c>
      <c r="AI76" s="12"/>
      <c r="AJ76" s="12"/>
      <c r="AK76" s="16" t="n">
        <f aca="false">IF(OR(LEN($A76&amp;$B76)=0,$F76=""),0,1)</f>
        <v>0</v>
      </c>
      <c r="AL76" s="14" t="str">
        <f aca="false">IF(AK76=0,"",IF(PreSchemeCounts="No",MAX(SchemeStart,IF($J76&lt;&gt;"",$J76,IF(OR(CasualCounts="Yes",COUNT($G76:$I76)=0),$F76,IF(Apply2026="No",IF($I76="",$F76,$I76),IF(COUNT($H76:$I76)=0,$F76,MIN($H76:$I76)))))),IF($J76&lt;&gt;"",$J76,IF(OR(CasualCounts="Yes",COUNT($G76:$I76)=0),$F76,IF(Apply2026="No",IF($I76="",$F76,$I76),IF(COUNT($H76:$I76)=0,$F76,MIN($H76:$I76)))))))</f>
        <v/>
      </c>
      <c r="AM76" s="16" t="str">
        <f aca="false">IF(AK76=0,"",COUNT($G76:$I76))</f>
        <v/>
      </c>
      <c r="AN76" s="14" t="str">
        <f aca="false">IF(AK76=0,"",IFERROR(SMALL($G76:$I76,1),""))</f>
        <v/>
      </c>
      <c r="AO76" s="14" t="str">
        <f aca="false">IF(AK76=0,"",IFERROR(SMALL($G76:$I76,2),""))</f>
        <v/>
      </c>
      <c r="AP76" s="14" t="str">
        <f aca="false">IF(AK76=0,"",IFERROR(SMALL($G76:$I76,3),""))</f>
        <v/>
      </c>
      <c r="AQ76" s="16" t="str">
        <f aca="false">IF(AK76=0,"",IF(AN76="","",IF(AN76=$H76,"Part-Time",IF(AN76=$I76,"Full-Time","Casual"))))</f>
        <v/>
      </c>
      <c r="AR76" s="16" t="str">
        <f aca="false">IF(AK76=0,"",IF(AO76="","",IF(AO76=$H76,"Part-Time",IF(AO76=$I76,"Full-Time","Casual"))))</f>
        <v/>
      </c>
      <c r="AS76" s="16" t="str">
        <f aca="false">IF(AK76=0,"",IF(AP76="","",IF(AP76=$H76,"Part-Time",IF(AP76=$I76,"Full-Time","Casual"))))</f>
        <v/>
      </c>
      <c r="AT76" s="16" t="str">
        <f aca="false">IF(AK76=0,"",IF(AM76=0,IF(OR(ISNUMBER(SEARCH("full",$C76)),UPPER(TRIM($C76))="FT",UPPER(TRIM($C76))="FTE"),"FT",IF(AND(OR(ISNUMBER(SEARCH("part",$C76)),UPPER(TRIM($C76))="PT",UPPER(TRIM($C76))="PTE"),Apply2026="Yes",OR($P76="",N($P76)&gt;=PT_MinHours)),"PT","None")),IF(OR(ISNUMBER(SEARCH("full",AQ76)),UPPER(TRIM(AQ76))="FT",UPPER(TRIM(AQ76))="FTE"),"FT",IF(AND(OR(ISNUMBER(SEARCH("part",AQ76)),UPPER(TRIM(AQ76))="PT",UPPER(TRIM(AQ76))="PTE"),Apply2026="Yes",OR($P76="",N($P76)&gt;=PT_MinHours)),"PT","None"))))</f>
        <v/>
      </c>
      <c r="AU76" s="16" t="str">
        <f aca="false">IF(AK76=0,"",IF(AM76&lt;2,"",IF(OR(ISNUMBER(SEARCH("full",AR76)),UPPER(TRIM(AR76))="FT",UPPER(TRIM(AR76))="FTE"),"FT",IF(AND(OR(ISNUMBER(SEARCH("part",AR76)),UPPER(TRIM(AR76))="PT",UPPER(TRIM(AR76))="PTE"),Apply2026="Yes",OR($P76="",N($P76)&gt;=PT_MinHours)),"PT","None"))))</f>
        <v/>
      </c>
      <c r="AV76" s="16" t="str">
        <f aca="false">IF(AK76=0,"",IF(AM76&lt;3,"",IF(OR(ISNUMBER(SEARCH("full",AS76)),UPPER(TRIM(AS76))="FT",UPPER(TRIM(AS76))="FTE"),"FT",IF(AND(OR(ISNUMBER(SEARCH("part",AS76)),UPPER(TRIM(AS76))="PT",UPPER(TRIM(AS76))="PTE"),Apply2026="Yes",OR($P76="",N($P76)&gt;=PT_MinHours)),"PT","None"))))</f>
        <v/>
      </c>
      <c r="AW76" s="16" t="str">
        <f aca="false">IF(AK76=0,"",IF(AND(AM76&gt;=3,AP76&lt;=AsOfDate),AV76,IF(AND(AM76&gt;=2,AO76&lt;=AsOfDate),AU76,AT76)))</f>
        <v/>
      </c>
      <c r="AX76" s="16" t="str">
        <f aca="false">IF(AK76=0,"",IF(AsOfDate&lt;AL76,-1,12*(YEAR(AsOfDate)-YEAR(AL76))+MONTH(AsOfDate)-MONTH(AL76)-IF(DAY(AsOfDate)&lt;MIN(DAY(AL76),DAY(EOMONTH(AsOfDate,0))),1,0)))</f>
        <v/>
      </c>
      <c r="AY76" s="16" t="str">
        <f aca="false">IF(AK76=0,"",IF(OR(AM76&lt;2,AO76&gt;AsOfDate),AX76,IF((AO76-1)&lt;AL76,-1,12*(YEAR((AO76-1))-YEAR(AL76))+MONTH((AO76-1))-MONTH(AL76)-IF(DAY((AO76-1))&lt;MIN(DAY(AL76),DAY(EOMONTH((AO76-1),0))),1,0))))</f>
        <v/>
      </c>
      <c r="AZ76" s="16" t="str">
        <f aca="false">IF(AK76=0,"",IF(OR(AM76&lt;3,AP76&gt;AsOfDate),AX76,IF((AP76-1)&lt;AL76,-1,12*(YEAR((AP76-1))-YEAR(AL76))+MONTH((AP76-1))-MONTH(AL76)-IF(DAY((AP76-1))&lt;MIN(DAY(AL76),DAY(EOMONTH((AP76-1),0))),1,0))))</f>
        <v/>
      </c>
      <c r="BA76" s="16" t="str">
        <f aca="false">IF(AK76=0,"",IF(PFYDate&lt;AL76,-1,12*(YEAR(PFYDate)-YEAR(AL76))+MONTH(PFYDate)-MONTH(AL76)-IF(DAY(PFYDate)&lt;MIN(DAY(AL76),DAY(EOMONTH(PFYDate,0))),1,0)))</f>
        <v/>
      </c>
      <c r="BB76" s="16" t="str">
        <f aca="false">IF(AK76=0,"",IF(OR(AM76&lt;2,AO76&gt;PFYDate),BA76,IF((AO76-1)&lt;AL76,-1,12*(YEAR((AO76-1))-YEAR(AL76))+MONTH((AO76-1))-MONTH(AL76)-IF(DAY((AO76-1))&lt;MIN(DAY(AL76),DAY(EOMONTH((AO76-1),0))),1,0))))</f>
        <v/>
      </c>
      <c r="BC76" s="16" t="str">
        <f aca="false">IF(AK76=0,"",IF(OR(AM76&lt;3,AP76&gt;PFYDate),BA76,IF((AP76-1)&lt;AL76,-1,12*(YEAR((AP76-1))-YEAR(AL76))+MONTH((AP76-1))-MONTH(AL76)-IF(DAY((AP76-1))&lt;MIN(DAY(AL76),DAY(EOMONTH((AP76-1),0))),1,0))))</f>
        <v/>
      </c>
      <c r="BD76" s="16" t="str">
        <f aca="false">IF(AK76=0,"",IF(AT76="FT",IF(AY76&lt;FT_First,0,IF(AY76&lt;FT_Y5,1+INT((AY76-FT_First)/FT_Int1),FT_PreY5+FT_PerYear*INT((AY76-FT_Y5)/12)+FT_AnnivDays+INT(MOD(AY76-FT_Y5,12)/FT_Int2)-IF(EDATE(AL76,FT_Y5)&lt;PolicyEff,FT_AnnivDays-1,0))),IF(AT76="PT",IF(AY76&lt;PT_First,0,1+INT((AY76-PT_First)/PT_Int)),0))+IF(AND(AM76&gt;=2,AO76&lt;=AsOfDate),IF(AU76="FT",IF(AZ76&lt;FT_First,0,IF(AZ76&lt;FT_Y5,1+INT((AZ76-FT_First)/FT_Int1),FT_PreY5+FT_PerYear*INT((AZ76-FT_Y5)/12)+FT_AnnivDays+INT(MOD(AZ76-FT_Y5,12)/FT_Int2)-IF(EDATE(AL76,FT_Y5)&lt;PolicyEff,FT_AnnivDays-1,0))),IF(AU76="PT",IF(AZ76&lt;PT_First,0,1+INT((AZ76-PT_First)/PT_Int)),0))-IF(AU76="FT",IF(AY76&lt;FT_First,0,IF(AY76&lt;FT_Y5,1+INT((AY76-FT_First)/FT_Int1),FT_PreY5+FT_PerYear*INT((AY76-FT_Y5)/12)+FT_AnnivDays+INT(MOD(AY76-FT_Y5,12)/FT_Int2)-IF(EDATE(AL76,FT_Y5)&lt;PolicyEff,FT_AnnivDays-1,0))),IF(AU76="PT",IF(AY76&lt;PT_First,0,1+INT((AY76-PT_First)/PT_Int)),0)),0)+IF(AND(AM76&gt;=3,AP76&lt;=AsOfDate),IF(AV76="FT",IF(AX76&lt;FT_First,0,IF(AX76&lt;FT_Y5,1+INT((AX76-FT_First)/FT_Int1),FT_PreY5+FT_PerYear*INT((AX76-FT_Y5)/12)+FT_AnnivDays+INT(MOD(AX76-FT_Y5,12)/FT_Int2)-IF(EDATE(AL76,FT_Y5)&lt;PolicyEff,FT_AnnivDays-1,0))),IF(AV76="PT",IF(AX76&lt;PT_First,0,1+INT((AX76-PT_First)/PT_Int)),0))-IF(AV76="FT",IF(AZ76&lt;FT_First,0,IF(AZ76&lt;FT_Y5,1+INT((AZ76-FT_First)/FT_Int1),FT_PreY5+FT_PerYear*INT((AZ76-FT_Y5)/12)+FT_AnnivDays+INT(MOD(AZ76-FT_Y5,12)/FT_Int2)-IF(EDATE(AL76,FT_Y5)&lt;PolicyEff,FT_AnnivDays-1,0))),IF(AV76="PT",IF(AZ76&lt;PT_First,0,1+INT((AZ76-PT_First)/PT_Int)),0)),0))</f>
        <v/>
      </c>
      <c r="BE76" s="16" t="str">
        <f aca="false">IF(AK76=0,"",IF(AT76="FT",IF(BB76&lt;FT_First,0,IF(BB76&lt;FT_Y5,1+INT((BB76-FT_First)/FT_Int1),FT_PreY5+FT_PerYear*INT((BB76-FT_Y5)/12)+FT_AnnivDays+INT(MOD(BB76-FT_Y5,12)/FT_Int2)-IF(EDATE(AL76,FT_Y5)&lt;PolicyEff,FT_AnnivDays-1,0))),IF(AT76="PT",IF(BB76&lt;PT_First,0,1+INT((BB76-PT_First)/PT_Int)),0))+IF(AND(AM76&gt;=2,AO76&lt;=PFYDate),IF(AU76="FT",IF(BC76&lt;FT_First,0,IF(BC76&lt;FT_Y5,1+INT((BC76-FT_First)/FT_Int1),FT_PreY5+FT_PerYear*INT((BC76-FT_Y5)/12)+FT_AnnivDays+INT(MOD(BC76-FT_Y5,12)/FT_Int2)-IF(EDATE(AL76,FT_Y5)&lt;PolicyEff,FT_AnnivDays-1,0))),IF(AU76="PT",IF(BC76&lt;PT_First,0,1+INT((BC76-PT_First)/PT_Int)),0))-IF(AU76="FT",IF(BB76&lt;FT_First,0,IF(BB76&lt;FT_Y5,1+INT((BB76-FT_First)/FT_Int1),FT_PreY5+FT_PerYear*INT((BB76-FT_Y5)/12)+FT_AnnivDays+INT(MOD(BB76-FT_Y5,12)/FT_Int2)-IF(EDATE(AL76,FT_Y5)&lt;PolicyEff,FT_AnnivDays-1,0))),IF(AU76="PT",IF(BB76&lt;PT_First,0,1+INT((BB76-PT_First)/PT_Int)),0)),0)+IF(AND(AM76&gt;=3,AP76&lt;=PFYDate),IF(AV76="FT",IF(BA76&lt;FT_First,0,IF(BA76&lt;FT_Y5,1+INT((BA76-FT_First)/FT_Int1),FT_PreY5+FT_PerYear*INT((BA76-FT_Y5)/12)+FT_AnnivDays+INT(MOD(BA76-FT_Y5,12)/FT_Int2)-IF(EDATE(AL76,FT_Y5)&lt;PolicyEff,FT_AnnivDays-1,0))),IF(AV76="PT",IF(BA76&lt;PT_First,0,1+INT((BA76-PT_First)/PT_Int)),0))-IF(AV76="FT",IF(BC76&lt;FT_First,0,IF(BC76&lt;FT_Y5,1+INT((BC76-FT_First)/FT_Int1),FT_PreY5+FT_PerYear*INT((BC76-FT_Y5)/12)+FT_AnnivDays+INT(MOD(BC76-FT_Y5,12)/FT_Int2)-IF(EDATE(AL76,FT_Y5)&lt;PolicyEff,FT_AnnivDays-1,0))),IF(AV76="PT",IF(BC76&lt;PT_First,0,1+INT((BC76-PT_First)/PT_Int)),0)),0))</f>
        <v/>
      </c>
      <c r="BF76" s="16" t="str">
        <f aca="false">IF(AK76=0,"",IF(AW76="FT",IF(AX76&lt;FT_First,FT_First,IF(AX76&lt;FT_Y5,MIN(FT_Y5,FT_First+FT_Int1*(INT((AX76-FT_First)/FT_Int1)+1)),FT_Y5+12*INT((AX76-FT_Y5)/12)+FT_Int2*(INT(MOD(AX76-FT_Y5,12)/FT_Int2)+1))),IF(AW76="PT",IF(AX76&lt;PT_First,PT_First,PT_First+PT_Int*(INT((AX76-PT_First)/PT_Int)+1)),"")))</f>
        <v/>
      </c>
      <c r="BG76" s="16" t="str">
        <f aca="false">IF(AK76=0,"",IF(NOT(LH_Ready),0,COUNTIFS(INDEX(LH_Data,0,LH_ColFirst),$A76,INDEX(LH_Data,0,LH_ColSur),$B76,INDEX(LH_Data,0,LH_ColCat),BonusCat)))</f>
        <v/>
      </c>
      <c r="BH76" s="16" t="str">
        <f aca="false">IF(AK76=0,"",IF(OR(NOT(LH_Ready),BG76=0),0,SUMPRODUCT(MAX((INDEX(LH_Data,0,LH_ColFirst)=$A76)*(INDEX(LH_Data,0,LH_ColSur)=$B76)*(INDEX(LH_Data,0,LH_ColCat)=BonusCat)*ROW(LH_Data)))))</f>
        <v/>
      </c>
      <c r="BI76" s="16" t="str">
        <f aca="false">IF(AK76=0,"",IF(EOMONTH(AsOfDate,-1)&lt;AL76,-1,12*(YEAR(EOMONTH(AsOfDate,-1))-YEAR(AL76))+MONTH(EOMONTH(AsOfDate,-1))-MONTH(AL76)-IF(DAY(EOMONTH(AsOfDate,-1))&lt;MIN(DAY(AL76),DAY(EOMONTH(EOMONTH(AsOfDate,-1),0))),1,0)))</f>
        <v/>
      </c>
      <c r="BJ76" s="16" t="str">
        <f aca="false">IF(AK76=0,"",IF(OR(AM76&lt;2,AO76&gt;EOMONTH(AsOfDate,-1)),BI76,IF((AO76-1)&lt;AL76,-1,12*(YEAR((AO76-1))-YEAR(AL76))+MONTH((AO76-1))-MONTH(AL76)-IF(DAY((AO76-1))&lt;MIN(DAY(AL76),DAY(EOMONTH((AO76-1),0))),1,0))))</f>
        <v/>
      </c>
      <c r="BK76" s="16" t="str">
        <f aca="false">IF(AK76=0,"",IF(OR(AM76&lt;3,AP76&gt;EOMONTH(AsOfDate,-1)),BI76,IF((AP76-1)&lt;AL76,-1,12*(YEAR((AP76-1))-YEAR(AL76))+MONTH((AP76-1))-MONTH(AL76)-IF(DAY((AP76-1))&lt;MIN(DAY(AL76),DAY(EOMONTH((AP76-1),0))),1,0))))</f>
        <v/>
      </c>
      <c r="BL76" s="16" t="str">
        <f aca="false">IF(AK76=0,"",IF(AT76="FT",IF(BJ76&lt;FT_First,0,IF(BJ76&lt;FT_Y5,1+INT((BJ76-FT_First)/FT_Int1),FT_PreY5+FT_PerYear*INT((BJ76-FT_Y5)/12)+FT_AnnivDays+INT(MOD(BJ76-FT_Y5,12)/FT_Int2)-IF(EDATE(AL76,FT_Y5)&lt;PolicyEff,FT_AnnivDays-1,0))),IF(AT76="PT",IF(BJ76&lt;PT_First,0,1+INT((BJ76-PT_First)/PT_Int)),0))+IF(AND(AM76&gt;=2,AO76&lt;=EOMONTH(AsOfDate,-1)),IF(AU76="FT",IF(BK76&lt;FT_First,0,IF(BK76&lt;FT_Y5,1+INT((BK76-FT_First)/FT_Int1),FT_PreY5+FT_PerYear*INT((BK76-FT_Y5)/12)+FT_AnnivDays+INT(MOD(BK76-FT_Y5,12)/FT_Int2)-IF(EDATE(AL76,FT_Y5)&lt;PolicyEff,FT_AnnivDays-1,0))),IF(AU76="PT",IF(BK76&lt;PT_First,0,1+INT((BK76-PT_First)/PT_Int)),0))-IF(AU76="FT",IF(BJ76&lt;FT_First,0,IF(BJ76&lt;FT_Y5,1+INT((BJ76-FT_First)/FT_Int1),FT_PreY5+FT_PerYear*INT((BJ76-FT_Y5)/12)+FT_AnnivDays+INT(MOD(BJ76-FT_Y5,12)/FT_Int2)-IF(EDATE(AL76,FT_Y5)&lt;PolicyEff,FT_AnnivDays-1,0))),IF(AU76="PT",IF(BJ76&lt;PT_First,0,1+INT((BJ76-PT_First)/PT_Int)),0)),0)+IF(AND(AM76&gt;=3,AP76&lt;=EOMONTH(AsOfDate,-1)),IF(AV76="FT",IF(BI76&lt;FT_First,0,IF(BI76&lt;FT_Y5,1+INT((BI76-FT_First)/FT_Int1),FT_PreY5+FT_PerYear*INT((BI76-FT_Y5)/12)+FT_AnnivDays+INT(MOD(BI76-FT_Y5,12)/FT_Int2)-IF(EDATE(AL76,FT_Y5)&lt;PolicyEff,FT_AnnivDays-1,0))),IF(AV76="PT",IF(BI76&lt;PT_First,0,1+INT((BI76-PT_First)/PT_Int)),0))-IF(AV76="FT",IF(BK76&lt;FT_First,0,IF(BK76&lt;FT_Y5,1+INT((BK76-FT_First)/FT_Int1),FT_PreY5+FT_PerYear*INT((BK76-FT_Y5)/12)+FT_AnnivDays+INT(MOD(BK76-FT_Y5,12)/FT_Int2)-IF(EDATE(AL76,FT_Y5)&lt;PolicyEff,FT_AnnivDays-1,0))),IF(AV76="PT",IF(BK76&lt;PT_First,0,1+INT((BK76-PT_First)/PT_Int)),0)),0))</f>
        <v/>
      </c>
      <c r="BM76" s="16" t="str">
        <f aca="false">IF(AK76=0,"",IF(AW76="FT",IF(AX76&lt;FT_First,"",IF(AX76&lt;FT_Y5,FT_First+FT_Int1*INT((AX76-FT_First)/FT_Int1),FT_Y5+FT_Int2*INT((AX76-FT_Y5)/FT_Int2))),IF(AW76="PT",IF(AX76&lt;PT_First,"",PT_First+PT_Int*INT((AX76-PT_First)/PT_Int)),"")))</f>
        <v/>
      </c>
      <c r="BN76" s="16" t="str">
        <f aca="false">IF(AK76=0,"",IF((SchemeStart-1)&lt;AL76,-1,12*(YEAR((SchemeStart-1))-YEAR(AL76))+MONTH((SchemeStart-1))-MONTH(AL76)-IF(DAY((SchemeStart-1))&lt;MIN(DAY(AL76),DAY(EOMONTH((SchemeStart-1),0))),1,0)))</f>
        <v/>
      </c>
      <c r="BO76" s="16" t="str">
        <f aca="false">IF(AK76=0,"",IF(OR(AM76&lt;2,AO76&gt;(SchemeStart-1)),BN76,IF((AO76-1)&lt;AL76,-1,12*(YEAR((AO76-1))-YEAR(AL76))+MONTH((AO76-1))-MONTH(AL76)-IF(DAY((AO76-1))&lt;MIN(DAY(AL76),DAY(EOMONTH((AO76-1),0))),1,0))))</f>
        <v/>
      </c>
      <c r="BP76" s="16" t="str">
        <f aca="false">IF(AK76=0,"",IF(OR(AM76&lt;3,AP76&gt;(SchemeStart-1)),BN76,IF((AP76-1)&lt;AL76,-1,12*(YEAR((AP76-1))-YEAR(AL76))+MONTH((AP76-1))-MONTH(AL76)-IF(DAY((AP76-1))&lt;MIN(DAY(AL76),DAY(EOMONTH((AP76-1),0))),1,0))))</f>
        <v/>
      </c>
      <c r="BQ76" s="16" t="str">
        <f aca="false">IF(AK76=0,"",IF(AT76="FT",IF(BO76&lt;FT_First,0,IF(BO76&lt;FT_Y5,1+INT((BO76-FT_First)/FT_Int1),FT_PreY5+FT_PerYear*INT((BO76-FT_Y5)/12)+FT_AnnivDays+INT(MOD(BO76-FT_Y5,12)/FT_Int2)-IF(EDATE(AL76,FT_Y5)&lt;PolicyEff,FT_AnnivDays-1,0))),IF(AT76="PT",IF(BO76&lt;PT_First,0,1+INT((BO76-PT_First)/PT_Int)),0))+IF(AND(AM76&gt;=2,AO76&lt;=(SchemeStart-1)),IF(AU76="FT",IF(BP76&lt;FT_First,0,IF(BP76&lt;FT_Y5,1+INT((BP76-FT_First)/FT_Int1),FT_PreY5+FT_PerYear*INT((BP76-FT_Y5)/12)+FT_AnnivDays+INT(MOD(BP76-FT_Y5,12)/FT_Int2)-IF(EDATE(AL76,FT_Y5)&lt;PolicyEff,FT_AnnivDays-1,0))),IF(AU76="PT",IF(BP76&lt;PT_First,0,1+INT((BP76-PT_First)/PT_Int)),0))-IF(AU76="FT",IF(BO76&lt;FT_First,0,IF(BO76&lt;FT_Y5,1+INT((BO76-FT_First)/FT_Int1),FT_PreY5+FT_PerYear*INT((BO76-FT_Y5)/12)+FT_AnnivDays+INT(MOD(BO76-FT_Y5,12)/FT_Int2)-IF(EDATE(AL76,FT_Y5)&lt;PolicyEff,FT_AnnivDays-1,0))),IF(AU76="PT",IF(BO76&lt;PT_First,0,1+INT((BO76-PT_First)/PT_Int)),0)),0)+IF(AND(AM76&gt;=3,AP76&lt;=(SchemeStart-1)),IF(AV76="FT",IF(BN76&lt;FT_First,0,IF(BN76&lt;FT_Y5,1+INT((BN76-FT_First)/FT_Int1),FT_PreY5+FT_PerYear*INT((BN76-FT_Y5)/12)+FT_AnnivDays+INT(MOD(BN76-FT_Y5,12)/FT_Int2)-IF(EDATE(AL76,FT_Y5)&lt;PolicyEff,FT_AnnivDays-1,0))),IF(AV76="PT",IF(BN76&lt;PT_First,0,1+INT((BN76-PT_First)/PT_Int)),0))-IF(AV76="FT",IF(BP76&lt;FT_First,0,IF(BP76&lt;FT_Y5,1+INT((BP76-FT_First)/FT_Int1),FT_PreY5+FT_PerYear*INT((BP76-FT_Y5)/12)+FT_AnnivDays+INT(MOD(BP76-FT_Y5,12)/FT_Int2)-IF(EDATE(AL76,FT_Y5)&lt;PolicyEff,FT_AnnivDays-1,0))),IF(AV76="PT",IF(BP76&lt;PT_First,0,1+INT((BP76-PT_First)/PT_Int)),0)),0))</f>
        <v/>
      </c>
      <c r="BR76" s="0" t="str">
        <f aca="false">IF(LEN($A76&amp;$B76)=0,"",$A76&amp;" "&amp;$B76)</f>
        <v/>
      </c>
    </row>
    <row r="77" customFormat="false" ht="15" hidden="false" customHeight="false" outlineLevel="0" collapsed="false">
      <c r="A77" s="12"/>
      <c r="B77" s="12"/>
      <c r="C77" s="12"/>
      <c r="D77" s="13"/>
      <c r="E77" s="14" t="str">
        <f aca="false">IF(OR(AK77=0,$D77=""),"",DATE(YEAR(AsOfDate)+IF(DATE(YEAR(AsOfDate),MONTH($D77),DAY($D77))&lt;=AsOfDate,1,0),MONTH($D77),DAY($D77)))</f>
        <v/>
      </c>
      <c r="F77" s="13"/>
      <c r="G77" s="13"/>
      <c r="H77" s="13"/>
      <c r="I77" s="13"/>
      <c r="J77" s="13"/>
      <c r="K77" s="14" t="str">
        <f aca="false">IF(AK77=0,"",DATE(YEAR(AsOfDate)+IF(DATE(YEAR(AsOfDate),MONTH(AL77),DAY(AL77))&lt;=AsOfDate,1,0),MONTH(AL77),DAY(AL77)))</f>
        <v/>
      </c>
      <c r="L77" s="15" t="str">
        <f aca="false">IF(AK77=0,"",ROUND((AsOfDate-AL77)/365.25,1))</f>
        <v/>
      </c>
      <c r="M77" s="16" t="str">
        <f aca="false">IF(AK77=0,"",IF(AsOfDate&lt;AL77,"-",DATEDIF(AL77,AsOfDate,"y")&amp;"y "&amp;DATEDIF(AL77,AsOfDate,"ym")&amp;"m "&amp;DATEDIF(AL77,AsOfDate,"md")&amp;"d"))</f>
        <v/>
      </c>
      <c r="N77" s="17" t="str">
        <f aca="false">IF(AK77=0,"",O77*HoursPerDay)</f>
        <v/>
      </c>
      <c r="O77" s="17" t="str">
        <f aca="false">IF(AK77=0,"",MAX(0,BD77-BQ77))</f>
        <v/>
      </c>
      <c r="P77" s="18"/>
      <c r="Q77" s="16" t="str">
        <f aca="false">IF(AK77=0,"",IF(AM77&lt;2,"",AQ77&amp;" to "&amp;AR77&amp;" on "&amp;TEXT(AO77,"dd/mm/yyyy")&amp;IF(AO77&gt;AsOfDate," (future)",IF(AT77=AU77,"",IF(AU77="None"," - STOPPED accruing",IF(AT77="None"," - commencement for Bonus Leave"," - pathway changed"))))&amp;IF(AM77&lt;3,"","; "&amp;AR77&amp;" to "&amp;AS77&amp;" on "&amp;TEXT(AP77,"dd/mm/yyyy")&amp;IF(AP77&gt;AsOfDate," (future)",IF(AU77=AV77,"",IF(AV77="None"," - STOPPED accruing",IF(AU77="None"," - commencement for Bonus Leave"," - pathway changed")))))))</f>
        <v/>
      </c>
      <c r="R77" s="16" t="str">
        <f aca="false">IF(AK77=0,"",IF(AW77="None",IF(O77&gt;0,"No longer accruing","Not eligible - "&amp;IF(AND(OR(ISNUMBER(SEARCH("part",$C77)),UPPER(TRIM($C77))="PT",UPPER(TRIM($C77))="PTE"),Apply2026="No"),"part-time (scheme is full-time only)",IF(AND(OR(ISNUMBER(SEARCH("part",$C77)),UPPER(TRIM($C77))="PT",UPPER(TRIM($C77))="PTE"),$P77&lt;&gt;"",N($P77)&lt;PT_MinHours),"under "&amp;PT_MinHours&amp;" hrs",IF(IF($C77="","",IF(OR(ISNUMBER(SEARCH("full",$C77)),UPPER(TRIM($C77))="FT",UPPER(TRIM($C77))="FTE"),"Full-Time",IF(OR(ISNUMBER(SEARCH("part",$C77)),UPPER(TRIM($C77))="PT",UPPER(TRIM($C77))="PTE"),"Part-Time",IF(OR(ISNUMBER(SEARCH("cas",$C77)),UPPER(TRIM($C77))="CAS"),"Casual","Unknown"))))="Unknown","type not recognised",$C77)))),IF(O77&gt;0,"Yes - Accrual Required","Not yet - from "&amp;TEXT(S77,"dd/mm/yyyy"))))</f>
        <v/>
      </c>
      <c r="S77" s="14" t="str">
        <f aca="false">IF(AK77=0,"",IF(AW77="None","",EDATE(AL77,BF77)))</f>
        <v/>
      </c>
      <c r="T77" s="17" t="str">
        <f aca="false">IF(AK77=0,"",IF(NOT(LH_Ready),"",IF($F77&gt;PFYDate,0,IF(LH_ColPeriod=0,W77-U77+V77,SUMIFS(INDEX(LH_Data,0,LH_ColAcc),INDEX(LH_Data,0,LH_ColFirst),$A77,INDEX(LH_Data,0,LH_ColSur),$B77,INDEX(LH_Data,0,LH_ColCat),BonusCat,INDEX(LH_Data,0,LH_ColPeriod),LH_OpenLabel)*UnitFactor))))</f>
        <v/>
      </c>
      <c r="U77" s="17" t="str">
        <f aca="false">IF(AK77=0,"",IF(NOT(LH_Ready),"",SUMIFS(INDEX(LH_Data,0,LH_ColAcc),INDEX(LH_Data,0,LH_ColFirst),$A77,INDEX(LH_Data,0,LH_ColSur),$B77,INDEX(LH_Data,0,LH_ColCat),BonusCat,INDEX(LH_Data,0,LH_ColStart),"&gt;="&amp;AL77)*UnitFactor))</f>
        <v/>
      </c>
      <c r="V77" s="17" t="str">
        <f aca="false">IF(AK77=0,"",IF(NOT(LH_Ready),"",SUMIFS(INDEX(LH_Data,0,LH_ColTaken),INDEX(LH_Data,0,LH_ColFirst),$A77,INDEX(LH_Data,0,LH_ColSur),$B77,INDEX(LH_Data,0,LH_ColCat),BonusCat,INDEX(LH_Data,0,LH_ColStart),"&gt;="&amp;AL77)*UnitFactor))</f>
        <v/>
      </c>
      <c r="W77" s="17" t="str">
        <f aca="false">IF(AK77=0,"",IF(NOT(LH_Ready),"",IF(BH77=0,0,INDEX(INDEX(LH_Data,0,LH_ColClose),BH77-1)*UnitFactor)))</f>
        <v/>
      </c>
      <c r="X77" s="17" t="str">
        <f aca="false">IF(AK77=0,"",(MAX(0,BD77-BQ77)-MAX(0,BE77-BQ77))*HoursPerDay)</f>
        <v/>
      </c>
      <c r="Y77" s="17" t="str">
        <f aca="false">IF(AK77=0,"",IF(NOT(LH_Ready),"",IF($AI77="Yes",N(AE77)*HoursPerDay-SUMIFS(INDEX(LH_Data,0,LH_ColAcc),INDEX(LH_Data,0,LH_ColFirst),$A77,INDEX(LH_Data,0,LH_ColSur),$B77,INDEX(LH_Data,0,LH_ColCat),BonusCat,INDEX(LH_Data,0,LH_ColStart),"&gt;="&amp;(EOMONTH(AsOfDate,-1)+1),INDEX(LH_Data,0,LH_ColStart),"&lt;="&amp;AsOfDate)*UnitFactor,IF(BG77=0,N77,N77-N(T77)-N(U77)))))</f>
        <v/>
      </c>
      <c r="Z77" s="16" t="str">
        <f aca="false">IF(OR(AK77=0,Y77=""),"",IF(Y77&gt;0,"Yes","No"))</f>
        <v/>
      </c>
      <c r="AA77" s="16" t="str">
        <f aca="false">IF(AK77=0,IF(LEN($A77&amp;$B77)=0,"","FIX INPUT - StartDate missing"),IF(AD77&lt;&gt;"","FIX INPUT - "&amp;AD77,IF(NOT(LH_Ready),"Paste Leave History export (Settings must show YES)",IF(AND($AI77="Yes",Y77&lt;=0),"OK - EH balance accepted to date"&amp;IF(N(AH77)&gt;0," (EH holds "&amp;AH77&amp;" hrs over the scheme)","")&amp;"; next day "&amp;TEXT(S77,"dd mmm yy")&amp;IF(N(AE77)&gt;0," ("&amp;AE77&amp;" day(s) for "&amp;UPPER(TEXT(AsOfDate,"mmm yyyy"))&amp;" already in EH)",""),IF(Y77&gt;0,"ACCRUE "&amp;ROUND(Y77,2)&amp;" hrs ("&amp;ROUND(Y77/HoursPerDay,2)&amp;" days): "&amp;IF(N(AE77)&gt;0,AE77&amp;" day(s) for "&amp;UPPER(TEXT(AsOfDate,"mmm yyyy"))&amp;" (milestone "&amp;UPPER(TEXT(AF77,"dd mmm yy"))&amp;")"&amp;IF(Y77/HoursPerDay&gt;AE77+0.001," + "&amp;ROUND(Y77/HoursPerDay-AE77,2)&amp;" day(s) catch-up from earlier months",""),"all catch-up from earlier months, nothing new this month")&amp;IF(BG77=0,"; no Bonus Leave in EH yet",""),IF(Y77&lt;0,"CHECK - EH accrued "&amp;ROUND(-Y77,2)&amp;" hrs more than policy since commencement",IF(N(W77)&gt;O77*HoursPerDay+0.01,"CHECK - EH balance "&amp;ROUND(W77-O77*HoursPerDay,2)&amp;" hrs more than policy entitlement",IF(O77&gt;0,"OK - nothing to add"&amp;IF(N(AE77)&gt;0," ("&amp;AE77&amp;" day(s) for "&amp;UPPER(TEXT(AsOfDate,"mmm yyyy"))&amp;" already in EH)",""),IF(AW77="None",R77,"Not yet - first day on "&amp;TEXT(S77,"dd/mm/yyyy"))))))))))</f>
        <v/>
      </c>
      <c r="AB77" s="17" t="str">
        <f aca="false">IF(OR(AK77=0,T77=""),"",MAX(0,BE77-BQ77)*HoursPerDay-T77)</f>
        <v/>
      </c>
      <c r="AC77" s="16" t="str">
        <f aca="false">IF(AK77=0,"",BG77)</f>
        <v/>
      </c>
      <c r="AD77" s="16" t="str">
        <f aca="false">IF(AK77=0,"",TRIM(IF(OR(ISTEXT($F77),ISTEXT($H77),ISTEXT($I77),ISTEXT($G77),ISTEXT($J77),ISTEXT($D77)),"A date is typed as text - retype it as dd/mm/yyyy. ","")&amp;IF(IF($C77="","",IF(OR(ISNUMBER(SEARCH("full",$C77)),UPPER(TRIM($C77))="FT",UPPER(TRIM($C77))="FTE"),"Full-Time",IF(OR(ISNUMBER(SEARCH("part",$C77)),UPPER(TRIM($C77))="PT",UPPER(TRIM($C77))="PTE"),"Part-Time",IF(OR(ISNUMBER(SEARCH("cas",$C77)),UPPER(TRIM($C77))="CAS"),"Casual","Unknown"))))="Unknown","EmploymentType not recognised - use Full-Time, Part-Time or Casual. ","")&amp;IF(AND(AM77&gt;=1,IF(AM77&gt;=3,AS77,IF(AM77=2,AR77,AQ77))&lt;&gt;IF($C77="","",IF(OR(ISNUMBER(SEARCH("full",$C77)),UPPER(TRIM($C77))="FT",UPPER(TRIM($C77))="FTE"),"Full-Time",IF(OR(ISNUMBER(SEARCH("part",$C77)),UPPER(TRIM($C77))="PT",UPPER(TRIM($C77))="PTE"),"Part-Time",IF(OR(ISNUMBER(SEARCH("cas",$C77)),UPPER(TRIM($C77))="CAS"),"Casual","Unknown"))))),"EmploymentType does not match latest start date ("&amp;IF(AM77&gt;=3,AS77,IF(AM77=2,AR77,AQ77))&amp;"). ","")&amp;IF(AND(AM77&gt;=1,AN77&lt;&gt;$F77),"Earliest type date should equal StartDate. ","")&amp;IF(AND(AM77&gt;=2,AN77=AO77),"Two types start on the same date. ","")&amp;IF(AND(OR(ISNUMBER(SEARCH("part",$C77)),UPPER(TRIM($C77))="PT",UPPER(TRIM($C77))="PTE"),$P77=""),"Part-time: enter PT Hrs/Week (blank = 24+). ","")))</f>
        <v/>
      </c>
      <c r="AE77" s="17" t="str">
        <f aca="false">IF(AK77=0,"",O77-MAX(0,BL77-BQ77))</f>
        <v/>
      </c>
      <c r="AF77" s="14" t="str">
        <f aca="false">IF(OR(AK77=0,AE77="",N(AE77)=0,BM77=""),"",EDATE(AL77,BM77))</f>
        <v/>
      </c>
      <c r="AG77" s="17" t="str">
        <f aca="false">IF(AK77=0,"",MIN(BD77,BQ77))</f>
        <v/>
      </c>
      <c r="AH77" s="17" t="str">
        <f aca="false">IF(AK77=0,"",IF(NOT(LH_Ready),"",IF(BG77=0,0,MAX(0,ROUND(N(T77)+N(U77)-N77,2)))))</f>
        <v/>
      </c>
      <c r="AI77" s="12"/>
      <c r="AJ77" s="12"/>
      <c r="AK77" s="16" t="n">
        <f aca="false">IF(OR(LEN($A77&amp;$B77)=0,$F77=""),0,1)</f>
        <v>0</v>
      </c>
      <c r="AL77" s="14" t="str">
        <f aca="false">IF(AK77=0,"",IF(PreSchemeCounts="No",MAX(SchemeStart,IF($J77&lt;&gt;"",$J77,IF(OR(CasualCounts="Yes",COUNT($G77:$I77)=0),$F77,IF(Apply2026="No",IF($I77="",$F77,$I77),IF(COUNT($H77:$I77)=0,$F77,MIN($H77:$I77)))))),IF($J77&lt;&gt;"",$J77,IF(OR(CasualCounts="Yes",COUNT($G77:$I77)=0),$F77,IF(Apply2026="No",IF($I77="",$F77,$I77),IF(COUNT($H77:$I77)=0,$F77,MIN($H77:$I77)))))))</f>
        <v/>
      </c>
      <c r="AM77" s="16" t="str">
        <f aca="false">IF(AK77=0,"",COUNT($G77:$I77))</f>
        <v/>
      </c>
      <c r="AN77" s="14" t="str">
        <f aca="false">IF(AK77=0,"",IFERROR(SMALL($G77:$I77,1),""))</f>
        <v/>
      </c>
      <c r="AO77" s="14" t="str">
        <f aca="false">IF(AK77=0,"",IFERROR(SMALL($G77:$I77,2),""))</f>
        <v/>
      </c>
      <c r="AP77" s="14" t="str">
        <f aca="false">IF(AK77=0,"",IFERROR(SMALL($G77:$I77,3),""))</f>
        <v/>
      </c>
      <c r="AQ77" s="16" t="str">
        <f aca="false">IF(AK77=0,"",IF(AN77="","",IF(AN77=$H77,"Part-Time",IF(AN77=$I77,"Full-Time","Casual"))))</f>
        <v/>
      </c>
      <c r="AR77" s="16" t="str">
        <f aca="false">IF(AK77=0,"",IF(AO77="","",IF(AO77=$H77,"Part-Time",IF(AO77=$I77,"Full-Time","Casual"))))</f>
        <v/>
      </c>
      <c r="AS77" s="16" t="str">
        <f aca="false">IF(AK77=0,"",IF(AP77="","",IF(AP77=$H77,"Part-Time",IF(AP77=$I77,"Full-Time","Casual"))))</f>
        <v/>
      </c>
      <c r="AT77" s="16" t="str">
        <f aca="false">IF(AK77=0,"",IF(AM77=0,IF(OR(ISNUMBER(SEARCH("full",$C77)),UPPER(TRIM($C77))="FT",UPPER(TRIM($C77))="FTE"),"FT",IF(AND(OR(ISNUMBER(SEARCH("part",$C77)),UPPER(TRIM($C77))="PT",UPPER(TRIM($C77))="PTE"),Apply2026="Yes",OR($P77="",N($P77)&gt;=PT_MinHours)),"PT","None")),IF(OR(ISNUMBER(SEARCH("full",AQ77)),UPPER(TRIM(AQ77))="FT",UPPER(TRIM(AQ77))="FTE"),"FT",IF(AND(OR(ISNUMBER(SEARCH("part",AQ77)),UPPER(TRIM(AQ77))="PT",UPPER(TRIM(AQ77))="PTE"),Apply2026="Yes",OR($P77="",N($P77)&gt;=PT_MinHours)),"PT","None"))))</f>
        <v/>
      </c>
      <c r="AU77" s="16" t="str">
        <f aca="false">IF(AK77=0,"",IF(AM77&lt;2,"",IF(OR(ISNUMBER(SEARCH("full",AR77)),UPPER(TRIM(AR77))="FT",UPPER(TRIM(AR77))="FTE"),"FT",IF(AND(OR(ISNUMBER(SEARCH("part",AR77)),UPPER(TRIM(AR77))="PT",UPPER(TRIM(AR77))="PTE"),Apply2026="Yes",OR($P77="",N($P77)&gt;=PT_MinHours)),"PT","None"))))</f>
        <v/>
      </c>
      <c r="AV77" s="16" t="str">
        <f aca="false">IF(AK77=0,"",IF(AM77&lt;3,"",IF(OR(ISNUMBER(SEARCH("full",AS77)),UPPER(TRIM(AS77))="FT",UPPER(TRIM(AS77))="FTE"),"FT",IF(AND(OR(ISNUMBER(SEARCH("part",AS77)),UPPER(TRIM(AS77))="PT",UPPER(TRIM(AS77))="PTE"),Apply2026="Yes",OR($P77="",N($P77)&gt;=PT_MinHours)),"PT","None"))))</f>
        <v/>
      </c>
      <c r="AW77" s="16" t="str">
        <f aca="false">IF(AK77=0,"",IF(AND(AM77&gt;=3,AP77&lt;=AsOfDate),AV77,IF(AND(AM77&gt;=2,AO77&lt;=AsOfDate),AU77,AT77)))</f>
        <v/>
      </c>
      <c r="AX77" s="16" t="str">
        <f aca="false">IF(AK77=0,"",IF(AsOfDate&lt;AL77,-1,12*(YEAR(AsOfDate)-YEAR(AL77))+MONTH(AsOfDate)-MONTH(AL77)-IF(DAY(AsOfDate)&lt;MIN(DAY(AL77),DAY(EOMONTH(AsOfDate,0))),1,0)))</f>
        <v/>
      </c>
      <c r="AY77" s="16" t="str">
        <f aca="false">IF(AK77=0,"",IF(OR(AM77&lt;2,AO77&gt;AsOfDate),AX77,IF((AO77-1)&lt;AL77,-1,12*(YEAR((AO77-1))-YEAR(AL77))+MONTH((AO77-1))-MONTH(AL77)-IF(DAY((AO77-1))&lt;MIN(DAY(AL77),DAY(EOMONTH((AO77-1),0))),1,0))))</f>
        <v/>
      </c>
      <c r="AZ77" s="16" t="str">
        <f aca="false">IF(AK77=0,"",IF(OR(AM77&lt;3,AP77&gt;AsOfDate),AX77,IF((AP77-1)&lt;AL77,-1,12*(YEAR((AP77-1))-YEAR(AL77))+MONTH((AP77-1))-MONTH(AL77)-IF(DAY((AP77-1))&lt;MIN(DAY(AL77),DAY(EOMONTH((AP77-1),0))),1,0))))</f>
        <v/>
      </c>
      <c r="BA77" s="16" t="str">
        <f aca="false">IF(AK77=0,"",IF(PFYDate&lt;AL77,-1,12*(YEAR(PFYDate)-YEAR(AL77))+MONTH(PFYDate)-MONTH(AL77)-IF(DAY(PFYDate)&lt;MIN(DAY(AL77),DAY(EOMONTH(PFYDate,0))),1,0)))</f>
        <v/>
      </c>
      <c r="BB77" s="16" t="str">
        <f aca="false">IF(AK77=0,"",IF(OR(AM77&lt;2,AO77&gt;PFYDate),BA77,IF((AO77-1)&lt;AL77,-1,12*(YEAR((AO77-1))-YEAR(AL77))+MONTH((AO77-1))-MONTH(AL77)-IF(DAY((AO77-1))&lt;MIN(DAY(AL77),DAY(EOMONTH((AO77-1),0))),1,0))))</f>
        <v/>
      </c>
      <c r="BC77" s="16" t="str">
        <f aca="false">IF(AK77=0,"",IF(OR(AM77&lt;3,AP77&gt;PFYDate),BA77,IF((AP77-1)&lt;AL77,-1,12*(YEAR((AP77-1))-YEAR(AL77))+MONTH((AP77-1))-MONTH(AL77)-IF(DAY((AP77-1))&lt;MIN(DAY(AL77),DAY(EOMONTH((AP77-1),0))),1,0))))</f>
        <v/>
      </c>
      <c r="BD77" s="16" t="str">
        <f aca="false">IF(AK77=0,"",IF(AT77="FT",IF(AY77&lt;FT_First,0,IF(AY77&lt;FT_Y5,1+INT((AY77-FT_First)/FT_Int1),FT_PreY5+FT_PerYear*INT((AY77-FT_Y5)/12)+FT_AnnivDays+INT(MOD(AY77-FT_Y5,12)/FT_Int2)-IF(EDATE(AL77,FT_Y5)&lt;PolicyEff,FT_AnnivDays-1,0))),IF(AT77="PT",IF(AY77&lt;PT_First,0,1+INT((AY77-PT_First)/PT_Int)),0))+IF(AND(AM77&gt;=2,AO77&lt;=AsOfDate),IF(AU77="FT",IF(AZ77&lt;FT_First,0,IF(AZ77&lt;FT_Y5,1+INT((AZ77-FT_First)/FT_Int1),FT_PreY5+FT_PerYear*INT((AZ77-FT_Y5)/12)+FT_AnnivDays+INT(MOD(AZ77-FT_Y5,12)/FT_Int2)-IF(EDATE(AL77,FT_Y5)&lt;PolicyEff,FT_AnnivDays-1,0))),IF(AU77="PT",IF(AZ77&lt;PT_First,0,1+INT((AZ77-PT_First)/PT_Int)),0))-IF(AU77="FT",IF(AY77&lt;FT_First,0,IF(AY77&lt;FT_Y5,1+INT((AY77-FT_First)/FT_Int1),FT_PreY5+FT_PerYear*INT((AY77-FT_Y5)/12)+FT_AnnivDays+INT(MOD(AY77-FT_Y5,12)/FT_Int2)-IF(EDATE(AL77,FT_Y5)&lt;PolicyEff,FT_AnnivDays-1,0))),IF(AU77="PT",IF(AY77&lt;PT_First,0,1+INT((AY77-PT_First)/PT_Int)),0)),0)+IF(AND(AM77&gt;=3,AP77&lt;=AsOfDate),IF(AV77="FT",IF(AX77&lt;FT_First,0,IF(AX77&lt;FT_Y5,1+INT((AX77-FT_First)/FT_Int1),FT_PreY5+FT_PerYear*INT((AX77-FT_Y5)/12)+FT_AnnivDays+INT(MOD(AX77-FT_Y5,12)/FT_Int2)-IF(EDATE(AL77,FT_Y5)&lt;PolicyEff,FT_AnnivDays-1,0))),IF(AV77="PT",IF(AX77&lt;PT_First,0,1+INT((AX77-PT_First)/PT_Int)),0))-IF(AV77="FT",IF(AZ77&lt;FT_First,0,IF(AZ77&lt;FT_Y5,1+INT((AZ77-FT_First)/FT_Int1),FT_PreY5+FT_PerYear*INT((AZ77-FT_Y5)/12)+FT_AnnivDays+INT(MOD(AZ77-FT_Y5,12)/FT_Int2)-IF(EDATE(AL77,FT_Y5)&lt;PolicyEff,FT_AnnivDays-1,0))),IF(AV77="PT",IF(AZ77&lt;PT_First,0,1+INT((AZ77-PT_First)/PT_Int)),0)),0))</f>
        <v/>
      </c>
      <c r="BE77" s="16" t="str">
        <f aca="false">IF(AK77=0,"",IF(AT77="FT",IF(BB77&lt;FT_First,0,IF(BB77&lt;FT_Y5,1+INT((BB77-FT_First)/FT_Int1),FT_PreY5+FT_PerYear*INT((BB77-FT_Y5)/12)+FT_AnnivDays+INT(MOD(BB77-FT_Y5,12)/FT_Int2)-IF(EDATE(AL77,FT_Y5)&lt;PolicyEff,FT_AnnivDays-1,0))),IF(AT77="PT",IF(BB77&lt;PT_First,0,1+INT((BB77-PT_First)/PT_Int)),0))+IF(AND(AM77&gt;=2,AO77&lt;=PFYDate),IF(AU77="FT",IF(BC77&lt;FT_First,0,IF(BC77&lt;FT_Y5,1+INT((BC77-FT_First)/FT_Int1),FT_PreY5+FT_PerYear*INT((BC77-FT_Y5)/12)+FT_AnnivDays+INT(MOD(BC77-FT_Y5,12)/FT_Int2)-IF(EDATE(AL77,FT_Y5)&lt;PolicyEff,FT_AnnivDays-1,0))),IF(AU77="PT",IF(BC77&lt;PT_First,0,1+INT((BC77-PT_First)/PT_Int)),0))-IF(AU77="FT",IF(BB77&lt;FT_First,0,IF(BB77&lt;FT_Y5,1+INT((BB77-FT_First)/FT_Int1),FT_PreY5+FT_PerYear*INT((BB77-FT_Y5)/12)+FT_AnnivDays+INT(MOD(BB77-FT_Y5,12)/FT_Int2)-IF(EDATE(AL77,FT_Y5)&lt;PolicyEff,FT_AnnivDays-1,0))),IF(AU77="PT",IF(BB77&lt;PT_First,0,1+INT((BB77-PT_First)/PT_Int)),0)),0)+IF(AND(AM77&gt;=3,AP77&lt;=PFYDate),IF(AV77="FT",IF(BA77&lt;FT_First,0,IF(BA77&lt;FT_Y5,1+INT((BA77-FT_First)/FT_Int1),FT_PreY5+FT_PerYear*INT((BA77-FT_Y5)/12)+FT_AnnivDays+INT(MOD(BA77-FT_Y5,12)/FT_Int2)-IF(EDATE(AL77,FT_Y5)&lt;PolicyEff,FT_AnnivDays-1,0))),IF(AV77="PT",IF(BA77&lt;PT_First,0,1+INT((BA77-PT_First)/PT_Int)),0))-IF(AV77="FT",IF(BC77&lt;FT_First,0,IF(BC77&lt;FT_Y5,1+INT((BC77-FT_First)/FT_Int1),FT_PreY5+FT_PerYear*INT((BC77-FT_Y5)/12)+FT_AnnivDays+INT(MOD(BC77-FT_Y5,12)/FT_Int2)-IF(EDATE(AL77,FT_Y5)&lt;PolicyEff,FT_AnnivDays-1,0))),IF(AV77="PT",IF(BC77&lt;PT_First,0,1+INT((BC77-PT_First)/PT_Int)),0)),0))</f>
        <v/>
      </c>
      <c r="BF77" s="16" t="str">
        <f aca="false">IF(AK77=0,"",IF(AW77="FT",IF(AX77&lt;FT_First,FT_First,IF(AX77&lt;FT_Y5,MIN(FT_Y5,FT_First+FT_Int1*(INT((AX77-FT_First)/FT_Int1)+1)),FT_Y5+12*INT((AX77-FT_Y5)/12)+FT_Int2*(INT(MOD(AX77-FT_Y5,12)/FT_Int2)+1))),IF(AW77="PT",IF(AX77&lt;PT_First,PT_First,PT_First+PT_Int*(INT((AX77-PT_First)/PT_Int)+1)),"")))</f>
        <v/>
      </c>
      <c r="BG77" s="16" t="str">
        <f aca="false">IF(AK77=0,"",IF(NOT(LH_Ready),0,COUNTIFS(INDEX(LH_Data,0,LH_ColFirst),$A77,INDEX(LH_Data,0,LH_ColSur),$B77,INDEX(LH_Data,0,LH_ColCat),BonusCat)))</f>
        <v/>
      </c>
      <c r="BH77" s="16" t="str">
        <f aca="false">IF(AK77=0,"",IF(OR(NOT(LH_Ready),BG77=0),0,SUMPRODUCT(MAX((INDEX(LH_Data,0,LH_ColFirst)=$A77)*(INDEX(LH_Data,0,LH_ColSur)=$B77)*(INDEX(LH_Data,0,LH_ColCat)=BonusCat)*ROW(LH_Data)))))</f>
        <v/>
      </c>
      <c r="BI77" s="16" t="str">
        <f aca="false">IF(AK77=0,"",IF(EOMONTH(AsOfDate,-1)&lt;AL77,-1,12*(YEAR(EOMONTH(AsOfDate,-1))-YEAR(AL77))+MONTH(EOMONTH(AsOfDate,-1))-MONTH(AL77)-IF(DAY(EOMONTH(AsOfDate,-1))&lt;MIN(DAY(AL77),DAY(EOMONTH(EOMONTH(AsOfDate,-1),0))),1,0)))</f>
        <v/>
      </c>
      <c r="BJ77" s="16" t="str">
        <f aca="false">IF(AK77=0,"",IF(OR(AM77&lt;2,AO77&gt;EOMONTH(AsOfDate,-1)),BI77,IF((AO77-1)&lt;AL77,-1,12*(YEAR((AO77-1))-YEAR(AL77))+MONTH((AO77-1))-MONTH(AL77)-IF(DAY((AO77-1))&lt;MIN(DAY(AL77),DAY(EOMONTH((AO77-1),0))),1,0))))</f>
        <v/>
      </c>
      <c r="BK77" s="16" t="str">
        <f aca="false">IF(AK77=0,"",IF(OR(AM77&lt;3,AP77&gt;EOMONTH(AsOfDate,-1)),BI77,IF((AP77-1)&lt;AL77,-1,12*(YEAR((AP77-1))-YEAR(AL77))+MONTH((AP77-1))-MONTH(AL77)-IF(DAY((AP77-1))&lt;MIN(DAY(AL77),DAY(EOMONTH((AP77-1),0))),1,0))))</f>
        <v/>
      </c>
      <c r="BL77" s="16" t="str">
        <f aca="false">IF(AK77=0,"",IF(AT77="FT",IF(BJ77&lt;FT_First,0,IF(BJ77&lt;FT_Y5,1+INT((BJ77-FT_First)/FT_Int1),FT_PreY5+FT_PerYear*INT((BJ77-FT_Y5)/12)+FT_AnnivDays+INT(MOD(BJ77-FT_Y5,12)/FT_Int2)-IF(EDATE(AL77,FT_Y5)&lt;PolicyEff,FT_AnnivDays-1,0))),IF(AT77="PT",IF(BJ77&lt;PT_First,0,1+INT((BJ77-PT_First)/PT_Int)),0))+IF(AND(AM77&gt;=2,AO77&lt;=EOMONTH(AsOfDate,-1)),IF(AU77="FT",IF(BK77&lt;FT_First,0,IF(BK77&lt;FT_Y5,1+INT((BK77-FT_First)/FT_Int1),FT_PreY5+FT_PerYear*INT((BK77-FT_Y5)/12)+FT_AnnivDays+INT(MOD(BK77-FT_Y5,12)/FT_Int2)-IF(EDATE(AL77,FT_Y5)&lt;PolicyEff,FT_AnnivDays-1,0))),IF(AU77="PT",IF(BK77&lt;PT_First,0,1+INT((BK77-PT_First)/PT_Int)),0))-IF(AU77="FT",IF(BJ77&lt;FT_First,0,IF(BJ77&lt;FT_Y5,1+INT((BJ77-FT_First)/FT_Int1),FT_PreY5+FT_PerYear*INT((BJ77-FT_Y5)/12)+FT_AnnivDays+INT(MOD(BJ77-FT_Y5,12)/FT_Int2)-IF(EDATE(AL77,FT_Y5)&lt;PolicyEff,FT_AnnivDays-1,0))),IF(AU77="PT",IF(BJ77&lt;PT_First,0,1+INT((BJ77-PT_First)/PT_Int)),0)),0)+IF(AND(AM77&gt;=3,AP77&lt;=EOMONTH(AsOfDate,-1)),IF(AV77="FT",IF(BI77&lt;FT_First,0,IF(BI77&lt;FT_Y5,1+INT((BI77-FT_First)/FT_Int1),FT_PreY5+FT_PerYear*INT((BI77-FT_Y5)/12)+FT_AnnivDays+INT(MOD(BI77-FT_Y5,12)/FT_Int2)-IF(EDATE(AL77,FT_Y5)&lt;PolicyEff,FT_AnnivDays-1,0))),IF(AV77="PT",IF(BI77&lt;PT_First,0,1+INT((BI77-PT_First)/PT_Int)),0))-IF(AV77="FT",IF(BK77&lt;FT_First,0,IF(BK77&lt;FT_Y5,1+INT((BK77-FT_First)/FT_Int1),FT_PreY5+FT_PerYear*INT((BK77-FT_Y5)/12)+FT_AnnivDays+INT(MOD(BK77-FT_Y5,12)/FT_Int2)-IF(EDATE(AL77,FT_Y5)&lt;PolicyEff,FT_AnnivDays-1,0))),IF(AV77="PT",IF(BK77&lt;PT_First,0,1+INT((BK77-PT_First)/PT_Int)),0)),0))</f>
        <v/>
      </c>
      <c r="BM77" s="16" t="str">
        <f aca="false">IF(AK77=0,"",IF(AW77="FT",IF(AX77&lt;FT_First,"",IF(AX77&lt;FT_Y5,FT_First+FT_Int1*INT((AX77-FT_First)/FT_Int1),FT_Y5+FT_Int2*INT((AX77-FT_Y5)/FT_Int2))),IF(AW77="PT",IF(AX77&lt;PT_First,"",PT_First+PT_Int*INT((AX77-PT_First)/PT_Int)),"")))</f>
        <v/>
      </c>
      <c r="BN77" s="16" t="str">
        <f aca="false">IF(AK77=0,"",IF((SchemeStart-1)&lt;AL77,-1,12*(YEAR((SchemeStart-1))-YEAR(AL77))+MONTH((SchemeStart-1))-MONTH(AL77)-IF(DAY((SchemeStart-1))&lt;MIN(DAY(AL77),DAY(EOMONTH((SchemeStart-1),0))),1,0)))</f>
        <v/>
      </c>
      <c r="BO77" s="16" t="str">
        <f aca="false">IF(AK77=0,"",IF(OR(AM77&lt;2,AO77&gt;(SchemeStart-1)),BN77,IF((AO77-1)&lt;AL77,-1,12*(YEAR((AO77-1))-YEAR(AL77))+MONTH((AO77-1))-MONTH(AL77)-IF(DAY((AO77-1))&lt;MIN(DAY(AL77),DAY(EOMONTH((AO77-1),0))),1,0))))</f>
        <v/>
      </c>
      <c r="BP77" s="16" t="str">
        <f aca="false">IF(AK77=0,"",IF(OR(AM77&lt;3,AP77&gt;(SchemeStart-1)),BN77,IF((AP77-1)&lt;AL77,-1,12*(YEAR((AP77-1))-YEAR(AL77))+MONTH((AP77-1))-MONTH(AL77)-IF(DAY((AP77-1))&lt;MIN(DAY(AL77),DAY(EOMONTH((AP77-1),0))),1,0))))</f>
        <v/>
      </c>
      <c r="BQ77" s="16" t="str">
        <f aca="false">IF(AK77=0,"",IF(AT77="FT",IF(BO77&lt;FT_First,0,IF(BO77&lt;FT_Y5,1+INT((BO77-FT_First)/FT_Int1),FT_PreY5+FT_PerYear*INT((BO77-FT_Y5)/12)+FT_AnnivDays+INT(MOD(BO77-FT_Y5,12)/FT_Int2)-IF(EDATE(AL77,FT_Y5)&lt;PolicyEff,FT_AnnivDays-1,0))),IF(AT77="PT",IF(BO77&lt;PT_First,0,1+INT((BO77-PT_First)/PT_Int)),0))+IF(AND(AM77&gt;=2,AO77&lt;=(SchemeStart-1)),IF(AU77="FT",IF(BP77&lt;FT_First,0,IF(BP77&lt;FT_Y5,1+INT((BP77-FT_First)/FT_Int1),FT_PreY5+FT_PerYear*INT((BP77-FT_Y5)/12)+FT_AnnivDays+INT(MOD(BP77-FT_Y5,12)/FT_Int2)-IF(EDATE(AL77,FT_Y5)&lt;PolicyEff,FT_AnnivDays-1,0))),IF(AU77="PT",IF(BP77&lt;PT_First,0,1+INT((BP77-PT_First)/PT_Int)),0))-IF(AU77="FT",IF(BO77&lt;FT_First,0,IF(BO77&lt;FT_Y5,1+INT((BO77-FT_First)/FT_Int1),FT_PreY5+FT_PerYear*INT((BO77-FT_Y5)/12)+FT_AnnivDays+INT(MOD(BO77-FT_Y5,12)/FT_Int2)-IF(EDATE(AL77,FT_Y5)&lt;PolicyEff,FT_AnnivDays-1,0))),IF(AU77="PT",IF(BO77&lt;PT_First,0,1+INT((BO77-PT_First)/PT_Int)),0)),0)+IF(AND(AM77&gt;=3,AP77&lt;=(SchemeStart-1)),IF(AV77="FT",IF(BN77&lt;FT_First,0,IF(BN77&lt;FT_Y5,1+INT((BN77-FT_First)/FT_Int1),FT_PreY5+FT_PerYear*INT((BN77-FT_Y5)/12)+FT_AnnivDays+INT(MOD(BN77-FT_Y5,12)/FT_Int2)-IF(EDATE(AL77,FT_Y5)&lt;PolicyEff,FT_AnnivDays-1,0))),IF(AV77="PT",IF(BN77&lt;PT_First,0,1+INT((BN77-PT_First)/PT_Int)),0))-IF(AV77="FT",IF(BP77&lt;FT_First,0,IF(BP77&lt;FT_Y5,1+INT((BP77-FT_First)/FT_Int1),FT_PreY5+FT_PerYear*INT((BP77-FT_Y5)/12)+FT_AnnivDays+INT(MOD(BP77-FT_Y5,12)/FT_Int2)-IF(EDATE(AL77,FT_Y5)&lt;PolicyEff,FT_AnnivDays-1,0))),IF(AV77="PT",IF(BP77&lt;PT_First,0,1+INT((BP77-PT_First)/PT_Int)),0)),0))</f>
        <v/>
      </c>
      <c r="BR77" s="0" t="str">
        <f aca="false">IF(LEN($A77&amp;$B77)=0,"",$A77&amp;" "&amp;$B77)</f>
        <v/>
      </c>
    </row>
    <row r="78" customFormat="false" ht="15" hidden="false" customHeight="false" outlineLevel="0" collapsed="false">
      <c r="A78" s="12"/>
      <c r="B78" s="12"/>
      <c r="C78" s="12"/>
      <c r="D78" s="13"/>
      <c r="E78" s="14" t="str">
        <f aca="false">IF(OR(AK78=0,$D78=""),"",DATE(YEAR(AsOfDate)+IF(DATE(YEAR(AsOfDate),MONTH($D78),DAY($D78))&lt;=AsOfDate,1,0),MONTH($D78),DAY($D78)))</f>
        <v/>
      </c>
      <c r="F78" s="13"/>
      <c r="G78" s="13"/>
      <c r="H78" s="13"/>
      <c r="I78" s="13"/>
      <c r="J78" s="13"/>
      <c r="K78" s="14" t="str">
        <f aca="false">IF(AK78=0,"",DATE(YEAR(AsOfDate)+IF(DATE(YEAR(AsOfDate),MONTH(AL78),DAY(AL78))&lt;=AsOfDate,1,0),MONTH(AL78),DAY(AL78)))</f>
        <v/>
      </c>
      <c r="L78" s="15" t="str">
        <f aca="false">IF(AK78=0,"",ROUND((AsOfDate-AL78)/365.25,1))</f>
        <v/>
      </c>
      <c r="M78" s="16" t="str">
        <f aca="false">IF(AK78=0,"",IF(AsOfDate&lt;AL78,"-",DATEDIF(AL78,AsOfDate,"y")&amp;"y "&amp;DATEDIF(AL78,AsOfDate,"ym")&amp;"m "&amp;DATEDIF(AL78,AsOfDate,"md")&amp;"d"))</f>
        <v/>
      </c>
      <c r="N78" s="17" t="str">
        <f aca="false">IF(AK78=0,"",O78*HoursPerDay)</f>
        <v/>
      </c>
      <c r="O78" s="17" t="str">
        <f aca="false">IF(AK78=0,"",MAX(0,BD78-BQ78))</f>
        <v/>
      </c>
      <c r="P78" s="18"/>
      <c r="Q78" s="16" t="str">
        <f aca="false">IF(AK78=0,"",IF(AM78&lt;2,"",AQ78&amp;" to "&amp;AR78&amp;" on "&amp;TEXT(AO78,"dd/mm/yyyy")&amp;IF(AO78&gt;AsOfDate," (future)",IF(AT78=AU78,"",IF(AU78="None"," - STOPPED accruing",IF(AT78="None"," - commencement for Bonus Leave"," - pathway changed"))))&amp;IF(AM78&lt;3,"","; "&amp;AR78&amp;" to "&amp;AS78&amp;" on "&amp;TEXT(AP78,"dd/mm/yyyy")&amp;IF(AP78&gt;AsOfDate," (future)",IF(AU78=AV78,"",IF(AV78="None"," - STOPPED accruing",IF(AU78="None"," - commencement for Bonus Leave"," - pathway changed")))))))</f>
        <v/>
      </c>
      <c r="R78" s="16" t="str">
        <f aca="false">IF(AK78=0,"",IF(AW78="None",IF(O78&gt;0,"No longer accruing","Not eligible - "&amp;IF(AND(OR(ISNUMBER(SEARCH("part",$C78)),UPPER(TRIM($C78))="PT",UPPER(TRIM($C78))="PTE"),Apply2026="No"),"part-time (scheme is full-time only)",IF(AND(OR(ISNUMBER(SEARCH("part",$C78)),UPPER(TRIM($C78))="PT",UPPER(TRIM($C78))="PTE"),$P78&lt;&gt;"",N($P78)&lt;PT_MinHours),"under "&amp;PT_MinHours&amp;" hrs",IF(IF($C78="","",IF(OR(ISNUMBER(SEARCH("full",$C78)),UPPER(TRIM($C78))="FT",UPPER(TRIM($C78))="FTE"),"Full-Time",IF(OR(ISNUMBER(SEARCH("part",$C78)),UPPER(TRIM($C78))="PT",UPPER(TRIM($C78))="PTE"),"Part-Time",IF(OR(ISNUMBER(SEARCH("cas",$C78)),UPPER(TRIM($C78))="CAS"),"Casual","Unknown"))))="Unknown","type not recognised",$C78)))),IF(O78&gt;0,"Yes - Accrual Required","Not yet - from "&amp;TEXT(S78,"dd/mm/yyyy"))))</f>
        <v/>
      </c>
      <c r="S78" s="14" t="str">
        <f aca="false">IF(AK78=0,"",IF(AW78="None","",EDATE(AL78,BF78)))</f>
        <v/>
      </c>
      <c r="T78" s="17" t="str">
        <f aca="false">IF(AK78=0,"",IF(NOT(LH_Ready),"",IF($F78&gt;PFYDate,0,IF(LH_ColPeriod=0,W78-U78+V78,SUMIFS(INDEX(LH_Data,0,LH_ColAcc),INDEX(LH_Data,0,LH_ColFirst),$A78,INDEX(LH_Data,0,LH_ColSur),$B78,INDEX(LH_Data,0,LH_ColCat),BonusCat,INDEX(LH_Data,0,LH_ColPeriod),LH_OpenLabel)*UnitFactor))))</f>
        <v/>
      </c>
      <c r="U78" s="17" t="str">
        <f aca="false">IF(AK78=0,"",IF(NOT(LH_Ready),"",SUMIFS(INDEX(LH_Data,0,LH_ColAcc),INDEX(LH_Data,0,LH_ColFirst),$A78,INDEX(LH_Data,0,LH_ColSur),$B78,INDEX(LH_Data,0,LH_ColCat),BonusCat,INDEX(LH_Data,0,LH_ColStart),"&gt;="&amp;AL78)*UnitFactor))</f>
        <v/>
      </c>
      <c r="V78" s="17" t="str">
        <f aca="false">IF(AK78=0,"",IF(NOT(LH_Ready),"",SUMIFS(INDEX(LH_Data,0,LH_ColTaken),INDEX(LH_Data,0,LH_ColFirst),$A78,INDEX(LH_Data,0,LH_ColSur),$B78,INDEX(LH_Data,0,LH_ColCat),BonusCat,INDEX(LH_Data,0,LH_ColStart),"&gt;="&amp;AL78)*UnitFactor))</f>
        <v/>
      </c>
      <c r="W78" s="17" t="str">
        <f aca="false">IF(AK78=0,"",IF(NOT(LH_Ready),"",IF(BH78=0,0,INDEX(INDEX(LH_Data,0,LH_ColClose),BH78-1)*UnitFactor)))</f>
        <v/>
      </c>
      <c r="X78" s="17" t="str">
        <f aca="false">IF(AK78=0,"",(MAX(0,BD78-BQ78)-MAX(0,BE78-BQ78))*HoursPerDay)</f>
        <v/>
      </c>
      <c r="Y78" s="17" t="str">
        <f aca="false">IF(AK78=0,"",IF(NOT(LH_Ready),"",IF($AI78="Yes",N(AE78)*HoursPerDay-SUMIFS(INDEX(LH_Data,0,LH_ColAcc),INDEX(LH_Data,0,LH_ColFirst),$A78,INDEX(LH_Data,0,LH_ColSur),$B78,INDEX(LH_Data,0,LH_ColCat),BonusCat,INDEX(LH_Data,0,LH_ColStart),"&gt;="&amp;(EOMONTH(AsOfDate,-1)+1),INDEX(LH_Data,0,LH_ColStart),"&lt;="&amp;AsOfDate)*UnitFactor,IF(BG78=0,N78,N78-N(T78)-N(U78)))))</f>
        <v/>
      </c>
      <c r="Z78" s="16" t="str">
        <f aca="false">IF(OR(AK78=0,Y78=""),"",IF(Y78&gt;0,"Yes","No"))</f>
        <v/>
      </c>
      <c r="AA78" s="16" t="str">
        <f aca="false">IF(AK78=0,IF(LEN($A78&amp;$B78)=0,"","FIX INPUT - StartDate missing"),IF(AD78&lt;&gt;"","FIX INPUT - "&amp;AD78,IF(NOT(LH_Ready),"Paste Leave History export (Settings must show YES)",IF(AND($AI78="Yes",Y78&lt;=0),"OK - EH balance accepted to date"&amp;IF(N(AH78)&gt;0," (EH holds "&amp;AH78&amp;" hrs over the scheme)","")&amp;"; next day "&amp;TEXT(S78,"dd mmm yy")&amp;IF(N(AE78)&gt;0," ("&amp;AE78&amp;" day(s) for "&amp;UPPER(TEXT(AsOfDate,"mmm yyyy"))&amp;" already in EH)",""),IF(Y78&gt;0,"ACCRUE "&amp;ROUND(Y78,2)&amp;" hrs ("&amp;ROUND(Y78/HoursPerDay,2)&amp;" days): "&amp;IF(N(AE78)&gt;0,AE78&amp;" day(s) for "&amp;UPPER(TEXT(AsOfDate,"mmm yyyy"))&amp;" (milestone "&amp;UPPER(TEXT(AF78,"dd mmm yy"))&amp;")"&amp;IF(Y78/HoursPerDay&gt;AE78+0.001," + "&amp;ROUND(Y78/HoursPerDay-AE78,2)&amp;" day(s) catch-up from earlier months",""),"all catch-up from earlier months, nothing new this month")&amp;IF(BG78=0,"; no Bonus Leave in EH yet",""),IF(Y78&lt;0,"CHECK - EH accrued "&amp;ROUND(-Y78,2)&amp;" hrs more than policy since commencement",IF(N(W78)&gt;O78*HoursPerDay+0.01,"CHECK - EH balance "&amp;ROUND(W78-O78*HoursPerDay,2)&amp;" hrs more than policy entitlement",IF(O78&gt;0,"OK - nothing to add"&amp;IF(N(AE78)&gt;0," ("&amp;AE78&amp;" day(s) for "&amp;UPPER(TEXT(AsOfDate,"mmm yyyy"))&amp;" already in EH)",""),IF(AW78="None",R78,"Not yet - first day on "&amp;TEXT(S78,"dd/mm/yyyy"))))))))))</f>
        <v/>
      </c>
      <c r="AB78" s="17" t="str">
        <f aca="false">IF(OR(AK78=0,T78=""),"",MAX(0,BE78-BQ78)*HoursPerDay-T78)</f>
        <v/>
      </c>
      <c r="AC78" s="16" t="str">
        <f aca="false">IF(AK78=0,"",BG78)</f>
        <v/>
      </c>
      <c r="AD78" s="16" t="str">
        <f aca="false">IF(AK78=0,"",TRIM(IF(OR(ISTEXT($F78),ISTEXT($H78),ISTEXT($I78),ISTEXT($G78),ISTEXT($J78),ISTEXT($D78)),"A date is typed as text - retype it as dd/mm/yyyy. ","")&amp;IF(IF($C78="","",IF(OR(ISNUMBER(SEARCH("full",$C78)),UPPER(TRIM($C78))="FT",UPPER(TRIM($C78))="FTE"),"Full-Time",IF(OR(ISNUMBER(SEARCH("part",$C78)),UPPER(TRIM($C78))="PT",UPPER(TRIM($C78))="PTE"),"Part-Time",IF(OR(ISNUMBER(SEARCH("cas",$C78)),UPPER(TRIM($C78))="CAS"),"Casual","Unknown"))))="Unknown","EmploymentType not recognised - use Full-Time, Part-Time or Casual. ","")&amp;IF(AND(AM78&gt;=1,IF(AM78&gt;=3,AS78,IF(AM78=2,AR78,AQ78))&lt;&gt;IF($C78="","",IF(OR(ISNUMBER(SEARCH("full",$C78)),UPPER(TRIM($C78))="FT",UPPER(TRIM($C78))="FTE"),"Full-Time",IF(OR(ISNUMBER(SEARCH("part",$C78)),UPPER(TRIM($C78))="PT",UPPER(TRIM($C78))="PTE"),"Part-Time",IF(OR(ISNUMBER(SEARCH("cas",$C78)),UPPER(TRIM($C78))="CAS"),"Casual","Unknown"))))),"EmploymentType does not match latest start date ("&amp;IF(AM78&gt;=3,AS78,IF(AM78=2,AR78,AQ78))&amp;"). ","")&amp;IF(AND(AM78&gt;=1,AN78&lt;&gt;$F78),"Earliest type date should equal StartDate. ","")&amp;IF(AND(AM78&gt;=2,AN78=AO78),"Two types start on the same date. ","")&amp;IF(AND(OR(ISNUMBER(SEARCH("part",$C78)),UPPER(TRIM($C78))="PT",UPPER(TRIM($C78))="PTE"),$P78=""),"Part-time: enter PT Hrs/Week (blank = 24+). ","")))</f>
        <v/>
      </c>
      <c r="AE78" s="17" t="str">
        <f aca="false">IF(AK78=0,"",O78-MAX(0,BL78-BQ78))</f>
        <v/>
      </c>
      <c r="AF78" s="14" t="str">
        <f aca="false">IF(OR(AK78=0,AE78="",N(AE78)=0,BM78=""),"",EDATE(AL78,BM78))</f>
        <v/>
      </c>
      <c r="AG78" s="17" t="str">
        <f aca="false">IF(AK78=0,"",MIN(BD78,BQ78))</f>
        <v/>
      </c>
      <c r="AH78" s="17" t="str">
        <f aca="false">IF(AK78=0,"",IF(NOT(LH_Ready),"",IF(BG78=0,0,MAX(0,ROUND(N(T78)+N(U78)-N78,2)))))</f>
        <v/>
      </c>
      <c r="AI78" s="12"/>
      <c r="AJ78" s="12"/>
      <c r="AK78" s="16" t="n">
        <f aca="false">IF(OR(LEN($A78&amp;$B78)=0,$F78=""),0,1)</f>
        <v>0</v>
      </c>
      <c r="AL78" s="14" t="str">
        <f aca="false">IF(AK78=0,"",IF(PreSchemeCounts="No",MAX(SchemeStart,IF($J78&lt;&gt;"",$J78,IF(OR(CasualCounts="Yes",COUNT($G78:$I78)=0),$F78,IF(Apply2026="No",IF($I78="",$F78,$I78),IF(COUNT($H78:$I78)=0,$F78,MIN($H78:$I78)))))),IF($J78&lt;&gt;"",$J78,IF(OR(CasualCounts="Yes",COUNT($G78:$I78)=0),$F78,IF(Apply2026="No",IF($I78="",$F78,$I78),IF(COUNT($H78:$I78)=0,$F78,MIN($H78:$I78)))))))</f>
        <v/>
      </c>
      <c r="AM78" s="16" t="str">
        <f aca="false">IF(AK78=0,"",COUNT($G78:$I78))</f>
        <v/>
      </c>
      <c r="AN78" s="14" t="str">
        <f aca="false">IF(AK78=0,"",IFERROR(SMALL($G78:$I78,1),""))</f>
        <v/>
      </c>
      <c r="AO78" s="14" t="str">
        <f aca="false">IF(AK78=0,"",IFERROR(SMALL($G78:$I78,2),""))</f>
        <v/>
      </c>
      <c r="AP78" s="14" t="str">
        <f aca="false">IF(AK78=0,"",IFERROR(SMALL($G78:$I78,3),""))</f>
        <v/>
      </c>
      <c r="AQ78" s="16" t="str">
        <f aca="false">IF(AK78=0,"",IF(AN78="","",IF(AN78=$H78,"Part-Time",IF(AN78=$I78,"Full-Time","Casual"))))</f>
        <v/>
      </c>
      <c r="AR78" s="16" t="str">
        <f aca="false">IF(AK78=0,"",IF(AO78="","",IF(AO78=$H78,"Part-Time",IF(AO78=$I78,"Full-Time","Casual"))))</f>
        <v/>
      </c>
      <c r="AS78" s="16" t="str">
        <f aca="false">IF(AK78=0,"",IF(AP78="","",IF(AP78=$H78,"Part-Time",IF(AP78=$I78,"Full-Time","Casual"))))</f>
        <v/>
      </c>
      <c r="AT78" s="16" t="str">
        <f aca="false">IF(AK78=0,"",IF(AM78=0,IF(OR(ISNUMBER(SEARCH("full",$C78)),UPPER(TRIM($C78))="FT",UPPER(TRIM($C78))="FTE"),"FT",IF(AND(OR(ISNUMBER(SEARCH("part",$C78)),UPPER(TRIM($C78))="PT",UPPER(TRIM($C78))="PTE"),Apply2026="Yes",OR($P78="",N($P78)&gt;=PT_MinHours)),"PT","None")),IF(OR(ISNUMBER(SEARCH("full",AQ78)),UPPER(TRIM(AQ78))="FT",UPPER(TRIM(AQ78))="FTE"),"FT",IF(AND(OR(ISNUMBER(SEARCH("part",AQ78)),UPPER(TRIM(AQ78))="PT",UPPER(TRIM(AQ78))="PTE"),Apply2026="Yes",OR($P78="",N($P78)&gt;=PT_MinHours)),"PT","None"))))</f>
        <v/>
      </c>
      <c r="AU78" s="16" t="str">
        <f aca="false">IF(AK78=0,"",IF(AM78&lt;2,"",IF(OR(ISNUMBER(SEARCH("full",AR78)),UPPER(TRIM(AR78))="FT",UPPER(TRIM(AR78))="FTE"),"FT",IF(AND(OR(ISNUMBER(SEARCH("part",AR78)),UPPER(TRIM(AR78))="PT",UPPER(TRIM(AR78))="PTE"),Apply2026="Yes",OR($P78="",N($P78)&gt;=PT_MinHours)),"PT","None"))))</f>
        <v/>
      </c>
      <c r="AV78" s="16" t="str">
        <f aca="false">IF(AK78=0,"",IF(AM78&lt;3,"",IF(OR(ISNUMBER(SEARCH("full",AS78)),UPPER(TRIM(AS78))="FT",UPPER(TRIM(AS78))="FTE"),"FT",IF(AND(OR(ISNUMBER(SEARCH("part",AS78)),UPPER(TRIM(AS78))="PT",UPPER(TRIM(AS78))="PTE"),Apply2026="Yes",OR($P78="",N($P78)&gt;=PT_MinHours)),"PT","None"))))</f>
        <v/>
      </c>
      <c r="AW78" s="16" t="str">
        <f aca="false">IF(AK78=0,"",IF(AND(AM78&gt;=3,AP78&lt;=AsOfDate),AV78,IF(AND(AM78&gt;=2,AO78&lt;=AsOfDate),AU78,AT78)))</f>
        <v/>
      </c>
      <c r="AX78" s="16" t="str">
        <f aca="false">IF(AK78=0,"",IF(AsOfDate&lt;AL78,-1,12*(YEAR(AsOfDate)-YEAR(AL78))+MONTH(AsOfDate)-MONTH(AL78)-IF(DAY(AsOfDate)&lt;MIN(DAY(AL78),DAY(EOMONTH(AsOfDate,0))),1,0)))</f>
        <v/>
      </c>
      <c r="AY78" s="16" t="str">
        <f aca="false">IF(AK78=0,"",IF(OR(AM78&lt;2,AO78&gt;AsOfDate),AX78,IF((AO78-1)&lt;AL78,-1,12*(YEAR((AO78-1))-YEAR(AL78))+MONTH((AO78-1))-MONTH(AL78)-IF(DAY((AO78-1))&lt;MIN(DAY(AL78),DAY(EOMONTH((AO78-1),0))),1,0))))</f>
        <v/>
      </c>
      <c r="AZ78" s="16" t="str">
        <f aca="false">IF(AK78=0,"",IF(OR(AM78&lt;3,AP78&gt;AsOfDate),AX78,IF((AP78-1)&lt;AL78,-1,12*(YEAR((AP78-1))-YEAR(AL78))+MONTH((AP78-1))-MONTH(AL78)-IF(DAY((AP78-1))&lt;MIN(DAY(AL78),DAY(EOMONTH((AP78-1),0))),1,0))))</f>
        <v/>
      </c>
      <c r="BA78" s="16" t="str">
        <f aca="false">IF(AK78=0,"",IF(PFYDate&lt;AL78,-1,12*(YEAR(PFYDate)-YEAR(AL78))+MONTH(PFYDate)-MONTH(AL78)-IF(DAY(PFYDate)&lt;MIN(DAY(AL78),DAY(EOMONTH(PFYDate,0))),1,0)))</f>
        <v/>
      </c>
      <c r="BB78" s="16" t="str">
        <f aca="false">IF(AK78=0,"",IF(OR(AM78&lt;2,AO78&gt;PFYDate),BA78,IF((AO78-1)&lt;AL78,-1,12*(YEAR((AO78-1))-YEAR(AL78))+MONTH((AO78-1))-MONTH(AL78)-IF(DAY((AO78-1))&lt;MIN(DAY(AL78),DAY(EOMONTH((AO78-1),0))),1,0))))</f>
        <v/>
      </c>
      <c r="BC78" s="16" t="str">
        <f aca="false">IF(AK78=0,"",IF(OR(AM78&lt;3,AP78&gt;PFYDate),BA78,IF((AP78-1)&lt;AL78,-1,12*(YEAR((AP78-1))-YEAR(AL78))+MONTH((AP78-1))-MONTH(AL78)-IF(DAY((AP78-1))&lt;MIN(DAY(AL78),DAY(EOMONTH((AP78-1),0))),1,0))))</f>
        <v/>
      </c>
      <c r="BD78" s="16" t="str">
        <f aca="false">IF(AK78=0,"",IF(AT78="FT",IF(AY78&lt;FT_First,0,IF(AY78&lt;FT_Y5,1+INT((AY78-FT_First)/FT_Int1),FT_PreY5+FT_PerYear*INT((AY78-FT_Y5)/12)+FT_AnnivDays+INT(MOD(AY78-FT_Y5,12)/FT_Int2)-IF(EDATE(AL78,FT_Y5)&lt;PolicyEff,FT_AnnivDays-1,0))),IF(AT78="PT",IF(AY78&lt;PT_First,0,1+INT((AY78-PT_First)/PT_Int)),0))+IF(AND(AM78&gt;=2,AO78&lt;=AsOfDate),IF(AU78="FT",IF(AZ78&lt;FT_First,0,IF(AZ78&lt;FT_Y5,1+INT((AZ78-FT_First)/FT_Int1),FT_PreY5+FT_PerYear*INT((AZ78-FT_Y5)/12)+FT_AnnivDays+INT(MOD(AZ78-FT_Y5,12)/FT_Int2)-IF(EDATE(AL78,FT_Y5)&lt;PolicyEff,FT_AnnivDays-1,0))),IF(AU78="PT",IF(AZ78&lt;PT_First,0,1+INT((AZ78-PT_First)/PT_Int)),0))-IF(AU78="FT",IF(AY78&lt;FT_First,0,IF(AY78&lt;FT_Y5,1+INT((AY78-FT_First)/FT_Int1),FT_PreY5+FT_PerYear*INT((AY78-FT_Y5)/12)+FT_AnnivDays+INT(MOD(AY78-FT_Y5,12)/FT_Int2)-IF(EDATE(AL78,FT_Y5)&lt;PolicyEff,FT_AnnivDays-1,0))),IF(AU78="PT",IF(AY78&lt;PT_First,0,1+INT((AY78-PT_First)/PT_Int)),0)),0)+IF(AND(AM78&gt;=3,AP78&lt;=AsOfDate),IF(AV78="FT",IF(AX78&lt;FT_First,0,IF(AX78&lt;FT_Y5,1+INT((AX78-FT_First)/FT_Int1),FT_PreY5+FT_PerYear*INT((AX78-FT_Y5)/12)+FT_AnnivDays+INT(MOD(AX78-FT_Y5,12)/FT_Int2)-IF(EDATE(AL78,FT_Y5)&lt;PolicyEff,FT_AnnivDays-1,0))),IF(AV78="PT",IF(AX78&lt;PT_First,0,1+INT((AX78-PT_First)/PT_Int)),0))-IF(AV78="FT",IF(AZ78&lt;FT_First,0,IF(AZ78&lt;FT_Y5,1+INT((AZ78-FT_First)/FT_Int1),FT_PreY5+FT_PerYear*INT((AZ78-FT_Y5)/12)+FT_AnnivDays+INT(MOD(AZ78-FT_Y5,12)/FT_Int2)-IF(EDATE(AL78,FT_Y5)&lt;PolicyEff,FT_AnnivDays-1,0))),IF(AV78="PT",IF(AZ78&lt;PT_First,0,1+INT((AZ78-PT_First)/PT_Int)),0)),0))</f>
        <v/>
      </c>
      <c r="BE78" s="16" t="str">
        <f aca="false">IF(AK78=0,"",IF(AT78="FT",IF(BB78&lt;FT_First,0,IF(BB78&lt;FT_Y5,1+INT((BB78-FT_First)/FT_Int1),FT_PreY5+FT_PerYear*INT((BB78-FT_Y5)/12)+FT_AnnivDays+INT(MOD(BB78-FT_Y5,12)/FT_Int2)-IF(EDATE(AL78,FT_Y5)&lt;PolicyEff,FT_AnnivDays-1,0))),IF(AT78="PT",IF(BB78&lt;PT_First,0,1+INT((BB78-PT_First)/PT_Int)),0))+IF(AND(AM78&gt;=2,AO78&lt;=PFYDate),IF(AU78="FT",IF(BC78&lt;FT_First,0,IF(BC78&lt;FT_Y5,1+INT((BC78-FT_First)/FT_Int1),FT_PreY5+FT_PerYear*INT((BC78-FT_Y5)/12)+FT_AnnivDays+INT(MOD(BC78-FT_Y5,12)/FT_Int2)-IF(EDATE(AL78,FT_Y5)&lt;PolicyEff,FT_AnnivDays-1,0))),IF(AU78="PT",IF(BC78&lt;PT_First,0,1+INT((BC78-PT_First)/PT_Int)),0))-IF(AU78="FT",IF(BB78&lt;FT_First,0,IF(BB78&lt;FT_Y5,1+INT((BB78-FT_First)/FT_Int1),FT_PreY5+FT_PerYear*INT((BB78-FT_Y5)/12)+FT_AnnivDays+INT(MOD(BB78-FT_Y5,12)/FT_Int2)-IF(EDATE(AL78,FT_Y5)&lt;PolicyEff,FT_AnnivDays-1,0))),IF(AU78="PT",IF(BB78&lt;PT_First,0,1+INT((BB78-PT_First)/PT_Int)),0)),0)+IF(AND(AM78&gt;=3,AP78&lt;=PFYDate),IF(AV78="FT",IF(BA78&lt;FT_First,0,IF(BA78&lt;FT_Y5,1+INT((BA78-FT_First)/FT_Int1),FT_PreY5+FT_PerYear*INT((BA78-FT_Y5)/12)+FT_AnnivDays+INT(MOD(BA78-FT_Y5,12)/FT_Int2)-IF(EDATE(AL78,FT_Y5)&lt;PolicyEff,FT_AnnivDays-1,0))),IF(AV78="PT",IF(BA78&lt;PT_First,0,1+INT((BA78-PT_First)/PT_Int)),0))-IF(AV78="FT",IF(BC78&lt;FT_First,0,IF(BC78&lt;FT_Y5,1+INT((BC78-FT_First)/FT_Int1),FT_PreY5+FT_PerYear*INT((BC78-FT_Y5)/12)+FT_AnnivDays+INT(MOD(BC78-FT_Y5,12)/FT_Int2)-IF(EDATE(AL78,FT_Y5)&lt;PolicyEff,FT_AnnivDays-1,0))),IF(AV78="PT",IF(BC78&lt;PT_First,0,1+INT((BC78-PT_First)/PT_Int)),0)),0))</f>
        <v/>
      </c>
      <c r="BF78" s="16" t="str">
        <f aca="false">IF(AK78=0,"",IF(AW78="FT",IF(AX78&lt;FT_First,FT_First,IF(AX78&lt;FT_Y5,MIN(FT_Y5,FT_First+FT_Int1*(INT((AX78-FT_First)/FT_Int1)+1)),FT_Y5+12*INT((AX78-FT_Y5)/12)+FT_Int2*(INT(MOD(AX78-FT_Y5,12)/FT_Int2)+1))),IF(AW78="PT",IF(AX78&lt;PT_First,PT_First,PT_First+PT_Int*(INT((AX78-PT_First)/PT_Int)+1)),"")))</f>
        <v/>
      </c>
      <c r="BG78" s="16" t="str">
        <f aca="false">IF(AK78=0,"",IF(NOT(LH_Ready),0,COUNTIFS(INDEX(LH_Data,0,LH_ColFirst),$A78,INDEX(LH_Data,0,LH_ColSur),$B78,INDEX(LH_Data,0,LH_ColCat),BonusCat)))</f>
        <v/>
      </c>
      <c r="BH78" s="16" t="str">
        <f aca="false">IF(AK78=0,"",IF(OR(NOT(LH_Ready),BG78=0),0,SUMPRODUCT(MAX((INDEX(LH_Data,0,LH_ColFirst)=$A78)*(INDEX(LH_Data,0,LH_ColSur)=$B78)*(INDEX(LH_Data,0,LH_ColCat)=BonusCat)*ROW(LH_Data)))))</f>
        <v/>
      </c>
      <c r="BI78" s="16" t="str">
        <f aca="false">IF(AK78=0,"",IF(EOMONTH(AsOfDate,-1)&lt;AL78,-1,12*(YEAR(EOMONTH(AsOfDate,-1))-YEAR(AL78))+MONTH(EOMONTH(AsOfDate,-1))-MONTH(AL78)-IF(DAY(EOMONTH(AsOfDate,-1))&lt;MIN(DAY(AL78),DAY(EOMONTH(EOMONTH(AsOfDate,-1),0))),1,0)))</f>
        <v/>
      </c>
      <c r="BJ78" s="16" t="str">
        <f aca="false">IF(AK78=0,"",IF(OR(AM78&lt;2,AO78&gt;EOMONTH(AsOfDate,-1)),BI78,IF((AO78-1)&lt;AL78,-1,12*(YEAR((AO78-1))-YEAR(AL78))+MONTH((AO78-1))-MONTH(AL78)-IF(DAY((AO78-1))&lt;MIN(DAY(AL78),DAY(EOMONTH((AO78-1),0))),1,0))))</f>
        <v/>
      </c>
      <c r="BK78" s="16" t="str">
        <f aca="false">IF(AK78=0,"",IF(OR(AM78&lt;3,AP78&gt;EOMONTH(AsOfDate,-1)),BI78,IF((AP78-1)&lt;AL78,-1,12*(YEAR((AP78-1))-YEAR(AL78))+MONTH((AP78-1))-MONTH(AL78)-IF(DAY((AP78-1))&lt;MIN(DAY(AL78),DAY(EOMONTH((AP78-1),0))),1,0))))</f>
        <v/>
      </c>
      <c r="BL78" s="16" t="str">
        <f aca="false">IF(AK78=0,"",IF(AT78="FT",IF(BJ78&lt;FT_First,0,IF(BJ78&lt;FT_Y5,1+INT((BJ78-FT_First)/FT_Int1),FT_PreY5+FT_PerYear*INT((BJ78-FT_Y5)/12)+FT_AnnivDays+INT(MOD(BJ78-FT_Y5,12)/FT_Int2)-IF(EDATE(AL78,FT_Y5)&lt;PolicyEff,FT_AnnivDays-1,0))),IF(AT78="PT",IF(BJ78&lt;PT_First,0,1+INT((BJ78-PT_First)/PT_Int)),0))+IF(AND(AM78&gt;=2,AO78&lt;=EOMONTH(AsOfDate,-1)),IF(AU78="FT",IF(BK78&lt;FT_First,0,IF(BK78&lt;FT_Y5,1+INT((BK78-FT_First)/FT_Int1),FT_PreY5+FT_PerYear*INT((BK78-FT_Y5)/12)+FT_AnnivDays+INT(MOD(BK78-FT_Y5,12)/FT_Int2)-IF(EDATE(AL78,FT_Y5)&lt;PolicyEff,FT_AnnivDays-1,0))),IF(AU78="PT",IF(BK78&lt;PT_First,0,1+INT((BK78-PT_First)/PT_Int)),0))-IF(AU78="FT",IF(BJ78&lt;FT_First,0,IF(BJ78&lt;FT_Y5,1+INT((BJ78-FT_First)/FT_Int1),FT_PreY5+FT_PerYear*INT((BJ78-FT_Y5)/12)+FT_AnnivDays+INT(MOD(BJ78-FT_Y5,12)/FT_Int2)-IF(EDATE(AL78,FT_Y5)&lt;PolicyEff,FT_AnnivDays-1,0))),IF(AU78="PT",IF(BJ78&lt;PT_First,0,1+INT((BJ78-PT_First)/PT_Int)),0)),0)+IF(AND(AM78&gt;=3,AP78&lt;=EOMONTH(AsOfDate,-1)),IF(AV78="FT",IF(BI78&lt;FT_First,0,IF(BI78&lt;FT_Y5,1+INT((BI78-FT_First)/FT_Int1),FT_PreY5+FT_PerYear*INT((BI78-FT_Y5)/12)+FT_AnnivDays+INT(MOD(BI78-FT_Y5,12)/FT_Int2)-IF(EDATE(AL78,FT_Y5)&lt;PolicyEff,FT_AnnivDays-1,0))),IF(AV78="PT",IF(BI78&lt;PT_First,0,1+INT((BI78-PT_First)/PT_Int)),0))-IF(AV78="FT",IF(BK78&lt;FT_First,0,IF(BK78&lt;FT_Y5,1+INT((BK78-FT_First)/FT_Int1),FT_PreY5+FT_PerYear*INT((BK78-FT_Y5)/12)+FT_AnnivDays+INT(MOD(BK78-FT_Y5,12)/FT_Int2)-IF(EDATE(AL78,FT_Y5)&lt;PolicyEff,FT_AnnivDays-1,0))),IF(AV78="PT",IF(BK78&lt;PT_First,0,1+INT((BK78-PT_First)/PT_Int)),0)),0))</f>
        <v/>
      </c>
      <c r="BM78" s="16" t="str">
        <f aca="false">IF(AK78=0,"",IF(AW78="FT",IF(AX78&lt;FT_First,"",IF(AX78&lt;FT_Y5,FT_First+FT_Int1*INT((AX78-FT_First)/FT_Int1),FT_Y5+FT_Int2*INT((AX78-FT_Y5)/FT_Int2))),IF(AW78="PT",IF(AX78&lt;PT_First,"",PT_First+PT_Int*INT((AX78-PT_First)/PT_Int)),"")))</f>
        <v/>
      </c>
      <c r="BN78" s="16" t="str">
        <f aca="false">IF(AK78=0,"",IF((SchemeStart-1)&lt;AL78,-1,12*(YEAR((SchemeStart-1))-YEAR(AL78))+MONTH((SchemeStart-1))-MONTH(AL78)-IF(DAY((SchemeStart-1))&lt;MIN(DAY(AL78),DAY(EOMONTH((SchemeStart-1),0))),1,0)))</f>
        <v/>
      </c>
      <c r="BO78" s="16" t="str">
        <f aca="false">IF(AK78=0,"",IF(OR(AM78&lt;2,AO78&gt;(SchemeStart-1)),BN78,IF((AO78-1)&lt;AL78,-1,12*(YEAR((AO78-1))-YEAR(AL78))+MONTH((AO78-1))-MONTH(AL78)-IF(DAY((AO78-1))&lt;MIN(DAY(AL78),DAY(EOMONTH((AO78-1),0))),1,0))))</f>
        <v/>
      </c>
      <c r="BP78" s="16" t="str">
        <f aca="false">IF(AK78=0,"",IF(OR(AM78&lt;3,AP78&gt;(SchemeStart-1)),BN78,IF((AP78-1)&lt;AL78,-1,12*(YEAR((AP78-1))-YEAR(AL78))+MONTH((AP78-1))-MONTH(AL78)-IF(DAY((AP78-1))&lt;MIN(DAY(AL78),DAY(EOMONTH((AP78-1),0))),1,0))))</f>
        <v/>
      </c>
      <c r="BQ78" s="16" t="str">
        <f aca="false">IF(AK78=0,"",IF(AT78="FT",IF(BO78&lt;FT_First,0,IF(BO78&lt;FT_Y5,1+INT((BO78-FT_First)/FT_Int1),FT_PreY5+FT_PerYear*INT((BO78-FT_Y5)/12)+FT_AnnivDays+INT(MOD(BO78-FT_Y5,12)/FT_Int2)-IF(EDATE(AL78,FT_Y5)&lt;PolicyEff,FT_AnnivDays-1,0))),IF(AT78="PT",IF(BO78&lt;PT_First,0,1+INT((BO78-PT_First)/PT_Int)),0))+IF(AND(AM78&gt;=2,AO78&lt;=(SchemeStart-1)),IF(AU78="FT",IF(BP78&lt;FT_First,0,IF(BP78&lt;FT_Y5,1+INT((BP78-FT_First)/FT_Int1),FT_PreY5+FT_PerYear*INT((BP78-FT_Y5)/12)+FT_AnnivDays+INT(MOD(BP78-FT_Y5,12)/FT_Int2)-IF(EDATE(AL78,FT_Y5)&lt;PolicyEff,FT_AnnivDays-1,0))),IF(AU78="PT",IF(BP78&lt;PT_First,0,1+INT((BP78-PT_First)/PT_Int)),0))-IF(AU78="FT",IF(BO78&lt;FT_First,0,IF(BO78&lt;FT_Y5,1+INT((BO78-FT_First)/FT_Int1),FT_PreY5+FT_PerYear*INT((BO78-FT_Y5)/12)+FT_AnnivDays+INT(MOD(BO78-FT_Y5,12)/FT_Int2)-IF(EDATE(AL78,FT_Y5)&lt;PolicyEff,FT_AnnivDays-1,0))),IF(AU78="PT",IF(BO78&lt;PT_First,0,1+INT((BO78-PT_First)/PT_Int)),0)),0)+IF(AND(AM78&gt;=3,AP78&lt;=(SchemeStart-1)),IF(AV78="FT",IF(BN78&lt;FT_First,0,IF(BN78&lt;FT_Y5,1+INT((BN78-FT_First)/FT_Int1),FT_PreY5+FT_PerYear*INT((BN78-FT_Y5)/12)+FT_AnnivDays+INT(MOD(BN78-FT_Y5,12)/FT_Int2)-IF(EDATE(AL78,FT_Y5)&lt;PolicyEff,FT_AnnivDays-1,0))),IF(AV78="PT",IF(BN78&lt;PT_First,0,1+INT((BN78-PT_First)/PT_Int)),0))-IF(AV78="FT",IF(BP78&lt;FT_First,0,IF(BP78&lt;FT_Y5,1+INT((BP78-FT_First)/FT_Int1),FT_PreY5+FT_PerYear*INT((BP78-FT_Y5)/12)+FT_AnnivDays+INT(MOD(BP78-FT_Y5,12)/FT_Int2)-IF(EDATE(AL78,FT_Y5)&lt;PolicyEff,FT_AnnivDays-1,0))),IF(AV78="PT",IF(BP78&lt;PT_First,0,1+INT((BP78-PT_First)/PT_Int)),0)),0))</f>
        <v/>
      </c>
      <c r="BR78" s="0" t="str">
        <f aca="false">IF(LEN($A78&amp;$B78)=0,"",$A78&amp;" "&amp;$B78)</f>
        <v/>
      </c>
    </row>
    <row r="79" customFormat="false" ht="15" hidden="false" customHeight="false" outlineLevel="0" collapsed="false">
      <c r="A79" s="12"/>
      <c r="B79" s="12"/>
      <c r="C79" s="12"/>
      <c r="D79" s="13"/>
      <c r="E79" s="14" t="str">
        <f aca="false">IF(OR(AK79=0,$D79=""),"",DATE(YEAR(AsOfDate)+IF(DATE(YEAR(AsOfDate),MONTH($D79),DAY($D79))&lt;=AsOfDate,1,0),MONTH($D79),DAY($D79)))</f>
        <v/>
      </c>
      <c r="F79" s="13"/>
      <c r="G79" s="13"/>
      <c r="H79" s="13"/>
      <c r="I79" s="13"/>
      <c r="J79" s="13"/>
      <c r="K79" s="14" t="str">
        <f aca="false">IF(AK79=0,"",DATE(YEAR(AsOfDate)+IF(DATE(YEAR(AsOfDate),MONTH(AL79),DAY(AL79))&lt;=AsOfDate,1,0),MONTH(AL79),DAY(AL79)))</f>
        <v/>
      </c>
      <c r="L79" s="15" t="str">
        <f aca="false">IF(AK79=0,"",ROUND((AsOfDate-AL79)/365.25,1))</f>
        <v/>
      </c>
      <c r="M79" s="16" t="str">
        <f aca="false">IF(AK79=0,"",IF(AsOfDate&lt;AL79,"-",DATEDIF(AL79,AsOfDate,"y")&amp;"y "&amp;DATEDIF(AL79,AsOfDate,"ym")&amp;"m "&amp;DATEDIF(AL79,AsOfDate,"md")&amp;"d"))</f>
        <v/>
      </c>
      <c r="N79" s="17" t="str">
        <f aca="false">IF(AK79=0,"",O79*HoursPerDay)</f>
        <v/>
      </c>
      <c r="O79" s="17" t="str">
        <f aca="false">IF(AK79=0,"",MAX(0,BD79-BQ79))</f>
        <v/>
      </c>
      <c r="P79" s="18"/>
      <c r="Q79" s="16" t="str">
        <f aca="false">IF(AK79=0,"",IF(AM79&lt;2,"",AQ79&amp;" to "&amp;AR79&amp;" on "&amp;TEXT(AO79,"dd/mm/yyyy")&amp;IF(AO79&gt;AsOfDate," (future)",IF(AT79=AU79,"",IF(AU79="None"," - STOPPED accruing",IF(AT79="None"," - commencement for Bonus Leave"," - pathway changed"))))&amp;IF(AM79&lt;3,"","; "&amp;AR79&amp;" to "&amp;AS79&amp;" on "&amp;TEXT(AP79,"dd/mm/yyyy")&amp;IF(AP79&gt;AsOfDate," (future)",IF(AU79=AV79,"",IF(AV79="None"," - STOPPED accruing",IF(AU79="None"," - commencement for Bonus Leave"," - pathway changed")))))))</f>
        <v/>
      </c>
      <c r="R79" s="16" t="str">
        <f aca="false">IF(AK79=0,"",IF(AW79="None",IF(O79&gt;0,"No longer accruing","Not eligible - "&amp;IF(AND(OR(ISNUMBER(SEARCH("part",$C79)),UPPER(TRIM($C79))="PT",UPPER(TRIM($C79))="PTE"),Apply2026="No"),"part-time (scheme is full-time only)",IF(AND(OR(ISNUMBER(SEARCH("part",$C79)),UPPER(TRIM($C79))="PT",UPPER(TRIM($C79))="PTE"),$P79&lt;&gt;"",N($P79)&lt;PT_MinHours),"under "&amp;PT_MinHours&amp;" hrs",IF(IF($C79="","",IF(OR(ISNUMBER(SEARCH("full",$C79)),UPPER(TRIM($C79))="FT",UPPER(TRIM($C79))="FTE"),"Full-Time",IF(OR(ISNUMBER(SEARCH("part",$C79)),UPPER(TRIM($C79))="PT",UPPER(TRIM($C79))="PTE"),"Part-Time",IF(OR(ISNUMBER(SEARCH("cas",$C79)),UPPER(TRIM($C79))="CAS"),"Casual","Unknown"))))="Unknown","type not recognised",$C79)))),IF(O79&gt;0,"Yes - Accrual Required","Not yet - from "&amp;TEXT(S79,"dd/mm/yyyy"))))</f>
        <v/>
      </c>
      <c r="S79" s="14" t="str">
        <f aca="false">IF(AK79=0,"",IF(AW79="None","",EDATE(AL79,BF79)))</f>
        <v/>
      </c>
      <c r="T79" s="17" t="str">
        <f aca="false">IF(AK79=0,"",IF(NOT(LH_Ready),"",IF($F79&gt;PFYDate,0,IF(LH_ColPeriod=0,W79-U79+V79,SUMIFS(INDEX(LH_Data,0,LH_ColAcc),INDEX(LH_Data,0,LH_ColFirst),$A79,INDEX(LH_Data,0,LH_ColSur),$B79,INDEX(LH_Data,0,LH_ColCat),BonusCat,INDEX(LH_Data,0,LH_ColPeriod),LH_OpenLabel)*UnitFactor))))</f>
        <v/>
      </c>
      <c r="U79" s="17" t="str">
        <f aca="false">IF(AK79=0,"",IF(NOT(LH_Ready),"",SUMIFS(INDEX(LH_Data,0,LH_ColAcc),INDEX(LH_Data,0,LH_ColFirst),$A79,INDEX(LH_Data,0,LH_ColSur),$B79,INDEX(LH_Data,0,LH_ColCat),BonusCat,INDEX(LH_Data,0,LH_ColStart),"&gt;="&amp;AL79)*UnitFactor))</f>
        <v/>
      </c>
      <c r="V79" s="17" t="str">
        <f aca="false">IF(AK79=0,"",IF(NOT(LH_Ready),"",SUMIFS(INDEX(LH_Data,0,LH_ColTaken),INDEX(LH_Data,0,LH_ColFirst),$A79,INDEX(LH_Data,0,LH_ColSur),$B79,INDEX(LH_Data,0,LH_ColCat),BonusCat,INDEX(LH_Data,0,LH_ColStart),"&gt;="&amp;AL79)*UnitFactor))</f>
        <v/>
      </c>
      <c r="W79" s="17" t="str">
        <f aca="false">IF(AK79=0,"",IF(NOT(LH_Ready),"",IF(BH79=0,0,INDEX(INDEX(LH_Data,0,LH_ColClose),BH79-1)*UnitFactor)))</f>
        <v/>
      </c>
      <c r="X79" s="17" t="str">
        <f aca="false">IF(AK79=0,"",(MAX(0,BD79-BQ79)-MAX(0,BE79-BQ79))*HoursPerDay)</f>
        <v/>
      </c>
      <c r="Y79" s="17" t="str">
        <f aca="false">IF(AK79=0,"",IF(NOT(LH_Ready),"",IF($AI79="Yes",N(AE79)*HoursPerDay-SUMIFS(INDEX(LH_Data,0,LH_ColAcc),INDEX(LH_Data,0,LH_ColFirst),$A79,INDEX(LH_Data,0,LH_ColSur),$B79,INDEX(LH_Data,0,LH_ColCat),BonusCat,INDEX(LH_Data,0,LH_ColStart),"&gt;="&amp;(EOMONTH(AsOfDate,-1)+1),INDEX(LH_Data,0,LH_ColStart),"&lt;="&amp;AsOfDate)*UnitFactor,IF(BG79=0,N79,N79-N(T79)-N(U79)))))</f>
        <v/>
      </c>
      <c r="Z79" s="16" t="str">
        <f aca="false">IF(OR(AK79=0,Y79=""),"",IF(Y79&gt;0,"Yes","No"))</f>
        <v/>
      </c>
      <c r="AA79" s="16" t="str">
        <f aca="false">IF(AK79=0,IF(LEN($A79&amp;$B79)=0,"","FIX INPUT - StartDate missing"),IF(AD79&lt;&gt;"","FIX INPUT - "&amp;AD79,IF(NOT(LH_Ready),"Paste Leave History export (Settings must show YES)",IF(AND($AI79="Yes",Y79&lt;=0),"OK - EH balance accepted to date"&amp;IF(N(AH79)&gt;0," (EH holds "&amp;AH79&amp;" hrs over the scheme)","")&amp;"; next day "&amp;TEXT(S79,"dd mmm yy")&amp;IF(N(AE79)&gt;0," ("&amp;AE79&amp;" day(s) for "&amp;UPPER(TEXT(AsOfDate,"mmm yyyy"))&amp;" already in EH)",""),IF(Y79&gt;0,"ACCRUE "&amp;ROUND(Y79,2)&amp;" hrs ("&amp;ROUND(Y79/HoursPerDay,2)&amp;" days): "&amp;IF(N(AE79)&gt;0,AE79&amp;" day(s) for "&amp;UPPER(TEXT(AsOfDate,"mmm yyyy"))&amp;" (milestone "&amp;UPPER(TEXT(AF79,"dd mmm yy"))&amp;")"&amp;IF(Y79/HoursPerDay&gt;AE79+0.001," + "&amp;ROUND(Y79/HoursPerDay-AE79,2)&amp;" day(s) catch-up from earlier months",""),"all catch-up from earlier months, nothing new this month")&amp;IF(BG79=0,"; no Bonus Leave in EH yet",""),IF(Y79&lt;0,"CHECK - EH accrued "&amp;ROUND(-Y79,2)&amp;" hrs more than policy since commencement",IF(N(W79)&gt;O79*HoursPerDay+0.01,"CHECK - EH balance "&amp;ROUND(W79-O79*HoursPerDay,2)&amp;" hrs more than policy entitlement",IF(O79&gt;0,"OK - nothing to add"&amp;IF(N(AE79)&gt;0," ("&amp;AE79&amp;" day(s) for "&amp;UPPER(TEXT(AsOfDate,"mmm yyyy"))&amp;" already in EH)",""),IF(AW79="None",R79,"Not yet - first day on "&amp;TEXT(S79,"dd/mm/yyyy"))))))))))</f>
        <v/>
      </c>
      <c r="AB79" s="17" t="str">
        <f aca="false">IF(OR(AK79=0,T79=""),"",MAX(0,BE79-BQ79)*HoursPerDay-T79)</f>
        <v/>
      </c>
      <c r="AC79" s="16" t="str">
        <f aca="false">IF(AK79=0,"",BG79)</f>
        <v/>
      </c>
      <c r="AD79" s="16" t="str">
        <f aca="false">IF(AK79=0,"",TRIM(IF(OR(ISTEXT($F79),ISTEXT($H79),ISTEXT($I79),ISTEXT($G79),ISTEXT($J79),ISTEXT($D79)),"A date is typed as text - retype it as dd/mm/yyyy. ","")&amp;IF(IF($C79="","",IF(OR(ISNUMBER(SEARCH("full",$C79)),UPPER(TRIM($C79))="FT",UPPER(TRIM($C79))="FTE"),"Full-Time",IF(OR(ISNUMBER(SEARCH("part",$C79)),UPPER(TRIM($C79))="PT",UPPER(TRIM($C79))="PTE"),"Part-Time",IF(OR(ISNUMBER(SEARCH("cas",$C79)),UPPER(TRIM($C79))="CAS"),"Casual","Unknown"))))="Unknown","EmploymentType not recognised - use Full-Time, Part-Time or Casual. ","")&amp;IF(AND(AM79&gt;=1,IF(AM79&gt;=3,AS79,IF(AM79=2,AR79,AQ79))&lt;&gt;IF($C79="","",IF(OR(ISNUMBER(SEARCH("full",$C79)),UPPER(TRIM($C79))="FT",UPPER(TRIM($C79))="FTE"),"Full-Time",IF(OR(ISNUMBER(SEARCH("part",$C79)),UPPER(TRIM($C79))="PT",UPPER(TRIM($C79))="PTE"),"Part-Time",IF(OR(ISNUMBER(SEARCH("cas",$C79)),UPPER(TRIM($C79))="CAS"),"Casual","Unknown"))))),"EmploymentType does not match latest start date ("&amp;IF(AM79&gt;=3,AS79,IF(AM79=2,AR79,AQ79))&amp;"). ","")&amp;IF(AND(AM79&gt;=1,AN79&lt;&gt;$F79),"Earliest type date should equal StartDate. ","")&amp;IF(AND(AM79&gt;=2,AN79=AO79),"Two types start on the same date. ","")&amp;IF(AND(OR(ISNUMBER(SEARCH("part",$C79)),UPPER(TRIM($C79))="PT",UPPER(TRIM($C79))="PTE"),$P79=""),"Part-time: enter PT Hrs/Week (blank = 24+). ","")))</f>
        <v/>
      </c>
      <c r="AE79" s="17" t="str">
        <f aca="false">IF(AK79=0,"",O79-MAX(0,BL79-BQ79))</f>
        <v/>
      </c>
      <c r="AF79" s="14" t="str">
        <f aca="false">IF(OR(AK79=0,AE79="",N(AE79)=0,BM79=""),"",EDATE(AL79,BM79))</f>
        <v/>
      </c>
      <c r="AG79" s="17" t="str">
        <f aca="false">IF(AK79=0,"",MIN(BD79,BQ79))</f>
        <v/>
      </c>
      <c r="AH79" s="17" t="str">
        <f aca="false">IF(AK79=0,"",IF(NOT(LH_Ready),"",IF(BG79=0,0,MAX(0,ROUND(N(T79)+N(U79)-N79,2)))))</f>
        <v/>
      </c>
      <c r="AI79" s="12"/>
      <c r="AJ79" s="12"/>
      <c r="AK79" s="16" t="n">
        <f aca="false">IF(OR(LEN($A79&amp;$B79)=0,$F79=""),0,1)</f>
        <v>0</v>
      </c>
      <c r="AL79" s="14" t="str">
        <f aca="false">IF(AK79=0,"",IF(PreSchemeCounts="No",MAX(SchemeStart,IF($J79&lt;&gt;"",$J79,IF(OR(CasualCounts="Yes",COUNT($G79:$I79)=0),$F79,IF(Apply2026="No",IF($I79="",$F79,$I79),IF(COUNT($H79:$I79)=0,$F79,MIN($H79:$I79)))))),IF($J79&lt;&gt;"",$J79,IF(OR(CasualCounts="Yes",COUNT($G79:$I79)=0),$F79,IF(Apply2026="No",IF($I79="",$F79,$I79),IF(COUNT($H79:$I79)=0,$F79,MIN($H79:$I79)))))))</f>
        <v/>
      </c>
      <c r="AM79" s="16" t="str">
        <f aca="false">IF(AK79=0,"",COUNT($G79:$I79))</f>
        <v/>
      </c>
      <c r="AN79" s="14" t="str">
        <f aca="false">IF(AK79=0,"",IFERROR(SMALL($G79:$I79,1),""))</f>
        <v/>
      </c>
      <c r="AO79" s="14" t="str">
        <f aca="false">IF(AK79=0,"",IFERROR(SMALL($G79:$I79,2),""))</f>
        <v/>
      </c>
      <c r="AP79" s="14" t="str">
        <f aca="false">IF(AK79=0,"",IFERROR(SMALL($G79:$I79,3),""))</f>
        <v/>
      </c>
      <c r="AQ79" s="16" t="str">
        <f aca="false">IF(AK79=0,"",IF(AN79="","",IF(AN79=$H79,"Part-Time",IF(AN79=$I79,"Full-Time","Casual"))))</f>
        <v/>
      </c>
      <c r="AR79" s="16" t="str">
        <f aca="false">IF(AK79=0,"",IF(AO79="","",IF(AO79=$H79,"Part-Time",IF(AO79=$I79,"Full-Time","Casual"))))</f>
        <v/>
      </c>
      <c r="AS79" s="16" t="str">
        <f aca="false">IF(AK79=0,"",IF(AP79="","",IF(AP79=$H79,"Part-Time",IF(AP79=$I79,"Full-Time","Casual"))))</f>
        <v/>
      </c>
      <c r="AT79" s="16" t="str">
        <f aca="false">IF(AK79=0,"",IF(AM79=0,IF(OR(ISNUMBER(SEARCH("full",$C79)),UPPER(TRIM($C79))="FT",UPPER(TRIM($C79))="FTE"),"FT",IF(AND(OR(ISNUMBER(SEARCH("part",$C79)),UPPER(TRIM($C79))="PT",UPPER(TRIM($C79))="PTE"),Apply2026="Yes",OR($P79="",N($P79)&gt;=PT_MinHours)),"PT","None")),IF(OR(ISNUMBER(SEARCH("full",AQ79)),UPPER(TRIM(AQ79))="FT",UPPER(TRIM(AQ79))="FTE"),"FT",IF(AND(OR(ISNUMBER(SEARCH("part",AQ79)),UPPER(TRIM(AQ79))="PT",UPPER(TRIM(AQ79))="PTE"),Apply2026="Yes",OR($P79="",N($P79)&gt;=PT_MinHours)),"PT","None"))))</f>
        <v/>
      </c>
      <c r="AU79" s="16" t="str">
        <f aca="false">IF(AK79=0,"",IF(AM79&lt;2,"",IF(OR(ISNUMBER(SEARCH("full",AR79)),UPPER(TRIM(AR79))="FT",UPPER(TRIM(AR79))="FTE"),"FT",IF(AND(OR(ISNUMBER(SEARCH("part",AR79)),UPPER(TRIM(AR79))="PT",UPPER(TRIM(AR79))="PTE"),Apply2026="Yes",OR($P79="",N($P79)&gt;=PT_MinHours)),"PT","None"))))</f>
        <v/>
      </c>
      <c r="AV79" s="16" t="str">
        <f aca="false">IF(AK79=0,"",IF(AM79&lt;3,"",IF(OR(ISNUMBER(SEARCH("full",AS79)),UPPER(TRIM(AS79))="FT",UPPER(TRIM(AS79))="FTE"),"FT",IF(AND(OR(ISNUMBER(SEARCH("part",AS79)),UPPER(TRIM(AS79))="PT",UPPER(TRIM(AS79))="PTE"),Apply2026="Yes",OR($P79="",N($P79)&gt;=PT_MinHours)),"PT","None"))))</f>
        <v/>
      </c>
      <c r="AW79" s="16" t="str">
        <f aca="false">IF(AK79=0,"",IF(AND(AM79&gt;=3,AP79&lt;=AsOfDate),AV79,IF(AND(AM79&gt;=2,AO79&lt;=AsOfDate),AU79,AT79)))</f>
        <v/>
      </c>
      <c r="AX79" s="16" t="str">
        <f aca="false">IF(AK79=0,"",IF(AsOfDate&lt;AL79,-1,12*(YEAR(AsOfDate)-YEAR(AL79))+MONTH(AsOfDate)-MONTH(AL79)-IF(DAY(AsOfDate)&lt;MIN(DAY(AL79),DAY(EOMONTH(AsOfDate,0))),1,0)))</f>
        <v/>
      </c>
      <c r="AY79" s="16" t="str">
        <f aca="false">IF(AK79=0,"",IF(OR(AM79&lt;2,AO79&gt;AsOfDate),AX79,IF((AO79-1)&lt;AL79,-1,12*(YEAR((AO79-1))-YEAR(AL79))+MONTH((AO79-1))-MONTH(AL79)-IF(DAY((AO79-1))&lt;MIN(DAY(AL79),DAY(EOMONTH((AO79-1),0))),1,0))))</f>
        <v/>
      </c>
      <c r="AZ79" s="16" t="str">
        <f aca="false">IF(AK79=0,"",IF(OR(AM79&lt;3,AP79&gt;AsOfDate),AX79,IF((AP79-1)&lt;AL79,-1,12*(YEAR((AP79-1))-YEAR(AL79))+MONTH((AP79-1))-MONTH(AL79)-IF(DAY((AP79-1))&lt;MIN(DAY(AL79),DAY(EOMONTH((AP79-1),0))),1,0))))</f>
        <v/>
      </c>
      <c r="BA79" s="16" t="str">
        <f aca="false">IF(AK79=0,"",IF(PFYDate&lt;AL79,-1,12*(YEAR(PFYDate)-YEAR(AL79))+MONTH(PFYDate)-MONTH(AL79)-IF(DAY(PFYDate)&lt;MIN(DAY(AL79),DAY(EOMONTH(PFYDate,0))),1,0)))</f>
        <v/>
      </c>
      <c r="BB79" s="16" t="str">
        <f aca="false">IF(AK79=0,"",IF(OR(AM79&lt;2,AO79&gt;PFYDate),BA79,IF((AO79-1)&lt;AL79,-1,12*(YEAR((AO79-1))-YEAR(AL79))+MONTH((AO79-1))-MONTH(AL79)-IF(DAY((AO79-1))&lt;MIN(DAY(AL79),DAY(EOMONTH((AO79-1),0))),1,0))))</f>
        <v/>
      </c>
      <c r="BC79" s="16" t="str">
        <f aca="false">IF(AK79=0,"",IF(OR(AM79&lt;3,AP79&gt;PFYDate),BA79,IF((AP79-1)&lt;AL79,-1,12*(YEAR((AP79-1))-YEAR(AL79))+MONTH((AP79-1))-MONTH(AL79)-IF(DAY((AP79-1))&lt;MIN(DAY(AL79),DAY(EOMONTH((AP79-1),0))),1,0))))</f>
        <v/>
      </c>
      <c r="BD79" s="16" t="str">
        <f aca="false">IF(AK79=0,"",IF(AT79="FT",IF(AY79&lt;FT_First,0,IF(AY79&lt;FT_Y5,1+INT((AY79-FT_First)/FT_Int1),FT_PreY5+FT_PerYear*INT((AY79-FT_Y5)/12)+FT_AnnivDays+INT(MOD(AY79-FT_Y5,12)/FT_Int2)-IF(EDATE(AL79,FT_Y5)&lt;PolicyEff,FT_AnnivDays-1,0))),IF(AT79="PT",IF(AY79&lt;PT_First,0,1+INT((AY79-PT_First)/PT_Int)),0))+IF(AND(AM79&gt;=2,AO79&lt;=AsOfDate),IF(AU79="FT",IF(AZ79&lt;FT_First,0,IF(AZ79&lt;FT_Y5,1+INT((AZ79-FT_First)/FT_Int1),FT_PreY5+FT_PerYear*INT((AZ79-FT_Y5)/12)+FT_AnnivDays+INT(MOD(AZ79-FT_Y5,12)/FT_Int2)-IF(EDATE(AL79,FT_Y5)&lt;PolicyEff,FT_AnnivDays-1,0))),IF(AU79="PT",IF(AZ79&lt;PT_First,0,1+INT((AZ79-PT_First)/PT_Int)),0))-IF(AU79="FT",IF(AY79&lt;FT_First,0,IF(AY79&lt;FT_Y5,1+INT((AY79-FT_First)/FT_Int1),FT_PreY5+FT_PerYear*INT((AY79-FT_Y5)/12)+FT_AnnivDays+INT(MOD(AY79-FT_Y5,12)/FT_Int2)-IF(EDATE(AL79,FT_Y5)&lt;PolicyEff,FT_AnnivDays-1,0))),IF(AU79="PT",IF(AY79&lt;PT_First,0,1+INT((AY79-PT_First)/PT_Int)),0)),0)+IF(AND(AM79&gt;=3,AP79&lt;=AsOfDate),IF(AV79="FT",IF(AX79&lt;FT_First,0,IF(AX79&lt;FT_Y5,1+INT((AX79-FT_First)/FT_Int1),FT_PreY5+FT_PerYear*INT((AX79-FT_Y5)/12)+FT_AnnivDays+INT(MOD(AX79-FT_Y5,12)/FT_Int2)-IF(EDATE(AL79,FT_Y5)&lt;PolicyEff,FT_AnnivDays-1,0))),IF(AV79="PT",IF(AX79&lt;PT_First,0,1+INT((AX79-PT_First)/PT_Int)),0))-IF(AV79="FT",IF(AZ79&lt;FT_First,0,IF(AZ79&lt;FT_Y5,1+INT((AZ79-FT_First)/FT_Int1),FT_PreY5+FT_PerYear*INT((AZ79-FT_Y5)/12)+FT_AnnivDays+INT(MOD(AZ79-FT_Y5,12)/FT_Int2)-IF(EDATE(AL79,FT_Y5)&lt;PolicyEff,FT_AnnivDays-1,0))),IF(AV79="PT",IF(AZ79&lt;PT_First,0,1+INT((AZ79-PT_First)/PT_Int)),0)),0))</f>
        <v/>
      </c>
      <c r="BE79" s="16" t="str">
        <f aca="false">IF(AK79=0,"",IF(AT79="FT",IF(BB79&lt;FT_First,0,IF(BB79&lt;FT_Y5,1+INT((BB79-FT_First)/FT_Int1),FT_PreY5+FT_PerYear*INT((BB79-FT_Y5)/12)+FT_AnnivDays+INT(MOD(BB79-FT_Y5,12)/FT_Int2)-IF(EDATE(AL79,FT_Y5)&lt;PolicyEff,FT_AnnivDays-1,0))),IF(AT79="PT",IF(BB79&lt;PT_First,0,1+INT((BB79-PT_First)/PT_Int)),0))+IF(AND(AM79&gt;=2,AO79&lt;=PFYDate),IF(AU79="FT",IF(BC79&lt;FT_First,0,IF(BC79&lt;FT_Y5,1+INT((BC79-FT_First)/FT_Int1),FT_PreY5+FT_PerYear*INT((BC79-FT_Y5)/12)+FT_AnnivDays+INT(MOD(BC79-FT_Y5,12)/FT_Int2)-IF(EDATE(AL79,FT_Y5)&lt;PolicyEff,FT_AnnivDays-1,0))),IF(AU79="PT",IF(BC79&lt;PT_First,0,1+INT((BC79-PT_First)/PT_Int)),0))-IF(AU79="FT",IF(BB79&lt;FT_First,0,IF(BB79&lt;FT_Y5,1+INT((BB79-FT_First)/FT_Int1),FT_PreY5+FT_PerYear*INT((BB79-FT_Y5)/12)+FT_AnnivDays+INT(MOD(BB79-FT_Y5,12)/FT_Int2)-IF(EDATE(AL79,FT_Y5)&lt;PolicyEff,FT_AnnivDays-1,0))),IF(AU79="PT",IF(BB79&lt;PT_First,0,1+INT((BB79-PT_First)/PT_Int)),0)),0)+IF(AND(AM79&gt;=3,AP79&lt;=PFYDate),IF(AV79="FT",IF(BA79&lt;FT_First,0,IF(BA79&lt;FT_Y5,1+INT((BA79-FT_First)/FT_Int1),FT_PreY5+FT_PerYear*INT((BA79-FT_Y5)/12)+FT_AnnivDays+INT(MOD(BA79-FT_Y5,12)/FT_Int2)-IF(EDATE(AL79,FT_Y5)&lt;PolicyEff,FT_AnnivDays-1,0))),IF(AV79="PT",IF(BA79&lt;PT_First,0,1+INT((BA79-PT_First)/PT_Int)),0))-IF(AV79="FT",IF(BC79&lt;FT_First,0,IF(BC79&lt;FT_Y5,1+INT((BC79-FT_First)/FT_Int1),FT_PreY5+FT_PerYear*INT((BC79-FT_Y5)/12)+FT_AnnivDays+INT(MOD(BC79-FT_Y5,12)/FT_Int2)-IF(EDATE(AL79,FT_Y5)&lt;PolicyEff,FT_AnnivDays-1,0))),IF(AV79="PT",IF(BC79&lt;PT_First,0,1+INT((BC79-PT_First)/PT_Int)),0)),0))</f>
        <v/>
      </c>
      <c r="BF79" s="16" t="str">
        <f aca="false">IF(AK79=0,"",IF(AW79="FT",IF(AX79&lt;FT_First,FT_First,IF(AX79&lt;FT_Y5,MIN(FT_Y5,FT_First+FT_Int1*(INT((AX79-FT_First)/FT_Int1)+1)),FT_Y5+12*INT((AX79-FT_Y5)/12)+FT_Int2*(INT(MOD(AX79-FT_Y5,12)/FT_Int2)+1))),IF(AW79="PT",IF(AX79&lt;PT_First,PT_First,PT_First+PT_Int*(INT((AX79-PT_First)/PT_Int)+1)),"")))</f>
        <v/>
      </c>
      <c r="BG79" s="16" t="str">
        <f aca="false">IF(AK79=0,"",IF(NOT(LH_Ready),0,COUNTIFS(INDEX(LH_Data,0,LH_ColFirst),$A79,INDEX(LH_Data,0,LH_ColSur),$B79,INDEX(LH_Data,0,LH_ColCat),BonusCat)))</f>
        <v/>
      </c>
      <c r="BH79" s="16" t="str">
        <f aca="false">IF(AK79=0,"",IF(OR(NOT(LH_Ready),BG79=0),0,SUMPRODUCT(MAX((INDEX(LH_Data,0,LH_ColFirst)=$A79)*(INDEX(LH_Data,0,LH_ColSur)=$B79)*(INDEX(LH_Data,0,LH_ColCat)=BonusCat)*ROW(LH_Data)))))</f>
        <v/>
      </c>
      <c r="BI79" s="16" t="str">
        <f aca="false">IF(AK79=0,"",IF(EOMONTH(AsOfDate,-1)&lt;AL79,-1,12*(YEAR(EOMONTH(AsOfDate,-1))-YEAR(AL79))+MONTH(EOMONTH(AsOfDate,-1))-MONTH(AL79)-IF(DAY(EOMONTH(AsOfDate,-1))&lt;MIN(DAY(AL79),DAY(EOMONTH(EOMONTH(AsOfDate,-1),0))),1,0)))</f>
        <v/>
      </c>
      <c r="BJ79" s="16" t="str">
        <f aca="false">IF(AK79=0,"",IF(OR(AM79&lt;2,AO79&gt;EOMONTH(AsOfDate,-1)),BI79,IF((AO79-1)&lt;AL79,-1,12*(YEAR((AO79-1))-YEAR(AL79))+MONTH((AO79-1))-MONTH(AL79)-IF(DAY((AO79-1))&lt;MIN(DAY(AL79),DAY(EOMONTH((AO79-1),0))),1,0))))</f>
        <v/>
      </c>
      <c r="BK79" s="16" t="str">
        <f aca="false">IF(AK79=0,"",IF(OR(AM79&lt;3,AP79&gt;EOMONTH(AsOfDate,-1)),BI79,IF((AP79-1)&lt;AL79,-1,12*(YEAR((AP79-1))-YEAR(AL79))+MONTH((AP79-1))-MONTH(AL79)-IF(DAY((AP79-1))&lt;MIN(DAY(AL79),DAY(EOMONTH((AP79-1),0))),1,0))))</f>
        <v/>
      </c>
      <c r="BL79" s="16" t="str">
        <f aca="false">IF(AK79=0,"",IF(AT79="FT",IF(BJ79&lt;FT_First,0,IF(BJ79&lt;FT_Y5,1+INT((BJ79-FT_First)/FT_Int1),FT_PreY5+FT_PerYear*INT((BJ79-FT_Y5)/12)+FT_AnnivDays+INT(MOD(BJ79-FT_Y5,12)/FT_Int2)-IF(EDATE(AL79,FT_Y5)&lt;PolicyEff,FT_AnnivDays-1,0))),IF(AT79="PT",IF(BJ79&lt;PT_First,0,1+INT((BJ79-PT_First)/PT_Int)),0))+IF(AND(AM79&gt;=2,AO79&lt;=EOMONTH(AsOfDate,-1)),IF(AU79="FT",IF(BK79&lt;FT_First,0,IF(BK79&lt;FT_Y5,1+INT((BK79-FT_First)/FT_Int1),FT_PreY5+FT_PerYear*INT((BK79-FT_Y5)/12)+FT_AnnivDays+INT(MOD(BK79-FT_Y5,12)/FT_Int2)-IF(EDATE(AL79,FT_Y5)&lt;PolicyEff,FT_AnnivDays-1,0))),IF(AU79="PT",IF(BK79&lt;PT_First,0,1+INT((BK79-PT_First)/PT_Int)),0))-IF(AU79="FT",IF(BJ79&lt;FT_First,0,IF(BJ79&lt;FT_Y5,1+INT((BJ79-FT_First)/FT_Int1),FT_PreY5+FT_PerYear*INT((BJ79-FT_Y5)/12)+FT_AnnivDays+INT(MOD(BJ79-FT_Y5,12)/FT_Int2)-IF(EDATE(AL79,FT_Y5)&lt;PolicyEff,FT_AnnivDays-1,0))),IF(AU79="PT",IF(BJ79&lt;PT_First,0,1+INT((BJ79-PT_First)/PT_Int)),0)),0)+IF(AND(AM79&gt;=3,AP79&lt;=EOMONTH(AsOfDate,-1)),IF(AV79="FT",IF(BI79&lt;FT_First,0,IF(BI79&lt;FT_Y5,1+INT((BI79-FT_First)/FT_Int1),FT_PreY5+FT_PerYear*INT((BI79-FT_Y5)/12)+FT_AnnivDays+INT(MOD(BI79-FT_Y5,12)/FT_Int2)-IF(EDATE(AL79,FT_Y5)&lt;PolicyEff,FT_AnnivDays-1,0))),IF(AV79="PT",IF(BI79&lt;PT_First,0,1+INT((BI79-PT_First)/PT_Int)),0))-IF(AV79="FT",IF(BK79&lt;FT_First,0,IF(BK79&lt;FT_Y5,1+INT((BK79-FT_First)/FT_Int1),FT_PreY5+FT_PerYear*INT((BK79-FT_Y5)/12)+FT_AnnivDays+INT(MOD(BK79-FT_Y5,12)/FT_Int2)-IF(EDATE(AL79,FT_Y5)&lt;PolicyEff,FT_AnnivDays-1,0))),IF(AV79="PT",IF(BK79&lt;PT_First,0,1+INT((BK79-PT_First)/PT_Int)),0)),0))</f>
        <v/>
      </c>
      <c r="BM79" s="16" t="str">
        <f aca="false">IF(AK79=0,"",IF(AW79="FT",IF(AX79&lt;FT_First,"",IF(AX79&lt;FT_Y5,FT_First+FT_Int1*INT((AX79-FT_First)/FT_Int1),FT_Y5+FT_Int2*INT((AX79-FT_Y5)/FT_Int2))),IF(AW79="PT",IF(AX79&lt;PT_First,"",PT_First+PT_Int*INT((AX79-PT_First)/PT_Int)),"")))</f>
        <v/>
      </c>
      <c r="BN79" s="16" t="str">
        <f aca="false">IF(AK79=0,"",IF((SchemeStart-1)&lt;AL79,-1,12*(YEAR((SchemeStart-1))-YEAR(AL79))+MONTH((SchemeStart-1))-MONTH(AL79)-IF(DAY((SchemeStart-1))&lt;MIN(DAY(AL79),DAY(EOMONTH((SchemeStart-1),0))),1,0)))</f>
        <v/>
      </c>
      <c r="BO79" s="16" t="str">
        <f aca="false">IF(AK79=0,"",IF(OR(AM79&lt;2,AO79&gt;(SchemeStart-1)),BN79,IF((AO79-1)&lt;AL79,-1,12*(YEAR((AO79-1))-YEAR(AL79))+MONTH((AO79-1))-MONTH(AL79)-IF(DAY((AO79-1))&lt;MIN(DAY(AL79),DAY(EOMONTH((AO79-1),0))),1,0))))</f>
        <v/>
      </c>
      <c r="BP79" s="16" t="str">
        <f aca="false">IF(AK79=0,"",IF(OR(AM79&lt;3,AP79&gt;(SchemeStart-1)),BN79,IF((AP79-1)&lt;AL79,-1,12*(YEAR((AP79-1))-YEAR(AL79))+MONTH((AP79-1))-MONTH(AL79)-IF(DAY((AP79-1))&lt;MIN(DAY(AL79),DAY(EOMONTH((AP79-1),0))),1,0))))</f>
        <v/>
      </c>
      <c r="BQ79" s="16" t="str">
        <f aca="false">IF(AK79=0,"",IF(AT79="FT",IF(BO79&lt;FT_First,0,IF(BO79&lt;FT_Y5,1+INT((BO79-FT_First)/FT_Int1),FT_PreY5+FT_PerYear*INT((BO79-FT_Y5)/12)+FT_AnnivDays+INT(MOD(BO79-FT_Y5,12)/FT_Int2)-IF(EDATE(AL79,FT_Y5)&lt;PolicyEff,FT_AnnivDays-1,0))),IF(AT79="PT",IF(BO79&lt;PT_First,0,1+INT((BO79-PT_First)/PT_Int)),0))+IF(AND(AM79&gt;=2,AO79&lt;=(SchemeStart-1)),IF(AU79="FT",IF(BP79&lt;FT_First,0,IF(BP79&lt;FT_Y5,1+INT((BP79-FT_First)/FT_Int1),FT_PreY5+FT_PerYear*INT((BP79-FT_Y5)/12)+FT_AnnivDays+INT(MOD(BP79-FT_Y5,12)/FT_Int2)-IF(EDATE(AL79,FT_Y5)&lt;PolicyEff,FT_AnnivDays-1,0))),IF(AU79="PT",IF(BP79&lt;PT_First,0,1+INT((BP79-PT_First)/PT_Int)),0))-IF(AU79="FT",IF(BO79&lt;FT_First,0,IF(BO79&lt;FT_Y5,1+INT((BO79-FT_First)/FT_Int1),FT_PreY5+FT_PerYear*INT((BO79-FT_Y5)/12)+FT_AnnivDays+INT(MOD(BO79-FT_Y5,12)/FT_Int2)-IF(EDATE(AL79,FT_Y5)&lt;PolicyEff,FT_AnnivDays-1,0))),IF(AU79="PT",IF(BO79&lt;PT_First,0,1+INT((BO79-PT_First)/PT_Int)),0)),0)+IF(AND(AM79&gt;=3,AP79&lt;=(SchemeStart-1)),IF(AV79="FT",IF(BN79&lt;FT_First,0,IF(BN79&lt;FT_Y5,1+INT((BN79-FT_First)/FT_Int1),FT_PreY5+FT_PerYear*INT((BN79-FT_Y5)/12)+FT_AnnivDays+INT(MOD(BN79-FT_Y5,12)/FT_Int2)-IF(EDATE(AL79,FT_Y5)&lt;PolicyEff,FT_AnnivDays-1,0))),IF(AV79="PT",IF(BN79&lt;PT_First,0,1+INT((BN79-PT_First)/PT_Int)),0))-IF(AV79="FT",IF(BP79&lt;FT_First,0,IF(BP79&lt;FT_Y5,1+INT((BP79-FT_First)/FT_Int1),FT_PreY5+FT_PerYear*INT((BP79-FT_Y5)/12)+FT_AnnivDays+INT(MOD(BP79-FT_Y5,12)/FT_Int2)-IF(EDATE(AL79,FT_Y5)&lt;PolicyEff,FT_AnnivDays-1,0))),IF(AV79="PT",IF(BP79&lt;PT_First,0,1+INT((BP79-PT_First)/PT_Int)),0)),0))</f>
        <v/>
      </c>
      <c r="BR79" s="0" t="str">
        <f aca="false">IF(LEN($A79&amp;$B79)=0,"",$A79&amp;" "&amp;$B79)</f>
        <v/>
      </c>
    </row>
    <row r="80" customFormat="false" ht="15" hidden="false" customHeight="false" outlineLevel="0" collapsed="false">
      <c r="A80" s="12"/>
      <c r="B80" s="12"/>
      <c r="C80" s="12"/>
      <c r="D80" s="13"/>
      <c r="E80" s="14" t="str">
        <f aca="false">IF(OR(AK80=0,$D80=""),"",DATE(YEAR(AsOfDate)+IF(DATE(YEAR(AsOfDate),MONTH($D80),DAY($D80))&lt;=AsOfDate,1,0),MONTH($D80),DAY($D80)))</f>
        <v/>
      </c>
      <c r="F80" s="13"/>
      <c r="G80" s="13"/>
      <c r="H80" s="13"/>
      <c r="I80" s="13"/>
      <c r="J80" s="13"/>
      <c r="K80" s="14" t="str">
        <f aca="false">IF(AK80=0,"",DATE(YEAR(AsOfDate)+IF(DATE(YEAR(AsOfDate),MONTH(AL80),DAY(AL80))&lt;=AsOfDate,1,0),MONTH(AL80),DAY(AL80)))</f>
        <v/>
      </c>
      <c r="L80" s="15" t="str">
        <f aca="false">IF(AK80=0,"",ROUND((AsOfDate-AL80)/365.25,1))</f>
        <v/>
      </c>
      <c r="M80" s="16" t="str">
        <f aca="false">IF(AK80=0,"",IF(AsOfDate&lt;AL80,"-",DATEDIF(AL80,AsOfDate,"y")&amp;"y "&amp;DATEDIF(AL80,AsOfDate,"ym")&amp;"m "&amp;DATEDIF(AL80,AsOfDate,"md")&amp;"d"))</f>
        <v/>
      </c>
      <c r="N80" s="17" t="str">
        <f aca="false">IF(AK80=0,"",O80*HoursPerDay)</f>
        <v/>
      </c>
      <c r="O80" s="17" t="str">
        <f aca="false">IF(AK80=0,"",MAX(0,BD80-BQ80))</f>
        <v/>
      </c>
      <c r="P80" s="18"/>
      <c r="Q80" s="16" t="str">
        <f aca="false">IF(AK80=0,"",IF(AM80&lt;2,"",AQ80&amp;" to "&amp;AR80&amp;" on "&amp;TEXT(AO80,"dd/mm/yyyy")&amp;IF(AO80&gt;AsOfDate," (future)",IF(AT80=AU80,"",IF(AU80="None"," - STOPPED accruing",IF(AT80="None"," - commencement for Bonus Leave"," - pathway changed"))))&amp;IF(AM80&lt;3,"","; "&amp;AR80&amp;" to "&amp;AS80&amp;" on "&amp;TEXT(AP80,"dd/mm/yyyy")&amp;IF(AP80&gt;AsOfDate," (future)",IF(AU80=AV80,"",IF(AV80="None"," - STOPPED accruing",IF(AU80="None"," - commencement for Bonus Leave"," - pathway changed")))))))</f>
        <v/>
      </c>
      <c r="R80" s="16" t="str">
        <f aca="false">IF(AK80=0,"",IF(AW80="None",IF(O80&gt;0,"No longer accruing","Not eligible - "&amp;IF(AND(OR(ISNUMBER(SEARCH("part",$C80)),UPPER(TRIM($C80))="PT",UPPER(TRIM($C80))="PTE"),Apply2026="No"),"part-time (scheme is full-time only)",IF(AND(OR(ISNUMBER(SEARCH("part",$C80)),UPPER(TRIM($C80))="PT",UPPER(TRIM($C80))="PTE"),$P80&lt;&gt;"",N($P80)&lt;PT_MinHours),"under "&amp;PT_MinHours&amp;" hrs",IF(IF($C80="","",IF(OR(ISNUMBER(SEARCH("full",$C80)),UPPER(TRIM($C80))="FT",UPPER(TRIM($C80))="FTE"),"Full-Time",IF(OR(ISNUMBER(SEARCH("part",$C80)),UPPER(TRIM($C80))="PT",UPPER(TRIM($C80))="PTE"),"Part-Time",IF(OR(ISNUMBER(SEARCH("cas",$C80)),UPPER(TRIM($C80))="CAS"),"Casual","Unknown"))))="Unknown","type not recognised",$C80)))),IF(O80&gt;0,"Yes - Accrual Required","Not yet - from "&amp;TEXT(S80,"dd/mm/yyyy"))))</f>
        <v/>
      </c>
      <c r="S80" s="14" t="str">
        <f aca="false">IF(AK80=0,"",IF(AW80="None","",EDATE(AL80,BF80)))</f>
        <v/>
      </c>
      <c r="T80" s="17" t="str">
        <f aca="false">IF(AK80=0,"",IF(NOT(LH_Ready),"",IF($F80&gt;PFYDate,0,IF(LH_ColPeriod=0,W80-U80+V80,SUMIFS(INDEX(LH_Data,0,LH_ColAcc),INDEX(LH_Data,0,LH_ColFirst),$A80,INDEX(LH_Data,0,LH_ColSur),$B80,INDEX(LH_Data,0,LH_ColCat),BonusCat,INDEX(LH_Data,0,LH_ColPeriod),LH_OpenLabel)*UnitFactor))))</f>
        <v/>
      </c>
      <c r="U80" s="17" t="str">
        <f aca="false">IF(AK80=0,"",IF(NOT(LH_Ready),"",SUMIFS(INDEX(LH_Data,0,LH_ColAcc),INDEX(LH_Data,0,LH_ColFirst),$A80,INDEX(LH_Data,0,LH_ColSur),$B80,INDEX(LH_Data,0,LH_ColCat),BonusCat,INDEX(LH_Data,0,LH_ColStart),"&gt;="&amp;AL80)*UnitFactor))</f>
        <v/>
      </c>
      <c r="V80" s="17" t="str">
        <f aca="false">IF(AK80=0,"",IF(NOT(LH_Ready),"",SUMIFS(INDEX(LH_Data,0,LH_ColTaken),INDEX(LH_Data,0,LH_ColFirst),$A80,INDEX(LH_Data,0,LH_ColSur),$B80,INDEX(LH_Data,0,LH_ColCat),BonusCat,INDEX(LH_Data,0,LH_ColStart),"&gt;="&amp;AL80)*UnitFactor))</f>
        <v/>
      </c>
      <c r="W80" s="17" t="str">
        <f aca="false">IF(AK80=0,"",IF(NOT(LH_Ready),"",IF(BH80=0,0,INDEX(INDEX(LH_Data,0,LH_ColClose),BH80-1)*UnitFactor)))</f>
        <v/>
      </c>
      <c r="X80" s="17" t="str">
        <f aca="false">IF(AK80=0,"",(MAX(0,BD80-BQ80)-MAX(0,BE80-BQ80))*HoursPerDay)</f>
        <v/>
      </c>
      <c r="Y80" s="17" t="str">
        <f aca="false">IF(AK80=0,"",IF(NOT(LH_Ready),"",IF($AI80="Yes",N(AE80)*HoursPerDay-SUMIFS(INDEX(LH_Data,0,LH_ColAcc),INDEX(LH_Data,0,LH_ColFirst),$A80,INDEX(LH_Data,0,LH_ColSur),$B80,INDEX(LH_Data,0,LH_ColCat),BonusCat,INDEX(LH_Data,0,LH_ColStart),"&gt;="&amp;(EOMONTH(AsOfDate,-1)+1),INDEX(LH_Data,0,LH_ColStart),"&lt;="&amp;AsOfDate)*UnitFactor,IF(BG80=0,N80,N80-N(T80)-N(U80)))))</f>
        <v/>
      </c>
      <c r="Z80" s="16" t="str">
        <f aca="false">IF(OR(AK80=0,Y80=""),"",IF(Y80&gt;0,"Yes","No"))</f>
        <v/>
      </c>
      <c r="AA80" s="16" t="str">
        <f aca="false">IF(AK80=0,IF(LEN($A80&amp;$B80)=0,"","FIX INPUT - StartDate missing"),IF(AD80&lt;&gt;"","FIX INPUT - "&amp;AD80,IF(NOT(LH_Ready),"Paste Leave History export (Settings must show YES)",IF(AND($AI80="Yes",Y80&lt;=0),"OK - EH balance accepted to date"&amp;IF(N(AH80)&gt;0," (EH holds "&amp;AH80&amp;" hrs over the scheme)","")&amp;"; next day "&amp;TEXT(S80,"dd mmm yy")&amp;IF(N(AE80)&gt;0," ("&amp;AE80&amp;" day(s) for "&amp;UPPER(TEXT(AsOfDate,"mmm yyyy"))&amp;" already in EH)",""),IF(Y80&gt;0,"ACCRUE "&amp;ROUND(Y80,2)&amp;" hrs ("&amp;ROUND(Y80/HoursPerDay,2)&amp;" days): "&amp;IF(N(AE80)&gt;0,AE80&amp;" day(s) for "&amp;UPPER(TEXT(AsOfDate,"mmm yyyy"))&amp;" (milestone "&amp;UPPER(TEXT(AF80,"dd mmm yy"))&amp;")"&amp;IF(Y80/HoursPerDay&gt;AE80+0.001," + "&amp;ROUND(Y80/HoursPerDay-AE80,2)&amp;" day(s) catch-up from earlier months",""),"all catch-up from earlier months, nothing new this month")&amp;IF(BG80=0,"; no Bonus Leave in EH yet",""),IF(Y80&lt;0,"CHECK - EH accrued "&amp;ROUND(-Y80,2)&amp;" hrs more than policy since commencement",IF(N(W80)&gt;O80*HoursPerDay+0.01,"CHECK - EH balance "&amp;ROUND(W80-O80*HoursPerDay,2)&amp;" hrs more than policy entitlement",IF(O80&gt;0,"OK - nothing to add"&amp;IF(N(AE80)&gt;0," ("&amp;AE80&amp;" day(s) for "&amp;UPPER(TEXT(AsOfDate,"mmm yyyy"))&amp;" already in EH)",""),IF(AW80="None",R80,"Not yet - first day on "&amp;TEXT(S80,"dd/mm/yyyy"))))))))))</f>
        <v/>
      </c>
      <c r="AB80" s="17" t="str">
        <f aca="false">IF(OR(AK80=0,T80=""),"",MAX(0,BE80-BQ80)*HoursPerDay-T80)</f>
        <v/>
      </c>
      <c r="AC80" s="16" t="str">
        <f aca="false">IF(AK80=0,"",BG80)</f>
        <v/>
      </c>
      <c r="AD80" s="16" t="str">
        <f aca="false">IF(AK80=0,"",TRIM(IF(OR(ISTEXT($F80),ISTEXT($H80),ISTEXT($I80),ISTEXT($G80),ISTEXT($J80),ISTEXT($D80)),"A date is typed as text - retype it as dd/mm/yyyy. ","")&amp;IF(IF($C80="","",IF(OR(ISNUMBER(SEARCH("full",$C80)),UPPER(TRIM($C80))="FT",UPPER(TRIM($C80))="FTE"),"Full-Time",IF(OR(ISNUMBER(SEARCH("part",$C80)),UPPER(TRIM($C80))="PT",UPPER(TRIM($C80))="PTE"),"Part-Time",IF(OR(ISNUMBER(SEARCH("cas",$C80)),UPPER(TRIM($C80))="CAS"),"Casual","Unknown"))))="Unknown","EmploymentType not recognised - use Full-Time, Part-Time or Casual. ","")&amp;IF(AND(AM80&gt;=1,IF(AM80&gt;=3,AS80,IF(AM80=2,AR80,AQ80))&lt;&gt;IF($C80="","",IF(OR(ISNUMBER(SEARCH("full",$C80)),UPPER(TRIM($C80))="FT",UPPER(TRIM($C80))="FTE"),"Full-Time",IF(OR(ISNUMBER(SEARCH("part",$C80)),UPPER(TRIM($C80))="PT",UPPER(TRIM($C80))="PTE"),"Part-Time",IF(OR(ISNUMBER(SEARCH("cas",$C80)),UPPER(TRIM($C80))="CAS"),"Casual","Unknown"))))),"EmploymentType does not match latest start date ("&amp;IF(AM80&gt;=3,AS80,IF(AM80=2,AR80,AQ80))&amp;"). ","")&amp;IF(AND(AM80&gt;=1,AN80&lt;&gt;$F80),"Earliest type date should equal StartDate. ","")&amp;IF(AND(AM80&gt;=2,AN80=AO80),"Two types start on the same date. ","")&amp;IF(AND(OR(ISNUMBER(SEARCH("part",$C80)),UPPER(TRIM($C80))="PT",UPPER(TRIM($C80))="PTE"),$P80=""),"Part-time: enter PT Hrs/Week (blank = 24+). ","")))</f>
        <v/>
      </c>
      <c r="AE80" s="17" t="str">
        <f aca="false">IF(AK80=0,"",O80-MAX(0,BL80-BQ80))</f>
        <v/>
      </c>
      <c r="AF80" s="14" t="str">
        <f aca="false">IF(OR(AK80=0,AE80="",N(AE80)=0,BM80=""),"",EDATE(AL80,BM80))</f>
        <v/>
      </c>
      <c r="AG80" s="17" t="str">
        <f aca="false">IF(AK80=0,"",MIN(BD80,BQ80))</f>
        <v/>
      </c>
      <c r="AH80" s="17" t="str">
        <f aca="false">IF(AK80=0,"",IF(NOT(LH_Ready),"",IF(BG80=0,0,MAX(0,ROUND(N(T80)+N(U80)-N80,2)))))</f>
        <v/>
      </c>
      <c r="AI80" s="12"/>
      <c r="AJ80" s="12"/>
      <c r="AK80" s="16" t="n">
        <f aca="false">IF(OR(LEN($A80&amp;$B80)=0,$F80=""),0,1)</f>
        <v>0</v>
      </c>
      <c r="AL80" s="14" t="str">
        <f aca="false">IF(AK80=0,"",IF(PreSchemeCounts="No",MAX(SchemeStart,IF($J80&lt;&gt;"",$J80,IF(OR(CasualCounts="Yes",COUNT($G80:$I80)=0),$F80,IF(Apply2026="No",IF($I80="",$F80,$I80),IF(COUNT($H80:$I80)=0,$F80,MIN($H80:$I80)))))),IF($J80&lt;&gt;"",$J80,IF(OR(CasualCounts="Yes",COUNT($G80:$I80)=0),$F80,IF(Apply2026="No",IF($I80="",$F80,$I80),IF(COUNT($H80:$I80)=0,$F80,MIN($H80:$I80)))))))</f>
        <v/>
      </c>
      <c r="AM80" s="16" t="str">
        <f aca="false">IF(AK80=0,"",COUNT($G80:$I80))</f>
        <v/>
      </c>
      <c r="AN80" s="14" t="str">
        <f aca="false">IF(AK80=0,"",IFERROR(SMALL($G80:$I80,1),""))</f>
        <v/>
      </c>
      <c r="AO80" s="14" t="str">
        <f aca="false">IF(AK80=0,"",IFERROR(SMALL($G80:$I80,2),""))</f>
        <v/>
      </c>
      <c r="AP80" s="14" t="str">
        <f aca="false">IF(AK80=0,"",IFERROR(SMALL($G80:$I80,3),""))</f>
        <v/>
      </c>
      <c r="AQ80" s="16" t="str">
        <f aca="false">IF(AK80=0,"",IF(AN80="","",IF(AN80=$H80,"Part-Time",IF(AN80=$I80,"Full-Time","Casual"))))</f>
        <v/>
      </c>
      <c r="AR80" s="16" t="str">
        <f aca="false">IF(AK80=0,"",IF(AO80="","",IF(AO80=$H80,"Part-Time",IF(AO80=$I80,"Full-Time","Casual"))))</f>
        <v/>
      </c>
      <c r="AS80" s="16" t="str">
        <f aca="false">IF(AK80=0,"",IF(AP80="","",IF(AP80=$H80,"Part-Time",IF(AP80=$I80,"Full-Time","Casual"))))</f>
        <v/>
      </c>
      <c r="AT80" s="16" t="str">
        <f aca="false">IF(AK80=0,"",IF(AM80=0,IF(OR(ISNUMBER(SEARCH("full",$C80)),UPPER(TRIM($C80))="FT",UPPER(TRIM($C80))="FTE"),"FT",IF(AND(OR(ISNUMBER(SEARCH("part",$C80)),UPPER(TRIM($C80))="PT",UPPER(TRIM($C80))="PTE"),Apply2026="Yes",OR($P80="",N($P80)&gt;=PT_MinHours)),"PT","None")),IF(OR(ISNUMBER(SEARCH("full",AQ80)),UPPER(TRIM(AQ80))="FT",UPPER(TRIM(AQ80))="FTE"),"FT",IF(AND(OR(ISNUMBER(SEARCH("part",AQ80)),UPPER(TRIM(AQ80))="PT",UPPER(TRIM(AQ80))="PTE"),Apply2026="Yes",OR($P80="",N($P80)&gt;=PT_MinHours)),"PT","None"))))</f>
        <v/>
      </c>
      <c r="AU80" s="16" t="str">
        <f aca="false">IF(AK80=0,"",IF(AM80&lt;2,"",IF(OR(ISNUMBER(SEARCH("full",AR80)),UPPER(TRIM(AR80))="FT",UPPER(TRIM(AR80))="FTE"),"FT",IF(AND(OR(ISNUMBER(SEARCH("part",AR80)),UPPER(TRIM(AR80))="PT",UPPER(TRIM(AR80))="PTE"),Apply2026="Yes",OR($P80="",N($P80)&gt;=PT_MinHours)),"PT","None"))))</f>
        <v/>
      </c>
      <c r="AV80" s="16" t="str">
        <f aca="false">IF(AK80=0,"",IF(AM80&lt;3,"",IF(OR(ISNUMBER(SEARCH("full",AS80)),UPPER(TRIM(AS80))="FT",UPPER(TRIM(AS80))="FTE"),"FT",IF(AND(OR(ISNUMBER(SEARCH("part",AS80)),UPPER(TRIM(AS80))="PT",UPPER(TRIM(AS80))="PTE"),Apply2026="Yes",OR($P80="",N($P80)&gt;=PT_MinHours)),"PT","None"))))</f>
        <v/>
      </c>
      <c r="AW80" s="16" t="str">
        <f aca="false">IF(AK80=0,"",IF(AND(AM80&gt;=3,AP80&lt;=AsOfDate),AV80,IF(AND(AM80&gt;=2,AO80&lt;=AsOfDate),AU80,AT80)))</f>
        <v/>
      </c>
      <c r="AX80" s="16" t="str">
        <f aca="false">IF(AK80=0,"",IF(AsOfDate&lt;AL80,-1,12*(YEAR(AsOfDate)-YEAR(AL80))+MONTH(AsOfDate)-MONTH(AL80)-IF(DAY(AsOfDate)&lt;MIN(DAY(AL80),DAY(EOMONTH(AsOfDate,0))),1,0)))</f>
        <v/>
      </c>
      <c r="AY80" s="16" t="str">
        <f aca="false">IF(AK80=0,"",IF(OR(AM80&lt;2,AO80&gt;AsOfDate),AX80,IF((AO80-1)&lt;AL80,-1,12*(YEAR((AO80-1))-YEAR(AL80))+MONTH((AO80-1))-MONTH(AL80)-IF(DAY((AO80-1))&lt;MIN(DAY(AL80),DAY(EOMONTH((AO80-1),0))),1,0))))</f>
        <v/>
      </c>
      <c r="AZ80" s="16" t="str">
        <f aca="false">IF(AK80=0,"",IF(OR(AM80&lt;3,AP80&gt;AsOfDate),AX80,IF((AP80-1)&lt;AL80,-1,12*(YEAR((AP80-1))-YEAR(AL80))+MONTH((AP80-1))-MONTH(AL80)-IF(DAY((AP80-1))&lt;MIN(DAY(AL80),DAY(EOMONTH((AP80-1),0))),1,0))))</f>
        <v/>
      </c>
      <c r="BA80" s="16" t="str">
        <f aca="false">IF(AK80=0,"",IF(PFYDate&lt;AL80,-1,12*(YEAR(PFYDate)-YEAR(AL80))+MONTH(PFYDate)-MONTH(AL80)-IF(DAY(PFYDate)&lt;MIN(DAY(AL80),DAY(EOMONTH(PFYDate,0))),1,0)))</f>
        <v/>
      </c>
      <c r="BB80" s="16" t="str">
        <f aca="false">IF(AK80=0,"",IF(OR(AM80&lt;2,AO80&gt;PFYDate),BA80,IF((AO80-1)&lt;AL80,-1,12*(YEAR((AO80-1))-YEAR(AL80))+MONTH((AO80-1))-MONTH(AL80)-IF(DAY((AO80-1))&lt;MIN(DAY(AL80),DAY(EOMONTH((AO80-1),0))),1,0))))</f>
        <v/>
      </c>
      <c r="BC80" s="16" t="str">
        <f aca="false">IF(AK80=0,"",IF(OR(AM80&lt;3,AP80&gt;PFYDate),BA80,IF((AP80-1)&lt;AL80,-1,12*(YEAR((AP80-1))-YEAR(AL80))+MONTH((AP80-1))-MONTH(AL80)-IF(DAY((AP80-1))&lt;MIN(DAY(AL80),DAY(EOMONTH((AP80-1),0))),1,0))))</f>
        <v/>
      </c>
      <c r="BD80" s="16" t="str">
        <f aca="false">IF(AK80=0,"",IF(AT80="FT",IF(AY80&lt;FT_First,0,IF(AY80&lt;FT_Y5,1+INT((AY80-FT_First)/FT_Int1),FT_PreY5+FT_PerYear*INT((AY80-FT_Y5)/12)+FT_AnnivDays+INT(MOD(AY80-FT_Y5,12)/FT_Int2)-IF(EDATE(AL80,FT_Y5)&lt;PolicyEff,FT_AnnivDays-1,0))),IF(AT80="PT",IF(AY80&lt;PT_First,0,1+INT((AY80-PT_First)/PT_Int)),0))+IF(AND(AM80&gt;=2,AO80&lt;=AsOfDate),IF(AU80="FT",IF(AZ80&lt;FT_First,0,IF(AZ80&lt;FT_Y5,1+INT((AZ80-FT_First)/FT_Int1),FT_PreY5+FT_PerYear*INT((AZ80-FT_Y5)/12)+FT_AnnivDays+INT(MOD(AZ80-FT_Y5,12)/FT_Int2)-IF(EDATE(AL80,FT_Y5)&lt;PolicyEff,FT_AnnivDays-1,0))),IF(AU80="PT",IF(AZ80&lt;PT_First,0,1+INT((AZ80-PT_First)/PT_Int)),0))-IF(AU80="FT",IF(AY80&lt;FT_First,0,IF(AY80&lt;FT_Y5,1+INT((AY80-FT_First)/FT_Int1),FT_PreY5+FT_PerYear*INT((AY80-FT_Y5)/12)+FT_AnnivDays+INT(MOD(AY80-FT_Y5,12)/FT_Int2)-IF(EDATE(AL80,FT_Y5)&lt;PolicyEff,FT_AnnivDays-1,0))),IF(AU80="PT",IF(AY80&lt;PT_First,0,1+INT((AY80-PT_First)/PT_Int)),0)),0)+IF(AND(AM80&gt;=3,AP80&lt;=AsOfDate),IF(AV80="FT",IF(AX80&lt;FT_First,0,IF(AX80&lt;FT_Y5,1+INT((AX80-FT_First)/FT_Int1),FT_PreY5+FT_PerYear*INT((AX80-FT_Y5)/12)+FT_AnnivDays+INT(MOD(AX80-FT_Y5,12)/FT_Int2)-IF(EDATE(AL80,FT_Y5)&lt;PolicyEff,FT_AnnivDays-1,0))),IF(AV80="PT",IF(AX80&lt;PT_First,0,1+INT((AX80-PT_First)/PT_Int)),0))-IF(AV80="FT",IF(AZ80&lt;FT_First,0,IF(AZ80&lt;FT_Y5,1+INT((AZ80-FT_First)/FT_Int1),FT_PreY5+FT_PerYear*INT((AZ80-FT_Y5)/12)+FT_AnnivDays+INT(MOD(AZ80-FT_Y5,12)/FT_Int2)-IF(EDATE(AL80,FT_Y5)&lt;PolicyEff,FT_AnnivDays-1,0))),IF(AV80="PT",IF(AZ80&lt;PT_First,0,1+INT((AZ80-PT_First)/PT_Int)),0)),0))</f>
        <v/>
      </c>
      <c r="BE80" s="16" t="str">
        <f aca="false">IF(AK80=0,"",IF(AT80="FT",IF(BB80&lt;FT_First,0,IF(BB80&lt;FT_Y5,1+INT((BB80-FT_First)/FT_Int1),FT_PreY5+FT_PerYear*INT((BB80-FT_Y5)/12)+FT_AnnivDays+INT(MOD(BB80-FT_Y5,12)/FT_Int2)-IF(EDATE(AL80,FT_Y5)&lt;PolicyEff,FT_AnnivDays-1,0))),IF(AT80="PT",IF(BB80&lt;PT_First,0,1+INT((BB80-PT_First)/PT_Int)),0))+IF(AND(AM80&gt;=2,AO80&lt;=PFYDate),IF(AU80="FT",IF(BC80&lt;FT_First,0,IF(BC80&lt;FT_Y5,1+INT((BC80-FT_First)/FT_Int1),FT_PreY5+FT_PerYear*INT((BC80-FT_Y5)/12)+FT_AnnivDays+INT(MOD(BC80-FT_Y5,12)/FT_Int2)-IF(EDATE(AL80,FT_Y5)&lt;PolicyEff,FT_AnnivDays-1,0))),IF(AU80="PT",IF(BC80&lt;PT_First,0,1+INT((BC80-PT_First)/PT_Int)),0))-IF(AU80="FT",IF(BB80&lt;FT_First,0,IF(BB80&lt;FT_Y5,1+INT((BB80-FT_First)/FT_Int1),FT_PreY5+FT_PerYear*INT((BB80-FT_Y5)/12)+FT_AnnivDays+INT(MOD(BB80-FT_Y5,12)/FT_Int2)-IF(EDATE(AL80,FT_Y5)&lt;PolicyEff,FT_AnnivDays-1,0))),IF(AU80="PT",IF(BB80&lt;PT_First,0,1+INT((BB80-PT_First)/PT_Int)),0)),0)+IF(AND(AM80&gt;=3,AP80&lt;=PFYDate),IF(AV80="FT",IF(BA80&lt;FT_First,0,IF(BA80&lt;FT_Y5,1+INT((BA80-FT_First)/FT_Int1),FT_PreY5+FT_PerYear*INT((BA80-FT_Y5)/12)+FT_AnnivDays+INT(MOD(BA80-FT_Y5,12)/FT_Int2)-IF(EDATE(AL80,FT_Y5)&lt;PolicyEff,FT_AnnivDays-1,0))),IF(AV80="PT",IF(BA80&lt;PT_First,0,1+INT((BA80-PT_First)/PT_Int)),0))-IF(AV80="FT",IF(BC80&lt;FT_First,0,IF(BC80&lt;FT_Y5,1+INT((BC80-FT_First)/FT_Int1),FT_PreY5+FT_PerYear*INT((BC80-FT_Y5)/12)+FT_AnnivDays+INT(MOD(BC80-FT_Y5,12)/FT_Int2)-IF(EDATE(AL80,FT_Y5)&lt;PolicyEff,FT_AnnivDays-1,0))),IF(AV80="PT",IF(BC80&lt;PT_First,0,1+INT((BC80-PT_First)/PT_Int)),0)),0))</f>
        <v/>
      </c>
      <c r="BF80" s="16" t="str">
        <f aca="false">IF(AK80=0,"",IF(AW80="FT",IF(AX80&lt;FT_First,FT_First,IF(AX80&lt;FT_Y5,MIN(FT_Y5,FT_First+FT_Int1*(INT((AX80-FT_First)/FT_Int1)+1)),FT_Y5+12*INT((AX80-FT_Y5)/12)+FT_Int2*(INT(MOD(AX80-FT_Y5,12)/FT_Int2)+1))),IF(AW80="PT",IF(AX80&lt;PT_First,PT_First,PT_First+PT_Int*(INT((AX80-PT_First)/PT_Int)+1)),"")))</f>
        <v/>
      </c>
      <c r="BG80" s="16" t="str">
        <f aca="false">IF(AK80=0,"",IF(NOT(LH_Ready),0,COUNTIFS(INDEX(LH_Data,0,LH_ColFirst),$A80,INDEX(LH_Data,0,LH_ColSur),$B80,INDEX(LH_Data,0,LH_ColCat),BonusCat)))</f>
        <v/>
      </c>
      <c r="BH80" s="16" t="str">
        <f aca="false">IF(AK80=0,"",IF(OR(NOT(LH_Ready),BG80=0),0,SUMPRODUCT(MAX((INDEX(LH_Data,0,LH_ColFirst)=$A80)*(INDEX(LH_Data,0,LH_ColSur)=$B80)*(INDEX(LH_Data,0,LH_ColCat)=BonusCat)*ROW(LH_Data)))))</f>
        <v/>
      </c>
      <c r="BI80" s="16" t="str">
        <f aca="false">IF(AK80=0,"",IF(EOMONTH(AsOfDate,-1)&lt;AL80,-1,12*(YEAR(EOMONTH(AsOfDate,-1))-YEAR(AL80))+MONTH(EOMONTH(AsOfDate,-1))-MONTH(AL80)-IF(DAY(EOMONTH(AsOfDate,-1))&lt;MIN(DAY(AL80),DAY(EOMONTH(EOMONTH(AsOfDate,-1),0))),1,0)))</f>
        <v/>
      </c>
      <c r="BJ80" s="16" t="str">
        <f aca="false">IF(AK80=0,"",IF(OR(AM80&lt;2,AO80&gt;EOMONTH(AsOfDate,-1)),BI80,IF((AO80-1)&lt;AL80,-1,12*(YEAR((AO80-1))-YEAR(AL80))+MONTH((AO80-1))-MONTH(AL80)-IF(DAY((AO80-1))&lt;MIN(DAY(AL80),DAY(EOMONTH((AO80-1),0))),1,0))))</f>
        <v/>
      </c>
      <c r="BK80" s="16" t="str">
        <f aca="false">IF(AK80=0,"",IF(OR(AM80&lt;3,AP80&gt;EOMONTH(AsOfDate,-1)),BI80,IF((AP80-1)&lt;AL80,-1,12*(YEAR((AP80-1))-YEAR(AL80))+MONTH((AP80-1))-MONTH(AL80)-IF(DAY((AP80-1))&lt;MIN(DAY(AL80),DAY(EOMONTH((AP80-1),0))),1,0))))</f>
        <v/>
      </c>
      <c r="BL80" s="16" t="str">
        <f aca="false">IF(AK80=0,"",IF(AT80="FT",IF(BJ80&lt;FT_First,0,IF(BJ80&lt;FT_Y5,1+INT((BJ80-FT_First)/FT_Int1),FT_PreY5+FT_PerYear*INT((BJ80-FT_Y5)/12)+FT_AnnivDays+INT(MOD(BJ80-FT_Y5,12)/FT_Int2)-IF(EDATE(AL80,FT_Y5)&lt;PolicyEff,FT_AnnivDays-1,0))),IF(AT80="PT",IF(BJ80&lt;PT_First,0,1+INT((BJ80-PT_First)/PT_Int)),0))+IF(AND(AM80&gt;=2,AO80&lt;=EOMONTH(AsOfDate,-1)),IF(AU80="FT",IF(BK80&lt;FT_First,0,IF(BK80&lt;FT_Y5,1+INT((BK80-FT_First)/FT_Int1),FT_PreY5+FT_PerYear*INT((BK80-FT_Y5)/12)+FT_AnnivDays+INT(MOD(BK80-FT_Y5,12)/FT_Int2)-IF(EDATE(AL80,FT_Y5)&lt;PolicyEff,FT_AnnivDays-1,0))),IF(AU80="PT",IF(BK80&lt;PT_First,0,1+INT((BK80-PT_First)/PT_Int)),0))-IF(AU80="FT",IF(BJ80&lt;FT_First,0,IF(BJ80&lt;FT_Y5,1+INT((BJ80-FT_First)/FT_Int1),FT_PreY5+FT_PerYear*INT((BJ80-FT_Y5)/12)+FT_AnnivDays+INT(MOD(BJ80-FT_Y5,12)/FT_Int2)-IF(EDATE(AL80,FT_Y5)&lt;PolicyEff,FT_AnnivDays-1,0))),IF(AU80="PT",IF(BJ80&lt;PT_First,0,1+INT((BJ80-PT_First)/PT_Int)),0)),0)+IF(AND(AM80&gt;=3,AP80&lt;=EOMONTH(AsOfDate,-1)),IF(AV80="FT",IF(BI80&lt;FT_First,0,IF(BI80&lt;FT_Y5,1+INT((BI80-FT_First)/FT_Int1),FT_PreY5+FT_PerYear*INT((BI80-FT_Y5)/12)+FT_AnnivDays+INT(MOD(BI80-FT_Y5,12)/FT_Int2)-IF(EDATE(AL80,FT_Y5)&lt;PolicyEff,FT_AnnivDays-1,0))),IF(AV80="PT",IF(BI80&lt;PT_First,0,1+INT((BI80-PT_First)/PT_Int)),0))-IF(AV80="FT",IF(BK80&lt;FT_First,0,IF(BK80&lt;FT_Y5,1+INT((BK80-FT_First)/FT_Int1),FT_PreY5+FT_PerYear*INT((BK80-FT_Y5)/12)+FT_AnnivDays+INT(MOD(BK80-FT_Y5,12)/FT_Int2)-IF(EDATE(AL80,FT_Y5)&lt;PolicyEff,FT_AnnivDays-1,0))),IF(AV80="PT",IF(BK80&lt;PT_First,0,1+INT((BK80-PT_First)/PT_Int)),0)),0))</f>
        <v/>
      </c>
      <c r="BM80" s="16" t="str">
        <f aca="false">IF(AK80=0,"",IF(AW80="FT",IF(AX80&lt;FT_First,"",IF(AX80&lt;FT_Y5,FT_First+FT_Int1*INT((AX80-FT_First)/FT_Int1),FT_Y5+FT_Int2*INT((AX80-FT_Y5)/FT_Int2))),IF(AW80="PT",IF(AX80&lt;PT_First,"",PT_First+PT_Int*INT((AX80-PT_First)/PT_Int)),"")))</f>
        <v/>
      </c>
      <c r="BN80" s="16" t="str">
        <f aca="false">IF(AK80=0,"",IF((SchemeStart-1)&lt;AL80,-1,12*(YEAR((SchemeStart-1))-YEAR(AL80))+MONTH((SchemeStart-1))-MONTH(AL80)-IF(DAY((SchemeStart-1))&lt;MIN(DAY(AL80),DAY(EOMONTH((SchemeStart-1),0))),1,0)))</f>
        <v/>
      </c>
      <c r="BO80" s="16" t="str">
        <f aca="false">IF(AK80=0,"",IF(OR(AM80&lt;2,AO80&gt;(SchemeStart-1)),BN80,IF((AO80-1)&lt;AL80,-1,12*(YEAR((AO80-1))-YEAR(AL80))+MONTH((AO80-1))-MONTH(AL80)-IF(DAY((AO80-1))&lt;MIN(DAY(AL80),DAY(EOMONTH((AO80-1),0))),1,0))))</f>
        <v/>
      </c>
      <c r="BP80" s="16" t="str">
        <f aca="false">IF(AK80=0,"",IF(OR(AM80&lt;3,AP80&gt;(SchemeStart-1)),BN80,IF((AP80-1)&lt;AL80,-1,12*(YEAR((AP80-1))-YEAR(AL80))+MONTH((AP80-1))-MONTH(AL80)-IF(DAY((AP80-1))&lt;MIN(DAY(AL80),DAY(EOMONTH((AP80-1),0))),1,0))))</f>
        <v/>
      </c>
      <c r="BQ80" s="16" t="str">
        <f aca="false">IF(AK80=0,"",IF(AT80="FT",IF(BO80&lt;FT_First,0,IF(BO80&lt;FT_Y5,1+INT((BO80-FT_First)/FT_Int1),FT_PreY5+FT_PerYear*INT((BO80-FT_Y5)/12)+FT_AnnivDays+INT(MOD(BO80-FT_Y5,12)/FT_Int2)-IF(EDATE(AL80,FT_Y5)&lt;PolicyEff,FT_AnnivDays-1,0))),IF(AT80="PT",IF(BO80&lt;PT_First,0,1+INT((BO80-PT_First)/PT_Int)),0))+IF(AND(AM80&gt;=2,AO80&lt;=(SchemeStart-1)),IF(AU80="FT",IF(BP80&lt;FT_First,0,IF(BP80&lt;FT_Y5,1+INT((BP80-FT_First)/FT_Int1),FT_PreY5+FT_PerYear*INT((BP80-FT_Y5)/12)+FT_AnnivDays+INT(MOD(BP80-FT_Y5,12)/FT_Int2)-IF(EDATE(AL80,FT_Y5)&lt;PolicyEff,FT_AnnivDays-1,0))),IF(AU80="PT",IF(BP80&lt;PT_First,0,1+INT((BP80-PT_First)/PT_Int)),0))-IF(AU80="FT",IF(BO80&lt;FT_First,0,IF(BO80&lt;FT_Y5,1+INT((BO80-FT_First)/FT_Int1),FT_PreY5+FT_PerYear*INT((BO80-FT_Y5)/12)+FT_AnnivDays+INT(MOD(BO80-FT_Y5,12)/FT_Int2)-IF(EDATE(AL80,FT_Y5)&lt;PolicyEff,FT_AnnivDays-1,0))),IF(AU80="PT",IF(BO80&lt;PT_First,0,1+INT((BO80-PT_First)/PT_Int)),0)),0)+IF(AND(AM80&gt;=3,AP80&lt;=(SchemeStart-1)),IF(AV80="FT",IF(BN80&lt;FT_First,0,IF(BN80&lt;FT_Y5,1+INT((BN80-FT_First)/FT_Int1),FT_PreY5+FT_PerYear*INT((BN80-FT_Y5)/12)+FT_AnnivDays+INT(MOD(BN80-FT_Y5,12)/FT_Int2)-IF(EDATE(AL80,FT_Y5)&lt;PolicyEff,FT_AnnivDays-1,0))),IF(AV80="PT",IF(BN80&lt;PT_First,0,1+INT((BN80-PT_First)/PT_Int)),0))-IF(AV80="FT",IF(BP80&lt;FT_First,0,IF(BP80&lt;FT_Y5,1+INT((BP80-FT_First)/FT_Int1),FT_PreY5+FT_PerYear*INT((BP80-FT_Y5)/12)+FT_AnnivDays+INT(MOD(BP80-FT_Y5,12)/FT_Int2)-IF(EDATE(AL80,FT_Y5)&lt;PolicyEff,FT_AnnivDays-1,0))),IF(AV80="PT",IF(BP80&lt;PT_First,0,1+INT((BP80-PT_First)/PT_Int)),0)),0))</f>
        <v/>
      </c>
      <c r="BR80" s="0" t="str">
        <f aca="false">IF(LEN($A80&amp;$B80)=0,"",$A80&amp;" "&amp;$B80)</f>
        <v/>
      </c>
    </row>
    <row r="81" customFormat="false" ht="15" hidden="false" customHeight="false" outlineLevel="0" collapsed="false">
      <c r="A81" s="12"/>
      <c r="B81" s="12"/>
      <c r="C81" s="12"/>
      <c r="D81" s="13"/>
      <c r="E81" s="14" t="str">
        <f aca="false">IF(OR(AK81=0,$D81=""),"",DATE(YEAR(AsOfDate)+IF(DATE(YEAR(AsOfDate),MONTH($D81),DAY($D81))&lt;=AsOfDate,1,0),MONTH($D81),DAY($D81)))</f>
        <v/>
      </c>
      <c r="F81" s="13"/>
      <c r="G81" s="13"/>
      <c r="H81" s="13"/>
      <c r="I81" s="13"/>
      <c r="J81" s="13"/>
      <c r="K81" s="14" t="str">
        <f aca="false">IF(AK81=0,"",DATE(YEAR(AsOfDate)+IF(DATE(YEAR(AsOfDate),MONTH(AL81),DAY(AL81))&lt;=AsOfDate,1,0),MONTH(AL81),DAY(AL81)))</f>
        <v/>
      </c>
      <c r="L81" s="15" t="str">
        <f aca="false">IF(AK81=0,"",ROUND((AsOfDate-AL81)/365.25,1))</f>
        <v/>
      </c>
      <c r="M81" s="16" t="str">
        <f aca="false">IF(AK81=0,"",IF(AsOfDate&lt;AL81,"-",DATEDIF(AL81,AsOfDate,"y")&amp;"y "&amp;DATEDIF(AL81,AsOfDate,"ym")&amp;"m "&amp;DATEDIF(AL81,AsOfDate,"md")&amp;"d"))</f>
        <v/>
      </c>
      <c r="N81" s="17" t="str">
        <f aca="false">IF(AK81=0,"",O81*HoursPerDay)</f>
        <v/>
      </c>
      <c r="O81" s="17" t="str">
        <f aca="false">IF(AK81=0,"",MAX(0,BD81-BQ81))</f>
        <v/>
      </c>
      <c r="P81" s="18"/>
      <c r="Q81" s="16" t="str">
        <f aca="false">IF(AK81=0,"",IF(AM81&lt;2,"",AQ81&amp;" to "&amp;AR81&amp;" on "&amp;TEXT(AO81,"dd/mm/yyyy")&amp;IF(AO81&gt;AsOfDate," (future)",IF(AT81=AU81,"",IF(AU81="None"," - STOPPED accruing",IF(AT81="None"," - commencement for Bonus Leave"," - pathway changed"))))&amp;IF(AM81&lt;3,"","; "&amp;AR81&amp;" to "&amp;AS81&amp;" on "&amp;TEXT(AP81,"dd/mm/yyyy")&amp;IF(AP81&gt;AsOfDate," (future)",IF(AU81=AV81,"",IF(AV81="None"," - STOPPED accruing",IF(AU81="None"," - commencement for Bonus Leave"," - pathway changed")))))))</f>
        <v/>
      </c>
      <c r="R81" s="16" t="str">
        <f aca="false">IF(AK81=0,"",IF(AW81="None",IF(O81&gt;0,"No longer accruing","Not eligible - "&amp;IF(AND(OR(ISNUMBER(SEARCH("part",$C81)),UPPER(TRIM($C81))="PT",UPPER(TRIM($C81))="PTE"),Apply2026="No"),"part-time (scheme is full-time only)",IF(AND(OR(ISNUMBER(SEARCH("part",$C81)),UPPER(TRIM($C81))="PT",UPPER(TRIM($C81))="PTE"),$P81&lt;&gt;"",N($P81)&lt;PT_MinHours),"under "&amp;PT_MinHours&amp;" hrs",IF(IF($C81="","",IF(OR(ISNUMBER(SEARCH("full",$C81)),UPPER(TRIM($C81))="FT",UPPER(TRIM($C81))="FTE"),"Full-Time",IF(OR(ISNUMBER(SEARCH("part",$C81)),UPPER(TRIM($C81))="PT",UPPER(TRIM($C81))="PTE"),"Part-Time",IF(OR(ISNUMBER(SEARCH("cas",$C81)),UPPER(TRIM($C81))="CAS"),"Casual","Unknown"))))="Unknown","type not recognised",$C81)))),IF(O81&gt;0,"Yes - Accrual Required","Not yet - from "&amp;TEXT(S81,"dd/mm/yyyy"))))</f>
        <v/>
      </c>
      <c r="S81" s="14" t="str">
        <f aca="false">IF(AK81=0,"",IF(AW81="None","",EDATE(AL81,BF81)))</f>
        <v/>
      </c>
      <c r="T81" s="17" t="str">
        <f aca="false">IF(AK81=0,"",IF(NOT(LH_Ready),"",IF($F81&gt;PFYDate,0,IF(LH_ColPeriod=0,W81-U81+V81,SUMIFS(INDEX(LH_Data,0,LH_ColAcc),INDEX(LH_Data,0,LH_ColFirst),$A81,INDEX(LH_Data,0,LH_ColSur),$B81,INDEX(LH_Data,0,LH_ColCat),BonusCat,INDEX(LH_Data,0,LH_ColPeriod),LH_OpenLabel)*UnitFactor))))</f>
        <v/>
      </c>
      <c r="U81" s="17" t="str">
        <f aca="false">IF(AK81=0,"",IF(NOT(LH_Ready),"",SUMIFS(INDEX(LH_Data,0,LH_ColAcc),INDEX(LH_Data,0,LH_ColFirst),$A81,INDEX(LH_Data,0,LH_ColSur),$B81,INDEX(LH_Data,0,LH_ColCat),BonusCat,INDEX(LH_Data,0,LH_ColStart),"&gt;="&amp;AL81)*UnitFactor))</f>
        <v/>
      </c>
      <c r="V81" s="17" t="str">
        <f aca="false">IF(AK81=0,"",IF(NOT(LH_Ready),"",SUMIFS(INDEX(LH_Data,0,LH_ColTaken),INDEX(LH_Data,0,LH_ColFirst),$A81,INDEX(LH_Data,0,LH_ColSur),$B81,INDEX(LH_Data,0,LH_ColCat),BonusCat,INDEX(LH_Data,0,LH_ColStart),"&gt;="&amp;AL81)*UnitFactor))</f>
        <v/>
      </c>
      <c r="W81" s="17" t="str">
        <f aca="false">IF(AK81=0,"",IF(NOT(LH_Ready),"",IF(BH81=0,0,INDEX(INDEX(LH_Data,0,LH_ColClose),BH81-1)*UnitFactor)))</f>
        <v/>
      </c>
      <c r="X81" s="17" t="str">
        <f aca="false">IF(AK81=0,"",(MAX(0,BD81-BQ81)-MAX(0,BE81-BQ81))*HoursPerDay)</f>
        <v/>
      </c>
      <c r="Y81" s="17" t="str">
        <f aca="false">IF(AK81=0,"",IF(NOT(LH_Ready),"",IF($AI81="Yes",N(AE81)*HoursPerDay-SUMIFS(INDEX(LH_Data,0,LH_ColAcc),INDEX(LH_Data,0,LH_ColFirst),$A81,INDEX(LH_Data,0,LH_ColSur),$B81,INDEX(LH_Data,0,LH_ColCat),BonusCat,INDEX(LH_Data,0,LH_ColStart),"&gt;="&amp;(EOMONTH(AsOfDate,-1)+1),INDEX(LH_Data,0,LH_ColStart),"&lt;="&amp;AsOfDate)*UnitFactor,IF(BG81=0,N81,N81-N(T81)-N(U81)))))</f>
        <v/>
      </c>
      <c r="Z81" s="16" t="str">
        <f aca="false">IF(OR(AK81=0,Y81=""),"",IF(Y81&gt;0,"Yes","No"))</f>
        <v/>
      </c>
      <c r="AA81" s="16" t="str">
        <f aca="false">IF(AK81=0,IF(LEN($A81&amp;$B81)=0,"","FIX INPUT - StartDate missing"),IF(AD81&lt;&gt;"","FIX INPUT - "&amp;AD81,IF(NOT(LH_Ready),"Paste Leave History export (Settings must show YES)",IF(AND($AI81="Yes",Y81&lt;=0),"OK - EH balance accepted to date"&amp;IF(N(AH81)&gt;0," (EH holds "&amp;AH81&amp;" hrs over the scheme)","")&amp;"; next day "&amp;TEXT(S81,"dd mmm yy")&amp;IF(N(AE81)&gt;0," ("&amp;AE81&amp;" day(s) for "&amp;UPPER(TEXT(AsOfDate,"mmm yyyy"))&amp;" already in EH)",""),IF(Y81&gt;0,"ACCRUE "&amp;ROUND(Y81,2)&amp;" hrs ("&amp;ROUND(Y81/HoursPerDay,2)&amp;" days): "&amp;IF(N(AE81)&gt;0,AE81&amp;" day(s) for "&amp;UPPER(TEXT(AsOfDate,"mmm yyyy"))&amp;" (milestone "&amp;UPPER(TEXT(AF81,"dd mmm yy"))&amp;")"&amp;IF(Y81/HoursPerDay&gt;AE81+0.001," + "&amp;ROUND(Y81/HoursPerDay-AE81,2)&amp;" day(s) catch-up from earlier months",""),"all catch-up from earlier months, nothing new this month")&amp;IF(BG81=0,"; no Bonus Leave in EH yet",""),IF(Y81&lt;0,"CHECK - EH accrued "&amp;ROUND(-Y81,2)&amp;" hrs more than policy since commencement",IF(N(W81)&gt;O81*HoursPerDay+0.01,"CHECK - EH balance "&amp;ROUND(W81-O81*HoursPerDay,2)&amp;" hrs more than policy entitlement",IF(O81&gt;0,"OK - nothing to add"&amp;IF(N(AE81)&gt;0," ("&amp;AE81&amp;" day(s) for "&amp;UPPER(TEXT(AsOfDate,"mmm yyyy"))&amp;" already in EH)",""),IF(AW81="None",R81,"Not yet - first day on "&amp;TEXT(S81,"dd/mm/yyyy"))))))))))</f>
        <v/>
      </c>
      <c r="AB81" s="17" t="str">
        <f aca="false">IF(OR(AK81=0,T81=""),"",MAX(0,BE81-BQ81)*HoursPerDay-T81)</f>
        <v/>
      </c>
      <c r="AC81" s="16" t="str">
        <f aca="false">IF(AK81=0,"",BG81)</f>
        <v/>
      </c>
      <c r="AD81" s="16" t="str">
        <f aca="false">IF(AK81=0,"",TRIM(IF(OR(ISTEXT($F81),ISTEXT($H81),ISTEXT($I81),ISTEXT($G81),ISTEXT($J81),ISTEXT($D81)),"A date is typed as text - retype it as dd/mm/yyyy. ","")&amp;IF(IF($C81="","",IF(OR(ISNUMBER(SEARCH("full",$C81)),UPPER(TRIM($C81))="FT",UPPER(TRIM($C81))="FTE"),"Full-Time",IF(OR(ISNUMBER(SEARCH("part",$C81)),UPPER(TRIM($C81))="PT",UPPER(TRIM($C81))="PTE"),"Part-Time",IF(OR(ISNUMBER(SEARCH("cas",$C81)),UPPER(TRIM($C81))="CAS"),"Casual","Unknown"))))="Unknown","EmploymentType not recognised - use Full-Time, Part-Time or Casual. ","")&amp;IF(AND(AM81&gt;=1,IF(AM81&gt;=3,AS81,IF(AM81=2,AR81,AQ81))&lt;&gt;IF($C81="","",IF(OR(ISNUMBER(SEARCH("full",$C81)),UPPER(TRIM($C81))="FT",UPPER(TRIM($C81))="FTE"),"Full-Time",IF(OR(ISNUMBER(SEARCH("part",$C81)),UPPER(TRIM($C81))="PT",UPPER(TRIM($C81))="PTE"),"Part-Time",IF(OR(ISNUMBER(SEARCH("cas",$C81)),UPPER(TRIM($C81))="CAS"),"Casual","Unknown"))))),"EmploymentType does not match latest start date ("&amp;IF(AM81&gt;=3,AS81,IF(AM81=2,AR81,AQ81))&amp;"). ","")&amp;IF(AND(AM81&gt;=1,AN81&lt;&gt;$F81),"Earliest type date should equal StartDate. ","")&amp;IF(AND(AM81&gt;=2,AN81=AO81),"Two types start on the same date. ","")&amp;IF(AND(OR(ISNUMBER(SEARCH("part",$C81)),UPPER(TRIM($C81))="PT",UPPER(TRIM($C81))="PTE"),$P81=""),"Part-time: enter PT Hrs/Week (blank = 24+). ","")))</f>
        <v/>
      </c>
      <c r="AE81" s="17" t="str">
        <f aca="false">IF(AK81=0,"",O81-MAX(0,BL81-BQ81))</f>
        <v/>
      </c>
      <c r="AF81" s="14" t="str">
        <f aca="false">IF(OR(AK81=0,AE81="",N(AE81)=0,BM81=""),"",EDATE(AL81,BM81))</f>
        <v/>
      </c>
      <c r="AG81" s="17" t="str">
        <f aca="false">IF(AK81=0,"",MIN(BD81,BQ81))</f>
        <v/>
      </c>
      <c r="AH81" s="17" t="str">
        <f aca="false">IF(AK81=0,"",IF(NOT(LH_Ready),"",IF(BG81=0,0,MAX(0,ROUND(N(T81)+N(U81)-N81,2)))))</f>
        <v/>
      </c>
      <c r="AI81" s="12"/>
      <c r="AJ81" s="12"/>
      <c r="AK81" s="16" t="n">
        <f aca="false">IF(OR(LEN($A81&amp;$B81)=0,$F81=""),0,1)</f>
        <v>0</v>
      </c>
      <c r="AL81" s="14" t="str">
        <f aca="false">IF(AK81=0,"",IF(PreSchemeCounts="No",MAX(SchemeStart,IF($J81&lt;&gt;"",$J81,IF(OR(CasualCounts="Yes",COUNT($G81:$I81)=0),$F81,IF(Apply2026="No",IF($I81="",$F81,$I81),IF(COUNT($H81:$I81)=0,$F81,MIN($H81:$I81)))))),IF($J81&lt;&gt;"",$J81,IF(OR(CasualCounts="Yes",COUNT($G81:$I81)=0),$F81,IF(Apply2026="No",IF($I81="",$F81,$I81),IF(COUNT($H81:$I81)=0,$F81,MIN($H81:$I81)))))))</f>
        <v/>
      </c>
      <c r="AM81" s="16" t="str">
        <f aca="false">IF(AK81=0,"",COUNT($G81:$I81))</f>
        <v/>
      </c>
      <c r="AN81" s="14" t="str">
        <f aca="false">IF(AK81=0,"",IFERROR(SMALL($G81:$I81,1),""))</f>
        <v/>
      </c>
      <c r="AO81" s="14" t="str">
        <f aca="false">IF(AK81=0,"",IFERROR(SMALL($G81:$I81,2),""))</f>
        <v/>
      </c>
      <c r="AP81" s="14" t="str">
        <f aca="false">IF(AK81=0,"",IFERROR(SMALL($G81:$I81,3),""))</f>
        <v/>
      </c>
      <c r="AQ81" s="16" t="str">
        <f aca="false">IF(AK81=0,"",IF(AN81="","",IF(AN81=$H81,"Part-Time",IF(AN81=$I81,"Full-Time","Casual"))))</f>
        <v/>
      </c>
      <c r="AR81" s="16" t="str">
        <f aca="false">IF(AK81=0,"",IF(AO81="","",IF(AO81=$H81,"Part-Time",IF(AO81=$I81,"Full-Time","Casual"))))</f>
        <v/>
      </c>
      <c r="AS81" s="16" t="str">
        <f aca="false">IF(AK81=0,"",IF(AP81="","",IF(AP81=$H81,"Part-Time",IF(AP81=$I81,"Full-Time","Casual"))))</f>
        <v/>
      </c>
      <c r="AT81" s="16" t="str">
        <f aca="false">IF(AK81=0,"",IF(AM81=0,IF(OR(ISNUMBER(SEARCH("full",$C81)),UPPER(TRIM($C81))="FT",UPPER(TRIM($C81))="FTE"),"FT",IF(AND(OR(ISNUMBER(SEARCH("part",$C81)),UPPER(TRIM($C81))="PT",UPPER(TRIM($C81))="PTE"),Apply2026="Yes",OR($P81="",N($P81)&gt;=PT_MinHours)),"PT","None")),IF(OR(ISNUMBER(SEARCH("full",AQ81)),UPPER(TRIM(AQ81))="FT",UPPER(TRIM(AQ81))="FTE"),"FT",IF(AND(OR(ISNUMBER(SEARCH("part",AQ81)),UPPER(TRIM(AQ81))="PT",UPPER(TRIM(AQ81))="PTE"),Apply2026="Yes",OR($P81="",N($P81)&gt;=PT_MinHours)),"PT","None"))))</f>
        <v/>
      </c>
      <c r="AU81" s="16" t="str">
        <f aca="false">IF(AK81=0,"",IF(AM81&lt;2,"",IF(OR(ISNUMBER(SEARCH("full",AR81)),UPPER(TRIM(AR81))="FT",UPPER(TRIM(AR81))="FTE"),"FT",IF(AND(OR(ISNUMBER(SEARCH("part",AR81)),UPPER(TRIM(AR81))="PT",UPPER(TRIM(AR81))="PTE"),Apply2026="Yes",OR($P81="",N($P81)&gt;=PT_MinHours)),"PT","None"))))</f>
        <v/>
      </c>
      <c r="AV81" s="16" t="str">
        <f aca="false">IF(AK81=0,"",IF(AM81&lt;3,"",IF(OR(ISNUMBER(SEARCH("full",AS81)),UPPER(TRIM(AS81))="FT",UPPER(TRIM(AS81))="FTE"),"FT",IF(AND(OR(ISNUMBER(SEARCH("part",AS81)),UPPER(TRIM(AS81))="PT",UPPER(TRIM(AS81))="PTE"),Apply2026="Yes",OR($P81="",N($P81)&gt;=PT_MinHours)),"PT","None"))))</f>
        <v/>
      </c>
      <c r="AW81" s="16" t="str">
        <f aca="false">IF(AK81=0,"",IF(AND(AM81&gt;=3,AP81&lt;=AsOfDate),AV81,IF(AND(AM81&gt;=2,AO81&lt;=AsOfDate),AU81,AT81)))</f>
        <v/>
      </c>
      <c r="AX81" s="16" t="str">
        <f aca="false">IF(AK81=0,"",IF(AsOfDate&lt;AL81,-1,12*(YEAR(AsOfDate)-YEAR(AL81))+MONTH(AsOfDate)-MONTH(AL81)-IF(DAY(AsOfDate)&lt;MIN(DAY(AL81),DAY(EOMONTH(AsOfDate,0))),1,0)))</f>
        <v/>
      </c>
      <c r="AY81" s="16" t="str">
        <f aca="false">IF(AK81=0,"",IF(OR(AM81&lt;2,AO81&gt;AsOfDate),AX81,IF((AO81-1)&lt;AL81,-1,12*(YEAR((AO81-1))-YEAR(AL81))+MONTH((AO81-1))-MONTH(AL81)-IF(DAY((AO81-1))&lt;MIN(DAY(AL81),DAY(EOMONTH((AO81-1),0))),1,0))))</f>
        <v/>
      </c>
      <c r="AZ81" s="16" t="str">
        <f aca="false">IF(AK81=0,"",IF(OR(AM81&lt;3,AP81&gt;AsOfDate),AX81,IF((AP81-1)&lt;AL81,-1,12*(YEAR((AP81-1))-YEAR(AL81))+MONTH((AP81-1))-MONTH(AL81)-IF(DAY((AP81-1))&lt;MIN(DAY(AL81),DAY(EOMONTH((AP81-1),0))),1,0))))</f>
        <v/>
      </c>
      <c r="BA81" s="16" t="str">
        <f aca="false">IF(AK81=0,"",IF(PFYDate&lt;AL81,-1,12*(YEAR(PFYDate)-YEAR(AL81))+MONTH(PFYDate)-MONTH(AL81)-IF(DAY(PFYDate)&lt;MIN(DAY(AL81),DAY(EOMONTH(PFYDate,0))),1,0)))</f>
        <v/>
      </c>
      <c r="BB81" s="16" t="str">
        <f aca="false">IF(AK81=0,"",IF(OR(AM81&lt;2,AO81&gt;PFYDate),BA81,IF((AO81-1)&lt;AL81,-1,12*(YEAR((AO81-1))-YEAR(AL81))+MONTH((AO81-1))-MONTH(AL81)-IF(DAY((AO81-1))&lt;MIN(DAY(AL81),DAY(EOMONTH((AO81-1),0))),1,0))))</f>
        <v/>
      </c>
      <c r="BC81" s="16" t="str">
        <f aca="false">IF(AK81=0,"",IF(OR(AM81&lt;3,AP81&gt;PFYDate),BA81,IF((AP81-1)&lt;AL81,-1,12*(YEAR((AP81-1))-YEAR(AL81))+MONTH((AP81-1))-MONTH(AL81)-IF(DAY((AP81-1))&lt;MIN(DAY(AL81),DAY(EOMONTH((AP81-1),0))),1,0))))</f>
        <v/>
      </c>
      <c r="BD81" s="16" t="str">
        <f aca="false">IF(AK81=0,"",IF(AT81="FT",IF(AY81&lt;FT_First,0,IF(AY81&lt;FT_Y5,1+INT((AY81-FT_First)/FT_Int1),FT_PreY5+FT_PerYear*INT((AY81-FT_Y5)/12)+FT_AnnivDays+INT(MOD(AY81-FT_Y5,12)/FT_Int2)-IF(EDATE(AL81,FT_Y5)&lt;PolicyEff,FT_AnnivDays-1,0))),IF(AT81="PT",IF(AY81&lt;PT_First,0,1+INT((AY81-PT_First)/PT_Int)),0))+IF(AND(AM81&gt;=2,AO81&lt;=AsOfDate),IF(AU81="FT",IF(AZ81&lt;FT_First,0,IF(AZ81&lt;FT_Y5,1+INT((AZ81-FT_First)/FT_Int1),FT_PreY5+FT_PerYear*INT((AZ81-FT_Y5)/12)+FT_AnnivDays+INT(MOD(AZ81-FT_Y5,12)/FT_Int2)-IF(EDATE(AL81,FT_Y5)&lt;PolicyEff,FT_AnnivDays-1,0))),IF(AU81="PT",IF(AZ81&lt;PT_First,0,1+INT((AZ81-PT_First)/PT_Int)),0))-IF(AU81="FT",IF(AY81&lt;FT_First,0,IF(AY81&lt;FT_Y5,1+INT((AY81-FT_First)/FT_Int1),FT_PreY5+FT_PerYear*INT((AY81-FT_Y5)/12)+FT_AnnivDays+INT(MOD(AY81-FT_Y5,12)/FT_Int2)-IF(EDATE(AL81,FT_Y5)&lt;PolicyEff,FT_AnnivDays-1,0))),IF(AU81="PT",IF(AY81&lt;PT_First,0,1+INT((AY81-PT_First)/PT_Int)),0)),0)+IF(AND(AM81&gt;=3,AP81&lt;=AsOfDate),IF(AV81="FT",IF(AX81&lt;FT_First,0,IF(AX81&lt;FT_Y5,1+INT((AX81-FT_First)/FT_Int1),FT_PreY5+FT_PerYear*INT((AX81-FT_Y5)/12)+FT_AnnivDays+INT(MOD(AX81-FT_Y5,12)/FT_Int2)-IF(EDATE(AL81,FT_Y5)&lt;PolicyEff,FT_AnnivDays-1,0))),IF(AV81="PT",IF(AX81&lt;PT_First,0,1+INT((AX81-PT_First)/PT_Int)),0))-IF(AV81="FT",IF(AZ81&lt;FT_First,0,IF(AZ81&lt;FT_Y5,1+INT((AZ81-FT_First)/FT_Int1),FT_PreY5+FT_PerYear*INT((AZ81-FT_Y5)/12)+FT_AnnivDays+INT(MOD(AZ81-FT_Y5,12)/FT_Int2)-IF(EDATE(AL81,FT_Y5)&lt;PolicyEff,FT_AnnivDays-1,0))),IF(AV81="PT",IF(AZ81&lt;PT_First,0,1+INT((AZ81-PT_First)/PT_Int)),0)),0))</f>
        <v/>
      </c>
      <c r="BE81" s="16" t="str">
        <f aca="false">IF(AK81=0,"",IF(AT81="FT",IF(BB81&lt;FT_First,0,IF(BB81&lt;FT_Y5,1+INT((BB81-FT_First)/FT_Int1),FT_PreY5+FT_PerYear*INT((BB81-FT_Y5)/12)+FT_AnnivDays+INT(MOD(BB81-FT_Y5,12)/FT_Int2)-IF(EDATE(AL81,FT_Y5)&lt;PolicyEff,FT_AnnivDays-1,0))),IF(AT81="PT",IF(BB81&lt;PT_First,0,1+INT((BB81-PT_First)/PT_Int)),0))+IF(AND(AM81&gt;=2,AO81&lt;=PFYDate),IF(AU81="FT",IF(BC81&lt;FT_First,0,IF(BC81&lt;FT_Y5,1+INT((BC81-FT_First)/FT_Int1),FT_PreY5+FT_PerYear*INT((BC81-FT_Y5)/12)+FT_AnnivDays+INT(MOD(BC81-FT_Y5,12)/FT_Int2)-IF(EDATE(AL81,FT_Y5)&lt;PolicyEff,FT_AnnivDays-1,0))),IF(AU81="PT",IF(BC81&lt;PT_First,0,1+INT((BC81-PT_First)/PT_Int)),0))-IF(AU81="FT",IF(BB81&lt;FT_First,0,IF(BB81&lt;FT_Y5,1+INT((BB81-FT_First)/FT_Int1),FT_PreY5+FT_PerYear*INT((BB81-FT_Y5)/12)+FT_AnnivDays+INT(MOD(BB81-FT_Y5,12)/FT_Int2)-IF(EDATE(AL81,FT_Y5)&lt;PolicyEff,FT_AnnivDays-1,0))),IF(AU81="PT",IF(BB81&lt;PT_First,0,1+INT((BB81-PT_First)/PT_Int)),0)),0)+IF(AND(AM81&gt;=3,AP81&lt;=PFYDate),IF(AV81="FT",IF(BA81&lt;FT_First,0,IF(BA81&lt;FT_Y5,1+INT((BA81-FT_First)/FT_Int1),FT_PreY5+FT_PerYear*INT((BA81-FT_Y5)/12)+FT_AnnivDays+INT(MOD(BA81-FT_Y5,12)/FT_Int2)-IF(EDATE(AL81,FT_Y5)&lt;PolicyEff,FT_AnnivDays-1,0))),IF(AV81="PT",IF(BA81&lt;PT_First,0,1+INT((BA81-PT_First)/PT_Int)),0))-IF(AV81="FT",IF(BC81&lt;FT_First,0,IF(BC81&lt;FT_Y5,1+INT((BC81-FT_First)/FT_Int1),FT_PreY5+FT_PerYear*INT((BC81-FT_Y5)/12)+FT_AnnivDays+INT(MOD(BC81-FT_Y5,12)/FT_Int2)-IF(EDATE(AL81,FT_Y5)&lt;PolicyEff,FT_AnnivDays-1,0))),IF(AV81="PT",IF(BC81&lt;PT_First,0,1+INT((BC81-PT_First)/PT_Int)),0)),0))</f>
        <v/>
      </c>
      <c r="BF81" s="16" t="str">
        <f aca="false">IF(AK81=0,"",IF(AW81="FT",IF(AX81&lt;FT_First,FT_First,IF(AX81&lt;FT_Y5,MIN(FT_Y5,FT_First+FT_Int1*(INT((AX81-FT_First)/FT_Int1)+1)),FT_Y5+12*INT((AX81-FT_Y5)/12)+FT_Int2*(INT(MOD(AX81-FT_Y5,12)/FT_Int2)+1))),IF(AW81="PT",IF(AX81&lt;PT_First,PT_First,PT_First+PT_Int*(INT((AX81-PT_First)/PT_Int)+1)),"")))</f>
        <v/>
      </c>
      <c r="BG81" s="16" t="str">
        <f aca="false">IF(AK81=0,"",IF(NOT(LH_Ready),0,COUNTIFS(INDEX(LH_Data,0,LH_ColFirst),$A81,INDEX(LH_Data,0,LH_ColSur),$B81,INDEX(LH_Data,0,LH_ColCat),BonusCat)))</f>
        <v/>
      </c>
      <c r="BH81" s="16" t="str">
        <f aca="false">IF(AK81=0,"",IF(OR(NOT(LH_Ready),BG81=0),0,SUMPRODUCT(MAX((INDEX(LH_Data,0,LH_ColFirst)=$A81)*(INDEX(LH_Data,0,LH_ColSur)=$B81)*(INDEX(LH_Data,0,LH_ColCat)=BonusCat)*ROW(LH_Data)))))</f>
        <v/>
      </c>
      <c r="BI81" s="16" t="str">
        <f aca="false">IF(AK81=0,"",IF(EOMONTH(AsOfDate,-1)&lt;AL81,-1,12*(YEAR(EOMONTH(AsOfDate,-1))-YEAR(AL81))+MONTH(EOMONTH(AsOfDate,-1))-MONTH(AL81)-IF(DAY(EOMONTH(AsOfDate,-1))&lt;MIN(DAY(AL81),DAY(EOMONTH(EOMONTH(AsOfDate,-1),0))),1,0)))</f>
        <v/>
      </c>
      <c r="BJ81" s="16" t="str">
        <f aca="false">IF(AK81=0,"",IF(OR(AM81&lt;2,AO81&gt;EOMONTH(AsOfDate,-1)),BI81,IF((AO81-1)&lt;AL81,-1,12*(YEAR((AO81-1))-YEAR(AL81))+MONTH((AO81-1))-MONTH(AL81)-IF(DAY((AO81-1))&lt;MIN(DAY(AL81),DAY(EOMONTH((AO81-1),0))),1,0))))</f>
        <v/>
      </c>
      <c r="BK81" s="16" t="str">
        <f aca="false">IF(AK81=0,"",IF(OR(AM81&lt;3,AP81&gt;EOMONTH(AsOfDate,-1)),BI81,IF((AP81-1)&lt;AL81,-1,12*(YEAR((AP81-1))-YEAR(AL81))+MONTH((AP81-1))-MONTH(AL81)-IF(DAY((AP81-1))&lt;MIN(DAY(AL81),DAY(EOMONTH((AP81-1),0))),1,0))))</f>
        <v/>
      </c>
      <c r="BL81" s="16" t="str">
        <f aca="false">IF(AK81=0,"",IF(AT81="FT",IF(BJ81&lt;FT_First,0,IF(BJ81&lt;FT_Y5,1+INT((BJ81-FT_First)/FT_Int1),FT_PreY5+FT_PerYear*INT((BJ81-FT_Y5)/12)+FT_AnnivDays+INT(MOD(BJ81-FT_Y5,12)/FT_Int2)-IF(EDATE(AL81,FT_Y5)&lt;PolicyEff,FT_AnnivDays-1,0))),IF(AT81="PT",IF(BJ81&lt;PT_First,0,1+INT((BJ81-PT_First)/PT_Int)),0))+IF(AND(AM81&gt;=2,AO81&lt;=EOMONTH(AsOfDate,-1)),IF(AU81="FT",IF(BK81&lt;FT_First,0,IF(BK81&lt;FT_Y5,1+INT((BK81-FT_First)/FT_Int1),FT_PreY5+FT_PerYear*INT((BK81-FT_Y5)/12)+FT_AnnivDays+INT(MOD(BK81-FT_Y5,12)/FT_Int2)-IF(EDATE(AL81,FT_Y5)&lt;PolicyEff,FT_AnnivDays-1,0))),IF(AU81="PT",IF(BK81&lt;PT_First,0,1+INT((BK81-PT_First)/PT_Int)),0))-IF(AU81="FT",IF(BJ81&lt;FT_First,0,IF(BJ81&lt;FT_Y5,1+INT((BJ81-FT_First)/FT_Int1),FT_PreY5+FT_PerYear*INT((BJ81-FT_Y5)/12)+FT_AnnivDays+INT(MOD(BJ81-FT_Y5,12)/FT_Int2)-IF(EDATE(AL81,FT_Y5)&lt;PolicyEff,FT_AnnivDays-1,0))),IF(AU81="PT",IF(BJ81&lt;PT_First,0,1+INT((BJ81-PT_First)/PT_Int)),0)),0)+IF(AND(AM81&gt;=3,AP81&lt;=EOMONTH(AsOfDate,-1)),IF(AV81="FT",IF(BI81&lt;FT_First,0,IF(BI81&lt;FT_Y5,1+INT((BI81-FT_First)/FT_Int1),FT_PreY5+FT_PerYear*INT((BI81-FT_Y5)/12)+FT_AnnivDays+INT(MOD(BI81-FT_Y5,12)/FT_Int2)-IF(EDATE(AL81,FT_Y5)&lt;PolicyEff,FT_AnnivDays-1,0))),IF(AV81="PT",IF(BI81&lt;PT_First,0,1+INT((BI81-PT_First)/PT_Int)),0))-IF(AV81="FT",IF(BK81&lt;FT_First,0,IF(BK81&lt;FT_Y5,1+INT((BK81-FT_First)/FT_Int1),FT_PreY5+FT_PerYear*INT((BK81-FT_Y5)/12)+FT_AnnivDays+INT(MOD(BK81-FT_Y5,12)/FT_Int2)-IF(EDATE(AL81,FT_Y5)&lt;PolicyEff,FT_AnnivDays-1,0))),IF(AV81="PT",IF(BK81&lt;PT_First,0,1+INT((BK81-PT_First)/PT_Int)),0)),0))</f>
        <v/>
      </c>
      <c r="BM81" s="16" t="str">
        <f aca="false">IF(AK81=0,"",IF(AW81="FT",IF(AX81&lt;FT_First,"",IF(AX81&lt;FT_Y5,FT_First+FT_Int1*INT((AX81-FT_First)/FT_Int1),FT_Y5+FT_Int2*INT((AX81-FT_Y5)/FT_Int2))),IF(AW81="PT",IF(AX81&lt;PT_First,"",PT_First+PT_Int*INT((AX81-PT_First)/PT_Int)),"")))</f>
        <v/>
      </c>
      <c r="BN81" s="16" t="str">
        <f aca="false">IF(AK81=0,"",IF((SchemeStart-1)&lt;AL81,-1,12*(YEAR((SchemeStart-1))-YEAR(AL81))+MONTH((SchemeStart-1))-MONTH(AL81)-IF(DAY((SchemeStart-1))&lt;MIN(DAY(AL81),DAY(EOMONTH((SchemeStart-1),0))),1,0)))</f>
        <v/>
      </c>
      <c r="BO81" s="16" t="str">
        <f aca="false">IF(AK81=0,"",IF(OR(AM81&lt;2,AO81&gt;(SchemeStart-1)),BN81,IF((AO81-1)&lt;AL81,-1,12*(YEAR((AO81-1))-YEAR(AL81))+MONTH((AO81-1))-MONTH(AL81)-IF(DAY((AO81-1))&lt;MIN(DAY(AL81),DAY(EOMONTH((AO81-1),0))),1,0))))</f>
        <v/>
      </c>
      <c r="BP81" s="16" t="str">
        <f aca="false">IF(AK81=0,"",IF(OR(AM81&lt;3,AP81&gt;(SchemeStart-1)),BN81,IF((AP81-1)&lt;AL81,-1,12*(YEAR((AP81-1))-YEAR(AL81))+MONTH((AP81-1))-MONTH(AL81)-IF(DAY((AP81-1))&lt;MIN(DAY(AL81),DAY(EOMONTH((AP81-1),0))),1,0))))</f>
        <v/>
      </c>
      <c r="BQ81" s="16" t="str">
        <f aca="false">IF(AK81=0,"",IF(AT81="FT",IF(BO81&lt;FT_First,0,IF(BO81&lt;FT_Y5,1+INT((BO81-FT_First)/FT_Int1),FT_PreY5+FT_PerYear*INT((BO81-FT_Y5)/12)+FT_AnnivDays+INT(MOD(BO81-FT_Y5,12)/FT_Int2)-IF(EDATE(AL81,FT_Y5)&lt;PolicyEff,FT_AnnivDays-1,0))),IF(AT81="PT",IF(BO81&lt;PT_First,0,1+INT((BO81-PT_First)/PT_Int)),0))+IF(AND(AM81&gt;=2,AO81&lt;=(SchemeStart-1)),IF(AU81="FT",IF(BP81&lt;FT_First,0,IF(BP81&lt;FT_Y5,1+INT((BP81-FT_First)/FT_Int1),FT_PreY5+FT_PerYear*INT((BP81-FT_Y5)/12)+FT_AnnivDays+INT(MOD(BP81-FT_Y5,12)/FT_Int2)-IF(EDATE(AL81,FT_Y5)&lt;PolicyEff,FT_AnnivDays-1,0))),IF(AU81="PT",IF(BP81&lt;PT_First,0,1+INT((BP81-PT_First)/PT_Int)),0))-IF(AU81="FT",IF(BO81&lt;FT_First,0,IF(BO81&lt;FT_Y5,1+INT((BO81-FT_First)/FT_Int1),FT_PreY5+FT_PerYear*INT((BO81-FT_Y5)/12)+FT_AnnivDays+INT(MOD(BO81-FT_Y5,12)/FT_Int2)-IF(EDATE(AL81,FT_Y5)&lt;PolicyEff,FT_AnnivDays-1,0))),IF(AU81="PT",IF(BO81&lt;PT_First,0,1+INT((BO81-PT_First)/PT_Int)),0)),0)+IF(AND(AM81&gt;=3,AP81&lt;=(SchemeStart-1)),IF(AV81="FT",IF(BN81&lt;FT_First,0,IF(BN81&lt;FT_Y5,1+INT((BN81-FT_First)/FT_Int1),FT_PreY5+FT_PerYear*INT((BN81-FT_Y5)/12)+FT_AnnivDays+INT(MOD(BN81-FT_Y5,12)/FT_Int2)-IF(EDATE(AL81,FT_Y5)&lt;PolicyEff,FT_AnnivDays-1,0))),IF(AV81="PT",IF(BN81&lt;PT_First,0,1+INT((BN81-PT_First)/PT_Int)),0))-IF(AV81="FT",IF(BP81&lt;FT_First,0,IF(BP81&lt;FT_Y5,1+INT((BP81-FT_First)/FT_Int1),FT_PreY5+FT_PerYear*INT((BP81-FT_Y5)/12)+FT_AnnivDays+INT(MOD(BP81-FT_Y5,12)/FT_Int2)-IF(EDATE(AL81,FT_Y5)&lt;PolicyEff,FT_AnnivDays-1,0))),IF(AV81="PT",IF(BP81&lt;PT_First,0,1+INT((BP81-PT_First)/PT_Int)),0)),0))</f>
        <v/>
      </c>
      <c r="BR81" s="0" t="str">
        <f aca="false">IF(LEN($A81&amp;$B81)=0,"",$A81&amp;" "&amp;$B81)</f>
        <v/>
      </c>
    </row>
    <row r="82" customFormat="false" ht="15" hidden="false" customHeight="false" outlineLevel="0" collapsed="false">
      <c r="A82" s="12"/>
      <c r="B82" s="12"/>
      <c r="C82" s="12"/>
      <c r="D82" s="13"/>
      <c r="E82" s="14" t="str">
        <f aca="false">IF(OR(AK82=0,$D82=""),"",DATE(YEAR(AsOfDate)+IF(DATE(YEAR(AsOfDate),MONTH($D82),DAY($D82))&lt;=AsOfDate,1,0),MONTH($D82),DAY($D82)))</f>
        <v/>
      </c>
      <c r="F82" s="13"/>
      <c r="G82" s="13"/>
      <c r="H82" s="13"/>
      <c r="I82" s="13"/>
      <c r="J82" s="13"/>
      <c r="K82" s="14" t="str">
        <f aca="false">IF(AK82=0,"",DATE(YEAR(AsOfDate)+IF(DATE(YEAR(AsOfDate),MONTH(AL82),DAY(AL82))&lt;=AsOfDate,1,0),MONTH(AL82),DAY(AL82)))</f>
        <v/>
      </c>
      <c r="L82" s="15" t="str">
        <f aca="false">IF(AK82=0,"",ROUND((AsOfDate-AL82)/365.25,1))</f>
        <v/>
      </c>
      <c r="M82" s="16" t="str">
        <f aca="false">IF(AK82=0,"",IF(AsOfDate&lt;AL82,"-",DATEDIF(AL82,AsOfDate,"y")&amp;"y "&amp;DATEDIF(AL82,AsOfDate,"ym")&amp;"m "&amp;DATEDIF(AL82,AsOfDate,"md")&amp;"d"))</f>
        <v/>
      </c>
      <c r="N82" s="17" t="str">
        <f aca="false">IF(AK82=0,"",O82*HoursPerDay)</f>
        <v/>
      </c>
      <c r="O82" s="17" t="str">
        <f aca="false">IF(AK82=0,"",MAX(0,BD82-BQ82))</f>
        <v/>
      </c>
      <c r="P82" s="18"/>
      <c r="Q82" s="16" t="str">
        <f aca="false">IF(AK82=0,"",IF(AM82&lt;2,"",AQ82&amp;" to "&amp;AR82&amp;" on "&amp;TEXT(AO82,"dd/mm/yyyy")&amp;IF(AO82&gt;AsOfDate," (future)",IF(AT82=AU82,"",IF(AU82="None"," - STOPPED accruing",IF(AT82="None"," - commencement for Bonus Leave"," - pathway changed"))))&amp;IF(AM82&lt;3,"","; "&amp;AR82&amp;" to "&amp;AS82&amp;" on "&amp;TEXT(AP82,"dd/mm/yyyy")&amp;IF(AP82&gt;AsOfDate," (future)",IF(AU82=AV82,"",IF(AV82="None"," - STOPPED accruing",IF(AU82="None"," - commencement for Bonus Leave"," - pathway changed")))))))</f>
        <v/>
      </c>
      <c r="R82" s="16" t="str">
        <f aca="false">IF(AK82=0,"",IF(AW82="None",IF(O82&gt;0,"No longer accruing","Not eligible - "&amp;IF(AND(OR(ISNUMBER(SEARCH("part",$C82)),UPPER(TRIM($C82))="PT",UPPER(TRIM($C82))="PTE"),Apply2026="No"),"part-time (scheme is full-time only)",IF(AND(OR(ISNUMBER(SEARCH("part",$C82)),UPPER(TRIM($C82))="PT",UPPER(TRIM($C82))="PTE"),$P82&lt;&gt;"",N($P82)&lt;PT_MinHours),"under "&amp;PT_MinHours&amp;" hrs",IF(IF($C82="","",IF(OR(ISNUMBER(SEARCH("full",$C82)),UPPER(TRIM($C82))="FT",UPPER(TRIM($C82))="FTE"),"Full-Time",IF(OR(ISNUMBER(SEARCH("part",$C82)),UPPER(TRIM($C82))="PT",UPPER(TRIM($C82))="PTE"),"Part-Time",IF(OR(ISNUMBER(SEARCH("cas",$C82)),UPPER(TRIM($C82))="CAS"),"Casual","Unknown"))))="Unknown","type not recognised",$C82)))),IF(O82&gt;0,"Yes - Accrual Required","Not yet - from "&amp;TEXT(S82,"dd/mm/yyyy"))))</f>
        <v/>
      </c>
      <c r="S82" s="14" t="str">
        <f aca="false">IF(AK82=0,"",IF(AW82="None","",EDATE(AL82,BF82)))</f>
        <v/>
      </c>
      <c r="T82" s="17" t="str">
        <f aca="false">IF(AK82=0,"",IF(NOT(LH_Ready),"",IF($F82&gt;PFYDate,0,IF(LH_ColPeriod=0,W82-U82+V82,SUMIFS(INDEX(LH_Data,0,LH_ColAcc),INDEX(LH_Data,0,LH_ColFirst),$A82,INDEX(LH_Data,0,LH_ColSur),$B82,INDEX(LH_Data,0,LH_ColCat),BonusCat,INDEX(LH_Data,0,LH_ColPeriod),LH_OpenLabel)*UnitFactor))))</f>
        <v/>
      </c>
      <c r="U82" s="17" t="str">
        <f aca="false">IF(AK82=0,"",IF(NOT(LH_Ready),"",SUMIFS(INDEX(LH_Data,0,LH_ColAcc),INDEX(LH_Data,0,LH_ColFirst),$A82,INDEX(LH_Data,0,LH_ColSur),$B82,INDEX(LH_Data,0,LH_ColCat),BonusCat,INDEX(LH_Data,0,LH_ColStart),"&gt;="&amp;AL82)*UnitFactor))</f>
        <v/>
      </c>
      <c r="V82" s="17" t="str">
        <f aca="false">IF(AK82=0,"",IF(NOT(LH_Ready),"",SUMIFS(INDEX(LH_Data,0,LH_ColTaken),INDEX(LH_Data,0,LH_ColFirst),$A82,INDEX(LH_Data,0,LH_ColSur),$B82,INDEX(LH_Data,0,LH_ColCat),BonusCat,INDEX(LH_Data,0,LH_ColStart),"&gt;="&amp;AL82)*UnitFactor))</f>
        <v/>
      </c>
      <c r="W82" s="17" t="str">
        <f aca="false">IF(AK82=0,"",IF(NOT(LH_Ready),"",IF(BH82=0,0,INDEX(INDEX(LH_Data,0,LH_ColClose),BH82-1)*UnitFactor)))</f>
        <v/>
      </c>
      <c r="X82" s="17" t="str">
        <f aca="false">IF(AK82=0,"",(MAX(0,BD82-BQ82)-MAX(0,BE82-BQ82))*HoursPerDay)</f>
        <v/>
      </c>
      <c r="Y82" s="17" t="str">
        <f aca="false">IF(AK82=0,"",IF(NOT(LH_Ready),"",IF($AI82="Yes",N(AE82)*HoursPerDay-SUMIFS(INDEX(LH_Data,0,LH_ColAcc),INDEX(LH_Data,0,LH_ColFirst),$A82,INDEX(LH_Data,0,LH_ColSur),$B82,INDEX(LH_Data,0,LH_ColCat),BonusCat,INDEX(LH_Data,0,LH_ColStart),"&gt;="&amp;(EOMONTH(AsOfDate,-1)+1),INDEX(LH_Data,0,LH_ColStart),"&lt;="&amp;AsOfDate)*UnitFactor,IF(BG82=0,N82,N82-N(T82)-N(U82)))))</f>
        <v/>
      </c>
      <c r="Z82" s="16" t="str">
        <f aca="false">IF(OR(AK82=0,Y82=""),"",IF(Y82&gt;0,"Yes","No"))</f>
        <v/>
      </c>
      <c r="AA82" s="16" t="str">
        <f aca="false">IF(AK82=0,IF(LEN($A82&amp;$B82)=0,"","FIX INPUT - StartDate missing"),IF(AD82&lt;&gt;"","FIX INPUT - "&amp;AD82,IF(NOT(LH_Ready),"Paste Leave History export (Settings must show YES)",IF(AND($AI82="Yes",Y82&lt;=0),"OK - EH balance accepted to date"&amp;IF(N(AH82)&gt;0," (EH holds "&amp;AH82&amp;" hrs over the scheme)","")&amp;"; next day "&amp;TEXT(S82,"dd mmm yy")&amp;IF(N(AE82)&gt;0," ("&amp;AE82&amp;" day(s) for "&amp;UPPER(TEXT(AsOfDate,"mmm yyyy"))&amp;" already in EH)",""),IF(Y82&gt;0,"ACCRUE "&amp;ROUND(Y82,2)&amp;" hrs ("&amp;ROUND(Y82/HoursPerDay,2)&amp;" days): "&amp;IF(N(AE82)&gt;0,AE82&amp;" day(s) for "&amp;UPPER(TEXT(AsOfDate,"mmm yyyy"))&amp;" (milestone "&amp;UPPER(TEXT(AF82,"dd mmm yy"))&amp;")"&amp;IF(Y82/HoursPerDay&gt;AE82+0.001," + "&amp;ROUND(Y82/HoursPerDay-AE82,2)&amp;" day(s) catch-up from earlier months",""),"all catch-up from earlier months, nothing new this month")&amp;IF(BG82=0,"; no Bonus Leave in EH yet",""),IF(Y82&lt;0,"CHECK - EH accrued "&amp;ROUND(-Y82,2)&amp;" hrs more than policy since commencement",IF(N(W82)&gt;O82*HoursPerDay+0.01,"CHECK - EH balance "&amp;ROUND(W82-O82*HoursPerDay,2)&amp;" hrs more than policy entitlement",IF(O82&gt;0,"OK - nothing to add"&amp;IF(N(AE82)&gt;0," ("&amp;AE82&amp;" day(s) for "&amp;UPPER(TEXT(AsOfDate,"mmm yyyy"))&amp;" already in EH)",""),IF(AW82="None",R82,"Not yet - first day on "&amp;TEXT(S82,"dd/mm/yyyy"))))))))))</f>
        <v/>
      </c>
      <c r="AB82" s="17" t="str">
        <f aca="false">IF(OR(AK82=0,T82=""),"",MAX(0,BE82-BQ82)*HoursPerDay-T82)</f>
        <v/>
      </c>
      <c r="AC82" s="16" t="str">
        <f aca="false">IF(AK82=0,"",BG82)</f>
        <v/>
      </c>
      <c r="AD82" s="16" t="str">
        <f aca="false">IF(AK82=0,"",TRIM(IF(OR(ISTEXT($F82),ISTEXT($H82),ISTEXT($I82),ISTEXT($G82),ISTEXT($J82),ISTEXT($D82)),"A date is typed as text - retype it as dd/mm/yyyy. ","")&amp;IF(IF($C82="","",IF(OR(ISNUMBER(SEARCH("full",$C82)),UPPER(TRIM($C82))="FT",UPPER(TRIM($C82))="FTE"),"Full-Time",IF(OR(ISNUMBER(SEARCH("part",$C82)),UPPER(TRIM($C82))="PT",UPPER(TRIM($C82))="PTE"),"Part-Time",IF(OR(ISNUMBER(SEARCH("cas",$C82)),UPPER(TRIM($C82))="CAS"),"Casual","Unknown"))))="Unknown","EmploymentType not recognised - use Full-Time, Part-Time or Casual. ","")&amp;IF(AND(AM82&gt;=1,IF(AM82&gt;=3,AS82,IF(AM82=2,AR82,AQ82))&lt;&gt;IF($C82="","",IF(OR(ISNUMBER(SEARCH("full",$C82)),UPPER(TRIM($C82))="FT",UPPER(TRIM($C82))="FTE"),"Full-Time",IF(OR(ISNUMBER(SEARCH("part",$C82)),UPPER(TRIM($C82))="PT",UPPER(TRIM($C82))="PTE"),"Part-Time",IF(OR(ISNUMBER(SEARCH("cas",$C82)),UPPER(TRIM($C82))="CAS"),"Casual","Unknown"))))),"EmploymentType does not match latest start date ("&amp;IF(AM82&gt;=3,AS82,IF(AM82=2,AR82,AQ82))&amp;"). ","")&amp;IF(AND(AM82&gt;=1,AN82&lt;&gt;$F82),"Earliest type date should equal StartDate. ","")&amp;IF(AND(AM82&gt;=2,AN82=AO82),"Two types start on the same date. ","")&amp;IF(AND(OR(ISNUMBER(SEARCH("part",$C82)),UPPER(TRIM($C82))="PT",UPPER(TRIM($C82))="PTE"),$P82=""),"Part-time: enter PT Hrs/Week (blank = 24+). ","")))</f>
        <v/>
      </c>
      <c r="AE82" s="17" t="str">
        <f aca="false">IF(AK82=0,"",O82-MAX(0,BL82-BQ82))</f>
        <v/>
      </c>
      <c r="AF82" s="14" t="str">
        <f aca="false">IF(OR(AK82=0,AE82="",N(AE82)=0,BM82=""),"",EDATE(AL82,BM82))</f>
        <v/>
      </c>
      <c r="AG82" s="17" t="str">
        <f aca="false">IF(AK82=0,"",MIN(BD82,BQ82))</f>
        <v/>
      </c>
      <c r="AH82" s="17" t="str">
        <f aca="false">IF(AK82=0,"",IF(NOT(LH_Ready),"",IF(BG82=0,0,MAX(0,ROUND(N(T82)+N(U82)-N82,2)))))</f>
        <v/>
      </c>
      <c r="AI82" s="12"/>
      <c r="AJ82" s="12"/>
      <c r="AK82" s="16" t="n">
        <f aca="false">IF(OR(LEN($A82&amp;$B82)=0,$F82=""),0,1)</f>
        <v>0</v>
      </c>
      <c r="AL82" s="14" t="str">
        <f aca="false">IF(AK82=0,"",IF(PreSchemeCounts="No",MAX(SchemeStart,IF($J82&lt;&gt;"",$J82,IF(OR(CasualCounts="Yes",COUNT($G82:$I82)=0),$F82,IF(Apply2026="No",IF($I82="",$F82,$I82),IF(COUNT($H82:$I82)=0,$F82,MIN($H82:$I82)))))),IF($J82&lt;&gt;"",$J82,IF(OR(CasualCounts="Yes",COUNT($G82:$I82)=0),$F82,IF(Apply2026="No",IF($I82="",$F82,$I82),IF(COUNT($H82:$I82)=0,$F82,MIN($H82:$I82)))))))</f>
        <v/>
      </c>
      <c r="AM82" s="16" t="str">
        <f aca="false">IF(AK82=0,"",COUNT($G82:$I82))</f>
        <v/>
      </c>
      <c r="AN82" s="14" t="str">
        <f aca="false">IF(AK82=0,"",IFERROR(SMALL($G82:$I82,1),""))</f>
        <v/>
      </c>
      <c r="AO82" s="14" t="str">
        <f aca="false">IF(AK82=0,"",IFERROR(SMALL($G82:$I82,2),""))</f>
        <v/>
      </c>
      <c r="AP82" s="14" t="str">
        <f aca="false">IF(AK82=0,"",IFERROR(SMALL($G82:$I82,3),""))</f>
        <v/>
      </c>
      <c r="AQ82" s="16" t="str">
        <f aca="false">IF(AK82=0,"",IF(AN82="","",IF(AN82=$H82,"Part-Time",IF(AN82=$I82,"Full-Time","Casual"))))</f>
        <v/>
      </c>
      <c r="AR82" s="16" t="str">
        <f aca="false">IF(AK82=0,"",IF(AO82="","",IF(AO82=$H82,"Part-Time",IF(AO82=$I82,"Full-Time","Casual"))))</f>
        <v/>
      </c>
      <c r="AS82" s="16" t="str">
        <f aca="false">IF(AK82=0,"",IF(AP82="","",IF(AP82=$H82,"Part-Time",IF(AP82=$I82,"Full-Time","Casual"))))</f>
        <v/>
      </c>
      <c r="AT82" s="16" t="str">
        <f aca="false">IF(AK82=0,"",IF(AM82=0,IF(OR(ISNUMBER(SEARCH("full",$C82)),UPPER(TRIM($C82))="FT",UPPER(TRIM($C82))="FTE"),"FT",IF(AND(OR(ISNUMBER(SEARCH("part",$C82)),UPPER(TRIM($C82))="PT",UPPER(TRIM($C82))="PTE"),Apply2026="Yes",OR($P82="",N($P82)&gt;=PT_MinHours)),"PT","None")),IF(OR(ISNUMBER(SEARCH("full",AQ82)),UPPER(TRIM(AQ82))="FT",UPPER(TRIM(AQ82))="FTE"),"FT",IF(AND(OR(ISNUMBER(SEARCH("part",AQ82)),UPPER(TRIM(AQ82))="PT",UPPER(TRIM(AQ82))="PTE"),Apply2026="Yes",OR($P82="",N($P82)&gt;=PT_MinHours)),"PT","None"))))</f>
        <v/>
      </c>
      <c r="AU82" s="16" t="str">
        <f aca="false">IF(AK82=0,"",IF(AM82&lt;2,"",IF(OR(ISNUMBER(SEARCH("full",AR82)),UPPER(TRIM(AR82))="FT",UPPER(TRIM(AR82))="FTE"),"FT",IF(AND(OR(ISNUMBER(SEARCH("part",AR82)),UPPER(TRIM(AR82))="PT",UPPER(TRIM(AR82))="PTE"),Apply2026="Yes",OR($P82="",N($P82)&gt;=PT_MinHours)),"PT","None"))))</f>
        <v/>
      </c>
      <c r="AV82" s="16" t="str">
        <f aca="false">IF(AK82=0,"",IF(AM82&lt;3,"",IF(OR(ISNUMBER(SEARCH("full",AS82)),UPPER(TRIM(AS82))="FT",UPPER(TRIM(AS82))="FTE"),"FT",IF(AND(OR(ISNUMBER(SEARCH("part",AS82)),UPPER(TRIM(AS82))="PT",UPPER(TRIM(AS82))="PTE"),Apply2026="Yes",OR($P82="",N($P82)&gt;=PT_MinHours)),"PT","None"))))</f>
        <v/>
      </c>
      <c r="AW82" s="16" t="str">
        <f aca="false">IF(AK82=0,"",IF(AND(AM82&gt;=3,AP82&lt;=AsOfDate),AV82,IF(AND(AM82&gt;=2,AO82&lt;=AsOfDate),AU82,AT82)))</f>
        <v/>
      </c>
      <c r="AX82" s="16" t="str">
        <f aca="false">IF(AK82=0,"",IF(AsOfDate&lt;AL82,-1,12*(YEAR(AsOfDate)-YEAR(AL82))+MONTH(AsOfDate)-MONTH(AL82)-IF(DAY(AsOfDate)&lt;MIN(DAY(AL82),DAY(EOMONTH(AsOfDate,0))),1,0)))</f>
        <v/>
      </c>
      <c r="AY82" s="16" t="str">
        <f aca="false">IF(AK82=0,"",IF(OR(AM82&lt;2,AO82&gt;AsOfDate),AX82,IF((AO82-1)&lt;AL82,-1,12*(YEAR((AO82-1))-YEAR(AL82))+MONTH((AO82-1))-MONTH(AL82)-IF(DAY((AO82-1))&lt;MIN(DAY(AL82),DAY(EOMONTH((AO82-1),0))),1,0))))</f>
        <v/>
      </c>
      <c r="AZ82" s="16" t="str">
        <f aca="false">IF(AK82=0,"",IF(OR(AM82&lt;3,AP82&gt;AsOfDate),AX82,IF((AP82-1)&lt;AL82,-1,12*(YEAR((AP82-1))-YEAR(AL82))+MONTH((AP82-1))-MONTH(AL82)-IF(DAY((AP82-1))&lt;MIN(DAY(AL82),DAY(EOMONTH((AP82-1),0))),1,0))))</f>
        <v/>
      </c>
      <c r="BA82" s="16" t="str">
        <f aca="false">IF(AK82=0,"",IF(PFYDate&lt;AL82,-1,12*(YEAR(PFYDate)-YEAR(AL82))+MONTH(PFYDate)-MONTH(AL82)-IF(DAY(PFYDate)&lt;MIN(DAY(AL82),DAY(EOMONTH(PFYDate,0))),1,0)))</f>
        <v/>
      </c>
      <c r="BB82" s="16" t="str">
        <f aca="false">IF(AK82=0,"",IF(OR(AM82&lt;2,AO82&gt;PFYDate),BA82,IF((AO82-1)&lt;AL82,-1,12*(YEAR((AO82-1))-YEAR(AL82))+MONTH((AO82-1))-MONTH(AL82)-IF(DAY((AO82-1))&lt;MIN(DAY(AL82),DAY(EOMONTH((AO82-1),0))),1,0))))</f>
        <v/>
      </c>
      <c r="BC82" s="16" t="str">
        <f aca="false">IF(AK82=0,"",IF(OR(AM82&lt;3,AP82&gt;PFYDate),BA82,IF((AP82-1)&lt;AL82,-1,12*(YEAR((AP82-1))-YEAR(AL82))+MONTH((AP82-1))-MONTH(AL82)-IF(DAY((AP82-1))&lt;MIN(DAY(AL82),DAY(EOMONTH((AP82-1),0))),1,0))))</f>
        <v/>
      </c>
      <c r="BD82" s="16" t="str">
        <f aca="false">IF(AK82=0,"",IF(AT82="FT",IF(AY82&lt;FT_First,0,IF(AY82&lt;FT_Y5,1+INT((AY82-FT_First)/FT_Int1),FT_PreY5+FT_PerYear*INT((AY82-FT_Y5)/12)+FT_AnnivDays+INT(MOD(AY82-FT_Y5,12)/FT_Int2)-IF(EDATE(AL82,FT_Y5)&lt;PolicyEff,FT_AnnivDays-1,0))),IF(AT82="PT",IF(AY82&lt;PT_First,0,1+INT((AY82-PT_First)/PT_Int)),0))+IF(AND(AM82&gt;=2,AO82&lt;=AsOfDate),IF(AU82="FT",IF(AZ82&lt;FT_First,0,IF(AZ82&lt;FT_Y5,1+INT((AZ82-FT_First)/FT_Int1),FT_PreY5+FT_PerYear*INT((AZ82-FT_Y5)/12)+FT_AnnivDays+INT(MOD(AZ82-FT_Y5,12)/FT_Int2)-IF(EDATE(AL82,FT_Y5)&lt;PolicyEff,FT_AnnivDays-1,0))),IF(AU82="PT",IF(AZ82&lt;PT_First,0,1+INT((AZ82-PT_First)/PT_Int)),0))-IF(AU82="FT",IF(AY82&lt;FT_First,0,IF(AY82&lt;FT_Y5,1+INT((AY82-FT_First)/FT_Int1),FT_PreY5+FT_PerYear*INT((AY82-FT_Y5)/12)+FT_AnnivDays+INT(MOD(AY82-FT_Y5,12)/FT_Int2)-IF(EDATE(AL82,FT_Y5)&lt;PolicyEff,FT_AnnivDays-1,0))),IF(AU82="PT",IF(AY82&lt;PT_First,0,1+INT((AY82-PT_First)/PT_Int)),0)),0)+IF(AND(AM82&gt;=3,AP82&lt;=AsOfDate),IF(AV82="FT",IF(AX82&lt;FT_First,0,IF(AX82&lt;FT_Y5,1+INT((AX82-FT_First)/FT_Int1),FT_PreY5+FT_PerYear*INT((AX82-FT_Y5)/12)+FT_AnnivDays+INT(MOD(AX82-FT_Y5,12)/FT_Int2)-IF(EDATE(AL82,FT_Y5)&lt;PolicyEff,FT_AnnivDays-1,0))),IF(AV82="PT",IF(AX82&lt;PT_First,0,1+INT((AX82-PT_First)/PT_Int)),0))-IF(AV82="FT",IF(AZ82&lt;FT_First,0,IF(AZ82&lt;FT_Y5,1+INT((AZ82-FT_First)/FT_Int1),FT_PreY5+FT_PerYear*INT((AZ82-FT_Y5)/12)+FT_AnnivDays+INT(MOD(AZ82-FT_Y5,12)/FT_Int2)-IF(EDATE(AL82,FT_Y5)&lt;PolicyEff,FT_AnnivDays-1,0))),IF(AV82="PT",IF(AZ82&lt;PT_First,0,1+INT((AZ82-PT_First)/PT_Int)),0)),0))</f>
        <v/>
      </c>
      <c r="BE82" s="16" t="str">
        <f aca="false">IF(AK82=0,"",IF(AT82="FT",IF(BB82&lt;FT_First,0,IF(BB82&lt;FT_Y5,1+INT((BB82-FT_First)/FT_Int1),FT_PreY5+FT_PerYear*INT((BB82-FT_Y5)/12)+FT_AnnivDays+INT(MOD(BB82-FT_Y5,12)/FT_Int2)-IF(EDATE(AL82,FT_Y5)&lt;PolicyEff,FT_AnnivDays-1,0))),IF(AT82="PT",IF(BB82&lt;PT_First,0,1+INT((BB82-PT_First)/PT_Int)),0))+IF(AND(AM82&gt;=2,AO82&lt;=PFYDate),IF(AU82="FT",IF(BC82&lt;FT_First,0,IF(BC82&lt;FT_Y5,1+INT((BC82-FT_First)/FT_Int1),FT_PreY5+FT_PerYear*INT((BC82-FT_Y5)/12)+FT_AnnivDays+INT(MOD(BC82-FT_Y5,12)/FT_Int2)-IF(EDATE(AL82,FT_Y5)&lt;PolicyEff,FT_AnnivDays-1,0))),IF(AU82="PT",IF(BC82&lt;PT_First,0,1+INT((BC82-PT_First)/PT_Int)),0))-IF(AU82="FT",IF(BB82&lt;FT_First,0,IF(BB82&lt;FT_Y5,1+INT((BB82-FT_First)/FT_Int1),FT_PreY5+FT_PerYear*INT((BB82-FT_Y5)/12)+FT_AnnivDays+INT(MOD(BB82-FT_Y5,12)/FT_Int2)-IF(EDATE(AL82,FT_Y5)&lt;PolicyEff,FT_AnnivDays-1,0))),IF(AU82="PT",IF(BB82&lt;PT_First,0,1+INT((BB82-PT_First)/PT_Int)),0)),0)+IF(AND(AM82&gt;=3,AP82&lt;=PFYDate),IF(AV82="FT",IF(BA82&lt;FT_First,0,IF(BA82&lt;FT_Y5,1+INT((BA82-FT_First)/FT_Int1),FT_PreY5+FT_PerYear*INT((BA82-FT_Y5)/12)+FT_AnnivDays+INT(MOD(BA82-FT_Y5,12)/FT_Int2)-IF(EDATE(AL82,FT_Y5)&lt;PolicyEff,FT_AnnivDays-1,0))),IF(AV82="PT",IF(BA82&lt;PT_First,0,1+INT((BA82-PT_First)/PT_Int)),0))-IF(AV82="FT",IF(BC82&lt;FT_First,0,IF(BC82&lt;FT_Y5,1+INT((BC82-FT_First)/FT_Int1),FT_PreY5+FT_PerYear*INT((BC82-FT_Y5)/12)+FT_AnnivDays+INT(MOD(BC82-FT_Y5,12)/FT_Int2)-IF(EDATE(AL82,FT_Y5)&lt;PolicyEff,FT_AnnivDays-1,0))),IF(AV82="PT",IF(BC82&lt;PT_First,0,1+INT((BC82-PT_First)/PT_Int)),0)),0))</f>
        <v/>
      </c>
      <c r="BF82" s="16" t="str">
        <f aca="false">IF(AK82=0,"",IF(AW82="FT",IF(AX82&lt;FT_First,FT_First,IF(AX82&lt;FT_Y5,MIN(FT_Y5,FT_First+FT_Int1*(INT((AX82-FT_First)/FT_Int1)+1)),FT_Y5+12*INT((AX82-FT_Y5)/12)+FT_Int2*(INT(MOD(AX82-FT_Y5,12)/FT_Int2)+1))),IF(AW82="PT",IF(AX82&lt;PT_First,PT_First,PT_First+PT_Int*(INT((AX82-PT_First)/PT_Int)+1)),"")))</f>
        <v/>
      </c>
      <c r="BG82" s="16" t="str">
        <f aca="false">IF(AK82=0,"",IF(NOT(LH_Ready),0,COUNTIFS(INDEX(LH_Data,0,LH_ColFirst),$A82,INDEX(LH_Data,0,LH_ColSur),$B82,INDEX(LH_Data,0,LH_ColCat),BonusCat)))</f>
        <v/>
      </c>
      <c r="BH82" s="16" t="str">
        <f aca="false">IF(AK82=0,"",IF(OR(NOT(LH_Ready),BG82=0),0,SUMPRODUCT(MAX((INDEX(LH_Data,0,LH_ColFirst)=$A82)*(INDEX(LH_Data,0,LH_ColSur)=$B82)*(INDEX(LH_Data,0,LH_ColCat)=BonusCat)*ROW(LH_Data)))))</f>
        <v/>
      </c>
      <c r="BI82" s="16" t="str">
        <f aca="false">IF(AK82=0,"",IF(EOMONTH(AsOfDate,-1)&lt;AL82,-1,12*(YEAR(EOMONTH(AsOfDate,-1))-YEAR(AL82))+MONTH(EOMONTH(AsOfDate,-1))-MONTH(AL82)-IF(DAY(EOMONTH(AsOfDate,-1))&lt;MIN(DAY(AL82),DAY(EOMONTH(EOMONTH(AsOfDate,-1),0))),1,0)))</f>
        <v/>
      </c>
      <c r="BJ82" s="16" t="str">
        <f aca="false">IF(AK82=0,"",IF(OR(AM82&lt;2,AO82&gt;EOMONTH(AsOfDate,-1)),BI82,IF((AO82-1)&lt;AL82,-1,12*(YEAR((AO82-1))-YEAR(AL82))+MONTH((AO82-1))-MONTH(AL82)-IF(DAY((AO82-1))&lt;MIN(DAY(AL82),DAY(EOMONTH((AO82-1),0))),1,0))))</f>
        <v/>
      </c>
      <c r="BK82" s="16" t="str">
        <f aca="false">IF(AK82=0,"",IF(OR(AM82&lt;3,AP82&gt;EOMONTH(AsOfDate,-1)),BI82,IF((AP82-1)&lt;AL82,-1,12*(YEAR((AP82-1))-YEAR(AL82))+MONTH((AP82-1))-MONTH(AL82)-IF(DAY((AP82-1))&lt;MIN(DAY(AL82),DAY(EOMONTH((AP82-1),0))),1,0))))</f>
        <v/>
      </c>
      <c r="BL82" s="16" t="str">
        <f aca="false">IF(AK82=0,"",IF(AT82="FT",IF(BJ82&lt;FT_First,0,IF(BJ82&lt;FT_Y5,1+INT((BJ82-FT_First)/FT_Int1),FT_PreY5+FT_PerYear*INT((BJ82-FT_Y5)/12)+FT_AnnivDays+INT(MOD(BJ82-FT_Y5,12)/FT_Int2)-IF(EDATE(AL82,FT_Y5)&lt;PolicyEff,FT_AnnivDays-1,0))),IF(AT82="PT",IF(BJ82&lt;PT_First,0,1+INT((BJ82-PT_First)/PT_Int)),0))+IF(AND(AM82&gt;=2,AO82&lt;=EOMONTH(AsOfDate,-1)),IF(AU82="FT",IF(BK82&lt;FT_First,0,IF(BK82&lt;FT_Y5,1+INT((BK82-FT_First)/FT_Int1),FT_PreY5+FT_PerYear*INT((BK82-FT_Y5)/12)+FT_AnnivDays+INT(MOD(BK82-FT_Y5,12)/FT_Int2)-IF(EDATE(AL82,FT_Y5)&lt;PolicyEff,FT_AnnivDays-1,0))),IF(AU82="PT",IF(BK82&lt;PT_First,0,1+INT((BK82-PT_First)/PT_Int)),0))-IF(AU82="FT",IF(BJ82&lt;FT_First,0,IF(BJ82&lt;FT_Y5,1+INT((BJ82-FT_First)/FT_Int1),FT_PreY5+FT_PerYear*INT((BJ82-FT_Y5)/12)+FT_AnnivDays+INT(MOD(BJ82-FT_Y5,12)/FT_Int2)-IF(EDATE(AL82,FT_Y5)&lt;PolicyEff,FT_AnnivDays-1,0))),IF(AU82="PT",IF(BJ82&lt;PT_First,0,1+INT((BJ82-PT_First)/PT_Int)),0)),0)+IF(AND(AM82&gt;=3,AP82&lt;=EOMONTH(AsOfDate,-1)),IF(AV82="FT",IF(BI82&lt;FT_First,0,IF(BI82&lt;FT_Y5,1+INT((BI82-FT_First)/FT_Int1),FT_PreY5+FT_PerYear*INT((BI82-FT_Y5)/12)+FT_AnnivDays+INT(MOD(BI82-FT_Y5,12)/FT_Int2)-IF(EDATE(AL82,FT_Y5)&lt;PolicyEff,FT_AnnivDays-1,0))),IF(AV82="PT",IF(BI82&lt;PT_First,0,1+INT((BI82-PT_First)/PT_Int)),0))-IF(AV82="FT",IF(BK82&lt;FT_First,0,IF(BK82&lt;FT_Y5,1+INT((BK82-FT_First)/FT_Int1),FT_PreY5+FT_PerYear*INT((BK82-FT_Y5)/12)+FT_AnnivDays+INT(MOD(BK82-FT_Y5,12)/FT_Int2)-IF(EDATE(AL82,FT_Y5)&lt;PolicyEff,FT_AnnivDays-1,0))),IF(AV82="PT",IF(BK82&lt;PT_First,0,1+INT((BK82-PT_First)/PT_Int)),0)),0))</f>
        <v/>
      </c>
      <c r="BM82" s="16" t="str">
        <f aca="false">IF(AK82=0,"",IF(AW82="FT",IF(AX82&lt;FT_First,"",IF(AX82&lt;FT_Y5,FT_First+FT_Int1*INT((AX82-FT_First)/FT_Int1),FT_Y5+FT_Int2*INT((AX82-FT_Y5)/FT_Int2))),IF(AW82="PT",IF(AX82&lt;PT_First,"",PT_First+PT_Int*INT((AX82-PT_First)/PT_Int)),"")))</f>
        <v/>
      </c>
      <c r="BN82" s="16" t="str">
        <f aca="false">IF(AK82=0,"",IF((SchemeStart-1)&lt;AL82,-1,12*(YEAR((SchemeStart-1))-YEAR(AL82))+MONTH((SchemeStart-1))-MONTH(AL82)-IF(DAY((SchemeStart-1))&lt;MIN(DAY(AL82),DAY(EOMONTH((SchemeStart-1),0))),1,0)))</f>
        <v/>
      </c>
      <c r="BO82" s="16" t="str">
        <f aca="false">IF(AK82=0,"",IF(OR(AM82&lt;2,AO82&gt;(SchemeStart-1)),BN82,IF((AO82-1)&lt;AL82,-1,12*(YEAR((AO82-1))-YEAR(AL82))+MONTH((AO82-1))-MONTH(AL82)-IF(DAY((AO82-1))&lt;MIN(DAY(AL82),DAY(EOMONTH((AO82-1),0))),1,0))))</f>
        <v/>
      </c>
      <c r="BP82" s="16" t="str">
        <f aca="false">IF(AK82=0,"",IF(OR(AM82&lt;3,AP82&gt;(SchemeStart-1)),BN82,IF((AP82-1)&lt;AL82,-1,12*(YEAR((AP82-1))-YEAR(AL82))+MONTH((AP82-1))-MONTH(AL82)-IF(DAY((AP82-1))&lt;MIN(DAY(AL82),DAY(EOMONTH((AP82-1),0))),1,0))))</f>
        <v/>
      </c>
      <c r="BQ82" s="16" t="str">
        <f aca="false">IF(AK82=0,"",IF(AT82="FT",IF(BO82&lt;FT_First,0,IF(BO82&lt;FT_Y5,1+INT((BO82-FT_First)/FT_Int1),FT_PreY5+FT_PerYear*INT((BO82-FT_Y5)/12)+FT_AnnivDays+INT(MOD(BO82-FT_Y5,12)/FT_Int2)-IF(EDATE(AL82,FT_Y5)&lt;PolicyEff,FT_AnnivDays-1,0))),IF(AT82="PT",IF(BO82&lt;PT_First,0,1+INT((BO82-PT_First)/PT_Int)),0))+IF(AND(AM82&gt;=2,AO82&lt;=(SchemeStart-1)),IF(AU82="FT",IF(BP82&lt;FT_First,0,IF(BP82&lt;FT_Y5,1+INT((BP82-FT_First)/FT_Int1),FT_PreY5+FT_PerYear*INT((BP82-FT_Y5)/12)+FT_AnnivDays+INT(MOD(BP82-FT_Y5,12)/FT_Int2)-IF(EDATE(AL82,FT_Y5)&lt;PolicyEff,FT_AnnivDays-1,0))),IF(AU82="PT",IF(BP82&lt;PT_First,0,1+INT((BP82-PT_First)/PT_Int)),0))-IF(AU82="FT",IF(BO82&lt;FT_First,0,IF(BO82&lt;FT_Y5,1+INT((BO82-FT_First)/FT_Int1),FT_PreY5+FT_PerYear*INT((BO82-FT_Y5)/12)+FT_AnnivDays+INT(MOD(BO82-FT_Y5,12)/FT_Int2)-IF(EDATE(AL82,FT_Y5)&lt;PolicyEff,FT_AnnivDays-1,0))),IF(AU82="PT",IF(BO82&lt;PT_First,0,1+INT((BO82-PT_First)/PT_Int)),0)),0)+IF(AND(AM82&gt;=3,AP82&lt;=(SchemeStart-1)),IF(AV82="FT",IF(BN82&lt;FT_First,0,IF(BN82&lt;FT_Y5,1+INT((BN82-FT_First)/FT_Int1),FT_PreY5+FT_PerYear*INT((BN82-FT_Y5)/12)+FT_AnnivDays+INT(MOD(BN82-FT_Y5,12)/FT_Int2)-IF(EDATE(AL82,FT_Y5)&lt;PolicyEff,FT_AnnivDays-1,0))),IF(AV82="PT",IF(BN82&lt;PT_First,0,1+INT((BN82-PT_First)/PT_Int)),0))-IF(AV82="FT",IF(BP82&lt;FT_First,0,IF(BP82&lt;FT_Y5,1+INT((BP82-FT_First)/FT_Int1),FT_PreY5+FT_PerYear*INT((BP82-FT_Y5)/12)+FT_AnnivDays+INT(MOD(BP82-FT_Y5,12)/FT_Int2)-IF(EDATE(AL82,FT_Y5)&lt;PolicyEff,FT_AnnivDays-1,0))),IF(AV82="PT",IF(BP82&lt;PT_First,0,1+INT((BP82-PT_First)/PT_Int)),0)),0))</f>
        <v/>
      </c>
      <c r="BR82" s="0" t="str">
        <f aca="false">IF(LEN($A82&amp;$B82)=0,"",$A82&amp;" "&amp;$B82)</f>
        <v/>
      </c>
    </row>
    <row r="83" customFormat="false" ht="15" hidden="false" customHeight="false" outlineLevel="0" collapsed="false">
      <c r="A83" s="12"/>
      <c r="B83" s="12"/>
      <c r="C83" s="12"/>
      <c r="D83" s="13"/>
      <c r="E83" s="14" t="str">
        <f aca="false">IF(OR(AK83=0,$D83=""),"",DATE(YEAR(AsOfDate)+IF(DATE(YEAR(AsOfDate),MONTH($D83),DAY($D83))&lt;=AsOfDate,1,0),MONTH($D83),DAY($D83)))</f>
        <v/>
      </c>
      <c r="F83" s="13"/>
      <c r="G83" s="13"/>
      <c r="H83" s="13"/>
      <c r="I83" s="13"/>
      <c r="J83" s="13"/>
      <c r="K83" s="14" t="str">
        <f aca="false">IF(AK83=0,"",DATE(YEAR(AsOfDate)+IF(DATE(YEAR(AsOfDate),MONTH(AL83),DAY(AL83))&lt;=AsOfDate,1,0),MONTH(AL83),DAY(AL83)))</f>
        <v/>
      </c>
      <c r="L83" s="15" t="str">
        <f aca="false">IF(AK83=0,"",ROUND((AsOfDate-AL83)/365.25,1))</f>
        <v/>
      </c>
      <c r="M83" s="16" t="str">
        <f aca="false">IF(AK83=0,"",IF(AsOfDate&lt;AL83,"-",DATEDIF(AL83,AsOfDate,"y")&amp;"y "&amp;DATEDIF(AL83,AsOfDate,"ym")&amp;"m "&amp;DATEDIF(AL83,AsOfDate,"md")&amp;"d"))</f>
        <v/>
      </c>
      <c r="N83" s="17" t="str">
        <f aca="false">IF(AK83=0,"",O83*HoursPerDay)</f>
        <v/>
      </c>
      <c r="O83" s="17" t="str">
        <f aca="false">IF(AK83=0,"",MAX(0,BD83-BQ83))</f>
        <v/>
      </c>
      <c r="P83" s="18"/>
      <c r="Q83" s="16" t="str">
        <f aca="false">IF(AK83=0,"",IF(AM83&lt;2,"",AQ83&amp;" to "&amp;AR83&amp;" on "&amp;TEXT(AO83,"dd/mm/yyyy")&amp;IF(AO83&gt;AsOfDate," (future)",IF(AT83=AU83,"",IF(AU83="None"," - STOPPED accruing",IF(AT83="None"," - commencement for Bonus Leave"," - pathway changed"))))&amp;IF(AM83&lt;3,"","; "&amp;AR83&amp;" to "&amp;AS83&amp;" on "&amp;TEXT(AP83,"dd/mm/yyyy")&amp;IF(AP83&gt;AsOfDate," (future)",IF(AU83=AV83,"",IF(AV83="None"," - STOPPED accruing",IF(AU83="None"," - commencement for Bonus Leave"," - pathway changed")))))))</f>
        <v/>
      </c>
      <c r="R83" s="16" t="str">
        <f aca="false">IF(AK83=0,"",IF(AW83="None",IF(O83&gt;0,"No longer accruing","Not eligible - "&amp;IF(AND(OR(ISNUMBER(SEARCH("part",$C83)),UPPER(TRIM($C83))="PT",UPPER(TRIM($C83))="PTE"),Apply2026="No"),"part-time (scheme is full-time only)",IF(AND(OR(ISNUMBER(SEARCH("part",$C83)),UPPER(TRIM($C83))="PT",UPPER(TRIM($C83))="PTE"),$P83&lt;&gt;"",N($P83)&lt;PT_MinHours),"under "&amp;PT_MinHours&amp;" hrs",IF(IF($C83="","",IF(OR(ISNUMBER(SEARCH("full",$C83)),UPPER(TRIM($C83))="FT",UPPER(TRIM($C83))="FTE"),"Full-Time",IF(OR(ISNUMBER(SEARCH("part",$C83)),UPPER(TRIM($C83))="PT",UPPER(TRIM($C83))="PTE"),"Part-Time",IF(OR(ISNUMBER(SEARCH("cas",$C83)),UPPER(TRIM($C83))="CAS"),"Casual","Unknown"))))="Unknown","type not recognised",$C83)))),IF(O83&gt;0,"Yes - Accrual Required","Not yet - from "&amp;TEXT(S83,"dd/mm/yyyy"))))</f>
        <v/>
      </c>
      <c r="S83" s="14" t="str">
        <f aca="false">IF(AK83=0,"",IF(AW83="None","",EDATE(AL83,BF83)))</f>
        <v/>
      </c>
      <c r="T83" s="17" t="str">
        <f aca="false">IF(AK83=0,"",IF(NOT(LH_Ready),"",IF($F83&gt;PFYDate,0,IF(LH_ColPeriod=0,W83-U83+V83,SUMIFS(INDEX(LH_Data,0,LH_ColAcc),INDEX(LH_Data,0,LH_ColFirst),$A83,INDEX(LH_Data,0,LH_ColSur),$B83,INDEX(LH_Data,0,LH_ColCat),BonusCat,INDEX(LH_Data,0,LH_ColPeriod),LH_OpenLabel)*UnitFactor))))</f>
        <v/>
      </c>
      <c r="U83" s="17" t="str">
        <f aca="false">IF(AK83=0,"",IF(NOT(LH_Ready),"",SUMIFS(INDEX(LH_Data,0,LH_ColAcc),INDEX(LH_Data,0,LH_ColFirst),$A83,INDEX(LH_Data,0,LH_ColSur),$B83,INDEX(LH_Data,0,LH_ColCat),BonusCat,INDEX(LH_Data,0,LH_ColStart),"&gt;="&amp;AL83)*UnitFactor))</f>
        <v/>
      </c>
      <c r="V83" s="17" t="str">
        <f aca="false">IF(AK83=0,"",IF(NOT(LH_Ready),"",SUMIFS(INDEX(LH_Data,0,LH_ColTaken),INDEX(LH_Data,0,LH_ColFirst),$A83,INDEX(LH_Data,0,LH_ColSur),$B83,INDEX(LH_Data,0,LH_ColCat),BonusCat,INDEX(LH_Data,0,LH_ColStart),"&gt;="&amp;AL83)*UnitFactor))</f>
        <v/>
      </c>
      <c r="W83" s="17" t="str">
        <f aca="false">IF(AK83=0,"",IF(NOT(LH_Ready),"",IF(BH83=0,0,INDEX(INDEX(LH_Data,0,LH_ColClose),BH83-1)*UnitFactor)))</f>
        <v/>
      </c>
      <c r="X83" s="17" t="str">
        <f aca="false">IF(AK83=0,"",(MAX(0,BD83-BQ83)-MAX(0,BE83-BQ83))*HoursPerDay)</f>
        <v/>
      </c>
      <c r="Y83" s="17" t="str">
        <f aca="false">IF(AK83=0,"",IF(NOT(LH_Ready),"",IF($AI83="Yes",N(AE83)*HoursPerDay-SUMIFS(INDEX(LH_Data,0,LH_ColAcc),INDEX(LH_Data,0,LH_ColFirst),$A83,INDEX(LH_Data,0,LH_ColSur),$B83,INDEX(LH_Data,0,LH_ColCat),BonusCat,INDEX(LH_Data,0,LH_ColStart),"&gt;="&amp;(EOMONTH(AsOfDate,-1)+1),INDEX(LH_Data,0,LH_ColStart),"&lt;="&amp;AsOfDate)*UnitFactor,IF(BG83=0,N83,N83-N(T83)-N(U83)))))</f>
        <v/>
      </c>
      <c r="Z83" s="16" t="str">
        <f aca="false">IF(OR(AK83=0,Y83=""),"",IF(Y83&gt;0,"Yes","No"))</f>
        <v/>
      </c>
      <c r="AA83" s="16" t="str">
        <f aca="false">IF(AK83=0,IF(LEN($A83&amp;$B83)=0,"","FIX INPUT - StartDate missing"),IF(AD83&lt;&gt;"","FIX INPUT - "&amp;AD83,IF(NOT(LH_Ready),"Paste Leave History export (Settings must show YES)",IF(AND($AI83="Yes",Y83&lt;=0),"OK - EH balance accepted to date"&amp;IF(N(AH83)&gt;0," (EH holds "&amp;AH83&amp;" hrs over the scheme)","")&amp;"; next day "&amp;TEXT(S83,"dd mmm yy")&amp;IF(N(AE83)&gt;0," ("&amp;AE83&amp;" day(s) for "&amp;UPPER(TEXT(AsOfDate,"mmm yyyy"))&amp;" already in EH)",""),IF(Y83&gt;0,"ACCRUE "&amp;ROUND(Y83,2)&amp;" hrs ("&amp;ROUND(Y83/HoursPerDay,2)&amp;" days): "&amp;IF(N(AE83)&gt;0,AE83&amp;" day(s) for "&amp;UPPER(TEXT(AsOfDate,"mmm yyyy"))&amp;" (milestone "&amp;UPPER(TEXT(AF83,"dd mmm yy"))&amp;")"&amp;IF(Y83/HoursPerDay&gt;AE83+0.001," + "&amp;ROUND(Y83/HoursPerDay-AE83,2)&amp;" day(s) catch-up from earlier months",""),"all catch-up from earlier months, nothing new this month")&amp;IF(BG83=0,"; no Bonus Leave in EH yet",""),IF(Y83&lt;0,"CHECK - EH accrued "&amp;ROUND(-Y83,2)&amp;" hrs more than policy since commencement",IF(N(W83)&gt;O83*HoursPerDay+0.01,"CHECK - EH balance "&amp;ROUND(W83-O83*HoursPerDay,2)&amp;" hrs more than policy entitlement",IF(O83&gt;0,"OK - nothing to add"&amp;IF(N(AE83)&gt;0," ("&amp;AE83&amp;" day(s) for "&amp;UPPER(TEXT(AsOfDate,"mmm yyyy"))&amp;" already in EH)",""),IF(AW83="None",R83,"Not yet - first day on "&amp;TEXT(S83,"dd/mm/yyyy"))))))))))</f>
        <v/>
      </c>
      <c r="AB83" s="17" t="str">
        <f aca="false">IF(OR(AK83=0,T83=""),"",MAX(0,BE83-BQ83)*HoursPerDay-T83)</f>
        <v/>
      </c>
      <c r="AC83" s="16" t="str">
        <f aca="false">IF(AK83=0,"",BG83)</f>
        <v/>
      </c>
      <c r="AD83" s="16" t="str">
        <f aca="false">IF(AK83=0,"",TRIM(IF(OR(ISTEXT($F83),ISTEXT($H83),ISTEXT($I83),ISTEXT($G83),ISTEXT($J83),ISTEXT($D83)),"A date is typed as text - retype it as dd/mm/yyyy. ","")&amp;IF(IF($C83="","",IF(OR(ISNUMBER(SEARCH("full",$C83)),UPPER(TRIM($C83))="FT",UPPER(TRIM($C83))="FTE"),"Full-Time",IF(OR(ISNUMBER(SEARCH("part",$C83)),UPPER(TRIM($C83))="PT",UPPER(TRIM($C83))="PTE"),"Part-Time",IF(OR(ISNUMBER(SEARCH("cas",$C83)),UPPER(TRIM($C83))="CAS"),"Casual","Unknown"))))="Unknown","EmploymentType not recognised - use Full-Time, Part-Time or Casual. ","")&amp;IF(AND(AM83&gt;=1,IF(AM83&gt;=3,AS83,IF(AM83=2,AR83,AQ83))&lt;&gt;IF($C83="","",IF(OR(ISNUMBER(SEARCH("full",$C83)),UPPER(TRIM($C83))="FT",UPPER(TRIM($C83))="FTE"),"Full-Time",IF(OR(ISNUMBER(SEARCH("part",$C83)),UPPER(TRIM($C83))="PT",UPPER(TRIM($C83))="PTE"),"Part-Time",IF(OR(ISNUMBER(SEARCH("cas",$C83)),UPPER(TRIM($C83))="CAS"),"Casual","Unknown"))))),"EmploymentType does not match latest start date ("&amp;IF(AM83&gt;=3,AS83,IF(AM83=2,AR83,AQ83))&amp;"). ","")&amp;IF(AND(AM83&gt;=1,AN83&lt;&gt;$F83),"Earliest type date should equal StartDate. ","")&amp;IF(AND(AM83&gt;=2,AN83=AO83),"Two types start on the same date. ","")&amp;IF(AND(OR(ISNUMBER(SEARCH("part",$C83)),UPPER(TRIM($C83))="PT",UPPER(TRIM($C83))="PTE"),$P83=""),"Part-time: enter PT Hrs/Week (blank = 24+). ","")))</f>
        <v/>
      </c>
      <c r="AE83" s="17" t="str">
        <f aca="false">IF(AK83=0,"",O83-MAX(0,BL83-BQ83))</f>
        <v/>
      </c>
      <c r="AF83" s="14" t="str">
        <f aca="false">IF(OR(AK83=0,AE83="",N(AE83)=0,BM83=""),"",EDATE(AL83,BM83))</f>
        <v/>
      </c>
      <c r="AG83" s="17" t="str">
        <f aca="false">IF(AK83=0,"",MIN(BD83,BQ83))</f>
        <v/>
      </c>
      <c r="AH83" s="17" t="str">
        <f aca="false">IF(AK83=0,"",IF(NOT(LH_Ready),"",IF(BG83=0,0,MAX(0,ROUND(N(T83)+N(U83)-N83,2)))))</f>
        <v/>
      </c>
      <c r="AI83" s="12"/>
      <c r="AJ83" s="12"/>
      <c r="AK83" s="16" t="n">
        <f aca="false">IF(OR(LEN($A83&amp;$B83)=0,$F83=""),0,1)</f>
        <v>0</v>
      </c>
      <c r="AL83" s="14" t="str">
        <f aca="false">IF(AK83=0,"",IF(PreSchemeCounts="No",MAX(SchemeStart,IF($J83&lt;&gt;"",$J83,IF(OR(CasualCounts="Yes",COUNT($G83:$I83)=0),$F83,IF(Apply2026="No",IF($I83="",$F83,$I83),IF(COUNT($H83:$I83)=0,$F83,MIN($H83:$I83)))))),IF($J83&lt;&gt;"",$J83,IF(OR(CasualCounts="Yes",COUNT($G83:$I83)=0),$F83,IF(Apply2026="No",IF($I83="",$F83,$I83),IF(COUNT($H83:$I83)=0,$F83,MIN($H83:$I83)))))))</f>
        <v/>
      </c>
      <c r="AM83" s="16" t="str">
        <f aca="false">IF(AK83=0,"",COUNT($G83:$I83))</f>
        <v/>
      </c>
      <c r="AN83" s="14" t="str">
        <f aca="false">IF(AK83=0,"",IFERROR(SMALL($G83:$I83,1),""))</f>
        <v/>
      </c>
      <c r="AO83" s="14" t="str">
        <f aca="false">IF(AK83=0,"",IFERROR(SMALL($G83:$I83,2),""))</f>
        <v/>
      </c>
      <c r="AP83" s="14" t="str">
        <f aca="false">IF(AK83=0,"",IFERROR(SMALL($G83:$I83,3),""))</f>
        <v/>
      </c>
      <c r="AQ83" s="16" t="str">
        <f aca="false">IF(AK83=0,"",IF(AN83="","",IF(AN83=$H83,"Part-Time",IF(AN83=$I83,"Full-Time","Casual"))))</f>
        <v/>
      </c>
      <c r="AR83" s="16" t="str">
        <f aca="false">IF(AK83=0,"",IF(AO83="","",IF(AO83=$H83,"Part-Time",IF(AO83=$I83,"Full-Time","Casual"))))</f>
        <v/>
      </c>
      <c r="AS83" s="16" t="str">
        <f aca="false">IF(AK83=0,"",IF(AP83="","",IF(AP83=$H83,"Part-Time",IF(AP83=$I83,"Full-Time","Casual"))))</f>
        <v/>
      </c>
      <c r="AT83" s="16" t="str">
        <f aca="false">IF(AK83=0,"",IF(AM83=0,IF(OR(ISNUMBER(SEARCH("full",$C83)),UPPER(TRIM($C83))="FT",UPPER(TRIM($C83))="FTE"),"FT",IF(AND(OR(ISNUMBER(SEARCH("part",$C83)),UPPER(TRIM($C83))="PT",UPPER(TRIM($C83))="PTE"),Apply2026="Yes",OR($P83="",N($P83)&gt;=PT_MinHours)),"PT","None")),IF(OR(ISNUMBER(SEARCH("full",AQ83)),UPPER(TRIM(AQ83))="FT",UPPER(TRIM(AQ83))="FTE"),"FT",IF(AND(OR(ISNUMBER(SEARCH("part",AQ83)),UPPER(TRIM(AQ83))="PT",UPPER(TRIM(AQ83))="PTE"),Apply2026="Yes",OR($P83="",N($P83)&gt;=PT_MinHours)),"PT","None"))))</f>
        <v/>
      </c>
      <c r="AU83" s="16" t="str">
        <f aca="false">IF(AK83=0,"",IF(AM83&lt;2,"",IF(OR(ISNUMBER(SEARCH("full",AR83)),UPPER(TRIM(AR83))="FT",UPPER(TRIM(AR83))="FTE"),"FT",IF(AND(OR(ISNUMBER(SEARCH("part",AR83)),UPPER(TRIM(AR83))="PT",UPPER(TRIM(AR83))="PTE"),Apply2026="Yes",OR($P83="",N($P83)&gt;=PT_MinHours)),"PT","None"))))</f>
        <v/>
      </c>
      <c r="AV83" s="16" t="str">
        <f aca="false">IF(AK83=0,"",IF(AM83&lt;3,"",IF(OR(ISNUMBER(SEARCH("full",AS83)),UPPER(TRIM(AS83))="FT",UPPER(TRIM(AS83))="FTE"),"FT",IF(AND(OR(ISNUMBER(SEARCH("part",AS83)),UPPER(TRIM(AS83))="PT",UPPER(TRIM(AS83))="PTE"),Apply2026="Yes",OR($P83="",N($P83)&gt;=PT_MinHours)),"PT","None"))))</f>
        <v/>
      </c>
      <c r="AW83" s="16" t="str">
        <f aca="false">IF(AK83=0,"",IF(AND(AM83&gt;=3,AP83&lt;=AsOfDate),AV83,IF(AND(AM83&gt;=2,AO83&lt;=AsOfDate),AU83,AT83)))</f>
        <v/>
      </c>
      <c r="AX83" s="16" t="str">
        <f aca="false">IF(AK83=0,"",IF(AsOfDate&lt;AL83,-1,12*(YEAR(AsOfDate)-YEAR(AL83))+MONTH(AsOfDate)-MONTH(AL83)-IF(DAY(AsOfDate)&lt;MIN(DAY(AL83),DAY(EOMONTH(AsOfDate,0))),1,0)))</f>
        <v/>
      </c>
      <c r="AY83" s="16" t="str">
        <f aca="false">IF(AK83=0,"",IF(OR(AM83&lt;2,AO83&gt;AsOfDate),AX83,IF((AO83-1)&lt;AL83,-1,12*(YEAR((AO83-1))-YEAR(AL83))+MONTH((AO83-1))-MONTH(AL83)-IF(DAY((AO83-1))&lt;MIN(DAY(AL83),DAY(EOMONTH((AO83-1),0))),1,0))))</f>
        <v/>
      </c>
      <c r="AZ83" s="16" t="str">
        <f aca="false">IF(AK83=0,"",IF(OR(AM83&lt;3,AP83&gt;AsOfDate),AX83,IF((AP83-1)&lt;AL83,-1,12*(YEAR((AP83-1))-YEAR(AL83))+MONTH((AP83-1))-MONTH(AL83)-IF(DAY((AP83-1))&lt;MIN(DAY(AL83),DAY(EOMONTH((AP83-1),0))),1,0))))</f>
        <v/>
      </c>
      <c r="BA83" s="16" t="str">
        <f aca="false">IF(AK83=0,"",IF(PFYDate&lt;AL83,-1,12*(YEAR(PFYDate)-YEAR(AL83))+MONTH(PFYDate)-MONTH(AL83)-IF(DAY(PFYDate)&lt;MIN(DAY(AL83),DAY(EOMONTH(PFYDate,0))),1,0)))</f>
        <v/>
      </c>
      <c r="BB83" s="16" t="str">
        <f aca="false">IF(AK83=0,"",IF(OR(AM83&lt;2,AO83&gt;PFYDate),BA83,IF((AO83-1)&lt;AL83,-1,12*(YEAR((AO83-1))-YEAR(AL83))+MONTH((AO83-1))-MONTH(AL83)-IF(DAY((AO83-1))&lt;MIN(DAY(AL83),DAY(EOMONTH((AO83-1),0))),1,0))))</f>
        <v/>
      </c>
      <c r="BC83" s="16" t="str">
        <f aca="false">IF(AK83=0,"",IF(OR(AM83&lt;3,AP83&gt;PFYDate),BA83,IF((AP83-1)&lt;AL83,-1,12*(YEAR((AP83-1))-YEAR(AL83))+MONTH((AP83-1))-MONTH(AL83)-IF(DAY((AP83-1))&lt;MIN(DAY(AL83),DAY(EOMONTH((AP83-1),0))),1,0))))</f>
        <v/>
      </c>
      <c r="BD83" s="16" t="str">
        <f aca="false">IF(AK83=0,"",IF(AT83="FT",IF(AY83&lt;FT_First,0,IF(AY83&lt;FT_Y5,1+INT((AY83-FT_First)/FT_Int1),FT_PreY5+FT_PerYear*INT((AY83-FT_Y5)/12)+FT_AnnivDays+INT(MOD(AY83-FT_Y5,12)/FT_Int2)-IF(EDATE(AL83,FT_Y5)&lt;PolicyEff,FT_AnnivDays-1,0))),IF(AT83="PT",IF(AY83&lt;PT_First,0,1+INT((AY83-PT_First)/PT_Int)),0))+IF(AND(AM83&gt;=2,AO83&lt;=AsOfDate),IF(AU83="FT",IF(AZ83&lt;FT_First,0,IF(AZ83&lt;FT_Y5,1+INT((AZ83-FT_First)/FT_Int1),FT_PreY5+FT_PerYear*INT((AZ83-FT_Y5)/12)+FT_AnnivDays+INT(MOD(AZ83-FT_Y5,12)/FT_Int2)-IF(EDATE(AL83,FT_Y5)&lt;PolicyEff,FT_AnnivDays-1,0))),IF(AU83="PT",IF(AZ83&lt;PT_First,0,1+INT((AZ83-PT_First)/PT_Int)),0))-IF(AU83="FT",IF(AY83&lt;FT_First,0,IF(AY83&lt;FT_Y5,1+INT((AY83-FT_First)/FT_Int1),FT_PreY5+FT_PerYear*INT((AY83-FT_Y5)/12)+FT_AnnivDays+INT(MOD(AY83-FT_Y5,12)/FT_Int2)-IF(EDATE(AL83,FT_Y5)&lt;PolicyEff,FT_AnnivDays-1,0))),IF(AU83="PT",IF(AY83&lt;PT_First,0,1+INT((AY83-PT_First)/PT_Int)),0)),0)+IF(AND(AM83&gt;=3,AP83&lt;=AsOfDate),IF(AV83="FT",IF(AX83&lt;FT_First,0,IF(AX83&lt;FT_Y5,1+INT((AX83-FT_First)/FT_Int1),FT_PreY5+FT_PerYear*INT((AX83-FT_Y5)/12)+FT_AnnivDays+INT(MOD(AX83-FT_Y5,12)/FT_Int2)-IF(EDATE(AL83,FT_Y5)&lt;PolicyEff,FT_AnnivDays-1,0))),IF(AV83="PT",IF(AX83&lt;PT_First,0,1+INT((AX83-PT_First)/PT_Int)),0))-IF(AV83="FT",IF(AZ83&lt;FT_First,0,IF(AZ83&lt;FT_Y5,1+INT((AZ83-FT_First)/FT_Int1),FT_PreY5+FT_PerYear*INT((AZ83-FT_Y5)/12)+FT_AnnivDays+INT(MOD(AZ83-FT_Y5,12)/FT_Int2)-IF(EDATE(AL83,FT_Y5)&lt;PolicyEff,FT_AnnivDays-1,0))),IF(AV83="PT",IF(AZ83&lt;PT_First,0,1+INT((AZ83-PT_First)/PT_Int)),0)),0))</f>
        <v/>
      </c>
      <c r="BE83" s="16" t="str">
        <f aca="false">IF(AK83=0,"",IF(AT83="FT",IF(BB83&lt;FT_First,0,IF(BB83&lt;FT_Y5,1+INT((BB83-FT_First)/FT_Int1),FT_PreY5+FT_PerYear*INT((BB83-FT_Y5)/12)+FT_AnnivDays+INT(MOD(BB83-FT_Y5,12)/FT_Int2)-IF(EDATE(AL83,FT_Y5)&lt;PolicyEff,FT_AnnivDays-1,0))),IF(AT83="PT",IF(BB83&lt;PT_First,0,1+INT((BB83-PT_First)/PT_Int)),0))+IF(AND(AM83&gt;=2,AO83&lt;=PFYDate),IF(AU83="FT",IF(BC83&lt;FT_First,0,IF(BC83&lt;FT_Y5,1+INT((BC83-FT_First)/FT_Int1),FT_PreY5+FT_PerYear*INT((BC83-FT_Y5)/12)+FT_AnnivDays+INT(MOD(BC83-FT_Y5,12)/FT_Int2)-IF(EDATE(AL83,FT_Y5)&lt;PolicyEff,FT_AnnivDays-1,0))),IF(AU83="PT",IF(BC83&lt;PT_First,0,1+INT((BC83-PT_First)/PT_Int)),0))-IF(AU83="FT",IF(BB83&lt;FT_First,0,IF(BB83&lt;FT_Y5,1+INT((BB83-FT_First)/FT_Int1),FT_PreY5+FT_PerYear*INT((BB83-FT_Y5)/12)+FT_AnnivDays+INT(MOD(BB83-FT_Y5,12)/FT_Int2)-IF(EDATE(AL83,FT_Y5)&lt;PolicyEff,FT_AnnivDays-1,0))),IF(AU83="PT",IF(BB83&lt;PT_First,0,1+INT((BB83-PT_First)/PT_Int)),0)),0)+IF(AND(AM83&gt;=3,AP83&lt;=PFYDate),IF(AV83="FT",IF(BA83&lt;FT_First,0,IF(BA83&lt;FT_Y5,1+INT((BA83-FT_First)/FT_Int1),FT_PreY5+FT_PerYear*INT((BA83-FT_Y5)/12)+FT_AnnivDays+INT(MOD(BA83-FT_Y5,12)/FT_Int2)-IF(EDATE(AL83,FT_Y5)&lt;PolicyEff,FT_AnnivDays-1,0))),IF(AV83="PT",IF(BA83&lt;PT_First,0,1+INT((BA83-PT_First)/PT_Int)),0))-IF(AV83="FT",IF(BC83&lt;FT_First,0,IF(BC83&lt;FT_Y5,1+INT((BC83-FT_First)/FT_Int1),FT_PreY5+FT_PerYear*INT((BC83-FT_Y5)/12)+FT_AnnivDays+INT(MOD(BC83-FT_Y5,12)/FT_Int2)-IF(EDATE(AL83,FT_Y5)&lt;PolicyEff,FT_AnnivDays-1,0))),IF(AV83="PT",IF(BC83&lt;PT_First,0,1+INT((BC83-PT_First)/PT_Int)),0)),0))</f>
        <v/>
      </c>
      <c r="BF83" s="16" t="str">
        <f aca="false">IF(AK83=0,"",IF(AW83="FT",IF(AX83&lt;FT_First,FT_First,IF(AX83&lt;FT_Y5,MIN(FT_Y5,FT_First+FT_Int1*(INT((AX83-FT_First)/FT_Int1)+1)),FT_Y5+12*INT((AX83-FT_Y5)/12)+FT_Int2*(INT(MOD(AX83-FT_Y5,12)/FT_Int2)+1))),IF(AW83="PT",IF(AX83&lt;PT_First,PT_First,PT_First+PT_Int*(INT((AX83-PT_First)/PT_Int)+1)),"")))</f>
        <v/>
      </c>
      <c r="BG83" s="16" t="str">
        <f aca="false">IF(AK83=0,"",IF(NOT(LH_Ready),0,COUNTIFS(INDEX(LH_Data,0,LH_ColFirst),$A83,INDEX(LH_Data,0,LH_ColSur),$B83,INDEX(LH_Data,0,LH_ColCat),BonusCat)))</f>
        <v/>
      </c>
      <c r="BH83" s="16" t="str">
        <f aca="false">IF(AK83=0,"",IF(OR(NOT(LH_Ready),BG83=0),0,SUMPRODUCT(MAX((INDEX(LH_Data,0,LH_ColFirst)=$A83)*(INDEX(LH_Data,0,LH_ColSur)=$B83)*(INDEX(LH_Data,0,LH_ColCat)=BonusCat)*ROW(LH_Data)))))</f>
        <v/>
      </c>
      <c r="BI83" s="16" t="str">
        <f aca="false">IF(AK83=0,"",IF(EOMONTH(AsOfDate,-1)&lt;AL83,-1,12*(YEAR(EOMONTH(AsOfDate,-1))-YEAR(AL83))+MONTH(EOMONTH(AsOfDate,-1))-MONTH(AL83)-IF(DAY(EOMONTH(AsOfDate,-1))&lt;MIN(DAY(AL83),DAY(EOMONTH(EOMONTH(AsOfDate,-1),0))),1,0)))</f>
        <v/>
      </c>
      <c r="BJ83" s="16" t="str">
        <f aca="false">IF(AK83=0,"",IF(OR(AM83&lt;2,AO83&gt;EOMONTH(AsOfDate,-1)),BI83,IF((AO83-1)&lt;AL83,-1,12*(YEAR((AO83-1))-YEAR(AL83))+MONTH((AO83-1))-MONTH(AL83)-IF(DAY((AO83-1))&lt;MIN(DAY(AL83),DAY(EOMONTH((AO83-1),0))),1,0))))</f>
        <v/>
      </c>
      <c r="BK83" s="16" t="str">
        <f aca="false">IF(AK83=0,"",IF(OR(AM83&lt;3,AP83&gt;EOMONTH(AsOfDate,-1)),BI83,IF((AP83-1)&lt;AL83,-1,12*(YEAR((AP83-1))-YEAR(AL83))+MONTH((AP83-1))-MONTH(AL83)-IF(DAY((AP83-1))&lt;MIN(DAY(AL83),DAY(EOMONTH((AP83-1),0))),1,0))))</f>
        <v/>
      </c>
      <c r="BL83" s="16" t="str">
        <f aca="false">IF(AK83=0,"",IF(AT83="FT",IF(BJ83&lt;FT_First,0,IF(BJ83&lt;FT_Y5,1+INT((BJ83-FT_First)/FT_Int1),FT_PreY5+FT_PerYear*INT((BJ83-FT_Y5)/12)+FT_AnnivDays+INT(MOD(BJ83-FT_Y5,12)/FT_Int2)-IF(EDATE(AL83,FT_Y5)&lt;PolicyEff,FT_AnnivDays-1,0))),IF(AT83="PT",IF(BJ83&lt;PT_First,0,1+INT((BJ83-PT_First)/PT_Int)),0))+IF(AND(AM83&gt;=2,AO83&lt;=EOMONTH(AsOfDate,-1)),IF(AU83="FT",IF(BK83&lt;FT_First,0,IF(BK83&lt;FT_Y5,1+INT((BK83-FT_First)/FT_Int1),FT_PreY5+FT_PerYear*INT((BK83-FT_Y5)/12)+FT_AnnivDays+INT(MOD(BK83-FT_Y5,12)/FT_Int2)-IF(EDATE(AL83,FT_Y5)&lt;PolicyEff,FT_AnnivDays-1,0))),IF(AU83="PT",IF(BK83&lt;PT_First,0,1+INT((BK83-PT_First)/PT_Int)),0))-IF(AU83="FT",IF(BJ83&lt;FT_First,0,IF(BJ83&lt;FT_Y5,1+INT((BJ83-FT_First)/FT_Int1),FT_PreY5+FT_PerYear*INT((BJ83-FT_Y5)/12)+FT_AnnivDays+INT(MOD(BJ83-FT_Y5,12)/FT_Int2)-IF(EDATE(AL83,FT_Y5)&lt;PolicyEff,FT_AnnivDays-1,0))),IF(AU83="PT",IF(BJ83&lt;PT_First,0,1+INT((BJ83-PT_First)/PT_Int)),0)),0)+IF(AND(AM83&gt;=3,AP83&lt;=EOMONTH(AsOfDate,-1)),IF(AV83="FT",IF(BI83&lt;FT_First,0,IF(BI83&lt;FT_Y5,1+INT((BI83-FT_First)/FT_Int1),FT_PreY5+FT_PerYear*INT((BI83-FT_Y5)/12)+FT_AnnivDays+INT(MOD(BI83-FT_Y5,12)/FT_Int2)-IF(EDATE(AL83,FT_Y5)&lt;PolicyEff,FT_AnnivDays-1,0))),IF(AV83="PT",IF(BI83&lt;PT_First,0,1+INT((BI83-PT_First)/PT_Int)),0))-IF(AV83="FT",IF(BK83&lt;FT_First,0,IF(BK83&lt;FT_Y5,1+INT((BK83-FT_First)/FT_Int1),FT_PreY5+FT_PerYear*INT((BK83-FT_Y5)/12)+FT_AnnivDays+INT(MOD(BK83-FT_Y5,12)/FT_Int2)-IF(EDATE(AL83,FT_Y5)&lt;PolicyEff,FT_AnnivDays-1,0))),IF(AV83="PT",IF(BK83&lt;PT_First,0,1+INT((BK83-PT_First)/PT_Int)),0)),0))</f>
        <v/>
      </c>
      <c r="BM83" s="16" t="str">
        <f aca="false">IF(AK83=0,"",IF(AW83="FT",IF(AX83&lt;FT_First,"",IF(AX83&lt;FT_Y5,FT_First+FT_Int1*INT((AX83-FT_First)/FT_Int1),FT_Y5+FT_Int2*INT((AX83-FT_Y5)/FT_Int2))),IF(AW83="PT",IF(AX83&lt;PT_First,"",PT_First+PT_Int*INT((AX83-PT_First)/PT_Int)),"")))</f>
        <v/>
      </c>
      <c r="BN83" s="16" t="str">
        <f aca="false">IF(AK83=0,"",IF((SchemeStart-1)&lt;AL83,-1,12*(YEAR((SchemeStart-1))-YEAR(AL83))+MONTH((SchemeStart-1))-MONTH(AL83)-IF(DAY((SchemeStart-1))&lt;MIN(DAY(AL83),DAY(EOMONTH((SchemeStart-1),0))),1,0)))</f>
        <v/>
      </c>
      <c r="BO83" s="16" t="str">
        <f aca="false">IF(AK83=0,"",IF(OR(AM83&lt;2,AO83&gt;(SchemeStart-1)),BN83,IF((AO83-1)&lt;AL83,-1,12*(YEAR((AO83-1))-YEAR(AL83))+MONTH((AO83-1))-MONTH(AL83)-IF(DAY((AO83-1))&lt;MIN(DAY(AL83),DAY(EOMONTH((AO83-1),0))),1,0))))</f>
        <v/>
      </c>
      <c r="BP83" s="16" t="str">
        <f aca="false">IF(AK83=0,"",IF(OR(AM83&lt;3,AP83&gt;(SchemeStart-1)),BN83,IF((AP83-1)&lt;AL83,-1,12*(YEAR((AP83-1))-YEAR(AL83))+MONTH((AP83-1))-MONTH(AL83)-IF(DAY((AP83-1))&lt;MIN(DAY(AL83),DAY(EOMONTH((AP83-1),0))),1,0))))</f>
        <v/>
      </c>
      <c r="BQ83" s="16" t="str">
        <f aca="false">IF(AK83=0,"",IF(AT83="FT",IF(BO83&lt;FT_First,0,IF(BO83&lt;FT_Y5,1+INT((BO83-FT_First)/FT_Int1),FT_PreY5+FT_PerYear*INT((BO83-FT_Y5)/12)+FT_AnnivDays+INT(MOD(BO83-FT_Y5,12)/FT_Int2)-IF(EDATE(AL83,FT_Y5)&lt;PolicyEff,FT_AnnivDays-1,0))),IF(AT83="PT",IF(BO83&lt;PT_First,0,1+INT((BO83-PT_First)/PT_Int)),0))+IF(AND(AM83&gt;=2,AO83&lt;=(SchemeStart-1)),IF(AU83="FT",IF(BP83&lt;FT_First,0,IF(BP83&lt;FT_Y5,1+INT((BP83-FT_First)/FT_Int1),FT_PreY5+FT_PerYear*INT((BP83-FT_Y5)/12)+FT_AnnivDays+INT(MOD(BP83-FT_Y5,12)/FT_Int2)-IF(EDATE(AL83,FT_Y5)&lt;PolicyEff,FT_AnnivDays-1,0))),IF(AU83="PT",IF(BP83&lt;PT_First,0,1+INT((BP83-PT_First)/PT_Int)),0))-IF(AU83="FT",IF(BO83&lt;FT_First,0,IF(BO83&lt;FT_Y5,1+INT((BO83-FT_First)/FT_Int1),FT_PreY5+FT_PerYear*INT((BO83-FT_Y5)/12)+FT_AnnivDays+INT(MOD(BO83-FT_Y5,12)/FT_Int2)-IF(EDATE(AL83,FT_Y5)&lt;PolicyEff,FT_AnnivDays-1,0))),IF(AU83="PT",IF(BO83&lt;PT_First,0,1+INT((BO83-PT_First)/PT_Int)),0)),0)+IF(AND(AM83&gt;=3,AP83&lt;=(SchemeStart-1)),IF(AV83="FT",IF(BN83&lt;FT_First,0,IF(BN83&lt;FT_Y5,1+INT((BN83-FT_First)/FT_Int1),FT_PreY5+FT_PerYear*INT((BN83-FT_Y5)/12)+FT_AnnivDays+INT(MOD(BN83-FT_Y5,12)/FT_Int2)-IF(EDATE(AL83,FT_Y5)&lt;PolicyEff,FT_AnnivDays-1,0))),IF(AV83="PT",IF(BN83&lt;PT_First,0,1+INT((BN83-PT_First)/PT_Int)),0))-IF(AV83="FT",IF(BP83&lt;FT_First,0,IF(BP83&lt;FT_Y5,1+INT((BP83-FT_First)/FT_Int1),FT_PreY5+FT_PerYear*INT((BP83-FT_Y5)/12)+FT_AnnivDays+INT(MOD(BP83-FT_Y5,12)/FT_Int2)-IF(EDATE(AL83,FT_Y5)&lt;PolicyEff,FT_AnnivDays-1,0))),IF(AV83="PT",IF(BP83&lt;PT_First,0,1+INT((BP83-PT_First)/PT_Int)),0)),0))</f>
        <v/>
      </c>
      <c r="BR83" s="0" t="str">
        <f aca="false">IF(LEN($A83&amp;$B83)=0,"",$A83&amp;" "&amp;$B83)</f>
        <v/>
      </c>
    </row>
    <row r="84" customFormat="false" ht="15" hidden="false" customHeight="false" outlineLevel="0" collapsed="false">
      <c r="A84" s="12"/>
      <c r="B84" s="12"/>
      <c r="C84" s="12"/>
      <c r="D84" s="13"/>
      <c r="E84" s="14" t="str">
        <f aca="false">IF(OR(AK84=0,$D84=""),"",DATE(YEAR(AsOfDate)+IF(DATE(YEAR(AsOfDate),MONTH($D84),DAY($D84))&lt;=AsOfDate,1,0),MONTH($D84),DAY($D84)))</f>
        <v/>
      </c>
      <c r="F84" s="13"/>
      <c r="G84" s="13"/>
      <c r="H84" s="13"/>
      <c r="I84" s="13"/>
      <c r="J84" s="13"/>
      <c r="K84" s="14" t="str">
        <f aca="false">IF(AK84=0,"",DATE(YEAR(AsOfDate)+IF(DATE(YEAR(AsOfDate),MONTH(AL84),DAY(AL84))&lt;=AsOfDate,1,0),MONTH(AL84),DAY(AL84)))</f>
        <v/>
      </c>
      <c r="L84" s="15" t="str">
        <f aca="false">IF(AK84=0,"",ROUND((AsOfDate-AL84)/365.25,1))</f>
        <v/>
      </c>
      <c r="M84" s="16" t="str">
        <f aca="false">IF(AK84=0,"",IF(AsOfDate&lt;AL84,"-",DATEDIF(AL84,AsOfDate,"y")&amp;"y "&amp;DATEDIF(AL84,AsOfDate,"ym")&amp;"m "&amp;DATEDIF(AL84,AsOfDate,"md")&amp;"d"))</f>
        <v/>
      </c>
      <c r="N84" s="17" t="str">
        <f aca="false">IF(AK84=0,"",O84*HoursPerDay)</f>
        <v/>
      </c>
      <c r="O84" s="17" t="str">
        <f aca="false">IF(AK84=0,"",MAX(0,BD84-BQ84))</f>
        <v/>
      </c>
      <c r="P84" s="18"/>
      <c r="Q84" s="16" t="str">
        <f aca="false">IF(AK84=0,"",IF(AM84&lt;2,"",AQ84&amp;" to "&amp;AR84&amp;" on "&amp;TEXT(AO84,"dd/mm/yyyy")&amp;IF(AO84&gt;AsOfDate," (future)",IF(AT84=AU84,"",IF(AU84="None"," - STOPPED accruing",IF(AT84="None"," - commencement for Bonus Leave"," - pathway changed"))))&amp;IF(AM84&lt;3,"","; "&amp;AR84&amp;" to "&amp;AS84&amp;" on "&amp;TEXT(AP84,"dd/mm/yyyy")&amp;IF(AP84&gt;AsOfDate," (future)",IF(AU84=AV84,"",IF(AV84="None"," - STOPPED accruing",IF(AU84="None"," - commencement for Bonus Leave"," - pathway changed")))))))</f>
        <v/>
      </c>
      <c r="R84" s="16" t="str">
        <f aca="false">IF(AK84=0,"",IF(AW84="None",IF(O84&gt;0,"No longer accruing","Not eligible - "&amp;IF(AND(OR(ISNUMBER(SEARCH("part",$C84)),UPPER(TRIM($C84))="PT",UPPER(TRIM($C84))="PTE"),Apply2026="No"),"part-time (scheme is full-time only)",IF(AND(OR(ISNUMBER(SEARCH("part",$C84)),UPPER(TRIM($C84))="PT",UPPER(TRIM($C84))="PTE"),$P84&lt;&gt;"",N($P84)&lt;PT_MinHours),"under "&amp;PT_MinHours&amp;" hrs",IF(IF($C84="","",IF(OR(ISNUMBER(SEARCH("full",$C84)),UPPER(TRIM($C84))="FT",UPPER(TRIM($C84))="FTE"),"Full-Time",IF(OR(ISNUMBER(SEARCH("part",$C84)),UPPER(TRIM($C84))="PT",UPPER(TRIM($C84))="PTE"),"Part-Time",IF(OR(ISNUMBER(SEARCH("cas",$C84)),UPPER(TRIM($C84))="CAS"),"Casual","Unknown"))))="Unknown","type not recognised",$C84)))),IF(O84&gt;0,"Yes - Accrual Required","Not yet - from "&amp;TEXT(S84,"dd/mm/yyyy"))))</f>
        <v/>
      </c>
      <c r="S84" s="14" t="str">
        <f aca="false">IF(AK84=0,"",IF(AW84="None","",EDATE(AL84,BF84)))</f>
        <v/>
      </c>
      <c r="T84" s="17" t="str">
        <f aca="false">IF(AK84=0,"",IF(NOT(LH_Ready),"",IF($F84&gt;PFYDate,0,IF(LH_ColPeriod=0,W84-U84+V84,SUMIFS(INDEX(LH_Data,0,LH_ColAcc),INDEX(LH_Data,0,LH_ColFirst),$A84,INDEX(LH_Data,0,LH_ColSur),$B84,INDEX(LH_Data,0,LH_ColCat),BonusCat,INDEX(LH_Data,0,LH_ColPeriod),LH_OpenLabel)*UnitFactor))))</f>
        <v/>
      </c>
      <c r="U84" s="17" t="str">
        <f aca="false">IF(AK84=0,"",IF(NOT(LH_Ready),"",SUMIFS(INDEX(LH_Data,0,LH_ColAcc),INDEX(LH_Data,0,LH_ColFirst),$A84,INDEX(LH_Data,0,LH_ColSur),$B84,INDEX(LH_Data,0,LH_ColCat),BonusCat,INDEX(LH_Data,0,LH_ColStart),"&gt;="&amp;AL84)*UnitFactor))</f>
        <v/>
      </c>
      <c r="V84" s="17" t="str">
        <f aca="false">IF(AK84=0,"",IF(NOT(LH_Ready),"",SUMIFS(INDEX(LH_Data,0,LH_ColTaken),INDEX(LH_Data,0,LH_ColFirst),$A84,INDEX(LH_Data,0,LH_ColSur),$B84,INDEX(LH_Data,0,LH_ColCat),BonusCat,INDEX(LH_Data,0,LH_ColStart),"&gt;="&amp;AL84)*UnitFactor))</f>
        <v/>
      </c>
      <c r="W84" s="17" t="str">
        <f aca="false">IF(AK84=0,"",IF(NOT(LH_Ready),"",IF(BH84=0,0,INDEX(INDEX(LH_Data,0,LH_ColClose),BH84-1)*UnitFactor)))</f>
        <v/>
      </c>
      <c r="X84" s="17" t="str">
        <f aca="false">IF(AK84=0,"",(MAX(0,BD84-BQ84)-MAX(0,BE84-BQ84))*HoursPerDay)</f>
        <v/>
      </c>
      <c r="Y84" s="17" t="str">
        <f aca="false">IF(AK84=0,"",IF(NOT(LH_Ready),"",IF($AI84="Yes",N(AE84)*HoursPerDay-SUMIFS(INDEX(LH_Data,0,LH_ColAcc),INDEX(LH_Data,0,LH_ColFirst),$A84,INDEX(LH_Data,0,LH_ColSur),$B84,INDEX(LH_Data,0,LH_ColCat),BonusCat,INDEX(LH_Data,0,LH_ColStart),"&gt;="&amp;(EOMONTH(AsOfDate,-1)+1),INDEX(LH_Data,0,LH_ColStart),"&lt;="&amp;AsOfDate)*UnitFactor,IF(BG84=0,N84,N84-N(T84)-N(U84)))))</f>
        <v/>
      </c>
      <c r="Z84" s="16" t="str">
        <f aca="false">IF(OR(AK84=0,Y84=""),"",IF(Y84&gt;0,"Yes","No"))</f>
        <v/>
      </c>
      <c r="AA84" s="16" t="str">
        <f aca="false">IF(AK84=0,IF(LEN($A84&amp;$B84)=0,"","FIX INPUT - StartDate missing"),IF(AD84&lt;&gt;"","FIX INPUT - "&amp;AD84,IF(NOT(LH_Ready),"Paste Leave History export (Settings must show YES)",IF(AND($AI84="Yes",Y84&lt;=0),"OK - EH balance accepted to date"&amp;IF(N(AH84)&gt;0," (EH holds "&amp;AH84&amp;" hrs over the scheme)","")&amp;"; next day "&amp;TEXT(S84,"dd mmm yy")&amp;IF(N(AE84)&gt;0," ("&amp;AE84&amp;" day(s) for "&amp;UPPER(TEXT(AsOfDate,"mmm yyyy"))&amp;" already in EH)",""),IF(Y84&gt;0,"ACCRUE "&amp;ROUND(Y84,2)&amp;" hrs ("&amp;ROUND(Y84/HoursPerDay,2)&amp;" days): "&amp;IF(N(AE84)&gt;0,AE84&amp;" day(s) for "&amp;UPPER(TEXT(AsOfDate,"mmm yyyy"))&amp;" (milestone "&amp;UPPER(TEXT(AF84,"dd mmm yy"))&amp;")"&amp;IF(Y84/HoursPerDay&gt;AE84+0.001," + "&amp;ROUND(Y84/HoursPerDay-AE84,2)&amp;" day(s) catch-up from earlier months",""),"all catch-up from earlier months, nothing new this month")&amp;IF(BG84=0,"; no Bonus Leave in EH yet",""),IF(Y84&lt;0,"CHECK - EH accrued "&amp;ROUND(-Y84,2)&amp;" hrs more than policy since commencement",IF(N(W84)&gt;O84*HoursPerDay+0.01,"CHECK - EH balance "&amp;ROUND(W84-O84*HoursPerDay,2)&amp;" hrs more than policy entitlement",IF(O84&gt;0,"OK - nothing to add"&amp;IF(N(AE84)&gt;0," ("&amp;AE84&amp;" day(s) for "&amp;UPPER(TEXT(AsOfDate,"mmm yyyy"))&amp;" already in EH)",""),IF(AW84="None",R84,"Not yet - first day on "&amp;TEXT(S84,"dd/mm/yyyy"))))))))))</f>
        <v/>
      </c>
      <c r="AB84" s="17" t="str">
        <f aca="false">IF(OR(AK84=0,T84=""),"",MAX(0,BE84-BQ84)*HoursPerDay-T84)</f>
        <v/>
      </c>
      <c r="AC84" s="16" t="str">
        <f aca="false">IF(AK84=0,"",BG84)</f>
        <v/>
      </c>
      <c r="AD84" s="16" t="str">
        <f aca="false">IF(AK84=0,"",TRIM(IF(OR(ISTEXT($F84),ISTEXT($H84),ISTEXT($I84),ISTEXT($G84),ISTEXT($J84),ISTEXT($D84)),"A date is typed as text - retype it as dd/mm/yyyy. ","")&amp;IF(IF($C84="","",IF(OR(ISNUMBER(SEARCH("full",$C84)),UPPER(TRIM($C84))="FT",UPPER(TRIM($C84))="FTE"),"Full-Time",IF(OR(ISNUMBER(SEARCH("part",$C84)),UPPER(TRIM($C84))="PT",UPPER(TRIM($C84))="PTE"),"Part-Time",IF(OR(ISNUMBER(SEARCH("cas",$C84)),UPPER(TRIM($C84))="CAS"),"Casual","Unknown"))))="Unknown","EmploymentType not recognised - use Full-Time, Part-Time or Casual. ","")&amp;IF(AND(AM84&gt;=1,IF(AM84&gt;=3,AS84,IF(AM84=2,AR84,AQ84))&lt;&gt;IF($C84="","",IF(OR(ISNUMBER(SEARCH("full",$C84)),UPPER(TRIM($C84))="FT",UPPER(TRIM($C84))="FTE"),"Full-Time",IF(OR(ISNUMBER(SEARCH("part",$C84)),UPPER(TRIM($C84))="PT",UPPER(TRIM($C84))="PTE"),"Part-Time",IF(OR(ISNUMBER(SEARCH("cas",$C84)),UPPER(TRIM($C84))="CAS"),"Casual","Unknown"))))),"EmploymentType does not match latest start date ("&amp;IF(AM84&gt;=3,AS84,IF(AM84=2,AR84,AQ84))&amp;"). ","")&amp;IF(AND(AM84&gt;=1,AN84&lt;&gt;$F84),"Earliest type date should equal StartDate. ","")&amp;IF(AND(AM84&gt;=2,AN84=AO84),"Two types start on the same date. ","")&amp;IF(AND(OR(ISNUMBER(SEARCH("part",$C84)),UPPER(TRIM($C84))="PT",UPPER(TRIM($C84))="PTE"),$P84=""),"Part-time: enter PT Hrs/Week (blank = 24+). ","")))</f>
        <v/>
      </c>
      <c r="AE84" s="17" t="str">
        <f aca="false">IF(AK84=0,"",O84-MAX(0,BL84-BQ84))</f>
        <v/>
      </c>
      <c r="AF84" s="14" t="str">
        <f aca="false">IF(OR(AK84=0,AE84="",N(AE84)=0,BM84=""),"",EDATE(AL84,BM84))</f>
        <v/>
      </c>
      <c r="AG84" s="17" t="str">
        <f aca="false">IF(AK84=0,"",MIN(BD84,BQ84))</f>
        <v/>
      </c>
      <c r="AH84" s="17" t="str">
        <f aca="false">IF(AK84=0,"",IF(NOT(LH_Ready),"",IF(BG84=0,0,MAX(0,ROUND(N(T84)+N(U84)-N84,2)))))</f>
        <v/>
      </c>
      <c r="AI84" s="12"/>
      <c r="AJ84" s="12"/>
      <c r="AK84" s="16" t="n">
        <f aca="false">IF(OR(LEN($A84&amp;$B84)=0,$F84=""),0,1)</f>
        <v>0</v>
      </c>
      <c r="AL84" s="14" t="str">
        <f aca="false">IF(AK84=0,"",IF(PreSchemeCounts="No",MAX(SchemeStart,IF($J84&lt;&gt;"",$J84,IF(OR(CasualCounts="Yes",COUNT($G84:$I84)=0),$F84,IF(Apply2026="No",IF($I84="",$F84,$I84),IF(COUNT($H84:$I84)=0,$F84,MIN($H84:$I84)))))),IF($J84&lt;&gt;"",$J84,IF(OR(CasualCounts="Yes",COUNT($G84:$I84)=0),$F84,IF(Apply2026="No",IF($I84="",$F84,$I84),IF(COUNT($H84:$I84)=0,$F84,MIN($H84:$I84)))))))</f>
        <v/>
      </c>
      <c r="AM84" s="16" t="str">
        <f aca="false">IF(AK84=0,"",COUNT($G84:$I84))</f>
        <v/>
      </c>
      <c r="AN84" s="14" t="str">
        <f aca="false">IF(AK84=0,"",IFERROR(SMALL($G84:$I84,1),""))</f>
        <v/>
      </c>
      <c r="AO84" s="14" t="str">
        <f aca="false">IF(AK84=0,"",IFERROR(SMALL($G84:$I84,2),""))</f>
        <v/>
      </c>
      <c r="AP84" s="14" t="str">
        <f aca="false">IF(AK84=0,"",IFERROR(SMALL($G84:$I84,3),""))</f>
        <v/>
      </c>
      <c r="AQ84" s="16" t="str">
        <f aca="false">IF(AK84=0,"",IF(AN84="","",IF(AN84=$H84,"Part-Time",IF(AN84=$I84,"Full-Time","Casual"))))</f>
        <v/>
      </c>
      <c r="AR84" s="16" t="str">
        <f aca="false">IF(AK84=0,"",IF(AO84="","",IF(AO84=$H84,"Part-Time",IF(AO84=$I84,"Full-Time","Casual"))))</f>
        <v/>
      </c>
      <c r="AS84" s="16" t="str">
        <f aca="false">IF(AK84=0,"",IF(AP84="","",IF(AP84=$H84,"Part-Time",IF(AP84=$I84,"Full-Time","Casual"))))</f>
        <v/>
      </c>
      <c r="AT84" s="16" t="str">
        <f aca="false">IF(AK84=0,"",IF(AM84=0,IF(OR(ISNUMBER(SEARCH("full",$C84)),UPPER(TRIM($C84))="FT",UPPER(TRIM($C84))="FTE"),"FT",IF(AND(OR(ISNUMBER(SEARCH("part",$C84)),UPPER(TRIM($C84))="PT",UPPER(TRIM($C84))="PTE"),Apply2026="Yes",OR($P84="",N($P84)&gt;=PT_MinHours)),"PT","None")),IF(OR(ISNUMBER(SEARCH("full",AQ84)),UPPER(TRIM(AQ84))="FT",UPPER(TRIM(AQ84))="FTE"),"FT",IF(AND(OR(ISNUMBER(SEARCH("part",AQ84)),UPPER(TRIM(AQ84))="PT",UPPER(TRIM(AQ84))="PTE"),Apply2026="Yes",OR($P84="",N($P84)&gt;=PT_MinHours)),"PT","None"))))</f>
        <v/>
      </c>
      <c r="AU84" s="16" t="str">
        <f aca="false">IF(AK84=0,"",IF(AM84&lt;2,"",IF(OR(ISNUMBER(SEARCH("full",AR84)),UPPER(TRIM(AR84))="FT",UPPER(TRIM(AR84))="FTE"),"FT",IF(AND(OR(ISNUMBER(SEARCH("part",AR84)),UPPER(TRIM(AR84))="PT",UPPER(TRIM(AR84))="PTE"),Apply2026="Yes",OR($P84="",N($P84)&gt;=PT_MinHours)),"PT","None"))))</f>
        <v/>
      </c>
      <c r="AV84" s="16" t="str">
        <f aca="false">IF(AK84=0,"",IF(AM84&lt;3,"",IF(OR(ISNUMBER(SEARCH("full",AS84)),UPPER(TRIM(AS84))="FT",UPPER(TRIM(AS84))="FTE"),"FT",IF(AND(OR(ISNUMBER(SEARCH("part",AS84)),UPPER(TRIM(AS84))="PT",UPPER(TRIM(AS84))="PTE"),Apply2026="Yes",OR($P84="",N($P84)&gt;=PT_MinHours)),"PT","None"))))</f>
        <v/>
      </c>
      <c r="AW84" s="16" t="str">
        <f aca="false">IF(AK84=0,"",IF(AND(AM84&gt;=3,AP84&lt;=AsOfDate),AV84,IF(AND(AM84&gt;=2,AO84&lt;=AsOfDate),AU84,AT84)))</f>
        <v/>
      </c>
      <c r="AX84" s="16" t="str">
        <f aca="false">IF(AK84=0,"",IF(AsOfDate&lt;AL84,-1,12*(YEAR(AsOfDate)-YEAR(AL84))+MONTH(AsOfDate)-MONTH(AL84)-IF(DAY(AsOfDate)&lt;MIN(DAY(AL84),DAY(EOMONTH(AsOfDate,0))),1,0)))</f>
        <v/>
      </c>
      <c r="AY84" s="16" t="str">
        <f aca="false">IF(AK84=0,"",IF(OR(AM84&lt;2,AO84&gt;AsOfDate),AX84,IF((AO84-1)&lt;AL84,-1,12*(YEAR((AO84-1))-YEAR(AL84))+MONTH((AO84-1))-MONTH(AL84)-IF(DAY((AO84-1))&lt;MIN(DAY(AL84),DAY(EOMONTH((AO84-1),0))),1,0))))</f>
        <v/>
      </c>
      <c r="AZ84" s="16" t="str">
        <f aca="false">IF(AK84=0,"",IF(OR(AM84&lt;3,AP84&gt;AsOfDate),AX84,IF((AP84-1)&lt;AL84,-1,12*(YEAR((AP84-1))-YEAR(AL84))+MONTH((AP84-1))-MONTH(AL84)-IF(DAY((AP84-1))&lt;MIN(DAY(AL84),DAY(EOMONTH((AP84-1),0))),1,0))))</f>
        <v/>
      </c>
      <c r="BA84" s="16" t="str">
        <f aca="false">IF(AK84=0,"",IF(PFYDate&lt;AL84,-1,12*(YEAR(PFYDate)-YEAR(AL84))+MONTH(PFYDate)-MONTH(AL84)-IF(DAY(PFYDate)&lt;MIN(DAY(AL84),DAY(EOMONTH(PFYDate,0))),1,0)))</f>
        <v/>
      </c>
      <c r="BB84" s="16" t="str">
        <f aca="false">IF(AK84=0,"",IF(OR(AM84&lt;2,AO84&gt;PFYDate),BA84,IF((AO84-1)&lt;AL84,-1,12*(YEAR((AO84-1))-YEAR(AL84))+MONTH((AO84-1))-MONTH(AL84)-IF(DAY((AO84-1))&lt;MIN(DAY(AL84),DAY(EOMONTH((AO84-1),0))),1,0))))</f>
        <v/>
      </c>
      <c r="BC84" s="16" t="str">
        <f aca="false">IF(AK84=0,"",IF(OR(AM84&lt;3,AP84&gt;PFYDate),BA84,IF((AP84-1)&lt;AL84,-1,12*(YEAR((AP84-1))-YEAR(AL84))+MONTH((AP84-1))-MONTH(AL84)-IF(DAY((AP84-1))&lt;MIN(DAY(AL84),DAY(EOMONTH((AP84-1),0))),1,0))))</f>
        <v/>
      </c>
      <c r="BD84" s="16" t="str">
        <f aca="false">IF(AK84=0,"",IF(AT84="FT",IF(AY84&lt;FT_First,0,IF(AY84&lt;FT_Y5,1+INT((AY84-FT_First)/FT_Int1),FT_PreY5+FT_PerYear*INT((AY84-FT_Y5)/12)+FT_AnnivDays+INT(MOD(AY84-FT_Y5,12)/FT_Int2)-IF(EDATE(AL84,FT_Y5)&lt;PolicyEff,FT_AnnivDays-1,0))),IF(AT84="PT",IF(AY84&lt;PT_First,0,1+INT((AY84-PT_First)/PT_Int)),0))+IF(AND(AM84&gt;=2,AO84&lt;=AsOfDate),IF(AU84="FT",IF(AZ84&lt;FT_First,0,IF(AZ84&lt;FT_Y5,1+INT((AZ84-FT_First)/FT_Int1),FT_PreY5+FT_PerYear*INT((AZ84-FT_Y5)/12)+FT_AnnivDays+INT(MOD(AZ84-FT_Y5,12)/FT_Int2)-IF(EDATE(AL84,FT_Y5)&lt;PolicyEff,FT_AnnivDays-1,0))),IF(AU84="PT",IF(AZ84&lt;PT_First,0,1+INT((AZ84-PT_First)/PT_Int)),0))-IF(AU84="FT",IF(AY84&lt;FT_First,0,IF(AY84&lt;FT_Y5,1+INT((AY84-FT_First)/FT_Int1),FT_PreY5+FT_PerYear*INT((AY84-FT_Y5)/12)+FT_AnnivDays+INT(MOD(AY84-FT_Y5,12)/FT_Int2)-IF(EDATE(AL84,FT_Y5)&lt;PolicyEff,FT_AnnivDays-1,0))),IF(AU84="PT",IF(AY84&lt;PT_First,0,1+INT((AY84-PT_First)/PT_Int)),0)),0)+IF(AND(AM84&gt;=3,AP84&lt;=AsOfDate),IF(AV84="FT",IF(AX84&lt;FT_First,0,IF(AX84&lt;FT_Y5,1+INT((AX84-FT_First)/FT_Int1),FT_PreY5+FT_PerYear*INT((AX84-FT_Y5)/12)+FT_AnnivDays+INT(MOD(AX84-FT_Y5,12)/FT_Int2)-IF(EDATE(AL84,FT_Y5)&lt;PolicyEff,FT_AnnivDays-1,0))),IF(AV84="PT",IF(AX84&lt;PT_First,0,1+INT((AX84-PT_First)/PT_Int)),0))-IF(AV84="FT",IF(AZ84&lt;FT_First,0,IF(AZ84&lt;FT_Y5,1+INT((AZ84-FT_First)/FT_Int1),FT_PreY5+FT_PerYear*INT((AZ84-FT_Y5)/12)+FT_AnnivDays+INT(MOD(AZ84-FT_Y5,12)/FT_Int2)-IF(EDATE(AL84,FT_Y5)&lt;PolicyEff,FT_AnnivDays-1,0))),IF(AV84="PT",IF(AZ84&lt;PT_First,0,1+INT((AZ84-PT_First)/PT_Int)),0)),0))</f>
        <v/>
      </c>
      <c r="BE84" s="16" t="str">
        <f aca="false">IF(AK84=0,"",IF(AT84="FT",IF(BB84&lt;FT_First,0,IF(BB84&lt;FT_Y5,1+INT((BB84-FT_First)/FT_Int1),FT_PreY5+FT_PerYear*INT((BB84-FT_Y5)/12)+FT_AnnivDays+INT(MOD(BB84-FT_Y5,12)/FT_Int2)-IF(EDATE(AL84,FT_Y5)&lt;PolicyEff,FT_AnnivDays-1,0))),IF(AT84="PT",IF(BB84&lt;PT_First,0,1+INT((BB84-PT_First)/PT_Int)),0))+IF(AND(AM84&gt;=2,AO84&lt;=PFYDate),IF(AU84="FT",IF(BC84&lt;FT_First,0,IF(BC84&lt;FT_Y5,1+INT((BC84-FT_First)/FT_Int1),FT_PreY5+FT_PerYear*INT((BC84-FT_Y5)/12)+FT_AnnivDays+INT(MOD(BC84-FT_Y5,12)/FT_Int2)-IF(EDATE(AL84,FT_Y5)&lt;PolicyEff,FT_AnnivDays-1,0))),IF(AU84="PT",IF(BC84&lt;PT_First,0,1+INT((BC84-PT_First)/PT_Int)),0))-IF(AU84="FT",IF(BB84&lt;FT_First,0,IF(BB84&lt;FT_Y5,1+INT((BB84-FT_First)/FT_Int1),FT_PreY5+FT_PerYear*INT((BB84-FT_Y5)/12)+FT_AnnivDays+INT(MOD(BB84-FT_Y5,12)/FT_Int2)-IF(EDATE(AL84,FT_Y5)&lt;PolicyEff,FT_AnnivDays-1,0))),IF(AU84="PT",IF(BB84&lt;PT_First,0,1+INT((BB84-PT_First)/PT_Int)),0)),0)+IF(AND(AM84&gt;=3,AP84&lt;=PFYDate),IF(AV84="FT",IF(BA84&lt;FT_First,0,IF(BA84&lt;FT_Y5,1+INT((BA84-FT_First)/FT_Int1),FT_PreY5+FT_PerYear*INT((BA84-FT_Y5)/12)+FT_AnnivDays+INT(MOD(BA84-FT_Y5,12)/FT_Int2)-IF(EDATE(AL84,FT_Y5)&lt;PolicyEff,FT_AnnivDays-1,0))),IF(AV84="PT",IF(BA84&lt;PT_First,0,1+INT((BA84-PT_First)/PT_Int)),0))-IF(AV84="FT",IF(BC84&lt;FT_First,0,IF(BC84&lt;FT_Y5,1+INT((BC84-FT_First)/FT_Int1),FT_PreY5+FT_PerYear*INT((BC84-FT_Y5)/12)+FT_AnnivDays+INT(MOD(BC84-FT_Y5,12)/FT_Int2)-IF(EDATE(AL84,FT_Y5)&lt;PolicyEff,FT_AnnivDays-1,0))),IF(AV84="PT",IF(BC84&lt;PT_First,0,1+INT((BC84-PT_First)/PT_Int)),0)),0))</f>
        <v/>
      </c>
      <c r="BF84" s="16" t="str">
        <f aca="false">IF(AK84=0,"",IF(AW84="FT",IF(AX84&lt;FT_First,FT_First,IF(AX84&lt;FT_Y5,MIN(FT_Y5,FT_First+FT_Int1*(INT((AX84-FT_First)/FT_Int1)+1)),FT_Y5+12*INT((AX84-FT_Y5)/12)+FT_Int2*(INT(MOD(AX84-FT_Y5,12)/FT_Int2)+1))),IF(AW84="PT",IF(AX84&lt;PT_First,PT_First,PT_First+PT_Int*(INT((AX84-PT_First)/PT_Int)+1)),"")))</f>
        <v/>
      </c>
      <c r="BG84" s="16" t="str">
        <f aca="false">IF(AK84=0,"",IF(NOT(LH_Ready),0,COUNTIFS(INDEX(LH_Data,0,LH_ColFirst),$A84,INDEX(LH_Data,0,LH_ColSur),$B84,INDEX(LH_Data,0,LH_ColCat),BonusCat)))</f>
        <v/>
      </c>
      <c r="BH84" s="16" t="str">
        <f aca="false">IF(AK84=0,"",IF(OR(NOT(LH_Ready),BG84=0),0,SUMPRODUCT(MAX((INDEX(LH_Data,0,LH_ColFirst)=$A84)*(INDEX(LH_Data,0,LH_ColSur)=$B84)*(INDEX(LH_Data,0,LH_ColCat)=BonusCat)*ROW(LH_Data)))))</f>
        <v/>
      </c>
      <c r="BI84" s="16" t="str">
        <f aca="false">IF(AK84=0,"",IF(EOMONTH(AsOfDate,-1)&lt;AL84,-1,12*(YEAR(EOMONTH(AsOfDate,-1))-YEAR(AL84))+MONTH(EOMONTH(AsOfDate,-1))-MONTH(AL84)-IF(DAY(EOMONTH(AsOfDate,-1))&lt;MIN(DAY(AL84),DAY(EOMONTH(EOMONTH(AsOfDate,-1),0))),1,0)))</f>
        <v/>
      </c>
      <c r="BJ84" s="16" t="str">
        <f aca="false">IF(AK84=0,"",IF(OR(AM84&lt;2,AO84&gt;EOMONTH(AsOfDate,-1)),BI84,IF((AO84-1)&lt;AL84,-1,12*(YEAR((AO84-1))-YEAR(AL84))+MONTH((AO84-1))-MONTH(AL84)-IF(DAY((AO84-1))&lt;MIN(DAY(AL84),DAY(EOMONTH((AO84-1),0))),1,0))))</f>
        <v/>
      </c>
      <c r="BK84" s="16" t="str">
        <f aca="false">IF(AK84=0,"",IF(OR(AM84&lt;3,AP84&gt;EOMONTH(AsOfDate,-1)),BI84,IF((AP84-1)&lt;AL84,-1,12*(YEAR((AP84-1))-YEAR(AL84))+MONTH((AP84-1))-MONTH(AL84)-IF(DAY((AP84-1))&lt;MIN(DAY(AL84),DAY(EOMONTH((AP84-1),0))),1,0))))</f>
        <v/>
      </c>
      <c r="BL84" s="16" t="str">
        <f aca="false">IF(AK84=0,"",IF(AT84="FT",IF(BJ84&lt;FT_First,0,IF(BJ84&lt;FT_Y5,1+INT((BJ84-FT_First)/FT_Int1),FT_PreY5+FT_PerYear*INT((BJ84-FT_Y5)/12)+FT_AnnivDays+INT(MOD(BJ84-FT_Y5,12)/FT_Int2)-IF(EDATE(AL84,FT_Y5)&lt;PolicyEff,FT_AnnivDays-1,0))),IF(AT84="PT",IF(BJ84&lt;PT_First,0,1+INT((BJ84-PT_First)/PT_Int)),0))+IF(AND(AM84&gt;=2,AO84&lt;=EOMONTH(AsOfDate,-1)),IF(AU84="FT",IF(BK84&lt;FT_First,0,IF(BK84&lt;FT_Y5,1+INT((BK84-FT_First)/FT_Int1),FT_PreY5+FT_PerYear*INT((BK84-FT_Y5)/12)+FT_AnnivDays+INT(MOD(BK84-FT_Y5,12)/FT_Int2)-IF(EDATE(AL84,FT_Y5)&lt;PolicyEff,FT_AnnivDays-1,0))),IF(AU84="PT",IF(BK84&lt;PT_First,0,1+INT((BK84-PT_First)/PT_Int)),0))-IF(AU84="FT",IF(BJ84&lt;FT_First,0,IF(BJ84&lt;FT_Y5,1+INT((BJ84-FT_First)/FT_Int1),FT_PreY5+FT_PerYear*INT((BJ84-FT_Y5)/12)+FT_AnnivDays+INT(MOD(BJ84-FT_Y5,12)/FT_Int2)-IF(EDATE(AL84,FT_Y5)&lt;PolicyEff,FT_AnnivDays-1,0))),IF(AU84="PT",IF(BJ84&lt;PT_First,0,1+INT((BJ84-PT_First)/PT_Int)),0)),0)+IF(AND(AM84&gt;=3,AP84&lt;=EOMONTH(AsOfDate,-1)),IF(AV84="FT",IF(BI84&lt;FT_First,0,IF(BI84&lt;FT_Y5,1+INT((BI84-FT_First)/FT_Int1),FT_PreY5+FT_PerYear*INT((BI84-FT_Y5)/12)+FT_AnnivDays+INT(MOD(BI84-FT_Y5,12)/FT_Int2)-IF(EDATE(AL84,FT_Y5)&lt;PolicyEff,FT_AnnivDays-1,0))),IF(AV84="PT",IF(BI84&lt;PT_First,0,1+INT((BI84-PT_First)/PT_Int)),0))-IF(AV84="FT",IF(BK84&lt;FT_First,0,IF(BK84&lt;FT_Y5,1+INT((BK84-FT_First)/FT_Int1),FT_PreY5+FT_PerYear*INT((BK84-FT_Y5)/12)+FT_AnnivDays+INT(MOD(BK84-FT_Y5,12)/FT_Int2)-IF(EDATE(AL84,FT_Y5)&lt;PolicyEff,FT_AnnivDays-1,0))),IF(AV84="PT",IF(BK84&lt;PT_First,0,1+INT((BK84-PT_First)/PT_Int)),0)),0))</f>
        <v/>
      </c>
      <c r="BM84" s="16" t="str">
        <f aca="false">IF(AK84=0,"",IF(AW84="FT",IF(AX84&lt;FT_First,"",IF(AX84&lt;FT_Y5,FT_First+FT_Int1*INT((AX84-FT_First)/FT_Int1),FT_Y5+FT_Int2*INT((AX84-FT_Y5)/FT_Int2))),IF(AW84="PT",IF(AX84&lt;PT_First,"",PT_First+PT_Int*INT((AX84-PT_First)/PT_Int)),"")))</f>
        <v/>
      </c>
      <c r="BN84" s="16" t="str">
        <f aca="false">IF(AK84=0,"",IF((SchemeStart-1)&lt;AL84,-1,12*(YEAR((SchemeStart-1))-YEAR(AL84))+MONTH((SchemeStart-1))-MONTH(AL84)-IF(DAY((SchemeStart-1))&lt;MIN(DAY(AL84),DAY(EOMONTH((SchemeStart-1),0))),1,0)))</f>
        <v/>
      </c>
      <c r="BO84" s="16" t="str">
        <f aca="false">IF(AK84=0,"",IF(OR(AM84&lt;2,AO84&gt;(SchemeStart-1)),BN84,IF((AO84-1)&lt;AL84,-1,12*(YEAR((AO84-1))-YEAR(AL84))+MONTH((AO84-1))-MONTH(AL84)-IF(DAY((AO84-1))&lt;MIN(DAY(AL84),DAY(EOMONTH((AO84-1),0))),1,0))))</f>
        <v/>
      </c>
      <c r="BP84" s="16" t="str">
        <f aca="false">IF(AK84=0,"",IF(OR(AM84&lt;3,AP84&gt;(SchemeStart-1)),BN84,IF((AP84-1)&lt;AL84,-1,12*(YEAR((AP84-1))-YEAR(AL84))+MONTH((AP84-1))-MONTH(AL84)-IF(DAY((AP84-1))&lt;MIN(DAY(AL84),DAY(EOMONTH((AP84-1),0))),1,0))))</f>
        <v/>
      </c>
      <c r="BQ84" s="16" t="str">
        <f aca="false">IF(AK84=0,"",IF(AT84="FT",IF(BO84&lt;FT_First,0,IF(BO84&lt;FT_Y5,1+INT((BO84-FT_First)/FT_Int1),FT_PreY5+FT_PerYear*INT((BO84-FT_Y5)/12)+FT_AnnivDays+INT(MOD(BO84-FT_Y5,12)/FT_Int2)-IF(EDATE(AL84,FT_Y5)&lt;PolicyEff,FT_AnnivDays-1,0))),IF(AT84="PT",IF(BO84&lt;PT_First,0,1+INT((BO84-PT_First)/PT_Int)),0))+IF(AND(AM84&gt;=2,AO84&lt;=(SchemeStart-1)),IF(AU84="FT",IF(BP84&lt;FT_First,0,IF(BP84&lt;FT_Y5,1+INT((BP84-FT_First)/FT_Int1),FT_PreY5+FT_PerYear*INT((BP84-FT_Y5)/12)+FT_AnnivDays+INT(MOD(BP84-FT_Y5,12)/FT_Int2)-IF(EDATE(AL84,FT_Y5)&lt;PolicyEff,FT_AnnivDays-1,0))),IF(AU84="PT",IF(BP84&lt;PT_First,0,1+INT((BP84-PT_First)/PT_Int)),0))-IF(AU84="FT",IF(BO84&lt;FT_First,0,IF(BO84&lt;FT_Y5,1+INT((BO84-FT_First)/FT_Int1),FT_PreY5+FT_PerYear*INT((BO84-FT_Y5)/12)+FT_AnnivDays+INT(MOD(BO84-FT_Y5,12)/FT_Int2)-IF(EDATE(AL84,FT_Y5)&lt;PolicyEff,FT_AnnivDays-1,0))),IF(AU84="PT",IF(BO84&lt;PT_First,0,1+INT((BO84-PT_First)/PT_Int)),0)),0)+IF(AND(AM84&gt;=3,AP84&lt;=(SchemeStart-1)),IF(AV84="FT",IF(BN84&lt;FT_First,0,IF(BN84&lt;FT_Y5,1+INT((BN84-FT_First)/FT_Int1),FT_PreY5+FT_PerYear*INT((BN84-FT_Y5)/12)+FT_AnnivDays+INT(MOD(BN84-FT_Y5,12)/FT_Int2)-IF(EDATE(AL84,FT_Y5)&lt;PolicyEff,FT_AnnivDays-1,0))),IF(AV84="PT",IF(BN84&lt;PT_First,0,1+INT((BN84-PT_First)/PT_Int)),0))-IF(AV84="FT",IF(BP84&lt;FT_First,0,IF(BP84&lt;FT_Y5,1+INT((BP84-FT_First)/FT_Int1),FT_PreY5+FT_PerYear*INT((BP84-FT_Y5)/12)+FT_AnnivDays+INT(MOD(BP84-FT_Y5,12)/FT_Int2)-IF(EDATE(AL84,FT_Y5)&lt;PolicyEff,FT_AnnivDays-1,0))),IF(AV84="PT",IF(BP84&lt;PT_First,0,1+INT((BP84-PT_First)/PT_Int)),0)),0))</f>
        <v/>
      </c>
      <c r="BR84" s="0" t="str">
        <f aca="false">IF(LEN($A84&amp;$B84)=0,"",$A84&amp;" "&amp;$B84)</f>
        <v/>
      </c>
    </row>
    <row r="85" customFormat="false" ht="15" hidden="false" customHeight="false" outlineLevel="0" collapsed="false">
      <c r="A85" s="12"/>
      <c r="B85" s="12"/>
      <c r="C85" s="12"/>
      <c r="D85" s="13"/>
      <c r="E85" s="14" t="str">
        <f aca="false">IF(OR(AK85=0,$D85=""),"",DATE(YEAR(AsOfDate)+IF(DATE(YEAR(AsOfDate),MONTH($D85),DAY($D85))&lt;=AsOfDate,1,0),MONTH($D85),DAY($D85)))</f>
        <v/>
      </c>
      <c r="F85" s="13"/>
      <c r="G85" s="13"/>
      <c r="H85" s="13"/>
      <c r="I85" s="13"/>
      <c r="J85" s="13"/>
      <c r="K85" s="14" t="str">
        <f aca="false">IF(AK85=0,"",DATE(YEAR(AsOfDate)+IF(DATE(YEAR(AsOfDate),MONTH(AL85),DAY(AL85))&lt;=AsOfDate,1,0),MONTH(AL85),DAY(AL85)))</f>
        <v/>
      </c>
      <c r="L85" s="15" t="str">
        <f aca="false">IF(AK85=0,"",ROUND((AsOfDate-AL85)/365.25,1))</f>
        <v/>
      </c>
      <c r="M85" s="16" t="str">
        <f aca="false">IF(AK85=0,"",IF(AsOfDate&lt;AL85,"-",DATEDIF(AL85,AsOfDate,"y")&amp;"y "&amp;DATEDIF(AL85,AsOfDate,"ym")&amp;"m "&amp;DATEDIF(AL85,AsOfDate,"md")&amp;"d"))</f>
        <v/>
      </c>
      <c r="N85" s="17" t="str">
        <f aca="false">IF(AK85=0,"",O85*HoursPerDay)</f>
        <v/>
      </c>
      <c r="O85" s="17" t="str">
        <f aca="false">IF(AK85=0,"",MAX(0,BD85-BQ85))</f>
        <v/>
      </c>
      <c r="P85" s="18"/>
      <c r="Q85" s="16" t="str">
        <f aca="false">IF(AK85=0,"",IF(AM85&lt;2,"",AQ85&amp;" to "&amp;AR85&amp;" on "&amp;TEXT(AO85,"dd/mm/yyyy")&amp;IF(AO85&gt;AsOfDate," (future)",IF(AT85=AU85,"",IF(AU85="None"," - STOPPED accruing",IF(AT85="None"," - commencement for Bonus Leave"," - pathway changed"))))&amp;IF(AM85&lt;3,"","; "&amp;AR85&amp;" to "&amp;AS85&amp;" on "&amp;TEXT(AP85,"dd/mm/yyyy")&amp;IF(AP85&gt;AsOfDate," (future)",IF(AU85=AV85,"",IF(AV85="None"," - STOPPED accruing",IF(AU85="None"," - commencement for Bonus Leave"," - pathway changed")))))))</f>
        <v/>
      </c>
      <c r="R85" s="16" t="str">
        <f aca="false">IF(AK85=0,"",IF(AW85="None",IF(O85&gt;0,"No longer accruing","Not eligible - "&amp;IF(AND(OR(ISNUMBER(SEARCH("part",$C85)),UPPER(TRIM($C85))="PT",UPPER(TRIM($C85))="PTE"),Apply2026="No"),"part-time (scheme is full-time only)",IF(AND(OR(ISNUMBER(SEARCH("part",$C85)),UPPER(TRIM($C85))="PT",UPPER(TRIM($C85))="PTE"),$P85&lt;&gt;"",N($P85)&lt;PT_MinHours),"under "&amp;PT_MinHours&amp;" hrs",IF(IF($C85="","",IF(OR(ISNUMBER(SEARCH("full",$C85)),UPPER(TRIM($C85))="FT",UPPER(TRIM($C85))="FTE"),"Full-Time",IF(OR(ISNUMBER(SEARCH("part",$C85)),UPPER(TRIM($C85))="PT",UPPER(TRIM($C85))="PTE"),"Part-Time",IF(OR(ISNUMBER(SEARCH("cas",$C85)),UPPER(TRIM($C85))="CAS"),"Casual","Unknown"))))="Unknown","type not recognised",$C85)))),IF(O85&gt;0,"Yes - Accrual Required","Not yet - from "&amp;TEXT(S85,"dd/mm/yyyy"))))</f>
        <v/>
      </c>
      <c r="S85" s="14" t="str">
        <f aca="false">IF(AK85=0,"",IF(AW85="None","",EDATE(AL85,BF85)))</f>
        <v/>
      </c>
      <c r="T85" s="17" t="str">
        <f aca="false">IF(AK85=0,"",IF(NOT(LH_Ready),"",IF($F85&gt;PFYDate,0,IF(LH_ColPeriod=0,W85-U85+V85,SUMIFS(INDEX(LH_Data,0,LH_ColAcc),INDEX(LH_Data,0,LH_ColFirst),$A85,INDEX(LH_Data,0,LH_ColSur),$B85,INDEX(LH_Data,0,LH_ColCat),BonusCat,INDEX(LH_Data,0,LH_ColPeriod),LH_OpenLabel)*UnitFactor))))</f>
        <v/>
      </c>
      <c r="U85" s="17" t="str">
        <f aca="false">IF(AK85=0,"",IF(NOT(LH_Ready),"",SUMIFS(INDEX(LH_Data,0,LH_ColAcc),INDEX(LH_Data,0,LH_ColFirst),$A85,INDEX(LH_Data,0,LH_ColSur),$B85,INDEX(LH_Data,0,LH_ColCat),BonusCat,INDEX(LH_Data,0,LH_ColStart),"&gt;="&amp;AL85)*UnitFactor))</f>
        <v/>
      </c>
      <c r="V85" s="17" t="str">
        <f aca="false">IF(AK85=0,"",IF(NOT(LH_Ready),"",SUMIFS(INDEX(LH_Data,0,LH_ColTaken),INDEX(LH_Data,0,LH_ColFirst),$A85,INDEX(LH_Data,0,LH_ColSur),$B85,INDEX(LH_Data,0,LH_ColCat),BonusCat,INDEX(LH_Data,0,LH_ColStart),"&gt;="&amp;AL85)*UnitFactor))</f>
        <v/>
      </c>
      <c r="W85" s="17" t="str">
        <f aca="false">IF(AK85=0,"",IF(NOT(LH_Ready),"",IF(BH85=0,0,INDEX(INDEX(LH_Data,0,LH_ColClose),BH85-1)*UnitFactor)))</f>
        <v/>
      </c>
      <c r="X85" s="17" t="str">
        <f aca="false">IF(AK85=0,"",(MAX(0,BD85-BQ85)-MAX(0,BE85-BQ85))*HoursPerDay)</f>
        <v/>
      </c>
      <c r="Y85" s="17" t="str">
        <f aca="false">IF(AK85=0,"",IF(NOT(LH_Ready),"",IF($AI85="Yes",N(AE85)*HoursPerDay-SUMIFS(INDEX(LH_Data,0,LH_ColAcc),INDEX(LH_Data,0,LH_ColFirst),$A85,INDEX(LH_Data,0,LH_ColSur),$B85,INDEX(LH_Data,0,LH_ColCat),BonusCat,INDEX(LH_Data,0,LH_ColStart),"&gt;="&amp;(EOMONTH(AsOfDate,-1)+1),INDEX(LH_Data,0,LH_ColStart),"&lt;="&amp;AsOfDate)*UnitFactor,IF(BG85=0,N85,N85-N(T85)-N(U85)))))</f>
        <v/>
      </c>
      <c r="Z85" s="16" t="str">
        <f aca="false">IF(OR(AK85=0,Y85=""),"",IF(Y85&gt;0,"Yes","No"))</f>
        <v/>
      </c>
      <c r="AA85" s="16" t="str">
        <f aca="false">IF(AK85=0,IF(LEN($A85&amp;$B85)=0,"","FIX INPUT - StartDate missing"),IF(AD85&lt;&gt;"","FIX INPUT - "&amp;AD85,IF(NOT(LH_Ready),"Paste Leave History export (Settings must show YES)",IF(AND($AI85="Yes",Y85&lt;=0),"OK - EH balance accepted to date"&amp;IF(N(AH85)&gt;0," (EH holds "&amp;AH85&amp;" hrs over the scheme)","")&amp;"; next day "&amp;TEXT(S85,"dd mmm yy")&amp;IF(N(AE85)&gt;0," ("&amp;AE85&amp;" day(s) for "&amp;UPPER(TEXT(AsOfDate,"mmm yyyy"))&amp;" already in EH)",""),IF(Y85&gt;0,"ACCRUE "&amp;ROUND(Y85,2)&amp;" hrs ("&amp;ROUND(Y85/HoursPerDay,2)&amp;" days): "&amp;IF(N(AE85)&gt;0,AE85&amp;" day(s) for "&amp;UPPER(TEXT(AsOfDate,"mmm yyyy"))&amp;" (milestone "&amp;UPPER(TEXT(AF85,"dd mmm yy"))&amp;")"&amp;IF(Y85/HoursPerDay&gt;AE85+0.001," + "&amp;ROUND(Y85/HoursPerDay-AE85,2)&amp;" day(s) catch-up from earlier months",""),"all catch-up from earlier months, nothing new this month")&amp;IF(BG85=0,"; no Bonus Leave in EH yet",""),IF(Y85&lt;0,"CHECK - EH accrued "&amp;ROUND(-Y85,2)&amp;" hrs more than policy since commencement",IF(N(W85)&gt;O85*HoursPerDay+0.01,"CHECK - EH balance "&amp;ROUND(W85-O85*HoursPerDay,2)&amp;" hrs more than policy entitlement",IF(O85&gt;0,"OK - nothing to add"&amp;IF(N(AE85)&gt;0," ("&amp;AE85&amp;" day(s) for "&amp;UPPER(TEXT(AsOfDate,"mmm yyyy"))&amp;" already in EH)",""),IF(AW85="None",R85,"Not yet - first day on "&amp;TEXT(S85,"dd/mm/yyyy"))))))))))</f>
        <v/>
      </c>
      <c r="AB85" s="17" t="str">
        <f aca="false">IF(OR(AK85=0,T85=""),"",MAX(0,BE85-BQ85)*HoursPerDay-T85)</f>
        <v/>
      </c>
      <c r="AC85" s="16" t="str">
        <f aca="false">IF(AK85=0,"",BG85)</f>
        <v/>
      </c>
      <c r="AD85" s="16" t="str">
        <f aca="false">IF(AK85=0,"",TRIM(IF(OR(ISTEXT($F85),ISTEXT($H85),ISTEXT($I85),ISTEXT($G85),ISTEXT($J85),ISTEXT($D85)),"A date is typed as text - retype it as dd/mm/yyyy. ","")&amp;IF(IF($C85="","",IF(OR(ISNUMBER(SEARCH("full",$C85)),UPPER(TRIM($C85))="FT",UPPER(TRIM($C85))="FTE"),"Full-Time",IF(OR(ISNUMBER(SEARCH("part",$C85)),UPPER(TRIM($C85))="PT",UPPER(TRIM($C85))="PTE"),"Part-Time",IF(OR(ISNUMBER(SEARCH("cas",$C85)),UPPER(TRIM($C85))="CAS"),"Casual","Unknown"))))="Unknown","EmploymentType not recognised - use Full-Time, Part-Time or Casual. ","")&amp;IF(AND(AM85&gt;=1,IF(AM85&gt;=3,AS85,IF(AM85=2,AR85,AQ85))&lt;&gt;IF($C85="","",IF(OR(ISNUMBER(SEARCH("full",$C85)),UPPER(TRIM($C85))="FT",UPPER(TRIM($C85))="FTE"),"Full-Time",IF(OR(ISNUMBER(SEARCH("part",$C85)),UPPER(TRIM($C85))="PT",UPPER(TRIM($C85))="PTE"),"Part-Time",IF(OR(ISNUMBER(SEARCH("cas",$C85)),UPPER(TRIM($C85))="CAS"),"Casual","Unknown"))))),"EmploymentType does not match latest start date ("&amp;IF(AM85&gt;=3,AS85,IF(AM85=2,AR85,AQ85))&amp;"). ","")&amp;IF(AND(AM85&gt;=1,AN85&lt;&gt;$F85),"Earliest type date should equal StartDate. ","")&amp;IF(AND(AM85&gt;=2,AN85=AO85),"Two types start on the same date. ","")&amp;IF(AND(OR(ISNUMBER(SEARCH("part",$C85)),UPPER(TRIM($C85))="PT",UPPER(TRIM($C85))="PTE"),$P85=""),"Part-time: enter PT Hrs/Week (blank = 24+). ","")))</f>
        <v/>
      </c>
      <c r="AE85" s="17" t="str">
        <f aca="false">IF(AK85=0,"",O85-MAX(0,BL85-BQ85))</f>
        <v/>
      </c>
      <c r="AF85" s="14" t="str">
        <f aca="false">IF(OR(AK85=0,AE85="",N(AE85)=0,BM85=""),"",EDATE(AL85,BM85))</f>
        <v/>
      </c>
      <c r="AG85" s="17" t="str">
        <f aca="false">IF(AK85=0,"",MIN(BD85,BQ85))</f>
        <v/>
      </c>
      <c r="AH85" s="17" t="str">
        <f aca="false">IF(AK85=0,"",IF(NOT(LH_Ready),"",IF(BG85=0,0,MAX(0,ROUND(N(T85)+N(U85)-N85,2)))))</f>
        <v/>
      </c>
      <c r="AI85" s="12"/>
      <c r="AJ85" s="12"/>
      <c r="AK85" s="16" t="n">
        <f aca="false">IF(OR(LEN($A85&amp;$B85)=0,$F85=""),0,1)</f>
        <v>0</v>
      </c>
      <c r="AL85" s="14" t="str">
        <f aca="false">IF(AK85=0,"",IF(PreSchemeCounts="No",MAX(SchemeStart,IF($J85&lt;&gt;"",$J85,IF(OR(CasualCounts="Yes",COUNT($G85:$I85)=0),$F85,IF(Apply2026="No",IF($I85="",$F85,$I85),IF(COUNT($H85:$I85)=0,$F85,MIN($H85:$I85)))))),IF($J85&lt;&gt;"",$J85,IF(OR(CasualCounts="Yes",COUNT($G85:$I85)=0),$F85,IF(Apply2026="No",IF($I85="",$F85,$I85),IF(COUNT($H85:$I85)=0,$F85,MIN($H85:$I85)))))))</f>
        <v/>
      </c>
      <c r="AM85" s="16" t="str">
        <f aca="false">IF(AK85=0,"",COUNT($G85:$I85))</f>
        <v/>
      </c>
      <c r="AN85" s="14" t="str">
        <f aca="false">IF(AK85=0,"",IFERROR(SMALL($G85:$I85,1),""))</f>
        <v/>
      </c>
      <c r="AO85" s="14" t="str">
        <f aca="false">IF(AK85=0,"",IFERROR(SMALL($G85:$I85,2),""))</f>
        <v/>
      </c>
      <c r="AP85" s="14" t="str">
        <f aca="false">IF(AK85=0,"",IFERROR(SMALL($G85:$I85,3),""))</f>
        <v/>
      </c>
      <c r="AQ85" s="16" t="str">
        <f aca="false">IF(AK85=0,"",IF(AN85="","",IF(AN85=$H85,"Part-Time",IF(AN85=$I85,"Full-Time","Casual"))))</f>
        <v/>
      </c>
      <c r="AR85" s="16" t="str">
        <f aca="false">IF(AK85=0,"",IF(AO85="","",IF(AO85=$H85,"Part-Time",IF(AO85=$I85,"Full-Time","Casual"))))</f>
        <v/>
      </c>
      <c r="AS85" s="16" t="str">
        <f aca="false">IF(AK85=0,"",IF(AP85="","",IF(AP85=$H85,"Part-Time",IF(AP85=$I85,"Full-Time","Casual"))))</f>
        <v/>
      </c>
      <c r="AT85" s="16" t="str">
        <f aca="false">IF(AK85=0,"",IF(AM85=0,IF(OR(ISNUMBER(SEARCH("full",$C85)),UPPER(TRIM($C85))="FT",UPPER(TRIM($C85))="FTE"),"FT",IF(AND(OR(ISNUMBER(SEARCH("part",$C85)),UPPER(TRIM($C85))="PT",UPPER(TRIM($C85))="PTE"),Apply2026="Yes",OR($P85="",N($P85)&gt;=PT_MinHours)),"PT","None")),IF(OR(ISNUMBER(SEARCH("full",AQ85)),UPPER(TRIM(AQ85))="FT",UPPER(TRIM(AQ85))="FTE"),"FT",IF(AND(OR(ISNUMBER(SEARCH("part",AQ85)),UPPER(TRIM(AQ85))="PT",UPPER(TRIM(AQ85))="PTE"),Apply2026="Yes",OR($P85="",N($P85)&gt;=PT_MinHours)),"PT","None"))))</f>
        <v/>
      </c>
      <c r="AU85" s="16" t="str">
        <f aca="false">IF(AK85=0,"",IF(AM85&lt;2,"",IF(OR(ISNUMBER(SEARCH("full",AR85)),UPPER(TRIM(AR85))="FT",UPPER(TRIM(AR85))="FTE"),"FT",IF(AND(OR(ISNUMBER(SEARCH("part",AR85)),UPPER(TRIM(AR85))="PT",UPPER(TRIM(AR85))="PTE"),Apply2026="Yes",OR($P85="",N($P85)&gt;=PT_MinHours)),"PT","None"))))</f>
        <v/>
      </c>
      <c r="AV85" s="16" t="str">
        <f aca="false">IF(AK85=0,"",IF(AM85&lt;3,"",IF(OR(ISNUMBER(SEARCH("full",AS85)),UPPER(TRIM(AS85))="FT",UPPER(TRIM(AS85))="FTE"),"FT",IF(AND(OR(ISNUMBER(SEARCH("part",AS85)),UPPER(TRIM(AS85))="PT",UPPER(TRIM(AS85))="PTE"),Apply2026="Yes",OR($P85="",N($P85)&gt;=PT_MinHours)),"PT","None"))))</f>
        <v/>
      </c>
      <c r="AW85" s="16" t="str">
        <f aca="false">IF(AK85=0,"",IF(AND(AM85&gt;=3,AP85&lt;=AsOfDate),AV85,IF(AND(AM85&gt;=2,AO85&lt;=AsOfDate),AU85,AT85)))</f>
        <v/>
      </c>
      <c r="AX85" s="16" t="str">
        <f aca="false">IF(AK85=0,"",IF(AsOfDate&lt;AL85,-1,12*(YEAR(AsOfDate)-YEAR(AL85))+MONTH(AsOfDate)-MONTH(AL85)-IF(DAY(AsOfDate)&lt;MIN(DAY(AL85),DAY(EOMONTH(AsOfDate,0))),1,0)))</f>
        <v/>
      </c>
      <c r="AY85" s="16" t="str">
        <f aca="false">IF(AK85=0,"",IF(OR(AM85&lt;2,AO85&gt;AsOfDate),AX85,IF((AO85-1)&lt;AL85,-1,12*(YEAR((AO85-1))-YEAR(AL85))+MONTH((AO85-1))-MONTH(AL85)-IF(DAY((AO85-1))&lt;MIN(DAY(AL85),DAY(EOMONTH((AO85-1),0))),1,0))))</f>
        <v/>
      </c>
      <c r="AZ85" s="16" t="str">
        <f aca="false">IF(AK85=0,"",IF(OR(AM85&lt;3,AP85&gt;AsOfDate),AX85,IF((AP85-1)&lt;AL85,-1,12*(YEAR((AP85-1))-YEAR(AL85))+MONTH((AP85-1))-MONTH(AL85)-IF(DAY((AP85-1))&lt;MIN(DAY(AL85),DAY(EOMONTH((AP85-1),0))),1,0))))</f>
        <v/>
      </c>
      <c r="BA85" s="16" t="str">
        <f aca="false">IF(AK85=0,"",IF(PFYDate&lt;AL85,-1,12*(YEAR(PFYDate)-YEAR(AL85))+MONTH(PFYDate)-MONTH(AL85)-IF(DAY(PFYDate)&lt;MIN(DAY(AL85),DAY(EOMONTH(PFYDate,0))),1,0)))</f>
        <v/>
      </c>
      <c r="BB85" s="16" t="str">
        <f aca="false">IF(AK85=0,"",IF(OR(AM85&lt;2,AO85&gt;PFYDate),BA85,IF((AO85-1)&lt;AL85,-1,12*(YEAR((AO85-1))-YEAR(AL85))+MONTH((AO85-1))-MONTH(AL85)-IF(DAY((AO85-1))&lt;MIN(DAY(AL85),DAY(EOMONTH((AO85-1),0))),1,0))))</f>
        <v/>
      </c>
      <c r="BC85" s="16" t="str">
        <f aca="false">IF(AK85=0,"",IF(OR(AM85&lt;3,AP85&gt;PFYDate),BA85,IF((AP85-1)&lt;AL85,-1,12*(YEAR((AP85-1))-YEAR(AL85))+MONTH((AP85-1))-MONTH(AL85)-IF(DAY((AP85-1))&lt;MIN(DAY(AL85),DAY(EOMONTH((AP85-1),0))),1,0))))</f>
        <v/>
      </c>
      <c r="BD85" s="16" t="str">
        <f aca="false">IF(AK85=0,"",IF(AT85="FT",IF(AY85&lt;FT_First,0,IF(AY85&lt;FT_Y5,1+INT((AY85-FT_First)/FT_Int1),FT_PreY5+FT_PerYear*INT((AY85-FT_Y5)/12)+FT_AnnivDays+INT(MOD(AY85-FT_Y5,12)/FT_Int2)-IF(EDATE(AL85,FT_Y5)&lt;PolicyEff,FT_AnnivDays-1,0))),IF(AT85="PT",IF(AY85&lt;PT_First,0,1+INT((AY85-PT_First)/PT_Int)),0))+IF(AND(AM85&gt;=2,AO85&lt;=AsOfDate),IF(AU85="FT",IF(AZ85&lt;FT_First,0,IF(AZ85&lt;FT_Y5,1+INT((AZ85-FT_First)/FT_Int1),FT_PreY5+FT_PerYear*INT((AZ85-FT_Y5)/12)+FT_AnnivDays+INT(MOD(AZ85-FT_Y5,12)/FT_Int2)-IF(EDATE(AL85,FT_Y5)&lt;PolicyEff,FT_AnnivDays-1,0))),IF(AU85="PT",IF(AZ85&lt;PT_First,0,1+INT((AZ85-PT_First)/PT_Int)),0))-IF(AU85="FT",IF(AY85&lt;FT_First,0,IF(AY85&lt;FT_Y5,1+INT((AY85-FT_First)/FT_Int1),FT_PreY5+FT_PerYear*INT((AY85-FT_Y5)/12)+FT_AnnivDays+INT(MOD(AY85-FT_Y5,12)/FT_Int2)-IF(EDATE(AL85,FT_Y5)&lt;PolicyEff,FT_AnnivDays-1,0))),IF(AU85="PT",IF(AY85&lt;PT_First,0,1+INT((AY85-PT_First)/PT_Int)),0)),0)+IF(AND(AM85&gt;=3,AP85&lt;=AsOfDate),IF(AV85="FT",IF(AX85&lt;FT_First,0,IF(AX85&lt;FT_Y5,1+INT((AX85-FT_First)/FT_Int1),FT_PreY5+FT_PerYear*INT((AX85-FT_Y5)/12)+FT_AnnivDays+INT(MOD(AX85-FT_Y5,12)/FT_Int2)-IF(EDATE(AL85,FT_Y5)&lt;PolicyEff,FT_AnnivDays-1,0))),IF(AV85="PT",IF(AX85&lt;PT_First,0,1+INT((AX85-PT_First)/PT_Int)),0))-IF(AV85="FT",IF(AZ85&lt;FT_First,0,IF(AZ85&lt;FT_Y5,1+INT((AZ85-FT_First)/FT_Int1),FT_PreY5+FT_PerYear*INT((AZ85-FT_Y5)/12)+FT_AnnivDays+INT(MOD(AZ85-FT_Y5,12)/FT_Int2)-IF(EDATE(AL85,FT_Y5)&lt;PolicyEff,FT_AnnivDays-1,0))),IF(AV85="PT",IF(AZ85&lt;PT_First,0,1+INT((AZ85-PT_First)/PT_Int)),0)),0))</f>
        <v/>
      </c>
      <c r="BE85" s="16" t="str">
        <f aca="false">IF(AK85=0,"",IF(AT85="FT",IF(BB85&lt;FT_First,0,IF(BB85&lt;FT_Y5,1+INT((BB85-FT_First)/FT_Int1),FT_PreY5+FT_PerYear*INT((BB85-FT_Y5)/12)+FT_AnnivDays+INT(MOD(BB85-FT_Y5,12)/FT_Int2)-IF(EDATE(AL85,FT_Y5)&lt;PolicyEff,FT_AnnivDays-1,0))),IF(AT85="PT",IF(BB85&lt;PT_First,0,1+INT((BB85-PT_First)/PT_Int)),0))+IF(AND(AM85&gt;=2,AO85&lt;=PFYDate),IF(AU85="FT",IF(BC85&lt;FT_First,0,IF(BC85&lt;FT_Y5,1+INT((BC85-FT_First)/FT_Int1),FT_PreY5+FT_PerYear*INT((BC85-FT_Y5)/12)+FT_AnnivDays+INT(MOD(BC85-FT_Y5,12)/FT_Int2)-IF(EDATE(AL85,FT_Y5)&lt;PolicyEff,FT_AnnivDays-1,0))),IF(AU85="PT",IF(BC85&lt;PT_First,0,1+INT((BC85-PT_First)/PT_Int)),0))-IF(AU85="FT",IF(BB85&lt;FT_First,0,IF(BB85&lt;FT_Y5,1+INT((BB85-FT_First)/FT_Int1),FT_PreY5+FT_PerYear*INT((BB85-FT_Y5)/12)+FT_AnnivDays+INT(MOD(BB85-FT_Y5,12)/FT_Int2)-IF(EDATE(AL85,FT_Y5)&lt;PolicyEff,FT_AnnivDays-1,0))),IF(AU85="PT",IF(BB85&lt;PT_First,0,1+INT((BB85-PT_First)/PT_Int)),0)),0)+IF(AND(AM85&gt;=3,AP85&lt;=PFYDate),IF(AV85="FT",IF(BA85&lt;FT_First,0,IF(BA85&lt;FT_Y5,1+INT((BA85-FT_First)/FT_Int1),FT_PreY5+FT_PerYear*INT((BA85-FT_Y5)/12)+FT_AnnivDays+INT(MOD(BA85-FT_Y5,12)/FT_Int2)-IF(EDATE(AL85,FT_Y5)&lt;PolicyEff,FT_AnnivDays-1,0))),IF(AV85="PT",IF(BA85&lt;PT_First,0,1+INT((BA85-PT_First)/PT_Int)),0))-IF(AV85="FT",IF(BC85&lt;FT_First,0,IF(BC85&lt;FT_Y5,1+INT((BC85-FT_First)/FT_Int1),FT_PreY5+FT_PerYear*INT((BC85-FT_Y5)/12)+FT_AnnivDays+INT(MOD(BC85-FT_Y5,12)/FT_Int2)-IF(EDATE(AL85,FT_Y5)&lt;PolicyEff,FT_AnnivDays-1,0))),IF(AV85="PT",IF(BC85&lt;PT_First,0,1+INT((BC85-PT_First)/PT_Int)),0)),0))</f>
        <v/>
      </c>
      <c r="BF85" s="16" t="str">
        <f aca="false">IF(AK85=0,"",IF(AW85="FT",IF(AX85&lt;FT_First,FT_First,IF(AX85&lt;FT_Y5,MIN(FT_Y5,FT_First+FT_Int1*(INT((AX85-FT_First)/FT_Int1)+1)),FT_Y5+12*INT((AX85-FT_Y5)/12)+FT_Int2*(INT(MOD(AX85-FT_Y5,12)/FT_Int2)+1))),IF(AW85="PT",IF(AX85&lt;PT_First,PT_First,PT_First+PT_Int*(INT((AX85-PT_First)/PT_Int)+1)),"")))</f>
        <v/>
      </c>
      <c r="BG85" s="16" t="str">
        <f aca="false">IF(AK85=0,"",IF(NOT(LH_Ready),0,COUNTIFS(INDEX(LH_Data,0,LH_ColFirst),$A85,INDEX(LH_Data,0,LH_ColSur),$B85,INDEX(LH_Data,0,LH_ColCat),BonusCat)))</f>
        <v/>
      </c>
      <c r="BH85" s="16" t="str">
        <f aca="false">IF(AK85=0,"",IF(OR(NOT(LH_Ready),BG85=0),0,SUMPRODUCT(MAX((INDEX(LH_Data,0,LH_ColFirst)=$A85)*(INDEX(LH_Data,0,LH_ColSur)=$B85)*(INDEX(LH_Data,0,LH_ColCat)=BonusCat)*ROW(LH_Data)))))</f>
        <v/>
      </c>
      <c r="BI85" s="16" t="str">
        <f aca="false">IF(AK85=0,"",IF(EOMONTH(AsOfDate,-1)&lt;AL85,-1,12*(YEAR(EOMONTH(AsOfDate,-1))-YEAR(AL85))+MONTH(EOMONTH(AsOfDate,-1))-MONTH(AL85)-IF(DAY(EOMONTH(AsOfDate,-1))&lt;MIN(DAY(AL85),DAY(EOMONTH(EOMONTH(AsOfDate,-1),0))),1,0)))</f>
        <v/>
      </c>
      <c r="BJ85" s="16" t="str">
        <f aca="false">IF(AK85=0,"",IF(OR(AM85&lt;2,AO85&gt;EOMONTH(AsOfDate,-1)),BI85,IF((AO85-1)&lt;AL85,-1,12*(YEAR((AO85-1))-YEAR(AL85))+MONTH((AO85-1))-MONTH(AL85)-IF(DAY((AO85-1))&lt;MIN(DAY(AL85),DAY(EOMONTH((AO85-1),0))),1,0))))</f>
        <v/>
      </c>
      <c r="BK85" s="16" t="str">
        <f aca="false">IF(AK85=0,"",IF(OR(AM85&lt;3,AP85&gt;EOMONTH(AsOfDate,-1)),BI85,IF((AP85-1)&lt;AL85,-1,12*(YEAR((AP85-1))-YEAR(AL85))+MONTH((AP85-1))-MONTH(AL85)-IF(DAY((AP85-1))&lt;MIN(DAY(AL85),DAY(EOMONTH((AP85-1),0))),1,0))))</f>
        <v/>
      </c>
      <c r="BL85" s="16" t="str">
        <f aca="false">IF(AK85=0,"",IF(AT85="FT",IF(BJ85&lt;FT_First,0,IF(BJ85&lt;FT_Y5,1+INT((BJ85-FT_First)/FT_Int1),FT_PreY5+FT_PerYear*INT((BJ85-FT_Y5)/12)+FT_AnnivDays+INT(MOD(BJ85-FT_Y5,12)/FT_Int2)-IF(EDATE(AL85,FT_Y5)&lt;PolicyEff,FT_AnnivDays-1,0))),IF(AT85="PT",IF(BJ85&lt;PT_First,0,1+INT((BJ85-PT_First)/PT_Int)),0))+IF(AND(AM85&gt;=2,AO85&lt;=EOMONTH(AsOfDate,-1)),IF(AU85="FT",IF(BK85&lt;FT_First,0,IF(BK85&lt;FT_Y5,1+INT((BK85-FT_First)/FT_Int1),FT_PreY5+FT_PerYear*INT((BK85-FT_Y5)/12)+FT_AnnivDays+INT(MOD(BK85-FT_Y5,12)/FT_Int2)-IF(EDATE(AL85,FT_Y5)&lt;PolicyEff,FT_AnnivDays-1,0))),IF(AU85="PT",IF(BK85&lt;PT_First,0,1+INT((BK85-PT_First)/PT_Int)),0))-IF(AU85="FT",IF(BJ85&lt;FT_First,0,IF(BJ85&lt;FT_Y5,1+INT((BJ85-FT_First)/FT_Int1),FT_PreY5+FT_PerYear*INT((BJ85-FT_Y5)/12)+FT_AnnivDays+INT(MOD(BJ85-FT_Y5,12)/FT_Int2)-IF(EDATE(AL85,FT_Y5)&lt;PolicyEff,FT_AnnivDays-1,0))),IF(AU85="PT",IF(BJ85&lt;PT_First,0,1+INT((BJ85-PT_First)/PT_Int)),0)),0)+IF(AND(AM85&gt;=3,AP85&lt;=EOMONTH(AsOfDate,-1)),IF(AV85="FT",IF(BI85&lt;FT_First,0,IF(BI85&lt;FT_Y5,1+INT((BI85-FT_First)/FT_Int1),FT_PreY5+FT_PerYear*INT((BI85-FT_Y5)/12)+FT_AnnivDays+INT(MOD(BI85-FT_Y5,12)/FT_Int2)-IF(EDATE(AL85,FT_Y5)&lt;PolicyEff,FT_AnnivDays-1,0))),IF(AV85="PT",IF(BI85&lt;PT_First,0,1+INT((BI85-PT_First)/PT_Int)),0))-IF(AV85="FT",IF(BK85&lt;FT_First,0,IF(BK85&lt;FT_Y5,1+INT((BK85-FT_First)/FT_Int1),FT_PreY5+FT_PerYear*INT((BK85-FT_Y5)/12)+FT_AnnivDays+INT(MOD(BK85-FT_Y5,12)/FT_Int2)-IF(EDATE(AL85,FT_Y5)&lt;PolicyEff,FT_AnnivDays-1,0))),IF(AV85="PT",IF(BK85&lt;PT_First,0,1+INT((BK85-PT_First)/PT_Int)),0)),0))</f>
        <v/>
      </c>
      <c r="BM85" s="16" t="str">
        <f aca="false">IF(AK85=0,"",IF(AW85="FT",IF(AX85&lt;FT_First,"",IF(AX85&lt;FT_Y5,FT_First+FT_Int1*INT((AX85-FT_First)/FT_Int1),FT_Y5+FT_Int2*INT((AX85-FT_Y5)/FT_Int2))),IF(AW85="PT",IF(AX85&lt;PT_First,"",PT_First+PT_Int*INT((AX85-PT_First)/PT_Int)),"")))</f>
        <v/>
      </c>
      <c r="BN85" s="16" t="str">
        <f aca="false">IF(AK85=0,"",IF((SchemeStart-1)&lt;AL85,-1,12*(YEAR((SchemeStart-1))-YEAR(AL85))+MONTH((SchemeStart-1))-MONTH(AL85)-IF(DAY((SchemeStart-1))&lt;MIN(DAY(AL85),DAY(EOMONTH((SchemeStart-1),0))),1,0)))</f>
        <v/>
      </c>
      <c r="BO85" s="16" t="str">
        <f aca="false">IF(AK85=0,"",IF(OR(AM85&lt;2,AO85&gt;(SchemeStart-1)),BN85,IF((AO85-1)&lt;AL85,-1,12*(YEAR((AO85-1))-YEAR(AL85))+MONTH((AO85-1))-MONTH(AL85)-IF(DAY((AO85-1))&lt;MIN(DAY(AL85),DAY(EOMONTH((AO85-1),0))),1,0))))</f>
        <v/>
      </c>
      <c r="BP85" s="16" t="str">
        <f aca="false">IF(AK85=0,"",IF(OR(AM85&lt;3,AP85&gt;(SchemeStart-1)),BN85,IF((AP85-1)&lt;AL85,-1,12*(YEAR((AP85-1))-YEAR(AL85))+MONTH((AP85-1))-MONTH(AL85)-IF(DAY((AP85-1))&lt;MIN(DAY(AL85),DAY(EOMONTH((AP85-1),0))),1,0))))</f>
        <v/>
      </c>
      <c r="BQ85" s="16" t="str">
        <f aca="false">IF(AK85=0,"",IF(AT85="FT",IF(BO85&lt;FT_First,0,IF(BO85&lt;FT_Y5,1+INT((BO85-FT_First)/FT_Int1),FT_PreY5+FT_PerYear*INT((BO85-FT_Y5)/12)+FT_AnnivDays+INT(MOD(BO85-FT_Y5,12)/FT_Int2)-IF(EDATE(AL85,FT_Y5)&lt;PolicyEff,FT_AnnivDays-1,0))),IF(AT85="PT",IF(BO85&lt;PT_First,0,1+INT((BO85-PT_First)/PT_Int)),0))+IF(AND(AM85&gt;=2,AO85&lt;=(SchemeStart-1)),IF(AU85="FT",IF(BP85&lt;FT_First,0,IF(BP85&lt;FT_Y5,1+INT((BP85-FT_First)/FT_Int1),FT_PreY5+FT_PerYear*INT((BP85-FT_Y5)/12)+FT_AnnivDays+INT(MOD(BP85-FT_Y5,12)/FT_Int2)-IF(EDATE(AL85,FT_Y5)&lt;PolicyEff,FT_AnnivDays-1,0))),IF(AU85="PT",IF(BP85&lt;PT_First,0,1+INT((BP85-PT_First)/PT_Int)),0))-IF(AU85="FT",IF(BO85&lt;FT_First,0,IF(BO85&lt;FT_Y5,1+INT((BO85-FT_First)/FT_Int1),FT_PreY5+FT_PerYear*INT((BO85-FT_Y5)/12)+FT_AnnivDays+INT(MOD(BO85-FT_Y5,12)/FT_Int2)-IF(EDATE(AL85,FT_Y5)&lt;PolicyEff,FT_AnnivDays-1,0))),IF(AU85="PT",IF(BO85&lt;PT_First,0,1+INT((BO85-PT_First)/PT_Int)),0)),0)+IF(AND(AM85&gt;=3,AP85&lt;=(SchemeStart-1)),IF(AV85="FT",IF(BN85&lt;FT_First,0,IF(BN85&lt;FT_Y5,1+INT((BN85-FT_First)/FT_Int1),FT_PreY5+FT_PerYear*INT((BN85-FT_Y5)/12)+FT_AnnivDays+INT(MOD(BN85-FT_Y5,12)/FT_Int2)-IF(EDATE(AL85,FT_Y5)&lt;PolicyEff,FT_AnnivDays-1,0))),IF(AV85="PT",IF(BN85&lt;PT_First,0,1+INT((BN85-PT_First)/PT_Int)),0))-IF(AV85="FT",IF(BP85&lt;FT_First,0,IF(BP85&lt;FT_Y5,1+INT((BP85-FT_First)/FT_Int1),FT_PreY5+FT_PerYear*INT((BP85-FT_Y5)/12)+FT_AnnivDays+INT(MOD(BP85-FT_Y5,12)/FT_Int2)-IF(EDATE(AL85,FT_Y5)&lt;PolicyEff,FT_AnnivDays-1,0))),IF(AV85="PT",IF(BP85&lt;PT_First,0,1+INT((BP85-PT_First)/PT_Int)),0)),0))</f>
        <v/>
      </c>
      <c r="BR85" s="0" t="str">
        <f aca="false">IF(LEN($A85&amp;$B85)=0,"",$A85&amp;" "&amp;$B85)</f>
        <v/>
      </c>
    </row>
    <row r="86" customFormat="false" ht="15" hidden="false" customHeight="false" outlineLevel="0" collapsed="false">
      <c r="A86" s="12"/>
      <c r="B86" s="12"/>
      <c r="C86" s="12"/>
      <c r="D86" s="13"/>
      <c r="E86" s="14" t="str">
        <f aca="false">IF(OR(AK86=0,$D86=""),"",DATE(YEAR(AsOfDate)+IF(DATE(YEAR(AsOfDate),MONTH($D86),DAY($D86))&lt;=AsOfDate,1,0),MONTH($D86),DAY($D86)))</f>
        <v/>
      </c>
      <c r="F86" s="13"/>
      <c r="G86" s="13"/>
      <c r="H86" s="13"/>
      <c r="I86" s="13"/>
      <c r="J86" s="13"/>
      <c r="K86" s="14" t="str">
        <f aca="false">IF(AK86=0,"",DATE(YEAR(AsOfDate)+IF(DATE(YEAR(AsOfDate),MONTH(AL86),DAY(AL86))&lt;=AsOfDate,1,0),MONTH(AL86),DAY(AL86)))</f>
        <v/>
      </c>
      <c r="L86" s="15" t="str">
        <f aca="false">IF(AK86=0,"",ROUND((AsOfDate-AL86)/365.25,1))</f>
        <v/>
      </c>
      <c r="M86" s="16" t="str">
        <f aca="false">IF(AK86=0,"",IF(AsOfDate&lt;AL86,"-",DATEDIF(AL86,AsOfDate,"y")&amp;"y "&amp;DATEDIF(AL86,AsOfDate,"ym")&amp;"m "&amp;DATEDIF(AL86,AsOfDate,"md")&amp;"d"))</f>
        <v/>
      </c>
      <c r="N86" s="17" t="str">
        <f aca="false">IF(AK86=0,"",O86*HoursPerDay)</f>
        <v/>
      </c>
      <c r="O86" s="17" t="str">
        <f aca="false">IF(AK86=0,"",MAX(0,BD86-BQ86))</f>
        <v/>
      </c>
      <c r="P86" s="18"/>
      <c r="Q86" s="16" t="str">
        <f aca="false">IF(AK86=0,"",IF(AM86&lt;2,"",AQ86&amp;" to "&amp;AR86&amp;" on "&amp;TEXT(AO86,"dd/mm/yyyy")&amp;IF(AO86&gt;AsOfDate," (future)",IF(AT86=AU86,"",IF(AU86="None"," - STOPPED accruing",IF(AT86="None"," - commencement for Bonus Leave"," - pathway changed"))))&amp;IF(AM86&lt;3,"","; "&amp;AR86&amp;" to "&amp;AS86&amp;" on "&amp;TEXT(AP86,"dd/mm/yyyy")&amp;IF(AP86&gt;AsOfDate," (future)",IF(AU86=AV86,"",IF(AV86="None"," - STOPPED accruing",IF(AU86="None"," - commencement for Bonus Leave"," - pathway changed")))))))</f>
        <v/>
      </c>
      <c r="R86" s="16" t="str">
        <f aca="false">IF(AK86=0,"",IF(AW86="None",IF(O86&gt;0,"No longer accruing","Not eligible - "&amp;IF(AND(OR(ISNUMBER(SEARCH("part",$C86)),UPPER(TRIM($C86))="PT",UPPER(TRIM($C86))="PTE"),Apply2026="No"),"part-time (scheme is full-time only)",IF(AND(OR(ISNUMBER(SEARCH("part",$C86)),UPPER(TRIM($C86))="PT",UPPER(TRIM($C86))="PTE"),$P86&lt;&gt;"",N($P86)&lt;PT_MinHours),"under "&amp;PT_MinHours&amp;" hrs",IF(IF($C86="","",IF(OR(ISNUMBER(SEARCH("full",$C86)),UPPER(TRIM($C86))="FT",UPPER(TRIM($C86))="FTE"),"Full-Time",IF(OR(ISNUMBER(SEARCH("part",$C86)),UPPER(TRIM($C86))="PT",UPPER(TRIM($C86))="PTE"),"Part-Time",IF(OR(ISNUMBER(SEARCH("cas",$C86)),UPPER(TRIM($C86))="CAS"),"Casual","Unknown"))))="Unknown","type not recognised",$C86)))),IF(O86&gt;0,"Yes - Accrual Required","Not yet - from "&amp;TEXT(S86,"dd/mm/yyyy"))))</f>
        <v/>
      </c>
      <c r="S86" s="14" t="str">
        <f aca="false">IF(AK86=0,"",IF(AW86="None","",EDATE(AL86,BF86)))</f>
        <v/>
      </c>
      <c r="T86" s="17" t="str">
        <f aca="false">IF(AK86=0,"",IF(NOT(LH_Ready),"",IF($F86&gt;PFYDate,0,IF(LH_ColPeriod=0,W86-U86+V86,SUMIFS(INDEX(LH_Data,0,LH_ColAcc),INDEX(LH_Data,0,LH_ColFirst),$A86,INDEX(LH_Data,0,LH_ColSur),$B86,INDEX(LH_Data,0,LH_ColCat),BonusCat,INDEX(LH_Data,0,LH_ColPeriod),LH_OpenLabel)*UnitFactor))))</f>
        <v/>
      </c>
      <c r="U86" s="17" t="str">
        <f aca="false">IF(AK86=0,"",IF(NOT(LH_Ready),"",SUMIFS(INDEX(LH_Data,0,LH_ColAcc),INDEX(LH_Data,0,LH_ColFirst),$A86,INDEX(LH_Data,0,LH_ColSur),$B86,INDEX(LH_Data,0,LH_ColCat),BonusCat,INDEX(LH_Data,0,LH_ColStart),"&gt;="&amp;AL86)*UnitFactor))</f>
        <v/>
      </c>
      <c r="V86" s="17" t="str">
        <f aca="false">IF(AK86=0,"",IF(NOT(LH_Ready),"",SUMIFS(INDEX(LH_Data,0,LH_ColTaken),INDEX(LH_Data,0,LH_ColFirst),$A86,INDEX(LH_Data,0,LH_ColSur),$B86,INDEX(LH_Data,0,LH_ColCat),BonusCat,INDEX(LH_Data,0,LH_ColStart),"&gt;="&amp;AL86)*UnitFactor))</f>
        <v/>
      </c>
      <c r="W86" s="17" t="str">
        <f aca="false">IF(AK86=0,"",IF(NOT(LH_Ready),"",IF(BH86=0,0,INDEX(INDEX(LH_Data,0,LH_ColClose),BH86-1)*UnitFactor)))</f>
        <v/>
      </c>
      <c r="X86" s="17" t="str">
        <f aca="false">IF(AK86=0,"",(MAX(0,BD86-BQ86)-MAX(0,BE86-BQ86))*HoursPerDay)</f>
        <v/>
      </c>
      <c r="Y86" s="17" t="str">
        <f aca="false">IF(AK86=0,"",IF(NOT(LH_Ready),"",IF($AI86="Yes",N(AE86)*HoursPerDay-SUMIFS(INDEX(LH_Data,0,LH_ColAcc),INDEX(LH_Data,0,LH_ColFirst),$A86,INDEX(LH_Data,0,LH_ColSur),$B86,INDEX(LH_Data,0,LH_ColCat),BonusCat,INDEX(LH_Data,0,LH_ColStart),"&gt;="&amp;(EOMONTH(AsOfDate,-1)+1),INDEX(LH_Data,0,LH_ColStart),"&lt;="&amp;AsOfDate)*UnitFactor,IF(BG86=0,N86,N86-N(T86)-N(U86)))))</f>
        <v/>
      </c>
      <c r="Z86" s="16" t="str">
        <f aca="false">IF(OR(AK86=0,Y86=""),"",IF(Y86&gt;0,"Yes","No"))</f>
        <v/>
      </c>
      <c r="AA86" s="16" t="str">
        <f aca="false">IF(AK86=0,IF(LEN($A86&amp;$B86)=0,"","FIX INPUT - StartDate missing"),IF(AD86&lt;&gt;"","FIX INPUT - "&amp;AD86,IF(NOT(LH_Ready),"Paste Leave History export (Settings must show YES)",IF(AND($AI86="Yes",Y86&lt;=0),"OK - EH balance accepted to date"&amp;IF(N(AH86)&gt;0," (EH holds "&amp;AH86&amp;" hrs over the scheme)","")&amp;"; next day "&amp;TEXT(S86,"dd mmm yy")&amp;IF(N(AE86)&gt;0," ("&amp;AE86&amp;" day(s) for "&amp;UPPER(TEXT(AsOfDate,"mmm yyyy"))&amp;" already in EH)",""),IF(Y86&gt;0,"ACCRUE "&amp;ROUND(Y86,2)&amp;" hrs ("&amp;ROUND(Y86/HoursPerDay,2)&amp;" days): "&amp;IF(N(AE86)&gt;0,AE86&amp;" day(s) for "&amp;UPPER(TEXT(AsOfDate,"mmm yyyy"))&amp;" (milestone "&amp;UPPER(TEXT(AF86,"dd mmm yy"))&amp;")"&amp;IF(Y86/HoursPerDay&gt;AE86+0.001," + "&amp;ROUND(Y86/HoursPerDay-AE86,2)&amp;" day(s) catch-up from earlier months",""),"all catch-up from earlier months, nothing new this month")&amp;IF(BG86=0,"; no Bonus Leave in EH yet",""),IF(Y86&lt;0,"CHECK - EH accrued "&amp;ROUND(-Y86,2)&amp;" hrs more than policy since commencement",IF(N(W86)&gt;O86*HoursPerDay+0.01,"CHECK - EH balance "&amp;ROUND(W86-O86*HoursPerDay,2)&amp;" hrs more than policy entitlement",IF(O86&gt;0,"OK - nothing to add"&amp;IF(N(AE86)&gt;0," ("&amp;AE86&amp;" day(s) for "&amp;UPPER(TEXT(AsOfDate,"mmm yyyy"))&amp;" already in EH)",""),IF(AW86="None",R86,"Not yet - first day on "&amp;TEXT(S86,"dd/mm/yyyy"))))))))))</f>
        <v/>
      </c>
      <c r="AB86" s="17" t="str">
        <f aca="false">IF(OR(AK86=0,T86=""),"",MAX(0,BE86-BQ86)*HoursPerDay-T86)</f>
        <v/>
      </c>
      <c r="AC86" s="16" t="str">
        <f aca="false">IF(AK86=0,"",BG86)</f>
        <v/>
      </c>
      <c r="AD86" s="16" t="str">
        <f aca="false">IF(AK86=0,"",TRIM(IF(OR(ISTEXT($F86),ISTEXT($H86),ISTEXT($I86),ISTEXT($G86),ISTEXT($J86),ISTEXT($D86)),"A date is typed as text - retype it as dd/mm/yyyy. ","")&amp;IF(IF($C86="","",IF(OR(ISNUMBER(SEARCH("full",$C86)),UPPER(TRIM($C86))="FT",UPPER(TRIM($C86))="FTE"),"Full-Time",IF(OR(ISNUMBER(SEARCH("part",$C86)),UPPER(TRIM($C86))="PT",UPPER(TRIM($C86))="PTE"),"Part-Time",IF(OR(ISNUMBER(SEARCH("cas",$C86)),UPPER(TRIM($C86))="CAS"),"Casual","Unknown"))))="Unknown","EmploymentType not recognised - use Full-Time, Part-Time or Casual. ","")&amp;IF(AND(AM86&gt;=1,IF(AM86&gt;=3,AS86,IF(AM86=2,AR86,AQ86))&lt;&gt;IF($C86="","",IF(OR(ISNUMBER(SEARCH("full",$C86)),UPPER(TRIM($C86))="FT",UPPER(TRIM($C86))="FTE"),"Full-Time",IF(OR(ISNUMBER(SEARCH("part",$C86)),UPPER(TRIM($C86))="PT",UPPER(TRIM($C86))="PTE"),"Part-Time",IF(OR(ISNUMBER(SEARCH("cas",$C86)),UPPER(TRIM($C86))="CAS"),"Casual","Unknown"))))),"EmploymentType does not match latest start date ("&amp;IF(AM86&gt;=3,AS86,IF(AM86=2,AR86,AQ86))&amp;"). ","")&amp;IF(AND(AM86&gt;=1,AN86&lt;&gt;$F86),"Earliest type date should equal StartDate. ","")&amp;IF(AND(AM86&gt;=2,AN86=AO86),"Two types start on the same date. ","")&amp;IF(AND(OR(ISNUMBER(SEARCH("part",$C86)),UPPER(TRIM($C86))="PT",UPPER(TRIM($C86))="PTE"),$P86=""),"Part-time: enter PT Hrs/Week (blank = 24+). ","")))</f>
        <v/>
      </c>
      <c r="AE86" s="17" t="str">
        <f aca="false">IF(AK86=0,"",O86-MAX(0,BL86-BQ86))</f>
        <v/>
      </c>
      <c r="AF86" s="14" t="str">
        <f aca="false">IF(OR(AK86=0,AE86="",N(AE86)=0,BM86=""),"",EDATE(AL86,BM86))</f>
        <v/>
      </c>
      <c r="AG86" s="17" t="str">
        <f aca="false">IF(AK86=0,"",MIN(BD86,BQ86))</f>
        <v/>
      </c>
      <c r="AH86" s="17" t="str">
        <f aca="false">IF(AK86=0,"",IF(NOT(LH_Ready),"",IF(BG86=0,0,MAX(0,ROUND(N(T86)+N(U86)-N86,2)))))</f>
        <v/>
      </c>
      <c r="AI86" s="12"/>
      <c r="AJ86" s="12"/>
      <c r="AK86" s="16" t="n">
        <f aca="false">IF(OR(LEN($A86&amp;$B86)=0,$F86=""),0,1)</f>
        <v>0</v>
      </c>
      <c r="AL86" s="14" t="str">
        <f aca="false">IF(AK86=0,"",IF(PreSchemeCounts="No",MAX(SchemeStart,IF($J86&lt;&gt;"",$J86,IF(OR(CasualCounts="Yes",COUNT($G86:$I86)=0),$F86,IF(Apply2026="No",IF($I86="",$F86,$I86),IF(COUNT($H86:$I86)=0,$F86,MIN($H86:$I86)))))),IF($J86&lt;&gt;"",$J86,IF(OR(CasualCounts="Yes",COUNT($G86:$I86)=0),$F86,IF(Apply2026="No",IF($I86="",$F86,$I86),IF(COUNT($H86:$I86)=0,$F86,MIN($H86:$I86)))))))</f>
        <v/>
      </c>
      <c r="AM86" s="16" t="str">
        <f aca="false">IF(AK86=0,"",COUNT($G86:$I86))</f>
        <v/>
      </c>
      <c r="AN86" s="14" t="str">
        <f aca="false">IF(AK86=0,"",IFERROR(SMALL($G86:$I86,1),""))</f>
        <v/>
      </c>
      <c r="AO86" s="14" t="str">
        <f aca="false">IF(AK86=0,"",IFERROR(SMALL($G86:$I86,2),""))</f>
        <v/>
      </c>
      <c r="AP86" s="14" t="str">
        <f aca="false">IF(AK86=0,"",IFERROR(SMALL($G86:$I86,3),""))</f>
        <v/>
      </c>
      <c r="AQ86" s="16" t="str">
        <f aca="false">IF(AK86=0,"",IF(AN86="","",IF(AN86=$H86,"Part-Time",IF(AN86=$I86,"Full-Time","Casual"))))</f>
        <v/>
      </c>
      <c r="AR86" s="16" t="str">
        <f aca="false">IF(AK86=0,"",IF(AO86="","",IF(AO86=$H86,"Part-Time",IF(AO86=$I86,"Full-Time","Casual"))))</f>
        <v/>
      </c>
      <c r="AS86" s="16" t="str">
        <f aca="false">IF(AK86=0,"",IF(AP86="","",IF(AP86=$H86,"Part-Time",IF(AP86=$I86,"Full-Time","Casual"))))</f>
        <v/>
      </c>
      <c r="AT86" s="16" t="str">
        <f aca="false">IF(AK86=0,"",IF(AM86=0,IF(OR(ISNUMBER(SEARCH("full",$C86)),UPPER(TRIM($C86))="FT",UPPER(TRIM($C86))="FTE"),"FT",IF(AND(OR(ISNUMBER(SEARCH("part",$C86)),UPPER(TRIM($C86))="PT",UPPER(TRIM($C86))="PTE"),Apply2026="Yes",OR($P86="",N($P86)&gt;=PT_MinHours)),"PT","None")),IF(OR(ISNUMBER(SEARCH("full",AQ86)),UPPER(TRIM(AQ86))="FT",UPPER(TRIM(AQ86))="FTE"),"FT",IF(AND(OR(ISNUMBER(SEARCH("part",AQ86)),UPPER(TRIM(AQ86))="PT",UPPER(TRIM(AQ86))="PTE"),Apply2026="Yes",OR($P86="",N($P86)&gt;=PT_MinHours)),"PT","None"))))</f>
        <v/>
      </c>
      <c r="AU86" s="16" t="str">
        <f aca="false">IF(AK86=0,"",IF(AM86&lt;2,"",IF(OR(ISNUMBER(SEARCH("full",AR86)),UPPER(TRIM(AR86))="FT",UPPER(TRIM(AR86))="FTE"),"FT",IF(AND(OR(ISNUMBER(SEARCH("part",AR86)),UPPER(TRIM(AR86))="PT",UPPER(TRIM(AR86))="PTE"),Apply2026="Yes",OR($P86="",N($P86)&gt;=PT_MinHours)),"PT","None"))))</f>
        <v/>
      </c>
      <c r="AV86" s="16" t="str">
        <f aca="false">IF(AK86=0,"",IF(AM86&lt;3,"",IF(OR(ISNUMBER(SEARCH("full",AS86)),UPPER(TRIM(AS86))="FT",UPPER(TRIM(AS86))="FTE"),"FT",IF(AND(OR(ISNUMBER(SEARCH("part",AS86)),UPPER(TRIM(AS86))="PT",UPPER(TRIM(AS86))="PTE"),Apply2026="Yes",OR($P86="",N($P86)&gt;=PT_MinHours)),"PT","None"))))</f>
        <v/>
      </c>
      <c r="AW86" s="16" t="str">
        <f aca="false">IF(AK86=0,"",IF(AND(AM86&gt;=3,AP86&lt;=AsOfDate),AV86,IF(AND(AM86&gt;=2,AO86&lt;=AsOfDate),AU86,AT86)))</f>
        <v/>
      </c>
      <c r="AX86" s="16" t="str">
        <f aca="false">IF(AK86=0,"",IF(AsOfDate&lt;AL86,-1,12*(YEAR(AsOfDate)-YEAR(AL86))+MONTH(AsOfDate)-MONTH(AL86)-IF(DAY(AsOfDate)&lt;MIN(DAY(AL86),DAY(EOMONTH(AsOfDate,0))),1,0)))</f>
        <v/>
      </c>
      <c r="AY86" s="16" t="str">
        <f aca="false">IF(AK86=0,"",IF(OR(AM86&lt;2,AO86&gt;AsOfDate),AX86,IF((AO86-1)&lt;AL86,-1,12*(YEAR((AO86-1))-YEAR(AL86))+MONTH((AO86-1))-MONTH(AL86)-IF(DAY((AO86-1))&lt;MIN(DAY(AL86),DAY(EOMONTH((AO86-1),0))),1,0))))</f>
        <v/>
      </c>
      <c r="AZ86" s="16" t="str">
        <f aca="false">IF(AK86=0,"",IF(OR(AM86&lt;3,AP86&gt;AsOfDate),AX86,IF((AP86-1)&lt;AL86,-1,12*(YEAR((AP86-1))-YEAR(AL86))+MONTH((AP86-1))-MONTH(AL86)-IF(DAY((AP86-1))&lt;MIN(DAY(AL86),DAY(EOMONTH((AP86-1),0))),1,0))))</f>
        <v/>
      </c>
      <c r="BA86" s="16" t="str">
        <f aca="false">IF(AK86=0,"",IF(PFYDate&lt;AL86,-1,12*(YEAR(PFYDate)-YEAR(AL86))+MONTH(PFYDate)-MONTH(AL86)-IF(DAY(PFYDate)&lt;MIN(DAY(AL86),DAY(EOMONTH(PFYDate,0))),1,0)))</f>
        <v/>
      </c>
      <c r="BB86" s="16" t="str">
        <f aca="false">IF(AK86=0,"",IF(OR(AM86&lt;2,AO86&gt;PFYDate),BA86,IF((AO86-1)&lt;AL86,-1,12*(YEAR((AO86-1))-YEAR(AL86))+MONTH((AO86-1))-MONTH(AL86)-IF(DAY((AO86-1))&lt;MIN(DAY(AL86),DAY(EOMONTH((AO86-1),0))),1,0))))</f>
        <v/>
      </c>
      <c r="BC86" s="16" t="str">
        <f aca="false">IF(AK86=0,"",IF(OR(AM86&lt;3,AP86&gt;PFYDate),BA86,IF((AP86-1)&lt;AL86,-1,12*(YEAR((AP86-1))-YEAR(AL86))+MONTH((AP86-1))-MONTH(AL86)-IF(DAY((AP86-1))&lt;MIN(DAY(AL86),DAY(EOMONTH((AP86-1),0))),1,0))))</f>
        <v/>
      </c>
      <c r="BD86" s="16" t="str">
        <f aca="false">IF(AK86=0,"",IF(AT86="FT",IF(AY86&lt;FT_First,0,IF(AY86&lt;FT_Y5,1+INT((AY86-FT_First)/FT_Int1),FT_PreY5+FT_PerYear*INT((AY86-FT_Y5)/12)+FT_AnnivDays+INT(MOD(AY86-FT_Y5,12)/FT_Int2)-IF(EDATE(AL86,FT_Y5)&lt;PolicyEff,FT_AnnivDays-1,0))),IF(AT86="PT",IF(AY86&lt;PT_First,0,1+INT((AY86-PT_First)/PT_Int)),0))+IF(AND(AM86&gt;=2,AO86&lt;=AsOfDate),IF(AU86="FT",IF(AZ86&lt;FT_First,0,IF(AZ86&lt;FT_Y5,1+INT((AZ86-FT_First)/FT_Int1),FT_PreY5+FT_PerYear*INT((AZ86-FT_Y5)/12)+FT_AnnivDays+INT(MOD(AZ86-FT_Y5,12)/FT_Int2)-IF(EDATE(AL86,FT_Y5)&lt;PolicyEff,FT_AnnivDays-1,0))),IF(AU86="PT",IF(AZ86&lt;PT_First,0,1+INT((AZ86-PT_First)/PT_Int)),0))-IF(AU86="FT",IF(AY86&lt;FT_First,0,IF(AY86&lt;FT_Y5,1+INT((AY86-FT_First)/FT_Int1),FT_PreY5+FT_PerYear*INT((AY86-FT_Y5)/12)+FT_AnnivDays+INT(MOD(AY86-FT_Y5,12)/FT_Int2)-IF(EDATE(AL86,FT_Y5)&lt;PolicyEff,FT_AnnivDays-1,0))),IF(AU86="PT",IF(AY86&lt;PT_First,0,1+INT((AY86-PT_First)/PT_Int)),0)),0)+IF(AND(AM86&gt;=3,AP86&lt;=AsOfDate),IF(AV86="FT",IF(AX86&lt;FT_First,0,IF(AX86&lt;FT_Y5,1+INT((AX86-FT_First)/FT_Int1),FT_PreY5+FT_PerYear*INT((AX86-FT_Y5)/12)+FT_AnnivDays+INT(MOD(AX86-FT_Y5,12)/FT_Int2)-IF(EDATE(AL86,FT_Y5)&lt;PolicyEff,FT_AnnivDays-1,0))),IF(AV86="PT",IF(AX86&lt;PT_First,0,1+INT((AX86-PT_First)/PT_Int)),0))-IF(AV86="FT",IF(AZ86&lt;FT_First,0,IF(AZ86&lt;FT_Y5,1+INT((AZ86-FT_First)/FT_Int1),FT_PreY5+FT_PerYear*INT((AZ86-FT_Y5)/12)+FT_AnnivDays+INT(MOD(AZ86-FT_Y5,12)/FT_Int2)-IF(EDATE(AL86,FT_Y5)&lt;PolicyEff,FT_AnnivDays-1,0))),IF(AV86="PT",IF(AZ86&lt;PT_First,0,1+INT((AZ86-PT_First)/PT_Int)),0)),0))</f>
        <v/>
      </c>
      <c r="BE86" s="16" t="str">
        <f aca="false">IF(AK86=0,"",IF(AT86="FT",IF(BB86&lt;FT_First,0,IF(BB86&lt;FT_Y5,1+INT((BB86-FT_First)/FT_Int1),FT_PreY5+FT_PerYear*INT((BB86-FT_Y5)/12)+FT_AnnivDays+INT(MOD(BB86-FT_Y5,12)/FT_Int2)-IF(EDATE(AL86,FT_Y5)&lt;PolicyEff,FT_AnnivDays-1,0))),IF(AT86="PT",IF(BB86&lt;PT_First,0,1+INT((BB86-PT_First)/PT_Int)),0))+IF(AND(AM86&gt;=2,AO86&lt;=PFYDate),IF(AU86="FT",IF(BC86&lt;FT_First,0,IF(BC86&lt;FT_Y5,1+INT((BC86-FT_First)/FT_Int1),FT_PreY5+FT_PerYear*INT((BC86-FT_Y5)/12)+FT_AnnivDays+INT(MOD(BC86-FT_Y5,12)/FT_Int2)-IF(EDATE(AL86,FT_Y5)&lt;PolicyEff,FT_AnnivDays-1,0))),IF(AU86="PT",IF(BC86&lt;PT_First,0,1+INT((BC86-PT_First)/PT_Int)),0))-IF(AU86="FT",IF(BB86&lt;FT_First,0,IF(BB86&lt;FT_Y5,1+INT((BB86-FT_First)/FT_Int1),FT_PreY5+FT_PerYear*INT((BB86-FT_Y5)/12)+FT_AnnivDays+INT(MOD(BB86-FT_Y5,12)/FT_Int2)-IF(EDATE(AL86,FT_Y5)&lt;PolicyEff,FT_AnnivDays-1,0))),IF(AU86="PT",IF(BB86&lt;PT_First,0,1+INT((BB86-PT_First)/PT_Int)),0)),0)+IF(AND(AM86&gt;=3,AP86&lt;=PFYDate),IF(AV86="FT",IF(BA86&lt;FT_First,0,IF(BA86&lt;FT_Y5,1+INT((BA86-FT_First)/FT_Int1),FT_PreY5+FT_PerYear*INT((BA86-FT_Y5)/12)+FT_AnnivDays+INT(MOD(BA86-FT_Y5,12)/FT_Int2)-IF(EDATE(AL86,FT_Y5)&lt;PolicyEff,FT_AnnivDays-1,0))),IF(AV86="PT",IF(BA86&lt;PT_First,0,1+INT((BA86-PT_First)/PT_Int)),0))-IF(AV86="FT",IF(BC86&lt;FT_First,0,IF(BC86&lt;FT_Y5,1+INT((BC86-FT_First)/FT_Int1),FT_PreY5+FT_PerYear*INT((BC86-FT_Y5)/12)+FT_AnnivDays+INT(MOD(BC86-FT_Y5,12)/FT_Int2)-IF(EDATE(AL86,FT_Y5)&lt;PolicyEff,FT_AnnivDays-1,0))),IF(AV86="PT",IF(BC86&lt;PT_First,0,1+INT((BC86-PT_First)/PT_Int)),0)),0))</f>
        <v/>
      </c>
      <c r="BF86" s="16" t="str">
        <f aca="false">IF(AK86=0,"",IF(AW86="FT",IF(AX86&lt;FT_First,FT_First,IF(AX86&lt;FT_Y5,MIN(FT_Y5,FT_First+FT_Int1*(INT((AX86-FT_First)/FT_Int1)+1)),FT_Y5+12*INT((AX86-FT_Y5)/12)+FT_Int2*(INT(MOD(AX86-FT_Y5,12)/FT_Int2)+1))),IF(AW86="PT",IF(AX86&lt;PT_First,PT_First,PT_First+PT_Int*(INT((AX86-PT_First)/PT_Int)+1)),"")))</f>
        <v/>
      </c>
      <c r="BG86" s="16" t="str">
        <f aca="false">IF(AK86=0,"",IF(NOT(LH_Ready),0,COUNTIFS(INDEX(LH_Data,0,LH_ColFirst),$A86,INDEX(LH_Data,0,LH_ColSur),$B86,INDEX(LH_Data,0,LH_ColCat),BonusCat)))</f>
        <v/>
      </c>
      <c r="BH86" s="16" t="str">
        <f aca="false">IF(AK86=0,"",IF(OR(NOT(LH_Ready),BG86=0),0,SUMPRODUCT(MAX((INDEX(LH_Data,0,LH_ColFirst)=$A86)*(INDEX(LH_Data,0,LH_ColSur)=$B86)*(INDEX(LH_Data,0,LH_ColCat)=BonusCat)*ROW(LH_Data)))))</f>
        <v/>
      </c>
      <c r="BI86" s="16" t="str">
        <f aca="false">IF(AK86=0,"",IF(EOMONTH(AsOfDate,-1)&lt;AL86,-1,12*(YEAR(EOMONTH(AsOfDate,-1))-YEAR(AL86))+MONTH(EOMONTH(AsOfDate,-1))-MONTH(AL86)-IF(DAY(EOMONTH(AsOfDate,-1))&lt;MIN(DAY(AL86),DAY(EOMONTH(EOMONTH(AsOfDate,-1),0))),1,0)))</f>
        <v/>
      </c>
      <c r="BJ86" s="16" t="str">
        <f aca="false">IF(AK86=0,"",IF(OR(AM86&lt;2,AO86&gt;EOMONTH(AsOfDate,-1)),BI86,IF((AO86-1)&lt;AL86,-1,12*(YEAR((AO86-1))-YEAR(AL86))+MONTH((AO86-1))-MONTH(AL86)-IF(DAY((AO86-1))&lt;MIN(DAY(AL86),DAY(EOMONTH((AO86-1),0))),1,0))))</f>
        <v/>
      </c>
      <c r="BK86" s="16" t="str">
        <f aca="false">IF(AK86=0,"",IF(OR(AM86&lt;3,AP86&gt;EOMONTH(AsOfDate,-1)),BI86,IF((AP86-1)&lt;AL86,-1,12*(YEAR((AP86-1))-YEAR(AL86))+MONTH((AP86-1))-MONTH(AL86)-IF(DAY((AP86-1))&lt;MIN(DAY(AL86),DAY(EOMONTH((AP86-1),0))),1,0))))</f>
        <v/>
      </c>
      <c r="BL86" s="16" t="str">
        <f aca="false">IF(AK86=0,"",IF(AT86="FT",IF(BJ86&lt;FT_First,0,IF(BJ86&lt;FT_Y5,1+INT((BJ86-FT_First)/FT_Int1),FT_PreY5+FT_PerYear*INT((BJ86-FT_Y5)/12)+FT_AnnivDays+INT(MOD(BJ86-FT_Y5,12)/FT_Int2)-IF(EDATE(AL86,FT_Y5)&lt;PolicyEff,FT_AnnivDays-1,0))),IF(AT86="PT",IF(BJ86&lt;PT_First,0,1+INT((BJ86-PT_First)/PT_Int)),0))+IF(AND(AM86&gt;=2,AO86&lt;=EOMONTH(AsOfDate,-1)),IF(AU86="FT",IF(BK86&lt;FT_First,0,IF(BK86&lt;FT_Y5,1+INT((BK86-FT_First)/FT_Int1),FT_PreY5+FT_PerYear*INT((BK86-FT_Y5)/12)+FT_AnnivDays+INT(MOD(BK86-FT_Y5,12)/FT_Int2)-IF(EDATE(AL86,FT_Y5)&lt;PolicyEff,FT_AnnivDays-1,0))),IF(AU86="PT",IF(BK86&lt;PT_First,0,1+INT((BK86-PT_First)/PT_Int)),0))-IF(AU86="FT",IF(BJ86&lt;FT_First,0,IF(BJ86&lt;FT_Y5,1+INT((BJ86-FT_First)/FT_Int1),FT_PreY5+FT_PerYear*INT((BJ86-FT_Y5)/12)+FT_AnnivDays+INT(MOD(BJ86-FT_Y5,12)/FT_Int2)-IF(EDATE(AL86,FT_Y5)&lt;PolicyEff,FT_AnnivDays-1,0))),IF(AU86="PT",IF(BJ86&lt;PT_First,0,1+INT((BJ86-PT_First)/PT_Int)),0)),0)+IF(AND(AM86&gt;=3,AP86&lt;=EOMONTH(AsOfDate,-1)),IF(AV86="FT",IF(BI86&lt;FT_First,0,IF(BI86&lt;FT_Y5,1+INT((BI86-FT_First)/FT_Int1),FT_PreY5+FT_PerYear*INT((BI86-FT_Y5)/12)+FT_AnnivDays+INT(MOD(BI86-FT_Y5,12)/FT_Int2)-IF(EDATE(AL86,FT_Y5)&lt;PolicyEff,FT_AnnivDays-1,0))),IF(AV86="PT",IF(BI86&lt;PT_First,0,1+INT((BI86-PT_First)/PT_Int)),0))-IF(AV86="FT",IF(BK86&lt;FT_First,0,IF(BK86&lt;FT_Y5,1+INT((BK86-FT_First)/FT_Int1),FT_PreY5+FT_PerYear*INT((BK86-FT_Y5)/12)+FT_AnnivDays+INT(MOD(BK86-FT_Y5,12)/FT_Int2)-IF(EDATE(AL86,FT_Y5)&lt;PolicyEff,FT_AnnivDays-1,0))),IF(AV86="PT",IF(BK86&lt;PT_First,0,1+INT((BK86-PT_First)/PT_Int)),0)),0))</f>
        <v/>
      </c>
      <c r="BM86" s="16" t="str">
        <f aca="false">IF(AK86=0,"",IF(AW86="FT",IF(AX86&lt;FT_First,"",IF(AX86&lt;FT_Y5,FT_First+FT_Int1*INT((AX86-FT_First)/FT_Int1),FT_Y5+FT_Int2*INT((AX86-FT_Y5)/FT_Int2))),IF(AW86="PT",IF(AX86&lt;PT_First,"",PT_First+PT_Int*INT((AX86-PT_First)/PT_Int)),"")))</f>
        <v/>
      </c>
      <c r="BN86" s="16" t="str">
        <f aca="false">IF(AK86=0,"",IF((SchemeStart-1)&lt;AL86,-1,12*(YEAR((SchemeStart-1))-YEAR(AL86))+MONTH((SchemeStart-1))-MONTH(AL86)-IF(DAY((SchemeStart-1))&lt;MIN(DAY(AL86),DAY(EOMONTH((SchemeStart-1),0))),1,0)))</f>
        <v/>
      </c>
      <c r="BO86" s="16" t="str">
        <f aca="false">IF(AK86=0,"",IF(OR(AM86&lt;2,AO86&gt;(SchemeStart-1)),BN86,IF((AO86-1)&lt;AL86,-1,12*(YEAR((AO86-1))-YEAR(AL86))+MONTH((AO86-1))-MONTH(AL86)-IF(DAY((AO86-1))&lt;MIN(DAY(AL86),DAY(EOMONTH((AO86-1),0))),1,0))))</f>
        <v/>
      </c>
      <c r="BP86" s="16" t="str">
        <f aca="false">IF(AK86=0,"",IF(OR(AM86&lt;3,AP86&gt;(SchemeStart-1)),BN86,IF((AP86-1)&lt;AL86,-1,12*(YEAR((AP86-1))-YEAR(AL86))+MONTH((AP86-1))-MONTH(AL86)-IF(DAY((AP86-1))&lt;MIN(DAY(AL86),DAY(EOMONTH((AP86-1),0))),1,0))))</f>
        <v/>
      </c>
      <c r="BQ86" s="16" t="str">
        <f aca="false">IF(AK86=0,"",IF(AT86="FT",IF(BO86&lt;FT_First,0,IF(BO86&lt;FT_Y5,1+INT((BO86-FT_First)/FT_Int1),FT_PreY5+FT_PerYear*INT((BO86-FT_Y5)/12)+FT_AnnivDays+INT(MOD(BO86-FT_Y5,12)/FT_Int2)-IF(EDATE(AL86,FT_Y5)&lt;PolicyEff,FT_AnnivDays-1,0))),IF(AT86="PT",IF(BO86&lt;PT_First,0,1+INT((BO86-PT_First)/PT_Int)),0))+IF(AND(AM86&gt;=2,AO86&lt;=(SchemeStart-1)),IF(AU86="FT",IF(BP86&lt;FT_First,0,IF(BP86&lt;FT_Y5,1+INT((BP86-FT_First)/FT_Int1),FT_PreY5+FT_PerYear*INT((BP86-FT_Y5)/12)+FT_AnnivDays+INT(MOD(BP86-FT_Y5,12)/FT_Int2)-IF(EDATE(AL86,FT_Y5)&lt;PolicyEff,FT_AnnivDays-1,0))),IF(AU86="PT",IF(BP86&lt;PT_First,0,1+INT((BP86-PT_First)/PT_Int)),0))-IF(AU86="FT",IF(BO86&lt;FT_First,0,IF(BO86&lt;FT_Y5,1+INT((BO86-FT_First)/FT_Int1),FT_PreY5+FT_PerYear*INT((BO86-FT_Y5)/12)+FT_AnnivDays+INT(MOD(BO86-FT_Y5,12)/FT_Int2)-IF(EDATE(AL86,FT_Y5)&lt;PolicyEff,FT_AnnivDays-1,0))),IF(AU86="PT",IF(BO86&lt;PT_First,0,1+INT((BO86-PT_First)/PT_Int)),0)),0)+IF(AND(AM86&gt;=3,AP86&lt;=(SchemeStart-1)),IF(AV86="FT",IF(BN86&lt;FT_First,0,IF(BN86&lt;FT_Y5,1+INT((BN86-FT_First)/FT_Int1),FT_PreY5+FT_PerYear*INT((BN86-FT_Y5)/12)+FT_AnnivDays+INT(MOD(BN86-FT_Y5,12)/FT_Int2)-IF(EDATE(AL86,FT_Y5)&lt;PolicyEff,FT_AnnivDays-1,0))),IF(AV86="PT",IF(BN86&lt;PT_First,0,1+INT((BN86-PT_First)/PT_Int)),0))-IF(AV86="FT",IF(BP86&lt;FT_First,0,IF(BP86&lt;FT_Y5,1+INT((BP86-FT_First)/FT_Int1),FT_PreY5+FT_PerYear*INT((BP86-FT_Y5)/12)+FT_AnnivDays+INT(MOD(BP86-FT_Y5,12)/FT_Int2)-IF(EDATE(AL86,FT_Y5)&lt;PolicyEff,FT_AnnivDays-1,0))),IF(AV86="PT",IF(BP86&lt;PT_First,0,1+INT((BP86-PT_First)/PT_Int)),0)),0))</f>
        <v/>
      </c>
      <c r="BR86" s="0" t="str">
        <f aca="false">IF(LEN($A86&amp;$B86)=0,"",$A86&amp;" "&amp;$B86)</f>
        <v/>
      </c>
    </row>
    <row r="87" customFormat="false" ht="15" hidden="false" customHeight="false" outlineLevel="0" collapsed="false">
      <c r="A87" s="12"/>
      <c r="B87" s="12"/>
      <c r="C87" s="12"/>
      <c r="D87" s="13"/>
      <c r="E87" s="14" t="str">
        <f aca="false">IF(OR(AK87=0,$D87=""),"",DATE(YEAR(AsOfDate)+IF(DATE(YEAR(AsOfDate),MONTH($D87),DAY($D87))&lt;=AsOfDate,1,0),MONTH($D87),DAY($D87)))</f>
        <v/>
      </c>
      <c r="F87" s="13"/>
      <c r="G87" s="13"/>
      <c r="H87" s="13"/>
      <c r="I87" s="13"/>
      <c r="J87" s="13"/>
      <c r="K87" s="14" t="str">
        <f aca="false">IF(AK87=0,"",DATE(YEAR(AsOfDate)+IF(DATE(YEAR(AsOfDate),MONTH(AL87),DAY(AL87))&lt;=AsOfDate,1,0),MONTH(AL87),DAY(AL87)))</f>
        <v/>
      </c>
      <c r="L87" s="15" t="str">
        <f aca="false">IF(AK87=0,"",ROUND((AsOfDate-AL87)/365.25,1))</f>
        <v/>
      </c>
      <c r="M87" s="16" t="str">
        <f aca="false">IF(AK87=0,"",IF(AsOfDate&lt;AL87,"-",DATEDIF(AL87,AsOfDate,"y")&amp;"y "&amp;DATEDIF(AL87,AsOfDate,"ym")&amp;"m "&amp;DATEDIF(AL87,AsOfDate,"md")&amp;"d"))</f>
        <v/>
      </c>
      <c r="N87" s="17" t="str">
        <f aca="false">IF(AK87=0,"",O87*HoursPerDay)</f>
        <v/>
      </c>
      <c r="O87" s="17" t="str">
        <f aca="false">IF(AK87=0,"",MAX(0,BD87-BQ87))</f>
        <v/>
      </c>
      <c r="P87" s="18"/>
      <c r="Q87" s="16" t="str">
        <f aca="false">IF(AK87=0,"",IF(AM87&lt;2,"",AQ87&amp;" to "&amp;AR87&amp;" on "&amp;TEXT(AO87,"dd/mm/yyyy")&amp;IF(AO87&gt;AsOfDate," (future)",IF(AT87=AU87,"",IF(AU87="None"," - STOPPED accruing",IF(AT87="None"," - commencement for Bonus Leave"," - pathway changed"))))&amp;IF(AM87&lt;3,"","; "&amp;AR87&amp;" to "&amp;AS87&amp;" on "&amp;TEXT(AP87,"dd/mm/yyyy")&amp;IF(AP87&gt;AsOfDate," (future)",IF(AU87=AV87,"",IF(AV87="None"," - STOPPED accruing",IF(AU87="None"," - commencement for Bonus Leave"," - pathway changed")))))))</f>
        <v/>
      </c>
      <c r="R87" s="16" t="str">
        <f aca="false">IF(AK87=0,"",IF(AW87="None",IF(O87&gt;0,"No longer accruing","Not eligible - "&amp;IF(AND(OR(ISNUMBER(SEARCH("part",$C87)),UPPER(TRIM($C87))="PT",UPPER(TRIM($C87))="PTE"),Apply2026="No"),"part-time (scheme is full-time only)",IF(AND(OR(ISNUMBER(SEARCH("part",$C87)),UPPER(TRIM($C87))="PT",UPPER(TRIM($C87))="PTE"),$P87&lt;&gt;"",N($P87)&lt;PT_MinHours),"under "&amp;PT_MinHours&amp;" hrs",IF(IF($C87="","",IF(OR(ISNUMBER(SEARCH("full",$C87)),UPPER(TRIM($C87))="FT",UPPER(TRIM($C87))="FTE"),"Full-Time",IF(OR(ISNUMBER(SEARCH("part",$C87)),UPPER(TRIM($C87))="PT",UPPER(TRIM($C87))="PTE"),"Part-Time",IF(OR(ISNUMBER(SEARCH("cas",$C87)),UPPER(TRIM($C87))="CAS"),"Casual","Unknown"))))="Unknown","type not recognised",$C87)))),IF(O87&gt;0,"Yes - Accrual Required","Not yet - from "&amp;TEXT(S87,"dd/mm/yyyy"))))</f>
        <v/>
      </c>
      <c r="S87" s="14" t="str">
        <f aca="false">IF(AK87=0,"",IF(AW87="None","",EDATE(AL87,BF87)))</f>
        <v/>
      </c>
      <c r="T87" s="17" t="str">
        <f aca="false">IF(AK87=0,"",IF(NOT(LH_Ready),"",IF($F87&gt;PFYDate,0,IF(LH_ColPeriod=0,W87-U87+V87,SUMIFS(INDEX(LH_Data,0,LH_ColAcc),INDEX(LH_Data,0,LH_ColFirst),$A87,INDEX(LH_Data,0,LH_ColSur),$B87,INDEX(LH_Data,0,LH_ColCat),BonusCat,INDEX(LH_Data,0,LH_ColPeriod),LH_OpenLabel)*UnitFactor))))</f>
        <v/>
      </c>
      <c r="U87" s="17" t="str">
        <f aca="false">IF(AK87=0,"",IF(NOT(LH_Ready),"",SUMIFS(INDEX(LH_Data,0,LH_ColAcc),INDEX(LH_Data,0,LH_ColFirst),$A87,INDEX(LH_Data,0,LH_ColSur),$B87,INDEX(LH_Data,0,LH_ColCat),BonusCat,INDEX(LH_Data,0,LH_ColStart),"&gt;="&amp;AL87)*UnitFactor))</f>
        <v/>
      </c>
      <c r="V87" s="17" t="str">
        <f aca="false">IF(AK87=0,"",IF(NOT(LH_Ready),"",SUMIFS(INDEX(LH_Data,0,LH_ColTaken),INDEX(LH_Data,0,LH_ColFirst),$A87,INDEX(LH_Data,0,LH_ColSur),$B87,INDEX(LH_Data,0,LH_ColCat),BonusCat,INDEX(LH_Data,0,LH_ColStart),"&gt;="&amp;AL87)*UnitFactor))</f>
        <v/>
      </c>
      <c r="W87" s="17" t="str">
        <f aca="false">IF(AK87=0,"",IF(NOT(LH_Ready),"",IF(BH87=0,0,INDEX(INDEX(LH_Data,0,LH_ColClose),BH87-1)*UnitFactor)))</f>
        <v/>
      </c>
      <c r="X87" s="17" t="str">
        <f aca="false">IF(AK87=0,"",(MAX(0,BD87-BQ87)-MAX(0,BE87-BQ87))*HoursPerDay)</f>
        <v/>
      </c>
      <c r="Y87" s="17" t="str">
        <f aca="false">IF(AK87=0,"",IF(NOT(LH_Ready),"",IF($AI87="Yes",N(AE87)*HoursPerDay-SUMIFS(INDEX(LH_Data,0,LH_ColAcc),INDEX(LH_Data,0,LH_ColFirst),$A87,INDEX(LH_Data,0,LH_ColSur),$B87,INDEX(LH_Data,0,LH_ColCat),BonusCat,INDEX(LH_Data,0,LH_ColStart),"&gt;="&amp;(EOMONTH(AsOfDate,-1)+1),INDEX(LH_Data,0,LH_ColStart),"&lt;="&amp;AsOfDate)*UnitFactor,IF(BG87=0,N87,N87-N(T87)-N(U87)))))</f>
        <v/>
      </c>
      <c r="Z87" s="16" t="str">
        <f aca="false">IF(OR(AK87=0,Y87=""),"",IF(Y87&gt;0,"Yes","No"))</f>
        <v/>
      </c>
      <c r="AA87" s="16" t="str">
        <f aca="false">IF(AK87=0,IF(LEN($A87&amp;$B87)=0,"","FIX INPUT - StartDate missing"),IF(AD87&lt;&gt;"","FIX INPUT - "&amp;AD87,IF(NOT(LH_Ready),"Paste Leave History export (Settings must show YES)",IF(AND($AI87="Yes",Y87&lt;=0),"OK - EH balance accepted to date"&amp;IF(N(AH87)&gt;0," (EH holds "&amp;AH87&amp;" hrs over the scheme)","")&amp;"; next day "&amp;TEXT(S87,"dd mmm yy")&amp;IF(N(AE87)&gt;0," ("&amp;AE87&amp;" day(s) for "&amp;UPPER(TEXT(AsOfDate,"mmm yyyy"))&amp;" already in EH)",""),IF(Y87&gt;0,"ACCRUE "&amp;ROUND(Y87,2)&amp;" hrs ("&amp;ROUND(Y87/HoursPerDay,2)&amp;" days): "&amp;IF(N(AE87)&gt;0,AE87&amp;" day(s) for "&amp;UPPER(TEXT(AsOfDate,"mmm yyyy"))&amp;" (milestone "&amp;UPPER(TEXT(AF87,"dd mmm yy"))&amp;")"&amp;IF(Y87/HoursPerDay&gt;AE87+0.001," + "&amp;ROUND(Y87/HoursPerDay-AE87,2)&amp;" day(s) catch-up from earlier months",""),"all catch-up from earlier months, nothing new this month")&amp;IF(BG87=0,"; no Bonus Leave in EH yet",""),IF(Y87&lt;0,"CHECK - EH accrued "&amp;ROUND(-Y87,2)&amp;" hrs more than policy since commencement",IF(N(W87)&gt;O87*HoursPerDay+0.01,"CHECK - EH balance "&amp;ROUND(W87-O87*HoursPerDay,2)&amp;" hrs more than policy entitlement",IF(O87&gt;0,"OK - nothing to add"&amp;IF(N(AE87)&gt;0," ("&amp;AE87&amp;" day(s) for "&amp;UPPER(TEXT(AsOfDate,"mmm yyyy"))&amp;" already in EH)",""),IF(AW87="None",R87,"Not yet - first day on "&amp;TEXT(S87,"dd/mm/yyyy"))))))))))</f>
        <v/>
      </c>
      <c r="AB87" s="17" t="str">
        <f aca="false">IF(OR(AK87=0,T87=""),"",MAX(0,BE87-BQ87)*HoursPerDay-T87)</f>
        <v/>
      </c>
      <c r="AC87" s="16" t="str">
        <f aca="false">IF(AK87=0,"",BG87)</f>
        <v/>
      </c>
      <c r="AD87" s="16" t="str">
        <f aca="false">IF(AK87=0,"",TRIM(IF(OR(ISTEXT($F87),ISTEXT($H87),ISTEXT($I87),ISTEXT($G87),ISTEXT($J87),ISTEXT($D87)),"A date is typed as text - retype it as dd/mm/yyyy. ","")&amp;IF(IF($C87="","",IF(OR(ISNUMBER(SEARCH("full",$C87)),UPPER(TRIM($C87))="FT",UPPER(TRIM($C87))="FTE"),"Full-Time",IF(OR(ISNUMBER(SEARCH("part",$C87)),UPPER(TRIM($C87))="PT",UPPER(TRIM($C87))="PTE"),"Part-Time",IF(OR(ISNUMBER(SEARCH("cas",$C87)),UPPER(TRIM($C87))="CAS"),"Casual","Unknown"))))="Unknown","EmploymentType not recognised - use Full-Time, Part-Time or Casual. ","")&amp;IF(AND(AM87&gt;=1,IF(AM87&gt;=3,AS87,IF(AM87=2,AR87,AQ87))&lt;&gt;IF($C87="","",IF(OR(ISNUMBER(SEARCH("full",$C87)),UPPER(TRIM($C87))="FT",UPPER(TRIM($C87))="FTE"),"Full-Time",IF(OR(ISNUMBER(SEARCH("part",$C87)),UPPER(TRIM($C87))="PT",UPPER(TRIM($C87))="PTE"),"Part-Time",IF(OR(ISNUMBER(SEARCH("cas",$C87)),UPPER(TRIM($C87))="CAS"),"Casual","Unknown"))))),"EmploymentType does not match latest start date ("&amp;IF(AM87&gt;=3,AS87,IF(AM87=2,AR87,AQ87))&amp;"). ","")&amp;IF(AND(AM87&gt;=1,AN87&lt;&gt;$F87),"Earliest type date should equal StartDate. ","")&amp;IF(AND(AM87&gt;=2,AN87=AO87),"Two types start on the same date. ","")&amp;IF(AND(OR(ISNUMBER(SEARCH("part",$C87)),UPPER(TRIM($C87))="PT",UPPER(TRIM($C87))="PTE"),$P87=""),"Part-time: enter PT Hrs/Week (blank = 24+). ","")))</f>
        <v/>
      </c>
      <c r="AE87" s="17" t="str">
        <f aca="false">IF(AK87=0,"",O87-MAX(0,BL87-BQ87))</f>
        <v/>
      </c>
      <c r="AF87" s="14" t="str">
        <f aca="false">IF(OR(AK87=0,AE87="",N(AE87)=0,BM87=""),"",EDATE(AL87,BM87))</f>
        <v/>
      </c>
      <c r="AG87" s="17" t="str">
        <f aca="false">IF(AK87=0,"",MIN(BD87,BQ87))</f>
        <v/>
      </c>
      <c r="AH87" s="17" t="str">
        <f aca="false">IF(AK87=0,"",IF(NOT(LH_Ready),"",IF(BG87=0,0,MAX(0,ROUND(N(T87)+N(U87)-N87,2)))))</f>
        <v/>
      </c>
      <c r="AI87" s="12"/>
      <c r="AJ87" s="12"/>
      <c r="AK87" s="16" t="n">
        <f aca="false">IF(OR(LEN($A87&amp;$B87)=0,$F87=""),0,1)</f>
        <v>0</v>
      </c>
      <c r="AL87" s="14" t="str">
        <f aca="false">IF(AK87=0,"",IF(PreSchemeCounts="No",MAX(SchemeStart,IF($J87&lt;&gt;"",$J87,IF(OR(CasualCounts="Yes",COUNT($G87:$I87)=0),$F87,IF(Apply2026="No",IF($I87="",$F87,$I87),IF(COUNT($H87:$I87)=0,$F87,MIN($H87:$I87)))))),IF($J87&lt;&gt;"",$J87,IF(OR(CasualCounts="Yes",COUNT($G87:$I87)=0),$F87,IF(Apply2026="No",IF($I87="",$F87,$I87),IF(COUNT($H87:$I87)=0,$F87,MIN($H87:$I87)))))))</f>
        <v/>
      </c>
      <c r="AM87" s="16" t="str">
        <f aca="false">IF(AK87=0,"",COUNT($G87:$I87))</f>
        <v/>
      </c>
      <c r="AN87" s="14" t="str">
        <f aca="false">IF(AK87=0,"",IFERROR(SMALL($G87:$I87,1),""))</f>
        <v/>
      </c>
      <c r="AO87" s="14" t="str">
        <f aca="false">IF(AK87=0,"",IFERROR(SMALL($G87:$I87,2),""))</f>
        <v/>
      </c>
      <c r="AP87" s="14" t="str">
        <f aca="false">IF(AK87=0,"",IFERROR(SMALL($G87:$I87,3),""))</f>
        <v/>
      </c>
      <c r="AQ87" s="16" t="str">
        <f aca="false">IF(AK87=0,"",IF(AN87="","",IF(AN87=$H87,"Part-Time",IF(AN87=$I87,"Full-Time","Casual"))))</f>
        <v/>
      </c>
      <c r="AR87" s="16" t="str">
        <f aca="false">IF(AK87=0,"",IF(AO87="","",IF(AO87=$H87,"Part-Time",IF(AO87=$I87,"Full-Time","Casual"))))</f>
        <v/>
      </c>
      <c r="AS87" s="16" t="str">
        <f aca="false">IF(AK87=0,"",IF(AP87="","",IF(AP87=$H87,"Part-Time",IF(AP87=$I87,"Full-Time","Casual"))))</f>
        <v/>
      </c>
      <c r="AT87" s="16" t="str">
        <f aca="false">IF(AK87=0,"",IF(AM87=0,IF(OR(ISNUMBER(SEARCH("full",$C87)),UPPER(TRIM($C87))="FT",UPPER(TRIM($C87))="FTE"),"FT",IF(AND(OR(ISNUMBER(SEARCH("part",$C87)),UPPER(TRIM($C87))="PT",UPPER(TRIM($C87))="PTE"),Apply2026="Yes",OR($P87="",N($P87)&gt;=PT_MinHours)),"PT","None")),IF(OR(ISNUMBER(SEARCH("full",AQ87)),UPPER(TRIM(AQ87))="FT",UPPER(TRIM(AQ87))="FTE"),"FT",IF(AND(OR(ISNUMBER(SEARCH("part",AQ87)),UPPER(TRIM(AQ87))="PT",UPPER(TRIM(AQ87))="PTE"),Apply2026="Yes",OR($P87="",N($P87)&gt;=PT_MinHours)),"PT","None"))))</f>
        <v/>
      </c>
      <c r="AU87" s="16" t="str">
        <f aca="false">IF(AK87=0,"",IF(AM87&lt;2,"",IF(OR(ISNUMBER(SEARCH("full",AR87)),UPPER(TRIM(AR87))="FT",UPPER(TRIM(AR87))="FTE"),"FT",IF(AND(OR(ISNUMBER(SEARCH("part",AR87)),UPPER(TRIM(AR87))="PT",UPPER(TRIM(AR87))="PTE"),Apply2026="Yes",OR($P87="",N($P87)&gt;=PT_MinHours)),"PT","None"))))</f>
        <v/>
      </c>
      <c r="AV87" s="16" t="str">
        <f aca="false">IF(AK87=0,"",IF(AM87&lt;3,"",IF(OR(ISNUMBER(SEARCH("full",AS87)),UPPER(TRIM(AS87))="FT",UPPER(TRIM(AS87))="FTE"),"FT",IF(AND(OR(ISNUMBER(SEARCH("part",AS87)),UPPER(TRIM(AS87))="PT",UPPER(TRIM(AS87))="PTE"),Apply2026="Yes",OR($P87="",N($P87)&gt;=PT_MinHours)),"PT","None"))))</f>
        <v/>
      </c>
      <c r="AW87" s="16" t="str">
        <f aca="false">IF(AK87=0,"",IF(AND(AM87&gt;=3,AP87&lt;=AsOfDate),AV87,IF(AND(AM87&gt;=2,AO87&lt;=AsOfDate),AU87,AT87)))</f>
        <v/>
      </c>
      <c r="AX87" s="16" t="str">
        <f aca="false">IF(AK87=0,"",IF(AsOfDate&lt;AL87,-1,12*(YEAR(AsOfDate)-YEAR(AL87))+MONTH(AsOfDate)-MONTH(AL87)-IF(DAY(AsOfDate)&lt;MIN(DAY(AL87),DAY(EOMONTH(AsOfDate,0))),1,0)))</f>
        <v/>
      </c>
      <c r="AY87" s="16" t="str">
        <f aca="false">IF(AK87=0,"",IF(OR(AM87&lt;2,AO87&gt;AsOfDate),AX87,IF((AO87-1)&lt;AL87,-1,12*(YEAR((AO87-1))-YEAR(AL87))+MONTH((AO87-1))-MONTH(AL87)-IF(DAY((AO87-1))&lt;MIN(DAY(AL87),DAY(EOMONTH((AO87-1),0))),1,0))))</f>
        <v/>
      </c>
      <c r="AZ87" s="16" t="str">
        <f aca="false">IF(AK87=0,"",IF(OR(AM87&lt;3,AP87&gt;AsOfDate),AX87,IF((AP87-1)&lt;AL87,-1,12*(YEAR((AP87-1))-YEAR(AL87))+MONTH((AP87-1))-MONTH(AL87)-IF(DAY((AP87-1))&lt;MIN(DAY(AL87),DAY(EOMONTH((AP87-1),0))),1,0))))</f>
        <v/>
      </c>
      <c r="BA87" s="16" t="str">
        <f aca="false">IF(AK87=0,"",IF(PFYDate&lt;AL87,-1,12*(YEAR(PFYDate)-YEAR(AL87))+MONTH(PFYDate)-MONTH(AL87)-IF(DAY(PFYDate)&lt;MIN(DAY(AL87),DAY(EOMONTH(PFYDate,0))),1,0)))</f>
        <v/>
      </c>
      <c r="BB87" s="16" t="str">
        <f aca="false">IF(AK87=0,"",IF(OR(AM87&lt;2,AO87&gt;PFYDate),BA87,IF((AO87-1)&lt;AL87,-1,12*(YEAR((AO87-1))-YEAR(AL87))+MONTH((AO87-1))-MONTH(AL87)-IF(DAY((AO87-1))&lt;MIN(DAY(AL87),DAY(EOMONTH((AO87-1),0))),1,0))))</f>
        <v/>
      </c>
      <c r="BC87" s="16" t="str">
        <f aca="false">IF(AK87=0,"",IF(OR(AM87&lt;3,AP87&gt;PFYDate),BA87,IF((AP87-1)&lt;AL87,-1,12*(YEAR((AP87-1))-YEAR(AL87))+MONTH((AP87-1))-MONTH(AL87)-IF(DAY((AP87-1))&lt;MIN(DAY(AL87),DAY(EOMONTH((AP87-1),0))),1,0))))</f>
        <v/>
      </c>
      <c r="BD87" s="16" t="str">
        <f aca="false">IF(AK87=0,"",IF(AT87="FT",IF(AY87&lt;FT_First,0,IF(AY87&lt;FT_Y5,1+INT((AY87-FT_First)/FT_Int1),FT_PreY5+FT_PerYear*INT((AY87-FT_Y5)/12)+FT_AnnivDays+INT(MOD(AY87-FT_Y5,12)/FT_Int2)-IF(EDATE(AL87,FT_Y5)&lt;PolicyEff,FT_AnnivDays-1,0))),IF(AT87="PT",IF(AY87&lt;PT_First,0,1+INT((AY87-PT_First)/PT_Int)),0))+IF(AND(AM87&gt;=2,AO87&lt;=AsOfDate),IF(AU87="FT",IF(AZ87&lt;FT_First,0,IF(AZ87&lt;FT_Y5,1+INT((AZ87-FT_First)/FT_Int1),FT_PreY5+FT_PerYear*INT((AZ87-FT_Y5)/12)+FT_AnnivDays+INT(MOD(AZ87-FT_Y5,12)/FT_Int2)-IF(EDATE(AL87,FT_Y5)&lt;PolicyEff,FT_AnnivDays-1,0))),IF(AU87="PT",IF(AZ87&lt;PT_First,0,1+INT((AZ87-PT_First)/PT_Int)),0))-IF(AU87="FT",IF(AY87&lt;FT_First,0,IF(AY87&lt;FT_Y5,1+INT((AY87-FT_First)/FT_Int1),FT_PreY5+FT_PerYear*INT((AY87-FT_Y5)/12)+FT_AnnivDays+INT(MOD(AY87-FT_Y5,12)/FT_Int2)-IF(EDATE(AL87,FT_Y5)&lt;PolicyEff,FT_AnnivDays-1,0))),IF(AU87="PT",IF(AY87&lt;PT_First,0,1+INT((AY87-PT_First)/PT_Int)),0)),0)+IF(AND(AM87&gt;=3,AP87&lt;=AsOfDate),IF(AV87="FT",IF(AX87&lt;FT_First,0,IF(AX87&lt;FT_Y5,1+INT((AX87-FT_First)/FT_Int1),FT_PreY5+FT_PerYear*INT((AX87-FT_Y5)/12)+FT_AnnivDays+INT(MOD(AX87-FT_Y5,12)/FT_Int2)-IF(EDATE(AL87,FT_Y5)&lt;PolicyEff,FT_AnnivDays-1,0))),IF(AV87="PT",IF(AX87&lt;PT_First,0,1+INT((AX87-PT_First)/PT_Int)),0))-IF(AV87="FT",IF(AZ87&lt;FT_First,0,IF(AZ87&lt;FT_Y5,1+INT((AZ87-FT_First)/FT_Int1),FT_PreY5+FT_PerYear*INT((AZ87-FT_Y5)/12)+FT_AnnivDays+INT(MOD(AZ87-FT_Y5,12)/FT_Int2)-IF(EDATE(AL87,FT_Y5)&lt;PolicyEff,FT_AnnivDays-1,0))),IF(AV87="PT",IF(AZ87&lt;PT_First,0,1+INT((AZ87-PT_First)/PT_Int)),0)),0))</f>
        <v/>
      </c>
      <c r="BE87" s="16" t="str">
        <f aca="false">IF(AK87=0,"",IF(AT87="FT",IF(BB87&lt;FT_First,0,IF(BB87&lt;FT_Y5,1+INT((BB87-FT_First)/FT_Int1),FT_PreY5+FT_PerYear*INT((BB87-FT_Y5)/12)+FT_AnnivDays+INT(MOD(BB87-FT_Y5,12)/FT_Int2)-IF(EDATE(AL87,FT_Y5)&lt;PolicyEff,FT_AnnivDays-1,0))),IF(AT87="PT",IF(BB87&lt;PT_First,0,1+INT((BB87-PT_First)/PT_Int)),0))+IF(AND(AM87&gt;=2,AO87&lt;=PFYDate),IF(AU87="FT",IF(BC87&lt;FT_First,0,IF(BC87&lt;FT_Y5,1+INT((BC87-FT_First)/FT_Int1),FT_PreY5+FT_PerYear*INT((BC87-FT_Y5)/12)+FT_AnnivDays+INT(MOD(BC87-FT_Y5,12)/FT_Int2)-IF(EDATE(AL87,FT_Y5)&lt;PolicyEff,FT_AnnivDays-1,0))),IF(AU87="PT",IF(BC87&lt;PT_First,0,1+INT((BC87-PT_First)/PT_Int)),0))-IF(AU87="FT",IF(BB87&lt;FT_First,0,IF(BB87&lt;FT_Y5,1+INT((BB87-FT_First)/FT_Int1),FT_PreY5+FT_PerYear*INT((BB87-FT_Y5)/12)+FT_AnnivDays+INT(MOD(BB87-FT_Y5,12)/FT_Int2)-IF(EDATE(AL87,FT_Y5)&lt;PolicyEff,FT_AnnivDays-1,0))),IF(AU87="PT",IF(BB87&lt;PT_First,0,1+INT((BB87-PT_First)/PT_Int)),0)),0)+IF(AND(AM87&gt;=3,AP87&lt;=PFYDate),IF(AV87="FT",IF(BA87&lt;FT_First,0,IF(BA87&lt;FT_Y5,1+INT((BA87-FT_First)/FT_Int1),FT_PreY5+FT_PerYear*INT((BA87-FT_Y5)/12)+FT_AnnivDays+INT(MOD(BA87-FT_Y5,12)/FT_Int2)-IF(EDATE(AL87,FT_Y5)&lt;PolicyEff,FT_AnnivDays-1,0))),IF(AV87="PT",IF(BA87&lt;PT_First,0,1+INT((BA87-PT_First)/PT_Int)),0))-IF(AV87="FT",IF(BC87&lt;FT_First,0,IF(BC87&lt;FT_Y5,1+INT((BC87-FT_First)/FT_Int1),FT_PreY5+FT_PerYear*INT((BC87-FT_Y5)/12)+FT_AnnivDays+INT(MOD(BC87-FT_Y5,12)/FT_Int2)-IF(EDATE(AL87,FT_Y5)&lt;PolicyEff,FT_AnnivDays-1,0))),IF(AV87="PT",IF(BC87&lt;PT_First,0,1+INT((BC87-PT_First)/PT_Int)),0)),0))</f>
        <v/>
      </c>
      <c r="BF87" s="16" t="str">
        <f aca="false">IF(AK87=0,"",IF(AW87="FT",IF(AX87&lt;FT_First,FT_First,IF(AX87&lt;FT_Y5,MIN(FT_Y5,FT_First+FT_Int1*(INT((AX87-FT_First)/FT_Int1)+1)),FT_Y5+12*INT((AX87-FT_Y5)/12)+FT_Int2*(INT(MOD(AX87-FT_Y5,12)/FT_Int2)+1))),IF(AW87="PT",IF(AX87&lt;PT_First,PT_First,PT_First+PT_Int*(INT((AX87-PT_First)/PT_Int)+1)),"")))</f>
        <v/>
      </c>
      <c r="BG87" s="16" t="str">
        <f aca="false">IF(AK87=0,"",IF(NOT(LH_Ready),0,COUNTIFS(INDEX(LH_Data,0,LH_ColFirst),$A87,INDEX(LH_Data,0,LH_ColSur),$B87,INDEX(LH_Data,0,LH_ColCat),BonusCat)))</f>
        <v/>
      </c>
      <c r="BH87" s="16" t="str">
        <f aca="false">IF(AK87=0,"",IF(OR(NOT(LH_Ready),BG87=0),0,SUMPRODUCT(MAX((INDEX(LH_Data,0,LH_ColFirst)=$A87)*(INDEX(LH_Data,0,LH_ColSur)=$B87)*(INDEX(LH_Data,0,LH_ColCat)=BonusCat)*ROW(LH_Data)))))</f>
        <v/>
      </c>
      <c r="BI87" s="16" t="str">
        <f aca="false">IF(AK87=0,"",IF(EOMONTH(AsOfDate,-1)&lt;AL87,-1,12*(YEAR(EOMONTH(AsOfDate,-1))-YEAR(AL87))+MONTH(EOMONTH(AsOfDate,-1))-MONTH(AL87)-IF(DAY(EOMONTH(AsOfDate,-1))&lt;MIN(DAY(AL87),DAY(EOMONTH(EOMONTH(AsOfDate,-1),0))),1,0)))</f>
        <v/>
      </c>
      <c r="BJ87" s="16" t="str">
        <f aca="false">IF(AK87=0,"",IF(OR(AM87&lt;2,AO87&gt;EOMONTH(AsOfDate,-1)),BI87,IF((AO87-1)&lt;AL87,-1,12*(YEAR((AO87-1))-YEAR(AL87))+MONTH((AO87-1))-MONTH(AL87)-IF(DAY((AO87-1))&lt;MIN(DAY(AL87),DAY(EOMONTH((AO87-1),0))),1,0))))</f>
        <v/>
      </c>
      <c r="BK87" s="16" t="str">
        <f aca="false">IF(AK87=0,"",IF(OR(AM87&lt;3,AP87&gt;EOMONTH(AsOfDate,-1)),BI87,IF((AP87-1)&lt;AL87,-1,12*(YEAR((AP87-1))-YEAR(AL87))+MONTH((AP87-1))-MONTH(AL87)-IF(DAY((AP87-1))&lt;MIN(DAY(AL87),DAY(EOMONTH((AP87-1),0))),1,0))))</f>
        <v/>
      </c>
      <c r="BL87" s="16" t="str">
        <f aca="false">IF(AK87=0,"",IF(AT87="FT",IF(BJ87&lt;FT_First,0,IF(BJ87&lt;FT_Y5,1+INT((BJ87-FT_First)/FT_Int1),FT_PreY5+FT_PerYear*INT((BJ87-FT_Y5)/12)+FT_AnnivDays+INT(MOD(BJ87-FT_Y5,12)/FT_Int2)-IF(EDATE(AL87,FT_Y5)&lt;PolicyEff,FT_AnnivDays-1,0))),IF(AT87="PT",IF(BJ87&lt;PT_First,0,1+INT((BJ87-PT_First)/PT_Int)),0))+IF(AND(AM87&gt;=2,AO87&lt;=EOMONTH(AsOfDate,-1)),IF(AU87="FT",IF(BK87&lt;FT_First,0,IF(BK87&lt;FT_Y5,1+INT((BK87-FT_First)/FT_Int1),FT_PreY5+FT_PerYear*INT((BK87-FT_Y5)/12)+FT_AnnivDays+INT(MOD(BK87-FT_Y5,12)/FT_Int2)-IF(EDATE(AL87,FT_Y5)&lt;PolicyEff,FT_AnnivDays-1,0))),IF(AU87="PT",IF(BK87&lt;PT_First,0,1+INT((BK87-PT_First)/PT_Int)),0))-IF(AU87="FT",IF(BJ87&lt;FT_First,0,IF(BJ87&lt;FT_Y5,1+INT((BJ87-FT_First)/FT_Int1),FT_PreY5+FT_PerYear*INT((BJ87-FT_Y5)/12)+FT_AnnivDays+INT(MOD(BJ87-FT_Y5,12)/FT_Int2)-IF(EDATE(AL87,FT_Y5)&lt;PolicyEff,FT_AnnivDays-1,0))),IF(AU87="PT",IF(BJ87&lt;PT_First,0,1+INT((BJ87-PT_First)/PT_Int)),0)),0)+IF(AND(AM87&gt;=3,AP87&lt;=EOMONTH(AsOfDate,-1)),IF(AV87="FT",IF(BI87&lt;FT_First,0,IF(BI87&lt;FT_Y5,1+INT((BI87-FT_First)/FT_Int1),FT_PreY5+FT_PerYear*INT((BI87-FT_Y5)/12)+FT_AnnivDays+INT(MOD(BI87-FT_Y5,12)/FT_Int2)-IF(EDATE(AL87,FT_Y5)&lt;PolicyEff,FT_AnnivDays-1,0))),IF(AV87="PT",IF(BI87&lt;PT_First,0,1+INT((BI87-PT_First)/PT_Int)),0))-IF(AV87="FT",IF(BK87&lt;FT_First,0,IF(BK87&lt;FT_Y5,1+INT((BK87-FT_First)/FT_Int1),FT_PreY5+FT_PerYear*INT((BK87-FT_Y5)/12)+FT_AnnivDays+INT(MOD(BK87-FT_Y5,12)/FT_Int2)-IF(EDATE(AL87,FT_Y5)&lt;PolicyEff,FT_AnnivDays-1,0))),IF(AV87="PT",IF(BK87&lt;PT_First,0,1+INT((BK87-PT_First)/PT_Int)),0)),0))</f>
        <v/>
      </c>
      <c r="BM87" s="16" t="str">
        <f aca="false">IF(AK87=0,"",IF(AW87="FT",IF(AX87&lt;FT_First,"",IF(AX87&lt;FT_Y5,FT_First+FT_Int1*INT((AX87-FT_First)/FT_Int1),FT_Y5+FT_Int2*INT((AX87-FT_Y5)/FT_Int2))),IF(AW87="PT",IF(AX87&lt;PT_First,"",PT_First+PT_Int*INT((AX87-PT_First)/PT_Int)),"")))</f>
        <v/>
      </c>
      <c r="BN87" s="16" t="str">
        <f aca="false">IF(AK87=0,"",IF((SchemeStart-1)&lt;AL87,-1,12*(YEAR((SchemeStart-1))-YEAR(AL87))+MONTH((SchemeStart-1))-MONTH(AL87)-IF(DAY((SchemeStart-1))&lt;MIN(DAY(AL87),DAY(EOMONTH((SchemeStart-1),0))),1,0)))</f>
        <v/>
      </c>
      <c r="BO87" s="16" t="str">
        <f aca="false">IF(AK87=0,"",IF(OR(AM87&lt;2,AO87&gt;(SchemeStart-1)),BN87,IF((AO87-1)&lt;AL87,-1,12*(YEAR((AO87-1))-YEAR(AL87))+MONTH((AO87-1))-MONTH(AL87)-IF(DAY((AO87-1))&lt;MIN(DAY(AL87),DAY(EOMONTH((AO87-1),0))),1,0))))</f>
        <v/>
      </c>
      <c r="BP87" s="16" t="str">
        <f aca="false">IF(AK87=0,"",IF(OR(AM87&lt;3,AP87&gt;(SchemeStart-1)),BN87,IF((AP87-1)&lt;AL87,-1,12*(YEAR((AP87-1))-YEAR(AL87))+MONTH((AP87-1))-MONTH(AL87)-IF(DAY((AP87-1))&lt;MIN(DAY(AL87),DAY(EOMONTH((AP87-1),0))),1,0))))</f>
        <v/>
      </c>
      <c r="BQ87" s="16" t="str">
        <f aca="false">IF(AK87=0,"",IF(AT87="FT",IF(BO87&lt;FT_First,0,IF(BO87&lt;FT_Y5,1+INT((BO87-FT_First)/FT_Int1),FT_PreY5+FT_PerYear*INT((BO87-FT_Y5)/12)+FT_AnnivDays+INT(MOD(BO87-FT_Y5,12)/FT_Int2)-IF(EDATE(AL87,FT_Y5)&lt;PolicyEff,FT_AnnivDays-1,0))),IF(AT87="PT",IF(BO87&lt;PT_First,0,1+INT((BO87-PT_First)/PT_Int)),0))+IF(AND(AM87&gt;=2,AO87&lt;=(SchemeStart-1)),IF(AU87="FT",IF(BP87&lt;FT_First,0,IF(BP87&lt;FT_Y5,1+INT((BP87-FT_First)/FT_Int1),FT_PreY5+FT_PerYear*INT((BP87-FT_Y5)/12)+FT_AnnivDays+INT(MOD(BP87-FT_Y5,12)/FT_Int2)-IF(EDATE(AL87,FT_Y5)&lt;PolicyEff,FT_AnnivDays-1,0))),IF(AU87="PT",IF(BP87&lt;PT_First,0,1+INT((BP87-PT_First)/PT_Int)),0))-IF(AU87="FT",IF(BO87&lt;FT_First,0,IF(BO87&lt;FT_Y5,1+INT((BO87-FT_First)/FT_Int1),FT_PreY5+FT_PerYear*INT((BO87-FT_Y5)/12)+FT_AnnivDays+INT(MOD(BO87-FT_Y5,12)/FT_Int2)-IF(EDATE(AL87,FT_Y5)&lt;PolicyEff,FT_AnnivDays-1,0))),IF(AU87="PT",IF(BO87&lt;PT_First,0,1+INT((BO87-PT_First)/PT_Int)),0)),0)+IF(AND(AM87&gt;=3,AP87&lt;=(SchemeStart-1)),IF(AV87="FT",IF(BN87&lt;FT_First,0,IF(BN87&lt;FT_Y5,1+INT((BN87-FT_First)/FT_Int1),FT_PreY5+FT_PerYear*INT((BN87-FT_Y5)/12)+FT_AnnivDays+INT(MOD(BN87-FT_Y5,12)/FT_Int2)-IF(EDATE(AL87,FT_Y5)&lt;PolicyEff,FT_AnnivDays-1,0))),IF(AV87="PT",IF(BN87&lt;PT_First,0,1+INT((BN87-PT_First)/PT_Int)),0))-IF(AV87="FT",IF(BP87&lt;FT_First,0,IF(BP87&lt;FT_Y5,1+INT((BP87-FT_First)/FT_Int1),FT_PreY5+FT_PerYear*INT((BP87-FT_Y5)/12)+FT_AnnivDays+INT(MOD(BP87-FT_Y5,12)/FT_Int2)-IF(EDATE(AL87,FT_Y5)&lt;PolicyEff,FT_AnnivDays-1,0))),IF(AV87="PT",IF(BP87&lt;PT_First,0,1+INT((BP87-PT_First)/PT_Int)),0)),0))</f>
        <v/>
      </c>
      <c r="BR87" s="0" t="str">
        <f aca="false">IF(LEN($A87&amp;$B87)=0,"",$A87&amp;" "&amp;$B87)</f>
        <v/>
      </c>
    </row>
    <row r="88" customFormat="false" ht="15" hidden="false" customHeight="false" outlineLevel="0" collapsed="false">
      <c r="A88" s="12"/>
      <c r="B88" s="12"/>
      <c r="C88" s="12"/>
      <c r="D88" s="13"/>
      <c r="E88" s="14" t="str">
        <f aca="false">IF(OR(AK88=0,$D88=""),"",DATE(YEAR(AsOfDate)+IF(DATE(YEAR(AsOfDate),MONTH($D88),DAY($D88))&lt;=AsOfDate,1,0),MONTH($D88),DAY($D88)))</f>
        <v/>
      </c>
      <c r="F88" s="13"/>
      <c r="G88" s="13"/>
      <c r="H88" s="13"/>
      <c r="I88" s="13"/>
      <c r="J88" s="13"/>
      <c r="K88" s="14" t="str">
        <f aca="false">IF(AK88=0,"",DATE(YEAR(AsOfDate)+IF(DATE(YEAR(AsOfDate),MONTH(AL88),DAY(AL88))&lt;=AsOfDate,1,0),MONTH(AL88),DAY(AL88)))</f>
        <v/>
      </c>
      <c r="L88" s="15" t="str">
        <f aca="false">IF(AK88=0,"",ROUND((AsOfDate-AL88)/365.25,1))</f>
        <v/>
      </c>
      <c r="M88" s="16" t="str">
        <f aca="false">IF(AK88=0,"",IF(AsOfDate&lt;AL88,"-",DATEDIF(AL88,AsOfDate,"y")&amp;"y "&amp;DATEDIF(AL88,AsOfDate,"ym")&amp;"m "&amp;DATEDIF(AL88,AsOfDate,"md")&amp;"d"))</f>
        <v/>
      </c>
      <c r="N88" s="17" t="str">
        <f aca="false">IF(AK88=0,"",O88*HoursPerDay)</f>
        <v/>
      </c>
      <c r="O88" s="17" t="str">
        <f aca="false">IF(AK88=0,"",MAX(0,BD88-BQ88))</f>
        <v/>
      </c>
      <c r="P88" s="18"/>
      <c r="Q88" s="16" t="str">
        <f aca="false">IF(AK88=0,"",IF(AM88&lt;2,"",AQ88&amp;" to "&amp;AR88&amp;" on "&amp;TEXT(AO88,"dd/mm/yyyy")&amp;IF(AO88&gt;AsOfDate," (future)",IF(AT88=AU88,"",IF(AU88="None"," - STOPPED accruing",IF(AT88="None"," - commencement for Bonus Leave"," - pathway changed"))))&amp;IF(AM88&lt;3,"","; "&amp;AR88&amp;" to "&amp;AS88&amp;" on "&amp;TEXT(AP88,"dd/mm/yyyy")&amp;IF(AP88&gt;AsOfDate," (future)",IF(AU88=AV88,"",IF(AV88="None"," - STOPPED accruing",IF(AU88="None"," - commencement for Bonus Leave"," - pathway changed")))))))</f>
        <v/>
      </c>
      <c r="R88" s="16" t="str">
        <f aca="false">IF(AK88=0,"",IF(AW88="None",IF(O88&gt;0,"No longer accruing","Not eligible - "&amp;IF(AND(OR(ISNUMBER(SEARCH("part",$C88)),UPPER(TRIM($C88))="PT",UPPER(TRIM($C88))="PTE"),Apply2026="No"),"part-time (scheme is full-time only)",IF(AND(OR(ISNUMBER(SEARCH("part",$C88)),UPPER(TRIM($C88))="PT",UPPER(TRIM($C88))="PTE"),$P88&lt;&gt;"",N($P88)&lt;PT_MinHours),"under "&amp;PT_MinHours&amp;" hrs",IF(IF($C88="","",IF(OR(ISNUMBER(SEARCH("full",$C88)),UPPER(TRIM($C88))="FT",UPPER(TRIM($C88))="FTE"),"Full-Time",IF(OR(ISNUMBER(SEARCH("part",$C88)),UPPER(TRIM($C88))="PT",UPPER(TRIM($C88))="PTE"),"Part-Time",IF(OR(ISNUMBER(SEARCH("cas",$C88)),UPPER(TRIM($C88))="CAS"),"Casual","Unknown"))))="Unknown","type not recognised",$C88)))),IF(O88&gt;0,"Yes - Accrual Required","Not yet - from "&amp;TEXT(S88,"dd/mm/yyyy"))))</f>
        <v/>
      </c>
      <c r="S88" s="14" t="str">
        <f aca="false">IF(AK88=0,"",IF(AW88="None","",EDATE(AL88,BF88)))</f>
        <v/>
      </c>
      <c r="T88" s="17" t="str">
        <f aca="false">IF(AK88=0,"",IF(NOT(LH_Ready),"",IF($F88&gt;PFYDate,0,IF(LH_ColPeriod=0,W88-U88+V88,SUMIFS(INDEX(LH_Data,0,LH_ColAcc),INDEX(LH_Data,0,LH_ColFirst),$A88,INDEX(LH_Data,0,LH_ColSur),$B88,INDEX(LH_Data,0,LH_ColCat),BonusCat,INDEX(LH_Data,0,LH_ColPeriod),LH_OpenLabel)*UnitFactor))))</f>
        <v/>
      </c>
      <c r="U88" s="17" t="str">
        <f aca="false">IF(AK88=0,"",IF(NOT(LH_Ready),"",SUMIFS(INDEX(LH_Data,0,LH_ColAcc),INDEX(LH_Data,0,LH_ColFirst),$A88,INDEX(LH_Data,0,LH_ColSur),$B88,INDEX(LH_Data,0,LH_ColCat),BonusCat,INDEX(LH_Data,0,LH_ColStart),"&gt;="&amp;AL88)*UnitFactor))</f>
        <v/>
      </c>
      <c r="V88" s="17" t="str">
        <f aca="false">IF(AK88=0,"",IF(NOT(LH_Ready),"",SUMIFS(INDEX(LH_Data,0,LH_ColTaken),INDEX(LH_Data,0,LH_ColFirst),$A88,INDEX(LH_Data,0,LH_ColSur),$B88,INDEX(LH_Data,0,LH_ColCat),BonusCat,INDEX(LH_Data,0,LH_ColStart),"&gt;="&amp;AL88)*UnitFactor))</f>
        <v/>
      </c>
      <c r="W88" s="17" t="str">
        <f aca="false">IF(AK88=0,"",IF(NOT(LH_Ready),"",IF(BH88=0,0,INDEX(INDEX(LH_Data,0,LH_ColClose),BH88-1)*UnitFactor)))</f>
        <v/>
      </c>
      <c r="X88" s="17" t="str">
        <f aca="false">IF(AK88=0,"",(MAX(0,BD88-BQ88)-MAX(0,BE88-BQ88))*HoursPerDay)</f>
        <v/>
      </c>
      <c r="Y88" s="17" t="str">
        <f aca="false">IF(AK88=0,"",IF(NOT(LH_Ready),"",IF($AI88="Yes",N(AE88)*HoursPerDay-SUMIFS(INDEX(LH_Data,0,LH_ColAcc),INDEX(LH_Data,0,LH_ColFirst),$A88,INDEX(LH_Data,0,LH_ColSur),$B88,INDEX(LH_Data,0,LH_ColCat),BonusCat,INDEX(LH_Data,0,LH_ColStart),"&gt;="&amp;(EOMONTH(AsOfDate,-1)+1),INDEX(LH_Data,0,LH_ColStart),"&lt;="&amp;AsOfDate)*UnitFactor,IF(BG88=0,N88,N88-N(T88)-N(U88)))))</f>
        <v/>
      </c>
      <c r="Z88" s="16" t="str">
        <f aca="false">IF(OR(AK88=0,Y88=""),"",IF(Y88&gt;0,"Yes","No"))</f>
        <v/>
      </c>
      <c r="AA88" s="16" t="str">
        <f aca="false">IF(AK88=0,IF(LEN($A88&amp;$B88)=0,"","FIX INPUT - StartDate missing"),IF(AD88&lt;&gt;"","FIX INPUT - "&amp;AD88,IF(NOT(LH_Ready),"Paste Leave History export (Settings must show YES)",IF(AND($AI88="Yes",Y88&lt;=0),"OK - EH balance accepted to date"&amp;IF(N(AH88)&gt;0," (EH holds "&amp;AH88&amp;" hrs over the scheme)","")&amp;"; next day "&amp;TEXT(S88,"dd mmm yy")&amp;IF(N(AE88)&gt;0," ("&amp;AE88&amp;" day(s) for "&amp;UPPER(TEXT(AsOfDate,"mmm yyyy"))&amp;" already in EH)",""),IF(Y88&gt;0,"ACCRUE "&amp;ROUND(Y88,2)&amp;" hrs ("&amp;ROUND(Y88/HoursPerDay,2)&amp;" days): "&amp;IF(N(AE88)&gt;0,AE88&amp;" day(s) for "&amp;UPPER(TEXT(AsOfDate,"mmm yyyy"))&amp;" (milestone "&amp;UPPER(TEXT(AF88,"dd mmm yy"))&amp;")"&amp;IF(Y88/HoursPerDay&gt;AE88+0.001," + "&amp;ROUND(Y88/HoursPerDay-AE88,2)&amp;" day(s) catch-up from earlier months",""),"all catch-up from earlier months, nothing new this month")&amp;IF(BG88=0,"; no Bonus Leave in EH yet",""),IF(Y88&lt;0,"CHECK - EH accrued "&amp;ROUND(-Y88,2)&amp;" hrs more than policy since commencement",IF(N(W88)&gt;O88*HoursPerDay+0.01,"CHECK - EH balance "&amp;ROUND(W88-O88*HoursPerDay,2)&amp;" hrs more than policy entitlement",IF(O88&gt;0,"OK - nothing to add"&amp;IF(N(AE88)&gt;0," ("&amp;AE88&amp;" day(s) for "&amp;UPPER(TEXT(AsOfDate,"mmm yyyy"))&amp;" already in EH)",""),IF(AW88="None",R88,"Not yet - first day on "&amp;TEXT(S88,"dd/mm/yyyy"))))))))))</f>
        <v/>
      </c>
      <c r="AB88" s="17" t="str">
        <f aca="false">IF(OR(AK88=0,T88=""),"",MAX(0,BE88-BQ88)*HoursPerDay-T88)</f>
        <v/>
      </c>
      <c r="AC88" s="16" t="str">
        <f aca="false">IF(AK88=0,"",BG88)</f>
        <v/>
      </c>
      <c r="AD88" s="16" t="str">
        <f aca="false">IF(AK88=0,"",TRIM(IF(OR(ISTEXT($F88),ISTEXT($H88),ISTEXT($I88),ISTEXT($G88),ISTEXT($J88),ISTEXT($D88)),"A date is typed as text - retype it as dd/mm/yyyy. ","")&amp;IF(IF($C88="","",IF(OR(ISNUMBER(SEARCH("full",$C88)),UPPER(TRIM($C88))="FT",UPPER(TRIM($C88))="FTE"),"Full-Time",IF(OR(ISNUMBER(SEARCH("part",$C88)),UPPER(TRIM($C88))="PT",UPPER(TRIM($C88))="PTE"),"Part-Time",IF(OR(ISNUMBER(SEARCH("cas",$C88)),UPPER(TRIM($C88))="CAS"),"Casual","Unknown"))))="Unknown","EmploymentType not recognised - use Full-Time, Part-Time or Casual. ","")&amp;IF(AND(AM88&gt;=1,IF(AM88&gt;=3,AS88,IF(AM88=2,AR88,AQ88))&lt;&gt;IF($C88="","",IF(OR(ISNUMBER(SEARCH("full",$C88)),UPPER(TRIM($C88))="FT",UPPER(TRIM($C88))="FTE"),"Full-Time",IF(OR(ISNUMBER(SEARCH("part",$C88)),UPPER(TRIM($C88))="PT",UPPER(TRIM($C88))="PTE"),"Part-Time",IF(OR(ISNUMBER(SEARCH("cas",$C88)),UPPER(TRIM($C88))="CAS"),"Casual","Unknown"))))),"EmploymentType does not match latest start date ("&amp;IF(AM88&gt;=3,AS88,IF(AM88=2,AR88,AQ88))&amp;"). ","")&amp;IF(AND(AM88&gt;=1,AN88&lt;&gt;$F88),"Earliest type date should equal StartDate. ","")&amp;IF(AND(AM88&gt;=2,AN88=AO88),"Two types start on the same date. ","")&amp;IF(AND(OR(ISNUMBER(SEARCH("part",$C88)),UPPER(TRIM($C88))="PT",UPPER(TRIM($C88))="PTE"),$P88=""),"Part-time: enter PT Hrs/Week (blank = 24+). ","")))</f>
        <v/>
      </c>
      <c r="AE88" s="17" t="str">
        <f aca="false">IF(AK88=0,"",O88-MAX(0,BL88-BQ88))</f>
        <v/>
      </c>
      <c r="AF88" s="14" t="str">
        <f aca="false">IF(OR(AK88=0,AE88="",N(AE88)=0,BM88=""),"",EDATE(AL88,BM88))</f>
        <v/>
      </c>
      <c r="AG88" s="17" t="str">
        <f aca="false">IF(AK88=0,"",MIN(BD88,BQ88))</f>
        <v/>
      </c>
      <c r="AH88" s="17" t="str">
        <f aca="false">IF(AK88=0,"",IF(NOT(LH_Ready),"",IF(BG88=0,0,MAX(0,ROUND(N(T88)+N(U88)-N88,2)))))</f>
        <v/>
      </c>
      <c r="AI88" s="12"/>
      <c r="AJ88" s="12"/>
      <c r="AK88" s="16" t="n">
        <f aca="false">IF(OR(LEN($A88&amp;$B88)=0,$F88=""),0,1)</f>
        <v>0</v>
      </c>
      <c r="AL88" s="14" t="str">
        <f aca="false">IF(AK88=0,"",IF(PreSchemeCounts="No",MAX(SchemeStart,IF($J88&lt;&gt;"",$J88,IF(OR(CasualCounts="Yes",COUNT($G88:$I88)=0),$F88,IF(Apply2026="No",IF($I88="",$F88,$I88),IF(COUNT($H88:$I88)=0,$F88,MIN($H88:$I88)))))),IF($J88&lt;&gt;"",$J88,IF(OR(CasualCounts="Yes",COUNT($G88:$I88)=0),$F88,IF(Apply2026="No",IF($I88="",$F88,$I88),IF(COUNT($H88:$I88)=0,$F88,MIN($H88:$I88)))))))</f>
        <v/>
      </c>
      <c r="AM88" s="16" t="str">
        <f aca="false">IF(AK88=0,"",COUNT($G88:$I88))</f>
        <v/>
      </c>
      <c r="AN88" s="14" t="str">
        <f aca="false">IF(AK88=0,"",IFERROR(SMALL($G88:$I88,1),""))</f>
        <v/>
      </c>
      <c r="AO88" s="14" t="str">
        <f aca="false">IF(AK88=0,"",IFERROR(SMALL($G88:$I88,2),""))</f>
        <v/>
      </c>
      <c r="AP88" s="14" t="str">
        <f aca="false">IF(AK88=0,"",IFERROR(SMALL($G88:$I88,3),""))</f>
        <v/>
      </c>
      <c r="AQ88" s="16" t="str">
        <f aca="false">IF(AK88=0,"",IF(AN88="","",IF(AN88=$H88,"Part-Time",IF(AN88=$I88,"Full-Time","Casual"))))</f>
        <v/>
      </c>
      <c r="AR88" s="16" t="str">
        <f aca="false">IF(AK88=0,"",IF(AO88="","",IF(AO88=$H88,"Part-Time",IF(AO88=$I88,"Full-Time","Casual"))))</f>
        <v/>
      </c>
      <c r="AS88" s="16" t="str">
        <f aca="false">IF(AK88=0,"",IF(AP88="","",IF(AP88=$H88,"Part-Time",IF(AP88=$I88,"Full-Time","Casual"))))</f>
        <v/>
      </c>
      <c r="AT88" s="16" t="str">
        <f aca="false">IF(AK88=0,"",IF(AM88=0,IF(OR(ISNUMBER(SEARCH("full",$C88)),UPPER(TRIM($C88))="FT",UPPER(TRIM($C88))="FTE"),"FT",IF(AND(OR(ISNUMBER(SEARCH("part",$C88)),UPPER(TRIM($C88))="PT",UPPER(TRIM($C88))="PTE"),Apply2026="Yes",OR($P88="",N($P88)&gt;=PT_MinHours)),"PT","None")),IF(OR(ISNUMBER(SEARCH("full",AQ88)),UPPER(TRIM(AQ88))="FT",UPPER(TRIM(AQ88))="FTE"),"FT",IF(AND(OR(ISNUMBER(SEARCH("part",AQ88)),UPPER(TRIM(AQ88))="PT",UPPER(TRIM(AQ88))="PTE"),Apply2026="Yes",OR($P88="",N($P88)&gt;=PT_MinHours)),"PT","None"))))</f>
        <v/>
      </c>
      <c r="AU88" s="16" t="str">
        <f aca="false">IF(AK88=0,"",IF(AM88&lt;2,"",IF(OR(ISNUMBER(SEARCH("full",AR88)),UPPER(TRIM(AR88))="FT",UPPER(TRIM(AR88))="FTE"),"FT",IF(AND(OR(ISNUMBER(SEARCH("part",AR88)),UPPER(TRIM(AR88))="PT",UPPER(TRIM(AR88))="PTE"),Apply2026="Yes",OR($P88="",N($P88)&gt;=PT_MinHours)),"PT","None"))))</f>
        <v/>
      </c>
      <c r="AV88" s="16" t="str">
        <f aca="false">IF(AK88=0,"",IF(AM88&lt;3,"",IF(OR(ISNUMBER(SEARCH("full",AS88)),UPPER(TRIM(AS88))="FT",UPPER(TRIM(AS88))="FTE"),"FT",IF(AND(OR(ISNUMBER(SEARCH("part",AS88)),UPPER(TRIM(AS88))="PT",UPPER(TRIM(AS88))="PTE"),Apply2026="Yes",OR($P88="",N($P88)&gt;=PT_MinHours)),"PT","None"))))</f>
        <v/>
      </c>
      <c r="AW88" s="16" t="str">
        <f aca="false">IF(AK88=0,"",IF(AND(AM88&gt;=3,AP88&lt;=AsOfDate),AV88,IF(AND(AM88&gt;=2,AO88&lt;=AsOfDate),AU88,AT88)))</f>
        <v/>
      </c>
      <c r="AX88" s="16" t="str">
        <f aca="false">IF(AK88=0,"",IF(AsOfDate&lt;AL88,-1,12*(YEAR(AsOfDate)-YEAR(AL88))+MONTH(AsOfDate)-MONTH(AL88)-IF(DAY(AsOfDate)&lt;MIN(DAY(AL88),DAY(EOMONTH(AsOfDate,0))),1,0)))</f>
        <v/>
      </c>
      <c r="AY88" s="16" t="str">
        <f aca="false">IF(AK88=0,"",IF(OR(AM88&lt;2,AO88&gt;AsOfDate),AX88,IF((AO88-1)&lt;AL88,-1,12*(YEAR((AO88-1))-YEAR(AL88))+MONTH((AO88-1))-MONTH(AL88)-IF(DAY((AO88-1))&lt;MIN(DAY(AL88),DAY(EOMONTH((AO88-1),0))),1,0))))</f>
        <v/>
      </c>
      <c r="AZ88" s="16" t="str">
        <f aca="false">IF(AK88=0,"",IF(OR(AM88&lt;3,AP88&gt;AsOfDate),AX88,IF((AP88-1)&lt;AL88,-1,12*(YEAR((AP88-1))-YEAR(AL88))+MONTH((AP88-1))-MONTH(AL88)-IF(DAY((AP88-1))&lt;MIN(DAY(AL88),DAY(EOMONTH((AP88-1),0))),1,0))))</f>
        <v/>
      </c>
      <c r="BA88" s="16" t="str">
        <f aca="false">IF(AK88=0,"",IF(PFYDate&lt;AL88,-1,12*(YEAR(PFYDate)-YEAR(AL88))+MONTH(PFYDate)-MONTH(AL88)-IF(DAY(PFYDate)&lt;MIN(DAY(AL88),DAY(EOMONTH(PFYDate,0))),1,0)))</f>
        <v/>
      </c>
      <c r="BB88" s="16" t="str">
        <f aca="false">IF(AK88=0,"",IF(OR(AM88&lt;2,AO88&gt;PFYDate),BA88,IF((AO88-1)&lt;AL88,-1,12*(YEAR((AO88-1))-YEAR(AL88))+MONTH((AO88-1))-MONTH(AL88)-IF(DAY((AO88-1))&lt;MIN(DAY(AL88),DAY(EOMONTH((AO88-1),0))),1,0))))</f>
        <v/>
      </c>
      <c r="BC88" s="16" t="str">
        <f aca="false">IF(AK88=0,"",IF(OR(AM88&lt;3,AP88&gt;PFYDate),BA88,IF((AP88-1)&lt;AL88,-1,12*(YEAR((AP88-1))-YEAR(AL88))+MONTH((AP88-1))-MONTH(AL88)-IF(DAY((AP88-1))&lt;MIN(DAY(AL88),DAY(EOMONTH((AP88-1),0))),1,0))))</f>
        <v/>
      </c>
      <c r="BD88" s="16" t="str">
        <f aca="false">IF(AK88=0,"",IF(AT88="FT",IF(AY88&lt;FT_First,0,IF(AY88&lt;FT_Y5,1+INT((AY88-FT_First)/FT_Int1),FT_PreY5+FT_PerYear*INT((AY88-FT_Y5)/12)+FT_AnnivDays+INT(MOD(AY88-FT_Y5,12)/FT_Int2)-IF(EDATE(AL88,FT_Y5)&lt;PolicyEff,FT_AnnivDays-1,0))),IF(AT88="PT",IF(AY88&lt;PT_First,0,1+INT((AY88-PT_First)/PT_Int)),0))+IF(AND(AM88&gt;=2,AO88&lt;=AsOfDate),IF(AU88="FT",IF(AZ88&lt;FT_First,0,IF(AZ88&lt;FT_Y5,1+INT((AZ88-FT_First)/FT_Int1),FT_PreY5+FT_PerYear*INT((AZ88-FT_Y5)/12)+FT_AnnivDays+INT(MOD(AZ88-FT_Y5,12)/FT_Int2)-IF(EDATE(AL88,FT_Y5)&lt;PolicyEff,FT_AnnivDays-1,0))),IF(AU88="PT",IF(AZ88&lt;PT_First,0,1+INT((AZ88-PT_First)/PT_Int)),0))-IF(AU88="FT",IF(AY88&lt;FT_First,0,IF(AY88&lt;FT_Y5,1+INT((AY88-FT_First)/FT_Int1),FT_PreY5+FT_PerYear*INT((AY88-FT_Y5)/12)+FT_AnnivDays+INT(MOD(AY88-FT_Y5,12)/FT_Int2)-IF(EDATE(AL88,FT_Y5)&lt;PolicyEff,FT_AnnivDays-1,0))),IF(AU88="PT",IF(AY88&lt;PT_First,0,1+INT((AY88-PT_First)/PT_Int)),0)),0)+IF(AND(AM88&gt;=3,AP88&lt;=AsOfDate),IF(AV88="FT",IF(AX88&lt;FT_First,0,IF(AX88&lt;FT_Y5,1+INT((AX88-FT_First)/FT_Int1),FT_PreY5+FT_PerYear*INT((AX88-FT_Y5)/12)+FT_AnnivDays+INT(MOD(AX88-FT_Y5,12)/FT_Int2)-IF(EDATE(AL88,FT_Y5)&lt;PolicyEff,FT_AnnivDays-1,0))),IF(AV88="PT",IF(AX88&lt;PT_First,0,1+INT((AX88-PT_First)/PT_Int)),0))-IF(AV88="FT",IF(AZ88&lt;FT_First,0,IF(AZ88&lt;FT_Y5,1+INT((AZ88-FT_First)/FT_Int1),FT_PreY5+FT_PerYear*INT((AZ88-FT_Y5)/12)+FT_AnnivDays+INT(MOD(AZ88-FT_Y5,12)/FT_Int2)-IF(EDATE(AL88,FT_Y5)&lt;PolicyEff,FT_AnnivDays-1,0))),IF(AV88="PT",IF(AZ88&lt;PT_First,0,1+INT((AZ88-PT_First)/PT_Int)),0)),0))</f>
        <v/>
      </c>
      <c r="BE88" s="16" t="str">
        <f aca="false">IF(AK88=0,"",IF(AT88="FT",IF(BB88&lt;FT_First,0,IF(BB88&lt;FT_Y5,1+INT((BB88-FT_First)/FT_Int1),FT_PreY5+FT_PerYear*INT((BB88-FT_Y5)/12)+FT_AnnivDays+INT(MOD(BB88-FT_Y5,12)/FT_Int2)-IF(EDATE(AL88,FT_Y5)&lt;PolicyEff,FT_AnnivDays-1,0))),IF(AT88="PT",IF(BB88&lt;PT_First,0,1+INT((BB88-PT_First)/PT_Int)),0))+IF(AND(AM88&gt;=2,AO88&lt;=PFYDate),IF(AU88="FT",IF(BC88&lt;FT_First,0,IF(BC88&lt;FT_Y5,1+INT((BC88-FT_First)/FT_Int1),FT_PreY5+FT_PerYear*INT((BC88-FT_Y5)/12)+FT_AnnivDays+INT(MOD(BC88-FT_Y5,12)/FT_Int2)-IF(EDATE(AL88,FT_Y5)&lt;PolicyEff,FT_AnnivDays-1,0))),IF(AU88="PT",IF(BC88&lt;PT_First,0,1+INT((BC88-PT_First)/PT_Int)),0))-IF(AU88="FT",IF(BB88&lt;FT_First,0,IF(BB88&lt;FT_Y5,1+INT((BB88-FT_First)/FT_Int1),FT_PreY5+FT_PerYear*INT((BB88-FT_Y5)/12)+FT_AnnivDays+INT(MOD(BB88-FT_Y5,12)/FT_Int2)-IF(EDATE(AL88,FT_Y5)&lt;PolicyEff,FT_AnnivDays-1,0))),IF(AU88="PT",IF(BB88&lt;PT_First,0,1+INT((BB88-PT_First)/PT_Int)),0)),0)+IF(AND(AM88&gt;=3,AP88&lt;=PFYDate),IF(AV88="FT",IF(BA88&lt;FT_First,0,IF(BA88&lt;FT_Y5,1+INT((BA88-FT_First)/FT_Int1),FT_PreY5+FT_PerYear*INT((BA88-FT_Y5)/12)+FT_AnnivDays+INT(MOD(BA88-FT_Y5,12)/FT_Int2)-IF(EDATE(AL88,FT_Y5)&lt;PolicyEff,FT_AnnivDays-1,0))),IF(AV88="PT",IF(BA88&lt;PT_First,0,1+INT((BA88-PT_First)/PT_Int)),0))-IF(AV88="FT",IF(BC88&lt;FT_First,0,IF(BC88&lt;FT_Y5,1+INT((BC88-FT_First)/FT_Int1),FT_PreY5+FT_PerYear*INT((BC88-FT_Y5)/12)+FT_AnnivDays+INT(MOD(BC88-FT_Y5,12)/FT_Int2)-IF(EDATE(AL88,FT_Y5)&lt;PolicyEff,FT_AnnivDays-1,0))),IF(AV88="PT",IF(BC88&lt;PT_First,0,1+INT((BC88-PT_First)/PT_Int)),0)),0))</f>
        <v/>
      </c>
      <c r="BF88" s="16" t="str">
        <f aca="false">IF(AK88=0,"",IF(AW88="FT",IF(AX88&lt;FT_First,FT_First,IF(AX88&lt;FT_Y5,MIN(FT_Y5,FT_First+FT_Int1*(INT((AX88-FT_First)/FT_Int1)+1)),FT_Y5+12*INT((AX88-FT_Y5)/12)+FT_Int2*(INT(MOD(AX88-FT_Y5,12)/FT_Int2)+1))),IF(AW88="PT",IF(AX88&lt;PT_First,PT_First,PT_First+PT_Int*(INT((AX88-PT_First)/PT_Int)+1)),"")))</f>
        <v/>
      </c>
      <c r="BG88" s="16" t="str">
        <f aca="false">IF(AK88=0,"",IF(NOT(LH_Ready),0,COUNTIFS(INDEX(LH_Data,0,LH_ColFirst),$A88,INDEX(LH_Data,0,LH_ColSur),$B88,INDEX(LH_Data,0,LH_ColCat),BonusCat)))</f>
        <v/>
      </c>
      <c r="BH88" s="16" t="str">
        <f aca="false">IF(AK88=0,"",IF(OR(NOT(LH_Ready),BG88=0),0,SUMPRODUCT(MAX((INDEX(LH_Data,0,LH_ColFirst)=$A88)*(INDEX(LH_Data,0,LH_ColSur)=$B88)*(INDEX(LH_Data,0,LH_ColCat)=BonusCat)*ROW(LH_Data)))))</f>
        <v/>
      </c>
      <c r="BI88" s="16" t="str">
        <f aca="false">IF(AK88=0,"",IF(EOMONTH(AsOfDate,-1)&lt;AL88,-1,12*(YEAR(EOMONTH(AsOfDate,-1))-YEAR(AL88))+MONTH(EOMONTH(AsOfDate,-1))-MONTH(AL88)-IF(DAY(EOMONTH(AsOfDate,-1))&lt;MIN(DAY(AL88),DAY(EOMONTH(EOMONTH(AsOfDate,-1),0))),1,0)))</f>
        <v/>
      </c>
      <c r="BJ88" s="16" t="str">
        <f aca="false">IF(AK88=0,"",IF(OR(AM88&lt;2,AO88&gt;EOMONTH(AsOfDate,-1)),BI88,IF((AO88-1)&lt;AL88,-1,12*(YEAR((AO88-1))-YEAR(AL88))+MONTH((AO88-1))-MONTH(AL88)-IF(DAY((AO88-1))&lt;MIN(DAY(AL88),DAY(EOMONTH((AO88-1),0))),1,0))))</f>
        <v/>
      </c>
      <c r="BK88" s="16" t="str">
        <f aca="false">IF(AK88=0,"",IF(OR(AM88&lt;3,AP88&gt;EOMONTH(AsOfDate,-1)),BI88,IF((AP88-1)&lt;AL88,-1,12*(YEAR((AP88-1))-YEAR(AL88))+MONTH((AP88-1))-MONTH(AL88)-IF(DAY((AP88-1))&lt;MIN(DAY(AL88),DAY(EOMONTH((AP88-1),0))),1,0))))</f>
        <v/>
      </c>
      <c r="BL88" s="16" t="str">
        <f aca="false">IF(AK88=0,"",IF(AT88="FT",IF(BJ88&lt;FT_First,0,IF(BJ88&lt;FT_Y5,1+INT((BJ88-FT_First)/FT_Int1),FT_PreY5+FT_PerYear*INT((BJ88-FT_Y5)/12)+FT_AnnivDays+INT(MOD(BJ88-FT_Y5,12)/FT_Int2)-IF(EDATE(AL88,FT_Y5)&lt;PolicyEff,FT_AnnivDays-1,0))),IF(AT88="PT",IF(BJ88&lt;PT_First,0,1+INT((BJ88-PT_First)/PT_Int)),0))+IF(AND(AM88&gt;=2,AO88&lt;=EOMONTH(AsOfDate,-1)),IF(AU88="FT",IF(BK88&lt;FT_First,0,IF(BK88&lt;FT_Y5,1+INT((BK88-FT_First)/FT_Int1),FT_PreY5+FT_PerYear*INT((BK88-FT_Y5)/12)+FT_AnnivDays+INT(MOD(BK88-FT_Y5,12)/FT_Int2)-IF(EDATE(AL88,FT_Y5)&lt;PolicyEff,FT_AnnivDays-1,0))),IF(AU88="PT",IF(BK88&lt;PT_First,0,1+INT((BK88-PT_First)/PT_Int)),0))-IF(AU88="FT",IF(BJ88&lt;FT_First,0,IF(BJ88&lt;FT_Y5,1+INT((BJ88-FT_First)/FT_Int1),FT_PreY5+FT_PerYear*INT((BJ88-FT_Y5)/12)+FT_AnnivDays+INT(MOD(BJ88-FT_Y5,12)/FT_Int2)-IF(EDATE(AL88,FT_Y5)&lt;PolicyEff,FT_AnnivDays-1,0))),IF(AU88="PT",IF(BJ88&lt;PT_First,0,1+INT((BJ88-PT_First)/PT_Int)),0)),0)+IF(AND(AM88&gt;=3,AP88&lt;=EOMONTH(AsOfDate,-1)),IF(AV88="FT",IF(BI88&lt;FT_First,0,IF(BI88&lt;FT_Y5,1+INT((BI88-FT_First)/FT_Int1),FT_PreY5+FT_PerYear*INT((BI88-FT_Y5)/12)+FT_AnnivDays+INT(MOD(BI88-FT_Y5,12)/FT_Int2)-IF(EDATE(AL88,FT_Y5)&lt;PolicyEff,FT_AnnivDays-1,0))),IF(AV88="PT",IF(BI88&lt;PT_First,0,1+INT((BI88-PT_First)/PT_Int)),0))-IF(AV88="FT",IF(BK88&lt;FT_First,0,IF(BK88&lt;FT_Y5,1+INT((BK88-FT_First)/FT_Int1),FT_PreY5+FT_PerYear*INT((BK88-FT_Y5)/12)+FT_AnnivDays+INT(MOD(BK88-FT_Y5,12)/FT_Int2)-IF(EDATE(AL88,FT_Y5)&lt;PolicyEff,FT_AnnivDays-1,0))),IF(AV88="PT",IF(BK88&lt;PT_First,0,1+INT((BK88-PT_First)/PT_Int)),0)),0))</f>
        <v/>
      </c>
      <c r="BM88" s="16" t="str">
        <f aca="false">IF(AK88=0,"",IF(AW88="FT",IF(AX88&lt;FT_First,"",IF(AX88&lt;FT_Y5,FT_First+FT_Int1*INT((AX88-FT_First)/FT_Int1),FT_Y5+FT_Int2*INT((AX88-FT_Y5)/FT_Int2))),IF(AW88="PT",IF(AX88&lt;PT_First,"",PT_First+PT_Int*INT((AX88-PT_First)/PT_Int)),"")))</f>
        <v/>
      </c>
      <c r="BN88" s="16" t="str">
        <f aca="false">IF(AK88=0,"",IF((SchemeStart-1)&lt;AL88,-1,12*(YEAR((SchemeStart-1))-YEAR(AL88))+MONTH((SchemeStart-1))-MONTH(AL88)-IF(DAY((SchemeStart-1))&lt;MIN(DAY(AL88),DAY(EOMONTH((SchemeStart-1),0))),1,0)))</f>
        <v/>
      </c>
      <c r="BO88" s="16" t="str">
        <f aca="false">IF(AK88=0,"",IF(OR(AM88&lt;2,AO88&gt;(SchemeStart-1)),BN88,IF((AO88-1)&lt;AL88,-1,12*(YEAR((AO88-1))-YEAR(AL88))+MONTH((AO88-1))-MONTH(AL88)-IF(DAY((AO88-1))&lt;MIN(DAY(AL88),DAY(EOMONTH((AO88-1),0))),1,0))))</f>
        <v/>
      </c>
      <c r="BP88" s="16" t="str">
        <f aca="false">IF(AK88=0,"",IF(OR(AM88&lt;3,AP88&gt;(SchemeStart-1)),BN88,IF((AP88-1)&lt;AL88,-1,12*(YEAR((AP88-1))-YEAR(AL88))+MONTH((AP88-1))-MONTH(AL88)-IF(DAY((AP88-1))&lt;MIN(DAY(AL88),DAY(EOMONTH((AP88-1),0))),1,0))))</f>
        <v/>
      </c>
      <c r="BQ88" s="16" t="str">
        <f aca="false">IF(AK88=0,"",IF(AT88="FT",IF(BO88&lt;FT_First,0,IF(BO88&lt;FT_Y5,1+INT((BO88-FT_First)/FT_Int1),FT_PreY5+FT_PerYear*INT((BO88-FT_Y5)/12)+FT_AnnivDays+INT(MOD(BO88-FT_Y5,12)/FT_Int2)-IF(EDATE(AL88,FT_Y5)&lt;PolicyEff,FT_AnnivDays-1,0))),IF(AT88="PT",IF(BO88&lt;PT_First,0,1+INT((BO88-PT_First)/PT_Int)),0))+IF(AND(AM88&gt;=2,AO88&lt;=(SchemeStart-1)),IF(AU88="FT",IF(BP88&lt;FT_First,0,IF(BP88&lt;FT_Y5,1+INT((BP88-FT_First)/FT_Int1),FT_PreY5+FT_PerYear*INT((BP88-FT_Y5)/12)+FT_AnnivDays+INT(MOD(BP88-FT_Y5,12)/FT_Int2)-IF(EDATE(AL88,FT_Y5)&lt;PolicyEff,FT_AnnivDays-1,0))),IF(AU88="PT",IF(BP88&lt;PT_First,0,1+INT((BP88-PT_First)/PT_Int)),0))-IF(AU88="FT",IF(BO88&lt;FT_First,0,IF(BO88&lt;FT_Y5,1+INT((BO88-FT_First)/FT_Int1),FT_PreY5+FT_PerYear*INT((BO88-FT_Y5)/12)+FT_AnnivDays+INT(MOD(BO88-FT_Y5,12)/FT_Int2)-IF(EDATE(AL88,FT_Y5)&lt;PolicyEff,FT_AnnivDays-1,0))),IF(AU88="PT",IF(BO88&lt;PT_First,0,1+INT((BO88-PT_First)/PT_Int)),0)),0)+IF(AND(AM88&gt;=3,AP88&lt;=(SchemeStart-1)),IF(AV88="FT",IF(BN88&lt;FT_First,0,IF(BN88&lt;FT_Y5,1+INT((BN88-FT_First)/FT_Int1),FT_PreY5+FT_PerYear*INT((BN88-FT_Y5)/12)+FT_AnnivDays+INT(MOD(BN88-FT_Y5,12)/FT_Int2)-IF(EDATE(AL88,FT_Y5)&lt;PolicyEff,FT_AnnivDays-1,0))),IF(AV88="PT",IF(BN88&lt;PT_First,0,1+INT((BN88-PT_First)/PT_Int)),0))-IF(AV88="FT",IF(BP88&lt;FT_First,0,IF(BP88&lt;FT_Y5,1+INT((BP88-FT_First)/FT_Int1),FT_PreY5+FT_PerYear*INT((BP88-FT_Y5)/12)+FT_AnnivDays+INT(MOD(BP88-FT_Y5,12)/FT_Int2)-IF(EDATE(AL88,FT_Y5)&lt;PolicyEff,FT_AnnivDays-1,0))),IF(AV88="PT",IF(BP88&lt;PT_First,0,1+INT((BP88-PT_First)/PT_Int)),0)),0))</f>
        <v/>
      </c>
      <c r="BR88" s="0" t="str">
        <f aca="false">IF(LEN($A88&amp;$B88)=0,"",$A88&amp;" "&amp;$B88)</f>
        <v/>
      </c>
    </row>
    <row r="89" customFormat="false" ht="15" hidden="false" customHeight="false" outlineLevel="0" collapsed="false">
      <c r="A89" s="12"/>
      <c r="B89" s="12"/>
      <c r="C89" s="12"/>
      <c r="D89" s="13"/>
      <c r="E89" s="14" t="str">
        <f aca="false">IF(OR(AK89=0,$D89=""),"",DATE(YEAR(AsOfDate)+IF(DATE(YEAR(AsOfDate),MONTH($D89),DAY($D89))&lt;=AsOfDate,1,0),MONTH($D89),DAY($D89)))</f>
        <v/>
      </c>
      <c r="F89" s="13"/>
      <c r="G89" s="13"/>
      <c r="H89" s="13"/>
      <c r="I89" s="13"/>
      <c r="J89" s="13"/>
      <c r="K89" s="14" t="str">
        <f aca="false">IF(AK89=0,"",DATE(YEAR(AsOfDate)+IF(DATE(YEAR(AsOfDate),MONTH(AL89),DAY(AL89))&lt;=AsOfDate,1,0),MONTH(AL89),DAY(AL89)))</f>
        <v/>
      </c>
      <c r="L89" s="15" t="str">
        <f aca="false">IF(AK89=0,"",ROUND((AsOfDate-AL89)/365.25,1))</f>
        <v/>
      </c>
      <c r="M89" s="16" t="str">
        <f aca="false">IF(AK89=0,"",IF(AsOfDate&lt;AL89,"-",DATEDIF(AL89,AsOfDate,"y")&amp;"y "&amp;DATEDIF(AL89,AsOfDate,"ym")&amp;"m "&amp;DATEDIF(AL89,AsOfDate,"md")&amp;"d"))</f>
        <v/>
      </c>
      <c r="N89" s="17" t="str">
        <f aca="false">IF(AK89=0,"",O89*HoursPerDay)</f>
        <v/>
      </c>
      <c r="O89" s="17" t="str">
        <f aca="false">IF(AK89=0,"",MAX(0,BD89-BQ89))</f>
        <v/>
      </c>
      <c r="P89" s="18"/>
      <c r="Q89" s="16" t="str">
        <f aca="false">IF(AK89=0,"",IF(AM89&lt;2,"",AQ89&amp;" to "&amp;AR89&amp;" on "&amp;TEXT(AO89,"dd/mm/yyyy")&amp;IF(AO89&gt;AsOfDate," (future)",IF(AT89=AU89,"",IF(AU89="None"," - STOPPED accruing",IF(AT89="None"," - commencement for Bonus Leave"," - pathway changed"))))&amp;IF(AM89&lt;3,"","; "&amp;AR89&amp;" to "&amp;AS89&amp;" on "&amp;TEXT(AP89,"dd/mm/yyyy")&amp;IF(AP89&gt;AsOfDate," (future)",IF(AU89=AV89,"",IF(AV89="None"," - STOPPED accruing",IF(AU89="None"," - commencement for Bonus Leave"," - pathway changed")))))))</f>
        <v/>
      </c>
      <c r="R89" s="16" t="str">
        <f aca="false">IF(AK89=0,"",IF(AW89="None",IF(O89&gt;0,"No longer accruing","Not eligible - "&amp;IF(AND(OR(ISNUMBER(SEARCH("part",$C89)),UPPER(TRIM($C89))="PT",UPPER(TRIM($C89))="PTE"),Apply2026="No"),"part-time (scheme is full-time only)",IF(AND(OR(ISNUMBER(SEARCH("part",$C89)),UPPER(TRIM($C89))="PT",UPPER(TRIM($C89))="PTE"),$P89&lt;&gt;"",N($P89)&lt;PT_MinHours),"under "&amp;PT_MinHours&amp;" hrs",IF(IF($C89="","",IF(OR(ISNUMBER(SEARCH("full",$C89)),UPPER(TRIM($C89))="FT",UPPER(TRIM($C89))="FTE"),"Full-Time",IF(OR(ISNUMBER(SEARCH("part",$C89)),UPPER(TRIM($C89))="PT",UPPER(TRIM($C89))="PTE"),"Part-Time",IF(OR(ISNUMBER(SEARCH("cas",$C89)),UPPER(TRIM($C89))="CAS"),"Casual","Unknown"))))="Unknown","type not recognised",$C89)))),IF(O89&gt;0,"Yes - Accrual Required","Not yet - from "&amp;TEXT(S89,"dd/mm/yyyy"))))</f>
        <v/>
      </c>
      <c r="S89" s="14" t="str">
        <f aca="false">IF(AK89=0,"",IF(AW89="None","",EDATE(AL89,BF89)))</f>
        <v/>
      </c>
      <c r="T89" s="17" t="str">
        <f aca="false">IF(AK89=0,"",IF(NOT(LH_Ready),"",IF($F89&gt;PFYDate,0,IF(LH_ColPeriod=0,W89-U89+V89,SUMIFS(INDEX(LH_Data,0,LH_ColAcc),INDEX(LH_Data,0,LH_ColFirst),$A89,INDEX(LH_Data,0,LH_ColSur),$B89,INDEX(LH_Data,0,LH_ColCat),BonusCat,INDEX(LH_Data,0,LH_ColPeriod),LH_OpenLabel)*UnitFactor))))</f>
        <v/>
      </c>
      <c r="U89" s="17" t="str">
        <f aca="false">IF(AK89=0,"",IF(NOT(LH_Ready),"",SUMIFS(INDEX(LH_Data,0,LH_ColAcc),INDEX(LH_Data,0,LH_ColFirst),$A89,INDEX(LH_Data,0,LH_ColSur),$B89,INDEX(LH_Data,0,LH_ColCat),BonusCat,INDEX(LH_Data,0,LH_ColStart),"&gt;="&amp;AL89)*UnitFactor))</f>
        <v/>
      </c>
      <c r="V89" s="17" t="str">
        <f aca="false">IF(AK89=0,"",IF(NOT(LH_Ready),"",SUMIFS(INDEX(LH_Data,0,LH_ColTaken),INDEX(LH_Data,0,LH_ColFirst),$A89,INDEX(LH_Data,0,LH_ColSur),$B89,INDEX(LH_Data,0,LH_ColCat),BonusCat,INDEX(LH_Data,0,LH_ColStart),"&gt;="&amp;AL89)*UnitFactor))</f>
        <v/>
      </c>
      <c r="W89" s="17" t="str">
        <f aca="false">IF(AK89=0,"",IF(NOT(LH_Ready),"",IF(BH89=0,0,INDEX(INDEX(LH_Data,0,LH_ColClose),BH89-1)*UnitFactor)))</f>
        <v/>
      </c>
      <c r="X89" s="17" t="str">
        <f aca="false">IF(AK89=0,"",(MAX(0,BD89-BQ89)-MAX(0,BE89-BQ89))*HoursPerDay)</f>
        <v/>
      </c>
      <c r="Y89" s="17" t="str">
        <f aca="false">IF(AK89=0,"",IF(NOT(LH_Ready),"",IF($AI89="Yes",N(AE89)*HoursPerDay-SUMIFS(INDEX(LH_Data,0,LH_ColAcc),INDEX(LH_Data,0,LH_ColFirst),$A89,INDEX(LH_Data,0,LH_ColSur),$B89,INDEX(LH_Data,0,LH_ColCat),BonusCat,INDEX(LH_Data,0,LH_ColStart),"&gt;="&amp;(EOMONTH(AsOfDate,-1)+1),INDEX(LH_Data,0,LH_ColStart),"&lt;="&amp;AsOfDate)*UnitFactor,IF(BG89=0,N89,N89-N(T89)-N(U89)))))</f>
        <v/>
      </c>
      <c r="Z89" s="16" t="str">
        <f aca="false">IF(OR(AK89=0,Y89=""),"",IF(Y89&gt;0,"Yes","No"))</f>
        <v/>
      </c>
      <c r="AA89" s="16" t="str">
        <f aca="false">IF(AK89=0,IF(LEN($A89&amp;$B89)=0,"","FIX INPUT - StartDate missing"),IF(AD89&lt;&gt;"","FIX INPUT - "&amp;AD89,IF(NOT(LH_Ready),"Paste Leave History export (Settings must show YES)",IF(AND($AI89="Yes",Y89&lt;=0),"OK - EH balance accepted to date"&amp;IF(N(AH89)&gt;0," (EH holds "&amp;AH89&amp;" hrs over the scheme)","")&amp;"; next day "&amp;TEXT(S89,"dd mmm yy")&amp;IF(N(AE89)&gt;0," ("&amp;AE89&amp;" day(s) for "&amp;UPPER(TEXT(AsOfDate,"mmm yyyy"))&amp;" already in EH)",""),IF(Y89&gt;0,"ACCRUE "&amp;ROUND(Y89,2)&amp;" hrs ("&amp;ROUND(Y89/HoursPerDay,2)&amp;" days): "&amp;IF(N(AE89)&gt;0,AE89&amp;" day(s) for "&amp;UPPER(TEXT(AsOfDate,"mmm yyyy"))&amp;" (milestone "&amp;UPPER(TEXT(AF89,"dd mmm yy"))&amp;")"&amp;IF(Y89/HoursPerDay&gt;AE89+0.001," + "&amp;ROUND(Y89/HoursPerDay-AE89,2)&amp;" day(s) catch-up from earlier months",""),"all catch-up from earlier months, nothing new this month")&amp;IF(BG89=0,"; no Bonus Leave in EH yet",""),IF(Y89&lt;0,"CHECK - EH accrued "&amp;ROUND(-Y89,2)&amp;" hrs more than policy since commencement",IF(N(W89)&gt;O89*HoursPerDay+0.01,"CHECK - EH balance "&amp;ROUND(W89-O89*HoursPerDay,2)&amp;" hrs more than policy entitlement",IF(O89&gt;0,"OK - nothing to add"&amp;IF(N(AE89)&gt;0," ("&amp;AE89&amp;" day(s) for "&amp;UPPER(TEXT(AsOfDate,"mmm yyyy"))&amp;" already in EH)",""),IF(AW89="None",R89,"Not yet - first day on "&amp;TEXT(S89,"dd/mm/yyyy"))))))))))</f>
        <v/>
      </c>
      <c r="AB89" s="17" t="str">
        <f aca="false">IF(OR(AK89=0,T89=""),"",MAX(0,BE89-BQ89)*HoursPerDay-T89)</f>
        <v/>
      </c>
      <c r="AC89" s="16" t="str">
        <f aca="false">IF(AK89=0,"",BG89)</f>
        <v/>
      </c>
      <c r="AD89" s="16" t="str">
        <f aca="false">IF(AK89=0,"",TRIM(IF(OR(ISTEXT($F89),ISTEXT($H89),ISTEXT($I89),ISTEXT($G89),ISTEXT($J89),ISTEXT($D89)),"A date is typed as text - retype it as dd/mm/yyyy. ","")&amp;IF(IF($C89="","",IF(OR(ISNUMBER(SEARCH("full",$C89)),UPPER(TRIM($C89))="FT",UPPER(TRIM($C89))="FTE"),"Full-Time",IF(OR(ISNUMBER(SEARCH("part",$C89)),UPPER(TRIM($C89))="PT",UPPER(TRIM($C89))="PTE"),"Part-Time",IF(OR(ISNUMBER(SEARCH("cas",$C89)),UPPER(TRIM($C89))="CAS"),"Casual","Unknown"))))="Unknown","EmploymentType not recognised - use Full-Time, Part-Time or Casual. ","")&amp;IF(AND(AM89&gt;=1,IF(AM89&gt;=3,AS89,IF(AM89=2,AR89,AQ89))&lt;&gt;IF($C89="","",IF(OR(ISNUMBER(SEARCH("full",$C89)),UPPER(TRIM($C89))="FT",UPPER(TRIM($C89))="FTE"),"Full-Time",IF(OR(ISNUMBER(SEARCH("part",$C89)),UPPER(TRIM($C89))="PT",UPPER(TRIM($C89))="PTE"),"Part-Time",IF(OR(ISNUMBER(SEARCH("cas",$C89)),UPPER(TRIM($C89))="CAS"),"Casual","Unknown"))))),"EmploymentType does not match latest start date ("&amp;IF(AM89&gt;=3,AS89,IF(AM89=2,AR89,AQ89))&amp;"). ","")&amp;IF(AND(AM89&gt;=1,AN89&lt;&gt;$F89),"Earliest type date should equal StartDate. ","")&amp;IF(AND(AM89&gt;=2,AN89=AO89),"Two types start on the same date. ","")&amp;IF(AND(OR(ISNUMBER(SEARCH("part",$C89)),UPPER(TRIM($C89))="PT",UPPER(TRIM($C89))="PTE"),$P89=""),"Part-time: enter PT Hrs/Week (blank = 24+). ","")))</f>
        <v/>
      </c>
      <c r="AE89" s="17" t="str">
        <f aca="false">IF(AK89=0,"",O89-MAX(0,BL89-BQ89))</f>
        <v/>
      </c>
      <c r="AF89" s="14" t="str">
        <f aca="false">IF(OR(AK89=0,AE89="",N(AE89)=0,BM89=""),"",EDATE(AL89,BM89))</f>
        <v/>
      </c>
      <c r="AG89" s="17" t="str">
        <f aca="false">IF(AK89=0,"",MIN(BD89,BQ89))</f>
        <v/>
      </c>
      <c r="AH89" s="17" t="str">
        <f aca="false">IF(AK89=0,"",IF(NOT(LH_Ready),"",IF(BG89=0,0,MAX(0,ROUND(N(T89)+N(U89)-N89,2)))))</f>
        <v/>
      </c>
      <c r="AI89" s="12"/>
      <c r="AJ89" s="12"/>
      <c r="AK89" s="16" t="n">
        <f aca="false">IF(OR(LEN($A89&amp;$B89)=0,$F89=""),0,1)</f>
        <v>0</v>
      </c>
      <c r="AL89" s="14" t="str">
        <f aca="false">IF(AK89=0,"",IF(PreSchemeCounts="No",MAX(SchemeStart,IF($J89&lt;&gt;"",$J89,IF(OR(CasualCounts="Yes",COUNT($G89:$I89)=0),$F89,IF(Apply2026="No",IF($I89="",$F89,$I89),IF(COUNT($H89:$I89)=0,$F89,MIN($H89:$I89)))))),IF($J89&lt;&gt;"",$J89,IF(OR(CasualCounts="Yes",COUNT($G89:$I89)=0),$F89,IF(Apply2026="No",IF($I89="",$F89,$I89),IF(COUNT($H89:$I89)=0,$F89,MIN($H89:$I89)))))))</f>
        <v/>
      </c>
      <c r="AM89" s="16" t="str">
        <f aca="false">IF(AK89=0,"",COUNT($G89:$I89))</f>
        <v/>
      </c>
      <c r="AN89" s="14" t="str">
        <f aca="false">IF(AK89=0,"",IFERROR(SMALL($G89:$I89,1),""))</f>
        <v/>
      </c>
      <c r="AO89" s="14" t="str">
        <f aca="false">IF(AK89=0,"",IFERROR(SMALL($G89:$I89,2),""))</f>
        <v/>
      </c>
      <c r="AP89" s="14" t="str">
        <f aca="false">IF(AK89=0,"",IFERROR(SMALL($G89:$I89,3),""))</f>
        <v/>
      </c>
      <c r="AQ89" s="16" t="str">
        <f aca="false">IF(AK89=0,"",IF(AN89="","",IF(AN89=$H89,"Part-Time",IF(AN89=$I89,"Full-Time","Casual"))))</f>
        <v/>
      </c>
      <c r="AR89" s="16" t="str">
        <f aca="false">IF(AK89=0,"",IF(AO89="","",IF(AO89=$H89,"Part-Time",IF(AO89=$I89,"Full-Time","Casual"))))</f>
        <v/>
      </c>
      <c r="AS89" s="16" t="str">
        <f aca="false">IF(AK89=0,"",IF(AP89="","",IF(AP89=$H89,"Part-Time",IF(AP89=$I89,"Full-Time","Casual"))))</f>
        <v/>
      </c>
      <c r="AT89" s="16" t="str">
        <f aca="false">IF(AK89=0,"",IF(AM89=0,IF(OR(ISNUMBER(SEARCH("full",$C89)),UPPER(TRIM($C89))="FT",UPPER(TRIM($C89))="FTE"),"FT",IF(AND(OR(ISNUMBER(SEARCH("part",$C89)),UPPER(TRIM($C89))="PT",UPPER(TRIM($C89))="PTE"),Apply2026="Yes",OR($P89="",N($P89)&gt;=PT_MinHours)),"PT","None")),IF(OR(ISNUMBER(SEARCH("full",AQ89)),UPPER(TRIM(AQ89))="FT",UPPER(TRIM(AQ89))="FTE"),"FT",IF(AND(OR(ISNUMBER(SEARCH("part",AQ89)),UPPER(TRIM(AQ89))="PT",UPPER(TRIM(AQ89))="PTE"),Apply2026="Yes",OR($P89="",N($P89)&gt;=PT_MinHours)),"PT","None"))))</f>
        <v/>
      </c>
      <c r="AU89" s="16" t="str">
        <f aca="false">IF(AK89=0,"",IF(AM89&lt;2,"",IF(OR(ISNUMBER(SEARCH("full",AR89)),UPPER(TRIM(AR89))="FT",UPPER(TRIM(AR89))="FTE"),"FT",IF(AND(OR(ISNUMBER(SEARCH("part",AR89)),UPPER(TRIM(AR89))="PT",UPPER(TRIM(AR89))="PTE"),Apply2026="Yes",OR($P89="",N($P89)&gt;=PT_MinHours)),"PT","None"))))</f>
        <v/>
      </c>
      <c r="AV89" s="16" t="str">
        <f aca="false">IF(AK89=0,"",IF(AM89&lt;3,"",IF(OR(ISNUMBER(SEARCH("full",AS89)),UPPER(TRIM(AS89))="FT",UPPER(TRIM(AS89))="FTE"),"FT",IF(AND(OR(ISNUMBER(SEARCH("part",AS89)),UPPER(TRIM(AS89))="PT",UPPER(TRIM(AS89))="PTE"),Apply2026="Yes",OR($P89="",N($P89)&gt;=PT_MinHours)),"PT","None"))))</f>
        <v/>
      </c>
      <c r="AW89" s="16" t="str">
        <f aca="false">IF(AK89=0,"",IF(AND(AM89&gt;=3,AP89&lt;=AsOfDate),AV89,IF(AND(AM89&gt;=2,AO89&lt;=AsOfDate),AU89,AT89)))</f>
        <v/>
      </c>
      <c r="AX89" s="16" t="str">
        <f aca="false">IF(AK89=0,"",IF(AsOfDate&lt;AL89,-1,12*(YEAR(AsOfDate)-YEAR(AL89))+MONTH(AsOfDate)-MONTH(AL89)-IF(DAY(AsOfDate)&lt;MIN(DAY(AL89),DAY(EOMONTH(AsOfDate,0))),1,0)))</f>
        <v/>
      </c>
      <c r="AY89" s="16" t="str">
        <f aca="false">IF(AK89=0,"",IF(OR(AM89&lt;2,AO89&gt;AsOfDate),AX89,IF((AO89-1)&lt;AL89,-1,12*(YEAR((AO89-1))-YEAR(AL89))+MONTH((AO89-1))-MONTH(AL89)-IF(DAY((AO89-1))&lt;MIN(DAY(AL89),DAY(EOMONTH((AO89-1),0))),1,0))))</f>
        <v/>
      </c>
      <c r="AZ89" s="16" t="str">
        <f aca="false">IF(AK89=0,"",IF(OR(AM89&lt;3,AP89&gt;AsOfDate),AX89,IF((AP89-1)&lt;AL89,-1,12*(YEAR((AP89-1))-YEAR(AL89))+MONTH((AP89-1))-MONTH(AL89)-IF(DAY((AP89-1))&lt;MIN(DAY(AL89),DAY(EOMONTH((AP89-1),0))),1,0))))</f>
        <v/>
      </c>
      <c r="BA89" s="16" t="str">
        <f aca="false">IF(AK89=0,"",IF(PFYDate&lt;AL89,-1,12*(YEAR(PFYDate)-YEAR(AL89))+MONTH(PFYDate)-MONTH(AL89)-IF(DAY(PFYDate)&lt;MIN(DAY(AL89),DAY(EOMONTH(PFYDate,0))),1,0)))</f>
        <v/>
      </c>
      <c r="BB89" s="16" t="str">
        <f aca="false">IF(AK89=0,"",IF(OR(AM89&lt;2,AO89&gt;PFYDate),BA89,IF((AO89-1)&lt;AL89,-1,12*(YEAR((AO89-1))-YEAR(AL89))+MONTH((AO89-1))-MONTH(AL89)-IF(DAY((AO89-1))&lt;MIN(DAY(AL89),DAY(EOMONTH((AO89-1),0))),1,0))))</f>
        <v/>
      </c>
      <c r="BC89" s="16" t="str">
        <f aca="false">IF(AK89=0,"",IF(OR(AM89&lt;3,AP89&gt;PFYDate),BA89,IF((AP89-1)&lt;AL89,-1,12*(YEAR((AP89-1))-YEAR(AL89))+MONTH((AP89-1))-MONTH(AL89)-IF(DAY((AP89-1))&lt;MIN(DAY(AL89),DAY(EOMONTH((AP89-1),0))),1,0))))</f>
        <v/>
      </c>
      <c r="BD89" s="16" t="str">
        <f aca="false">IF(AK89=0,"",IF(AT89="FT",IF(AY89&lt;FT_First,0,IF(AY89&lt;FT_Y5,1+INT((AY89-FT_First)/FT_Int1),FT_PreY5+FT_PerYear*INT((AY89-FT_Y5)/12)+FT_AnnivDays+INT(MOD(AY89-FT_Y5,12)/FT_Int2)-IF(EDATE(AL89,FT_Y5)&lt;PolicyEff,FT_AnnivDays-1,0))),IF(AT89="PT",IF(AY89&lt;PT_First,0,1+INT((AY89-PT_First)/PT_Int)),0))+IF(AND(AM89&gt;=2,AO89&lt;=AsOfDate),IF(AU89="FT",IF(AZ89&lt;FT_First,0,IF(AZ89&lt;FT_Y5,1+INT((AZ89-FT_First)/FT_Int1),FT_PreY5+FT_PerYear*INT((AZ89-FT_Y5)/12)+FT_AnnivDays+INT(MOD(AZ89-FT_Y5,12)/FT_Int2)-IF(EDATE(AL89,FT_Y5)&lt;PolicyEff,FT_AnnivDays-1,0))),IF(AU89="PT",IF(AZ89&lt;PT_First,0,1+INT((AZ89-PT_First)/PT_Int)),0))-IF(AU89="FT",IF(AY89&lt;FT_First,0,IF(AY89&lt;FT_Y5,1+INT((AY89-FT_First)/FT_Int1),FT_PreY5+FT_PerYear*INT((AY89-FT_Y5)/12)+FT_AnnivDays+INT(MOD(AY89-FT_Y5,12)/FT_Int2)-IF(EDATE(AL89,FT_Y5)&lt;PolicyEff,FT_AnnivDays-1,0))),IF(AU89="PT",IF(AY89&lt;PT_First,0,1+INT((AY89-PT_First)/PT_Int)),0)),0)+IF(AND(AM89&gt;=3,AP89&lt;=AsOfDate),IF(AV89="FT",IF(AX89&lt;FT_First,0,IF(AX89&lt;FT_Y5,1+INT((AX89-FT_First)/FT_Int1),FT_PreY5+FT_PerYear*INT((AX89-FT_Y5)/12)+FT_AnnivDays+INT(MOD(AX89-FT_Y5,12)/FT_Int2)-IF(EDATE(AL89,FT_Y5)&lt;PolicyEff,FT_AnnivDays-1,0))),IF(AV89="PT",IF(AX89&lt;PT_First,0,1+INT((AX89-PT_First)/PT_Int)),0))-IF(AV89="FT",IF(AZ89&lt;FT_First,0,IF(AZ89&lt;FT_Y5,1+INT((AZ89-FT_First)/FT_Int1),FT_PreY5+FT_PerYear*INT((AZ89-FT_Y5)/12)+FT_AnnivDays+INT(MOD(AZ89-FT_Y5,12)/FT_Int2)-IF(EDATE(AL89,FT_Y5)&lt;PolicyEff,FT_AnnivDays-1,0))),IF(AV89="PT",IF(AZ89&lt;PT_First,0,1+INT((AZ89-PT_First)/PT_Int)),0)),0))</f>
        <v/>
      </c>
      <c r="BE89" s="16" t="str">
        <f aca="false">IF(AK89=0,"",IF(AT89="FT",IF(BB89&lt;FT_First,0,IF(BB89&lt;FT_Y5,1+INT((BB89-FT_First)/FT_Int1),FT_PreY5+FT_PerYear*INT((BB89-FT_Y5)/12)+FT_AnnivDays+INT(MOD(BB89-FT_Y5,12)/FT_Int2)-IF(EDATE(AL89,FT_Y5)&lt;PolicyEff,FT_AnnivDays-1,0))),IF(AT89="PT",IF(BB89&lt;PT_First,0,1+INT((BB89-PT_First)/PT_Int)),0))+IF(AND(AM89&gt;=2,AO89&lt;=PFYDate),IF(AU89="FT",IF(BC89&lt;FT_First,0,IF(BC89&lt;FT_Y5,1+INT((BC89-FT_First)/FT_Int1),FT_PreY5+FT_PerYear*INT((BC89-FT_Y5)/12)+FT_AnnivDays+INT(MOD(BC89-FT_Y5,12)/FT_Int2)-IF(EDATE(AL89,FT_Y5)&lt;PolicyEff,FT_AnnivDays-1,0))),IF(AU89="PT",IF(BC89&lt;PT_First,0,1+INT((BC89-PT_First)/PT_Int)),0))-IF(AU89="FT",IF(BB89&lt;FT_First,0,IF(BB89&lt;FT_Y5,1+INT((BB89-FT_First)/FT_Int1),FT_PreY5+FT_PerYear*INT((BB89-FT_Y5)/12)+FT_AnnivDays+INT(MOD(BB89-FT_Y5,12)/FT_Int2)-IF(EDATE(AL89,FT_Y5)&lt;PolicyEff,FT_AnnivDays-1,0))),IF(AU89="PT",IF(BB89&lt;PT_First,0,1+INT((BB89-PT_First)/PT_Int)),0)),0)+IF(AND(AM89&gt;=3,AP89&lt;=PFYDate),IF(AV89="FT",IF(BA89&lt;FT_First,0,IF(BA89&lt;FT_Y5,1+INT((BA89-FT_First)/FT_Int1),FT_PreY5+FT_PerYear*INT((BA89-FT_Y5)/12)+FT_AnnivDays+INT(MOD(BA89-FT_Y5,12)/FT_Int2)-IF(EDATE(AL89,FT_Y5)&lt;PolicyEff,FT_AnnivDays-1,0))),IF(AV89="PT",IF(BA89&lt;PT_First,0,1+INT((BA89-PT_First)/PT_Int)),0))-IF(AV89="FT",IF(BC89&lt;FT_First,0,IF(BC89&lt;FT_Y5,1+INT((BC89-FT_First)/FT_Int1),FT_PreY5+FT_PerYear*INT((BC89-FT_Y5)/12)+FT_AnnivDays+INT(MOD(BC89-FT_Y5,12)/FT_Int2)-IF(EDATE(AL89,FT_Y5)&lt;PolicyEff,FT_AnnivDays-1,0))),IF(AV89="PT",IF(BC89&lt;PT_First,0,1+INT((BC89-PT_First)/PT_Int)),0)),0))</f>
        <v/>
      </c>
      <c r="BF89" s="16" t="str">
        <f aca="false">IF(AK89=0,"",IF(AW89="FT",IF(AX89&lt;FT_First,FT_First,IF(AX89&lt;FT_Y5,MIN(FT_Y5,FT_First+FT_Int1*(INT((AX89-FT_First)/FT_Int1)+1)),FT_Y5+12*INT((AX89-FT_Y5)/12)+FT_Int2*(INT(MOD(AX89-FT_Y5,12)/FT_Int2)+1))),IF(AW89="PT",IF(AX89&lt;PT_First,PT_First,PT_First+PT_Int*(INT((AX89-PT_First)/PT_Int)+1)),"")))</f>
        <v/>
      </c>
      <c r="BG89" s="16" t="str">
        <f aca="false">IF(AK89=0,"",IF(NOT(LH_Ready),0,COUNTIFS(INDEX(LH_Data,0,LH_ColFirst),$A89,INDEX(LH_Data,0,LH_ColSur),$B89,INDEX(LH_Data,0,LH_ColCat),BonusCat)))</f>
        <v/>
      </c>
      <c r="BH89" s="16" t="str">
        <f aca="false">IF(AK89=0,"",IF(OR(NOT(LH_Ready),BG89=0),0,SUMPRODUCT(MAX((INDEX(LH_Data,0,LH_ColFirst)=$A89)*(INDEX(LH_Data,0,LH_ColSur)=$B89)*(INDEX(LH_Data,0,LH_ColCat)=BonusCat)*ROW(LH_Data)))))</f>
        <v/>
      </c>
      <c r="BI89" s="16" t="str">
        <f aca="false">IF(AK89=0,"",IF(EOMONTH(AsOfDate,-1)&lt;AL89,-1,12*(YEAR(EOMONTH(AsOfDate,-1))-YEAR(AL89))+MONTH(EOMONTH(AsOfDate,-1))-MONTH(AL89)-IF(DAY(EOMONTH(AsOfDate,-1))&lt;MIN(DAY(AL89),DAY(EOMONTH(EOMONTH(AsOfDate,-1),0))),1,0)))</f>
        <v/>
      </c>
      <c r="BJ89" s="16" t="str">
        <f aca="false">IF(AK89=0,"",IF(OR(AM89&lt;2,AO89&gt;EOMONTH(AsOfDate,-1)),BI89,IF((AO89-1)&lt;AL89,-1,12*(YEAR((AO89-1))-YEAR(AL89))+MONTH((AO89-1))-MONTH(AL89)-IF(DAY((AO89-1))&lt;MIN(DAY(AL89),DAY(EOMONTH((AO89-1),0))),1,0))))</f>
        <v/>
      </c>
      <c r="BK89" s="16" t="str">
        <f aca="false">IF(AK89=0,"",IF(OR(AM89&lt;3,AP89&gt;EOMONTH(AsOfDate,-1)),BI89,IF((AP89-1)&lt;AL89,-1,12*(YEAR((AP89-1))-YEAR(AL89))+MONTH((AP89-1))-MONTH(AL89)-IF(DAY((AP89-1))&lt;MIN(DAY(AL89),DAY(EOMONTH((AP89-1),0))),1,0))))</f>
        <v/>
      </c>
      <c r="BL89" s="16" t="str">
        <f aca="false">IF(AK89=0,"",IF(AT89="FT",IF(BJ89&lt;FT_First,0,IF(BJ89&lt;FT_Y5,1+INT((BJ89-FT_First)/FT_Int1),FT_PreY5+FT_PerYear*INT((BJ89-FT_Y5)/12)+FT_AnnivDays+INT(MOD(BJ89-FT_Y5,12)/FT_Int2)-IF(EDATE(AL89,FT_Y5)&lt;PolicyEff,FT_AnnivDays-1,0))),IF(AT89="PT",IF(BJ89&lt;PT_First,0,1+INT((BJ89-PT_First)/PT_Int)),0))+IF(AND(AM89&gt;=2,AO89&lt;=EOMONTH(AsOfDate,-1)),IF(AU89="FT",IF(BK89&lt;FT_First,0,IF(BK89&lt;FT_Y5,1+INT((BK89-FT_First)/FT_Int1),FT_PreY5+FT_PerYear*INT((BK89-FT_Y5)/12)+FT_AnnivDays+INT(MOD(BK89-FT_Y5,12)/FT_Int2)-IF(EDATE(AL89,FT_Y5)&lt;PolicyEff,FT_AnnivDays-1,0))),IF(AU89="PT",IF(BK89&lt;PT_First,0,1+INT((BK89-PT_First)/PT_Int)),0))-IF(AU89="FT",IF(BJ89&lt;FT_First,0,IF(BJ89&lt;FT_Y5,1+INT((BJ89-FT_First)/FT_Int1),FT_PreY5+FT_PerYear*INT((BJ89-FT_Y5)/12)+FT_AnnivDays+INT(MOD(BJ89-FT_Y5,12)/FT_Int2)-IF(EDATE(AL89,FT_Y5)&lt;PolicyEff,FT_AnnivDays-1,0))),IF(AU89="PT",IF(BJ89&lt;PT_First,0,1+INT((BJ89-PT_First)/PT_Int)),0)),0)+IF(AND(AM89&gt;=3,AP89&lt;=EOMONTH(AsOfDate,-1)),IF(AV89="FT",IF(BI89&lt;FT_First,0,IF(BI89&lt;FT_Y5,1+INT((BI89-FT_First)/FT_Int1),FT_PreY5+FT_PerYear*INT((BI89-FT_Y5)/12)+FT_AnnivDays+INT(MOD(BI89-FT_Y5,12)/FT_Int2)-IF(EDATE(AL89,FT_Y5)&lt;PolicyEff,FT_AnnivDays-1,0))),IF(AV89="PT",IF(BI89&lt;PT_First,0,1+INT((BI89-PT_First)/PT_Int)),0))-IF(AV89="FT",IF(BK89&lt;FT_First,0,IF(BK89&lt;FT_Y5,1+INT((BK89-FT_First)/FT_Int1),FT_PreY5+FT_PerYear*INT((BK89-FT_Y5)/12)+FT_AnnivDays+INT(MOD(BK89-FT_Y5,12)/FT_Int2)-IF(EDATE(AL89,FT_Y5)&lt;PolicyEff,FT_AnnivDays-1,0))),IF(AV89="PT",IF(BK89&lt;PT_First,0,1+INT((BK89-PT_First)/PT_Int)),0)),0))</f>
        <v/>
      </c>
      <c r="BM89" s="16" t="str">
        <f aca="false">IF(AK89=0,"",IF(AW89="FT",IF(AX89&lt;FT_First,"",IF(AX89&lt;FT_Y5,FT_First+FT_Int1*INT((AX89-FT_First)/FT_Int1),FT_Y5+FT_Int2*INT((AX89-FT_Y5)/FT_Int2))),IF(AW89="PT",IF(AX89&lt;PT_First,"",PT_First+PT_Int*INT((AX89-PT_First)/PT_Int)),"")))</f>
        <v/>
      </c>
      <c r="BN89" s="16" t="str">
        <f aca="false">IF(AK89=0,"",IF((SchemeStart-1)&lt;AL89,-1,12*(YEAR((SchemeStart-1))-YEAR(AL89))+MONTH((SchemeStart-1))-MONTH(AL89)-IF(DAY((SchemeStart-1))&lt;MIN(DAY(AL89),DAY(EOMONTH((SchemeStart-1),0))),1,0)))</f>
        <v/>
      </c>
      <c r="BO89" s="16" t="str">
        <f aca="false">IF(AK89=0,"",IF(OR(AM89&lt;2,AO89&gt;(SchemeStart-1)),BN89,IF((AO89-1)&lt;AL89,-1,12*(YEAR((AO89-1))-YEAR(AL89))+MONTH((AO89-1))-MONTH(AL89)-IF(DAY((AO89-1))&lt;MIN(DAY(AL89),DAY(EOMONTH((AO89-1),0))),1,0))))</f>
        <v/>
      </c>
      <c r="BP89" s="16" t="str">
        <f aca="false">IF(AK89=0,"",IF(OR(AM89&lt;3,AP89&gt;(SchemeStart-1)),BN89,IF((AP89-1)&lt;AL89,-1,12*(YEAR((AP89-1))-YEAR(AL89))+MONTH((AP89-1))-MONTH(AL89)-IF(DAY((AP89-1))&lt;MIN(DAY(AL89),DAY(EOMONTH((AP89-1),0))),1,0))))</f>
        <v/>
      </c>
      <c r="BQ89" s="16" t="str">
        <f aca="false">IF(AK89=0,"",IF(AT89="FT",IF(BO89&lt;FT_First,0,IF(BO89&lt;FT_Y5,1+INT((BO89-FT_First)/FT_Int1),FT_PreY5+FT_PerYear*INT((BO89-FT_Y5)/12)+FT_AnnivDays+INT(MOD(BO89-FT_Y5,12)/FT_Int2)-IF(EDATE(AL89,FT_Y5)&lt;PolicyEff,FT_AnnivDays-1,0))),IF(AT89="PT",IF(BO89&lt;PT_First,0,1+INT((BO89-PT_First)/PT_Int)),0))+IF(AND(AM89&gt;=2,AO89&lt;=(SchemeStart-1)),IF(AU89="FT",IF(BP89&lt;FT_First,0,IF(BP89&lt;FT_Y5,1+INT((BP89-FT_First)/FT_Int1),FT_PreY5+FT_PerYear*INT((BP89-FT_Y5)/12)+FT_AnnivDays+INT(MOD(BP89-FT_Y5,12)/FT_Int2)-IF(EDATE(AL89,FT_Y5)&lt;PolicyEff,FT_AnnivDays-1,0))),IF(AU89="PT",IF(BP89&lt;PT_First,0,1+INT((BP89-PT_First)/PT_Int)),0))-IF(AU89="FT",IF(BO89&lt;FT_First,0,IF(BO89&lt;FT_Y5,1+INT((BO89-FT_First)/FT_Int1),FT_PreY5+FT_PerYear*INT((BO89-FT_Y5)/12)+FT_AnnivDays+INT(MOD(BO89-FT_Y5,12)/FT_Int2)-IF(EDATE(AL89,FT_Y5)&lt;PolicyEff,FT_AnnivDays-1,0))),IF(AU89="PT",IF(BO89&lt;PT_First,0,1+INT((BO89-PT_First)/PT_Int)),0)),0)+IF(AND(AM89&gt;=3,AP89&lt;=(SchemeStart-1)),IF(AV89="FT",IF(BN89&lt;FT_First,0,IF(BN89&lt;FT_Y5,1+INT((BN89-FT_First)/FT_Int1),FT_PreY5+FT_PerYear*INT((BN89-FT_Y5)/12)+FT_AnnivDays+INT(MOD(BN89-FT_Y5,12)/FT_Int2)-IF(EDATE(AL89,FT_Y5)&lt;PolicyEff,FT_AnnivDays-1,0))),IF(AV89="PT",IF(BN89&lt;PT_First,0,1+INT((BN89-PT_First)/PT_Int)),0))-IF(AV89="FT",IF(BP89&lt;FT_First,0,IF(BP89&lt;FT_Y5,1+INT((BP89-FT_First)/FT_Int1),FT_PreY5+FT_PerYear*INT((BP89-FT_Y5)/12)+FT_AnnivDays+INT(MOD(BP89-FT_Y5,12)/FT_Int2)-IF(EDATE(AL89,FT_Y5)&lt;PolicyEff,FT_AnnivDays-1,0))),IF(AV89="PT",IF(BP89&lt;PT_First,0,1+INT((BP89-PT_First)/PT_Int)),0)),0))</f>
        <v/>
      </c>
      <c r="BR89" s="0" t="str">
        <f aca="false">IF(LEN($A89&amp;$B89)=0,"",$A89&amp;" "&amp;$B89)</f>
        <v/>
      </c>
    </row>
    <row r="90" customFormat="false" ht="15" hidden="false" customHeight="false" outlineLevel="0" collapsed="false">
      <c r="A90" s="12"/>
      <c r="B90" s="12"/>
      <c r="C90" s="12"/>
      <c r="D90" s="13"/>
      <c r="E90" s="14" t="str">
        <f aca="false">IF(OR(AK90=0,$D90=""),"",DATE(YEAR(AsOfDate)+IF(DATE(YEAR(AsOfDate),MONTH($D90),DAY($D90))&lt;=AsOfDate,1,0),MONTH($D90),DAY($D90)))</f>
        <v/>
      </c>
      <c r="F90" s="13"/>
      <c r="G90" s="13"/>
      <c r="H90" s="13"/>
      <c r="I90" s="13"/>
      <c r="J90" s="13"/>
      <c r="K90" s="14" t="str">
        <f aca="false">IF(AK90=0,"",DATE(YEAR(AsOfDate)+IF(DATE(YEAR(AsOfDate),MONTH(AL90),DAY(AL90))&lt;=AsOfDate,1,0),MONTH(AL90),DAY(AL90)))</f>
        <v/>
      </c>
      <c r="L90" s="15" t="str">
        <f aca="false">IF(AK90=0,"",ROUND((AsOfDate-AL90)/365.25,1))</f>
        <v/>
      </c>
      <c r="M90" s="16" t="str">
        <f aca="false">IF(AK90=0,"",IF(AsOfDate&lt;AL90,"-",DATEDIF(AL90,AsOfDate,"y")&amp;"y "&amp;DATEDIF(AL90,AsOfDate,"ym")&amp;"m "&amp;DATEDIF(AL90,AsOfDate,"md")&amp;"d"))</f>
        <v/>
      </c>
      <c r="N90" s="17" t="str">
        <f aca="false">IF(AK90=0,"",O90*HoursPerDay)</f>
        <v/>
      </c>
      <c r="O90" s="17" t="str">
        <f aca="false">IF(AK90=0,"",MAX(0,BD90-BQ90))</f>
        <v/>
      </c>
      <c r="P90" s="18"/>
      <c r="Q90" s="16" t="str">
        <f aca="false">IF(AK90=0,"",IF(AM90&lt;2,"",AQ90&amp;" to "&amp;AR90&amp;" on "&amp;TEXT(AO90,"dd/mm/yyyy")&amp;IF(AO90&gt;AsOfDate," (future)",IF(AT90=AU90,"",IF(AU90="None"," - STOPPED accruing",IF(AT90="None"," - commencement for Bonus Leave"," - pathway changed"))))&amp;IF(AM90&lt;3,"","; "&amp;AR90&amp;" to "&amp;AS90&amp;" on "&amp;TEXT(AP90,"dd/mm/yyyy")&amp;IF(AP90&gt;AsOfDate," (future)",IF(AU90=AV90,"",IF(AV90="None"," - STOPPED accruing",IF(AU90="None"," - commencement for Bonus Leave"," - pathway changed")))))))</f>
        <v/>
      </c>
      <c r="R90" s="16" t="str">
        <f aca="false">IF(AK90=0,"",IF(AW90="None",IF(O90&gt;0,"No longer accruing","Not eligible - "&amp;IF(AND(OR(ISNUMBER(SEARCH("part",$C90)),UPPER(TRIM($C90))="PT",UPPER(TRIM($C90))="PTE"),Apply2026="No"),"part-time (scheme is full-time only)",IF(AND(OR(ISNUMBER(SEARCH("part",$C90)),UPPER(TRIM($C90))="PT",UPPER(TRIM($C90))="PTE"),$P90&lt;&gt;"",N($P90)&lt;PT_MinHours),"under "&amp;PT_MinHours&amp;" hrs",IF(IF($C90="","",IF(OR(ISNUMBER(SEARCH("full",$C90)),UPPER(TRIM($C90))="FT",UPPER(TRIM($C90))="FTE"),"Full-Time",IF(OR(ISNUMBER(SEARCH("part",$C90)),UPPER(TRIM($C90))="PT",UPPER(TRIM($C90))="PTE"),"Part-Time",IF(OR(ISNUMBER(SEARCH("cas",$C90)),UPPER(TRIM($C90))="CAS"),"Casual","Unknown"))))="Unknown","type not recognised",$C90)))),IF(O90&gt;0,"Yes - Accrual Required","Not yet - from "&amp;TEXT(S90,"dd/mm/yyyy"))))</f>
        <v/>
      </c>
      <c r="S90" s="14" t="str">
        <f aca="false">IF(AK90=0,"",IF(AW90="None","",EDATE(AL90,BF90)))</f>
        <v/>
      </c>
      <c r="T90" s="17" t="str">
        <f aca="false">IF(AK90=0,"",IF(NOT(LH_Ready),"",IF($F90&gt;PFYDate,0,IF(LH_ColPeriod=0,W90-U90+V90,SUMIFS(INDEX(LH_Data,0,LH_ColAcc),INDEX(LH_Data,0,LH_ColFirst),$A90,INDEX(LH_Data,0,LH_ColSur),$B90,INDEX(LH_Data,0,LH_ColCat),BonusCat,INDEX(LH_Data,0,LH_ColPeriod),LH_OpenLabel)*UnitFactor))))</f>
        <v/>
      </c>
      <c r="U90" s="17" t="str">
        <f aca="false">IF(AK90=0,"",IF(NOT(LH_Ready),"",SUMIFS(INDEX(LH_Data,0,LH_ColAcc),INDEX(LH_Data,0,LH_ColFirst),$A90,INDEX(LH_Data,0,LH_ColSur),$B90,INDEX(LH_Data,0,LH_ColCat),BonusCat,INDEX(LH_Data,0,LH_ColStart),"&gt;="&amp;AL90)*UnitFactor))</f>
        <v/>
      </c>
      <c r="V90" s="17" t="str">
        <f aca="false">IF(AK90=0,"",IF(NOT(LH_Ready),"",SUMIFS(INDEX(LH_Data,0,LH_ColTaken),INDEX(LH_Data,0,LH_ColFirst),$A90,INDEX(LH_Data,0,LH_ColSur),$B90,INDEX(LH_Data,0,LH_ColCat),BonusCat,INDEX(LH_Data,0,LH_ColStart),"&gt;="&amp;AL90)*UnitFactor))</f>
        <v/>
      </c>
      <c r="W90" s="17" t="str">
        <f aca="false">IF(AK90=0,"",IF(NOT(LH_Ready),"",IF(BH90=0,0,INDEX(INDEX(LH_Data,0,LH_ColClose),BH90-1)*UnitFactor)))</f>
        <v/>
      </c>
      <c r="X90" s="17" t="str">
        <f aca="false">IF(AK90=0,"",(MAX(0,BD90-BQ90)-MAX(0,BE90-BQ90))*HoursPerDay)</f>
        <v/>
      </c>
      <c r="Y90" s="17" t="str">
        <f aca="false">IF(AK90=0,"",IF(NOT(LH_Ready),"",IF($AI90="Yes",N(AE90)*HoursPerDay-SUMIFS(INDEX(LH_Data,0,LH_ColAcc),INDEX(LH_Data,0,LH_ColFirst),$A90,INDEX(LH_Data,0,LH_ColSur),$B90,INDEX(LH_Data,0,LH_ColCat),BonusCat,INDEX(LH_Data,0,LH_ColStart),"&gt;="&amp;(EOMONTH(AsOfDate,-1)+1),INDEX(LH_Data,0,LH_ColStart),"&lt;="&amp;AsOfDate)*UnitFactor,IF(BG90=0,N90,N90-N(T90)-N(U90)))))</f>
        <v/>
      </c>
      <c r="Z90" s="16" t="str">
        <f aca="false">IF(OR(AK90=0,Y90=""),"",IF(Y90&gt;0,"Yes","No"))</f>
        <v/>
      </c>
      <c r="AA90" s="16" t="str">
        <f aca="false">IF(AK90=0,IF(LEN($A90&amp;$B90)=0,"","FIX INPUT - StartDate missing"),IF(AD90&lt;&gt;"","FIX INPUT - "&amp;AD90,IF(NOT(LH_Ready),"Paste Leave History export (Settings must show YES)",IF(AND($AI90="Yes",Y90&lt;=0),"OK - EH balance accepted to date"&amp;IF(N(AH90)&gt;0," (EH holds "&amp;AH90&amp;" hrs over the scheme)","")&amp;"; next day "&amp;TEXT(S90,"dd mmm yy")&amp;IF(N(AE90)&gt;0," ("&amp;AE90&amp;" day(s) for "&amp;UPPER(TEXT(AsOfDate,"mmm yyyy"))&amp;" already in EH)",""),IF(Y90&gt;0,"ACCRUE "&amp;ROUND(Y90,2)&amp;" hrs ("&amp;ROUND(Y90/HoursPerDay,2)&amp;" days): "&amp;IF(N(AE90)&gt;0,AE90&amp;" day(s) for "&amp;UPPER(TEXT(AsOfDate,"mmm yyyy"))&amp;" (milestone "&amp;UPPER(TEXT(AF90,"dd mmm yy"))&amp;")"&amp;IF(Y90/HoursPerDay&gt;AE90+0.001," + "&amp;ROUND(Y90/HoursPerDay-AE90,2)&amp;" day(s) catch-up from earlier months",""),"all catch-up from earlier months, nothing new this month")&amp;IF(BG90=0,"; no Bonus Leave in EH yet",""),IF(Y90&lt;0,"CHECK - EH accrued "&amp;ROUND(-Y90,2)&amp;" hrs more than policy since commencement",IF(N(W90)&gt;O90*HoursPerDay+0.01,"CHECK - EH balance "&amp;ROUND(W90-O90*HoursPerDay,2)&amp;" hrs more than policy entitlement",IF(O90&gt;0,"OK - nothing to add"&amp;IF(N(AE90)&gt;0," ("&amp;AE90&amp;" day(s) for "&amp;UPPER(TEXT(AsOfDate,"mmm yyyy"))&amp;" already in EH)",""),IF(AW90="None",R90,"Not yet - first day on "&amp;TEXT(S90,"dd/mm/yyyy"))))))))))</f>
        <v/>
      </c>
      <c r="AB90" s="17" t="str">
        <f aca="false">IF(OR(AK90=0,T90=""),"",MAX(0,BE90-BQ90)*HoursPerDay-T90)</f>
        <v/>
      </c>
      <c r="AC90" s="16" t="str">
        <f aca="false">IF(AK90=0,"",BG90)</f>
        <v/>
      </c>
      <c r="AD90" s="16" t="str">
        <f aca="false">IF(AK90=0,"",TRIM(IF(OR(ISTEXT($F90),ISTEXT($H90),ISTEXT($I90),ISTEXT($G90),ISTEXT($J90),ISTEXT($D90)),"A date is typed as text - retype it as dd/mm/yyyy. ","")&amp;IF(IF($C90="","",IF(OR(ISNUMBER(SEARCH("full",$C90)),UPPER(TRIM($C90))="FT",UPPER(TRIM($C90))="FTE"),"Full-Time",IF(OR(ISNUMBER(SEARCH("part",$C90)),UPPER(TRIM($C90))="PT",UPPER(TRIM($C90))="PTE"),"Part-Time",IF(OR(ISNUMBER(SEARCH("cas",$C90)),UPPER(TRIM($C90))="CAS"),"Casual","Unknown"))))="Unknown","EmploymentType not recognised - use Full-Time, Part-Time or Casual. ","")&amp;IF(AND(AM90&gt;=1,IF(AM90&gt;=3,AS90,IF(AM90=2,AR90,AQ90))&lt;&gt;IF($C90="","",IF(OR(ISNUMBER(SEARCH("full",$C90)),UPPER(TRIM($C90))="FT",UPPER(TRIM($C90))="FTE"),"Full-Time",IF(OR(ISNUMBER(SEARCH("part",$C90)),UPPER(TRIM($C90))="PT",UPPER(TRIM($C90))="PTE"),"Part-Time",IF(OR(ISNUMBER(SEARCH("cas",$C90)),UPPER(TRIM($C90))="CAS"),"Casual","Unknown"))))),"EmploymentType does not match latest start date ("&amp;IF(AM90&gt;=3,AS90,IF(AM90=2,AR90,AQ90))&amp;"). ","")&amp;IF(AND(AM90&gt;=1,AN90&lt;&gt;$F90),"Earliest type date should equal StartDate. ","")&amp;IF(AND(AM90&gt;=2,AN90=AO90),"Two types start on the same date. ","")&amp;IF(AND(OR(ISNUMBER(SEARCH("part",$C90)),UPPER(TRIM($C90))="PT",UPPER(TRIM($C90))="PTE"),$P90=""),"Part-time: enter PT Hrs/Week (blank = 24+). ","")))</f>
        <v/>
      </c>
      <c r="AE90" s="17" t="str">
        <f aca="false">IF(AK90=0,"",O90-MAX(0,BL90-BQ90))</f>
        <v/>
      </c>
      <c r="AF90" s="14" t="str">
        <f aca="false">IF(OR(AK90=0,AE90="",N(AE90)=0,BM90=""),"",EDATE(AL90,BM90))</f>
        <v/>
      </c>
      <c r="AG90" s="17" t="str">
        <f aca="false">IF(AK90=0,"",MIN(BD90,BQ90))</f>
        <v/>
      </c>
      <c r="AH90" s="17" t="str">
        <f aca="false">IF(AK90=0,"",IF(NOT(LH_Ready),"",IF(BG90=0,0,MAX(0,ROUND(N(T90)+N(U90)-N90,2)))))</f>
        <v/>
      </c>
      <c r="AI90" s="12"/>
      <c r="AJ90" s="12"/>
      <c r="AK90" s="16" t="n">
        <f aca="false">IF(OR(LEN($A90&amp;$B90)=0,$F90=""),0,1)</f>
        <v>0</v>
      </c>
      <c r="AL90" s="14" t="str">
        <f aca="false">IF(AK90=0,"",IF(PreSchemeCounts="No",MAX(SchemeStart,IF($J90&lt;&gt;"",$J90,IF(OR(CasualCounts="Yes",COUNT($G90:$I90)=0),$F90,IF(Apply2026="No",IF($I90="",$F90,$I90),IF(COUNT($H90:$I90)=0,$F90,MIN($H90:$I90)))))),IF($J90&lt;&gt;"",$J90,IF(OR(CasualCounts="Yes",COUNT($G90:$I90)=0),$F90,IF(Apply2026="No",IF($I90="",$F90,$I90),IF(COUNT($H90:$I90)=0,$F90,MIN($H90:$I90)))))))</f>
        <v/>
      </c>
      <c r="AM90" s="16" t="str">
        <f aca="false">IF(AK90=0,"",COUNT($G90:$I90))</f>
        <v/>
      </c>
      <c r="AN90" s="14" t="str">
        <f aca="false">IF(AK90=0,"",IFERROR(SMALL($G90:$I90,1),""))</f>
        <v/>
      </c>
      <c r="AO90" s="14" t="str">
        <f aca="false">IF(AK90=0,"",IFERROR(SMALL($G90:$I90,2),""))</f>
        <v/>
      </c>
      <c r="AP90" s="14" t="str">
        <f aca="false">IF(AK90=0,"",IFERROR(SMALL($G90:$I90,3),""))</f>
        <v/>
      </c>
      <c r="AQ90" s="16" t="str">
        <f aca="false">IF(AK90=0,"",IF(AN90="","",IF(AN90=$H90,"Part-Time",IF(AN90=$I90,"Full-Time","Casual"))))</f>
        <v/>
      </c>
      <c r="AR90" s="16" t="str">
        <f aca="false">IF(AK90=0,"",IF(AO90="","",IF(AO90=$H90,"Part-Time",IF(AO90=$I90,"Full-Time","Casual"))))</f>
        <v/>
      </c>
      <c r="AS90" s="16" t="str">
        <f aca="false">IF(AK90=0,"",IF(AP90="","",IF(AP90=$H90,"Part-Time",IF(AP90=$I90,"Full-Time","Casual"))))</f>
        <v/>
      </c>
      <c r="AT90" s="16" t="str">
        <f aca="false">IF(AK90=0,"",IF(AM90=0,IF(OR(ISNUMBER(SEARCH("full",$C90)),UPPER(TRIM($C90))="FT",UPPER(TRIM($C90))="FTE"),"FT",IF(AND(OR(ISNUMBER(SEARCH("part",$C90)),UPPER(TRIM($C90))="PT",UPPER(TRIM($C90))="PTE"),Apply2026="Yes",OR($P90="",N($P90)&gt;=PT_MinHours)),"PT","None")),IF(OR(ISNUMBER(SEARCH("full",AQ90)),UPPER(TRIM(AQ90))="FT",UPPER(TRIM(AQ90))="FTE"),"FT",IF(AND(OR(ISNUMBER(SEARCH("part",AQ90)),UPPER(TRIM(AQ90))="PT",UPPER(TRIM(AQ90))="PTE"),Apply2026="Yes",OR($P90="",N($P90)&gt;=PT_MinHours)),"PT","None"))))</f>
        <v/>
      </c>
      <c r="AU90" s="16" t="str">
        <f aca="false">IF(AK90=0,"",IF(AM90&lt;2,"",IF(OR(ISNUMBER(SEARCH("full",AR90)),UPPER(TRIM(AR90))="FT",UPPER(TRIM(AR90))="FTE"),"FT",IF(AND(OR(ISNUMBER(SEARCH("part",AR90)),UPPER(TRIM(AR90))="PT",UPPER(TRIM(AR90))="PTE"),Apply2026="Yes",OR($P90="",N($P90)&gt;=PT_MinHours)),"PT","None"))))</f>
        <v/>
      </c>
      <c r="AV90" s="16" t="str">
        <f aca="false">IF(AK90=0,"",IF(AM90&lt;3,"",IF(OR(ISNUMBER(SEARCH("full",AS90)),UPPER(TRIM(AS90))="FT",UPPER(TRIM(AS90))="FTE"),"FT",IF(AND(OR(ISNUMBER(SEARCH("part",AS90)),UPPER(TRIM(AS90))="PT",UPPER(TRIM(AS90))="PTE"),Apply2026="Yes",OR($P90="",N($P90)&gt;=PT_MinHours)),"PT","None"))))</f>
        <v/>
      </c>
      <c r="AW90" s="16" t="str">
        <f aca="false">IF(AK90=0,"",IF(AND(AM90&gt;=3,AP90&lt;=AsOfDate),AV90,IF(AND(AM90&gt;=2,AO90&lt;=AsOfDate),AU90,AT90)))</f>
        <v/>
      </c>
      <c r="AX90" s="16" t="str">
        <f aca="false">IF(AK90=0,"",IF(AsOfDate&lt;AL90,-1,12*(YEAR(AsOfDate)-YEAR(AL90))+MONTH(AsOfDate)-MONTH(AL90)-IF(DAY(AsOfDate)&lt;MIN(DAY(AL90),DAY(EOMONTH(AsOfDate,0))),1,0)))</f>
        <v/>
      </c>
      <c r="AY90" s="16" t="str">
        <f aca="false">IF(AK90=0,"",IF(OR(AM90&lt;2,AO90&gt;AsOfDate),AX90,IF((AO90-1)&lt;AL90,-1,12*(YEAR((AO90-1))-YEAR(AL90))+MONTH((AO90-1))-MONTH(AL90)-IF(DAY((AO90-1))&lt;MIN(DAY(AL90),DAY(EOMONTH((AO90-1),0))),1,0))))</f>
        <v/>
      </c>
      <c r="AZ90" s="16" t="str">
        <f aca="false">IF(AK90=0,"",IF(OR(AM90&lt;3,AP90&gt;AsOfDate),AX90,IF((AP90-1)&lt;AL90,-1,12*(YEAR((AP90-1))-YEAR(AL90))+MONTH((AP90-1))-MONTH(AL90)-IF(DAY((AP90-1))&lt;MIN(DAY(AL90),DAY(EOMONTH((AP90-1),0))),1,0))))</f>
        <v/>
      </c>
      <c r="BA90" s="16" t="str">
        <f aca="false">IF(AK90=0,"",IF(PFYDate&lt;AL90,-1,12*(YEAR(PFYDate)-YEAR(AL90))+MONTH(PFYDate)-MONTH(AL90)-IF(DAY(PFYDate)&lt;MIN(DAY(AL90),DAY(EOMONTH(PFYDate,0))),1,0)))</f>
        <v/>
      </c>
      <c r="BB90" s="16" t="str">
        <f aca="false">IF(AK90=0,"",IF(OR(AM90&lt;2,AO90&gt;PFYDate),BA90,IF((AO90-1)&lt;AL90,-1,12*(YEAR((AO90-1))-YEAR(AL90))+MONTH((AO90-1))-MONTH(AL90)-IF(DAY((AO90-1))&lt;MIN(DAY(AL90),DAY(EOMONTH((AO90-1),0))),1,0))))</f>
        <v/>
      </c>
      <c r="BC90" s="16" t="str">
        <f aca="false">IF(AK90=0,"",IF(OR(AM90&lt;3,AP90&gt;PFYDate),BA90,IF((AP90-1)&lt;AL90,-1,12*(YEAR((AP90-1))-YEAR(AL90))+MONTH((AP90-1))-MONTH(AL90)-IF(DAY((AP90-1))&lt;MIN(DAY(AL90),DAY(EOMONTH((AP90-1),0))),1,0))))</f>
        <v/>
      </c>
      <c r="BD90" s="16" t="str">
        <f aca="false">IF(AK90=0,"",IF(AT90="FT",IF(AY90&lt;FT_First,0,IF(AY90&lt;FT_Y5,1+INT((AY90-FT_First)/FT_Int1),FT_PreY5+FT_PerYear*INT((AY90-FT_Y5)/12)+FT_AnnivDays+INT(MOD(AY90-FT_Y5,12)/FT_Int2)-IF(EDATE(AL90,FT_Y5)&lt;PolicyEff,FT_AnnivDays-1,0))),IF(AT90="PT",IF(AY90&lt;PT_First,0,1+INT((AY90-PT_First)/PT_Int)),0))+IF(AND(AM90&gt;=2,AO90&lt;=AsOfDate),IF(AU90="FT",IF(AZ90&lt;FT_First,0,IF(AZ90&lt;FT_Y5,1+INT((AZ90-FT_First)/FT_Int1),FT_PreY5+FT_PerYear*INT((AZ90-FT_Y5)/12)+FT_AnnivDays+INT(MOD(AZ90-FT_Y5,12)/FT_Int2)-IF(EDATE(AL90,FT_Y5)&lt;PolicyEff,FT_AnnivDays-1,0))),IF(AU90="PT",IF(AZ90&lt;PT_First,0,1+INT((AZ90-PT_First)/PT_Int)),0))-IF(AU90="FT",IF(AY90&lt;FT_First,0,IF(AY90&lt;FT_Y5,1+INT((AY90-FT_First)/FT_Int1),FT_PreY5+FT_PerYear*INT((AY90-FT_Y5)/12)+FT_AnnivDays+INT(MOD(AY90-FT_Y5,12)/FT_Int2)-IF(EDATE(AL90,FT_Y5)&lt;PolicyEff,FT_AnnivDays-1,0))),IF(AU90="PT",IF(AY90&lt;PT_First,0,1+INT((AY90-PT_First)/PT_Int)),0)),0)+IF(AND(AM90&gt;=3,AP90&lt;=AsOfDate),IF(AV90="FT",IF(AX90&lt;FT_First,0,IF(AX90&lt;FT_Y5,1+INT((AX90-FT_First)/FT_Int1),FT_PreY5+FT_PerYear*INT((AX90-FT_Y5)/12)+FT_AnnivDays+INT(MOD(AX90-FT_Y5,12)/FT_Int2)-IF(EDATE(AL90,FT_Y5)&lt;PolicyEff,FT_AnnivDays-1,0))),IF(AV90="PT",IF(AX90&lt;PT_First,0,1+INT((AX90-PT_First)/PT_Int)),0))-IF(AV90="FT",IF(AZ90&lt;FT_First,0,IF(AZ90&lt;FT_Y5,1+INT((AZ90-FT_First)/FT_Int1),FT_PreY5+FT_PerYear*INT((AZ90-FT_Y5)/12)+FT_AnnivDays+INT(MOD(AZ90-FT_Y5,12)/FT_Int2)-IF(EDATE(AL90,FT_Y5)&lt;PolicyEff,FT_AnnivDays-1,0))),IF(AV90="PT",IF(AZ90&lt;PT_First,0,1+INT((AZ90-PT_First)/PT_Int)),0)),0))</f>
        <v/>
      </c>
      <c r="BE90" s="16" t="str">
        <f aca="false">IF(AK90=0,"",IF(AT90="FT",IF(BB90&lt;FT_First,0,IF(BB90&lt;FT_Y5,1+INT((BB90-FT_First)/FT_Int1),FT_PreY5+FT_PerYear*INT((BB90-FT_Y5)/12)+FT_AnnivDays+INT(MOD(BB90-FT_Y5,12)/FT_Int2)-IF(EDATE(AL90,FT_Y5)&lt;PolicyEff,FT_AnnivDays-1,0))),IF(AT90="PT",IF(BB90&lt;PT_First,0,1+INT((BB90-PT_First)/PT_Int)),0))+IF(AND(AM90&gt;=2,AO90&lt;=PFYDate),IF(AU90="FT",IF(BC90&lt;FT_First,0,IF(BC90&lt;FT_Y5,1+INT((BC90-FT_First)/FT_Int1),FT_PreY5+FT_PerYear*INT((BC90-FT_Y5)/12)+FT_AnnivDays+INT(MOD(BC90-FT_Y5,12)/FT_Int2)-IF(EDATE(AL90,FT_Y5)&lt;PolicyEff,FT_AnnivDays-1,0))),IF(AU90="PT",IF(BC90&lt;PT_First,0,1+INT((BC90-PT_First)/PT_Int)),0))-IF(AU90="FT",IF(BB90&lt;FT_First,0,IF(BB90&lt;FT_Y5,1+INT((BB90-FT_First)/FT_Int1),FT_PreY5+FT_PerYear*INT((BB90-FT_Y5)/12)+FT_AnnivDays+INT(MOD(BB90-FT_Y5,12)/FT_Int2)-IF(EDATE(AL90,FT_Y5)&lt;PolicyEff,FT_AnnivDays-1,0))),IF(AU90="PT",IF(BB90&lt;PT_First,0,1+INT((BB90-PT_First)/PT_Int)),0)),0)+IF(AND(AM90&gt;=3,AP90&lt;=PFYDate),IF(AV90="FT",IF(BA90&lt;FT_First,0,IF(BA90&lt;FT_Y5,1+INT((BA90-FT_First)/FT_Int1),FT_PreY5+FT_PerYear*INT((BA90-FT_Y5)/12)+FT_AnnivDays+INT(MOD(BA90-FT_Y5,12)/FT_Int2)-IF(EDATE(AL90,FT_Y5)&lt;PolicyEff,FT_AnnivDays-1,0))),IF(AV90="PT",IF(BA90&lt;PT_First,0,1+INT((BA90-PT_First)/PT_Int)),0))-IF(AV90="FT",IF(BC90&lt;FT_First,0,IF(BC90&lt;FT_Y5,1+INT((BC90-FT_First)/FT_Int1),FT_PreY5+FT_PerYear*INT((BC90-FT_Y5)/12)+FT_AnnivDays+INT(MOD(BC90-FT_Y5,12)/FT_Int2)-IF(EDATE(AL90,FT_Y5)&lt;PolicyEff,FT_AnnivDays-1,0))),IF(AV90="PT",IF(BC90&lt;PT_First,0,1+INT((BC90-PT_First)/PT_Int)),0)),0))</f>
        <v/>
      </c>
      <c r="BF90" s="16" t="str">
        <f aca="false">IF(AK90=0,"",IF(AW90="FT",IF(AX90&lt;FT_First,FT_First,IF(AX90&lt;FT_Y5,MIN(FT_Y5,FT_First+FT_Int1*(INT((AX90-FT_First)/FT_Int1)+1)),FT_Y5+12*INT((AX90-FT_Y5)/12)+FT_Int2*(INT(MOD(AX90-FT_Y5,12)/FT_Int2)+1))),IF(AW90="PT",IF(AX90&lt;PT_First,PT_First,PT_First+PT_Int*(INT((AX90-PT_First)/PT_Int)+1)),"")))</f>
        <v/>
      </c>
      <c r="BG90" s="16" t="str">
        <f aca="false">IF(AK90=0,"",IF(NOT(LH_Ready),0,COUNTIFS(INDEX(LH_Data,0,LH_ColFirst),$A90,INDEX(LH_Data,0,LH_ColSur),$B90,INDEX(LH_Data,0,LH_ColCat),BonusCat)))</f>
        <v/>
      </c>
      <c r="BH90" s="16" t="str">
        <f aca="false">IF(AK90=0,"",IF(OR(NOT(LH_Ready),BG90=0),0,SUMPRODUCT(MAX((INDEX(LH_Data,0,LH_ColFirst)=$A90)*(INDEX(LH_Data,0,LH_ColSur)=$B90)*(INDEX(LH_Data,0,LH_ColCat)=BonusCat)*ROW(LH_Data)))))</f>
        <v/>
      </c>
      <c r="BI90" s="16" t="str">
        <f aca="false">IF(AK90=0,"",IF(EOMONTH(AsOfDate,-1)&lt;AL90,-1,12*(YEAR(EOMONTH(AsOfDate,-1))-YEAR(AL90))+MONTH(EOMONTH(AsOfDate,-1))-MONTH(AL90)-IF(DAY(EOMONTH(AsOfDate,-1))&lt;MIN(DAY(AL90),DAY(EOMONTH(EOMONTH(AsOfDate,-1),0))),1,0)))</f>
        <v/>
      </c>
      <c r="BJ90" s="16" t="str">
        <f aca="false">IF(AK90=0,"",IF(OR(AM90&lt;2,AO90&gt;EOMONTH(AsOfDate,-1)),BI90,IF((AO90-1)&lt;AL90,-1,12*(YEAR((AO90-1))-YEAR(AL90))+MONTH((AO90-1))-MONTH(AL90)-IF(DAY((AO90-1))&lt;MIN(DAY(AL90),DAY(EOMONTH((AO90-1),0))),1,0))))</f>
        <v/>
      </c>
      <c r="BK90" s="16" t="str">
        <f aca="false">IF(AK90=0,"",IF(OR(AM90&lt;3,AP90&gt;EOMONTH(AsOfDate,-1)),BI90,IF((AP90-1)&lt;AL90,-1,12*(YEAR((AP90-1))-YEAR(AL90))+MONTH((AP90-1))-MONTH(AL90)-IF(DAY((AP90-1))&lt;MIN(DAY(AL90),DAY(EOMONTH((AP90-1),0))),1,0))))</f>
        <v/>
      </c>
      <c r="BL90" s="16" t="str">
        <f aca="false">IF(AK90=0,"",IF(AT90="FT",IF(BJ90&lt;FT_First,0,IF(BJ90&lt;FT_Y5,1+INT((BJ90-FT_First)/FT_Int1),FT_PreY5+FT_PerYear*INT((BJ90-FT_Y5)/12)+FT_AnnivDays+INT(MOD(BJ90-FT_Y5,12)/FT_Int2)-IF(EDATE(AL90,FT_Y5)&lt;PolicyEff,FT_AnnivDays-1,0))),IF(AT90="PT",IF(BJ90&lt;PT_First,0,1+INT((BJ90-PT_First)/PT_Int)),0))+IF(AND(AM90&gt;=2,AO90&lt;=EOMONTH(AsOfDate,-1)),IF(AU90="FT",IF(BK90&lt;FT_First,0,IF(BK90&lt;FT_Y5,1+INT((BK90-FT_First)/FT_Int1),FT_PreY5+FT_PerYear*INT((BK90-FT_Y5)/12)+FT_AnnivDays+INT(MOD(BK90-FT_Y5,12)/FT_Int2)-IF(EDATE(AL90,FT_Y5)&lt;PolicyEff,FT_AnnivDays-1,0))),IF(AU90="PT",IF(BK90&lt;PT_First,0,1+INT((BK90-PT_First)/PT_Int)),0))-IF(AU90="FT",IF(BJ90&lt;FT_First,0,IF(BJ90&lt;FT_Y5,1+INT((BJ90-FT_First)/FT_Int1),FT_PreY5+FT_PerYear*INT((BJ90-FT_Y5)/12)+FT_AnnivDays+INT(MOD(BJ90-FT_Y5,12)/FT_Int2)-IF(EDATE(AL90,FT_Y5)&lt;PolicyEff,FT_AnnivDays-1,0))),IF(AU90="PT",IF(BJ90&lt;PT_First,0,1+INT((BJ90-PT_First)/PT_Int)),0)),0)+IF(AND(AM90&gt;=3,AP90&lt;=EOMONTH(AsOfDate,-1)),IF(AV90="FT",IF(BI90&lt;FT_First,0,IF(BI90&lt;FT_Y5,1+INT((BI90-FT_First)/FT_Int1),FT_PreY5+FT_PerYear*INT((BI90-FT_Y5)/12)+FT_AnnivDays+INT(MOD(BI90-FT_Y5,12)/FT_Int2)-IF(EDATE(AL90,FT_Y5)&lt;PolicyEff,FT_AnnivDays-1,0))),IF(AV90="PT",IF(BI90&lt;PT_First,0,1+INT((BI90-PT_First)/PT_Int)),0))-IF(AV90="FT",IF(BK90&lt;FT_First,0,IF(BK90&lt;FT_Y5,1+INT((BK90-FT_First)/FT_Int1),FT_PreY5+FT_PerYear*INT((BK90-FT_Y5)/12)+FT_AnnivDays+INT(MOD(BK90-FT_Y5,12)/FT_Int2)-IF(EDATE(AL90,FT_Y5)&lt;PolicyEff,FT_AnnivDays-1,0))),IF(AV90="PT",IF(BK90&lt;PT_First,0,1+INT((BK90-PT_First)/PT_Int)),0)),0))</f>
        <v/>
      </c>
      <c r="BM90" s="16" t="str">
        <f aca="false">IF(AK90=0,"",IF(AW90="FT",IF(AX90&lt;FT_First,"",IF(AX90&lt;FT_Y5,FT_First+FT_Int1*INT((AX90-FT_First)/FT_Int1),FT_Y5+FT_Int2*INT((AX90-FT_Y5)/FT_Int2))),IF(AW90="PT",IF(AX90&lt;PT_First,"",PT_First+PT_Int*INT((AX90-PT_First)/PT_Int)),"")))</f>
        <v/>
      </c>
      <c r="BN90" s="16" t="str">
        <f aca="false">IF(AK90=0,"",IF((SchemeStart-1)&lt;AL90,-1,12*(YEAR((SchemeStart-1))-YEAR(AL90))+MONTH((SchemeStart-1))-MONTH(AL90)-IF(DAY((SchemeStart-1))&lt;MIN(DAY(AL90),DAY(EOMONTH((SchemeStart-1),0))),1,0)))</f>
        <v/>
      </c>
      <c r="BO90" s="16" t="str">
        <f aca="false">IF(AK90=0,"",IF(OR(AM90&lt;2,AO90&gt;(SchemeStart-1)),BN90,IF((AO90-1)&lt;AL90,-1,12*(YEAR((AO90-1))-YEAR(AL90))+MONTH((AO90-1))-MONTH(AL90)-IF(DAY((AO90-1))&lt;MIN(DAY(AL90),DAY(EOMONTH((AO90-1),0))),1,0))))</f>
        <v/>
      </c>
      <c r="BP90" s="16" t="str">
        <f aca="false">IF(AK90=0,"",IF(OR(AM90&lt;3,AP90&gt;(SchemeStart-1)),BN90,IF((AP90-1)&lt;AL90,-1,12*(YEAR((AP90-1))-YEAR(AL90))+MONTH((AP90-1))-MONTH(AL90)-IF(DAY((AP90-1))&lt;MIN(DAY(AL90),DAY(EOMONTH((AP90-1),0))),1,0))))</f>
        <v/>
      </c>
      <c r="BQ90" s="16" t="str">
        <f aca="false">IF(AK90=0,"",IF(AT90="FT",IF(BO90&lt;FT_First,0,IF(BO90&lt;FT_Y5,1+INT((BO90-FT_First)/FT_Int1),FT_PreY5+FT_PerYear*INT((BO90-FT_Y5)/12)+FT_AnnivDays+INT(MOD(BO90-FT_Y5,12)/FT_Int2)-IF(EDATE(AL90,FT_Y5)&lt;PolicyEff,FT_AnnivDays-1,0))),IF(AT90="PT",IF(BO90&lt;PT_First,0,1+INT((BO90-PT_First)/PT_Int)),0))+IF(AND(AM90&gt;=2,AO90&lt;=(SchemeStart-1)),IF(AU90="FT",IF(BP90&lt;FT_First,0,IF(BP90&lt;FT_Y5,1+INT((BP90-FT_First)/FT_Int1),FT_PreY5+FT_PerYear*INT((BP90-FT_Y5)/12)+FT_AnnivDays+INT(MOD(BP90-FT_Y5,12)/FT_Int2)-IF(EDATE(AL90,FT_Y5)&lt;PolicyEff,FT_AnnivDays-1,0))),IF(AU90="PT",IF(BP90&lt;PT_First,0,1+INT((BP90-PT_First)/PT_Int)),0))-IF(AU90="FT",IF(BO90&lt;FT_First,0,IF(BO90&lt;FT_Y5,1+INT((BO90-FT_First)/FT_Int1),FT_PreY5+FT_PerYear*INT((BO90-FT_Y5)/12)+FT_AnnivDays+INT(MOD(BO90-FT_Y5,12)/FT_Int2)-IF(EDATE(AL90,FT_Y5)&lt;PolicyEff,FT_AnnivDays-1,0))),IF(AU90="PT",IF(BO90&lt;PT_First,0,1+INT((BO90-PT_First)/PT_Int)),0)),0)+IF(AND(AM90&gt;=3,AP90&lt;=(SchemeStart-1)),IF(AV90="FT",IF(BN90&lt;FT_First,0,IF(BN90&lt;FT_Y5,1+INT((BN90-FT_First)/FT_Int1),FT_PreY5+FT_PerYear*INT((BN90-FT_Y5)/12)+FT_AnnivDays+INT(MOD(BN90-FT_Y5,12)/FT_Int2)-IF(EDATE(AL90,FT_Y5)&lt;PolicyEff,FT_AnnivDays-1,0))),IF(AV90="PT",IF(BN90&lt;PT_First,0,1+INT((BN90-PT_First)/PT_Int)),0))-IF(AV90="FT",IF(BP90&lt;FT_First,0,IF(BP90&lt;FT_Y5,1+INT((BP90-FT_First)/FT_Int1),FT_PreY5+FT_PerYear*INT((BP90-FT_Y5)/12)+FT_AnnivDays+INT(MOD(BP90-FT_Y5,12)/FT_Int2)-IF(EDATE(AL90,FT_Y5)&lt;PolicyEff,FT_AnnivDays-1,0))),IF(AV90="PT",IF(BP90&lt;PT_First,0,1+INT((BP90-PT_First)/PT_Int)),0)),0))</f>
        <v/>
      </c>
      <c r="BR90" s="0" t="str">
        <f aca="false">IF(LEN($A90&amp;$B90)=0,"",$A90&amp;" "&amp;$B90)</f>
        <v/>
      </c>
    </row>
    <row r="91" customFormat="false" ht="15" hidden="false" customHeight="false" outlineLevel="0" collapsed="false">
      <c r="A91" s="12"/>
      <c r="B91" s="12"/>
      <c r="C91" s="12"/>
      <c r="D91" s="13"/>
      <c r="E91" s="14" t="str">
        <f aca="false">IF(OR(AK91=0,$D91=""),"",DATE(YEAR(AsOfDate)+IF(DATE(YEAR(AsOfDate),MONTH($D91),DAY($D91))&lt;=AsOfDate,1,0),MONTH($D91),DAY($D91)))</f>
        <v/>
      </c>
      <c r="F91" s="13"/>
      <c r="G91" s="13"/>
      <c r="H91" s="13"/>
      <c r="I91" s="13"/>
      <c r="J91" s="13"/>
      <c r="K91" s="14" t="str">
        <f aca="false">IF(AK91=0,"",DATE(YEAR(AsOfDate)+IF(DATE(YEAR(AsOfDate),MONTH(AL91),DAY(AL91))&lt;=AsOfDate,1,0),MONTH(AL91),DAY(AL91)))</f>
        <v/>
      </c>
      <c r="L91" s="15" t="str">
        <f aca="false">IF(AK91=0,"",ROUND((AsOfDate-AL91)/365.25,1))</f>
        <v/>
      </c>
      <c r="M91" s="16" t="str">
        <f aca="false">IF(AK91=0,"",IF(AsOfDate&lt;AL91,"-",DATEDIF(AL91,AsOfDate,"y")&amp;"y "&amp;DATEDIF(AL91,AsOfDate,"ym")&amp;"m "&amp;DATEDIF(AL91,AsOfDate,"md")&amp;"d"))</f>
        <v/>
      </c>
      <c r="N91" s="17" t="str">
        <f aca="false">IF(AK91=0,"",O91*HoursPerDay)</f>
        <v/>
      </c>
      <c r="O91" s="17" t="str">
        <f aca="false">IF(AK91=0,"",MAX(0,BD91-BQ91))</f>
        <v/>
      </c>
      <c r="P91" s="18"/>
      <c r="Q91" s="16" t="str">
        <f aca="false">IF(AK91=0,"",IF(AM91&lt;2,"",AQ91&amp;" to "&amp;AR91&amp;" on "&amp;TEXT(AO91,"dd/mm/yyyy")&amp;IF(AO91&gt;AsOfDate," (future)",IF(AT91=AU91,"",IF(AU91="None"," - STOPPED accruing",IF(AT91="None"," - commencement for Bonus Leave"," - pathway changed"))))&amp;IF(AM91&lt;3,"","; "&amp;AR91&amp;" to "&amp;AS91&amp;" on "&amp;TEXT(AP91,"dd/mm/yyyy")&amp;IF(AP91&gt;AsOfDate," (future)",IF(AU91=AV91,"",IF(AV91="None"," - STOPPED accruing",IF(AU91="None"," - commencement for Bonus Leave"," - pathway changed")))))))</f>
        <v/>
      </c>
      <c r="R91" s="16" t="str">
        <f aca="false">IF(AK91=0,"",IF(AW91="None",IF(O91&gt;0,"No longer accruing","Not eligible - "&amp;IF(AND(OR(ISNUMBER(SEARCH("part",$C91)),UPPER(TRIM($C91))="PT",UPPER(TRIM($C91))="PTE"),Apply2026="No"),"part-time (scheme is full-time only)",IF(AND(OR(ISNUMBER(SEARCH("part",$C91)),UPPER(TRIM($C91))="PT",UPPER(TRIM($C91))="PTE"),$P91&lt;&gt;"",N($P91)&lt;PT_MinHours),"under "&amp;PT_MinHours&amp;" hrs",IF(IF($C91="","",IF(OR(ISNUMBER(SEARCH("full",$C91)),UPPER(TRIM($C91))="FT",UPPER(TRIM($C91))="FTE"),"Full-Time",IF(OR(ISNUMBER(SEARCH("part",$C91)),UPPER(TRIM($C91))="PT",UPPER(TRIM($C91))="PTE"),"Part-Time",IF(OR(ISNUMBER(SEARCH("cas",$C91)),UPPER(TRIM($C91))="CAS"),"Casual","Unknown"))))="Unknown","type not recognised",$C91)))),IF(O91&gt;0,"Yes - Accrual Required","Not yet - from "&amp;TEXT(S91,"dd/mm/yyyy"))))</f>
        <v/>
      </c>
      <c r="S91" s="14" t="str">
        <f aca="false">IF(AK91=0,"",IF(AW91="None","",EDATE(AL91,BF91)))</f>
        <v/>
      </c>
      <c r="T91" s="17" t="str">
        <f aca="false">IF(AK91=0,"",IF(NOT(LH_Ready),"",IF($F91&gt;PFYDate,0,IF(LH_ColPeriod=0,W91-U91+V91,SUMIFS(INDEX(LH_Data,0,LH_ColAcc),INDEX(LH_Data,0,LH_ColFirst),$A91,INDEX(LH_Data,0,LH_ColSur),$B91,INDEX(LH_Data,0,LH_ColCat),BonusCat,INDEX(LH_Data,0,LH_ColPeriod),LH_OpenLabel)*UnitFactor))))</f>
        <v/>
      </c>
      <c r="U91" s="17" t="str">
        <f aca="false">IF(AK91=0,"",IF(NOT(LH_Ready),"",SUMIFS(INDEX(LH_Data,0,LH_ColAcc),INDEX(LH_Data,0,LH_ColFirst),$A91,INDEX(LH_Data,0,LH_ColSur),$B91,INDEX(LH_Data,0,LH_ColCat),BonusCat,INDEX(LH_Data,0,LH_ColStart),"&gt;="&amp;AL91)*UnitFactor))</f>
        <v/>
      </c>
      <c r="V91" s="17" t="str">
        <f aca="false">IF(AK91=0,"",IF(NOT(LH_Ready),"",SUMIFS(INDEX(LH_Data,0,LH_ColTaken),INDEX(LH_Data,0,LH_ColFirst),$A91,INDEX(LH_Data,0,LH_ColSur),$B91,INDEX(LH_Data,0,LH_ColCat),BonusCat,INDEX(LH_Data,0,LH_ColStart),"&gt;="&amp;AL91)*UnitFactor))</f>
        <v/>
      </c>
      <c r="W91" s="17" t="str">
        <f aca="false">IF(AK91=0,"",IF(NOT(LH_Ready),"",IF(BH91=0,0,INDEX(INDEX(LH_Data,0,LH_ColClose),BH91-1)*UnitFactor)))</f>
        <v/>
      </c>
      <c r="X91" s="17" t="str">
        <f aca="false">IF(AK91=0,"",(MAX(0,BD91-BQ91)-MAX(0,BE91-BQ91))*HoursPerDay)</f>
        <v/>
      </c>
      <c r="Y91" s="17" t="str">
        <f aca="false">IF(AK91=0,"",IF(NOT(LH_Ready),"",IF($AI91="Yes",N(AE91)*HoursPerDay-SUMIFS(INDEX(LH_Data,0,LH_ColAcc),INDEX(LH_Data,0,LH_ColFirst),$A91,INDEX(LH_Data,0,LH_ColSur),$B91,INDEX(LH_Data,0,LH_ColCat),BonusCat,INDEX(LH_Data,0,LH_ColStart),"&gt;="&amp;(EOMONTH(AsOfDate,-1)+1),INDEX(LH_Data,0,LH_ColStart),"&lt;="&amp;AsOfDate)*UnitFactor,IF(BG91=0,N91,N91-N(T91)-N(U91)))))</f>
        <v/>
      </c>
      <c r="Z91" s="16" t="str">
        <f aca="false">IF(OR(AK91=0,Y91=""),"",IF(Y91&gt;0,"Yes","No"))</f>
        <v/>
      </c>
      <c r="AA91" s="16" t="str">
        <f aca="false">IF(AK91=0,IF(LEN($A91&amp;$B91)=0,"","FIX INPUT - StartDate missing"),IF(AD91&lt;&gt;"","FIX INPUT - "&amp;AD91,IF(NOT(LH_Ready),"Paste Leave History export (Settings must show YES)",IF(AND($AI91="Yes",Y91&lt;=0),"OK - EH balance accepted to date"&amp;IF(N(AH91)&gt;0," (EH holds "&amp;AH91&amp;" hrs over the scheme)","")&amp;"; next day "&amp;TEXT(S91,"dd mmm yy")&amp;IF(N(AE91)&gt;0," ("&amp;AE91&amp;" day(s) for "&amp;UPPER(TEXT(AsOfDate,"mmm yyyy"))&amp;" already in EH)",""),IF(Y91&gt;0,"ACCRUE "&amp;ROUND(Y91,2)&amp;" hrs ("&amp;ROUND(Y91/HoursPerDay,2)&amp;" days): "&amp;IF(N(AE91)&gt;0,AE91&amp;" day(s) for "&amp;UPPER(TEXT(AsOfDate,"mmm yyyy"))&amp;" (milestone "&amp;UPPER(TEXT(AF91,"dd mmm yy"))&amp;")"&amp;IF(Y91/HoursPerDay&gt;AE91+0.001," + "&amp;ROUND(Y91/HoursPerDay-AE91,2)&amp;" day(s) catch-up from earlier months",""),"all catch-up from earlier months, nothing new this month")&amp;IF(BG91=0,"; no Bonus Leave in EH yet",""),IF(Y91&lt;0,"CHECK - EH accrued "&amp;ROUND(-Y91,2)&amp;" hrs more than policy since commencement",IF(N(W91)&gt;O91*HoursPerDay+0.01,"CHECK - EH balance "&amp;ROUND(W91-O91*HoursPerDay,2)&amp;" hrs more than policy entitlement",IF(O91&gt;0,"OK - nothing to add"&amp;IF(N(AE91)&gt;0," ("&amp;AE91&amp;" day(s) for "&amp;UPPER(TEXT(AsOfDate,"mmm yyyy"))&amp;" already in EH)",""),IF(AW91="None",R91,"Not yet - first day on "&amp;TEXT(S91,"dd/mm/yyyy"))))))))))</f>
        <v/>
      </c>
      <c r="AB91" s="17" t="str">
        <f aca="false">IF(OR(AK91=0,T91=""),"",MAX(0,BE91-BQ91)*HoursPerDay-T91)</f>
        <v/>
      </c>
      <c r="AC91" s="16" t="str">
        <f aca="false">IF(AK91=0,"",BG91)</f>
        <v/>
      </c>
      <c r="AD91" s="16" t="str">
        <f aca="false">IF(AK91=0,"",TRIM(IF(OR(ISTEXT($F91),ISTEXT($H91),ISTEXT($I91),ISTEXT($G91),ISTEXT($J91),ISTEXT($D91)),"A date is typed as text - retype it as dd/mm/yyyy. ","")&amp;IF(IF($C91="","",IF(OR(ISNUMBER(SEARCH("full",$C91)),UPPER(TRIM($C91))="FT",UPPER(TRIM($C91))="FTE"),"Full-Time",IF(OR(ISNUMBER(SEARCH("part",$C91)),UPPER(TRIM($C91))="PT",UPPER(TRIM($C91))="PTE"),"Part-Time",IF(OR(ISNUMBER(SEARCH("cas",$C91)),UPPER(TRIM($C91))="CAS"),"Casual","Unknown"))))="Unknown","EmploymentType not recognised - use Full-Time, Part-Time or Casual. ","")&amp;IF(AND(AM91&gt;=1,IF(AM91&gt;=3,AS91,IF(AM91=2,AR91,AQ91))&lt;&gt;IF($C91="","",IF(OR(ISNUMBER(SEARCH("full",$C91)),UPPER(TRIM($C91))="FT",UPPER(TRIM($C91))="FTE"),"Full-Time",IF(OR(ISNUMBER(SEARCH("part",$C91)),UPPER(TRIM($C91))="PT",UPPER(TRIM($C91))="PTE"),"Part-Time",IF(OR(ISNUMBER(SEARCH("cas",$C91)),UPPER(TRIM($C91))="CAS"),"Casual","Unknown"))))),"EmploymentType does not match latest start date ("&amp;IF(AM91&gt;=3,AS91,IF(AM91=2,AR91,AQ91))&amp;"). ","")&amp;IF(AND(AM91&gt;=1,AN91&lt;&gt;$F91),"Earliest type date should equal StartDate. ","")&amp;IF(AND(AM91&gt;=2,AN91=AO91),"Two types start on the same date. ","")&amp;IF(AND(OR(ISNUMBER(SEARCH("part",$C91)),UPPER(TRIM($C91))="PT",UPPER(TRIM($C91))="PTE"),$P91=""),"Part-time: enter PT Hrs/Week (blank = 24+). ","")))</f>
        <v/>
      </c>
      <c r="AE91" s="17" t="str">
        <f aca="false">IF(AK91=0,"",O91-MAX(0,BL91-BQ91))</f>
        <v/>
      </c>
      <c r="AF91" s="14" t="str">
        <f aca="false">IF(OR(AK91=0,AE91="",N(AE91)=0,BM91=""),"",EDATE(AL91,BM91))</f>
        <v/>
      </c>
      <c r="AG91" s="17" t="str">
        <f aca="false">IF(AK91=0,"",MIN(BD91,BQ91))</f>
        <v/>
      </c>
      <c r="AH91" s="17" t="str">
        <f aca="false">IF(AK91=0,"",IF(NOT(LH_Ready),"",IF(BG91=0,0,MAX(0,ROUND(N(T91)+N(U91)-N91,2)))))</f>
        <v/>
      </c>
      <c r="AI91" s="12"/>
      <c r="AJ91" s="12"/>
      <c r="AK91" s="16" t="n">
        <f aca="false">IF(OR(LEN($A91&amp;$B91)=0,$F91=""),0,1)</f>
        <v>0</v>
      </c>
      <c r="AL91" s="14" t="str">
        <f aca="false">IF(AK91=0,"",IF(PreSchemeCounts="No",MAX(SchemeStart,IF($J91&lt;&gt;"",$J91,IF(OR(CasualCounts="Yes",COUNT($G91:$I91)=0),$F91,IF(Apply2026="No",IF($I91="",$F91,$I91),IF(COUNT($H91:$I91)=0,$F91,MIN($H91:$I91)))))),IF($J91&lt;&gt;"",$J91,IF(OR(CasualCounts="Yes",COUNT($G91:$I91)=0),$F91,IF(Apply2026="No",IF($I91="",$F91,$I91),IF(COUNT($H91:$I91)=0,$F91,MIN($H91:$I91)))))))</f>
        <v/>
      </c>
      <c r="AM91" s="16" t="str">
        <f aca="false">IF(AK91=0,"",COUNT($G91:$I91))</f>
        <v/>
      </c>
      <c r="AN91" s="14" t="str">
        <f aca="false">IF(AK91=0,"",IFERROR(SMALL($G91:$I91,1),""))</f>
        <v/>
      </c>
      <c r="AO91" s="14" t="str">
        <f aca="false">IF(AK91=0,"",IFERROR(SMALL($G91:$I91,2),""))</f>
        <v/>
      </c>
      <c r="AP91" s="14" t="str">
        <f aca="false">IF(AK91=0,"",IFERROR(SMALL($G91:$I91,3),""))</f>
        <v/>
      </c>
      <c r="AQ91" s="16" t="str">
        <f aca="false">IF(AK91=0,"",IF(AN91="","",IF(AN91=$H91,"Part-Time",IF(AN91=$I91,"Full-Time","Casual"))))</f>
        <v/>
      </c>
      <c r="AR91" s="16" t="str">
        <f aca="false">IF(AK91=0,"",IF(AO91="","",IF(AO91=$H91,"Part-Time",IF(AO91=$I91,"Full-Time","Casual"))))</f>
        <v/>
      </c>
      <c r="AS91" s="16" t="str">
        <f aca="false">IF(AK91=0,"",IF(AP91="","",IF(AP91=$H91,"Part-Time",IF(AP91=$I91,"Full-Time","Casual"))))</f>
        <v/>
      </c>
      <c r="AT91" s="16" t="str">
        <f aca="false">IF(AK91=0,"",IF(AM91=0,IF(OR(ISNUMBER(SEARCH("full",$C91)),UPPER(TRIM($C91))="FT",UPPER(TRIM($C91))="FTE"),"FT",IF(AND(OR(ISNUMBER(SEARCH("part",$C91)),UPPER(TRIM($C91))="PT",UPPER(TRIM($C91))="PTE"),Apply2026="Yes",OR($P91="",N($P91)&gt;=PT_MinHours)),"PT","None")),IF(OR(ISNUMBER(SEARCH("full",AQ91)),UPPER(TRIM(AQ91))="FT",UPPER(TRIM(AQ91))="FTE"),"FT",IF(AND(OR(ISNUMBER(SEARCH("part",AQ91)),UPPER(TRIM(AQ91))="PT",UPPER(TRIM(AQ91))="PTE"),Apply2026="Yes",OR($P91="",N($P91)&gt;=PT_MinHours)),"PT","None"))))</f>
        <v/>
      </c>
      <c r="AU91" s="16" t="str">
        <f aca="false">IF(AK91=0,"",IF(AM91&lt;2,"",IF(OR(ISNUMBER(SEARCH("full",AR91)),UPPER(TRIM(AR91))="FT",UPPER(TRIM(AR91))="FTE"),"FT",IF(AND(OR(ISNUMBER(SEARCH("part",AR91)),UPPER(TRIM(AR91))="PT",UPPER(TRIM(AR91))="PTE"),Apply2026="Yes",OR($P91="",N($P91)&gt;=PT_MinHours)),"PT","None"))))</f>
        <v/>
      </c>
      <c r="AV91" s="16" t="str">
        <f aca="false">IF(AK91=0,"",IF(AM91&lt;3,"",IF(OR(ISNUMBER(SEARCH("full",AS91)),UPPER(TRIM(AS91))="FT",UPPER(TRIM(AS91))="FTE"),"FT",IF(AND(OR(ISNUMBER(SEARCH("part",AS91)),UPPER(TRIM(AS91))="PT",UPPER(TRIM(AS91))="PTE"),Apply2026="Yes",OR($P91="",N($P91)&gt;=PT_MinHours)),"PT","None"))))</f>
        <v/>
      </c>
      <c r="AW91" s="16" t="str">
        <f aca="false">IF(AK91=0,"",IF(AND(AM91&gt;=3,AP91&lt;=AsOfDate),AV91,IF(AND(AM91&gt;=2,AO91&lt;=AsOfDate),AU91,AT91)))</f>
        <v/>
      </c>
      <c r="AX91" s="16" t="str">
        <f aca="false">IF(AK91=0,"",IF(AsOfDate&lt;AL91,-1,12*(YEAR(AsOfDate)-YEAR(AL91))+MONTH(AsOfDate)-MONTH(AL91)-IF(DAY(AsOfDate)&lt;MIN(DAY(AL91),DAY(EOMONTH(AsOfDate,0))),1,0)))</f>
        <v/>
      </c>
      <c r="AY91" s="16" t="str">
        <f aca="false">IF(AK91=0,"",IF(OR(AM91&lt;2,AO91&gt;AsOfDate),AX91,IF((AO91-1)&lt;AL91,-1,12*(YEAR((AO91-1))-YEAR(AL91))+MONTH((AO91-1))-MONTH(AL91)-IF(DAY((AO91-1))&lt;MIN(DAY(AL91),DAY(EOMONTH((AO91-1),0))),1,0))))</f>
        <v/>
      </c>
      <c r="AZ91" s="16" t="str">
        <f aca="false">IF(AK91=0,"",IF(OR(AM91&lt;3,AP91&gt;AsOfDate),AX91,IF((AP91-1)&lt;AL91,-1,12*(YEAR((AP91-1))-YEAR(AL91))+MONTH((AP91-1))-MONTH(AL91)-IF(DAY((AP91-1))&lt;MIN(DAY(AL91),DAY(EOMONTH((AP91-1),0))),1,0))))</f>
        <v/>
      </c>
      <c r="BA91" s="16" t="str">
        <f aca="false">IF(AK91=0,"",IF(PFYDate&lt;AL91,-1,12*(YEAR(PFYDate)-YEAR(AL91))+MONTH(PFYDate)-MONTH(AL91)-IF(DAY(PFYDate)&lt;MIN(DAY(AL91),DAY(EOMONTH(PFYDate,0))),1,0)))</f>
        <v/>
      </c>
      <c r="BB91" s="16" t="str">
        <f aca="false">IF(AK91=0,"",IF(OR(AM91&lt;2,AO91&gt;PFYDate),BA91,IF((AO91-1)&lt;AL91,-1,12*(YEAR((AO91-1))-YEAR(AL91))+MONTH((AO91-1))-MONTH(AL91)-IF(DAY((AO91-1))&lt;MIN(DAY(AL91),DAY(EOMONTH((AO91-1),0))),1,0))))</f>
        <v/>
      </c>
      <c r="BC91" s="16" t="str">
        <f aca="false">IF(AK91=0,"",IF(OR(AM91&lt;3,AP91&gt;PFYDate),BA91,IF((AP91-1)&lt;AL91,-1,12*(YEAR((AP91-1))-YEAR(AL91))+MONTH((AP91-1))-MONTH(AL91)-IF(DAY((AP91-1))&lt;MIN(DAY(AL91),DAY(EOMONTH((AP91-1),0))),1,0))))</f>
        <v/>
      </c>
      <c r="BD91" s="16" t="str">
        <f aca="false">IF(AK91=0,"",IF(AT91="FT",IF(AY91&lt;FT_First,0,IF(AY91&lt;FT_Y5,1+INT((AY91-FT_First)/FT_Int1),FT_PreY5+FT_PerYear*INT((AY91-FT_Y5)/12)+FT_AnnivDays+INT(MOD(AY91-FT_Y5,12)/FT_Int2)-IF(EDATE(AL91,FT_Y5)&lt;PolicyEff,FT_AnnivDays-1,0))),IF(AT91="PT",IF(AY91&lt;PT_First,0,1+INT((AY91-PT_First)/PT_Int)),0))+IF(AND(AM91&gt;=2,AO91&lt;=AsOfDate),IF(AU91="FT",IF(AZ91&lt;FT_First,0,IF(AZ91&lt;FT_Y5,1+INT((AZ91-FT_First)/FT_Int1),FT_PreY5+FT_PerYear*INT((AZ91-FT_Y5)/12)+FT_AnnivDays+INT(MOD(AZ91-FT_Y5,12)/FT_Int2)-IF(EDATE(AL91,FT_Y5)&lt;PolicyEff,FT_AnnivDays-1,0))),IF(AU91="PT",IF(AZ91&lt;PT_First,0,1+INT((AZ91-PT_First)/PT_Int)),0))-IF(AU91="FT",IF(AY91&lt;FT_First,0,IF(AY91&lt;FT_Y5,1+INT((AY91-FT_First)/FT_Int1),FT_PreY5+FT_PerYear*INT((AY91-FT_Y5)/12)+FT_AnnivDays+INT(MOD(AY91-FT_Y5,12)/FT_Int2)-IF(EDATE(AL91,FT_Y5)&lt;PolicyEff,FT_AnnivDays-1,0))),IF(AU91="PT",IF(AY91&lt;PT_First,0,1+INT((AY91-PT_First)/PT_Int)),0)),0)+IF(AND(AM91&gt;=3,AP91&lt;=AsOfDate),IF(AV91="FT",IF(AX91&lt;FT_First,0,IF(AX91&lt;FT_Y5,1+INT((AX91-FT_First)/FT_Int1),FT_PreY5+FT_PerYear*INT((AX91-FT_Y5)/12)+FT_AnnivDays+INT(MOD(AX91-FT_Y5,12)/FT_Int2)-IF(EDATE(AL91,FT_Y5)&lt;PolicyEff,FT_AnnivDays-1,0))),IF(AV91="PT",IF(AX91&lt;PT_First,0,1+INT((AX91-PT_First)/PT_Int)),0))-IF(AV91="FT",IF(AZ91&lt;FT_First,0,IF(AZ91&lt;FT_Y5,1+INT((AZ91-FT_First)/FT_Int1),FT_PreY5+FT_PerYear*INT((AZ91-FT_Y5)/12)+FT_AnnivDays+INT(MOD(AZ91-FT_Y5,12)/FT_Int2)-IF(EDATE(AL91,FT_Y5)&lt;PolicyEff,FT_AnnivDays-1,0))),IF(AV91="PT",IF(AZ91&lt;PT_First,0,1+INT((AZ91-PT_First)/PT_Int)),0)),0))</f>
        <v/>
      </c>
      <c r="BE91" s="16" t="str">
        <f aca="false">IF(AK91=0,"",IF(AT91="FT",IF(BB91&lt;FT_First,0,IF(BB91&lt;FT_Y5,1+INT((BB91-FT_First)/FT_Int1),FT_PreY5+FT_PerYear*INT((BB91-FT_Y5)/12)+FT_AnnivDays+INT(MOD(BB91-FT_Y5,12)/FT_Int2)-IF(EDATE(AL91,FT_Y5)&lt;PolicyEff,FT_AnnivDays-1,0))),IF(AT91="PT",IF(BB91&lt;PT_First,0,1+INT((BB91-PT_First)/PT_Int)),0))+IF(AND(AM91&gt;=2,AO91&lt;=PFYDate),IF(AU91="FT",IF(BC91&lt;FT_First,0,IF(BC91&lt;FT_Y5,1+INT((BC91-FT_First)/FT_Int1),FT_PreY5+FT_PerYear*INT((BC91-FT_Y5)/12)+FT_AnnivDays+INT(MOD(BC91-FT_Y5,12)/FT_Int2)-IF(EDATE(AL91,FT_Y5)&lt;PolicyEff,FT_AnnivDays-1,0))),IF(AU91="PT",IF(BC91&lt;PT_First,0,1+INT((BC91-PT_First)/PT_Int)),0))-IF(AU91="FT",IF(BB91&lt;FT_First,0,IF(BB91&lt;FT_Y5,1+INT((BB91-FT_First)/FT_Int1),FT_PreY5+FT_PerYear*INT((BB91-FT_Y5)/12)+FT_AnnivDays+INT(MOD(BB91-FT_Y5,12)/FT_Int2)-IF(EDATE(AL91,FT_Y5)&lt;PolicyEff,FT_AnnivDays-1,0))),IF(AU91="PT",IF(BB91&lt;PT_First,0,1+INT((BB91-PT_First)/PT_Int)),0)),0)+IF(AND(AM91&gt;=3,AP91&lt;=PFYDate),IF(AV91="FT",IF(BA91&lt;FT_First,0,IF(BA91&lt;FT_Y5,1+INT((BA91-FT_First)/FT_Int1),FT_PreY5+FT_PerYear*INT((BA91-FT_Y5)/12)+FT_AnnivDays+INT(MOD(BA91-FT_Y5,12)/FT_Int2)-IF(EDATE(AL91,FT_Y5)&lt;PolicyEff,FT_AnnivDays-1,0))),IF(AV91="PT",IF(BA91&lt;PT_First,0,1+INT((BA91-PT_First)/PT_Int)),0))-IF(AV91="FT",IF(BC91&lt;FT_First,0,IF(BC91&lt;FT_Y5,1+INT((BC91-FT_First)/FT_Int1),FT_PreY5+FT_PerYear*INT((BC91-FT_Y5)/12)+FT_AnnivDays+INT(MOD(BC91-FT_Y5,12)/FT_Int2)-IF(EDATE(AL91,FT_Y5)&lt;PolicyEff,FT_AnnivDays-1,0))),IF(AV91="PT",IF(BC91&lt;PT_First,0,1+INT((BC91-PT_First)/PT_Int)),0)),0))</f>
        <v/>
      </c>
      <c r="BF91" s="16" t="str">
        <f aca="false">IF(AK91=0,"",IF(AW91="FT",IF(AX91&lt;FT_First,FT_First,IF(AX91&lt;FT_Y5,MIN(FT_Y5,FT_First+FT_Int1*(INT((AX91-FT_First)/FT_Int1)+1)),FT_Y5+12*INT((AX91-FT_Y5)/12)+FT_Int2*(INT(MOD(AX91-FT_Y5,12)/FT_Int2)+1))),IF(AW91="PT",IF(AX91&lt;PT_First,PT_First,PT_First+PT_Int*(INT((AX91-PT_First)/PT_Int)+1)),"")))</f>
        <v/>
      </c>
      <c r="BG91" s="16" t="str">
        <f aca="false">IF(AK91=0,"",IF(NOT(LH_Ready),0,COUNTIFS(INDEX(LH_Data,0,LH_ColFirst),$A91,INDEX(LH_Data,0,LH_ColSur),$B91,INDEX(LH_Data,0,LH_ColCat),BonusCat)))</f>
        <v/>
      </c>
      <c r="BH91" s="16" t="str">
        <f aca="false">IF(AK91=0,"",IF(OR(NOT(LH_Ready),BG91=0),0,SUMPRODUCT(MAX((INDEX(LH_Data,0,LH_ColFirst)=$A91)*(INDEX(LH_Data,0,LH_ColSur)=$B91)*(INDEX(LH_Data,0,LH_ColCat)=BonusCat)*ROW(LH_Data)))))</f>
        <v/>
      </c>
      <c r="BI91" s="16" t="str">
        <f aca="false">IF(AK91=0,"",IF(EOMONTH(AsOfDate,-1)&lt;AL91,-1,12*(YEAR(EOMONTH(AsOfDate,-1))-YEAR(AL91))+MONTH(EOMONTH(AsOfDate,-1))-MONTH(AL91)-IF(DAY(EOMONTH(AsOfDate,-1))&lt;MIN(DAY(AL91),DAY(EOMONTH(EOMONTH(AsOfDate,-1),0))),1,0)))</f>
        <v/>
      </c>
      <c r="BJ91" s="16" t="str">
        <f aca="false">IF(AK91=0,"",IF(OR(AM91&lt;2,AO91&gt;EOMONTH(AsOfDate,-1)),BI91,IF((AO91-1)&lt;AL91,-1,12*(YEAR((AO91-1))-YEAR(AL91))+MONTH((AO91-1))-MONTH(AL91)-IF(DAY((AO91-1))&lt;MIN(DAY(AL91),DAY(EOMONTH((AO91-1),0))),1,0))))</f>
        <v/>
      </c>
      <c r="BK91" s="16" t="str">
        <f aca="false">IF(AK91=0,"",IF(OR(AM91&lt;3,AP91&gt;EOMONTH(AsOfDate,-1)),BI91,IF((AP91-1)&lt;AL91,-1,12*(YEAR((AP91-1))-YEAR(AL91))+MONTH((AP91-1))-MONTH(AL91)-IF(DAY((AP91-1))&lt;MIN(DAY(AL91),DAY(EOMONTH((AP91-1),0))),1,0))))</f>
        <v/>
      </c>
      <c r="BL91" s="16" t="str">
        <f aca="false">IF(AK91=0,"",IF(AT91="FT",IF(BJ91&lt;FT_First,0,IF(BJ91&lt;FT_Y5,1+INT((BJ91-FT_First)/FT_Int1),FT_PreY5+FT_PerYear*INT((BJ91-FT_Y5)/12)+FT_AnnivDays+INT(MOD(BJ91-FT_Y5,12)/FT_Int2)-IF(EDATE(AL91,FT_Y5)&lt;PolicyEff,FT_AnnivDays-1,0))),IF(AT91="PT",IF(BJ91&lt;PT_First,0,1+INT((BJ91-PT_First)/PT_Int)),0))+IF(AND(AM91&gt;=2,AO91&lt;=EOMONTH(AsOfDate,-1)),IF(AU91="FT",IF(BK91&lt;FT_First,0,IF(BK91&lt;FT_Y5,1+INT((BK91-FT_First)/FT_Int1),FT_PreY5+FT_PerYear*INT((BK91-FT_Y5)/12)+FT_AnnivDays+INT(MOD(BK91-FT_Y5,12)/FT_Int2)-IF(EDATE(AL91,FT_Y5)&lt;PolicyEff,FT_AnnivDays-1,0))),IF(AU91="PT",IF(BK91&lt;PT_First,0,1+INT((BK91-PT_First)/PT_Int)),0))-IF(AU91="FT",IF(BJ91&lt;FT_First,0,IF(BJ91&lt;FT_Y5,1+INT((BJ91-FT_First)/FT_Int1),FT_PreY5+FT_PerYear*INT((BJ91-FT_Y5)/12)+FT_AnnivDays+INT(MOD(BJ91-FT_Y5,12)/FT_Int2)-IF(EDATE(AL91,FT_Y5)&lt;PolicyEff,FT_AnnivDays-1,0))),IF(AU91="PT",IF(BJ91&lt;PT_First,0,1+INT((BJ91-PT_First)/PT_Int)),0)),0)+IF(AND(AM91&gt;=3,AP91&lt;=EOMONTH(AsOfDate,-1)),IF(AV91="FT",IF(BI91&lt;FT_First,0,IF(BI91&lt;FT_Y5,1+INT((BI91-FT_First)/FT_Int1),FT_PreY5+FT_PerYear*INT((BI91-FT_Y5)/12)+FT_AnnivDays+INT(MOD(BI91-FT_Y5,12)/FT_Int2)-IF(EDATE(AL91,FT_Y5)&lt;PolicyEff,FT_AnnivDays-1,0))),IF(AV91="PT",IF(BI91&lt;PT_First,0,1+INT((BI91-PT_First)/PT_Int)),0))-IF(AV91="FT",IF(BK91&lt;FT_First,0,IF(BK91&lt;FT_Y5,1+INT((BK91-FT_First)/FT_Int1),FT_PreY5+FT_PerYear*INT((BK91-FT_Y5)/12)+FT_AnnivDays+INT(MOD(BK91-FT_Y5,12)/FT_Int2)-IF(EDATE(AL91,FT_Y5)&lt;PolicyEff,FT_AnnivDays-1,0))),IF(AV91="PT",IF(BK91&lt;PT_First,0,1+INT((BK91-PT_First)/PT_Int)),0)),0))</f>
        <v/>
      </c>
      <c r="BM91" s="16" t="str">
        <f aca="false">IF(AK91=0,"",IF(AW91="FT",IF(AX91&lt;FT_First,"",IF(AX91&lt;FT_Y5,FT_First+FT_Int1*INT((AX91-FT_First)/FT_Int1),FT_Y5+FT_Int2*INT((AX91-FT_Y5)/FT_Int2))),IF(AW91="PT",IF(AX91&lt;PT_First,"",PT_First+PT_Int*INT((AX91-PT_First)/PT_Int)),"")))</f>
        <v/>
      </c>
      <c r="BN91" s="16" t="str">
        <f aca="false">IF(AK91=0,"",IF((SchemeStart-1)&lt;AL91,-1,12*(YEAR((SchemeStart-1))-YEAR(AL91))+MONTH((SchemeStart-1))-MONTH(AL91)-IF(DAY((SchemeStart-1))&lt;MIN(DAY(AL91),DAY(EOMONTH((SchemeStart-1),0))),1,0)))</f>
        <v/>
      </c>
      <c r="BO91" s="16" t="str">
        <f aca="false">IF(AK91=0,"",IF(OR(AM91&lt;2,AO91&gt;(SchemeStart-1)),BN91,IF((AO91-1)&lt;AL91,-1,12*(YEAR((AO91-1))-YEAR(AL91))+MONTH((AO91-1))-MONTH(AL91)-IF(DAY((AO91-1))&lt;MIN(DAY(AL91),DAY(EOMONTH((AO91-1),0))),1,0))))</f>
        <v/>
      </c>
      <c r="BP91" s="16" t="str">
        <f aca="false">IF(AK91=0,"",IF(OR(AM91&lt;3,AP91&gt;(SchemeStart-1)),BN91,IF((AP91-1)&lt;AL91,-1,12*(YEAR((AP91-1))-YEAR(AL91))+MONTH((AP91-1))-MONTH(AL91)-IF(DAY((AP91-1))&lt;MIN(DAY(AL91),DAY(EOMONTH((AP91-1),0))),1,0))))</f>
        <v/>
      </c>
      <c r="BQ91" s="16" t="str">
        <f aca="false">IF(AK91=0,"",IF(AT91="FT",IF(BO91&lt;FT_First,0,IF(BO91&lt;FT_Y5,1+INT((BO91-FT_First)/FT_Int1),FT_PreY5+FT_PerYear*INT((BO91-FT_Y5)/12)+FT_AnnivDays+INT(MOD(BO91-FT_Y5,12)/FT_Int2)-IF(EDATE(AL91,FT_Y5)&lt;PolicyEff,FT_AnnivDays-1,0))),IF(AT91="PT",IF(BO91&lt;PT_First,0,1+INT((BO91-PT_First)/PT_Int)),0))+IF(AND(AM91&gt;=2,AO91&lt;=(SchemeStart-1)),IF(AU91="FT",IF(BP91&lt;FT_First,0,IF(BP91&lt;FT_Y5,1+INT((BP91-FT_First)/FT_Int1),FT_PreY5+FT_PerYear*INT((BP91-FT_Y5)/12)+FT_AnnivDays+INT(MOD(BP91-FT_Y5,12)/FT_Int2)-IF(EDATE(AL91,FT_Y5)&lt;PolicyEff,FT_AnnivDays-1,0))),IF(AU91="PT",IF(BP91&lt;PT_First,0,1+INT((BP91-PT_First)/PT_Int)),0))-IF(AU91="FT",IF(BO91&lt;FT_First,0,IF(BO91&lt;FT_Y5,1+INT((BO91-FT_First)/FT_Int1),FT_PreY5+FT_PerYear*INT((BO91-FT_Y5)/12)+FT_AnnivDays+INT(MOD(BO91-FT_Y5,12)/FT_Int2)-IF(EDATE(AL91,FT_Y5)&lt;PolicyEff,FT_AnnivDays-1,0))),IF(AU91="PT",IF(BO91&lt;PT_First,0,1+INT((BO91-PT_First)/PT_Int)),0)),0)+IF(AND(AM91&gt;=3,AP91&lt;=(SchemeStart-1)),IF(AV91="FT",IF(BN91&lt;FT_First,0,IF(BN91&lt;FT_Y5,1+INT((BN91-FT_First)/FT_Int1),FT_PreY5+FT_PerYear*INT((BN91-FT_Y5)/12)+FT_AnnivDays+INT(MOD(BN91-FT_Y5,12)/FT_Int2)-IF(EDATE(AL91,FT_Y5)&lt;PolicyEff,FT_AnnivDays-1,0))),IF(AV91="PT",IF(BN91&lt;PT_First,0,1+INT((BN91-PT_First)/PT_Int)),0))-IF(AV91="FT",IF(BP91&lt;FT_First,0,IF(BP91&lt;FT_Y5,1+INT((BP91-FT_First)/FT_Int1),FT_PreY5+FT_PerYear*INT((BP91-FT_Y5)/12)+FT_AnnivDays+INT(MOD(BP91-FT_Y5,12)/FT_Int2)-IF(EDATE(AL91,FT_Y5)&lt;PolicyEff,FT_AnnivDays-1,0))),IF(AV91="PT",IF(BP91&lt;PT_First,0,1+INT((BP91-PT_First)/PT_Int)),0)),0))</f>
        <v/>
      </c>
      <c r="BR91" s="0" t="str">
        <f aca="false">IF(LEN($A91&amp;$B91)=0,"",$A91&amp;" "&amp;$B91)</f>
        <v/>
      </c>
    </row>
    <row r="92" customFormat="false" ht="15" hidden="false" customHeight="false" outlineLevel="0" collapsed="false">
      <c r="A92" s="12"/>
      <c r="B92" s="12"/>
      <c r="C92" s="12"/>
      <c r="D92" s="13"/>
      <c r="E92" s="14" t="str">
        <f aca="false">IF(OR(AK92=0,$D92=""),"",DATE(YEAR(AsOfDate)+IF(DATE(YEAR(AsOfDate),MONTH($D92),DAY($D92))&lt;=AsOfDate,1,0),MONTH($D92),DAY($D92)))</f>
        <v/>
      </c>
      <c r="F92" s="13"/>
      <c r="G92" s="13"/>
      <c r="H92" s="13"/>
      <c r="I92" s="13"/>
      <c r="J92" s="13"/>
      <c r="K92" s="14" t="str">
        <f aca="false">IF(AK92=0,"",DATE(YEAR(AsOfDate)+IF(DATE(YEAR(AsOfDate),MONTH(AL92),DAY(AL92))&lt;=AsOfDate,1,0),MONTH(AL92),DAY(AL92)))</f>
        <v/>
      </c>
      <c r="L92" s="15" t="str">
        <f aca="false">IF(AK92=0,"",ROUND((AsOfDate-AL92)/365.25,1))</f>
        <v/>
      </c>
      <c r="M92" s="16" t="str">
        <f aca="false">IF(AK92=0,"",IF(AsOfDate&lt;AL92,"-",DATEDIF(AL92,AsOfDate,"y")&amp;"y "&amp;DATEDIF(AL92,AsOfDate,"ym")&amp;"m "&amp;DATEDIF(AL92,AsOfDate,"md")&amp;"d"))</f>
        <v/>
      </c>
      <c r="N92" s="17" t="str">
        <f aca="false">IF(AK92=0,"",O92*HoursPerDay)</f>
        <v/>
      </c>
      <c r="O92" s="17" t="str">
        <f aca="false">IF(AK92=0,"",MAX(0,BD92-BQ92))</f>
        <v/>
      </c>
      <c r="P92" s="18"/>
      <c r="Q92" s="16" t="str">
        <f aca="false">IF(AK92=0,"",IF(AM92&lt;2,"",AQ92&amp;" to "&amp;AR92&amp;" on "&amp;TEXT(AO92,"dd/mm/yyyy")&amp;IF(AO92&gt;AsOfDate," (future)",IF(AT92=AU92,"",IF(AU92="None"," - STOPPED accruing",IF(AT92="None"," - commencement for Bonus Leave"," - pathway changed"))))&amp;IF(AM92&lt;3,"","; "&amp;AR92&amp;" to "&amp;AS92&amp;" on "&amp;TEXT(AP92,"dd/mm/yyyy")&amp;IF(AP92&gt;AsOfDate," (future)",IF(AU92=AV92,"",IF(AV92="None"," - STOPPED accruing",IF(AU92="None"," - commencement for Bonus Leave"," - pathway changed")))))))</f>
        <v/>
      </c>
      <c r="R92" s="16" t="str">
        <f aca="false">IF(AK92=0,"",IF(AW92="None",IF(O92&gt;0,"No longer accruing","Not eligible - "&amp;IF(AND(OR(ISNUMBER(SEARCH("part",$C92)),UPPER(TRIM($C92))="PT",UPPER(TRIM($C92))="PTE"),Apply2026="No"),"part-time (scheme is full-time only)",IF(AND(OR(ISNUMBER(SEARCH("part",$C92)),UPPER(TRIM($C92))="PT",UPPER(TRIM($C92))="PTE"),$P92&lt;&gt;"",N($P92)&lt;PT_MinHours),"under "&amp;PT_MinHours&amp;" hrs",IF(IF($C92="","",IF(OR(ISNUMBER(SEARCH("full",$C92)),UPPER(TRIM($C92))="FT",UPPER(TRIM($C92))="FTE"),"Full-Time",IF(OR(ISNUMBER(SEARCH("part",$C92)),UPPER(TRIM($C92))="PT",UPPER(TRIM($C92))="PTE"),"Part-Time",IF(OR(ISNUMBER(SEARCH("cas",$C92)),UPPER(TRIM($C92))="CAS"),"Casual","Unknown"))))="Unknown","type not recognised",$C92)))),IF(O92&gt;0,"Yes - Accrual Required","Not yet - from "&amp;TEXT(S92,"dd/mm/yyyy"))))</f>
        <v/>
      </c>
      <c r="S92" s="14" t="str">
        <f aca="false">IF(AK92=0,"",IF(AW92="None","",EDATE(AL92,BF92)))</f>
        <v/>
      </c>
      <c r="T92" s="17" t="str">
        <f aca="false">IF(AK92=0,"",IF(NOT(LH_Ready),"",IF($F92&gt;PFYDate,0,IF(LH_ColPeriod=0,W92-U92+V92,SUMIFS(INDEX(LH_Data,0,LH_ColAcc),INDEX(LH_Data,0,LH_ColFirst),$A92,INDEX(LH_Data,0,LH_ColSur),$B92,INDEX(LH_Data,0,LH_ColCat),BonusCat,INDEX(LH_Data,0,LH_ColPeriod),LH_OpenLabel)*UnitFactor))))</f>
        <v/>
      </c>
      <c r="U92" s="17" t="str">
        <f aca="false">IF(AK92=0,"",IF(NOT(LH_Ready),"",SUMIFS(INDEX(LH_Data,0,LH_ColAcc),INDEX(LH_Data,0,LH_ColFirst),$A92,INDEX(LH_Data,0,LH_ColSur),$B92,INDEX(LH_Data,0,LH_ColCat),BonusCat,INDEX(LH_Data,0,LH_ColStart),"&gt;="&amp;AL92)*UnitFactor))</f>
        <v/>
      </c>
      <c r="V92" s="17" t="str">
        <f aca="false">IF(AK92=0,"",IF(NOT(LH_Ready),"",SUMIFS(INDEX(LH_Data,0,LH_ColTaken),INDEX(LH_Data,0,LH_ColFirst),$A92,INDEX(LH_Data,0,LH_ColSur),$B92,INDEX(LH_Data,0,LH_ColCat),BonusCat,INDEX(LH_Data,0,LH_ColStart),"&gt;="&amp;AL92)*UnitFactor))</f>
        <v/>
      </c>
      <c r="W92" s="17" t="str">
        <f aca="false">IF(AK92=0,"",IF(NOT(LH_Ready),"",IF(BH92=0,0,INDEX(INDEX(LH_Data,0,LH_ColClose),BH92-1)*UnitFactor)))</f>
        <v/>
      </c>
      <c r="X92" s="17" t="str">
        <f aca="false">IF(AK92=0,"",(MAX(0,BD92-BQ92)-MAX(0,BE92-BQ92))*HoursPerDay)</f>
        <v/>
      </c>
      <c r="Y92" s="17" t="str">
        <f aca="false">IF(AK92=0,"",IF(NOT(LH_Ready),"",IF($AI92="Yes",N(AE92)*HoursPerDay-SUMIFS(INDEX(LH_Data,0,LH_ColAcc),INDEX(LH_Data,0,LH_ColFirst),$A92,INDEX(LH_Data,0,LH_ColSur),$B92,INDEX(LH_Data,0,LH_ColCat),BonusCat,INDEX(LH_Data,0,LH_ColStart),"&gt;="&amp;(EOMONTH(AsOfDate,-1)+1),INDEX(LH_Data,0,LH_ColStart),"&lt;="&amp;AsOfDate)*UnitFactor,IF(BG92=0,N92,N92-N(T92)-N(U92)))))</f>
        <v/>
      </c>
      <c r="Z92" s="16" t="str">
        <f aca="false">IF(OR(AK92=0,Y92=""),"",IF(Y92&gt;0,"Yes","No"))</f>
        <v/>
      </c>
      <c r="AA92" s="16" t="str">
        <f aca="false">IF(AK92=0,IF(LEN($A92&amp;$B92)=0,"","FIX INPUT - StartDate missing"),IF(AD92&lt;&gt;"","FIX INPUT - "&amp;AD92,IF(NOT(LH_Ready),"Paste Leave History export (Settings must show YES)",IF(AND($AI92="Yes",Y92&lt;=0),"OK - EH balance accepted to date"&amp;IF(N(AH92)&gt;0," (EH holds "&amp;AH92&amp;" hrs over the scheme)","")&amp;"; next day "&amp;TEXT(S92,"dd mmm yy")&amp;IF(N(AE92)&gt;0," ("&amp;AE92&amp;" day(s) for "&amp;UPPER(TEXT(AsOfDate,"mmm yyyy"))&amp;" already in EH)",""),IF(Y92&gt;0,"ACCRUE "&amp;ROUND(Y92,2)&amp;" hrs ("&amp;ROUND(Y92/HoursPerDay,2)&amp;" days): "&amp;IF(N(AE92)&gt;0,AE92&amp;" day(s) for "&amp;UPPER(TEXT(AsOfDate,"mmm yyyy"))&amp;" (milestone "&amp;UPPER(TEXT(AF92,"dd mmm yy"))&amp;")"&amp;IF(Y92/HoursPerDay&gt;AE92+0.001," + "&amp;ROUND(Y92/HoursPerDay-AE92,2)&amp;" day(s) catch-up from earlier months",""),"all catch-up from earlier months, nothing new this month")&amp;IF(BG92=0,"; no Bonus Leave in EH yet",""),IF(Y92&lt;0,"CHECK - EH accrued "&amp;ROUND(-Y92,2)&amp;" hrs more than policy since commencement",IF(N(W92)&gt;O92*HoursPerDay+0.01,"CHECK - EH balance "&amp;ROUND(W92-O92*HoursPerDay,2)&amp;" hrs more than policy entitlement",IF(O92&gt;0,"OK - nothing to add"&amp;IF(N(AE92)&gt;0," ("&amp;AE92&amp;" day(s) for "&amp;UPPER(TEXT(AsOfDate,"mmm yyyy"))&amp;" already in EH)",""),IF(AW92="None",R92,"Not yet - first day on "&amp;TEXT(S92,"dd/mm/yyyy"))))))))))</f>
        <v/>
      </c>
      <c r="AB92" s="17" t="str">
        <f aca="false">IF(OR(AK92=0,T92=""),"",MAX(0,BE92-BQ92)*HoursPerDay-T92)</f>
        <v/>
      </c>
      <c r="AC92" s="16" t="str">
        <f aca="false">IF(AK92=0,"",BG92)</f>
        <v/>
      </c>
      <c r="AD92" s="16" t="str">
        <f aca="false">IF(AK92=0,"",TRIM(IF(OR(ISTEXT($F92),ISTEXT($H92),ISTEXT($I92),ISTEXT($G92),ISTEXT($J92),ISTEXT($D92)),"A date is typed as text - retype it as dd/mm/yyyy. ","")&amp;IF(IF($C92="","",IF(OR(ISNUMBER(SEARCH("full",$C92)),UPPER(TRIM($C92))="FT",UPPER(TRIM($C92))="FTE"),"Full-Time",IF(OR(ISNUMBER(SEARCH("part",$C92)),UPPER(TRIM($C92))="PT",UPPER(TRIM($C92))="PTE"),"Part-Time",IF(OR(ISNUMBER(SEARCH("cas",$C92)),UPPER(TRIM($C92))="CAS"),"Casual","Unknown"))))="Unknown","EmploymentType not recognised - use Full-Time, Part-Time or Casual. ","")&amp;IF(AND(AM92&gt;=1,IF(AM92&gt;=3,AS92,IF(AM92=2,AR92,AQ92))&lt;&gt;IF($C92="","",IF(OR(ISNUMBER(SEARCH("full",$C92)),UPPER(TRIM($C92))="FT",UPPER(TRIM($C92))="FTE"),"Full-Time",IF(OR(ISNUMBER(SEARCH("part",$C92)),UPPER(TRIM($C92))="PT",UPPER(TRIM($C92))="PTE"),"Part-Time",IF(OR(ISNUMBER(SEARCH("cas",$C92)),UPPER(TRIM($C92))="CAS"),"Casual","Unknown"))))),"EmploymentType does not match latest start date ("&amp;IF(AM92&gt;=3,AS92,IF(AM92=2,AR92,AQ92))&amp;"). ","")&amp;IF(AND(AM92&gt;=1,AN92&lt;&gt;$F92),"Earliest type date should equal StartDate. ","")&amp;IF(AND(AM92&gt;=2,AN92=AO92),"Two types start on the same date. ","")&amp;IF(AND(OR(ISNUMBER(SEARCH("part",$C92)),UPPER(TRIM($C92))="PT",UPPER(TRIM($C92))="PTE"),$P92=""),"Part-time: enter PT Hrs/Week (blank = 24+). ","")))</f>
        <v/>
      </c>
      <c r="AE92" s="17" t="str">
        <f aca="false">IF(AK92=0,"",O92-MAX(0,BL92-BQ92))</f>
        <v/>
      </c>
      <c r="AF92" s="14" t="str">
        <f aca="false">IF(OR(AK92=0,AE92="",N(AE92)=0,BM92=""),"",EDATE(AL92,BM92))</f>
        <v/>
      </c>
      <c r="AG92" s="17" t="str">
        <f aca="false">IF(AK92=0,"",MIN(BD92,BQ92))</f>
        <v/>
      </c>
      <c r="AH92" s="17" t="str">
        <f aca="false">IF(AK92=0,"",IF(NOT(LH_Ready),"",IF(BG92=0,0,MAX(0,ROUND(N(T92)+N(U92)-N92,2)))))</f>
        <v/>
      </c>
      <c r="AI92" s="12"/>
      <c r="AJ92" s="12"/>
      <c r="AK92" s="16" t="n">
        <f aca="false">IF(OR(LEN($A92&amp;$B92)=0,$F92=""),0,1)</f>
        <v>0</v>
      </c>
      <c r="AL92" s="14" t="str">
        <f aca="false">IF(AK92=0,"",IF(PreSchemeCounts="No",MAX(SchemeStart,IF($J92&lt;&gt;"",$J92,IF(OR(CasualCounts="Yes",COUNT($G92:$I92)=0),$F92,IF(Apply2026="No",IF($I92="",$F92,$I92),IF(COUNT($H92:$I92)=0,$F92,MIN($H92:$I92)))))),IF($J92&lt;&gt;"",$J92,IF(OR(CasualCounts="Yes",COUNT($G92:$I92)=0),$F92,IF(Apply2026="No",IF($I92="",$F92,$I92),IF(COUNT($H92:$I92)=0,$F92,MIN($H92:$I92)))))))</f>
        <v/>
      </c>
      <c r="AM92" s="16" t="str">
        <f aca="false">IF(AK92=0,"",COUNT($G92:$I92))</f>
        <v/>
      </c>
      <c r="AN92" s="14" t="str">
        <f aca="false">IF(AK92=0,"",IFERROR(SMALL($G92:$I92,1),""))</f>
        <v/>
      </c>
      <c r="AO92" s="14" t="str">
        <f aca="false">IF(AK92=0,"",IFERROR(SMALL($G92:$I92,2),""))</f>
        <v/>
      </c>
      <c r="AP92" s="14" t="str">
        <f aca="false">IF(AK92=0,"",IFERROR(SMALL($G92:$I92,3),""))</f>
        <v/>
      </c>
      <c r="AQ92" s="16" t="str">
        <f aca="false">IF(AK92=0,"",IF(AN92="","",IF(AN92=$H92,"Part-Time",IF(AN92=$I92,"Full-Time","Casual"))))</f>
        <v/>
      </c>
      <c r="AR92" s="16" t="str">
        <f aca="false">IF(AK92=0,"",IF(AO92="","",IF(AO92=$H92,"Part-Time",IF(AO92=$I92,"Full-Time","Casual"))))</f>
        <v/>
      </c>
      <c r="AS92" s="16" t="str">
        <f aca="false">IF(AK92=0,"",IF(AP92="","",IF(AP92=$H92,"Part-Time",IF(AP92=$I92,"Full-Time","Casual"))))</f>
        <v/>
      </c>
      <c r="AT92" s="16" t="str">
        <f aca="false">IF(AK92=0,"",IF(AM92=0,IF(OR(ISNUMBER(SEARCH("full",$C92)),UPPER(TRIM($C92))="FT",UPPER(TRIM($C92))="FTE"),"FT",IF(AND(OR(ISNUMBER(SEARCH("part",$C92)),UPPER(TRIM($C92))="PT",UPPER(TRIM($C92))="PTE"),Apply2026="Yes",OR($P92="",N($P92)&gt;=PT_MinHours)),"PT","None")),IF(OR(ISNUMBER(SEARCH("full",AQ92)),UPPER(TRIM(AQ92))="FT",UPPER(TRIM(AQ92))="FTE"),"FT",IF(AND(OR(ISNUMBER(SEARCH("part",AQ92)),UPPER(TRIM(AQ92))="PT",UPPER(TRIM(AQ92))="PTE"),Apply2026="Yes",OR($P92="",N($P92)&gt;=PT_MinHours)),"PT","None"))))</f>
        <v/>
      </c>
      <c r="AU92" s="16" t="str">
        <f aca="false">IF(AK92=0,"",IF(AM92&lt;2,"",IF(OR(ISNUMBER(SEARCH("full",AR92)),UPPER(TRIM(AR92))="FT",UPPER(TRIM(AR92))="FTE"),"FT",IF(AND(OR(ISNUMBER(SEARCH("part",AR92)),UPPER(TRIM(AR92))="PT",UPPER(TRIM(AR92))="PTE"),Apply2026="Yes",OR($P92="",N($P92)&gt;=PT_MinHours)),"PT","None"))))</f>
        <v/>
      </c>
      <c r="AV92" s="16" t="str">
        <f aca="false">IF(AK92=0,"",IF(AM92&lt;3,"",IF(OR(ISNUMBER(SEARCH("full",AS92)),UPPER(TRIM(AS92))="FT",UPPER(TRIM(AS92))="FTE"),"FT",IF(AND(OR(ISNUMBER(SEARCH("part",AS92)),UPPER(TRIM(AS92))="PT",UPPER(TRIM(AS92))="PTE"),Apply2026="Yes",OR($P92="",N($P92)&gt;=PT_MinHours)),"PT","None"))))</f>
        <v/>
      </c>
      <c r="AW92" s="16" t="str">
        <f aca="false">IF(AK92=0,"",IF(AND(AM92&gt;=3,AP92&lt;=AsOfDate),AV92,IF(AND(AM92&gt;=2,AO92&lt;=AsOfDate),AU92,AT92)))</f>
        <v/>
      </c>
      <c r="AX92" s="16" t="str">
        <f aca="false">IF(AK92=0,"",IF(AsOfDate&lt;AL92,-1,12*(YEAR(AsOfDate)-YEAR(AL92))+MONTH(AsOfDate)-MONTH(AL92)-IF(DAY(AsOfDate)&lt;MIN(DAY(AL92),DAY(EOMONTH(AsOfDate,0))),1,0)))</f>
        <v/>
      </c>
      <c r="AY92" s="16" t="str">
        <f aca="false">IF(AK92=0,"",IF(OR(AM92&lt;2,AO92&gt;AsOfDate),AX92,IF((AO92-1)&lt;AL92,-1,12*(YEAR((AO92-1))-YEAR(AL92))+MONTH((AO92-1))-MONTH(AL92)-IF(DAY((AO92-1))&lt;MIN(DAY(AL92),DAY(EOMONTH((AO92-1),0))),1,0))))</f>
        <v/>
      </c>
      <c r="AZ92" s="16" t="str">
        <f aca="false">IF(AK92=0,"",IF(OR(AM92&lt;3,AP92&gt;AsOfDate),AX92,IF((AP92-1)&lt;AL92,-1,12*(YEAR((AP92-1))-YEAR(AL92))+MONTH((AP92-1))-MONTH(AL92)-IF(DAY((AP92-1))&lt;MIN(DAY(AL92),DAY(EOMONTH((AP92-1),0))),1,0))))</f>
        <v/>
      </c>
      <c r="BA92" s="16" t="str">
        <f aca="false">IF(AK92=0,"",IF(PFYDate&lt;AL92,-1,12*(YEAR(PFYDate)-YEAR(AL92))+MONTH(PFYDate)-MONTH(AL92)-IF(DAY(PFYDate)&lt;MIN(DAY(AL92),DAY(EOMONTH(PFYDate,0))),1,0)))</f>
        <v/>
      </c>
      <c r="BB92" s="16" t="str">
        <f aca="false">IF(AK92=0,"",IF(OR(AM92&lt;2,AO92&gt;PFYDate),BA92,IF((AO92-1)&lt;AL92,-1,12*(YEAR((AO92-1))-YEAR(AL92))+MONTH((AO92-1))-MONTH(AL92)-IF(DAY((AO92-1))&lt;MIN(DAY(AL92),DAY(EOMONTH((AO92-1),0))),1,0))))</f>
        <v/>
      </c>
      <c r="BC92" s="16" t="str">
        <f aca="false">IF(AK92=0,"",IF(OR(AM92&lt;3,AP92&gt;PFYDate),BA92,IF((AP92-1)&lt;AL92,-1,12*(YEAR((AP92-1))-YEAR(AL92))+MONTH((AP92-1))-MONTH(AL92)-IF(DAY((AP92-1))&lt;MIN(DAY(AL92),DAY(EOMONTH((AP92-1),0))),1,0))))</f>
        <v/>
      </c>
      <c r="BD92" s="16" t="str">
        <f aca="false">IF(AK92=0,"",IF(AT92="FT",IF(AY92&lt;FT_First,0,IF(AY92&lt;FT_Y5,1+INT((AY92-FT_First)/FT_Int1),FT_PreY5+FT_PerYear*INT((AY92-FT_Y5)/12)+FT_AnnivDays+INT(MOD(AY92-FT_Y5,12)/FT_Int2)-IF(EDATE(AL92,FT_Y5)&lt;PolicyEff,FT_AnnivDays-1,0))),IF(AT92="PT",IF(AY92&lt;PT_First,0,1+INT((AY92-PT_First)/PT_Int)),0))+IF(AND(AM92&gt;=2,AO92&lt;=AsOfDate),IF(AU92="FT",IF(AZ92&lt;FT_First,0,IF(AZ92&lt;FT_Y5,1+INT((AZ92-FT_First)/FT_Int1),FT_PreY5+FT_PerYear*INT((AZ92-FT_Y5)/12)+FT_AnnivDays+INT(MOD(AZ92-FT_Y5,12)/FT_Int2)-IF(EDATE(AL92,FT_Y5)&lt;PolicyEff,FT_AnnivDays-1,0))),IF(AU92="PT",IF(AZ92&lt;PT_First,0,1+INT((AZ92-PT_First)/PT_Int)),0))-IF(AU92="FT",IF(AY92&lt;FT_First,0,IF(AY92&lt;FT_Y5,1+INT((AY92-FT_First)/FT_Int1),FT_PreY5+FT_PerYear*INT((AY92-FT_Y5)/12)+FT_AnnivDays+INT(MOD(AY92-FT_Y5,12)/FT_Int2)-IF(EDATE(AL92,FT_Y5)&lt;PolicyEff,FT_AnnivDays-1,0))),IF(AU92="PT",IF(AY92&lt;PT_First,0,1+INT((AY92-PT_First)/PT_Int)),0)),0)+IF(AND(AM92&gt;=3,AP92&lt;=AsOfDate),IF(AV92="FT",IF(AX92&lt;FT_First,0,IF(AX92&lt;FT_Y5,1+INT((AX92-FT_First)/FT_Int1),FT_PreY5+FT_PerYear*INT((AX92-FT_Y5)/12)+FT_AnnivDays+INT(MOD(AX92-FT_Y5,12)/FT_Int2)-IF(EDATE(AL92,FT_Y5)&lt;PolicyEff,FT_AnnivDays-1,0))),IF(AV92="PT",IF(AX92&lt;PT_First,0,1+INT((AX92-PT_First)/PT_Int)),0))-IF(AV92="FT",IF(AZ92&lt;FT_First,0,IF(AZ92&lt;FT_Y5,1+INT((AZ92-FT_First)/FT_Int1),FT_PreY5+FT_PerYear*INT((AZ92-FT_Y5)/12)+FT_AnnivDays+INT(MOD(AZ92-FT_Y5,12)/FT_Int2)-IF(EDATE(AL92,FT_Y5)&lt;PolicyEff,FT_AnnivDays-1,0))),IF(AV92="PT",IF(AZ92&lt;PT_First,0,1+INT((AZ92-PT_First)/PT_Int)),0)),0))</f>
        <v/>
      </c>
      <c r="BE92" s="16" t="str">
        <f aca="false">IF(AK92=0,"",IF(AT92="FT",IF(BB92&lt;FT_First,0,IF(BB92&lt;FT_Y5,1+INT((BB92-FT_First)/FT_Int1),FT_PreY5+FT_PerYear*INT((BB92-FT_Y5)/12)+FT_AnnivDays+INT(MOD(BB92-FT_Y5,12)/FT_Int2)-IF(EDATE(AL92,FT_Y5)&lt;PolicyEff,FT_AnnivDays-1,0))),IF(AT92="PT",IF(BB92&lt;PT_First,0,1+INT((BB92-PT_First)/PT_Int)),0))+IF(AND(AM92&gt;=2,AO92&lt;=PFYDate),IF(AU92="FT",IF(BC92&lt;FT_First,0,IF(BC92&lt;FT_Y5,1+INT((BC92-FT_First)/FT_Int1),FT_PreY5+FT_PerYear*INT((BC92-FT_Y5)/12)+FT_AnnivDays+INT(MOD(BC92-FT_Y5,12)/FT_Int2)-IF(EDATE(AL92,FT_Y5)&lt;PolicyEff,FT_AnnivDays-1,0))),IF(AU92="PT",IF(BC92&lt;PT_First,0,1+INT((BC92-PT_First)/PT_Int)),0))-IF(AU92="FT",IF(BB92&lt;FT_First,0,IF(BB92&lt;FT_Y5,1+INT((BB92-FT_First)/FT_Int1),FT_PreY5+FT_PerYear*INT((BB92-FT_Y5)/12)+FT_AnnivDays+INT(MOD(BB92-FT_Y5,12)/FT_Int2)-IF(EDATE(AL92,FT_Y5)&lt;PolicyEff,FT_AnnivDays-1,0))),IF(AU92="PT",IF(BB92&lt;PT_First,0,1+INT((BB92-PT_First)/PT_Int)),0)),0)+IF(AND(AM92&gt;=3,AP92&lt;=PFYDate),IF(AV92="FT",IF(BA92&lt;FT_First,0,IF(BA92&lt;FT_Y5,1+INT((BA92-FT_First)/FT_Int1),FT_PreY5+FT_PerYear*INT((BA92-FT_Y5)/12)+FT_AnnivDays+INT(MOD(BA92-FT_Y5,12)/FT_Int2)-IF(EDATE(AL92,FT_Y5)&lt;PolicyEff,FT_AnnivDays-1,0))),IF(AV92="PT",IF(BA92&lt;PT_First,0,1+INT((BA92-PT_First)/PT_Int)),0))-IF(AV92="FT",IF(BC92&lt;FT_First,0,IF(BC92&lt;FT_Y5,1+INT((BC92-FT_First)/FT_Int1),FT_PreY5+FT_PerYear*INT((BC92-FT_Y5)/12)+FT_AnnivDays+INT(MOD(BC92-FT_Y5,12)/FT_Int2)-IF(EDATE(AL92,FT_Y5)&lt;PolicyEff,FT_AnnivDays-1,0))),IF(AV92="PT",IF(BC92&lt;PT_First,0,1+INT((BC92-PT_First)/PT_Int)),0)),0))</f>
        <v/>
      </c>
      <c r="BF92" s="16" t="str">
        <f aca="false">IF(AK92=0,"",IF(AW92="FT",IF(AX92&lt;FT_First,FT_First,IF(AX92&lt;FT_Y5,MIN(FT_Y5,FT_First+FT_Int1*(INT((AX92-FT_First)/FT_Int1)+1)),FT_Y5+12*INT((AX92-FT_Y5)/12)+FT_Int2*(INT(MOD(AX92-FT_Y5,12)/FT_Int2)+1))),IF(AW92="PT",IF(AX92&lt;PT_First,PT_First,PT_First+PT_Int*(INT((AX92-PT_First)/PT_Int)+1)),"")))</f>
        <v/>
      </c>
      <c r="BG92" s="16" t="str">
        <f aca="false">IF(AK92=0,"",IF(NOT(LH_Ready),0,COUNTIFS(INDEX(LH_Data,0,LH_ColFirst),$A92,INDEX(LH_Data,0,LH_ColSur),$B92,INDEX(LH_Data,0,LH_ColCat),BonusCat)))</f>
        <v/>
      </c>
      <c r="BH92" s="16" t="str">
        <f aca="false">IF(AK92=0,"",IF(OR(NOT(LH_Ready),BG92=0),0,SUMPRODUCT(MAX((INDEX(LH_Data,0,LH_ColFirst)=$A92)*(INDEX(LH_Data,0,LH_ColSur)=$B92)*(INDEX(LH_Data,0,LH_ColCat)=BonusCat)*ROW(LH_Data)))))</f>
        <v/>
      </c>
      <c r="BI92" s="16" t="str">
        <f aca="false">IF(AK92=0,"",IF(EOMONTH(AsOfDate,-1)&lt;AL92,-1,12*(YEAR(EOMONTH(AsOfDate,-1))-YEAR(AL92))+MONTH(EOMONTH(AsOfDate,-1))-MONTH(AL92)-IF(DAY(EOMONTH(AsOfDate,-1))&lt;MIN(DAY(AL92),DAY(EOMONTH(EOMONTH(AsOfDate,-1),0))),1,0)))</f>
        <v/>
      </c>
      <c r="BJ92" s="16" t="str">
        <f aca="false">IF(AK92=0,"",IF(OR(AM92&lt;2,AO92&gt;EOMONTH(AsOfDate,-1)),BI92,IF((AO92-1)&lt;AL92,-1,12*(YEAR((AO92-1))-YEAR(AL92))+MONTH((AO92-1))-MONTH(AL92)-IF(DAY((AO92-1))&lt;MIN(DAY(AL92),DAY(EOMONTH((AO92-1),0))),1,0))))</f>
        <v/>
      </c>
      <c r="BK92" s="16" t="str">
        <f aca="false">IF(AK92=0,"",IF(OR(AM92&lt;3,AP92&gt;EOMONTH(AsOfDate,-1)),BI92,IF((AP92-1)&lt;AL92,-1,12*(YEAR((AP92-1))-YEAR(AL92))+MONTH((AP92-1))-MONTH(AL92)-IF(DAY((AP92-1))&lt;MIN(DAY(AL92),DAY(EOMONTH((AP92-1),0))),1,0))))</f>
        <v/>
      </c>
      <c r="BL92" s="16" t="str">
        <f aca="false">IF(AK92=0,"",IF(AT92="FT",IF(BJ92&lt;FT_First,0,IF(BJ92&lt;FT_Y5,1+INT((BJ92-FT_First)/FT_Int1),FT_PreY5+FT_PerYear*INT((BJ92-FT_Y5)/12)+FT_AnnivDays+INT(MOD(BJ92-FT_Y5,12)/FT_Int2)-IF(EDATE(AL92,FT_Y5)&lt;PolicyEff,FT_AnnivDays-1,0))),IF(AT92="PT",IF(BJ92&lt;PT_First,0,1+INT((BJ92-PT_First)/PT_Int)),0))+IF(AND(AM92&gt;=2,AO92&lt;=EOMONTH(AsOfDate,-1)),IF(AU92="FT",IF(BK92&lt;FT_First,0,IF(BK92&lt;FT_Y5,1+INT((BK92-FT_First)/FT_Int1),FT_PreY5+FT_PerYear*INT((BK92-FT_Y5)/12)+FT_AnnivDays+INT(MOD(BK92-FT_Y5,12)/FT_Int2)-IF(EDATE(AL92,FT_Y5)&lt;PolicyEff,FT_AnnivDays-1,0))),IF(AU92="PT",IF(BK92&lt;PT_First,0,1+INT((BK92-PT_First)/PT_Int)),0))-IF(AU92="FT",IF(BJ92&lt;FT_First,0,IF(BJ92&lt;FT_Y5,1+INT((BJ92-FT_First)/FT_Int1),FT_PreY5+FT_PerYear*INT((BJ92-FT_Y5)/12)+FT_AnnivDays+INT(MOD(BJ92-FT_Y5,12)/FT_Int2)-IF(EDATE(AL92,FT_Y5)&lt;PolicyEff,FT_AnnivDays-1,0))),IF(AU92="PT",IF(BJ92&lt;PT_First,0,1+INT((BJ92-PT_First)/PT_Int)),0)),0)+IF(AND(AM92&gt;=3,AP92&lt;=EOMONTH(AsOfDate,-1)),IF(AV92="FT",IF(BI92&lt;FT_First,0,IF(BI92&lt;FT_Y5,1+INT((BI92-FT_First)/FT_Int1),FT_PreY5+FT_PerYear*INT((BI92-FT_Y5)/12)+FT_AnnivDays+INT(MOD(BI92-FT_Y5,12)/FT_Int2)-IF(EDATE(AL92,FT_Y5)&lt;PolicyEff,FT_AnnivDays-1,0))),IF(AV92="PT",IF(BI92&lt;PT_First,0,1+INT((BI92-PT_First)/PT_Int)),0))-IF(AV92="FT",IF(BK92&lt;FT_First,0,IF(BK92&lt;FT_Y5,1+INT((BK92-FT_First)/FT_Int1),FT_PreY5+FT_PerYear*INT((BK92-FT_Y5)/12)+FT_AnnivDays+INT(MOD(BK92-FT_Y5,12)/FT_Int2)-IF(EDATE(AL92,FT_Y5)&lt;PolicyEff,FT_AnnivDays-1,0))),IF(AV92="PT",IF(BK92&lt;PT_First,0,1+INT((BK92-PT_First)/PT_Int)),0)),0))</f>
        <v/>
      </c>
      <c r="BM92" s="16" t="str">
        <f aca="false">IF(AK92=0,"",IF(AW92="FT",IF(AX92&lt;FT_First,"",IF(AX92&lt;FT_Y5,FT_First+FT_Int1*INT((AX92-FT_First)/FT_Int1),FT_Y5+FT_Int2*INT((AX92-FT_Y5)/FT_Int2))),IF(AW92="PT",IF(AX92&lt;PT_First,"",PT_First+PT_Int*INT((AX92-PT_First)/PT_Int)),"")))</f>
        <v/>
      </c>
      <c r="BN92" s="16" t="str">
        <f aca="false">IF(AK92=0,"",IF((SchemeStart-1)&lt;AL92,-1,12*(YEAR((SchemeStart-1))-YEAR(AL92))+MONTH((SchemeStart-1))-MONTH(AL92)-IF(DAY((SchemeStart-1))&lt;MIN(DAY(AL92),DAY(EOMONTH((SchemeStart-1),0))),1,0)))</f>
        <v/>
      </c>
      <c r="BO92" s="16" t="str">
        <f aca="false">IF(AK92=0,"",IF(OR(AM92&lt;2,AO92&gt;(SchemeStart-1)),BN92,IF((AO92-1)&lt;AL92,-1,12*(YEAR((AO92-1))-YEAR(AL92))+MONTH((AO92-1))-MONTH(AL92)-IF(DAY((AO92-1))&lt;MIN(DAY(AL92),DAY(EOMONTH((AO92-1),0))),1,0))))</f>
        <v/>
      </c>
      <c r="BP92" s="16" t="str">
        <f aca="false">IF(AK92=0,"",IF(OR(AM92&lt;3,AP92&gt;(SchemeStart-1)),BN92,IF((AP92-1)&lt;AL92,-1,12*(YEAR((AP92-1))-YEAR(AL92))+MONTH((AP92-1))-MONTH(AL92)-IF(DAY((AP92-1))&lt;MIN(DAY(AL92),DAY(EOMONTH((AP92-1),0))),1,0))))</f>
        <v/>
      </c>
      <c r="BQ92" s="16" t="str">
        <f aca="false">IF(AK92=0,"",IF(AT92="FT",IF(BO92&lt;FT_First,0,IF(BO92&lt;FT_Y5,1+INT((BO92-FT_First)/FT_Int1),FT_PreY5+FT_PerYear*INT((BO92-FT_Y5)/12)+FT_AnnivDays+INT(MOD(BO92-FT_Y5,12)/FT_Int2)-IF(EDATE(AL92,FT_Y5)&lt;PolicyEff,FT_AnnivDays-1,0))),IF(AT92="PT",IF(BO92&lt;PT_First,0,1+INT((BO92-PT_First)/PT_Int)),0))+IF(AND(AM92&gt;=2,AO92&lt;=(SchemeStart-1)),IF(AU92="FT",IF(BP92&lt;FT_First,0,IF(BP92&lt;FT_Y5,1+INT((BP92-FT_First)/FT_Int1),FT_PreY5+FT_PerYear*INT((BP92-FT_Y5)/12)+FT_AnnivDays+INT(MOD(BP92-FT_Y5,12)/FT_Int2)-IF(EDATE(AL92,FT_Y5)&lt;PolicyEff,FT_AnnivDays-1,0))),IF(AU92="PT",IF(BP92&lt;PT_First,0,1+INT((BP92-PT_First)/PT_Int)),0))-IF(AU92="FT",IF(BO92&lt;FT_First,0,IF(BO92&lt;FT_Y5,1+INT((BO92-FT_First)/FT_Int1),FT_PreY5+FT_PerYear*INT((BO92-FT_Y5)/12)+FT_AnnivDays+INT(MOD(BO92-FT_Y5,12)/FT_Int2)-IF(EDATE(AL92,FT_Y5)&lt;PolicyEff,FT_AnnivDays-1,0))),IF(AU92="PT",IF(BO92&lt;PT_First,0,1+INT((BO92-PT_First)/PT_Int)),0)),0)+IF(AND(AM92&gt;=3,AP92&lt;=(SchemeStart-1)),IF(AV92="FT",IF(BN92&lt;FT_First,0,IF(BN92&lt;FT_Y5,1+INT((BN92-FT_First)/FT_Int1),FT_PreY5+FT_PerYear*INT((BN92-FT_Y5)/12)+FT_AnnivDays+INT(MOD(BN92-FT_Y5,12)/FT_Int2)-IF(EDATE(AL92,FT_Y5)&lt;PolicyEff,FT_AnnivDays-1,0))),IF(AV92="PT",IF(BN92&lt;PT_First,0,1+INT((BN92-PT_First)/PT_Int)),0))-IF(AV92="FT",IF(BP92&lt;FT_First,0,IF(BP92&lt;FT_Y5,1+INT((BP92-FT_First)/FT_Int1),FT_PreY5+FT_PerYear*INT((BP92-FT_Y5)/12)+FT_AnnivDays+INT(MOD(BP92-FT_Y5,12)/FT_Int2)-IF(EDATE(AL92,FT_Y5)&lt;PolicyEff,FT_AnnivDays-1,0))),IF(AV92="PT",IF(BP92&lt;PT_First,0,1+INT((BP92-PT_First)/PT_Int)),0)),0))</f>
        <v/>
      </c>
      <c r="BR92" s="0" t="str">
        <f aca="false">IF(LEN($A92&amp;$B92)=0,"",$A92&amp;" "&amp;$B92)</f>
        <v/>
      </c>
    </row>
    <row r="93" customFormat="false" ht="15" hidden="false" customHeight="false" outlineLevel="0" collapsed="false">
      <c r="A93" s="12"/>
      <c r="B93" s="12"/>
      <c r="C93" s="12"/>
      <c r="D93" s="13"/>
      <c r="E93" s="14" t="str">
        <f aca="false">IF(OR(AK93=0,$D93=""),"",DATE(YEAR(AsOfDate)+IF(DATE(YEAR(AsOfDate),MONTH($D93),DAY($D93))&lt;=AsOfDate,1,0),MONTH($D93),DAY($D93)))</f>
        <v/>
      </c>
      <c r="F93" s="13"/>
      <c r="G93" s="13"/>
      <c r="H93" s="13"/>
      <c r="I93" s="13"/>
      <c r="J93" s="13"/>
      <c r="K93" s="14" t="str">
        <f aca="false">IF(AK93=0,"",DATE(YEAR(AsOfDate)+IF(DATE(YEAR(AsOfDate),MONTH(AL93),DAY(AL93))&lt;=AsOfDate,1,0),MONTH(AL93),DAY(AL93)))</f>
        <v/>
      </c>
      <c r="L93" s="15" t="str">
        <f aca="false">IF(AK93=0,"",ROUND((AsOfDate-AL93)/365.25,1))</f>
        <v/>
      </c>
      <c r="M93" s="16" t="str">
        <f aca="false">IF(AK93=0,"",IF(AsOfDate&lt;AL93,"-",DATEDIF(AL93,AsOfDate,"y")&amp;"y "&amp;DATEDIF(AL93,AsOfDate,"ym")&amp;"m "&amp;DATEDIF(AL93,AsOfDate,"md")&amp;"d"))</f>
        <v/>
      </c>
      <c r="N93" s="17" t="str">
        <f aca="false">IF(AK93=0,"",O93*HoursPerDay)</f>
        <v/>
      </c>
      <c r="O93" s="17" t="str">
        <f aca="false">IF(AK93=0,"",MAX(0,BD93-BQ93))</f>
        <v/>
      </c>
      <c r="P93" s="18"/>
      <c r="Q93" s="16" t="str">
        <f aca="false">IF(AK93=0,"",IF(AM93&lt;2,"",AQ93&amp;" to "&amp;AR93&amp;" on "&amp;TEXT(AO93,"dd/mm/yyyy")&amp;IF(AO93&gt;AsOfDate," (future)",IF(AT93=AU93,"",IF(AU93="None"," - STOPPED accruing",IF(AT93="None"," - commencement for Bonus Leave"," - pathway changed"))))&amp;IF(AM93&lt;3,"","; "&amp;AR93&amp;" to "&amp;AS93&amp;" on "&amp;TEXT(AP93,"dd/mm/yyyy")&amp;IF(AP93&gt;AsOfDate," (future)",IF(AU93=AV93,"",IF(AV93="None"," - STOPPED accruing",IF(AU93="None"," - commencement for Bonus Leave"," - pathway changed")))))))</f>
        <v/>
      </c>
      <c r="R93" s="16" t="str">
        <f aca="false">IF(AK93=0,"",IF(AW93="None",IF(O93&gt;0,"No longer accruing","Not eligible - "&amp;IF(AND(OR(ISNUMBER(SEARCH("part",$C93)),UPPER(TRIM($C93))="PT",UPPER(TRIM($C93))="PTE"),Apply2026="No"),"part-time (scheme is full-time only)",IF(AND(OR(ISNUMBER(SEARCH("part",$C93)),UPPER(TRIM($C93))="PT",UPPER(TRIM($C93))="PTE"),$P93&lt;&gt;"",N($P93)&lt;PT_MinHours),"under "&amp;PT_MinHours&amp;" hrs",IF(IF($C93="","",IF(OR(ISNUMBER(SEARCH("full",$C93)),UPPER(TRIM($C93))="FT",UPPER(TRIM($C93))="FTE"),"Full-Time",IF(OR(ISNUMBER(SEARCH("part",$C93)),UPPER(TRIM($C93))="PT",UPPER(TRIM($C93))="PTE"),"Part-Time",IF(OR(ISNUMBER(SEARCH("cas",$C93)),UPPER(TRIM($C93))="CAS"),"Casual","Unknown"))))="Unknown","type not recognised",$C93)))),IF(O93&gt;0,"Yes - Accrual Required","Not yet - from "&amp;TEXT(S93,"dd/mm/yyyy"))))</f>
        <v/>
      </c>
      <c r="S93" s="14" t="str">
        <f aca="false">IF(AK93=0,"",IF(AW93="None","",EDATE(AL93,BF93)))</f>
        <v/>
      </c>
      <c r="T93" s="17" t="str">
        <f aca="false">IF(AK93=0,"",IF(NOT(LH_Ready),"",IF($F93&gt;PFYDate,0,IF(LH_ColPeriod=0,W93-U93+V93,SUMIFS(INDEX(LH_Data,0,LH_ColAcc),INDEX(LH_Data,0,LH_ColFirst),$A93,INDEX(LH_Data,0,LH_ColSur),$B93,INDEX(LH_Data,0,LH_ColCat),BonusCat,INDEX(LH_Data,0,LH_ColPeriod),LH_OpenLabel)*UnitFactor))))</f>
        <v/>
      </c>
      <c r="U93" s="17" t="str">
        <f aca="false">IF(AK93=0,"",IF(NOT(LH_Ready),"",SUMIFS(INDEX(LH_Data,0,LH_ColAcc),INDEX(LH_Data,0,LH_ColFirst),$A93,INDEX(LH_Data,0,LH_ColSur),$B93,INDEX(LH_Data,0,LH_ColCat),BonusCat,INDEX(LH_Data,0,LH_ColStart),"&gt;="&amp;AL93)*UnitFactor))</f>
        <v/>
      </c>
      <c r="V93" s="17" t="str">
        <f aca="false">IF(AK93=0,"",IF(NOT(LH_Ready),"",SUMIFS(INDEX(LH_Data,0,LH_ColTaken),INDEX(LH_Data,0,LH_ColFirst),$A93,INDEX(LH_Data,0,LH_ColSur),$B93,INDEX(LH_Data,0,LH_ColCat),BonusCat,INDEX(LH_Data,0,LH_ColStart),"&gt;="&amp;AL93)*UnitFactor))</f>
        <v/>
      </c>
      <c r="W93" s="17" t="str">
        <f aca="false">IF(AK93=0,"",IF(NOT(LH_Ready),"",IF(BH93=0,0,INDEX(INDEX(LH_Data,0,LH_ColClose),BH93-1)*UnitFactor)))</f>
        <v/>
      </c>
      <c r="X93" s="17" t="str">
        <f aca="false">IF(AK93=0,"",(MAX(0,BD93-BQ93)-MAX(0,BE93-BQ93))*HoursPerDay)</f>
        <v/>
      </c>
      <c r="Y93" s="17" t="str">
        <f aca="false">IF(AK93=0,"",IF(NOT(LH_Ready),"",IF($AI93="Yes",N(AE93)*HoursPerDay-SUMIFS(INDEX(LH_Data,0,LH_ColAcc),INDEX(LH_Data,0,LH_ColFirst),$A93,INDEX(LH_Data,0,LH_ColSur),$B93,INDEX(LH_Data,0,LH_ColCat),BonusCat,INDEX(LH_Data,0,LH_ColStart),"&gt;="&amp;(EOMONTH(AsOfDate,-1)+1),INDEX(LH_Data,0,LH_ColStart),"&lt;="&amp;AsOfDate)*UnitFactor,IF(BG93=0,N93,N93-N(T93)-N(U93)))))</f>
        <v/>
      </c>
      <c r="Z93" s="16" t="str">
        <f aca="false">IF(OR(AK93=0,Y93=""),"",IF(Y93&gt;0,"Yes","No"))</f>
        <v/>
      </c>
      <c r="AA93" s="16" t="str">
        <f aca="false">IF(AK93=0,IF(LEN($A93&amp;$B93)=0,"","FIX INPUT - StartDate missing"),IF(AD93&lt;&gt;"","FIX INPUT - "&amp;AD93,IF(NOT(LH_Ready),"Paste Leave History export (Settings must show YES)",IF(AND($AI93="Yes",Y93&lt;=0),"OK - EH balance accepted to date"&amp;IF(N(AH93)&gt;0," (EH holds "&amp;AH93&amp;" hrs over the scheme)","")&amp;"; next day "&amp;TEXT(S93,"dd mmm yy")&amp;IF(N(AE93)&gt;0," ("&amp;AE93&amp;" day(s) for "&amp;UPPER(TEXT(AsOfDate,"mmm yyyy"))&amp;" already in EH)",""),IF(Y93&gt;0,"ACCRUE "&amp;ROUND(Y93,2)&amp;" hrs ("&amp;ROUND(Y93/HoursPerDay,2)&amp;" days): "&amp;IF(N(AE93)&gt;0,AE93&amp;" day(s) for "&amp;UPPER(TEXT(AsOfDate,"mmm yyyy"))&amp;" (milestone "&amp;UPPER(TEXT(AF93,"dd mmm yy"))&amp;")"&amp;IF(Y93/HoursPerDay&gt;AE93+0.001," + "&amp;ROUND(Y93/HoursPerDay-AE93,2)&amp;" day(s) catch-up from earlier months",""),"all catch-up from earlier months, nothing new this month")&amp;IF(BG93=0,"; no Bonus Leave in EH yet",""),IF(Y93&lt;0,"CHECK - EH accrued "&amp;ROUND(-Y93,2)&amp;" hrs more than policy since commencement",IF(N(W93)&gt;O93*HoursPerDay+0.01,"CHECK - EH balance "&amp;ROUND(W93-O93*HoursPerDay,2)&amp;" hrs more than policy entitlement",IF(O93&gt;0,"OK - nothing to add"&amp;IF(N(AE93)&gt;0," ("&amp;AE93&amp;" day(s) for "&amp;UPPER(TEXT(AsOfDate,"mmm yyyy"))&amp;" already in EH)",""),IF(AW93="None",R93,"Not yet - first day on "&amp;TEXT(S93,"dd/mm/yyyy"))))))))))</f>
        <v/>
      </c>
      <c r="AB93" s="17" t="str">
        <f aca="false">IF(OR(AK93=0,T93=""),"",MAX(0,BE93-BQ93)*HoursPerDay-T93)</f>
        <v/>
      </c>
      <c r="AC93" s="16" t="str">
        <f aca="false">IF(AK93=0,"",BG93)</f>
        <v/>
      </c>
      <c r="AD93" s="16" t="str">
        <f aca="false">IF(AK93=0,"",TRIM(IF(OR(ISTEXT($F93),ISTEXT($H93),ISTEXT($I93),ISTEXT($G93),ISTEXT($J93),ISTEXT($D93)),"A date is typed as text - retype it as dd/mm/yyyy. ","")&amp;IF(IF($C93="","",IF(OR(ISNUMBER(SEARCH("full",$C93)),UPPER(TRIM($C93))="FT",UPPER(TRIM($C93))="FTE"),"Full-Time",IF(OR(ISNUMBER(SEARCH("part",$C93)),UPPER(TRIM($C93))="PT",UPPER(TRIM($C93))="PTE"),"Part-Time",IF(OR(ISNUMBER(SEARCH("cas",$C93)),UPPER(TRIM($C93))="CAS"),"Casual","Unknown"))))="Unknown","EmploymentType not recognised - use Full-Time, Part-Time or Casual. ","")&amp;IF(AND(AM93&gt;=1,IF(AM93&gt;=3,AS93,IF(AM93=2,AR93,AQ93))&lt;&gt;IF($C93="","",IF(OR(ISNUMBER(SEARCH("full",$C93)),UPPER(TRIM($C93))="FT",UPPER(TRIM($C93))="FTE"),"Full-Time",IF(OR(ISNUMBER(SEARCH("part",$C93)),UPPER(TRIM($C93))="PT",UPPER(TRIM($C93))="PTE"),"Part-Time",IF(OR(ISNUMBER(SEARCH("cas",$C93)),UPPER(TRIM($C93))="CAS"),"Casual","Unknown"))))),"EmploymentType does not match latest start date ("&amp;IF(AM93&gt;=3,AS93,IF(AM93=2,AR93,AQ93))&amp;"). ","")&amp;IF(AND(AM93&gt;=1,AN93&lt;&gt;$F93),"Earliest type date should equal StartDate. ","")&amp;IF(AND(AM93&gt;=2,AN93=AO93),"Two types start on the same date. ","")&amp;IF(AND(OR(ISNUMBER(SEARCH("part",$C93)),UPPER(TRIM($C93))="PT",UPPER(TRIM($C93))="PTE"),$P93=""),"Part-time: enter PT Hrs/Week (blank = 24+). ","")))</f>
        <v/>
      </c>
      <c r="AE93" s="17" t="str">
        <f aca="false">IF(AK93=0,"",O93-MAX(0,BL93-BQ93))</f>
        <v/>
      </c>
      <c r="AF93" s="14" t="str">
        <f aca="false">IF(OR(AK93=0,AE93="",N(AE93)=0,BM93=""),"",EDATE(AL93,BM93))</f>
        <v/>
      </c>
      <c r="AG93" s="17" t="str">
        <f aca="false">IF(AK93=0,"",MIN(BD93,BQ93))</f>
        <v/>
      </c>
      <c r="AH93" s="17" t="str">
        <f aca="false">IF(AK93=0,"",IF(NOT(LH_Ready),"",IF(BG93=0,0,MAX(0,ROUND(N(T93)+N(U93)-N93,2)))))</f>
        <v/>
      </c>
      <c r="AI93" s="12"/>
      <c r="AJ93" s="12"/>
      <c r="AK93" s="16" t="n">
        <f aca="false">IF(OR(LEN($A93&amp;$B93)=0,$F93=""),0,1)</f>
        <v>0</v>
      </c>
      <c r="AL93" s="14" t="str">
        <f aca="false">IF(AK93=0,"",IF(PreSchemeCounts="No",MAX(SchemeStart,IF($J93&lt;&gt;"",$J93,IF(OR(CasualCounts="Yes",COUNT($G93:$I93)=0),$F93,IF(Apply2026="No",IF($I93="",$F93,$I93),IF(COUNT($H93:$I93)=0,$F93,MIN($H93:$I93)))))),IF($J93&lt;&gt;"",$J93,IF(OR(CasualCounts="Yes",COUNT($G93:$I93)=0),$F93,IF(Apply2026="No",IF($I93="",$F93,$I93),IF(COUNT($H93:$I93)=0,$F93,MIN($H93:$I93)))))))</f>
        <v/>
      </c>
      <c r="AM93" s="16" t="str">
        <f aca="false">IF(AK93=0,"",COUNT($G93:$I93))</f>
        <v/>
      </c>
      <c r="AN93" s="14" t="str">
        <f aca="false">IF(AK93=0,"",IFERROR(SMALL($G93:$I93,1),""))</f>
        <v/>
      </c>
      <c r="AO93" s="14" t="str">
        <f aca="false">IF(AK93=0,"",IFERROR(SMALL($G93:$I93,2),""))</f>
        <v/>
      </c>
      <c r="AP93" s="14" t="str">
        <f aca="false">IF(AK93=0,"",IFERROR(SMALL($G93:$I93,3),""))</f>
        <v/>
      </c>
      <c r="AQ93" s="16" t="str">
        <f aca="false">IF(AK93=0,"",IF(AN93="","",IF(AN93=$H93,"Part-Time",IF(AN93=$I93,"Full-Time","Casual"))))</f>
        <v/>
      </c>
      <c r="AR93" s="16" t="str">
        <f aca="false">IF(AK93=0,"",IF(AO93="","",IF(AO93=$H93,"Part-Time",IF(AO93=$I93,"Full-Time","Casual"))))</f>
        <v/>
      </c>
      <c r="AS93" s="16" t="str">
        <f aca="false">IF(AK93=0,"",IF(AP93="","",IF(AP93=$H93,"Part-Time",IF(AP93=$I93,"Full-Time","Casual"))))</f>
        <v/>
      </c>
      <c r="AT93" s="16" t="str">
        <f aca="false">IF(AK93=0,"",IF(AM93=0,IF(OR(ISNUMBER(SEARCH("full",$C93)),UPPER(TRIM($C93))="FT",UPPER(TRIM($C93))="FTE"),"FT",IF(AND(OR(ISNUMBER(SEARCH("part",$C93)),UPPER(TRIM($C93))="PT",UPPER(TRIM($C93))="PTE"),Apply2026="Yes",OR($P93="",N($P93)&gt;=PT_MinHours)),"PT","None")),IF(OR(ISNUMBER(SEARCH("full",AQ93)),UPPER(TRIM(AQ93))="FT",UPPER(TRIM(AQ93))="FTE"),"FT",IF(AND(OR(ISNUMBER(SEARCH("part",AQ93)),UPPER(TRIM(AQ93))="PT",UPPER(TRIM(AQ93))="PTE"),Apply2026="Yes",OR($P93="",N($P93)&gt;=PT_MinHours)),"PT","None"))))</f>
        <v/>
      </c>
      <c r="AU93" s="16" t="str">
        <f aca="false">IF(AK93=0,"",IF(AM93&lt;2,"",IF(OR(ISNUMBER(SEARCH("full",AR93)),UPPER(TRIM(AR93))="FT",UPPER(TRIM(AR93))="FTE"),"FT",IF(AND(OR(ISNUMBER(SEARCH("part",AR93)),UPPER(TRIM(AR93))="PT",UPPER(TRIM(AR93))="PTE"),Apply2026="Yes",OR($P93="",N($P93)&gt;=PT_MinHours)),"PT","None"))))</f>
        <v/>
      </c>
      <c r="AV93" s="16" t="str">
        <f aca="false">IF(AK93=0,"",IF(AM93&lt;3,"",IF(OR(ISNUMBER(SEARCH("full",AS93)),UPPER(TRIM(AS93))="FT",UPPER(TRIM(AS93))="FTE"),"FT",IF(AND(OR(ISNUMBER(SEARCH("part",AS93)),UPPER(TRIM(AS93))="PT",UPPER(TRIM(AS93))="PTE"),Apply2026="Yes",OR($P93="",N($P93)&gt;=PT_MinHours)),"PT","None"))))</f>
        <v/>
      </c>
      <c r="AW93" s="16" t="str">
        <f aca="false">IF(AK93=0,"",IF(AND(AM93&gt;=3,AP93&lt;=AsOfDate),AV93,IF(AND(AM93&gt;=2,AO93&lt;=AsOfDate),AU93,AT93)))</f>
        <v/>
      </c>
      <c r="AX93" s="16" t="str">
        <f aca="false">IF(AK93=0,"",IF(AsOfDate&lt;AL93,-1,12*(YEAR(AsOfDate)-YEAR(AL93))+MONTH(AsOfDate)-MONTH(AL93)-IF(DAY(AsOfDate)&lt;MIN(DAY(AL93),DAY(EOMONTH(AsOfDate,0))),1,0)))</f>
        <v/>
      </c>
      <c r="AY93" s="16" t="str">
        <f aca="false">IF(AK93=0,"",IF(OR(AM93&lt;2,AO93&gt;AsOfDate),AX93,IF((AO93-1)&lt;AL93,-1,12*(YEAR((AO93-1))-YEAR(AL93))+MONTH((AO93-1))-MONTH(AL93)-IF(DAY((AO93-1))&lt;MIN(DAY(AL93),DAY(EOMONTH((AO93-1),0))),1,0))))</f>
        <v/>
      </c>
      <c r="AZ93" s="16" t="str">
        <f aca="false">IF(AK93=0,"",IF(OR(AM93&lt;3,AP93&gt;AsOfDate),AX93,IF((AP93-1)&lt;AL93,-1,12*(YEAR((AP93-1))-YEAR(AL93))+MONTH((AP93-1))-MONTH(AL93)-IF(DAY((AP93-1))&lt;MIN(DAY(AL93),DAY(EOMONTH((AP93-1),0))),1,0))))</f>
        <v/>
      </c>
      <c r="BA93" s="16" t="str">
        <f aca="false">IF(AK93=0,"",IF(PFYDate&lt;AL93,-1,12*(YEAR(PFYDate)-YEAR(AL93))+MONTH(PFYDate)-MONTH(AL93)-IF(DAY(PFYDate)&lt;MIN(DAY(AL93),DAY(EOMONTH(PFYDate,0))),1,0)))</f>
        <v/>
      </c>
      <c r="BB93" s="16" t="str">
        <f aca="false">IF(AK93=0,"",IF(OR(AM93&lt;2,AO93&gt;PFYDate),BA93,IF((AO93-1)&lt;AL93,-1,12*(YEAR((AO93-1))-YEAR(AL93))+MONTH((AO93-1))-MONTH(AL93)-IF(DAY((AO93-1))&lt;MIN(DAY(AL93),DAY(EOMONTH((AO93-1),0))),1,0))))</f>
        <v/>
      </c>
      <c r="BC93" s="16" t="str">
        <f aca="false">IF(AK93=0,"",IF(OR(AM93&lt;3,AP93&gt;PFYDate),BA93,IF((AP93-1)&lt;AL93,-1,12*(YEAR((AP93-1))-YEAR(AL93))+MONTH((AP93-1))-MONTH(AL93)-IF(DAY((AP93-1))&lt;MIN(DAY(AL93),DAY(EOMONTH((AP93-1),0))),1,0))))</f>
        <v/>
      </c>
      <c r="BD93" s="16" t="str">
        <f aca="false">IF(AK93=0,"",IF(AT93="FT",IF(AY93&lt;FT_First,0,IF(AY93&lt;FT_Y5,1+INT((AY93-FT_First)/FT_Int1),FT_PreY5+FT_PerYear*INT((AY93-FT_Y5)/12)+FT_AnnivDays+INT(MOD(AY93-FT_Y5,12)/FT_Int2)-IF(EDATE(AL93,FT_Y5)&lt;PolicyEff,FT_AnnivDays-1,0))),IF(AT93="PT",IF(AY93&lt;PT_First,0,1+INT((AY93-PT_First)/PT_Int)),0))+IF(AND(AM93&gt;=2,AO93&lt;=AsOfDate),IF(AU93="FT",IF(AZ93&lt;FT_First,0,IF(AZ93&lt;FT_Y5,1+INT((AZ93-FT_First)/FT_Int1),FT_PreY5+FT_PerYear*INT((AZ93-FT_Y5)/12)+FT_AnnivDays+INT(MOD(AZ93-FT_Y5,12)/FT_Int2)-IF(EDATE(AL93,FT_Y5)&lt;PolicyEff,FT_AnnivDays-1,0))),IF(AU93="PT",IF(AZ93&lt;PT_First,0,1+INT((AZ93-PT_First)/PT_Int)),0))-IF(AU93="FT",IF(AY93&lt;FT_First,0,IF(AY93&lt;FT_Y5,1+INT((AY93-FT_First)/FT_Int1),FT_PreY5+FT_PerYear*INT((AY93-FT_Y5)/12)+FT_AnnivDays+INT(MOD(AY93-FT_Y5,12)/FT_Int2)-IF(EDATE(AL93,FT_Y5)&lt;PolicyEff,FT_AnnivDays-1,0))),IF(AU93="PT",IF(AY93&lt;PT_First,0,1+INT((AY93-PT_First)/PT_Int)),0)),0)+IF(AND(AM93&gt;=3,AP93&lt;=AsOfDate),IF(AV93="FT",IF(AX93&lt;FT_First,0,IF(AX93&lt;FT_Y5,1+INT((AX93-FT_First)/FT_Int1),FT_PreY5+FT_PerYear*INT((AX93-FT_Y5)/12)+FT_AnnivDays+INT(MOD(AX93-FT_Y5,12)/FT_Int2)-IF(EDATE(AL93,FT_Y5)&lt;PolicyEff,FT_AnnivDays-1,0))),IF(AV93="PT",IF(AX93&lt;PT_First,0,1+INT((AX93-PT_First)/PT_Int)),0))-IF(AV93="FT",IF(AZ93&lt;FT_First,0,IF(AZ93&lt;FT_Y5,1+INT((AZ93-FT_First)/FT_Int1),FT_PreY5+FT_PerYear*INT((AZ93-FT_Y5)/12)+FT_AnnivDays+INT(MOD(AZ93-FT_Y5,12)/FT_Int2)-IF(EDATE(AL93,FT_Y5)&lt;PolicyEff,FT_AnnivDays-1,0))),IF(AV93="PT",IF(AZ93&lt;PT_First,0,1+INT((AZ93-PT_First)/PT_Int)),0)),0))</f>
        <v/>
      </c>
      <c r="BE93" s="16" t="str">
        <f aca="false">IF(AK93=0,"",IF(AT93="FT",IF(BB93&lt;FT_First,0,IF(BB93&lt;FT_Y5,1+INT((BB93-FT_First)/FT_Int1),FT_PreY5+FT_PerYear*INT((BB93-FT_Y5)/12)+FT_AnnivDays+INT(MOD(BB93-FT_Y5,12)/FT_Int2)-IF(EDATE(AL93,FT_Y5)&lt;PolicyEff,FT_AnnivDays-1,0))),IF(AT93="PT",IF(BB93&lt;PT_First,0,1+INT((BB93-PT_First)/PT_Int)),0))+IF(AND(AM93&gt;=2,AO93&lt;=PFYDate),IF(AU93="FT",IF(BC93&lt;FT_First,0,IF(BC93&lt;FT_Y5,1+INT((BC93-FT_First)/FT_Int1),FT_PreY5+FT_PerYear*INT((BC93-FT_Y5)/12)+FT_AnnivDays+INT(MOD(BC93-FT_Y5,12)/FT_Int2)-IF(EDATE(AL93,FT_Y5)&lt;PolicyEff,FT_AnnivDays-1,0))),IF(AU93="PT",IF(BC93&lt;PT_First,0,1+INT((BC93-PT_First)/PT_Int)),0))-IF(AU93="FT",IF(BB93&lt;FT_First,0,IF(BB93&lt;FT_Y5,1+INT((BB93-FT_First)/FT_Int1),FT_PreY5+FT_PerYear*INT((BB93-FT_Y5)/12)+FT_AnnivDays+INT(MOD(BB93-FT_Y5,12)/FT_Int2)-IF(EDATE(AL93,FT_Y5)&lt;PolicyEff,FT_AnnivDays-1,0))),IF(AU93="PT",IF(BB93&lt;PT_First,0,1+INT((BB93-PT_First)/PT_Int)),0)),0)+IF(AND(AM93&gt;=3,AP93&lt;=PFYDate),IF(AV93="FT",IF(BA93&lt;FT_First,0,IF(BA93&lt;FT_Y5,1+INT((BA93-FT_First)/FT_Int1),FT_PreY5+FT_PerYear*INT((BA93-FT_Y5)/12)+FT_AnnivDays+INT(MOD(BA93-FT_Y5,12)/FT_Int2)-IF(EDATE(AL93,FT_Y5)&lt;PolicyEff,FT_AnnivDays-1,0))),IF(AV93="PT",IF(BA93&lt;PT_First,0,1+INT((BA93-PT_First)/PT_Int)),0))-IF(AV93="FT",IF(BC93&lt;FT_First,0,IF(BC93&lt;FT_Y5,1+INT((BC93-FT_First)/FT_Int1),FT_PreY5+FT_PerYear*INT((BC93-FT_Y5)/12)+FT_AnnivDays+INT(MOD(BC93-FT_Y5,12)/FT_Int2)-IF(EDATE(AL93,FT_Y5)&lt;PolicyEff,FT_AnnivDays-1,0))),IF(AV93="PT",IF(BC93&lt;PT_First,0,1+INT((BC93-PT_First)/PT_Int)),0)),0))</f>
        <v/>
      </c>
      <c r="BF93" s="16" t="str">
        <f aca="false">IF(AK93=0,"",IF(AW93="FT",IF(AX93&lt;FT_First,FT_First,IF(AX93&lt;FT_Y5,MIN(FT_Y5,FT_First+FT_Int1*(INT((AX93-FT_First)/FT_Int1)+1)),FT_Y5+12*INT((AX93-FT_Y5)/12)+FT_Int2*(INT(MOD(AX93-FT_Y5,12)/FT_Int2)+1))),IF(AW93="PT",IF(AX93&lt;PT_First,PT_First,PT_First+PT_Int*(INT((AX93-PT_First)/PT_Int)+1)),"")))</f>
        <v/>
      </c>
      <c r="BG93" s="16" t="str">
        <f aca="false">IF(AK93=0,"",IF(NOT(LH_Ready),0,COUNTIFS(INDEX(LH_Data,0,LH_ColFirst),$A93,INDEX(LH_Data,0,LH_ColSur),$B93,INDEX(LH_Data,0,LH_ColCat),BonusCat)))</f>
        <v/>
      </c>
      <c r="BH93" s="16" t="str">
        <f aca="false">IF(AK93=0,"",IF(OR(NOT(LH_Ready),BG93=0),0,SUMPRODUCT(MAX((INDEX(LH_Data,0,LH_ColFirst)=$A93)*(INDEX(LH_Data,0,LH_ColSur)=$B93)*(INDEX(LH_Data,0,LH_ColCat)=BonusCat)*ROW(LH_Data)))))</f>
        <v/>
      </c>
      <c r="BI93" s="16" t="str">
        <f aca="false">IF(AK93=0,"",IF(EOMONTH(AsOfDate,-1)&lt;AL93,-1,12*(YEAR(EOMONTH(AsOfDate,-1))-YEAR(AL93))+MONTH(EOMONTH(AsOfDate,-1))-MONTH(AL93)-IF(DAY(EOMONTH(AsOfDate,-1))&lt;MIN(DAY(AL93),DAY(EOMONTH(EOMONTH(AsOfDate,-1),0))),1,0)))</f>
        <v/>
      </c>
      <c r="BJ93" s="16" t="str">
        <f aca="false">IF(AK93=0,"",IF(OR(AM93&lt;2,AO93&gt;EOMONTH(AsOfDate,-1)),BI93,IF((AO93-1)&lt;AL93,-1,12*(YEAR((AO93-1))-YEAR(AL93))+MONTH((AO93-1))-MONTH(AL93)-IF(DAY((AO93-1))&lt;MIN(DAY(AL93),DAY(EOMONTH((AO93-1),0))),1,0))))</f>
        <v/>
      </c>
      <c r="BK93" s="16" t="str">
        <f aca="false">IF(AK93=0,"",IF(OR(AM93&lt;3,AP93&gt;EOMONTH(AsOfDate,-1)),BI93,IF((AP93-1)&lt;AL93,-1,12*(YEAR((AP93-1))-YEAR(AL93))+MONTH((AP93-1))-MONTH(AL93)-IF(DAY((AP93-1))&lt;MIN(DAY(AL93),DAY(EOMONTH((AP93-1),0))),1,0))))</f>
        <v/>
      </c>
      <c r="BL93" s="16" t="str">
        <f aca="false">IF(AK93=0,"",IF(AT93="FT",IF(BJ93&lt;FT_First,0,IF(BJ93&lt;FT_Y5,1+INT((BJ93-FT_First)/FT_Int1),FT_PreY5+FT_PerYear*INT((BJ93-FT_Y5)/12)+FT_AnnivDays+INT(MOD(BJ93-FT_Y5,12)/FT_Int2)-IF(EDATE(AL93,FT_Y5)&lt;PolicyEff,FT_AnnivDays-1,0))),IF(AT93="PT",IF(BJ93&lt;PT_First,0,1+INT((BJ93-PT_First)/PT_Int)),0))+IF(AND(AM93&gt;=2,AO93&lt;=EOMONTH(AsOfDate,-1)),IF(AU93="FT",IF(BK93&lt;FT_First,0,IF(BK93&lt;FT_Y5,1+INT((BK93-FT_First)/FT_Int1),FT_PreY5+FT_PerYear*INT((BK93-FT_Y5)/12)+FT_AnnivDays+INT(MOD(BK93-FT_Y5,12)/FT_Int2)-IF(EDATE(AL93,FT_Y5)&lt;PolicyEff,FT_AnnivDays-1,0))),IF(AU93="PT",IF(BK93&lt;PT_First,0,1+INT((BK93-PT_First)/PT_Int)),0))-IF(AU93="FT",IF(BJ93&lt;FT_First,0,IF(BJ93&lt;FT_Y5,1+INT((BJ93-FT_First)/FT_Int1),FT_PreY5+FT_PerYear*INT((BJ93-FT_Y5)/12)+FT_AnnivDays+INT(MOD(BJ93-FT_Y5,12)/FT_Int2)-IF(EDATE(AL93,FT_Y5)&lt;PolicyEff,FT_AnnivDays-1,0))),IF(AU93="PT",IF(BJ93&lt;PT_First,0,1+INT((BJ93-PT_First)/PT_Int)),0)),0)+IF(AND(AM93&gt;=3,AP93&lt;=EOMONTH(AsOfDate,-1)),IF(AV93="FT",IF(BI93&lt;FT_First,0,IF(BI93&lt;FT_Y5,1+INT((BI93-FT_First)/FT_Int1),FT_PreY5+FT_PerYear*INT((BI93-FT_Y5)/12)+FT_AnnivDays+INT(MOD(BI93-FT_Y5,12)/FT_Int2)-IF(EDATE(AL93,FT_Y5)&lt;PolicyEff,FT_AnnivDays-1,0))),IF(AV93="PT",IF(BI93&lt;PT_First,0,1+INT((BI93-PT_First)/PT_Int)),0))-IF(AV93="FT",IF(BK93&lt;FT_First,0,IF(BK93&lt;FT_Y5,1+INT((BK93-FT_First)/FT_Int1),FT_PreY5+FT_PerYear*INT((BK93-FT_Y5)/12)+FT_AnnivDays+INT(MOD(BK93-FT_Y5,12)/FT_Int2)-IF(EDATE(AL93,FT_Y5)&lt;PolicyEff,FT_AnnivDays-1,0))),IF(AV93="PT",IF(BK93&lt;PT_First,0,1+INT((BK93-PT_First)/PT_Int)),0)),0))</f>
        <v/>
      </c>
      <c r="BM93" s="16" t="str">
        <f aca="false">IF(AK93=0,"",IF(AW93="FT",IF(AX93&lt;FT_First,"",IF(AX93&lt;FT_Y5,FT_First+FT_Int1*INT((AX93-FT_First)/FT_Int1),FT_Y5+FT_Int2*INT((AX93-FT_Y5)/FT_Int2))),IF(AW93="PT",IF(AX93&lt;PT_First,"",PT_First+PT_Int*INT((AX93-PT_First)/PT_Int)),"")))</f>
        <v/>
      </c>
      <c r="BN93" s="16" t="str">
        <f aca="false">IF(AK93=0,"",IF((SchemeStart-1)&lt;AL93,-1,12*(YEAR((SchemeStart-1))-YEAR(AL93))+MONTH((SchemeStart-1))-MONTH(AL93)-IF(DAY((SchemeStart-1))&lt;MIN(DAY(AL93),DAY(EOMONTH((SchemeStart-1),0))),1,0)))</f>
        <v/>
      </c>
      <c r="BO93" s="16" t="str">
        <f aca="false">IF(AK93=0,"",IF(OR(AM93&lt;2,AO93&gt;(SchemeStart-1)),BN93,IF((AO93-1)&lt;AL93,-1,12*(YEAR((AO93-1))-YEAR(AL93))+MONTH((AO93-1))-MONTH(AL93)-IF(DAY((AO93-1))&lt;MIN(DAY(AL93),DAY(EOMONTH((AO93-1),0))),1,0))))</f>
        <v/>
      </c>
      <c r="BP93" s="16" t="str">
        <f aca="false">IF(AK93=0,"",IF(OR(AM93&lt;3,AP93&gt;(SchemeStart-1)),BN93,IF((AP93-1)&lt;AL93,-1,12*(YEAR((AP93-1))-YEAR(AL93))+MONTH((AP93-1))-MONTH(AL93)-IF(DAY((AP93-1))&lt;MIN(DAY(AL93),DAY(EOMONTH((AP93-1),0))),1,0))))</f>
        <v/>
      </c>
      <c r="BQ93" s="16" t="str">
        <f aca="false">IF(AK93=0,"",IF(AT93="FT",IF(BO93&lt;FT_First,0,IF(BO93&lt;FT_Y5,1+INT((BO93-FT_First)/FT_Int1),FT_PreY5+FT_PerYear*INT((BO93-FT_Y5)/12)+FT_AnnivDays+INT(MOD(BO93-FT_Y5,12)/FT_Int2)-IF(EDATE(AL93,FT_Y5)&lt;PolicyEff,FT_AnnivDays-1,0))),IF(AT93="PT",IF(BO93&lt;PT_First,0,1+INT((BO93-PT_First)/PT_Int)),0))+IF(AND(AM93&gt;=2,AO93&lt;=(SchemeStart-1)),IF(AU93="FT",IF(BP93&lt;FT_First,0,IF(BP93&lt;FT_Y5,1+INT((BP93-FT_First)/FT_Int1),FT_PreY5+FT_PerYear*INT((BP93-FT_Y5)/12)+FT_AnnivDays+INT(MOD(BP93-FT_Y5,12)/FT_Int2)-IF(EDATE(AL93,FT_Y5)&lt;PolicyEff,FT_AnnivDays-1,0))),IF(AU93="PT",IF(BP93&lt;PT_First,0,1+INT((BP93-PT_First)/PT_Int)),0))-IF(AU93="FT",IF(BO93&lt;FT_First,0,IF(BO93&lt;FT_Y5,1+INT((BO93-FT_First)/FT_Int1),FT_PreY5+FT_PerYear*INT((BO93-FT_Y5)/12)+FT_AnnivDays+INT(MOD(BO93-FT_Y5,12)/FT_Int2)-IF(EDATE(AL93,FT_Y5)&lt;PolicyEff,FT_AnnivDays-1,0))),IF(AU93="PT",IF(BO93&lt;PT_First,0,1+INT((BO93-PT_First)/PT_Int)),0)),0)+IF(AND(AM93&gt;=3,AP93&lt;=(SchemeStart-1)),IF(AV93="FT",IF(BN93&lt;FT_First,0,IF(BN93&lt;FT_Y5,1+INT((BN93-FT_First)/FT_Int1),FT_PreY5+FT_PerYear*INT((BN93-FT_Y5)/12)+FT_AnnivDays+INT(MOD(BN93-FT_Y5,12)/FT_Int2)-IF(EDATE(AL93,FT_Y5)&lt;PolicyEff,FT_AnnivDays-1,0))),IF(AV93="PT",IF(BN93&lt;PT_First,0,1+INT((BN93-PT_First)/PT_Int)),0))-IF(AV93="FT",IF(BP93&lt;FT_First,0,IF(BP93&lt;FT_Y5,1+INT((BP93-FT_First)/FT_Int1),FT_PreY5+FT_PerYear*INT((BP93-FT_Y5)/12)+FT_AnnivDays+INT(MOD(BP93-FT_Y5,12)/FT_Int2)-IF(EDATE(AL93,FT_Y5)&lt;PolicyEff,FT_AnnivDays-1,0))),IF(AV93="PT",IF(BP93&lt;PT_First,0,1+INT((BP93-PT_First)/PT_Int)),0)),0))</f>
        <v/>
      </c>
      <c r="BR93" s="0" t="str">
        <f aca="false">IF(LEN($A93&amp;$B93)=0,"",$A93&amp;" "&amp;$B93)</f>
        <v/>
      </c>
    </row>
    <row r="94" customFormat="false" ht="15" hidden="false" customHeight="false" outlineLevel="0" collapsed="false">
      <c r="A94" s="12"/>
      <c r="B94" s="12"/>
      <c r="C94" s="12"/>
      <c r="D94" s="13"/>
      <c r="E94" s="14" t="str">
        <f aca="false">IF(OR(AK94=0,$D94=""),"",DATE(YEAR(AsOfDate)+IF(DATE(YEAR(AsOfDate),MONTH($D94),DAY($D94))&lt;=AsOfDate,1,0),MONTH($D94),DAY($D94)))</f>
        <v/>
      </c>
      <c r="F94" s="13"/>
      <c r="G94" s="13"/>
      <c r="H94" s="13"/>
      <c r="I94" s="13"/>
      <c r="J94" s="13"/>
      <c r="K94" s="14" t="str">
        <f aca="false">IF(AK94=0,"",DATE(YEAR(AsOfDate)+IF(DATE(YEAR(AsOfDate),MONTH(AL94),DAY(AL94))&lt;=AsOfDate,1,0),MONTH(AL94),DAY(AL94)))</f>
        <v/>
      </c>
      <c r="L94" s="15" t="str">
        <f aca="false">IF(AK94=0,"",ROUND((AsOfDate-AL94)/365.25,1))</f>
        <v/>
      </c>
      <c r="M94" s="16" t="str">
        <f aca="false">IF(AK94=0,"",IF(AsOfDate&lt;AL94,"-",DATEDIF(AL94,AsOfDate,"y")&amp;"y "&amp;DATEDIF(AL94,AsOfDate,"ym")&amp;"m "&amp;DATEDIF(AL94,AsOfDate,"md")&amp;"d"))</f>
        <v/>
      </c>
      <c r="N94" s="17" t="str">
        <f aca="false">IF(AK94=0,"",O94*HoursPerDay)</f>
        <v/>
      </c>
      <c r="O94" s="17" t="str">
        <f aca="false">IF(AK94=0,"",MAX(0,BD94-BQ94))</f>
        <v/>
      </c>
      <c r="P94" s="18"/>
      <c r="Q94" s="16" t="str">
        <f aca="false">IF(AK94=0,"",IF(AM94&lt;2,"",AQ94&amp;" to "&amp;AR94&amp;" on "&amp;TEXT(AO94,"dd/mm/yyyy")&amp;IF(AO94&gt;AsOfDate," (future)",IF(AT94=AU94,"",IF(AU94="None"," - STOPPED accruing",IF(AT94="None"," - commencement for Bonus Leave"," - pathway changed"))))&amp;IF(AM94&lt;3,"","; "&amp;AR94&amp;" to "&amp;AS94&amp;" on "&amp;TEXT(AP94,"dd/mm/yyyy")&amp;IF(AP94&gt;AsOfDate," (future)",IF(AU94=AV94,"",IF(AV94="None"," - STOPPED accruing",IF(AU94="None"," - commencement for Bonus Leave"," - pathway changed")))))))</f>
        <v/>
      </c>
      <c r="R94" s="16" t="str">
        <f aca="false">IF(AK94=0,"",IF(AW94="None",IF(O94&gt;0,"No longer accruing","Not eligible - "&amp;IF(AND(OR(ISNUMBER(SEARCH("part",$C94)),UPPER(TRIM($C94))="PT",UPPER(TRIM($C94))="PTE"),Apply2026="No"),"part-time (scheme is full-time only)",IF(AND(OR(ISNUMBER(SEARCH("part",$C94)),UPPER(TRIM($C94))="PT",UPPER(TRIM($C94))="PTE"),$P94&lt;&gt;"",N($P94)&lt;PT_MinHours),"under "&amp;PT_MinHours&amp;" hrs",IF(IF($C94="","",IF(OR(ISNUMBER(SEARCH("full",$C94)),UPPER(TRIM($C94))="FT",UPPER(TRIM($C94))="FTE"),"Full-Time",IF(OR(ISNUMBER(SEARCH("part",$C94)),UPPER(TRIM($C94))="PT",UPPER(TRIM($C94))="PTE"),"Part-Time",IF(OR(ISNUMBER(SEARCH("cas",$C94)),UPPER(TRIM($C94))="CAS"),"Casual","Unknown"))))="Unknown","type not recognised",$C94)))),IF(O94&gt;0,"Yes - Accrual Required","Not yet - from "&amp;TEXT(S94,"dd/mm/yyyy"))))</f>
        <v/>
      </c>
      <c r="S94" s="14" t="str">
        <f aca="false">IF(AK94=0,"",IF(AW94="None","",EDATE(AL94,BF94)))</f>
        <v/>
      </c>
      <c r="T94" s="17" t="str">
        <f aca="false">IF(AK94=0,"",IF(NOT(LH_Ready),"",IF($F94&gt;PFYDate,0,IF(LH_ColPeriod=0,W94-U94+V94,SUMIFS(INDEX(LH_Data,0,LH_ColAcc),INDEX(LH_Data,0,LH_ColFirst),$A94,INDEX(LH_Data,0,LH_ColSur),$B94,INDEX(LH_Data,0,LH_ColCat),BonusCat,INDEX(LH_Data,0,LH_ColPeriod),LH_OpenLabel)*UnitFactor))))</f>
        <v/>
      </c>
      <c r="U94" s="17" t="str">
        <f aca="false">IF(AK94=0,"",IF(NOT(LH_Ready),"",SUMIFS(INDEX(LH_Data,0,LH_ColAcc),INDEX(LH_Data,0,LH_ColFirst),$A94,INDEX(LH_Data,0,LH_ColSur),$B94,INDEX(LH_Data,0,LH_ColCat),BonusCat,INDEX(LH_Data,0,LH_ColStart),"&gt;="&amp;AL94)*UnitFactor))</f>
        <v/>
      </c>
      <c r="V94" s="17" t="str">
        <f aca="false">IF(AK94=0,"",IF(NOT(LH_Ready),"",SUMIFS(INDEX(LH_Data,0,LH_ColTaken),INDEX(LH_Data,0,LH_ColFirst),$A94,INDEX(LH_Data,0,LH_ColSur),$B94,INDEX(LH_Data,0,LH_ColCat),BonusCat,INDEX(LH_Data,0,LH_ColStart),"&gt;="&amp;AL94)*UnitFactor))</f>
        <v/>
      </c>
      <c r="W94" s="17" t="str">
        <f aca="false">IF(AK94=0,"",IF(NOT(LH_Ready),"",IF(BH94=0,0,INDEX(INDEX(LH_Data,0,LH_ColClose),BH94-1)*UnitFactor)))</f>
        <v/>
      </c>
      <c r="X94" s="17" t="str">
        <f aca="false">IF(AK94=0,"",(MAX(0,BD94-BQ94)-MAX(0,BE94-BQ94))*HoursPerDay)</f>
        <v/>
      </c>
      <c r="Y94" s="17" t="str">
        <f aca="false">IF(AK94=0,"",IF(NOT(LH_Ready),"",IF($AI94="Yes",N(AE94)*HoursPerDay-SUMIFS(INDEX(LH_Data,0,LH_ColAcc),INDEX(LH_Data,0,LH_ColFirst),$A94,INDEX(LH_Data,0,LH_ColSur),$B94,INDEX(LH_Data,0,LH_ColCat),BonusCat,INDEX(LH_Data,0,LH_ColStart),"&gt;="&amp;(EOMONTH(AsOfDate,-1)+1),INDEX(LH_Data,0,LH_ColStart),"&lt;="&amp;AsOfDate)*UnitFactor,IF(BG94=0,N94,N94-N(T94)-N(U94)))))</f>
        <v/>
      </c>
      <c r="Z94" s="16" t="str">
        <f aca="false">IF(OR(AK94=0,Y94=""),"",IF(Y94&gt;0,"Yes","No"))</f>
        <v/>
      </c>
      <c r="AA94" s="16" t="str">
        <f aca="false">IF(AK94=0,IF(LEN($A94&amp;$B94)=0,"","FIX INPUT - StartDate missing"),IF(AD94&lt;&gt;"","FIX INPUT - "&amp;AD94,IF(NOT(LH_Ready),"Paste Leave History export (Settings must show YES)",IF(AND($AI94="Yes",Y94&lt;=0),"OK - EH balance accepted to date"&amp;IF(N(AH94)&gt;0," (EH holds "&amp;AH94&amp;" hrs over the scheme)","")&amp;"; next day "&amp;TEXT(S94,"dd mmm yy")&amp;IF(N(AE94)&gt;0," ("&amp;AE94&amp;" day(s) for "&amp;UPPER(TEXT(AsOfDate,"mmm yyyy"))&amp;" already in EH)",""),IF(Y94&gt;0,"ACCRUE "&amp;ROUND(Y94,2)&amp;" hrs ("&amp;ROUND(Y94/HoursPerDay,2)&amp;" days): "&amp;IF(N(AE94)&gt;0,AE94&amp;" day(s) for "&amp;UPPER(TEXT(AsOfDate,"mmm yyyy"))&amp;" (milestone "&amp;UPPER(TEXT(AF94,"dd mmm yy"))&amp;")"&amp;IF(Y94/HoursPerDay&gt;AE94+0.001," + "&amp;ROUND(Y94/HoursPerDay-AE94,2)&amp;" day(s) catch-up from earlier months",""),"all catch-up from earlier months, nothing new this month")&amp;IF(BG94=0,"; no Bonus Leave in EH yet",""),IF(Y94&lt;0,"CHECK - EH accrued "&amp;ROUND(-Y94,2)&amp;" hrs more than policy since commencement",IF(N(W94)&gt;O94*HoursPerDay+0.01,"CHECK - EH balance "&amp;ROUND(W94-O94*HoursPerDay,2)&amp;" hrs more than policy entitlement",IF(O94&gt;0,"OK - nothing to add"&amp;IF(N(AE94)&gt;0," ("&amp;AE94&amp;" day(s) for "&amp;UPPER(TEXT(AsOfDate,"mmm yyyy"))&amp;" already in EH)",""),IF(AW94="None",R94,"Not yet - first day on "&amp;TEXT(S94,"dd/mm/yyyy"))))))))))</f>
        <v/>
      </c>
      <c r="AB94" s="17" t="str">
        <f aca="false">IF(OR(AK94=0,T94=""),"",MAX(0,BE94-BQ94)*HoursPerDay-T94)</f>
        <v/>
      </c>
      <c r="AC94" s="16" t="str">
        <f aca="false">IF(AK94=0,"",BG94)</f>
        <v/>
      </c>
      <c r="AD94" s="16" t="str">
        <f aca="false">IF(AK94=0,"",TRIM(IF(OR(ISTEXT($F94),ISTEXT($H94),ISTEXT($I94),ISTEXT($G94),ISTEXT($J94),ISTEXT($D94)),"A date is typed as text - retype it as dd/mm/yyyy. ","")&amp;IF(IF($C94="","",IF(OR(ISNUMBER(SEARCH("full",$C94)),UPPER(TRIM($C94))="FT",UPPER(TRIM($C94))="FTE"),"Full-Time",IF(OR(ISNUMBER(SEARCH("part",$C94)),UPPER(TRIM($C94))="PT",UPPER(TRIM($C94))="PTE"),"Part-Time",IF(OR(ISNUMBER(SEARCH("cas",$C94)),UPPER(TRIM($C94))="CAS"),"Casual","Unknown"))))="Unknown","EmploymentType not recognised - use Full-Time, Part-Time or Casual. ","")&amp;IF(AND(AM94&gt;=1,IF(AM94&gt;=3,AS94,IF(AM94=2,AR94,AQ94))&lt;&gt;IF($C94="","",IF(OR(ISNUMBER(SEARCH("full",$C94)),UPPER(TRIM($C94))="FT",UPPER(TRIM($C94))="FTE"),"Full-Time",IF(OR(ISNUMBER(SEARCH("part",$C94)),UPPER(TRIM($C94))="PT",UPPER(TRIM($C94))="PTE"),"Part-Time",IF(OR(ISNUMBER(SEARCH("cas",$C94)),UPPER(TRIM($C94))="CAS"),"Casual","Unknown"))))),"EmploymentType does not match latest start date ("&amp;IF(AM94&gt;=3,AS94,IF(AM94=2,AR94,AQ94))&amp;"). ","")&amp;IF(AND(AM94&gt;=1,AN94&lt;&gt;$F94),"Earliest type date should equal StartDate. ","")&amp;IF(AND(AM94&gt;=2,AN94=AO94),"Two types start on the same date. ","")&amp;IF(AND(OR(ISNUMBER(SEARCH("part",$C94)),UPPER(TRIM($C94))="PT",UPPER(TRIM($C94))="PTE"),$P94=""),"Part-time: enter PT Hrs/Week (blank = 24+). ","")))</f>
        <v/>
      </c>
      <c r="AE94" s="17" t="str">
        <f aca="false">IF(AK94=0,"",O94-MAX(0,BL94-BQ94))</f>
        <v/>
      </c>
      <c r="AF94" s="14" t="str">
        <f aca="false">IF(OR(AK94=0,AE94="",N(AE94)=0,BM94=""),"",EDATE(AL94,BM94))</f>
        <v/>
      </c>
      <c r="AG94" s="17" t="str">
        <f aca="false">IF(AK94=0,"",MIN(BD94,BQ94))</f>
        <v/>
      </c>
      <c r="AH94" s="17" t="str">
        <f aca="false">IF(AK94=0,"",IF(NOT(LH_Ready),"",IF(BG94=0,0,MAX(0,ROUND(N(T94)+N(U94)-N94,2)))))</f>
        <v/>
      </c>
      <c r="AI94" s="12"/>
      <c r="AJ94" s="12"/>
      <c r="AK94" s="16" t="n">
        <f aca="false">IF(OR(LEN($A94&amp;$B94)=0,$F94=""),0,1)</f>
        <v>0</v>
      </c>
      <c r="AL94" s="14" t="str">
        <f aca="false">IF(AK94=0,"",IF(PreSchemeCounts="No",MAX(SchemeStart,IF($J94&lt;&gt;"",$J94,IF(OR(CasualCounts="Yes",COUNT($G94:$I94)=0),$F94,IF(Apply2026="No",IF($I94="",$F94,$I94),IF(COUNT($H94:$I94)=0,$F94,MIN($H94:$I94)))))),IF($J94&lt;&gt;"",$J94,IF(OR(CasualCounts="Yes",COUNT($G94:$I94)=0),$F94,IF(Apply2026="No",IF($I94="",$F94,$I94),IF(COUNT($H94:$I94)=0,$F94,MIN($H94:$I94)))))))</f>
        <v/>
      </c>
      <c r="AM94" s="16" t="str">
        <f aca="false">IF(AK94=0,"",COUNT($G94:$I94))</f>
        <v/>
      </c>
      <c r="AN94" s="14" t="str">
        <f aca="false">IF(AK94=0,"",IFERROR(SMALL($G94:$I94,1),""))</f>
        <v/>
      </c>
      <c r="AO94" s="14" t="str">
        <f aca="false">IF(AK94=0,"",IFERROR(SMALL($G94:$I94,2),""))</f>
        <v/>
      </c>
      <c r="AP94" s="14" t="str">
        <f aca="false">IF(AK94=0,"",IFERROR(SMALL($G94:$I94,3),""))</f>
        <v/>
      </c>
      <c r="AQ94" s="16" t="str">
        <f aca="false">IF(AK94=0,"",IF(AN94="","",IF(AN94=$H94,"Part-Time",IF(AN94=$I94,"Full-Time","Casual"))))</f>
        <v/>
      </c>
      <c r="AR94" s="16" t="str">
        <f aca="false">IF(AK94=0,"",IF(AO94="","",IF(AO94=$H94,"Part-Time",IF(AO94=$I94,"Full-Time","Casual"))))</f>
        <v/>
      </c>
      <c r="AS94" s="16" t="str">
        <f aca="false">IF(AK94=0,"",IF(AP94="","",IF(AP94=$H94,"Part-Time",IF(AP94=$I94,"Full-Time","Casual"))))</f>
        <v/>
      </c>
      <c r="AT94" s="16" t="str">
        <f aca="false">IF(AK94=0,"",IF(AM94=0,IF(OR(ISNUMBER(SEARCH("full",$C94)),UPPER(TRIM($C94))="FT",UPPER(TRIM($C94))="FTE"),"FT",IF(AND(OR(ISNUMBER(SEARCH("part",$C94)),UPPER(TRIM($C94))="PT",UPPER(TRIM($C94))="PTE"),Apply2026="Yes",OR($P94="",N($P94)&gt;=PT_MinHours)),"PT","None")),IF(OR(ISNUMBER(SEARCH("full",AQ94)),UPPER(TRIM(AQ94))="FT",UPPER(TRIM(AQ94))="FTE"),"FT",IF(AND(OR(ISNUMBER(SEARCH("part",AQ94)),UPPER(TRIM(AQ94))="PT",UPPER(TRIM(AQ94))="PTE"),Apply2026="Yes",OR($P94="",N($P94)&gt;=PT_MinHours)),"PT","None"))))</f>
        <v/>
      </c>
      <c r="AU94" s="16" t="str">
        <f aca="false">IF(AK94=0,"",IF(AM94&lt;2,"",IF(OR(ISNUMBER(SEARCH("full",AR94)),UPPER(TRIM(AR94))="FT",UPPER(TRIM(AR94))="FTE"),"FT",IF(AND(OR(ISNUMBER(SEARCH("part",AR94)),UPPER(TRIM(AR94))="PT",UPPER(TRIM(AR94))="PTE"),Apply2026="Yes",OR($P94="",N($P94)&gt;=PT_MinHours)),"PT","None"))))</f>
        <v/>
      </c>
      <c r="AV94" s="16" t="str">
        <f aca="false">IF(AK94=0,"",IF(AM94&lt;3,"",IF(OR(ISNUMBER(SEARCH("full",AS94)),UPPER(TRIM(AS94))="FT",UPPER(TRIM(AS94))="FTE"),"FT",IF(AND(OR(ISNUMBER(SEARCH("part",AS94)),UPPER(TRIM(AS94))="PT",UPPER(TRIM(AS94))="PTE"),Apply2026="Yes",OR($P94="",N($P94)&gt;=PT_MinHours)),"PT","None"))))</f>
        <v/>
      </c>
      <c r="AW94" s="16" t="str">
        <f aca="false">IF(AK94=0,"",IF(AND(AM94&gt;=3,AP94&lt;=AsOfDate),AV94,IF(AND(AM94&gt;=2,AO94&lt;=AsOfDate),AU94,AT94)))</f>
        <v/>
      </c>
      <c r="AX94" s="16" t="str">
        <f aca="false">IF(AK94=0,"",IF(AsOfDate&lt;AL94,-1,12*(YEAR(AsOfDate)-YEAR(AL94))+MONTH(AsOfDate)-MONTH(AL94)-IF(DAY(AsOfDate)&lt;MIN(DAY(AL94),DAY(EOMONTH(AsOfDate,0))),1,0)))</f>
        <v/>
      </c>
      <c r="AY94" s="16" t="str">
        <f aca="false">IF(AK94=0,"",IF(OR(AM94&lt;2,AO94&gt;AsOfDate),AX94,IF((AO94-1)&lt;AL94,-1,12*(YEAR((AO94-1))-YEAR(AL94))+MONTH((AO94-1))-MONTH(AL94)-IF(DAY((AO94-1))&lt;MIN(DAY(AL94),DAY(EOMONTH((AO94-1),0))),1,0))))</f>
        <v/>
      </c>
      <c r="AZ94" s="16" t="str">
        <f aca="false">IF(AK94=0,"",IF(OR(AM94&lt;3,AP94&gt;AsOfDate),AX94,IF((AP94-1)&lt;AL94,-1,12*(YEAR((AP94-1))-YEAR(AL94))+MONTH((AP94-1))-MONTH(AL94)-IF(DAY((AP94-1))&lt;MIN(DAY(AL94),DAY(EOMONTH((AP94-1),0))),1,0))))</f>
        <v/>
      </c>
      <c r="BA94" s="16" t="str">
        <f aca="false">IF(AK94=0,"",IF(PFYDate&lt;AL94,-1,12*(YEAR(PFYDate)-YEAR(AL94))+MONTH(PFYDate)-MONTH(AL94)-IF(DAY(PFYDate)&lt;MIN(DAY(AL94),DAY(EOMONTH(PFYDate,0))),1,0)))</f>
        <v/>
      </c>
      <c r="BB94" s="16" t="str">
        <f aca="false">IF(AK94=0,"",IF(OR(AM94&lt;2,AO94&gt;PFYDate),BA94,IF((AO94-1)&lt;AL94,-1,12*(YEAR((AO94-1))-YEAR(AL94))+MONTH((AO94-1))-MONTH(AL94)-IF(DAY((AO94-1))&lt;MIN(DAY(AL94),DAY(EOMONTH((AO94-1),0))),1,0))))</f>
        <v/>
      </c>
      <c r="BC94" s="16" t="str">
        <f aca="false">IF(AK94=0,"",IF(OR(AM94&lt;3,AP94&gt;PFYDate),BA94,IF((AP94-1)&lt;AL94,-1,12*(YEAR((AP94-1))-YEAR(AL94))+MONTH((AP94-1))-MONTH(AL94)-IF(DAY((AP94-1))&lt;MIN(DAY(AL94),DAY(EOMONTH((AP94-1),0))),1,0))))</f>
        <v/>
      </c>
      <c r="BD94" s="16" t="str">
        <f aca="false">IF(AK94=0,"",IF(AT94="FT",IF(AY94&lt;FT_First,0,IF(AY94&lt;FT_Y5,1+INT((AY94-FT_First)/FT_Int1),FT_PreY5+FT_PerYear*INT((AY94-FT_Y5)/12)+FT_AnnivDays+INT(MOD(AY94-FT_Y5,12)/FT_Int2)-IF(EDATE(AL94,FT_Y5)&lt;PolicyEff,FT_AnnivDays-1,0))),IF(AT94="PT",IF(AY94&lt;PT_First,0,1+INT((AY94-PT_First)/PT_Int)),0))+IF(AND(AM94&gt;=2,AO94&lt;=AsOfDate),IF(AU94="FT",IF(AZ94&lt;FT_First,0,IF(AZ94&lt;FT_Y5,1+INT((AZ94-FT_First)/FT_Int1),FT_PreY5+FT_PerYear*INT((AZ94-FT_Y5)/12)+FT_AnnivDays+INT(MOD(AZ94-FT_Y5,12)/FT_Int2)-IF(EDATE(AL94,FT_Y5)&lt;PolicyEff,FT_AnnivDays-1,0))),IF(AU94="PT",IF(AZ94&lt;PT_First,0,1+INT((AZ94-PT_First)/PT_Int)),0))-IF(AU94="FT",IF(AY94&lt;FT_First,0,IF(AY94&lt;FT_Y5,1+INT((AY94-FT_First)/FT_Int1),FT_PreY5+FT_PerYear*INT((AY94-FT_Y5)/12)+FT_AnnivDays+INT(MOD(AY94-FT_Y5,12)/FT_Int2)-IF(EDATE(AL94,FT_Y5)&lt;PolicyEff,FT_AnnivDays-1,0))),IF(AU94="PT",IF(AY94&lt;PT_First,0,1+INT((AY94-PT_First)/PT_Int)),0)),0)+IF(AND(AM94&gt;=3,AP94&lt;=AsOfDate),IF(AV94="FT",IF(AX94&lt;FT_First,0,IF(AX94&lt;FT_Y5,1+INT((AX94-FT_First)/FT_Int1),FT_PreY5+FT_PerYear*INT((AX94-FT_Y5)/12)+FT_AnnivDays+INT(MOD(AX94-FT_Y5,12)/FT_Int2)-IF(EDATE(AL94,FT_Y5)&lt;PolicyEff,FT_AnnivDays-1,0))),IF(AV94="PT",IF(AX94&lt;PT_First,0,1+INT((AX94-PT_First)/PT_Int)),0))-IF(AV94="FT",IF(AZ94&lt;FT_First,0,IF(AZ94&lt;FT_Y5,1+INT((AZ94-FT_First)/FT_Int1),FT_PreY5+FT_PerYear*INT((AZ94-FT_Y5)/12)+FT_AnnivDays+INT(MOD(AZ94-FT_Y5,12)/FT_Int2)-IF(EDATE(AL94,FT_Y5)&lt;PolicyEff,FT_AnnivDays-1,0))),IF(AV94="PT",IF(AZ94&lt;PT_First,0,1+INT((AZ94-PT_First)/PT_Int)),0)),0))</f>
        <v/>
      </c>
      <c r="BE94" s="16" t="str">
        <f aca="false">IF(AK94=0,"",IF(AT94="FT",IF(BB94&lt;FT_First,0,IF(BB94&lt;FT_Y5,1+INT((BB94-FT_First)/FT_Int1),FT_PreY5+FT_PerYear*INT((BB94-FT_Y5)/12)+FT_AnnivDays+INT(MOD(BB94-FT_Y5,12)/FT_Int2)-IF(EDATE(AL94,FT_Y5)&lt;PolicyEff,FT_AnnivDays-1,0))),IF(AT94="PT",IF(BB94&lt;PT_First,0,1+INT((BB94-PT_First)/PT_Int)),0))+IF(AND(AM94&gt;=2,AO94&lt;=PFYDate),IF(AU94="FT",IF(BC94&lt;FT_First,0,IF(BC94&lt;FT_Y5,1+INT((BC94-FT_First)/FT_Int1),FT_PreY5+FT_PerYear*INT((BC94-FT_Y5)/12)+FT_AnnivDays+INT(MOD(BC94-FT_Y5,12)/FT_Int2)-IF(EDATE(AL94,FT_Y5)&lt;PolicyEff,FT_AnnivDays-1,0))),IF(AU94="PT",IF(BC94&lt;PT_First,0,1+INT((BC94-PT_First)/PT_Int)),0))-IF(AU94="FT",IF(BB94&lt;FT_First,0,IF(BB94&lt;FT_Y5,1+INT((BB94-FT_First)/FT_Int1),FT_PreY5+FT_PerYear*INT((BB94-FT_Y5)/12)+FT_AnnivDays+INT(MOD(BB94-FT_Y5,12)/FT_Int2)-IF(EDATE(AL94,FT_Y5)&lt;PolicyEff,FT_AnnivDays-1,0))),IF(AU94="PT",IF(BB94&lt;PT_First,0,1+INT((BB94-PT_First)/PT_Int)),0)),0)+IF(AND(AM94&gt;=3,AP94&lt;=PFYDate),IF(AV94="FT",IF(BA94&lt;FT_First,0,IF(BA94&lt;FT_Y5,1+INT((BA94-FT_First)/FT_Int1),FT_PreY5+FT_PerYear*INT((BA94-FT_Y5)/12)+FT_AnnivDays+INT(MOD(BA94-FT_Y5,12)/FT_Int2)-IF(EDATE(AL94,FT_Y5)&lt;PolicyEff,FT_AnnivDays-1,0))),IF(AV94="PT",IF(BA94&lt;PT_First,0,1+INT((BA94-PT_First)/PT_Int)),0))-IF(AV94="FT",IF(BC94&lt;FT_First,0,IF(BC94&lt;FT_Y5,1+INT((BC94-FT_First)/FT_Int1),FT_PreY5+FT_PerYear*INT((BC94-FT_Y5)/12)+FT_AnnivDays+INT(MOD(BC94-FT_Y5,12)/FT_Int2)-IF(EDATE(AL94,FT_Y5)&lt;PolicyEff,FT_AnnivDays-1,0))),IF(AV94="PT",IF(BC94&lt;PT_First,0,1+INT((BC94-PT_First)/PT_Int)),0)),0))</f>
        <v/>
      </c>
      <c r="BF94" s="16" t="str">
        <f aca="false">IF(AK94=0,"",IF(AW94="FT",IF(AX94&lt;FT_First,FT_First,IF(AX94&lt;FT_Y5,MIN(FT_Y5,FT_First+FT_Int1*(INT((AX94-FT_First)/FT_Int1)+1)),FT_Y5+12*INT((AX94-FT_Y5)/12)+FT_Int2*(INT(MOD(AX94-FT_Y5,12)/FT_Int2)+1))),IF(AW94="PT",IF(AX94&lt;PT_First,PT_First,PT_First+PT_Int*(INT((AX94-PT_First)/PT_Int)+1)),"")))</f>
        <v/>
      </c>
      <c r="BG94" s="16" t="str">
        <f aca="false">IF(AK94=0,"",IF(NOT(LH_Ready),0,COUNTIFS(INDEX(LH_Data,0,LH_ColFirst),$A94,INDEX(LH_Data,0,LH_ColSur),$B94,INDEX(LH_Data,0,LH_ColCat),BonusCat)))</f>
        <v/>
      </c>
      <c r="BH94" s="16" t="str">
        <f aca="false">IF(AK94=0,"",IF(OR(NOT(LH_Ready),BG94=0),0,SUMPRODUCT(MAX((INDEX(LH_Data,0,LH_ColFirst)=$A94)*(INDEX(LH_Data,0,LH_ColSur)=$B94)*(INDEX(LH_Data,0,LH_ColCat)=BonusCat)*ROW(LH_Data)))))</f>
        <v/>
      </c>
      <c r="BI94" s="16" t="str">
        <f aca="false">IF(AK94=0,"",IF(EOMONTH(AsOfDate,-1)&lt;AL94,-1,12*(YEAR(EOMONTH(AsOfDate,-1))-YEAR(AL94))+MONTH(EOMONTH(AsOfDate,-1))-MONTH(AL94)-IF(DAY(EOMONTH(AsOfDate,-1))&lt;MIN(DAY(AL94),DAY(EOMONTH(EOMONTH(AsOfDate,-1),0))),1,0)))</f>
        <v/>
      </c>
      <c r="BJ94" s="16" t="str">
        <f aca="false">IF(AK94=0,"",IF(OR(AM94&lt;2,AO94&gt;EOMONTH(AsOfDate,-1)),BI94,IF((AO94-1)&lt;AL94,-1,12*(YEAR((AO94-1))-YEAR(AL94))+MONTH((AO94-1))-MONTH(AL94)-IF(DAY((AO94-1))&lt;MIN(DAY(AL94),DAY(EOMONTH((AO94-1),0))),1,0))))</f>
        <v/>
      </c>
      <c r="BK94" s="16" t="str">
        <f aca="false">IF(AK94=0,"",IF(OR(AM94&lt;3,AP94&gt;EOMONTH(AsOfDate,-1)),BI94,IF((AP94-1)&lt;AL94,-1,12*(YEAR((AP94-1))-YEAR(AL94))+MONTH((AP94-1))-MONTH(AL94)-IF(DAY((AP94-1))&lt;MIN(DAY(AL94),DAY(EOMONTH((AP94-1),0))),1,0))))</f>
        <v/>
      </c>
      <c r="BL94" s="16" t="str">
        <f aca="false">IF(AK94=0,"",IF(AT94="FT",IF(BJ94&lt;FT_First,0,IF(BJ94&lt;FT_Y5,1+INT((BJ94-FT_First)/FT_Int1),FT_PreY5+FT_PerYear*INT((BJ94-FT_Y5)/12)+FT_AnnivDays+INT(MOD(BJ94-FT_Y5,12)/FT_Int2)-IF(EDATE(AL94,FT_Y5)&lt;PolicyEff,FT_AnnivDays-1,0))),IF(AT94="PT",IF(BJ94&lt;PT_First,0,1+INT((BJ94-PT_First)/PT_Int)),0))+IF(AND(AM94&gt;=2,AO94&lt;=EOMONTH(AsOfDate,-1)),IF(AU94="FT",IF(BK94&lt;FT_First,0,IF(BK94&lt;FT_Y5,1+INT((BK94-FT_First)/FT_Int1),FT_PreY5+FT_PerYear*INT((BK94-FT_Y5)/12)+FT_AnnivDays+INT(MOD(BK94-FT_Y5,12)/FT_Int2)-IF(EDATE(AL94,FT_Y5)&lt;PolicyEff,FT_AnnivDays-1,0))),IF(AU94="PT",IF(BK94&lt;PT_First,0,1+INT((BK94-PT_First)/PT_Int)),0))-IF(AU94="FT",IF(BJ94&lt;FT_First,0,IF(BJ94&lt;FT_Y5,1+INT((BJ94-FT_First)/FT_Int1),FT_PreY5+FT_PerYear*INT((BJ94-FT_Y5)/12)+FT_AnnivDays+INT(MOD(BJ94-FT_Y5,12)/FT_Int2)-IF(EDATE(AL94,FT_Y5)&lt;PolicyEff,FT_AnnivDays-1,0))),IF(AU94="PT",IF(BJ94&lt;PT_First,0,1+INT((BJ94-PT_First)/PT_Int)),0)),0)+IF(AND(AM94&gt;=3,AP94&lt;=EOMONTH(AsOfDate,-1)),IF(AV94="FT",IF(BI94&lt;FT_First,0,IF(BI94&lt;FT_Y5,1+INT((BI94-FT_First)/FT_Int1),FT_PreY5+FT_PerYear*INT((BI94-FT_Y5)/12)+FT_AnnivDays+INT(MOD(BI94-FT_Y5,12)/FT_Int2)-IF(EDATE(AL94,FT_Y5)&lt;PolicyEff,FT_AnnivDays-1,0))),IF(AV94="PT",IF(BI94&lt;PT_First,0,1+INT((BI94-PT_First)/PT_Int)),0))-IF(AV94="FT",IF(BK94&lt;FT_First,0,IF(BK94&lt;FT_Y5,1+INT((BK94-FT_First)/FT_Int1),FT_PreY5+FT_PerYear*INT((BK94-FT_Y5)/12)+FT_AnnivDays+INT(MOD(BK94-FT_Y5,12)/FT_Int2)-IF(EDATE(AL94,FT_Y5)&lt;PolicyEff,FT_AnnivDays-1,0))),IF(AV94="PT",IF(BK94&lt;PT_First,0,1+INT((BK94-PT_First)/PT_Int)),0)),0))</f>
        <v/>
      </c>
      <c r="BM94" s="16" t="str">
        <f aca="false">IF(AK94=0,"",IF(AW94="FT",IF(AX94&lt;FT_First,"",IF(AX94&lt;FT_Y5,FT_First+FT_Int1*INT((AX94-FT_First)/FT_Int1),FT_Y5+FT_Int2*INT((AX94-FT_Y5)/FT_Int2))),IF(AW94="PT",IF(AX94&lt;PT_First,"",PT_First+PT_Int*INT((AX94-PT_First)/PT_Int)),"")))</f>
        <v/>
      </c>
      <c r="BN94" s="16" t="str">
        <f aca="false">IF(AK94=0,"",IF((SchemeStart-1)&lt;AL94,-1,12*(YEAR((SchemeStart-1))-YEAR(AL94))+MONTH((SchemeStart-1))-MONTH(AL94)-IF(DAY((SchemeStart-1))&lt;MIN(DAY(AL94),DAY(EOMONTH((SchemeStart-1),0))),1,0)))</f>
        <v/>
      </c>
      <c r="BO94" s="16" t="str">
        <f aca="false">IF(AK94=0,"",IF(OR(AM94&lt;2,AO94&gt;(SchemeStart-1)),BN94,IF((AO94-1)&lt;AL94,-1,12*(YEAR((AO94-1))-YEAR(AL94))+MONTH((AO94-1))-MONTH(AL94)-IF(DAY((AO94-1))&lt;MIN(DAY(AL94),DAY(EOMONTH((AO94-1),0))),1,0))))</f>
        <v/>
      </c>
      <c r="BP94" s="16" t="str">
        <f aca="false">IF(AK94=0,"",IF(OR(AM94&lt;3,AP94&gt;(SchemeStart-1)),BN94,IF((AP94-1)&lt;AL94,-1,12*(YEAR((AP94-1))-YEAR(AL94))+MONTH((AP94-1))-MONTH(AL94)-IF(DAY((AP94-1))&lt;MIN(DAY(AL94),DAY(EOMONTH((AP94-1),0))),1,0))))</f>
        <v/>
      </c>
      <c r="BQ94" s="16" t="str">
        <f aca="false">IF(AK94=0,"",IF(AT94="FT",IF(BO94&lt;FT_First,0,IF(BO94&lt;FT_Y5,1+INT((BO94-FT_First)/FT_Int1),FT_PreY5+FT_PerYear*INT((BO94-FT_Y5)/12)+FT_AnnivDays+INT(MOD(BO94-FT_Y5,12)/FT_Int2)-IF(EDATE(AL94,FT_Y5)&lt;PolicyEff,FT_AnnivDays-1,0))),IF(AT94="PT",IF(BO94&lt;PT_First,0,1+INT((BO94-PT_First)/PT_Int)),0))+IF(AND(AM94&gt;=2,AO94&lt;=(SchemeStart-1)),IF(AU94="FT",IF(BP94&lt;FT_First,0,IF(BP94&lt;FT_Y5,1+INT((BP94-FT_First)/FT_Int1),FT_PreY5+FT_PerYear*INT((BP94-FT_Y5)/12)+FT_AnnivDays+INT(MOD(BP94-FT_Y5,12)/FT_Int2)-IF(EDATE(AL94,FT_Y5)&lt;PolicyEff,FT_AnnivDays-1,0))),IF(AU94="PT",IF(BP94&lt;PT_First,0,1+INT((BP94-PT_First)/PT_Int)),0))-IF(AU94="FT",IF(BO94&lt;FT_First,0,IF(BO94&lt;FT_Y5,1+INT((BO94-FT_First)/FT_Int1),FT_PreY5+FT_PerYear*INT((BO94-FT_Y5)/12)+FT_AnnivDays+INT(MOD(BO94-FT_Y5,12)/FT_Int2)-IF(EDATE(AL94,FT_Y5)&lt;PolicyEff,FT_AnnivDays-1,0))),IF(AU94="PT",IF(BO94&lt;PT_First,0,1+INT((BO94-PT_First)/PT_Int)),0)),0)+IF(AND(AM94&gt;=3,AP94&lt;=(SchemeStart-1)),IF(AV94="FT",IF(BN94&lt;FT_First,0,IF(BN94&lt;FT_Y5,1+INT((BN94-FT_First)/FT_Int1),FT_PreY5+FT_PerYear*INT((BN94-FT_Y5)/12)+FT_AnnivDays+INT(MOD(BN94-FT_Y5,12)/FT_Int2)-IF(EDATE(AL94,FT_Y5)&lt;PolicyEff,FT_AnnivDays-1,0))),IF(AV94="PT",IF(BN94&lt;PT_First,0,1+INT((BN94-PT_First)/PT_Int)),0))-IF(AV94="FT",IF(BP94&lt;FT_First,0,IF(BP94&lt;FT_Y5,1+INT((BP94-FT_First)/FT_Int1),FT_PreY5+FT_PerYear*INT((BP94-FT_Y5)/12)+FT_AnnivDays+INT(MOD(BP94-FT_Y5,12)/FT_Int2)-IF(EDATE(AL94,FT_Y5)&lt;PolicyEff,FT_AnnivDays-1,0))),IF(AV94="PT",IF(BP94&lt;PT_First,0,1+INT((BP94-PT_First)/PT_Int)),0)),0))</f>
        <v/>
      </c>
      <c r="BR94" s="0" t="str">
        <f aca="false">IF(LEN($A94&amp;$B94)=0,"",$A94&amp;" "&amp;$B94)</f>
        <v/>
      </c>
    </row>
    <row r="95" customFormat="false" ht="15" hidden="false" customHeight="false" outlineLevel="0" collapsed="false">
      <c r="A95" s="12"/>
      <c r="B95" s="12"/>
      <c r="C95" s="12"/>
      <c r="D95" s="13"/>
      <c r="E95" s="14" t="str">
        <f aca="false">IF(OR(AK95=0,$D95=""),"",DATE(YEAR(AsOfDate)+IF(DATE(YEAR(AsOfDate),MONTH($D95),DAY($D95))&lt;=AsOfDate,1,0),MONTH($D95),DAY($D95)))</f>
        <v/>
      </c>
      <c r="F95" s="13"/>
      <c r="G95" s="13"/>
      <c r="H95" s="13"/>
      <c r="I95" s="13"/>
      <c r="J95" s="13"/>
      <c r="K95" s="14" t="str">
        <f aca="false">IF(AK95=0,"",DATE(YEAR(AsOfDate)+IF(DATE(YEAR(AsOfDate),MONTH(AL95),DAY(AL95))&lt;=AsOfDate,1,0),MONTH(AL95),DAY(AL95)))</f>
        <v/>
      </c>
      <c r="L95" s="15" t="str">
        <f aca="false">IF(AK95=0,"",ROUND((AsOfDate-AL95)/365.25,1))</f>
        <v/>
      </c>
      <c r="M95" s="16" t="str">
        <f aca="false">IF(AK95=0,"",IF(AsOfDate&lt;AL95,"-",DATEDIF(AL95,AsOfDate,"y")&amp;"y "&amp;DATEDIF(AL95,AsOfDate,"ym")&amp;"m "&amp;DATEDIF(AL95,AsOfDate,"md")&amp;"d"))</f>
        <v/>
      </c>
      <c r="N95" s="17" t="str">
        <f aca="false">IF(AK95=0,"",O95*HoursPerDay)</f>
        <v/>
      </c>
      <c r="O95" s="17" t="str">
        <f aca="false">IF(AK95=0,"",MAX(0,BD95-BQ95))</f>
        <v/>
      </c>
      <c r="P95" s="18"/>
      <c r="Q95" s="16" t="str">
        <f aca="false">IF(AK95=0,"",IF(AM95&lt;2,"",AQ95&amp;" to "&amp;AR95&amp;" on "&amp;TEXT(AO95,"dd/mm/yyyy")&amp;IF(AO95&gt;AsOfDate," (future)",IF(AT95=AU95,"",IF(AU95="None"," - STOPPED accruing",IF(AT95="None"," - commencement for Bonus Leave"," - pathway changed"))))&amp;IF(AM95&lt;3,"","; "&amp;AR95&amp;" to "&amp;AS95&amp;" on "&amp;TEXT(AP95,"dd/mm/yyyy")&amp;IF(AP95&gt;AsOfDate," (future)",IF(AU95=AV95,"",IF(AV95="None"," - STOPPED accruing",IF(AU95="None"," - commencement for Bonus Leave"," - pathway changed")))))))</f>
        <v/>
      </c>
      <c r="R95" s="16" t="str">
        <f aca="false">IF(AK95=0,"",IF(AW95="None",IF(O95&gt;0,"No longer accruing","Not eligible - "&amp;IF(AND(OR(ISNUMBER(SEARCH("part",$C95)),UPPER(TRIM($C95))="PT",UPPER(TRIM($C95))="PTE"),Apply2026="No"),"part-time (scheme is full-time only)",IF(AND(OR(ISNUMBER(SEARCH("part",$C95)),UPPER(TRIM($C95))="PT",UPPER(TRIM($C95))="PTE"),$P95&lt;&gt;"",N($P95)&lt;PT_MinHours),"under "&amp;PT_MinHours&amp;" hrs",IF(IF($C95="","",IF(OR(ISNUMBER(SEARCH("full",$C95)),UPPER(TRIM($C95))="FT",UPPER(TRIM($C95))="FTE"),"Full-Time",IF(OR(ISNUMBER(SEARCH("part",$C95)),UPPER(TRIM($C95))="PT",UPPER(TRIM($C95))="PTE"),"Part-Time",IF(OR(ISNUMBER(SEARCH("cas",$C95)),UPPER(TRIM($C95))="CAS"),"Casual","Unknown"))))="Unknown","type not recognised",$C95)))),IF(O95&gt;0,"Yes - Accrual Required","Not yet - from "&amp;TEXT(S95,"dd/mm/yyyy"))))</f>
        <v/>
      </c>
      <c r="S95" s="14" t="str">
        <f aca="false">IF(AK95=0,"",IF(AW95="None","",EDATE(AL95,BF95)))</f>
        <v/>
      </c>
      <c r="T95" s="17" t="str">
        <f aca="false">IF(AK95=0,"",IF(NOT(LH_Ready),"",IF($F95&gt;PFYDate,0,IF(LH_ColPeriod=0,W95-U95+V95,SUMIFS(INDEX(LH_Data,0,LH_ColAcc),INDEX(LH_Data,0,LH_ColFirst),$A95,INDEX(LH_Data,0,LH_ColSur),$B95,INDEX(LH_Data,0,LH_ColCat),BonusCat,INDEX(LH_Data,0,LH_ColPeriod),LH_OpenLabel)*UnitFactor))))</f>
        <v/>
      </c>
      <c r="U95" s="17" t="str">
        <f aca="false">IF(AK95=0,"",IF(NOT(LH_Ready),"",SUMIFS(INDEX(LH_Data,0,LH_ColAcc),INDEX(LH_Data,0,LH_ColFirst),$A95,INDEX(LH_Data,0,LH_ColSur),$B95,INDEX(LH_Data,0,LH_ColCat),BonusCat,INDEX(LH_Data,0,LH_ColStart),"&gt;="&amp;AL95)*UnitFactor))</f>
        <v/>
      </c>
      <c r="V95" s="17" t="str">
        <f aca="false">IF(AK95=0,"",IF(NOT(LH_Ready),"",SUMIFS(INDEX(LH_Data,0,LH_ColTaken),INDEX(LH_Data,0,LH_ColFirst),$A95,INDEX(LH_Data,0,LH_ColSur),$B95,INDEX(LH_Data,0,LH_ColCat),BonusCat,INDEX(LH_Data,0,LH_ColStart),"&gt;="&amp;AL95)*UnitFactor))</f>
        <v/>
      </c>
      <c r="W95" s="17" t="str">
        <f aca="false">IF(AK95=0,"",IF(NOT(LH_Ready),"",IF(BH95=0,0,INDEX(INDEX(LH_Data,0,LH_ColClose),BH95-1)*UnitFactor)))</f>
        <v/>
      </c>
      <c r="X95" s="17" t="str">
        <f aca="false">IF(AK95=0,"",(MAX(0,BD95-BQ95)-MAX(0,BE95-BQ95))*HoursPerDay)</f>
        <v/>
      </c>
      <c r="Y95" s="17" t="str">
        <f aca="false">IF(AK95=0,"",IF(NOT(LH_Ready),"",IF($AI95="Yes",N(AE95)*HoursPerDay-SUMIFS(INDEX(LH_Data,0,LH_ColAcc),INDEX(LH_Data,0,LH_ColFirst),$A95,INDEX(LH_Data,0,LH_ColSur),$B95,INDEX(LH_Data,0,LH_ColCat),BonusCat,INDEX(LH_Data,0,LH_ColStart),"&gt;="&amp;(EOMONTH(AsOfDate,-1)+1),INDEX(LH_Data,0,LH_ColStart),"&lt;="&amp;AsOfDate)*UnitFactor,IF(BG95=0,N95,N95-N(T95)-N(U95)))))</f>
        <v/>
      </c>
      <c r="Z95" s="16" t="str">
        <f aca="false">IF(OR(AK95=0,Y95=""),"",IF(Y95&gt;0,"Yes","No"))</f>
        <v/>
      </c>
      <c r="AA95" s="16" t="str">
        <f aca="false">IF(AK95=0,IF(LEN($A95&amp;$B95)=0,"","FIX INPUT - StartDate missing"),IF(AD95&lt;&gt;"","FIX INPUT - "&amp;AD95,IF(NOT(LH_Ready),"Paste Leave History export (Settings must show YES)",IF(AND($AI95="Yes",Y95&lt;=0),"OK - EH balance accepted to date"&amp;IF(N(AH95)&gt;0," (EH holds "&amp;AH95&amp;" hrs over the scheme)","")&amp;"; next day "&amp;TEXT(S95,"dd mmm yy")&amp;IF(N(AE95)&gt;0," ("&amp;AE95&amp;" day(s) for "&amp;UPPER(TEXT(AsOfDate,"mmm yyyy"))&amp;" already in EH)",""),IF(Y95&gt;0,"ACCRUE "&amp;ROUND(Y95,2)&amp;" hrs ("&amp;ROUND(Y95/HoursPerDay,2)&amp;" days): "&amp;IF(N(AE95)&gt;0,AE95&amp;" day(s) for "&amp;UPPER(TEXT(AsOfDate,"mmm yyyy"))&amp;" (milestone "&amp;UPPER(TEXT(AF95,"dd mmm yy"))&amp;")"&amp;IF(Y95/HoursPerDay&gt;AE95+0.001," + "&amp;ROUND(Y95/HoursPerDay-AE95,2)&amp;" day(s) catch-up from earlier months",""),"all catch-up from earlier months, nothing new this month")&amp;IF(BG95=0,"; no Bonus Leave in EH yet",""),IF(Y95&lt;0,"CHECK - EH accrued "&amp;ROUND(-Y95,2)&amp;" hrs more than policy since commencement",IF(N(W95)&gt;O95*HoursPerDay+0.01,"CHECK - EH balance "&amp;ROUND(W95-O95*HoursPerDay,2)&amp;" hrs more than policy entitlement",IF(O95&gt;0,"OK - nothing to add"&amp;IF(N(AE95)&gt;0," ("&amp;AE95&amp;" day(s) for "&amp;UPPER(TEXT(AsOfDate,"mmm yyyy"))&amp;" already in EH)",""),IF(AW95="None",R95,"Not yet - first day on "&amp;TEXT(S95,"dd/mm/yyyy"))))))))))</f>
        <v/>
      </c>
      <c r="AB95" s="17" t="str">
        <f aca="false">IF(OR(AK95=0,T95=""),"",MAX(0,BE95-BQ95)*HoursPerDay-T95)</f>
        <v/>
      </c>
      <c r="AC95" s="16" t="str">
        <f aca="false">IF(AK95=0,"",BG95)</f>
        <v/>
      </c>
      <c r="AD95" s="16" t="str">
        <f aca="false">IF(AK95=0,"",TRIM(IF(OR(ISTEXT($F95),ISTEXT($H95),ISTEXT($I95),ISTEXT($G95),ISTEXT($J95),ISTEXT($D95)),"A date is typed as text - retype it as dd/mm/yyyy. ","")&amp;IF(IF($C95="","",IF(OR(ISNUMBER(SEARCH("full",$C95)),UPPER(TRIM($C95))="FT",UPPER(TRIM($C95))="FTE"),"Full-Time",IF(OR(ISNUMBER(SEARCH("part",$C95)),UPPER(TRIM($C95))="PT",UPPER(TRIM($C95))="PTE"),"Part-Time",IF(OR(ISNUMBER(SEARCH("cas",$C95)),UPPER(TRIM($C95))="CAS"),"Casual","Unknown"))))="Unknown","EmploymentType not recognised - use Full-Time, Part-Time or Casual. ","")&amp;IF(AND(AM95&gt;=1,IF(AM95&gt;=3,AS95,IF(AM95=2,AR95,AQ95))&lt;&gt;IF($C95="","",IF(OR(ISNUMBER(SEARCH("full",$C95)),UPPER(TRIM($C95))="FT",UPPER(TRIM($C95))="FTE"),"Full-Time",IF(OR(ISNUMBER(SEARCH("part",$C95)),UPPER(TRIM($C95))="PT",UPPER(TRIM($C95))="PTE"),"Part-Time",IF(OR(ISNUMBER(SEARCH("cas",$C95)),UPPER(TRIM($C95))="CAS"),"Casual","Unknown"))))),"EmploymentType does not match latest start date ("&amp;IF(AM95&gt;=3,AS95,IF(AM95=2,AR95,AQ95))&amp;"). ","")&amp;IF(AND(AM95&gt;=1,AN95&lt;&gt;$F95),"Earliest type date should equal StartDate. ","")&amp;IF(AND(AM95&gt;=2,AN95=AO95),"Two types start on the same date. ","")&amp;IF(AND(OR(ISNUMBER(SEARCH("part",$C95)),UPPER(TRIM($C95))="PT",UPPER(TRIM($C95))="PTE"),$P95=""),"Part-time: enter PT Hrs/Week (blank = 24+). ","")))</f>
        <v/>
      </c>
      <c r="AE95" s="17" t="str">
        <f aca="false">IF(AK95=0,"",O95-MAX(0,BL95-BQ95))</f>
        <v/>
      </c>
      <c r="AF95" s="14" t="str">
        <f aca="false">IF(OR(AK95=0,AE95="",N(AE95)=0,BM95=""),"",EDATE(AL95,BM95))</f>
        <v/>
      </c>
      <c r="AG95" s="17" t="str">
        <f aca="false">IF(AK95=0,"",MIN(BD95,BQ95))</f>
        <v/>
      </c>
      <c r="AH95" s="17" t="str">
        <f aca="false">IF(AK95=0,"",IF(NOT(LH_Ready),"",IF(BG95=0,0,MAX(0,ROUND(N(T95)+N(U95)-N95,2)))))</f>
        <v/>
      </c>
      <c r="AI95" s="12"/>
      <c r="AJ95" s="12"/>
      <c r="AK95" s="16" t="n">
        <f aca="false">IF(OR(LEN($A95&amp;$B95)=0,$F95=""),0,1)</f>
        <v>0</v>
      </c>
      <c r="AL95" s="14" t="str">
        <f aca="false">IF(AK95=0,"",IF(PreSchemeCounts="No",MAX(SchemeStart,IF($J95&lt;&gt;"",$J95,IF(OR(CasualCounts="Yes",COUNT($G95:$I95)=0),$F95,IF(Apply2026="No",IF($I95="",$F95,$I95),IF(COUNT($H95:$I95)=0,$F95,MIN($H95:$I95)))))),IF($J95&lt;&gt;"",$J95,IF(OR(CasualCounts="Yes",COUNT($G95:$I95)=0),$F95,IF(Apply2026="No",IF($I95="",$F95,$I95),IF(COUNT($H95:$I95)=0,$F95,MIN($H95:$I95)))))))</f>
        <v/>
      </c>
      <c r="AM95" s="16" t="str">
        <f aca="false">IF(AK95=0,"",COUNT($G95:$I95))</f>
        <v/>
      </c>
      <c r="AN95" s="14" t="str">
        <f aca="false">IF(AK95=0,"",IFERROR(SMALL($G95:$I95,1),""))</f>
        <v/>
      </c>
      <c r="AO95" s="14" t="str">
        <f aca="false">IF(AK95=0,"",IFERROR(SMALL($G95:$I95,2),""))</f>
        <v/>
      </c>
      <c r="AP95" s="14" t="str">
        <f aca="false">IF(AK95=0,"",IFERROR(SMALL($G95:$I95,3),""))</f>
        <v/>
      </c>
      <c r="AQ95" s="16" t="str">
        <f aca="false">IF(AK95=0,"",IF(AN95="","",IF(AN95=$H95,"Part-Time",IF(AN95=$I95,"Full-Time","Casual"))))</f>
        <v/>
      </c>
      <c r="AR95" s="16" t="str">
        <f aca="false">IF(AK95=0,"",IF(AO95="","",IF(AO95=$H95,"Part-Time",IF(AO95=$I95,"Full-Time","Casual"))))</f>
        <v/>
      </c>
      <c r="AS95" s="16" t="str">
        <f aca="false">IF(AK95=0,"",IF(AP95="","",IF(AP95=$H95,"Part-Time",IF(AP95=$I95,"Full-Time","Casual"))))</f>
        <v/>
      </c>
      <c r="AT95" s="16" t="str">
        <f aca="false">IF(AK95=0,"",IF(AM95=0,IF(OR(ISNUMBER(SEARCH("full",$C95)),UPPER(TRIM($C95))="FT",UPPER(TRIM($C95))="FTE"),"FT",IF(AND(OR(ISNUMBER(SEARCH("part",$C95)),UPPER(TRIM($C95))="PT",UPPER(TRIM($C95))="PTE"),Apply2026="Yes",OR($P95="",N($P95)&gt;=PT_MinHours)),"PT","None")),IF(OR(ISNUMBER(SEARCH("full",AQ95)),UPPER(TRIM(AQ95))="FT",UPPER(TRIM(AQ95))="FTE"),"FT",IF(AND(OR(ISNUMBER(SEARCH("part",AQ95)),UPPER(TRIM(AQ95))="PT",UPPER(TRIM(AQ95))="PTE"),Apply2026="Yes",OR($P95="",N($P95)&gt;=PT_MinHours)),"PT","None"))))</f>
        <v/>
      </c>
      <c r="AU95" s="16" t="str">
        <f aca="false">IF(AK95=0,"",IF(AM95&lt;2,"",IF(OR(ISNUMBER(SEARCH("full",AR95)),UPPER(TRIM(AR95))="FT",UPPER(TRIM(AR95))="FTE"),"FT",IF(AND(OR(ISNUMBER(SEARCH("part",AR95)),UPPER(TRIM(AR95))="PT",UPPER(TRIM(AR95))="PTE"),Apply2026="Yes",OR($P95="",N($P95)&gt;=PT_MinHours)),"PT","None"))))</f>
        <v/>
      </c>
      <c r="AV95" s="16" t="str">
        <f aca="false">IF(AK95=0,"",IF(AM95&lt;3,"",IF(OR(ISNUMBER(SEARCH("full",AS95)),UPPER(TRIM(AS95))="FT",UPPER(TRIM(AS95))="FTE"),"FT",IF(AND(OR(ISNUMBER(SEARCH("part",AS95)),UPPER(TRIM(AS95))="PT",UPPER(TRIM(AS95))="PTE"),Apply2026="Yes",OR($P95="",N($P95)&gt;=PT_MinHours)),"PT","None"))))</f>
        <v/>
      </c>
      <c r="AW95" s="16" t="str">
        <f aca="false">IF(AK95=0,"",IF(AND(AM95&gt;=3,AP95&lt;=AsOfDate),AV95,IF(AND(AM95&gt;=2,AO95&lt;=AsOfDate),AU95,AT95)))</f>
        <v/>
      </c>
      <c r="AX95" s="16" t="str">
        <f aca="false">IF(AK95=0,"",IF(AsOfDate&lt;AL95,-1,12*(YEAR(AsOfDate)-YEAR(AL95))+MONTH(AsOfDate)-MONTH(AL95)-IF(DAY(AsOfDate)&lt;MIN(DAY(AL95),DAY(EOMONTH(AsOfDate,0))),1,0)))</f>
        <v/>
      </c>
      <c r="AY95" s="16" t="str">
        <f aca="false">IF(AK95=0,"",IF(OR(AM95&lt;2,AO95&gt;AsOfDate),AX95,IF((AO95-1)&lt;AL95,-1,12*(YEAR((AO95-1))-YEAR(AL95))+MONTH((AO95-1))-MONTH(AL95)-IF(DAY((AO95-1))&lt;MIN(DAY(AL95),DAY(EOMONTH((AO95-1),0))),1,0))))</f>
        <v/>
      </c>
      <c r="AZ95" s="16" t="str">
        <f aca="false">IF(AK95=0,"",IF(OR(AM95&lt;3,AP95&gt;AsOfDate),AX95,IF((AP95-1)&lt;AL95,-1,12*(YEAR((AP95-1))-YEAR(AL95))+MONTH((AP95-1))-MONTH(AL95)-IF(DAY((AP95-1))&lt;MIN(DAY(AL95),DAY(EOMONTH((AP95-1),0))),1,0))))</f>
        <v/>
      </c>
      <c r="BA95" s="16" t="str">
        <f aca="false">IF(AK95=0,"",IF(PFYDate&lt;AL95,-1,12*(YEAR(PFYDate)-YEAR(AL95))+MONTH(PFYDate)-MONTH(AL95)-IF(DAY(PFYDate)&lt;MIN(DAY(AL95),DAY(EOMONTH(PFYDate,0))),1,0)))</f>
        <v/>
      </c>
      <c r="BB95" s="16" t="str">
        <f aca="false">IF(AK95=0,"",IF(OR(AM95&lt;2,AO95&gt;PFYDate),BA95,IF((AO95-1)&lt;AL95,-1,12*(YEAR((AO95-1))-YEAR(AL95))+MONTH((AO95-1))-MONTH(AL95)-IF(DAY((AO95-1))&lt;MIN(DAY(AL95),DAY(EOMONTH((AO95-1),0))),1,0))))</f>
        <v/>
      </c>
      <c r="BC95" s="16" t="str">
        <f aca="false">IF(AK95=0,"",IF(OR(AM95&lt;3,AP95&gt;PFYDate),BA95,IF((AP95-1)&lt;AL95,-1,12*(YEAR((AP95-1))-YEAR(AL95))+MONTH((AP95-1))-MONTH(AL95)-IF(DAY((AP95-1))&lt;MIN(DAY(AL95),DAY(EOMONTH((AP95-1),0))),1,0))))</f>
        <v/>
      </c>
      <c r="BD95" s="16" t="str">
        <f aca="false">IF(AK95=0,"",IF(AT95="FT",IF(AY95&lt;FT_First,0,IF(AY95&lt;FT_Y5,1+INT((AY95-FT_First)/FT_Int1),FT_PreY5+FT_PerYear*INT((AY95-FT_Y5)/12)+FT_AnnivDays+INT(MOD(AY95-FT_Y5,12)/FT_Int2)-IF(EDATE(AL95,FT_Y5)&lt;PolicyEff,FT_AnnivDays-1,0))),IF(AT95="PT",IF(AY95&lt;PT_First,0,1+INT((AY95-PT_First)/PT_Int)),0))+IF(AND(AM95&gt;=2,AO95&lt;=AsOfDate),IF(AU95="FT",IF(AZ95&lt;FT_First,0,IF(AZ95&lt;FT_Y5,1+INT((AZ95-FT_First)/FT_Int1),FT_PreY5+FT_PerYear*INT((AZ95-FT_Y5)/12)+FT_AnnivDays+INT(MOD(AZ95-FT_Y5,12)/FT_Int2)-IF(EDATE(AL95,FT_Y5)&lt;PolicyEff,FT_AnnivDays-1,0))),IF(AU95="PT",IF(AZ95&lt;PT_First,0,1+INT((AZ95-PT_First)/PT_Int)),0))-IF(AU95="FT",IF(AY95&lt;FT_First,0,IF(AY95&lt;FT_Y5,1+INT((AY95-FT_First)/FT_Int1),FT_PreY5+FT_PerYear*INT((AY95-FT_Y5)/12)+FT_AnnivDays+INT(MOD(AY95-FT_Y5,12)/FT_Int2)-IF(EDATE(AL95,FT_Y5)&lt;PolicyEff,FT_AnnivDays-1,0))),IF(AU95="PT",IF(AY95&lt;PT_First,0,1+INT((AY95-PT_First)/PT_Int)),0)),0)+IF(AND(AM95&gt;=3,AP95&lt;=AsOfDate),IF(AV95="FT",IF(AX95&lt;FT_First,0,IF(AX95&lt;FT_Y5,1+INT((AX95-FT_First)/FT_Int1),FT_PreY5+FT_PerYear*INT((AX95-FT_Y5)/12)+FT_AnnivDays+INT(MOD(AX95-FT_Y5,12)/FT_Int2)-IF(EDATE(AL95,FT_Y5)&lt;PolicyEff,FT_AnnivDays-1,0))),IF(AV95="PT",IF(AX95&lt;PT_First,0,1+INT((AX95-PT_First)/PT_Int)),0))-IF(AV95="FT",IF(AZ95&lt;FT_First,0,IF(AZ95&lt;FT_Y5,1+INT((AZ95-FT_First)/FT_Int1),FT_PreY5+FT_PerYear*INT((AZ95-FT_Y5)/12)+FT_AnnivDays+INT(MOD(AZ95-FT_Y5,12)/FT_Int2)-IF(EDATE(AL95,FT_Y5)&lt;PolicyEff,FT_AnnivDays-1,0))),IF(AV95="PT",IF(AZ95&lt;PT_First,0,1+INT((AZ95-PT_First)/PT_Int)),0)),0))</f>
        <v/>
      </c>
      <c r="BE95" s="16" t="str">
        <f aca="false">IF(AK95=0,"",IF(AT95="FT",IF(BB95&lt;FT_First,0,IF(BB95&lt;FT_Y5,1+INT((BB95-FT_First)/FT_Int1),FT_PreY5+FT_PerYear*INT((BB95-FT_Y5)/12)+FT_AnnivDays+INT(MOD(BB95-FT_Y5,12)/FT_Int2)-IF(EDATE(AL95,FT_Y5)&lt;PolicyEff,FT_AnnivDays-1,0))),IF(AT95="PT",IF(BB95&lt;PT_First,0,1+INT((BB95-PT_First)/PT_Int)),0))+IF(AND(AM95&gt;=2,AO95&lt;=PFYDate),IF(AU95="FT",IF(BC95&lt;FT_First,0,IF(BC95&lt;FT_Y5,1+INT((BC95-FT_First)/FT_Int1),FT_PreY5+FT_PerYear*INT((BC95-FT_Y5)/12)+FT_AnnivDays+INT(MOD(BC95-FT_Y5,12)/FT_Int2)-IF(EDATE(AL95,FT_Y5)&lt;PolicyEff,FT_AnnivDays-1,0))),IF(AU95="PT",IF(BC95&lt;PT_First,0,1+INT((BC95-PT_First)/PT_Int)),0))-IF(AU95="FT",IF(BB95&lt;FT_First,0,IF(BB95&lt;FT_Y5,1+INT((BB95-FT_First)/FT_Int1),FT_PreY5+FT_PerYear*INT((BB95-FT_Y5)/12)+FT_AnnivDays+INT(MOD(BB95-FT_Y5,12)/FT_Int2)-IF(EDATE(AL95,FT_Y5)&lt;PolicyEff,FT_AnnivDays-1,0))),IF(AU95="PT",IF(BB95&lt;PT_First,0,1+INT((BB95-PT_First)/PT_Int)),0)),0)+IF(AND(AM95&gt;=3,AP95&lt;=PFYDate),IF(AV95="FT",IF(BA95&lt;FT_First,0,IF(BA95&lt;FT_Y5,1+INT((BA95-FT_First)/FT_Int1),FT_PreY5+FT_PerYear*INT((BA95-FT_Y5)/12)+FT_AnnivDays+INT(MOD(BA95-FT_Y5,12)/FT_Int2)-IF(EDATE(AL95,FT_Y5)&lt;PolicyEff,FT_AnnivDays-1,0))),IF(AV95="PT",IF(BA95&lt;PT_First,0,1+INT((BA95-PT_First)/PT_Int)),0))-IF(AV95="FT",IF(BC95&lt;FT_First,0,IF(BC95&lt;FT_Y5,1+INT((BC95-FT_First)/FT_Int1),FT_PreY5+FT_PerYear*INT((BC95-FT_Y5)/12)+FT_AnnivDays+INT(MOD(BC95-FT_Y5,12)/FT_Int2)-IF(EDATE(AL95,FT_Y5)&lt;PolicyEff,FT_AnnivDays-1,0))),IF(AV95="PT",IF(BC95&lt;PT_First,0,1+INT((BC95-PT_First)/PT_Int)),0)),0))</f>
        <v/>
      </c>
      <c r="BF95" s="16" t="str">
        <f aca="false">IF(AK95=0,"",IF(AW95="FT",IF(AX95&lt;FT_First,FT_First,IF(AX95&lt;FT_Y5,MIN(FT_Y5,FT_First+FT_Int1*(INT((AX95-FT_First)/FT_Int1)+1)),FT_Y5+12*INT((AX95-FT_Y5)/12)+FT_Int2*(INT(MOD(AX95-FT_Y5,12)/FT_Int2)+1))),IF(AW95="PT",IF(AX95&lt;PT_First,PT_First,PT_First+PT_Int*(INT((AX95-PT_First)/PT_Int)+1)),"")))</f>
        <v/>
      </c>
      <c r="BG95" s="16" t="str">
        <f aca="false">IF(AK95=0,"",IF(NOT(LH_Ready),0,COUNTIFS(INDEX(LH_Data,0,LH_ColFirst),$A95,INDEX(LH_Data,0,LH_ColSur),$B95,INDEX(LH_Data,0,LH_ColCat),BonusCat)))</f>
        <v/>
      </c>
      <c r="BH95" s="16" t="str">
        <f aca="false">IF(AK95=0,"",IF(OR(NOT(LH_Ready),BG95=0),0,SUMPRODUCT(MAX((INDEX(LH_Data,0,LH_ColFirst)=$A95)*(INDEX(LH_Data,0,LH_ColSur)=$B95)*(INDEX(LH_Data,0,LH_ColCat)=BonusCat)*ROW(LH_Data)))))</f>
        <v/>
      </c>
      <c r="BI95" s="16" t="str">
        <f aca="false">IF(AK95=0,"",IF(EOMONTH(AsOfDate,-1)&lt;AL95,-1,12*(YEAR(EOMONTH(AsOfDate,-1))-YEAR(AL95))+MONTH(EOMONTH(AsOfDate,-1))-MONTH(AL95)-IF(DAY(EOMONTH(AsOfDate,-1))&lt;MIN(DAY(AL95),DAY(EOMONTH(EOMONTH(AsOfDate,-1),0))),1,0)))</f>
        <v/>
      </c>
      <c r="BJ95" s="16" t="str">
        <f aca="false">IF(AK95=0,"",IF(OR(AM95&lt;2,AO95&gt;EOMONTH(AsOfDate,-1)),BI95,IF((AO95-1)&lt;AL95,-1,12*(YEAR((AO95-1))-YEAR(AL95))+MONTH((AO95-1))-MONTH(AL95)-IF(DAY((AO95-1))&lt;MIN(DAY(AL95),DAY(EOMONTH((AO95-1),0))),1,0))))</f>
        <v/>
      </c>
      <c r="BK95" s="16" t="str">
        <f aca="false">IF(AK95=0,"",IF(OR(AM95&lt;3,AP95&gt;EOMONTH(AsOfDate,-1)),BI95,IF((AP95-1)&lt;AL95,-1,12*(YEAR((AP95-1))-YEAR(AL95))+MONTH((AP95-1))-MONTH(AL95)-IF(DAY((AP95-1))&lt;MIN(DAY(AL95),DAY(EOMONTH((AP95-1),0))),1,0))))</f>
        <v/>
      </c>
      <c r="BL95" s="16" t="str">
        <f aca="false">IF(AK95=0,"",IF(AT95="FT",IF(BJ95&lt;FT_First,0,IF(BJ95&lt;FT_Y5,1+INT((BJ95-FT_First)/FT_Int1),FT_PreY5+FT_PerYear*INT((BJ95-FT_Y5)/12)+FT_AnnivDays+INT(MOD(BJ95-FT_Y5,12)/FT_Int2)-IF(EDATE(AL95,FT_Y5)&lt;PolicyEff,FT_AnnivDays-1,0))),IF(AT95="PT",IF(BJ95&lt;PT_First,0,1+INT((BJ95-PT_First)/PT_Int)),0))+IF(AND(AM95&gt;=2,AO95&lt;=EOMONTH(AsOfDate,-1)),IF(AU95="FT",IF(BK95&lt;FT_First,0,IF(BK95&lt;FT_Y5,1+INT((BK95-FT_First)/FT_Int1),FT_PreY5+FT_PerYear*INT((BK95-FT_Y5)/12)+FT_AnnivDays+INT(MOD(BK95-FT_Y5,12)/FT_Int2)-IF(EDATE(AL95,FT_Y5)&lt;PolicyEff,FT_AnnivDays-1,0))),IF(AU95="PT",IF(BK95&lt;PT_First,0,1+INT((BK95-PT_First)/PT_Int)),0))-IF(AU95="FT",IF(BJ95&lt;FT_First,0,IF(BJ95&lt;FT_Y5,1+INT((BJ95-FT_First)/FT_Int1),FT_PreY5+FT_PerYear*INT((BJ95-FT_Y5)/12)+FT_AnnivDays+INT(MOD(BJ95-FT_Y5,12)/FT_Int2)-IF(EDATE(AL95,FT_Y5)&lt;PolicyEff,FT_AnnivDays-1,0))),IF(AU95="PT",IF(BJ95&lt;PT_First,0,1+INT((BJ95-PT_First)/PT_Int)),0)),0)+IF(AND(AM95&gt;=3,AP95&lt;=EOMONTH(AsOfDate,-1)),IF(AV95="FT",IF(BI95&lt;FT_First,0,IF(BI95&lt;FT_Y5,1+INT((BI95-FT_First)/FT_Int1),FT_PreY5+FT_PerYear*INT((BI95-FT_Y5)/12)+FT_AnnivDays+INT(MOD(BI95-FT_Y5,12)/FT_Int2)-IF(EDATE(AL95,FT_Y5)&lt;PolicyEff,FT_AnnivDays-1,0))),IF(AV95="PT",IF(BI95&lt;PT_First,0,1+INT((BI95-PT_First)/PT_Int)),0))-IF(AV95="FT",IF(BK95&lt;FT_First,0,IF(BK95&lt;FT_Y5,1+INT((BK95-FT_First)/FT_Int1),FT_PreY5+FT_PerYear*INT((BK95-FT_Y5)/12)+FT_AnnivDays+INT(MOD(BK95-FT_Y5,12)/FT_Int2)-IF(EDATE(AL95,FT_Y5)&lt;PolicyEff,FT_AnnivDays-1,0))),IF(AV95="PT",IF(BK95&lt;PT_First,0,1+INT((BK95-PT_First)/PT_Int)),0)),0))</f>
        <v/>
      </c>
      <c r="BM95" s="16" t="str">
        <f aca="false">IF(AK95=0,"",IF(AW95="FT",IF(AX95&lt;FT_First,"",IF(AX95&lt;FT_Y5,FT_First+FT_Int1*INT((AX95-FT_First)/FT_Int1),FT_Y5+FT_Int2*INT((AX95-FT_Y5)/FT_Int2))),IF(AW95="PT",IF(AX95&lt;PT_First,"",PT_First+PT_Int*INT((AX95-PT_First)/PT_Int)),"")))</f>
        <v/>
      </c>
      <c r="BN95" s="16" t="str">
        <f aca="false">IF(AK95=0,"",IF((SchemeStart-1)&lt;AL95,-1,12*(YEAR((SchemeStart-1))-YEAR(AL95))+MONTH((SchemeStart-1))-MONTH(AL95)-IF(DAY((SchemeStart-1))&lt;MIN(DAY(AL95),DAY(EOMONTH((SchemeStart-1),0))),1,0)))</f>
        <v/>
      </c>
      <c r="BO95" s="16" t="str">
        <f aca="false">IF(AK95=0,"",IF(OR(AM95&lt;2,AO95&gt;(SchemeStart-1)),BN95,IF((AO95-1)&lt;AL95,-1,12*(YEAR((AO95-1))-YEAR(AL95))+MONTH((AO95-1))-MONTH(AL95)-IF(DAY((AO95-1))&lt;MIN(DAY(AL95),DAY(EOMONTH((AO95-1),0))),1,0))))</f>
        <v/>
      </c>
      <c r="BP95" s="16" t="str">
        <f aca="false">IF(AK95=0,"",IF(OR(AM95&lt;3,AP95&gt;(SchemeStart-1)),BN95,IF((AP95-1)&lt;AL95,-1,12*(YEAR((AP95-1))-YEAR(AL95))+MONTH((AP95-1))-MONTH(AL95)-IF(DAY((AP95-1))&lt;MIN(DAY(AL95),DAY(EOMONTH((AP95-1),0))),1,0))))</f>
        <v/>
      </c>
      <c r="BQ95" s="16" t="str">
        <f aca="false">IF(AK95=0,"",IF(AT95="FT",IF(BO95&lt;FT_First,0,IF(BO95&lt;FT_Y5,1+INT((BO95-FT_First)/FT_Int1),FT_PreY5+FT_PerYear*INT((BO95-FT_Y5)/12)+FT_AnnivDays+INT(MOD(BO95-FT_Y5,12)/FT_Int2)-IF(EDATE(AL95,FT_Y5)&lt;PolicyEff,FT_AnnivDays-1,0))),IF(AT95="PT",IF(BO95&lt;PT_First,0,1+INT((BO95-PT_First)/PT_Int)),0))+IF(AND(AM95&gt;=2,AO95&lt;=(SchemeStart-1)),IF(AU95="FT",IF(BP95&lt;FT_First,0,IF(BP95&lt;FT_Y5,1+INT((BP95-FT_First)/FT_Int1),FT_PreY5+FT_PerYear*INT((BP95-FT_Y5)/12)+FT_AnnivDays+INT(MOD(BP95-FT_Y5,12)/FT_Int2)-IF(EDATE(AL95,FT_Y5)&lt;PolicyEff,FT_AnnivDays-1,0))),IF(AU95="PT",IF(BP95&lt;PT_First,0,1+INT((BP95-PT_First)/PT_Int)),0))-IF(AU95="FT",IF(BO95&lt;FT_First,0,IF(BO95&lt;FT_Y5,1+INT((BO95-FT_First)/FT_Int1),FT_PreY5+FT_PerYear*INT((BO95-FT_Y5)/12)+FT_AnnivDays+INT(MOD(BO95-FT_Y5,12)/FT_Int2)-IF(EDATE(AL95,FT_Y5)&lt;PolicyEff,FT_AnnivDays-1,0))),IF(AU95="PT",IF(BO95&lt;PT_First,0,1+INT((BO95-PT_First)/PT_Int)),0)),0)+IF(AND(AM95&gt;=3,AP95&lt;=(SchemeStart-1)),IF(AV95="FT",IF(BN95&lt;FT_First,0,IF(BN95&lt;FT_Y5,1+INT((BN95-FT_First)/FT_Int1),FT_PreY5+FT_PerYear*INT((BN95-FT_Y5)/12)+FT_AnnivDays+INT(MOD(BN95-FT_Y5,12)/FT_Int2)-IF(EDATE(AL95,FT_Y5)&lt;PolicyEff,FT_AnnivDays-1,0))),IF(AV95="PT",IF(BN95&lt;PT_First,0,1+INT((BN95-PT_First)/PT_Int)),0))-IF(AV95="FT",IF(BP95&lt;FT_First,0,IF(BP95&lt;FT_Y5,1+INT((BP95-FT_First)/FT_Int1),FT_PreY5+FT_PerYear*INT((BP95-FT_Y5)/12)+FT_AnnivDays+INT(MOD(BP95-FT_Y5,12)/FT_Int2)-IF(EDATE(AL95,FT_Y5)&lt;PolicyEff,FT_AnnivDays-1,0))),IF(AV95="PT",IF(BP95&lt;PT_First,0,1+INT((BP95-PT_First)/PT_Int)),0)),0))</f>
        <v/>
      </c>
      <c r="BR95" s="0" t="str">
        <f aca="false">IF(LEN($A95&amp;$B95)=0,"",$A95&amp;" "&amp;$B95)</f>
        <v/>
      </c>
    </row>
    <row r="96" customFormat="false" ht="15" hidden="false" customHeight="false" outlineLevel="0" collapsed="false">
      <c r="A96" s="12"/>
      <c r="B96" s="12"/>
      <c r="C96" s="12"/>
      <c r="D96" s="13"/>
      <c r="E96" s="14" t="str">
        <f aca="false">IF(OR(AK96=0,$D96=""),"",DATE(YEAR(AsOfDate)+IF(DATE(YEAR(AsOfDate),MONTH($D96),DAY($D96))&lt;=AsOfDate,1,0),MONTH($D96),DAY($D96)))</f>
        <v/>
      </c>
      <c r="F96" s="13"/>
      <c r="G96" s="13"/>
      <c r="H96" s="13"/>
      <c r="I96" s="13"/>
      <c r="J96" s="13"/>
      <c r="K96" s="14" t="str">
        <f aca="false">IF(AK96=0,"",DATE(YEAR(AsOfDate)+IF(DATE(YEAR(AsOfDate),MONTH(AL96),DAY(AL96))&lt;=AsOfDate,1,0),MONTH(AL96),DAY(AL96)))</f>
        <v/>
      </c>
      <c r="L96" s="15" t="str">
        <f aca="false">IF(AK96=0,"",ROUND((AsOfDate-AL96)/365.25,1))</f>
        <v/>
      </c>
      <c r="M96" s="16" t="str">
        <f aca="false">IF(AK96=0,"",IF(AsOfDate&lt;AL96,"-",DATEDIF(AL96,AsOfDate,"y")&amp;"y "&amp;DATEDIF(AL96,AsOfDate,"ym")&amp;"m "&amp;DATEDIF(AL96,AsOfDate,"md")&amp;"d"))</f>
        <v/>
      </c>
      <c r="N96" s="17" t="str">
        <f aca="false">IF(AK96=0,"",O96*HoursPerDay)</f>
        <v/>
      </c>
      <c r="O96" s="17" t="str">
        <f aca="false">IF(AK96=0,"",MAX(0,BD96-BQ96))</f>
        <v/>
      </c>
      <c r="P96" s="18"/>
      <c r="Q96" s="16" t="str">
        <f aca="false">IF(AK96=0,"",IF(AM96&lt;2,"",AQ96&amp;" to "&amp;AR96&amp;" on "&amp;TEXT(AO96,"dd/mm/yyyy")&amp;IF(AO96&gt;AsOfDate," (future)",IF(AT96=AU96,"",IF(AU96="None"," - STOPPED accruing",IF(AT96="None"," - commencement for Bonus Leave"," - pathway changed"))))&amp;IF(AM96&lt;3,"","; "&amp;AR96&amp;" to "&amp;AS96&amp;" on "&amp;TEXT(AP96,"dd/mm/yyyy")&amp;IF(AP96&gt;AsOfDate," (future)",IF(AU96=AV96,"",IF(AV96="None"," - STOPPED accruing",IF(AU96="None"," - commencement for Bonus Leave"," - pathway changed")))))))</f>
        <v/>
      </c>
      <c r="R96" s="16" t="str">
        <f aca="false">IF(AK96=0,"",IF(AW96="None",IF(O96&gt;0,"No longer accruing","Not eligible - "&amp;IF(AND(OR(ISNUMBER(SEARCH("part",$C96)),UPPER(TRIM($C96))="PT",UPPER(TRIM($C96))="PTE"),Apply2026="No"),"part-time (scheme is full-time only)",IF(AND(OR(ISNUMBER(SEARCH("part",$C96)),UPPER(TRIM($C96))="PT",UPPER(TRIM($C96))="PTE"),$P96&lt;&gt;"",N($P96)&lt;PT_MinHours),"under "&amp;PT_MinHours&amp;" hrs",IF(IF($C96="","",IF(OR(ISNUMBER(SEARCH("full",$C96)),UPPER(TRIM($C96))="FT",UPPER(TRIM($C96))="FTE"),"Full-Time",IF(OR(ISNUMBER(SEARCH("part",$C96)),UPPER(TRIM($C96))="PT",UPPER(TRIM($C96))="PTE"),"Part-Time",IF(OR(ISNUMBER(SEARCH("cas",$C96)),UPPER(TRIM($C96))="CAS"),"Casual","Unknown"))))="Unknown","type not recognised",$C96)))),IF(O96&gt;0,"Yes - Accrual Required","Not yet - from "&amp;TEXT(S96,"dd/mm/yyyy"))))</f>
        <v/>
      </c>
      <c r="S96" s="14" t="str">
        <f aca="false">IF(AK96=0,"",IF(AW96="None","",EDATE(AL96,BF96)))</f>
        <v/>
      </c>
      <c r="T96" s="17" t="str">
        <f aca="false">IF(AK96=0,"",IF(NOT(LH_Ready),"",IF($F96&gt;PFYDate,0,IF(LH_ColPeriod=0,W96-U96+V96,SUMIFS(INDEX(LH_Data,0,LH_ColAcc),INDEX(LH_Data,0,LH_ColFirst),$A96,INDEX(LH_Data,0,LH_ColSur),$B96,INDEX(LH_Data,0,LH_ColCat),BonusCat,INDEX(LH_Data,0,LH_ColPeriod),LH_OpenLabel)*UnitFactor))))</f>
        <v/>
      </c>
      <c r="U96" s="17" t="str">
        <f aca="false">IF(AK96=0,"",IF(NOT(LH_Ready),"",SUMIFS(INDEX(LH_Data,0,LH_ColAcc),INDEX(LH_Data,0,LH_ColFirst),$A96,INDEX(LH_Data,0,LH_ColSur),$B96,INDEX(LH_Data,0,LH_ColCat),BonusCat,INDEX(LH_Data,0,LH_ColStart),"&gt;="&amp;AL96)*UnitFactor))</f>
        <v/>
      </c>
      <c r="V96" s="17" t="str">
        <f aca="false">IF(AK96=0,"",IF(NOT(LH_Ready),"",SUMIFS(INDEX(LH_Data,0,LH_ColTaken),INDEX(LH_Data,0,LH_ColFirst),$A96,INDEX(LH_Data,0,LH_ColSur),$B96,INDEX(LH_Data,0,LH_ColCat),BonusCat,INDEX(LH_Data,0,LH_ColStart),"&gt;="&amp;AL96)*UnitFactor))</f>
        <v/>
      </c>
      <c r="W96" s="17" t="str">
        <f aca="false">IF(AK96=0,"",IF(NOT(LH_Ready),"",IF(BH96=0,0,INDEX(INDEX(LH_Data,0,LH_ColClose),BH96-1)*UnitFactor)))</f>
        <v/>
      </c>
      <c r="X96" s="17" t="str">
        <f aca="false">IF(AK96=0,"",(MAX(0,BD96-BQ96)-MAX(0,BE96-BQ96))*HoursPerDay)</f>
        <v/>
      </c>
      <c r="Y96" s="17" t="str">
        <f aca="false">IF(AK96=0,"",IF(NOT(LH_Ready),"",IF($AI96="Yes",N(AE96)*HoursPerDay-SUMIFS(INDEX(LH_Data,0,LH_ColAcc),INDEX(LH_Data,0,LH_ColFirst),$A96,INDEX(LH_Data,0,LH_ColSur),$B96,INDEX(LH_Data,0,LH_ColCat),BonusCat,INDEX(LH_Data,0,LH_ColStart),"&gt;="&amp;(EOMONTH(AsOfDate,-1)+1),INDEX(LH_Data,0,LH_ColStart),"&lt;="&amp;AsOfDate)*UnitFactor,IF(BG96=0,N96,N96-N(T96)-N(U96)))))</f>
        <v/>
      </c>
      <c r="Z96" s="16" t="str">
        <f aca="false">IF(OR(AK96=0,Y96=""),"",IF(Y96&gt;0,"Yes","No"))</f>
        <v/>
      </c>
      <c r="AA96" s="16" t="str">
        <f aca="false">IF(AK96=0,IF(LEN($A96&amp;$B96)=0,"","FIX INPUT - StartDate missing"),IF(AD96&lt;&gt;"","FIX INPUT - "&amp;AD96,IF(NOT(LH_Ready),"Paste Leave History export (Settings must show YES)",IF(AND($AI96="Yes",Y96&lt;=0),"OK - EH balance accepted to date"&amp;IF(N(AH96)&gt;0," (EH holds "&amp;AH96&amp;" hrs over the scheme)","")&amp;"; next day "&amp;TEXT(S96,"dd mmm yy")&amp;IF(N(AE96)&gt;0," ("&amp;AE96&amp;" day(s) for "&amp;UPPER(TEXT(AsOfDate,"mmm yyyy"))&amp;" already in EH)",""),IF(Y96&gt;0,"ACCRUE "&amp;ROUND(Y96,2)&amp;" hrs ("&amp;ROUND(Y96/HoursPerDay,2)&amp;" days): "&amp;IF(N(AE96)&gt;0,AE96&amp;" day(s) for "&amp;UPPER(TEXT(AsOfDate,"mmm yyyy"))&amp;" (milestone "&amp;UPPER(TEXT(AF96,"dd mmm yy"))&amp;")"&amp;IF(Y96/HoursPerDay&gt;AE96+0.001," + "&amp;ROUND(Y96/HoursPerDay-AE96,2)&amp;" day(s) catch-up from earlier months",""),"all catch-up from earlier months, nothing new this month")&amp;IF(BG96=0,"; no Bonus Leave in EH yet",""),IF(Y96&lt;0,"CHECK - EH accrued "&amp;ROUND(-Y96,2)&amp;" hrs more than policy since commencement",IF(N(W96)&gt;O96*HoursPerDay+0.01,"CHECK - EH balance "&amp;ROUND(W96-O96*HoursPerDay,2)&amp;" hrs more than policy entitlement",IF(O96&gt;0,"OK - nothing to add"&amp;IF(N(AE96)&gt;0," ("&amp;AE96&amp;" day(s) for "&amp;UPPER(TEXT(AsOfDate,"mmm yyyy"))&amp;" already in EH)",""),IF(AW96="None",R96,"Not yet - first day on "&amp;TEXT(S96,"dd/mm/yyyy"))))))))))</f>
        <v/>
      </c>
      <c r="AB96" s="17" t="str">
        <f aca="false">IF(OR(AK96=0,T96=""),"",MAX(0,BE96-BQ96)*HoursPerDay-T96)</f>
        <v/>
      </c>
      <c r="AC96" s="16" t="str">
        <f aca="false">IF(AK96=0,"",BG96)</f>
        <v/>
      </c>
      <c r="AD96" s="16" t="str">
        <f aca="false">IF(AK96=0,"",TRIM(IF(OR(ISTEXT($F96),ISTEXT($H96),ISTEXT($I96),ISTEXT($G96),ISTEXT($J96),ISTEXT($D96)),"A date is typed as text - retype it as dd/mm/yyyy. ","")&amp;IF(IF($C96="","",IF(OR(ISNUMBER(SEARCH("full",$C96)),UPPER(TRIM($C96))="FT",UPPER(TRIM($C96))="FTE"),"Full-Time",IF(OR(ISNUMBER(SEARCH("part",$C96)),UPPER(TRIM($C96))="PT",UPPER(TRIM($C96))="PTE"),"Part-Time",IF(OR(ISNUMBER(SEARCH("cas",$C96)),UPPER(TRIM($C96))="CAS"),"Casual","Unknown"))))="Unknown","EmploymentType not recognised - use Full-Time, Part-Time or Casual. ","")&amp;IF(AND(AM96&gt;=1,IF(AM96&gt;=3,AS96,IF(AM96=2,AR96,AQ96))&lt;&gt;IF($C96="","",IF(OR(ISNUMBER(SEARCH("full",$C96)),UPPER(TRIM($C96))="FT",UPPER(TRIM($C96))="FTE"),"Full-Time",IF(OR(ISNUMBER(SEARCH("part",$C96)),UPPER(TRIM($C96))="PT",UPPER(TRIM($C96))="PTE"),"Part-Time",IF(OR(ISNUMBER(SEARCH("cas",$C96)),UPPER(TRIM($C96))="CAS"),"Casual","Unknown"))))),"EmploymentType does not match latest start date ("&amp;IF(AM96&gt;=3,AS96,IF(AM96=2,AR96,AQ96))&amp;"). ","")&amp;IF(AND(AM96&gt;=1,AN96&lt;&gt;$F96),"Earliest type date should equal StartDate. ","")&amp;IF(AND(AM96&gt;=2,AN96=AO96),"Two types start on the same date. ","")&amp;IF(AND(OR(ISNUMBER(SEARCH("part",$C96)),UPPER(TRIM($C96))="PT",UPPER(TRIM($C96))="PTE"),$P96=""),"Part-time: enter PT Hrs/Week (blank = 24+). ","")))</f>
        <v/>
      </c>
      <c r="AE96" s="17" t="str">
        <f aca="false">IF(AK96=0,"",O96-MAX(0,BL96-BQ96))</f>
        <v/>
      </c>
      <c r="AF96" s="14" t="str">
        <f aca="false">IF(OR(AK96=0,AE96="",N(AE96)=0,BM96=""),"",EDATE(AL96,BM96))</f>
        <v/>
      </c>
      <c r="AG96" s="17" t="str">
        <f aca="false">IF(AK96=0,"",MIN(BD96,BQ96))</f>
        <v/>
      </c>
      <c r="AH96" s="17" t="str">
        <f aca="false">IF(AK96=0,"",IF(NOT(LH_Ready),"",IF(BG96=0,0,MAX(0,ROUND(N(T96)+N(U96)-N96,2)))))</f>
        <v/>
      </c>
      <c r="AI96" s="12"/>
      <c r="AJ96" s="12"/>
      <c r="AK96" s="16" t="n">
        <f aca="false">IF(OR(LEN($A96&amp;$B96)=0,$F96=""),0,1)</f>
        <v>0</v>
      </c>
      <c r="AL96" s="14" t="str">
        <f aca="false">IF(AK96=0,"",IF(PreSchemeCounts="No",MAX(SchemeStart,IF($J96&lt;&gt;"",$J96,IF(OR(CasualCounts="Yes",COUNT($G96:$I96)=0),$F96,IF(Apply2026="No",IF($I96="",$F96,$I96),IF(COUNT($H96:$I96)=0,$F96,MIN($H96:$I96)))))),IF($J96&lt;&gt;"",$J96,IF(OR(CasualCounts="Yes",COUNT($G96:$I96)=0),$F96,IF(Apply2026="No",IF($I96="",$F96,$I96),IF(COUNT($H96:$I96)=0,$F96,MIN($H96:$I96)))))))</f>
        <v/>
      </c>
      <c r="AM96" s="16" t="str">
        <f aca="false">IF(AK96=0,"",COUNT($G96:$I96))</f>
        <v/>
      </c>
      <c r="AN96" s="14" t="str">
        <f aca="false">IF(AK96=0,"",IFERROR(SMALL($G96:$I96,1),""))</f>
        <v/>
      </c>
      <c r="AO96" s="14" t="str">
        <f aca="false">IF(AK96=0,"",IFERROR(SMALL($G96:$I96,2),""))</f>
        <v/>
      </c>
      <c r="AP96" s="14" t="str">
        <f aca="false">IF(AK96=0,"",IFERROR(SMALL($G96:$I96,3),""))</f>
        <v/>
      </c>
      <c r="AQ96" s="16" t="str">
        <f aca="false">IF(AK96=0,"",IF(AN96="","",IF(AN96=$H96,"Part-Time",IF(AN96=$I96,"Full-Time","Casual"))))</f>
        <v/>
      </c>
      <c r="AR96" s="16" t="str">
        <f aca="false">IF(AK96=0,"",IF(AO96="","",IF(AO96=$H96,"Part-Time",IF(AO96=$I96,"Full-Time","Casual"))))</f>
        <v/>
      </c>
      <c r="AS96" s="16" t="str">
        <f aca="false">IF(AK96=0,"",IF(AP96="","",IF(AP96=$H96,"Part-Time",IF(AP96=$I96,"Full-Time","Casual"))))</f>
        <v/>
      </c>
      <c r="AT96" s="16" t="str">
        <f aca="false">IF(AK96=0,"",IF(AM96=0,IF(OR(ISNUMBER(SEARCH("full",$C96)),UPPER(TRIM($C96))="FT",UPPER(TRIM($C96))="FTE"),"FT",IF(AND(OR(ISNUMBER(SEARCH("part",$C96)),UPPER(TRIM($C96))="PT",UPPER(TRIM($C96))="PTE"),Apply2026="Yes",OR($P96="",N($P96)&gt;=PT_MinHours)),"PT","None")),IF(OR(ISNUMBER(SEARCH("full",AQ96)),UPPER(TRIM(AQ96))="FT",UPPER(TRIM(AQ96))="FTE"),"FT",IF(AND(OR(ISNUMBER(SEARCH("part",AQ96)),UPPER(TRIM(AQ96))="PT",UPPER(TRIM(AQ96))="PTE"),Apply2026="Yes",OR($P96="",N($P96)&gt;=PT_MinHours)),"PT","None"))))</f>
        <v/>
      </c>
      <c r="AU96" s="16" t="str">
        <f aca="false">IF(AK96=0,"",IF(AM96&lt;2,"",IF(OR(ISNUMBER(SEARCH("full",AR96)),UPPER(TRIM(AR96))="FT",UPPER(TRIM(AR96))="FTE"),"FT",IF(AND(OR(ISNUMBER(SEARCH("part",AR96)),UPPER(TRIM(AR96))="PT",UPPER(TRIM(AR96))="PTE"),Apply2026="Yes",OR($P96="",N($P96)&gt;=PT_MinHours)),"PT","None"))))</f>
        <v/>
      </c>
      <c r="AV96" s="16" t="str">
        <f aca="false">IF(AK96=0,"",IF(AM96&lt;3,"",IF(OR(ISNUMBER(SEARCH("full",AS96)),UPPER(TRIM(AS96))="FT",UPPER(TRIM(AS96))="FTE"),"FT",IF(AND(OR(ISNUMBER(SEARCH("part",AS96)),UPPER(TRIM(AS96))="PT",UPPER(TRIM(AS96))="PTE"),Apply2026="Yes",OR($P96="",N($P96)&gt;=PT_MinHours)),"PT","None"))))</f>
        <v/>
      </c>
      <c r="AW96" s="16" t="str">
        <f aca="false">IF(AK96=0,"",IF(AND(AM96&gt;=3,AP96&lt;=AsOfDate),AV96,IF(AND(AM96&gt;=2,AO96&lt;=AsOfDate),AU96,AT96)))</f>
        <v/>
      </c>
      <c r="AX96" s="16" t="str">
        <f aca="false">IF(AK96=0,"",IF(AsOfDate&lt;AL96,-1,12*(YEAR(AsOfDate)-YEAR(AL96))+MONTH(AsOfDate)-MONTH(AL96)-IF(DAY(AsOfDate)&lt;MIN(DAY(AL96),DAY(EOMONTH(AsOfDate,0))),1,0)))</f>
        <v/>
      </c>
      <c r="AY96" s="16" t="str">
        <f aca="false">IF(AK96=0,"",IF(OR(AM96&lt;2,AO96&gt;AsOfDate),AX96,IF((AO96-1)&lt;AL96,-1,12*(YEAR((AO96-1))-YEAR(AL96))+MONTH((AO96-1))-MONTH(AL96)-IF(DAY((AO96-1))&lt;MIN(DAY(AL96),DAY(EOMONTH((AO96-1),0))),1,0))))</f>
        <v/>
      </c>
      <c r="AZ96" s="16" t="str">
        <f aca="false">IF(AK96=0,"",IF(OR(AM96&lt;3,AP96&gt;AsOfDate),AX96,IF((AP96-1)&lt;AL96,-1,12*(YEAR((AP96-1))-YEAR(AL96))+MONTH((AP96-1))-MONTH(AL96)-IF(DAY((AP96-1))&lt;MIN(DAY(AL96),DAY(EOMONTH((AP96-1),0))),1,0))))</f>
        <v/>
      </c>
      <c r="BA96" s="16" t="str">
        <f aca="false">IF(AK96=0,"",IF(PFYDate&lt;AL96,-1,12*(YEAR(PFYDate)-YEAR(AL96))+MONTH(PFYDate)-MONTH(AL96)-IF(DAY(PFYDate)&lt;MIN(DAY(AL96),DAY(EOMONTH(PFYDate,0))),1,0)))</f>
        <v/>
      </c>
      <c r="BB96" s="16" t="str">
        <f aca="false">IF(AK96=0,"",IF(OR(AM96&lt;2,AO96&gt;PFYDate),BA96,IF((AO96-1)&lt;AL96,-1,12*(YEAR((AO96-1))-YEAR(AL96))+MONTH((AO96-1))-MONTH(AL96)-IF(DAY((AO96-1))&lt;MIN(DAY(AL96),DAY(EOMONTH((AO96-1),0))),1,0))))</f>
        <v/>
      </c>
      <c r="BC96" s="16" t="str">
        <f aca="false">IF(AK96=0,"",IF(OR(AM96&lt;3,AP96&gt;PFYDate),BA96,IF((AP96-1)&lt;AL96,-1,12*(YEAR((AP96-1))-YEAR(AL96))+MONTH((AP96-1))-MONTH(AL96)-IF(DAY((AP96-1))&lt;MIN(DAY(AL96),DAY(EOMONTH((AP96-1),0))),1,0))))</f>
        <v/>
      </c>
      <c r="BD96" s="16" t="str">
        <f aca="false">IF(AK96=0,"",IF(AT96="FT",IF(AY96&lt;FT_First,0,IF(AY96&lt;FT_Y5,1+INT((AY96-FT_First)/FT_Int1),FT_PreY5+FT_PerYear*INT((AY96-FT_Y5)/12)+FT_AnnivDays+INT(MOD(AY96-FT_Y5,12)/FT_Int2)-IF(EDATE(AL96,FT_Y5)&lt;PolicyEff,FT_AnnivDays-1,0))),IF(AT96="PT",IF(AY96&lt;PT_First,0,1+INT((AY96-PT_First)/PT_Int)),0))+IF(AND(AM96&gt;=2,AO96&lt;=AsOfDate),IF(AU96="FT",IF(AZ96&lt;FT_First,0,IF(AZ96&lt;FT_Y5,1+INT((AZ96-FT_First)/FT_Int1),FT_PreY5+FT_PerYear*INT((AZ96-FT_Y5)/12)+FT_AnnivDays+INT(MOD(AZ96-FT_Y5,12)/FT_Int2)-IF(EDATE(AL96,FT_Y5)&lt;PolicyEff,FT_AnnivDays-1,0))),IF(AU96="PT",IF(AZ96&lt;PT_First,0,1+INT((AZ96-PT_First)/PT_Int)),0))-IF(AU96="FT",IF(AY96&lt;FT_First,0,IF(AY96&lt;FT_Y5,1+INT((AY96-FT_First)/FT_Int1),FT_PreY5+FT_PerYear*INT((AY96-FT_Y5)/12)+FT_AnnivDays+INT(MOD(AY96-FT_Y5,12)/FT_Int2)-IF(EDATE(AL96,FT_Y5)&lt;PolicyEff,FT_AnnivDays-1,0))),IF(AU96="PT",IF(AY96&lt;PT_First,0,1+INT((AY96-PT_First)/PT_Int)),0)),0)+IF(AND(AM96&gt;=3,AP96&lt;=AsOfDate),IF(AV96="FT",IF(AX96&lt;FT_First,0,IF(AX96&lt;FT_Y5,1+INT((AX96-FT_First)/FT_Int1),FT_PreY5+FT_PerYear*INT((AX96-FT_Y5)/12)+FT_AnnivDays+INT(MOD(AX96-FT_Y5,12)/FT_Int2)-IF(EDATE(AL96,FT_Y5)&lt;PolicyEff,FT_AnnivDays-1,0))),IF(AV96="PT",IF(AX96&lt;PT_First,0,1+INT((AX96-PT_First)/PT_Int)),0))-IF(AV96="FT",IF(AZ96&lt;FT_First,0,IF(AZ96&lt;FT_Y5,1+INT((AZ96-FT_First)/FT_Int1),FT_PreY5+FT_PerYear*INT((AZ96-FT_Y5)/12)+FT_AnnivDays+INT(MOD(AZ96-FT_Y5,12)/FT_Int2)-IF(EDATE(AL96,FT_Y5)&lt;PolicyEff,FT_AnnivDays-1,0))),IF(AV96="PT",IF(AZ96&lt;PT_First,0,1+INT((AZ96-PT_First)/PT_Int)),0)),0))</f>
        <v/>
      </c>
      <c r="BE96" s="16" t="str">
        <f aca="false">IF(AK96=0,"",IF(AT96="FT",IF(BB96&lt;FT_First,0,IF(BB96&lt;FT_Y5,1+INT((BB96-FT_First)/FT_Int1),FT_PreY5+FT_PerYear*INT((BB96-FT_Y5)/12)+FT_AnnivDays+INT(MOD(BB96-FT_Y5,12)/FT_Int2)-IF(EDATE(AL96,FT_Y5)&lt;PolicyEff,FT_AnnivDays-1,0))),IF(AT96="PT",IF(BB96&lt;PT_First,0,1+INT((BB96-PT_First)/PT_Int)),0))+IF(AND(AM96&gt;=2,AO96&lt;=PFYDate),IF(AU96="FT",IF(BC96&lt;FT_First,0,IF(BC96&lt;FT_Y5,1+INT((BC96-FT_First)/FT_Int1),FT_PreY5+FT_PerYear*INT((BC96-FT_Y5)/12)+FT_AnnivDays+INT(MOD(BC96-FT_Y5,12)/FT_Int2)-IF(EDATE(AL96,FT_Y5)&lt;PolicyEff,FT_AnnivDays-1,0))),IF(AU96="PT",IF(BC96&lt;PT_First,0,1+INT((BC96-PT_First)/PT_Int)),0))-IF(AU96="FT",IF(BB96&lt;FT_First,0,IF(BB96&lt;FT_Y5,1+INT((BB96-FT_First)/FT_Int1),FT_PreY5+FT_PerYear*INT((BB96-FT_Y5)/12)+FT_AnnivDays+INT(MOD(BB96-FT_Y5,12)/FT_Int2)-IF(EDATE(AL96,FT_Y5)&lt;PolicyEff,FT_AnnivDays-1,0))),IF(AU96="PT",IF(BB96&lt;PT_First,0,1+INT((BB96-PT_First)/PT_Int)),0)),0)+IF(AND(AM96&gt;=3,AP96&lt;=PFYDate),IF(AV96="FT",IF(BA96&lt;FT_First,0,IF(BA96&lt;FT_Y5,1+INT((BA96-FT_First)/FT_Int1),FT_PreY5+FT_PerYear*INT((BA96-FT_Y5)/12)+FT_AnnivDays+INT(MOD(BA96-FT_Y5,12)/FT_Int2)-IF(EDATE(AL96,FT_Y5)&lt;PolicyEff,FT_AnnivDays-1,0))),IF(AV96="PT",IF(BA96&lt;PT_First,0,1+INT((BA96-PT_First)/PT_Int)),0))-IF(AV96="FT",IF(BC96&lt;FT_First,0,IF(BC96&lt;FT_Y5,1+INT((BC96-FT_First)/FT_Int1),FT_PreY5+FT_PerYear*INT((BC96-FT_Y5)/12)+FT_AnnivDays+INT(MOD(BC96-FT_Y5,12)/FT_Int2)-IF(EDATE(AL96,FT_Y5)&lt;PolicyEff,FT_AnnivDays-1,0))),IF(AV96="PT",IF(BC96&lt;PT_First,0,1+INT((BC96-PT_First)/PT_Int)),0)),0))</f>
        <v/>
      </c>
      <c r="BF96" s="16" t="str">
        <f aca="false">IF(AK96=0,"",IF(AW96="FT",IF(AX96&lt;FT_First,FT_First,IF(AX96&lt;FT_Y5,MIN(FT_Y5,FT_First+FT_Int1*(INT((AX96-FT_First)/FT_Int1)+1)),FT_Y5+12*INT((AX96-FT_Y5)/12)+FT_Int2*(INT(MOD(AX96-FT_Y5,12)/FT_Int2)+1))),IF(AW96="PT",IF(AX96&lt;PT_First,PT_First,PT_First+PT_Int*(INT((AX96-PT_First)/PT_Int)+1)),"")))</f>
        <v/>
      </c>
      <c r="BG96" s="16" t="str">
        <f aca="false">IF(AK96=0,"",IF(NOT(LH_Ready),0,COUNTIFS(INDEX(LH_Data,0,LH_ColFirst),$A96,INDEX(LH_Data,0,LH_ColSur),$B96,INDEX(LH_Data,0,LH_ColCat),BonusCat)))</f>
        <v/>
      </c>
      <c r="BH96" s="16" t="str">
        <f aca="false">IF(AK96=0,"",IF(OR(NOT(LH_Ready),BG96=0),0,SUMPRODUCT(MAX((INDEX(LH_Data,0,LH_ColFirst)=$A96)*(INDEX(LH_Data,0,LH_ColSur)=$B96)*(INDEX(LH_Data,0,LH_ColCat)=BonusCat)*ROW(LH_Data)))))</f>
        <v/>
      </c>
      <c r="BI96" s="16" t="str">
        <f aca="false">IF(AK96=0,"",IF(EOMONTH(AsOfDate,-1)&lt;AL96,-1,12*(YEAR(EOMONTH(AsOfDate,-1))-YEAR(AL96))+MONTH(EOMONTH(AsOfDate,-1))-MONTH(AL96)-IF(DAY(EOMONTH(AsOfDate,-1))&lt;MIN(DAY(AL96),DAY(EOMONTH(EOMONTH(AsOfDate,-1),0))),1,0)))</f>
        <v/>
      </c>
      <c r="BJ96" s="16" t="str">
        <f aca="false">IF(AK96=0,"",IF(OR(AM96&lt;2,AO96&gt;EOMONTH(AsOfDate,-1)),BI96,IF((AO96-1)&lt;AL96,-1,12*(YEAR((AO96-1))-YEAR(AL96))+MONTH((AO96-1))-MONTH(AL96)-IF(DAY((AO96-1))&lt;MIN(DAY(AL96),DAY(EOMONTH((AO96-1),0))),1,0))))</f>
        <v/>
      </c>
      <c r="BK96" s="16" t="str">
        <f aca="false">IF(AK96=0,"",IF(OR(AM96&lt;3,AP96&gt;EOMONTH(AsOfDate,-1)),BI96,IF((AP96-1)&lt;AL96,-1,12*(YEAR((AP96-1))-YEAR(AL96))+MONTH((AP96-1))-MONTH(AL96)-IF(DAY((AP96-1))&lt;MIN(DAY(AL96),DAY(EOMONTH((AP96-1),0))),1,0))))</f>
        <v/>
      </c>
      <c r="BL96" s="16" t="str">
        <f aca="false">IF(AK96=0,"",IF(AT96="FT",IF(BJ96&lt;FT_First,0,IF(BJ96&lt;FT_Y5,1+INT((BJ96-FT_First)/FT_Int1),FT_PreY5+FT_PerYear*INT((BJ96-FT_Y5)/12)+FT_AnnivDays+INT(MOD(BJ96-FT_Y5,12)/FT_Int2)-IF(EDATE(AL96,FT_Y5)&lt;PolicyEff,FT_AnnivDays-1,0))),IF(AT96="PT",IF(BJ96&lt;PT_First,0,1+INT((BJ96-PT_First)/PT_Int)),0))+IF(AND(AM96&gt;=2,AO96&lt;=EOMONTH(AsOfDate,-1)),IF(AU96="FT",IF(BK96&lt;FT_First,0,IF(BK96&lt;FT_Y5,1+INT((BK96-FT_First)/FT_Int1),FT_PreY5+FT_PerYear*INT((BK96-FT_Y5)/12)+FT_AnnivDays+INT(MOD(BK96-FT_Y5,12)/FT_Int2)-IF(EDATE(AL96,FT_Y5)&lt;PolicyEff,FT_AnnivDays-1,0))),IF(AU96="PT",IF(BK96&lt;PT_First,0,1+INT((BK96-PT_First)/PT_Int)),0))-IF(AU96="FT",IF(BJ96&lt;FT_First,0,IF(BJ96&lt;FT_Y5,1+INT((BJ96-FT_First)/FT_Int1),FT_PreY5+FT_PerYear*INT((BJ96-FT_Y5)/12)+FT_AnnivDays+INT(MOD(BJ96-FT_Y5,12)/FT_Int2)-IF(EDATE(AL96,FT_Y5)&lt;PolicyEff,FT_AnnivDays-1,0))),IF(AU96="PT",IF(BJ96&lt;PT_First,0,1+INT((BJ96-PT_First)/PT_Int)),0)),0)+IF(AND(AM96&gt;=3,AP96&lt;=EOMONTH(AsOfDate,-1)),IF(AV96="FT",IF(BI96&lt;FT_First,0,IF(BI96&lt;FT_Y5,1+INT((BI96-FT_First)/FT_Int1),FT_PreY5+FT_PerYear*INT((BI96-FT_Y5)/12)+FT_AnnivDays+INT(MOD(BI96-FT_Y5,12)/FT_Int2)-IF(EDATE(AL96,FT_Y5)&lt;PolicyEff,FT_AnnivDays-1,0))),IF(AV96="PT",IF(BI96&lt;PT_First,0,1+INT((BI96-PT_First)/PT_Int)),0))-IF(AV96="FT",IF(BK96&lt;FT_First,0,IF(BK96&lt;FT_Y5,1+INT((BK96-FT_First)/FT_Int1),FT_PreY5+FT_PerYear*INT((BK96-FT_Y5)/12)+FT_AnnivDays+INT(MOD(BK96-FT_Y5,12)/FT_Int2)-IF(EDATE(AL96,FT_Y5)&lt;PolicyEff,FT_AnnivDays-1,0))),IF(AV96="PT",IF(BK96&lt;PT_First,0,1+INT((BK96-PT_First)/PT_Int)),0)),0))</f>
        <v/>
      </c>
      <c r="BM96" s="16" t="str">
        <f aca="false">IF(AK96=0,"",IF(AW96="FT",IF(AX96&lt;FT_First,"",IF(AX96&lt;FT_Y5,FT_First+FT_Int1*INT((AX96-FT_First)/FT_Int1),FT_Y5+FT_Int2*INT((AX96-FT_Y5)/FT_Int2))),IF(AW96="PT",IF(AX96&lt;PT_First,"",PT_First+PT_Int*INT((AX96-PT_First)/PT_Int)),"")))</f>
        <v/>
      </c>
      <c r="BN96" s="16" t="str">
        <f aca="false">IF(AK96=0,"",IF((SchemeStart-1)&lt;AL96,-1,12*(YEAR((SchemeStart-1))-YEAR(AL96))+MONTH((SchemeStart-1))-MONTH(AL96)-IF(DAY((SchemeStart-1))&lt;MIN(DAY(AL96),DAY(EOMONTH((SchemeStart-1),0))),1,0)))</f>
        <v/>
      </c>
      <c r="BO96" s="16" t="str">
        <f aca="false">IF(AK96=0,"",IF(OR(AM96&lt;2,AO96&gt;(SchemeStart-1)),BN96,IF((AO96-1)&lt;AL96,-1,12*(YEAR((AO96-1))-YEAR(AL96))+MONTH((AO96-1))-MONTH(AL96)-IF(DAY((AO96-1))&lt;MIN(DAY(AL96),DAY(EOMONTH((AO96-1),0))),1,0))))</f>
        <v/>
      </c>
      <c r="BP96" s="16" t="str">
        <f aca="false">IF(AK96=0,"",IF(OR(AM96&lt;3,AP96&gt;(SchemeStart-1)),BN96,IF((AP96-1)&lt;AL96,-1,12*(YEAR((AP96-1))-YEAR(AL96))+MONTH((AP96-1))-MONTH(AL96)-IF(DAY((AP96-1))&lt;MIN(DAY(AL96),DAY(EOMONTH((AP96-1),0))),1,0))))</f>
        <v/>
      </c>
      <c r="BQ96" s="16" t="str">
        <f aca="false">IF(AK96=0,"",IF(AT96="FT",IF(BO96&lt;FT_First,0,IF(BO96&lt;FT_Y5,1+INT((BO96-FT_First)/FT_Int1),FT_PreY5+FT_PerYear*INT((BO96-FT_Y5)/12)+FT_AnnivDays+INT(MOD(BO96-FT_Y5,12)/FT_Int2)-IF(EDATE(AL96,FT_Y5)&lt;PolicyEff,FT_AnnivDays-1,0))),IF(AT96="PT",IF(BO96&lt;PT_First,0,1+INT((BO96-PT_First)/PT_Int)),0))+IF(AND(AM96&gt;=2,AO96&lt;=(SchemeStart-1)),IF(AU96="FT",IF(BP96&lt;FT_First,0,IF(BP96&lt;FT_Y5,1+INT((BP96-FT_First)/FT_Int1),FT_PreY5+FT_PerYear*INT((BP96-FT_Y5)/12)+FT_AnnivDays+INT(MOD(BP96-FT_Y5,12)/FT_Int2)-IF(EDATE(AL96,FT_Y5)&lt;PolicyEff,FT_AnnivDays-1,0))),IF(AU96="PT",IF(BP96&lt;PT_First,0,1+INT((BP96-PT_First)/PT_Int)),0))-IF(AU96="FT",IF(BO96&lt;FT_First,0,IF(BO96&lt;FT_Y5,1+INT((BO96-FT_First)/FT_Int1),FT_PreY5+FT_PerYear*INT((BO96-FT_Y5)/12)+FT_AnnivDays+INT(MOD(BO96-FT_Y5,12)/FT_Int2)-IF(EDATE(AL96,FT_Y5)&lt;PolicyEff,FT_AnnivDays-1,0))),IF(AU96="PT",IF(BO96&lt;PT_First,0,1+INT((BO96-PT_First)/PT_Int)),0)),0)+IF(AND(AM96&gt;=3,AP96&lt;=(SchemeStart-1)),IF(AV96="FT",IF(BN96&lt;FT_First,0,IF(BN96&lt;FT_Y5,1+INT((BN96-FT_First)/FT_Int1),FT_PreY5+FT_PerYear*INT((BN96-FT_Y5)/12)+FT_AnnivDays+INT(MOD(BN96-FT_Y5,12)/FT_Int2)-IF(EDATE(AL96,FT_Y5)&lt;PolicyEff,FT_AnnivDays-1,0))),IF(AV96="PT",IF(BN96&lt;PT_First,0,1+INT((BN96-PT_First)/PT_Int)),0))-IF(AV96="FT",IF(BP96&lt;FT_First,0,IF(BP96&lt;FT_Y5,1+INT((BP96-FT_First)/FT_Int1),FT_PreY5+FT_PerYear*INT((BP96-FT_Y5)/12)+FT_AnnivDays+INT(MOD(BP96-FT_Y5,12)/FT_Int2)-IF(EDATE(AL96,FT_Y5)&lt;PolicyEff,FT_AnnivDays-1,0))),IF(AV96="PT",IF(BP96&lt;PT_First,0,1+INT((BP96-PT_First)/PT_Int)),0)),0))</f>
        <v/>
      </c>
      <c r="BR96" s="0" t="str">
        <f aca="false">IF(LEN($A96&amp;$B96)=0,"",$A96&amp;" "&amp;$B96)</f>
        <v/>
      </c>
    </row>
    <row r="97" customFormat="false" ht="15" hidden="false" customHeight="false" outlineLevel="0" collapsed="false">
      <c r="A97" s="12"/>
      <c r="B97" s="12"/>
      <c r="C97" s="12"/>
      <c r="D97" s="13"/>
      <c r="E97" s="14" t="str">
        <f aca="false">IF(OR(AK97=0,$D97=""),"",DATE(YEAR(AsOfDate)+IF(DATE(YEAR(AsOfDate),MONTH($D97),DAY($D97))&lt;=AsOfDate,1,0),MONTH($D97),DAY($D97)))</f>
        <v/>
      </c>
      <c r="F97" s="13"/>
      <c r="G97" s="13"/>
      <c r="H97" s="13"/>
      <c r="I97" s="13"/>
      <c r="J97" s="13"/>
      <c r="K97" s="14" t="str">
        <f aca="false">IF(AK97=0,"",DATE(YEAR(AsOfDate)+IF(DATE(YEAR(AsOfDate),MONTH(AL97),DAY(AL97))&lt;=AsOfDate,1,0),MONTH(AL97),DAY(AL97)))</f>
        <v/>
      </c>
      <c r="L97" s="15" t="str">
        <f aca="false">IF(AK97=0,"",ROUND((AsOfDate-AL97)/365.25,1))</f>
        <v/>
      </c>
      <c r="M97" s="16" t="str">
        <f aca="false">IF(AK97=0,"",IF(AsOfDate&lt;AL97,"-",DATEDIF(AL97,AsOfDate,"y")&amp;"y "&amp;DATEDIF(AL97,AsOfDate,"ym")&amp;"m "&amp;DATEDIF(AL97,AsOfDate,"md")&amp;"d"))</f>
        <v/>
      </c>
      <c r="N97" s="17" t="str">
        <f aca="false">IF(AK97=0,"",O97*HoursPerDay)</f>
        <v/>
      </c>
      <c r="O97" s="17" t="str">
        <f aca="false">IF(AK97=0,"",MAX(0,BD97-BQ97))</f>
        <v/>
      </c>
      <c r="P97" s="18"/>
      <c r="Q97" s="16" t="str">
        <f aca="false">IF(AK97=0,"",IF(AM97&lt;2,"",AQ97&amp;" to "&amp;AR97&amp;" on "&amp;TEXT(AO97,"dd/mm/yyyy")&amp;IF(AO97&gt;AsOfDate," (future)",IF(AT97=AU97,"",IF(AU97="None"," - STOPPED accruing",IF(AT97="None"," - commencement for Bonus Leave"," - pathway changed"))))&amp;IF(AM97&lt;3,"","; "&amp;AR97&amp;" to "&amp;AS97&amp;" on "&amp;TEXT(AP97,"dd/mm/yyyy")&amp;IF(AP97&gt;AsOfDate," (future)",IF(AU97=AV97,"",IF(AV97="None"," - STOPPED accruing",IF(AU97="None"," - commencement for Bonus Leave"," - pathway changed")))))))</f>
        <v/>
      </c>
      <c r="R97" s="16" t="str">
        <f aca="false">IF(AK97=0,"",IF(AW97="None",IF(O97&gt;0,"No longer accruing","Not eligible - "&amp;IF(AND(OR(ISNUMBER(SEARCH("part",$C97)),UPPER(TRIM($C97))="PT",UPPER(TRIM($C97))="PTE"),Apply2026="No"),"part-time (scheme is full-time only)",IF(AND(OR(ISNUMBER(SEARCH("part",$C97)),UPPER(TRIM($C97))="PT",UPPER(TRIM($C97))="PTE"),$P97&lt;&gt;"",N($P97)&lt;PT_MinHours),"under "&amp;PT_MinHours&amp;" hrs",IF(IF($C97="","",IF(OR(ISNUMBER(SEARCH("full",$C97)),UPPER(TRIM($C97))="FT",UPPER(TRIM($C97))="FTE"),"Full-Time",IF(OR(ISNUMBER(SEARCH("part",$C97)),UPPER(TRIM($C97))="PT",UPPER(TRIM($C97))="PTE"),"Part-Time",IF(OR(ISNUMBER(SEARCH("cas",$C97)),UPPER(TRIM($C97))="CAS"),"Casual","Unknown"))))="Unknown","type not recognised",$C97)))),IF(O97&gt;0,"Yes - Accrual Required","Not yet - from "&amp;TEXT(S97,"dd/mm/yyyy"))))</f>
        <v/>
      </c>
      <c r="S97" s="14" t="str">
        <f aca="false">IF(AK97=0,"",IF(AW97="None","",EDATE(AL97,BF97)))</f>
        <v/>
      </c>
      <c r="T97" s="17" t="str">
        <f aca="false">IF(AK97=0,"",IF(NOT(LH_Ready),"",IF($F97&gt;PFYDate,0,IF(LH_ColPeriod=0,W97-U97+V97,SUMIFS(INDEX(LH_Data,0,LH_ColAcc),INDEX(LH_Data,0,LH_ColFirst),$A97,INDEX(LH_Data,0,LH_ColSur),$B97,INDEX(LH_Data,0,LH_ColCat),BonusCat,INDEX(LH_Data,0,LH_ColPeriod),LH_OpenLabel)*UnitFactor))))</f>
        <v/>
      </c>
      <c r="U97" s="17" t="str">
        <f aca="false">IF(AK97=0,"",IF(NOT(LH_Ready),"",SUMIFS(INDEX(LH_Data,0,LH_ColAcc),INDEX(LH_Data,0,LH_ColFirst),$A97,INDEX(LH_Data,0,LH_ColSur),$B97,INDEX(LH_Data,0,LH_ColCat),BonusCat,INDEX(LH_Data,0,LH_ColStart),"&gt;="&amp;AL97)*UnitFactor))</f>
        <v/>
      </c>
      <c r="V97" s="17" t="str">
        <f aca="false">IF(AK97=0,"",IF(NOT(LH_Ready),"",SUMIFS(INDEX(LH_Data,0,LH_ColTaken),INDEX(LH_Data,0,LH_ColFirst),$A97,INDEX(LH_Data,0,LH_ColSur),$B97,INDEX(LH_Data,0,LH_ColCat),BonusCat,INDEX(LH_Data,0,LH_ColStart),"&gt;="&amp;AL97)*UnitFactor))</f>
        <v/>
      </c>
      <c r="W97" s="17" t="str">
        <f aca="false">IF(AK97=0,"",IF(NOT(LH_Ready),"",IF(BH97=0,0,INDEX(INDEX(LH_Data,0,LH_ColClose),BH97-1)*UnitFactor)))</f>
        <v/>
      </c>
      <c r="X97" s="17" t="str">
        <f aca="false">IF(AK97=0,"",(MAX(0,BD97-BQ97)-MAX(0,BE97-BQ97))*HoursPerDay)</f>
        <v/>
      </c>
      <c r="Y97" s="17" t="str">
        <f aca="false">IF(AK97=0,"",IF(NOT(LH_Ready),"",IF($AI97="Yes",N(AE97)*HoursPerDay-SUMIFS(INDEX(LH_Data,0,LH_ColAcc),INDEX(LH_Data,0,LH_ColFirst),$A97,INDEX(LH_Data,0,LH_ColSur),$B97,INDEX(LH_Data,0,LH_ColCat),BonusCat,INDEX(LH_Data,0,LH_ColStart),"&gt;="&amp;(EOMONTH(AsOfDate,-1)+1),INDEX(LH_Data,0,LH_ColStart),"&lt;="&amp;AsOfDate)*UnitFactor,IF(BG97=0,N97,N97-N(T97)-N(U97)))))</f>
        <v/>
      </c>
      <c r="Z97" s="16" t="str">
        <f aca="false">IF(OR(AK97=0,Y97=""),"",IF(Y97&gt;0,"Yes","No"))</f>
        <v/>
      </c>
      <c r="AA97" s="16" t="str">
        <f aca="false">IF(AK97=0,IF(LEN($A97&amp;$B97)=0,"","FIX INPUT - StartDate missing"),IF(AD97&lt;&gt;"","FIX INPUT - "&amp;AD97,IF(NOT(LH_Ready),"Paste Leave History export (Settings must show YES)",IF(AND($AI97="Yes",Y97&lt;=0),"OK - EH balance accepted to date"&amp;IF(N(AH97)&gt;0," (EH holds "&amp;AH97&amp;" hrs over the scheme)","")&amp;"; next day "&amp;TEXT(S97,"dd mmm yy")&amp;IF(N(AE97)&gt;0," ("&amp;AE97&amp;" day(s) for "&amp;UPPER(TEXT(AsOfDate,"mmm yyyy"))&amp;" already in EH)",""),IF(Y97&gt;0,"ACCRUE "&amp;ROUND(Y97,2)&amp;" hrs ("&amp;ROUND(Y97/HoursPerDay,2)&amp;" days): "&amp;IF(N(AE97)&gt;0,AE97&amp;" day(s) for "&amp;UPPER(TEXT(AsOfDate,"mmm yyyy"))&amp;" (milestone "&amp;UPPER(TEXT(AF97,"dd mmm yy"))&amp;")"&amp;IF(Y97/HoursPerDay&gt;AE97+0.001," + "&amp;ROUND(Y97/HoursPerDay-AE97,2)&amp;" day(s) catch-up from earlier months",""),"all catch-up from earlier months, nothing new this month")&amp;IF(BG97=0,"; no Bonus Leave in EH yet",""),IF(Y97&lt;0,"CHECK - EH accrued "&amp;ROUND(-Y97,2)&amp;" hrs more than policy since commencement",IF(N(W97)&gt;O97*HoursPerDay+0.01,"CHECK - EH balance "&amp;ROUND(W97-O97*HoursPerDay,2)&amp;" hrs more than policy entitlement",IF(O97&gt;0,"OK - nothing to add"&amp;IF(N(AE97)&gt;0," ("&amp;AE97&amp;" day(s) for "&amp;UPPER(TEXT(AsOfDate,"mmm yyyy"))&amp;" already in EH)",""),IF(AW97="None",R97,"Not yet - first day on "&amp;TEXT(S97,"dd/mm/yyyy"))))))))))</f>
        <v/>
      </c>
      <c r="AB97" s="17" t="str">
        <f aca="false">IF(OR(AK97=0,T97=""),"",MAX(0,BE97-BQ97)*HoursPerDay-T97)</f>
        <v/>
      </c>
      <c r="AC97" s="16" t="str">
        <f aca="false">IF(AK97=0,"",BG97)</f>
        <v/>
      </c>
      <c r="AD97" s="16" t="str">
        <f aca="false">IF(AK97=0,"",TRIM(IF(OR(ISTEXT($F97),ISTEXT($H97),ISTEXT($I97),ISTEXT($G97),ISTEXT($J97),ISTEXT($D97)),"A date is typed as text - retype it as dd/mm/yyyy. ","")&amp;IF(IF($C97="","",IF(OR(ISNUMBER(SEARCH("full",$C97)),UPPER(TRIM($C97))="FT",UPPER(TRIM($C97))="FTE"),"Full-Time",IF(OR(ISNUMBER(SEARCH("part",$C97)),UPPER(TRIM($C97))="PT",UPPER(TRIM($C97))="PTE"),"Part-Time",IF(OR(ISNUMBER(SEARCH("cas",$C97)),UPPER(TRIM($C97))="CAS"),"Casual","Unknown"))))="Unknown","EmploymentType not recognised - use Full-Time, Part-Time or Casual. ","")&amp;IF(AND(AM97&gt;=1,IF(AM97&gt;=3,AS97,IF(AM97=2,AR97,AQ97))&lt;&gt;IF($C97="","",IF(OR(ISNUMBER(SEARCH("full",$C97)),UPPER(TRIM($C97))="FT",UPPER(TRIM($C97))="FTE"),"Full-Time",IF(OR(ISNUMBER(SEARCH("part",$C97)),UPPER(TRIM($C97))="PT",UPPER(TRIM($C97))="PTE"),"Part-Time",IF(OR(ISNUMBER(SEARCH("cas",$C97)),UPPER(TRIM($C97))="CAS"),"Casual","Unknown"))))),"EmploymentType does not match latest start date ("&amp;IF(AM97&gt;=3,AS97,IF(AM97=2,AR97,AQ97))&amp;"). ","")&amp;IF(AND(AM97&gt;=1,AN97&lt;&gt;$F97),"Earliest type date should equal StartDate. ","")&amp;IF(AND(AM97&gt;=2,AN97=AO97),"Two types start on the same date. ","")&amp;IF(AND(OR(ISNUMBER(SEARCH("part",$C97)),UPPER(TRIM($C97))="PT",UPPER(TRIM($C97))="PTE"),$P97=""),"Part-time: enter PT Hrs/Week (blank = 24+). ","")))</f>
        <v/>
      </c>
      <c r="AE97" s="17" t="str">
        <f aca="false">IF(AK97=0,"",O97-MAX(0,BL97-BQ97))</f>
        <v/>
      </c>
      <c r="AF97" s="14" t="str">
        <f aca="false">IF(OR(AK97=0,AE97="",N(AE97)=0,BM97=""),"",EDATE(AL97,BM97))</f>
        <v/>
      </c>
      <c r="AG97" s="17" t="str">
        <f aca="false">IF(AK97=0,"",MIN(BD97,BQ97))</f>
        <v/>
      </c>
      <c r="AH97" s="17" t="str">
        <f aca="false">IF(AK97=0,"",IF(NOT(LH_Ready),"",IF(BG97=0,0,MAX(0,ROUND(N(T97)+N(U97)-N97,2)))))</f>
        <v/>
      </c>
      <c r="AI97" s="12"/>
      <c r="AJ97" s="12"/>
      <c r="AK97" s="16" t="n">
        <f aca="false">IF(OR(LEN($A97&amp;$B97)=0,$F97=""),0,1)</f>
        <v>0</v>
      </c>
      <c r="AL97" s="14" t="str">
        <f aca="false">IF(AK97=0,"",IF(PreSchemeCounts="No",MAX(SchemeStart,IF($J97&lt;&gt;"",$J97,IF(OR(CasualCounts="Yes",COUNT($G97:$I97)=0),$F97,IF(Apply2026="No",IF($I97="",$F97,$I97),IF(COUNT($H97:$I97)=0,$F97,MIN($H97:$I97)))))),IF($J97&lt;&gt;"",$J97,IF(OR(CasualCounts="Yes",COUNT($G97:$I97)=0),$F97,IF(Apply2026="No",IF($I97="",$F97,$I97),IF(COUNT($H97:$I97)=0,$F97,MIN($H97:$I97)))))))</f>
        <v/>
      </c>
      <c r="AM97" s="16" t="str">
        <f aca="false">IF(AK97=0,"",COUNT($G97:$I97))</f>
        <v/>
      </c>
      <c r="AN97" s="14" t="str">
        <f aca="false">IF(AK97=0,"",IFERROR(SMALL($G97:$I97,1),""))</f>
        <v/>
      </c>
      <c r="AO97" s="14" t="str">
        <f aca="false">IF(AK97=0,"",IFERROR(SMALL($G97:$I97,2),""))</f>
        <v/>
      </c>
      <c r="AP97" s="14" t="str">
        <f aca="false">IF(AK97=0,"",IFERROR(SMALL($G97:$I97,3),""))</f>
        <v/>
      </c>
      <c r="AQ97" s="16" t="str">
        <f aca="false">IF(AK97=0,"",IF(AN97="","",IF(AN97=$H97,"Part-Time",IF(AN97=$I97,"Full-Time","Casual"))))</f>
        <v/>
      </c>
      <c r="AR97" s="16" t="str">
        <f aca="false">IF(AK97=0,"",IF(AO97="","",IF(AO97=$H97,"Part-Time",IF(AO97=$I97,"Full-Time","Casual"))))</f>
        <v/>
      </c>
      <c r="AS97" s="16" t="str">
        <f aca="false">IF(AK97=0,"",IF(AP97="","",IF(AP97=$H97,"Part-Time",IF(AP97=$I97,"Full-Time","Casual"))))</f>
        <v/>
      </c>
      <c r="AT97" s="16" t="str">
        <f aca="false">IF(AK97=0,"",IF(AM97=0,IF(OR(ISNUMBER(SEARCH("full",$C97)),UPPER(TRIM($C97))="FT",UPPER(TRIM($C97))="FTE"),"FT",IF(AND(OR(ISNUMBER(SEARCH("part",$C97)),UPPER(TRIM($C97))="PT",UPPER(TRIM($C97))="PTE"),Apply2026="Yes",OR($P97="",N($P97)&gt;=PT_MinHours)),"PT","None")),IF(OR(ISNUMBER(SEARCH("full",AQ97)),UPPER(TRIM(AQ97))="FT",UPPER(TRIM(AQ97))="FTE"),"FT",IF(AND(OR(ISNUMBER(SEARCH("part",AQ97)),UPPER(TRIM(AQ97))="PT",UPPER(TRIM(AQ97))="PTE"),Apply2026="Yes",OR($P97="",N($P97)&gt;=PT_MinHours)),"PT","None"))))</f>
        <v/>
      </c>
      <c r="AU97" s="16" t="str">
        <f aca="false">IF(AK97=0,"",IF(AM97&lt;2,"",IF(OR(ISNUMBER(SEARCH("full",AR97)),UPPER(TRIM(AR97))="FT",UPPER(TRIM(AR97))="FTE"),"FT",IF(AND(OR(ISNUMBER(SEARCH("part",AR97)),UPPER(TRIM(AR97))="PT",UPPER(TRIM(AR97))="PTE"),Apply2026="Yes",OR($P97="",N($P97)&gt;=PT_MinHours)),"PT","None"))))</f>
        <v/>
      </c>
      <c r="AV97" s="16" t="str">
        <f aca="false">IF(AK97=0,"",IF(AM97&lt;3,"",IF(OR(ISNUMBER(SEARCH("full",AS97)),UPPER(TRIM(AS97))="FT",UPPER(TRIM(AS97))="FTE"),"FT",IF(AND(OR(ISNUMBER(SEARCH("part",AS97)),UPPER(TRIM(AS97))="PT",UPPER(TRIM(AS97))="PTE"),Apply2026="Yes",OR($P97="",N($P97)&gt;=PT_MinHours)),"PT","None"))))</f>
        <v/>
      </c>
      <c r="AW97" s="16" t="str">
        <f aca="false">IF(AK97=0,"",IF(AND(AM97&gt;=3,AP97&lt;=AsOfDate),AV97,IF(AND(AM97&gt;=2,AO97&lt;=AsOfDate),AU97,AT97)))</f>
        <v/>
      </c>
      <c r="AX97" s="16" t="str">
        <f aca="false">IF(AK97=0,"",IF(AsOfDate&lt;AL97,-1,12*(YEAR(AsOfDate)-YEAR(AL97))+MONTH(AsOfDate)-MONTH(AL97)-IF(DAY(AsOfDate)&lt;MIN(DAY(AL97),DAY(EOMONTH(AsOfDate,0))),1,0)))</f>
        <v/>
      </c>
      <c r="AY97" s="16" t="str">
        <f aca="false">IF(AK97=0,"",IF(OR(AM97&lt;2,AO97&gt;AsOfDate),AX97,IF((AO97-1)&lt;AL97,-1,12*(YEAR((AO97-1))-YEAR(AL97))+MONTH((AO97-1))-MONTH(AL97)-IF(DAY((AO97-1))&lt;MIN(DAY(AL97),DAY(EOMONTH((AO97-1),0))),1,0))))</f>
        <v/>
      </c>
      <c r="AZ97" s="16" t="str">
        <f aca="false">IF(AK97=0,"",IF(OR(AM97&lt;3,AP97&gt;AsOfDate),AX97,IF((AP97-1)&lt;AL97,-1,12*(YEAR((AP97-1))-YEAR(AL97))+MONTH((AP97-1))-MONTH(AL97)-IF(DAY((AP97-1))&lt;MIN(DAY(AL97),DAY(EOMONTH((AP97-1),0))),1,0))))</f>
        <v/>
      </c>
      <c r="BA97" s="16" t="str">
        <f aca="false">IF(AK97=0,"",IF(PFYDate&lt;AL97,-1,12*(YEAR(PFYDate)-YEAR(AL97))+MONTH(PFYDate)-MONTH(AL97)-IF(DAY(PFYDate)&lt;MIN(DAY(AL97),DAY(EOMONTH(PFYDate,0))),1,0)))</f>
        <v/>
      </c>
      <c r="BB97" s="16" t="str">
        <f aca="false">IF(AK97=0,"",IF(OR(AM97&lt;2,AO97&gt;PFYDate),BA97,IF((AO97-1)&lt;AL97,-1,12*(YEAR((AO97-1))-YEAR(AL97))+MONTH((AO97-1))-MONTH(AL97)-IF(DAY((AO97-1))&lt;MIN(DAY(AL97),DAY(EOMONTH((AO97-1),0))),1,0))))</f>
        <v/>
      </c>
      <c r="BC97" s="16" t="str">
        <f aca="false">IF(AK97=0,"",IF(OR(AM97&lt;3,AP97&gt;PFYDate),BA97,IF((AP97-1)&lt;AL97,-1,12*(YEAR((AP97-1))-YEAR(AL97))+MONTH((AP97-1))-MONTH(AL97)-IF(DAY((AP97-1))&lt;MIN(DAY(AL97),DAY(EOMONTH((AP97-1),0))),1,0))))</f>
        <v/>
      </c>
      <c r="BD97" s="16" t="str">
        <f aca="false">IF(AK97=0,"",IF(AT97="FT",IF(AY97&lt;FT_First,0,IF(AY97&lt;FT_Y5,1+INT((AY97-FT_First)/FT_Int1),FT_PreY5+FT_PerYear*INT((AY97-FT_Y5)/12)+FT_AnnivDays+INT(MOD(AY97-FT_Y5,12)/FT_Int2)-IF(EDATE(AL97,FT_Y5)&lt;PolicyEff,FT_AnnivDays-1,0))),IF(AT97="PT",IF(AY97&lt;PT_First,0,1+INT((AY97-PT_First)/PT_Int)),0))+IF(AND(AM97&gt;=2,AO97&lt;=AsOfDate),IF(AU97="FT",IF(AZ97&lt;FT_First,0,IF(AZ97&lt;FT_Y5,1+INT((AZ97-FT_First)/FT_Int1),FT_PreY5+FT_PerYear*INT((AZ97-FT_Y5)/12)+FT_AnnivDays+INT(MOD(AZ97-FT_Y5,12)/FT_Int2)-IF(EDATE(AL97,FT_Y5)&lt;PolicyEff,FT_AnnivDays-1,0))),IF(AU97="PT",IF(AZ97&lt;PT_First,0,1+INT((AZ97-PT_First)/PT_Int)),0))-IF(AU97="FT",IF(AY97&lt;FT_First,0,IF(AY97&lt;FT_Y5,1+INT((AY97-FT_First)/FT_Int1),FT_PreY5+FT_PerYear*INT((AY97-FT_Y5)/12)+FT_AnnivDays+INT(MOD(AY97-FT_Y5,12)/FT_Int2)-IF(EDATE(AL97,FT_Y5)&lt;PolicyEff,FT_AnnivDays-1,0))),IF(AU97="PT",IF(AY97&lt;PT_First,0,1+INT((AY97-PT_First)/PT_Int)),0)),0)+IF(AND(AM97&gt;=3,AP97&lt;=AsOfDate),IF(AV97="FT",IF(AX97&lt;FT_First,0,IF(AX97&lt;FT_Y5,1+INT((AX97-FT_First)/FT_Int1),FT_PreY5+FT_PerYear*INT((AX97-FT_Y5)/12)+FT_AnnivDays+INT(MOD(AX97-FT_Y5,12)/FT_Int2)-IF(EDATE(AL97,FT_Y5)&lt;PolicyEff,FT_AnnivDays-1,0))),IF(AV97="PT",IF(AX97&lt;PT_First,0,1+INT((AX97-PT_First)/PT_Int)),0))-IF(AV97="FT",IF(AZ97&lt;FT_First,0,IF(AZ97&lt;FT_Y5,1+INT((AZ97-FT_First)/FT_Int1),FT_PreY5+FT_PerYear*INT((AZ97-FT_Y5)/12)+FT_AnnivDays+INT(MOD(AZ97-FT_Y5,12)/FT_Int2)-IF(EDATE(AL97,FT_Y5)&lt;PolicyEff,FT_AnnivDays-1,0))),IF(AV97="PT",IF(AZ97&lt;PT_First,0,1+INT((AZ97-PT_First)/PT_Int)),0)),0))</f>
        <v/>
      </c>
      <c r="BE97" s="16" t="str">
        <f aca="false">IF(AK97=0,"",IF(AT97="FT",IF(BB97&lt;FT_First,0,IF(BB97&lt;FT_Y5,1+INT((BB97-FT_First)/FT_Int1),FT_PreY5+FT_PerYear*INT((BB97-FT_Y5)/12)+FT_AnnivDays+INT(MOD(BB97-FT_Y5,12)/FT_Int2)-IF(EDATE(AL97,FT_Y5)&lt;PolicyEff,FT_AnnivDays-1,0))),IF(AT97="PT",IF(BB97&lt;PT_First,0,1+INT((BB97-PT_First)/PT_Int)),0))+IF(AND(AM97&gt;=2,AO97&lt;=PFYDate),IF(AU97="FT",IF(BC97&lt;FT_First,0,IF(BC97&lt;FT_Y5,1+INT((BC97-FT_First)/FT_Int1),FT_PreY5+FT_PerYear*INT((BC97-FT_Y5)/12)+FT_AnnivDays+INT(MOD(BC97-FT_Y5,12)/FT_Int2)-IF(EDATE(AL97,FT_Y5)&lt;PolicyEff,FT_AnnivDays-1,0))),IF(AU97="PT",IF(BC97&lt;PT_First,0,1+INT((BC97-PT_First)/PT_Int)),0))-IF(AU97="FT",IF(BB97&lt;FT_First,0,IF(BB97&lt;FT_Y5,1+INT((BB97-FT_First)/FT_Int1),FT_PreY5+FT_PerYear*INT((BB97-FT_Y5)/12)+FT_AnnivDays+INT(MOD(BB97-FT_Y5,12)/FT_Int2)-IF(EDATE(AL97,FT_Y5)&lt;PolicyEff,FT_AnnivDays-1,0))),IF(AU97="PT",IF(BB97&lt;PT_First,0,1+INT((BB97-PT_First)/PT_Int)),0)),0)+IF(AND(AM97&gt;=3,AP97&lt;=PFYDate),IF(AV97="FT",IF(BA97&lt;FT_First,0,IF(BA97&lt;FT_Y5,1+INT((BA97-FT_First)/FT_Int1),FT_PreY5+FT_PerYear*INT((BA97-FT_Y5)/12)+FT_AnnivDays+INT(MOD(BA97-FT_Y5,12)/FT_Int2)-IF(EDATE(AL97,FT_Y5)&lt;PolicyEff,FT_AnnivDays-1,0))),IF(AV97="PT",IF(BA97&lt;PT_First,0,1+INT((BA97-PT_First)/PT_Int)),0))-IF(AV97="FT",IF(BC97&lt;FT_First,0,IF(BC97&lt;FT_Y5,1+INT((BC97-FT_First)/FT_Int1),FT_PreY5+FT_PerYear*INT((BC97-FT_Y5)/12)+FT_AnnivDays+INT(MOD(BC97-FT_Y5,12)/FT_Int2)-IF(EDATE(AL97,FT_Y5)&lt;PolicyEff,FT_AnnivDays-1,0))),IF(AV97="PT",IF(BC97&lt;PT_First,0,1+INT((BC97-PT_First)/PT_Int)),0)),0))</f>
        <v/>
      </c>
      <c r="BF97" s="16" t="str">
        <f aca="false">IF(AK97=0,"",IF(AW97="FT",IF(AX97&lt;FT_First,FT_First,IF(AX97&lt;FT_Y5,MIN(FT_Y5,FT_First+FT_Int1*(INT((AX97-FT_First)/FT_Int1)+1)),FT_Y5+12*INT((AX97-FT_Y5)/12)+FT_Int2*(INT(MOD(AX97-FT_Y5,12)/FT_Int2)+1))),IF(AW97="PT",IF(AX97&lt;PT_First,PT_First,PT_First+PT_Int*(INT((AX97-PT_First)/PT_Int)+1)),"")))</f>
        <v/>
      </c>
      <c r="BG97" s="16" t="str">
        <f aca="false">IF(AK97=0,"",IF(NOT(LH_Ready),0,COUNTIFS(INDEX(LH_Data,0,LH_ColFirst),$A97,INDEX(LH_Data,0,LH_ColSur),$B97,INDEX(LH_Data,0,LH_ColCat),BonusCat)))</f>
        <v/>
      </c>
      <c r="BH97" s="16" t="str">
        <f aca="false">IF(AK97=0,"",IF(OR(NOT(LH_Ready),BG97=0),0,SUMPRODUCT(MAX((INDEX(LH_Data,0,LH_ColFirst)=$A97)*(INDEX(LH_Data,0,LH_ColSur)=$B97)*(INDEX(LH_Data,0,LH_ColCat)=BonusCat)*ROW(LH_Data)))))</f>
        <v/>
      </c>
      <c r="BI97" s="16" t="str">
        <f aca="false">IF(AK97=0,"",IF(EOMONTH(AsOfDate,-1)&lt;AL97,-1,12*(YEAR(EOMONTH(AsOfDate,-1))-YEAR(AL97))+MONTH(EOMONTH(AsOfDate,-1))-MONTH(AL97)-IF(DAY(EOMONTH(AsOfDate,-1))&lt;MIN(DAY(AL97),DAY(EOMONTH(EOMONTH(AsOfDate,-1),0))),1,0)))</f>
        <v/>
      </c>
      <c r="BJ97" s="16" t="str">
        <f aca="false">IF(AK97=0,"",IF(OR(AM97&lt;2,AO97&gt;EOMONTH(AsOfDate,-1)),BI97,IF((AO97-1)&lt;AL97,-1,12*(YEAR((AO97-1))-YEAR(AL97))+MONTH((AO97-1))-MONTH(AL97)-IF(DAY((AO97-1))&lt;MIN(DAY(AL97),DAY(EOMONTH((AO97-1),0))),1,0))))</f>
        <v/>
      </c>
      <c r="BK97" s="16" t="str">
        <f aca="false">IF(AK97=0,"",IF(OR(AM97&lt;3,AP97&gt;EOMONTH(AsOfDate,-1)),BI97,IF((AP97-1)&lt;AL97,-1,12*(YEAR((AP97-1))-YEAR(AL97))+MONTH((AP97-1))-MONTH(AL97)-IF(DAY((AP97-1))&lt;MIN(DAY(AL97),DAY(EOMONTH((AP97-1),0))),1,0))))</f>
        <v/>
      </c>
      <c r="BL97" s="16" t="str">
        <f aca="false">IF(AK97=0,"",IF(AT97="FT",IF(BJ97&lt;FT_First,0,IF(BJ97&lt;FT_Y5,1+INT((BJ97-FT_First)/FT_Int1),FT_PreY5+FT_PerYear*INT((BJ97-FT_Y5)/12)+FT_AnnivDays+INT(MOD(BJ97-FT_Y5,12)/FT_Int2)-IF(EDATE(AL97,FT_Y5)&lt;PolicyEff,FT_AnnivDays-1,0))),IF(AT97="PT",IF(BJ97&lt;PT_First,0,1+INT((BJ97-PT_First)/PT_Int)),0))+IF(AND(AM97&gt;=2,AO97&lt;=EOMONTH(AsOfDate,-1)),IF(AU97="FT",IF(BK97&lt;FT_First,0,IF(BK97&lt;FT_Y5,1+INT((BK97-FT_First)/FT_Int1),FT_PreY5+FT_PerYear*INT((BK97-FT_Y5)/12)+FT_AnnivDays+INT(MOD(BK97-FT_Y5,12)/FT_Int2)-IF(EDATE(AL97,FT_Y5)&lt;PolicyEff,FT_AnnivDays-1,0))),IF(AU97="PT",IF(BK97&lt;PT_First,0,1+INT((BK97-PT_First)/PT_Int)),0))-IF(AU97="FT",IF(BJ97&lt;FT_First,0,IF(BJ97&lt;FT_Y5,1+INT((BJ97-FT_First)/FT_Int1),FT_PreY5+FT_PerYear*INT((BJ97-FT_Y5)/12)+FT_AnnivDays+INT(MOD(BJ97-FT_Y5,12)/FT_Int2)-IF(EDATE(AL97,FT_Y5)&lt;PolicyEff,FT_AnnivDays-1,0))),IF(AU97="PT",IF(BJ97&lt;PT_First,0,1+INT((BJ97-PT_First)/PT_Int)),0)),0)+IF(AND(AM97&gt;=3,AP97&lt;=EOMONTH(AsOfDate,-1)),IF(AV97="FT",IF(BI97&lt;FT_First,0,IF(BI97&lt;FT_Y5,1+INT((BI97-FT_First)/FT_Int1),FT_PreY5+FT_PerYear*INT((BI97-FT_Y5)/12)+FT_AnnivDays+INT(MOD(BI97-FT_Y5,12)/FT_Int2)-IF(EDATE(AL97,FT_Y5)&lt;PolicyEff,FT_AnnivDays-1,0))),IF(AV97="PT",IF(BI97&lt;PT_First,0,1+INT((BI97-PT_First)/PT_Int)),0))-IF(AV97="FT",IF(BK97&lt;FT_First,0,IF(BK97&lt;FT_Y5,1+INT((BK97-FT_First)/FT_Int1),FT_PreY5+FT_PerYear*INT((BK97-FT_Y5)/12)+FT_AnnivDays+INT(MOD(BK97-FT_Y5,12)/FT_Int2)-IF(EDATE(AL97,FT_Y5)&lt;PolicyEff,FT_AnnivDays-1,0))),IF(AV97="PT",IF(BK97&lt;PT_First,0,1+INT((BK97-PT_First)/PT_Int)),0)),0))</f>
        <v/>
      </c>
      <c r="BM97" s="16" t="str">
        <f aca="false">IF(AK97=0,"",IF(AW97="FT",IF(AX97&lt;FT_First,"",IF(AX97&lt;FT_Y5,FT_First+FT_Int1*INT((AX97-FT_First)/FT_Int1),FT_Y5+FT_Int2*INT((AX97-FT_Y5)/FT_Int2))),IF(AW97="PT",IF(AX97&lt;PT_First,"",PT_First+PT_Int*INT((AX97-PT_First)/PT_Int)),"")))</f>
        <v/>
      </c>
      <c r="BN97" s="16" t="str">
        <f aca="false">IF(AK97=0,"",IF((SchemeStart-1)&lt;AL97,-1,12*(YEAR((SchemeStart-1))-YEAR(AL97))+MONTH((SchemeStart-1))-MONTH(AL97)-IF(DAY((SchemeStart-1))&lt;MIN(DAY(AL97),DAY(EOMONTH((SchemeStart-1),0))),1,0)))</f>
        <v/>
      </c>
      <c r="BO97" s="16" t="str">
        <f aca="false">IF(AK97=0,"",IF(OR(AM97&lt;2,AO97&gt;(SchemeStart-1)),BN97,IF((AO97-1)&lt;AL97,-1,12*(YEAR((AO97-1))-YEAR(AL97))+MONTH((AO97-1))-MONTH(AL97)-IF(DAY((AO97-1))&lt;MIN(DAY(AL97),DAY(EOMONTH((AO97-1),0))),1,0))))</f>
        <v/>
      </c>
      <c r="BP97" s="16" t="str">
        <f aca="false">IF(AK97=0,"",IF(OR(AM97&lt;3,AP97&gt;(SchemeStart-1)),BN97,IF((AP97-1)&lt;AL97,-1,12*(YEAR((AP97-1))-YEAR(AL97))+MONTH((AP97-1))-MONTH(AL97)-IF(DAY((AP97-1))&lt;MIN(DAY(AL97),DAY(EOMONTH((AP97-1),0))),1,0))))</f>
        <v/>
      </c>
      <c r="BQ97" s="16" t="str">
        <f aca="false">IF(AK97=0,"",IF(AT97="FT",IF(BO97&lt;FT_First,0,IF(BO97&lt;FT_Y5,1+INT((BO97-FT_First)/FT_Int1),FT_PreY5+FT_PerYear*INT((BO97-FT_Y5)/12)+FT_AnnivDays+INT(MOD(BO97-FT_Y5,12)/FT_Int2)-IF(EDATE(AL97,FT_Y5)&lt;PolicyEff,FT_AnnivDays-1,0))),IF(AT97="PT",IF(BO97&lt;PT_First,0,1+INT((BO97-PT_First)/PT_Int)),0))+IF(AND(AM97&gt;=2,AO97&lt;=(SchemeStart-1)),IF(AU97="FT",IF(BP97&lt;FT_First,0,IF(BP97&lt;FT_Y5,1+INT((BP97-FT_First)/FT_Int1),FT_PreY5+FT_PerYear*INT((BP97-FT_Y5)/12)+FT_AnnivDays+INT(MOD(BP97-FT_Y5,12)/FT_Int2)-IF(EDATE(AL97,FT_Y5)&lt;PolicyEff,FT_AnnivDays-1,0))),IF(AU97="PT",IF(BP97&lt;PT_First,0,1+INT((BP97-PT_First)/PT_Int)),0))-IF(AU97="FT",IF(BO97&lt;FT_First,0,IF(BO97&lt;FT_Y5,1+INT((BO97-FT_First)/FT_Int1),FT_PreY5+FT_PerYear*INT((BO97-FT_Y5)/12)+FT_AnnivDays+INT(MOD(BO97-FT_Y5,12)/FT_Int2)-IF(EDATE(AL97,FT_Y5)&lt;PolicyEff,FT_AnnivDays-1,0))),IF(AU97="PT",IF(BO97&lt;PT_First,0,1+INT((BO97-PT_First)/PT_Int)),0)),0)+IF(AND(AM97&gt;=3,AP97&lt;=(SchemeStart-1)),IF(AV97="FT",IF(BN97&lt;FT_First,0,IF(BN97&lt;FT_Y5,1+INT((BN97-FT_First)/FT_Int1),FT_PreY5+FT_PerYear*INT((BN97-FT_Y5)/12)+FT_AnnivDays+INT(MOD(BN97-FT_Y5,12)/FT_Int2)-IF(EDATE(AL97,FT_Y5)&lt;PolicyEff,FT_AnnivDays-1,0))),IF(AV97="PT",IF(BN97&lt;PT_First,0,1+INT((BN97-PT_First)/PT_Int)),0))-IF(AV97="FT",IF(BP97&lt;FT_First,0,IF(BP97&lt;FT_Y5,1+INT((BP97-FT_First)/FT_Int1),FT_PreY5+FT_PerYear*INT((BP97-FT_Y5)/12)+FT_AnnivDays+INT(MOD(BP97-FT_Y5,12)/FT_Int2)-IF(EDATE(AL97,FT_Y5)&lt;PolicyEff,FT_AnnivDays-1,0))),IF(AV97="PT",IF(BP97&lt;PT_First,0,1+INT((BP97-PT_First)/PT_Int)),0)),0))</f>
        <v/>
      </c>
      <c r="BR97" s="0" t="str">
        <f aca="false">IF(LEN($A97&amp;$B97)=0,"",$A97&amp;" "&amp;$B97)</f>
        <v/>
      </c>
    </row>
    <row r="98" customFormat="false" ht="15" hidden="false" customHeight="false" outlineLevel="0" collapsed="false">
      <c r="A98" s="12"/>
      <c r="B98" s="12"/>
      <c r="C98" s="12"/>
      <c r="D98" s="13"/>
      <c r="E98" s="14" t="str">
        <f aca="false">IF(OR(AK98=0,$D98=""),"",DATE(YEAR(AsOfDate)+IF(DATE(YEAR(AsOfDate),MONTH($D98),DAY($D98))&lt;=AsOfDate,1,0),MONTH($D98),DAY($D98)))</f>
        <v/>
      </c>
      <c r="F98" s="13"/>
      <c r="G98" s="13"/>
      <c r="H98" s="13"/>
      <c r="I98" s="13"/>
      <c r="J98" s="13"/>
      <c r="K98" s="14" t="str">
        <f aca="false">IF(AK98=0,"",DATE(YEAR(AsOfDate)+IF(DATE(YEAR(AsOfDate),MONTH(AL98),DAY(AL98))&lt;=AsOfDate,1,0),MONTH(AL98),DAY(AL98)))</f>
        <v/>
      </c>
      <c r="L98" s="15" t="str">
        <f aca="false">IF(AK98=0,"",ROUND((AsOfDate-AL98)/365.25,1))</f>
        <v/>
      </c>
      <c r="M98" s="16" t="str">
        <f aca="false">IF(AK98=0,"",IF(AsOfDate&lt;AL98,"-",DATEDIF(AL98,AsOfDate,"y")&amp;"y "&amp;DATEDIF(AL98,AsOfDate,"ym")&amp;"m "&amp;DATEDIF(AL98,AsOfDate,"md")&amp;"d"))</f>
        <v/>
      </c>
      <c r="N98" s="17" t="str">
        <f aca="false">IF(AK98=0,"",O98*HoursPerDay)</f>
        <v/>
      </c>
      <c r="O98" s="17" t="str">
        <f aca="false">IF(AK98=0,"",MAX(0,BD98-BQ98))</f>
        <v/>
      </c>
      <c r="P98" s="18"/>
      <c r="Q98" s="16" t="str">
        <f aca="false">IF(AK98=0,"",IF(AM98&lt;2,"",AQ98&amp;" to "&amp;AR98&amp;" on "&amp;TEXT(AO98,"dd/mm/yyyy")&amp;IF(AO98&gt;AsOfDate," (future)",IF(AT98=AU98,"",IF(AU98="None"," - STOPPED accruing",IF(AT98="None"," - commencement for Bonus Leave"," - pathway changed"))))&amp;IF(AM98&lt;3,"","; "&amp;AR98&amp;" to "&amp;AS98&amp;" on "&amp;TEXT(AP98,"dd/mm/yyyy")&amp;IF(AP98&gt;AsOfDate," (future)",IF(AU98=AV98,"",IF(AV98="None"," - STOPPED accruing",IF(AU98="None"," - commencement for Bonus Leave"," - pathway changed")))))))</f>
        <v/>
      </c>
      <c r="R98" s="16" t="str">
        <f aca="false">IF(AK98=0,"",IF(AW98="None",IF(O98&gt;0,"No longer accruing","Not eligible - "&amp;IF(AND(OR(ISNUMBER(SEARCH("part",$C98)),UPPER(TRIM($C98))="PT",UPPER(TRIM($C98))="PTE"),Apply2026="No"),"part-time (scheme is full-time only)",IF(AND(OR(ISNUMBER(SEARCH("part",$C98)),UPPER(TRIM($C98))="PT",UPPER(TRIM($C98))="PTE"),$P98&lt;&gt;"",N($P98)&lt;PT_MinHours),"under "&amp;PT_MinHours&amp;" hrs",IF(IF($C98="","",IF(OR(ISNUMBER(SEARCH("full",$C98)),UPPER(TRIM($C98))="FT",UPPER(TRIM($C98))="FTE"),"Full-Time",IF(OR(ISNUMBER(SEARCH("part",$C98)),UPPER(TRIM($C98))="PT",UPPER(TRIM($C98))="PTE"),"Part-Time",IF(OR(ISNUMBER(SEARCH("cas",$C98)),UPPER(TRIM($C98))="CAS"),"Casual","Unknown"))))="Unknown","type not recognised",$C98)))),IF(O98&gt;0,"Yes - Accrual Required","Not yet - from "&amp;TEXT(S98,"dd/mm/yyyy"))))</f>
        <v/>
      </c>
      <c r="S98" s="14" t="str">
        <f aca="false">IF(AK98=0,"",IF(AW98="None","",EDATE(AL98,BF98)))</f>
        <v/>
      </c>
      <c r="T98" s="17" t="str">
        <f aca="false">IF(AK98=0,"",IF(NOT(LH_Ready),"",IF($F98&gt;PFYDate,0,IF(LH_ColPeriod=0,W98-U98+V98,SUMIFS(INDEX(LH_Data,0,LH_ColAcc),INDEX(LH_Data,0,LH_ColFirst),$A98,INDEX(LH_Data,0,LH_ColSur),$B98,INDEX(LH_Data,0,LH_ColCat),BonusCat,INDEX(LH_Data,0,LH_ColPeriod),LH_OpenLabel)*UnitFactor))))</f>
        <v/>
      </c>
      <c r="U98" s="17" t="str">
        <f aca="false">IF(AK98=0,"",IF(NOT(LH_Ready),"",SUMIFS(INDEX(LH_Data,0,LH_ColAcc),INDEX(LH_Data,0,LH_ColFirst),$A98,INDEX(LH_Data,0,LH_ColSur),$B98,INDEX(LH_Data,0,LH_ColCat),BonusCat,INDEX(LH_Data,0,LH_ColStart),"&gt;="&amp;AL98)*UnitFactor))</f>
        <v/>
      </c>
      <c r="V98" s="17" t="str">
        <f aca="false">IF(AK98=0,"",IF(NOT(LH_Ready),"",SUMIFS(INDEX(LH_Data,0,LH_ColTaken),INDEX(LH_Data,0,LH_ColFirst),$A98,INDEX(LH_Data,0,LH_ColSur),$B98,INDEX(LH_Data,0,LH_ColCat),BonusCat,INDEX(LH_Data,0,LH_ColStart),"&gt;="&amp;AL98)*UnitFactor))</f>
        <v/>
      </c>
      <c r="W98" s="17" t="str">
        <f aca="false">IF(AK98=0,"",IF(NOT(LH_Ready),"",IF(BH98=0,0,INDEX(INDEX(LH_Data,0,LH_ColClose),BH98-1)*UnitFactor)))</f>
        <v/>
      </c>
      <c r="X98" s="17" t="str">
        <f aca="false">IF(AK98=0,"",(MAX(0,BD98-BQ98)-MAX(0,BE98-BQ98))*HoursPerDay)</f>
        <v/>
      </c>
      <c r="Y98" s="17" t="str">
        <f aca="false">IF(AK98=0,"",IF(NOT(LH_Ready),"",IF($AI98="Yes",N(AE98)*HoursPerDay-SUMIFS(INDEX(LH_Data,0,LH_ColAcc),INDEX(LH_Data,0,LH_ColFirst),$A98,INDEX(LH_Data,0,LH_ColSur),$B98,INDEX(LH_Data,0,LH_ColCat),BonusCat,INDEX(LH_Data,0,LH_ColStart),"&gt;="&amp;(EOMONTH(AsOfDate,-1)+1),INDEX(LH_Data,0,LH_ColStart),"&lt;="&amp;AsOfDate)*UnitFactor,IF(BG98=0,N98,N98-N(T98)-N(U98)))))</f>
        <v/>
      </c>
      <c r="Z98" s="16" t="str">
        <f aca="false">IF(OR(AK98=0,Y98=""),"",IF(Y98&gt;0,"Yes","No"))</f>
        <v/>
      </c>
      <c r="AA98" s="16" t="str">
        <f aca="false">IF(AK98=0,IF(LEN($A98&amp;$B98)=0,"","FIX INPUT - StartDate missing"),IF(AD98&lt;&gt;"","FIX INPUT - "&amp;AD98,IF(NOT(LH_Ready),"Paste Leave History export (Settings must show YES)",IF(AND($AI98="Yes",Y98&lt;=0),"OK - EH balance accepted to date"&amp;IF(N(AH98)&gt;0," (EH holds "&amp;AH98&amp;" hrs over the scheme)","")&amp;"; next day "&amp;TEXT(S98,"dd mmm yy")&amp;IF(N(AE98)&gt;0," ("&amp;AE98&amp;" day(s) for "&amp;UPPER(TEXT(AsOfDate,"mmm yyyy"))&amp;" already in EH)",""),IF(Y98&gt;0,"ACCRUE "&amp;ROUND(Y98,2)&amp;" hrs ("&amp;ROUND(Y98/HoursPerDay,2)&amp;" days): "&amp;IF(N(AE98)&gt;0,AE98&amp;" day(s) for "&amp;UPPER(TEXT(AsOfDate,"mmm yyyy"))&amp;" (milestone "&amp;UPPER(TEXT(AF98,"dd mmm yy"))&amp;")"&amp;IF(Y98/HoursPerDay&gt;AE98+0.001," + "&amp;ROUND(Y98/HoursPerDay-AE98,2)&amp;" day(s) catch-up from earlier months",""),"all catch-up from earlier months, nothing new this month")&amp;IF(BG98=0,"; no Bonus Leave in EH yet",""),IF(Y98&lt;0,"CHECK - EH accrued "&amp;ROUND(-Y98,2)&amp;" hrs more than policy since commencement",IF(N(W98)&gt;O98*HoursPerDay+0.01,"CHECK - EH balance "&amp;ROUND(W98-O98*HoursPerDay,2)&amp;" hrs more than policy entitlement",IF(O98&gt;0,"OK - nothing to add"&amp;IF(N(AE98)&gt;0," ("&amp;AE98&amp;" day(s) for "&amp;UPPER(TEXT(AsOfDate,"mmm yyyy"))&amp;" already in EH)",""),IF(AW98="None",R98,"Not yet - first day on "&amp;TEXT(S98,"dd/mm/yyyy"))))))))))</f>
        <v/>
      </c>
      <c r="AB98" s="17" t="str">
        <f aca="false">IF(OR(AK98=0,T98=""),"",MAX(0,BE98-BQ98)*HoursPerDay-T98)</f>
        <v/>
      </c>
      <c r="AC98" s="16" t="str">
        <f aca="false">IF(AK98=0,"",BG98)</f>
        <v/>
      </c>
      <c r="AD98" s="16" t="str">
        <f aca="false">IF(AK98=0,"",TRIM(IF(OR(ISTEXT($F98),ISTEXT($H98),ISTEXT($I98),ISTEXT($G98),ISTEXT($J98),ISTEXT($D98)),"A date is typed as text - retype it as dd/mm/yyyy. ","")&amp;IF(IF($C98="","",IF(OR(ISNUMBER(SEARCH("full",$C98)),UPPER(TRIM($C98))="FT",UPPER(TRIM($C98))="FTE"),"Full-Time",IF(OR(ISNUMBER(SEARCH("part",$C98)),UPPER(TRIM($C98))="PT",UPPER(TRIM($C98))="PTE"),"Part-Time",IF(OR(ISNUMBER(SEARCH("cas",$C98)),UPPER(TRIM($C98))="CAS"),"Casual","Unknown"))))="Unknown","EmploymentType not recognised - use Full-Time, Part-Time or Casual. ","")&amp;IF(AND(AM98&gt;=1,IF(AM98&gt;=3,AS98,IF(AM98=2,AR98,AQ98))&lt;&gt;IF($C98="","",IF(OR(ISNUMBER(SEARCH("full",$C98)),UPPER(TRIM($C98))="FT",UPPER(TRIM($C98))="FTE"),"Full-Time",IF(OR(ISNUMBER(SEARCH("part",$C98)),UPPER(TRIM($C98))="PT",UPPER(TRIM($C98))="PTE"),"Part-Time",IF(OR(ISNUMBER(SEARCH("cas",$C98)),UPPER(TRIM($C98))="CAS"),"Casual","Unknown"))))),"EmploymentType does not match latest start date ("&amp;IF(AM98&gt;=3,AS98,IF(AM98=2,AR98,AQ98))&amp;"). ","")&amp;IF(AND(AM98&gt;=1,AN98&lt;&gt;$F98),"Earliest type date should equal StartDate. ","")&amp;IF(AND(AM98&gt;=2,AN98=AO98),"Two types start on the same date. ","")&amp;IF(AND(OR(ISNUMBER(SEARCH("part",$C98)),UPPER(TRIM($C98))="PT",UPPER(TRIM($C98))="PTE"),$P98=""),"Part-time: enter PT Hrs/Week (blank = 24+). ","")))</f>
        <v/>
      </c>
      <c r="AE98" s="17" t="str">
        <f aca="false">IF(AK98=0,"",O98-MAX(0,BL98-BQ98))</f>
        <v/>
      </c>
      <c r="AF98" s="14" t="str">
        <f aca="false">IF(OR(AK98=0,AE98="",N(AE98)=0,BM98=""),"",EDATE(AL98,BM98))</f>
        <v/>
      </c>
      <c r="AG98" s="17" t="str">
        <f aca="false">IF(AK98=0,"",MIN(BD98,BQ98))</f>
        <v/>
      </c>
      <c r="AH98" s="17" t="str">
        <f aca="false">IF(AK98=0,"",IF(NOT(LH_Ready),"",IF(BG98=0,0,MAX(0,ROUND(N(T98)+N(U98)-N98,2)))))</f>
        <v/>
      </c>
      <c r="AI98" s="12"/>
      <c r="AJ98" s="12"/>
      <c r="AK98" s="16" t="n">
        <f aca="false">IF(OR(LEN($A98&amp;$B98)=0,$F98=""),0,1)</f>
        <v>0</v>
      </c>
      <c r="AL98" s="14" t="str">
        <f aca="false">IF(AK98=0,"",IF(PreSchemeCounts="No",MAX(SchemeStart,IF($J98&lt;&gt;"",$J98,IF(OR(CasualCounts="Yes",COUNT($G98:$I98)=0),$F98,IF(Apply2026="No",IF($I98="",$F98,$I98),IF(COUNT($H98:$I98)=0,$F98,MIN($H98:$I98)))))),IF($J98&lt;&gt;"",$J98,IF(OR(CasualCounts="Yes",COUNT($G98:$I98)=0),$F98,IF(Apply2026="No",IF($I98="",$F98,$I98),IF(COUNT($H98:$I98)=0,$F98,MIN($H98:$I98)))))))</f>
        <v/>
      </c>
      <c r="AM98" s="16" t="str">
        <f aca="false">IF(AK98=0,"",COUNT($G98:$I98))</f>
        <v/>
      </c>
      <c r="AN98" s="14" t="str">
        <f aca="false">IF(AK98=0,"",IFERROR(SMALL($G98:$I98,1),""))</f>
        <v/>
      </c>
      <c r="AO98" s="14" t="str">
        <f aca="false">IF(AK98=0,"",IFERROR(SMALL($G98:$I98,2),""))</f>
        <v/>
      </c>
      <c r="AP98" s="14" t="str">
        <f aca="false">IF(AK98=0,"",IFERROR(SMALL($G98:$I98,3),""))</f>
        <v/>
      </c>
      <c r="AQ98" s="16" t="str">
        <f aca="false">IF(AK98=0,"",IF(AN98="","",IF(AN98=$H98,"Part-Time",IF(AN98=$I98,"Full-Time","Casual"))))</f>
        <v/>
      </c>
      <c r="AR98" s="16" t="str">
        <f aca="false">IF(AK98=0,"",IF(AO98="","",IF(AO98=$H98,"Part-Time",IF(AO98=$I98,"Full-Time","Casual"))))</f>
        <v/>
      </c>
      <c r="AS98" s="16" t="str">
        <f aca="false">IF(AK98=0,"",IF(AP98="","",IF(AP98=$H98,"Part-Time",IF(AP98=$I98,"Full-Time","Casual"))))</f>
        <v/>
      </c>
      <c r="AT98" s="16" t="str">
        <f aca="false">IF(AK98=0,"",IF(AM98=0,IF(OR(ISNUMBER(SEARCH("full",$C98)),UPPER(TRIM($C98))="FT",UPPER(TRIM($C98))="FTE"),"FT",IF(AND(OR(ISNUMBER(SEARCH("part",$C98)),UPPER(TRIM($C98))="PT",UPPER(TRIM($C98))="PTE"),Apply2026="Yes",OR($P98="",N($P98)&gt;=PT_MinHours)),"PT","None")),IF(OR(ISNUMBER(SEARCH("full",AQ98)),UPPER(TRIM(AQ98))="FT",UPPER(TRIM(AQ98))="FTE"),"FT",IF(AND(OR(ISNUMBER(SEARCH("part",AQ98)),UPPER(TRIM(AQ98))="PT",UPPER(TRIM(AQ98))="PTE"),Apply2026="Yes",OR($P98="",N($P98)&gt;=PT_MinHours)),"PT","None"))))</f>
        <v/>
      </c>
      <c r="AU98" s="16" t="str">
        <f aca="false">IF(AK98=0,"",IF(AM98&lt;2,"",IF(OR(ISNUMBER(SEARCH("full",AR98)),UPPER(TRIM(AR98))="FT",UPPER(TRIM(AR98))="FTE"),"FT",IF(AND(OR(ISNUMBER(SEARCH("part",AR98)),UPPER(TRIM(AR98))="PT",UPPER(TRIM(AR98))="PTE"),Apply2026="Yes",OR($P98="",N($P98)&gt;=PT_MinHours)),"PT","None"))))</f>
        <v/>
      </c>
      <c r="AV98" s="16" t="str">
        <f aca="false">IF(AK98=0,"",IF(AM98&lt;3,"",IF(OR(ISNUMBER(SEARCH("full",AS98)),UPPER(TRIM(AS98))="FT",UPPER(TRIM(AS98))="FTE"),"FT",IF(AND(OR(ISNUMBER(SEARCH("part",AS98)),UPPER(TRIM(AS98))="PT",UPPER(TRIM(AS98))="PTE"),Apply2026="Yes",OR($P98="",N($P98)&gt;=PT_MinHours)),"PT","None"))))</f>
        <v/>
      </c>
      <c r="AW98" s="16" t="str">
        <f aca="false">IF(AK98=0,"",IF(AND(AM98&gt;=3,AP98&lt;=AsOfDate),AV98,IF(AND(AM98&gt;=2,AO98&lt;=AsOfDate),AU98,AT98)))</f>
        <v/>
      </c>
      <c r="AX98" s="16" t="str">
        <f aca="false">IF(AK98=0,"",IF(AsOfDate&lt;AL98,-1,12*(YEAR(AsOfDate)-YEAR(AL98))+MONTH(AsOfDate)-MONTH(AL98)-IF(DAY(AsOfDate)&lt;MIN(DAY(AL98),DAY(EOMONTH(AsOfDate,0))),1,0)))</f>
        <v/>
      </c>
      <c r="AY98" s="16" t="str">
        <f aca="false">IF(AK98=0,"",IF(OR(AM98&lt;2,AO98&gt;AsOfDate),AX98,IF((AO98-1)&lt;AL98,-1,12*(YEAR((AO98-1))-YEAR(AL98))+MONTH((AO98-1))-MONTH(AL98)-IF(DAY((AO98-1))&lt;MIN(DAY(AL98),DAY(EOMONTH((AO98-1),0))),1,0))))</f>
        <v/>
      </c>
      <c r="AZ98" s="16" t="str">
        <f aca="false">IF(AK98=0,"",IF(OR(AM98&lt;3,AP98&gt;AsOfDate),AX98,IF((AP98-1)&lt;AL98,-1,12*(YEAR((AP98-1))-YEAR(AL98))+MONTH((AP98-1))-MONTH(AL98)-IF(DAY((AP98-1))&lt;MIN(DAY(AL98),DAY(EOMONTH((AP98-1),0))),1,0))))</f>
        <v/>
      </c>
      <c r="BA98" s="16" t="str">
        <f aca="false">IF(AK98=0,"",IF(PFYDate&lt;AL98,-1,12*(YEAR(PFYDate)-YEAR(AL98))+MONTH(PFYDate)-MONTH(AL98)-IF(DAY(PFYDate)&lt;MIN(DAY(AL98),DAY(EOMONTH(PFYDate,0))),1,0)))</f>
        <v/>
      </c>
      <c r="BB98" s="16" t="str">
        <f aca="false">IF(AK98=0,"",IF(OR(AM98&lt;2,AO98&gt;PFYDate),BA98,IF((AO98-1)&lt;AL98,-1,12*(YEAR((AO98-1))-YEAR(AL98))+MONTH((AO98-1))-MONTH(AL98)-IF(DAY((AO98-1))&lt;MIN(DAY(AL98),DAY(EOMONTH((AO98-1),0))),1,0))))</f>
        <v/>
      </c>
      <c r="BC98" s="16" t="str">
        <f aca="false">IF(AK98=0,"",IF(OR(AM98&lt;3,AP98&gt;PFYDate),BA98,IF((AP98-1)&lt;AL98,-1,12*(YEAR((AP98-1))-YEAR(AL98))+MONTH((AP98-1))-MONTH(AL98)-IF(DAY((AP98-1))&lt;MIN(DAY(AL98),DAY(EOMONTH((AP98-1),0))),1,0))))</f>
        <v/>
      </c>
      <c r="BD98" s="16" t="str">
        <f aca="false">IF(AK98=0,"",IF(AT98="FT",IF(AY98&lt;FT_First,0,IF(AY98&lt;FT_Y5,1+INT((AY98-FT_First)/FT_Int1),FT_PreY5+FT_PerYear*INT((AY98-FT_Y5)/12)+FT_AnnivDays+INT(MOD(AY98-FT_Y5,12)/FT_Int2)-IF(EDATE(AL98,FT_Y5)&lt;PolicyEff,FT_AnnivDays-1,0))),IF(AT98="PT",IF(AY98&lt;PT_First,0,1+INT((AY98-PT_First)/PT_Int)),0))+IF(AND(AM98&gt;=2,AO98&lt;=AsOfDate),IF(AU98="FT",IF(AZ98&lt;FT_First,0,IF(AZ98&lt;FT_Y5,1+INT((AZ98-FT_First)/FT_Int1),FT_PreY5+FT_PerYear*INT((AZ98-FT_Y5)/12)+FT_AnnivDays+INT(MOD(AZ98-FT_Y5,12)/FT_Int2)-IF(EDATE(AL98,FT_Y5)&lt;PolicyEff,FT_AnnivDays-1,0))),IF(AU98="PT",IF(AZ98&lt;PT_First,0,1+INT((AZ98-PT_First)/PT_Int)),0))-IF(AU98="FT",IF(AY98&lt;FT_First,0,IF(AY98&lt;FT_Y5,1+INT((AY98-FT_First)/FT_Int1),FT_PreY5+FT_PerYear*INT((AY98-FT_Y5)/12)+FT_AnnivDays+INT(MOD(AY98-FT_Y5,12)/FT_Int2)-IF(EDATE(AL98,FT_Y5)&lt;PolicyEff,FT_AnnivDays-1,0))),IF(AU98="PT",IF(AY98&lt;PT_First,0,1+INT((AY98-PT_First)/PT_Int)),0)),0)+IF(AND(AM98&gt;=3,AP98&lt;=AsOfDate),IF(AV98="FT",IF(AX98&lt;FT_First,0,IF(AX98&lt;FT_Y5,1+INT((AX98-FT_First)/FT_Int1),FT_PreY5+FT_PerYear*INT((AX98-FT_Y5)/12)+FT_AnnivDays+INT(MOD(AX98-FT_Y5,12)/FT_Int2)-IF(EDATE(AL98,FT_Y5)&lt;PolicyEff,FT_AnnivDays-1,0))),IF(AV98="PT",IF(AX98&lt;PT_First,0,1+INT((AX98-PT_First)/PT_Int)),0))-IF(AV98="FT",IF(AZ98&lt;FT_First,0,IF(AZ98&lt;FT_Y5,1+INT((AZ98-FT_First)/FT_Int1),FT_PreY5+FT_PerYear*INT((AZ98-FT_Y5)/12)+FT_AnnivDays+INT(MOD(AZ98-FT_Y5,12)/FT_Int2)-IF(EDATE(AL98,FT_Y5)&lt;PolicyEff,FT_AnnivDays-1,0))),IF(AV98="PT",IF(AZ98&lt;PT_First,0,1+INT((AZ98-PT_First)/PT_Int)),0)),0))</f>
        <v/>
      </c>
      <c r="BE98" s="16" t="str">
        <f aca="false">IF(AK98=0,"",IF(AT98="FT",IF(BB98&lt;FT_First,0,IF(BB98&lt;FT_Y5,1+INT((BB98-FT_First)/FT_Int1),FT_PreY5+FT_PerYear*INT((BB98-FT_Y5)/12)+FT_AnnivDays+INT(MOD(BB98-FT_Y5,12)/FT_Int2)-IF(EDATE(AL98,FT_Y5)&lt;PolicyEff,FT_AnnivDays-1,0))),IF(AT98="PT",IF(BB98&lt;PT_First,0,1+INT((BB98-PT_First)/PT_Int)),0))+IF(AND(AM98&gt;=2,AO98&lt;=PFYDate),IF(AU98="FT",IF(BC98&lt;FT_First,0,IF(BC98&lt;FT_Y5,1+INT((BC98-FT_First)/FT_Int1),FT_PreY5+FT_PerYear*INT((BC98-FT_Y5)/12)+FT_AnnivDays+INT(MOD(BC98-FT_Y5,12)/FT_Int2)-IF(EDATE(AL98,FT_Y5)&lt;PolicyEff,FT_AnnivDays-1,0))),IF(AU98="PT",IF(BC98&lt;PT_First,0,1+INT((BC98-PT_First)/PT_Int)),0))-IF(AU98="FT",IF(BB98&lt;FT_First,0,IF(BB98&lt;FT_Y5,1+INT((BB98-FT_First)/FT_Int1),FT_PreY5+FT_PerYear*INT((BB98-FT_Y5)/12)+FT_AnnivDays+INT(MOD(BB98-FT_Y5,12)/FT_Int2)-IF(EDATE(AL98,FT_Y5)&lt;PolicyEff,FT_AnnivDays-1,0))),IF(AU98="PT",IF(BB98&lt;PT_First,0,1+INT((BB98-PT_First)/PT_Int)),0)),0)+IF(AND(AM98&gt;=3,AP98&lt;=PFYDate),IF(AV98="FT",IF(BA98&lt;FT_First,0,IF(BA98&lt;FT_Y5,1+INT((BA98-FT_First)/FT_Int1),FT_PreY5+FT_PerYear*INT((BA98-FT_Y5)/12)+FT_AnnivDays+INT(MOD(BA98-FT_Y5,12)/FT_Int2)-IF(EDATE(AL98,FT_Y5)&lt;PolicyEff,FT_AnnivDays-1,0))),IF(AV98="PT",IF(BA98&lt;PT_First,0,1+INT((BA98-PT_First)/PT_Int)),0))-IF(AV98="FT",IF(BC98&lt;FT_First,0,IF(BC98&lt;FT_Y5,1+INT((BC98-FT_First)/FT_Int1),FT_PreY5+FT_PerYear*INT((BC98-FT_Y5)/12)+FT_AnnivDays+INT(MOD(BC98-FT_Y5,12)/FT_Int2)-IF(EDATE(AL98,FT_Y5)&lt;PolicyEff,FT_AnnivDays-1,0))),IF(AV98="PT",IF(BC98&lt;PT_First,0,1+INT((BC98-PT_First)/PT_Int)),0)),0))</f>
        <v/>
      </c>
      <c r="BF98" s="16" t="str">
        <f aca="false">IF(AK98=0,"",IF(AW98="FT",IF(AX98&lt;FT_First,FT_First,IF(AX98&lt;FT_Y5,MIN(FT_Y5,FT_First+FT_Int1*(INT((AX98-FT_First)/FT_Int1)+1)),FT_Y5+12*INT((AX98-FT_Y5)/12)+FT_Int2*(INT(MOD(AX98-FT_Y5,12)/FT_Int2)+1))),IF(AW98="PT",IF(AX98&lt;PT_First,PT_First,PT_First+PT_Int*(INT((AX98-PT_First)/PT_Int)+1)),"")))</f>
        <v/>
      </c>
      <c r="BG98" s="16" t="str">
        <f aca="false">IF(AK98=0,"",IF(NOT(LH_Ready),0,COUNTIFS(INDEX(LH_Data,0,LH_ColFirst),$A98,INDEX(LH_Data,0,LH_ColSur),$B98,INDEX(LH_Data,0,LH_ColCat),BonusCat)))</f>
        <v/>
      </c>
      <c r="BH98" s="16" t="str">
        <f aca="false">IF(AK98=0,"",IF(OR(NOT(LH_Ready),BG98=0),0,SUMPRODUCT(MAX((INDEX(LH_Data,0,LH_ColFirst)=$A98)*(INDEX(LH_Data,0,LH_ColSur)=$B98)*(INDEX(LH_Data,0,LH_ColCat)=BonusCat)*ROW(LH_Data)))))</f>
        <v/>
      </c>
      <c r="BI98" s="16" t="str">
        <f aca="false">IF(AK98=0,"",IF(EOMONTH(AsOfDate,-1)&lt;AL98,-1,12*(YEAR(EOMONTH(AsOfDate,-1))-YEAR(AL98))+MONTH(EOMONTH(AsOfDate,-1))-MONTH(AL98)-IF(DAY(EOMONTH(AsOfDate,-1))&lt;MIN(DAY(AL98),DAY(EOMONTH(EOMONTH(AsOfDate,-1),0))),1,0)))</f>
        <v/>
      </c>
      <c r="BJ98" s="16" t="str">
        <f aca="false">IF(AK98=0,"",IF(OR(AM98&lt;2,AO98&gt;EOMONTH(AsOfDate,-1)),BI98,IF((AO98-1)&lt;AL98,-1,12*(YEAR((AO98-1))-YEAR(AL98))+MONTH((AO98-1))-MONTH(AL98)-IF(DAY((AO98-1))&lt;MIN(DAY(AL98),DAY(EOMONTH((AO98-1),0))),1,0))))</f>
        <v/>
      </c>
      <c r="BK98" s="16" t="str">
        <f aca="false">IF(AK98=0,"",IF(OR(AM98&lt;3,AP98&gt;EOMONTH(AsOfDate,-1)),BI98,IF((AP98-1)&lt;AL98,-1,12*(YEAR((AP98-1))-YEAR(AL98))+MONTH((AP98-1))-MONTH(AL98)-IF(DAY((AP98-1))&lt;MIN(DAY(AL98),DAY(EOMONTH((AP98-1),0))),1,0))))</f>
        <v/>
      </c>
      <c r="BL98" s="16" t="str">
        <f aca="false">IF(AK98=0,"",IF(AT98="FT",IF(BJ98&lt;FT_First,0,IF(BJ98&lt;FT_Y5,1+INT((BJ98-FT_First)/FT_Int1),FT_PreY5+FT_PerYear*INT((BJ98-FT_Y5)/12)+FT_AnnivDays+INT(MOD(BJ98-FT_Y5,12)/FT_Int2)-IF(EDATE(AL98,FT_Y5)&lt;PolicyEff,FT_AnnivDays-1,0))),IF(AT98="PT",IF(BJ98&lt;PT_First,0,1+INT((BJ98-PT_First)/PT_Int)),0))+IF(AND(AM98&gt;=2,AO98&lt;=EOMONTH(AsOfDate,-1)),IF(AU98="FT",IF(BK98&lt;FT_First,0,IF(BK98&lt;FT_Y5,1+INT((BK98-FT_First)/FT_Int1),FT_PreY5+FT_PerYear*INT((BK98-FT_Y5)/12)+FT_AnnivDays+INT(MOD(BK98-FT_Y5,12)/FT_Int2)-IF(EDATE(AL98,FT_Y5)&lt;PolicyEff,FT_AnnivDays-1,0))),IF(AU98="PT",IF(BK98&lt;PT_First,0,1+INT((BK98-PT_First)/PT_Int)),0))-IF(AU98="FT",IF(BJ98&lt;FT_First,0,IF(BJ98&lt;FT_Y5,1+INT((BJ98-FT_First)/FT_Int1),FT_PreY5+FT_PerYear*INT((BJ98-FT_Y5)/12)+FT_AnnivDays+INT(MOD(BJ98-FT_Y5,12)/FT_Int2)-IF(EDATE(AL98,FT_Y5)&lt;PolicyEff,FT_AnnivDays-1,0))),IF(AU98="PT",IF(BJ98&lt;PT_First,0,1+INT((BJ98-PT_First)/PT_Int)),0)),0)+IF(AND(AM98&gt;=3,AP98&lt;=EOMONTH(AsOfDate,-1)),IF(AV98="FT",IF(BI98&lt;FT_First,0,IF(BI98&lt;FT_Y5,1+INT((BI98-FT_First)/FT_Int1),FT_PreY5+FT_PerYear*INT((BI98-FT_Y5)/12)+FT_AnnivDays+INT(MOD(BI98-FT_Y5,12)/FT_Int2)-IF(EDATE(AL98,FT_Y5)&lt;PolicyEff,FT_AnnivDays-1,0))),IF(AV98="PT",IF(BI98&lt;PT_First,0,1+INT((BI98-PT_First)/PT_Int)),0))-IF(AV98="FT",IF(BK98&lt;FT_First,0,IF(BK98&lt;FT_Y5,1+INT((BK98-FT_First)/FT_Int1),FT_PreY5+FT_PerYear*INT((BK98-FT_Y5)/12)+FT_AnnivDays+INT(MOD(BK98-FT_Y5,12)/FT_Int2)-IF(EDATE(AL98,FT_Y5)&lt;PolicyEff,FT_AnnivDays-1,0))),IF(AV98="PT",IF(BK98&lt;PT_First,0,1+INT((BK98-PT_First)/PT_Int)),0)),0))</f>
        <v/>
      </c>
      <c r="BM98" s="16" t="str">
        <f aca="false">IF(AK98=0,"",IF(AW98="FT",IF(AX98&lt;FT_First,"",IF(AX98&lt;FT_Y5,FT_First+FT_Int1*INT((AX98-FT_First)/FT_Int1),FT_Y5+FT_Int2*INT((AX98-FT_Y5)/FT_Int2))),IF(AW98="PT",IF(AX98&lt;PT_First,"",PT_First+PT_Int*INT((AX98-PT_First)/PT_Int)),"")))</f>
        <v/>
      </c>
      <c r="BN98" s="16" t="str">
        <f aca="false">IF(AK98=0,"",IF((SchemeStart-1)&lt;AL98,-1,12*(YEAR((SchemeStart-1))-YEAR(AL98))+MONTH((SchemeStart-1))-MONTH(AL98)-IF(DAY((SchemeStart-1))&lt;MIN(DAY(AL98),DAY(EOMONTH((SchemeStart-1),0))),1,0)))</f>
        <v/>
      </c>
      <c r="BO98" s="16" t="str">
        <f aca="false">IF(AK98=0,"",IF(OR(AM98&lt;2,AO98&gt;(SchemeStart-1)),BN98,IF((AO98-1)&lt;AL98,-1,12*(YEAR((AO98-1))-YEAR(AL98))+MONTH((AO98-1))-MONTH(AL98)-IF(DAY((AO98-1))&lt;MIN(DAY(AL98),DAY(EOMONTH((AO98-1),0))),1,0))))</f>
        <v/>
      </c>
      <c r="BP98" s="16" t="str">
        <f aca="false">IF(AK98=0,"",IF(OR(AM98&lt;3,AP98&gt;(SchemeStart-1)),BN98,IF((AP98-1)&lt;AL98,-1,12*(YEAR((AP98-1))-YEAR(AL98))+MONTH((AP98-1))-MONTH(AL98)-IF(DAY((AP98-1))&lt;MIN(DAY(AL98),DAY(EOMONTH((AP98-1),0))),1,0))))</f>
        <v/>
      </c>
      <c r="BQ98" s="16" t="str">
        <f aca="false">IF(AK98=0,"",IF(AT98="FT",IF(BO98&lt;FT_First,0,IF(BO98&lt;FT_Y5,1+INT((BO98-FT_First)/FT_Int1),FT_PreY5+FT_PerYear*INT((BO98-FT_Y5)/12)+FT_AnnivDays+INT(MOD(BO98-FT_Y5,12)/FT_Int2)-IF(EDATE(AL98,FT_Y5)&lt;PolicyEff,FT_AnnivDays-1,0))),IF(AT98="PT",IF(BO98&lt;PT_First,0,1+INT((BO98-PT_First)/PT_Int)),0))+IF(AND(AM98&gt;=2,AO98&lt;=(SchemeStart-1)),IF(AU98="FT",IF(BP98&lt;FT_First,0,IF(BP98&lt;FT_Y5,1+INT((BP98-FT_First)/FT_Int1),FT_PreY5+FT_PerYear*INT((BP98-FT_Y5)/12)+FT_AnnivDays+INT(MOD(BP98-FT_Y5,12)/FT_Int2)-IF(EDATE(AL98,FT_Y5)&lt;PolicyEff,FT_AnnivDays-1,0))),IF(AU98="PT",IF(BP98&lt;PT_First,0,1+INT((BP98-PT_First)/PT_Int)),0))-IF(AU98="FT",IF(BO98&lt;FT_First,0,IF(BO98&lt;FT_Y5,1+INT((BO98-FT_First)/FT_Int1),FT_PreY5+FT_PerYear*INT((BO98-FT_Y5)/12)+FT_AnnivDays+INT(MOD(BO98-FT_Y5,12)/FT_Int2)-IF(EDATE(AL98,FT_Y5)&lt;PolicyEff,FT_AnnivDays-1,0))),IF(AU98="PT",IF(BO98&lt;PT_First,0,1+INT((BO98-PT_First)/PT_Int)),0)),0)+IF(AND(AM98&gt;=3,AP98&lt;=(SchemeStart-1)),IF(AV98="FT",IF(BN98&lt;FT_First,0,IF(BN98&lt;FT_Y5,1+INT((BN98-FT_First)/FT_Int1),FT_PreY5+FT_PerYear*INT((BN98-FT_Y5)/12)+FT_AnnivDays+INT(MOD(BN98-FT_Y5,12)/FT_Int2)-IF(EDATE(AL98,FT_Y5)&lt;PolicyEff,FT_AnnivDays-1,0))),IF(AV98="PT",IF(BN98&lt;PT_First,0,1+INT((BN98-PT_First)/PT_Int)),0))-IF(AV98="FT",IF(BP98&lt;FT_First,0,IF(BP98&lt;FT_Y5,1+INT((BP98-FT_First)/FT_Int1),FT_PreY5+FT_PerYear*INT((BP98-FT_Y5)/12)+FT_AnnivDays+INT(MOD(BP98-FT_Y5,12)/FT_Int2)-IF(EDATE(AL98,FT_Y5)&lt;PolicyEff,FT_AnnivDays-1,0))),IF(AV98="PT",IF(BP98&lt;PT_First,0,1+INT((BP98-PT_First)/PT_Int)),0)),0))</f>
        <v/>
      </c>
      <c r="BR98" s="0" t="str">
        <f aca="false">IF(LEN($A98&amp;$B98)=0,"",$A98&amp;" "&amp;$B98)</f>
        <v/>
      </c>
    </row>
    <row r="99" customFormat="false" ht="15" hidden="false" customHeight="false" outlineLevel="0" collapsed="false">
      <c r="A99" s="12"/>
      <c r="B99" s="12"/>
      <c r="C99" s="12"/>
      <c r="D99" s="13"/>
      <c r="E99" s="14" t="str">
        <f aca="false">IF(OR(AK99=0,$D99=""),"",DATE(YEAR(AsOfDate)+IF(DATE(YEAR(AsOfDate),MONTH($D99),DAY($D99))&lt;=AsOfDate,1,0),MONTH($D99),DAY($D99)))</f>
        <v/>
      </c>
      <c r="F99" s="13"/>
      <c r="G99" s="13"/>
      <c r="H99" s="13"/>
      <c r="I99" s="13"/>
      <c r="J99" s="13"/>
      <c r="K99" s="14" t="str">
        <f aca="false">IF(AK99=0,"",DATE(YEAR(AsOfDate)+IF(DATE(YEAR(AsOfDate),MONTH(AL99),DAY(AL99))&lt;=AsOfDate,1,0),MONTH(AL99),DAY(AL99)))</f>
        <v/>
      </c>
      <c r="L99" s="15" t="str">
        <f aca="false">IF(AK99=0,"",ROUND((AsOfDate-AL99)/365.25,1))</f>
        <v/>
      </c>
      <c r="M99" s="16" t="str">
        <f aca="false">IF(AK99=0,"",IF(AsOfDate&lt;AL99,"-",DATEDIF(AL99,AsOfDate,"y")&amp;"y "&amp;DATEDIF(AL99,AsOfDate,"ym")&amp;"m "&amp;DATEDIF(AL99,AsOfDate,"md")&amp;"d"))</f>
        <v/>
      </c>
      <c r="N99" s="17" t="str">
        <f aca="false">IF(AK99=0,"",O99*HoursPerDay)</f>
        <v/>
      </c>
      <c r="O99" s="17" t="str">
        <f aca="false">IF(AK99=0,"",MAX(0,BD99-BQ99))</f>
        <v/>
      </c>
      <c r="P99" s="18"/>
      <c r="Q99" s="16" t="str">
        <f aca="false">IF(AK99=0,"",IF(AM99&lt;2,"",AQ99&amp;" to "&amp;AR99&amp;" on "&amp;TEXT(AO99,"dd/mm/yyyy")&amp;IF(AO99&gt;AsOfDate," (future)",IF(AT99=AU99,"",IF(AU99="None"," - STOPPED accruing",IF(AT99="None"," - commencement for Bonus Leave"," - pathway changed"))))&amp;IF(AM99&lt;3,"","; "&amp;AR99&amp;" to "&amp;AS99&amp;" on "&amp;TEXT(AP99,"dd/mm/yyyy")&amp;IF(AP99&gt;AsOfDate," (future)",IF(AU99=AV99,"",IF(AV99="None"," - STOPPED accruing",IF(AU99="None"," - commencement for Bonus Leave"," - pathway changed")))))))</f>
        <v/>
      </c>
      <c r="R99" s="16" t="str">
        <f aca="false">IF(AK99=0,"",IF(AW99="None",IF(O99&gt;0,"No longer accruing","Not eligible - "&amp;IF(AND(OR(ISNUMBER(SEARCH("part",$C99)),UPPER(TRIM($C99))="PT",UPPER(TRIM($C99))="PTE"),Apply2026="No"),"part-time (scheme is full-time only)",IF(AND(OR(ISNUMBER(SEARCH("part",$C99)),UPPER(TRIM($C99))="PT",UPPER(TRIM($C99))="PTE"),$P99&lt;&gt;"",N($P99)&lt;PT_MinHours),"under "&amp;PT_MinHours&amp;" hrs",IF(IF($C99="","",IF(OR(ISNUMBER(SEARCH("full",$C99)),UPPER(TRIM($C99))="FT",UPPER(TRIM($C99))="FTE"),"Full-Time",IF(OR(ISNUMBER(SEARCH("part",$C99)),UPPER(TRIM($C99))="PT",UPPER(TRIM($C99))="PTE"),"Part-Time",IF(OR(ISNUMBER(SEARCH("cas",$C99)),UPPER(TRIM($C99))="CAS"),"Casual","Unknown"))))="Unknown","type not recognised",$C99)))),IF(O99&gt;0,"Yes - Accrual Required","Not yet - from "&amp;TEXT(S99,"dd/mm/yyyy"))))</f>
        <v/>
      </c>
      <c r="S99" s="14" t="str">
        <f aca="false">IF(AK99=0,"",IF(AW99="None","",EDATE(AL99,BF99)))</f>
        <v/>
      </c>
      <c r="T99" s="17" t="str">
        <f aca="false">IF(AK99=0,"",IF(NOT(LH_Ready),"",IF($F99&gt;PFYDate,0,IF(LH_ColPeriod=0,W99-U99+V99,SUMIFS(INDEX(LH_Data,0,LH_ColAcc),INDEX(LH_Data,0,LH_ColFirst),$A99,INDEX(LH_Data,0,LH_ColSur),$B99,INDEX(LH_Data,0,LH_ColCat),BonusCat,INDEX(LH_Data,0,LH_ColPeriod),LH_OpenLabel)*UnitFactor))))</f>
        <v/>
      </c>
      <c r="U99" s="17" t="str">
        <f aca="false">IF(AK99=0,"",IF(NOT(LH_Ready),"",SUMIFS(INDEX(LH_Data,0,LH_ColAcc),INDEX(LH_Data,0,LH_ColFirst),$A99,INDEX(LH_Data,0,LH_ColSur),$B99,INDEX(LH_Data,0,LH_ColCat),BonusCat,INDEX(LH_Data,0,LH_ColStart),"&gt;="&amp;AL99)*UnitFactor))</f>
        <v/>
      </c>
      <c r="V99" s="17" t="str">
        <f aca="false">IF(AK99=0,"",IF(NOT(LH_Ready),"",SUMIFS(INDEX(LH_Data,0,LH_ColTaken),INDEX(LH_Data,0,LH_ColFirst),$A99,INDEX(LH_Data,0,LH_ColSur),$B99,INDEX(LH_Data,0,LH_ColCat),BonusCat,INDEX(LH_Data,0,LH_ColStart),"&gt;="&amp;AL99)*UnitFactor))</f>
        <v/>
      </c>
      <c r="W99" s="17" t="str">
        <f aca="false">IF(AK99=0,"",IF(NOT(LH_Ready),"",IF(BH99=0,0,INDEX(INDEX(LH_Data,0,LH_ColClose),BH99-1)*UnitFactor)))</f>
        <v/>
      </c>
      <c r="X99" s="17" t="str">
        <f aca="false">IF(AK99=0,"",(MAX(0,BD99-BQ99)-MAX(0,BE99-BQ99))*HoursPerDay)</f>
        <v/>
      </c>
      <c r="Y99" s="17" t="str">
        <f aca="false">IF(AK99=0,"",IF(NOT(LH_Ready),"",IF($AI99="Yes",N(AE99)*HoursPerDay-SUMIFS(INDEX(LH_Data,0,LH_ColAcc),INDEX(LH_Data,0,LH_ColFirst),$A99,INDEX(LH_Data,0,LH_ColSur),$B99,INDEX(LH_Data,0,LH_ColCat),BonusCat,INDEX(LH_Data,0,LH_ColStart),"&gt;="&amp;(EOMONTH(AsOfDate,-1)+1),INDEX(LH_Data,0,LH_ColStart),"&lt;="&amp;AsOfDate)*UnitFactor,IF(BG99=0,N99,N99-N(T99)-N(U99)))))</f>
        <v/>
      </c>
      <c r="Z99" s="16" t="str">
        <f aca="false">IF(OR(AK99=0,Y99=""),"",IF(Y99&gt;0,"Yes","No"))</f>
        <v/>
      </c>
      <c r="AA99" s="16" t="str">
        <f aca="false">IF(AK99=0,IF(LEN($A99&amp;$B99)=0,"","FIX INPUT - StartDate missing"),IF(AD99&lt;&gt;"","FIX INPUT - "&amp;AD99,IF(NOT(LH_Ready),"Paste Leave History export (Settings must show YES)",IF(AND($AI99="Yes",Y99&lt;=0),"OK - EH balance accepted to date"&amp;IF(N(AH99)&gt;0," (EH holds "&amp;AH99&amp;" hrs over the scheme)","")&amp;"; next day "&amp;TEXT(S99,"dd mmm yy")&amp;IF(N(AE99)&gt;0," ("&amp;AE99&amp;" day(s) for "&amp;UPPER(TEXT(AsOfDate,"mmm yyyy"))&amp;" already in EH)",""),IF(Y99&gt;0,"ACCRUE "&amp;ROUND(Y99,2)&amp;" hrs ("&amp;ROUND(Y99/HoursPerDay,2)&amp;" days): "&amp;IF(N(AE99)&gt;0,AE99&amp;" day(s) for "&amp;UPPER(TEXT(AsOfDate,"mmm yyyy"))&amp;" (milestone "&amp;UPPER(TEXT(AF99,"dd mmm yy"))&amp;")"&amp;IF(Y99/HoursPerDay&gt;AE99+0.001," + "&amp;ROUND(Y99/HoursPerDay-AE99,2)&amp;" day(s) catch-up from earlier months",""),"all catch-up from earlier months, nothing new this month")&amp;IF(BG99=0,"; no Bonus Leave in EH yet",""),IF(Y99&lt;0,"CHECK - EH accrued "&amp;ROUND(-Y99,2)&amp;" hrs more than policy since commencement",IF(N(W99)&gt;O99*HoursPerDay+0.01,"CHECK - EH balance "&amp;ROUND(W99-O99*HoursPerDay,2)&amp;" hrs more than policy entitlement",IF(O99&gt;0,"OK - nothing to add"&amp;IF(N(AE99)&gt;0," ("&amp;AE99&amp;" day(s) for "&amp;UPPER(TEXT(AsOfDate,"mmm yyyy"))&amp;" already in EH)",""),IF(AW99="None",R99,"Not yet - first day on "&amp;TEXT(S99,"dd/mm/yyyy"))))))))))</f>
        <v/>
      </c>
      <c r="AB99" s="17" t="str">
        <f aca="false">IF(OR(AK99=0,T99=""),"",MAX(0,BE99-BQ99)*HoursPerDay-T99)</f>
        <v/>
      </c>
      <c r="AC99" s="16" t="str">
        <f aca="false">IF(AK99=0,"",BG99)</f>
        <v/>
      </c>
      <c r="AD99" s="16" t="str">
        <f aca="false">IF(AK99=0,"",TRIM(IF(OR(ISTEXT($F99),ISTEXT($H99),ISTEXT($I99),ISTEXT($G99),ISTEXT($J99),ISTEXT($D99)),"A date is typed as text - retype it as dd/mm/yyyy. ","")&amp;IF(IF($C99="","",IF(OR(ISNUMBER(SEARCH("full",$C99)),UPPER(TRIM($C99))="FT",UPPER(TRIM($C99))="FTE"),"Full-Time",IF(OR(ISNUMBER(SEARCH("part",$C99)),UPPER(TRIM($C99))="PT",UPPER(TRIM($C99))="PTE"),"Part-Time",IF(OR(ISNUMBER(SEARCH("cas",$C99)),UPPER(TRIM($C99))="CAS"),"Casual","Unknown"))))="Unknown","EmploymentType not recognised - use Full-Time, Part-Time or Casual. ","")&amp;IF(AND(AM99&gt;=1,IF(AM99&gt;=3,AS99,IF(AM99=2,AR99,AQ99))&lt;&gt;IF($C99="","",IF(OR(ISNUMBER(SEARCH("full",$C99)),UPPER(TRIM($C99))="FT",UPPER(TRIM($C99))="FTE"),"Full-Time",IF(OR(ISNUMBER(SEARCH("part",$C99)),UPPER(TRIM($C99))="PT",UPPER(TRIM($C99))="PTE"),"Part-Time",IF(OR(ISNUMBER(SEARCH("cas",$C99)),UPPER(TRIM($C99))="CAS"),"Casual","Unknown"))))),"EmploymentType does not match latest start date ("&amp;IF(AM99&gt;=3,AS99,IF(AM99=2,AR99,AQ99))&amp;"). ","")&amp;IF(AND(AM99&gt;=1,AN99&lt;&gt;$F99),"Earliest type date should equal StartDate. ","")&amp;IF(AND(AM99&gt;=2,AN99=AO99),"Two types start on the same date. ","")&amp;IF(AND(OR(ISNUMBER(SEARCH("part",$C99)),UPPER(TRIM($C99))="PT",UPPER(TRIM($C99))="PTE"),$P99=""),"Part-time: enter PT Hrs/Week (blank = 24+). ","")))</f>
        <v/>
      </c>
      <c r="AE99" s="17" t="str">
        <f aca="false">IF(AK99=0,"",O99-MAX(0,BL99-BQ99))</f>
        <v/>
      </c>
      <c r="AF99" s="14" t="str">
        <f aca="false">IF(OR(AK99=0,AE99="",N(AE99)=0,BM99=""),"",EDATE(AL99,BM99))</f>
        <v/>
      </c>
      <c r="AG99" s="17" t="str">
        <f aca="false">IF(AK99=0,"",MIN(BD99,BQ99))</f>
        <v/>
      </c>
      <c r="AH99" s="17" t="str">
        <f aca="false">IF(AK99=0,"",IF(NOT(LH_Ready),"",IF(BG99=0,0,MAX(0,ROUND(N(T99)+N(U99)-N99,2)))))</f>
        <v/>
      </c>
      <c r="AI99" s="12"/>
      <c r="AJ99" s="12"/>
      <c r="AK99" s="16" t="n">
        <f aca="false">IF(OR(LEN($A99&amp;$B99)=0,$F99=""),0,1)</f>
        <v>0</v>
      </c>
      <c r="AL99" s="14" t="str">
        <f aca="false">IF(AK99=0,"",IF(PreSchemeCounts="No",MAX(SchemeStart,IF($J99&lt;&gt;"",$J99,IF(OR(CasualCounts="Yes",COUNT($G99:$I99)=0),$F99,IF(Apply2026="No",IF($I99="",$F99,$I99),IF(COUNT($H99:$I99)=0,$F99,MIN($H99:$I99)))))),IF($J99&lt;&gt;"",$J99,IF(OR(CasualCounts="Yes",COUNT($G99:$I99)=0),$F99,IF(Apply2026="No",IF($I99="",$F99,$I99),IF(COUNT($H99:$I99)=0,$F99,MIN($H99:$I99)))))))</f>
        <v/>
      </c>
      <c r="AM99" s="16" t="str">
        <f aca="false">IF(AK99=0,"",COUNT($G99:$I99))</f>
        <v/>
      </c>
      <c r="AN99" s="14" t="str">
        <f aca="false">IF(AK99=0,"",IFERROR(SMALL($G99:$I99,1),""))</f>
        <v/>
      </c>
      <c r="AO99" s="14" t="str">
        <f aca="false">IF(AK99=0,"",IFERROR(SMALL($G99:$I99,2),""))</f>
        <v/>
      </c>
      <c r="AP99" s="14" t="str">
        <f aca="false">IF(AK99=0,"",IFERROR(SMALL($G99:$I99,3),""))</f>
        <v/>
      </c>
      <c r="AQ99" s="16" t="str">
        <f aca="false">IF(AK99=0,"",IF(AN99="","",IF(AN99=$H99,"Part-Time",IF(AN99=$I99,"Full-Time","Casual"))))</f>
        <v/>
      </c>
      <c r="AR99" s="16" t="str">
        <f aca="false">IF(AK99=0,"",IF(AO99="","",IF(AO99=$H99,"Part-Time",IF(AO99=$I99,"Full-Time","Casual"))))</f>
        <v/>
      </c>
      <c r="AS99" s="16" t="str">
        <f aca="false">IF(AK99=0,"",IF(AP99="","",IF(AP99=$H99,"Part-Time",IF(AP99=$I99,"Full-Time","Casual"))))</f>
        <v/>
      </c>
      <c r="AT99" s="16" t="str">
        <f aca="false">IF(AK99=0,"",IF(AM99=0,IF(OR(ISNUMBER(SEARCH("full",$C99)),UPPER(TRIM($C99))="FT",UPPER(TRIM($C99))="FTE"),"FT",IF(AND(OR(ISNUMBER(SEARCH("part",$C99)),UPPER(TRIM($C99))="PT",UPPER(TRIM($C99))="PTE"),Apply2026="Yes",OR($P99="",N($P99)&gt;=PT_MinHours)),"PT","None")),IF(OR(ISNUMBER(SEARCH("full",AQ99)),UPPER(TRIM(AQ99))="FT",UPPER(TRIM(AQ99))="FTE"),"FT",IF(AND(OR(ISNUMBER(SEARCH("part",AQ99)),UPPER(TRIM(AQ99))="PT",UPPER(TRIM(AQ99))="PTE"),Apply2026="Yes",OR($P99="",N($P99)&gt;=PT_MinHours)),"PT","None"))))</f>
        <v/>
      </c>
      <c r="AU99" s="16" t="str">
        <f aca="false">IF(AK99=0,"",IF(AM99&lt;2,"",IF(OR(ISNUMBER(SEARCH("full",AR99)),UPPER(TRIM(AR99))="FT",UPPER(TRIM(AR99))="FTE"),"FT",IF(AND(OR(ISNUMBER(SEARCH("part",AR99)),UPPER(TRIM(AR99))="PT",UPPER(TRIM(AR99))="PTE"),Apply2026="Yes",OR($P99="",N($P99)&gt;=PT_MinHours)),"PT","None"))))</f>
        <v/>
      </c>
      <c r="AV99" s="16" t="str">
        <f aca="false">IF(AK99=0,"",IF(AM99&lt;3,"",IF(OR(ISNUMBER(SEARCH("full",AS99)),UPPER(TRIM(AS99))="FT",UPPER(TRIM(AS99))="FTE"),"FT",IF(AND(OR(ISNUMBER(SEARCH("part",AS99)),UPPER(TRIM(AS99))="PT",UPPER(TRIM(AS99))="PTE"),Apply2026="Yes",OR($P99="",N($P99)&gt;=PT_MinHours)),"PT","None"))))</f>
        <v/>
      </c>
      <c r="AW99" s="16" t="str">
        <f aca="false">IF(AK99=0,"",IF(AND(AM99&gt;=3,AP99&lt;=AsOfDate),AV99,IF(AND(AM99&gt;=2,AO99&lt;=AsOfDate),AU99,AT99)))</f>
        <v/>
      </c>
      <c r="AX99" s="16" t="str">
        <f aca="false">IF(AK99=0,"",IF(AsOfDate&lt;AL99,-1,12*(YEAR(AsOfDate)-YEAR(AL99))+MONTH(AsOfDate)-MONTH(AL99)-IF(DAY(AsOfDate)&lt;MIN(DAY(AL99),DAY(EOMONTH(AsOfDate,0))),1,0)))</f>
        <v/>
      </c>
      <c r="AY99" s="16" t="str">
        <f aca="false">IF(AK99=0,"",IF(OR(AM99&lt;2,AO99&gt;AsOfDate),AX99,IF((AO99-1)&lt;AL99,-1,12*(YEAR((AO99-1))-YEAR(AL99))+MONTH((AO99-1))-MONTH(AL99)-IF(DAY((AO99-1))&lt;MIN(DAY(AL99),DAY(EOMONTH((AO99-1),0))),1,0))))</f>
        <v/>
      </c>
      <c r="AZ99" s="16" t="str">
        <f aca="false">IF(AK99=0,"",IF(OR(AM99&lt;3,AP99&gt;AsOfDate),AX99,IF((AP99-1)&lt;AL99,-1,12*(YEAR((AP99-1))-YEAR(AL99))+MONTH((AP99-1))-MONTH(AL99)-IF(DAY((AP99-1))&lt;MIN(DAY(AL99),DAY(EOMONTH((AP99-1),0))),1,0))))</f>
        <v/>
      </c>
      <c r="BA99" s="16" t="str">
        <f aca="false">IF(AK99=0,"",IF(PFYDate&lt;AL99,-1,12*(YEAR(PFYDate)-YEAR(AL99))+MONTH(PFYDate)-MONTH(AL99)-IF(DAY(PFYDate)&lt;MIN(DAY(AL99),DAY(EOMONTH(PFYDate,0))),1,0)))</f>
        <v/>
      </c>
      <c r="BB99" s="16" t="str">
        <f aca="false">IF(AK99=0,"",IF(OR(AM99&lt;2,AO99&gt;PFYDate),BA99,IF((AO99-1)&lt;AL99,-1,12*(YEAR((AO99-1))-YEAR(AL99))+MONTH((AO99-1))-MONTH(AL99)-IF(DAY((AO99-1))&lt;MIN(DAY(AL99),DAY(EOMONTH((AO99-1),0))),1,0))))</f>
        <v/>
      </c>
      <c r="BC99" s="16" t="str">
        <f aca="false">IF(AK99=0,"",IF(OR(AM99&lt;3,AP99&gt;PFYDate),BA99,IF((AP99-1)&lt;AL99,-1,12*(YEAR((AP99-1))-YEAR(AL99))+MONTH((AP99-1))-MONTH(AL99)-IF(DAY((AP99-1))&lt;MIN(DAY(AL99),DAY(EOMONTH((AP99-1),0))),1,0))))</f>
        <v/>
      </c>
      <c r="BD99" s="16" t="str">
        <f aca="false">IF(AK99=0,"",IF(AT99="FT",IF(AY99&lt;FT_First,0,IF(AY99&lt;FT_Y5,1+INT((AY99-FT_First)/FT_Int1),FT_PreY5+FT_PerYear*INT((AY99-FT_Y5)/12)+FT_AnnivDays+INT(MOD(AY99-FT_Y5,12)/FT_Int2)-IF(EDATE(AL99,FT_Y5)&lt;PolicyEff,FT_AnnivDays-1,0))),IF(AT99="PT",IF(AY99&lt;PT_First,0,1+INT((AY99-PT_First)/PT_Int)),0))+IF(AND(AM99&gt;=2,AO99&lt;=AsOfDate),IF(AU99="FT",IF(AZ99&lt;FT_First,0,IF(AZ99&lt;FT_Y5,1+INT((AZ99-FT_First)/FT_Int1),FT_PreY5+FT_PerYear*INT((AZ99-FT_Y5)/12)+FT_AnnivDays+INT(MOD(AZ99-FT_Y5,12)/FT_Int2)-IF(EDATE(AL99,FT_Y5)&lt;PolicyEff,FT_AnnivDays-1,0))),IF(AU99="PT",IF(AZ99&lt;PT_First,0,1+INT((AZ99-PT_First)/PT_Int)),0))-IF(AU99="FT",IF(AY99&lt;FT_First,0,IF(AY99&lt;FT_Y5,1+INT((AY99-FT_First)/FT_Int1),FT_PreY5+FT_PerYear*INT((AY99-FT_Y5)/12)+FT_AnnivDays+INT(MOD(AY99-FT_Y5,12)/FT_Int2)-IF(EDATE(AL99,FT_Y5)&lt;PolicyEff,FT_AnnivDays-1,0))),IF(AU99="PT",IF(AY99&lt;PT_First,0,1+INT((AY99-PT_First)/PT_Int)),0)),0)+IF(AND(AM99&gt;=3,AP99&lt;=AsOfDate),IF(AV99="FT",IF(AX99&lt;FT_First,0,IF(AX99&lt;FT_Y5,1+INT((AX99-FT_First)/FT_Int1),FT_PreY5+FT_PerYear*INT((AX99-FT_Y5)/12)+FT_AnnivDays+INT(MOD(AX99-FT_Y5,12)/FT_Int2)-IF(EDATE(AL99,FT_Y5)&lt;PolicyEff,FT_AnnivDays-1,0))),IF(AV99="PT",IF(AX99&lt;PT_First,0,1+INT((AX99-PT_First)/PT_Int)),0))-IF(AV99="FT",IF(AZ99&lt;FT_First,0,IF(AZ99&lt;FT_Y5,1+INT((AZ99-FT_First)/FT_Int1),FT_PreY5+FT_PerYear*INT((AZ99-FT_Y5)/12)+FT_AnnivDays+INT(MOD(AZ99-FT_Y5,12)/FT_Int2)-IF(EDATE(AL99,FT_Y5)&lt;PolicyEff,FT_AnnivDays-1,0))),IF(AV99="PT",IF(AZ99&lt;PT_First,0,1+INT((AZ99-PT_First)/PT_Int)),0)),0))</f>
        <v/>
      </c>
      <c r="BE99" s="16" t="str">
        <f aca="false">IF(AK99=0,"",IF(AT99="FT",IF(BB99&lt;FT_First,0,IF(BB99&lt;FT_Y5,1+INT((BB99-FT_First)/FT_Int1),FT_PreY5+FT_PerYear*INT((BB99-FT_Y5)/12)+FT_AnnivDays+INT(MOD(BB99-FT_Y5,12)/FT_Int2)-IF(EDATE(AL99,FT_Y5)&lt;PolicyEff,FT_AnnivDays-1,0))),IF(AT99="PT",IF(BB99&lt;PT_First,0,1+INT((BB99-PT_First)/PT_Int)),0))+IF(AND(AM99&gt;=2,AO99&lt;=PFYDate),IF(AU99="FT",IF(BC99&lt;FT_First,0,IF(BC99&lt;FT_Y5,1+INT((BC99-FT_First)/FT_Int1),FT_PreY5+FT_PerYear*INT((BC99-FT_Y5)/12)+FT_AnnivDays+INT(MOD(BC99-FT_Y5,12)/FT_Int2)-IF(EDATE(AL99,FT_Y5)&lt;PolicyEff,FT_AnnivDays-1,0))),IF(AU99="PT",IF(BC99&lt;PT_First,0,1+INT((BC99-PT_First)/PT_Int)),0))-IF(AU99="FT",IF(BB99&lt;FT_First,0,IF(BB99&lt;FT_Y5,1+INT((BB99-FT_First)/FT_Int1),FT_PreY5+FT_PerYear*INT((BB99-FT_Y5)/12)+FT_AnnivDays+INT(MOD(BB99-FT_Y5,12)/FT_Int2)-IF(EDATE(AL99,FT_Y5)&lt;PolicyEff,FT_AnnivDays-1,0))),IF(AU99="PT",IF(BB99&lt;PT_First,0,1+INT((BB99-PT_First)/PT_Int)),0)),0)+IF(AND(AM99&gt;=3,AP99&lt;=PFYDate),IF(AV99="FT",IF(BA99&lt;FT_First,0,IF(BA99&lt;FT_Y5,1+INT((BA99-FT_First)/FT_Int1),FT_PreY5+FT_PerYear*INT((BA99-FT_Y5)/12)+FT_AnnivDays+INT(MOD(BA99-FT_Y5,12)/FT_Int2)-IF(EDATE(AL99,FT_Y5)&lt;PolicyEff,FT_AnnivDays-1,0))),IF(AV99="PT",IF(BA99&lt;PT_First,0,1+INT((BA99-PT_First)/PT_Int)),0))-IF(AV99="FT",IF(BC99&lt;FT_First,0,IF(BC99&lt;FT_Y5,1+INT((BC99-FT_First)/FT_Int1),FT_PreY5+FT_PerYear*INT((BC99-FT_Y5)/12)+FT_AnnivDays+INT(MOD(BC99-FT_Y5,12)/FT_Int2)-IF(EDATE(AL99,FT_Y5)&lt;PolicyEff,FT_AnnivDays-1,0))),IF(AV99="PT",IF(BC99&lt;PT_First,0,1+INT((BC99-PT_First)/PT_Int)),0)),0))</f>
        <v/>
      </c>
      <c r="BF99" s="16" t="str">
        <f aca="false">IF(AK99=0,"",IF(AW99="FT",IF(AX99&lt;FT_First,FT_First,IF(AX99&lt;FT_Y5,MIN(FT_Y5,FT_First+FT_Int1*(INT((AX99-FT_First)/FT_Int1)+1)),FT_Y5+12*INT((AX99-FT_Y5)/12)+FT_Int2*(INT(MOD(AX99-FT_Y5,12)/FT_Int2)+1))),IF(AW99="PT",IF(AX99&lt;PT_First,PT_First,PT_First+PT_Int*(INT((AX99-PT_First)/PT_Int)+1)),"")))</f>
        <v/>
      </c>
      <c r="BG99" s="16" t="str">
        <f aca="false">IF(AK99=0,"",IF(NOT(LH_Ready),0,COUNTIFS(INDEX(LH_Data,0,LH_ColFirst),$A99,INDEX(LH_Data,0,LH_ColSur),$B99,INDEX(LH_Data,0,LH_ColCat),BonusCat)))</f>
        <v/>
      </c>
      <c r="BH99" s="16" t="str">
        <f aca="false">IF(AK99=0,"",IF(OR(NOT(LH_Ready),BG99=0),0,SUMPRODUCT(MAX((INDEX(LH_Data,0,LH_ColFirst)=$A99)*(INDEX(LH_Data,0,LH_ColSur)=$B99)*(INDEX(LH_Data,0,LH_ColCat)=BonusCat)*ROW(LH_Data)))))</f>
        <v/>
      </c>
      <c r="BI99" s="16" t="str">
        <f aca="false">IF(AK99=0,"",IF(EOMONTH(AsOfDate,-1)&lt;AL99,-1,12*(YEAR(EOMONTH(AsOfDate,-1))-YEAR(AL99))+MONTH(EOMONTH(AsOfDate,-1))-MONTH(AL99)-IF(DAY(EOMONTH(AsOfDate,-1))&lt;MIN(DAY(AL99),DAY(EOMONTH(EOMONTH(AsOfDate,-1),0))),1,0)))</f>
        <v/>
      </c>
      <c r="BJ99" s="16" t="str">
        <f aca="false">IF(AK99=0,"",IF(OR(AM99&lt;2,AO99&gt;EOMONTH(AsOfDate,-1)),BI99,IF((AO99-1)&lt;AL99,-1,12*(YEAR((AO99-1))-YEAR(AL99))+MONTH((AO99-1))-MONTH(AL99)-IF(DAY((AO99-1))&lt;MIN(DAY(AL99),DAY(EOMONTH((AO99-1),0))),1,0))))</f>
        <v/>
      </c>
      <c r="BK99" s="16" t="str">
        <f aca="false">IF(AK99=0,"",IF(OR(AM99&lt;3,AP99&gt;EOMONTH(AsOfDate,-1)),BI99,IF((AP99-1)&lt;AL99,-1,12*(YEAR((AP99-1))-YEAR(AL99))+MONTH((AP99-1))-MONTH(AL99)-IF(DAY((AP99-1))&lt;MIN(DAY(AL99),DAY(EOMONTH((AP99-1),0))),1,0))))</f>
        <v/>
      </c>
      <c r="BL99" s="16" t="str">
        <f aca="false">IF(AK99=0,"",IF(AT99="FT",IF(BJ99&lt;FT_First,0,IF(BJ99&lt;FT_Y5,1+INT((BJ99-FT_First)/FT_Int1),FT_PreY5+FT_PerYear*INT((BJ99-FT_Y5)/12)+FT_AnnivDays+INT(MOD(BJ99-FT_Y5,12)/FT_Int2)-IF(EDATE(AL99,FT_Y5)&lt;PolicyEff,FT_AnnivDays-1,0))),IF(AT99="PT",IF(BJ99&lt;PT_First,0,1+INT((BJ99-PT_First)/PT_Int)),0))+IF(AND(AM99&gt;=2,AO99&lt;=EOMONTH(AsOfDate,-1)),IF(AU99="FT",IF(BK99&lt;FT_First,0,IF(BK99&lt;FT_Y5,1+INT((BK99-FT_First)/FT_Int1),FT_PreY5+FT_PerYear*INT((BK99-FT_Y5)/12)+FT_AnnivDays+INT(MOD(BK99-FT_Y5,12)/FT_Int2)-IF(EDATE(AL99,FT_Y5)&lt;PolicyEff,FT_AnnivDays-1,0))),IF(AU99="PT",IF(BK99&lt;PT_First,0,1+INT((BK99-PT_First)/PT_Int)),0))-IF(AU99="FT",IF(BJ99&lt;FT_First,0,IF(BJ99&lt;FT_Y5,1+INT((BJ99-FT_First)/FT_Int1),FT_PreY5+FT_PerYear*INT((BJ99-FT_Y5)/12)+FT_AnnivDays+INT(MOD(BJ99-FT_Y5,12)/FT_Int2)-IF(EDATE(AL99,FT_Y5)&lt;PolicyEff,FT_AnnivDays-1,0))),IF(AU99="PT",IF(BJ99&lt;PT_First,0,1+INT((BJ99-PT_First)/PT_Int)),0)),0)+IF(AND(AM99&gt;=3,AP99&lt;=EOMONTH(AsOfDate,-1)),IF(AV99="FT",IF(BI99&lt;FT_First,0,IF(BI99&lt;FT_Y5,1+INT((BI99-FT_First)/FT_Int1),FT_PreY5+FT_PerYear*INT((BI99-FT_Y5)/12)+FT_AnnivDays+INT(MOD(BI99-FT_Y5,12)/FT_Int2)-IF(EDATE(AL99,FT_Y5)&lt;PolicyEff,FT_AnnivDays-1,0))),IF(AV99="PT",IF(BI99&lt;PT_First,0,1+INT((BI99-PT_First)/PT_Int)),0))-IF(AV99="FT",IF(BK99&lt;FT_First,0,IF(BK99&lt;FT_Y5,1+INT((BK99-FT_First)/FT_Int1),FT_PreY5+FT_PerYear*INT((BK99-FT_Y5)/12)+FT_AnnivDays+INT(MOD(BK99-FT_Y5,12)/FT_Int2)-IF(EDATE(AL99,FT_Y5)&lt;PolicyEff,FT_AnnivDays-1,0))),IF(AV99="PT",IF(BK99&lt;PT_First,0,1+INT((BK99-PT_First)/PT_Int)),0)),0))</f>
        <v/>
      </c>
      <c r="BM99" s="16" t="str">
        <f aca="false">IF(AK99=0,"",IF(AW99="FT",IF(AX99&lt;FT_First,"",IF(AX99&lt;FT_Y5,FT_First+FT_Int1*INT((AX99-FT_First)/FT_Int1),FT_Y5+FT_Int2*INT((AX99-FT_Y5)/FT_Int2))),IF(AW99="PT",IF(AX99&lt;PT_First,"",PT_First+PT_Int*INT((AX99-PT_First)/PT_Int)),"")))</f>
        <v/>
      </c>
      <c r="BN99" s="16" t="str">
        <f aca="false">IF(AK99=0,"",IF((SchemeStart-1)&lt;AL99,-1,12*(YEAR((SchemeStart-1))-YEAR(AL99))+MONTH((SchemeStart-1))-MONTH(AL99)-IF(DAY((SchemeStart-1))&lt;MIN(DAY(AL99),DAY(EOMONTH((SchemeStart-1),0))),1,0)))</f>
        <v/>
      </c>
      <c r="BO99" s="16" t="str">
        <f aca="false">IF(AK99=0,"",IF(OR(AM99&lt;2,AO99&gt;(SchemeStart-1)),BN99,IF((AO99-1)&lt;AL99,-1,12*(YEAR((AO99-1))-YEAR(AL99))+MONTH((AO99-1))-MONTH(AL99)-IF(DAY((AO99-1))&lt;MIN(DAY(AL99),DAY(EOMONTH((AO99-1),0))),1,0))))</f>
        <v/>
      </c>
      <c r="BP99" s="16" t="str">
        <f aca="false">IF(AK99=0,"",IF(OR(AM99&lt;3,AP99&gt;(SchemeStart-1)),BN99,IF((AP99-1)&lt;AL99,-1,12*(YEAR((AP99-1))-YEAR(AL99))+MONTH((AP99-1))-MONTH(AL99)-IF(DAY((AP99-1))&lt;MIN(DAY(AL99),DAY(EOMONTH((AP99-1),0))),1,0))))</f>
        <v/>
      </c>
      <c r="BQ99" s="16" t="str">
        <f aca="false">IF(AK99=0,"",IF(AT99="FT",IF(BO99&lt;FT_First,0,IF(BO99&lt;FT_Y5,1+INT((BO99-FT_First)/FT_Int1),FT_PreY5+FT_PerYear*INT((BO99-FT_Y5)/12)+FT_AnnivDays+INT(MOD(BO99-FT_Y5,12)/FT_Int2)-IF(EDATE(AL99,FT_Y5)&lt;PolicyEff,FT_AnnivDays-1,0))),IF(AT99="PT",IF(BO99&lt;PT_First,0,1+INT((BO99-PT_First)/PT_Int)),0))+IF(AND(AM99&gt;=2,AO99&lt;=(SchemeStart-1)),IF(AU99="FT",IF(BP99&lt;FT_First,0,IF(BP99&lt;FT_Y5,1+INT((BP99-FT_First)/FT_Int1),FT_PreY5+FT_PerYear*INT((BP99-FT_Y5)/12)+FT_AnnivDays+INT(MOD(BP99-FT_Y5,12)/FT_Int2)-IF(EDATE(AL99,FT_Y5)&lt;PolicyEff,FT_AnnivDays-1,0))),IF(AU99="PT",IF(BP99&lt;PT_First,0,1+INT((BP99-PT_First)/PT_Int)),0))-IF(AU99="FT",IF(BO99&lt;FT_First,0,IF(BO99&lt;FT_Y5,1+INT((BO99-FT_First)/FT_Int1),FT_PreY5+FT_PerYear*INT((BO99-FT_Y5)/12)+FT_AnnivDays+INT(MOD(BO99-FT_Y5,12)/FT_Int2)-IF(EDATE(AL99,FT_Y5)&lt;PolicyEff,FT_AnnivDays-1,0))),IF(AU99="PT",IF(BO99&lt;PT_First,0,1+INT((BO99-PT_First)/PT_Int)),0)),0)+IF(AND(AM99&gt;=3,AP99&lt;=(SchemeStart-1)),IF(AV99="FT",IF(BN99&lt;FT_First,0,IF(BN99&lt;FT_Y5,1+INT((BN99-FT_First)/FT_Int1),FT_PreY5+FT_PerYear*INT((BN99-FT_Y5)/12)+FT_AnnivDays+INT(MOD(BN99-FT_Y5,12)/FT_Int2)-IF(EDATE(AL99,FT_Y5)&lt;PolicyEff,FT_AnnivDays-1,0))),IF(AV99="PT",IF(BN99&lt;PT_First,0,1+INT((BN99-PT_First)/PT_Int)),0))-IF(AV99="FT",IF(BP99&lt;FT_First,0,IF(BP99&lt;FT_Y5,1+INT((BP99-FT_First)/FT_Int1),FT_PreY5+FT_PerYear*INT((BP99-FT_Y5)/12)+FT_AnnivDays+INT(MOD(BP99-FT_Y5,12)/FT_Int2)-IF(EDATE(AL99,FT_Y5)&lt;PolicyEff,FT_AnnivDays-1,0))),IF(AV99="PT",IF(BP99&lt;PT_First,0,1+INT((BP99-PT_First)/PT_Int)),0)),0))</f>
        <v/>
      </c>
      <c r="BR99" s="0" t="str">
        <f aca="false">IF(LEN($A99&amp;$B99)=0,"",$A99&amp;" "&amp;$B99)</f>
        <v/>
      </c>
    </row>
    <row r="100" customFormat="false" ht="15" hidden="false" customHeight="false" outlineLevel="0" collapsed="false">
      <c r="A100" s="12"/>
      <c r="B100" s="12"/>
      <c r="C100" s="12"/>
      <c r="D100" s="13"/>
      <c r="E100" s="14" t="str">
        <f aca="false">IF(OR(AK100=0,$D100=""),"",DATE(YEAR(AsOfDate)+IF(DATE(YEAR(AsOfDate),MONTH($D100),DAY($D100))&lt;=AsOfDate,1,0),MONTH($D100),DAY($D100)))</f>
        <v/>
      </c>
      <c r="F100" s="13"/>
      <c r="G100" s="13"/>
      <c r="H100" s="13"/>
      <c r="I100" s="13"/>
      <c r="J100" s="13"/>
      <c r="K100" s="14" t="str">
        <f aca="false">IF(AK100=0,"",DATE(YEAR(AsOfDate)+IF(DATE(YEAR(AsOfDate),MONTH(AL100),DAY(AL100))&lt;=AsOfDate,1,0),MONTH(AL100),DAY(AL100)))</f>
        <v/>
      </c>
      <c r="L100" s="15" t="str">
        <f aca="false">IF(AK100=0,"",ROUND((AsOfDate-AL100)/365.25,1))</f>
        <v/>
      </c>
      <c r="M100" s="16" t="str">
        <f aca="false">IF(AK100=0,"",IF(AsOfDate&lt;AL100,"-",DATEDIF(AL100,AsOfDate,"y")&amp;"y "&amp;DATEDIF(AL100,AsOfDate,"ym")&amp;"m "&amp;DATEDIF(AL100,AsOfDate,"md")&amp;"d"))</f>
        <v/>
      </c>
      <c r="N100" s="17" t="str">
        <f aca="false">IF(AK100=0,"",O100*HoursPerDay)</f>
        <v/>
      </c>
      <c r="O100" s="17" t="str">
        <f aca="false">IF(AK100=0,"",MAX(0,BD100-BQ100))</f>
        <v/>
      </c>
      <c r="P100" s="18"/>
      <c r="Q100" s="16" t="str">
        <f aca="false">IF(AK100=0,"",IF(AM100&lt;2,"",AQ100&amp;" to "&amp;AR100&amp;" on "&amp;TEXT(AO100,"dd/mm/yyyy")&amp;IF(AO100&gt;AsOfDate," (future)",IF(AT100=AU100,"",IF(AU100="None"," - STOPPED accruing",IF(AT100="None"," - commencement for Bonus Leave"," - pathway changed"))))&amp;IF(AM100&lt;3,"","; "&amp;AR100&amp;" to "&amp;AS100&amp;" on "&amp;TEXT(AP100,"dd/mm/yyyy")&amp;IF(AP100&gt;AsOfDate," (future)",IF(AU100=AV100,"",IF(AV100="None"," - STOPPED accruing",IF(AU100="None"," - commencement for Bonus Leave"," - pathway changed")))))))</f>
        <v/>
      </c>
      <c r="R100" s="16" t="str">
        <f aca="false">IF(AK100=0,"",IF(AW100="None",IF(O100&gt;0,"No longer accruing","Not eligible - "&amp;IF(AND(OR(ISNUMBER(SEARCH("part",$C100)),UPPER(TRIM($C100))="PT",UPPER(TRIM($C100))="PTE"),Apply2026="No"),"part-time (scheme is full-time only)",IF(AND(OR(ISNUMBER(SEARCH("part",$C100)),UPPER(TRIM($C100))="PT",UPPER(TRIM($C100))="PTE"),$P100&lt;&gt;"",N($P100)&lt;PT_MinHours),"under "&amp;PT_MinHours&amp;" hrs",IF(IF($C100="","",IF(OR(ISNUMBER(SEARCH("full",$C100)),UPPER(TRIM($C100))="FT",UPPER(TRIM($C100))="FTE"),"Full-Time",IF(OR(ISNUMBER(SEARCH("part",$C100)),UPPER(TRIM($C100))="PT",UPPER(TRIM($C100))="PTE"),"Part-Time",IF(OR(ISNUMBER(SEARCH("cas",$C100)),UPPER(TRIM($C100))="CAS"),"Casual","Unknown"))))="Unknown","type not recognised",$C100)))),IF(O100&gt;0,"Yes - Accrual Required","Not yet - from "&amp;TEXT(S100,"dd/mm/yyyy"))))</f>
        <v/>
      </c>
      <c r="S100" s="14" t="str">
        <f aca="false">IF(AK100=0,"",IF(AW100="None","",EDATE(AL100,BF100)))</f>
        <v/>
      </c>
      <c r="T100" s="17" t="str">
        <f aca="false">IF(AK100=0,"",IF(NOT(LH_Ready),"",IF($F100&gt;PFYDate,0,IF(LH_ColPeriod=0,W100-U100+V100,SUMIFS(INDEX(LH_Data,0,LH_ColAcc),INDEX(LH_Data,0,LH_ColFirst),$A100,INDEX(LH_Data,0,LH_ColSur),$B100,INDEX(LH_Data,0,LH_ColCat),BonusCat,INDEX(LH_Data,0,LH_ColPeriod),LH_OpenLabel)*UnitFactor))))</f>
        <v/>
      </c>
      <c r="U100" s="17" t="str">
        <f aca="false">IF(AK100=0,"",IF(NOT(LH_Ready),"",SUMIFS(INDEX(LH_Data,0,LH_ColAcc),INDEX(LH_Data,0,LH_ColFirst),$A100,INDEX(LH_Data,0,LH_ColSur),$B100,INDEX(LH_Data,0,LH_ColCat),BonusCat,INDEX(LH_Data,0,LH_ColStart),"&gt;="&amp;AL100)*UnitFactor))</f>
        <v/>
      </c>
      <c r="V100" s="17" t="str">
        <f aca="false">IF(AK100=0,"",IF(NOT(LH_Ready),"",SUMIFS(INDEX(LH_Data,0,LH_ColTaken),INDEX(LH_Data,0,LH_ColFirst),$A100,INDEX(LH_Data,0,LH_ColSur),$B100,INDEX(LH_Data,0,LH_ColCat),BonusCat,INDEX(LH_Data,0,LH_ColStart),"&gt;="&amp;AL100)*UnitFactor))</f>
        <v/>
      </c>
      <c r="W100" s="17" t="str">
        <f aca="false">IF(AK100=0,"",IF(NOT(LH_Ready),"",IF(BH100=0,0,INDEX(INDEX(LH_Data,0,LH_ColClose),BH100-1)*UnitFactor)))</f>
        <v/>
      </c>
      <c r="X100" s="17" t="str">
        <f aca="false">IF(AK100=0,"",(MAX(0,BD100-BQ100)-MAX(0,BE100-BQ100))*HoursPerDay)</f>
        <v/>
      </c>
      <c r="Y100" s="17" t="str">
        <f aca="false">IF(AK100=0,"",IF(NOT(LH_Ready),"",IF($AI100="Yes",N(AE100)*HoursPerDay-SUMIFS(INDEX(LH_Data,0,LH_ColAcc),INDEX(LH_Data,0,LH_ColFirst),$A100,INDEX(LH_Data,0,LH_ColSur),$B100,INDEX(LH_Data,0,LH_ColCat),BonusCat,INDEX(LH_Data,0,LH_ColStart),"&gt;="&amp;(EOMONTH(AsOfDate,-1)+1),INDEX(LH_Data,0,LH_ColStart),"&lt;="&amp;AsOfDate)*UnitFactor,IF(BG100=0,N100,N100-N(T100)-N(U100)))))</f>
        <v/>
      </c>
      <c r="Z100" s="16" t="str">
        <f aca="false">IF(OR(AK100=0,Y100=""),"",IF(Y100&gt;0,"Yes","No"))</f>
        <v/>
      </c>
      <c r="AA100" s="16" t="str">
        <f aca="false">IF(AK100=0,IF(LEN($A100&amp;$B100)=0,"","FIX INPUT - StartDate missing"),IF(AD100&lt;&gt;"","FIX INPUT - "&amp;AD100,IF(NOT(LH_Ready),"Paste Leave History export (Settings must show YES)",IF(AND($AI100="Yes",Y100&lt;=0),"OK - EH balance accepted to date"&amp;IF(N(AH100)&gt;0," (EH holds "&amp;AH100&amp;" hrs over the scheme)","")&amp;"; next day "&amp;TEXT(S100,"dd mmm yy")&amp;IF(N(AE100)&gt;0," ("&amp;AE100&amp;" day(s) for "&amp;UPPER(TEXT(AsOfDate,"mmm yyyy"))&amp;" already in EH)",""),IF(Y100&gt;0,"ACCRUE "&amp;ROUND(Y100,2)&amp;" hrs ("&amp;ROUND(Y100/HoursPerDay,2)&amp;" days): "&amp;IF(N(AE100)&gt;0,AE100&amp;" day(s) for "&amp;UPPER(TEXT(AsOfDate,"mmm yyyy"))&amp;" (milestone "&amp;UPPER(TEXT(AF100,"dd mmm yy"))&amp;")"&amp;IF(Y100/HoursPerDay&gt;AE100+0.001," + "&amp;ROUND(Y100/HoursPerDay-AE100,2)&amp;" day(s) catch-up from earlier months",""),"all catch-up from earlier months, nothing new this month")&amp;IF(BG100=0,"; no Bonus Leave in EH yet",""),IF(Y100&lt;0,"CHECK - EH accrued "&amp;ROUND(-Y100,2)&amp;" hrs more than policy since commencement",IF(N(W100)&gt;O100*HoursPerDay+0.01,"CHECK - EH balance "&amp;ROUND(W100-O100*HoursPerDay,2)&amp;" hrs more than policy entitlement",IF(O100&gt;0,"OK - nothing to add"&amp;IF(N(AE100)&gt;0," ("&amp;AE100&amp;" day(s) for "&amp;UPPER(TEXT(AsOfDate,"mmm yyyy"))&amp;" already in EH)",""),IF(AW100="None",R100,"Not yet - first day on "&amp;TEXT(S100,"dd/mm/yyyy"))))))))))</f>
        <v/>
      </c>
      <c r="AB100" s="17" t="str">
        <f aca="false">IF(OR(AK100=0,T100=""),"",MAX(0,BE100-BQ100)*HoursPerDay-T100)</f>
        <v/>
      </c>
      <c r="AC100" s="16" t="str">
        <f aca="false">IF(AK100=0,"",BG100)</f>
        <v/>
      </c>
      <c r="AD100" s="16" t="str">
        <f aca="false">IF(AK100=0,"",TRIM(IF(OR(ISTEXT($F100),ISTEXT($H100),ISTEXT($I100),ISTEXT($G100),ISTEXT($J100),ISTEXT($D100)),"A date is typed as text - retype it as dd/mm/yyyy. ","")&amp;IF(IF($C100="","",IF(OR(ISNUMBER(SEARCH("full",$C100)),UPPER(TRIM($C100))="FT",UPPER(TRIM($C100))="FTE"),"Full-Time",IF(OR(ISNUMBER(SEARCH("part",$C100)),UPPER(TRIM($C100))="PT",UPPER(TRIM($C100))="PTE"),"Part-Time",IF(OR(ISNUMBER(SEARCH("cas",$C100)),UPPER(TRIM($C100))="CAS"),"Casual","Unknown"))))="Unknown","EmploymentType not recognised - use Full-Time, Part-Time or Casual. ","")&amp;IF(AND(AM100&gt;=1,IF(AM100&gt;=3,AS100,IF(AM100=2,AR100,AQ100))&lt;&gt;IF($C100="","",IF(OR(ISNUMBER(SEARCH("full",$C100)),UPPER(TRIM($C100))="FT",UPPER(TRIM($C100))="FTE"),"Full-Time",IF(OR(ISNUMBER(SEARCH("part",$C100)),UPPER(TRIM($C100))="PT",UPPER(TRIM($C100))="PTE"),"Part-Time",IF(OR(ISNUMBER(SEARCH("cas",$C100)),UPPER(TRIM($C100))="CAS"),"Casual","Unknown"))))),"EmploymentType does not match latest start date ("&amp;IF(AM100&gt;=3,AS100,IF(AM100=2,AR100,AQ100))&amp;"). ","")&amp;IF(AND(AM100&gt;=1,AN100&lt;&gt;$F100),"Earliest type date should equal StartDate. ","")&amp;IF(AND(AM100&gt;=2,AN100=AO100),"Two types start on the same date. ","")&amp;IF(AND(OR(ISNUMBER(SEARCH("part",$C100)),UPPER(TRIM($C100))="PT",UPPER(TRIM($C100))="PTE"),$P100=""),"Part-time: enter PT Hrs/Week (blank = 24+). ","")))</f>
        <v/>
      </c>
      <c r="AE100" s="17" t="str">
        <f aca="false">IF(AK100=0,"",O100-MAX(0,BL100-BQ100))</f>
        <v/>
      </c>
      <c r="AF100" s="14" t="str">
        <f aca="false">IF(OR(AK100=0,AE100="",N(AE100)=0,BM100=""),"",EDATE(AL100,BM100))</f>
        <v/>
      </c>
      <c r="AG100" s="17" t="str">
        <f aca="false">IF(AK100=0,"",MIN(BD100,BQ100))</f>
        <v/>
      </c>
      <c r="AH100" s="17" t="str">
        <f aca="false">IF(AK100=0,"",IF(NOT(LH_Ready),"",IF(BG100=0,0,MAX(0,ROUND(N(T100)+N(U100)-N100,2)))))</f>
        <v/>
      </c>
      <c r="AI100" s="12"/>
      <c r="AJ100" s="12"/>
      <c r="AK100" s="16" t="n">
        <f aca="false">IF(OR(LEN($A100&amp;$B100)=0,$F100=""),0,1)</f>
        <v>0</v>
      </c>
      <c r="AL100" s="14" t="str">
        <f aca="false">IF(AK100=0,"",IF(PreSchemeCounts="No",MAX(SchemeStart,IF($J100&lt;&gt;"",$J100,IF(OR(CasualCounts="Yes",COUNT($G100:$I100)=0),$F100,IF(Apply2026="No",IF($I100="",$F100,$I100),IF(COUNT($H100:$I100)=0,$F100,MIN($H100:$I100)))))),IF($J100&lt;&gt;"",$J100,IF(OR(CasualCounts="Yes",COUNT($G100:$I100)=0),$F100,IF(Apply2026="No",IF($I100="",$F100,$I100),IF(COUNT($H100:$I100)=0,$F100,MIN($H100:$I100)))))))</f>
        <v/>
      </c>
      <c r="AM100" s="16" t="str">
        <f aca="false">IF(AK100=0,"",COUNT($G100:$I100))</f>
        <v/>
      </c>
      <c r="AN100" s="14" t="str">
        <f aca="false">IF(AK100=0,"",IFERROR(SMALL($G100:$I100,1),""))</f>
        <v/>
      </c>
      <c r="AO100" s="14" t="str">
        <f aca="false">IF(AK100=0,"",IFERROR(SMALL($G100:$I100,2),""))</f>
        <v/>
      </c>
      <c r="AP100" s="14" t="str">
        <f aca="false">IF(AK100=0,"",IFERROR(SMALL($G100:$I100,3),""))</f>
        <v/>
      </c>
      <c r="AQ100" s="16" t="str">
        <f aca="false">IF(AK100=0,"",IF(AN100="","",IF(AN100=$H100,"Part-Time",IF(AN100=$I100,"Full-Time","Casual"))))</f>
        <v/>
      </c>
      <c r="AR100" s="16" t="str">
        <f aca="false">IF(AK100=0,"",IF(AO100="","",IF(AO100=$H100,"Part-Time",IF(AO100=$I100,"Full-Time","Casual"))))</f>
        <v/>
      </c>
      <c r="AS100" s="16" t="str">
        <f aca="false">IF(AK100=0,"",IF(AP100="","",IF(AP100=$H100,"Part-Time",IF(AP100=$I100,"Full-Time","Casual"))))</f>
        <v/>
      </c>
      <c r="AT100" s="16" t="str">
        <f aca="false">IF(AK100=0,"",IF(AM100=0,IF(OR(ISNUMBER(SEARCH("full",$C100)),UPPER(TRIM($C100))="FT",UPPER(TRIM($C100))="FTE"),"FT",IF(AND(OR(ISNUMBER(SEARCH("part",$C100)),UPPER(TRIM($C100))="PT",UPPER(TRIM($C100))="PTE"),Apply2026="Yes",OR($P100="",N($P100)&gt;=PT_MinHours)),"PT","None")),IF(OR(ISNUMBER(SEARCH("full",AQ100)),UPPER(TRIM(AQ100))="FT",UPPER(TRIM(AQ100))="FTE"),"FT",IF(AND(OR(ISNUMBER(SEARCH("part",AQ100)),UPPER(TRIM(AQ100))="PT",UPPER(TRIM(AQ100))="PTE"),Apply2026="Yes",OR($P100="",N($P100)&gt;=PT_MinHours)),"PT","None"))))</f>
        <v/>
      </c>
      <c r="AU100" s="16" t="str">
        <f aca="false">IF(AK100=0,"",IF(AM100&lt;2,"",IF(OR(ISNUMBER(SEARCH("full",AR100)),UPPER(TRIM(AR100))="FT",UPPER(TRIM(AR100))="FTE"),"FT",IF(AND(OR(ISNUMBER(SEARCH("part",AR100)),UPPER(TRIM(AR100))="PT",UPPER(TRIM(AR100))="PTE"),Apply2026="Yes",OR($P100="",N($P100)&gt;=PT_MinHours)),"PT","None"))))</f>
        <v/>
      </c>
      <c r="AV100" s="16" t="str">
        <f aca="false">IF(AK100=0,"",IF(AM100&lt;3,"",IF(OR(ISNUMBER(SEARCH("full",AS100)),UPPER(TRIM(AS100))="FT",UPPER(TRIM(AS100))="FTE"),"FT",IF(AND(OR(ISNUMBER(SEARCH("part",AS100)),UPPER(TRIM(AS100))="PT",UPPER(TRIM(AS100))="PTE"),Apply2026="Yes",OR($P100="",N($P100)&gt;=PT_MinHours)),"PT","None"))))</f>
        <v/>
      </c>
      <c r="AW100" s="16" t="str">
        <f aca="false">IF(AK100=0,"",IF(AND(AM100&gt;=3,AP100&lt;=AsOfDate),AV100,IF(AND(AM100&gt;=2,AO100&lt;=AsOfDate),AU100,AT100)))</f>
        <v/>
      </c>
      <c r="AX100" s="16" t="str">
        <f aca="false">IF(AK100=0,"",IF(AsOfDate&lt;AL100,-1,12*(YEAR(AsOfDate)-YEAR(AL100))+MONTH(AsOfDate)-MONTH(AL100)-IF(DAY(AsOfDate)&lt;MIN(DAY(AL100),DAY(EOMONTH(AsOfDate,0))),1,0)))</f>
        <v/>
      </c>
      <c r="AY100" s="16" t="str">
        <f aca="false">IF(AK100=0,"",IF(OR(AM100&lt;2,AO100&gt;AsOfDate),AX100,IF((AO100-1)&lt;AL100,-1,12*(YEAR((AO100-1))-YEAR(AL100))+MONTH((AO100-1))-MONTH(AL100)-IF(DAY((AO100-1))&lt;MIN(DAY(AL100),DAY(EOMONTH((AO100-1),0))),1,0))))</f>
        <v/>
      </c>
      <c r="AZ100" s="16" t="str">
        <f aca="false">IF(AK100=0,"",IF(OR(AM100&lt;3,AP100&gt;AsOfDate),AX100,IF((AP100-1)&lt;AL100,-1,12*(YEAR((AP100-1))-YEAR(AL100))+MONTH((AP100-1))-MONTH(AL100)-IF(DAY((AP100-1))&lt;MIN(DAY(AL100),DAY(EOMONTH((AP100-1),0))),1,0))))</f>
        <v/>
      </c>
      <c r="BA100" s="16" t="str">
        <f aca="false">IF(AK100=0,"",IF(PFYDate&lt;AL100,-1,12*(YEAR(PFYDate)-YEAR(AL100))+MONTH(PFYDate)-MONTH(AL100)-IF(DAY(PFYDate)&lt;MIN(DAY(AL100),DAY(EOMONTH(PFYDate,0))),1,0)))</f>
        <v/>
      </c>
      <c r="BB100" s="16" t="str">
        <f aca="false">IF(AK100=0,"",IF(OR(AM100&lt;2,AO100&gt;PFYDate),BA100,IF((AO100-1)&lt;AL100,-1,12*(YEAR((AO100-1))-YEAR(AL100))+MONTH((AO100-1))-MONTH(AL100)-IF(DAY((AO100-1))&lt;MIN(DAY(AL100),DAY(EOMONTH((AO100-1),0))),1,0))))</f>
        <v/>
      </c>
      <c r="BC100" s="16" t="str">
        <f aca="false">IF(AK100=0,"",IF(OR(AM100&lt;3,AP100&gt;PFYDate),BA100,IF((AP100-1)&lt;AL100,-1,12*(YEAR((AP100-1))-YEAR(AL100))+MONTH((AP100-1))-MONTH(AL100)-IF(DAY((AP100-1))&lt;MIN(DAY(AL100),DAY(EOMONTH((AP100-1),0))),1,0))))</f>
        <v/>
      </c>
      <c r="BD100" s="16" t="str">
        <f aca="false">IF(AK100=0,"",IF(AT100="FT",IF(AY100&lt;FT_First,0,IF(AY100&lt;FT_Y5,1+INT((AY100-FT_First)/FT_Int1),FT_PreY5+FT_PerYear*INT((AY100-FT_Y5)/12)+FT_AnnivDays+INT(MOD(AY100-FT_Y5,12)/FT_Int2)-IF(EDATE(AL100,FT_Y5)&lt;PolicyEff,FT_AnnivDays-1,0))),IF(AT100="PT",IF(AY100&lt;PT_First,0,1+INT((AY100-PT_First)/PT_Int)),0))+IF(AND(AM100&gt;=2,AO100&lt;=AsOfDate),IF(AU100="FT",IF(AZ100&lt;FT_First,0,IF(AZ100&lt;FT_Y5,1+INT((AZ100-FT_First)/FT_Int1),FT_PreY5+FT_PerYear*INT((AZ100-FT_Y5)/12)+FT_AnnivDays+INT(MOD(AZ100-FT_Y5,12)/FT_Int2)-IF(EDATE(AL100,FT_Y5)&lt;PolicyEff,FT_AnnivDays-1,0))),IF(AU100="PT",IF(AZ100&lt;PT_First,0,1+INT((AZ100-PT_First)/PT_Int)),0))-IF(AU100="FT",IF(AY100&lt;FT_First,0,IF(AY100&lt;FT_Y5,1+INT((AY100-FT_First)/FT_Int1),FT_PreY5+FT_PerYear*INT((AY100-FT_Y5)/12)+FT_AnnivDays+INT(MOD(AY100-FT_Y5,12)/FT_Int2)-IF(EDATE(AL100,FT_Y5)&lt;PolicyEff,FT_AnnivDays-1,0))),IF(AU100="PT",IF(AY100&lt;PT_First,0,1+INT((AY100-PT_First)/PT_Int)),0)),0)+IF(AND(AM100&gt;=3,AP100&lt;=AsOfDate),IF(AV100="FT",IF(AX100&lt;FT_First,0,IF(AX100&lt;FT_Y5,1+INT((AX100-FT_First)/FT_Int1),FT_PreY5+FT_PerYear*INT((AX100-FT_Y5)/12)+FT_AnnivDays+INT(MOD(AX100-FT_Y5,12)/FT_Int2)-IF(EDATE(AL100,FT_Y5)&lt;PolicyEff,FT_AnnivDays-1,0))),IF(AV100="PT",IF(AX100&lt;PT_First,0,1+INT((AX100-PT_First)/PT_Int)),0))-IF(AV100="FT",IF(AZ100&lt;FT_First,0,IF(AZ100&lt;FT_Y5,1+INT((AZ100-FT_First)/FT_Int1),FT_PreY5+FT_PerYear*INT((AZ100-FT_Y5)/12)+FT_AnnivDays+INT(MOD(AZ100-FT_Y5,12)/FT_Int2)-IF(EDATE(AL100,FT_Y5)&lt;PolicyEff,FT_AnnivDays-1,0))),IF(AV100="PT",IF(AZ100&lt;PT_First,0,1+INT((AZ100-PT_First)/PT_Int)),0)),0))</f>
        <v/>
      </c>
      <c r="BE100" s="16" t="str">
        <f aca="false">IF(AK100=0,"",IF(AT100="FT",IF(BB100&lt;FT_First,0,IF(BB100&lt;FT_Y5,1+INT((BB100-FT_First)/FT_Int1),FT_PreY5+FT_PerYear*INT((BB100-FT_Y5)/12)+FT_AnnivDays+INT(MOD(BB100-FT_Y5,12)/FT_Int2)-IF(EDATE(AL100,FT_Y5)&lt;PolicyEff,FT_AnnivDays-1,0))),IF(AT100="PT",IF(BB100&lt;PT_First,0,1+INT((BB100-PT_First)/PT_Int)),0))+IF(AND(AM100&gt;=2,AO100&lt;=PFYDate),IF(AU100="FT",IF(BC100&lt;FT_First,0,IF(BC100&lt;FT_Y5,1+INT((BC100-FT_First)/FT_Int1),FT_PreY5+FT_PerYear*INT((BC100-FT_Y5)/12)+FT_AnnivDays+INT(MOD(BC100-FT_Y5,12)/FT_Int2)-IF(EDATE(AL100,FT_Y5)&lt;PolicyEff,FT_AnnivDays-1,0))),IF(AU100="PT",IF(BC100&lt;PT_First,0,1+INT((BC100-PT_First)/PT_Int)),0))-IF(AU100="FT",IF(BB100&lt;FT_First,0,IF(BB100&lt;FT_Y5,1+INT((BB100-FT_First)/FT_Int1),FT_PreY5+FT_PerYear*INT((BB100-FT_Y5)/12)+FT_AnnivDays+INT(MOD(BB100-FT_Y5,12)/FT_Int2)-IF(EDATE(AL100,FT_Y5)&lt;PolicyEff,FT_AnnivDays-1,0))),IF(AU100="PT",IF(BB100&lt;PT_First,0,1+INT((BB100-PT_First)/PT_Int)),0)),0)+IF(AND(AM100&gt;=3,AP100&lt;=PFYDate),IF(AV100="FT",IF(BA100&lt;FT_First,0,IF(BA100&lt;FT_Y5,1+INT((BA100-FT_First)/FT_Int1),FT_PreY5+FT_PerYear*INT((BA100-FT_Y5)/12)+FT_AnnivDays+INT(MOD(BA100-FT_Y5,12)/FT_Int2)-IF(EDATE(AL100,FT_Y5)&lt;PolicyEff,FT_AnnivDays-1,0))),IF(AV100="PT",IF(BA100&lt;PT_First,0,1+INT((BA100-PT_First)/PT_Int)),0))-IF(AV100="FT",IF(BC100&lt;FT_First,0,IF(BC100&lt;FT_Y5,1+INT((BC100-FT_First)/FT_Int1),FT_PreY5+FT_PerYear*INT((BC100-FT_Y5)/12)+FT_AnnivDays+INT(MOD(BC100-FT_Y5,12)/FT_Int2)-IF(EDATE(AL100,FT_Y5)&lt;PolicyEff,FT_AnnivDays-1,0))),IF(AV100="PT",IF(BC100&lt;PT_First,0,1+INT((BC100-PT_First)/PT_Int)),0)),0))</f>
        <v/>
      </c>
      <c r="BF100" s="16" t="str">
        <f aca="false">IF(AK100=0,"",IF(AW100="FT",IF(AX100&lt;FT_First,FT_First,IF(AX100&lt;FT_Y5,MIN(FT_Y5,FT_First+FT_Int1*(INT((AX100-FT_First)/FT_Int1)+1)),FT_Y5+12*INT((AX100-FT_Y5)/12)+FT_Int2*(INT(MOD(AX100-FT_Y5,12)/FT_Int2)+1))),IF(AW100="PT",IF(AX100&lt;PT_First,PT_First,PT_First+PT_Int*(INT((AX100-PT_First)/PT_Int)+1)),"")))</f>
        <v/>
      </c>
      <c r="BG100" s="16" t="str">
        <f aca="false">IF(AK100=0,"",IF(NOT(LH_Ready),0,COUNTIFS(INDEX(LH_Data,0,LH_ColFirst),$A100,INDEX(LH_Data,0,LH_ColSur),$B100,INDEX(LH_Data,0,LH_ColCat),BonusCat)))</f>
        <v/>
      </c>
      <c r="BH100" s="16" t="str">
        <f aca="false">IF(AK100=0,"",IF(OR(NOT(LH_Ready),BG100=0),0,SUMPRODUCT(MAX((INDEX(LH_Data,0,LH_ColFirst)=$A100)*(INDEX(LH_Data,0,LH_ColSur)=$B100)*(INDEX(LH_Data,0,LH_ColCat)=BonusCat)*ROW(LH_Data)))))</f>
        <v/>
      </c>
      <c r="BI100" s="16" t="str">
        <f aca="false">IF(AK100=0,"",IF(EOMONTH(AsOfDate,-1)&lt;AL100,-1,12*(YEAR(EOMONTH(AsOfDate,-1))-YEAR(AL100))+MONTH(EOMONTH(AsOfDate,-1))-MONTH(AL100)-IF(DAY(EOMONTH(AsOfDate,-1))&lt;MIN(DAY(AL100),DAY(EOMONTH(EOMONTH(AsOfDate,-1),0))),1,0)))</f>
        <v/>
      </c>
      <c r="BJ100" s="16" t="str">
        <f aca="false">IF(AK100=0,"",IF(OR(AM100&lt;2,AO100&gt;EOMONTH(AsOfDate,-1)),BI100,IF((AO100-1)&lt;AL100,-1,12*(YEAR((AO100-1))-YEAR(AL100))+MONTH((AO100-1))-MONTH(AL100)-IF(DAY((AO100-1))&lt;MIN(DAY(AL100),DAY(EOMONTH((AO100-1),0))),1,0))))</f>
        <v/>
      </c>
      <c r="BK100" s="16" t="str">
        <f aca="false">IF(AK100=0,"",IF(OR(AM100&lt;3,AP100&gt;EOMONTH(AsOfDate,-1)),BI100,IF((AP100-1)&lt;AL100,-1,12*(YEAR((AP100-1))-YEAR(AL100))+MONTH((AP100-1))-MONTH(AL100)-IF(DAY((AP100-1))&lt;MIN(DAY(AL100),DAY(EOMONTH((AP100-1),0))),1,0))))</f>
        <v/>
      </c>
      <c r="BL100" s="16" t="str">
        <f aca="false">IF(AK100=0,"",IF(AT100="FT",IF(BJ100&lt;FT_First,0,IF(BJ100&lt;FT_Y5,1+INT((BJ100-FT_First)/FT_Int1),FT_PreY5+FT_PerYear*INT((BJ100-FT_Y5)/12)+FT_AnnivDays+INT(MOD(BJ100-FT_Y5,12)/FT_Int2)-IF(EDATE(AL100,FT_Y5)&lt;PolicyEff,FT_AnnivDays-1,0))),IF(AT100="PT",IF(BJ100&lt;PT_First,0,1+INT((BJ100-PT_First)/PT_Int)),0))+IF(AND(AM100&gt;=2,AO100&lt;=EOMONTH(AsOfDate,-1)),IF(AU100="FT",IF(BK100&lt;FT_First,0,IF(BK100&lt;FT_Y5,1+INT((BK100-FT_First)/FT_Int1),FT_PreY5+FT_PerYear*INT((BK100-FT_Y5)/12)+FT_AnnivDays+INT(MOD(BK100-FT_Y5,12)/FT_Int2)-IF(EDATE(AL100,FT_Y5)&lt;PolicyEff,FT_AnnivDays-1,0))),IF(AU100="PT",IF(BK100&lt;PT_First,0,1+INT((BK100-PT_First)/PT_Int)),0))-IF(AU100="FT",IF(BJ100&lt;FT_First,0,IF(BJ100&lt;FT_Y5,1+INT((BJ100-FT_First)/FT_Int1),FT_PreY5+FT_PerYear*INT((BJ100-FT_Y5)/12)+FT_AnnivDays+INT(MOD(BJ100-FT_Y5,12)/FT_Int2)-IF(EDATE(AL100,FT_Y5)&lt;PolicyEff,FT_AnnivDays-1,0))),IF(AU100="PT",IF(BJ100&lt;PT_First,0,1+INT((BJ100-PT_First)/PT_Int)),0)),0)+IF(AND(AM100&gt;=3,AP100&lt;=EOMONTH(AsOfDate,-1)),IF(AV100="FT",IF(BI100&lt;FT_First,0,IF(BI100&lt;FT_Y5,1+INT((BI100-FT_First)/FT_Int1),FT_PreY5+FT_PerYear*INT((BI100-FT_Y5)/12)+FT_AnnivDays+INT(MOD(BI100-FT_Y5,12)/FT_Int2)-IF(EDATE(AL100,FT_Y5)&lt;PolicyEff,FT_AnnivDays-1,0))),IF(AV100="PT",IF(BI100&lt;PT_First,0,1+INT((BI100-PT_First)/PT_Int)),0))-IF(AV100="FT",IF(BK100&lt;FT_First,0,IF(BK100&lt;FT_Y5,1+INT((BK100-FT_First)/FT_Int1),FT_PreY5+FT_PerYear*INT((BK100-FT_Y5)/12)+FT_AnnivDays+INT(MOD(BK100-FT_Y5,12)/FT_Int2)-IF(EDATE(AL100,FT_Y5)&lt;PolicyEff,FT_AnnivDays-1,0))),IF(AV100="PT",IF(BK100&lt;PT_First,0,1+INT((BK100-PT_First)/PT_Int)),0)),0))</f>
        <v/>
      </c>
      <c r="BM100" s="16" t="str">
        <f aca="false">IF(AK100=0,"",IF(AW100="FT",IF(AX100&lt;FT_First,"",IF(AX100&lt;FT_Y5,FT_First+FT_Int1*INT((AX100-FT_First)/FT_Int1),FT_Y5+FT_Int2*INT((AX100-FT_Y5)/FT_Int2))),IF(AW100="PT",IF(AX100&lt;PT_First,"",PT_First+PT_Int*INT((AX100-PT_First)/PT_Int)),"")))</f>
        <v/>
      </c>
      <c r="BN100" s="16" t="str">
        <f aca="false">IF(AK100=0,"",IF((SchemeStart-1)&lt;AL100,-1,12*(YEAR((SchemeStart-1))-YEAR(AL100))+MONTH((SchemeStart-1))-MONTH(AL100)-IF(DAY((SchemeStart-1))&lt;MIN(DAY(AL100),DAY(EOMONTH((SchemeStart-1),0))),1,0)))</f>
        <v/>
      </c>
      <c r="BO100" s="16" t="str">
        <f aca="false">IF(AK100=0,"",IF(OR(AM100&lt;2,AO100&gt;(SchemeStart-1)),BN100,IF((AO100-1)&lt;AL100,-1,12*(YEAR((AO100-1))-YEAR(AL100))+MONTH((AO100-1))-MONTH(AL100)-IF(DAY((AO100-1))&lt;MIN(DAY(AL100),DAY(EOMONTH((AO100-1),0))),1,0))))</f>
        <v/>
      </c>
      <c r="BP100" s="16" t="str">
        <f aca="false">IF(AK100=0,"",IF(OR(AM100&lt;3,AP100&gt;(SchemeStart-1)),BN100,IF((AP100-1)&lt;AL100,-1,12*(YEAR((AP100-1))-YEAR(AL100))+MONTH((AP100-1))-MONTH(AL100)-IF(DAY((AP100-1))&lt;MIN(DAY(AL100),DAY(EOMONTH((AP100-1),0))),1,0))))</f>
        <v/>
      </c>
      <c r="BQ100" s="16" t="str">
        <f aca="false">IF(AK100=0,"",IF(AT100="FT",IF(BO100&lt;FT_First,0,IF(BO100&lt;FT_Y5,1+INT((BO100-FT_First)/FT_Int1),FT_PreY5+FT_PerYear*INT((BO100-FT_Y5)/12)+FT_AnnivDays+INT(MOD(BO100-FT_Y5,12)/FT_Int2)-IF(EDATE(AL100,FT_Y5)&lt;PolicyEff,FT_AnnivDays-1,0))),IF(AT100="PT",IF(BO100&lt;PT_First,0,1+INT((BO100-PT_First)/PT_Int)),0))+IF(AND(AM100&gt;=2,AO100&lt;=(SchemeStart-1)),IF(AU100="FT",IF(BP100&lt;FT_First,0,IF(BP100&lt;FT_Y5,1+INT((BP100-FT_First)/FT_Int1),FT_PreY5+FT_PerYear*INT((BP100-FT_Y5)/12)+FT_AnnivDays+INT(MOD(BP100-FT_Y5,12)/FT_Int2)-IF(EDATE(AL100,FT_Y5)&lt;PolicyEff,FT_AnnivDays-1,0))),IF(AU100="PT",IF(BP100&lt;PT_First,0,1+INT((BP100-PT_First)/PT_Int)),0))-IF(AU100="FT",IF(BO100&lt;FT_First,0,IF(BO100&lt;FT_Y5,1+INT((BO100-FT_First)/FT_Int1),FT_PreY5+FT_PerYear*INT((BO100-FT_Y5)/12)+FT_AnnivDays+INT(MOD(BO100-FT_Y5,12)/FT_Int2)-IF(EDATE(AL100,FT_Y5)&lt;PolicyEff,FT_AnnivDays-1,0))),IF(AU100="PT",IF(BO100&lt;PT_First,0,1+INT((BO100-PT_First)/PT_Int)),0)),0)+IF(AND(AM100&gt;=3,AP100&lt;=(SchemeStart-1)),IF(AV100="FT",IF(BN100&lt;FT_First,0,IF(BN100&lt;FT_Y5,1+INT((BN100-FT_First)/FT_Int1),FT_PreY5+FT_PerYear*INT((BN100-FT_Y5)/12)+FT_AnnivDays+INT(MOD(BN100-FT_Y5,12)/FT_Int2)-IF(EDATE(AL100,FT_Y5)&lt;PolicyEff,FT_AnnivDays-1,0))),IF(AV100="PT",IF(BN100&lt;PT_First,0,1+INT((BN100-PT_First)/PT_Int)),0))-IF(AV100="FT",IF(BP100&lt;FT_First,0,IF(BP100&lt;FT_Y5,1+INT((BP100-FT_First)/FT_Int1),FT_PreY5+FT_PerYear*INT((BP100-FT_Y5)/12)+FT_AnnivDays+INT(MOD(BP100-FT_Y5,12)/FT_Int2)-IF(EDATE(AL100,FT_Y5)&lt;PolicyEff,FT_AnnivDays-1,0))),IF(AV100="PT",IF(BP100&lt;PT_First,0,1+INT((BP100-PT_First)/PT_Int)),0)),0))</f>
        <v/>
      </c>
      <c r="BR100" s="0" t="str">
        <f aca="false">IF(LEN($A100&amp;$B100)=0,"",$A100&amp;" "&amp;$B100)</f>
        <v/>
      </c>
    </row>
    <row r="101" customFormat="false" ht="15" hidden="false" customHeight="false" outlineLevel="0" collapsed="false">
      <c r="A101" s="12"/>
      <c r="B101" s="12"/>
      <c r="C101" s="12"/>
      <c r="D101" s="13"/>
      <c r="E101" s="14" t="str">
        <f aca="false">IF(OR(AK101=0,$D101=""),"",DATE(YEAR(AsOfDate)+IF(DATE(YEAR(AsOfDate),MONTH($D101),DAY($D101))&lt;=AsOfDate,1,0),MONTH($D101),DAY($D101)))</f>
        <v/>
      </c>
      <c r="F101" s="13"/>
      <c r="G101" s="13"/>
      <c r="H101" s="13"/>
      <c r="I101" s="13"/>
      <c r="J101" s="13"/>
      <c r="K101" s="14" t="str">
        <f aca="false">IF(AK101=0,"",DATE(YEAR(AsOfDate)+IF(DATE(YEAR(AsOfDate),MONTH(AL101),DAY(AL101))&lt;=AsOfDate,1,0),MONTH(AL101),DAY(AL101)))</f>
        <v/>
      </c>
      <c r="L101" s="15" t="str">
        <f aca="false">IF(AK101=0,"",ROUND((AsOfDate-AL101)/365.25,1))</f>
        <v/>
      </c>
      <c r="M101" s="16" t="str">
        <f aca="false">IF(AK101=0,"",IF(AsOfDate&lt;AL101,"-",DATEDIF(AL101,AsOfDate,"y")&amp;"y "&amp;DATEDIF(AL101,AsOfDate,"ym")&amp;"m "&amp;DATEDIF(AL101,AsOfDate,"md")&amp;"d"))</f>
        <v/>
      </c>
      <c r="N101" s="17" t="str">
        <f aca="false">IF(AK101=0,"",O101*HoursPerDay)</f>
        <v/>
      </c>
      <c r="O101" s="17" t="str">
        <f aca="false">IF(AK101=0,"",MAX(0,BD101-BQ101))</f>
        <v/>
      </c>
      <c r="P101" s="18"/>
      <c r="Q101" s="16" t="str">
        <f aca="false">IF(AK101=0,"",IF(AM101&lt;2,"",AQ101&amp;" to "&amp;AR101&amp;" on "&amp;TEXT(AO101,"dd/mm/yyyy")&amp;IF(AO101&gt;AsOfDate," (future)",IF(AT101=AU101,"",IF(AU101="None"," - STOPPED accruing",IF(AT101="None"," - commencement for Bonus Leave"," - pathway changed"))))&amp;IF(AM101&lt;3,"","; "&amp;AR101&amp;" to "&amp;AS101&amp;" on "&amp;TEXT(AP101,"dd/mm/yyyy")&amp;IF(AP101&gt;AsOfDate," (future)",IF(AU101=AV101,"",IF(AV101="None"," - STOPPED accruing",IF(AU101="None"," - commencement for Bonus Leave"," - pathway changed")))))))</f>
        <v/>
      </c>
      <c r="R101" s="16" t="str">
        <f aca="false">IF(AK101=0,"",IF(AW101="None",IF(O101&gt;0,"No longer accruing","Not eligible - "&amp;IF(AND(OR(ISNUMBER(SEARCH("part",$C101)),UPPER(TRIM($C101))="PT",UPPER(TRIM($C101))="PTE"),Apply2026="No"),"part-time (scheme is full-time only)",IF(AND(OR(ISNUMBER(SEARCH("part",$C101)),UPPER(TRIM($C101))="PT",UPPER(TRIM($C101))="PTE"),$P101&lt;&gt;"",N($P101)&lt;PT_MinHours),"under "&amp;PT_MinHours&amp;" hrs",IF(IF($C101="","",IF(OR(ISNUMBER(SEARCH("full",$C101)),UPPER(TRIM($C101))="FT",UPPER(TRIM($C101))="FTE"),"Full-Time",IF(OR(ISNUMBER(SEARCH("part",$C101)),UPPER(TRIM($C101))="PT",UPPER(TRIM($C101))="PTE"),"Part-Time",IF(OR(ISNUMBER(SEARCH("cas",$C101)),UPPER(TRIM($C101))="CAS"),"Casual","Unknown"))))="Unknown","type not recognised",$C101)))),IF(O101&gt;0,"Yes - Accrual Required","Not yet - from "&amp;TEXT(S101,"dd/mm/yyyy"))))</f>
        <v/>
      </c>
      <c r="S101" s="14" t="str">
        <f aca="false">IF(AK101=0,"",IF(AW101="None","",EDATE(AL101,BF101)))</f>
        <v/>
      </c>
      <c r="T101" s="17" t="str">
        <f aca="false">IF(AK101=0,"",IF(NOT(LH_Ready),"",IF($F101&gt;PFYDate,0,IF(LH_ColPeriod=0,W101-U101+V101,SUMIFS(INDEX(LH_Data,0,LH_ColAcc),INDEX(LH_Data,0,LH_ColFirst),$A101,INDEX(LH_Data,0,LH_ColSur),$B101,INDEX(LH_Data,0,LH_ColCat),BonusCat,INDEX(LH_Data,0,LH_ColPeriod),LH_OpenLabel)*UnitFactor))))</f>
        <v/>
      </c>
      <c r="U101" s="17" t="str">
        <f aca="false">IF(AK101=0,"",IF(NOT(LH_Ready),"",SUMIFS(INDEX(LH_Data,0,LH_ColAcc),INDEX(LH_Data,0,LH_ColFirst),$A101,INDEX(LH_Data,0,LH_ColSur),$B101,INDEX(LH_Data,0,LH_ColCat),BonusCat,INDEX(LH_Data,0,LH_ColStart),"&gt;="&amp;AL101)*UnitFactor))</f>
        <v/>
      </c>
      <c r="V101" s="17" t="str">
        <f aca="false">IF(AK101=0,"",IF(NOT(LH_Ready),"",SUMIFS(INDEX(LH_Data,0,LH_ColTaken),INDEX(LH_Data,0,LH_ColFirst),$A101,INDEX(LH_Data,0,LH_ColSur),$B101,INDEX(LH_Data,0,LH_ColCat),BonusCat,INDEX(LH_Data,0,LH_ColStart),"&gt;="&amp;AL101)*UnitFactor))</f>
        <v/>
      </c>
      <c r="W101" s="17" t="str">
        <f aca="false">IF(AK101=0,"",IF(NOT(LH_Ready),"",IF(BH101=0,0,INDEX(INDEX(LH_Data,0,LH_ColClose),BH101-1)*UnitFactor)))</f>
        <v/>
      </c>
      <c r="X101" s="17" t="str">
        <f aca="false">IF(AK101=0,"",(MAX(0,BD101-BQ101)-MAX(0,BE101-BQ101))*HoursPerDay)</f>
        <v/>
      </c>
      <c r="Y101" s="17" t="str">
        <f aca="false">IF(AK101=0,"",IF(NOT(LH_Ready),"",IF($AI101="Yes",N(AE101)*HoursPerDay-SUMIFS(INDEX(LH_Data,0,LH_ColAcc),INDEX(LH_Data,0,LH_ColFirst),$A101,INDEX(LH_Data,0,LH_ColSur),$B101,INDEX(LH_Data,0,LH_ColCat),BonusCat,INDEX(LH_Data,0,LH_ColStart),"&gt;="&amp;(EOMONTH(AsOfDate,-1)+1),INDEX(LH_Data,0,LH_ColStart),"&lt;="&amp;AsOfDate)*UnitFactor,IF(BG101=0,N101,N101-N(T101)-N(U101)))))</f>
        <v/>
      </c>
      <c r="Z101" s="16" t="str">
        <f aca="false">IF(OR(AK101=0,Y101=""),"",IF(Y101&gt;0,"Yes","No"))</f>
        <v/>
      </c>
      <c r="AA101" s="16" t="str">
        <f aca="false">IF(AK101=0,IF(LEN($A101&amp;$B101)=0,"","FIX INPUT - StartDate missing"),IF(AD101&lt;&gt;"","FIX INPUT - "&amp;AD101,IF(NOT(LH_Ready),"Paste Leave History export (Settings must show YES)",IF(AND($AI101="Yes",Y101&lt;=0),"OK - EH balance accepted to date"&amp;IF(N(AH101)&gt;0," (EH holds "&amp;AH101&amp;" hrs over the scheme)","")&amp;"; next day "&amp;TEXT(S101,"dd mmm yy")&amp;IF(N(AE101)&gt;0," ("&amp;AE101&amp;" day(s) for "&amp;UPPER(TEXT(AsOfDate,"mmm yyyy"))&amp;" already in EH)",""),IF(Y101&gt;0,"ACCRUE "&amp;ROUND(Y101,2)&amp;" hrs ("&amp;ROUND(Y101/HoursPerDay,2)&amp;" days): "&amp;IF(N(AE101)&gt;0,AE101&amp;" day(s) for "&amp;UPPER(TEXT(AsOfDate,"mmm yyyy"))&amp;" (milestone "&amp;UPPER(TEXT(AF101,"dd mmm yy"))&amp;")"&amp;IF(Y101/HoursPerDay&gt;AE101+0.001," + "&amp;ROUND(Y101/HoursPerDay-AE101,2)&amp;" day(s) catch-up from earlier months",""),"all catch-up from earlier months, nothing new this month")&amp;IF(BG101=0,"; no Bonus Leave in EH yet",""),IF(Y101&lt;0,"CHECK - EH accrued "&amp;ROUND(-Y101,2)&amp;" hrs more than policy since commencement",IF(N(W101)&gt;O101*HoursPerDay+0.01,"CHECK - EH balance "&amp;ROUND(W101-O101*HoursPerDay,2)&amp;" hrs more than policy entitlement",IF(O101&gt;0,"OK - nothing to add"&amp;IF(N(AE101)&gt;0," ("&amp;AE101&amp;" day(s) for "&amp;UPPER(TEXT(AsOfDate,"mmm yyyy"))&amp;" already in EH)",""),IF(AW101="None",R101,"Not yet - first day on "&amp;TEXT(S101,"dd/mm/yyyy"))))))))))</f>
        <v/>
      </c>
      <c r="AB101" s="17" t="str">
        <f aca="false">IF(OR(AK101=0,T101=""),"",MAX(0,BE101-BQ101)*HoursPerDay-T101)</f>
        <v/>
      </c>
      <c r="AC101" s="16" t="str">
        <f aca="false">IF(AK101=0,"",BG101)</f>
        <v/>
      </c>
      <c r="AD101" s="16" t="str">
        <f aca="false">IF(AK101=0,"",TRIM(IF(OR(ISTEXT($F101),ISTEXT($H101),ISTEXT($I101),ISTEXT($G101),ISTEXT($J101),ISTEXT($D101)),"A date is typed as text - retype it as dd/mm/yyyy. ","")&amp;IF(IF($C101="","",IF(OR(ISNUMBER(SEARCH("full",$C101)),UPPER(TRIM($C101))="FT",UPPER(TRIM($C101))="FTE"),"Full-Time",IF(OR(ISNUMBER(SEARCH("part",$C101)),UPPER(TRIM($C101))="PT",UPPER(TRIM($C101))="PTE"),"Part-Time",IF(OR(ISNUMBER(SEARCH("cas",$C101)),UPPER(TRIM($C101))="CAS"),"Casual","Unknown"))))="Unknown","EmploymentType not recognised - use Full-Time, Part-Time or Casual. ","")&amp;IF(AND(AM101&gt;=1,IF(AM101&gt;=3,AS101,IF(AM101=2,AR101,AQ101))&lt;&gt;IF($C101="","",IF(OR(ISNUMBER(SEARCH("full",$C101)),UPPER(TRIM($C101))="FT",UPPER(TRIM($C101))="FTE"),"Full-Time",IF(OR(ISNUMBER(SEARCH("part",$C101)),UPPER(TRIM($C101))="PT",UPPER(TRIM($C101))="PTE"),"Part-Time",IF(OR(ISNUMBER(SEARCH("cas",$C101)),UPPER(TRIM($C101))="CAS"),"Casual","Unknown"))))),"EmploymentType does not match latest start date ("&amp;IF(AM101&gt;=3,AS101,IF(AM101=2,AR101,AQ101))&amp;"). ","")&amp;IF(AND(AM101&gt;=1,AN101&lt;&gt;$F101),"Earliest type date should equal StartDate. ","")&amp;IF(AND(AM101&gt;=2,AN101=AO101),"Two types start on the same date. ","")&amp;IF(AND(OR(ISNUMBER(SEARCH("part",$C101)),UPPER(TRIM($C101))="PT",UPPER(TRIM($C101))="PTE"),$P101=""),"Part-time: enter PT Hrs/Week (blank = 24+). ","")))</f>
        <v/>
      </c>
      <c r="AE101" s="17" t="str">
        <f aca="false">IF(AK101=0,"",O101-MAX(0,BL101-BQ101))</f>
        <v/>
      </c>
      <c r="AF101" s="14" t="str">
        <f aca="false">IF(OR(AK101=0,AE101="",N(AE101)=0,BM101=""),"",EDATE(AL101,BM101))</f>
        <v/>
      </c>
      <c r="AG101" s="17" t="str">
        <f aca="false">IF(AK101=0,"",MIN(BD101,BQ101))</f>
        <v/>
      </c>
      <c r="AH101" s="17" t="str">
        <f aca="false">IF(AK101=0,"",IF(NOT(LH_Ready),"",IF(BG101=0,0,MAX(0,ROUND(N(T101)+N(U101)-N101,2)))))</f>
        <v/>
      </c>
      <c r="AI101" s="12"/>
      <c r="AJ101" s="12"/>
      <c r="AK101" s="16" t="n">
        <f aca="false">IF(OR(LEN($A101&amp;$B101)=0,$F101=""),0,1)</f>
        <v>0</v>
      </c>
      <c r="AL101" s="14" t="str">
        <f aca="false">IF(AK101=0,"",IF(PreSchemeCounts="No",MAX(SchemeStart,IF($J101&lt;&gt;"",$J101,IF(OR(CasualCounts="Yes",COUNT($G101:$I101)=0),$F101,IF(Apply2026="No",IF($I101="",$F101,$I101),IF(COUNT($H101:$I101)=0,$F101,MIN($H101:$I101)))))),IF($J101&lt;&gt;"",$J101,IF(OR(CasualCounts="Yes",COUNT($G101:$I101)=0),$F101,IF(Apply2026="No",IF($I101="",$F101,$I101),IF(COUNT($H101:$I101)=0,$F101,MIN($H101:$I101)))))))</f>
        <v/>
      </c>
      <c r="AM101" s="16" t="str">
        <f aca="false">IF(AK101=0,"",COUNT($G101:$I101))</f>
        <v/>
      </c>
      <c r="AN101" s="14" t="str">
        <f aca="false">IF(AK101=0,"",IFERROR(SMALL($G101:$I101,1),""))</f>
        <v/>
      </c>
      <c r="AO101" s="14" t="str">
        <f aca="false">IF(AK101=0,"",IFERROR(SMALL($G101:$I101,2),""))</f>
        <v/>
      </c>
      <c r="AP101" s="14" t="str">
        <f aca="false">IF(AK101=0,"",IFERROR(SMALL($G101:$I101,3),""))</f>
        <v/>
      </c>
      <c r="AQ101" s="16" t="str">
        <f aca="false">IF(AK101=0,"",IF(AN101="","",IF(AN101=$H101,"Part-Time",IF(AN101=$I101,"Full-Time","Casual"))))</f>
        <v/>
      </c>
      <c r="AR101" s="16" t="str">
        <f aca="false">IF(AK101=0,"",IF(AO101="","",IF(AO101=$H101,"Part-Time",IF(AO101=$I101,"Full-Time","Casual"))))</f>
        <v/>
      </c>
      <c r="AS101" s="16" t="str">
        <f aca="false">IF(AK101=0,"",IF(AP101="","",IF(AP101=$H101,"Part-Time",IF(AP101=$I101,"Full-Time","Casual"))))</f>
        <v/>
      </c>
      <c r="AT101" s="16" t="str">
        <f aca="false">IF(AK101=0,"",IF(AM101=0,IF(OR(ISNUMBER(SEARCH("full",$C101)),UPPER(TRIM($C101))="FT",UPPER(TRIM($C101))="FTE"),"FT",IF(AND(OR(ISNUMBER(SEARCH("part",$C101)),UPPER(TRIM($C101))="PT",UPPER(TRIM($C101))="PTE"),Apply2026="Yes",OR($P101="",N($P101)&gt;=PT_MinHours)),"PT","None")),IF(OR(ISNUMBER(SEARCH("full",AQ101)),UPPER(TRIM(AQ101))="FT",UPPER(TRIM(AQ101))="FTE"),"FT",IF(AND(OR(ISNUMBER(SEARCH("part",AQ101)),UPPER(TRIM(AQ101))="PT",UPPER(TRIM(AQ101))="PTE"),Apply2026="Yes",OR($P101="",N($P101)&gt;=PT_MinHours)),"PT","None"))))</f>
        <v/>
      </c>
      <c r="AU101" s="16" t="str">
        <f aca="false">IF(AK101=0,"",IF(AM101&lt;2,"",IF(OR(ISNUMBER(SEARCH("full",AR101)),UPPER(TRIM(AR101))="FT",UPPER(TRIM(AR101))="FTE"),"FT",IF(AND(OR(ISNUMBER(SEARCH("part",AR101)),UPPER(TRIM(AR101))="PT",UPPER(TRIM(AR101))="PTE"),Apply2026="Yes",OR($P101="",N($P101)&gt;=PT_MinHours)),"PT","None"))))</f>
        <v/>
      </c>
      <c r="AV101" s="16" t="str">
        <f aca="false">IF(AK101=0,"",IF(AM101&lt;3,"",IF(OR(ISNUMBER(SEARCH("full",AS101)),UPPER(TRIM(AS101))="FT",UPPER(TRIM(AS101))="FTE"),"FT",IF(AND(OR(ISNUMBER(SEARCH("part",AS101)),UPPER(TRIM(AS101))="PT",UPPER(TRIM(AS101))="PTE"),Apply2026="Yes",OR($P101="",N($P101)&gt;=PT_MinHours)),"PT","None"))))</f>
        <v/>
      </c>
      <c r="AW101" s="16" t="str">
        <f aca="false">IF(AK101=0,"",IF(AND(AM101&gt;=3,AP101&lt;=AsOfDate),AV101,IF(AND(AM101&gt;=2,AO101&lt;=AsOfDate),AU101,AT101)))</f>
        <v/>
      </c>
      <c r="AX101" s="16" t="str">
        <f aca="false">IF(AK101=0,"",IF(AsOfDate&lt;AL101,-1,12*(YEAR(AsOfDate)-YEAR(AL101))+MONTH(AsOfDate)-MONTH(AL101)-IF(DAY(AsOfDate)&lt;MIN(DAY(AL101),DAY(EOMONTH(AsOfDate,0))),1,0)))</f>
        <v/>
      </c>
      <c r="AY101" s="16" t="str">
        <f aca="false">IF(AK101=0,"",IF(OR(AM101&lt;2,AO101&gt;AsOfDate),AX101,IF((AO101-1)&lt;AL101,-1,12*(YEAR((AO101-1))-YEAR(AL101))+MONTH((AO101-1))-MONTH(AL101)-IF(DAY((AO101-1))&lt;MIN(DAY(AL101),DAY(EOMONTH((AO101-1),0))),1,0))))</f>
        <v/>
      </c>
      <c r="AZ101" s="16" t="str">
        <f aca="false">IF(AK101=0,"",IF(OR(AM101&lt;3,AP101&gt;AsOfDate),AX101,IF((AP101-1)&lt;AL101,-1,12*(YEAR((AP101-1))-YEAR(AL101))+MONTH((AP101-1))-MONTH(AL101)-IF(DAY((AP101-1))&lt;MIN(DAY(AL101),DAY(EOMONTH((AP101-1),0))),1,0))))</f>
        <v/>
      </c>
      <c r="BA101" s="16" t="str">
        <f aca="false">IF(AK101=0,"",IF(PFYDate&lt;AL101,-1,12*(YEAR(PFYDate)-YEAR(AL101))+MONTH(PFYDate)-MONTH(AL101)-IF(DAY(PFYDate)&lt;MIN(DAY(AL101),DAY(EOMONTH(PFYDate,0))),1,0)))</f>
        <v/>
      </c>
      <c r="BB101" s="16" t="str">
        <f aca="false">IF(AK101=0,"",IF(OR(AM101&lt;2,AO101&gt;PFYDate),BA101,IF((AO101-1)&lt;AL101,-1,12*(YEAR((AO101-1))-YEAR(AL101))+MONTH((AO101-1))-MONTH(AL101)-IF(DAY((AO101-1))&lt;MIN(DAY(AL101),DAY(EOMONTH((AO101-1),0))),1,0))))</f>
        <v/>
      </c>
      <c r="BC101" s="16" t="str">
        <f aca="false">IF(AK101=0,"",IF(OR(AM101&lt;3,AP101&gt;PFYDate),BA101,IF((AP101-1)&lt;AL101,-1,12*(YEAR((AP101-1))-YEAR(AL101))+MONTH((AP101-1))-MONTH(AL101)-IF(DAY((AP101-1))&lt;MIN(DAY(AL101),DAY(EOMONTH((AP101-1),0))),1,0))))</f>
        <v/>
      </c>
      <c r="BD101" s="16" t="str">
        <f aca="false">IF(AK101=0,"",IF(AT101="FT",IF(AY101&lt;FT_First,0,IF(AY101&lt;FT_Y5,1+INT((AY101-FT_First)/FT_Int1),FT_PreY5+FT_PerYear*INT((AY101-FT_Y5)/12)+FT_AnnivDays+INT(MOD(AY101-FT_Y5,12)/FT_Int2)-IF(EDATE(AL101,FT_Y5)&lt;PolicyEff,FT_AnnivDays-1,0))),IF(AT101="PT",IF(AY101&lt;PT_First,0,1+INT((AY101-PT_First)/PT_Int)),0))+IF(AND(AM101&gt;=2,AO101&lt;=AsOfDate),IF(AU101="FT",IF(AZ101&lt;FT_First,0,IF(AZ101&lt;FT_Y5,1+INT((AZ101-FT_First)/FT_Int1),FT_PreY5+FT_PerYear*INT((AZ101-FT_Y5)/12)+FT_AnnivDays+INT(MOD(AZ101-FT_Y5,12)/FT_Int2)-IF(EDATE(AL101,FT_Y5)&lt;PolicyEff,FT_AnnivDays-1,0))),IF(AU101="PT",IF(AZ101&lt;PT_First,0,1+INT((AZ101-PT_First)/PT_Int)),0))-IF(AU101="FT",IF(AY101&lt;FT_First,0,IF(AY101&lt;FT_Y5,1+INT((AY101-FT_First)/FT_Int1),FT_PreY5+FT_PerYear*INT((AY101-FT_Y5)/12)+FT_AnnivDays+INT(MOD(AY101-FT_Y5,12)/FT_Int2)-IF(EDATE(AL101,FT_Y5)&lt;PolicyEff,FT_AnnivDays-1,0))),IF(AU101="PT",IF(AY101&lt;PT_First,0,1+INT((AY101-PT_First)/PT_Int)),0)),0)+IF(AND(AM101&gt;=3,AP101&lt;=AsOfDate),IF(AV101="FT",IF(AX101&lt;FT_First,0,IF(AX101&lt;FT_Y5,1+INT((AX101-FT_First)/FT_Int1),FT_PreY5+FT_PerYear*INT((AX101-FT_Y5)/12)+FT_AnnivDays+INT(MOD(AX101-FT_Y5,12)/FT_Int2)-IF(EDATE(AL101,FT_Y5)&lt;PolicyEff,FT_AnnivDays-1,0))),IF(AV101="PT",IF(AX101&lt;PT_First,0,1+INT((AX101-PT_First)/PT_Int)),0))-IF(AV101="FT",IF(AZ101&lt;FT_First,0,IF(AZ101&lt;FT_Y5,1+INT((AZ101-FT_First)/FT_Int1),FT_PreY5+FT_PerYear*INT((AZ101-FT_Y5)/12)+FT_AnnivDays+INT(MOD(AZ101-FT_Y5,12)/FT_Int2)-IF(EDATE(AL101,FT_Y5)&lt;PolicyEff,FT_AnnivDays-1,0))),IF(AV101="PT",IF(AZ101&lt;PT_First,0,1+INT((AZ101-PT_First)/PT_Int)),0)),0))</f>
        <v/>
      </c>
      <c r="BE101" s="16" t="str">
        <f aca="false">IF(AK101=0,"",IF(AT101="FT",IF(BB101&lt;FT_First,0,IF(BB101&lt;FT_Y5,1+INT((BB101-FT_First)/FT_Int1),FT_PreY5+FT_PerYear*INT((BB101-FT_Y5)/12)+FT_AnnivDays+INT(MOD(BB101-FT_Y5,12)/FT_Int2)-IF(EDATE(AL101,FT_Y5)&lt;PolicyEff,FT_AnnivDays-1,0))),IF(AT101="PT",IF(BB101&lt;PT_First,0,1+INT((BB101-PT_First)/PT_Int)),0))+IF(AND(AM101&gt;=2,AO101&lt;=PFYDate),IF(AU101="FT",IF(BC101&lt;FT_First,0,IF(BC101&lt;FT_Y5,1+INT((BC101-FT_First)/FT_Int1),FT_PreY5+FT_PerYear*INT((BC101-FT_Y5)/12)+FT_AnnivDays+INT(MOD(BC101-FT_Y5,12)/FT_Int2)-IF(EDATE(AL101,FT_Y5)&lt;PolicyEff,FT_AnnivDays-1,0))),IF(AU101="PT",IF(BC101&lt;PT_First,0,1+INT((BC101-PT_First)/PT_Int)),0))-IF(AU101="FT",IF(BB101&lt;FT_First,0,IF(BB101&lt;FT_Y5,1+INT((BB101-FT_First)/FT_Int1),FT_PreY5+FT_PerYear*INT((BB101-FT_Y5)/12)+FT_AnnivDays+INT(MOD(BB101-FT_Y5,12)/FT_Int2)-IF(EDATE(AL101,FT_Y5)&lt;PolicyEff,FT_AnnivDays-1,0))),IF(AU101="PT",IF(BB101&lt;PT_First,0,1+INT((BB101-PT_First)/PT_Int)),0)),0)+IF(AND(AM101&gt;=3,AP101&lt;=PFYDate),IF(AV101="FT",IF(BA101&lt;FT_First,0,IF(BA101&lt;FT_Y5,1+INT((BA101-FT_First)/FT_Int1),FT_PreY5+FT_PerYear*INT((BA101-FT_Y5)/12)+FT_AnnivDays+INT(MOD(BA101-FT_Y5,12)/FT_Int2)-IF(EDATE(AL101,FT_Y5)&lt;PolicyEff,FT_AnnivDays-1,0))),IF(AV101="PT",IF(BA101&lt;PT_First,0,1+INT((BA101-PT_First)/PT_Int)),0))-IF(AV101="FT",IF(BC101&lt;FT_First,0,IF(BC101&lt;FT_Y5,1+INT((BC101-FT_First)/FT_Int1),FT_PreY5+FT_PerYear*INT((BC101-FT_Y5)/12)+FT_AnnivDays+INT(MOD(BC101-FT_Y5,12)/FT_Int2)-IF(EDATE(AL101,FT_Y5)&lt;PolicyEff,FT_AnnivDays-1,0))),IF(AV101="PT",IF(BC101&lt;PT_First,0,1+INT((BC101-PT_First)/PT_Int)),0)),0))</f>
        <v/>
      </c>
      <c r="BF101" s="16" t="str">
        <f aca="false">IF(AK101=0,"",IF(AW101="FT",IF(AX101&lt;FT_First,FT_First,IF(AX101&lt;FT_Y5,MIN(FT_Y5,FT_First+FT_Int1*(INT((AX101-FT_First)/FT_Int1)+1)),FT_Y5+12*INT((AX101-FT_Y5)/12)+FT_Int2*(INT(MOD(AX101-FT_Y5,12)/FT_Int2)+1))),IF(AW101="PT",IF(AX101&lt;PT_First,PT_First,PT_First+PT_Int*(INT((AX101-PT_First)/PT_Int)+1)),"")))</f>
        <v/>
      </c>
      <c r="BG101" s="16" t="str">
        <f aca="false">IF(AK101=0,"",IF(NOT(LH_Ready),0,COUNTIFS(INDEX(LH_Data,0,LH_ColFirst),$A101,INDEX(LH_Data,0,LH_ColSur),$B101,INDEX(LH_Data,0,LH_ColCat),BonusCat)))</f>
        <v/>
      </c>
      <c r="BH101" s="16" t="str">
        <f aca="false">IF(AK101=0,"",IF(OR(NOT(LH_Ready),BG101=0),0,SUMPRODUCT(MAX((INDEX(LH_Data,0,LH_ColFirst)=$A101)*(INDEX(LH_Data,0,LH_ColSur)=$B101)*(INDEX(LH_Data,0,LH_ColCat)=BonusCat)*ROW(LH_Data)))))</f>
        <v/>
      </c>
      <c r="BI101" s="16" t="str">
        <f aca="false">IF(AK101=0,"",IF(EOMONTH(AsOfDate,-1)&lt;AL101,-1,12*(YEAR(EOMONTH(AsOfDate,-1))-YEAR(AL101))+MONTH(EOMONTH(AsOfDate,-1))-MONTH(AL101)-IF(DAY(EOMONTH(AsOfDate,-1))&lt;MIN(DAY(AL101),DAY(EOMONTH(EOMONTH(AsOfDate,-1),0))),1,0)))</f>
        <v/>
      </c>
      <c r="BJ101" s="16" t="str">
        <f aca="false">IF(AK101=0,"",IF(OR(AM101&lt;2,AO101&gt;EOMONTH(AsOfDate,-1)),BI101,IF((AO101-1)&lt;AL101,-1,12*(YEAR((AO101-1))-YEAR(AL101))+MONTH((AO101-1))-MONTH(AL101)-IF(DAY((AO101-1))&lt;MIN(DAY(AL101),DAY(EOMONTH((AO101-1),0))),1,0))))</f>
        <v/>
      </c>
      <c r="BK101" s="16" t="str">
        <f aca="false">IF(AK101=0,"",IF(OR(AM101&lt;3,AP101&gt;EOMONTH(AsOfDate,-1)),BI101,IF((AP101-1)&lt;AL101,-1,12*(YEAR((AP101-1))-YEAR(AL101))+MONTH((AP101-1))-MONTH(AL101)-IF(DAY((AP101-1))&lt;MIN(DAY(AL101),DAY(EOMONTH((AP101-1),0))),1,0))))</f>
        <v/>
      </c>
      <c r="BL101" s="16" t="str">
        <f aca="false">IF(AK101=0,"",IF(AT101="FT",IF(BJ101&lt;FT_First,0,IF(BJ101&lt;FT_Y5,1+INT((BJ101-FT_First)/FT_Int1),FT_PreY5+FT_PerYear*INT((BJ101-FT_Y5)/12)+FT_AnnivDays+INT(MOD(BJ101-FT_Y5,12)/FT_Int2)-IF(EDATE(AL101,FT_Y5)&lt;PolicyEff,FT_AnnivDays-1,0))),IF(AT101="PT",IF(BJ101&lt;PT_First,0,1+INT((BJ101-PT_First)/PT_Int)),0))+IF(AND(AM101&gt;=2,AO101&lt;=EOMONTH(AsOfDate,-1)),IF(AU101="FT",IF(BK101&lt;FT_First,0,IF(BK101&lt;FT_Y5,1+INT((BK101-FT_First)/FT_Int1),FT_PreY5+FT_PerYear*INT((BK101-FT_Y5)/12)+FT_AnnivDays+INT(MOD(BK101-FT_Y5,12)/FT_Int2)-IF(EDATE(AL101,FT_Y5)&lt;PolicyEff,FT_AnnivDays-1,0))),IF(AU101="PT",IF(BK101&lt;PT_First,0,1+INT((BK101-PT_First)/PT_Int)),0))-IF(AU101="FT",IF(BJ101&lt;FT_First,0,IF(BJ101&lt;FT_Y5,1+INT((BJ101-FT_First)/FT_Int1),FT_PreY5+FT_PerYear*INT((BJ101-FT_Y5)/12)+FT_AnnivDays+INT(MOD(BJ101-FT_Y5,12)/FT_Int2)-IF(EDATE(AL101,FT_Y5)&lt;PolicyEff,FT_AnnivDays-1,0))),IF(AU101="PT",IF(BJ101&lt;PT_First,0,1+INT((BJ101-PT_First)/PT_Int)),0)),0)+IF(AND(AM101&gt;=3,AP101&lt;=EOMONTH(AsOfDate,-1)),IF(AV101="FT",IF(BI101&lt;FT_First,0,IF(BI101&lt;FT_Y5,1+INT((BI101-FT_First)/FT_Int1),FT_PreY5+FT_PerYear*INT((BI101-FT_Y5)/12)+FT_AnnivDays+INT(MOD(BI101-FT_Y5,12)/FT_Int2)-IF(EDATE(AL101,FT_Y5)&lt;PolicyEff,FT_AnnivDays-1,0))),IF(AV101="PT",IF(BI101&lt;PT_First,0,1+INT((BI101-PT_First)/PT_Int)),0))-IF(AV101="FT",IF(BK101&lt;FT_First,0,IF(BK101&lt;FT_Y5,1+INT((BK101-FT_First)/FT_Int1),FT_PreY5+FT_PerYear*INT((BK101-FT_Y5)/12)+FT_AnnivDays+INT(MOD(BK101-FT_Y5,12)/FT_Int2)-IF(EDATE(AL101,FT_Y5)&lt;PolicyEff,FT_AnnivDays-1,0))),IF(AV101="PT",IF(BK101&lt;PT_First,0,1+INT((BK101-PT_First)/PT_Int)),0)),0))</f>
        <v/>
      </c>
      <c r="BM101" s="16" t="str">
        <f aca="false">IF(AK101=0,"",IF(AW101="FT",IF(AX101&lt;FT_First,"",IF(AX101&lt;FT_Y5,FT_First+FT_Int1*INT((AX101-FT_First)/FT_Int1),FT_Y5+FT_Int2*INT((AX101-FT_Y5)/FT_Int2))),IF(AW101="PT",IF(AX101&lt;PT_First,"",PT_First+PT_Int*INT((AX101-PT_First)/PT_Int)),"")))</f>
        <v/>
      </c>
      <c r="BN101" s="16" t="str">
        <f aca="false">IF(AK101=0,"",IF((SchemeStart-1)&lt;AL101,-1,12*(YEAR((SchemeStart-1))-YEAR(AL101))+MONTH((SchemeStart-1))-MONTH(AL101)-IF(DAY((SchemeStart-1))&lt;MIN(DAY(AL101),DAY(EOMONTH((SchemeStart-1),0))),1,0)))</f>
        <v/>
      </c>
      <c r="BO101" s="16" t="str">
        <f aca="false">IF(AK101=0,"",IF(OR(AM101&lt;2,AO101&gt;(SchemeStart-1)),BN101,IF((AO101-1)&lt;AL101,-1,12*(YEAR((AO101-1))-YEAR(AL101))+MONTH((AO101-1))-MONTH(AL101)-IF(DAY((AO101-1))&lt;MIN(DAY(AL101),DAY(EOMONTH((AO101-1),0))),1,0))))</f>
        <v/>
      </c>
      <c r="BP101" s="16" t="str">
        <f aca="false">IF(AK101=0,"",IF(OR(AM101&lt;3,AP101&gt;(SchemeStart-1)),BN101,IF((AP101-1)&lt;AL101,-1,12*(YEAR((AP101-1))-YEAR(AL101))+MONTH((AP101-1))-MONTH(AL101)-IF(DAY((AP101-1))&lt;MIN(DAY(AL101),DAY(EOMONTH((AP101-1),0))),1,0))))</f>
        <v/>
      </c>
      <c r="BQ101" s="16" t="str">
        <f aca="false">IF(AK101=0,"",IF(AT101="FT",IF(BO101&lt;FT_First,0,IF(BO101&lt;FT_Y5,1+INT((BO101-FT_First)/FT_Int1),FT_PreY5+FT_PerYear*INT((BO101-FT_Y5)/12)+FT_AnnivDays+INT(MOD(BO101-FT_Y5,12)/FT_Int2)-IF(EDATE(AL101,FT_Y5)&lt;PolicyEff,FT_AnnivDays-1,0))),IF(AT101="PT",IF(BO101&lt;PT_First,0,1+INT((BO101-PT_First)/PT_Int)),0))+IF(AND(AM101&gt;=2,AO101&lt;=(SchemeStart-1)),IF(AU101="FT",IF(BP101&lt;FT_First,0,IF(BP101&lt;FT_Y5,1+INT((BP101-FT_First)/FT_Int1),FT_PreY5+FT_PerYear*INT((BP101-FT_Y5)/12)+FT_AnnivDays+INT(MOD(BP101-FT_Y5,12)/FT_Int2)-IF(EDATE(AL101,FT_Y5)&lt;PolicyEff,FT_AnnivDays-1,0))),IF(AU101="PT",IF(BP101&lt;PT_First,0,1+INT((BP101-PT_First)/PT_Int)),0))-IF(AU101="FT",IF(BO101&lt;FT_First,0,IF(BO101&lt;FT_Y5,1+INT((BO101-FT_First)/FT_Int1),FT_PreY5+FT_PerYear*INT((BO101-FT_Y5)/12)+FT_AnnivDays+INT(MOD(BO101-FT_Y5,12)/FT_Int2)-IF(EDATE(AL101,FT_Y5)&lt;PolicyEff,FT_AnnivDays-1,0))),IF(AU101="PT",IF(BO101&lt;PT_First,0,1+INT((BO101-PT_First)/PT_Int)),0)),0)+IF(AND(AM101&gt;=3,AP101&lt;=(SchemeStart-1)),IF(AV101="FT",IF(BN101&lt;FT_First,0,IF(BN101&lt;FT_Y5,1+INT((BN101-FT_First)/FT_Int1),FT_PreY5+FT_PerYear*INT((BN101-FT_Y5)/12)+FT_AnnivDays+INT(MOD(BN101-FT_Y5,12)/FT_Int2)-IF(EDATE(AL101,FT_Y5)&lt;PolicyEff,FT_AnnivDays-1,0))),IF(AV101="PT",IF(BN101&lt;PT_First,0,1+INT((BN101-PT_First)/PT_Int)),0))-IF(AV101="FT",IF(BP101&lt;FT_First,0,IF(BP101&lt;FT_Y5,1+INT((BP101-FT_First)/FT_Int1),FT_PreY5+FT_PerYear*INT((BP101-FT_Y5)/12)+FT_AnnivDays+INT(MOD(BP101-FT_Y5,12)/FT_Int2)-IF(EDATE(AL101,FT_Y5)&lt;PolicyEff,FT_AnnivDays-1,0))),IF(AV101="PT",IF(BP101&lt;PT_First,0,1+INT((BP101-PT_First)/PT_Int)),0)),0))</f>
        <v/>
      </c>
      <c r="BR101" s="0" t="str">
        <f aca="false">IF(LEN($A101&amp;$B101)=0,"",$A101&amp;" "&amp;$B101)</f>
        <v/>
      </c>
    </row>
    <row r="102" customFormat="false" ht="15" hidden="false" customHeight="false" outlineLevel="0" collapsed="false">
      <c r="A102" s="12"/>
      <c r="B102" s="12"/>
      <c r="C102" s="12"/>
      <c r="D102" s="13"/>
      <c r="E102" s="14" t="str">
        <f aca="false">IF(OR(AK102=0,$D102=""),"",DATE(YEAR(AsOfDate)+IF(DATE(YEAR(AsOfDate),MONTH($D102),DAY($D102))&lt;=AsOfDate,1,0),MONTH($D102),DAY($D102)))</f>
        <v/>
      </c>
      <c r="F102" s="13"/>
      <c r="G102" s="13"/>
      <c r="H102" s="13"/>
      <c r="I102" s="13"/>
      <c r="J102" s="13"/>
      <c r="K102" s="14" t="str">
        <f aca="false">IF(AK102=0,"",DATE(YEAR(AsOfDate)+IF(DATE(YEAR(AsOfDate),MONTH(AL102),DAY(AL102))&lt;=AsOfDate,1,0),MONTH(AL102),DAY(AL102)))</f>
        <v/>
      </c>
      <c r="L102" s="15" t="str">
        <f aca="false">IF(AK102=0,"",ROUND((AsOfDate-AL102)/365.25,1))</f>
        <v/>
      </c>
      <c r="M102" s="16" t="str">
        <f aca="false">IF(AK102=0,"",IF(AsOfDate&lt;AL102,"-",DATEDIF(AL102,AsOfDate,"y")&amp;"y "&amp;DATEDIF(AL102,AsOfDate,"ym")&amp;"m "&amp;DATEDIF(AL102,AsOfDate,"md")&amp;"d"))</f>
        <v/>
      </c>
      <c r="N102" s="17" t="str">
        <f aca="false">IF(AK102=0,"",O102*HoursPerDay)</f>
        <v/>
      </c>
      <c r="O102" s="17" t="str">
        <f aca="false">IF(AK102=0,"",MAX(0,BD102-BQ102))</f>
        <v/>
      </c>
      <c r="P102" s="18"/>
      <c r="Q102" s="16" t="str">
        <f aca="false">IF(AK102=0,"",IF(AM102&lt;2,"",AQ102&amp;" to "&amp;AR102&amp;" on "&amp;TEXT(AO102,"dd/mm/yyyy")&amp;IF(AO102&gt;AsOfDate," (future)",IF(AT102=AU102,"",IF(AU102="None"," - STOPPED accruing",IF(AT102="None"," - commencement for Bonus Leave"," - pathway changed"))))&amp;IF(AM102&lt;3,"","; "&amp;AR102&amp;" to "&amp;AS102&amp;" on "&amp;TEXT(AP102,"dd/mm/yyyy")&amp;IF(AP102&gt;AsOfDate," (future)",IF(AU102=AV102,"",IF(AV102="None"," - STOPPED accruing",IF(AU102="None"," - commencement for Bonus Leave"," - pathway changed")))))))</f>
        <v/>
      </c>
      <c r="R102" s="16" t="str">
        <f aca="false">IF(AK102=0,"",IF(AW102="None",IF(O102&gt;0,"No longer accruing","Not eligible - "&amp;IF(AND(OR(ISNUMBER(SEARCH("part",$C102)),UPPER(TRIM($C102))="PT",UPPER(TRIM($C102))="PTE"),Apply2026="No"),"part-time (scheme is full-time only)",IF(AND(OR(ISNUMBER(SEARCH("part",$C102)),UPPER(TRIM($C102))="PT",UPPER(TRIM($C102))="PTE"),$P102&lt;&gt;"",N($P102)&lt;PT_MinHours),"under "&amp;PT_MinHours&amp;" hrs",IF(IF($C102="","",IF(OR(ISNUMBER(SEARCH("full",$C102)),UPPER(TRIM($C102))="FT",UPPER(TRIM($C102))="FTE"),"Full-Time",IF(OR(ISNUMBER(SEARCH("part",$C102)),UPPER(TRIM($C102))="PT",UPPER(TRIM($C102))="PTE"),"Part-Time",IF(OR(ISNUMBER(SEARCH("cas",$C102)),UPPER(TRIM($C102))="CAS"),"Casual","Unknown"))))="Unknown","type not recognised",$C102)))),IF(O102&gt;0,"Yes - Accrual Required","Not yet - from "&amp;TEXT(S102,"dd/mm/yyyy"))))</f>
        <v/>
      </c>
      <c r="S102" s="14" t="str">
        <f aca="false">IF(AK102=0,"",IF(AW102="None","",EDATE(AL102,BF102)))</f>
        <v/>
      </c>
      <c r="T102" s="17" t="str">
        <f aca="false">IF(AK102=0,"",IF(NOT(LH_Ready),"",IF($F102&gt;PFYDate,0,IF(LH_ColPeriod=0,W102-U102+V102,SUMIFS(INDEX(LH_Data,0,LH_ColAcc),INDEX(LH_Data,0,LH_ColFirst),$A102,INDEX(LH_Data,0,LH_ColSur),$B102,INDEX(LH_Data,0,LH_ColCat),BonusCat,INDEX(LH_Data,0,LH_ColPeriod),LH_OpenLabel)*UnitFactor))))</f>
        <v/>
      </c>
      <c r="U102" s="17" t="str">
        <f aca="false">IF(AK102=0,"",IF(NOT(LH_Ready),"",SUMIFS(INDEX(LH_Data,0,LH_ColAcc),INDEX(LH_Data,0,LH_ColFirst),$A102,INDEX(LH_Data,0,LH_ColSur),$B102,INDEX(LH_Data,0,LH_ColCat),BonusCat,INDEX(LH_Data,0,LH_ColStart),"&gt;="&amp;AL102)*UnitFactor))</f>
        <v/>
      </c>
      <c r="V102" s="17" t="str">
        <f aca="false">IF(AK102=0,"",IF(NOT(LH_Ready),"",SUMIFS(INDEX(LH_Data,0,LH_ColTaken),INDEX(LH_Data,0,LH_ColFirst),$A102,INDEX(LH_Data,0,LH_ColSur),$B102,INDEX(LH_Data,0,LH_ColCat),BonusCat,INDEX(LH_Data,0,LH_ColStart),"&gt;="&amp;AL102)*UnitFactor))</f>
        <v/>
      </c>
      <c r="W102" s="17" t="str">
        <f aca="false">IF(AK102=0,"",IF(NOT(LH_Ready),"",IF(BH102=0,0,INDEX(INDEX(LH_Data,0,LH_ColClose),BH102-1)*UnitFactor)))</f>
        <v/>
      </c>
      <c r="X102" s="17" t="str">
        <f aca="false">IF(AK102=0,"",(MAX(0,BD102-BQ102)-MAX(0,BE102-BQ102))*HoursPerDay)</f>
        <v/>
      </c>
      <c r="Y102" s="17" t="str">
        <f aca="false">IF(AK102=0,"",IF(NOT(LH_Ready),"",IF($AI102="Yes",N(AE102)*HoursPerDay-SUMIFS(INDEX(LH_Data,0,LH_ColAcc),INDEX(LH_Data,0,LH_ColFirst),$A102,INDEX(LH_Data,0,LH_ColSur),$B102,INDEX(LH_Data,0,LH_ColCat),BonusCat,INDEX(LH_Data,0,LH_ColStart),"&gt;="&amp;(EOMONTH(AsOfDate,-1)+1),INDEX(LH_Data,0,LH_ColStart),"&lt;="&amp;AsOfDate)*UnitFactor,IF(BG102=0,N102,N102-N(T102)-N(U102)))))</f>
        <v/>
      </c>
      <c r="Z102" s="16" t="str">
        <f aca="false">IF(OR(AK102=0,Y102=""),"",IF(Y102&gt;0,"Yes","No"))</f>
        <v/>
      </c>
      <c r="AA102" s="16" t="str">
        <f aca="false">IF(AK102=0,IF(LEN($A102&amp;$B102)=0,"","FIX INPUT - StartDate missing"),IF(AD102&lt;&gt;"","FIX INPUT - "&amp;AD102,IF(NOT(LH_Ready),"Paste Leave History export (Settings must show YES)",IF(AND($AI102="Yes",Y102&lt;=0),"OK - EH balance accepted to date"&amp;IF(N(AH102)&gt;0," (EH holds "&amp;AH102&amp;" hrs over the scheme)","")&amp;"; next day "&amp;TEXT(S102,"dd mmm yy")&amp;IF(N(AE102)&gt;0," ("&amp;AE102&amp;" day(s) for "&amp;UPPER(TEXT(AsOfDate,"mmm yyyy"))&amp;" already in EH)",""),IF(Y102&gt;0,"ACCRUE "&amp;ROUND(Y102,2)&amp;" hrs ("&amp;ROUND(Y102/HoursPerDay,2)&amp;" days): "&amp;IF(N(AE102)&gt;0,AE102&amp;" day(s) for "&amp;UPPER(TEXT(AsOfDate,"mmm yyyy"))&amp;" (milestone "&amp;UPPER(TEXT(AF102,"dd mmm yy"))&amp;")"&amp;IF(Y102/HoursPerDay&gt;AE102+0.001," + "&amp;ROUND(Y102/HoursPerDay-AE102,2)&amp;" day(s) catch-up from earlier months",""),"all catch-up from earlier months, nothing new this month")&amp;IF(BG102=0,"; no Bonus Leave in EH yet",""),IF(Y102&lt;0,"CHECK - EH accrued "&amp;ROUND(-Y102,2)&amp;" hrs more than policy since commencement",IF(N(W102)&gt;O102*HoursPerDay+0.01,"CHECK - EH balance "&amp;ROUND(W102-O102*HoursPerDay,2)&amp;" hrs more than policy entitlement",IF(O102&gt;0,"OK - nothing to add"&amp;IF(N(AE102)&gt;0," ("&amp;AE102&amp;" day(s) for "&amp;UPPER(TEXT(AsOfDate,"mmm yyyy"))&amp;" already in EH)",""),IF(AW102="None",R102,"Not yet - first day on "&amp;TEXT(S102,"dd/mm/yyyy"))))))))))</f>
        <v/>
      </c>
      <c r="AB102" s="17" t="str">
        <f aca="false">IF(OR(AK102=0,T102=""),"",MAX(0,BE102-BQ102)*HoursPerDay-T102)</f>
        <v/>
      </c>
      <c r="AC102" s="16" t="str">
        <f aca="false">IF(AK102=0,"",BG102)</f>
        <v/>
      </c>
      <c r="AD102" s="16" t="str">
        <f aca="false">IF(AK102=0,"",TRIM(IF(OR(ISTEXT($F102),ISTEXT($H102),ISTEXT($I102),ISTEXT($G102),ISTEXT($J102),ISTEXT($D102)),"A date is typed as text - retype it as dd/mm/yyyy. ","")&amp;IF(IF($C102="","",IF(OR(ISNUMBER(SEARCH("full",$C102)),UPPER(TRIM($C102))="FT",UPPER(TRIM($C102))="FTE"),"Full-Time",IF(OR(ISNUMBER(SEARCH("part",$C102)),UPPER(TRIM($C102))="PT",UPPER(TRIM($C102))="PTE"),"Part-Time",IF(OR(ISNUMBER(SEARCH("cas",$C102)),UPPER(TRIM($C102))="CAS"),"Casual","Unknown"))))="Unknown","EmploymentType not recognised - use Full-Time, Part-Time or Casual. ","")&amp;IF(AND(AM102&gt;=1,IF(AM102&gt;=3,AS102,IF(AM102=2,AR102,AQ102))&lt;&gt;IF($C102="","",IF(OR(ISNUMBER(SEARCH("full",$C102)),UPPER(TRIM($C102))="FT",UPPER(TRIM($C102))="FTE"),"Full-Time",IF(OR(ISNUMBER(SEARCH("part",$C102)),UPPER(TRIM($C102))="PT",UPPER(TRIM($C102))="PTE"),"Part-Time",IF(OR(ISNUMBER(SEARCH("cas",$C102)),UPPER(TRIM($C102))="CAS"),"Casual","Unknown"))))),"EmploymentType does not match latest start date ("&amp;IF(AM102&gt;=3,AS102,IF(AM102=2,AR102,AQ102))&amp;"). ","")&amp;IF(AND(AM102&gt;=1,AN102&lt;&gt;$F102),"Earliest type date should equal StartDate. ","")&amp;IF(AND(AM102&gt;=2,AN102=AO102),"Two types start on the same date. ","")&amp;IF(AND(OR(ISNUMBER(SEARCH("part",$C102)),UPPER(TRIM($C102))="PT",UPPER(TRIM($C102))="PTE"),$P102=""),"Part-time: enter PT Hrs/Week (blank = 24+). ","")))</f>
        <v/>
      </c>
      <c r="AE102" s="17" t="str">
        <f aca="false">IF(AK102=0,"",O102-MAX(0,BL102-BQ102))</f>
        <v/>
      </c>
      <c r="AF102" s="14" t="str">
        <f aca="false">IF(OR(AK102=0,AE102="",N(AE102)=0,BM102=""),"",EDATE(AL102,BM102))</f>
        <v/>
      </c>
      <c r="AG102" s="17" t="str">
        <f aca="false">IF(AK102=0,"",MIN(BD102,BQ102))</f>
        <v/>
      </c>
      <c r="AH102" s="17" t="str">
        <f aca="false">IF(AK102=0,"",IF(NOT(LH_Ready),"",IF(BG102=0,0,MAX(0,ROUND(N(T102)+N(U102)-N102,2)))))</f>
        <v/>
      </c>
      <c r="AI102" s="12"/>
      <c r="AJ102" s="12"/>
      <c r="AK102" s="16" t="n">
        <f aca="false">IF(OR(LEN($A102&amp;$B102)=0,$F102=""),0,1)</f>
        <v>0</v>
      </c>
      <c r="AL102" s="14" t="str">
        <f aca="false">IF(AK102=0,"",IF(PreSchemeCounts="No",MAX(SchemeStart,IF($J102&lt;&gt;"",$J102,IF(OR(CasualCounts="Yes",COUNT($G102:$I102)=0),$F102,IF(Apply2026="No",IF($I102="",$F102,$I102),IF(COUNT($H102:$I102)=0,$F102,MIN($H102:$I102)))))),IF($J102&lt;&gt;"",$J102,IF(OR(CasualCounts="Yes",COUNT($G102:$I102)=0),$F102,IF(Apply2026="No",IF($I102="",$F102,$I102),IF(COUNT($H102:$I102)=0,$F102,MIN($H102:$I102)))))))</f>
        <v/>
      </c>
      <c r="AM102" s="16" t="str">
        <f aca="false">IF(AK102=0,"",COUNT($G102:$I102))</f>
        <v/>
      </c>
      <c r="AN102" s="14" t="str">
        <f aca="false">IF(AK102=0,"",IFERROR(SMALL($G102:$I102,1),""))</f>
        <v/>
      </c>
      <c r="AO102" s="14" t="str">
        <f aca="false">IF(AK102=0,"",IFERROR(SMALL($G102:$I102,2),""))</f>
        <v/>
      </c>
      <c r="AP102" s="14" t="str">
        <f aca="false">IF(AK102=0,"",IFERROR(SMALL($G102:$I102,3),""))</f>
        <v/>
      </c>
      <c r="AQ102" s="16" t="str">
        <f aca="false">IF(AK102=0,"",IF(AN102="","",IF(AN102=$H102,"Part-Time",IF(AN102=$I102,"Full-Time","Casual"))))</f>
        <v/>
      </c>
      <c r="AR102" s="16" t="str">
        <f aca="false">IF(AK102=0,"",IF(AO102="","",IF(AO102=$H102,"Part-Time",IF(AO102=$I102,"Full-Time","Casual"))))</f>
        <v/>
      </c>
      <c r="AS102" s="16" t="str">
        <f aca="false">IF(AK102=0,"",IF(AP102="","",IF(AP102=$H102,"Part-Time",IF(AP102=$I102,"Full-Time","Casual"))))</f>
        <v/>
      </c>
      <c r="AT102" s="16" t="str">
        <f aca="false">IF(AK102=0,"",IF(AM102=0,IF(OR(ISNUMBER(SEARCH("full",$C102)),UPPER(TRIM($C102))="FT",UPPER(TRIM($C102))="FTE"),"FT",IF(AND(OR(ISNUMBER(SEARCH("part",$C102)),UPPER(TRIM($C102))="PT",UPPER(TRIM($C102))="PTE"),Apply2026="Yes",OR($P102="",N($P102)&gt;=PT_MinHours)),"PT","None")),IF(OR(ISNUMBER(SEARCH("full",AQ102)),UPPER(TRIM(AQ102))="FT",UPPER(TRIM(AQ102))="FTE"),"FT",IF(AND(OR(ISNUMBER(SEARCH("part",AQ102)),UPPER(TRIM(AQ102))="PT",UPPER(TRIM(AQ102))="PTE"),Apply2026="Yes",OR($P102="",N($P102)&gt;=PT_MinHours)),"PT","None"))))</f>
        <v/>
      </c>
      <c r="AU102" s="16" t="str">
        <f aca="false">IF(AK102=0,"",IF(AM102&lt;2,"",IF(OR(ISNUMBER(SEARCH("full",AR102)),UPPER(TRIM(AR102))="FT",UPPER(TRIM(AR102))="FTE"),"FT",IF(AND(OR(ISNUMBER(SEARCH("part",AR102)),UPPER(TRIM(AR102))="PT",UPPER(TRIM(AR102))="PTE"),Apply2026="Yes",OR($P102="",N($P102)&gt;=PT_MinHours)),"PT","None"))))</f>
        <v/>
      </c>
      <c r="AV102" s="16" t="str">
        <f aca="false">IF(AK102=0,"",IF(AM102&lt;3,"",IF(OR(ISNUMBER(SEARCH("full",AS102)),UPPER(TRIM(AS102))="FT",UPPER(TRIM(AS102))="FTE"),"FT",IF(AND(OR(ISNUMBER(SEARCH("part",AS102)),UPPER(TRIM(AS102))="PT",UPPER(TRIM(AS102))="PTE"),Apply2026="Yes",OR($P102="",N($P102)&gt;=PT_MinHours)),"PT","None"))))</f>
        <v/>
      </c>
      <c r="AW102" s="16" t="str">
        <f aca="false">IF(AK102=0,"",IF(AND(AM102&gt;=3,AP102&lt;=AsOfDate),AV102,IF(AND(AM102&gt;=2,AO102&lt;=AsOfDate),AU102,AT102)))</f>
        <v/>
      </c>
      <c r="AX102" s="16" t="str">
        <f aca="false">IF(AK102=0,"",IF(AsOfDate&lt;AL102,-1,12*(YEAR(AsOfDate)-YEAR(AL102))+MONTH(AsOfDate)-MONTH(AL102)-IF(DAY(AsOfDate)&lt;MIN(DAY(AL102),DAY(EOMONTH(AsOfDate,0))),1,0)))</f>
        <v/>
      </c>
      <c r="AY102" s="16" t="str">
        <f aca="false">IF(AK102=0,"",IF(OR(AM102&lt;2,AO102&gt;AsOfDate),AX102,IF((AO102-1)&lt;AL102,-1,12*(YEAR((AO102-1))-YEAR(AL102))+MONTH((AO102-1))-MONTH(AL102)-IF(DAY((AO102-1))&lt;MIN(DAY(AL102),DAY(EOMONTH((AO102-1),0))),1,0))))</f>
        <v/>
      </c>
      <c r="AZ102" s="16" t="str">
        <f aca="false">IF(AK102=0,"",IF(OR(AM102&lt;3,AP102&gt;AsOfDate),AX102,IF((AP102-1)&lt;AL102,-1,12*(YEAR((AP102-1))-YEAR(AL102))+MONTH((AP102-1))-MONTH(AL102)-IF(DAY((AP102-1))&lt;MIN(DAY(AL102),DAY(EOMONTH((AP102-1),0))),1,0))))</f>
        <v/>
      </c>
      <c r="BA102" s="16" t="str">
        <f aca="false">IF(AK102=0,"",IF(PFYDate&lt;AL102,-1,12*(YEAR(PFYDate)-YEAR(AL102))+MONTH(PFYDate)-MONTH(AL102)-IF(DAY(PFYDate)&lt;MIN(DAY(AL102),DAY(EOMONTH(PFYDate,0))),1,0)))</f>
        <v/>
      </c>
      <c r="BB102" s="16" t="str">
        <f aca="false">IF(AK102=0,"",IF(OR(AM102&lt;2,AO102&gt;PFYDate),BA102,IF((AO102-1)&lt;AL102,-1,12*(YEAR((AO102-1))-YEAR(AL102))+MONTH((AO102-1))-MONTH(AL102)-IF(DAY((AO102-1))&lt;MIN(DAY(AL102),DAY(EOMONTH((AO102-1),0))),1,0))))</f>
        <v/>
      </c>
      <c r="BC102" s="16" t="str">
        <f aca="false">IF(AK102=0,"",IF(OR(AM102&lt;3,AP102&gt;PFYDate),BA102,IF((AP102-1)&lt;AL102,-1,12*(YEAR((AP102-1))-YEAR(AL102))+MONTH((AP102-1))-MONTH(AL102)-IF(DAY((AP102-1))&lt;MIN(DAY(AL102),DAY(EOMONTH((AP102-1),0))),1,0))))</f>
        <v/>
      </c>
      <c r="BD102" s="16" t="str">
        <f aca="false">IF(AK102=0,"",IF(AT102="FT",IF(AY102&lt;FT_First,0,IF(AY102&lt;FT_Y5,1+INT((AY102-FT_First)/FT_Int1),FT_PreY5+FT_PerYear*INT((AY102-FT_Y5)/12)+FT_AnnivDays+INT(MOD(AY102-FT_Y5,12)/FT_Int2)-IF(EDATE(AL102,FT_Y5)&lt;PolicyEff,FT_AnnivDays-1,0))),IF(AT102="PT",IF(AY102&lt;PT_First,0,1+INT((AY102-PT_First)/PT_Int)),0))+IF(AND(AM102&gt;=2,AO102&lt;=AsOfDate),IF(AU102="FT",IF(AZ102&lt;FT_First,0,IF(AZ102&lt;FT_Y5,1+INT((AZ102-FT_First)/FT_Int1),FT_PreY5+FT_PerYear*INT((AZ102-FT_Y5)/12)+FT_AnnivDays+INT(MOD(AZ102-FT_Y5,12)/FT_Int2)-IF(EDATE(AL102,FT_Y5)&lt;PolicyEff,FT_AnnivDays-1,0))),IF(AU102="PT",IF(AZ102&lt;PT_First,0,1+INT((AZ102-PT_First)/PT_Int)),0))-IF(AU102="FT",IF(AY102&lt;FT_First,0,IF(AY102&lt;FT_Y5,1+INT((AY102-FT_First)/FT_Int1),FT_PreY5+FT_PerYear*INT((AY102-FT_Y5)/12)+FT_AnnivDays+INT(MOD(AY102-FT_Y5,12)/FT_Int2)-IF(EDATE(AL102,FT_Y5)&lt;PolicyEff,FT_AnnivDays-1,0))),IF(AU102="PT",IF(AY102&lt;PT_First,0,1+INT((AY102-PT_First)/PT_Int)),0)),0)+IF(AND(AM102&gt;=3,AP102&lt;=AsOfDate),IF(AV102="FT",IF(AX102&lt;FT_First,0,IF(AX102&lt;FT_Y5,1+INT((AX102-FT_First)/FT_Int1),FT_PreY5+FT_PerYear*INT((AX102-FT_Y5)/12)+FT_AnnivDays+INT(MOD(AX102-FT_Y5,12)/FT_Int2)-IF(EDATE(AL102,FT_Y5)&lt;PolicyEff,FT_AnnivDays-1,0))),IF(AV102="PT",IF(AX102&lt;PT_First,0,1+INT((AX102-PT_First)/PT_Int)),0))-IF(AV102="FT",IF(AZ102&lt;FT_First,0,IF(AZ102&lt;FT_Y5,1+INT((AZ102-FT_First)/FT_Int1),FT_PreY5+FT_PerYear*INT((AZ102-FT_Y5)/12)+FT_AnnivDays+INT(MOD(AZ102-FT_Y5,12)/FT_Int2)-IF(EDATE(AL102,FT_Y5)&lt;PolicyEff,FT_AnnivDays-1,0))),IF(AV102="PT",IF(AZ102&lt;PT_First,0,1+INT((AZ102-PT_First)/PT_Int)),0)),0))</f>
        <v/>
      </c>
      <c r="BE102" s="16" t="str">
        <f aca="false">IF(AK102=0,"",IF(AT102="FT",IF(BB102&lt;FT_First,0,IF(BB102&lt;FT_Y5,1+INT((BB102-FT_First)/FT_Int1),FT_PreY5+FT_PerYear*INT((BB102-FT_Y5)/12)+FT_AnnivDays+INT(MOD(BB102-FT_Y5,12)/FT_Int2)-IF(EDATE(AL102,FT_Y5)&lt;PolicyEff,FT_AnnivDays-1,0))),IF(AT102="PT",IF(BB102&lt;PT_First,0,1+INT((BB102-PT_First)/PT_Int)),0))+IF(AND(AM102&gt;=2,AO102&lt;=PFYDate),IF(AU102="FT",IF(BC102&lt;FT_First,0,IF(BC102&lt;FT_Y5,1+INT((BC102-FT_First)/FT_Int1),FT_PreY5+FT_PerYear*INT((BC102-FT_Y5)/12)+FT_AnnivDays+INT(MOD(BC102-FT_Y5,12)/FT_Int2)-IF(EDATE(AL102,FT_Y5)&lt;PolicyEff,FT_AnnivDays-1,0))),IF(AU102="PT",IF(BC102&lt;PT_First,0,1+INT((BC102-PT_First)/PT_Int)),0))-IF(AU102="FT",IF(BB102&lt;FT_First,0,IF(BB102&lt;FT_Y5,1+INT((BB102-FT_First)/FT_Int1),FT_PreY5+FT_PerYear*INT((BB102-FT_Y5)/12)+FT_AnnivDays+INT(MOD(BB102-FT_Y5,12)/FT_Int2)-IF(EDATE(AL102,FT_Y5)&lt;PolicyEff,FT_AnnivDays-1,0))),IF(AU102="PT",IF(BB102&lt;PT_First,0,1+INT((BB102-PT_First)/PT_Int)),0)),0)+IF(AND(AM102&gt;=3,AP102&lt;=PFYDate),IF(AV102="FT",IF(BA102&lt;FT_First,0,IF(BA102&lt;FT_Y5,1+INT((BA102-FT_First)/FT_Int1),FT_PreY5+FT_PerYear*INT((BA102-FT_Y5)/12)+FT_AnnivDays+INT(MOD(BA102-FT_Y5,12)/FT_Int2)-IF(EDATE(AL102,FT_Y5)&lt;PolicyEff,FT_AnnivDays-1,0))),IF(AV102="PT",IF(BA102&lt;PT_First,0,1+INT((BA102-PT_First)/PT_Int)),0))-IF(AV102="FT",IF(BC102&lt;FT_First,0,IF(BC102&lt;FT_Y5,1+INT((BC102-FT_First)/FT_Int1),FT_PreY5+FT_PerYear*INT((BC102-FT_Y5)/12)+FT_AnnivDays+INT(MOD(BC102-FT_Y5,12)/FT_Int2)-IF(EDATE(AL102,FT_Y5)&lt;PolicyEff,FT_AnnivDays-1,0))),IF(AV102="PT",IF(BC102&lt;PT_First,0,1+INT((BC102-PT_First)/PT_Int)),0)),0))</f>
        <v/>
      </c>
      <c r="BF102" s="16" t="str">
        <f aca="false">IF(AK102=0,"",IF(AW102="FT",IF(AX102&lt;FT_First,FT_First,IF(AX102&lt;FT_Y5,MIN(FT_Y5,FT_First+FT_Int1*(INT((AX102-FT_First)/FT_Int1)+1)),FT_Y5+12*INT((AX102-FT_Y5)/12)+FT_Int2*(INT(MOD(AX102-FT_Y5,12)/FT_Int2)+1))),IF(AW102="PT",IF(AX102&lt;PT_First,PT_First,PT_First+PT_Int*(INT((AX102-PT_First)/PT_Int)+1)),"")))</f>
        <v/>
      </c>
      <c r="BG102" s="16" t="str">
        <f aca="false">IF(AK102=0,"",IF(NOT(LH_Ready),0,COUNTIFS(INDEX(LH_Data,0,LH_ColFirst),$A102,INDEX(LH_Data,0,LH_ColSur),$B102,INDEX(LH_Data,0,LH_ColCat),BonusCat)))</f>
        <v/>
      </c>
      <c r="BH102" s="16" t="str">
        <f aca="false">IF(AK102=0,"",IF(OR(NOT(LH_Ready),BG102=0),0,SUMPRODUCT(MAX((INDEX(LH_Data,0,LH_ColFirst)=$A102)*(INDEX(LH_Data,0,LH_ColSur)=$B102)*(INDEX(LH_Data,0,LH_ColCat)=BonusCat)*ROW(LH_Data)))))</f>
        <v/>
      </c>
      <c r="BI102" s="16" t="str">
        <f aca="false">IF(AK102=0,"",IF(EOMONTH(AsOfDate,-1)&lt;AL102,-1,12*(YEAR(EOMONTH(AsOfDate,-1))-YEAR(AL102))+MONTH(EOMONTH(AsOfDate,-1))-MONTH(AL102)-IF(DAY(EOMONTH(AsOfDate,-1))&lt;MIN(DAY(AL102),DAY(EOMONTH(EOMONTH(AsOfDate,-1),0))),1,0)))</f>
        <v/>
      </c>
      <c r="BJ102" s="16" t="str">
        <f aca="false">IF(AK102=0,"",IF(OR(AM102&lt;2,AO102&gt;EOMONTH(AsOfDate,-1)),BI102,IF((AO102-1)&lt;AL102,-1,12*(YEAR((AO102-1))-YEAR(AL102))+MONTH((AO102-1))-MONTH(AL102)-IF(DAY((AO102-1))&lt;MIN(DAY(AL102),DAY(EOMONTH((AO102-1),0))),1,0))))</f>
        <v/>
      </c>
      <c r="BK102" s="16" t="str">
        <f aca="false">IF(AK102=0,"",IF(OR(AM102&lt;3,AP102&gt;EOMONTH(AsOfDate,-1)),BI102,IF((AP102-1)&lt;AL102,-1,12*(YEAR((AP102-1))-YEAR(AL102))+MONTH((AP102-1))-MONTH(AL102)-IF(DAY((AP102-1))&lt;MIN(DAY(AL102),DAY(EOMONTH((AP102-1),0))),1,0))))</f>
        <v/>
      </c>
      <c r="BL102" s="16" t="str">
        <f aca="false">IF(AK102=0,"",IF(AT102="FT",IF(BJ102&lt;FT_First,0,IF(BJ102&lt;FT_Y5,1+INT((BJ102-FT_First)/FT_Int1),FT_PreY5+FT_PerYear*INT((BJ102-FT_Y5)/12)+FT_AnnivDays+INT(MOD(BJ102-FT_Y5,12)/FT_Int2)-IF(EDATE(AL102,FT_Y5)&lt;PolicyEff,FT_AnnivDays-1,0))),IF(AT102="PT",IF(BJ102&lt;PT_First,0,1+INT((BJ102-PT_First)/PT_Int)),0))+IF(AND(AM102&gt;=2,AO102&lt;=EOMONTH(AsOfDate,-1)),IF(AU102="FT",IF(BK102&lt;FT_First,0,IF(BK102&lt;FT_Y5,1+INT((BK102-FT_First)/FT_Int1),FT_PreY5+FT_PerYear*INT((BK102-FT_Y5)/12)+FT_AnnivDays+INT(MOD(BK102-FT_Y5,12)/FT_Int2)-IF(EDATE(AL102,FT_Y5)&lt;PolicyEff,FT_AnnivDays-1,0))),IF(AU102="PT",IF(BK102&lt;PT_First,0,1+INT((BK102-PT_First)/PT_Int)),0))-IF(AU102="FT",IF(BJ102&lt;FT_First,0,IF(BJ102&lt;FT_Y5,1+INT((BJ102-FT_First)/FT_Int1),FT_PreY5+FT_PerYear*INT((BJ102-FT_Y5)/12)+FT_AnnivDays+INT(MOD(BJ102-FT_Y5,12)/FT_Int2)-IF(EDATE(AL102,FT_Y5)&lt;PolicyEff,FT_AnnivDays-1,0))),IF(AU102="PT",IF(BJ102&lt;PT_First,0,1+INT((BJ102-PT_First)/PT_Int)),0)),0)+IF(AND(AM102&gt;=3,AP102&lt;=EOMONTH(AsOfDate,-1)),IF(AV102="FT",IF(BI102&lt;FT_First,0,IF(BI102&lt;FT_Y5,1+INT((BI102-FT_First)/FT_Int1),FT_PreY5+FT_PerYear*INT((BI102-FT_Y5)/12)+FT_AnnivDays+INT(MOD(BI102-FT_Y5,12)/FT_Int2)-IF(EDATE(AL102,FT_Y5)&lt;PolicyEff,FT_AnnivDays-1,0))),IF(AV102="PT",IF(BI102&lt;PT_First,0,1+INT((BI102-PT_First)/PT_Int)),0))-IF(AV102="FT",IF(BK102&lt;FT_First,0,IF(BK102&lt;FT_Y5,1+INT((BK102-FT_First)/FT_Int1),FT_PreY5+FT_PerYear*INT((BK102-FT_Y5)/12)+FT_AnnivDays+INT(MOD(BK102-FT_Y5,12)/FT_Int2)-IF(EDATE(AL102,FT_Y5)&lt;PolicyEff,FT_AnnivDays-1,0))),IF(AV102="PT",IF(BK102&lt;PT_First,0,1+INT((BK102-PT_First)/PT_Int)),0)),0))</f>
        <v/>
      </c>
      <c r="BM102" s="16" t="str">
        <f aca="false">IF(AK102=0,"",IF(AW102="FT",IF(AX102&lt;FT_First,"",IF(AX102&lt;FT_Y5,FT_First+FT_Int1*INT((AX102-FT_First)/FT_Int1),FT_Y5+FT_Int2*INT((AX102-FT_Y5)/FT_Int2))),IF(AW102="PT",IF(AX102&lt;PT_First,"",PT_First+PT_Int*INT((AX102-PT_First)/PT_Int)),"")))</f>
        <v/>
      </c>
      <c r="BN102" s="16" t="str">
        <f aca="false">IF(AK102=0,"",IF((SchemeStart-1)&lt;AL102,-1,12*(YEAR((SchemeStart-1))-YEAR(AL102))+MONTH((SchemeStart-1))-MONTH(AL102)-IF(DAY((SchemeStart-1))&lt;MIN(DAY(AL102),DAY(EOMONTH((SchemeStart-1),0))),1,0)))</f>
        <v/>
      </c>
      <c r="BO102" s="16" t="str">
        <f aca="false">IF(AK102=0,"",IF(OR(AM102&lt;2,AO102&gt;(SchemeStart-1)),BN102,IF((AO102-1)&lt;AL102,-1,12*(YEAR((AO102-1))-YEAR(AL102))+MONTH((AO102-1))-MONTH(AL102)-IF(DAY((AO102-1))&lt;MIN(DAY(AL102),DAY(EOMONTH((AO102-1),0))),1,0))))</f>
        <v/>
      </c>
      <c r="BP102" s="16" t="str">
        <f aca="false">IF(AK102=0,"",IF(OR(AM102&lt;3,AP102&gt;(SchemeStart-1)),BN102,IF((AP102-1)&lt;AL102,-1,12*(YEAR((AP102-1))-YEAR(AL102))+MONTH((AP102-1))-MONTH(AL102)-IF(DAY((AP102-1))&lt;MIN(DAY(AL102),DAY(EOMONTH((AP102-1),0))),1,0))))</f>
        <v/>
      </c>
      <c r="BQ102" s="16" t="str">
        <f aca="false">IF(AK102=0,"",IF(AT102="FT",IF(BO102&lt;FT_First,0,IF(BO102&lt;FT_Y5,1+INT((BO102-FT_First)/FT_Int1),FT_PreY5+FT_PerYear*INT((BO102-FT_Y5)/12)+FT_AnnivDays+INT(MOD(BO102-FT_Y5,12)/FT_Int2)-IF(EDATE(AL102,FT_Y5)&lt;PolicyEff,FT_AnnivDays-1,0))),IF(AT102="PT",IF(BO102&lt;PT_First,0,1+INT((BO102-PT_First)/PT_Int)),0))+IF(AND(AM102&gt;=2,AO102&lt;=(SchemeStart-1)),IF(AU102="FT",IF(BP102&lt;FT_First,0,IF(BP102&lt;FT_Y5,1+INT((BP102-FT_First)/FT_Int1),FT_PreY5+FT_PerYear*INT((BP102-FT_Y5)/12)+FT_AnnivDays+INT(MOD(BP102-FT_Y5,12)/FT_Int2)-IF(EDATE(AL102,FT_Y5)&lt;PolicyEff,FT_AnnivDays-1,0))),IF(AU102="PT",IF(BP102&lt;PT_First,0,1+INT((BP102-PT_First)/PT_Int)),0))-IF(AU102="FT",IF(BO102&lt;FT_First,0,IF(BO102&lt;FT_Y5,1+INT((BO102-FT_First)/FT_Int1),FT_PreY5+FT_PerYear*INT((BO102-FT_Y5)/12)+FT_AnnivDays+INT(MOD(BO102-FT_Y5,12)/FT_Int2)-IF(EDATE(AL102,FT_Y5)&lt;PolicyEff,FT_AnnivDays-1,0))),IF(AU102="PT",IF(BO102&lt;PT_First,0,1+INT((BO102-PT_First)/PT_Int)),0)),0)+IF(AND(AM102&gt;=3,AP102&lt;=(SchemeStart-1)),IF(AV102="FT",IF(BN102&lt;FT_First,0,IF(BN102&lt;FT_Y5,1+INT((BN102-FT_First)/FT_Int1),FT_PreY5+FT_PerYear*INT((BN102-FT_Y5)/12)+FT_AnnivDays+INT(MOD(BN102-FT_Y5,12)/FT_Int2)-IF(EDATE(AL102,FT_Y5)&lt;PolicyEff,FT_AnnivDays-1,0))),IF(AV102="PT",IF(BN102&lt;PT_First,0,1+INT((BN102-PT_First)/PT_Int)),0))-IF(AV102="FT",IF(BP102&lt;FT_First,0,IF(BP102&lt;FT_Y5,1+INT((BP102-FT_First)/FT_Int1),FT_PreY5+FT_PerYear*INT((BP102-FT_Y5)/12)+FT_AnnivDays+INT(MOD(BP102-FT_Y5,12)/FT_Int2)-IF(EDATE(AL102,FT_Y5)&lt;PolicyEff,FT_AnnivDays-1,0))),IF(AV102="PT",IF(BP102&lt;PT_First,0,1+INT((BP102-PT_First)/PT_Int)),0)),0))</f>
        <v/>
      </c>
      <c r="BR102" s="0" t="str">
        <f aca="false">IF(LEN($A102&amp;$B102)=0,"",$A102&amp;" "&amp;$B102)</f>
        <v/>
      </c>
    </row>
    <row r="103" customFormat="false" ht="15" hidden="false" customHeight="false" outlineLevel="0" collapsed="false">
      <c r="A103" s="12"/>
      <c r="B103" s="12"/>
      <c r="C103" s="12"/>
      <c r="D103" s="13"/>
      <c r="E103" s="14" t="str">
        <f aca="false">IF(OR(AK103=0,$D103=""),"",DATE(YEAR(AsOfDate)+IF(DATE(YEAR(AsOfDate),MONTH($D103),DAY($D103))&lt;=AsOfDate,1,0),MONTH($D103),DAY($D103)))</f>
        <v/>
      </c>
      <c r="F103" s="13"/>
      <c r="G103" s="13"/>
      <c r="H103" s="13"/>
      <c r="I103" s="13"/>
      <c r="J103" s="13"/>
      <c r="K103" s="14" t="str">
        <f aca="false">IF(AK103=0,"",DATE(YEAR(AsOfDate)+IF(DATE(YEAR(AsOfDate),MONTH(AL103),DAY(AL103))&lt;=AsOfDate,1,0),MONTH(AL103),DAY(AL103)))</f>
        <v/>
      </c>
      <c r="L103" s="15" t="str">
        <f aca="false">IF(AK103=0,"",ROUND((AsOfDate-AL103)/365.25,1))</f>
        <v/>
      </c>
      <c r="M103" s="16" t="str">
        <f aca="false">IF(AK103=0,"",IF(AsOfDate&lt;AL103,"-",DATEDIF(AL103,AsOfDate,"y")&amp;"y "&amp;DATEDIF(AL103,AsOfDate,"ym")&amp;"m "&amp;DATEDIF(AL103,AsOfDate,"md")&amp;"d"))</f>
        <v/>
      </c>
      <c r="N103" s="17" t="str">
        <f aca="false">IF(AK103=0,"",O103*HoursPerDay)</f>
        <v/>
      </c>
      <c r="O103" s="17" t="str">
        <f aca="false">IF(AK103=0,"",MAX(0,BD103-BQ103))</f>
        <v/>
      </c>
      <c r="P103" s="18"/>
      <c r="Q103" s="16" t="str">
        <f aca="false">IF(AK103=0,"",IF(AM103&lt;2,"",AQ103&amp;" to "&amp;AR103&amp;" on "&amp;TEXT(AO103,"dd/mm/yyyy")&amp;IF(AO103&gt;AsOfDate," (future)",IF(AT103=AU103,"",IF(AU103="None"," - STOPPED accruing",IF(AT103="None"," - commencement for Bonus Leave"," - pathway changed"))))&amp;IF(AM103&lt;3,"","; "&amp;AR103&amp;" to "&amp;AS103&amp;" on "&amp;TEXT(AP103,"dd/mm/yyyy")&amp;IF(AP103&gt;AsOfDate," (future)",IF(AU103=AV103,"",IF(AV103="None"," - STOPPED accruing",IF(AU103="None"," - commencement for Bonus Leave"," - pathway changed")))))))</f>
        <v/>
      </c>
      <c r="R103" s="16" t="str">
        <f aca="false">IF(AK103=0,"",IF(AW103="None",IF(O103&gt;0,"No longer accruing","Not eligible - "&amp;IF(AND(OR(ISNUMBER(SEARCH("part",$C103)),UPPER(TRIM($C103))="PT",UPPER(TRIM($C103))="PTE"),Apply2026="No"),"part-time (scheme is full-time only)",IF(AND(OR(ISNUMBER(SEARCH("part",$C103)),UPPER(TRIM($C103))="PT",UPPER(TRIM($C103))="PTE"),$P103&lt;&gt;"",N($P103)&lt;PT_MinHours),"under "&amp;PT_MinHours&amp;" hrs",IF(IF($C103="","",IF(OR(ISNUMBER(SEARCH("full",$C103)),UPPER(TRIM($C103))="FT",UPPER(TRIM($C103))="FTE"),"Full-Time",IF(OR(ISNUMBER(SEARCH("part",$C103)),UPPER(TRIM($C103))="PT",UPPER(TRIM($C103))="PTE"),"Part-Time",IF(OR(ISNUMBER(SEARCH("cas",$C103)),UPPER(TRIM($C103))="CAS"),"Casual","Unknown"))))="Unknown","type not recognised",$C103)))),IF(O103&gt;0,"Yes - Accrual Required","Not yet - from "&amp;TEXT(S103,"dd/mm/yyyy"))))</f>
        <v/>
      </c>
      <c r="S103" s="14" t="str">
        <f aca="false">IF(AK103=0,"",IF(AW103="None","",EDATE(AL103,BF103)))</f>
        <v/>
      </c>
      <c r="T103" s="17" t="str">
        <f aca="false">IF(AK103=0,"",IF(NOT(LH_Ready),"",IF($F103&gt;PFYDate,0,IF(LH_ColPeriod=0,W103-U103+V103,SUMIFS(INDEX(LH_Data,0,LH_ColAcc),INDEX(LH_Data,0,LH_ColFirst),$A103,INDEX(LH_Data,0,LH_ColSur),$B103,INDEX(LH_Data,0,LH_ColCat),BonusCat,INDEX(LH_Data,0,LH_ColPeriod),LH_OpenLabel)*UnitFactor))))</f>
        <v/>
      </c>
      <c r="U103" s="17" t="str">
        <f aca="false">IF(AK103=0,"",IF(NOT(LH_Ready),"",SUMIFS(INDEX(LH_Data,0,LH_ColAcc),INDEX(LH_Data,0,LH_ColFirst),$A103,INDEX(LH_Data,0,LH_ColSur),$B103,INDEX(LH_Data,0,LH_ColCat),BonusCat,INDEX(LH_Data,0,LH_ColStart),"&gt;="&amp;AL103)*UnitFactor))</f>
        <v/>
      </c>
      <c r="V103" s="17" t="str">
        <f aca="false">IF(AK103=0,"",IF(NOT(LH_Ready),"",SUMIFS(INDEX(LH_Data,0,LH_ColTaken),INDEX(LH_Data,0,LH_ColFirst),$A103,INDEX(LH_Data,0,LH_ColSur),$B103,INDEX(LH_Data,0,LH_ColCat),BonusCat,INDEX(LH_Data,0,LH_ColStart),"&gt;="&amp;AL103)*UnitFactor))</f>
        <v/>
      </c>
      <c r="W103" s="17" t="str">
        <f aca="false">IF(AK103=0,"",IF(NOT(LH_Ready),"",IF(BH103=0,0,INDEX(INDEX(LH_Data,0,LH_ColClose),BH103-1)*UnitFactor)))</f>
        <v/>
      </c>
      <c r="X103" s="17" t="str">
        <f aca="false">IF(AK103=0,"",(MAX(0,BD103-BQ103)-MAX(0,BE103-BQ103))*HoursPerDay)</f>
        <v/>
      </c>
      <c r="Y103" s="17" t="str">
        <f aca="false">IF(AK103=0,"",IF(NOT(LH_Ready),"",IF($AI103="Yes",N(AE103)*HoursPerDay-SUMIFS(INDEX(LH_Data,0,LH_ColAcc),INDEX(LH_Data,0,LH_ColFirst),$A103,INDEX(LH_Data,0,LH_ColSur),$B103,INDEX(LH_Data,0,LH_ColCat),BonusCat,INDEX(LH_Data,0,LH_ColStart),"&gt;="&amp;(EOMONTH(AsOfDate,-1)+1),INDEX(LH_Data,0,LH_ColStart),"&lt;="&amp;AsOfDate)*UnitFactor,IF(BG103=0,N103,N103-N(T103)-N(U103)))))</f>
        <v/>
      </c>
      <c r="Z103" s="16" t="str">
        <f aca="false">IF(OR(AK103=0,Y103=""),"",IF(Y103&gt;0,"Yes","No"))</f>
        <v/>
      </c>
      <c r="AA103" s="16" t="str">
        <f aca="false">IF(AK103=0,IF(LEN($A103&amp;$B103)=0,"","FIX INPUT - StartDate missing"),IF(AD103&lt;&gt;"","FIX INPUT - "&amp;AD103,IF(NOT(LH_Ready),"Paste Leave History export (Settings must show YES)",IF(AND($AI103="Yes",Y103&lt;=0),"OK - EH balance accepted to date"&amp;IF(N(AH103)&gt;0," (EH holds "&amp;AH103&amp;" hrs over the scheme)","")&amp;"; next day "&amp;TEXT(S103,"dd mmm yy")&amp;IF(N(AE103)&gt;0," ("&amp;AE103&amp;" day(s) for "&amp;UPPER(TEXT(AsOfDate,"mmm yyyy"))&amp;" already in EH)",""),IF(Y103&gt;0,"ACCRUE "&amp;ROUND(Y103,2)&amp;" hrs ("&amp;ROUND(Y103/HoursPerDay,2)&amp;" days): "&amp;IF(N(AE103)&gt;0,AE103&amp;" day(s) for "&amp;UPPER(TEXT(AsOfDate,"mmm yyyy"))&amp;" (milestone "&amp;UPPER(TEXT(AF103,"dd mmm yy"))&amp;")"&amp;IF(Y103/HoursPerDay&gt;AE103+0.001," + "&amp;ROUND(Y103/HoursPerDay-AE103,2)&amp;" day(s) catch-up from earlier months",""),"all catch-up from earlier months, nothing new this month")&amp;IF(BG103=0,"; no Bonus Leave in EH yet",""),IF(Y103&lt;0,"CHECK - EH accrued "&amp;ROUND(-Y103,2)&amp;" hrs more than policy since commencement",IF(N(W103)&gt;O103*HoursPerDay+0.01,"CHECK - EH balance "&amp;ROUND(W103-O103*HoursPerDay,2)&amp;" hrs more than policy entitlement",IF(O103&gt;0,"OK - nothing to add"&amp;IF(N(AE103)&gt;0," ("&amp;AE103&amp;" day(s) for "&amp;UPPER(TEXT(AsOfDate,"mmm yyyy"))&amp;" already in EH)",""),IF(AW103="None",R103,"Not yet - first day on "&amp;TEXT(S103,"dd/mm/yyyy"))))))))))</f>
        <v/>
      </c>
      <c r="AB103" s="17" t="str">
        <f aca="false">IF(OR(AK103=0,T103=""),"",MAX(0,BE103-BQ103)*HoursPerDay-T103)</f>
        <v/>
      </c>
      <c r="AC103" s="16" t="str">
        <f aca="false">IF(AK103=0,"",BG103)</f>
        <v/>
      </c>
      <c r="AD103" s="16" t="str">
        <f aca="false">IF(AK103=0,"",TRIM(IF(OR(ISTEXT($F103),ISTEXT($H103),ISTEXT($I103),ISTEXT($G103),ISTEXT($J103),ISTEXT($D103)),"A date is typed as text - retype it as dd/mm/yyyy. ","")&amp;IF(IF($C103="","",IF(OR(ISNUMBER(SEARCH("full",$C103)),UPPER(TRIM($C103))="FT",UPPER(TRIM($C103))="FTE"),"Full-Time",IF(OR(ISNUMBER(SEARCH("part",$C103)),UPPER(TRIM($C103))="PT",UPPER(TRIM($C103))="PTE"),"Part-Time",IF(OR(ISNUMBER(SEARCH("cas",$C103)),UPPER(TRIM($C103))="CAS"),"Casual","Unknown"))))="Unknown","EmploymentType not recognised - use Full-Time, Part-Time or Casual. ","")&amp;IF(AND(AM103&gt;=1,IF(AM103&gt;=3,AS103,IF(AM103=2,AR103,AQ103))&lt;&gt;IF($C103="","",IF(OR(ISNUMBER(SEARCH("full",$C103)),UPPER(TRIM($C103))="FT",UPPER(TRIM($C103))="FTE"),"Full-Time",IF(OR(ISNUMBER(SEARCH("part",$C103)),UPPER(TRIM($C103))="PT",UPPER(TRIM($C103))="PTE"),"Part-Time",IF(OR(ISNUMBER(SEARCH("cas",$C103)),UPPER(TRIM($C103))="CAS"),"Casual","Unknown"))))),"EmploymentType does not match latest start date ("&amp;IF(AM103&gt;=3,AS103,IF(AM103=2,AR103,AQ103))&amp;"). ","")&amp;IF(AND(AM103&gt;=1,AN103&lt;&gt;$F103),"Earliest type date should equal StartDate. ","")&amp;IF(AND(AM103&gt;=2,AN103=AO103),"Two types start on the same date. ","")&amp;IF(AND(OR(ISNUMBER(SEARCH("part",$C103)),UPPER(TRIM($C103))="PT",UPPER(TRIM($C103))="PTE"),$P103=""),"Part-time: enter PT Hrs/Week (blank = 24+). ","")))</f>
        <v/>
      </c>
      <c r="AE103" s="17" t="str">
        <f aca="false">IF(AK103=0,"",O103-MAX(0,BL103-BQ103))</f>
        <v/>
      </c>
      <c r="AF103" s="14" t="str">
        <f aca="false">IF(OR(AK103=0,AE103="",N(AE103)=0,BM103=""),"",EDATE(AL103,BM103))</f>
        <v/>
      </c>
      <c r="AG103" s="17" t="str">
        <f aca="false">IF(AK103=0,"",MIN(BD103,BQ103))</f>
        <v/>
      </c>
      <c r="AH103" s="17" t="str">
        <f aca="false">IF(AK103=0,"",IF(NOT(LH_Ready),"",IF(BG103=0,0,MAX(0,ROUND(N(T103)+N(U103)-N103,2)))))</f>
        <v/>
      </c>
      <c r="AI103" s="12"/>
      <c r="AJ103" s="12"/>
      <c r="AK103" s="16" t="n">
        <f aca="false">IF(OR(LEN($A103&amp;$B103)=0,$F103=""),0,1)</f>
        <v>0</v>
      </c>
      <c r="AL103" s="14" t="str">
        <f aca="false">IF(AK103=0,"",IF(PreSchemeCounts="No",MAX(SchemeStart,IF($J103&lt;&gt;"",$J103,IF(OR(CasualCounts="Yes",COUNT($G103:$I103)=0),$F103,IF(Apply2026="No",IF($I103="",$F103,$I103),IF(COUNT($H103:$I103)=0,$F103,MIN($H103:$I103)))))),IF($J103&lt;&gt;"",$J103,IF(OR(CasualCounts="Yes",COUNT($G103:$I103)=0),$F103,IF(Apply2026="No",IF($I103="",$F103,$I103),IF(COUNT($H103:$I103)=0,$F103,MIN($H103:$I103)))))))</f>
        <v/>
      </c>
      <c r="AM103" s="16" t="str">
        <f aca="false">IF(AK103=0,"",COUNT($G103:$I103))</f>
        <v/>
      </c>
      <c r="AN103" s="14" t="str">
        <f aca="false">IF(AK103=0,"",IFERROR(SMALL($G103:$I103,1),""))</f>
        <v/>
      </c>
      <c r="AO103" s="14" t="str">
        <f aca="false">IF(AK103=0,"",IFERROR(SMALL($G103:$I103,2),""))</f>
        <v/>
      </c>
      <c r="AP103" s="14" t="str">
        <f aca="false">IF(AK103=0,"",IFERROR(SMALL($G103:$I103,3),""))</f>
        <v/>
      </c>
      <c r="AQ103" s="16" t="str">
        <f aca="false">IF(AK103=0,"",IF(AN103="","",IF(AN103=$H103,"Part-Time",IF(AN103=$I103,"Full-Time","Casual"))))</f>
        <v/>
      </c>
      <c r="AR103" s="16" t="str">
        <f aca="false">IF(AK103=0,"",IF(AO103="","",IF(AO103=$H103,"Part-Time",IF(AO103=$I103,"Full-Time","Casual"))))</f>
        <v/>
      </c>
      <c r="AS103" s="16" t="str">
        <f aca="false">IF(AK103=0,"",IF(AP103="","",IF(AP103=$H103,"Part-Time",IF(AP103=$I103,"Full-Time","Casual"))))</f>
        <v/>
      </c>
      <c r="AT103" s="16" t="str">
        <f aca="false">IF(AK103=0,"",IF(AM103=0,IF(OR(ISNUMBER(SEARCH("full",$C103)),UPPER(TRIM($C103))="FT",UPPER(TRIM($C103))="FTE"),"FT",IF(AND(OR(ISNUMBER(SEARCH("part",$C103)),UPPER(TRIM($C103))="PT",UPPER(TRIM($C103))="PTE"),Apply2026="Yes",OR($P103="",N($P103)&gt;=PT_MinHours)),"PT","None")),IF(OR(ISNUMBER(SEARCH("full",AQ103)),UPPER(TRIM(AQ103))="FT",UPPER(TRIM(AQ103))="FTE"),"FT",IF(AND(OR(ISNUMBER(SEARCH("part",AQ103)),UPPER(TRIM(AQ103))="PT",UPPER(TRIM(AQ103))="PTE"),Apply2026="Yes",OR($P103="",N($P103)&gt;=PT_MinHours)),"PT","None"))))</f>
        <v/>
      </c>
      <c r="AU103" s="16" t="str">
        <f aca="false">IF(AK103=0,"",IF(AM103&lt;2,"",IF(OR(ISNUMBER(SEARCH("full",AR103)),UPPER(TRIM(AR103))="FT",UPPER(TRIM(AR103))="FTE"),"FT",IF(AND(OR(ISNUMBER(SEARCH("part",AR103)),UPPER(TRIM(AR103))="PT",UPPER(TRIM(AR103))="PTE"),Apply2026="Yes",OR($P103="",N($P103)&gt;=PT_MinHours)),"PT","None"))))</f>
        <v/>
      </c>
      <c r="AV103" s="16" t="str">
        <f aca="false">IF(AK103=0,"",IF(AM103&lt;3,"",IF(OR(ISNUMBER(SEARCH("full",AS103)),UPPER(TRIM(AS103))="FT",UPPER(TRIM(AS103))="FTE"),"FT",IF(AND(OR(ISNUMBER(SEARCH("part",AS103)),UPPER(TRIM(AS103))="PT",UPPER(TRIM(AS103))="PTE"),Apply2026="Yes",OR($P103="",N($P103)&gt;=PT_MinHours)),"PT","None"))))</f>
        <v/>
      </c>
      <c r="AW103" s="16" t="str">
        <f aca="false">IF(AK103=0,"",IF(AND(AM103&gt;=3,AP103&lt;=AsOfDate),AV103,IF(AND(AM103&gt;=2,AO103&lt;=AsOfDate),AU103,AT103)))</f>
        <v/>
      </c>
      <c r="AX103" s="16" t="str">
        <f aca="false">IF(AK103=0,"",IF(AsOfDate&lt;AL103,-1,12*(YEAR(AsOfDate)-YEAR(AL103))+MONTH(AsOfDate)-MONTH(AL103)-IF(DAY(AsOfDate)&lt;MIN(DAY(AL103),DAY(EOMONTH(AsOfDate,0))),1,0)))</f>
        <v/>
      </c>
      <c r="AY103" s="16" t="str">
        <f aca="false">IF(AK103=0,"",IF(OR(AM103&lt;2,AO103&gt;AsOfDate),AX103,IF((AO103-1)&lt;AL103,-1,12*(YEAR((AO103-1))-YEAR(AL103))+MONTH((AO103-1))-MONTH(AL103)-IF(DAY((AO103-1))&lt;MIN(DAY(AL103),DAY(EOMONTH((AO103-1),0))),1,0))))</f>
        <v/>
      </c>
      <c r="AZ103" s="16" t="str">
        <f aca="false">IF(AK103=0,"",IF(OR(AM103&lt;3,AP103&gt;AsOfDate),AX103,IF((AP103-1)&lt;AL103,-1,12*(YEAR((AP103-1))-YEAR(AL103))+MONTH((AP103-1))-MONTH(AL103)-IF(DAY((AP103-1))&lt;MIN(DAY(AL103),DAY(EOMONTH((AP103-1),0))),1,0))))</f>
        <v/>
      </c>
      <c r="BA103" s="16" t="str">
        <f aca="false">IF(AK103=0,"",IF(PFYDate&lt;AL103,-1,12*(YEAR(PFYDate)-YEAR(AL103))+MONTH(PFYDate)-MONTH(AL103)-IF(DAY(PFYDate)&lt;MIN(DAY(AL103),DAY(EOMONTH(PFYDate,0))),1,0)))</f>
        <v/>
      </c>
      <c r="BB103" s="16" t="str">
        <f aca="false">IF(AK103=0,"",IF(OR(AM103&lt;2,AO103&gt;PFYDate),BA103,IF((AO103-1)&lt;AL103,-1,12*(YEAR((AO103-1))-YEAR(AL103))+MONTH((AO103-1))-MONTH(AL103)-IF(DAY((AO103-1))&lt;MIN(DAY(AL103),DAY(EOMONTH((AO103-1),0))),1,0))))</f>
        <v/>
      </c>
      <c r="BC103" s="16" t="str">
        <f aca="false">IF(AK103=0,"",IF(OR(AM103&lt;3,AP103&gt;PFYDate),BA103,IF((AP103-1)&lt;AL103,-1,12*(YEAR((AP103-1))-YEAR(AL103))+MONTH((AP103-1))-MONTH(AL103)-IF(DAY((AP103-1))&lt;MIN(DAY(AL103),DAY(EOMONTH((AP103-1),0))),1,0))))</f>
        <v/>
      </c>
      <c r="BD103" s="16" t="str">
        <f aca="false">IF(AK103=0,"",IF(AT103="FT",IF(AY103&lt;FT_First,0,IF(AY103&lt;FT_Y5,1+INT((AY103-FT_First)/FT_Int1),FT_PreY5+FT_PerYear*INT((AY103-FT_Y5)/12)+FT_AnnivDays+INT(MOD(AY103-FT_Y5,12)/FT_Int2)-IF(EDATE(AL103,FT_Y5)&lt;PolicyEff,FT_AnnivDays-1,0))),IF(AT103="PT",IF(AY103&lt;PT_First,0,1+INT((AY103-PT_First)/PT_Int)),0))+IF(AND(AM103&gt;=2,AO103&lt;=AsOfDate),IF(AU103="FT",IF(AZ103&lt;FT_First,0,IF(AZ103&lt;FT_Y5,1+INT((AZ103-FT_First)/FT_Int1),FT_PreY5+FT_PerYear*INT((AZ103-FT_Y5)/12)+FT_AnnivDays+INT(MOD(AZ103-FT_Y5,12)/FT_Int2)-IF(EDATE(AL103,FT_Y5)&lt;PolicyEff,FT_AnnivDays-1,0))),IF(AU103="PT",IF(AZ103&lt;PT_First,0,1+INT((AZ103-PT_First)/PT_Int)),0))-IF(AU103="FT",IF(AY103&lt;FT_First,0,IF(AY103&lt;FT_Y5,1+INT((AY103-FT_First)/FT_Int1),FT_PreY5+FT_PerYear*INT((AY103-FT_Y5)/12)+FT_AnnivDays+INT(MOD(AY103-FT_Y5,12)/FT_Int2)-IF(EDATE(AL103,FT_Y5)&lt;PolicyEff,FT_AnnivDays-1,0))),IF(AU103="PT",IF(AY103&lt;PT_First,0,1+INT((AY103-PT_First)/PT_Int)),0)),0)+IF(AND(AM103&gt;=3,AP103&lt;=AsOfDate),IF(AV103="FT",IF(AX103&lt;FT_First,0,IF(AX103&lt;FT_Y5,1+INT((AX103-FT_First)/FT_Int1),FT_PreY5+FT_PerYear*INT((AX103-FT_Y5)/12)+FT_AnnivDays+INT(MOD(AX103-FT_Y5,12)/FT_Int2)-IF(EDATE(AL103,FT_Y5)&lt;PolicyEff,FT_AnnivDays-1,0))),IF(AV103="PT",IF(AX103&lt;PT_First,0,1+INT((AX103-PT_First)/PT_Int)),0))-IF(AV103="FT",IF(AZ103&lt;FT_First,0,IF(AZ103&lt;FT_Y5,1+INT((AZ103-FT_First)/FT_Int1),FT_PreY5+FT_PerYear*INT((AZ103-FT_Y5)/12)+FT_AnnivDays+INT(MOD(AZ103-FT_Y5,12)/FT_Int2)-IF(EDATE(AL103,FT_Y5)&lt;PolicyEff,FT_AnnivDays-1,0))),IF(AV103="PT",IF(AZ103&lt;PT_First,0,1+INT((AZ103-PT_First)/PT_Int)),0)),0))</f>
        <v/>
      </c>
      <c r="BE103" s="16" t="str">
        <f aca="false">IF(AK103=0,"",IF(AT103="FT",IF(BB103&lt;FT_First,0,IF(BB103&lt;FT_Y5,1+INT((BB103-FT_First)/FT_Int1),FT_PreY5+FT_PerYear*INT((BB103-FT_Y5)/12)+FT_AnnivDays+INT(MOD(BB103-FT_Y5,12)/FT_Int2)-IF(EDATE(AL103,FT_Y5)&lt;PolicyEff,FT_AnnivDays-1,0))),IF(AT103="PT",IF(BB103&lt;PT_First,0,1+INT((BB103-PT_First)/PT_Int)),0))+IF(AND(AM103&gt;=2,AO103&lt;=PFYDate),IF(AU103="FT",IF(BC103&lt;FT_First,0,IF(BC103&lt;FT_Y5,1+INT((BC103-FT_First)/FT_Int1),FT_PreY5+FT_PerYear*INT((BC103-FT_Y5)/12)+FT_AnnivDays+INT(MOD(BC103-FT_Y5,12)/FT_Int2)-IF(EDATE(AL103,FT_Y5)&lt;PolicyEff,FT_AnnivDays-1,0))),IF(AU103="PT",IF(BC103&lt;PT_First,0,1+INT((BC103-PT_First)/PT_Int)),0))-IF(AU103="FT",IF(BB103&lt;FT_First,0,IF(BB103&lt;FT_Y5,1+INT((BB103-FT_First)/FT_Int1),FT_PreY5+FT_PerYear*INT((BB103-FT_Y5)/12)+FT_AnnivDays+INT(MOD(BB103-FT_Y5,12)/FT_Int2)-IF(EDATE(AL103,FT_Y5)&lt;PolicyEff,FT_AnnivDays-1,0))),IF(AU103="PT",IF(BB103&lt;PT_First,0,1+INT((BB103-PT_First)/PT_Int)),0)),0)+IF(AND(AM103&gt;=3,AP103&lt;=PFYDate),IF(AV103="FT",IF(BA103&lt;FT_First,0,IF(BA103&lt;FT_Y5,1+INT((BA103-FT_First)/FT_Int1),FT_PreY5+FT_PerYear*INT((BA103-FT_Y5)/12)+FT_AnnivDays+INT(MOD(BA103-FT_Y5,12)/FT_Int2)-IF(EDATE(AL103,FT_Y5)&lt;PolicyEff,FT_AnnivDays-1,0))),IF(AV103="PT",IF(BA103&lt;PT_First,0,1+INT((BA103-PT_First)/PT_Int)),0))-IF(AV103="FT",IF(BC103&lt;FT_First,0,IF(BC103&lt;FT_Y5,1+INT((BC103-FT_First)/FT_Int1),FT_PreY5+FT_PerYear*INT((BC103-FT_Y5)/12)+FT_AnnivDays+INT(MOD(BC103-FT_Y5,12)/FT_Int2)-IF(EDATE(AL103,FT_Y5)&lt;PolicyEff,FT_AnnivDays-1,0))),IF(AV103="PT",IF(BC103&lt;PT_First,0,1+INT((BC103-PT_First)/PT_Int)),0)),0))</f>
        <v/>
      </c>
      <c r="BF103" s="16" t="str">
        <f aca="false">IF(AK103=0,"",IF(AW103="FT",IF(AX103&lt;FT_First,FT_First,IF(AX103&lt;FT_Y5,MIN(FT_Y5,FT_First+FT_Int1*(INT((AX103-FT_First)/FT_Int1)+1)),FT_Y5+12*INT((AX103-FT_Y5)/12)+FT_Int2*(INT(MOD(AX103-FT_Y5,12)/FT_Int2)+1))),IF(AW103="PT",IF(AX103&lt;PT_First,PT_First,PT_First+PT_Int*(INT((AX103-PT_First)/PT_Int)+1)),"")))</f>
        <v/>
      </c>
      <c r="BG103" s="16" t="str">
        <f aca="false">IF(AK103=0,"",IF(NOT(LH_Ready),0,COUNTIFS(INDEX(LH_Data,0,LH_ColFirst),$A103,INDEX(LH_Data,0,LH_ColSur),$B103,INDEX(LH_Data,0,LH_ColCat),BonusCat)))</f>
        <v/>
      </c>
      <c r="BH103" s="16" t="str">
        <f aca="false">IF(AK103=0,"",IF(OR(NOT(LH_Ready),BG103=0),0,SUMPRODUCT(MAX((INDEX(LH_Data,0,LH_ColFirst)=$A103)*(INDEX(LH_Data,0,LH_ColSur)=$B103)*(INDEX(LH_Data,0,LH_ColCat)=BonusCat)*ROW(LH_Data)))))</f>
        <v/>
      </c>
      <c r="BI103" s="16" t="str">
        <f aca="false">IF(AK103=0,"",IF(EOMONTH(AsOfDate,-1)&lt;AL103,-1,12*(YEAR(EOMONTH(AsOfDate,-1))-YEAR(AL103))+MONTH(EOMONTH(AsOfDate,-1))-MONTH(AL103)-IF(DAY(EOMONTH(AsOfDate,-1))&lt;MIN(DAY(AL103),DAY(EOMONTH(EOMONTH(AsOfDate,-1),0))),1,0)))</f>
        <v/>
      </c>
      <c r="BJ103" s="16" t="str">
        <f aca="false">IF(AK103=0,"",IF(OR(AM103&lt;2,AO103&gt;EOMONTH(AsOfDate,-1)),BI103,IF((AO103-1)&lt;AL103,-1,12*(YEAR((AO103-1))-YEAR(AL103))+MONTH((AO103-1))-MONTH(AL103)-IF(DAY((AO103-1))&lt;MIN(DAY(AL103),DAY(EOMONTH((AO103-1),0))),1,0))))</f>
        <v/>
      </c>
      <c r="BK103" s="16" t="str">
        <f aca="false">IF(AK103=0,"",IF(OR(AM103&lt;3,AP103&gt;EOMONTH(AsOfDate,-1)),BI103,IF((AP103-1)&lt;AL103,-1,12*(YEAR((AP103-1))-YEAR(AL103))+MONTH((AP103-1))-MONTH(AL103)-IF(DAY((AP103-1))&lt;MIN(DAY(AL103),DAY(EOMONTH((AP103-1),0))),1,0))))</f>
        <v/>
      </c>
      <c r="BL103" s="16" t="str">
        <f aca="false">IF(AK103=0,"",IF(AT103="FT",IF(BJ103&lt;FT_First,0,IF(BJ103&lt;FT_Y5,1+INT((BJ103-FT_First)/FT_Int1),FT_PreY5+FT_PerYear*INT((BJ103-FT_Y5)/12)+FT_AnnivDays+INT(MOD(BJ103-FT_Y5,12)/FT_Int2)-IF(EDATE(AL103,FT_Y5)&lt;PolicyEff,FT_AnnivDays-1,0))),IF(AT103="PT",IF(BJ103&lt;PT_First,0,1+INT((BJ103-PT_First)/PT_Int)),0))+IF(AND(AM103&gt;=2,AO103&lt;=EOMONTH(AsOfDate,-1)),IF(AU103="FT",IF(BK103&lt;FT_First,0,IF(BK103&lt;FT_Y5,1+INT((BK103-FT_First)/FT_Int1),FT_PreY5+FT_PerYear*INT((BK103-FT_Y5)/12)+FT_AnnivDays+INT(MOD(BK103-FT_Y5,12)/FT_Int2)-IF(EDATE(AL103,FT_Y5)&lt;PolicyEff,FT_AnnivDays-1,0))),IF(AU103="PT",IF(BK103&lt;PT_First,0,1+INT((BK103-PT_First)/PT_Int)),0))-IF(AU103="FT",IF(BJ103&lt;FT_First,0,IF(BJ103&lt;FT_Y5,1+INT((BJ103-FT_First)/FT_Int1),FT_PreY5+FT_PerYear*INT((BJ103-FT_Y5)/12)+FT_AnnivDays+INT(MOD(BJ103-FT_Y5,12)/FT_Int2)-IF(EDATE(AL103,FT_Y5)&lt;PolicyEff,FT_AnnivDays-1,0))),IF(AU103="PT",IF(BJ103&lt;PT_First,0,1+INT((BJ103-PT_First)/PT_Int)),0)),0)+IF(AND(AM103&gt;=3,AP103&lt;=EOMONTH(AsOfDate,-1)),IF(AV103="FT",IF(BI103&lt;FT_First,0,IF(BI103&lt;FT_Y5,1+INT((BI103-FT_First)/FT_Int1),FT_PreY5+FT_PerYear*INT((BI103-FT_Y5)/12)+FT_AnnivDays+INT(MOD(BI103-FT_Y5,12)/FT_Int2)-IF(EDATE(AL103,FT_Y5)&lt;PolicyEff,FT_AnnivDays-1,0))),IF(AV103="PT",IF(BI103&lt;PT_First,0,1+INT((BI103-PT_First)/PT_Int)),0))-IF(AV103="FT",IF(BK103&lt;FT_First,0,IF(BK103&lt;FT_Y5,1+INT((BK103-FT_First)/FT_Int1),FT_PreY5+FT_PerYear*INT((BK103-FT_Y5)/12)+FT_AnnivDays+INT(MOD(BK103-FT_Y5,12)/FT_Int2)-IF(EDATE(AL103,FT_Y5)&lt;PolicyEff,FT_AnnivDays-1,0))),IF(AV103="PT",IF(BK103&lt;PT_First,0,1+INT((BK103-PT_First)/PT_Int)),0)),0))</f>
        <v/>
      </c>
      <c r="BM103" s="16" t="str">
        <f aca="false">IF(AK103=0,"",IF(AW103="FT",IF(AX103&lt;FT_First,"",IF(AX103&lt;FT_Y5,FT_First+FT_Int1*INT((AX103-FT_First)/FT_Int1),FT_Y5+FT_Int2*INT((AX103-FT_Y5)/FT_Int2))),IF(AW103="PT",IF(AX103&lt;PT_First,"",PT_First+PT_Int*INT((AX103-PT_First)/PT_Int)),"")))</f>
        <v/>
      </c>
      <c r="BN103" s="16" t="str">
        <f aca="false">IF(AK103=0,"",IF((SchemeStart-1)&lt;AL103,-1,12*(YEAR((SchemeStart-1))-YEAR(AL103))+MONTH((SchemeStart-1))-MONTH(AL103)-IF(DAY((SchemeStart-1))&lt;MIN(DAY(AL103),DAY(EOMONTH((SchemeStart-1),0))),1,0)))</f>
        <v/>
      </c>
      <c r="BO103" s="16" t="str">
        <f aca="false">IF(AK103=0,"",IF(OR(AM103&lt;2,AO103&gt;(SchemeStart-1)),BN103,IF((AO103-1)&lt;AL103,-1,12*(YEAR((AO103-1))-YEAR(AL103))+MONTH((AO103-1))-MONTH(AL103)-IF(DAY((AO103-1))&lt;MIN(DAY(AL103),DAY(EOMONTH((AO103-1),0))),1,0))))</f>
        <v/>
      </c>
      <c r="BP103" s="16" t="str">
        <f aca="false">IF(AK103=0,"",IF(OR(AM103&lt;3,AP103&gt;(SchemeStart-1)),BN103,IF((AP103-1)&lt;AL103,-1,12*(YEAR((AP103-1))-YEAR(AL103))+MONTH((AP103-1))-MONTH(AL103)-IF(DAY((AP103-1))&lt;MIN(DAY(AL103),DAY(EOMONTH((AP103-1),0))),1,0))))</f>
        <v/>
      </c>
      <c r="BQ103" s="16" t="str">
        <f aca="false">IF(AK103=0,"",IF(AT103="FT",IF(BO103&lt;FT_First,0,IF(BO103&lt;FT_Y5,1+INT((BO103-FT_First)/FT_Int1),FT_PreY5+FT_PerYear*INT((BO103-FT_Y5)/12)+FT_AnnivDays+INT(MOD(BO103-FT_Y5,12)/FT_Int2)-IF(EDATE(AL103,FT_Y5)&lt;PolicyEff,FT_AnnivDays-1,0))),IF(AT103="PT",IF(BO103&lt;PT_First,0,1+INT((BO103-PT_First)/PT_Int)),0))+IF(AND(AM103&gt;=2,AO103&lt;=(SchemeStart-1)),IF(AU103="FT",IF(BP103&lt;FT_First,0,IF(BP103&lt;FT_Y5,1+INT((BP103-FT_First)/FT_Int1),FT_PreY5+FT_PerYear*INT((BP103-FT_Y5)/12)+FT_AnnivDays+INT(MOD(BP103-FT_Y5,12)/FT_Int2)-IF(EDATE(AL103,FT_Y5)&lt;PolicyEff,FT_AnnivDays-1,0))),IF(AU103="PT",IF(BP103&lt;PT_First,0,1+INT((BP103-PT_First)/PT_Int)),0))-IF(AU103="FT",IF(BO103&lt;FT_First,0,IF(BO103&lt;FT_Y5,1+INT((BO103-FT_First)/FT_Int1),FT_PreY5+FT_PerYear*INT((BO103-FT_Y5)/12)+FT_AnnivDays+INT(MOD(BO103-FT_Y5,12)/FT_Int2)-IF(EDATE(AL103,FT_Y5)&lt;PolicyEff,FT_AnnivDays-1,0))),IF(AU103="PT",IF(BO103&lt;PT_First,0,1+INT((BO103-PT_First)/PT_Int)),0)),0)+IF(AND(AM103&gt;=3,AP103&lt;=(SchemeStart-1)),IF(AV103="FT",IF(BN103&lt;FT_First,0,IF(BN103&lt;FT_Y5,1+INT((BN103-FT_First)/FT_Int1),FT_PreY5+FT_PerYear*INT((BN103-FT_Y5)/12)+FT_AnnivDays+INT(MOD(BN103-FT_Y5,12)/FT_Int2)-IF(EDATE(AL103,FT_Y5)&lt;PolicyEff,FT_AnnivDays-1,0))),IF(AV103="PT",IF(BN103&lt;PT_First,0,1+INT((BN103-PT_First)/PT_Int)),0))-IF(AV103="FT",IF(BP103&lt;FT_First,0,IF(BP103&lt;FT_Y5,1+INT((BP103-FT_First)/FT_Int1),FT_PreY5+FT_PerYear*INT((BP103-FT_Y5)/12)+FT_AnnivDays+INT(MOD(BP103-FT_Y5,12)/FT_Int2)-IF(EDATE(AL103,FT_Y5)&lt;PolicyEff,FT_AnnivDays-1,0))),IF(AV103="PT",IF(BP103&lt;PT_First,0,1+INT((BP103-PT_First)/PT_Int)),0)),0))</f>
        <v/>
      </c>
      <c r="BR103" s="0" t="str">
        <f aca="false">IF(LEN($A103&amp;$B103)=0,"",$A103&amp;" "&amp;$B103)</f>
        <v/>
      </c>
    </row>
    <row r="104" customFormat="false" ht="15" hidden="false" customHeight="false" outlineLevel="0" collapsed="false">
      <c r="A104" s="12"/>
      <c r="B104" s="12"/>
      <c r="C104" s="12"/>
      <c r="D104" s="13"/>
      <c r="E104" s="14" t="str">
        <f aca="false">IF(OR(AK104=0,$D104=""),"",DATE(YEAR(AsOfDate)+IF(DATE(YEAR(AsOfDate),MONTH($D104),DAY($D104))&lt;=AsOfDate,1,0),MONTH($D104),DAY($D104)))</f>
        <v/>
      </c>
      <c r="F104" s="13"/>
      <c r="G104" s="13"/>
      <c r="H104" s="13"/>
      <c r="I104" s="13"/>
      <c r="J104" s="13"/>
      <c r="K104" s="14" t="str">
        <f aca="false">IF(AK104=0,"",DATE(YEAR(AsOfDate)+IF(DATE(YEAR(AsOfDate),MONTH(AL104),DAY(AL104))&lt;=AsOfDate,1,0),MONTH(AL104),DAY(AL104)))</f>
        <v/>
      </c>
      <c r="L104" s="15" t="str">
        <f aca="false">IF(AK104=0,"",ROUND((AsOfDate-AL104)/365.25,1))</f>
        <v/>
      </c>
      <c r="M104" s="16" t="str">
        <f aca="false">IF(AK104=0,"",IF(AsOfDate&lt;AL104,"-",DATEDIF(AL104,AsOfDate,"y")&amp;"y "&amp;DATEDIF(AL104,AsOfDate,"ym")&amp;"m "&amp;DATEDIF(AL104,AsOfDate,"md")&amp;"d"))</f>
        <v/>
      </c>
      <c r="N104" s="17" t="str">
        <f aca="false">IF(AK104=0,"",O104*HoursPerDay)</f>
        <v/>
      </c>
      <c r="O104" s="17" t="str">
        <f aca="false">IF(AK104=0,"",MAX(0,BD104-BQ104))</f>
        <v/>
      </c>
      <c r="P104" s="18"/>
      <c r="Q104" s="16" t="str">
        <f aca="false">IF(AK104=0,"",IF(AM104&lt;2,"",AQ104&amp;" to "&amp;AR104&amp;" on "&amp;TEXT(AO104,"dd/mm/yyyy")&amp;IF(AO104&gt;AsOfDate," (future)",IF(AT104=AU104,"",IF(AU104="None"," - STOPPED accruing",IF(AT104="None"," - commencement for Bonus Leave"," - pathway changed"))))&amp;IF(AM104&lt;3,"","; "&amp;AR104&amp;" to "&amp;AS104&amp;" on "&amp;TEXT(AP104,"dd/mm/yyyy")&amp;IF(AP104&gt;AsOfDate," (future)",IF(AU104=AV104,"",IF(AV104="None"," - STOPPED accruing",IF(AU104="None"," - commencement for Bonus Leave"," - pathway changed")))))))</f>
        <v/>
      </c>
      <c r="R104" s="16" t="str">
        <f aca="false">IF(AK104=0,"",IF(AW104="None",IF(O104&gt;0,"No longer accruing","Not eligible - "&amp;IF(AND(OR(ISNUMBER(SEARCH("part",$C104)),UPPER(TRIM($C104))="PT",UPPER(TRIM($C104))="PTE"),Apply2026="No"),"part-time (scheme is full-time only)",IF(AND(OR(ISNUMBER(SEARCH("part",$C104)),UPPER(TRIM($C104))="PT",UPPER(TRIM($C104))="PTE"),$P104&lt;&gt;"",N($P104)&lt;PT_MinHours),"under "&amp;PT_MinHours&amp;" hrs",IF(IF($C104="","",IF(OR(ISNUMBER(SEARCH("full",$C104)),UPPER(TRIM($C104))="FT",UPPER(TRIM($C104))="FTE"),"Full-Time",IF(OR(ISNUMBER(SEARCH("part",$C104)),UPPER(TRIM($C104))="PT",UPPER(TRIM($C104))="PTE"),"Part-Time",IF(OR(ISNUMBER(SEARCH("cas",$C104)),UPPER(TRIM($C104))="CAS"),"Casual","Unknown"))))="Unknown","type not recognised",$C104)))),IF(O104&gt;0,"Yes - Accrual Required","Not yet - from "&amp;TEXT(S104,"dd/mm/yyyy"))))</f>
        <v/>
      </c>
      <c r="S104" s="14" t="str">
        <f aca="false">IF(AK104=0,"",IF(AW104="None","",EDATE(AL104,BF104)))</f>
        <v/>
      </c>
      <c r="T104" s="17" t="str">
        <f aca="false">IF(AK104=0,"",IF(NOT(LH_Ready),"",IF($F104&gt;PFYDate,0,IF(LH_ColPeriod=0,W104-U104+V104,SUMIFS(INDEX(LH_Data,0,LH_ColAcc),INDEX(LH_Data,0,LH_ColFirst),$A104,INDEX(LH_Data,0,LH_ColSur),$B104,INDEX(LH_Data,0,LH_ColCat),BonusCat,INDEX(LH_Data,0,LH_ColPeriod),LH_OpenLabel)*UnitFactor))))</f>
        <v/>
      </c>
      <c r="U104" s="17" t="str">
        <f aca="false">IF(AK104=0,"",IF(NOT(LH_Ready),"",SUMIFS(INDEX(LH_Data,0,LH_ColAcc),INDEX(LH_Data,0,LH_ColFirst),$A104,INDEX(LH_Data,0,LH_ColSur),$B104,INDEX(LH_Data,0,LH_ColCat),BonusCat,INDEX(LH_Data,0,LH_ColStart),"&gt;="&amp;AL104)*UnitFactor))</f>
        <v/>
      </c>
      <c r="V104" s="17" t="str">
        <f aca="false">IF(AK104=0,"",IF(NOT(LH_Ready),"",SUMIFS(INDEX(LH_Data,0,LH_ColTaken),INDEX(LH_Data,0,LH_ColFirst),$A104,INDEX(LH_Data,0,LH_ColSur),$B104,INDEX(LH_Data,0,LH_ColCat),BonusCat,INDEX(LH_Data,0,LH_ColStart),"&gt;="&amp;AL104)*UnitFactor))</f>
        <v/>
      </c>
      <c r="W104" s="17" t="str">
        <f aca="false">IF(AK104=0,"",IF(NOT(LH_Ready),"",IF(BH104=0,0,INDEX(INDEX(LH_Data,0,LH_ColClose),BH104-1)*UnitFactor)))</f>
        <v/>
      </c>
      <c r="X104" s="17" t="str">
        <f aca="false">IF(AK104=0,"",(MAX(0,BD104-BQ104)-MAX(0,BE104-BQ104))*HoursPerDay)</f>
        <v/>
      </c>
      <c r="Y104" s="17" t="str">
        <f aca="false">IF(AK104=0,"",IF(NOT(LH_Ready),"",IF($AI104="Yes",N(AE104)*HoursPerDay-SUMIFS(INDEX(LH_Data,0,LH_ColAcc),INDEX(LH_Data,0,LH_ColFirst),$A104,INDEX(LH_Data,0,LH_ColSur),$B104,INDEX(LH_Data,0,LH_ColCat),BonusCat,INDEX(LH_Data,0,LH_ColStart),"&gt;="&amp;(EOMONTH(AsOfDate,-1)+1),INDEX(LH_Data,0,LH_ColStart),"&lt;="&amp;AsOfDate)*UnitFactor,IF(BG104=0,N104,N104-N(T104)-N(U104)))))</f>
        <v/>
      </c>
      <c r="Z104" s="16" t="str">
        <f aca="false">IF(OR(AK104=0,Y104=""),"",IF(Y104&gt;0,"Yes","No"))</f>
        <v/>
      </c>
      <c r="AA104" s="16" t="str">
        <f aca="false">IF(AK104=0,IF(LEN($A104&amp;$B104)=0,"","FIX INPUT - StartDate missing"),IF(AD104&lt;&gt;"","FIX INPUT - "&amp;AD104,IF(NOT(LH_Ready),"Paste Leave History export (Settings must show YES)",IF(AND($AI104="Yes",Y104&lt;=0),"OK - EH balance accepted to date"&amp;IF(N(AH104)&gt;0," (EH holds "&amp;AH104&amp;" hrs over the scheme)","")&amp;"; next day "&amp;TEXT(S104,"dd mmm yy")&amp;IF(N(AE104)&gt;0," ("&amp;AE104&amp;" day(s) for "&amp;UPPER(TEXT(AsOfDate,"mmm yyyy"))&amp;" already in EH)",""),IF(Y104&gt;0,"ACCRUE "&amp;ROUND(Y104,2)&amp;" hrs ("&amp;ROUND(Y104/HoursPerDay,2)&amp;" days): "&amp;IF(N(AE104)&gt;0,AE104&amp;" day(s) for "&amp;UPPER(TEXT(AsOfDate,"mmm yyyy"))&amp;" (milestone "&amp;UPPER(TEXT(AF104,"dd mmm yy"))&amp;")"&amp;IF(Y104/HoursPerDay&gt;AE104+0.001," + "&amp;ROUND(Y104/HoursPerDay-AE104,2)&amp;" day(s) catch-up from earlier months",""),"all catch-up from earlier months, nothing new this month")&amp;IF(BG104=0,"; no Bonus Leave in EH yet",""),IF(Y104&lt;0,"CHECK - EH accrued "&amp;ROUND(-Y104,2)&amp;" hrs more than policy since commencement",IF(N(W104)&gt;O104*HoursPerDay+0.01,"CHECK - EH balance "&amp;ROUND(W104-O104*HoursPerDay,2)&amp;" hrs more than policy entitlement",IF(O104&gt;0,"OK - nothing to add"&amp;IF(N(AE104)&gt;0," ("&amp;AE104&amp;" day(s) for "&amp;UPPER(TEXT(AsOfDate,"mmm yyyy"))&amp;" already in EH)",""),IF(AW104="None",R104,"Not yet - first day on "&amp;TEXT(S104,"dd/mm/yyyy"))))))))))</f>
        <v/>
      </c>
      <c r="AB104" s="17" t="str">
        <f aca="false">IF(OR(AK104=0,T104=""),"",MAX(0,BE104-BQ104)*HoursPerDay-T104)</f>
        <v/>
      </c>
      <c r="AC104" s="16" t="str">
        <f aca="false">IF(AK104=0,"",BG104)</f>
        <v/>
      </c>
      <c r="AD104" s="16" t="str">
        <f aca="false">IF(AK104=0,"",TRIM(IF(OR(ISTEXT($F104),ISTEXT($H104),ISTEXT($I104),ISTEXT($G104),ISTEXT($J104),ISTEXT($D104)),"A date is typed as text - retype it as dd/mm/yyyy. ","")&amp;IF(IF($C104="","",IF(OR(ISNUMBER(SEARCH("full",$C104)),UPPER(TRIM($C104))="FT",UPPER(TRIM($C104))="FTE"),"Full-Time",IF(OR(ISNUMBER(SEARCH("part",$C104)),UPPER(TRIM($C104))="PT",UPPER(TRIM($C104))="PTE"),"Part-Time",IF(OR(ISNUMBER(SEARCH("cas",$C104)),UPPER(TRIM($C104))="CAS"),"Casual","Unknown"))))="Unknown","EmploymentType not recognised - use Full-Time, Part-Time or Casual. ","")&amp;IF(AND(AM104&gt;=1,IF(AM104&gt;=3,AS104,IF(AM104=2,AR104,AQ104))&lt;&gt;IF($C104="","",IF(OR(ISNUMBER(SEARCH("full",$C104)),UPPER(TRIM($C104))="FT",UPPER(TRIM($C104))="FTE"),"Full-Time",IF(OR(ISNUMBER(SEARCH("part",$C104)),UPPER(TRIM($C104))="PT",UPPER(TRIM($C104))="PTE"),"Part-Time",IF(OR(ISNUMBER(SEARCH("cas",$C104)),UPPER(TRIM($C104))="CAS"),"Casual","Unknown"))))),"EmploymentType does not match latest start date ("&amp;IF(AM104&gt;=3,AS104,IF(AM104=2,AR104,AQ104))&amp;"). ","")&amp;IF(AND(AM104&gt;=1,AN104&lt;&gt;$F104),"Earliest type date should equal StartDate. ","")&amp;IF(AND(AM104&gt;=2,AN104=AO104),"Two types start on the same date. ","")&amp;IF(AND(OR(ISNUMBER(SEARCH("part",$C104)),UPPER(TRIM($C104))="PT",UPPER(TRIM($C104))="PTE"),$P104=""),"Part-time: enter PT Hrs/Week (blank = 24+). ","")))</f>
        <v/>
      </c>
      <c r="AE104" s="17" t="str">
        <f aca="false">IF(AK104=0,"",O104-MAX(0,BL104-BQ104))</f>
        <v/>
      </c>
      <c r="AF104" s="14" t="str">
        <f aca="false">IF(OR(AK104=0,AE104="",N(AE104)=0,BM104=""),"",EDATE(AL104,BM104))</f>
        <v/>
      </c>
      <c r="AG104" s="17" t="str">
        <f aca="false">IF(AK104=0,"",MIN(BD104,BQ104))</f>
        <v/>
      </c>
      <c r="AH104" s="17" t="str">
        <f aca="false">IF(AK104=0,"",IF(NOT(LH_Ready),"",IF(BG104=0,0,MAX(0,ROUND(N(T104)+N(U104)-N104,2)))))</f>
        <v/>
      </c>
      <c r="AI104" s="12"/>
      <c r="AJ104" s="12"/>
      <c r="AK104" s="16" t="n">
        <f aca="false">IF(OR(LEN($A104&amp;$B104)=0,$F104=""),0,1)</f>
        <v>0</v>
      </c>
      <c r="AL104" s="14" t="str">
        <f aca="false">IF(AK104=0,"",IF(PreSchemeCounts="No",MAX(SchemeStart,IF($J104&lt;&gt;"",$J104,IF(OR(CasualCounts="Yes",COUNT($G104:$I104)=0),$F104,IF(Apply2026="No",IF($I104="",$F104,$I104),IF(COUNT($H104:$I104)=0,$F104,MIN($H104:$I104)))))),IF($J104&lt;&gt;"",$J104,IF(OR(CasualCounts="Yes",COUNT($G104:$I104)=0),$F104,IF(Apply2026="No",IF($I104="",$F104,$I104),IF(COUNT($H104:$I104)=0,$F104,MIN($H104:$I104)))))))</f>
        <v/>
      </c>
      <c r="AM104" s="16" t="str">
        <f aca="false">IF(AK104=0,"",COUNT($G104:$I104))</f>
        <v/>
      </c>
      <c r="AN104" s="14" t="str">
        <f aca="false">IF(AK104=0,"",IFERROR(SMALL($G104:$I104,1),""))</f>
        <v/>
      </c>
      <c r="AO104" s="14" t="str">
        <f aca="false">IF(AK104=0,"",IFERROR(SMALL($G104:$I104,2),""))</f>
        <v/>
      </c>
      <c r="AP104" s="14" t="str">
        <f aca="false">IF(AK104=0,"",IFERROR(SMALL($G104:$I104,3),""))</f>
        <v/>
      </c>
      <c r="AQ104" s="16" t="str">
        <f aca="false">IF(AK104=0,"",IF(AN104="","",IF(AN104=$H104,"Part-Time",IF(AN104=$I104,"Full-Time","Casual"))))</f>
        <v/>
      </c>
      <c r="AR104" s="16" t="str">
        <f aca="false">IF(AK104=0,"",IF(AO104="","",IF(AO104=$H104,"Part-Time",IF(AO104=$I104,"Full-Time","Casual"))))</f>
        <v/>
      </c>
      <c r="AS104" s="16" t="str">
        <f aca="false">IF(AK104=0,"",IF(AP104="","",IF(AP104=$H104,"Part-Time",IF(AP104=$I104,"Full-Time","Casual"))))</f>
        <v/>
      </c>
      <c r="AT104" s="16" t="str">
        <f aca="false">IF(AK104=0,"",IF(AM104=0,IF(OR(ISNUMBER(SEARCH("full",$C104)),UPPER(TRIM($C104))="FT",UPPER(TRIM($C104))="FTE"),"FT",IF(AND(OR(ISNUMBER(SEARCH("part",$C104)),UPPER(TRIM($C104))="PT",UPPER(TRIM($C104))="PTE"),Apply2026="Yes",OR($P104="",N($P104)&gt;=PT_MinHours)),"PT","None")),IF(OR(ISNUMBER(SEARCH("full",AQ104)),UPPER(TRIM(AQ104))="FT",UPPER(TRIM(AQ104))="FTE"),"FT",IF(AND(OR(ISNUMBER(SEARCH("part",AQ104)),UPPER(TRIM(AQ104))="PT",UPPER(TRIM(AQ104))="PTE"),Apply2026="Yes",OR($P104="",N($P104)&gt;=PT_MinHours)),"PT","None"))))</f>
        <v/>
      </c>
      <c r="AU104" s="16" t="str">
        <f aca="false">IF(AK104=0,"",IF(AM104&lt;2,"",IF(OR(ISNUMBER(SEARCH("full",AR104)),UPPER(TRIM(AR104))="FT",UPPER(TRIM(AR104))="FTE"),"FT",IF(AND(OR(ISNUMBER(SEARCH("part",AR104)),UPPER(TRIM(AR104))="PT",UPPER(TRIM(AR104))="PTE"),Apply2026="Yes",OR($P104="",N($P104)&gt;=PT_MinHours)),"PT","None"))))</f>
        <v/>
      </c>
      <c r="AV104" s="16" t="str">
        <f aca="false">IF(AK104=0,"",IF(AM104&lt;3,"",IF(OR(ISNUMBER(SEARCH("full",AS104)),UPPER(TRIM(AS104))="FT",UPPER(TRIM(AS104))="FTE"),"FT",IF(AND(OR(ISNUMBER(SEARCH("part",AS104)),UPPER(TRIM(AS104))="PT",UPPER(TRIM(AS104))="PTE"),Apply2026="Yes",OR($P104="",N($P104)&gt;=PT_MinHours)),"PT","None"))))</f>
        <v/>
      </c>
      <c r="AW104" s="16" t="str">
        <f aca="false">IF(AK104=0,"",IF(AND(AM104&gt;=3,AP104&lt;=AsOfDate),AV104,IF(AND(AM104&gt;=2,AO104&lt;=AsOfDate),AU104,AT104)))</f>
        <v/>
      </c>
      <c r="AX104" s="16" t="str">
        <f aca="false">IF(AK104=0,"",IF(AsOfDate&lt;AL104,-1,12*(YEAR(AsOfDate)-YEAR(AL104))+MONTH(AsOfDate)-MONTH(AL104)-IF(DAY(AsOfDate)&lt;MIN(DAY(AL104),DAY(EOMONTH(AsOfDate,0))),1,0)))</f>
        <v/>
      </c>
      <c r="AY104" s="16" t="str">
        <f aca="false">IF(AK104=0,"",IF(OR(AM104&lt;2,AO104&gt;AsOfDate),AX104,IF((AO104-1)&lt;AL104,-1,12*(YEAR((AO104-1))-YEAR(AL104))+MONTH((AO104-1))-MONTH(AL104)-IF(DAY((AO104-1))&lt;MIN(DAY(AL104),DAY(EOMONTH((AO104-1),0))),1,0))))</f>
        <v/>
      </c>
      <c r="AZ104" s="16" t="str">
        <f aca="false">IF(AK104=0,"",IF(OR(AM104&lt;3,AP104&gt;AsOfDate),AX104,IF((AP104-1)&lt;AL104,-1,12*(YEAR((AP104-1))-YEAR(AL104))+MONTH((AP104-1))-MONTH(AL104)-IF(DAY((AP104-1))&lt;MIN(DAY(AL104),DAY(EOMONTH((AP104-1),0))),1,0))))</f>
        <v/>
      </c>
      <c r="BA104" s="16" t="str">
        <f aca="false">IF(AK104=0,"",IF(PFYDate&lt;AL104,-1,12*(YEAR(PFYDate)-YEAR(AL104))+MONTH(PFYDate)-MONTH(AL104)-IF(DAY(PFYDate)&lt;MIN(DAY(AL104),DAY(EOMONTH(PFYDate,0))),1,0)))</f>
        <v/>
      </c>
      <c r="BB104" s="16" t="str">
        <f aca="false">IF(AK104=0,"",IF(OR(AM104&lt;2,AO104&gt;PFYDate),BA104,IF((AO104-1)&lt;AL104,-1,12*(YEAR((AO104-1))-YEAR(AL104))+MONTH((AO104-1))-MONTH(AL104)-IF(DAY((AO104-1))&lt;MIN(DAY(AL104),DAY(EOMONTH((AO104-1),0))),1,0))))</f>
        <v/>
      </c>
      <c r="BC104" s="16" t="str">
        <f aca="false">IF(AK104=0,"",IF(OR(AM104&lt;3,AP104&gt;PFYDate),BA104,IF((AP104-1)&lt;AL104,-1,12*(YEAR((AP104-1))-YEAR(AL104))+MONTH((AP104-1))-MONTH(AL104)-IF(DAY((AP104-1))&lt;MIN(DAY(AL104),DAY(EOMONTH((AP104-1),0))),1,0))))</f>
        <v/>
      </c>
      <c r="BD104" s="16" t="str">
        <f aca="false">IF(AK104=0,"",IF(AT104="FT",IF(AY104&lt;FT_First,0,IF(AY104&lt;FT_Y5,1+INT((AY104-FT_First)/FT_Int1),FT_PreY5+FT_PerYear*INT((AY104-FT_Y5)/12)+FT_AnnivDays+INT(MOD(AY104-FT_Y5,12)/FT_Int2)-IF(EDATE(AL104,FT_Y5)&lt;PolicyEff,FT_AnnivDays-1,0))),IF(AT104="PT",IF(AY104&lt;PT_First,0,1+INT((AY104-PT_First)/PT_Int)),0))+IF(AND(AM104&gt;=2,AO104&lt;=AsOfDate),IF(AU104="FT",IF(AZ104&lt;FT_First,0,IF(AZ104&lt;FT_Y5,1+INT((AZ104-FT_First)/FT_Int1),FT_PreY5+FT_PerYear*INT((AZ104-FT_Y5)/12)+FT_AnnivDays+INT(MOD(AZ104-FT_Y5,12)/FT_Int2)-IF(EDATE(AL104,FT_Y5)&lt;PolicyEff,FT_AnnivDays-1,0))),IF(AU104="PT",IF(AZ104&lt;PT_First,0,1+INT((AZ104-PT_First)/PT_Int)),0))-IF(AU104="FT",IF(AY104&lt;FT_First,0,IF(AY104&lt;FT_Y5,1+INT((AY104-FT_First)/FT_Int1),FT_PreY5+FT_PerYear*INT((AY104-FT_Y5)/12)+FT_AnnivDays+INT(MOD(AY104-FT_Y5,12)/FT_Int2)-IF(EDATE(AL104,FT_Y5)&lt;PolicyEff,FT_AnnivDays-1,0))),IF(AU104="PT",IF(AY104&lt;PT_First,0,1+INT((AY104-PT_First)/PT_Int)),0)),0)+IF(AND(AM104&gt;=3,AP104&lt;=AsOfDate),IF(AV104="FT",IF(AX104&lt;FT_First,0,IF(AX104&lt;FT_Y5,1+INT((AX104-FT_First)/FT_Int1),FT_PreY5+FT_PerYear*INT((AX104-FT_Y5)/12)+FT_AnnivDays+INT(MOD(AX104-FT_Y5,12)/FT_Int2)-IF(EDATE(AL104,FT_Y5)&lt;PolicyEff,FT_AnnivDays-1,0))),IF(AV104="PT",IF(AX104&lt;PT_First,0,1+INT((AX104-PT_First)/PT_Int)),0))-IF(AV104="FT",IF(AZ104&lt;FT_First,0,IF(AZ104&lt;FT_Y5,1+INT((AZ104-FT_First)/FT_Int1),FT_PreY5+FT_PerYear*INT((AZ104-FT_Y5)/12)+FT_AnnivDays+INT(MOD(AZ104-FT_Y5,12)/FT_Int2)-IF(EDATE(AL104,FT_Y5)&lt;PolicyEff,FT_AnnivDays-1,0))),IF(AV104="PT",IF(AZ104&lt;PT_First,0,1+INT((AZ104-PT_First)/PT_Int)),0)),0))</f>
        <v/>
      </c>
      <c r="BE104" s="16" t="str">
        <f aca="false">IF(AK104=0,"",IF(AT104="FT",IF(BB104&lt;FT_First,0,IF(BB104&lt;FT_Y5,1+INT((BB104-FT_First)/FT_Int1),FT_PreY5+FT_PerYear*INT((BB104-FT_Y5)/12)+FT_AnnivDays+INT(MOD(BB104-FT_Y5,12)/FT_Int2)-IF(EDATE(AL104,FT_Y5)&lt;PolicyEff,FT_AnnivDays-1,0))),IF(AT104="PT",IF(BB104&lt;PT_First,0,1+INT((BB104-PT_First)/PT_Int)),0))+IF(AND(AM104&gt;=2,AO104&lt;=PFYDate),IF(AU104="FT",IF(BC104&lt;FT_First,0,IF(BC104&lt;FT_Y5,1+INT((BC104-FT_First)/FT_Int1),FT_PreY5+FT_PerYear*INT((BC104-FT_Y5)/12)+FT_AnnivDays+INT(MOD(BC104-FT_Y5,12)/FT_Int2)-IF(EDATE(AL104,FT_Y5)&lt;PolicyEff,FT_AnnivDays-1,0))),IF(AU104="PT",IF(BC104&lt;PT_First,0,1+INT((BC104-PT_First)/PT_Int)),0))-IF(AU104="FT",IF(BB104&lt;FT_First,0,IF(BB104&lt;FT_Y5,1+INT((BB104-FT_First)/FT_Int1),FT_PreY5+FT_PerYear*INT((BB104-FT_Y5)/12)+FT_AnnivDays+INT(MOD(BB104-FT_Y5,12)/FT_Int2)-IF(EDATE(AL104,FT_Y5)&lt;PolicyEff,FT_AnnivDays-1,0))),IF(AU104="PT",IF(BB104&lt;PT_First,0,1+INT((BB104-PT_First)/PT_Int)),0)),0)+IF(AND(AM104&gt;=3,AP104&lt;=PFYDate),IF(AV104="FT",IF(BA104&lt;FT_First,0,IF(BA104&lt;FT_Y5,1+INT((BA104-FT_First)/FT_Int1),FT_PreY5+FT_PerYear*INT((BA104-FT_Y5)/12)+FT_AnnivDays+INT(MOD(BA104-FT_Y5,12)/FT_Int2)-IF(EDATE(AL104,FT_Y5)&lt;PolicyEff,FT_AnnivDays-1,0))),IF(AV104="PT",IF(BA104&lt;PT_First,0,1+INT((BA104-PT_First)/PT_Int)),0))-IF(AV104="FT",IF(BC104&lt;FT_First,0,IF(BC104&lt;FT_Y5,1+INT((BC104-FT_First)/FT_Int1),FT_PreY5+FT_PerYear*INT((BC104-FT_Y5)/12)+FT_AnnivDays+INT(MOD(BC104-FT_Y5,12)/FT_Int2)-IF(EDATE(AL104,FT_Y5)&lt;PolicyEff,FT_AnnivDays-1,0))),IF(AV104="PT",IF(BC104&lt;PT_First,0,1+INT((BC104-PT_First)/PT_Int)),0)),0))</f>
        <v/>
      </c>
      <c r="BF104" s="16" t="str">
        <f aca="false">IF(AK104=0,"",IF(AW104="FT",IF(AX104&lt;FT_First,FT_First,IF(AX104&lt;FT_Y5,MIN(FT_Y5,FT_First+FT_Int1*(INT((AX104-FT_First)/FT_Int1)+1)),FT_Y5+12*INT((AX104-FT_Y5)/12)+FT_Int2*(INT(MOD(AX104-FT_Y5,12)/FT_Int2)+1))),IF(AW104="PT",IF(AX104&lt;PT_First,PT_First,PT_First+PT_Int*(INT((AX104-PT_First)/PT_Int)+1)),"")))</f>
        <v/>
      </c>
      <c r="BG104" s="16" t="str">
        <f aca="false">IF(AK104=0,"",IF(NOT(LH_Ready),0,COUNTIFS(INDEX(LH_Data,0,LH_ColFirst),$A104,INDEX(LH_Data,0,LH_ColSur),$B104,INDEX(LH_Data,0,LH_ColCat),BonusCat)))</f>
        <v/>
      </c>
      <c r="BH104" s="16" t="str">
        <f aca="false">IF(AK104=0,"",IF(OR(NOT(LH_Ready),BG104=0),0,SUMPRODUCT(MAX((INDEX(LH_Data,0,LH_ColFirst)=$A104)*(INDEX(LH_Data,0,LH_ColSur)=$B104)*(INDEX(LH_Data,0,LH_ColCat)=BonusCat)*ROW(LH_Data)))))</f>
        <v/>
      </c>
      <c r="BI104" s="16" t="str">
        <f aca="false">IF(AK104=0,"",IF(EOMONTH(AsOfDate,-1)&lt;AL104,-1,12*(YEAR(EOMONTH(AsOfDate,-1))-YEAR(AL104))+MONTH(EOMONTH(AsOfDate,-1))-MONTH(AL104)-IF(DAY(EOMONTH(AsOfDate,-1))&lt;MIN(DAY(AL104),DAY(EOMONTH(EOMONTH(AsOfDate,-1),0))),1,0)))</f>
        <v/>
      </c>
      <c r="BJ104" s="16" t="str">
        <f aca="false">IF(AK104=0,"",IF(OR(AM104&lt;2,AO104&gt;EOMONTH(AsOfDate,-1)),BI104,IF((AO104-1)&lt;AL104,-1,12*(YEAR((AO104-1))-YEAR(AL104))+MONTH((AO104-1))-MONTH(AL104)-IF(DAY((AO104-1))&lt;MIN(DAY(AL104),DAY(EOMONTH((AO104-1),0))),1,0))))</f>
        <v/>
      </c>
      <c r="BK104" s="16" t="str">
        <f aca="false">IF(AK104=0,"",IF(OR(AM104&lt;3,AP104&gt;EOMONTH(AsOfDate,-1)),BI104,IF((AP104-1)&lt;AL104,-1,12*(YEAR((AP104-1))-YEAR(AL104))+MONTH((AP104-1))-MONTH(AL104)-IF(DAY((AP104-1))&lt;MIN(DAY(AL104),DAY(EOMONTH((AP104-1),0))),1,0))))</f>
        <v/>
      </c>
      <c r="BL104" s="16" t="str">
        <f aca="false">IF(AK104=0,"",IF(AT104="FT",IF(BJ104&lt;FT_First,0,IF(BJ104&lt;FT_Y5,1+INT((BJ104-FT_First)/FT_Int1),FT_PreY5+FT_PerYear*INT((BJ104-FT_Y5)/12)+FT_AnnivDays+INT(MOD(BJ104-FT_Y5,12)/FT_Int2)-IF(EDATE(AL104,FT_Y5)&lt;PolicyEff,FT_AnnivDays-1,0))),IF(AT104="PT",IF(BJ104&lt;PT_First,0,1+INT((BJ104-PT_First)/PT_Int)),0))+IF(AND(AM104&gt;=2,AO104&lt;=EOMONTH(AsOfDate,-1)),IF(AU104="FT",IF(BK104&lt;FT_First,0,IF(BK104&lt;FT_Y5,1+INT((BK104-FT_First)/FT_Int1),FT_PreY5+FT_PerYear*INT((BK104-FT_Y5)/12)+FT_AnnivDays+INT(MOD(BK104-FT_Y5,12)/FT_Int2)-IF(EDATE(AL104,FT_Y5)&lt;PolicyEff,FT_AnnivDays-1,0))),IF(AU104="PT",IF(BK104&lt;PT_First,0,1+INT((BK104-PT_First)/PT_Int)),0))-IF(AU104="FT",IF(BJ104&lt;FT_First,0,IF(BJ104&lt;FT_Y5,1+INT((BJ104-FT_First)/FT_Int1),FT_PreY5+FT_PerYear*INT((BJ104-FT_Y5)/12)+FT_AnnivDays+INT(MOD(BJ104-FT_Y5,12)/FT_Int2)-IF(EDATE(AL104,FT_Y5)&lt;PolicyEff,FT_AnnivDays-1,0))),IF(AU104="PT",IF(BJ104&lt;PT_First,0,1+INT((BJ104-PT_First)/PT_Int)),0)),0)+IF(AND(AM104&gt;=3,AP104&lt;=EOMONTH(AsOfDate,-1)),IF(AV104="FT",IF(BI104&lt;FT_First,0,IF(BI104&lt;FT_Y5,1+INT((BI104-FT_First)/FT_Int1),FT_PreY5+FT_PerYear*INT((BI104-FT_Y5)/12)+FT_AnnivDays+INT(MOD(BI104-FT_Y5,12)/FT_Int2)-IF(EDATE(AL104,FT_Y5)&lt;PolicyEff,FT_AnnivDays-1,0))),IF(AV104="PT",IF(BI104&lt;PT_First,0,1+INT((BI104-PT_First)/PT_Int)),0))-IF(AV104="FT",IF(BK104&lt;FT_First,0,IF(BK104&lt;FT_Y5,1+INT((BK104-FT_First)/FT_Int1),FT_PreY5+FT_PerYear*INT((BK104-FT_Y5)/12)+FT_AnnivDays+INT(MOD(BK104-FT_Y5,12)/FT_Int2)-IF(EDATE(AL104,FT_Y5)&lt;PolicyEff,FT_AnnivDays-1,0))),IF(AV104="PT",IF(BK104&lt;PT_First,0,1+INT((BK104-PT_First)/PT_Int)),0)),0))</f>
        <v/>
      </c>
      <c r="BM104" s="16" t="str">
        <f aca="false">IF(AK104=0,"",IF(AW104="FT",IF(AX104&lt;FT_First,"",IF(AX104&lt;FT_Y5,FT_First+FT_Int1*INT((AX104-FT_First)/FT_Int1),FT_Y5+FT_Int2*INT((AX104-FT_Y5)/FT_Int2))),IF(AW104="PT",IF(AX104&lt;PT_First,"",PT_First+PT_Int*INT((AX104-PT_First)/PT_Int)),"")))</f>
        <v/>
      </c>
      <c r="BN104" s="16" t="str">
        <f aca="false">IF(AK104=0,"",IF((SchemeStart-1)&lt;AL104,-1,12*(YEAR((SchemeStart-1))-YEAR(AL104))+MONTH((SchemeStart-1))-MONTH(AL104)-IF(DAY((SchemeStart-1))&lt;MIN(DAY(AL104),DAY(EOMONTH((SchemeStart-1),0))),1,0)))</f>
        <v/>
      </c>
      <c r="BO104" s="16" t="str">
        <f aca="false">IF(AK104=0,"",IF(OR(AM104&lt;2,AO104&gt;(SchemeStart-1)),BN104,IF((AO104-1)&lt;AL104,-1,12*(YEAR((AO104-1))-YEAR(AL104))+MONTH((AO104-1))-MONTH(AL104)-IF(DAY((AO104-1))&lt;MIN(DAY(AL104),DAY(EOMONTH((AO104-1),0))),1,0))))</f>
        <v/>
      </c>
      <c r="BP104" s="16" t="str">
        <f aca="false">IF(AK104=0,"",IF(OR(AM104&lt;3,AP104&gt;(SchemeStart-1)),BN104,IF((AP104-1)&lt;AL104,-1,12*(YEAR((AP104-1))-YEAR(AL104))+MONTH((AP104-1))-MONTH(AL104)-IF(DAY((AP104-1))&lt;MIN(DAY(AL104),DAY(EOMONTH((AP104-1),0))),1,0))))</f>
        <v/>
      </c>
      <c r="BQ104" s="16" t="str">
        <f aca="false">IF(AK104=0,"",IF(AT104="FT",IF(BO104&lt;FT_First,0,IF(BO104&lt;FT_Y5,1+INT((BO104-FT_First)/FT_Int1),FT_PreY5+FT_PerYear*INT((BO104-FT_Y5)/12)+FT_AnnivDays+INT(MOD(BO104-FT_Y5,12)/FT_Int2)-IF(EDATE(AL104,FT_Y5)&lt;PolicyEff,FT_AnnivDays-1,0))),IF(AT104="PT",IF(BO104&lt;PT_First,0,1+INT((BO104-PT_First)/PT_Int)),0))+IF(AND(AM104&gt;=2,AO104&lt;=(SchemeStart-1)),IF(AU104="FT",IF(BP104&lt;FT_First,0,IF(BP104&lt;FT_Y5,1+INT((BP104-FT_First)/FT_Int1),FT_PreY5+FT_PerYear*INT((BP104-FT_Y5)/12)+FT_AnnivDays+INT(MOD(BP104-FT_Y5,12)/FT_Int2)-IF(EDATE(AL104,FT_Y5)&lt;PolicyEff,FT_AnnivDays-1,0))),IF(AU104="PT",IF(BP104&lt;PT_First,0,1+INT((BP104-PT_First)/PT_Int)),0))-IF(AU104="FT",IF(BO104&lt;FT_First,0,IF(BO104&lt;FT_Y5,1+INT((BO104-FT_First)/FT_Int1),FT_PreY5+FT_PerYear*INT((BO104-FT_Y5)/12)+FT_AnnivDays+INT(MOD(BO104-FT_Y5,12)/FT_Int2)-IF(EDATE(AL104,FT_Y5)&lt;PolicyEff,FT_AnnivDays-1,0))),IF(AU104="PT",IF(BO104&lt;PT_First,0,1+INT((BO104-PT_First)/PT_Int)),0)),0)+IF(AND(AM104&gt;=3,AP104&lt;=(SchemeStart-1)),IF(AV104="FT",IF(BN104&lt;FT_First,0,IF(BN104&lt;FT_Y5,1+INT((BN104-FT_First)/FT_Int1),FT_PreY5+FT_PerYear*INT((BN104-FT_Y5)/12)+FT_AnnivDays+INT(MOD(BN104-FT_Y5,12)/FT_Int2)-IF(EDATE(AL104,FT_Y5)&lt;PolicyEff,FT_AnnivDays-1,0))),IF(AV104="PT",IF(BN104&lt;PT_First,0,1+INT((BN104-PT_First)/PT_Int)),0))-IF(AV104="FT",IF(BP104&lt;FT_First,0,IF(BP104&lt;FT_Y5,1+INT((BP104-FT_First)/FT_Int1),FT_PreY5+FT_PerYear*INT((BP104-FT_Y5)/12)+FT_AnnivDays+INT(MOD(BP104-FT_Y5,12)/FT_Int2)-IF(EDATE(AL104,FT_Y5)&lt;PolicyEff,FT_AnnivDays-1,0))),IF(AV104="PT",IF(BP104&lt;PT_First,0,1+INT((BP104-PT_First)/PT_Int)),0)),0))</f>
        <v/>
      </c>
      <c r="BR104" s="0" t="str">
        <f aca="false">IF(LEN($A104&amp;$B104)=0,"",$A104&amp;" "&amp;$B104)</f>
        <v/>
      </c>
    </row>
    <row r="105" customFormat="false" ht="15" hidden="false" customHeight="false" outlineLevel="0" collapsed="false">
      <c r="A105" s="12"/>
      <c r="B105" s="12"/>
      <c r="C105" s="12"/>
      <c r="D105" s="13"/>
      <c r="E105" s="14" t="str">
        <f aca="false">IF(OR(AK105=0,$D105=""),"",DATE(YEAR(AsOfDate)+IF(DATE(YEAR(AsOfDate),MONTH($D105),DAY($D105))&lt;=AsOfDate,1,0),MONTH($D105),DAY($D105)))</f>
        <v/>
      </c>
      <c r="F105" s="13"/>
      <c r="G105" s="13"/>
      <c r="H105" s="13"/>
      <c r="I105" s="13"/>
      <c r="J105" s="13"/>
      <c r="K105" s="14" t="str">
        <f aca="false">IF(AK105=0,"",DATE(YEAR(AsOfDate)+IF(DATE(YEAR(AsOfDate),MONTH(AL105),DAY(AL105))&lt;=AsOfDate,1,0),MONTH(AL105),DAY(AL105)))</f>
        <v/>
      </c>
      <c r="L105" s="15" t="str">
        <f aca="false">IF(AK105=0,"",ROUND((AsOfDate-AL105)/365.25,1))</f>
        <v/>
      </c>
      <c r="M105" s="16" t="str">
        <f aca="false">IF(AK105=0,"",IF(AsOfDate&lt;AL105,"-",DATEDIF(AL105,AsOfDate,"y")&amp;"y "&amp;DATEDIF(AL105,AsOfDate,"ym")&amp;"m "&amp;DATEDIF(AL105,AsOfDate,"md")&amp;"d"))</f>
        <v/>
      </c>
      <c r="N105" s="17" t="str">
        <f aca="false">IF(AK105=0,"",O105*HoursPerDay)</f>
        <v/>
      </c>
      <c r="O105" s="17" t="str">
        <f aca="false">IF(AK105=0,"",MAX(0,BD105-BQ105))</f>
        <v/>
      </c>
      <c r="P105" s="18"/>
      <c r="Q105" s="16" t="str">
        <f aca="false">IF(AK105=0,"",IF(AM105&lt;2,"",AQ105&amp;" to "&amp;AR105&amp;" on "&amp;TEXT(AO105,"dd/mm/yyyy")&amp;IF(AO105&gt;AsOfDate," (future)",IF(AT105=AU105,"",IF(AU105="None"," - STOPPED accruing",IF(AT105="None"," - commencement for Bonus Leave"," - pathway changed"))))&amp;IF(AM105&lt;3,"","; "&amp;AR105&amp;" to "&amp;AS105&amp;" on "&amp;TEXT(AP105,"dd/mm/yyyy")&amp;IF(AP105&gt;AsOfDate," (future)",IF(AU105=AV105,"",IF(AV105="None"," - STOPPED accruing",IF(AU105="None"," - commencement for Bonus Leave"," - pathway changed")))))))</f>
        <v/>
      </c>
      <c r="R105" s="16" t="str">
        <f aca="false">IF(AK105=0,"",IF(AW105="None",IF(O105&gt;0,"No longer accruing","Not eligible - "&amp;IF(AND(OR(ISNUMBER(SEARCH("part",$C105)),UPPER(TRIM($C105))="PT",UPPER(TRIM($C105))="PTE"),Apply2026="No"),"part-time (scheme is full-time only)",IF(AND(OR(ISNUMBER(SEARCH("part",$C105)),UPPER(TRIM($C105))="PT",UPPER(TRIM($C105))="PTE"),$P105&lt;&gt;"",N($P105)&lt;PT_MinHours),"under "&amp;PT_MinHours&amp;" hrs",IF(IF($C105="","",IF(OR(ISNUMBER(SEARCH("full",$C105)),UPPER(TRIM($C105))="FT",UPPER(TRIM($C105))="FTE"),"Full-Time",IF(OR(ISNUMBER(SEARCH("part",$C105)),UPPER(TRIM($C105))="PT",UPPER(TRIM($C105))="PTE"),"Part-Time",IF(OR(ISNUMBER(SEARCH("cas",$C105)),UPPER(TRIM($C105))="CAS"),"Casual","Unknown"))))="Unknown","type not recognised",$C105)))),IF(O105&gt;0,"Yes - Accrual Required","Not yet - from "&amp;TEXT(S105,"dd/mm/yyyy"))))</f>
        <v/>
      </c>
      <c r="S105" s="14" t="str">
        <f aca="false">IF(AK105=0,"",IF(AW105="None","",EDATE(AL105,BF105)))</f>
        <v/>
      </c>
      <c r="T105" s="17" t="str">
        <f aca="false">IF(AK105=0,"",IF(NOT(LH_Ready),"",IF($F105&gt;PFYDate,0,IF(LH_ColPeriod=0,W105-U105+V105,SUMIFS(INDEX(LH_Data,0,LH_ColAcc),INDEX(LH_Data,0,LH_ColFirst),$A105,INDEX(LH_Data,0,LH_ColSur),$B105,INDEX(LH_Data,0,LH_ColCat),BonusCat,INDEX(LH_Data,0,LH_ColPeriod),LH_OpenLabel)*UnitFactor))))</f>
        <v/>
      </c>
      <c r="U105" s="17" t="str">
        <f aca="false">IF(AK105=0,"",IF(NOT(LH_Ready),"",SUMIFS(INDEX(LH_Data,0,LH_ColAcc),INDEX(LH_Data,0,LH_ColFirst),$A105,INDEX(LH_Data,0,LH_ColSur),$B105,INDEX(LH_Data,0,LH_ColCat),BonusCat,INDEX(LH_Data,0,LH_ColStart),"&gt;="&amp;AL105)*UnitFactor))</f>
        <v/>
      </c>
      <c r="V105" s="17" t="str">
        <f aca="false">IF(AK105=0,"",IF(NOT(LH_Ready),"",SUMIFS(INDEX(LH_Data,0,LH_ColTaken),INDEX(LH_Data,0,LH_ColFirst),$A105,INDEX(LH_Data,0,LH_ColSur),$B105,INDEX(LH_Data,0,LH_ColCat),BonusCat,INDEX(LH_Data,0,LH_ColStart),"&gt;="&amp;AL105)*UnitFactor))</f>
        <v/>
      </c>
      <c r="W105" s="17" t="str">
        <f aca="false">IF(AK105=0,"",IF(NOT(LH_Ready),"",IF(BH105=0,0,INDEX(INDEX(LH_Data,0,LH_ColClose),BH105-1)*UnitFactor)))</f>
        <v/>
      </c>
      <c r="X105" s="17" t="str">
        <f aca="false">IF(AK105=0,"",(MAX(0,BD105-BQ105)-MAX(0,BE105-BQ105))*HoursPerDay)</f>
        <v/>
      </c>
      <c r="Y105" s="17" t="str">
        <f aca="false">IF(AK105=0,"",IF(NOT(LH_Ready),"",IF($AI105="Yes",N(AE105)*HoursPerDay-SUMIFS(INDEX(LH_Data,0,LH_ColAcc),INDEX(LH_Data,0,LH_ColFirst),$A105,INDEX(LH_Data,0,LH_ColSur),$B105,INDEX(LH_Data,0,LH_ColCat),BonusCat,INDEX(LH_Data,0,LH_ColStart),"&gt;="&amp;(EOMONTH(AsOfDate,-1)+1),INDEX(LH_Data,0,LH_ColStart),"&lt;="&amp;AsOfDate)*UnitFactor,IF(BG105=0,N105,N105-N(T105)-N(U105)))))</f>
        <v/>
      </c>
      <c r="Z105" s="16" t="str">
        <f aca="false">IF(OR(AK105=0,Y105=""),"",IF(Y105&gt;0,"Yes","No"))</f>
        <v/>
      </c>
      <c r="AA105" s="16" t="str">
        <f aca="false">IF(AK105=0,IF(LEN($A105&amp;$B105)=0,"","FIX INPUT - StartDate missing"),IF(AD105&lt;&gt;"","FIX INPUT - "&amp;AD105,IF(NOT(LH_Ready),"Paste Leave History export (Settings must show YES)",IF(AND($AI105="Yes",Y105&lt;=0),"OK - EH balance accepted to date"&amp;IF(N(AH105)&gt;0," (EH holds "&amp;AH105&amp;" hrs over the scheme)","")&amp;"; next day "&amp;TEXT(S105,"dd mmm yy")&amp;IF(N(AE105)&gt;0," ("&amp;AE105&amp;" day(s) for "&amp;UPPER(TEXT(AsOfDate,"mmm yyyy"))&amp;" already in EH)",""),IF(Y105&gt;0,"ACCRUE "&amp;ROUND(Y105,2)&amp;" hrs ("&amp;ROUND(Y105/HoursPerDay,2)&amp;" days): "&amp;IF(N(AE105)&gt;0,AE105&amp;" day(s) for "&amp;UPPER(TEXT(AsOfDate,"mmm yyyy"))&amp;" (milestone "&amp;UPPER(TEXT(AF105,"dd mmm yy"))&amp;")"&amp;IF(Y105/HoursPerDay&gt;AE105+0.001," + "&amp;ROUND(Y105/HoursPerDay-AE105,2)&amp;" day(s) catch-up from earlier months",""),"all catch-up from earlier months, nothing new this month")&amp;IF(BG105=0,"; no Bonus Leave in EH yet",""),IF(Y105&lt;0,"CHECK - EH accrued "&amp;ROUND(-Y105,2)&amp;" hrs more than policy since commencement",IF(N(W105)&gt;O105*HoursPerDay+0.01,"CHECK - EH balance "&amp;ROUND(W105-O105*HoursPerDay,2)&amp;" hrs more than policy entitlement",IF(O105&gt;0,"OK - nothing to add"&amp;IF(N(AE105)&gt;0," ("&amp;AE105&amp;" day(s) for "&amp;UPPER(TEXT(AsOfDate,"mmm yyyy"))&amp;" already in EH)",""),IF(AW105="None",R105,"Not yet - first day on "&amp;TEXT(S105,"dd/mm/yyyy"))))))))))</f>
        <v/>
      </c>
      <c r="AB105" s="17" t="str">
        <f aca="false">IF(OR(AK105=0,T105=""),"",MAX(0,BE105-BQ105)*HoursPerDay-T105)</f>
        <v/>
      </c>
      <c r="AC105" s="16" t="str">
        <f aca="false">IF(AK105=0,"",BG105)</f>
        <v/>
      </c>
      <c r="AD105" s="16" t="str">
        <f aca="false">IF(AK105=0,"",TRIM(IF(OR(ISTEXT($F105),ISTEXT($H105),ISTEXT($I105),ISTEXT($G105),ISTEXT($J105),ISTEXT($D105)),"A date is typed as text - retype it as dd/mm/yyyy. ","")&amp;IF(IF($C105="","",IF(OR(ISNUMBER(SEARCH("full",$C105)),UPPER(TRIM($C105))="FT",UPPER(TRIM($C105))="FTE"),"Full-Time",IF(OR(ISNUMBER(SEARCH("part",$C105)),UPPER(TRIM($C105))="PT",UPPER(TRIM($C105))="PTE"),"Part-Time",IF(OR(ISNUMBER(SEARCH("cas",$C105)),UPPER(TRIM($C105))="CAS"),"Casual","Unknown"))))="Unknown","EmploymentType not recognised - use Full-Time, Part-Time or Casual. ","")&amp;IF(AND(AM105&gt;=1,IF(AM105&gt;=3,AS105,IF(AM105=2,AR105,AQ105))&lt;&gt;IF($C105="","",IF(OR(ISNUMBER(SEARCH("full",$C105)),UPPER(TRIM($C105))="FT",UPPER(TRIM($C105))="FTE"),"Full-Time",IF(OR(ISNUMBER(SEARCH("part",$C105)),UPPER(TRIM($C105))="PT",UPPER(TRIM($C105))="PTE"),"Part-Time",IF(OR(ISNUMBER(SEARCH("cas",$C105)),UPPER(TRIM($C105))="CAS"),"Casual","Unknown"))))),"EmploymentType does not match latest start date ("&amp;IF(AM105&gt;=3,AS105,IF(AM105=2,AR105,AQ105))&amp;"). ","")&amp;IF(AND(AM105&gt;=1,AN105&lt;&gt;$F105),"Earliest type date should equal StartDate. ","")&amp;IF(AND(AM105&gt;=2,AN105=AO105),"Two types start on the same date. ","")&amp;IF(AND(OR(ISNUMBER(SEARCH("part",$C105)),UPPER(TRIM($C105))="PT",UPPER(TRIM($C105))="PTE"),$P105=""),"Part-time: enter PT Hrs/Week (blank = 24+). ","")))</f>
        <v/>
      </c>
      <c r="AE105" s="17" t="str">
        <f aca="false">IF(AK105=0,"",O105-MAX(0,BL105-BQ105))</f>
        <v/>
      </c>
      <c r="AF105" s="14" t="str">
        <f aca="false">IF(OR(AK105=0,AE105="",N(AE105)=0,BM105=""),"",EDATE(AL105,BM105))</f>
        <v/>
      </c>
      <c r="AG105" s="17" t="str">
        <f aca="false">IF(AK105=0,"",MIN(BD105,BQ105))</f>
        <v/>
      </c>
      <c r="AH105" s="17" t="str">
        <f aca="false">IF(AK105=0,"",IF(NOT(LH_Ready),"",IF(BG105=0,0,MAX(0,ROUND(N(T105)+N(U105)-N105,2)))))</f>
        <v/>
      </c>
      <c r="AI105" s="12"/>
      <c r="AJ105" s="12"/>
      <c r="AK105" s="16" t="n">
        <f aca="false">IF(OR(LEN($A105&amp;$B105)=0,$F105=""),0,1)</f>
        <v>0</v>
      </c>
      <c r="AL105" s="14" t="str">
        <f aca="false">IF(AK105=0,"",IF(PreSchemeCounts="No",MAX(SchemeStart,IF($J105&lt;&gt;"",$J105,IF(OR(CasualCounts="Yes",COUNT($G105:$I105)=0),$F105,IF(Apply2026="No",IF($I105="",$F105,$I105),IF(COUNT($H105:$I105)=0,$F105,MIN($H105:$I105)))))),IF($J105&lt;&gt;"",$J105,IF(OR(CasualCounts="Yes",COUNT($G105:$I105)=0),$F105,IF(Apply2026="No",IF($I105="",$F105,$I105),IF(COUNT($H105:$I105)=0,$F105,MIN($H105:$I105)))))))</f>
        <v/>
      </c>
      <c r="AM105" s="16" t="str">
        <f aca="false">IF(AK105=0,"",COUNT($G105:$I105))</f>
        <v/>
      </c>
      <c r="AN105" s="14" t="str">
        <f aca="false">IF(AK105=0,"",IFERROR(SMALL($G105:$I105,1),""))</f>
        <v/>
      </c>
      <c r="AO105" s="14" t="str">
        <f aca="false">IF(AK105=0,"",IFERROR(SMALL($G105:$I105,2),""))</f>
        <v/>
      </c>
      <c r="AP105" s="14" t="str">
        <f aca="false">IF(AK105=0,"",IFERROR(SMALL($G105:$I105,3),""))</f>
        <v/>
      </c>
      <c r="AQ105" s="16" t="str">
        <f aca="false">IF(AK105=0,"",IF(AN105="","",IF(AN105=$H105,"Part-Time",IF(AN105=$I105,"Full-Time","Casual"))))</f>
        <v/>
      </c>
      <c r="AR105" s="16" t="str">
        <f aca="false">IF(AK105=0,"",IF(AO105="","",IF(AO105=$H105,"Part-Time",IF(AO105=$I105,"Full-Time","Casual"))))</f>
        <v/>
      </c>
      <c r="AS105" s="16" t="str">
        <f aca="false">IF(AK105=0,"",IF(AP105="","",IF(AP105=$H105,"Part-Time",IF(AP105=$I105,"Full-Time","Casual"))))</f>
        <v/>
      </c>
      <c r="AT105" s="16" t="str">
        <f aca="false">IF(AK105=0,"",IF(AM105=0,IF(OR(ISNUMBER(SEARCH("full",$C105)),UPPER(TRIM($C105))="FT",UPPER(TRIM($C105))="FTE"),"FT",IF(AND(OR(ISNUMBER(SEARCH("part",$C105)),UPPER(TRIM($C105))="PT",UPPER(TRIM($C105))="PTE"),Apply2026="Yes",OR($P105="",N($P105)&gt;=PT_MinHours)),"PT","None")),IF(OR(ISNUMBER(SEARCH("full",AQ105)),UPPER(TRIM(AQ105))="FT",UPPER(TRIM(AQ105))="FTE"),"FT",IF(AND(OR(ISNUMBER(SEARCH("part",AQ105)),UPPER(TRIM(AQ105))="PT",UPPER(TRIM(AQ105))="PTE"),Apply2026="Yes",OR($P105="",N($P105)&gt;=PT_MinHours)),"PT","None"))))</f>
        <v/>
      </c>
      <c r="AU105" s="16" t="str">
        <f aca="false">IF(AK105=0,"",IF(AM105&lt;2,"",IF(OR(ISNUMBER(SEARCH("full",AR105)),UPPER(TRIM(AR105))="FT",UPPER(TRIM(AR105))="FTE"),"FT",IF(AND(OR(ISNUMBER(SEARCH("part",AR105)),UPPER(TRIM(AR105))="PT",UPPER(TRIM(AR105))="PTE"),Apply2026="Yes",OR($P105="",N($P105)&gt;=PT_MinHours)),"PT","None"))))</f>
        <v/>
      </c>
      <c r="AV105" s="16" t="str">
        <f aca="false">IF(AK105=0,"",IF(AM105&lt;3,"",IF(OR(ISNUMBER(SEARCH("full",AS105)),UPPER(TRIM(AS105))="FT",UPPER(TRIM(AS105))="FTE"),"FT",IF(AND(OR(ISNUMBER(SEARCH("part",AS105)),UPPER(TRIM(AS105))="PT",UPPER(TRIM(AS105))="PTE"),Apply2026="Yes",OR($P105="",N($P105)&gt;=PT_MinHours)),"PT","None"))))</f>
        <v/>
      </c>
      <c r="AW105" s="16" t="str">
        <f aca="false">IF(AK105=0,"",IF(AND(AM105&gt;=3,AP105&lt;=AsOfDate),AV105,IF(AND(AM105&gt;=2,AO105&lt;=AsOfDate),AU105,AT105)))</f>
        <v/>
      </c>
      <c r="AX105" s="16" t="str">
        <f aca="false">IF(AK105=0,"",IF(AsOfDate&lt;AL105,-1,12*(YEAR(AsOfDate)-YEAR(AL105))+MONTH(AsOfDate)-MONTH(AL105)-IF(DAY(AsOfDate)&lt;MIN(DAY(AL105),DAY(EOMONTH(AsOfDate,0))),1,0)))</f>
        <v/>
      </c>
      <c r="AY105" s="16" t="str">
        <f aca="false">IF(AK105=0,"",IF(OR(AM105&lt;2,AO105&gt;AsOfDate),AX105,IF((AO105-1)&lt;AL105,-1,12*(YEAR((AO105-1))-YEAR(AL105))+MONTH((AO105-1))-MONTH(AL105)-IF(DAY((AO105-1))&lt;MIN(DAY(AL105),DAY(EOMONTH((AO105-1),0))),1,0))))</f>
        <v/>
      </c>
      <c r="AZ105" s="16" t="str">
        <f aca="false">IF(AK105=0,"",IF(OR(AM105&lt;3,AP105&gt;AsOfDate),AX105,IF((AP105-1)&lt;AL105,-1,12*(YEAR((AP105-1))-YEAR(AL105))+MONTH((AP105-1))-MONTH(AL105)-IF(DAY((AP105-1))&lt;MIN(DAY(AL105),DAY(EOMONTH((AP105-1),0))),1,0))))</f>
        <v/>
      </c>
      <c r="BA105" s="16" t="str">
        <f aca="false">IF(AK105=0,"",IF(PFYDate&lt;AL105,-1,12*(YEAR(PFYDate)-YEAR(AL105))+MONTH(PFYDate)-MONTH(AL105)-IF(DAY(PFYDate)&lt;MIN(DAY(AL105),DAY(EOMONTH(PFYDate,0))),1,0)))</f>
        <v/>
      </c>
      <c r="BB105" s="16" t="str">
        <f aca="false">IF(AK105=0,"",IF(OR(AM105&lt;2,AO105&gt;PFYDate),BA105,IF((AO105-1)&lt;AL105,-1,12*(YEAR((AO105-1))-YEAR(AL105))+MONTH((AO105-1))-MONTH(AL105)-IF(DAY((AO105-1))&lt;MIN(DAY(AL105),DAY(EOMONTH((AO105-1),0))),1,0))))</f>
        <v/>
      </c>
      <c r="BC105" s="16" t="str">
        <f aca="false">IF(AK105=0,"",IF(OR(AM105&lt;3,AP105&gt;PFYDate),BA105,IF((AP105-1)&lt;AL105,-1,12*(YEAR((AP105-1))-YEAR(AL105))+MONTH((AP105-1))-MONTH(AL105)-IF(DAY((AP105-1))&lt;MIN(DAY(AL105),DAY(EOMONTH((AP105-1),0))),1,0))))</f>
        <v/>
      </c>
      <c r="BD105" s="16" t="str">
        <f aca="false">IF(AK105=0,"",IF(AT105="FT",IF(AY105&lt;FT_First,0,IF(AY105&lt;FT_Y5,1+INT((AY105-FT_First)/FT_Int1),FT_PreY5+FT_PerYear*INT((AY105-FT_Y5)/12)+FT_AnnivDays+INT(MOD(AY105-FT_Y5,12)/FT_Int2)-IF(EDATE(AL105,FT_Y5)&lt;PolicyEff,FT_AnnivDays-1,0))),IF(AT105="PT",IF(AY105&lt;PT_First,0,1+INT((AY105-PT_First)/PT_Int)),0))+IF(AND(AM105&gt;=2,AO105&lt;=AsOfDate),IF(AU105="FT",IF(AZ105&lt;FT_First,0,IF(AZ105&lt;FT_Y5,1+INT((AZ105-FT_First)/FT_Int1),FT_PreY5+FT_PerYear*INT((AZ105-FT_Y5)/12)+FT_AnnivDays+INT(MOD(AZ105-FT_Y5,12)/FT_Int2)-IF(EDATE(AL105,FT_Y5)&lt;PolicyEff,FT_AnnivDays-1,0))),IF(AU105="PT",IF(AZ105&lt;PT_First,0,1+INT((AZ105-PT_First)/PT_Int)),0))-IF(AU105="FT",IF(AY105&lt;FT_First,0,IF(AY105&lt;FT_Y5,1+INT((AY105-FT_First)/FT_Int1),FT_PreY5+FT_PerYear*INT((AY105-FT_Y5)/12)+FT_AnnivDays+INT(MOD(AY105-FT_Y5,12)/FT_Int2)-IF(EDATE(AL105,FT_Y5)&lt;PolicyEff,FT_AnnivDays-1,0))),IF(AU105="PT",IF(AY105&lt;PT_First,0,1+INT((AY105-PT_First)/PT_Int)),0)),0)+IF(AND(AM105&gt;=3,AP105&lt;=AsOfDate),IF(AV105="FT",IF(AX105&lt;FT_First,0,IF(AX105&lt;FT_Y5,1+INT((AX105-FT_First)/FT_Int1),FT_PreY5+FT_PerYear*INT((AX105-FT_Y5)/12)+FT_AnnivDays+INT(MOD(AX105-FT_Y5,12)/FT_Int2)-IF(EDATE(AL105,FT_Y5)&lt;PolicyEff,FT_AnnivDays-1,0))),IF(AV105="PT",IF(AX105&lt;PT_First,0,1+INT((AX105-PT_First)/PT_Int)),0))-IF(AV105="FT",IF(AZ105&lt;FT_First,0,IF(AZ105&lt;FT_Y5,1+INT((AZ105-FT_First)/FT_Int1),FT_PreY5+FT_PerYear*INT((AZ105-FT_Y5)/12)+FT_AnnivDays+INT(MOD(AZ105-FT_Y5,12)/FT_Int2)-IF(EDATE(AL105,FT_Y5)&lt;PolicyEff,FT_AnnivDays-1,0))),IF(AV105="PT",IF(AZ105&lt;PT_First,0,1+INT((AZ105-PT_First)/PT_Int)),0)),0))</f>
        <v/>
      </c>
      <c r="BE105" s="16" t="str">
        <f aca="false">IF(AK105=0,"",IF(AT105="FT",IF(BB105&lt;FT_First,0,IF(BB105&lt;FT_Y5,1+INT((BB105-FT_First)/FT_Int1),FT_PreY5+FT_PerYear*INT((BB105-FT_Y5)/12)+FT_AnnivDays+INT(MOD(BB105-FT_Y5,12)/FT_Int2)-IF(EDATE(AL105,FT_Y5)&lt;PolicyEff,FT_AnnivDays-1,0))),IF(AT105="PT",IF(BB105&lt;PT_First,0,1+INT((BB105-PT_First)/PT_Int)),0))+IF(AND(AM105&gt;=2,AO105&lt;=PFYDate),IF(AU105="FT",IF(BC105&lt;FT_First,0,IF(BC105&lt;FT_Y5,1+INT((BC105-FT_First)/FT_Int1),FT_PreY5+FT_PerYear*INT((BC105-FT_Y5)/12)+FT_AnnivDays+INT(MOD(BC105-FT_Y5,12)/FT_Int2)-IF(EDATE(AL105,FT_Y5)&lt;PolicyEff,FT_AnnivDays-1,0))),IF(AU105="PT",IF(BC105&lt;PT_First,0,1+INT((BC105-PT_First)/PT_Int)),0))-IF(AU105="FT",IF(BB105&lt;FT_First,0,IF(BB105&lt;FT_Y5,1+INT((BB105-FT_First)/FT_Int1),FT_PreY5+FT_PerYear*INT((BB105-FT_Y5)/12)+FT_AnnivDays+INT(MOD(BB105-FT_Y5,12)/FT_Int2)-IF(EDATE(AL105,FT_Y5)&lt;PolicyEff,FT_AnnivDays-1,0))),IF(AU105="PT",IF(BB105&lt;PT_First,0,1+INT((BB105-PT_First)/PT_Int)),0)),0)+IF(AND(AM105&gt;=3,AP105&lt;=PFYDate),IF(AV105="FT",IF(BA105&lt;FT_First,0,IF(BA105&lt;FT_Y5,1+INT((BA105-FT_First)/FT_Int1),FT_PreY5+FT_PerYear*INT((BA105-FT_Y5)/12)+FT_AnnivDays+INT(MOD(BA105-FT_Y5,12)/FT_Int2)-IF(EDATE(AL105,FT_Y5)&lt;PolicyEff,FT_AnnivDays-1,0))),IF(AV105="PT",IF(BA105&lt;PT_First,0,1+INT((BA105-PT_First)/PT_Int)),0))-IF(AV105="FT",IF(BC105&lt;FT_First,0,IF(BC105&lt;FT_Y5,1+INT((BC105-FT_First)/FT_Int1),FT_PreY5+FT_PerYear*INT((BC105-FT_Y5)/12)+FT_AnnivDays+INT(MOD(BC105-FT_Y5,12)/FT_Int2)-IF(EDATE(AL105,FT_Y5)&lt;PolicyEff,FT_AnnivDays-1,0))),IF(AV105="PT",IF(BC105&lt;PT_First,0,1+INT((BC105-PT_First)/PT_Int)),0)),0))</f>
        <v/>
      </c>
      <c r="BF105" s="16" t="str">
        <f aca="false">IF(AK105=0,"",IF(AW105="FT",IF(AX105&lt;FT_First,FT_First,IF(AX105&lt;FT_Y5,MIN(FT_Y5,FT_First+FT_Int1*(INT((AX105-FT_First)/FT_Int1)+1)),FT_Y5+12*INT((AX105-FT_Y5)/12)+FT_Int2*(INT(MOD(AX105-FT_Y5,12)/FT_Int2)+1))),IF(AW105="PT",IF(AX105&lt;PT_First,PT_First,PT_First+PT_Int*(INT((AX105-PT_First)/PT_Int)+1)),"")))</f>
        <v/>
      </c>
      <c r="BG105" s="16" t="str">
        <f aca="false">IF(AK105=0,"",IF(NOT(LH_Ready),0,COUNTIFS(INDEX(LH_Data,0,LH_ColFirst),$A105,INDEX(LH_Data,0,LH_ColSur),$B105,INDEX(LH_Data,0,LH_ColCat),BonusCat)))</f>
        <v/>
      </c>
      <c r="BH105" s="16" t="str">
        <f aca="false">IF(AK105=0,"",IF(OR(NOT(LH_Ready),BG105=0),0,SUMPRODUCT(MAX((INDEX(LH_Data,0,LH_ColFirst)=$A105)*(INDEX(LH_Data,0,LH_ColSur)=$B105)*(INDEX(LH_Data,0,LH_ColCat)=BonusCat)*ROW(LH_Data)))))</f>
        <v/>
      </c>
      <c r="BI105" s="16" t="str">
        <f aca="false">IF(AK105=0,"",IF(EOMONTH(AsOfDate,-1)&lt;AL105,-1,12*(YEAR(EOMONTH(AsOfDate,-1))-YEAR(AL105))+MONTH(EOMONTH(AsOfDate,-1))-MONTH(AL105)-IF(DAY(EOMONTH(AsOfDate,-1))&lt;MIN(DAY(AL105),DAY(EOMONTH(EOMONTH(AsOfDate,-1),0))),1,0)))</f>
        <v/>
      </c>
      <c r="BJ105" s="16" t="str">
        <f aca="false">IF(AK105=0,"",IF(OR(AM105&lt;2,AO105&gt;EOMONTH(AsOfDate,-1)),BI105,IF((AO105-1)&lt;AL105,-1,12*(YEAR((AO105-1))-YEAR(AL105))+MONTH((AO105-1))-MONTH(AL105)-IF(DAY((AO105-1))&lt;MIN(DAY(AL105),DAY(EOMONTH((AO105-1),0))),1,0))))</f>
        <v/>
      </c>
      <c r="BK105" s="16" t="str">
        <f aca="false">IF(AK105=0,"",IF(OR(AM105&lt;3,AP105&gt;EOMONTH(AsOfDate,-1)),BI105,IF((AP105-1)&lt;AL105,-1,12*(YEAR((AP105-1))-YEAR(AL105))+MONTH((AP105-1))-MONTH(AL105)-IF(DAY((AP105-1))&lt;MIN(DAY(AL105),DAY(EOMONTH((AP105-1),0))),1,0))))</f>
        <v/>
      </c>
      <c r="BL105" s="16" t="str">
        <f aca="false">IF(AK105=0,"",IF(AT105="FT",IF(BJ105&lt;FT_First,0,IF(BJ105&lt;FT_Y5,1+INT((BJ105-FT_First)/FT_Int1),FT_PreY5+FT_PerYear*INT((BJ105-FT_Y5)/12)+FT_AnnivDays+INT(MOD(BJ105-FT_Y5,12)/FT_Int2)-IF(EDATE(AL105,FT_Y5)&lt;PolicyEff,FT_AnnivDays-1,0))),IF(AT105="PT",IF(BJ105&lt;PT_First,0,1+INT((BJ105-PT_First)/PT_Int)),0))+IF(AND(AM105&gt;=2,AO105&lt;=EOMONTH(AsOfDate,-1)),IF(AU105="FT",IF(BK105&lt;FT_First,0,IF(BK105&lt;FT_Y5,1+INT((BK105-FT_First)/FT_Int1),FT_PreY5+FT_PerYear*INT((BK105-FT_Y5)/12)+FT_AnnivDays+INT(MOD(BK105-FT_Y5,12)/FT_Int2)-IF(EDATE(AL105,FT_Y5)&lt;PolicyEff,FT_AnnivDays-1,0))),IF(AU105="PT",IF(BK105&lt;PT_First,0,1+INT((BK105-PT_First)/PT_Int)),0))-IF(AU105="FT",IF(BJ105&lt;FT_First,0,IF(BJ105&lt;FT_Y5,1+INT((BJ105-FT_First)/FT_Int1),FT_PreY5+FT_PerYear*INT((BJ105-FT_Y5)/12)+FT_AnnivDays+INT(MOD(BJ105-FT_Y5,12)/FT_Int2)-IF(EDATE(AL105,FT_Y5)&lt;PolicyEff,FT_AnnivDays-1,0))),IF(AU105="PT",IF(BJ105&lt;PT_First,0,1+INT((BJ105-PT_First)/PT_Int)),0)),0)+IF(AND(AM105&gt;=3,AP105&lt;=EOMONTH(AsOfDate,-1)),IF(AV105="FT",IF(BI105&lt;FT_First,0,IF(BI105&lt;FT_Y5,1+INT((BI105-FT_First)/FT_Int1),FT_PreY5+FT_PerYear*INT((BI105-FT_Y5)/12)+FT_AnnivDays+INT(MOD(BI105-FT_Y5,12)/FT_Int2)-IF(EDATE(AL105,FT_Y5)&lt;PolicyEff,FT_AnnivDays-1,0))),IF(AV105="PT",IF(BI105&lt;PT_First,0,1+INT((BI105-PT_First)/PT_Int)),0))-IF(AV105="FT",IF(BK105&lt;FT_First,0,IF(BK105&lt;FT_Y5,1+INT((BK105-FT_First)/FT_Int1),FT_PreY5+FT_PerYear*INT((BK105-FT_Y5)/12)+FT_AnnivDays+INT(MOD(BK105-FT_Y5,12)/FT_Int2)-IF(EDATE(AL105,FT_Y5)&lt;PolicyEff,FT_AnnivDays-1,0))),IF(AV105="PT",IF(BK105&lt;PT_First,0,1+INT((BK105-PT_First)/PT_Int)),0)),0))</f>
        <v/>
      </c>
      <c r="BM105" s="16" t="str">
        <f aca="false">IF(AK105=0,"",IF(AW105="FT",IF(AX105&lt;FT_First,"",IF(AX105&lt;FT_Y5,FT_First+FT_Int1*INT((AX105-FT_First)/FT_Int1),FT_Y5+FT_Int2*INT((AX105-FT_Y5)/FT_Int2))),IF(AW105="PT",IF(AX105&lt;PT_First,"",PT_First+PT_Int*INT((AX105-PT_First)/PT_Int)),"")))</f>
        <v/>
      </c>
      <c r="BN105" s="16" t="str">
        <f aca="false">IF(AK105=0,"",IF((SchemeStart-1)&lt;AL105,-1,12*(YEAR((SchemeStart-1))-YEAR(AL105))+MONTH((SchemeStart-1))-MONTH(AL105)-IF(DAY((SchemeStart-1))&lt;MIN(DAY(AL105),DAY(EOMONTH((SchemeStart-1),0))),1,0)))</f>
        <v/>
      </c>
      <c r="BO105" s="16" t="str">
        <f aca="false">IF(AK105=0,"",IF(OR(AM105&lt;2,AO105&gt;(SchemeStart-1)),BN105,IF((AO105-1)&lt;AL105,-1,12*(YEAR((AO105-1))-YEAR(AL105))+MONTH((AO105-1))-MONTH(AL105)-IF(DAY((AO105-1))&lt;MIN(DAY(AL105),DAY(EOMONTH((AO105-1),0))),1,0))))</f>
        <v/>
      </c>
      <c r="BP105" s="16" t="str">
        <f aca="false">IF(AK105=0,"",IF(OR(AM105&lt;3,AP105&gt;(SchemeStart-1)),BN105,IF((AP105-1)&lt;AL105,-1,12*(YEAR((AP105-1))-YEAR(AL105))+MONTH((AP105-1))-MONTH(AL105)-IF(DAY((AP105-1))&lt;MIN(DAY(AL105),DAY(EOMONTH((AP105-1),0))),1,0))))</f>
        <v/>
      </c>
      <c r="BQ105" s="16" t="str">
        <f aca="false">IF(AK105=0,"",IF(AT105="FT",IF(BO105&lt;FT_First,0,IF(BO105&lt;FT_Y5,1+INT((BO105-FT_First)/FT_Int1),FT_PreY5+FT_PerYear*INT((BO105-FT_Y5)/12)+FT_AnnivDays+INT(MOD(BO105-FT_Y5,12)/FT_Int2)-IF(EDATE(AL105,FT_Y5)&lt;PolicyEff,FT_AnnivDays-1,0))),IF(AT105="PT",IF(BO105&lt;PT_First,0,1+INT((BO105-PT_First)/PT_Int)),0))+IF(AND(AM105&gt;=2,AO105&lt;=(SchemeStart-1)),IF(AU105="FT",IF(BP105&lt;FT_First,0,IF(BP105&lt;FT_Y5,1+INT((BP105-FT_First)/FT_Int1),FT_PreY5+FT_PerYear*INT((BP105-FT_Y5)/12)+FT_AnnivDays+INT(MOD(BP105-FT_Y5,12)/FT_Int2)-IF(EDATE(AL105,FT_Y5)&lt;PolicyEff,FT_AnnivDays-1,0))),IF(AU105="PT",IF(BP105&lt;PT_First,0,1+INT((BP105-PT_First)/PT_Int)),0))-IF(AU105="FT",IF(BO105&lt;FT_First,0,IF(BO105&lt;FT_Y5,1+INT((BO105-FT_First)/FT_Int1),FT_PreY5+FT_PerYear*INT((BO105-FT_Y5)/12)+FT_AnnivDays+INT(MOD(BO105-FT_Y5,12)/FT_Int2)-IF(EDATE(AL105,FT_Y5)&lt;PolicyEff,FT_AnnivDays-1,0))),IF(AU105="PT",IF(BO105&lt;PT_First,0,1+INT((BO105-PT_First)/PT_Int)),0)),0)+IF(AND(AM105&gt;=3,AP105&lt;=(SchemeStart-1)),IF(AV105="FT",IF(BN105&lt;FT_First,0,IF(BN105&lt;FT_Y5,1+INT((BN105-FT_First)/FT_Int1),FT_PreY5+FT_PerYear*INT((BN105-FT_Y5)/12)+FT_AnnivDays+INT(MOD(BN105-FT_Y5,12)/FT_Int2)-IF(EDATE(AL105,FT_Y5)&lt;PolicyEff,FT_AnnivDays-1,0))),IF(AV105="PT",IF(BN105&lt;PT_First,0,1+INT((BN105-PT_First)/PT_Int)),0))-IF(AV105="FT",IF(BP105&lt;FT_First,0,IF(BP105&lt;FT_Y5,1+INT((BP105-FT_First)/FT_Int1),FT_PreY5+FT_PerYear*INT((BP105-FT_Y5)/12)+FT_AnnivDays+INT(MOD(BP105-FT_Y5,12)/FT_Int2)-IF(EDATE(AL105,FT_Y5)&lt;PolicyEff,FT_AnnivDays-1,0))),IF(AV105="PT",IF(BP105&lt;PT_First,0,1+INT((BP105-PT_First)/PT_Int)),0)),0))</f>
        <v/>
      </c>
      <c r="BR105" s="0" t="str">
        <f aca="false">IF(LEN($A105&amp;$B105)=0,"",$A105&amp;" "&amp;$B105)</f>
        <v/>
      </c>
    </row>
    <row r="106" customFormat="false" ht="15" hidden="false" customHeight="false" outlineLevel="0" collapsed="false">
      <c r="A106" s="12"/>
      <c r="B106" s="12"/>
      <c r="C106" s="12"/>
      <c r="D106" s="13"/>
      <c r="E106" s="14" t="str">
        <f aca="false">IF(OR(AK106=0,$D106=""),"",DATE(YEAR(AsOfDate)+IF(DATE(YEAR(AsOfDate),MONTH($D106),DAY($D106))&lt;=AsOfDate,1,0),MONTH($D106),DAY($D106)))</f>
        <v/>
      </c>
      <c r="F106" s="13"/>
      <c r="G106" s="13"/>
      <c r="H106" s="13"/>
      <c r="I106" s="13"/>
      <c r="J106" s="13"/>
      <c r="K106" s="14" t="str">
        <f aca="false">IF(AK106=0,"",DATE(YEAR(AsOfDate)+IF(DATE(YEAR(AsOfDate),MONTH(AL106),DAY(AL106))&lt;=AsOfDate,1,0),MONTH(AL106),DAY(AL106)))</f>
        <v/>
      </c>
      <c r="L106" s="15" t="str">
        <f aca="false">IF(AK106=0,"",ROUND((AsOfDate-AL106)/365.25,1))</f>
        <v/>
      </c>
      <c r="M106" s="16" t="str">
        <f aca="false">IF(AK106=0,"",IF(AsOfDate&lt;AL106,"-",DATEDIF(AL106,AsOfDate,"y")&amp;"y "&amp;DATEDIF(AL106,AsOfDate,"ym")&amp;"m "&amp;DATEDIF(AL106,AsOfDate,"md")&amp;"d"))</f>
        <v/>
      </c>
      <c r="N106" s="17" t="str">
        <f aca="false">IF(AK106=0,"",O106*HoursPerDay)</f>
        <v/>
      </c>
      <c r="O106" s="17" t="str">
        <f aca="false">IF(AK106=0,"",MAX(0,BD106-BQ106))</f>
        <v/>
      </c>
      <c r="P106" s="18"/>
      <c r="Q106" s="16" t="str">
        <f aca="false">IF(AK106=0,"",IF(AM106&lt;2,"",AQ106&amp;" to "&amp;AR106&amp;" on "&amp;TEXT(AO106,"dd/mm/yyyy")&amp;IF(AO106&gt;AsOfDate," (future)",IF(AT106=AU106,"",IF(AU106="None"," - STOPPED accruing",IF(AT106="None"," - commencement for Bonus Leave"," - pathway changed"))))&amp;IF(AM106&lt;3,"","; "&amp;AR106&amp;" to "&amp;AS106&amp;" on "&amp;TEXT(AP106,"dd/mm/yyyy")&amp;IF(AP106&gt;AsOfDate," (future)",IF(AU106=AV106,"",IF(AV106="None"," - STOPPED accruing",IF(AU106="None"," - commencement for Bonus Leave"," - pathway changed")))))))</f>
        <v/>
      </c>
      <c r="R106" s="16" t="str">
        <f aca="false">IF(AK106=0,"",IF(AW106="None",IF(O106&gt;0,"No longer accruing","Not eligible - "&amp;IF(AND(OR(ISNUMBER(SEARCH("part",$C106)),UPPER(TRIM($C106))="PT",UPPER(TRIM($C106))="PTE"),Apply2026="No"),"part-time (scheme is full-time only)",IF(AND(OR(ISNUMBER(SEARCH("part",$C106)),UPPER(TRIM($C106))="PT",UPPER(TRIM($C106))="PTE"),$P106&lt;&gt;"",N($P106)&lt;PT_MinHours),"under "&amp;PT_MinHours&amp;" hrs",IF(IF($C106="","",IF(OR(ISNUMBER(SEARCH("full",$C106)),UPPER(TRIM($C106))="FT",UPPER(TRIM($C106))="FTE"),"Full-Time",IF(OR(ISNUMBER(SEARCH("part",$C106)),UPPER(TRIM($C106))="PT",UPPER(TRIM($C106))="PTE"),"Part-Time",IF(OR(ISNUMBER(SEARCH("cas",$C106)),UPPER(TRIM($C106))="CAS"),"Casual","Unknown"))))="Unknown","type not recognised",$C106)))),IF(O106&gt;0,"Yes - Accrual Required","Not yet - from "&amp;TEXT(S106,"dd/mm/yyyy"))))</f>
        <v/>
      </c>
      <c r="S106" s="14" t="str">
        <f aca="false">IF(AK106=0,"",IF(AW106="None","",EDATE(AL106,BF106)))</f>
        <v/>
      </c>
      <c r="T106" s="17" t="str">
        <f aca="false">IF(AK106=0,"",IF(NOT(LH_Ready),"",IF($F106&gt;PFYDate,0,IF(LH_ColPeriod=0,W106-U106+V106,SUMIFS(INDEX(LH_Data,0,LH_ColAcc),INDEX(LH_Data,0,LH_ColFirst),$A106,INDEX(LH_Data,0,LH_ColSur),$B106,INDEX(LH_Data,0,LH_ColCat),BonusCat,INDEX(LH_Data,0,LH_ColPeriod),LH_OpenLabel)*UnitFactor))))</f>
        <v/>
      </c>
      <c r="U106" s="17" t="str">
        <f aca="false">IF(AK106=0,"",IF(NOT(LH_Ready),"",SUMIFS(INDEX(LH_Data,0,LH_ColAcc),INDEX(LH_Data,0,LH_ColFirst),$A106,INDEX(LH_Data,0,LH_ColSur),$B106,INDEX(LH_Data,0,LH_ColCat),BonusCat,INDEX(LH_Data,0,LH_ColStart),"&gt;="&amp;AL106)*UnitFactor))</f>
        <v/>
      </c>
      <c r="V106" s="17" t="str">
        <f aca="false">IF(AK106=0,"",IF(NOT(LH_Ready),"",SUMIFS(INDEX(LH_Data,0,LH_ColTaken),INDEX(LH_Data,0,LH_ColFirst),$A106,INDEX(LH_Data,0,LH_ColSur),$B106,INDEX(LH_Data,0,LH_ColCat),BonusCat,INDEX(LH_Data,0,LH_ColStart),"&gt;="&amp;AL106)*UnitFactor))</f>
        <v/>
      </c>
      <c r="W106" s="17" t="str">
        <f aca="false">IF(AK106=0,"",IF(NOT(LH_Ready),"",IF(BH106=0,0,INDEX(INDEX(LH_Data,0,LH_ColClose),BH106-1)*UnitFactor)))</f>
        <v/>
      </c>
      <c r="X106" s="17" t="str">
        <f aca="false">IF(AK106=0,"",(MAX(0,BD106-BQ106)-MAX(0,BE106-BQ106))*HoursPerDay)</f>
        <v/>
      </c>
      <c r="Y106" s="17" t="str">
        <f aca="false">IF(AK106=0,"",IF(NOT(LH_Ready),"",IF($AI106="Yes",N(AE106)*HoursPerDay-SUMIFS(INDEX(LH_Data,0,LH_ColAcc),INDEX(LH_Data,0,LH_ColFirst),$A106,INDEX(LH_Data,0,LH_ColSur),$B106,INDEX(LH_Data,0,LH_ColCat),BonusCat,INDEX(LH_Data,0,LH_ColStart),"&gt;="&amp;(EOMONTH(AsOfDate,-1)+1),INDEX(LH_Data,0,LH_ColStart),"&lt;="&amp;AsOfDate)*UnitFactor,IF(BG106=0,N106,N106-N(T106)-N(U106)))))</f>
        <v/>
      </c>
      <c r="Z106" s="16" t="str">
        <f aca="false">IF(OR(AK106=0,Y106=""),"",IF(Y106&gt;0,"Yes","No"))</f>
        <v/>
      </c>
      <c r="AA106" s="16" t="str">
        <f aca="false">IF(AK106=0,IF(LEN($A106&amp;$B106)=0,"","FIX INPUT - StartDate missing"),IF(AD106&lt;&gt;"","FIX INPUT - "&amp;AD106,IF(NOT(LH_Ready),"Paste Leave History export (Settings must show YES)",IF(AND($AI106="Yes",Y106&lt;=0),"OK - EH balance accepted to date"&amp;IF(N(AH106)&gt;0," (EH holds "&amp;AH106&amp;" hrs over the scheme)","")&amp;"; next day "&amp;TEXT(S106,"dd mmm yy")&amp;IF(N(AE106)&gt;0," ("&amp;AE106&amp;" day(s) for "&amp;UPPER(TEXT(AsOfDate,"mmm yyyy"))&amp;" already in EH)",""),IF(Y106&gt;0,"ACCRUE "&amp;ROUND(Y106,2)&amp;" hrs ("&amp;ROUND(Y106/HoursPerDay,2)&amp;" days): "&amp;IF(N(AE106)&gt;0,AE106&amp;" day(s) for "&amp;UPPER(TEXT(AsOfDate,"mmm yyyy"))&amp;" (milestone "&amp;UPPER(TEXT(AF106,"dd mmm yy"))&amp;")"&amp;IF(Y106/HoursPerDay&gt;AE106+0.001," + "&amp;ROUND(Y106/HoursPerDay-AE106,2)&amp;" day(s) catch-up from earlier months",""),"all catch-up from earlier months, nothing new this month")&amp;IF(BG106=0,"; no Bonus Leave in EH yet",""),IF(Y106&lt;0,"CHECK - EH accrued "&amp;ROUND(-Y106,2)&amp;" hrs more than policy since commencement",IF(N(W106)&gt;O106*HoursPerDay+0.01,"CHECK - EH balance "&amp;ROUND(W106-O106*HoursPerDay,2)&amp;" hrs more than policy entitlement",IF(O106&gt;0,"OK - nothing to add"&amp;IF(N(AE106)&gt;0," ("&amp;AE106&amp;" day(s) for "&amp;UPPER(TEXT(AsOfDate,"mmm yyyy"))&amp;" already in EH)",""),IF(AW106="None",R106,"Not yet - first day on "&amp;TEXT(S106,"dd/mm/yyyy"))))))))))</f>
        <v/>
      </c>
      <c r="AB106" s="17" t="str">
        <f aca="false">IF(OR(AK106=0,T106=""),"",MAX(0,BE106-BQ106)*HoursPerDay-T106)</f>
        <v/>
      </c>
      <c r="AC106" s="16" t="str">
        <f aca="false">IF(AK106=0,"",BG106)</f>
        <v/>
      </c>
      <c r="AD106" s="16" t="str">
        <f aca="false">IF(AK106=0,"",TRIM(IF(OR(ISTEXT($F106),ISTEXT($H106),ISTEXT($I106),ISTEXT($G106),ISTEXT($J106),ISTEXT($D106)),"A date is typed as text - retype it as dd/mm/yyyy. ","")&amp;IF(IF($C106="","",IF(OR(ISNUMBER(SEARCH("full",$C106)),UPPER(TRIM($C106))="FT",UPPER(TRIM($C106))="FTE"),"Full-Time",IF(OR(ISNUMBER(SEARCH("part",$C106)),UPPER(TRIM($C106))="PT",UPPER(TRIM($C106))="PTE"),"Part-Time",IF(OR(ISNUMBER(SEARCH("cas",$C106)),UPPER(TRIM($C106))="CAS"),"Casual","Unknown"))))="Unknown","EmploymentType not recognised - use Full-Time, Part-Time or Casual. ","")&amp;IF(AND(AM106&gt;=1,IF(AM106&gt;=3,AS106,IF(AM106=2,AR106,AQ106))&lt;&gt;IF($C106="","",IF(OR(ISNUMBER(SEARCH("full",$C106)),UPPER(TRIM($C106))="FT",UPPER(TRIM($C106))="FTE"),"Full-Time",IF(OR(ISNUMBER(SEARCH("part",$C106)),UPPER(TRIM($C106))="PT",UPPER(TRIM($C106))="PTE"),"Part-Time",IF(OR(ISNUMBER(SEARCH("cas",$C106)),UPPER(TRIM($C106))="CAS"),"Casual","Unknown"))))),"EmploymentType does not match latest start date ("&amp;IF(AM106&gt;=3,AS106,IF(AM106=2,AR106,AQ106))&amp;"). ","")&amp;IF(AND(AM106&gt;=1,AN106&lt;&gt;$F106),"Earliest type date should equal StartDate. ","")&amp;IF(AND(AM106&gt;=2,AN106=AO106),"Two types start on the same date. ","")&amp;IF(AND(OR(ISNUMBER(SEARCH("part",$C106)),UPPER(TRIM($C106))="PT",UPPER(TRIM($C106))="PTE"),$P106=""),"Part-time: enter PT Hrs/Week (blank = 24+). ","")))</f>
        <v/>
      </c>
      <c r="AE106" s="17" t="str">
        <f aca="false">IF(AK106=0,"",O106-MAX(0,BL106-BQ106))</f>
        <v/>
      </c>
      <c r="AF106" s="14" t="str">
        <f aca="false">IF(OR(AK106=0,AE106="",N(AE106)=0,BM106=""),"",EDATE(AL106,BM106))</f>
        <v/>
      </c>
      <c r="AG106" s="17" t="str">
        <f aca="false">IF(AK106=0,"",MIN(BD106,BQ106))</f>
        <v/>
      </c>
      <c r="AH106" s="17" t="str">
        <f aca="false">IF(AK106=0,"",IF(NOT(LH_Ready),"",IF(BG106=0,0,MAX(0,ROUND(N(T106)+N(U106)-N106,2)))))</f>
        <v/>
      </c>
      <c r="AI106" s="12"/>
      <c r="AJ106" s="12"/>
      <c r="AK106" s="16" t="n">
        <f aca="false">IF(OR(LEN($A106&amp;$B106)=0,$F106=""),0,1)</f>
        <v>0</v>
      </c>
      <c r="AL106" s="14" t="str">
        <f aca="false">IF(AK106=0,"",IF(PreSchemeCounts="No",MAX(SchemeStart,IF($J106&lt;&gt;"",$J106,IF(OR(CasualCounts="Yes",COUNT($G106:$I106)=0),$F106,IF(Apply2026="No",IF($I106="",$F106,$I106),IF(COUNT($H106:$I106)=0,$F106,MIN($H106:$I106)))))),IF($J106&lt;&gt;"",$J106,IF(OR(CasualCounts="Yes",COUNT($G106:$I106)=0),$F106,IF(Apply2026="No",IF($I106="",$F106,$I106),IF(COUNT($H106:$I106)=0,$F106,MIN($H106:$I106)))))))</f>
        <v/>
      </c>
      <c r="AM106" s="16" t="str">
        <f aca="false">IF(AK106=0,"",COUNT($G106:$I106))</f>
        <v/>
      </c>
      <c r="AN106" s="14" t="str">
        <f aca="false">IF(AK106=0,"",IFERROR(SMALL($G106:$I106,1),""))</f>
        <v/>
      </c>
      <c r="AO106" s="14" t="str">
        <f aca="false">IF(AK106=0,"",IFERROR(SMALL($G106:$I106,2),""))</f>
        <v/>
      </c>
      <c r="AP106" s="14" t="str">
        <f aca="false">IF(AK106=0,"",IFERROR(SMALL($G106:$I106,3),""))</f>
        <v/>
      </c>
      <c r="AQ106" s="16" t="str">
        <f aca="false">IF(AK106=0,"",IF(AN106="","",IF(AN106=$H106,"Part-Time",IF(AN106=$I106,"Full-Time","Casual"))))</f>
        <v/>
      </c>
      <c r="AR106" s="16" t="str">
        <f aca="false">IF(AK106=0,"",IF(AO106="","",IF(AO106=$H106,"Part-Time",IF(AO106=$I106,"Full-Time","Casual"))))</f>
        <v/>
      </c>
      <c r="AS106" s="16" t="str">
        <f aca="false">IF(AK106=0,"",IF(AP106="","",IF(AP106=$H106,"Part-Time",IF(AP106=$I106,"Full-Time","Casual"))))</f>
        <v/>
      </c>
      <c r="AT106" s="16" t="str">
        <f aca="false">IF(AK106=0,"",IF(AM106=0,IF(OR(ISNUMBER(SEARCH("full",$C106)),UPPER(TRIM($C106))="FT",UPPER(TRIM($C106))="FTE"),"FT",IF(AND(OR(ISNUMBER(SEARCH("part",$C106)),UPPER(TRIM($C106))="PT",UPPER(TRIM($C106))="PTE"),Apply2026="Yes",OR($P106="",N($P106)&gt;=PT_MinHours)),"PT","None")),IF(OR(ISNUMBER(SEARCH("full",AQ106)),UPPER(TRIM(AQ106))="FT",UPPER(TRIM(AQ106))="FTE"),"FT",IF(AND(OR(ISNUMBER(SEARCH("part",AQ106)),UPPER(TRIM(AQ106))="PT",UPPER(TRIM(AQ106))="PTE"),Apply2026="Yes",OR($P106="",N($P106)&gt;=PT_MinHours)),"PT","None"))))</f>
        <v/>
      </c>
      <c r="AU106" s="16" t="str">
        <f aca="false">IF(AK106=0,"",IF(AM106&lt;2,"",IF(OR(ISNUMBER(SEARCH("full",AR106)),UPPER(TRIM(AR106))="FT",UPPER(TRIM(AR106))="FTE"),"FT",IF(AND(OR(ISNUMBER(SEARCH("part",AR106)),UPPER(TRIM(AR106))="PT",UPPER(TRIM(AR106))="PTE"),Apply2026="Yes",OR($P106="",N($P106)&gt;=PT_MinHours)),"PT","None"))))</f>
        <v/>
      </c>
      <c r="AV106" s="16" t="str">
        <f aca="false">IF(AK106=0,"",IF(AM106&lt;3,"",IF(OR(ISNUMBER(SEARCH("full",AS106)),UPPER(TRIM(AS106))="FT",UPPER(TRIM(AS106))="FTE"),"FT",IF(AND(OR(ISNUMBER(SEARCH("part",AS106)),UPPER(TRIM(AS106))="PT",UPPER(TRIM(AS106))="PTE"),Apply2026="Yes",OR($P106="",N($P106)&gt;=PT_MinHours)),"PT","None"))))</f>
        <v/>
      </c>
      <c r="AW106" s="16" t="str">
        <f aca="false">IF(AK106=0,"",IF(AND(AM106&gt;=3,AP106&lt;=AsOfDate),AV106,IF(AND(AM106&gt;=2,AO106&lt;=AsOfDate),AU106,AT106)))</f>
        <v/>
      </c>
      <c r="AX106" s="16" t="str">
        <f aca="false">IF(AK106=0,"",IF(AsOfDate&lt;AL106,-1,12*(YEAR(AsOfDate)-YEAR(AL106))+MONTH(AsOfDate)-MONTH(AL106)-IF(DAY(AsOfDate)&lt;MIN(DAY(AL106),DAY(EOMONTH(AsOfDate,0))),1,0)))</f>
        <v/>
      </c>
      <c r="AY106" s="16" t="str">
        <f aca="false">IF(AK106=0,"",IF(OR(AM106&lt;2,AO106&gt;AsOfDate),AX106,IF((AO106-1)&lt;AL106,-1,12*(YEAR((AO106-1))-YEAR(AL106))+MONTH((AO106-1))-MONTH(AL106)-IF(DAY((AO106-1))&lt;MIN(DAY(AL106),DAY(EOMONTH((AO106-1),0))),1,0))))</f>
        <v/>
      </c>
      <c r="AZ106" s="16" t="str">
        <f aca="false">IF(AK106=0,"",IF(OR(AM106&lt;3,AP106&gt;AsOfDate),AX106,IF((AP106-1)&lt;AL106,-1,12*(YEAR((AP106-1))-YEAR(AL106))+MONTH((AP106-1))-MONTH(AL106)-IF(DAY((AP106-1))&lt;MIN(DAY(AL106),DAY(EOMONTH((AP106-1),0))),1,0))))</f>
        <v/>
      </c>
      <c r="BA106" s="16" t="str">
        <f aca="false">IF(AK106=0,"",IF(PFYDate&lt;AL106,-1,12*(YEAR(PFYDate)-YEAR(AL106))+MONTH(PFYDate)-MONTH(AL106)-IF(DAY(PFYDate)&lt;MIN(DAY(AL106),DAY(EOMONTH(PFYDate,0))),1,0)))</f>
        <v/>
      </c>
      <c r="BB106" s="16" t="str">
        <f aca="false">IF(AK106=0,"",IF(OR(AM106&lt;2,AO106&gt;PFYDate),BA106,IF((AO106-1)&lt;AL106,-1,12*(YEAR((AO106-1))-YEAR(AL106))+MONTH((AO106-1))-MONTH(AL106)-IF(DAY((AO106-1))&lt;MIN(DAY(AL106),DAY(EOMONTH((AO106-1),0))),1,0))))</f>
        <v/>
      </c>
      <c r="BC106" s="16" t="str">
        <f aca="false">IF(AK106=0,"",IF(OR(AM106&lt;3,AP106&gt;PFYDate),BA106,IF((AP106-1)&lt;AL106,-1,12*(YEAR((AP106-1))-YEAR(AL106))+MONTH((AP106-1))-MONTH(AL106)-IF(DAY((AP106-1))&lt;MIN(DAY(AL106),DAY(EOMONTH((AP106-1),0))),1,0))))</f>
        <v/>
      </c>
      <c r="BD106" s="16" t="str">
        <f aca="false">IF(AK106=0,"",IF(AT106="FT",IF(AY106&lt;FT_First,0,IF(AY106&lt;FT_Y5,1+INT((AY106-FT_First)/FT_Int1),FT_PreY5+FT_PerYear*INT((AY106-FT_Y5)/12)+FT_AnnivDays+INT(MOD(AY106-FT_Y5,12)/FT_Int2)-IF(EDATE(AL106,FT_Y5)&lt;PolicyEff,FT_AnnivDays-1,0))),IF(AT106="PT",IF(AY106&lt;PT_First,0,1+INT((AY106-PT_First)/PT_Int)),0))+IF(AND(AM106&gt;=2,AO106&lt;=AsOfDate),IF(AU106="FT",IF(AZ106&lt;FT_First,0,IF(AZ106&lt;FT_Y5,1+INT((AZ106-FT_First)/FT_Int1),FT_PreY5+FT_PerYear*INT((AZ106-FT_Y5)/12)+FT_AnnivDays+INT(MOD(AZ106-FT_Y5,12)/FT_Int2)-IF(EDATE(AL106,FT_Y5)&lt;PolicyEff,FT_AnnivDays-1,0))),IF(AU106="PT",IF(AZ106&lt;PT_First,0,1+INT((AZ106-PT_First)/PT_Int)),0))-IF(AU106="FT",IF(AY106&lt;FT_First,0,IF(AY106&lt;FT_Y5,1+INT((AY106-FT_First)/FT_Int1),FT_PreY5+FT_PerYear*INT((AY106-FT_Y5)/12)+FT_AnnivDays+INT(MOD(AY106-FT_Y5,12)/FT_Int2)-IF(EDATE(AL106,FT_Y5)&lt;PolicyEff,FT_AnnivDays-1,0))),IF(AU106="PT",IF(AY106&lt;PT_First,0,1+INT((AY106-PT_First)/PT_Int)),0)),0)+IF(AND(AM106&gt;=3,AP106&lt;=AsOfDate),IF(AV106="FT",IF(AX106&lt;FT_First,0,IF(AX106&lt;FT_Y5,1+INT((AX106-FT_First)/FT_Int1),FT_PreY5+FT_PerYear*INT((AX106-FT_Y5)/12)+FT_AnnivDays+INT(MOD(AX106-FT_Y5,12)/FT_Int2)-IF(EDATE(AL106,FT_Y5)&lt;PolicyEff,FT_AnnivDays-1,0))),IF(AV106="PT",IF(AX106&lt;PT_First,0,1+INT((AX106-PT_First)/PT_Int)),0))-IF(AV106="FT",IF(AZ106&lt;FT_First,0,IF(AZ106&lt;FT_Y5,1+INT((AZ106-FT_First)/FT_Int1),FT_PreY5+FT_PerYear*INT((AZ106-FT_Y5)/12)+FT_AnnivDays+INT(MOD(AZ106-FT_Y5,12)/FT_Int2)-IF(EDATE(AL106,FT_Y5)&lt;PolicyEff,FT_AnnivDays-1,0))),IF(AV106="PT",IF(AZ106&lt;PT_First,0,1+INT((AZ106-PT_First)/PT_Int)),0)),0))</f>
        <v/>
      </c>
      <c r="BE106" s="16" t="str">
        <f aca="false">IF(AK106=0,"",IF(AT106="FT",IF(BB106&lt;FT_First,0,IF(BB106&lt;FT_Y5,1+INT((BB106-FT_First)/FT_Int1),FT_PreY5+FT_PerYear*INT((BB106-FT_Y5)/12)+FT_AnnivDays+INT(MOD(BB106-FT_Y5,12)/FT_Int2)-IF(EDATE(AL106,FT_Y5)&lt;PolicyEff,FT_AnnivDays-1,0))),IF(AT106="PT",IF(BB106&lt;PT_First,0,1+INT((BB106-PT_First)/PT_Int)),0))+IF(AND(AM106&gt;=2,AO106&lt;=PFYDate),IF(AU106="FT",IF(BC106&lt;FT_First,0,IF(BC106&lt;FT_Y5,1+INT((BC106-FT_First)/FT_Int1),FT_PreY5+FT_PerYear*INT((BC106-FT_Y5)/12)+FT_AnnivDays+INT(MOD(BC106-FT_Y5,12)/FT_Int2)-IF(EDATE(AL106,FT_Y5)&lt;PolicyEff,FT_AnnivDays-1,0))),IF(AU106="PT",IF(BC106&lt;PT_First,0,1+INT((BC106-PT_First)/PT_Int)),0))-IF(AU106="FT",IF(BB106&lt;FT_First,0,IF(BB106&lt;FT_Y5,1+INT((BB106-FT_First)/FT_Int1),FT_PreY5+FT_PerYear*INT((BB106-FT_Y5)/12)+FT_AnnivDays+INT(MOD(BB106-FT_Y5,12)/FT_Int2)-IF(EDATE(AL106,FT_Y5)&lt;PolicyEff,FT_AnnivDays-1,0))),IF(AU106="PT",IF(BB106&lt;PT_First,0,1+INT((BB106-PT_First)/PT_Int)),0)),0)+IF(AND(AM106&gt;=3,AP106&lt;=PFYDate),IF(AV106="FT",IF(BA106&lt;FT_First,0,IF(BA106&lt;FT_Y5,1+INT((BA106-FT_First)/FT_Int1),FT_PreY5+FT_PerYear*INT((BA106-FT_Y5)/12)+FT_AnnivDays+INT(MOD(BA106-FT_Y5,12)/FT_Int2)-IF(EDATE(AL106,FT_Y5)&lt;PolicyEff,FT_AnnivDays-1,0))),IF(AV106="PT",IF(BA106&lt;PT_First,0,1+INT((BA106-PT_First)/PT_Int)),0))-IF(AV106="FT",IF(BC106&lt;FT_First,0,IF(BC106&lt;FT_Y5,1+INT((BC106-FT_First)/FT_Int1),FT_PreY5+FT_PerYear*INT((BC106-FT_Y5)/12)+FT_AnnivDays+INT(MOD(BC106-FT_Y5,12)/FT_Int2)-IF(EDATE(AL106,FT_Y5)&lt;PolicyEff,FT_AnnivDays-1,0))),IF(AV106="PT",IF(BC106&lt;PT_First,0,1+INT((BC106-PT_First)/PT_Int)),0)),0))</f>
        <v/>
      </c>
      <c r="BF106" s="16" t="str">
        <f aca="false">IF(AK106=0,"",IF(AW106="FT",IF(AX106&lt;FT_First,FT_First,IF(AX106&lt;FT_Y5,MIN(FT_Y5,FT_First+FT_Int1*(INT((AX106-FT_First)/FT_Int1)+1)),FT_Y5+12*INT((AX106-FT_Y5)/12)+FT_Int2*(INT(MOD(AX106-FT_Y5,12)/FT_Int2)+1))),IF(AW106="PT",IF(AX106&lt;PT_First,PT_First,PT_First+PT_Int*(INT((AX106-PT_First)/PT_Int)+1)),"")))</f>
        <v/>
      </c>
      <c r="BG106" s="16" t="str">
        <f aca="false">IF(AK106=0,"",IF(NOT(LH_Ready),0,COUNTIFS(INDEX(LH_Data,0,LH_ColFirst),$A106,INDEX(LH_Data,0,LH_ColSur),$B106,INDEX(LH_Data,0,LH_ColCat),BonusCat)))</f>
        <v/>
      </c>
      <c r="BH106" s="16" t="str">
        <f aca="false">IF(AK106=0,"",IF(OR(NOT(LH_Ready),BG106=0),0,SUMPRODUCT(MAX((INDEX(LH_Data,0,LH_ColFirst)=$A106)*(INDEX(LH_Data,0,LH_ColSur)=$B106)*(INDEX(LH_Data,0,LH_ColCat)=BonusCat)*ROW(LH_Data)))))</f>
        <v/>
      </c>
      <c r="BI106" s="16" t="str">
        <f aca="false">IF(AK106=0,"",IF(EOMONTH(AsOfDate,-1)&lt;AL106,-1,12*(YEAR(EOMONTH(AsOfDate,-1))-YEAR(AL106))+MONTH(EOMONTH(AsOfDate,-1))-MONTH(AL106)-IF(DAY(EOMONTH(AsOfDate,-1))&lt;MIN(DAY(AL106),DAY(EOMONTH(EOMONTH(AsOfDate,-1),0))),1,0)))</f>
        <v/>
      </c>
      <c r="BJ106" s="16" t="str">
        <f aca="false">IF(AK106=0,"",IF(OR(AM106&lt;2,AO106&gt;EOMONTH(AsOfDate,-1)),BI106,IF((AO106-1)&lt;AL106,-1,12*(YEAR((AO106-1))-YEAR(AL106))+MONTH((AO106-1))-MONTH(AL106)-IF(DAY((AO106-1))&lt;MIN(DAY(AL106),DAY(EOMONTH((AO106-1),0))),1,0))))</f>
        <v/>
      </c>
      <c r="BK106" s="16" t="str">
        <f aca="false">IF(AK106=0,"",IF(OR(AM106&lt;3,AP106&gt;EOMONTH(AsOfDate,-1)),BI106,IF((AP106-1)&lt;AL106,-1,12*(YEAR((AP106-1))-YEAR(AL106))+MONTH((AP106-1))-MONTH(AL106)-IF(DAY((AP106-1))&lt;MIN(DAY(AL106),DAY(EOMONTH((AP106-1),0))),1,0))))</f>
        <v/>
      </c>
      <c r="BL106" s="16" t="str">
        <f aca="false">IF(AK106=0,"",IF(AT106="FT",IF(BJ106&lt;FT_First,0,IF(BJ106&lt;FT_Y5,1+INT((BJ106-FT_First)/FT_Int1),FT_PreY5+FT_PerYear*INT((BJ106-FT_Y5)/12)+FT_AnnivDays+INT(MOD(BJ106-FT_Y5,12)/FT_Int2)-IF(EDATE(AL106,FT_Y5)&lt;PolicyEff,FT_AnnivDays-1,0))),IF(AT106="PT",IF(BJ106&lt;PT_First,0,1+INT((BJ106-PT_First)/PT_Int)),0))+IF(AND(AM106&gt;=2,AO106&lt;=EOMONTH(AsOfDate,-1)),IF(AU106="FT",IF(BK106&lt;FT_First,0,IF(BK106&lt;FT_Y5,1+INT((BK106-FT_First)/FT_Int1),FT_PreY5+FT_PerYear*INT((BK106-FT_Y5)/12)+FT_AnnivDays+INT(MOD(BK106-FT_Y5,12)/FT_Int2)-IF(EDATE(AL106,FT_Y5)&lt;PolicyEff,FT_AnnivDays-1,0))),IF(AU106="PT",IF(BK106&lt;PT_First,0,1+INT((BK106-PT_First)/PT_Int)),0))-IF(AU106="FT",IF(BJ106&lt;FT_First,0,IF(BJ106&lt;FT_Y5,1+INT((BJ106-FT_First)/FT_Int1),FT_PreY5+FT_PerYear*INT((BJ106-FT_Y5)/12)+FT_AnnivDays+INT(MOD(BJ106-FT_Y5,12)/FT_Int2)-IF(EDATE(AL106,FT_Y5)&lt;PolicyEff,FT_AnnivDays-1,0))),IF(AU106="PT",IF(BJ106&lt;PT_First,0,1+INT((BJ106-PT_First)/PT_Int)),0)),0)+IF(AND(AM106&gt;=3,AP106&lt;=EOMONTH(AsOfDate,-1)),IF(AV106="FT",IF(BI106&lt;FT_First,0,IF(BI106&lt;FT_Y5,1+INT((BI106-FT_First)/FT_Int1),FT_PreY5+FT_PerYear*INT((BI106-FT_Y5)/12)+FT_AnnivDays+INT(MOD(BI106-FT_Y5,12)/FT_Int2)-IF(EDATE(AL106,FT_Y5)&lt;PolicyEff,FT_AnnivDays-1,0))),IF(AV106="PT",IF(BI106&lt;PT_First,0,1+INT((BI106-PT_First)/PT_Int)),0))-IF(AV106="FT",IF(BK106&lt;FT_First,0,IF(BK106&lt;FT_Y5,1+INT((BK106-FT_First)/FT_Int1),FT_PreY5+FT_PerYear*INT((BK106-FT_Y5)/12)+FT_AnnivDays+INT(MOD(BK106-FT_Y5,12)/FT_Int2)-IF(EDATE(AL106,FT_Y5)&lt;PolicyEff,FT_AnnivDays-1,0))),IF(AV106="PT",IF(BK106&lt;PT_First,0,1+INT((BK106-PT_First)/PT_Int)),0)),0))</f>
        <v/>
      </c>
      <c r="BM106" s="16" t="str">
        <f aca="false">IF(AK106=0,"",IF(AW106="FT",IF(AX106&lt;FT_First,"",IF(AX106&lt;FT_Y5,FT_First+FT_Int1*INT((AX106-FT_First)/FT_Int1),FT_Y5+FT_Int2*INT((AX106-FT_Y5)/FT_Int2))),IF(AW106="PT",IF(AX106&lt;PT_First,"",PT_First+PT_Int*INT((AX106-PT_First)/PT_Int)),"")))</f>
        <v/>
      </c>
      <c r="BN106" s="16" t="str">
        <f aca="false">IF(AK106=0,"",IF((SchemeStart-1)&lt;AL106,-1,12*(YEAR((SchemeStart-1))-YEAR(AL106))+MONTH((SchemeStart-1))-MONTH(AL106)-IF(DAY((SchemeStart-1))&lt;MIN(DAY(AL106),DAY(EOMONTH((SchemeStart-1),0))),1,0)))</f>
        <v/>
      </c>
      <c r="BO106" s="16" t="str">
        <f aca="false">IF(AK106=0,"",IF(OR(AM106&lt;2,AO106&gt;(SchemeStart-1)),BN106,IF((AO106-1)&lt;AL106,-1,12*(YEAR((AO106-1))-YEAR(AL106))+MONTH((AO106-1))-MONTH(AL106)-IF(DAY((AO106-1))&lt;MIN(DAY(AL106),DAY(EOMONTH((AO106-1),0))),1,0))))</f>
        <v/>
      </c>
      <c r="BP106" s="16" t="str">
        <f aca="false">IF(AK106=0,"",IF(OR(AM106&lt;3,AP106&gt;(SchemeStart-1)),BN106,IF((AP106-1)&lt;AL106,-1,12*(YEAR((AP106-1))-YEAR(AL106))+MONTH((AP106-1))-MONTH(AL106)-IF(DAY((AP106-1))&lt;MIN(DAY(AL106),DAY(EOMONTH((AP106-1),0))),1,0))))</f>
        <v/>
      </c>
      <c r="BQ106" s="16" t="str">
        <f aca="false">IF(AK106=0,"",IF(AT106="FT",IF(BO106&lt;FT_First,0,IF(BO106&lt;FT_Y5,1+INT((BO106-FT_First)/FT_Int1),FT_PreY5+FT_PerYear*INT((BO106-FT_Y5)/12)+FT_AnnivDays+INT(MOD(BO106-FT_Y5,12)/FT_Int2)-IF(EDATE(AL106,FT_Y5)&lt;PolicyEff,FT_AnnivDays-1,0))),IF(AT106="PT",IF(BO106&lt;PT_First,0,1+INT((BO106-PT_First)/PT_Int)),0))+IF(AND(AM106&gt;=2,AO106&lt;=(SchemeStart-1)),IF(AU106="FT",IF(BP106&lt;FT_First,0,IF(BP106&lt;FT_Y5,1+INT((BP106-FT_First)/FT_Int1),FT_PreY5+FT_PerYear*INT((BP106-FT_Y5)/12)+FT_AnnivDays+INT(MOD(BP106-FT_Y5,12)/FT_Int2)-IF(EDATE(AL106,FT_Y5)&lt;PolicyEff,FT_AnnivDays-1,0))),IF(AU106="PT",IF(BP106&lt;PT_First,0,1+INT((BP106-PT_First)/PT_Int)),0))-IF(AU106="FT",IF(BO106&lt;FT_First,0,IF(BO106&lt;FT_Y5,1+INT((BO106-FT_First)/FT_Int1),FT_PreY5+FT_PerYear*INT((BO106-FT_Y5)/12)+FT_AnnivDays+INT(MOD(BO106-FT_Y5,12)/FT_Int2)-IF(EDATE(AL106,FT_Y5)&lt;PolicyEff,FT_AnnivDays-1,0))),IF(AU106="PT",IF(BO106&lt;PT_First,0,1+INT((BO106-PT_First)/PT_Int)),0)),0)+IF(AND(AM106&gt;=3,AP106&lt;=(SchemeStart-1)),IF(AV106="FT",IF(BN106&lt;FT_First,0,IF(BN106&lt;FT_Y5,1+INT((BN106-FT_First)/FT_Int1),FT_PreY5+FT_PerYear*INT((BN106-FT_Y5)/12)+FT_AnnivDays+INT(MOD(BN106-FT_Y5,12)/FT_Int2)-IF(EDATE(AL106,FT_Y5)&lt;PolicyEff,FT_AnnivDays-1,0))),IF(AV106="PT",IF(BN106&lt;PT_First,0,1+INT((BN106-PT_First)/PT_Int)),0))-IF(AV106="FT",IF(BP106&lt;FT_First,0,IF(BP106&lt;FT_Y5,1+INT((BP106-FT_First)/FT_Int1),FT_PreY5+FT_PerYear*INT((BP106-FT_Y5)/12)+FT_AnnivDays+INT(MOD(BP106-FT_Y5,12)/FT_Int2)-IF(EDATE(AL106,FT_Y5)&lt;PolicyEff,FT_AnnivDays-1,0))),IF(AV106="PT",IF(BP106&lt;PT_First,0,1+INT((BP106-PT_First)/PT_Int)),0)),0))</f>
        <v/>
      </c>
      <c r="BR106" s="0" t="str">
        <f aca="false">IF(LEN($A106&amp;$B106)=0,"",$A106&amp;" "&amp;$B106)</f>
        <v/>
      </c>
    </row>
    <row r="107" customFormat="false" ht="15" hidden="false" customHeight="false" outlineLevel="0" collapsed="false">
      <c r="A107" s="12"/>
      <c r="B107" s="12"/>
      <c r="C107" s="12"/>
      <c r="D107" s="13"/>
      <c r="E107" s="14" t="str">
        <f aca="false">IF(OR(AK107=0,$D107=""),"",DATE(YEAR(AsOfDate)+IF(DATE(YEAR(AsOfDate),MONTH($D107),DAY($D107))&lt;=AsOfDate,1,0),MONTH($D107),DAY($D107)))</f>
        <v/>
      </c>
      <c r="F107" s="13"/>
      <c r="G107" s="13"/>
      <c r="H107" s="13"/>
      <c r="I107" s="13"/>
      <c r="J107" s="13"/>
      <c r="K107" s="14" t="str">
        <f aca="false">IF(AK107=0,"",DATE(YEAR(AsOfDate)+IF(DATE(YEAR(AsOfDate),MONTH(AL107),DAY(AL107))&lt;=AsOfDate,1,0),MONTH(AL107),DAY(AL107)))</f>
        <v/>
      </c>
      <c r="L107" s="15" t="str">
        <f aca="false">IF(AK107=0,"",ROUND((AsOfDate-AL107)/365.25,1))</f>
        <v/>
      </c>
      <c r="M107" s="16" t="str">
        <f aca="false">IF(AK107=0,"",IF(AsOfDate&lt;AL107,"-",DATEDIF(AL107,AsOfDate,"y")&amp;"y "&amp;DATEDIF(AL107,AsOfDate,"ym")&amp;"m "&amp;DATEDIF(AL107,AsOfDate,"md")&amp;"d"))</f>
        <v/>
      </c>
      <c r="N107" s="17" t="str">
        <f aca="false">IF(AK107=0,"",O107*HoursPerDay)</f>
        <v/>
      </c>
      <c r="O107" s="17" t="str">
        <f aca="false">IF(AK107=0,"",MAX(0,BD107-BQ107))</f>
        <v/>
      </c>
      <c r="P107" s="18"/>
      <c r="Q107" s="16" t="str">
        <f aca="false">IF(AK107=0,"",IF(AM107&lt;2,"",AQ107&amp;" to "&amp;AR107&amp;" on "&amp;TEXT(AO107,"dd/mm/yyyy")&amp;IF(AO107&gt;AsOfDate," (future)",IF(AT107=AU107,"",IF(AU107="None"," - STOPPED accruing",IF(AT107="None"," - commencement for Bonus Leave"," - pathway changed"))))&amp;IF(AM107&lt;3,"","; "&amp;AR107&amp;" to "&amp;AS107&amp;" on "&amp;TEXT(AP107,"dd/mm/yyyy")&amp;IF(AP107&gt;AsOfDate," (future)",IF(AU107=AV107,"",IF(AV107="None"," - STOPPED accruing",IF(AU107="None"," - commencement for Bonus Leave"," - pathway changed")))))))</f>
        <v/>
      </c>
      <c r="R107" s="16" t="str">
        <f aca="false">IF(AK107=0,"",IF(AW107="None",IF(O107&gt;0,"No longer accruing","Not eligible - "&amp;IF(AND(OR(ISNUMBER(SEARCH("part",$C107)),UPPER(TRIM($C107))="PT",UPPER(TRIM($C107))="PTE"),Apply2026="No"),"part-time (scheme is full-time only)",IF(AND(OR(ISNUMBER(SEARCH("part",$C107)),UPPER(TRIM($C107))="PT",UPPER(TRIM($C107))="PTE"),$P107&lt;&gt;"",N($P107)&lt;PT_MinHours),"under "&amp;PT_MinHours&amp;" hrs",IF(IF($C107="","",IF(OR(ISNUMBER(SEARCH("full",$C107)),UPPER(TRIM($C107))="FT",UPPER(TRIM($C107))="FTE"),"Full-Time",IF(OR(ISNUMBER(SEARCH("part",$C107)),UPPER(TRIM($C107))="PT",UPPER(TRIM($C107))="PTE"),"Part-Time",IF(OR(ISNUMBER(SEARCH("cas",$C107)),UPPER(TRIM($C107))="CAS"),"Casual","Unknown"))))="Unknown","type not recognised",$C107)))),IF(O107&gt;0,"Yes - Accrual Required","Not yet - from "&amp;TEXT(S107,"dd/mm/yyyy"))))</f>
        <v/>
      </c>
      <c r="S107" s="14" t="str">
        <f aca="false">IF(AK107=0,"",IF(AW107="None","",EDATE(AL107,BF107)))</f>
        <v/>
      </c>
      <c r="T107" s="17" t="str">
        <f aca="false">IF(AK107=0,"",IF(NOT(LH_Ready),"",IF($F107&gt;PFYDate,0,IF(LH_ColPeriod=0,W107-U107+V107,SUMIFS(INDEX(LH_Data,0,LH_ColAcc),INDEX(LH_Data,0,LH_ColFirst),$A107,INDEX(LH_Data,0,LH_ColSur),$B107,INDEX(LH_Data,0,LH_ColCat),BonusCat,INDEX(LH_Data,0,LH_ColPeriod),LH_OpenLabel)*UnitFactor))))</f>
        <v/>
      </c>
      <c r="U107" s="17" t="str">
        <f aca="false">IF(AK107=0,"",IF(NOT(LH_Ready),"",SUMIFS(INDEX(LH_Data,0,LH_ColAcc),INDEX(LH_Data,0,LH_ColFirst),$A107,INDEX(LH_Data,0,LH_ColSur),$B107,INDEX(LH_Data,0,LH_ColCat),BonusCat,INDEX(LH_Data,0,LH_ColStart),"&gt;="&amp;AL107)*UnitFactor))</f>
        <v/>
      </c>
      <c r="V107" s="17" t="str">
        <f aca="false">IF(AK107=0,"",IF(NOT(LH_Ready),"",SUMIFS(INDEX(LH_Data,0,LH_ColTaken),INDEX(LH_Data,0,LH_ColFirst),$A107,INDEX(LH_Data,0,LH_ColSur),$B107,INDEX(LH_Data,0,LH_ColCat),BonusCat,INDEX(LH_Data,0,LH_ColStart),"&gt;="&amp;AL107)*UnitFactor))</f>
        <v/>
      </c>
      <c r="W107" s="17" t="str">
        <f aca="false">IF(AK107=0,"",IF(NOT(LH_Ready),"",IF(BH107=0,0,INDEX(INDEX(LH_Data,0,LH_ColClose),BH107-1)*UnitFactor)))</f>
        <v/>
      </c>
      <c r="X107" s="17" t="str">
        <f aca="false">IF(AK107=0,"",(MAX(0,BD107-BQ107)-MAX(0,BE107-BQ107))*HoursPerDay)</f>
        <v/>
      </c>
      <c r="Y107" s="17" t="str">
        <f aca="false">IF(AK107=0,"",IF(NOT(LH_Ready),"",IF($AI107="Yes",N(AE107)*HoursPerDay-SUMIFS(INDEX(LH_Data,0,LH_ColAcc),INDEX(LH_Data,0,LH_ColFirst),$A107,INDEX(LH_Data,0,LH_ColSur),$B107,INDEX(LH_Data,0,LH_ColCat),BonusCat,INDEX(LH_Data,0,LH_ColStart),"&gt;="&amp;(EOMONTH(AsOfDate,-1)+1),INDEX(LH_Data,0,LH_ColStart),"&lt;="&amp;AsOfDate)*UnitFactor,IF(BG107=0,N107,N107-N(T107)-N(U107)))))</f>
        <v/>
      </c>
      <c r="Z107" s="16" t="str">
        <f aca="false">IF(OR(AK107=0,Y107=""),"",IF(Y107&gt;0,"Yes","No"))</f>
        <v/>
      </c>
      <c r="AA107" s="16" t="str">
        <f aca="false">IF(AK107=0,IF(LEN($A107&amp;$B107)=0,"","FIX INPUT - StartDate missing"),IF(AD107&lt;&gt;"","FIX INPUT - "&amp;AD107,IF(NOT(LH_Ready),"Paste Leave History export (Settings must show YES)",IF(AND($AI107="Yes",Y107&lt;=0),"OK - EH balance accepted to date"&amp;IF(N(AH107)&gt;0," (EH holds "&amp;AH107&amp;" hrs over the scheme)","")&amp;"; next day "&amp;TEXT(S107,"dd mmm yy")&amp;IF(N(AE107)&gt;0," ("&amp;AE107&amp;" day(s) for "&amp;UPPER(TEXT(AsOfDate,"mmm yyyy"))&amp;" already in EH)",""),IF(Y107&gt;0,"ACCRUE "&amp;ROUND(Y107,2)&amp;" hrs ("&amp;ROUND(Y107/HoursPerDay,2)&amp;" days): "&amp;IF(N(AE107)&gt;0,AE107&amp;" day(s) for "&amp;UPPER(TEXT(AsOfDate,"mmm yyyy"))&amp;" (milestone "&amp;UPPER(TEXT(AF107,"dd mmm yy"))&amp;")"&amp;IF(Y107/HoursPerDay&gt;AE107+0.001," + "&amp;ROUND(Y107/HoursPerDay-AE107,2)&amp;" day(s) catch-up from earlier months",""),"all catch-up from earlier months, nothing new this month")&amp;IF(BG107=0,"; no Bonus Leave in EH yet",""),IF(Y107&lt;0,"CHECK - EH accrued "&amp;ROUND(-Y107,2)&amp;" hrs more than policy since commencement",IF(N(W107)&gt;O107*HoursPerDay+0.01,"CHECK - EH balance "&amp;ROUND(W107-O107*HoursPerDay,2)&amp;" hrs more than policy entitlement",IF(O107&gt;0,"OK - nothing to add"&amp;IF(N(AE107)&gt;0," ("&amp;AE107&amp;" day(s) for "&amp;UPPER(TEXT(AsOfDate,"mmm yyyy"))&amp;" already in EH)",""),IF(AW107="None",R107,"Not yet - first day on "&amp;TEXT(S107,"dd/mm/yyyy"))))))))))</f>
        <v/>
      </c>
      <c r="AB107" s="17" t="str">
        <f aca="false">IF(OR(AK107=0,T107=""),"",MAX(0,BE107-BQ107)*HoursPerDay-T107)</f>
        <v/>
      </c>
      <c r="AC107" s="16" t="str">
        <f aca="false">IF(AK107=0,"",BG107)</f>
        <v/>
      </c>
      <c r="AD107" s="16" t="str">
        <f aca="false">IF(AK107=0,"",TRIM(IF(OR(ISTEXT($F107),ISTEXT($H107),ISTEXT($I107),ISTEXT($G107),ISTEXT($J107),ISTEXT($D107)),"A date is typed as text - retype it as dd/mm/yyyy. ","")&amp;IF(IF($C107="","",IF(OR(ISNUMBER(SEARCH("full",$C107)),UPPER(TRIM($C107))="FT",UPPER(TRIM($C107))="FTE"),"Full-Time",IF(OR(ISNUMBER(SEARCH("part",$C107)),UPPER(TRIM($C107))="PT",UPPER(TRIM($C107))="PTE"),"Part-Time",IF(OR(ISNUMBER(SEARCH("cas",$C107)),UPPER(TRIM($C107))="CAS"),"Casual","Unknown"))))="Unknown","EmploymentType not recognised - use Full-Time, Part-Time or Casual. ","")&amp;IF(AND(AM107&gt;=1,IF(AM107&gt;=3,AS107,IF(AM107=2,AR107,AQ107))&lt;&gt;IF($C107="","",IF(OR(ISNUMBER(SEARCH("full",$C107)),UPPER(TRIM($C107))="FT",UPPER(TRIM($C107))="FTE"),"Full-Time",IF(OR(ISNUMBER(SEARCH("part",$C107)),UPPER(TRIM($C107))="PT",UPPER(TRIM($C107))="PTE"),"Part-Time",IF(OR(ISNUMBER(SEARCH("cas",$C107)),UPPER(TRIM($C107))="CAS"),"Casual","Unknown"))))),"EmploymentType does not match latest start date ("&amp;IF(AM107&gt;=3,AS107,IF(AM107=2,AR107,AQ107))&amp;"). ","")&amp;IF(AND(AM107&gt;=1,AN107&lt;&gt;$F107),"Earliest type date should equal StartDate. ","")&amp;IF(AND(AM107&gt;=2,AN107=AO107),"Two types start on the same date. ","")&amp;IF(AND(OR(ISNUMBER(SEARCH("part",$C107)),UPPER(TRIM($C107))="PT",UPPER(TRIM($C107))="PTE"),$P107=""),"Part-time: enter PT Hrs/Week (blank = 24+). ","")))</f>
        <v/>
      </c>
      <c r="AE107" s="17" t="str">
        <f aca="false">IF(AK107=0,"",O107-MAX(0,BL107-BQ107))</f>
        <v/>
      </c>
      <c r="AF107" s="14" t="str">
        <f aca="false">IF(OR(AK107=0,AE107="",N(AE107)=0,BM107=""),"",EDATE(AL107,BM107))</f>
        <v/>
      </c>
      <c r="AG107" s="17" t="str">
        <f aca="false">IF(AK107=0,"",MIN(BD107,BQ107))</f>
        <v/>
      </c>
      <c r="AH107" s="17" t="str">
        <f aca="false">IF(AK107=0,"",IF(NOT(LH_Ready),"",IF(BG107=0,0,MAX(0,ROUND(N(T107)+N(U107)-N107,2)))))</f>
        <v/>
      </c>
      <c r="AI107" s="12"/>
      <c r="AJ107" s="12"/>
      <c r="AK107" s="16" t="n">
        <f aca="false">IF(OR(LEN($A107&amp;$B107)=0,$F107=""),0,1)</f>
        <v>0</v>
      </c>
      <c r="AL107" s="14" t="str">
        <f aca="false">IF(AK107=0,"",IF(PreSchemeCounts="No",MAX(SchemeStart,IF($J107&lt;&gt;"",$J107,IF(OR(CasualCounts="Yes",COUNT($G107:$I107)=0),$F107,IF(Apply2026="No",IF($I107="",$F107,$I107),IF(COUNT($H107:$I107)=0,$F107,MIN($H107:$I107)))))),IF($J107&lt;&gt;"",$J107,IF(OR(CasualCounts="Yes",COUNT($G107:$I107)=0),$F107,IF(Apply2026="No",IF($I107="",$F107,$I107),IF(COUNT($H107:$I107)=0,$F107,MIN($H107:$I107)))))))</f>
        <v/>
      </c>
      <c r="AM107" s="16" t="str">
        <f aca="false">IF(AK107=0,"",COUNT($G107:$I107))</f>
        <v/>
      </c>
      <c r="AN107" s="14" t="str">
        <f aca="false">IF(AK107=0,"",IFERROR(SMALL($G107:$I107,1),""))</f>
        <v/>
      </c>
      <c r="AO107" s="14" t="str">
        <f aca="false">IF(AK107=0,"",IFERROR(SMALL($G107:$I107,2),""))</f>
        <v/>
      </c>
      <c r="AP107" s="14" t="str">
        <f aca="false">IF(AK107=0,"",IFERROR(SMALL($G107:$I107,3),""))</f>
        <v/>
      </c>
      <c r="AQ107" s="16" t="str">
        <f aca="false">IF(AK107=0,"",IF(AN107="","",IF(AN107=$H107,"Part-Time",IF(AN107=$I107,"Full-Time","Casual"))))</f>
        <v/>
      </c>
      <c r="AR107" s="16" t="str">
        <f aca="false">IF(AK107=0,"",IF(AO107="","",IF(AO107=$H107,"Part-Time",IF(AO107=$I107,"Full-Time","Casual"))))</f>
        <v/>
      </c>
      <c r="AS107" s="16" t="str">
        <f aca="false">IF(AK107=0,"",IF(AP107="","",IF(AP107=$H107,"Part-Time",IF(AP107=$I107,"Full-Time","Casual"))))</f>
        <v/>
      </c>
      <c r="AT107" s="16" t="str">
        <f aca="false">IF(AK107=0,"",IF(AM107=0,IF(OR(ISNUMBER(SEARCH("full",$C107)),UPPER(TRIM($C107))="FT",UPPER(TRIM($C107))="FTE"),"FT",IF(AND(OR(ISNUMBER(SEARCH("part",$C107)),UPPER(TRIM($C107))="PT",UPPER(TRIM($C107))="PTE"),Apply2026="Yes",OR($P107="",N($P107)&gt;=PT_MinHours)),"PT","None")),IF(OR(ISNUMBER(SEARCH("full",AQ107)),UPPER(TRIM(AQ107))="FT",UPPER(TRIM(AQ107))="FTE"),"FT",IF(AND(OR(ISNUMBER(SEARCH("part",AQ107)),UPPER(TRIM(AQ107))="PT",UPPER(TRIM(AQ107))="PTE"),Apply2026="Yes",OR($P107="",N($P107)&gt;=PT_MinHours)),"PT","None"))))</f>
        <v/>
      </c>
      <c r="AU107" s="16" t="str">
        <f aca="false">IF(AK107=0,"",IF(AM107&lt;2,"",IF(OR(ISNUMBER(SEARCH("full",AR107)),UPPER(TRIM(AR107))="FT",UPPER(TRIM(AR107))="FTE"),"FT",IF(AND(OR(ISNUMBER(SEARCH("part",AR107)),UPPER(TRIM(AR107))="PT",UPPER(TRIM(AR107))="PTE"),Apply2026="Yes",OR($P107="",N($P107)&gt;=PT_MinHours)),"PT","None"))))</f>
        <v/>
      </c>
      <c r="AV107" s="16" t="str">
        <f aca="false">IF(AK107=0,"",IF(AM107&lt;3,"",IF(OR(ISNUMBER(SEARCH("full",AS107)),UPPER(TRIM(AS107))="FT",UPPER(TRIM(AS107))="FTE"),"FT",IF(AND(OR(ISNUMBER(SEARCH("part",AS107)),UPPER(TRIM(AS107))="PT",UPPER(TRIM(AS107))="PTE"),Apply2026="Yes",OR($P107="",N($P107)&gt;=PT_MinHours)),"PT","None"))))</f>
        <v/>
      </c>
      <c r="AW107" s="16" t="str">
        <f aca="false">IF(AK107=0,"",IF(AND(AM107&gt;=3,AP107&lt;=AsOfDate),AV107,IF(AND(AM107&gt;=2,AO107&lt;=AsOfDate),AU107,AT107)))</f>
        <v/>
      </c>
      <c r="AX107" s="16" t="str">
        <f aca="false">IF(AK107=0,"",IF(AsOfDate&lt;AL107,-1,12*(YEAR(AsOfDate)-YEAR(AL107))+MONTH(AsOfDate)-MONTH(AL107)-IF(DAY(AsOfDate)&lt;MIN(DAY(AL107),DAY(EOMONTH(AsOfDate,0))),1,0)))</f>
        <v/>
      </c>
      <c r="AY107" s="16" t="str">
        <f aca="false">IF(AK107=0,"",IF(OR(AM107&lt;2,AO107&gt;AsOfDate),AX107,IF((AO107-1)&lt;AL107,-1,12*(YEAR((AO107-1))-YEAR(AL107))+MONTH((AO107-1))-MONTH(AL107)-IF(DAY((AO107-1))&lt;MIN(DAY(AL107),DAY(EOMONTH((AO107-1),0))),1,0))))</f>
        <v/>
      </c>
      <c r="AZ107" s="16" t="str">
        <f aca="false">IF(AK107=0,"",IF(OR(AM107&lt;3,AP107&gt;AsOfDate),AX107,IF((AP107-1)&lt;AL107,-1,12*(YEAR((AP107-1))-YEAR(AL107))+MONTH((AP107-1))-MONTH(AL107)-IF(DAY((AP107-1))&lt;MIN(DAY(AL107),DAY(EOMONTH((AP107-1),0))),1,0))))</f>
        <v/>
      </c>
      <c r="BA107" s="16" t="str">
        <f aca="false">IF(AK107=0,"",IF(PFYDate&lt;AL107,-1,12*(YEAR(PFYDate)-YEAR(AL107))+MONTH(PFYDate)-MONTH(AL107)-IF(DAY(PFYDate)&lt;MIN(DAY(AL107),DAY(EOMONTH(PFYDate,0))),1,0)))</f>
        <v/>
      </c>
      <c r="BB107" s="16" t="str">
        <f aca="false">IF(AK107=0,"",IF(OR(AM107&lt;2,AO107&gt;PFYDate),BA107,IF((AO107-1)&lt;AL107,-1,12*(YEAR((AO107-1))-YEAR(AL107))+MONTH((AO107-1))-MONTH(AL107)-IF(DAY((AO107-1))&lt;MIN(DAY(AL107),DAY(EOMONTH((AO107-1),0))),1,0))))</f>
        <v/>
      </c>
      <c r="BC107" s="16" t="str">
        <f aca="false">IF(AK107=0,"",IF(OR(AM107&lt;3,AP107&gt;PFYDate),BA107,IF((AP107-1)&lt;AL107,-1,12*(YEAR((AP107-1))-YEAR(AL107))+MONTH((AP107-1))-MONTH(AL107)-IF(DAY((AP107-1))&lt;MIN(DAY(AL107),DAY(EOMONTH((AP107-1),0))),1,0))))</f>
        <v/>
      </c>
      <c r="BD107" s="16" t="str">
        <f aca="false">IF(AK107=0,"",IF(AT107="FT",IF(AY107&lt;FT_First,0,IF(AY107&lt;FT_Y5,1+INT((AY107-FT_First)/FT_Int1),FT_PreY5+FT_PerYear*INT((AY107-FT_Y5)/12)+FT_AnnivDays+INT(MOD(AY107-FT_Y5,12)/FT_Int2)-IF(EDATE(AL107,FT_Y5)&lt;PolicyEff,FT_AnnivDays-1,0))),IF(AT107="PT",IF(AY107&lt;PT_First,0,1+INT((AY107-PT_First)/PT_Int)),0))+IF(AND(AM107&gt;=2,AO107&lt;=AsOfDate),IF(AU107="FT",IF(AZ107&lt;FT_First,0,IF(AZ107&lt;FT_Y5,1+INT((AZ107-FT_First)/FT_Int1),FT_PreY5+FT_PerYear*INT((AZ107-FT_Y5)/12)+FT_AnnivDays+INT(MOD(AZ107-FT_Y5,12)/FT_Int2)-IF(EDATE(AL107,FT_Y5)&lt;PolicyEff,FT_AnnivDays-1,0))),IF(AU107="PT",IF(AZ107&lt;PT_First,0,1+INT((AZ107-PT_First)/PT_Int)),0))-IF(AU107="FT",IF(AY107&lt;FT_First,0,IF(AY107&lt;FT_Y5,1+INT((AY107-FT_First)/FT_Int1),FT_PreY5+FT_PerYear*INT((AY107-FT_Y5)/12)+FT_AnnivDays+INT(MOD(AY107-FT_Y5,12)/FT_Int2)-IF(EDATE(AL107,FT_Y5)&lt;PolicyEff,FT_AnnivDays-1,0))),IF(AU107="PT",IF(AY107&lt;PT_First,0,1+INT((AY107-PT_First)/PT_Int)),0)),0)+IF(AND(AM107&gt;=3,AP107&lt;=AsOfDate),IF(AV107="FT",IF(AX107&lt;FT_First,0,IF(AX107&lt;FT_Y5,1+INT((AX107-FT_First)/FT_Int1),FT_PreY5+FT_PerYear*INT((AX107-FT_Y5)/12)+FT_AnnivDays+INT(MOD(AX107-FT_Y5,12)/FT_Int2)-IF(EDATE(AL107,FT_Y5)&lt;PolicyEff,FT_AnnivDays-1,0))),IF(AV107="PT",IF(AX107&lt;PT_First,0,1+INT((AX107-PT_First)/PT_Int)),0))-IF(AV107="FT",IF(AZ107&lt;FT_First,0,IF(AZ107&lt;FT_Y5,1+INT((AZ107-FT_First)/FT_Int1),FT_PreY5+FT_PerYear*INT((AZ107-FT_Y5)/12)+FT_AnnivDays+INT(MOD(AZ107-FT_Y5,12)/FT_Int2)-IF(EDATE(AL107,FT_Y5)&lt;PolicyEff,FT_AnnivDays-1,0))),IF(AV107="PT",IF(AZ107&lt;PT_First,0,1+INT((AZ107-PT_First)/PT_Int)),0)),0))</f>
        <v/>
      </c>
      <c r="BE107" s="16" t="str">
        <f aca="false">IF(AK107=0,"",IF(AT107="FT",IF(BB107&lt;FT_First,0,IF(BB107&lt;FT_Y5,1+INT((BB107-FT_First)/FT_Int1),FT_PreY5+FT_PerYear*INT((BB107-FT_Y5)/12)+FT_AnnivDays+INT(MOD(BB107-FT_Y5,12)/FT_Int2)-IF(EDATE(AL107,FT_Y5)&lt;PolicyEff,FT_AnnivDays-1,0))),IF(AT107="PT",IF(BB107&lt;PT_First,0,1+INT((BB107-PT_First)/PT_Int)),0))+IF(AND(AM107&gt;=2,AO107&lt;=PFYDate),IF(AU107="FT",IF(BC107&lt;FT_First,0,IF(BC107&lt;FT_Y5,1+INT((BC107-FT_First)/FT_Int1),FT_PreY5+FT_PerYear*INT((BC107-FT_Y5)/12)+FT_AnnivDays+INT(MOD(BC107-FT_Y5,12)/FT_Int2)-IF(EDATE(AL107,FT_Y5)&lt;PolicyEff,FT_AnnivDays-1,0))),IF(AU107="PT",IF(BC107&lt;PT_First,0,1+INT((BC107-PT_First)/PT_Int)),0))-IF(AU107="FT",IF(BB107&lt;FT_First,0,IF(BB107&lt;FT_Y5,1+INT((BB107-FT_First)/FT_Int1),FT_PreY5+FT_PerYear*INT((BB107-FT_Y5)/12)+FT_AnnivDays+INT(MOD(BB107-FT_Y5,12)/FT_Int2)-IF(EDATE(AL107,FT_Y5)&lt;PolicyEff,FT_AnnivDays-1,0))),IF(AU107="PT",IF(BB107&lt;PT_First,0,1+INT((BB107-PT_First)/PT_Int)),0)),0)+IF(AND(AM107&gt;=3,AP107&lt;=PFYDate),IF(AV107="FT",IF(BA107&lt;FT_First,0,IF(BA107&lt;FT_Y5,1+INT((BA107-FT_First)/FT_Int1),FT_PreY5+FT_PerYear*INT((BA107-FT_Y5)/12)+FT_AnnivDays+INT(MOD(BA107-FT_Y5,12)/FT_Int2)-IF(EDATE(AL107,FT_Y5)&lt;PolicyEff,FT_AnnivDays-1,0))),IF(AV107="PT",IF(BA107&lt;PT_First,0,1+INT((BA107-PT_First)/PT_Int)),0))-IF(AV107="FT",IF(BC107&lt;FT_First,0,IF(BC107&lt;FT_Y5,1+INT((BC107-FT_First)/FT_Int1),FT_PreY5+FT_PerYear*INT((BC107-FT_Y5)/12)+FT_AnnivDays+INT(MOD(BC107-FT_Y5,12)/FT_Int2)-IF(EDATE(AL107,FT_Y5)&lt;PolicyEff,FT_AnnivDays-1,0))),IF(AV107="PT",IF(BC107&lt;PT_First,0,1+INT((BC107-PT_First)/PT_Int)),0)),0))</f>
        <v/>
      </c>
      <c r="BF107" s="16" t="str">
        <f aca="false">IF(AK107=0,"",IF(AW107="FT",IF(AX107&lt;FT_First,FT_First,IF(AX107&lt;FT_Y5,MIN(FT_Y5,FT_First+FT_Int1*(INT((AX107-FT_First)/FT_Int1)+1)),FT_Y5+12*INT((AX107-FT_Y5)/12)+FT_Int2*(INT(MOD(AX107-FT_Y5,12)/FT_Int2)+1))),IF(AW107="PT",IF(AX107&lt;PT_First,PT_First,PT_First+PT_Int*(INT((AX107-PT_First)/PT_Int)+1)),"")))</f>
        <v/>
      </c>
      <c r="BG107" s="16" t="str">
        <f aca="false">IF(AK107=0,"",IF(NOT(LH_Ready),0,COUNTIFS(INDEX(LH_Data,0,LH_ColFirst),$A107,INDEX(LH_Data,0,LH_ColSur),$B107,INDEX(LH_Data,0,LH_ColCat),BonusCat)))</f>
        <v/>
      </c>
      <c r="BH107" s="16" t="str">
        <f aca="false">IF(AK107=0,"",IF(OR(NOT(LH_Ready),BG107=0),0,SUMPRODUCT(MAX((INDEX(LH_Data,0,LH_ColFirst)=$A107)*(INDEX(LH_Data,0,LH_ColSur)=$B107)*(INDEX(LH_Data,0,LH_ColCat)=BonusCat)*ROW(LH_Data)))))</f>
        <v/>
      </c>
      <c r="BI107" s="16" t="str">
        <f aca="false">IF(AK107=0,"",IF(EOMONTH(AsOfDate,-1)&lt;AL107,-1,12*(YEAR(EOMONTH(AsOfDate,-1))-YEAR(AL107))+MONTH(EOMONTH(AsOfDate,-1))-MONTH(AL107)-IF(DAY(EOMONTH(AsOfDate,-1))&lt;MIN(DAY(AL107),DAY(EOMONTH(EOMONTH(AsOfDate,-1),0))),1,0)))</f>
        <v/>
      </c>
      <c r="BJ107" s="16" t="str">
        <f aca="false">IF(AK107=0,"",IF(OR(AM107&lt;2,AO107&gt;EOMONTH(AsOfDate,-1)),BI107,IF((AO107-1)&lt;AL107,-1,12*(YEAR((AO107-1))-YEAR(AL107))+MONTH((AO107-1))-MONTH(AL107)-IF(DAY((AO107-1))&lt;MIN(DAY(AL107),DAY(EOMONTH((AO107-1),0))),1,0))))</f>
        <v/>
      </c>
      <c r="BK107" s="16" t="str">
        <f aca="false">IF(AK107=0,"",IF(OR(AM107&lt;3,AP107&gt;EOMONTH(AsOfDate,-1)),BI107,IF((AP107-1)&lt;AL107,-1,12*(YEAR((AP107-1))-YEAR(AL107))+MONTH((AP107-1))-MONTH(AL107)-IF(DAY((AP107-1))&lt;MIN(DAY(AL107),DAY(EOMONTH((AP107-1),0))),1,0))))</f>
        <v/>
      </c>
      <c r="BL107" s="16" t="str">
        <f aca="false">IF(AK107=0,"",IF(AT107="FT",IF(BJ107&lt;FT_First,0,IF(BJ107&lt;FT_Y5,1+INT((BJ107-FT_First)/FT_Int1),FT_PreY5+FT_PerYear*INT((BJ107-FT_Y5)/12)+FT_AnnivDays+INT(MOD(BJ107-FT_Y5,12)/FT_Int2)-IF(EDATE(AL107,FT_Y5)&lt;PolicyEff,FT_AnnivDays-1,0))),IF(AT107="PT",IF(BJ107&lt;PT_First,0,1+INT((BJ107-PT_First)/PT_Int)),0))+IF(AND(AM107&gt;=2,AO107&lt;=EOMONTH(AsOfDate,-1)),IF(AU107="FT",IF(BK107&lt;FT_First,0,IF(BK107&lt;FT_Y5,1+INT((BK107-FT_First)/FT_Int1),FT_PreY5+FT_PerYear*INT((BK107-FT_Y5)/12)+FT_AnnivDays+INT(MOD(BK107-FT_Y5,12)/FT_Int2)-IF(EDATE(AL107,FT_Y5)&lt;PolicyEff,FT_AnnivDays-1,0))),IF(AU107="PT",IF(BK107&lt;PT_First,0,1+INT((BK107-PT_First)/PT_Int)),0))-IF(AU107="FT",IF(BJ107&lt;FT_First,0,IF(BJ107&lt;FT_Y5,1+INT((BJ107-FT_First)/FT_Int1),FT_PreY5+FT_PerYear*INT((BJ107-FT_Y5)/12)+FT_AnnivDays+INT(MOD(BJ107-FT_Y5,12)/FT_Int2)-IF(EDATE(AL107,FT_Y5)&lt;PolicyEff,FT_AnnivDays-1,0))),IF(AU107="PT",IF(BJ107&lt;PT_First,0,1+INT((BJ107-PT_First)/PT_Int)),0)),0)+IF(AND(AM107&gt;=3,AP107&lt;=EOMONTH(AsOfDate,-1)),IF(AV107="FT",IF(BI107&lt;FT_First,0,IF(BI107&lt;FT_Y5,1+INT((BI107-FT_First)/FT_Int1),FT_PreY5+FT_PerYear*INT((BI107-FT_Y5)/12)+FT_AnnivDays+INT(MOD(BI107-FT_Y5,12)/FT_Int2)-IF(EDATE(AL107,FT_Y5)&lt;PolicyEff,FT_AnnivDays-1,0))),IF(AV107="PT",IF(BI107&lt;PT_First,0,1+INT((BI107-PT_First)/PT_Int)),0))-IF(AV107="FT",IF(BK107&lt;FT_First,0,IF(BK107&lt;FT_Y5,1+INT((BK107-FT_First)/FT_Int1),FT_PreY5+FT_PerYear*INT((BK107-FT_Y5)/12)+FT_AnnivDays+INT(MOD(BK107-FT_Y5,12)/FT_Int2)-IF(EDATE(AL107,FT_Y5)&lt;PolicyEff,FT_AnnivDays-1,0))),IF(AV107="PT",IF(BK107&lt;PT_First,0,1+INT((BK107-PT_First)/PT_Int)),0)),0))</f>
        <v/>
      </c>
      <c r="BM107" s="16" t="str">
        <f aca="false">IF(AK107=0,"",IF(AW107="FT",IF(AX107&lt;FT_First,"",IF(AX107&lt;FT_Y5,FT_First+FT_Int1*INT((AX107-FT_First)/FT_Int1),FT_Y5+FT_Int2*INT((AX107-FT_Y5)/FT_Int2))),IF(AW107="PT",IF(AX107&lt;PT_First,"",PT_First+PT_Int*INT((AX107-PT_First)/PT_Int)),"")))</f>
        <v/>
      </c>
      <c r="BN107" s="16" t="str">
        <f aca="false">IF(AK107=0,"",IF((SchemeStart-1)&lt;AL107,-1,12*(YEAR((SchemeStart-1))-YEAR(AL107))+MONTH((SchemeStart-1))-MONTH(AL107)-IF(DAY((SchemeStart-1))&lt;MIN(DAY(AL107),DAY(EOMONTH((SchemeStart-1),0))),1,0)))</f>
        <v/>
      </c>
      <c r="BO107" s="16" t="str">
        <f aca="false">IF(AK107=0,"",IF(OR(AM107&lt;2,AO107&gt;(SchemeStart-1)),BN107,IF((AO107-1)&lt;AL107,-1,12*(YEAR((AO107-1))-YEAR(AL107))+MONTH((AO107-1))-MONTH(AL107)-IF(DAY((AO107-1))&lt;MIN(DAY(AL107),DAY(EOMONTH((AO107-1),0))),1,0))))</f>
        <v/>
      </c>
      <c r="BP107" s="16" t="str">
        <f aca="false">IF(AK107=0,"",IF(OR(AM107&lt;3,AP107&gt;(SchemeStart-1)),BN107,IF((AP107-1)&lt;AL107,-1,12*(YEAR((AP107-1))-YEAR(AL107))+MONTH((AP107-1))-MONTH(AL107)-IF(DAY((AP107-1))&lt;MIN(DAY(AL107),DAY(EOMONTH((AP107-1),0))),1,0))))</f>
        <v/>
      </c>
      <c r="BQ107" s="16" t="str">
        <f aca="false">IF(AK107=0,"",IF(AT107="FT",IF(BO107&lt;FT_First,0,IF(BO107&lt;FT_Y5,1+INT((BO107-FT_First)/FT_Int1),FT_PreY5+FT_PerYear*INT((BO107-FT_Y5)/12)+FT_AnnivDays+INT(MOD(BO107-FT_Y5,12)/FT_Int2)-IF(EDATE(AL107,FT_Y5)&lt;PolicyEff,FT_AnnivDays-1,0))),IF(AT107="PT",IF(BO107&lt;PT_First,0,1+INT((BO107-PT_First)/PT_Int)),0))+IF(AND(AM107&gt;=2,AO107&lt;=(SchemeStart-1)),IF(AU107="FT",IF(BP107&lt;FT_First,0,IF(BP107&lt;FT_Y5,1+INT((BP107-FT_First)/FT_Int1),FT_PreY5+FT_PerYear*INT((BP107-FT_Y5)/12)+FT_AnnivDays+INT(MOD(BP107-FT_Y5,12)/FT_Int2)-IF(EDATE(AL107,FT_Y5)&lt;PolicyEff,FT_AnnivDays-1,0))),IF(AU107="PT",IF(BP107&lt;PT_First,0,1+INT((BP107-PT_First)/PT_Int)),0))-IF(AU107="FT",IF(BO107&lt;FT_First,0,IF(BO107&lt;FT_Y5,1+INT((BO107-FT_First)/FT_Int1),FT_PreY5+FT_PerYear*INT((BO107-FT_Y5)/12)+FT_AnnivDays+INT(MOD(BO107-FT_Y5,12)/FT_Int2)-IF(EDATE(AL107,FT_Y5)&lt;PolicyEff,FT_AnnivDays-1,0))),IF(AU107="PT",IF(BO107&lt;PT_First,0,1+INT((BO107-PT_First)/PT_Int)),0)),0)+IF(AND(AM107&gt;=3,AP107&lt;=(SchemeStart-1)),IF(AV107="FT",IF(BN107&lt;FT_First,0,IF(BN107&lt;FT_Y5,1+INT((BN107-FT_First)/FT_Int1),FT_PreY5+FT_PerYear*INT((BN107-FT_Y5)/12)+FT_AnnivDays+INT(MOD(BN107-FT_Y5,12)/FT_Int2)-IF(EDATE(AL107,FT_Y5)&lt;PolicyEff,FT_AnnivDays-1,0))),IF(AV107="PT",IF(BN107&lt;PT_First,0,1+INT((BN107-PT_First)/PT_Int)),0))-IF(AV107="FT",IF(BP107&lt;FT_First,0,IF(BP107&lt;FT_Y5,1+INT((BP107-FT_First)/FT_Int1),FT_PreY5+FT_PerYear*INT((BP107-FT_Y5)/12)+FT_AnnivDays+INT(MOD(BP107-FT_Y5,12)/FT_Int2)-IF(EDATE(AL107,FT_Y5)&lt;PolicyEff,FT_AnnivDays-1,0))),IF(AV107="PT",IF(BP107&lt;PT_First,0,1+INT((BP107-PT_First)/PT_Int)),0)),0))</f>
        <v/>
      </c>
      <c r="BR107" s="0" t="str">
        <f aca="false">IF(LEN($A107&amp;$B107)=0,"",$A107&amp;" "&amp;$B107)</f>
        <v/>
      </c>
    </row>
    <row r="108" customFormat="false" ht="15" hidden="false" customHeight="false" outlineLevel="0" collapsed="false">
      <c r="A108" s="12"/>
      <c r="B108" s="12"/>
      <c r="C108" s="12"/>
      <c r="D108" s="13"/>
      <c r="E108" s="14" t="str">
        <f aca="false">IF(OR(AK108=0,$D108=""),"",DATE(YEAR(AsOfDate)+IF(DATE(YEAR(AsOfDate),MONTH($D108),DAY($D108))&lt;=AsOfDate,1,0),MONTH($D108),DAY($D108)))</f>
        <v/>
      </c>
      <c r="F108" s="13"/>
      <c r="G108" s="13"/>
      <c r="H108" s="13"/>
      <c r="I108" s="13"/>
      <c r="J108" s="13"/>
      <c r="K108" s="14" t="str">
        <f aca="false">IF(AK108=0,"",DATE(YEAR(AsOfDate)+IF(DATE(YEAR(AsOfDate),MONTH(AL108),DAY(AL108))&lt;=AsOfDate,1,0),MONTH(AL108),DAY(AL108)))</f>
        <v/>
      </c>
      <c r="L108" s="15" t="str">
        <f aca="false">IF(AK108=0,"",ROUND((AsOfDate-AL108)/365.25,1))</f>
        <v/>
      </c>
      <c r="M108" s="16" t="str">
        <f aca="false">IF(AK108=0,"",IF(AsOfDate&lt;AL108,"-",DATEDIF(AL108,AsOfDate,"y")&amp;"y "&amp;DATEDIF(AL108,AsOfDate,"ym")&amp;"m "&amp;DATEDIF(AL108,AsOfDate,"md")&amp;"d"))</f>
        <v/>
      </c>
      <c r="N108" s="17" t="str">
        <f aca="false">IF(AK108=0,"",O108*HoursPerDay)</f>
        <v/>
      </c>
      <c r="O108" s="17" t="str">
        <f aca="false">IF(AK108=0,"",MAX(0,BD108-BQ108))</f>
        <v/>
      </c>
      <c r="P108" s="18"/>
      <c r="Q108" s="16" t="str">
        <f aca="false">IF(AK108=0,"",IF(AM108&lt;2,"",AQ108&amp;" to "&amp;AR108&amp;" on "&amp;TEXT(AO108,"dd/mm/yyyy")&amp;IF(AO108&gt;AsOfDate," (future)",IF(AT108=AU108,"",IF(AU108="None"," - STOPPED accruing",IF(AT108="None"," - commencement for Bonus Leave"," - pathway changed"))))&amp;IF(AM108&lt;3,"","; "&amp;AR108&amp;" to "&amp;AS108&amp;" on "&amp;TEXT(AP108,"dd/mm/yyyy")&amp;IF(AP108&gt;AsOfDate," (future)",IF(AU108=AV108,"",IF(AV108="None"," - STOPPED accruing",IF(AU108="None"," - commencement for Bonus Leave"," - pathway changed")))))))</f>
        <v/>
      </c>
      <c r="R108" s="16" t="str">
        <f aca="false">IF(AK108=0,"",IF(AW108="None",IF(O108&gt;0,"No longer accruing","Not eligible - "&amp;IF(AND(OR(ISNUMBER(SEARCH("part",$C108)),UPPER(TRIM($C108))="PT",UPPER(TRIM($C108))="PTE"),Apply2026="No"),"part-time (scheme is full-time only)",IF(AND(OR(ISNUMBER(SEARCH("part",$C108)),UPPER(TRIM($C108))="PT",UPPER(TRIM($C108))="PTE"),$P108&lt;&gt;"",N($P108)&lt;PT_MinHours),"under "&amp;PT_MinHours&amp;" hrs",IF(IF($C108="","",IF(OR(ISNUMBER(SEARCH("full",$C108)),UPPER(TRIM($C108))="FT",UPPER(TRIM($C108))="FTE"),"Full-Time",IF(OR(ISNUMBER(SEARCH("part",$C108)),UPPER(TRIM($C108))="PT",UPPER(TRIM($C108))="PTE"),"Part-Time",IF(OR(ISNUMBER(SEARCH("cas",$C108)),UPPER(TRIM($C108))="CAS"),"Casual","Unknown"))))="Unknown","type not recognised",$C108)))),IF(O108&gt;0,"Yes - Accrual Required","Not yet - from "&amp;TEXT(S108,"dd/mm/yyyy"))))</f>
        <v/>
      </c>
      <c r="S108" s="14" t="str">
        <f aca="false">IF(AK108=0,"",IF(AW108="None","",EDATE(AL108,BF108)))</f>
        <v/>
      </c>
      <c r="T108" s="17" t="str">
        <f aca="false">IF(AK108=0,"",IF(NOT(LH_Ready),"",IF($F108&gt;PFYDate,0,IF(LH_ColPeriod=0,W108-U108+V108,SUMIFS(INDEX(LH_Data,0,LH_ColAcc),INDEX(LH_Data,0,LH_ColFirst),$A108,INDEX(LH_Data,0,LH_ColSur),$B108,INDEX(LH_Data,0,LH_ColCat),BonusCat,INDEX(LH_Data,0,LH_ColPeriod),LH_OpenLabel)*UnitFactor))))</f>
        <v/>
      </c>
      <c r="U108" s="17" t="str">
        <f aca="false">IF(AK108=0,"",IF(NOT(LH_Ready),"",SUMIFS(INDEX(LH_Data,0,LH_ColAcc),INDEX(LH_Data,0,LH_ColFirst),$A108,INDEX(LH_Data,0,LH_ColSur),$B108,INDEX(LH_Data,0,LH_ColCat),BonusCat,INDEX(LH_Data,0,LH_ColStart),"&gt;="&amp;AL108)*UnitFactor))</f>
        <v/>
      </c>
      <c r="V108" s="17" t="str">
        <f aca="false">IF(AK108=0,"",IF(NOT(LH_Ready),"",SUMIFS(INDEX(LH_Data,0,LH_ColTaken),INDEX(LH_Data,0,LH_ColFirst),$A108,INDEX(LH_Data,0,LH_ColSur),$B108,INDEX(LH_Data,0,LH_ColCat),BonusCat,INDEX(LH_Data,0,LH_ColStart),"&gt;="&amp;AL108)*UnitFactor))</f>
        <v/>
      </c>
      <c r="W108" s="17" t="str">
        <f aca="false">IF(AK108=0,"",IF(NOT(LH_Ready),"",IF(BH108=0,0,INDEX(INDEX(LH_Data,0,LH_ColClose),BH108-1)*UnitFactor)))</f>
        <v/>
      </c>
      <c r="X108" s="17" t="str">
        <f aca="false">IF(AK108=0,"",(MAX(0,BD108-BQ108)-MAX(0,BE108-BQ108))*HoursPerDay)</f>
        <v/>
      </c>
      <c r="Y108" s="17" t="str">
        <f aca="false">IF(AK108=0,"",IF(NOT(LH_Ready),"",IF($AI108="Yes",N(AE108)*HoursPerDay-SUMIFS(INDEX(LH_Data,0,LH_ColAcc),INDEX(LH_Data,0,LH_ColFirst),$A108,INDEX(LH_Data,0,LH_ColSur),$B108,INDEX(LH_Data,0,LH_ColCat),BonusCat,INDEX(LH_Data,0,LH_ColStart),"&gt;="&amp;(EOMONTH(AsOfDate,-1)+1),INDEX(LH_Data,0,LH_ColStart),"&lt;="&amp;AsOfDate)*UnitFactor,IF(BG108=0,N108,N108-N(T108)-N(U108)))))</f>
        <v/>
      </c>
      <c r="Z108" s="16" t="str">
        <f aca="false">IF(OR(AK108=0,Y108=""),"",IF(Y108&gt;0,"Yes","No"))</f>
        <v/>
      </c>
      <c r="AA108" s="16" t="str">
        <f aca="false">IF(AK108=0,IF(LEN($A108&amp;$B108)=0,"","FIX INPUT - StartDate missing"),IF(AD108&lt;&gt;"","FIX INPUT - "&amp;AD108,IF(NOT(LH_Ready),"Paste Leave History export (Settings must show YES)",IF(AND($AI108="Yes",Y108&lt;=0),"OK - EH balance accepted to date"&amp;IF(N(AH108)&gt;0," (EH holds "&amp;AH108&amp;" hrs over the scheme)","")&amp;"; next day "&amp;TEXT(S108,"dd mmm yy")&amp;IF(N(AE108)&gt;0," ("&amp;AE108&amp;" day(s) for "&amp;UPPER(TEXT(AsOfDate,"mmm yyyy"))&amp;" already in EH)",""),IF(Y108&gt;0,"ACCRUE "&amp;ROUND(Y108,2)&amp;" hrs ("&amp;ROUND(Y108/HoursPerDay,2)&amp;" days): "&amp;IF(N(AE108)&gt;0,AE108&amp;" day(s) for "&amp;UPPER(TEXT(AsOfDate,"mmm yyyy"))&amp;" (milestone "&amp;UPPER(TEXT(AF108,"dd mmm yy"))&amp;")"&amp;IF(Y108/HoursPerDay&gt;AE108+0.001," + "&amp;ROUND(Y108/HoursPerDay-AE108,2)&amp;" day(s) catch-up from earlier months",""),"all catch-up from earlier months, nothing new this month")&amp;IF(BG108=0,"; no Bonus Leave in EH yet",""),IF(Y108&lt;0,"CHECK - EH accrued "&amp;ROUND(-Y108,2)&amp;" hrs more than policy since commencement",IF(N(W108)&gt;O108*HoursPerDay+0.01,"CHECK - EH balance "&amp;ROUND(W108-O108*HoursPerDay,2)&amp;" hrs more than policy entitlement",IF(O108&gt;0,"OK - nothing to add"&amp;IF(N(AE108)&gt;0," ("&amp;AE108&amp;" day(s) for "&amp;UPPER(TEXT(AsOfDate,"mmm yyyy"))&amp;" already in EH)",""),IF(AW108="None",R108,"Not yet - first day on "&amp;TEXT(S108,"dd/mm/yyyy"))))))))))</f>
        <v/>
      </c>
      <c r="AB108" s="17" t="str">
        <f aca="false">IF(OR(AK108=0,T108=""),"",MAX(0,BE108-BQ108)*HoursPerDay-T108)</f>
        <v/>
      </c>
      <c r="AC108" s="16" t="str">
        <f aca="false">IF(AK108=0,"",BG108)</f>
        <v/>
      </c>
      <c r="AD108" s="16" t="str">
        <f aca="false">IF(AK108=0,"",TRIM(IF(OR(ISTEXT($F108),ISTEXT($H108),ISTEXT($I108),ISTEXT($G108),ISTEXT($J108),ISTEXT($D108)),"A date is typed as text - retype it as dd/mm/yyyy. ","")&amp;IF(IF($C108="","",IF(OR(ISNUMBER(SEARCH("full",$C108)),UPPER(TRIM($C108))="FT",UPPER(TRIM($C108))="FTE"),"Full-Time",IF(OR(ISNUMBER(SEARCH("part",$C108)),UPPER(TRIM($C108))="PT",UPPER(TRIM($C108))="PTE"),"Part-Time",IF(OR(ISNUMBER(SEARCH("cas",$C108)),UPPER(TRIM($C108))="CAS"),"Casual","Unknown"))))="Unknown","EmploymentType not recognised - use Full-Time, Part-Time or Casual. ","")&amp;IF(AND(AM108&gt;=1,IF(AM108&gt;=3,AS108,IF(AM108=2,AR108,AQ108))&lt;&gt;IF($C108="","",IF(OR(ISNUMBER(SEARCH("full",$C108)),UPPER(TRIM($C108))="FT",UPPER(TRIM($C108))="FTE"),"Full-Time",IF(OR(ISNUMBER(SEARCH("part",$C108)),UPPER(TRIM($C108))="PT",UPPER(TRIM($C108))="PTE"),"Part-Time",IF(OR(ISNUMBER(SEARCH("cas",$C108)),UPPER(TRIM($C108))="CAS"),"Casual","Unknown"))))),"EmploymentType does not match latest start date ("&amp;IF(AM108&gt;=3,AS108,IF(AM108=2,AR108,AQ108))&amp;"). ","")&amp;IF(AND(AM108&gt;=1,AN108&lt;&gt;$F108),"Earliest type date should equal StartDate. ","")&amp;IF(AND(AM108&gt;=2,AN108=AO108),"Two types start on the same date. ","")&amp;IF(AND(OR(ISNUMBER(SEARCH("part",$C108)),UPPER(TRIM($C108))="PT",UPPER(TRIM($C108))="PTE"),$P108=""),"Part-time: enter PT Hrs/Week (blank = 24+). ","")))</f>
        <v/>
      </c>
      <c r="AE108" s="17" t="str">
        <f aca="false">IF(AK108=0,"",O108-MAX(0,BL108-BQ108))</f>
        <v/>
      </c>
      <c r="AF108" s="14" t="str">
        <f aca="false">IF(OR(AK108=0,AE108="",N(AE108)=0,BM108=""),"",EDATE(AL108,BM108))</f>
        <v/>
      </c>
      <c r="AG108" s="17" t="str">
        <f aca="false">IF(AK108=0,"",MIN(BD108,BQ108))</f>
        <v/>
      </c>
      <c r="AH108" s="17" t="str">
        <f aca="false">IF(AK108=0,"",IF(NOT(LH_Ready),"",IF(BG108=0,0,MAX(0,ROUND(N(T108)+N(U108)-N108,2)))))</f>
        <v/>
      </c>
      <c r="AI108" s="12"/>
      <c r="AJ108" s="12"/>
      <c r="AK108" s="16" t="n">
        <f aca="false">IF(OR(LEN($A108&amp;$B108)=0,$F108=""),0,1)</f>
        <v>0</v>
      </c>
      <c r="AL108" s="14" t="str">
        <f aca="false">IF(AK108=0,"",IF(PreSchemeCounts="No",MAX(SchemeStart,IF($J108&lt;&gt;"",$J108,IF(OR(CasualCounts="Yes",COUNT($G108:$I108)=0),$F108,IF(Apply2026="No",IF($I108="",$F108,$I108),IF(COUNT($H108:$I108)=0,$F108,MIN($H108:$I108)))))),IF($J108&lt;&gt;"",$J108,IF(OR(CasualCounts="Yes",COUNT($G108:$I108)=0),$F108,IF(Apply2026="No",IF($I108="",$F108,$I108),IF(COUNT($H108:$I108)=0,$F108,MIN($H108:$I108)))))))</f>
        <v/>
      </c>
      <c r="AM108" s="16" t="str">
        <f aca="false">IF(AK108=0,"",COUNT($G108:$I108))</f>
        <v/>
      </c>
      <c r="AN108" s="14" t="str">
        <f aca="false">IF(AK108=0,"",IFERROR(SMALL($G108:$I108,1),""))</f>
        <v/>
      </c>
      <c r="AO108" s="14" t="str">
        <f aca="false">IF(AK108=0,"",IFERROR(SMALL($G108:$I108,2),""))</f>
        <v/>
      </c>
      <c r="AP108" s="14" t="str">
        <f aca="false">IF(AK108=0,"",IFERROR(SMALL($G108:$I108,3),""))</f>
        <v/>
      </c>
      <c r="AQ108" s="16" t="str">
        <f aca="false">IF(AK108=0,"",IF(AN108="","",IF(AN108=$H108,"Part-Time",IF(AN108=$I108,"Full-Time","Casual"))))</f>
        <v/>
      </c>
      <c r="AR108" s="16" t="str">
        <f aca="false">IF(AK108=0,"",IF(AO108="","",IF(AO108=$H108,"Part-Time",IF(AO108=$I108,"Full-Time","Casual"))))</f>
        <v/>
      </c>
      <c r="AS108" s="16" t="str">
        <f aca="false">IF(AK108=0,"",IF(AP108="","",IF(AP108=$H108,"Part-Time",IF(AP108=$I108,"Full-Time","Casual"))))</f>
        <v/>
      </c>
      <c r="AT108" s="16" t="str">
        <f aca="false">IF(AK108=0,"",IF(AM108=0,IF(OR(ISNUMBER(SEARCH("full",$C108)),UPPER(TRIM($C108))="FT",UPPER(TRIM($C108))="FTE"),"FT",IF(AND(OR(ISNUMBER(SEARCH("part",$C108)),UPPER(TRIM($C108))="PT",UPPER(TRIM($C108))="PTE"),Apply2026="Yes",OR($P108="",N($P108)&gt;=PT_MinHours)),"PT","None")),IF(OR(ISNUMBER(SEARCH("full",AQ108)),UPPER(TRIM(AQ108))="FT",UPPER(TRIM(AQ108))="FTE"),"FT",IF(AND(OR(ISNUMBER(SEARCH("part",AQ108)),UPPER(TRIM(AQ108))="PT",UPPER(TRIM(AQ108))="PTE"),Apply2026="Yes",OR($P108="",N($P108)&gt;=PT_MinHours)),"PT","None"))))</f>
        <v/>
      </c>
      <c r="AU108" s="16" t="str">
        <f aca="false">IF(AK108=0,"",IF(AM108&lt;2,"",IF(OR(ISNUMBER(SEARCH("full",AR108)),UPPER(TRIM(AR108))="FT",UPPER(TRIM(AR108))="FTE"),"FT",IF(AND(OR(ISNUMBER(SEARCH("part",AR108)),UPPER(TRIM(AR108))="PT",UPPER(TRIM(AR108))="PTE"),Apply2026="Yes",OR($P108="",N($P108)&gt;=PT_MinHours)),"PT","None"))))</f>
        <v/>
      </c>
      <c r="AV108" s="16" t="str">
        <f aca="false">IF(AK108=0,"",IF(AM108&lt;3,"",IF(OR(ISNUMBER(SEARCH("full",AS108)),UPPER(TRIM(AS108))="FT",UPPER(TRIM(AS108))="FTE"),"FT",IF(AND(OR(ISNUMBER(SEARCH("part",AS108)),UPPER(TRIM(AS108))="PT",UPPER(TRIM(AS108))="PTE"),Apply2026="Yes",OR($P108="",N($P108)&gt;=PT_MinHours)),"PT","None"))))</f>
        <v/>
      </c>
      <c r="AW108" s="16" t="str">
        <f aca="false">IF(AK108=0,"",IF(AND(AM108&gt;=3,AP108&lt;=AsOfDate),AV108,IF(AND(AM108&gt;=2,AO108&lt;=AsOfDate),AU108,AT108)))</f>
        <v/>
      </c>
      <c r="AX108" s="16" t="str">
        <f aca="false">IF(AK108=0,"",IF(AsOfDate&lt;AL108,-1,12*(YEAR(AsOfDate)-YEAR(AL108))+MONTH(AsOfDate)-MONTH(AL108)-IF(DAY(AsOfDate)&lt;MIN(DAY(AL108),DAY(EOMONTH(AsOfDate,0))),1,0)))</f>
        <v/>
      </c>
      <c r="AY108" s="16" t="str">
        <f aca="false">IF(AK108=0,"",IF(OR(AM108&lt;2,AO108&gt;AsOfDate),AX108,IF((AO108-1)&lt;AL108,-1,12*(YEAR((AO108-1))-YEAR(AL108))+MONTH((AO108-1))-MONTH(AL108)-IF(DAY((AO108-1))&lt;MIN(DAY(AL108),DAY(EOMONTH((AO108-1),0))),1,0))))</f>
        <v/>
      </c>
      <c r="AZ108" s="16" t="str">
        <f aca="false">IF(AK108=0,"",IF(OR(AM108&lt;3,AP108&gt;AsOfDate),AX108,IF((AP108-1)&lt;AL108,-1,12*(YEAR((AP108-1))-YEAR(AL108))+MONTH((AP108-1))-MONTH(AL108)-IF(DAY((AP108-1))&lt;MIN(DAY(AL108),DAY(EOMONTH((AP108-1),0))),1,0))))</f>
        <v/>
      </c>
      <c r="BA108" s="16" t="str">
        <f aca="false">IF(AK108=0,"",IF(PFYDate&lt;AL108,-1,12*(YEAR(PFYDate)-YEAR(AL108))+MONTH(PFYDate)-MONTH(AL108)-IF(DAY(PFYDate)&lt;MIN(DAY(AL108),DAY(EOMONTH(PFYDate,0))),1,0)))</f>
        <v/>
      </c>
      <c r="BB108" s="16" t="str">
        <f aca="false">IF(AK108=0,"",IF(OR(AM108&lt;2,AO108&gt;PFYDate),BA108,IF((AO108-1)&lt;AL108,-1,12*(YEAR((AO108-1))-YEAR(AL108))+MONTH((AO108-1))-MONTH(AL108)-IF(DAY((AO108-1))&lt;MIN(DAY(AL108),DAY(EOMONTH((AO108-1),0))),1,0))))</f>
        <v/>
      </c>
      <c r="BC108" s="16" t="str">
        <f aca="false">IF(AK108=0,"",IF(OR(AM108&lt;3,AP108&gt;PFYDate),BA108,IF((AP108-1)&lt;AL108,-1,12*(YEAR((AP108-1))-YEAR(AL108))+MONTH((AP108-1))-MONTH(AL108)-IF(DAY((AP108-1))&lt;MIN(DAY(AL108),DAY(EOMONTH((AP108-1),0))),1,0))))</f>
        <v/>
      </c>
      <c r="BD108" s="16" t="str">
        <f aca="false">IF(AK108=0,"",IF(AT108="FT",IF(AY108&lt;FT_First,0,IF(AY108&lt;FT_Y5,1+INT((AY108-FT_First)/FT_Int1),FT_PreY5+FT_PerYear*INT((AY108-FT_Y5)/12)+FT_AnnivDays+INT(MOD(AY108-FT_Y5,12)/FT_Int2)-IF(EDATE(AL108,FT_Y5)&lt;PolicyEff,FT_AnnivDays-1,0))),IF(AT108="PT",IF(AY108&lt;PT_First,0,1+INT((AY108-PT_First)/PT_Int)),0))+IF(AND(AM108&gt;=2,AO108&lt;=AsOfDate),IF(AU108="FT",IF(AZ108&lt;FT_First,0,IF(AZ108&lt;FT_Y5,1+INT((AZ108-FT_First)/FT_Int1),FT_PreY5+FT_PerYear*INT((AZ108-FT_Y5)/12)+FT_AnnivDays+INT(MOD(AZ108-FT_Y5,12)/FT_Int2)-IF(EDATE(AL108,FT_Y5)&lt;PolicyEff,FT_AnnivDays-1,0))),IF(AU108="PT",IF(AZ108&lt;PT_First,0,1+INT((AZ108-PT_First)/PT_Int)),0))-IF(AU108="FT",IF(AY108&lt;FT_First,0,IF(AY108&lt;FT_Y5,1+INT((AY108-FT_First)/FT_Int1),FT_PreY5+FT_PerYear*INT((AY108-FT_Y5)/12)+FT_AnnivDays+INT(MOD(AY108-FT_Y5,12)/FT_Int2)-IF(EDATE(AL108,FT_Y5)&lt;PolicyEff,FT_AnnivDays-1,0))),IF(AU108="PT",IF(AY108&lt;PT_First,0,1+INT((AY108-PT_First)/PT_Int)),0)),0)+IF(AND(AM108&gt;=3,AP108&lt;=AsOfDate),IF(AV108="FT",IF(AX108&lt;FT_First,0,IF(AX108&lt;FT_Y5,1+INT((AX108-FT_First)/FT_Int1),FT_PreY5+FT_PerYear*INT((AX108-FT_Y5)/12)+FT_AnnivDays+INT(MOD(AX108-FT_Y5,12)/FT_Int2)-IF(EDATE(AL108,FT_Y5)&lt;PolicyEff,FT_AnnivDays-1,0))),IF(AV108="PT",IF(AX108&lt;PT_First,0,1+INT((AX108-PT_First)/PT_Int)),0))-IF(AV108="FT",IF(AZ108&lt;FT_First,0,IF(AZ108&lt;FT_Y5,1+INT((AZ108-FT_First)/FT_Int1),FT_PreY5+FT_PerYear*INT((AZ108-FT_Y5)/12)+FT_AnnivDays+INT(MOD(AZ108-FT_Y5,12)/FT_Int2)-IF(EDATE(AL108,FT_Y5)&lt;PolicyEff,FT_AnnivDays-1,0))),IF(AV108="PT",IF(AZ108&lt;PT_First,0,1+INT((AZ108-PT_First)/PT_Int)),0)),0))</f>
        <v/>
      </c>
      <c r="BE108" s="16" t="str">
        <f aca="false">IF(AK108=0,"",IF(AT108="FT",IF(BB108&lt;FT_First,0,IF(BB108&lt;FT_Y5,1+INT((BB108-FT_First)/FT_Int1),FT_PreY5+FT_PerYear*INT((BB108-FT_Y5)/12)+FT_AnnivDays+INT(MOD(BB108-FT_Y5,12)/FT_Int2)-IF(EDATE(AL108,FT_Y5)&lt;PolicyEff,FT_AnnivDays-1,0))),IF(AT108="PT",IF(BB108&lt;PT_First,0,1+INT((BB108-PT_First)/PT_Int)),0))+IF(AND(AM108&gt;=2,AO108&lt;=PFYDate),IF(AU108="FT",IF(BC108&lt;FT_First,0,IF(BC108&lt;FT_Y5,1+INT((BC108-FT_First)/FT_Int1),FT_PreY5+FT_PerYear*INT((BC108-FT_Y5)/12)+FT_AnnivDays+INT(MOD(BC108-FT_Y5,12)/FT_Int2)-IF(EDATE(AL108,FT_Y5)&lt;PolicyEff,FT_AnnivDays-1,0))),IF(AU108="PT",IF(BC108&lt;PT_First,0,1+INT((BC108-PT_First)/PT_Int)),0))-IF(AU108="FT",IF(BB108&lt;FT_First,0,IF(BB108&lt;FT_Y5,1+INT((BB108-FT_First)/FT_Int1),FT_PreY5+FT_PerYear*INT((BB108-FT_Y5)/12)+FT_AnnivDays+INT(MOD(BB108-FT_Y5,12)/FT_Int2)-IF(EDATE(AL108,FT_Y5)&lt;PolicyEff,FT_AnnivDays-1,0))),IF(AU108="PT",IF(BB108&lt;PT_First,0,1+INT((BB108-PT_First)/PT_Int)),0)),0)+IF(AND(AM108&gt;=3,AP108&lt;=PFYDate),IF(AV108="FT",IF(BA108&lt;FT_First,0,IF(BA108&lt;FT_Y5,1+INT((BA108-FT_First)/FT_Int1),FT_PreY5+FT_PerYear*INT((BA108-FT_Y5)/12)+FT_AnnivDays+INT(MOD(BA108-FT_Y5,12)/FT_Int2)-IF(EDATE(AL108,FT_Y5)&lt;PolicyEff,FT_AnnivDays-1,0))),IF(AV108="PT",IF(BA108&lt;PT_First,0,1+INT((BA108-PT_First)/PT_Int)),0))-IF(AV108="FT",IF(BC108&lt;FT_First,0,IF(BC108&lt;FT_Y5,1+INT((BC108-FT_First)/FT_Int1),FT_PreY5+FT_PerYear*INT((BC108-FT_Y5)/12)+FT_AnnivDays+INT(MOD(BC108-FT_Y5,12)/FT_Int2)-IF(EDATE(AL108,FT_Y5)&lt;PolicyEff,FT_AnnivDays-1,0))),IF(AV108="PT",IF(BC108&lt;PT_First,0,1+INT((BC108-PT_First)/PT_Int)),0)),0))</f>
        <v/>
      </c>
      <c r="BF108" s="16" t="str">
        <f aca="false">IF(AK108=0,"",IF(AW108="FT",IF(AX108&lt;FT_First,FT_First,IF(AX108&lt;FT_Y5,MIN(FT_Y5,FT_First+FT_Int1*(INT((AX108-FT_First)/FT_Int1)+1)),FT_Y5+12*INT((AX108-FT_Y5)/12)+FT_Int2*(INT(MOD(AX108-FT_Y5,12)/FT_Int2)+1))),IF(AW108="PT",IF(AX108&lt;PT_First,PT_First,PT_First+PT_Int*(INT((AX108-PT_First)/PT_Int)+1)),"")))</f>
        <v/>
      </c>
      <c r="BG108" s="16" t="str">
        <f aca="false">IF(AK108=0,"",IF(NOT(LH_Ready),0,COUNTIFS(INDEX(LH_Data,0,LH_ColFirst),$A108,INDEX(LH_Data,0,LH_ColSur),$B108,INDEX(LH_Data,0,LH_ColCat),BonusCat)))</f>
        <v/>
      </c>
      <c r="BH108" s="16" t="str">
        <f aca="false">IF(AK108=0,"",IF(OR(NOT(LH_Ready),BG108=0),0,SUMPRODUCT(MAX((INDEX(LH_Data,0,LH_ColFirst)=$A108)*(INDEX(LH_Data,0,LH_ColSur)=$B108)*(INDEX(LH_Data,0,LH_ColCat)=BonusCat)*ROW(LH_Data)))))</f>
        <v/>
      </c>
      <c r="BI108" s="16" t="str">
        <f aca="false">IF(AK108=0,"",IF(EOMONTH(AsOfDate,-1)&lt;AL108,-1,12*(YEAR(EOMONTH(AsOfDate,-1))-YEAR(AL108))+MONTH(EOMONTH(AsOfDate,-1))-MONTH(AL108)-IF(DAY(EOMONTH(AsOfDate,-1))&lt;MIN(DAY(AL108),DAY(EOMONTH(EOMONTH(AsOfDate,-1),0))),1,0)))</f>
        <v/>
      </c>
      <c r="BJ108" s="16" t="str">
        <f aca="false">IF(AK108=0,"",IF(OR(AM108&lt;2,AO108&gt;EOMONTH(AsOfDate,-1)),BI108,IF((AO108-1)&lt;AL108,-1,12*(YEAR((AO108-1))-YEAR(AL108))+MONTH((AO108-1))-MONTH(AL108)-IF(DAY((AO108-1))&lt;MIN(DAY(AL108),DAY(EOMONTH((AO108-1),0))),1,0))))</f>
        <v/>
      </c>
      <c r="BK108" s="16" t="str">
        <f aca="false">IF(AK108=0,"",IF(OR(AM108&lt;3,AP108&gt;EOMONTH(AsOfDate,-1)),BI108,IF((AP108-1)&lt;AL108,-1,12*(YEAR((AP108-1))-YEAR(AL108))+MONTH((AP108-1))-MONTH(AL108)-IF(DAY((AP108-1))&lt;MIN(DAY(AL108),DAY(EOMONTH((AP108-1),0))),1,0))))</f>
        <v/>
      </c>
      <c r="BL108" s="16" t="str">
        <f aca="false">IF(AK108=0,"",IF(AT108="FT",IF(BJ108&lt;FT_First,0,IF(BJ108&lt;FT_Y5,1+INT((BJ108-FT_First)/FT_Int1),FT_PreY5+FT_PerYear*INT((BJ108-FT_Y5)/12)+FT_AnnivDays+INT(MOD(BJ108-FT_Y5,12)/FT_Int2)-IF(EDATE(AL108,FT_Y5)&lt;PolicyEff,FT_AnnivDays-1,0))),IF(AT108="PT",IF(BJ108&lt;PT_First,0,1+INT((BJ108-PT_First)/PT_Int)),0))+IF(AND(AM108&gt;=2,AO108&lt;=EOMONTH(AsOfDate,-1)),IF(AU108="FT",IF(BK108&lt;FT_First,0,IF(BK108&lt;FT_Y5,1+INT((BK108-FT_First)/FT_Int1),FT_PreY5+FT_PerYear*INT((BK108-FT_Y5)/12)+FT_AnnivDays+INT(MOD(BK108-FT_Y5,12)/FT_Int2)-IF(EDATE(AL108,FT_Y5)&lt;PolicyEff,FT_AnnivDays-1,0))),IF(AU108="PT",IF(BK108&lt;PT_First,0,1+INT((BK108-PT_First)/PT_Int)),0))-IF(AU108="FT",IF(BJ108&lt;FT_First,0,IF(BJ108&lt;FT_Y5,1+INT((BJ108-FT_First)/FT_Int1),FT_PreY5+FT_PerYear*INT((BJ108-FT_Y5)/12)+FT_AnnivDays+INT(MOD(BJ108-FT_Y5,12)/FT_Int2)-IF(EDATE(AL108,FT_Y5)&lt;PolicyEff,FT_AnnivDays-1,0))),IF(AU108="PT",IF(BJ108&lt;PT_First,0,1+INT((BJ108-PT_First)/PT_Int)),0)),0)+IF(AND(AM108&gt;=3,AP108&lt;=EOMONTH(AsOfDate,-1)),IF(AV108="FT",IF(BI108&lt;FT_First,0,IF(BI108&lt;FT_Y5,1+INT((BI108-FT_First)/FT_Int1),FT_PreY5+FT_PerYear*INT((BI108-FT_Y5)/12)+FT_AnnivDays+INT(MOD(BI108-FT_Y5,12)/FT_Int2)-IF(EDATE(AL108,FT_Y5)&lt;PolicyEff,FT_AnnivDays-1,0))),IF(AV108="PT",IF(BI108&lt;PT_First,0,1+INT((BI108-PT_First)/PT_Int)),0))-IF(AV108="FT",IF(BK108&lt;FT_First,0,IF(BK108&lt;FT_Y5,1+INT((BK108-FT_First)/FT_Int1),FT_PreY5+FT_PerYear*INT((BK108-FT_Y5)/12)+FT_AnnivDays+INT(MOD(BK108-FT_Y5,12)/FT_Int2)-IF(EDATE(AL108,FT_Y5)&lt;PolicyEff,FT_AnnivDays-1,0))),IF(AV108="PT",IF(BK108&lt;PT_First,0,1+INT((BK108-PT_First)/PT_Int)),0)),0))</f>
        <v/>
      </c>
      <c r="BM108" s="16" t="str">
        <f aca="false">IF(AK108=0,"",IF(AW108="FT",IF(AX108&lt;FT_First,"",IF(AX108&lt;FT_Y5,FT_First+FT_Int1*INT((AX108-FT_First)/FT_Int1),FT_Y5+FT_Int2*INT((AX108-FT_Y5)/FT_Int2))),IF(AW108="PT",IF(AX108&lt;PT_First,"",PT_First+PT_Int*INT((AX108-PT_First)/PT_Int)),"")))</f>
        <v/>
      </c>
      <c r="BN108" s="16" t="str">
        <f aca="false">IF(AK108=0,"",IF((SchemeStart-1)&lt;AL108,-1,12*(YEAR((SchemeStart-1))-YEAR(AL108))+MONTH((SchemeStart-1))-MONTH(AL108)-IF(DAY((SchemeStart-1))&lt;MIN(DAY(AL108),DAY(EOMONTH((SchemeStart-1),0))),1,0)))</f>
        <v/>
      </c>
      <c r="BO108" s="16" t="str">
        <f aca="false">IF(AK108=0,"",IF(OR(AM108&lt;2,AO108&gt;(SchemeStart-1)),BN108,IF((AO108-1)&lt;AL108,-1,12*(YEAR((AO108-1))-YEAR(AL108))+MONTH((AO108-1))-MONTH(AL108)-IF(DAY((AO108-1))&lt;MIN(DAY(AL108),DAY(EOMONTH((AO108-1),0))),1,0))))</f>
        <v/>
      </c>
      <c r="BP108" s="16" t="str">
        <f aca="false">IF(AK108=0,"",IF(OR(AM108&lt;3,AP108&gt;(SchemeStart-1)),BN108,IF((AP108-1)&lt;AL108,-1,12*(YEAR((AP108-1))-YEAR(AL108))+MONTH((AP108-1))-MONTH(AL108)-IF(DAY((AP108-1))&lt;MIN(DAY(AL108),DAY(EOMONTH((AP108-1),0))),1,0))))</f>
        <v/>
      </c>
      <c r="BQ108" s="16" t="str">
        <f aca="false">IF(AK108=0,"",IF(AT108="FT",IF(BO108&lt;FT_First,0,IF(BO108&lt;FT_Y5,1+INT((BO108-FT_First)/FT_Int1),FT_PreY5+FT_PerYear*INT((BO108-FT_Y5)/12)+FT_AnnivDays+INT(MOD(BO108-FT_Y5,12)/FT_Int2)-IF(EDATE(AL108,FT_Y5)&lt;PolicyEff,FT_AnnivDays-1,0))),IF(AT108="PT",IF(BO108&lt;PT_First,0,1+INT((BO108-PT_First)/PT_Int)),0))+IF(AND(AM108&gt;=2,AO108&lt;=(SchemeStart-1)),IF(AU108="FT",IF(BP108&lt;FT_First,0,IF(BP108&lt;FT_Y5,1+INT((BP108-FT_First)/FT_Int1),FT_PreY5+FT_PerYear*INT((BP108-FT_Y5)/12)+FT_AnnivDays+INT(MOD(BP108-FT_Y5,12)/FT_Int2)-IF(EDATE(AL108,FT_Y5)&lt;PolicyEff,FT_AnnivDays-1,0))),IF(AU108="PT",IF(BP108&lt;PT_First,0,1+INT((BP108-PT_First)/PT_Int)),0))-IF(AU108="FT",IF(BO108&lt;FT_First,0,IF(BO108&lt;FT_Y5,1+INT((BO108-FT_First)/FT_Int1),FT_PreY5+FT_PerYear*INT((BO108-FT_Y5)/12)+FT_AnnivDays+INT(MOD(BO108-FT_Y5,12)/FT_Int2)-IF(EDATE(AL108,FT_Y5)&lt;PolicyEff,FT_AnnivDays-1,0))),IF(AU108="PT",IF(BO108&lt;PT_First,0,1+INT((BO108-PT_First)/PT_Int)),0)),0)+IF(AND(AM108&gt;=3,AP108&lt;=(SchemeStart-1)),IF(AV108="FT",IF(BN108&lt;FT_First,0,IF(BN108&lt;FT_Y5,1+INT((BN108-FT_First)/FT_Int1),FT_PreY5+FT_PerYear*INT((BN108-FT_Y5)/12)+FT_AnnivDays+INT(MOD(BN108-FT_Y5,12)/FT_Int2)-IF(EDATE(AL108,FT_Y5)&lt;PolicyEff,FT_AnnivDays-1,0))),IF(AV108="PT",IF(BN108&lt;PT_First,0,1+INT((BN108-PT_First)/PT_Int)),0))-IF(AV108="FT",IF(BP108&lt;FT_First,0,IF(BP108&lt;FT_Y5,1+INT((BP108-FT_First)/FT_Int1),FT_PreY5+FT_PerYear*INT((BP108-FT_Y5)/12)+FT_AnnivDays+INT(MOD(BP108-FT_Y5,12)/FT_Int2)-IF(EDATE(AL108,FT_Y5)&lt;PolicyEff,FT_AnnivDays-1,0))),IF(AV108="PT",IF(BP108&lt;PT_First,0,1+INT((BP108-PT_First)/PT_Int)),0)),0))</f>
        <v/>
      </c>
      <c r="BR108" s="0" t="str">
        <f aca="false">IF(LEN($A108&amp;$B108)=0,"",$A108&amp;" "&amp;$B108)</f>
        <v/>
      </c>
    </row>
    <row r="109" customFormat="false" ht="15" hidden="false" customHeight="false" outlineLevel="0" collapsed="false">
      <c r="A109" s="12"/>
      <c r="B109" s="12"/>
      <c r="C109" s="12"/>
      <c r="D109" s="13"/>
      <c r="E109" s="14" t="str">
        <f aca="false">IF(OR(AK109=0,$D109=""),"",DATE(YEAR(AsOfDate)+IF(DATE(YEAR(AsOfDate),MONTH($D109),DAY($D109))&lt;=AsOfDate,1,0),MONTH($D109),DAY($D109)))</f>
        <v/>
      </c>
      <c r="F109" s="13"/>
      <c r="G109" s="13"/>
      <c r="H109" s="13"/>
      <c r="I109" s="13"/>
      <c r="J109" s="13"/>
      <c r="K109" s="14" t="str">
        <f aca="false">IF(AK109=0,"",DATE(YEAR(AsOfDate)+IF(DATE(YEAR(AsOfDate),MONTH(AL109),DAY(AL109))&lt;=AsOfDate,1,0),MONTH(AL109),DAY(AL109)))</f>
        <v/>
      </c>
      <c r="L109" s="15" t="str">
        <f aca="false">IF(AK109=0,"",ROUND((AsOfDate-AL109)/365.25,1))</f>
        <v/>
      </c>
      <c r="M109" s="16" t="str">
        <f aca="false">IF(AK109=0,"",IF(AsOfDate&lt;AL109,"-",DATEDIF(AL109,AsOfDate,"y")&amp;"y "&amp;DATEDIF(AL109,AsOfDate,"ym")&amp;"m "&amp;DATEDIF(AL109,AsOfDate,"md")&amp;"d"))</f>
        <v/>
      </c>
      <c r="N109" s="17" t="str">
        <f aca="false">IF(AK109=0,"",O109*HoursPerDay)</f>
        <v/>
      </c>
      <c r="O109" s="17" t="str">
        <f aca="false">IF(AK109=0,"",MAX(0,BD109-BQ109))</f>
        <v/>
      </c>
      <c r="P109" s="18"/>
      <c r="Q109" s="16" t="str">
        <f aca="false">IF(AK109=0,"",IF(AM109&lt;2,"",AQ109&amp;" to "&amp;AR109&amp;" on "&amp;TEXT(AO109,"dd/mm/yyyy")&amp;IF(AO109&gt;AsOfDate," (future)",IF(AT109=AU109,"",IF(AU109="None"," - STOPPED accruing",IF(AT109="None"," - commencement for Bonus Leave"," - pathway changed"))))&amp;IF(AM109&lt;3,"","; "&amp;AR109&amp;" to "&amp;AS109&amp;" on "&amp;TEXT(AP109,"dd/mm/yyyy")&amp;IF(AP109&gt;AsOfDate," (future)",IF(AU109=AV109,"",IF(AV109="None"," - STOPPED accruing",IF(AU109="None"," - commencement for Bonus Leave"," - pathway changed")))))))</f>
        <v/>
      </c>
      <c r="R109" s="16" t="str">
        <f aca="false">IF(AK109=0,"",IF(AW109="None",IF(O109&gt;0,"No longer accruing","Not eligible - "&amp;IF(AND(OR(ISNUMBER(SEARCH("part",$C109)),UPPER(TRIM($C109))="PT",UPPER(TRIM($C109))="PTE"),Apply2026="No"),"part-time (scheme is full-time only)",IF(AND(OR(ISNUMBER(SEARCH("part",$C109)),UPPER(TRIM($C109))="PT",UPPER(TRIM($C109))="PTE"),$P109&lt;&gt;"",N($P109)&lt;PT_MinHours),"under "&amp;PT_MinHours&amp;" hrs",IF(IF($C109="","",IF(OR(ISNUMBER(SEARCH("full",$C109)),UPPER(TRIM($C109))="FT",UPPER(TRIM($C109))="FTE"),"Full-Time",IF(OR(ISNUMBER(SEARCH("part",$C109)),UPPER(TRIM($C109))="PT",UPPER(TRIM($C109))="PTE"),"Part-Time",IF(OR(ISNUMBER(SEARCH("cas",$C109)),UPPER(TRIM($C109))="CAS"),"Casual","Unknown"))))="Unknown","type not recognised",$C109)))),IF(O109&gt;0,"Yes - Accrual Required","Not yet - from "&amp;TEXT(S109,"dd/mm/yyyy"))))</f>
        <v/>
      </c>
      <c r="S109" s="14" t="str">
        <f aca="false">IF(AK109=0,"",IF(AW109="None","",EDATE(AL109,BF109)))</f>
        <v/>
      </c>
      <c r="T109" s="17" t="str">
        <f aca="false">IF(AK109=0,"",IF(NOT(LH_Ready),"",IF($F109&gt;PFYDate,0,IF(LH_ColPeriod=0,W109-U109+V109,SUMIFS(INDEX(LH_Data,0,LH_ColAcc),INDEX(LH_Data,0,LH_ColFirst),$A109,INDEX(LH_Data,0,LH_ColSur),$B109,INDEX(LH_Data,0,LH_ColCat),BonusCat,INDEX(LH_Data,0,LH_ColPeriod),LH_OpenLabel)*UnitFactor))))</f>
        <v/>
      </c>
      <c r="U109" s="17" t="str">
        <f aca="false">IF(AK109=0,"",IF(NOT(LH_Ready),"",SUMIFS(INDEX(LH_Data,0,LH_ColAcc),INDEX(LH_Data,0,LH_ColFirst),$A109,INDEX(LH_Data,0,LH_ColSur),$B109,INDEX(LH_Data,0,LH_ColCat),BonusCat,INDEX(LH_Data,0,LH_ColStart),"&gt;="&amp;AL109)*UnitFactor))</f>
        <v/>
      </c>
      <c r="V109" s="17" t="str">
        <f aca="false">IF(AK109=0,"",IF(NOT(LH_Ready),"",SUMIFS(INDEX(LH_Data,0,LH_ColTaken),INDEX(LH_Data,0,LH_ColFirst),$A109,INDEX(LH_Data,0,LH_ColSur),$B109,INDEX(LH_Data,0,LH_ColCat),BonusCat,INDEX(LH_Data,0,LH_ColStart),"&gt;="&amp;AL109)*UnitFactor))</f>
        <v/>
      </c>
      <c r="W109" s="17" t="str">
        <f aca="false">IF(AK109=0,"",IF(NOT(LH_Ready),"",IF(BH109=0,0,INDEX(INDEX(LH_Data,0,LH_ColClose),BH109-1)*UnitFactor)))</f>
        <v/>
      </c>
      <c r="X109" s="17" t="str">
        <f aca="false">IF(AK109=0,"",(MAX(0,BD109-BQ109)-MAX(0,BE109-BQ109))*HoursPerDay)</f>
        <v/>
      </c>
      <c r="Y109" s="17" t="str">
        <f aca="false">IF(AK109=0,"",IF(NOT(LH_Ready),"",IF($AI109="Yes",N(AE109)*HoursPerDay-SUMIFS(INDEX(LH_Data,0,LH_ColAcc),INDEX(LH_Data,0,LH_ColFirst),$A109,INDEX(LH_Data,0,LH_ColSur),$B109,INDEX(LH_Data,0,LH_ColCat),BonusCat,INDEX(LH_Data,0,LH_ColStart),"&gt;="&amp;(EOMONTH(AsOfDate,-1)+1),INDEX(LH_Data,0,LH_ColStart),"&lt;="&amp;AsOfDate)*UnitFactor,IF(BG109=0,N109,N109-N(T109)-N(U109)))))</f>
        <v/>
      </c>
      <c r="Z109" s="16" t="str">
        <f aca="false">IF(OR(AK109=0,Y109=""),"",IF(Y109&gt;0,"Yes","No"))</f>
        <v/>
      </c>
      <c r="AA109" s="16" t="str">
        <f aca="false">IF(AK109=0,IF(LEN($A109&amp;$B109)=0,"","FIX INPUT - StartDate missing"),IF(AD109&lt;&gt;"","FIX INPUT - "&amp;AD109,IF(NOT(LH_Ready),"Paste Leave History export (Settings must show YES)",IF(AND($AI109="Yes",Y109&lt;=0),"OK - EH balance accepted to date"&amp;IF(N(AH109)&gt;0," (EH holds "&amp;AH109&amp;" hrs over the scheme)","")&amp;"; next day "&amp;TEXT(S109,"dd mmm yy")&amp;IF(N(AE109)&gt;0," ("&amp;AE109&amp;" day(s) for "&amp;UPPER(TEXT(AsOfDate,"mmm yyyy"))&amp;" already in EH)",""),IF(Y109&gt;0,"ACCRUE "&amp;ROUND(Y109,2)&amp;" hrs ("&amp;ROUND(Y109/HoursPerDay,2)&amp;" days): "&amp;IF(N(AE109)&gt;0,AE109&amp;" day(s) for "&amp;UPPER(TEXT(AsOfDate,"mmm yyyy"))&amp;" (milestone "&amp;UPPER(TEXT(AF109,"dd mmm yy"))&amp;")"&amp;IF(Y109/HoursPerDay&gt;AE109+0.001," + "&amp;ROUND(Y109/HoursPerDay-AE109,2)&amp;" day(s) catch-up from earlier months",""),"all catch-up from earlier months, nothing new this month")&amp;IF(BG109=0,"; no Bonus Leave in EH yet",""),IF(Y109&lt;0,"CHECK - EH accrued "&amp;ROUND(-Y109,2)&amp;" hrs more than policy since commencement",IF(N(W109)&gt;O109*HoursPerDay+0.01,"CHECK - EH balance "&amp;ROUND(W109-O109*HoursPerDay,2)&amp;" hrs more than policy entitlement",IF(O109&gt;0,"OK - nothing to add"&amp;IF(N(AE109)&gt;0," ("&amp;AE109&amp;" day(s) for "&amp;UPPER(TEXT(AsOfDate,"mmm yyyy"))&amp;" already in EH)",""),IF(AW109="None",R109,"Not yet - first day on "&amp;TEXT(S109,"dd/mm/yyyy"))))))))))</f>
        <v/>
      </c>
      <c r="AB109" s="17" t="str">
        <f aca="false">IF(OR(AK109=0,T109=""),"",MAX(0,BE109-BQ109)*HoursPerDay-T109)</f>
        <v/>
      </c>
      <c r="AC109" s="16" t="str">
        <f aca="false">IF(AK109=0,"",BG109)</f>
        <v/>
      </c>
      <c r="AD109" s="16" t="str">
        <f aca="false">IF(AK109=0,"",TRIM(IF(OR(ISTEXT($F109),ISTEXT($H109),ISTEXT($I109),ISTEXT($G109),ISTEXT($J109),ISTEXT($D109)),"A date is typed as text - retype it as dd/mm/yyyy. ","")&amp;IF(IF($C109="","",IF(OR(ISNUMBER(SEARCH("full",$C109)),UPPER(TRIM($C109))="FT",UPPER(TRIM($C109))="FTE"),"Full-Time",IF(OR(ISNUMBER(SEARCH("part",$C109)),UPPER(TRIM($C109))="PT",UPPER(TRIM($C109))="PTE"),"Part-Time",IF(OR(ISNUMBER(SEARCH("cas",$C109)),UPPER(TRIM($C109))="CAS"),"Casual","Unknown"))))="Unknown","EmploymentType not recognised - use Full-Time, Part-Time or Casual. ","")&amp;IF(AND(AM109&gt;=1,IF(AM109&gt;=3,AS109,IF(AM109=2,AR109,AQ109))&lt;&gt;IF($C109="","",IF(OR(ISNUMBER(SEARCH("full",$C109)),UPPER(TRIM($C109))="FT",UPPER(TRIM($C109))="FTE"),"Full-Time",IF(OR(ISNUMBER(SEARCH("part",$C109)),UPPER(TRIM($C109))="PT",UPPER(TRIM($C109))="PTE"),"Part-Time",IF(OR(ISNUMBER(SEARCH("cas",$C109)),UPPER(TRIM($C109))="CAS"),"Casual","Unknown"))))),"EmploymentType does not match latest start date ("&amp;IF(AM109&gt;=3,AS109,IF(AM109=2,AR109,AQ109))&amp;"). ","")&amp;IF(AND(AM109&gt;=1,AN109&lt;&gt;$F109),"Earliest type date should equal StartDate. ","")&amp;IF(AND(AM109&gt;=2,AN109=AO109),"Two types start on the same date. ","")&amp;IF(AND(OR(ISNUMBER(SEARCH("part",$C109)),UPPER(TRIM($C109))="PT",UPPER(TRIM($C109))="PTE"),$P109=""),"Part-time: enter PT Hrs/Week (blank = 24+). ","")))</f>
        <v/>
      </c>
      <c r="AE109" s="17" t="str">
        <f aca="false">IF(AK109=0,"",O109-MAX(0,BL109-BQ109))</f>
        <v/>
      </c>
      <c r="AF109" s="14" t="str">
        <f aca="false">IF(OR(AK109=0,AE109="",N(AE109)=0,BM109=""),"",EDATE(AL109,BM109))</f>
        <v/>
      </c>
      <c r="AG109" s="17" t="str">
        <f aca="false">IF(AK109=0,"",MIN(BD109,BQ109))</f>
        <v/>
      </c>
      <c r="AH109" s="17" t="str">
        <f aca="false">IF(AK109=0,"",IF(NOT(LH_Ready),"",IF(BG109=0,0,MAX(0,ROUND(N(T109)+N(U109)-N109,2)))))</f>
        <v/>
      </c>
      <c r="AI109" s="12"/>
      <c r="AJ109" s="12"/>
      <c r="AK109" s="16" t="n">
        <f aca="false">IF(OR(LEN($A109&amp;$B109)=0,$F109=""),0,1)</f>
        <v>0</v>
      </c>
      <c r="AL109" s="14" t="str">
        <f aca="false">IF(AK109=0,"",IF(PreSchemeCounts="No",MAX(SchemeStart,IF($J109&lt;&gt;"",$J109,IF(OR(CasualCounts="Yes",COUNT($G109:$I109)=0),$F109,IF(Apply2026="No",IF($I109="",$F109,$I109),IF(COUNT($H109:$I109)=0,$F109,MIN($H109:$I109)))))),IF($J109&lt;&gt;"",$J109,IF(OR(CasualCounts="Yes",COUNT($G109:$I109)=0),$F109,IF(Apply2026="No",IF($I109="",$F109,$I109),IF(COUNT($H109:$I109)=0,$F109,MIN($H109:$I109)))))))</f>
        <v/>
      </c>
      <c r="AM109" s="16" t="str">
        <f aca="false">IF(AK109=0,"",COUNT($G109:$I109))</f>
        <v/>
      </c>
      <c r="AN109" s="14" t="str">
        <f aca="false">IF(AK109=0,"",IFERROR(SMALL($G109:$I109,1),""))</f>
        <v/>
      </c>
      <c r="AO109" s="14" t="str">
        <f aca="false">IF(AK109=0,"",IFERROR(SMALL($G109:$I109,2),""))</f>
        <v/>
      </c>
      <c r="AP109" s="14" t="str">
        <f aca="false">IF(AK109=0,"",IFERROR(SMALL($G109:$I109,3),""))</f>
        <v/>
      </c>
      <c r="AQ109" s="16" t="str">
        <f aca="false">IF(AK109=0,"",IF(AN109="","",IF(AN109=$H109,"Part-Time",IF(AN109=$I109,"Full-Time","Casual"))))</f>
        <v/>
      </c>
      <c r="AR109" s="16" t="str">
        <f aca="false">IF(AK109=0,"",IF(AO109="","",IF(AO109=$H109,"Part-Time",IF(AO109=$I109,"Full-Time","Casual"))))</f>
        <v/>
      </c>
      <c r="AS109" s="16" t="str">
        <f aca="false">IF(AK109=0,"",IF(AP109="","",IF(AP109=$H109,"Part-Time",IF(AP109=$I109,"Full-Time","Casual"))))</f>
        <v/>
      </c>
      <c r="AT109" s="16" t="str">
        <f aca="false">IF(AK109=0,"",IF(AM109=0,IF(OR(ISNUMBER(SEARCH("full",$C109)),UPPER(TRIM($C109))="FT",UPPER(TRIM($C109))="FTE"),"FT",IF(AND(OR(ISNUMBER(SEARCH("part",$C109)),UPPER(TRIM($C109))="PT",UPPER(TRIM($C109))="PTE"),Apply2026="Yes",OR($P109="",N($P109)&gt;=PT_MinHours)),"PT","None")),IF(OR(ISNUMBER(SEARCH("full",AQ109)),UPPER(TRIM(AQ109))="FT",UPPER(TRIM(AQ109))="FTE"),"FT",IF(AND(OR(ISNUMBER(SEARCH("part",AQ109)),UPPER(TRIM(AQ109))="PT",UPPER(TRIM(AQ109))="PTE"),Apply2026="Yes",OR($P109="",N($P109)&gt;=PT_MinHours)),"PT","None"))))</f>
        <v/>
      </c>
      <c r="AU109" s="16" t="str">
        <f aca="false">IF(AK109=0,"",IF(AM109&lt;2,"",IF(OR(ISNUMBER(SEARCH("full",AR109)),UPPER(TRIM(AR109))="FT",UPPER(TRIM(AR109))="FTE"),"FT",IF(AND(OR(ISNUMBER(SEARCH("part",AR109)),UPPER(TRIM(AR109))="PT",UPPER(TRIM(AR109))="PTE"),Apply2026="Yes",OR($P109="",N($P109)&gt;=PT_MinHours)),"PT","None"))))</f>
        <v/>
      </c>
      <c r="AV109" s="16" t="str">
        <f aca="false">IF(AK109=0,"",IF(AM109&lt;3,"",IF(OR(ISNUMBER(SEARCH("full",AS109)),UPPER(TRIM(AS109))="FT",UPPER(TRIM(AS109))="FTE"),"FT",IF(AND(OR(ISNUMBER(SEARCH("part",AS109)),UPPER(TRIM(AS109))="PT",UPPER(TRIM(AS109))="PTE"),Apply2026="Yes",OR($P109="",N($P109)&gt;=PT_MinHours)),"PT","None"))))</f>
        <v/>
      </c>
      <c r="AW109" s="16" t="str">
        <f aca="false">IF(AK109=0,"",IF(AND(AM109&gt;=3,AP109&lt;=AsOfDate),AV109,IF(AND(AM109&gt;=2,AO109&lt;=AsOfDate),AU109,AT109)))</f>
        <v/>
      </c>
      <c r="AX109" s="16" t="str">
        <f aca="false">IF(AK109=0,"",IF(AsOfDate&lt;AL109,-1,12*(YEAR(AsOfDate)-YEAR(AL109))+MONTH(AsOfDate)-MONTH(AL109)-IF(DAY(AsOfDate)&lt;MIN(DAY(AL109),DAY(EOMONTH(AsOfDate,0))),1,0)))</f>
        <v/>
      </c>
      <c r="AY109" s="16" t="str">
        <f aca="false">IF(AK109=0,"",IF(OR(AM109&lt;2,AO109&gt;AsOfDate),AX109,IF((AO109-1)&lt;AL109,-1,12*(YEAR((AO109-1))-YEAR(AL109))+MONTH((AO109-1))-MONTH(AL109)-IF(DAY((AO109-1))&lt;MIN(DAY(AL109),DAY(EOMONTH((AO109-1),0))),1,0))))</f>
        <v/>
      </c>
      <c r="AZ109" s="16" t="str">
        <f aca="false">IF(AK109=0,"",IF(OR(AM109&lt;3,AP109&gt;AsOfDate),AX109,IF((AP109-1)&lt;AL109,-1,12*(YEAR((AP109-1))-YEAR(AL109))+MONTH((AP109-1))-MONTH(AL109)-IF(DAY((AP109-1))&lt;MIN(DAY(AL109),DAY(EOMONTH((AP109-1),0))),1,0))))</f>
        <v/>
      </c>
      <c r="BA109" s="16" t="str">
        <f aca="false">IF(AK109=0,"",IF(PFYDate&lt;AL109,-1,12*(YEAR(PFYDate)-YEAR(AL109))+MONTH(PFYDate)-MONTH(AL109)-IF(DAY(PFYDate)&lt;MIN(DAY(AL109),DAY(EOMONTH(PFYDate,0))),1,0)))</f>
        <v/>
      </c>
      <c r="BB109" s="16" t="str">
        <f aca="false">IF(AK109=0,"",IF(OR(AM109&lt;2,AO109&gt;PFYDate),BA109,IF((AO109-1)&lt;AL109,-1,12*(YEAR((AO109-1))-YEAR(AL109))+MONTH((AO109-1))-MONTH(AL109)-IF(DAY((AO109-1))&lt;MIN(DAY(AL109),DAY(EOMONTH((AO109-1),0))),1,0))))</f>
        <v/>
      </c>
      <c r="BC109" s="16" t="str">
        <f aca="false">IF(AK109=0,"",IF(OR(AM109&lt;3,AP109&gt;PFYDate),BA109,IF((AP109-1)&lt;AL109,-1,12*(YEAR((AP109-1))-YEAR(AL109))+MONTH((AP109-1))-MONTH(AL109)-IF(DAY((AP109-1))&lt;MIN(DAY(AL109),DAY(EOMONTH((AP109-1),0))),1,0))))</f>
        <v/>
      </c>
      <c r="BD109" s="16" t="str">
        <f aca="false">IF(AK109=0,"",IF(AT109="FT",IF(AY109&lt;FT_First,0,IF(AY109&lt;FT_Y5,1+INT((AY109-FT_First)/FT_Int1),FT_PreY5+FT_PerYear*INT((AY109-FT_Y5)/12)+FT_AnnivDays+INT(MOD(AY109-FT_Y5,12)/FT_Int2)-IF(EDATE(AL109,FT_Y5)&lt;PolicyEff,FT_AnnivDays-1,0))),IF(AT109="PT",IF(AY109&lt;PT_First,0,1+INT((AY109-PT_First)/PT_Int)),0))+IF(AND(AM109&gt;=2,AO109&lt;=AsOfDate),IF(AU109="FT",IF(AZ109&lt;FT_First,0,IF(AZ109&lt;FT_Y5,1+INT((AZ109-FT_First)/FT_Int1),FT_PreY5+FT_PerYear*INT((AZ109-FT_Y5)/12)+FT_AnnivDays+INT(MOD(AZ109-FT_Y5,12)/FT_Int2)-IF(EDATE(AL109,FT_Y5)&lt;PolicyEff,FT_AnnivDays-1,0))),IF(AU109="PT",IF(AZ109&lt;PT_First,0,1+INT((AZ109-PT_First)/PT_Int)),0))-IF(AU109="FT",IF(AY109&lt;FT_First,0,IF(AY109&lt;FT_Y5,1+INT((AY109-FT_First)/FT_Int1),FT_PreY5+FT_PerYear*INT((AY109-FT_Y5)/12)+FT_AnnivDays+INT(MOD(AY109-FT_Y5,12)/FT_Int2)-IF(EDATE(AL109,FT_Y5)&lt;PolicyEff,FT_AnnivDays-1,0))),IF(AU109="PT",IF(AY109&lt;PT_First,0,1+INT((AY109-PT_First)/PT_Int)),0)),0)+IF(AND(AM109&gt;=3,AP109&lt;=AsOfDate),IF(AV109="FT",IF(AX109&lt;FT_First,0,IF(AX109&lt;FT_Y5,1+INT((AX109-FT_First)/FT_Int1),FT_PreY5+FT_PerYear*INT((AX109-FT_Y5)/12)+FT_AnnivDays+INT(MOD(AX109-FT_Y5,12)/FT_Int2)-IF(EDATE(AL109,FT_Y5)&lt;PolicyEff,FT_AnnivDays-1,0))),IF(AV109="PT",IF(AX109&lt;PT_First,0,1+INT((AX109-PT_First)/PT_Int)),0))-IF(AV109="FT",IF(AZ109&lt;FT_First,0,IF(AZ109&lt;FT_Y5,1+INT((AZ109-FT_First)/FT_Int1),FT_PreY5+FT_PerYear*INT((AZ109-FT_Y5)/12)+FT_AnnivDays+INT(MOD(AZ109-FT_Y5,12)/FT_Int2)-IF(EDATE(AL109,FT_Y5)&lt;PolicyEff,FT_AnnivDays-1,0))),IF(AV109="PT",IF(AZ109&lt;PT_First,0,1+INT((AZ109-PT_First)/PT_Int)),0)),0))</f>
        <v/>
      </c>
      <c r="BE109" s="16" t="str">
        <f aca="false">IF(AK109=0,"",IF(AT109="FT",IF(BB109&lt;FT_First,0,IF(BB109&lt;FT_Y5,1+INT((BB109-FT_First)/FT_Int1),FT_PreY5+FT_PerYear*INT((BB109-FT_Y5)/12)+FT_AnnivDays+INT(MOD(BB109-FT_Y5,12)/FT_Int2)-IF(EDATE(AL109,FT_Y5)&lt;PolicyEff,FT_AnnivDays-1,0))),IF(AT109="PT",IF(BB109&lt;PT_First,0,1+INT((BB109-PT_First)/PT_Int)),0))+IF(AND(AM109&gt;=2,AO109&lt;=PFYDate),IF(AU109="FT",IF(BC109&lt;FT_First,0,IF(BC109&lt;FT_Y5,1+INT((BC109-FT_First)/FT_Int1),FT_PreY5+FT_PerYear*INT((BC109-FT_Y5)/12)+FT_AnnivDays+INT(MOD(BC109-FT_Y5,12)/FT_Int2)-IF(EDATE(AL109,FT_Y5)&lt;PolicyEff,FT_AnnivDays-1,0))),IF(AU109="PT",IF(BC109&lt;PT_First,0,1+INT((BC109-PT_First)/PT_Int)),0))-IF(AU109="FT",IF(BB109&lt;FT_First,0,IF(BB109&lt;FT_Y5,1+INT((BB109-FT_First)/FT_Int1),FT_PreY5+FT_PerYear*INT((BB109-FT_Y5)/12)+FT_AnnivDays+INT(MOD(BB109-FT_Y5,12)/FT_Int2)-IF(EDATE(AL109,FT_Y5)&lt;PolicyEff,FT_AnnivDays-1,0))),IF(AU109="PT",IF(BB109&lt;PT_First,0,1+INT((BB109-PT_First)/PT_Int)),0)),0)+IF(AND(AM109&gt;=3,AP109&lt;=PFYDate),IF(AV109="FT",IF(BA109&lt;FT_First,0,IF(BA109&lt;FT_Y5,1+INT((BA109-FT_First)/FT_Int1),FT_PreY5+FT_PerYear*INT((BA109-FT_Y5)/12)+FT_AnnivDays+INT(MOD(BA109-FT_Y5,12)/FT_Int2)-IF(EDATE(AL109,FT_Y5)&lt;PolicyEff,FT_AnnivDays-1,0))),IF(AV109="PT",IF(BA109&lt;PT_First,0,1+INT((BA109-PT_First)/PT_Int)),0))-IF(AV109="FT",IF(BC109&lt;FT_First,0,IF(BC109&lt;FT_Y5,1+INT((BC109-FT_First)/FT_Int1),FT_PreY5+FT_PerYear*INT((BC109-FT_Y5)/12)+FT_AnnivDays+INT(MOD(BC109-FT_Y5,12)/FT_Int2)-IF(EDATE(AL109,FT_Y5)&lt;PolicyEff,FT_AnnivDays-1,0))),IF(AV109="PT",IF(BC109&lt;PT_First,0,1+INT((BC109-PT_First)/PT_Int)),0)),0))</f>
        <v/>
      </c>
      <c r="BF109" s="16" t="str">
        <f aca="false">IF(AK109=0,"",IF(AW109="FT",IF(AX109&lt;FT_First,FT_First,IF(AX109&lt;FT_Y5,MIN(FT_Y5,FT_First+FT_Int1*(INT((AX109-FT_First)/FT_Int1)+1)),FT_Y5+12*INT((AX109-FT_Y5)/12)+FT_Int2*(INT(MOD(AX109-FT_Y5,12)/FT_Int2)+1))),IF(AW109="PT",IF(AX109&lt;PT_First,PT_First,PT_First+PT_Int*(INT((AX109-PT_First)/PT_Int)+1)),"")))</f>
        <v/>
      </c>
      <c r="BG109" s="16" t="str">
        <f aca="false">IF(AK109=0,"",IF(NOT(LH_Ready),0,COUNTIFS(INDEX(LH_Data,0,LH_ColFirst),$A109,INDEX(LH_Data,0,LH_ColSur),$B109,INDEX(LH_Data,0,LH_ColCat),BonusCat)))</f>
        <v/>
      </c>
      <c r="BH109" s="16" t="str">
        <f aca="false">IF(AK109=0,"",IF(OR(NOT(LH_Ready),BG109=0),0,SUMPRODUCT(MAX((INDEX(LH_Data,0,LH_ColFirst)=$A109)*(INDEX(LH_Data,0,LH_ColSur)=$B109)*(INDEX(LH_Data,0,LH_ColCat)=BonusCat)*ROW(LH_Data)))))</f>
        <v/>
      </c>
      <c r="BI109" s="16" t="str">
        <f aca="false">IF(AK109=0,"",IF(EOMONTH(AsOfDate,-1)&lt;AL109,-1,12*(YEAR(EOMONTH(AsOfDate,-1))-YEAR(AL109))+MONTH(EOMONTH(AsOfDate,-1))-MONTH(AL109)-IF(DAY(EOMONTH(AsOfDate,-1))&lt;MIN(DAY(AL109),DAY(EOMONTH(EOMONTH(AsOfDate,-1),0))),1,0)))</f>
        <v/>
      </c>
      <c r="BJ109" s="16" t="str">
        <f aca="false">IF(AK109=0,"",IF(OR(AM109&lt;2,AO109&gt;EOMONTH(AsOfDate,-1)),BI109,IF((AO109-1)&lt;AL109,-1,12*(YEAR((AO109-1))-YEAR(AL109))+MONTH((AO109-1))-MONTH(AL109)-IF(DAY((AO109-1))&lt;MIN(DAY(AL109),DAY(EOMONTH((AO109-1),0))),1,0))))</f>
        <v/>
      </c>
      <c r="BK109" s="16" t="str">
        <f aca="false">IF(AK109=0,"",IF(OR(AM109&lt;3,AP109&gt;EOMONTH(AsOfDate,-1)),BI109,IF((AP109-1)&lt;AL109,-1,12*(YEAR((AP109-1))-YEAR(AL109))+MONTH((AP109-1))-MONTH(AL109)-IF(DAY((AP109-1))&lt;MIN(DAY(AL109),DAY(EOMONTH((AP109-1),0))),1,0))))</f>
        <v/>
      </c>
      <c r="BL109" s="16" t="str">
        <f aca="false">IF(AK109=0,"",IF(AT109="FT",IF(BJ109&lt;FT_First,0,IF(BJ109&lt;FT_Y5,1+INT((BJ109-FT_First)/FT_Int1),FT_PreY5+FT_PerYear*INT((BJ109-FT_Y5)/12)+FT_AnnivDays+INT(MOD(BJ109-FT_Y5,12)/FT_Int2)-IF(EDATE(AL109,FT_Y5)&lt;PolicyEff,FT_AnnivDays-1,0))),IF(AT109="PT",IF(BJ109&lt;PT_First,0,1+INT((BJ109-PT_First)/PT_Int)),0))+IF(AND(AM109&gt;=2,AO109&lt;=EOMONTH(AsOfDate,-1)),IF(AU109="FT",IF(BK109&lt;FT_First,0,IF(BK109&lt;FT_Y5,1+INT((BK109-FT_First)/FT_Int1),FT_PreY5+FT_PerYear*INT((BK109-FT_Y5)/12)+FT_AnnivDays+INT(MOD(BK109-FT_Y5,12)/FT_Int2)-IF(EDATE(AL109,FT_Y5)&lt;PolicyEff,FT_AnnivDays-1,0))),IF(AU109="PT",IF(BK109&lt;PT_First,0,1+INT((BK109-PT_First)/PT_Int)),0))-IF(AU109="FT",IF(BJ109&lt;FT_First,0,IF(BJ109&lt;FT_Y5,1+INT((BJ109-FT_First)/FT_Int1),FT_PreY5+FT_PerYear*INT((BJ109-FT_Y5)/12)+FT_AnnivDays+INT(MOD(BJ109-FT_Y5,12)/FT_Int2)-IF(EDATE(AL109,FT_Y5)&lt;PolicyEff,FT_AnnivDays-1,0))),IF(AU109="PT",IF(BJ109&lt;PT_First,0,1+INT((BJ109-PT_First)/PT_Int)),0)),0)+IF(AND(AM109&gt;=3,AP109&lt;=EOMONTH(AsOfDate,-1)),IF(AV109="FT",IF(BI109&lt;FT_First,0,IF(BI109&lt;FT_Y5,1+INT((BI109-FT_First)/FT_Int1),FT_PreY5+FT_PerYear*INT((BI109-FT_Y5)/12)+FT_AnnivDays+INT(MOD(BI109-FT_Y5,12)/FT_Int2)-IF(EDATE(AL109,FT_Y5)&lt;PolicyEff,FT_AnnivDays-1,0))),IF(AV109="PT",IF(BI109&lt;PT_First,0,1+INT((BI109-PT_First)/PT_Int)),0))-IF(AV109="FT",IF(BK109&lt;FT_First,0,IF(BK109&lt;FT_Y5,1+INT((BK109-FT_First)/FT_Int1),FT_PreY5+FT_PerYear*INT((BK109-FT_Y5)/12)+FT_AnnivDays+INT(MOD(BK109-FT_Y5,12)/FT_Int2)-IF(EDATE(AL109,FT_Y5)&lt;PolicyEff,FT_AnnivDays-1,0))),IF(AV109="PT",IF(BK109&lt;PT_First,0,1+INT((BK109-PT_First)/PT_Int)),0)),0))</f>
        <v/>
      </c>
      <c r="BM109" s="16" t="str">
        <f aca="false">IF(AK109=0,"",IF(AW109="FT",IF(AX109&lt;FT_First,"",IF(AX109&lt;FT_Y5,FT_First+FT_Int1*INT((AX109-FT_First)/FT_Int1),FT_Y5+FT_Int2*INT((AX109-FT_Y5)/FT_Int2))),IF(AW109="PT",IF(AX109&lt;PT_First,"",PT_First+PT_Int*INT((AX109-PT_First)/PT_Int)),"")))</f>
        <v/>
      </c>
      <c r="BN109" s="16" t="str">
        <f aca="false">IF(AK109=0,"",IF((SchemeStart-1)&lt;AL109,-1,12*(YEAR((SchemeStart-1))-YEAR(AL109))+MONTH((SchemeStart-1))-MONTH(AL109)-IF(DAY((SchemeStart-1))&lt;MIN(DAY(AL109),DAY(EOMONTH((SchemeStart-1),0))),1,0)))</f>
        <v/>
      </c>
      <c r="BO109" s="16" t="str">
        <f aca="false">IF(AK109=0,"",IF(OR(AM109&lt;2,AO109&gt;(SchemeStart-1)),BN109,IF((AO109-1)&lt;AL109,-1,12*(YEAR((AO109-1))-YEAR(AL109))+MONTH((AO109-1))-MONTH(AL109)-IF(DAY((AO109-1))&lt;MIN(DAY(AL109),DAY(EOMONTH((AO109-1),0))),1,0))))</f>
        <v/>
      </c>
      <c r="BP109" s="16" t="str">
        <f aca="false">IF(AK109=0,"",IF(OR(AM109&lt;3,AP109&gt;(SchemeStart-1)),BN109,IF((AP109-1)&lt;AL109,-1,12*(YEAR((AP109-1))-YEAR(AL109))+MONTH((AP109-1))-MONTH(AL109)-IF(DAY((AP109-1))&lt;MIN(DAY(AL109),DAY(EOMONTH((AP109-1),0))),1,0))))</f>
        <v/>
      </c>
      <c r="BQ109" s="16" t="str">
        <f aca="false">IF(AK109=0,"",IF(AT109="FT",IF(BO109&lt;FT_First,0,IF(BO109&lt;FT_Y5,1+INT((BO109-FT_First)/FT_Int1),FT_PreY5+FT_PerYear*INT((BO109-FT_Y5)/12)+FT_AnnivDays+INT(MOD(BO109-FT_Y5,12)/FT_Int2)-IF(EDATE(AL109,FT_Y5)&lt;PolicyEff,FT_AnnivDays-1,0))),IF(AT109="PT",IF(BO109&lt;PT_First,0,1+INT((BO109-PT_First)/PT_Int)),0))+IF(AND(AM109&gt;=2,AO109&lt;=(SchemeStart-1)),IF(AU109="FT",IF(BP109&lt;FT_First,0,IF(BP109&lt;FT_Y5,1+INT((BP109-FT_First)/FT_Int1),FT_PreY5+FT_PerYear*INT((BP109-FT_Y5)/12)+FT_AnnivDays+INT(MOD(BP109-FT_Y5,12)/FT_Int2)-IF(EDATE(AL109,FT_Y5)&lt;PolicyEff,FT_AnnivDays-1,0))),IF(AU109="PT",IF(BP109&lt;PT_First,0,1+INT((BP109-PT_First)/PT_Int)),0))-IF(AU109="FT",IF(BO109&lt;FT_First,0,IF(BO109&lt;FT_Y5,1+INT((BO109-FT_First)/FT_Int1),FT_PreY5+FT_PerYear*INT((BO109-FT_Y5)/12)+FT_AnnivDays+INT(MOD(BO109-FT_Y5,12)/FT_Int2)-IF(EDATE(AL109,FT_Y5)&lt;PolicyEff,FT_AnnivDays-1,0))),IF(AU109="PT",IF(BO109&lt;PT_First,0,1+INT((BO109-PT_First)/PT_Int)),0)),0)+IF(AND(AM109&gt;=3,AP109&lt;=(SchemeStart-1)),IF(AV109="FT",IF(BN109&lt;FT_First,0,IF(BN109&lt;FT_Y5,1+INT((BN109-FT_First)/FT_Int1),FT_PreY5+FT_PerYear*INT((BN109-FT_Y5)/12)+FT_AnnivDays+INT(MOD(BN109-FT_Y5,12)/FT_Int2)-IF(EDATE(AL109,FT_Y5)&lt;PolicyEff,FT_AnnivDays-1,0))),IF(AV109="PT",IF(BN109&lt;PT_First,0,1+INT((BN109-PT_First)/PT_Int)),0))-IF(AV109="FT",IF(BP109&lt;FT_First,0,IF(BP109&lt;FT_Y5,1+INT((BP109-FT_First)/FT_Int1),FT_PreY5+FT_PerYear*INT((BP109-FT_Y5)/12)+FT_AnnivDays+INT(MOD(BP109-FT_Y5,12)/FT_Int2)-IF(EDATE(AL109,FT_Y5)&lt;PolicyEff,FT_AnnivDays-1,0))),IF(AV109="PT",IF(BP109&lt;PT_First,0,1+INT((BP109-PT_First)/PT_Int)),0)),0))</f>
        <v/>
      </c>
      <c r="BR109" s="0" t="str">
        <f aca="false">IF(LEN($A109&amp;$B109)=0,"",$A109&amp;" "&amp;$B109)</f>
        <v/>
      </c>
    </row>
    <row r="110" customFormat="false" ht="15" hidden="false" customHeight="false" outlineLevel="0" collapsed="false">
      <c r="A110" s="12"/>
      <c r="B110" s="12"/>
      <c r="C110" s="12"/>
      <c r="D110" s="13"/>
      <c r="E110" s="14" t="str">
        <f aca="false">IF(OR(AK110=0,$D110=""),"",DATE(YEAR(AsOfDate)+IF(DATE(YEAR(AsOfDate),MONTH($D110),DAY($D110))&lt;=AsOfDate,1,0),MONTH($D110),DAY($D110)))</f>
        <v/>
      </c>
      <c r="F110" s="13"/>
      <c r="G110" s="13"/>
      <c r="H110" s="13"/>
      <c r="I110" s="13"/>
      <c r="J110" s="13"/>
      <c r="K110" s="14" t="str">
        <f aca="false">IF(AK110=0,"",DATE(YEAR(AsOfDate)+IF(DATE(YEAR(AsOfDate),MONTH(AL110),DAY(AL110))&lt;=AsOfDate,1,0),MONTH(AL110),DAY(AL110)))</f>
        <v/>
      </c>
      <c r="L110" s="15" t="str">
        <f aca="false">IF(AK110=0,"",ROUND((AsOfDate-AL110)/365.25,1))</f>
        <v/>
      </c>
      <c r="M110" s="16" t="str">
        <f aca="false">IF(AK110=0,"",IF(AsOfDate&lt;AL110,"-",DATEDIF(AL110,AsOfDate,"y")&amp;"y "&amp;DATEDIF(AL110,AsOfDate,"ym")&amp;"m "&amp;DATEDIF(AL110,AsOfDate,"md")&amp;"d"))</f>
        <v/>
      </c>
      <c r="N110" s="17" t="str">
        <f aca="false">IF(AK110=0,"",O110*HoursPerDay)</f>
        <v/>
      </c>
      <c r="O110" s="17" t="str">
        <f aca="false">IF(AK110=0,"",MAX(0,BD110-BQ110))</f>
        <v/>
      </c>
      <c r="P110" s="18"/>
      <c r="Q110" s="16" t="str">
        <f aca="false">IF(AK110=0,"",IF(AM110&lt;2,"",AQ110&amp;" to "&amp;AR110&amp;" on "&amp;TEXT(AO110,"dd/mm/yyyy")&amp;IF(AO110&gt;AsOfDate," (future)",IF(AT110=AU110,"",IF(AU110="None"," - STOPPED accruing",IF(AT110="None"," - commencement for Bonus Leave"," - pathway changed"))))&amp;IF(AM110&lt;3,"","; "&amp;AR110&amp;" to "&amp;AS110&amp;" on "&amp;TEXT(AP110,"dd/mm/yyyy")&amp;IF(AP110&gt;AsOfDate," (future)",IF(AU110=AV110,"",IF(AV110="None"," - STOPPED accruing",IF(AU110="None"," - commencement for Bonus Leave"," - pathway changed")))))))</f>
        <v/>
      </c>
      <c r="R110" s="16" t="str">
        <f aca="false">IF(AK110=0,"",IF(AW110="None",IF(O110&gt;0,"No longer accruing","Not eligible - "&amp;IF(AND(OR(ISNUMBER(SEARCH("part",$C110)),UPPER(TRIM($C110))="PT",UPPER(TRIM($C110))="PTE"),Apply2026="No"),"part-time (scheme is full-time only)",IF(AND(OR(ISNUMBER(SEARCH("part",$C110)),UPPER(TRIM($C110))="PT",UPPER(TRIM($C110))="PTE"),$P110&lt;&gt;"",N($P110)&lt;PT_MinHours),"under "&amp;PT_MinHours&amp;" hrs",IF(IF($C110="","",IF(OR(ISNUMBER(SEARCH("full",$C110)),UPPER(TRIM($C110))="FT",UPPER(TRIM($C110))="FTE"),"Full-Time",IF(OR(ISNUMBER(SEARCH("part",$C110)),UPPER(TRIM($C110))="PT",UPPER(TRIM($C110))="PTE"),"Part-Time",IF(OR(ISNUMBER(SEARCH("cas",$C110)),UPPER(TRIM($C110))="CAS"),"Casual","Unknown"))))="Unknown","type not recognised",$C110)))),IF(O110&gt;0,"Yes - Accrual Required","Not yet - from "&amp;TEXT(S110,"dd/mm/yyyy"))))</f>
        <v/>
      </c>
      <c r="S110" s="14" t="str">
        <f aca="false">IF(AK110=0,"",IF(AW110="None","",EDATE(AL110,BF110)))</f>
        <v/>
      </c>
      <c r="T110" s="17" t="str">
        <f aca="false">IF(AK110=0,"",IF(NOT(LH_Ready),"",IF($F110&gt;PFYDate,0,IF(LH_ColPeriod=0,W110-U110+V110,SUMIFS(INDEX(LH_Data,0,LH_ColAcc),INDEX(LH_Data,0,LH_ColFirst),$A110,INDEX(LH_Data,0,LH_ColSur),$B110,INDEX(LH_Data,0,LH_ColCat),BonusCat,INDEX(LH_Data,0,LH_ColPeriod),LH_OpenLabel)*UnitFactor))))</f>
        <v/>
      </c>
      <c r="U110" s="17" t="str">
        <f aca="false">IF(AK110=0,"",IF(NOT(LH_Ready),"",SUMIFS(INDEX(LH_Data,0,LH_ColAcc),INDEX(LH_Data,0,LH_ColFirst),$A110,INDEX(LH_Data,0,LH_ColSur),$B110,INDEX(LH_Data,0,LH_ColCat),BonusCat,INDEX(LH_Data,0,LH_ColStart),"&gt;="&amp;AL110)*UnitFactor))</f>
        <v/>
      </c>
      <c r="V110" s="17" t="str">
        <f aca="false">IF(AK110=0,"",IF(NOT(LH_Ready),"",SUMIFS(INDEX(LH_Data,0,LH_ColTaken),INDEX(LH_Data,0,LH_ColFirst),$A110,INDEX(LH_Data,0,LH_ColSur),$B110,INDEX(LH_Data,0,LH_ColCat),BonusCat,INDEX(LH_Data,0,LH_ColStart),"&gt;="&amp;AL110)*UnitFactor))</f>
        <v/>
      </c>
      <c r="W110" s="17" t="str">
        <f aca="false">IF(AK110=0,"",IF(NOT(LH_Ready),"",IF(BH110=0,0,INDEX(INDEX(LH_Data,0,LH_ColClose),BH110-1)*UnitFactor)))</f>
        <v/>
      </c>
      <c r="X110" s="17" t="str">
        <f aca="false">IF(AK110=0,"",(MAX(0,BD110-BQ110)-MAX(0,BE110-BQ110))*HoursPerDay)</f>
        <v/>
      </c>
      <c r="Y110" s="17" t="str">
        <f aca="false">IF(AK110=0,"",IF(NOT(LH_Ready),"",IF($AI110="Yes",N(AE110)*HoursPerDay-SUMIFS(INDEX(LH_Data,0,LH_ColAcc),INDEX(LH_Data,0,LH_ColFirst),$A110,INDEX(LH_Data,0,LH_ColSur),$B110,INDEX(LH_Data,0,LH_ColCat),BonusCat,INDEX(LH_Data,0,LH_ColStart),"&gt;="&amp;(EOMONTH(AsOfDate,-1)+1),INDEX(LH_Data,0,LH_ColStart),"&lt;="&amp;AsOfDate)*UnitFactor,IF(BG110=0,N110,N110-N(T110)-N(U110)))))</f>
        <v/>
      </c>
      <c r="Z110" s="16" t="str">
        <f aca="false">IF(OR(AK110=0,Y110=""),"",IF(Y110&gt;0,"Yes","No"))</f>
        <v/>
      </c>
      <c r="AA110" s="16" t="str">
        <f aca="false">IF(AK110=0,IF(LEN($A110&amp;$B110)=0,"","FIX INPUT - StartDate missing"),IF(AD110&lt;&gt;"","FIX INPUT - "&amp;AD110,IF(NOT(LH_Ready),"Paste Leave History export (Settings must show YES)",IF(AND($AI110="Yes",Y110&lt;=0),"OK - EH balance accepted to date"&amp;IF(N(AH110)&gt;0," (EH holds "&amp;AH110&amp;" hrs over the scheme)","")&amp;"; next day "&amp;TEXT(S110,"dd mmm yy")&amp;IF(N(AE110)&gt;0," ("&amp;AE110&amp;" day(s) for "&amp;UPPER(TEXT(AsOfDate,"mmm yyyy"))&amp;" already in EH)",""),IF(Y110&gt;0,"ACCRUE "&amp;ROUND(Y110,2)&amp;" hrs ("&amp;ROUND(Y110/HoursPerDay,2)&amp;" days): "&amp;IF(N(AE110)&gt;0,AE110&amp;" day(s) for "&amp;UPPER(TEXT(AsOfDate,"mmm yyyy"))&amp;" (milestone "&amp;UPPER(TEXT(AF110,"dd mmm yy"))&amp;")"&amp;IF(Y110/HoursPerDay&gt;AE110+0.001," + "&amp;ROUND(Y110/HoursPerDay-AE110,2)&amp;" day(s) catch-up from earlier months",""),"all catch-up from earlier months, nothing new this month")&amp;IF(BG110=0,"; no Bonus Leave in EH yet",""),IF(Y110&lt;0,"CHECK - EH accrued "&amp;ROUND(-Y110,2)&amp;" hrs more than policy since commencement",IF(N(W110)&gt;O110*HoursPerDay+0.01,"CHECK - EH balance "&amp;ROUND(W110-O110*HoursPerDay,2)&amp;" hrs more than policy entitlement",IF(O110&gt;0,"OK - nothing to add"&amp;IF(N(AE110)&gt;0," ("&amp;AE110&amp;" day(s) for "&amp;UPPER(TEXT(AsOfDate,"mmm yyyy"))&amp;" already in EH)",""),IF(AW110="None",R110,"Not yet - first day on "&amp;TEXT(S110,"dd/mm/yyyy"))))))))))</f>
        <v/>
      </c>
      <c r="AB110" s="17" t="str">
        <f aca="false">IF(OR(AK110=0,T110=""),"",MAX(0,BE110-BQ110)*HoursPerDay-T110)</f>
        <v/>
      </c>
      <c r="AC110" s="16" t="str">
        <f aca="false">IF(AK110=0,"",BG110)</f>
        <v/>
      </c>
      <c r="AD110" s="16" t="str">
        <f aca="false">IF(AK110=0,"",TRIM(IF(OR(ISTEXT($F110),ISTEXT($H110),ISTEXT($I110),ISTEXT($G110),ISTEXT($J110),ISTEXT($D110)),"A date is typed as text - retype it as dd/mm/yyyy. ","")&amp;IF(IF($C110="","",IF(OR(ISNUMBER(SEARCH("full",$C110)),UPPER(TRIM($C110))="FT",UPPER(TRIM($C110))="FTE"),"Full-Time",IF(OR(ISNUMBER(SEARCH("part",$C110)),UPPER(TRIM($C110))="PT",UPPER(TRIM($C110))="PTE"),"Part-Time",IF(OR(ISNUMBER(SEARCH("cas",$C110)),UPPER(TRIM($C110))="CAS"),"Casual","Unknown"))))="Unknown","EmploymentType not recognised - use Full-Time, Part-Time or Casual. ","")&amp;IF(AND(AM110&gt;=1,IF(AM110&gt;=3,AS110,IF(AM110=2,AR110,AQ110))&lt;&gt;IF($C110="","",IF(OR(ISNUMBER(SEARCH("full",$C110)),UPPER(TRIM($C110))="FT",UPPER(TRIM($C110))="FTE"),"Full-Time",IF(OR(ISNUMBER(SEARCH("part",$C110)),UPPER(TRIM($C110))="PT",UPPER(TRIM($C110))="PTE"),"Part-Time",IF(OR(ISNUMBER(SEARCH("cas",$C110)),UPPER(TRIM($C110))="CAS"),"Casual","Unknown"))))),"EmploymentType does not match latest start date ("&amp;IF(AM110&gt;=3,AS110,IF(AM110=2,AR110,AQ110))&amp;"). ","")&amp;IF(AND(AM110&gt;=1,AN110&lt;&gt;$F110),"Earliest type date should equal StartDate. ","")&amp;IF(AND(AM110&gt;=2,AN110=AO110),"Two types start on the same date. ","")&amp;IF(AND(OR(ISNUMBER(SEARCH("part",$C110)),UPPER(TRIM($C110))="PT",UPPER(TRIM($C110))="PTE"),$P110=""),"Part-time: enter PT Hrs/Week (blank = 24+). ","")))</f>
        <v/>
      </c>
      <c r="AE110" s="17" t="str">
        <f aca="false">IF(AK110=0,"",O110-MAX(0,BL110-BQ110))</f>
        <v/>
      </c>
      <c r="AF110" s="14" t="str">
        <f aca="false">IF(OR(AK110=0,AE110="",N(AE110)=0,BM110=""),"",EDATE(AL110,BM110))</f>
        <v/>
      </c>
      <c r="AG110" s="17" t="str">
        <f aca="false">IF(AK110=0,"",MIN(BD110,BQ110))</f>
        <v/>
      </c>
      <c r="AH110" s="17" t="str">
        <f aca="false">IF(AK110=0,"",IF(NOT(LH_Ready),"",IF(BG110=0,0,MAX(0,ROUND(N(T110)+N(U110)-N110,2)))))</f>
        <v/>
      </c>
      <c r="AI110" s="12"/>
      <c r="AJ110" s="12"/>
      <c r="AK110" s="16" t="n">
        <f aca="false">IF(OR(LEN($A110&amp;$B110)=0,$F110=""),0,1)</f>
        <v>0</v>
      </c>
      <c r="AL110" s="14" t="str">
        <f aca="false">IF(AK110=0,"",IF(PreSchemeCounts="No",MAX(SchemeStart,IF($J110&lt;&gt;"",$J110,IF(OR(CasualCounts="Yes",COUNT($G110:$I110)=0),$F110,IF(Apply2026="No",IF($I110="",$F110,$I110),IF(COUNT($H110:$I110)=0,$F110,MIN($H110:$I110)))))),IF($J110&lt;&gt;"",$J110,IF(OR(CasualCounts="Yes",COUNT($G110:$I110)=0),$F110,IF(Apply2026="No",IF($I110="",$F110,$I110),IF(COUNT($H110:$I110)=0,$F110,MIN($H110:$I110)))))))</f>
        <v/>
      </c>
      <c r="AM110" s="16" t="str">
        <f aca="false">IF(AK110=0,"",COUNT($G110:$I110))</f>
        <v/>
      </c>
      <c r="AN110" s="14" t="str">
        <f aca="false">IF(AK110=0,"",IFERROR(SMALL($G110:$I110,1),""))</f>
        <v/>
      </c>
      <c r="AO110" s="14" t="str">
        <f aca="false">IF(AK110=0,"",IFERROR(SMALL($G110:$I110,2),""))</f>
        <v/>
      </c>
      <c r="AP110" s="14" t="str">
        <f aca="false">IF(AK110=0,"",IFERROR(SMALL($G110:$I110,3),""))</f>
        <v/>
      </c>
      <c r="AQ110" s="16" t="str">
        <f aca="false">IF(AK110=0,"",IF(AN110="","",IF(AN110=$H110,"Part-Time",IF(AN110=$I110,"Full-Time","Casual"))))</f>
        <v/>
      </c>
      <c r="AR110" s="16" t="str">
        <f aca="false">IF(AK110=0,"",IF(AO110="","",IF(AO110=$H110,"Part-Time",IF(AO110=$I110,"Full-Time","Casual"))))</f>
        <v/>
      </c>
      <c r="AS110" s="16" t="str">
        <f aca="false">IF(AK110=0,"",IF(AP110="","",IF(AP110=$H110,"Part-Time",IF(AP110=$I110,"Full-Time","Casual"))))</f>
        <v/>
      </c>
      <c r="AT110" s="16" t="str">
        <f aca="false">IF(AK110=0,"",IF(AM110=0,IF(OR(ISNUMBER(SEARCH("full",$C110)),UPPER(TRIM($C110))="FT",UPPER(TRIM($C110))="FTE"),"FT",IF(AND(OR(ISNUMBER(SEARCH("part",$C110)),UPPER(TRIM($C110))="PT",UPPER(TRIM($C110))="PTE"),Apply2026="Yes",OR($P110="",N($P110)&gt;=PT_MinHours)),"PT","None")),IF(OR(ISNUMBER(SEARCH("full",AQ110)),UPPER(TRIM(AQ110))="FT",UPPER(TRIM(AQ110))="FTE"),"FT",IF(AND(OR(ISNUMBER(SEARCH("part",AQ110)),UPPER(TRIM(AQ110))="PT",UPPER(TRIM(AQ110))="PTE"),Apply2026="Yes",OR($P110="",N($P110)&gt;=PT_MinHours)),"PT","None"))))</f>
        <v/>
      </c>
      <c r="AU110" s="16" t="str">
        <f aca="false">IF(AK110=0,"",IF(AM110&lt;2,"",IF(OR(ISNUMBER(SEARCH("full",AR110)),UPPER(TRIM(AR110))="FT",UPPER(TRIM(AR110))="FTE"),"FT",IF(AND(OR(ISNUMBER(SEARCH("part",AR110)),UPPER(TRIM(AR110))="PT",UPPER(TRIM(AR110))="PTE"),Apply2026="Yes",OR($P110="",N($P110)&gt;=PT_MinHours)),"PT","None"))))</f>
        <v/>
      </c>
      <c r="AV110" s="16" t="str">
        <f aca="false">IF(AK110=0,"",IF(AM110&lt;3,"",IF(OR(ISNUMBER(SEARCH("full",AS110)),UPPER(TRIM(AS110))="FT",UPPER(TRIM(AS110))="FTE"),"FT",IF(AND(OR(ISNUMBER(SEARCH("part",AS110)),UPPER(TRIM(AS110))="PT",UPPER(TRIM(AS110))="PTE"),Apply2026="Yes",OR($P110="",N($P110)&gt;=PT_MinHours)),"PT","None"))))</f>
        <v/>
      </c>
      <c r="AW110" s="16" t="str">
        <f aca="false">IF(AK110=0,"",IF(AND(AM110&gt;=3,AP110&lt;=AsOfDate),AV110,IF(AND(AM110&gt;=2,AO110&lt;=AsOfDate),AU110,AT110)))</f>
        <v/>
      </c>
      <c r="AX110" s="16" t="str">
        <f aca="false">IF(AK110=0,"",IF(AsOfDate&lt;AL110,-1,12*(YEAR(AsOfDate)-YEAR(AL110))+MONTH(AsOfDate)-MONTH(AL110)-IF(DAY(AsOfDate)&lt;MIN(DAY(AL110),DAY(EOMONTH(AsOfDate,0))),1,0)))</f>
        <v/>
      </c>
      <c r="AY110" s="16" t="str">
        <f aca="false">IF(AK110=0,"",IF(OR(AM110&lt;2,AO110&gt;AsOfDate),AX110,IF((AO110-1)&lt;AL110,-1,12*(YEAR((AO110-1))-YEAR(AL110))+MONTH((AO110-1))-MONTH(AL110)-IF(DAY((AO110-1))&lt;MIN(DAY(AL110),DAY(EOMONTH((AO110-1),0))),1,0))))</f>
        <v/>
      </c>
      <c r="AZ110" s="16" t="str">
        <f aca="false">IF(AK110=0,"",IF(OR(AM110&lt;3,AP110&gt;AsOfDate),AX110,IF((AP110-1)&lt;AL110,-1,12*(YEAR((AP110-1))-YEAR(AL110))+MONTH((AP110-1))-MONTH(AL110)-IF(DAY((AP110-1))&lt;MIN(DAY(AL110),DAY(EOMONTH((AP110-1),0))),1,0))))</f>
        <v/>
      </c>
      <c r="BA110" s="16" t="str">
        <f aca="false">IF(AK110=0,"",IF(PFYDate&lt;AL110,-1,12*(YEAR(PFYDate)-YEAR(AL110))+MONTH(PFYDate)-MONTH(AL110)-IF(DAY(PFYDate)&lt;MIN(DAY(AL110),DAY(EOMONTH(PFYDate,0))),1,0)))</f>
        <v/>
      </c>
      <c r="BB110" s="16" t="str">
        <f aca="false">IF(AK110=0,"",IF(OR(AM110&lt;2,AO110&gt;PFYDate),BA110,IF((AO110-1)&lt;AL110,-1,12*(YEAR((AO110-1))-YEAR(AL110))+MONTH((AO110-1))-MONTH(AL110)-IF(DAY((AO110-1))&lt;MIN(DAY(AL110),DAY(EOMONTH((AO110-1),0))),1,0))))</f>
        <v/>
      </c>
      <c r="BC110" s="16" t="str">
        <f aca="false">IF(AK110=0,"",IF(OR(AM110&lt;3,AP110&gt;PFYDate),BA110,IF((AP110-1)&lt;AL110,-1,12*(YEAR((AP110-1))-YEAR(AL110))+MONTH((AP110-1))-MONTH(AL110)-IF(DAY((AP110-1))&lt;MIN(DAY(AL110),DAY(EOMONTH((AP110-1),0))),1,0))))</f>
        <v/>
      </c>
      <c r="BD110" s="16" t="str">
        <f aca="false">IF(AK110=0,"",IF(AT110="FT",IF(AY110&lt;FT_First,0,IF(AY110&lt;FT_Y5,1+INT((AY110-FT_First)/FT_Int1),FT_PreY5+FT_PerYear*INT((AY110-FT_Y5)/12)+FT_AnnivDays+INT(MOD(AY110-FT_Y5,12)/FT_Int2)-IF(EDATE(AL110,FT_Y5)&lt;PolicyEff,FT_AnnivDays-1,0))),IF(AT110="PT",IF(AY110&lt;PT_First,0,1+INT((AY110-PT_First)/PT_Int)),0))+IF(AND(AM110&gt;=2,AO110&lt;=AsOfDate),IF(AU110="FT",IF(AZ110&lt;FT_First,0,IF(AZ110&lt;FT_Y5,1+INT((AZ110-FT_First)/FT_Int1),FT_PreY5+FT_PerYear*INT((AZ110-FT_Y5)/12)+FT_AnnivDays+INT(MOD(AZ110-FT_Y5,12)/FT_Int2)-IF(EDATE(AL110,FT_Y5)&lt;PolicyEff,FT_AnnivDays-1,0))),IF(AU110="PT",IF(AZ110&lt;PT_First,0,1+INT((AZ110-PT_First)/PT_Int)),0))-IF(AU110="FT",IF(AY110&lt;FT_First,0,IF(AY110&lt;FT_Y5,1+INT((AY110-FT_First)/FT_Int1),FT_PreY5+FT_PerYear*INT((AY110-FT_Y5)/12)+FT_AnnivDays+INT(MOD(AY110-FT_Y5,12)/FT_Int2)-IF(EDATE(AL110,FT_Y5)&lt;PolicyEff,FT_AnnivDays-1,0))),IF(AU110="PT",IF(AY110&lt;PT_First,0,1+INT((AY110-PT_First)/PT_Int)),0)),0)+IF(AND(AM110&gt;=3,AP110&lt;=AsOfDate),IF(AV110="FT",IF(AX110&lt;FT_First,0,IF(AX110&lt;FT_Y5,1+INT((AX110-FT_First)/FT_Int1),FT_PreY5+FT_PerYear*INT((AX110-FT_Y5)/12)+FT_AnnivDays+INT(MOD(AX110-FT_Y5,12)/FT_Int2)-IF(EDATE(AL110,FT_Y5)&lt;PolicyEff,FT_AnnivDays-1,0))),IF(AV110="PT",IF(AX110&lt;PT_First,0,1+INT((AX110-PT_First)/PT_Int)),0))-IF(AV110="FT",IF(AZ110&lt;FT_First,0,IF(AZ110&lt;FT_Y5,1+INT((AZ110-FT_First)/FT_Int1),FT_PreY5+FT_PerYear*INT((AZ110-FT_Y5)/12)+FT_AnnivDays+INT(MOD(AZ110-FT_Y5,12)/FT_Int2)-IF(EDATE(AL110,FT_Y5)&lt;PolicyEff,FT_AnnivDays-1,0))),IF(AV110="PT",IF(AZ110&lt;PT_First,0,1+INT((AZ110-PT_First)/PT_Int)),0)),0))</f>
        <v/>
      </c>
      <c r="BE110" s="16" t="str">
        <f aca="false">IF(AK110=0,"",IF(AT110="FT",IF(BB110&lt;FT_First,0,IF(BB110&lt;FT_Y5,1+INT((BB110-FT_First)/FT_Int1),FT_PreY5+FT_PerYear*INT((BB110-FT_Y5)/12)+FT_AnnivDays+INT(MOD(BB110-FT_Y5,12)/FT_Int2)-IF(EDATE(AL110,FT_Y5)&lt;PolicyEff,FT_AnnivDays-1,0))),IF(AT110="PT",IF(BB110&lt;PT_First,0,1+INT((BB110-PT_First)/PT_Int)),0))+IF(AND(AM110&gt;=2,AO110&lt;=PFYDate),IF(AU110="FT",IF(BC110&lt;FT_First,0,IF(BC110&lt;FT_Y5,1+INT((BC110-FT_First)/FT_Int1),FT_PreY5+FT_PerYear*INT((BC110-FT_Y5)/12)+FT_AnnivDays+INT(MOD(BC110-FT_Y5,12)/FT_Int2)-IF(EDATE(AL110,FT_Y5)&lt;PolicyEff,FT_AnnivDays-1,0))),IF(AU110="PT",IF(BC110&lt;PT_First,0,1+INT((BC110-PT_First)/PT_Int)),0))-IF(AU110="FT",IF(BB110&lt;FT_First,0,IF(BB110&lt;FT_Y5,1+INT((BB110-FT_First)/FT_Int1),FT_PreY5+FT_PerYear*INT((BB110-FT_Y5)/12)+FT_AnnivDays+INT(MOD(BB110-FT_Y5,12)/FT_Int2)-IF(EDATE(AL110,FT_Y5)&lt;PolicyEff,FT_AnnivDays-1,0))),IF(AU110="PT",IF(BB110&lt;PT_First,0,1+INT((BB110-PT_First)/PT_Int)),0)),0)+IF(AND(AM110&gt;=3,AP110&lt;=PFYDate),IF(AV110="FT",IF(BA110&lt;FT_First,0,IF(BA110&lt;FT_Y5,1+INT((BA110-FT_First)/FT_Int1),FT_PreY5+FT_PerYear*INT((BA110-FT_Y5)/12)+FT_AnnivDays+INT(MOD(BA110-FT_Y5,12)/FT_Int2)-IF(EDATE(AL110,FT_Y5)&lt;PolicyEff,FT_AnnivDays-1,0))),IF(AV110="PT",IF(BA110&lt;PT_First,0,1+INT((BA110-PT_First)/PT_Int)),0))-IF(AV110="FT",IF(BC110&lt;FT_First,0,IF(BC110&lt;FT_Y5,1+INT((BC110-FT_First)/FT_Int1),FT_PreY5+FT_PerYear*INT((BC110-FT_Y5)/12)+FT_AnnivDays+INT(MOD(BC110-FT_Y5,12)/FT_Int2)-IF(EDATE(AL110,FT_Y5)&lt;PolicyEff,FT_AnnivDays-1,0))),IF(AV110="PT",IF(BC110&lt;PT_First,0,1+INT((BC110-PT_First)/PT_Int)),0)),0))</f>
        <v/>
      </c>
      <c r="BF110" s="16" t="str">
        <f aca="false">IF(AK110=0,"",IF(AW110="FT",IF(AX110&lt;FT_First,FT_First,IF(AX110&lt;FT_Y5,MIN(FT_Y5,FT_First+FT_Int1*(INT((AX110-FT_First)/FT_Int1)+1)),FT_Y5+12*INT((AX110-FT_Y5)/12)+FT_Int2*(INT(MOD(AX110-FT_Y5,12)/FT_Int2)+1))),IF(AW110="PT",IF(AX110&lt;PT_First,PT_First,PT_First+PT_Int*(INT((AX110-PT_First)/PT_Int)+1)),"")))</f>
        <v/>
      </c>
      <c r="BG110" s="16" t="str">
        <f aca="false">IF(AK110=0,"",IF(NOT(LH_Ready),0,COUNTIFS(INDEX(LH_Data,0,LH_ColFirst),$A110,INDEX(LH_Data,0,LH_ColSur),$B110,INDEX(LH_Data,0,LH_ColCat),BonusCat)))</f>
        <v/>
      </c>
      <c r="BH110" s="16" t="str">
        <f aca="false">IF(AK110=0,"",IF(OR(NOT(LH_Ready),BG110=0),0,SUMPRODUCT(MAX((INDEX(LH_Data,0,LH_ColFirst)=$A110)*(INDEX(LH_Data,0,LH_ColSur)=$B110)*(INDEX(LH_Data,0,LH_ColCat)=BonusCat)*ROW(LH_Data)))))</f>
        <v/>
      </c>
      <c r="BI110" s="16" t="str">
        <f aca="false">IF(AK110=0,"",IF(EOMONTH(AsOfDate,-1)&lt;AL110,-1,12*(YEAR(EOMONTH(AsOfDate,-1))-YEAR(AL110))+MONTH(EOMONTH(AsOfDate,-1))-MONTH(AL110)-IF(DAY(EOMONTH(AsOfDate,-1))&lt;MIN(DAY(AL110),DAY(EOMONTH(EOMONTH(AsOfDate,-1),0))),1,0)))</f>
        <v/>
      </c>
      <c r="BJ110" s="16" t="str">
        <f aca="false">IF(AK110=0,"",IF(OR(AM110&lt;2,AO110&gt;EOMONTH(AsOfDate,-1)),BI110,IF((AO110-1)&lt;AL110,-1,12*(YEAR((AO110-1))-YEAR(AL110))+MONTH((AO110-1))-MONTH(AL110)-IF(DAY((AO110-1))&lt;MIN(DAY(AL110),DAY(EOMONTH((AO110-1),0))),1,0))))</f>
        <v/>
      </c>
      <c r="BK110" s="16" t="str">
        <f aca="false">IF(AK110=0,"",IF(OR(AM110&lt;3,AP110&gt;EOMONTH(AsOfDate,-1)),BI110,IF((AP110-1)&lt;AL110,-1,12*(YEAR((AP110-1))-YEAR(AL110))+MONTH((AP110-1))-MONTH(AL110)-IF(DAY((AP110-1))&lt;MIN(DAY(AL110),DAY(EOMONTH((AP110-1),0))),1,0))))</f>
        <v/>
      </c>
      <c r="BL110" s="16" t="str">
        <f aca="false">IF(AK110=0,"",IF(AT110="FT",IF(BJ110&lt;FT_First,0,IF(BJ110&lt;FT_Y5,1+INT((BJ110-FT_First)/FT_Int1),FT_PreY5+FT_PerYear*INT((BJ110-FT_Y5)/12)+FT_AnnivDays+INT(MOD(BJ110-FT_Y5,12)/FT_Int2)-IF(EDATE(AL110,FT_Y5)&lt;PolicyEff,FT_AnnivDays-1,0))),IF(AT110="PT",IF(BJ110&lt;PT_First,0,1+INT((BJ110-PT_First)/PT_Int)),0))+IF(AND(AM110&gt;=2,AO110&lt;=EOMONTH(AsOfDate,-1)),IF(AU110="FT",IF(BK110&lt;FT_First,0,IF(BK110&lt;FT_Y5,1+INT((BK110-FT_First)/FT_Int1),FT_PreY5+FT_PerYear*INT((BK110-FT_Y5)/12)+FT_AnnivDays+INT(MOD(BK110-FT_Y5,12)/FT_Int2)-IF(EDATE(AL110,FT_Y5)&lt;PolicyEff,FT_AnnivDays-1,0))),IF(AU110="PT",IF(BK110&lt;PT_First,0,1+INT((BK110-PT_First)/PT_Int)),0))-IF(AU110="FT",IF(BJ110&lt;FT_First,0,IF(BJ110&lt;FT_Y5,1+INT((BJ110-FT_First)/FT_Int1),FT_PreY5+FT_PerYear*INT((BJ110-FT_Y5)/12)+FT_AnnivDays+INT(MOD(BJ110-FT_Y5,12)/FT_Int2)-IF(EDATE(AL110,FT_Y5)&lt;PolicyEff,FT_AnnivDays-1,0))),IF(AU110="PT",IF(BJ110&lt;PT_First,0,1+INT((BJ110-PT_First)/PT_Int)),0)),0)+IF(AND(AM110&gt;=3,AP110&lt;=EOMONTH(AsOfDate,-1)),IF(AV110="FT",IF(BI110&lt;FT_First,0,IF(BI110&lt;FT_Y5,1+INT((BI110-FT_First)/FT_Int1),FT_PreY5+FT_PerYear*INT((BI110-FT_Y5)/12)+FT_AnnivDays+INT(MOD(BI110-FT_Y5,12)/FT_Int2)-IF(EDATE(AL110,FT_Y5)&lt;PolicyEff,FT_AnnivDays-1,0))),IF(AV110="PT",IF(BI110&lt;PT_First,0,1+INT((BI110-PT_First)/PT_Int)),0))-IF(AV110="FT",IF(BK110&lt;FT_First,0,IF(BK110&lt;FT_Y5,1+INT((BK110-FT_First)/FT_Int1),FT_PreY5+FT_PerYear*INT((BK110-FT_Y5)/12)+FT_AnnivDays+INT(MOD(BK110-FT_Y5,12)/FT_Int2)-IF(EDATE(AL110,FT_Y5)&lt;PolicyEff,FT_AnnivDays-1,0))),IF(AV110="PT",IF(BK110&lt;PT_First,0,1+INT((BK110-PT_First)/PT_Int)),0)),0))</f>
        <v/>
      </c>
      <c r="BM110" s="16" t="str">
        <f aca="false">IF(AK110=0,"",IF(AW110="FT",IF(AX110&lt;FT_First,"",IF(AX110&lt;FT_Y5,FT_First+FT_Int1*INT((AX110-FT_First)/FT_Int1),FT_Y5+FT_Int2*INT((AX110-FT_Y5)/FT_Int2))),IF(AW110="PT",IF(AX110&lt;PT_First,"",PT_First+PT_Int*INT((AX110-PT_First)/PT_Int)),"")))</f>
        <v/>
      </c>
      <c r="BN110" s="16" t="str">
        <f aca="false">IF(AK110=0,"",IF((SchemeStart-1)&lt;AL110,-1,12*(YEAR((SchemeStart-1))-YEAR(AL110))+MONTH((SchemeStart-1))-MONTH(AL110)-IF(DAY((SchemeStart-1))&lt;MIN(DAY(AL110),DAY(EOMONTH((SchemeStart-1),0))),1,0)))</f>
        <v/>
      </c>
      <c r="BO110" s="16" t="str">
        <f aca="false">IF(AK110=0,"",IF(OR(AM110&lt;2,AO110&gt;(SchemeStart-1)),BN110,IF((AO110-1)&lt;AL110,-1,12*(YEAR((AO110-1))-YEAR(AL110))+MONTH((AO110-1))-MONTH(AL110)-IF(DAY((AO110-1))&lt;MIN(DAY(AL110),DAY(EOMONTH((AO110-1),0))),1,0))))</f>
        <v/>
      </c>
      <c r="BP110" s="16" t="str">
        <f aca="false">IF(AK110=0,"",IF(OR(AM110&lt;3,AP110&gt;(SchemeStart-1)),BN110,IF((AP110-1)&lt;AL110,-1,12*(YEAR((AP110-1))-YEAR(AL110))+MONTH((AP110-1))-MONTH(AL110)-IF(DAY((AP110-1))&lt;MIN(DAY(AL110),DAY(EOMONTH((AP110-1),0))),1,0))))</f>
        <v/>
      </c>
      <c r="BQ110" s="16" t="str">
        <f aca="false">IF(AK110=0,"",IF(AT110="FT",IF(BO110&lt;FT_First,0,IF(BO110&lt;FT_Y5,1+INT((BO110-FT_First)/FT_Int1),FT_PreY5+FT_PerYear*INT((BO110-FT_Y5)/12)+FT_AnnivDays+INT(MOD(BO110-FT_Y5,12)/FT_Int2)-IF(EDATE(AL110,FT_Y5)&lt;PolicyEff,FT_AnnivDays-1,0))),IF(AT110="PT",IF(BO110&lt;PT_First,0,1+INT((BO110-PT_First)/PT_Int)),0))+IF(AND(AM110&gt;=2,AO110&lt;=(SchemeStart-1)),IF(AU110="FT",IF(BP110&lt;FT_First,0,IF(BP110&lt;FT_Y5,1+INT((BP110-FT_First)/FT_Int1),FT_PreY5+FT_PerYear*INT((BP110-FT_Y5)/12)+FT_AnnivDays+INT(MOD(BP110-FT_Y5,12)/FT_Int2)-IF(EDATE(AL110,FT_Y5)&lt;PolicyEff,FT_AnnivDays-1,0))),IF(AU110="PT",IF(BP110&lt;PT_First,0,1+INT((BP110-PT_First)/PT_Int)),0))-IF(AU110="FT",IF(BO110&lt;FT_First,0,IF(BO110&lt;FT_Y5,1+INT((BO110-FT_First)/FT_Int1),FT_PreY5+FT_PerYear*INT((BO110-FT_Y5)/12)+FT_AnnivDays+INT(MOD(BO110-FT_Y5,12)/FT_Int2)-IF(EDATE(AL110,FT_Y5)&lt;PolicyEff,FT_AnnivDays-1,0))),IF(AU110="PT",IF(BO110&lt;PT_First,0,1+INT((BO110-PT_First)/PT_Int)),0)),0)+IF(AND(AM110&gt;=3,AP110&lt;=(SchemeStart-1)),IF(AV110="FT",IF(BN110&lt;FT_First,0,IF(BN110&lt;FT_Y5,1+INT((BN110-FT_First)/FT_Int1),FT_PreY5+FT_PerYear*INT((BN110-FT_Y5)/12)+FT_AnnivDays+INT(MOD(BN110-FT_Y5,12)/FT_Int2)-IF(EDATE(AL110,FT_Y5)&lt;PolicyEff,FT_AnnivDays-1,0))),IF(AV110="PT",IF(BN110&lt;PT_First,0,1+INT((BN110-PT_First)/PT_Int)),0))-IF(AV110="FT",IF(BP110&lt;FT_First,0,IF(BP110&lt;FT_Y5,1+INT((BP110-FT_First)/FT_Int1),FT_PreY5+FT_PerYear*INT((BP110-FT_Y5)/12)+FT_AnnivDays+INT(MOD(BP110-FT_Y5,12)/FT_Int2)-IF(EDATE(AL110,FT_Y5)&lt;PolicyEff,FT_AnnivDays-1,0))),IF(AV110="PT",IF(BP110&lt;PT_First,0,1+INT((BP110-PT_First)/PT_Int)),0)),0))</f>
        <v/>
      </c>
      <c r="BR110" s="0" t="str">
        <f aca="false">IF(LEN($A110&amp;$B110)=0,"",$A110&amp;" "&amp;$B110)</f>
        <v/>
      </c>
    </row>
    <row r="111" customFormat="false" ht="15" hidden="false" customHeight="false" outlineLevel="0" collapsed="false">
      <c r="A111" s="12"/>
      <c r="B111" s="12"/>
      <c r="C111" s="12"/>
      <c r="D111" s="13"/>
      <c r="E111" s="14" t="str">
        <f aca="false">IF(OR(AK111=0,$D111=""),"",DATE(YEAR(AsOfDate)+IF(DATE(YEAR(AsOfDate),MONTH($D111),DAY($D111))&lt;=AsOfDate,1,0),MONTH($D111),DAY($D111)))</f>
        <v/>
      </c>
      <c r="F111" s="13"/>
      <c r="G111" s="13"/>
      <c r="H111" s="13"/>
      <c r="I111" s="13"/>
      <c r="J111" s="13"/>
      <c r="K111" s="14" t="str">
        <f aca="false">IF(AK111=0,"",DATE(YEAR(AsOfDate)+IF(DATE(YEAR(AsOfDate),MONTH(AL111),DAY(AL111))&lt;=AsOfDate,1,0),MONTH(AL111),DAY(AL111)))</f>
        <v/>
      </c>
      <c r="L111" s="15" t="str">
        <f aca="false">IF(AK111=0,"",ROUND((AsOfDate-AL111)/365.25,1))</f>
        <v/>
      </c>
      <c r="M111" s="16" t="str">
        <f aca="false">IF(AK111=0,"",IF(AsOfDate&lt;AL111,"-",DATEDIF(AL111,AsOfDate,"y")&amp;"y "&amp;DATEDIF(AL111,AsOfDate,"ym")&amp;"m "&amp;DATEDIF(AL111,AsOfDate,"md")&amp;"d"))</f>
        <v/>
      </c>
      <c r="N111" s="17" t="str">
        <f aca="false">IF(AK111=0,"",O111*HoursPerDay)</f>
        <v/>
      </c>
      <c r="O111" s="17" t="str">
        <f aca="false">IF(AK111=0,"",MAX(0,BD111-BQ111))</f>
        <v/>
      </c>
      <c r="P111" s="18"/>
      <c r="Q111" s="16" t="str">
        <f aca="false">IF(AK111=0,"",IF(AM111&lt;2,"",AQ111&amp;" to "&amp;AR111&amp;" on "&amp;TEXT(AO111,"dd/mm/yyyy")&amp;IF(AO111&gt;AsOfDate," (future)",IF(AT111=AU111,"",IF(AU111="None"," - STOPPED accruing",IF(AT111="None"," - commencement for Bonus Leave"," - pathway changed"))))&amp;IF(AM111&lt;3,"","; "&amp;AR111&amp;" to "&amp;AS111&amp;" on "&amp;TEXT(AP111,"dd/mm/yyyy")&amp;IF(AP111&gt;AsOfDate," (future)",IF(AU111=AV111,"",IF(AV111="None"," - STOPPED accruing",IF(AU111="None"," - commencement for Bonus Leave"," - pathway changed")))))))</f>
        <v/>
      </c>
      <c r="R111" s="16" t="str">
        <f aca="false">IF(AK111=0,"",IF(AW111="None",IF(O111&gt;0,"No longer accruing","Not eligible - "&amp;IF(AND(OR(ISNUMBER(SEARCH("part",$C111)),UPPER(TRIM($C111))="PT",UPPER(TRIM($C111))="PTE"),Apply2026="No"),"part-time (scheme is full-time only)",IF(AND(OR(ISNUMBER(SEARCH("part",$C111)),UPPER(TRIM($C111))="PT",UPPER(TRIM($C111))="PTE"),$P111&lt;&gt;"",N($P111)&lt;PT_MinHours),"under "&amp;PT_MinHours&amp;" hrs",IF(IF($C111="","",IF(OR(ISNUMBER(SEARCH("full",$C111)),UPPER(TRIM($C111))="FT",UPPER(TRIM($C111))="FTE"),"Full-Time",IF(OR(ISNUMBER(SEARCH("part",$C111)),UPPER(TRIM($C111))="PT",UPPER(TRIM($C111))="PTE"),"Part-Time",IF(OR(ISNUMBER(SEARCH("cas",$C111)),UPPER(TRIM($C111))="CAS"),"Casual","Unknown"))))="Unknown","type not recognised",$C111)))),IF(O111&gt;0,"Yes - Accrual Required","Not yet - from "&amp;TEXT(S111,"dd/mm/yyyy"))))</f>
        <v/>
      </c>
      <c r="S111" s="14" t="str">
        <f aca="false">IF(AK111=0,"",IF(AW111="None","",EDATE(AL111,BF111)))</f>
        <v/>
      </c>
      <c r="T111" s="17" t="str">
        <f aca="false">IF(AK111=0,"",IF(NOT(LH_Ready),"",IF($F111&gt;PFYDate,0,IF(LH_ColPeriod=0,W111-U111+V111,SUMIFS(INDEX(LH_Data,0,LH_ColAcc),INDEX(LH_Data,0,LH_ColFirst),$A111,INDEX(LH_Data,0,LH_ColSur),$B111,INDEX(LH_Data,0,LH_ColCat),BonusCat,INDEX(LH_Data,0,LH_ColPeriod),LH_OpenLabel)*UnitFactor))))</f>
        <v/>
      </c>
      <c r="U111" s="17" t="str">
        <f aca="false">IF(AK111=0,"",IF(NOT(LH_Ready),"",SUMIFS(INDEX(LH_Data,0,LH_ColAcc),INDEX(LH_Data,0,LH_ColFirst),$A111,INDEX(LH_Data,0,LH_ColSur),$B111,INDEX(LH_Data,0,LH_ColCat),BonusCat,INDEX(LH_Data,0,LH_ColStart),"&gt;="&amp;AL111)*UnitFactor))</f>
        <v/>
      </c>
      <c r="V111" s="17" t="str">
        <f aca="false">IF(AK111=0,"",IF(NOT(LH_Ready),"",SUMIFS(INDEX(LH_Data,0,LH_ColTaken),INDEX(LH_Data,0,LH_ColFirst),$A111,INDEX(LH_Data,0,LH_ColSur),$B111,INDEX(LH_Data,0,LH_ColCat),BonusCat,INDEX(LH_Data,0,LH_ColStart),"&gt;="&amp;AL111)*UnitFactor))</f>
        <v/>
      </c>
      <c r="W111" s="17" t="str">
        <f aca="false">IF(AK111=0,"",IF(NOT(LH_Ready),"",IF(BH111=0,0,INDEX(INDEX(LH_Data,0,LH_ColClose),BH111-1)*UnitFactor)))</f>
        <v/>
      </c>
      <c r="X111" s="17" t="str">
        <f aca="false">IF(AK111=0,"",(MAX(0,BD111-BQ111)-MAX(0,BE111-BQ111))*HoursPerDay)</f>
        <v/>
      </c>
      <c r="Y111" s="17" t="str">
        <f aca="false">IF(AK111=0,"",IF(NOT(LH_Ready),"",IF($AI111="Yes",N(AE111)*HoursPerDay-SUMIFS(INDEX(LH_Data,0,LH_ColAcc),INDEX(LH_Data,0,LH_ColFirst),$A111,INDEX(LH_Data,0,LH_ColSur),$B111,INDEX(LH_Data,0,LH_ColCat),BonusCat,INDEX(LH_Data,0,LH_ColStart),"&gt;="&amp;(EOMONTH(AsOfDate,-1)+1),INDEX(LH_Data,0,LH_ColStart),"&lt;="&amp;AsOfDate)*UnitFactor,IF(BG111=0,N111,N111-N(T111)-N(U111)))))</f>
        <v/>
      </c>
      <c r="Z111" s="16" t="str">
        <f aca="false">IF(OR(AK111=0,Y111=""),"",IF(Y111&gt;0,"Yes","No"))</f>
        <v/>
      </c>
      <c r="AA111" s="16" t="str">
        <f aca="false">IF(AK111=0,IF(LEN($A111&amp;$B111)=0,"","FIX INPUT - StartDate missing"),IF(AD111&lt;&gt;"","FIX INPUT - "&amp;AD111,IF(NOT(LH_Ready),"Paste Leave History export (Settings must show YES)",IF(AND($AI111="Yes",Y111&lt;=0),"OK - EH balance accepted to date"&amp;IF(N(AH111)&gt;0," (EH holds "&amp;AH111&amp;" hrs over the scheme)","")&amp;"; next day "&amp;TEXT(S111,"dd mmm yy")&amp;IF(N(AE111)&gt;0," ("&amp;AE111&amp;" day(s) for "&amp;UPPER(TEXT(AsOfDate,"mmm yyyy"))&amp;" already in EH)",""),IF(Y111&gt;0,"ACCRUE "&amp;ROUND(Y111,2)&amp;" hrs ("&amp;ROUND(Y111/HoursPerDay,2)&amp;" days): "&amp;IF(N(AE111)&gt;0,AE111&amp;" day(s) for "&amp;UPPER(TEXT(AsOfDate,"mmm yyyy"))&amp;" (milestone "&amp;UPPER(TEXT(AF111,"dd mmm yy"))&amp;")"&amp;IF(Y111/HoursPerDay&gt;AE111+0.001," + "&amp;ROUND(Y111/HoursPerDay-AE111,2)&amp;" day(s) catch-up from earlier months",""),"all catch-up from earlier months, nothing new this month")&amp;IF(BG111=0,"; no Bonus Leave in EH yet",""),IF(Y111&lt;0,"CHECK - EH accrued "&amp;ROUND(-Y111,2)&amp;" hrs more than policy since commencement",IF(N(W111)&gt;O111*HoursPerDay+0.01,"CHECK - EH balance "&amp;ROUND(W111-O111*HoursPerDay,2)&amp;" hrs more than policy entitlement",IF(O111&gt;0,"OK - nothing to add"&amp;IF(N(AE111)&gt;0," ("&amp;AE111&amp;" day(s) for "&amp;UPPER(TEXT(AsOfDate,"mmm yyyy"))&amp;" already in EH)",""),IF(AW111="None",R111,"Not yet - first day on "&amp;TEXT(S111,"dd/mm/yyyy"))))))))))</f>
        <v/>
      </c>
      <c r="AB111" s="17" t="str">
        <f aca="false">IF(OR(AK111=0,T111=""),"",MAX(0,BE111-BQ111)*HoursPerDay-T111)</f>
        <v/>
      </c>
      <c r="AC111" s="16" t="str">
        <f aca="false">IF(AK111=0,"",BG111)</f>
        <v/>
      </c>
      <c r="AD111" s="16" t="str">
        <f aca="false">IF(AK111=0,"",TRIM(IF(OR(ISTEXT($F111),ISTEXT($H111),ISTEXT($I111),ISTEXT($G111),ISTEXT($J111),ISTEXT($D111)),"A date is typed as text - retype it as dd/mm/yyyy. ","")&amp;IF(IF($C111="","",IF(OR(ISNUMBER(SEARCH("full",$C111)),UPPER(TRIM($C111))="FT",UPPER(TRIM($C111))="FTE"),"Full-Time",IF(OR(ISNUMBER(SEARCH("part",$C111)),UPPER(TRIM($C111))="PT",UPPER(TRIM($C111))="PTE"),"Part-Time",IF(OR(ISNUMBER(SEARCH("cas",$C111)),UPPER(TRIM($C111))="CAS"),"Casual","Unknown"))))="Unknown","EmploymentType not recognised - use Full-Time, Part-Time or Casual. ","")&amp;IF(AND(AM111&gt;=1,IF(AM111&gt;=3,AS111,IF(AM111=2,AR111,AQ111))&lt;&gt;IF($C111="","",IF(OR(ISNUMBER(SEARCH("full",$C111)),UPPER(TRIM($C111))="FT",UPPER(TRIM($C111))="FTE"),"Full-Time",IF(OR(ISNUMBER(SEARCH("part",$C111)),UPPER(TRIM($C111))="PT",UPPER(TRIM($C111))="PTE"),"Part-Time",IF(OR(ISNUMBER(SEARCH("cas",$C111)),UPPER(TRIM($C111))="CAS"),"Casual","Unknown"))))),"EmploymentType does not match latest start date ("&amp;IF(AM111&gt;=3,AS111,IF(AM111=2,AR111,AQ111))&amp;"). ","")&amp;IF(AND(AM111&gt;=1,AN111&lt;&gt;$F111),"Earliest type date should equal StartDate. ","")&amp;IF(AND(AM111&gt;=2,AN111=AO111),"Two types start on the same date. ","")&amp;IF(AND(OR(ISNUMBER(SEARCH("part",$C111)),UPPER(TRIM($C111))="PT",UPPER(TRIM($C111))="PTE"),$P111=""),"Part-time: enter PT Hrs/Week (blank = 24+). ","")))</f>
        <v/>
      </c>
      <c r="AE111" s="17" t="str">
        <f aca="false">IF(AK111=0,"",O111-MAX(0,BL111-BQ111))</f>
        <v/>
      </c>
      <c r="AF111" s="14" t="str">
        <f aca="false">IF(OR(AK111=0,AE111="",N(AE111)=0,BM111=""),"",EDATE(AL111,BM111))</f>
        <v/>
      </c>
      <c r="AG111" s="17" t="str">
        <f aca="false">IF(AK111=0,"",MIN(BD111,BQ111))</f>
        <v/>
      </c>
      <c r="AH111" s="17" t="str">
        <f aca="false">IF(AK111=0,"",IF(NOT(LH_Ready),"",IF(BG111=0,0,MAX(0,ROUND(N(T111)+N(U111)-N111,2)))))</f>
        <v/>
      </c>
      <c r="AI111" s="12"/>
      <c r="AJ111" s="12"/>
      <c r="AK111" s="16" t="n">
        <f aca="false">IF(OR(LEN($A111&amp;$B111)=0,$F111=""),0,1)</f>
        <v>0</v>
      </c>
      <c r="AL111" s="14" t="str">
        <f aca="false">IF(AK111=0,"",IF(PreSchemeCounts="No",MAX(SchemeStart,IF($J111&lt;&gt;"",$J111,IF(OR(CasualCounts="Yes",COUNT($G111:$I111)=0),$F111,IF(Apply2026="No",IF($I111="",$F111,$I111),IF(COUNT($H111:$I111)=0,$F111,MIN($H111:$I111)))))),IF($J111&lt;&gt;"",$J111,IF(OR(CasualCounts="Yes",COUNT($G111:$I111)=0),$F111,IF(Apply2026="No",IF($I111="",$F111,$I111),IF(COUNT($H111:$I111)=0,$F111,MIN($H111:$I111)))))))</f>
        <v/>
      </c>
      <c r="AM111" s="16" t="str">
        <f aca="false">IF(AK111=0,"",COUNT($G111:$I111))</f>
        <v/>
      </c>
      <c r="AN111" s="14" t="str">
        <f aca="false">IF(AK111=0,"",IFERROR(SMALL($G111:$I111,1),""))</f>
        <v/>
      </c>
      <c r="AO111" s="14" t="str">
        <f aca="false">IF(AK111=0,"",IFERROR(SMALL($G111:$I111,2),""))</f>
        <v/>
      </c>
      <c r="AP111" s="14" t="str">
        <f aca="false">IF(AK111=0,"",IFERROR(SMALL($G111:$I111,3),""))</f>
        <v/>
      </c>
      <c r="AQ111" s="16" t="str">
        <f aca="false">IF(AK111=0,"",IF(AN111="","",IF(AN111=$H111,"Part-Time",IF(AN111=$I111,"Full-Time","Casual"))))</f>
        <v/>
      </c>
      <c r="AR111" s="16" t="str">
        <f aca="false">IF(AK111=0,"",IF(AO111="","",IF(AO111=$H111,"Part-Time",IF(AO111=$I111,"Full-Time","Casual"))))</f>
        <v/>
      </c>
      <c r="AS111" s="16" t="str">
        <f aca="false">IF(AK111=0,"",IF(AP111="","",IF(AP111=$H111,"Part-Time",IF(AP111=$I111,"Full-Time","Casual"))))</f>
        <v/>
      </c>
      <c r="AT111" s="16" t="str">
        <f aca="false">IF(AK111=0,"",IF(AM111=0,IF(OR(ISNUMBER(SEARCH("full",$C111)),UPPER(TRIM($C111))="FT",UPPER(TRIM($C111))="FTE"),"FT",IF(AND(OR(ISNUMBER(SEARCH("part",$C111)),UPPER(TRIM($C111))="PT",UPPER(TRIM($C111))="PTE"),Apply2026="Yes",OR($P111="",N($P111)&gt;=PT_MinHours)),"PT","None")),IF(OR(ISNUMBER(SEARCH("full",AQ111)),UPPER(TRIM(AQ111))="FT",UPPER(TRIM(AQ111))="FTE"),"FT",IF(AND(OR(ISNUMBER(SEARCH("part",AQ111)),UPPER(TRIM(AQ111))="PT",UPPER(TRIM(AQ111))="PTE"),Apply2026="Yes",OR($P111="",N($P111)&gt;=PT_MinHours)),"PT","None"))))</f>
        <v/>
      </c>
      <c r="AU111" s="16" t="str">
        <f aca="false">IF(AK111=0,"",IF(AM111&lt;2,"",IF(OR(ISNUMBER(SEARCH("full",AR111)),UPPER(TRIM(AR111))="FT",UPPER(TRIM(AR111))="FTE"),"FT",IF(AND(OR(ISNUMBER(SEARCH("part",AR111)),UPPER(TRIM(AR111))="PT",UPPER(TRIM(AR111))="PTE"),Apply2026="Yes",OR($P111="",N($P111)&gt;=PT_MinHours)),"PT","None"))))</f>
        <v/>
      </c>
      <c r="AV111" s="16" t="str">
        <f aca="false">IF(AK111=0,"",IF(AM111&lt;3,"",IF(OR(ISNUMBER(SEARCH("full",AS111)),UPPER(TRIM(AS111))="FT",UPPER(TRIM(AS111))="FTE"),"FT",IF(AND(OR(ISNUMBER(SEARCH("part",AS111)),UPPER(TRIM(AS111))="PT",UPPER(TRIM(AS111))="PTE"),Apply2026="Yes",OR($P111="",N($P111)&gt;=PT_MinHours)),"PT","None"))))</f>
        <v/>
      </c>
      <c r="AW111" s="16" t="str">
        <f aca="false">IF(AK111=0,"",IF(AND(AM111&gt;=3,AP111&lt;=AsOfDate),AV111,IF(AND(AM111&gt;=2,AO111&lt;=AsOfDate),AU111,AT111)))</f>
        <v/>
      </c>
      <c r="AX111" s="16" t="str">
        <f aca="false">IF(AK111=0,"",IF(AsOfDate&lt;AL111,-1,12*(YEAR(AsOfDate)-YEAR(AL111))+MONTH(AsOfDate)-MONTH(AL111)-IF(DAY(AsOfDate)&lt;MIN(DAY(AL111),DAY(EOMONTH(AsOfDate,0))),1,0)))</f>
        <v/>
      </c>
      <c r="AY111" s="16" t="str">
        <f aca="false">IF(AK111=0,"",IF(OR(AM111&lt;2,AO111&gt;AsOfDate),AX111,IF((AO111-1)&lt;AL111,-1,12*(YEAR((AO111-1))-YEAR(AL111))+MONTH((AO111-1))-MONTH(AL111)-IF(DAY((AO111-1))&lt;MIN(DAY(AL111),DAY(EOMONTH((AO111-1),0))),1,0))))</f>
        <v/>
      </c>
      <c r="AZ111" s="16" t="str">
        <f aca="false">IF(AK111=0,"",IF(OR(AM111&lt;3,AP111&gt;AsOfDate),AX111,IF((AP111-1)&lt;AL111,-1,12*(YEAR((AP111-1))-YEAR(AL111))+MONTH((AP111-1))-MONTH(AL111)-IF(DAY((AP111-1))&lt;MIN(DAY(AL111),DAY(EOMONTH((AP111-1),0))),1,0))))</f>
        <v/>
      </c>
      <c r="BA111" s="16" t="str">
        <f aca="false">IF(AK111=0,"",IF(PFYDate&lt;AL111,-1,12*(YEAR(PFYDate)-YEAR(AL111))+MONTH(PFYDate)-MONTH(AL111)-IF(DAY(PFYDate)&lt;MIN(DAY(AL111),DAY(EOMONTH(PFYDate,0))),1,0)))</f>
        <v/>
      </c>
      <c r="BB111" s="16" t="str">
        <f aca="false">IF(AK111=0,"",IF(OR(AM111&lt;2,AO111&gt;PFYDate),BA111,IF((AO111-1)&lt;AL111,-1,12*(YEAR((AO111-1))-YEAR(AL111))+MONTH((AO111-1))-MONTH(AL111)-IF(DAY((AO111-1))&lt;MIN(DAY(AL111),DAY(EOMONTH((AO111-1),0))),1,0))))</f>
        <v/>
      </c>
      <c r="BC111" s="16" t="str">
        <f aca="false">IF(AK111=0,"",IF(OR(AM111&lt;3,AP111&gt;PFYDate),BA111,IF((AP111-1)&lt;AL111,-1,12*(YEAR((AP111-1))-YEAR(AL111))+MONTH((AP111-1))-MONTH(AL111)-IF(DAY((AP111-1))&lt;MIN(DAY(AL111),DAY(EOMONTH((AP111-1),0))),1,0))))</f>
        <v/>
      </c>
      <c r="BD111" s="16" t="str">
        <f aca="false">IF(AK111=0,"",IF(AT111="FT",IF(AY111&lt;FT_First,0,IF(AY111&lt;FT_Y5,1+INT((AY111-FT_First)/FT_Int1),FT_PreY5+FT_PerYear*INT((AY111-FT_Y5)/12)+FT_AnnivDays+INT(MOD(AY111-FT_Y5,12)/FT_Int2)-IF(EDATE(AL111,FT_Y5)&lt;PolicyEff,FT_AnnivDays-1,0))),IF(AT111="PT",IF(AY111&lt;PT_First,0,1+INT((AY111-PT_First)/PT_Int)),0))+IF(AND(AM111&gt;=2,AO111&lt;=AsOfDate),IF(AU111="FT",IF(AZ111&lt;FT_First,0,IF(AZ111&lt;FT_Y5,1+INT((AZ111-FT_First)/FT_Int1),FT_PreY5+FT_PerYear*INT((AZ111-FT_Y5)/12)+FT_AnnivDays+INT(MOD(AZ111-FT_Y5,12)/FT_Int2)-IF(EDATE(AL111,FT_Y5)&lt;PolicyEff,FT_AnnivDays-1,0))),IF(AU111="PT",IF(AZ111&lt;PT_First,0,1+INT((AZ111-PT_First)/PT_Int)),0))-IF(AU111="FT",IF(AY111&lt;FT_First,0,IF(AY111&lt;FT_Y5,1+INT((AY111-FT_First)/FT_Int1),FT_PreY5+FT_PerYear*INT((AY111-FT_Y5)/12)+FT_AnnivDays+INT(MOD(AY111-FT_Y5,12)/FT_Int2)-IF(EDATE(AL111,FT_Y5)&lt;PolicyEff,FT_AnnivDays-1,0))),IF(AU111="PT",IF(AY111&lt;PT_First,0,1+INT((AY111-PT_First)/PT_Int)),0)),0)+IF(AND(AM111&gt;=3,AP111&lt;=AsOfDate),IF(AV111="FT",IF(AX111&lt;FT_First,0,IF(AX111&lt;FT_Y5,1+INT((AX111-FT_First)/FT_Int1),FT_PreY5+FT_PerYear*INT((AX111-FT_Y5)/12)+FT_AnnivDays+INT(MOD(AX111-FT_Y5,12)/FT_Int2)-IF(EDATE(AL111,FT_Y5)&lt;PolicyEff,FT_AnnivDays-1,0))),IF(AV111="PT",IF(AX111&lt;PT_First,0,1+INT((AX111-PT_First)/PT_Int)),0))-IF(AV111="FT",IF(AZ111&lt;FT_First,0,IF(AZ111&lt;FT_Y5,1+INT((AZ111-FT_First)/FT_Int1),FT_PreY5+FT_PerYear*INT((AZ111-FT_Y5)/12)+FT_AnnivDays+INT(MOD(AZ111-FT_Y5,12)/FT_Int2)-IF(EDATE(AL111,FT_Y5)&lt;PolicyEff,FT_AnnivDays-1,0))),IF(AV111="PT",IF(AZ111&lt;PT_First,0,1+INT((AZ111-PT_First)/PT_Int)),0)),0))</f>
        <v/>
      </c>
      <c r="BE111" s="16" t="str">
        <f aca="false">IF(AK111=0,"",IF(AT111="FT",IF(BB111&lt;FT_First,0,IF(BB111&lt;FT_Y5,1+INT((BB111-FT_First)/FT_Int1),FT_PreY5+FT_PerYear*INT((BB111-FT_Y5)/12)+FT_AnnivDays+INT(MOD(BB111-FT_Y5,12)/FT_Int2)-IF(EDATE(AL111,FT_Y5)&lt;PolicyEff,FT_AnnivDays-1,0))),IF(AT111="PT",IF(BB111&lt;PT_First,0,1+INT((BB111-PT_First)/PT_Int)),0))+IF(AND(AM111&gt;=2,AO111&lt;=PFYDate),IF(AU111="FT",IF(BC111&lt;FT_First,0,IF(BC111&lt;FT_Y5,1+INT((BC111-FT_First)/FT_Int1),FT_PreY5+FT_PerYear*INT((BC111-FT_Y5)/12)+FT_AnnivDays+INT(MOD(BC111-FT_Y5,12)/FT_Int2)-IF(EDATE(AL111,FT_Y5)&lt;PolicyEff,FT_AnnivDays-1,0))),IF(AU111="PT",IF(BC111&lt;PT_First,0,1+INT((BC111-PT_First)/PT_Int)),0))-IF(AU111="FT",IF(BB111&lt;FT_First,0,IF(BB111&lt;FT_Y5,1+INT((BB111-FT_First)/FT_Int1),FT_PreY5+FT_PerYear*INT((BB111-FT_Y5)/12)+FT_AnnivDays+INT(MOD(BB111-FT_Y5,12)/FT_Int2)-IF(EDATE(AL111,FT_Y5)&lt;PolicyEff,FT_AnnivDays-1,0))),IF(AU111="PT",IF(BB111&lt;PT_First,0,1+INT((BB111-PT_First)/PT_Int)),0)),0)+IF(AND(AM111&gt;=3,AP111&lt;=PFYDate),IF(AV111="FT",IF(BA111&lt;FT_First,0,IF(BA111&lt;FT_Y5,1+INT((BA111-FT_First)/FT_Int1),FT_PreY5+FT_PerYear*INT((BA111-FT_Y5)/12)+FT_AnnivDays+INT(MOD(BA111-FT_Y5,12)/FT_Int2)-IF(EDATE(AL111,FT_Y5)&lt;PolicyEff,FT_AnnivDays-1,0))),IF(AV111="PT",IF(BA111&lt;PT_First,0,1+INT((BA111-PT_First)/PT_Int)),0))-IF(AV111="FT",IF(BC111&lt;FT_First,0,IF(BC111&lt;FT_Y5,1+INT((BC111-FT_First)/FT_Int1),FT_PreY5+FT_PerYear*INT((BC111-FT_Y5)/12)+FT_AnnivDays+INT(MOD(BC111-FT_Y5,12)/FT_Int2)-IF(EDATE(AL111,FT_Y5)&lt;PolicyEff,FT_AnnivDays-1,0))),IF(AV111="PT",IF(BC111&lt;PT_First,0,1+INT((BC111-PT_First)/PT_Int)),0)),0))</f>
        <v/>
      </c>
      <c r="BF111" s="16" t="str">
        <f aca="false">IF(AK111=0,"",IF(AW111="FT",IF(AX111&lt;FT_First,FT_First,IF(AX111&lt;FT_Y5,MIN(FT_Y5,FT_First+FT_Int1*(INT((AX111-FT_First)/FT_Int1)+1)),FT_Y5+12*INT((AX111-FT_Y5)/12)+FT_Int2*(INT(MOD(AX111-FT_Y5,12)/FT_Int2)+1))),IF(AW111="PT",IF(AX111&lt;PT_First,PT_First,PT_First+PT_Int*(INT((AX111-PT_First)/PT_Int)+1)),"")))</f>
        <v/>
      </c>
      <c r="BG111" s="16" t="str">
        <f aca="false">IF(AK111=0,"",IF(NOT(LH_Ready),0,COUNTIFS(INDEX(LH_Data,0,LH_ColFirst),$A111,INDEX(LH_Data,0,LH_ColSur),$B111,INDEX(LH_Data,0,LH_ColCat),BonusCat)))</f>
        <v/>
      </c>
      <c r="BH111" s="16" t="str">
        <f aca="false">IF(AK111=0,"",IF(OR(NOT(LH_Ready),BG111=0),0,SUMPRODUCT(MAX((INDEX(LH_Data,0,LH_ColFirst)=$A111)*(INDEX(LH_Data,0,LH_ColSur)=$B111)*(INDEX(LH_Data,0,LH_ColCat)=BonusCat)*ROW(LH_Data)))))</f>
        <v/>
      </c>
      <c r="BI111" s="16" t="str">
        <f aca="false">IF(AK111=0,"",IF(EOMONTH(AsOfDate,-1)&lt;AL111,-1,12*(YEAR(EOMONTH(AsOfDate,-1))-YEAR(AL111))+MONTH(EOMONTH(AsOfDate,-1))-MONTH(AL111)-IF(DAY(EOMONTH(AsOfDate,-1))&lt;MIN(DAY(AL111),DAY(EOMONTH(EOMONTH(AsOfDate,-1),0))),1,0)))</f>
        <v/>
      </c>
      <c r="BJ111" s="16" t="str">
        <f aca="false">IF(AK111=0,"",IF(OR(AM111&lt;2,AO111&gt;EOMONTH(AsOfDate,-1)),BI111,IF((AO111-1)&lt;AL111,-1,12*(YEAR((AO111-1))-YEAR(AL111))+MONTH((AO111-1))-MONTH(AL111)-IF(DAY((AO111-1))&lt;MIN(DAY(AL111),DAY(EOMONTH((AO111-1),0))),1,0))))</f>
        <v/>
      </c>
      <c r="BK111" s="16" t="str">
        <f aca="false">IF(AK111=0,"",IF(OR(AM111&lt;3,AP111&gt;EOMONTH(AsOfDate,-1)),BI111,IF((AP111-1)&lt;AL111,-1,12*(YEAR((AP111-1))-YEAR(AL111))+MONTH((AP111-1))-MONTH(AL111)-IF(DAY((AP111-1))&lt;MIN(DAY(AL111),DAY(EOMONTH((AP111-1),0))),1,0))))</f>
        <v/>
      </c>
      <c r="BL111" s="16" t="str">
        <f aca="false">IF(AK111=0,"",IF(AT111="FT",IF(BJ111&lt;FT_First,0,IF(BJ111&lt;FT_Y5,1+INT((BJ111-FT_First)/FT_Int1),FT_PreY5+FT_PerYear*INT((BJ111-FT_Y5)/12)+FT_AnnivDays+INT(MOD(BJ111-FT_Y5,12)/FT_Int2)-IF(EDATE(AL111,FT_Y5)&lt;PolicyEff,FT_AnnivDays-1,0))),IF(AT111="PT",IF(BJ111&lt;PT_First,0,1+INT((BJ111-PT_First)/PT_Int)),0))+IF(AND(AM111&gt;=2,AO111&lt;=EOMONTH(AsOfDate,-1)),IF(AU111="FT",IF(BK111&lt;FT_First,0,IF(BK111&lt;FT_Y5,1+INT((BK111-FT_First)/FT_Int1),FT_PreY5+FT_PerYear*INT((BK111-FT_Y5)/12)+FT_AnnivDays+INT(MOD(BK111-FT_Y5,12)/FT_Int2)-IF(EDATE(AL111,FT_Y5)&lt;PolicyEff,FT_AnnivDays-1,0))),IF(AU111="PT",IF(BK111&lt;PT_First,0,1+INT((BK111-PT_First)/PT_Int)),0))-IF(AU111="FT",IF(BJ111&lt;FT_First,0,IF(BJ111&lt;FT_Y5,1+INT((BJ111-FT_First)/FT_Int1),FT_PreY5+FT_PerYear*INT((BJ111-FT_Y5)/12)+FT_AnnivDays+INT(MOD(BJ111-FT_Y5,12)/FT_Int2)-IF(EDATE(AL111,FT_Y5)&lt;PolicyEff,FT_AnnivDays-1,0))),IF(AU111="PT",IF(BJ111&lt;PT_First,0,1+INT((BJ111-PT_First)/PT_Int)),0)),0)+IF(AND(AM111&gt;=3,AP111&lt;=EOMONTH(AsOfDate,-1)),IF(AV111="FT",IF(BI111&lt;FT_First,0,IF(BI111&lt;FT_Y5,1+INT((BI111-FT_First)/FT_Int1),FT_PreY5+FT_PerYear*INT((BI111-FT_Y5)/12)+FT_AnnivDays+INT(MOD(BI111-FT_Y5,12)/FT_Int2)-IF(EDATE(AL111,FT_Y5)&lt;PolicyEff,FT_AnnivDays-1,0))),IF(AV111="PT",IF(BI111&lt;PT_First,0,1+INT((BI111-PT_First)/PT_Int)),0))-IF(AV111="FT",IF(BK111&lt;FT_First,0,IF(BK111&lt;FT_Y5,1+INT((BK111-FT_First)/FT_Int1),FT_PreY5+FT_PerYear*INT((BK111-FT_Y5)/12)+FT_AnnivDays+INT(MOD(BK111-FT_Y5,12)/FT_Int2)-IF(EDATE(AL111,FT_Y5)&lt;PolicyEff,FT_AnnivDays-1,0))),IF(AV111="PT",IF(BK111&lt;PT_First,0,1+INT((BK111-PT_First)/PT_Int)),0)),0))</f>
        <v/>
      </c>
      <c r="BM111" s="16" t="str">
        <f aca="false">IF(AK111=0,"",IF(AW111="FT",IF(AX111&lt;FT_First,"",IF(AX111&lt;FT_Y5,FT_First+FT_Int1*INT((AX111-FT_First)/FT_Int1),FT_Y5+FT_Int2*INT((AX111-FT_Y5)/FT_Int2))),IF(AW111="PT",IF(AX111&lt;PT_First,"",PT_First+PT_Int*INT((AX111-PT_First)/PT_Int)),"")))</f>
        <v/>
      </c>
      <c r="BN111" s="16" t="str">
        <f aca="false">IF(AK111=0,"",IF((SchemeStart-1)&lt;AL111,-1,12*(YEAR((SchemeStart-1))-YEAR(AL111))+MONTH((SchemeStart-1))-MONTH(AL111)-IF(DAY((SchemeStart-1))&lt;MIN(DAY(AL111),DAY(EOMONTH((SchemeStart-1),0))),1,0)))</f>
        <v/>
      </c>
      <c r="BO111" s="16" t="str">
        <f aca="false">IF(AK111=0,"",IF(OR(AM111&lt;2,AO111&gt;(SchemeStart-1)),BN111,IF((AO111-1)&lt;AL111,-1,12*(YEAR((AO111-1))-YEAR(AL111))+MONTH((AO111-1))-MONTH(AL111)-IF(DAY((AO111-1))&lt;MIN(DAY(AL111),DAY(EOMONTH((AO111-1),0))),1,0))))</f>
        <v/>
      </c>
      <c r="BP111" s="16" t="str">
        <f aca="false">IF(AK111=0,"",IF(OR(AM111&lt;3,AP111&gt;(SchemeStart-1)),BN111,IF((AP111-1)&lt;AL111,-1,12*(YEAR((AP111-1))-YEAR(AL111))+MONTH((AP111-1))-MONTH(AL111)-IF(DAY((AP111-1))&lt;MIN(DAY(AL111),DAY(EOMONTH((AP111-1),0))),1,0))))</f>
        <v/>
      </c>
      <c r="BQ111" s="16" t="str">
        <f aca="false">IF(AK111=0,"",IF(AT111="FT",IF(BO111&lt;FT_First,0,IF(BO111&lt;FT_Y5,1+INT((BO111-FT_First)/FT_Int1),FT_PreY5+FT_PerYear*INT((BO111-FT_Y5)/12)+FT_AnnivDays+INT(MOD(BO111-FT_Y5,12)/FT_Int2)-IF(EDATE(AL111,FT_Y5)&lt;PolicyEff,FT_AnnivDays-1,0))),IF(AT111="PT",IF(BO111&lt;PT_First,0,1+INT((BO111-PT_First)/PT_Int)),0))+IF(AND(AM111&gt;=2,AO111&lt;=(SchemeStart-1)),IF(AU111="FT",IF(BP111&lt;FT_First,0,IF(BP111&lt;FT_Y5,1+INT((BP111-FT_First)/FT_Int1),FT_PreY5+FT_PerYear*INT((BP111-FT_Y5)/12)+FT_AnnivDays+INT(MOD(BP111-FT_Y5,12)/FT_Int2)-IF(EDATE(AL111,FT_Y5)&lt;PolicyEff,FT_AnnivDays-1,0))),IF(AU111="PT",IF(BP111&lt;PT_First,0,1+INT((BP111-PT_First)/PT_Int)),0))-IF(AU111="FT",IF(BO111&lt;FT_First,0,IF(BO111&lt;FT_Y5,1+INT((BO111-FT_First)/FT_Int1),FT_PreY5+FT_PerYear*INT((BO111-FT_Y5)/12)+FT_AnnivDays+INT(MOD(BO111-FT_Y5,12)/FT_Int2)-IF(EDATE(AL111,FT_Y5)&lt;PolicyEff,FT_AnnivDays-1,0))),IF(AU111="PT",IF(BO111&lt;PT_First,0,1+INT((BO111-PT_First)/PT_Int)),0)),0)+IF(AND(AM111&gt;=3,AP111&lt;=(SchemeStart-1)),IF(AV111="FT",IF(BN111&lt;FT_First,0,IF(BN111&lt;FT_Y5,1+INT((BN111-FT_First)/FT_Int1),FT_PreY5+FT_PerYear*INT((BN111-FT_Y5)/12)+FT_AnnivDays+INT(MOD(BN111-FT_Y5,12)/FT_Int2)-IF(EDATE(AL111,FT_Y5)&lt;PolicyEff,FT_AnnivDays-1,0))),IF(AV111="PT",IF(BN111&lt;PT_First,0,1+INT((BN111-PT_First)/PT_Int)),0))-IF(AV111="FT",IF(BP111&lt;FT_First,0,IF(BP111&lt;FT_Y5,1+INT((BP111-FT_First)/FT_Int1),FT_PreY5+FT_PerYear*INT((BP111-FT_Y5)/12)+FT_AnnivDays+INT(MOD(BP111-FT_Y5,12)/FT_Int2)-IF(EDATE(AL111,FT_Y5)&lt;PolicyEff,FT_AnnivDays-1,0))),IF(AV111="PT",IF(BP111&lt;PT_First,0,1+INT((BP111-PT_First)/PT_Int)),0)),0))</f>
        <v/>
      </c>
      <c r="BR111" s="0" t="str">
        <f aca="false">IF(LEN($A111&amp;$B111)=0,"",$A111&amp;" "&amp;$B111)</f>
        <v/>
      </c>
    </row>
    <row r="112" customFormat="false" ht="15" hidden="false" customHeight="false" outlineLevel="0" collapsed="false">
      <c r="A112" s="12"/>
      <c r="B112" s="12"/>
      <c r="C112" s="12"/>
      <c r="D112" s="13"/>
      <c r="E112" s="14" t="str">
        <f aca="false">IF(OR(AK112=0,$D112=""),"",DATE(YEAR(AsOfDate)+IF(DATE(YEAR(AsOfDate),MONTH($D112),DAY($D112))&lt;=AsOfDate,1,0),MONTH($D112),DAY($D112)))</f>
        <v/>
      </c>
      <c r="F112" s="13"/>
      <c r="G112" s="13"/>
      <c r="H112" s="13"/>
      <c r="I112" s="13"/>
      <c r="J112" s="13"/>
      <c r="K112" s="14" t="str">
        <f aca="false">IF(AK112=0,"",DATE(YEAR(AsOfDate)+IF(DATE(YEAR(AsOfDate),MONTH(AL112),DAY(AL112))&lt;=AsOfDate,1,0),MONTH(AL112),DAY(AL112)))</f>
        <v/>
      </c>
      <c r="L112" s="15" t="str">
        <f aca="false">IF(AK112=0,"",ROUND((AsOfDate-AL112)/365.25,1))</f>
        <v/>
      </c>
      <c r="M112" s="16" t="str">
        <f aca="false">IF(AK112=0,"",IF(AsOfDate&lt;AL112,"-",DATEDIF(AL112,AsOfDate,"y")&amp;"y "&amp;DATEDIF(AL112,AsOfDate,"ym")&amp;"m "&amp;DATEDIF(AL112,AsOfDate,"md")&amp;"d"))</f>
        <v/>
      </c>
      <c r="N112" s="17" t="str">
        <f aca="false">IF(AK112=0,"",O112*HoursPerDay)</f>
        <v/>
      </c>
      <c r="O112" s="17" t="str">
        <f aca="false">IF(AK112=0,"",MAX(0,BD112-BQ112))</f>
        <v/>
      </c>
      <c r="P112" s="18"/>
      <c r="Q112" s="16" t="str">
        <f aca="false">IF(AK112=0,"",IF(AM112&lt;2,"",AQ112&amp;" to "&amp;AR112&amp;" on "&amp;TEXT(AO112,"dd/mm/yyyy")&amp;IF(AO112&gt;AsOfDate," (future)",IF(AT112=AU112,"",IF(AU112="None"," - STOPPED accruing",IF(AT112="None"," - commencement for Bonus Leave"," - pathway changed"))))&amp;IF(AM112&lt;3,"","; "&amp;AR112&amp;" to "&amp;AS112&amp;" on "&amp;TEXT(AP112,"dd/mm/yyyy")&amp;IF(AP112&gt;AsOfDate," (future)",IF(AU112=AV112,"",IF(AV112="None"," - STOPPED accruing",IF(AU112="None"," - commencement for Bonus Leave"," - pathway changed")))))))</f>
        <v/>
      </c>
      <c r="R112" s="16" t="str">
        <f aca="false">IF(AK112=0,"",IF(AW112="None",IF(O112&gt;0,"No longer accruing","Not eligible - "&amp;IF(AND(OR(ISNUMBER(SEARCH("part",$C112)),UPPER(TRIM($C112))="PT",UPPER(TRIM($C112))="PTE"),Apply2026="No"),"part-time (scheme is full-time only)",IF(AND(OR(ISNUMBER(SEARCH("part",$C112)),UPPER(TRIM($C112))="PT",UPPER(TRIM($C112))="PTE"),$P112&lt;&gt;"",N($P112)&lt;PT_MinHours),"under "&amp;PT_MinHours&amp;" hrs",IF(IF($C112="","",IF(OR(ISNUMBER(SEARCH("full",$C112)),UPPER(TRIM($C112))="FT",UPPER(TRIM($C112))="FTE"),"Full-Time",IF(OR(ISNUMBER(SEARCH("part",$C112)),UPPER(TRIM($C112))="PT",UPPER(TRIM($C112))="PTE"),"Part-Time",IF(OR(ISNUMBER(SEARCH("cas",$C112)),UPPER(TRIM($C112))="CAS"),"Casual","Unknown"))))="Unknown","type not recognised",$C112)))),IF(O112&gt;0,"Yes - Accrual Required","Not yet - from "&amp;TEXT(S112,"dd/mm/yyyy"))))</f>
        <v/>
      </c>
      <c r="S112" s="14" t="str">
        <f aca="false">IF(AK112=0,"",IF(AW112="None","",EDATE(AL112,BF112)))</f>
        <v/>
      </c>
      <c r="T112" s="17" t="str">
        <f aca="false">IF(AK112=0,"",IF(NOT(LH_Ready),"",IF($F112&gt;PFYDate,0,IF(LH_ColPeriod=0,W112-U112+V112,SUMIFS(INDEX(LH_Data,0,LH_ColAcc),INDEX(LH_Data,0,LH_ColFirst),$A112,INDEX(LH_Data,0,LH_ColSur),$B112,INDEX(LH_Data,0,LH_ColCat),BonusCat,INDEX(LH_Data,0,LH_ColPeriod),LH_OpenLabel)*UnitFactor))))</f>
        <v/>
      </c>
      <c r="U112" s="17" t="str">
        <f aca="false">IF(AK112=0,"",IF(NOT(LH_Ready),"",SUMIFS(INDEX(LH_Data,0,LH_ColAcc),INDEX(LH_Data,0,LH_ColFirst),$A112,INDEX(LH_Data,0,LH_ColSur),$B112,INDEX(LH_Data,0,LH_ColCat),BonusCat,INDEX(LH_Data,0,LH_ColStart),"&gt;="&amp;AL112)*UnitFactor))</f>
        <v/>
      </c>
      <c r="V112" s="17" t="str">
        <f aca="false">IF(AK112=0,"",IF(NOT(LH_Ready),"",SUMIFS(INDEX(LH_Data,0,LH_ColTaken),INDEX(LH_Data,0,LH_ColFirst),$A112,INDEX(LH_Data,0,LH_ColSur),$B112,INDEX(LH_Data,0,LH_ColCat),BonusCat,INDEX(LH_Data,0,LH_ColStart),"&gt;="&amp;AL112)*UnitFactor))</f>
        <v/>
      </c>
      <c r="W112" s="17" t="str">
        <f aca="false">IF(AK112=0,"",IF(NOT(LH_Ready),"",IF(BH112=0,0,INDEX(INDEX(LH_Data,0,LH_ColClose),BH112-1)*UnitFactor)))</f>
        <v/>
      </c>
      <c r="X112" s="17" t="str">
        <f aca="false">IF(AK112=0,"",(MAX(0,BD112-BQ112)-MAX(0,BE112-BQ112))*HoursPerDay)</f>
        <v/>
      </c>
      <c r="Y112" s="17" t="str">
        <f aca="false">IF(AK112=0,"",IF(NOT(LH_Ready),"",IF($AI112="Yes",N(AE112)*HoursPerDay-SUMIFS(INDEX(LH_Data,0,LH_ColAcc),INDEX(LH_Data,0,LH_ColFirst),$A112,INDEX(LH_Data,0,LH_ColSur),$B112,INDEX(LH_Data,0,LH_ColCat),BonusCat,INDEX(LH_Data,0,LH_ColStart),"&gt;="&amp;(EOMONTH(AsOfDate,-1)+1),INDEX(LH_Data,0,LH_ColStart),"&lt;="&amp;AsOfDate)*UnitFactor,IF(BG112=0,N112,N112-N(T112)-N(U112)))))</f>
        <v/>
      </c>
      <c r="Z112" s="16" t="str">
        <f aca="false">IF(OR(AK112=0,Y112=""),"",IF(Y112&gt;0,"Yes","No"))</f>
        <v/>
      </c>
      <c r="AA112" s="16" t="str">
        <f aca="false">IF(AK112=0,IF(LEN($A112&amp;$B112)=0,"","FIX INPUT - StartDate missing"),IF(AD112&lt;&gt;"","FIX INPUT - "&amp;AD112,IF(NOT(LH_Ready),"Paste Leave History export (Settings must show YES)",IF(AND($AI112="Yes",Y112&lt;=0),"OK - EH balance accepted to date"&amp;IF(N(AH112)&gt;0," (EH holds "&amp;AH112&amp;" hrs over the scheme)","")&amp;"; next day "&amp;TEXT(S112,"dd mmm yy")&amp;IF(N(AE112)&gt;0," ("&amp;AE112&amp;" day(s) for "&amp;UPPER(TEXT(AsOfDate,"mmm yyyy"))&amp;" already in EH)",""),IF(Y112&gt;0,"ACCRUE "&amp;ROUND(Y112,2)&amp;" hrs ("&amp;ROUND(Y112/HoursPerDay,2)&amp;" days): "&amp;IF(N(AE112)&gt;0,AE112&amp;" day(s) for "&amp;UPPER(TEXT(AsOfDate,"mmm yyyy"))&amp;" (milestone "&amp;UPPER(TEXT(AF112,"dd mmm yy"))&amp;")"&amp;IF(Y112/HoursPerDay&gt;AE112+0.001," + "&amp;ROUND(Y112/HoursPerDay-AE112,2)&amp;" day(s) catch-up from earlier months",""),"all catch-up from earlier months, nothing new this month")&amp;IF(BG112=0,"; no Bonus Leave in EH yet",""),IF(Y112&lt;0,"CHECK - EH accrued "&amp;ROUND(-Y112,2)&amp;" hrs more than policy since commencement",IF(N(W112)&gt;O112*HoursPerDay+0.01,"CHECK - EH balance "&amp;ROUND(W112-O112*HoursPerDay,2)&amp;" hrs more than policy entitlement",IF(O112&gt;0,"OK - nothing to add"&amp;IF(N(AE112)&gt;0," ("&amp;AE112&amp;" day(s) for "&amp;UPPER(TEXT(AsOfDate,"mmm yyyy"))&amp;" already in EH)",""),IF(AW112="None",R112,"Not yet - first day on "&amp;TEXT(S112,"dd/mm/yyyy"))))))))))</f>
        <v/>
      </c>
      <c r="AB112" s="17" t="str">
        <f aca="false">IF(OR(AK112=0,T112=""),"",MAX(0,BE112-BQ112)*HoursPerDay-T112)</f>
        <v/>
      </c>
      <c r="AC112" s="16" t="str">
        <f aca="false">IF(AK112=0,"",BG112)</f>
        <v/>
      </c>
      <c r="AD112" s="16" t="str">
        <f aca="false">IF(AK112=0,"",TRIM(IF(OR(ISTEXT($F112),ISTEXT($H112),ISTEXT($I112),ISTEXT($G112),ISTEXT($J112),ISTEXT($D112)),"A date is typed as text - retype it as dd/mm/yyyy. ","")&amp;IF(IF($C112="","",IF(OR(ISNUMBER(SEARCH("full",$C112)),UPPER(TRIM($C112))="FT",UPPER(TRIM($C112))="FTE"),"Full-Time",IF(OR(ISNUMBER(SEARCH("part",$C112)),UPPER(TRIM($C112))="PT",UPPER(TRIM($C112))="PTE"),"Part-Time",IF(OR(ISNUMBER(SEARCH("cas",$C112)),UPPER(TRIM($C112))="CAS"),"Casual","Unknown"))))="Unknown","EmploymentType not recognised - use Full-Time, Part-Time or Casual. ","")&amp;IF(AND(AM112&gt;=1,IF(AM112&gt;=3,AS112,IF(AM112=2,AR112,AQ112))&lt;&gt;IF($C112="","",IF(OR(ISNUMBER(SEARCH("full",$C112)),UPPER(TRIM($C112))="FT",UPPER(TRIM($C112))="FTE"),"Full-Time",IF(OR(ISNUMBER(SEARCH("part",$C112)),UPPER(TRIM($C112))="PT",UPPER(TRIM($C112))="PTE"),"Part-Time",IF(OR(ISNUMBER(SEARCH("cas",$C112)),UPPER(TRIM($C112))="CAS"),"Casual","Unknown"))))),"EmploymentType does not match latest start date ("&amp;IF(AM112&gt;=3,AS112,IF(AM112=2,AR112,AQ112))&amp;"). ","")&amp;IF(AND(AM112&gt;=1,AN112&lt;&gt;$F112),"Earliest type date should equal StartDate. ","")&amp;IF(AND(AM112&gt;=2,AN112=AO112),"Two types start on the same date. ","")&amp;IF(AND(OR(ISNUMBER(SEARCH("part",$C112)),UPPER(TRIM($C112))="PT",UPPER(TRIM($C112))="PTE"),$P112=""),"Part-time: enter PT Hrs/Week (blank = 24+). ","")))</f>
        <v/>
      </c>
      <c r="AE112" s="17" t="str">
        <f aca="false">IF(AK112=0,"",O112-MAX(0,BL112-BQ112))</f>
        <v/>
      </c>
      <c r="AF112" s="14" t="str">
        <f aca="false">IF(OR(AK112=0,AE112="",N(AE112)=0,BM112=""),"",EDATE(AL112,BM112))</f>
        <v/>
      </c>
      <c r="AG112" s="17" t="str">
        <f aca="false">IF(AK112=0,"",MIN(BD112,BQ112))</f>
        <v/>
      </c>
      <c r="AH112" s="17" t="str">
        <f aca="false">IF(AK112=0,"",IF(NOT(LH_Ready),"",IF(BG112=0,0,MAX(0,ROUND(N(T112)+N(U112)-N112,2)))))</f>
        <v/>
      </c>
      <c r="AI112" s="12"/>
      <c r="AJ112" s="12"/>
      <c r="AK112" s="16" t="n">
        <f aca="false">IF(OR(LEN($A112&amp;$B112)=0,$F112=""),0,1)</f>
        <v>0</v>
      </c>
      <c r="AL112" s="14" t="str">
        <f aca="false">IF(AK112=0,"",IF(PreSchemeCounts="No",MAX(SchemeStart,IF($J112&lt;&gt;"",$J112,IF(OR(CasualCounts="Yes",COUNT($G112:$I112)=0),$F112,IF(Apply2026="No",IF($I112="",$F112,$I112),IF(COUNT($H112:$I112)=0,$F112,MIN($H112:$I112)))))),IF($J112&lt;&gt;"",$J112,IF(OR(CasualCounts="Yes",COUNT($G112:$I112)=0),$F112,IF(Apply2026="No",IF($I112="",$F112,$I112),IF(COUNT($H112:$I112)=0,$F112,MIN($H112:$I112)))))))</f>
        <v/>
      </c>
      <c r="AM112" s="16" t="str">
        <f aca="false">IF(AK112=0,"",COUNT($G112:$I112))</f>
        <v/>
      </c>
      <c r="AN112" s="14" t="str">
        <f aca="false">IF(AK112=0,"",IFERROR(SMALL($G112:$I112,1),""))</f>
        <v/>
      </c>
      <c r="AO112" s="14" t="str">
        <f aca="false">IF(AK112=0,"",IFERROR(SMALL($G112:$I112,2),""))</f>
        <v/>
      </c>
      <c r="AP112" s="14" t="str">
        <f aca="false">IF(AK112=0,"",IFERROR(SMALL($G112:$I112,3),""))</f>
        <v/>
      </c>
      <c r="AQ112" s="16" t="str">
        <f aca="false">IF(AK112=0,"",IF(AN112="","",IF(AN112=$H112,"Part-Time",IF(AN112=$I112,"Full-Time","Casual"))))</f>
        <v/>
      </c>
      <c r="AR112" s="16" t="str">
        <f aca="false">IF(AK112=0,"",IF(AO112="","",IF(AO112=$H112,"Part-Time",IF(AO112=$I112,"Full-Time","Casual"))))</f>
        <v/>
      </c>
      <c r="AS112" s="16" t="str">
        <f aca="false">IF(AK112=0,"",IF(AP112="","",IF(AP112=$H112,"Part-Time",IF(AP112=$I112,"Full-Time","Casual"))))</f>
        <v/>
      </c>
      <c r="AT112" s="16" t="str">
        <f aca="false">IF(AK112=0,"",IF(AM112=0,IF(OR(ISNUMBER(SEARCH("full",$C112)),UPPER(TRIM($C112))="FT",UPPER(TRIM($C112))="FTE"),"FT",IF(AND(OR(ISNUMBER(SEARCH("part",$C112)),UPPER(TRIM($C112))="PT",UPPER(TRIM($C112))="PTE"),Apply2026="Yes",OR($P112="",N($P112)&gt;=PT_MinHours)),"PT","None")),IF(OR(ISNUMBER(SEARCH("full",AQ112)),UPPER(TRIM(AQ112))="FT",UPPER(TRIM(AQ112))="FTE"),"FT",IF(AND(OR(ISNUMBER(SEARCH("part",AQ112)),UPPER(TRIM(AQ112))="PT",UPPER(TRIM(AQ112))="PTE"),Apply2026="Yes",OR($P112="",N($P112)&gt;=PT_MinHours)),"PT","None"))))</f>
        <v/>
      </c>
      <c r="AU112" s="16" t="str">
        <f aca="false">IF(AK112=0,"",IF(AM112&lt;2,"",IF(OR(ISNUMBER(SEARCH("full",AR112)),UPPER(TRIM(AR112))="FT",UPPER(TRIM(AR112))="FTE"),"FT",IF(AND(OR(ISNUMBER(SEARCH("part",AR112)),UPPER(TRIM(AR112))="PT",UPPER(TRIM(AR112))="PTE"),Apply2026="Yes",OR($P112="",N($P112)&gt;=PT_MinHours)),"PT","None"))))</f>
        <v/>
      </c>
      <c r="AV112" s="16" t="str">
        <f aca="false">IF(AK112=0,"",IF(AM112&lt;3,"",IF(OR(ISNUMBER(SEARCH("full",AS112)),UPPER(TRIM(AS112))="FT",UPPER(TRIM(AS112))="FTE"),"FT",IF(AND(OR(ISNUMBER(SEARCH("part",AS112)),UPPER(TRIM(AS112))="PT",UPPER(TRIM(AS112))="PTE"),Apply2026="Yes",OR($P112="",N($P112)&gt;=PT_MinHours)),"PT","None"))))</f>
        <v/>
      </c>
      <c r="AW112" s="16" t="str">
        <f aca="false">IF(AK112=0,"",IF(AND(AM112&gt;=3,AP112&lt;=AsOfDate),AV112,IF(AND(AM112&gt;=2,AO112&lt;=AsOfDate),AU112,AT112)))</f>
        <v/>
      </c>
      <c r="AX112" s="16" t="str">
        <f aca="false">IF(AK112=0,"",IF(AsOfDate&lt;AL112,-1,12*(YEAR(AsOfDate)-YEAR(AL112))+MONTH(AsOfDate)-MONTH(AL112)-IF(DAY(AsOfDate)&lt;MIN(DAY(AL112),DAY(EOMONTH(AsOfDate,0))),1,0)))</f>
        <v/>
      </c>
      <c r="AY112" s="16" t="str">
        <f aca="false">IF(AK112=0,"",IF(OR(AM112&lt;2,AO112&gt;AsOfDate),AX112,IF((AO112-1)&lt;AL112,-1,12*(YEAR((AO112-1))-YEAR(AL112))+MONTH((AO112-1))-MONTH(AL112)-IF(DAY((AO112-1))&lt;MIN(DAY(AL112),DAY(EOMONTH((AO112-1),0))),1,0))))</f>
        <v/>
      </c>
      <c r="AZ112" s="16" t="str">
        <f aca="false">IF(AK112=0,"",IF(OR(AM112&lt;3,AP112&gt;AsOfDate),AX112,IF((AP112-1)&lt;AL112,-1,12*(YEAR((AP112-1))-YEAR(AL112))+MONTH((AP112-1))-MONTH(AL112)-IF(DAY((AP112-1))&lt;MIN(DAY(AL112),DAY(EOMONTH((AP112-1),0))),1,0))))</f>
        <v/>
      </c>
      <c r="BA112" s="16" t="str">
        <f aca="false">IF(AK112=0,"",IF(PFYDate&lt;AL112,-1,12*(YEAR(PFYDate)-YEAR(AL112))+MONTH(PFYDate)-MONTH(AL112)-IF(DAY(PFYDate)&lt;MIN(DAY(AL112),DAY(EOMONTH(PFYDate,0))),1,0)))</f>
        <v/>
      </c>
      <c r="BB112" s="16" t="str">
        <f aca="false">IF(AK112=0,"",IF(OR(AM112&lt;2,AO112&gt;PFYDate),BA112,IF((AO112-1)&lt;AL112,-1,12*(YEAR((AO112-1))-YEAR(AL112))+MONTH((AO112-1))-MONTH(AL112)-IF(DAY((AO112-1))&lt;MIN(DAY(AL112),DAY(EOMONTH((AO112-1),0))),1,0))))</f>
        <v/>
      </c>
      <c r="BC112" s="16" t="str">
        <f aca="false">IF(AK112=0,"",IF(OR(AM112&lt;3,AP112&gt;PFYDate),BA112,IF((AP112-1)&lt;AL112,-1,12*(YEAR((AP112-1))-YEAR(AL112))+MONTH((AP112-1))-MONTH(AL112)-IF(DAY((AP112-1))&lt;MIN(DAY(AL112),DAY(EOMONTH((AP112-1),0))),1,0))))</f>
        <v/>
      </c>
      <c r="BD112" s="16" t="str">
        <f aca="false">IF(AK112=0,"",IF(AT112="FT",IF(AY112&lt;FT_First,0,IF(AY112&lt;FT_Y5,1+INT((AY112-FT_First)/FT_Int1),FT_PreY5+FT_PerYear*INT((AY112-FT_Y5)/12)+FT_AnnivDays+INT(MOD(AY112-FT_Y5,12)/FT_Int2)-IF(EDATE(AL112,FT_Y5)&lt;PolicyEff,FT_AnnivDays-1,0))),IF(AT112="PT",IF(AY112&lt;PT_First,0,1+INT((AY112-PT_First)/PT_Int)),0))+IF(AND(AM112&gt;=2,AO112&lt;=AsOfDate),IF(AU112="FT",IF(AZ112&lt;FT_First,0,IF(AZ112&lt;FT_Y5,1+INT((AZ112-FT_First)/FT_Int1),FT_PreY5+FT_PerYear*INT((AZ112-FT_Y5)/12)+FT_AnnivDays+INT(MOD(AZ112-FT_Y5,12)/FT_Int2)-IF(EDATE(AL112,FT_Y5)&lt;PolicyEff,FT_AnnivDays-1,0))),IF(AU112="PT",IF(AZ112&lt;PT_First,0,1+INT((AZ112-PT_First)/PT_Int)),0))-IF(AU112="FT",IF(AY112&lt;FT_First,0,IF(AY112&lt;FT_Y5,1+INT((AY112-FT_First)/FT_Int1),FT_PreY5+FT_PerYear*INT((AY112-FT_Y5)/12)+FT_AnnivDays+INT(MOD(AY112-FT_Y5,12)/FT_Int2)-IF(EDATE(AL112,FT_Y5)&lt;PolicyEff,FT_AnnivDays-1,0))),IF(AU112="PT",IF(AY112&lt;PT_First,0,1+INT((AY112-PT_First)/PT_Int)),0)),0)+IF(AND(AM112&gt;=3,AP112&lt;=AsOfDate),IF(AV112="FT",IF(AX112&lt;FT_First,0,IF(AX112&lt;FT_Y5,1+INT((AX112-FT_First)/FT_Int1),FT_PreY5+FT_PerYear*INT((AX112-FT_Y5)/12)+FT_AnnivDays+INT(MOD(AX112-FT_Y5,12)/FT_Int2)-IF(EDATE(AL112,FT_Y5)&lt;PolicyEff,FT_AnnivDays-1,0))),IF(AV112="PT",IF(AX112&lt;PT_First,0,1+INT((AX112-PT_First)/PT_Int)),0))-IF(AV112="FT",IF(AZ112&lt;FT_First,0,IF(AZ112&lt;FT_Y5,1+INT((AZ112-FT_First)/FT_Int1),FT_PreY5+FT_PerYear*INT((AZ112-FT_Y5)/12)+FT_AnnivDays+INT(MOD(AZ112-FT_Y5,12)/FT_Int2)-IF(EDATE(AL112,FT_Y5)&lt;PolicyEff,FT_AnnivDays-1,0))),IF(AV112="PT",IF(AZ112&lt;PT_First,0,1+INT((AZ112-PT_First)/PT_Int)),0)),0))</f>
        <v/>
      </c>
      <c r="BE112" s="16" t="str">
        <f aca="false">IF(AK112=0,"",IF(AT112="FT",IF(BB112&lt;FT_First,0,IF(BB112&lt;FT_Y5,1+INT((BB112-FT_First)/FT_Int1),FT_PreY5+FT_PerYear*INT((BB112-FT_Y5)/12)+FT_AnnivDays+INT(MOD(BB112-FT_Y5,12)/FT_Int2)-IF(EDATE(AL112,FT_Y5)&lt;PolicyEff,FT_AnnivDays-1,0))),IF(AT112="PT",IF(BB112&lt;PT_First,0,1+INT((BB112-PT_First)/PT_Int)),0))+IF(AND(AM112&gt;=2,AO112&lt;=PFYDate),IF(AU112="FT",IF(BC112&lt;FT_First,0,IF(BC112&lt;FT_Y5,1+INT((BC112-FT_First)/FT_Int1),FT_PreY5+FT_PerYear*INT((BC112-FT_Y5)/12)+FT_AnnivDays+INT(MOD(BC112-FT_Y5,12)/FT_Int2)-IF(EDATE(AL112,FT_Y5)&lt;PolicyEff,FT_AnnivDays-1,0))),IF(AU112="PT",IF(BC112&lt;PT_First,0,1+INT((BC112-PT_First)/PT_Int)),0))-IF(AU112="FT",IF(BB112&lt;FT_First,0,IF(BB112&lt;FT_Y5,1+INT((BB112-FT_First)/FT_Int1),FT_PreY5+FT_PerYear*INT((BB112-FT_Y5)/12)+FT_AnnivDays+INT(MOD(BB112-FT_Y5,12)/FT_Int2)-IF(EDATE(AL112,FT_Y5)&lt;PolicyEff,FT_AnnivDays-1,0))),IF(AU112="PT",IF(BB112&lt;PT_First,0,1+INT((BB112-PT_First)/PT_Int)),0)),0)+IF(AND(AM112&gt;=3,AP112&lt;=PFYDate),IF(AV112="FT",IF(BA112&lt;FT_First,0,IF(BA112&lt;FT_Y5,1+INT((BA112-FT_First)/FT_Int1),FT_PreY5+FT_PerYear*INT((BA112-FT_Y5)/12)+FT_AnnivDays+INT(MOD(BA112-FT_Y5,12)/FT_Int2)-IF(EDATE(AL112,FT_Y5)&lt;PolicyEff,FT_AnnivDays-1,0))),IF(AV112="PT",IF(BA112&lt;PT_First,0,1+INT((BA112-PT_First)/PT_Int)),0))-IF(AV112="FT",IF(BC112&lt;FT_First,0,IF(BC112&lt;FT_Y5,1+INT((BC112-FT_First)/FT_Int1),FT_PreY5+FT_PerYear*INT((BC112-FT_Y5)/12)+FT_AnnivDays+INT(MOD(BC112-FT_Y5,12)/FT_Int2)-IF(EDATE(AL112,FT_Y5)&lt;PolicyEff,FT_AnnivDays-1,0))),IF(AV112="PT",IF(BC112&lt;PT_First,0,1+INT((BC112-PT_First)/PT_Int)),0)),0))</f>
        <v/>
      </c>
      <c r="BF112" s="16" t="str">
        <f aca="false">IF(AK112=0,"",IF(AW112="FT",IF(AX112&lt;FT_First,FT_First,IF(AX112&lt;FT_Y5,MIN(FT_Y5,FT_First+FT_Int1*(INT((AX112-FT_First)/FT_Int1)+1)),FT_Y5+12*INT((AX112-FT_Y5)/12)+FT_Int2*(INT(MOD(AX112-FT_Y5,12)/FT_Int2)+1))),IF(AW112="PT",IF(AX112&lt;PT_First,PT_First,PT_First+PT_Int*(INT((AX112-PT_First)/PT_Int)+1)),"")))</f>
        <v/>
      </c>
      <c r="BG112" s="16" t="str">
        <f aca="false">IF(AK112=0,"",IF(NOT(LH_Ready),0,COUNTIFS(INDEX(LH_Data,0,LH_ColFirst),$A112,INDEX(LH_Data,0,LH_ColSur),$B112,INDEX(LH_Data,0,LH_ColCat),BonusCat)))</f>
        <v/>
      </c>
      <c r="BH112" s="16" t="str">
        <f aca="false">IF(AK112=0,"",IF(OR(NOT(LH_Ready),BG112=0),0,SUMPRODUCT(MAX((INDEX(LH_Data,0,LH_ColFirst)=$A112)*(INDEX(LH_Data,0,LH_ColSur)=$B112)*(INDEX(LH_Data,0,LH_ColCat)=BonusCat)*ROW(LH_Data)))))</f>
        <v/>
      </c>
      <c r="BI112" s="16" t="str">
        <f aca="false">IF(AK112=0,"",IF(EOMONTH(AsOfDate,-1)&lt;AL112,-1,12*(YEAR(EOMONTH(AsOfDate,-1))-YEAR(AL112))+MONTH(EOMONTH(AsOfDate,-1))-MONTH(AL112)-IF(DAY(EOMONTH(AsOfDate,-1))&lt;MIN(DAY(AL112),DAY(EOMONTH(EOMONTH(AsOfDate,-1),0))),1,0)))</f>
        <v/>
      </c>
      <c r="BJ112" s="16" t="str">
        <f aca="false">IF(AK112=0,"",IF(OR(AM112&lt;2,AO112&gt;EOMONTH(AsOfDate,-1)),BI112,IF((AO112-1)&lt;AL112,-1,12*(YEAR((AO112-1))-YEAR(AL112))+MONTH((AO112-1))-MONTH(AL112)-IF(DAY((AO112-1))&lt;MIN(DAY(AL112),DAY(EOMONTH((AO112-1),0))),1,0))))</f>
        <v/>
      </c>
      <c r="BK112" s="16" t="str">
        <f aca="false">IF(AK112=0,"",IF(OR(AM112&lt;3,AP112&gt;EOMONTH(AsOfDate,-1)),BI112,IF((AP112-1)&lt;AL112,-1,12*(YEAR((AP112-1))-YEAR(AL112))+MONTH((AP112-1))-MONTH(AL112)-IF(DAY((AP112-1))&lt;MIN(DAY(AL112),DAY(EOMONTH((AP112-1),0))),1,0))))</f>
        <v/>
      </c>
      <c r="BL112" s="16" t="str">
        <f aca="false">IF(AK112=0,"",IF(AT112="FT",IF(BJ112&lt;FT_First,0,IF(BJ112&lt;FT_Y5,1+INT((BJ112-FT_First)/FT_Int1),FT_PreY5+FT_PerYear*INT((BJ112-FT_Y5)/12)+FT_AnnivDays+INT(MOD(BJ112-FT_Y5,12)/FT_Int2)-IF(EDATE(AL112,FT_Y5)&lt;PolicyEff,FT_AnnivDays-1,0))),IF(AT112="PT",IF(BJ112&lt;PT_First,0,1+INT((BJ112-PT_First)/PT_Int)),0))+IF(AND(AM112&gt;=2,AO112&lt;=EOMONTH(AsOfDate,-1)),IF(AU112="FT",IF(BK112&lt;FT_First,0,IF(BK112&lt;FT_Y5,1+INT((BK112-FT_First)/FT_Int1),FT_PreY5+FT_PerYear*INT((BK112-FT_Y5)/12)+FT_AnnivDays+INT(MOD(BK112-FT_Y5,12)/FT_Int2)-IF(EDATE(AL112,FT_Y5)&lt;PolicyEff,FT_AnnivDays-1,0))),IF(AU112="PT",IF(BK112&lt;PT_First,0,1+INT((BK112-PT_First)/PT_Int)),0))-IF(AU112="FT",IF(BJ112&lt;FT_First,0,IF(BJ112&lt;FT_Y5,1+INT((BJ112-FT_First)/FT_Int1),FT_PreY5+FT_PerYear*INT((BJ112-FT_Y5)/12)+FT_AnnivDays+INT(MOD(BJ112-FT_Y5,12)/FT_Int2)-IF(EDATE(AL112,FT_Y5)&lt;PolicyEff,FT_AnnivDays-1,0))),IF(AU112="PT",IF(BJ112&lt;PT_First,0,1+INT((BJ112-PT_First)/PT_Int)),0)),0)+IF(AND(AM112&gt;=3,AP112&lt;=EOMONTH(AsOfDate,-1)),IF(AV112="FT",IF(BI112&lt;FT_First,0,IF(BI112&lt;FT_Y5,1+INT((BI112-FT_First)/FT_Int1),FT_PreY5+FT_PerYear*INT((BI112-FT_Y5)/12)+FT_AnnivDays+INT(MOD(BI112-FT_Y5,12)/FT_Int2)-IF(EDATE(AL112,FT_Y5)&lt;PolicyEff,FT_AnnivDays-1,0))),IF(AV112="PT",IF(BI112&lt;PT_First,0,1+INT((BI112-PT_First)/PT_Int)),0))-IF(AV112="FT",IF(BK112&lt;FT_First,0,IF(BK112&lt;FT_Y5,1+INT((BK112-FT_First)/FT_Int1),FT_PreY5+FT_PerYear*INT((BK112-FT_Y5)/12)+FT_AnnivDays+INT(MOD(BK112-FT_Y5,12)/FT_Int2)-IF(EDATE(AL112,FT_Y5)&lt;PolicyEff,FT_AnnivDays-1,0))),IF(AV112="PT",IF(BK112&lt;PT_First,0,1+INT((BK112-PT_First)/PT_Int)),0)),0))</f>
        <v/>
      </c>
      <c r="BM112" s="16" t="str">
        <f aca="false">IF(AK112=0,"",IF(AW112="FT",IF(AX112&lt;FT_First,"",IF(AX112&lt;FT_Y5,FT_First+FT_Int1*INT((AX112-FT_First)/FT_Int1),FT_Y5+FT_Int2*INT((AX112-FT_Y5)/FT_Int2))),IF(AW112="PT",IF(AX112&lt;PT_First,"",PT_First+PT_Int*INT((AX112-PT_First)/PT_Int)),"")))</f>
        <v/>
      </c>
      <c r="BN112" s="16" t="str">
        <f aca="false">IF(AK112=0,"",IF((SchemeStart-1)&lt;AL112,-1,12*(YEAR((SchemeStart-1))-YEAR(AL112))+MONTH((SchemeStart-1))-MONTH(AL112)-IF(DAY((SchemeStart-1))&lt;MIN(DAY(AL112),DAY(EOMONTH((SchemeStart-1),0))),1,0)))</f>
        <v/>
      </c>
      <c r="BO112" s="16" t="str">
        <f aca="false">IF(AK112=0,"",IF(OR(AM112&lt;2,AO112&gt;(SchemeStart-1)),BN112,IF((AO112-1)&lt;AL112,-1,12*(YEAR((AO112-1))-YEAR(AL112))+MONTH((AO112-1))-MONTH(AL112)-IF(DAY((AO112-1))&lt;MIN(DAY(AL112),DAY(EOMONTH((AO112-1),0))),1,0))))</f>
        <v/>
      </c>
      <c r="BP112" s="16" t="str">
        <f aca="false">IF(AK112=0,"",IF(OR(AM112&lt;3,AP112&gt;(SchemeStart-1)),BN112,IF((AP112-1)&lt;AL112,-1,12*(YEAR((AP112-1))-YEAR(AL112))+MONTH((AP112-1))-MONTH(AL112)-IF(DAY((AP112-1))&lt;MIN(DAY(AL112),DAY(EOMONTH((AP112-1),0))),1,0))))</f>
        <v/>
      </c>
      <c r="BQ112" s="16" t="str">
        <f aca="false">IF(AK112=0,"",IF(AT112="FT",IF(BO112&lt;FT_First,0,IF(BO112&lt;FT_Y5,1+INT((BO112-FT_First)/FT_Int1),FT_PreY5+FT_PerYear*INT((BO112-FT_Y5)/12)+FT_AnnivDays+INT(MOD(BO112-FT_Y5,12)/FT_Int2)-IF(EDATE(AL112,FT_Y5)&lt;PolicyEff,FT_AnnivDays-1,0))),IF(AT112="PT",IF(BO112&lt;PT_First,0,1+INT((BO112-PT_First)/PT_Int)),0))+IF(AND(AM112&gt;=2,AO112&lt;=(SchemeStart-1)),IF(AU112="FT",IF(BP112&lt;FT_First,0,IF(BP112&lt;FT_Y5,1+INT((BP112-FT_First)/FT_Int1),FT_PreY5+FT_PerYear*INT((BP112-FT_Y5)/12)+FT_AnnivDays+INT(MOD(BP112-FT_Y5,12)/FT_Int2)-IF(EDATE(AL112,FT_Y5)&lt;PolicyEff,FT_AnnivDays-1,0))),IF(AU112="PT",IF(BP112&lt;PT_First,0,1+INT((BP112-PT_First)/PT_Int)),0))-IF(AU112="FT",IF(BO112&lt;FT_First,0,IF(BO112&lt;FT_Y5,1+INT((BO112-FT_First)/FT_Int1),FT_PreY5+FT_PerYear*INT((BO112-FT_Y5)/12)+FT_AnnivDays+INT(MOD(BO112-FT_Y5,12)/FT_Int2)-IF(EDATE(AL112,FT_Y5)&lt;PolicyEff,FT_AnnivDays-1,0))),IF(AU112="PT",IF(BO112&lt;PT_First,0,1+INT((BO112-PT_First)/PT_Int)),0)),0)+IF(AND(AM112&gt;=3,AP112&lt;=(SchemeStart-1)),IF(AV112="FT",IF(BN112&lt;FT_First,0,IF(BN112&lt;FT_Y5,1+INT((BN112-FT_First)/FT_Int1),FT_PreY5+FT_PerYear*INT((BN112-FT_Y5)/12)+FT_AnnivDays+INT(MOD(BN112-FT_Y5,12)/FT_Int2)-IF(EDATE(AL112,FT_Y5)&lt;PolicyEff,FT_AnnivDays-1,0))),IF(AV112="PT",IF(BN112&lt;PT_First,0,1+INT((BN112-PT_First)/PT_Int)),0))-IF(AV112="FT",IF(BP112&lt;FT_First,0,IF(BP112&lt;FT_Y5,1+INT((BP112-FT_First)/FT_Int1),FT_PreY5+FT_PerYear*INT((BP112-FT_Y5)/12)+FT_AnnivDays+INT(MOD(BP112-FT_Y5,12)/FT_Int2)-IF(EDATE(AL112,FT_Y5)&lt;PolicyEff,FT_AnnivDays-1,0))),IF(AV112="PT",IF(BP112&lt;PT_First,0,1+INT((BP112-PT_First)/PT_Int)),0)),0))</f>
        <v/>
      </c>
      <c r="BR112" s="0" t="str">
        <f aca="false">IF(LEN($A112&amp;$B112)=0,"",$A112&amp;" "&amp;$B112)</f>
        <v/>
      </c>
    </row>
    <row r="113" customFormat="false" ht="15" hidden="false" customHeight="false" outlineLevel="0" collapsed="false">
      <c r="A113" s="12"/>
      <c r="B113" s="12"/>
      <c r="C113" s="12"/>
      <c r="D113" s="13"/>
      <c r="E113" s="14" t="str">
        <f aca="false">IF(OR(AK113=0,$D113=""),"",DATE(YEAR(AsOfDate)+IF(DATE(YEAR(AsOfDate),MONTH($D113),DAY($D113))&lt;=AsOfDate,1,0),MONTH($D113),DAY($D113)))</f>
        <v/>
      </c>
      <c r="F113" s="13"/>
      <c r="G113" s="13"/>
      <c r="H113" s="13"/>
      <c r="I113" s="13"/>
      <c r="J113" s="13"/>
      <c r="K113" s="14" t="str">
        <f aca="false">IF(AK113=0,"",DATE(YEAR(AsOfDate)+IF(DATE(YEAR(AsOfDate),MONTH(AL113),DAY(AL113))&lt;=AsOfDate,1,0),MONTH(AL113),DAY(AL113)))</f>
        <v/>
      </c>
      <c r="L113" s="15" t="str">
        <f aca="false">IF(AK113=0,"",ROUND((AsOfDate-AL113)/365.25,1))</f>
        <v/>
      </c>
      <c r="M113" s="16" t="str">
        <f aca="false">IF(AK113=0,"",IF(AsOfDate&lt;AL113,"-",DATEDIF(AL113,AsOfDate,"y")&amp;"y "&amp;DATEDIF(AL113,AsOfDate,"ym")&amp;"m "&amp;DATEDIF(AL113,AsOfDate,"md")&amp;"d"))</f>
        <v/>
      </c>
      <c r="N113" s="17" t="str">
        <f aca="false">IF(AK113=0,"",O113*HoursPerDay)</f>
        <v/>
      </c>
      <c r="O113" s="17" t="str">
        <f aca="false">IF(AK113=0,"",MAX(0,BD113-BQ113))</f>
        <v/>
      </c>
      <c r="P113" s="18"/>
      <c r="Q113" s="16" t="str">
        <f aca="false">IF(AK113=0,"",IF(AM113&lt;2,"",AQ113&amp;" to "&amp;AR113&amp;" on "&amp;TEXT(AO113,"dd/mm/yyyy")&amp;IF(AO113&gt;AsOfDate," (future)",IF(AT113=AU113,"",IF(AU113="None"," - STOPPED accruing",IF(AT113="None"," - commencement for Bonus Leave"," - pathway changed"))))&amp;IF(AM113&lt;3,"","; "&amp;AR113&amp;" to "&amp;AS113&amp;" on "&amp;TEXT(AP113,"dd/mm/yyyy")&amp;IF(AP113&gt;AsOfDate," (future)",IF(AU113=AV113,"",IF(AV113="None"," - STOPPED accruing",IF(AU113="None"," - commencement for Bonus Leave"," - pathway changed")))))))</f>
        <v/>
      </c>
      <c r="R113" s="16" t="str">
        <f aca="false">IF(AK113=0,"",IF(AW113="None",IF(O113&gt;0,"No longer accruing","Not eligible - "&amp;IF(AND(OR(ISNUMBER(SEARCH("part",$C113)),UPPER(TRIM($C113))="PT",UPPER(TRIM($C113))="PTE"),Apply2026="No"),"part-time (scheme is full-time only)",IF(AND(OR(ISNUMBER(SEARCH("part",$C113)),UPPER(TRIM($C113))="PT",UPPER(TRIM($C113))="PTE"),$P113&lt;&gt;"",N($P113)&lt;PT_MinHours),"under "&amp;PT_MinHours&amp;" hrs",IF(IF($C113="","",IF(OR(ISNUMBER(SEARCH("full",$C113)),UPPER(TRIM($C113))="FT",UPPER(TRIM($C113))="FTE"),"Full-Time",IF(OR(ISNUMBER(SEARCH("part",$C113)),UPPER(TRIM($C113))="PT",UPPER(TRIM($C113))="PTE"),"Part-Time",IF(OR(ISNUMBER(SEARCH("cas",$C113)),UPPER(TRIM($C113))="CAS"),"Casual","Unknown"))))="Unknown","type not recognised",$C113)))),IF(O113&gt;0,"Yes - Accrual Required","Not yet - from "&amp;TEXT(S113,"dd/mm/yyyy"))))</f>
        <v/>
      </c>
      <c r="S113" s="14" t="str">
        <f aca="false">IF(AK113=0,"",IF(AW113="None","",EDATE(AL113,BF113)))</f>
        <v/>
      </c>
      <c r="T113" s="17" t="str">
        <f aca="false">IF(AK113=0,"",IF(NOT(LH_Ready),"",IF($F113&gt;PFYDate,0,IF(LH_ColPeriod=0,W113-U113+V113,SUMIFS(INDEX(LH_Data,0,LH_ColAcc),INDEX(LH_Data,0,LH_ColFirst),$A113,INDEX(LH_Data,0,LH_ColSur),$B113,INDEX(LH_Data,0,LH_ColCat),BonusCat,INDEX(LH_Data,0,LH_ColPeriod),LH_OpenLabel)*UnitFactor))))</f>
        <v/>
      </c>
      <c r="U113" s="17" t="str">
        <f aca="false">IF(AK113=0,"",IF(NOT(LH_Ready),"",SUMIFS(INDEX(LH_Data,0,LH_ColAcc),INDEX(LH_Data,0,LH_ColFirst),$A113,INDEX(LH_Data,0,LH_ColSur),$B113,INDEX(LH_Data,0,LH_ColCat),BonusCat,INDEX(LH_Data,0,LH_ColStart),"&gt;="&amp;AL113)*UnitFactor))</f>
        <v/>
      </c>
      <c r="V113" s="17" t="str">
        <f aca="false">IF(AK113=0,"",IF(NOT(LH_Ready),"",SUMIFS(INDEX(LH_Data,0,LH_ColTaken),INDEX(LH_Data,0,LH_ColFirst),$A113,INDEX(LH_Data,0,LH_ColSur),$B113,INDEX(LH_Data,0,LH_ColCat),BonusCat,INDEX(LH_Data,0,LH_ColStart),"&gt;="&amp;AL113)*UnitFactor))</f>
        <v/>
      </c>
      <c r="W113" s="17" t="str">
        <f aca="false">IF(AK113=0,"",IF(NOT(LH_Ready),"",IF(BH113=0,0,INDEX(INDEX(LH_Data,0,LH_ColClose),BH113-1)*UnitFactor)))</f>
        <v/>
      </c>
      <c r="X113" s="17" t="str">
        <f aca="false">IF(AK113=0,"",(MAX(0,BD113-BQ113)-MAX(0,BE113-BQ113))*HoursPerDay)</f>
        <v/>
      </c>
      <c r="Y113" s="17" t="str">
        <f aca="false">IF(AK113=0,"",IF(NOT(LH_Ready),"",IF($AI113="Yes",N(AE113)*HoursPerDay-SUMIFS(INDEX(LH_Data,0,LH_ColAcc),INDEX(LH_Data,0,LH_ColFirst),$A113,INDEX(LH_Data,0,LH_ColSur),$B113,INDEX(LH_Data,0,LH_ColCat),BonusCat,INDEX(LH_Data,0,LH_ColStart),"&gt;="&amp;(EOMONTH(AsOfDate,-1)+1),INDEX(LH_Data,0,LH_ColStart),"&lt;="&amp;AsOfDate)*UnitFactor,IF(BG113=0,N113,N113-N(T113)-N(U113)))))</f>
        <v/>
      </c>
      <c r="Z113" s="16" t="str">
        <f aca="false">IF(OR(AK113=0,Y113=""),"",IF(Y113&gt;0,"Yes","No"))</f>
        <v/>
      </c>
      <c r="AA113" s="16" t="str">
        <f aca="false">IF(AK113=0,IF(LEN($A113&amp;$B113)=0,"","FIX INPUT - StartDate missing"),IF(AD113&lt;&gt;"","FIX INPUT - "&amp;AD113,IF(NOT(LH_Ready),"Paste Leave History export (Settings must show YES)",IF(AND($AI113="Yes",Y113&lt;=0),"OK - EH balance accepted to date"&amp;IF(N(AH113)&gt;0," (EH holds "&amp;AH113&amp;" hrs over the scheme)","")&amp;"; next day "&amp;TEXT(S113,"dd mmm yy")&amp;IF(N(AE113)&gt;0," ("&amp;AE113&amp;" day(s) for "&amp;UPPER(TEXT(AsOfDate,"mmm yyyy"))&amp;" already in EH)",""),IF(Y113&gt;0,"ACCRUE "&amp;ROUND(Y113,2)&amp;" hrs ("&amp;ROUND(Y113/HoursPerDay,2)&amp;" days): "&amp;IF(N(AE113)&gt;0,AE113&amp;" day(s) for "&amp;UPPER(TEXT(AsOfDate,"mmm yyyy"))&amp;" (milestone "&amp;UPPER(TEXT(AF113,"dd mmm yy"))&amp;")"&amp;IF(Y113/HoursPerDay&gt;AE113+0.001," + "&amp;ROUND(Y113/HoursPerDay-AE113,2)&amp;" day(s) catch-up from earlier months",""),"all catch-up from earlier months, nothing new this month")&amp;IF(BG113=0,"; no Bonus Leave in EH yet",""),IF(Y113&lt;0,"CHECK - EH accrued "&amp;ROUND(-Y113,2)&amp;" hrs more than policy since commencement",IF(N(W113)&gt;O113*HoursPerDay+0.01,"CHECK - EH balance "&amp;ROUND(W113-O113*HoursPerDay,2)&amp;" hrs more than policy entitlement",IF(O113&gt;0,"OK - nothing to add"&amp;IF(N(AE113)&gt;0," ("&amp;AE113&amp;" day(s) for "&amp;UPPER(TEXT(AsOfDate,"mmm yyyy"))&amp;" already in EH)",""),IF(AW113="None",R113,"Not yet - first day on "&amp;TEXT(S113,"dd/mm/yyyy"))))))))))</f>
        <v/>
      </c>
      <c r="AB113" s="17" t="str">
        <f aca="false">IF(OR(AK113=0,T113=""),"",MAX(0,BE113-BQ113)*HoursPerDay-T113)</f>
        <v/>
      </c>
      <c r="AC113" s="16" t="str">
        <f aca="false">IF(AK113=0,"",BG113)</f>
        <v/>
      </c>
      <c r="AD113" s="16" t="str">
        <f aca="false">IF(AK113=0,"",TRIM(IF(OR(ISTEXT($F113),ISTEXT($H113),ISTEXT($I113),ISTEXT($G113),ISTEXT($J113),ISTEXT($D113)),"A date is typed as text - retype it as dd/mm/yyyy. ","")&amp;IF(IF($C113="","",IF(OR(ISNUMBER(SEARCH("full",$C113)),UPPER(TRIM($C113))="FT",UPPER(TRIM($C113))="FTE"),"Full-Time",IF(OR(ISNUMBER(SEARCH("part",$C113)),UPPER(TRIM($C113))="PT",UPPER(TRIM($C113))="PTE"),"Part-Time",IF(OR(ISNUMBER(SEARCH("cas",$C113)),UPPER(TRIM($C113))="CAS"),"Casual","Unknown"))))="Unknown","EmploymentType not recognised - use Full-Time, Part-Time or Casual. ","")&amp;IF(AND(AM113&gt;=1,IF(AM113&gt;=3,AS113,IF(AM113=2,AR113,AQ113))&lt;&gt;IF($C113="","",IF(OR(ISNUMBER(SEARCH("full",$C113)),UPPER(TRIM($C113))="FT",UPPER(TRIM($C113))="FTE"),"Full-Time",IF(OR(ISNUMBER(SEARCH("part",$C113)),UPPER(TRIM($C113))="PT",UPPER(TRIM($C113))="PTE"),"Part-Time",IF(OR(ISNUMBER(SEARCH("cas",$C113)),UPPER(TRIM($C113))="CAS"),"Casual","Unknown"))))),"EmploymentType does not match latest start date ("&amp;IF(AM113&gt;=3,AS113,IF(AM113=2,AR113,AQ113))&amp;"). ","")&amp;IF(AND(AM113&gt;=1,AN113&lt;&gt;$F113),"Earliest type date should equal StartDate. ","")&amp;IF(AND(AM113&gt;=2,AN113=AO113),"Two types start on the same date. ","")&amp;IF(AND(OR(ISNUMBER(SEARCH("part",$C113)),UPPER(TRIM($C113))="PT",UPPER(TRIM($C113))="PTE"),$P113=""),"Part-time: enter PT Hrs/Week (blank = 24+). ","")))</f>
        <v/>
      </c>
      <c r="AE113" s="17" t="str">
        <f aca="false">IF(AK113=0,"",O113-MAX(0,BL113-BQ113))</f>
        <v/>
      </c>
      <c r="AF113" s="14" t="str">
        <f aca="false">IF(OR(AK113=0,AE113="",N(AE113)=0,BM113=""),"",EDATE(AL113,BM113))</f>
        <v/>
      </c>
      <c r="AG113" s="17" t="str">
        <f aca="false">IF(AK113=0,"",MIN(BD113,BQ113))</f>
        <v/>
      </c>
      <c r="AH113" s="17" t="str">
        <f aca="false">IF(AK113=0,"",IF(NOT(LH_Ready),"",IF(BG113=0,0,MAX(0,ROUND(N(T113)+N(U113)-N113,2)))))</f>
        <v/>
      </c>
      <c r="AI113" s="12"/>
      <c r="AJ113" s="12"/>
      <c r="AK113" s="16" t="n">
        <f aca="false">IF(OR(LEN($A113&amp;$B113)=0,$F113=""),0,1)</f>
        <v>0</v>
      </c>
      <c r="AL113" s="14" t="str">
        <f aca="false">IF(AK113=0,"",IF(PreSchemeCounts="No",MAX(SchemeStart,IF($J113&lt;&gt;"",$J113,IF(OR(CasualCounts="Yes",COUNT($G113:$I113)=0),$F113,IF(Apply2026="No",IF($I113="",$F113,$I113),IF(COUNT($H113:$I113)=0,$F113,MIN($H113:$I113)))))),IF($J113&lt;&gt;"",$J113,IF(OR(CasualCounts="Yes",COUNT($G113:$I113)=0),$F113,IF(Apply2026="No",IF($I113="",$F113,$I113),IF(COUNT($H113:$I113)=0,$F113,MIN($H113:$I113)))))))</f>
        <v/>
      </c>
      <c r="AM113" s="16" t="str">
        <f aca="false">IF(AK113=0,"",COUNT($G113:$I113))</f>
        <v/>
      </c>
      <c r="AN113" s="14" t="str">
        <f aca="false">IF(AK113=0,"",IFERROR(SMALL($G113:$I113,1),""))</f>
        <v/>
      </c>
      <c r="AO113" s="14" t="str">
        <f aca="false">IF(AK113=0,"",IFERROR(SMALL($G113:$I113,2),""))</f>
        <v/>
      </c>
      <c r="AP113" s="14" t="str">
        <f aca="false">IF(AK113=0,"",IFERROR(SMALL($G113:$I113,3),""))</f>
        <v/>
      </c>
      <c r="AQ113" s="16" t="str">
        <f aca="false">IF(AK113=0,"",IF(AN113="","",IF(AN113=$H113,"Part-Time",IF(AN113=$I113,"Full-Time","Casual"))))</f>
        <v/>
      </c>
      <c r="AR113" s="16" t="str">
        <f aca="false">IF(AK113=0,"",IF(AO113="","",IF(AO113=$H113,"Part-Time",IF(AO113=$I113,"Full-Time","Casual"))))</f>
        <v/>
      </c>
      <c r="AS113" s="16" t="str">
        <f aca="false">IF(AK113=0,"",IF(AP113="","",IF(AP113=$H113,"Part-Time",IF(AP113=$I113,"Full-Time","Casual"))))</f>
        <v/>
      </c>
      <c r="AT113" s="16" t="str">
        <f aca="false">IF(AK113=0,"",IF(AM113=0,IF(OR(ISNUMBER(SEARCH("full",$C113)),UPPER(TRIM($C113))="FT",UPPER(TRIM($C113))="FTE"),"FT",IF(AND(OR(ISNUMBER(SEARCH("part",$C113)),UPPER(TRIM($C113))="PT",UPPER(TRIM($C113))="PTE"),Apply2026="Yes",OR($P113="",N($P113)&gt;=PT_MinHours)),"PT","None")),IF(OR(ISNUMBER(SEARCH("full",AQ113)),UPPER(TRIM(AQ113))="FT",UPPER(TRIM(AQ113))="FTE"),"FT",IF(AND(OR(ISNUMBER(SEARCH("part",AQ113)),UPPER(TRIM(AQ113))="PT",UPPER(TRIM(AQ113))="PTE"),Apply2026="Yes",OR($P113="",N($P113)&gt;=PT_MinHours)),"PT","None"))))</f>
        <v/>
      </c>
      <c r="AU113" s="16" t="str">
        <f aca="false">IF(AK113=0,"",IF(AM113&lt;2,"",IF(OR(ISNUMBER(SEARCH("full",AR113)),UPPER(TRIM(AR113))="FT",UPPER(TRIM(AR113))="FTE"),"FT",IF(AND(OR(ISNUMBER(SEARCH("part",AR113)),UPPER(TRIM(AR113))="PT",UPPER(TRIM(AR113))="PTE"),Apply2026="Yes",OR($P113="",N($P113)&gt;=PT_MinHours)),"PT","None"))))</f>
        <v/>
      </c>
      <c r="AV113" s="16" t="str">
        <f aca="false">IF(AK113=0,"",IF(AM113&lt;3,"",IF(OR(ISNUMBER(SEARCH("full",AS113)),UPPER(TRIM(AS113))="FT",UPPER(TRIM(AS113))="FTE"),"FT",IF(AND(OR(ISNUMBER(SEARCH("part",AS113)),UPPER(TRIM(AS113))="PT",UPPER(TRIM(AS113))="PTE"),Apply2026="Yes",OR($P113="",N($P113)&gt;=PT_MinHours)),"PT","None"))))</f>
        <v/>
      </c>
      <c r="AW113" s="16" t="str">
        <f aca="false">IF(AK113=0,"",IF(AND(AM113&gt;=3,AP113&lt;=AsOfDate),AV113,IF(AND(AM113&gt;=2,AO113&lt;=AsOfDate),AU113,AT113)))</f>
        <v/>
      </c>
      <c r="AX113" s="16" t="str">
        <f aca="false">IF(AK113=0,"",IF(AsOfDate&lt;AL113,-1,12*(YEAR(AsOfDate)-YEAR(AL113))+MONTH(AsOfDate)-MONTH(AL113)-IF(DAY(AsOfDate)&lt;MIN(DAY(AL113),DAY(EOMONTH(AsOfDate,0))),1,0)))</f>
        <v/>
      </c>
      <c r="AY113" s="16" t="str">
        <f aca="false">IF(AK113=0,"",IF(OR(AM113&lt;2,AO113&gt;AsOfDate),AX113,IF((AO113-1)&lt;AL113,-1,12*(YEAR((AO113-1))-YEAR(AL113))+MONTH((AO113-1))-MONTH(AL113)-IF(DAY((AO113-1))&lt;MIN(DAY(AL113),DAY(EOMONTH((AO113-1),0))),1,0))))</f>
        <v/>
      </c>
      <c r="AZ113" s="16" t="str">
        <f aca="false">IF(AK113=0,"",IF(OR(AM113&lt;3,AP113&gt;AsOfDate),AX113,IF((AP113-1)&lt;AL113,-1,12*(YEAR((AP113-1))-YEAR(AL113))+MONTH((AP113-1))-MONTH(AL113)-IF(DAY((AP113-1))&lt;MIN(DAY(AL113),DAY(EOMONTH((AP113-1),0))),1,0))))</f>
        <v/>
      </c>
      <c r="BA113" s="16" t="str">
        <f aca="false">IF(AK113=0,"",IF(PFYDate&lt;AL113,-1,12*(YEAR(PFYDate)-YEAR(AL113))+MONTH(PFYDate)-MONTH(AL113)-IF(DAY(PFYDate)&lt;MIN(DAY(AL113),DAY(EOMONTH(PFYDate,0))),1,0)))</f>
        <v/>
      </c>
      <c r="BB113" s="16" t="str">
        <f aca="false">IF(AK113=0,"",IF(OR(AM113&lt;2,AO113&gt;PFYDate),BA113,IF((AO113-1)&lt;AL113,-1,12*(YEAR((AO113-1))-YEAR(AL113))+MONTH((AO113-1))-MONTH(AL113)-IF(DAY((AO113-1))&lt;MIN(DAY(AL113),DAY(EOMONTH((AO113-1),0))),1,0))))</f>
        <v/>
      </c>
      <c r="BC113" s="16" t="str">
        <f aca="false">IF(AK113=0,"",IF(OR(AM113&lt;3,AP113&gt;PFYDate),BA113,IF((AP113-1)&lt;AL113,-1,12*(YEAR((AP113-1))-YEAR(AL113))+MONTH((AP113-1))-MONTH(AL113)-IF(DAY((AP113-1))&lt;MIN(DAY(AL113),DAY(EOMONTH((AP113-1),0))),1,0))))</f>
        <v/>
      </c>
      <c r="BD113" s="16" t="str">
        <f aca="false">IF(AK113=0,"",IF(AT113="FT",IF(AY113&lt;FT_First,0,IF(AY113&lt;FT_Y5,1+INT((AY113-FT_First)/FT_Int1),FT_PreY5+FT_PerYear*INT((AY113-FT_Y5)/12)+FT_AnnivDays+INT(MOD(AY113-FT_Y5,12)/FT_Int2)-IF(EDATE(AL113,FT_Y5)&lt;PolicyEff,FT_AnnivDays-1,0))),IF(AT113="PT",IF(AY113&lt;PT_First,0,1+INT((AY113-PT_First)/PT_Int)),0))+IF(AND(AM113&gt;=2,AO113&lt;=AsOfDate),IF(AU113="FT",IF(AZ113&lt;FT_First,0,IF(AZ113&lt;FT_Y5,1+INT((AZ113-FT_First)/FT_Int1),FT_PreY5+FT_PerYear*INT((AZ113-FT_Y5)/12)+FT_AnnivDays+INT(MOD(AZ113-FT_Y5,12)/FT_Int2)-IF(EDATE(AL113,FT_Y5)&lt;PolicyEff,FT_AnnivDays-1,0))),IF(AU113="PT",IF(AZ113&lt;PT_First,0,1+INT((AZ113-PT_First)/PT_Int)),0))-IF(AU113="FT",IF(AY113&lt;FT_First,0,IF(AY113&lt;FT_Y5,1+INT((AY113-FT_First)/FT_Int1),FT_PreY5+FT_PerYear*INT((AY113-FT_Y5)/12)+FT_AnnivDays+INT(MOD(AY113-FT_Y5,12)/FT_Int2)-IF(EDATE(AL113,FT_Y5)&lt;PolicyEff,FT_AnnivDays-1,0))),IF(AU113="PT",IF(AY113&lt;PT_First,0,1+INT((AY113-PT_First)/PT_Int)),0)),0)+IF(AND(AM113&gt;=3,AP113&lt;=AsOfDate),IF(AV113="FT",IF(AX113&lt;FT_First,0,IF(AX113&lt;FT_Y5,1+INT((AX113-FT_First)/FT_Int1),FT_PreY5+FT_PerYear*INT((AX113-FT_Y5)/12)+FT_AnnivDays+INT(MOD(AX113-FT_Y5,12)/FT_Int2)-IF(EDATE(AL113,FT_Y5)&lt;PolicyEff,FT_AnnivDays-1,0))),IF(AV113="PT",IF(AX113&lt;PT_First,0,1+INT((AX113-PT_First)/PT_Int)),0))-IF(AV113="FT",IF(AZ113&lt;FT_First,0,IF(AZ113&lt;FT_Y5,1+INT((AZ113-FT_First)/FT_Int1),FT_PreY5+FT_PerYear*INT((AZ113-FT_Y5)/12)+FT_AnnivDays+INT(MOD(AZ113-FT_Y5,12)/FT_Int2)-IF(EDATE(AL113,FT_Y5)&lt;PolicyEff,FT_AnnivDays-1,0))),IF(AV113="PT",IF(AZ113&lt;PT_First,0,1+INT((AZ113-PT_First)/PT_Int)),0)),0))</f>
        <v/>
      </c>
      <c r="BE113" s="16" t="str">
        <f aca="false">IF(AK113=0,"",IF(AT113="FT",IF(BB113&lt;FT_First,0,IF(BB113&lt;FT_Y5,1+INT((BB113-FT_First)/FT_Int1),FT_PreY5+FT_PerYear*INT((BB113-FT_Y5)/12)+FT_AnnivDays+INT(MOD(BB113-FT_Y5,12)/FT_Int2)-IF(EDATE(AL113,FT_Y5)&lt;PolicyEff,FT_AnnivDays-1,0))),IF(AT113="PT",IF(BB113&lt;PT_First,0,1+INT((BB113-PT_First)/PT_Int)),0))+IF(AND(AM113&gt;=2,AO113&lt;=PFYDate),IF(AU113="FT",IF(BC113&lt;FT_First,0,IF(BC113&lt;FT_Y5,1+INT((BC113-FT_First)/FT_Int1),FT_PreY5+FT_PerYear*INT((BC113-FT_Y5)/12)+FT_AnnivDays+INT(MOD(BC113-FT_Y5,12)/FT_Int2)-IF(EDATE(AL113,FT_Y5)&lt;PolicyEff,FT_AnnivDays-1,0))),IF(AU113="PT",IF(BC113&lt;PT_First,0,1+INT((BC113-PT_First)/PT_Int)),0))-IF(AU113="FT",IF(BB113&lt;FT_First,0,IF(BB113&lt;FT_Y5,1+INT((BB113-FT_First)/FT_Int1),FT_PreY5+FT_PerYear*INT((BB113-FT_Y5)/12)+FT_AnnivDays+INT(MOD(BB113-FT_Y5,12)/FT_Int2)-IF(EDATE(AL113,FT_Y5)&lt;PolicyEff,FT_AnnivDays-1,0))),IF(AU113="PT",IF(BB113&lt;PT_First,0,1+INT((BB113-PT_First)/PT_Int)),0)),0)+IF(AND(AM113&gt;=3,AP113&lt;=PFYDate),IF(AV113="FT",IF(BA113&lt;FT_First,0,IF(BA113&lt;FT_Y5,1+INT((BA113-FT_First)/FT_Int1),FT_PreY5+FT_PerYear*INT((BA113-FT_Y5)/12)+FT_AnnivDays+INT(MOD(BA113-FT_Y5,12)/FT_Int2)-IF(EDATE(AL113,FT_Y5)&lt;PolicyEff,FT_AnnivDays-1,0))),IF(AV113="PT",IF(BA113&lt;PT_First,0,1+INT((BA113-PT_First)/PT_Int)),0))-IF(AV113="FT",IF(BC113&lt;FT_First,0,IF(BC113&lt;FT_Y5,1+INT((BC113-FT_First)/FT_Int1),FT_PreY5+FT_PerYear*INT((BC113-FT_Y5)/12)+FT_AnnivDays+INT(MOD(BC113-FT_Y5,12)/FT_Int2)-IF(EDATE(AL113,FT_Y5)&lt;PolicyEff,FT_AnnivDays-1,0))),IF(AV113="PT",IF(BC113&lt;PT_First,0,1+INT((BC113-PT_First)/PT_Int)),0)),0))</f>
        <v/>
      </c>
      <c r="BF113" s="16" t="str">
        <f aca="false">IF(AK113=0,"",IF(AW113="FT",IF(AX113&lt;FT_First,FT_First,IF(AX113&lt;FT_Y5,MIN(FT_Y5,FT_First+FT_Int1*(INT((AX113-FT_First)/FT_Int1)+1)),FT_Y5+12*INT((AX113-FT_Y5)/12)+FT_Int2*(INT(MOD(AX113-FT_Y5,12)/FT_Int2)+1))),IF(AW113="PT",IF(AX113&lt;PT_First,PT_First,PT_First+PT_Int*(INT((AX113-PT_First)/PT_Int)+1)),"")))</f>
        <v/>
      </c>
      <c r="BG113" s="16" t="str">
        <f aca="false">IF(AK113=0,"",IF(NOT(LH_Ready),0,COUNTIFS(INDEX(LH_Data,0,LH_ColFirst),$A113,INDEX(LH_Data,0,LH_ColSur),$B113,INDEX(LH_Data,0,LH_ColCat),BonusCat)))</f>
        <v/>
      </c>
      <c r="BH113" s="16" t="str">
        <f aca="false">IF(AK113=0,"",IF(OR(NOT(LH_Ready),BG113=0),0,SUMPRODUCT(MAX((INDEX(LH_Data,0,LH_ColFirst)=$A113)*(INDEX(LH_Data,0,LH_ColSur)=$B113)*(INDEX(LH_Data,0,LH_ColCat)=BonusCat)*ROW(LH_Data)))))</f>
        <v/>
      </c>
      <c r="BI113" s="16" t="str">
        <f aca="false">IF(AK113=0,"",IF(EOMONTH(AsOfDate,-1)&lt;AL113,-1,12*(YEAR(EOMONTH(AsOfDate,-1))-YEAR(AL113))+MONTH(EOMONTH(AsOfDate,-1))-MONTH(AL113)-IF(DAY(EOMONTH(AsOfDate,-1))&lt;MIN(DAY(AL113),DAY(EOMONTH(EOMONTH(AsOfDate,-1),0))),1,0)))</f>
        <v/>
      </c>
      <c r="BJ113" s="16" t="str">
        <f aca="false">IF(AK113=0,"",IF(OR(AM113&lt;2,AO113&gt;EOMONTH(AsOfDate,-1)),BI113,IF((AO113-1)&lt;AL113,-1,12*(YEAR((AO113-1))-YEAR(AL113))+MONTH((AO113-1))-MONTH(AL113)-IF(DAY((AO113-1))&lt;MIN(DAY(AL113),DAY(EOMONTH((AO113-1),0))),1,0))))</f>
        <v/>
      </c>
      <c r="BK113" s="16" t="str">
        <f aca="false">IF(AK113=0,"",IF(OR(AM113&lt;3,AP113&gt;EOMONTH(AsOfDate,-1)),BI113,IF((AP113-1)&lt;AL113,-1,12*(YEAR((AP113-1))-YEAR(AL113))+MONTH((AP113-1))-MONTH(AL113)-IF(DAY((AP113-1))&lt;MIN(DAY(AL113),DAY(EOMONTH((AP113-1),0))),1,0))))</f>
        <v/>
      </c>
      <c r="BL113" s="16" t="str">
        <f aca="false">IF(AK113=0,"",IF(AT113="FT",IF(BJ113&lt;FT_First,0,IF(BJ113&lt;FT_Y5,1+INT((BJ113-FT_First)/FT_Int1),FT_PreY5+FT_PerYear*INT((BJ113-FT_Y5)/12)+FT_AnnivDays+INT(MOD(BJ113-FT_Y5,12)/FT_Int2)-IF(EDATE(AL113,FT_Y5)&lt;PolicyEff,FT_AnnivDays-1,0))),IF(AT113="PT",IF(BJ113&lt;PT_First,0,1+INT((BJ113-PT_First)/PT_Int)),0))+IF(AND(AM113&gt;=2,AO113&lt;=EOMONTH(AsOfDate,-1)),IF(AU113="FT",IF(BK113&lt;FT_First,0,IF(BK113&lt;FT_Y5,1+INT((BK113-FT_First)/FT_Int1),FT_PreY5+FT_PerYear*INT((BK113-FT_Y5)/12)+FT_AnnivDays+INT(MOD(BK113-FT_Y5,12)/FT_Int2)-IF(EDATE(AL113,FT_Y5)&lt;PolicyEff,FT_AnnivDays-1,0))),IF(AU113="PT",IF(BK113&lt;PT_First,0,1+INT((BK113-PT_First)/PT_Int)),0))-IF(AU113="FT",IF(BJ113&lt;FT_First,0,IF(BJ113&lt;FT_Y5,1+INT((BJ113-FT_First)/FT_Int1),FT_PreY5+FT_PerYear*INT((BJ113-FT_Y5)/12)+FT_AnnivDays+INT(MOD(BJ113-FT_Y5,12)/FT_Int2)-IF(EDATE(AL113,FT_Y5)&lt;PolicyEff,FT_AnnivDays-1,0))),IF(AU113="PT",IF(BJ113&lt;PT_First,0,1+INT((BJ113-PT_First)/PT_Int)),0)),0)+IF(AND(AM113&gt;=3,AP113&lt;=EOMONTH(AsOfDate,-1)),IF(AV113="FT",IF(BI113&lt;FT_First,0,IF(BI113&lt;FT_Y5,1+INT((BI113-FT_First)/FT_Int1),FT_PreY5+FT_PerYear*INT((BI113-FT_Y5)/12)+FT_AnnivDays+INT(MOD(BI113-FT_Y5,12)/FT_Int2)-IF(EDATE(AL113,FT_Y5)&lt;PolicyEff,FT_AnnivDays-1,0))),IF(AV113="PT",IF(BI113&lt;PT_First,0,1+INT((BI113-PT_First)/PT_Int)),0))-IF(AV113="FT",IF(BK113&lt;FT_First,0,IF(BK113&lt;FT_Y5,1+INT((BK113-FT_First)/FT_Int1),FT_PreY5+FT_PerYear*INT((BK113-FT_Y5)/12)+FT_AnnivDays+INT(MOD(BK113-FT_Y5,12)/FT_Int2)-IF(EDATE(AL113,FT_Y5)&lt;PolicyEff,FT_AnnivDays-1,0))),IF(AV113="PT",IF(BK113&lt;PT_First,0,1+INT((BK113-PT_First)/PT_Int)),0)),0))</f>
        <v/>
      </c>
      <c r="BM113" s="16" t="str">
        <f aca="false">IF(AK113=0,"",IF(AW113="FT",IF(AX113&lt;FT_First,"",IF(AX113&lt;FT_Y5,FT_First+FT_Int1*INT((AX113-FT_First)/FT_Int1),FT_Y5+FT_Int2*INT((AX113-FT_Y5)/FT_Int2))),IF(AW113="PT",IF(AX113&lt;PT_First,"",PT_First+PT_Int*INT((AX113-PT_First)/PT_Int)),"")))</f>
        <v/>
      </c>
      <c r="BN113" s="16" t="str">
        <f aca="false">IF(AK113=0,"",IF((SchemeStart-1)&lt;AL113,-1,12*(YEAR((SchemeStart-1))-YEAR(AL113))+MONTH((SchemeStart-1))-MONTH(AL113)-IF(DAY((SchemeStart-1))&lt;MIN(DAY(AL113),DAY(EOMONTH((SchemeStart-1),0))),1,0)))</f>
        <v/>
      </c>
      <c r="BO113" s="16" t="str">
        <f aca="false">IF(AK113=0,"",IF(OR(AM113&lt;2,AO113&gt;(SchemeStart-1)),BN113,IF((AO113-1)&lt;AL113,-1,12*(YEAR((AO113-1))-YEAR(AL113))+MONTH((AO113-1))-MONTH(AL113)-IF(DAY((AO113-1))&lt;MIN(DAY(AL113),DAY(EOMONTH((AO113-1),0))),1,0))))</f>
        <v/>
      </c>
      <c r="BP113" s="16" t="str">
        <f aca="false">IF(AK113=0,"",IF(OR(AM113&lt;3,AP113&gt;(SchemeStart-1)),BN113,IF((AP113-1)&lt;AL113,-1,12*(YEAR((AP113-1))-YEAR(AL113))+MONTH((AP113-1))-MONTH(AL113)-IF(DAY((AP113-1))&lt;MIN(DAY(AL113),DAY(EOMONTH((AP113-1),0))),1,0))))</f>
        <v/>
      </c>
      <c r="BQ113" s="16" t="str">
        <f aca="false">IF(AK113=0,"",IF(AT113="FT",IF(BO113&lt;FT_First,0,IF(BO113&lt;FT_Y5,1+INT((BO113-FT_First)/FT_Int1),FT_PreY5+FT_PerYear*INT((BO113-FT_Y5)/12)+FT_AnnivDays+INT(MOD(BO113-FT_Y5,12)/FT_Int2)-IF(EDATE(AL113,FT_Y5)&lt;PolicyEff,FT_AnnivDays-1,0))),IF(AT113="PT",IF(BO113&lt;PT_First,0,1+INT((BO113-PT_First)/PT_Int)),0))+IF(AND(AM113&gt;=2,AO113&lt;=(SchemeStart-1)),IF(AU113="FT",IF(BP113&lt;FT_First,0,IF(BP113&lt;FT_Y5,1+INT((BP113-FT_First)/FT_Int1),FT_PreY5+FT_PerYear*INT((BP113-FT_Y5)/12)+FT_AnnivDays+INT(MOD(BP113-FT_Y5,12)/FT_Int2)-IF(EDATE(AL113,FT_Y5)&lt;PolicyEff,FT_AnnivDays-1,0))),IF(AU113="PT",IF(BP113&lt;PT_First,0,1+INT((BP113-PT_First)/PT_Int)),0))-IF(AU113="FT",IF(BO113&lt;FT_First,0,IF(BO113&lt;FT_Y5,1+INT((BO113-FT_First)/FT_Int1),FT_PreY5+FT_PerYear*INT((BO113-FT_Y5)/12)+FT_AnnivDays+INT(MOD(BO113-FT_Y5,12)/FT_Int2)-IF(EDATE(AL113,FT_Y5)&lt;PolicyEff,FT_AnnivDays-1,0))),IF(AU113="PT",IF(BO113&lt;PT_First,0,1+INT((BO113-PT_First)/PT_Int)),0)),0)+IF(AND(AM113&gt;=3,AP113&lt;=(SchemeStart-1)),IF(AV113="FT",IF(BN113&lt;FT_First,0,IF(BN113&lt;FT_Y5,1+INT((BN113-FT_First)/FT_Int1),FT_PreY5+FT_PerYear*INT((BN113-FT_Y5)/12)+FT_AnnivDays+INT(MOD(BN113-FT_Y5,12)/FT_Int2)-IF(EDATE(AL113,FT_Y5)&lt;PolicyEff,FT_AnnivDays-1,0))),IF(AV113="PT",IF(BN113&lt;PT_First,0,1+INT((BN113-PT_First)/PT_Int)),0))-IF(AV113="FT",IF(BP113&lt;FT_First,0,IF(BP113&lt;FT_Y5,1+INT((BP113-FT_First)/FT_Int1),FT_PreY5+FT_PerYear*INT((BP113-FT_Y5)/12)+FT_AnnivDays+INT(MOD(BP113-FT_Y5,12)/FT_Int2)-IF(EDATE(AL113,FT_Y5)&lt;PolicyEff,FT_AnnivDays-1,0))),IF(AV113="PT",IF(BP113&lt;PT_First,0,1+INT((BP113-PT_First)/PT_Int)),0)),0))</f>
        <v/>
      </c>
      <c r="BR113" s="0" t="str">
        <f aca="false">IF(LEN($A113&amp;$B113)=0,"",$A113&amp;" "&amp;$B113)</f>
        <v/>
      </c>
    </row>
    <row r="114" customFormat="false" ht="15" hidden="false" customHeight="false" outlineLevel="0" collapsed="false">
      <c r="A114" s="12"/>
      <c r="B114" s="12"/>
      <c r="C114" s="12"/>
      <c r="D114" s="13"/>
      <c r="E114" s="14" t="str">
        <f aca="false">IF(OR(AK114=0,$D114=""),"",DATE(YEAR(AsOfDate)+IF(DATE(YEAR(AsOfDate),MONTH($D114),DAY($D114))&lt;=AsOfDate,1,0),MONTH($D114),DAY($D114)))</f>
        <v/>
      </c>
      <c r="F114" s="13"/>
      <c r="G114" s="13"/>
      <c r="H114" s="13"/>
      <c r="I114" s="13"/>
      <c r="J114" s="13"/>
      <c r="K114" s="14" t="str">
        <f aca="false">IF(AK114=0,"",DATE(YEAR(AsOfDate)+IF(DATE(YEAR(AsOfDate),MONTH(AL114),DAY(AL114))&lt;=AsOfDate,1,0),MONTH(AL114),DAY(AL114)))</f>
        <v/>
      </c>
      <c r="L114" s="15" t="str">
        <f aca="false">IF(AK114=0,"",ROUND((AsOfDate-AL114)/365.25,1))</f>
        <v/>
      </c>
      <c r="M114" s="16" t="str">
        <f aca="false">IF(AK114=0,"",IF(AsOfDate&lt;AL114,"-",DATEDIF(AL114,AsOfDate,"y")&amp;"y "&amp;DATEDIF(AL114,AsOfDate,"ym")&amp;"m "&amp;DATEDIF(AL114,AsOfDate,"md")&amp;"d"))</f>
        <v/>
      </c>
      <c r="N114" s="17" t="str">
        <f aca="false">IF(AK114=0,"",O114*HoursPerDay)</f>
        <v/>
      </c>
      <c r="O114" s="17" t="str">
        <f aca="false">IF(AK114=0,"",MAX(0,BD114-BQ114))</f>
        <v/>
      </c>
      <c r="P114" s="18"/>
      <c r="Q114" s="16" t="str">
        <f aca="false">IF(AK114=0,"",IF(AM114&lt;2,"",AQ114&amp;" to "&amp;AR114&amp;" on "&amp;TEXT(AO114,"dd/mm/yyyy")&amp;IF(AO114&gt;AsOfDate," (future)",IF(AT114=AU114,"",IF(AU114="None"," - STOPPED accruing",IF(AT114="None"," - commencement for Bonus Leave"," - pathway changed"))))&amp;IF(AM114&lt;3,"","; "&amp;AR114&amp;" to "&amp;AS114&amp;" on "&amp;TEXT(AP114,"dd/mm/yyyy")&amp;IF(AP114&gt;AsOfDate," (future)",IF(AU114=AV114,"",IF(AV114="None"," - STOPPED accruing",IF(AU114="None"," - commencement for Bonus Leave"," - pathway changed")))))))</f>
        <v/>
      </c>
      <c r="R114" s="16" t="str">
        <f aca="false">IF(AK114=0,"",IF(AW114="None",IF(O114&gt;0,"No longer accruing","Not eligible - "&amp;IF(AND(OR(ISNUMBER(SEARCH("part",$C114)),UPPER(TRIM($C114))="PT",UPPER(TRIM($C114))="PTE"),Apply2026="No"),"part-time (scheme is full-time only)",IF(AND(OR(ISNUMBER(SEARCH("part",$C114)),UPPER(TRIM($C114))="PT",UPPER(TRIM($C114))="PTE"),$P114&lt;&gt;"",N($P114)&lt;PT_MinHours),"under "&amp;PT_MinHours&amp;" hrs",IF(IF($C114="","",IF(OR(ISNUMBER(SEARCH("full",$C114)),UPPER(TRIM($C114))="FT",UPPER(TRIM($C114))="FTE"),"Full-Time",IF(OR(ISNUMBER(SEARCH("part",$C114)),UPPER(TRIM($C114))="PT",UPPER(TRIM($C114))="PTE"),"Part-Time",IF(OR(ISNUMBER(SEARCH("cas",$C114)),UPPER(TRIM($C114))="CAS"),"Casual","Unknown"))))="Unknown","type not recognised",$C114)))),IF(O114&gt;0,"Yes - Accrual Required","Not yet - from "&amp;TEXT(S114,"dd/mm/yyyy"))))</f>
        <v/>
      </c>
      <c r="S114" s="14" t="str">
        <f aca="false">IF(AK114=0,"",IF(AW114="None","",EDATE(AL114,BF114)))</f>
        <v/>
      </c>
      <c r="T114" s="17" t="str">
        <f aca="false">IF(AK114=0,"",IF(NOT(LH_Ready),"",IF($F114&gt;PFYDate,0,IF(LH_ColPeriod=0,W114-U114+V114,SUMIFS(INDEX(LH_Data,0,LH_ColAcc),INDEX(LH_Data,0,LH_ColFirst),$A114,INDEX(LH_Data,0,LH_ColSur),$B114,INDEX(LH_Data,0,LH_ColCat),BonusCat,INDEX(LH_Data,0,LH_ColPeriod),LH_OpenLabel)*UnitFactor))))</f>
        <v/>
      </c>
      <c r="U114" s="17" t="str">
        <f aca="false">IF(AK114=0,"",IF(NOT(LH_Ready),"",SUMIFS(INDEX(LH_Data,0,LH_ColAcc),INDEX(LH_Data,0,LH_ColFirst),$A114,INDEX(LH_Data,0,LH_ColSur),$B114,INDEX(LH_Data,0,LH_ColCat),BonusCat,INDEX(LH_Data,0,LH_ColStart),"&gt;="&amp;AL114)*UnitFactor))</f>
        <v/>
      </c>
      <c r="V114" s="17" t="str">
        <f aca="false">IF(AK114=0,"",IF(NOT(LH_Ready),"",SUMIFS(INDEX(LH_Data,0,LH_ColTaken),INDEX(LH_Data,0,LH_ColFirst),$A114,INDEX(LH_Data,0,LH_ColSur),$B114,INDEX(LH_Data,0,LH_ColCat),BonusCat,INDEX(LH_Data,0,LH_ColStart),"&gt;="&amp;AL114)*UnitFactor))</f>
        <v/>
      </c>
      <c r="W114" s="17" t="str">
        <f aca="false">IF(AK114=0,"",IF(NOT(LH_Ready),"",IF(BH114=0,0,INDEX(INDEX(LH_Data,0,LH_ColClose),BH114-1)*UnitFactor)))</f>
        <v/>
      </c>
      <c r="X114" s="17" t="str">
        <f aca="false">IF(AK114=0,"",(MAX(0,BD114-BQ114)-MAX(0,BE114-BQ114))*HoursPerDay)</f>
        <v/>
      </c>
      <c r="Y114" s="17" t="str">
        <f aca="false">IF(AK114=0,"",IF(NOT(LH_Ready),"",IF($AI114="Yes",N(AE114)*HoursPerDay-SUMIFS(INDEX(LH_Data,0,LH_ColAcc),INDEX(LH_Data,0,LH_ColFirst),$A114,INDEX(LH_Data,0,LH_ColSur),$B114,INDEX(LH_Data,0,LH_ColCat),BonusCat,INDEX(LH_Data,0,LH_ColStart),"&gt;="&amp;(EOMONTH(AsOfDate,-1)+1),INDEX(LH_Data,0,LH_ColStart),"&lt;="&amp;AsOfDate)*UnitFactor,IF(BG114=0,N114,N114-N(T114)-N(U114)))))</f>
        <v/>
      </c>
      <c r="Z114" s="16" t="str">
        <f aca="false">IF(OR(AK114=0,Y114=""),"",IF(Y114&gt;0,"Yes","No"))</f>
        <v/>
      </c>
      <c r="AA114" s="16" t="str">
        <f aca="false">IF(AK114=0,IF(LEN($A114&amp;$B114)=0,"","FIX INPUT - StartDate missing"),IF(AD114&lt;&gt;"","FIX INPUT - "&amp;AD114,IF(NOT(LH_Ready),"Paste Leave History export (Settings must show YES)",IF(AND($AI114="Yes",Y114&lt;=0),"OK - EH balance accepted to date"&amp;IF(N(AH114)&gt;0," (EH holds "&amp;AH114&amp;" hrs over the scheme)","")&amp;"; next day "&amp;TEXT(S114,"dd mmm yy")&amp;IF(N(AE114)&gt;0," ("&amp;AE114&amp;" day(s) for "&amp;UPPER(TEXT(AsOfDate,"mmm yyyy"))&amp;" already in EH)",""),IF(Y114&gt;0,"ACCRUE "&amp;ROUND(Y114,2)&amp;" hrs ("&amp;ROUND(Y114/HoursPerDay,2)&amp;" days): "&amp;IF(N(AE114)&gt;0,AE114&amp;" day(s) for "&amp;UPPER(TEXT(AsOfDate,"mmm yyyy"))&amp;" (milestone "&amp;UPPER(TEXT(AF114,"dd mmm yy"))&amp;")"&amp;IF(Y114/HoursPerDay&gt;AE114+0.001," + "&amp;ROUND(Y114/HoursPerDay-AE114,2)&amp;" day(s) catch-up from earlier months",""),"all catch-up from earlier months, nothing new this month")&amp;IF(BG114=0,"; no Bonus Leave in EH yet",""),IF(Y114&lt;0,"CHECK - EH accrued "&amp;ROUND(-Y114,2)&amp;" hrs more than policy since commencement",IF(N(W114)&gt;O114*HoursPerDay+0.01,"CHECK - EH balance "&amp;ROUND(W114-O114*HoursPerDay,2)&amp;" hrs more than policy entitlement",IF(O114&gt;0,"OK - nothing to add"&amp;IF(N(AE114)&gt;0," ("&amp;AE114&amp;" day(s) for "&amp;UPPER(TEXT(AsOfDate,"mmm yyyy"))&amp;" already in EH)",""),IF(AW114="None",R114,"Not yet - first day on "&amp;TEXT(S114,"dd/mm/yyyy"))))))))))</f>
        <v/>
      </c>
      <c r="AB114" s="17" t="str">
        <f aca="false">IF(OR(AK114=0,T114=""),"",MAX(0,BE114-BQ114)*HoursPerDay-T114)</f>
        <v/>
      </c>
      <c r="AC114" s="16" t="str">
        <f aca="false">IF(AK114=0,"",BG114)</f>
        <v/>
      </c>
      <c r="AD114" s="16" t="str">
        <f aca="false">IF(AK114=0,"",TRIM(IF(OR(ISTEXT($F114),ISTEXT($H114),ISTEXT($I114),ISTEXT($G114),ISTEXT($J114),ISTEXT($D114)),"A date is typed as text - retype it as dd/mm/yyyy. ","")&amp;IF(IF($C114="","",IF(OR(ISNUMBER(SEARCH("full",$C114)),UPPER(TRIM($C114))="FT",UPPER(TRIM($C114))="FTE"),"Full-Time",IF(OR(ISNUMBER(SEARCH("part",$C114)),UPPER(TRIM($C114))="PT",UPPER(TRIM($C114))="PTE"),"Part-Time",IF(OR(ISNUMBER(SEARCH("cas",$C114)),UPPER(TRIM($C114))="CAS"),"Casual","Unknown"))))="Unknown","EmploymentType not recognised - use Full-Time, Part-Time or Casual. ","")&amp;IF(AND(AM114&gt;=1,IF(AM114&gt;=3,AS114,IF(AM114=2,AR114,AQ114))&lt;&gt;IF($C114="","",IF(OR(ISNUMBER(SEARCH("full",$C114)),UPPER(TRIM($C114))="FT",UPPER(TRIM($C114))="FTE"),"Full-Time",IF(OR(ISNUMBER(SEARCH("part",$C114)),UPPER(TRIM($C114))="PT",UPPER(TRIM($C114))="PTE"),"Part-Time",IF(OR(ISNUMBER(SEARCH("cas",$C114)),UPPER(TRIM($C114))="CAS"),"Casual","Unknown"))))),"EmploymentType does not match latest start date ("&amp;IF(AM114&gt;=3,AS114,IF(AM114=2,AR114,AQ114))&amp;"). ","")&amp;IF(AND(AM114&gt;=1,AN114&lt;&gt;$F114),"Earliest type date should equal StartDate. ","")&amp;IF(AND(AM114&gt;=2,AN114=AO114),"Two types start on the same date. ","")&amp;IF(AND(OR(ISNUMBER(SEARCH("part",$C114)),UPPER(TRIM($C114))="PT",UPPER(TRIM($C114))="PTE"),$P114=""),"Part-time: enter PT Hrs/Week (blank = 24+). ","")))</f>
        <v/>
      </c>
      <c r="AE114" s="17" t="str">
        <f aca="false">IF(AK114=0,"",O114-MAX(0,BL114-BQ114))</f>
        <v/>
      </c>
      <c r="AF114" s="14" t="str">
        <f aca="false">IF(OR(AK114=0,AE114="",N(AE114)=0,BM114=""),"",EDATE(AL114,BM114))</f>
        <v/>
      </c>
      <c r="AG114" s="17" t="str">
        <f aca="false">IF(AK114=0,"",MIN(BD114,BQ114))</f>
        <v/>
      </c>
      <c r="AH114" s="17" t="str">
        <f aca="false">IF(AK114=0,"",IF(NOT(LH_Ready),"",IF(BG114=0,0,MAX(0,ROUND(N(T114)+N(U114)-N114,2)))))</f>
        <v/>
      </c>
      <c r="AI114" s="12"/>
      <c r="AJ114" s="12"/>
      <c r="AK114" s="16" t="n">
        <f aca="false">IF(OR(LEN($A114&amp;$B114)=0,$F114=""),0,1)</f>
        <v>0</v>
      </c>
      <c r="AL114" s="14" t="str">
        <f aca="false">IF(AK114=0,"",IF(PreSchemeCounts="No",MAX(SchemeStart,IF($J114&lt;&gt;"",$J114,IF(OR(CasualCounts="Yes",COUNT($G114:$I114)=0),$F114,IF(Apply2026="No",IF($I114="",$F114,$I114),IF(COUNT($H114:$I114)=0,$F114,MIN($H114:$I114)))))),IF($J114&lt;&gt;"",$J114,IF(OR(CasualCounts="Yes",COUNT($G114:$I114)=0),$F114,IF(Apply2026="No",IF($I114="",$F114,$I114),IF(COUNT($H114:$I114)=0,$F114,MIN($H114:$I114)))))))</f>
        <v/>
      </c>
      <c r="AM114" s="16" t="str">
        <f aca="false">IF(AK114=0,"",COUNT($G114:$I114))</f>
        <v/>
      </c>
      <c r="AN114" s="14" t="str">
        <f aca="false">IF(AK114=0,"",IFERROR(SMALL($G114:$I114,1),""))</f>
        <v/>
      </c>
      <c r="AO114" s="14" t="str">
        <f aca="false">IF(AK114=0,"",IFERROR(SMALL($G114:$I114,2),""))</f>
        <v/>
      </c>
      <c r="AP114" s="14" t="str">
        <f aca="false">IF(AK114=0,"",IFERROR(SMALL($G114:$I114,3),""))</f>
        <v/>
      </c>
      <c r="AQ114" s="16" t="str">
        <f aca="false">IF(AK114=0,"",IF(AN114="","",IF(AN114=$H114,"Part-Time",IF(AN114=$I114,"Full-Time","Casual"))))</f>
        <v/>
      </c>
      <c r="AR114" s="16" t="str">
        <f aca="false">IF(AK114=0,"",IF(AO114="","",IF(AO114=$H114,"Part-Time",IF(AO114=$I114,"Full-Time","Casual"))))</f>
        <v/>
      </c>
      <c r="AS114" s="16" t="str">
        <f aca="false">IF(AK114=0,"",IF(AP114="","",IF(AP114=$H114,"Part-Time",IF(AP114=$I114,"Full-Time","Casual"))))</f>
        <v/>
      </c>
      <c r="AT114" s="16" t="str">
        <f aca="false">IF(AK114=0,"",IF(AM114=0,IF(OR(ISNUMBER(SEARCH("full",$C114)),UPPER(TRIM($C114))="FT",UPPER(TRIM($C114))="FTE"),"FT",IF(AND(OR(ISNUMBER(SEARCH("part",$C114)),UPPER(TRIM($C114))="PT",UPPER(TRIM($C114))="PTE"),Apply2026="Yes",OR($P114="",N($P114)&gt;=PT_MinHours)),"PT","None")),IF(OR(ISNUMBER(SEARCH("full",AQ114)),UPPER(TRIM(AQ114))="FT",UPPER(TRIM(AQ114))="FTE"),"FT",IF(AND(OR(ISNUMBER(SEARCH("part",AQ114)),UPPER(TRIM(AQ114))="PT",UPPER(TRIM(AQ114))="PTE"),Apply2026="Yes",OR($P114="",N($P114)&gt;=PT_MinHours)),"PT","None"))))</f>
        <v/>
      </c>
      <c r="AU114" s="16" t="str">
        <f aca="false">IF(AK114=0,"",IF(AM114&lt;2,"",IF(OR(ISNUMBER(SEARCH("full",AR114)),UPPER(TRIM(AR114))="FT",UPPER(TRIM(AR114))="FTE"),"FT",IF(AND(OR(ISNUMBER(SEARCH("part",AR114)),UPPER(TRIM(AR114))="PT",UPPER(TRIM(AR114))="PTE"),Apply2026="Yes",OR($P114="",N($P114)&gt;=PT_MinHours)),"PT","None"))))</f>
        <v/>
      </c>
      <c r="AV114" s="16" t="str">
        <f aca="false">IF(AK114=0,"",IF(AM114&lt;3,"",IF(OR(ISNUMBER(SEARCH("full",AS114)),UPPER(TRIM(AS114))="FT",UPPER(TRIM(AS114))="FTE"),"FT",IF(AND(OR(ISNUMBER(SEARCH("part",AS114)),UPPER(TRIM(AS114))="PT",UPPER(TRIM(AS114))="PTE"),Apply2026="Yes",OR($P114="",N($P114)&gt;=PT_MinHours)),"PT","None"))))</f>
        <v/>
      </c>
      <c r="AW114" s="16" t="str">
        <f aca="false">IF(AK114=0,"",IF(AND(AM114&gt;=3,AP114&lt;=AsOfDate),AV114,IF(AND(AM114&gt;=2,AO114&lt;=AsOfDate),AU114,AT114)))</f>
        <v/>
      </c>
      <c r="AX114" s="16" t="str">
        <f aca="false">IF(AK114=0,"",IF(AsOfDate&lt;AL114,-1,12*(YEAR(AsOfDate)-YEAR(AL114))+MONTH(AsOfDate)-MONTH(AL114)-IF(DAY(AsOfDate)&lt;MIN(DAY(AL114),DAY(EOMONTH(AsOfDate,0))),1,0)))</f>
        <v/>
      </c>
      <c r="AY114" s="16" t="str">
        <f aca="false">IF(AK114=0,"",IF(OR(AM114&lt;2,AO114&gt;AsOfDate),AX114,IF((AO114-1)&lt;AL114,-1,12*(YEAR((AO114-1))-YEAR(AL114))+MONTH((AO114-1))-MONTH(AL114)-IF(DAY((AO114-1))&lt;MIN(DAY(AL114),DAY(EOMONTH((AO114-1),0))),1,0))))</f>
        <v/>
      </c>
      <c r="AZ114" s="16" t="str">
        <f aca="false">IF(AK114=0,"",IF(OR(AM114&lt;3,AP114&gt;AsOfDate),AX114,IF((AP114-1)&lt;AL114,-1,12*(YEAR((AP114-1))-YEAR(AL114))+MONTH((AP114-1))-MONTH(AL114)-IF(DAY((AP114-1))&lt;MIN(DAY(AL114),DAY(EOMONTH((AP114-1),0))),1,0))))</f>
        <v/>
      </c>
      <c r="BA114" s="16" t="str">
        <f aca="false">IF(AK114=0,"",IF(PFYDate&lt;AL114,-1,12*(YEAR(PFYDate)-YEAR(AL114))+MONTH(PFYDate)-MONTH(AL114)-IF(DAY(PFYDate)&lt;MIN(DAY(AL114),DAY(EOMONTH(PFYDate,0))),1,0)))</f>
        <v/>
      </c>
      <c r="BB114" s="16" t="str">
        <f aca="false">IF(AK114=0,"",IF(OR(AM114&lt;2,AO114&gt;PFYDate),BA114,IF((AO114-1)&lt;AL114,-1,12*(YEAR((AO114-1))-YEAR(AL114))+MONTH((AO114-1))-MONTH(AL114)-IF(DAY((AO114-1))&lt;MIN(DAY(AL114),DAY(EOMONTH((AO114-1),0))),1,0))))</f>
        <v/>
      </c>
      <c r="BC114" s="16" t="str">
        <f aca="false">IF(AK114=0,"",IF(OR(AM114&lt;3,AP114&gt;PFYDate),BA114,IF((AP114-1)&lt;AL114,-1,12*(YEAR((AP114-1))-YEAR(AL114))+MONTH((AP114-1))-MONTH(AL114)-IF(DAY((AP114-1))&lt;MIN(DAY(AL114),DAY(EOMONTH((AP114-1),0))),1,0))))</f>
        <v/>
      </c>
      <c r="BD114" s="16" t="str">
        <f aca="false">IF(AK114=0,"",IF(AT114="FT",IF(AY114&lt;FT_First,0,IF(AY114&lt;FT_Y5,1+INT((AY114-FT_First)/FT_Int1),FT_PreY5+FT_PerYear*INT((AY114-FT_Y5)/12)+FT_AnnivDays+INT(MOD(AY114-FT_Y5,12)/FT_Int2)-IF(EDATE(AL114,FT_Y5)&lt;PolicyEff,FT_AnnivDays-1,0))),IF(AT114="PT",IF(AY114&lt;PT_First,0,1+INT((AY114-PT_First)/PT_Int)),0))+IF(AND(AM114&gt;=2,AO114&lt;=AsOfDate),IF(AU114="FT",IF(AZ114&lt;FT_First,0,IF(AZ114&lt;FT_Y5,1+INT((AZ114-FT_First)/FT_Int1),FT_PreY5+FT_PerYear*INT((AZ114-FT_Y5)/12)+FT_AnnivDays+INT(MOD(AZ114-FT_Y5,12)/FT_Int2)-IF(EDATE(AL114,FT_Y5)&lt;PolicyEff,FT_AnnivDays-1,0))),IF(AU114="PT",IF(AZ114&lt;PT_First,0,1+INT((AZ114-PT_First)/PT_Int)),0))-IF(AU114="FT",IF(AY114&lt;FT_First,0,IF(AY114&lt;FT_Y5,1+INT((AY114-FT_First)/FT_Int1),FT_PreY5+FT_PerYear*INT((AY114-FT_Y5)/12)+FT_AnnivDays+INT(MOD(AY114-FT_Y5,12)/FT_Int2)-IF(EDATE(AL114,FT_Y5)&lt;PolicyEff,FT_AnnivDays-1,0))),IF(AU114="PT",IF(AY114&lt;PT_First,0,1+INT((AY114-PT_First)/PT_Int)),0)),0)+IF(AND(AM114&gt;=3,AP114&lt;=AsOfDate),IF(AV114="FT",IF(AX114&lt;FT_First,0,IF(AX114&lt;FT_Y5,1+INT((AX114-FT_First)/FT_Int1),FT_PreY5+FT_PerYear*INT((AX114-FT_Y5)/12)+FT_AnnivDays+INT(MOD(AX114-FT_Y5,12)/FT_Int2)-IF(EDATE(AL114,FT_Y5)&lt;PolicyEff,FT_AnnivDays-1,0))),IF(AV114="PT",IF(AX114&lt;PT_First,0,1+INT((AX114-PT_First)/PT_Int)),0))-IF(AV114="FT",IF(AZ114&lt;FT_First,0,IF(AZ114&lt;FT_Y5,1+INT((AZ114-FT_First)/FT_Int1),FT_PreY5+FT_PerYear*INT((AZ114-FT_Y5)/12)+FT_AnnivDays+INT(MOD(AZ114-FT_Y5,12)/FT_Int2)-IF(EDATE(AL114,FT_Y5)&lt;PolicyEff,FT_AnnivDays-1,0))),IF(AV114="PT",IF(AZ114&lt;PT_First,0,1+INT((AZ114-PT_First)/PT_Int)),0)),0))</f>
        <v/>
      </c>
      <c r="BE114" s="16" t="str">
        <f aca="false">IF(AK114=0,"",IF(AT114="FT",IF(BB114&lt;FT_First,0,IF(BB114&lt;FT_Y5,1+INT((BB114-FT_First)/FT_Int1),FT_PreY5+FT_PerYear*INT((BB114-FT_Y5)/12)+FT_AnnivDays+INT(MOD(BB114-FT_Y5,12)/FT_Int2)-IF(EDATE(AL114,FT_Y5)&lt;PolicyEff,FT_AnnivDays-1,0))),IF(AT114="PT",IF(BB114&lt;PT_First,0,1+INT((BB114-PT_First)/PT_Int)),0))+IF(AND(AM114&gt;=2,AO114&lt;=PFYDate),IF(AU114="FT",IF(BC114&lt;FT_First,0,IF(BC114&lt;FT_Y5,1+INT((BC114-FT_First)/FT_Int1),FT_PreY5+FT_PerYear*INT((BC114-FT_Y5)/12)+FT_AnnivDays+INT(MOD(BC114-FT_Y5,12)/FT_Int2)-IF(EDATE(AL114,FT_Y5)&lt;PolicyEff,FT_AnnivDays-1,0))),IF(AU114="PT",IF(BC114&lt;PT_First,0,1+INT((BC114-PT_First)/PT_Int)),0))-IF(AU114="FT",IF(BB114&lt;FT_First,0,IF(BB114&lt;FT_Y5,1+INT((BB114-FT_First)/FT_Int1),FT_PreY5+FT_PerYear*INT((BB114-FT_Y5)/12)+FT_AnnivDays+INT(MOD(BB114-FT_Y5,12)/FT_Int2)-IF(EDATE(AL114,FT_Y5)&lt;PolicyEff,FT_AnnivDays-1,0))),IF(AU114="PT",IF(BB114&lt;PT_First,0,1+INT((BB114-PT_First)/PT_Int)),0)),0)+IF(AND(AM114&gt;=3,AP114&lt;=PFYDate),IF(AV114="FT",IF(BA114&lt;FT_First,0,IF(BA114&lt;FT_Y5,1+INT((BA114-FT_First)/FT_Int1),FT_PreY5+FT_PerYear*INT((BA114-FT_Y5)/12)+FT_AnnivDays+INT(MOD(BA114-FT_Y5,12)/FT_Int2)-IF(EDATE(AL114,FT_Y5)&lt;PolicyEff,FT_AnnivDays-1,0))),IF(AV114="PT",IF(BA114&lt;PT_First,0,1+INT((BA114-PT_First)/PT_Int)),0))-IF(AV114="FT",IF(BC114&lt;FT_First,0,IF(BC114&lt;FT_Y5,1+INT((BC114-FT_First)/FT_Int1),FT_PreY5+FT_PerYear*INT((BC114-FT_Y5)/12)+FT_AnnivDays+INT(MOD(BC114-FT_Y5,12)/FT_Int2)-IF(EDATE(AL114,FT_Y5)&lt;PolicyEff,FT_AnnivDays-1,0))),IF(AV114="PT",IF(BC114&lt;PT_First,0,1+INT((BC114-PT_First)/PT_Int)),0)),0))</f>
        <v/>
      </c>
      <c r="BF114" s="16" t="str">
        <f aca="false">IF(AK114=0,"",IF(AW114="FT",IF(AX114&lt;FT_First,FT_First,IF(AX114&lt;FT_Y5,MIN(FT_Y5,FT_First+FT_Int1*(INT((AX114-FT_First)/FT_Int1)+1)),FT_Y5+12*INT((AX114-FT_Y5)/12)+FT_Int2*(INT(MOD(AX114-FT_Y5,12)/FT_Int2)+1))),IF(AW114="PT",IF(AX114&lt;PT_First,PT_First,PT_First+PT_Int*(INT((AX114-PT_First)/PT_Int)+1)),"")))</f>
        <v/>
      </c>
      <c r="BG114" s="16" t="str">
        <f aca="false">IF(AK114=0,"",IF(NOT(LH_Ready),0,COUNTIFS(INDEX(LH_Data,0,LH_ColFirst),$A114,INDEX(LH_Data,0,LH_ColSur),$B114,INDEX(LH_Data,0,LH_ColCat),BonusCat)))</f>
        <v/>
      </c>
      <c r="BH114" s="16" t="str">
        <f aca="false">IF(AK114=0,"",IF(OR(NOT(LH_Ready),BG114=0),0,SUMPRODUCT(MAX((INDEX(LH_Data,0,LH_ColFirst)=$A114)*(INDEX(LH_Data,0,LH_ColSur)=$B114)*(INDEX(LH_Data,0,LH_ColCat)=BonusCat)*ROW(LH_Data)))))</f>
        <v/>
      </c>
      <c r="BI114" s="16" t="str">
        <f aca="false">IF(AK114=0,"",IF(EOMONTH(AsOfDate,-1)&lt;AL114,-1,12*(YEAR(EOMONTH(AsOfDate,-1))-YEAR(AL114))+MONTH(EOMONTH(AsOfDate,-1))-MONTH(AL114)-IF(DAY(EOMONTH(AsOfDate,-1))&lt;MIN(DAY(AL114),DAY(EOMONTH(EOMONTH(AsOfDate,-1),0))),1,0)))</f>
        <v/>
      </c>
      <c r="BJ114" s="16" t="str">
        <f aca="false">IF(AK114=0,"",IF(OR(AM114&lt;2,AO114&gt;EOMONTH(AsOfDate,-1)),BI114,IF((AO114-1)&lt;AL114,-1,12*(YEAR((AO114-1))-YEAR(AL114))+MONTH((AO114-1))-MONTH(AL114)-IF(DAY((AO114-1))&lt;MIN(DAY(AL114),DAY(EOMONTH((AO114-1),0))),1,0))))</f>
        <v/>
      </c>
      <c r="BK114" s="16" t="str">
        <f aca="false">IF(AK114=0,"",IF(OR(AM114&lt;3,AP114&gt;EOMONTH(AsOfDate,-1)),BI114,IF((AP114-1)&lt;AL114,-1,12*(YEAR((AP114-1))-YEAR(AL114))+MONTH((AP114-1))-MONTH(AL114)-IF(DAY((AP114-1))&lt;MIN(DAY(AL114),DAY(EOMONTH((AP114-1),0))),1,0))))</f>
        <v/>
      </c>
      <c r="BL114" s="16" t="str">
        <f aca="false">IF(AK114=0,"",IF(AT114="FT",IF(BJ114&lt;FT_First,0,IF(BJ114&lt;FT_Y5,1+INT((BJ114-FT_First)/FT_Int1),FT_PreY5+FT_PerYear*INT((BJ114-FT_Y5)/12)+FT_AnnivDays+INT(MOD(BJ114-FT_Y5,12)/FT_Int2)-IF(EDATE(AL114,FT_Y5)&lt;PolicyEff,FT_AnnivDays-1,0))),IF(AT114="PT",IF(BJ114&lt;PT_First,0,1+INT((BJ114-PT_First)/PT_Int)),0))+IF(AND(AM114&gt;=2,AO114&lt;=EOMONTH(AsOfDate,-1)),IF(AU114="FT",IF(BK114&lt;FT_First,0,IF(BK114&lt;FT_Y5,1+INT((BK114-FT_First)/FT_Int1),FT_PreY5+FT_PerYear*INT((BK114-FT_Y5)/12)+FT_AnnivDays+INT(MOD(BK114-FT_Y5,12)/FT_Int2)-IF(EDATE(AL114,FT_Y5)&lt;PolicyEff,FT_AnnivDays-1,0))),IF(AU114="PT",IF(BK114&lt;PT_First,0,1+INT((BK114-PT_First)/PT_Int)),0))-IF(AU114="FT",IF(BJ114&lt;FT_First,0,IF(BJ114&lt;FT_Y5,1+INT((BJ114-FT_First)/FT_Int1),FT_PreY5+FT_PerYear*INT((BJ114-FT_Y5)/12)+FT_AnnivDays+INT(MOD(BJ114-FT_Y5,12)/FT_Int2)-IF(EDATE(AL114,FT_Y5)&lt;PolicyEff,FT_AnnivDays-1,0))),IF(AU114="PT",IF(BJ114&lt;PT_First,0,1+INT((BJ114-PT_First)/PT_Int)),0)),0)+IF(AND(AM114&gt;=3,AP114&lt;=EOMONTH(AsOfDate,-1)),IF(AV114="FT",IF(BI114&lt;FT_First,0,IF(BI114&lt;FT_Y5,1+INT((BI114-FT_First)/FT_Int1),FT_PreY5+FT_PerYear*INT((BI114-FT_Y5)/12)+FT_AnnivDays+INT(MOD(BI114-FT_Y5,12)/FT_Int2)-IF(EDATE(AL114,FT_Y5)&lt;PolicyEff,FT_AnnivDays-1,0))),IF(AV114="PT",IF(BI114&lt;PT_First,0,1+INT((BI114-PT_First)/PT_Int)),0))-IF(AV114="FT",IF(BK114&lt;FT_First,0,IF(BK114&lt;FT_Y5,1+INT((BK114-FT_First)/FT_Int1),FT_PreY5+FT_PerYear*INT((BK114-FT_Y5)/12)+FT_AnnivDays+INT(MOD(BK114-FT_Y5,12)/FT_Int2)-IF(EDATE(AL114,FT_Y5)&lt;PolicyEff,FT_AnnivDays-1,0))),IF(AV114="PT",IF(BK114&lt;PT_First,0,1+INT((BK114-PT_First)/PT_Int)),0)),0))</f>
        <v/>
      </c>
      <c r="BM114" s="16" t="str">
        <f aca="false">IF(AK114=0,"",IF(AW114="FT",IF(AX114&lt;FT_First,"",IF(AX114&lt;FT_Y5,FT_First+FT_Int1*INT((AX114-FT_First)/FT_Int1),FT_Y5+FT_Int2*INT((AX114-FT_Y5)/FT_Int2))),IF(AW114="PT",IF(AX114&lt;PT_First,"",PT_First+PT_Int*INT((AX114-PT_First)/PT_Int)),"")))</f>
        <v/>
      </c>
      <c r="BN114" s="16" t="str">
        <f aca="false">IF(AK114=0,"",IF((SchemeStart-1)&lt;AL114,-1,12*(YEAR((SchemeStart-1))-YEAR(AL114))+MONTH((SchemeStart-1))-MONTH(AL114)-IF(DAY((SchemeStart-1))&lt;MIN(DAY(AL114),DAY(EOMONTH((SchemeStart-1),0))),1,0)))</f>
        <v/>
      </c>
      <c r="BO114" s="16" t="str">
        <f aca="false">IF(AK114=0,"",IF(OR(AM114&lt;2,AO114&gt;(SchemeStart-1)),BN114,IF((AO114-1)&lt;AL114,-1,12*(YEAR((AO114-1))-YEAR(AL114))+MONTH((AO114-1))-MONTH(AL114)-IF(DAY((AO114-1))&lt;MIN(DAY(AL114),DAY(EOMONTH((AO114-1),0))),1,0))))</f>
        <v/>
      </c>
      <c r="BP114" s="16" t="str">
        <f aca="false">IF(AK114=0,"",IF(OR(AM114&lt;3,AP114&gt;(SchemeStart-1)),BN114,IF((AP114-1)&lt;AL114,-1,12*(YEAR((AP114-1))-YEAR(AL114))+MONTH((AP114-1))-MONTH(AL114)-IF(DAY((AP114-1))&lt;MIN(DAY(AL114),DAY(EOMONTH((AP114-1),0))),1,0))))</f>
        <v/>
      </c>
      <c r="BQ114" s="16" t="str">
        <f aca="false">IF(AK114=0,"",IF(AT114="FT",IF(BO114&lt;FT_First,0,IF(BO114&lt;FT_Y5,1+INT((BO114-FT_First)/FT_Int1),FT_PreY5+FT_PerYear*INT((BO114-FT_Y5)/12)+FT_AnnivDays+INT(MOD(BO114-FT_Y5,12)/FT_Int2)-IF(EDATE(AL114,FT_Y5)&lt;PolicyEff,FT_AnnivDays-1,0))),IF(AT114="PT",IF(BO114&lt;PT_First,0,1+INT((BO114-PT_First)/PT_Int)),0))+IF(AND(AM114&gt;=2,AO114&lt;=(SchemeStart-1)),IF(AU114="FT",IF(BP114&lt;FT_First,0,IF(BP114&lt;FT_Y5,1+INT((BP114-FT_First)/FT_Int1),FT_PreY5+FT_PerYear*INT((BP114-FT_Y5)/12)+FT_AnnivDays+INT(MOD(BP114-FT_Y5,12)/FT_Int2)-IF(EDATE(AL114,FT_Y5)&lt;PolicyEff,FT_AnnivDays-1,0))),IF(AU114="PT",IF(BP114&lt;PT_First,0,1+INT((BP114-PT_First)/PT_Int)),0))-IF(AU114="FT",IF(BO114&lt;FT_First,0,IF(BO114&lt;FT_Y5,1+INT((BO114-FT_First)/FT_Int1),FT_PreY5+FT_PerYear*INT((BO114-FT_Y5)/12)+FT_AnnivDays+INT(MOD(BO114-FT_Y5,12)/FT_Int2)-IF(EDATE(AL114,FT_Y5)&lt;PolicyEff,FT_AnnivDays-1,0))),IF(AU114="PT",IF(BO114&lt;PT_First,0,1+INT((BO114-PT_First)/PT_Int)),0)),0)+IF(AND(AM114&gt;=3,AP114&lt;=(SchemeStart-1)),IF(AV114="FT",IF(BN114&lt;FT_First,0,IF(BN114&lt;FT_Y5,1+INT((BN114-FT_First)/FT_Int1),FT_PreY5+FT_PerYear*INT((BN114-FT_Y5)/12)+FT_AnnivDays+INT(MOD(BN114-FT_Y5,12)/FT_Int2)-IF(EDATE(AL114,FT_Y5)&lt;PolicyEff,FT_AnnivDays-1,0))),IF(AV114="PT",IF(BN114&lt;PT_First,0,1+INT((BN114-PT_First)/PT_Int)),0))-IF(AV114="FT",IF(BP114&lt;FT_First,0,IF(BP114&lt;FT_Y5,1+INT((BP114-FT_First)/FT_Int1),FT_PreY5+FT_PerYear*INT((BP114-FT_Y5)/12)+FT_AnnivDays+INT(MOD(BP114-FT_Y5,12)/FT_Int2)-IF(EDATE(AL114,FT_Y5)&lt;PolicyEff,FT_AnnivDays-1,0))),IF(AV114="PT",IF(BP114&lt;PT_First,0,1+INT((BP114-PT_First)/PT_Int)),0)),0))</f>
        <v/>
      </c>
      <c r="BR114" s="0" t="str">
        <f aca="false">IF(LEN($A114&amp;$B114)=0,"",$A114&amp;" "&amp;$B114)</f>
        <v/>
      </c>
    </row>
    <row r="115" customFormat="false" ht="15" hidden="false" customHeight="false" outlineLevel="0" collapsed="false">
      <c r="A115" s="12"/>
      <c r="B115" s="12"/>
      <c r="C115" s="12"/>
      <c r="D115" s="13"/>
      <c r="E115" s="14" t="str">
        <f aca="false">IF(OR(AK115=0,$D115=""),"",DATE(YEAR(AsOfDate)+IF(DATE(YEAR(AsOfDate),MONTH($D115),DAY($D115))&lt;=AsOfDate,1,0),MONTH($D115),DAY($D115)))</f>
        <v/>
      </c>
      <c r="F115" s="13"/>
      <c r="G115" s="13"/>
      <c r="H115" s="13"/>
      <c r="I115" s="13"/>
      <c r="J115" s="13"/>
      <c r="K115" s="14" t="str">
        <f aca="false">IF(AK115=0,"",DATE(YEAR(AsOfDate)+IF(DATE(YEAR(AsOfDate),MONTH(AL115),DAY(AL115))&lt;=AsOfDate,1,0),MONTH(AL115),DAY(AL115)))</f>
        <v/>
      </c>
      <c r="L115" s="15" t="str">
        <f aca="false">IF(AK115=0,"",ROUND((AsOfDate-AL115)/365.25,1))</f>
        <v/>
      </c>
      <c r="M115" s="16" t="str">
        <f aca="false">IF(AK115=0,"",IF(AsOfDate&lt;AL115,"-",DATEDIF(AL115,AsOfDate,"y")&amp;"y "&amp;DATEDIF(AL115,AsOfDate,"ym")&amp;"m "&amp;DATEDIF(AL115,AsOfDate,"md")&amp;"d"))</f>
        <v/>
      </c>
      <c r="N115" s="17" t="str">
        <f aca="false">IF(AK115=0,"",O115*HoursPerDay)</f>
        <v/>
      </c>
      <c r="O115" s="17" t="str">
        <f aca="false">IF(AK115=0,"",MAX(0,BD115-BQ115))</f>
        <v/>
      </c>
      <c r="P115" s="18"/>
      <c r="Q115" s="16" t="str">
        <f aca="false">IF(AK115=0,"",IF(AM115&lt;2,"",AQ115&amp;" to "&amp;AR115&amp;" on "&amp;TEXT(AO115,"dd/mm/yyyy")&amp;IF(AO115&gt;AsOfDate," (future)",IF(AT115=AU115,"",IF(AU115="None"," - STOPPED accruing",IF(AT115="None"," - commencement for Bonus Leave"," - pathway changed"))))&amp;IF(AM115&lt;3,"","; "&amp;AR115&amp;" to "&amp;AS115&amp;" on "&amp;TEXT(AP115,"dd/mm/yyyy")&amp;IF(AP115&gt;AsOfDate," (future)",IF(AU115=AV115,"",IF(AV115="None"," - STOPPED accruing",IF(AU115="None"," - commencement for Bonus Leave"," - pathway changed")))))))</f>
        <v/>
      </c>
      <c r="R115" s="16" t="str">
        <f aca="false">IF(AK115=0,"",IF(AW115="None",IF(O115&gt;0,"No longer accruing","Not eligible - "&amp;IF(AND(OR(ISNUMBER(SEARCH("part",$C115)),UPPER(TRIM($C115))="PT",UPPER(TRIM($C115))="PTE"),Apply2026="No"),"part-time (scheme is full-time only)",IF(AND(OR(ISNUMBER(SEARCH("part",$C115)),UPPER(TRIM($C115))="PT",UPPER(TRIM($C115))="PTE"),$P115&lt;&gt;"",N($P115)&lt;PT_MinHours),"under "&amp;PT_MinHours&amp;" hrs",IF(IF($C115="","",IF(OR(ISNUMBER(SEARCH("full",$C115)),UPPER(TRIM($C115))="FT",UPPER(TRIM($C115))="FTE"),"Full-Time",IF(OR(ISNUMBER(SEARCH("part",$C115)),UPPER(TRIM($C115))="PT",UPPER(TRIM($C115))="PTE"),"Part-Time",IF(OR(ISNUMBER(SEARCH("cas",$C115)),UPPER(TRIM($C115))="CAS"),"Casual","Unknown"))))="Unknown","type not recognised",$C115)))),IF(O115&gt;0,"Yes - Accrual Required","Not yet - from "&amp;TEXT(S115,"dd/mm/yyyy"))))</f>
        <v/>
      </c>
      <c r="S115" s="14" t="str">
        <f aca="false">IF(AK115=0,"",IF(AW115="None","",EDATE(AL115,BF115)))</f>
        <v/>
      </c>
      <c r="T115" s="17" t="str">
        <f aca="false">IF(AK115=0,"",IF(NOT(LH_Ready),"",IF($F115&gt;PFYDate,0,IF(LH_ColPeriod=0,W115-U115+V115,SUMIFS(INDEX(LH_Data,0,LH_ColAcc),INDEX(LH_Data,0,LH_ColFirst),$A115,INDEX(LH_Data,0,LH_ColSur),$B115,INDEX(LH_Data,0,LH_ColCat),BonusCat,INDEX(LH_Data,0,LH_ColPeriod),LH_OpenLabel)*UnitFactor))))</f>
        <v/>
      </c>
      <c r="U115" s="17" t="str">
        <f aca="false">IF(AK115=0,"",IF(NOT(LH_Ready),"",SUMIFS(INDEX(LH_Data,0,LH_ColAcc),INDEX(LH_Data,0,LH_ColFirst),$A115,INDEX(LH_Data,0,LH_ColSur),$B115,INDEX(LH_Data,0,LH_ColCat),BonusCat,INDEX(LH_Data,0,LH_ColStart),"&gt;="&amp;AL115)*UnitFactor))</f>
        <v/>
      </c>
      <c r="V115" s="17" t="str">
        <f aca="false">IF(AK115=0,"",IF(NOT(LH_Ready),"",SUMIFS(INDEX(LH_Data,0,LH_ColTaken),INDEX(LH_Data,0,LH_ColFirst),$A115,INDEX(LH_Data,0,LH_ColSur),$B115,INDEX(LH_Data,0,LH_ColCat),BonusCat,INDEX(LH_Data,0,LH_ColStart),"&gt;="&amp;AL115)*UnitFactor))</f>
        <v/>
      </c>
      <c r="W115" s="17" t="str">
        <f aca="false">IF(AK115=0,"",IF(NOT(LH_Ready),"",IF(BH115=0,0,INDEX(INDEX(LH_Data,0,LH_ColClose),BH115-1)*UnitFactor)))</f>
        <v/>
      </c>
      <c r="X115" s="17" t="str">
        <f aca="false">IF(AK115=0,"",(MAX(0,BD115-BQ115)-MAX(0,BE115-BQ115))*HoursPerDay)</f>
        <v/>
      </c>
      <c r="Y115" s="17" t="str">
        <f aca="false">IF(AK115=0,"",IF(NOT(LH_Ready),"",IF($AI115="Yes",N(AE115)*HoursPerDay-SUMIFS(INDEX(LH_Data,0,LH_ColAcc),INDEX(LH_Data,0,LH_ColFirst),$A115,INDEX(LH_Data,0,LH_ColSur),$B115,INDEX(LH_Data,0,LH_ColCat),BonusCat,INDEX(LH_Data,0,LH_ColStart),"&gt;="&amp;(EOMONTH(AsOfDate,-1)+1),INDEX(LH_Data,0,LH_ColStart),"&lt;="&amp;AsOfDate)*UnitFactor,IF(BG115=0,N115,N115-N(T115)-N(U115)))))</f>
        <v/>
      </c>
      <c r="Z115" s="16" t="str">
        <f aca="false">IF(OR(AK115=0,Y115=""),"",IF(Y115&gt;0,"Yes","No"))</f>
        <v/>
      </c>
      <c r="AA115" s="16" t="str">
        <f aca="false">IF(AK115=0,IF(LEN($A115&amp;$B115)=0,"","FIX INPUT - StartDate missing"),IF(AD115&lt;&gt;"","FIX INPUT - "&amp;AD115,IF(NOT(LH_Ready),"Paste Leave History export (Settings must show YES)",IF(AND($AI115="Yes",Y115&lt;=0),"OK - EH balance accepted to date"&amp;IF(N(AH115)&gt;0," (EH holds "&amp;AH115&amp;" hrs over the scheme)","")&amp;"; next day "&amp;TEXT(S115,"dd mmm yy")&amp;IF(N(AE115)&gt;0," ("&amp;AE115&amp;" day(s) for "&amp;UPPER(TEXT(AsOfDate,"mmm yyyy"))&amp;" already in EH)",""),IF(Y115&gt;0,"ACCRUE "&amp;ROUND(Y115,2)&amp;" hrs ("&amp;ROUND(Y115/HoursPerDay,2)&amp;" days): "&amp;IF(N(AE115)&gt;0,AE115&amp;" day(s) for "&amp;UPPER(TEXT(AsOfDate,"mmm yyyy"))&amp;" (milestone "&amp;UPPER(TEXT(AF115,"dd mmm yy"))&amp;")"&amp;IF(Y115/HoursPerDay&gt;AE115+0.001," + "&amp;ROUND(Y115/HoursPerDay-AE115,2)&amp;" day(s) catch-up from earlier months",""),"all catch-up from earlier months, nothing new this month")&amp;IF(BG115=0,"; no Bonus Leave in EH yet",""),IF(Y115&lt;0,"CHECK - EH accrued "&amp;ROUND(-Y115,2)&amp;" hrs more than policy since commencement",IF(N(W115)&gt;O115*HoursPerDay+0.01,"CHECK - EH balance "&amp;ROUND(W115-O115*HoursPerDay,2)&amp;" hrs more than policy entitlement",IF(O115&gt;0,"OK - nothing to add"&amp;IF(N(AE115)&gt;0," ("&amp;AE115&amp;" day(s) for "&amp;UPPER(TEXT(AsOfDate,"mmm yyyy"))&amp;" already in EH)",""),IF(AW115="None",R115,"Not yet - first day on "&amp;TEXT(S115,"dd/mm/yyyy"))))))))))</f>
        <v/>
      </c>
      <c r="AB115" s="17" t="str">
        <f aca="false">IF(OR(AK115=0,T115=""),"",MAX(0,BE115-BQ115)*HoursPerDay-T115)</f>
        <v/>
      </c>
      <c r="AC115" s="16" t="str">
        <f aca="false">IF(AK115=0,"",BG115)</f>
        <v/>
      </c>
      <c r="AD115" s="16" t="str">
        <f aca="false">IF(AK115=0,"",TRIM(IF(OR(ISTEXT($F115),ISTEXT($H115),ISTEXT($I115),ISTEXT($G115),ISTEXT($J115),ISTEXT($D115)),"A date is typed as text - retype it as dd/mm/yyyy. ","")&amp;IF(IF($C115="","",IF(OR(ISNUMBER(SEARCH("full",$C115)),UPPER(TRIM($C115))="FT",UPPER(TRIM($C115))="FTE"),"Full-Time",IF(OR(ISNUMBER(SEARCH("part",$C115)),UPPER(TRIM($C115))="PT",UPPER(TRIM($C115))="PTE"),"Part-Time",IF(OR(ISNUMBER(SEARCH("cas",$C115)),UPPER(TRIM($C115))="CAS"),"Casual","Unknown"))))="Unknown","EmploymentType not recognised - use Full-Time, Part-Time or Casual. ","")&amp;IF(AND(AM115&gt;=1,IF(AM115&gt;=3,AS115,IF(AM115=2,AR115,AQ115))&lt;&gt;IF($C115="","",IF(OR(ISNUMBER(SEARCH("full",$C115)),UPPER(TRIM($C115))="FT",UPPER(TRIM($C115))="FTE"),"Full-Time",IF(OR(ISNUMBER(SEARCH("part",$C115)),UPPER(TRIM($C115))="PT",UPPER(TRIM($C115))="PTE"),"Part-Time",IF(OR(ISNUMBER(SEARCH("cas",$C115)),UPPER(TRIM($C115))="CAS"),"Casual","Unknown"))))),"EmploymentType does not match latest start date ("&amp;IF(AM115&gt;=3,AS115,IF(AM115=2,AR115,AQ115))&amp;"). ","")&amp;IF(AND(AM115&gt;=1,AN115&lt;&gt;$F115),"Earliest type date should equal StartDate. ","")&amp;IF(AND(AM115&gt;=2,AN115=AO115),"Two types start on the same date. ","")&amp;IF(AND(OR(ISNUMBER(SEARCH("part",$C115)),UPPER(TRIM($C115))="PT",UPPER(TRIM($C115))="PTE"),$P115=""),"Part-time: enter PT Hrs/Week (blank = 24+). ","")))</f>
        <v/>
      </c>
      <c r="AE115" s="17" t="str">
        <f aca="false">IF(AK115=0,"",O115-MAX(0,BL115-BQ115))</f>
        <v/>
      </c>
      <c r="AF115" s="14" t="str">
        <f aca="false">IF(OR(AK115=0,AE115="",N(AE115)=0,BM115=""),"",EDATE(AL115,BM115))</f>
        <v/>
      </c>
      <c r="AG115" s="17" t="str">
        <f aca="false">IF(AK115=0,"",MIN(BD115,BQ115))</f>
        <v/>
      </c>
      <c r="AH115" s="17" t="str">
        <f aca="false">IF(AK115=0,"",IF(NOT(LH_Ready),"",IF(BG115=0,0,MAX(0,ROUND(N(T115)+N(U115)-N115,2)))))</f>
        <v/>
      </c>
      <c r="AI115" s="12"/>
      <c r="AJ115" s="12"/>
      <c r="AK115" s="16" t="n">
        <f aca="false">IF(OR(LEN($A115&amp;$B115)=0,$F115=""),0,1)</f>
        <v>0</v>
      </c>
      <c r="AL115" s="14" t="str">
        <f aca="false">IF(AK115=0,"",IF(PreSchemeCounts="No",MAX(SchemeStart,IF($J115&lt;&gt;"",$J115,IF(OR(CasualCounts="Yes",COUNT($G115:$I115)=0),$F115,IF(Apply2026="No",IF($I115="",$F115,$I115),IF(COUNT($H115:$I115)=0,$F115,MIN($H115:$I115)))))),IF($J115&lt;&gt;"",$J115,IF(OR(CasualCounts="Yes",COUNT($G115:$I115)=0),$F115,IF(Apply2026="No",IF($I115="",$F115,$I115),IF(COUNT($H115:$I115)=0,$F115,MIN($H115:$I115)))))))</f>
        <v/>
      </c>
      <c r="AM115" s="16" t="str">
        <f aca="false">IF(AK115=0,"",COUNT($G115:$I115))</f>
        <v/>
      </c>
      <c r="AN115" s="14" t="str">
        <f aca="false">IF(AK115=0,"",IFERROR(SMALL($G115:$I115,1),""))</f>
        <v/>
      </c>
      <c r="AO115" s="14" t="str">
        <f aca="false">IF(AK115=0,"",IFERROR(SMALL($G115:$I115,2),""))</f>
        <v/>
      </c>
      <c r="AP115" s="14" t="str">
        <f aca="false">IF(AK115=0,"",IFERROR(SMALL($G115:$I115,3),""))</f>
        <v/>
      </c>
      <c r="AQ115" s="16" t="str">
        <f aca="false">IF(AK115=0,"",IF(AN115="","",IF(AN115=$H115,"Part-Time",IF(AN115=$I115,"Full-Time","Casual"))))</f>
        <v/>
      </c>
      <c r="AR115" s="16" t="str">
        <f aca="false">IF(AK115=0,"",IF(AO115="","",IF(AO115=$H115,"Part-Time",IF(AO115=$I115,"Full-Time","Casual"))))</f>
        <v/>
      </c>
      <c r="AS115" s="16" t="str">
        <f aca="false">IF(AK115=0,"",IF(AP115="","",IF(AP115=$H115,"Part-Time",IF(AP115=$I115,"Full-Time","Casual"))))</f>
        <v/>
      </c>
      <c r="AT115" s="16" t="str">
        <f aca="false">IF(AK115=0,"",IF(AM115=0,IF(OR(ISNUMBER(SEARCH("full",$C115)),UPPER(TRIM($C115))="FT",UPPER(TRIM($C115))="FTE"),"FT",IF(AND(OR(ISNUMBER(SEARCH("part",$C115)),UPPER(TRIM($C115))="PT",UPPER(TRIM($C115))="PTE"),Apply2026="Yes",OR($P115="",N($P115)&gt;=PT_MinHours)),"PT","None")),IF(OR(ISNUMBER(SEARCH("full",AQ115)),UPPER(TRIM(AQ115))="FT",UPPER(TRIM(AQ115))="FTE"),"FT",IF(AND(OR(ISNUMBER(SEARCH("part",AQ115)),UPPER(TRIM(AQ115))="PT",UPPER(TRIM(AQ115))="PTE"),Apply2026="Yes",OR($P115="",N($P115)&gt;=PT_MinHours)),"PT","None"))))</f>
        <v/>
      </c>
      <c r="AU115" s="16" t="str">
        <f aca="false">IF(AK115=0,"",IF(AM115&lt;2,"",IF(OR(ISNUMBER(SEARCH("full",AR115)),UPPER(TRIM(AR115))="FT",UPPER(TRIM(AR115))="FTE"),"FT",IF(AND(OR(ISNUMBER(SEARCH("part",AR115)),UPPER(TRIM(AR115))="PT",UPPER(TRIM(AR115))="PTE"),Apply2026="Yes",OR($P115="",N($P115)&gt;=PT_MinHours)),"PT","None"))))</f>
        <v/>
      </c>
      <c r="AV115" s="16" t="str">
        <f aca="false">IF(AK115=0,"",IF(AM115&lt;3,"",IF(OR(ISNUMBER(SEARCH("full",AS115)),UPPER(TRIM(AS115))="FT",UPPER(TRIM(AS115))="FTE"),"FT",IF(AND(OR(ISNUMBER(SEARCH("part",AS115)),UPPER(TRIM(AS115))="PT",UPPER(TRIM(AS115))="PTE"),Apply2026="Yes",OR($P115="",N($P115)&gt;=PT_MinHours)),"PT","None"))))</f>
        <v/>
      </c>
      <c r="AW115" s="16" t="str">
        <f aca="false">IF(AK115=0,"",IF(AND(AM115&gt;=3,AP115&lt;=AsOfDate),AV115,IF(AND(AM115&gt;=2,AO115&lt;=AsOfDate),AU115,AT115)))</f>
        <v/>
      </c>
      <c r="AX115" s="16" t="str">
        <f aca="false">IF(AK115=0,"",IF(AsOfDate&lt;AL115,-1,12*(YEAR(AsOfDate)-YEAR(AL115))+MONTH(AsOfDate)-MONTH(AL115)-IF(DAY(AsOfDate)&lt;MIN(DAY(AL115),DAY(EOMONTH(AsOfDate,0))),1,0)))</f>
        <v/>
      </c>
      <c r="AY115" s="16" t="str">
        <f aca="false">IF(AK115=0,"",IF(OR(AM115&lt;2,AO115&gt;AsOfDate),AX115,IF((AO115-1)&lt;AL115,-1,12*(YEAR((AO115-1))-YEAR(AL115))+MONTH((AO115-1))-MONTH(AL115)-IF(DAY((AO115-1))&lt;MIN(DAY(AL115),DAY(EOMONTH((AO115-1),0))),1,0))))</f>
        <v/>
      </c>
      <c r="AZ115" s="16" t="str">
        <f aca="false">IF(AK115=0,"",IF(OR(AM115&lt;3,AP115&gt;AsOfDate),AX115,IF((AP115-1)&lt;AL115,-1,12*(YEAR((AP115-1))-YEAR(AL115))+MONTH((AP115-1))-MONTH(AL115)-IF(DAY((AP115-1))&lt;MIN(DAY(AL115),DAY(EOMONTH((AP115-1),0))),1,0))))</f>
        <v/>
      </c>
      <c r="BA115" s="16" t="str">
        <f aca="false">IF(AK115=0,"",IF(PFYDate&lt;AL115,-1,12*(YEAR(PFYDate)-YEAR(AL115))+MONTH(PFYDate)-MONTH(AL115)-IF(DAY(PFYDate)&lt;MIN(DAY(AL115),DAY(EOMONTH(PFYDate,0))),1,0)))</f>
        <v/>
      </c>
      <c r="BB115" s="16" t="str">
        <f aca="false">IF(AK115=0,"",IF(OR(AM115&lt;2,AO115&gt;PFYDate),BA115,IF((AO115-1)&lt;AL115,-1,12*(YEAR((AO115-1))-YEAR(AL115))+MONTH((AO115-1))-MONTH(AL115)-IF(DAY((AO115-1))&lt;MIN(DAY(AL115),DAY(EOMONTH((AO115-1),0))),1,0))))</f>
        <v/>
      </c>
      <c r="BC115" s="16" t="str">
        <f aca="false">IF(AK115=0,"",IF(OR(AM115&lt;3,AP115&gt;PFYDate),BA115,IF((AP115-1)&lt;AL115,-1,12*(YEAR((AP115-1))-YEAR(AL115))+MONTH((AP115-1))-MONTH(AL115)-IF(DAY((AP115-1))&lt;MIN(DAY(AL115),DAY(EOMONTH((AP115-1),0))),1,0))))</f>
        <v/>
      </c>
      <c r="BD115" s="16" t="str">
        <f aca="false">IF(AK115=0,"",IF(AT115="FT",IF(AY115&lt;FT_First,0,IF(AY115&lt;FT_Y5,1+INT((AY115-FT_First)/FT_Int1),FT_PreY5+FT_PerYear*INT((AY115-FT_Y5)/12)+FT_AnnivDays+INT(MOD(AY115-FT_Y5,12)/FT_Int2)-IF(EDATE(AL115,FT_Y5)&lt;PolicyEff,FT_AnnivDays-1,0))),IF(AT115="PT",IF(AY115&lt;PT_First,0,1+INT((AY115-PT_First)/PT_Int)),0))+IF(AND(AM115&gt;=2,AO115&lt;=AsOfDate),IF(AU115="FT",IF(AZ115&lt;FT_First,0,IF(AZ115&lt;FT_Y5,1+INT((AZ115-FT_First)/FT_Int1),FT_PreY5+FT_PerYear*INT((AZ115-FT_Y5)/12)+FT_AnnivDays+INT(MOD(AZ115-FT_Y5,12)/FT_Int2)-IF(EDATE(AL115,FT_Y5)&lt;PolicyEff,FT_AnnivDays-1,0))),IF(AU115="PT",IF(AZ115&lt;PT_First,0,1+INT((AZ115-PT_First)/PT_Int)),0))-IF(AU115="FT",IF(AY115&lt;FT_First,0,IF(AY115&lt;FT_Y5,1+INT((AY115-FT_First)/FT_Int1),FT_PreY5+FT_PerYear*INT((AY115-FT_Y5)/12)+FT_AnnivDays+INT(MOD(AY115-FT_Y5,12)/FT_Int2)-IF(EDATE(AL115,FT_Y5)&lt;PolicyEff,FT_AnnivDays-1,0))),IF(AU115="PT",IF(AY115&lt;PT_First,0,1+INT((AY115-PT_First)/PT_Int)),0)),0)+IF(AND(AM115&gt;=3,AP115&lt;=AsOfDate),IF(AV115="FT",IF(AX115&lt;FT_First,0,IF(AX115&lt;FT_Y5,1+INT((AX115-FT_First)/FT_Int1),FT_PreY5+FT_PerYear*INT((AX115-FT_Y5)/12)+FT_AnnivDays+INT(MOD(AX115-FT_Y5,12)/FT_Int2)-IF(EDATE(AL115,FT_Y5)&lt;PolicyEff,FT_AnnivDays-1,0))),IF(AV115="PT",IF(AX115&lt;PT_First,0,1+INT((AX115-PT_First)/PT_Int)),0))-IF(AV115="FT",IF(AZ115&lt;FT_First,0,IF(AZ115&lt;FT_Y5,1+INT((AZ115-FT_First)/FT_Int1),FT_PreY5+FT_PerYear*INT((AZ115-FT_Y5)/12)+FT_AnnivDays+INT(MOD(AZ115-FT_Y5,12)/FT_Int2)-IF(EDATE(AL115,FT_Y5)&lt;PolicyEff,FT_AnnivDays-1,0))),IF(AV115="PT",IF(AZ115&lt;PT_First,0,1+INT((AZ115-PT_First)/PT_Int)),0)),0))</f>
        <v/>
      </c>
      <c r="BE115" s="16" t="str">
        <f aca="false">IF(AK115=0,"",IF(AT115="FT",IF(BB115&lt;FT_First,0,IF(BB115&lt;FT_Y5,1+INT((BB115-FT_First)/FT_Int1),FT_PreY5+FT_PerYear*INT((BB115-FT_Y5)/12)+FT_AnnivDays+INT(MOD(BB115-FT_Y5,12)/FT_Int2)-IF(EDATE(AL115,FT_Y5)&lt;PolicyEff,FT_AnnivDays-1,0))),IF(AT115="PT",IF(BB115&lt;PT_First,0,1+INT((BB115-PT_First)/PT_Int)),0))+IF(AND(AM115&gt;=2,AO115&lt;=PFYDate),IF(AU115="FT",IF(BC115&lt;FT_First,0,IF(BC115&lt;FT_Y5,1+INT((BC115-FT_First)/FT_Int1),FT_PreY5+FT_PerYear*INT((BC115-FT_Y5)/12)+FT_AnnivDays+INT(MOD(BC115-FT_Y5,12)/FT_Int2)-IF(EDATE(AL115,FT_Y5)&lt;PolicyEff,FT_AnnivDays-1,0))),IF(AU115="PT",IF(BC115&lt;PT_First,0,1+INT((BC115-PT_First)/PT_Int)),0))-IF(AU115="FT",IF(BB115&lt;FT_First,0,IF(BB115&lt;FT_Y5,1+INT((BB115-FT_First)/FT_Int1),FT_PreY5+FT_PerYear*INT((BB115-FT_Y5)/12)+FT_AnnivDays+INT(MOD(BB115-FT_Y5,12)/FT_Int2)-IF(EDATE(AL115,FT_Y5)&lt;PolicyEff,FT_AnnivDays-1,0))),IF(AU115="PT",IF(BB115&lt;PT_First,0,1+INT((BB115-PT_First)/PT_Int)),0)),0)+IF(AND(AM115&gt;=3,AP115&lt;=PFYDate),IF(AV115="FT",IF(BA115&lt;FT_First,0,IF(BA115&lt;FT_Y5,1+INT((BA115-FT_First)/FT_Int1),FT_PreY5+FT_PerYear*INT((BA115-FT_Y5)/12)+FT_AnnivDays+INT(MOD(BA115-FT_Y5,12)/FT_Int2)-IF(EDATE(AL115,FT_Y5)&lt;PolicyEff,FT_AnnivDays-1,0))),IF(AV115="PT",IF(BA115&lt;PT_First,0,1+INT((BA115-PT_First)/PT_Int)),0))-IF(AV115="FT",IF(BC115&lt;FT_First,0,IF(BC115&lt;FT_Y5,1+INT((BC115-FT_First)/FT_Int1),FT_PreY5+FT_PerYear*INT((BC115-FT_Y5)/12)+FT_AnnivDays+INT(MOD(BC115-FT_Y5,12)/FT_Int2)-IF(EDATE(AL115,FT_Y5)&lt;PolicyEff,FT_AnnivDays-1,0))),IF(AV115="PT",IF(BC115&lt;PT_First,0,1+INT((BC115-PT_First)/PT_Int)),0)),0))</f>
        <v/>
      </c>
      <c r="BF115" s="16" t="str">
        <f aca="false">IF(AK115=0,"",IF(AW115="FT",IF(AX115&lt;FT_First,FT_First,IF(AX115&lt;FT_Y5,MIN(FT_Y5,FT_First+FT_Int1*(INT((AX115-FT_First)/FT_Int1)+1)),FT_Y5+12*INT((AX115-FT_Y5)/12)+FT_Int2*(INT(MOD(AX115-FT_Y5,12)/FT_Int2)+1))),IF(AW115="PT",IF(AX115&lt;PT_First,PT_First,PT_First+PT_Int*(INT((AX115-PT_First)/PT_Int)+1)),"")))</f>
        <v/>
      </c>
      <c r="BG115" s="16" t="str">
        <f aca="false">IF(AK115=0,"",IF(NOT(LH_Ready),0,COUNTIFS(INDEX(LH_Data,0,LH_ColFirst),$A115,INDEX(LH_Data,0,LH_ColSur),$B115,INDEX(LH_Data,0,LH_ColCat),BonusCat)))</f>
        <v/>
      </c>
      <c r="BH115" s="16" t="str">
        <f aca="false">IF(AK115=0,"",IF(OR(NOT(LH_Ready),BG115=0),0,SUMPRODUCT(MAX((INDEX(LH_Data,0,LH_ColFirst)=$A115)*(INDEX(LH_Data,0,LH_ColSur)=$B115)*(INDEX(LH_Data,0,LH_ColCat)=BonusCat)*ROW(LH_Data)))))</f>
        <v/>
      </c>
      <c r="BI115" s="16" t="str">
        <f aca="false">IF(AK115=0,"",IF(EOMONTH(AsOfDate,-1)&lt;AL115,-1,12*(YEAR(EOMONTH(AsOfDate,-1))-YEAR(AL115))+MONTH(EOMONTH(AsOfDate,-1))-MONTH(AL115)-IF(DAY(EOMONTH(AsOfDate,-1))&lt;MIN(DAY(AL115),DAY(EOMONTH(EOMONTH(AsOfDate,-1),0))),1,0)))</f>
        <v/>
      </c>
      <c r="BJ115" s="16" t="str">
        <f aca="false">IF(AK115=0,"",IF(OR(AM115&lt;2,AO115&gt;EOMONTH(AsOfDate,-1)),BI115,IF((AO115-1)&lt;AL115,-1,12*(YEAR((AO115-1))-YEAR(AL115))+MONTH((AO115-1))-MONTH(AL115)-IF(DAY((AO115-1))&lt;MIN(DAY(AL115),DAY(EOMONTH((AO115-1),0))),1,0))))</f>
        <v/>
      </c>
      <c r="BK115" s="16" t="str">
        <f aca="false">IF(AK115=0,"",IF(OR(AM115&lt;3,AP115&gt;EOMONTH(AsOfDate,-1)),BI115,IF((AP115-1)&lt;AL115,-1,12*(YEAR((AP115-1))-YEAR(AL115))+MONTH((AP115-1))-MONTH(AL115)-IF(DAY((AP115-1))&lt;MIN(DAY(AL115),DAY(EOMONTH((AP115-1),0))),1,0))))</f>
        <v/>
      </c>
      <c r="BL115" s="16" t="str">
        <f aca="false">IF(AK115=0,"",IF(AT115="FT",IF(BJ115&lt;FT_First,0,IF(BJ115&lt;FT_Y5,1+INT((BJ115-FT_First)/FT_Int1),FT_PreY5+FT_PerYear*INT((BJ115-FT_Y5)/12)+FT_AnnivDays+INT(MOD(BJ115-FT_Y5,12)/FT_Int2)-IF(EDATE(AL115,FT_Y5)&lt;PolicyEff,FT_AnnivDays-1,0))),IF(AT115="PT",IF(BJ115&lt;PT_First,0,1+INT((BJ115-PT_First)/PT_Int)),0))+IF(AND(AM115&gt;=2,AO115&lt;=EOMONTH(AsOfDate,-1)),IF(AU115="FT",IF(BK115&lt;FT_First,0,IF(BK115&lt;FT_Y5,1+INT((BK115-FT_First)/FT_Int1),FT_PreY5+FT_PerYear*INT((BK115-FT_Y5)/12)+FT_AnnivDays+INT(MOD(BK115-FT_Y5,12)/FT_Int2)-IF(EDATE(AL115,FT_Y5)&lt;PolicyEff,FT_AnnivDays-1,0))),IF(AU115="PT",IF(BK115&lt;PT_First,0,1+INT((BK115-PT_First)/PT_Int)),0))-IF(AU115="FT",IF(BJ115&lt;FT_First,0,IF(BJ115&lt;FT_Y5,1+INT((BJ115-FT_First)/FT_Int1),FT_PreY5+FT_PerYear*INT((BJ115-FT_Y5)/12)+FT_AnnivDays+INT(MOD(BJ115-FT_Y5,12)/FT_Int2)-IF(EDATE(AL115,FT_Y5)&lt;PolicyEff,FT_AnnivDays-1,0))),IF(AU115="PT",IF(BJ115&lt;PT_First,0,1+INT((BJ115-PT_First)/PT_Int)),0)),0)+IF(AND(AM115&gt;=3,AP115&lt;=EOMONTH(AsOfDate,-1)),IF(AV115="FT",IF(BI115&lt;FT_First,0,IF(BI115&lt;FT_Y5,1+INT((BI115-FT_First)/FT_Int1),FT_PreY5+FT_PerYear*INT((BI115-FT_Y5)/12)+FT_AnnivDays+INT(MOD(BI115-FT_Y5,12)/FT_Int2)-IF(EDATE(AL115,FT_Y5)&lt;PolicyEff,FT_AnnivDays-1,0))),IF(AV115="PT",IF(BI115&lt;PT_First,0,1+INT((BI115-PT_First)/PT_Int)),0))-IF(AV115="FT",IF(BK115&lt;FT_First,0,IF(BK115&lt;FT_Y5,1+INT((BK115-FT_First)/FT_Int1),FT_PreY5+FT_PerYear*INT((BK115-FT_Y5)/12)+FT_AnnivDays+INT(MOD(BK115-FT_Y5,12)/FT_Int2)-IF(EDATE(AL115,FT_Y5)&lt;PolicyEff,FT_AnnivDays-1,0))),IF(AV115="PT",IF(BK115&lt;PT_First,0,1+INT((BK115-PT_First)/PT_Int)),0)),0))</f>
        <v/>
      </c>
      <c r="BM115" s="16" t="str">
        <f aca="false">IF(AK115=0,"",IF(AW115="FT",IF(AX115&lt;FT_First,"",IF(AX115&lt;FT_Y5,FT_First+FT_Int1*INT((AX115-FT_First)/FT_Int1),FT_Y5+FT_Int2*INT((AX115-FT_Y5)/FT_Int2))),IF(AW115="PT",IF(AX115&lt;PT_First,"",PT_First+PT_Int*INT((AX115-PT_First)/PT_Int)),"")))</f>
        <v/>
      </c>
      <c r="BN115" s="16" t="str">
        <f aca="false">IF(AK115=0,"",IF((SchemeStart-1)&lt;AL115,-1,12*(YEAR((SchemeStart-1))-YEAR(AL115))+MONTH((SchemeStart-1))-MONTH(AL115)-IF(DAY((SchemeStart-1))&lt;MIN(DAY(AL115),DAY(EOMONTH((SchemeStart-1),0))),1,0)))</f>
        <v/>
      </c>
      <c r="BO115" s="16" t="str">
        <f aca="false">IF(AK115=0,"",IF(OR(AM115&lt;2,AO115&gt;(SchemeStart-1)),BN115,IF((AO115-1)&lt;AL115,-1,12*(YEAR((AO115-1))-YEAR(AL115))+MONTH((AO115-1))-MONTH(AL115)-IF(DAY((AO115-1))&lt;MIN(DAY(AL115),DAY(EOMONTH((AO115-1),0))),1,0))))</f>
        <v/>
      </c>
      <c r="BP115" s="16" t="str">
        <f aca="false">IF(AK115=0,"",IF(OR(AM115&lt;3,AP115&gt;(SchemeStart-1)),BN115,IF((AP115-1)&lt;AL115,-1,12*(YEAR((AP115-1))-YEAR(AL115))+MONTH((AP115-1))-MONTH(AL115)-IF(DAY((AP115-1))&lt;MIN(DAY(AL115),DAY(EOMONTH((AP115-1),0))),1,0))))</f>
        <v/>
      </c>
      <c r="BQ115" s="16" t="str">
        <f aca="false">IF(AK115=0,"",IF(AT115="FT",IF(BO115&lt;FT_First,0,IF(BO115&lt;FT_Y5,1+INT((BO115-FT_First)/FT_Int1),FT_PreY5+FT_PerYear*INT((BO115-FT_Y5)/12)+FT_AnnivDays+INT(MOD(BO115-FT_Y5,12)/FT_Int2)-IF(EDATE(AL115,FT_Y5)&lt;PolicyEff,FT_AnnivDays-1,0))),IF(AT115="PT",IF(BO115&lt;PT_First,0,1+INT((BO115-PT_First)/PT_Int)),0))+IF(AND(AM115&gt;=2,AO115&lt;=(SchemeStart-1)),IF(AU115="FT",IF(BP115&lt;FT_First,0,IF(BP115&lt;FT_Y5,1+INT((BP115-FT_First)/FT_Int1),FT_PreY5+FT_PerYear*INT((BP115-FT_Y5)/12)+FT_AnnivDays+INT(MOD(BP115-FT_Y5,12)/FT_Int2)-IF(EDATE(AL115,FT_Y5)&lt;PolicyEff,FT_AnnivDays-1,0))),IF(AU115="PT",IF(BP115&lt;PT_First,0,1+INT((BP115-PT_First)/PT_Int)),0))-IF(AU115="FT",IF(BO115&lt;FT_First,0,IF(BO115&lt;FT_Y5,1+INT((BO115-FT_First)/FT_Int1),FT_PreY5+FT_PerYear*INT((BO115-FT_Y5)/12)+FT_AnnivDays+INT(MOD(BO115-FT_Y5,12)/FT_Int2)-IF(EDATE(AL115,FT_Y5)&lt;PolicyEff,FT_AnnivDays-1,0))),IF(AU115="PT",IF(BO115&lt;PT_First,0,1+INT((BO115-PT_First)/PT_Int)),0)),0)+IF(AND(AM115&gt;=3,AP115&lt;=(SchemeStart-1)),IF(AV115="FT",IF(BN115&lt;FT_First,0,IF(BN115&lt;FT_Y5,1+INT((BN115-FT_First)/FT_Int1),FT_PreY5+FT_PerYear*INT((BN115-FT_Y5)/12)+FT_AnnivDays+INT(MOD(BN115-FT_Y5,12)/FT_Int2)-IF(EDATE(AL115,FT_Y5)&lt;PolicyEff,FT_AnnivDays-1,0))),IF(AV115="PT",IF(BN115&lt;PT_First,0,1+INT((BN115-PT_First)/PT_Int)),0))-IF(AV115="FT",IF(BP115&lt;FT_First,0,IF(BP115&lt;FT_Y5,1+INT((BP115-FT_First)/FT_Int1),FT_PreY5+FT_PerYear*INT((BP115-FT_Y5)/12)+FT_AnnivDays+INT(MOD(BP115-FT_Y5,12)/FT_Int2)-IF(EDATE(AL115,FT_Y5)&lt;PolicyEff,FT_AnnivDays-1,0))),IF(AV115="PT",IF(BP115&lt;PT_First,0,1+INT((BP115-PT_First)/PT_Int)),0)),0))</f>
        <v/>
      </c>
      <c r="BR115" s="0" t="str">
        <f aca="false">IF(LEN($A115&amp;$B115)=0,"",$A115&amp;" "&amp;$B115)</f>
        <v/>
      </c>
    </row>
    <row r="116" customFormat="false" ht="15" hidden="false" customHeight="false" outlineLevel="0" collapsed="false">
      <c r="A116" s="12"/>
      <c r="B116" s="12"/>
      <c r="C116" s="12"/>
      <c r="D116" s="13"/>
      <c r="E116" s="14" t="str">
        <f aca="false">IF(OR(AK116=0,$D116=""),"",DATE(YEAR(AsOfDate)+IF(DATE(YEAR(AsOfDate),MONTH($D116),DAY($D116))&lt;=AsOfDate,1,0),MONTH($D116),DAY($D116)))</f>
        <v/>
      </c>
      <c r="F116" s="13"/>
      <c r="G116" s="13"/>
      <c r="H116" s="13"/>
      <c r="I116" s="13"/>
      <c r="J116" s="13"/>
      <c r="K116" s="14" t="str">
        <f aca="false">IF(AK116=0,"",DATE(YEAR(AsOfDate)+IF(DATE(YEAR(AsOfDate),MONTH(AL116),DAY(AL116))&lt;=AsOfDate,1,0),MONTH(AL116),DAY(AL116)))</f>
        <v/>
      </c>
      <c r="L116" s="15" t="str">
        <f aca="false">IF(AK116=0,"",ROUND((AsOfDate-AL116)/365.25,1))</f>
        <v/>
      </c>
      <c r="M116" s="16" t="str">
        <f aca="false">IF(AK116=0,"",IF(AsOfDate&lt;AL116,"-",DATEDIF(AL116,AsOfDate,"y")&amp;"y "&amp;DATEDIF(AL116,AsOfDate,"ym")&amp;"m "&amp;DATEDIF(AL116,AsOfDate,"md")&amp;"d"))</f>
        <v/>
      </c>
      <c r="N116" s="17" t="str">
        <f aca="false">IF(AK116=0,"",O116*HoursPerDay)</f>
        <v/>
      </c>
      <c r="O116" s="17" t="str">
        <f aca="false">IF(AK116=0,"",MAX(0,BD116-BQ116))</f>
        <v/>
      </c>
      <c r="P116" s="18"/>
      <c r="Q116" s="16" t="str">
        <f aca="false">IF(AK116=0,"",IF(AM116&lt;2,"",AQ116&amp;" to "&amp;AR116&amp;" on "&amp;TEXT(AO116,"dd/mm/yyyy")&amp;IF(AO116&gt;AsOfDate," (future)",IF(AT116=AU116,"",IF(AU116="None"," - STOPPED accruing",IF(AT116="None"," - commencement for Bonus Leave"," - pathway changed"))))&amp;IF(AM116&lt;3,"","; "&amp;AR116&amp;" to "&amp;AS116&amp;" on "&amp;TEXT(AP116,"dd/mm/yyyy")&amp;IF(AP116&gt;AsOfDate," (future)",IF(AU116=AV116,"",IF(AV116="None"," - STOPPED accruing",IF(AU116="None"," - commencement for Bonus Leave"," - pathway changed")))))))</f>
        <v/>
      </c>
      <c r="R116" s="16" t="str">
        <f aca="false">IF(AK116=0,"",IF(AW116="None",IF(O116&gt;0,"No longer accruing","Not eligible - "&amp;IF(AND(OR(ISNUMBER(SEARCH("part",$C116)),UPPER(TRIM($C116))="PT",UPPER(TRIM($C116))="PTE"),Apply2026="No"),"part-time (scheme is full-time only)",IF(AND(OR(ISNUMBER(SEARCH("part",$C116)),UPPER(TRIM($C116))="PT",UPPER(TRIM($C116))="PTE"),$P116&lt;&gt;"",N($P116)&lt;PT_MinHours),"under "&amp;PT_MinHours&amp;" hrs",IF(IF($C116="","",IF(OR(ISNUMBER(SEARCH("full",$C116)),UPPER(TRIM($C116))="FT",UPPER(TRIM($C116))="FTE"),"Full-Time",IF(OR(ISNUMBER(SEARCH("part",$C116)),UPPER(TRIM($C116))="PT",UPPER(TRIM($C116))="PTE"),"Part-Time",IF(OR(ISNUMBER(SEARCH("cas",$C116)),UPPER(TRIM($C116))="CAS"),"Casual","Unknown"))))="Unknown","type not recognised",$C116)))),IF(O116&gt;0,"Yes - Accrual Required","Not yet - from "&amp;TEXT(S116,"dd/mm/yyyy"))))</f>
        <v/>
      </c>
      <c r="S116" s="14" t="str">
        <f aca="false">IF(AK116=0,"",IF(AW116="None","",EDATE(AL116,BF116)))</f>
        <v/>
      </c>
      <c r="T116" s="17" t="str">
        <f aca="false">IF(AK116=0,"",IF(NOT(LH_Ready),"",IF($F116&gt;PFYDate,0,IF(LH_ColPeriod=0,W116-U116+V116,SUMIFS(INDEX(LH_Data,0,LH_ColAcc),INDEX(LH_Data,0,LH_ColFirst),$A116,INDEX(LH_Data,0,LH_ColSur),$B116,INDEX(LH_Data,0,LH_ColCat),BonusCat,INDEX(LH_Data,0,LH_ColPeriod),LH_OpenLabel)*UnitFactor))))</f>
        <v/>
      </c>
      <c r="U116" s="17" t="str">
        <f aca="false">IF(AK116=0,"",IF(NOT(LH_Ready),"",SUMIFS(INDEX(LH_Data,0,LH_ColAcc),INDEX(LH_Data,0,LH_ColFirst),$A116,INDEX(LH_Data,0,LH_ColSur),$B116,INDEX(LH_Data,0,LH_ColCat),BonusCat,INDEX(LH_Data,0,LH_ColStart),"&gt;="&amp;AL116)*UnitFactor))</f>
        <v/>
      </c>
      <c r="V116" s="17" t="str">
        <f aca="false">IF(AK116=0,"",IF(NOT(LH_Ready),"",SUMIFS(INDEX(LH_Data,0,LH_ColTaken),INDEX(LH_Data,0,LH_ColFirst),$A116,INDEX(LH_Data,0,LH_ColSur),$B116,INDEX(LH_Data,0,LH_ColCat),BonusCat,INDEX(LH_Data,0,LH_ColStart),"&gt;="&amp;AL116)*UnitFactor))</f>
        <v/>
      </c>
      <c r="W116" s="17" t="str">
        <f aca="false">IF(AK116=0,"",IF(NOT(LH_Ready),"",IF(BH116=0,0,INDEX(INDEX(LH_Data,0,LH_ColClose),BH116-1)*UnitFactor)))</f>
        <v/>
      </c>
      <c r="X116" s="17" t="str">
        <f aca="false">IF(AK116=0,"",(MAX(0,BD116-BQ116)-MAX(0,BE116-BQ116))*HoursPerDay)</f>
        <v/>
      </c>
      <c r="Y116" s="17" t="str">
        <f aca="false">IF(AK116=0,"",IF(NOT(LH_Ready),"",IF($AI116="Yes",N(AE116)*HoursPerDay-SUMIFS(INDEX(LH_Data,0,LH_ColAcc),INDEX(LH_Data,0,LH_ColFirst),$A116,INDEX(LH_Data,0,LH_ColSur),$B116,INDEX(LH_Data,0,LH_ColCat),BonusCat,INDEX(LH_Data,0,LH_ColStart),"&gt;="&amp;(EOMONTH(AsOfDate,-1)+1),INDEX(LH_Data,0,LH_ColStart),"&lt;="&amp;AsOfDate)*UnitFactor,IF(BG116=0,N116,N116-N(T116)-N(U116)))))</f>
        <v/>
      </c>
      <c r="Z116" s="16" t="str">
        <f aca="false">IF(OR(AK116=0,Y116=""),"",IF(Y116&gt;0,"Yes","No"))</f>
        <v/>
      </c>
      <c r="AA116" s="16" t="str">
        <f aca="false">IF(AK116=0,IF(LEN($A116&amp;$B116)=0,"","FIX INPUT - StartDate missing"),IF(AD116&lt;&gt;"","FIX INPUT - "&amp;AD116,IF(NOT(LH_Ready),"Paste Leave History export (Settings must show YES)",IF(AND($AI116="Yes",Y116&lt;=0),"OK - EH balance accepted to date"&amp;IF(N(AH116)&gt;0," (EH holds "&amp;AH116&amp;" hrs over the scheme)","")&amp;"; next day "&amp;TEXT(S116,"dd mmm yy")&amp;IF(N(AE116)&gt;0," ("&amp;AE116&amp;" day(s) for "&amp;UPPER(TEXT(AsOfDate,"mmm yyyy"))&amp;" already in EH)",""),IF(Y116&gt;0,"ACCRUE "&amp;ROUND(Y116,2)&amp;" hrs ("&amp;ROUND(Y116/HoursPerDay,2)&amp;" days): "&amp;IF(N(AE116)&gt;0,AE116&amp;" day(s) for "&amp;UPPER(TEXT(AsOfDate,"mmm yyyy"))&amp;" (milestone "&amp;UPPER(TEXT(AF116,"dd mmm yy"))&amp;")"&amp;IF(Y116/HoursPerDay&gt;AE116+0.001," + "&amp;ROUND(Y116/HoursPerDay-AE116,2)&amp;" day(s) catch-up from earlier months",""),"all catch-up from earlier months, nothing new this month")&amp;IF(BG116=0,"; no Bonus Leave in EH yet",""),IF(Y116&lt;0,"CHECK - EH accrued "&amp;ROUND(-Y116,2)&amp;" hrs more than policy since commencement",IF(N(W116)&gt;O116*HoursPerDay+0.01,"CHECK - EH balance "&amp;ROUND(W116-O116*HoursPerDay,2)&amp;" hrs more than policy entitlement",IF(O116&gt;0,"OK - nothing to add"&amp;IF(N(AE116)&gt;0," ("&amp;AE116&amp;" day(s) for "&amp;UPPER(TEXT(AsOfDate,"mmm yyyy"))&amp;" already in EH)",""),IF(AW116="None",R116,"Not yet - first day on "&amp;TEXT(S116,"dd/mm/yyyy"))))))))))</f>
        <v/>
      </c>
      <c r="AB116" s="17" t="str">
        <f aca="false">IF(OR(AK116=0,T116=""),"",MAX(0,BE116-BQ116)*HoursPerDay-T116)</f>
        <v/>
      </c>
      <c r="AC116" s="16" t="str">
        <f aca="false">IF(AK116=0,"",BG116)</f>
        <v/>
      </c>
      <c r="AD116" s="16" t="str">
        <f aca="false">IF(AK116=0,"",TRIM(IF(OR(ISTEXT($F116),ISTEXT($H116),ISTEXT($I116),ISTEXT($G116),ISTEXT($J116),ISTEXT($D116)),"A date is typed as text - retype it as dd/mm/yyyy. ","")&amp;IF(IF($C116="","",IF(OR(ISNUMBER(SEARCH("full",$C116)),UPPER(TRIM($C116))="FT",UPPER(TRIM($C116))="FTE"),"Full-Time",IF(OR(ISNUMBER(SEARCH("part",$C116)),UPPER(TRIM($C116))="PT",UPPER(TRIM($C116))="PTE"),"Part-Time",IF(OR(ISNUMBER(SEARCH("cas",$C116)),UPPER(TRIM($C116))="CAS"),"Casual","Unknown"))))="Unknown","EmploymentType not recognised - use Full-Time, Part-Time or Casual. ","")&amp;IF(AND(AM116&gt;=1,IF(AM116&gt;=3,AS116,IF(AM116=2,AR116,AQ116))&lt;&gt;IF($C116="","",IF(OR(ISNUMBER(SEARCH("full",$C116)),UPPER(TRIM($C116))="FT",UPPER(TRIM($C116))="FTE"),"Full-Time",IF(OR(ISNUMBER(SEARCH("part",$C116)),UPPER(TRIM($C116))="PT",UPPER(TRIM($C116))="PTE"),"Part-Time",IF(OR(ISNUMBER(SEARCH("cas",$C116)),UPPER(TRIM($C116))="CAS"),"Casual","Unknown"))))),"EmploymentType does not match latest start date ("&amp;IF(AM116&gt;=3,AS116,IF(AM116=2,AR116,AQ116))&amp;"). ","")&amp;IF(AND(AM116&gt;=1,AN116&lt;&gt;$F116),"Earliest type date should equal StartDate. ","")&amp;IF(AND(AM116&gt;=2,AN116=AO116),"Two types start on the same date. ","")&amp;IF(AND(OR(ISNUMBER(SEARCH("part",$C116)),UPPER(TRIM($C116))="PT",UPPER(TRIM($C116))="PTE"),$P116=""),"Part-time: enter PT Hrs/Week (blank = 24+). ","")))</f>
        <v/>
      </c>
      <c r="AE116" s="17" t="str">
        <f aca="false">IF(AK116=0,"",O116-MAX(0,BL116-BQ116))</f>
        <v/>
      </c>
      <c r="AF116" s="14" t="str">
        <f aca="false">IF(OR(AK116=0,AE116="",N(AE116)=0,BM116=""),"",EDATE(AL116,BM116))</f>
        <v/>
      </c>
      <c r="AG116" s="17" t="str">
        <f aca="false">IF(AK116=0,"",MIN(BD116,BQ116))</f>
        <v/>
      </c>
      <c r="AH116" s="17" t="str">
        <f aca="false">IF(AK116=0,"",IF(NOT(LH_Ready),"",IF(BG116=0,0,MAX(0,ROUND(N(T116)+N(U116)-N116,2)))))</f>
        <v/>
      </c>
      <c r="AI116" s="12"/>
      <c r="AJ116" s="12"/>
      <c r="AK116" s="16" t="n">
        <f aca="false">IF(OR(LEN($A116&amp;$B116)=0,$F116=""),0,1)</f>
        <v>0</v>
      </c>
      <c r="AL116" s="14" t="str">
        <f aca="false">IF(AK116=0,"",IF(PreSchemeCounts="No",MAX(SchemeStart,IF($J116&lt;&gt;"",$J116,IF(OR(CasualCounts="Yes",COUNT($G116:$I116)=0),$F116,IF(Apply2026="No",IF($I116="",$F116,$I116),IF(COUNT($H116:$I116)=0,$F116,MIN($H116:$I116)))))),IF($J116&lt;&gt;"",$J116,IF(OR(CasualCounts="Yes",COUNT($G116:$I116)=0),$F116,IF(Apply2026="No",IF($I116="",$F116,$I116),IF(COUNT($H116:$I116)=0,$F116,MIN($H116:$I116)))))))</f>
        <v/>
      </c>
      <c r="AM116" s="16" t="str">
        <f aca="false">IF(AK116=0,"",COUNT($G116:$I116))</f>
        <v/>
      </c>
      <c r="AN116" s="14" t="str">
        <f aca="false">IF(AK116=0,"",IFERROR(SMALL($G116:$I116,1),""))</f>
        <v/>
      </c>
      <c r="AO116" s="14" t="str">
        <f aca="false">IF(AK116=0,"",IFERROR(SMALL($G116:$I116,2),""))</f>
        <v/>
      </c>
      <c r="AP116" s="14" t="str">
        <f aca="false">IF(AK116=0,"",IFERROR(SMALL($G116:$I116,3),""))</f>
        <v/>
      </c>
      <c r="AQ116" s="16" t="str">
        <f aca="false">IF(AK116=0,"",IF(AN116="","",IF(AN116=$H116,"Part-Time",IF(AN116=$I116,"Full-Time","Casual"))))</f>
        <v/>
      </c>
      <c r="AR116" s="16" t="str">
        <f aca="false">IF(AK116=0,"",IF(AO116="","",IF(AO116=$H116,"Part-Time",IF(AO116=$I116,"Full-Time","Casual"))))</f>
        <v/>
      </c>
      <c r="AS116" s="16" t="str">
        <f aca="false">IF(AK116=0,"",IF(AP116="","",IF(AP116=$H116,"Part-Time",IF(AP116=$I116,"Full-Time","Casual"))))</f>
        <v/>
      </c>
      <c r="AT116" s="16" t="str">
        <f aca="false">IF(AK116=0,"",IF(AM116=0,IF(OR(ISNUMBER(SEARCH("full",$C116)),UPPER(TRIM($C116))="FT",UPPER(TRIM($C116))="FTE"),"FT",IF(AND(OR(ISNUMBER(SEARCH("part",$C116)),UPPER(TRIM($C116))="PT",UPPER(TRIM($C116))="PTE"),Apply2026="Yes",OR($P116="",N($P116)&gt;=PT_MinHours)),"PT","None")),IF(OR(ISNUMBER(SEARCH("full",AQ116)),UPPER(TRIM(AQ116))="FT",UPPER(TRIM(AQ116))="FTE"),"FT",IF(AND(OR(ISNUMBER(SEARCH("part",AQ116)),UPPER(TRIM(AQ116))="PT",UPPER(TRIM(AQ116))="PTE"),Apply2026="Yes",OR($P116="",N($P116)&gt;=PT_MinHours)),"PT","None"))))</f>
        <v/>
      </c>
      <c r="AU116" s="16" t="str">
        <f aca="false">IF(AK116=0,"",IF(AM116&lt;2,"",IF(OR(ISNUMBER(SEARCH("full",AR116)),UPPER(TRIM(AR116))="FT",UPPER(TRIM(AR116))="FTE"),"FT",IF(AND(OR(ISNUMBER(SEARCH("part",AR116)),UPPER(TRIM(AR116))="PT",UPPER(TRIM(AR116))="PTE"),Apply2026="Yes",OR($P116="",N($P116)&gt;=PT_MinHours)),"PT","None"))))</f>
        <v/>
      </c>
      <c r="AV116" s="16" t="str">
        <f aca="false">IF(AK116=0,"",IF(AM116&lt;3,"",IF(OR(ISNUMBER(SEARCH("full",AS116)),UPPER(TRIM(AS116))="FT",UPPER(TRIM(AS116))="FTE"),"FT",IF(AND(OR(ISNUMBER(SEARCH("part",AS116)),UPPER(TRIM(AS116))="PT",UPPER(TRIM(AS116))="PTE"),Apply2026="Yes",OR($P116="",N($P116)&gt;=PT_MinHours)),"PT","None"))))</f>
        <v/>
      </c>
      <c r="AW116" s="16" t="str">
        <f aca="false">IF(AK116=0,"",IF(AND(AM116&gt;=3,AP116&lt;=AsOfDate),AV116,IF(AND(AM116&gt;=2,AO116&lt;=AsOfDate),AU116,AT116)))</f>
        <v/>
      </c>
      <c r="AX116" s="16" t="str">
        <f aca="false">IF(AK116=0,"",IF(AsOfDate&lt;AL116,-1,12*(YEAR(AsOfDate)-YEAR(AL116))+MONTH(AsOfDate)-MONTH(AL116)-IF(DAY(AsOfDate)&lt;MIN(DAY(AL116),DAY(EOMONTH(AsOfDate,0))),1,0)))</f>
        <v/>
      </c>
      <c r="AY116" s="16" t="str">
        <f aca="false">IF(AK116=0,"",IF(OR(AM116&lt;2,AO116&gt;AsOfDate),AX116,IF((AO116-1)&lt;AL116,-1,12*(YEAR((AO116-1))-YEAR(AL116))+MONTH((AO116-1))-MONTH(AL116)-IF(DAY((AO116-1))&lt;MIN(DAY(AL116),DAY(EOMONTH((AO116-1),0))),1,0))))</f>
        <v/>
      </c>
      <c r="AZ116" s="16" t="str">
        <f aca="false">IF(AK116=0,"",IF(OR(AM116&lt;3,AP116&gt;AsOfDate),AX116,IF((AP116-1)&lt;AL116,-1,12*(YEAR((AP116-1))-YEAR(AL116))+MONTH((AP116-1))-MONTH(AL116)-IF(DAY((AP116-1))&lt;MIN(DAY(AL116),DAY(EOMONTH((AP116-1),0))),1,0))))</f>
        <v/>
      </c>
      <c r="BA116" s="16" t="str">
        <f aca="false">IF(AK116=0,"",IF(PFYDate&lt;AL116,-1,12*(YEAR(PFYDate)-YEAR(AL116))+MONTH(PFYDate)-MONTH(AL116)-IF(DAY(PFYDate)&lt;MIN(DAY(AL116),DAY(EOMONTH(PFYDate,0))),1,0)))</f>
        <v/>
      </c>
      <c r="BB116" s="16" t="str">
        <f aca="false">IF(AK116=0,"",IF(OR(AM116&lt;2,AO116&gt;PFYDate),BA116,IF((AO116-1)&lt;AL116,-1,12*(YEAR((AO116-1))-YEAR(AL116))+MONTH((AO116-1))-MONTH(AL116)-IF(DAY((AO116-1))&lt;MIN(DAY(AL116),DAY(EOMONTH((AO116-1),0))),1,0))))</f>
        <v/>
      </c>
      <c r="BC116" s="16" t="str">
        <f aca="false">IF(AK116=0,"",IF(OR(AM116&lt;3,AP116&gt;PFYDate),BA116,IF((AP116-1)&lt;AL116,-1,12*(YEAR((AP116-1))-YEAR(AL116))+MONTH((AP116-1))-MONTH(AL116)-IF(DAY((AP116-1))&lt;MIN(DAY(AL116),DAY(EOMONTH((AP116-1),0))),1,0))))</f>
        <v/>
      </c>
      <c r="BD116" s="16" t="str">
        <f aca="false">IF(AK116=0,"",IF(AT116="FT",IF(AY116&lt;FT_First,0,IF(AY116&lt;FT_Y5,1+INT((AY116-FT_First)/FT_Int1),FT_PreY5+FT_PerYear*INT((AY116-FT_Y5)/12)+FT_AnnivDays+INT(MOD(AY116-FT_Y5,12)/FT_Int2)-IF(EDATE(AL116,FT_Y5)&lt;PolicyEff,FT_AnnivDays-1,0))),IF(AT116="PT",IF(AY116&lt;PT_First,0,1+INT((AY116-PT_First)/PT_Int)),0))+IF(AND(AM116&gt;=2,AO116&lt;=AsOfDate),IF(AU116="FT",IF(AZ116&lt;FT_First,0,IF(AZ116&lt;FT_Y5,1+INT((AZ116-FT_First)/FT_Int1),FT_PreY5+FT_PerYear*INT((AZ116-FT_Y5)/12)+FT_AnnivDays+INT(MOD(AZ116-FT_Y5,12)/FT_Int2)-IF(EDATE(AL116,FT_Y5)&lt;PolicyEff,FT_AnnivDays-1,0))),IF(AU116="PT",IF(AZ116&lt;PT_First,0,1+INT((AZ116-PT_First)/PT_Int)),0))-IF(AU116="FT",IF(AY116&lt;FT_First,0,IF(AY116&lt;FT_Y5,1+INT((AY116-FT_First)/FT_Int1),FT_PreY5+FT_PerYear*INT((AY116-FT_Y5)/12)+FT_AnnivDays+INT(MOD(AY116-FT_Y5,12)/FT_Int2)-IF(EDATE(AL116,FT_Y5)&lt;PolicyEff,FT_AnnivDays-1,0))),IF(AU116="PT",IF(AY116&lt;PT_First,0,1+INT((AY116-PT_First)/PT_Int)),0)),0)+IF(AND(AM116&gt;=3,AP116&lt;=AsOfDate),IF(AV116="FT",IF(AX116&lt;FT_First,0,IF(AX116&lt;FT_Y5,1+INT((AX116-FT_First)/FT_Int1),FT_PreY5+FT_PerYear*INT((AX116-FT_Y5)/12)+FT_AnnivDays+INT(MOD(AX116-FT_Y5,12)/FT_Int2)-IF(EDATE(AL116,FT_Y5)&lt;PolicyEff,FT_AnnivDays-1,0))),IF(AV116="PT",IF(AX116&lt;PT_First,0,1+INT((AX116-PT_First)/PT_Int)),0))-IF(AV116="FT",IF(AZ116&lt;FT_First,0,IF(AZ116&lt;FT_Y5,1+INT((AZ116-FT_First)/FT_Int1),FT_PreY5+FT_PerYear*INT((AZ116-FT_Y5)/12)+FT_AnnivDays+INT(MOD(AZ116-FT_Y5,12)/FT_Int2)-IF(EDATE(AL116,FT_Y5)&lt;PolicyEff,FT_AnnivDays-1,0))),IF(AV116="PT",IF(AZ116&lt;PT_First,0,1+INT((AZ116-PT_First)/PT_Int)),0)),0))</f>
        <v/>
      </c>
      <c r="BE116" s="16" t="str">
        <f aca="false">IF(AK116=0,"",IF(AT116="FT",IF(BB116&lt;FT_First,0,IF(BB116&lt;FT_Y5,1+INT((BB116-FT_First)/FT_Int1),FT_PreY5+FT_PerYear*INT((BB116-FT_Y5)/12)+FT_AnnivDays+INT(MOD(BB116-FT_Y5,12)/FT_Int2)-IF(EDATE(AL116,FT_Y5)&lt;PolicyEff,FT_AnnivDays-1,0))),IF(AT116="PT",IF(BB116&lt;PT_First,0,1+INT((BB116-PT_First)/PT_Int)),0))+IF(AND(AM116&gt;=2,AO116&lt;=PFYDate),IF(AU116="FT",IF(BC116&lt;FT_First,0,IF(BC116&lt;FT_Y5,1+INT((BC116-FT_First)/FT_Int1),FT_PreY5+FT_PerYear*INT((BC116-FT_Y5)/12)+FT_AnnivDays+INT(MOD(BC116-FT_Y5,12)/FT_Int2)-IF(EDATE(AL116,FT_Y5)&lt;PolicyEff,FT_AnnivDays-1,0))),IF(AU116="PT",IF(BC116&lt;PT_First,0,1+INT((BC116-PT_First)/PT_Int)),0))-IF(AU116="FT",IF(BB116&lt;FT_First,0,IF(BB116&lt;FT_Y5,1+INT((BB116-FT_First)/FT_Int1),FT_PreY5+FT_PerYear*INT((BB116-FT_Y5)/12)+FT_AnnivDays+INT(MOD(BB116-FT_Y5,12)/FT_Int2)-IF(EDATE(AL116,FT_Y5)&lt;PolicyEff,FT_AnnivDays-1,0))),IF(AU116="PT",IF(BB116&lt;PT_First,0,1+INT((BB116-PT_First)/PT_Int)),0)),0)+IF(AND(AM116&gt;=3,AP116&lt;=PFYDate),IF(AV116="FT",IF(BA116&lt;FT_First,0,IF(BA116&lt;FT_Y5,1+INT((BA116-FT_First)/FT_Int1),FT_PreY5+FT_PerYear*INT((BA116-FT_Y5)/12)+FT_AnnivDays+INT(MOD(BA116-FT_Y5,12)/FT_Int2)-IF(EDATE(AL116,FT_Y5)&lt;PolicyEff,FT_AnnivDays-1,0))),IF(AV116="PT",IF(BA116&lt;PT_First,0,1+INT((BA116-PT_First)/PT_Int)),0))-IF(AV116="FT",IF(BC116&lt;FT_First,0,IF(BC116&lt;FT_Y5,1+INT((BC116-FT_First)/FT_Int1),FT_PreY5+FT_PerYear*INT((BC116-FT_Y5)/12)+FT_AnnivDays+INT(MOD(BC116-FT_Y5,12)/FT_Int2)-IF(EDATE(AL116,FT_Y5)&lt;PolicyEff,FT_AnnivDays-1,0))),IF(AV116="PT",IF(BC116&lt;PT_First,0,1+INT((BC116-PT_First)/PT_Int)),0)),0))</f>
        <v/>
      </c>
      <c r="BF116" s="16" t="str">
        <f aca="false">IF(AK116=0,"",IF(AW116="FT",IF(AX116&lt;FT_First,FT_First,IF(AX116&lt;FT_Y5,MIN(FT_Y5,FT_First+FT_Int1*(INT((AX116-FT_First)/FT_Int1)+1)),FT_Y5+12*INT((AX116-FT_Y5)/12)+FT_Int2*(INT(MOD(AX116-FT_Y5,12)/FT_Int2)+1))),IF(AW116="PT",IF(AX116&lt;PT_First,PT_First,PT_First+PT_Int*(INT((AX116-PT_First)/PT_Int)+1)),"")))</f>
        <v/>
      </c>
      <c r="BG116" s="16" t="str">
        <f aca="false">IF(AK116=0,"",IF(NOT(LH_Ready),0,COUNTIFS(INDEX(LH_Data,0,LH_ColFirst),$A116,INDEX(LH_Data,0,LH_ColSur),$B116,INDEX(LH_Data,0,LH_ColCat),BonusCat)))</f>
        <v/>
      </c>
      <c r="BH116" s="16" t="str">
        <f aca="false">IF(AK116=0,"",IF(OR(NOT(LH_Ready),BG116=0),0,SUMPRODUCT(MAX((INDEX(LH_Data,0,LH_ColFirst)=$A116)*(INDEX(LH_Data,0,LH_ColSur)=$B116)*(INDEX(LH_Data,0,LH_ColCat)=BonusCat)*ROW(LH_Data)))))</f>
        <v/>
      </c>
      <c r="BI116" s="16" t="str">
        <f aca="false">IF(AK116=0,"",IF(EOMONTH(AsOfDate,-1)&lt;AL116,-1,12*(YEAR(EOMONTH(AsOfDate,-1))-YEAR(AL116))+MONTH(EOMONTH(AsOfDate,-1))-MONTH(AL116)-IF(DAY(EOMONTH(AsOfDate,-1))&lt;MIN(DAY(AL116),DAY(EOMONTH(EOMONTH(AsOfDate,-1),0))),1,0)))</f>
        <v/>
      </c>
      <c r="BJ116" s="16" t="str">
        <f aca="false">IF(AK116=0,"",IF(OR(AM116&lt;2,AO116&gt;EOMONTH(AsOfDate,-1)),BI116,IF((AO116-1)&lt;AL116,-1,12*(YEAR((AO116-1))-YEAR(AL116))+MONTH((AO116-1))-MONTH(AL116)-IF(DAY((AO116-1))&lt;MIN(DAY(AL116),DAY(EOMONTH((AO116-1),0))),1,0))))</f>
        <v/>
      </c>
      <c r="BK116" s="16" t="str">
        <f aca="false">IF(AK116=0,"",IF(OR(AM116&lt;3,AP116&gt;EOMONTH(AsOfDate,-1)),BI116,IF((AP116-1)&lt;AL116,-1,12*(YEAR((AP116-1))-YEAR(AL116))+MONTH((AP116-1))-MONTH(AL116)-IF(DAY((AP116-1))&lt;MIN(DAY(AL116),DAY(EOMONTH((AP116-1),0))),1,0))))</f>
        <v/>
      </c>
      <c r="BL116" s="16" t="str">
        <f aca="false">IF(AK116=0,"",IF(AT116="FT",IF(BJ116&lt;FT_First,0,IF(BJ116&lt;FT_Y5,1+INT((BJ116-FT_First)/FT_Int1),FT_PreY5+FT_PerYear*INT((BJ116-FT_Y5)/12)+FT_AnnivDays+INT(MOD(BJ116-FT_Y5,12)/FT_Int2)-IF(EDATE(AL116,FT_Y5)&lt;PolicyEff,FT_AnnivDays-1,0))),IF(AT116="PT",IF(BJ116&lt;PT_First,0,1+INT((BJ116-PT_First)/PT_Int)),0))+IF(AND(AM116&gt;=2,AO116&lt;=EOMONTH(AsOfDate,-1)),IF(AU116="FT",IF(BK116&lt;FT_First,0,IF(BK116&lt;FT_Y5,1+INT((BK116-FT_First)/FT_Int1),FT_PreY5+FT_PerYear*INT((BK116-FT_Y5)/12)+FT_AnnivDays+INT(MOD(BK116-FT_Y5,12)/FT_Int2)-IF(EDATE(AL116,FT_Y5)&lt;PolicyEff,FT_AnnivDays-1,0))),IF(AU116="PT",IF(BK116&lt;PT_First,0,1+INT((BK116-PT_First)/PT_Int)),0))-IF(AU116="FT",IF(BJ116&lt;FT_First,0,IF(BJ116&lt;FT_Y5,1+INT((BJ116-FT_First)/FT_Int1),FT_PreY5+FT_PerYear*INT((BJ116-FT_Y5)/12)+FT_AnnivDays+INT(MOD(BJ116-FT_Y5,12)/FT_Int2)-IF(EDATE(AL116,FT_Y5)&lt;PolicyEff,FT_AnnivDays-1,0))),IF(AU116="PT",IF(BJ116&lt;PT_First,0,1+INT((BJ116-PT_First)/PT_Int)),0)),0)+IF(AND(AM116&gt;=3,AP116&lt;=EOMONTH(AsOfDate,-1)),IF(AV116="FT",IF(BI116&lt;FT_First,0,IF(BI116&lt;FT_Y5,1+INT((BI116-FT_First)/FT_Int1),FT_PreY5+FT_PerYear*INT((BI116-FT_Y5)/12)+FT_AnnivDays+INT(MOD(BI116-FT_Y5,12)/FT_Int2)-IF(EDATE(AL116,FT_Y5)&lt;PolicyEff,FT_AnnivDays-1,0))),IF(AV116="PT",IF(BI116&lt;PT_First,0,1+INT((BI116-PT_First)/PT_Int)),0))-IF(AV116="FT",IF(BK116&lt;FT_First,0,IF(BK116&lt;FT_Y5,1+INT((BK116-FT_First)/FT_Int1),FT_PreY5+FT_PerYear*INT((BK116-FT_Y5)/12)+FT_AnnivDays+INT(MOD(BK116-FT_Y5,12)/FT_Int2)-IF(EDATE(AL116,FT_Y5)&lt;PolicyEff,FT_AnnivDays-1,0))),IF(AV116="PT",IF(BK116&lt;PT_First,0,1+INT((BK116-PT_First)/PT_Int)),0)),0))</f>
        <v/>
      </c>
      <c r="BM116" s="16" t="str">
        <f aca="false">IF(AK116=0,"",IF(AW116="FT",IF(AX116&lt;FT_First,"",IF(AX116&lt;FT_Y5,FT_First+FT_Int1*INT((AX116-FT_First)/FT_Int1),FT_Y5+FT_Int2*INT((AX116-FT_Y5)/FT_Int2))),IF(AW116="PT",IF(AX116&lt;PT_First,"",PT_First+PT_Int*INT((AX116-PT_First)/PT_Int)),"")))</f>
        <v/>
      </c>
      <c r="BN116" s="16" t="str">
        <f aca="false">IF(AK116=0,"",IF((SchemeStart-1)&lt;AL116,-1,12*(YEAR((SchemeStart-1))-YEAR(AL116))+MONTH((SchemeStart-1))-MONTH(AL116)-IF(DAY((SchemeStart-1))&lt;MIN(DAY(AL116),DAY(EOMONTH((SchemeStart-1),0))),1,0)))</f>
        <v/>
      </c>
      <c r="BO116" s="16" t="str">
        <f aca="false">IF(AK116=0,"",IF(OR(AM116&lt;2,AO116&gt;(SchemeStart-1)),BN116,IF((AO116-1)&lt;AL116,-1,12*(YEAR((AO116-1))-YEAR(AL116))+MONTH((AO116-1))-MONTH(AL116)-IF(DAY((AO116-1))&lt;MIN(DAY(AL116),DAY(EOMONTH((AO116-1),0))),1,0))))</f>
        <v/>
      </c>
      <c r="BP116" s="16" t="str">
        <f aca="false">IF(AK116=0,"",IF(OR(AM116&lt;3,AP116&gt;(SchemeStart-1)),BN116,IF((AP116-1)&lt;AL116,-1,12*(YEAR((AP116-1))-YEAR(AL116))+MONTH((AP116-1))-MONTH(AL116)-IF(DAY((AP116-1))&lt;MIN(DAY(AL116),DAY(EOMONTH((AP116-1),0))),1,0))))</f>
        <v/>
      </c>
      <c r="BQ116" s="16" t="str">
        <f aca="false">IF(AK116=0,"",IF(AT116="FT",IF(BO116&lt;FT_First,0,IF(BO116&lt;FT_Y5,1+INT((BO116-FT_First)/FT_Int1),FT_PreY5+FT_PerYear*INT((BO116-FT_Y5)/12)+FT_AnnivDays+INT(MOD(BO116-FT_Y5,12)/FT_Int2)-IF(EDATE(AL116,FT_Y5)&lt;PolicyEff,FT_AnnivDays-1,0))),IF(AT116="PT",IF(BO116&lt;PT_First,0,1+INT((BO116-PT_First)/PT_Int)),0))+IF(AND(AM116&gt;=2,AO116&lt;=(SchemeStart-1)),IF(AU116="FT",IF(BP116&lt;FT_First,0,IF(BP116&lt;FT_Y5,1+INT((BP116-FT_First)/FT_Int1),FT_PreY5+FT_PerYear*INT((BP116-FT_Y5)/12)+FT_AnnivDays+INT(MOD(BP116-FT_Y5,12)/FT_Int2)-IF(EDATE(AL116,FT_Y5)&lt;PolicyEff,FT_AnnivDays-1,0))),IF(AU116="PT",IF(BP116&lt;PT_First,0,1+INT((BP116-PT_First)/PT_Int)),0))-IF(AU116="FT",IF(BO116&lt;FT_First,0,IF(BO116&lt;FT_Y5,1+INT((BO116-FT_First)/FT_Int1),FT_PreY5+FT_PerYear*INT((BO116-FT_Y5)/12)+FT_AnnivDays+INT(MOD(BO116-FT_Y5,12)/FT_Int2)-IF(EDATE(AL116,FT_Y5)&lt;PolicyEff,FT_AnnivDays-1,0))),IF(AU116="PT",IF(BO116&lt;PT_First,0,1+INT((BO116-PT_First)/PT_Int)),0)),0)+IF(AND(AM116&gt;=3,AP116&lt;=(SchemeStart-1)),IF(AV116="FT",IF(BN116&lt;FT_First,0,IF(BN116&lt;FT_Y5,1+INT((BN116-FT_First)/FT_Int1),FT_PreY5+FT_PerYear*INT((BN116-FT_Y5)/12)+FT_AnnivDays+INT(MOD(BN116-FT_Y5,12)/FT_Int2)-IF(EDATE(AL116,FT_Y5)&lt;PolicyEff,FT_AnnivDays-1,0))),IF(AV116="PT",IF(BN116&lt;PT_First,0,1+INT((BN116-PT_First)/PT_Int)),0))-IF(AV116="FT",IF(BP116&lt;FT_First,0,IF(BP116&lt;FT_Y5,1+INT((BP116-FT_First)/FT_Int1),FT_PreY5+FT_PerYear*INT((BP116-FT_Y5)/12)+FT_AnnivDays+INT(MOD(BP116-FT_Y5,12)/FT_Int2)-IF(EDATE(AL116,FT_Y5)&lt;PolicyEff,FT_AnnivDays-1,0))),IF(AV116="PT",IF(BP116&lt;PT_First,0,1+INT((BP116-PT_First)/PT_Int)),0)),0))</f>
        <v/>
      </c>
      <c r="BR116" s="0" t="str">
        <f aca="false">IF(LEN($A116&amp;$B116)=0,"",$A116&amp;" "&amp;$B116)</f>
        <v/>
      </c>
    </row>
    <row r="117" customFormat="false" ht="15" hidden="false" customHeight="false" outlineLevel="0" collapsed="false">
      <c r="A117" s="12"/>
      <c r="B117" s="12"/>
      <c r="C117" s="12"/>
      <c r="D117" s="13"/>
      <c r="E117" s="14" t="str">
        <f aca="false">IF(OR(AK117=0,$D117=""),"",DATE(YEAR(AsOfDate)+IF(DATE(YEAR(AsOfDate),MONTH($D117),DAY($D117))&lt;=AsOfDate,1,0),MONTH($D117),DAY($D117)))</f>
        <v/>
      </c>
      <c r="F117" s="13"/>
      <c r="G117" s="13"/>
      <c r="H117" s="13"/>
      <c r="I117" s="13"/>
      <c r="J117" s="13"/>
      <c r="K117" s="14" t="str">
        <f aca="false">IF(AK117=0,"",DATE(YEAR(AsOfDate)+IF(DATE(YEAR(AsOfDate),MONTH(AL117),DAY(AL117))&lt;=AsOfDate,1,0),MONTH(AL117),DAY(AL117)))</f>
        <v/>
      </c>
      <c r="L117" s="15" t="str">
        <f aca="false">IF(AK117=0,"",ROUND((AsOfDate-AL117)/365.25,1))</f>
        <v/>
      </c>
      <c r="M117" s="16" t="str">
        <f aca="false">IF(AK117=0,"",IF(AsOfDate&lt;AL117,"-",DATEDIF(AL117,AsOfDate,"y")&amp;"y "&amp;DATEDIF(AL117,AsOfDate,"ym")&amp;"m "&amp;DATEDIF(AL117,AsOfDate,"md")&amp;"d"))</f>
        <v/>
      </c>
      <c r="N117" s="17" t="str">
        <f aca="false">IF(AK117=0,"",O117*HoursPerDay)</f>
        <v/>
      </c>
      <c r="O117" s="17" t="str">
        <f aca="false">IF(AK117=0,"",MAX(0,BD117-BQ117))</f>
        <v/>
      </c>
      <c r="P117" s="18"/>
      <c r="Q117" s="16" t="str">
        <f aca="false">IF(AK117=0,"",IF(AM117&lt;2,"",AQ117&amp;" to "&amp;AR117&amp;" on "&amp;TEXT(AO117,"dd/mm/yyyy")&amp;IF(AO117&gt;AsOfDate," (future)",IF(AT117=AU117,"",IF(AU117="None"," - STOPPED accruing",IF(AT117="None"," - commencement for Bonus Leave"," - pathway changed"))))&amp;IF(AM117&lt;3,"","; "&amp;AR117&amp;" to "&amp;AS117&amp;" on "&amp;TEXT(AP117,"dd/mm/yyyy")&amp;IF(AP117&gt;AsOfDate," (future)",IF(AU117=AV117,"",IF(AV117="None"," - STOPPED accruing",IF(AU117="None"," - commencement for Bonus Leave"," - pathway changed")))))))</f>
        <v/>
      </c>
      <c r="R117" s="16" t="str">
        <f aca="false">IF(AK117=0,"",IF(AW117="None",IF(O117&gt;0,"No longer accruing","Not eligible - "&amp;IF(AND(OR(ISNUMBER(SEARCH("part",$C117)),UPPER(TRIM($C117))="PT",UPPER(TRIM($C117))="PTE"),Apply2026="No"),"part-time (scheme is full-time only)",IF(AND(OR(ISNUMBER(SEARCH("part",$C117)),UPPER(TRIM($C117))="PT",UPPER(TRIM($C117))="PTE"),$P117&lt;&gt;"",N($P117)&lt;PT_MinHours),"under "&amp;PT_MinHours&amp;" hrs",IF(IF($C117="","",IF(OR(ISNUMBER(SEARCH("full",$C117)),UPPER(TRIM($C117))="FT",UPPER(TRIM($C117))="FTE"),"Full-Time",IF(OR(ISNUMBER(SEARCH("part",$C117)),UPPER(TRIM($C117))="PT",UPPER(TRIM($C117))="PTE"),"Part-Time",IF(OR(ISNUMBER(SEARCH("cas",$C117)),UPPER(TRIM($C117))="CAS"),"Casual","Unknown"))))="Unknown","type not recognised",$C117)))),IF(O117&gt;0,"Yes - Accrual Required","Not yet - from "&amp;TEXT(S117,"dd/mm/yyyy"))))</f>
        <v/>
      </c>
      <c r="S117" s="14" t="str">
        <f aca="false">IF(AK117=0,"",IF(AW117="None","",EDATE(AL117,BF117)))</f>
        <v/>
      </c>
      <c r="T117" s="17" t="str">
        <f aca="false">IF(AK117=0,"",IF(NOT(LH_Ready),"",IF($F117&gt;PFYDate,0,IF(LH_ColPeriod=0,W117-U117+V117,SUMIFS(INDEX(LH_Data,0,LH_ColAcc),INDEX(LH_Data,0,LH_ColFirst),$A117,INDEX(LH_Data,0,LH_ColSur),$B117,INDEX(LH_Data,0,LH_ColCat),BonusCat,INDEX(LH_Data,0,LH_ColPeriod),LH_OpenLabel)*UnitFactor))))</f>
        <v/>
      </c>
      <c r="U117" s="17" t="str">
        <f aca="false">IF(AK117=0,"",IF(NOT(LH_Ready),"",SUMIFS(INDEX(LH_Data,0,LH_ColAcc),INDEX(LH_Data,0,LH_ColFirst),$A117,INDEX(LH_Data,0,LH_ColSur),$B117,INDEX(LH_Data,0,LH_ColCat),BonusCat,INDEX(LH_Data,0,LH_ColStart),"&gt;="&amp;AL117)*UnitFactor))</f>
        <v/>
      </c>
      <c r="V117" s="17" t="str">
        <f aca="false">IF(AK117=0,"",IF(NOT(LH_Ready),"",SUMIFS(INDEX(LH_Data,0,LH_ColTaken),INDEX(LH_Data,0,LH_ColFirst),$A117,INDEX(LH_Data,0,LH_ColSur),$B117,INDEX(LH_Data,0,LH_ColCat),BonusCat,INDEX(LH_Data,0,LH_ColStart),"&gt;="&amp;AL117)*UnitFactor))</f>
        <v/>
      </c>
      <c r="W117" s="17" t="str">
        <f aca="false">IF(AK117=0,"",IF(NOT(LH_Ready),"",IF(BH117=0,0,INDEX(INDEX(LH_Data,0,LH_ColClose),BH117-1)*UnitFactor)))</f>
        <v/>
      </c>
      <c r="X117" s="17" t="str">
        <f aca="false">IF(AK117=0,"",(MAX(0,BD117-BQ117)-MAX(0,BE117-BQ117))*HoursPerDay)</f>
        <v/>
      </c>
      <c r="Y117" s="17" t="str">
        <f aca="false">IF(AK117=0,"",IF(NOT(LH_Ready),"",IF($AI117="Yes",N(AE117)*HoursPerDay-SUMIFS(INDEX(LH_Data,0,LH_ColAcc),INDEX(LH_Data,0,LH_ColFirst),$A117,INDEX(LH_Data,0,LH_ColSur),$B117,INDEX(LH_Data,0,LH_ColCat),BonusCat,INDEX(LH_Data,0,LH_ColStart),"&gt;="&amp;(EOMONTH(AsOfDate,-1)+1),INDEX(LH_Data,0,LH_ColStart),"&lt;="&amp;AsOfDate)*UnitFactor,IF(BG117=0,N117,N117-N(T117)-N(U117)))))</f>
        <v/>
      </c>
      <c r="Z117" s="16" t="str">
        <f aca="false">IF(OR(AK117=0,Y117=""),"",IF(Y117&gt;0,"Yes","No"))</f>
        <v/>
      </c>
      <c r="AA117" s="16" t="str">
        <f aca="false">IF(AK117=0,IF(LEN($A117&amp;$B117)=0,"","FIX INPUT - StartDate missing"),IF(AD117&lt;&gt;"","FIX INPUT - "&amp;AD117,IF(NOT(LH_Ready),"Paste Leave History export (Settings must show YES)",IF(AND($AI117="Yes",Y117&lt;=0),"OK - EH balance accepted to date"&amp;IF(N(AH117)&gt;0," (EH holds "&amp;AH117&amp;" hrs over the scheme)","")&amp;"; next day "&amp;TEXT(S117,"dd mmm yy")&amp;IF(N(AE117)&gt;0," ("&amp;AE117&amp;" day(s) for "&amp;UPPER(TEXT(AsOfDate,"mmm yyyy"))&amp;" already in EH)",""),IF(Y117&gt;0,"ACCRUE "&amp;ROUND(Y117,2)&amp;" hrs ("&amp;ROUND(Y117/HoursPerDay,2)&amp;" days): "&amp;IF(N(AE117)&gt;0,AE117&amp;" day(s) for "&amp;UPPER(TEXT(AsOfDate,"mmm yyyy"))&amp;" (milestone "&amp;UPPER(TEXT(AF117,"dd mmm yy"))&amp;")"&amp;IF(Y117/HoursPerDay&gt;AE117+0.001," + "&amp;ROUND(Y117/HoursPerDay-AE117,2)&amp;" day(s) catch-up from earlier months",""),"all catch-up from earlier months, nothing new this month")&amp;IF(BG117=0,"; no Bonus Leave in EH yet",""),IF(Y117&lt;0,"CHECK - EH accrued "&amp;ROUND(-Y117,2)&amp;" hrs more than policy since commencement",IF(N(W117)&gt;O117*HoursPerDay+0.01,"CHECK - EH balance "&amp;ROUND(W117-O117*HoursPerDay,2)&amp;" hrs more than policy entitlement",IF(O117&gt;0,"OK - nothing to add"&amp;IF(N(AE117)&gt;0," ("&amp;AE117&amp;" day(s) for "&amp;UPPER(TEXT(AsOfDate,"mmm yyyy"))&amp;" already in EH)",""),IF(AW117="None",R117,"Not yet - first day on "&amp;TEXT(S117,"dd/mm/yyyy"))))))))))</f>
        <v/>
      </c>
      <c r="AB117" s="17" t="str">
        <f aca="false">IF(OR(AK117=0,T117=""),"",MAX(0,BE117-BQ117)*HoursPerDay-T117)</f>
        <v/>
      </c>
      <c r="AC117" s="16" t="str">
        <f aca="false">IF(AK117=0,"",BG117)</f>
        <v/>
      </c>
      <c r="AD117" s="16" t="str">
        <f aca="false">IF(AK117=0,"",TRIM(IF(OR(ISTEXT($F117),ISTEXT($H117),ISTEXT($I117),ISTEXT($G117),ISTEXT($J117),ISTEXT($D117)),"A date is typed as text - retype it as dd/mm/yyyy. ","")&amp;IF(IF($C117="","",IF(OR(ISNUMBER(SEARCH("full",$C117)),UPPER(TRIM($C117))="FT",UPPER(TRIM($C117))="FTE"),"Full-Time",IF(OR(ISNUMBER(SEARCH("part",$C117)),UPPER(TRIM($C117))="PT",UPPER(TRIM($C117))="PTE"),"Part-Time",IF(OR(ISNUMBER(SEARCH("cas",$C117)),UPPER(TRIM($C117))="CAS"),"Casual","Unknown"))))="Unknown","EmploymentType not recognised - use Full-Time, Part-Time or Casual. ","")&amp;IF(AND(AM117&gt;=1,IF(AM117&gt;=3,AS117,IF(AM117=2,AR117,AQ117))&lt;&gt;IF($C117="","",IF(OR(ISNUMBER(SEARCH("full",$C117)),UPPER(TRIM($C117))="FT",UPPER(TRIM($C117))="FTE"),"Full-Time",IF(OR(ISNUMBER(SEARCH("part",$C117)),UPPER(TRIM($C117))="PT",UPPER(TRIM($C117))="PTE"),"Part-Time",IF(OR(ISNUMBER(SEARCH("cas",$C117)),UPPER(TRIM($C117))="CAS"),"Casual","Unknown"))))),"EmploymentType does not match latest start date ("&amp;IF(AM117&gt;=3,AS117,IF(AM117=2,AR117,AQ117))&amp;"). ","")&amp;IF(AND(AM117&gt;=1,AN117&lt;&gt;$F117),"Earliest type date should equal StartDate. ","")&amp;IF(AND(AM117&gt;=2,AN117=AO117),"Two types start on the same date. ","")&amp;IF(AND(OR(ISNUMBER(SEARCH("part",$C117)),UPPER(TRIM($C117))="PT",UPPER(TRIM($C117))="PTE"),$P117=""),"Part-time: enter PT Hrs/Week (blank = 24+). ","")))</f>
        <v/>
      </c>
      <c r="AE117" s="17" t="str">
        <f aca="false">IF(AK117=0,"",O117-MAX(0,BL117-BQ117))</f>
        <v/>
      </c>
      <c r="AF117" s="14" t="str">
        <f aca="false">IF(OR(AK117=0,AE117="",N(AE117)=0,BM117=""),"",EDATE(AL117,BM117))</f>
        <v/>
      </c>
      <c r="AG117" s="17" t="str">
        <f aca="false">IF(AK117=0,"",MIN(BD117,BQ117))</f>
        <v/>
      </c>
      <c r="AH117" s="17" t="str">
        <f aca="false">IF(AK117=0,"",IF(NOT(LH_Ready),"",IF(BG117=0,0,MAX(0,ROUND(N(T117)+N(U117)-N117,2)))))</f>
        <v/>
      </c>
      <c r="AI117" s="12"/>
      <c r="AJ117" s="12"/>
      <c r="AK117" s="16" t="n">
        <f aca="false">IF(OR(LEN($A117&amp;$B117)=0,$F117=""),0,1)</f>
        <v>0</v>
      </c>
      <c r="AL117" s="14" t="str">
        <f aca="false">IF(AK117=0,"",IF(PreSchemeCounts="No",MAX(SchemeStart,IF($J117&lt;&gt;"",$J117,IF(OR(CasualCounts="Yes",COUNT($G117:$I117)=0),$F117,IF(Apply2026="No",IF($I117="",$F117,$I117),IF(COUNT($H117:$I117)=0,$F117,MIN($H117:$I117)))))),IF($J117&lt;&gt;"",$J117,IF(OR(CasualCounts="Yes",COUNT($G117:$I117)=0),$F117,IF(Apply2026="No",IF($I117="",$F117,$I117),IF(COUNT($H117:$I117)=0,$F117,MIN($H117:$I117)))))))</f>
        <v/>
      </c>
      <c r="AM117" s="16" t="str">
        <f aca="false">IF(AK117=0,"",COUNT($G117:$I117))</f>
        <v/>
      </c>
      <c r="AN117" s="14" t="str">
        <f aca="false">IF(AK117=0,"",IFERROR(SMALL($G117:$I117,1),""))</f>
        <v/>
      </c>
      <c r="AO117" s="14" t="str">
        <f aca="false">IF(AK117=0,"",IFERROR(SMALL($G117:$I117,2),""))</f>
        <v/>
      </c>
      <c r="AP117" s="14" t="str">
        <f aca="false">IF(AK117=0,"",IFERROR(SMALL($G117:$I117,3),""))</f>
        <v/>
      </c>
      <c r="AQ117" s="16" t="str">
        <f aca="false">IF(AK117=0,"",IF(AN117="","",IF(AN117=$H117,"Part-Time",IF(AN117=$I117,"Full-Time","Casual"))))</f>
        <v/>
      </c>
      <c r="AR117" s="16" t="str">
        <f aca="false">IF(AK117=0,"",IF(AO117="","",IF(AO117=$H117,"Part-Time",IF(AO117=$I117,"Full-Time","Casual"))))</f>
        <v/>
      </c>
      <c r="AS117" s="16" t="str">
        <f aca="false">IF(AK117=0,"",IF(AP117="","",IF(AP117=$H117,"Part-Time",IF(AP117=$I117,"Full-Time","Casual"))))</f>
        <v/>
      </c>
      <c r="AT117" s="16" t="str">
        <f aca="false">IF(AK117=0,"",IF(AM117=0,IF(OR(ISNUMBER(SEARCH("full",$C117)),UPPER(TRIM($C117))="FT",UPPER(TRIM($C117))="FTE"),"FT",IF(AND(OR(ISNUMBER(SEARCH("part",$C117)),UPPER(TRIM($C117))="PT",UPPER(TRIM($C117))="PTE"),Apply2026="Yes",OR($P117="",N($P117)&gt;=PT_MinHours)),"PT","None")),IF(OR(ISNUMBER(SEARCH("full",AQ117)),UPPER(TRIM(AQ117))="FT",UPPER(TRIM(AQ117))="FTE"),"FT",IF(AND(OR(ISNUMBER(SEARCH("part",AQ117)),UPPER(TRIM(AQ117))="PT",UPPER(TRIM(AQ117))="PTE"),Apply2026="Yes",OR($P117="",N($P117)&gt;=PT_MinHours)),"PT","None"))))</f>
        <v/>
      </c>
      <c r="AU117" s="16" t="str">
        <f aca="false">IF(AK117=0,"",IF(AM117&lt;2,"",IF(OR(ISNUMBER(SEARCH("full",AR117)),UPPER(TRIM(AR117))="FT",UPPER(TRIM(AR117))="FTE"),"FT",IF(AND(OR(ISNUMBER(SEARCH("part",AR117)),UPPER(TRIM(AR117))="PT",UPPER(TRIM(AR117))="PTE"),Apply2026="Yes",OR($P117="",N($P117)&gt;=PT_MinHours)),"PT","None"))))</f>
        <v/>
      </c>
      <c r="AV117" s="16" t="str">
        <f aca="false">IF(AK117=0,"",IF(AM117&lt;3,"",IF(OR(ISNUMBER(SEARCH("full",AS117)),UPPER(TRIM(AS117))="FT",UPPER(TRIM(AS117))="FTE"),"FT",IF(AND(OR(ISNUMBER(SEARCH("part",AS117)),UPPER(TRIM(AS117))="PT",UPPER(TRIM(AS117))="PTE"),Apply2026="Yes",OR($P117="",N($P117)&gt;=PT_MinHours)),"PT","None"))))</f>
        <v/>
      </c>
      <c r="AW117" s="16" t="str">
        <f aca="false">IF(AK117=0,"",IF(AND(AM117&gt;=3,AP117&lt;=AsOfDate),AV117,IF(AND(AM117&gt;=2,AO117&lt;=AsOfDate),AU117,AT117)))</f>
        <v/>
      </c>
      <c r="AX117" s="16" t="str">
        <f aca="false">IF(AK117=0,"",IF(AsOfDate&lt;AL117,-1,12*(YEAR(AsOfDate)-YEAR(AL117))+MONTH(AsOfDate)-MONTH(AL117)-IF(DAY(AsOfDate)&lt;MIN(DAY(AL117),DAY(EOMONTH(AsOfDate,0))),1,0)))</f>
        <v/>
      </c>
      <c r="AY117" s="16" t="str">
        <f aca="false">IF(AK117=0,"",IF(OR(AM117&lt;2,AO117&gt;AsOfDate),AX117,IF((AO117-1)&lt;AL117,-1,12*(YEAR((AO117-1))-YEAR(AL117))+MONTH((AO117-1))-MONTH(AL117)-IF(DAY((AO117-1))&lt;MIN(DAY(AL117),DAY(EOMONTH((AO117-1),0))),1,0))))</f>
        <v/>
      </c>
      <c r="AZ117" s="16" t="str">
        <f aca="false">IF(AK117=0,"",IF(OR(AM117&lt;3,AP117&gt;AsOfDate),AX117,IF((AP117-1)&lt;AL117,-1,12*(YEAR((AP117-1))-YEAR(AL117))+MONTH((AP117-1))-MONTH(AL117)-IF(DAY((AP117-1))&lt;MIN(DAY(AL117),DAY(EOMONTH((AP117-1),0))),1,0))))</f>
        <v/>
      </c>
      <c r="BA117" s="16" t="str">
        <f aca="false">IF(AK117=0,"",IF(PFYDate&lt;AL117,-1,12*(YEAR(PFYDate)-YEAR(AL117))+MONTH(PFYDate)-MONTH(AL117)-IF(DAY(PFYDate)&lt;MIN(DAY(AL117),DAY(EOMONTH(PFYDate,0))),1,0)))</f>
        <v/>
      </c>
      <c r="BB117" s="16" t="str">
        <f aca="false">IF(AK117=0,"",IF(OR(AM117&lt;2,AO117&gt;PFYDate),BA117,IF((AO117-1)&lt;AL117,-1,12*(YEAR((AO117-1))-YEAR(AL117))+MONTH((AO117-1))-MONTH(AL117)-IF(DAY((AO117-1))&lt;MIN(DAY(AL117),DAY(EOMONTH((AO117-1),0))),1,0))))</f>
        <v/>
      </c>
      <c r="BC117" s="16" t="str">
        <f aca="false">IF(AK117=0,"",IF(OR(AM117&lt;3,AP117&gt;PFYDate),BA117,IF((AP117-1)&lt;AL117,-1,12*(YEAR((AP117-1))-YEAR(AL117))+MONTH((AP117-1))-MONTH(AL117)-IF(DAY((AP117-1))&lt;MIN(DAY(AL117),DAY(EOMONTH((AP117-1),0))),1,0))))</f>
        <v/>
      </c>
      <c r="BD117" s="16" t="str">
        <f aca="false">IF(AK117=0,"",IF(AT117="FT",IF(AY117&lt;FT_First,0,IF(AY117&lt;FT_Y5,1+INT((AY117-FT_First)/FT_Int1),FT_PreY5+FT_PerYear*INT((AY117-FT_Y5)/12)+FT_AnnivDays+INT(MOD(AY117-FT_Y5,12)/FT_Int2)-IF(EDATE(AL117,FT_Y5)&lt;PolicyEff,FT_AnnivDays-1,0))),IF(AT117="PT",IF(AY117&lt;PT_First,0,1+INT((AY117-PT_First)/PT_Int)),0))+IF(AND(AM117&gt;=2,AO117&lt;=AsOfDate),IF(AU117="FT",IF(AZ117&lt;FT_First,0,IF(AZ117&lt;FT_Y5,1+INT((AZ117-FT_First)/FT_Int1),FT_PreY5+FT_PerYear*INT((AZ117-FT_Y5)/12)+FT_AnnivDays+INT(MOD(AZ117-FT_Y5,12)/FT_Int2)-IF(EDATE(AL117,FT_Y5)&lt;PolicyEff,FT_AnnivDays-1,0))),IF(AU117="PT",IF(AZ117&lt;PT_First,0,1+INT((AZ117-PT_First)/PT_Int)),0))-IF(AU117="FT",IF(AY117&lt;FT_First,0,IF(AY117&lt;FT_Y5,1+INT((AY117-FT_First)/FT_Int1),FT_PreY5+FT_PerYear*INT((AY117-FT_Y5)/12)+FT_AnnivDays+INT(MOD(AY117-FT_Y5,12)/FT_Int2)-IF(EDATE(AL117,FT_Y5)&lt;PolicyEff,FT_AnnivDays-1,0))),IF(AU117="PT",IF(AY117&lt;PT_First,0,1+INT((AY117-PT_First)/PT_Int)),0)),0)+IF(AND(AM117&gt;=3,AP117&lt;=AsOfDate),IF(AV117="FT",IF(AX117&lt;FT_First,0,IF(AX117&lt;FT_Y5,1+INT((AX117-FT_First)/FT_Int1),FT_PreY5+FT_PerYear*INT((AX117-FT_Y5)/12)+FT_AnnivDays+INT(MOD(AX117-FT_Y5,12)/FT_Int2)-IF(EDATE(AL117,FT_Y5)&lt;PolicyEff,FT_AnnivDays-1,0))),IF(AV117="PT",IF(AX117&lt;PT_First,0,1+INT((AX117-PT_First)/PT_Int)),0))-IF(AV117="FT",IF(AZ117&lt;FT_First,0,IF(AZ117&lt;FT_Y5,1+INT((AZ117-FT_First)/FT_Int1),FT_PreY5+FT_PerYear*INT((AZ117-FT_Y5)/12)+FT_AnnivDays+INT(MOD(AZ117-FT_Y5,12)/FT_Int2)-IF(EDATE(AL117,FT_Y5)&lt;PolicyEff,FT_AnnivDays-1,0))),IF(AV117="PT",IF(AZ117&lt;PT_First,0,1+INT((AZ117-PT_First)/PT_Int)),0)),0))</f>
        <v/>
      </c>
      <c r="BE117" s="16" t="str">
        <f aca="false">IF(AK117=0,"",IF(AT117="FT",IF(BB117&lt;FT_First,0,IF(BB117&lt;FT_Y5,1+INT((BB117-FT_First)/FT_Int1),FT_PreY5+FT_PerYear*INT((BB117-FT_Y5)/12)+FT_AnnivDays+INT(MOD(BB117-FT_Y5,12)/FT_Int2)-IF(EDATE(AL117,FT_Y5)&lt;PolicyEff,FT_AnnivDays-1,0))),IF(AT117="PT",IF(BB117&lt;PT_First,0,1+INT((BB117-PT_First)/PT_Int)),0))+IF(AND(AM117&gt;=2,AO117&lt;=PFYDate),IF(AU117="FT",IF(BC117&lt;FT_First,0,IF(BC117&lt;FT_Y5,1+INT((BC117-FT_First)/FT_Int1),FT_PreY5+FT_PerYear*INT((BC117-FT_Y5)/12)+FT_AnnivDays+INT(MOD(BC117-FT_Y5,12)/FT_Int2)-IF(EDATE(AL117,FT_Y5)&lt;PolicyEff,FT_AnnivDays-1,0))),IF(AU117="PT",IF(BC117&lt;PT_First,0,1+INT((BC117-PT_First)/PT_Int)),0))-IF(AU117="FT",IF(BB117&lt;FT_First,0,IF(BB117&lt;FT_Y5,1+INT((BB117-FT_First)/FT_Int1),FT_PreY5+FT_PerYear*INT((BB117-FT_Y5)/12)+FT_AnnivDays+INT(MOD(BB117-FT_Y5,12)/FT_Int2)-IF(EDATE(AL117,FT_Y5)&lt;PolicyEff,FT_AnnivDays-1,0))),IF(AU117="PT",IF(BB117&lt;PT_First,0,1+INT((BB117-PT_First)/PT_Int)),0)),0)+IF(AND(AM117&gt;=3,AP117&lt;=PFYDate),IF(AV117="FT",IF(BA117&lt;FT_First,0,IF(BA117&lt;FT_Y5,1+INT((BA117-FT_First)/FT_Int1),FT_PreY5+FT_PerYear*INT((BA117-FT_Y5)/12)+FT_AnnivDays+INT(MOD(BA117-FT_Y5,12)/FT_Int2)-IF(EDATE(AL117,FT_Y5)&lt;PolicyEff,FT_AnnivDays-1,0))),IF(AV117="PT",IF(BA117&lt;PT_First,0,1+INT((BA117-PT_First)/PT_Int)),0))-IF(AV117="FT",IF(BC117&lt;FT_First,0,IF(BC117&lt;FT_Y5,1+INT((BC117-FT_First)/FT_Int1),FT_PreY5+FT_PerYear*INT((BC117-FT_Y5)/12)+FT_AnnivDays+INT(MOD(BC117-FT_Y5,12)/FT_Int2)-IF(EDATE(AL117,FT_Y5)&lt;PolicyEff,FT_AnnivDays-1,0))),IF(AV117="PT",IF(BC117&lt;PT_First,0,1+INT((BC117-PT_First)/PT_Int)),0)),0))</f>
        <v/>
      </c>
      <c r="BF117" s="16" t="str">
        <f aca="false">IF(AK117=0,"",IF(AW117="FT",IF(AX117&lt;FT_First,FT_First,IF(AX117&lt;FT_Y5,MIN(FT_Y5,FT_First+FT_Int1*(INT((AX117-FT_First)/FT_Int1)+1)),FT_Y5+12*INT((AX117-FT_Y5)/12)+FT_Int2*(INT(MOD(AX117-FT_Y5,12)/FT_Int2)+1))),IF(AW117="PT",IF(AX117&lt;PT_First,PT_First,PT_First+PT_Int*(INT((AX117-PT_First)/PT_Int)+1)),"")))</f>
        <v/>
      </c>
      <c r="BG117" s="16" t="str">
        <f aca="false">IF(AK117=0,"",IF(NOT(LH_Ready),0,COUNTIFS(INDEX(LH_Data,0,LH_ColFirst),$A117,INDEX(LH_Data,0,LH_ColSur),$B117,INDEX(LH_Data,0,LH_ColCat),BonusCat)))</f>
        <v/>
      </c>
      <c r="BH117" s="16" t="str">
        <f aca="false">IF(AK117=0,"",IF(OR(NOT(LH_Ready),BG117=0),0,SUMPRODUCT(MAX((INDEX(LH_Data,0,LH_ColFirst)=$A117)*(INDEX(LH_Data,0,LH_ColSur)=$B117)*(INDEX(LH_Data,0,LH_ColCat)=BonusCat)*ROW(LH_Data)))))</f>
        <v/>
      </c>
      <c r="BI117" s="16" t="str">
        <f aca="false">IF(AK117=0,"",IF(EOMONTH(AsOfDate,-1)&lt;AL117,-1,12*(YEAR(EOMONTH(AsOfDate,-1))-YEAR(AL117))+MONTH(EOMONTH(AsOfDate,-1))-MONTH(AL117)-IF(DAY(EOMONTH(AsOfDate,-1))&lt;MIN(DAY(AL117),DAY(EOMONTH(EOMONTH(AsOfDate,-1),0))),1,0)))</f>
        <v/>
      </c>
      <c r="BJ117" s="16" t="str">
        <f aca="false">IF(AK117=0,"",IF(OR(AM117&lt;2,AO117&gt;EOMONTH(AsOfDate,-1)),BI117,IF((AO117-1)&lt;AL117,-1,12*(YEAR((AO117-1))-YEAR(AL117))+MONTH((AO117-1))-MONTH(AL117)-IF(DAY((AO117-1))&lt;MIN(DAY(AL117),DAY(EOMONTH((AO117-1),0))),1,0))))</f>
        <v/>
      </c>
      <c r="BK117" s="16" t="str">
        <f aca="false">IF(AK117=0,"",IF(OR(AM117&lt;3,AP117&gt;EOMONTH(AsOfDate,-1)),BI117,IF((AP117-1)&lt;AL117,-1,12*(YEAR((AP117-1))-YEAR(AL117))+MONTH((AP117-1))-MONTH(AL117)-IF(DAY((AP117-1))&lt;MIN(DAY(AL117),DAY(EOMONTH((AP117-1),0))),1,0))))</f>
        <v/>
      </c>
      <c r="BL117" s="16" t="str">
        <f aca="false">IF(AK117=0,"",IF(AT117="FT",IF(BJ117&lt;FT_First,0,IF(BJ117&lt;FT_Y5,1+INT((BJ117-FT_First)/FT_Int1),FT_PreY5+FT_PerYear*INT((BJ117-FT_Y5)/12)+FT_AnnivDays+INT(MOD(BJ117-FT_Y5,12)/FT_Int2)-IF(EDATE(AL117,FT_Y5)&lt;PolicyEff,FT_AnnivDays-1,0))),IF(AT117="PT",IF(BJ117&lt;PT_First,0,1+INT((BJ117-PT_First)/PT_Int)),0))+IF(AND(AM117&gt;=2,AO117&lt;=EOMONTH(AsOfDate,-1)),IF(AU117="FT",IF(BK117&lt;FT_First,0,IF(BK117&lt;FT_Y5,1+INT((BK117-FT_First)/FT_Int1),FT_PreY5+FT_PerYear*INT((BK117-FT_Y5)/12)+FT_AnnivDays+INT(MOD(BK117-FT_Y5,12)/FT_Int2)-IF(EDATE(AL117,FT_Y5)&lt;PolicyEff,FT_AnnivDays-1,0))),IF(AU117="PT",IF(BK117&lt;PT_First,0,1+INT((BK117-PT_First)/PT_Int)),0))-IF(AU117="FT",IF(BJ117&lt;FT_First,0,IF(BJ117&lt;FT_Y5,1+INT((BJ117-FT_First)/FT_Int1),FT_PreY5+FT_PerYear*INT((BJ117-FT_Y5)/12)+FT_AnnivDays+INT(MOD(BJ117-FT_Y5,12)/FT_Int2)-IF(EDATE(AL117,FT_Y5)&lt;PolicyEff,FT_AnnivDays-1,0))),IF(AU117="PT",IF(BJ117&lt;PT_First,0,1+INT((BJ117-PT_First)/PT_Int)),0)),0)+IF(AND(AM117&gt;=3,AP117&lt;=EOMONTH(AsOfDate,-1)),IF(AV117="FT",IF(BI117&lt;FT_First,0,IF(BI117&lt;FT_Y5,1+INT((BI117-FT_First)/FT_Int1),FT_PreY5+FT_PerYear*INT((BI117-FT_Y5)/12)+FT_AnnivDays+INT(MOD(BI117-FT_Y5,12)/FT_Int2)-IF(EDATE(AL117,FT_Y5)&lt;PolicyEff,FT_AnnivDays-1,0))),IF(AV117="PT",IF(BI117&lt;PT_First,0,1+INT((BI117-PT_First)/PT_Int)),0))-IF(AV117="FT",IF(BK117&lt;FT_First,0,IF(BK117&lt;FT_Y5,1+INT((BK117-FT_First)/FT_Int1),FT_PreY5+FT_PerYear*INT((BK117-FT_Y5)/12)+FT_AnnivDays+INT(MOD(BK117-FT_Y5,12)/FT_Int2)-IF(EDATE(AL117,FT_Y5)&lt;PolicyEff,FT_AnnivDays-1,0))),IF(AV117="PT",IF(BK117&lt;PT_First,0,1+INT((BK117-PT_First)/PT_Int)),0)),0))</f>
        <v/>
      </c>
      <c r="BM117" s="16" t="str">
        <f aca="false">IF(AK117=0,"",IF(AW117="FT",IF(AX117&lt;FT_First,"",IF(AX117&lt;FT_Y5,FT_First+FT_Int1*INT((AX117-FT_First)/FT_Int1),FT_Y5+FT_Int2*INT((AX117-FT_Y5)/FT_Int2))),IF(AW117="PT",IF(AX117&lt;PT_First,"",PT_First+PT_Int*INT((AX117-PT_First)/PT_Int)),"")))</f>
        <v/>
      </c>
      <c r="BN117" s="16" t="str">
        <f aca="false">IF(AK117=0,"",IF((SchemeStart-1)&lt;AL117,-1,12*(YEAR((SchemeStart-1))-YEAR(AL117))+MONTH((SchemeStart-1))-MONTH(AL117)-IF(DAY((SchemeStart-1))&lt;MIN(DAY(AL117),DAY(EOMONTH((SchemeStart-1),0))),1,0)))</f>
        <v/>
      </c>
      <c r="BO117" s="16" t="str">
        <f aca="false">IF(AK117=0,"",IF(OR(AM117&lt;2,AO117&gt;(SchemeStart-1)),BN117,IF((AO117-1)&lt;AL117,-1,12*(YEAR((AO117-1))-YEAR(AL117))+MONTH((AO117-1))-MONTH(AL117)-IF(DAY((AO117-1))&lt;MIN(DAY(AL117),DAY(EOMONTH((AO117-1),0))),1,0))))</f>
        <v/>
      </c>
      <c r="BP117" s="16" t="str">
        <f aca="false">IF(AK117=0,"",IF(OR(AM117&lt;3,AP117&gt;(SchemeStart-1)),BN117,IF((AP117-1)&lt;AL117,-1,12*(YEAR((AP117-1))-YEAR(AL117))+MONTH((AP117-1))-MONTH(AL117)-IF(DAY((AP117-1))&lt;MIN(DAY(AL117),DAY(EOMONTH((AP117-1),0))),1,0))))</f>
        <v/>
      </c>
      <c r="BQ117" s="16" t="str">
        <f aca="false">IF(AK117=0,"",IF(AT117="FT",IF(BO117&lt;FT_First,0,IF(BO117&lt;FT_Y5,1+INT((BO117-FT_First)/FT_Int1),FT_PreY5+FT_PerYear*INT((BO117-FT_Y5)/12)+FT_AnnivDays+INT(MOD(BO117-FT_Y5,12)/FT_Int2)-IF(EDATE(AL117,FT_Y5)&lt;PolicyEff,FT_AnnivDays-1,0))),IF(AT117="PT",IF(BO117&lt;PT_First,0,1+INT((BO117-PT_First)/PT_Int)),0))+IF(AND(AM117&gt;=2,AO117&lt;=(SchemeStart-1)),IF(AU117="FT",IF(BP117&lt;FT_First,0,IF(BP117&lt;FT_Y5,1+INT((BP117-FT_First)/FT_Int1),FT_PreY5+FT_PerYear*INT((BP117-FT_Y5)/12)+FT_AnnivDays+INT(MOD(BP117-FT_Y5,12)/FT_Int2)-IF(EDATE(AL117,FT_Y5)&lt;PolicyEff,FT_AnnivDays-1,0))),IF(AU117="PT",IF(BP117&lt;PT_First,0,1+INT((BP117-PT_First)/PT_Int)),0))-IF(AU117="FT",IF(BO117&lt;FT_First,0,IF(BO117&lt;FT_Y5,1+INT((BO117-FT_First)/FT_Int1),FT_PreY5+FT_PerYear*INT((BO117-FT_Y5)/12)+FT_AnnivDays+INT(MOD(BO117-FT_Y5,12)/FT_Int2)-IF(EDATE(AL117,FT_Y5)&lt;PolicyEff,FT_AnnivDays-1,0))),IF(AU117="PT",IF(BO117&lt;PT_First,0,1+INT((BO117-PT_First)/PT_Int)),0)),0)+IF(AND(AM117&gt;=3,AP117&lt;=(SchemeStart-1)),IF(AV117="FT",IF(BN117&lt;FT_First,0,IF(BN117&lt;FT_Y5,1+INT((BN117-FT_First)/FT_Int1),FT_PreY5+FT_PerYear*INT((BN117-FT_Y5)/12)+FT_AnnivDays+INT(MOD(BN117-FT_Y5,12)/FT_Int2)-IF(EDATE(AL117,FT_Y5)&lt;PolicyEff,FT_AnnivDays-1,0))),IF(AV117="PT",IF(BN117&lt;PT_First,0,1+INT((BN117-PT_First)/PT_Int)),0))-IF(AV117="FT",IF(BP117&lt;FT_First,0,IF(BP117&lt;FT_Y5,1+INT((BP117-FT_First)/FT_Int1),FT_PreY5+FT_PerYear*INT((BP117-FT_Y5)/12)+FT_AnnivDays+INT(MOD(BP117-FT_Y5,12)/FT_Int2)-IF(EDATE(AL117,FT_Y5)&lt;PolicyEff,FT_AnnivDays-1,0))),IF(AV117="PT",IF(BP117&lt;PT_First,0,1+INT((BP117-PT_First)/PT_Int)),0)),0))</f>
        <v/>
      </c>
      <c r="BR117" s="0" t="str">
        <f aca="false">IF(LEN($A117&amp;$B117)=0,"",$A117&amp;" "&amp;$B117)</f>
        <v/>
      </c>
    </row>
    <row r="118" customFormat="false" ht="15" hidden="false" customHeight="false" outlineLevel="0" collapsed="false">
      <c r="A118" s="12"/>
      <c r="B118" s="12"/>
      <c r="C118" s="12"/>
      <c r="D118" s="13"/>
      <c r="E118" s="14" t="str">
        <f aca="false">IF(OR(AK118=0,$D118=""),"",DATE(YEAR(AsOfDate)+IF(DATE(YEAR(AsOfDate),MONTH($D118),DAY($D118))&lt;=AsOfDate,1,0),MONTH($D118),DAY($D118)))</f>
        <v/>
      </c>
      <c r="F118" s="13"/>
      <c r="G118" s="13"/>
      <c r="H118" s="13"/>
      <c r="I118" s="13"/>
      <c r="J118" s="13"/>
      <c r="K118" s="14" t="str">
        <f aca="false">IF(AK118=0,"",DATE(YEAR(AsOfDate)+IF(DATE(YEAR(AsOfDate),MONTH(AL118),DAY(AL118))&lt;=AsOfDate,1,0),MONTH(AL118),DAY(AL118)))</f>
        <v/>
      </c>
      <c r="L118" s="15" t="str">
        <f aca="false">IF(AK118=0,"",ROUND((AsOfDate-AL118)/365.25,1))</f>
        <v/>
      </c>
      <c r="M118" s="16" t="str">
        <f aca="false">IF(AK118=0,"",IF(AsOfDate&lt;AL118,"-",DATEDIF(AL118,AsOfDate,"y")&amp;"y "&amp;DATEDIF(AL118,AsOfDate,"ym")&amp;"m "&amp;DATEDIF(AL118,AsOfDate,"md")&amp;"d"))</f>
        <v/>
      </c>
      <c r="N118" s="17" t="str">
        <f aca="false">IF(AK118=0,"",O118*HoursPerDay)</f>
        <v/>
      </c>
      <c r="O118" s="17" t="str">
        <f aca="false">IF(AK118=0,"",MAX(0,BD118-BQ118))</f>
        <v/>
      </c>
      <c r="P118" s="18"/>
      <c r="Q118" s="16" t="str">
        <f aca="false">IF(AK118=0,"",IF(AM118&lt;2,"",AQ118&amp;" to "&amp;AR118&amp;" on "&amp;TEXT(AO118,"dd/mm/yyyy")&amp;IF(AO118&gt;AsOfDate," (future)",IF(AT118=AU118,"",IF(AU118="None"," - STOPPED accruing",IF(AT118="None"," - commencement for Bonus Leave"," - pathway changed"))))&amp;IF(AM118&lt;3,"","; "&amp;AR118&amp;" to "&amp;AS118&amp;" on "&amp;TEXT(AP118,"dd/mm/yyyy")&amp;IF(AP118&gt;AsOfDate," (future)",IF(AU118=AV118,"",IF(AV118="None"," - STOPPED accruing",IF(AU118="None"," - commencement for Bonus Leave"," - pathway changed")))))))</f>
        <v/>
      </c>
      <c r="R118" s="16" t="str">
        <f aca="false">IF(AK118=0,"",IF(AW118="None",IF(O118&gt;0,"No longer accruing","Not eligible - "&amp;IF(AND(OR(ISNUMBER(SEARCH("part",$C118)),UPPER(TRIM($C118))="PT",UPPER(TRIM($C118))="PTE"),Apply2026="No"),"part-time (scheme is full-time only)",IF(AND(OR(ISNUMBER(SEARCH("part",$C118)),UPPER(TRIM($C118))="PT",UPPER(TRIM($C118))="PTE"),$P118&lt;&gt;"",N($P118)&lt;PT_MinHours),"under "&amp;PT_MinHours&amp;" hrs",IF(IF($C118="","",IF(OR(ISNUMBER(SEARCH("full",$C118)),UPPER(TRIM($C118))="FT",UPPER(TRIM($C118))="FTE"),"Full-Time",IF(OR(ISNUMBER(SEARCH("part",$C118)),UPPER(TRIM($C118))="PT",UPPER(TRIM($C118))="PTE"),"Part-Time",IF(OR(ISNUMBER(SEARCH("cas",$C118)),UPPER(TRIM($C118))="CAS"),"Casual","Unknown"))))="Unknown","type not recognised",$C118)))),IF(O118&gt;0,"Yes - Accrual Required","Not yet - from "&amp;TEXT(S118,"dd/mm/yyyy"))))</f>
        <v/>
      </c>
      <c r="S118" s="14" t="str">
        <f aca="false">IF(AK118=0,"",IF(AW118="None","",EDATE(AL118,BF118)))</f>
        <v/>
      </c>
      <c r="T118" s="17" t="str">
        <f aca="false">IF(AK118=0,"",IF(NOT(LH_Ready),"",IF($F118&gt;PFYDate,0,IF(LH_ColPeriod=0,W118-U118+V118,SUMIFS(INDEX(LH_Data,0,LH_ColAcc),INDEX(LH_Data,0,LH_ColFirst),$A118,INDEX(LH_Data,0,LH_ColSur),$B118,INDEX(LH_Data,0,LH_ColCat),BonusCat,INDEX(LH_Data,0,LH_ColPeriod),LH_OpenLabel)*UnitFactor))))</f>
        <v/>
      </c>
      <c r="U118" s="17" t="str">
        <f aca="false">IF(AK118=0,"",IF(NOT(LH_Ready),"",SUMIFS(INDEX(LH_Data,0,LH_ColAcc),INDEX(LH_Data,0,LH_ColFirst),$A118,INDEX(LH_Data,0,LH_ColSur),$B118,INDEX(LH_Data,0,LH_ColCat),BonusCat,INDEX(LH_Data,0,LH_ColStart),"&gt;="&amp;AL118)*UnitFactor))</f>
        <v/>
      </c>
      <c r="V118" s="17" t="str">
        <f aca="false">IF(AK118=0,"",IF(NOT(LH_Ready),"",SUMIFS(INDEX(LH_Data,0,LH_ColTaken),INDEX(LH_Data,0,LH_ColFirst),$A118,INDEX(LH_Data,0,LH_ColSur),$B118,INDEX(LH_Data,0,LH_ColCat),BonusCat,INDEX(LH_Data,0,LH_ColStart),"&gt;="&amp;AL118)*UnitFactor))</f>
        <v/>
      </c>
      <c r="W118" s="17" t="str">
        <f aca="false">IF(AK118=0,"",IF(NOT(LH_Ready),"",IF(BH118=0,0,INDEX(INDEX(LH_Data,0,LH_ColClose),BH118-1)*UnitFactor)))</f>
        <v/>
      </c>
      <c r="X118" s="17" t="str">
        <f aca="false">IF(AK118=0,"",(MAX(0,BD118-BQ118)-MAX(0,BE118-BQ118))*HoursPerDay)</f>
        <v/>
      </c>
      <c r="Y118" s="17" t="str">
        <f aca="false">IF(AK118=0,"",IF(NOT(LH_Ready),"",IF($AI118="Yes",N(AE118)*HoursPerDay-SUMIFS(INDEX(LH_Data,0,LH_ColAcc),INDEX(LH_Data,0,LH_ColFirst),$A118,INDEX(LH_Data,0,LH_ColSur),$B118,INDEX(LH_Data,0,LH_ColCat),BonusCat,INDEX(LH_Data,0,LH_ColStart),"&gt;="&amp;(EOMONTH(AsOfDate,-1)+1),INDEX(LH_Data,0,LH_ColStart),"&lt;="&amp;AsOfDate)*UnitFactor,IF(BG118=0,N118,N118-N(T118)-N(U118)))))</f>
        <v/>
      </c>
      <c r="Z118" s="16" t="str">
        <f aca="false">IF(OR(AK118=0,Y118=""),"",IF(Y118&gt;0,"Yes","No"))</f>
        <v/>
      </c>
      <c r="AA118" s="16" t="str">
        <f aca="false">IF(AK118=0,IF(LEN($A118&amp;$B118)=0,"","FIX INPUT - StartDate missing"),IF(AD118&lt;&gt;"","FIX INPUT - "&amp;AD118,IF(NOT(LH_Ready),"Paste Leave History export (Settings must show YES)",IF(AND($AI118="Yes",Y118&lt;=0),"OK - EH balance accepted to date"&amp;IF(N(AH118)&gt;0," (EH holds "&amp;AH118&amp;" hrs over the scheme)","")&amp;"; next day "&amp;TEXT(S118,"dd mmm yy")&amp;IF(N(AE118)&gt;0," ("&amp;AE118&amp;" day(s) for "&amp;UPPER(TEXT(AsOfDate,"mmm yyyy"))&amp;" already in EH)",""),IF(Y118&gt;0,"ACCRUE "&amp;ROUND(Y118,2)&amp;" hrs ("&amp;ROUND(Y118/HoursPerDay,2)&amp;" days): "&amp;IF(N(AE118)&gt;0,AE118&amp;" day(s) for "&amp;UPPER(TEXT(AsOfDate,"mmm yyyy"))&amp;" (milestone "&amp;UPPER(TEXT(AF118,"dd mmm yy"))&amp;")"&amp;IF(Y118/HoursPerDay&gt;AE118+0.001," + "&amp;ROUND(Y118/HoursPerDay-AE118,2)&amp;" day(s) catch-up from earlier months",""),"all catch-up from earlier months, nothing new this month")&amp;IF(BG118=0,"; no Bonus Leave in EH yet",""),IF(Y118&lt;0,"CHECK - EH accrued "&amp;ROUND(-Y118,2)&amp;" hrs more than policy since commencement",IF(N(W118)&gt;O118*HoursPerDay+0.01,"CHECK - EH balance "&amp;ROUND(W118-O118*HoursPerDay,2)&amp;" hrs more than policy entitlement",IF(O118&gt;0,"OK - nothing to add"&amp;IF(N(AE118)&gt;0," ("&amp;AE118&amp;" day(s) for "&amp;UPPER(TEXT(AsOfDate,"mmm yyyy"))&amp;" already in EH)",""),IF(AW118="None",R118,"Not yet - first day on "&amp;TEXT(S118,"dd/mm/yyyy"))))))))))</f>
        <v/>
      </c>
      <c r="AB118" s="17" t="str">
        <f aca="false">IF(OR(AK118=0,T118=""),"",MAX(0,BE118-BQ118)*HoursPerDay-T118)</f>
        <v/>
      </c>
      <c r="AC118" s="16" t="str">
        <f aca="false">IF(AK118=0,"",BG118)</f>
        <v/>
      </c>
      <c r="AD118" s="16" t="str">
        <f aca="false">IF(AK118=0,"",TRIM(IF(OR(ISTEXT($F118),ISTEXT($H118),ISTEXT($I118),ISTEXT($G118),ISTEXT($J118),ISTEXT($D118)),"A date is typed as text - retype it as dd/mm/yyyy. ","")&amp;IF(IF($C118="","",IF(OR(ISNUMBER(SEARCH("full",$C118)),UPPER(TRIM($C118))="FT",UPPER(TRIM($C118))="FTE"),"Full-Time",IF(OR(ISNUMBER(SEARCH("part",$C118)),UPPER(TRIM($C118))="PT",UPPER(TRIM($C118))="PTE"),"Part-Time",IF(OR(ISNUMBER(SEARCH("cas",$C118)),UPPER(TRIM($C118))="CAS"),"Casual","Unknown"))))="Unknown","EmploymentType not recognised - use Full-Time, Part-Time or Casual. ","")&amp;IF(AND(AM118&gt;=1,IF(AM118&gt;=3,AS118,IF(AM118=2,AR118,AQ118))&lt;&gt;IF($C118="","",IF(OR(ISNUMBER(SEARCH("full",$C118)),UPPER(TRIM($C118))="FT",UPPER(TRIM($C118))="FTE"),"Full-Time",IF(OR(ISNUMBER(SEARCH("part",$C118)),UPPER(TRIM($C118))="PT",UPPER(TRIM($C118))="PTE"),"Part-Time",IF(OR(ISNUMBER(SEARCH("cas",$C118)),UPPER(TRIM($C118))="CAS"),"Casual","Unknown"))))),"EmploymentType does not match latest start date ("&amp;IF(AM118&gt;=3,AS118,IF(AM118=2,AR118,AQ118))&amp;"). ","")&amp;IF(AND(AM118&gt;=1,AN118&lt;&gt;$F118),"Earliest type date should equal StartDate. ","")&amp;IF(AND(AM118&gt;=2,AN118=AO118),"Two types start on the same date. ","")&amp;IF(AND(OR(ISNUMBER(SEARCH("part",$C118)),UPPER(TRIM($C118))="PT",UPPER(TRIM($C118))="PTE"),$P118=""),"Part-time: enter PT Hrs/Week (blank = 24+). ","")))</f>
        <v/>
      </c>
      <c r="AE118" s="17" t="str">
        <f aca="false">IF(AK118=0,"",O118-MAX(0,BL118-BQ118))</f>
        <v/>
      </c>
      <c r="AF118" s="14" t="str">
        <f aca="false">IF(OR(AK118=0,AE118="",N(AE118)=0,BM118=""),"",EDATE(AL118,BM118))</f>
        <v/>
      </c>
      <c r="AG118" s="17" t="str">
        <f aca="false">IF(AK118=0,"",MIN(BD118,BQ118))</f>
        <v/>
      </c>
      <c r="AH118" s="17" t="str">
        <f aca="false">IF(AK118=0,"",IF(NOT(LH_Ready),"",IF(BG118=0,0,MAX(0,ROUND(N(T118)+N(U118)-N118,2)))))</f>
        <v/>
      </c>
      <c r="AI118" s="12"/>
      <c r="AJ118" s="12"/>
      <c r="AK118" s="16" t="n">
        <f aca="false">IF(OR(LEN($A118&amp;$B118)=0,$F118=""),0,1)</f>
        <v>0</v>
      </c>
      <c r="AL118" s="14" t="str">
        <f aca="false">IF(AK118=0,"",IF(PreSchemeCounts="No",MAX(SchemeStart,IF($J118&lt;&gt;"",$J118,IF(OR(CasualCounts="Yes",COUNT($G118:$I118)=0),$F118,IF(Apply2026="No",IF($I118="",$F118,$I118),IF(COUNT($H118:$I118)=0,$F118,MIN($H118:$I118)))))),IF($J118&lt;&gt;"",$J118,IF(OR(CasualCounts="Yes",COUNT($G118:$I118)=0),$F118,IF(Apply2026="No",IF($I118="",$F118,$I118),IF(COUNT($H118:$I118)=0,$F118,MIN($H118:$I118)))))))</f>
        <v/>
      </c>
      <c r="AM118" s="16" t="str">
        <f aca="false">IF(AK118=0,"",COUNT($G118:$I118))</f>
        <v/>
      </c>
      <c r="AN118" s="14" t="str">
        <f aca="false">IF(AK118=0,"",IFERROR(SMALL($G118:$I118,1),""))</f>
        <v/>
      </c>
      <c r="AO118" s="14" t="str">
        <f aca="false">IF(AK118=0,"",IFERROR(SMALL($G118:$I118,2),""))</f>
        <v/>
      </c>
      <c r="AP118" s="14" t="str">
        <f aca="false">IF(AK118=0,"",IFERROR(SMALL($G118:$I118,3),""))</f>
        <v/>
      </c>
      <c r="AQ118" s="16" t="str">
        <f aca="false">IF(AK118=0,"",IF(AN118="","",IF(AN118=$H118,"Part-Time",IF(AN118=$I118,"Full-Time","Casual"))))</f>
        <v/>
      </c>
      <c r="AR118" s="16" t="str">
        <f aca="false">IF(AK118=0,"",IF(AO118="","",IF(AO118=$H118,"Part-Time",IF(AO118=$I118,"Full-Time","Casual"))))</f>
        <v/>
      </c>
      <c r="AS118" s="16" t="str">
        <f aca="false">IF(AK118=0,"",IF(AP118="","",IF(AP118=$H118,"Part-Time",IF(AP118=$I118,"Full-Time","Casual"))))</f>
        <v/>
      </c>
      <c r="AT118" s="16" t="str">
        <f aca="false">IF(AK118=0,"",IF(AM118=0,IF(OR(ISNUMBER(SEARCH("full",$C118)),UPPER(TRIM($C118))="FT",UPPER(TRIM($C118))="FTE"),"FT",IF(AND(OR(ISNUMBER(SEARCH("part",$C118)),UPPER(TRIM($C118))="PT",UPPER(TRIM($C118))="PTE"),Apply2026="Yes",OR($P118="",N($P118)&gt;=PT_MinHours)),"PT","None")),IF(OR(ISNUMBER(SEARCH("full",AQ118)),UPPER(TRIM(AQ118))="FT",UPPER(TRIM(AQ118))="FTE"),"FT",IF(AND(OR(ISNUMBER(SEARCH("part",AQ118)),UPPER(TRIM(AQ118))="PT",UPPER(TRIM(AQ118))="PTE"),Apply2026="Yes",OR($P118="",N($P118)&gt;=PT_MinHours)),"PT","None"))))</f>
        <v/>
      </c>
      <c r="AU118" s="16" t="str">
        <f aca="false">IF(AK118=0,"",IF(AM118&lt;2,"",IF(OR(ISNUMBER(SEARCH("full",AR118)),UPPER(TRIM(AR118))="FT",UPPER(TRIM(AR118))="FTE"),"FT",IF(AND(OR(ISNUMBER(SEARCH("part",AR118)),UPPER(TRIM(AR118))="PT",UPPER(TRIM(AR118))="PTE"),Apply2026="Yes",OR($P118="",N($P118)&gt;=PT_MinHours)),"PT","None"))))</f>
        <v/>
      </c>
      <c r="AV118" s="16" t="str">
        <f aca="false">IF(AK118=0,"",IF(AM118&lt;3,"",IF(OR(ISNUMBER(SEARCH("full",AS118)),UPPER(TRIM(AS118))="FT",UPPER(TRIM(AS118))="FTE"),"FT",IF(AND(OR(ISNUMBER(SEARCH("part",AS118)),UPPER(TRIM(AS118))="PT",UPPER(TRIM(AS118))="PTE"),Apply2026="Yes",OR($P118="",N($P118)&gt;=PT_MinHours)),"PT","None"))))</f>
        <v/>
      </c>
      <c r="AW118" s="16" t="str">
        <f aca="false">IF(AK118=0,"",IF(AND(AM118&gt;=3,AP118&lt;=AsOfDate),AV118,IF(AND(AM118&gt;=2,AO118&lt;=AsOfDate),AU118,AT118)))</f>
        <v/>
      </c>
      <c r="AX118" s="16" t="str">
        <f aca="false">IF(AK118=0,"",IF(AsOfDate&lt;AL118,-1,12*(YEAR(AsOfDate)-YEAR(AL118))+MONTH(AsOfDate)-MONTH(AL118)-IF(DAY(AsOfDate)&lt;MIN(DAY(AL118),DAY(EOMONTH(AsOfDate,0))),1,0)))</f>
        <v/>
      </c>
      <c r="AY118" s="16" t="str">
        <f aca="false">IF(AK118=0,"",IF(OR(AM118&lt;2,AO118&gt;AsOfDate),AX118,IF((AO118-1)&lt;AL118,-1,12*(YEAR((AO118-1))-YEAR(AL118))+MONTH((AO118-1))-MONTH(AL118)-IF(DAY((AO118-1))&lt;MIN(DAY(AL118),DAY(EOMONTH((AO118-1),0))),1,0))))</f>
        <v/>
      </c>
      <c r="AZ118" s="16" t="str">
        <f aca="false">IF(AK118=0,"",IF(OR(AM118&lt;3,AP118&gt;AsOfDate),AX118,IF((AP118-1)&lt;AL118,-1,12*(YEAR((AP118-1))-YEAR(AL118))+MONTH((AP118-1))-MONTH(AL118)-IF(DAY((AP118-1))&lt;MIN(DAY(AL118),DAY(EOMONTH((AP118-1),0))),1,0))))</f>
        <v/>
      </c>
      <c r="BA118" s="16" t="str">
        <f aca="false">IF(AK118=0,"",IF(PFYDate&lt;AL118,-1,12*(YEAR(PFYDate)-YEAR(AL118))+MONTH(PFYDate)-MONTH(AL118)-IF(DAY(PFYDate)&lt;MIN(DAY(AL118),DAY(EOMONTH(PFYDate,0))),1,0)))</f>
        <v/>
      </c>
      <c r="BB118" s="16" t="str">
        <f aca="false">IF(AK118=0,"",IF(OR(AM118&lt;2,AO118&gt;PFYDate),BA118,IF((AO118-1)&lt;AL118,-1,12*(YEAR((AO118-1))-YEAR(AL118))+MONTH((AO118-1))-MONTH(AL118)-IF(DAY((AO118-1))&lt;MIN(DAY(AL118),DAY(EOMONTH((AO118-1),0))),1,0))))</f>
        <v/>
      </c>
      <c r="BC118" s="16" t="str">
        <f aca="false">IF(AK118=0,"",IF(OR(AM118&lt;3,AP118&gt;PFYDate),BA118,IF((AP118-1)&lt;AL118,-1,12*(YEAR((AP118-1))-YEAR(AL118))+MONTH((AP118-1))-MONTH(AL118)-IF(DAY((AP118-1))&lt;MIN(DAY(AL118),DAY(EOMONTH((AP118-1),0))),1,0))))</f>
        <v/>
      </c>
      <c r="BD118" s="16" t="str">
        <f aca="false">IF(AK118=0,"",IF(AT118="FT",IF(AY118&lt;FT_First,0,IF(AY118&lt;FT_Y5,1+INT((AY118-FT_First)/FT_Int1),FT_PreY5+FT_PerYear*INT((AY118-FT_Y5)/12)+FT_AnnivDays+INT(MOD(AY118-FT_Y5,12)/FT_Int2)-IF(EDATE(AL118,FT_Y5)&lt;PolicyEff,FT_AnnivDays-1,0))),IF(AT118="PT",IF(AY118&lt;PT_First,0,1+INT((AY118-PT_First)/PT_Int)),0))+IF(AND(AM118&gt;=2,AO118&lt;=AsOfDate),IF(AU118="FT",IF(AZ118&lt;FT_First,0,IF(AZ118&lt;FT_Y5,1+INT((AZ118-FT_First)/FT_Int1),FT_PreY5+FT_PerYear*INT((AZ118-FT_Y5)/12)+FT_AnnivDays+INT(MOD(AZ118-FT_Y5,12)/FT_Int2)-IF(EDATE(AL118,FT_Y5)&lt;PolicyEff,FT_AnnivDays-1,0))),IF(AU118="PT",IF(AZ118&lt;PT_First,0,1+INT((AZ118-PT_First)/PT_Int)),0))-IF(AU118="FT",IF(AY118&lt;FT_First,0,IF(AY118&lt;FT_Y5,1+INT((AY118-FT_First)/FT_Int1),FT_PreY5+FT_PerYear*INT((AY118-FT_Y5)/12)+FT_AnnivDays+INT(MOD(AY118-FT_Y5,12)/FT_Int2)-IF(EDATE(AL118,FT_Y5)&lt;PolicyEff,FT_AnnivDays-1,0))),IF(AU118="PT",IF(AY118&lt;PT_First,0,1+INT((AY118-PT_First)/PT_Int)),0)),0)+IF(AND(AM118&gt;=3,AP118&lt;=AsOfDate),IF(AV118="FT",IF(AX118&lt;FT_First,0,IF(AX118&lt;FT_Y5,1+INT((AX118-FT_First)/FT_Int1),FT_PreY5+FT_PerYear*INT((AX118-FT_Y5)/12)+FT_AnnivDays+INT(MOD(AX118-FT_Y5,12)/FT_Int2)-IF(EDATE(AL118,FT_Y5)&lt;PolicyEff,FT_AnnivDays-1,0))),IF(AV118="PT",IF(AX118&lt;PT_First,0,1+INT((AX118-PT_First)/PT_Int)),0))-IF(AV118="FT",IF(AZ118&lt;FT_First,0,IF(AZ118&lt;FT_Y5,1+INT((AZ118-FT_First)/FT_Int1),FT_PreY5+FT_PerYear*INT((AZ118-FT_Y5)/12)+FT_AnnivDays+INT(MOD(AZ118-FT_Y5,12)/FT_Int2)-IF(EDATE(AL118,FT_Y5)&lt;PolicyEff,FT_AnnivDays-1,0))),IF(AV118="PT",IF(AZ118&lt;PT_First,0,1+INT((AZ118-PT_First)/PT_Int)),0)),0))</f>
        <v/>
      </c>
      <c r="BE118" s="16" t="str">
        <f aca="false">IF(AK118=0,"",IF(AT118="FT",IF(BB118&lt;FT_First,0,IF(BB118&lt;FT_Y5,1+INT((BB118-FT_First)/FT_Int1),FT_PreY5+FT_PerYear*INT((BB118-FT_Y5)/12)+FT_AnnivDays+INT(MOD(BB118-FT_Y5,12)/FT_Int2)-IF(EDATE(AL118,FT_Y5)&lt;PolicyEff,FT_AnnivDays-1,0))),IF(AT118="PT",IF(BB118&lt;PT_First,0,1+INT((BB118-PT_First)/PT_Int)),0))+IF(AND(AM118&gt;=2,AO118&lt;=PFYDate),IF(AU118="FT",IF(BC118&lt;FT_First,0,IF(BC118&lt;FT_Y5,1+INT((BC118-FT_First)/FT_Int1),FT_PreY5+FT_PerYear*INT((BC118-FT_Y5)/12)+FT_AnnivDays+INT(MOD(BC118-FT_Y5,12)/FT_Int2)-IF(EDATE(AL118,FT_Y5)&lt;PolicyEff,FT_AnnivDays-1,0))),IF(AU118="PT",IF(BC118&lt;PT_First,0,1+INT((BC118-PT_First)/PT_Int)),0))-IF(AU118="FT",IF(BB118&lt;FT_First,0,IF(BB118&lt;FT_Y5,1+INT((BB118-FT_First)/FT_Int1),FT_PreY5+FT_PerYear*INT((BB118-FT_Y5)/12)+FT_AnnivDays+INT(MOD(BB118-FT_Y5,12)/FT_Int2)-IF(EDATE(AL118,FT_Y5)&lt;PolicyEff,FT_AnnivDays-1,0))),IF(AU118="PT",IF(BB118&lt;PT_First,0,1+INT((BB118-PT_First)/PT_Int)),0)),0)+IF(AND(AM118&gt;=3,AP118&lt;=PFYDate),IF(AV118="FT",IF(BA118&lt;FT_First,0,IF(BA118&lt;FT_Y5,1+INT((BA118-FT_First)/FT_Int1),FT_PreY5+FT_PerYear*INT((BA118-FT_Y5)/12)+FT_AnnivDays+INT(MOD(BA118-FT_Y5,12)/FT_Int2)-IF(EDATE(AL118,FT_Y5)&lt;PolicyEff,FT_AnnivDays-1,0))),IF(AV118="PT",IF(BA118&lt;PT_First,0,1+INT((BA118-PT_First)/PT_Int)),0))-IF(AV118="FT",IF(BC118&lt;FT_First,0,IF(BC118&lt;FT_Y5,1+INT((BC118-FT_First)/FT_Int1),FT_PreY5+FT_PerYear*INT((BC118-FT_Y5)/12)+FT_AnnivDays+INT(MOD(BC118-FT_Y5,12)/FT_Int2)-IF(EDATE(AL118,FT_Y5)&lt;PolicyEff,FT_AnnivDays-1,0))),IF(AV118="PT",IF(BC118&lt;PT_First,0,1+INT((BC118-PT_First)/PT_Int)),0)),0))</f>
        <v/>
      </c>
      <c r="BF118" s="16" t="str">
        <f aca="false">IF(AK118=0,"",IF(AW118="FT",IF(AX118&lt;FT_First,FT_First,IF(AX118&lt;FT_Y5,MIN(FT_Y5,FT_First+FT_Int1*(INT((AX118-FT_First)/FT_Int1)+1)),FT_Y5+12*INT((AX118-FT_Y5)/12)+FT_Int2*(INT(MOD(AX118-FT_Y5,12)/FT_Int2)+1))),IF(AW118="PT",IF(AX118&lt;PT_First,PT_First,PT_First+PT_Int*(INT((AX118-PT_First)/PT_Int)+1)),"")))</f>
        <v/>
      </c>
      <c r="BG118" s="16" t="str">
        <f aca="false">IF(AK118=0,"",IF(NOT(LH_Ready),0,COUNTIFS(INDEX(LH_Data,0,LH_ColFirst),$A118,INDEX(LH_Data,0,LH_ColSur),$B118,INDEX(LH_Data,0,LH_ColCat),BonusCat)))</f>
        <v/>
      </c>
      <c r="BH118" s="16" t="str">
        <f aca="false">IF(AK118=0,"",IF(OR(NOT(LH_Ready),BG118=0),0,SUMPRODUCT(MAX((INDEX(LH_Data,0,LH_ColFirst)=$A118)*(INDEX(LH_Data,0,LH_ColSur)=$B118)*(INDEX(LH_Data,0,LH_ColCat)=BonusCat)*ROW(LH_Data)))))</f>
        <v/>
      </c>
      <c r="BI118" s="16" t="str">
        <f aca="false">IF(AK118=0,"",IF(EOMONTH(AsOfDate,-1)&lt;AL118,-1,12*(YEAR(EOMONTH(AsOfDate,-1))-YEAR(AL118))+MONTH(EOMONTH(AsOfDate,-1))-MONTH(AL118)-IF(DAY(EOMONTH(AsOfDate,-1))&lt;MIN(DAY(AL118),DAY(EOMONTH(EOMONTH(AsOfDate,-1),0))),1,0)))</f>
        <v/>
      </c>
      <c r="BJ118" s="16" t="str">
        <f aca="false">IF(AK118=0,"",IF(OR(AM118&lt;2,AO118&gt;EOMONTH(AsOfDate,-1)),BI118,IF((AO118-1)&lt;AL118,-1,12*(YEAR((AO118-1))-YEAR(AL118))+MONTH((AO118-1))-MONTH(AL118)-IF(DAY((AO118-1))&lt;MIN(DAY(AL118),DAY(EOMONTH((AO118-1),0))),1,0))))</f>
        <v/>
      </c>
      <c r="BK118" s="16" t="str">
        <f aca="false">IF(AK118=0,"",IF(OR(AM118&lt;3,AP118&gt;EOMONTH(AsOfDate,-1)),BI118,IF((AP118-1)&lt;AL118,-1,12*(YEAR((AP118-1))-YEAR(AL118))+MONTH((AP118-1))-MONTH(AL118)-IF(DAY((AP118-1))&lt;MIN(DAY(AL118),DAY(EOMONTH((AP118-1),0))),1,0))))</f>
        <v/>
      </c>
      <c r="BL118" s="16" t="str">
        <f aca="false">IF(AK118=0,"",IF(AT118="FT",IF(BJ118&lt;FT_First,0,IF(BJ118&lt;FT_Y5,1+INT((BJ118-FT_First)/FT_Int1),FT_PreY5+FT_PerYear*INT((BJ118-FT_Y5)/12)+FT_AnnivDays+INT(MOD(BJ118-FT_Y5,12)/FT_Int2)-IF(EDATE(AL118,FT_Y5)&lt;PolicyEff,FT_AnnivDays-1,0))),IF(AT118="PT",IF(BJ118&lt;PT_First,0,1+INT((BJ118-PT_First)/PT_Int)),0))+IF(AND(AM118&gt;=2,AO118&lt;=EOMONTH(AsOfDate,-1)),IF(AU118="FT",IF(BK118&lt;FT_First,0,IF(BK118&lt;FT_Y5,1+INT((BK118-FT_First)/FT_Int1),FT_PreY5+FT_PerYear*INT((BK118-FT_Y5)/12)+FT_AnnivDays+INT(MOD(BK118-FT_Y5,12)/FT_Int2)-IF(EDATE(AL118,FT_Y5)&lt;PolicyEff,FT_AnnivDays-1,0))),IF(AU118="PT",IF(BK118&lt;PT_First,0,1+INT((BK118-PT_First)/PT_Int)),0))-IF(AU118="FT",IF(BJ118&lt;FT_First,0,IF(BJ118&lt;FT_Y5,1+INT((BJ118-FT_First)/FT_Int1),FT_PreY5+FT_PerYear*INT((BJ118-FT_Y5)/12)+FT_AnnivDays+INT(MOD(BJ118-FT_Y5,12)/FT_Int2)-IF(EDATE(AL118,FT_Y5)&lt;PolicyEff,FT_AnnivDays-1,0))),IF(AU118="PT",IF(BJ118&lt;PT_First,0,1+INT((BJ118-PT_First)/PT_Int)),0)),0)+IF(AND(AM118&gt;=3,AP118&lt;=EOMONTH(AsOfDate,-1)),IF(AV118="FT",IF(BI118&lt;FT_First,0,IF(BI118&lt;FT_Y5,1+INT((BI118-FT_First)/FT_Int1),FT_PreY5+FT_PerYear*INT((BI118-FT_Y5)/12)+FT_AnnivDays+INT(MOD(BI118-FT_Y5,12)/FT_Int2)-IF(EDATE(AL118,FT_Y5)&lt;PolicyEff,FT_AnnivDays-1,0))),IF(AV118="PT",IF(BI118&lt;PT_First,0,1+INT((BI118-PT_First)/PT_Int)),0))-IF(AV118="FT",IF(BK118&lt;FT_First,0,IF(BK118&lt;FT_Y5,1+INT((BK118-FT_First)/FT_Int1),FT_PreY5+FT_PerYear*INT((BK118-FT_Y5)/12)+FT_AnnivDays+INT(MOD(BK118-FT_Y5,12)/FT_Int2)-IF(EDATE(AL118,FT_Y5)&lt;PolicyEff,FT_AnnivDays-1,0))),IF(AV118="PT",IF(BK118&lt;PT_First,0,1+INT((BK118-PT_First)/PT_Int)),0)),0))</f>
        <v/>
      </c>
      <c r="BM118" s="16" t="str">
        <f aca="false">IF(AK118=0,"",IF(AW118="FT",IF(AX118&lt;FT_First,"",IF(AX118&lt;FT_Y5,FT_First+FT_Int1*INT((AX118-FT_First)/FT_Int1),FT_Y5+FT_Int2*INT((AX118-FT_Y5)/FT_Int2))),IF(AW118="PT",IF(AX118&lt;PT_First,"",PT_First+PT_Int*INT((AX118-PT_First)/PT_Int)),"")))</f>
        <v/>
      </c>
      <c r="BN118" s="16" t="str">
        <f aca="false">IF(AK118=0,"",IF((SchemeStart-1)&lt;AL118,-1,12*(YEAR((SchemeStart-1))-YEAR(AL118))+MONTH((SchemeStart-1))-MONTH(AL118)-IF(DAY((SchemeStart-1))&lt;MIN(DAY(AL118),DAY(EOMONTH((SchemeStart-1),0))),1,0)))</f>
        <v/>
      </c>
      <c r="BO118" s="16" t="str">
        <f aca="false">IF(AK118=0,"",IF(OR(AM118&lt;2,AO118&gt;(SchemeStart-1)),BN118,IF((AO118-1)&lt;AL118,-1,12*(YEAR((AO118-1))-YEAR(AL118))+MONTH((AO118-1))-MONTH(AL118)-IF(DAY((AO118-1))&lt;MIN(DAY(AL118),DAY(EOMONTH((AO118-1),0))),1,0))))</f>
        <v/>
      </c>
      <c r="BP118" s="16" t="str">
        <f aca="false">IF(AK118=0,"",IF(OR(AM118&lt;3,AP118&gt;(SchemeStart-1)),BN118,IF((AP118-1)&lt;AL118,-1,12*(YEAR((AP118-1))-YEAR(AL118))+MONTH((AP118-1))-MONTH(AL118)-IF(DAY((AP118-1))&lt;MIN(DAY(AL118),DAY(EOMONTH((AP118-1),0))),1,0))))</f>
        <v/>
      </c>
      <c r="BQ118" s="16" t="str">
        <f aca="false">IF(AK118=0,"",IF(AT118="FT",IF(BO118&lt;FT_First,0,IF(BO118&lt;FT_Y5,1+INT((BO118-FT_First)/FT_Int1),FT_PreY5+FT_PerYear*INT((BO118-FT_Y5)/12)+FT_AnnivDays+INT(MOD(BO118-FT_Y5,12)/FT_Int2)-IF(EDATE(AL118,FT_Y5)&lt;PolicyEff,FT_AnnivDays-1,0))),IF(AT118="PT",IF(BO118&lt;PT_First,0,1+INT((BO118-PT_First)/PT_Int)),0))+IF(AND(AM118&gt;=2,AO118&lt;=(SchemeStart-1)),IF(AU118="FT",IF(BP118&lt;FT_First,0,IF(BP118&lt;FT_Y5,1+INT((BP118-FT_First)/FT_Int1),FT_PreY5+FT_PerYear*INT((BP118-FT_Y5)/12)+FT_AnnivDays+INT(MOD(BP118-FT_Y5,12)/FT_Int2)-IF(EDATE(AL118,FT_Y5)&lt;PolicyEff,FT_AnnivDays-1,0))),IF(AU118="PT",IF(BP118&lt;PT_First,0,1+INT((BP118-PT_First)/PT_Int)),0))-IF(AU118="FT",IF(BO118&lt;FT_First,0,IF(BO118&lt;FT_Y5,1+INT((BO118-FT_First)/FT_Int1),FT_PreY5+FT_PerYear*INT((BO118-FT_Y5)/12)+FT_AnnivDays+INT(MOD(BO118-FT_Y5,12)/FT_Int2)-IF(EDATE(AL118,FT_Y5)&lt;PolicyEff,FT_AnnivDays-1,0))),IF(AU118="PT",IF(BO118&lt;PT_First,0,1+INT((BO118-PT_First)/PT_Int)),0)),0)+IF(AND(AM118&gt;=3,AP118&lt;=(SchemeStart-1)),IF(AV118="FT",IF(BN118&lt;FT_First,0,IF(BN118&lt;FT_Y5,1+INT((BN118-FT_First)/FT_Int1),FT_PreY5+FT_PerYear*INT((BN118-FT_Y5)/12)+FT_AnnivDays+INT(MOD(BN118-FT_Y5,12)/FT_Int2)-IF(EDATE(AL118,FT_Y5)&lt;PolicyEff,FT_AnnivDays-1,0))),IF(AV118="PT",IF(BN118&lt;PT_First,0,1+INT((BN118-PT_First)/PT_Int)),0))-IF(AV118="FT",IF(BP118&lt;FT_First,0,IF(BP118&lt;FT_Y5,1+INT((BP118-FT_First)/FT_Int1),FT_PreY5+FT_PerYear*INT((BP118-FT_Y5)/12)+FT_AnnivDays+INT(MOD(BP118-FT_Y5,12)/FT_Int2)-IF(EDATE(AL118,FT_Y5)&lt;PolicyEff,FT_AnnivDays-1,0))),IF(AV118="PT",IF(BP118&lt;PT_First,0,1+INT((BP118-PT_First)/PT_Int)),0)),0))</f>
        <v/>
      </c>
      <c r="BR118" s="0" t="str">
        <f aca="false">IF(LEN($A118&amp;$B118)=0,"",$A118&amp;" "&amp;$B118)</f>
        <v/>
      </c>
    </row>
    <row r="119" customFormat="false" ht="15" hidden="false" customHeight="false" outlineLevel="0" collapsed="false">
      <c r="A119" s="12"/>
      <c r="B119" s="12"/>
      <c r="C119" s="12"/>
      <c r="D119" s="13"/>
      <c r="E119" s="14" t="str">
        <f aca="false">IF(OR(AK119=0,$D119=""),"",DATE(YEAR(AsOfDate)+IF(DATE(YEAR(AsOfDate),MONTH($D119),DAY($D119))&lt;=AsOfDate,1,0),MONTH($D119),DAY($D119)))</f>
        <v/>
      </c>
      <c r="F119" s="13"/>
      <c r="G119" s="13"/>
      <c r="H119" s="13"/>
      <c r="I119" s="13"/>
      <c r="J119" s="13"/>
      <c r="K119" s="14" t="str">
        <f aca="false">IF(AK119=0,"",DATE(YEAR(AsOfDate)+IF(DATE(YEAR(AsOfDate),MONTH(AL119),DAY(AL119))&lt;=AsOfDate,1,0),MONTH(AL119),DAY(AL119)))</f>
        <v/>
      </c>
      <c r="L119" s="15" t="str">
        <f aca="false">IF(AK119=0,"",ROUND((AsOfDate-AL119)/365.25,1))</f>
        <v/>
      </c>
      <c r="M119" s="16" t="str">
        <f aca="false">IF(AK119=0,"",IF(AsOfDate&lt;AL119,"-",DATEDIF(AL119,AsOfDate,"y")&amp;"y "&amp;DATEDIF(AL119,AsOfDate,"ym")&amp;"m "&amp;DATEDIF(AL119,AsOfDate,"md")&amp;"d"))</f>
        <v/>
      </c>
      <c r="N119" s="17" t="str">
        <f aca="false">IF(AK119=0,"",O119*HoursPerDay)</f>
        <v/>
      </c>
      <c r="O119" s="17" t="str">
        <f aca="false">IF(AK119=0,"",MAX(0,BD119-BQ119))</f>
        <v/>
      </c>
      <c r="P119" s="18"/>
      <c r="Q119" s="16" t="str">
        <f aca="false">IF(AK119=0,"",IF(AM119&lt;2,"",AQ119&amp;" to "&amp;AR119&amp;" on "&amp;TEXT(AO119,"dd/mm/yyyy")&amp;IF(AO119&gt;AsOfDate," (future)",IF(AT119=AU119,"",IF(AU119="None"," - STOPPED accruing",IF(AT119="None"," - commencement for Bonus Leave"," - pathway changed"))))&amp;IF(AM119&lt;3,"","; "&amp;AR119&amp;" to "&amp;AS119&amp;" on "&amp;TEXT(AP119,"dd/mm/yyyy")&amp;IF(AP119&gt;AsOfDate," (future)",IF(AU119=AV119,"",IF(AV119="None"," - STOPPED accruing",IF(AU119="None"," - commencement for Bonus Leave"," - pathway changed")))))))</f>
        <v/>
      </c>
      <c r="R119" s="16" t="str">
        <f aca="false">IF(AK119=0,"",IF(AW119="None",IF(O119&gt;0,"No longer accruing","Not eligible - "&amp;IF(AND(OR(ISNUMBER(SEARCH("part",$C119)),UPPER(TRIM($C119))="PT",UPPER(TRIM($C119))="PTE"),Apply2026="No"),"part-time (scheme is full-time only)",IF(AND(OR(ISNUMBER(SEARCH("part",$C119)),UPPER(TRIM($C119))="PT",UPPER(TRIM($C119))="PTE"),$P119&lt;&gt;"",N($P119)&lt;PT_MinHours),"under "&amp;PT_MinHours&amp;" hrs",IF(IF($C119="","",IF(OR(ISNUMBER(SEARCH("full",$C119)),UPPER(TRIM($C119))="FT",UPPER(TRIM($C119))="FTE"),"Full-Time",IF(OR(ISNUMBER(SEARCH("part",$C119)),UPPER(TRIM($C119))="PT",UPPER(TRIM($C119))="PTE"),"Part-Time",IF(OR(ISNUMBER(SEARCH("cas",$C119)),UPPER(TRIM($C119))="CAS"),"Casual","Unknown"))))="Unknown","type not recognised",$C119)))),IF(O119&gt;0,"Yes - Accrual Required","Not yet - from "&amp;TEXT(S119,"dd/mm/yyyy"))))</f>
        <v/>
      </c>
      <c r="S119" s="14" t="str">
        <f aca="false">IF(AK119=0,"",IF(AW119="None","",EDATE(AL119,BF119)))</f>
        <v/>
      </c>
      <c r="T119" s="17" t="str">
        <f aca="false">IF(AK119=0,"",IF(NOT(LH_Ready),"",IF($F119&gt;PFYDate,0,IF(LH_ColPeriod=0,W119-U119+V119,SUMIFS(INDEX(LH_Data,0,LH_ColAcc),INDEX(LH_Data,0,LH_ColFirst),$A119,INDEX(LH_Data,0,LH_ColSur),$B119,INDEX(LH_Data,0,LH_ColCat),BonusCat,INDEX(LH_Data,0,LH_ColPeriod),LH_OpenLabel)*UnitFactor))))</f>
        <v/>
      </c>
      <c r="U119" s="17" t="str">
        <f aca="false">IF(AK119=0,"",IF(NOT(LH_Ready),"",SUMIFS(INDEX(LH_Data,0,LH_ColAcc),INDEX(LH_Data,0,LH_ColFirst),$A119,INDEX(LH_Data,0,LH_ColSur),$B119,INDEX(LH_Data,0,LH_ColCat),BonusCat,INDEX(LH_Data,0,LH_ColStart),"&gt;="&amp;AL119)*UnitFactor))</f>
        <v/>
      </c>
      <c r="V119" s="17" t="str">
        <f aca="false">IF(AK119=0,"",IF(NOT(LH_Ready),"",SUMIFS(INDEX(LH_Data,0,LH_ColTaken),INDEX(LH_Data,0,LH_ColFirst),$A119,INDEX(LH_Data,0,LH_ColSur),$B119,INDEX(LH_Data,0,LH_ColCat),BonusCat,INDEX(LH_Data,0,LH_ColStart),"&gt;="&amp;AL119)*UnitFactor))</f>
        <v/>
      </c>
      <c r="W119" s="17" t="str">
        <f aca="false">IF(AK119=0,"",IF(NOT(LH_Ready),"",IF(BH119=0,0,INDEX(INDEX(LH_Data,0,LH_ColClose),BH119-1)*UnitFactor)))</f>
        <v/>
      </c>
      <c r="X119" s="17" t="str">
        <f aca="false">IF(AK119=0,"",(MAX(0,BD119-BQ119)-MAX(0,BE119-BQ119))*HoursPerDay)</f>
        <v/>
      </c>
      <c r="Y119" s="17" t="str">
        <f aca="false">IF(AK119=0,"",IF(NOT(LH_Ready),"",IF($AI119="Yes",N(AE119)*HoursPerDay-SUMIFS(INDEX(LH_Data,0,LH_ColAcc),INDEX(LH_Data,0,LH_ColFirst),$A119,INDEX(LH_Data,0,LH_ColSur),$B119,INDEX(LH_Data,0,LH_ColCat),BonusCat,INDEX(LH_Data,0,LH_ColStart),"&gt;="&amp;(EOMONTH(AsOfDate,-1)+1),INDEX(LH_Data,0,LH_ColStart),"&lt;="&amp;AsOfDate)*UnitFactor,IF(BG119=0,N119,N119-N(T119)-N(U119)))))</f>
        <v/>
      </c>
      <c r="Z119" s="16" t="str">
        <f aca="false">IF(OR(AK119=0,Y119=""),"",IF(Y119&gt;0,"Yes","No"))</f>
        <v/>
      </c>
      <c r="AA119" s="16" t="str">
        <f aca="false">IF(AK119=0,IF(LEN($A119&amp;$B119)=0,"","FIX INPUT - StartDate missing"),IF(AD119&lt;&gt;"","FIX INPUT - "&amp;AD119,IF(NOT(LH_Ready),"Paste Leave History export (Settings must show YES)",IF(AND($AI119="Yes",Y119&lt;=0),"OK - EH balance accepted to date"&amp;IF(N(AH119)&gt;0," (EH holds "&amp;AH119&amp;" hrs over the scheme)","")&amp;"; next day "&amp;TEXT(S119,"dd mmm yy")&amp;IF(N(AE119)&gt;0," ("&amp;AE119&amp;" day(s) for "&amp;UPPER(TEXT(AsOfDate,"mmm yyyy"))&amp;" already in EH)",""),IF(Y119&gt;0,"ACCRUE "&amp;ROUND(Y119,2)&amp;" hrs ("&amp;ROUND(Y119/HoursPerDay,2)&amp;" days): "&amp;IF(N(AE119)&gt;0,AE119&amp;" day(s) for "&amp;UPPER(TEXT(AsOfDate,"mmm yyyy"))&amp;" (milestone "&amp;UPPER(TEXT(AF119,"dd mmm yy"))&amp;")"&amp;IF(Y119/HoursPerDay&gt;AE119+0.001," + "&amp;ROUND(Y119/HoursPerDay-AE119,2)&amp;" day(s) catch-up from earlier months",""),"all catch-up from earlier months, nothing new this month")&amp;IF(BG119=0,"; no Bonus Leave in EH yet",""),IF(Y119&lt;0,"CHECK - EH accrued "&amp;ROUND(-Y119,2)&amp;" hrs more than policy since commencement",IF(N(W119)&gt;O119*HoursPerDay+0.01,"CHECK - EH balance "&amp;ROUND(W119-O119*HoursPerDay,2)&amp;" hrs more than policy entitlement",IF(O119&gt;0,"OK - nothing to add"&amp;IF(N(AE119)&gt;0," ("&amp;AE119&amp;" day(s) for "&amp;UPPER(TEXT(AsOfDate,"mmm yyyy"))&amp;" already in EH)",""),IF(AW119="None",R119,"Not yet - first day on "&amp;TEXT(S119,"dd/mm/yyyy"))))))))))</f>
        <v/>
      </c>
      <c r="AB119" s="17" t="str">
        <f aca="false">IF(OR(AK119=0,T119=""),"",MAX(0,BE119-BQ119)*HoursPerDay-T119)</f>
        <v/>
      </c>
      <c r="AC119" s="16" t="str">
        <f aca="false">IF(AK119=0,"",BG119)</f>
        <v/>
      </c>
      <c r="AD119" s="16" t="str">
        <f aca="false">IF(AK119=0,"",TRIM(IF(OR(ISTEXT($F119),ISTEXT($H119),ISTEXT($I119),ISTEXT($G119),ISTEXT($J119),ISTEXT($D119)),"A date is typed as text - retype it as dd/mm/yyyy. ","")&amp;IF(IF($C119="","",IF(OR(ISNUMBER(SEARCH("full",$C119)),UPPER(TRIM($C119))="FT",UPPER(TRIM($C119))="FTE"),"Full-Time",IF(OR(ISNUMBER(SEARCH("part",$C119)),UPPER(TRIM($C119))="PT",UPPER(TRIM($C119))="PTE"),"Part-Time",IF(OR(ISNUMBER(SEARCH("cas",$C119)),UPPER(TRIM($C119))="CAS"),"Casual","Unknown"))))="Unknown","EmploymentType not recognised - use Full-Time, Part-Time or Casual. ","")&amp;IF(AND(AM119&gt;=1,IF(AM119&gt;=3,AS119,IF(AM119=2,AR119,AQ119))&lt;&gt;IF($C119="","",IF(OR(ISNUMBER(SEARCH("full",$C119)),UPPER(TRIM($C119))="FT",UPPER(TRIM($C119))="FTE"),"Full-Time",IF(OR(ISNUMBER(SEARCH("part",$C119)),UPPER(TRIM($C119))="PT",UPPER(TRIM($C119))="PTE"),"Part-Time",IF(OR(ISNUMBER(SEARCH("cas",$C119)),UPPER(TRIM($C119))="CAS"),"Casual","Unknown"))))),"EmploymentType does not match latest start date ("&amp;IF(AM119&gt;=3,AS119,IF(AM119=2,AR119,AQ119))&amp;"). ","")&amp;IF(AND(AM119&gt;=1,AN119&lt;&gt;$F119),"Earliest type date should equal StartDate. ","")&amp;IF(AND(AM119&gt;=2,AN119=AO119),"Two types start on the same date. ","")&amp;IF(AND(OR(ISNUMBER(SEARCH("part",$C119)),UPPER(TRIM($C119))="PT",UPPER(TRIM($C119))="PTE"),$P119=""),"Part-time: enter PT Hrs/Week (blank = 24+). ","")))</f>
        <v/>
      </c>
      <c r="AE119" s="17" t="str">
        <f aca="false">IF(AK119=0,"",O119-MAX(0,BL119-BQ119))</f>
        <v/>
      </c>
      <c r="AF119" s="14" t="str">
        <f aca="false">IF(OR(AK119=0,AE119="",N(AE119)=0,BM119=""),"",EDATE(AL119,BM119))</f>
        <v/>
      </c>
      <c r="AG119" s="17" t="str">
        <f aca="false">IF(AK119=0,"",MIN(BD119,BQ119))</f>
        <v/>
      </c>
      <c r="AH119" s="17" t="str">
        <f aca="false">IF(AK119=0,"",IF(NOT(LH_Ready),"",IF(BG119=0,0,MAX(0,ROUND(N(T119)+N(U119)-N119,2)))))</f>
        <v/>
      </c>
      <c r="AI119" s="12"/>
      <c r="AJ119" s="12"/>
      <c r="AK119" s="16" t="n">
        <f aca="false">IF(OR(LEN($A119&amp;$B119)=0,$F119=""),0,1)</f>
        <v>0</v>
      </c>
      <c r="AL119" s="14" t="str">
        <f aca="false">IF(AK119=0,"",IF(PreSchemeCounts="No",MAX(SchemeStart,IF($J119&lt;&gt;"",$J119,IF(OR(CasualCounts="Yes",COUNT($G119:$I119)=0),$F119,IF(Apply2026="No",IF($I119="",$F119,$I119),IF(COUNT($H119:$I119)=0,$F119,MIN($H119:$I119)))))),IF($J119&lt;&gt;"",$J119,IF(OR(CasualCounts="Yes",COUNT($G119:$I119)=0),$F119,IF(Apply2026="No",IF($I119="",$F119,$I119),IF(COUNT($H119:$I119)=0,$F119,MIN($H119:$I119)))))))</f>
        <v/>
      </c>
      <c r="AM119" s="16" t="str">
        <f aca="false">IF(AK119=0,"",COUNT($G119:$I119))</f>
        <v/>
      </c>
      <c r="AN119" s="14" t="str">
        <f aca="false">IF(AK119=0,"",IFERROR(SMALL($G119:$I119,1),""))</f>
        <v/>
      </c>
      <c r="AO119" s="14" t="str">
        <f aca="false">IF(AK119=0,"",IFERROR(SMALL($G119:$I119,2),""))</f>
        <v/>
      </c>
      <c r="AP119" s="14" t="str">
        <f aca="false">IF(AK119=0,"",IFERROR(SMALL($G119:$I119,3),""))</f>
        <v/>
      </c>
      <c r="AQ119" s="16" t="str">
        <f aca="false">IF(AK119=0,"",IF(AN119="","",IF(AN119=$H119,"Part-Time",IF(AN119=$I119,"Full-Time","Casual"))))</f>
        <v/>
      </c>
      <c r="AR119" s="16" t="str">
        <f aca="false">IF(AK119=0,"",IF(AO119="","",IF(AO119=$H119,"Part-Time",IF(AO119=$I119,"Full-Time","Casual"))))</f>
        <v/>
      </c>
      <c r="AS119" s="16" t="str">
        <f aca="false">IF(AK119=0,"",IF(AP119="","",IF(AP119=$H119,"Part-Time",IF(AP119=$I119,"Full-Time","Casual"))))</f>
        <v/>
      </c>
      <c r="AT119" s="16" t="str">
        <f aca="false">IF(AK119=0,"",IF(AM119=0,IF(OR(ISNUMBER(SEARCH("full",$C119)),UPPER(TRIM($C119))="FT",UPPER(TRIM($C119))="FTE"),"FT",IF(AND(OR(ISNUMBER(SEARCH("part",$C119)),UPPER(TRIM($C119))="PT",UPPER(TRIM($C119))="PTE"),Apply2026="Yes",OR($P119="",N($P119)&gt;=PT_MinHours)),"PT","None")),IF(OR(ISNUMBER(SEARCH("full",AQ119)),UPPER(TRIM(AQ119))="FT",UPPER(TRIM(AQ119))="FTE"),"FT",IF(AND(OR(ISNUMBER(SEARCH("part",AQ119)),UPPER(TRIM(AQ119))="PT",UPPER(TRIM(AQ119))="PTE"),Apply2026="Yes",OR($P119="",N($P119)&gt;=PT_MinHours)),"PT","None"))))</f>
        <v/>
      </c>
      <c r="AU119" s="16" t="str">
        <f aca="false">IF(AK119=0,"",IF(AM119&lt;2,"",IF(OR(ISNUMBER(SEARCH("full",AR119)),UPPER(TRIM(AR119))="FT",UPPER(TRIM(AR119))="FTE"),"FT",IF(AND(OR(ISNUMBER(SEARCH("part",AR119)),UPPER(TRIM(AR119))="PT",UPPER(TRIM(AR119))="PTE"),Apply2026="Yes",OR($P119="",N($P119)&gt;=PT_MinHours)),"PT","None"))))</f>
        <v/>
      </c>
      <c r="AV119" s="16" t="str">
        <f aca="false">IF(AK119=0,"",IF(AM119&lt;3,"",IF(OR(ISNUMBER(SEARCH("full",AS119)),UPPER(TRIM(AS119))="FT",UPPER(TRIM(AS119))="FTE"),"FT",IF(AND(OR(ISNUMBER(SEARCH("part",AS119)),UPPER(TRIM(AS119))="PT",UPPER(TRIM(AS119))="PTE"),Apply2026="Yes",OR($P119="",N($P119)&gt;=PT_MinHours)),"PT","None"))))</f>
        <v/>
      </c>
      <c r="AW119" s="16" t="str">
        <f aca="false">IF(AK119=0,"",IF(AND(AM119&gt;=3,AP119&lt;=AsOfDate),AV119,IF(AND(AM119&gt;=2,AO119&lt;=AsOfDate),AU119,AT119)))</f>
        <v/>
      </c>
      <c r="AX119" s="16" t="str">
        <f aca="false">IF(AK119=0,"",IF(AsOfDate&lt;AL119,-1,12*(YEAR(AsOfDate)-YEAR(AL119))+MONTH(AsOfDate)-MONTH(AL119)-IF(DAY(AsOfDate)&lt;MIN(DAY(AL119),DAY(EOMONTH(AsOfDate,0))),1,0)))</f>
        <v/>
      </c>
      <c r="AY119" s="16" t="str">
        <f aca="false">IF(AK119=0,"",IF(OR(AM119&lt;2,AO119&gt;AsOfDate),AX119,IF((AO119-1)&lt;AL119,-1,12*(YEAR((AO119-1))-YEAR(AL119))+MONTH((AO119-1))-MONTH(AL119)-IF(DAY((AO119-1))&lt;MIN(DAY(AL119),DAY(EOMONTH((AO119-1),0))),1,0))))</f>
        <v/>
      </c>
      <c r="AZ119" s="16" t="str">
        <f aca="false">IF(AK119=0,"",IF(OR(AM119&lt;3,AP119&gt;AsOfDate),AX119,IF((AP119-1)&lt;AL119,-1,12*(YEAR((AP119-1))-YEAR(AL119))+MONTH((AP119-1))-MONTH(AL119)-IF(DAY((AP119-1))&lt;MIN(DAY(AL119),DAY(EOMONTH((AP119-1),0))),1,0))))</f>
        <v/>
      </c>
      <c r="BA119" s="16" t="str">
        <f aca="false">IF(AK119=0,"",IF(PFYDate&lt;AL119,-1,12*(YEAR(PFYDate)-YEAR(AL119))+MONTH(PFYDate)-MONTH(AL119)-IF(DAY(PFYDate)&lt;MIN(DAY(AL119),DAY(EOMONTH(PFYDate,0))),1,0)))</f>
        <v/>
      </c>
      <c r="BB119" s="16" t="str">
        <f aca="false">IF(AK119=0,"",IF(OR(AM119&lt;2,AO119&gt;PFYDate),BA119,IF((AO119-1)&lt;AL119,-1,12*(YEAR((AO119-1))-YEAR(AL119))+MONTH((AO119-1))-MONTH(AL119)-IF(DAY((AO119-1))&lt;MIN(DAY(AL119),DAY(EOMONTH((AO119-1),0))),1,0))))</f>
        <v/>
      </c>
      <c r="BC119" s="16" t="str">
        <f aca="false">IF(AK119=0,"",IF(OR(AM119&lt;3,AP119&gt;PFYDate),BA119,IF((AP119-1)&lt;AL119,-1,12*(YEAR((AP119-1))-YEAR(AL119))+MONTH((AP119-1))-MONTH(AL119)-IF(DAY((AP119-1))&lt;MIN(DAY(AL119),DAY(EOMONTH((AP119-1),0))),1,0))))</f>
        <v/>
      </c>
      <c r="BD119" s="16" t="str">
        <f aca="false">IF(AK119=0,"",IF(AT119="FT",IF(AY119&lt;FT_First,0,IF(AY119&lt;FT_Y5,1+INT((AY119-FT_First)/FT_Int1),FT_PreY5+FT_PerYear*INT((AY119-FT_Y5)/12)+FT_AnnivDays+INT(MOD(AY119-FT_Y5,12)/FT_Int2)-IF(EDATE(AL119,FT_Y5)&lt;PolicyEff,FT_AnnivDays-1,0))),IF(AT119="PT",IF(AY119&lt;PT_First,0,1+INT((AY119-PT_First)/PT_Int)),0))+IF(AND(AM119&gt;=2,AO119&lt;=AsOfDate),IF(AU119="FT",IF(AZ119&lt;FT_First,0,IF(AZ119&lt;FT_Y5,1+INT((AZ119-FT_First)/FT_Int1),FT_PreY5+FT_PerYear*INT((AZ119-FT_Y5)/12)+FT_AnnivDays+INT(MOD(AZ119-FT_Y5,12)/FT_Int2)-IF(EDATE(AL119,FT_Y5)&lt;PolicyEff,FT_AnnivDays-1,0))),IF(AU119="PT",IF(AZ119&lt;PT_First,0,1+INT((AZ119-PT_First)/PT_Int)),0))-IF(AU119="FT",IF(AY119&lt;FT_First,0,IF(AY119&lt;FT_Y5,1+INT((AY119-FT_First)/FT_Int1),FT_PreY5+FT_PerYear*INT((AY119-FT_Y5)/12)+FT_AnnivDays+INT(MOD(AY119-FT_Y5,12)/FT_Int2)-IF(EDATE(AL119,FT_Y5)&lt;PolicyEff,FT_AnnivDays-1,0))),IF(AU119="PT",IF(AY119&lt;PT_First,0,1+INT((AY119-PT_First)/PT_Int)),0)),0)+IF(AND(AM119&gt;=3,AP119&lt;=AsOfDate),IF(AV119="FT",IF(AX119&lt;FT_First,0,IF(AX119&lt;FT_Y5,1+INT((AX119-FT_First)/FT_Int1),FT_PreY5+FT_PerYear*INT((AX119-FT_Y5)/12)+FT_AnnivDays+INT(MOD(AX119-FT_Y5,12)/FT_Int2)-IF(EDATE(AL119,FT_Y5)&lt;PolicyEff,FT_AnnivDays-1,0))),IF(AV119="PT",IF(AX119&lt;PT_First,0,1+INT((AX119-PT_First)/PT_Int)),0))-IF(AV119="FT",IF(AZ119&lt;FT_First,0,IF(AZ119&lt;FT_Y5,1+INT((AZ119-FT_First)/FT_Int1),FT_PreY5+FT_PerYear*INT((AZ119-FT_Y5)/12)+FT_AnnivDays+INT(MOD(AZ119-FT_Y5,12)/FT_Int2)-IF(EDATE(AL119,FT_Y5)&lt;PolicyEff,FT_AnnivDays-1,0))),IF(AV119="PT",IF(AZ119&lt;PT_First,0,1+INT((AZ119-PT_First)/PT_Int)),0)),0))</f>
        <v/>
      </c>
      <c r="BE119" s="16" t="str">
        <f aca="false">IF(AK119=0,"",IF(AT119="FT",IF(BB119&lt;FT_First,0,IF(BB119&lt;FT_Y5,1+INT((BB119-FT_First)/FT_Int1),FT_PreY5+FT_PerYear*INT((BB119-FT_Y5)/12)+FT_AnnivDays+INT(MOD(BB119-FT_Y5,12)/FT_Int2)-IF(EDATE(AL119,FT_Y5)&lt;PolicyEff,FT_AnnivDays-1,0))),IF(AT119="PT",IF(BB119&lt;PT_First,0,1+INT((BB119-PT_First)/PT_Int)),0))+IF(AND(AM119&gt;=2,AO119&lt;=PFYDate),IF(AU119="FT",IF(BC119&lt;FT_First,0,IF(BC119&lt;FT_Y5,1+INT((BC119-FT_First)/FT_Int1),FT_PreY5+FT_PerYear*INT((BC119-FT_Y5)/12)+FT_AnnivDays+INT(MOD(BC119-FT_Y5,12)/FT_Int2)-IF(EDATE(AL119,FT_Y5)&lt;PolicyEff,FT_AnnivDays-1,0))),IF(AU119="PT",IF(BC119&lt;PT_First,0,1+INT((BC119-PT_First)/PT_Int)),0))-IF(AU119="FT",IF(BB119&lt;FT_First,0,IF(BB119&lt;FT_Y5,1+INT((BB119-FT_First)/FT_Int1),FT_PreY5+FT_PerYear*INT((BB119-FT_Y5)/12)+FT_AnnivDays+INT(MOD(BB119-FT_Y5,12)/FT_Int2)-IF(EDATE(AL119,FT_Y5)&lt;PolicyEff,FT_AnnivDays-1,0))),IF(AU119="PT",IF(BB119&lt;PT_First,0,1+INT((BB119-PT_First)/PT_Int)),0)),0)+IF(AND(AM119&gt;=3,AP119&lt;=PFYDate),IF(AV119="FT",IF(BA119&lt;FT_First,0,IF(BA119&lt;FT_Y5,1+INT((BA119-FT_First)/FT_Int1),FT_PreY5+FT_PerYear*INT((BA119-FT_Y5)/12)+FT_AnnivDays+INT(MOD(BA119-FT_Y5,12)/FT_Int2)-IF(EDATE(AL119,FT_Y5)&lt;PolicyEff,FT_AnnivDays-1,0))),IF(AV119="PT",IF(BA119&lt;PT_First,0,1+INT((BA119-PT_First)/PT_Int)),0))-IF(AV119="FT",IF(BC119&lt;FT_First,0,IF(BC119&lt;FT_Y5,1+INT((BC119-FT_First)/FT_Int1),FT_PreY5+FT_PerYear*INT((BC119-FT_Y5)/12)+FT_AnnivDays+INT(MOD(BC119-FT_Y5,12)/FT_Int2)-IF(EDATE(AL119,FT_Y5)&lt;PolicyEff,FT_AnnivDays-1,0))),IF(AV119="PT",IF(BC119&lt;PT_First,0,1+INT((BC119-PT_First)/PT_Int)),0)),0))</f>
        <v/>
      </c>
      <c r="BF119" s="16" t="str">
        <f aca="false">IF(AK119=0,"",IF(AW119="FT",IF(AX119&lt;FT_First,FT_First,IF(AX119&lt;FT_Y5,MIN(FT_Y5,FT_First+FT_Int1*(INT((AX119-FT_First)/FT_Int1)+1)),FT_Y5+12*INT((AX119-FT_Y5)/12)+FT_Int2*(INT(MOD(AX119-FT_Y5,12)/FT_Int2)+1))),IF(AW119="PT",IF(AX119&lt;PT_First,PT_First,PT_First+PT_Int*(INT((AX119-PT_First)/PT_Int)+1)),"")))</f>
        <v/>
      </c>
      <c r="BG119" s="16" t="str">
        <f aca="false">IF(AK119=0,"",IF(NOT(LH_Ready),0,COUNTIFS(INDEX(LH_Data,0,LH_ColFirst),$A119,INDEX(LH_Data,0,LH_ColSur),$B119,INDEX(LH_Data,0,LH_ColCat),BonusCat)))</f>
        <v/>
      </c>
      <c r="BH119" s="16" t="str">
        <f aca="false">IF(AK119=0,"",IF(OR(NOT(LH_Ready),BG119=0),0,SUMPRODUCT(MAX((INDEX(LH_Data,0,LH_ColFirst)=$A119)*(INDEX(LH_Data,0,LH_ColSur)=$B119)*(INDEX(LH_Data,0,LH_ColCat)=BonusCat)*ROW(LH_Data)))))</f>
        <v/>
      </c>
      <c r="BI119" s="16" t="str">
        <f aca="false">IF(AK119=0,"",IF(EOMONTH(AsOfDate,-1)&lt;AL119,-1,12*(YEAR(EOMONTH(AsOfDate,-1))-YEAR(AL119))+MONTH(EOMONTH(AsOfDate,-1))-MONTH(AL119)-IF(DAY(EOMONTH(AsOfDate,-1))&lt;MIN(DAY(AL119),DAY(EOMONTH(EOMONTH(AsOfDate,-1),0))),1,0)))</f>
        <v/>
      </c>
      <c r="BJ119" s="16" t="str">
        <f aca="false">IF(AK119=0,"",IF(OR(AM119&lt;2,AO119&gt;EOMONTH(AsOfDate,-1)),BI119,IF((AO119-1)&lt;AL119,-1,12*(YEAR((AO119-1))-YEAR(AL119))+MONTH((AO119-1))-MONTH(AL119)-IF(DAY((AO119-1))&lt;MIN(DAY(AL119),DAY(EOMONTH((AO119-1),0))),1,0))))</f>
        <v/>
      </c>
      <c r="BK119" s="16" t="str">
        <f aca="false">IF(AK119=0,"",IF(OR(AM119&lt;3,AP119&gt;EOMONTH(AsOfDate,-1)),BI119,IF((AP119-1)&lt;AL119,-1,12*(YEAR((AP119-1))-YEAR(AL119))+MONTH((AP119-1))-MONTH(AL119)-IF(DAY((AP119-1))&lt;MIN(DAY(AL119),DAY(EOMONTH((AP119-1),0))),1,0))))</f>
        <v/>
      </c>
      <c r="BL119" s="16" t="str">
        <f aca="false">IF(AK119=0,"",IF(AT119="FT",IF(BJ119&lt;FT_First,0,IF(BJ119&lt;FT_Y5,1+INT((BJ119-FT_First)/FT_Int1),FT_PreY5+FT_PerYear*INT((BJ119-FT_Y5)/12)+FT_AnnivDays+INT(MOD(BJ119-FT_Y5,12)/FT_Int2)-IF(EDATE(AL119,FT_Y5)&lt;PolicyEff,FT_AnnivDays-1,0))),IF(AT119="PT",IF(BJ119&lt;PT_First,0,1+INT((BJ119-PT_First)/PT_Int)),0))+IF(AND(AM119&gt;=2,AO119&lt;=EOMONTH(AsOfDate,-1)),IF(AU119="FT",IF(BK119&lt;FT_First,0,IF(BK119&lt;FT_Y5,1+INT((BK119-FT_First)/FT_Int1),FT_PreY5+FT_PerYear*INT((BK119-FT_Y5)/12)+FT_AnnivDays+INT(MOD(BK119-FT_Y5,12)/FT_Int2)-IF(EDATE(AL119,FT_Y5)&lt;PolicyEff,FT_AnnivDays-1,0))),IF(AU119="PT",IF(BK119&lt;PT_First,0,1+INT((BK119-PT_First)/PT_Int)),0))-IF(AU119="FT",IF(BJ119&lt;FT_First,0,IF(BJ119&lt;FT_Y5,1+INT((BJ119-FT_First)/FT_Int1),FT_PreY5+FT_PerYear*INT((BJ119-FT_Y5)/12)+FT_AnnivDays+INT(MOD(BJ119-FT_Y5,12)/FT_Int2)-IF(EDATE(AL119,FT_Y5)&lt;PolicyEff,FT_AnnivDays-1,0))),IF(AU119="PT",IF(BJ119&lt;PT_First,0,1+INT((BJ119-PT_First)/PT_Int)),0)),0)+IF(AND(AM119&gt;=3,AP119&lt;=EOMONTH(AsOfDate,-1)),IF(AV119="FT",IF(BI119&lt;FT_First,0,IF(BI119&lt;FT_Y5,1+INT((BI119-FT_First)/FT_Int1),FT_PreY5+FT_PerYear*INT((BI119-FT_Y5)/12)+FT_AnnivDays+INT(MOD(BI119-FT_Y5,12)/FT_Int2)-IF(EDATE(AL119,FT_Y5)&lt;PolicyEff,FT_AnnivDays-1,0))),IF(AV119="PT",IF(BI119&lt;PT_First,0,1+INT((BI119-PT_First)/PT_Int)),0))-IF(AV119="FT",IF(BK119&lt;FT_First,0,IF(BK119&lt;FT_Y5,1+INT((BK119-FT_First)/FT_Int1),FT_PreY5+FT_PerYear*INT((BK119-FT_Y5)/12)+FT_AnnivDays+INT(MOD(BK119-FT_Y5,12)/FT_Int2)-IF(EDATE(AL119,FT_Y5)&lt;PolicyEff,FT_AnnivDays-1,0))),IF(AV119="PT",IF(BK119&lt;PT_First,0,1+INT((BK119-PT_First)/PT_Int)),0)),0))</f>
        <v/>
      </c>
      <c r="BM119" s="16" t="str">
        <f aca="false">IF(AK119=0,"",IF(AW119="FT",IF(AX119&lt;FT_First,"",IF(AX119&lt;FT_Y5,FT_First+FT_Int1*INT((AX119-FT_First)/FT_Int1),FT_Y5+FT_Int2*INT((AX119-FT_Y5)/FT_Int2))),IF(AW119="PT",IF(AX119&lt;PT_First,"",PT_First+PT_Int*INT((AX119-PT_First)/PT_Int)),"")))</f>
        <v/>
      </c>
      <c r="BN119" s="16" t="str">
        <f aca="false">IF(AK119=0,"",IF((SchemeStart-1)&lt;AL119,-1,12*(YEAR((SchemeStart-1))-YEAR(AL119))+MONTH((SchemeStart-1))-MONTH(AL119)-IF(DAY((SchemeStart-1))&lt;MIN(DAY(AL119),DAY(EOMONTH((SchemeStart-1),0))),1,0)))</f>
        <v/>
      </c>
      <c r="BO119" s="16" t="str">
        <f aca="false">IF(AK119=0,"",IF(OR(AM119&lt;2,AO119&gt;(SchemeStart-1)),BN119,IF((AO119-1)&lt;AL119,-1,12*(YEAR((AO119-1))-YEAR(AL119))+MONTH((AO119-1))-MONTH(AL119)-IF(DAY((AO119-1))&lt;MIN(DAY(AL119),DAY(EOMONTH((AO119-1),0))),1,0))))</f>
        <v/>
      </c>
      <c r="BP119" s="16" t="str">
        <f aca="false">IF(AK119=0,"",IF(OR(AM119&lt;3,AP119&gt;(SchemeStart-1)),BN119,IF((AP119-1)&lt;AL119,-1,12*(YEAR((AP119-1))-YEAR(AL119))+MONTH((AP119-1))-MONTH(AL119)-IF(DAY((AP119-1))&lt;MIN(DAY(AL119),DAY(EOMONTH((AP119-1),0))),1,0))))</f>
        <v/>
      </c>
      <c r="BQ119" s="16" t="str">
        <f aca="false">IF(AK119=0,"",IF(AT119="FT",IF(BO119&lt;FT_First,0,IF(BO119&lt;FT_Y5,1+INT((BO119-FT_First)/FT_Int1),FT_PreY5+FT_PerYear*INT((BO119-FT_Y5)/12)+FT_AnnivDays+INT(MOD(BO119-FT_Y5,12)/FT_Int2)-IF(EDATE(AL119,FT_Y5)&lt;PolicyEff,FT_AnnivDays-1,0))),IF(AT119="PT",IF(BO119&lt;PT_First,0,1+INT((BO119-PT_First)/PT_Int)),0))+IF(AND(AM119&gt;=2,AO119&lt;=(SchemeStart-1)),IF(AU119="FT",IF(BP119&lt;FT_First,0,IF(BP119&lt;FT_Y5,1+INT((BP119-FT_First)/FT_Int1),FT_PreY5+FT_PerYear*INT((BP119-FT_Y5)/12)+FT_AnnivDays+INT(MOD(BP119-FT_Y5,12)/FT_Int2)-IF(EDATE(AL119,FT_Y5)&lt;PolicyEff,FT_AnnivDays-1,0))),IF(AU119="PT",IF(BP119&lt;PT_First,0,1+INT((BP119-PT_First)/PT_Int)),0))-IF(AU119="FT",IF(BO119&lt;FT_First,0,IF(BO119&lt;FT_Y5,1+INT((BO119-FT_First)/FT_Int1),FT_PreY5+FT_PerYear*INT((BO119-FT_Y5)/12)+FT_AnnivDays+INT(MOD(BO119-FT_Y5,12)/FT_Int2)-IF(EDATE(AL119,FT_Y5)&lt;PolicyEff,FT_AnnivDays-1,0))),IF(AU119="PT",IF(BO119&lt;PT_First,0,1+INT((BO119-PT_First)/PT_Int)),0)),0)+IF(AND(AM119&gt;=3,AP119&lt;=(SchemeStart-1)),IF(AV119="FT",IF(BN119&lt;FT_First,0,IF(BN119&lt;FT_Y5,1+INT((BN119-FT_First)/FT_Int1),FT_PreY5+FT_PerYear*INT((BN119-FT_Y5)/12)+FT_AnnivDays+INT(MOD(BN119-FT_Y5,12)/FT_Int2)-IF(EDATE(AL119,FT_Y5)&lt;PolicyEff,FT_AnnivDays-1,0))),IF(AV119="PT",IF(BN119&lt;PT_First,0,1+INT((BN119-PT_First)/PT_Int)),0))-IF(AV119="FT",IF(BP119&lt;FT_First,0,IF(BP119&lt;FT_Y5,1+INT((BP119-FT_First)/FT_Int1),FT_PreY5+FT_PerYear*INT((BP119-FT_Y5)/12)+FT_AnnivDays+INT(MOD(BP119-FT_Y5,12)/FT_Int2)-IF(EDATE(AL119,FT_Y5)&lt;PolicyEff,FT_AnnivDays-1,0))),IF(AV119="PT",IF(BP119&lt;PT_First,0,1+INT((BP119-PT_First)/PT_Int)),0)),0))</f>
        <v/>
      </c>
      <c r="BR119" s="0" t="str">
        <f aca="false">IF(LEN($A119&amp;$B119)=0,"",$A119&amp;" "&amp;$B119)</f>
        <v/>
      </c>
    </row>
    <row r="120" customFormat="false" ht="15" hidden="false" customHeight="false" outlineLevel="0" collapsed="false">
      <c r="A120" s="12"/>
      <c r="B120" s="12"/>
      <c r="C120" s="12"/>
      <c r="D120" s="13"/>
      <c r="E120" s="14" t="str">
        <f aca="false">IF(OR(AK120=0,$D120=""),"",DATE(YEAR(AsOfDate)+IF(DATE(YEAR(AsOfDate),MONTH($D120),DAY($D120))&lt;=AsOfDate,1,0),MONTH($D120),DAY($D120)))</f>
        <v/>
      </c>
      <c r="F120" s="13"/>
      <c r="G120" s="13"/>
      <c r="H120" s="13"/>
      <c r="I120" s="13"/>
      <c r="J120" s="13"/>
      <c r="K120" s="14" t="str">
        <f aca="false">IF(AK120=0,"",DATE(YEAR(AsOfDate)+IF(DATE(YEAR(AsOfDate),MONTH(AL120),DAY(AL120))&lt;=AsOfDate,1,0),MONTH(AL120),DAY(AL120)))</f>
        <v/>
      </c>
      <c r="L120" s="15" t="str">
        <f aca="false">IF(AK120=0,"",ROUND((AsOfDate-AL120)/365.25,1))</f>
        <v/>
      </c>
      <c r="M120" s="16" t="str">
        <f aca="false">IF(AK120=0,"",IF(AsOfDate&lt;AL120,"-",DATEDIF(AL120,AsOfDate,"y")&amp;"y "&amp;DATEDIF(AL120,AsOfDate,"ym")&amp;"m "&amp;DATEDIF(AL120,AsOfDate,"md")&amp;"d"))</f>
        <v/>
      </c>
      <c r="N120" s="17" t="str">
        <f aca="false">IF(AK120=0,"",O120*HoursPerDay)</f>
        <v/>
      </c>
      <c r="O120" s="17" t="str">
        <f aca="false">IF(AK120=0,"",MAX(0,BD120-BQ120))</f>
        <v/>
      </c>
      <c r="P120" s="18"/>
      <c r="Q120" s="16" t="str">
        <f aca="false">IF(AK120=0,"",IF(AM120&lt;2,"",AQ120&amp;" to "&amp;AR120&amp;" on "&amp;TEXT(AO120,"dd/mm/yyyy")&amp;IF(AO120&gt;AsOfDate," (future)",IF(AT120=AU120,"",IF(AU120="None"," - STOPPED accruing",IF(AT120="None"," - commencement for Bonus Leave"," - pathway changed"))))&amp;IF(AM120&lt;3,"","; "&amp;AR120&amp;" to "&amp;AS120&amp;" on "&amp;TEXT(AP120,"dd/mm/yyyy")&amp;IF(AP120&gt;AsOfDate," (future)",IF(AU120=AV120,"",IF(AV120="None"," - STOPPED accruing",IF(AU120="None"," - commencement for Bonus Leave"," - pathway changed")))))))</f>
        <v/>
      </c>
      <c r="R120" s="16" t="str">
        <f aca="false">IF(AK120=0,"",IF(AW120="None",IF(O120&gt;0,"No longer accruing","Not eligible - "&amp;IF(AND(OR(ISNUMBER(SEARCH("part",$C120)),UPPER(TRIM($C120))="PT",UPPER(TRIM($C120))="PTE"),Apply2026="No"),"part-time (scheme is full-time only)",IF(AND(OR(ISNUMBER(SEARCH("part",$C120)),UPPER(TRIM($C120))="PT",UPPER(TRIM($C120))="PTE"),$P120&lt;&gt;"",N($P120)&lt;PT_MinHours),"under "&amp;PT_MinHours&amp;" hrs",IF(IF($C120="","",IF(OR(ISNUMBER(SEARCH("full",$C120)),UPPER(TRIM($C120))="FT",UPPER(TRIM($C120))="FTE"),"Full-Time",IF(OR(ISNUMBER(SEARCH("part",$C120)),UPPER(TRIM($C120))="PT",UPPER(TRIM($C120))="PTE"),"Part-Time",IF(OR(ISNUMBER(SEARCH("cas",$C120)),UPPER(TRIM($C120))="CAS"),"Casual","Unknown"))))="Unknown","type not recognised",$C120)))),IF(O120&gt;0,"Yes - Accrual Required","Not yet - from "&amp;TEXT(S120,"dd/mm/yyyy"))))</f>
        <v/>
      </c>
      <c r="S120" s="14" t="str">
        <f aca="false">IF(AK120=0,"",IF(AW120="None","",EDATE(AL120,BF120)))</f>
        <v/>
      </c>
      <c r="T120" s="17" t="str">
        <f aca="false">IF(AK120=0,"",IF(NOT(LH_Ready),"",IF($F120&gt;PFYDate,0,IF(LH_ColPeriod=0,W120-U120+V120,SUMIFS(INDEX(LH_Data,0,LH_ColAcc),INDEX(LH_Data,0,LH_ColFirst),$A120,INDEX(LH_Data,0,LH_ColSur),$B120,INDEX(LH_Data,0,LH_ColCat),BonusCat,INDEX(LH_Data,0,LH_ColPeriod),LH_OpenLabel)*UnitFactor))))</f>
        <v/>
      </c>
      <c r="U120" s="17" t="str">
        <f aca="false">IF(AK120=0,"",IF(NOT(LH_Ready),"",SUMIFS(INDEX(LH_Data,0,LH_ColAcc),INDEX(LH_Data,0,LH_ColFirst),$A120,INDEX(LH_Data,0,LH_ColSur),$B120,INDEX(LH_Data,0,LH_ColCat),BonusCat,INDEX(LH_Data,0,LH_ColStart),"&gt;="&amp;AL120)*UnitFactor))</f>
        <v/>
      </c>
      <c r="V120" s="17" t="str">
        <f aca="false">IF(AK120=0,"",IF(NOT(LH_Ready),"",SUMIFS(INDEX(LH_Data,0,LH_ColTaken),INDEX(LH_Data,0,LH_ColFirst),$A120,INDEX(LH_Data,0,LH_ColSur),$B120,INDEX(LH_Data,0,LH_ColCat),BonusCat,INDEX(LH_Data,0,LH_ColStart),"&gt;="&amp;AL120)*UnitFactor))</f>
        <v/>
      </c>
      <c r="W120" s="17" t="str">
        <f aca="false">IF(AK120=0,"",IF(NOT(LH_Ready),"",IF(BH120=0,0,INDEX(INDEX(LH_Data,0,LH_ColClose),BH120-1)*UnitFactor)))</f>
        <v/>
      </c>
      <c r="X120" s="17" t="str">
        <f aca="false">IF(AK120=0,"",(MAX(0,BD120-BQ120)-MAX(0,BE120-BQ120))*HoursPerDay)</f>
        <v/>
      </c>
      <c r="Y120" s="17" t="str">
        <f aca="false">IF(AK120=0,"",IF(NOT(LH_Ready),"",IF($AI120="Yes",N(AE120)*HoursPerDay-SUMIFS(INDEX(LH_Data,0,LH_ColAcc),INDEX(LH_Data,0,LH_ColFirst),$A120,INDEX(LH_Data,0,LH_ColSur),$B120,INDEX(LH_Data,0,LH_ColCat),BonusCat,INDEX(LH_Data,0,LH_ColStart),"&gt;="&amp;(EOMONTH(AsOfDate,-1)+1),INDEX(LH_Data,0,LH_ColStart),"&lt;="&amp;AsOfDate)*UnitFactor,IF(BG120=0,N120,N120-N(T120)-N(U120)))))</f>
        <v/>
      </c>
      <c r="Z120" s="16" t="str">
        <f aca="false">IF(OR(AK120=0,Y120=""),"",IF(Y120&gt;0,"Yes","No"))</f>
        <v/>
      </c>
      <c r="AA120" s="16" t="str">
        <f aca="false">IF(AK120=0,IF(LEN($A120&amp;$B120)=0,"","FIX INPUT - StartDate missing"),IF(AD120&lt;&gt;"","FIX INPUT - "&amp;AD120,IF(NOT(LH_Ready),"Paste Leave History export (Settings must show YES)",IF(AND($AI120="Yes",Y120&lt;=0),"OK - EH balance accepted to date"&amp;IF(N(AH120)&gt;0," (EH holds "&amp;AH120&amp;" hrs over the scheme)","")&amp;"; next day "&amp;TEXT(S120,"dd mmm yy")&amp;IF(N(AE120)&gt;0," ("&amp;AE120&amp;" day(s) for "&amp;UPPER(TEXT(AsOfDate,"mmm yyyy"))&amp;" already in EH)",""),IF(Y120&gt;0,"ACCRUE "&amp;ROUND(Y120,2)&amp;" hrs ("&amp;ROUND(Y120/HoursPerDay,2)&amp;" days): "&amp;IF(N(AE120)&gt;0,AE120&amp;" day(s) for "&amp;UPPER(TEXT(AsOfDate,"mmm yyyy"))&amp;" (milestone "&amp;UPPER(TEXT(AF120,"dd mmm yy"))&amp;")"&amp;IF(Y120/HoursPerDay&gt;AE120+0.001," + "&amp;ROUND(Y120/HoursPerDay-AE120,2)&amp;" day(s) catch-up from earlier months",""),"all catch-up from earlier months, nothing new this month")&amp;IF(BG120=0,"; no Bonus Leave in EH yet",""),IF(Y120&lt;0,"CHECK - EH accrued "&amp;ROUND(-Y120,2)&amp;" hrs more than policy since commencement",IF(N(W120)&gt;O120*HoursPerDay+0.01,"CHECK - EH balance "&amp;ROUND(W120-O120*HoursPerDay,2)&amp;" hrs more than policy entitlement",IF(O120&gt;0,"OK - nothing to add"&amp;IF(N(AE120)&gt;0," ("&amp;AE120&amp;" day(s) for "&amp;UPPER(TEXT(AsOfDate,"mmm yyyy"))&amp;" already in EH)",""),IF(AW120="None",R120,"Not yet - first day on "&amp;TEXT(S120,"dd/mm/yyyy"))))))))))</f>
        <v/>
      </c>
      <c r="AB120" s="17" t="str">
        <f aca="false">IF(OR(AK120=0,T120=""),"",MAX(0,BE120-BQ120)*HoursPerDay-T120)</f>
        <v/>
      </c>
      <c r="AC120" s="16" t="str">
        <f aca="false">IF(AK120=0,"",BG120)</f>
        <v/>
      </c>
      <c r="AD120" s="16" t="str">
        <f aca="false">IF(AK120=0,"",TRIM(IF(OR(ISTEXT($F120),ISTEXT($H120),ISTEXT($I120),ISTEXT($G120),ISTEXT($J120),ISTEXT($D120)),"A date is typed as text - retype it as dd/mm/yyyy. ","")&amp;IF(IF($C120="","",IF(OR(ISNUMBER(SEARCH("full",$C120)),UPPER(TRIM($C120))="FT",UPPER(TRIM($C120))="FTE"),"Full-Time",IF(OR(ISNUMBER(SEARCH("part",$C120)),UPPER(TRIM($C120))="PT",UPPER(TRIM($C120))="PTE"),"Part-Time",IF(OR(ISNUMBER(SEARCH("cas",$C120)),UPPER(TRIM($C120))="CAS"),"Casual","Unknown"))))="Unknown","EmploymentType not recognised - use Full-Time, Part-Time or Casual. ","")&amp;IF(AND(AM120&gt;=1,IF(AM120&gt;=3,AS120,IF(AM120=2,AR120,AQ120))&lt;&gt;IF($C120="","",IF(OR(ISNUMBER(SEARCH("full",$C120)),UPPER(TRIM($C120))="FT",UPPER(TRIM($C120))="FTE"),"Full-Time",IF(OR(ISNUMBER(SEARCH("part",$C120)),UPPER(TRIM($C120))="PT",UPPER(TRIM($C120))="PTE"),"Part-Time",IF(OR(ISNUMBER(SEARCH("cas",$C120)),UPPER(TRIM($C120))="CAS"),"Casual","Unknown"))))),"EmploymentType does not match latest start date ("&amp;IF(AM120&gt;=3,AS120,IF(AM120=2,AR120,AQ120))&amp;"). ","")&amp;IF(AND(AM120&gt;=1,AN120&lt;&gt;$F120),"Earliest type date should equal StartDate. ","")&amp;IF(AND(AM120&gt;=2,AN120=AO120),"Two types start on the same date. ","")&amp;IF(AND(OR(ISNUMBER(SEARCH("part",$C120)),UPPER(TRIM($C120))="PT",UPPER(TRIM($C120))="PTE"),$P120=""),"Part-time: enter PT Hrs/Week (blank = 24+). ","")))</f>
        <v/>
      </c>
      <c r="AE120" s="17" t="str">
        <f aca="false">IF(AK120=0,"",O120-MAX(0,BL120-BQ120))</f>
        <v/>
      </c>
      <c r="AF120" s="14" t="str">
        <f aca="false">IF(OR(AK120=0,AE120="",N(AE120)=0,BM120=""),"",EDATE(AL120,BM120))</f>
        <v/>
      </c>
      <c r="AG120" s="17" t="str">
        <f aca="false">IF(AK120=0,"",MIN(BD120,BQ120))</f>
        <v/>
      </c>
      <c r="AH120" s="17" t="str">
        <f aca="false">IF(AK120=0,"",IF(NOT(LH_Ready),"",IF(BG120=0,0,MAX(0,ROUND(N(T120)+N(U120)-N120,2)))))</f>
        <v/>
      </c>
      <c r="AI120" s="12"/>
      <c r="AJ120" s="12"/>
      <c r="AK120" s="16" t="n">
        <f aca="false">IF(OR(LEN($A120&amp;$B120)=0,$F120=""),0,1)</f>
        <v>0</v>
      </c>
      <c r="AL120" s="14" t="str">
        <f aca="false">IF(AK120=0,"",IF(PreSchemeCounts="No",MAX(SchemeStart,IF($J120&lt;&gt;"",$J120,IF(OR(CasualCounts="Yes",COUNT($G120:$I120)=0),$F120,IF(Apply2026="No",IF($I120="",$F120,$I120),IF(COUNT($H120:$I120)=0,$F120,MIN($H120:$I120)))))),IF($J120&lt;&gt;"",$J120,IF(OR(CasualCounts="Yes",COUNT($G120:$I120)=0),$F120,IF(Apply2026="No",IF($I120="",$F120,$I120),IF(COUNT($H120:$I120)=0,$F120,MIN($H120:$I120)))))))</f>
        <v/>
      </c>
      <c r="AM120" s="16" t="str">
        <f aca="false">IF(AK120=0,"",COUNT($G120:$I120))</f>
        <v/>
      </c>
      <c r="AN120" s="14" t="str">
        <f aca="false">IF(AK120=0,"",IFERROR(SMALL($G120:$I120,1),""))</f>
        <v/>
      </c>
      <c r="AO120" s="14" t="str">
        <f aca="false">IF(AK120=0,"",IFERROR(SMALL($G120:$I120,2),""))</f>
        <v/>
      </c>
      <c r="AP120" s="14" t="str">
        <f aca="false">IF(AK120=0,"",IFERROR(SMALL($G120:$I120,3),""))</f>
        <v/>
      </c>
      <c r="AQ120" s="16" t="str">
        <f aca="false">IF(AK120=0,"",IF(AN120="","",IF(AN120=$H120,"Part-Time",IF(AN120=$I120,"Full-Time","Casual"))))</f>
        <v/>
      </c>
      <c r="AR120" s="16" t="str">
        <f aca="false">IF(AK120=0,"",IF(AO120="","",IF(AO120=$H120,"Part-Time",IF(AO120=$I120,"Full-Time","Casual"))))</f>
        <v/>
      </c>
      <c r="AS120" s="16" t="str">
        <f aca="false">IF(AK120=0,"",IF(AP120="","",IF(AP120=$H120,"Part-Time",IF(AP120=$I120,"Full-Time","Casual"))))</f>
        <v/>
      </c>
      <c r="AT120" s="16" t="str">
        <f aca="false">IF(AK120=0,"",IF(AM120=0,IF(OR(ISNUMBER(SEARCH("full",$C120)),UPPER(TRIM($C120))="FT",UPPER(TRIM($C120))="FTE"),"FT",IF(AND(OR(ISNUMBER(SEARCH("part",$C120)),UPPER(TRIM($C120))="PT",UPPER(TRIM($C120))="PTE"),Apply2026="Yes",OR($P120="",N($P120)&gt;=PT_MinHours)),"PT","None")),IF(OR(ISNUMBER(SEARCH("full",AQ120)),UPPER(TRIM(AQ120))="FT",UPPER(TRIM(AQ120))="FTE"),"FT",IF(AND(OR(ISNUMBER(SEARCH("part",AQ120)),UPPER(TRIM(AQ120))="PT",UPPER(TRIM(AQ120))="PTE"),Apply2026="Yes",OR($P120="",N($P120)&gt;=PT_MinHours)),"PT","None"))))</f>
        <v/>
      </c>
      <c r="AU120" s="16" t="str">
        <f aca="false">IF(AK120=0,"",IF(AM120&lt;2,"",IF(OR(ISNUMBER(SEARCH("full",AR120)),UPPER(TRIM(AR120))="FT",UPPER(TRIM(AR120))="FTE"),"FT",IF(AND(OR(ISNUMBER(SEARCH("part",AR120)),UPPER(TRIM(AR120))="PT",UPPER(TRIM(AR120))="PTE"),Apply2026="Yes",OR($P120="",N($P120)&gt;=PT_MinHours)),"PT","None"))))</f>
        <v/>
      </c>
      <c r="AV120" s="16" t="str">
        <f aca="false">IF(AK120=0,"",IF(AM120&lt;3,"",IF(OR(ISNUMBER(SEARCH("full",AS120)),UPPER(TRIM(AS120))="FT",UPPER(TRIM(AS120))="FTE"),"FT",IF(AND(OR(ISNUMBER(SEARCH("part",AS120)),UPPER(TRIM(AS120))="PT",UPPER(TRIM(AS120))="PTE"),Apply2026="Yes",OR($P120="",N($P120)&gt;=PT_MinHours)),"PT","None"))))</f>
        <v/>
      </c>
      <c r="AW120" s="16" t="str">
        <f aca="false">IF(AK120=0,"",IF(AND(AM120&gt;=3,AP120&lt;=AsOfDate),AV120,IF(AND(AM120&gt;=2,AO120&lt;=AsOfDate),AU120,AT120)))</f>
        <v/>
      </c>
      <c r="AX120" s="16" t="str">
        <f aca="false">IF(AK120=0,"",IF(AsOfDate&lt;AL120,-1,12*(YEAR(AsOfDate)-YEAR(AL120))+MONTH(AsOfDate)-MONTH(AL120)-IF(DAY(AsOfDate)&lt;MIN(DAY(AL120),DAY(EOMONTH(AsOfDate,0))),1,0)))</f>
        <v/>
      </c>
      <c r="AY120" s="16" t="str">
        <f aca="false">IF(AK120=0,"",IF(OR(AM120&lt;2,AO120&gt;AsOfDate),AX120,IF((AO120-1)&lt;AL120,-1,12*(YEAR((AO120-1))-YEAR(AL120))+MONTH((AO120-1))-MONTH(AL120)-IF(DAY((AO120-1))&lt;MIN(DAY(AL120),DAY(EOMONTH((AO120-1),0))),1,0))))</f>
        <v/>
      </c>
      <c r="AZ120" s="16" t="str">
        <f aca="false">IF(AK120=0,"",IF(OR(AM120&lt;3,AP120&gt;AsOfDate),AX120,IF((AP120-1)&lt;AL120,-1,12*(YEAR((AP120-1))-YEAR(AL120))+MONTH((AP120-1))-MONTH(AL120)-IF(DAY((AP120-1))&lt;MIN(DAY(AL120),DAY(EOMONTH((AP120-1),0))),1,0))))</f>
        <v/>
      </c>
      <c r="BA120" s="16" t="str">
        <f aca="false">IF(AK120=0,"",IF(PFYDate&lt;AL120,-1,12*(YEAR(PFYDate)-YEAR(AL120))+MONTH(PFYDate)-MONTH(AL120)-IF(DAY(PFYDate)&lt;MIN(DAY(AL120),DAY(EOMONTH(PFYDate,0))),1,0)))</f>
        <v/>
      </c>
      <c r="BB120" s="16" t="str">
        <f aca="false">IF(AK120=0,"",IF(OR(AM120&lt;2,AO120&gt;PFYDate),BA120,IF((AO120-1)&lt;AL120,-1,12*(YEAR((AO120-1))-YEAR(AL120))+MONTH((AO120-1))-MONTH(AL120)-IF(DAY((AO120-1))&lt;MIN(DAY(AL120),DAY(EOMONTH((AO120-1),0))),1,0))))</f>
        <v/>
      </c>
      <c r="BC120" s="16" t="str">
        <f aca="false">IF(AK120=0,"",IF(OR(AM120&lt;3,AP120&gt;PFYDate),BA120,IF((AP120-1)&lt;AL120,-1,12*(YEAR((AP120-1))-YEAR(AL120))+MONTH((AP120-1))-MONTH(AL120)-IF(DAY((AP120-1))&lt;MIN(DAY(AL120),DAY(EOMONTH((AP120-1),0))),1,0))))</f>
        <v/>
      </c>
      <c r="BD120" s="16" t="str">
        <f aca="false">IF(AK120=0,"",IF(AT120="FT",IF(AY120&lt;FT_First,0,IF(AY120&lt;FT_Y5,1+INT((AY120-FT_First)/FT_Int1),FT_PreY5+FT_PerYear*INT((AY120-FT_Y5)/12)+FT_AnnivDays+INT(MOD(AY120-FT_Y5,12)/FT_Int2)-IF(EDATE(AL120,FT_Y5)&lt;PolicyEff,FT_AnnivDays-1,0))),IF(AT120="PT",IF(AY120&lt;PT_First,0,1+INT((AY120-PT_First)/PT_Int)),0))+IF(AND(AM120&gt;=2,AO120&lt;=AsOfDate),IF(AU120="FT",IF(AZ120&lt;FT_First,0,IF(AZ120&lt;FT_Y5,1+INT((AZ120-FT_First)/FT_Int1),FT_PreY5+FT_PerYear*INT((AZ120-FT_Y5)/12)+FT_AnnivDays+INT(MOD(AZ120-FT_Y5,12)/FT_Int2)-IF(EDATE(AL120,FT_Y5)&lt;PolicyEff,FT_AnnivDays-1,0))),IF(AU120="PT",IF(AZ120&lt;PT_First,0,1+INT((AZ120-PT_First)/PT_Int)),0))-IF(AU120="FT",IF(AY120&lt;FT_First,0,IF(AY120&lt;FT_Y5,1+INT((AY120-FT_First)/FT_Int1),FT_PreY5+FT_PerYear*INT((AY120-FT_Y5)/12)+FT_AnnivDays+INT(MOD(AY120-FT_Y5,12)/FT_Int2)-IF(EDATE(AL120,FT_Y5)&lt;PolicyEff,FT_AnnivDays-1,0))),IF(AU120="PT",IF(AY120&lt;PT_First,0,1+INT((AY120-PT_First)/PT_Int)),0)),0)+IF(AND(AM120&gt;=3,AP120&lt;=AsOfDate),IF(AV120="FT",IF(AX120&lt;FT_First,0,IF(AX120&lt;FT_Y5,1+INT((AX120-FT_First)/FT_Int1),FT_PreY5+FT_PerYear*INT((AX120-FT_Y5)/12)+FT_AnnivDays+INT(MOD(AX120-FT_Y5,12)/FT_Int2)-IF(EDATE(AL120,FT_Y5)&lt;PolicyEff,FT_AnnivDays-1,0))),IF(AV120="PT",IF(AX120&lt;PT_First,0,1+INT((AX120-PT_First)/PT_Int)),0))-IF(AV120="FT",IF(AZ120&lt;FT_First,0,IF(AZ120&lt;FT_Y5,1+INT((AZ120-FT_First)/FT_Int1),FT_PreY5+FT_PerYear*INT((AZ120-FT_Y5)/12)+FT_AnnivDays+INT(MOD(AZ120-FT_Y5,12)/FT_Int2)-IF(EDATE(AL120,FT_Y5)&lt;PolicyEff,FT_AnnivDays-1,0))),IF(AV120="PT",IF(AZ120&lt;PT_First,0,1+INT((AZ120-PT_First)/PT_Int)),0)),0))</f>
        <v/>
      </c>
      <c r="BE120" s="16" t="str">
        <f aca="false">IF(AK120=0,"",IF(AT120="FT",IF(BB120&lt;FT_First,0,IF(BB120&lt;FT_Y5,1+INT((BB120-FT_First)/FT_Int1),FT_PreY5+FT_PerYear*INT((BB120-FT_Y5)/12)+FT_AnnivDays+INT(MOD(BB120-FT_Y5,12)/FT_Int2)-IF(EDATE(AL120,FT_Y5)&lt;PolicyEff,FT_AnnivDays-1,0))),IF(AT120="PT",IF(BB120&lt;PT_First,0,1+INT((BB120-PT_First)/PT_Int)),0))+IF(AND(AM120&gt;=2,AO120&lt;=PFYDate),IF(AU120="FT",IF(BC120&lt;FT_First,0,IF(BC120&lt;FT_Y5,1+INT((BC120-FT_First)/FT_Int1),FT_PreY5+FT_PerYear*INT((BC120-FT_Y5)/12)+FT_AnnivDays+INT(MOD(BC120-FT_Y5,12)/FT_Int2)-IF(EDATE(AL120,FT_Y5)&lt;PolicyEff,FT_AnnivDays-1,0))),IF(AU120="PT",IF(BC120&lt;PT_First,0,1+INT((BC120-PT_First)/PT_Int)),0))-IF(AU120="FT",IF(BB120&lt;FT_First,0,IF(BB120&lt;FT_Y5,1+INT((BB120-FT_First)/FT_Int1),FT_PreY5+FT_PerYear*INT((BB120-FT_Y5)/12)+FT_AnnivDays+INT(MOD(BB120-FT_Y5,12)/FT_Int2)-IF(EDATE(AL120,FT_Y5)&lt;PolicyEff,FT_AnnivDays-1,0))),IF(AU120="PT",IF(BB120&lt;PT_First,0,1+INT((BB120-PT_First)/PT_Int)),0)),0)+IF(AND(AM120&gt;=3,AP120&lt;=PFYDate),IF(AV120="FT",IF(BA120&lt;FT_First,0,IF(BA120&lt;FT_Y5,1+INT((BA120-FT_First)/FT_Int1),FT_PreY5+FT_PerYear*INT((BA120-FT_Y5)/12)+FT_AnnivDays+INT(MOD(BA120-FT_Y5,12)/FT_Int2)-IF(EDATE(AL120,FT_Y5)&lt;PolicyEff,FT_AnnivDays-1,0))),IF(AV120="PT",IF(BA120&lt;PT_First,0,1+INT((BA120-PT_First)/PT_Int)),0))-IF(AV120="FT",IF(BC120&lt;FT_First,0,IF(BC120&lt;FT_Y5,1+INT((BC120-FT_First)/FT_Int1),FT_PreY5+FT_PerYear*INT((BC120-FT_Y5)/12)+FT_AnnivDays+INT(MOD(BC120-FT_Y5,12)/FT_Int2)-IF(EDATE(AL120,FT_Y5)&lt;PolicyEff,FT_AnnivDays-1,0))),IF(AV120="PT",IF(BC120&lt;PT_First,0,1+INT((BC120-PT_First)/PT_Int)),0)),0))</f>
        <v/>
      </c>
      <c r="BF120" s="16" t="str">
        <f aca="false">IF(AK120=0,"",IF(AW120="FT",IF(AX120&lt;FT_First,FT_First,IF(AX120&lt;FT_Y5,MIN(FT_Y5,FT_First+FT_Int1*(INT((AX120-FT_First)/FT_Int1)+1)),FT_Y5+12*INT((AX120-FT_Y5)/12)+FT_Int2*(INT(MOD(AX120-FT_Y5,12)/FT_Int2)+1))),IF(AW120="PT",IF(AX120&lt;PT_First,PT_First,PT_First+PT_Int*(INT((AX120-PT_First)/PT_Int)+1)),"")))</f>
        <v/>
      </c>
      <c r="BG120" s="16" t="str">
        <f aca="false">IF(AK120=0,"",IF(NOT(LH_Ready),0,COUNTIFS(INDEX(LH_Data,0,LH_ColFirst),$A120,INDEX(LH_Data,0,LH_ColSur),$B120,INDEX(LH_Data,0,LH_ColCat),BonusCat)))</f>
        <v/>
      </c>
      <c r="BH120" s="16" t="str">
        <f aca="false">IF(AK120=0,"",IF(OR(NOT(LH_Ready),BG120=0),0,SUMPRODUCT(MAX((INDEX(LH_Data,0,LH_ColFirst)=$A120)*(INDEX(LH_Data,0,LH_ColSur)=$B120)*(INDEX(LH_Data,0,LH_ColCat)=BonusCat)*ROW(LH_Data)))))</f>
        <v/>
      </c>
      <c r="BI120" s="16" t="str">
        <f aca="false">IF(AK120=0,"",IF(EOMONTH(AsOfDate,-1)&lt;AL120,-1,12*(YEAR(EOMONTH(AsOfDate,-1))-YEAR(AL120))+MONTH(EOMONTH(AsOfDate,-1))-MONTH(AL120)-IF(DAY(EOMONTH(AsOfDate,-1))&lt;MIN(DAY(AL120),DAY(EOMONTH(EOMONTH(AsOfDate,-1),0))),1,0)))</f>
        <v/>
      </c>
      <c r="BJ120" s="16" t="str">
        <f aca="false">IF(AK120=0,"",IF(OR(AM120&lt;2,AO120&gt;EOMONTH(AsOfDate,-1)),BI120,IF((AO120-1)&lt;AL120,-1,12*(YEAR((AO120-1))-YEAR(AL120))+MONTH((AO120-1))-MONTH(AL120)-IF(DAY((AO120-1))&lt;MIN(DAY(AL120),DAY(EOMONTH((AO120-1),0))),1,0))))</f>
        <v/>
      </c>
      <c r="BK120" s="16" t="str">
        <f aca="false">IF(AK120=0,"",IF(OR(AM120&lt;3,AP120&gt;EOMONTH(AsOfDate,-1)),BI120,IF((AP120-1)&lt;AL120,-1,12*(YEAR((AP120-1))-YEAR(AL120))+MONTH((AP120-1))-MONTH(AL120)-IF(DAY((AP120-1))&lt;MIN(DAY(AL120),DAY(EOMONTH((AP120-1),0))),1,0))))</f>
        <v/>
      </c>
      <c r="BL120" s="16" t="str">
        <f aca="false">IF(AK120=0,"",IF(AT120="FT",IF(BJ120&lt;FT_First,0,IF(BJ120&lt;FT_Y5,1+INT((BJ120-FT_First)/FT_Int1),FT_PreY5+FT_PerYear*INT((BJ120-FT_Y5)/12)+FT_AnnivDays+INT(MOD(BJ120-FT_Y5,12)/FT_Int2)-IF(EDATE(AL120,FT_Y5)&lt;PolicyEff,FT_AnnivDays-1,0))),IF(AT120="PT",IF(BJ120&lt;PT_First,0,1+INT((BJ120-PT_First)/PT_Int)),0))+IF(AND(AM120&gt;=2,AO120&lt;=EOMONTH(AsOfDate,-1)),IF(AU120="FT",IF(BK120&lt;FT_First,0,IF(BK120&lt;FT_Y5,1+INT((BK120-FT_First)/FT_Int1),FT_PreY5+FT_PerYear*INT((BK120-FT_Y5)/12)+FT_AnnivDays+INT(MOD(BK120-FT_Y5,12)/FT_Int2)-IF(EDATE(AL120,FT_Y5)&lt;PolicyEff,FT_AnnivDays-1,0))),IF(AU120="PT",IF(BK120&lt;PT_First,0,1+INT((BK120-PT_First)/PT_Int)),0))-IF(AU120="FT",IF(BJ120&lt;FT_First,0,IF(BJ120&lt;FT_Y5,1+INT((BJ120-FT_First)/FT_Int1),FT_PreY5+FT_PerYear*INT((BJ120-FT_Y5)/12)+FT_AnnivDays+INT(MOD(BJ120-FT_Y5,12)/FT_Int2)-IF(EDATE(AL120,FT_Y5)&lt;PolicyEff,FT_AnnivDays-1,0))),IF(AU120="PT",IF(BJ120&lt;PT_First,0,1+INT((BJ120-PT_First)/PT_Int)),0)),0)+IF(AND(AM120&gt;=3,AP120&lt;=EOMONTH(AsOfDate,-1)),IF(AV120="FT",IF(BI120&lt;FT_First,0,IF(BI120&lt;FT_Y5,1+INT((BI120-FT_First)/FT_Int1),FT_PreY5+FT_PerYear*INT((BI120-FT_Y5)/12)+FT_AnnivDays+INT(MOD(BI120-FT_Y5,12)/FT_Int2)-IF(EDATE(AL120,FT_Y5)&lt;PolicyEff,FT_AnnivDays-1,0))),IF(AV120="PT",IF(BI120&lt;PT_First,0,1+INT((BI120-PT_First)/PT_Int)),0))-IF(AV120="FT",IF(BK120&lt;FT_First,0,IF(BK120&lt;FT_Y5,1+INT((BK120-FT_First)/FT_Int1),FT_PreY5+FT_PerYear*INT((BK120-FT_Y5)/12)+FT_AnnivDays+INT(MOD(BK120-FT_Y5,12)/FT_Int2)-IF(EDATE(AL120,FT_Y5)&lt;PolicyEff,FT_AnnivDays-1,0))),IF(AV120="PT",IF(BK120&lt;PT_First,0,1+INT((BK120-PT_First)/PT_Int)),0)),0))</f>
        <v/>
      </c>
      <c r="BM120" s="16" t="str">
        <f aca="false">IF(AK120=0,"",IF(AW120="FT",IF(AX120&lt;FT_First,"",IF(AX120&lt;FT_Y5,FT_First+FT_Int1*INT((AX120-FT_First)/FT_Int1),FT_Y5+FT_Int2*INT((AX120-FT_Y5)/FT_Int2))),IF(AW120="PT",IF(AX120&lt;PT_First,"",PT_First+PT_Int*INT((AX120-PT_First)/PT_Int)),"")))</f>
        <v/>
      </c>
      <c r="BN120" s="16" t="str">
        <f aca="false">IF(AK120=0,"",IF((SchemeStart-1)&lt;AL120,-1,12*(YEAR((SchemeStart-1))-YEAR(AL120))+MONTH((SchemeStart-1))-MONTH(AL120)-IF(DAY((SchemeStart-1))&lt;MIN(DAY(AL120),DAY(EOMONTH((SchemeStart-1),0))),1,0)))</f>
        <v/>
      </c>
      <c r="BO120" s="16" t="str">
        <f aca="false">IF(AK120=0,"",IF(OR(AM120&lt;2,AO120&gt;(SchemeStart-1)),BN120,IF((AO120-1)&lt;AL120,-1,12*(YEAR((AO120-1))-YEAR(AL120))+MONTH((AO120-1))-MONTH(AL120)-IF(DAY((AO120-1))&lt;MIN(DAY(AL120),DAY(EOMONTH((AO120-1),0))),1,0))))</f>
        <v/>
      </c>
      <c r="BP120" s="16" t="str">
        <f aca="false">IF(AK120=0,"",IF(OR(AM120&lt;3,AP120&gt;(SchemeStart-1)),BN120,IF((AP120-1)&lt;AL120,-1,12*(YEAR((AP120-1))-YEAR(AL120))+MONTH((AP120-1))-MONTH(AL120)-IF(DAY((AP120-1))&lt;MIN(DAY(AL120),DAY(EOMONTH((AP120-1),0))),1,0))))</f>
        <v/>
      </c>
      <c r="BQ120" s="16" t="str">
        <f aca="false">IF(AK120=0,"",IF(AT120="FT",IF(BO120&lt;FT_First,0,IF(BO120&lt;FT_Y5,1+INT((BO120-FT_First)/FT_Int1),FT_PreY5+FT_PerYear*INT((BO120-FT_Y5)/12)+FT_AnnivDays+INT(MOD(BO120-FT_Y5,12)/FT_Int2)-IF(EDATE(AL120,FT_Y5)&lt;PolicyEff,FT_AnnivDays-1,0))),IF(AT120="PT",IF(BO120&lt;PT_First,0,1+INT((BO120-PT_First)/PT_Int)),0))+IF(AND(AM120&gt;=2,AO120&lt;=(SchemeStart-1)),IF(AU120="FT",IF(BP120&lt;FT_First,0,IF(BP120&lt;FT_Y5,1+INT((BP120-FT_First)/FT_Int1),FT_PreY5+FT_PerYear*INT((BP120-FT_Y5)/12)+FT_AnnivDays+INT(MOD(BP120-FT_Y5,12)/FT_Int2)-IF(EDATE(AL120,FT_Y5)&lt;PolicyEff,FT_AnnivDays-1,0))),IF(AU120="PT",IF(BP120&lt;PT_First,0,1+INT((BP120-PT_First)/PT_Int)),0))-IF(AU120="FT",IF(BO120&lt;FT_First,0,IF(BO120&lt;FT_Y5,1+INT((BO120-FT_First)/FT_Int1),FT_PreY5+FT_PerYear*INT((BO120-FT_Y5)/12)+FT_AnnivDays+INT(MOD(BO120-FT_Y5,12)/FT_Int2)-IF(EDATE(AL120,FT_Y5)&lt;PolicyEff,FT_AnnivDays-1,0))),IF(AU120="PT",IF(BO120&lt;PT_First,0,1+INT((BO120-PT_First)/PT_Int)),0)),0)+IF(AND(AM120&gt;=3,AP120&lt;=(SchemeStart-1)),IF(AV120="FT",IF(BN120&lt;FT_First,0,IF(BN120&lt;FT_Y5,1+INT((BN120-FT_First)/FT_Int1),FT_PreY5+FT_PerYear*INT((BN120-FT_Y5)/12)+FT_AnnivDays+INT(MOD(BN120-FT_Y5,12)/FT_Int2)-IF(EDATE(AL120,FT_Y5)&lt;PolicyEff,FT_AnnivDays-1,0))),IF(AV120="PT",IF(BN120&lt;PT_First,0,1+INT((BN120-PT_First)/PT_Int)),0))-IF(AV120="FT",IF(BP120&lt;FT_First,0,IF(BP120&lt;FT_Y5,1+INT((BP120-FT_First)/FT_Int1),FT_PreY5+FT_PerYear*INT((BP120-FT_Y5)/12)+FT_AnnivDays+INT(MOD(BP120-FT_Y5,12)/FT_Int2)-IF(EDATE(AL120,FT_Y5)&lt;PolicyEff,FT_AnnivDays-1,0))),IF(AV120="PT",IF(BP120&lt;PT_First,0,1+INT((BP120-PT_First)/PT_Int)),0)),0))</f>
        <v/>
      </c>
      <c r="BR120" s="0" t="str">
        <f aca="false">IF(LEN($A120&amp;$B120)=0,"",$A120&amp;" "&amp;$B120)</f>
        <v/>
      </c>
    </row>
    <row r="121" customFormat="false" ht="15" hidden="false" customHeight="false" outlineLevel="0" collapsed="false">
      <c r="A121" s="12"/>
      <c r="B121" s="12"/>
      <c r="C121" s="12"/>
      <c r="D121" s="13"/>
      <c r="E121" s="14" t="str">
        <f aca="false">IF(OR(AK121=0,$D121=""),"",DATE(YEAR(AsOfDate)+IF(DATE(YEAR(AsOfDate),MONTH($D121),DAY($D121))&lt;=AsOfDate,1,0),MONTH($D121),DAY($D121)))</f>
        <v/>
      </c>
      <c r="F121" s="13"/>
      <c r="G121" s="13"/>
      <c r="H121" s="13"/>
      <c r="I121" s="13"/>
      <c r="J121" s="13"/>
      <c r="K121" s="14" t="str">
        <f aca="false">IF(AK121=0,"",DATE(YEAR(AsOfDate)+IF(DATE(YEAR(AsOfDate),MONTH(AL121),DAY(AL121))&lt;=AsOfDate,1,0),MONTH(AL121),DAY(AL121)))</f>
        <v/>
      </c>
      <c r="L121" s="15" t="str">
        <f aca="false">IF(AK121=0,"",ROUND((AsOfDate-AL121)/365.25,1))</f>
        <v/>
      </c>
      <c r="M121" s="16" t="str">
        <f aca="false">IF(AK121=0,"",IF(AsOfDate&lt;AL121,"-",DATEDIF(AL121,AsOfDate,"y")&amp;"y "&amp;DATEDIF(AL121,AsOfDate,"ym")&amp;"m "&amp;DATEDIF(AL121,AsOfDate,"md")&amp;"d"))</f>
        <v/>
      </c>
      <c r="N121" s="17" t="str">
        <f aca="false">IF(AK121=0,"",O121*HoursPerDay)</f>
        <v/>
      </c>
      <c r="O121" s="17" t="str">
        <f aca="false">IF(AK121=0,"",MAX(0,BD121-BQ121))</f>
        <v/>
      </c>
      <c r="P121" s="18"/>
      <c r="Q121" s="16" t="str">
        <f aca="false">IF(AK121=0,"",IF(AM121&lt;2,"",AQ121&amp;" to "&amp;AR121&amp;" on "&amp;TEXT(AO121,"dd/mm/yyyy")&amp;IF(AO121&gt;AsOfDate," (future)",IF(AT121=AU121,"",IF(AU121="None"," - STOPPED accruing",IF(AT121="None"," - commencement for Bonus Leave"," - pathway changed"))))&amp;IF(AM121&lt;3,"","; "&amp;AR121&amp;" to "&amp;AS121&amp;" on "&amp;TEXT(AP121,"dd/mm/yyyy")&amp;IF(AP121&gt;AsOfDate," (future)",IF(AU121=AV121,"",IF(AV121="None"," - STOPPED accruing",IF(AU121="None"," - commencement for Bonus Leave"," - pathway changed")))))))</f>
        <v/>
      </c>
      <c r="R121" s="16" t="str">
        <f aca="false">IF(AK121=0,"",IF(AW121="None",IF(O121&gt;0,"No longer accruing","Not eligible - "&amp;IF(AND(OR(ISNUMBER(SEARCH("part",$C121)),UPPER(TRIM($C121))="PT",UPPER(TRIM($C121))="PTE"),Apply2026="No"),"part-time (scheme is full-time only)",IF(AND(OR(ISNUMBER(SEARCH("part",$C121)),UPPER(TRIM($C121))="PT",UPPER(TRIM($C121))="PTE"),$P121&lt;&gt;"",N($P121)&lt;PT_MinHours),"under "&amp;PT_MinHours&amp;" hrs",IF(IF($C121="","",IF(OR(ISNUMBER(SEARCH("full",$C121)),UPPER(TRIM($C121))="FT",UPPER(TRIM($C121))="FTE"),"Full-Time",IF(OR(ISNUMBER(SEARCH("part",$C121)),UPPER(TRIM($C121))="PT",UPPER(TRIM($C121))="PTE"),"Part-Time",IF(OR(ISNUMBER(SEARCH("cas",$C121)),UPPER(TRIM($C121))="CAS"),"Casual","Unknown"))))="Unknown","type not recognised",$C121)))),IF(O121&gt;0,"Yes - Accrual Required","Not yet - from "&amp;TEXT(S121,"dd/mm/yyyy"))))</f>
        <v/>
      </c>
      <c r="S121" s="14" t="str">
        <f aca="false">IF(AK121=0,"",IF(AW121="None","",EDATE(AL121,BF121)))</f>
        <v/>
      </c>
      <c r="T121" s="17" t="str">
        <f aca="false">IF(AK121=0,"",IF(NOT(LH_Ready),"",IF($F121&gt;PFYDate,0,IF(LH_ColPeriod=0,W121-U121+V121,SUMIFS(INDEX(LH_Data,0,LH_ColAcc),INDEX(LH_Data,0,LH_ColFirst),$A121,INDEX(LH_Data,0,LH_ColSur),$B121,INDEX(LH_Data,0,LH_ColCat),BonusCat,INDEX(LH_Data,0,LH_ColPeriod),LH_OpenLabel)*UnitFactor))))</f>
        <v/>
      </c>
      <c r="U121" s="17" t="str">
        <f aca="false">IF(AK121=0,"",IF(NOT(LH_Ready),"",SUMIFS(INDEX(LH_Data,0,LH_ColAcc),INDEX(LH_Data,0,LH_ColFirst),$A121,INDEX(LH_Data,0,LH_ColSur),$B121,INDEX(LH_Data,0,LH_ColCat),BonusCat,INDEX(LH_Data,0,LH_ColStart),"&gt;="&amp;AL121)*UnitFactor))</f>
        <v/>
      </c>
      <c r="V121" s="17" t="str">
        <f aca="false">IF(AK121=0,"",IF(NOT(LH_Ready),"",SUMIFS(INDEX(LH_Data,0,LH_ColTaken),INDEX(LH_Data,0,LH_ColFirst),$A121,INDEX(LH_Data,0,LH_ColSur),$B121,INDEX(LH_Data,0,LH_ColCat),BonusCat,INDEX(LH_Data,0,LH_ColStart),"&gt;="&amp;AL121)*UnitFactor))</f>
        <v/>
      </c>
      <c r="W121" s="17" t="str">
        <f aca="false">IF(AK121=0,"",IF(NOT(LH_Ready),"",IF(BH121=0,0,INDEX(INDEX(LH_Data,0,LH_ColClose),BH121-1)*UnitFactor)))</f>
        <v/>
      </c>
      <c r="X121" s="17" t="str">
        <f aca="false">IF(AK121=0,"",(MAX(0,BD121-BQ121)-MAX(0,BE121-BQ121))*HoursPerDay)</f>
        <v/>
      </c>
      <c r="Y121" s="17" t="str">
        <f aca="false">IF(AK121=0,"",IF(NOT(LH_Ready),"",IF($AI121="Yes",N(AE121)*HoursPerDay-SUMIFS(INDEX(LH_Data,0,LH_ColAcc),INDEX(LH_Data,0,LH_ColFirst),$A121,INDEX(LH_Data,0,LH_ColSur),$B121,INDEX(LH_Data,0,LH_ColCat),BonusCat,INDEX(LH_Data,0,LH_ColStart),"&gt;="&amp;(EOMONTH(AsOfDate,-1)+1),INDEX(LH_Data,0,LH_ColStart),"&lt;="&amp;AsOfDate)*UnitFactor,IF(BG121=0,N121,N121-N(T121)-N(U121)))))</f>
        <v/>
      </c>
      <c r="Z121" s="16" t="str">
        <f aca="false">IF(OR(AK121=0,Y121=""),"",IF(Y121&gt;0,"Yes","No"))</f>
        <v/>
      </c>
      <c r="AA121" s="16" t="str">
        <f aca="false">IF(AK121=0,IF(LEN($A121&amp;$B121)=0,"","FIX INPUT - StartDate missing"),IF(AD121&lt;&gt;"","FIX INPUT - "&amp;AD121,IF(NOT(LH_Ready),"Paste Leave History export (Settings must show YES)",IF(AND($AI121="Yes",Y121&lt;=0),"OK - EH balance accepted to date"&amp;IF(N(AH121)&gt;0," (EH holds "&amp;AH121&amp;" hrs over the scheme)","")&amp;"; next day "&amp;TEXT(S121,"dd mmm yy")&amp;IF(N(AE121)&gt;0," ("&amp;AE121&amp;" day(s) for "&amp;UPPER(TEXT(AsOfDate,"mmm yyyy"))&amp;" already in EH)",""),IF(Y121&gt;0,"ACCRUE "&amp;ROUND(Y121,2)&amp;" hrs ("&amp;ROUND(Y121/HoursPerDay,2)&amp;" days): "&amp;IF(N(AE121)&gt;0,AE121&amp;" day(s) for "&amp;UPPER(TEXT(AsOfDate,"mmm yyyy"))&amp;" (milestone "&amp;UPPER(TEXT(AF121,"dd mmm yy"))&amp;")"&amp;IF(Y121/HoursPerDay&gt;AE121+0.001," + "&amp;ROUND(Y121/HoursPerDay-AE121,2)&amp;" day(s) catch-up from earlier months",""),"all catch-up from earlier months, nothing new this month")&amp;IF(BG121=0,"; no Bonus Leave in EH yet",""),IF(Y121&lt;0,"CHECK - EH accrued "&amp;ROUND(-Y121,2)&amp;" hrs more than policy since commencement",IF(N(W121)&gt;O121*HoursPerDay+0.01,"CHECK - EH balance "&amp;ROUND(W121-O121*HoursPerDay,2)&amp;" hrs more than policy entitlement",IF(O121&gt;0,"OK - nothing to add"&amp;IF(N(AE121)&gt;0," ("&amp;AE121&amp;" day(s) for "&amp;UPPER(TEXT(AsOfDate,"mmm yyyy"))&amp;" already in EH)",""),IF(AW121="None",R121,"Not yet - first day on "&amp;TEXT(S121,"dd/mm/yyyy"))))))))))</f>
        <v/>
      </c>
      <c r="AB121" s="17" t="str">
        <f aca="false">IF(OR(AK121=0,T121=""),"",MAX(0,BE121-BQ121)*HoursPerDay-T121)</f>
        <v/>
      </c>
      <c r="AC121" s="16" t="str">
        <f aca="false">IF(AK121=0,"",BG121)</f>
        <v/>
      </c>
      <c r="AD121" s="16" t="str">
        <f aca="false">IF(AK121=0,"",TRIM(IF(OR(ISTEXT($F121),ISTEXT($H121),ISTEXT($I121),ISTEXT($G121),ISTEXT($J121),ISTEXT($D121)),"A date is typed as text - retype it as dd/mm/yyyy. ","")&amp;IF(IF($C121="","",IF(OR(ISNUMBER(SEARCH("full",$C121)),UPPER(TRIM($C121))="FT",UPPER(TRIM($C121))="FTE"),"Full-Time",IF(OR(ISNUMBER(SEARCH("part",$C121)),UPPER(TRIM($C121))="PT",UPPER(TRIM($C121))="PTE"),"Part-Time",IF(OR(ISNUMBER(SEARCH("cas",$C121)),UPPER(TRIM($C121))="CAS"),"Casual","Unknown"))))="Unknown","EmploymentType not recognised - use Full-Time, Part-Time or Casual. ","")&amp;IF(AND(AM121&gt;=1,IF(AM121&gt;=3,AS121,IF(AM121=2,AR121,AQ121))&lt;&gt;IF($C121="","",IF(OR(ISNUMBER(SEARCH("full",$C121)),UPPER(TRIM($C121))="FT",UPPER(TRIM($C121))="FTE"),"Full-Time",IF(OR(ISNUMBER(SEARCH("part",$C121)),UPPER(TRIM($C121))="PT",UPPER(TRIM($C121))="PTE"),"Part-Time",IF(OR(ISNUMBER(SEARCH("cas",$C121)),UPPER(TRIM($C121))="CAS"),"Casual","Unknown"))))),"EmploymentType does not match latest start date ("&amp;IF(AM121&gt;=3,AS121,IF(AM121=2,AR121,AQ121))&amp;"). ","")&amp;IF(AND(AM121&gt;=1,AN121&lt;&gt;$F121),"Earliest type date should equal StartDate. ","")&amp;IF(AND(AM121&gt;=2,AN121=AO121),"Two types start on the same date. ","")&amp;IF(AND(OR(ISNUMBER(SEARCH("part",$C121)),UPPER(TRIM($C121))="PT",UPPER(TRIM($C121))="PTE"),$P121=""),"Part-time: enter PT Hrs/Week (blank = 24+). ","")))</f>
        <v/>
      </c>
      <c r="AE121" s="17" t="str">
        <f aca="false">IF(AK121=0,"",O121-MAX(0,BL121-BQ121))</f>
        <v/>
      </c>
      <c r="AF121" s="14" t="str">
        <f aca="false">IF(OR(AK121=0,AE121="",N(AE121)=0,BM121=""),"",EDATE(AL121,BM121))</f>
        <v/>
      </c>
      <c r="AG121" s="17" t="str">
        <f aca="false">IF(AK121=0,"",MIN(BD121,BQ121))</f>
        <v/>
      </c>
      <c r="AH121" s="17" t="str">
        <f aca="false">IF(AK121=0,"",IF(NOT(LH_Ready),"",IF(BG121=0,0,MAX(0,ROUND(N(T121)+N(U121)-N121,2)))))</f>
        <v/>
      </c>
      <c r="AI121" s="12"/>
      <c r="AJ121" s="12"/>
      <c r="AK121" s="16" t="n">
        <f aca="false">IF(OR(LEN($A121&amp;$B121)=0,$F121=""),0,1)</f>
        <v>0</v>
      </c>
      <c r="AL121" s="14" t="str">
        <f aca="false">IF(AK121=0,"",IF(PreSchemeCounts="No",MAX(SchemeStart,IF($J121&lt;&gt;"",$J121,IF(OR(CasualCounts="Yes",COUNT($G121:$I121)=0),$F121,IF(Apply2026="No",IF($I121="",$F121,$I121),IF(COUNT($H121:$I121)=0,$F121,MIN($H121:$I121)))))),IF($J121&lt;&gt;"",$J121,IF(OR(CasualCounts="Yes",COUNT($G121:$I121)=0),$F121,IF(Apply2026="No",IF($I121="",$F121,$I121),IF(COUNT($H121:$I121)=0,$F121,MIN($H121:$I121)))))))</f>
        <v/>
      </c>
      <c r="AM121" s="16" t="str">
        <f aca="false">IF(AK121=0,"",COUNT($G121:$I121))</f>
        <v/>
      </c>
      <c r="AN121" s="14" t="str">
        <f aca="false">IF(AK121=0,"",IFERROR(SMALL($G121:$I121,1),""))</f>
        <v/>
      </c>
      <c r="AO121" s="14" t="str">
        <f aca="false">IF(AK121=0,"",IFERROR(SMALL($G121:$I121,2),""))</f>
        <v/>
      </c>
      <c r="AP121" s="14" t="str">
        <f aca="false">IF(AK121=0,"",IFERROR(SMALL($G121:$I121,3),""))</f>
        <v/>
      </c>
      <c r="AQ121" s="16" t="str">
        <f aca="false">IF(AK121=0,"",IF(AN121="","",IF(AN121=$H121,"Part-Time",IF(AN121=$I121,"Full-Time","Casual"))))</f>
        <v/>
      </c>
      <c r="AR121" s="16" t="str">
        <f aca="false">IF(AK121=0,"",IF(AO121="","",IF(AO121=$H121,"Part-Time",IF(AO121=$I121,"Full-Time","Casual"))))</f>
        <v/>
      </c>
      <c r="AS121" s="16" t="str">
        <f aca="false">IF(AK121=0,"",IF(AP121="","",IF(AP121=$H121,"Part-Time",IF(AP121=$I121,"Full-Time","Casual"))))</f>
        <v/>
      </c>
      <c r="AT121" s="16" t="str">
        <f aca="false">IF(AK121=0,"",IF(AM121=0,IF(OR(ISNUMBER(SEARCH("full",$C121)),UPPER(TRIM($C121))="FT",UPPER(TRIM($C121))="FTE"),"FT",IF(AND(OR(ISNUMBER(SEARCH("part",$C121)),UPPER(TRIM($C121))="PT",UPPER(TRIM($C121))="PTE"),Apply2026="Yes",OR($P121="",N($P121)&gt;=PT_MinHours)),"PT","None")),IF(OR(ISNUMBER(SEARCH("full",AQ121)),UPPER(TRIM(AQ121))="FT",UPPER(TRIM(AQ121))="FTE"),"FT",IF(AND(OR(ISNUMBER(SEARCH("part",AQ121)),UPPER(TRIM(AQ121))="PT",UPPER(TRIM(AQ121))="PTE"),Apply2026="Yes",OR($P121="",N($P121)&gt;=PT_MinHours)),"PT","None"))))</f>
        <v/>
      </c>
      <c r="AU121" s="16" t="str">
        <f aca="false">IF(AK121=0,"",IF(AM121&lt;2,"",IF(OR(ISNUMBER(SEARCH("full",AR121)),UPPER(TRIM(AR121))="FT",UPPER(TRIM(AR121))="FTE"),"FT",IF(AND(OR(ISNUMBER(SEARCH("part",AR121)),UPPER(TRIM(AR121))="PT",UPPER(TRIM(AR121))="PTE"),Apply2026="Yes",OR($P121="",N($P121)&gt;=PT_MinHours)),"PT","None"))))</f>
        <v/>
      </c>
      <c r="AV121" s="16" t="str">
        <f aca="false">IF(AK121=0,"",IF(AM121&lt;3,"",IF(OR(ISNUMBER(SEARCH("full",AS121)),UPPER(TRIM(AS121))="FT",UPPER(TRIM(AS121))="FTE"),"FT",IF(AND(OR(ISNUMBER(SEARCH("part",AS121)),UPPER(TRIM(AS121))="PT",UPPER(TRIM(AS121))="PTE"),Apply2026="Yes",OR($P121="",N($P121)&gt;=PT_MinHours)),"PT","None"))))</f>
        <v/>
      </c>
      <c r="AW121" s="16" t="str">
        <f aca="false">IF(AK121=0,"",IF(AND(AM121&gt;=3,AP121&lt;=AsOfDate),AV121,IF(AND(AM121&gt;=2,AO121&lt;=AsOfDate),AU121,AT121)))</f>
        <v/>
      </c>
      <c r="AX121" s="16" t="str">
        <f aca="false">IF(AK121=0,"",IF(AsOfDate&lt;AL121,-1,12*(YEAR(AsOfDate)-YEAR(AL121))+MONTH(AsOfDate)-MONTH(AL121)-IF(DAY(AsOfDate)&lt;MIN(DAY(AL121),DAY(EOMONTH(AsOfDate,0))),1,0)))</f>
        <v/>
      </c>
      <c r="AY121" s="16" t="str">
        <f aca="false">IF(AK121=0,"",IF(OR(AM121&lt;2,AO121&gt;AsOfDate),AX121,IF((AO121-1)&lt;AL121,-1,12*(YEAR((AO121-1))-YEAR(AL121))+MONTH((AO121-1))-MONTH(AL121)-IF(DAY((AO121-1))&lt;MIN(DAY(AL121),DAY(EOMONTH((AO121-1),0))),1,0))))</f>
        <v/>
      </c>
      <c r="AZ121" s="16" t="str">
        <f aca="false">IF(AK121=0,"",IF(OR(AM121&lt;3,AP121&gt;AsOfDate),AX121,IF((AP121-1)&lt;AL121,-1,12*(YEAR((AP121-1))-YEAR(AL121))+MONTH((AP121-1))-MONTH(AL121)-IF(DAY((AP121-1))&lt;MIN(DAY(AL121),DAY(EOMONTH((AP121-1),0))),1,0))))</f>
        <v/>
      </c>
      <c r="BA121" s="16" t="str">
        <f aca="false">IF(AK121=0,"",IF(PFYDate&lt;AL121,-1,12*(YEAR(PFYDate)-YEAR(AL121))+MONTH(PFYDate)-MONTH(AL121)-IF(DAY(PFYDate)&lt;MIN(DAY(AL121),DAY(EOMONTH(PFYDate,0))),1,0)))</f>
        <v/>
      </c>
      <c r="BB121" s="16" t="str">
        <f aca="false">IF(AK121=0,"",IF(OR(AM121&lt;2,AO121&gt;PFYDate),BA121,IF((AO121-1)&lt;AL121,-1,12*(YEAR((AO121-1))-YEAR(AL121))+MONTH((AO121-1))-MONTH(AL121)-IF(DAY((AO121-1))&lt;MIN(DAY(AL121),DAY(EOMONTH((AO121-1),0))),1,0))))</f>
        <v/>
      </c>
      <c r="BC121" s="16" t="str">
        <f aca="false">IF(AK121=0,"",IF(OR(AM121&lt;3,AP121&gt;PFYDate),BA121,IF((AP121-1)&lt;AL121,-1,12*(YEAR((AP121-1))-YEAR(AL121))+MONTH((AP121-1))-MONTH(AL121)-IF(DAY((AP121-1))&lt;MIN(DAY(AL121),DAY(EOMONTH((AP121-1),0))),1,0))))</f>
        <v/>
      </c>
      <c r="BD121" s="16" t="str">
        <f aca="false">IF(AK121=0,"",IF(AT121="FT",IF(AY121&lt;FT_First,0,IF(AY121&lt;FT_Y5,1+INT((AY121-FT_First)/FT_Int1),FT_PreY5+FT_PerYear*INT((AY121-FT_Y5)/12)+FT_AnnivDays+INT(MOD(AY121-FT_Y5,12)/FT_Int2)-IF(EDATE(AL121,FT_Y5)&lt;PolicyEff,FT_AnnivDays-1,0))),IF(AT121="PT",IF(AY121&lt;PT_First,0,1+INT((AY121-PT_First)/PT_Int)),0))+IF(AND(AM121&gt;=2,AO121&lt;=AsOfDate),IF(AU121="FT",IF(AZ121&lt;FT_First,0,IF(AZ121&lt;FT_Y5,1+INT((AZ121-FT_First)/FT_Int1),FT_PreY5+FT_PerYear*INT((AZ121-FT_Y5)/12)+FT_AnnivDays+INT(MOD(AZ121-FT_Y5,12)/FT_Int2)-IF(EDATE(AL121,FT_Y5)&lt;PolicyEff,FT_AnnivDays-1,0))),IF(AU121="PT",IF(AZ121&lt;PT_First,0,1+INT((AZ121-PT_First)/PT_Int)),0))-IF(AU121="FT",IF(AY121&lt;FT_First,0,IF(AY121&lt;FT_Y5,1+INT((AY121-FT_First)/FT_Int1),FT_PreY5+FT_PerYear*INT((AY121-FT_Y5)/12)+FT_AnnivDays+INT(MOD(AY121-FT_Y5,12)/FT_Int2)-IF(EDATE(AL121,FT_Y5)&lt;PolicyEff,FT_AnnivDays-1,0))),IF(AU121="PT",IF(AY121&lt;PT_First,0,1+INT((AY121-PT_First)/PT_Int)),0)),0)+IF(AND(AM121&gt;=3,AP121&lt;=AsOfDate),IF(AV121="FT",IF(AX121&lt;FT_First,0,IF(AX121&lt;FT_Y5,1+INT((AX121-FT_First)/FT_Int1),FT_PreY5+FT_PerYear*INT((AX121-FT_Y5)/12)+FT_AnnivDays+INT(MOD(AX121-FT_Y5,12)/FT_Int2)-IF(EDATE(AL121,FT_Y5)&lt;PolicyEff,FT_AnnivDays-1,0))),IF(AV121="PT",IF(AX121&lt;PT_First,0,1+INT((AX121-PT_First)/PT_Int)),0))-IF(AV121="FT",IF(AZ121&lt;FT_First,0,IF(AZ121&lt;FT_Y5,1+INT((AZ121-FT_First)/FT_Int1),FT_PreY5+FT_PerYear*INT((AZ121-FT_Y5)/12)+FT_AnnivDays+INT(MOD(AZ121-FT_Y5,12)/FT_Int2)-IF(EDATE(AL121,FT_Y5)&lt;PolicyEff,FT_AnnivDays-1,0))),IF(AV121="PT",IF(AZ121&lt;PT_First,0,1+INT((AZ121-PT_First)/PT_Int)),0)),0))</f>
        <v/>
      </c>
      <c r="BE121" s="16" t="str">
        <f aca="false">IF(AK121=0,"",IF(AT121="FT",IF(BB121&lt;FT_First,0,IF(BB121&lt;FT_Y5,1+INT((BB121-FT_First)/FT_Int1),FT_PreY5+FT_PerYear*INT((BB121-FT_Y5)/12)+FT_AnnivDays+INT(MOD(BB121-FT_Y5,12)/FT_Int2)-IF(EDATE(AL121,FT_Y5)&lt;PolicyEff,FT_AnnivDays-1,0))),IF(AT121="PT",IF(BB121&lt;PT_First,0,1+INT((BB121-PT_First)/PT_Int)),0))+IF(AND(AM121&gt;=2,AO121&lt;=PFYDate),IF(AU121="FT",IF(BC121&lt;FT_First,0,IF(BC121&lt;FT_Y5,1+INT((BC121-FT_First)/FT_Int1),FT_PreY5+FT_PerYear*INT((BC121-FT_Y5)/12)+FT_AnnivDays+INT(MOD(BC121-FT_Y5,12)/FT_Int2)-IF(EDATE(AL121,FT_Y5)&lt;PolicyEff,FT_AnnivDays-1,0))),IF(AU121="PT",IF(BC121&lt;PT_First,0,1+INT((BC121-PT_First)/PT_Int)),0))-IF(AU121="FT",IF(BB121&lt;FT_First,0,IF(BB121&lt;FT_Y5,1+INT((BB121-FT_First)/FT_Int1),FT_PreY5+FT_PerYear*INT((BB121-FT_Y5)/12)+FT_AnnivDays+INT(MOD(BB121-FT_Y5,12)/FT_Int2)-IF(EDATE(AL121,FT_Y5)&lt;PolicyEff,FT_AnnivDays-1,0))),IF(AU121="PT",IF(BB121&lt;PT_First,0,1+INT((BB121-PT_First)/PT_Int)),0)),0)+IF(AND(AM121&gt;=3,AP121&lt;=PFYDate),IF(AV121="FT",IF(BA121&lt;FT_First,0,IF(BA121&lt;FT_Y5,1+INT((BA121-FT_First)/FT_Int1),FT_PreY5+FT_PerYear*INT((BA121-FT_Y5)/12)+FT_AnnivDays+INT(MOD(BA121-FT_Y5,12)/FT_Int2)-IF(EDATE(AL121,FT_Y5)&lt;PolicyEff,FT_AnnivDays-1,0))),IF(AV121="PT",IF(BA121&lt;PT_First,0,1+INT((BA121-PT_First)/PT_Int)),0))-IF(AV121="FT",IF(BC121&lt;FT_First,0,IF(BC121&lt;FT_Y5,1+INT((BC121-FT_First)/FT_Int1),FT_PreY5+FT_PerYear*INT((BC121-FT_Y5)/12)+FT_AnnivDays+INT(MOD(BC121-FT_Y5,12)/FT_Int2)-IF(EDATE(AL121,FT_Y5)&lt;PolicyEff,FT_AnnivDays-1,0))),IF(AV121="PT",IF(BC121&lt;PT_First,0,1+INT((BC121-PT_First)/PT_Int)),0)),0))</f>
        <v/>
      </c>
      <c r="BF121" s="16" t="str">
        <f aca="false">IF(AK121=0,"",IF(AW121="FT",IF(AX121&lt;FT_First,FT_First,IF(AX121&lt;FT_Y5,MIN(FT_Y5,FT_First+FT_Int1*(INT((AX121-FT_First)/FT_Int1)+1)),FT_Y5+12*INT((AX121-FT_Y5)/12)+FT_Int2*(INT(MOD(AX121-FT_Y5,12)/FT_Int2)+1))),IF(AW121="PT",IF(AX121&lt;PT_First,PT_First,PT_First+PT_Int*(INT((AX121-PT_First)/PT_Int)+1)),"")))</f>
        <v/>
      </c>
      <c r="BG121" s="16" t="str">
        <f aca="false">IF(AK121=0,"",IF(NOT(LH_Ready),0,COUNTIFS(INDEX(LH_Data,0,LH_ColFirst),$A121,INDEX(LH_Data,0,LH_ColSur),$B121,INDEX(LH_Data,0,LH_ColCat),BonusCat)))</f>
        <v/>
      </c>
      <c r="BH121" s="16" t="str">
        <f aca="false">IF(AK121=0,"",IF(OR(NOT(LH_Ready),BG121=0),0,SUMPRODUCT(MAX((INDEX(LH_Data,0,LH_ColFirst)=$A121)*(INDEX(LH_Data,0,LH_ColSur)=$B121)*(INDEX(LH_Data,0,LH_ColCat)=BonusCat)*ROW(LH_Data)))))</f>
        <v/>
      </c>
      <c r="BI121" s="16" t="str">
        <f aca="false">IF(AK121=0,"",IF(EOMONTH(AsOfDate,-1)&lt;AL121,-1,12*(YEAR(EOMONTH(AsOfDate,-1))-YEAR(AL121))+MONTH(EOMONTH(AsOfDate,-1))-MONTH(AL121)-IF(DAY(EOMONTH(AsOfDate,-1))&lt;MIN(DAY(AL121),DAY(EOMONTH(EOMONTH(AsOfDate,-1),0))),1,0)))</f>
        <v/>
      </c>
      <c r="BJ121" s="16" t="str">
        <f aca="false">IF(AK121=0,"",IF(OR(AM121&lt;2,AO121&gt;EOMONTH(AsOfDate,-1)),BI121,IF((AO121-1)&lt;AL121,-1,12*(YEAR((AO121-1))-YEAR(AL121))+MONTH((AO121-1))-MONTH(AL121)-IF(DAY((AO121-1))&lt;MIN(DAY(AL121),DAY(EOMONTH((AO121-1),0))),1,0))))</f>
        <v/>
      </c>
      <c r="BK121" s="16" t="str">
        <f aca="false">IF(AK121=0,"",IF(OR(AM121&lt;3,AP121&gt;EOMONTH(AsOfDate,-1)),BI121,IF((AP121-1)&lt;AL121,-1,12*(YEAR((AP121-1))-YEAR(AL121))+MONTH((AP121-1))-MONTH(AL121)-IF(DAY((AP121-1))&lt;MIN(DAY(AL121),DAY(EOMONTH((AP121-1),0))),1,0))))</f>
        <v/>
      </c>
      <c r="BL121" s="16" t="str">
        <f aca="false">IF(AK121=0,"",IF(AT121="FT",IF(BJ121&lt;FT_First,0,IF(BJ121&lt;FT_Y5,1+INT((BJ121-FT_First)/FT_Int1),FT_PreY5+FT_PerYear*INT((BJ121-FT_Y5)/12)+FT_AnnivDays+INT(MOD(BJ121-FT_Y5,12)/FT_Int2)-IF(EDATE(AL121,FT_Y5)&lt;PolicyEff,FT_AnnivDays-1,0))),IF(AT121="PT",IF(BJ121&lt;PT_First,0,1+INT((BJ121-PT_First)/PT_Int)),0))+IF(AND(AM121&gt;=2,AO121&lt;=EOMONTH(AsOfDate,-1)),IF(AU121="FT",IF(BK121&lt;FT_First,0,IF(BK121&lt;FT_Y5,1+INT((BK121-FT_First)/FT_Int1),FT_PreY5+FT_PerYear*INT((BK121-FT_Y5)/12)+FT_AnnivDays+INT(MOD(BK121-FT_Y5,12)/FT_Int2)-IF(EDATE(AL121,FT_Y5)&lt;PolicyEff,FT_AnnivDays-1,0))),IF(AU121="PT",IF(BK121&lt;PT_First,0,1+INT((BK121-PT_First)/PT_Int)),0))-IF(AU121="FT",IF(BJ121&lt;FT_First,0,IF(BJ121&lt;FT_Y5,1+INT((BJ121-FT_First)/FT_Int1),FT_PreY5+FT_PerYear*INT((BJ121-FT_Y5)/12)+FT_AnnivDays+INT(MOD(BJ121-FT_Y5,12)/FT_Int2)-IF(EDATE(AL121,FT_Y5)&lt;PolicyEff,FT_AnnivDays-1,0))),IF(AU121="PT",IF(BJ121&lt;PT_First,0,1+INT((BJ121-PT_First)/PT_Int)),0)),0)+IF(AND(AM121&gt;=3,AP121&lt;=EOMONTH(AsOfDate,-1)),IF(AV121="FT",IF(BI121&lt;FT_First,0,IF(BI121&lt;FT_Y5,1+INT((BI121-FT_First)/FT_Int1),FT_PreY5+FT_PerYear*INT((BI121-FT_Y5)/12)+FT_AnnivDays+INT(MOD(BI121-FT_Y5,12)/FT_Int2)-IF(EDATE(AL121,FT_Y5)&lt;PolicyEff,FT_AnnivDays-1,0))),IF(AV121="PT",IF(BI121&lt;PT_First,0,1+INT((BI121-PT_First)/PT_Int)),0))-IF(AV121="FT",IF(BK121&lt;FT_First,0,IF(BK121&lt;FT_Y5,1+INT((BK121-FT_First)/FT_Int1),FT_PreY5+FT_PerYear*INT((BK121-FT_Y5)/12)+FT_AnnivDays+INT(MOD(BK121-FT_Y5,12)/FT_Int2)-IF(EDATE(AL121,FT_Y5)&lt;PolicyEff,FT_AnnivDays-1,0))),IF(AV121="PT",IF(BK121&lt;PT_First,0,1+INT((BK121-PT_First)/PT_Int)),0)),0))</f>
        <v/>
      </c>
      <c r="BM121" s="16" t="str">
        <f aca="false">IF(AK121=0,"",IF(AW121="FT",IF(AX121&lt;FT_First,"",IF(AX121&lt;FT_Y5,FT_First+FT_Int1*INT((AX121-FT_First)/FT_Int1),FT_Y5+FT_Int2*INT((AX121-FT_Y5)/FT_Int2))),IF(AW121="PT",IF(AX121&lt;PT_First,"",PT_First+PT_Int*INT((AX121-PT_First)/PT_Int)),"")))</f>
        <v/>
      </c>
      <c r="BN121" s="16" t="str">
        <f aca="false">IF(AK121=0,"",IF((SchemeStart-1)&lt;AL121,-1,12*(YEAR((SchemeStart-1))-YEAR(AL121))+MONTH((SchemeStart-1))-MONTH(AL121)-IF(DAY((SchemeStart-1))&lt;MIN(DAY(AL121),DAY(EOMONTH((SchemeStart-1),0))),1,0)))</f>
        <v/>
      </c>
      <c r="BO121" s="16" t="str">
        <f aca="false">IF(AK121=0,"",IF(OR(AM121&lt;2,AO121&gt;(SchemeStart-1)),BN121,IF((AO121-1)&lt;AL121,-1,12*(YEAR((AO121-1))-YEAR(AL121))+MONTH((AO121-1))-MONTH(AL121)-IF(DAY((AO121-1))&lt;MIN(DAY(AL121),DAY(EOMONTH((AO121-1),0))),1,0))))</f>
        <v/>
      </c>
      <c r="BP121" s="16" t="str">
        <f aca="false">IF(AK121=0,"",IF(OR(AM121&lt;3,AP121&gt;(SchemeStart-1)),BN121,IF((AP121-1)&lt;AL121,-1,12*(YEAR((AP121-1))-YEAR(AL121))+MONTH((AP121-1))-MONTH(AL121)-IF(DAY((AP121-1))&lt;MIN(DAY(AL121),DAY(EOMONTH((AP121-1),0))),1,0))))</f>
        <v/>
      </c>
      <c r="BQ121" s="16" t="str">
        <f aca="false">IF(AK121=0,"",IF(AT121="FT",IF(BO121&lt;FT_First,0,IF(BO121&lt;FT_Y5,1+INT((BO121-FT_First)/FT_Int1),FT_PreY5+FT_PerYear*INT((BO121-FT_Y5)/12)+FT_AnnivDays+INT(MOD(BO121-FT_Y5,12)/FT_Int2)-IF(EDATE(AL121,FT_Y5)&lt;PolicyEff,FT_AnnivDays-1,0))),IF(AT121="PT",IF(BO121&lt;PT_First,0,1+INT((BO121-PT_First)/PT_Int)),0))+IF(AND(AM121&gt;=2,AO121&lt;=(SchemeStart-1)),IF(AU121="FT",IF(BP121&lt;FT_First,0,IF(BP121&lt;FT_Y5,1+INT((BP121-FT_First)/FT_Int1),FT_PreY5+FT_PerYear*INT((BP121-FT_Y5)/12)+FT_AnnivDays+INT(MOD(BP121-FT_Y5,12)/FT_Int2)-IF(EDATE(AL121,FT_Y5)&lt;PolicyEff,FT_AnnivDays-1,0))),IF(AU121="PT",IF(BP121&lt;PT_First,0,1+INT((BP121-PT_First)/PT_Int)),0))-IF(AU121="FT",IF(BO121&lt;FT_First,0,IF(BO121&lt;FT_Y5,1+INT((BO121-FT_First)/FT_Int1),FT_PreY5+FT_PerYear*INT((BO121-FT_Y5)/12)+FT_AnnivDays+INT(MOD(BO121-FT_Y5,12)/FT_Int2)-IF(EDATE(AL121,FT_Y5)&lt;PolicyEff,FT_AnnivDays-1,0))),IF(AU121="PT",IF(BO121&lt;PT_First,0,1+INT((BO121-PT_First)/PT_Int)),0)),0)+IF(AND(AM121&gt;=3,AP121&lt;=(SchemeStart-1)),IF(AV121="FT",IF(BN121&lt;FT_First,0,IF(BN121&lt;FT_Y5,1+INT((BN121-FT_First)/FT_Int1),FT_PreY5+FT_PerYear*INT((BN121-FT_Y5)/12)+FT_AnnivDays+INT(MOD(BN121-FT_Y5,12)/FT_Int2)-IF(EDATE(AL121,FT_Y5)&lt;PolicyEff,FT_AnnivDays-1,0))),IF(AV121="PT",IF(BN121&lt;PT_First,0,1+INT((BN121-PT_First)/PT_Int)),0))-IF(AV121="FT",IF(BP121&lt;FT_First,0,IF(BP121&lt;FT_Y5,1+INT((BP121-FT_First)/FT_Int1),FT_PreY5+FT_PerYear*INT((BP121-FT_Y5)/12)+FT_AnnivDays+INT(MOD(BP121-FT_Y5,12)/FT_Int2)-IF(EDATE(AL121,FT_Y5)&lt;PolicyEff,FT_AnnivDays-1,0))),IF(AV121="PT",IF(BP121&lt;PT_First,0,1+INT((BP121-PT_First)/PT_Int)),0)),0))</f>
        <v/>
      </c>
      <c r="BR121" s="0" t="str">
        <f aca="false">IF(LEN($A121&amp;$B121)=0,"",$A121&amp;" "&amp;$B121)</f>
        <v/>
      </c>
    </row>
    <row r="122" customFormat="false" ht="15" hidden="false" customHeight="false" outlineLevel="0" collapsed="false">
      <c r="A122" s="12"/>
      <c r="B122" s="12"/>
      <c r="C122" s="12"/>
      <c r="D122" s="13"/>
      <c r="E122" s="14" t="str">
        <f aca="false">IF(OR(AK122=0,$D122=""),"",DATE(YEAR(AsOfDate)+IF(DATE(YEAR(AsOfDate),MONTH($D122),DAY($D122))&lt;=AsOfDate,1,0),MONTH($D122),DAY($D122)))</f>
        <v/>
      </c>
      <c r="F122" s="13"/>
      <c r="G122" s="13"/>
      <c r="H122" s="13"/>
      <c r="I122" s="13"/>
      <c r="J122" s="13"/>
      <c r="K122" s="14" t="str">
        <f aca="false">IF(AK122=0,"",DATE(YEAR(AsOfDate)+IF(DATE(YEAR(AsOfDate),MONTH(AL122),DAY(AL122))&lt;=AsOfDate,1,0),MONTH(AL122),DAY(AL122)))</f>
        <v/>
      </c>
      <c r="L122" s="15" t="str">
        <f aca="false">IF(AK122=0,"",ROUND((AsOfDate-AL122)/365.25,1))</f>
        <v/>
      </c>
      <c r="M122" s="16" t="str">
        <f aca="false">IF(AK122=0,"",IF(AsOfDate&lt;AL122,"-",DATEDIF(AL122,AsOfDate,"y")&amp;"y "&amp;DATEDIF(AL122,AsOfDate,"ym")&amp;"m "&amp;DATEDIF(AL122,AsOfDate,"md")&amp;"d"))</f>
        <v/>
      </c>
      <c r="N122" s="17" t="str">
        <f aca="false">IF(AK122=0,"",O122*HoursPerDay)</f>
        <v/>
      </c>
      <c r="O122" s="17" t="str">
        <f aca="false">IF(AK122=0,"",MAX(0,BD122-BQ122))</f>
        <v/>
      </c>
      <c r="P122" s="18"/>
      <c r="Q122" s="16" t="str">
        <f aca="false">IF(AK122=0,"",IF(AM122&lt;2,"",AQ122&amp;" to "&amp;AR122&amp;" on "&amp;TEXT(AO122,"dd/mm/yyyy")&amp;IF(AO122&gt;AsOfDate," (future)",IF(AT122=AU122,"",IF(AU122="None"," - STOPPED accruing",IF(AT122="None"," - commencement for Bonus Leave"," - pathway changed"))))&amp;IF(AM122&lt;3,"","; "&amp;AR122&amp;" to "&amp;AS122&amp;" on "&amp;TEXT(AP122,"dd/mm/yyyy")&amp;IF(AP122&gt;AsOfDate," (future)",IF(AU122=AV122,"",IF(AV122="None"," - STOPPED accruing",IF(AU122="None"," - commencement for Bonus Leave"," - pathway changed")))))))</f>
        <v/>
      </c>
      <c r="R122" s="16" t="str">
        <f aca="false">IF(AK122=0,"",IF(AW122="None",IF(O122&gt;0,"No longer accruing","Not eligible - "&amp;IF(AND(OR(ISNUMBER(SEARCH("part",$C122)),UPPER(TRIM($C122))="PT",UPPER(TRIM($C122))="PTE"),Apply2026="No"),"part-time (scheme is full-time only)",IF(AND(OR(ISNUMBER(SEARCH("part",$C122)),UPPER(TRIM($C122))="PT",UPPER(TRIM($C122))="PTE"),$P122&lt;&gt;"",N($P122)&lt;PT_MinHours),"under "&amp;PT_MinHours&amp;" hrs",IF(IF($C122="","",IF(OR(ISNUMBER(SEARCH("full",$C122)),UPPER(TRIM($C122))="FT",UPPER(TRIM($C122))="FTE"),"Full-Time",IF(OR(ISNUMBER(SEARCH("part",$C122)),UPPER(TRIM($C122))="PT",UPPER(TRIM($C122))="PTE"),"Part-Time",IF(OR(ISNUMBER(SEARCH("cas",$C122)),UPPER(TRIM($C122))="CAS"),"Casual","Unknown"))))="Unknown","type not recognised",$C122)))),IF(O122&gt;0,"Yes - Accrual Required","Not yet - from "&amp;TEXT(S122,"dd/mm/yyyy"))))</f>
        <v/>
      </c>
      <c r="S122" s="14" t="str">
        <f aca="false">IF(AK122=0,"",IF(AW122="None","",EDATE(AL122,BF122)))</f>
        <v/>
      </c>
      <c r="T122" s="17" t="str">
        <f aca="false">IF(AK122=0,"",IF(NOT(LH_Ready),"",IF($F122&gt;PFYDate,0,IF(LH_ColPeriod=0,W122-U122+V122,SUMIFS(INDEX(LH_Data,0,LH_ColAcc),INDEX(LH_Data,0,LH_ColFirst),$A122,INDEX(LH_Data,0,LH_ColSur),$B122,INDEX(LH_Data,0,LH_ColCat),BonusCat,INDEX(LH_Data,0,LH_ColPeriod),LH_OpenLabel)*UnitFactor))))</f>
        <v/>
      </c>
      <c r="U122" s="17" t="str">
        <f aca="false">IF(AK122=0,"",IF(NOT(LH_Ready),"",SUMIFS(INDEX(LH_Data,0,LH_ColAcc),INDEX(LH_Data,0,LH_ColFirst),$A122,INDEX(LH_Data,0,LH_ColSur),$B122,INDEX(LH_Data,0,LH_ColCat),BonusCat,INDEX(LH_Data,0,LH_ColStart),"&gt;="&amp;AL122)*UnitFactor))</f>
        <v/>
      </c>
      <c r="V122" s="17" t="str">
        <f aca="false">IF(AK122=0,"",IF(NOT(LH_Ready),"",SUMIFS(INDEX(LH_Data,0,LH_ColTaken),INDEX(LH_Data,0,LH_ColFirst),$A122,INDEX(LH_Data,0,LH_ColSur),$B122,INDEX(LH_Data,0,LH_ColCat),BonusCat,INDEX(LH_Data,0,LH_ColStart),"&gt;="&amp;AL122)*UnitFactor))</f>
        <v/>
      </c>
      <c r="W122" s="17" t="str">
        <f aca="false">IF(AK122=0,"",IF(NOT(LH_Ready),"",IF(BH122=0,0,INDEX(INDEX(LH_Data,0,LH_ColClose),BH122-1)*UnitFactor)))</f>
        <v/>
      </c>
      <c r="X122" s="17" t="str">
        <f aca="false">IF(AK122=0,"",(MAX(0,BD122-BQ122)-MAX(0,BE122-BQ122))*HoursPerDay)</f>
        <v/>
      </c>
      <c r="Y122" s="17" t="str">
        <f aca="false">IF(AK122=0,"",IF(NOT(LH_Ready),"",IF($AI122="Yes",N(AE122)*HoursPerDay-SUMIFS(INDEX(LH_Data,0,LH_ColAcc),INDEX(LH_Data,0,LH_ColFirst),$A122,INDEX(LH_Data,0,LH_ColSur),$B122,INDEX(LH_Data,0,LH_ColCat),BonusCat,INDEX(LH_Data,0,LH_ColStart),"&gt;="&amp;(EOMONTH(AsOfDate,-1)+1),INDEX(LH_Data,0,LH_ColStart),"&lt;="&amp;AsOfDate)*UnitFactor,IF(BG122=0,N122,N122-N(T122)-N(U122)))))</f>
        <v/>
      </c>
      <c r="Z122" s="16" t="str">
        <f aca="false">IF(OR(AK122=0,Y122=""),"",IF(Y122&gt;0,"Yes","No"))</f>
        <v/>
      </c>
      <c r="AA122" s="16" t="str">
        <f aca="false">IF(AK122=0,IF(LEN($A122&amp;$B122)=0,"","FIX INPUT - StartDate missing"),IF(AD122&lt;&gt;"","FIX INPUT - "&amp;AD122,IF(NOT(LH_Ready),"Paste Leave History export (Settings must show YES)",IF(AND($AI122="Yes",Y122&lt;=0),"OK - EH balance accepted to date"&amp;IF(N(AH122)&gt;0," (EH holds "&amp;AH122&amp;" hrs over the scheme)","")&amp;"; next day "&amp;TEXT(S122,"dd mmm yy")&amp;IF(N(AE122)&gt;0," ("&amp;AE122&amp;" day(s) for "&amp;UPPER(TEXT(AsOfDate,"mmm yyyy"))&amp;" already in EH)",""),IF(Y122&gt;0,"ACCRUE "&amp;ROUND(Y122,2)&amp;" hrs ("&amp;ROUND(Y122/HoursPerDay,2)&amp;" days): "&amp;IF(N(AE122)&gt;0,AE122&amp;" day(s) for "&amp;UPPER(TEXT(AsOfDate,"mmm yyyy"))&amp;" (milestone "&amp;UPPER(TEXT(AF122,"dd mmm yy"))&amp;")"&amp;IF(Y122/HoursPerDay&gt;AE122+0.001," + "&amp;ROUND(Y122/HoursPerDay-AE122,2)&amp;" day(s) catch-up from earlier months",""),"all catch-up from earlier months, nothing new this month")&amp;IF(BG122=0,"; no Bonus Leave in EH yet",""),IF(Y122&lt;0,"CHECK - EH accrued "&amp;ROUND(-Y122,2)&amp;" hrs more than policy since commencement",IF(N(W122)&gt;O122*HoursPerDay+0.01,"CHECK - EH balance "&amp;ROUND(W122-O122*HoursPerDay,2)&amp;" hrs more than policy entitlement",IF(O122&gt;0,"OK - nothing to add"&amp;IF(N(AE122)&gt;0," ("&amp;AE122&amp;" day(s) for "&amp;UPPER(TEXT(AsOfDate,"mmm yyyy"))&amp;" already in EH)",""),IF(AW122="None",R122,"Not yet - first day on "&amp;TEXT(S122,"dd/mm/yyyy"))))))))))</f>
        <v/>
      </c>
      <c r="AB122" s="17" t="str">
        <f aca="false">IF(OR(AK122=0,T122=""),"",MAX(0,BE122-BQ122)*HoursPerDay-T122)</f>
        <v/>
      </c>
      <c r="AC122" s="16" t="str">
        <f aca="false">IF(AK122=0,"",BG122)</f>
        <v/>
      </c>
      <c r="AD122" s="16" t="str">
        <f aca="false">IF(AK122=0,"",TRIM(IF(OR(ISTEXT($F122),ISTEXT($H122),ISTEXT($I122),ISTEXT($G122),ISTEXT($J122),ISTEXT($D122)),"A date is typed as text - retype it as dd/mm/yyyy. ","")&amp;IF(IF($C122="","",IF(OR(ISNUMBER(SEARCH("full",$C122)),UPPER(TRIM($C122))="FT",UPPER(TRIM($C122))="FTE"),"Full-Time",IF(OR(ISNUMBER(SEARCH("part",$C122)),UPPER(TRIM($C122))="PT",UPPER(TRIM($C122))="PTE"),"Part-Time",IF(OR(ISNUMBER(SEARCH("cas",$C122)),UPPER(TRIM($C122))="CAS"),"Casual","Unknown"))))="Unknown","EmploymentType not recognised - use Full-Time, Part-Time or Casual. ","")&amp;IF(AND(AM122&gt;=1,IF(AM122&gt;=3,AS122,IF(AM122=2,AR122,AQ122))&lt;&gt;IF($C122="","",IF(OR(ISNUMBER(SEARCH("full",$C122)),UPPER(TRIM($C122))="FT",UPPER(TRIM($C122))="FTE"),"Full-Time",IF(OR(ISNUMBER(SEARCH("part",$C122)),UPPER(TRIM($C122))="PT",UPPER(TRIM($C122))="PTE"),"Part-Time",IF(OR(ISNUMBER(SEARCH("cas",$C122)),UPPER(TRIM($C122))="CAS"),"Casual","Unknown"))))),"EmploymentType does not match latest start date ("&amp;IF(AM122&gt;=3,AS122,IF(AM122=2,AR122,AQ122))&amp;"). ","")&amp;IF(AND(AM122&gt;=1,AN122&lt;&gt;$F122),"Earliest type date should equal StartDate. ","")&amp;IF(AND(AM122&gt;=2,AN122=AO122),"Two types start on the same date. ","")&amp;IF(AND(OR(ISNUMBER(SEARCH("part",$C122)),UPPER(TRIM($C122))="PT",UPPER(TRIM($C122))="PTE"),$P122=""),"Part-time: enter PT Hrs/Week (blank = 24+). ","")))</f>
        <v/>
      </c>
      <c r="AE122" s="17" t="str">
        <f aca="false">IF(AK122=0,"",O122-MAX(0,BL122-BQ122))</f>
        <v/>
      </c>
      <c r="AF122" s="14" t="str">
        <f aca="false">IF(OR(AK122=0,AE122="",N(AE122)=0,BM122=""),"",EDATE(AL122,BM122))</f>
        <v/>
      </c>
      <c r="AG122" s="17" t="str">
        <f aca="false">IF(AK122=0,"",MIN(BD122,BQ122))</f>
        <v/>
      </c>
      <c r="AH122" s="17" t="str">
        <f aca="false">IF(AK122=0,"",IF(NOT(LH_Ready),"",IF(BG122=0,0,MAX(0,ROUND(N(T122)+N(U122)-N122,2)))))</f>
        <v/>
      </c>
      <c r="AI122" s="12"/>
      <c r="AJ122" s="12"/>
      <c r="AK122" s="16" t="n">
        <f aca="false">IF(OR(LEN($A122&amp;$B122)=0,$F122=""),0,1)</f>
        <v>0</v>
      </c>
      <c r="AL122" s="14" t="str">
        <f aca="false">IF(AK122=0,"",IF(PreSchemeCounts="No",MAX(SchemeStart,IF($J122&lt;&gt;"",$J122,IF(OR(CasualCounts="Yes",COUNT($G122:$I122)=0),$F122,IF(Apply2026="No",IF($I122="",$F122,$I122),IF(COUNT($H122:$I122)=0,$F122,MIN($H122:$I122)))))),IF($J122&lt;&gt;"",$J122,IF(OR(CasualCounts="Yes",COUNT($G122:$I122)=0),$F122,IF(Apply2026="No",IF($I122="",$F122,$I122),IF(COUNT($H122:$I122)=0,$F122,MIN($H122:$I122)))))))</f>
        <v/>
      </c>
      <c r="AM122" s="16" t="str">
        <f aca="false">IF(AK122=0,"",COUNT($G122:$I122))</f>
        <v/>
      </c>
      <c r="AN122" s="14" t="str">
        <f aca="false">IF(AK122=0,"",IFERROR(SMALL($G122:$I122,1),""))</f>
        <v/>
      </c>
      <c r="AO122" s="14" t="str">
        <f aca="false">IF(AK122=0,"",IFERROR(SMALL($G122:$I122,2),""))</f>
        <v/>
      </c>
      <c r="AP122" s="14" t="str">
        <f aca="false">IF(AK122=0,"",IFERROR(SMALL($G122:$I122,3),""))</f>
        <v/>
      </c>
      <c r="AQ122" s="16" t="str">
        <f aca="false">IF(AK122=0,"",IF(AN122="","",IF(AN122=$H122,"Part-Time",IF(AN122=$I122,"Full-Time","Casual"))))</f>
        <v/>
      </c>
      <c r="AR122" s="16" t="str">
        <f aca="false">IF(AK122=0,"",IF(AO122="","",IF(AO122=$H122,"Part-Time",IF(AO122=$I122,"Full-Time","Casual"))))</f>
        <v/>
      </c>
      <c r="AS122" s="16" t="str">
        <f aca="false">IF(AK122=0,"",IF(AP122="","",IF(AP122=$H122,"Part-Time",IF(AP122=$I122,"Full-Time","Casual"))))</f>
        <v/>
      </c>
      <c r="AT122" s="16" t="str">
        <f aca="false">IF(AK122=0,"",IF(AM122=0,IF(OR(ISNUMBER(SEARCH("full",$C122)),UPPER(TRIM($C122))="FT",UPPER(TRIM($C122))="FTE"),"FT",IF(AND(OR(ISNUMBER(SEARCH("part",$C122)),UPPER(TRIM($C122))="PT",UPPER(TRIM($C122))="PTE"),Apply2026="Yes",OR($P122="",N($P122)&gt;=PT_MinHours)),"PT","None")),IF(OR(ISNUMBER(SEARCH("full",AQ122)),UPPER(TRIM(AQ122))="FT",UPPER(TRIM(AQ122))="FTE"),"FT",IF(AND(OR(ISNUMBER(SEARCH("part",AQ122)),UPPER(TRIM(AQ122))="PT",UPPER(TRIM(AQ122))="PTE"),Apply2026="Yes",OR($P122="",N($P122)&gt;=PT_MinHours)),"PT","None"))))</f>
        <v/>
      </c>
      <c r="AU122" s="16" t="str">
        <f aca="false">IF(AK122=0,"",IF(AM122&lt;2,"",IF(OR(ISNUMBER(SEARCH("full",AR122)),UPPER(TRIM(AR122))="FT",UPPER(TRIM(AR122))="FTE"),"FT",IF(AND(OR(ISNUMBER(SEARCH("part",AR122)),UPPER(TRIM(AR122))="PT",UPPER(TRIM(AR122))="PTE"),Apply2026="Yes",OR($P122="",N($P122)&gt;=PT_MinHours)),"PT","None"))))</f>
        <v/>
      </c>
      <c r="AV122" s="16" t="str">
        <f aca="false">IF(AK122=0,"",IF(AM122&lt;3,"",IF(OR(ISNUMBER(SEARCH("full",AS122)),UPPER(TRIM(AS122))="FT",UPPER(TRIM(AS122))="FTE"),"FT",IF(AND(OR(ISNUMBER(SEARCH("part",AS122)),UPPER(TRIM(AS122))="PT",UPPER(TRIM(AS122))="PTE"),Apply2026="Yes",OR($P122="",N($P122)&gt;=PT_MinHours)),"PT","None"))))</f>
        <v/>
      </c>
      <c r="AW122" s="16" t="str">
        <f aca="false">IF(AK122=0,"",IF(AND(AM122&gt;=3,AP122&lt;=AsOfDate),AV122,IF(AND(AM122&gt;=2,AO122&lt;=AsOfDate),AU122,AT122)))</f>
        <v/>
      </c>
      <c r="AX122" s="16" t="str">
        <f aca="false">IF(AK122=0,"",IF(AsOfDate&lt;AL122,-1,12*(YEAR(AsOfDate)-YEAR(AL122))+MONTH(AsOfDate)-MONTH(AL122)-IF(DAY(AsOfDate)&lt;MIN(DAY(AL122),DAY(EOMONTH(AsOfDate,0))),1,0)))</f>
        <v/>
      </c>
      <c r="AY122" s="16" t="str">
        <f aca="false">IF(AK122=0,"",IF(OR(AM122&lt;2,AO122&gt;AsOfDate),AX122,IF((AO122-1)&lt;AL122,-1,12*(YEAR((AO122-1))-YEAR(AL122))+MONTH((AO122-1))-MONTH(AL122)-IF(DAY((AO122-1))&lt;MIN(DAY(AL122),DAY(EOMONTH((AO122-1),0))),1,0))))</f>
        <v/>
      </c>
      <c r="AZ122" s="16" t="str">
        <f aca="false">IF(AK122=0,"",IF(OR(AM122&lt;3,AP122&gt;AsOfDate),AX122,IF((AP122-1)&lt;AL122,-1,12*(YEAR((AP122-1))-YEAR(AL122))+MONTH((AP122-1))-MONTH(AL122)-IF(DAY((AP122-1))&lt;MIN(DAY(AL122),DAY(EOMONTH((AP122-1),0))),1,0))))</f>
        <v/>
      </c>
      <c r="BA122" s="16" t="str">
        <f aca="false">IF(AK122=0,"",IF(PFYDate&lt;AL122,-1,12*(YEAR(PFYDate)-YEAR(AL122))+MONTH(PFYDate)-MONTH(AL122)-IF(DAY(PFYDate)&lt;MIN(DAY(AL122),DAY(EOMONTH(PFYDate,0))),1,0)))</f>
        <v/>
      </c>
      <c r="BB122" s="16" t="str">
        <f aca="false">IF(AK122=0,"",IF(OR(AM122&lt;2,AO122&gt;PFYDate),BA122,IF((AO122-1)&lt;AL122,-1,12*(YEAR((AO122-1))-YEAR(AL122))+MONTH((AO122-1))-MONTH(AL122)-IF(DAY((AO122-1))&lt;MIN(DAY(AL122),DAY(EOMONTH((AO122-1),0))),1,0))))</f>
        <v/>
      </c>
      <c r="BC122" s="16" t="str">
        <f aca="false">IF(AK122=0,"",IF(OR(AM122&lt;3,AP122&gt;PFYDate),BA122,IF((AP122-1)&lt;AL122,-1,12*(YEAR((AP122-1))-YEAR(AL122))+MONTH((AP122-1))-MONTH(AL122)-IF(DAY((AP122-1))&lt;MIN(DAY(AL122),DAY(EOMONTH((AP122-1),0))),1,0))))</f>
        <v/>
      </c>
      <c r="BD122" s="16" t="str">
        <f aca="false">IF(AK122=0,"",IF(AT122="FT",IF(AY122&lt;FT_First,0,IF(AY122&lt;FT_Y5,1+INT((AY122-FT_First)/FT_Int1),FT_PreY5+FT_PerYear*INT((AY122-FT_Y5)/12)+FT_AnnivDays+INT(MOD(AY122-FT_Y5,12)/FT_Int2)-IF(EDATE(AL122,FT_Y5)&lt;PolicyEff,FT_AnnivDays-1,0))),IF(AT122="PT",IF(AY122&lt;PT_First,0,1+INT((AY122-PT_First)/PT_Int)),0))+IF(AND(AM122&gt;=2,AO122&lt;=AsOfDate),IF(AU122="FT",IF(AZ122&lt;FT_First,0,IF(AZ122&lt;FT_Y5,1+INT((AZ122-FT_First)/FT_Int1),FT_PreY5+FT_PerYear*INT((AZ122-FT_Y5)/12)+FT_AnnivDays+INT(MOD(AZ122-FT_Y5,12)/FT_Int2)-IF(EDATE(AL122,FT_Y5)&lt;PolicyEff,FT_AnnivDays-1,0))),IF(AU122="PT",IF(AZ122&lt;PT_First,0,1+INT((AZ122-PT_First)/PT_Int)),0))-IF(AU122="FT",IF(AY122&lt;FT_First,0,IF(AY122&lt;FT_Y5,1+INT((AY122-FT_First)/FT_Int1),FT_PreY5+FT_PerYear*INT((AY122-FT_Y5)/12)+FT_AnnivDays+INT(MOD(AY122-FT_Y5,12)/FT_Int2)-IF(EDATE(AL122,FT_Y5)&lt;PolicyEff,FT_AnnivDays-1,0))),IF(AU122="PT",IF(AY122&lt;PT_First,0,1+INT((AY122-PT_First)/PT_Int)),0)),0)+IF(AND(AM122&gt;=3,AP122&lt;=AsOfDate),IF(AV122="FT",IF(AX122&lt;FT_First,0,IF(AX122&lt;FT_Y5,1+INT((AX122-FT_First)/FT_Int1),FT_PreY5+FT_PerYear*INT((AX122-FT_Y5)/12)+FT_AnnivDays+INT(MOD(AX122-FT_Y5,12)/FT_Int2)-IF(EDATE(AL122,FT_Y5)&lt;PolicyEff,FT_AnnivDays-1,0))),IF(AV122="PT",IF(AX122&lt;PT_First,0,1+INT((AX122-PT_First)/PT_Int)),0))-IF(AV122="FT",IF(AZ122&lt;FT_First,0,IF(AZ122&lt;FT_Y5,1+INT((AZ122-FT_First)/FT_Int1),FT_PreY5+FT_PerYear*INT((AZ122-FT_Y5)/12)+FT_AnnivDays+INT(MOD(AZ122-FT_Y5,12)/FT_Int2)-IF(EDATE(AL122,FT_Y5)&lt;PolicyEff,FT_AnnivDays-1,0))),IF(AV122="PT",IF(AZ122&lt;PT_First,0,1+INT((AZ122-PT_First)/PT_Int)),0)),0))</f>
        <v/>
      </c>
      <c r="BE122" s="16" t="str">
        <f aca="false">IF(AK122=0,"",IF(AT122="FT",IF(BB122&lt;FT_First,0,IF(BB122&lt;FT_Y5,1+INT((BB122-FT_First)/FT_Int1),FT_PreY5+FT_PerYear*INT((BB122-FT_Y5)/12)+FT_AnnivDays+INT(MOD(BB122-FT_Y5,12)/FT_Int2)-IF(EDATE(AL122,FT_Y5)&lt;PolicyEff,FT_AnnivDays-1,0))),IF(AT122="PT",IF(BB122&lt;PT_First,0,1+INT((BB122-PT_First)/PT_Int)),0))+IF(AND(AM122&gt;=2,AO122&lt;=PFYDate),IF(AU122="FT",IF(BC122&lt;FT_First,0,IF(BC122&lt;FT_Y5,1+INT((BC122-FT_First)/FT_Int1),FT_PreY5+FT_PerYear*INT((BC122-FT_Y5)/12)+FT_AnnivDays+INT(MOD(BC122-FT_Y5,12)/FT_Int2)-IF(EDATE(AL122,FT_Y5)&lt;PolicyEff,FT_AnnivDays-1,0))),IF(AU122="PT",IF(BC122&lt;PT_First,0,1+INT((BC122-PT_First)/PT_Int)),0))-IF(AU122="FT",IF(BB122&lt;FT_First,0,IF(BB122&lt;FT_Y5,1+INT((BB122-FT_First)/FT_Int1),FT_PreY5+FT_PerYear*INT((BB122-FT_Y5)/12)+FT_AnnivDays+INT(MOD(BB122-FT_Y5,12)/FT_Int2)-IF(EDATE(AL122,FT_Y5)&lt;PolicyEff,FT_AnnivDays-1,0))),IF(AU122="PT",IF(BB122&lt;PT_First,0,1+INT((BB122-PT_First)/PT_Int)),0)),0)+IF(AND(AM122&gt;=3,AP122&lt;=PFYDate),IF(AV122="FT",IF(BA122&lt;FT_First,0,IF(BA122&lt;FT_Y5,1+INT((BA122-FT_First)/FT_Int1),FT_PreY5+FT_PerYear*INT((BA122-FT_Y5)/12)+FT_AnnivDays+INT(MOD(BA122-FT_Y5,12)/FT_Int2)-IF(EDATE(AL122,FT_Y5)&lt;PolicyEff,FT_AnnivDays-1,0))),IF(AV122="PT",IF(BA122&lt;PT_First,0,1+INT((BA122-PT_First)/PT_Int)),0))-IF(AV122="FT",IF(BC122&lt;FT_First,0,IF(BC122&lt;FT_Y5,1+INT((BC122-FT_First)/FT_Int1),FT_PreY5+FT_PerYear*INT((BC122-FT_Y5)/12)+FT_AnnivDays+INT(MOD(BC122-FT_Y5,12)/FT_Int2)-IF(EDATE(AL122,FT_Y5)&lt;PolicyEff,FT_AnnivDays-1,0))),IF(AV122="PT",IF(BC122&lt;PT_First,0,1+INT((BC122-PT_First)/PT_Int)),0)),0))</f>
        <v/>
      </c>
      <c r="BF122" s="16" t="str">
        <f aca="false">IF(AK122=0,"",IF(AW122="FT",IF(AX122&lt;FT_First,FT_First,IF(AX122&lt;FT_Y5,MIN(FT_Y5,FT_First+FT_Int1*(INT((AX122-FT_First)/FT_Int1)+1)),FT_Y5+12*INT((AX122-FT_Y5)/12)+FT_Int2*(INT(MOD(AX122-FT_Y5,12)/FT_Int2)+1))),IF(AW122="PT",IF(AX122&lt;PT_First,PT_First,PT_First+PT_Int*(INT((AX122-PT_First)/PT_Int)+1)),"")))</f>
        <v/>
      </c>
      <c r="BG122" s="16" t="str">
        <f aca="false">IF(AK122=0,"",IF(NOT(LH_Ready),0,COUNTIFS(INDEX(LH_Data,0,LH_ColFirst),$A122,INDEX(LH_Data,0,LH_ColSur),$B122,INDEX(LH_Data,0,LH_ColCat),BonusCat)))</f>
        <v/>
      </c>
      <c r="BH122" s="16" t="str">
        <f aca="false">IF(AK122=0,"",IF(OR(NOT(LH_Ready),BG122=0),0,SUMPRODUCT(MAX((INDEX(LH_Data,0,LH_ColFirst)=$A122)*(INDEX(LH_Data,0,LH_ColSur)=$B122)*(INDEX(LH_Data,0,LH_ColCat)=BonusCat)*ROW(LH_Data)))))</f>
        <v/>
      </c>
      <c r="BI122" s="16" t="str">
        <f aca="false">IF(AK122=0,"",IF(EOMONTH(AsOfDate,-1)&lt;AL122,-1,12*(YEAR(EOMONTH(AsOfDate,-1))-YEAR(AL122))+MONTH(EOMONTH(AsOfDate,-1))-MONTH(AL122)-IF(DAY(EOMONTH(AsOfDate,-1))&lt;MIN(DAY(AL122),DAY(EOMONTH(EOMONTH(AsOfDate,-1),0))),1,0)))</f>
        <v/>
      </c>
      <c r="BJ122" s="16" t="str">
        <f aca="false">IF(AK122=0,"",IF(OR(AM122&lt;2,AO122&gt;EOMONTH(AsOfDate,-1)),BI122,IF((AO122-1)&lt;AL122,-1,12*(YEAR((AO122-1))-YEAR(AL122))+MONTH((AO122-1))-MONTH(AL122)-IF(DAY((AO122-1))&lt;MIN(DAY(AL122),DAY(EOMONTH((AO122-1),0))),1,0))))</f>
        <v/>
      </c>
      <c r="BK122" s="16" t="str">
        <f aca="false">IF(AK122=0,"",IF(OR(AM122&lt;3,AP122&gt;EOMONTH(AsOfDate,-1)),BI122,IF((AP122-1)&lt;AL122,-1,12*(YEAR((AP122-1))-YEAR(AL122))+MONTH((AP122-1))-MONTH(AL122)-IF(DAY((AP122-1))&lt;MIN(DAY(AL122),DAY(EOMONTH((AP122-1),0))),1,0))))</f>
        <v/>
      </c>
      <c r="BL122" s="16" t="str">
        <f aca="false">IF(AK122=0,"",IF(AT122="FT",IF(BJ122&lt;FT_First,0,IF(BJ122&lt;FT_Y5,1+INT((BJ122-FT_First)/FT_Int1),FT_PreY5+FT_PerYear*INT((BJ122-FT_Y5)/12)+FT_AnnivDays+INT(MOD(BJ122-FT_Y5,12)/FT_Int2)-IF(EDATE(AL122,FT_Y5)&lt;PolicyEff,FT_AnnivDays-1,0))),IF(AT122="PT",IF(BJ122&lt;PT_First,0,1+INT((BJ122-PT_First)/PT_Int)),0))+IF(AND(AM122&gt;=2,AO122&lt;=EOMONTH(AsOfDate,-1)),IF(AU122="FT",IF(BK122&lt;FT_First,0,IF(BK122&lt;FT_Y5,1+INT((BK122-FT_First)/FT_Int1),FT_PreY5+FT_PerYear*INT((BK122-FT_Y5)/12)+FT_AnnivDays+INT(MOD(BK122-FT_Y5,12)/FT_Int2)-IF(EDATE(AL122,FT_Y5)&lt;PolicyEff,FT_AnnivDays-1,0))),IF(AU122="PT",IF(BK122&lt;PT_First,0,1+INT((BK122-PT_First)/PT_Int)),0))-IF(AU122="FT",IF(BJ122&lt;FT_First,0,IF(BJ122&lt;FT_Y5,1+INT((BJ122-FT_First)/FT_Int1),FT_PreY5+FT_PerYear*INT((BJ122-FT_Y5)/12)+FT_AnnivDays+INT(MOD(BJ122-FT_Y5,12)/FT_Int2)-IF(EDATE(AL122,FT_Y5)&lt;PolicyEff,FT_AnnivDays-1,0))),IF(AU122="PT",IF(BJ122&lt;PT_First,0,1+INT((BJ122-PT_First)/PT_Int)),0)),0)+IF(AND(AM122&gt;=3,AP122&lt;=EOMONTH(AsOfDate,-1)),IF(AV122="FT",IF(BI122&lt;FT_First,0,IF(BI122&lt;FT_Y5,1+INT((BI122-FT_First)/FT_Int1),FT_PreY5+FT_PerYear*INT((BI122-FT_Y5)/12)+FT_AnnivDays+INT(MOD(BI122-FT_Y5,12)/FT_Int2)-IF(EDATE(AL122,FT_Y5)&lt;PolicyEff,FT_AnnivDays-1,0))),IF(AV122="PT",IF(BI122&lt;PT_First,0,1+INT((BI122-PT_First)/PT_Int)),0))-IF(AV122="FT",IF(BK122&lt;FT_First,0,IF(BK122&lt;FT_Y5,1+INT((BK122-FT_First)/FT_Int1),FT_PreY5+FT_PerYear*INT((BK122-FT_Y5)/12)+FT_AnnivDays+INT(MOD(BK122-FT_Y5,12)/FT_Int2)-IF(EDATE(AL122,FT_Y5)&lt;PolicyEff,FT_AnnivDays-1,0))),IF(AV122="PT",IF(BK122&lt;PT_First,0,1+INT((BK122-PT_First)/PT_Int)),0)),0))</f>
        <v/>
      </c>
      <c r="BM122" s="16" t="str">
        <f aca="false">IF(AK122=0,"",IF(AW122="FT",IF(AX122&lt;FT_First,"",IF(AX122&lt;FT_Y5,FT_First+FT_Int1*INT((AX122-FT_First)/FT_Int1),FT_Y5+FT_Int2*INT((AX122-FT_Y5)/FT_Int2))),IF(AW122="PT",IF(AX122&lt;PT_First,"",PT_First+PT_Int*INT((AX122-PT_First)/PT_Int)),"")))</f>
        <v/>
      </c>
      <c r="BN122" s="16" t="str">
        <f aca="false">IF(AK122=0,"",IF((SchemeStart-1)&lt;AL122,-1,12*(YEAR((SchemeStart-1))-YEAR(AL122))+MONTH((SchemeStart-1))-MONTH(AL122)-IF(DAY((SchemeStart-1))&lt;MIN(DAY(AL122),DAY(EOMONTH((SchemeStart-1),0))),1,0)))</f>
        <v/>
      </c>
      <c r="BO122" s="16" t="str">
        <f aca="false">IF(AK122=0,"",IF(OR(AM122&lt;2,AO122&gt;(SchemeStart-1)),BN122,IF((AO122-1)&lt;AL122,-1,12*(YEAR((AO122-1))-YEAR(AL122))+MONTH((AO122-1))-MONTH(AL122)-IF(DAY((AO122-1))&lt;MIN(DAY(AL122),DAY(EOMONTH((AO122-1),0))),1,0))))</f>
        <v/>
      </c>
      <c r="BP122" s="16" t="str">
        <f aca="false">IF(AK122=0,"",IF(OR(AM122&lt;3,AP122&gt;(SchemeStart-1)),BN122,IF((AP122-1)&lt;AL122,-1,12*(YEAR((AP122-1))-YEAR(AL122))+MONTH((AP122-1))-MONTH(AL122)-IF(DAY((AP122-1))&lt;MIN(DAY(AL122),DAY(EOMONTH((AP122-1),0))),1,0))))</f>
        <v/>
      </c>
      <c r="BQ122" s="16" t="str">
        <f aca="false">IF(AK122=0,"",IF(AT122="FT",IF(BO122&lt;FT_First,0,IF(BO122&lt;FT_Y5,1+INT((BO122-FT_First)/FT_Int1),FT_PreY5+FT_PerYear*INT((BO122-FT_Y5)/12)+FT_AnnivDays+INT(MOD(BO122-FT_Y5,12)/FT_Int2)-IF(EDATE(AL122,FT_Y5)&lt;PolicyEff,FT_AnnivDays-1,0))),IF(AT122="PT",IF(BO122&lt;PT_First,0,1+INT((BO122-PT_First)/PT_Int)),0))+IF(AND(AM122&gt;=2,AO122&lt;=(SchemeStart-1)),IF(AU122="FT",IF(BP122&lt;FT_First,0,IF(BP122&lt;FT_Y5,1+INT((BP122-FT_First)/FT_Int1),FT_PreY5+FT_PerYear*INT((BP122-FT_Y5)/12)+FT_AnnivDays+INT(MOD(BP122-FT_Y5,12)/FT_Int2)-IF(EDATE(AL122,FT_Y5)&lt;PolicyEff,FT_AnnivDays-1,0))),IF(AU122="PT",IF(BP122&lt;PT_First,0,1+INT((BP122-PT_First)/PT_Int)),0))-IF(AU122="FT",IF(BO122&lt;FT_First,0,IF(BO122&lt;FT_Y5,1+INT((BO122-FT_First)/FT_Int1),FT_PreY5+FT_PerYear*INT((BO122-FT_Y5)/12)+FT_AnnivDays+INT(MOD(BO122-FT_Y5,12)/FT_Int2)-IF(EDATE(AL122,FT_Y5)&lt;PolicyEff,FT_AnnivDays-1,0))),IF(AU122="PT",IF(BO122&lt;PT_First,0,1+INT((BO122-PT_First)/PT_Int)),0)),0)+IF(AND(AM122&gt;=3,AP122&lt;=(SchemeStart-1)),IF(AV122="FT",IF(BN122&lt;FT_First,0,IF(BN122&lt;FT_Y5,1+INT((BN122-FT_First)/FT_Int1),FT_PreY5+FT_PerYear*INT((BN122-FT_Y5)/12)+FT_AnnivDays+INT(MOD(BN122-FT_Y5,12)/FT_Int2)-IF(EDATE(AL122,FT_Y5)&lt;PolicyEff,FT_AnnivDays-1,0))),IF(AV122="PT",IF(BN122&lt;PT_First,0,1+INT((BN122-PT_First)/PT_Int)),0))-IF(AV122="FT",IF(BP122&lt;FT_First,0,IF(BP122&lt;FT_Y5,1+INT((BP122-FT_First)/FT_Int1),FT_PreY5+FT_PerYear*INT((BP122-FT_Y5)/12)+FT_AnnivDays+INT(MOD(BP122-FT_Y5,12)/FT_Int2)-IF(EDATE(AL122,FT_Y5)&lt;PolicyEff,FT_AnnivDays-1,0))),IF(AV122="PT",IF(BP122&lt;PT_First,0,1+INT((BP122-PT_First)/PT_Int)),0)),0))</f>
        <v/>
      </c>
      <c r="BR122" s="0" t="str">
        <f aca="false">IF(LEN($A122&amp;$B122)=0,"",$A122&amp;" "&amp;$B122)</f>
        <v/>
      </c>
    </row>
    <row r="123" customFormat="false" ht="15" hidden="false" customHeight="false" outlineLevel="0" collapsed="false">
      <c r="A123" s="12"/>
      <c r="B123" s="12"/>
      <c r="C123" s="12"/>
      <c r="D123" s="13"/>
      <c r="E123" s="14" t="str">
        <f aca="false">IF(OR(AK123=0,$D123=""),"",DATE(YEAR(AsOfDate)+IF(DATE(YEAR(AsOfDate),MONTH($D123),DAY($D123))&lt;=AsOfDate,1,0),MONTH($D123),DAY($D123)))</f>
        <v/>
      </c>
      <c r="F123" s="13"/>
      <c r="G123" s="13"/>
      <c r="H123" s="13"/>
      <c r="I123" s="13"/>
      <c r="J123" s="13"/>
      <c r="K123" s="14" t="str">
        <f aca="false">IF(AK123=0,"",DATE(YEAR(AsOfDate)+IF(DATE(YEAR(AsOfDate),MONTH(AL123),DAY(AL123))&lt;=AsOfDate,1,0),MONTH(AL123),DAY(AL123)))</f>
        <v/>
      </c>
      <c r="L123" s="15" t="str">
        <f aca="false">IF(AK123=0,"",ROUND((AsOfDate-AL123)/365.25,1))</f>
        <v/>
      </c>
      <c r="M123" s="16" t="str">
        <f aca="false">IF(AK123=0,"",IF(AsOfDate&lt;AL123,"-",DATEDIF(AL123,AsOfDate,"y")&amp;"y "&amp;DATEDIF(AL123,AsOfDate,"ym")&amp;"m "&amp;DATEDIF(AL123,AsOfDate,"md")&amp;"d"))</f>
        <v/>
      </c>
      <c r="N123" s="17" t="str">
        <f aca="false">IF(AK123=0,"",O123*HoursPerDay)</f>
        <v/>
      </c>
      <c r="O123" s="17" t="str">
        <f aca="false">IF(AK123=0,"",MAX(0,BD123-BQ123))</f>
        <v/>
      </c>
      <c r="P123" s="18"/>
      <c r="Q123" s="16" t="str">
        <f aca="false">IF(AK123=0,"",IF(AM123&lt;2,"",AQ123&amp;" to "&amp;AR123&amp;" on "&amp;TEXT(AO123,"dd/mm/yyyy")&amp;IF(AO123&gt;AsOfDate," (future)",IF(AT123=AU123,"",IF(AU123="None"," - STOPPED accruing",IF(AT123="None"," - commencement for Bonus Leave"," - pathway changed"))))&amp;IF(AM123&lt;3,"","; "&amp;AR123&amp;" to "&amp;AS123&amp;" on "&amp;TEXT(AP123,"dd/mm/yyyy")&amp;IF(AP123&gt;AsOfDate," (future)",IF(AU123=AV123,"",IF(AV123="None"," - STOPPED accruing",IF(AU123="None"," - commencement for Bonus Leave"," - pathway changed")))))))</f>
        <v/>
      </c>
      <c r="R123" s="16" t="str">
        <f aca="false">IF(AK123=0,"",IF(AW123="None",IF(O123&gt;0,"No longer accruing","Not eligible - "&amp;IF(AND(OR(ISNUMBER(SEARCH("part",$C123)),UPPER(TRIM($C123))="PT",UPPER(TRIM($C123))="PTE"),Apply2026="No"),"part-time (scheme is full-time only)",IF(AND(OR(ISNUMBER(SEARCH("part",$C123)),UPPER(TRIM($C123))="PT",UPPER(TRIM($C123))="PTE"),$P123&lt;&gt;"",N($P123)&lt;PT_MinHours),"under "&amp;PT_MinHours&amp;" hrs",IF(IF($C123="","",IF(OR(ISNUMBER(SEARCH("full",$C123)),UPPER(TRIM($C123))="FT",UPPER(TRIM($C123))="FTE"),"Full-Time",IF(OR(ISNUMBER(SEARCH("part",$C123)),UPPER(TRIM($C123))="PT",UPPER(TRIM($C123))="PTE"),"Part-Time",IF(OR(ISNUMBER(SEARCH("cas",$C123)),UPPER(TRIM($C123))="CAS"),"Casual","Unknown"))))="Unknown","type not recognised",$C123)))),IF(O123&gt;0,"Yes - Accrual Required","Not yet - from "&amp;TEXT(S123,"dd/mm/yyyy"))))</f>
        <v/>
      </c>
      <c r="S123" s="14" t="str">
        <f aca="false">IF(AK123=0,"",IF(AW123="None","",EDATE(AL123,BF123)))</f>
        <v/>
      </c>
      <c r="T123" s="17" t="str">
        <f aca="false">IF(AK123=0,"",IF(NOT(LH_Ready),"",IF($F123&gt;PFYDate,0,IF(LH_ColPeriod=0,W123-U123+V123,SUMIFS(INDEX(LH_Data,0,LH_ColAcc),INDEX(LH_Data,0,LH_ColFirst),$A123,INDEX(LH_Data,0,LH_ColSur),$B123,INDEX(LH_Data,0,LH_ColCat),BonusCat,INDEX(LH_Data,0,LH_ColPeriod),LH_OpenLabel)*UnitFactor))))</f>
        <v/>
      </c>
      <c r="U123" s="17" t="str">
        <f aca="false">IF(AK123=0,"",IF(NOT(LH_Ready),"",SUMIFS(INDEX(LH_Data,0,LH_ColAcc),INDEX(LH_Data,0,LH_ColFirst),$A123,INDEX(LH_Data,0,LH_ColSur),$B123,INDEX(LH_Data,0,LH_ColCat),BonusCat,INDEX(LH_Data,0,LH_ColStart),"&gt;="&amp;AL123)*UnitFactor))</f>
        <v/>
      </c>
      <c r="V123" s="17" t="str">
        <f aca="false">IF(AK123=0,"",IF(NOT(LH_Ready),"",SUMIFS(INDEX(LH_Data,0,LH_ColTaken),INDEX(LH_Data,0,LH_ColFirst),$A123,INDEX(LH_Data,0,LH_ColSur),$B123,INDEX(LH_Data,0,LH_ColCat),BonusCat,INDEX(LH_Data,0,LH_ColStart),"&gt;="&amp;AL123)*UnitFactor))</f>
        <v/>
      </c>
      <c r="W123" s="17" t="str">
        <f aca="false">IF(AK123=0,"",IF(NOT(LH_Ready),"",IF(BH123=0,0,INDEX(INDEX(LH_Data,0,LH_ColClose),BH123-1)*UnitFactor)))</f>
        <v/>
      </c>
      <c r="X123" s="17" t="str">
        <f aca="false">IF(AK123=0,"",(MAX(0,BD123-BQ123)-MAX(0,BE123-BQ123))*HoursPerDay)</f>
        <v/>
      </c>
      <c r="Y123" s="17" t="str">
        <f aca="false">IF(AK123=0,"",IF(NOT(LH_Ready),"",IF($AI123="Yes",N(AE123)*HoursPerDay-SUMIFS(INDEX(LH_Data,0,LH_ColAcc),INDEX(LH_Data,0,LH_ColFirst),$A123,INDEX(LH_Data,0,LH_ColSur),$B123,INDEX(LH_Data,0,LH_ColCat),BonusCat,INDEX(LH_Data,0,LH_ColStart),"&gt;="&amp;(EOMONTH(AsOfDate,-1)+1),INDEX(LH_Data,0,LH_ColStart),"&lt;="&amp;AsOfDate)*UnitFactor,IF(BG123=0,N123,N123-N(T123)-N(U123)))))</f>
        <v/>
      </c>
      <c r="Z123" s="16" t="str">
        <f aca="false">IF(OR(AK123=0,Y123=""),"",IF(Y123&gt;0,"Yes","No"))</f>
        <v/>
      </c>
      <c r="AA123" s="16" t="str">
        <f aca="false">IF(AK123=0,IF(LEN($A123&amp;$B123)=0,"","FIX INPUT - StartDate missing"),IF(AD123&lt;&gt;"","FIX INPUT - "&amp;AD123,IF(NOT(LH_Ready),"Paste Leave History export (Settings must show YES)",IF(AND($AI123="Yes",Y123&lt;=0),"OK - EH balance accepted to date"&amp;IF(N(AH123)&gt;0," (EH holds "&amp;AH123&amp;" hrs over the scheme)","")&amp;"; next day "&amp;TEXT(S123,"dd mmm yy")&amp;IF(N(AE123)&gt;0," ("&amp;AE123&amp;" day(s) for "&amp;UPPER(TEXT(AsOfDate,"mmm yyyy"))&amp;" already in EH)",""),IF(Y123&gt;0,"ACCRUE "&amp;ROUND(Y123,2)&amp;" hrs ("&amp;ROUND(Y123/HoursPerDay,2)&amp;" days): "&amp;IF(N(AE123)&gt;0,AE123&amp;" day(s) for "&amp;UPPER(TEXT(AsOfDate,"mmm yyyy"))&amp;" (milestone "&amp;UPPER(TEXT(AF123,"dd mmm yy"))&amp;")"&amp;IF(Y123/HoursPerDay&gt;AE123+0.001," + "&amp;ROUND(Y123/HoursPerDay-AE123,2)&amp;" day(s) catch-up from earlier months",""),"all catch-up from earlier months, nothing new this month")&amp;IF(BG123=0,"; no Bonus Leave in EH yet",""),IF(Y123&lt;0,"CHECK - EH accrued "&amp;ROUND(-Y123,2)&amp;" hrs more than policy since commencement",IF(N(W123)&gt;O123*HoursPerDay+0.01,"CHECK - EH balance "&amp;ROUND(W123-O123*HoursPerDay,2)&amp;" hrs more than policy entitlement",IF(O123&gt;0,"OK - nothing to add"&amp;IF(N(AE123)&gt;0," ("&amp;AE123&amp;" day(s) for "&amp;UPPER(TEXT(AsOfDate,"mmm yyyy"))&amp;" already in EH)",""),IF(AW123="None",R123,"Not yet - first day on "&amp;TEXT(S123,"dd/mm/yyyy"))))))))))</f>
        <v/>
      </c>
      <c r="AB123" s="17" t="str">
        <f aca="false">IF(OR(AK123=0,T123=""),"",MAX(0,BE123-BQ123)*HoursPerDay-T123)</f>
        <v/>
      </c>
      <c r="AC123" s="16" t="str">
        <f aca="false">IF(AK123=0,"",BG123)</f>
        <v/>
      </c>
      <c r="AD123" s="16" t="str">
        <f aca="false">IF(AK123=0,"",TRIM(IF(OR(ISTEXT($F123),ISTEXT($H123),ISTEXT($I123),ISTEXT($G123),ISTEXT($J123),ISTEXT($D123)),"A date is typed as text - retype it as dd/mm/yyyy. ","")&amp;IF(IF($C123="","",IF(OR(ISNUMBER(SEARCH("full",$C123)),UPPER(TRIM($C123))="FT",UPPER(TRIM($C123))="FTE"),"Full-Time",IF(OR(ISNUMBER(SEARCH("part",$C123)),UPPER(TRIM($C123))="PT",UPPER(TRIM($C123))="PTE"),"Part-Time",IF(OR(ISNUMBER(SEARCH("cas",$C123)),UPPER(TRIM($C123))="CAS"),"Casual","Unknown"))))="Unknown","EmploymentType not recognised - use Full-Time, Part-Time or Casual. ","")&amp;IF(AND(AM123&gt;=1,IF(AM123&gt;=3,AS123,IF(AM123=2,AR123,AQ123))&lt;&gt;IF($C123="","",IF(OR(ISNUMBER(SEARCH("full",$C123)),UPPER(TRIM($C123))="FT",UPPER(TRIM($C123))="FTE"),"Full-Time",IF(OR(ISNUMBER(SEARCH("part",$C123)),UPPER(TRIM($C123))="PT",UPPER(TRIM($C123))="PTE"),"Part-Time",IF(OR(ISNUMBER(SEARCH("cas",$C123)),UPPER(TRIM($C123))="CAS"),"Casual","Unknown"))))),"EmploymentType does not match latest start date ("&amp;IF(AM123&gt;=3,AS123,IF(AM123=2,AR123,AQ123))&amp;"). ","")&amp;IF(AND(AM123&gt;=1,AN123&lt;&gt;$F123),"Earliest type date should equal StartDate. ","")&amp;IF(AND(AM123&gt;=2,AN123=AO123),"Two types start on the same date. ","")&amp;IF(AND(OR(ISNUMBER(SEARCH("part",$C123)),UPPER(TRIM($C123))="PT",UPPER(TRIM($C123))="PTE"),$P123=""),"Part-time: enter PT Hrs/Week (blank = 24+). ","")))</f>
        <v/>
      </c>
      <c r="AE123" s="17" t="str">
        <f aca="false">IF(AK123=0,"",O123-MAX(0,BL123-BQ123))</f>
        <v/>
      </c>
      <c r="AF123" s="14" t="str">
        <f aca="false">IF(OR(AK123=0,AE123="",N(AE123)=0,BM123=""),"",EDATE(AL123,BM123))</f>
        <v/>
      </c>
      <c r="AG123" s="17" t="str">
        <f aca="false">IF(AK123=0,"",MIN(BD123,BQ123))</f>
        <v/>
      </c>
      <c r="AH123" s="17" t="str">
        <f aca="false">IF(AK123=0,"",IF(NOT(LH_Ready),"",IF(BG123=0,0,MAX(0,ROUND(N(T123)+N(U123)-N123,2)))))</f>
        <v/>
      </c>
      <c r="AI123" s="12"/>
      <c r="AJ123" s="12"/>
      <c r="AK123" s="16" t="n">
        <f aca="false">IF(OR(LEN($A123&amp;$B123)=0,$F123=""),0,1)</f>
        <v>0</v>
      </c>
      <c r="AL123" s="14" t="str">
        <f aca="false">IF(AK123=0,"",IF(PreSchemeCounts="No",MAX(SchemeStart,IF($J123&lt;&gt;"",$J123,IF(OR(CasualCounts="Yes",COUNT($G123:$I123)=0),$F123,IF(Apply2026="No",IF($I123="",$F123,$I123),IF(COUNT($H123:$I123)=0,$F123,MIN($H123:$I123)))))),IF($J123&lt;&gt;"",$J123,IF(OR(CasualCounts="Yes",COUNT($G123:$I123)=0),$F123,IF(Apply2026="No",IF($I123="",$F123,$I123),IF(COUNT($H123:$I123)=0,$F123,MIN($H123:$I123)))))))</f>
        <v/>
      </c>
      <c r="AM123" s="16" t="str">
        <f aca="false">IF(AK123=0,"",COUNT($G123:$I123))</f>
        <v/>
      </c>
      <c r="AN123" s="14" t="str">
        <f aca="false">IF(AK123=0,"",IFERROR(SMALL($G123:$I123,1),""))</f>
        <v/>
      </c>
      <c r="AO123" s="14" t="str">
        <f aca="false">IF(AK123=0,"",IFERROR(SMALL($G123:$I123,2),""))</f>
        <v/>
      </c>
      <c r="AP123" s="14" t="str">
        <f aca="false">IF(AK123=0,"",IFERROR(SMALL($G123:$I123,3),""))</f>
        <v/>
      </c>
      <c r="AQ123" s="16" t="str">
        <f aca="false">IF(AK123=0,"",IF(AN123="","",IF(AN123=$H123,"Part-Time",IF(AN123=$I123,"Full-Time","Casual"))))</f>
        <v/>
      </c>
      <c r="AR123" s="16" t="str">
        <f aca="false">IF(AK123=0,"",IF(AO123="","",IF(AO123=$H123,"Part-Time",IF(AO123=$I123,"Full-Time","Casual"))))</f>
        <v/>
      </c>
      <c r="AS123" s="16" t="str">
        <f aca="false">IF(AK123=0,"",IF(AP123="","",IF(AP123=$H123,"Part-Time",IF(AP123=$I123,"Full-Time","Casual"))))</f>
        <v/>
      </c>
      <c r="AT123" s="16" t="str">
        <f aca="false">IF(AK123=0,"",IF(AM123=0,IF(OR(ISNUMBER(SEARCH("full",$C123)),UPPER(TRIM($C123))="FT",UPPER(TRIM($C123))="FTE"),"FT",IF(AND(OR(ISNUMBER(SEARCH("part",$C123)),UPPER(TRIM($C123))="PT",UPPER(TRIM($C123))="PTE"),Apply2026="Yes",OR($P123="",N($P123)&gt;=PT_MinHours)),"PT","None")),IF(OR(ISNUMBER(SEARCH("full",AQ123)),UPPER(TRIM(AQ123))="FT",UPPER(TRIM(AQ123))="FTE"),"FT",IF(AND(OR(ISNUMBER(SEARCH("part",AQ123)),UPPER(TRIM(AQ123))="PT",UPPER(TRIM(AQ123))="PTE"),Apply2026="Yes",OR($P123="",N($P123)&gt;=PT_MinHours)),"PT","None"))))</f>
        <v/>
      </c>
      <c r="AU123" s="16" t="str">
        <f aca="false">IF(AK123=0,"",IF(AM123&lt;2,"",IF(OR(ISNUMBER(SEARCH("full",AR123)),UPPER(TRIM(AR123))="FT",UPPER(TRIM(AR123))="FTE"),"FT",IF(AND(OR(ISNUMBER(SEARCH("part",AR123)),UPPER(TRIM(AR123))="PT",UPPER(TRIM(AR123))="PTE"),Apply2026="Yes",OR($P123="",N($P123)&gt;=PT_MinHours)),"PT","None"))))</f>
        <v/>
      </c>
      <c r="AV123" s="16" t="str">
        <f aca="false">IF(AK123=0,"",IF(AM123&lt;3,"",IF(OR(ISNUMBER(SEARCH("full",AS123)),UPPER(TRIM(AS123))="FT",UPPER(TRIM(AS123))="FTE"),"FT",IF(AND(OR(ISNUMBER(SEARCH("part",AS123)),UPPER(TRIM(AS123))="PT",UPPER(TRIM(AS123))="PTE"),Apply2026="Yes",OR($P123="",N($P123)&gt;=PT_MinHours)),"PT","None"))))</f>
        <v/>
      </c>
      <c r="AW123" s="16" t="str">
        <f aca="false">IF(AK123=0,"",IF(AND(AM123&gt;=3,AP123&lt;=AsOfDate),AV123,IF(AND(AM123&gt;=2,AO123&lt;=AsOfDate),AU123,AT123)))</f>
        <v/>
      </c>
      <c r="AX123" s="16" t="str">
        <f aca="false">IF(AK123=0,"",IF(AsOfDate&lt;AL123,-1,12*(YEAR(AsOfDate)-YEAR(AL123))+MONTH(AsOfDate)-MONTH(AL123)-IF(DAY(AsOfDate)&lt;MIN(DAY(AL123),DAY(EOMONTH(AsOfDate,0))),1,0)))</f>
        <v/>
      </c>
      <c r="AY123" s="16" t="str">
        <f aca="false">IF(AK123=0,"",IF(OR(AM123&lt;2,AO123&gt;AsOfDate),AX123,IF((AO123-1)&lt;AL123,-1,12*(YEAR((AO123-1))-YEAR(AL123))+MONTH((AO123-1))-MONTH(AL123)-IF(DAY((AO123-1))&lt;MIN(DAY(AL123),DAY(EOMONTH((AO123-1),0))),1,0))))</f>
        <v/>
      </c>
      <c r="AZ123" s="16" t="str">
        <f aca="false">IF(AK123=0,"",IF(OR(AM123&lt;3,AP123&gt;AsOfDate),AX123,IF((AP123-1)&lt;AL123,-1,12*(YEAR((AP123-1))-YEAR(AL123))+MONTH((AP123-1))-MONTH(AL123)-IF(DAY((AP123-1))&lt;MIN(DAY(AL123),DAY(EOMONTH((AP123-1),0))),1,0))))</f>
        <v/>
      </c>
      <c r="BA123" s="16" t="str">
        <f aca="false">IF(AK123=0,"",IF(PFYDate&lt;AL123,-1,12*(YEAR(PFYDate)-YEAR(AL123))+MONTH(PFYDate)-MONTH(AL123)-IF(DAY(PFYDate)&lt;MIN(DAY(AL123),DAY(EOMONTH(PFYDate,0))),1,0)))</f>
        <v/>
      </c>
      <c r="BB123" s="16" t="str">
        <f aca="false">IF(AK123=0,"",IF(OR(AM123&lt;2,AO123&gt;PFYDate),BA123,IF((AO123-1)&lt;AL123,-1,12*(YEAR((AO123-1))-YEAR(AL123))+MONTH((AO123-1))-MONTH(AL123)-IF(DAY((AO123-1))&lt;MIN(DAY(AL123),DAY(EOMONTH((AO123-1),0))),1,0))))</f>
        <v/>
      </c>
      <c r="BC123" s="16" t="str">
        <f aca="false">IF(AK123=0,"",IF(OR(AM123&lt;3,AP123&gt;PFYDate),BA123,IF((AP123-1)&lt;AL123,-1,12*(YEAR((AP123-1))-YEAR(AL123))+MONTH((AP123-1))-MONTH(AL123)-IF(DAY((AP123-1))&lt;MIN(DAY(AL123),DAY(EOMONTH((AP123-1),0))),1,0))))</f>
        <v/>
      </c>
      <c r="BD123" s="16" t="str">
        <f aca="false">IF(AK123=0,"",IF(AT123="FT",IF(AY123&lt;FT_First,0,IF(AY123&lt;FT_Y5,1+INT((AY123-FT_First)/FT_Int1),FT_PreY5+FT_PerYear*INT((AY123-FT_Y5)/12)+FT_AnnivDays+INT(MOD(AY123-FT_Y5,12)/FT_Int2)-IF(EDATE(AL123,FT_Y5)&lt;PolicyEff,FT_AnnivDays-1,0))),IF(AT123="PT",IF(AY123&lt;PT_First,0,1+INT((AY123-PT_First)/PT_Int)),0))+IF(AND(AM123&gt;=2,AO123&lt;=AsOfDate),IF(AU123="FT",IF(AZ123&lt;FT_First,0,IF(AZ123&lt;FT_Y5,1+INT((AZ123-FT_First)/FT_Int1),FT_PreY5+FT_PerYear*INT((AZ123-FT_Y5)/12)+FT_AnnivDays+INT(MOD(AZ123-FT_Y5,12)/FT_Int2)-IF(EDATE(AL123,FT_Y5)&lt;PolicyEff,FT_AnnivDays-1,0))),IF(AU123="PT",IF(AZ123&lt;PT_First,0,1+INT((AZ123-PT_First)/PT_Int)),0))-IF(AU123="FT",IF(AY123&lt;FT_First,0,IF(AY123&lt;FT_Y5,1+INT((AY123-FT_First)/FT_Int1),FT_PreY5+FT_PerYear*INT((AY123-FT_Y5)/12)+FT_AnnivDays+INT(MOD(AY123-FT_Y5,12)/FT_Int2)-IF(EDATE(AL123,FT_Y5)&lt;PolicyEff,FT_AnnivDays-1,0))),IF(AU123="PT",IF(AY123&lt;PT_First,0,1+INT((AY123-PT_First)/PT_Int)),0)),0)+IF(AND(AM123&gt;=3,AP123&lt;=AsOfDate),IF(AV123="FT",IF(AX123&lt;FT_First,0,IF(AX123&lt;FT_Y5,1+INT((AX123-FT_First)/FT_Int1),FT_PreY5+FT_PerYear*INT((AX123-FT_Y5)/12)+FT_AnnivDays+INT(MOD(AX123-FT_Y5,12)/FT_Int2)-IF(EDATE(AL123,FT_Y5)&lt;PolicyEff,FT_AnnivDays-1,0))),IF(AV123="PT",IF(AX123&lt;PT_First,0,1+INT((AX123-PT_First)/PT_Int)),0))-IF(AV123="FT",IF(AZ123&lt;FT_First,0,IF(AZ123&lt;FT_Y5,1+INT((AZ123-FT_First)/FT_Int1),FT_PreY5+FT_PerYear*INT((AZ123-FT_Y5)/12)+FT_AnnivDays+INT(MOD(AZ123-FT_Y5,12)/FT_Int2)-IF(EDATE(AL123,FT_Y5)&lt;PolicyEff,FT_AnnivDays-1,0))),IF(AV123="PT",IF(AZ123&lt;PT_First,0,1+INT((AZ123-PT_First)/PT_Int)),0)),0))</f>
        <v/>
      </c>
      <c r="BE123" s="16" t="str">
        <f aca="false">IF(AK123=0,"",IF(AT123="FT",IF(BB123&lt;FT_First,0,IF(BB123&lt;FT_Y5,1+INT((BB123-FT_First)/FT_Int1),FT_PreY5+FT_PerYear*INT((BB123-FT_Y5)/12)+FT_AnnivDays+INT(MOD(BB123-FT_Y5,12)/FT_Int2)-IF(EDATE(AL123,FT_Y5)&lt;PolicyEff,FT_AnnivDays-1,0))),IF(AT123="PT",IF(BB123&lt;PT_First,0,1+INT((BB123-PT_First)/PT_Int)),0))+IF(AND(AM123&gt;=2,AO123&lt;=PFYDate),IF(AU123="FT",IF(BC123&lt;FT_First,0,IF(BC123&lt;FT_Y5,1+INT((BC123-FT_First)/FT_Int1),FT_PreY5+FT_PerYear*INT((BC123-FT_Y5)/12)+FT_AnnivDays+INT(MOD(BC123-FT_Y5,12)/FT_Int2)-IF(EDATE(AL123,FT_Y5)&lt;PolicyEff,FT_AnnivDays-1,0))),IF(AU123="PT",IF(BC123&lt;PT_First,0,1+INT((BC123-PT_First)/PT_Int)),0))-IF(AU123="FT",IF(BB123&lt;FT_First,0,IF(BB123&lt;FT_Y5,1+INT((BB123-FT_First)/FT_Int1),FT_PreY5+FT_PerYear*INT((BB123-FT_Y5)/12)+FT_AnnivDays+INT(MOD(BB123-FT_Y5,12)/FT_Int2)-IF(EDATE(AL123,FT_Y5)&lt;PolicyEff,FT_AnnivDays-1,0))),IF(AU123="PT",IF(BB123&lt;PT_First,0,1+INT((BB123-PT_First)/PT_Int)),0)),0)+IF(AND(AM123&gt;=3,AP123&lt;=PFYDate),IF(AV123="FT",IF(BA123&lt;FT_First,0,IF(BA123&lt;FT_Y5,1+INT((BA123-FT_First)/FT_Int1),FT_PreY5+FT_PerYear*INT((BA123-FT_Y5)/12)+FT_AnnivDays+INT(MOD(BA123-FT_Y5,12)/FT_Int2)-IF(EDATE(AL123,FT_Y5)&lt;PolicyEff,FT_AnnivDays-1,0))),IF(AV123="PT",IF(BA123&lt;PT_First,0,1+INT((BA123-PT_First)/PT_Int)),0))-IF(AV123="FT",IF(BC123&lt;FT_First,0,IF(BC123&lt;FT_Y5,1+INT((BC123-FT_First)/FT_Int1),FT_PreY5+FT_PerYear*INT((BC123-FT_Y5)/12)+FT_AnnivDays+INT(MOD(BC123-FT_Y5,12)/FT_Int2)-IF(EDATE(AL123,FT_Y5)&lt;PolicyEff,FT_AnnivDays-1,0))),IF(AV123="PT",IF(BC123&lt;PT_First,0,1+INT((BC123-PT_First)/PT_Int)),0)),0))</f>
        <v/>
      </c>
      <c r="BF123" s="16" t="str">
        <f aca="false">IF(AK123=0,"",IF(AW123="FT",IF(AX123&lt;FT_First,FT_First,IF(AX123&lt;FT_Y5,MIN(FT_Y5,FT_First+FT_Int1*(INT((AX123-FT_First)/FT_Int1)+1)),FT_Y5+12*INT((AX123-FT_Y5)/12)+FT_Int2*(INT(MOD(AX123-FT_Y5,12)/FT_Int2)+1))),IF(AW123="PT",IF(AX123&lt;PT_First,PT_First,PT_First+PT_Int*(INT((AX123-PT_First)/PT_Int)+1)),"")))</f>
        <v/>
      </c>
      <c r="BG123" s="16" t="str">
        <f aca="false">IF(AK123=0,"",IF(NOT(LH_Ready),0,COUNTIFS(INDEX(LH_Data,0,LH_ColFirst),$A123,INDEX(LH_Data,0,LH_ColSur),$B123,INDEX(LH_Data,0,LH_ColCat),BonusCat)))</f>
        <v/>
      </c>
      <c r="BH123" s="16" t="str">
        <f aca="false">IF(AK123=0,"",IF(OR(NOT(LH_Ready),BG123=0),0,SUMPRODUCT(MAX((INDEX(LH_Data,0,LH_ColFirst)=$A123)*(INDEX(LH_Data,0,LH_ColSur)=$B123)*(INDEX(LH_Data,0,LH_ColCat)=BonusCat)*ROW(LH_Data)))))</f>
        <v/>
      </c>
      <c r="BI123" s="16" t="str">
        <f aca="false">IF(AK123=0,"",IF(EOMONTH(AsOfDate,-1)&lt;AL123,-1,12*(YEAR(EOMONTH(AsOfDate,-1))-YEAR(AL123))+MONTH(EOMONTH(AsOfDate,-1))-MONTH(AL123)-IF(DAY(EOMONTH(AsOfDate,-1))&lt;MIN(DAY(AL123),DAY(EOMONTH(EOMONTH(AsOfDate,-1),0))),1,0)))</f>
        <v/>
      </c>
      <c r="BJ123" s="16" t="str">
        <f aca="false">IF(AK123=0,"",IF(OR(AM123&lt;2,AO123&gt;EOMONTH(AsOfDate,-1)),BI123,IF((AO123-1)&lt;AL123,-1,12*(YEAR((AO123-1))-YEAR(AL123))+MONTH((AO123-1))-MONTH(AL123)-IF(DAY((AO123-1))&lt;MIN(DAY(AL123),DAY(EOMONTH((AO123-1),0))),1,0))))</f>
        <v/>
      </c>
      <c r="BK123" s="16" t="str">
        <f aca="false">IF(AK123=0,"",IF(OR(AM123&lt;3,AP123&gt;EOMONTH(AsOfDate,-1)),BI123,IF((AP123-1)&lt;AL123,-1,12*(YEAR((AP123-1))-YEAR(AL123))+MONTH((AP123-1))-MONTH(AL123)-IF(DAY((AP123-1))&lt;MIN(DAY(AL123),DAY(EOMONTH((AP123-1),0))),1,0))))</f>
        <v/>
      </c>
      <c r="BL123" s="16" t="str">
        <f aca="false">IF(AK123=0,"",IF(AT123="FT",IF(BJ123&lt;FT_First,0,IF(BJ123&lt;FT_Y5,1+INT((BJ123-FT_First)/FT_Int1),FT_PreY5+FT_PerYear*INT((BJ123-FT_Y5)/12)+FT_AnnivDays+INT(MOD(BJ123-FT_Y5,12)/FT_Int2)-IF(EDATE(AL123,FT_Y5)&lt;PolicyEff,FT_AnnivDays-1,0))),IF(AT123="PT",IF(BJ123&lt;PT_First,0,1+INT((BJ123-PT_First)/PT_Int)),0))+IF(AND(AM123&gt;=2,AO123&lt;=EOMONTH(AsOfDate,-1)),IF(AU123="FT",IF(BK123&lt;FT_First,0,IF(BK123&lt;FT_Y5,1+INT((BK123-FT_First)/FT_Int1),FT_PreY5+FT_PerYear*INT((BK123-FT_Y5)/12)+FT_AnnivDays+INT(MOD(BK123-FT_Y5,12)/FT_Int2)-IF(EDATE(AL123,FT_Y5)&lt;PolicyEff,FT_AnnivDays-1,0))),IF(AU123="PT",IF(BK123&lt;PT_First,0,1+INT((BK123-PT_First)/PT_Int)),0))-IF(AU123="FT",IF(BJ123&lt;FT_First,0,IF(BJ123&lt;FT_Y5,1+INT((BJ123-FT_First)/FT_Int1),FT_PreY5+FT_PerYear*INT((BJ123-FT_Y5)/12)+FT_AnnivDays+INT(MOD(BJ123-FT_Y5,12)/FT_Int2)-IF(EDATE(AL123,FT_Y5)&lt;PolicyEff,FT_AnnivDays-1,0))),IF(AU123="PT",IF(BJ123&lt;PT_First,0,1+INT((BJ123-PT_First)/PT_Int)),0)),0)+IF(AND(AM123&gt;=3,AP123&lt;=EOMONTH(AsOfDate,-1)),IF(AV123="FT",IF(BI123&lt;FT_First,0,IF(BI123&lt;FT_Y5,1+INT((BI123-FT_First)/FT_Int1),FT_PreY5+FT_PerYear*INT((BI123-FT_Y5)/12)+FT_AnnivDays+INT(MOD(BI123-FT_Y5,12)/FT_Int2)-IF(EDATE(AL123,FT_Y5)&lt;PolicyEff,FT_AnnivDays-1,0))),IF(AV123="PT",IF(BI123&lt;PT_First,0,1+INT((BI123-PT_First)/PT_Int)),0))-IF(AV123="FT",IF(BK123&lt;FT_First,0,IF(BK123&lt;FT_Y5,1+INT((BK123-FT_First)/FT_Int1),FT_PreY5+FT_PerYear*INT((BK123-FT_Y5)/12)+FT_AnnivDays+INT(MOD(BK123-FT_Y5,12)/FT_Int2)-IF(EDATE(AL123,FT_Y5)&lt;PolicyEff,FT_AnnivDays-1,0))),IF(AV123="PT",IF(BK123&lt;PT_First,0,1+INT((BK123-PT_First)/PT_Int)),0)),0))</f>
        <v/>
      </c>
      <c r="BM123" s="16" t="str">
        <f aca="false">IF(AK123=0,"",IF(AW123="FT",IF(AX123&lt;FT_First,"",IF(AX123&lt;FT_Y5,FT_First+FT_Int1*INT((AX123-FT_First)/FT_Int1),FT_Y5+FT_Int2*INT((AX123-FT_Y5)/FT_Int2))),IF(AW123="PT",IF(AX123&lt;PT_First,"",PT_First+PT_Int*INT((AX123-PT_First)/PT_Int)),"")))</f>
        <v/>
      </c>
      <c r="BN123" s="16" t="str">
        <f aca="false">IF(AK123=0,"",IF((SchemeStart-1)&lt;AL123,-1,12*(YEAR((SchemeStart-1))-YEAR(AL123))+MONTH((SchemeStart-1))-MONTH(AL123)-IF(DAY((SchemeStart-1))&lt;MIN(DAY(AL123),DAY(EOMONTH((SchemeStart-1),0))),1,0)))</f>
        <v/>
      </c>
      <c r="BO123" s="16" t="str">
        <f aca="false">IF(AK123=0,"",IF(OR(AM123&lt;2,AO123&gt;(SchemeStart-1)),BN123,IF((AO123-1)&lt;AL123,-1,12*(YEAR((AO123-1))-YEAR(AL123))+MONTH((AO123-1))-MONTH(AL123)-IF(DAY((AO123-1))&lt;MIN(DAY(AL123),DAY(EOMONTH((AO123-1),0))),1,0))))</f>
        <v/>
      </c>
      <c r="BP123" s="16" t="str">
        <f aca="false">IF(AK123=0,"",IF(OR(AM123&lt;3,AP123&gt;(SchemeStart-1)),BN123,IF((AP123-1)&lt;AL123,-1,12*(YEAR((AP123-1))-YEAR(AL123))+MONTH((AP123-1))-MONTH(AL123)-IF(DAY((AP123-1))&lt;MIN(DAY(AL123),DAY(EOMONTH((AP123-1),0))),1,0))))</f>
        <v/>
      </c>
      <c r="BQ123" s="16" t="str">
        <f aca="false">IF(AK123=0,"",IF(AT123="FT",IF(BO123&lt;FT_First,0,IF(BO123&lt;FT_Y5,1+INT((BO123-FT_First)/FT_Int1),FT_PreY5+FT_PerYear*INT((BO123-FT_Y5)/12)+FT_AnnivDays+INT(MOD(BO123-FT_Y5,12)/FT_Int2)-IF(EDATE(AL123,FT_Y5)&lt;PolicyEff,FT_AnnivDays-1,0))),IF(AT123="PT",IF(BO123&lt;PT_First,0,1+INT((BO123-PT_First)/PT_Int)),0))+IF(AND(AM123&gt;=2,AO123&lt;=(SchemeStart-1)),IF(AU123="FT",IF(BP123&lt;FT_First,0,IF(BP123&lt;FT_Y5,1+INT((BP123-FT_First)/FT_Int1),FT_PreY5+FT_PerYear*INT((BP123-FT_Y5)/12)+FT_AnnivDays+INT(MOD(BP123-FT_Y5,12)/FT_Int2)-IF(EDATE(AL123,FT_Y5)&lt;PolicyEff,FT_AnnivDays-1,0))),IF(AU123="PT",IF(BP123&lt;PT_First,0,1+INT((BP123-PT_First)/PT_Int)),0))-IF(AU123="FT",IF(BO123&lt;FT_First,0,IF(BO123&lt;FT_Y5,1+INT((BO123-FT_First)/FT_Int1),FT_PreY5+FT_PerYear*INT((BO123-FT_Y5)/12)+FT_AnnivDays+INT(MOD(BO123-FT_Y5,12)/FT_Int2)-IF(EDATE(AL123,FT_Y5)&lt;PolicyEff,FT_AnnivDays-1,0))),IF(AU123="PT",IF(BO123&lt;PT_First,0,1+INT((BO123-PT_First)/PT_Int)),0)),0)+IF(AND(AM123&gt;=3,AP123&lt;=(SchemeStart-1)),IF(AV123="FT",IF(BN123&lt;FT_First,0,IF(BN123&lt;FT_Y5,1+INT((BN123-FT_First)/FT_Int1),FT_PreY5+FT_PerYear*INT((BN123-FT_Y5)/12)+FT_AnnivDays+INT(MOD(BN123-FT_Y5,12)/FT_Int2)-IF(EDATE(AL123,FT_Y5)&lt;PolicyEff,FT_AnnivDays-1,0))),IF(AV123="PT",IF(BN123&lt;PT_First,0,1+INT((BN123-PT_First)/PT_Int)),0))-IF(AV123="FT",IF(BP123&lt;FT_First,0,IF(BP123&lt;FT_Y5,1+INT((BP123-FT_First)/FT_Int1),FT_PreY5+FT_PerYear*INT((BP123-FT_Y5)/12)+FT_AnnivDays+INT(MOD(BP123-FT_Y5,12)/FT_Int2)-IF(EDATE(AL123,FT_Y5)&lt;PolicyEff,FT_AnnivDays-1,0))),IF(AV123="PT",IF(BP123&lt;PT_First,0,1+INT((BP123-PT_First)/PT_Int)),0)),0))</f>
        <v/>
      </c>
      <c r="BR123" s="0" t="str">
        <f aca="false">IF(LEN($A123&amp;$B123)=0,"",$A123&amp;" "&amp;$B123)</f>
        <v/>
      </c>
    </row>
    <row r="124" customFormat="false" ht="15" hidden="false" customHeight="false" outlineLevel="0" collapsed="false">
      <c r="A124" s="12"/>
      <c r="B124" s="12"/>
      <c r="C124" s="12"/>
      <c r="D124" s="13"/>
      <c r="E124" s="14" t="str">
        <f aca="false">IF(OR(AK124=0,$D124=""),"",DATE(YEAR(AsOfDate)+IF(DATE(YEAR(AsOfDate),MONTH($D124),DAY($D124))&lt;=AsOfDate,1,0),MONTH($D124),DAY($D124)))</f>
        <v/>
      </c>
      <c r="F124" s="13"/>
      <c r="G124" s="13"/>
      <c r="H124" s="13"/>
      <c r="I124" s="13"/>
      <c r="J124" s="13"/>
      <c r="K124" s="14" t="str">
        <f aca="false">IF(AK124=0,"",DATE(YEAR(AsOfDate)+IF(DATE(YEAR(AsOfDate),MONTH(AL124),DAY(AL124))&lt;=AsOfDate,1,0),MONTH(AL124),DAY(AL124)))</f>
        <v/>
      </c>
      <c r="L124" s="15" t="str">
        <f aca="false">IF(AK124=0,"",ROUND((AsOfDate-AL124)/365.25,1))</f>
        <v/>
      </c>
      <c r="M124" s="16" t="str">
        <f aca="false">IF(AK124=0,"",IF(AsOfDate&lt;AL124,"-",DATEDIF(AL124,AsOfDate,"y")&amp;"y "&amp;DATEDIF(AL124,AsOfDate,"ym")&amp;"m "&amp;DATEDIF(AL124,AsOfDate,"md")&amp;"d"))</f>
        <v/>
      </c>
      <c r="N124" s="17" t="str">
        <f aca="false">IF(AK124=0,"",O124*HoursPerDay)</f>
        <v/>
      </c>
      <c r="O124" s="17" t="str">
        <f aca="false">IF(AK124=0,"",MAX(0,BD124-BQ124))</f>
        <v/>
      </c>
      <c r="P124" s="18"/>
      <c r="Q124" s="16" t="str">
        <f aca="false">IF(AK124=0,"",IF(AM124&lt;2,"",AQ124&amp;" to "&amp;AR124&amp;" on "&amp;TEXT(AO124,"dd/mm/yyyy")&amp;IF(AO124&gt;AsOfDate," (future)",IF(AT124=AU124,"",IF(AU124="None"," - STOPPED accruing",IF(AT124="None"," - commencement for Bonus Leave"," - pathway changed"))))&amp;IF(AM124&lt;3,"","; "&amp;AR124&amp;" to "&amp;AS124&amp;" on "&amp;TEXT(AP124,"dd/mm/yyyy")&amp;IF(AP124&gt;AsOfDate," (future)",IF(AU124=AV124,"",IF(AV124="None"," - STOPPED accruing",IF(AU124="None"," - commencement for Bonus Leave"," - pathway changed")))))))</f>
        <v/>
      </c>
      <c r="R124" s="16" t="str">
        <f aca="false">IF(AK124=0,"",IF(AW124="None",IF(O124&gt;0,"No longer accruing","Not eligible - "&amp;IF(AND(OR(ISNUMBER(SEARCH("part",$C124)),UPPER(TRIM($C124))="PT",UPPER(TRIM($C124))="PTE"),Apply2026="No"),"part-time (scheme is full-time only)",IF(AND(OR(ISNUMBER(SEARCH("part",$C124)),UPPER(TRIM($C124))="PT",UPPER(TRIM($C124))="PTE"),$P124&lt;&gt;"",N($P124)&lt;PT_MinHours),"under "&amp;PT_MinHours&amp;" hrs",IF(IF($C124="","",IF(OR(ISNUMBER(SEARCH("full",$C124)),UPPER(TRIM($C124))="FT",UPPER(TRIM($C124))="FTE"),"Full-Time",IF(OR(ISNUMBER(SEARCH("part",$C124)),UPPER(TRIM($C124))="PT",UPPER(TRIM($C124))="PTE"),"Part-Time",IF(OR(ISNUMBER(SEARCH("cas",$C124)),UPPER(TRIM($C124))="CAS"),"Casual","Unknown"))))="Unknown","type not recognised",$C124)))),IF(O124&gt;0,"Yes - Accrual Required","Not yet - from "&amp;TEXT(S124,"dd/mm/yyyy"))))</f>
        <v/>
      </c>
      <c r="S124" s="14" t="str">
        <f aca="false">IF(AK124=0,"",IF(AW124="None","",EDATE(AL124,BF124)))</f>
        <v/>
      </c>
      <c r="T124" s="17" t="str">
        <f aca="false">IF(AK124=0,"",IF(NOT(LH_Ready),"",IF($F124&gt;PFYDate,0,IF(LH_ColPeriod=0,W124-U124+V124,SUMIFS(INDEX(LH_Data,0,LH_ColAcc),INDEX(LH_Data,0,LH_ColFirst),$A124,INDEX(LH_Data,0,LH_ColSur),$B124,INDEX(LH_Data,0,LH_ColCat),BonusCat,INDEX(LH_Data,0,LH_ColPeriod),LH_OpenLabel)*UnitFactor))))</f>
        <v/>
      </c>
      <c r="U124" s="17" t="str">
        <f aca="false">IF(AK124=0,"",IF(NOT(LH_Ready),"",SUMIFS(INDEX(LH_Data,0,LH_ColAcc),INDEX(LH_Data,0,LH_ColFirst),$A124,INDEX(LH_Data,0,LH_ColSur),$B124,INDEX(LH_Data,0,LH_ColCat),BonusCat,INDEX(LH_Data,0,LH_ColStart),"&gt;="&amp;AL124)*UnitFactor))</f>
        <v/>
      </c>
      <c r="V124" s="17" t="str">
        <f aca="false">IF(AK124=0,"",IF(NOT(LH_Ready),"",SUMIFS(INDEX(LH_Data,0,LH_ColTaken),INDEX(LH_Data,0,LH_ColFirst),$A124,INDEX(LH_Data,0,LH_ColSur),$B124,INDEX(LH_Data,0,LH_ColCat),BonusCat,INDEX(LH_Data,0,LH_ColStart),"&gt;="&amp;AL124)*UnitFactor))</f>
        <v/>
      </c>
      <c r="W124" s="17" t="str">
        <f aca="false">IF(AK124=0,"",IF(NOT(LH_Ready),"",IF(BH124=0,0,INDEX(INDEX(LH_Data,0,LH_ColClose),BH124-1)*UnitFactor)))</f>
        <v/>
      </c>
      <c r="X124" s="17" t="str">
        <f aca="false">IF(AK124=0,"",(MAX(0,BD124-BQ124)-MAX(0,BE124-BQ124))*HoursPerDay)</f>
        <v/>
      </c>
      <c r="Y124" s="17" t="str">
        <f aca="false">IF(AK124=0,"",IF(NOT(LH_Ready),"",IF($AI124="Yes",N(AE124)*HoursPerDay-SUMIFS(INDEX(LH_Data,0,LH_ColAcc),INDEX(LH_Data,0,LH_ColFirst),$A124,INDEX(LH_Data,0,LH_ColSur),$B124,INDEX(LH_Data,0,LH_ColCat),BonusCat,INDEX(LH_Data,0,LH_ColStart),"&gt;="&amp;(EOMONTH(AsOfDate,-1)+1),INDEX(LH_Data,0,LH_ColStart),"&lt;="&amp;AsOfDate)*UnitFactor,IF(BG124=0,N124,N124-N(T124)-N(U124)))))</f>
        <v/>
      </c>
      <c r="Z124" s="16" t="str">
        <f aca="false">IF(OR(AK124=0,Y124=""),"",IF(Y124&gt;0,"Yes","No"))</f>
        <v/>
      </c>
      <c r="AA124" s="16" t="str">
        <f aca="false">IF(AK124=0,IF(LEN($A124&amp;$B124)=0,"","FIX INPUT - StartDate missing"),IF(AD124&lt;&gt;"","FIX INPUT - "&amp;AD124,IF(NOT(LH_Ready),"Paste Leave History export (Settings must show YES)",IF(AND($AI124="Yes",Y124&lt;=0),"OK - EH balance accepted to date"&amp;IF(N(AH124)&gt;0," (EH holds "&amp;AH124&amp;" hrs over the scheme)","")&amp;"; next day "&amp;TEXT(S124,"dd mmm yy")&amp;IF(N(AE124)&gt;0," ("&amp;AE124&amp;" day(s) for "&amp;UPPER(TEXT(AsOfDate,"mmm yyyy"))&amp;" already in EH)",""),IF(Y124&gt;0,"ACCRUE "&amp;ROUND(Y124,2)&amp;" hrs ("&amp;ROUND(Y124/HoursPerDay,2)&amp;" days): "&amp;IF(N(AE124)&gt;0,AE124&amp;" day(s) for "&amp;UPPER(TEXT(AsOfDate,"mmm yyyy"))&amp;" (milestone "&amp;UPPER(TEXT(AF124,"dd mmm yy"))&amp;")"&amp;IF(Y124/HoursPerDay&gt;AE124+0.001," + "&amp;ROUND(Y124/HoursPerDay-AE124,2)&amp;" day(s) catch-up from earlier months",""),"all catch-up from earlier months, nothing new this month")&amp;IF(BG124=0,"; no Bonus Leave in EH yet",""),IF(Y124&lt;0,"CHECK - EH accrued "&amp;ROUND(-Y124,2)&amp;" hrs more than policy since commencement",IF(N(W124)&gt;O124*HoursPerDay+0.01,"CHECK - EH balance "&amp;ROUND(W124-O124*HoursPerDay,2)&amp;" hrs more than policy entitlement",IF(O124&gt;0,"OK - nothing to add"&amp;IF(N(AE124)&gt;0," ("&amp;AE124&amp;" day(s) for "&amp;UPPER(TEXT(AsOfDate,"mmm yyyy"))&amp;" already in EH)",""),IF(AW124="None",R124,"Not yet - first day on "&amp;TEXT(S124,"dd/mm/yyyy"))))))))))</f>
        <v/>
      </c>
      <c r="AB124" s="17" t="str">
        <f aca="false">IF(OR(AK124=0,T124=""),"",MAX(0,BE124-BQ124)*HoursPerDay-T124)</f>
        <v/>
      </c>
      <c r="AC124" s="16" t="str">
        <f aca="false">IF(AK124=0,"",BG124)</f>
        <v/>
      </c>
      <c r="AD124" s="16" t="str">
        <f aca="false">IF(AK124=0,"",TRIM(IF(OR(ISTEXT($F124),ISTEXT($H124),ISTEXT($I124),ISTEXT($G124),ISTEXT($J124),ISTEXT($D124)),"A date is typed as text - retype it as dd/mm/yyyy. ","")&amp;IF(IF($C124="","",IF(OR(ISNUMBER(SEARCH("full",$C124)),UPPER(TRIM($C124))="FT",UPPER(TRIM($C124))="FTE"),"Full-Time",IF(OR(ISNUMBER(SEARCH("part",$C124)),UPPER(TRIM($C124))="PT",UPPER(TRIM($C124))="PTE"),"Part-Time",IF(OR(ISNUMBER(SEARCH("cas",$C124)),UPPER(TRIM($C124))="CAS"),"Casual","Unknown"))))="Unknown","EmploymentType not recognised - use Full-Time, Part-Time or Casual. ","")&amp;IF(AND(AM124&gt;=1,IF(AM124&gt;=3,AS124,IF(AM124=2,AR124,AQ124))&lt;&gt;IF($C124="","",IF(OR(ISNUMBER(SEARCH("full",$C124)),UPPER(TRIM($C124))="FT",UPPER(TRIM($C124))="FTE"),"Full-Time",IF(OR(ISNUMBER(SEARCH("part",$C124)),UPPER(TRIM($C124))="PT",UPPER(TRIM($C124))="PTE"),"Part-Time",IF(OR(ISNUMBER(SEARCH("cas",$C124)),UPPER(TRIM($C124))="CAS"),"Casual","Unknown"))))),"EmploymentType does not match latest start date ("&amp;IF(AM124&gt;=3,AS124,IF(AM124=2,AR124,AQ124))&amp;"). ","")&amp;IF(AND(AM124&gt;=1,AN124&lt;&gt;$F124),"Earliest type date should equal StartDate. ","")&amp;IF(AND(AM124&gt;=2,AN124=AO124),"Two types start on the same date. ","")&amp;IF(AND(OR(ISNUMBER(SEARCH("part",$C124)),UPPER(TRIM($C124))="PT",UPPER(TRIM($C124))="PTE"),$P124=""),"Part-time: enter PT Hrs/Week (blank = 24+). ","")))</f>
        <v/>
      </c>
      <c r="AE124" s="17" t="str">
        <f aca="false">IF(AK124=0,"",O124-MAX(0,BL124-BQ124))</f>
        <v/>
      </c>
      <c r="AF124" s="14" t="str">
        <f aca="false">IF(OR(AK124=0,AE124="",N(AE124)=0,BM124=""),"",EDATE(AL124,BM124))</f>
        <v/>
      </c>
      <c r="AG124" s="17" t="str">
        <f aca="false">IF(AK124=0,"",MIN(BD124,BQ124))</f>
        <v/>
      </c>
      <c r="AH124" s="17" t="str">
        <f aca="false">IF(AK124=0,"",IF(NOT(LH_Ready),"",IF(BG124=0,0,MAX(0,ROUND(N(T124)+N(U124)-N124,2)))))</f>
        <v/>
      </c>
      <c r="AI124" s="12"/>
      <c r="AJ124" s="12"/>
      <c r="AK124" s="16" t="n">
        <f aca="false">IF(OR(LEN($A124&amp;$B124)=0,$F124=""),0,1)</f>
        <v>0</v>
      </c>
      <c r="AL124" s="14" t="str">
        <f aca="false">IF(AK124=0,"",IF(PreSchemeCounts="No",MAX(SchemeStart,IF($J124&lt;&gt;"",$J124,IF(OR(CasualCounts="Yes",COUNT($G124:$I124)=0),$F124,IF(Apply2026="No",IF($I124="",$F124,$I124),IF(COUNT($H124:$I124)=0,$F124,MIN($H124:$I124)))))),IF($J124&lt;&gt;"",$J124,IF(OR(CasualCounts="Yes",COUNT($G124:$I124)=0),$F124,IF(Apply2026="No",IF($I124="",$F124,$I124),IF(COUNT($H124:$I124)=0,$F124,MIN($H124:$I124)))))))</f>
        <v/>
      </c>
      <c r="AM124" s="16" t="str">
        <f aca="false">IF(AK124=0,"",COUNT($G124:$I124))</f>
        <v/>
      </c>
      <c r="AN124" s="14" t="str">
        <f aca="false">IF(AK124=0,"",IFERROR(SMALL($G124:$I124,1),""))</f>
        <v/>
      </c>
      <c r="AO124" s="14" t="str">
        <f aca="false">IF(AK124=0,"",IFERROR(SMALL($G124:$I124,2),""))</f>
        <v/>
      </c>
      <c r="AP124" s="14" t="str">
        <f aca="false">IF(AK124=0,"",IFERROR(SMALL($G124:$I124,3),""))</f>
        <v/>
      </c>
      <c r="AQ124" s="16" t="str">
        <f aca="false">IF(AK124=0,"",IF(AN124="","",IF(AN124=$H124,"Part-Time",IF(AN124=$I124,"Full-Time","Casual"))))</f>
        <v/>
      </c>
      <c r="AR124" s="16" t="str">
        <f aca="false">IF(AK124=0,"",IF(AO124="","",IF(AO124=$H124,"Part-Time",IF(AO124=$I124,"Full-Time","Casual"))))</f>
        <v/>
      </c>
      <c r="AS124" s="16" t="str">
        <f aca="false">IF(AK124=0,"",IF(AP124="","",IF(AP124=$H124,"Part-Time",IF(AP124=$I124,"Full-Time","Casual"))))</f>
        <v/>
      </c>
      <c r="AT124" s="16" t="str">
        <f aca="false">IF(AK124=0,"",IF(AM124=0,IF(OR(ISNUMBER(SEARCH("full",$C124)),UPPER(TRIM($C124))="FT",UPPER(TRIM($C124))="FTE"),"FT",IF(AND(OR(ISNUMBER(SEARCH("part",$C124)),UPPER(TRIM($C124))="PT",UPPER(TRIM($C124))="PTE"),Apply2026="Yes",OR($P124="",N($P124)&gt;=PT_MinHours)),"PT","None")),IF(OR(ISNUMBER(SEARCH("full",AQ124)),UPPER(TRIM(AQ124))="FT",UPPER(TRIM(AQ124))="FTE"),"FT",IF(AND(OR(ISNUMBER(SEARCH("part",AQ124)),UPPER(TRIM(AQ124))="PT",UPPER(TRIM(AQ124))="PTE"),Apply2026="Yes",OR($P124="",N($P124)&gt;=PT_MinHours)),"PT","None"))))</f>
        <v/>
      </c>
      <c r="AU124" s="16" t="str">
        <f aca="false">IF(AK124=0,"",IF(AM124&lt;2,"",IF(OR(ISNUMBER(SEARCH("full",AR124)),UPPER(TRIM(AR124))="FT",UPPER(TRIM(AR124))="FTE"),"FT",IF(AND(OR(ISNUMBER(SEARCH("part",AR124)),UPPER(TRIM(AR124))="PT",UPPER(TRIM(AR124))="PTE"),Apply2026="Yes",OR($P124="",N($P124)&gt;=PT_MinHours)),"PT","None"))))</f>
        <v/>
      </c>
      <c r="AV124" s="16" t="str">
        <f aca="false">IF(AK124=0,"",IF(AM124&lt;3,"",IF(OR(ISNUMBER(SEARCH("full",AS124)),UPPER(TRIM(AS124))="FT",UPPER(TRIM(AS124))="FTE"),"FT",IF(AND(OR(ISNUMBER(SEARCH("part",AS124)),UPPER(TRIM(AS124))="PT",UPPER(TRIM(AS124))="PTE"),Apply2026="Yes",OR($P124="",N($P124)&gt;=PT_MinHours)),"PT","None"))))</f>
        <v/>
      </c>
      <c r="AW124" s="16" t="str">
        <f aca="false">IF(AK124=0,"",IF(AND(AM124&gt;=3,AP124&lt;=AsOfDate),AV124,IF(AND(AM124&gt;=2,AO124&lt;=AsOfDate),AU124,AT124)))</f>
        <v/>
      </c>
      <c r="AX124" s="16" t="str">
        <f aca="false">IF(AK124=0,"",IF(AsOfDate&lt;AL124,-1,12*(YEAR(AsOfDate)-YEAR(AL124))+MONTH(AsOfDate)-MONTH(AL124)-IF(DAY(AsOfDate)&lt;MIN(DAY(AL124),DAY(EOMONTH(AsOfDate,0))),1,0)))</f>
        <v/>
      </c>
      <c r="AY124" s="16" t="str">
        <f aca="false">IF(AK124=0,"",IF(OR(AM124&lt;2,AO124&gt;AsOfDate),AX124,IF((AO124-1)&lt;AL124,-1,12*(YEAR((AO124-1))-YEAR(AL124))+MONTH((AO124-1))-MONTH(AL124)-IF(DAY((AO124-1))&lt;MIN(DAY(AL124),DAY(EOMONTH((AO124-1),0))),1,0))))</f>
        <v/>
      </c>
      <c r="AZ124" s="16" t="str">
        <f aca="false">IF(AK124=0,"",IF(OR(AM124&lt;3,AP124&gt;AsOfDate),AX124,IF((AP124-1)&lt;AL124,-1,12*(YEAR((AP124-1))-YEAR(AL124))+MONTH((AP124-1))-MONTH(AL124)-IF(DAY((AP124-1))&lt;MIN(DAY(AL124),DAY(EOMONTH((AP124-1),0))),1,0))))</f>
        <v/>
      </c>
      <c r="BA124" s="16" t="str">
        <f aca="false">IF(AK124=0,"",IF(PFYDate&lt;AL124,-1,12*(YEAR(PFYDate)-YEAR(AL124))+MONTH(PFYDate)-MONTH(AL124)-IF(DAY(PFYDate)&lt;MIN(DAY(AL124),DAY(EOMONTH(PFYDate,0))),1,0)))</f>
        <v/>
      </c>
      <c r="BB124" s="16" t="str">
        <f aca="false">IF(AK124=0,"",IF(OR(AM124&lt;2,AO124&gt;PFYDate),BA124,IF((AO124-1)&lt;AL124,-1,12*(YEAR((AO124-1))-YEAR(AL124))+MONTH((AO124-1))-MONTH(AL124)-IF(DAY((AO124-1))&lt;MIN(DAY(AL124),DAY(EOMONTH((AO124-1),0))),1,0))))</f>
        <v/>
      </c>
      <c r="BC124" s="16" t="str">
        <f aca="false">IF(AK124=0,"",IF(OR(AM124&lt;3,AP124&gt;PFYDate),BA124,IF((AP124-1)&lt;AL124,-1,12*(YEAR((AP124-1))-YEAR(AL124))+MONTH((AP124-1))-MONTH(AL124)-IF(DAY((AP124-1))&lt;MIN(DAY(AL124),DAY(EOMONTH((AP124-1),0))),1,0))))</f>
        <v/>
      </c>
      <c r="BD124" s="16" t="str">
        <f aca="false">IF(AK124=0,"",IF(AT124="FT",IF(AY124&lt;FT_First,0,IF(AY124&lt;FT_Y5,1+INT((AY124-FT_First)/FT_Int1),FT_PreY5+FT_PerYear*INT((AY124-FT_Y5)/12)+FT_AnnivDays+INT(MOD(AY124-FT_Y5,12)/FT_Int2)-IF(EDATE(AL124,FT_Y5)&lt;PolicyEff,FT_AnnivDays-1,0))),IF(AT124="PT",IF(AY124&lt;PT_First,0,1+INT((AY124-PT_First)/PT_Int)),0))+IF(AND(AM124&gt;=2,AO124&lt;=AsOfDate),IF(AU124="FT",IF(AZ124&lt;FT_First,0,IF(AZ124&lt;FT_Y5,1+INT((AZ124-FT_First)/FT_Int1),FT_PreY5+FT_PerYear*INT((AZ124-FT_Y5)/12)+FT_AnnivDays+INT(MOD(AZ124-FT_Y5,12)/FT_Int2)-IF(EDATE(AL124,FT_Y5)&lt;PolicyEff,FT_AnnivDays-1,0))),IF(AU124="PT",IF(AZ124&lt;PT_First,0,1+INT((AZ124-PT_First)/PT_Int)),0))-IF(AU124="FT",IF(AY124&lt;FT_First,0,IF(AY124&lt;FT_Y5,1+INT((AY124-FT_First)/FT_Int1),FT_PreY5+FT_PerYear*INT((AY124-FT_Y5)/12)+FT_AnnivDays+INT(MOD(AY124-FT_Y5,12)/FT_Int2)-IF(EDATE(AL124,FT_Y5)&lt;PolicyEff,FT_AnnivDays-1,0))),IF(AU124="PT",IF(AY124&lt;PT_First,0,1+INT((AY124-PT_First)/PT_Int)),0)),0)+IF(AND(AM124&gt;=3,AP124&lt;=AsOfDate),IF(AV124="FT",IF(AX124&lt;FT_First,0,IF(AX124&lt;FT_Y5,1+INT((AX124-FT_First)/FT_Int1),FT_PreY5+FT_PerYear*INT((AX124-FT_Y5)/12)+FT_AnnivDays+INT(MOD(AX124-FT_Y5,12)/FT_Int2)-IF(EDATE(AL124,FT_Y5)&lt;PolicyEff,FT_AnnivDays-1,0))),IF(AV124="PT",IF(AX124&lt;PT_First,0,1+INT((AX124-PT_First)/PT_Int)),0))-IF(AV124="FT",IF(AZ124&lt;FT_First,0,IF(AZ124&lt;FT_Y5,1+INT((AZ124-FT_First)/FT_Int1),FT_PreY5+FT_PerYear*INT((AZ124-FT_Y5)/12)+FT_AnnivDays+INT(MOD(AZ124-FT_Y5,12)/FT_Int2)-IF(EDATE(AL124,FT_Y5)&lt;PolicyEff,FT_AnnivDays-1,0))),IF(AV124="PT",IF(AZ124&lt;PT_First,0,1+INT((AZ124-PT_First)/PT_Int)),0)),0))</f>
        <v/>
      </c>
      <c r="BE124" s="16" t="str">
        <f aca="false">IF(AK124=0,"",IF(AT124="FT",IF(BB124&lt;FT_First,0,IF(BB124&lt;FT_Y5,1+INT((BB124-FT_First)/FT_Int1),FT_PreY5+FT_PerYear*INT((BB124-FT_Y5)/12)+FT_AnnivDays+INT(MOD(BB124-FT_Y5,12)/FT_Int2)-IF(EDATE(AL124,FT_Y5)&lt;PolicyEff,FT_AnnivDays-1,0))),IF(AT124="PT",IF(BB124&lt;PT_First,0,1+INT((BB124-PT_First)/PT_Int)),0))+IF(AND(AM124&gt;=2,AO124&lt;=PFYDate),IF(AU124="FT",IF(BC124&lt;FT_First,0,IF(BC124&lt;FT_Y5,1+INT((BC124-FT_First)/FT_Int1),FT_PreY5+FT_PerYear*INT((BC124-FT_Y5)/12)+FT_AnnivDays+INT(MOD(BC124-FT_Y5,12)/FT_Int2)-IF(EDATE(AL124,FT_Y5)&lt;PolicyEff,FT_AnnivDays-1,0))),IF(AU124="PT",IF(BC124&lt;PT_First,0,1+INT((BC124-PT_First)/PT_Int)),0))-IF(AU124="FT",IF(BB124&lt;FT_First,0,IF(BB124&lt;FT_Y5,1+INT((BB124-FT_First)/FT_Int1),FT_PreY5+FT_PerYear*INT((BB124-FT_Y5)/12)+FT_AnnivDays+INT(MOD(BB124-FT_Y5,12)/FT_Int2)-IF(EDATE(AL124,FT_Y5)&lt;PolicyEff,FT_AnnivDays-1,0))),IF(AU124="PT",IF(BB124&lt;PT_First,0,1+INT((BB124-PT_First)/PT_Int)),0)),0)+IF(AND(AM124&gt;=3,AP124&lt;=PFYDate),IF(AV124="FT",IF(BA124&lt;FT_First,0,IF(BA124&lt;FT_Y5,1+INT((BA124-FT_First)/FT_Int1),FT_PreY5+FT_PerYear*INT((BA124-FT_Y5)/12)+FT_AnnivDays+INT(MOD(BA124-FT_Y5,12)/FT_Int2)-IF(EDATE(AL124,FT_Y5)&lt;PolicyEff,FT_AnnivDays-1,0))),IF(AV124="PT",IF(BA124&lt;PT_First,0,1+INT((BA124-PT_First)/PT_Int)),0))-IF(AV124="FT",IF(BC124&lt;FT_First,0,IF(BC124&lt;FT_Y5,1+INT((BC124-FT_First)/FT_Int1),FT_PreY5+FT_PerYear*INT((BC124-FT_Y5)/12)+FT_AnnivDays+INT(MOD(BC124-FT_Y5,12)/FT_Int2)-IF(EDATE(AL124,FT_Y5)&lt;PolicyEff,FT_AnnivDays-1,0))),IF(AV124="PT",IF(BC124&lt;PT_First,0,1+INT((BC124-PT_First)/PT_Int)),0)),0))</f>
        <v/>
      </c>
      <c r="BF124" s="16" t="str">
        <f aca="false">IF(AK124=0,"",IF(AW124="FT",IF(AX124&lt;FT_First,FT_First,IF(AX124&lt;FT_Y5,MIN(FT_Y5,FT_First+FT_Int1*(INT((AX124-FT_First)/FT_Int1)+1)),FT_Y5+12*INT((AX124-FT_Y5)/12)+FT_Int2*(INT(MOD(AX124-FT_Y5,12)/FT_Int2)+1))),IF(AW124="PT",IF(AX124&lt;PT_First,PT_First,PT_First+PT_Int*(INT((AX124-PT_First)/PT_Int)+1)),"")))</f>
        <v/>
      </c>
      <c r="BG124" s="16" t="str">
        <f aca="false">IF(AK124=0,"",IF(NOT(LH_Ready),0,COUNTIFS(INDEX(LH_Data,0,LH_ColFirst),$A124,INDEX(LH_Data,0,LH_ColSur),$B124,INDEX(LH_Data,0,LH_ColCat),BonusCat)))</f>
        <v/>
      </c>
      <c r="BH124" s="16" t="str">
        <f aca="false">IF(AK124=0,"",IF(OR(NOT(LH_Ready),BG124=0),0,SUMPRODUCT(MAX((INDEX(LH_Data,0,LH_ColFirst)=$A124)*(INDEX(LH_Data,0,LH_ColSur)=$B124)*(INDEX(LH_Data,0,LH_ColCat)=BonusCat)*ROW(LH_Data)))))</f>
        <v/>
      </c>
      <c r="BI124" s="16" t="str">
        <f aca="false">IF(AK124=0,"",IF(EOMONTH(AsOfDate,-1)&lt;AL124,-1,12*(YEAR(EOMONTH(AsOfDate,-1))-YEAR(AL124))+MONTH(EOMONTH(AsOfDate,-1))-MONTH(AL124)-IF(DAY(EOMONTH(AsOfDate,-1))&lt;MIN(DAY(AL124),DAY(EOMONTH(EOMONTH(AsOfDate,-1),0))),1,0)))</f>
        <v/>
      </c>
      <c r="BJ124" s="16" t="str">
        <f aca="false">IF(AK124=0,"",IF(OR(AM124&lt;2,AO124&gt;EOMONTH(AsOfDate,-1)),BI124,IF((AO124-1)&lt;AL124,-1,12*(YEAR((AO124-1))-YEAR(AL124))+MONTH((AO124-1))-MONTH(AL124)-IF(DAY((AO124-1))&lt;MIN(DAY(AL124),DAY(EOMONTH((AO124-1),0))),1,0))))</f>
        <v/>
      </c>
      <c r="BK124" s="16" t="str">
        <f aca="false">IF(AK124=0,"",IF(OR(AM124&lt;3,AP124&gt;EOMONTH(AsOfDate,-1)),BI124,IF((AP124-1)&lt;AL124,-1,12*(YEAR((AP124-1))-YEAR(AL124))+MONTH((AP124-1))-MONTH(AL124)-IF(DAY((AP124-1))&lt;MIN(DAY(AL124),DAY(EOMONTH((AP124-1),0))),1,0))))</f>
        <v/>
      </c>
      <c r="BL124" s="16" t="str">
        <f aca="false">IF(AK124=0,"",IF(AT124="FT",IF(BJ124&lt;FT_First,0,IF(BJ124&lt;FT_Y5,1+INT((BJ124-FT_First)/FT_Int1),FT_PreY5+FT_PerYear*INT((BJ124-FT_Y5)/12)+FT_AnnivDays+INT(MOD(BJ124-FT_Y5,12)/FT_Int2)-IF(EDATE(AL124,FT_Y5)&lt;PolicyEff,FT_AnnivDays-1,0))),IF(AT124="PT",IF(BJ124&lt;PT_First,0,1+INT((BJ124-PT_First)/PT_Int)),0))+IF(AND(AM124&gt;=2,AO124&lt;=EOMONTH(AsOfDate,-1)),IF(AU124="FT",IF(BK124&lt;FT_First,0,IF(BK124&lt;FT_Y5,1+INT((BK124-FT_First)/FT_Int1),FT_PreY5+FT_PerYear*INT((BK124-FT_Y5)/12)+FT_AnnivDays+INT(MOD(BK124-FT_Y5,12)/FT_Int2)-IF(EDATE(AL124,FT_Y5)&lt;PolicyEff,FT_AnnivDays-1,0))),IF(AU124="PT",IF(BK124&lt;PT_First,0,1+INT((BK124-PT_First)/PT_Int)),0))-IF(AU124="FT",IF(BJ124&lt;FT_First,0,IF(BJ124&lt;FT_Y5,1+INT((BJ124-FT_First)/FT_Int1),FT_PreY5+FT_PerYear*INT((BJ124-FT_Y5)/12)+FT_AnnivDays+INT(MOD(BJ124-FT_Y5,12)/FT_Int2)-IF(EDATE(AL124,FT_Y5)&lt;PolicyEff,FT_AnnivDays-1,0))),IF(AU124="PT",IF(BJ124&lt;PT_First,0,1+INT((BJ124-PT_First)/PT_Int)),0)),0)+IF(AND(AM124&gt;=3,AP124&lt;=EOMONTH(AsOfDate,-1)),IF(AV124="FT",IF(BI124&lt;FT_First,0,IF(BI124&lt;FT_Y5,1+INT((BI124-FT_First)/FT_Int1),FT_PreY5+FT_PerYear*INT((BI124-FT_Y5)/12)+FT_AnnivDays+INT(MOD(BI124-FT_Y5,12)/FT_Int2)-IF(EDATE(AL124,FT_Y5)&lt;PolicyEff,FT_AnnivDays-1,0))),IF(AV124="PT",IF(BI124&lt;PT_First,0,1+INT((BI124-PT_First)/PT_Int)),0))-IF(AV124="FT",IF(BK124&lt;FT_First,0,IF(BK124&lt;FT_Y5,1+INT((BK124-FT_First)/FT_Int1),FT_PreY5+FT_PerYear*INT((BK124-FT_Y5)/12)+FT_AnnivDays+INT(MOD(BK124-FT_Y5,12)/FT_Int2)-IF(EDATE(AL124,FT_Y5)&lt;PolicyEff,FT_AnnivDays-1,0))),IF(AV124="PT",IF(BK124&lt;PT_First,0,1+INT((BK124-PT_First)/PT_Int)),0)),0))</f>
        <v/>
      </c>
      <c r="BM124" s="16" t="str">
        <f aca="false">IF(AK124=0,"",IF(AW124="FT",IF(AX124&lt;FT_First,"",IF(AX124&lt;FT_Y5,FT_First+FT_Int1*INT((AX124-FT_First)/FT_Int1),FT_Y5+FT_Int2*INT((AX124-FT_Y5)/FT_Int2))),IF(AW124="PT",IF(AX124&lt;PT_First,"",PT_First+PT_Int*INT((AX124-PT_First)/PT_Int)),"")))</f>
        <v/>
      </c>
      <c r="BN124" s="16" t="str">
        <f aca="false">IF(AK124=0,"",IF((SchemeStart-1)&lt;AL124,-1,12*(YEAR((SchemeStart-1))-YEAR(AL124))+MONTH((SchemeStart-1))-MONTH(AL124)-IF(DAY((SchemeStart-1))&lt;MIN(DAY(AL124),DAY(EOMONTH((SchemeStart-1),0))),1,0)))</f>
        <v/>
      </c>
      <c r="BO124" s="16" t="str">
        <f aca="false">IF(AK124=0,"",IF(OR(AM124&lt;2,AO124&gt;(SchemeStart-1)),BN124,IF((AO124-1)&lt;AL124,-1,12*(YEAR((AO124-1))-YEAR(AL124))+MONTH((AO124-1))-MONTH(AL124)-IF(DAY((AO124-1))&lt;MIN(DAY(AL124),DAY(EOMONTH((AO124-1),0))),1,0))))</f>
        <v/>
      </c>
      <c r="BP124" s="16" t="str">
        <f aca="false">IF(AK124=0,"",IF(OR(AM124&lt;3,AP124&gt;(SchemeStart-1)),BN124,IF((AP124-1)&lt;AL124,-1,12*(YEAR((AP124-1))-YEAR(AL124))+MONTH((AP124-1))-MONTH(AL124)-IF(DAY((AP124-1))&lt;MIN(DAY(AL124),DAY(EOMONTH((AP124-1),0))),1,0))))</f>
        <v/>
      </c>
      <c r="BQ124" s="16" t="str">
        <f aca="false">IF(AK124=0,"",IF(AT124="FT",IF(BO124&lt;FT_First,0,IF(BO124&lt;FT_Y5,1+INT((BO124-FT_First)/FT_Int1),FT_PreY5+FT_PerYear*INT((BO124-FT_Y5)/12)+FT_AnnivDays+INT(MOD(BO124-FT_Y5,12)/FT_Int2)-IF(EDATE(AL124,FT_Y5)&lt;PolicyEff,FT_AnnivDays-1,0))),IF(AT124="PT",IF(BO124&lt;PT_First,0,1+INT((BO124-PT_First)/PT_Int)),0))+IF(AND(AM124&gt;=2,AO124&lt;=(SchemeStart-1)),IF(AU124="FT",IF(BP124&lt;FT_First,0,IF(BP124&lt;FT_Y5,1+INT((BP124-FT_First)/FT_Int1),FT_PreY5+FT_PerYear*INT((BP124-FT_Y5)/12)+FT_AnnivDays+INT(MOD(BP124-FT_Y5,12)/FT_Int2)-IF(EDATE(AL124,FT_Y5)&lt;PolicyEff,FT_AnnivDays-1,0))),IF(AU124="PT",IF(BP124&lt;PT_First,0,1+INT((BP124-PT_First)/PT_Int)),0))-IF(AU124="FT",IF(BO124&lt;FT_First,0,IF(BO124&lt;FT_Y5,1+INT((BO124-FT_First)/FT_Int1),FT_PreY5+FT_PerYear*INT((BO124-FT_Y5)/12)+FT_AnnivDays+INT(MOD(BO124-FT_Y5,12)/FT_Int2)-IF(EDATE(AL124,FT_Y5)&lt;PolicyEff,FT_AnnivDays-1,0))),IF(AU124="PT",IF(BO124&lt;PT_First,0,1+INT((BO124-PT_First)/PT_Int)),0)),0)+IF(AND(AM124&gt;=3,AP124&lt;=(SchemeStart-1)),IF(AV124="FT",IF(BN124&lt;FT_First,0,IF(BN124&lt;FT_Y5,1+INT((BN124-FT_First)/FT_Int1),FT_PreY5+FT_PerYear*INT((BN124-FT_Y5)/12)+FT_AnnivDays+INT(MOD(BN124-FT_Y5,12)/FT_Int2)-IF(EDATE(AL124,FT_Y5)&lt;PolicyEff,FT_AnnivDays-1,0))),IF(AV124="PT",IF(BN124&lt;PT_First,0,1+INT((BN124-PT_First)/PT_Int)),0))-IF(AV124="FT",IF(BP124&lt;FT_First,0,IF(BP124&lt;FT_Y5,1+INT((BP124-FT_First)/FT_Int1),FT_PreY5+FT_PerYear*INT((BP124-FT_Y5)/12)+FT_AnnivDays+INT(MOD(BP124-FT_Y5,12)/FT_Int2)-IF(EDATE(AL124,FT_Y5)&lt;PolicyEff,FT_AnnivDays-1,0))),IF(AV124="PT",IF(BP124&lt;PT_First,0,1+INT((BP124-PT_First)/PT_Int)),0)),0))</f>
        <v/>
      </c>
      <c r="BR124" s="0" t="str">
        <f aca="false">IF(LEN($A124&amp;$B124)=0,"",$A124&amp;" "&amp;$B124)</f>
        <v/>
      </c>
    </row>
    <row r="125" customFormat="false" ht="15" hidden="false" customHeight="false" outlineLevel="0" collapsed="false">
      <c r="A125" s="12"/>
      <c r="B125" s="12"/>
      <c r="C125" s="12"/>
      <c r="D125" s="13"/>
      <c r="E125" s="14" t="str">
        <f aca="false">IF(OR(AK125=0,$D125=""),"",DATE(YEAR(AsOfDate)+IF(DATE(YEAR(AsOfDate),MONTH($D125),DAY($D125))&lt;=AsOfDate,1,0),MONTH($D125),DAY($D125)))</f>
        <v/>
      </c>
      <c r="F125" s="13"/>
      <c r="G125" s="13"/>
      <c r="H125" s="13"/>
      <c r="I125" s="13"/>
      <c r="J125" s="13"/>
      <c r="K125" s="14" t="str">
        <f aca="false">IF(AK125=0,"",DATE(YEAR(AsOfDate)+IF(DATE(YEAR(AsOfDate),MONTH(AL125),DAY(AL125))&lt;=AsOfDate,1,0),MONTH(AL125),DAY(AL125)))</f>
        <v/>
      </c>
      <c r="L125" s="15" t="str">
        <f aca="false">IF(AK125=0,"",ROUND((AsOfDate-AL125)/365.25,1))</f>
        <v/>
      </c>
      <c r="M125" s="16" t="str">
        <f aca="false">IF(AK125=0,"",IF(AsOfDate&lt;AL125,"-",DATEDIF(AL125,AsOfDate,"y")&amp;"y "&amp;DATEDIF(AL125,AsOfDate,"ym")&amp;"m "&amp;DATEDIF(AL125,AsOfDate,"md")&amp;"d"))</f>
        <v/>
      </c>
      <c r="N125" s="17" t="str">
        <f aca="false">IF(AK125=0,"",O125*HoursPerDay)</f>
        <v/>
      </c>
      <c r="O125" s="17" t="str">
        <f aca="false">IF(AK125=0,"",MAX(0,BD125-BQ125))</f>
        <v/>
      </c>
      <c r="P125" s="18"/>
      <c r="Q125" s="16" t="str">
        <f aca="false">IF(AK125=0,"",IF(AM125&lt;2,"",AQ125&amp;" to "&amp;AR125&amp;" on "&amp;TEXT(AO125,"dd/mm/yyyy")&amp;IF(AO125&gt;AsOfDate," (future)",IF(AT125=AU125,"",IF(AU125="None"," - STOPPED accruing",IF(AT125="None"," - commencement for Bonus Leave"," - pathway changed"))))&amp;IF(AM125&lt;3,"","; "&amp;AR125&amp;" to "&amp;AS125&amp;" on "&amp;TEXT(AP125,"dd/mm/yyyy")&amp;IF(AP125&gt;AsOfDate," (future)",IF(AU125=AV125,"",IF(AV125="None"," - STOPPED accruing",IF(AU125="None"," - commencement for Bonus Leave"," - pathway changed")))))))</f>
        <v/>
      </c>
      <c r="R125" s="16" t="str">
        <f aca="false">IF(AK125=0,"",IF(AW125="None",IF(O125&gt;0,"No longer accruing","Not eligible - "&amp;IF(AND(OR(ISNUMBER(SEARCH("part",$C125)),UPPER(TRIM($C125))="PT",UPPER(TRIM($C125))="PTE"),Apply2026="No"),"part-time (scheme is full-time only)",IF(AND(OR(ISNUMBER(SEARCH("part",$C125)),UPPER(TRIM($C125))="PT",UPPER(TRIM($C125))="PTE"),$P125&lt;&gt;"",N($P125)&lt;PT_MinHours),"under "&amp;PT_MinHours&amp;" hrs",IF(IF($C125="","",IF(OR(ISNUMBER(SEARCH("full",$C125)),UPPER(TRIM($C125))="FT",UPPER(TRIM($C125))="FTE"),"Full-Time",IF(OR(ISNUMBER(SEARCH("part",$C125)),UPPER(TRIM($C125))="PT",UPPER(TRIM($C125))="PTE"),"Part-Time",IF(OR(ISNUMBER(SEARCH("cas",$C125)),UPPER(TRIM($C125))="CAS"),"Casual","Unknown"))))="Unknown","type not recognised",$C125)))),IF(O125&gt;0,"Yes - Accrual Required","Not yet - from "&amp;TEXT(S125,"dd/mm/yyyy"))))</f>
        <v/>
      </c>
      <c r="S125" s="14" t="str">
        <f aca="false">IF(AK125=0,"",IF(AW125="None","",EDATE(AL125,BF125)))</f>
        <v/>
      </c>
      <c r="T125" s="17" t="str">
        <f aca="false">IF(AK125=0,"",IF(NOT(LH_Ready),"",IF($F125&gt;PFYDate,0,IF(LH_ColPeriod=0,W125-U125+V125,SUMIFS(INDEX(LH_Data,0,LH_ColAcc),INDEX(LH_Data,0,LH_ColFirst),$A125,INDEX(LH_Data,0,LH_ColSur),$B125,INDEX(LH_Data,0,LH_ColCat),BonusCat,INDEX(LH_Data,0,LH_ColPeriod),LH_OpenLabel)*UnitFactor))))</f>
        <v/>
      </c>
      <c r="U125" s="17" t="str">
        <f aca="false">IF(AK125=0,"",IF(NOT(LH_Ready),"",SUMIFS(INDEX(LH_Data,0,LH_ColAcc),INDEX(LH_Data,0,LH_ColFirst),$A125,INDEX(LH_Data,0,LH_ColSur),$B125,INDEX(LH_Data,0,LH_ColCat),BonusCat,INDEX(LH_Data,0,LH_ColStart),"&gt;="&amp;AL125)*UnitFactor))</f>
        <v/>
      </c>
      <c r="V125" s="17" t="str">
        <f aca="false">IF(AK125=0,"",IF(NOT(LH_Ready),"",SUMIFS(INDEX(LH_Data,0,LH_ColTaken),INDEX(LH_Data,0,LH_ColFirst),$A125,INDEX(LH_Data,0,LH_ColSur),$B125,INDEX(LH_Data,0,LH_ColCat),BonusCat,INDEX(LH_Data,0,LH_ColStart),"&gt;="&amp;AL125)*UnitFactor))</f>
        <v/>
      </c>
      <c r="W125" s="17" t="str">
        <f aca="false">IF(AK125=0,"",IF(NOT(LH_Ready),"",IF(BH125=0,0,INDEX(INDEX(LH_Data,0,LH_ColClose),BH125-1)*UnitFactor)))</f>
        <v/>
      </c>
      <c r="X125" s="17" t="str">
        <f aca="false">IF(AK125=0,"",(MAX(0,BD125-BQ125)-MAX(0,BE125-BQ125))*HoursPerDay)</f>
        <v/>
      </c>
      <c r="Y125" s="17" t="str">
        <f aca="false">IF(AK125=0,"",IF(NOT(LH_Ready),"",IF($AI125="Yes",N(AE125)*HoursPerDay-SUMIFS(INDEX(LH_Data,0,LH_ColAcc),INDEX(LH_Data,0,LH_ColFirst),$A125,INDEX(LH_Data,0,LH_ColSur),$B125,INDEX(LH_Data,0,LH_ColCat),BonusCat,INDEX(LH_Data,0,LH_ColStart),"&gt;="&amp;(EOMONTH(AsOfDate,-1)+1),INDEX(LH_Data,0,LH_ColStart),"&lt;="&amp;AsOfDate)*UnitFactor,IF(BG125=0,N125,N125-N(T125)-N(U125)))))</f>
        <v/>
      </c>
      <c r="Z125" s="16" t="str">
        <f aca="false">IF(OR(AK125=0,Y125=""),"",IF(Y125&gt;0,"Yes","No"))</f>
        <v/>
      </c>
      <c r="AA125" s="16" t="str">
        <f aca="false">IF(AK125=0,IF(LEN($A125&amp;$B125)=0,"","FIX INPUT - StartDate missing"),IF(AD125&lt;&gt;"","FIX INPUT - "&amp;AD125,IF(NOT(LH_Ready),"Paste Leave History export (Settings must show YES)",IF(AND($AI125="Yes",Y125&lt;=0),"OK - EH balance accepted to date"&amp;IF(N(AH125)&gt;0," (EH holds "&amp;AH125&amp;" hrs over the scheme)","")&amp;"; next day "&amp;TEXT(S125,"dd mmm yy")&amp;IF(N(AE125)&gt;0," ("&amp;AE125&amp;" day(s) for "&amp;UPPER(TEXT(AsOfDate,"mmm yyyy"))&amp;" already in EH)",""),IF(Y125&gt;0,"ACCRUE "&amp;ROUND(Y125,2)&amp;" hrs ("&amp;ROUND(Y125/HoursPerDay,2)&amp;" days): "&amp;IF(N(AE125)&gt;0,AE125&amp;" day(s) for "&amp;UPPER(TEXT(AsOfDate,"mmm yyyy"))&amp;" (milestone "&amp;UPPER(TEXT(AF125,"dd mmm yy"))&amp;")"&amp;IF(Y125/HoursPerDay&gt;AE125+0.001," + "&amp;ROUND(Y125/HoursPerDay-AE125,2)&amp;" day(s) catch-up from earlier months",""),"all catch-up from earlier months, nothing new this month")&amp;IF(BG125=0,"; no Bonus Leave in EH yet",""),IF(Y125&lt;0,"CHECK - EH accrued "&amp;ROUND(-Y125,2)&amp;" hrs more than policy since commencement",IF(N(W125)&gt;O125*HoursPerDay+0.01,"CHECK - EH balance "&amp;ROUND(W125-O125*HoursPerDay,2)&amp;" hrs more than policy entitlement",IF(O125&gt;0,"OK - nothing to add"&amp;IF(N(AE125)&gt;0," ("&amp;AE125&amp;" day(s) for "&amp;UPPER(TEXT(AsOfDate,"mmm yyyy"))&amp;" already in EH)",""),IF(AW125="None",R125,"Not yet - first day on "&amp;TEXT(S125,"dd/mm/yyyy"))))))))))</f>
        <v/>
      </c>
      <c r="AB125" s="17" t="str">
        <f aca="false">IF(OR(AK125=0,T125=""),"",MAX(0,BE125-BQ125)*HoursPerDay-T125)</f>
        <v/>
      </c>
      <c r="AC125" s="16" t="str">
        <f aca="false">IF(AK125=0,"",BG125)</f>
        <v/>
      </c>
      <c r="AD125" s="16" t="str">
        <f aca="false">IF(AK125=0,"",TRIM(IF(OR(ISTEXT($F125),ISTEXT($H125),ISTEXT($I125),ISTEXT($G125),ISTEXT($J125),ISTEXT($D125)),"A date is typed as text - retype it as dd/mm/yyyy. ","")&amp;IF(IF($C125="","",IF(OR(ISNUMBER(SEARCH("full",$C125)),UPPER(TRIM($C125))="FT",UPPER(TRIM($C125))="FTE"),"Full-Time",IF(OR(ISNUMBER(SEARCH("part",$C125)),UPPER(TRIM($C125))="PT",UPPER(TRIM($C125))="PTE"),"Part-Time",IF(OR(ISNUMBER(SEARCH("cas",$C125)),UPPER(TRIM($C125))="CAS"),"Casual","Unknown"))))="Unknown","EmploymentType not recognised - use Full-Time, Part-Time or Casual. ","")&amp;IF(AND(AM125&gt;=1,IF(AM125&gt;=3,AS125,IF(AM125=2,AR125,AQ125))&lt;&gt;IF($C125="","",IF(OR(ISNUMBER(SEARCH("full",$C125)),UPPER(TRIM($C125))="FT",UPPER(TRIM($C125))="FTE"),"Full-Time",IF(OR(ISNUMBER(SEARCH("part",$C125)),UPPER(TRIM($C125))="PT",UPPER(TRIM($C125))="PTE"),"Part-Time",IF(OR(ISNUMBER(SEARCH("cas",$C125)),UPPER(TRIM($C125))="CAS"),"Casual","Unknown"))))),"EmploymentType does not match latest start date ("&amp;IF(AM125&gt;=3,AS125,IF(AM125=2,AR125,AQ125))&amp;"). ","")&amp;IF(AND(AM125&gt;=1,AN125&lt;&gt;$F125),"Earliest type date should equal StartDate. ","")&amp;IF(AND(AM125&gt;=2,AN125=AO125),"Two types start on the same date. ","")&amp;IF(AND(OR(ISNUMBER(SEARCH("part",$C125)),UPPER(TRIM($C125))="PT",UPPER(TRIM($C125))="PTE"),$P125=""),"Part-time: enter PT Hrs/Week (blank = 24+). ","")))</f>
        <v/>
      </c>
      <c r="AE125" s="17" t="str">
        <f aca="false">IF(AK125=0,"",O125-MAX(0,BL125-BQ125))</f>
        <v/>
      </c>
      <c r="AF125" s="14" t="str">
        <f aca="false">IF(OR(AK125=0,AE125="",N(AE125)=0,BM125=""),"",EDATE(AL125,BM125))</f>
        <v/>
      </c>
      <c r="AG125" s="17" t="str">
        <f aca="false">IF(AK125=0,"",MIN(BD125,BQ125))</f>
        <v/>
      </c>
      <c r="AH125" s="17" t="str">
        <f aca="false">IF(AK125=0,"",IF(NOT(LH_Ready),"",IF(BG125=0,0,MAX(0,ROUND(N(T125)+N(U125)-N125,2)))))</f>
        <v/>
      </c>
      <c r="AI125" s="12"/>
      <c r="AJ125" s="12"/>
      <c r="AK125" s="16" t="n">
        <f aca="false">IF(OR(LEN($A125&amp;$B125)=0,$F125=""),0,1)</f>
        <v>0</v>
      </c>
      <c r="AL125" s="14" t="str">
        <f aca="false">IF(AK125=0,"",IF(PreSchemeCounts="No",MAX(SchemeStart,IF($J125&lt;&gt;"",$J125,IF(OR(CasualCounts="Yes",COUNT($G125:$I125)=0),$F125,IF(Apply2026="No",IF($I125="",$F125,$I125),IF(COUNT($H125:$I125)=0,$F125,MIN($H125:$I125)))))),IF($J125&lt;&gt;"",$J125,IF(OR(CasualCounts="Yes",COUNT($G125:$I125)=0),$F125,IF(Apply2026="No",IF($I125="",$F125,$I125),IF(COUNT($H125:$I125)=0,$F125,MIN($H125:$I125)))))))</f>
        <v/>
      </c>
      <c r="AM125" s="16" t="str">
        <f aca="false">IF(AK125=0,"",COUNT($G125:$I125))</f>
        <v/>
      </c>
      <c r="AN125" s="14" t="str">
        <f aca="false">IF(AK125=0,"",IFERROR(SMALL($G125:$I125,1),""))</f>
        <v/>
      </c>
      <c r="AO125" s="14" t="str">
        <f aca="false">IF(AK125=0,"",IFERROR(SMALL($G125:$I125,2),""))</f>
        <v/>
      </c>
      <c r="AP125" s="14" t="str">
        <f aca="false">IF(AK125=0,"",IFERROR(SMALL($G125:$I125,3),""))</f>
        <v/>
      </c>
      <c r="AQ125" s="16" t="str">
        <f aca="false">IF(AK125=0,"",IF(AN125="","",IF(AN125=$H125,"Part-Time",IF(AN125=$I125,"Full-Time","Casual"))))</f>
        <v/>
      </c>
      <c r="AR125" s="16" t="str">
        <f aca="false">IF(AK125=0,"",IF(AO125="","",IF(AO125=$H125,"Part-Time",IF(AO125=$I125,"Full-Time","Casual"))))</f>
        <v/>
      </c>
      <c r="AS125" s="16" t="str">
        <f aca="false">IF(AK125=0,"",IF(AP125="","",IF(AP125=$H125,"Part-Time",IF(AP125=$I125,"Full-Time","Casual"))))</f>
        <v/>
      </c>
      <c r="AT125" s="16" t="str">
        <f aca="false">IF(AK125=0,"",IF(AM125=0,IF(OR(ISNUMBER(SEARCH("full",$C125)),UPPER(TRIM($C125))="FT",UPPER(TRIM($C125))="FTE"),"FT",IF(AND(OR(ISNUMBER(SEARCH("part",$C125)),UPPER(TRIM($C125))="PT",UPPER(TRIM($C125))="PTE"),Apply2026="Yes",OR($P125="",N($P125)&gt;=PT_MinHours)),"PT","None")),IF(OR(ISNUMBER(SEARCH("full",AQ125)),UPPER(TRIM(AQ125))="FT",UPPER(TRIM(AQ125))="FTE"),"FT",IF(AND(OR(ISNUMBER(SEARCH("part",AQ125)),UPPER(TRIM(AQ125))="PT",UPPER(TRIM(AQ125))="PTE"),Apply2026="Yes",OR($P125="",N($P125)&gt;=PT_MinHours)),"PT","None"))))</f>
        <v/>
      </c>
      <c r="AU125" s="16" t="str">
        <f aca="false">IF(AK125=0,"",IF(AM125&lt;2,"",IF(OR(ISNUMBER(SEARCH("full",AR125)),UPPER(TRIM(AR125))="FT",UPPER(TRIM(AR125))="FTE"),"FT",IF(AND(OR(ISNUMBER(SEARCH("part",AR125)),UPPER(TRIM(AR125))="PT",UPPER(TRIM(AR125))="PTE"),Apply2026="Yes",OR($P125="",N($P125)&gt;=PT_MinHours)),"PT","None"))))</f>
        <v/>
      </c>
      <c r="AV125" s="16" t="str">
        <f aca="false">IF(AK125=0,"",IF(AM125&lt;3,"",IF(OR(ISNUMBER(SEARCH("full",AS125)),UPPER(TRIM(AS125))="FT",UPPER(TRIM(AS125))="FTE"),"FT",IF(AND(OR(ISNUMBER(SEARCH("part",AS125)),UPPER(TRIM(AS125))="PT",UPPER(TRIM(AS125))="PTE"),Apply2026="Yes",OR($P125="",N($P125)&gt;=PT_MinHours)),"PT","None"))))</f>
        <v/>
      </c>
      <c r="AW125" s="16" t="str">
        <f aca="false">IF(AK125=0,"",IF(AND(AM125&gt;=3,AP125&lt;=AsOfDate),AV125,IF(AND(AM125&gt;=2,AO125&lt;=AsOfDate),AU125,AT125)))</f>
        <v/>
      </c>
      <c r="AX125" s="16" t="str">
        <f aca="false">IF(AK125=0,"",IF(AsOfDate&lt;AL125,-1,12*(YEAR(AsOfDate)-YEAR(AL125))+MONTH(AsOfDate)-MONTH(AL125)-IF(DAY(AsOfDate)&lt;MIN(DAY(AL125),DAY(EOMONTH(AsOfDate,0))),1,0)))</f>
        <v/>
      </c>
      <c r="AY125" s="16" t="str">
        <f aca="false">IF(AK125=0,"",IF(OR(AM125&lt;2,AO125&gt;AsOfDate),AX125,IF((AO125-1)&lt;AL125,-1,12*(YEAR((AO125-1))-YEAR(AL125))+MONTH((AO125-1))-MONTH(AL125)-IF(DAY((AO125-1))&lt;MIN(DAY(AL125),DAY(EOMONTH((AO125-1),0))),1,0))))</f>
        <v/>
      </c>
      <c r="AZ125" s="16" t="str">
        <f aca="false">IF(AK125=0,"",IF(OR(AM125&lt;3,AP125&gt;AsOfDate),AX125,IF((AP125-1)&lt;AL125,-1,12*(YEAR((AP125-1))-YEAR(AL125))+MONTH((AP125-1))-MONTH(AL125)-IF(DAY((AP125-1))&lt;MIN(DAY(AL125),DAY(EOMONTH((AP125-1),0))),1,0))))</f>
        <v/>
      </c>
      <c r="BA125" s="16" t="str">
        <f aca="false">IF(AK125=0,"",IF(PFYDate&lt;AL125,-1,12*(YEAR(PFYDate)-YEAR(AL125))+MONTH(PFYDate)-MONTH(AL125)-IF(DAY(PFYDate)&lt;MIN(DAY(AL125),DAY(EOMONTH(PFYDate,0))),1,0)))</f>
        <v/>
      </c>
      <c r="BB125" s="16" t="str">
        <f aca="false">IF(AK125=0,"",IF(OR(AM125&lt;2,AO125&gt;PFYDate),BA125,IF((AO125-1)&lt;AL125,-1,12*(YEAR((AO125-1))-YEAR(AL125))+MONTH((AO125-1))-MONTH(AL125)-IF(DAY((AO125-1))&lt;MIN(DAY(AL125),DAY(EOMONTH((AO125-1),0))),1,0))))</f>
        <v/>
      </c>
      <c r="BC125" s="16" t="str">
        <f aca="false">IF(AK125=0,"",IF(OR(AM125&lt;3,AP125&gt;PFYDate),BA125,IF((AP125-1)&lt;AL125,-1,12*(YEAR((AP125-1))-YEAR(AL125))+MONTH((AP125-1))-MONTH(AL125)-IF(DAY((AP125-1))&lt;MIN(DAY(AL125),DAY(EOMONTH((AP125-1),0))),1,0))))</f>
        <v/>
      </c>
      <c r="BD125" s="16" t="str">
        <f aca="false">IF(AK125=0,"",IF(AT125="FT",IF(AY125&lt;FT_First,0,IF(AY125&lt;FT_Y5,1+INT((AY125-FT_First)/FT_Int1),FT_PreY5+FT_PerYear*INT((AY125-FT_Y5)/12)+FT_AnnivDays+INT(MOD(AY125-FT_Y5,12)/FT_Int2)-IF(EDATE(AL125,FT_Y5)&lt;PolicyEff,FT_AnnivDays-1,0))),IF(AT125="PT",IF(AY125&lt;PT_First,0,1+INT((AY125-PT_First)/PT_Int)),0))+IF(AND(AM125&gt;=2,AO125&lt;=AsOfDate),IF(AU125="FT",IF(AZ125&lt;FT_First,0,IF(AZ125&lt;FT_Y5,1+INT((AZ125-FT_First)/FT_Int1),FT_PreY5+FT_PerYear*INT((AZ125-FT_Y5)/12)+FT_AnnivDays+INT(MOD(AZ125-FT_Y5,12)/FT_Int2)-IF(EDATE(AL125,FT_Y5)&lt;PolicyEff,FT_AnnivDays-1,0))),IF(AU125="PT",IF(AZ125&lt;PT_First,0,1+INT((AZ125-PT_First)/PT_Int)),0))-IF(AU125="FT",IF(AY125&lt;FT_First,0,IF(AY125&lt;FT_Y5,1+INT((AY125-FT_First)/FT_Int1),FT_PreY5+FT_PerYear*INT((AY125-FT_Y5)/12)+FT_AnnivDays+INT(MOD(AY125-FT_Y5,12)/FT_Int2)-IF(EDATE(AL125,FT_Y5)&lt;PolicyEff,FT_AnnivDays-1,0))),IF(AU125="PT",IF(AY125&lt;PT_First,0,1+INT((AY125-PT_First)/PT_Int)),0)),0)+IF(AND(AM125&gt;=3,AP125&lt;=AsOfDate),IF(AV125="FT",IF(AX125&lt;FT_First,0,IF(AX125&lt;FT_Y5,1+INT((AX125-FT_First)/FT_Int1),FT_PreY5+FT_PerYear*INT((AX125-FT_Y5)/12)+FT_AnnivDays+INT(MOD(AX125-FT_Y5,12)/FT_Int2)-IF(EDATE(AL125,FT_Y5)&lt;PolicyEff,FT_AnnivDays-1,0))),IF(AV125="PT",IF(AX125&lt;PT_First,0,1+INT((AX125-PT_First)/PT_Int)),0))-IF(AV125="FT",IF(AZ125&lt;FT_First,0,IF(AZ125&lt;FT_Y5,1+INT((AZ125-FT_First)/FT_Int1),FT_PreY5+FT_PerYear*INT((AZ125-FT_Y5)/12)+FT_AnnivDays+INT(MOD(AZ125-FT_Y5,12)/FT_Int2)-IF(EDATE(AL125,FT_Y5)&lt;PolicyEff,FT_AnnivDays-1,0))),IF(AV125="PT",IF(AZ125&lt;PT_First,0,1+INT((AZ125-PT_First)/PT_Int)),0)),0))</f>
        <v/>
      </c>
      <c r="BE125" s="16" t="str">
        <f aca="false">IF(AK125=0,"",IF(AT125="FT",IF(BB125&lt;FT_First,0,IF(BB125&lt;FT_Y5,1+INT((BB125-FT_First)/FT_Int1),FT_PreY5+FT_PerYear*INT((BB125-FT_Y5)/12)+FT_AnnivDays+INT(MOD(BB125-FT_Y5,12)/FT_Int2)-IF(EDATE(AL125,FT_Y5)&lt;PolicyEff,FT_AnnivDays-1,0))),IF(AT125="PT",IF(BB125&lt;PT_First,0,1+INT((BB125-PT_First)/PT_Int)),0))+IF(AND(AM125&gt;=2,AO125&lt;=PFYDate),IF(AU125="FT",IF(BC125&lt;FT_First,0,IF(BC125&lt;FT_Y5,1+INT((BC125-FT_First)/FT_Int1),FT_PreY5+FT_PerYear*INT((BC125-FT_Y5)/12)+FT_AnnivDays+INT(MOD(BC125-FT_Y5,12)/FT_Int2)-IF(EDATE(AL125,FT_Y5)&lt;PolicyEff,FT_AnnivDays-1,0))),IF(AU125="PT",IF(BC125&lt;PT_First,0,1+INT((BC125-PT_First)/PT_Int)),0))-IF(AU125="FT",IF(BB125&lt;FT_First,0,IF(BB125&lt;FT_Y5,1+INT((BB125-FT_First)/FT_Int1),FT_PreY5+FT_PerYear*INT((BB125-FT_Y5)/12)+FT_AnnivDays+INT(MOD(BB125-FT_Y5,12)/FT_Int2)-IF(EDATE(AL125,FT_Y5)&lt;PolicyEff,FT_AnnivDays-1,0))),IF(AU125="PT",IF(BB125&lt;PT_First,0,1+INT((BB125-PT_First)/PT_Int)),0)),0)+IF(AND(AM125&gt;=3,AP125&lt;=PFYDate),IF(AV125="FT",IF(BA125&lt;FT_First,0,IF(BA125&lt;FT_Y5,1+INT((BA125-FT_First)/FT_Int1),FT_PreY5+FT_PerYear*INT((BA125-FT_Y5)/12)+FT_AnnivDays+INT(MOD(BA125-FT_Y5,12)/FT_Int2)-IF(EDATE(AL125,FT_Y5)&lt;PolicyEff,FT_AnnivDays-1,0))),IF(AV125="PT",IF(BA125&lt;PT_First,0,1+INT((BA125-PT_First)/PT_Int)),0))-IF(AV125="FT",IF(BC125&lt;FT_First,0,IF(BC125&lt;FT_Y5,1+INT((BC125-FT_First)/FT_Int1),FT_PreY5+FT_PerYear*INT((BC125-FT_Y5)/12)+FT_AnnivDays+INT(MOD(BC125-FT_Y5,12)/FT_Int2)-IF(EDATE(AL125,FT_Y5)&lt;PolicyEff,FT_AnnivDays-1,0))),IF(AV125="PT",IF(BC125&lt;PT_First,0,1+INT((BC125-PT_First)/PT_Int)),0)),0))</f>
        <v/>
      </c>
      <c r="BF125" s="16" t="str">
        <f aca="false">IF(AK125=0,"",IF(AW125="FT",IF(AX125&lt;FT_First,FT_First,IF(AX125&lt;FT_Y5,MIN(FT_Y5,FT_First+FT_Int1*(INT((AX125-FT_First)/FT_Int1)+1)),FT_Y5+12*INT((AX125-FT_Y5)/12)+FT_Int2*(INT(MOD(AX125-FT_Y5,12)/FT_Int2)+1))),IF(AW125="PT",IF(AX125&lt;PT_First,PT_First,PT_First+PT_Int*(INT((AX125-PT_First)/PT_Int)+1)),"")))</f>
        <v/>
      </c>
      <c r="BG125" s="16" t="str">
        <f aca="false">IF(AK125=0,"",IF(NOT(LH_Ready),0,COUNTIFS(INDEX(LH_Data,0,LH_ColFirst),$A125,INDEX(LH_Data,0,LH_ColSur),$B125,INDEX(LH_Data,0,LH_ColCat),BonusCat)))</f>
        <v/>
      </c>
      <c r="BH125" s="16" t="str">
        <f aca="false">IF(AK125=0,"",IF(OR(NOT(LH_Ready),BG125=0),0,SUMPRODUCT(MAX((INDEX(LH_Data,0,LH_ColFirst)=$A125)*(INDEX(LH_Data,0,LH_ColSur)=$B125)*(INDEX(LH_Data,0,LH_ColCat)=BonusCat)*ROW(LH_Data)))))</f>
        <v/>
      </c>
      <c r="BI125" s="16" t="str">
        <f aca="false">IF(AK125=0,"",IF(EOMONTH(AsOfDate,-1)&lt;AL125,-1,12*(YEAR(EOMONTH(AsOfDate,-1))-YEAR(AL125))+MONTH(EOMONTH(AsOfDate,-1))-MONTH(AL125)-IF(DAY(EOMONTH(AsOfDate,-1))&lt;MIN(DAY(AL125),DAY(EOMONTH(EOMONTH(AsOfDate,-1),0))),1,0)))</f>
        <v/>
      </c>
      <c r="BJ125" s="16" t="str">
        <f aca="false">IF(AK125=0,"",IF(OR(AM125&lt;2,AO125&gt;EOMONTH(AsOfDate,-1)),BI125,IF((AO125-1)&lt;AL125,-1,12*(YEAR((AO125-1))-YEAR(AL125))+MONTH((AO125-1))-MONTH(AL125)-IF(DAY((AO125-1))&lt;MIN(DAY(AL125),DAY(EOMONTH((AO125-1),0))),1,0))))</f>
        <v/>
      </c>
      <c r="BK125" s="16" t="str">
        <f aca="false">IF(AK125=0,"",IF(OR(AM125&lt;3,AP125&gt;EOMONTH(AsOfDate,-1)),BI125,IF((AP125-1)&lt;AL125,-1,12*(YEAR((AP125-1))-YEAR(AL125))+MONTH((AP125-1))-MONTH(AL125)-IF(DAY((AP125-1))&lt;MIN(DAY(AL125),DAY(EOMONTH((AP125-1),0))),1,0))))</f>
        <v/>
      </c>
      <c r="BL125" s="16" t="str">
        <f aca="false">IF(AK125=0,"",IF(AT125="FT",IF(BJ125&lt;FT_First,0,IF(BJ125&lt;FT_Y5,1+INT((BJ125-FT_First)/FT_Int1),FT_PreY5+FT_PerYear*INT((BJ125-FT_Y5)/12)+FT_AnnivDays+INT(MOD(BJ125-FT_Y5,12)/FT_Int2)-IF(EDATE(AL125,FT_Y5)&lt;PolicyEff,FT_AnnivDays-1,0))),IF(AT125="PT",IF(BJ125&lt;PT_First,0,1+INT((BJ125-PT_First)/PT_Int)),0))+IF(AND(AM125&gt;=2,AO125&lt;=EOMONTH(AsOfDate,-1)),IF(AU125="FT",IF(BK125&lt;FT_First,0,IF(BK125&lt;FT_Y5,1+INT((BK125-FT_First)/FT_Int1),FT_PreY5+FT_PerYear*INT((BK125-FT_Y5)/12)+FT_AnnivDays+INT(MOD(BK125-FT_Y5,12)/FT_Int2)-IF(EDATE(AL125,FT_Y5)&lt;PolicyEff,FT_AnnivDays-1,0))),IF(AU125="PT",IF(BK125&lt;PT_First,0,1+INT((BK125-PT_First)/PT_Int)),0))-IF(AU125="FT",IF(BJ125&lt;FT_First,0,IF(BJ125&lt;FT_Y5,1+INT((BJ125-FT_First)/FT_Int1),FT_PreY5+FT_PerYear*INT((BJ125-FT_Y5)/12)+FT_AnnivDays+INT(MOD(BJ125-FT_Y5,12)/FT_Int2)-IF(EDATE(AL125,FT_Y5)&lt;PolicyEff,FT_AnnivDays-1,0))),IF(AU125="PT",IF(BJ125&lt;PT_First,0,1+INT((BJ125-PT_First)/PT_Int)),0)),0)+IF(AND(AM125&gt;=3,AP125&lt;=EOMONTH(AsOfDate,-1)),IF(AV125="FT",IF(BI125&lt;FT_First,0,IF(BI125&lt;FT_Y5,1+INT((BI125-FT_First)/FT_Int1),FT_PreY5+FT_PerYear*INT((BI125-FT_Y5)/12)+FT_AnnivDays+INT(MOD(BI125-FT_Y5,12)/FT_Int2)-IF(EDATE(AL125,FT_Y5)&lt;PolicyEff,FT_AnnivDays-1,0))),IF(AV125="PT",IF(BI125&lt;PT_First,0,1+INT((BI125-PT_First)/PT_Int)),0))-IF(AV125="FT",IF(BK125&lt;FT_First,0,IF(BK125&lt;FT_Y5,1+INT((BK125-FT_First)/FT_Int1),FT_PreY5+FT_PerYear*INT((BK125-FT_Y5)/12)+FT_AnnivDays+INT(MOD(BK125-FT_Y5,12)/FT_Int2)-IF(EDATE(AL125,FT_Y5)&lt;PolicyEff,FT_AnnivDays-1,0))),IF(AV125="PT",IF(BK125&lt;PT_First,0,1+INT((BK125-PT_First)/PT_Int)),0)),0))</f>
        <v/>
      </c>
      <c r="BM125" s="16" t="str">
        <f aca="false">IF(AK125=0,"",IF(AW125="FT",IF(AX125&lt;FT_First,"",IF(AX125&lt;FT_Y5,FT_First+FT_Int1*INT((AX125-FT_First)/FT_Int1),FT_Y5+FT_Int2*INT((AX125-FT_Y5)/FT_Int2))),IF(AW125="PT",IF(AX125&lt;PT_First,"",PT_First+PT_Int*INT((AX125-PT_First)/PT_Int)),"")))</f>
        <v/>
      </c>
      <c r="BN125" s="16" t="str">
        <f aca="false">IF(AK125=0,"",IF((SchemeStart-1)&lt;AL125,-1,12*(YEAR((SchemeStart-1))-YEAR(AL125))+MONTH((SchemeStart-1))-MONTH(AL125)-IF(DAY((SchemeStart-1))&lt;MIN(DAY(AL125),DAY(EOMONTH((SchemeStart-1),0))),1,0)))</f>
        <v/>
      </c>
      <c r="BO125" s="16" t="str">
        <f aca="false">IF(AK125=0,"",IF(OR(AM125&lt;2,AO125&gt;(SchemeStart-1)),BN125,IF((AO125-1)&lt;AL125,-1,12*(YEAR((AO125-1))-YEAR(AL125))+MONTH((AO125-1))-MONTH(AL125)-IF(DAY((AO125-1))&lt;MIN(DAY(AL125),DAY(EOMONTH((AO125-1),0))),1,0))))</f>
        <v/>
      </c>
      <c r="BP125" s="16" t="str">
        <f aca="false">IF(AK125=0,"",IF(OR(AM125&lt;3,AP125&gt;(SchemeStart-1)),BN125,IF((AP125-1)&lt;AL125,-1,12*(YEAR((AP125-1))-YEAR(AL125))+MONTH((AP125-1))-MONTH(AL125)-IF(DAY((AP125-1))&lt;MIN(DAY(AL125),DAY(EOMONTH((AP125-1),0))),1,0))))</f>
        <v/>
      </c>
      <c r="BQ125" s="16" t="str">
        <f aca="false">IF(AK125=0,"",IF(AT125="FT",IF(BO125&lt;FT_First,0,IF(BO125&lt;FT_Y5,1+INT((BO125-FT_First)/FT_Int1),FT_PreY5+FT_PerYear*INT((BO125-FT_Y5)/12)+FT_AnnivDays+INT(MOD(BO125-FT_Y5,12)/FT_Int2)-IF(EDATE(AL125,FT_Y5)&lt;PolicyEff,FT_AnnivDays-1,0))),IF(AT125="PT",IF(BO125&lt;PT_First,0,1+INT((BO125-PT_First)/PT_Int)),0))+IF(AND(AM125&gt;=2,AO125&lt;=(SchemeStart-1)),IF(AU125="FT",IF(BP125&lt;FT_First,0,IF(BP125&lt;FT_Y5,1+INT((BP125-FT_First)/FT_Int1),FT_PreY5+FT_PerYear*INT((BP125-FT_Y5)/12)+FT_AnnivDays+INT(MOD(BP125-FT_Y5,12)/FT_Int2)-IF(EDATE(AL125,FT_Y5)&lt;PolicyEff,FT_AnnivDays-1,0))),IF(AU125="PT",IF(BP125&lt;PT_First,0,1+INT((BP125-PT_First)/PT_Int)),0))-IF(AU125="FT",IF(BO125&lt;FT_First,0,IF(BO125&lt;FT_Y5,1+INT((BO125-FT_First)/FT_Int1),FT_PreY5+FT_PerYear*INT((BO125-FT_Y5)/12)+FT_AnnivDays+INT(MOD(BO125-FT_Y5,12)/FT_Int2)-IF(EDATE(AL125,FT_Y5)&lt;PolicyEff,FT_AnnivDays-1,0))),IF(AU125="PT",IF(BO125&lt;PT_First,0,1+INT((BO125-PT_First)/PT_Int)),0)),0)+IF(AND(AM125&gt;=3,AP125&lt;=(SchemeStart-1)),IF(AV125="FT",IF(BN125&lt;FT_First,0,IF(BN125&lt;FT_Y5,1+INT((BN125-FT_First)/FT_Int1),FT_PreY5+FT_PerYear*INT((BN125-FT_Y5)/12)+FT_AnnivDays+INT(MOD(BN125-FT_Y5,12)/FT_Int2)-IF(EDATE(AL125,FT_Y5)&lt;PolicyEff,FT_AnnivDays-1,0))),IF(AV125="PT",IF(BN125&lt;PT_First,0,1+INT((BN125-PT_First)/PT_Int)),0))-IF(AV125="FT",IF(BP125&lt;FT_First,0,IF(BP125&lt;FT_Y5,1+INT((BP125-FT_First)/FT_Int1),FT_PreY5+FT_PerYear*INT((BP125-FT_Y5)/12)+FT_AnnivDays+INT(MOD(BP125-FT_Y5,12)/FT_Int2)-IF(EDATE(AL125,FT_Y5)&lt;PolicyEff,FT_AnnivDays-1,0))),IF(AV125="PT",IF(BP125&lt;PT_First,0,1+INT((BP125-PT_First)/PT_Int)),0)),0))</f>
        <v/>
      </c>
      <c r="BR125" s="0" t="str">
        <f aca="false">IF(LEN($A125&amp;$B125)=0,"",$A125&amp;" "&amp;$B125)</f>
        <v/>
      </c>
    </row>
    <row r="126" customFormat="false" ht="15" hidden="false" customHeight="false" outlineLevel="0" collapsed="false">
      <c r="A126" s="12"/>
      <c r="B126" s="12"/>
      <c r="C126" s="12"/>
      <c r="D126" s="13"/>
      <c r="E126" s="14" t="str">
        <f aca="false">IF(OR(AK126=0,$D126=""),"",DATE(YEAR(AsOfDate)+IF(DATE(YEAR(AsOfDate),MONTH($D126),DAY($D126))&lt;=AsOfDate,1,0),MONTH($D126),DAY($D126)))</f>
        <v/>
      </c>
      <c r="F126" s="13"/>
      <c r="G126" s="13"/>
      <c r="H126" s="13"/>
      <c r="I126" s="13"/>
      <c r="J126" s="13"/>
      <c r="K126" s="14" t="str">
        <f aca="false">IF(AK126=0,"",DATE(YEAR(AsOfDate)+IF(DATE(YEAR(AsOfDate),MONTH(AL126),DAY(AL126))&lt;=AsOfDate,1,0),MONTH(AL126),DAY(AL126)))</f>
        <v/>
      </c>
      <c r="L126" s="15" t="str">
        <f aca="false">IF(AK126=0,"",ROUND((AsOfDate-AL126)/365.25,1))</f>
        <v/>
      </c>
      <c r="M126" s="16" t="str">
        <f aca="false">IF(AK126=0,"",IF(AsOfDate&lt;AL126,"-",DATEDIF(AL126,AsOfDate,"y")&amp;"y "&amp;DATEDIF(AL126,AsOfDate,"ym")&amp;"m "&amp;DATEDIF(AL126,AsOfDate,"md")&amp;"d"))</f>
        <v/>
      </c>
      <c r="N126" s="17" t="str">
        <f aca="false">IF(AK126=0,"",O126*HoursPerDay)</f>
        <v/>
      </c>
      <c r="O126" s="17" t="str">
        <f aca="false">IF(AK126=0,"",MAX(0,BD126-BQ126))</f>
        <v/>
      </c>
      <c r="P126" s="18"/>
      <c r="Q126" s="16" t="str">
        <f aca="false">IF(AK126=0,"",IF(AM126&lt;2,"",AQ126&amp;" to "&amp;AR126&amp;" on "&amp;TEXT(AO126,"dd/mm/yyyy")&amp;IF(AO126&gt;AsOfDate," (future)",IF(AT126=AU126,"",IF(AU126="None"," - STOPPED accruing",IF(AT126="None"," - commencement for Bonus Leave"," - pathway changed"))))&amp;IF(AM126&lt;3,"","; "&amp;AR126&amp;" to "&amp;AS126&amp;" on "&amp;TEXT(AP126,"dd/mm/yyyy")&amp;IF(AP126&gt;AsOfDate," (future)",IF(AU126=AV126,"",IF(AV126="None"," - STOPPED accruing",IF(AU126="None"," - commencement for Bonus Leave"," - pathway changed")))))))</f>
        <v/>
      </c>
      <c r="R126" s="16" t="str">
        <f aca="false">IF(AK126=0,"",IF(AW126="None",IF(O126&gt;0,"No longer accruing","Not eligible - "&amp;IF(AND(OR(ISNUMBER(SEARCH("part",$C126)),UPPER(TRIM($C126))="PT",UPPER(TRIM($C126))="PTE"),Apply2026="No"),"part-time (scheme is full-time only)",IF(AND(OR(ISNUMBER(SEARCH("part",$C126)),UPPER(TRIM($C126))="PT",UPPER(TRIM($C126))="PTE"),$P126&lt;&gt;"",N($P126)&lt;PT_MinHours),"under "&amp;PT_MinHours&amp;" hrs",IF(IF($C126="","",IF(OR(ISNUMBER(SEARCH("full",$C126)),UPPER(TRIM($C126))="FT",UPPER(TRIM($C126))="FTE"),"Full-Time",IF(OR(ISNUMBER(SEARCH("part",$C126)),UPPER(TRIM($C126))="PT",UPPER(TRIM($C126))="PTE"),"Part-Time",IF(OR(ISNUMBER(SEARCH("cas",$C126)),UPPER(TRIM($C126))="CAS"),"Casual","Unknown"))))="Unknown","type not recognised",$C126)))),IF(O126&gt;0,"Yes - Accrual Required","Not yet - from "&amp;TEXT(S126,"dd/mm/yyyy"))))</f>
        <v/>
      </c>
      <c r="S126" s="14" t="str">
        <f aca="false">IF(AK126=0,"",IF(AW126="None","",EDATE(AL126,BF126)))</f>
        <v/>
      </c>
      <c r="T126" s="17" t="str">
        <f aca="false">IF(AK126=0,"",IF(NOT(LH_Ready),"",IF($F126&gt;PFYDate,0,IF(LH_ColPeriod=0,W126-U126+V126,SUMIFS(INDEX(LH_Data,0,LH_ColAcc),INDEX(LH_Data,0,LH_ColFirst),$A126,INDEX(LH_Data,0,LH_ColSur),$B126,INDEX(LH_Data,0,LH_ColCat),BonusCat,INDEX(LH_Data,0,LH_ColPeriod),LH_OpenLabel)*UnitFactor))))</f>
        <v/>
      </c>
      <c r="U126" s="17" t="str">
        <f aca="false">IF(AK126=0,"",IF(NOT(LH_Ready),"",SUMIFS(INDEX(LH_Data,0,LH_ColAcc),INDEX(LH_Data,0,LH_ColFirst),$A126,INDEX(LH_Data,0,LH_ColSur),$B126,INDEX(LH_Data,0,LH_ColCat),BonusCat,INDEX(LH_Data,0,LH_ColStart),"&gt;="&amp;AL126)*UnitFactor))</f>
        <v/>
      </c>
      <c r="V126" s="17" t="str">
        <f aca="false">IF(AK126=0,"",IF(NOT(LH_Ready),"",SUMIFS(INDEX(LH_Data,0,LH_ColTaken),INDEX(LH_Data,0,LH_ColFirst),$A126,INDEX(LH_Data,0,LH_ColSur),$B126,INDEX(LH_Data,0,LH_ColCat),BonusCat,INDEX(LH_Data,0,LH_ColStart),"&gt;="&amp;AL126)*UnitFactor))</f>
        <v/>
      </c>
      <c r="W126" s="17" t="str">
        <f aca="false">IF(AK126=0,"",IF(NOT(LH_Ready),"",IF(BH126=0,0,INDEX(INDEX(LH_Data,0,LH_ColClose),BH126-1)*UnitFactor)))</f>
        <v/>
      </c>
      <c r="X126" s="17" t="str">
        <f aca="false">IF(AK126=0,"",(MAX(0,BD126-BQ126)-MAX(0,BE126-BQ126))*HoursPerDay)</f>
        <v/>
      </c>
      <c r="Y126" s="17" t="str">
        <f aca="false">IF(AK126=0,"",IF(NOT(LH_Ready),"",IF($AI126="Yes",N(AE126)*HoursPerDay-SUMIFS(INDEX(LH_Data,0,LH_ColAcc),INDEX(LH_Data,0,LH_ColFirst),$A126,INDEX(LH_Data,0,LH_ColSur),$B126,INDEX(LH_Data,0,LH_ColCat),BonusCat,INDEX(LH_Data,0,LH_ColStart),"&gt;="&amp;(EOMONTH(AsOfDate,-1)+1),INDEX(LH_Data,0,LH_ColStart),"&lt;="&amp;AsOfDate)*UnitFactor,IF(BG126=0,N126,N126-N(T126)-N(U126)))))</f>
        <v/>
      </c>
      <c r="Z126" s="16" t="str">
        <f aca="false">IF(OR(AK126=0,Y126=""),"",IF(Y126&gt;0,"Yes","No"))</f>
        <v/>
      </c>
      <c r="AA126" s="16" t="str">
        <f aca="false">IF(AK126=0,IF(LEN($A126&amp;$B126)=0,"","FIX INPUT - StartDate missing"),IF(AD126&lt;&gt;"","FIX INPUT - "&amp;AD126,IF(NOT(LH_Ready),"Paste Leave History export (Settings must show YES)",IF(AND($AI126="Yes",Y126&lt;=0),"OK - EH balance accepted to date"&amp;IF(N(AH126)&gt;0," (EH holds "&amp;AH126&amp;" hrs over the scheme)","")&amp;"; next day "&amp;TEXT(S126,"dd mmm yy")&amp;IF(N(AE126)&gt;0," ("&amp;AE126&amp;" day(s) for "&amp;UPPER(TEXT(AsOfDate,"mmm yyyy"))&amp;" already in EH)",""),IF(Y126&gt;0,"ACCRUE "&amp;ROUND(Y126,2)&amp;" hrs ("&amp;ROUND(Y126/HoursPerDay,2)&amp;" days): "&amp;IF(N(AE126)&gt;0,AE126&amp;" day(s) for "&amp;UPPER(TEXT(AsOfDate,"mmm yyyy"))&amp;" (milestone "&amp;UPPER(TEXT(AF126,"dd mmm yy"))&amp;")"&amp;IF(Y126/HoursPerDay&gt;AE126+0.001," + "&amp;ROUND(Y126/HoursPerDay-AE126,2)&amp;" day(s) catch-up from earlier months",""),"all catch-up from earlier months, nothing new this month")&amp;IF(BG126=0,"; no Bonus Leave in EH yet",""),IF(Y126&lt;0,"CHECK - EH accrued "&amp;ROUND(-Y126,2)&amp;" hrs more than policy since commencement",IF(N(W126)&gt;O126*HoursPerDay+0.01,"CHECK - EH balance "&amp;ROUND(W126-O126*HoursPerDay,2)&amp;" hrs more than policy entitlement",IF(O126&gt;0,"OK - nothing to add"&amp;IF(N(AE126)&gt;0," ("&amp;AE126&amp;" day(s) for "&amp;UPPER(TEXT(AsOfDate,"mmm yyyy"))&amp;" already in EH)",""),IF(AW126="None",R126,"Not yet - first day on "&amp;TEXT(S126,"dd/mm/yyyy"))))))))))</f>
        <v/>
      </c>
      <c r="AB126" s="17" t="str">
        <f aca="false">IF(OR(AK126=0,T126=""),"",MAX(0,BE126-BQ126)*HoursPerDay-T126)</f>
        <v/>
      </c>
      <c r="AC126" s="16" t="str">
        <f aca="false">IF(AK126=0,"",BG126)</f>
        <v/>
      </c>
      <c r="AD126" s="16" t="str">
        <f aca="false">IF(AK126=0,"",TRIM(IF(OR(ISTEXT($F126),ISTEXT($H126),ISTEXT($I126),ISTEXT($G126),ISTEXT($J126),ISTEXT($D126)),"A date is typed as text - retype it as dd/mm/yyyy. ","")&amp;IF(IF($C126="","",IF(OR(ISNUMBER(SEARCH("full",$C126)),UPPER(TRIM($C126))="FT",UPPER(TRIM($C126))="FTE"),"Full-Time",IF(OR(ISNUMBER(SEARCH("part",$C126)),UPPER(TRIM($C126))="PT",UPPER(TRIM($C126))="PTE"),"Part-Time",IF(OR(ISNUMBER(SEARCH("cas",$C126)),UPPER(TRIM($C126))="CAS"),"Casual","Unknown"))))="Unknown","EmploymentType not recognised - use Full-Time, Part-Time or Casual. ","")&amp;IF(AND(AM126&gt;=1,IF(AM126&gt;=3,AS126,IF(AM126=2,AR126,AQ126))&lt;&gt;IF($C126="","",IF(OR(ISNUMBER(SEARCH("full",$C126)),UPPER(TRIM($C126))="FT",UPPER(TRIM($C126))="FTE"),"Full-Time",IF(OR(ISNUMBER(SEARCH("part",$C126)),UPPER(TRIM($C126))="PT",UPPER(TRIM($C126))="PTE"),"Part-Time",IF(OR(ISNUMBER(SEARCH("cas",$C126)),UPPER(TRIM($C126))="CAS"),"Casual","Unknown"))))),"EmploymentType does not match latest start date ("&amp;IF(AM126&gt;=3,AS126,IF(AM126=2,AR126,AQ126))&amp;"). ","")&amp;IF(AND(AM126&gt;=1,AN126&lt;&gt;$F126),"Earliest type date should equal StartDate. ","")&amp;IF(AND(AM126&gt;=2,AN126=AO126),"Two types start on the same date. ","")&amp;IF(AND(OR(ISNUMBER(SEARCH("part",$C126)),UPPER(TRIM($C126))="PT",UPPER(TRIM($C126))="PTE"),$P126=""),"Part-time: enter PT Hrs/Week (blank = 24+). ","")))</f>
        <v/>
      </c>
      <c r="AE126" s="17" t="str">
        <f aca="false">IF(AK126=0,"",O126-MAX(0,BL126-BQ126))</f>
        <v/>
      </c>
      <c r="AF126" s="14" t="str">
        <f aca="false">IF(OR(AK126=0,AE126="",N(AE126)=0,BM126=""),"",EDATE(AL126,BM126))</f>
        <v/>
      </c>
      <c r="AG126" s="17" t="str">
        <f aca="false">IF(AK126=0,"",MIN(BD126,BQ126))</f>
        <v/>
      </c>
      <c r="AH126" s="17" t="str">
        <f aca="false">IF(AK126=0,"",IF(NOT(LH_Ready),"",IF(BG126=0,0,MAX(0,ROUND(N(T126)+N(U126)-N126,2)))))</f>
        <v/>
      </c>
      <c r="AI126" s="12"/>
      <c r="AJ126" s="12"/>
      <c r="AK126" s="16" t="n">
        <f aca="false">IF(OR(LEN($A126&amp;$B126)=0,$F126=""),0,1)</f>
        <v>0</v>
      </c>
      <c r="AL126" s="14" t="str">
        <f aca="false">IF(AK126=0,"",IF(PreSchemeCounts="No",MAX(SchemeStart,IF($J126&lt;&gt;"",$J126,IF(OR(CasualCounts="Yes",COUNT($G126:$I126)=0),$F126,IF(Apply2026="No",IF($I126="",$F126,$I126),IF(COUNT($H126:$I126)=0,$F126,MIN($H126:$I126)))))),IF($J126&lt;&gt;"",$J126,IF(OR(CasualCounts="Yes",COUNT($G126:$I126)=0),$F126,IF(Apply2026="No",IF($I126="",$F126,$I126),IF(COUNT($H126:$I126)=0,$F126,MIN($H126:$I126)))))))</f>
        <v/>
      </c>
      <c r="AM126" s="16" t="str">
        <f aca="false">IF(AK126=0,"",COUNT($G126:$I126))</f>
        <v/>
      </c>
      <c r="AN126" s="14" t="str">
        <f aca="false">IF(AK126=0,"",IFERROR(SMALL($G126:$I126,1),""))</f>
        <v/>
      </c>
      <c r="AO126" s="14" t="str">
        <f aca="false">IF(AK126=0,"",IFERROR(SMALL($G126:$I126,2),""))</f>
        <v/>
      </c>
      <c r="AP126" s="14" t="str">
        <f aca="false">IF(AK126=0,"",IFERROR(SMALL($G126:$I126,3),""))</f>
        <v/>
      </c>
      <c r="AQ126" s="16" t="str">
        <f aca="false">IF(AK126=0,"",IF(AN126="","",IF(AN126=$H126,"Part-Time",IF(AN126=$I126,"Full-Time","Casual"))))</f>
        <v/>
      </c>
      <c r="AR126" s="16" t="str">
        <f aca="false">IF(AK126=0,"",IF(AO126="","",IF(AO126=$H126,"Part-Time",IF(AO126=$I126,"Full-Time","Casual"))))</f>
        <v/>
      </c>
      <c r="AS126" s="16" t="str">
        <f aca="false">IF(AK126=0,"",IF(AP126="","",IF(AP126=$H126,"Part-Time",IF(AP126=$I126,"Full-Time","Casual"))))</f>
        <v/>
      </c>
      <c r="AT126" s="16" t="str">
        <f aca="false">IF(AK126=0,"",IF(AM126=0,IF(OR(ISNUMBER(SEARCH("full",$C126)),UPPER(TRIM($C126))="FT",UPPER(TRIM($C126))="FTE"),"FT",IF(AND(OR(ISNUMBER(SEARCH("part",$C126)),UPPER(TRIM($C126))="PT",UPPER(TRIM($C126))="PTE"),Apply2026="Yes",OR($P126="",N($P126)&gt;=PT_MinHours)),"PT","None")),IF(OR(ISNUMBER(SEARCH("full",AQ126)),UPPER(TRIM(AQ126))="FT",UPPER(TRIM(AQ126))="FTE"),"FT",IF(AND(OR(ISNUMBER(SEARCH("part",AQ126)),UPPER(TRIM(AQ126))="PT",UPPER(TRIM(AQ126))="PTE"),Apply2026="Yes",OR($P126="",N($P126)&gt;=PT_MinHours)),"PT","None"))))</f>
        <v/>
      </c>
      <c r="AU126" s="16" t="str">
        <f aca="false">IF(AK126=0,"",IF(AM126&lt;2,"",IF(OR(ISNUMBER(SEARCH("full",AR126)),UPPER(TRIM(AR126))="FT",UPPER(TRIM(AR126))="FTE"),"FT",IF(AND(OR(ISNUMBER(SEARCH("part",AR126)),UPPER(TRIM(AR126))="PT",UPPER(TRIM(AR126))="PTE"),Apply2026="Yes",OR($P126="",N($P126)&gt;=PT_MinHours)),"PT","None"))))</f>
        <v/>
      </c>
      <c r="AV126" s="16" t="str">
        <f aca="false">IF(AK126=0,"",IF(AM126&lt;3,"",IF(OR(ISNUMBER(SEARCH("full",AS126)),UPPER(TRIM(AS126))="FT",UPPER(TRIM(AS126))="FTE"),"FT",IF(AND(OR(ISNUMBER(SEARCH("part",AS126)),UPPER(TRIM(AS126))="PT",UPPER(TRIM(AS126))="PTE"),Apply2026="Yes",OR($P126="",N($P126)&gt;=PT_MinHours)),"PT","None"))))</f>
        <v/>
      </c>
      <c r="AW126" s="16" t="str">
        <f aca="false">IF(AK126=0,"",IF(AND(AM126&gt;=3,AP126&lt;=AsOfDate),AV126,IF(AND(AM126&gt;=2,AO126&lt;=AsOfDate),AU126,AT126)))</f>
        <v/>
      </c>
      <c r="AX126" s="16" t="str">
        <f aca="false">IF(AK126=0,"",IF(AsOfDate&lt;AL126,-1,12*(YEAR(AsOfDate)-YEAR(AL126))+MONTH(AsOfDate)-MONTH(AL126)-IF(DAY(AsOfDate)&lt;MIN(DAY(AL126),DAY(EOMONTH(AsOfDate,0))),1,0)))</f>
        <v/>
      </c>
      <c r="AY126" s="16" t="str">
        <f aca="false">IF(AK126=0,"",IF(OR(AM126&lt;2,AO126&gt;AsOfDate),AX126,IF((AO126-1)&lt;AL126,-1,12*(YEAR((AO126-1))-YEAR(AL126))+MONTH((AO126-1))-MONTH(AL126)-IF(DAY((AO126-1))&lt;MIN(DAY(AL126),DAY(EOMONTH((AO126-1),0))),1,0))))</f>
        <v/>
      </c>
      <c r="AZ126" s="16" t="str">
        <f aca="false">IF(AK126=0,"",IF(OR(AM126&lt;3,AP126&gt;AsOfDate),AX126,IF((AP126-1)&lt;AL126,-1,12*(YEAR((AP126-1))-YEAR(AL126))+MONTH((AP126-1))-MONTH(AL126)-IF(DAY((AP126-1))&lt;MIN(DAY(AL126),DAY(EOMONTH((AP126-1),0))),1,0))))</f>
        <v/>
      </c>
      <c r="BA126" s="16" t="str">
        <f aca="false">IF(AK126=0,"",IF(PFYDate&lt;AL126,-1,12*(YEAR(PFYDate)-YEAR(AL126))+MONTH(PFYDate)-MONTH(AL126)-IF(DAY(PFYDate)&lt;MIN(DAY(AL126),DAY(EOMONTH(PFYDate,0))),1,0)))</f>
        <v/>
      </c>
      <c r="BB126" s="16" t="str">
        <f aca="false">IF(AK126=0,"",IF(OR(AM126&lt;2,AO126&gt;PFYDate),BA126,IF((AO126-1)&lt;AL126,-1,12*(YEAR((AO126-1))-YEAR(AL126))+MONTH((AO126-1))-MONTH(AL126)-IF(DAY((AO126-1))&lt;MIN(DAY(AL126),DAY(EOMONTH((AO126-1),0))),1,0))))</f>
        <v/>
      </c>
      <c r="BC126" s="16" t="str">
        <f aca="false">IF(AK126=0,"",IF(OR(AM126&lt;3,AP126&gt;PFYDate),BA126,IF((AP126-1)&lt;AL126,-1,12*(YEAR((AP126-1))-YEAR(AL126))+MONTH((AP126-1))-MONTH(AL126)-IF(DAY((AP126-1))&lt;MIN(DAY(AL126),DAY(EOMONTH((AP126-1),0))),1,0))))</f>
        <v/>
      </c>
      <c r="BD126" s="16" t="str">
        <f aca="false">IF(AK126=0,"",IF(AT126="FT",IF(AY126&lt;FT_First,0,IF(AY126&lt;FT_Y5,1+INT((AY126-FT_First)/FT_Int1),FT_PreY5+FT_PerYear*INT((AY126-FT_Y5)/12)+FT_AnnivDays+INT(MOD(AY126-FT_Y5,12)/FT_Int2)-IF(EDATE(AL126,FT_Y5)&lt;PolicyEff,FT_AnnivDays-1,0))),IF(AT126="PT",IF(AY126&lt;PT_First,0,1+INT((AY126-PT_First)/PT_Int)),0))+IF(AND(AM126&gt;=2,AO126&lt;=AsOfDate),IF(AU126="FT",IF(AZ126&lt;FT_First,0,IF(AZ126&lt;FT_Y5,1+INT((AZ126-FT_First)/FT_Int1),FT_PreY5+FT_PerYear*INT((AZ126-FT_Y5)/12)+FT_AnnivDays+INT(MOD(AZ126-FT_Y5,12)/FT_Int2)-IF(EDATE(AL126,FT_Y5)&lt;PolicyEff,FT_AnnivDays-1,0))),IF(AU126="PT",IF(AZ126&lt;PT_First,0,1+INT((AZ126-PT_First)/PT_Int)),0))-IF(AU126="FT",IF(AY126&lt;FT_First,0,IF(AY126&lt;FT_Y5,1+INT((AY126-FT_First)/FT_Int1),FT_PreY5+FT_PerYear*INT((AY126-FT_Y5)/12)+FT_AnnivDays+INT(MOD(AY126-FT_Y5,12)/FT_Int2)-IF(EDATE(AL126,FT_Y5)&lt;PolicyEff,FT_AnnivDays-1,0))),IF(AU126="PT",IF(AY126&lt;PT_First,0,1+INT((AY126-PT_First)/PT_Int)),0)),0)+IF(AND(AM126&gt;=3,AP126&lt;=AsOfDate),IF(AV126="FT",IF(AX126&lt;FT_First,0,IF(AX126&lt;FT_Y5,1+INT((AX126-FT_First)/FT_Int1),FT_PreY5+FT_PerYear*INT((AX126-FT_Y5)/12)+FT_AnnivDays+INT(MOD(AX126-FT_Y5,12)/FT_Int2)-IF(EDATE(AL126,FT_Y5)&lt;PolicyEff,FT_AnnivDays-1,0))),IF(AV126="PT",IF(AX126&lt;PT_First,0,1+INT((AX126-PT_First)/PT_Int)),0))-IF(AV126="FT",IF(AZ126&lt;FT_First,0,IF(AZ126&lt;FT_Y5,1+INT((AZ126-FT_First)/FT_Int1),FT_PreY5+FT_PerYear*INT((AZ126-FT_Y5)/12)+FT_AnnivDays+INT(MOD(AZ126-FT_Y5,12)/FT_Int2)-IF(EDATE(AL126,FT_Y5)&lt;PolicyEff,FT_AnnivDays-1,0))),IF(AV126="PT",IF(AZ126&lt;PT_First,0,1+INT((AZ126-PT_First)/PT_Int)),0)),0))</f>
        <v/>
      </c>
      <c r="BE126" s="16" t="str">
        <f aca="false">IF(AK126=0,"",IF(AT126="FT",IF(BB126&lt;FT_First,0,IF(BB126&lt;FT_Y5,1+INT((BB126-FT_First)/FT_Int1),FT_PreY5+FT_PerYear*INT((BB126-FT_Y5)/12)+FT_AnnivDays+INT(MOD(BB126-FT_Y5,12)/FT_Int2)-IF(EDATE(AL126,FT_Y5)&lt;PolicyEff,FT_AnnivDays-1,0))),IF(AT126="PT",IF(BB126&lt;PT_First,0,1+INT((BB126-PT_First)/PT_Int)),0))+IF(AND(AM126&gt;=2,AO126&lt;=PFYDate),IF(AU126="FT",IF(BC126&lt;FT_First,0,IF(BC126&lt;FT_Y5,1+INT((BC126-FT_First)/FT_Int1),FT_PreY5+FT_PerYear*INT((BC126-FT_Y5)/12)+FT_AnnivDays+INT(MOD(BC126-FT_Y5,12)/FT_Int2)-IF(EDATE(AL126,FT_Y5)&lt;PolicyEff,FT_AnnivDays-1,0))),IF(AU126="PT",IF(BC126&lt;PT_First,0,1+INT((BC126-PT_First)/PT_Int)),0))-IF(AU126="FT",IF(BB126&lt;FT_First,0,IF(BB126&lt;FT_Y5,1+INT((BB126-FT_First)/FT_Int1),FT_PreY5+FT_PerYear*INT((BB126-FT_Y5)/12)+FT_AnnivDays+INT(MOD(BB126-FT_Y5,12)/FT_Int2)-IF(EDATE(AL126,FT_Y5)&lt;PolicyEff,FT_AnnivDays-1,0))),IF(AU126="PT",IF(BB126&lt;PT_First,0,1+INT((BB126-PT_First)/PT_Int)),0)),0)+IF(AND(AM126&gt;=3,AP126&lt;=PFYDate),IF(AV126="FT",IF(BA126&lt;FT_First,0,IF(BA126&lt;FT_Y5,1+INT((BA126-FT_First)/FT_Int1),FT_PreY5+FT_PerYear*INT((BA126-FT_Y5)/12)+FT_AnnivDays+INT(MOD(BA126-FT_Y5,12)/FT_Int2)-IF(EDATE(AL126,FT_Y5)&lt;PolicyEff,FT_AnnivDays-1,0))),IF(AV126="PT",IF(BA126&lt;PT_First,0,1+INT((BA126-PT_First)/PT_Int)),0))-IF(AV126="FT",IF(BC126&lt;FT_First,0,IF(BC126&lt;FT_Y5,1+INT((BC126-FT_First)/FT_Int1),FT_PreY5+FT_PerYear*INT((BC126-FT_Y5)/12)+FT_AnnivDays+INT(MOD(BC126-FT_Y5,12)/FT_Int2)-IF(EDATE(AL126,FT_Y5)&lt;PolicyEff,FT_AnnivDays-1,0))),IF(AV126="PT",IF(BC126&lt;PT_First,0,1+INT((BC126-PT_First)/PT_Int)),0)),0))</f>
        <v/>
      </c>
      <c r="BF126" s="16" t="str">
        <f aca="false">IF(AK126=0,"",IF(AW126="FT",IF(AX126&lt;FT_First,FT_First,IF(AX126&lt;FT_Y5,MIN(FT_Y5,FT_First+FT_Int1*(INT((AX126-FT_First)/FT_Int1)+1)),FT_Y5+12*INT((AX126-FT_Y5)/12)+FT_Int2*(INT(MOD(AX126-FT_Y5,12)/FT_Int2)+1))),IF(AW126="PT",IF(AX126&lt;PT_First,PT_First,PT_First+PT_Int*(INT((AX126-PT_First)/PT_Int)+1)),"")))</f>
        <v/>
      </c>
      <c r="BG126" s="16" t="str">
        <f aca="false">IF(AK126=0,"",IF(NOT(LH_Ready),0,COUNTIFS(INDEX(LH_Data,0,LH_ColFirst),$A126,INDEX(LH_Data,0,LH_ColSur),$B126,INDEX(LH_Data,0,LH_ColCat),BonusCat)))</f>
        <v/>
      </c>
      <c r="BH126" s="16" t="str">
        <f aca="false">IF(AK126=0,"",IF(OR(NOT(LH_Ready),BG126=0),0,SUMPRODUCT(MAX((INDEX(LH_Data,0,LH_ColFirst)=$A126)*(INDEX(LH_Data,0,LH_ColSur)=$B126)*(INDEX(LH_Data,0,LH_ColCat)=BonusCat)*ROW(LH_Data)))))</f>
        <v/>
      </c>
      <c r="BI126" s="16" t="str">
        <f aca="false">IF(AK126=0,"",IF(EOMONTH(AsOfDate,-1)&lt;AL126,-1,12*(YEAR(EOMONTH(AsOfDate,-1))-YEAR(AL126))+MONTH(EOMONTH(AsOfDate,-1))-MONTH(AL126)-IF(DAY(EOMONTH(AsOfDate,-1))&lt;MIN(DAY(AL126),DAY(EOMONTH(EOMONTH(AsOfDate,-1),0))),1,0)))</f>
        <v/>
      </c>
      <c r="BJ126" s="16" t="str">
        <f aca="false">IF(AK126=0,"",IF(OR(AM126&lt;2,AO126&gt;EOMONTH(AsOfDate,-1)),BI126,IF((AO126-1)&lt;AL126,-1,12*(YEAR((AO126-1))-YEAR(AL126))+MONTH((AO126-1))-MONTH(AL126)-IF(DAY((AO126-1))&lt;MIN(DAY(AL126),DAY(EOMONTH((AO126-1),0))),1,0))))</f>
        <v/>
      </c>
      <c r="BK126" s="16" t="str">
        <f aca="false">IF(AK126=0,"",IF(OR(AM126&lt;3,AP126&gt;EOMONTH(AsOfDate,-1)),BI126,IF((AP126-1)&lt;AL126,-1,12*(YEAR((AP126-1))-YEAR(AL126))+MONTH((AP126-1))-MONTH(AL126)-IF(DAY((AP126-1))&lt;MIN(DAY(AL126),DAY(EOMONTH((AP126-1),0))),1,0))))</f>
        <v/>
      </c>
      <c r="BL126" s="16" t="str">
        <f aca="false">IF(AK126=0,"",IF(AT126="FT",IF(BJ126&lt;FT_First,0,IF(BJ126&lt;FT_Y5,1+INT((BJ126-FT_First)/FT_Int1),FT_PreY5+FT_PerYear*INT((BJ126-FT_Y5)/12)+FT_AnnivDays+INT(MOD(BJ126-FT_Y5,12)/FT_Int2)-IF(EDATE(AL126,FT_Y5)&lt;PolicyEff,FT_AnnivDays-1,0))),IF(AT126="PT",IF(BJ126&lt;PT_First,0,1+INT((BJ126-PT_First)/PT_Int)),0))+IF(AND(AM126&gt;=2,AO126&lt;=EOMONTH(AsOfDate,-1)),IF(AU126="FT",IF(BK126&lt;FT_First,0,IF(BK126&lt;FT_Y5,1+INT((BK126-FT_First)/FT_Int1),FT_PreY5+FT_PerYear*INT((BK126-FT_Y5)/12)+FT_AnnivDays+INT(MOD(BK126-FT_Y5,12)/FT_Int2)-IF(EDATE(AL126,FT_Y5)&lt;PolicyEff,FT_AnnivDays-1,0))),IF(AU126="PT",IF(BK126&lt;PT_First,0,1+INT((BK126-PT_First)/PT_Int)),0))-IF(AU126="FT",IF(BJ126&lt;FT_First,0,IF(BJ126&lt;FT_Y5,1+INT((BJ126-FT_First)/FT_Int1),FT_PreY5+FT_PerYear*INT((BJ126-FT_Y5)/12)+FT_AnnivDays+INT(MOD(BJ126-FT_Y5,12)/FT_Int2)-IF(EDATE(AL126,FT_Y5)&lt;PolicyEff,FT_AnnivDays-1,0))),IF(AU126="PT",IF(BJ126&lt;PT_First,0,1+INT((BJ126-PT_First)/PT_Int)),0)),0)+IF(AND(AM126&gt;=3,AP126&lt;=EOMONTH(AsOfDate,-1)),IF(AV126="FT",IF(BI126&lt;FT_First,0,IF(BI126&lt;FT_Y5,1+INT((BI126-FT_First)/FT_Int1),FT_PreY5+FT_PerYear*INT((BI126-FT_Y5)/12)+FT_AnnivDays+INT(MOD(BI126-FT_Y5,12)/FT_Int2)-IF(EDATE(AL126,FT_Y5)&lt;PolicyEff,FT_AnnivDays-1,0))),IF(AV126="PT",IF(BI126&lt;PT_First,0,1+INT((BI126-PT_First)/PT_Int)),0))-IF(AV126="FT",IF(BK126&lt;FT_First,0,IF(BK126&lt;FT_Y5,1+INT((BK126-FT_First)/FT_Int1),FT_PreY5+FT_PerYear*INT((BK126-FT_Y5)/12)+FT_AnnivDays+INT(MOD(BK126-FT_Y5,12)/FT_Int2)-IF(EDATE(AL126,FT_Y5)&lt;PolicyEff,FT_AnnivDays-1,0))),IF(AV126="PT",IF(BK126&lt;PT_First,0,1+INT((BK126-PT_First)/PT_Int)),0)),0))</f>
        <v/>
      </c>
      <c r="BM126" s="16" t="str">
        <f aca="false">IF(AK126=0,"",IF(AW126="FT",IF(AX126&lt;FT_First,"",IF(AX126&lt;FT_Y5,FT_First+FT_Int1*INT((AX126-FT_First)/FT_Int1),FT_Y5+FT_Int2*INT((AX126-FT_Y5)/FT_Int2))),IF(AW126="PT",IF(AX126&lt;PT_First,"",PT_First+PT_Int*INT((AX126-PT_First)/PT_Int)),"")))</f>
        <v/>
      </c>
      <c r="BN126" s="16" t="str">
        <f aca="false">IF(AK126=0,"",IF((SchemeStart-1)&lt;AL126,-1,12*(YEAR((SchemeStart-1))-YEAR(AL126))+MONTH((SchemeStart-1))-MONTH(AL126)-IF(DAY((SchemeStart-1))&lt;MIN(DAY(AL126),DAY(EOMONTH((SchemeStart-1),0))),1,0)))</f>
        <v/>
      </c>
      <c r="BO126" s="16" t="str">
        <f aca="false">IF(AK126=0,"",IF(OR(AM126&lt;2,AO126&gt;(SchemeStart-1)),BN126,IF((AO126-1)&lt;AL126,-1,12*(YEAR((AO126-1))-YEAR(AL126))+MONTH((AO126-1))-MONTH(AL126)-IF(DAY((AO126-1))&lt;MIN(DAY(AL126),DAY(EOMONTH((AO126-1),0))),1,0))))</f>
        <v/>
      </c>
      <c r="BP126" s="16" t="str">
        <f aca="false">IF(AK126=0,"",IF(OR(AM126&lt;3,AP126&gt;(SchemeStart-1)),BN126,IF((AP126-1)&lt;AL126,-1,12*(YEAR((AP126-1))-YEAR(AL126))+MONTH((AP126-1))-MONTH(AL126)-IF(DAY((AP126-1))&lt;MIN(DAY(AL126),DAY(EOMONTH((AP126-1),0))),1,0))))</f>
        <v/>
      </c>
      <c r="BQ126" s="16" t="str">
        <f aca="false">IF(AK126=0,"",IF(AT126="FT",IF(BO126&lt;FT_First,0,IF(BO126&lt;FT_Y5,1+INT((BO126-FT_First)/FT_Int1),FT_PreY5+FT_PerYear*INT((BO126-FT_Y5)/12)+FT_AnnivDays+INT(MOD(BO126-FT_Y5,12)/FT_Int2)-IF(EDATE(AL126,FT_Y5)&lt;PolicyEff,FT_AnnivDays-1,0))),IF(AT126="PT",IF(BO126&lt;PT_First,0,1+INT((BO126-PT_First)/PT_Int)),0))+IF(AND(AM126&gt;=2,AO126&lt;=(SchemeStart-1)),IF(AU126="FT",IF(BP126&lt;FT_First,0,IF(BP126&lt;FT_Y5,1+INT((BP126-FT_First)/FT_Int1),FT_PreY5+FT_PerYear*INT((BP126-FT_Y5)/12)+FT_AnnivDays+INT(MOD(BP126-FT_Y5,12)/FT_Int2)-IF(EDATE(AL126,FT_Y5)&lt;PolicyEff,FT_AnnivDays-1,0))),IF(AU126="PT",IF(BP126&lt;PT_First,0,1+INT((BP126-PT_First)/PT_Int)),0))-IF(AU126="FT",IF(BO126&lt;FT_First,0,IF(BO126&lt;FT_Y5,1+INT((BO126-FT_First)/FT_Int1),FT_PreY5+FT_PerYear*INT((BO126-FT_Y5)/12)+FT_AnnivDays+INT(MOD(BO126-FT_Y5,12)/FT_Int2)-IF(EDATE(AL126,FT_Y5)&lt;PolicyEff,FT_AnnivDays-1,0))),IF(AU126="PT",IF(BO126&lt;PT_First,0,1+INT((BO126-PT_First)/PT_Int)),0)),0)+IF(AND(AM126&gt;=3,AP126&lt;=(SchemeStart-1)),IF(AV126="FT",IF(BN126&lt;FT_First,0,IF(BN126&lt;FT_Y5,1+INT((BN126-FT_First)/FT_Int1),FT_PreY5+FT_PerYear*INT((BN126-FT_Y5)/12)+FT_AnnivDays+INT(MOD(BN126-FT_Y5,12)/FT_Int2)-IF(EDATE(AL126,FT_Y5)&lt;PolicyEff,FT_AnnivDays-1,0))),IF(AV126="PT",IF(BN126&lt;PT_First,0,1+INT((BN126-PT_First)/PT_Int)),0))-IF(AV126="FT",IF(BP126&lt;FT_First,0,IF(BP126&lt;FT_Y5,1+INT((BP126-FT_First)/FT_Int1),FT_PreY5+FT_PerYear*INT((BP126-FT_Y5)/12)+FT_AnnivDays+INT(MOD(BP126-FT_Y5,12)/FT_Int2)-IF(EDATE(AL126,FT_Y5)&lt;PolicyEff,FT_AnnivDays-1,0))),IF(AV126="PT",IF(BP126&lt;PT_First,0,1+INT((BP126-PT_First)/PT_Int)),0)),0))</f>
        <v/>
      </c>
      <c r="BR126" s="0" t="str">
        <f aca="false">IF(LEN($A126&amp;$B126)=0,"",$A126&amp;" "&amp;$B126)</f>
        <v/>
      </c>
    </row>
    <row r="127" customFormat="false" ht="15" hidden="false" customHeight="false" outlineLevel="0" collapsed="false">
      <c r="A127" s="12"/>
      <c r="B127" s="12"/>
      <c r="C127" s="12"/>
      <c r="D127" s="13"/>
      <c r="E127" s="14" t="str">
        <f aca="false">IF(OR(AK127=0,$D127=""),"",DATE(YEAR(AsOfDate)+IF(DATE(YEAR(AsOfDate),MONTH($D127),DAY($D127))&lt;=AsOfDate,1,0),MONTH($D127),DAY($D127)))</f>
        <v/>
      </c>
      <c r="F127" s="13"/>
      <c r="G127" s="13"/>
      <c r="H127" s="13"/>
      <c r="I127" s="13"/>
      <c r="J127" s="13"/>
      <c r="K127" s="14" t="str">
        <f aca="false">IF(AK127=0,"",DATE(YEAR(AsOfDate)+IF(DATE(YEAR(AsOfDate),MONTH(AL127),DAY(AL127))&lt;=AsOfDate,1,0),MONTH(AL127),DAY(AL127)))</f>
        <v/>
      </c>
      <c r="L127" s="15" t="str">
        <f aca="false">IF(AK127=0,"",ROUND((AsOfDate-AL127)/365.25,1))</f>
        <v/>
      </c>
      <c r="M127" s="16" t="str">
        <f aca="false">IF(AK127=0,"",IF(AsOfDate&lt;AL127,"-",DATEDIF(AL127,AsOfDate,"y")&amp;"y "&amp;DATEDIF(AL127,AsOfDate,"ym")&amp;"m "&amp;DATEDIF(AL127,AsOfDate,"md")&amp;"d"))</f>
        <v/>
      </c>
      <c r="N127" s="17" t="str">
        <f aca="false">IF(AK127=0,"",O127*HoursPerDay)</f>
        <v/>
      </c>
      <c r="O127" s="17" t="str">
        <f aca="false">IF(AK127=0,"",MAX(0,BD127-BQ127))</f>
        <v/>
      </c>
      <c r="P127" s="18"/>
      <c r="Q127" s="16" t="str">
        <f aca="false">IF(AK127=0,"",IF(AM127&lt;2,"",AQ127&amp;" to "&amp;AR127&amp;" on "&amp;TEXT(AO127,"dd/mm/yyyy")&amp;IF(AO127&gt;AsOfDate," (future)",IF(AT127=AU127,"",IF(AU127="None"," - STOPPED accruing",IF(AT127="None"," - commencement for Bonus Leave"," - pathway changed"))))&amp;IF(AM127&lt;3,"","; "&amp;AR127&amp;" to "&amp;AS127&amp;" on "&amp;TEXT(AP127,"dd/mm/yyyy")&amp;IF(AP127&gt;AsOfDate," (future)",IF(AU127=AV127,"",IF(AV127="None"," - STOPPED accruing",IF(AU127="None"," - commencement for Bonus Leave"," - pathway changed")))))))</f>
        <v/>
      </c>
      <c r="R127" s="16" t="str">
        <f aca="false">IF(AK127=0,"",IF(AW127="None",IF(O127&gt;0,"No longer accruing","Not eligible - "&amp;IF(AND(OR(ISNUMBER(SEARCH("part",$C127)),UPPER(TRIM($C127))="PT",UPPER(TRIM($C127))="PTE"),Apply2026="No"),"part-time (scheme is full-time only)",IF(AND(OR(ISNUMBER(SEARCH("part",$C127)),UPPER(TRIM($C127))="PT",UPPER(TRIM($C127))="PTE"),$P127&lt;&gt;"",N($P127)&lt;PT_MinHours),"under "&amp;PT_MinHours&amp;" hrs",IF(IF($C127="","",IF(OR(ISNUMBER(SEARCH("full",$C127)),UPPER(TRIM($C127))="FT",UPPER(TRIM($C127))="FTE"),"Full-Time",IF(OR(ISNUMBER(SEARCH("part",$C127)),UPPER(TRIM($C127))="PT",UPPER(TRIM($C127))="PTE"),"Part-Time",IF(OR(ISNUMBER(SEARCH("cas",$C127)),UPPER(TRIM($C127))="CAS"),"Casual","Unknown"))))="Unknown","type not recognised",$C127)))),IF(O127&gt;0,"Yes - Accrual Required","Not yet - from "&amp;TEXT(S127,"dd/mm/yyyy"))))</f>
        <v/>
      </c>
      <c r="S127" s="14" t="str">
        <f aca="false">IF(AK127=0,"",IF(AW127="None","",EDATE(AL127,BF127)))</f>
        <v/>
      </c>
      <c r="T127" s="17" t="str">
        <f aca="false">IF(AK127=0,"",IF(NOT(LH_Ready),"",IF($F127&gt;PFYDate,0,IF(LH_ColPeriod=0,W127-U127+V127,SUMIFS(INDEX(LH_Data,0,LH_ColAcc),INDEX(LH_Data,0,LH_ColFirst),$A127,INDEX(LH_Data,0,LH_ColSur),$B127,INDEX(LH_Data,0,LH_ColCat),BonusCat,INDEX(LH_Data,0,LH_ColPeriod),LH_OpenLabel)*UnitFactor))))</f>
        <v/>
      </c>
      <c r="U127" s="17" t="str">
        <f aca="false">IF(AK127=0,"",IF(NOT(LH_Ready),"",SUMIFS(INDEX(LH_Data,0,LH_ColAcc),INDEX(LH_Data,0,LH_ColFirst),$A127,INDEX(LH_Data,0,LH_ColSur),$B127,INDEX(LH_Data,0,LH_ColCat),BonusCat,INDEX(LH_Data,0,LH_ColStart),"&gt;="&amp;AL127)*UnitFactor))</f>
        <v/>
      </c>
      <c r="V127" s="17" t="str">
        <f aca="false">IF(AK127=0,"",IF(NOT(LH_Ready),"",SUMIFS(INDEX(LH_Data,0,LH_ColTaken),INDEX(LH_Data,0,LH_ColFirst),$A127,INDEX(LH_Data,0,LH_ColSur),$B127,INDEX(LH_Data,0,LH_ColCat),BonusCat,INDEX(LH_Data,0,LH_ColStart),"&gt;="&amp;AL127)*UnitFactor))</f>
        <v/>
      </c>
      <c r="W127" s="17" t="str">
        <f aca="false">IF(AK127=0,"",IF(NOT(LH_Ready),"",IF(BH127=0,0,INDEX(INDEX(LH_Data,0,LH_ColClose),BH127-1)*UnitFactor)))</f>
        <v/>
      </c>
      <c r="X127" s="17" t="str">
        <f aca="false">IF(AK127=0,"",(MAX(0,BD127-BQ127)-MAX(0,BE127-BQ127))*HoursPerDay)</f>
        <v/>
      </c>
      <c r="Y127" s="17" t="str">
        <f aca="false">IF(AK127=0,"",IF(NOT(LH_Ready),"",IF($AI127="Yes",N(AE127)*HoursPerDay-SUMIFS(INDEX(LH_Data,0,LH_ColAcc),INDEX(LH_Data,0,LH_ColFirst),$A127,INDEX(LH_Data,0,LH_ColSur),$B127,INDEX(LH_Data,0,LH_ColCat),BonusCat,INDEX(LH_Data,0,LH_ColStart),"&gt;="&amp;(EOMONTH(AsOfDate,-1)+1),INDEX(LH_Data,0,LH_ColStart),"&lt;="&amp;AsOfDate)*UnitFactor,IF(BG127=0,N127,N127-N(T127)-N(U127)))))</f>
        <v/>
      </c>
      <c r="Z127" s="16" t="str">
        <f aca="false">IF(OR(AK127=0,Y127=""),"",IF(Y127&gt;0,"Yes","No"))</f>
        <v/>
      </c>
      <c r="AA127" s="16" t="str">
        <f aca="false">IF(AK127=0,IF(LEN($A127&amp;$B127)=0,"","FIX INPUT - StartDate missing"),IF(AD127&lt;&gt;"","FIX INPUT - "&amp;AD127,IF(NOT(LH_Ready),"Paste Leave History export (Settings must show YES)",IF(AND($AI127="Yes",Y127&lt;=0),"OK - EH balance accepted to date"&amp;IF(N(AH127)&gt;0," (EH holds "&amp;AH127&amp;" hrs over the scheme)","")&amp;"; next day "&amp;TEXT(S127,"dd mmm yy")&amp;IF(N(AE127)&gt;0," ("&amp;AE127&amp;" day(s) for "&amp;UPPER(TEXT(AsOfDate,"mmm yyyy"))&amp;" already in EH)",""),IF(Y127&gt;0,"ACCRUE "&amp;ROUND(Y127,2)&amp;" hrs ("&amp;ROUND(Y127/HoursPerDay,2)&amp;" days): "&amp;IF(N(AE127)&gt;0,AE127&amp;" day(s) for "&amp;UPPER(TEXT(AsOfDate,"mmm yyyy"))&amp;" (milestone "&amp;UPPER(TEXT(AF127,"dd mmm yy"))&amp;")"&amp;IF(Y127/HoursPerDay&gt;AE127+0.001," + "&amp;ROUND(Y127/HoursPerDay-AE127,2)&amp;" day(s) catch-up from earlier months",""),"all catch-up from earlier months, nothing new this month")&amp;IF(BG127=0,"; no Bonus Leave in EH yet",""),IF(Y127&lt;0,"CHECK - EH accrued "&amp;ROUND(-Y127,2)&amp;" hrs more than policy since commencement",IF(N(W127)&gt;O127*HoursPerDay+0.01,"CHECK - EH balance "&amp;ROUND(W127-O127*HoursPerDay,2)&amp;" hrs more than policy entitlement",IF(O127&gt;0,"OK - nothing to add"&amp;IF(N(AE127)&gt;0," ("&amp;AE127&amp;" day(s) for "&amp;UPPER(TEXT(AsOfDate,"mmm yyyy"))&amp;" already in EH)",""),IF(AW127="None",R127,"Not yet - first day on "&amp;TEXT(S127,"dd/mm/yyyy"))))))))))</f>
        <v/>
      </c>
      <c r="AB127" s="17" t="str">
        <f aca="false">IF(OR(AK127=0,T127=""),"",MAX(0,BE127-BQ127)*HoursPerDay-T127)</f>
        <v/>
      </c>
      <c r="AC127" s="16" t="str">
        <f aca="false">IF(AK127=0,"",BG127)</f>
        <v/>
      </c>
      <c r="AD127" s="16" t="str">
        <f aca="false">IF(AK127=0,"",TRIM(IF(OR(ISTEXT($F127),ISTEXT($H127),ISTEXT($I127),ISTEXT($G127),ISTEXT($J127),ISTEXT($D127)),"A date is typed as text - retype it as dd/mm/yyyy. ","")&amp;IF(IF($C127="","",IF(OR(ISNUMBER(SEARCH("full",$C127)),UPPER(TRIM($C127))="FT",UPPER(TRIM($C127))="FTE"),"Full-Time",IF(OR(ISNUMBER(SEARCH("part",$C127)),UPPER(TRIM($C127))="PT",UPPER(TRIM($C127))="PTE"),"Part-Time",IF(OR(ISNUMBER(SEARCH("cas",$C127)),UPPER(TRIM($C127))="CAS"),"Casual","Unknown"))))="Unknown","EmploymentType not recognised - use Full-Time, Part-Time or Casual. ","")&amp;IF(AND(AM127&gt;=1,IF(AM127&gt;=3,AS127,IF(AM127=2,AR127,AQ127))&lt;&gt;IF($C127="","",IF(OR(ISNUMBER(SEARCH("full",$C127)),UPPER(TRIM($C127))="FT",UPPER(TRIM($C127))="FTE"),"Full-Time",IF(OR(ISNUMBER(SEARCH("part",$C127)),UPPER(TRIM($C127))="PT",UPPER(TRIM($C127))="PTE"),"Part-Time",IF(OR(ISNUMBER(SEARCH("cas",$C127)),UPPER(TRIM($C127))="CAS"),"Casual","Unknown"))))),"EmploymentType does not match latest start date ("&amp;IF(AM127&gt;=3,AS127,IF(AM127=2,AR127,AQ127))&amp;"). ","")&amp;IF(AND(AM127&gt;=1,AN127&lt;&gt;$F127),"Earliest type date should equal StartDate. ","")&amp;IF(AND(AM127&gt;=2,AN127=AO127),"Two types start on the same date. ","")&amp;IF(AND(OR(ISNUMBER(SEARCH("part",$C127)),UPPER(TRIM($C127))="PT",UPPER(TRIM($C127))="PTE"),$P127=""),"Part-time: enter PT Hrs/Week (blank = 24+). ","")))</f>
        <v/>
      </c>
      <c r="AE127" s="17" t="str">
        <f aca="false">IF(AK127=0,"",O127-MAX(0,BL127-BQ127))</f>
        <v/>
      </c>
      <c r="AF127" s="14" t="str">
        <f aca="false">IF(OR(AK127=0,AE127="",N(AE127)=0,BM127=""),"",EDATE(AL127,BM127))</f>
        <v/>
      </c>
      <c r="AG127" s="17" t="str">
        <f aca="false">IF(AK127=0,"",MIN(BD127,BQ127))</f>
        <v/>
      </c>
      <c r="AH127" s="17" t="str">
        <f aca="false">IF(AK127=0,"",IF(NOT(LH_Ready),"",IF(BG127=0,0,MAX(0,ROUND(N(T127)+N(U127)-N127,2)))))</f>
        <v/>
      </c>
      <c r="AI127" s="12"/>
      <c r="AJ127" s="12"/>
      <c r="AK127" s="16" t="n">
        <f aca="false">IF(OR(LEN($A127&amp;$B127)=0,$F127=""),0,1)</f>
        <v>0</v>
      </c>
      <c r="AL127" s="14" t="str">
        <f aca="false">IF(AK127=0,"",IF(PreSchemeCounts="No",MAX(SchemeStart,IF($J127&lt;&gt;"",$J127,IF(OR(CasualCounts="Yes",COUNT($G127:$I127)=0),$F127,IF(Apply2026="No",IF($I127="",$F127,$I127),IF(COUNT($H127:$I127)=0,$F127,MIN($H127:$I127)))))),IF($J127&lt;&gt;"",$J127,IF(OR(CasualCounts="Yes",COUNT($G127:$I127)=0),$F127,IF(Apply2026="No",IF($I127="",$F127,$I127),IF(COUNT($H127:$I127)=0,$F127,MIN($H127:$I127)))))))</f>
        <v/>
      </c>
      <c r="AM127" s="16" t="str">
        <f aca="false">IF(AK127=0,"",COUNT($G127:$I127))</f>
        <v/>
      </c>
      <c r="AN127" s="14" t="str">
        <f aca="false">IF(AK127=0,"",IFERROR(SMALL($G127:$I127,1),""))</f>
        <v/>
      </c>
      <c r="AO127" s="14" t="str">
        <f aca="false">IF(AK127=0,"",IFERROR(SMALL($G127:$I127,2),""))</f>
        <v/>
      </c>
      <c r="AP127" s="14" t="str">
        <f aca="false">IF(AK127=0,"",IFERROR(SMALL($G127:$I127,3),""))</f>
        <v/>
      </c>
      <c r="AQ127" s="16" t="str">
        <f aca="false">IF(AK127=0,"",IF(AN127="","",IF(AN127=$H127,"Part-Time",IF(AN127=$I127,"Full-Time","Casual"))))</f>
        <v/>
      </c>
      <c r="AR127" s="16" t="str">
        <f aca="false">IF(AK127=0,"",IF(AO127="","",IF(AO127=$H127,"Part-Time",IF(AO127=$I127,"Full-Time","Casual"))))</f>
        <v/>
      </c>
      <c r="AS127" s="16" t="str">
        <f aca="false">IF(AK127=0,"",IF(AP127="","",IF(AP127=$H127,"Part-Time",IF(AP127=$I127,"Full-Time","Casual"))))</f>
        <v/>
      </c>
      <c r="AT127" s="16" t="str">
        <f aca="false">IF(AK127=0,"",IF(AM127=0,IF(OR(ISNUMBER(SEARCH("full",$C127)),UPPER(TRIM($C127))="FT",UPPER(TRIM($C127))="FTE"),"FT",IF(AND(OR(ISNUMBER(SEARCH("part",$C127)),UPPER(TRIM($C127))="PT",UPPER(TRIM($C127))="PTE"),Apply2026="Yes",OR($P127="",N($P127)&gt;=PT_MinHours)),"PT","None")),IF(OR(ISNUMBER(SEARCH("full",AQ127)),UPPER(TRIM(AQ127))="FT",UPPER(TRIM(AQ127))="FTE"),"FT",IF(AND(OR(ISNUMBER(SEARCH("part",AQ127)),UPPER(TRIM(AQ127))="PT",UPPER(TRIM(AQ127))="PTE"),Apply2026="Yes",OR($P127="",N($P127)&gt;=PT_MinHours)),"PT","None"))))</f>
        <v/>
      </c>
      <c r="AU127" s="16" t="str">
        <f aca="false">IF(AK127=0,"",IF(AM127&lt;2,"",IF(OR(ISNUMBER(SEARCH("full",AR127)),UPPER(TRIM(AR127))="FT",UPPER(TRIM(AR127))="FTE"),"FT",IF(AND(OR(ISNUMBER(SEARCH("part",AR127)),UPPER(TRIM(AR127))="PT",UPPER(TRIM(AR127))="PTE"),Apply2026="Yes",OR($P127="",N($P127)&gt;=PT_MinHours)),"PT","None"))))</f>
        <v/>
      </c>
      <c r="AV127" s="16" t="str">
        <f aca="false">IF(AK127=0,"",IF(AM127&lt;3,"",IF(OR(ISNUMBER(SEARCH("full",AS127)),UPPER(TRIM(AS127))="FT",UPPER(TRIM(AS127))="FTE"),"FT",IF(AND(OR(ISNUMBER(SEARCH("part",AS127)),UPPER(TRIM(AS127))="PT",UPPER(TRIM(AS127))="PTE"),Apply2026="Yes",OR($P127="",N($P127)&gt;=PT_MinHours)),"PT","None"))))</f>
        <v/>
      </c>
      <c r="AW127" s="16" t="str">
        <f aca="false">IF(AK127=0,"",IF(AND(AM127&gt;=3,AP127&lt;=AsOfDate),AV127,IF(AND(AM127&gt;=2,AO127&lt;=AsOfDate),AU127,AT127)))</f>
        <v/>
      </c>
      <c r="AX127" s="16" t="str">
        <f aca="false">IF(AK127=0,"",IF(AsOfDate&lt;AL127,-1,12*(YEAR(AsOfDate)-YEAR(AL127))+MONTH(AsOfDate)-MONTH(AL127)-IF(DAY(AsOfDate)&lt;MIN(DAY(AL127),DAY(EOMONTH(AsOfDate,0))),1,0)))</f>
        <v/>
      </c>
      <c r="AY127" s="16" t="str">
        <f aca="false">IF(AK127=0,"",IF(OR(AM127&lt;2,AO127&gt;AsOfDate),AX127,IF((AO127-1)&lt;AL127,-1,12*(YEAR((AO127-1))-YEAR(AL127))+MONTH((AO127-1))-MONTH(AL127)-IF(DAY((AO127-1))&lt;MIN(DAY(AL127),DAY(EOMONTH((AO127-1),0))),1,0))))</f>
        <v/>
      </c>
      <c r="AZ127" s="16" t="str">
        <f aca="false">IF(AK127=0,"",IF(OR(AM127&lt;3,AP127&gt;AsOfDate),AX127,IF((AP127-1)&lt;AL127,-1,12*(YEAR((AP127-1))-YEAR(AL127))+MONTH((AP127-1))-MONTH(AL127)-IF(DAY((AP127-1))&lt;MIN(DAY(AL127),DAY(EOMONTH((AP127-1),0))),1,0))))</f>
        <v/>
      </c>
      <c r="BA127" s="16" t="str">
        <f aca="false">IF(AK127=0,"",IF(PFYDate&lt;AL127,-1,12*(YEAR(PFYDate)-YEAR(AL127))+MONTH(PFYDate)-MONTH(AL127)-IF(DAY(PFYDate)&lt;MIN(DAY(AL127),DAY(EOMONTH(PFYDate,0))),1,0)))</f>
        <v/>
      </c>
      <c r="BB127" s="16" t="str">
        <f aca="false">IF(AK127=0,"",IF(OR(AM127&lt;2,AO127&gt;PFYDate),BA127,IF((AO127-1)&lt;AL127,-1,12*(YEAR((AO127-1))-YEAR(AL127))+MONTH((AO127-1))-MONTH(AL127)-IF(DAY((AO127-1))&lt;MIN(DAY(AL127),DAY(EOMONTH((AO127-1),0))),1,0))))</f>
        <v/>
      </c>
      <c r="BC127" s="16" t="str">
        <f aca="false">IF(AK127=0,"",IF(OR(AM127&lt;3,AP127&gt;PFYDate),BA127,IF((AP127-1)&lt;AL127,-1,12*(YEAR((AP127-1))-YEAR(AL127))+MONTH((AP127-1))-MONTH(AL127)-IF(DAY((AP127-1))&lt;MIN(DAY(AL127),DAY(EOMONTH((AP127-1),0))),1,0))))</f>
        <v/>
      </c>
      <c r="BD127" s="16" t="str">
        <f aca="false">IF(AK127=0,"",IF(AT127="FT",IF(AY127&lt;FT_First,0,IF(AY127&lt;FT_Y5,1+INT((AY127-FT_First)/FT_Int1),FT_PreY5+FT_PerYear*INT((AY127-FT_Y5)/12)+FT_AnnivDays+INT(MOD(AY127-FT_Y5,12)/FT_Int2)-IF(EDATE(AL127,FT_Y5)&lt;PolicyEff,FT_AnnivDays-1,0))),IF(AT127="PT",IF(AY127&lt;PT_First,0,1+INT((AY127-PT_First)/PT_Int)),0))+IF(AND(AM127&gt;=2,AO127&lt;=AsOfDate),IF(AU127="FT",IF(AZ127&lt;FT_First,0,IF(AZ127&lt;FT_Y5,1+INT((AZ127-FT_First)/FT_Int1),FT_PreY5+FT_PerYear*INT((AZ127-FT_Y5)/12)+FT_AnnivDays+INT(MOD(AZ127-FT_Y5,12)/FT_Int2)-IF(EDATE(AL127,FT_Y5)&lt;PolicyEff,FT_AnnivDays-1,0))),IF(AU127="PT",IF(AZ127&lt;PT_First,0,1+INT((AZ127-PT_First)/PT_Int)),0))-IF(AU127="FT",IF(AY127&lt;FT_First,0,IF(AY127&lt;FT_Y5,1+INT((AY127-FT_First)/FT_Int1),FT_PreY5+FT_PerYear*INT((AY127-FT_Y5)/12)+FT_AnnivDays+INT(MOD(AY127-FT_Y5,12)/FT_Int2)-IF(EDATE(AL127,FT_Y5)&lt;PolicyEff,FT_AnnivDays-1,0))),IF(AU127="PT",IF(AY127&lt;PT_First,0,1+INT((AY127-PT_First)/PT_Int)),0)),0)+IF(AND(AM127&gt;=3,AP127&lt;=AsOfDate),IF(AV127="FT",IF(AX127&lt;FT_First,0,IF(AX127&lt;FT_Y5,1+INT((AX127-FT_First)/FT_Int1),FT_PreY5+FT_PerYear*INT((AX127-FT_Y5)/12)+FT_AnnivDays+INT(MOD(AX127-FT_Y5,12)/FT_Int2)-IF(EDATE(AL127,FT_Y5)&lt;PolicyEff,FT_AnnivDays-1,0))),IF(AV127="PT",IF(AX127&lt;PT_First,0,1+INT((AX127-PT_First)/PT_Int)),0))-IF(AV127="FT",IF(AZ127&lt;FT_First,0,IF(AZ127&lt;FT_Y5,1+INT((AZ127-FT_First)/FT_Int1),FT_PreY5+FT_PerYear*INT((AZ127-FT_Y5)/12)+FT_AnnivDays+INT(MOD(AZ127-FT_Y5,12)/FT_Int2)-IF(EDATE(AL127,FT_Y5)&lt;PolicyEff,FT_AnnivDays-1,0))),IF(AV127="PT",IF(AZ127&lt;PT_First,0,1+INT((AZ127-PT_First)/PT_Int)),0)),0))</f>
        <v/>
      </c>
      <c r="BE127" s="16" t="str">
        <f aca="false">IF(AK127=0,"",IF(AT127="FT",IF(BB127&lt;FT_First,0,IF(BB127&lt;FT_Y5,1+INT((BB127-FT_First)/FT_Int1),FT_PreY5+FT_PerYear*INT((BB127-FT_Y5)/12)+FT_AnnivDays+INT(MOD(BB127-FT_Y5,12)/FT_Int2)-IF(EDATE(AL127,FT_Y5)&lt;PolicyEff,FT_AnnivDays-1,0))),IF(AT127="PT",IF(BB127&lt;PT_First,0,1+INT((BB127-PT_First)/PT_Int)),0))+IF(AND(AM127&gt;=2,AO127&lt;=PFYDate),IF(AU127="FT",IF(BC127&lt;FT_First,0,IF(BC127&lt;FT_Y5,1+INT((BC127-FT_First)/FT_Int1),FT_PreY5+FT_PerYear*INT((BC127-FT_Y5)/12)+FT_AnnivDays+INT(MOD(BC127-FT_Y5,12)/FT_Int2)-IF(EDATE(AL127,FT_Y5)&lt;PolicyEff,FT_AnnivDays-1,0))),IF(AU127="PT",IF(BC127&lt;PT_First,0,1+INT((BC127-PT_First)/PT_Int)),0))-IF(AU127="FT",IF(BB127&lt;FT_First,0,IF(BB127&lt;FT_Y5,1+INT((BB127-FT_First)/FT_Int1),FT_PreY5+FT_PerYear*INT((BB127-FT_Y5)/12)+FT_AnnivDays+INT(MOD(BB127-FT_Y5,12)/FT_Int2)-IF(EDATE(AL127,FT_Y5)&lt;PolicyEff,FT_AnnivDays-1,0))),IF(AU127="PT",IF(BB127&lt;PT_First,0,1+INT((BB127-PT_First)/PT_Int)),0)),0)+IF(AND(AM127&gt;=3,AP127&lt;=PFYDate),IF(AV127="FT",IF(BA127&lt;FT_First,0,IF(BA127&lt;FT_Y5,1+INT((BA127-FT_First)/FT_Int1),FT_PreY5+FT_PerYear*INT((BA127-FT_Y5)/12)+FT_AnnivDays+INT(MOD(BA127-FT_Y5,12)/FT_Int2)-IF(EDATE(AL127,FT_Y5)&lt;PolicyEff,FT_AnnivDays-1,0))),IF(AV127="PT",IF(BA127&lt;PT_First,0,1+INT((BA127-PT_First)/PT_Int)),0))-IF(AV127="FT",IF(BC127&lt;FT_First,0,IF(BC127&lt;FT_Y5,1+INT((BC127-FT_First)/FT_Int1),FT_PreY5+FT_PerYear*INT((BC127-FT_Y5)/12)+FT_AnnivDays+INT(MOD(BC127-FT_Y5,12)/FT_Int2)-IF(EDATE(AL127,FT_Y5)&lt;PolicyEff,FT_AnnivDays-1,0))),IF(AV127="PT",IF(BC127&lt;PT_First,0,1+INT((BC127-PT_First)/PT_Int)),0)),0))</f>
        <v/>
      </c>
      <c r="BF127" s="16" t="str">
        <f aca="false">IF(AK127=0,"",IF(AW127="FT",IF(AX127&lt;FT_First,FT_First,IF(AX127&lt;FT_Y5,MIN(FT_Y5,FT_First+FT_Int1*(INT((AX127-FT_First)/FT_Int1)+1)),FT_Y5+12*INT((AX127-FT_Y5)/12)+FT_Int2*(INT(MOD(AX127-FT_Y5,12)/FT_Int2)+1))),IF(AW127="PT",IF(AX127&lt;PT_First,PT_First,PT_First+PT_Int*(INT((AX127-PT_First)/PT_Int)+1)),"")))</f>
        <v/>
      </c>
      <c r="BG127" s="16" t="str">
        <f aca="false">IF(AK127=0,"",IF(NOT(LH_Ready),0,COUNTIFS(INDEX(LH_Data,0,LH_ColFirst),$A127,INDEX(LH_Data,0,LH_ColSur),$B127,INDEX(LH_Data,0,LH_ColCat),BonusCat)))</f>
        <v/>
      </c>
      <c r="BH127" s="16" t="str">
        <f aca="false">IF(AK127=0,"",IF(OR(NOT(LH_Ready),BG127=0),0,SUMPRODUCT(MAX((INDEX(LH_Data,0,LH_ColFirst)=$A127)*(INDEX(LH_Data,0,LH_ColSur)=$B127)*(INDEX(LH_Data,0,LH_ColCat)=BonusCat)*ROW(LH_Data)))))</f>
        <v/>
      </c>
      <c r="BI127" s="16" t="str">
        <f aca="false">IF(AK127=0,"",IF(EOMONTH(AsOfDate,-1)&lt;AL127,-1,12*(YEAR(EOMONTH(AsOfDate,-1))-YEAR(AL127))+MONTH(EOMONTH(AsOfDate,-1))-MONTH(AL127)-IF(DAY(EOMONTH(AsOfDate,-1))&lt;MIN(DAY(AL127),DAY(EOMONTH(EOMONTH(AsOfDate,-1),0))),1,0)))</f>
        <v/>
      </c>
      <c r="BJ127" s="16" t="str">
        <f aca="false">IF(AK127=0,"",IF(OR(AM127&lt;2,AO127&gt;EOMONTH(AsOfDate,-1)),BI127,IF((AO127-1)&lt;AL127,-1,12*(YEAR((AO127-1))-YEAR(AL127))+MONTH((AO127-1))-MONTH(AL127)-IF(DAY((AO127-1))&lt;MIN(DAY(AL127),DAY(EOMONTH((AO127-1),0))),1,0))))</f>
        <v/>
      </c>
      <c r="BK127" s="16" t="str">
        <f aca="false">IF(AK127=0,"",IF(OR(AM127&lt;3,AP127&gt;EOMONTH(AsOfDate,-1)),BI127,IF((AP127-1)&lt;AL127,-1,12*(YEAR((AP127-1))-YEAR(AL127))+MONTH((AP127-1))-MONTH(AL127)-IF(DAY((AP127-1))&lt;MIN(DAY(AL127),DAY(EOMONTH((AP127-1),0))),1,0))))</f>
        <v/>
      </c>
      <c r="BL127" s="16" t="str">
        <f aca="false">IF(AK127=0,"",IF(AT127="FT",IF(BJ127&lt;FT_First,0,IF(BJ127&lt;FT_Y5,1+INT((BJ127-FT_First)/FT_Int1),FT_PreY5+FT_PerYear*INT((BJ127-FT_Y5)/12)+FT_AnnivDays+INT(MOD(BJ127-FT_Y5,12)/FT_Int2)-IF(EDATE(AL127,FT_Y5)&lt;PolicyEff,FT_AnnivDays-1,0))),IF(AT127="PT",IF(BJ127&lt;PT_First,0,1+INT((BJ127-PT_First)/PT_Int)),0))+IF(AND(AM127&gt;=2,AO127&lt;=EOMONTH(AsOfDate,-1)),IF(AU127="FT",IF(BK127&lt;FT_First,0,IF(BK127&lt;FT_Y5,1+INT((BK127-FT_First)/FT_Int1),FT_PreY5+FT_PerYear*INT((BK127-FT_Y5)/12)+FT_AnnivDays+INT(MOD(BK127-FT_Y5,12)/FT_Int2)-IF(EDATE(AL127,FT_Y5)&lt;PolicyEff,FT_AnnivDays-1,0))),IF(AU127="PT",IF(BK127&lt;PT_First,0,1+INT((BK127-PT_First)/PT_Int)),0))-IF(AU127="FT",IF(BJ127&lt;FT_First,0,IF(BJ127&lt;FT_Y5,1+INT((BJ127-FT_First)/FT_Int1),FT_PreY5+FT_PerYear*INT((BJ127-FT_Y5)/12)+FT_AnnivDays+INT(MOD(BJ127-FT_Y5,12)/FT_Int2)-IF(EDATE(AL127,FT_Y5)&lt;PolicyEff,FT_AnnivDays-1,0))),IF(AU127="PT",IF(BJ127&lt;PT_First,0,1+INT((BJ127-PT_First)/PT_Int)),0)),0)+IF(AND(AM127&gt;=3,AP127&lt;=EOMONTH(AsOfDate,-1)),IF(AV127="FT",IF(BI127&lt;FT_First,0,IF(BI127&lt;FT_Y5,1+INT((BI127-FT_First)/FT_Int1),FT_PreY5+FT_PerYear*INT((BI127-FT_Y5)/12)+FT_AnnivDays+INT(MOD(BI127-FT_Y5,12)/FT_Int2)-IF(EDATE(AL127,FT_Y5)&lt;PolicyEff,FT_AnnivDays-1,0))),IF(AV127="PT",IF(BI127&lt;PT_First,0,1+INT((BI127-PT_First)/PT_Int)),0))-IF(AV127="FT",IF(BK127&lt;FT_First,0,IF(BK127&lt;FT_Y5,1+INT((BK127-FT_First)/FT_Int1),FT_PreY5+FT_PerYear*INT((BK127-FT_Y5)/12)+FT_AnnivDays+INT(MOD(BK127-FT_Y5,12)/FT_Int2)-IF(EDATE(AL127,FT_Y5)&lt;PolicyEff,FT_AnnivDays-1,0))),IF(AV127="PT",IF(BK127&lt;PT_First,0,1+INT((BK127-PT_First)/PT_Int)),0)),0))</f>
        <v/>
      </c>
      <c r="BM127" s="16" t="str">
        <f aca="false">IF(AK127=0,"",IF(AW127="FT",IF(AX127&lt;FT_First,"",IF(AX127&lt;FT_Y5,FT_First+FT_Int1*INT((AX127-FT_First)/FT_Int1),FT_Y5+FT_Int2*INT((AX127-FT_Y5)/FT_Int2))),IF(AW127="PT",IF(AX127&lt;PT_First,"",PT_First+PT_Int*INT((AX127-PT_First)/PT_Int)),"")))</f>
        <v/>
      </c>
      <c r="BN127" s="16" t="str">
        <f aca="false">IF(AK127=0,"",IF((SchemeStart-1)&lt;AL127,-1,12*(YEAR((SchemeStart-1))-YEAR(AL127))+MONTH((SchemeStart-1))-MONTH(AL127)-IF(DAY((SchemeStart-1))&lt;MIN(DAY(AL127),DAY(EOMONTH((SchemeStart-1),0))),1,0)))</f>
        <v/>
      </c>
      <c r="BO127" s="16" t="str">
        <f aca="false">IF(AK127=0,"",IF(OR(AM127&lt;2,AO127&gt;(SchemeStart-1)),BN127,IF((AO127-1)&lt;AL127,-1,12*(YEAR((AO127-1))-YEAR(AL127))+MONTH((AO127-1))-MONTH(AL127)-IF(DAY((AO127-1))&lt;MIN(DAY(AL127),DAY(EOMONTH((AO127-1),0))),1,0))))</f>
        <v/>
      </c>
      <c r="BP127" s="16" t="str">
        <f aca="false">IF(AK127=0,"",IF(OR(AM127&lt;3,AP127&gt;(SchemeStart-1)),BN127,IF((AP127-1)&lt;AL127,-1,12*(YEAR((AP127-1))-YEAR(AL127))+MONTH((AP127-1))-MONTH(AL127)-IF(DAY((AP127-1))&lt;MIN(DAY(AL127),DAY(EOMONTH((AP127-1),0))),1,0))))</f>
        <v/>
      </c>
      <c r="BQ127" s="16" t="str">
        <f aca="false">IF(AK127=0,"",IF(AT127="FT",IF(BO127&lt;FT_First,0,IF(BO127&lt;FT_Y5,1+INT((BO127-FT_First)/FT_Int1),FT_PreY5+FT_PerYear*INT((BO127-FT_Y5)/12)+FT_AnnivDays+INT(MOD(BO127-FT_Y5,12)/FT_Int2)-IF(EDATE(AL127,FT_Y5)&lt;PolicyEff,FT_AnnivDays-1,0))),IF(AT127="PT",IF(BO127&lt;PT_First,0,1+INT((BO127-PT_First)/PT_Int)),0))+IF(AND(AM127&gt;=2,AO127&lt;=(SchemeStart-1)),IF(AU127="FT",IF(BP127&lt;FT_First,0,IF(BP127&lt;FT_Y5,1+INT((BP127-FT_First)/FT_Int1),FT_PreY5+FT_PerYear*INT((BP127-FT_Y5)/12)+FT_AnnivDays+INT(MOD(BP127-FT_Y5,12)/FT_Int2)-IF(EDATE(AL127,FT_Y5)&lt;PolicyEff,FT_AnnivDays-1,0))),IF(AU127="PT",IF(BP127&lt;PT_First,0,1+INT((BP127-PT_First)/PT_Int)),0))-IF(AU127="FT",IF(BO127&lt;FT_First,0,IF(BO127&lt;FT_Y5,1+INT((BO127-FT_First)/FT_Int1),FT_PreY5+FT_PerYear*INT((BO127-FT_Y5)/12)+FT_AnnivDays+INT(MOD(BO127-FT_Y5,12)/FT_Int2)-IF(EDATE(AL127,FT_Y5)&lt;PolicyEff,FT_AnnivDays-1,0))),IF(AU127="PT",IF(BO127&lt;PT_First,0,1+INT((BO127-PT_First)/PT_Int)),0)),0)+IF(AND(AM127&gt;=3,AP127&lt;=(SchemeStart-1)),IF(AV127="FT",IF(BN127&lt;FT_First,0,IF(BN127&lt;FT_Y5,1+INT((BN127-FT_First)/FT_Int1),FT_PreY5+FT_PerYear*INT((BN127-FT_Y5)/12)+FT_AnnivDays+INT(MOD(BN127-FT_Y5,12)/FT_Int2)-IF(EDATE(AL127,FT_Y5)&lt;PolicyEff,FT_AnnivDays-1,0))),IF(AV127="PT",IF(BN127&lt;PT_First,0,1+INT((BN127-PT_First)/PT_Int)),0))-IF(AV127="FT",IF(BP127&lt;FT_First,0,IF(BP127&lt;FT_Y5,1+INT((BP127-FT_First)/FT_Int1),FT_PreY5+FT_PerYear*INT((BP127-FT_Y5)/12)+FT_AnnivDays+INT(MOD(BP127-FT_Y5,12)/FT_Int2)-IF(EDATE(AL127,FT_Y5)&lt;PolicyEff,FT_AnnivDays-1,0))),IF(AV127="PT",IF(BP127&lt;PT_First,0,1+INT((BP127-PT_First)/PT_Int)),0)),0))</f>
        <v/>
      </c>
      <c r="BR127" s="0" t="str">
        <f aca="false">IF(LEN($A127&amp;$B127)=0,"",$A127&amp;" "&amp;$B127)</f>
        <v/>
      </c>
    </row>
    <row r="128" customFormat="false" ht="15" hidden="false" customHeight="false" outlineLevel="0" collapsed="false">
      <c r="A128" s="12"/>
      <c r="B128" s="12"/>
      <c r="C128" s="12"/>
      <c r="D128" s="13"/>
      <c r="E128" s="14" t="str">
        <f aca="false">IF(OR(AK128=0,$D128=""),"",DATE(YEAR(AsOfDate)+IF(DATE(YEAR(AsOfDate),MONTH($D128),DAY($D128))&lt;=AsOfDate,1,0),MONTH($D128),DAY($D128)))</f>
        <v/>
      </c>
      <c r="F128" s="13"/>
      <c r="G128" s="13"/>
      <c r="H128" s="13"/>
      <c r="I128" s="13"/>
      <c r="J128" s="13"/>
      <c r="K128" s="14" t="str">
        <f aca="false">IF(AK128=0,"",DATE(YEAR(AsOfDate)+IF(DATE(YEAR(AsOfDate),MONTH(AL128),DAY(AL128))&lt;=AsOfDate,1,0),MONTH(AL128),DAY(AL128)))</f>
        <v/>
      </c>
      <c r="L128" s="15" t="str">
        <f aca="false">IF(AK128=0,"",ROUND((AsOfDate-AL128)/365.25,1))</f>
        <v/>
      </c>
      <c r="M128" s="16" t="str">
        <f aca="false">IF(AK128=0,"",IF(AsOfDate&lt;AL128,"-",DATEDIF(AL128,AsOfDate,"y")&amp;"y "&amp;DATEDIF(AL128,AsOfDate,"ym")&amp;"m "&amp;DATEDIF(AL128,AsOfDate,"md")&amp;"d"))</f>
        <v/>
      </c>
      <c r="N128" s="17" t="str">
        <f aca="false">IF(AK128=0,"",O128*HoursPerDay)</f>
        <v/>
      </c>
      <c r="O128" s="17" t="str">
        <f aca="false">IF(AK128=0,"",MAX(0,BD128-BQ128))</f>
        <v/>
      </c>
      <c r="P128" s="18"/>
      <c r="Q128" s="16" t="str">
        <f aca="false">IF(AK128=0,"",IF(AM128&lt;2,"",AQ128&amp;" to "&amp;AR128&amp;" on "&amp;TEXT(AO128,"dd/mm/yyyy")&amp;IF(AO128&gt;AsOfDate," (future)",IF(AT128=AU128,"",IF(AU128="None"," - STOPPED accruing",IF(AT128="None"," - commencement for Bonus Leave"," - pathway changed"))))&amp;IF(AM128&lt;3,"","; "&amp;AR128&amp;" to "&amp;AS128&amp;" on "&amp;TEXT(AP128,"dd/mm/yyyy")&amp;IF(AP128&gt;AsOfDate," (future)",IF(AU128=AV128,"",IF(AV128="None"," - STOPPED accruing",IF(AU128="None"," - commencement for Bonus Leave"," - pathway changed")))))))</f>
        <v/>
      </c>
      <c r="R128" s="16" t="str">
        <f aca="false">IF(AK128=0,"",IF(AW128="None",IF(O128&gt;0,"No longer accruing","Not eligible - "&amp;IF(AND(OR(ISNUMBER(SEARCH("part",$C128)),UPPER(TRIM($C128))="PT",UPPER(TRIM($C128))="PTE"),Apply2026="No"),"part-time (scheme is full-time only)",IF(AND(OR(ISNUMBER(SEARCH("part",$C128)),UPPER(TRIM($C128))="PT",UPPER(TRIM($C128))="PTE"),$P128&lt;&gt;"",N($P128)&lt;PT_MinHours),"under "&amp;PT_MinHours&amp;" hrs",IF(IF($C128="","",IF(OR(ISNUMBER(SEARCH("full",$C128)),UPPER(TRIM($C128))="FT",UPPER(TRIM($C128))="FTE"),"Full-Time",IF(OR(ISNUMBER(SEARCH("part",$C128)),UPPER(TRIM($C128))="PT",UPPER(TRIM($C128))="PTE"),"Part-Time",IF(OR(ISNUMBER(SEARCH("cas",$C128)),UPPER(TRIM($C128))="CAS"),"Casual","Unknown"))))="Unknown","type not recognised",$C128)))),IF(O128&gt;0,"Yes - Accrual Required","Not yet - from "&amp;TEXT(S128,"dd/mm/yyyy"))))</f>
        <v/>
      </c>
      <c r="S128" s="14" t="str">
        <f aca="false">IF(AK128=0,"",IF(AW128="None","",EDATE(AL128,BF128)))</f>
        <v/>
      </c>
      <c r="T128" s="17" t="str">
        <f aca="false">IF(AK128=0,"",IF(NOT(LH_Ready),"",IF($F128&gt;PFYDate,0,IF(LH_ColPeriod=0,W128-U128+V128,SUMIFS(INDEX(LH_Data,0,LH_ColAcc),INDEX(LH_Data,0,LH_ColFirst),$A128,INDEX(LH_Data,0,LH_ColSur),$B128,INDEX(LH_Data,0,LH_ColCat),BonusCat,INDEX(LH_Data,0,LH_ColPeriod),LH_OpenLabel)*UnitFactor))))</f>
        <v/>
      </c>
      <c r="U128" s="17" t="str">
        <f aca="false">IF(AK128=0,"",IF(NOT(LH_Ready),"",SUMIFS(INDEX(LH_Data,0,LH_ColAcc),INDEX(LH_Data,0,LH_ColFirst),$A128,INDEX(LH_Data,0,LH_ColSur),$B128,INDEX(LH_Data,0,LH_ColCat),BonusCat,INDEX(LH_Data,0,LH_ColStart),"&gt;="&amp;AL128)*UnitFactor))</f>
        <v/>
      </c>
      <c r="V128" s="17" t="str">
        <f aca="false">IF(AK128=0,"",IF(NOT(LH_Ready),"",SUMIFS(INDEX(LH_Data,0,LH_ColTaken),INDEX(LH_Data,0,LH_ColFirst),$A128,INDEX(LH_Data,0,LH_ColSur),$B128,INDEX(LH_Data,0,LH_ColCat),BonusCat,INDEX(LH_Data,0,LH_ColStart),"&gt;="&amp;AL128)*UnitFactor))</f>
        <v/>
      </c>
      <c r="W128" s="17" t="str">
        <f aca="false">IF(AK128=0,"",IF(NOT(LH_Ready),"",IF(BH128=0,0,INDEX(INDEX(LH_Data,0,LH_ColClose),BH128-1)*UnitFactor)))</f>
        <v/>
      </c>
      <c r="X128" s="17" t="str">
        <f aca="false">IF(AK128=0,"",(MAX(0,BD128-BQ128)-MAX(0,BE128-BQ128))*HoursPerDay)</f>
        <v/>
      </c>
      <c r="Y128" s="17" t="str">
        <f aca="false">IF(AK128=0,"",IF(NOT(LH_Ready),"",IF($AI128="Yes",N(AE128)*HoursPerDay-SUMIFS(INDEX(LH_Data,0,LH_ColAcc),INDEX(LH_Data,0,LH_ColFirst),$A128,INDEX(LH_Data,0,LH_ColSur),$B128,INDEX(LH_Data,0,LH_ColCat),BonusCat,INDEX(LH_Data,0,LH_ColStart),"&gt;="&amp;(EOMONTH(AsOfDate,-1)+1),INDEX(LH_Data,0,LH_ColStart),"&lt;="&amp;AsOfDate)*UnitFactor,IF(BG128=0,N128,N128-N(T128)-N(U128)))))</f>
        <v/>
      </c>
      <c r="Z128" s="16" t="str">
        <f aca="false">IF(OR(AK128=0,Y128=""),"",IF(Y128&gt;0,"Yes","No"))</f>
        <v/>
      </c>
      <c r="AA128" s="16" t="str">
        <f aca="false">IF(AK128=0,IF(LEN($A128&amp;$B128)=0,"","FIX INPUT - StartDate missing"),IF(AD128&lt;&gt;"","FIX INPUT - "&amp;AD128,IF(NOT(LH_Ready),"Paste Leave History export (Settings must show YES)",IF(AND($AI128="Yes",Y128&lt;=0),"OK - EH balance accepted to date"&amp;IF(N(AH128)&gt;0," (EH holds "&amp;AH128&amp;" hrs over the scheme)","")&amp;"; next day "&amp;TEXT(S128,"dd mmm yy")&amp;IF(N(AE128)&gt;0," ("&amp;AE128&amp;" day(s) for "&amp;UPPER(TEXT(AsOfDate,"mmm yyyy"))&amp;" already in EH)",""),IF(Y128&gt;0,"ACCRUE "&amp;ROUND(Y128,2)&amp;" hrs ("&amp;ROUND(Y128/HoursPerDay,2)&amp;" days): "&amp;IF(N(AE128)&gt;0,AE128&amp;" day(s) for "&amp;UPPER(TEXT(AsOfDate,"mmm yyyy"))&amp;" (milestone "&amp;UPPER(TEXT(AF128,"dd mmm yy"))&amp;")"&amp;IF(Y128/HoursPerDay&gt;AE128+0.001," + "&amp;ROUND(Y128/HoursPerDay-AE128,2)&amp;" day(s) catch-up from earlier months",""),"all catch-up from earlier months, nothing new this month")&amp;IF(BG128=0,"; no Bonus Leave in EH yet",""),IF(Y128&lt;0,"CHECK - EH accrued "&amp;ROUND(-Y128,2)&amp;" hrs more than policy since commencement",IF(N(W128)&gt;O128*HoursPerDay+0.01,"CHECK - EH balance "&amp;ROUND(W128-O128*HoursPerDay,2)&amp;" hrs more than policy entitlement",IF(O128&gt;0,"OK - nothing to add"&amp;IF(N(AE128)&gt;0," ("&amp;AE128&amp;" day(s) for "&amp;UPPER(TEXT(AsOfDate,"mmm yyyy"))&amp;" already in EH)",""),IF(AW128="None",R128,"Not yet - first day on "&amp;TEXT(S128,"dd/mm/yyyy"))))))))))</f>
        <v/>
      </c>
      <c r="AB128" s="17" t="str">
        <f aca="false">IF(OR(AK128=0,T128=""),"",MAX(0,BE128-BQ128)*HoursPerDay-T128)</f>
        <v/>
      </c>
      <c r="AC128" s="16" t="str">
        <f aca="false">IF(AK128=0,"",BG128)</f>
        <v/>
      </c>
      <c r="AD128" s="16" t="str">
        <f aca="false">IF(AK128=0,"",TRIM(IF(OR(ISTEXT($F128),ISTEXT($H128),ISTEXT($I128),ISTEXT($G128),ISTEXT($J128),ISTEXT($D128)),"A date is typed as text - retype it as dd/mm/yyyy. ","")&amp;IF(IF($C128="","",IF(OR(ISNUMBER(SEARCH("full",$C128)),UPPER(TRIM($C128))="FT",UPPER(TRIM($C128))="FTE"),"Full-Time",IF(OR(ISNUMBER(SEARCH("part",$C128)),UPPER(TRIM($C128))="PT",UPPER(TRIM($C128))="PTE"),"Part-Time",IF(OR(ISNUMBER(SEARCH("cas",$C128)),UPPER(TRIM($C128))="CAS"),"Casual","Unknown"))))="Unknown","EmploymentType not recognised - use Full-Time, Part-Time or Casual. ","")&amp;IF(AND(AM128&gt;=1,IF(AM128&gt;=3,AS128,IF(AM128=2,AR128,AQ128))&lt;&gt;IF($C128="","",IF(OR(ISNUMBER(SEARCH("full",$C128)),UPPER(TRIM($C128))="FT",UPPER(TRIM($C128))="FTE"),"Full-Time",IF(OR(ISNUMBER(SEARCH("part",$C128)),UPPER(TRIM($C128))="PT",UPPER(TRIM($C128))="PTE"),"Part-Time",IF(OR(ISNUMBER(SEARCH("cas",$C128)),UPPER(TRIM($C128))="CAS"),"Casual","Unknown"))))),"EmploymentType does not match latest start date ("&amp;IF(AM128&gt;=3,AS128,IF(AM128=2,AR128,AQ128))&amp;"). ","")&amp;IF(AND(AM128&gt;=1,AN128&lt;&gt;$F128),"Earliest type date should equal StartDate. ","")&amp;IF(AND(AM128&gt;=2,AN128=AO128),"Two types start on the same date. ","")&amp;IF(AND(OR(ISNUMBER(SEARCH("part",$C128)),UPPER(TRIM($C128))="PT",UPPER(TRIM($C128))="PTE"),$P128=""),"Part-time: enter PT Hrs/Week (blank = 24+). ","")))</f>
        <v/>
      </c>
      <c r="AE128" s="17" t="str">
        <f aca="false">IF(AK128=0,"",O128-MAX(0,BL128-BQ128))</f>
        <v/>
      </c>
      <c r="AF128" s="14" t="str">
        <f aca="false">IF(OR(AK128=0,AE128="",N(AE128)=0,BM128=""),"",EDATE(AL128,BM128))</f>
        <v/>
      </c>
      <c r="AG128" s="17" t="str">
        <f aca="false">IF(AK128=0,"",MIN(BD128,BQ128))</f>
        <v/>
      </c>
      <c r="AH128" s="17" t="str">
        <f aca="false">IF(AK128=0,"",IF(NOT(LH_Ready),"",IF(BG128=0,0,MAX(0,ROUND(N(T128)+N(U128)-N128,2)))))</f>
        <v/>
      </c>
      <c r="AI128" s="12"/>
      <c r="AJ128" s="12"/>
      <c r="AK128" s="16" t="n">
        <f aca="false">IF(OR(LEN($A128&amp;$B128)=0,$F128=""),0,1)</f>
        <v>0</v>
      </c>
      <c r="AL128" s="14" t="str">
        <f aca="false">IF(AK128=0,"",IF(PreSchemeCounts="No",MAX(SchemeStart,IF($J128&lt;&gt;"",$J128,IF(OR(CasualCounts="Yes",COUNT($G128:$I128)=0),$F128,IF(Apply2026="No",IF($I128="",$F128,$I128),IF(COUNT($H128:$I128)=0,$F128,MIN($H128:$I128)))))),IF($J128&lt;&gt;"",$J128,IF(OR(CasualCounts="Yes",COUNT($G128:$I128)=0),$F128,IF(Apply2026="No",IF($I128="",$F128,$I128),IF(COUNT($H128:$I128)=0,$F128,MIN($H128:$I128)))))))</f>
        <v/>
      </c>
      <c r="AM128" s="16" t="str">
        <f aca="false">IF(AK128=0,"",COUNT($G128:$I128))</f>
        <v/>
      </c>
      <c r="AN128" s="14" t="str">
        <f aca="false">IF(AK128=0,"",IFERROR(SMALL($G128:$I128,1),""))</f>
        <v/>
      </c>
      <c r="AO128" s="14" t="str">
        <f aca="false">IF(AK128=0,"",IFERROR(SMALL($G128:$I128,2),""))</f>
        <v/>
      </c>
      <c r="AP128" s="14" t="str">
        <f aca="false">IF(AK128=0,"",IFERROR(SMALL($G128:$I128,3),""))</f>
        <v/>
      </c>
      <c r="AQ128" s="16" t="str">
        <f aca="false">IF(AK128=0,"",IF(AN128="","",IF(AN128=$H128,"Part-Time",IF(AN128=$I128,"Full-Time","Casual"))))</f>
        <v/>
      </c>
      <c r="AR128" s="16" t="str">
        <f aca="false">IF(AK128=0,"",IF(AO128="","",IF(AO128=$H128,"Part-Time",IF(AO128=$I128,"Full-Time","Casual"))))</f>
        <v/>
      </c>
      <c r="AS128" s="16" t="str">
        <f aca="false">IF(AK128=0,"",IF(AP128="","",IF(AP128=$H128,"Part-Time",IF(AP128=$I128,"Full-Time","Casual"))))</f>
        <v/>
      </c>
      <c r="AT128" s="16" t="str">
        <f aca="false">IF(AK128=0,"",IF(AM128=0,IF(OR(ISNUMBER(SEARCH("full",$C128)),UPPER(TRIM($C128))="FT",UPPER(TRIM($C128))="FTE"),"FT",IF(AND(OR(ISNUMBER(SEARCH("part",$C128)),UPPER(TRIM($C128))="PT",UPPER(TRIM($C128))="PTE"),Apply2026="Yes",OR($P128="",N($P128)&gt;=PT_MinHours)),"PT","None")),IF(OR(ISNUMBER(SEARCH("full",AQ128)),UPPER(TRIM(AQ128))="FT",UPPER(TRIM(AQ128))="FTE"),"FT",IF(AND(OR(ISNUMBER(SEARCH("part",AQ128)),UPPER(TRIM(AQ128))="PT",UPPER(TRIM(AQ128))="PTE"),Apply2026="Yes",OR($P128="",N($P128)&gt;=PT_MinHours)),"PT","None"))))</f>
        <v/>
      </c>
      <c r="AU128" s="16" t="str">
        <f aca="false">IF(AK128=0,"",IF(AM128&lt;2,"",IF(OR(ISNUMBER(SEARCH("full",AR128)),UPPER(TRIM(AR128))="FT",UPPER(TRIM(AR128))="FTE"),"FT",IF(AND(OR(ISNUMBER(SEARCH("part",AR128)),UPPER(TRIM(AR128))="PT",UPPER(TRIM(AR128))="PTE"),Apply2026="Yes",OR($P128="",N($P128)&gt;=PT_MinHours)),"PT","None"))))</f>
        <v/>
      </c>
      <c r="AV128" s="16" t="str">
        <f aca="false">IF(AK128=0,"",IF(AM128&lt;3,"",IF(OR(ISNUMBER(SEARCH("full",AS128)),UPPER(TRIM(AS128))="FT",UPPER(TRIM(AS128))="FTE"),"FT",IF(AND(OR(ISNUMBER(SEARCH("part",AS128)),UPPER(TRIM(AS128))="PT",UPPER(TRIM(AS128))="PTE"),Apply2026="Yes",OR($P128="",N($P128)&gt;=PT_MinHours)),"PT","None"))))</f>
        <v/>
      </c>
      <c r="AW128" s="16" t="str">
        <f aca="false">IF(AK128=0,"",IF(AND(AM128&gt;=3,AP128&lt;=AsOfDate),AV128,IF(AND(AM128&gt;=2,AO128&lt;=AsOfDate),AU128,AT128)))</f>
        <v/>
      </c>
      <c r="AX128" s="16" t="str">
        <f aca="false">IF(AK128=0,"",IF(AsOfDate&lt;AL128,-1,12*(YEAR(AsOfDate)-YEAR(AL128))+MONTH(AsOfDate)-MONTH(AL128)-IF(DAY(AsOfDate)&lt;MIN(DAY(AL128),DAY(EOMONTH(AsOfDate,0))),1,0)))</f>
        <v/>
      </c>
      <c r="AY128" s="16" t="str">
        <f aca="false">IF(AK128=0,"",IF(OR(AM128&lt;2,AO128&gt;AsOfDate),AX128,IF((AO128-1)&lt;AL128,-1,12*(YEAR((AO128-1))-YEAR(AL128))+MONTH((AO128-1))-MONTH(AL128)-IF(DAY((AO128-1))&lt;MIN(DAY(AL128),DAY(EOMONTH((AO128-1),0))),1,0))))</f>
        <v/>
      </c>
      <c r="AZ128" s="16" t="str">
        <f aca="false">IF(AK128=0,"",IF(OR(AM128&lt;3,AP128&gt;AsOfDate),AX128,IF((AP128-1)&lt;AL128,-1,12*(YEAR((AP128-1))-YEAR(AL128))+MONTH((AP128-1))-MONTH(AL128)-IF(DAY((AP128-1))&lt;MIN(DAY(AL128),DAY(EOMONTH((AP128-1),0))),1,0))))</f>
        <v/>
      </c>
      <c r="BA128" s="16" t="str">
        <f aca="false">IF(AK128=0,"",IF(PFYDate&lt;AL128,-1,12*(YEAR(PFYDate)-YEAR(AL128))+MONTH(PFYDate)-MONTH(AL128)-IF(DAY(PFYDate)&lt;MIN(DAY(AL128),DAY(EOMONTH(PFYDate,0))),1,0)))</f>
        <v/>
      </c>
      <c r="BB128" s="16" t="str">
        <f aca="false">IF(AK128=0,"",IF(OR(AM128&lt;2,AO128&gt;PFYDate),BA128,IF((AO128-1)&lt;AL128,-1,12*(YEAR((AO128-1))-YEAR(AL128))+MONTH((AO128-1))-MONTH(AL128)-IF(DAY((AO128-1))&lt;MIN(DAY(AL128),DAY(EOMONTH((AO128-1),0))),1,0))))</f>
        <v/>
      </c>
      <c r="BC128" s="16" t="str">
        <f aca="false">IF(AK128=0,"",IF(OR(AM128&lt;3,AP128&gt;PFYDate),BA128,IF((AP128-1)&lt;AL128,-1,12*(YEAR((AP128-1))-YEAR(AL128))+MONTH((AP128-1))-MONTH(AL128)-IF(DAY((AP128-1))&lt;MIN(DAY(AL128),DAY(EOMONTH((AP128-1),0))),1,0))))</f>
        <v/>
      </c>
      <c r="BD128" s="16" t="str">
        <f aca="false">IF(AK128=0,"",IF(AT128="FT",IF(AY128&lt;FT_First,0,IF(AY128&lt;FT_Y5,1+INT((AY128-FT_First)/FT_Int1),FT_PreY5+FT_PerYear*INT((AY128-FT_Y5)/12)+FT_AnnivDays+INT(MOD(AY128-FT_Y5,12)/FT_Int2)-IF(EDATE(AL128,FT_Y5)&lt;PolicyEff,FT_AnnivDays-1,0))),IF(AT128="PT",IF(AY128&lt;PT_First,0,1+INT((AY128-PT_First)/PT_Int)),0))+IF(AND(AM128&gt;=2,AO128&lt;=AsOfDate),IF(AU128="FT",IF(AZ128&lt;FT_First,0,IF(AZ128&lt;FT_Y5,1+INT((AZ128-FT_First)/FT_Int1),FT_PreY5+FT_PerYear*INT((AZ128-FT_Y5)/12)+FT_AnnivDays+INT(MOD(AZ128-FT_Y5,12)/FT_Int2)-IF(EDATE(AL128,FT_Y5)&lt;PolicyEff,FT_AnnivDays-1,0))),IF(AU128="PT",IF(AZ128&lt;PT_First,0,1+INT((AZ128-PT_First)/PT_Int)),0))-IF(AU128="FT",IF(AY128&lt;FT_First,0,IF(AY128&lt;FT_Y5,1+INT((AY128-FT_First)/FT_Int1),FT_PreY5+FT_PerYear*INT((AY128-FT_Y5)/12)+FT_AnnivDays+INT(MOD(AY128-FT_Y5,12)/FT_Int2)-IF(EDATE(AL128,FT_Y5)&lt;PolicyEff,FT_AnnivDays-1,0))),IF(AU128="PT",IF(AY128&lt;PT_First,0,1+INT((AY128-PT_First)/PT_Int)),0)),0)+IF(AND(AM128&gt;=3,AP128&lt;=AsOfDate),IF(AV128="FT",IF(AX128&lt;FT_First,0,IF(AX128&lt;FT_Y5,1+INT((AX128-FT_First)/FT_Int1),FT_PreY5+FT_PerYear*INT((AX128-FT_Y5)/12)+FT_AnnivDays+INT(MOD(AX128-FT_Y5,12)/FT_Int2)-IF(EDATE(AL128,FT_Y5)&lt;PolicyEff,FT_AnnivDays-1,0))),IF(AV128="PT",IF(AX128&lt;PT_First,0,1+INT((AX128-PT_First)/PT_Int)),0))-IF(AV128="FT",IF(AZ128&lt;FT_First,0,IF(AZ128&lt;FT_Y5,1+INT((AZ128-FT_First)/FT_Int1),FT_PreY5+FT_PerYear*INT((AZ128-FT_Y5)/12)+FT_AnnivDays+INT(MOD(AZ128-FT_Y5,12)/FT_Int2)-IF(EDATE(AL128,FT_Y5)&lt;PolicyEff,FT_AnnivDays-1,0))),IF(AV128="PT",IF(AZ128&lt;PT_First,0,1+INT((AZ128-PT_First)/PT_Int)),0)),0))</f>
        <v/>
      </c>
      <c r="BE128" s="16" t="str">
        <f aca="false">IF(AK128=0,"",IF(AT128="FT",IF(BB128&lt;FT_First,0,IF(BB128&lt;FT_Y5,1+INT((BB128-FT_First)/FT_Int1),FT_PreY5+FT_PerYear*INT((BB128-FT_Y5)/12)+FT_AnnivDays+INT(MOD(BB128-FT_Y5,12)/FT_Int2)-IF(EDATE(AL128,FT_Y5)&lt;PolicyEff,FT_AnnivDays-1,0))),IF(AT128="PT",IF(BB128&lt;PT_First,0,1+INT((BB128-PT_First)/PT_Int)),0))+IF(AND(AM128&gt;=2,AO128&lt;=PFYDate),IF(AU128="FT",IF(BC128&lt;FT_First,0,IF(BC128&lt;FT_Y5,1+INT((BC128-FT_First)/FT_Int1),FT_PreY5+FT_PerYear*INT((BC128-FT_Y5)/12)+FT_AnnivDays+INT(MOD(BC128-FT_Y5,12)/FT_Int2)-IF(EDATE(AL128,FT_Y5)&lt;PolicyEff,FT_AnnivDays-1,0))),IF(AU128="PT",IF(BC128&lt;PT_First,0,1+INT((BC128-PT_First)/PT_Int)),0))-IF(AU128="FT",IF(BB128&lt;FT_First,0,IF(BB128&lt;FT_Y5,1+INT((BB128-FT_First)/FT_Int1),FT_PreY5+FT_PerYear*INT((BB128-FT_Y5)/12)+FT_AnnivDays+INT(MOD(BB128-FT_Y5,12)/FT_Int2)-IF(EDATE(AL128,FT_Y5)&lt;PolicyEff,FT_AnnivDays-1,0))),IF(AU128="PT",IF(BB128&lt;PT_First,0,1+INT((BB128-PT_First)/PT_Int)),0)),0)+IF(AND(AM128&gt;=3,AP128&lt;=PFYDate),IF(AV128="FT",IF(BA128&lt;FT_First,0,IF(BA128&lt;FT_Y5,1+INT((BA128-FT_First)/FT_Int1),FT_PreY5+FT_PerYear*INT((BA128-FT_Y5)/12)+FT_AnnivDays+INT(MOD(BA128-FT_Y5,12)/FT_Int2)-IF(EDATE(AL128,FT_Y5)&lt;PolicyEff,FT_AnnivDays-1,0))),IF(AV128="PT",IF(BA128&lt;PT_First,0,1+INT((BA128-PT_First)/PT_Int)),0))-IF(AV128="FT",IF(BC128&lt;FT_First,0,IF(BC128&lt;FT_Y5,1+INT((BC128-FT_First)/FT_Int1),FT_PreY5+FT_PerYear*INT((BC128-FT_Y5)/12)+FT_AnnivDays+INT(MOD(BC128-FT_Y5,12)/FT_Int2)-IF(EDATE(AL128,FT_Y5)&lt;PolicyEff,FT_AnnivDays-1,0))),IF(AV128="PT",IF(BC128&lt;PT_First,0,1+INT((BC128-PT_First)/PT_Int)),0)),0))</f>
        <v/>
      </c>
      <c r="BF128" s="16" t="str">
        <f aca="false">IF(AK128=0,"",IF(AW128="FT",IF(AX128&lt;FT_First,FT_First,IF(AX128&lt;FT_Y5,MIN(FT_Y5,FT_First+FT_Int1*(INT((AX128-FT_First)/FT_Int1)+1)),FT_Y5+12*INT((AX128-FT_Y5)/12)+FT_Int2*(INT(MOD(AX128-FT_Y5,12)/FT_Int2)+1))),IF(AW128="PT",IF(AX128&lt;PT_First,PT_First,PT_First+PT_Int*(INT((AX128-PT_First)/PT_Int)+1)),"")))</f>
        <v/>
      </c>
      <c r="BG128" s="16" t="str">
        <f aca="false">IF(AK128=0,"",IF(NOT(LH_Ready),0,COUNTIFS(INDEX(LH_Data,0,LH_ColFirst),$A128,INDEX(LH_Data,0,LH_ColSur),$B128,INDEX(LH_Data,0,LH_ColCat),BonusCat)))</f>
        <v/>
      </c>
      <c r="BH128" s="16" t="str">
        <f aca="false">IF(AK128=0,"",IF(OR(NOT(LH_Ready),BG128=0),0,SUMPRODUCT(MAX((INDEX(LH_Data,0,LH_ColFirst)=$A128)*(INDEX(LH_Data,0,LH_ColSur)=$B128)*(INDEX(LH_Data,0,LH_ColCat)=BonusCat)*ROW(LH_Data)))))</f>
        <v/>
      </c>
      <c r="BI128" s="16" t="str">
        <f aca="false">IF(AK128=0,"",IF(EOMONTH(AsOfDate,-1)&lt;AL128,-1,12*(YEAR(EOMONTH(AsOfDate,-1))-YEAR(AL128))+MONTH(EOMONTH(AsOfDate,-1))-MONTH(AL128)-IF(DAY(EOMONTH(AsOfDate,-1))&lt;MIN(DAY(AL128),DAY(EOMONTH(EOMONTH(AsOfDate,-1),0))),1,0)))</f>
        <v/>
      </c>
      <c r="BJ128" s="16" t="str">
        <f aca="false">IF(AK128=0,"",IF(OR(AM128&lt;2,AO128&gt;EOMONTH(AsOfDate,-1)),BI128,IF((AO128-1)&lt;AL128,-1,12*(YEAR((AO128-1))-YEAR(AL128))+MONTH((AO128-1))-MONTH(AL128)-IF(DAY((AO128-1))&lt;MIN(DAY(AL128),DAY(EOMONTH((AO128-1),0))),1,0))))</f>
        <v/>
      </c>
      <c r="BK128" s="16" t="str">
        <f aca="false">IF(AK128=0,"",IF(OR(AM128&lt;3,AP128&gt;EOMONTH(AsOfDate,-1)),BI128,IF((AP128-1)&lt;AL128,-1,12*(YEAR((AP128-1))-YEAR(AL128))+MONTH((AP128-1))-MONTH(AL128)-IF(DAY((AP128-1))&lt;MIN(DAY(AL128),DAY(EOMONTH((AP128-1),0))),1,0))))</f>
        <v/>
      </c>
      <c r="BL128" s="16" t="str">
        <f aca="false">IF(AK128=0,"",IF(AT128="FT",IF(BJ128&lt;FT_First,0,IF(BJ128&lt;FT_Y5,1+INT((BJ128-FT_First)/FT_Int1),FT_PreY5+FT_PerYear*INT((BJ128-FT_Y5)/12)+FT_AnnivDays+INT(MOD(BJ128-FT_Y5,12)/FT_Int2)-IF(EDATE(AL128,FT_Y5)&lt;PolicyEff,FT_AnnivDays-1,0))),IF(AT128="PT",IF(BJ128&lt;PT_First,0,1+INT((BJ128-PT_First)/PT_Int)),0))+IF(AND(AM128&gt;=2,AO128&lt;=EOMONTH(AsOfDate,-1)),IF(AU128="FT",IF(BK128&lt;FT_First,0,IF(BK128&lt;FT_Y5,1+INT((BK128-FT_First)/FT_Int1),FT_PreY5+FT_PerYear*INT((BK128-FT_Y5)/12)+FT_AnnivDays+INT(MOD(BK128-FT_Y5,12)/FT_Int2)-IF(EDATE(AL128,FT_Y5)&lt;PolicyEff,FT_AnnivDays-1,0))),IF(AU128="PT",IF(BK128&lt;PT_First,0,1+INT((BK128-PT_First)/PT_Int)),0))-IF(AU128="FT",IF(BJ128&lt;FT_First,0,IF(BJ128&lt;FT_Y5,1+INT((BJ128-FT_First)/FT_Int1),FT_PreY5+FT_PerYear*INT((BJ128-FT_Y5)/12)+FT_AnnivDays+INT(MOD(BJ128-FT_Y5,12)/FT_Int2)-IF(EDATE(AL128,FT_Y5)&lt;PolicyEff,FT_AnnivDays-1,0))),IF(AU128="PT",IF(BJ128&lt;PT_First,0,1+INT((BJ128-PT_First)/PT_Int)),0)),0)+IF(AND(AM128&gt;=3,AP128&lt;=EOMONTH(AsOfDate,-1)),IF(AV128="FT",IF(BI128&lt;FT_First,0,IF(BI128&lt;FT_Y5,1+INT((BI128-FT_First)/FT_Int1),FT_PreY5+FT_PerYear*INT((BI128-FT_Y5)/12)+FT_AnnivDays+INT(MOD(BI128-FT_Y5,12)/FT_Int2)-IF(EDATE(AL128,FT_Y5)&lt;PolicyEff,FT_AnnivDays-1,0))),IF(AV128="PT",IF(BI128&lt;PT_First,0,1+INT((BI128-PT_First)/PT_Int)),0))-IF(AV128="FT",IF(BK128&lt;FT_First,0,IF(BK128&lt;FT_Y5,1+INT((BK128-FT_First)/FT_Int1),FT_PreY5+FT_PerYear*INT((BK128-FT_Y5)/12)+FT_AnnivDays+INT(MOD(BK128-FT_Y5,12)/FT_Int2)-IF(EDATE(AL128,FT_Y5)&lt;PolicyEff,FT_AnnivDays-1,0))),IF(AV128="PT",IF(BK128&lt;PT_First,0,1+INT((BK128-PT_First)/PT_Int)),0)),0))</f>
        <v/>
      </c>
      <c r="BM128" s="16" t="str">
        <f aca="false">IF(AK128=0,"",IF(AW128="FT",IF(AX128&lt;FT_First,"",IF(AX128&lt;FT_Y5,FT_First+FT_Int1*INT((AX128-FT_First)/FT_Int1),FT_Y5+FT_Int2*INT((AX128-FT_Y5)/FT_Int2))),IF(AW128="PT",IF(AX128&lt;PT_First,"",PT_First+PT_Int*INT((AX128-PT_First)/PT_Int)),"")))</f>
        <v/>
      </c>
      <c r="BN128" s="16" t="str">
        <f aca="false">IF(AK128=0,"",IF((SchemeStart-1)&lt;AL128,-1,12*(YEAR((SchemeStart-1))-YEAR(AL128))+MONTH((SchemeStart-1))-MONTH(AL128)-IF(DAY((SchemeStart-1))&lt;MIN(DAY(AL128),DAY(EOMONTH((SchemeStart-1),0))),1,0)))</f>
        <v/>
      </c>
      <c r="BO128" s="16" t="str">
        <f aca="false">IF(AK128=0,"",IF(OR(AM128&lt;2,AO128&gt;(SchemeStart-1)),BN128,IF((AO128-1)&lt;AL128,-1,12*(YEAR((AO128-1))-YEAR(AL128))+MONTH((AO128-1))-MONTH(AL128)-IF(DAY((AO128-1))&lt;MIN(DAY(AL128),DAY(EOMONTH((AO128-1),0))),1,0))))</f>
        <v/>
      </c>
      <c r="BP128" s="16" t="str">
        <f aca="false">IF(AK128=0,"",IF(OR(AM128&lt;3,AP128&gt;(SchemeStart-1)),BN128,IF((AP128-1)&lt;AL128,-1,12*(YEAR((AP128-1))-YEAR(AL128))+MONTH((AP128-1))-MONTH(AL128)-IF(DAY((AP128-1))&lt;MIN(DAY(AL128),DAY(EOMONTH((AP128-1),0))),1,0))))</f>
        <v/>
      </c>
      <c r="BQ128" s="16" t="str">
        <f aca="false">IF(AK128=0,"",IF(AT128="FT",IF(BO128&lt;FT_First,0,IF(BO128&lt;FT_Y5,1+INT((BO128-FT_First)/FT_Int1),FT_PreY5+FT_PerYear*INT((BO128-FT_Y5)/12)+FT_AnnivDays+INT(MOD(BO128-FT_Y5,12)/FT_Int2)-IF(EDATE(AL128,FT_Y5)&lt;PolicyEff,FT_AnnivDays-1,0))),IF(AT128="PT",IF(BO128&lt;PT_First,0,1+INT((BO128-PT_First)/PT_Int)),0))+IF(AND(AM128&gt;=2,AO128&lt;=(SchemeStart-1)),IF(AU128="FT",IF(BP128&lt;FT_First,0,IF(BP128&lt;FT_Y5,1+INT((BP128-FT_First)/FT_Int1),FT_PreY5+FT_PerYear*INT((BP128-FT_Y5)/12)+FT_AnnivDays+INT(MOD(BP128-FT_Y5,12)/FT_Int2)-IF(EDATE(AL128,FT_Y5)&lt;PolicyEff,FT_AnnivDays-1,0))),IF(AU128="PT",IF(BP128&lt;PT_First,0,1+INT((BP128-PT_First)/PT_Int)),0))-IF(AU128="FT",IF(BO128&lt;FT_First,0,IF(BO128&lt;FT_Y5,1+INT((BO128-FT_First)/FT_Int1),FT_PreY5+FT_PerYear*INT((BO128-FT_Y5)/12)+FT_AnnivDays+INT(MOD(BO128-FT_Y5,12)/FT_Int2)-IF(EDATE(AL128,FT_Y5)&lt;PolicyEff,FT_AnnivDays-1,0))),IF(AU128="PT",IF(BO128&lt;PT_First,0,1+INT((BO128-PT_First)/PT_Int)),0)),0)+IF(AND(AM128&gt;=3,AP128&lt;=(SchemeStart-1)),IF(AV128="FT",IF(BN128&lt;FT_First,0,IF(BN128&lt;FT_Y5,1+INT((BN128-FT_First)/FT_Int1),FT_PreY5+FT_PerYear*INT((BN128-FT_Y5)/12)+FT_AnnivDays+INT(MOD(BN128-FT_Y5,12)/FT_Int2)-IF(EDATE(AL128,FT_Y5)&lt;PolicyEff,FT_AnnivDays-1,0))),IF(AV128="PT",IF(BN128&lt;PT_First,0,1+INT((BN128-PT_First)/PT_Int)),0))-IF(AV128="FT",IF(BP128&lt;FT_First,0,IF(BP128&lt;FT_Y5,1+INT((BP128-FT_First)/FT_Int1),FT_PreY5+FT_PerYear*INT((BP128-FT_Y5)/12)+FT_AnnivDays+INT(MOD(BP128-FT_Y5,12)/FT_Int2)-IF(EDATE(AL128,FT_Y5)&lt;PolicyEff,FT_AnnivDays-1,0))),IF(AV128="PT",IF(BP128&lt;PT_First,0,1+INT((BP128-PT_First)/PT_Int)),0)),0))</f>
        <v/>
      </c>
      <c r="BR128" s="0" t="str">
        <f aca="false">IF(LEN($A128&amp;$B128)=0,"",$A128&amp;" "&amp;$B128)</f>
        <v/>
      </c>
    </row>
    <row r="129" customFormat="false" ht="15" hidden="false" customHeight="false" outlineLevel="0" collapsed="false">
      <c r="A129" s="12"/>
      <c r="B129" s="12"/>
      <c r="C129" s="12"/>
      <c r="D129" s="13"/>
      <c r="E129" s="14" t="str">
        <f aca="false">IF(OR(AK129=0,$D129=""),"",DATE(YEAR(AsOfDate)+IF(DATE(YEAR(AsOfDate),MONTH($D129),DAY($D129))&lt;=AsOfDate,1,0),MONTH($D129),DAY($D129)))</f>
        <v/>
      </c>
      <c r="F129" s="13"/>
      <c r="G129" s="13"/>
      <c r="H129" s="13"/>
      <c r="I129" s="13"/>
      <c r="J129" s="13"/>
      <c r="K129" s="14" t="str">
        <f aca="false">IF(AK129=0,"",DATE(YEAR(AsOfDate)+IF(DATE(YEAR(AsOfDate),MONTH(AL129),DAY(AL129))&lt;=AsOfDate,1,0),MONTH(AL129),DAY(AL129)))</f>
        <v/>
      </c>
      <c r="L129" s="15" t="str">
        <f aca="false">IF(AK129=0,"",ROUND((AsOfDate-AL129)/365.25,1))</f>
        <v/>
      </c>
      <c r="M129" s="16" t="str">
        <f aca="false">IF(AK129=0,"",IF(AsOfDate&lt;AL129,"-",DATEDIF(AL129,AsOfDate,"y")&amp;"y "&amp;DATEDIF(AL129,AsOfDate,"ym")&amp;"m "&amp;DATEDIF(AL129,AsOfDate,"md")&amp;"d"))</f>
        <v/>
      </c>
      <c r="N129" s="17" t="str">
        <f aca="false">IF(AK129=0,"",O129*HoursPerDay)</f>
        <v/>
      </c>
      <c r="O129" s="17" t="str">
        <f aca="false">IF(AK129=0,"",MAX(0,BD129-BQ129))</f>
        <v/>
      </c>
      <c r="P129" s="18"/>
      <c r="Q129" s="16" t="str">
        <f aca="false">IF(AK129=0,"",IF(AM129&lt;2,"",AQ129&amp;" to "&amp;AR129&amp;" on "&amp;TEXT(AO129,"dd/mm/yyyy")&amp;IF(AO129&gt;AsOfDate," (future)",IF(AT129=AU129,"",IF(AU129="None"," - STOPPED accruing",IF(AT129="None"," - commencement for Bonus Leave"," - pathway changed"))))&amp;IF(AM129&lt;3,"","; "&amp;AR129&amp;" to "&amp;AS129&amp;" on "&amp;TEXT(AP129,"dd/mm/yyyy")&amp;IF(AP129&gt;AsOfDate," (future)",IF(AU129=AV129,"",IF(AV129="None"," - STOPPED accruing",IF(AU129="None"," - commencement for Bonus Leave"," - pathway changed")))))))</f>
        <v/>
      </c>
      <c r="R129" s="16" t="str">
        <f aca="false">IF(AK129=0,"",IF(AW129="None",IF(O129&gt;0,"No longer accruing","Not eligible - "&amp;IF(AND(OR(ISNUMBER(SEARCH("part",$C129)),UPPER(TRIM($C129))="PT",UPPER(TRIM($C129))="PTE"),Apply2026="No"),"part-time (scheme is full-time only)",IF(AND(OR(ISNUMBER(SEARCH("part",$C129)),UPPER(TRIM($C129))="PT",UPPER(TRIM($C129))="PTE"),$P129&lt;&gt;"",N($P129)&lt;PT_MinHours),"under "&amp;PT_MinHours&amp;" hrs",IF(IF($C129="","",IF(OR(ISNUMBER(SEARCH("full",$C129)),UPPER(TRIM($C129))="FT",UPPER(TRIM($C129))="FTE"),"Full-Time",IF(OR(ISNUMBER(SEARCH("part",$C129)),UPPER(TRIM($C129))="PT",UPPER(TRIM($C129))="PTE"),"Part-Time",IF(OR(ISNUMBER(SEARCH("cas",$C129)),UPPER(TRIM($C129))="CAS"),"Casual","Unknown"))))="Unknown","type not recognised",$C129)))),IF(O129&gt;0,"Yes - Accrual Required","Not yet - from "&amp;TEXT(S129,"dd/mm/yyyy"))))</f>
        <v/>
      </c>
      <c r="S129" s="14" t="str">
        <f aca="false">IF(AK129=0,"",IF(AW129="None","",EDATE(AL129,BF129)))</f>
        <v/>
      </c>
      <c r="T129" s="17" t="str">
        <f aca="false">IF(AK129=0,"",IF(NOT(LH_Ready),"",IF($F129&gt;PFYDate,0,IF(LH_ColPeriod=0,W129-U129+V129,SUMIFS(INDEX(LH_Data,0,LH_ColAcc),INDEX(LH_Data,0,LH_ColFirst),$A129,INDEX(LH_Data,0,LH_ColSur),$B129,INDEX(LH_Data,0,LH_ColCat),BonusCat,INDEX(LH_Data,0,LH_ColPeriod),LH_OpenLabel)*UnitFactor))))</f>
        <v/>
      </c>
      <c r="U129" s="17" t="str">
        <f aca="false">IF(AK129=0,"",IF(NOT(LH_Ready),"",SUMIFS(INDEX(LH_Data,0,LH_ColAcc),INDEX(LH_Data,0,LH_ColFirst),$A129,INDEX(LH_Data,0,LH_ColSur),$B129,INDEX(LH_Data,0,LH_ColCat),BonusCat,INDEX(LH_Data,0,LH_ColStart),"&gt;="&amp;AL129)*UnitFactor))</f>
        <v/>
      </c>
      <c r="V129" s="17" t="str">
        <f aca="false">IF(AK129=0,"",IF(NOT(LH_Ready),"",SUMIFS(INDEX(LH_Data,0,LH_ColTaken),INDEX(LH_Data,0,LH_ColFirst),$A129,INDEX(LH_Data,0,LH_ColSur),$B129,INDEX(LH_Data,0,LH_ColCat),BonusCat,INDEX(LH_Data,0,LH_ColStart),"&gt;="&amp;AL129)*UnitFactor))</f>
        <v/>
      </c>
      <c r="W129" s="17" t="str">
        <f aca="false">IF(AK129=0,"",IF(NOT(LH_Ready),"",IF(BH129=0,0,INDEX(INDEX(LH_Data,0,LH_ColClose),BH129-1)*UnitFactor)))</f>
        <v/>
      </c>
      <c r="X129" s="17" t="str">
        <f aca="false">IF(AK129=0,"",(MAX(0,BD129-BQ129)-MAX(0,BE129-BQ129))*HoursPerDay)</f>
        <v/>
      </c>
      <c r="Y129" s="17" t="str">
        <f aca="false">IF(AK129=0,"",IF(NOT(LH_Ready),"",IF($AI129="Yes",N(AE129)*HoursPerDay-SUMIFS(INDEX(LH_Data,0,LH_ColAcc),INDEX(LH_Data,0,LH_ColFirst),$A129,INDEX(LH_Data,0,LH_ColSur),$B129,INDEX(LH_Data,0,LH_ColCat),BonusCat,INDEX(LH_Data,0,LH_ColStart),"&gt;="&amp;(EOMONTH(AsOfDate,-1)+1),INDEX(LH_Data,0,LH_ColStart),"&lt;="&amp;AsOfDate)*UnitFactor,IF(BG129=0,N129,N129-N(T129)-N(U129)))))</f>
        <v/>
      </c>
      <c r="Z129" s="16" t="str">
        <f aca="false">IF(OR(AK129=0,Y129=""),"",IF(Y129&gt;0,"Yes","No"))</f>
        <v/>
      </c>
      <c r="AA129" s="16" t="str">
        <f aca="false">IF(AK129=0,IF(LEN($A129&amp;$B129)=0,"","FIX INPUT - StartDate missing"),IF(AD129&lt;&gt;"","FIX INPUT - "&amp;AD129,IF(NOT(LH_Ready),"Paste Leave History export (Settings must show YES)",IF(AND($AI129="Yes",Y129&lt;=0),"OK - EH balance accepted to date"&amp;IF(N(AH129)&gt;0," (EH holds "&amp;AH129&amp;" hrs over the scheme)","")&amp;"; next day "&amp;TEXT(S129,"dd mmm yy")&amp;IF(N(AE129)&gt;0," ("&amp;AE129&amp;" day(s) for "&amp;UPPER(TEXT(AsOfDate,"mmm yyyy"))&amp;" already in EH)",""),IF(Y129&gt;0,"ACCRUE "&amp;ROUND(Y129,2)&amp;" hrs ("&amp;ROUND(Y129/HoursPerDay,2)&amp;" days): "&amp;IF(N(AE129)&gt;0,AE129&amp;" day(s) for "&amp;UPPER(TEXT(AsOfDate,"mmm yyyy"))&amp;" (milestone "&amp;UPPER(TEXT(AF129,"dd mmm yy"))&amp;")"&amp;IF(Y129/HoursPerDay&gt;AE129+0.001," + "&amp;ROUND(Y129/HoursPerDay-AE129,2)&amp;" day(s) catch-up from earlier months",""),"all catch-up from earlier months, nothing new this month")&amp;IF(BG129=0,"; no Bonus Leave in EH yet",""),IF(Y129&lt;0,"CHECK - EH accrued "&amp;ROUND(-Y129,2)&amp;" hrs more than policy since commencement",IF(N(W129)&gt;O129*HoursPerDay+0.01,"CHECK - EH balance "&amp;ROUND(W129-O129*HoursPerDay,2)&amp;" hrs more than policy entitlement",IF(O129&gt;0,"OK - nothing to add"&amp;IF(N(AE129)&gt;0," ("&amp;AE129&amp;" day(s) for "&amp;UPPER(TEXT(AsOfDate,"mmm yyyy"))&amp;" already in EH)",""),IF(AW129="None",R129,"Not yet - first day on "&amp;TEXT(S129,"dd/mm/yyyy"))))))))))</f>
        <v/>
      </c>
      <c r="AB129" s="17" t="str">
        <f aca="false">IF(OR(AK129=0,T129=""),"",MAX(0,BE129-BQ129)*HoursPerDay-T129)</f>
        <v/>
      </c>
      <c r="AC129" s="16" t="str">
        <f aca="false">IF(AK129=0,"",BG129)</f>
        <v/>
      </c>
      <c r="AD129" s="16" t="str">
        <f aca="false">IF(AK129=0,"",TRIM(IF(OR(ISTEXT($F129),ISTEXT($H129),ISTEXT($I129),ISTEXT($G129),ISTEXT($J129),ISTEXT($D129)),"A date is typed as text - retype it as dd/mm/yyyy. ","")&amp;IF(IF($C129="","",IF(OR(ISNUMBER(SEARCH("full",$C129)),UPPER(TRIM($C129))="FT",UPPER(TRIM($C129))="FTE"),"Full-Time",IF(OR(ISNUMBER(SEARCH("part",$C129)),UPPER(TRIM($C129))="PT",UPPER(TRIM($C129))="PTE"),"Part-Time",IF(OR(ISNUMBER(SEARCH("cas",$C129)),UPPER(TRIM($C129))="CAS"),"Casual","Unknown"))))="Unknown","EmploymentType not recognised - use Full-Time, Part-Time or Casual. ","")&amp;IF(AND(AM129&gt;=1,IF(AM129&gt;=3,AS129,IF(AM129=2,AR129,AQ129))&lt;&gt;IF($C129="","",IF(OR(ISNUMBER(SEARCH("full",$C129)),UPPER(TRIM($C129))="FT",UPPER(TRIM($C129))="FTE"),"Full-Time",IF(OR(ISNUMBER(SEARCH("part",$C129)),UPPER(TRIM($C129))="PT",UPPER(TRIM($C129))="PTE"),"Part-Time",IF(OR(ISNUMBER(SEARCH("cas",$C129)),UPPER(TRIM($C129))="CAS"),"Casual","Unknown"))))),"EmploymentType does not match latest start date ("&amp;IF(AM129&gt;=3,AS129,IF(AM129=2,AR129,AQ129))&amp;"). ","")&amp;IF(AND(AM129&gt;=1,AN129&lt;&gt;$F129),"Earliest type date should equal StartDate. ","")&amp;IF(AND(AM129&gt;=2,AN129=AO129),"Two types start on the same date. ","")&amp;IF(AND(OR(ISNUMBER(SEARCH("part",$C129)),UPPER(TRIM($C129))="PT",UPPER(TRIM($C129))="PTE"),$P129=""),"Part-time: enter PT Hrs/Week (blank = 24+). ","")))</f>
        <v/>
      </c>
      <c r="AE129" s="17" t="str">
        <f aca="false">IF(AK129=0,"",O129-MAX(0,BL129-BQ129))</f>
        <v/>
      </c>
      <c r="AF129" s="14" t="str">
        <f aca="false">IF(OR(AK129=0,AE129="",N(AE129)=0,BM129=""),"",EDATE(AL129,BM129))</f>
        <v/>
      </c>
      <c r="AG129" s="17" t="str">
        <f aca="false">IF(AK129=0,"",MIN(BD129,BQ129))</f>
        <v/>
      </c>
      <c r="AH129" s="17" t="str">
        <f aca="false">IF(AK129=0,"",IF(NOT(LH_Ready),"",IF(BG129=0,0,MAX(0,ROUND(N(T129)+N(U129)-N129,2)))))</f>
        <v/>
      </c>
      <c r="AI129" s="12"/>
      <c r="AJ129" s="12"/>
      <c r="AK129" s="16" t="n">
        <f aca="false">IF(OR(LEN($A129&amp;$B129)=0,$F129=""),0,1)</f>
        <v>0</v>
      </c>
      <c r="AL129" s="14" t="str">
        <f aca="false">IF(AK129=0,"",IF(PreSchemeCounts="No",MAX(SchemeStart,IF($J129&lt;&gt;"",$J129,IF(OR(CasualCounts="Yes",COUNT($G129:$I129)=0),$F129,IF(Apply2026="No",IF($I129="",$F129,$I129),IF(COUNT($H129:$I129)=0,$F129,MIN($H129:$I129)))))),IF($J129&lt;&gt;"",$J129,IF(OR(CasualCounts="Yes",COUNT($G129:$I129)=0),$F129,IF(Apply2026="No",IF($I129="",$F129,$I129),IF(COUNT($H129:$I129)=0,$F129,MIN($H129:$I129)))))))</f>
        <v/>
      </c>
      <c r="AM129" s="16" t="str">
        <f aca="false">IF(AK129=0,"",COUNT($G129:$I129))</f>
        <v/>
      </c>
      <c r="AN129" s="14" t="str">
        <f aca="false">IF(AK129=0,"",IFERROR(SMALL($G129:$I129,1),""))</f>
        <v/>
      </c>
      <c r="AO129" s="14" t="str">
        <f aca="false">IF(AK129=0,"",IFERROR(SMALL($G129:$I129,2),""))</f>
        <v/>
      </c>
      <c r="AP129" s="14" t="str">
        <f aca="false">IF(AK129=0,"",IFERROR(SMALL($G129:$I129,3),""))</f>
        <v/>
      </c>
      <c r="AQ129" s="16" t="str">
        <f aca="false">IF(AK129=0,"",IF(AN129="","",IF(AN129=$H129,"Part-Time",IF(AN129=$I129,"Full-Time","Casual"))))</f>
        <v/>
      </c>
      <c r="AR129" s="16" t="str">
        <f aca="false">IF(AK129=0,"",IF(AO129="","",IF(AO129=$H129,"Part-Time",IF(AO129=$I129,"Full-Time","Casual"))))</f>
        <v/>
      </c>
      <c r="AS129" s="16" t="str">
        <f aca="false">IF(AK129=0,"",IF(AP129="","",IF(AP129=$H129,"Part-Time",IF(AP129=$I129,"Full-Time","Casual"))))</f>
        <v/>
      </c>
      <c r="AT129" s="16" t="str">
        <f aca="false">IF(AK129=0,"",IF(AM129=0,IF(OR(ISNUMBER(SEARCH("full",$C129)),UPPER(TRIM($C129))="FT",UPPER(TRIM($C129))="FTE"),"FT",IF(AND(OR(ISNUMBER(SEARCH("part",$C129)),UPPER(TRIM($C129))="PT",UPPER(TRIM($C129))="PTE"),Apply2026="Yes",OR($P129="",N($P129)&gt;=PT_MinHours)),"PT","None")),IF(OR(ISNUMBER(SEARCH("full",AQ129)),UPPER(TRIM(AQ129))="FT",UPPER(TRIM(AQ129))="FTE"),"FT",IF(AND(OR(ISNUMBER(SEARCH("part",AQ129)),UPPER(TRIM(AQ129))="PT",UPPER(TRIM(AQ129))="PTE"),Apply2026="Yes",OR($P129="",N($P129)&gt;=PT_MinHours)),"PT","None"))))</f>
        <v/>
      </c>
      <c r="AU129" s="16" t="str">
        <f aca="false">IF(AK129=0,"",IF(AM129&lt;2,"",IF(OR(ISNUMBER(SEARCH("full",AR129)),UPPER(TRIM(AR129))="FT",UPPER(TRIM(AR129))="FTE"),"FT",IF(AND(OR(ISNUMBER(SEARCH("part",AR129)),UPPER(TRIM(AR129))="PT",UPPER(TRIM(AR129))="PTE"),Apply2026="Yes",OR($P129="",N($P129)&gt;=PT_MinHours)),"PT","None"))))</f>
        <v/>
      </c>
      <c r="AV129" s="16" t="str">
        <f aca="false">IF(AK129=0,"",IF(AM129&lt;3,"",IF(OR(ISNUMBER(SEARCH("full",AS129)),UPPER(TRIM(AS129))="FT",UPPER(TRIM(AS129))="FTE"),"FT",IF(AND(OR(ISNUMBER(SEARCH("part",AS129)),UPPER(TRIM(AS129))="PT",UPPER(TRIM(AS129))="PTE"),Apply2026="Yes",OR($P129="",N($P129)&gt;=PT_MinHours)),"PT","None"))))</f>
        <v/>
      </c>
      <c r="AW129" s="16" t="str">
        <f aca="false">IF(AK129=0,"",IF(AND(AM129&gt;=3,AP129&lt;=AsOfDate),AV129,IF(AND(AM129&gt;=2,AO129&lt;=AsOfDate),AU129,AT129)))</f>
        <v/>
      </c>
      <c r="AX129" s="16" t="str">
        <f aca="false">IF(AK129=0,"",IF(AsOfDate&lt;AL129,-1,12*(YEAR(AsOfDate)-YEAR(AL129))+MONTH(AsOfDate)-MONTH(AL129)-IF(DAY(AsOfDate)&lt;MIN(DAY(AL129),DAY(EOMONTH(AsOfDate,0))),1,0)))</f>
        <v/>
      </c>
      <c r="AY129" s="16" t="str">
        <f aca="false">IF(AK129=0,"",IF(OR(AM129&lt;2,AO129&gt;AsOfDate),AX129,IF((AO129-1)&lt;AL129,-1,12*(YEAR((AO129-1))-YEAR(AL129))+MONTH((AO129-1))-MONTH(AL129)-IF(DAY((AO129-1))&lt;MIN(DAY(AL129),DAY(EOMONTH((AO129-1),0))),1,0))))</f>
        <v/>
      </c>
      <c r="AZ129" s="16" t="str">
        <f aca="false">IF(AK129=0,"",IF(OR(AM129&lt;3,AP129&gt;AsOfDate),AX129,IF((AP129-1)&lt;AL129,-1,12*(YEAR((AP129-1))-YEAR(AL129))+MONTH((AP129-1))-MONTH(AL129)-IF(DAY((AP129-1))&lt;MIN(DAY(AL129),DAY(EOMONTH((AP129-1),0))),1,0))))</f>
        <v/>
      </c>
      <c r="BA129" s="16" t="str">
        <f aca="false">IF(AK129=0,"",IF(PFYDate&lt;AL129,-1,12*(YEAR(PFYDate)-YEAR(AL129))+MONTH(PFYDate)-MONTH(AL129)-IF(DAY(PFYDate)&lt;MIN(DAY(AL129),DAY(EOMONTH(PFYDate,0))),1,0)))</f>
        <v/>
      </c>
      <c r="BB129" s="16" t="str">
        <f aca="false">IF(AK129=0,"",IF(OR(AM129&lt;2,AO129&gt;PFYDate),BA129,IF((AO129-1)&lt;AL129,-1,12*(YEAR((AO129-1))-YEAR(AL129))+MONTH((AO129-1))-MONTH(AL129)-IF(DAY((AO129-1))&lt;MIN(DAY(AL129),DAY(EOMONTH((AO129-1),0))),1,0))))</f>
        <v/>
      </c>
      <c r="BC129" s="16" t="str">
        <f aca="false">IF(AK129=0,"",IF(OR(AM129&lt;3,AP129&gt;PFYDate),BA129,IF((AP129-1)&lt;AL129,-1,12*(YEAR((AP129-1))-YEAR(AL129))+MONTH((AP129-1))-MONTH(AL129)-IF(DAY((AP129-1))&lt;MIN(DAY(AL129),DAY(EOMONTH((AP129-1),0))),1,0))))</f>
        <v/>
      </c>
      <c r="BD129" s="16" t="str">
        <f aca="false">IF(AK129=0,"",IF(AT129="FT",IF(AY129&lt;FT_First,0,IF(AY129&lt;FT_Y5,1+INT((AY129-FT_First)/FT_Int1),FT_PreY5+FT_PerYear*INT((AY129-FT_Y5)/12)+FT_AnnivDays+INT(MOD(AY129-FT_Y5,12)/FT_Int2)-IF(EDATE(AL129,FT_Y5)&lt;PolicyEff,FT_AnnivDays-1,0))),IF(AT129="PT",IF(AY129&lt;PT_First,0,1+INT((AY129-PT_First)/PT_Int)),0))+IF(AND(AM129&gt;=2,AO129&lt;=AsOfDate),IF(AU129="FT",IF(AZ129&lt;FT_First,0,IF(AZ129&lt;FT_Y5,1+INT((AZ129-FT_First)/FT_Int1),FT_PreY5+FT_PerYear*INT((AZ129-FT_Y5)/12)+FT_AnnivDays+INT(MOD(AZ129-FT_Y5,12)/FT_Int2)-IF(EDATE(AL129,FT_Y5)&lt;PolicyEff,FT_AnnivDays-1,0))),IF(AU129="PT",IF(AZ129&lt;PT_First,0,1+INT((AZ129-PT_First)/PT_Int)),0))-IF(AU129="FT",IF(AY129&lt;FT_First,0,IF(AY129&lt;FT_Y5,1+INT((AY129-FT_First)/FT_Int1),FT_PreY5+FT_PerYear*INT((AY129-FT_Y5)/12)+FT_AnnivDays+INT(MOD(AY129-FT_Y5,12)/FT_Int2)-IF(EDATE(AL129,FT_Y5)&lt;PolicyEff,FT_AnnivDays-1,0))),IF(AU129="PT",IF(AY129&lt;PT_First,0,1+INT((AY129-PT_First)/PT_Int)),0)),0)+IF(AND(AM129&gt;=3,AP129&lt;=AsOfDate),IF(AV129="FT",IF(AX129&lt;FT_First,0,IF(AX129&lt;FT_Y5,1+INT((AX129-FT_First)/FT_Int1),FT_PreY5+FT_PerYear*INT((AX129-FT_Y5)/12)+FT_AnnivDays+INT(MOD(AX129-FT_Y5,12)/FT_Int2)-IF(EDATE(AL129,FT_Y5)&lt;PolicyEff,FT_AnnivDays-1,0))),IF(AV129="PT",IF(AX129&lt;PT_First,0,1+INT((AX129-PT_First)/PT_Int)),0))-IF(AV129="FT",IF(AZ129&lt;FT_First,0,IF(AZ129&lt;FT_Y5,1+INT((AZ129-FT_First)/FT_Int1),FT_PreY5+FT_PerYear*INT((AZ129-FT_Y5)/12)+FT_AnnivDays+INT(MOD(AZ129-FT_Y5,12)/FT_Int2)-IF(EDATE(AL129,FT_Y5)&lt;PolicyEff,FT_AnnivDays-1,0))),IF(AV129="PT",IF(AZ129&lt;PT_First,0,1+INT((AZ129-PT_First)/PT_Int)),0)),0))</f>
        <v/>
      </c>
      <c r="BE129" s="16" t="str">
        <f aca="false">IF(AK129=0,"",IF(AT129="FT",IF(BB129&lt;FT_First,0,IF(BB129&lt;FT_Y5,1+INT((BB129-FT_First)/FT_Int1),FT_PreY5+FT_PerYear*INT((BB129-FT_Y5)/12)+FT_AnnivDays+INT(MOD(BB129-FT_Y5,12)/FT_Int2)-IF(EDATE(AL129,FT_Y5)&lt;PolicyEff,FT_AnnivDays-1,0))),IF(AT129="PT",IF(BB129&lt;PT_First,0,1+INT((BB129-PT_First)/PT_Int)),0))+IF(AND(AM129&gt;=2,AO129&lt;=PFYDate),IF(AU129="FT",IF(BC129&lt;FT_First,0,IF(BC129&lt;FT_Y5,1+INT((BC129-FT_First)/FT_Int1),FT_PreY5+FT_PerYear*INT((BC129-FT_Y5)/12)+FT_AnnivDays+INT(MOD(BC129-FT_Y5,12)/FT_Int2)-IF(EDATE(AL129,FT_Y5)&lt;PolicyEff,FT_AnnivDays-1,0))),IF(AU129="PT",IF(BC129&lt;PT_First,0,1+INT((BC129-PT_First)/PT_Int)),0))-IF(AU129="FT",IF(BB129&lt;FT_First,0,IF(BB129&lt;FT_Y5,1+INT((BB129-FT_First)/FT_Int1),FT_PreY5+FT_PerYear*INT((BB129-FT_Y5)/12)+FT_AnnivDays+INT(MOD(BB129-FT_Y5,12)/FT_Int2)-IF(EDATE(AL129,FT_Y5)&lt;PolicyEff,FT_AnnivDays-1,0))),IF(AU129="PT",IF(BB129&lt;PT_First,0,1+INT((BB129-PT_First)/PT_Int)),0)),0)+IF(AND(AM129&gt;=3,AP129&lt;=PFYDate),IF(AV129="FT",IF(BA129&lt;FT_First,0,IF(BA129&lt;FT_Y5,1+INT((BA129-FT_First)/FT_Int1),FT_PreY5+FT_PerYear*INT((BA129-FT_Y5)/12)+FT_AnnivDays+INT(MOD(BA129-FT_Y5,12)/FT_Int2)-IF(EDATE(AL129,FT_Y5)&lt;PolicyEff,FT_AnnivDays-1,0))),IF(AV129="PT",IF(BA129&lt;PT_First,0,1+INT((BA129-PT_First)/PT_Int)),0))-IF(AV129="FT",IF(BC129&lt;FT_First,0,IF(BC129&lt;FT_Y5,1+INT((BC129-FT_First)/FT_Int1),FT_PreY5+FT_PerYear*INT((BC129-FT_Y5)/12)+FT_AnnivDays+INT(MOD(BC129-FT_Y5,12)/FT_Int2)-IF(EDATE(AL129,FT_Y5)&lt;PolicyEff,FT_AnnivDays-1,0))),IF(AV129="PT",IF(BC129&lt;PT_First,0,1+INT((BC129-PT_First)/PT_Int)),0)),0))</f>
        <v/>
      </c>
      <c r="BF129" s="16" t="str">
        <f aca="false">IF(AK129=0,"",IF(AW129="FT",IF(AX129&lt;FT_First,FT_First,IF(AX129&lt;FT_Y5,MIN(FT_Y5,FT_First+FT_Int1*(INT((AX129-FT_First)/FT_Int1)+1)),FT_Y5+12*INT((AX129-FT_Y5)/12)+FT_Int2*(INT(MOD(AX129-FT_Y5,12)/FT_Int2)+1))),IF(AW129="PT",IF(AX129&lt;PT_First,PT_First,PT_First+PT_Int*(INT((AX129-PT_First)/PT_Int)+1)),"")))</f>
        <v/>
      </c>
      <c r="BG129" s="16" t="str">
        <f aca="false">IF(AK129=0,"",IF(NOT(LH_Ready),0,COUNTIFS(INDEX(LH_Data,0,LH_ColFirst),$A129,INDEX(LH_Data,0,LH_ColSur),$B129,INDEX(LH_Data,0,LH_ColCat),BonusCat)))</f>
        <v/>
      </c>
      <c r="BH129" s="16" t="str">
        <f aca="false">IF(AK129=0,"",IF(OR(NOT(LH_Ready),BG129=0),0,SUMPRODUCT(MAX((INDEX(LH_Data,0,LH_ColFirst)=$A129)*(INDEX(LH_Data,0,LH_ColSur)=$B129)*(INDEX(LH_Data,0,LH_ColCat)=BonusCat)*ROW(LH_Data)))))</f>
        <v/>
      </c>
      <c r="BI129" s="16" t="str">
        <f aca="false">IF(AK129=0,"",IF(EOMONTH(AsOfDate,-1)&lt;AL129,-1,12*(YEAR(EOMONTH(AsOfDate,-1))-YEAR(AL129))+MONTH(EOMONTH(AsOfDate,-1))-MONTH(AL129)-IF(DAY(EOMONTH(AsOfDate,-1))&lt;MIN(DAY(AL129),DAY(EOMONTH(EOMONTH(AsOfDate,-1),0))),1,0)))</f>
        <v/>
      </c>
      <c r="BJ129" s="16" t="str">
        <f aca="false">IF(AK129=0,"",IF(OR(AM129&lt;2,AO129&gt;EOMONTH(AsOfDate,-1)),BI129,IF((AO129-1)&lt;AL129,-1,12*(YEAR((AO129-1))-YEAR(AL129))+MONTH((AO129-1))-MONTH(AL129)-IF(DAY((AO129-1))&lt;MIN(DAY(AL129),DAY(EOMONTH((AO129-1),0))),1,0))))</f>
        <v/>
      </c>
      <c r="BK129" s="16" t="str">
        <f aca="false">IF(AK129=0,"",IF(OR(AM129&lt;3,AP129&gt;EOMONTH(AsOfDate,-1)),BI129,IF((AP129-1)&lt;AL129,-1,12*(YEAR((AP129-1))-YEAR(AL129))+MONTH((AP129-1))-MONTH(AL129)-IF(DAY((AP129-1))&lt;MIN(DAY(AL129),DAY(EOMONTH((AP129-1),0))),1,0))))</f>
        <v/>
      </c>
      <c r="BL129" s="16" t="str">
        <f aca="false">IF(AK129=0,"",IF(AT129="FT",IF(BJ129&lt;FT_First,0,IF(BJ129&lt;FT_Y5,1+INT((BJ129-FT_First)/FT_Int1),FT_PreY5+FT_PerYear*INT((BJ129-FT_Y5)/12)+FT_AnnivDays+INT(MOD(BJ129-FT_Y5,12)/FT_Int2)-IF(EDATE(AL129,FT_Y5)&lt;PolicyEff,FT_AnnivDays-1,0))),IF(AT129="PT",IF(BJ129&lt;PT_First,0,1+INT((BJ129-PT_First)/PT_Int)),0))+IF(AND(AM129&gt;=2,AO129&lt;=EOMONTH(AsOfDate,-1)),IF(AU129="FT",IF(BK129&lt;FT_First,0,IF(BK129&lt;FT_Y5,1+INT((BK129-FT_First)/FT_Int1),FT_PreY5+FT_PerYear*INT((BK129-FT_Y5)/12)+FT_AnnivDays+INT(MOD(BK129-FT_Y5,12)/FT_Int2)-IF(EDATE(AL129,FT_Y5)&lt;PolicyEff,FT_AnnivDays-1,0))),IF(AU129="PT",IF(BK129&lt;PT_First,0,1+INT((BK129-PT_First)/PT_Int)),0))-IF(AU129="FT",IF(BJ129&lt;FT_First,0,IF(BJ129&lt;FT_Y5,1+INT((BJ129-FT_First)/FT_Int1),FT_PreY5+FT_PerYear*INT((BJ129-FT_Y5)/12)+FT_AnnivDays+INT(MOD(BJ129-FT_Y5,12)/FT_Int2)-IF(EDATE(AL129,FT_Y5)&lt;PolicyEff,FT_AnnivDays-1,0))),IF(AU129="PT",IF(BJ129&lt;PT_First,0,1+INT((BJ129-PT_First)/PT_Int)),0)),0)+IF(AND(AM129&gt;=3,AP129&lt;=EOMONTH(AsOfDate,-1)),IF(AV129="FT",IF(BI129&lt;FT_First,0,IF(BI129&lt;FT_Y5,1+INT((BI129-FT_First)/FT_Int1),FT_PreY5+FT_PerYear*INT((BI129-FT_Y5)/12)+FT_AnnivDays+INT(MOD(BI129-FT_Y5,12)/FT_Int2)-IF(EDATE(AL129,FT_Y5)&lt;PolicyEff,FT_AnnivDays-1,0))),IF(AV129="PT",IF(BI129&lt;PT_First,0,1+INT((BI129-PT_First)/PT_Int)),0))-IF(AV129="FT",IF(BK129&lt;FT_First,0,IF(BK129&lt;FT_Y5,1+INT((BK129-FT_First)/FT_Int1),FT_PreY5+FT_PerYear*INT((BK129-FT_Y5)/12)+FT_AnnivDays+INT(MOD(BK129-FT_Y5,12)/FT_Int2)-IF(EDATE(AL129,FT_Y5)&lt;PolicyEff,FT_AnnivDays-1,0))),IF(AV129="PT",IF(BK129&lt;PT_First,0,1+INT((BK129-PT_First)/PT_Int)),0)),0))</f>
        <v/>
      </c>
      <c r="BM129" s="16" t="str">
        <f aca="false">IF(AK129=0,"",IF(AW129="FT",IF(AX129&lt;FT_First,"",IF(AX129&lt;FT_Y5,FT_First+FT_Int1*INT((AX129-FT_First)/FT_Int1),FT_Y5+FT_Int2*INT((AX129-FT_Y5)/FT_Int2))),IF(AW129="PT",IF(AX129&lt;PT_First,"",PT_First+PT_Int*INT((AX129-PT_First)/PT_Int)),"")))</f>
        <v/>
      </c>
      <c r="BN129" s="16" t="str">
        <f aca="false">IF(AK129=0,"",IF((SchemeStart-1)&lt;AL129,-1,12*(YEAR((SchemeStart-1))-YEAR(AL129))+MONTH((SchemeStart-1))-MONTH(AL129)-IF(DAY((SchemeStart-1))&lt;MIN(DAY(AL129),DAY(EOMONTH((SchemeStart-1),0))),1,0)))</f>
        <v/>
      </c>
      <c r="BO129" s="16" t="str">
        <f aca="false">IF(AK129=0,"",IF(OR(AM129&lt;2,AO129&gt;(SchemeStart-1)),BN129,IF((AO129-1)&lt;AL129,-1,12*(YEAR((AO129-1))-YEAR(AL129))+MONTH((AO129-1))-MONTH(AL129)-IF(DAY((AO129-1))&lt;MIN(DAY(AL129),DAY(EOMONTH((AO129-1),0))),1,0))))</f>
        <v/>
      </c>
      <c r="BP129" s="16" t="str">
        <f aca="false">IF(AK129=0,"",IF(OR(AM129&lt;3,AP129&gt;(SchemeStart-1)),BN129,IF((AP129-1)&lt;AL129,-1,12*(YEAR((AP129-1))-YEAR(AL129))+MONTH((AP129-1))-MONTH(AL129)-IF(DAY((AP129-1))&lt;MIN(DAY(AL129),DAY(EOMONTH((AP129-1),0))),1,0))))</f>
        <v/>
      </c>
      <c r="BQ129" s="16" t="str">
        <f aca="false">IF(AK129=0,"",IF(AT129="FT",IF(BO129&lt;FT_First,0,IF(BO129&lt;FT_Y5,1+INT((BO129-FT_First)/FT_Int1),FT_PreY5+FT_PerYear*INT((BO129-FT_Y5)/12)+FT_AnnivDays+INT(MOD(BO129-FT_Y5,12)/FT_Int2)-IF(EDATE(AL129,FT_Y5)&lt;PolicyEff,FT_AnnivDays-1,0))),IF(AT129="PT",IF(BO129&lt;PT_First,0,1+INT((BO129-PT_First)/PT_Int)),0))+IF(AND(AM129&gt;=2,AO129&lt;=(SchemeStart-1)),IF(AU129="FT",IF(BP129&lt;FT_First,0,IF(BP129&lt;FT_Y5,1+INT((BP129-FT_First)/FT_Int1),FT_PreY5+FT_PerYear*INT((BP129-FT_Y5)/12)+FT_AnnivDays+INT(MOD(BP129-FT_Y5,12)/FT_Int2)-IF(EDATE(AL129,FT_Y5)&lt;PolicyEff,FT_AnnivDays-1,0))),IF(AU129="PT",IF(BP129&lt;PT_First,0,1+INT((BP129-PT_First)/PT_Int)),0))-IF(AU129="FT",IF(BO129&lt;FT_First,0,IF(BO129&lt;FT_Y5,1+INT((BO129-FT_First)/FT_Int1),FT_PreY5+FT_PerYear*INT((BO129-FT_Y5)/12)+FT_AnnivDays+INT(MOD(BO129-FT_Y5,12)/FT_Int2)-IF(EDATE(AL129,FT_Y5)&lt;PolicyEff,FT_AnnivDays-1,0))),IF(AU129="PT",IF(BO129&lt;PT_First,0,1+INT((BO129-PT_First)/PT_Int)),0)),0)+IF(AND(AM129&gt;=3,AP129&lt;=(SchemeStart-1)),IF(AV129="FT",IF(BN129&lt;FT_First,0,IF(BN129&lt;FT_Y5,1+INT((BN129-FT_First)/FT_Int1),FT_PreY5+FT_PerYear*INT((BN129-FT_Y5)/12)+FT_AnnivDays+INT(MOD(BN129-FT_Y5,12)/FT_Int2)-IF(EDATE(AL129,FT_Y5)&lt;PolicyEff,FT_AnnivDays-1,0))),IF(AV129="PT",IF(BN129&lt;PT_First,0,1+INT((BN129-PT_First)/PT_Int)),0))-IF(AV129="FT",IF(BP129&lt;FT_First,0,IF(BP129&lt;FT_Y5,1+INT((BP129-FT_First)/FT_Int1),FT_PreY5+FT_PerYear*INT((BP129-FT_Y5)/12)+FT_AnnivDays+INT(MOD(BP129-FT_Y5,12)/FT_Int2)-IF(EDATE(AL129,FT_Y5)&lt;PolicyEff,FT_AnnivDays-1,0))),IF(AV129="PT",IF(BP129&lt;PT_First,0,1+INT((BP129-PT_First)/PT_Int)),0)),0))</f>
        <v/>
      </c>
      <c r="BR129" s="0" t="str">
        <f aca="false">IF(LEN($A129&amp;$B129)=0,"",$A129&amp;" "&amp;$B129)</f>
        <v/>
      </c>
    </row>
    <row r="130" customFormat="false" ht="15" hidden="false" customHeight="false" outlineLevel="0" collapsed="false">
      <c r="A130" s="12"/>
      <c r="B130" s="12"/>
      <c r="C130" s="12"/>
      <c r="D130" s="13"/>
      <c r="E130" s="14" t="str">
        <f aca="false">IF(OR(AK130=0,$D130=""),"",DATE(YEAR(AsOfDate)+IF(DATE(YEAR(AsOfDate),MONTH($D130),DAY($D130))&lt;=AsOfDate,1,0),MONTH($D130),DAY($D130)))</f>
        <v/>
      </c>
      <c r="F130" s="13"/>
      <c r="G130" s="13"/>
      <c r="H130" s="13"/>
      <c r="I130" s="13"/>
      <c r="J130" s="13"/>
      <c r="K130" s="14" t="str">
        <f aca="false">IF(AK130=0,"",DATE(YEAR(AsOfDate)+IF(DATE(YEAR(AsOfDate),MONTH(AL130),DAY(AL130))&lt;=AsOfDate,1,0),MONTH(AL130),DAY(AL130)))</f>
        <v/>
      </c>
      <c r="L130" s="15" t="str">
        <f aca="false">IF(AK130=0,"",ROUND((AsOfDate-AL130)/365.25,1))</f>
        <v/>
      </c>
      <c r="M130" s="16" t="str">
        <f aca="false">IF(AK130=0,"",IF(AsOfDate&lt;AL130,"-",DATEDIF(AL130,AsOfDate,"y")&amp;"y "&amp;DATEDIF(AL130,AsOfDate,"ym")&amp;"m "&amp;DATEDIF(AL130,AsOfDate,"md")&amp;"d"))</f>
        <v/>
      </c>
      <c r="N130" s="17" t="str">
        <f aca="false">IF(AK130=0,"",O130*HoursPerDay)</f>
        <v/>
      </c>
      <c r="O130" s="17" t="str">
        <f aca="false">IF(AK130=0,"",MAX(0,BD130-BQ130))</f>
        <v/>
      </c>
      <c r="P130" s="18"/>
      <c r="Q130" s="16" t="str">
        <f aca="false">IF(AK130=0,"",IF(AM130&lt;2,"",AQ130&amp;" to "&amp;AR130&amp;" on "&amp;TEXT(AO130,"dd/mm/yyyy")&amp;IF(AO130&gt;AsOfDate," (future)",IF(AT130=AU130,"",IF(AU130="None"," - STOPPED accruing",IF(AT130="None"," - commencement for Bonus Leave"," - pathway changed"))))&amp;IF(AM130&lt;3,"","; "&amp;AR130&amp;" to "&amp;AS130&amp;" on "&amp;TEXT(AP130,"dd/mm/yyyy")&amp;IF(AP130&gt;AsOfDate," (future)",IF(AU130=AV130,"",IF(AV130="None"," - STOPPED accruing",IF(AU130="None"," - commencement for Bonus Leave"," - pathway changed")))))))</f>
        <v/>
      </c>
      <c r="R130" s="16" t="str">
        <f aca="false">IF(AK130=0,"",IF(AW130="None",IF(O130&gt;0,"No longer accruing","Not eligible - "&amp;IF(AND(OR(ISNUMBER(SEARCH("part",$C130)),UPPER(TRIM($C130))="PT",UPPER(TRIM($C130))="PTE"),Apply2026="No"),"part-time (scheme is full-time only)",IF(AND(OR(ISNUMBER(SEARCH("part",$C130)),UPPER(TRIM($C130))="PT",UPPER(TRIM($C130))="PTE"),$P130&lt;&gt;"",N($P130)&lt;PT_MinHours),"under "&amp;PT_MinHours&amp;" hrs",IF(IF($C130="","",IF(OR(ISNUMBER(SEARCH("full",$C130)),UPPER(TRIM($C130))="FT",UPPER(TRIM($C130))="FTE"),"Full-Time",IF(OR(ISNUMBER(SEARCH("part",$C130)),UPPER(TRIM($C130))="PT",UPPER(TRIM($C130))="PTE"),"Part-Time",IF(OR(ISNUMBER(SEARCH("cas",$C130)),UPPER(TRIM($C130))="CAS"),"Casual","Unknown"))))="Unknown","type not recognised",$C130)))),IF(O130&gt;0,"Yes - Accrual Required","Not yet - from "&amp;TEXT(S130,"dd/mm/yyyy"))))</f>
        <v/>
      </c>
      <c r="S130" s="14" t="str">
        <f aca="false">IF(AK130=0,"",IF(AW130="None","",EDATE(AL130,BF130)))</f>
        <v/>
      </c>
      <c r="T130" s="17" t="str">
        <f aca="false">IF(AK130=0,"",IF(NOT(LH_Ready),"",IF($F130&gt;PFYDate,0,IF(LH_ColPeriod=0,W130-U130+V130,SUMIFS(INDEX(LH_Data,0,LH_ColAcc),INDEX(LH_Data,0,LH_ColFirst),$A130,INDEX(LH_Data,0,LH_ColSur),$B130,INDEX(LH_Data,0,LH_ColCat),BonusCat,INDEX(LH_Data,0,LH_ColPeriod),LH_OpenLabel)*UnitFactor))))</f>
        <v/>
      </c>
      <c r="U130" s="17" t="str">
        <f aca="false">IF(AK130=0,"",IF(NOT(LH_Ready),"",SUMIFS(INDEX(LH_Data,0,LH_ColAcc),INDEX(LH_Data,0,LH_ColFirst),$A130,INDEX(LH_Data,0,LH_ColSur),$B130,INDEX(LH_Data,0,LH_ColCat),BonusCat,INDEX(LH_Data,0,LH_ColStart),"&gt;="&amp;AL130)*UnitFactor))</f>
        <v/>
      </c>
      <c r="V130" s="17" t="str">
        <f aca="false">IF(AK130=0,"",IF(NOT(LH_Ready),"",SUMIFS(INDEX(LH_Data,0,LH_ColTaken),INDEX(LH_Data,0,LH_ColFirst),$A130,INDEX(LH_Data,0,LH_ColSur),$B130,INDEX(LH_Data,0,LH_ColCat),BonusCat,INDEX(LH_Data,0,LH_ColStart),"&gt;="&amp;AL130)*UnitFactor))</f>
        <v/>
      </c>
      <c r="W130" s="17" t="str">
        <f aca="false">IF(AK130=0,"",IF(NOT(LH_Ready),"",IF(BH130=0,0,INDEX(INDEX(LH_Data,0,LH_ColClose),BH130-1)*UnitFactor)))</f>
        <v/>
      </c>
      <c r="X130" s="17" t="str">
        <f aca="false">IF(AK130=0,"",(MAX(0,BD130-BQ130)-MAX(0,BE130-BQ130))*HoursPerDay)</f>
        <v/>
      </c>
      <c r="Y130" s="17" t="str">
        <f aca="false">IF(AK130=0,"",IF(NOT(LH_Ready),"",IF($AI130="Yes",N(AE130)*HoursPerDay-SUMIFS(INDEX(LH_Data,0,LH_ColAcc),INDEX(LH_Data,0,LH_ColFirst),$A130,INDEX(LH_Data,0,LH_ColSur),$B130,INDEX(LH_Data,0,LH_ColCat),BonusCat,INDEX(LH_Data,0,LH_ColStart),"&gt;="&amp;(EOMONTH(AsOfDate,-1)+1),INDEX(LH_Data,0,LH_ColStart),"&lt;="&amp;AsOfDate)*UnitFactor,IF(BG130=0,N130,N130-N(T130)-N(U130)))))</f>
        <v/>
      </c>
      <c r="Z130" s="16" t="str">
        <f aca="false">IF(OR(AK130=0,Y130=""),"",IF(Y130&gt;0,"Yes","No"))</f>
        <v/>
      </c>
      <c r="AA130" s="16" t="str">
        <f aca="false">IF(AK130=0,IF(LEN($A130&amp;$B130)=0,"","FIX INPUT - StartDate missing"),IF(AD130&lt;&gt;"","FIX INPUT - "&amp;AD130,IF(NOT(LH_Ready),"Paste Leave History export (Settings must show YES)",IF(AND($AI130="Yes",Y130&lt;=0),"OK - EH balance accepted to date"&amp;IF(N(AH130)&gt;0," (EH holds "&amp;AH130&amp;" hrs over the scheme)","")&amp;"; next day "&amp;TEXT(S130,"dd mmm yy")&amp;IF(N(AE130)&gt;0," ("&amp;AE130&amp;" day(s) for "&amp;UPPER(TEXT(AsOfDate,"mmm yyyy"))&amp;" already in EH)",""),IF(Y130&gt;0,"ACCRUE "&amp;ROUND(Y130,2)&amp;" hrs ("&amp;ROUND(Y130/HoursPerDay,2)&amp;" days): "&amp;IF(N(AE130)&gt;0,AE130&amp;" day(s) for "&amp;UPPER(TEXT(AsOfDate,"mmm yyyy"))&amp;" (milestone "&amp;UPPER(TEXT(AF130,"dd mmm yy"))&amp;")"&amp;IF(Y130/HoursPerDay&gt;AE130+0.001," + "&amp;ROUND(Y130/HoursPerDay-AE130,2)&amp;" day(s) catch-up from earlier months",""),"all catch-up from earlier months, nothing new this month")&amp;IF(BG130=0,"; no Bonus Leave in EH yet",""),IF(Y130&lt;0,"CHECK - EH accrued "&amp;ROUND(-Y130,2)&amp;" hrs more than policy since commencement",IF(N(W130)&gt;O130*HoursPerDay+0.01,"CHECK - EH balance "&amp;ROUND(W130-O130*HoursPerDay,2)&amp;" hrs more than policy entitlement",IF(O130&gt;0,"OK - nothing to add"&amp;IF(N(AE130)&gt;0," ("&amp;AE130&amp;" day(s) for "&amp;UPPER(TEXT(AsOfDate,"mmm yyyy"))&amp;" already in EH)",""),IF(AW130="None",R130,"Not yet - first day on "&amp;TEXT(S130,"dd/mm/yyyy"))))))))))</f>
        <v/>
      </c>
      <c r="AB130" s="17" t="str">
        <f aca="false">IF(OR(AK130=0,T130=""),"",MAX(0,BE130-BQ130)*HoursPerDay-T130)</f>
        <v/>
      </c>
      <c r="AC130" s="16" t="str">
        <f aca="false">IF(AK130=0,"",BG130)</f>
        <v/>
      </c>
      <c r="AD130" s="16" t="str">
        <f aca="false">IF(AK130=0,"",TRIM(IF(OR(ISTEXT($F130),ISTEXT($H130),ISTEXT($I130),ISTEXT($G130),ISTEXT($J130),ISTEXT($D130)),"A date is typed as text - retype it as dd/mm/yyyy. ","")&amp;IF(IF($C130="","",IF(OR(ISNUMBER(SEARCH("full",$C130)),UPPER(TRIM($C130))="FT",UPPER(TRIM($C130))="FTE"),"Full-Time",IF(OR(ISNUMBER(SEARCH("part",$C130)),UPPER(TRIM($C130))="PT",UPPER(TRIM($C130))="PTE"),"Part-Time",IF(OR(ISNUMBER(SEARCH("cas",$C130)),UPPER(TRIM($C130))="CAS"),"Casual","Unknown"))))="Unknown","EmploymentType not recognised - use Full-Time, Part-Time or Casual. ","")&amp;IF(AND(AM130&gt;=1,IF(AM130&gt;=3,AS130,IF(AM130=2,AR130,AQ130))&lt;&gt;IF($C130="","",IF(OR(ISNUMBER(SEARCH("full",$C130)),UPPER(TRIM($C130))="FT",UPPER(TRIM($C130))="FTE"),"Full-Time",IF(OR(ISNUMBER(SEARCH("part",$C130)),UPPER(TRIM($C130))="PT",UPPER(TRIM($C130))="PTE"),"Part-Time",IF(OR(ISNUMBER(SEARCH("cas",$C130)),UPPER(TRIM($C130))="CAS"),"Casual","Unknown"))))),"EmploymentType does not match latest start date ("&amp;IF(AM130&gt;=3,AS130,IF(AM130=2,AR130,AQ130))&amp;"). ","")&amp;IF(AND(AM130&gt;=1,AN130&lt;&gt;$F130),"Earliest type date should equal StartDate. ","")&amp;IF(AND(AM130&gt;=2,AN130=AO130),"Two types start on the same date. ","")&amp;IF(AND(OR(ISNUMBER(SEARCH("part",$C130)),UPPER(TRIM($C130))="PT",UPPER(TRIM($C130))="PTE"),$P130=""),"Part-time: enter PT Hrs/Week (blank = 24+). ","")))</f>
        <v/>
      </c>
      <c r="AE130" s="17" t="str">
        <f aca="false">IF(AK130=0,"",O130-MAX(0,BL130-BQ130))</f>
        <v/>
      </c>
      <c r="AF130" s="14" t="str">
        <f aca="false">IF(OR(AK130=0,AE130="",N(AE130)=0,BM130=""),"",EDATE(AL130,BM130))</f>
        <v/>
      </c>
      <c r="AG130" s="17" t="str">
        <f aca="false">IF(AK130=0,"",MIN(BD130,BQ130))</f>
        <v/>
      </c>
      <c r="AH130" s="17" t="str">
        <f aca="false">IF(AK130=0,"",IF(NOT(LH_Ready),"",IF(BG130=0,0,MAX(0,ROUND(N(T130)+N(U130)-N130,2)))))</f>
        <v/>
      </c>
      <c r="AI130" s="12"/>
      <c r="AJ130" s="12"/>
      <c r="AK130" s="16" t="n">
        <f aca="false">IF(OR(LEN($A130&amp;$B130)=0,$F130=""),0,1)</f>
        <v>0</v>
      </c>
      <c r="AL130" s="14" t="str">
        <f aca="false">IF(AK130=0,"",IF(PreSchemeCounts="No",MAX(SchemeStart,IF($J130&lt;&gt;"",$J130,IF(OR(CasualCounts="Yes",COUNT($G130:$I130)=0),$F130,IF(Apply2026="No",IF($I130="",$F130,$I130),IF(COUNT($H130:$I130)=0,$F130,MIN($H130:$I130)))))),IF($J130&lt;&gt;"",$J130,IF(OR(CasualCounts="Yes",COUNT($G130:$I130)=0),$F130,IF(Apply2026="No",IF($I130="",$F130,$I130),IF(COUNT($H130:$I130)=0,$F130,MIN($H130:$I130)))))))</f>
        <v/>
      </c>
      <c r="AM130" s="16" t="str">
        <f aca="false">IF(AK130=0,"",COUNT($G130:$I130))</f>
        <v/>
      </c>
      <c r="AN130" s="14" t="str">
        <f aca="false">IF(AK130=0,"",IFERROR(SMALL($G130:$I130,1),""))</f>
        <v/>
      </c>
      <c r="AO130" s="14" t="str">
        <f aca="false">IF(AK130=0,"",IFERROR(SMALL($G130:$I130,2),""))</f>
        <v/>
      </c>
      <c r="AP130" s="14" t="str">
        <f aca="false">IF(AK130=0,"",IFERROR(SMALL($G130:$I130,3),""))</f>
        <v/>
      </c>
      <c r="AQ130" s="16" t="str">
        <f aca="false">IF(AK130=0,"",IF(AN130="","",IF(AN130=$H130,"Part-Time",IF(AN130=$I130,"Full-Time","Casual"))))</f>
        <v/>
      </c>
      <c r="AR130" s="16" t="str">
        <f aca="false">IF(AK130=0,"",IF(AO130="","",IF(AO130=$H130,"Part-Time",IF(AO130=$I130,"Full-Time","Casual"))))</f>
        <v/>
      </c>
      <c r="AS130" s="16" t="str">
        <f aca="false">IF(AK130=0,"",IF(AP130="","",IF(AP130=$H130,"Part-Time",IF(AP130=$I130,"Full-Time","Casual"))))</f>
        <v/>
      </c>
      <c r="AT130" s="16" t="str">
        <f aca="false">IF(AK130=0,"",IF(AM130=0,IF(OR(ISNUMBER(SEARCH("full",$C130)),UPPER(TRIM($C130))="FT",UPPER(TRIM($C130))="FTE"),"FT",IF(AND(OR(ISNUMBER(SEARCH("part",$C130)),UPPER(TRIM($C130))="PT",UPPER(TRIM($C130))="PTE"),Apply2026="Yes",OR($P130="",N($P130)&gt;=PT_MinHours)),"PT","None")),IF(OR(ISNUMBER(SEARCH("full",AQ130)),UPPER(TRIM(AQ130))="FT",UPPER(TRIM(AQ130))="FTE"),"FT",IF(AND(OR(ISNUMBER(SEARCH("part",AQ130)),UPPER(TRIM(AQ130))="PT",UPPER(TRIM(AQ130))="PTE"),Apply2026="Yes",OR($P130="",N($P130)&gt;=PT_MinHours)),"PT","None"))))</f>
        <v/>
      </c>
      <c r="AU130" s="16" t="str">
        <f aca="false">IF(AK130=0,"",IF(AM130&lt;2,"",IF(OR(ISNUMBER(SEARCH("full",AR130)),UPPER(TRIM(AR130))="FT",UPPER(TRIM(AR130))="FTE"),"FT",IF(AND(OR(ISNUMBER(SEARCH("part",AR130)),UPPER(TRIM(AR130))="PT",UPPER(TRIM(AR130))="PTE"),Apply2026="Yes",OR($P130="",N($P130)&gt;=PT_MinHours)),"PT","None"))))</f>
        <v/>
      </c>
      <c r="AV130" s="16" t="str">
        <f aca="false">IF(AK130=0,"",IF(AM130&lt;3,"",IF(OR(ISNUMBER(SEARCH("full",AS130)),UPPER(TRIM(AS130))="FT",UPPER(TRIM(AS130))="FTE"),"FT",IF(AND(OR(ISNUMBER(SEARCH("part",AS130)),UPPER(TRIM(AS130))="PT",UPPER(TRIM(AS130))="PTE"),Apply2026="Yes",OR($P130="",N($P130)&gt;=PT_MinHours)),"PT","None"))))</f>
        <v/>
      </c>
      <c r="AW130" s="16" t="str">
        <f aca="false">IF(AK130=0,"",IF(AND(AM130&gt;=3,AP130&lt;=AsOfDate),AV130,IF(AND(AM130&gt;=2,AO130&lt;=AsOfDate),AU130,AT130)))</f>
        <v/>
      </c>
      <c r="AX130" s="16" t="str">
        <f aca="false">IF(AK130=0,"",IF(AsOfDate&lt;AL130,-1,12*(YEAR(AsOfDate)-YEAR(AL130))+MONTH(AsOfDate)-MONTH(AL130)-IF(DAY(AsOfDate)&lt;MIN(DAY(AL130),DAY(EOMONTH(AsOfDate,0))),1,0)))</f>
        <v/>
      </c>
      <c r="AY130" s="16" t="str">
        <f aca="false">IF(AK130=0,"",IF(OR(AM130&lt;2,AO130&gt;AsOfDate),AX130,IF((AO130-1)&lt;AL130,-1,12*(YEAR((AO130-1))-YEAR(AL130))+MONTH((AO130-1))-MONTH(AL130)-IF(DAY((AO130-1))&lt;MIN(DAY(AL130),DAY(EOMONTH((AO130-1),0))),1,0))))</f>
        <v/>
      </c>
      <c r="AZ130" s="16" t="str">
        <f aca="false">IF(AK130=0,"",IF(OR(AM130&lt;3,AP130&gt;AsOfDate),AX130,IF((AP130-1)&lt;AL130,-1,12*(YEAR((AP130-1))-YEAR(AL130))+MONTH((AP130-1))-MONTH(AL130)-IF(DAY((AP130-1))&lt;MIN(DAY(AL130),DAY(EOMONTH((AP130-1),0))),1,0))))</f>
        <v/>
      </c>
      <c r="BA130" s="16" t="str">
        <f aca="false">IF(AK130=0,"",IF(PFYDate&lt;AL130,-1,12*(YEAR(PFYDate)-YEAR(AL130))+MONTH(PFYDate)-MONTH(AL130)-IF(DAY(PFYDate)&lt;MIN(DAY(AL130),DAY(EOMONTH(PFYDate,0))),1,0)))</f>
        <v/>
      </c>
      <c r="BB130" s="16" t="str">
        <f aca="false">IF(AK130=0,"",IF(OR(AM130&lt;2,AO130&gt;PFYDate),BA130,IF((AO130-1)&lt;AL130,-1,12*(YEAR((AO130-1))-YEAR(AL130))+MONTH((AO130-1))-MONTH(AL130)-IF(DAY((AO130-1))&lt;MIN(DAY(AL130),DAY(EOMONTH((AO130-1),0))),1,0))))</f>
        <v/>
      </c>
      <c r="BC130" s="16" t="str">
        <f aca="false">IF(AK130=0,"",IF(OR(AM130&lt;3,AP130&gt;PFYDate),BA130,IF((AP130-1)&lt;AL130,-1,12*(YEAR((AP130-1))-YEAR(AL130))+MONTH((AP130-1))-MONTH(AL130)-IF(DAY((AP130-1))&lt;MIN(DAY(AL130),DAY(EOMONTH((AP130-1),0))),1,0))))</f>
        <v/>
      </c>
      <c r="BD130" s="16" t="str">
        <f aca="false">IF(AK130=0,"",IF(AT130="FT",IF(AY130&lt;FT_First,0,IF(AY130&lt;FT_Y5,1+INT((AY130-FT_First)/FT_Int1),FT_PreY5+FT_PerYear*INT((AY130-FT_Y5)/12)+FT_AnnivDays+INT(MOD(AY130-FT_Y5,12)/FT_Int2)-IF(EDATE(AL130,FT_Y5)&lt;PolicyEff,FT_AnnivDays-1,0))),IF(AT130="PT",IF(AY130&lt;PT_First,0,1+INT((AY130-PT_First)/PT_Int)),0))+IF(AND(AM130&gt;=2,AO130&lt;=AsOfDate),IF(AU130="FT",IF(AZ130&lt;FT_First,0,IF(AZ130&lt;FT_Y5,1+INT((AZ130-FT_First)/FT_Int1),FT_PreY5+FT_PerYear*INT((AZ130-FT_Y5)/12)+FT_AnnivDays+INT(MOD(AZ130-FT_Y5,12)/FT_Int2)-IF(EDATE(AL130,FT_Y5)&lt;PolicyEff,FT_AnnivDays-1,0))),IF(AU130="PT",IF(AZ130&lt;PT_First,0,1+INT((AZ130-PT_First)/PT_Int)),0))-IF(AU130="FT",IF(AY130&lt;FT_First,0,IF(AY130&lt;FT_Y5,1+INT((AY130-FT_First)/FT_Int1),FT_PreY5+FT_PerYear*INT((AY130-FT_Y5)/12)+FT_AnnivDays+INT(MOD(AY130-FT_Y5,12)/FT_Int2)-IF(EDATE(AL130,FT_Y5)&lt;PolicyEff,FT_AnnivDays-1,0))),IF(AU130="PT",IF(AY130&lt;PT_First,0,1+INT((AY130-PT_First)/PT_Int)),0)),0)+IF(AND(AM130&gt;=3,AP130&lt;=AsOfDate),IF(AV130="FT",IF(AX130&lt;FT_First,0,IF(AX130&lt;FT_Y5,1+INT((AX130-FT_First)/FT_Int1),FT_PreY5+FT_PerYear*INT((AX130-FT_Y5)/12)+FT_AnnivDays+INT(MOD(AX130-FT_Y5,12)/FT_Int2)-IF(EDATE(AL130,FT_Y5)&lt;PolicyEff,FT_AnnivDays-1,0))),IF(AV130="PT",IF(AX130&lt;PT_First,0,1+INT((AX130-PT_First)/PT_Int)),0))-IF(AV130="FT",IF(AZ130&lt;FT_First,0,IF(AZ130&lt;FT_Y5,1+INT((AZ130-FT_First)/FT_Int1),FT_PreY5+FT_PerYear*INT((AZ130-FT_Y5)/12)+FT_AnnivDays+INT(MOD(AZ130-FT_Y5,12)/FT_Int2)-IF(EDATE(AL130,FT_Y5)&lt;PolicyEff,FT_AnnivDays-1,0))),IF(AV130="PT",IF(AZ130&lt;PT_First,0,1+INT((AZ130-PT_First)/PT_Int)),0)),0))</f>
        <v/>
      </c>
      <c r="BE130" s="16" t="str">
        <f aca="false">IF(AK130=0,"",IF(AT130="FT",IF(BB130&lt;FT_First,0,IF(BB130&lt;FT_Y5,1+INT((BB130-FT_First)/FT_Int1),FT_PreY5+FT_PerYear*INT((BB130-FT_Y5)/12)+FT_AnnivDays+INT(MOD(BB130-FT_Y5,12)/FT_Int2)-IF(EDATE(AL130,FT_Y5)&lt;PolicyEff,FT_AnnivDays-1,0))),IF(AT130="PT",IF(BB130&lt;PT_First,0,1+INT((BB130-PT_First)/PT_Int)),0))+IF(AND(AM130&gt;=2,AO130&lt;=PFYDate),IF(AU130="FT",IF(BC130&lt;FT_First,0,IF(BC130&lt;FT_Y5,1+INT((BC130-FT_First)/FT_Int1),FT_PreY5+FT_PerYear*INT((BC130-FT_Y5)/12)+FT_AnnivDays+INT(MOD(BC130-FT_Y5,12)/FT_Int2)-IF(EDATE(AL130,FT_Y5)&lt;PolicyEff,FT_AnnivDays-1,0))),IF(AU130="PT",IF(BC130&lt;PT_First,0,1+INT((BC130-PT_First)/PT_Int)),0))-IF(AU130="FT",IF(BB130&lt;FT_First,0,IF(BB130&lt;FT_Y5,1+INT((BB130-FT_First)/FT_Int1),FT_PreY5+FT_PerYear*INT((BB130-FT_Y5)/12)+FT_AnnivDays+INT(MOD(BB130-FT_Y5,12)/FT_Int2)-IF(EDATE(AL130,FT_Y5)&lt;PolicyEff,FT_AnnivDays-1,0))),IF(AU130="PT",IF(BB130&lt;PT_First,0,1+INT((BB130-PT_First)/PT_Int)),0)),0)+IF(AND(AM130&gt;=3,AP130&lt;=PFYDate),IF(AV130="FT",IF(BA130&lt;FT_First,0,IF(BA130&lt;FT_Y5,1+INT((BA130-FT_First)/FT_Int1),FT_PreY5+FT_PerYear*INT((BA130-FT_Y5)/12)+FT_AnnivDays+INT(MOD(BA130-FT_Y5,12)/FT_Int2)-IF(EDATE(AL130,FT_Y5)&lt;PolicyEff,FT_AnnivDays-1,0))),IF(AV130="PT",IF(BA130&lt;PT_First,0,1+INT((BA130-PT_First)/PT_Int)),0))-IF(AV130="FT",IF(BC130&lt;FT_First,0,IF(BC130&lt;FT_Y5,1+INT((BC130-FT_First)/FT_Int1),FT_PreY5+FT_PerYear*INT((BC130-FT_Y5)/12)+FT_AnnivDays+INT(MOD(BC130-FT_Y5,12)/FT_Int2)-IF(EDATE(AL130,FT_Y5)&lt;PolicyEff,FT_AnnivDays-1,0))),IF(AV130="PT",IF(BC130&lt;PT_First,0,1+INT((BC130-PT_First)/PT_Int)),0)),0))</f>
        <v/>
      </c>
      <c r="BF130" s="16" t="str">
        <f aca="false">IF(AK130=0,"",IF(AW130="FT",IF(AX130&lt;FT_First,FT_First,IF(AX130&lt;FT_Y5,MIN(FT_Y5,FT_First+FT_Int1*(INT((AX130-FT_First)/FT_Int1)+1)),FT_Y5+12*INT((AX130-FT_Y5)/12)+FT_Int2*(INT(MOD(AX130-FT_Y5,12)/FT_Int2)+1))),IF(AW130="PT",IF(AX130&lt;PT_First,PT_First,PT_First+PT_Int*(INT((AX130-PT_First)/PT_Int)+1)),"")))</f>
        <v/>
      </c>
      <c r="BG130" s="16" t="str">
        <f aca="false">IF(AK130=0,"",IF(NOT(LH_Ready),0,COUNTIFS(INDEX(LH_Data,0,LH_ColFirst),$A130,INDEX(LH_Data,0,LH_ColSur),$B130,INDEX(LH_Data,0,LH_ColCat),BonusCat)))</f>
        <v/>
      </c>
      <c r="BH130" s="16" t="str">
        <f aca="false">IF(AK130=0,"",IF(OR(NOT(LH_Ready),BG130=0),0,SUMPRODUCT(MAX((INDEX(LH_Data,0,LH_ColFirst)=$A130)*(INDEX(LH_Data,0,LH_ColSur)=$B130)*(INDEX(LH_Data,0,LH_ColCat)=BonusCat)*ROW(LH_Data)))))</f>
        <v/>
      </c>
      <c r="BI130" s="16" t="str">
        <f aca="false">IF(AK130=0,"",IF(EOMONTH(AsOfDate,-1)&lt;AL130,-1,12*(YEAR(EOMONTH(AsOfDate,-1))-YEAR(AL130))+MONTH(EOMONTH(AsOfDate,-1))-MONTH(AL130)-IF(DAY(EOMONTH(AsOfDate,-1))&lt;MIN(DAY(AL130),DAY(EOMONTH(EOMONTH(AsOfDate,-1),0))),1,0)))</f>
        <v/>
      </c>
      <c r="BJ130" s="16" t="str">
        <f aca="false">IF(AK130=0,"",IF(OR(AM130&lt;2,AO130&gt;EOMONTH(AsOfDate,-1)),BI130,IF((AO130-1)&lt;AL130,-1,12*(YEAR((AO130-1))-YEAR(AL130))+MONTH((AO130-1))-MONTH(AL130)-IF(DAY((AO130-1))&lt;MIN(DAY(AL130),DAY(EOMONTH((AO130-1),0))),1,0))))</f>
        <v/>
      </c>
      <c r="BK130" s="16" t="str">
        <f aca="false">IF(AK130=0,"",IF(OR(AM130&lt;3,AP130&gt;EOMONTH(AsOfDate,-1)),BI130,IF((AP130-1)&lt;AL130,-1,12*(YEAR((AP130-1))-YEAR(AL130))+MONTH((AP130-1))-MONTH(AL130)-IF(DAY((AP130-1))&lt;MIN(DAY(AL130),DAY(EOMONTH((AP130-1),0))),1,0))))</f>
        <v/>
      </c>
      <c r="BL130" s="16" t="str">
        <f aca="false">IF(AK130=0,"",IF(AT130="FT",IF(BJ130&lt;FT_First,0,IF(BJ130&lt;FT_Y5,1+INT((BJ130-FT_First)/FT_Int1),FT_PreY5+FT_PerYear*INT((BJ130-FT_Y5)/12)+FT_AnnivDays+INT(MOD(BJ130-FT_Y5,12)/FT_Int2)-IF(EDATE(AL130,FT_Y5)&lt;PolicyEff,FT_AnnivDays-1,0))),IF(AT130="PT",IF(BJ130&lt;PT_First,0,1+INT((BJ130-PT_First)/PT_Int)),0))+IF(AND(AM130&gt;=2,AO130&lt;=EOMONTH(AsOfDate,-1)),IF(AU130="FT",IF(BK130&lt;FT_First,0,IF(BK130&lt;FT_Y5,1+INT((BK130-FT_First)/FT_Int1),FT_PreY5+FT_PerYear*INT((BK130-FT_Y5)/12)+FT_AnnivDays+INT(MOD(BK130-FT_Y5,12)/FT_Int2)-IF(EDATE(AL130,FT_Y5)&lt;PolicyEff,FT_AnnivDays-1,0))),IF(AU130="PT",IF(BK130&lt;PT_First,0,1+INT((BK130-PT_First)/PT_Int)),0))-IF(AU130="FT",IF(BJ130&lt;FT_First,0,IF(BJ130&lt;FT_Y5,1+INT((BJ130-FT_First)/FT_Int1),FT_PreY5+FT_PerYear*INT((BJ130-FT_Y5)/12)+FT_AnnivDays+INT(MOD(BJ130-FT_Y5,12)/FT_Int2)-IF(EDATE(AL130,FT_Y5)&lt;PolicyEff,FT_AnnivDays-1,0))),IF(AU130="PT",IF(BJ130&lt;PT_First,0,1+INT((BJ130-PT_First)/PT_Int)),0)),0)+IF(AND(AM130&gt;=3,AP130&lt;=EOMONTH(AsOfDate,-1)),IF(AV130="FT",IF(BI130&lt;FT_First,0,IF(BI130&lt;FT_Y5,1+INT((BI130-FT_First)/FT_Int1),FT_PreY5+FT_PerYear*INT((BI130-FT_Y5)/12)+FT_AnnivDays+INT(MOD(BI130-FT_Y5,12)/FT_Int2)-IF(EDATE(AL130,FT_Y5)&lt;PolicyEff,FT_AnnivDays-1,0))),IF(AV130="PT",IF(BI130&lt;PT_First,0,1+INT((BI130-PT_First)/PT_Int)),0))-IF(AV130="FT",IF(BK130&lt;FT_First,0,IF(BK130&lt;FT_Y5,1+INT((BK130-FT_First)/FT_Int1),FT_PreY5+FT_PerYear*INT((BK130-FT_Y5)/12)+FT_AnnivDays+INT(MOD(BK130-FT_Y5,12)/FT_Int2)-IF(EDATE(AL130,FT_Y5)&lt;PolicyEff,FT_AnnivDays-1,0))),IF(AV130="PT",IF(BK130&lt;PT_First,0,1+INT((BK130-PT_First)/PT_Int)),0)),0))</f>
        <v/>
      </c>
      <c r="BM130" s="16" t="str">
        <f aca="false">IF(AK130=0,"",IF(AW130="FT",IF(AX130&lt;FT_First,"",IF(AX130&lt;FT_Y5,FT_First+FT_Int1*INT((AX130-FT_First)/FT_Int1),FT_Y5+FT_Int2*INT((AX130-FT_Y5)/FT_Int2))),IF(AW130="PT",IF(AX130&lt;PT_First,"",PT_First+PT_Int*INT((AX130-PT_First)/PT_Int)),"")))</f>
        <v/>
      </c>
      <c r="BN130" s="16" t="str">
        <f aca="false">IF(AK130=0,"",IF((SchemeStart-1)&lt;AL130,-1,12*(YEAR((SchemeStart-1))-YEAR(AL130))+MONTH((SchemeStart-1))-MONTH(AL130)-IF(DAY((SchemeStart-1))&lt;MIN(DAY(AL130),DAY(EOMONTH((SchemeStart-1),0))),1,0)))</f>
        <v/>
      </c>
      <c r="BO130" s="16" t="str">
        <f aca="false">IF(AK130=0,"",IF(OR(AM130&lt;2,AO130&gt;(SchemeStart-1)),BN130,IF((AO130-1)&lt;AL130,-1,12*(YEAR((AO130-1))-YEAR(AL130))+MONTH((AO130-1))-MONTH(AL130)-IF(DAY((AO130-1))&lt;MIN(DAY(AL130),DAY(EOMONTH((AO130-1),0))),1,0))))</f>
        <v/>
      </c>
      <c r="BP130" s="16" t="str">
        <f aca="false">IF(AK130=0,"",IF(OR(AM130&lt;3,AP130&gt;(SchemeStart-1)),BN130,IF((AP130-1)&lt;AL130,-1,12*(YEAR((AP130-1))-YEAR(AL130))+MONTH((AP130-1))-MONTH(AL130)-IF(DAY((AP130-1))&lt;MIN(DAY(AL130),DAY(EOMONTH((AP130-1),0))),1,0))))</f>
        <v/>
      </c>
      <c r="BQ130" s="16" t="str">
        <f aca="false">IF(AK130=0,"",IF(AT130="FT",IF(BO130&lt;FT_First,0,IF(BO130&lt;FT_Y5,1+INT((BO130-FT_First)/FT_Int1),FT_PreY5+FT_PerYear*INT((BO130-FT_Y5)/12)+FT_AnnivDays+INT(MOD(BO130-FT_Y5,12)/FT_Int2)-IF(EDATE(AL130,FT_Y5)&lt;PolicyEff,FT_AnnivDays-1,0))),IF(AT130="PT",IF(BO130&lt;PT_First,0,1+INT((BO130-PT_First)/PT_Int)),0))+IF(AND(AM130&gt;=2,AO130&lt;=(SchemeStart-1)),IF(AU130="FT",IF(BP130&lt;FT_First,0,IF(BP130&lt;FT_Y5,1+INT((BP130-FT_First)/FT_Int1),FT_PreY5+FT_PerYear*INT((BP130-FT_Y5)/12)+FT_AnnivDays+INT(MOD(BP130-FT_Y5,12)/FT_Int2)-IF(EDATE(AL130,FT_Y5)&lt;PolicyEff,FT_AnnivDays-1,0))),IF(AU130="PT",IF(BP130&lt;PT_First,0,1+INT((BP130-PT_First)/PT_Int)),0))-IF(AU130="FT",IF(BO130&lt;FT_First,0,IF(BO130&lt;FT_Y5,1+INT((BO130-FT_First)/FT_Int1),FT_PreY5+FT_PerYear*INT((BO130-FT_Y5)/12)+FT_AnnivDays+INT(MOD(BO130-FT_Y5,12)/FT_Int2)-IF(EDATE(AL130,FT_Y5)&lt;PolicyEff,FT_AnnivDays-1,0))),IF(AU130="PT",IF(BO130&lt;PT_First,0,1+INT((BO130-PT_First)/PT_Int)),0)),0)+IF(AND(AM130&gt;=3,AP130&lt;=(SchemeStart-1)),IF(AV130="FT",IF(BN130&lt;FT_First,0,IF(BN130&lt;FT_Y5,1+INT((BN130-FT_First)/FT_Int1),FT_PreY5+FT_PerYear*INT((BN130-FT_Y5)/12)+FT_AnnivDays+INT(MOD(BN130-FT_Y5,12)/FT_Int2)-IF(EDATE(AL130,FT_Y5)&lt;PolicyEff,FT_AnnivDays-1,0))),IF(AV130="PT",IF(BN130&lt;PT_First,0,1+INT((BN130-PT_First)/PT_Int)),0))-IF(AV130="FT",IF(BP130&lt;FT_First,0,IF(BP130&lt;FT_Y5,1+INT((BP130-FT_First)/FT_Int1),FT_PreY5+FT_PerYear*INT((BP130-FT_Y5)/12)+FT_AnnivDays+INT(MOD(BP130-FT_Y5,12)/FT_Int2)-IF(EDATE(AL130,FT_Y5)&lt;PolicyEff,FT_AnnivDays-1,0))),IF(AV130="PT",IF(BP130&lt;PT_First,0,1+INT((BP130-PT_First)/PT_Int)),0)),0))</f>
        <v/>
      </c>
      <c r="BR130" s="0" t="str">
        <f aca="false">IF(LEN($A130&amp;$B130)=0,"",$A130&amp;" "&amp;$B130)</f>
        <v/>
      </c>
    </row>
    <row r="131" customFormat="false" ht="15" hidden="false" customHeight="false" outlineLevel="0" collapsed="false">
      <c r="A131" s="12"/>
      <c r="B131" s="12"/>
      <c r="C131" s="12"/>
      <c r="D131" s="13"/>
      <c r="E131" s="14" t="str">
        <f aca="false">IF(OR(AK131=0,$D131=""),"",DATE(YEAR(AsOfDate)+IF(DATE(YEAR(AsOfDate),MONTH($D131),DAY($D131))&lt;=AsOfDate,1,0),MONTH($D131),DAY($D131)))</f>
        <v/>
      </c>
      <c r="F131" s="13"/>
      <c r="G131" s="13"/>
      <c r="H131" s="13"/>
      <c r="I131" s="13"/>
      <c r="J131" s="13"/>
      <c r="K131" s="14" t="str">
        <f aca="false">IF(AK131=0,"",DATE(YEAR(AsOfDate)+IF(DATE(YEAR(AsOfDate),MONTH(AL131),DAY(AL131))&lt;=AsOfDate,1,0),MONTH(AL131),DAY(AL131)))</f>
        <v/>
      </c>
      <c r="L131" s="15" t="str">
        <f aca="false">IF(AK131=0,"",ROUND((AsOfDate-AL131)/365.25,1))</f>
        <v/>
      </c>
      <c r="M131" s="16" t="str">
        <f aca="false">IF(AK131=0,"",IF(AsOfDate&lt;AL131,"-",DATEDIF(AL131,AsOfDate,"y")&amp;"y "&amp;DATEDIF(AL131,AsOfDate,"ym")&amp;"m "&amp;DATEDIF(AL131,AsOfDate,"md")&amp;"d"))</f>
        <v/>
      </c>
      <c r="N131" s="17" t="str">
        <f aca="false">IF(AK131=0,"",O131*HoursPerDay)</f>
        <v/>
      </c>
      <c r="O131" s="17" t="str">
        <f aca="false">IF(AK131=0,"",MAX(0,BD131-BQ131))</f>
        <v/>
      </c>
      <c r="P131" s="18"/>
      <c r="Q131" s="16" t="str">
        <f aca="false">IF(AK131=0,"",IF(AM131&lt;2,"",AQ131&amp;" to "&amp;AR131&amp;" on "&amp;TEXT(AO131,"dd/mm/yyyy")&amp;IF(AO131&gt;AsOfDate," (future)",IF(AT131=AU131,"",IF(AU131="None"," - STOPPED accruing",IF(AT131="None"," - commencement for Bonus Leave"," - pathway changed"))))&amp;IF(AM131&lt;3,"","; "&amp;AR131&amp;" to "&amp;AS131&amp;" on "&amp;TEXT(AP131,"dd/mm/yyyy")&amp;IF(AP131&gt;AsOfDate," (future)",IF(AU131=AV131,"",IF(AV131="None"," - STOPPED accruing",IF(AU131="None"," - commencement for Bonus Leave"," - pathway changed")))))))</f>
        <v/>
      </c>
      <c r="R131" s="16" t="str">
        <f aca="false">IF(AK131=0,"",IF(AW131="None",IF(O131&gt;0,"No longer accruing","Not eligible - "&amp;IF(AND(OR(ISNUMBER(SEARCH("part",$C131)),UPPER(TRIM($C131))="PT",UPPER(TRIM($C131))="PTE"),Apply2026="No"),"part-time (scheme is full-time only)",IF(AND(OR(ISNUMBER(SEARCH("part",$C131)),UPPER(TRIM($C131))="PT",UPPER(TRIM($C131))="PTE"),$P131&lt;&gt;"",N($P131)&lt;PT_MinHours),"under "&amp;PT_MinHours&amp;" hrs",IF(IF($C131="","",IF(OR(ISNUMBER(SEARCH("full",$C131)),UPPER(TRIM($C131))="FT",UPPER(TRIM($C131))="FTE"),"Full-Time",IF(OR(ISNUMBER(SEARCH("part",$C131)),UPPER(TRIM($C131))="PT",UPPER(TRIM($C131))="PTE"),"Part-Time",IF(OR(ISNUMBER(SEARCH("cas",$C131)),UPPER(TRIM($C131))="CAS"),"Casual","Unknown"))))="Unknown","type not recognised",$C131)))),IF(O131&gt;0,"Yes - Accrual Required","Not yet - from "&amp;TEXT(S131,"dd/mm/yyyy"))))</f>
        <v/>
      </c>
      <c r="S131" s="14" t="str">
        <f aca="false">IF(AK131=0,"",IF(AW131="None","",EDATE(AL131,BF131)))</f>
        <v/>
      </c>
      <c r="T131" s="17" t="str">
        <f aca="false">IF(AK131=0,"",IF(NOT(LH_Ready),"",IF($F131&gt;PFYDate,0,IF(LH_ColPeriod=0,W131-U131+V131,SUMIFS(INDEX(LH_Data,0,LH_ColAcc),INDEX(LH_Data,0,LH_ColFirst),$A131,INDEX(LH_Data,0,LH_ColSur),$B131,INDEX(LH_Data,0,LH_ColCat),BonusCat,INDEX(LH_Data,0,LH_ColPeriod),LH_OpenLabel)*UnitFactor))))</f>
        <v/>
      </c>
      <c r="U131" s="17" t="str">
        <f aca="false">IF(AK131=0,"",IF(NOT(LH_Ready),"",SUMIFS(INDEX(LH_Data,0,LH_ColAcc),INDEX(LH_Data,0,LH_ColFirst),$A131,INDEX(LH_Data,0,LH_ColSur),$B131,INDEX(LH_Data,0,LH_ColCat),BonusCat,INDEX(LH_Data,0,LH_ColStart),"&gt;="&amp;AL131)*UnitFactor))</f>
        <v/>
      </c>
      <c r="V131" s="17" t="str">
        <f aca="false">IF(AK131=0,"",IF(NOT(LH_Ready),"",SUMIFS(INDEX(LH_Data,0,LH_ColTaken),INDEX(LH_Data,0,LH_ColFirst),$A131,INDEX(LH_Data,0,LH_ColSur),$B131,INDEX(LH_Data,0,LH_ColCat),BonusCat,INDEX(LH_Data,0,LH_ColStart),"&gt;="&amp;AL131)*UnitFactor))</f>
        <v/>
      </c>
      <c r="W131" s="17" t="str">
        <f aca="false">IF(AK131=0,"",IF(NOT(LH_Ready),"",IF(BH131=0,0,INDEX(INDEX(LH_Data,0,LH_ColClose),BH131-1)*UnitFactor)))</f>
        <v/>
      </c>
      <c r="X131" s="17" t="str">
        <f aca="false">IF(AK131=0,"",(MAX(0,BD131-BQ131)-MAX(0,BE131-BQ131))*HoursPerDay)</f>
        <v/>
      </c>
      <c r="Y131" s="17" t="str">
        <f aca="false">IF(AK131=0,"",IF(NOT(LH_Ready),"",IF($AI131="Yes",N(AE131)*HoursPerDay-SUMIFS(INDEX(LH_Data,0,LH_ColAcc),INDEX(LH_Data,0,LH_ColFirst),$A131,INDEX(LH_Data,0,LH_ColSur),$B131,INDEX(LH_Data,0,LH_ColCat),BonusCat,INDEX(LH_Data,0,LH_ColStart),"&gt;="&amp;(EOMONTH(AsOfDate,-1)+1),INDEX(LH_Data,0,LH_ColStart),"&lt;="&amp;AsOfDate)*UnitFactor,IF(BG131=0,N131,N131-N(T131)-N(U131)))))</f>
        <v/>
      </c>
      <c r="Z131" s="16" t="str">
        <f aca="false">IF(OR(AK131=0,Y131=""),"",IF(Y131&gt;0,"Yes","No"))</f>
        <v/>
      </c>
      <c r="AA131" s="16" t="str">
        <f aca="false">IF(AK131=0,IF(LEN($A131&amp;$B131)=0,"","FIX INPUT - StartDate missing"),IF(AD131&lt;&gt;"","FIX INPUT - "&amp;AD131,IF(NOT(LH_Ready),"Paste Leave History export (Settings must show YES)",IF(AND($AI131="Yes",Y131&lt;=0),"OK - EH balance accepted to date"&amp;IF(N(AH131)&gt;0," (EH holds "&amp;AH131&amp;" hrs over the scheme)","")&amp;"; next day "&amp;TEXT(S131,"dd mmm yy")&amp;IF(N(AE131)&gt;0," ("&amp;AE131&amp;" day(s) for "&amp;UPPER(TEXT(AsOfDate,"mmm yyyy"))&amp;" already in EH)",""),IF(Y131&gt;0,"ACCRUE "&amp;ROUND(Y131,2)&amp;" hrs ("&amp;ROUND(Y131/HoursPerDay,2)&amp;" days): "&amp;IF(N(AE131)&gt;0,AE131&amp;" day(s) for "&amp;UPPER(TEXT(AsOfDate,"mmm yyyy"))&amp;" (milestone "&amp;UPPER(TEXT(AF131,"dd mmm yy"))&amp;")"&amp;IF(Y131/HoursPerDay&gt;AE131+0.001," + "&amp;ROUND(Y131/HoursPerDay-AE131,2)&amp;" day(s) catch-up from earlier months",""),"all catch-up from earlier months, nothing new this month")&amp;IF(BG131=0,"; no Bonus Leave in EH yet",""),IF(Y131&lt;0,"CHECK - EH accrued "&amp;ROUND(-Y131,2)&amp;" hrs more than policy since commencement",IF(N(W131)&gt;O131*HoursPerDay+0.01,"CHECK - EH balance "&amp;ROUND(W131-O131*HoursPerDay,2)&amp;" hrs more than policy entitlement",IF(O131&gt;0,"OK - nothing to add"&amp;IF(N(AE131)&gt;0," ("&amp;AE131&amp;" day(s) for "&amp;UPPER(TEXT(AsOfDate,"mmm yyyy"))&amp;" already in EH)",""),IF(AW131="None",R131,"Not yet - first day on "&amp;TEXT(S131,"dd/mm/yyyy"))))))))))</f>
        <v/>
      </c>
      <c r="AB131" s="17" t="str">
        <f aca="false">IF(OR(AK131=0,T131=""),"",MAX(0,BE131-BQ131)*HoursPerDay-T131)</f>
        <v/>
      </c>
      <c r="AC131" s="16" t="str">
        <f aca="false">IF(AK131=0,"",BG131)</f>
        <v/>
      </c>
      <c r="AD131" s="16" t="str">
        <f aca="false">IF(AK131=0,"",TRIM(IF(OR(ISTEXT($F131),ISTEXT($H131),ISTEXT($I131),ISTEXT($G131),ISTEXT($J131),ISTEXT($D131)),"A date is typed as text - retype it as dd/mm/yyyy. ","")&amp;IF(IF($C131="","",IF(OR(ISNUMBER(SEARCH("full",$C131)),UPPER(TRIM($C131))="FT",UPPER(TRIM($C131))="FTE"),"Full-Time",IF(OR(ISNUMBER(SEARCH("part",$C131)),UPPER(TRIM($C131))="PT",UPPER(TRIM($C131))="PTE"),"Part-Time",IF(OR(ISNUMBER(SEARCH("cas",$C131)),UPPER(TRIM($C131))="CAS"),"Casual","Unknown"))))="Unknown","EmploymentType not recognised - use Full-Time, Part-Time or Casual. ","")&amp;IF(AND(AM131&gt;=1,IF(AM131&gt;=3,AS131,IF(AM131=2,AR131,AQ131))&lt;&gt;IF($C131="","",IF(OR(ISNUMBER(SEARCH("full",$C131)),UPPER(TRIM($C131))="FT",UPPER(TRIM($C131))="FTE"),"Full-Time",IF(OR(ISNUMBER(SEARCH("part",$C131)),UPPER(TRIM($C131))="PT",UPPER(TRIM($C131))="PTE"),"Part-Time",IF(OR(ISNUMBER(SEARCH("cas",$C131)),UPPER(TRIM($C131))="CAS"),"Casual","Unknown"))))),"EmploymentType does not match latest start date ("&amp;IF(AM131&gt;=3,AS131,IF(AM131=2,AR131,AQ131))&amp;"). ","")&amp;IF(AND(AM131&gt;=1,AN131&lt;&gt;$F131),"Earliest type date should equal StartDate. ","")&amp;IF(AND(AM131&gt;=2,AN131=AO131),"Two types start on the same date. ","")&amp;IF(AND(OR(ISNUMBER(SEARCH("part",$C131)),UPPER(TRIM($C131))="PT",UPPER(TRIM($C131))="PTE"),$P131=""),"Part-time: enter PT Hrs/Week (blank = 24+). ","")))</f>
        <v/>
      </c>
      <c r="AE131" s="17" t="str">
        <f aca="false">IF(AK131=0,"",O131-MAX(0,BL131-BQ131))</f>
        <v/>
      </c>
      <c r="AF131" s="14" t="str">
        <f aca="false">IF(OR(AK131=0,AE131="",N(AE131)=0,BM131=""),"",EDATE(AL131,BM131))</f>
        <v/>
      </c>
      <c r="AG131" s="17" t="str">
        <f aca="false">IF(AK131=0,"",MIN(BD131,BQ131))</f>
        <v/>
      </c>
      <c r="AH131" s="17" t="str">
        <f aca="false">IF(AK131=0,"",IF(NOT(LH_Ready),"",IF(BG131=0,0,MAX(0,ROUND(N(T131)+N(U131)-N131,2)))))</f>
        <v/>
      </c>
      <c r="AI131" s="12"/>
      <c r="AJ131" s="12"/>
      <c r="AK131" s="16" t="n">
        <f aca="false">IF(OR(LEN($A131&amp;$B131)=0,$F131=""),0,1)</f>
        <v>0</v>
      </c>
      <c r="AL131" s="14" t="str">
        <f aca="false">IF(AK131=0,"",IF(PreSchemeCounts="No",MAX(SchemeStart,IF($J131&lt;&gt;"",$J131,IF(OR(CasualCounts="Yes",COUNT($G131:$I131)=0),$F131,IF(Apply2026="No",IF($I131="",$F131,$I131),IF(COUNT($H131:$I131)=0,$F131,MIN($H131:$I131)))))),IF($J131&lt;&gt;"",$J131,IF(OR(CasualCounts="Yes",COUNT($G131:$I131)=0),$F131,IF(Apply2026="No",IF($I131="",$F131,$I131),IF(COUNT($H131:$I131)=0,$F131,MIN($H131:$I131)))))))</f>
        <v/>
      </c>
      <c r="AM131" s="16" t="str">
        <f aca="false">IF(AK131=0,"",COUNT($G131:$I131))</f>
        <v/>
      </c>
      <c r="AN131" s="14" t="str">
        <f aca="false">IF(AK131=0,"",IFERROR(SMALL($G131:$I131,1),""))</f>
        <v/>
      </c>
      <c r="AO131" s="14" t="str">
        <f aca="false">IF(AK131=0,"",IFERROR(SMALL($G131:$I131,2),""))</f>
        <v/>
      </c>
      <c r="AP131" s="14" t="str">
        <f aca="false">IF(AK131=0,"",IFERROR(SMALL($G131:$I131,3),""))</f>
        <v/>
      </c>
      <c r="AQ131" s="16" t="str">
        <f aca="false">IF(AK131=0,"",IF(AN131="","",IF(AN131=$H131,"Part-Time",IF(AN131=$I131,"Full-Time","Casual"))))</f>
        <v/>
      </c>
      <c r="AR131" s="16" t="str">
        <f aca="false">IF(AK131=0,"",IF(AO131="","",IF(AO131=$H131,"Part-Time",IF(AO131=$I131,"Full-Time","Casual"))))</f>
        <v/>
      </c>
      <c r="AS131" s="16" t="str">
        <f aca="false">IF(AK131=0,"",IF(AP131="","",IF(AP131=$H131,"Part-Time",IF(AP131=$I131,"Full-Time","Casual"))))</f>
        <v/>
      </c>
      <c r="AT131" s="16" t="str">
        <f aca="false">IF(AK131=0,"",IF(AM131=0,IF(OR(ISNUMBER(SEARCH("full",$C131)),UPPER(TRIM($C131))="FT",UPPER(TRIM($C131))="FTE"),"FT",IF(AND(OR(ISNUMBER(SEARCH("part",$C131)),UPPER(TRIM($C131))="PT",UPPER(TRIM($C131))="PTE"),Apply2026="Yes",OR($P131="",N($P131)&gt;=PT_MinHours)),"PT","None")),IF(OR(ISNUMBER(SEARCH("full",AQ131)),UPPER(TRIM(AQ131))="FT",UPPER(TRIM(AQ131))="FTE"),"FT",IF(AND(OR(ISNUMBER(SEARCH("part",AQ131)),UPPER(TRIM(AQ131))="PT",UPPER(TRIM(AQ131))="PTE"),Apply2026="Yes",OR($P131="",N($P131)&gt;=PT_MinHours)),"PT","None"))))</f>
        <v/>
      </c>
      <c r="AU131" s="16" t="str">
        <f aca="false">IF(AK131=0,"",IF(AM131&lt;2,"",IF(OR(ISNUMBER(SEARCH("full",AR131)),UPPER(TRIM(AR131))="FT",UPPER(TRIM(AR131))="FTE"),"FT",IF(AND(OR(ISNUMBER(SEARCH("part",AR131)),UPPER(TRIM(AR131))="PT",UPPER(TRIM(AR131))="PTE"),Apply2026="Yes",OR($P131="",N($P131)&gt;=PT_MinHours)),"PT","None"))))</f>
        <v/>
      </c>
      <c r="AV131" s="16" t="str">
        <f aca="false">IF(AK131=0,"",IF(AM131&lt;3,"",IF(OR(ISNUMBER(SEARCH("full",AS131)),UPPER(TRIM(AS131))="FT",UPPER(TRIM(AS131))="FTE"),"FT",IF(AND(OR(ISNUMBER(SEARCH("part",AS131)),UPPER(TRIM(AS131))="PT",UPPER(TRIM(AS131))="PTE"),Apply2026="Yes",OR($P131="",N($P131)&gt;=PT_MinHours)),"PT","None"))))</f>
        <v/>
      </c>
      <c r="AW131" s="16" t="str">
        <f aca="false">IF(AK131=0,"",IF(AND(AM131&gt;=3,AP131&lt;=AsOfDate),AV131,IF(AND(AM131&gt;=2,AO131&lt;=AsOfDate),AU131,AT131)))</f>
        <v/>
      </c>
      <c r="AX131" s="16" t="str">
        <f aca="false">IF(AK131=0,"",IF(AsOfDate&lt;AL131,-1,12*(YEAR(AsOfDate)-YEAR(AL131))+MONTH(AsOfDate)-MONTH(AL131)-IF(DAY(AsOfDate)&lt;MIN(DAY(AL131),DAY(EOMONTH(AsOfDate,0))),1,0)))</f>
        <v/>
      </c>
      <c r="AY131" s="16" t="str">
        <f aca="false">IF(AK131=0,"",IF(OR(AM131&lt;2,AO131&gt;AsOfDate),AX131,IF((AO131-1)&lt;AL131,-1,12*(YEAR((AO131-1))-YEAR(AL131))+MONTH((AO131-1))-MONTH(AL131)-IF(DAY((AO131-1))&lt;MIN(DAY(AL131),DAY(EOMONTH((AO131-1),0))),1,0))))</f>
        <v/>
      </c>
      <c r="AZ131" s="16" t="str">
        <f aca="false">IF(AK131=0,"",IF(OR(AM131&lt;3,AP131&gt;AsOfDate),AX131,IF((AP131-1)&lt;AL131,-1,12*(YEAR((AP131-1))-YEAR(AL131))+MONTH((AP131-1))-MONTH(AL131)-IF(DAY((AP131-1))&lt;MIN(DAY(AL131),DAY(EOMONTH((AP131-1),0))),1,0))))</f>
        <v/>
      </c>
      <c r="BA131" s="16" t="str">
        <f aca="false">IF(AK131=0,"",IF(PFYDate&lt;AL131,-1,12*(YEAR(PFYDate)-YEAR(AL131))+MONTH(PFYDate)-MONTH(AL131)-IF(DAY(PFYDate)&lt;MIN(DAY(AL131),DAY(EOMONTH(PFYDate,0))),1,0)))</f>
        <v/>
      </c>
      <c r="BB131" s="16" t="str">
        <f aca="false">IF(AK131=0,"",IF(OR(AM131&lt;2,AO131&gt;PFYDate),BA131,IF((AO131-1)&lt;AL131,-1,12*(YEAR((AO131-1))-YEAR(AL131))+MONTH((AO131-1))-MONTH(AL131)-IF(DAY((AO131-1))&lt;MIN(DAY(AL131),DAY(EOMONTH((AO131-1),0))),1,0))))</f>
        <v/>
      </c>
      <c r="BC131" s="16" t="str">
        <f aca="false">IF(AK131=0,"",IF(OR(AM131&lt;3,AP131&gt;PFYDate),BA131,IF((AP131-1)&lt;AL131,-1,12*(YEAR((AP131-1))-YEAR(AL131))+MONTH((AP131-1))-MONTH(AL131)-IF(DAY((AP131-1))&lt;MIN(DAY(AL131),DAY(EOMONTH((AP131-1),0))),1,0))))</f>
        <v/>
      </c>
      <c r="BD131" s="16" t="str">
        <f aca="false">IF(AK131=0,"",IF(AT131="FT",IF(AY131&lt;FT_First,0,IF(AY131&lt;FT_Y5,1+INT((AY131-FT_First)/FT_Int1),FT_PreY5+FT_PerYear*INT((AY131-FT_Y5)/12)+FT_AnnivDays+INT(MOD(AY131-FT_Y5,12)/FT_Int2)-IF(EDATE(AL131,FT_Y5)&lt;PolicyEff,FT_AnnivDays-1,0))),IF(AT131="PT",IF(AY131&lt;PT_First,0,1+INT((AY131-PT_First)/PT_Int)),0))+IF(AND(AM131&gt;=2,AO131&lt;=AsOfDate),IF(AU131="FT",IF(AZ131&lt;FT_First,0,IF(AZ131&lt;FT_Y5,1+INT((AZ131-FT_First)/FT_Int1),FT_PreY5+FT_PerYear*INT((AZ131-FT_Y5)/12)+FT_AnnivDays+INT(MOD(AZ131-FT_Y5,12)/FT_Int2)-IF(EDATE(AL131,FT_Y5)&lt;PolicyEff,FT_AnnivDays-1,0))),IF(AU131="PT",IF(AZ131&lt;PT_First,0,1+INT((AZ131-PT_First)/PT_Int)),0))-IF(AU131="FT",IF(AY131&lt;FT_First,0,IF(AY131&lt;FT_Y5,1+INT((AY131-FT_First)/FT_Int1),FT_PreY5+FT_PerYear*INT((AY131-FT_Y5)/12)+FT_AnnivDays+INT(MOD(AY131-FT_Y5,12)/FT_Int2)-IF(EDATE(AL131,FT_Y5)&lt;PolicyEff,FT_AnnivDays-1,0))),IF(AU131="PT",IF(AY131&lt;PT_First,0,1+INT((AY131-PT_First)/PT_Int)),0)),0)+IF(AND(AM131&gt;=3,AP131&lt;=AsOfDate),IF(AV131="FT",IF(AX131&lt;FT_First,0,IF(AX131&lt;FT_Y5,1+INT((AX131-FT_First)/FT_Int1),FT_PreY5+FT_PerYear*INT((AX131-FT_Y5)/12)+FT_AnnivDays+INT(MOD(AX131-FT_Y5,12)/FT_Int2)-IF(EDATE(AL131,FT_Y5)&lt;PolicyEff,FT_AnnivDays-1,0))),IF(AV131="PT",IF(AX131&lt;PT_First,0,1+INT((AX131-PT_First)/PT_Int)),0))-IF(AV131="FT",IF(AZ131&lt;FT_First,0,IF(AZ131&lt;FT_Y5,1+INT((AZ131-FT_First)/FT_Int1),FT_PreY5+FT_PerYear*INT((AZ131-FT_Y5)/12)+FT_AnnivDays+INT(MOD(AZ131-FT_Y5,12)/FT_Int2)-IF(EDATE(AL131,FT_Y5)&lt;PolicyEff,FT_AnnivDays-1,0))),IF(AV131="PT",IF(AZ131&lt;PT_First,0,1+INT((AZ131-PT_First)/PT_Int)),0)),0))</f>
        <v/>
      </c>
      <c r="BE131" s="16" t="str">
        <f aca="false">IF(AK131=0,"",IF(AT131="FT",IF(BB131&lt;FT_First,0,IF(BB131&lt;FT_Y5,1+INT((BB131-FT_First)/FT_Int1),FT_PreY5+FT_PerYear*INT((BB131-FT_Y5)/12)+FT_AnnivDays+INT(MOD(BB131-FT_Y5,12)/FT_Int2)-IF(EDATE(AL131,FT_Y5)&lt;PolicyEff,FT_AnnivDays-1,0))),IF(AT131="PT",IF(BB131&lt;PT_First,0,1+INT((BB131-PT_First)/PT_Int)),0))+IF(AND(AM131&gt;=2,AO131&lt;=PFYDate),IF(AU131="FT",IF(BC131&lt;FT_First,0,IF(BC131&lt;FT_Y5,1+INT((BC131-FT_First)/FT_Int1),FT_PreY5+FT_PerYear*INT((BC131-FT_Y5)/12)+FT_AnnivDays+INT(MOD(BC131-FT_Y5,12)/FT_Int2)-IF(EDATE(AL131,FT_Y5)&lt;PolicyEff,FT_AnnivDays-1,0))),IF(AU131="PT",IF(BC131&lt;PT_First,0,1+INT((BC131-PT_First)/PT_Int)),0))-IF(AU131="FT",IF(BB131&lt;FT_First,0,IF(BB131&lt;FT_Y5,1+INT((BB131-FT_First)/FT_Int1),FT_PreY5+FT_PerYear*INT((BB131-FT_Y5)/12)+FT_AnnivDays+INT(MOD(BB131-FT_Y5,12)/FT_Int2)-IF(EDATE(AL131,FT_Y5)&lt;PolicyEff,FT_AnnivDays-1,0))),IF(AU131="PT",IF(BB131&lt;PT_First,0,1+INT((BB131-PT_First)/PT_Int)),0)),0)+IF(AND(AM131&gt;=3,AP131&lt;=PFYDate),IF(AV131="FT",IF(BA131&lt;FT_First,0,IF(BA131&lt;FT_Y5,1+INT((BA131-FT_First)/FT_Int1),FT_PreY5+FT_PerYear*INT((BA131-FT_Y5)/12)+FT_AnnivDays+INT(MOD(BA131-FT_Y5,12)/FT_Int2)-IF(EDATE(AL131,FT_Y5)&lt;PolicyEff,FT_AnnivDays-1,0))),IF(AV131="PT",IF(BA131&lt;PT_First,0,1+INT((BA131-PT_First)/PT_Int)),0))-IF(AV131="FT",IF(BC131&lt;FT_First,0,IF(BC131&lt;FT_Y5,1+INT((BC131-FT_First)/FT_Int1),FT_PreY5+FT_PerYear*INT((BC131-FT_Y5)/12)+FT_AnnivDays+INT(MOD(BC131-FT_Y5,12)/FT_Int2)-IF(EDATE(AL131,FT_Y5)&lt;PolicyEff,FT_AnnivDays-1,0))),IF(AV131="PT",IF(BC131&lt;PT_First,0,1+INT((BC131-PT_First)/PT_Int)),0)),0))</f>
        <v/>
      </c>
      <c r="BF131" s="16" t="str">
        <f aca="false">IF(AK131=0,"",IF(AW131="FT",IF(AX131&lt;FT_First,FT_First,IF(AX131&lt;FT_Y5,MIN(FT_Y5,FT_First+FT_Int1*(INT((AX131-FT_First)/FT_Int1)+1)),FT_Y5+12*INT((AX131-FT_Y5)/12)+FT_Int2*(INT(MOD(AX131-FT_Y5,12)/FT_Int2)+1))),IF(AW131="PT",IF(AX131&lt;PT_First,PT_First,PT_First+PT_Int*(INT((AX131-PT_First)/PT_Int)+1)),"")))</f>
        <v/>
      </c>
      <c r="BG131" s="16" t="str">
        <f aca="false">IF(AK131=0,"",IF(NOT(LH_Ready),0,COUNTIFS(INDEX(LH_Data,0,LH_ColFirst),$A131,INDEX(LH_Data,0,LH_ColSur),$B131,INDEX(LH_Data,0,LH_ColCat),BonusCat)))</f>
        <v/>
      </c>
      <c r="BH131" s="16" t="str">
        <f aca="false">IF(AK131=0,"",IF(OR(NOT(LH_Ready),BG131=0),0,SUMPRODUCT(MAX((INDEX(LH_Data,0,LH_ColFirst)=$A131)*(INDEX(LH_Data,0,LH_ColSur)=$B131)*(INDEX(LH_Data,0,LH_ColCat)=BonusCat)*ROW(LH_Data)))))</f>
        <v/>
      </c>
      <c r="BI131" s="16" t="str">
        <f aca="false">IF(AK131=0,"",IF(EOMONTH(AsOfDate,-1)&lt;AL131,-1,12*(YEAR(EOMONTH(AsOfDate,-1))-YEAR(AL131))+MONTH(EOMONTH(AsOfDate,-1))-MONTH(AL131)-IF(DAY(EOMONTH(AsOfDate,-1))&lt;MIN(DAY(AL131),DAY(EOMONTH(EOMONTH(AsOfDate,-1),0))),1,0)))</f>
        <v/>
      </c>
      <c r="BJ131" s="16" t="str">
        <f aca="false">IF(AK131=0,"",IF(OR(AM131&lt;2,AO131&gt;EOMONTH(AsOfDate,-1)),BI131,IF((AO131-1)&lt;AL131,-1,12*(YEAR((AO131-1))-YEAR(AL131))+MONTH((AO131-1))-MONTH(AL131)-IF(DAY((AO131-1))&lt;MIN(DAY(AL131),DAY(EOMONTH((AO131-1),0))),1,0))))</f>
        <v/>
      </c>
      <c r="BK131" s="16" t="str">
        <f aca="false">IF(AK131=0,"",IF(OR(AM131&lt;3,AP131&gt;EOMONTH(AsOfDate,-1)),BI131,IF((AP131-1)&lt;AL131,-1,12*(YEAR((AP131-1))-YEAR(AL131))+MONTH((AP131-1))-MONTH(AL131)-IF(DAY((AP131-1))&lt;MIN(DAY(AL131),DAY(EOMONTH((AP131-1),0))),1,0))))</f>
        <v/>
      </c>
      <c r="BL131" s="16" t="str">
        <f aca="false">IF(AK131=0,"",IF(AT131="FT",IF(BJ131&lt;FT_First,0,IF(BJ131&lt;FT_Y5,1+INT((BJ131-FT_First)/FT_Int1),FT_PreY5+FT_PerYear*INT((BJ131-FT_Y5)/12)+FT_AnnivDays+INT(MOD(BJ131-FT_Y5,12)/FT_Int2)-IF(EDATE(AL131,FT_Y5)&lt;PolicyEff,FT_AnnivDays-1,0))),IF(AT131="PT",IF(BJ131&lt;PT_First,0,1+INT((BJ131-PT_First)/PT_Int)),0))+IF(AND(AM131&gt;=2,AO131&lt;=EOMONTH(AsOfDate,-1)),IF(AU131="FT",IF(BK131&lt;FT_First,0,IF(BK131&lt;FT_Y5,1+INT((BK131-FT_First)/FT_Int1),FT_PreY5+FT_PerYear*INT((BK131-FT_Y5)/12)+FT_AnnivDays+INT(MOD(BK131-FT_Y5,12)/FT_Int2)-IF(EDATE(AL131,FT_Y5)&lt;PolicyEff,FT_AnnivDays-1,0))),IF(AU131="PT",IF(BK131&lt;PT_First,0,1+INT((BK131-PT_First)/PT_Int)),0))-IF(AU131="FT",IF(BJ131&lt;FT_First,0,IF(BJ131&lt;FT_Y5,1+INT((BJ131-FT_First)/FT_Int1),FT_PreY5+FT_PerYear*INT((BJ131-FT_Y5)/12)+FT_AnnivDays+INT(MOD(BJ131-FT_Y5,12)/FT_Int2)-IF(EDATE(AL131,FT_Y5)&lt;PolicyEff,FT_AnnivDays-1,0))),IF(AU131="PT",IF(BJ131&lt;PT_First,0,1+INT((BJ131-PT_First)/PT_Int)),0)),0)+IF(AND(AM131&gt;=3,AP131&lt;=EOMONTH(AsOfDate,-1)),IF(AV131="FT",IF(BI131&lt;FT_First,0,IF(BI131&lt;FT_Y5,1+INT((BI131-FT_First)/FT_Int1),FT_PreY5+FT_PerYear*INT((BI131-FT_Y5)/12)+FT_AnnivDays+INT(MOD(BI131-FT_Y5,12)/FT_Int2)-IF(EDATE(AL131,FT_Y5)&lt;PolicyEff,FT_AnnivDays-1,0))),IF(AV131="PT",IF(BI131&lt;PT_First,0,1+INT((BI131-PT_First)/PT_Int)),0))-IF(AV131="FT",IF(BK131&lt;FT_First,0,IF(BK131&lt;FT_Y5,1+INT((BK131-FT_First)/FT_Int1),FT_PreY5+FT_PerYear*INT((BK131-FT_Y5)/12)+FT_AnnivDays+INT(MOD(BK131-FT_Y5,12)/FT_Int2)-IF(EDATE(AL131,FT_Y5)&lt;PolicyEff,FT_AnnivDays-1,0))),IF(AV131="PT",IF(BK131&lt;PT_First,0,1+INT((BK131-PT_First)/PT_Int)),0)),0))</f>
        <v/>
      </c>
      <c r="BM131" s="16" t="str">
        <f aca="false">IF(AK131=0,"",IF(AW131="FT",IF(AX131&lt;FT_First,"",IF(AX131&lt;FT_Y5,FT_First+FT_Int1*INT((AX131-FT_First)/FT_Int1),FT_Y5+FT_Int2*INT((AX131-FT_Y5)/FT_Int2))),IF(AW131="PT",IF(AX131&lt;PT_First,"",PT_First+PT_Int*INT((AX131-PT_First)/PT_Int)),"")))</f>
        <v/>
      </c>
      <c r="BN131" s="16" t="str">
        <f aca="false">IF(AK131=0,"",IF((SchemeStart-1)&lt;AL131,-1,12*(YEAR((SchemeStart-1))-YEAR(AL131))+MONTH((SchemeStart-1))-MONTH(AL131)-IF(DAY((SchemeStart-1))&lt;MIN(DAY(AL131),DAY(EOMONTH((SchemeStart-1),0))),1,0)))</f>
        <v/>
      </c>
      <c r="BO131" s="16" t="str">
        <f aca="false">IF(AK131=0,"",IF(OR(AM131&lt;2,AO131&gt;(SchemeStart-1)),BN131,IF((AO131-1)&lt;AL131,-1,12*(YEAR((AO131-1))-YEAR(AL131))+MONTH((AO131-1))-MONTH(AL131)-IF(DAY((AO131-1))&lt;MIN(DAY(AL131),DAY(EOMONTH((AO131-1),0))),1,0))))</f>
        <v/>
      </c>
      <c r="BP131" s="16" t="str">
        <f aca="false">IF(AK131=0,"",IF(OR(AM131&lt;3,AP131&gt;(SchemeStart-1)),BN131,IF((AP131-1)&lt;AL131,-1,12*(YEAR((AP131-1))-YEAR(AL131))+MONTH((AP131-1))-MONTH(AL131)-IF(DAY((AP131-1))&lt;MIN(DAY(AL131),DAY(EOMONTH((AP131-1),0))),1,0))))</f>
        <v/>
      </c>
      <c r="BQ131" s="16" t="str">
        <f aca="false">IF(AK131=0,"",IF(AT131="FT",IF(BO131&lt;FT_First,0,IF(BO131&lt;FT_Y5,1+INT((BO131-FT_First)/FT_Int1),FT_PreY5+FT_PerYear*INT((BO131-FT_Y5)/12)+FT_AnnivDays+INT(MOD(BO131-FT_Y5,12)/FT_Int2)-IF(EDATE(AL131,FT_Y5)&lt;PolicyEff,FT_AnnivDays-1,0))),IF(AT131="PT",IF(BO131&lt;PT_First,0,1+INT((BO131-PT_First)/PT_Int)),0))+IF(AND(AM131&gt;=2,AO131&lt;=(SchemeStart-1)),IF(AU131="FT",IF(BP131&lt;FT_First,0,IF(BP131&lt;FT_Y5,1+INT((BP131-FT_First)/FT_Int1),FT_PreY5+FT_PerYear*INT((BP131-FT_Y5)/12)+FT_AnnivDays+INT(MOD(BP131-FT_Y5,12)/FT_Int2)-IF(EDATE(AL131,FT_Y5)&lt;PolicyEff,FT_AnnivDays-1,0))),IF(AU131="PT",IF(BP131&lt;PT_First,0,1+INT((BP131-PT_First)/PT_Int)),0))-IF(AU131="FT",IF(BO131&lt;FT_First,0,IF(BO131&lt;FT_Y5,1+INT((BO131-FT_First)/FT_Int1),FT_PreY5+FT_PerYear*INT((BO131-FT_Y5)/12)+FT_AnnivDays+INT(MOD(BO131-FT_Y5,12)/FT_Int2)-IF(EDATE(AL131,FT_Y5)&lt;PolicyEff,FT_AnnivDays-1,0))),IF(AU131="PT",IF(BO131&lt;PT_First,0,1+INT((BO131-PT_First)/PT_Int)),0)),0)+IF(AND(AM131&gt;=3,AP131&lt;=(SchemeStart-1)),IF(AV131="FT",IF(BN131&lt;FT_First,0,IF(BN131&lt;FT_Y5,1+INT((BN131-FT_First)/FT_Int1),FT_PreY5+FT_PerYear*INT((BN131-FT_Y5)/12)+FT_AnnivDays+INT(MOD(BN131-FT_Y5,12)/FT_Int2)-IF(EDATE(AL131,FT_Y5)&lt;PolicyEff,FT_AnnivDays-1,0))),IF(AV131="PT",IF(BN131&lt;PT_First,0,1+INT((BN131-PT_First)/PT_Int)),0))-IF(AV131="FT",IF(BP131&lt;FT_First,0,IF(BP131&lt;FT_Y5,1+INT((BP131-FT_First)/FT_Int1),FT_PreY5+FT_PerYear*INT((BP131-FT_Y5)/12)+FT_AnnivDays+INT(MOD(BP131-FT_Y5,12)/FT_Int2)-IF(EDATE(AL131,FT_Y5)&lt;PolicyEff,FT_AnnivDays-1,0))),IF(AV131="PT",IF(BP131&lt;PT_First,0,1+INT((BP131-PT_First)/PT_Int)),0)),0))</f>
        <v/>
      </c>
      <c r="BR131" s="0" t="str">
        <f aca="false">IF(LEN($A131&amp;$B131)=0,"",$A131&amp;" "&amp;$B131)</f>
        <v/>
      </c>
    </row>
    <row r="132" customFormat="false" ht="15" hidden="false" customHeight="false" outlineLevel="0" collapsed="false">
      <c r="A132" s="12"/>
      <c r="B132" s="12"/>
      <c r="C132" s="12"/>
      <c r="D132" s="13"/>
      <c r="E132" s="14" t="str">
        <f aca="false">IF(OR(AK132=0,$D132=""),"",DATE(YEAR(AsOfDate)+IF(DATE(YEAR(AsOfDate),MONTH($D132),DAY($D132))&lt;=AsOfDate,1,0),MONTH($D132),DAY($D132)))</f>
        <v/>
      </c>
      <c r="F132" s="13"/>
      <c r="G132" s="13"/>
      <c r="H132" s="13"/>
      <c r="I132" s="13"/>
      <c r="J132" s="13"/>
      <c r="K132" s="14" t="str">
        <f aca="false">IF(AK132=0,"",DATE(YEAR(AsOfDate)+IF(DATE(YEAR(AsOfDate),MONTH(AL132),DAY(AL132))&lt;=AsOfDate,1,0),MONTH(AL132),DAY(AL132)))</f>
        <v/>
      </c>
      <c r="L132" s="15" t="str">
        <f aca="false">IF(AK132=0,"",ROUND((AsOfDate-AL132)/365.25,1))</f>
        <v/>
      </c>
      <c r="M132" s="16" t="str">
        <f aca="false">IF(AK132=0,"",IF(AsOfDate&lt;AL132,"-",DATEDIF(AL132,AsOfDate,"y")&amp;"y "&amp;DATEDIF(AL132,AsOfDate,"ym")&amp;"m "&amp;DATEDIF(AL132,AsOfDate,"md")&amp;"d"))</f>
        <v/>
      </c>
      <c r="N132" s="17" t="str">
        <f aca="false">IF(AK132=0,"",O132*HoursPerDay)</f>
        <v/>
      </c>
      <c r="O132" s="17" t="str">
        <f aca="false">IF(AK132=0,"",MAX(0,BD132-BQ132))</f>
        <v/>
      </c>
      <c r="P132" s="18"/>
      <c r="Q132" s="16" t="str">
        <f aca="false">IF(AK132=0,"",IF(AM132&lt;2,"",AQ132&amp;" to "&amp;AR132&amp;" on "&amp;TEXT(AO132,"dd/mm/yyyy")&amp;IF(AO132&gt;AsOfDate," (future)",IF(AT132=AU132,"",IF(AU132="None"," - STOPPED accruing",IF(AT132="None"," - commencement for Bonus Leave"," - pathway changed"))))&amp;IF(AM132&lt;3,"","; "&amp;AR132&amp;" to "&amp;AS132&amp;" on "&amp;TEXT(AP132,"dd/mm/yyyy")&amp;IF(AP132&gt;AsOfDate," (future)",IF(AU132=AV132,"",IF(AV132="None"," - STOPPED accruing",IF(AU132="None"," - commencement for Bonus Leave"," - pathway changed")))))))</f>
        <v/>
      </c>
      <c r="R132" s="16" t="str">
        <f aca="false">IF(AK132=0,"",IF(AW132="None",IF(O132&gt;0,"No longer accruing","Not eligible - "&amp;IF(AND(OR(ISNUMBER(SEARCH("part",$C132)),UPPER(TRIM($C132))="PT",UPPER(TRIM($C132))="PTE"),Apply2026="No"),"part-time (scheme is full-time only)",IF(AND(OR(ISNUMBER(SEARCH("part",$C132)),UPPER(TRIM($C132))="PT",UPPER(TRIM($C132))="PTE"),$P132&lt;&gt;"",N($P132)&lt;PT_MinHours),"under "&amp;PT_MinHours&amp;" hrs",IF(IF($C132="","",IF(OR(ISNUMBER(SEARCH("full",$C132)),UPPER(TRIM($C132))="FT",UPPER(TRIM($C132))="FTE"),"Full-Time",IF(OR(ISNUMBER(SEARCH("part",$C132)),UPPER(TRIM($C132))="PT",UPPER(TRIM($C132))="PTE"),"Part-Time",IF(OR(ISNUMBER(SEARCH("cas",$C132)),UPPER(TRIM($C132))="CAS"),"Casual","Unknown"))))="Unknown","type not recognised",$C132)))),IF(O132&gt;0,"Yes - Accrual Required","Not yet - from "&amp;TEXT(S132,"dd/mm/yyyy"))))</f>
        <v/>
      </c>
      <c r="S132" s="14" t="str">
        <f aca="false">IF(AK132=0,"",IF(AW132="None","",EDATE(AL132,BF132)))</f>
        <v/>
      </c>
      <c r="T132" s="17" t="str">
        <f aca="false">IF(AK132=0,"",IF(NOT(LH_Ready),"",IF($F132&gt;PFYDate,0,IF(LH_ColPeriod=0,W132-U132+V132,SUMIFS(INDEX(LH_Data,0,LH_ColAcc),INDEX(LH_Data,0,LH_ColFirst),$A132,INDEX(LH_Data,0,LH_ColSur),$B132,INDEX(LH_Data,0,LH_ColCat),BonusCat,INDEX(LH_Data,0,LH_ColPeriod),LH_OpenLabel)*UnitFactor))))</f>
        <v/>
      </c>
      <c r="U132" s="17" t="str">
        <f aca="false">IF(AK132=0,"",IF(NOT(LH_Ready),"",SUMIFS(INDEX(LH_Data,0,LH_ColAcc),INDEX(LH_Data,0,LH_ColFirst),$A132,INDEX(LH_Data,0,LH_ColSur),$B132,INDEX(LH_Data,0,LH_ColCat),BonusCat,INDEX(LH_Data,0,LH_ColStart),"&gt;="&amp;AL132)*UnitFactor))</f>
        <v/>
      </c>
      <c r="V132" s="17" t="str">
        <f aca="false">IF(AK132=0,"",IF(NOT(LH_Ready),"",SUMIFS(INDEX(LH_Data,0,LH_ColTaken),INDEX(LH_Data,0,LH_ColFirst),$A132,INDEX(LH_Data,0,LH_ColSur),$B132,INDEX(LH_Data,0,LH_ColCat),BonusCat,INDEX(LH_Data,0,LH_ColStart),"&gt;="&amp;AL132)*UnitFactor))</f>
        <v/>
      </c>
      <c r="W132" s="17" t="str">
        <f aca="false">IF(AK132=0,"",IF(NOT(LH_Ready),"",IF(BH132=0,0,INDEX(INDEX(LH_Data,0,LH_ColClose),BH132-1)*UnitFactor)))</f>
        <v/>
      </c>
      <c r="X132" s="17" t="str">
        <f aca="false">IF(AK132=0,"",(MAX(0,BD132-BQ132)-MAX(0,BE132-BQ132))*HoursPerDay)</f>
        <v/>
      </c>
      <c r="Y132" s="17" t="str">
        <f aca="false">IF(AK132=0,"",IF(NOT(LH_Ready),"",IF($AI132="Yes",N(AE132)*HoursPerDay-SUMIFS(INDEX(LH_Data,0,LH_ColAcc),INDEX(LH_Data,0,LH_ColFirst),$A132,INDEX(LH_Data,0,LH_ColSur),$B132,INDEX(LH_Data,0,LH_ColCat),BonusCat,INDEX(LH_Data,0,LH_ColStart),"&gt;="&amp;(EOMONTH(AsOfDate,-1)+1),INDEX(LH_Data,0,LH_ColStart),"&lt;="&amp;AsOfDate)*UnitFactor,IF(BG132=0,N132,N132-N(T132)-N(U132)))))</f>
        <v/>
      </c>
      <c r="Z132" s="16" t="str">
        <f aca="false">IF(OR(AK132=0,Y132=""),"",IF(Y132&gt;0,"Yes","No"))</f>
        <v/>
      </c>
      <c r="AA132" s="16" t="str">
        <f aca="false">IF(AK132=0,IF(LEN($A132&amp;$B132)=0,"","FIX INPUT - StartDate missing"),IF(AD132&lt;&gt;"","FIX INPUT - "&amp;AD132,IF(NOT(LH_Ready),"Paste Leave History export (Settings must show YES)",IF(AND($AI132="Yes",Y132&lt;=0),"OK - EH balance accepted to date"&amp;IF(N(AH132)&gt;0," (EH holds "&amp;AH132&amp;" hrs over the scheme)","")&amp;"; next day "&amp;TEXT(S132,"dd mmm yy")&amp;IF(N(AE132)&gt;0," ("&amp;AE132&amp;" day(s) for "&amp;UPPER(TEXT(AsOfDate,"mmm yyyy"))&amp;" already in EH)",""),IF(Y132&gt;0,"ACCRUE "&amp;ROUND(Y132,2)&amp;" hrs ("&amp;ROUND(Y132/HoursPerDay,2)&amp;" days): "&amp;IF(N(AE132)&gt;0,AE132&amp;" day(s) for "&amp;UPPER(TEXT(AsOfDate,"mmm yyyy"))&amp;" (milestone "&amp;UPPER(TEXT(AF132,"dd mmm yy"))&amp;")"&amp;IF(Y132/HoursPerDay&gt;AE132+0.001," + "&amp;ROUND(Y132/HoursPerDay-AE132,2)&amp;" day(s) catch-up from earlier months",""),"all catch-up from earlier months, nothing new this month")&amp;IF(BG132=0,"; no Bonus Leave in EH yet",""),IF(Y132&lt;0,"CHECK - EH accrued "&amp;ROUND(-Y132,2)&amp;" hrs more than policy since commencement",IF(N(W132)&gt;O132*HoursPerDay+0.01,"CHECK - EH balance "&amp;ROUND(W132-O132*HoursPerDay,2)&amp;" hrs more than policy entitlement",IF(O132&gt;0,"OK - nothing to add"&amp;IF(N(AE132)&gt;0," ("&amp;AE132&amp;" day(s) for "&amp;UPPER(TEXT(AsOfDate,"mmm yyyy"))&amp;" already in EH)",""),IF(AW132="None",R132,"Not yet - first day on "&amp;TEXT(S132,"dd/mm/yyyy"))))))))))</f>
        <v/>
      </c>
      <c r="AB132" s="17" t="str">
        <f aca="false">IF(OR(AK132=0,T132=""),"",MAX(0,BE132-BQ132)*HoursPerDay-T132)</f>
        <v/>
      </c>
      <c r="AC132" s="16" t="str">
        <f aca="false">IF(AK132=0,"",BG132)</f>
        <v/>
      </c>
      <c r="AD132" s="16" t="str">
        <f aca="false">IF(AK132=0,"",TRIM(IF(OR(ISTEXT($F132),ISTEXT($H132),ISTEXT($I132),ISTEXT($G132),ISTEXT($J132),ISTEXT($D132)),"A date is typed as text - retype it as dd/mm/yyyy. ","")&amp;IF(IF($C132="","",IF(OR(ISNUMBER(SEARCH("full",$C132)),UPPER(TRIM($C132))="FT",UPPER(TRIM($C132))="FTE"),"Full-Time",IF(OR(ISNUMBER(SEARCH("part",$C132)),UPPER(TRIM($C132))="PT",UPPER(TRIM($C132))="PTE"),"Part-Time",IF(OR(ISNUMBER(SEARCH("cas",$C132)),UPPER(TRIM($C132))="CAS"),"Casual","Unknown"))))="Unknown","EmploymentType not recognised - use Full-Time, Part-Time or Casual. ","")&amp;IF(AND(AM132&gt;=1,IF(AM132&gt;=3,AS132,IF(AM132=2,AR132,AQ132))&lt;&gt;IF($C132="","",IF(OR(ISNUMBER(SEARCH("full",$C132)),UPPER(TRIM($C132))="FT",UPPER(TRIM($C132))="FTE"),"Full-Time",IF(OR(ISNUMBER(SEARCH("part",$C132)),UPPER(TRIM($C132))="PT",UPPER(TRIM($C132))="PTE"),"Part-Time",IF(OR(ISNUMBER(SEARCH("cas",$C132)),UPPER(TRIM($C132))="CAS"),"Casual","Unknown"))))),"EmploymentType does not match latest start date ("&amp;IF(AM132&gt;=3,AS132,IF(AM132=2,AR132,AQ132))&amp;"). ","")&amp;IF(AND(AM132&gt;=1,AN132&lt;&gt;$F132),"Earliest type date should equal StartDate. ","")&amp;IF(AND(AM132&gt;=2,AN132=AO132),"Two types start on the same date. ","")&amp;IF(AND(OR(ISNUMBER(SEARCH("part",$C132)),UPPER(TRIM($C132))="PT",UPPER(TRIM($C132))="PTE"),$P132=""),"Part-time: enter PT Hrs/Week (blank = 24+). ","")))</f>
        <v/>
      </c>
      <c r="AE132" s="17" t="str">
        <f aca="false">IF(AK132=0,"",O132-MAX(0,BL132-BQ132))</f>
        <v/>
      </c>
      <c r="AF132" s="14" t="str">
        <f aca="false">IF(OR(AK132=0,AE132="",N(AE132)=0,BM132=""),"",EDATE(AL132,BM132))</f>
        <v/>
      </c>
      <c r="AG132" s="17" t="str">
        <f aca="false">IF(AK132=0,"",MIN(BD132,BQ132))</f>
        <v/>
      </c>
      <c r="AH132" s="17" t="str">
        <f aca="false">IF(AK132=0,"",IF(NOT(LH_Ready),"",IF(BG132=0,0,MAX(0,ROUND(N(T132)+N(U132)-N132,2)))))</f>
        <v/>
      </c>
      <c r="AI132" s="12"/>
      <c r="AJ132" s="12"/>
      <c r="AK132" s="16" t="n">
        <f aca="false">IF(OR(LEN($A132&amp;$B132)=0,$F132=""),0,1)</f>
        <v>0</v>
      </c>
      <c r="AL132" s="14" t="str">
        <f aca="false">IF(AK132=0,"",IF(PreSchemeCounts="No",MAX(SchemeStart,IF($J132&lt;&gt;"",$J132,IF(OR(CasualCounts="Yes",COUNT($G132:$I132)=0),$F132,IF(Apply2026="No",IF($I132="",$F132,$I132),IF(COUNT($H132:$I132)=0,$F132,MIN($H132:$I132)))))),IF($J132&lt;&gt;"",$J132,IF(OR(CasualCounts="Yes",COUNT($G132:$I132)=0),$F132,IF(Apply2026="No",IF($I132="",$F132,$I132),IF(COUNT($H132:$I132)=0,$F132,MIN($H132:$I132)))))))</f>
        <v/>
      </c>
      <c r="AM132" s="16" t="str">
        <f aca="false">IF(AK132=0,"",COUNT($G132:$I132))</f>
        <v/>
      </c>
      <c r="AN132" s="14" t="str">
        <f aca="false">IF(AK132=0,"",IFERROR(SMALL($G132:$I132,1),""))</f>
        <v/>
      </c>
      <c r="AO132" s="14" t="str">
        <f aca="false">IF(AK132=0,"",IFERROR(SMALL($G132:$I132,2),""))</f>
        <v/>
      </c>
      <c r="AP132" s="14" t="str">
        <f aca="false">IF(AK132=0,"",IFERROR(SMALL($G132:$I132,3),""))</f>
        <v/>
      </c>
      <c r="AQ132" s="16" t="str">
        <f aca="false">IF(AK132=0,"",IF(AN132="","",IF(AN132=$H132,"Part-Time",IF(AN132=$I132,"Full-Time","Casual"))))</f>
        <v/>
      </c>
      <c r="AR132" s="16" t="str">
        <f aca="false">IF(AK132=0,"",IF(AO132="","",IF(AO132=$H132,"Part-Time",IF(AO132=$I132,"Full-Time","Casual"))))</f>
        <v/>
      </c>
      <c r="AS132" s="16" t="str">
        <f aca="false">IF(AK132=0,"",IF(AP132="","",IF(AP132=$H132,"Part-Time",IF(AP132=$I132,"Full-Time","Casual"))))</f>
        <v/>
      </c>
      <c r="AT132" s="16" t="str">
        <f aca="false">IF(AK132=0,"",IF(AM132=0,IF(OR(ISNUMBER(SEARCH("full",$C132)),UPPER(TRIM($C132))="FT",UPPER(TRIM($C132))="FTE"),"FT",IF(AND(OR(ISNUMBER(SEARCH("part",$C132)),UPPER(TRIM($C132))="PT",UPPER(TRIM($C132))="PTE"),Apply2026="Yes",OR($P132="",N($P132)&gt;=PT_MinHours)),"PT","None")),IF(OR(ISNUMBER(SEARCH("full",AQ132)),UPPER(TRIM(AQ132))="FT",UPPER(TRIM(AQ132))="FTE"),"FT",IF(AND(OR(ISNUMBER(SEARCH("part",AQ132)),UPPER(TRIM(AQ132))="PT",UPPER(TRIM(AQ132))="PTE"),Apply2026="Yes",OR($P132="",N($P132)&gt;=PT_MinHours)),"PT","None"))))</f>
        <v/>
      </c>
      <c r="AU132" s="16" t="str">
        <f aca="false">IF(AK132=0,"",IF(AM132&lt;2,"",IF(OR(ISNUMBER(SEARCH("full",AR132)),UPPER(TRIM(AR132))="FT",UPPER(TRIM(AR132))="FTE"),"FT",IF(AND(OR(ISNUMBER(SEARCH("part",AR132)),UPPER(TRIM(AR132))="PT",UPPER(TRIM(AR132))="PTE"),Apply2026="Yes",OR($P132="",N($P132)&gt;=PT_MinHours)),"PT","None"))))</f>
        <v/>
      </c>
      <c r="AV132" s="16" t="str">
        <f aca="false">IF(AK132=0,"",IF(AM132&lt;3,"",IF(OR(ISNUMBER(SEARCH("full",AS132)),UPPER(TRIM(AS132))="FT",UPPER(TRIM(AS132))="FTE"),"FT",IF(AND(OR(ISNUMBER(SEARCH("part",AS132)),UPPER(TRIM(AS132))="PT",UPPER(TRIM(AS132))="PTE"),Apply2026="Yes",OR($P132="",N($P132)&gt;=PT_MinHours)),"PT","None"))))</f>
        <v/>
      </c>
      <c r="AW132" s="16" t="str">
        <f aca="false">IF(AK132=0,"",IF(AND(AM132&gt;=3,AP132&lt;=AsOfDate),AV132,IF(AND(AM132&gt;=2,AO132&lt;=AsOfDate),AU132,AT132)))</f>
        <v/>
      </c>
      <c r="AX132" s="16" t="str">
        <f aca="false">IF(AK132=0,"",IF(AsOfDate&lt;AL132,-1,12*(YEAR(AsOfDate)-YEAR(AL132))+MONTH(AsOfDate)-MONTH(AL132)-IF(DAY(AsOfDate)&lt;MIN(DAY(AL132),DAY(EOMONTH(AsOfDate,0))),1,0)))</f>
        <v/>
      </c>
      <c r="AY132" s="16" t="str">
        <f aca="false">IF(AK132=0,"",IF(OR(AM132&lt;2,AO132&gt;AsOfDate),AX132,IF((AO132-1)&lt;AL132,-1,12*(YEAR((AO132-1))-YEAR(AL132))+MONTH((AO132-1))-MONTH(AL132)-IF(DAY((AO132-1))&lt;MIN(DAY(AL132),DAY(EOMONTH((AO132-1),0))),1,0))))</f>
        <v/>
      </c>
      <c r="AZ132" s="16" t="str">
        <f aca="false">IF(AK132=0,"",IF(OR(AM132&lt;3,AP132&gt;AsOfDate),AX132,IF((AP132-1)&lt;AL132,-1,12*(YEAR((AP132-1))-YEAR(AL132))+MONTH((AP132-1))-MONTH(AL132)-IF(DAY((AP132-1))&lt;MIN(DAY(AL132),DAY(EOMONTH((AP132-1),0))),1,0))))</f>
        <v/>
      </c>
      <c r="BA132" s="16" t="str">
        <f aca="false">IF(AK132=0,"",IF(PFYDate&lt;AL132,-1,12*(YEAR(PFYDate)-YEAR(AL132))+MONTH(PFYDate)-MONTH(AL132)-IF(DAY(PFYDate)&lt;MIN(DAY(AL132),DAY(EOMONTH(PFYDate,0))),1,0)))</f>
        <v/>
      </c>
      <c r="BB132" s="16" t="str">
        <f aca="false">IF(AK132=0,"",IF(OR(AM132&lt;2,AO132&gt;PFYDate),BA132,IF((AO132-1)&lt;AL132,-1,12*(YEAR((AO132-1))-YEAR(AL132))+MONTH((AO132-1))-MONTH(AL132)-IF(DAY((AO132-1))&lt;MIN(DAY(AL132),DAY(EOMONTH((AO132-1),0))),1,0))))</f>
        <v/>
      </c>
      <c r="BC132" s="16" t="str">
        <f aca="false">IF(AK132=0,"",IF(OR(AM132&lt;3,AP132&gt;PFYDate),BA132,IF((AP132-1)&lt;AL132,-1,12*(YEAR((AP132-1))-YEAR(AL132))+MONTH((AP132-1))-MONTH(AL132)-IF(DAY((AP132-1))&lt;MIN(DAY(AL132),DAY(EOMONTH((AP132-1),0))),1,0))))</f>
        <v/>
      </c>
      <c r="BD132" s="16" t="str">
        <f aca="false">IF(AK132=0,"",IF(AT132="FT",IF(AY132&lt;FT_First,0,IF(AY132&lt;FT_Y5,1+INT((AY132-FT_First)/FT_Int1),FT_PreY5+FT_PerYear*INT((AY132-FT_Y5)/12)+FT_AnnivDays+INT(MOD(AY132-FT_Y5,12)/FT_Int2)-IF(EDATE(AL132,FT_Y5)&lt;PolicyEff,FT_AnnivDays-1,0))),IF(AT132="PT",IF(AY132&lt;PT_First,0,1+INT((AY132-PT_First)/PT_Int)),0))+IF(AND(AM132&gt;=2,AO132&lt;=AsOfDate),IF(AU132="FT",IF(AZ132&lt;FT_First,0,IF(AZ132&lt;FT_Y5,1+INT((AZ132-FT_First)/FT_Int1),FT_PreY5+FT_PerYear*INT((AZ132-FT_Y5)/12)+FT_AnnivDays+INT(MOD(AZ132-FT_Y5,12)/FT_Int2)-IF(EDATE(AL132,FT_Y5)&lt;PolicyEff,FT_AnnivDays-1,0))),IF(AU132="PT",IF(AZ132&lt;PT_First,0,1+INT((AZ132-PT_First)/PT_Int)),0))-IF(AU132="FT",IF(AY132&lt;FT_First,0,IF(AY132&lt;FT_Y5,1+INT((AY132-FT_First)/FT_Int1),FT_PreY5+FT_PerYear*INT((AY132-FT_Y5)/12)+FT_AnnivDays+INT(MOD(AY132-FT_Y5,12)/FT_Int2)-IF(EDATE(AL132,FT_Y5)&lt;PolicyEff,FT_AnnivDays-1,0))),IF(AU132="PT",IF(AY132&lt;PT_First,0,1+INT((AY132-PT_First)/PT_Int)),0)),0)+IF(AND(AM132&gt;=3,AP132&lt;=AsOfDate),IF(AV132="FT",IF(AX132&lt;FT_First,0,IF(AX132&lt;FT_Y5,1+INT((AX132-FT_First)/FT_Int1),FT_PreY5+FT_PerYear*INT((AX132-FT_Y5)/12)+FT_AnnivDays+INT(MOD(AX132-FT_Y5,12)/FT_Int2)-IF(EDATE(AL132,FT_Y5)&lt;PolicyEff,FT_AnnivDays-1,0))),IF(AV132="PT",IF(AX132&lt;PT_First,0,1+INT((AX132-PT_First)/PT_Int)),0))-IF(AV132="FT",IF(AZ132&lt;FT_First,0,IF(AZ132&lt;FT_Y5,1+INT((AZ132-FT_First)/FT_Int1),FT_PreY5+FT_PerYear*INT((AZ132-FT_Y5)/12)+FT_AnnivDays+INT(MOD(AZ132-FT_Y5,12)/FT_Int2)-IF(EDATE(AL132,FT_Y5)&lt;PolicyEff,FT_AnnivDays-1,0))),IF(AV132="PT",IF(AZ132&lt;PT_First,0,1+INT((AZ132-PT_First)/PT_Int)),0)),0))</f>
        <v/>
      </c>
      <c r="BE132" s="16" t="str">
        <f aca="false">IF(AK132=0,"",IF(AT132="FT",IF(BB132&lt;FT_First,0,IF(BB132&lt;FT_Y5,1+INT((BB132-FT_First)/FT_Int1),FT_PreY5+FT_PerYear*INT((BB132-FT_Y5)/12)+FT_AnnivDays+INT(MOD(BB132-FT_Y5,12)/FT_Int2)-IF(EDATE(AL132,FT_Y5)&lt;PolicyEff,FT_AnnivDays-1,0))),IF(AT132="PT",IF(BB132&lt;PT_First,0,1+INT((BB132-PT_First)/PT_Int)),0))+IF(AND(AM132&gt;=2,AO132&lt;=PFYDate),IF(AU132="FT",IF(BC132&lt;FT_First,0,IF(BC132&lt;FT_Y5,1+INT((BC132-FT_First)/FT_Int1),FT_PreY5+FT_PerYear*INT((BC132-FT_Y5)/12)+FT_AnnivDays+INT(MOD(BC132-FT_Y5,12)/FT_Int2)-IF(EDATE(AL132,FT_Y5)&lt;PolicyEff,FT_AnnivDays-1,0))),IF(AU132="PT",IF(BC132&lt;PT_First,0,1+INT((BC132-PT_First)/PT_Int)),0))-IF(AU132="FT",IF(BB132&lt;FT_First,0,IF(BB132&lt;FT_Y5,1+INT((BB132-FT_First)/FT_Int1),FT_PreY5+FT_PerYear*INT((BB132-FT_Y5)/12)+FT_AnnivDays+INT(MOD(BB132-FT_Y5,12)/FT_Int2)-IF(EDATE(AL132,FT_Y5)&lt;PolicyEff,FT_AnnivDays-1,0))),IF(AU132="PT",IF(BB132&lt;PT_First,0,1+INT((BB132-PT_First)/PT_Int)),0)),0)+IF(AND(AM132&gt;=3,AP132&lt;=PFYDate),IF(AV132="FT",IF(BA132&lt;FT_First,0,IF(BA132&lt;FT_Y5,1+INT((BA132-FT_First)/FT_Int1),FT_PreY5+FT_PerYear*INT((BA132-FT_Y5)/12)+FT_AnnivDays+INT(MOD(BA132-FT_Y5,12)/FT_Int2)-IF(EDATE(AL132,FT_Y5)&lt;PolicyEff,FT_AnnivDays-1,0))),IF(AV132="PT",IF(BA132&lt;PT_First,0,1+INT((BA132-PT_First)/PT_Int)),0))-IF(AV132="FT",IF(BC132&lt;FT_First,0,IF(BC132&lt;FT_Y5,1+INT((BC132-FT_First)/FT_Int1),FT_PreY5+FT_PerYear*INT((BC132-FT_Y5)/12)+FT_AnnivDays+INT(MOD(BC132-FT_Y5,12)/FT_Int2)-IF(EDATE(AL132,FT_Y5)&lt;PolicyEff,FT_AnnivDays-1,0))),IF(AV132="PT",IF(BC132&lt;PT_First,0,1+INT((BC132-PT_First)/PT_Int)),0)),0))</f>
        <v/>
      </c>
      <c r="BF132" s="16" t="str">
        <f aca="false">IF(AK132=0,"",IF(AW132="FT",IF(AX132&lt;FT_First,FT_First,IF(AX132&lt;FT_Y5,MIN(FT_Y5,FT_First+FT_Int1*(INT((AX132-FT_First)/FT_Int1)+1)),FT_Y5+12*INT((AX132-FT_Y5)/12)+FT_Int2*(INT(MOD(AX132-FT_Y5,12)/FT_Int2)+1))),IF(AW132="PT",IF(AX132&lt;PT_First,PT_First,PT_First+PT_Int*(INT((AX132-PT_First)/PT_Int)+1)),"")))</f>
        <v/>
      </c>
      <c r="BG132" s="16" t="str">
        <f aca="false">IF(AK132=0,"",IF(NOT(LH_Ready),0,COUNTIFS(INDEX(LH_Data,0,LH_ColFirst),$A132,INDEX(LH_Data,0,LH_ColSur),$B132,INDEX(LH_Data,0,LH_ColCat),BonusCat)))</f>
        <v/>
      </c>
      <c r="BH132" s="16" t="str">
        <f aca="false">IF(AK132=0,"",IF(OR(NOT(LH_Ready),BG132=0),0,SUMPRODUCT(MAX((INDEX(LH_Data,0,LH_ColFirst)=$A132)*(INDEX(LH_Data,0,LH_ColSur)=$B132)*(INDEX(LH_Data,0,LH_ColCat)=BonusCat)*ROW(LH_Data)))))</f>
        <v/>
      </c>
      <c r="BI132" s="16" t="str">
        <f aca="false">IF(AK132=0,"",IF(EOMONTH(AsOfDate,-1)&lt;AL132,-1,12*(YEAR(EOMONTH(AsOfDate,-1))-YEAR(AL132))+MONTH(EOMONTH(AsOfDate,-1))-MONTH(AL132)-IF(DAY(EOMONTH(AsOfDate,-1))&lt;MIN(DAY(AL132),DAY(EOMONTH(EOMONTH(AsOfDate,-1),0))),1,0)))</f>
        <v/>
      </c>
      <c r="BJ132" s="16" t="str">
        <f aca="false">IF(AK132=0,"",IF(OR(AM132&lt;2,AO132&gt;EOMONTH(AsOfDate,-1)),BI132,IF((AO132-1)&lt;AL132,-1,12*(YEAR((AO132-1))-YEAR(AL132))+MONTH((AO132-1))-MONTH(AL132)-IF(DAY((AO132-1))&lt;MIN(DAY(AL132),DAY(EOMONTH((AO132-1),0))),1,0))))</f>
        <v/>
      </c>
      <c r="BK132" s="16" t="str">
        <f aca="false">IF(AK132=0,"",IF(OR(AM132&lt;3,AP132&gt;EOMONTH(AsOfDate,-1)),BI132,IF((AP132-1)&lt;AL132,-1,12*(YEAR((AP132-1))-YEAR(AL132))+MONTH((AP132-1))-MONTH(AL132)-IF(DAY((AP132-1))&lt;MIN(DAY(AL132),DAY(EOMONTH((AP132-1),0))),1,0))))</f>
        <v/>
      </c>
      <c r="BL132" s="16" t="str">
        <f aca="false">IF(AK132=0,"",IF(AT132="FT",IF(BJ132&lt;FT_First,0,IF(BJ132&lt;FT_Y5,1+INT((BJ132-FT_First)/FT_Int1),FT_PreY5+FT_PerYear*INT((BJ132-FT_Y5)/12)+FT_AnnivDays+INT(MOD(BJ132-FT_Y5,12)/FT_Int2)-IF(EDATE(AL132,FT_Y5)&lt;PolicyEff,FT_AnnivDays-1,0))),IF(AT132="PT",IF(BJ132&lt;PT_First,0,1+INT((BJ132-PT_First)/PT_Int)),0))+IF(AND(AM132&gt;=2,AO132&lt;=EOMONTH(AsOfDate,-1)),IF(AU132="FT",IF(BK132&lt;FT_First,0,IF(BK132&lt;FT_Y5,1+INT((BK132-FT_First)/FT_Int1),FT_PreY5+FT_PerYear*INT((BK132-FT_Y5)/12)+FT_AnnivDays+INT(MOD(BK132-FT_Y5,12)/FT_Int2)-IF(EDATE(AL132,FT_Y5)&lt;PolicyEff,FT_AnnivDays-1,0))),IF(AU132="PT",IF(BK132&lt;PT_First,0,1+INT((BK132-PT_First)/PT_Int)),0))-IF(AU132="FT",IF(BJ132&lt;FT_First,0,IF(BJ132&lt;FT_Y5,1+INT((BJ132-FT_First)/FT_Int1),FT_PreY5+FT_PerYear*INT((BJ132-FT_Y5)/12)+FT_AnnivDays+INT(MOD(BJ132-FT_Y5,12)/FT_Int2)-IF(EDATE(AL132,FT_Y5)&lt;PolicyEff,FT_AnnivDays-1,0))),IF(AU132="PT",IF(BJ132&lt;PT_First,0,1+INT((BJ132-PT_First)/PT_Int)),0)),0)+IF(AND(AM132&gt;=3,AP132&lt;=EOMONTH(AsOfDate,-1)),IF(AV132="FT",IF(BI132&lt;FT_First,0,IF(BI132&lt;FT_Y5,1+INT((BI132-FT_First)/FT_Int1),FT_PreY5+FT_PerYear*INT((BI132-FT_Y5)/12)+FT_AnnivDays+INT(MOD(BI132-FT_Y5,12)/FT_Int2)-IF(EDATE(AL132,FT_Y5)&lt;PolicyEff,FT_AnnivDays-1,0))),IF(AV132="PT",IF(BI132&lt;PT_First,0,1+INT((BI132-PT_First)/PT_Int)),0))-IF(AV132="FT",IF(BK132&lt;FT_First,0,IF(BK132&lt;FT_Y5,1+INT((BK132-FT_First)/FT_Int1),FT_PreY5+FT_PerYear*INT((BK132-FT_Y5)/12)+FT_AnnivDays+INT(MOD(BK132-FT_Y5,12)/FT_Int2)-IF(EDATE(AL132,FT_Y5)&lt;PolicyEff,FT_AnnivDays-1,0))),IF(AV132="PT",IF(BK132&lt;PT_First,0,1+INT((BK132-PT_First)/PT_Int)),0)),0))</f>
        <v/>
      </c>
      <c r="BM132" s="16" t="str">
        <f aca="false">IF(AK132=0,"",IF(AW132="FT",IF(AX132&lt;FT_First,"",IF(AX132&lt;FT_Y5,FT_First+FT_Int1*INT((AX132-FT_First)/FT_Int1),FT_Y5+FT_Int2*INT((AX132-FT_Y5)/FT_Int2))),IF(AW132="PT",IF(AX132&lt;PT_First,"",PT_First+PT_Int*INT((AX132-PT_First)/PT_Int)),"")))</f>
        <v/>
      </c>
      <c r="BN132" s="16" t="str">
        <f aca="false">IF(AK132=0,"",IF((SchemeStart-1)&lt;AL132,-1,12*(YEAR((SchemeStart-1))-YEAR(AL132))+MONTH((SchemeStart-1))-MONTH(AL132)-IF(DAY((SchemeStart-1))&lt;MIN(DAY(AL132),DAY(EOMONTH((SchemeStart-1),0))),1,0)))</f>
        <v/>
      </c>
      <c r="BO132" s="16" t="str">
        <f aca="false">IF(AK132=0,"",IF(OR(AM132&lt;2,AO132&gt;(SchemeStart-1)),BN132,IF((AO132-1)&lt;AL132,-1,12*(YEAR((AO132-1))-YEAR(AL132))+MONTH((AO132-1))-MONTH(AL132)-IF(DAY((AO132-1))&lt;MIN(DAY(AL132),DAY(EOMONTH((AO132-1),0))),1,0))))</f>
        <v/>
      </c>
      <c r="BP132" s="16" t="str">
        <f aca="false">IF(AK132=0,"",IF(OR(AM132&lt;3,AP132&gt;(SchemeStart-1)),BN132,IF((AP132-1)&lt;AL132,-1,12*(YEAR((AP132-1))-YEAR(AL132))+MONTH((AP132-1))-MONTH(AL132)-IF(DAY((AP132-1))&lt;MIN(DAY(AL132),DAY(EOMONTH((AP132-1),0))),1,0))))</f>
        <v/>
      </c>
      <c r="BQ132" s="16" t="str">
        <f aca="false">IF(AK132=0,"",IF(AT132="FT",IF(BO132&lt;FT_First,0,IF(BO132&lt;FT_Y5,1+INT((BO132-FT_First)/FT_Int1),FT_PreY5+FT_PerYear*INT((BO132-FT_Y5)/12)+FT_AnnivDays+INT(MOD(BO132-FT_Y5,12)/FT_Int2)-IF(EDATE(AL132,FT_Y5)&lt;PolicyEff,FT_AnnivDays-1,0))),IF(AT132="PT",IF(BO132&lt;PT_First,0,1+INT((BO132-PT_First)/PT_Int)),0))+IF(AND(AM132&gt;=2,AO132&lt;=(SchemeStart-1)),IF(AU132="FT",IF(BP132&lt;FT_First,0,IF(BP132&lt;FT_Y5,1+INT((BP132-FT_First)/FT_Int1),FT_PreY5+FT_PerYear*INT((BP132-FT_Y5)/12)+FT_AnnivDays+INT(MOD(BP132-FT_Y5,12)/FT_Int2)-IF(EDATE(AL132,FT_Y5)&lt;PolicyEff,FT_AnnivDays-1,0))),IF(AU132="PT",IF(BP132&lt;PT_First,0,1+INT((BP132-PT_First)/PT_Int)),0))-IF(AU132="FT",IF(BO132&lt;FT_First,0,IF(BO132&lt;FT_Y5,1+INT((BO132-FT_First)/FT_Int1),FT_PreY5+FT_PerYear*INT((BO132-FT_Y5)/12)+FT_AnnivDays+INT(MOD(BO132-FT_Y5,12)/FT_Int2)-IF(EDATE(AL132,FT_Y5)&lt;PolicyEff,FT_AnnivDays-1,0))),IF(AU132="PT",IF(BO132&lt;PT_First,0,1+INT((BO132-PT_First)/PT_Int)),0)),0)+IF(AND(AM132&gt;=3,AP132&lt;=(SchemeStart-1)),IF(AV132="FT",IF(BN132&lt;FT_First,0,IF(BN132&lt;FT_Y5,1+INT((BN132-FT_First)/FT_Int1),FT_PreY5+FT_PerYear*INT((BN132-FT_Y5)/12)+FT_AnnivDays+INT(MOD(BN132-FT_Y5,12)/FT_Int2)-IF(EDATE(AL132,FT_Y5)&lt;PolicyEff,FT_AnnivDays-1,0))),IF(AV132="PT",IF(BN132&lt;PT_First,0,1+INT((BN132-PT_First)/PT_Int)),0))-IF(AV132="FT",IF(BP132&lt;FT_First,0,IF(BP132&lt;FT_Y5,1+INT((BP132-FT_First)/FT_Int1),FT_PreY5+FT_PerYear*INT((BP132-FT_Y5)/12)+FT_AnnivDays+INT(MOD(BP132-FT_Y5,12)/FT_Int2)-IF(EDATE(AL132,FT_Y5)&lt;PolicyEff,FT_AnnivDays-1,0))),IF(AV132="PT",IF(BP132&lt;PT_First,0,1+INT((BP132-PT_First)/PT_Int)),0)),0))</f>
        <v/>
      </c>
      <c r="BR132" s="0" t="str">
        <f aca="false">IF(LEN($A132&amp;$B132)=0,"",$A132&amp;" "&amp;$B132)</f>
        <v/>
      </c>
    </row>
    <row r="133" customFormat="false" ht="15" hidden="false" customHeight="false" outlineLevel="0" collapsed="false">
      <c r="A133" s="12"/>
      <c r="B133" s="12"/>
      <c r="C133" s="12"/>
      <c r="D133" s="13"/>
      <c r="E133" s="14" t="str">
        <f aca="false">IF(OR(AK133=0,$D133=""),"",DATE(YEAR(AsOfDate)+IF(DATE(YEAR(AsOfDate),MONTH($D133),DAY($D133))&lt;=AsOfDate,1,0),MONTH($D133),DAY($D133)))</f>
        <v/>
      </c>
      <c r="F133" s="13"/>
      <c r="G133" s="13"/>
      <c r="H133" s="13"/>
      <c r="I133" s="13"/>
      <c r="J133" s="13"/>
      <c r="K133" s="14" t="str">
        <f aca="false">IF(AK133=0,"",DATE(YEAR(AsOfDate)+IF(DATE(YEAR(AsOfDate),MONTH(AL133),DAY(AL133))&lt;=AsOfDate,1,0),MONTH(AL133),DAY(AL133)))</f>
        <v/>
      </c>
      <c r="L133" s="15" t="str">
        <f aca="false">IF(AK133=0,"",ROUND((AsOfDate-AL133)/365.25,1))</f>
        <v/>
      </c>
      <c r="M133" s="16" t="str">
        <f aca="false">IF(AK133=0,"",IF(AsOfDate&lt;AL133,"-",DATEDIF(AL133,AsOfDate,"y")&amp;"y "&amp;DATEDIF(AL133,AsOfDate,"ym")&amp;"m "&amp;DATEDIF(AL133,AsOfDate,"md")&amp;"d"))</f>
        <v/>
      </c>
      <c r="N133" s="17" t="str">
        <f aca="false">IF(AK133=0,"",O133*HoursPerDay)</f>
        <v/>
      </c>
      <c r="O133" s="17" t="str">
        <f aca="false">IF(AK133=0,"",MAX(0,BD133-BQ133))</f>
        <v/>
      </c>
      <c r="P133" s="18"/>
      <c r="Q133" s="16" t="str">
        <f aca="false">IF(AK133=0,"",IF(AM133&lt;2,"",AQ133&amp;" to "&amp;AR133&amp;" on "&amp;TEXT(AO133,"dd/mm/yyyy")&amp;IF(AO133&gt;AsOfDate," (future)",IF(AT133=AU133,"",IF(AU133="None"," - STOPPED accruing",IF(AT133="None"," - commencement for Bonus Leave"," - pathway changed"))))&amp;IF(AM133&lt;3,"","; "&amp;AR133&amp;" to "&amp;AS133&amp;" on "&amp;TEXT(AP133,"dd/mm/yyyy")&amp;IF(AP133&gt;AsOfDate," (future)",IF(AU133=AV133,"",IF(AV133="None"," - STOPPED accruing",IF(AU133="None"," - commencement for Bonus Leave"," - pathway changed")))))))</f>
        <v/>
      </c>
      <c r="R133" s="16" t="str">
        <f aca="false">IF(AK133=0,"",IF(AW133="None",IF(O133&gt;0,"No longer accruing","Not eligible - "&amp;IF(AND(OR(ISNUMBER(SEARCH("part",$C133)),UPPER(TRIM($C133))="PT",UPPER(TRIM($C133))="PTE"),Apply2026="No"),"part-time (scheme is full-time only)",IF(AND(OR(ISNUMBER(SEARCH("part",$C133)),UPPER(TRIM($C133))="PT",UPPER(TRIM($C133))="PTE"),$P133&lt;&gt;"",N($P133)&lt;PT_MinHours),"under "&amp;PT_MinHours&amp;" hrs",IF(IF($C133="","",IF(OR(ISNUMBER(SEARCH("full",$C133)),UPPER(TRIM($C133))="FT",UPPER(TRIM($C133))="FTE"),"Full-Time",IF(OR(ISNUMBER(SEARCH("part",$C133)),UPPER(TRIM($C133))="PT",UPPER(TRIM($C133))="PTE"),"Part-Time",IF(OR(ISNUMBER(SEARCH("cas",$C133)),UPPER(TRIM($C133))="CAS"),"Casual","Unknown"))))="Unknown","type not recognised",$C133)))),IF(O133&gt;0,"Yes - Accrual Required","Not yet - from "&amp;TEXT(S133,"dd/mm/yyyy"))))</f>
        <v/>
      </c>
      <c r="S133" s="14" t="str">
        <f aca="false">IF(AK133=0,"",IF(AW133="None","",EDATE(AL133,BF133)))</f>
        <v/>
      </c>
      <c r="T133" s="17" t="str">
        <f aca="false">IF(AK133=0,"",IF(NOT(LH_Ready),"",IF($F133&gt;PFYDate,0,IF(LH_ColPeriod=0,W133-U133+V133,SUMIFS(INDEX(LH_Data,0,LH_ColAcc),INDEX(LH_Data,0,LH_ColFirst),$A133,INDEX(LH_Data,0,LH_ColSur),$B133,INDEX(LH_Data,0,LH_ColCat),BonusCat,INDEX(LH_Data,0,LH_ColPeriod),LH_OpenLabel)*UnitFactor))))</f>
        <v/>
      </c>
      <c r="U133" s="17" t="str">
        <f aca="false">IF(AK133=0,"",IF(NOT(LH_Ready),"",SUMIFS(INDEX(LH_Data,0,LH_ColAcc),INDEX(LH_Data,0,LH_ColFirst),$A133,INDEX(LH_Data,0,LH_ColSur),$B133,INDEX(LH_Data,0,LH_ColCat),BonusCat,INDEX(LH_Data,0,LH_ColStart),"&gt;="&amp;AL133)*UnitFactor))</f>
        <v/>
      </c>
      <c r="V133" s="17" t="str">
        <f aca="false">IF(AK133=0,"",IF(NOT(LH_Ready),"",SUMIFS(INDEX(LH_Data,0,LH_ColTaken),INDEX(LH_Data,0,LH_ColFirst),$A133,INDEX(LH_Data,0,LH_ColSur),$B133,INDEX(LH_Data,0,LH_ColCat),BonusCat,INDEX(LH_Data,0,LH_ColStart),"&gt;="&amp;AL133)*UnitFactor))</f>
        <v/>
      </c>
      <c r="W133" s="17" t="str">
        <f aca="false">IF(AK133=0,"",IF(NOT(LH_Ready),"",IF(BH133=0,0,INDEX(INDEX(LH_Data,0,LH_ColClose),BH133-1)*UnitFactor)))</f>
        <v/>
      </c>
      <c r="X133" s="17" t="str">
        <f aca="false">IF(AK133=0,"",(MAX(0,BD133-BQ133)-MAX(0,BE133-BQ133))*HoursPerDay)</f>
        <v/>
      </c>
      <c r="Y133" s="17" t="str">
        <f aca="false">IF(AK133=0,"",IF(NOT(LH_Ready),"",IF($AI133="Yes",N(AE133)*HoursPerDay-SUMIFS(INDEX(LH_Data,0,LH_ColAcc),INDEX(LH_Data,0,LH_ColFirst),$A133,INDEX(LH_Data,0,LH_ColSur),$B133,INDEX(LH_Data,0,LH_ColCat),BonusCat,INDEX(LH_Data,0,LH_ColStart),"&gt;="&amp;(EOMONTH(AsOfDate,-1)+1),INDEX(LH_Data,0,LH_ColStart),"&lt;="&amp;AsOfDate)*UnitFactor,IF(BG133=0,N133,N133-N(T133)-N(U133)))))</f>
        <v/>
      </c>
      <c r="Z133" s="16" t="str">
        <f aca="false">IF(OR(AK133=0,Y133=""),"",IF(Y133&gt;0,"Yes","No"))</f>
        <v/>
      </c>
      <c r="AA133" s="16" t="str">
        <f aca="false">IF(AK133=0,IF(LEN($A133&amp;$B133)=0,"","FIX INPUT - StartDate missing"),IF(AD133&lt;&gt;"","FIX INPUT - "&amp;AD133,IF(NOT(LH_Ready),"Paste Leave History export (Settings must show YES)",IF(AND($AI133="Yes",Y133&lt;=0),"OK - EH balance accepted to date"&amp;IF(N(AH133)&gt;0," (EH holds "&amp;AH133&amp;" hrs over the scheme)","")&amp;"; next day "&amp;TEXT(S133,"dd mmm yy")&amp;IF(N(AE133)&gt;0," ("&amp;AE133&amp;" day(s) for "&amp;UPPER(TEXT(AsOfDate,"mmm yyyy"))&amp;" already in EH)",""),IF(Y133&gt;0,"ACCRUE "&amp;ROUND(Y133,2)&amp;" hrs ("&amp;ROUND(Y133/HoursPerDay,2)&amp;" days): "&amp;IF(N(AE133)&gt;0,AE133&amp;" day(s) for "&amp;UPPER(TEXT(AsOfDate,"mmm yyyy"))&amp;" (milestone "&amp;UPPER(TEXT(AF133,"dd mmm yy"))&amp;")"&amp;IF(Y133/HoursPerDay&gt;AE133+0.001," + "&amp;ROUND(Y133/HoursPerDay-AE133,2)&amp;" day(s) catch-up from earlier months",""),"all catch-up from earlier months, nothing new this month")&amp;IF(BG133=0,"; no Bonus Leave in EH yet",""),IF(Y133&lt;0,"CHECK - EH accrued "&amp;ROUND(-Y133,2)&amp;" hrs more than policy since commencement",IF(N(W133)&gt;O133*HoursPerDay+0.01,"CHECK - EH balance "&amp;ROUND(W133-O133*HoursPerDay,2)&amp;" hrs more than policy entitlement",IF(O133&gt;0,"OK - nothing to add"&amp;IF(N(AE133)&gt;0," ("&amp;AE133&amp;" day(s) for "&amp;UPPER(TEXT(AsOfDate,"mmm yyyy"))&amp;" already in EH)",""),IF(AW133="None",R133,"Not yet - first day on "&amp;TEXT(S133,"dd/mm/yyyy"))))))))))</f>
        <v/>
      </c>
      <c r="AB133" s="17" t="str">
        <f aca="false">IF(OR(AK133=0,T133=""),"",MAX(0,BE133-BQ133)*HoursPerDay-T133)</f>
        <v/>
      </c>
      <c r="AC133" s="16" t="str">
        <f aca="false">IF(AK133=0,"",BG133)</f>
        <v/>
      </c>
      <c r="AD133" s="16" t="str">
        <f aca="false">IF(AK133=0,"",TRIM(IF(OR(ISTEXT($F133),ISTEXT($H133),ISTEXT($I133),ISTEXT($G133),ISTEXT($J133),ISTEXT($D133)),"A date is typed as text - retype it as dd/mm/yyyy. ","")&amp;IF(IF($C133="","",IF(OR(ISNUMBER(SEARCH("full",$C133)),UPPER(TRIM($C133))="FT",UPPER(TRIM($C133))="FTE"),"Full-Time",IF(OR(ISNUMBER(SEARCH("part",$C133)),UPPER(TRIM($C133))="PT",UPPER(TRIM($C133))="PTE"),"Part-Time",IF(OR(ISNUMBER(SEARCH("cas",$C133)),UPPER(TRIM($C133))="CAS"),"Casual","Unknown"))))="Unknown","EmploymentType not recognised - use Full-Time, Part-Time or Casual. ","")&amp;IF(AND(AM133&gt;=1,IF(AM133&gt;=3,AS133,IF(AM133=2,AR133,AQ133))&lt;&gt;IF($C133="","",IF(OR(ISNUMBER(SEARCH("full",$C133)),UPPER(TRIM($C133))="FT",UPPER(TRIM($C133))="FTE"),"Full-Time",IF(OR(ISNUMBER(SEARCH("part",$C133)),UPPER(TRIM($C133))="PT",UPPER(TRIM($C133))="PTE"),"Part-Time",IF(OR(ISNUMBER(SEARCH("cas",$C133)),UPPER(TRIM($C133))="CAS"),"Casual","Unknown"))))),"EmploymentType does not match latest start date ("&amp;IF(AM133&gt;=3,AS133,IF(AM133=2,AR133,AQ133))&amp;"). ","")&amp;IF(AND(AM133&gt;=1,AN133&lt;&gt;$F133),"Earliest type date should equal StartDate. ","")&amp;IF(AND(AM133&gt;=2,AN133=AO133),"Two types start on the same date. ","")&amp;IF(AND(OR(ISNUMBER(SEARCH("part",$C133)),UPPER(TRIM($C133))="PT",UPPER(TRIM($C133))="PTE"),$P133=""),"Part-time: enter PT Hrs/Week (blank = 24+). ","")))</f>
        <v/>
      </c>
      <c r="AE133" s="17" t="str">
        <f aca="false">IF(AK133=0,"",O133-MAX(0,BL133-BQ133))</f>
        <v/>
      </c>
      <c r="AF133" s="14" t="str">
        <f aca="false">IF(OR(AK133=0,AE133="",N(AE133)=0,BM133=""),"",EDATE(AL133,BM133))</f>
        <v/>
      </c>
      <c r="AG133" s="17" t="str">
        <f aca="false">IF(AK133=0,"",MIN(BD133,BQ133))</f>
        <v/>
      </c>
      <c r="AH133" s="17" t="str">
        <f aca="false">IF(AK133=0,"",IF(NOT(LH_Ready),"",IF(BG133=0,0,MAX(0,ROUND(N(T133)+N(U133)-N133,2)))))</f>
        <v/>
      </c>
      <c r="AI133" s="12"/>
      <c r="AJ133" s="12"/>
      <c r="AK133" s="16" t="n">
        <f aca="false">IF(OR(LEN($A133&amp;$B133)=0,$F133=""),0,1)</f>
        <v>0</v>
      </c>
      <c r="AL133" s="14" t="str">
        <f aca="false">IF(AK133=0,"",IF(PreSchemeCounts="No",MAX(SchemeStart,IF($J133&lt;&gt;"",$J133,IF(OR(CasualCounts="Yes",COUNT($G133:$I133)=0),$F133,IF(Apply2026="No",IF($I133="",$F133,$I133),IF(COUNT($H133:$I133)=0,$F133,MIN($H133:$I133)))))),IF($J133&lt;&gt;"",$J133,IF(OR(CasualCounts="Yes",COUNT($G133:$I133)=0),$F133,IF(Apply2026="No",IF($I133="",$F133,$I133),IF(COUNT($H133:$I133)=0,$F133,MIN($H133:$I133)))))))</f>
        <v/>
      </c>
      <c r="AM133" s="16" t="str">
        <f aca="false">IF(AK133=0,"",COUNT($G133:$I133))</f>
        <v/>
      </c>
      <c r="AN133" s="14" t="str">
        <f aca="false">IF(AK133=0,"",IFERROR(SMALL($G133:$I133,1),""))</f>
        <v/>
      </c>
      <c r="AO133" s="14" t="str">
        <f aca="false">IF(AK133=0,"",IFERROR(SMALL($G133:$I133,2),""))</f>
        <v/>
      </c>
      <c r="AP133" s="14" t="str">
        <f aca="false">IF(AK133=0,"",IFERROR(SMALL($G133:$I133,3),""))</f>
        <v/>
      </c>
      <c r="AQ133" s="16" t="str">
        <f aca="false">IF(AK133=0,"",IF(AN133="","",IF(AN133=$H133,"Part-Time",IF(AN133=$I133,"Full-Time","Casual"))))</f>
        <v/>
      </c>
      <c r="AR133" s="16" t="str">
        <f aca="false">IF(AK133=0,"",IF(AO133="","",IF(AO133=$H133,"Part-Time",IF(AO133=$I133,"Full-Time","Casual"))))</f>
        <v/>
      </c>
      <c r="AS133" s="16" t="str">
        <f aca="false">IF(AK133=0,"",IF(AP133="","",IF(AP133=$H133,"Part-Time",IF(AP133=$I133,"Full-Time","Casual"))))</f>
        <v/>
      </c>
      <c r="AT133" s="16" t="str">
        <f aca="false">IF(AK133=0,"",IF(AM133=0,IF(OR(ISNUMBER(SEARCH("full",$C133)),UPPER(TRIM($C133))="FT",UPPER(TRIM($C133))="FTE"),"FT",IF(AND(OR(ISNUMBER(SEARCH("part",$C133)),UPPER(TRIM($C133))="PT",UPPER(TRIM($C133))="PTE"),Apply2026="Yes",OR($P133="",N($P133)&gt;=PT_MinHours)),"PT","None")),IF(OR(ISNUMBER(SEARCH("full",AQ133)),UPPER(TRIM(AQ133))="FT",UPPER(TRIM(AQ133))="FTE"),"FT",IF(AND(OR(ISNUMBER(SEARCH("part",AQ133)),UPPER(TRIM(AQ133))="PT",UPPER(TRIM(AQ133))="PTE"),Apply2026="Yes",OR($P133="",N($P133)&gt;=PT_MinHours)),"PT","None"))))</f>
        <v/>
      </c>
      <c r="AU133" s="16" t="str">
        <f aca="false">IF(AK133=0,"",IF(AM133&lt;2,"",IF(OR(ISNUMBER(SEARCH("full",AR133)),UPPER(TRIM(AR133))="FT",UPPER(TRIM(AR133))="FTE"),"FT",IF(AND(OR(ISNUMBER(SEARCH("part",AR133)),UPPER(TRIM(AR133))="PT",UPPER(TRIM(AR133))="PTE"),Apply2026="Yes",OR($P133="",N($P133)&gt;=PT_MinHours)),"PT","None"))))</f>
        <v/>
      </c>
      <c r="AV133" s="16" t="str">
        <f aca="false">IF(AK133=0,"",IF(AM133&lt;3,"",IF(OR(ISNUMBER(SEARCH("full",AS133)),UPPER(TRIM(AS133))="FT",UPPER(TRIM(AS133))="FTE"),"FT",IF(AND(OR(ISNUMBER(SEARCH("part",AS133)),UPPER(TRIM(AS133))="PT",UPPER(TRIM(AS133))="PTE"),Apply2026="Yes",OR($P133="",N($P133)&gt;=PT_MinHours)),"PT","None"))))</f>
        <v/>
      </c>
      <c r="AW133" s="16" t="str">
        <f aca="false">IF(AK133=0,"",IF(AND(AM133&gt;=3,AP133&lt;=AsOfDate),AV133,IF(AND(AM133&gt;=2,AO133&lt;=AsOfDate),AU133,AT133)))</f>
        <v/>
      </c>
      <c r="AX133" s="16" t="str">
        <f aca="false">IF(AK133=0,"",IF(AsOfDate&lt;AL133,-1,12*(YEAR(AsOfDate)-YEAR(AL133))+MONTH(AsOfDate)-MONTH(AL133)-IF(DAY(AsOfDate)&lt;MIN(DAY(AL133),DAY(EOMONTH(AsOfDate,0))),1,0)))</f>
        <v/>
      </c>
      <c r="AY133" s="16" t="str">
        <f aca="false">IF(AK133=0,"",IF(OR(AM133&lt;2,AO133&gt;AsOfDate),AX133,IF((AO133-1)&lt;AL133,-1,12*(YEAR((AO133-1))-YEAR(AL133))+MONTH((AO133-1))-MONTH(AL133)-IF(DAY((AO133-1))&lt;MIN(DAY(AL133),DAY(EOMONTH((AO133-1),0))),1,0))))</f>
        <v/>
      </c>
      <c r="AZ133" s="16" t="str">
        <f aca="false">IF(AK133=0,"",IF(OR(AM133&lt;3,AP133&gt;AsOfDate),AX133,IF((AP133-1)&lt;AL133,-1,12*(YEAR((AP133-1))-YEAR(AL133))+MONTH((AP133-1))-MONTH(AL133)-IF(DAY((AP133-1))&lt;MIN(DAY(AL133),DAY(EOMONTH((AP133-1),0))),1,0))))</f>
        <v/>
      </c>
      <c r="BA133" s="16" t="str">
        <f aca="false">IF(AK133=0,"",IF(PFYDate&lt;AL133,-1,12*(YEAR(PFYDate)-YEAR(AL133))+MONTH(PFYDate)-MONTH(AL133)-IF(DAY(PFYDate)&lt;MIN(DAY(AL133),DAY(EOMONTH(PFYDate,0))),1,0)))</f>
        <v/>
      </c>
      <c r="BB133" s="16" t="str">
        <f aca="false">IF(AK133=0,"",IF(OR(AM133&lt;2,AO133&gt;PFYDate),BA133,IF((AO133-1)&lt;AL133,-1,12*(YEAR((AO133-1))-YEAR(AL133))+MONTH((AO133-1))-MONTH(AL133)-IF(DAY((AO133-1))&lt;MIN(DAY(AL133),DAY(EOMONTH((AO133-1),0))),1,0))))</f>
        <v/>
      </c>
      <c r="BC133" s="16" t="str">
        <f aca="false">IF(AK133=0,"",IF(OR(AM133&lt;3,AP133&gt;PFYDate),BA133,IF((AP133-1)&lt;AL133,-1,12*(YEAR((AP133-1))-YEAR(AL133))+MONTH((AP133-1))-MONTH(AL133)-IF(DAY((AP133-1))&lt;MIN(DAY(AL133),DAY(EOMONTH((AP133-1),0))),1,0))))</f>
        <v/>
      </c>
      <c r="BD133" s="16" t="str">
        <f aca="false">IF(AK133=0,"",IF(AT133="FT",IF(AY133&lt;FT_First,0,IF(AY133&lt;FT_Y5,1+INT((AY133-FT_First)/FT_Int1),FT_PreY5+FT_PerYear*INT((AY133-FT_Y5)/12)+FT_AnnivDays+INT(MOD(AY133-FT_Y5,12)/FT_Int2)-IF(EDATE(AL133,FT_Y5)&lt;PolicyEff,FT_AnnivDays-1,0))),IF(AT133="PT",IF(AY133&lt;PT_First,0,1+INT((AY133-PT_First)/PT_Int)),0))+IF(AND(AM133&gt;=2,AO133&lt;=AsOfDate),IF(AU133="FT",IF(AZ133&lt;FT_First,0,IF(AZ133&lt;FT_Y5,1+INT((AZ133-FT_First)/FT_Int1),FT_PreY5+FT_PerYear*INT((AZ133-FT_Y5)/12)+FT_AnnivDays+INT(MOD(AZ133-FT_Y5,12)/FT_Int2)-IF(EDATE(AL133,FT_Y5)&lt;PolicyEff,FT_AnnivDays-1,0))),IF(AU133="PT",IF(AZ133&lt;PT_First,0,1+INT((AZ133-PT_First)/PT_Int)),0))-IF(AU133="FT",IF(AY133&lt;FT_First,0,IF(AY133&lt;FT_Y5,1+INT((AY133-FT_First)/FT_Int1),FT_PreY5+FT_PerYear*INT((AY133-FT_Y5)/12)+FT_AnnivDays+INT(MOD(AY133-FT_Y5,12)/FT_Int2)-IF(EDATE(AL133,FT_Y5)&lt;PolicyEff,FT_AnnivDays-1,0))),IF(AU133="PT",IF(AY133&lt;PT_First,0,1+INT((AY133-PT_First)/PT_Int)),0)),0)+IF(AND(AM133&gt;=3,AP133&lt;=AsOfDate),IF(AV133="FT",IF(AX133&lt;FT_First,0,IF(AX133&lt;FT_Y5,1+INT((AX133-FT_First)/FT_Int1),FT_PreY5+FT_PerYear*INT((AX133-FT_Y5)/12)+FT_AnnivDays+INT(MOD(AX133-FT_Y5,12)/FT_Int2)-IF(EDATE(AL133,FT_Y5)&lt;PolicyEff,FT_AnnivDays-1,0))),IF(AV133="PT",IF(AX133&lt;PT_First,0,1+INT((AX133-PT_First)/PT_Int)),0))-IF(AV133="FT",IF(AZ133&lt;FT_First,0,IF(AZ133&lt;FT_Y5,1+INT((AZ133-FT_First)/FT_Int1),FT_PreY5+FT_PerYear*INT((AZ133-FT_Y5)/12)+FT_AnnivDays+INT(MOD(AZ133-FT_Y5,12)/FT_Int2)-IF(EDATE(AL133,FT_Y5)&lt;PolicyEff,FT_AnnivDays-1,0))),IF(AV133="PT",IF(AZ133&lt;PT_First,0,1+INT((AZ133-PT_First)/PT_Int)),0)),0))</f>
        <v/>
      </c>
      <c r="BE133" s="16" t="str">
        <f aca="false">IF(AK133=0,"",IF(AT133="FT",IF(BB133&lt;FT_First,0,IF(BB133&lt;FT_Y5,1+INT((BB133-FT_First)/FT_Int1),FT_PreY5+FT_PerYear*INT((BB133-FT_Y5)/12)+FT_AnnivDays+INT(MOD(BB133-FT_Y5,12)/FT_Int2)-IF(EDATE(AL133,FT_Y5)&lt;PolicyEff,FT_AnnivDays-1,0))),IF(AT133="PT",IF(BB133&lt;PT_First,0,1+INT((BB133-PT_First)/PT_Int)),0))+IF(AND(AM133&gt;=2,AO133&lt;=PFYDate),IF(AU133="FT",IF(BC133&lt;FT_First,0,IF(BC133&lt;FT_Y5,1+INT((BC133-FT_First)/FT_Int1),FT_PreY5+FT_PerYear*INT((BC133-FT_Y5)/12)+FT_AnnivDays+INT(MOD(BC133-FT_Y5,12)/FT_Int2)-IF(EDATE(AL133,FT_Y5)&lt;PolicyEff,FT_AnnivDays-1,0))),IF(AU133="PT",IF(BC133&lt;PT_First,0,1+INT((BC133-PT_First)/PT_Int)),0))-IF(AU133="FT",IF(BB133&lt;FT_First,0,IF(BB133&lt;FT_Y5,1+INT((BB133-FT_First)/FT_Int1),FT_PreY5+FT_PerYear*INT((BB133-FT_Y5)/12)+FT_AnnivDays+INT(MOD(BB133-FT_Y5,12)/FT_Int2)-IF(EDATE(AL133,FT_Y5)&lt;PolicyEff,FT_AnnivDays-1,0))),IF(AU133="PT",IF(BB133&lt;PT_First,0,1+INT((BB133-PT_First)/PT_Int)),0)),0)+IF(AND(AM133&gt;=3,AP133&lt;=PFYDate),IF(AV133="FT",IF(BA133&lt;FT_First,0,IF(BA133&lt;FT_Y5,1+INT((BA133-FT_First)/FT_Int1),FT_PreY5+FT_PerYear*INT((BA133-FT_Y5)/12)+FT_AnnivDays+INT(MOD(BA133-FT_Y5,12)/FT_Int2)-IF(EDATE(AL133,FT_Y5)&lt;PolicyEff,FT_AnnivDays-1,0))),IF(AV133="PT",IF(BA133&lt;PT_First,0,1+INT((BA133-PT_First)/PT_Int)),0))-IF(AV133="FT",IF(BC133&lt;FT_First,0,IF(BC133&lt;FT_Y5,1+INT((BC133-FT_First)/FT_Int1),FT_PreY5+FT_PerYear*INT((BC133-FT_Y5)/12)+FT_AnnivDays+INT(MOD(BC133-FT_Y5,12)/FT_Int2)-IF(EDATE(AL133,FT_Y5)&lt;PolicyEff,FT_AnnivDays-1,0))),IF(AV133="PT",IF(BC133&lt;PT_First,0,1+INT((BC133-PT_First)/PT_Int)),0)),0))</f>
        <v/>
      </c>
      <c r="BF133" s="16" t="str">
        <f aca="false">IF(AK133=0,"",IF(AW133="FT",IF(AX133&lt;FT_First,FT_First,IF(AX133&lt;FT_Y5,MIN(FT_Y5,FT_First+FT_Int1*(INT((AX133-FT_First)/FT_Int1)+1)),FT_Y5+12*INT((AX133-FT_Y5)/12)+FT_Int2*(INT(MOD(AX133-FT_Y5,12)/FT_Int2)+1))),IF(AW133="PT",IF(AX133&lt;PT_First,PT_First,PT_First+PT_Int*(INT((AX133-PT_First)/PT_Int)+1)),"")))</f>
        <v/>
      </c>
      <c r="BG133" s="16" t="str">
        <f aca="false">IF(AK133=0,"",IF(NOT(LH_Ready),0,COUNTIFS(INDEX(LH_Data,0,LH_ColFirst),$A133,INDEX(LH_Data,0,LH_ColSur),$B133,INDEX(LH_Data,0,LH_ColCat),BonusCat)))</f>
        <v/>
      </c>
      <c r="BH133" s="16" t="str">
        <f aca="false">IF(AK133=0,"",IF(OR(NOT(LH_Ready),BG133=0),0,SUMPRODUCT(MAX((INDEX(LH_Data,0,LH_ColFirst)=$A133)*(INDEX(LH_Data,0,LH_ColSur)=$B133)*(INDEX(LH_Data,0,LH_ColCat)=BonusCat)*ROW(LH_Data)))))</f>
        <v/>
      </c>
      <c r="BI133" s="16" t="str">
        <f aca="false">IF(AK133=0,"",IF(EOMONTH(AsOfDate,-1)&lt;AL133,-1,12*(YEAR(EOMONTH(AsOfDate,-1))-YEAR(AL133))+MONTH(EOMONTH(AsOfDate,-1))-MONTH(AL133)-IF(DAY(EOMONTH(AsOfDate,-1))&lt;MIN(DAY(AL133),DAY(EOMONTH(EOMONTH(AsOfDate,-1),0))),1,0)))</f>
        <v/>
      </c>
      <c r="BJ133" s="16" t="str">
        <f aca="false">IF(AK133=0,"",IF(OR(AM133&lt;2,AO133&gt;EOMONTH(AsOfDate,-1)),BI133,IF((AO133-1)&lt;AL133,-1,12*(YEAR((AO133-1))-YEAR(AL133))+MONTH((AO133-1))-MONTH(AL133)-IF(DAY((AO133-1))&lt;MIN(DAY(AL133),DAY(EOMONTH((AO133-1),0))),1,0))))</f>
        <v/>
      </c>
      <c r="BK133" s="16" t="str">
        <f aca="false">IF(AK133=0,"",IF(OR(AM133&lt;3,AP133&gt;EOMONTH(AsOfDate,-1)),BI133,IF((AP133-1)&lt;AL133,-1,12*(YEAR((AP133-1))-YEAR(AL133))+MONTH((AP133-1))-MONTH(AL133)-IF(DAY((AP133-1))&lt;MIN(DAY(AL133),DAY(EOMONTH((AP133-1),0))),1,0))))</f>
        <v/>
      </c>
      <c r="BL133" s="16" t="str">
        <f aca="false">IF(AK133=0,"",IF(AT133="FT",IF(BJ133&lt;FT_First,0,IF(BJ133&lt;FT_Y5,1+INT((BJ133-FT_First)/FT_Int1),FT_PreY5+FT_PerYear*INT((BJ133-FT_Y5)/12)+FT_AnnivDays+INT(MOD(BJ133-FT_Y5,12)/FT_Int2)-IF(EDATE(AL133,FT_Y5)&lt;PolicyEff,FT_AnnivDays-1,0))),IF(AT133="PT",IF(BJ133&lt;PT_First,0,1+INT((BJ133-PT_First)/PT_Int)),0))+IF(AND(AM133&gt;=2,AO133&lt;=EOMONTH(AsOfDate,-1)),IF(AU133="FT",IF(BK133&lt;FT_First,0,IF(BK133&lt;FT_Y5,1+INT((BK133-FT_First)/FT_Int1),FT_PreY5+FT_PerYear*INT((BK133-FT_Y5)/12)+FT_AnnivDays+INT(MOD(BK133-FT_Y5,12)/FT_Int2)-IF(EDATE(AL133,FT_Y5)&lt;PolicyEff,FT_AnnivDays-1,0))),IF(AU133="PT",IF(BK133&lt;PT_First,0,1+INT((BK133-PT_First)/PT_Int)),0))-IF(AU133="FT",IF(BJ133&lt;FT_First,0,IF(BJ133&lt;FT_Y5,1+INT((BJ133-FT_First)/FT_Int1),FT_PreY5+FT_PerYear*INT((BJ133-FT_Y5)/12)+FT_AnnivDays+INT(MOD(BJ133-FT_Y5,12)/FT_Int2)-IF(EDATE(AL133,FT_Y5)&lt;PolicyEff,FT_AnnivDays-1,0))),IF(AU133="PT",IF(BJ133&lt;PT_First,0,1+INT((BJ133-PT_First)/PT_Int)),0)),0)+IF(AND(AM133&gt;=3,AP133&lt;=EOMONTH(AsOfDate,-1)),IF(AV133="FT",IF(BI133&lt;FT_First,0,IF(BI133&lt;FT_Y5,1+INT((BI133-FT_First)/FT_Int1),FT_PreY5+FT_PerYear*INT((BI133-FT_Y5)/12)+FT_AnnivDays+INT(MOD(BI133-FT_Y5,12)/FT_Int2)-IF(EDATE(AL133,FT_Y5)&lt;PolicyEff,FT_AnnivDays-1,0))),IF(AV133="PT",IF(BI133&lt;PT_First,0,1+INT((BI133-PT_First)/PT_Int)),0))-IF(AV133="FT",IF(BK133&lt;FT_First,0,IF(BK133&lt;FT_Y5,1+INT((BK133-FT_First)/FT_Int1),FT_PreY5+FT_PerYear*INT((BK133-FT_Y5)/12)+FT_AnnivDays+INT(MOD(BK133-FT_Y5,12)/FT_Int2)-IF(EDATE(AL133,FT_Y5)&lt;PolicyEff,FT_AnnivDays-1,0))),IF(AV133="PT",IF(BK133&lt;PT_First,0,1+INT((BK133-PT_First)/PT_Int)),0)),0))</f>
        <v/>
      </c>
      <c r="BM133" s="16" t="str">
        <f aca="false">IF(AK133=0,"",IF(AW133="FT",IF(AX133&lt;FT_First,"",IF(AX133&lt;FT_Y5,FT_First+FT_Int1*INT((AX133-FT_First)/FT_Int1),FT_Y5+FT_Int2*INT((AX133-FT_Y5)/FT_Int2))),IF(AW133="PT",IF(AX133&lt;PT_First,"",PT_First+PT_Int*INT((AX133-PT_First)/PT_Int)),"")))</f>
        <v/>
      </c>
      <c r="BN133" s="16" t="str">
        <f aca="false">IF(AK133=0,"",IF((SchemeStart-1)&lt;AL133,-1,12*(YEAR((SchemeStart-1))-YEAR(AL133))+MONTH((SchemeStart-1))-MONTH(AL133)-IF(DAY((SchemeStart-1))&lt;MIN(DAY(AL133),DAY(EOMONTH((SchemeStart-1),0))),1,0)))</f>
        <v/>
      </c>
      <c r="BO133" s="16" t="str">
        <f aca="false">IF(AK133=0,"",IF(OR(AM133&lt;2,AO133&gt;(SchemeStart-1)),BN133,IF((AO133-1)&lt;AL133,-1,12*(YEAR((AO133-1))-YEAR(AL133))+MONTH((AO133-1))-MONTH(AL133)-IF(DAY((AO133-1))&lt;MIN(DAY(AL133),DAY(EOMONTH((AO133-1),0))),1,0))))</f>
        <v/>
      </c>
      <c r="BP133" s="16" t="str">
        <f aca="false">IF(AK133=0,"",IF(OR(AM133&lt;3,AP133&gt;(SchemeStart-1)),BN133,IF((AP133-1)&lt;AL133,-1,12*(YEAR((AP133-1))-YEAR(AL133))+MONTH((AP133-1))-MONTH(AL133)-IF(DAY((AP133-1))&lt;MIN(DAY(AL133),DAY(EOMONTH((AP133-1),0))),1,0))))</f>
        <v/>
      </c>
      <c r="BQ133" s="16" t="str">
        <f aca="false">IF(AK133=0,"",IF(AT133="FT",IF(BO133&lt;FT_First,0,IF(BO133&lt;FT_Y5,1+INT((BO133-FT_First)/FT_Int1),FT_PreY5+FT_PerYear*INT((BO133-FT_Y5)/12)+FT_AnnivDays+INT(MOD(BO133-FT_Y5,12)/FT_Int2)-IF(EDATE(AL133,FT_Y5)&lt;PolicyEff,FT_AnnivDays-1,0))),IF(AT133="PT",IF(BO133&lt;PT_First,0,1+INT((BO133-PT_First)/PT_Int)),0))+IF(AND(AM133&gt;=2,AO133&lt;=(SchemeStart-1)),IF(AU133="FT",IF(BP133&lt;FT_First,0,IF(BP133&lt;FT_Y5,1+INT((BP133-FT_First)/FT_Int1),FT_PreY5+FT_PerYear*INT((BP133-FT_Y5)/12)+FT_AnnivDays+INT(MOD(BP133-FT_Y5,12)/FT_Int2)-IF(EDATE(AL133,FT_Y5)&lt;PolicyEff,FT_AnnivDays-1,0))),IF(AU133="PT",IF(BP133&lt;PT_First,0,1+INT((BP133-PT_First)/PT_Int)),0))-IF(AU133="FT",IF(BO133&lt;FT_First,0,IF(BO133&lt;FT_Y5,1+INT((BO133-FT_First)/FT_Int1),FT_PreY5+FT_PerYear*INT((BO133-FT_Y5)/12)+FT_AnnivDays+INT(MOD(BO133-FT_Y5,12)/FT_Int2)-IF(EDATE(AL133,FT_Y5)&lt;PolicyEff,FT_AnnivDays-1,0))),IF(AU133="PT",IF(BO133&lt;PT_First,0,1+INT((BO133-PT_First)/PT_Int)),0)),0)+IF(AND(AM133&gt;=3,AP133&lt;=(SchemeStart-1)),IF(AV133="FT",IF(BN133&lt;FT_First,0,IF(BN133&lt;FT_Y5,1+INT((BN133-FT_First)/FT_Int1),FT_PreY5+FT_PerYear*INT((BN133-FT_Y5)/12)+FT_AnnivDays+INT(MOD(BN133-FT_Y5,12)/FT_Int2)-IF(EDATE(AL133,FT_Y5)&lt;PolicyEff,FT_AnnivDays-1,0))),IF(AV133="PT",IF(BN133&lt;PT_First,0,1+INT((BN133-PT_First)/PT_Int)),0))-IF(AV133="FT",IF(BP133&lt;FT_First,0,IF(BP133&lt;FT_Y5,1+INT((BP133-FT_First)/FT_Int1),FT_PreY5+FT_PerYear*INT((BP133-FT_Y5)/12)+FT_AnnivDays+INT(MOD(BP133-FT_Y5,12)/FT_Int2)-IF(EDATE(AL133,FT_Y5)&lt;PolicyEff,FT_AnnivDays-1,0))),IF(AV133="PT",IF(BP133&lt;PT_First,0,1+INT((BP133-PT_First)/PT_Int)),0)),0))</f>
        <v/>
      </c>
      <c r="BR133" s="0" t="str">
        <f aca="false">IF(LEN($A133&amp;$B133)=0,"",$A133&amp;" "&amp;$B133)</f>
        <v/>
      </c>
    </row>
    <row r="134" customFormat="false" ht="15" hidden="false" customHeight="false" outlineLevel="0" collapsed="false">
      <c r="A134" s="12"/>
      <c r="B134" s="12"/>
      <c r="C134" s="12"/>
      <c r="D134" s="13"/>
      <c r="E134" s="14" t="str">
        <f aca="false">IF(OR(AK134=0,$D134=""),"",DATE(YEAR(AsOfDate)+IF(DATE(YEAR(AsOfDate),MONTH($D134),DAY($D134))&lt;=AsOfDate,1,0),MONTH($D134),DAY($D134)))</f>
        <v/>
      </c>
      <c r="F134" s="13"/>
      <c r="G134" s="13"/>
      <c r="H134" s="13"/>
      <c r="I134" s="13"/>
      <c r="J134" s="13"/>
      <c r="K134" s="14" t="str">
        <f aca="false">IF(AK134=0,"",DATE(YEAR(AsOfDate)+IF(DATE(YEAR(AsOfDate),MONTH(AL134),DAY(AL134))&lt;=AsOfDate,1,0),MONTH(AL134),DAY(AL134)))</f>
        <v/>
      </c>
      <c r="L134" s="15" t="str">
        <f aca="false">IF(AK134=0,"",ROUND((AsOfDate-AL134)/365.25,1))</f>
        <v/>
      </c>
      <c r="M134" s="16" t="str">
        <f aca="false">IF(AK134=0,"",IF(AsOfDate&lt;AL134,"-",DATEDIF(AL134,AsOfDate,"y")&amp;"y "&amp;DATEDIF(AL134,AsOfDate,"ym")&amp;"m "&amp;DATEDIF(AL134,AsOfDate,"md")&amp;"d"))</f>
        <v/>
      </c>
      <c r="N134" s="17" t="str">
        <f aca="false">IF(AK134=0,"",O134*HoursPerDay)</f>
        <v/>
      </c>
      <c r="O134" s="17" t="str">
        <f aca="false">IF(AK134=0,"",MAX(0,BD134-BQ134))</f>
        <v/>
      </c>
      <c r="P134" s="18"/>
      <c r="Q134" s="16" t="str">
        <f aca="false">IF(AK134=0,"",IF(AM134&lt;2,"",AQ134&amp;" to "&amp;AR134&amp;" on "&amp;TEXT(AO134,"dd/mm/yyyy")&amp;IF(AO134&gt;AsOfDate," (future)",IF(AT134=AU134,"",IF(AU134="None"," - STOPPED accruing",IF(AT134="None"," - commencement for Bonus Leave"," - pathway changed"))))&amp;IF(AM134&lt;3,"","; "&amp;AR134&amp;" to "&amp;AS134&amp;" on "&amp;TEXT(AP134,"dd/mm/yyyy")&amp;IF(AP134&gt;AsOfDate," (future)",IF(AU134=AV134,"",IF(AV134="None"," - STOPPED accruing",IF(AU134="None"," - commencement for Bonus Leave"," - pathway changed")))))))</f>
        <v/>
      </c>
      <c r="R134" s="16" t="str">
        <f aca="false">IF(AK134=0,"",IF(AW134="None",IF(O134&gt;0,"No longer accruing","Not eligible - "&amp;IF(AND(OR(ISNUMBER(SEARCH("part",$C134)),UPPER(TRIM($C134))="PT",UPPER(TRIM($C134))="PTE"),Apply2026="No"),"part-time (scheme is full-time only)",IF(AND(OR(ISNUMBER(SEARCH("part",$C134)),UPPER(TRIM($C134))="PT",UPPER(TRIM($C134))="PTE"),$P134&lt;&gt;"",N($P134)&lt;PT_MinHours),"under "&amp;PT_MinHours&amp;" hrs",IF(IF($C134="","",IF(OR(ISNUMBER(SEARCH("full",$C134)),UPPER(TRIM($C134))="FT",UPPER(TRIM($C134))="FTE"),"Full-Time",IF(OR(ISNUMBER(SEARCH("part",$C134)),UPPER(TRIM($C134))="PT",UPPER(TRIM($C134))="PTE"),"Part-Time",IF(OR(ISNUMBER(SEARCH("cas",$C134)),UPPER(TRIM($C134))="CAS"),"Casual","Unknown"))))="Unknown","type not recognised",$C134)))),IF(O134&gt;0,"Yes - Accrual Required","Not yet - from "&amp;TEXT(S134,"dd/mm/yyyy"))))</f>
        <v/>
      </c>
      <c r="S134" s="14" t="str">
        <f aca="false">IF(AK134=0,"",IF(AW134="None","",EDATE(AL134,BF134)))</f>
        <v/>
      </c>
      <c r="T134" s="17" t="str">
        <f aca="false">IF(AK134=0,"",IF(NOT(LH_Ready),"",IF($F134&gt;PFYDate,0,IF(LH_ColPeriod=0,W134-U134+V134,SUMIFS(INDEX(LH_Data,0,LH_ColAcc),INDEX(LH_Data,0,LH_ColFirst),$A134,INDEX(LH_Data,0,LH_ColSur),$B134,INDEX(LH_Data,0,LH_ColCat),BonusCat,INDEX(LH_Data,0,LH_ColPeriod),LH_OpenLabel)*UnitFactor))))</f>
        <v/>
      </c>
      <c r="U134" s="17" t="str">
        <f aca="false">IF(AK134=0,"",IF(NOT(LH_Ready),"",SUMIFS(INDEX(LH_Data,0,LH_ColAcc),INDEX(LH_Data,0,LH_ColFirst),$A134,INDEX(LH_Data,0,LH_ColSur),$B134,INDEX(LH_Data,0,LH_ColCat),BonusCat,INDEX(LH_Data,0,LH_ColStart),"&gt;="&amp;AL134)*UnitFactor))</f>
        <v/>
      </c>
      <c r="V134" s="17" t="str">
        <f aca="false">IF(AK134=0,"",IF(NOT(LH_Ready),"",SUMIFS(INDEX(LH_Data,0,LH_ColTaken),INDEX(LH_Data,0,LH_ColFirst),$A134,INDEX(LH_Data,0,LH_ColSur),$B134,INDEX(LH_Data,0,LH_ColCat),BonusCat,INDEX(LH_Data,0,LH_ColStart),"&gt;="&amp;AL134)*UnitFactor))</f>
        <v/>
      </c>
      <c r="W134" s="17" t="str">
        <f aca="false">IF(AK134=0,"",IF(NOT(LH_Ready),"",IF(BH134=0,0,INDEX(INDEX(LH_Data,0,LH_ColClose),BH134-1)*UnitFactor)))</f>
        <v/>
      </c>
      <c r="X134" s="17" t="str">
        <f aca="false">IF(AK134=0,"",(MAX(0,BD134-BQ134)-MAX(0,BE134-BQ134))*HoursPerDay)</f>
        <v/>
      </c>
      <c r="Y134" s="17" t="str">
        <f aca="false">IF(AK134=0,"",IF(NOT(LH_Ready),"",IF($AI134="Yes",N(AE134)*HoursPerDay-SUMIFS(INDEX(LH_Data,0,LH_ColAcc),INDEX(LH_Data,0,LH_ColFirst),$A134,INDEX(LH_Data,0,LH_ColSur),$B134,INDEX(LH_Data,0,LH_ColCat),BonusCat,INDEX(LH_Data,0,LH_ColStart),"&gt;="&amp;(EOMONTH(AsOfDate,-1)+1),INDEX(LH_Data,0,LH_ColStart),"&lt;="&amp;AsOfDate)*UnitFactor,IF(BG134=0,N134,N134-N(T134)-N(U134)))))</f>
        <v/>
      </c>
      <c r="Z134" s="16" t="str">
        <f aca="false">IF(OR(AK134=0,Y134=""),"",IF(Y134&gt;0,"Yes","No"))</f>
        <v/>
      </c>
      <c r="AA134" s="16" t="str">
        <f aca="false">IF(AK134=0,IF(LEN($A134&amp;$B134)=0,"","FIX INPUT - StartDate missing"),IF(AD134&lt;&gt;"","FIX INPUT - "&amp;AD134,IF(NOT(LH_Ready),"Paste Leave History export (Settings must show YES)",IF(AND($AI134="Yes",Y134&lt;=0),"OK - EH balance accepted to date"&amp;IF(N(AH134)&gt;0," (EH holds "&amp;AH134&amp;" hrs over the scheme)","")&amp;"; next day "&amp;TEXT(S134,"dd mmm yy")&amp;IF(N(AE134)&gt;0," ("&amp;AE134&amp;" day(s) for "&amp;UPPER(TEXT(AsOfDate,"mmm yyyy"))&amp;" already in EH)",""),IF(Y134&gt;0,"ACCRUE "&amp;ROUND(Y134,2)&amp;" hrs ("&amp;ROUND(Y134/HoursPerDay,2)&amp;" days): "&amp;IF(N(AE134)&gt;0,AE134&amp;" day(s) for "&amp;UPPER(TEXT(AsOfDate,"mmm yyyy"))&amp;" (milestone "&amp;UPPER(TEXT(AF134,"dd mmm yy"))&amp;")"&amp;IF(Y134/HoursPerDay&gt;AE134+0.001," + "&amp;ROUND(Y134/HoursPerDay-AE134,2)&amp;" day(s) catch-up from earlier months",""),"all catch-up from earlier months, nothing new this month")&amp;IF(BG134=0,"; no Bonus Leave in EH yet",""),IF(Y134&lt;0,"CHECK - EH accrued "&amp;ROUND(-Y134,2)&amp;" hrs more than policy since commencement",IF(N(W134)&gt;O134*HoursPerDay+0.01,"CHECK - EH balance "&amp;ROUND(W134-O134*HoursPerDay,2)&amp;" hrs more than policy entitlement",IF(O134&gt;0,"OK - nothing to add"&amp;IF(N(AE134)&gt;0," ("&amp;AE134&amp;" day(s) for "&amp;UPPER(TEXT(AsOfDate,"mmm yyyy"))&amp;" already in EH)",""),IF(AW134="None",R134,"Not yet - first day on "&amp;TEXT(S134,"dd/mm/yyyy"))))))))))</f>
        <v/>
      </c>
      <c r="AB134" s="17" t="str">
        <f aca="false">IF(OR(AK134=0,T134=""),"",MAX(0,BE134-BQ134)*HoursPerDay-T134)</f>
        <v/>
      </c>
      <c r="AC134" s="16" t="str">
        <f aca="false">IF(AK134=0,"",BG134)</f>
        <v/>
      </c>
      <c r="AD134" s="16" t="str">
        <f aca="false">IF(AK134=0,"",TRIM(IF(OR(ISTEXT($F134),ISTEXT($H134),ISTEXT($I134),ISTEXT($G134),ISTEXT($J134),ISTEXT($D134)),"A date is typed as text - retype it as dd/mm/yyyy. ","")&amp;IF(IF($C134="","",IF(OR(ISNUMBER(SEARCH("full",$C134)),UPPER(TRIM($C134))="FT",UPPER(TRIM($C134))="FTE"),"Full-Time",IF(OR(ISNUMBER(SEARCH("part",$C134)),UPPER(TRIM($C134))="PT",UPPER(TRIM($C134))="PTE"),"Part-Time",IF(OR(ISNUMBER(SEARCH("cas",$C134)),UPPER(TRIM($C134))="CAS"),"Casual","Unknown"))))="Unknown","EmploymentType not recognised - use Full-Time, Part-Time or Casual. ","")&amp;IF(AND(AM134&gt;=1,IF(AM134&gt;=3,AS134,IF(AM134=2,AR134,AQ134))&lt;&gt;IF($C134="","",IF(OR(ISNUMBER(SEARCH("full",$C134)),UPPER(TRIM($C134))="FT",UPPER(TRIM($C134))="FTE"),"Full-Time",IF(OR(ISNUMBER(SEARCH("part",$C134)),UPPER(TRIM($C134))="PT",UPPER(TRIM($C134))="PTE"),"Part-Time",IF(OR(ISNUMBER(SEARCH("cas",$C134)),UPPER(TRIM($C134))="CAS"),"Casual","Unknown"))))),"EmploymentType does not match latest start date ("&amp;IF(AM134&gt;=3,AS134,IF(AM134=2,AR134,AQ134))&amp;"). ","")&amp;IF(AND(AM134&gt;=1,AN134&lt;&gt;$F134),"Earliest type date should equal StartDate. ","")&amp;IF(AND(AM134&gt;=2,AN134=AO134),"Two types start on the same date. ","")&amp;IF(AND(OR(ISNUMBER(SEARCH("part",$C134)),UPPER(TRIM($C134))="PT",UPPER(TRIM($C134))="PTE"),$P134=""),"Part-time: enter PT Hrs/Week (blank = 24+). ","")))</f>
        <v/>
      </c>
      <c r="AE134" s="17" t="str">
        <f aca="false">IF(AK134=0,"",O134-MAX(0,BL134-BQ134))</f>
        <v/>
      </c>
      <c r="AF134" s="14" t="str">
        <f aca="false">IF(OR(AK134=0,AE134="",N(AE134)=0,BM134=""),"",EDATE(AL134,BM134))</f>
        <v/>
      </c>
      <c r="AG134" s="17" t="str">
        <f aca="false">IF(AK134=0,"",MIN(BD134,BQ134))</f>
        <v/>
      </c>
      <c r="AH134" s="17" t="str">
        <f aca="false">IF(AK134=0,"",IF(NOT(LH_Ready),"",IF(BG134=0,0,MAX(0,ROUND(N(T134)+N(U134)-N134,2)))))</f>
        <v/>
      </c>
      <c r="AI134" s="12"/>
      <c r="AJ134" s="12"/>
      <c r="AK134" s="16" t="n">
        <f aca="false">IF(OR(LEN($A134&amp;$B134)=0,$F134=""),0,1)</f>
        <v>0</v>
      </c>
      <c r="AL134" s="14" t="str">
        <f aca="false">IF(AK134=0,"",IF(PreSchemeCounts="No",MAX(SchemeStart,IF($J134&lt;&gt;"",$J134,IF(OR(CasualCounts="Yes",COUNT($G134:$I134)=0),$F134,IF(Apply2026="No",IF($I134="",$F134,$I134),IF(COUNT($H134:$I134)=0,$F134,MIN($H134:$I134)))))),IF($J134&lt;&gt;"",$J134,IF(OR(CasualCounts="Yes",COUNT($G134:$I134)=0),$F134,IF(Apply2026="No",IF($I134="",$F134,$I134),IF(COUNT($H134:$I134)=0,$F134,MIN($H134:$I134)))))))</f>
        <v/>
      </c>
      <c r="AM134" s="16" t="str">
        <f aca="false">IF(AK134=0,"",COUNT($G134:$I134))</f>
        <v/>
      </c>
      <c r="AN134" s="14" t="str">
        <f aca="false">IF(AK134=0,"",IFERROR(SMALL($G134:$I134,1),""))</f>
        <v/>
      </c>
      <c r="AO134" s="14" t="str">
        <f aca="false">IF(AK134=0,"",IFERROR(SMALL($G134:$I134,2),""))</f>
        <v/>
      </c>
      <c r="AP134" s="14" t="str">
        <f aca="false">IF(AK134=0,"",IFERROR(SMALL($G134:$I134,3),""))</f>
        <v/>
      </c>
      <c r="AQ134" s="16" t="str">
        <f aca="false">IF(AK134=0,"",IF(AN134="","",IF(AN134=$H134,"Part-Time",IF(AN134=$I134,"Full-Time","Casual"))))</f>
        <v/>
      </c>
      <c r="AR134" s="16" t="str">
        <f aca="false">IF(AK134=0,"",IF(AO134="","",IF(AO134=$H134,"Part-Time",IF(AO134=$I134,"Full-Time","Casual"))))</f>
        <v/>
      </c>
      <c r="AS134" s="16" t="str">
        <f aca="false">IF(AK134=0,"",IF(AP134="","",IF(AP134=$H134,"Part-Time",IF(AP134=$I134,"Full-Time","Casual"))))</f>
        <v/>
      </c>
      <c r="AT134" s="16" t="str">
        <f aca="false">IF(AK134=0,"",IF(AM134=0,IF(OR(ISNUMBER(SEARCH("full",$C134)),UPPER(TRIM($C134))="FT",UPPER(TRIM($C134))="FTE"),"FT",IF(AND(OR(ISNUMBER(SEARCH("part",$C134)),UPPER(TRIM($C134))="PT",UPPER(TRIM($C134))="PTE"),Apply2026="Yes",OR($P134="",N($P134)&gt;=PT_MinHours)),"PT","None")),IF(OR(ISNUMBER(SEARCH("full",AQ134)),UPPER(TRIM(AQ134))="FT",UPPER(TRIM(AQ134))="FTE"),"FT",IF(AND(OR(ISNUMBER(SEARCH("part",AQ134)),UPPER(TRIM(AQ134))="PT",UPPER(TRIM(AQ134))="PTE"),Apply2026="Yes",OR($P134="",N($P134)&gt;=PT_MinHours)),"PT","None"))))</f>
        <v/>
      </c>
      <c r="AU134" s="16" t="str">
        <f aca="false">IF(AK134=0,"",IF(AM134&lt;2,"",IF(OR(ISNUMBER(SEARCH("full",AR134)),UPPER(TRIM(AR134))="FT",UPPER(TRIM(AR134))="FTE"),"FT",IF(AND(OR(ISNUMBER(SEARCH("part",AR134)),UPPER(TRIM(AR134))="PT",UPPER(TRIM(AR134))="PTE"),Apply2026="Yes",OR($P134="",N($P134)&gt;=PT_MinHours)),"PT","None"))))</f>
        <v/>
      </c>
      <c r="AV134" s="16" t="str">
        <f aca="false">IF(AK134=0,"",IF(AM134&lt;3,"",IF(OR(ISNUMBER(SEARCH("full",AS134)),UPPER(TRIM(AS134))="FT",UPPER(TRIM(AS134))="FTE"),"FT",IF(AND(OR(ISNUMBER(SEARCH("part",AS134)),UPPER(TRIM(AS134))="PT",UPPER(TRIM(AS134))="PTE"),Apply2026="Yes",OR($P134="",N($P134)&gt;=PT_MinHours)),"PT","None"))))</f>
        <v/>
      </c>
      <c r="AW134" s="16" t="str">
        <f aca="false">IF(AK134=0,"",IF(AND(AM134&gt;=3,AP134&lt;=AsOfDate),AV134,IF(AND(AM134&gt;=2,AO134&lt;=AsOfDate),AU134,AT134)))</f>
        <v/>
      </c>
      <c r="AX134" s="16" t="str">
        <f aca="false">IF(AK134=0,"",IF(AsOfDate&lt;AL134,-1,12*(YEAR(AsOfDate)-YEAR(AL134))+MONTH(AsOfDate)-MONTH(AL134)-IF(DAY(AsOfDate)&lt;MIN(DAY(AL134),DAY(EOMONTH(AsOfDate,0))),1,0)))</f>
        <v/>
      </c>
      <c r="AY134" s="16" t="str">
        <f aca="false">IF(AK134=0,"",IF(OR(AM134&lt;2,AO134&gt;AsOfDate),AX134,IF((AO134-1)&lt;AL134,-1,12*(YEAR((AO134-1))-YEAR(AL134))+MONTH((AO134-1))-MONTH(AL134)-IF(DAY((AO134-1))&lt;MIN(DAY(AL134),DAY(EOMONTH((AO134-1),0))),1,0))))</f>
        <v/>
      </c>
      <c r="AZ134" s="16" t="str">
        <f aca="false">IF(AK134=0,"",IF(OR(AM134&lt;3,AP134&gt;AsOfDate),AX134,IF((AP134-1)&lt;AL134,-1,12*(YEAR((AP134-1))-YEAR(AL134))+MONTH((AP134-1))-MONTH(AL134)-IF(DAY((AP134-1))&lt;MIN(DAY(AL134),DAY(EOMONTH((AP134-1),0))),1,0))))</f>
        <v/>
      </c>
      <c r="BA134" s="16" t="str">
        <f aca="false">IF(AK134=0,"",IF(PFYDate&lt;AL134,-1,12*(YEAR(PFYDate)-YEAR(AL134))+MONTH(PFYDate)-MONTH(AL134)-IF(DAY(PFYDate)&lt;MIN(DAY(AL134),DAY(EOMONTH(PFYDate,0))),1,0)))</f>
        <v/>
      </c>
      <c r="BB134" s="16" t="str">
        <f aca="false">IF(AK134=0,"",IF(OR(AM134&lt;2,AO134&gt;PFYDate),BA134,IF((AO134-1)&lt;AL134,-1,12*(YEAR((AO134-1))-YEAR(AL134))+MONTH((AO134-1))-MONTH(AL134)-IF(DAY((AO134-1))&lt;MIN(DAY(AL134),DAY(EOMONTH((AO134-1),0))),1,0))))</f>
        <v/>
      </c>
      <c r="BC134" s="16" t="str">
        <f aca="false">IF(AK134=0,"",IF(OR(AM134&lt;3,AP134&gt;PFYDate),BA134,IF((AP134-1)&lt;AL134,-1,12*(YEAR((AP134-1))-YEAR(AL134))+MONTH((AP134-1))-MONTH(AL134)-IF(DAY((AP134-1))&lt;MIN(DAY(AL134),DAY(EOMONTH((AP134-1),0))),1,0))))</f>
        <v/>
      </c>
      <c r="BD134" s="16" t="str">
        <f aca="false">IF(AK134=0,"",IF(AT134="FT",IF(AY134&lt;FT_First,0,IF(AY134&lt;FT_Y5,1+INT((AY134-FT_First)/FT_Int1),FT_PreY5+FT_PerYear*INT((AY134-FT_Y5)/12)+FT_AnnivDays+INT(MOD(AY134-FT_Y5,12)/FT_Int2)-IF(EDATE(AL134,FT_Y5)&lt;PolicyEff,FT_AnnivDays-1,0))),IF(AT134="PT",IF(AY134&lt;PT_First,0,1+INT((AY134-PT_First)/PT_Int)),0))+IF(AND(AM134&gt;=2,AO134&lt;=AsOfDate),IF(AU134="FT",IF(AZ134&lt;FT_First,0,IF(AZ134&lt;FT_Y5,1+INT((AZ134-FT_First)/FT_Int1),FT_PreY5+FT_PerYear*INT((AZ134-FT_Y5)/12)+FT_AnnivDays+INT(MOD(AZ134-FT_Y5,12)/FT_Int2)-IF(EDATE(AL134,FT_Y5)&lt;PolicyEff,FT_AnnivDays-1,0))),IF(AU134="PT",IF(AZ134&lt;PT_First,0,1+INT((AZ134-PT_First)/PT_Int)),0))-IF(AU134="FT",IF(AY134&lt;FT_First,0,IF(AY134&lt;FT_Y5,1+INT((AY134-FT_First)/FT_Int1),FT_PreY5+FT_PerYear*INT((AY134-FT_Y5)/12)+FT_AnnivDays+INT(MOD(AY134-FT_Y5,12)/FT_Int2)-IF(EDATE(AL134,FT_Y5)&lt;PolicyEff,FT_AnnivDays-1,0))),IF(AU134="PT",IF(AY134&lt;PT_First,0,1+INT((AY134-PT_First)/PT_Int)),0)),0)+IF(AND(AM134&gt;=3,AP134&lt;=AsOfDate),IF(AV134="FT",IF(AX134&lt;FT_First,0,IF(AX134&lt;FT_Y5,1+INT((AX134-FT_First)/FT_Int1),FT_PreY5+FT_PerYear*INT((AX134-FT_Y5)/12)+FT_AnnivDays+INT(MOD(AX134-FT_Y5,12)/FT_Int2)-IF(EDATE(AL134,FT_Y5)&lt;PolicyEff,FT_AnnivDays-1,0))),IF(AV134="PT",IF(AX134&lt;PT_First,0,1+INT((AX134-PT_First)/PT_Int)),0))-IF(AV134="FT",IF(AZ134&lt;FT_First,0,IF(AZ134&lt;FT_Y5,1+INT((AZ134-FT_First)/FT_Int1),FT_PreY5+FT_PerYear*INT((AZ134-FT_Y5)/12)+FT_AnnivDays+INT(MOD(AZ134-FT_Y5,12)/FT_Int2)-IF(EDATE(AL134,FT_Y5)&lt;PolicyEff,FT_AnnivDays-1,0))),IF(AV134="PT",IF(AZ134&lt;PT_First,0,1+INT((AZ134-PT_First)/PT_Int)),0)),0))</f>
        <v/>
      </c>
      <c r="BE134" s="16" t="str">
        <f aca="false">IF(AK134=0,"",IF(AT134="FT",IF(BB134&lt;FT_First,0,IF(BB134&lt;FT_Y5,1+INT((BB134-FT_First)/FT_Int1),FT_PreY5+FT_PerYear*INT((BB134-FT_Y5)/12)+FT_AnnivDays+INT(MOD(BB134-FT_Y5,12)/FT_Int2)-IF(EDATE(AL134,FT_Y5)&lt;PolicyEff,FT_AnnivDays-1,0))),IF(AT134="PT",IF(BB134&lt;PT_First,0,1+INT((BB134-PT_First)/PT_Int)),0))+IF(AND(AM134&gt;=2,AO134&lt;=PFYDate),IF(AU134="FT",IF(BC134&lt;FT_First,0,IF(BC134&lt;FT_Y5,1+INT((BC134-FT_First)/FT_Int1),FT_PreY5+FT_PerYear*INT((BC134-FT_Y5)/12)+FT_AnnivDays+INT(MOD(BC134-FT_Y5,12)/FT_Int2)-IF(EDATE(AL134,FT_Y5)&lt;PolicyEff,FT_AnnivDays-1,0))),IF(AU134="PT",IF(BC134&lt;PT_First,0,1+INT((BC134-PT_First)/PT_Int)),0))-IF(AU134="FT",IF(BB134&lt;FT_First,0,IF(BB134&lt;FT_Y5,1+INT((BB134-FT_First)/FT_Int1),FT_PreY5+FT_PerYear*INT((BB134-FT_Y5)/12)+FT_AnnivDays+INT(MOD(BB134-FT_Y5,12)/FT_Int2)-IF(EDATE(AL134,FT_Y5)&lt;PolicyEff,FT_AnnivDays-1,0))),IF(AU134="PT",IF(BB134&lt;PT_First,0,1+INT((BB134-PT_First)/PT_Int)),0)),0)+IF(AND(AM134&gt;=3,AP134&lt;=PFYDate),IF(AV134="FT",IF(BA134&lt;FT_First,0,IF(BA134&lt;FT_Y5,1+INT((BA134-FT_First)/FT_Int1),FT_PreY5+FT_PerYear*INT((BA134-FT_Y5)/12)+FT_AnnivDays+INT(MOD(BA134-FT_Y5,12)/FT_Int2)-IF(EDATE(AL134,FT_Y5)&lt;PolicyEff,FT_AnnivDays-1,0))),IF(AV134="PT",IF(BA134&lt;PT_First,0,1+INT((BA134-PT_First)/PT_Int)),0))-IF(AV134="FT",IF(BC134&lt;FT_First,0,IF(BC134&lt;FT_Y5,1+INT((BC134-FT_First)/FT_Int1),FT_PreY5+FT_PerYear*INT((BC134-FT_Y5)/12)+FT_AnnivDays+INT(MOD(BC134-FT_Y5,12)/FT_Int2)-IF(EDATE(AL134,FT_Y5)&lt;PolicyEff,FT_AnnivDays-1,0))),IF(AV134="PT",IF(BC134&lt;PT_First,0,1+INT((BC134-PT_First)/PT_Int)),0)),0))</f>
        <v/>
      </c>
      <c r="BF134" s="16" t="str">
        <f aca="false">IF(AK134=0,"",IF(AW134="FT",IF(AX134&lt;FT_First,FT_First,IF(AX134&lt;FT_Y5,MIN(FT_Y5,FT_First+FT_Int1*(INT((AX134-FT_First)/FT_Int1)+1)),FT_Y5+12*INT((AX134-FT_Y5)/12)+FT_Int2*(INT(MOD(AX134-FT_Y5,12)/FT_Int2)+1))),IF(AW134="PT",IF(AX134&lt;PT_First,PT_First,PT_First+PT_Int*(INT((AX134-PT_First)/PT_Int)+1)),"")))</f>
        <v/>
      </c>
      <c r="BG134" s="16" t="str">
        <f aca="false">IF(AK134=0,"",IF(NOT(LH_Ready),0,COUNTIFS(INDEX(LH_Data,0,LH_ColFirst),$A134,INDEX(LH_Data,0,LH_ColSur),$B134,INDEX(LH_Data,0,LH_ColCat),BonusCat)))</f>
        <v/>
      </c>
      <c r="BH134" s="16" t="str">
        <f aca="false">IF(AK134=0,"",IF(OR(NOT(LH_Ready),BG134=0),0,SUMPRODUCT(MAX((INDEX(LH_Data,0,LH_ColFirst)=$A134)*(INDEX(LH_Data,0,LH_ColSur)=$B134)*(INDEX(LH_Data,0,LH_ColCat)=BonusCat)*ROW(LH_Data)))))</f>
        <v/>
      </c>
      <c r="BI134" s="16" t="str">
        <f aca="false">IF(AK134=0,"",IF(EOMONTH(AsOfDate,-1)&lt;AL134,-1,12*(YEAR(EOMONTH(AsOfDate,-1))-YEAR(AL134))+MONTH(EOMONTH(AsOfDate,-1))-MONTH(AL134)-IF(DAY(EOMONTH(AsOfDate,-1))&lt;MIN(DAY(AL134),DAY(EOMONTH(EOMONTH(AsOfDate,-1),0))),1,0)))</f>
        <v/>
      </c>
      <c r="BJ134" s="16" t="str">
        <f aca="false">IF(AK134=0,"",IF(OR(AM134&lt;2,AO134&gt;EOMONTH(AsOfDate,-1)),BI134,IF((AO134-1)&lt;AL134,-1,12*(YEAR((AO134-1))-YEAR(AL134))+MONTH((AO134-1))-MONTH(AL134)-IF(DAY((AO134-1))&lt;MIN(DAY(AL134),DAY(EOMONTH((AO134-1),0))),1,0))))</f>
        <v/>
      </c>
      <c r="BK134" s="16" t="str">
        <f aca="false">IF(AK134=0,"",IF(OR(AM134&lt;3,AP134&gt;EOMONTH(AsOfDate,-1)),BI134,IF((AP134-1)&lt;AL134,-1,12*(YEAR((AP134-1))-YEAR(AL134))+MONTH((AP134-1))-MONTH(AL134)-IF(DAY((AP134-1))&lt;MIN(DAY(AL134),DAY(EOMONTH((AP134-1),0))),1,0))))</f>
        <v/>
      </c>
      <c r="BL134" s="16" t="str">
        <f aca="false">IF(AK134=0,"",IF(AT134="FT",IF(BJ134&lt;FT_First,0,IF(BJ134&lt;FT_Y5,1+INT((BJ134-FT_First)/FT_Int1),FT_PreY5+FT_PerYear*INT((BJ134-FT_Y5)/12)+FT_AnnivDays+INT(MOD(BJ134-FT_Y5,12)/FT_Int2)-IF(EDATE(AL134,FT_Y5)&lt;PolicyEff,FT_AnnivDays-1,0))),IF(AT134="PT",IF(BJ134&lt;PT_First,0,1+INT((BJ134-PT_First)/PT_Int)),0))+IF(AND(AM134&gt;=2,AO134&lt;=EOMONTH(AsOfDate,-1)),IF(AU134="FT",IF(BK134&lt;FT_First,0,IF(BK134&lt;FT_Y5,1+INT((BK134-FT_First)/FT_Int1),FT_PreY5+FT_PerYear*INT((BK134-FT_Y5)/12)+FT_AnnivDays+INT(MOD(BK134-FT_Y5,12)/FT_Int2)-IF(EDATE(AL134,FT_Y5)&lt;PolicyEff,FT_AnnivDays-1,0))),IF(AU134="PT",IF(BK134&lt;PT_First,0,1+INT((BK134-PT_First)/PT_Int)),0))-IF(AU134="FT",IF(BJ134&lt;FT_First,0,IF(BJ134&lt;FT_Y5,1+INT((BJ134-FT_First)/FT_Int1),FT_PreY5+FT_PerYear*INT((BJ134-FT_Y5)/12)+FT_AnnivDays+INT(MOD(BJ134-FT_Y5,12)/FT_Int2)-IF(EDATE(AL134,FT_Y5)&lt;PolicyEff,FT_AnnivDays-1,0))),IF(AU134="PT",IF(BJ134&lt;PT_First,0,1+INT((BJ134-PT_First)/PT_Int)),0)),0)+IF(AND(AM134&gt;=3,AP134&lt;=EOMONTH(AsOfDate,-1)),IF(AV134="FT",IF(BI134&lt;FT_First,0,IF(BI134&lt;FT_Y5,1+INT((BI134-FT_First)/FT_Int1),FT_PreY5+FT_PerYear*INT((BI134-FT_Y5)/12)+FT_AnnivDays+INT(MOD(BI134-FT_Y5,12)/FT_Int2)-IF(EDATE(AL134,FT_Y5)&lt;PolicyEff,FT_AnnivDays-1,0))),IF(AV134="PT",IF(BI134&lt;PT_First,0,1+INT((BI134-PT_First)/PT_Int)),0))-IF(AV134="FT",IF(BK134&lt;FT_First,0,IF(BK134&lt;FT_Y5,1+INT((BK134-FT_First)/FT_Int1),FT_PreY5+FT_PerYear*INT((BK134-FT_Y5)/12)+FT_AnnivDays+INT(MOD(BK134-FT_Y5,12)/FT_Int2)-IF(EDATE(AL134,FT_Y5)&lt;PolicyEff,FT_AnnivDays-1,0))),IF(AV134="PT",IF(BK134&lt;PT_First,0,1+INT((BK134-PT_First)/PT_Int)),0)),0))</f>
        <v/>
      </c>
      <c r="BM134" s="16" t="str">
        <f aca="false">IF(AK134=0,"",IF(AW134="FT",IF(AX134&lt;FT_First,"",IF(AX134&lt;FT_Y5,FT_First+FT_Int1*INT((AX134-FT_First)/FT_Int1),FT_Y5+FT_Int2*INT((AX134-FT_Y5)/FT_Int2))),IF(AW134="PT",IF(AX134&lt;PT_First,"",PT_First+PT_Int*INT((AX134-PT_First)/PT_Int)),"")))</f>
        <v/>
      </c>
      <c r="BN134" s="16" t="str">
        <f aca="false">IF(AK134=0,"",IF((SchemeStart-1)&lt;AL134,-1,12*(YEAR((SchemeStart-1))-YEAR(AL134))+MONTH((SchemeStart-1))-MONTH(AL134)-IF(DAY((SchemeStart-1))&lt;MIN(DAY(AL134),DAY(EOMONTH((SchemeStart-1),0))),1,0)))</f>
        <v/>
      </c>
      <c r="BO134" s="16" t="str">
        <f aca="false">IF(AK134=0,"",IF(OR(AM134&lt;2,AO134&gt;(SchemeStart-1)),BN134,IF((AO134-1)&lt;AL134,-1,12*(YEAR((AO134-1))-YEAR(AL134))+MONTH((AO134-1))-MONTH(AL134)-IF(DAY((AO134-1))&lt;MIN(DAY(AL134),DAY(EOMONTH((AO134-1),0))),1,0))))</f>
        <v/>
      </c>
      <c r="BP134" s="16" t="str">
        <f aca="false">IF(AK134=0,"",IF(OR(AM134&lt;3,AP134&gt;(SchemeStart-1)),BN134,IF((AP134-1)&lt;AL134,-1,12*(YEAR((AP134-1))-YEAR(AL134))+MONTH((AP134-1))-MONTH(AL134)-IF(DAY((AP134-1))&lt;MIN(DAY(AL134),DAY(EOMONTH((AP134-1),0))),1,0))))</f>
        <v/>
      </c>
      <c r="BQ134" s="16" t="str">
        <f aca="false">IF(AK134=0,"",IF(AT134="FT",IF(BO134&lt;FT_First,0,IF(BO134&lt;FT_Y5,1+INT((BO134-FT_First)/FT_Int1),FT_PreY5+FT_PerYear*INT((BO134-FT_Y5)/12)+FT_AnnivDays+INT(MOD(BO134-FT_Y5,12)/FT_Int2)-IF(EDATE(AL134,FT_Y5)&lt;PolicyEff,FT_AnnivDays-1,0))),IF(AT134="PT",IF(BO134&lt;PT_First,0,1+INT((BO134-PT_First)/PT_Int)),0))+IF(AND(AM134&gt;=2,AO134&lt;=(SchemeStart-1)),IF(AU134="FT",IF(BP134&lt;FT_First,0,IF(BP134&lt;FT_Y5,1+INT((BP134-FT_First)/FT_Int1),FT_PreY5+FT_PerYear*INT((BP134-FT_Y5)/12)+FT_AnnivDays+INT(MOD(BP134-FT_Y5,12)/FT_Int2)-IF(EDATE(AL134,FT_Y5)&lt;PolicyEff,FT_AnnivDays-1,0))),IF(AU134="PT",IF(BP134&lt;PT_First,0,1+INT((BP134-PT_First)/PT_Int)),0))-IF(AU134="FT",IF(BO134&lt;FT_First,0,IF(BO134&lt;FT_Y5,1+INT((BO134-FT_First)/FT_Int1),FT_PreY5+FT_PerYear*INT((BO134-FT_Y5)/12)+FT_AnnivDays+INT(MOD(BO134-FT_Y5,12)/FT_Int2)-IF(EDATE(AL134,FT_Y5)&lt;PolicyEff,FT_AnnivDays-1,0))),IF(AU134="PT",IF(BO134&lt;PT_First,0,1+INT((BO134-PT_First)/PT_Int)),0)),0)+IF(AND(AM134&gt;=3,AP134&lt;=(SchemeStart-1)),IF(AV134="FT",IF(BN134&lt;FT_First,0,IF(BN134&lt;FT_Y5,1+INT((BN134-FT_First)/FT_Int1),FT_PreY5+FT_PerYear*INT((BN134-FT_Y5)/12)+FT_AnnivDays+INT(MOD(BN134-FT_Y5,12)/FT_Int2)-IF(EDATE(AL134,FT_Y5)&lt;PolicyEff,FT_AnnivDays-1,0))),IF(AV134="PT",IF(BN134&lt;PT_First,0,1+INT((BN134-PT_First)/PT_Int)),0))-IF(AV134="FT",IF(BP134&lt;FT_First,0,IF(BP134&lt;FT_Y5,1+INT((BP134-FT_First)/FT_Int1),FT_PreY5+FT_PerYear*INT((BP134-FT_Y5)/12)+FT_AnnivDays+INT(MOD(BP134-FT_Y5,12)/FT_Int2)-IF(EDATE(AL134,FT_Y5)&lt;PolicyEff,FT_AnnivDays-1,0))),IF(AV134="PT",IF(BP134&lt;PT_First,0,1+INT((BP134-PT_First)/PT_Int)),0)),0))</f>
        <v/>
      </c>
      <c r="BR134" s="0" t="str">
        <f aca="false">IF(LEN($A134&amp;$B134)=0,"",$A134&amp;" "&amp;$B134)</f>
        <v/>
      </c>
    </row>
    <row r="135" customFormat="false" ht="15" hidden="false" customHeight="false" outlineLevel="0" collapsed="false">
      <c r="A135" s="12"/>
      <c r="B135" s="12"/>
      <c r="C135" s="12"/>
      <c r="D135" s="13"/>
      <c r="E135" s="14" t="str">
        <f aca="false">IF(OR(AK135=0,$D135=""),"",DATE(YEAR(AsOfDate)+IF(DATE(YEAR(AsOfDate),MONTH($D135),DAY($D135))&lt;=AsOfDate,1,0),MONTH($D135),DAY($D135)))</f>
        <v/>
      </c>
      <c r="F135" s="13"/>
      <c r="G135" s="13"/>
      <c r="H135" s="13"/>
      <c r="I135" s="13"/>
      <c r="J135" s="13"/>
      <c r="K135" s="14" t="str">
        <f aca="false">IF(AK135=0,"",DATE(YEAR(AsOfDate)+IF(DATE(YEAR(AsOfDate),MONTH(AL135),DAY(AL135))&lt;=AsOfDate,1,0),MONTH(AL135),DAY(AL135)))</f>
        <v/>
      </c>
      <c r="L135" s="15" t="str">
        <f aca="false">IF(AK135=0,"",ROUND((AsOfDate-AL135)/365.25,1))</f>
        <v/>
      </c>
      <c r="M135" s="16" t="str">
        <f aca="false">IF(AK135=0,"",IF(AsOfDate&lt;AL135,"-",DATEDIF(AL135,AsOfDate,"y")&amp;"y "&amp;DATEDIF(AL135,AsOfDate,"ym")&amp;"m "&amp;DATEDIF(AL135,AsOfDate,"md")&amp;"d"))</f>
        <v/>
      </c>
      <c r="N135" s="17" t="str">
        <f aca="false">IF(AK135=0,"",O135*HoursPerDay)</f>
        <v/>
      </c>
      <c r="O135" s="17" t="str">
        <f aca="false">IF(AK135=0,"",MAX(0,BD135-BQ135))</f>
        <v/>
      </c>
      <c r="P135" s="18"/>
      <c r="Q135" s="16" t="str">
        <f aca="false">IF(AK135=0,"",IF(AM135&lt;2,"",AQ135&amp;" to "&amp;AR135&amp;" on "&amp;TEXT(AO135,"dd/mm/yyyy")&amp;IF(AO135&gt;AsOfDate," (future)",IF(AT135=AU135,"",IF(AU135="None"," - STOPPED accruing",IF(AT135="None"," - commencement for Bonus Leave"," - pathway changed"))))&amp;IF(AM135&lt;3,"","; "&amp;AR135&amp;" to "&amp;AS135&amp;" on "&amp;TEXT(AP135,"dd/mm/yyyy")&amp;IF(AP135&gt;AsOfDate," (future)",IF(AU135=AV135,"",IF(AV135="None"," - STOPPED accruing",IF(AU135="None"," - commencement for Bonus Leave"," - pathway changed")))))))</f>
        <v/>
      </c>
      <c r="R135" s="16" t="str">
        <f aca="false">IF(AK135=0,"",IF(AW135="None",IF(O135&gt;0,"No longer accruing","Not eligible - "&amp;IF(AND(OR(ISNUMBER(SEARCH("part",$C135)),UPPER(TRIM($C135))="PT",UPPER(TRIM($C135))="PTE"),Apply2026="No"),"part-time (scheme is full-time only)",IF(AND(OR(ISNUMBER(SEARCH("part",$C135)),UPPER(TRIM($C135))="PT",UPPER(TRIM($C135))="PTE"),$P135&lt;&gt;"",N($P135)&lt;PT_MinHours),"under "&amp;PT_MinHours&amp;" hrs",IF(IF($C135="","",IF(OR(ISNUMBER(SEARCH("full",$C135)),UPPER(TRIM($C135))="FT",UPPER(TRIM($C135))="FTE"),"Full-Time",IF(OR(ISNUMBER(SEARCH("part",$C135)),UPPER(TRIM($C135))="PT",UPPER(TRIM($C135))="PTE"),"Part-Time",IF(OR(ISNUMBER(SEARCH("cas",$C135)),UPPER(TRIM($C135))="CAS"),"Casual","Unknown"))))="Unknown","type not recognised",$C135)))),IF(O135&gt;0,"Yes - Accrual Required","Not yet - from "&amp;TEXT(S135,"dd/mm/yyyy"))))</f>
        <v/>
      </c>
      <c r="S135" s="14" t="str">
        <f aca="false">IF(AK135=0,"",IF(AW135="None","",EDATE(AL135,BF135)))</f>
        <v/>
      </c>
      <c r="T135" s="17" t="str">
        <f aca="false">IF(AK135=0,"",IF(NOT(LH_Ready),"",IF($F135&gt;PFYDate,0,IF(LH_ColPeriod=0,W135-U135+V135,SUMIFS(INDEX(LH_Data,0,LH_ColAcc),INDEX(LH_Data,0,LH_ColFirst),$A135,INDEX(LH_Data,0,LH_ColSur),$B135,INDEX(LH_Data,0,LH_ColCat),BonusCat,INDEX(LH_Data,0,LH_ColPeriod),LH_OpenLabel)*UnitFactor))))</f>
        <v/>
      </c>
      <c r="U135" s="17" t="str">
        <f aca="false">IF(AK135=0,"",IF(NOT(LH_Ready),"",SUMIFS(INDEX(LH_Data,0,LH_ColAcc),INDEX(LH_Data,0,LH_ColFirst),$A135,INDEX(LH_Data,0,LH_ColSur),$B135,INDEX(LH_Data,0,LH_ColCat),BonusCat,INDEX(LH_Data,0,LH_ColStart),"&gt;="&amp;AL135)*UnitFactor))</f>
        <v/>
      </c>
      <c r="V135" s="17" t="str">
        <f aca="false">IF(AK135=0,"",IF(NOT(LH_Ready),"",SUMIFS(INDEX(LH_Data,0,LH_ColTaken),INDEX(LH_Data,0,LH_ColFirst),$A135,INDEX(LH_Data,0,LH_ColSur),$B135,INDEX(LH_Data,0,LH_ColCat),BonusCat,INDEX(LH_Data,0,LH_ColStart),"&gt;="&amp;AL135)*UnitFactor))</f>
        <v/>
      </c>
      <c r="W135" s="17" t="str">
        <f aca="false">IF(AK135=0,"",IF(NOT(LH_Ready),"",IF(BH135=0,0,INDEX(INDEX(LH_Data,0,LH_ColClose),BH135-1)*UnitFactor)))</f>
        <v/>
      </c>
      <c r="X135" s="17" t="str">
        <f aca="false">IF(AK135=0,"",(MAX(0,BD135-BQ135)-MAX(0,BE135-BQ135))*HoursPerDay)</f>
        <v/>
      </c>
      <c r="Y135" s="17" t="str">
        <f aca="false">IF(AK135=0,"",IF(NOT(LH_Ready),"",IF($AI135="Yes",N(AE135)*HoursPerDay-SUMIFS(INDEX(LH_Data,0,LH_ColAcc),INDEX(LH_Data,0,LH_ColFirst),$A135,INDEX(LH_Data,0,LH_ColSur),$B135,INDEX(LH_Data,0,LH_ColCat),BonusCat,INDEX(LH_Data,0,LH_ColStart),"&gt;="&amp;(EOMONTH(AsOfDate,-1)+1),INDEX(LH_Data,0,LH_ColStart),"&lt;="&amp;AsOfDate)*UnitFactor,IF(BG135=0,N135,N135-N(T135)-N(U135)))))</f>
        <v/>
      </c>
      <c r="Z135" s="16" t="str">
        <f aca="false">IF(OR(AK135=0,Y135=""),"",IF(Y135&gt;0,"Yes","No"))</f>
        <v/>
      </c>
      <c r="AA135" s="16" t="str">
        <f aca="false">IF(AK135=0,IF(LEN($A135&amp;$B135)=0,"","FIX INPUT - StartDate missing"),IF(AD135&lt;&gt;"","FIX INPUT - "&amp;AD135,IF(NOT(LH_Ready),"Paste Leave History export (Settings must show YES)",IF(AND($AI135="Yes",Y135&lt;=0),"OK - EH balance accepted to date"&amp;IF(N(AH135)&gt;0," (EH holds "&amp;AH135&amp;" hrs over the scheme)","")&amp;"; next day "&amp;TEXT(S135,"dd mmm yy")&amp;IF(N(AE135)&gt;0," ("&amp;AE135&amp;" day(s) for "&amp;UPPER(TEXT(AsOfDate,"mmm yyyy"))&amp;" already in EH)",""),IF(Y135&gt;0,"ACCRUE "&amp;ROUND(Y135,2)&amp;" hrs ("&amp;ROUND(Y135/HoursPerDay,2)&amp;" days): "&amp;IF(N(AE135)&gt;0,AE135&amp;" day(s) for "&amp;UPPER(TEXT(AsOfDate,"mmm yyyy"))&amp;" (milestone "&amp;UPPER(TEXT(AF135,"dd mmm yy"))&amp;")"&amp;IF(Y135/HoursPerDay&gt;AE135+0.001," + "&amp;ROUND(Y135/HoursPerDay-AE135,2)&amp;" day(s) catch-up from earlier months",""),"all catch-up from earlier months, nothing new this month")&amp;IF(BG135=0,"; no Bonus Leave in EH yet",""),IF(Y135&lt;0,"CHECK - EH accrued "&amp;ROUND(-Y135,2)&amp;" hrs more than policy since commencement",IF(N(W135)&gt;O135*HoursPerDay+0.01,"CHECK - EH balance "&amp;ROUND(W135-O135*HoursPerDay,2)&amp;" hrs more than policy entitlement",IF(O135&gt;0,"OK - nothing to add"&amp;IF(N(AE135)&gt;0," ("&amp;AE135&amp;" day(s) for "&amp;UPPER(TEXT(AsOfDate,"mmm yyyy"))&amp;" already in EH)",""),IF(AW135="None",R135,"Not yet - first day on "&amp;TEXT(S135,"dd/mm/yyyy"))))))))))</f>
        <v/>
      </c>
      <c r="AB135" s="17" t="str">
        <f aca="false">IF(OR(AK135=0,T135=""),"",MAX(0,BE135-BQ135)*HoursPerDay-T135)</f>
        <v/>
      </c>
      <c r="AC135" s="16" t="str">
        <f aca="false">IF(AK135=0,"",BG135)</f>
        <v/>
      </c>
      <c r="AD135" s="16" t="str">
        <f aca="false">IF(AK135=0,"",TRIM(IF(OR(ISTEXT($F135),ISTEXT($H135),ISTEXT($I135),ISTEXT($G135),ISTEXT($J135),ISTEXT($D135)),"A date is typed as text - retype it as dd/mm/yyyy. ","")&amp;IF(IF($C135="","",IF(OR(ISNUMBER(SEARCH("full",$C135)),UPPER(TRIM($C135))="FT",UPPER(TRIM($C135))="FTE"),"Full-Time",IF(OR(ISNUMBER(SEARCH("part",$C135)),UPPER(TRIM($C135))="PT",UPPER(TRIM($C135))="PTE"),"Part-Time",IF(OR(ISNUMBER(SEARCH("cas",$C135)),UPPER(TRIM($C135))="CAS"),"Casual","Unknown"))))="Unknown","EmploymentType not recognised - use Full-Time, Part-Time or Casual. ","")&amp;IF(AND(AM135&gt;=1,IF(AM135&gt;=3,AS135,IF(AM135=2,AR135,AQ135))&lt;&gt;IF($C135="","",IF(OR(ISNUMBER(SEARCH("full",$C135)),UPPER(TRIM($C135))="FT",UPPER(TRIM($C135))="FTE"),"Full-Time",IF(OR(ISNUMBER(SEARCH("part",$C135)),UPPER(TRIM($C135))="PT",UPPER(TRIM($C135))="PTE"),"Part-Time",IF(OR(ISNUMBER(SEARCH("cas",$C135)),UPPER(TRIM($C135))="CAS"),"Casual","Unknown"))))),"EmploymentType does not match latest start date ("&amp;IF(AM135&gt;=3,AS135,IF(AM135=2,AR135,AQ135))&amp;"). ","")&amp;IF(AND(AM135&gt;=1,AN135&lt;&gt;$F135),"Earliest type date should equal StartDate. ","")&amp;IF(AND(AM135&gt;=2,AN135=AO135),"Two types start on the same date. ","")&amp;IF(AND(OR(ISNUMBER(SEARCH("part",$C135)),UPPER(TRIM($C135))="PT",UPPER(TRIM($C135))="PTE"),$P135=""),"Part-time: enter PT Hrs/Week (blank = 24+). ","")))</f>
        <v/>
      </c>
      <c r="AE135" s="17" t="str">
        <f aca="false">IF(AK135=0,"",O135-MAX(0,BL135-BQ135))</f>
        <v/>
      </c>
      <c r="AF135" s="14" t="str">
        <f aca="false">IF(OR(AK135=0,AE135="",N(AE135)=0,BM135=""),"",EDATE(AL135,BM135))</f>
        <v/>
      </c>
      <c r="AG135" s="17" t="str">
        <f aca="false">IF(AK135=0,"",MIN(BD135,BQ135))</f>
        <v/>
      </c>
      <c r="AH135" s="17" t="str">
        <f aca="false">IF(AK135=0,"",IF(NOT(LH_Ready),"",IF(BG135=0,0,MAX(0,ROUND(N(T135)+N(U135)-N135,2)))))</f>
        <v/>
      </c>
      <c r="AI135" s="12"/>
      <c r="AJ135" s="12"/>
      <c r="AK135" s="16" t="n">
        <f aca="false">IF(OR(LEN($A135&amp;$B135)=0,$F135=""),0,1)</f>
        <v>0</v>
      </c>
      <c r="AL135" s="14" t="str">
        <f aca="false">IF(AK135=0,"",IF(PreSchemeCounts="No",MAX(SchemeStart,IF($J135&lt;&gt;"",$J135,IF(OR(CasualCounts="Yes",COUNT($G135:$I135)=0),$F135,IF(Apply2026="No",IF($I135="",$F135,$I135),IF(COUNT($H135:$I135)=0,$F135,MIN($H135:$I135)))))),IF($J135&lt;&gt;"",$J135,IF(OR(CasualCounts="Yes",COUNT($G135:$I135)=0),$F135,IF(Apply2026="No",IF($I135="",$F135,$I135),IF(COUNT($H135:$I135)=0,$F135,MIN($H135:$I135)))))))</f>
        <v/>
      </c>
      <c r="AM135" s="16" t="str">
        <f aca="false">IF(AK135=0,"",COUNT($G135:$I135))</f>
        <v/>
      </c>
      <c r="AN135" s="14" t="str">
        <f aca="false">IF(AK135=0,"",IFERROR(SMALL($G135:$I135,1),""))</f>
        <v/>
      </c>
      <c r="AO135" s="14" t="str">
        <f aca="false">IF(AK135=0,"",IFERROR(SMALL($G135:$I135,2),""))</f>
        <v/>
      </c>
      <c r="AP135" s="14" t="str">
        <f aca="false">IF(AK135=0,"",IFERROR(SMALL($G135:$I135,3),""))</f>
        <v/>
      </c>
      <c r="AQ135" s="16" t="str">
        <f aca="false">IF(AK135=0,"",IF(AN135="","",IF(AN135=$H135,"Part-Time",IF(AN135=$I135,"Full-Time","Casual"))))</f>
        <v/>
      </c>
      <c r="AR135" s="16" t="str">
        <f aca="false">IF(AK135=0,"",IF(AO135="","",IF(AO135=$H135,"Part-Time",IF(AO135=$I135,"Full-Time","Casual"))))</f>
        <v/>
      </c>
      <c r="AS135" s="16" t="str">
        <f aca="false">IF(AK135=0,"",IF(AP135="","",IF(AP135=$H135,"Part-Time",IF(AP135=$I135,"Full-Time","Casual"))))</f>
        <v/>
      </c>
      <c r="AT135" s="16" t="str">
        <f aca="false">IF(AK135=0,"",IF(AM135=0,IF(OR(ISNUMBER(SEARCH("full",$C135)),UPPER(TRIM($C135))="FT",UPPER(TRIM($C135))="FTE"),"FT",IF(AND(OR(ISNUMBER(SEARCH("part",$C135)),UPPER(TRIM($C135))="PT",UPPER(TRIM($C135))="PTE"),Apply2026="Yes",OR($P135="",N($P135)&gt;=PT_MinHours)),"PT","None")),IF(OR(ISNUMBER(SEARCH("full",AQ135)),UPPER(TRIM(AQ135))="FT",UPPER(TRIM(AQ135))="FTE"),"FT",IF(AND(OR(ISNUMBER(SEARCH("part",AQ135)),UPPER(TRIM(AQ135))="PT",UPPER(TRIM(AQ135))="PTE"),Apply2026="Yes",OR($P135="",N($P135)&gt;=PT_MinHours)),"PT","None"))))</f>
        <v/>
      </c>
      <c r="AU135" s="16" t="str">
        <f aca="false">IF(AK135=0,"",IF(AM135&lt;2,"",IF(OR(ISNUMBER(SEARCH("full",AR135)),UPPER(TRIM(AR135))="FT",UPPER(TRIM(AR135))="FTE"),"FT",IF(AND(OR(ISNUMBER(SEARCH("part",AR135)),UPPER(TRIM(AR135))="PT",UPPER(TRIM(AR135))="PTE"),Apply2026="Yes",OR($P135="",N($P135)&gt;=PT_MinHours)),"PT","None"))))</f>
        <v/>
      </c>
      <c r="AV135" s="16" t="str">
        <f aca="false">IF(AK135=0,"",IF(AM135&lt;3,"",IF(OR(ISNUMBER(SEARCH("full",AS135)),UPPER(TRIM(AS135))="FT",UPPER(TRIM(AS135))="FTE"),"FT",IF(AND(OR(ISNUMBER(SEARCH("part",AS135)),UPPER(TRIM(AS135))="PT",UPPER(TRIM(AS135))="PTE"),Apply2026="Yes",OR($P135="",N($P135)&gt;=PT_MinHours)),"PT","None"))))</f>
        <v/>
      </c>
      <c r="AW135" s="16" t="str">
        <f aca="false">IF(AK135=0,"",IF(AND(AM135&gt;=3,AP135&lt;=AsOfDate),AV135,IF(AND(AM135&gt;=2,AO135&lt;=AsOfDate),AU135,AT135)))</f>
        <v/>
      </c>
      <c r="AX135" s="16" t="str">
        <f aca="false">IF(AK135=0,"",IF(AsOfDate&lt;AL135,-1,12*(YEAR(AsOfDate)-YEAR(AL135))+MONTH(AsOfDate)-MONTH(AL135)-IF(DAY(AsOfDate)&lt;MIN(DAY(AL135),DAY(EOMONTH(AsOfDate,0))),1,0)))</f>
        <v/>
      </c>
      <c r="AY135" s="16" t="str">
        <f aca="false">IF(AK135=0,"",IF(OR(AM135&lt;2,AO135&gt;AsOfDate),AX135,IF((AO135-1)&lt;AL135,-1,12*(YEAR((AO135-1))-YEAR(AL135))+MONTH((AO135-1))-MONTH(AL135)-IF(DAY((AO135-1))&lt;MIN(DAY(AL135),DAY(EOMONTH((AO135-1),0))),1,0))))</f>
        <v/>
      </c>
      <c r="AZ135" s="16" t="str">
        <f aca="false">IF(AK135=0,"",IF(OR(AM135&lt;3,AP135&gt;AsOfDate),AX135,IF((AP135-1)&lt;AL135,-1,12*(YEAR((AP135-1))-YEAR(AL135))+MONTH((AP135-1))-MONTH(AL135)-IF(DAY((AP135-1))&lt;MIN(DAY(AL135),DAY(EOMONTH((AP135-1),0))),1,0))))</f>
        <v/>
      </c>
      <c r="BA135" s="16" t="str">
        <f aca="false">IF(AK135=0,"",IF(PFYDate&lt;AL135,-1,12*(YEAR(PFYDate)-YEAR(AL135))+MONTH(PFYDate)-MONTH(AL135)-IF(DAY(PFYDate)&lt;MIN(DAY(AL135),DAY(EOMONTH(PFYDate,0))),1,0)))</f>
        <v/>
      </c>
      <c r="BB135" s="16" t="str">
        <f aca="false">IF(AK135=0,"",IF(OR(AM135&lt;2,AO135&gt;PFYDate),BA135,IF((AO135-1)&lt;AL135,-1,12*(YEAR((AO135-1))-YEAR(AL135))+MONTH((AO135-1))-MONTH(AL135)-IF(DAY((AO135-1))&lt;MIN(DAY(AL135),DAY(EOMONTH((AO135-1),0))),1,0))))</f>
        <v/>
      </c>
      <c r="BC135" s="16" t="str">
        <f aca="false">IF(AK135=0,"",IF(OR(AM135&lt;3,AP135&gt;PFYDate),BA135,IF((AP135-1)&lt;AL135,-1,12*(YEAR((AP135-1))-YEAR(AL135))+MONTH((AP135-1))-MONTH(AL135)-IF(DAY((AP135-1))&lt;MIN(DAY(AL135),DAY(EOMONTH((AP135-1),0))),1,0))))</f>
        <v/>
      </c>
      <c r="BD135" s="16" t="str">
        <f aca="false">IF(AK135=0,"",IF(AT135="FT",IF(AY135&lt;FT_First,0,IF(AY135&lt;FT_Y5,1+INT((AY135-FT_First)/FT_Int1),FT_PreY5+FT_PerYear*INT((AY135-FT_Y5)/12)+FT_AnnivDays+INT(MOD(AY135-FT_Y5,12)/FT_Int2)-IF(EDATE(AL135,FT_Y5)&lt;PolicyEff,FT_AnnivDays-1,0))),IF(AT135="PT",IF(AY135&lt;PT_First,0,1+INT((AY135-PT_First)/PT_Int)),0))+IF(AND(AM135&gt;=2,AO135&lt;=AsOfDate),IF(AU135="FT",IF(AZ135&lt;FT_First,0,IF(AZ135&lt;FT_Y5,1+INT((AZ135-FT_First)/FT_Int1),FT_PreY5+FT_PerYear*INT((AZ135-FT_Y5)/12)+FT_AnnivDays+INT(MOD(AZ135-FT_Y5,12)/FT_Int2)-IF(EDATE(AL135,FT_Y5)&lt;PolicyEff,FT_AnnivDays-1,0))),IF(AU135="PT",IF(AZ135&lt;PT_First,0,1+INT((AZ135-PT_First)/PT_Int)),0))-IF(AU135="FT",IF(AY135&lt;FT_First,0,IF(AY135&lt;FT_Y5,1+INT((AY135-FT_First)/FT_Int1),FT_PreY5+FT_PerYear*INT((AY135-FT_Y5)/12)+FT_AnnivDays+INT(MOD(AY135-FT_Y5,12)/FT_Int2)-IF(EDATE(AL135,FT_Y5)&lt;PolicyEff,FT_AnnivDays-1,0))),IF(AU135="PT",IF(AY135&lt;PT_First,0,1+INT((AY135-PT_First)/PT_Int)),0)),0)+IF(AND(AM135&gt;=3,AP135&lt;=AsOfDate),IF(AV135="FT",IF(AX135&lt;FT_First,0,IF(AX135&lt;FT_Y5,1+INT((AX135-FT_First)/FT_Int1),FT_PreY5+FT_PerYear*INT((AX135-FT_Y5)/12)+FT_AnnivDays+INT(MOD(AX135-FT_Y5,12)/FT_Int2)-IF(EDATE(AL135,FT_Y5)&lt;PolicyEff,FT_AnnivDays-1,0))),IF(AV135="PT",IF(AX135&lt;PT_First,0,1+INT((AX135-PT_First)/PT_Int)),0))-IF(AV135="FT",IF(AZ135&lt;FT_First,0,IF(AZ135&lt;FT_Y5,1+INT((AZ135-FT_First)/FT_Int1),FT_PreY5+FT_PerYear*INT((AZ135-FT_Y5)/12)+FT_AnnivDays+INT(MOD(AZ135-FT_Y5,12)/FT_Int2)-IF(EDATE(AL135,FT_Y5)&lt;PolicyEff,FT_AnnivDays-1,0))),IF(AV135="PT",IF(AZ135&lt;PT_First,0,1+INT((AZ135-PT_First)/PT_Int)),0)),0))</f>
        <v/>
      </c>
      <c r="BE135" s="16" t="str">
        <f aca="false">IF(AK135=0,"",IF(AT135="FT",IF(BB135&lt;FT_First,0,IF(BB135&lt;FT_Y5,1+INT((BB135-FT_First)/FT_Int1),FT_PreY5+FT_PerYear*INT((BB135-FT_Y5)/12)+FT_AnnivDays+INT(MOD(BB135-FT_Y5,12)/FT_Int2)-IF(EDATE(AL135,FT_Y5)&lt;PolicyEff,FT_AnnivDays-1,0))),IF(AT135="PT",IF(BB135&lt;PT_First,0,1+INT((BB135-PT_First)/PT_Int)),0))+IF(AND(AM135&gt;=2,AO135&lt;=PFYDate),IF(AU135="FT",IF(BC135&lt;FT_First,0,IF(BC135&lt;FT_Y5,1+INT((BC135-FT_First)/FT_Int1),FT_PreY5+FT_PerYear*INT((BC135-FT_Y5)/12)+FT_AnnivDays+INT(MOD(BC135-FT_Y5,12)/FT_Int2)-IF(EDATE(AL135,FT_Y5)&lt;PolicyEff,FT_AnnivDays-1,0))),IF(AU135="PT",IF(BC135&lt;PT_First,0,1+INT((BC135-PT_First)/PT_Int)),0))-IF(AU135="FT",IF(BB135&lt;FT_First,0,IF(BB135&lt;FT_Y5,1+INT((BB135-FT_First)/FT_Int1),FT_PreY5+FT_PerYear*INT((BB135-FT_Y5)/12)+FT_AnnivDays+INT(MOD(BB135-FT_Y5,12)/FT_Int2)-IF(EDATE(AL135,FT_Y5)&lt;PolicyEff,FT_AnnivDays-1,0))),IF(AU135="PT",IF(BB135&lt;PT_First,0,1+INT((BB135-PT_First)/PT_Int)),0)),0)+IF(AND(AM135&gt;=3,AP135&lt;=PFYDate),IF(AV135="FT",IF(BA135&lt;FT_First,0,IF(BA135&lt;FT_Y5,1+INT((BA135-FT_First)/FT_Int1),FT_PreY5+FT_PerYear*INT((BA135-FT_Y5)/12)+FT_AnnivDays+INT(MOD(BA135-FT_Y5,12)/FT_Int2)-IF(EDATE(AL135,FT_Y5)&lt;PolicyEff,FT_AnnivDays-1,0))),IF(AV135="PT",IF(BA135&lt;PT_First,0,1+INT((BA135-PT_First)/PT_Int)),0))-IF(AV135="FT",IF(BC135&lt;FT_First,0,IF(BC135&lt;FT_Y5,1+INT((BC135-FT_First)/FT_Int1),FT_PreY5+FT_PerYear*INT((BC135-FT_Y5)/12)+FT_AnnivDays+INT(MOD(BC135-FT_Y5,12)/FT_Int2)-IF(EDATE(AL135,FT_Y5)&lt;PolicyEff,FT_AnnivDays-1,0))),IF(AV135="PT",IF(BC135&lt;PT_First,0,1+INT((BC135-PT_First)/PT_Int)),0)),0))</f>
        <v/>
      </c>
      <c r="BF135" s="16" t="str">
        <f aca="false">IF(AK135=0,"",IF(AW135="FT",IF(AX135&lt;FT_First,FT_First,IF(AX135&lt;FT_Y5,MIN(FT_Y5,FT_First+FT_Int1*(INT((AX135-FT_First)/FT_Int1)+1)),FT_Y5+12*INT((AX135-FT_Y5)/12)+FT_Int2*(INT(MOD(AX135-FT_Y5,12)/FT_Int2)+1))),IF(AW135="PT",IF(AX135&lt;PT_First,PT_First,PT_First+PT_Int*(INT((AX135-PT_First)/PT_Int)+1)),"")))</f>
        <v/>
      </c>
      <c r="BG135" s="16" t="str">
        <f aca="false">IF(AK135=0,"",IF(NOT(LH_Ready),0,COUNTIFS(INDEX(LH_Data,0,LH_ColFirst),$A135,INDEX(LH_Data,0,LH_ColSur),$B135,INDEX(LH_Data,0,LH_ColCat),BonusCat)))</f>
        <v/>
      </c>
      <c r="BH135" s="16" t="str">
        <f aca="false">IF(AK135=0,"",IF(OR(NOT(LH_Ready),BG135=0),0,SUMPRODUCT(MAX((INDEX(LH_Data,0,LH_ColFirst)=$A135)*(INDEX(LH_Data,0,LH_ColSur)=$B135)*(INDEX(LH_Data,0,LH_ColCat)=BonusCat)*ROW(LH_Data)))))</f>
        <v/>
      </c>
      <c r="BI135" s="16" t="str">
        <f aca="false">IF(AK135=0,"",IF(EOMONTH(AsOfDate,-1)&lt;AL135,-1,12*(YEAR(EOMONTH(AsOfDate,-1))-YEAR(AL135))+MONTH(EOMONTH(AsOfDate,-1))-MONTH(AL135)-IF(DAY(EOMONTH(AsOfDate,-1))&lt;MIN(DAY(AL135),DAY(EOMONTH(EOMONTH(AsOfDate,-1),0))),1,0)))</f>
        <v/>
      </c>
      <c r="BJ135" s="16" t="str">
        <f aca="false">IF(AK135=0,"",IF(OR(AM135&lt;2,AO135&gt;EOMONTH(AsOfDate,-1)),BI135,IF((AO135-1)&lt;AL135,-1,12*(YEAR((AO135-1))-YEAR(AL135))+MONTH((AO135-1))-MONTH(AL135)-IF(DAY((AO135-1))&lt;MIN(DAY(AL135),DAY(EOMONTH((AO135-1),0))),1,0))))</f>
        <v/>
      </c>
      <c r="BK135" s="16" t="str">
        <f aca="false">IF(AK135=0,"",IF(OR(AM135&lt;3,AP135&gt;EOMONTH(AsOfDate,-1)),BI135,IF((AP135-1)&lt;AL135,-1,12*(YEAR((AP135-1))-YEAR(AL135))+MONTH((AP135-1))-MONTH(AL135)-IF(DAY((AP135-1))&lt;MIN(DAY(AL135),DAY(EOMONTH((AP135-1),0))),1,0))))</f>
        <v/>
      </c>
      <c r="BL135" s="16" t="str">
        <f aca="false">IF(AK135=0,"",IF(AT135="FT",IF(BJ135&lt;FT_First,0,IF(BJ135&lt;FT_Y5,1+INT((BJ135-FT_First)/FT_Int1),FT_PreY5+FT_PerYear*INT((BJ135-FT_Y5)/12)+FT_AnnivDays+INT(MOD(BJ135-FT_Y5,12)/FT_Int2)-IF(EDATE(AL135,FT_Y5)&lt;PolicyEff,FT_AnnivDays-1,0))),IF(AT135="PT",IF(BJ135&lt;PT_First,0,1+INT((BJ135-PT_First)/PT_Int)),0))+IF(AND(AM135&gt;=2,AO135&lt;=EOMONTH(AsOfDate,-1)),IF(AU135="FT",IF(BK135&lt;FT_First,0,IF(BK135&lt;FT_Y5,1+INT((BK135-FT_First)/FT_Int1),FT_PreY5+FT_PerYear*INT((BK135-FT_Y5)/12)+FT_AnnivDays+INT(MOD(BK135-FT_Y5,12)/FT_Int2)-IF(EDATE(AL135,FT_Y5)&lt;PolicyEff,FT_AnnivDays-1,0))),IF(AU135="PT",IF(BK135&lt;PT_First,0,1+INT((BK135-PT_First)/PT_Int)),0))-IF(AU135="FT",IF(BJ135&lt;FT_First,0,IF(BJ135&lt;FT_Y5,1+INT((BJ135-FT_First)/FT_Int1),FT_PreY5+FT_PerYear*INT((BJ135-FT_Y5)/12)+FT_AnnivDays+INT(MOD(BJ135-FT_Y5,12)/FT_Int2)-IF(EDATE(AL135,FT_Y5)&lt;PolicyEff,FT_AnnivDays-1,0))),IF(AU135="PT",IF(BJ135&lt;PT_First,0,1+INT((BJ135-PT_First)/PT_Int)),0)),0)+IF(AND(AM135&gt;=3,AP135&lt;=EOMONTH(AsOfDate,-1)),IF(AV135="FT",IF(BI135&lt;FT_First,0,IF(BI135&lt;FT_Y5,1+INT((BI135-FT_First)/FT_Int1),FT_PreY5+FT_PerYear*INT((BI135-FT_Y5)/12)+FT_AnnivDays+INT(MOD(BI135-FT_Y5,12)/FT_Int2)-IF(EDATE(AL135,FT_Y5)&lt;PolicyEff,FT_AnnivDays-1,0))),IF(AV135="PT",IF(BI135&lt;PT_First,0,1+INT((BI135-PT_First)/PT_Int)),0))-IF(AV135="FT",IF(BK135&lt;FT_First,0,IF(BK135&lt;FT_Y5,1+INT((BK135-FT_First)/FT_Int1),FT_PreY5+FT_PerYear*INT((BK135-FT_Y5)/12)+FT_AnnivDays+INT(MOD(BK135-FT_Y5,12)/FT_Int2)-IF(EDATE(AL135,FT_Y5)&lt;PolicyEff,FT_AnnivDays-1,0))),IF(AV135="PT",IF(BK135&lt;PT_First,0,1+INT((BK135-PT_First)/PT_Int)),0)),0))</f>
        <v/>
      </c>
      <c r="BM135" s="16" t="str">
        <f aca="false">IF(AK135=0,"",IF(AW135="FT",IF(AX135&lt;FT_First,"",IF(AX135&lt;FT_Y5,FT_First+FT_Int1*INT((AX135-FT_First)/FT_Int1),FT_Y5+FT_Int2*INT((AX135-FT_Y5)/FT_Int2))),IF(AW135="PT",IF(AX135&lt;PT_First,"",PT_First+PT_Int*INT((AX135-PT_First)/PT_Int)),"")))</f>
        <v/>
      </c>
      <c r="BN135" s="16" t="str">
        <f aca="false">IF(AK135=0,"",IF((SchemeStart-1)&lt;AL135,-1,12*(YEAR((SchemeStart-1))-YEAR(AL135))+MONTH((SchemeStart-1))-MONTH(AL135)-IF(DAY((SchemeStart-1))&lt;MIN(DAY(AL135),DAY(EOMONTH((SchemeStart-1),0))),1,0)))</f>
        <v/>
      </c>
      <c r="BO135" s="16" t="str">
        <f aca="false">IF(AK135=0,"",IF(OR(AM135&lt;2,AO135&gt;(SchemeStart-1)),BN135,IF((AO135-1)&lt;AL135,-1,12*(YEAR((AO135-1))-YEAR(AL135))+MONTH((AO135-1))-MONTH(AL135)-IF(DAY((AO135-1))&lt;MIN(DAY(AL135),DAY(EOMONTH((AO135-1),0))),1,0))))</f>
        <v/>
      </c>
      <c r="BP135" s="16" t="str">
        <f aca="false">IF(AK135=0,"",IF(OR(AM135&lt;3,AP135&gt;(SchemeStart-1)),BN135,IF((AP135-1)&lt;AL135,-1,12*(YEAR((AP135-1))-YEAR(AL135))+MONTH((AP135-1))-MONTH(AL135)-IF(DAY((AP135-1))&lt;MIN(DAY(AL135),DAY(EOMONTH((AP135-1),0))),1,0))))</f>
        <v/>
      </c>
      <c r="BQ135" s="16" t="str">
        <f aca="false">IF(AK135=0,"",IF(AT135="FT",IF(BO135&lt;FT_First,0,IF(BO135&lt;FT_Y5,1+INT((BO135-FT_First)/FT_Int1),FT_PreY5+FT_PerYear*INT((BO135-FT_Y5)/12)+FT_AnnivDays+INT(MOD(BO135-FT_Y5,12)/FT_Int2)-IF(EDATE(AL135,FT_Y5)&lt;PolicyEff,FT_AnnivDays-1,0))),IF(AT135="PT",IF(BO135&lt;PT_First,0,1+INT((BO135-PT_First)/PT_Int)),0))+IF(AND(AM135&gt;=2,AO135&lt;=(SchemeStart-1)),IF(AU135="FT",IF(BP135&lt;FT_First,0,IF(BP135&lt;FT_Y5,1+INT((BP135-FT_First)/FT_Int1),FT_PreY5+FT_PerYear*INT((BP135-FT_Y5)/12)+FT_AnnivDays+INT(MOD(BP135-FT_Y5,12)/FT_Int2)-IF(EDATE(AL135,FT_Y5)&lt;PolicyEff,FT_AnnivDays-1,0))),IF(AU135="PT",IF(BP135&lt;PT_First,0,1+INT((BP135-PT_First)/PT_Int)),0))-IF(AU135="FT",IF(BO135&lt;FT_First,0,IF(BO135&lt;FT_Y5,1+INT((BO135-FT_First)/FT_Int1),FT_PreY5+FT_PerYear*INT((BO135-FT_Y5)/12)+FT_AnnivDays+INT(MOD(BO135-FT_Y5,12)/FT_Int2)-IF(EDATE(AL135,FT_Y5)&lt;PolicyEff,FT_AnnivDays-1,0))),IF(AU135="PT",IF(BO135&lt;PT_First,0,1+INT((BO135-PT_First)/PT_Int)),0)),0)+IF(AND(AM135&gt;=3,AP135&lt;=(SchemeStart-1)),IF(AV135="FT",IF(BN135&lt;FT_First,0,IF(BN135&lt;FT_Y5,1+INT((BN135-FT_First)/FT_Int1),FT_PreY5+FT_PerYear*INT((BN135-FT_Y5)/12)+FT_AnnivDays+INT(MOD(BN135-FT_Y5,12)/FT_Int2)-IF(EDATE(AL135,FT_Y5)&lt;PolicyEff,FT_AnnivDays-1,0))),IF(AV135="PT",IF(BN135&lt;PT_First,0,1+INT((BN135-PT_First)/PT_Int)),0))-IF(AV135="FT",IF(BP135&lt;FT_First,0,IF(BP135&lt;FT_Y5,1+INT((BP135-FT_First)/FT_Int1),FT_PreY5+FT_PerYear*INT((BP135-FT_Y5)/12)+FT_AnnivDays+INT(MOD(BP135-FT_Y5,12)/FT_Int2)-IF(EDATE(AL135,FT_Y5)&lt;PolicyEff,FT_AnnivDays-1,0))),IF(AV135="PT",IF(BP135&lt;PT_First,0,1+INT((BP135-PT_First)/PT_Int)),0)),0))</f>
        <v/>
      </c>
      <c r="BR135" s="0" t="str">
        <f aca="false">IF(LEN($A135&amp;$B135)=0,"",$A135&amp;" "&amp;$B135)</f>
        <v/>
      </c>
    </row>
    <row r="136" customFormat="false" ht="15" hidden="false" customHeight="false" outlineLevel="0" collapsed="false">
      <c r="A136" s="12"/>
      <c r="B136" s="12"/>
      <c r="C136" s="12"/>
      <c r="D136" s="13"/>
      <c r="E136" s="14" t="str">
        <f aca="false">IF(OR(AK136=0,$D136=""),"",DATE(YEAR(AsOfDate)+IF(DATE(YEAR(AsOfDate),MONTH($D136),DAY($D136))&lt;=AsOfDate,1,0),MONTH($D136),DAY($D136)))</f>
        <v/>
      </c>
      <c r="F136" s="13"/>
      <c r="G136" s="13"/>
      <c r="H136" s="13"/>
      <c r="I136" s="13"/>
      <c r="J136" s="13"/>
      <c r="K136" s="14" t="str">
        <f aca="false">IF(AK136=0,"",DATE(YEAR(AsOfDate)+IF(DATE(YEAR(AsOfDate),MONTH(AL136),DAY(AL136))&lt;=AsOfDate,1,0),MONTH(AL136),DAY(AL136)))</f>
        <v/>
      </c>
      <c r="L136" s="15" t="str">
        <f aca="false">IF(AK136=0,"",ROUND((AsOfDate-AL136)/365.25,1))</f>
        <v/>
      </c>
      <c r="M136" s="16" t="str">
        <f aca="false">IF(AK136=0,"",IF(AsOfDate&lt;AL136,"-",DATEDIF(AL136,AsOfDate,"y")&amp;"y "&amp;DATEDIF(AL136,AsOfDate,"ym")&amp;"m "&amp;DATEDIF(AL136,AsOfDate,"md")&amp;"d"))</f>
        <v/>
      </c>
      <c r="N136" s="17" t="str">
        <f aca="false">IF(AK136=0,"",O136*HoursPerDay)</f>
        <v/>
      </c>
      <c r="O136" s="17" t="str">
        <f aca="false">IF(AK136=0,"",MAX(0,BD136-BQ136))</f>
        <v/>
      </c>
      <c r="P136" s="18"/>
      <c r="Q136" s="16" t="str">
        <f aca="false">IF(AK136=0,"",IF(AM136&lt;2,"",AQ136&amp;" to "&amp;AR136&amp;" on "&amp;TEXT(AO136,"dd/mm/yyyy")&amp;IF(AO136&gt;AsOfDate," (future)",IF(AT136=AU136,"",IF(AU136="None"," - STOPPED accruing",IF(AT136="None"," - commencement for Bonus Leave"," - pathway changed"))))&amp;IF(AM136&lt;3,"","; "&amp;AR136&amp;" to "&amp;AS136&amp;" on "&amp;TEXT(AP136,"dd/mm/yyyy")&amp;IF(AP136&gt;AsOfDate," (future)",IF(AU136=AV136,"",IF(AV136="None"," - STOPPED accruing",IF(AU136="None"," - commencement for Bonus Leave"," - pathway changed")))))))</f>
        <v/>
      </c>
      <c r="R136" s="16" t="str">
        <f aca="false">IF(AK136=0,"",IF(AW136="None",IF(O136&gt;0,"No longer accruing","Not eligible - "&amp;IF(AND(OR(ISNUMBER(SEARCH("part",$C136)),UPPER(TRIM($C136))="PT",UPPER(TRIM($C136))="PTE"),Apply2026="No"),"part-time (scheme is full-time only)",IF(AND(OR(ISNUMBER(SEARCH("part",$C136)),UPPER(TRIM($C136))="PT",UPPER(TRIM($C136))="PTE"),$P136&lt;&gt;"",N($P136)&lt;PT_MinHours),"under "&amp;PT_MinHours&amp;" hrs",IF(IF($C136="","",IF(OR(ISNUMBER(SEARCH("full",$C136)),UPPER(TRIM($C136))="FT",UPPER(TRIM($C136))="FTE"),"Full-Time",IF(OR(ISNUMBER(SEARCH("part",$C136)),UPPER(TRIM($C136))="PT",UPPER(TRIM($C136))="PTE"),"Part-Time",IF(OR(ISNUMBER(SEARCH("cas",$C136)),UPPER(TRIM($C136))="CAS"),"Casual","Unknown"))))="Unknown","type not recognised",$C136)))),IF(O136&gt;0,"Yes - Accrual Required","Not yet - from "&amp;TEXT(S136,"dd/mm/yyyy"))))</f>
        <v/>
      </c>
      <c r="S136" s="14" t="str">
        <f aca="false">IF(AK136=0,"",IF(AW136="None","",EDATE(AL136,BF136)))</f>
        <v/>
      </c>
      <c r="T136" s="17" t="str">
        <f aca="false">IF(AK136=0,"",IF(NOT(LH_Ready),"",IF($F136&gt;PFYDate,0,IF(LH_ColPeriod=0,W136-U136+V136,SUMIFS(INDEX(LH_Data,0,LH_ColAcc),INDEX(LH_Data,0,LH_ColFirst),$A136,INDEX(LH_Data,0,LH_ColSur),$B136,INDEX(LH_Data,0,LH_ColCat),BonusCat,INDEX(LH_Data,0,LH_ColPeriod),LH_OpenLabel)*UnitFactor))))</f>
        <v/>
      </c>
      <c r="U136" s="17" t="str">
        <f aca="false">IF(AK136=0,"",IF(NOT(LH_Ready),"",SUMIFS(INDEX(LH_Data,0,LH_ColAcc),INDEX(LH_Data,0,LH_ColFirst),$A136,INDEX(LH_Data,0,LH_ColSur),$B136,INDEX(LH_Data,0,LH_ColCat),BonusCat,INDEX(LH_Data,0,LH_ColStart),"&gt;="&amp;AL136)*UnitFactor))</f>
        <v/>
      </c>
      <c r="V136" s="17" t="str">
        <f aca="false">IF(AK136=0,"",IF(NOT(LH_Ready),"",SUMIFS(INDEX(LH_Data,0,LH_ColTaken),INDEX(LH_Data,0,LH_ColFirst),$A136,INDEX(LH_Data,0,LH_ColSur),$B136,INDEX(LH_Data,0,LH_ColCat),BonusCat,INDEX(LH_Data,0,LH_ColStart),"&gt;="&amp;AL136)*UnitFactor))</f>
        <v/>
      </c>
      <c r="W136" s="17" t="str">
        <f aca="false">IF(AK136=0,"",IF(NOT(LH_Ready),"",IF(BH136=0,0,INDEX(INDEX(LH_Data,0,LH_ColClose),BH136-1)*UnitFactor)))</f>
        <v/>
      </c>
      <c r="X136" s="17" t="str">
        <f aca="false">IF(AK136=0,"",(MAX(0,BD136-BQ136)-MAX(0,BE136-BQ136))*HoursPerDay)</f>
        <v/>
      </c>
      <c r="Y136" s="17" t="str">
        <f aca="false">IF(AK136=0,"",IF(NOT(LH_Ready),"",IF($AI136="Yes",N(AE136)*HoursPerDay-SUMIFS(INDEX(LH_Data,0,LH_ColAcc),INDEX(LH_Data,0,LH_ColFirst),$A136,INDEX(LH_Data,0,LH_ColSur),$B136,INDEX(LH_Data,0,LH_ColCat),BonusCat,INDEX(LH_Data,0,LH_ColStart),"&gt;="&amp;(EOMONTH(AsOfDate,-1)+1),INDEX(LH_Data,0,LH_ColStart),"&lt;="&amp;AsOfDate)*UnitFactor,IF(BG136=0,N136,N136-N(T136)-N(U136)))))</f>
        <v/>
      </c>
      <c r="Z136" s="16" t="str">
        <f aca="false">IF(OR(AK136=0,Y136=""),"",IF(Y136&gt;0,"Yes","No"))</f>
        <v/>
      </c>
      <c r="AA136" s="16" t="str">
        <f aca="false">IF(AK136=0,IF(LEN($A136&amp;$B136)=0,"","FIX INPUT - StartDate missing"),IF(AD136&lt;&gt;"","FIX INPUT - "&amp;AD136,IF(NOT(LH_Ready),"Paste Leave History export (Settings must show YES)",IF(AND($AI136="Yes",Y136&lt;=0),"OK - EH balance accepted to date"&amp;IF(N(AH136)&gt;0," (EH holds "&amp;AH136&amp;" hrs over the scheme)","")&amp;"; next day "&amp;TEXT(S136,"dd mmm yy")&amp;IF(N(AE136)&gt;0," ("&amp;AE136&amp;" day(s) for "&amp;UPPER(TEXT(AsOfDate,"mmm yyyy"))&amp;" already in EH)",""),IF(Y136&gt;0,"ACCRUE "&amp;ROUND(Y136,2)&amp;" hrs ("&amp;ROUND(Y136/HoursPerDay,2)&amp;" days): "&amp;IF(N(AE136)&gt;0,AE136&amp;" day(s) for "&amp;UPPER(TEXT(AsOfDate,"mmm yyyy"))&amp;" (milestone "&amp;UPPER(TEXT(AF136,"dd mmm yy"))&amp;")"&amp;IF(Y136/HoursPerDay&gt;AE136+0.001," + "&amp;ROUND(Y136/HoursPerDay-AE136,2)&amp;" day(s) catch-up from earlier months",""),"all catch-up from earlier months, nothing new this month")&amp;IF(BG136=0,"; no Bonus Leave in EH yet",""),IF(Y136&lt;0,"CHECK - EH accrued "&amp;ROUND(-Y136,2)&amp;" hrs more than policy since commencement",IF(N(W136)&gt;O136*HoursPerDay+0.01,"CHECK - EH balance "&amp;ROUND(W136-O136*HoursPerDay,2)&amp;" hrs more than policy entitlement",IF(O136&gt;0,"OK - nothing to add"&amp;IF(N(AE136)&gt;0," ("&amp;AE136&amp;" day(s) for "&amp;UPPER(TEXT(AsOfDate,"mmm yyyy"))&amp;" already in EH)",""),IF(AW136="None",R136,"Not yet - first day on "&amp;TEXT(S136,"dd/mm/yyyy"))))))))))</f>
        <v/>
      </c>
      <c r="AB136" s="17" t="str">
        <f aca="false">IF(OR(AK136=0,T136=""),"",MAX(0,BE136-BQ136)*HoursPerDay-T136)</f>
        <v/>
      </c>
      <c r="AC136" s="16" t="str">
        <f aca="false">IF(AK136=0,"",BG136)</f>
        <v/>
      </c>
      <c r="AD136" s="16" t="str">
        <f aca="false">IF(AK136=0,"",TRIM(IF(OR(ISTEXT($F136),ISTEXT($H136),ISTEXT($I136),ISTEXT($G136),ISTEXT($J136),ISTEXT($D136)),"A date is typed as text - retype it as dd/mm/yyyy. ","")&amp;IF(IF($C136="","",IF(OR(ISNUMBER(SEARCH("full",$C136)),UPPER(TRIM($C136))="FT",UPPER(TRIM($C136))="FTE"),"Full-Time",IF(OR(ISNUMBER(SEARCH("part",$C136)),UPPER(TRIM($C136))="PT",UPPER(TRIM($C136))="PTE"),"Part-Time",IF(OR(ISNUMBER(SEARCH("cas",$C136)),UPPER(TRIM($C136))="CAS"),"Casual","Unknown"))))="Unknown","EmploymentType not recognised - use Full-Time, Part-Time or Casual. ","")&amp;IF(AND(AM136&gt;=1,IF(AM136&gt;=3,AS136,IF(AM136=2,AR136,AQ136))&lt;&gt;IF($C136="","",IF(OR(ISNUMBER(SEARCH("full",$C136)),UPPER(TRIM($C136))="FT",UPPER(TRIM($C136))="FTE"),"Full-Time",IF(OR(ISNUMBER(SEARCH("part",$C136)),UPPER(TRIM($C136))="PT",UPPER(TRIM($C136))="PTE"),"Part-Time",IF(OR(ISNUMBER(SEARCH("cas",$C136)),UPPER(TRIM($C136))="CAS"),"Casual","Unknown"))))),"EmploymentType does not match latest start date ("&amp;IF(AM136&gt;=3,AS136,IF(AM136=2,AR136,AQ136))&amp;"). ","")&amp;IF(AND(AM136&gt;=1,AN136&lt;&gt;$F136),"Earliest type date should equal StartDate. ","")&amp;IF(AND(AM136&gt;=2,AN136=AO136),"Two types start on the same date. ","")&amp;IF(AND(OR(ISNUMBER(SEARCH("part",$C136)),UPPER(TRIM($C136))="PT",UPPER(TRIM($C136))="PTE"),$P136=""),"Part-time: enter PT Hrs/Week (blank = 24+). ","")))</f>
        <v/>
      </c>
      <c r="AE136" s="17" t="str">
        <f aca="false">IF(AK136=0,"",O136-MAX(0,BL136-BQ136))</f>
        <v/>
      </c>
      <c r="AF136" s="14" t="str">
        <f aca="false">IF(OR(AK136=0,AE136="",N(AE136)=0,BM136=""),"",EDATE(AL136,BM136))</f>
        <v/>
      </c>
      <c r="AG136" s="17" t="str">
        <f aca="false">IF(AK136=0,"",MIN(BD136,BQ136))</f>
        <v/>
      </c>
      <c r="AH136" s="17" t="str">
        <f aca="false">IF(AK136=0,"",IF(NOT(LH_Ready),"",IF(BG136=0,0,MAX(0,ROUND(N(T136)+N(U136)-N136,2)))))</f>
        <v/>
      </c>
      <c r="AI136" s="12"/>
      <c r="AJ136" s="12"/>
      <c r="AK136" s="16" t="n">
        <f aca="false">IF(OR(LEN($A136&amp;$B136)=0,$F136=""),0,1)</f>
        <v>0</v>
      </c>
      <c r="AL136" s="14" t="str">
        <f aca="false">IF(AK136=0,"",IF(PreSchemeCounts="No",MAX(SchemeStart,IF($J136&lt;&gt;"",$J136,IF(OR(CasualCounts="Yes",COUNT($G136:$I136)=0),$F136,IF(Apply2026="No",IF($I136="",$F136,$I136),IF(COUNT($H136:$I136)=0,$F136,MIN($H136:$I136)))))),IF($J136&lt;&gt;"",$J136,IF(OR(CasualCounts="Yes",COUNT($G136:$I136)=0),$F136,IF(Apply2026="No",IF($I136="",$F136,$I136),IF(COUNT($H136:$I136)=0,$F136,MIN($H136:$I136)))))))</f>
        <v/>
      </c>
      <c r="AM136" s="16" t="str">
        <f aca="false">IF(AK136=0,"",COUNT($G136:$I136))</f>
        <v/>
      </c>
      <c r="AN136" s="14" t="str">
        <f aca="false">IF(AK136=0,"",IFERROR(SMALL($G136:$I136,1),""))</f>
        <v/>
      </c>
      <c r="AO136" s="14" t="str">
        <f aca="false">IF(AK136=0,"",IFERROR(SMALL($G136:$I136,2),""))</f>
        <v/>
      </c>
      <c r="AP136" s="14" t="str">
        <f aca="false">IF(AK136=0,"",IFERROR(SMALL($G136:$I136,3),""))</f>
        <v/>
      </c>
      <c r="AQ136" s="16" t="str">
        <f aca="false">IF(AK136=0,"",IF(AN136="","",IF(AN136=$H136,"Part-Time",IF(AN136=$I136,"Full-Time","Casual"))))</f>
        <v/>
      </c>
      <c r="AR136" s="16" t="str">
        <f aca="false">IF(AK136=0,"",IF(AO136="","",IF(AO136=$H136,"Part-Time",IF(AO136=$I136,"Full-Time","Casual"))))</f>
        <v/>
      </c>
      <c r="AS136" s="16" t="str">
        <f aca="false">IF(AK136=0,"",IF(AP136="","",IF(AP136=$H136,"Part-Time",IF(AP136=$I136,"Full-Time","Casual"))))</f>
        <v/>
      </c>
      <c r="AT136" s="16" t="str">
        <f aca="false">IF(AK136=0,"",IF(AM136=0,IF(OR(ISNUMBER(SEARCH("full",$C136)),UPPER(TRIM($C136))="FT",UPPER(TRIM($C136))="FTE"),"FT",IF(AND(OR(ISNUMBER(SEARCH("part",$C136)),UPPER(TRIM($C136))="PT",UPPER(TRIM($C136))="PTE"),Apply2026="Yes",OR($P136="",N($P136)&gt;=PT_MinHours)),"PT","None")),IF(OR(ISNUMBER(SEARCH("full",AQ136)),UPPER(TRIM(AQ136))="FT",UPPER(TRIM(AQ136))="FTE"),"FT",IF(AND(OR(ISNUMBER(SEARCH("part",AQ136)),UPPER(TRIM(AQ136))="PT",UPPER(TRIM(AQ136))="PTE"),Apply2026="Yes",OR($P136="",N($P136)&gt;=PT_MinHours)),"PT","None"))))</f>
        <v/>
      </c>
      <c r="AU136" s="16" t="str">
        <f aca="false">IF(AK136=0,"",IF(AM136&lt;2,"",IF(OR(ISNUMBER(SEARCH("full",AR136)),UPPER(TRIM(AR136))="FT",UPPER(TRIM(AR136))="FTE"),"FT",IF(AND(OR(ISNUMBER(SEARCH("part",AR136)),UPPER(TRIM(AR136))="PT",UPPER(TRIM(AR136))="PTE"),Apply2026="Yes",OR($P136="",N($P136)&gt;=PT_MinHours)),"PT","None"))))</f>
        <v/>
      </c>
      <c r="AV136" s="16" t="str">
        <f aca="false">IF(AK136=0,"",IF(AM136&lt;3,"",IF(OR(ISNUMBER(SEARCH("full",AS136)),UPPER(TRIM(AS136))="FT",UPPER(TRIM(AS136))="FTE"),"FT",IF(AND(OR(ISNUMBER(SEARCH("part",AS136)),UPPER(TRIM(AS136))="PT",UPPER(TRIM(AS136))="PTE"),Apply2026="Yes",OR($P136="",N($P136)&gt;=PT_MinHours)),"PT","None"))))</f>
        <v/>
      </c>
      <c r="AW136" s="16" t="str">
        <f aca="false">IF(AK136=0,"",IF(AND(AM136&gt;=3,AP136&lt;=AsOfDate),AV136,IF(AND(AM136&gt;=2,AO136&lt;=AsOfDate),AU136,AT136)))</f>
        <v/>
      </c>
      <c r="AX136" s="16" t="str">
        <f aca="false">IF(AK136=0,"",IF(AsOfDate&lt;AL136,-1,12*(YEAR(AsOfDate)-YEAR(AL136))+MONTH(AsOfDate)-MONTH(AL136)-IF(DAY(AsOfDate)&lt;MIN(DAY(AL136),DAY(EOMONTH(AsOfDate,0))),1,0)))</f>
        <v/>
      </c>
      <c r="AY136" s="16" t="str">
        <f aca="false">IF(AK136=0,"",IF(OR(AM136&lt;2,AO136&gt;AsOfDate),AX136,IF((AO136-1)&lt;AL136,-1,12*(YEAR((AO136-1))-YEAR(AL136))+MONTH((AO136-1))-MONTH(AL136)-IF(DAY((AO136-1))&lt;MIN(DAY(AL136),DAY(EOMONTH((AO136-1),0))),1,0))))</f>
        <v/>
      </c>
      <c r="AZ136" s="16" t="str">
        <f aca="false">IF(AK136=0,"",IF(OR(AM136&lt;3,AP136&gt;AsOfDate),AX136,IF((AP136-1)&lt;AL136,-1,12*(YEAR((AP136-1))-YEAR(AL136))+MONTH((AP136-1))-MONTH(AL136)-IF(DAY((AP136-1))&lt;MIN(DAY(AL136),DAY(EOMONTH((AP136-1),0))),1,0))))</f>
        <v/>
      </c>
      <c r="BA136" s="16" t="str">
        <f aca="false">IF(AK136=0,"",IF(PFYDate&lt;AL136,-1,12*(YEAR(PFYDate)-YEAR(AL136))+MONTH(PFYDate)-MONTH(AL136)-IF(DAY(PFYDate)&lt;MIN(DAY(AL136),DAY(EOMONTH(PFYDate,0))),1,0)))</f>
        <v/>
      </c>
      <c r="BB136" s="16" t="str">
        <f aca="false">IF(AK136=0,"",IF(OR(AM136&lt;2,AO136&gt;PFYDate),BA136,IF((AO136-1)&lt;AL136,-1,12*(YEAR((AO136-1))-YEAR(AL136))+MONTH((AO136-1))-MONTH(AL136)-IF(DAY((AO136-1))&lt;MIN(DAY(AL136),DAY(EOMONTH((AO136-1),0))),1,0))))</f>
        <v/>
      </c>
      <c r="BC136" s="16" t="str">
        <f aca="false">IF(AK136=0,"",IF(OR(AM136&lt;3,AP136&gt;PFYDate),BA136,IF((AP136-1)&lt;AL136,-1,12*(YEAR((AP136-1))-YEAR(AL136))+MONTH((AP136-1))-MONTH(AL136)-IF(DAY((AP136-1))&lt;MIN(DAY(AL136),DAY(EOMONTH((AP136-1),0))),1,0))))</f>
        <v/>
      </c>
      <c r="BD136" s="16" t="str">
        <f aca="false">IF(AK136=0,"",IF(AT136="FT",IF(AY136&lt;FT_First,0,IF(AY136&lt;FT_Y5,1+INT((AY136-FT_First)/FT_Int1),FT_PreY5+FT_PerYear*INT((AY136-FT_Y5)/12)+FT_AnnivDays+INT(MOD(AY136-FT_Y5,12)/FT_Int2)-IF(EDATE(AL136,FT_Y5)&lt;PolicyEff,FT_AnnivDays-1,0))),IF(AT136="PT",IF(AY136&lt;PT_First,0,1+INT((AY136-PT_First)/PT_Int)),0))+IF(AND(AM136&gt;=2,AO136&lt;=AsOfDate),IF(AU136="FT",IF(AZ136&lt;FT_First,0,IF(AZ136&lt;FT_Y5,1+INT((AZ136-FT_First)/FT_Int1),FT_PreY5+FT_PerYear*INT((AZ136-FT_Y5)/12)+FT_AnnivDays+INT(MOD(AZ136-FT_Y5,12)/FT_Int2)-IF(EDATE(AL136,FT_Y5)&lt;PolicyEff,FT_AnnivDays-1,0))),IF(AU136="PT",IF(AZ136&lt;PT_First,0,1+INT((AZ136-PT_First)/PT_Int)),0))-IF(AU136="FT",IF(AY136&lt;FT_First,0,IF(AY136&lt;FT_Y5,1+INT((AY136-FT_First)/FT_Int1),FT_PreY5+FT_PerYear*INT((AY136-FT_Y5)/12)+FT_AnnivDays+INT(MOD(AY136-FT_Y5,12)/FT_Int2)-IF(EDATE(AL136,FT_Y5)&lt;PolicyEff,FT_AnnivDays-1,0))),IF(AU136="PT",IF(AY136&lt;PT_First,0,1+INT((AY136-PT_First)/PT_Int)),0)),0)+IF(AND(AM136&gt;=3,AP136&lt;=AsOfDate),IF(AV136="FT",IF(AX136&lt;FT_First,0,IF(AX136&lt;FT_Y5,1+INT((AX136-FT_First)/FT_Int1),FT_PreY5+FT_PerYear*INT((AX136-FT_Y5)/12)+FT_AnnivDays+INT(MOD(AX136-FT_Y5,12)/FT_Int2)-IF(EDATE(AL136,FT_Y5)&lt;PolicyEff,FT_AnnivDays-1,0))),IF(AV136="PT",IF(AX136&lt;PT_First,0,1+INT((AX136-PT_First)/PT_Int)),0))-IF(AV136="FT",IF(AZ136&lt;FT_First,0,IF(AZ136&lt;FT_Y5,1+INT((AZ136-FT_First)/FT_Int1),FT_PreY5+FT_PerYear*INT((AZ136-FT_Y5)/12)+FT_AnnivDays+INT(MOD(AZ136-FT_Y5,12)/FT_Int2)-IF(EDATE(AL136,FT_Y5)&lt;PolicyEff,FT_AnnivDays-1,0))),IF(AV136="PT",IF(AZ136&lt;PT_First,0,1+INT((AZ136-PT_First)/PT_Int)),0)),0))</f>
        <v/>
      </c>
      <c r="BE136" s="16" t="str">
        <f aca="false">IF(AK136=0,"",IF(AT136="FT",IF(BB136&lt;FT_First,0,IF(BB136&lt;FT_Y5,1+INT((BB136-FT_First)/FT_Int1),FT_PreY5+FT_PerYear*INT((BB136-FT_Y5)/12)+FT_AnnivDays+INT(MOD(BB136-FT_Y5,12)/FT_Int2)-IF(EDATE(AL136,FT_Y5)&lt;PolicyEff,FT_AnnivDays-1,0))),IF(AT136="PT",IF(BB136&lt;PT_First,0,1+INT((BB136-PT_First)/PT_Int)),0))+IF(AND(AM136&gt;=2,AO136&lt;=PFYDate),IF(AU136="FT",IF(BC136&lt;FT_First,0,IF(BC136&lt;FT_Y5,1+INT((BC136-FT_First)/FT_Int1),FT_PreY5+FT_PerYear*INT((BC136-FT_Y5)/12)+FT_AnnivDays+INT(MOD(BC136-FT_Y5,12)/FT_Int2)-IF(EDATE(AL136,FT_Y5)&lt;PolicyEff,FT_AnnivDays-1,0))),IF(AU136="PT",IF(BC136&lt;PT_First,0,1+INT((BC136-PT_First)/PT_Int)),0))-IF(AU136="FT",IF(BB136&lt;FT_First,0,IF(BB136&lt;FT_Y5,1+INT((BB136-FT_First)/FT_Int1),FT_PreY5+FT_PerYear*INT((BB136-FT_Y5)/12)+FT_AnnivDays+INT(MOD(BB136-FT_Y5,12)/FT_Int2)-IF(EDATE(AL136,FT_Y5)&lt;PolicyEff,FT_AnnivDays-1,0))),IF(AU136="PT",IF(BB136&lt;PT_First,0,1+INT((BB136-PT_First)/PT_Int)),0)),0)+IF(AND(AM136&gt;=3,AP136&lt;=PFYDate),IF(AV136="FT",IF(BA136&lt;FT_First,0,IF(BA136&lt;FT_Y5,1+INT((BA136-FT_First)/FT_Int1),FT_PreY5+FT_PerYear*INT((BA136-FT_Y5)/12)+FT_AnnivDays+INT(MOD(BA136-FT_Y5,12)/FT_Int2)-IF(EDATE(AL136,FT_Y5)&lt;PolicyEff,FT_AnnivDays-1,0))),IF(AV136="PT",IF(BA136&lt;PT_First,0,1+INT((BA136-PT_First)/PT_Int)),0))-IF(AV136="FT",IF(BC136&lt;FT_First,0,IF(BC136&lt;FT_Y5,1+INT((BC136-FT_First)/FT_Int1),FT_PreY5+FT_PerYear*INT((BC136-FT_Y5)/12)+FT_AnnivDays+INT(MOD(BC136-FT_Y5,12)/FT_Int2)-IF(EDATE(AL136,FT_Y5)&lt;PolicyEff,FT_AnnivDays-1,0))),IF(AV136="PT",IF(BC136&lt;PT_First,0,1+INT((BC136-PT_First)/PT_Int)),0)),0))</f>
        <v/>
      </c>
      <c r="BF136" s="16" t="str">
        <f aca="false">IF(AK136=0,"",IF(AW136="FT",IF(AX136&lt;FT_First,FT_First,IF(AX136&lt;FT_Y5,MIN(FT_Y5,FT_First+FT_Int1*(INT((AX136-FT_First)/FT_Int1)+1)),FT_Y5+12*INT((AX136-FT_Y5)/12)+FT_Int2*(INT(MOD(AX136-FT_Y5,12)/FT_Int2)+1))),IF(AW136="PT",IF(AX136&lt;PT_First,PT_First,PT_First+PT_Int*(INT((AX136-PT_First)/PT_Int)+1)),"")))</f>
        <v/>
      </c>
      <c r="BG136" s="16" t="str">
        <f aca="false">IF(AK136=0,"",IF(NOT(LH_Ready),0,COUNTIFS(INDEX(LH_Data,0,LH_ColFirst),$A136,INDEX(LH_Data,0,LH_ColSur),$B136,INDEX(LH_Data,0,LH_ColCat),BonusCat)))</f>
        <v/>
      </c>
      <c r="BH136" s="16" t="str">
        <f aca="false">IF(AK136=0,"",IF(OR(NOT(LH_Ready),BG136=0),0,SUMPRODUCT(MAX((INDEX(LH_Data,0,LH_ColFirst)=$A136)*(INDEX(LH_Data,0,LH_ColSur)=$B136)*(INDEX(LH_Data,0,LH_ColCat)=BonusCat)*ROW(LH_Data)))))</f>
        <v/>
      </c>
      <c r="BI136" s="16" t="str">
        <f aca="false">IF(AK136=0,"",IF(EOMONTH(AsOfDate,-1)&lt;AL136,-1,12*(YEAR(EOMONTH(AsOfDate,-1))-YEAR(AL136))+MONTH(EOMONTH(AsOfDate,-1))-MONTH(AL136)-IF(DAY(EOMONTH(AsOfDate,-1))&lt;MIN(DAY(AL136),DAY(EOMONTH(EOMONTH(AsOfDate,-1),0))),1,0)))</f>
        <v/>
      </c>
      <c r="BJ136" s="16" t="str">
        <f aca="false">IF(AK136=0,"",IF(OR(AM136&lt;2,AO136&gt;EOMONTH(AsOfDate,-1)),BI136,IF((AO136-1)&lt;AL136,-1,12*(YEAR((AO136-1))-YEAR(AL136))+MONTH((AO136-1))-MONTH(AL136)-IF(DAY((AO136-1))&lt;MIN(DAY(AL136),DAY(EOMONTH((AO136-1),0))),1,0))))</f>
        <v/>
      </c>
      <c r="BK136" s="16" t="str">
        <f aca="false">IF(AK136=0,"",IF(OR(AM136&lt;3,AP136&gt;EOMONTH(AsOfDate,-1)),BI136,IF((AP136-1)&lt;AL136,-1,12*(YEAR((AP136-1))-YEAR(AL136))+MONTH((AP136-1))-MONTH(AL136)-IF(DAY((AP136-1))&lt;MIN(DAY(AL136),DAY(EOMONTH((AP136-1),0))),1,0))))</f>
        <v/>
      </c>
      <c r="BL136" s="16" t="str">
        <f aca="false">IF(AK136=0,"",IF(AT136="FT",IF(BJ136&lt;FT_First,0,IF(BJ136&lt;FT_Y5,1+INT((BJ136-FT_First)/FT_Int1),FT_PreY5+FT_PerYear*INT((BJ136-FT_Y5)/12)+FT_AnnivDays+INT(MOD(BJ136-FT_Y5,12)/FT_Int2)-IF(EDATE(AL136,FT_Y5)&lt;PolicyEff,FT_AnnivDays-1,0))),IF(AT136="PT",IF(BJ136&lt;PT_First,0,1+INT((BJ136-PT_First)/PT_Int)),0))+IF(AND(AM136&gt;=2,AO136&lt;=EOMONTH(AsOfDate,-1)),IF(AU136="FT",IF(BK136&lt;FT_First,0,IF(BK136&lt;FT_Y5,1+INT((BK136-FT_First)/FT_Int1),FT_PreY5+FT_PerYear*INT((BK136-FT_Y5)/12)+FT_AnnivDays+INT(MOD(BK136-FT_Y5,12)/FT_Int2)-IF(EDATE(AL136,FT_Y5)&lt;PolicyEff,FT_AnnivDays-1,0))),IF(AU136="PT",IF(BK136&lt;PT_First,0,1+INT((BK136-PT_First)/PT_Int)),0))-IF(AU136="FT",IF(BJ136&lt;FT_First,0,IF(BJ136&lt;FT_Y5,1+INT((BJ136-FT_First)/FT_Int1),FT_PreY5+FT_PerYear*INT((BJ136-FT_Y5)/12)+FT_AnnivDays+INT(MOD(BJ136-FT_Y5,12)/FT_Int2)-IF(EDATE(AL136,FT_Y5)&lt;PolicyEff,FT_AnnivDays-1,0))),IF(AU136="PT",IF(BJ136&lt;PT_First,0,1+INT((BJ136-PT_First)/PT_Int)),0)),0)+IF(AND(AM136&gt;=3,AP136&lt;=EOMONTH(AsOfDate,-1)),IF(AV136="FT",IF(BI136&lt;FT_First,0,IF(BI136&lt;FT_Y5,1+INT((BI136-FT_First)/FT_Int1),FT_PreY5+FT_PerYear*INT((BI136-FT_Y5)/12)+FT_AnnivDays+INT(MOD(BI136-FT_Y5,12)/FT_Int2)-IF(EDATE(AL136,FT_Y5)&lt;PolicyEff,FT_AnnivDays-1,0))),IF(AV136="PT",IF(BI136&lt;PT_First,0,1+INT((BI136-PT_First)/PT_Int)),0))-IF(AV136="FT",IF(BK136&lt;FT_First,0,IF(BK136&lt;FT_Y5,1+INT((BK136-FT_First)/FT_Int1),FT_PreY5+FT_PerYear*INT((BK136-FT_Y5)/12)+FT_AnnivDays+INT(MOD(BK136-FT_Y5,12)/FT_Int2)-IF(EDATE(AL136,FT_Y5)&lt;PolicyEff,FT_AnnivDays-1,0))),IF(AV136="PT",IF(BK136&lt;PT_First,0,1+INT((BK136-PT_First)/PT_Int)),0)),0))</f>
        <v/>
      </c>
      <c r="BM136" s="16" t="str">
        <f aca="false">IF(AK136=0,"",IF(AW136="FT",IF(AX136&lt;FT_First,"",IF(AX136&lt;FT_Y5,FT_First+FT_Int1*INT((AX136-FT_First)/FT_Int1),FT_Y5+FT_Int2*INT((AX136-FT_Y5)/FT_Int2))),IF(AW136="PT",IF(AX136&lt;PT_First,"",PT_First+PT_Int*INT((AX136-PT_First)/PT_Int)),"")))</f>
        <v/>
      </c>
      <c r="BN136" s="16" t="str">
        <f aca="false">IF(AK136=0,"",IF((SchemeStart-1)&lt;AL136,-1,12*(YEAR((SchemeStart-1))-YEAR(AL136))+MONTH((SchemeStart-1))-MONTH(AL136)-IF(DAY((SchemeStart-1))&lt;MIN(DAY(AL136),DAY(EOMONTH((SchemeStart-1),0))),1,0)))</f>
        <v/>
      </c>
      <c r="BO136" s="16" t="str">
        <f aca="false">IF(AK136=0,"",IF(OR(AM136&lt;2,AO136&gt;(SchemeStart-1)),BN136,IF((AO136-1)&lt;AL136,-1,12*(YEAR((AO136-1))-YEAR(AL136))+MONTH((AO136-1))-MONTH(AL136)-IF(DAY((AO136-1))&lt;MIN(DAY(AL136),DAY(EOMONTH((AO136-1),0))),1,0))))</f>
        <v/>
      </c>
      <c r="BP136" s="16" t="str">
        <f aca="false">IF(AK136=0,"",IF(OR(AM136&lt;3,AP136&gt;(SchemeStart-1)),BN136,IF((AP136-1)&lt;AL136,-1,12*(YEAR((AP136-1))-YEAR(AL136))+MONTH((AP136-1))-MONTH(AL136)-IF(DAY((AP136-1))&lt;MIN(DAY(AL136),DAY(EOMONTH((AP136-1),0))),1,0))))</f>
        <v/>
      </c>
      <c r="BQ136" s="16" t="str">
        <f aca="false">IF(AK136=0,"",IF(AT136="FT",IF(BO136&lt;FT_First,0,IF(BO136&lt;FT_Y5,1+INT((BO136-FT_First)/FT_Int1),FT_PreY5+FT_PerYear*INT((BO136-FT_Y5)/12)+FT_AnnivDays+INT(MOD(BO136-FT_Y5,12)/FT_Int2)-IF(EDATE(AL136,FT_Y5)&lt;PolicyEff,FT_AnnivDays-1,0))),IF(AT136="PT",IF(BO136&lt;PT_First,0,1+INT((BO136-PT_First)/PT_Int)),0))+IF(AND(AM136&gt;=2,AO136&lt;=(SchemeStart-1)),IF(AU136="FT",IF(BP136&lt;FT_First,0,IF(BP136&lt;FT_Y5,1+INT((BP136-FT_First)/FT_Int1),FT_PreY5+FT_PerYear*INT((BP136-FT_Y5)/12)+FT_AnnivDays+INT(MOD(BP136-FT_Y5,12)/FT_Int2)-IF(EDATE(AL136,FT_Y5)&lt;PolicyEff,FT_AnnivDays-1,0))),IF(AU136="PT",IF(BP136&lt;PT_First,0,1+INT((BP136-PT_First)/PT_Int)),0))-IF(AU136="FT",IF(BO136&lt;FT_First,0,IF(BO136&lt;FT_Y5,1+INT((BO136-FT_First)/FT_Int1),FT_PreY5+FT_PerYear*INT((BO136-FT_Y5)/12)+FT_AnnivDays+INT(MOD(BO136-FT_Y5,12)/FT_Int2)-IF(EDATE(AL136,FT_Y5)&lt;PolicyEff,FT_AnnivDays-1,0))),IF(AU136="PT",IF(BO136&lt;PT_First,0,1+INT((BO136-PT_First)/PT_Int)),0)),0)+IF(AND(AM136&gt;=3,AP136&lt;=(SchemeStart-1)),IF(AV136="FT",IF(BN136&lt;FT_First,0,IF(BN136&lt;FT_Y5,1+INT((BN136-FT_First)/FT_Int1),FT_PreY5+FT_PerYear*INT((BN136-FT_Y5)/12)+FT_AnnivDays+INT(MOD(BN136-FT_Y5,12)/FT_Int2)-IF(EDATE(AL136,FT_Y5)&lt;PolicyEff,FT_AnnivDays-1,0))),IF(AV136="PT",IF(BN136&lt;PT_First,0,1+INT((BN136-PT_First)/PT_Int)),0))-IF(AV136="FT",IF(BP136&lt;FT_First,0,IF(BP136&lt;FT_Y5,1+INT((BP136-FT_First)/FT_Int1),FT_PreY5+FT_PerYear*INT((BP136-FT_Y5)/12)+FT_AnnivDays+INT(MOD(BP136-FT_Y5,12)/FT_Int2)-IF(EDATE(AL136,FT_Y5)&lt;PolicyEff,FT_AnnivDays-1,0))),IF(AV136="PT",IF(BP136&lt;PT_First,0,1+INT((BP136-PT_First)/PT_Int)),0)),0))</f>
        <v/>
      </c>
      <c r="BR136" s="0" t="str">
        <f aca="false">IF(LEN($A136&amp;$B136)=0,"",$A136&amp;" "&amp;$B136)</f>
        <v/>
      </c>
    </row>
    <row r="137" customFormat="false" ht="15" hidden="false" customHeight="false" outlineLevel="0" collapsed="false">
      <c r="A137" s="12"/>
      <c r="B137" s="12"/>
      <c r="C137" s="12"/>
      <c r="D137" s="13"/>
      <c r="E137" s="14" t="str">
        <f aca="false">IF(OR(AK137=0,$D137=""),"",DATE(YEAR(AsOfDate)+IF(DATE(YEAR(AsOfDate),MONTH($D137),DAY($D137))&lt;=AsOfDate,1,0),MONTH($D137),DAY($D137)))</f>
        <v/>
      </c>
      <c r="F137" s="13"/>
      <c r="G137" s="13"/>
      <c r="H137" s="13"/>
      <c r="I137" s="13"/>
      <c r="J137" s="13"/>
      <c r="K137" s="14" t="str">
        <f aca="false">IF(AK137=0,"",DATE(YEAR(AsOfDate)+IF(DATE(YEAR(AsOfDate),MONTH(AL137),DAY(AL137))&lt;=AsOfDate,1,0),MONTH(AL137),DAY(AL137)))</f>
        <v/>
      </c>
      <c r="L137" s="15" t="str">
        <f aca="false">IF(AK137=0,"",ROUND((AsOfDate-AL137)/365.25,1))</f>
        <v/>
      </c>
      <c r="M137" s="16" t="str">
        <f aca="false">IF(AK137=0,"",IF(AsOfDate&lt;AL137,"-",DATEDIF(AL137,AsOfDate,"y")&amp;"y "&amp;DATEDIF(AL137,AsOfDate,"ym")&amp;"m "&amp;DATEDIF(AL137,AsOfDate,"md")&amp;"d"))</f>
        <v/>
      </c>
      <c r="N137" s="17" t="str">
        <f aca="false">IF(AK137=0,"",O137*HoursPerDay)</f>
        <v/>
      </c>
      <c r="O137" s="17" t="str">
        <f aca="false">IF(AK137=0,"",MAX(0,BD137-BQ137))</f>
        <v/>
      </c>
      <c r="P137" s="18"/>
      <c r="Q137" s="16" t="str">
        <f aca="false">IF(AK137=0,"",IF(AM137&lt;2,"",AQ137&amp;" to "&amp;AR137&amp;" on "&amp;TEXT(AO137,"dd/mm/yyyy")&amp;IF(AO137&gt;AsOfDate," (future)",IF(AT137=AU137,"",IF(AU137="None"," - STOPPED accruing",IF(AT137="None"," - commencement for Bonus Leave"," - pathway changed"))))&amp;IF(AM137&lt;3,"","; "&amp;AR137&amp;" to "&amp;AS137&amp;" on "&amp;TEXT(AP137,"dd/mm/yyyy")&amp;IF(AP137&gt;AsOfDate," (future)",IF(AU137=AV137,"",IF(AV137="None"," - STOPPED accruing",IF(AU137="None"," - commencement for Bonus Leave"," - pathway changed")))))))</f>
        <v/>
      </c>
      <c r="R137" s="16" t="str">
        <f aca="false">IF(AK137=0,"",IF(AW137="None",IF(O137&gt;0,"No longer accruing","Not eligible - "&amp;IF(AND(OR(ISNUMBER(SEARCH("part",$C137)),UPPER(TRIM($C137))="PT",UPPER(TRIM($C137))="PTE"),Apply2026="No"),"part-time (scheme is full-time only)",IF(AND(OR(ISNUMBER(SEARCH("part",$C137)),UPPER(TRIM($C137))="PT",UPPER(TRIM($C137))="PTE"),$P137&lt;&gt;"",N($P137)&lt;PT_MinHours),"under "&amp;PT_MinHours&amp;" hrs",IF(IF($C137="","",IF(OR(ISNUMBER(SEARCH("full",$C137)),UPPER(TRIM($C137))="FT",UPPER(TRIM($C137))="FTE"),"Full-Time",IF(OR(ISNUMBER(SEARCH("part",$C137)),UPPER(TRIM($C137))="PT",UPPER(TRIM($C137))="PTE"),"Part-Time",IF(OR(ISNUMBER(SEARCH("cas",$C137)),UPPER(TRIM($C137))="CAS"),"Casual","Unknown"))))="Unknown","type not recognised",$C137)))),IF(O137&gt;0,"Yes - Accrual Required","Not yet - from "&amp;TEXT(S137,"dd/mm/yyyy"))))</f>
        <v/>
      </c>
      <c r="S137" s="14" t="str">
        <f aca="false">IF(AK137=0,"",IF(AW137="None","",EDATE(AL137,BF137)))</f>
        <v/>
      </c>
      <c r="T137" s="17" t="str">
        <f aca="false">IF(AK137=0,"",IF(NOT(LH_Ready),"",IF($F137&gt;PFYDate,0,IF(LH_ColPeriod=0,W137-U137+V137,SUMIFS(INDEX(LH_Data,0,LH_ColAcc),INDEX(LH_Data,0,LH_ColFirst),$A137,INDEX(LH_Data,0,LH_ColSur),$B137,INDEX(LH_Data,0,LH_ColCat),BonusCat,INDEX(LH_Data,0,LH_ColPeriod),LH_OpenLabel)*UnitFactor))))</f>
        <v/>
      </c>
      <c r="U137" s="17" t="str">
        <f aca="false">IF(AK137=0,"",IF(NOT(LH_Ready),"",SUMIFS(INDEX(LH_Data,0,LH_ColAcc),INDEX(LH_Data,0,LH_ColFirst),$A137,INDEX(LH_Data,0,LH_ColSur),$B137,INDEX(LH_Data,0,LH_ColCat),BonusCat,INDEX(LH_Data,0,LH_ColStart),"&gt;="&amp;AL137)*UnitFactor))</f>
        <v/>
      </c>
      <c r="V137" s="17" t="str">
        <f aca="false">IF(AK137=0,"",IF(NOT(LH_Ready),"",SUMIFS(INDEX(LH_Data,0,LH_ColTaken),INDEX(LH_Data,0,LH_ColFirst),$A137,INDEX(LH_Data,0,LH_ColSur),$B137,INDEX(LH_Data,0,LH_ColCat),BonusCat,INDEX(LH_Data,0,LH_ColStart),"&gt;="&amp;AL137)*UnitFactor))</f>
        <v/>
      </c>
      <c r="W137" s="17" t="str">
        <f aca="false">IF(AK137=0,"",IF(NOT(LH_Ready),"",IF(BH137=0,0,INDEX(INDEX(LH_Data,0,LH_ColClose),BH137-1)*UnitFactor)))</f>
        <v/>
      </c>
      <c r="X137" s="17" t="str">
        <f aca="false">IF(AK137=0,"",(MAX(0,BD137-BQ137)-MAX(0,BE137-BQ137))*HoursPerDay)</f>
        <v/>
      </c>
      <c r="Y137" s="17" t="str">
        <f aca="false">IF(AK137=0,"",IF(NOT(LH_Ready),"",IF($AI137="Yes",N(AE137)*HoursPerDay-SUMIFS(INDEX(LH_Data,0,LH_ColAcc),INDEX(LH_Data,0,LH_ColFirst),$A137,INDEX(LH_Data,0,LH_ColSur),$B137,INDEX(LH_Data,0,LH_ColCat),BonusCat,INDEX(LH_Data,0,LH_ColStart),"&gt;="&amp;(EOMONTH(AsOfDate,-1)+1),INDEX(LH_Data,0,LH_ColStart),"&lt;="&amp;AsOfDate)*UnitFactor,IF(BG137=0,N137,N137-N(T137)-N(U137)))))</f>
        <v/>
      </c>
      <c r="Z137" s="16" t="str">
        <f aca="false">IF(OR(AK137=0,Y137=""),"",IF(Y137&gt;0,"Yes","No"))</f>
        <v/>
      </c>
      <c r="AA137" s="16" t="str">
        <f aca="false">IF(AK137=0,IF(LEN($A137&amp;$B137)=0,"","FIX INPUT - StartDate missing"),IF(AD137&lt;&gt;"","FIX INPUT - "&amp;AD137,IF(NOT(LH_Ready),"Paste Leave History export (Settings must show YES)",IF(AND($AI137="Yes",Y137&lt;=0),"OK - EH balance accepted to date"&amp;IF(N(AH137)&gt;0," (EH holds "&amp;AH137&amp;" hrs over the scheme)","")&amp;"; next day "&amp;TEXT(S137,"dd mmm yy")&amp;IF(N(AE137)&gt;0," ("&amp;AE137&amp;" day(s) for "&amp;UPPER(TEXT(AsOfDate,"mmm yyyy"))&amp;" already in EH)",""),IF(Y137&gt;0,"ACCRUE "&amp;ROUND(Y137,2)&amp;" hrs ("&amp;ROUND(Y137/HoursPerDay,2)&amp;" days): "&amp;IF(N(AE137)&gt;0,AE137&amp;" day(s) for "&amp;UPPER(TEXT(AsOfDate,"mmm yyyy"))&amp;" (milestone "&amp;UPPER(TEXT(AF137,"dd mmm yy"))&amp;")"&amp;IF(Y137/HoursPerDay&gt;AE137+0.001," + "&amp;ROUND(Y137/HoursPerDay-AE137,2)&amp;" day(s) catch-up from earlier months",""),"all catch-up from earlier months, nothing new this month")&amp;IF(BG137=0,"; no Bonus Leave in EH yet",""),IF(Y137&lt;0,"CHECK - EH accrued "&amp;ROUND(-Y137,2)&amp;" hrs more than policy since commencement",IF(N(W137)&gt;O137*HoursPerDay+0.01,"CHECK - EH balance "&amp;ROUND(W137-O137*HoursPerDay,2)&amp;" hrs more than policy entitlement",IF(O137&gt;0,"OK - nothing to add"&amp;IF(N(AE137)&gt;0," ("&amp;AE137&amp;" day(s) for "&amp;UPPER(TEXT(AsOfDate,"mmm yyyy"))&amp;" already in EH)",""),IF(AW137="None",R137,"Not yet - first day on "&amp;TEXT(S137,"dd/mm/yyyy"))))))))))</f>
        <v/>
      </c>
      <c r="AB137" s="17" t="str">
        <f aca="false">IF(OR(AK137=0,T137=""),"",MAX(0,BE137-BQ137)*HoursPerDay-T137)</f>
        <v/>
      </c>
      <c r="AC137" s="16" t="str">
        <f aca="false">IF(AK137=0,"",BG137)</f>
        <v/>
      </c>
      <c r="AD137" s="16" t="str">
        <f aca="false">IF(AK137=0,"",TRIM(IF(OR(ISTEXT($F137),ISTEXT($H137),ISTEXT($I137),ISTEXT($G137),ISTEXT($J137),ISTEXT($D137)),"A date is typed as text - retype it as dd/mm/yyyy. ","")&amp;IF(IF($C137="","",IF(OR(ISNUMBER(SEARCH("full",$C137)),UPPER(TRIM($C137))="FT",UPPER(TRIM($C137))="FTE"),"Full-Time",IF(OR(ISNUMBER(SEARCH("part",$C137)),UPPER(TRIM($C137))="PT",UPPER(TRIM($C137))="PTE"),"Part-Time",IF(OR(ISNUMBER(SEARCH("cas",$C137)),UPPER(TRIM($C137))="CAS"),"Casual","Unknown"))))="Unknown","EmploymentType not recognised - use Full-Time, Part-Time or Casual. ","")&amp;IF(AND(AM137&gt;=1,IF(AM137&gt;=3,AS137,IF(AM137=2,AR137,AQ137))&lt;&gt;IF($C137="","",IF(OR(ISNUMBER(SEARCH("full",$C137)),UPPER(TRIM($C137))="FT",UPPER(TRIM($C137))="FTE"),"Full-Time",IF(OR(ISNUMBER(SEARCH("part",$C137)),UPPER(TRIM($C137))="PT",UPPER(TRIM($C137))="PTE"),"Part-Time",IF(OR(ISNUMBER(SEARCH("cas",$C137)),UPPER(TRIM($C137))="CAS"),"Casual","Unknown"))))),"EmploymentType does not match latest start date ("&amp;IF(AM137&gt;=3,AS137,IF(AM137=2,AR137,AQ137))&amp;"). ","")&amp;IF(AND(AM137&gt;=1,AN137&lt;&gt;$F137),"Earliest type date should equal StartDate. ","")&amp;IF(AND(AM137&gt;=2,AN137=AO137),"Two types start on the same date. ","")&amp;IF(AND(OR(ISNUMBER(SEARCH("part",$C137)),UPPER(TRIM($C137))="PT",UPPER(TRIM($C137))="PTE"),$P137=""),"Part-time: enter PT Hrs/Week (blank = 24+). ","")))</f>
        <v/>
      </c>
      <c r="AE137" s="17" t="str">
        <f aca="false">IF(AK137=0,"",O137-MAX(0,BL137-BQ137))</f>
        <v/>
      </c>
      <c r="AF137" s="14" t="str">
        <f aca="false">IF(OR(AK137=0,AE137="",N(AE137)=0,BM137=""),"",EDATE(AL137,BM137))</f>
        <v/>
      </c>
      <c r="AG137" s="17" t="str">
        <f aca="false">IF(AK137=0,"",MIN(BD137,BQ137))</f>
        <v/>
      </c>
      <c r="AH137" s="17" t="str">
        <f aca="false">IF(AK137=0,"",IF(NOT(LH_Ready),"",IF(BG137=0,0,MAX(0,ROUND(N(T137)+N(U137)-N137,2)))))</f>
        <v/>
      </c>
      <c r="AI137" s="12"/>
      <c r="AJ137" s="12"/>
      <c r="AK137" s="16" t="n">
        <f aca="false">IF(OR(LEN($A137&amp;$B137)=0,$F137=""),0,1)</f>
        <v>0</v>
      </c>
      <c r="AL137" s="14" t="str">
        <f aca="false">IF(AK137=0,"",IF(PreSchemeCounts="No",MAX(SchemeStart,IF($J137&lt;&gt;"",$J137,IF(OR(CasualCounts="Yes",COUNT($G137:$I137)=0),$F137,IF(Apply2026="No",IF($I137="",$F137,$I137),IF(COUNT($H137:$I137)=0,$F137,MIN($H137:$I137)))))),IF($J137&lt;&gt;"",$J137,IF(OR(CasualCounts="Yes",COUNT($G137:$I137)=0),$F137,IF(Apply2026="No",IF($I137="",$F137,$I137),IF(COUNT($H137:$I137)=0,$F137,MIN($H137:$I137)))))))</f>
        <v/>
      </c>
      <c r="AM137" s="16" t="str">
        <f aca="false">IF(AK137=0,"",COUNT($G137:$I137))</f>
        <v/>
      </c>
      <c r="AN137" s="14" t="str">
        <f aca="false">IF(AK137=0,"",IFERROR(SMALL($G137:$I137,1),""))</f>
        <v/>
      </c>
      <c r="AO137" s="14" t="str">
        <f aca="false">IF(AK137=0,"",IFERROR(SMALL($G137:$I137,2),""))</f>
        <v/>
      </c>
      <c r="AP137" s="14" t="str">
        <f aca="false">IF(AK137=0,"",IFERROR(SMALL($G137:$I137,3),""))</f>
        <v/>
      </c>
      <c r="AQ137" s="16" t="str">
        <f aca="false">IF(AK137=0,"",IF(AN137="","",IF(AN137=$H137,"Part-Time",IF(AN137=$I137,"Full-Time","Casual"))))</f>
        <v/>
      </c>
      <c r="AR137" s="16" t="str">
        <f aca="false">IF(AK137=0,"",IF(AO137="","",IF(AO137=$H137,"Part-Time",IF(AO137=$I137,"Full-Time","Casual"))))</f>
        <v/>
      </c>
      <c r="AS137" s="16" t="str">
        <f aca="false">IF(AK137=0,"",IF(AP137="","",IF(AP137=$H137,"Part-Time",IF(AP137=$I137,"Full-Time","Casual"))))</f>
        <v/>
      </c>
      <c r="AT137" s="16" t="str">
        <f aca="false">IF(AK137=0,"",IF(AM137=0,IF(OR(ISNUMBER(SEARCH("full",$C137)),UPPER(TRIM($C137))="FT",UPPER(TRIM($C137))="FTE"),"FT",IF(AND(OR(ISNUMBER(SEARCH("part",$C137)),UPPER(TRIM($C137))="PT",UPPER(TRIM($C137))="PTE"),Apply2026="Yes",OR($P137="",N($P137)&gt;=PT_MinHours)),"PT","None")),IF(OR(ISNUMBER(SEARCH("full",AQ137)),UPPER(TRIM(AQ137))="FT",UPPER(TRIM(AQ137))="FTE"),"FT",IF(AND(OR(ISNUMBER(SEARCH("part",AQ137)),UPPER(TRIM(AQ137))="PT",UPPER(TRIM(AQ137))="PTE"),Apply2026="Yes",OR($P137="",N($P137)&gt;=PT_MinHours)),"PT","None"))))</f>
        <v/>
      </c>
      <c r="AU137" s="16" t="str">
        <f aca="false">IF(AK137=0,"",IF(AM137&lt;2,"",IF(OR(ISNUMBER(SEARCH("full",AR137)),UPPER(TRIM(AR137))="FT",UPPER(TRIM(AR137))="FTE"),"FT",IF(AND(OR(ISNUMBER(SEARCH("part",AR137)),UPPER(TRIM(AR137))="PT",UPPER(TRIM(AR137))="PTE"),Apply2026="Yes",OR($P137="",N($P137)&gt;=PT_MinHours)),"PT","None"))))</f>
        <v/>
      </c>
      <c r="AV137" s="16" t="str">
        <f aca="false">IF(AK137=0,"",IF(AM137&lt;3,"",IF(OR(ISNUMBER(SEARCH("full",AS137)),UPPER(TRIM(AS137))="FT",UPPER(TRIM(AS137))="FTE"),"FT",IF(AND(OR(ISNUMBER(SEARCH("part",AS137)),UPPER(TRIM(AS137))="PT",UPPER(TRIM(AS137))="PTE"),Apply2026="Yes",OR($P137="",N($P137)&gt;=PT_MinHours)),"PT","None"))))</f>
        <v/>
      </c>
      <c r="AW137" s="16" t="str">
        <f aca="false">IF(AK137=0,"",IF(AND(AM137&gt;=3,AP137&lt;=AsOfDate),AV137,IF(AND(AM137&gt;=2,AO137&lt;=AsOfDate),AU137,AT137)))</f>
        <v/>
      </c>
      <c r="AX137" s="16" t="str">
        <f aca="false">IF(AK137=0,"",IF(AsOfDate&lt;AL137,-1,12*(YEAR(AsOfDate)-YEAR(AL137))+MONTH(AsOfDate)-MONTH(AL137)-IF(DAY(AsOfDate)&lt;MIN(DAY(AL137),DAY(EOMONTH(AsOfDate,0))),1,0)))</f>
        <v/>
      </c>
      <c r="AY137" s="16" t="str">
        <f aca="false">IF(AK137=0,"",IF(OR(AM137&lt;2,AO137&gt;AsOfDate),AX137,IF((AO137-1)&lt;AL137,-1,12*(YEAR((AO137-1))-YEAR(AL137))+MONTH((AO137-1))-MONTH(AL137)-IF(DAY((AO137-1))&lt;MIN(DAY(AL137),DAY(EOMONTH((AO137-1),0))),1,0))))</f>
        <v/>
      </c>
      <c r="AZ137" s="16" t="str">
        <f aca="false">IF(AK137=0,"",IF(OR(AM137&lt;3,AP137&gt;AsOfDate),AX137,IF((AP137-1)&lt;AL137,-1,12*(YEAR((AP137-1))-YEAR(AL137))+MONTH((AP137-1))-MONTH(AL137)-IF(DAY((AP137-1))&lt;MIN(DAY(AL137),DAY(EOMONTH((AP137-1),0))),1,0))))</f>
        <v/>
      </c>
      <c r="BA137" s="16" t="str">
        <f aca="false">IF(AK137=0,"",IF(PFYDate&lt;AL137,-1,12*(YEAR(PFYDate)-YEAR(AL137))+MONTH(PFYDate)-MONTH(AL137)-IF(DAY(PFYDate)&lt;MIN(DAY(AL137),DAY(EOMONTH(PFYDate,0))),1,0)))</f>
        <v/>
      </c>
      <c r="BB137" s="16" t="str">
        <f aca="false">IF(AK137=0,"",IF(OR(AM137&lt;2,AO137&gt;PFYDate),BA137,IF((AO137-1)&lt;AL137,-1,12*(YEAR((AO137-1))-YEAR(AL137))+MONTH((AO137-1))-MONTH(AL137)-IF(DAY((AO137-1))&lt;MIN(DAY(AL137),DAY(EOMONTH((AO137-1),0))),1,0))))</f>
        <v/>
      </c>
      <c r="BC137" s="16" t="str">
        <f aca="false">IF(AK137=0,"",IF(OR(AM137&lt;3,AP137&gt;PFYDate),BA137,IF((AP137-1)&lt;AL137,-1,12*(YEAR((AP137-1))-YEAR(AL137))+MONTH((AP137-1))-MONTH(AL137)-IF(DAY((AP137-1))&lt;MIN(DAY(AL137),DAY(EOMONTH((AP137-1),0))),1,0))))</f>
        <v/>
      </c>
      <c r="BD137" s="16" t="str">
        <f aca="false">IF(AK137=0,"",IF(AT137="FT",IF(AY137&lt;FT_First,0,IF(AY137&lt;FT_Y5,1+INT((AY137-FT_First)/FT_Int1),FT_PreY5+FT_PerYear*INT((AY137-FT_Y5)/12)+FT_AnnivDays+INT(MOD(AY137-FT_Y5,12)/FT_Int2)-IF(EDATE(AL137,FT_Y5)&lt;PolicyEff,FT_AnnivDays-1,0))),IF(AT137="PT",IF(AY137&lt;PT_First,0,1+INT((AY137-PT_First)/PT_Int)),0))+IF(AND(AM137&gt;=2,AO137&lt;=AsOfDate),IF(AU137="FT",IF(AZ137&lt;FT_First,0,IF(AZ137&lt;FT_Y5,1+INT((AZ137-FT_First)/FT_Int1),FT_PreY5+FT_PerYear*INT((AZ137-FT_Y5)/12)+FT_AnnivDays+INT(MOD(AZ137-FT_Y5,12)/FT_Int2)-IF(EDATE(AL137,FT_Y5)&lt;PolicyEff,FT_AnnivDays-1,0))),IF(AU137="PT",IF(AZ137&lt;PT_First,0,1+INT((AZ137-PT_First)/PT_Int)),0))-IF(AU137="FT",IF(AY137&lt;FT_First,0,IF(AY137&lt;FT_Y5,1+INT((AY137-FT_First)/FT_Int1),FT_PreY5+FT_PerYear*INT((AY137-FT_Y5)/12)+FT_AnnivDays+INT(MOD(AY137-FT_Y5,12)/FT_Int2)-IF(EDATE(AL137,FT_Y5)&lt;PolicyEff,FT_AnnivDays-1,0))),IF(AU137="PT",IF(AY137&lt;PT_First,0,1+INT((AY137-PT_First)/PT_Int)),0)),0)+IF(AND(AM137&gt;=3,AP137&lt;=AsOfDate),IF(AV137="FT",IF(AX137&lt;FT_First,0,IF(AX137&lt;FT_Y5,1+INT((AX137-FT_First)/FT_Int1),FT_PreY5+FT_PerYear*INT((AX137-FT_Y5)/12)+FT_AnnivDays+INT(MOD(AX137-FT_Y5,12)/FT_Int2)-IF(EDATE(AL137,FT_Y5)&lt;PolicyEff,FT_AnnivDays-1,0))),IF(AV137="PT",IF(AX137&lt;PT_First,0,1+INT((AX137-PT_First)/PT_Int)),0))-IF(AV137="FT",IF(AZ137&lt;FT_First,0,IF(AZ137&lt;FT_Y5,1+INT((AZ137-FT_First)/FT_Int1),FT_PreY5+FT_PerYear*INT((AZ137-FT_Y5)/12)+FT_AnnivDays+INT(MOD(AZ137-FT_Y5,12)/FT_Int2)-IF(EDATE(AL137,FT_Y5)&lt;PolicyEff,FT_AnnivDays-1,0))),IF(AV137="PT",IF(AZ137&lt;PT_First,0,1+INT((AZ137-PT_First)/PT_Int)),0)),0))</f>
        <v/>
      </c>
      <c r="BE137" s="16" t="str">
        <f aca="false">IF(AK137=0,"",IF(AT137="FT",IF(BB137&lt;FT_First,0,IF(BB137&lt;FT_Y5,1+INT((BB137-FT_First)/FT_Int1),FT_PreY5+FT_PerYear*INT((BB137-FT_Y5)/12)+FT_AnnivDays+INT(MOD(BB137-FT_Y5,12)/FT_Int2)-IF(EDATE(AL137,FT_Y5)&lt;PolicyEff,FT_AnnivDays-1,0))),IF(AT137="PT",IF(BB137&lt;PT_First,0,1+INT((BB137-PT_First)/PT_Int)),0))+IF(AND(AM137&gt;=2,AO137&lt;=PFYDate),IF(AU137="FT",IF(BC137&lt;FT_First,0,IF(BC137&lt;FT_Y5,1+INT((BC137-FT_First)/FT_Int1),FT_PreY5+FT_PerYear*INT((BC137-FT_Y5)/12)+FT_AnnivDays+INT(MOD(BC137-FT_Y5,12)/FT_Int2)-IF(EDATE(AL137,FT_Y5)&lt;PolicyEff,FT_AnnivDays-1,0))),IF(AU137="PT",IF(BC137&lt;PT_First,0,1+INT((BC137-PT_First)/PT_Int)),0))-IF(AU137="FT",IF(BB137&lt;FT_First,0,IF(BB137&lt;FT_Y5,1+INT((BB137-FT_First)/FT_Int1),FT_PreY5+FT_PerYear*INT((BB137-FT_Y5)/12)+FT_AnnivDays+INT(MOD(BB137-FT_Y5,12)/FT_Int2)-IF(EDATE(AL137,FT_Y5)&lt;PolicyEff,FT_AnnivDays-1,0))),IF(AU137="PT",IF(BB137&lt;PT_First,0,1+INT((BB137-PT_First)/PT_Int)),0)),0)+IF(AND(AM137&gt;=3,AP137&lt;=PFYDate),IF(AV137="FT",IF(BA137&lt;FT_First,0,IF(BA137&lt;FT_Y5,1+INT((BA137-FT_First)/FT_Int1),FT_PreY5+FT_PerYear*INT((BA137-FT_Y5)/12)+FT_AnnivDays+INT(MOD(BA137-FT_Y5,12)/FT_Int2)-IF(EDATE(AL137,FT_Y5)&lt;PolicyEff,FT_AnnivDays-1,0))),IF(AV137="PT",IF(BA137&lt;PT_First,0,1+INT((BA137-PT_First)/PT_Int)),0))-IF(AV137="FT",IF(BC137&lt;FT_First,0,IF(BC137&lt;FT_Y5,1+INT((BC137-FT_First)/FT_Int1),FT_PreY5+FT_PerYear*INT((BC137-FT_Y5)/12)+FT_AnnivDays+INT(MOD(BC137-FT_Y5,12)/FT_Int2)-IF(EDATE(AL137,FT_Y5)&lt;PolicyEff,FT_AnnivDays-1,0))),IF(AV137="PT",IF(BC137&lt;PT_First,0,1+INT((BC137-PT_First)/PT_Int)),0)),0))</f>
        <v/>
      </c>
      <c r="BF137" s="16" t="str">
        <f aca="false">IF(AK137=0,"",IF(AW137="FT",IF(AX137&lt;FT_First,FT_First,IF(AX137&lt;FT_Y5,MIN(FT_Y5,FT_First+FT_Int1*(INT((AX137-FT_First)/FT_Int1)+1)),FT_Y5+12*INT((AX137-FT_Y5)/12)+FT_Int2*(INT(MOD(AX137-FT_Y5,12)/FT_Int2)+1))),IF(AW137="PT",IF(AX137&lt;PT_First,PT_First,PT_First+PT_Int*(INT((AX137-PT_First)/PT_Int)+1)),"")))</f>
        <v/>
      </c>
      <c r="BG137" s="16" t="str">
        <f aca="false">IF(AK137=0,"",IF(NOT(LH_Ready),0,COUNTIFS(INDEX(LH_Data,0,LH_ColFirst),$A137,INDEX(LH_Data,0,LH_ColSur),$B137,INDEX(LH_Data,0,LH_ColCat),BonusCat)))</f>
        <v/>
      </c>
      <c r="BH137" s="16" t="str">
        <f aca="false">IF(AK137=0,"",IF(OR(NOT(LH_Ready),BG137=0),0,SUMPRODUCT(MAX((INDEX(LH_Data,0,LH_ColFirst)=$A137)*(INDEX(LH_Data,0,LH_ColSur)=$B137)*(INDEX(LH_Data,0,LH_ColCat)=BonusCat)*ROW(LH_Data)))))</f>
        <v/>
      </c>
      <c r="BI137" s="16" t="str">
        <f aca="false">IF(AK137=0,"",IF(EOMONTH(AsOfDate,-1)&lt;AL137,-1,12*(YEAR(EOMONTH(AsOfDate,-1))-YEAR(AL137))+MONTH(EOMONTH(AsOfDate,-1))-MONTH(AL137)-IF(DAY(EOMONTH(AsOfDate,-1))&lt;MIN(DAY(AL137),DAY(EOMONTH(EOMONTH(AsOfDate,-1),0))),1,0)))</f>
        <v/>
      </c>
      <c r="BJ137" s="16" t="str">
        <f aca="false">IF(AK137=0,"",IF(OR(AM137&lt;2,AO137&gt;EOMONTH(AsOfDate,-1)),BI137,IF((AO137-1)&lt;AL137,-1,12*(YEAR((AO137-1))-YEAR(AL137))+MONTH((AO137-1))-MONTH(AL137)-IF(DAY((AO137-1))&lt;MIN(DAY(AL137),DAY(EOMONTH((AO137-1),0))),1,0))))</f>
        <v/>
      </c>
      <c r="BK137" s="16" t="str">
        <f aca="false">IF(AK137=0,"",IF(OR(AM137&lt;3,AP137&gt;EOMONTH(AsOfDate,-1)),BI137,IF((AP137-1)&lt;AL137,-1,12*(YEAR((AP137-1))-YEAR(AL137))+MONTH((AP137-1))-MONTH(AL137)-IF(DAY((AP137-1))&lt;MIN(DAY(AL137),DAY(EOMONTH((AP137-1),0))),1,0))))</f>
        <v/>
      </c>
      <c r="BL137" s="16" t="str">
        <f aca="false">IF(AK137=0,"",IF(AT137="FT",IF(BJ137&lt;FT_First,0,IF(BJ137&lt;FT_Y5,1+INT((BJ137-FT_First)/FT_Int1),FT_PreY5+FT_PerYear*INT((BJ137-FT_Y5)/12)+FT_AnnivDays+INT(MOD(BJ137-FT_Y5,12)/FT_Int2)-IF(EDATE(AL137,FT_Y5)&lt;PolicyEff,FT_AnnivDays-1,0))),IF(AT137="PT",IF(BJ137&lt;PT_First,0,1+INT((BJ137-PT_First)/PT_Int)),0))+IF(AND(AM137&gt;=2,AO137&lt;=EOMONTH(AsOfDate,-1)),IF(AU137="FT",IF(BK137&lt;FT_First,0,IF(BK137&lt;FT_Y5,1+INT((BK137-FT_First)/FT_Int1),FT_PreY5+FT_PerYear*INT((BK137-FT_Y5)/12)+FT_AnnivDays+INT(MOD(BK137-FT_Y5,12)/FT_Int2)-IF(EDATE(AL137,FT_Y5)&lt;PolicyEff,FT_AnnivDays-1,0))),IF(AU137="PT",IF(BK137&lt;PT_First,0,1+INT((BK137-PT_First)/PT_Int)),0))-IF(AU137="FT",IF(BJ137&lt;FT_First,0,IF(BJ137&lt;FT_Y5,1+INT((BJ137-FT_First)/FT_Int1),FT_PreY5+FT_PerYear*INT((BJ137-FT_Y5)/12)+FT_AnnivDays+INT(MOD(BJ137-FT_Y5,12)/FT_Int2)-IF(EDATE(AL137,FT_Y5)&lt;PolicyEff,FT_AnnivDays-1,0))),IF(AU137="PT",IF(BJ137&lt;PT_First,0,1+INT((BJ137-PT_First)/PT_Int)),0)),0)+IF(AND(AM137&gt;=3,AP137&lt;=EOMONTH(AsOfDate,-1)),IF(AV137="FT",IF(BI137&lt;FT_First,0,IF(BI137&lt;FT_Y5,1+INT((BI137-FT_First)/FT_Int1),FT_PreY5+FT_PerYear*INT((BI137-FT_Y5)/12)+FT_AnnivDays+INT(MOD(BI137-FT_Y5,12)/FT_Int2)-IF(EDATE(AL137,FT_Y5)&lt;PolicyEff,FT_AnnivDays-1,0))),IF(AV137="PT",IF(BI137&lt;PT_First,0,1+INT((BI137-PT_First)/PT_Int)),0))-IF(AV137="FT",IF(BK137&lt;FT_First,0,IF(BK137&lt;FT_Y5,1+INT((BK137-FT_First)/FT_Int1),FT_PreY5+FT_PerYear*INT((BK137-FT_Y5)/12)+FT_AnnivDays+INT(MOD(BK137-FT_Y5,12)/FT_Int2)-IF(EDATE(AL137,FT_Y5)&lt;PolicyEff,FT_AnnivDays-1,0))),IF(AV137="PT",IF(BK137&lt;PT_First,0,1+INT((BK137-PT_First)/PT_Int)),0)),0))</f>
        <v/>
      </c>
      <c r="BM137" s="16" t="str">
        <f aca="false">IF(AK137=0,"",IF(AW137="FT",IF(AX137&lt;FT_First,"",IF(AX137&lt;FT_Y5,FT_First+FT_Int1*INT((AX137-FT_First)/FT_Int1),FT_Y5+FT_Int2*INT((AX137-FT_Y5)/FT_Int2))),IF(AW137="PT",IF(AX137&lt;PT_First,"",PT_First+PT_Int*INT((AX137-PT_First)/PT_Int)),"")))</f>
        <v/>
      </c>
      <c r="BN137" s="16" t="str">
        <f aca="false">IF(AK137=0,"",IF((SchemeStart-1)&lt;AL137,-1,12*(YEAR((SchemeStart-1))-YEAR(AL137))+MONTH((SchemeStart-1))-MONTH(AL137)-IF(DAY((SchemeStart-1))&lt;MIN(DAY(AL137),DAY(EOMONTH((SchemeStart-1),0))),1,0)))</f>
        <v/>
      </c>
      <c r="BO137" s="16" t="str">
        <f aca="false">IF(AK137=0,"",IF(OR(AM137&lt;2,AO137&gt;(SchemeStart-1)),BN137,IF((AO137-1)&lt;AL137,-1,12*(YEAR((AO137-1))-YEAR(AL137))+MONTH((AO137-1))-MONTH(AL137)-IF(DAY((AO137-1))&lt;MIN(DAY(AL137),DAY(EOMONTH((AO137-1),0))),1,0))))</f>
        <v/>
      </c>
      <c r="BP137" s="16" t="str">
        <f aca="false">IF(AK137=0,"",IF(OR(AM137&lt;3,AP137&gt;(SchemeStart-1)),BN137,IF((AP137-1)&lt;AL137,-1,12*(YEAR((AP137-1))-YEAR(AL137))+MONTH((AP137-1))-MONTH(AL137)-IF(DAY((AP137-1))&lt;MIN(DAY(AL137),DAY(EOMONTH((AP137-1),0))),1,0))))</f>
        <v/>
      </c>
      <c r="BQ137" s="16" t="str">
        <f aca="false">IF(AK137=0,"",IF(AT137="FT",IF(BO137&lt;FT_First,0,IF(BO137&lt;FT_Y5,1+INT((BO137-FT_First)/FT_Int1),FT_PreY5+FT_PerYear*INT((BO137-FT_Y5)/12)+FT_AnnivDays+INT(MOD(BO137-FT_Y5,12)/FT_Int2)-IF(EDATE(AL137,FT_Y5)&lt;PolicyEff,FT_AnnivDays-1,0))),IF(AT137="PT",IF(BO137&lt;PT_First,0,1+INT((BO137-PT_First)/PT_Int)),0))+IF(AND(AM137&gt;=2,AO137&lt;=(SchemeStart-1)),IF(AU137="FT",IF(BP137&lt;FT_First,0,IF(BP137&lt;FT_Y5,1+INT((BP137-FT_First)/FT_Int1),FT_PreY5+FT_PerYear*INT((BP137-FT_Y5)/12)+FT_AnnivDays+INT(MOD(BP137-FT_Y5,12)/FT_Int2)-IF(EDATE(AL137,FT_Y5)&lt;PolicyEff,FT_AnnivDays-1,0))),IF(AU137="PT",IF(BP137&lt;PT_First,0,1+INT((BP137-PT_First)/PT_Int)),0))-IF(AU137="FT",IF(BO137&lt;FT_First,0,IF(BO137&lt;FT_Y5,1+INT((BO137-FT_First)/FT_Int1),FT_PreY5+FT_PerYear*INT((BO137-FT_Y5)/12)+FT_AnnivDays+INT(MOD(BO137-FT_Y5,12)/FT_Int2)-IF(EDATE(AL137,FT_Y5)&lt;PolicyEff,FT_AnnivDays-1,0))),IF(AU137="PT",IF(BO137&lt;PT_First,0,1+INT((BO137-PT_First)/PT_Int)),0)),0)+IF(AND(AM137&gt;=3,AP137&lt;=(SchemeStart-1)),IF(AV137="FT",IF(BN137&lt;FT_First,0,IF(BN137&lt;FT_Y5,1+INT((BN137-FT_First)/FT_Int1),FT_PreY5+FT_PerYear*INT((BN137-FT_Y5)/12)+FT_AnnivDays+INT(MOD(BN137-FT_Y5,12)/FT_Int2)-IF(EDATE(AL137,FT_Y5)&lt;PolicyEff,FT_AnnivDays-1,0))),IF(AV137="PT",IF(BN137&lt;PT_First,0,1+INT((BN137-PT_First)/PT_Int)),0))-IF(AV137="FT",IF(BP137&lt;FT_First,0,IF(BP137&lt;FT_Y5,1+INT((BP137-FT_First)/FT_Int1),FT_PreY5+FT_PerYear*INT((BP137-FT_Y5)/12)+FT_AnnivDays+INT(MOD(BP137-FT_Y5,12)/FT_Int2)-IF(EDATE(AL137,FT_Y5)&lt;PolicyEff,FT_AnnivDays-1,0))),IF(AV137="PT",IF(BP137&lt;PT_First,0,1+INT((BP137-PT_First)/PT_Int)),0)),0))</f>
        <v/>
      </c>
      <c r="BR137" s="0" t="str">
        <f aca="false">IF(LEN($A137&amp;$B137)=0,"",$A137&amp;" "&amp;$B137)</f>
        <v/>
      </c>
    </row>
    <row r="138" customFormat="false" ht="15" hidden="false" customHeight="false" outlineLevel="0" collapsed="false">
      <c r="A138" s="12"/>
      <c r="B138" s="12"/>
      <c r="C138" s="12"/>
      <c r="D138" s="13"/>
      <c r="E138" s="14" t="str">
        <f aca="false">IF(OR(AK138=0,$D138=""),"",DATE(YEAR(AsOfDate)+IF(DATE(YEAR(AsOfDate),MONTH($D138),DAY($D138))&lt;=AsOfDate,1,0),MONTH($D138),DAY($D138)))</f>
        <v/>
      </c>
      <c r="F138" s="13"/>
      <c r="G138" s="13"/>
      <c r="H138" s="13"/>
      <c r="I138" s="13"/>
      <c r="J138" s="13"/>
      <c r="K138" s="14" t="str">
        <f aca="false">IF(AK138=0,"",DATE(YEAR(AsOfDate)+IF(DATE(YEAR(AsOfDate),MONTH(AL138),DAY(AL138))&lt;=AsOfDate,1,0),MONTH(AL138),DAY(AL138)))</f>
        <v/>
      </c>
      <c r="L138" s="15" t="str">
        <f aca="false">IF(AK138=0,"",ROUND((AsOfDate-AL138)/365.25,1))</f>
        <v/>
      </c>
      <c r="M138" s="16" t="str">
        <f aca="false">IF(AK138=0,"",IF(AsOfDate&lt;AL138,"-",DATEDIF(AL138,AsOfDate,"y")&amp;"y "&amp;DATEDIF(AL138,AsOfDate,"ym")&amp;"m "&amp;DATEDIF(AL138,AsOfDate,"md")&amp;"d"))</f>
        <v/>
      </c>
      <c r="N138" s="17" t="str">
        <f aca="false">IF(AK138=0,"",O138*HoursPerDay)</f>
        <v/>
      </c>
      <c r="O138" s="17" t="str">
        <f aca="false">IF(AK138=0,"",MAX(0,BD138-BQ138))</f>
        <v/>
      </c>
      <c r="P138" s="18"/>
      <c r="Q138" s="16" t="str">
        <f aca="false">IF(AK138=0,"",IF(AM138&lt;2,"",AQ138&amp;" to "&amp;AR138&amp;" on "&amp;TEXT(AO138,"dd/mm/yyyy")&amp;IF(AO138&gt;AsOfDate," (future)",IF(AT138=AU138,"",IF(AU138="None"," - STOPPED accruing",IF(AT138="None"," - commencement for Bonus Leave"," - pathway changed"))))&amp;IF(AM138&lt;3,"","; "&amp;AR138&amp;" to "&amp;AS138&amp;" on "&amp;TEXT(AP138,"dd/mm/yyyy")&amp;IF(AP138&gt;AsOfDate," (future)",IF(AU138=AV138,"",IF(AV138="None"," - STOPPED accruing",IF(AU138="None"," - commencement for Bonus Leave"," - pathway changed")))))))</f>
        <v/>
      </c>
      <c r="R138" s="16" t="str">
        <f aca="false">IF(AK138=0,"",IF(AW138="None",IF(O138&gt;0,"No longer accruing","Not eligible - "&amp;IF(AND(OR(ISNUMBER(SEARCH("part",$C138)),UPPER(TRIM($C138))="PT",UPPER(TRIM($C138))="PTE"),Apply2026="No"),"part-time (scheme is full-time only)",IF(AND(OR(ISNUMBER(SEARCH("part",$C138)),UPPER(TRIM($C138))="PT",UPPER(TRIM($C138))="PTE"),$P138&lt;&gt;"",N($P138)&lt;PT_MinHours),"under "&amp;PT_MinHours&amp;" hrs",IF(IF($C138="","",IF(OR(ISNUMBER(SEARCH("full",$C138)),UPPER(TRIM($C138))="FT",UPPER(TRIM($C138))="FTE"),"Full-Time",IF(OR(ISNUMBER(SEARCH("part",$C138)),UPPER(TRIM($C138))="PT",UPPER(TRIM($C138))="PTE"),"Part-Time",IF(OR(ISNUMBER(SEARCH("cas",$C138)),UPPER(TRIM($C138))="CAS"),"Casual","Unknown"))))="Unknown","type not recognised",$C138)))),IF(O138&gt;0,"Yes - Accrual Required","Not yet - from "&amp;TEXT(S138,"dd/mm/yyyy"))))</f>
        <v/>
      </c>
      <c r="S138" s="14" t="str">
        <f aca="false">IF(AK138=0,"",IF(AW138="None","",EDATE(AL138,BF138)))</f>
        <v/>
      </c>
      <c r="T138" s="17" t="str">
        <f aca="false">IF(AK138=0,"",IF(NOT(LH_Ready),"",IF($F138&gt;PFYDate,0,IF(LH_ColPeriod=0,W138-U138+V138,SUMIFS(INDEX(LH_Data,0,LH_ColAcc),INDEX(LH_Data,0,LH_ColFirst),$A138,INDEX(LH_Data,0,LH_ColSur),$B138,INDEX(LH_Data,0,LH_ColCat),BonusCat,INDEX(LH_Data,0,LH_ColPeriod),LH_OpenLabel)*UnitFactor))))</f>
        <v/>
      </c>
      <c r="U138" s="17" t="str">
        <f aca="false">IF(AK138=0,"",IF(NOT(LH_Ready),"",SUMIFS(INDEX(LH_Data,0,LH_ColAcc),INDEX(LH_Data,0,LH_ColFirst),$A138,INDEX(LH_Data,0,LH_ColSur),$B138,INDEX(LH_Data,0,LH_ColCat),BonusCat,INDEX(LH_Data,0,LH_ColStart),"&gt;="&amp;AL138)*UnitFactor))</f>
        <v/>
      </c>
      <c r="V138" s="17" t="str">
        <f aca="false">IF(AK138=0,"",IF(NOT(LH_Ready),"",SUMIFS(INDEX(LH_Data,0,LH_ColTaken),INDEX(LH_Data,0,LH_ColFirst),$A138,INDEX(LH_Data,0,LH_ColSur),$B138,INDEX(LH_Data,0,LH_ColCat),BonusCat,INDEX(LH_Data,0,LH_ColStart),"&gt;="&amp;AL138)*UnitFactor))</f>
        <v/>
      </c>
      <c r="W138" s="17" t="str">
        <f aca="false">IF(AK138=0,"",IF(NOT(LH_Ready),"",IF(BH138=0,0,INDEX(INDEX(LH_Data,0,LH_ColClose),BH138-1)*UnitFactor)))</f>
        <v/>
      </c>
      <c r="X138" s="17" t="str">
        <f aca="false">IF(AK138=0,"",(MAX(0,BD138-BQ138)-MAX(0,BE138-BQ138))*HoursPerDay)</f>
        <v/>
      </c>
      <c r="Y138" s="17" t="str">
        <f aca="false">IF(AK138=0,"",IF(NOT(LH_Ready),"",IF($AI138="Yes",N(AE138)*HoursPerDay-SUMIFS(INDEX(LH_Data,0,LH_ColAcc),INDEX(LH_Data,0,LH_ColFirst),$A138,INDEX(LH_Data,0,LH_ColSur),$B138,INDEX(LH_Data,0,LH_ColCat),BonusCat,INDEX(LH_Data,0,LH_ColStart),"&gt;="&amp;(EOMONTH(AsOfDate,-1)+1),INDEX(LH_Data,0,LH_ColStart),"&lt;="&amp;AsOfDate)*UnitFactor,IF(BG138=0,N138,N138-N(T138)-N(U138)))))</f>
        <v/>
      </c>
      <c r="Z138" s="16" t="str">
        <f aca="false">IF(OR(AK138=0,Y138=""),"",IF(Y138&gt;0,"Yes","No"))</f>
        <v/>
      </c>
      <c r="AA138" s="16" t="str">
        <f aca="false">IF(AK138=0,IF(LEN($A138&amp;$B138)=0,"","FIX INPUT - StartDate missing"),IF(AD138&lt;&gt;"","FIX INPUT - "&amp;AD138,IF(NOT(LH_Ready),"Paste Leave History export (Settings must show YES)",IF(AND($AI138="Yes",Y138&lt;=0),"OK - EH balance accepted to date"&amp;IF(N(AH138)&gt;0," (EH holds "&amp;AH138&amp;" hrs over the scheme)","")&amp;"; next day "&amp;TEXT(S138,"dd mmm yy")&amp;IF(N(AE138)&gt;0," ("&amp;AE138&amp;" day(s) for "&amp;UPPER(TEXT(AsOfDate,"mmm yyyy"))&amp;" already in EH)",""),IF(Y138&gt;0,"ACCRUE "&amp;ROUND(Y138,2)&amp;" hrs ("&amp;ROUND(Y138/HoursPerDay,2)&amp;" days): "&amp;IF(N(AE138)&gt;0,AE138&amp;" day(s) for "&amp;UPPER(TEXT(AsOfDate,"mmm yyyy"))&amp;" (milestone "&amp;UPPER(TEXT(AF138,"dd mmm yy"))&amp;")"&amp;IF(Y138/HoursPerDay&gt;AE138+0.001," + "&amp;ROUND(Y138/HoursPerDay-AE138,2)&amp;" day(s) catch-up from earlier months",""),"all catch-up from earlier months, nothing new this month")&amp;IF(BG138=0,"; no Bonus Leave in EH yet",""),IF(Y138&lt;0,"CHECK - EH accrued "&amp;ROUND(-Y138,2)&amp;" hrs more than policy since commencement",IF(N(W138)&gt;O138*HoursPerDay+0.01,"CHECK - EH balance "&amp;ROUND(W138-O138*HoursPerDay,2)&amp;" hrs more than policy entitlement",IF(O138&gt;0,"OK - nothing to add"&amp;IF(N(AE138)&gt;0," ("&amp;AE138&amp;" day(s) for "&amp;UPPER(TEXT(AsOfDate,"mmm yyyy"))&amp;" already in EH)",""),IF(AW138="None",R138,"Not yet - first day on "&amp;TEXT(S138,"dd/mm/yyyy"))))))))))</f>
        <v/>
      </c>
      <c r="AB138" s="17" t="str">
        <f aca="false">IF(OR(AK138=0,T138=""),"",MAX(0,BE138-BQ138)*HoursPerDay-T138)</f>
        <v/>
      </c>
      <c r="AC138" s="16" t="str">
        <f aca="false">IF(AK138=0,"",BG138)</f>
        <v/>
      </c>
      <c r="AD138" s="16" t="str">
        <f aca="false">IF(AK138=0,"",TRIM(IF(OR(ISTEXT($F138),ISTEXT($H138),ISTEXT($I138),ISTEXT($G138),ISTEXT($J138),ISTEXT($D138)),"A date is typed as text - retype it as dd/mm/yyyy. ","")&amp;IF(IF($C138="","",IF(OR(ISNUMBER(SEARCH("full",$C138)),UPPER(TRIM($C138))="FT",UPPER(TRIM($C138))="FTE"),"Full-Time",IF(OR(ISNUMBER(SEARCH("part",$C138)),UPPER(TRIM($C138))="PT",UPPER(TRIM($C138))="PTE"),"Part-Time",IF(OR(ISNUMBER(SEARCH("cas",$C138)),UPPER(TRIM($C138))="CAS"),"Casual","Unknown"))))="Unknown","EmploymentType not recognised - use Full-Time, Part-Time or Casual. ","")&amp;IF(AND(AM138&gt;=1,IF(AM138&gt;=3,AS138,IF(AM138=2,AR138,AQ138))&lt;&gt;IF($C138="","",IF(OR(ISNUMBER(SEARCH("full",$C138)),UPPER(TRIM($C138))="FT",UPPER(TRIM($C138))="FTE"),"Full-Time",IF(OR(ISNUMBER(SEARCH("part",$C138)),UPPER(TRIM($C138))="PT",UPPER(TRIM($C138))="PTE"),"Part-Time",IF(OR(ISNUMBER(SEARCH("cas",$C138)),UPPER(TRIM($C138))="CAS"),"Casual","Unknown"))))),"EmploymentType does not match latest start date ("&amp;IF(AM138&gt;=3,AS138,IF(AM138=2,AR138,AQ138))&amp;"). ","")&amp;IF(AND(AM138&gt;=1,AN138&lt;&gt;$F138),"Earliest type date should equal StartDate. ","")&amp;IF(AND(AM138&gt;=2,AN138=AO138),"Two types start on the same date. ","")&amp;IF(AND(OR(ISNUMBER(SEARCH("part",$C138)),UPPER(TRIM($C138))="PT",UPPER(TRIM($C138))="PTE"),$P138=""),"Part-time: enter PT Hrs/Week (blank = 24+). ","")))</f>
        <v/>
      </c>
      <c r="AE138" s="17" t="str">
        <f aca="false">IF(AK138=0,"",O138-MAX(0,BL138-BQ138))</f>
        <v/>
      </c>
      <c r="AF138" s="14" t="str">
        <f aca="false">IF(OR(AK138=0,AE138="",N(AE138)=0,BM138=""),"",EDATE(AL138,BM138))</f>
        <v/>
      </c>
      <c r="AG138" s="17" t="str">
        <f aca="false">IF(AK138=0,"",MIN(BD138,BQ138))</f>
        <v/>
      </c>
      <c r="AH138" s="17" t="str">
        <f aca="false">IF(AK138=0,"",IF(NOT(LH_Ready),"",IF(BG138=0,0,MAX(0,ROUND(N(T138)+N(U138)-N138,2)))))</f>
        <v/>
      </c>
      <c r="AI138" s="12"/>
      <c r="AJ138" s="12"/>
      <c r="AK138" s="16" t="n">
        <f aca="false">IF(OR(LEN($A138&amp;$B138)=0,$F138=""),0,1)</f>
        <v>0</v>
      </c>
      <c r="AL138" s="14" t="str">
        <f aca="false">IF(AK138=0,"",IF(PreSchemeCounts="No",MAX(SchemeStart,IF($J138&lt;&gt;"",$J138,IF(OR(CasualCounts="Yes",COUNT($G138:$I138)=0),$F138,IF(Apply2026="No",IF($I138="",$F138,$I138),IF(COUNT($H138:$I138)=0,$F138,MIN($H138:$I138)))))),IF($J138&lt;&gt;"",$J138,IF(OR(CasualCounts="Yes",COUNT($G138:$I138)=0),$F138,IF(Apply2026="No",IF($I138="",$F138,$I138),IF(COUNT($H138:$I138)=0,$F138,MIN($H138:$I138)))))))</f>
        <v/>
      </c>
      <c r="AM138" s="16" t="str">
        <f aca="false">IF(AK138=0,"",COUNT($G138:$I138))</f>
        <v/>
      </c>
      <c r="AN138" s="14" t="str">
        <f aca="false">IF(AK138=0,"",IFERROR(SMALL($G138:$I138,1),""))</f>
        <v/>
      </c>
      <c r="AO138" s="14" t="str">
        <f aca="false">IF(AK138=0,"",IFERROR(SMALL($G138:$I138,2),""))</f>
        <v/>
      </c>
      <c r="AP138" s="14" t="str">
        <f aca="false">IF(AK138=0,"",IFERROR(SMALL($G138:$I138,3),""))</f>
        <v/>
      </c>
      <c r="AQ138" s="16" t="str">
        <f aca="false">IF(AK138=0,"",IF(AN138="","",IF(AN138=$H138,"Part-Time",IF(AN138=$I138,"Full-Time","Casual"))))</f>
        <v/>
      </c>
      <c r="AR138" s="16" t="str">
        <f aca="false">IF(AK138=0,"",IF(AO138="","",IF(AO138=$H138,"Part-Time",IF(AO138=$I138,"Full-Time","Casual"))))</f>
        <v/>
      </c>
      <c r="AS138" s="16" t="str">
        <f aca="false">IF(AK138=0,"",IF(AP138="","",IF(AP138=$H138,"Part-Time",IF(AP138=$I138,"Full-Time","Casual"))))</f>
        <v/>
      </c>
      <c r="AT138" s="16" t="str">
        <f aca="false">IF(AK138=0,"",IF(AM138=0,IF(OR(ISNUMBER(SEARCH("full",$C138)),UPPER(TRIM($C138))="FT",UPPER(TRIM($C138))="FTE"),"FT",IF(AND(OR(ISNUMBER(SEARCH("part",$C138)),UPPER(TRIM($C138))="PT",UPPER(TRIM($C138))="PTE"),Apply2026="Yes",OR($P138="",N($P138)&gt;=PT_MinHours)),"PT","None")),IF(OR(ISNUMBER(SEARCH("full",AQ138)),UPPER(TRIM(AQ138))="FT",UPPER(TRIM(AQ138))="FTE"),"FT",IF(AND(OR(ISNUMBER(SEARCH("part",AQ138)),UPPER(TRIM(AQ138))="PT",UPPER(TRIM(AQ138))="PTE"),Apply2026="Yes",OR($P138="",N($P138)&gt;=PT_MinHours)),"PT","None"))))</f>
        <v/>
      </c>
      <c r="AU138" s="16" t="str">
        <f aca="false">IF(AK138=0,"",IF(AM138&lt;2,"",IF(OR(ISNUMBER(SEARCH("full",AR138)),UPPER(TRIM(AR138))="FT",UPPER(TRIM(AR138))="FTE"),"FT",IF(AND(OR(ISNUMBER(SEARCH("part",AR138)),UPPER(TRIM(AR138))="PT",UPPER(TRIM(AR138))="PTE"),Apply2026="Yes",OR($P138="",N($P138)&gt;=PT_MinHours)),"PT","None"))))</f>
        <v/>
      </c>
      <c r="AV138" s="16" t="str">
        <f aca="false">IF(AK138=0,"",IF(AM138&lt;3,"",IF(OR(ISNUMBER(SEARCH("full",AS138)),UPPER(TRIM(AS138))="FT",UPPER(TRIM(AS138))="FTE"),"FT",IF(AND(OR(ISNUMBER(SEARCH("part",AS138)),UPPER(TRIM(AS138))="PT",UPPER(TRIM(AS138))="PTE"),Apply2026="Yes",OR($P138="",N($P138)&gt;=PT_MinHours)),"PT","None"))))</f>
        <v/>
      </c>
      <c r="AW138" s="16" t="str">
        <f aca="false">IF(AK138=0,"",IF(AND(AM138&gt;=3,AP138&lt;=AsOfDate),AV138,IF(AND(AM138&gt;=2,AO138&lt;=AsOfDate),AU138,AT138)))</f>
        <v/>
      </c>
      <c r="AX138" s="16" t="str">
        <f aca="false">IF(AK138=0,"",IF(AsOfDate&lt;AL138,-1,12*(YEAR(AsOfDate)-YEAR(AL138))+MONTH(AsOfDate)-MONTH(AL138)-IF(DAY(AsOfDate)&lt;MIN(DAY(AL138),DAY(EOMONTH(AsOfDate,0))),1,0)))</f>
        <v/>
      </c>
      <c r="AY138" s="16" t="str">
        <f aca="false">IF(AK138=0,"",IF(OR(AM138&lt;2,AO138&gt;AsOfDate),AX138,IF((AO138-1)&lt;AL138,-1,12*(YEAR((AO138-1))-YEAR(AL138))+MONTH((AO138-1))-MONTH(AL138)-IF(DAY((AO138-1))&lt;MIN(DAY(AL138),DAY(EOMONTH((AO138-1),0))),1,0))))</f>
        <v/>
      </c>
      <c r="AZ138" s="16" t="str">
        <f aca="false">IF(AK138=0,"",IF(OR(AM138&lt;3,AP138&gt;AsOfDate),AX138,IF((AP138-1)&lt;AL138,-1,12*(YEAR((AP138-1))-YEAR(AL138))+MONTH((AP138-1))-MONTH(AL138)-IF(DAY((AP138-1))&lt;MIN(DAY(AL138),DAY(EOMONTH((AP138-1),0))),1,0))))</f>
        <v/>
      </c>
      <c r="BA138" s="16" t="str">
        <f aca="false">IF(AK138=0,"",IF(PFYDate&lt;AL138,-1,12*(YEAR(PFYDate)-YEAR(AL138))+MONTH(PFYDate)-MONTH(AL138)-IF(DAY(PFYDate)&lt;MIN(DAY(AL138),DAY(EOMONTH(PFYDate,0))),1,0)))</f>
        <v/>
      </c>
      <c r="BB138" s="16" t="str">
        <f aca="false">IF(AK138=0,"",IF(OR(AM138&lt;2,AO138&gt;PFYDate),BA138,IF((AO138-1)&lt;AL138,-1,12*(YEAR((AO138-1))-YEAR(AL138))+MONTH((AO138-1))-MONTH(AL138)-IF(DAY((AO138-1))&lt;MIN(DAY(AL138),DAY(EOMONTH((AO138-1),0))),1,0))))</f>
        <v/>
      </c>
      <c r="BC138" s="16" t="str">
        <f aca="false">IF(AK138=0,"",IF(OR(AM138&lt;3,AP138&gt;PFYDate),BA138,IF((AP138-1)&lt;AL138,-1,12*(YEAR((AP138-1))-YEAR(AL138))+MONTH((AP138-1))-MONTH(AL138)-IF(DAY((AP138-1))&lt;MIN(DAY(AL138),DAY(EOMONTH((AP138-1),0))),1,0))))</f>
        <v/>
      </c>
      <c r="BD138" s="16" t="str">
        <f aca="false">IF(AK138=0,"",IF(AT138="FT",IF(AY138&lt;FT_First,0,IF(AY138&lt;FT_Y5,1+INT((AY138-FT_First)/FT_Int1),FT_PreY5+FT_PerYear*INT((AY138-FT_Y5)/12)+FT_AnnivDays+INT(MOD(AY138-FT_Y5,12)/FT_Int2)-IF(EDATE(AL138,FT_Y5)&lt;PolicyEff,FT_AnnivDays-1,0))),IF(AT138="PT",IF(AY138&lt;PT_First,0,1+INT((AY138-PT_First)/PT_Int)),0))+IF(AND(AM138&gt;=2,AO138&lt;=AsOfDate),IF(AU138="FT",IF(AZ138&lt;FT_First,0,IF(AZ138&lt;FT_Y5,1+INT((AZ138-FT_First)/FT_Int1),FT_PreY5+FT_PerYear*INT((AZ138-FT_Y5)/12)+FT_AnnivDays+INT(MOD(AZ138-FT_Y5,12)/FT_Int2)-IF(EDATE(AL138,FT_Y5)&lt;PolicyEff,FT_AnnivDays-1,0))),IF(AU138="PT",IF(AZ138&lt;PT_First,0,1+INT((AZ138-PT_First)/PT_Int)),0))-IF(AU138="FT",IF(AY138&lt;FT_First,0,IF(AY138&lt;FT_Y5,1+INT((AY138-FT_First)/FT_Int1),FT_PreY5+FT_PerYear*INT((AY138-FT_Y5)/12)+FT_AnnivDays+INT(MOD(AY138-FT_Y5,12)/FT_Int2)-IF(EDATE(AL138,FT_Y5)&lt;PolicyEff,FT_AnnivDays-1,0))),IF(AU138="PT",IF(AY138&lt;PT_First,0,1+INT((AY138-PT_First)/PT_Int)),0)),0)+IF(AND(AM138&gt;=3,AP138&lt;=AsOfDate),IF(AV138="FT",IF(AX138&lt;FT_First,0,IF(AX138&lt;FT_Y5,1+INT((AX138-FT_First)/FT_Int1),FT_PreY5+FT_PerYear*INT((AX138-FT_Y5)/12)+FT_AnnivDays+INT(MOD(AX138-FT_Y5,12)/FT_Int2)-IF(EDATE(AL138,FT_Y5)&lt;PolicyEff,FT_AnnivDays-1,0))),IF(AV138="PT",IF(AX138&lt;PT_First,0,1+INT((AX138-PT_First)/PT_Int)),0))-IF(AV138="FT",IF(AZ138&lt;FT_First,0,IF(AZ138&lt;FT_Y5,1+INT((AZ138-FT_First)/FT_Int1),FT_PreY5+FT_PerYear*INT((AZ138-FT_Y5)/12)+FT_AnnivDays+INT(MOD(AZ138-FT_Y5,12)/FT_Int2)-IF(EDATE(AL138,FT_Y5)&lt;PolicyEff,FT_AnnivDays-1,0))),IF(AV138="PT",IF(AZ138&lt;PT_First,0,1+INT((AZ138-PT_First)/PT_Int)),0)),0))</f>
        <v/>
      </c>
      <c r="BE138" s="16" t="str">
        <f aca="false">IF(AK138=0,"",IF(AT138="FT",IF(BB138&lt;FT_First,0,IF(BB138&lt;FT_Y5,1+INT((BB138-FT_First)/FT_Int1),FT_PreY5+FT_PerYear*INT((BB138-FT_Y5)/12)+FT_AnnivDays+INT(MOD(BB138-FT_Y5,12)/FT_Int2)-IF(EDATE(AL138,FT_Y5)&lt;PolicyEff,FT_AnnivDays-1,0))),IF(AT138="PT",IF(BB138&lt;PT_First,0,1+INT((BB138-PT_First)/PT_Int)),0))+IF(AND(AM138&gt;=2,AO138&lt;=PFYDate),IF(AU138="FT",IF(BC138&lt;FT_First,0,IF(BC138&lt;FT_Y5,1+INT((BC138-FT_First)/FT_Int1),FT_PreY5+FT_PerYear*INT((BC138-FT_Y5)/12)+FT_AnnivDays+INT(MOD(BC138-FT_Y5,12)/FT_Int2)-IF(EDATE(AL138,FT_Y5)&lt;PolicyEff,FT_AnnivDays-1,0))),IF(AU138="PT",IF(BC138&lt;PT_First,0,1+INT((BC138-PT_First)/PT_Int)),0))-IF(AU138="FT",IF(BB138&lt;FT_First,0,IF(BB138&lt;FT_Y5,1+INT((BB138-FT_First)/FT_Int1),FT_PreY5+FT_PerYear*INT((BB138-FT_Y5)/12)+FT_AnnivDays+INT(MOD(BB138-FT_Y5,12)/FT_Int2)-IF(EDATE(AL138,FT_Y5)&lt;PolicyEff,FT_AnnivDays-1,0))),IF(AU138="PT",IF(BB138&lt;PT_First,0,1+INT((BB138-PT_First)/PT_Int)),0)),0)+IF(AND(AM138&gt;=3,AP138&lt;=PFYDate),IF(AV138="FT",IF(BA138&lt;FT_First,0,IF(BA138&lt;FT_Y5,1+INT((BA138-FT_First)/FT_Int1),FT_PreY5+FT_PerYear*INT((BA138-FT_Y5)/12)+FT_AnnivDays+INT(MOD(BA138-FT_Y5,12)/FT_Int2)-IF(EDATE(AL138,FT_Y5)&lt;PolicyEff,FT_AnnivDays-1,0))),IF(AV138="PT",IF(BA138&lt;PT_First,0,1+INT((BA138-PT_First)/PT_Int)),0))-IF(AV138="FT",IF(BC138&lt;FT_First,0,IF(BC138&lt;FT_Y5,1+INT((BC138-FT_First)/FT_Int1),FT_PreY5+FT_PerYear*INT((BC138-FT_Y5)/12)+FT_AnnivDays+INT(MOD(BC138-FT_Y5,12)/FT_Int2)-IF(EDATE(AL138,FT_Y5)&lt;PolicyEff,FT_AnnivDays-1,0))),IF(AV138="PT",IF(BC138&lt;PT_First,0,1+INT((BC138-PT_First)/PT_Int)),0)),0))</f>
        <v/>
      </c>
      <c r="BF138" s="16" t="str">
        <f aca="false">IF(AK138=0,"",IF(AW138="FT",IF(AX138&lt;FT_First,FT_First,IF(AX138&lt;FT_Y5,MIN(FT_Y5,FT_First+FT_Int1*(INT((AX138-FT_First)/FT_Int1)+1)),FT_Y5+12*INT((AX138-FT_Y5)/12)+FT_Int2*(INT(MOD(AX138-FT_Y5,12)/FT_Int2)+1))),IF(AW138="PT",IF(AX138&lt;PT_First,PT_First,PT_First+PT_Int*(INT((AX138-PT_First)/PT_Int)+1)),"")))</f>
        <v/>
      </c>
      <c r="BG138" s="16" t="str">
        <f aca="false">IF(AK138=0,"",IF(NOT(LH_Ready),0,COUNTIFS(INDEX(LH_Data,0,LH_ColFirst),$A138,INDEX(LH_Data,0,LH_ColSur),$B138,INDEX(LH_Data,0,LH_ColCat),BonusCat)))</f>
        <v/>
      </c>
      <c r="BH138" s="16" t="str">
        <f aca="false">IF(AK138=0,"",IF(OR(NOT(LH_Ready),BG138=0),0,SUMPRODUCT(MAX((INDEX(LH_Data,0,LH_ColFirst)=$A138)*(INDEX(LH_Data,0,LH_ColSur)=$B138)*(INDEX(LH_Data,0,LH_ColCat)=BonusCat)*ROW(LH_Data)))))</f>
        <v/>
      </c>
      <c r="BI138" s="16" t="str">
        <f aca="false">IF(AK138=0,"",IF(EOMONTH(AsOfDate,-1)&lt;AL138,-1,12*(YEAR(EOMONTH(AsOfDate,-1))-YEAR(AL138))+MONTH(EOMONTH(AsOfDate,-1))-MONTH(AL138)-IF(DAY(EOMONTH(AsOfDate,-1))&lt;MIN(DAY(AL138),DAY(EOMONTH(EOMONTH(AsOfDate,-1),0))),1,0)))</f>
        <v/>
      </c>
      <c r="BJ138" s="16" t="str">
        <f aca="false">IF(AK138=0,"",IF(OR(AM138&lt;2,AO138&gt;EOMONTH(AsOfDate,-1)),BI138,IF((AO138-1)&lt;AL138,-1,12*(YEAR((AO138-1))-YEAR(AL138))+MONTH((AO138-1))-MONTH(AL138)-IF(DAY((AO138-1))&lt;MIN(DAY(AL138),DAY(EOMONTH((AO138-1),0))),1,0))))</f>
        <v/>
      </c>
      <c r="BK138" s="16" t="str">
        <f aca="false">IF(AK138=0,"",IF(OR(AM138&lt;3,AP138&gt;EOMONTH(AsOfDate,-1)),BI138,IF((AP138-1)&lt;AL138,-1,12*(YEAR((AP138-1))-YEAR(AL138))+MONTH((AP138-1))-MONTH(AL138)-IF(DAY((AP138-1))&lt;MIN(DAY(AL138),DAY(EOMONTH((AP138-1),0))),1,0))))</f>
        <v/>
      </c>
      <c r="BL138" s="16" t="str">
        <f aca="false">IF(AK138=0,"",IF(AT138="FT",IF(BJ138&lt;FT_First,0,IF(BJ138&lt;FT_Y5,1+INT((BJ138-FT_First)/FT_Int1),FT_PreY5+FT_PerYear*INT((BJ138-FT_Y5)/12)+FT_AnnivDays+INT(MOD(BJ138-FT_Y5,12)/FT_Int2)-IF(EDATE(AL138,FT_Y5)&lt;PolicyEff,FT_AnnivDays-1,0))),IF(AT138="PT",IF(BJ138&lt;PT_First,0,1+INT((BJ138-PT_First)/PT_Int)),0))+IF(AND(AM138&gt;=2,AO138&lt;=EOMONTH(AsOfDate,-1)),IF(AU138="FT",IF(BK138&lt;FT_First,0,IF(BK138&lt;FT_Y5,1+INT((BK138-FT_First)/FT_Int1),FT_PreY5+FT_PerYear*INT((BK138-FT_Y5)/12)+FT_AnnivDays+INT(MOD(BK138-FT_Y5,12)/FT_Int2)-IF(EDATE(AL138,FT_Y5)&lt;PolicyEff,FT_AnnivDays-1,0))),IF(AU138="PT",IF(BK138&lt;PT_First,0,1+INT((BK138-PT_First)/PT_Int)),0))-IF(AU138="FT",IF(BJ138&lt;FT_First,0,IF(BJ138&lt;FT_Y5,1+INT((BJ138-FT_First)/FT_Int1),FT_PreY5+FT_PerYear*INT((BJ138-FT_Y5)/12)+FT_AnnivDays+INT(MOD(BJ138-FT_Y5,12)/FT_Int2)-IF(EDATE(AL138,FT_Y5)&lt;PolicyEff,FT_AnnivDays-1,0))),IF(AU138="PT",IF(BJ138&lt;PT_First,0,1+INT((BJ138-PT_First)/PT_Int)),0)),0)+IF(AND(AM138&gt;=3,AP138&lt;=EOMONTH(AsOfDate,-1)),IF(AV138="FT",IF(BI138&lt;FT_First,0,IF(BI138&lt;FT_Y5,1+INT((BI138-FT_First)/FT_Int1),FT_PreY5+FT_PerYear*INT((BI138-FT_Y5)/12)+FT_AnnivDays+INT(MOD(BI138-FT_Y5,12)/FT_Int2)-IF(EDATE(AL138,FT_Y5)&lt;PolicyEff,FT_AnnivDays-1,0))),IF(AV138="PT",IF(BI138&lt;PT_First,0,1+INT((BI138-PT_First)/PT_Int)),0))-IF(AV138="FT",IF(BK138&lt;FT_First,0,IF(BK138&lt;FT_Y5,1+INT((BK138-FT_First)/FT_Int1),FT_PreY5+FT_PerYear*INT((BK138-FT_Y5)/12)+FT_AnnivDays+INT(MOD(BK138-FT_Y5,12)/FT_Int2)-IF(EDATE(AL138,FT_Y5)&lt;PolicyEff,FT_AnnivDays-1,0))),IF(AV138="PT",IF(BK138&lt;PT_First,0,1+INT((BK138-PT_First)/PT_Int)),0)),0))</f>
        <v/>
      </c>
      <c r="BM138" s="16" t="str">
        <f aca="false">IF(AK138=0,"",IF(AW138="FT",IF(AX138&lt;FT_First,"",IF(AX138&lt;FT_Y5,FT_First+FT_Int1*INT((AX138-FT_First)/FT_Int1),FT_Y5+FT_Int2*INT((AX138-FT_Y5)/FT_Int2))),IF(AW138="PT",IF(AX138&lt;PT_First,"",PT_First+PT_Int*INT((AX138-PT_First)/PT_Int)),"")))</f>
        <v/>
      </c>
      <c r="BN138" s="16" t="str">
        <f aca="false">IF(AK138=0,"",IF((SchemeStart-1)&lt;AL138,-1,12*(YEAR((SchemeStart-1))-YEAR(AL138))+MONTH((SchemeStart-1))-MONTH(AL138)-IF(DAY((SchemeStart-1))&lt;MIN(DAY(AL138),DAY(EOMONTH((SchemeStart-1),0))),1,0)))</f>
        <v/>
      </c>
      <c r="BO138" s="16" t="str">
        <f aca="false">IF(AK138=0,"",IF(OR(AM138&lt;2,AO138&gt;(SchemeStart-1)),BN138,IF((AO138-1)&lt;AL138,-1,12*(YEAR((AO138-1))-YEAR(AL138))+MONTH((AO138-1))-MONTH(AL138)-IF(DAY((AO138-1))&lt;MIN(DAY(AL138),DAY(EOMONTH((AO138-1),0))),1,0))))</f>
        <v/>
      </c>
      <c r="BP138" s="16" t="str">
        <f aca="false">IF(AK138=0,"",IF(OR(AM138&lt;3,AP138&gt;(SchemeStart-1)),BN138,IF((AP138-1)&lt;AL138,-1,12*(YEAR((AP138-1))-YEAR(AL138))+MONTH((AP138-1))-MONTH(AL138)-IF(DAY((AP138-1))&lt;MIN(DAY(AL138),DAY(EOMONTH((AP138-1),0))),1,0))))</f>
        <v/>
      </c>
      <c r="BQ138" s="16" t="str">
        <f aca="false">IF(AK138=0,"",IF(AT138="FT",IF(BO138&lt;FT_First,0,IF(BO138&lt;FT_Y5,1+INT((BO138-FT_First)/FT_Int1),FT_PreY5+FT_PerYear*INT((BO138-FT_Y5)/12)+FT_AnnivDays+INT(MOD(BO138-FT_Y5,12)/FT_Int2)-IF(EDATE(AL138,FT_Y5)&lt;PolicyEff,FT_AnnivDays-1,0))),IF(AT138="PT",IF(BO138&lt;PT_First,0,1+INT((BO138-PT_First)/PT_Int)),0))+IF(AND(AM138&gt;=2,AO138&lt;=(SchemeStart-1)),IF(AU138="FT",IF(BP138&lt;FT_First,0,IF(BP138&lt;FT_Y5,1+INT((BP138-FT_First)/FT_Int1),FT_PreY5+FT_PerYear*INT((BP138-FT_Y5)/12)+FT_AnnivDays+INT(MOD(BP138-FT_Y5,12)/FT_Int2)-IF(EDATE(AL138,FT_Y5)&lt;PolicyEff,FT_AnnivDays-1,0))),IF(AU138="PT",IF(BP138&lt;PT_First,0,1+INT((BP138-PT_First)/PT_Int)),0))-IF(AU138="FT",IF(BO138&lt;FT_First,0,IF(BO138&lt;FT_Y5,1+INT((BO138-FT_First)/FT_Int1),FT_PreY5+FT_PerYear*INT((BO138-FT_Y5)/12)+FT_AnnivDays+INT(MOD(BO138-FT_Y5,12)/FT_Int2)-IF(EDATE(AL138,FT_Y5)&lt;PolicyEff,FT_AnnivDays-1,0))),IF(AU138="PT",IF(BO138&lt;PT_First,0,1+INT((BO138-PT_First)/PT_Int)),0)),0)+IF(AND(AM138&gt;=3,AP138&lt;=(SchemeStart-1)),IF(AV138="FT",IF(BN138&lt;FT_First,0,IF(BN138&lt;FT_Y5,1+INT((BN138-FT_First)/FT_Int1),FT_PreY5+FT_PerYear*INT((BN138-FT_Y5)/12)+FT_AnnivDays+INT(MOD(BN138-FT_Y5,12)/FT_Int2)-IF(EDATE(AL138,FT_Y5)&lt;PolicyEff,FT_AnnivDays-1,0))),IF(AV138="PT",IF(BN138&lt;PT_First,0,1+INT((BN138-PT_First)/PT_Int)),0))-IF(AV138="FT",IF(BP138&lt;FT_First,0,IF(BP138&lt;FT_Y5,1+INT((BP138-FT_First)/FT_Int1),FT_PreY5+FT_PerYear*INT((BP138-FT_Y5)/12)+FT_AnnivDays+INT(MOD(BP138-FT_Y5,12)/FT_Int2)-IF(EDATE(AL138,FT_Y5)&lt;PolicyEff,FT_AnnivDays-1,0))),IF(AV138="PT",IF(BP138&lt;PT_First,0,1+INT((BP138-PT_First)/PT_Int)),0)),0))</f>
        <v/>
      </c>
      <c r="BR138" s="0" t="str">
        <f aca="false">IF(LEN($A138&amp;$B138)=0,"",$A138&amp;" "&amp;$B138)</f>
        <v/>
      </c>
    </row>
    <row r="139" customFormat="false" ht="15" hidden="false" customHeight="false" outlineLevel="0" collapsed="false">
      <c r="A139" s="12"/>
      <c r="B139" s="12"/>
      <c r="C139" s="12"/>
      <c r="D139" s="13"/>
      <c r="E139" s="14" t="str">
        <f aca="false">IF(OR(AK139=0,$D139=""),"",DATE(YEAR(AsOfDate)+IF(DATE(YEAR(AsOfDate),MONTH($D139),DAY($D139))&lt;=AsOfDate,1,0),MONTH($D139),DAY($D139)))</f>
        <v/>
      </c>
      <c r="F139" s="13"/>
      <c r="G139" s="13"/>
      <c r="H139" s="13"/>
      <c r="I139" s="13"/>
      <c r="J139" s="13"/>
      <c r="K139" s="14" t="str">
        <f aca="false">IF(AK139=0,"",DATE(YEAR(AsOfDate)+IF(DATE(YEAR(AsOfDate),MONTH(AL139),DAY(AL139))&lt;=AsOfDate,1,0),MONTH(AL139),DAY(AL139)))</f>
        <v/>
      </c>
      <c r="L139" s="15" t="str">
        <f aca="false">IF(AK139=0,"",ROUND((AsOfDate-AL139)/365.25,1))</f>
        <v/>
      </c>
      <c r="M139" s="16" t="str">
        <f aca="false">IF(AK139=0,"",IF(AsOfDate&lt;AL139,"-",DATEDIF(AL139,AsOfDate,"y")&amp;"y "&amp;DATEDIF(AL139,AsOfDate,"ym")&amp;"m "&amp;DATEDIF(AL139,AsOfDate,"md")&amp;"d"))</f>
        <v/>
      </c>
      <c r="N139" s="17" t="str">
        <f aca="false">IF(AK139=0,"",O139*HoursPerDay)</f>
        <v/>
      </c>
      <c r="O139" s="17" t="str">
        <f aca="false">IF(AK139=0,"",MAX(0,BD139-BQ139))</f>
        <v/>
      </c>
      <c r="P139" s="18"/>
      <c r="Q139" s="16" t="str">
        <f aca="false">IF(AK139=0,"",IF(AM139&lt;2,"",AQ139&amp;" to "&amp;AR139&amp;" on "&amp;TEXT(AO139,"dd/mm/yyyy")&amp;IF(AO139&gt;AsOfDate," (future)",IF(AT139=AU139,"",IF(AU139="None"," - STOPPED accruing",IF(AT139="None"," - commencement for Bonus Leave"," - pathway changed"))))&amp;IF(AM139&lt;3,"","; "&amp;AR139&amp;" to "&amp;AS139&amp;" on "&amp;TEXT(AP139,"dd/mm/yyyy")&amp;IF(AP139&gt;AsOfDate," (future)",IF(AU139=AV139,"",IF(AV139="None"," - STOPPED accruing",IF(AU139="None"," - commencement for Bonus Leave"," - pathway changed")))))))</f>
        <v/>
      </c>
      <c r="R139" s="16" t="str">
        <f aca="false">IF(AK139=0,"",IF(AW139="None",IF(O139&gt;0,"No longer accruing","Not eligible - "&amp;IF(AND(OR(ISNUMBER(SEARCH("part",$C139)),UPPER(TRIM($C139))="PT",UPPER(TRIM($C139))="PTE"),Apply2026="No"),"part-time (scheme is full-time only)",IF(AND(OR(ISNUMBER(SEARCH("part",$C139)),UPPER(TRIM($C139))="PT",UPPER(TRIM($C139))="PTE"),$P139&lt;&gt;"",N($P139)&lt;PT_MinHours),"under "&amp;PT_MinHours&amp;" hrs",IF(IF($C139="","",IF(OR(ISNUMBER(SEARCH("full",$C139)),UPPER(TRIM($C139))="FT",UPPER(TRIM($C139))="FTE"),"Full-Time",IF(OR(ISNUMBER(SEARCH("part",$C139)),UPPER(TRIM($C139))="PT",UPPER(TRIM($C139))="PTE"),"Part-Time",IF(OR(ISNUMBER(SEARCH("cas",$C139)),UPPER(TRIM($C139))="CAS"),"Casual","Unknown"))))="Unknown","type not recognised",$C139)))),IF(O139&gt;0,"Yes - Accrual Required","Not yet - from "&amp;TEXT(S139,"dd/mm/yyyy"))))</f>
        <v/>
      </c>
      <c r="S139" s="14" t="str">
        <f aca="false">IF(AK139=0,"",IF(AW139="None","",EDATE(AL139,BF139)))</f>
        <v/>
      </c>
      <c r="T139" s="17" t="str">
        <f aca="false">IF(AK139=0,"",IF(NOT(LH_Ready),"",IF($F139&gt;PFYDate,0,IF(LH_ColPeriod=0,W139-U139+V139,SUMIFS(INDEX(LH_Data,0,LH_ColAcc),INDEX(LH_Data,0,LH_ColFirst),$A139,INDEX(LH_Data,0,LH_ColSur),$B139,INDEX(LH_Data,0,LH_ColCat),BonusCat,INDEX(LH_Data,0,LH_ColPeriod),LH_OpenLabel)*UnitFactor))))</f>
        <v/>
      </c>
      <c r="U139" s="17" t="str">
        <f aca="false">IF(AK139=0,"",IF(NOT(LH_Ready),"",SUMIFS(INDEX(LH_Data,0,LH_ColAcc),INDEX(LH_Data,0,LH_ColFirst),$A139,INDEX(LH_Data,0,LH_ColSur),$B139,INDEX(LH_Data,0,LH_ColCat),BonusCat,INDEX(LH_Data,0,LH_ColStart),"&gt;="&amp;AL139)*UnitFactor))</f>
        <v/>
      </c>
      <c r="V139" s="17" t="str">
        <f aca="false">IF(AK139=0,"",IF(NOT(LH_Ready),"",SUMIFS(INDEX(LH_Data,0,LH_ColTaken),INDEX(LH_Data,0,LH_ColFirst),$A139,INDEX(LH_Data,0,LH_ColSur),$B139,INDEX(LH_Data,0,LH_ColCat),BonusCat,INDEX(LH_Data,0,LH_ColStart),"&gt;="&amp;AL139)*UnitFactor))</f>
        <v/>
      </c>
      <c r="W139" s="17" t="str">
        <f aca="false">IF(AK139=0,"",IF(NOT(LH_Ready),"",IF(BH139=0,0,INDEX(INDEX(LH_Data,0,LH_ColClose),BH139-1)*UnitFactor)))</f>
        <v/>
      </c>
      <c r="X139" s="17" t="str">
        <f aca="false">IF(AK139=0,"",(MAX(0,BD139-BQ139)-MAX(0,BE139-BQ139))*HoursPerDay)</f>
        <v/>
      </c>
      <c r="Y139" s="17" t="str">
        <f aca="false">IF(AK139=0,"",IF(NOT(LH_Ready),"",IF($AI139="Yes",N(AE139)*HoursPerDay-SUMIFS(INDEX(LH_Data,0,LH_ColAcc),INDEX(LH_Data,0,LH_ColFirst),$A139,INDEX(LH_Data,0,LH_ColSur),$B139,INDEX(LH_Data,0,LH_ColCat),BonusCat,INDEX(LH_Data,0,LH_ColStart),"&gt;="&amp;(EOMONTH(AsOfDate,-1)+1),INDEX(LH_Data,0,LH_ColStart),"&lt;="&amp;AsOfDate)*UnitFactor,IF(BG139=0,N139,N139-N(T139)-N(U139)))))</f>
        <v/>
      </c>
      <c r="Z139" s="16" t="str">
        <f aca="false">IF(OR(AK139=0,Y139=""),"",IF(Y139&gt;0,"Yes","No"))</f>
        <v/>
      </c>
      <c r="AA139" s="16" t="str">
        <f aca="false">IF(AK139=0,IF(LEN($A139&amp;$B139)=0,"","FIX INPUT - StartDate missing"),IF(AD139&lt;&gt;"","FIX INPUT - "&amp;AD139,IF(NOT(LH_Ready),"Paste Leave History export (Settings must show YES)",IF(AND($AI139="Yes",Y139&lt;=0),"OK - EH balance accepted to date"&amp;IF(N(AH139)&gt;0," (EH holds "&amp;AH139&amp;" hrs over the scheme)","")&amp;"; next day "&amp;TEXT(S139,"dd mmm yy")&amp;IF(N(AE139)&gt;0," ("&amp;AE139&amp;" day(s) for "&amp;UPPER(TEXT(AsOfDate,"mmm yyyy"))&amp;" already in EH)",""),IF(Y139&gt;0,"ACCRUE "&amp;ROUND(Y139,2)&amp;" hrs ("&amp;ROUND(Y139/HoursPerDay,2)&amp;" days): "&amp;IF(N(AE139)&gt;0,AE139&amp;" day(s) for "&amp;UPPER(TEXT(AsOfDate,"mmm yyyy"))&amp;" (milestone "&amp;UPPER(TEXT(AF139,"dd mmm yy"))&amp;")"&amp;IF(Y139/HoursPerDay&gt;AE139+0.001," + "&amp;ROUND(Y139/HoursPerDay-AE139,2)&amp;" day(s) catch-up from earlier months",""),"all catch-up from earlier months, nothing new this month")&amp;IF(BG139=0,"; no Bonus Leave in EH yet",""),IF(Y139&lt;0,"CHECK - EH accrued "&amp;ROUND(-Y139,2)&amp;" hrs more than policy since commencement",IF(N(W139)&gt;O139*HoursPerDay+0.01,"CHECK - EH balance "&amp;ROUND(W139-O139*HoursPerDay,2)&amp;" hrs more than policy entitlement",IF(O139&gt;0,"OK - nothing to add"&amp;IF(N(AE139)&gt;0," ("&amp;AE139&amp;" day(s) for "&amp;UPPER(TEXT(AsOfDate,"mmm yyyy"))&amp;" already in EH)",""),IF(AW139="None",R139,"Not yet - first day on "&amp;TEXT(S139,"dd/mm/yyyy"))))))))))</f>
        <v/>
      </c>
      <c r="AB139" s="17" t="str">
        <f aca="false">IF(OR(AK139=0,T139=""),"",MAX(0,BE139-BQ139)*HoursPerDay-T139)</f>
        <v/>
      </c>
      <c r="AC139" s="16" t="str">
        <f aca="false">IF(AK139=0,"",BG139)</f>
        <v/>
      </c>
      <c r="AD139" s="16" t="str">
        <f aca="false">IF(AK139=0,"",TRIM(IF(OR(ISTEXT($F139),ISTEXT($H139),ISTEXT($I139),ISTEXT($G139),ISTEXT($J139),ISTEXT($D139)),"A date is typed as text - retype it as dd/mm/yyyy. ","")&amp;IF(IF($C139="","",IF(OR(ISNUMBER(SEARCH("full",$C139)),UPPER(TRIM($C139))="FT",UPPER(TRIM($C139))="FTE"),"Full-Time",IF(OR(ISNUMBER(SEARCH("part",$C139)),UPPER(TRIM($C139))="PT",UPPER(TRIM($C139))="PTE"),"Part-Time",IF(OR(ISNUMBER(SEARCH("cas",$C139)),UPPER(TRIM($C139))="CAS"),"Casual","Unknown"))))="Unknown","EmploymentType not recognised - use Full-Time, Part-Time or Casual. ","")&amp;IF(AND(AM139&gt;=1,IF(AM139&gt;=3,AS139,IF(AM139=2,AR139,AQ139))&lt;&gt;IF($C139="","",IF(OR(ISNUMBER(SEARCH("full",$C139)),UPPER(TRIM($C139))="FT",UPPER(TRIM($C139))="FTE"),"Full-Time",IF(OR(ISNUMBER(SEARCH("part",$C139)),UPPER(TRIM($C139))="PT",UPPER(TRIM($C139))="PTE"),"Part-Time",IF(OR(ISNUMBER(SEARCH("cas",$C139)),UPPER(TRIM($C139))="CAS"),"Casual","Unknown"))))),"EmploymentType does not match latest start date ("&amp;IF(AM139&gt;=3,AS139,IF(AM139=2,AR139,AQ139))&amp;"). ","")&amp;IF(AND(AM139&gt;=1,AN139&lt;&gt;$F139),"Earliest type date should equal StartDate. ","")&amp;IF(AND(AM139&gt;=2,AN139=AO139),"Two types start on the same date. ","")&amp;IF(AND(OR(ISNUMBER(SEARCH("part",$C139)),UPPER(TRIM($C139))="PT",UPPER(TRIM($C139))="PTE"),$P139=""),"Part-time: enter PT Hrs/Week (blank = 24+). ","")))</f>
        <v/>
      </c>
      <c r="AE139" s="17" t="str">
        <f aca="false">IF(AK139=0,"",O139-MAX(0,BL139-BQ139))</f>
        <v/>
      </c>
      <c r="AF139" s="14" t="str">
        <f aca="false">IF(OR(AK139=0,AE139="",N(AE139)=0,BM139=""),"",EDATE(AL139,BM139))</f>
        <v/>
      </c>
      <c r="AG139" s="17" t="str">
        <f aca="false">IF(AK139=0,"",MIN(BD139,BQ139))</f>
        <v/>
      </c>
      <c r="AH139" s="17" t="str">
        <f aca="false">IF(AK139=0,"",IF(NOT(LH_Ready),"",IF(BG139=0,0,MAX(0,ROUND(N(T139)+N(U139)-N139,2)))))</f>
        <v/>
      </c>
      <c r="AI139" s="12"/>
      <c r="AJ139" s="12"/>
      <c r="AK139" s="16" t="n">
        <f aca="false">IF(OR(LEN($A139&amp;$B139)=0,$F139=""),0,1)</f>
        <v>0</v>
      </c>
      <c r="AL139" s="14" t="str">
        <f aca="false">IF(AK139=0,"",IF(PreSchemeCounts="No",MAX(SchemeStart,IF($J139&lt;&gt;"",$J139,IF(OR(CasualCounts="Yes",COUNT($G139:$I139)=0),$F139,IF(Apply2026="No",IF($I139="",$F139,$I139),IF(COUNT($H139:$I139)=0,$F139,MIN($H139:$I139)))))),IF($J139&lt;&gt;"",$J139,IF(OR(CasualCounts="Yes",COUNT($G139:$I139)=0),$F139,IF(Apply2026="No",IF($I139="",$F139,$I139),IF(COUNT($H139:$I139)=0,$F139,MIN($H139:$I139)))))))</f>
        <v/>
      </c>
      <c r="AM139" s="16" t="str">
        <f aca="false">IF(AK139=0,"",COUNT($G139:$I139))</f>
        <v/>
      </c>
      <c r="AN139" s="14" t="str">
        <f aca="false">IF(AK139=0,"",IFERROR(SMALL($G139:$I139,1),""))</f>
        <v/>
      </c>
      <c r="AO139" s="14" t="str">
        <f aca="false">IF(AK139=0,"",IFERROR(SMALL($G139:$I139,2),""))</f>
        <v/>
      </c>
      <c r="AP139" s="14" t="str">
        <f aca="false">IF(AK139=0,"",IFERROR(SMALL($G139:$I139,3),""))</f>
        <v/>
      </c>
      <c r="AQ139" s="16" t="str">
        <f aca="false">IF(AK139=0,"",IF(AN139="","",IF(AN139=$H139,"Part-Time",IF(AN139=$I139,"Full-Time","Casual"))))</f>
        <v/>
      </c>
      <c r="AR139" s="16" t="str">
        <f aca="false">IF(AK139=0,"",IF(AO139="","",IF(AO139=$H139,"Part-Time",IF(AO139=$I139,"Full-Time","Casual"))))</f>
        <v/>
      </c>
      <c r="AS139" s="16" t="str">
        <f aca="false">IF(AK139=0,"",IF(AP139="","",IF(AP139=$H139,"Part-Time",IF(AP139=$I139,"Full-Time","Casual"))))</f>
        <v/>
      </c>
      <c r="AT139" s="16" t="str">
        <f aca="false">IF(AK139=0,"",IF(AM139=0,IF(OR(ISNUMBER(SEARCH("full",$C139)),UPPER(TRIM($C139))="FT",UPPER(TRIM($C139))="FTE"),"FT",IF(AND(OR(ISNUMBER(SEARCH("part",$C139)),UPPER(TRIM($C139))="PT",UPPER(TRIM($C139))="PTE"),Apply2026="Yes",OR($P139="",N($P139)&gt;=PT_MinHours)),"PT","None")),IF(OR(ISNUMBER(SEARCH("full",AQ139)),UPPER(TRIM(AQ139))="FT",UPPER(TRIM(AQ139))="FTE"),"FT",IF(AND(OR(ISNUMBER(SEARCH("part",AQ139)),UPPER(TRIM(AQ139))="PT",UPPER(TRIM(AQ139))="PTE"),Apply2026="Yes",OR($P139="",N($P139)&gt;=PT_MinHours)),"PT","None"))))</f>
        <v/>
      </c>
      <c r="AU139" s="16" t="str">
        <f aca="false">IF(AK139=0,"",IF(AM139&lt;2,"",IF(OR(ISNUMBER(SEARCH("full",AR139)),UPPER(TRIM(AR139))="FT",UPPER(TRIM(AR139))="FTE"),"FT",IF(AND(OR(ISNUMBER(SEARCH("part",AR139)),UPPER(TRIM(AR139))="PT",UPPER(TRIM(AR139))="PTE"),Apply2026="Yes",OR($P139="",N($P139)&gt;=PT_MinHours)),"PT","None"))))</f>
        <v/>
      </c>
      <c r="AV139" s="16" t="str">
        <f aca="false">IF(AK139=0,"",IF(AM139&lt;3,"",IF(OR(ISNUMBER(SEARCH("full",AS139)),UPPER(TRIM(AS139))="FT",UPPER(TRIM(AS139))="FTE"),"FT",IF(AND(OR(ISNUMBER(SEARCH("part",AS139)),UPPER(TRIM(AS139))="PT",UPPER(TRIM(AS139))="PTE"),Apply2026="Yes",OR($P139="",N($P139)&gt;=PT_MinHours)),"PT","None"))))</f>
        <v/>
      </c>
      <c r="AW139" s="16" t="str">
        <f aca="false">IF(AK139=0,"",IF(AND(AM139&gt;=3,AP139&lt;=AsOfDate),AV139,IF(AND(AM139&gt;=2,AO139&lt;=AsOfDate),AU139,AT139)))</f>
        <v/>
      </c>
      <c r="AX139" s="16" t="str">
        <f aca="false">IF(AK139=0,"",IF(AsOfDate&lt;AL139,-1,12*(YEAR(AsOfDate)-YEAR(AL139))+MONTH(AsOfDate)-MONTH(AL139)-IF(DAY(AsOfDate)&lt;MIN(DAY(AL139),DAY(EOMONTH(AsOfDate,0))),1,0)))</f>
        <v/>
      </c>
      <c r="AY139" s="16" t="str">
        <f aca="false">IF(AK139=0,"",IF(OR(AM139&lt;2,AO139&gt;AsOfDate),AX139,IF((AO139-1)&lt;AL139,-1,12*(YEAR((AO139-1))-YEAR(AL139))+MONTH((AO139-1))-MONTH(AL139)-IF(DAY((AO139-1))&lt;MIN(DAY(AL139),DAY(EOMONTH((AO139-1),0))),1,0))))</f>
        <v/>
      </c>
      <c r="AZ139" s="16" t="str">
        <f aca="false">IF(AK139=0,"",IF(OR(AM139&lt;3,AP139&gt;AsOfDate),AX139,IF((AP139-1)&lt;AL139,-1,12*(YEAR((AP139-1))-YEAR(AL139))+MONTH((AP139-1))-MONTH(AL139)-IF(DAY((AP139-1))&lt;MIN(DAY(AL139),DAY(EOMONTH((AP139-1),0))),1,0))))</f>
        <v/>
      </c>
      <c r="BA139" s="16" t="str">
        <f aca="false">IF(AK139=0,"",IF(PFYDate&lt;AL139,-1,12*(YEAR(PFYDate)-YEAR(AL139))+MONTH(PFYDate)-MONTH(AL139)-IF(DAY(PFYDate)&lt;MIN(DAY(AL139),DAY(EOMONTH(PFYDate,0))),1,0)))</f>
        <v/>
      </c>
      <c r="BB139" s="16" t="str">
        <f aca="false">IF(AK139=0,"",IF(OR(AM139&lt;2,AO139&gt;PFYDate),BA139,IF((AO139-1)&lt;AL139,-1,12*(YEAR((AO139-1))-YEAR(AL139))+MONTH((AO139-1))-MONTH(AL139)-IF(DAY((AO139-1))&lt;MIN(DAY(AL139),DAY(EOMONTH((AO139-1),0))),1,0))))</f>
        <v/>
      </c>
      <c r="BC139" s="16" t="str">
        <f aca="false">IF(AK139=0,"",IF(OR(AM139&lt;3,AP139&gt;PFYDate),BA139,IF((AP139-1)&lt;AL139,-1,12*(YEAR((AP139-1))-YEAR(AL139))+MONTH((AP139-1))-MONTH(AL139)-IF(DAY((AP139-1))&lt;MIN(DAY(AL139),DAY(EOMONTH((AP139-1),0))),1,0))))</f>
        <v/>
      </c>
      <c r="BD139" s="16" t="str">
        <f aca="false">IF(AK139=0,"",IF(AT139="FT",IF(AY139&lt;FT_First,0,IF(AY139&lt;FT_Y5,1+INT((AY139-FT_First)/FT_Int1),FT_PreY5+FT_PerYear*INT((AY139-FT_Y5)/12)+FT_AnnivDays+INT(MOD(AY139-FT_Y5,12)/FT_Int2)-IF(EDATE(AL139,FT_Y5)&lt;PolicyEff,FT_AnnivDays-1,0))),IF(AT139="PT",IF(AY139&lt;PT_First,0,1+INT((AY139-PT_First)/PT_Int)),0))+IF(AND(AM139&gt;=2,AO139&lt;=AsOfDate),IF(AU139="FT",IF(AZ139&lt;FT_First,0,IF(AZ139&lt;FT_Y5,1+INT((AZ139-FT_First)/FT_Int1),FT_PreY5+FT_PerYear*INT((AZ139-FT_Y5)/12)+FT_AnnivDays+INT(MOD(AZ139-FT_Y5,12)/FT_Int2)-IF(EDATE(AL139,FT_Y5)&lt;PolicyEff,FT_AnnivDays-1,0))),IF(AU139="PT",IF(AZ139&lt;PT_First,0,1+INT((AZ139-PT_First)/PT_Int)),0))-IF(AU139="FT",IF(AY139&lt;FT_First,0,IF(AY139&lt;FT_Y5,1+INT((AY139-FT_First)/FT_Int1),FT_PreY5+FT_PerYear*INT((AY139-FT_Y5)/12)+FT_AnnivDays+INT(MOD(AY139-FT_Y5,12)/FT_Int2)-IF(EDATE(AL139,FT_Y5)&lt;PolicyEff,FT_AnnivDays-1,0))),IF(AU139="PT",IF(AY139&lt;PT_First,0,1+INT((AY139-PT_First)/PT_Int)),0)),0)+IF(AND(AM139&gt;=3,AP139&lt;=AsOfDate),IF(AV139="FT",IF(AX139&lt;FT_First,0,IF(AX139&lt;FT_Y5,1+INT((AX139-FT_First)/FT_Int1),FT_PreY5+FT_PerYear*INT((AX139-FT_Y5)/12)+FT_AnnivDays+INT(MOD(AX139-FT_Y5,12)/FT_Int2)-IF(EDATE(AL139,FT_Y5)&lt;PolicyEff,FT_AnnivDays-1,0))),IF(AV139="PT",IF(AX139&lt;PT_First,0,1+INT((AX139-PT_First)/PT_Int)),0))-IF(AV139="FT",IF(AZ139&lt;FT_First,0,IF(AZ139&lt;FT_Y5,1+INT((AZ139-FT_First)/FT_Int1),FT_PreY5+FT_PerYear*INT((AZ139-FT_Y5)/12)+FT_AnnivDays+INT(MOD(AZ139-FT_Y5,12)/FT_Int2)-IF(EDATE(AL139,FT_Y5)&lt;PolicyEff,FT_AnnivDays-1,0))),IF(AV139="PT",IF(AZ139&lt;PT_First,0,1+INT((AZ139-PT_First)/PT_Int)),0)),0))</f>
        <v/>
      </c>
      <c r="BE139" s="16" t="str">
        <f aca="false">IF(AK139=0,"",IF(AT139="FT",IF(BB139&lt;FT_First,0,IF(BB139&lt;FT_Y5,1+INT((BB139-FT_First)/FT_Int1),FT_PreY5+FT_PerYear*INT((BB139-FT_Y5)/12)+FT_AnnivDays+INT(MOD(BB139-FT_Y5,12)/FT_Int2)-IF(EDATE(AL139,FT_Y5)&lt;PolicyEff,FT_AnnivDays-1,0))),IF(AT139="PT",IF(BB139&lt;PT_First,0,1+INT((BB139-PT_First)/PT_Int)),0))+IF(AND(AM139&gt;=2,AO139&lt;=PFYDate),IF(AU139="FT",IF(BC139&lt;FT_First,0,IF(BC139&lt;FT_Y5,1+INT((BC139-FT_First)/FT_Int1),FT_PreY5+FT_PerYear*INT((BC139-FT_Y5)/12)+FT_AnnivDays+INT(MOD(BC139-FT_Y5,12)/FT_Int2)-IF(EDATE(AL139,FT_Y5)&lt;PolicyEff,FT_AnnivDays-1,0))),IF(AU139="PT",IF(BC139&lt;PT_First,0,1+INT((BC139-PT_First)/PT_Int)),0))-IF(AU139="FT",IF(BB139&lt;FT_First,0,IF(BB139&lt;FT_Y5,1+INT((BB139-FT_First)/FT_Int1),FT_PreY5+FT_PerYear*INT((BB139-FT_Y5)/12)+FT_AnnivDays+INT(MOD(BB139-FT_Y5,12)/FT_Int2)-IF(EDATE(AL139,FT_Y5)&lt;PolicyEff,FT_AnnivDays-1,0))),IF(AU139="PT",IF(BB139&lt;PT_First,0,1+INT((BB139-PT_First)/PT_Int)),0)),0)+IF(AND(AM139&gt;=3,AP139&lt;=PFYDate),IF(AV139="FT",IF(BA139&lt;FT_First,0,IF(BA139&lt;FT_Y5,1+INT((BA139-FT_First)/FT_Int1),FT_PreY5+FT_PerYear*INT((BA139-FT_Y5)/12)+FT_AnnivDays+INT(MOD(BA139-FT_Y5,12)/FT_Int2)-IF(EDATE(AL139,FT_Y5)&lt;PolicyEff,FT_AnnivDays-1,0))),IF(AV139="PT",IF(BA139&lt;PT_First,0,1+INT((BA139-PT_First)/PT_Int)),0))-IF(AV139="FT",IF(BC139&lt;FT_First,0,IF(BC139&lt;FT_Y5,1+INT((BC139-FT_First)/FT_Int1),FT_PreY5+FT_PerYear*INT((BC139-FT_Y5)/12)+FT_AnnivDays+INT(MOD(BC139-FT_Y5,12)/FT_Int2)-IF(EDATE(AL139,FT_Y5)&lt;PolicyEff,FT_AnnivDays-1,0))),IF(AV139="PT",IF(BC139&lt;PT_First,0,1+INT((BC139-PT_First)/PT_Int)),0)),0))</f>
        <v/>
      </c>
      <c r="BF139" s="16" t="str">
        <f aca="false">IF(AK139=0,"",IF(AW139="FT",IF(AX139&lt;FT_First,FT_First,IF(AX139&lt;FT_Y5,MIN(FT_Y5,FT_First+FT_Int1*(INT((AX139-FT_First)/FT_Int1)+1)),FT_Y5+12*INT((AX139-FT_Y5)/12)+FT_Int2*(INT(MOD(AX139-FT_Y5,12)/FT_Int2)+1))),IF(AW139="PT",IF(AX139&lt;PT_First,PT_First,PT_First+PT_Int*(INT((AX139-PT_First)/PT_Int)+1)),"")))</f>
        <v/>
      </c>
      <c r="BG139" s="16" t="str">
        <f aca="false">IF(AK139=0,"",IF(NOT(LH_Ready),0,COUNTIFS(INDEX(LH_Data,0,LH_ColFirst),$A139,INDEX(LH_Data,0,LH_ColSur),$B139,INDEX(LH_Data,0,LH_ColCat),BonusCat)))</f>
        <v/>
      </c>
      <c r="BH139" s="16" t="str">
        <f aca="false">IF(AK139=0,"",IF(OR(NOT(LH_Ready),BG139=0),0,SUMPRODUCT(MAX((INDEX(LH_Data,0,LH_ColFirst)=$A139)*(INDEX(LH_Data,0,LH_ColSur)=$B139)*(INDEX(LH_Data,0,LH_ColCat)=BonusCat)*ROW(LH_Data)))))</f>
        <v/>
      </c>
      <c r="BI139" s="16" t="str">
        <f aca="false">IF(AK139=0,"",IF(EOMONTH(AsOfDate,-1)&lt;AL139,-1,12*(YEAR(EOMONTH(AsOfDate,-1))-YEAR(AL139))+MONTH(EOMONTH(AsOfDate,-1))-MONTH(AL139)-IF(DAY(EOMONTH(AsOfDate,-1))&lt;MIN(DAY(AL139),DAY(EOMONTH(EOMONTH(AsOfDate,-1),0))),1,0)))</f>
        <v/>
      </c>
      <c r="BJ139" s="16" t="str">
        <f aca="false">IF(AK139=0,"",IF(OR(AM139&lt;2,AO139&gt;EOMONTH(AsOfDate,-1)),BI139,IF((AO139-1)&lt;AL139,-1,12*(YEAR((AO139-1))-YEAR(AL139))+MONTH((AO139-1))-MONTH(AL139)-IF(DAY((AO139-1))&lt;MIN(DAY(AL139),DAY(EOMONTH((AO139-1),0))),1,0))))</f>
        <v/>
      </c>
      <c r="BK139" s="16" t="str">
        <f aca="false">IF(AK139=0,"",IF(OR(AM139&lt;3,AP139&gt;EOMONTH(AsOfDate,-1)),BI139,IF((AP139-1)&lt;AL139,-1,12*(YEAR((AP139-1))-YEAR(AL139))+MONTH((AP139-1))-MONTH(AL139)-IF(DAY((AP139-1))&lt;MIN(DAY(AL139),DAY(EOMONTH((AP139-1),0))),1,0))))</f>
        <v/>
      </c>
      <c r="BL139" s="16" t="str">
        <f aca="false">IF(AK139=0,"",IF(AT139="FT",IF(BJ139&lt;FT_First,0,IF(BJ139&lt;FT_Y5,1+INT((BJ139-FT_First)/FT_Int1),FT_PreY5+FT_PerYear*INT((BJ139-FT_Y5)/12)+FT_AnnivDays+INT(MOD(BJ139-FT_Y5,12)/FT_Int2)-IF(EDATE(AL139,FT_Y5)&lt;PolicyEff,FT_AnnivDays-1,0))),IF(AT139="PT",IF(BJ139&lt;PT_First,0,1+INT((BJ139-PT_First)/PT_Int)),0))+IF(AND(AM139&gt;=2,AO139&lt;=EOMONTH(AsOfDate,-1)),IF(AU139="FT",IF(BK139&lt;FT_First,0,IF(BK139&lt;FT_Y5,1+INT((BK139-FT_First)/FT_Int1),FT_PreY5+FT_PerYear*INT((BK139-FT_Y5)/12)+FT_AnnivDays+INT(MOD(BK139-FT_Y5,12)/FT_Int2)-IF(EDATE(AL139,FT_Y5)&lt;PolicyEff,FT_AnnivDays-1,0))),IF(AU139="PT",IF(BK139&lt;PT_First,0,1+INT((BK139-PT_First)/PT_Int)),0))-IF(AU139="FT",IF(BJ139&lt;FT_First,0,IF(BJ139&lt;FT_Y5,1+INT((BJ139-FT_First)/FT_Int1),FT_PreY5+FT_PerYear*INT((BJ139-FT_Y5)/12)+FT_AnnivDays+INT(MOD(BJ139-FT_Y5,12)/FT_Int2)-IF(EDATE(AL139,FT_Y5)&lt;PolicyEff,FT_AnnivDays-1,0))),IF(AU139="PT",IF(BJ139&lt;PT_First,0,1+INT((BJ139-PT_First)/PT_Int)),0)),0)+IF(AND(AM139&gt;=3,AP139&lt;=EOMONTH(AsOfDate,-1)),IF(AV139="FT",IF(BI139&lt;FT_First,0,IF(BI139&lt;FT_Y5,1+INT((BI139-FT_First)/FT_Int1),FT_PreY5+FT_PerYear*INT((BI139-FT_Y5)/12)+FT_AnnivDays+INT(MOD(BI139-FT_Y5,12)/FT_Int2)-IF(EDATE(AL139,FT_Y5)&lt;PolicyEff,FT_AnnivDays-1,0))),IF(AV139="PT",IF(BI139&lt;PT_First,0,1+INT((BI139-PT_First)/PT_Int)),0))-IF(AV139="FT",IF(BK139&lt;FT_First,0,IF(BK139&lt;FT_Y5,1+INT((BK139-FT_First)/FT_Int1),FT_PreY5+FT_PerYear*INT((BK139-FT_Y5)/12)+FT_AnnivDays+INT(MOD(BK139-FT_Y5,12)/FT_Int2)-IF(EDATE(AL139,FT_Y5)&lt;PolicyEff,FT_AnnivDays-1,0))),IF(AV139="PT",IF(BK139&lt;PT_First,0,1+INT((BK139-PT_First)/PT_Int)),0)),0))</f>
        <v/>
      </c>
      <c r="BM139" s="16" t="str">
        <f aca="false">IF(AK139=0,"",IF(AW139="FT",IF(AX139&lt;FT_First,"",IF(AX139&lt;FT_Y5,FT_First+FT_Int1*INT((AX139-FT_First)/FT_Int1),FT_Y5+FT_Int2*INT((AX139-FT_Y5)/FT_Int2))),IF(AW139="PT",IF(AX139&lt;PT_First,"",PT_First+PT_Int*INT((AX139-PT_First)/PT_Int)),"")))</f>
        <v/>
      </c>
      <c r="BN139" s="16" t="str">
        <f aca="false">IF(AK139=0,"",IF((SchemeStart-1)&lt;AL139,-1,12*(YEAR((SchemeStart-1))-YEAR(AL139))+MONTH((SchemeStart-1))-MONTH(AL139)-IF(DAY((SchemeStart-1))&lt;MIN(DAY(AL139),DAY(EOMONTH((SchemeStart-1),0))),1,0)))</f>
        <v/>
      </c>
      <c r="BO139" s="16" t="str">
        <f aca="false">IF(AK139=0,"",IF(OR(AM139&lt;2,AO139&gt;(SchemeStart-1)),BN139,IF((AO139-1)&lt;AL139,-1,12*(YEAR((AO139-1))-YEAR(AL139))+MONTH((AO139-1))-MONTH(AL139)-IF(DAY((AO139-1))&lt;MIN(DAY(AL139),DAY(EOMONTH((AO139-1),0))),1,0))))</f>
        <v/>
      </c>
      <c r="BP139" s="16" t="str">
        <f aca="false">IF(AK139=0,"",IF(OR(AM139&lt;3,AP139&gt;(SchemeStart-1)),BN139,IF((AP139-1)&lt;AL139,-1,12*(YEAR((AP139-1))-YEAR(AL139))+MONTH((AP139-1))-MONTH(AL139)-IF(DAY((AP139-1))&lt;MIN(DAY(AL139),DAY(EOMONTH((AP139-1),0))),1,0))))</f>
        <v/>
      </c>
      <c r="BQ139" s="16" t="str">
        <f aca="false">IF(AK139=0,"",IF(AT139="FT",IF(BO139&lt;FT_First,0,IF(BO139&lt;FT_Y5,1+INT((BO139-FT_First)/FT_Int1),FT_PreY5+FT_PerYear*INT((BO139-FT_Y5)/12)+FT_AnnivDays+INT(MOD(BO139-FT_Y5,12)/FT_Int2)-IF(EDATE(AL139,FT_Y5)&lt;PolicyEff,FT_AnnivDays-1,0))),IF(AT139="PT",IF(BO139&lt;PT_First,0,1+INT((BO139-PT_First)/PT_Int)),0))+IF(AND(AM139&gt;=2,AO139&lt;=(SchemeStart-1)),IF(AU139="FT",IF(BP139&lt;FT_First,0,IF(BP139&lt;FT_Y5,1+INT((BP139-FT_First)/FT_Int1),FT_PreY5+FT_PerYear*INT((BP139-FT_Y5)/12)+FT_AnnivDays+INT(MOD(BP139-FT_Y5,12)/FT_Int2)-IF(EDATE(AL139,FT_Y5)&lt;PolicyEff,FT_AnnivDays-1,0))),IF(AU139="PT",IF(BP139&lt;PT_First,0,1+INT((BP139-PT_First)/PT_Int)),0))-IF(AU139="FT",IF(BO139&lt;FT_First,0,IF(BO139&lt;FT_Y5,1+INT((BO139-FT_First)/FT_Int1),FT_PreY5+FT_PerYear*INT((BO139-FT_Y5)/12)+FT_AnnivDays+INT(MOD(BO139-FT_Y5,12)/FT_Int2)-IF(EDATE(AL139,FT_Y5)&lt;PolicyEff,FT_AnnivDays-1,0))),IF(AU139="PT",IF(BO139&lt;PT_First,0,1+INT((BO139-PT_First)/PT_Int)),0)),0)+IF(AND(AM139&gt;=3,AP139&lt;=(SchemeStart-1)),IF(AV139="FT",IF(BN139&lt;FT_First,0,IF(BN139&lt;FT_Y5,1+INT((BN139-FT_First)/FT_Int1),FT_PreY5+FT_PerYear*INT((BN139-FT_Y5)/12)+FT_AnnivDays+INT(MOD(BN139-FT_Y5,12)/FT_Int2)-IF(EDATE(AL139,FT_Y5)&lt;PolicyEff,FT_AnnivDays-1,0))),IF(AV139="PT",IF(BN139&lt;PT_First,0,1+INT((BN139-PT_First)/PT_Int)),0))-IF(AV139="FT",IF(BP139&lt;FT_First,0,IF(BP139&lt;FT_Y5,1+INT((BP139-FT_First)/FT_Int1),FT_PreY5+FT_PerYear*INT((BP139-FT_Y5)/12)+FT_AnnivDays+INT(MOD(BP139-FT_Y5,12)/FT_Int2)-IF(EDATE(AL139,FT_Y5)&lt;PolicyEff,FT_AnnivDays-1,0))),IF(AV139="PT",IF(BP139&lt;PT_First,0,1+INT((BP139-PT_First)/PT_Int)),0)),0))</f>
        <v/>
      </c>
      <c r="BR139" s="0" t="str">
        <f aca="false">IF(LEN($A139&amp;$B139)=0,"",$A139&amp;" "&amp;$B139)</f>
        <v/>
      </c>
    </row>
    <row r="140" customFormat="false" ht="15" hidden="false" customHeight="false" outlineLevel="0" collapsed="false">
      <c r="A140" s="12"/>
      <c r="B140" s="12"/>
      <c r="C140" s="12"/>
      <c r="D140" s="13"/>
      <c r="E140" s="14" t="str">
        <f aca="false">IF(OR(AK140=0,$D140=""),"",DATE(YEAR(AsOfDate)+IF(DATE(YEAR(AsOfDate),MONTH($D140),DAY($D140))&lt;=AsOfDate,1,0),MONTH($D140),DAY($D140)))</f>
        <v/>
      </c>
      <c r="F140" s="13"/>
      <c r="G140" s="13"/>
      <c r="H140" s="13"/>
      <c r="I140" s="13"/>
      <c r="J140" s="13"/>
      <c r="K140" s="14" t="str">
        <f aca="false">IF(AK140=0,"",DATE(YEAR(AsOfDate)+IF(DATE(YEAR(AsOfDate),MONTH(AL140),DAY(AL140))&lt;=AsOfDate,1,0),MONTH(AL140),DAY(AL140)))</f>
        <v/>
      </c>
      <c r="L140" s="15" t="str">
        <f aca="false">IF(AK140=0,"",ROUND((AsOfDate-AL140)/365.25,1))</f>
        <v/>
      </c>
      <c r="M140" s="16" t="str">
        <f aca="false">IF(AK140=0,"",IF(AsOfDate&lt;AL140,"-",DATEDIF(AL140,AsOfDate,"y")&amp;"y "&amp;DATEDIF(AL140,AsOfDate,"ym")&amp;"m "&amp;DATEDIF(AL140,AsOfDate,"md")&amp;"d"))</f>
        <v/>
      </c>
      <c r="N140" s="17" t="str">
        <f aca="false">IF(AK140=0,"",O140*HoursPerDay)</f>
        <v/>
      </c>
      <c r="O140" s="17" t="str">
        <f aca="false">IF(AK140=0,"",MAX(0,BD140-BQ140))</f>
        <v/>
      </c>
      <c r="P140" s="18"/>
      <c r="Q140" s="16" t="str">
        <f aca="false">IF(AK140=0,"",IF(AM140&lt;2,"",AQ140&amp;" to "&amp;AR140&amp;" on "&amp;TEXT(AO140,"dd/mm/yyyy")&amp;IF(AO140&gt;AsOfDate," (future)",IF(AT140=AU140,"",IF(AU140="None"," - STOPPED accruing",IF(AT140="None"," - commencement for Bonus Leave"," - pathway changed"))))&amp;IF(AM140&lt;3,"","; "&amp;AR140&amp;" to "&amp;AS140&amp;" on "&amp;TEXT(AP140,"dd/mm/yyyy")&amp;IF(AP140&gt;AsOfDate," (future)",IF(AU140=AV140,"",IF(AV140="None"," - STOPPED accruing",IF(AU140="None"," - commencement for Bonus Leave"," - pathway changed")))))))</f>
        <v/>
      </c>
      <c r="R140" s="16" t="str">
        <f aca="false">IF(AK140=0,"",IF(AW140="None",IF(O140&gt;0,"No longer accruing","Not eligible - "&amp;IF(AND(OR(ISNUMBER(SEARCH("part",$C140)),UPPER(TRIM($C140))="PT",UPPER(TRIM($C140))="PTE"),Apply2026="No"),"part-time (scheme is full-time only)",IF(AND(OR(ISNUMBER(SEARCH("part",$C140)),UPPER(TRIM($C140))="PT",UPPER(TRIM($C140))="PTE"),$P140&lt;&gt;"",N($P140)&lt;PT_MinHours),"under "&amp;PT_MinHours&amp;" hrs",IF(IF($C140="","",IF(OR(ISNUMBER(SEARCH("full",$C140)),UPPER(TRIM($C140))="FT",UPPER(TRIM($C140))="FTE"),"Full-Time",IF(OR(ISNUMBER(SEARCH("part",$C140)),UPPER(TRIM($C140))="PT",UPPER(TRIM($C140))="PTE"),"Part-Time",IF(OR(ISNUMBER(SEARCH("cas",$C140)),UPPER(TRIM($C140))="CAS"),"Casual","Unknown"))))="Unknown","type not recognised",$C140)))),IF(O140&gt;0,"Yes - Accrual Required","Not yet - from "&amp;TEXT(S140,"dd/mm/yyyy"))))</f>
        <v/>
      </c>
      <c r="S140" s="14" t="str">
        <f aca="false">IF(AK140=0,"",IF(AW140="None","",EDATE(AL140,BF140)))</f>
        <v/>
      </c>
      <c r="T140" s="17" t="str">
        <f aca="false">IF(AK140=0,"",IF(NOT(LH_Ready),"",IF($F140&gt;PFYDate,0,IF(LH_ColPeriod=0,W140-U140+V140,SUMIFS(INDEX(LH_Data,0,LH_ColAcc),INDEX(LH_Data,0,LH_ColFirst),$A140,INDEX(LH_Data,0,LH_ColSur),$B140,INDEX(LH_Data,0,LH_ColCat),BonusCat,INDEX(LH_Data,0,LH_ColPeriod),LH_OpenLabel)*UnitFactor))))</f>
        <v/>
      </c>
      <c r="U140" s="17" t="str">
        <f aca="false">IF(AK140=0,"",IF(NOT(LH_Ready),"",SUMIFS(INDEX(LH_Data,0,LH_ColAcc),INDEX(LH_Data,0,LH_ColFirst),$A140,INDEX(LH_Data,0,LH_ColSur),$B140,INDEX(LH_Data,0,LH_ColCat),BonusCat,INDEX(LH_Data,0,LH_ColStart),"&gt;="&amp;AL140)*UnitFactor))</f>
        <v/>
      </c>
      <c r="V140" s="17" t="str">
        <f aca="false">IF(AK140=0,"",IF(NOT(LH_Ready),"",SUMIFS(INDEX(LH_Data,0,LH_ColTaken),INDEX(LH_Data,0,LH_ColFirst),$A140,INDEX(LH_Data,0,LH_ColSur),$B140,INDEX(LH_Data,0,LH_ColCat),BonusCat,INDEX(LH_Data,0,LH_ColStart),"&gt;="&amp;AL140)*UnitFactor))</f>
        <v/>
      </c>
      <c r="W140" s="17" t="str">
        <f aca="false">IF(AK140=0,"",IF(NOT(LH_Ready),"",IF(BH140=0,0,INDEX(INDEX(LH_Data,0,LH_ColClose),BH140-1)*UnitFactor)))</f>
        <v/>
      </c>
      <c r="X140" s="17" t="str">
        <f aca="false">IF(AK140=0,"",(MAX(0,BD140-BQ140)-MAX(0,BE140-BQ140))*HoursPerDay)</f>
        <v/>
      </c>
      <c r="Y140" s="17" t="str">
        <f aca="false">IF(AK140=0,"",IF(NOT(LH_Ready),"",IF($AI140="Yes",N(AE140)*HoursPerDay-SUMIFS(INDEX(LH_Data,0,LH_ColAcc),INDEX(LH_Data,0,LH_ColFirst),$A140,INDEX(LH_Data,0,LH_ColSur),$B140,INDEX(LH_Data,0,LH_ColCat),BonusCat,INDEX(LH_Data,0,LH_ColStart),"&gt;="&amp;(EOMONTH(AsOfDate,-1)+1),INDEX(LH_Data,0,LH_ColStart),"&lt;="&amp;AsOfDate)*UnitFactor,IF(BG140=0,N140,N140-N(T140)-N(U140)))))</f>
        <v/>
      </c>
      <c r="Z140" s="16" t="str">
        <f aca="false">IF(OR(AK140=0,Y140=""),"",IF(Y140&gt;0,"Yes","No"))</f>
        <v/>
      </c>
      <c r="AA140" s="16" t="str">
        <f aca="false">IF(AK140=0,IF(LEN($A140&amp;$B140)=0,"","FIX INPUT - StartDate missing"),IF(AD140&lt;&gt;"","FIX INPUT - "&amp;AD140,IF(NOT(LH_Ready),"Paste Leave History export (Settings must show YES)",IF(AND($AI140="Yes",Y140&lt;=0),"OK - EH balance accepted to date"&amp;IF(N(AH140)&gt;0," (EH holds "&amp;AH140&amp;" hrs over the scheme)","")&amp;"; next day "&amp;TEXT(S140,"dd mmm yy")&amp;IF(N(AE140)&gt;0," ("&amp;AE140&amp;" day(s) for "&amp;UPPER(TEXT(AsOfDate,"mmm yyyy"))&amp;" already in EH)",""),IF(Y140&gt;0,"ACCRUE "&amp;ROUND(Y140,2)&amp;" hrs ("&amp;ROUND(Y140/HoursPerDay,2)&amp;" days): "&amp;IF(N(AE140)&gt;0,AE140&amp;" day(s) for "&amp;UPPER(TEXT(AsOfDate,"mmm yyyy"))&amp;" (milestone "&amp;UPPER(TEXT(AF140,"dd mmm yy"))&amp;")"&amp;IF(Y140/HoursPerDay&gt;AE140+0.001," + "&amp;ROUND(Y140/HoursPerDay-AE140,2)&amp;" day(s) catch-up from earlier months",""),"all catch-up from earlier months, nothing new this month")&amp;IF(BG140=0,"; no Bonus Leave in EH yet",""),IF(Y140&lt;0,"CHECK - EH accrued "&amp;ROUND(-Y140,2)&amp;" hrs more than policy since commencement",IF(N(W140)&gt;O140*HoursPerDay+0.01,"CHECK - EH balance "&amp;ROUND(W140-O140*HoursPerDay,2)&amp;" hrs more than policy entitlement",IF(O140&gt;0,"OK - nothing to add"&amp;IF(N(AE140)&gt;0," ("&amp;AE140&amp;" day(s) for "&amp;UPPER(TEXT(AsOfDate,"mmm yyyy"))&amp;" already in EH)",""),IF(AW140="None",R140,"Not yet - first day on "&amp;TEXT(S140,"dd/mm/yyyy"))))))))))</f>
        <v/>
      </c>
      <c r="AB140" s="17" t="str">
        <f aca="false">IF(OR(AK140=0,T140=""),"",MAX(0,BE140-BQ140)*HoursPerDay-T140)</f>
        <v/>
      </c>
      <c r="AC140" s="16" t="str">
        <f aca="false">IF(AK140=0,"",BG140)</f>
        <v/>
      </c>
      <c r="AD140" s="16" t="str">
        <f aca="false">IF(AK140=0,"",TRIM(IF(OR(ISTEXT($F140),ISTEXT($H140),ISTEXT($I140),ISTEXT($G140),ISTEXT($J140),ISTEXT($D140)),"A date is typed as text - retype it as dd/mm/yyyy. ","")&amp;IF(IF($C140="","",IF(OR(ISNUMBER(SEARCH("full",$C140)),UPPER(TRIM($C140))="FT",UPPER(TRIM($C140))="FTE"),"Full-Time",IF(OR(ISNUMBER(SEARCH("part",$C140)),UPPER(TRIM($C140))="PT",UPPER(TRIM($C140))="PTE"),"Part-Time",IF(OR(ISNUMBER(SEARCH("cas",$C140)),UPPER(TRIM($C140))="CAS"),"Casual","Unknown"))))="Unknown","EmploymentType not recognised - use Full-Time, Part-Time or Casual. ","")&amp;IF(AND(AM140&gt;=1,IF(AM140&gt;=3,AS140,IF(AM140=2,AR140,AQ140))&lt;&gt;IF($C140="","",IF(OR(ISNUMBER(SEARCH("full",$C140)),UPPER(TRIM($C140))="FT",UPPER(TRIM($C140))="FTE"),"Full-Time",IF(OR(ISNUMBER(SEARCH("part",$C140)),UPPER(TRIM($C140))="PT",UPPER(TRIM($C140))="PTE"),"Part-Time",IF(OR(ISNUMBER(SEARCH("cas",$C140)),UPPER(TRIM($C140))="CAS"),"Casual","Unknown"))))),"EmploymentType does not match latest start date ("&amp;IF(AM140&gt;=3,AS140,IF(AM140=2,AR140,AQ140))&amp;"). ","")&amp;IF(AND(AM140&gt;=1,AN140&lt;&gt;$F140),"Earliest type date should equal StartDate. ","")&amp;IF(AND(AM140&gt;=2,AN140=AO140),"Two types start on the same date. ","")&amp;IF(AND(OR(ISNUMBER(SEARCH("part",$C140)),UPPER(TRIM($C140))="PT",UPPER(TRIM($C140))="PTE"),$P140=""),"Part-time: enter PT Hrs/Week (blank = 24+). ","")))</f>
        <v/>
      </c>
      <c r="AE140" s="17" t="str">
        <f aca="false">IF(AK140=0,"",O140-MAX(0,BL140-BQ140))</f>
        <v/>
      </c>
      <c r="AF140" s="14" t="str">
        <f aca="false">IF(OR(AK140=0,AE140="",N(AE140)=0,BM140=""),"",EDATE(AL140,BM140))</f>
        <v/>
      </c>
      <c r="AG140" s="17" t="str">
        <f aca="false">IF(AK140=0,"",MIN(BD140,BQ140))</f>
        <v/>
      </c>
      <c r="AH140" s="17" t="str">
        <f aca="false">IF(AK140=0,"",IF(NOT(LH_Ready),"",IF(BG140=0,0,MAX(0,ROUND(N(T140)+N(U140)-N140,2)))))</f>
        <v/>
      </c>
      <c r="AI140" s="12"/>
      <c r="AJ140" s="12"/>
      <c r="AK140" s="16" t="n">
        <f aca="false">IF(OR(LEN($A140&amp;$B140)=0,$F140=""),0,1)</f>
        <v>0</v>
      </c>
      <c r="AL140" s="14" t="str">
        <f aca="false">IF(AK140=0,"",IF(PreSchemeCounts="No",MAX(SchemeStart,IF($J140&lt;&gt;"",$J140,IF(OR(CasualCounts="Yes",COUNT($G140:$I140)=0),$F140,IF(Apply2026="No",IF($I140="",$F140,$I140),IF(COUNT($H140:$I140)=0,$F140,MIN($H140:$I140)))))),IF($J140&lt;&gt;"",$J140,IF(OR(CasualCounts="Yes",COUNT($G140:$I140)=0),$F140,IF(Apply2026="No",IF($I140="",$F140,$I140),IF(COUNT($H140:$I140)=0,$F140,MIN($H140:$I140)))))))</f>
        <v/>
      </c>
      <c r="AM140" s="16" t="str">
        <f aca="false">IF(AK140=0,"",COUNT($G140:$I140))</f>
        <v/>
      </c>
      <c r="AN140" s="14" t="str">
        <f aca="false">IF(AK140=0,"",IFERROR(SMALL($G140:$I140,1),""))</f>
        <v/>
      </c>
      <c r="AO140" s="14" t="str">
        <f aca="false">IF(AK140=0,"",IFERROR(SMALL($G140:$I140,2),""))</f>
        <v/>
      </c>
      <c r="AP140" s="14" t="str">
        <f aca="false">IF(AK140=0,"",IFERROR(SMALL($G140:$I140,3),""))</f>
        <v/>
      </c>
      <c r="AQ140" s="16" t="str">
        <f aca="false">IF(AK140=0,"",IF(AN140="","",IF(AN140=$H140,"Part-Time",IF(AN140=$I140,"Full-Time","Casual"))))</f>
        <v/>
      </c>
      <c r="AR140" s="16" t="str">
        <f aca="false">IF(AK140=0,"",IF(AO140="","",IF(AO140=$H140,"Part-Time",IF(AO140=$I140,"Full-Time","Casual"))))</f>
        <v/>
      </c>
      <c r="AS140" s="16" t="str">
        <f aca="false">IF(AK140=0,"",IF(AP140="","",IF(AP140=$H140,"Part-Time",IF(AP140=$I140,"Full-Time","Casual"))))</f>
        <v/>
      </c>
      <c r="AT140" s="16" t="str">
        <f aca="false">IF(AK140=0,"",IF(AM140=0,IF(OR(ISNUMBER(SEARCH("full",$C140)),UPPER(TRIM($C140))="FT",UPPER(TRIM($C140))="FTE"),"FT",IF(AND(OR(ISNUMBER(SEARCH("part",$C140)),UPPER(TRIM($C140))="PT",UPPER(TRIM($C140))="PTE"),Apply2026="Yes",OR($P140="",N($P140)&gt;=PT_MinHours)),"PT","None")),IF(OR(ISNUMBER(SEARCH("full",AQ140)),UPPER(TRIM(AQ140))="FT",UPPER(TRIM(AQ140))="FTE"),"FT",IF(AND(OR(ISNUMBER(SEARCH("part",AQ140)),UPPER(TRIM(AQ140))="PT",UPPER(TRIM(AQ140))="PTE"),Apply2026="Yes",OR($P140="",N($P140)&gt;=PT_MinHours)),"PT","None"))))</f>
        <v/>
      </c>
      <c r="AU140" s="16" t="str">
        <f aca="false">IF(AK140=0,"",IF(AM140&lt;2,"",IF(OR(ISNUMBER(SEARCH("full",AR140)),UPPER(TRIM(AR140))="FT",UPPER(TRIM(AR140))="FTE"),"FT",IF(AND(OR(ISNUMBER(SEARCH("part",AR140)),UPPER(TRIM(AR140))="PT",UPPER(TRIM(AR140))="PTE"),Apply2026="Yes",OR($P140="",N($P140)&gt;=PT_MinHours)),"PT","None"))))</f>
        <v/>
      </c>
      <c r="AV140" s="16" t="str">
        <f aca="false">IF(AK140=0,"",IF(AM140&lt;3,"",IF(OR(ISNUMBER(SEARCH("full",AS140)),UPPER(TRIM(AS140))="FT",UPPER(TRIM(AS140))="FTE"),"FT",IF(AND(OR(ISNUMBER(SEARCH("part",AS140)),UPPER(TRIM(AS140))="PT",UPPER(TRIM(AS140))="PTE"),Apply2026="Yes",OR($P140="",N($P140)&gt;=PT_MinHours)),"PT","None"))))</f>
        <v/>
      </c>
      <c r="AW140" s="16" t="str">
        <f aca="false">IF(AK140=0,"",IF(AND(AM140&gt;=3,AP140&lt;=AsOfDate),AV140,IF(AND(AM140&gt;=2,AO140&lt;=AsOfDate),AU140,AT140)))</f>
        <v/>
      </c>
      <c r="AX140" s="16" t="str">
        <f aca="false">IF(AK140=0,"",IF(AsOfDate&lt;AL140,-1,12*(YEAR(AsOfDate)-YEAR(AL140))+MONTH(AsOfDate)-MONTH(AL140)-IF(DAY(AsOfDate)&lt;MIN(DAY(AL140),DAY(EOMONTH(AsOfDate,0))),1,0)))</f>
        <v/>
      </c>
      <c r="AY140" s="16" t="str">
        <f aca="false">IF(AK140=0,"",IF(OR(AM140&lt;2,AO140&gt;AsOfDate),AX140,IF((AO140-1)&lt;AL140,-1,12*(YEAR((AO140-1))-YEAR(AL140))+MONTH((AO140-1))-MONTH(AL140)-IF(DAY((AO140-1))&lt;MIN(DAY(AL140),DAY(EOMONTH((AO140-1),0))),1,0))))</f>
        <v/>
      </c>
      <c r="AZ140" s="16" t="str">
        <f aca="false">IF(AK140=0,"",IF(OR(AM140&lt;3,AP140&gt;AsOfDate),AX140,IF((AP140-1)&lt;AL140,-1,12*(YEAR((AP140-1))-YEAR(AL140))+MONTH((AP140-1))-MONTH(AL140)-IF(DAY((AP140-1))&lt;MIN(DAY(AL140),DAY(EOMONTH((AP140-1),0))),1,0))))</f>
        <v/>
      </c>
      <c r="BA140" s="16" t="str">
        <f aca="false">IF(AK140=0,"",IF(PFYDate&lt;AL140,-1,12*(YEAR(PFYDate)-YEAR(AL140))+MONTH(PFYDate)-MONTH(AL140)-IF(DAY(PFYDate)&lt;MIN(DAY(AL140),DAY(EOMONTH(PFYDate,0))),1,0)))</f>
        <v/>
      </c>
      <c r="BB140" s="16" t="str">
        <f aca="false">IF(AK140=0,"",IF(OR(AM140&lt;2,AO140&gt;PFYDate),BA140,IF((AO140-1)&lt;AL140,-1,12*(YEAR((AO140-1))-YEAR(AL140))+MONTH((AO140-1))-MONTH(AL140)-IF(DAY((AO140-1))&lt;MIN(DAY(AL140),DAY(EOMONTH((AO140-1),0))),1,0))))</f>
        <v/>
      </c>
      <c r="BC140" s="16" t="str">
        <f aca="false">IF(AK140=0,"",IF(OR(AM140&lt;3,AP140&gt;PFYDate),BA140,IF((AP140-1)&lt;AL140,-1,12*(YEAR((AP140-1))-YEAR(AL140))+MONTH((AP140-1))-MONTH(AL140)-IF(DAY((AP140-1))&lt;MIN(DAY(AL140),DAY(EOMONTH((AP140-1),0))),1,0))))</f>
        <v/>
      </c>
      <c r="BD140" s="16" t="str">
        <f aca="false">IF(AK140=0,"",IF(AT140="FT",IF(AY140&lt;FT_First,0,IF(AY140&lt;FT_Y5,1+INT((AY140-FT_First)/FT_Int1),FT_PreY5+FT_PerYear*INT((AY140-FT_Y5)/12)+FT_AnnivDays+INT(MOD(AY140-FT_Y5,12)/FT_Int2)-IF(EDATE(AL140,FT_Y5)&lt;PolicyEff,FT_AnnivDays-1,0))),IF(AT140="PT",IF(AY140&lt;PT_First,0,1+INT((AY140-PT_First)/PT_Int)),0))+IF(AND(AM140&gt;=2,AO140&lt;=AsOfDate),IF(AU140="FT",IF(AZ140&lt;FT_First,0,IF(AZ140&lt;FT_Y5,1+INT((AZ140-FT_First)/FT_Int1),FT_PreY5+FT_PerYear*INT((AZ140-FT_Y5)/12)+FT_AnnivDays+INT(MOD(AZ140-FT_Y5,12)/FT_Int2)-IF(EDATE(AL140,FT_Y5)&lt;PolicyEff,FT_AnnivDays-1,0))),IF(AU140="PT",IF(AZ140&lt;PT_First,0,1+INT((AZ140-PT_First)/PT_Int)),0))-IF(AU140="FT",IF(AY140&lt;FT_First,0,IF(AY140&lt;FT_Y5,1+INT((AY140-FT_First)/FT_Int1),FT_PreY5+FT_PerYear*INT((AY140-FT_Y5)/12)+FT_AnnivDays+INT(MOD(AY140-FT_Y5,12)/FT_Int2)-IF(EDATE(AL140,FT_Y5)&lt;PolicyEff,FT_AnnivDays-1,0))),IF(AU140="PT",IF(AY140&lt;PT_First,0,1+INT((AY140-PT_First)/PT_Int)),0)),0)+IF(AND(AM140&gt;=3,AP140&lt;=AsOfDate),IF(AV140="FT",IF(AX140&lt;FT_First,0,IF(AX140&lt;FT_Y5,1+INT((AX140-FT_First)/FT_Int1),FT_PreY5+FT_PerYear*INT((AX140-FT_Y5)/12)+FT_AnnivDays+INT(MOD(AX140-FT_Y5,12)/FT_Int2)-IF(EDATE(AL140,FT_Y5)&lt;PolicyEff,FT_AnnivDays-1,0))),IF(AV140="PT",IF(AX140&lt;PT_First,0,1+INT((AX140-PT_First)/PT_Int)),0))-IF(AV140="FT",IF(AZ140&lt;FT_First,0,IF(AZ140&lt;FT_Y5,1+INT((AZ140-FT_First)/FT_Int1),FT_PreY5+FT_PerYear*INT((AZ140-FT_Y5)/12)+FT_AnnivDays+INT(MOD(AZ140-FT_Y5,12)/FT_Int2)-IF(EDATE(AL140,FT_Y5)&lt;PolicyEff,FT_AnnivDays-1,0))),IF(AV140="PT",IF(AZ140&lt;PT_First,0,1+INT((AZ140-PT_First)/PT_Int)),0)),0))</f>
        <v/>
      </c>
      <c r="BE140" s="16" t="str">
        <f aca="false">IF(AK140=0,"",IF(AT140="FT",IF(BB140&lt;FT_First,0,IF(BB140&lt;FT_Y5,1+INT((BB140-FT_First)/FT_Int1),FT_PreY5+FT_PerYear*INT((BB140-FT_Y5)/12)+FT_AnnivDays+INT(MOD(BB140-FT_Y5,12)/FT_Int2)-IF(EDATE(AL140,FT_Y5)&lt;PolicyEff,FT_AnnivDays-1,0))),IF(AT140="PT",IF(BB140&lt;PT_First,0,1+INT((BB140-PT_First)/PT_Int)),0))+IF(AND(AM140&gt;=2,AO140&lt;=PFYDate),IF(AU140="FT",IF(BC140&lt;FT_First,0,IF(BC140&lt;FT_Y5,1+INT((BC140-FT_First)/FT_Int1),FT_PreY5+FT_PerYear*INT((BC140-FT_Y5)/12)+FT_AnnivDays+INT(MOD(BC140-FT_Y5,12)/FT_Int2)-IF(EDATE(AL140,FT_Y5)&lt;PolicyEff,FT_AnnivDays-1,0))),IF(AU140="PT",IF(BC140&lt;PT_First,0,1+INT((BC140-PT_First)/PT_Int)),0))-IF(AU140="FT",IF(BB140&lt;FT_First,0,IF(BB140&lt;FT_Y5,1+INT((BB140-FT_First)/FT_Int1),FT_PreY5+FT_PerYear*INT((BB140-FT_Y5)/12)+FT_AnnivDays+INT(MOD(BB140-FT_Y5,12)/FT_Int2)-IF(EDATE(AL140,FT_Y5)&lt;PolicyEff,FT_AnnivDays-1,0))),IF(AU140="PT",IF(BB140&lt;PT_First,0,1+INT((BB140-PT_First)/PT_Int)),0)),0)+IF(AND(AM140&gt;=3,AP140&lt;=PFYDate),IF(AV140="FT",IF(BA140&lt;FT_First,0,IF(BA140&lt;FT_Y5,1+INT((BA140-FT_First)/FT_Int1),FT_PreY5+FT_PerYear*INT((BA140-FT_Y5)/12)+FT_AnnivDays+INT(MOD(BA140-FT_Y5,12)/FT_Int2)-IF(EDATE(AL140,FT_Y5)&lt;PolicyEff,FT_AnnivDays-1,0))),IF(AV140="PT",IF(BA140&lt;PT_First,0,1+INT((BA140-PT_First)/PT_Int)),0))-IF(AV140="FT",IF(BC140&lt;FT_First,0,IF(BC140&lt;FT_Y5,1+INT((BC140-FT_First)/FT_Int1),FT_PreY5+FT_PerYear*INT((BC140-FT_Y5)/12)+FT_AnnivDays+INT(MOD(BC140-FT_Y5,12)/FT_Int2)-IF(EDATE(AL140,FT_Y5)&lt;PolicyEff,FT_AnnivDays-1,0))),IF(AV140="PT",IF(BC140&lt;PT_First,0,1+INT((BC140-PT_First)/PT_Int)),0)),0))</f>
        <v/>
      </c>
      <c r="BF140" s="16" t="str">
        <f aca="false">IF(AK140=0,"",IF(AW140="FT",IF(AX140&lt;FT_First,FT_First,IF(AX140&lt;FT_Y5,MIN(FT_Y5,FT_First+FT_Int1*(INT((AX140-FT_First)/FT_Int1)+1)),FT_Y5+12*INT((AX140-FT_Y5)/12)+FT_Int2*(INT(MOD(AX140-FT_Y5,12)/FT_Int2)+1))),IF(AW140="PT",IF(AX140&lt;PT_First,PT_First,PT_First+PT_Int*(INT((AX140-PT_First)/PT_Int)+1)),"")))</f>
        <v/>
      </c>
      <c r="BG140" s="16" t="str">
        <f aca="false">IF(AK140=0,"",IF(NOT(LH_Ready),0,COUNTIFS(INDEX(LH_Data,0,LH_ColFirst),$A140,INDEX(LH_Data,0,LH_ColSur),$B140,INDEX(LH_Data,0,LH_ColCat),BonusCat)))</f>
        <v/>
      </c>
      <c r="BH140" s="16" t="str">
        <f aca="false">IF(AK140=0,"",IF(OR(NOT(LH_Ready),BG140=0),0,SUMPRODUCT(MAX((INDEX(LH_Data,0,LH_ColFirst)=$A140)*(INDEX(LH_Data,0,LH_ColSur)=$B140)*(INDEX(LH_Data,0,LH_ColCat)=BonusCat)*ROW(LH_Data)))))</f>
        <v/>
      </c>
      <c r="BI140" s="16" t="str">
        <f aca="false">IF(AK140=0,"",IF(EOMONTH(AsOfDate,-1)&lt;AL140,-1,12*(YEAR(EOMONTH(AsOfDate,-1))-YEAR(AL140))+MONTH(EOMONTH(AsOfDate,-1))-MONTH(AL140)-IF(DAY(EOMONTH(AsOfDate,-1))&lt;MIN(DAY(AL140),DAY(EOMONTH(EOMONTH(AsOfDate,-1),0))),1,0)))</f>
        <v/>
      </c>
      <c r="BJ140" s="16" t="str">
        <f aca="false">IF(AK140=0,"",IF(OR(AM140&lt;2,AO140&gt;EOMONTH(AsOfDate,-1)),BI140,IF((AO140-1)&lt;AL140,-1,12*(YEAR((AO140-1))-YEAR(AL140))+MONTH((AO140-1))-MONTH(AL140)-IF(DAY((AO140-1))&lt;MIN(DAY(AL140),DAY(EOMONTH((AO140-1),0))),1,0))))</f>
        <v/>
      </c>
      <c r="BK140" s="16" t="str">
        <f aca="false">IF(AK140=0,"",IF(OR(AM140&lt;3,AP140&gt;EOMONTH(AsOfDate,-1)),BI140,IF((AP140-1)&lt;AL140,-1,12*(YEAR((AP140-1))-YEAR(AL140))+MONTH((AP140-1))-MONTH(AL140)-IF(DAY((AP140-1))&lt;MIN(DAY(AL140),DAY(EOMONTH((AP140-1),0))),1,0))))</f>
        <v/>
      </c>
      <c r="BL140" s="16" t="str">
        <f aca="false">IF(AK140=0,"",IF(AT140="FT",IF(BJ140&lt;FT_First,0,IF(BJ140&lt;FT_Y5,1+INT((BJ140-FT_First)/FT_Int1),FT_PreY5+FT_PerYear*INT((BJ140-FT_Y5)/12)+FT_AnnivDays+INT(MOD(BJ140-FT_Y5,12)/FT_Int2)-IF(EDATE(AL140,FT_Y5)&lt;PolicyEff,FT_AnnivDays-1,0))),IF(AT140="PT",IF(BJ140&lt;PT_First,0,1+INT((BJ140-PT_First)/PT_Int)),0))+IF(AND(AM140&gt;=2,AO140&lt;=EOMONTH(AsOfDate,-1)),IF(AU140="FT",IF(BK140&lt;FT_First,0,IF(BK140&lt;FT_Y5,1+INT((BK140-FT_First)/FT_Int1),FT_PreY5+FT_PerYear*INT((BK140-FT_Y5)/12)+FT_AnnivDays+INT(MOD(BK140-FT_Y5,12)/FT_Int2)-IF(EDATE(AL140,FT_Y5)&lt;PolicyEff,FT_AnnivDays-1,0))),IF(AU140="PT",IF(BK140&lt;PT_First,0,1+INT((BK140-PT_First)/PT_Int)),0))-IF(AU140="FT",IF(BJ140&lt;FT_First,0,IF(BJ140&lt;FT_Y5,1+INT((BJ140-FT_First)/FT_Int1),FT_PreY5+FT_PerYear*INT((BJ140-FT_Y5)/12)+FT_AnnivDays+INT(MOD(BJ140-FT_Y5,12)/FT_Int2)-IF(EDATE(AL140,FT_Y5)&lt;PolicyEff,FT_AnnivDays-1,0))),IF(AU140="PT",IF(BJ140&lt;PT_First,0,1+INT((BJ140-PT_First)/PT_Int)),0)),0)+IF(AND(AM140&gt;=3,AP140&lt;=EOMONTH(AsOfDate,-1)),IF(AV140="FT",IF(BI140&lt;FT_First,0,IF(BI140&lt;FT_Y5,1+INT((BI140-FT_First)/FT_Int1),FT_PreY5+FT_PerYear*INT((BI140-FT_Y5)/12)+FT_AnnivDays+INT(MOD(BI140-FT_Y5,12)/FT_Int2)-IF(EDATE(AL140,FT_Y5)&lt;PolicyEff,FT_AnnivDays-1,0))),IF(AV140="PT",IF(BI140&lt;PT_First,0,1+INT((BI140-PT_First)/PT_Int)),0))-IF(AV140="FT",IF(BK140&lt;FT_First,0,IF(BK140&lt;FT_Y5,1+INT((BK140-FT_First)/FT_Int1),FT_PreY5+FT_PerYear*INT((BK140-FT_Y5)/12)+FT_AnnivDays+INT(MOD(BK140-FT_Y5,12)/FT_Int2)-IF(EDATE(AL140,FT_Y5)&lt;PolicyEff,FT_AnnivDays-1,0))),IF(AV140="PT",IF(BK140&lt;PT_First,0,1+INT((BK140-PT_First)/PT_Int)),0)),0))</f>
        <v/>
      </c>
      <c r="BM140" s="16" t="str">
        <f aca="false">IF(AK140=0,"",IF(AW140="FT",IF(AX140&lt;FT_First,"",IF(AX140&lt;FT_Y5,FT_First+FT_Int1*INT((AX140-FT_First)/FT_Int1),FT_Y5+FT_Int2*INT((AX140-FT_Y5)/FT_Int2))),IF(AW140="PT",IF(AX140&lt;PT_First,"",PT_First+PT_Int*INT((AX140-PT_First)/PT_Int)),"")))</f>
        <v/>
      </c>
      <c r="BN140" s="16" t="str">
        <f aca="false">IF(AK140=0,"",IF((SchemeStart-1)&lt;AL140,-1,12*(YEAR((SchemeStart-1))-YEAR(AL140))+MONTH((SchemeStart-1))-MONTH(AL140)-IF(DAY((SchemeStart-1))&lt;MIN(DAY(AL140),DAY(EOMONTH((SchemeStart-1),0))),1,0)))</f>
        <v/>
      </c>
      <c r="BO140" s="16" t="str">
        <f aca="false">IF(AK140=0,"",IF(OR(AM140&lt;2,AO140&gt;(SchemeStart-1)),BN140,IF((AO140-1)&lt;AL140,-1,12*(YEAR((AO140-1))-YEAR(AL140))+MONTH((AO140-1))-MONTH(AL140)-IF(DAY((AO140-1))&lt;MIN(DAY(AL140),DAY(EOMONTH((AO140-1),0))),1,0))))</f>
        <v/>
      </c>
      <c r="BP140" s="16" t="str">
        <f aca="false">IF(AK140=0,"",IF(OR(AM140&lt;3,AP140&gt;(SchemeStart-1)),BN140,IF((AP140-1)&lt;AL140,-1,12*(YEAR((AP140-1))-YEAR(AL140))+MONTH((AP140-1))-MONTH(AL140)-IF(DAY((AP140-1))&lt;MIN(DAY(AL140),DAY(EOMONTH((AP140-1),0))),1,0))))</f>
        <v/>
      </c>
      <c r="BQ140" s="16" t="str">
        <f aca="false">IF(AK140=0,"",IF(AT140="FT",IF(BO140&lt;FT_First,0,IF(BO140&lt;FT_Y5,1+INT((BO140-FT_First)/FT_Int1),FT_PreY5+FT_PerYear*INT((BO140-FT_Y5)/12)+FT_AnnivDays+INT(MOD(BO140-FT_Y5,12)/FT_Int2)-IF(EDATE(AL140,FT_Y5)&lt;PolicyEff,FT_AnnivDays-1,0))),IF(AT140="PT",IF(BO140&lt;PT_First,0,1+INT((BO140-PT_First)/PT_Int)),0))+IF(AND(AM140&gt;=2,AO140&lt;=(SchemeStart-1)),IF(AU140="FT",IF(BP140&lt;FT_First,0,IF(BP140&lt;FT_Y5,1+INT((BP140-FT_First)/FT_Int1),FT_PreY5+FT_PerYear*INT((BP140-FT_Y5)/12)+FT_AnnivDays+INT(MOD(BP140-FT_Y5,12)/FT_Int2)-IF(EDATE(AL140,FT_Y5)&lt;PolicyEff,FT_AnnivDays-1,0))),IF(AU140="PT",IF(BP140&lt;PT_First,0,1+INT((BP140-PT_First)/PT_Int)),0))-IF(AU140="FT",IF(BO140&lt;FT_First,0,IF(BO140&lt;FT_Y5,1+INT((BO140-FT_First)/FT_Int1),FT_PreY5+FT_PerYear*INT((BO140-FT_Y5)/12)+FT_AnnivDays+INT(MOD(BO140-FT_Y5,12)/FT_Int2)-IF(EDATE(AL140,FT_Y5)&lt;PolicyEff,FT_AnnivDays-1,0))),IF(AU140="PT",IF(BO140&lt;PT_First,0,1+INT((BO140-PT_First)/PT_Int)),0)),0)+IF(AND(AM140&gt;=3,AP140&lt;=(SchemeStart-1)),IF(AV140="FT",IF(BN140&lt;FT_First,0,IF(BN140&lt;FT_Y5,1+INT((BN140-FT_First)/FT_Int1),FT_PreY5+FT_PerYear*INT((BN140-FT_Y5)/12)+FT_AnnivDays+INT(MOD(BN140-FT_Y5,12)/FT_Int2)-IF(EDATE(AL140,FT_Y5)&lt;PolicyEff,FT_AnnivDays-1,0))),IF(AV140="PT",IF(BN140&lt;PT_First,0,1+INT((BN140-PT_First)/PT_Int)),0))-IF(AV140="FT",IF(BP140&lt;FT_First,0,IF(BP140&lt;FT_Y5,1+INT((BP140-FT_First)/FT_Int1),FT_PreY5+FT_PerYear*INT((BP140-FT_Y5)/12)+FT_AnnivDays+INT(MOD(BP140-FT_Y5,12)/FT_Int2)-IF(EDATE(AL140,FT_Y5)&lt;PolicyEff,FT_AnnivDays-1,0))),IF(AV140="PT",IF(BP140&lt;PT_First,0,1+INT((BP140-PT_First)/PT_Int)),0)),0))</f>
        <v/>
      </c>
      <c r="BR140" s="0" t="str">
        <f aca="false">IF(LEN($A140&amp;$B140)=0,"",$A140&amp;" "&amp;$B140)</f>
        <v/>
      </c>
    </row>
    <row r="141" customFormat="false" ht="15" hidden="false" customHeight="false" outlineLevel="0" collapsed="false">
      <c r="A141" s="12"/>
      <c r="B141" s="12"/>
      <c r="C141" s="12"/>
      <c r="D141" s="13"/>
      <c r="E141" s="14" t="str">
        <f aca="false">IF(OR(AK141=0,$D141=""),"",DATE(YEAR(AsOfDate)+IF(DATE(YEAR(AsOfDate),MONTH($D141),DAY($D141))&lt;=AsOfDate,1,0),MONTH($D141),DAY($D141)))</f>
        <v/>
      </c>
      <c r="F141" s="13"/>
      <c r="G141" s="13"/>
      <c r="H141" s="13"/>
      <c r="I141" s="13"/>
      <c r="J141" s="13"/>
      <c r="K141" s="14" t="str">
        <f aca="false">IF(AK141=0,"",DATE(YEAR(AsOfDate)+IF(DATE(YEAR(AsOfDate),MONTH(AL141),DAY(AL141))&lt;=AsOfDate,1,0),MONTH(AL141),DAY(AL141)))</f>
        <v/>
      </c>
      <c r="L141" s="15" t="str">
        <f aca="false">IF(AK141=0,"",ROUND((AsOfDate-AL141)/365.25,1))</f>
        <v/>
      </c>
      <c r="M141" s="16" t="str">
        <f aca="false">IF(AK141=0,"",IF(AsOfDate&lt;AL141,"-",DATEDIF(AL141,AsOfDate,"y")&amp;"y "&amp;DATEDIF(AL141,AsOfDate,"ym")&amp;"m "&amp;DATEDIF(AL141,AsOfDate,"md")&amp;"d"))</f>
        <v/>
      </c>
      <c r="N141" s="17" t="str">
        <f aca="false">IF(AK141=0,"",O141*HoursPerDay)</f>
        <v/>
      </c>
      <c r="O141" s="17" t="str">
        <f aca="false">IF(AK141=0,"",MAX(0,BD141-BQ141))</f>
        <v/>
      </c>
      <c r="P141" s="18"/>
      <c r="Q141" s="16" t="str">
        <f aca="false">IF(AK141=0,"",IF(AM141&lt;2,"",AQ141&amp;" to "&amp;AR141&amp;" on "&amp;TEXT(AO141,"dd/mm/yyyy")&amp;IF(AO141&gt;AsOfDate," (future)",IF(AT141=AU141,"",IF(AU141="None"," - STOPPED accruing",IF(AT141="None"," - commencement for Bonus Leave"," - pathway changed"))))&amp;IF(AM141&lt;3,"","; "&amp;AR141&amp;" to "&amp;AS141&amp;" on "&amp;TEXT(AP141,"dd/mm/yyyy")&amp;IF(AP141&gt;AsOfDate," (future)",IF(AU141=AV141,"",IF(AV141="None"," - STOPPED accruing",IF(AU141="None"," - commencement for Bonus Leave"," - pathway changed")))))))</f>
        <v/>
      </c>
      <c r="R141" s="16" t="str">
        <f aca="false">IF(AK141=0,"",IF(AW141="None",IF(O141&gt;0,"No longer accruing","Not eligible - "&amp;IF(AND(OR(ISNUMBER(SEARCH("part",$C141)),UPPER(TRIM($C141))="PT",UPPER(TRIM($C141))="PTE"),Apply2026="No"),"part-time (scheme is full-time only)",IF(AND(OR(ISNUMBER(SEARCH("part",$C141)),UPPER(TRIM($C141))="PT",UPPER(TRIM($C141))="PTE"),$P141&lt;&gt;"",N($P141)&lt;PT_MinHours),"under "&amp;PT_MinHours&amp;" hrs",IF(IF($C141="","",IF(OR(ISNUMBER(SEARCH("full",$C141)),UPPER(TRIM($C141))="FT",UPPER(TRIM($C141))="FTE"),"Full-Time",IF(OR(ISNUMBER(SEARCH("part",$C141)),UPPER(TRIM($C141))="PT",UPPER(TRIM($C141))="PTE"),"Part-Time",IF(OR(ISNUMBER(SEARCH("cas",$C141)),UPPER(TRIM($C141))="CAS"),"Casual","Unknown"))))="Unknown","type not recognised",$C141)))),IF(O141&gt;0,"Yes - Accrual Required","Not yet - from "&amp;TEXT(S141,"dd/mm/yyyy"))))</f>
        <v/>
      </c>
      <c r="S141" s="14" t="str">
        <f aca="false">IF(AK141=0,"",IF(AW141="None","",EDATE(AL141,BF141)))</f>
        <v/>
      </c>
      <c r="T141" s="17" t="str">
        <f aca="false">IF(AK141=0,"",IF(NOT(LH_Ready),"",IF($F141&gt;PFYDate,0,IF(LH_ColPeriod=0,W141-U141+V141,SUMIFS(INDEX(LH_Data,0,LH_ColAcc),INDEX(LH_Data,0,LH_ColFirst),$A141,INDEX(LH_Data,0,LH_ColSur),$B141,INDEX(LH_Data,0,LH_ColCat),BonusCat,INDEX(LH_Data,0,LH_ColPeriod),LH_OpenLabel)*UnitFactor))))</f>
        <v/>
      </c>
      <c r="U141" s="17" t="str">
        <f aca="false">IF(AK141=0,"",IF(NOT(LH_Ready),"",SUMIFS(INDEX(LH_Data,0,LH_ColAcc),INDEX(LH_Data,0,LH_ColFirst),$A141,INDEX(LH_Data,0,LH_ColSur),$B141,INDEX(LH_Data,0,LH_ColCat),BonusCat,INDEX(LH_Data,0,LH_ColStart),"&gt;="&amp;AL141)*UnitFactor))</f>
        <v/>
      </c>
      <c r="V141" s="17" t="str">
        <f aca="false">IF(AK141=0,"",IF(NOT(LH_Ready),"",SUMIFS(INDEX(LH_Data,0,LH_ColTaken),INDEX(LH_Data,0,LH_ColFirst),$A141,INDEX(LH_Data,0,LH_ColSur),$B141,INDEX(LH_Data,0,LH_ColCat),BonusCat,INDEX(LH_Data,0,LH_ColStart),"&gt;="&amp;AL141)*UnitFactor))</f>
        <v/>
      </c>
      <c r="W141" s="17" t="str">
        <f aca="false">IF(AK141=0,"",IF(NOT(LH_Ready),"",IF(BH141=0,0,INDEX(INDEX(LH_Data,0,LH_ColClose),BH141-1)*UnitFactor)))</f>
        <v/>
      </c>
      <c r="X141" s="17" t="str">
        <f aca="false">IF(AK141=0,"",(MAX(0,BD141-BQ141)-MAX(0,BE141-BQ141))*HoursPerDay)</f>
        <v/>
      </c>
      <c r="Y141" s="17" t="str">
        <f aca="false">IF(AK141=0,"",IF(NOT(LH_Ready),"",IF($AI141="Yes",N(AE141)*HoursPerDay-SUMIFS(INDEX(LH_Data,0,LH_ColAcc),INDEX(LH_Data,0,LH_ColFirst),$A141,INDEX(LH_Data,0,LH_ColSur),$B141,INDEX(LH_Data,0,LH_ColCat),BonusCat,INDEX(LH_Data,0,LH_ColStart),"&gt;="&amp;(EOMONTH(AsOfDate,-1)+1),INDEX(LH_Data,0,LH_ColStart),"&lt;="&amp;AsOfDate)*UnitFactor,IF(BG141=0,N141,N141-N(T141)-N(U141)))))</f>
        <v/>
      </c>
      <c r="Z141" s="16" t="str">
        <f aca="false">IF(OR(AK141=0,Y141=""),"",IF(Y141&gt;0,"Yes","No"))</f>
        <v/>
      </c>
      <c r="AA141" s="16" t="str">
        <f aca="false">IF(AK141=0,IF(LEN($A141&amp;$B141)=0,"","FIX INPUT - StartDate missing"),IF(AD141&lt;&gt;"","FIX INPUT - "&amp;AD141,IF(NOT(LH_Ready),"Paste Leave History export (Settings must show YES)",IF(AND($AI141="Yes",Y141&lt;=0),"OK - EH balance accepted to date"&amp;IF(N(AH141)&gt;0," (EH holds "&amp;AH141&amp;" hrs over the scheme)","")&amp;"; next day "&amp;TEXT(S141,"dd mmm yy")&amp;IF(N(AE141)&gt;0," ("&amp;AE141&amp;" day(s) for "&amp;UPPER(TEXT(AsOfDate,"mmm yyyy"))&amp;" already in EH)",""),IF(Y141&gt;0,"ACCRUE "&amp;ROUND(Y141,2)&amp;" hrs ("&amp;ROUND(Y141/HoursPerDay,2)&amp;" days): "&amp;IF(N(AE141)&gt;0,AE141&amp;" day(s) for "&amp;UPPER(TEXT(AsOfDate,"mmm yyyy"))&amp;" (milestone "&amp;UPPER(TEXT(AF141,"dd mmm yy"))&amp;")"&amp;IF(Y141/HoursPerDay&gt;AE141+0.001," + "&amp;ROUND(Y141/HoursPerDay-AE141,2)&amp;" day(s) catch-up from earlier months",""),"all catch-up from earlier months, nothing new this month")&amp;IF(BG141=0,"; no Bonus Leave in EH yet",""),IF(Y141&lt;0,"CHECK - EH accrued "&amp;ROUND(-Y141,2)&amp;" hrs more than policy since commencement",IF(N(W141)&gt;O141*HoursPerDay+0.01,"CHECK - EH balance "&amp;ROUND(W141-O141*HoursPerDay,2)&amp;" hrs more than policy entitlement",IF(O141&gt;0,"OK - nothing to add"&amp;IF(N(AE141)&gt;0," ("&amp;AE141&amp;" day(s) for "&amp;UPPER(TEXT(AsOfDate,"mmm yyyy"))&amp;" already in EH)",""),IF(AW141="None",R141,"Not yet - first day on "&amp;TEXT(S141,"dd/mm/yyyy"))))))))))</f>
        <v/>
      </c>
      <c r="AB141" s="17" t="str">
        <f aca="false">IF(OR(AK141=0,T141=""),"",MAX(0,BE141-BQ141)*HoursPerDay-T141)</f>
        <v/>
      </c>
      <c r="AC141" s="16" t="str">
        <f aca="false">IF(AK141=0,"",BG141)</f>
        <v/>
      </c>
      <c r="AD141" s="16" t="str">
        <f aca="false">IF(AK141=0,"",TRIM(IF(OR(ISTEXT($F141),ISTEXT($H141),ISTEXT($I141),ISTEXT($G141),ISTEXT($J141),ISTEXT($D141)),"A date is typed as text - retype it as dd/mm/yyyy. ","")&amp;IF(IF($C141="","",IF(OR(ISNUMBER(SEARCH("full",$C141)),UPPER(TRIM($C141))="FT",UPPER(TRIM($C141))="FTE"),"Full-Time",IF(OR(ISNUMBER(SEARCH("part",$C141)),UPPER(TRIM($C141))="PT",UPPER(TRIM($C141))="PTE"),"Part-Time",IF(OR(ISNUMBER(SEARCH("cas",$C141)),UPPER(TRIM($C141))="CAS"),"Casual","Unknown"))))="Unknown","EmploymentType not recognised - use Full-Time, Part-Time or Casual. ","")&amp;IF(AND(AM141&gt;=1,IF(AM141&gt;=3,AS141,IF(AM141=2,AR141,AQ141))&lt;&gt;IF($C141="","",IF(OR(ISNUMBER(SEARCH("full",$C141)),UPPER(TRIM($C141))="FT",UPPER(TRIM($C141))="FTE"),"Full-Time",IF(OR(ISNUMBER(SEARCH("part",$C141)),UPPER(TRIM($C141))="PT",UPPER(TRIM($C141))="PTE"),"Part-Time",IF(OR(ISNUMBER(SEARCH("cas",$C141)),UPPER(TRIM($C141))="CAS"),"Casual","Unknown"))))),"EmploymentType does not match latest start date ("&amp;IF(AM141&gt;=3,AS141,IF(AM141=2,AR141,AQ141))&amp;"). ","")&amp;IF(AND(AM141&gt;=1,AN141&lt;&gt;$F141),"Earliest type date should equal StartDate. ","")&amp;IF(AND(AM141&gt;=2,AN141=AO141),"Two types start on the same date. ","")&amp;IF(AND(OR(ISNUMBER(SEARCH("part",$C141)),UPPER(TRIM($C141))="PT",UPPER(TRIM($C141))="PTE"),$P141=""),"Part-time: enter PT Hrs/Week (blank = 24+). ","")))</f>
        <v/>
      </c>
      <c r="AE141" s="17" t="str">
        <f aca="false">IF(AK141=0,"",O141-MAX(0,BL141-BQ141))</f>
        <v/>
      </c>
      <c r="AF141" s="14" t="str">
        <f aca="false">IF(OR(AK141=0,AE141="",N(AE141)=0,BM141=""),"",EDATE(AL141,BM141))</f>
        <v/>
      </c>
      <c r="AG141" s="17" t="str">
        <f aca="false">IF(AK141=0,"",MIN(BD141,BQ141))</f>
        <v/>
      </c>
      <c r="AH141" s="17" t="str">
        <f aca="false">IF(AK141=0,"",IF(NOT(LH_Ready),"",IF(BG141=0,0,MAX(0,ROUND(N(T141)+N(U141)-N141,2)))))</f>
        <v/>
      </c>
      <c r="AI141" s="12"/>
      <c r="AJ141" s="12"/>
      <c r="AK141" s="16" t="n">
        <f aca="false">IF(OR(LEN($A141&amp;$B141)=0,$F141=""),0,1)</f>
        <v>0</v>
      </c>
      <c r="AL141" s="14" t="str">
        <f aca="false">IF(AK141=0,"",IF(PreSchemeCounts="No",MAX(SchemeStart,IF($J141&lt;&gt;"",$J141,IF(OR(CasualCounts="Yes",COUNT($G141:$I141)=0),$F141,IF(Apply2026="No",IF($I141="",$F141,$I141),IF(COUNT($H141:$I141)=0,$F141,MIN($H141:$I141)))))),IF($J141&lt;&gt;"",$J141,IF(OR(CasualCounts="Yes",COUNT($G141:$I141)=0),$F141,IF(Apply2026="No",IF($I141="",$F141,$I141),IF(COUNT($H141:$I141)=0,$F141,MIN($H141:$I141)))))))</f>
        <v/>
      </c>
      <c r="AM141" s="16" t="str">
        <f aca="false">IF(AK141=0,"",COUNT($G141:$I141))</f>
        <v/>
      </c>
      <c r="AN141" s="14" t="str">
        <f aca="false">IF(AK141=0,"",IFERROR(SMALL($G141:$I141,1),""))</f>
        <v/>
      </c>
      <c r="AO141" s="14" t="str">
        <f aca="false">IF(AK141=0,"",IFERROR(SMALL($G141:$I141,2),""))</f>
        <v/>
      </c>
      <c r="AP141" s="14" t="str">
        <f aca="false">IF(AK141=0,"",IFERROR(SMALL($G141:$I141,3),""))</f>
        <v/>
      </c>
      <c r="AQ141" s="16" t="str">
        <f aca="false">IF(AK141=0,"",IF(AN141="","",IF(AN141=$H141,"Part-Time",IF(AN141=$I141,"Full-Time","Casual"))))</f>
        <v/>
      </c>
      <c r="AR141" s="16" t="str">
        <f aca="false">IF(AK141=0,"",IF(AO141="","",IF(AO141=$H141,"Part-Time",IF(AO141=$I141,"Full-Time","Casual"))))</f>
        <v/>
      </c>
      <c r="AS141" s="16" t="str">
        <f aca="false">IF(AK141=0,"",IF(AP141="","",IF(AP141=$H141,"Part-Time",IF(AP141=$I141,"Full-Time","Casual"))))</f>
        <v/>
      </c>
      <c r="AT141" s="16" t="str">
        <f aca="false">IF(AK141=0,"",IF(AM141=0,IF(OR(ISNUMBER(SEARCH("full",$C141)),UPPER(TRIM($C141))="FT",UPPER(TRIM($C141))="FTE"),"FT",IF(AND(OR(ISNUMBER(SEARCH("part",$C141)),UPPER(TRIM($C141))="PT",UPPER(TRIM($C141))="PTE"),Apply2026="Yes",OR($P141="",N($P141)&gt;=PT_MinHours)),"PT","None")),IF(OR(ISNUMBER(SEARCH("full",AQ141)),UPPER(TRIM(AQ141))="FT",UPPER(TRIM(AQ141))="FTE"),"FT",IF(AND(OR(ISNUMBER(SEARCH("part",AQ141)),UPPER(TRIM(AQ141))="PT",UPPER(TRIM(AQ141))="PTE"),Apply2026="Yes",OR($P141="",N($P141)&gt;=PT_MinHours)),"PT","None"))))</f>
        <v/>
      </c>
      <c r="AU141" s="16" t="str">
        <f aca="false">IF(AK141=0,"",IF(AM141&lt;2,"",IF(OR(ISNUMBER(SEARCH("full",AR141)),UPPER(TRIM(AR141))="FT",UPPER(TRIM(AR141))="FTE"),"FT",IF(AND(OR(ISNUMBER(SEARCH("part",AR141)),UPPER(TRIM(AR141))="PT",UPPER(TRIM(AR141))="PTE"),Apply2026="Yes",OR($P141="",N($P141)&gt;=PT_MinHours)),"PT","None"))))</f>
        <v/>
      </c>
      <c r="AV141" s="16" t="str">
        <f aca="false">IF(AK141=0,"",IF(AM141&lt;3,"",IF(OR(ISNUMBER(SEARCH("full",AS141)),UPPER(TRIM(AS141))="FT",UPPER(TRIM(AS141))="FTE"),"FT",IF(AND(OR(ISNUMBER(SEARCH("part",AS141)),UPPER(TRIM(AS141))="PT",UPPER(TRIM(AS141))="PTE"),Apply2026="Yes",OR($P141="",N($P141)&gt;=PT_MinHours)),"PT","None"))))</f>
        <v/>
      </c>
      <c r="AW141" s="16" t="str">
        <f aca="false">IF(AK141=0,"",IF(AND(AM141&gt;=3,AP141&lt;=AsOfDate),AV141,IF(AND(AM141&gt;=2,AO141&lt;=AsOfDate),AU141,AT141)))</f>
        <v/>
      </c>
      <c r="AX141" s="16" t="str">
        <f aca="false">IF(AK141=0,"",IF(AsOfDate&lt;AL141,-1,12*(YEAR(AsOfDate)-YEAR(AL141))+MONTH(AsOfDate)-MONTH(AL141)-IF(DAY(AsOfDate)&lt;MIN(DAY(AL141),DAY(EOMONTH(AsOfDate,0))),1,0)))</f>
        <v/>
      </c>
      <c r="AY141" s="16" t="str">
        <f aca="false">IF(AK141=0,"",IF(OR(AM141&lt;2,AO141&gt;AsOfDate),AX141,IF((AO141-1)&lt;AL141,-1,12*(YEAR((AO141-1))-YEAR(AL141))+MONTH((AO141-1))-MONTH(AL141)-IF(DAY((AO141-1))&lt;MIN(DAY(AL141),DAY(EOMONTH((AO141-1),0))),1,0))))</f>
        <v/>
      </c>
      <c r="AZ141" s="16" t="str">
        <f aca="false">IF(AK141=0,"",IF(OR(AM141&lt;3,AP141&gt;AsOfDate),AX141,IF((AP141-1)&lt;AL141,-1,12*(YEAR((AP141-1))-YEAR(AL141))+MONTH((AP141-1))-MONTH(AL141)-IF(DAY((AP141-1))&lt;MIN(DAY(AL141),DAY(EOMONTH((AP141-1),0))),1,0))))</f>
        <v/>
      </c>
      <c r="BA141" s="16" t="str">
        <f aca="false">IF(AK141=0,"",IF(PFYDate&lt;AL141,-1,12*(YEAR(PFYDate)-YEAR(AL141))+MONTH(PFYDate)-MONTH(AL141)-IF(DAY(PFYDate)&lt;MIN(DAY(AL141),DAY(EOMONTH(PFYDate,0))),1,0)))</f>
        <v/>
      </c>
      <c r="BB141" s="16" t="str">
        <f aca="false">IF(AK141=0,"",IF(OR(AM141&lt;2,AO141&gt;PFYDate),BA141,IF((AO141-1)&lt;AL141,-1,12*(YEAR((AO141-1))-YEAR(AL141))+MONTH((AO141-1))-MONTH(AL141)-IF(DAY((AO141-1))&lt;MIN(DAY(AL141),DAY(EOMONTH((AO141-1),0))),1,0))))</f>
        <v/>
      </c>
      <c r="BC141" s="16" t="str">
        <f aca="false">IF(AK141=0,"",IF(OR(AM141&lt;3,AP141&gt;PFYDate),BA141,IF((AP141-1)&lt;AL141,-1,12*(YEAR((AP141-1))-YEAR(AL141))+MONTH((AP141-1))-MONTH(AL141)-IF(DAY((AP141-1))&lt;MIN(DAY(AL141),DAY(EOMONTH((AP141-1),0))),1,0))))</f>
        <v/>
      </c>
      <c r="BD141" s="16" t="str">
        <f aca="false">IF(AK141=0,"",IF(AT141="FT",IF(AY141&lt;FT_First,0,IF(AY141&lt;FT_Y5,1+INT((AY141-FT_First)/FT_Int1),FT_PreY5+FT_PerYear*INT((AY141-FT_Y5)/12)+FT_AnnivDays+INT(MOD(AY141-FT_Y5,12)/FT_Int2)-IF(EDATE(AL141,FT_Y5)&lt;PolicyEff,FT_AnnivDays-1,0))),IF(AT141="PT",IF(AY141&lt;PT_First,0,1+INT((AY141-PT_First)/PT_Int)),0))+IF(AND(AM141&gt;=2,AO141&lt;=AsOfDate),IF(AU141="FT",IF(AZ141&lt;FT_First,0,IF(AZ141&lt;FT_Y5,1+INT((AZ141-FT_First)/FT_Int1),FT_PreY5+FT_PerYear*INT((AZ141-FT_Y5)/12)+FT_AnnivDays+INT(MOD(AZ141-FT_Y5,12)/FT_Int2)-IF(EDATE(AL141,FT_Y5)&lt;PolicyEff,FT_AnnivDays-1,0))),IF(AU141="PT",IF(AZ141&lt;PT_First,0,1+INT((AZ141-PT_First)/PT_Int)),0))-IF(AU141="FT",IF(AY141&lt;FT_First,0,IF(AY141&lt;FT_Y5,1+INT((AY141-FT_First)/FT_Int1),FT_PreY5+FT_PerYear*INT((AY141-FT_Y5)/12)+FT_AnnivDays+INT(MOD(AY141-FT_Y5,12)/FT_Int2)-IF(EDATE(AL141,FT_Y5)&lt;PolicyEff,FT_AnnivDays-1,0))),IF(AU141="PT",IF(AY141&lt;PT_First,0,1+INT((AY141-PT_First)/PT_Int)),0)),0)+IF(AND(AM141&gt;=3,AP141&lt;=AsOfDate),IF(AV141="FT",IF(AX141&lt;FT_First,0,IF(AX141&lt;FT_Y5,1+INT((AX141-FT_First)/FT_Int1),FT_PreY5+FT_PerYear*INT((AX141-FT_Y5)/12)+FT_AnnivDays+INT(MOD(AX141-FT_Y5,12)/FT_Int2)-IF(EDATE(AL141,FT_Y5)&lt;PolicyEff,FT_AnnivDays-1,0))),IF(AV141="PT",IF(AX141&lt;PT_First,0,1+INT((AX141-PT_First)/PT_Int)),0))-IF(AV141="FT",IF(AZ141&lt;FT_First,0,IF(AZ141&lt;FT_Y5,1+INT((AZ141-FT_First)/FT_Int1),FT_PreY5+FT_PerYear*INT((AZ141-FT_Y5)/12)+FT_AnnivDays+INT(MOD(AZ141-FT_Y5,12)/FT_Int2)-IF(EDATE(AL141,FT_Y5)&lt;PolicyEff,FT_AnnivDays-1,0))),IF(AV141="PT",IF(AZ141&lt;PT_First,0,1+INT((AZ141-PT_First)/PT_Int)),0)),0))</f>
        <v/>
      </c>
      <c r="BE141" s="16" t="str">
        <f aca="false">IF(AK141=0,"",IF(AT141="FT",IF(BB141&lt;FT_First,0,IF(BB141&lt;FT_Y5,1+INT((BB141-FT_First)/FT_Int1),FT_PreY5+FT_PerYear*INT((BB141-FT_Y5)/12)+FT_AnnivDays+INT(MOD(BB141-FT_Y5,12)/FT_Int2)-IF(EDATE(AL141,FT_Y5)&lt;PolicyEff,FT_AnnivDays-1,0))),IF(AT141="PT",IF(BB141&lt;PT_First,0,1+INT((BB141-PT_First)/PT_Int)),0))+IF(AND(AM141&gt;=2,AO141&lt;=PFYDate),IF(AU141="FT",IF(BC141&lt;FT_First,0,IF(BC141&lt;FT_Y5,1+INT((BC141-FT_First)/FT_Int1),FT_PreY5+FT_PerYear*INT((BC141-FT_Y5)/12)+FT_AnnivDays+INT(MOD(BC141-FT_Y5,12)/FT_Int2)-IF(EDATE(AL141,FT_Y5)&lt;PolicyEff,FT_AnnivDays-1,0))),IF(AU141="PT",IF(BC141&lt;PT_First,0,1+INT((BC141-PT_First)/PT_Int)),0))-IF(AU141="FT",IF(BB141&lt;FT_First,0,IF(BB141&lt;FT_Y5,1+INT((BB141-FT_First)/FT_Int1),FT_PreY5+FT_PerYear*INT((BB141-FT_Y5)/12)+FT_AnnivDays+INT(MOD(BB141-FT_Y5,12)/FT_Int2)-IF(EDATE(AL141,FT_Y5)&lt;PolicyEff,FT_AnnivDays-1,0))),IF(AU141="PT",IF(BB141&lt;PT_First,0,1+INT((BB141-PT_First)/PT_Int)),0)),0)+IF(AND(AM141&gt;=3,AP141&lt;=PFYDate),IF(AV141="FT",IF(BA141&lt;FT_First,0,IF(BA141&lt;FT_Y5,1+INT((BA141-FT_First)/FT_Int1),FT_PreY5+FT_PerYear*INT((BA141-FT_Y5)/12)+FT_AnnivDays+INT(MOD(BA141-FT_Y5,12)/FT_Int2)-IF(EDATE(AL141,FT_Y5)&lt;PolicyEff,FT_AnnivDays-1,0))),IF(AV141="PT",IF(BA141&lt;PT_First,0,1+INT((BA141-PT_First)/PT_Int)),0))-IF(AV141="FT",IF(BC141&lt;FT_First,0,IF(BC141&lt;FT_Y5,1+INT((BC141-FT_First)/FT_Int1),FT_PreY5+FT_PerYear*INT((BC141-FT_Y5)/12)+FT_AnnivDays+INT(MOD(BC141-FT_Y5,12)/FT_Int2)-IF(EDATE(AL141,FT_Y5)&lt;PolicyEff,FT_AnnivDays-1,0))),IF(AV141="PT",IF(BC141&lt;PT_First,0,1+INT((BC141-PT_First)/PT_Int)),0)),0))</f>
        <v/>
      </c>
      <c r="BF141" s="16" t="str">
        <f aca="false">IF(AK141=0,"",IF(AW141="FT",IF(AX141&lt;FT_First,FT_First,IF(AX141&lt;FT_Y5,MIN(FT_Y5,FT_First+FT_Int1*(INT((AX141-FT_First)/FT_Int1)+1)),FT_Y5+12*INT((AX141-FT_Y5)/12)+FT_Int2*(INT(MOD(AX141-FT_Y5,12)/FT_Int2)+1))),IF(AW141="PT",IF(AX141&lt;PT_First,PT_First,PT_First+PT_Int*(INT((AX141-PT_First)/PT_Int)+1)),"")))</f>
        <v/>
      </c>
      <c r="BG141" s="16" t="str">
        <f aca="false">IF(AK141=0,"",IF(NOT(LH_Ready),0,COUNTIFS(INDEX(LH_Data,0,LH_ColFirst),$A141,INDEX(LH_Data,0,LH_ColSur),$B141,INDEX(LH_Data,0,LH_ColCat),BonusCat)))</f>
        <v/>
      </c>
      <c r="BH141" s="16" t="str">
        <f aca="false">IF(AK141=0,"",IF(OR(NOT(LH_Ready),BG141=0),0,SUMPRODUCT(MAX((INDEX(LH_Data,0,LH_ColFirst)=$A141)*(INDEX(LH_Data,0,LH_ColSur)=$B141)*(INDEX(LH_Data,0,LH_ColCat)=BonusCat)*ROW(LH_Data)))))</f>
        <v/>
      </c>
      <c r="BI141" s="16" t="str">
        <f aca="false">IF(AK141=0,"",IF(EOMONTH(AsOfDate,-1)&lt;AL141,-1,12*(YEAR(EOMONTH(AsOfDate,-1))-YEAR(AL141))+MONTH(EOMONTH(AsOfDate,-1))-MONTH(AL141)-IF(DAY(EOMONTH(AsOfDate,-1))&lt;MIN(DAY(AL141),DAY(EOMONTH(EOMONTH(AsOfDate,-1),0))),1,0)))</f>
        <v/>
      </c>
      <c r="BJ141" s="16" t="str">
        <f aca="false">IF(AK141=0,"",IF(OR(AM141&lt;2,AO141&gt;EOMONTH(AsOfDate,-1)),BI141,IF((AO141-1)&lt;AL141,-1,12*(YEAR((AO141-1))-YEAR(AL141))+MONTH((AO141-1))-MONTH(AL141)-IF(DAY((AO141-1))&lt;MIN(DAY(AL141),DAY(EOMONTH((AO141-1),0))),1,0))))</f>
        <v/>
      </c>
      <c r="BK141" s="16" t="str">
        <f aca="false">IF(AK141=0,"",IF(OR(AM141&lt;3,AP141&gt;EOMONTH(AsOfDate,-1)),BI141,IF((AP141-1)&lt;AL141,-1,12*(YEAR((AP141-1))-YEAR(AL141))+MONTH((AP141-1))-MONTH(AL141)-IF(DAY((AP141-1))&lt;MIN(DAY(AL141),DAY(EOMONTH((AP141-1),0))),1,0))))</f>
        <v/>
      </c>
      <c r="BL141" s="16" t="str">
        <f aca="false">IF(AK141=0,"",IF(AT141="FT",IF(BJ141&lt;FT_First,0,IF(BJ141&lt;FT_Y5,1+INT((BJ141-FT_First)/FT_Int1),FT_PreY5+FT_PerYear*INT((BJ141-FT_Y5)/12)+FT_AnnivDays+INT(MOD(BJ141-FT_Y5,12)/FT_Int2)-IF(EDATE(AL141,FT_Y5)&lt;PolicyEff,FT_AnnivDays-1,0))),IF(AT141="PT",IF(BJ141&lt;PT_First,0,1+INT((BJ141-PT_First)/PT_Int)),0))+IF(AND(AM141&gt;=2,AO141&lt;=EOMONTH(AsOfDate,-1)),IF(AU141="FT",IF(BK141&lt;FT_First,0,IF(BK141&lt;FT_Y5,1+INT((BK141-FT_First)/FT_Int1),FT_PreY5+FT_PerYear*INT((BK141-FT_Y5)/12)+FT_AnnivDays+INT(MOD(BK141-FT_Y5,12)/FT_Int2)-IF(EDATE(AL141,FT_Y5)&lt;PolicyEff,FT_AnnivDays-1,0))),IF(AU141="PT",IF(BK141&lt;PT_First,0,1+INT((BK141-PT_First)/PT_Int)),0))-IF(AU141="FT",IF(BJ141&lt;FT_First,0,IF(BJ141&lt;FT_Y5,1+INT((BJ141-FT_First)/FT_Int1),FT_PreY5+FT_PerYear*INT((BJ141-FT_Y5)/12)+FT_AnnivDays+INT(MOD(BJ141-FT_Y5,12)/FT_Int2)-IF(EDATE(AL141,FT_Y5)&lt;PolicyEff,FT_AnnivDays-1,0))),IF(AU141="PT",IF(BJ141&lt;PT_First,0,1+INT((BJ141-PT_First)/PT_Int)),0)),0)+IF(AND(AM141&gt;=3,AP141&lt;=EOMONTH(AsOfDate,-1)),IF(AV141="FT",IF(BI141&lt;FT_First,0,IF(BI141&lt;FT_Y5,1+INT((BI141-FT_First)/FT_Int1),FT_PreY5+FT_PerYear*INT((BI141-FT_Y5)/12)+FT_AnnivDays+INT(MOD(BI141-FT_Y5,12)/FT_Int2)-IF(EDATE(AL141,FT_Y5)&lt;PolicyEff,FT_AnnivDays-1,0))),IF(AV141="PT",IF(BI141&lt;PT_First,0,1+INT((BI141-PT_First)/PT_Int)),0))-IF(AV141="FT",IF(BK141&lt;FT_First,0,IF(BK141&lt;FT_Y5,1+INT((BK141-FT_First)/FT_Int1),FT_PreY5+FT_PerYear*INT((BK141-FT_Y5)/12)+FT_AnnivDays+INT(MOD(BK141-FT_Y5,12)/FT_Int2)-IF(EDATE(AL141,FT_Y5)&lt;PolicyEff,FT_AnnivDays-1,0))),IF(AV141="PT",IF(BK141&lt;PT_First,0,1+INT((BK141-PT_First)/PT_Int)),0)),0))</f>
        <v/>
      </c>
      <c r="BM141" s="16" t="str">
        <f aca="false">IF(AK141=0,"",IF(AW141="FT",IF(AX141&lt;FT_First,"",IF(AX141&lt;FT_Y5,FT_First+FT_Int1*INT((AX141-FT_First)/FT_Int1),FT_Y5+FT_Int2*INT((AX141-FT_Y5)/FT_Int2))),IF(AW141="PT",IF(AX141&lt;PT_First,"",PT_First+PT_Int*INT((AX141-PT_First)/PT_Int)),"")))</f>
        <v/>
      </c>
      <c r="BN141" s="16" t="str">
        <f aca="false">IF(AK141=0,"",IF((SchemeStart-1)&lt;AL141,-1,12*(YEAR((SchemeStart-1))-YEAR(AL141))+MONTH((SchemeStart-1))-MONTH(AL141)-IF(DAY((SchemeStart-1))&lt;MIN(DAY(AL141),DAY(EOMONTH((SchemeStart-1),0))),1,0)))</f>
        <v/>
      </c>
      <c r="BO141" s="16" t="str">
        <f aca="false">IF(AK141=0,"",IF(OR(AM141&lt;2,AO141&gt;(SchemeStart-1)),BN141,IF((AO141-1)&lt;AL141,-1,12*(YEAR((AO141-1))-YEAR(AL141))+MONTH((AO141-1))-MONTH(AL141)-IF(DAY((AO141-1))&lt;MIN(DAY(AL141),DAY(EOMONTH((AO141-1),0))),1,0))))</f>
        <v/>
      </c>
      <c r="BP141" s="16" t="str">
        <f aca="false">IF(AK141=0,"",IF(OR(AM141&lt;3,AP141&gt;(SchemeStart-1)),BN141,IF((AP141-1)&lt;AL141,-1,12*(YEAR((AP141-1))-YEAR(AL141))+MONTH((AP141-1))-MONTH(AL141)-IF(DAY((AP141-1))&lt;MIN(DAY(AL141),DAY(EOMONTH((AP141-1),0))),1,0))))</f>
        <v/>
      </c>
      <c r="BQ141" s="16" t="str">
        <f aca="false">IF(AK141=0,"",IF(AT141="FT",IF(BO141&lt;FT_First,0,IF(BO141&lt;FT_Y5,1+INT((BO141-FT_First)/FT_Int1),FT_PreY5+FT_PerYear*INT((BO141-FT_Y5)/12)+FT_AnnivDays+INT(MOD(BO141-FT_Y5,12)/FT_Int2)-IF(EDATE(AL141,FT_Y5)&lt;PolicyEff,FT_AnnivDays-1,0))),IF(AT141="PT",IF(BO141&lt;PT_First,0,1+INT((BO141-PT_First)/PT_Int)),0))+IF(AND(AM141&gt;=2,AO141&lt;=(SchemeStart-1)),IF(AU141="FT",IF(BP141&lt;FT_First,0,IF(BP141&lt;FT_Y5,1+INT((BP141-FT_First)/FT_Int1),FT_PreY5+FT_PerYear*INT((BP141-FT_Y5)/12)+FT_AnnivDays+INT(MOD(BP141-FT_Y5,12)/FT_Int2)-IF(EDATE(AL141,FT_Y5)&lt;PolicyEff,FT_AnnivDays-1,0))),IF(AU141="PT",IF(BP141&lt;PT_First,0,1+INT((BP141-PT_First)/PT_Int)),0))-IF(AU141="FT",IF(BO141&lt;FT_First,0,IF(BO141&lt;FT_Y5,1+INT((BO141-FT_First)/FT_Int1),FT_PreY5+FT_PerYear*INT((BO141-FT_Y5)/12)+FT_AnnivDays+INT(MOD(BO141-FT_Y5,12)/FT_Int2)-IF(EDATE(AL141,FT_Y5)&lt;PolicyEff,FT_AnnivDays-1,0))),IF(AU141="PT",IF(BO141&lt;PT_First,0,1+INT((BO141-PT_First)/PT_Int)),0)),0)+IF(AND(AM141&gt;=3,AP141&lt;=(SchemeStart-1)),IF(AV141="FT",IF(BN141&lt;FT_First,0,IF(BN141&lt;FT_Y5,1+INT((BN141-FT_First)/FT_Int1),FT_PreY5+FT_PerYear*INT((BN141-FT_Y5)/12)+FT_AnnivDays+INT(MOD(BN141-FT_Y5,12)/FT_Int2)-IF(EDATE(AL141,FT_Y5)&lt;PolicyEff,FT_AnnivDays-1,0))),IF(AV141="PT",IF(BN141&lt;PT_First,0,1+INT((BN141-PT_First)/PT_Int)),0))-IF(AV141="FT",IF(BP141&lt;FT_First,0,IF(BP141&lt;FT_Y5,1+INT((BP141-FT_First)/FT_Int1),FT_PreY5+FT_PerYear*INT((BP141-FT_Y5)/12)+FT_AnnivDays+INT(MOD(BP141-FT_Y5,12)/FT_Int2)-IF(EDATE(AL141,FT_Y5)&lt;PolicyEff,FT_AnnivDays-1,0))),IF(AV141="PT",IF(BP141&lt;PT_First,0,1+INT((BP141-PT_First)/PT_Int)),0)),0))</f>
        <v/>
      </c>
      <c r="BR141" s="0" t="str">
        <f aca="false">IF(LEN($A141&amp;$B141)=0,"",$A141&amp;" "&amp;$B141)</f>
        <v/>
      </c>
    </row>
    <row r="142" customFormat="false" ht="15" hidden="false" customHeight="false" outlineLevel="0" collapsed="false">
      <c r="A142" s="12"/>
      <c r="B142" s="12"/>
      <c r="C142" s="12"/>
      <c r="D142" s="13"/>
      <c r="E142" s="14" t="str">
        <f aca="false">IF(OR(AK142=0,$D142=""),"",DATE(YEAR(AsOfDate)+IF(DATE(YEAR(AsOfDate),MONTH($D142),DAY($D142))&lt;=AsOfDate,1,0),MONTH($D142),DAY($D142)))</f>
        <v/>
      </c>
      <c r="F142" s="13"/>
      <c r="G142" s="13"/>
      <c r="H142" s="13"/>
      <c r="I142" s="13"/>
      <c r="J142" s="13"/>
      <c r="K142" s="14" t="str">
        <f aca="false">IF(AK142=0,"",DATE(YEAR(AsOfDate)+IF(DATE(YEAR(AsOfDate),MONTH(AL142),DAY(AL142))&lt;=AsOfDate,1,0),MONTH(AL142),DAY(AL142)))</f>
        <v/>
      </c>
      <c r="L142" s="15" t="str">
        <f aca="false">IF(AK142=0,"",ROUND((AsOfDate-AL142)/365.25,1))</f>
        <v/>
      </c>
      <c r="M142" s="16" t="str">
        <f aca="false">IF(AK142=0,"",IF(AsOfDate&lt;AL142,"-",DATEDIF(AL142,AsOfDate,"y")&amp;"y "&amp;DATEDIF(AL142,AsOfDate,"ym")&amp;"m "&amp;DATEDIF(AL142,AsOfDate,"md")&amp;"d"))</f>
        <v/>
      </c>
      <c r="N142" s="17" t="str">
        <f aca="false">IF(AK142=0,"",O142*HoursPerDay)</f>
        <v/>
      </c>
      <c r="O142" s="17" t="str">
        <f aca="false">IF(AK142=0,"",MAX(0,BD142-BQ142))</f>
        <v/>
      </c>
      <c r="P142" s="18"/>
      <c r="Q142" s="16" t="str">
        <f aca="false">IF(AK142=0,"",IF(AM142&lt;2,"",AQ142&amp;" to "&amp;AR142&amp;" on "&amp;TEXT(AO142,"dd/mm/yyyy")&amp;IF(AO142&gt;AsOfDate," (future)",IF(AT142=AU142,"",IF(AU142="None"," - STOPPED accruing",IF(AT142="None"," - commencement for Bonus Leave"," - pathway changed"))))&amp;IF(AM142&lt;3,"","; "&amp;AR142&amp;" to "&amp;AS142&amp;" on "&amp;TEXT(AP142,"dd/mm/yyyy")&amp;IF(AP142&gt;AsOfDate," (future)",IF(AU142=AV142,"",IF(AV142="None"," - STOPPED accruing",IF(AU142="None"," - commencement for Bonus Leave"," - pathway changed")))))))</f>
        <v/>
      </c>
      <c r="R142" s="16" t="str">
        <f aca="false">IF(AK142=0,"",IF(AW142="None",IF(O142&gt;0,"No longer accruing","Not eligible - "&amp;IF(AND(OR(ISNUMBER(SEARCH("part",$C142)),UPPER(TRIM($C142))="PT",UPPER(TRIM($C142))="PTE"),Apply2026="No"),"part-time (scheme is full-time only)",IF(AND(OR(ISNUMBER(SEARCH("part",$C142)),UPPER(TRIM($C142))="PT",UPPER(TRIM($C142))="PTE"),$P142&lt;&gt;"",N($P142)&lt;PT_MinHours),"under "&amp;PT_MinHours&amp;" hrs",IF(IF($C142="","",IF(OR(ISNUMBER(SEARCH("full",$C142)),UPPER(TRIM($C142))="FT",UPPER(TRIM($C142))="FTE"),"Full-Time",IF(OR(ISNUMBER(SEARCH("part",$C142)),UPPER(TRIM($C142))="PT",UPPER(TRIM($C142))="PTE"),"Part-Time",IF(OR(ISNUMBER(SEARCH("cas",$C142)),UPPER(TRIM($C142))="CAS"),"Casual","Unknown"))))="Unknown","type not recognised",$C142)))),IF(O142&gt;0,"Yes - Accrual Required","Not yet - from "&amp;TEXT(S142,"dd/mm/yyyy"))))</f>
        <v/>
      </c>
      <c r="S142" s="14" t="str">
        <f aca="false">IF(AK142=0,"",IF(AW142="None","",EDATE(AL142,BF142)))</f>
        <v/>
      </c>
      <c r="T142" s="17" t="str">
        <f aca="false">IF(AK142=0,"",IF(NOT(LH_Ready),"",IF($F142&gt;PFYDate,0,IF(LH_ColPeriod=0,W142-U142+V142,SUMIFS(INDEX(LH_Data,0,LH_ColAcc),INDEX(LH_Data,0,LH_ColFirst),$A142,INDEX(LH_Data,0,LH_ColSur),$B142,INDEX(LH_Data,0,LH_ColCat),BonusCat,INDEX(LH_Data,0,LH_ColPeriod),LH_OpenLabel)*UnitFactor))))</f>
        <v/>
      </c>
      <c r="U142" s="17" t="str">
        <f aca="false">IF(AK142=0,"",IF(NOT(LH_Ready),"",SUMIFS(INDEX(LH_Data,0,LH_ColAcc),INDEX(LH_Data,0,LH_ColFirst),$A142,INDEX(LH_Data,0,LH_ColSur),$B142,INDEX(LH_Data,0,LH_ColCat),BonusCat,INDEX(LH_Data,0,LH_ColStart),"&gt;="&amp;AL142)*UnitFactor))</f>
        <v/>
      </c>
      <c r="V142" s="17" t="str">
        <f aca="false">IF(AK142=0,"",IF(NOT(LH_Ready),"",SUMIFS(INDEX(LH_Data,0,LH_ColTaken),INDEX(LH_Data,0,LH_ColFirst),$A142,INDEX(LH_Data,0,LH_ColSur),$B142,INDEX(LH_Data,0,LH_ColCat),BonusCat,INDEX(LH_Data,0,LH_ColStart),"&gt;="&amp;AL142)*UnitFactor))</f>
        <v/>
      </c>
      <c r="W142" s="17" t="str">
        <f aca="false">IF(AK142=0,"",IF(NOT(LH_Ready),"",IF(BH142=0,0,INDEX(INDEX(LH_Data,0,LH_ColClose),BH142-1)*UnitFactor)))</f>
        <v/>
      </c>
      <c r="X142" s="17" t="str">
        <f aca="false">IF(AK142=0,"",(MAX(0,BD142-BQ142)-MAX(0,BE142-BQ142))*HoursPerDay)</f>
        <v/>
      </c>
      <c r="Y142" s="17" t="str">
        <f aca="false">IF(AK142=0,"",IF(NOT(LH_Ready),"",IF($AI142="Yes",N(AE142)*HoursPerDay-SUMIFS(INDEX(LH_Data,0,LH_ColAcc),INDEX(LH_Data,0,LH_ColFirst),$A142,INDEX(LH_Data,0,LH_ColSur),$B142,INDEX(LH_Data,0,LH_ColCat),BonusCat,INDEX(LH_Data,0,LH_ColStart),"&gt;="&amp;(EOMONTH(AsOfDate,-1)+1),INDEX(LH_Data,0,LH_ColStart),"&lt;="&amp;AsOfDate)*UnitFactor,IF(BG142=0,N142,N142-N(T142)-N(U142)))))</f>
        <v/>
      </c>
      <c r="Z142" s="16" t="str">
        <f aca="false">IF(OR(AK142=0,Y142=""),"",IF(Y142&gt;0,"Yes","No"))</f>
        <v/>
      </c>
      <c r="AA142" s="16" t="str">
        <f aca="false">IF(AK142=0,IF(LEN($A142&amp;$B142)=0,"","FIX INPUT - StartDate missing"),IF(AD142&lt;&gt;"","FIX INPUT - "&amp;AD142,IF(NOT(LH_Ready),"Paste Leave History export (Settings must show YES)",IF(AND($AI142="Yes",Y142&lt;=0),"OK - EH balance accepted to date"&amp;IF(N(AH142)&gt;0," (EH holds "&amp;AH142&amp;" hrs over the scheme)","")&amp;"; next day "&amp;TEXT(S142,"dd mmm yy")&amp;IF(N(AE142)&gt;0," ("&amp;AE142&amp;" day(s) for "&amp;UPPER(TEXT(AsOfDate,"mmm yyyy"))&amp;" already in EH)",""),IF(Y142&gt;0,"ACCRUE "&amp;ROUND(Y142,2)&amp;" hrs ("&amp;ROUND(Y142/HoursPerDay,2)&amp;" days): "&amp;IF(N(AE142)&gt;0,AE142&amp;" day(s) for "&amp;UPPER(TEXT(AsOfDate,"mmm yyyy"))&amp;" (milestone "&amp;UPPER(TEXT(AF142,"dd mmm yy"))&amp;")"&amp;IF(Y142/HoursPerDay&gt;AE142+0.001," + "&amp;ROUND(Y142/HoursPerDay-AE142,2)&amp;" day(s) catch-up from earlier months",""),"all catch-up from earlier months, nothing new this month")&amp;IF(BG142=0,"; no Bonus Leave in EH yet",""),IF(Y142&lt;0,"CHECK - EH accrued "&amp;ROUND(-Y142,2)&amp;" hrs more than policy since commencement",IF(N(W142)&gt;O142*HoursPerDay+0.01,"CHECK - EH balance "&amp;ROUND(W142-O142*HoursPerDay,2)&amp;" hrs more than policy entitlement",IF(O142&gt;0,"OK - nothing to add"&amp;IF(N(AE142)&gt;0," ("&amp;AE142&amp;" day(s) for "&amp;UPPER(TEXT(AsOfDate,"mmm yyyy"))&amp;" already in EH)",""),IF(AW142="None",R142,"Not yet - first day on "&amp;TEXT(S142,"dd/mm/yyyy"))))))))))</f>
        <v/>
      </c>
      <c r="AB142" s="17" t="str">
        <f aca="false">IF(OR(AK142=0,T142=""),"",MAX(0,BE142-BQ142)*HoursPerDay-T142)</f>
        <v/>
      </c>
      <c r="AC142" s="16" t="str">
        <f aca="false">IF(AK142=0,"",BG142)</f>
        <v/>
      </c>
      <c r="AD142" s="16" t="str">
        <f aca="false">IF(AK142=0,"",TRIM(IF(OR(ISTEXT($F142),ISTEXT($H142),ISTEXT($I142),ISTEXT($G142),ISTEXT($J142),ISTEXT($D142)),"A date is typed as text - retype it as dd/mm/yyyy. ","")&amp;IF(IF($C142="","",IF(OR(ISNUMBER(SEARCH("full",$C142)),UPPER(TRIM($C142))="FT",UPPER(TRIM($C142))="FTE"),"Full-Time",IF(OR(ISNUMBER(SEARCH("part",$C142)),UPPER(TRIM($C142))="PT",UPPER(TRIM($C142))="PTE"),"Part-Time",IF(OR(ISNUMBER(SEARCH("cas",$C142)),UPPER(TRIM($C142))="CAS"),"Casual","Unknown"))))="Unknown","EmploymentType not recognised - use Full-Time, Part-Time or Casual. ","")&amp;IF(AND(AM142&gt;=1,IF(AM142&gt;=3,AS142,IF(AM142=2,AR142,AQ142))&lt;&gt;IF($C142="","",IF(OR(ISNUMBER(SEARCH("full",$C142)),UPPER(TRIM($C142))="FT",UPPER(TRIM($C142))="FTE"),"Full-Time",IF(OR(ISNUMBER(SEARCH("part",$C142)),UPPER(TRIM($C142))="PT",UPPER(TRIM($C142))="PTE"),"Part-Time",IF(OR(ISNUMBER(SEARCH("cas",$C142)),UPPER(TRIM($C142))="CAS"),"Casual","Unknown"))))),"EmploymentType does not match latest start date ("&amp;IF(AM142&gt;=3,AS142,IF(AM142=2,AR142,AQ142))&amp;"). ","")&amp;IF(AND(AM142&gt;=1,AN142&lt;&gt;$F142),"Earliest type date should equal StartDate. ","")&amp;IF(AND(AM142&gt;=2,AN142=AO142),"Two types start on the same date. ","")&amp;IF(AND(OR(ISNUMBER(SEARCH("part",$C142)),UPPER(TRIM($C142))="PT",UPPER(TRIM($C142))="PTE"),$P142=""),"Part-time: enter PT Hrs/Week (blank = 24+). ","")))</f>
        <v/>
      </c>
      <c r="AE142" s="17" t="str">
        <f aca="false">IF(AK142=0,"",O142-MAX(0,BL142-BQ142))</f>
        <v/>
      </c>
      <c r="AF142" s="14" t="str">
        <f aca="false">IF(OR(AK142=0,AE142="",N(AE142)=0,BM142=""),"",EDATE(AL142,BM142))</f>
        <v/>
      </c>
      <c r="AG142" s="17" t="str">
        <f aca="false">IF(AK142=0,"",MIN(BD142,BQ142))</f>
        <v/>
      </c>
      <c r="AH142" s="17" t="str">
        <f aca="false">IF(AK142=0,"",IF(NOT(LH_Ready),"",IF(BG142=0,0,MAX(0,ROUND(N(T142)+N(U142)-N142,2)))))</f>
        <v/>
      </c>
      <c r="AI142" s="12"/>
      <c r="AJ142" s="12"/>
      <c r="AK142" s="16" t="n">
        <f aca="false">IF(OR(LEN($A142&amp;$B142)=0,$F142=""),0,1)</f>
        <v>0</v>
      </c>
      <c r="AL142" s="14" t="str">
        <f aca="false">IF(AK142=0,"",IF(PreSchemeCounts="No",MAX(SchemeStart,IF($J142&lt;&gt;"",$J142,IF(OR(CasualCounts="Yes",COUNT($G142:$I142)=0),$F142,IF(Apply2026="No",IF($I142="",$F142,$I142),IF(COUNT($H142:$I142)=0,$F142,MIN($H142:$I142)))))),IF($J142&lt;&gt;"",$J142,IF(OR(CasualCounts="Yes",COUNT($G142:$I142)=0),$F142,IF(Apply2026="No",IF($I142="",$F142,$I142),IF(COUNT($H142:$I142)=0,$F142,MIN($H142:$I142)))))))</f>
        <v/>
      </c>
      <c r="AM142" s="16" t="str">
        <f aca="false">IF(AK142=0,"",COUNT($G142:$I142))</f>
        <v/>
      </c>
      <c r="AN142" s="14" t="str">
        <f aca="false">IF(AK142=0,"",IFERROR(SMALL($G142:$I142,1),""))</f>
        <v/>
      </c>
      <c r="AO142" s="14" t="str">
        <f aca="false">IF(AK142=0,"",IFERROR(SMALL($G142:$I142,2),""))</f>
        <v/>
      </c>
      <c r="AP142" s="14" t="str">
        <f aca="false">IF(AK142=0,"",IFERROR(SMALL($G142:$I142,3),""))</f>
        <v/>
      </c>
      <c r="AQ142" s="16" t="str">
        <f aca="false">IF(AK142=0,"",IF(AN142="","",IF(AN142=$H142,"Part-Time",IF(AN142=$I142,"Full-Time","Casual"))))</f>
        <v/>
      </c>
      <c r="AR142" s="16" t="str">
        <f aca="false">IF(AK142=0,"",IF(AO142="","",IF(AO142=$H142,"Part-Time",IF(AO142=$I142,"Full-Time","Casual"))))</f>
        <v/>
      </c>
      <c r="AS142" s="16" t="str">
        <f aca="false">IF(AK142=0,"",IF(AP142="","",IF(AP142=$H142,"Part-Time",IF(AP142=$I142,"Full-Time","Casual"))))</f>
        <v/>
      </c>
      <c r="AT142" s="16" t="str">
        <f aca="false">IF(AK142=0,"",IF(AM142=0,IF(OR(ISNUMBER(SEARCH("full",$C142)),UPPER(TRIM($C142))="FT",UPPER(TRIM($C142))="FTE"),"FT",IF(AND(OR(ISNUMBER(SEARCH("part",$C142)),UPPER(TRIM($C142))="PT",UPPER(TRIM($C142))="PTE"),Apply2026="Yes",OR($P142="",N($P142)&gt;=PT_MinHours)),"PT","None")),IF(OR(ISNUMBER(SEARCH("full",AQ142)),UPPER(TRIM(AQ142))="FT",UPPER(TRIM(AQ142))="FTE"),"FT",IF(AND(OR(ISNUMBER(SEARCH("part",AQ142)),UPPER(TRIM(AQ142))="PT",UPPER(TRIM(AQ142))="PTE"),Apply2026="Yes",OR($P142="",N($P142)&gt;=PT_MinHours)),"PT","None"))))</f>
        <v/>
      </c>
      <c r="AU142" s="16" t="str">
        <f aca="false">IF(AK142=0,"",IF(AM142&lt;2,"",IF(OR(ISNUMBER(SEARCH("full",AR142)),UPPER(TRIM(AR142))="FT",UPPER(TRIM(AR142))="FTE"),"FT",IF(AND(OR(ISNUMBER(SEARCH("part",AR142)),UPPER(TRIM(AR142))="PT",UPPER(TRIM(AR142))="PTE"),Apply2026="Yes",OR($P142="",N($P142)&gt;=PT_MinHours)),"PT","None"))))</f>
        <v/>
      </c>
      <c r="AV142" s="16" t="str">
        <f aca="false">IF(AK142=0,"",IF(AM142&lt;3,"",IF(OR(ISNUMBER(SEARCH("full",AS142)),UPPER(TRIM(AS142))="FT",UPPER(TRIM(AS142))="FTE"),"FT",IF(AND(OR(ISNUMBER(SEARCH("part",AS142)),UPPER(TRIM(AS142))="PT",UPPER(TRIM(AS142))="PTE"),Apply2026="Yes",OR($P142="",N($P142)&gt;=PT_MinHours)),"PT","None"))))</f>
        <v/>
      </c>
      <c r="AW142" s="16" t="str">
        <f aca="false">IF(AK142=0,"",IF(AND(AM142&gt;=3,AP142&lt;=AsOfDate),AV142,IF(AND(AM142&gt;=2,AO142&lt;=AsOfDate),AU142,AT142)))</f>
        <v/>
      </c>
      <c r="AX142" s="16" t="str">
        <f aca="false">IF(AK142=0,"",IF(AsOfDate&lt;AL142,-1,12*(YEAR(AsOfDate)-YEAR(AL142))+MONTH(AsOfDate)-MONTH(AL142)-IF(DAY(AsOfDate)&lt;MIN(DAY(AL142),DAY(EOMONTH(AsOfDate,0))),1,0)))</f>
        <v/>
      </c>
      <c r="AY142" s="16" t="str">
        <f aca="false">IF(AK142=0,"",IF(OR(AM142&lt;2,AO142&gt;AsOfDate),AX142,IF((AO142-1)&lt;AL142,-1,12*(YEAR((AO142-1))-YEAR(AL142))+MONTH((AO142-1))-MONTH(AL142)-IF(DAY((AO142-1))&lt;MIN(DAY(AL142),DAY(EOMONTH((AO142-1),0))),1,0))))</f>
        <v/>
      </c>
      <c r="AZ142" s="16" t="str">
        <f aca="false">IF(AK142=0,"",IF(OR(AM142&lt;3,AP142&gt;AsOfDate),AX142,IF((AP142-1)&lt;AL142,-1,12*(YEAR((AP142-1))-YEAR(AL142))+MONTH((AP142-1))-MONTH(AL142)-IF(DAY((AP142-1))&lt;MIN(DAY(AL142),DAY(EOMONTH((AP142-1),0))),1,0))))</f>
        <v/>
      </c>
      <c r="BA142" s="16" t="str">
        <f aca="false">IF(AK142=0,"",IF(PFYDate&lt;AL142,-1,12*(YEAR(PFYDate)-YEAR(AL142))+MONTH(PFYDate)-MONTH(AL142)-IF(DAY(PFYDate)&lt;MIN(DAY(AL142),DAY(EOMONTH(PFYDate,0))),1,0)))</f>
        <v/>
      </c>
      <c r="BB142" s="16" t="str">
        <f aca="false">IF(AK142=0,"",IF(OR(AM142&lt;2,AO142&gt;PFYDate),BA142,IF((AO142-1)&lt;AL142,-1,12*(YEAR((AO142-1))-YEAR(AL142))+MONTH((AO142-1))-MONTH(AL142)-IF(DAY((AO142-1))&lt;MIN(DAY(AL142),DAY(EOMONTH((AO142-1),0))),1,0))))</f>
        <v/>
      </c>
      <c r="BC142" s="16" t="str">
        <f aca="false">IF(AK142=0,"",IF(OR(AM142&lt;3,AP142&gt;PFYDate),BA142,IF((AP142-1)&lt;AL142,-1,12*(YEAR((AP142-1))-YEAR(AL142))+MONTH((AP142-1))-MONTH(AL142)-IF(DAY((AP142-1))&lt;MIN(DAY(AL142),DAY(EOMONTH((AP142-1),0))),1,0))))</f>
        <v/>
      </c>
      <c r="BD142" s="16" t="str">
        <f aca="false">IF(AK142=0,"",IF(AT142="FT",IF(AY142&lt;FT_First,0,IF(AY142&lt;FT_Y5,1+INT((AY142-FT_First)/FT_Int1),FT_PreY5+FT_PerYear*INT((AY142-FT_Y5)/12)+FT_AnnivDays+INT(MOD(AY142-FT_Y5,12)/FT_Int2)-IF(EDATE(AL142,FT_Y5)&lt;PolicyEff,FT_AnnivDays-1,0))),IF(AT142="PT",IF(AY142&lt;PT_First,0,1+INT((AY142-PT_First)/PT_Int)),0))+IF(AND(AM142&gt;=2,AO142&lt;=AsOfDate),IF(AU142="FT",IF(AZ142&lt;FT_First,0,IF(AZ142&lt;FT_Y5,1+INT((AZ142-FT_First)/FT_Int1),FT_PreY5+FT_PerYear*INT((AZ142-FT_Y5)/12)+FT_AnnivDays+INT(MOD(AZ142-FT_Y5,12)/FT_Int2)-IF(EDATE(AL142,FT_Y5)&lt;PolicyEff,FT_AnnivDays-1,0))),IF(AU142="PT",IF(AZ142&lt;PT_First,0,1+INT((AZ142-PT_First)/PT_Int)),0))-IF(AU142="FT",IF(AY142&lt;FT_First,0,IF(AY142&lt;FT_Y5,1+INT((AY142-FT_First)/FT_Int1),FT_PreY5+FT_PerYear*INT((AY142-FT_Y5)/12)+FT_AnnivDays+INT(MOD(AY142-FT_Y5,12)/FT_Int2)-IF(EDATE(AL142,FT_Y5)&lt;PolicyEff,FT_AnnivDays-1,0))),IF(AU142="PT",IF(AY142&lt;PT_First,0,1+INT((AY142-PT_First)/PT_Int)),0)),0)+IF(AND(AM142&gt;=3,AP142&lt;=AsOfDate),IF(AV142="FT",IF(AX142&lt;FT_First,0,IF(AX142&lt;FT_Y5,1+INT((AX142-FT_First)/FT_Int1),FT_PreY5+FT_PerYear*INT((AX142-FT_Y5)/12)+FT_AnnivDays+INT(MOD(AX142-FT_Y5,12)/FT_Int2)-IF(EDATE(AL142,FT_Y5)&lt;PolicyEff,FT_AnnivDays-1,0))),IF(AV142="PT",IF(AX142&lt;PT_First,0,1+INT((AX142-PT_First)/PT_Int)),0))-IF(AV142="FT",IF(AZ142&lt;FT_First,0,IF(AZ142&lt;FT_Y5,1+INT((AZ142-FT_First)/FT_Int1),FT_PreY5+FT_PerYear*INT((AZ142-FT_Y5)/12)+FT_AnnivDays+INT(MOD(AZ142-FT_Y5,12)/FT_Int2)-IF(EDATE(AL142,FT_Y5)&lt;PolicyEff,FT_AnnivDays-1,0))),IF(AV142="PT",IF(AZ142&lt;PT_First,0,1+INT((AZ142-PT_First)/PT_Int)),0)),0))</f>
        <v/>
      </c>
      <c r="BE142" s="16" t="str">
        <f aca="false">IF(AK142=0,"",IF(AT142="FT",IF(BB142&lt;FT_First,0,IF(BB142&lt;FT_Y5,1+INT((BB142-FT_First)/FT_Int1),FT_PreY5+FT_PerYear*INT((BB142-FT_Y5)/12)+FT_AnnivDays+INT(MOD(BB142-FT_Y5,12)/FT_Int2)-IF(EDATE(AL142,FT_Y5)&lt;PolicyEff,FT_AnnivDays-1,0))),IF(AT142="PT",IF(BB142&lt;PT_First,0,1+INT((BB142-PT_First)/PT_Int)),0))+IF(AND(AM142&gt;=2,AO142&lt;=PFYDate),IF(AU142="FT",IF(BC142&lt;FT_First,0,IF(BC142&lt;FT_Y5,1+INT((BC142-FT_First)/FT_Int1),FT_PreY5+FT_PerYear*INT((BC142-FT_Y5)/12)+FT_AnnivDays+INT(MOD(BC142-FT_Y5,12)/FT_Int2)-IF(EDATE(AL142,FT_Y5)&lt;PolicyEff,FT_AnnivDays-1,0))),IF(AU142="PT",IF(BC142&lt;PT_First,0,1+INT((BC142-PT_First)/PT_Int)),0))-IF(AU142="FT",IF(BB142&lt;FT_First,0,IF(BB142&lt;FT_Y5,1+INT((BB142-FT_First)/FT_Int1),FT_PreY5+FT_PerYear*INT((BB142-FT_Y5)/12)+FT_AnnivDays+INT(MOD(BB142-FT_Y5,12)/FT_Int2)-IF(EDATE(AL142,FT_Y5)&lt;PolicyEff,FT_AnnivDays-1,0))),IF(AU142="PT",IF(BB142&lt;PT_First,0,1+INT((BB142-PT_First)/PT_Int)),0)),0)+IF(AND(AM142&gt;=3,AP142&lt;=PFYDate),IF(AV142="FT",IF(BA142&lt;FT_First,0,IF(BA142&lt;FT_Y5,1+INT((BA142-FT_First)/FT_Int1),FT_PreY5+FT_PerYear*INT((BA142-FT_Y5)/12)+FT_AnnivDays+INT(MOD(BA142-FT_Y5,12)/FT_Int2)-IF(EDATE(AL142,FT_Y5)&lt;PolicyEff,FT_AnnivDays-1,0))),IF(AV142="PT",IF(BA142&lt;PT_First,0,1+INT((BA142-PT_First)/PT_Int)),0))-IF(AV142="FT",IF(BC142&lt;FT_First,0,IF(BC142&lt;FT_Y5,1+INT((BC142-FT_First)/FT_Int1),FT_PreY5+FT_PerYear*INT((BC142-FT_Y5)/12)+FT_AnnivDays+INT(MOD(BC142-FT_Y5,12)/FT_Int2)-IF(EDATE(AL142,FT_Y5)&lt;PolicyEff,FT_AnnivDays-1,0))),IF(AV142="PT",IF(BC142&lt;PT_First,0,1+INT((BC142-PT_First)/PT_Int)),0)),0))</f>
        <v/>
      </c>
      <c r="BF142" s="16" t="str">
        <f aca="false">IF(AK142=0,"",IF(AW142="FT",IF(AX142&lt;FT_First,FT_First,IF(AX142&lt;FT_Y5,MIN(FT_Y5,FT_First+FT_Int1*(INT((AX142-FT_First)/FT_Int1)+1)),FT_Y5+12*INT((AX142-FT_Y5)/12)+FT_Int2*(INT(MOD(AX142-FT_Y5,12)/FT_Int2)+1))),IF(AW142="PT",IF(AX142&lt;PT_First,PT_First,PT_First+PT_Int*(INT((AX142-PT_First)/PT_Int)+1)),"")))</f>
        <v/>
      </c>
      <c r="BG142" s="16" t="str">
        <f aca="false">IF(AK142=0,"",IF(NOT(LH_Ready),0,COUNTIFS(INDEX(LH_Data,0,LH_ColFirst),$A142,INDEX(LH_Data,0,LH_ColSur),$B142,INDEX(LH_Data,0,LH_ColCat),BonusCat)))</f>
        <v/>
      </c>
      <c r="BH142" s="16" t="str">
        <f aca="false">IF(AK142=0,"",IF(OR(NOT(LH_Ready),BG142=0),0,SUMPRODUCT(MAX((INDEX(LH_Data,0,LH_ColFirst)=$A142)*(INDEX(LH_Data,0,LH_ColSur)=$B142)*(INDEX(LH_Data,0,LH_ColCat)=BonusCat)*ROW(LH_Data)))))</f>
        <v/>
      </c>
      <c r="BI142" s="16" t="str">
        <f aca="false">IF(AK142=0,"",IF(EOMONTH(AsOfDate,-1)&lt;AL142,-1,12*(YEAR(EOMONTH(AsOfDate,-1))-YEAR(AL142))+MONTH(EOMONTH(AsOfDate,-1))-MONTH(AL142)-IF(DAY(EOMONTH(AsOfDate,-1))&lt;MIN(DAY(AL142),DAY(EOMONTH(EOMONTH(AsOfDate,-1),0))),1,0)))</f>
        <v/>
      </c>
      <c r="BJ142" s="16" t="str">
        <f aca="false">IF(AK142=0,"",IF(OR(AM142&lt;2,AO142&gt;EOMONTH(AsOfDate,-1)),BI142,IF((AO142-1)&lt;AL142,-1,12*(YEAR((AO142-1))-YEAR(AL142))+MONTH((AO142-1))-MONTH(AL142)-IF(DAY((AO142-1))&lt;MIN(DAY(AL142),DAY(EOMONTH((AO142-1),0))),1,0))))</f>
        <v/>
      </c>
      <c r="BK142" s="16" t="str">
        <f aca="false">IF(AK142=0,"",IF(OR(AM142&lt;3,AP142&gt;EOMONTH(AsOfDate,-1)),BI142,IF((AP142-1)&lt;AL142,-1,12*(YEAR((AP142-1))-YEAR(AL142))+MONTH((AP142-1))-MONTH(AL142)-IF(DAY((AP142-1))&lt;MIN(DAY(AL142),DAY(EOMONTH((AP142-1),0))),1,0))))</f>
        <v/>
      </c>
      <c r="BL142" s="16" t="str">
        <f aca="false">IF(AK142=0,"",IF(AT142="FT",IF(BJ142&lt;FT_First,0,IF(BJ142&lt;FT_Y5,1+INT((BJ142-FT_First)/FT_Int1),FT_PreY5+FT_PerYear*INT((BJ142-FT_Y5)/12)+FT_AnnivDays+INT(MOD(BJ142-FT_Y5,12)/FT_Int2)-IF(EDATE(AL142,FT_Y5)&lt;PolicyEff,FT_AnnivDays-1,0))),IF(AT142="PT",IF(BJ142&lt;PT_First,0,1+INT((BJ142-PT_First)/PT_Int)),0))+IF(AND(AM142&gt;=2,AO142&lt;=EOMONTH(AsOfDate,-1)),IF(AU142="FT",IF(BK142&lt;FT_First,0,IF(BK142&lt;FT_Y5,1+INT((BK142-FT_First)/FT_Int1),FT_PreY5+FT_PerYear*INT((BK142-FT_Y5)/12)+FT_AnnivDays+INT(MOD(BK142-FT_Y5,12)/FT_Int2)-IF(EDATE(AL142,FT_Y5)&lt;PolicyEff,FT_AnnivDays-1,0))),IF(AU142="PT",IF(BK142&lt;PT_First,0,1+INT((BK142-PT_First)/PT_Int)),0))-IF(AU142="FT",IF(BJ142&lt;FT_First,0,IF(BJ142&lt;FT_Y5,1+INT((BJ142-FT_First)/FT_Int1),FT_PreY5+FT_PerYear*INT((BJ142-FT_Y5)/12)+FT_AnnivDays+INT(MOD(BJ142-FT_Y5,12)/FT_Int2)-IF(EDATE(AL142,FT_Y5)&lt;PolicyEff,FT_AnnivDays-1,0))),IF(AU142="PT",IF(BJ142&lt;PT_First,0,1+INT((BJ142-PT_First)/PT_Int)),0)),0)+IF(AND(AM142&gt;=3,AP142&lt;=EOMONTH(AsOfDate,-1)),IF(AV142="FT",IF(BI142&lt;FT_First,0,IF(BI142&lt;FT_Y5,1+INT((BI142-FT_First)/FT_Int1),FT_PreY5+FT_PerYear*INT((BI142-FT_Y5)/12)+FT_AnnivDays+INT(MOD(BI142-FT_Y5,12)/FT_Int2)-IF(EDATE(AL142,FT_Y5)&lt;PolicyEff,FT_AnnivDays-1,0))),IF(AV142="PT",IF(BI142&lt;PT_First,0,1+INT((BI142-PT_First)/PT_Int)),0))-IF(AV142="FT",IF(BK142&lt;FT_First,0,IF(BK142&lt;FT_Y5,1+INT((BK142-FT_First)/FT_Int1),FT_PreY5+FT_PerYear*INT((BK142-FT_Y5)/12)+FT_AnnivDays+INT(MOD(BK142-FT_Y5,12)/FT_Int2)-IF(EDATE(AL142,FT_Y5)&lt;PolicyEff,FT_AnnivDays-1,0))),IF(AV142="PT",IF(BK142&lt;PT_First,0,1+INT((BK142-PT_First)/PT_Int)),0)),0))</f>
        <v/>
      </c>
      <c r="BM142" s="16" t="str">
        <f aca="false">IF(AK142=0,"",IF(AW142="FT",IF(AX142&lt;FT_First,"",IF(AX142&lt;FT_Y5,FT_First+FT_Int1*INT((AX142-FT_First)/FT_Int1),FT_Y5+FT_Int2*INT((AX142-FT_Y5)/FT_Int2))),IF(AW142="PT",IF(AX142&lt;PT_First,"",PT_First+PT_Int*INT((AX142-PT_First)/PT_Int)),"")))</f>
        <v/>
      </c>
      <c r="BN142" s="16" t="str">
        <f aca="false">IF(AK142=0,"",IF((SchemeStart-1)&lt;AL142,-1,12*(YEAR((SchemeStart-1))-YEAR(AL142))+MONTH((SchemeStart-1))-MONTH(AL142)-IF(DAY((SchemeStart-1))&lt;MIN(DAY(AL142),DAY(EOMONTH((SchemeStart-1),0))),1,0)))</f>
        <v/>
      </c>
      <c r="BO142" s="16" t="str">
        <f aca="false">IF(AK142=0,"",IF(OR(AM142&lt;2,AO142&gt;(SchemeStart-1)),BN142,IF((AO142-1)&lt;AL142,-1,12*(YEAR((AO142-1))-YEAR(AL142))+MONTH((AO142-1))-MONTH(AL142)-IF(DAY((AO142-1))&lt;MIN(DAY(AL142),DAY(EOMONTH((AO142-1),0))),1,0))))</f>
        <v/>
      </c>
      <c r="BP142" s="16" t="str">
        <f aca="false">IF(AK142=0,"",IF(OR(AM142&lt;3,AP142&gt;(SchemeStart-1)),BN142,IF((AP142-1)&lt;AL142,-1,12*(YEAR((AP142-1))-YEAR(AL142))+MONTH((AP142-1))-MONTH(AL142)-IF(DAY((AP142-1))&lt;MIN(DAY(AL142),DAY(EOMONTH((AP142-1),0))),1,0))))</f>
        <v/>
      </c>
      <c r="BQ142" s="16" t="str">
        <f aca="false">IF(AK142=0,"",IF(AT142="FT",IF(BO142&lt;FT_First,0,IF(BO142&lt;FT_Y5,1+INT((BO142-FT_First)/FT_Int1),FT_PreY5+FT_PerYear*INT((BO142-FT_Y5)/12)+FT_AnnivDays+INT(MOD(BO142-FT_Y5,12)/FT_Int2)-IF(EDATE(AL142,FT_Y5)&lt;PolicyEff,FT_AnnivDays-1,0))),IF(AT142="PT",IF(BO142&lt;PT_First,0,1+INT((BO142-PT_First)/PT_Int)),0))+IF(AND(AM142&gt;=2,AO142&lt;=(SchemeStart-1)),IF(AU142="FT",IF(BP142&lt;FT_First,0,IF(BP142&lt;FT_Y5,1+INT((BP142-FT_First)/FT_Int1),FT_PreY5+FT_PerYear*INT((BP142-FT_Y5)/12)+FT_AnnivDays+INT(MOD(BP142-FT_Y5,12)/FT_Int2)-IF(EDATE(AL142,FT_Y5)&lt;PolicyEff,FT_AnnivDays-1,0))),IF(AU142="PT",IF(BP142&lt;PT_First,0,1+INT((BP142-PT_First)/PT_Int)),0))-IF(AU142="FT",IF(BO142&lt;FT_First,0,IF(BO142&lt;FT_Y5,1+INT((BO142-FT_First)/FT_Int1),FT_PreY5+FT_PerYear*INT((BO142-FT_Y5)/12)+FT_AnnivDays+INT(MOD(BO142-FT_Y5,12)/FT_Int2)-IF(EDATE(AL142,FT_Y5)&lt;PolicyEff,FT_AnnivDays-1,0))),IF(AU142="PT",IF(BO142&lt;PT_First,0,1+INT((BO142-PT_First)/PT_Int)),0)),0)+IF(AND(AM142&gt;=3,AP142&lt;=(SchemeStart-1)),IF(AV142="FT",IF(BN142&lt;FT_First,0,IF(BN142&lt;FT_Y5,1+INT((BN142-FT_First)/FT_Int1),FT_PreY5+FT_PerYear*INT((BN142-FT_Y5)/12)+FT_AnnivDays+INT(MOD(BN142-FT_Y5,12)/FT_Int2)-IF(EDATE(AL142,FT_Y5)&lt;PolicyEff,FT_AnnivDays-1,0))),IF(AV142="PT",IF(BN142&lt;PT_First,0,1+INT((BN142-PT_First)/PT_Int)),0))-IF(AV142="FT",IF(BP142&lt;FT_First,0,IF(BP142&lt;FT_Y5,1+INT((BP142-FT_First)/FT_Int1),FT_PreY5+FT_PerYear*INT((BP142-FT_Y5)/12)+FT_AnnivDays+INT(MOD(BP142-FT_Y5,12)/FT_Int2)-IF(EDATE(AL142,FT_Y5)&lt;PolicyEff,FT_AnnivDays-1,0))),IF(AV142="PT",IF(BP142&lt;PT_First,0,1+INT((BP142-PT_First)/PT_Int)),0)),0))</f>
        <v/>
      </c>
      <c r="BR142" s="0" t="str">
        <f aca="false">IF(LEN($A142&amp;$B142)=0,"",$A142&amp;" "&amp;$B142)</f>
        <v/>
      </c>
    </row>
    <row r="143" customFormat="false" ht="15" hidden="false" customHeight="false" outlineLevel="0" collapsed="false">
      <c r="A143" s="12"/>
      <c r="B143" s="12"/>
      <c r="C143" s="12"/>
      <c r="D143" s="13"/>
      <c r="E143" s="14" t="str">
        <f aca="false">IF(OR(AK143=0,$D143=""),"",DATE(YEAR(AsOfDate)+IF(DATE(YEAR(AsOfDate),MONTH($D143),DAY($D143))&lt;=AsOfDate,1,0),MONTH($D143),DAY($D143)))</f>
        <v/>
      </c>
      <c r="F143" s="13"/>
      <c r="G143" s="13"/>
      <c r="H143" s="13"/>
      <c r="I143" s="13"/>
      <c r="J143" s="13"/>
      <c r="K143" s="14" t="str">
        <f aca="false">IF(AK143=0,"",DATE(YEAR(AsOfDate)+IF(DATE(YEAR(AsOfDate),MONTH(AL143),DAY(AL143))&lt;=AsOfDate,1,0),MONTH(AL143),DAY(AL143)))</f>
        <v/>
      </c>
      <c r="L143" s="15" t="str">
        <f aca="false">IF(AK143=0,"",ROUND((AsOfDate-AL143)/365.25,1))</f>
        <v/>
      </c>
      <c r="M143" s="16" t="str">
        <f aca="false">IF(AK143=0,"",IF(AsOfDate&lt;AL143,"-",DATEDIF(AL143,AsOfDate,"y")&amp;"y "&amp;DATEDIF(AL143,AsOfDate,"ym")&amp;"m "&amp;DATEDIF(AL143,AsOfDate,"md")&amp;"d"))</f>
        <v/>
      </c>
      <c r="N143" s="17" t="str">
        <f aca="false">IF(AK143=0,"",O143*HoursPerDay)</f>
        <v/>
      </c>
      <c r="O143" s="17" t="str">
        <f aca="false">IF(AK143=0,"",MAX(0,BD143-BQ143))</f>
        <v/>
      </c>
      <c r="P143" s="18"/>
      <c r="Q143" s="16" t="str">
        <f aca="false">IF(AK143=0,"",IF(AM143&lt;2,"",AQ143&amp;" to "&amp;AR143&amp;" on "&amp;TEXT(AO143,"dd/mm/yyyy")&amp;IF(AO143&gt;AsOfDate," (future)",IF(AT143=AU143,"",IF(AU143="None"," - STOPPED accruing",IF(AT143="None"," - commencement for Bonus Leave"," - pathway changed"))))&amp;IF(AM143&lt;3,"","; "&amp;AR143&amp;" to "&amp;AS143&amp;" on "&amp;TEXT(AP143,"dd/mm/yyyy")&amp;IF(AP143&gt;AsOfDate," (future)",IF(AU143=AV143,"",IF(AV143="None"," - STOPPED accruing",IF(AU143="None"," - commencement for Bonus Leave"," - pathway changed")))))))</f>
        <v/>
      </c>
      <c r="R143" s="16" t="str">
        <f aca="false">IF(AK143=0,"",IF(AW143="None",IF(O143&gt;0,"No longer accruing","Not eligible - "&amp;IF(AND(OR(ISNUMBER(SEARCH("part",$C143)),UPPER(TRIM($C143))="PT",UPPER(TRIM($C143))="PTE"),Apply2026="No"),"part-time (scheme is full-time only)",IF(AND(OR(ISNUMBER(SEARCH("part",$C143)),UPPER(TRIM($C143))="PT",UPPER(TRIM($C143))="PTE"),$P143&lt;&gt;"",N($P143)&lt;PT_MinHours),"under "&amp;PT_MinHours&amp;" hrs",IF(IF($C143="","",IF(OR(ISNUMBER(SEARCH("full",$C143)),UPPER(TRIM($C143))="FT",UPPER(TRIM($C143))="FTE"),"Full-Time",IF(OR(ISNUMBER(SEARCH("part",$C143)),UPPER(TRIM($C143))="PT",UPPER(TRIM($C143))="PTE"),"Part-Time",IF(OR(ISNUMBER(SEARCH("cas",$C143)),UPPER(TRIM($C143))="CAS"),"Casual","Unknown"))))="Unknown","type not recognised",$C143)))),IF(O143&gt;0,"Yes - Accrual Required","Not yet - from "&amp;TEXT(S143,"dd/mm/yyyy"))))</f>
        <v/>
      </c>
      <c r="S143" s="14" t="str">
        <f aca="false">IF(AK143=0,"",IF(AW143="None","",EDATE(AL143,BF143)))</f>
        <v/>
      </c>
      <c r="T143" s="17" t="str">
        <f aca="false">IF(AK143=0,"",IF(NOT(LH_Ready),"",IF($F143&gt;PFYDate,0,IF(LH_ColPeriod=0,W143-U143+V143,SUMIFS(INDEX(LH_Data,0,LH_ColAcc),INDEX(LH_Data,0,LH_ColFirst),$A143,INDEX(LH_Data,0,LH_ColSur),$B143,INDEX(LH_Data,0,LH_ColCat),BonusCat,INDEX(LH_Data,0,LH_ColPeriod),LH_OpenLabel)*UnitFactor))))</f>
        <v/>
      </c>
      <c r="U143" s="17" t="str">
        <f aca="false">IF(AK143=0,"",IF(NOT(LH_Ready),"",SUMIFS(INDEX(LH_Data,0,LH_ColAcc),INDEX(LH_Data,0,LH_ColFirst),$A143,INDEX(LH_Data,0,LH_ColSur),$B143,INDEX(LH_Data,0,LH_ColCat),BonusCat,INDEX(LH_Data,0,LH_ColStart),"&gt;="&amp;AL143)*UnitFactor))</f>
        <v/>
      </c>
      <c r="V143" s="17" t="str">
        <f aca="false">IF(AK143=0,"",IF(NOT(LH_Ready),"",SUMIFS(INDEX(LH_Data,0,LH_ColTaken),INDEX(LH_Data,0,LH_ColFirst),$A143,INDEX(LH_Data,0,LH_ColSur),$B143,INDEX(LH_Data,0,LH_ColCat),BonusCat,INDEX(LH_Data,0,LH_ColStart),"&gt;="&amp;AL143)*UnitFactor))</f>
        <v/>
      </c>
      <c r="W143" s="17" t="str">
        <f aca="false">IF(AK143=0,"",IF(NOT(LH_Ready),"",IF(BH143=0,0,INDEX(INDEX(LH_Data,0,LH_ColClose),BH143-1)*UnitFactor)))</f>
        <v/>
      </c>
      <c r="X143" s="17" t="str">
        <f aca="false">IF(AK143=0,"",(MAX(0,BD143-BQ143)-MAX(0,BE143-BQ143))*HoursPerDay)</f>
        <v/>
      </c>
      <c r="Y143" s="17" t="str">
        <f aca="false">IF(AK143=0,"",IF(NOT(LH_Ready),"",IF($AI143="Yes",N(AE143)*HoursPerDay-SUMIFS(INDEX(LH_Data,0,LH_ColAcc),INDEX(LH_Data,0,LH_ColFirst),$A143,INDEX(LH_Data,0,LH_ColSur),$B143,INDEX(LH_Data,0,LH_ColCat),BonusCat,INDEX(LH_Data,0,LH_ColStart),"&gt;="&amp;(EOMONTH(AsOfDate,-1)+1),INDEX(LH_Data,0,LH_ColStart),"&lt;="&amp;AsOfDate)*UnitFactor,IF(BG143=0,N143,N143-N(T143)-N(U143)))))</f>
        <v/>
      </c>
      <c r="Z143" s="16" t="str">
        <f aca="false">IF(OR(AK143=0,Y143=""),"",IF(Y143&gt;0,"Yes","No"))</f>
        <v/>
      </c>
      <c r="AA143" s="16" t="str">
        <f aca="false">IF(AK143=0,IF(LEN($A143&amp;$B143)=0,"","FIX INPUT - StartDate missing"),IF(AD143&lt;&gt;"","FIX INPUT - "&amp;AD143,IF(NOT(LH_Ready),"Paste Leave History export (Settings must show YES)",IF(AND($AI143="Yes",Y143&lt;=0),"OK - EH balance accepted to date"&amp;IF(N(AH143)&gt;0," (EH holds "&amp;AH143&amp;" hrs over the scheme)","")&amp;"; next day "&amp;TEXT(S143,"dd mmm yy")&amp;IF(N(AE143)&gt;0," ("&amp;AE143&amp;" day(s) for "&amp;UPPER(TEXT(AsOfDate,"mmm yyyy"))&amp;" already in EH)",""),IF(Y143&gt;0,"ACCRUE "&amp;ROUND(Y143,2)&amp;" hrs ("&amp;ROUND(Y143/HoursPerDay,2)&amp;" days): "&amp;IF(N(AE143)&gt;0,AE143&amp;" day(s) for "&amp;UPPER(TEXT(AsOfDate,"mmm yyyy"))&amp;" (milestone "&amp;UPPER(TEXT(AF143,"dd mmm yy"))&amp;")"&amp;IF(Y143/HoursPerDay&gt;AE143+0.001," + "&amp;ROUND(Y143/HoursPerDay-AE143,2)&amp;" day(s) catch-up from earlier months",""),"all catch-up from earlier months, nothing new this month")&amp;IF(BG143=0,"; no Bonus Leave in EH yet",""),IF(Y143&lt;0,"CHECK - EH accrued "&amp;ROUND(-Y143,2)&amp;" hrs more than policy since commencement",IF(N(W143)&gt;O143*HoursPerDay+0.01,"CHECK - EH balance "&amp;ROUND(W143-O143*HoursPerDay,2)&amp;" hrs more than policy entitlement",IF(O143&gt;0,"OK - nothing to add"&amp;IF(N(AE143)&gt;0," ("&amp;AE143&amp;" day(s) for "&amp;UPPER(TEXT(AsOfDate,"mmm yyyy"))&amp;" already in EH)",""),IF(AW143="None",R143,"Not yet - first day on "&amp;TEXT(S143,"dd/mm/yyyy"))))))))))</f>
        <v/>
      </c>
      <c r="AB143" s="17" t="str">
        <f aca="false">IF(OR(AK143=0,T143=""),"",MAX(0,BE143-BQ143)*HoursPerDay-T143)</f>
        <v/>
      </c>
      <c r="AC143" s="16" t="str">
        <f aca="false">IF(AK143=0,"",BG143)</f>
        <v/>
      </c>
      <c r="AD143" s="16" t="str">
        <f aca="false">IF(AK143=0,"",TRIM(IF(OR(ISTEXT($F143),ISTEXT($H143),ISTEXT($I143),ISTEXT($G143),ISTEXT($J143),ISTEXT($D143)),"A date is typed as text - retype it as dd/mm/yyyy. ","")&amp;IF(IF($C143="","",IF(OR(ISNUMBER(SEARCH("full",$C143)),UPPER(TRIM($C143))="FT",UPPER(TRIM($C143))="FTE"),"Full-Time",IF(OR(ISNUMBER(SEARCH("part",$C143)),UPPER(TRIM($C143))="PT",UPPER(TRIM($C143))="PTE"),"Part-Time",IF(OR(ISNUMBER(SEARCH("cas",$C143)),UPPER(TRIM($C143))="CAS"),"Casual","Unknown"))))="Unknown","EmploymentType not recognised - use Full-Time, Part-Time or Casual. ","")&amp;IF(AND(AM143&gt;=1,IF(AM143&gt;=3,AS143,IF(AM143=2,AR143,AQ143))&lt;&gt;IF($C143="","",IF(OR(ISNUMBER(SEARCH("full",$C143)),UPPER(TRIM($C143))="FT",UPPER(TRIM($C143))="FTE"),"Full-Time",IF(OR(ISNUMBER(SEARCH("part",$C143)),UPPER(TRIM($C143))="PT",UPPER(TRIM($C143))="PTE"),"Part-Time",IF(OR(ISNUMBER(SEARCH("cas",$C143)),UPPER(TRIM($C143))="CAS"),"Casual","Unknown"))))),"EmploymentType does not match latest start date ("&amp;IF(AM143&gt;=3,AS143,IF(AM143=2,AR143,AQ143))&amp;"). ","")&amp;IF(AND(AM143&gt;=1,AN143&lt;&gt;$F143),"Earliest type date should equal StartDate. ","")&amp;IF(AND(AM143&gt;=2,AN143=AO143),"Two types start on the same date. ","")&amp;IF(AND(OR(ISNUMBER(SEARCH("part",$C143)),UPPER(TRIM($C143))="PT",UPPER(TRIM($C143))="PTE"),$P143=""),"Part-time: enter PT Hrs/Week (blank = 24+). ","")))</f>
        <v/>
      </c>
      <c r="AE143" s="17" t="str">
        <f aca="false">IF(AK143=0,"",O143-MAX(0,BL143-BQ143))</f>
        <v/>
      </c>
      <c r="AF143" s="14" t="str">
        <f aca="false">IF(OR(AK143=0,AE143="",N(AE143)=0,BM143=""),"",EDATE(AL143,BM143))</f>
        <v/>
      </c>
      <c r="AG143" s="17" t="str">
        <f aca="false">IF(AK143=0,"",MIN(BD143,BQ143))</f>
        <v/>
      </c>
      <c r="AH143" s="17" t="str">
        <f aca="false">IF(AK143=0,"",IF(NOT(LH_Ready),"",IF(BG143=0,0,MAX(0,ROUND(N(T143)+N(U143)-N143,2)))))</f>
        <v/>
      </c>
      <c r="AI143" s="12"/>
      <c r="AJ143" s="12"/>
      <c r="AK143" s="16" t="n">
        <f aca="false">IF(OR(LEN($A143&amp;$B143)=0,$F143=""),0,1)</f>
        <v>0</v>
      </c>
      <c r="AL143" s="14" t="str">
        <f aca="false">IF(AK143=0,"",IF(PreSchemeCounts="No",MAX(SchemeStart,IF($J143&lt;&gt;"",$J143,IF(OR(CasualCounts="Yes",COUNT($G143:$I143)=0),$F143,IF(Apply2026="No",IF($I143="",$F143,$I143),IF(COUNT($H143:$I143)=0,$F143,MIN($H143:$I143)))))),IF($J143&lt;&gt;"",$J143,IF(OR(CasualCounts="Yes",COUNT($G143:$I143)=0),$F143,IF(Apply2026="No",IF($I143="",$F143,$I143),IF(COUNT($H143:$I143)=0,$F143,MIN($H143:$I143)))))))</f>
        <v/>
      </c>
      <c r="AM143" s="16" t="str">
        <f aca="false">IF(AK143=0,"",COUNT($G143:$I143))</f>
        <v/>
      </c>
      <c r="AN143" s="14" t="str">
        <f aca="false">IF(AK143=0,"",IFERROR(SMALL($G143:$I143,1),""))</f>
        <v/>
      </c>
      <c r="AO143" s="14" t="str">
        <f aca="false">IF(AK143=0,"",IFERROR(SMALL($G143:$I143,2),""))</f>
        <v/>
      </c>
      <c r="AP143" s="14" t="str">
        <f aca="false">IF(AK143=0,"",IFERROR(SMALL($G143:$I143,3),""))</f>
        <v/>
      </c>
      <c r="AQ143" s="16" t="str">
        <f aca="false">IF(AK143=0,"",IF(AN143="","",IF(AN143=$H143,"Part-Time",IF(AN143=$I143,"Full-Time","Casual"))))</f>
        <v/>
      </c>
      <c r="AR143" s="16" t="str">
        <f aca="false">IF(AK143=0,"",IF(AO143="","",IF(AO143=$H143,"Part-Time",IF(AO143=$I143,"Full-Time","Casual"))))</f>
        <v/>
      </c>
      <c r="AS143" s="16" t="str">
        <f aca="false">IF(AK143=0,"",IF(AP143="","",IF(AP143=$H143,"Part-Time",IF(AP143=$I143,"Full-Time","Casual"))))</f>
        <v/>
      </c>
      <c r="AT143" s="16" t="str">
        <f aca="false">IF(AK143=0,"",IF(AM143=0,IF(OR(ISNUMBER(SEARCH("full",$C143)),UPPER(TRIM($C143))="FT",UPPER(TRIM($C143))="FTE"),"FT",IF(AND(OR(ISNUMBER(SEARCH("part",$C143)),UPPER(TRIM($C143))="PT",UPPER(TRIM($C143))="PTE"),Apply2026="Yes",OR($P143="",N($P143)&gt;=PT_MinHours)),"PT","None")),IF(OR(ISNUMBER(SEARCH("full",AQ143)),UPPER(TRIM(AQ143))="FT",UPPER(TRIM(AQ143))="FTE"),"FT",IF(AND(OR(ISNUMBER(SEARCH("part",AQ143)),UPPER(TRIM(AQ143))="PT",UPPER(TRIM(AQ143))="PTE"),Apply2026="Yes",OR($P143="",N($P143)&gt;=PT_MinHours)),"PT","None"))))</f>
        <v/>
      </c>
      <c r="AU143" s="16" t="str">
        <f aca="false">IF(AK143=0,"",IF(AM143&lt;2,"",IF(OR(ISNUMBER(SEARCH("full",AR143)),UPPER(TRIM(AR143))="FT",UPPER(TRIM(AR143))="FTE"),"FT",IF(AND(OR(ISNUMBER(SEARCH("part",AR143)),UPPER(TRIM(AR143))="PT",UPPER(TRIM(AR143))="PTE"),Apply2026="Yes",OR($P143="",N($P143)&gt;=PT_MinHours)),"PT","None"))))</f>
        <v/>
      </c>
      <c r="AV143" s="16" t="str">
        <f aca="false">IF(AK143=0,"",IF(AM143&lt;3,"",IF(OR(ISNUMBER(SEARCH("full",AS143)),UPPER(TRIM(AS143))="FT",UPPER(TRIM(AS143))="FTE"),"FT",IF(AND(OR(ISNUMBER(SEARCH("part",AS143)),UPPER(TRIM(AS143))="PT",UPPER(TRIM(AS143))="PTE"),Apply2026="Yes",OR($P143="",N($P143)&gt;=PT_MinHours)),"PT","None"))))</f>
        <v/>
      </c>
      <c r="AW143" s="16" t="str">
        <f aca="false">IF(AK143=0,"",IF(AND(AM143&gt;=3,AP143&lt;=AsOfDate),AV143,IF(AND(AM143&gt;=2,AO143&lt;=AsOfDate),AU143,AT143)))</f>
        <v/>
      </c>
      <c r="AX143" s="16" t="str">
        <f aca="false">IF(AK143=0,"",IF(AsOfDate&lt;AL143,-1,12*(YEAR(AsOfDate)-YEAR(AL143))+MONTH(AsOfDate)-MONTH(AL143)-IF(DAY(AsOfDate)&lt;MIN(DAY(AL143),DAY(EOMONTH(AsOfDate,0))),1,0)))</f>
        <v/>
      </c>
      <c r="AY143" s="16" t="str">
        <f aca="false">IF(AK143=0,"",IF(OR(AM143&lt;2,AO143&gt;AsOfDate),AX143,IF((AO143-1)&lt;AL143,-1,12*(YEAR((AO143-1))-YEAR(AL143))+MONTH((AO143-1))-MONTH(AL143)-IF(DAY((AO143-1))&lt;MIN(DAY(AL143),DAY(EOMONTH((AO143-1),0))),1,0))))</f>
        <v/>
      </c>
      <c r="AZ143" s="16" t="str">
        <f aca="false">IF(AK143=0,"",IF(OR(AM143&lt;3,AP143&gt;AsOfDate),AX143,IF((AP143-1)&lt;AL143,-1,12*(YEAR((AP143-1))-YEAR(AL143))+MONTH((AP143-1))-MONTH(AL143)-IF(DAY((AP143-1))&lt;MIN(DAY(AL143),DAY(EOMONTH((AP143-1),0))),1,0))))</f>
        <v/>
      </c>
      <c r="BA143" s="16" t="str">
        <f aca="false">IF(AK143=0,"",IF(PFYDate&lt;AL143,-1,12*(YEAR(PFYDate)-YEAR(AL143))+MONTH(PFYDate)-MONTH(AL143)-IF(DAY(PFYDate)&lt;MIN(DAY(AL143),DAY(EOMONTH(PFYDate,0))),1,0)))</f>
        <v/>
      </c>
      <c r="BB143" s="16" t="str">
        <f aca="false">IF(AK143=0,"",IF(OR(AM143&lt;2,AO143&gt;PFYDate),BA143,IF((AO143-1)&lt;AL143,-1,12*(YEAR((AO143-1))-YEAR(AL143))+MONTH((AO143-1))-MONTH(AL143)-IF(DAY((AO143-1))&lt;MIN(DAY(AL143),DAY(EOMONTH((AO143-1),0))),1,0))))</f>
        <v/>
      </c>
      <c r="BC143" s="16" t="str">
        <f aca="false">IF(AK143=0,"",IF(OR(AM143&lt;3,AP143&gt;PFYDate),BA143,IF((AP143-1)&lt;AL143,-1,12*(YEAR((AP143-1))-YEAR(AL143))+MONTH((AP143-1))-MONTH(AL143)-IF(DAY((AP143-1))&lt;MIN(DAY(AL143),DAY(EOMONTH((AP143-1),0))),1,0))))</f>
        <v/>
      </c>
      <c r="BD143" s="16" t="str">
        <f aca="false">IF(AK143=0,"",IF(AT143="FT",IF(AY143&lt;FT_First,0,IF(AY143&lt;FT_Y5,1+INT((AY143-FT_First)/FT_Int1),FT_PreY5+FT_PerYear*INT((AY143-FT_Y5)/12)+FT_AnnivDays+INT(MOD(AY143-FT_Y5,12)/FT_Int2)-IF(EDATE(AL143,FT_Y5)&lt;PolicyEff,FT_AnnivDays-1,0))),IF(AT143="PT",IF(AY143&lt;PT_First,0,1+INT((AY143-PT_First)/PT_Int)),0))+IF(AND(AM143&gt;=2,AO143&lt;=AsOfDate),IF(AU143="FT",IF(AZ143&lt;FT_First,0,IF(AZ143&lt;FT_Y5,1+INT((AZ143-FT_First)/FT_Int1),FT_PreY5+FT_PerYear*INT((AZ143-FT_Y5)/12)+FT_AnnivDays+INT(MOD(AZ143-FT_Y5,12)/FT_Int2)-IF(EDATE(AL143,FT_Y5)&lt;PolicyEff,FT_AnnivDays-1,0))),IF(AU143="PT",IF(AZ143&lt;PT_First,0,1+INT((AZ143-PT_First)/PT_Int)),0))-IF(AU143="FT",IF(AY143&lt;FT_First,0,IF(AY143&lt;FT_Y5,1+INT((AY143-FT_First)/FT_Int1),FT_PreY5+FT_PerYear*INT((AY143-FT_Y5)/12)+FT_AnnivDays+INT(MOD(AY143-FT_Y5,12)/FT_Int2)-IF(EDATE(AL143,FT_Y5)&lt;PolicyEff,FT_AnnivDays-1,0))),IF(AU143="PT",IF(AY143&lt;PT_First,0,1+INT((AY143-PT_First)/PT_Int)),0)),0)+IF(AND(AM143&gt;=3,AP143&lt;=AsOfDate),IF(AV143="FT",IF(AX143&lt;FT_First,0,IF(AX143&lt;FT_Y5,1+INT((AX143-FT_First)/FT_Int1),FT_PreY5+FT_PerYear*INT((AX143-FT_Y5)/12)+FT_AnnivDays+INT(MOD(AX143-FT_Y5,12)/FT_Int2)-IF(EDATE(AL143,FT_Y5)&lt;PolicyEff,FT_AnnivDays-1,0))),IF(AV143="PT",IF(AX143&lt;PT_First,0,1+INT((AX143-PT_First)/PT_Int)),0))-IF(AV143="FT",IF(AZ143&lt;FT_First,0,IF(AZ143&lt;FT_Y5,1+INT((AZ143-FT_First)/FT_Int1),FT_PreY5+FT_PerYear*INT((AZ143-FT_Y5)/12)+FT_AnnivDays+INT(MOD(AZ143-FT_Y5,12)/FT_Int2)-IF(EDATE(AL143,FT_Y5)&lt;PolicyEff,FT_AnnivDays-1,0))),IF(AV143="PT",IF(AZ143&lt;PT_First,0,1+INT((AZ143-PT_First)/PT_Int)),0)),0))</f>
        <v/>
      </c>
      <c r="BE143" s="16" t="str">
        <f aca="false">IF(AK143=0,"",IF(AT143="FT",IF(BB143&lt;FT_First,0,IF(BB143&lt;FT_Y5,1+INT((BB143-FT_First)/FT_Int1),FT_PreY5+FT_PerYear*INT((BB143-FT_Y5)/12)+FT_AnnivDays+INT(MOD(BB143-FT_Y5,12)/FT_Int2)-IF(EDATE(AL143,FT_Y5)&lt;PolicyEff,FT_AnnivDays-1,0))),IF(AT143="PT",IF(BB143&lt;PT_First,0,1+INT((BB143-PT_First)/PT_Int)),0))+IF(AND(AM143&gt;=2,AO143&lt;=PFYDate),IF(AU143="FT",IF(BC143&lt;FT_First,0,IF(BC143&lt;FT_Y5,1+INT((BC143-FT_First)/FT_Int1),FT_PreY5+FT_PerYear*INT((BC143-FT_Y5)/12)+FT_AnnivDays+INT(MOD(BC143-FT_Y5,12)/FT_Int2)-IF(EDATE(AL143,FT_Y5)&lt;PolicyEff,FT_AnnivDays-1,0))),IF(AU143="PT",IF(BC143&lt;PT_First,0,1+INT((BC143-PT_First)/PT_Int)),0))-IF(AU143="FT",IF(BB143&lt;FT_First,0,IF(BB143&lt;FT_Y5,1+INT((BB143-FT_First)/FT_Int1),FT_PreY5+FT_PerYear*INT((BB143-FT_Y5)/12)+FT_AnnivDays+INT(MOD(BB143-FT_Y5,12)/FT_Int2)-IF(EDATE(AL143,FT_Y5)&lt;PolicyEff,FT_AnnivDays-1,0))),IF(AU143="PT",IF(BB143&lt;PT_First,0,1+INT((BB143-PT_First)/PT_Int)),0)),0)+IF(AND(AM143&gt;=3,AP143&lt;=PFYDate),IF(AV143="FT",IF(BA143&lt;FT_First,0,IF(BA143&lt;FT_Y5,1+INT((BA143-FT_First)/FT_Int1),FT_PreY5+FT_PerYear*INT((BA143-FT_Y5)/12)+FT_AnnivDays+INT(MOD(BA143-FT_Y5,12)/FT_Int2)-IF(EDATE(AL143,FT_Y5)&lt;PolicyEff,FT_AnnivDays-1,0))),IF(AV143="PT",IF(BA143&lt;PT_First,0,1+INT((BA143-PT_First)/PT_Int)),0))-IF(AV143="FT",IF(BC143&lt;FT_First,0,IF(BC143&lt;FT_Y5,1+INT((BC143-FT_First)/FT_Int1),FT_PreY5+FT_PerYear*INT((BC143-FT_Y5)/12)+FT_AnnivDays+INT(MOD(BC143-FT_Y5,12)/FT_Int2)-IF(EDATE(AL143,FT_Y5)&lt;PolicyEff,FT_AnnivDays-1,0))),IF(AV143="PT",IF(BC143&lt;PT_First,0,1+INT((BC143-PT_First)/PT_Int)),0)),0))</f>
        <v/>
      </c>
      <c r="BF143" s="16" t="str">
        <f aca="false">IF(AK143=0,"",IF(AW143="FT",IF(AX143&lt;FT_First,FT_First,IF(AX143&lt;FT_Y5,MIN(FT_Y5,FT_First+FT_Int1*(INT((AX143-FT_First)/FT_Int1)+1)),FT_Y5+12*INT((AX143-FT_Y5)/12)+FT_Int2*(INT(MOD(AX143-FT_Y5,12)/FT_Int2)+1))),IF(AW143="PT",IF(AX143&lt;PT_First,PT_First,PT_First+PT_Int*(INT((AX143-PT_First)/PT_Int)+1)),"")))</f>
        <v/>
      </c>
      <c r="BG143" s="16" t="str">
        <f aca="false">IF(AK143=0,"",IF(NOT(LH_Ready),0,COUNTIFS(INDEX(LH_Data,0,LH_ColFirst),$A143,INDEX(LH_Data,0,LH_ColSur),$B143,INDEX(LH_Data,0,LH_ColCat),BonusCat)))</f>
        <v/>
      </c>
      <c r="BH143" s="16" t="str">
        <f aca="false">IF(AK143=0,"",IF(OR(NOT(LH_Ready),BG143=0),0,SUMPRODUCT(MAX((INDEX(LH_Data,0,LH_ColFirst)=$A143)*(INDEX(LH_Data,0,LH_ColSur)=$B143)*(INDEX(LH_Data,0,LH_ColCat)=BonusCat)*ROW(LH_Data)))))</f>
        <v/>
      </c>
      <c r="BI143" s="16" t="str">
        <f aca="false">IF(AK143=0,"",IF(EOMONTH(AsOfDate,-1)&lt;AL143,-1,12*(YEAR(EOMONTH(AsOfDate,-1))-YEAR(AL143))+MONTH(EOMONTH(AsOfDate,-1))-MONTH(AL143)-IF(DAY(EOMONTH(AsOfDate,-1))&lt;MIN(DAY(AL143),DAY(EOMONTH(EOMONTH(AsOfDate,-1),0))),1,0)))</f>
        <v/>
      </c>
      <c r="BJ143" s="16" t="str">
        <f aca="false">IF(AK143=0,"",IF(OR(AM143&lt;2,AO143&gt;EOMONTH(AsOfDate,-1)),BI143,IF((AO143-1)&lt;AL143,-1,12*(YEAR((AO143-1))-YEAR(AL143))+MONTH((AO143-1))-MONTH(AL143)-IF(DAY((AO143-1))&lt;MIN(DAY(AL143),DAY(EOMONTH((AO143-1),0))),1,0))))</f>
        <v/>
      </c>
      <c r="BK143" s="16" t="str">
        <f aca="false">IF(AK143=0,"",IF(OR(AM143&lt;3,AP143&gt;EOMONTH(AsOfDate,-1)),BI143,IF((AP143-1)&lt;AL143,-1,12*(YEAR((AP143-1))-YEAR(AL143))+MONTH((AP143-1))-MONTH(AL143)-IF(DAY((AP143-1))&lt;MIN(DAY(AL143),DAY(EOMONTH((AP143-1),0))),1,0))))</f>
        <v/>
      </c>
      <c r="BL143" s="16" t="str">
        <f aca="false">IF(AK143=0,"",IF(AT143="FT",IF(BJ143&lt;FT_First,0,IF(BJ143&lt;FT_Y5,1+INT((BJ143-FT_First)/FT_Int1),FT_PreY5+FT_PerYear*INT((BJ143-FT_Y5)/12)+FT_AnnivDays+INT(MOD(BJ143-FT_Y5,12)/FT_Int2)-IF(EDATE(AL143,FT_Y5)&lt;PolicyEff,FT_AnnivDays-1,0))),IF(AT143="PT",IF(BJ143&lt;PT_First,0,1+INT((BJ143-PT_First)/PT_Int)),0))+IF(AND(AM143&gt;=2,AO143&lt;=EOMONTH(AsOfDate,-1)),IF(AU143="FT",IF(BK143&lt;FT_First,0,IF(BK143&lt;FT_Y5,1+INT((BK143-FT_First)/FT_Int1),FT_PreY5+FT_PerYear*INT((BK143-FT_Y5)/12)+FT_AnnivDays+INT(MOD(BK143-FT_Y5,12)/FT_Int2)-IF(EDATE(AL143,FT_Y5)&lt;PolicyEff,FT_AnnivDays-1,0))),IF(AU143="PT",IF(BK143&lt;PT_First,0,1+INT((BK143-PT_First)/PT_Int)),0))-IF(AU143="FT",IF(BJ143&lt;FT_First,0,IF(BJ143&lt;FT_Y5,1+INT((BJ143-FT_First)/FT_Int1),FT_PreY5+FT_PerYear*INT((BJ143-FT_Y5)/12)+FT_AnnivDays+INT(MOD(BJ143-FT_Y5,12)/FT_Int2)-IF(EDATE(AL143,FT_Y5)&lt;PolicyEff,FT_AnnivDays-1,0))),IF(AU143="PT",IF(BJ143&lt;PT_First,0,1+INT((BJ143-PT_First)/PT_Int)),0)),0)+IF(AND(AM143&gt;=3,AP143&lt;=EOMONTH(AsOfDate,-1)),IF(AV143="FT",IF(BI143&lt;FT_First,0,IF(BI143&lt;FT_Y5,1+INT((BI143-FT_First)/FT_Int1),FT_PreY5+FT_PerYear*INT((BI143-FT_Y5)/12)+FT_AnnivDays+INT(MOD(BI143-FT_Y5,12)/FT_Int2)-IF(EDATE(AL143,FT_Y5)&lt;PolicyEff,FT_AnnivDays-1,0))),IF(AV143="PT",IF(BI143&lt;PT_First,0,1+INT((BI143-PT_First)/PT_Int)),0))-IF(AV143="FT",IF(BK143&lt;FT_First,0,IF(BK143&lt;FT_Y5,1+INT((BK143-FT_First)/FT_Int1),FT_PreY5+FT_PerYear*INT((BK143-FT_Y5)/12)+FT_AnnivDays+INT(MOD(BK143-FT_Y5,12)/FT_Int2)-IF(EDATE(AL143,FT_Y5)&lt;PolicyEff,FT_AnnivDays-1,0))),IF(AV143="PT",IF(BK143&lt;PT_First,0,1+INT((BK143-PT_First)/PT_Int)),0)),0))</f>
        <v/>
      </c>
      <c r="BM143" s="16" t="str">
        <f aca="false">IF(AK143=0,"",IF(AW143="FT",IF(AX143&lt;FT_First,"",IF(AX143&lt;FT_Y5,FT_First+FT_Int1*INT((AX143-FT_First)/FT_Int1),FT_Y5+FT_Int2*INT((AX143-FT_Y5)/FT_Int2))),IF(AW143="PT",IF(AX143&lt;PT_First,"",PT_First+PT_Int*INT((AX143-PT_First)/PT_Int)),"")))</f>
        <v/>
      </c>
      <c r="BN143" s="16" t="str">
        <f aca="false">IF(AK143=0,"",IF((SchemeStart-1)&lt;AL143,-1,12*(YEAR((SchemeStart-1))-YEAR(AL143))+MONTH((SchemeStart-1))-MONTH(AL143)-IF(DAY((SchemeStart-1))&lt;MIN(DAY(AL143),DAY(EOMONTH((SchemeStart-1),0))),1,0)))</f>
        <v/>
      </c>
      <c r="BO143" s="16" t="str">
        <f aca="false">IF(AK143=0,"",IF(OR(AM143&lt;2,AO143&gt;(SchemeStart-1)),BN143,IF((AO143-1)&lt;AL143,-1,12*(YEAR((AO143-1))-YEAR(AL143))+MONTH((AO143-1))-MONTH(AL143)-IF(DAY((AO143-1))&lt;MIN(DAY(AL143),DAY(EOMONTH((AO143-1),0))),1,0))))</f>
        <v/>
      </c>
      <c r="BP143" s="16" t="str">
        <f aca="false">IF(AK143=0,"",IF(OR(AM143&lt;3,AP143&gt;(SchemeStart-1)),BN143,IF((AP143-1)&lt;AL143,-1,12*(YEAR((AP143-1))-YEAR(AL143))+MONTH((AP143-1))-MONTH(AL143)-IF(DAY((AP143-1))&lt;MIN(DAY(AL143),DAY(EOMONTH((AP143-1),0))),1,0))))</f>
        <v/>
      </c>
      <c r="BQ143" s="16" t="str">
        <f aca="false">IF(AK143=0,"",IF(AT143="FT",IF(BO143&lt;FT_First,0,IF(BO143&lt;FT_Y5,1+INT((BO143-FT_First)/FT_Int1),FT_PreY5+FT_PerYear*INT((BO143-FT_Y5)/12)+FT_AnnivDays+INT(MOD(BO143-FT_Y5,12)/FT_Int2)-IF(EDATE(AL143,FT_Y5)&lt;PolicyEff,FT_AnnivDays-1,0))),IF(AT143="PT",IF(BO143&lt;PT_First,0,1+INT((BO143-PT_First)/PT_Int)),0))+IF(AND(AM143&gt;=2,AO143&lt;=(SchemeStart-1)),IF(AU143="FT",IF(BP143&lt;FT_First,0,IF(BP143&lt;FT_Y5,1+INT((BP143-FT_First)/FT_Int1),FT_PreY5+FT_PerYear*INT((BP143-FT_Y5)/12)+FT_AnnivDays+INT(MOD(BP143-FT_Y5,12)/FT_Int2)-IF(EDATE(AL143,FT_Y5)&lt;PolicyEff,FT_AnnivDays-1,0))),IF(AU143="PT",IF(BP143&lt;PT_First,0,1+INT((BP143-PT_First)/PT_Int)),0))-IF(AU143="FT",IF(BO143&lt;FT_First,0,IF(BO143&lt;FT_Y5,1+INT((BO143-FT_First)/FT_Int1),FT_PreY5+FT_PerYear*INT((BO143-FT_Y5)/12)+FT_AnnivDays+INT(MOD(BO143-FT_Y5,12)/FT_Int2)-IF(EDATE(AL143,FT_Y5)&lt;PolicyEff,FT_AnnivDays-1,0))),IF(AU143="PT",IF(BO143&lt;PT_First,0,1+INT((BO143-PT_First)/PT_Int)),0)),0)+IF(AND(AM143&gt;=3,AP143&lt;=(SchemeStart-1)),IF(AV143="FT",IF(BN143&lt;FT_First,0,IF(BN143&lt;FT_Y5,1+INT((BN143-FT_First)/FT_Int1),FT_PreY5+FT_PerYear*INT((BN143-FT_Y5)/12)+FT_AnnivDays+INT(MOD(BN143-FT_Y5,12)/FT_Int2)-IF(EDATE(AL143,FT_Y5)&lt;PolicyEff,FT_AnnivDays-1,0))),IF(AV143="PT",IF(BN143&lt;PT_First,0,1+INT((BN143-PT_First)/PT_Int)),0))-IF(AV143="FT",IF(BP143&lt;FT_First,0,IF(BP143&lt;FT_Y5,1+INT((BP143-FT_First)/FT_Int1),FT_PreY5+FT_PerYear*INT((BP143-FT_Y5)/12)+FT_AnnivDays+INT(MOD(BP143-FT_Y5,12)/FT_Int2)-IF(EDATE(AL143,FT_Y5)&lt;PolicyEff,FT_AnnivDays-1,0))),IF(AV143="PT",IF(BP143&lt;PT_First,0,1+INT((BP143-PT_First)/PT_Int)),0)),0))</f>
        <v/>
      </c>
      <c r="BR143" s="0" t="str">
        <f aca="false">IF(LEN($A143&amp;$B143)=0,"",$A143&amp;" "&amp;$B143)</f>
        <v/>
      </c>
    </row>
    <row r="144" customFormat="false" ht="15" hidden="false" customHeight="false" outlineLevel="0" collapsed="false">
      <c r="A144" s="12"/>
      <c r="B144" s="12"/>
      <c r="C144" s="12"/>
      <c r="D144" s="13"/>
      <c r="E144" s="14" t="str">
        <f aca="false">IF(OR(AK144=0,$D144=""),"",DATE(YEAR(AsOfDate)+IF(DATE(YEAR(AsOfDate),MONTH($D144),DAY($D144))&lt;=AsOfDate,1,0),MONTH($D144),DAY($D144)))</f>
        <v/>
      </c>
      <c r="F144" s="13"/>
      <c r="G144" s="13"/>
      <c r="H144" s="13"/>
      <c r="I144" s="13"/>
      <c r="J144" s="13"/>
      <c r="K144" s="14" t="str">
        <f aca="false">IF(AK144=0,"",DATE(YEAR(AsOfDate)+IF(DATE(YEAR(AsOfDate),MONTH(AL144),DAY(AL144))&lt;=AsOfDate,1,0),MONTH(AL144),DAY(AL144)))</f>
        <v/>
      </c>
      <c r="L144" s="15" t="str">
        <f aca="false">IF(AK144=0,"",ROUND((AsOfDate-AL144)/365.25,1))</f>
        <v/>
      </c>
      <c r="M144" s="16" t="str">
        <f aca="false">IF(AK144=0,"",IF(AsOfDate&lt;AL144,"-",DATEDIF(AL144,AsOfDate,"y")&amp;"y "&amp;DATEDIF(AL144,AsOfDate,"ym")&amp;"m "&amp;DATEDIF(AL144,AsOfDate,"md")&amp;"d"))</f>
        <v/>
      </c>
      <c r="N144" s="17" t="str">
        <f aca="false">IF(AK144=0,"",O144*HoursPerDay)</f>
        <v/>
      </c>
      <c r="O144" s="17" t="str">
        <f aca="false">IF(AK144=0,"",MAX(0,BD144-BQ144))</f>
        <v/>
      </c>
      <c r="P144" s="18"/>
      <c r="Q144" s="16" t="str">
        <f aca="false">IF(AK144=0,"",IF(AM144&lt;2,"",AQ144&amp;" to "&amp;AR144&amp;" on "&amp;TEXT(AO144,"dd/mm/yyyy")&amp;IF(AO144&gt;AsOfDate," (future)",IF(AT144=AU144,"",IF(AU144="None"," - STOPPED accruing",IF(AT144="None"," - commencement for Bonus Leave"," - pathway changed"))))&amp;IF(AM144&lt;3,"","; "&amp;AR144&amp;" to "&amp;AS144&amp;" on "&amp;TEXT(AP144,"dd/mm/yyyy")&amp;IF(AP144&gt;AsOfDate," (future)",IF(AU144=AV144,"",IF(AV144="None"," - STOPPED accruing",IF(AU144="None"," - commencement for Bonus Leave"," - pathway changed")))))))</f>
        <v/>
      </c>
      <c r="R144" s="16" t="str">
        <f aca="false">IF(AK144=0,"",IF(AW144="None",IF(O144&gt;0,"No longer accruing","Not eligible - "&amp;IF(AND(OR(ISNUMBER(SEARCH("part",$C144)),UPPER(TRIM($C144))="PT",UPPER(TRIM($C144))="PTE"),Apply2026="No"),"part-time (scheme is full-time only)",IF(AND(OR(ISNUMBER(SEARCH("part",$C144)),UPPER(TRIM($C144))="PT",UPPER(TRIM($C144))="PTE"),$P144&lt;&gt;"",N($P144)&lt;PT_MinHours),"under "&amp;PT_MinHours&amp;" hrs",IF(IF($C144="","",IF(OR(ISNUMBER(SEARCH("full",$C144)),UPPER(TRIM($C144))="FT",UPPER(TRIM($C144))="FTE"),"Full-Time",IF(OR(ISNUMBER(SEARCH("part",$C144)),UPPER(TRIM($C144))="PT",UPPER(TRIM($C144))="PTE"),"Part-Time",IF(OR(ISNUMBER(SEARCH("cas",$C144)),UPPER(TRIM($C144))="CAS"),"Casual","Unknown"))))="Unknown","type not recognised",$C144)))),IF(O144&gt;0,"Yes - Accrual Required","Not yet - from "&amp;TEXT(S144,"dd/mm/yyyy"))))</f>
        <v/>
      </c>
      <c r="S144" s="14" t="str">
        <f aca="false">IF(AK144=0,"",IF(AW144="None","",EDATE(AL144,BF144)))</f>
        <v/>
      </c>
      <c r="T144" s="17" t="str">
        <f aca="false">IF(AK144=0,"",IF(NOT(LH_Ready),"",IF($F144&gt;PFYDate,0,IF(LH_ColPeriod=0,W144-U144+V144,SUMIFS(INDEX(LH_Data,0,LH_ColAcc),INDEX(LH_Data,0,LH_ColFirst),$A144,INDEX(LH_Data,0,LH_ColSur),$B144,INDEX(LH_Data,0,LH_ColCat),BonusCat,INDEX(LH_Data,0,LH_ColPeriod),LH_OpenLabel)*UnitFactor))))</f>
        <v/>
      </c>
      <c r="U144" s="17" t="str">
        <f aca="false">IF(AK144=0,"",IF(NOT(LH_Ready),"",SUMIFS(INDEX(LH_Data,0,LH_ColAcc),INDEX(LH_Data,0,LH_ColFirst),$A144,INDEX(LH_Data,0,LH_ColSur),$B144,INDEX(LH_Data,0,LH_ColCat),BonusCat,INDEX(LH_Data,0,LH_ColStart),"&gt;="&amp;AL144)*UnitFactor))</f>
        <v/>
      </c>
      <c r="V144" s="17" t="str">
        <f aca="false">IF(AK144=0,"",IF(NOT(LH_Ready),"",SUMIFS(INDEX(LH_Data,0,LH_ColTaken),INDEX(LH_Data,0,LH_ColFirst),$A144,INDEX(LH_Data,0,LH_ColSur),$B144,INDEX(LH_Data,0,LH_ColCat),BonusCat,INDEX(LH_Data,0,LH_ColStart),"&gt;="&amp;AL144)*UnitFactor))</f>
        <v/>
      </c>
      <c r="W144" s="17" t="str">
        <f aca="false">IF(AK144=0,"",IF(NOT(LH_Ready),"",IF(BH144=0,0,INDEX(INDEX(LH_Data,0,LH_ColClose),BH144-1)*UnitFactor)))</f>
        <v/>
      </c>
      <c r="X144" s="17" t="str">
        <f aca="false">IF(AK144=0,"",(MAX(0,BD144-BQ144)-MAX(0,BE144-BQ144))*HoursPerDay)</f>
        <v/>
      </c>
      <c r="Y144" s="17" t="str">
        <f aca="false">IF(AK144=0,"",IF(NOT(LH_Ready),"",IF($AI144="Yes",N(AE144)*HoursPerDay-SUMIFS(INDEX(LH_Data,0,LH_ColAcc),INDEX(LH_Data,0,LH_ColFirst),$A144,INDEX(LH_Data,0,LH_ColSur),$B144,INDEX(LH_Data,0,LH_ColCat),BonusCat,INDEX(LH_Data,0,LH_ColStart),"&gt;="&amp;(EOMONTH(AsOfDate,-1)+1),INDEX(LH_Data,0,LH_ColStart),"&lt;="&amp;AsOfDate)*UnitFactor,IF(BG144=0,N144,N144-N(T144)-N(U144)))))</f>
        <v/>
      </c>
      <c r="Z144" s="16" t="str">
        <f aca="false">IF(OR(AK144=0,Y144=""),"",IF(Y144&gt;0,"Yes","No"))</f>
        <v/>
      </c>
      <c r="AA144" s="16" t="str">
        <f aca="false">IF(AK144=0,IF(LEN($A144&amp;$B144)=0,"","FIX INPUT - StartDate missing"),IF(AD144&lt;&gt;"","FIX INPUT - "&amp;AD144,IF(NOT(LH_Ready),"Paste Leave History export (Settings must show YES)",IF(AND($AI144="Yes",Y144&lt;=0),"OK - EH balance accepted to date"&amp;IF(N(AH144)&gt;0," (EH holds "&amp;AH144&amp;" hrs over the scheme)","")&amp;"; next day "&amp;TEXT(S144,"dd mmm yy")&amp;IF(N(AE144)&gt;0," ("&amp;AE144&amp;" day(s) for "&amp;UPPER(TEXT(AsOfDate,"mmm yyyy"))&amp;" already in EH)",""),IF(Y144&gt;0,"ACCRUE "&amp;ROUND(Y144,2)&amp;" hrs ("&amp;ROUND(Y144/HoursPerDay,2)&amp;" days): "&amp;IF(N(AE144)&gt;0,AE144&amp;" day(s) for "&amp;UPPER(TEXT(AsOfDate,"mmm yyyy"))&amp;" (milestone "&amp;UPPER(TEXT(AF144,"dd mmm yy"))&amp;")"&amp;IF(Y144/HoursPerDay&gt;AE144+0.001," + "&amp;ROUND(Y144/HoursPerDay-AE144,2)&amp;" day(s) catch-up from earlier months",""),"all catch-up from earlier months, nothing new this month")&amp;IF(BG144=0,"; no Bonus Leave in EH yet",""),IF(Y144&lt;0,"CHECK - EH accrued "&amp;ROUND(-Y144,2)&amp;" hrs more than policy since commencement",IF(N(W144)&gt;O144*HoursPerDay+0.01,"CHECK - EH balance "&amp;ROUND(W144-O144*HoursPerDay,2)&amp;" hrs more than policy entitlement",IF(O144&gt;0,"OK - nothing to add"&amp;IF(N(AE144)&gt;0," ("&amp;AE144&amp;" day(s) for "&amp;UPPER(TEXT(AsOfDate,"mmm yyyy"))&amp;" already in EH)",""),IF(AW144="None",R144,"Not yet - first day on "&amp;TEXT(S144,"dd/mm/yyyy"))))))))))</f>
        <v/>
      </c>
      <c r="AB144" s="17" t="str">
        <f aca="false">IF(OR(AK144=0,T144=""),"",MAX(0,BE144-BQ144)*HoursPerDay-T144)</f>
        <v/>
      </c>
      <c r="AC144" s="16" t="str">
        <f aca="false">IF(AK144=0,"",BG144)</f>
        <v/>
      </c>
      <c r="AD144" s="16" t="str">
        <f aca="false">IF(AK144=0,"",TRIM(IF(OR(ISTEXT($F144),ISTEXT($H144),ISTEXT($I144),ISTEXT($G144),ISTEXT($J144),ISTEXT($D144)),"A date is typed as text - retype it as dd/mm/yyyy. ","")&amp;IF(IF($C144="","",IF(OR(ISNUMBER(SEARCH("full",$C144)),UPPER(TRIM($C144))="FT",UPPER(TRIM($C144))="FTE"),"Full-Time",IF(OR(ISNUMBER(SEARCH("part",$C144)),UPPER(TRIM($C144))="PT",UPPER(TRIM($C144))="PTE"),"Part-Time",IF(OR(ISNUMBER(SEARCH("cas",$C144)),UPPER(TRIM($C144))="CAS"),"Casual","Unknown"))))="Unknown","EmploymentType not recognised - use Full-Time, Part-Time or Casual. ","")&amp;IF(AND(AM144&gt;=1,IF(AM144&gt;=3,AS144,IF(AM144=2,AR144,AQ144))&lt;&gt;IF($C144="","",IF(OR(ISNUMBER(SEARCH("full",$C144)),UPPER(TRIM($C144))="FT",UPPER(TRIM($C144))="FTE"),"Full-Time",IF(OR(ISNUMBER(SEARCH("part",$C144)),UPPER(TRIM($C144))="PT",UPPER(TRIM($C144))="PTE"),"Part-Time",IF(OR(ISNUMBER(SEARCH("cas",$C144)),UPPER(TRIM($C144))="CAS"),"Casual","Unknown"))))),"EmploymentType does not match latest start date ("&amp;IF(AM144&gt;=3,AS144,IF(AM144=2,AR144,AQ144))&amp;"). ","")&amp;IF(AND(AM144&gt;=1,AN144&lt;&gt;$F144),"Earliest type date should equal StartDate. ","")&amp;IF(AND(AM144&gt;=2,AN144=AO144),"Two types start on the same date. ","")&amp;IF(AND(OR(ISNUMBER(SEARCH("part",$C144)),UPPER(TRIM($C144))="PT",UPPER(TRIM($C144))="PTE"),$P144=""),"Part-time: enter PT Hrs/Week (blank = 24+). ","")))</f>
        <v/>
      </c>
      <c r="AE144" s="17" t="str">
        <f aca="false">IF(AK144=0,"",O144-MAX(0,BL144-BQ144))</f>
        <v/>
      </c>
      <c r="AF144" s="14" t="str">
        <f aca="false">IF(OR(AK144=0,AE144="",N(AE144)=0,BM144=""),"",EDATE(AL144,BM144))</f>
        <v/>
      </c>
      <c r="AG144" s="17" t="str">
        <f aca="false">IF(AK144=0,"",MIN(BD144,BQ144))</f>
        <v/>
      </c>
      <c r="AH144" s="17" t="str">
        <f aca="false">IF(AK144=0,"",IF(NOT(LH_Ready),"",IF(BG144=0,0,MAX(0,ROUND(N(T144)+N(U144)-N144,2)))))</f>
        <v/>
      </c>
      <c r="AI144" s="12"/>
      <c r="AJ144" s="12"/>
      <c r="AK144" s="16" t="n">
        <f aca="false">IF(OR(LEN($A144&amp;$B144)=0,$F144=""),0,1)</f>
        <v>0</v>
      </c>
      <c r="AL144" s="14" t="str">
        <f aca="false">IF(AK144=0,"",IF(PreSchemeCounts="No",MAX(SchemeStart,IF($J144&lt;&gt;"",$J144,IF(OR(CasualCounts="Yes",COUNT($G144:$I144)=0),$F144,IF(Apply2026="No",IF($I144="",$F144,$I144),IF(COUNT($H144:$I144)=0,$F144,MIN($H144:$I144)))))),IF($J144&lt;&gt;"",$J144,IF(OR(CasualCounts="Yes",COUNT($G144:$I144)=0),$F144,IF(Apply2026="No",IF($I144="",$F144,$I144),IF(COUNT($H144:$I144)=0,$F144,MIN($H144:$I144)))))))</f>
        <v/>
      </c>
      <c r="AM144" s="16" t="str">
        <f aca="false">IF(AK144=0,"",COUNT($G144:$I144))</f>
        <v/>
      </c>
      <c r="AN144" s="14" t="str">
        <f aca="false">IF(AK144=0,"",IFERROR(SMALL($G144:$I144,1),""))</f>
        <v/>
      </c>
      <c r="AO144" s="14" t="str">
        <f aca="false">IF(AK144=0,"",IFERROR(SMALL($G144:$I144,2),""))</f>
        <v/>
      </c>
      <c r="AP144" s="14" t="str">
        <f aca="false">IF(AK144=0,"",IFERROR(SMALL($G144:$I144,3),""))</f>
        <v/>
      </c>
      <c r="AQ144" s="16" t="str">
        <f aca="false">IF(AK144=0,"",IF(AN144="","",IF(AN144=$H144,"Part-Time",IF(AN144=$I144,"Full-Time","Casual"))))</f>
        <v/>
      </c>
      <c r="AR144" s="16" t="str">
        <f aca="false">IF(AK144=0,"",IF(AO144="","",IF(AO144=$H144,"Part-Time",IF(AO144=$I144,"Full-Time","Casual"))))</f>
        <v/>
      </c>
      <c r="AS144" s="16" t="str">
        <f aca="false">IF(AK144=0,"",IF(AP144="","",IF(AP144=$H144,"Part-Time",IF(AP144=$I144,"Full-Time","Casual"))))</f>
        <v/>
      </c>
      <c r="AT144" s="16" t="str">
        <f aca="false">IF(AK144=0,"",IF(AM144=0,IF(OR(ISNUMBER(SEARCH("full",$C144)),UPPER(TRIM($C144))="FT",UPPER(TRIM($C144))="FTE"),"FT",IF(AND(OR(ISNUMBER(SEARCH("part",$C144)),UPPER(TRIM($C144))="PT",UPPER(TRIM($C144))="PTE"),Apply2026="Yes",OR($P144="",N($P144)&gt;=PT_MinHours)),"PT","None")),IF(OR(ISNUMBER(SEARCH("full",AQ144)),UPPER(TRIM(AQ144))="FT",UPPER(TRIM(AQ144))="FTE"),"FT",IF(AND(OR(ISNUMBER(SEARCH("part",AQ144)),UPPER(TRIM(AQ144))="PT",UPPER(TRIM(AQ144))="PTE"),Apply2026="Yes",OR($P144="",N($P144)&gt;=PT_MinHours)),"PT","None"))))</f>
        <v/>
      </c>
      <c r="AU144" s="16" t="str">
        <f aca="false">IF(AK144=0,"",IF(AM144&lt;2,"",IF(OR(ISNUMBER(SEARCH("full",AR144)),UPPER(TRIM(AR144))="FT",UPPER(TRIM(AR144))="FTE"),"FT",IF(AND(OR(ISNUMBER(SEARCH("part",AR144)),UPPER(TRIM(AR144))="PT",UPPER(TRIM(AR144))="PTE"),Apply2026="Yes",OR($P144="",N($P144)&gt;=PT_MinHours)),"PT","None"))))</f>
        <v/>
      </c>
      <c r="AV144" s="16" t="str">
        <f aca="false">IF(AK144=0,"",IF(AM144&lt;3,"",IF(OR(ISNUMBER(SEARCH("full",AS144)),UPPER(TRIM(AS144))="FT",UPPER(TRIM(AS144))="FTE"),"FT",IF(AND(OR(ISNUMBER(SEARCH("part",AS144)),UPPER(TRIM(AS144))="PT",UPPER(TRIM(AS144))="PTE"),Apply2026="Yes",OR($P144="",N($P144)&gt;=PT_MinHours)),"PT","None"))))</f>
        <v/>
      </c>
      <c r="AW144" s="16" t="str">
        <f aca="false">IF(AK144=0,"",IF(AND(AM144&gt;=3,AP144&lt;=AsOfDate),AV144,IF(AND(AM144&gt;=2,AO144&lt;=AsOfDate),AU144,AT144)))</f>
        <v/>
      </c>
      <c r="AX144" s="16" t="str">
        <f aca="false">IF(AK144=0,"",IF(AsOfDate&lt;AL144,-1,12*(YEAR(AsOfDate)-YEAR(AL144))+MONTH(AsOfDate)-MONTH(AL144)-IF(DAY(AsOfDate)&lt;MIN(DAY(AL144),DAY(EOMONTH(AsOfDate,0))),1,0)))</f>
        <v/>
      </c>
      <c r="AY144" s="16" t="str">
        <f aca="false">IF(AK144=0,"",IF(OR(AM144&lt;2,AO144&gt;AsOfDate),AX144,IF((AO144-1)&lt;AL144,-1,12*(YEAR((AO144-1))-YEAR(AL144))+MONTH((AO144-1))-MONTH(AL144)-IF(DAY((AO144-1))&lt;MIN(DAY(AL144),DAY(EOMONTH((AO144-1),0))),1,0))))</f>
        <v/>
      </c>
      <c r="AZ144" s="16" t="str">
        <f aca="false">IF(AK144=0,"",IF(OR(AM144&lt;3,AP144&gt;AsOfDate),AX144,IF((AP144-1)&lt;AL144,-1,12*(YEAR((AP144-1))-YEAR(AL144))+MONTH((AP144-1))-MONTH(AL144)-IF(DAY((AP144-1))&lt;MIN(DAY(AL144),DAY(EOMONTH((AP144-1),0))),1,0))))</f>
        <v/>
      </c>
      <c r="BA144" s="16" t="str">
        <f aca="false">IF(AK144=0,"",IF(PFYDate&lt;AL144,-1,12*(YEAR(PFYDate)-YEAR(AL144))+MONTH(PFYDate)-MONTH(AL144)-IF(DAY(PFYDate)&lt;MIN(DAY(AL144),DAY(EOMONTH(PFYDate,0))),1,0)))</f>
        <v/>
      </c>
      <c r="BB144" s="16" t="str">
        <f aca="false">IF(AK144=0,"",IF(OR(AM144&lt;2,AO144&gt;PFYDate),BA144,IF((AO144-1)&lt;AL144,-1,12*(YEAR((AO144-1))-YEAR(AL144))+MONTH((AO144-1))-MONTH(AL144)-IF(DAY((AO144-1))&lt;MIN(DAY(AL144),DAY(EOMONTH((AO144-1),0))),1,0))))</f>
        <v/>
      </c>
      <c r="BC144" s="16" t="str">
        <f aca="false">IF(AK144=0,"",IF(OR(AM144&lt;3,AP144&gt;PFYDate),BA144,IF((AP144-1)&lt;AL144,-1,12*(YEAR((AP144-1))-YEAR(AL144))+MONTH((AP144-1))-MONTH(AL144)-IF(DAY((AP144-1))&lt;MIN(DAY(AL144),DAY(EOMONTH((AP144-1),0))),1,0))))</f>
        <v/>
      </c>
      <c r="BD144" s="16" t="str">
        <f aca="false">IF(AK144=0,"",IF(AT144="FT",IF(AY144&lt;FT_First,0,IF(AY144&lt;FT_Y5,1+INT((AY144-FT_First)/FT_Int1),FT_PreY5+FT_PerYear*INT((AY144-FT_Y5)/12)+FT_AnnivDays+INT(MOD(AY144-FT_Y5,12)/FT_Int2)-IF(EDATE(AL144,FT_Y5)&lt;PolicyEff,FT_AnnivDays-1,0))),IF(AT144="PT",IF(AY144&lt;PT_First,0,1+INT((AY144-PT_First)/PT_Int)),0))+IF(AND(AM144&gt;=2,AO144&lt;=AsOfDate),IF(AU144="FT",IF(AZ144&lt;FT_First,0,IF(AZ144&lt;FT_Y5,1+INT((AZ144-FT_First)/FT_Int1),FT_PreY5+FT_PerYear*INT((AZ144-FT_Y5)/12)+FT_AnnivDays+INT(MOD(AZ144-FT_Y5,12)/FT_Int2)-IF(EDATE(AL144,FT_Y5)&lt;PolicyEff,FT_AnnivDays-1,0))),IF(AU144="PT",IF(AZ144&lt;PT_First,0,1+INT((AZ144-PT_First)/PT_Int)),0))-IF(AU144="FT",IF(AY144&lt;FT_First,0,IF(AY144&lt;FT_Y5,1+INT((AY144-FT_First)/FT_Int1),FT_PreY5+FT_PerYear*INT((AY144-FT_Y5)/12)+FT_AnnivDays+INT(MOD(AY144-FT_Y5,12)/FT_Int2)-IF(EDATE(AL144,FT_Y5)&lt;PolicyEff,FT_AnnivDays-1,0))),IF(AU144="PT",IF(AY144&lt;PT_First,0,1+INT((AY144-PT_First)/PT_Int)),0)),0)+IF(AND(AM144&gt;=3,AP144&lt;=AsOfDate),IF(AV144="FT",IF(AX144&lt;FT_First,0,IF(AX144&lt;FT_Y5,1+INT((AX144-FT_First)/FT_Int1),FT_PreY5+FT_PerYear*INT((AX144-FT_Y5)/12)+FT_AnnivDays+INT(MOD(AX144-FT_Y5,12)/FT_Int2)-IF(EDATE(AL144,FT_Y5)&lt;PolicyEff,FT_AnnivDays-1,0))),IF(AV144="PT",IF(AX144&lt;PT_First,0,1+INT((AX144-PT_First)/PT_Int)),0))-IF(AV144="FT",IF(AZ144&lt;FT_First,0,IF(AZ144&lt;FT_Y5,1+INT((AZ144-FT_First)/FT_Int1),FT_PreY5+FT_PerYear*INT((AZ144-FT_Y5)/12)+FT_AnnivDays+INT(MOD(AZ144-FT_Y5,12)/FT_Int2)-IF(EDATE(AL144,FT_Y5)&lt;PolicyEff,FT_AnnivDays-1,0))),IF(AV144="PT",IF(AZ144&lt;PT_First,0,1+INT((AZ144-PT_First)/PT_Int)),0)),0))</f>
        <v/>
      </c>
      <c r="BE144" s="16" t="str">
        <f aca="false">IF(AK144=0,"",IF(AT144="FT",IF(BB144&lt;FT_First,0,IF(BB144&lt;FT_Y5,1+INT((BB144-FT_First)/FT_Int1),FT_PreY5+FT_PerYear*INT((BB144-FT_Y5)/12)+FT_AnnivDays+INT(MOD(BB144-FT_Y5,12)/FT_Int2)-IF(EDATE(AL144,FT_Y5)&lt;PolicyEff,FT_AnnivDays-1,0))),IF(AT144="PT",IF(BB144&lt;PT_First,0,1+INT((BB144-PT_First)/PT_Int)),0))+IF(AND(AM144&gt;=2,AO144&lt;=PFYDate),IF(AU144="FT",IF(BC144&lt;FT_First,0,IF(BC144&lt;FT_Y5,1+INT((BC144-FT_First)/FT_Int1),FT_PreY5+FT_PerYear*INT((BC144-FT_Y5)/12)+FT_AnnivDays+INT(MOD(BC144-FT_Y5,12)/FT_Int2)-IF(EDATE(AL144,FT_Y5)&lt;PolicyEff,FT_AnnivDays-1,0))),IF(AU144="PT",IF(BC144&lt;PT_First,0,1+INT((BC144-PT_First)/PT_Int)),0))-IF(AU144="FT",IF(BB144&lt;FT_First,0,IF(BB144&lt;FT_Y5,1+INT((BB144-FT_First)/FT_Int1),FT_PreY5+FT_PerYear*INT((BB144-FT_Y5)/12)+FT_AnnivDays+INT(MOD(BB144-FT_Y5,12)/FT_Int2)-IF(EDATE(AL144,FT_Y5)&lt;PolicyEff,FT_AnnivDays-1,0))),IF(AU144="PT",IF(BB144&lt;PT_First,0,1+INT((BB144-PT_First)/PT_Int)),0)),0)+IF(AND(AM144&gt;=3,AP144&lt;=PFYDate),IF(AV144="FT",IF(BA144&lt;FT_First,0,IF(BA144&lt;FT_Y5,1+INT((BA144-FT_First)/FT_Int1),FT_PreY5+FT_PerYear*INT((BA144-FT_Y5)/12)+FT_AnnivDays+INT(MOD(BA144-FT_Y5,12)/FT_Int2)-IF(EDATE(AL144,FT_Y5)&lt;PolicyEff,FT_AnnivDays-1,0))),IF(AV144="PT",IF(BA144&lt;PT_First,0,1+INT((BA144-PT_First)/PT_Int)),0))-IF(AV144="FT",IF(BC144&lt;FT_First,0,IF(BC144&lt;FT_Y5,1+INT((BC144-FT_First)/FT_Int1),FT_PreY5+FT_PerYear*INT((BC144-FT_Y5)/12)+FT_AnnivDays+INT(MOD(BC144-FT_Y5,12)/FT_Int2)-IF(EDATE(AL144,FT_Y5)&lt;PolicyEff,FT_AnnivDays-1,0))),IF(AV144="PT",IF(BC144&lt;PT_First,0,1+INT((BC144-PT_First)/PT_Int)),0)),0))</f>
        <v/>
      </c>
      <c r="BF144" s="16" t="str">
        <f aca="false">IF(AK144=0,"",IF(AW144="FT",IF(AX144&lt;FT_First,FT_First,IF(AX144&lt;FT_Y5,MIN(FT_Y5,FT_First+FT_Int1*(INT((AX144-FT_First)/FT_Int1)+1)),FT_Y5+12*INT((AX144-FT_Y5)/12)+FT_Int2*(INT(MOD(AX144-FT_Y5,12)/FT_Int2)+1))),IF(AW144="PT",IF(AX144&lt;PT_First,PT_First,PT_First+PT_Int*(INT((AX144-PT_First)/PT_Int)+1)),"")))</f>
        <v/>
      </c>
      <c r="BG144" s="16" t="str">
        <f aca="false">IF(AK144=0,"",IF(NOT(LH_Ready),0,COUNTIFS(INDEX(LH_Data,0,LH_ColFirst),$A144,INDEX(LH_Data,0,LH_ColSur),$B144,INDEX(LH_Data,0,LH_ColCat),BonusCat)))</f>
        <v/>
      </c>
      <c r="BH144" s="16" t="str">
        <f aca="false">IF(AK144=0,"",IF(OR(NOT(LH_Ready),BG144=0),0,SUMPRODUCT(MAX((INDEX(LH_Data,0,LH_ColFirst)=$A144)*(INDEX(LH_Data,0,LH_ColSur)=$B144)*(INDEX(LH_Data,0,LH_ColCat)=BonusCat)*ROW(LH_Data)))))</f>
        <v/>
      </c>
      <c r="BI144" s="16" t="str">
        <f aca="false">IF(AK144=0,"",IF(EOMONTH(AsOfDate,-1)&lt;AL144,-1,12*(YEAR(EOMONTH(AsOfDate,-1))-YEAR(AL144))+MONTH(EOMONTH(AsOfDate,-1))-MONTH(AL144)-IF(DAY(EOMONTH(AsOfDate,-1))&lt;MIN(DAY(AL144),DAY(EOMONTH(EOMONTH(AsOfDate,-1),0))),1,0)))</f>
        <v/>
      </c>
      <c r="BJ144" s="16" t="str">
        <f aca="false">IF(AK144=0,"",IF(OR(AM144&lt;2,AO144&gt;EOMONTH(AsOfDate,-1)),BI144,IF((AO144-1)&lt;AL144,-1,12*(YEAR((AO144-1))-YEAR(AL144))+MONTH((AO144-1))-MONTH(AL144)-IF(DAY((AO144-1))&lt;MIN(DAY(AL144),DAY(EOMONTH((AO144-1),0))),1,0))))</f>
        <v/>
      </c>
      <c r="BK144" s="16" t="str">
        <f aca="false">IF(AK144=0,"",IF(OR(AM144&lt;3,AP144&gt;EOMONTH(AsOfDate,-1)),BI144,IF((AP144-1)&lt;AL144,-1,12*(YEAR((AP144-1))-YEAR(AL144))+MONTH((AP144-1))-MONTH(AL144)-IF(DAY((AP144-1))&lt;MIN(DAY(AL144),DAY(EOMONTH((AP144-1),0))),1,0))))</f>
        <v/>
      </c>
      <c r="BL144" s="16" t="str">
        <f aca="false">IF(AK144=0,"",IF(AT144="FT",IF(BJ144&lt;FT_First,0,IF(BJ144&lt;FT_Y5,1+INT((BJ144-FT_First)/FT_Int1),FT_PreY5+FT_PerYear*INT((BJ144-FT_Y5)/12)+FT_AnnivDays+INT(MOD(BJ144-FT_Y5,12)/FT_Int2)-IF(EDATE(AL144,FT_Y5)&lt;PolicyEff,FT_AnnivDays-1,0))),IF(AT144="PT",IF(BJ144&lt;PT_First,0,1+INT((BJ144-PT_First)/PT_Int)),0))+IF(AND(AM144&gt;=2,AO144&lt;=EOMONTH(AsOfDate,-1)),IF(AU144="FT",IF(BK144&lt;FT_First,0,IF(BK144&lt;FT_Y5,1+INT((BK144-FT_First)/FT_Int1),FT_PreY5+FT_PerYear*INT((BK144-FT_Y5)/12)+FT_AnnivDays+INT(MOD(BK144-FT_Y5,12)/FT_Int2)-IF(EDATE(AL144,FT_Y5)&lt;PolicyEff,FT_AnnivDays-1,0))),IF(AU144="PT",IF(BK144&lt;PT_First,0,1+INT((BK144-PT_First)/PT_Int)),0))-IF(AU144="FT",IF(BJ144&lt;FT_First,0,IF(BJ144&lt;FT_Y5,1+INT((BJ144-FT_First)/FT_Int1),FT_PreY5+FT_PerYear*INT((BJ144-FT_Y5)/12)+FT_AnnivDays+INT(MOD(BJ144-FT_Y5,12)/FT_Int2)-IF(EDATE(AL144,FT_Y5)&lt;PolicyEff,FT_AnnivDays-1,0))),IF(AU144="PT",IF(BJ144&lt;PT_First,0,1+INT((BJ144-PT_First)/PT_Int)),0)),0)+IF(AND(AM144&gt;=3,AP144&lt;=EOMONTH(AsOfDate,-1)),IF(AV144="FT",IF(BI144&lt;FT_First,0,IF(BI144&lt;FT_Y5,1+INT((BI144-FT_First)/FT_Int1),FT_PreY5+FT_PerYear*INT((BI144-FT_Y5)/12)+FT_AnnivDays+INT(MOD(BI144-FT_Y5,12)/FT_Int2)-IF(EDATE(AL144,FT_Y5)&lt;PolicyEff,FT_AnnivDays-1,0))),IF(AV144="PT",IF(BI144&lt;PT_First,0,1+INT((BI144-PT_First)/PT_Int)),0))-IF(AV144="FT",IF(BK144&lt;FT_First,0,IF(BK144&lt;FT_Y5,1+INT((BK144-FT_First)/FT_Int1),FT_PreY5+FT_PerYear*INT((BK144-FT_Y5)/12)+FT_AnnivDays+INT(MOD(BK144-FT_Y5,12)/FT_Int2)-IF(EDATE(AL144,FT_Y5)&lt;PolicyEff,FT_AnnivDays-1,0))),IF(AV144="PT",IF(BK144&lt;PT_First,0,1+INT((BK144-PT_First)/PT_Int)),0)),0))</f>
        <v/>
      </c>
      <c r="BM144" s="16" t="str">
        <f aca="false">IF(AK144=0,"",IF(AW144="FT",IF(AX144&lt;FT_First,"",IF(AX144&lt;FT_Y5,FT_First+FT_Int1*INT((AX144-FT_First)/FT_Int1),FT_Y5+FT_Int2*INT((AX144-FT_Y5)/FT_Int2))),IF(AW144="PT",IF(AX144&lt;PT_First,"",PT_First+PT_Int*INT((AX144-PT_First)/PT_Int)),"")))</f>
        <v/>
      </c>
      <c r="BN144" s="16" t="str">
        <f aca="false">IF(AK144=0,"",IF((SchemeStart-1)&lt;AL144,-1,12*(YEAR((SchemeStart-1))-YEAR(AL144))+MONTH((SchemeStart-1))-MONTH(AL144)-IF(DAY((SchemeStart-1))&lt;MIN(DAY(AL144),DAY(EOMONTH((SchemeStart-1),0))),1,0)))</f>
        <v/>
      </c>
      <c r="BO144" s="16" t="str">
        <f aca="false">IF(AK144=0,"",IF(OR(AM144&lt;2,AO144&gt;(SchemeStart-1)),BN144,IF((AO144-1)&lt;AL144,-1,12*(YEAR((AO144-1))-YEAR(AL144))+MONTH((AO144-1))-MONTH(AL144)-IF(DAY((AO144-1))&lt;MIN(DAY(AL144),DAY(EOMONTH((AO144-1),0))),1,0))))</f>
        <v/>
      </c>
      <c r="BP144" s="16" t="str">
        <f aca="false">IF(AK144=0,"",IF(OR(AM144&lt;3,AP144&gt;(SchemeStart-1)),BN144,IF((AP144-1)&lt;AL144,-1,12*(YEAR((AP144-1))-YEAR(AL144))+MONTH((AP144-1))-MONTH(AL144)-IF(DAY((AP144-1))&lt;MIN(DAY(AL144),DAY(EOMONTH((AP144-1),0))),1,0))))</f>
        <v/>
      </c>
      <c r="BQ144" s="16" t="str">
        <f aca="false">IF(AK144=0,"",IF(AT144="FT",IF(BO144&lt;FT_First,0,IF(BO144&lt;FT_Y5,1+INT((BO144-FT_First)/FT_Int1),FT_PreY5+FT_PerYear*INT((BO144-FT_Y5)/12)+FT_AnnivDays+INT(MOD(BO144-FT_Y5,12)/FT_Int2)-IF(EDATE(AL144,FT_Y5)&lt;PolicyEff,FT_AnnivDays-1,0))),IF(AT144="PT",IF(BO144&lt;PT_First,0,1+INT((BO144-PT_First)/PT_Int)),0))+IF(AND(AM144&gt;=2,AO144&lt;=(SchemeStart-1)),IF(AU144="FT",IF(BP144&lt;FT_First,0,IF(BP144&lt;FT_Y5,1+INT((BP144-FT_First)/FT_Int1),FT_PreY5+FT_PerYear*INT((BP144-FT_Y5)/12)+FT_AnnivDays+INT(MOD(BP144-FT_Y5,12)/FT_Int2)-IF(EDATE(AL144,FT_Y5)&lt;PolicyEff,FT_AnnivDays-1,0))),IF(AU144="PT",IF(BP144&lt;PT_First,0,1+INT((BP144-PT_First)/PT_Int)),0))-IF(AU144="FT",IF(BO144&lt;FT_First,0,IF(BO144&lt;FT_Y5,1+INT((BO144-FT_First)/FT_Int1),FT_PreY5+FT_PerYear*INT((BO144-FT_Y5)/12)+FT_AnnivDays+INT(MOD(BO144-FT_Y5,12)/FT_Int2)-IF(EDATE(AL144,FT_Y5)&lt;PolicyEff,FT_AnnivDays-1,0))),IF(AU144="PT",IF(BO144&lt;PT_First,0,1+INT((BO144-PT_First)/PT_Int)),0)),0)+IF(AND(AM144&gt;=3,AP144&lt;=(SchemeStart-1)),IF(AV144="FT",IF(BN144&lt;FT_First,0,IF(BN144&lt;FT_Y5,1+INT((BN144-FT_First)/FT_Int1),FT_PreY5+FT_PerYear*INT((BN144-FT_Y5)/12)+FT_AnnivDays+INT(MOD(BN144-FT_Y5,12)/FT_Int2)-IF(EDATE(AL144,FT_Y5)&lt;PolicyEff,FT_AnnivDays-1,0))),IF(AV144="PT",IF(BN144&lt;PT_First,0,1+INT((BN144-PT_First)/PT_Int)),0))-IF(AV144="FT",IF(BP144&lt;FT_First,0,IF(BP144&lt;FT_Y5,1+INT((BP144-FT_First)/FT_Int1),FT_PreY5+FT_PerYear*INT((BP144-FT_Y5)/12)+FT_AnnivDays+INT(MOD(BP144-FT_Y5,12)/FT_Int2)-IF(EDATE(AL144,FT_Y5)&lt;PolicyEff,FT_AnnivDays-1,0))),IF(AV144="PT",IF(BP144&lt;PT_First,0,1+INT((BP144-PT_First)/PT_Int)),0)),0))</f>
        <v/>
      </c>
      <c r="BR144" s="0" t="str">
        <f aca="false">IF(LEN($A144&amp;$B144)=0,"",$A144&amp;" "&amp;$B144)</f>
        <v/>
      </c>
    </row>
    <row r="145" customFormat="false" ht="15" hidden="false" customHeight="false" outlineLevel="0" collapsed="false">
      <c r="A145" s="12"/>
      <c r="B145" s="12"/>
      <c r="C145" s="12"/>
      <c r="D145" s="13"/>
      <c r="E145" s="14" t="str">
        <f aca="false">IF(OR(AK145=0,$D145=""),"",DATE(YEAR(AsOfDate)+IF(DATE(YEAR(AsOfDate),MONTH($D145),DAY($D145))&lt;=AsOfDate,1,0),MONTH($D145),DAY($D145)))</f>
        <v/>
      </c>
      <c r="F145" s="13"/>
      <c r="G145" s="13"/>
      <c r="H145" s="13"/>
      <c r="I145" s="13"/>
      <c r="J145" s="13"/>
      <c r="K145" s="14" t="str">
        <f aca="false">IF(AK145=0,"",DATE(YEAR(AsOfDate)+IF(DATE(YEAR(AsOfDate),MONTH(AL145),DAY(AL145))&lt;=AsOfDate,1,0),MONTH(AL145),DAY(AL145)))</f>
        <v/>
      </c>
      <c r="L145" s="15" t="str">
        <f aca="false">IF(AK145=0,"",ROUND((AsOfDate-AL145)/365.25,1))</f>
        <v/>
      </c>
      <c r="M145" s="16" t="str">
        <f aca="false">IF(AK145=0,"",IF(AsOfDate&lt;AL145,"-",DATEDIF(AL145,AsOfDate,"y")&amp;"y "&amp;DATEDIF(AL145,AsOfDate,"ym")&amp;"m "&amp;DATEDIF(AL145,AsOfDate,"md")&amp;"d"))</f>
        <v/>
      </c>
      <c r="N145" s="17" t="str">
        <f aca="false">IF(AK145=0,"",O145*HoursPerDay)</f>
        <v/>
      </c>
      <c r="O145" s="17" t="str">
        <f aca="false">IF(AK145=0,"",MAX(0,BD145-BQ145))</f>
        <v/>
      </c>
      <c r="P145" s="18"/>
      <c r="Q145" s="16" t="str">
        <f aca="false">IF(AK145=0,"",IF(AM145&lt;2,"",AQ145&amp;" to "&amp;AR145&amp;" on "&amp;TEXT(AO145,"dd/mm/yyyy")&amp;IF(AO145&gt;AsOfDate," (future)",IF(AT145=AU145,"",IF(AU145="None"," - STOPPED accruing",IF(AT145="None"," - commencement for Bonus Leave"," - pathway changed"))))&amp;IF(AM145&lt;3,"","; "&amp;AR145&amp;" to "&amp;AS145&amp;" on "&amp;TEXT(AP145,"dd/mm/yyyy")&amp;IF(AP145&gt;AsOfDate," (future)",IF(AU145=AV145,"",IF(AV145="None"," - STOPPED accruing",IF(AU145="None"," - commencement for Bonus Leave"," - pathway changed")))))))</f>
        <v/>
      </c>
      <c r="R145" s="16" t="str">
        <f aca="false">IF(AK145=0,"",IF(AW145="None",IF(O145&gt;0,"No longer accruing","Not eligible - "&amp;IF(AND(OR(ISNUMBER(SEARCH("part",$C145)),UPPER(TRIM($C145))="PT",UPPER(TRIM($C145))="PTE"),Apply2026="No"),"part-time (scheme is full-time only)",IF(AND(OR(ISNUMBER(SEARCH("part",$C145)),UPPER(TRIM($C145))="PT",UPPER(TRIM($C145))="PTE"),$P145&lt;&gt;"",N($P145)&lt;PT_MinHours),"under "&amp;PT_MinHours&amp;" hrs",IF(IF($C145="","",IF(OR(ISNUMBER(SEARCH("full",$C145)),UPPER(TRIM($C145))="FT",UPPER(TRIM($C145))="FTE"),"Full-Time",IF(OR(ISNUMBER(SEARCH("part",$C145)),UPPER(TRIM($C145))="PT",UPPER(TRIM($C145))="PTE"),"Part-Time",IF(OR(ISNUMBER(SEARCH("cas",$C145)),UPPER(TRIM($C145))="CAS"),"Casual","Unknown"))))="Unknown","type not recognised",$C145)))),IF(O145&gt;0,"Yes - Accrual Required","Not yet - from "&amp;TEXT(S145,"dd/mm/yyyy"))))</f>
        <v/>
      </c>
      <c r="S145" s="14" t="str">
        <f aca="false">IF(AK145=0,"",IF(AW145="None","",EDATE(AL145,BF145)))</f>
        <v/>
      </c>
      <c r="T145" s="17" t="str">
        <f aca="false">IF(AK145=0,"",IF(NOT(LH_Ready),"",IF($F145&gt;PFYDate,0,IF(LH_ColPeriod=0,W145-U145+V145,SUMIFS(INDEX(LH_Data,0,LH_ColAcc),INDEX(LH_Data,0,LH_ColFirst),$A145,INDEX(LH_Data,0,LH_ColSur),$B145,INDEX(LH_Data,0,LH_ColCat),BonusCat,INDEX(LH_Data,0,LH_ColPeriod),LH_OpenLabel)*UnitFactor))))</f>
        <v/>
      </c>
      <c r="U145" s="17" t="str">
        <f aca="false">IF(AK145=0,"",IF(NOT(LH_Ready),"",SUMIFS(INDEX(LH_Data,0,LH_ColAcc),INDEX(LH_Data,0,LH_ColFirst),$A145,INDEX(LH_Data,0,LH_ColSur),$B145,INDEX(LH_Data,0,LH_ColCat),BonusCat,INDEX(LH_Data,0,LH_ColStart),"&gt;="&amp;AL145)*UnitFactor))</f>
        <v/>
      </c>
      <c r="V145" s="17" t="str">
        <f aca="false">IF(AK145=0,"",IF(NOT(LH_Ready),"",SUMIFS(INDEX(LH_Data,0,LH_ColTaken),INDEX(LH_Data,0,LH_ColFirst),$A145,INDEX(LH_Data,0,LH_ColSur),$B145,INDEX(LH_Data,0,LH_ColCat),BonusCat,INDEX(LH_Data,0,LH_ColStart),"&gt;="&amp;AL145)*UnitFactor))</f>
        <v/>
      </c>
      <c r="W145" s="17" t="str">
        <f aca="false">IF(AK145=0,"",IF(NOT(LH_Ready),"",IF(BH145=0,0,INDEX(INDEX(LH_Data,0,LH_ColClose),BH145-1)*UnitFactor)))</f>
        <v/>
      </c>
      <c r="X145" s="17" t="str">
        <f aca="false">IF(AK145=0,"",(MAX(0,BD145-BQ145)-MAX(0,BE145-BQ145))*HoursPerDay)</f>
        <v/>
      </c>
      <c r="Y145" s="17" t="str">
        <f aca="false">IF(AK145=0,"",IF(NOT(LH_Ready),"",IF($AI145="Yes",N(AE145)*HoursPerDay-SUMIFS(INDEX(LH_Data,0,LH_ColAcc),INDEX(LH_Data,0,LH_ColFirst),$A145,INDEX(LH_Data,0,LH_ColSur),$B145,INDEX(LH_Data,0,LH_ColCat),BonusCat,INDEX(LH_Data,0,LH_ColStart),"&gt;="&amp;(EOMONTH(AsOfDate,-1)+1),INDEX(LH_Data,0,LH_ColStart),"&lt;="&amp;AsOfDate)*UnitFactor,IF(BG145=0,N145,N145-N(T145)-N(U145)))))</f>
        <v/>
      </c>
      <c r="Z145" s="16" t="str">
        <f aca="false">IF(OR(AK145=0,Y145=""),"",IF(Y145&gt;0,"Yes","No"))</f>
        <v/>
      </c>
      <c r="AA145" s="16" t="str">
        <f aca="false">IF(AK145=0,IF(LEN($A145&amp;$B145)=0,"","FIX INPUT - StartDate missing"),IF(AD145&lt;&gt;"","FIX INPUT - "&amp;AD145,IF(NOT(LH_Ready),"Paste Leave History export (Settings must show YES)",IF(AND($AI145="Yes",Y145&lt;=0),"OK - EH balance accepted to date"&amp;IF(N(AH145)&gt;0," (EH holds "&amp;AH145&amp;" hrs over the scheme)","")&amp;"; next day "&amp;TEXT(S145,"dd mmm yy")&amp;IF(N(AE145)&gt;0," ("&amp;AE145&amp;" day(s) for "&amp;UPPER(TEXT(AsOfDate,"mmm yyyy"))&amp;" already in EH)",""),IF(Y145&gt;0,"ACCRUE "&amp;ROUND(Y145,2)&amp;" hrs ("&amp;ROUND(Y145/HoursPerDay,2)&amp;" days): "&amp;IF(N(AE145)&gt;0,AE145&amp;" day(s) for "&amp;UPPER(TEXT(AsOfDate,"mmm yyyy"))&amp;" (milestone "&amp;UPPER(TEXT(AF145,"dd mmm yy"))&amp;")"&amp;IF(Y145/HoursPerDay&gt;AE145+0.001," + "&amp;ROUND(Y145/HoursPerDay-AE145,2)&amp;" day(s) catch-up from earlier months",""),"all catch-up from earlier months, nothing new this month")&amp;IF(BG145=0,"; no Bonus Leave in EH yet",""),IF(Y145&lt;0,"CHECK - EH accrued "&amp;ROUND(-Y145,2)&amp;" hrs more than policy since commencement",IF(N(W145)&gt;O145*HoursPerDay+0.01,"CHECK - EH balance "&amp;ROUND(W145-O145*HoursPerDay,2)&amp;" hrs more than policy entitlement",IF(O145&gt;0,"OK - nothing to add"&amp;IF(N(AE145)&gt;0," ("&amp;AE145&amp;" day(s) for "&amp;UPPER(TEXT(AsOfDate,"mmm yyyy"))&amp;" already in EH)",""),IF(AW145="None",R145,"Not yet - first day on "&amp;TEXT(S145,"dd/mm/yyyy"))))))))))</f>
        <v/>
      </c>
      <c r="AB145" s="17" t="str">
        <f aca="false">IF(OR(AK145=0,T145=""),"",MAX(0,BE145-BQ145)*HoursPerDay-T145)</f>
        <v/>
      </c>
      <c r="AC145" s="16" t="str">
        <f aca="false">IF(AK145=0,"",BG145)</f>
        <v/>
      </c>
      <c r="AD145" s="16" t="str">
        <f aca="false">IF(AK145=0,"",TRIM(IF(OR(ISTEXT($F145),ISTEXT($H145),ISTEXT($I145),ISTEXT($G145),ISTEXT($J145),ISTEXT($D145)),"A date is typed as text - retype it as dd/mm/yyyy. ","")&amp;IF(IF($C145="","",IF(OR(ISNUMBER(SEARCH("full",$C145)),UPPER(TRIM($C145))="FT",UPPER(TRIM($C145))="FTE"),"Full-Time",IF(OR(ISNUMBER(SEARCH("part",$C145)),UPPER(TRIM($C145))="PT",UPPER(TRIM($C145))="PTE"),"Part-Time",IF(OR(ISNUMBER(SEARCH("cas",$C145)),UPPER(TRIM($C145))="CAS"),"Casual","Unknown"))))="Unknown","EmploymentType not recognised - use Full-Time, Part-Time or Casual. ","")&amp;IF(AND(AM145&gt;=1,IF(AM145&gt;=3,AS145,IF(AM145=2,AR145,AQ145))&lt;&gt;IF($C145="","",IF(OR(ISNUMBER(SEARCH("full",$C145)),UPPER(TRIM($C145))="FT",UPPER(TRIM($C145))="FTE"),"Full-Time",IF(OR(ISNUMBER(SEARCH("part",$C145)),UPPER(TRIM($C145))="PT",UPPER(TRIM($C145))="PTE"),"Part-Time",IF(OR(ISNUMBER(SEARCH("cas",$C145)),UPPER(TRIM($C145))="CAS"),"Casual","Unknown"))))),"EmploymentType does not match latest start date ("&amp;IF(AM145&gt;=3,AS145,IF(AM145=2,AR145,AQ145))&amp;"). ","")&amp;IF(AND(AM145&gt;=1,AN145&lt;&gt;$F145),"Earliest type date should equal StartDate. ","")&amp;IF(AND(AM145&gt;=2,AN145=AO145),"Two types start on the same date. ","")&amp;IF(AND(OR(ISNUMBER(SEARCH("part",$C145)),UPPER(TRIM($C145))="PT",UPPER(TRIM($C145))="PTE"),$P145=""),"Part-time: enter PT Hrs/Week (blank = 24+). ","")))</f>
        <v/>
      </c>
      <c r="AE145" s="17" t="str">
        <f aca="false">IF(AK145=0,"",O145-MAX(0,BL145-BQ145))</f>
        <v/>
      </c>
      <c r="AF145" s="14" t="str">
        <f aca="false">IF(OR(AK145=0,AE145="",N(AE145)=0,BM145=""),"",EDATE(AL145,BM145))</f>
        <v/>
      </c>
      <c r="AG145" s="17" t="str">
        <f aca="false">IF(AK145=0,"",MIN(BD145,BQ145))</f>
        <v/>
      </c>
      <c r="AH145" s="17" t="str">
        <f aca="false">IF(AK145=0,"",IF(NOT(LH_Ready),"",IF(BG145=0,0,MAX(0,ROUND(N(T145)+N(U145)-N145,2)))))</f>
        <v/>
      </c>
      <c r="AI145" s="12"/>
      <c r="AJ145" s="12"/>
      <c r="AK145" s="16" t="n">
        <f aca="false">IF(OR(LEN($A145&amp;$B145)=0,$F145=""),0,1)</f>
        <v>0</v>
      </c>
      <c r="AL145" s="14" t="str">
        <f aca="false">IF(AK145=0,"",IF(PreSchemeCounts="No",MAX(SchemeStart,IF($J145&lt;&gt;"",$J145,IF(OR(CasualCounts="Yes",COUNT($G145:$I145)=0),$F145,IF(Apply2026="No",IF($I145="",$F145,$I145),IF(COUNT($H145:$I145)=0,$F145,MIN($H145:$I145)))))),IF($J145&lt;&gt;"",$J145,IF(OR(CasualCounts="Yes",COUNT($G145:$I145)=0),$F145,IF(Apply2026="No",IF($I145="",$F145,$I145),IF(COUNT($H145:$I145)=0,$F145,MIN($H145:$I145)))))))</f>
        <v/>
      </c>
      <c r="AM145" s="16" t="str">
        <f aca="false">IF(AK145=0,"",COUNT($G145:$I145))</f>
        <v/>
      </c>
      <c r="AN145" s="14" t="str">
        <f aca="false">IF(AK145=0,"",IFERROR(SMALL($G145:$I145,1),""))</f>
        <v/>
      </c>
      <c r="AO145" s="14" t="str">
        <f aca="false">IF(AK145=0,"",IFERROR(SMALL($G145:$I145,2),""))</f>
        <v/>
      </c>
      <c r="AP145" s="14" t="str">
        <f aca="false">IF(AK145=0,"",IFERROR(SMALL($G145:$I145,3),""))</f>
        <v/>
      </c>
      <c r="AQ145" s="16" t="str">
        <f aca="false">IF(AK145=0,"",IF(AN145="","",IF(AN145=$H145,"Part-Time",IF(AN145=$I145,"Full-Time","Casual"))))</f>
        <v/>
      </c>
      <c r="AR145" s="16" t="str">
        <f aca="false">IF(AK145=0,"",IF(AO145="","",IF(AO145=$H145,"Part-Time",IF(AO145=$I145,"Full-Time","Casual"))))</f>
        <v/>
      </c>
      <c r="AS145" s="16" t="str">
        <f aca="false">IF(AK145=0,"",IF(AP145="","",IF(AP145=$H145,"Part-Time",IF(AP145=$I145,"Full-Time","Casual"))))</f>
        <v/>
      </c>
      <c r="AT145" s="16" t="str">
        <f aca="false">IF(AK145=0,"",IF(AM145=0,IF(OR(ISNUMBER(SEARCH("full",$C145)),UPPER(TRIM($C145))="FT",UPPER(TRIM($C145))="FTE"),"FT",IF(AND(OR(ISNUMBER(SEARCH("part",$C145)),UPPER(TRIM($C145))="PT",UPPER(TRIM($C145))="PTE"),Apply2026="Yes",OR($P145="",N($P145)&gt;=PT_MinHours)),"PT","None")),IF(OR(ISNUMBER(SEARCH("full",AQ145)),UPPER(TRIM(AQ145))="FT",UPPER(TRIM(AQ145))="FTE"),"FT",IF(AND(OR(ISNUMBER(SEARCH("part",AQ145)),UPPER(TRIM(AQ145))="PT",UPPER(TRIM(AQ145))="PTE"),Apply2026="Yes",OR($P145="",N($P145)&gt;=PT_MinHours)),"PT","None"))))</f>
        <v/>
      </c>
      <c r="AU145" s="16" t="str">
        <f aca="false">IF(AK145=0,"",IF(AM145&lt;2,"",IF(OR(ISNUMBER(SEARCH("full",AR145)),UPPER(TRIM(AR145))="FT",UPPER(TRIM(AR145))="FTE"),"FT",IF(AND(OR(ISNUMBER(SEARCH("part",AR145)),UPPER(TRIM(AR145))="PT",UPPER(TRIM(AR145))="PTE"),Apply2026="Yes",OR($P145="",N($P145)&gt;=PT_MinHours)),"PT","None"))))</f>
        <v/>
      </c>
      <c r="AV145" s="16" t="str">
        <f aca="false">IF(AK145=0,"",IF(AM145&lt;3,"",IF(OR(ISNUMBER(SEARCH("full",AS145)),UPPER(TRIM(AS145))="FT",UPPER(TRIM(AS145))="FTE"),"FT",IF(AND(OR(ISNUMBER(SEARCH("part",AS145)),UPPER(TRIM(AS145))="PT",UPPER(TRIM(AS145))="PTE"),Apply2026="Yes",OR($P145="",N($P145)&gt;=PT_MinHours)),"PT","None"))))</f>
        <v/>
      </c>
      <c r="AW145" s="16" t="str">
        <f aca="false">IF(AK145=0,"",IF(AND(AM145&gt;=3,AP145&lt;=AsOfDate),AV145,IF(AND(AM145&gt;=2,AO145&lt;=AsOfDate),AU145,AT145)))</f>
        <v/>
      </c>
      <c r="AX145" s="16" t="str">
        <f aca="false">IF(AK145=0,"",IF(AsOfDate&lt;AL145,-1,12*(YEAR(AsOfDate)-YEAR(AL145))+MONTH(AsOfDate)-MONTH(AL145)-IF(DAY(AsOfDate)&lt;MIN(DAY(AL145),DAY(EOMONTH(AsOfDate,0))),1,0)))</f>
        <v/>
      </c>
      <c r="AY145" s="16" t="str">
        <f aca="false">IF(AK145=0,"",IF(OR(AM145&lt;2,AO145&gt;AsOfDate),AX145,IF((AO145-1)&lt;AL145,-1,12*(YEAR((AO145-1))-YEAR(AL145))+MONTH((AO145-1))-MONTH(AL145)-IF(DAY((AO145-1))&lt;MIN(DAY(AL145),DAY(EOMONTH((AO145-1),0))),1,0))))</f>
        <v/>
      </c>
      <c r="AZ145" s="16" t="str">
        <f aca="false">IF(AK145=0,"",IF(OR(AM145&lt;3,AP145&gt;AsOfDate),AX145,IF((AP145-1)&lt;AL145,-1,12*(YEAR((AP145-1))-YEAR(AL145))+MONTH((AP145-1))-MONTH(AL145)-IF(DAY((AP145-1))&lt;MIN(DAY(AL145),DAY(EOMONTH((AP145-1),0))),1,0))))</f>
        <v/>
      </c>
      <c r="BA145" s="16" t="str">
        <f aca="false">IF(AK145=0,"",IF(PFYDate&lt;AL145,-1,12*(YEAR(PFYDate)-YEAR(AL145))+MONTH(PFYDate)-MONTH(AL145)-IF(DAY(PFYDate)&lt;MIN(DAY(AL145),DAY(EOMONTH(PFYDate,0))),1,0)))</f>
        <v/>
      </c>
      <c r="BB145" s="16" t="str">
        <f aca="false">IF(AK145=0,"",IF(OR(AM145&lt;2,AO145&gt;PFYDate),BA145,IF((AO145-1)&lt;AL145,-1,12*(YEAR((AO145-1))-YEAR(AL145))+MONTH((AO145-1))-MONTH(AL145)-IF(DAY((AO145-1))&lt;MIN(DAY(AL145),DAY(EOMONTH((AO145-1),0))),1,0))))</f>
        <v/>
      </c>
      <c r="BC145" s="16" t="str">
        <f aca="false">IF(AK145=0,"",IF(OR(AM145&lt;3,AP145&gt;PFYDate),BA145,IF((AP145-1)&lt;AL145,-1,12*(YEAR((AP145-1))-YEAR(AL145))+MONTH((AP145-1))-MONTH(AL145)-IF(DAY((AP145-1))&lt;MIN(DAY(AL145),DAY(EOMONTH((AP145-1),0))),1,0))))</f>
        <v/>
      </c>
      <c r="BD145" s="16" t="str">
        <f aca="false">IF(AK145=0,"",IF(AT145="FT",IF(AY145&lt;FT_First,0,IF(AY145&lt;FT_Y5,1+INT((AY145-FT_First)/FT_Int1),FT_PreY5+FT_PerYear*INT((AY145-FT_Y5)/12)+FT_AnnivDays+INT(MOD(AY145-FT_Y5,12)/FT_Int2)-IF(EDATE(AL145,FT_Y5)&lt;PolicyEff,FT_AnnivDays-1,0))),IF(AT145="PT",IF(AY145&lt;PT_First,0,1+INT((AY145-PT_First)/PT_Int)),0))+IF(AND(AM145&gt;=2,AO145&lt;=AsOfDate),IF(AU145="FT",IF(AZ145&lt;FT_First,0,IF(AZ145&lt;FT_Y5,1+INT((AZ145-FT_First)/FT_Int1),FT_PreY5+FT_PerYear*INT((AZ145-FT_Y5)/12)+FT_AnnivDays+INT(MOD(AZ145-FT_Y5,12)/FT_Int2)-IF(EDATE(AL145,FT_Y5)&lt;PolicyEff,FT_AnnivDays-1,0))),IF(AU145="PT",IF(AZ145&lt;PT_First,0,1+INT((AZ145-PT_First)/PT_Int)),0))-IF(AU145="FT",IF(AY145&lt;FT_First,0,IF(AY145&lt;FT_Y5,1+INT((AY145-FT_First)/FT_Int1),FT_PreY5+FT_PerYear*INT((AY145-FT_Y5)/12)+FT_AnnivDays+INT(MOD(AY145-FT_Y5,12)/FT_Int2)-IF(EDATE(AL145,FT_Y5)&lt;PolicyEff,FT_AnnivDays-1,0))),IF(AU145="PT",IF(AY145&lt;PT_First,0,1+INT((AY145-PT_First)/PT_Int)),0)),0)+IF(AND(AM145&gt;=3,AP145&lt;=AsOfDate),IF(AV145="FT",IF(AX145&lt;FT_First,0,IF(AX145&lt;FT_Y5,1+INT((AX145-FT_First)/FT_Int1),FT_PreY5+FT_PerYear*INT((AX145-FT_Y5)/12)+FT_AnnivDays+INT(MOD(AX145-FT_Y5,12)/FT_Int2)-IF(EDATE(AL145,FT_Y5)&lt;PolicyEff,FT_AnnivDays-1,0))),IF(AV145="PT",IF(AX145&lt;PT_First,0,1+INT((AX145-PT_First)/PT_Int)),0))-IF(AV145="FT",IF(AZ145&lt;FT_First,0,IF(AZ145&lt;FT_Y5,1+INT((AZ145-FT_First)/FT_Int1),FT_PreY5+FT_PerYear*INT((AZ145-FT_Y5)/12)+FT_AnnivDays+INT(MOD(AZ145-FT_Y5,12)/FT_Int2)-IF(EDATE(AL145,FT_Y5)&lt;PolicyEff,FT_AnnivDays-1,0))),IF(AV145="PT",IF(AZ145&lt;PT_First,0,1+INT((AZ145-PT_First)/PT_Int)),0)),0))</f>
        <v/>
      </c>
      <c r="BE145" s="16" t="str">
        <f aca="false">IF(AK145=0,"",IF(AT145="FT",IF(BB145&lt;FT_First,0,IF(BB145&lt;FT_Y5,1+INT((BB145-FT_First)/FT_Int1),FT_PreY5+FT_PerYear*INT((BB145-FT_Y5)/12)+FT_AnnivDays+INT(MOD(BB145-FT_Y5,12)/FT_Int2)-IF(EDATE(AL145,FT_Y5)&lt;PolicyEff,FT_AnnivDays-1,0))),IF(AT145="PT",IF(BB145&lt;PT_First,0,1+INT((BB145-PT_First)/PT_Int)),0))+IF(AND(AM145&gt;=2,AO145&lt;=PFYDate),IF(AU145="FT",IF(BC145&lt;FT_First,0,IF(BC145&lt;FT_Y5,1+INT((BC145-FT_First)/FT_Int1),FT_PreY5+FT_PerYear*INT((BC145-FT_Y5)/12)+FT_AnnivDays+INT(MOD(BC145-FT_Y5,12)/FT_Int2)-IF(EDATE(AL145,FT_Y5)&lt;PolicyEff,FT_AnnivDays-1,0))),IF(AU145="PT",IF(BC145&lt;PT_First,0,1+INT((BC145-PT_First)/PT_Int)),0))-IF(AU145="FT",IF(BB145&lt;FT_First,0,IF(BB145&lt;FT_Y5,1+INT((BB145-FT_First)/FT_Int1),FT_PreY5+FT_PerYear*INT((BB145-FT_Y5)/12)+FT_AnnivDays+INT(MOD(BB145-FT_Y5,12)/FT_Int2)-IF(EDATE(AL145,FT_Y5)&lt;PolicyEff,FT_AnnivDays-1,0))),IF(AU145="PT",IF(BB145&lt;PT_First,0,1+INT((BB145-PT_First)/PT_Int)),0)),0)+IF(AND(AM145&gt;=3,AP145&lt;=PFYDate),IF(AV145="FT",IF(BA145&lt;FT_First,0,IF(BA145&lt;FT_Y5,1+INT((BA145-FT_First)/FT_Int1),FT_PreY5+FT_PerYear*INT((BA145-FT_Y5)/12)+FT_AnnivDays+INT(MOD(BA145-FT_Y5,12)/FT_Int2)-IF(EDATE(AL145,FT_Y5)&lt;PolicyEff,FT_AnnivDays-1,0))),IF(AV145="PT",IF(BA145&lt;PT_First,0,1+INT((BA145-PT_First)/PT_Int)),0))-IF(AV145="FT",IF(BC145&lt;FT_First,0,IF(BC145&lt;FT_Y5,1+INT((BC145-FT_First)/FT_Int1),FT_PreY5+FT_PerYear*INT((BC145-FT_Y5)/12)+FT_AnnivDays+INT(MOD(BC145-FT_Y5,12)/FT_Int2)-IF(EDATE(AL145,FT_Y5)&lt;PolicyEff,FT_AnnivDays-1,0))),IF(AV145="PT",IF(BC145&lt;PT_First,0,1+INT((BC145-PT_First)/PT_Int)),0)),0))</f>
        <v/>
      </c>
      <c r="BF145" s="16" t="str">
        <f aca="false">IF(AK145=0,"",IF(AW145="FT",IF(AX145&lt;FT_First,FT_First,IF(AX145&lt;FT_Y5,MIN(FT_Y5,FT_First+FT_Int1*(INT((AX145-FT_First)/FT_Int1)+1)),FT_Y5+12*INT((AX145-FT_Y5)/12)+FT_Int2*(INT(MOD(AX145-FT_Y5,12)/FT_Int2)+1))),IF(AW145="PT",IF(AX145&lt;PT_First,PT_First,PT_First+PT_Int*(INT((AX145-PT_First)/PT_Int)+1)),"")))</f>
        <v/>
      </c>
      <c r="BG145" s="16" t="str">
        <f aca="false">IF(AK145=0,"",IF(NOT(LH_Ready),0,COUNTIFS(INDEX(LH_Data,0,LH_ColFirst),$A145,INDEX(LH_Data,0,LH_ColSur),$B145,INDEX(LH_Data,0,LH_ColCat),BonusCat)))</f>
        <v/>
      </c>
      <c r="BH145" s="16" t="str">
        <f aca="false">IF(AK145=0,"",IF(OR(NOT(LH_Ready),BG145=0),0,SUMPRODUCT(MAX((INDEX(LH_Data,0,LH_ColFirst)=$A145)*(INDEX(LH_Data,0,LH_ColSur)=$B145)*(INDEX(LH_Data,0,LH_ColCat)=BonusCat)*ROW(LH_Data)))))</f>
        <v/>
      </c>
      <c r="BI145" s="16" t="str">
        <f aca="false">IF(AK145=0,"",IF(EOMONTH(AsOfDate,-1)&lt;AL145,-1,12*(YEAR(EOMONTH(AsOfDate,-1))-YEAR(AL145))+MONTH(EOMONTH(AsOfDate,-1))-MONTH(AL145)-IF(DAY(EOMONTH(AsOfDate,-1))&lt;MIN(DAY(AL145),DAY(EOMONTH(EOMONTH(AsOfDate,-1),0))),1,0)))</f>
        <v/>
      </c>
      <c r="BJ145" s="16" t="str">
        <f aca="false">IF(AK145=0,"",IF(OR(AM145&lt;2,AO145&gt;EOMONTH(AsOfDate,-1)),BI145,IF((AO145-1)&lt;AL145,-1,12*(YEAR((AO145-1))-YEAR(AL145))+MONTH((AO145-1))-MONTH(AL145)-IF(DAY((AO145-1))&lt;MIN(DAY(AL145),DAY(EOMONTH((AO145-1),0))),1,0))))</f>
        <v/>
      </c>
      <c r="BK145" s="16" t="str">
        <f aca="false">IF(AK145=0,"",IF(OR(AM145&lt;3,AP145&gt;EOMONTH(AsOfDate,-1)),BI145,IF((AP145-1)&lt;AL145,-1,12*(YEAR((AP145-1))-YEAR(AL145))+MONTH((AP145-1))-MONTH(AL145)-IF(DAY((AP145-1))&lt;MIN(DAY(AL145),DAY(EOMONTH((AP145-1),0))),1,0))))</f>
        <v/>
      </c>
      <c r="BL145" s="16" t="str">
        <f aca="false">IF(AK145=0,"",IF(AT145="FT",IF(BJ145&lt;FT_First,0,IF(BJ145&lt;FT_Y5,1+INT((BJ145-FT_First)/FT_Int1),FT_PreY5+FT_PerYear*INT((BJ145-FT_Y5)/12)+FT_AnnivDays+INT(MOD(BJ145-FT_Y5,12)/FT_Int2)-IF(EDATE(AL145,FT_Y5)&lt;PolicyEff,FT_AnnivDays-1,0))),IF(AT145="PT",IF(BJ145&lt;PT_First,0,1+INT((BJ145-PT_First)/PT_Int)),0))+IF(AND(AM145&gt;=2,AO145&lt;=EOMONTH(AsOfDate,-1)),IF(AU145="FT",IF(BK145&lt;FT_First,0,IF(BK145&lt;FT_Y5,1+INT((BK145-FT_First)/FT_Int1),FT_PreY5+FT_PerYear*INT((BK145-FT_Y5)/12)+FT_AnnivDays+INT(MOD(BK145-FT_Y5,12)/FT_Int2)-IF(EDATE(AL145,FT_Y5)&lt;PolicyEff,FT_AnnivDays-1,0))),IF(AU145="PT",IF(BK145&lt;PT_First,0,1+INT((BK145-PT_First)/PT_Int)),0))-IF(AU145="FT",IF(BJ145&lt;FT_First,0,IF(BJ145&lt;FT_Y5,1+INT((BJ145-FT_First)/FT_Int1),FT_PreY5+FT_PerYear*INT((BJ145-FT_Y5)/12)+FT_AnnivDays+INT(MOD(BJ145-FT_Y5,12)/FT_Int2)-IF(EDATE(AL145,FT_Y5)&lt;PolicyEff,FT_AnnivDays-1,0))),IF(AU145="PT",IF(BJ145&lt;PT_First,0,1+INT((BJ145-PT_First)/PT_Int)),0)),0)+IF(AND(AM145&gt;=3,AP145&lt;=EOMONTH(AsOfDate,-1)),IF(AV145="FT",IF(BI145&lt;FT_First,0,IF(BI145&lt;FT_Y5,1+INT((BI145-FT_First)/FT_Int1),FT_PreY5+FT_PerYear*INT((BI145-FT_Y5)/12)+FT_AnnivDays+INT(MOD(BI145-FT_Y5,12)/FT_Int2)-IF(EDATE(AL145,FT_Y5)&lt;PolicyEff,FT_AnnivDays-1,0))),IF(AV145="PT",IF(BI145&lt;PT_First,0,1+INT((BI145-PT_First)/PT_Int)),0))-IF(AV145="FT",IF(BK145&lt;FT_First,0,IF(BK145&lt;FT_Y5,1+INT((BK145-FT_First)/FT_Int1),FT_PreY5+FT_PerYear*INT((BK145-FT_Y5)/12)+FT_AnnivDays+INT(MOD(BK145-FT_Y5,12)/FT_Int2)-IF(EDATE(AL145,FT_Y5)&lt;PolicyEff,FT_AnnivDays-1,0))),IF(AV145="PT",IF(BK145&lt;PT_First,0,1+INT((BK145-PT_First)/PT_Int)),0)),0))</f>
        <v/>
      </c>
      <c r="BM145" s="16" t="str">
        <f aca="false">IF(AK145=0,"",IF(AW145="FT",IF(AX145&lt;FT_First,"",IF(AX145&lt;FT_Y5,FT_First+FT_Int1*INT((AX145-FT_First)/FT_Int1),FT_Y5+FT_Int2*INT((AX145-FT_Y5)/FT_Int2))),IF(AW145="PT",IF(AX145&lt;PT_First,"",PT_First+PT_Int*INT((AX145-PT_First)/PT_Int)),"")))</f>
        <v/>
      </c>
      <c r="BN145" s="16" t="str">
        <f aca="false">IF(AK145=0,"",IF((SchemeStart-1)&lt;AL145,-1,12*(YEAR((SchemeStart-1))-YEAR(AL145))+MONTH((SchemeStart-1))-MONTH(AL145)-IF(DAY((SchemeStart-1))&lt;MIN(DAY(AL145),DAY(EOMONTH((SchemeStart-1),0))),1,0)))</f>
        <v/>
      </c>
      <c r="BO145" s="16" t="str">
        <f aca="false">IF(AK145=0,"",IF(OR(AM145&lt;2,AO145&gt;(SchemeStart-1)),BN145,IF((AO145-1)&lt;AL145,-1,12*(YEAR((AO145-1))-YEAR(AL145))+MONTH((AO145-1))-MONTH(AL145)-IF(DAY((AO145-1))&lt;MIN(DAY(AL145),DAY(EOMONTH((AO145-1),0))),1,0))))</f>
        <v/>
      </c>
      <c r="BP145" s="16" t="str">
        <f aca="false">IF(AK145=0,"",IF(OR(AM145&lt;3,AP145&gt;(SchemeStart-1)),BN145,IF((AP145-1)&lt;AL145,-1,12*(YEAR((AP145-1))-YEAR(AL145))+MONTH((AP145-1))-MONTH(AL145)-IF(DAY((AP145-1))&lt;MIN(DAY(AL145),DAY(EOMONTH((AP145-1),0))),1,0))))</f>
        <v/>
      </c>
      <c r="BQ145" s="16" t="str">
        <f aca="false">IF(AK145=0,"",IF(AT145="FT",IF(BO145&lt;FT_First,0,IF(BO145&lt;FT_Y5,1+INT((BO145-FT_First)/FT_Int1),FT_PreY5+FT_PerYear*INT((BO145-FT_Y5)/12)+FT_AnnivDays+INT(MOD(BO145-FT_Y5,12)/FT_Int2)-IF(EDATE(AL145,FT_Y5)&lt;PolicyEff,FT_AnnivDays-1,0))),IF(AT145="PT",IF(BO145&lt;PT_First,0,1+INT((BO145-PT_First)/PT_Int)),0))+IF(AND(AM145&gt;=2,AO145&lt;=(SchemeStart-1)),IF(AU145="FT",IF(BP145&lt;FT_First,0,IF(BP145&lt;FT_Y5,1+INT((BP145-FT_First)/FT_Int1),FT_PreY5+FT_PerYear*INT((BP145-FT_Y5)/12)+FT_AnnivDays+INT(MOD(BP145-FT_Y5,12)/FT_Int2)-IF(EDATE(AL145,FT_Y5)&lt;PolicyEff,FT_AnnivDays-1,0))),IF(AU145="PT",IF(BP145&lt;PT_First,0,1+INT((BP145-PT_First)/PT_Int)),0))-IF(AU145="FT",IF(BO145&lt;FT_First,0,IF(BO145&lt;FT_Y5,1+INT((BO145-FT_First)/FT_Int1),FT_PreY5+FT_PerYear*INT((BO145-FT_Y5)/12)+FT_AnnivDays+INT(MOD(BO145-FT_Y5,12)/FT_Int2)-IF(EDATE(AL145,FT_Y5)&lt;PolicyEff,FT_AnnivDays-1,0))),IF(AU145="PT",IF(BO145&lt;PT_First,0,1+INT((BO145-PT_First)/PT_Int)),0)),0)+IF(AND(AM145&gt;=3,AP145&lt;=(SchemeStart-1)),IF(AV145="FT",IF(BN145&lt;FT_First,0,IF(BN145&lt;FT_Y5,1+INT((BN145-FT_First)/FT_Int1),FT_PreY5+FT_PerYear*INT((BN145-FT_Y5)/12)+FT_AnnivDays+INT(MOD(BN145-FT_Y5,12)/FT_Int2)-IF(EDATE(AL145,FT_Y5)&lt;PolicyEff,FT_AnnivDays-1,0))),IF(AV145="PT",IF(BN145&lt;PT_First,0,1+INT((BN145-PT_First)/PT_Int)),0))-IF(AV145="FT",IF(BP145&lt;FT_First,0,IF(BP145&lt;FT_Y5,1+INT((BP145-FT_First)/FT_Int1),FT_PreY5+FT_PerYear*INT((BP145-FT_Y5)/12)+FT_AnnivDays+INT(MOD(BP145-FT_Y5,12)/FT_Int2)-IF(EDATE(AL145,FT_Y5)&lt;PolicyEff,FT_AnnivDays-1,0))),IF(AV145="PT",IF(BP145&lt;PT_First,0,1+INT((BP145-PT_First)/PT_Int)),0)),0))</f>
        <v/>
      </c>
      <c r="BR145" s="0" t="str">
        <f aca="false">IF(LEN($A145&amp;$B145)=0,"",$A145&amp;" "&amp;$B145)</f>
        <v/>
      </c>
    </row>
    <row r="146" customFormat="false" ht="15" hidden="false" customHeight="false" outlineLevel="0" collapsed="false">
      <c r="A146" s="12"/>
      <c r="B146" s="12"/>
      <c r="C146" s="12"/>
      <c r="D146" s="13"/>
      <c r="E146" s="14" t="str">
        <f aca="false">IF(OR(AK146=0,$D146=""),"",DATE(YEAR(AsOfDate)+IF(DATE(YEAR(AsOfDate),MONTH($D146),DAY($D146))&lt;=AsOfDate,1,0),MONTH($D146),DAY($D146)))</f>
        <v/>
      </c>
      <c r="F146" s="13"/>
      <c r="G146" s="13"/>
      <c r="H146" s="13"/>
      <c r="I146" s="13"/>
      <c r="J146" s="13"/>
      <c r="K146" s="14" t="str">
        <f aca="false">IF(AK146=0,"",DATE(YEAR(AsOfDate)+IF(DATE(YEAR(AsOfDate),MONTH(AL146),DAY(AL146))&lt;=AsOfDate,1,0),MONTH(AL146),DAY(AL146)))</f>
        <v/>
      </c>
      <c r="L146" s="15" t="str">
        <f aca="false">IF(AK146=0,"",ROUND((AsOfDate-AL146)/365.25,1))</f>
        <v/>
      </c>
      <c r="M146" s="16" t="str">
        <f aca="false">IF(AK146=0,"",IF(AsOfDate&lt;AL146,"-",DATEDIF(AL146,AsOfDate,"y")&amp;"y "&amp;DATEDIF(AL146,AsOfDate,"ym")&amp;"m "&amp;DATEDIF(AL146,AsOfDate,"md")&amp;"d"))</f>
        <v/>
      </c>
      <c r="N146" s="17" t="str">
        <f aca="false">IF(AK146=0,"",O146*HoursPerDay)</f>
        <v/>
      </c>
      <c r="O146" s="17" t="str">
        <f aca="false">IF(AK146=0,"",MAX(0,BD146-BQ146))</f>
        <v/>
      </c>
      <c r="P146" s="18"/>
      <c r="Q146" s="16" t="str">
        <f aca="false">IF(AK146=0,"",IF(AM146&lt;2,"",AQ146&amp;" to "&amp;AR146&amp;" on "&amp;TEXT(AO146,"dd/mm/yyyy")&amp;IF(AO146&gt;AsOfDate," (future)",IF(AT146=AU146,"",IF(AU146="None"," - STOPPED accruing",IF(AT146="None"," - commencement for Bonus Leave"," - pathway changed"))))&amp;IF(AM146&lt;3,"","; "&amp;AR146&amp;" to "&amp;AS146&amp;" on "&amp;TEXT(AP146,"dd/mm/yyyy")&amp;IF(AP146&gt;AsOfDate," (future)",IF(AU146=AV146,"",IF(AV146="None"," - STOPPED accruing",IF(AU146="None"," - commencement for Bonus Leave"," - pathway changed")))))))</f>
        <v/>
      </c>
      <c r="R146" s="16" t="str">
        <f aca="false">IF(AK146=0,"",IF(AW146="None",IF(O146&gt;0,"No longer accruing","Not eligible - "&amp;IF(AND(OR(ISNUMBER(SEARCH("part",$C146)),UPPER(TRIM($C146))="PT",UPPER(TRIM($C146))="PTE"),Apply2026="No"),"part-time (scheme is full-time only)",IF(AND(OR(ISNUMBER(SEARCH("part",$C146)),UPPER(TRIM($C146))="PT",UPPER(TRIM($C146))="PTE"),$P146&lt;&gt;"",N($P146)&lt;PT_MinHours),"under "&amp;PT_MinHours&amp;" hrs",IF(IF($C146="","",IF(OR(ISNUMBER(SEARCH("full",$C146)),UPPER(TRIM($C146))="FT",UPPER(TRIM($C146))="FTE"),"Full-Time",IF(OR(ISNUMBER(SEARCH("part",$C146)),UPPER(TRIM($C146))="PT",UPPER(TRIM($C146))="PTE"),"Part-Time",IF(OR(ISNUMBER(SEARCH("cas",$C146)),UPPER(TRIM($C146))="CAS"),"Casual","Unknown"))))="Unknown","type not recognised",$C146)))),IF(O146&gt;0,"Yes - Accrual Required","Not yet - from "&amp;TEXT(S146,"dd/mm/yyyy"))))</f>
        <v/>
      </c>
      <c r="S146" s="14" t="str">
        <f aca="false">IF(AK146=0,"",IF(AW146="None","",EDATE(AL146,BF146)))</f>
        <v/>
      </c>
      <c r="T146" s="17" t="str">
        <f aca="false">IF(AK146=0,"",IF(NOT(LH_Ready),"",IF($F146&gt;PFYDate,0,IF(LH_ColPeriod=0,W146-U146+V146,SUMIFS(INDEX(LH_Data,0,LH_ColAcc),INDEX(LH_Data,0,LH_ColFirst),$A146,INDEX(LH_Data,0,LH_ColSur),$B146,INDEX(LH_Data,0,LH_ColCat),BonusCat,INDEX(LH_Data,0,LH_ColPeriod),LH_OpenLabel)*UnitFactor))))</f>
        <v/>
      </c>
      <c r="U146" s="17" t="str">
        <f aca="false">IF(AK146=0,"",IF(NOT(LH_Ready),"",SUMIFS(INDEX(LH_Data,0,LH_ColAcc),INDEX(LH_Data,0,LH_ColFirst),$A146,INDEX(LH_Data,0,LH_ColSur),$B146,INDEX(LH_Data,0,LH_ColCat),BonusCat,INDEX(LH_Data,0,LH_ColStart),"&gt;="&amp;AL146)*UnitFactor))</f>
        <v/>
      </c>
      <c r="V146" s="17" t="str">
        <f aca="false">IF(AK146=0,"",IF(NOT(LH_Ready),"",SUMIFS(INDEX(LH_Data,0,LH_ColTaken),INDEX(LH_Data,0,LH_ColFirst),$A146,INDEX(LH_Data,0,LH_ColSur),$B146,INDEX(LH_Data,0,LH_ColCat),BonusCat,INDEX(LH_Data,0,LH_ColStart),"&gt;="&amp;AL146)*UnitFactor))</f>
        <v/>
      </c>
      <c r="W146" s="17" t="str">
        <f aca="false">IF(AK146=0,"",IF(NOT(LH_Ready),"",IF(BH146=0,0,INDEX(INDEX(LH_Data,0,LH_ColClose),BH146-1)*UnitFactor)))</f>
        <v/>
      </c>
      <c r="X146" s="17" t="str">
        <f aca="false">IF(AK146=0,"",(MAX(0,BD146-BQ146)-MAX(0,BE146-BQ146))*HoursPerDay)</f>
        <v/>
      </c>
      <c r="Y146" s="17" t="str">
        <f aca="false">IF(AK146=0,"",IF(NOT(LH_Ready),"",IF($AI146="Yes",N(AE146)*HoursPerDay-SUMIFS(INDEX(LH_Data,0,LH_ColAcc),INDEX(LH_Data,0,LH_ColFirst),$A146,INDEX(LH_Data,0,LH_ColSur),$B146,INDEX(LH_Data,0,LH_ColCat),BonusCat,INDEX(LH_Data,0,LH_ColStart),"&gt;="&amp;(EOMONTH(AsOfDate,-1)+1),INDEX(LH_Data,0,LH_ColStart),"&lt;="&amp;AsOfDate)*UnitFactor,IF(BG146=0,N146,N146-N(T146)-N(U146)))))</f>
        <v/>
      </c>
      <c r="Z146" s="16" t="str">
        <f aca="false">IF(OR(AK146=0,Y146=""),"",IF(Y146&gt;0,"Yes","No"))</f>
        <v/>
      </c>
      <c r="AA146" s="16" t="str">
        <f aca="false">IF(AK146=0,IF(LEN($A146&amp;$B146)=0,"","FIX INPUT - StartDate missing"),IF(AD146&lt;&gt;"","FIX INPUT - "&amp;AD146,IF(NOT(LH_Ready),"Paste Leave History export (Settings must show YES)",IF(AND($AI146="Yes",Y146&lt;=0),"OK - EH balance accepted to date"&amp;IF(N(AH146)&gt;0," (EH holds "&amp;AH146&amp;" hrs over the scheme)","")&amp;"; next day "&amp;TEXT(S146,"dd mmm yy")&amp;IF(N(AE146)&gt;0," ("&amp;AE146&amp;" day(s) for "&amp;UPPER(TEXT(AsOfDate,"mmm yyyy"))&amp;" already in EH)",""),IF(Y146&gt;0,"ACCRUE "&amp;ROUND(Y146,2)&amp;" hrs ("&amp;ROUND(Y146/HoursPerDay,2)&amp;" days): "&amp;IF(N(AE146)&gt;0,AE146&amp;" day(s) for "&amp;UPPER(TEXT(AsOfDate,"mmm yyyy"))&amp;" (milestone "&amp;UPPER(TEXT(AF146,"dd mmm yy"))&amp;")"&amp;IF(Y146/HoursPerDay&gt;AE146+0.001," + "&amp;ROUND(Y146/HoursPerDay-AE146,2)&amp;" day(s) catch-up from earlier months",""),"all catch-up from earlier months, nothing new this month")&amp;IF(BG146=0,"; no Bonus Leave in EH yet",""),IF(Y146&lt;0,"CHECK - EH accrued "&amp;ROUND(-Y146,2)&amp;" hrs more than policy since commencement",IF(N(W146)&gt;O146*HoursPerDay+0.01,"CHECK - EH balance "&amp;ROUND(W146-O146*HoursPerDay,2)&amp;" hrs more than policy entitlement",IF(O146&gt;0,"OK - nothing to add"&amp;IF(N(AE146)&gt;0," ("&amp;AE146&amp;" day(s) for "&amp;UPPER(TEXT(AsOfDate,"mmm yyyy"))&amp;" already in EH)",""),IF(AW146="None",R146,"Not yet - first day on "&amp;TEXT(S146,"dd/mm/yyyy"))))))))))</f>
        <v/>
      </c>
      <c r="AB146" s="17" t="str">
        <f aca="false">IF(OR(AK146=0,T146=""),"",MAX(0,BE146-BQ146)*HoursPerDay-T146)</f>
        <v/>
      </c>
      <c r="AC146" s="16" t="str">
        <f aca="false">IF(AK146=0,"",BG146)</f>
        <v/>
      </c>
      <c r="AD146" s="16" t="str">
        <f aca="false">IF(AK146=0,"",TRIM(IF(OR(ISTEXT($F146),ISTEXT($H146),ISTEXT($I146),ISTEXT($G146),ISTEXT($J146),ISTEXT($D146)),"A date is typed as text - retype it as dd/mm/yyyy. ","")&amp;IF(IF($C146="","",IF(OR(ISNUMBER(SEARCH("full",$C146)),UPPER(TRIM($C146))="FT",UPPER(TRIM($C146))="FTE"),"Full-Time",IF(OR(ISNUMBER(SEARCH("part",$C146)),UPPER(TRIM($C146))="PT",UPPER(TRIM($C146))="PTE"),"Part-Time",IF(OR(ISNUMBER(SEARCH("cas",$C146)),UPPER(TRIM($C146))="CAS"),"Casual","Unknown"))))="Unknown","EmploymentType not recognised - use Full-Time, Part-Time or Casual. ","")&amp;IF(AND(AM146&gt;=1,IF(AM146&gt;=3,AS146,IF(AM146=2,AR146,AQ146))&lt;&gt;IF($C146="","",IF(OR(ISNUMBER(SEARCH("full",$C146)),UPPER(TRIM($C146))="FT",UPPER(TRIM($C146))="FTE"),"Full-Time",IF(OR(ISNUMBER(SEARCH("part",$C146)),UPPER(TRIM($C146))="PT",UPPER(TRIM($C146))="PTE"),"Part-Time",IF(OR(ISNUMBER(SEARCH("cas",$C146)),UPPER(TRIM($C146))="CAS"),"Casual","Unknown"))))),"EmploymentType does not match latest start date ("&amp;IF(AM146&gt;=3,AS146,IF(AM146=2,AR146,AQ146))&amp;"). ","")&amp;IF(AND(AM146&gt;=1,AN146&lt;&gt;$F146),"Earliest type date should equal StartDate. ","")&amp;IF(AND(AM146&gt;=2,AN146=AO146),"Two types start on the same date. ","")&amp;IF(AND(OR(ISNUMBER(SEARCH("part",$C146)),UPPER(TRIM($C146))="PT",UPPER(TRIM($C146))="PTE"),$P146=""),"Part-time: enter PT Hrs/Week (blank = 24+). ","")))</f>
        <v/>
      </c>
      <c r="AE146" s="17" t="str">
        <f aca="false">IF(AK146=0,"",O146-MAX(0,BL146-BQ146))</f>
        <v/>
      </c>
      <c r="AF146" s="14" t="str">
        <f aca="false">IF(OR(AK146=0,AE146="",N(AE146)=0,BM146=""),"",EDATE(AL146,BM146))</f>
        <v/>
      </c>
      <c r="AG146" s="17" t="str">
        <f aca="false">IF(AK146=0,"",MIN(BD146,BQ146))</f>
        <v/>
      </c>
      <c r="AH146" s="17" t="str">
        <f aca="false">IF(AK146=0,"",IF(NOT(LH_Ready),"",IF(BG146=0,0,MAX(0,ROUND(N(T146)+N(U146)-N146,2)))))</f>
        <v/>
      </c>
      <c r="AI146" s="12"/>
      <c r="AJ146" s="12"/>
      <c r="AK146" s="16" t="n">
        <f aca="false">IF(OR(LEN($A146&amp;$B146)=0,$F146=""),0,1)</f>
        <v>0</v>
      </c>
      <c r="AL146" s="14" t="str">
        <f aca="false">IF(AK146=0,"",IF(PreSchemeCounts="No",MAX(SchemeStart,IF($J146&lt;&gt;"",$J146,IF(OR(CasualCounts="Yes",COUNT($G146:$I146)=0),$F146,IF(Apply2026="No",IF($I146="",$F146,$I146),IF(COUNT($H146:$I146)=0,$F146,MIN($H146:$I146)))))),IF($J146&lt;&gt;"",$J146,IF(OR(CasualCounts="Yes",COUNT($G146:$I146)=0),$F146,IF(Apply2026="No",IF($I146="",$F146,$I146),IF(COUNT($H146:$I146)=0,$F146,MIN($H146:$I146)))))))</f>
        <v/>
      </c>
      <c r="AM146" s="16" t="str">
        <f aca="false">IF(AK146=0,"",COUNT($G146:$I146))</f>
        <v/>
      </c>
      <c r="AN146" s="14" t="str">
        <f aca="false">IF(AK146=0,"",IFERROR(SMALL($G146:$I146,1),""))</f>
        <v/>
      </c>
      <c r="AO146" s="14" t="str">
        <f aca="false">IF(AK146=0,"",IFERROR(SMALL($G146:$I146,2),""))</f>
        <v/>
      </c>
      <c r="AP146" s="14" t="str">
        <f aca="false">IF(AK146=0,"",IFERROR(SMALL($G146:$I146,3),""))</f>
        <v/>
      </c>
      <c r="AQ146" s="16" t="str">
        <f aca="false">IF(AK146=0,"",IF(AN146="","",IF(AN146=$H146,"Part-Time",IF(AN146=$I146,"Full-Time","Casual"))))</f>
        <v/>
      </c>
      <c r="AR146" s="16" t="str">
        <f aca="false">IF(AK146=0,"",IF(AO146="","",IF(AO146=$H146,"Part-Time",IF(AO146=$I146,"Full-Time","Casual"))))</f>
        <v/>
      </c>
      <c r="AS146" s="16" t="str">
        <f aca="false">IF(AK146=0,"",IF(AP146="","",IF(AP146=$H146,"Part-Time",IF(AP146=$I146,"Full-Time","Casual"))))</f>
        <v/>
      </c>
      <c r="AT146" s="16" t="str">
        <f aca="false">IF(AK146=0,"",IF(AM146=0,IF(OR(ISNUMBER(SEARCH("full",$C146)),UPPER(TRIM($C146))="FT",UPPER(TRIM($C146))="FTE"),"FT",IF(AND(OR(ISNUMBER(SEARCH("part",$C146)),UPPER(TRIM($C146))="PT",UPPER(TRIM($C146))="PTE"),Apply2026="Yes",OR($P146="",N($P146)&gt;=PT_MinHours)),"PT","None")),IF(OR(ISNUMBER(SEARCH("full",AQ146)),UPPER(TRIM(AQ146))="FT",UPPER(TRIM(AQ146))="FTE"),"FT",IF(AND(OR(ISNUMBER(SEARCH("part",AQ146)),UPPER(TRIM(AQ146))="PT",UPPER(TRIM(AQ146))="PTE"),Apply2026="Yes",OR($P146="",N($P146)&gt;=PT_MinHours)),"PT","None"))))</f>
        <v/>
      </c>
      <c r="AU146" s="16" t="str">
        <f aca="false">IF(AK146=0,"",IF(AM146&lt;2,"",IF(OR(ISNUMBER(SEARCH("full",AR146)),UPPER(TRIM(AR146))="FT",UPPER(TRIM(AR146))="FTE"),"FT",IF(AND(OR(ISNUMBER(SEARCH("part",AR146)),UPPER(TRIM(AR146))="PT",UPPER(TRIM(AR146))="PTE"),Apply2026="Yes",OR($P146="",N($P146)&gt;=PT_MinHours)),"PT","None"))))</f>
        <v/>
      </c>
      <c r="AV146" s="16" t="str">
        <f aca="false">IF(AK146=0,"",IF(AM146&lt;3,"",IF(OR(ISNUMBER(SEARCH("full",AS146)),UPPER(TRIM(AS146))="FT",UPPER(TRIM(AS146))="FTE"),"FT",IF(AND(OR(ISNUMBER(SEARCH("part",AS146)),UPPER(TRIM(AS146))="PT",UPPER(TRIM(AS146))="PTE"),Apply2026="Yes",OR($P146="",N($P146)&gt;=PT_MinHours)),"PT","None"))))</f>
        <v/>
      </c>
      <c r="AW146" s="16" t="str">
        <f aca="false">IF(AK146=0,"",IF(AND(AM146&gt;=3,AP146&lt;=AsOfDate),AV146,IF(AND(AM146&gt;=2,AO146&lt;=AsOfDate),AU146,AT146)))</f>
        <v/>
      </c>
      <c r="AX146" s="16" t="str">
        <f aca="false">IF(AK146=0,"",IF(AsOfDate&lt;AL146,-1,12*(YEAR(AsOfDate)-YEAR(AL146))+MONTH(AsOfDate)-MONTH(AL146)-IF(DAY(AsOfDate)&lt;MIN(DAY(AL146),DAY(EOMONTH(AsOfDate,0))),1,0)))</f>
        <v/>
      </c>
      <c r="AY146" s="16" t="str">
        <f aca="false">IF(AK146=0,"",IF(OR(AM146&lt;2,AO146&gt;AsOfDate),AX146,IF((AO146-1)&lt;AL146,-1,12*(YEAR((AO146-1))-YEAR(AL146))+MONTH((AO146-1))-MONTH(AL146)-IF(DAY((AO146-1))&lt;MIN(DAY(AL146),DAY(EOMONTH((AO146-1),0))),1,0))))</f>
        <v/>
      </c>
      <c r="AZ146" s="16" t="str">
        <f aca="false">IF(AK146=0,"",IF(OR(AM146&lt;3,AP146&gt;AsOfDate),AX146,IF((AP146-1)&lt;AL146,-1,12*(YEAR((AP146-1))-YEAR(AL146))+MONTH((AP146-1))-MONTH(AL146)-IF(DAY((AP146-1))&lt;MIN(DAY(AL146),DAY(EOMONTH((AP146-1),0))),1,0))))</f>
        <v/>
      </c>
      <c r="BA146" s="16" t="str">
        <f aca="false">IF(AK146=0,"",IF(PFYDate&lt;AL146,-1,12*(YEAR(PFYDate)-YEAR(AL146))+MONTH(PFYDate)-MONTH(AL146)-IF(DAY(PFYDate)&lt;MIN(DAY(AL146),DAY(EOMONTH(PFYDate,0))),1,0)))</f>
        <v/>
      </c>
      <c r="BB146" s="16" t="str">
        <f aca="false">IF(AK146=0,"",IF(OR(AM146&lt;2,AO146&gt;PFYDate),BA146,IF((AO146-1)&lt;AL146,-1,12*(YEAR((AO146-1))-YEAR(AL146))+MONTH((AO146-1))-MONTH(AL146)-IF(DAY((AO146-1))&lt;MIN(DAY(AL146),DAY(EOMONTH((AO146-1),0))),1,0))))</f>
        <v/>
      </c>
      <c r="BC146" s="16" t="str">
        <f aca="false">IF(AK146=0,"",IF(OR(AM146&lt;3,AP146&gt;PFYDate),BA146,IF((AP146-1)&lt;AL146,-1,12*(YEAR((AP146-1))-YEAR(AL146))+MONTH((AP146-1))-MONTH(AL146)-IF(DAY((AP146-1))&lt;MIN(DAY(AL146),DAY(EOMONTH((AP146-1),0))),1,0))))</f>
        <v/>
      </c>
      <c r="BD146" s="16" t="str">
        <f aca="false">IF(AK146=0,"",IF(AT146="FT",IF(AY146&lt;FT_First,0,IF(AY146&lt;FT_Y5,1+INT((AY146-FT_First)/FT_Int1),FT_PreY5+FT_PerYear*INT((AY146-FT_Y5)/12)+FT_AnnivDays+INT(MOD(AY146-FT_Y5,12)/FT_Int2)-IF(EDATE(AL146,FT_Y5)&lt;PolicyEff,FT_AnnivDays-1,0))),IF(AT146="PT",IF(AY146&lt;PT_First,0,1+INT((AY146-PT_First)/PT_Int)),0))+IF(AND(AM146&gt;=2,AO146&lt;=AsOfDate),IF(AU146="FT",IF(AZ146&lt;FT_First,0,IF(AZ146&lt;FT_Y5,1+INT((AZ146-FT_First)/FT_Int1),FT_PreY5+FT_PerYear*INT((AZ146-FT_Y5)/12)+FT_AnnivDays+INT(MOD(AZ146-FT_Y5,12)/FT_Int2)-IF(EDATE(AL146,FT_Y5)&lt;PolicyEff,FT_AnnivDays-1,0))),IF(AU146="PT",IF(AZ146&lt;PT_First,0,1+INT((AZ146-PT_First)/PT_Int)),0))-IF(AU146="FT",IF(AY146&lt;FT_First,0,IF(AY146&lt;FT_Y5,1+INT((AY146-FT_First)/FT_Int1),FT_PreY5+FT_PerYear*INT((AY146-FT_Y5)/12)+FT_AnnivDays+INT(MOD(AY146-FT_Y5,12)/FT_Int2)-IF(EDATE(AL146,FT_Y5)&lt;PolicyEff,FT_AnnivDays-1,0))),IF(AU146="PT",IF(AY146&lt;PT_First,0,1+INT((AY146-PT_First)/PT_Int)),0)),0)+IF(AND(AM146&gt;=3,AP146&lt;=AsOfDate),IF(AV146="FT",IF(AX146&lt;FT_First,0,IF(AX146&lt;FT_Y5,1+INT((AX146-FT_First)/FT_Int1),FT_PreY5+FT_PerYear*INT((AX146-FT_Y5)/12)+FT_AnnivDays+INT(MOD(AX146-FT_Y5,12)/FT_Int2)-IF(EDATE(AL146,FT_Y5)&lt;PolicyEff,FT_AnnivDays-1,0))),IF(AV146="PT",IF(AX146&lt;PT_First,0,1+INT((AX146-PT_First)/PT_Int)),0))-IF(AV146="FT",IF(AZ146&lt;FT_First,0,IF(AZ146&lt;FT_Y5,1+INT((AZ146-FT_First)/FT_Int1),FT_PreY5+FT_PerYear*INT((AZ146-FT_Y5)/12)+FT_AnnivDays+INT(MOD(AZ146-FT_Y5,12)/FT_Int2)-IF(EDATE(AL146,FT_Y5)&lt;PolicyEff,FT_AnnivDays-1,0))),IF(AV146="PT",IF(AZ146&lt;PT_First,0,1+INT((AZ146-PT_First)/PT_Int)),0)),0))</f>
        <v/>
      </c>
      <c r="BE146" s="16" t="str">
        <f aca="false">IF(AK146=0,"",IF(AT146="FT",IF(BB146&lt;FT_First,0,IF(BB146&lt;FT_Y5,1+INT((BB146-FT_First)/FT_Int1),FT_PreY5+FT_PerYear*INT((BB146-FT_Y5)/12)+FT_AnnivDays+INT(MOD(BB146-FT_Y5,12)/FT_Int2)-IF(EDATE(AL146,FT_Y5)&lt;PolicyEff,FT_AnnivDays-1,0))),IF(AT146="PT",IF(BB146&lt;PT_First,0,1+INT((BB146-PT_First)/PT_Int)),0))+IF(AND(AM146&gt;=2,AO146&lt;=PFYDate),IF(AU146="FT",IF(BC146&lt;FT_First,0,IF(BC146&lt;FT_Y5,1+INT((BC146-FT_First)/FT_Int1),FT_PreY5+FT_PerYear*INT((BC146-FT_Y5)/12)+FT_AnnivDays+INT(MOD(BC146-FT_Y5,12)/FT_Int2)-IF(EDATE(AL146,FT_Y5)&lt;PolicyEff,FT_AnnivDays-1,0))),IF(AU146="PT",IF(BC146&lt;PT_First,0,1+INT((BC146-PT_First)/PT_Int)),0))-IF(AU146="FT",IF(BB146&lt;FT_First,0,IF(BB146&lt;FT_Y5,1+INT((BB146-FT_First)/FT_Int1),FT_PreY5+FT_PerYear*INT((BB146-FT_Y5)/12)+FT_AnnivDays+INT(MOD(BB146-FT_Y5,12)/FT_Int2)-IF(EDATE(AL146,FT_Y5)&lt;PolicyEff,FT_AnnivDays-1,0))),IF(AU146="PT",IF(BB146&lt;PT_First,0,1+INT((BB146-PT_First)/PT_Int)),0)),0)+IF(AND(AM146&gt;=3,AP146&lt;=PFYDate),IF(AV146="FT",IF(BA146&lt;FT_First,0,IF(BA146&lt;FT_Y5,1+INT((BA146-FT_First)/FT_Int1),FT_PreY5+FT_PerYear*INT((BA146-FT_Y5)/12)+FT_AnnivDays+INT(MOD(BA146-FT_Y5,12)/FT_Int2)-IF(EDATE(AL146,FT_Y5)&lt;PolicyEff,FT_AnnivDays-1,0))),IF(AV146="PT",IF(BA146&lt;PT_First,0,1+INT((BA146-PT_First)/PT_Int)),0))-IF(AV146="FT",IF(BC146&lt;FT_First,0,IF(BC146&lt;FT_Y5,1+INT((BC146-FT_First)/FT_Int1),FT_PreY5+FT_PerYear*INT((BC146-FT_Y5)/12)+FT_AnnivDays+INT(MOD(BC146-FT_Y5,12)/FT_Int2)-IF(EDATE(AL146,FT_Y5)&lt;PolicyEff,FT_AnnivDays-1,0))),IF(AV146="PT",IF(BC146&lt;PT_First,0,1+INT((BC146-PT_First)/PT_Int)),0)),0))</f>
        <v/>
      </c>
      <c r="BF146" s="16" t="str">
        <f aca="false">IF(AK146=0,"",IF(AW146="FT",IF(AX146&lt;FT_First,FT_First,IF(AX146&lt;FT_Y5,MIN(FT_Y5,FT_First+FT_Int1*(INT((AX146-FT_First)/FT_Int1)+1)),FT_Y5+12*INT((AX146-FT_Y5)/12)+FT_Int2*(INT(MOD(AX146-FT_Y5,12)/FT_Int2)+1))),IF(AW146="PT",IF(AX146&lt;PT_First,PT_First,PT_First+PT_Int*(INT((AX146-PT_First)/PT_Int)+1)),"")))</f>
        <v/>
      </c>
      <c r="BG146" s="16" t="str">
        <f aca="false">IF(AK146=0,"",IF(NOT(LH_Ready),0,COUNTIFS(INDEX(LH_Data,0,LH_ColFirst),$A146,INDEX(LH_Data,0,LH_ColSur),$B146,INDEX(LH_Data,0,LH_ColCat),BonusCat)))</f>
        <v/>
      </c>
      <c r="BH146" s="16" t="str">
        <f aca="false">IF(AK146=0,"",IF(OR(NOT(LH_Ready),BG146=0),0,SUMPRODUCT(MAX((INDEX(LH_Data,0,LH_ColFirst)=$A146)*(INDEX(LH_Data,0,LH_ColSur)=$B146)*(INDEX(LH_Data,0,LH_ColCat)=BonusCat)*ROW(LH_Data)))))</f>
        <v/>
      </c>
      <c r="BI146" s="16" t="str">
        <f aca="false">IF(AK146=0,"",IF(EOMONTH(AsOfDate,-1)&lt;AL146,-1,12*(YEAR(EOMONTH(AsOfDate,-1))-YEAR(AL146))+MONTH(EOMONTH(AsOfDate,-1))-MONTH(AL146)-IF(DAY(EOMONTH(AsOfDate,-1))&lt;MIN(DAY(AL146),DAY(EOMONTH(EOMONTH(AsOfDate,-1),0))),1,0)))</f>
        <v/>
      </c>
      <c r="BJ146" s="16" t="str">
        <f aca="false">IF(AK146=0,"",IF(OR(AM146&lt;2,AO146&gt;EOMONTH(AsOfDate,-1)),BI146,IF((AO146-1)&lt;AL146,-1,12*(YEAR((AO146-1))-YEAR(AL146))+MONTH((AO146-1))-MONTH(AL146)-IF(DAY((AO146-1))&lt;MIN(DAY(AL146),DAY(EOMONTH((AO146-1),0))),1,0))))</f>
        <v/>
      </c>
      <c r="BK146" s="16" t="str">
        <f aca="false">IF(AK146=0,"",IF(OR(AM146&lt;3,AP146&gt;EOMONTH(AsOfDate,-1)),BI146,IF((AP146-1)&lt;AL146,-1,12*(YEAR((AP146-1))-YEAR(AL146))+MONTH((AP146-1))-MONTH(AL146)-IF(DAY((AP146-1))&lt;MIN(DAY(AL146),DAY(EOMONTH((AP146-1),0))),1,0))))</f>
        <v/>
      </c>
      <c r="BL146" s="16" t="str">
        <f aca="false">IF(AK146=0,"",IF(AT146="FT",IF(BJ146&lt;FT_First,0,IF(BJ146&lt;FT_Y5,1+INT((BJ146-FT_First)/FT_Int1),FT_PreY5+FT_PerYear*INT((BJ146-FT_Y5)/12)+FT_AnnivDays+INT(MOD(BJ146-FT_Y5,12)/FT_Int2)-IF(EDATE(AL146,FT_Y5)&lt;PolicyEff,FT_AnnivDays-1,0))),IF(AT146="PT",IF(BJ146&lt;PT_First,0,1+INT((BJ146-PT_First)/PT_Int)),0))+IF(AND(AM146&gt;=2,AO146&lt;=EOMONTH(AsOfDate,-1)),IF(AU146="FT",IF(BK146&lt;FT_First,0,IF(BK146&lt;FT_Y5,1+INT((BK146-FT_First)/FT_Int1),FT_PreY5+FT_PerYear*INT((BK146-FT_Y5)/12)+FT_AnnivDays+INT(MOD(BK146-FT_Y5,12)/FT_Int2)-IF(EDATE(AL146,FT_Y5)&lt;PolicyEff,FT_AnnivDays-1,0))),IF(AU146="PT",IF(BK146&lt;PT_First,0,1+INT((BK146-PT_First)/PT_Int)),0))-IF(AU146="FT",IF(BJ146&lt;FT_First,0,IF(BJ146&lt;FT_Y5,1+INT((BJ146-FT_First)/FT_Int1),FT_PreY5+FT_PerYear*INT((BJ146-FT_Y5)/12)+FT_AnnivDays+INT(MOD(BJ146-FT_Y5,12)/FT_Int2)-IF(EDATE(AL146,FT_Y5)&lt;PolicyEff,FT_AnnivDays-1,0))),IF(AU146="PT",IF(BJ146&lt;PT_First,0,1+INT((BJ146-PT_First)/PT_Int)),0)),0)+IF(AND(AM146&gt;=3,AP146&lt;=EOMONTH(AsOfDate,-1)),IF(AV146="FT",IF(BI146&lt;FT_First,0,IF(BI146&lt;FT_Y5,1+INT((BI146-FT_First)/FT_Int1),FT_PreY5+FT_PerYear*INT((BI146-FT_Y5)/12)+FT_AnnivDays+INT(MOD(BI146-FT_Y5,12)/FT_Int2)-IF(EDATE(AL146,FT_Y5)&lt;PolicyEff,FT_AnnivDays-1,0))),IF(AV146="PT",IF(BI146&lt;PT_First,0,1+INT((BI146-PT_First)/PT_Int)),0))-IF(AV146="FT",IF(BK146&lt;FT_First,0,IF(BK146&lt;FT_Y5,1+INT((BK146-FT_First)/FT_Int1),FT_PreY5+FT_PerYear*INT((BK146-FT_Y5)/12)+FT_AnnivDays+INT(MOD(BK146-FT_Y5,12)/FT_Int2)-IF(EDATE(AL146,FT_Y5)&lt;PolicyEff,FT_AnnivDays-1,0))),IF(AV146="PT",IF(BK146&lt;PT_First,0,1+INT((BK146-PT_First)/PT_Int)),0)),0))</f>
        <v/>
      </c>
      <c r="BM146" s="16" t="str">
        <f aca="false">IF(AK146=0,"",IF(AW146="FT",IF(AX146&lt;FT_First,"",IF(AX146&lt;FT_Y5,FT_First+FT_Int1*INT((AX146-FT_First)/FT_Int1),FT_Y5+FT_Int2*INT((AX146-FT_Y5)/FT_Int2))),IF(AW146="PT",IF(AX146&lt;PT_First,"",PT_First+PT_Int*INT((AX146-PT_First)/PT_Int)),"")))</f>
        <v/>
      </c>
      <c r="BN146" s="16" t="str">
        <f aca="false">IF(AK146=0,"",IF((SchemeStart-1)&lt;AL146,-1,12*(YEAR((SchemeStart-1))-YEAR(AL146))+MONTH((SchemeStart-1))-MONTH(AL146)-IF(DAY((SchemeStart-1))&lt;MIN(DAY(AL146),DAY(EOMONTH((SchemeStart-1),0))),1,0)))</f>
        <v/>
      </c>
      <c r="BO146" s="16" t="str">
        <f aca="false">IF(AK146=0,"",IF(OR(AM146&lt;2,AO146&gt;(SchemeStart-1)),BN146,IF((AO146-1)&lt;AL146,-1,12*(YEAR((AO146-1))-YEAR(AL146))+MONTH((AO146-1))-MONTH(AL146)-IF(DAY((AO146-1))&lt;MIN(DAY(AL146),DAY(EOMONTH((AO146-1),0))),1,0))))</f>
        <v/>
      </c>
      <c r="BP146" s="16" t="str">
        <f aca="false">IF(AK146=0,"",IF(OR(AM146&lt;3,AP146&gt;(SchemeStart-1)),BN146,IF((AP146-1)&lt;AL146,-1,12*(YEAR((AP146-1))-YEAR(AL146))+MONTH((AP146-1))-MONTH(AL146)-IF(DAY((AP146-1))&lt;MIN(DAY(AL146),DAY(EOMONTH((AP146-1),0))),1,0))))</f>
        <v/>
      </c>
      <c r="BQ146" s="16" t="str">
        <f aca="false">IF(AK146=0,"",IF(AT146="FT",IF(BO146&lt;FT_First,0,IF(BO146&lt;FT_Y5,1+INT((BO146-FT_First)/FT_Int1),FT_PreY5+FT_PerYear*INT((BO146-FT_Y5)/12)+FT_AnnivDays+INT(MOD(BO146-FT_Y5,12)/FT_Int2)-IF(EDATE(AL146,FT_Y5)&lt;PolicyEff,FT_AnnivDays-1,0))),IF(AT146="PT",IF(BO146&lt;PT_First,0,1+INT((BO146-PT_First)/PT_Int)),0))+IF(AND(AM146&gt;=2,AO146&lt;=(SchemeStart-1)),IF(AU146="FT",IF(BP146&lt;FT_First,0,IF(BP146&lt;FT_Y5,1+INT((BP146-FT_First)/FT_Int1),FT_PreY5+FT_PerYear*INT((BP146-FT_Y5)/12)+FT_AnnivDays+INT(MOD(BP146-FT_Y5,12)/FT_Int2)-IF(EDATE(AL146,FT_Y5)&lt;PolicyEff,FT_AnnivDays-1,0))),IF(AU146="PT",IF(BP146&lt;PT_First,0,1+INT((BP146-PT_First)/PT_Int)),0))-IF(AU146="FT",IF(BO146&lt;FT_First,0,IF(BO146&lt;FT_Y5,1+INT((BO146-FT_First)/FT_Int1),FT_PreY5+FT_PerYear*INT((BO146-FT_Y5)/12)+FT_AnnivDays+INT(MOD(BO146-FT_Y5,12)/FT_Int2)-IF(EDATE(AL146,FT_Y5)&lt;PolicyEff,FT_AnnivDays-1,0))),IF(AU146="PT",IF(BO146&lt;PT_First,0,1+INT((BO146-PT_First)/PT_Int)),0)),0)+IF(AND(AM146&gt;=3,AP146&lt;=(SchemeStart-1)),IF(AV146="FT",IF(BN146&lt;FT_First,0,IF(BN146&lt;FT_Y5,1+INT((BN146-FT_First)/FT_Int1),FT_PreY5+FT_PerYear*INT((BN146-FT_Y5)/12)+FT_AnnivDays+INT(MOD(BN146-FT_Y5,12)/FT_Int2)-IF(EDATE(AL146,FT_Y5)&lt;PolicyEff,FT_AnnivDays-1,0))),IF(AV146="PT",IF(BN146&lt;PT_First,0,1+INT((BN146-PT_First)/PT_Int)),0))-IF(AV146="FT",IF(BP146&lt;FT_First,0,IF(BP146&lt;FT_Y5,1+INT((BP146-FT_First)/FT_Int1),FT_PreY5+FT_PerYear*INT((BP146-FT_Y5)/12)+FT_AnnivDays+INT(MOD(BP146-FT_Y5,12)/FT_Int2)-IF(EDATE(AL146,FT_Y5)&lt;PolicyEff,FT_AnnivDays-1,0))),IF(AV146="PT",IF(BP146&lt;PT_First,0,1+INT((BP146-PT_First)/PT_Int)),0)),0))</f>
        <v/>
      </c>
      <c r="BR146" s="0" t="str">
        <f aca="false">IF(LEN($A146&amp;$B146)=0,"",$A146&amp;" "&amp;$B146)</f>
        <v/>
      </c>
    </row>
    <row r="147" customFormat="false" ht="15" hidden="false" customHeight="false" outlineLevel="0" collapsed="false">
      <c r="A147" s="12"/>
      <c r="B147" s="12"/>
      <c r="C147" s="12"/>
      <c r="D147" s="13"/>
      <c r="E147" s="14" t="str">
        <f aca="false">IF(OR(AK147=0,$D147=""),"",DATE(YEAR(AsOfDate)+IF(DATE(YEAR(AsOfDate),MONTH($D147),DAY($D147))&lt;=AsOfDate,1,0),MONTH($D147),DAY($D147)))</f>
        <v/>
      </c>
      <c r="F147" s="13"/>
      <c r="G147" s="13"/>
      <c r="H147" s="13"/>
      <c r="I147" s="13"/>
      <c r="J147" s="13"/>
      <c r="K147" s="14" t="str">
        <f aca="false">IF(AK147=0,"",DATE(YEAR(AsOfDate)+IF(DATE(YEAR(AsOfDate),MONTH(AL147),DAY(AL147))&lt;=AsOfDate,1,0),MONTH(AL147),DAY(AL147)))</f>
        <v/>
      </c>
      <c r="L147" s="15" t="str">
        <f aca="false">IF(AK147=0,"",ROUND((AsOfDate-AL147)/365.25,1))</f>
        <v/>
      </c>
      <c r="M147" s="16" t="str">
        <f aca="false">IF(AK147=0,"",IF(AsOfDate&lt;AL147,"-",DATEDIF(AL147,AsOfDate,"y")&amp;"y "&amp;DATEDIF(AL147,AsOfDate,"ym")&amp;"m "&amp;DATEDIF(AL147,AsOfDate,"md")&amp;"d"))</f>
        <v/>
      </c>
      <c r="N147" s="17" t="str">
        <f aca="false">IF(AK147=0,"",O147*HoursPerDay)</f>
        <v/>
      </c>
      <c r="O147" s="17" t="str">
        <f aca="false">IF(AK147=0,"",MAX(0,BD147-BQ147))</f>
        <v/>
      </c>
      <c r="P147" s="18"/>
      <c r="Q147" s="16" t="str">
        <f aca="false">IF(AK147=0,"",IF(AM147&lt;2,"",AQ147&amp;" to "&amp;AR147&amp;" on "&amp;TEXT(AO147,"dd/mm/yyyy")&amp;IF(AO147&gt;AsOfDate," (future)",IF(AT147=AU147,"",IF(AU147="None"," - STOPPED accruing",IF(AT147="None"," - commencement for Bonus Leave"," - pathway changed"))))&amp;IF(AM147&lt;3,"","; "&amp;AR147&amp;" to "&amp;AS147&amp;" on "&amp;TEXT(AP147,"dd/mm/yyyy")&amp;IF(AP147&gt;AsOfDate," (future)",IF(AU147=AV147,"",IF(AV147="None"," - STOPPED accruing",IF(AU147="None"," - commencement for Bonus Leave"," - pathway changed")))))))</f>
        <v/>
      </c>
      <c r="R147" s="16" t="str">
        <f aca="false">IF(AK147=0,"",IF(AW147="None",IF(O147&gt;0,"No longer accruing","Not eligible - "&amp;IF(AND(OR(ISNUMBER(SEARCH("part",$C147)),UPPER(TRIM($C147))="PT",UPPER(TRIM($C147))="PTE"),Apply2026="No"),"part-time (scheme is full-time only)",IF(AND(OR(ISNUMBER(SEARCH("part",$C147)),UPPER(TRIM($C147))="PT",UPPER(TRIM($C147))="PTE"),$P147&lt;&gt;"",N($P147)&lt;PT_MinHours),"under "&amp;PT_MinHours&amp;" hrs",IF(IF($C147="","",IF(OR(ISNUMBER(SEARCH("full",$C147)),UPPER(TRIM($C147))="FT",UPPER(TRIM($C147))="FTE"),"Full-Time",IF(OR(ISNUMBER(SEARCH("part",$C147)),UPPER(TRIM($C147))="PT",UPPER(TRIM($C147))="PTE"),"Part-Time",IF(OR(ISNUMBER(SEARCH("cas",$C147)),UPPER(TRIM($C147))="CAS"),"Casual","Unknown"))))="Unknown","type not recognised",$C147)))),IF(O147&gt;0,"Yes - Accrual Required","Not yet - from "&amp;TEXT(S147,"dd/mm/yyyy"))))</f>
        <v/>
      </c>
      <c r="S147" s="14" t="str">
        <f aca="false">IF(AK147=0,"",IF(AW147="None","",EDATE(AL147,BF147)))</f>
        <v/>
      </c>
      <c r="T147" s="17" t="str">
        <f aca="false">IF(AK147=0,"",IF(NOT(LH_Ready),"",IF($F147&gt;PFYDate,0,IF(LH_ColPeriod=0,W147-U147+V147,SUMIFS(INDEX(LH_Data,0,LH_ColAcc),INDEX(LH_Data,0,LH_ColFirst),$A147,INDEX(LH_Data,0,LH_ColSur),$B147,INDEX(LH_Data,0,LH_ColCat),BonusCat,INDEX(LH_Data,0,LH_ColPeriod),LH_OpenLabel)*UnitFactor))))</f>
        <v/>
      </c>
      <c r="U147" s="17" t="str">
        <f aca="false">IF(AK147=0,"",IF(NOT(LH_Ready),"",SUMIFS(INDEX(LH_Data,0,LH_ColAcc),INDEX(LH_Data,0,LH_ColFirst),$A147,INDEX(LH_Data,0,LH_ColSur),$B147,INDEX(LH_Data,0,LH_ColCat),BonusCat,INDEX(LH_Data,0,LH_ColStart),"&gt;="&amp;AL147)*UnitFactor))</f>
        <v/>
      </c>
      <c r="V147" s="17" t="str">
        <f aca="false">IF(AK147=0,"",IF(NOT(LH_Ready),"",SUMIFS(INDEX(LH_Data,0,LH_ColTaken),INDEX(LH_Data,0,LH_ColFirst),$A147,INDEX(LH_Data,0,LH_ColSur),$B147,INDEX(LH_Data,0,LH_ColCat),BonusCat,INDEX(LH_Data,0,LH_ColStart),"&gt;="&amp;AL147)*UnitFactor))</f>
        <v/>
      </c>
      <c r="W147" s="17" t="str">
        <f aca="false">IF(AK147=0,"",IF(NOT(LH_Ready),"",IF(BH147=0,0,INDEX(INDEX(LH_Data,0,LH_ColClose),BH147-1)*UnitFactor)))</f>
        <v/>
      </c>
      <c r="X147" s="17" t="str">
        <f aca="false">IF(AK147=0,"",(MAX(0,BD147-BQ147)-MAX(0,BE147-BQ147))*HoursPerDay)</f>
        <v/>
      </c>
      <c r="Y147" s="17" t="str">
        <f aca="false">IF(AK147=0,"",IF(NOT(LH_Ready),"",IF($AI147="Yes",N(AE147)*HoursPerDay-SUMIFS(INDEX(LH_Data,0,LH_ColAcc),INDEX(LH_Data,0,LH_ColFirst),$A147,INDEX(LH_Data,0,LH_ColSur),$B147,INDEX(LH_Data,0,LH_ColCat),BonusCat,INDEX(LH_Data,0,LH_ColStart),"&gt;="&amp;(EOMONTH(AsOfDate,-1)+1),INDEX(LH_Data,0,LH_ColStart),"&lt;="&amp;AsOfDate)*UnitFactor,IF(BG147=0,N147,N147-N(T147)-N(U147)))))</f>
        <v/>
      </c>
      <c r="Z147" s="16" t="str">
        <f aca="false">IF(OR(AK147=0,Y147=""),"",IF(Y147&gt;0,"Yes","No"))</f>
        <v/>
      </c>
      <c r="AA147" s="16" t="str">
        <f aca="false">IF(AK147=0,IF(LEN($A147&amp;$B147)=0,"","FIX INPUT - StartDate missing"),IF(AD147&lt;&gt;"","FIX INPUT - "&amp;AD147,IF(NOT(LH_Ready),"Paste Leave History export (Settings must show YES)",IF(AND($AI147="Yes",Y147&lt;=0),"OK - EH balance accepted to date"&amp;IF(N(AH147)&gt;0," (EH holds "&amp;AH147&amp;" hrs over the scheme)","")&amp;"; next day "&amp;TEXT(S147,"dd mmm yy")&amp;IF(N(AE147)&gt;0," ("&amp;AE147&amp;" day(s) for "&amp;UPPER(TEXT(AsOfDate,"mmm yyyy"))&amp;" already in EH)",""),IF(Y147&gt;0,"ACCRUE "&amp;ROUND(Y147,2)&amp;" hrs ("&amp;ROUND(Y147/HoursPerDay,2)&amp;" days): "&amp;IF(N(AE147)&gt;0,AE147&amp;" day(s) for "&amp;UPPER(TEXT(AsOfDate,"mmm yyyy"))&amp;" (milestone "&amp;UPPER(TEXT(AF147,"dd mmm yy"))&amp;")"&amp;IF(Y147/HoursPerDay&gt;AE147+0.001," + "&amp;ROUND(Y147/HoursPerDay-AE147,2)&amp;" day(s) catch-up from earlier months",""),"all catch-up from earlier months, nothing new this month")&amp;IF(BG147=0,"; no Bonus Leave in EH yet",""),IF(Y147&lt;0,"CHECK - EH accrued "&amp;ROUND(-Y147,2)&amp;" hrs more than policy since commencement",IF(N(W147)&gt;O147*HoursPerDay+0.01,"CHECK - EH balance "&amp;ROUND(W147-O147*HoursPerDay,2)&amp;" hrs more than policy entitlement",IF(O147&gt;0,"OK - nothing to add"&amp;IF(N(AE147)&gt;0," ("&amp;AE147&amp;" day(s) for "&amp;UPPER(TEXT(AsOfDate,"mmm yyyy"))&amp;" already in EH)",""),IF(AW147="None",R147,"Not yet - first day on "&amp;TEXT(S147,"dd/mm/yyyy"))))))))))</f>
        <v/>
      </c>
      <c r="AB147" s="17" t="str">
        <f aca="false">IF(OR(AK147=0,T147=""),"",MAX(0,BE147-BQ147)*HoursPerDay-T147)</f>
        <v/>
      </c>
      <c r="AC147" s="16" t="str">
        <f aca="false">IF(AK147=0,"",BG147)</f>
        <v/>
      </c>
      <c r="AD147" s="16" t="str">
        <f aca="false">IF(AK147=0,"",TRIM(IF(OR(ISTEXT($F147),ISTEXT($H147),ISTEXT($I147),ISTEXT($G147),ISTEXT($J147),ISTEXT($D147)),"A date is typed as text - retype it as dd/mm/yyyy. ","")&amp;IF(IF($C147="","",IF(OR(ISNUMBER(SEARCH("full",$C147)),UPPER(TRIM($C147))="FT",UPPER(TRIM($C147))="FTE"),"Full-Time",IF(OR(ISNUMBER(SEARCH("part",$C147)),UPPER(TRIM($C147))="PT",UPPER(TRIM($C147))="PTE"),"Part-Time",IF(OR(ISNUMBER(SEARCH("cas",$C147)),UPPER(TRIM($C147))="CAS"),"Casual","Unknown"))))="Unknown","EmploymentType not recognised - use Full-Time, Part-Time or Casual. ","")&amp;IF(AND(AM147&gt;=1,IF(AM147&gt;=3,AS147,IF(AM147=2,AR147,AQ147))&lt;&gt;IF($C147="","",IF(OR(ISNUMBER(SEARCH("full",$C147)),UPPER(TRIM($C147))="FT",UPPER(TRIM($C147))="FTE"),"Full-Time",IF(OR(ISNUMBER(SEARCH("part",$C147)),UPPER(TRIM($C147))="PT",UPPER(TRIM($C147))="PTE"),"Part-Time",IF(OR(ISNUMBER(SEARCH("cas",$C147)),UPPER(TRIM($C147))="CAS"),"Casual","Unknown"))))),"EmploymentType does not match latest start date ("&amp;IF(AM147&gt;=3,AS147,IF(AM147=2,AR147,AQ147))&amp;"). ","")&amp;IF(AND(AM147&gt;=1,AN147&lt;&gt;$F147),"Earliest type date should equal StartDate. ","")&amp;IF(AND(AM147&gt;=2,AN147=AO147),"Two types start on the same date. ","")&amp;IF(AND(OR(ISNUMBER(SEARCH("part",$C147)),UPPER(TRIM($C147))="PT",UPPER(TRIM($C147))="PTE"),$P147=""),"Part-time: enter PT Hrs/Week (blank = 24+). ","")))</f>
        <v/>
      </c>
      <c r="AE147" s="17" t="str">
        <f aca="false">IF(AK147=0,"",O147-MAX(0,BL147-BQ147))</f>
        <v/>
      </c>
      <c r="AF147" s="14" t="str">
        <f aca="false">IF(OR(AK147=0,AE147="",N(AE147)=0,BM147=""),"",EDATE(AL147,BM147))</f>
        <v/>
      </c>
      <c r="AG147" s="17" t="str">
        <f aca="false">IF(AK147=0,"",MIN(BD147,BQ147))</f>
        <v/>
      </c>
      <c r="AH147" s="17" t="str">
        <f aca="false">IF(AK147=0,"",IF(NOT(LH_Ready),"",IF(BG147=0,0,MAX(0,ROUND(N(T147)+N(U147)-N147,2)))))</f>
        <v/>
      </c>
      <c r="AI147" s="12"/>
      <c r="AJ147" s="12"/>
      <c r="AK147" s="16" t="n">
        <f aca="false">IF(OR(LEN($A147&amp;$B147)=0,$F147=""),0,1)</f>
        <v>0</v>
      </c>
      <c r="AL147" s="14" t="str">
        <f aca="false">IF(AK147=0,"",IF(PreSchemeCounts="No",MAX(SchemeStart,IF($J147&lt;&gt;"",$J147,IF(OR(CasualCounts="Yes",COUNT($G147:$I147)=0),$F147,IF(Apply2026="No",IF($I147="",$F147,$I147),IF(COUNT($H147:$I147)=0,$F147,MIN($H147:$I147)))))),IF($J147&lt;&gt;"",$J147,IF(OR(CasualCounts="Yes",COUNT($G147:$I147)=0),$F147,IF(Apply2026="No",IF($I147="",$F147,$I147),IF(COUNT($H147:$I147)=0,$F147,MIN($H147:$I147)))))))</f>
        <v/>
      </c>
      <c r="AM147" s="16" t="str">
        <f aca="false">IF(AK147=0,"",COUNT($G147:$I147))</f>
        <v/>
      </c>
      <c r="AN147" s="14" t="str">
        <f aca="false">IF(AK147=0,"",IFERROR(SMALL($G147:$I147,1),""))</f>
        <v/>
      </c>
      <c r="AO147" s="14" t="str">
        <f aca="false">IF(AK147=0,"",IFERROR(SMALL($G147:$I147,2),""))</f>
        <v/>
      </c>
      <c r="AP147" s="14" t="str">
        <f aca="false">IF(AK147=0,"",IFERROR(SMALL($G147:$I147,3),""))</f>
        <v/>
      </c>
      <c r="AQ147" s="16" t="str">
        <f aca="false">IF(AK147=0,"",IF(AN147="","",IF(AN147=$H147,"Part-Time",IF(AN147=$I147,"Full-Time","Casual"))))</f>
        <v/>
      </c>
      <c r="AR147" s="16" t="str">
        <f aca="false">IF(AK147=0,"",IF(AO147="","",IF(AO147=$H147,"Part-Time",IF(AO147=$I147,"Full-Time","Casual"))))</f>
        <v/>
      </c>
      <c r="AS147" s="16" t="str">
        <f aca="false">IF(AK147=0,"",IF(AP147="","",IF(AP147=$H147,"Part-Time",IF(AP147=$I147,"Full-Time","Casual"))))</f>
        <v/>
      </c>
      <c r="AT147" s="16" t="str">
        <f aca="false">IF(AK147=0,"",IF(AM147=0,IF(OR(ISNUMBER(SEARCH("full",$C147)),UPPER(TRIM($C147))="FT",UPPER(TRIM($C147))="FTE"),"FT",IF(AND(OR(ISNUMBER(SEARCH("part",$C147)),UPPER(TRIM($C147))="PT",UPPER(TRIM($C147))="PTE"),Apply2026="Yes",OR($P147="",N($P147)&gt;=PT_MinHours)),"PT","None")),IF(OR(ISNUMBER(SEARCH("full",AQ147)),UPPER(TRIM(AQ147))="FT",UPPER(TRIM(AQ147))="FTE"),"FT",IF(AND(OR(ISNUMBER(SEARCH("part",AQ147)),UPPER(TRIM(AQ147))="PT",UPPER(TRIM(AQ147))="PTE"),Apply2026="Yes",OR($P147="",N($P147)&gt;=PT_MinHours)),"PT","None"))))</f>
        <v/>
      </c>
      <c r="AU147" s="16" t="str">
        <f aca="false">IF(AK147=0,"",IF(AM147&lt;2,"",IF(OR(ISNUMBER(SEARCH("full",AR147)),UPPER(TRIM(AR147))="FT",UPPER(TRIM(AR147))="FTE"),"FT",IF(AND(OR(ISNUMBER(SEARCH("part",AR147)),UPPER(TRIM(AR147))="PT",UPPER(TRIM(AR147))="PTE"),Apply2026="Yes",OR($P147="",N($P147)&gt;=PT_MinHours)),"PT","None"))))</f>
        <v/>
      </c>
      <c r="AV147" s="16" t="str">
        <f aca="false">IF(AK147=0,"",IF(AM147&lt;3,"",IF(OR(ISNUMBER(SEARCH("full",AS147)),UPPER(TRIM(AS147))="FT",UPPER(TRIM(AS147))="FTE"),"FT",IF(AND(OR(ISNUMBER(SEARCH("part",AS147)),UPPER(TRIM(AS147))="PT",UPPER(TRIM(AS147))="PTE"),Apply2026="Yes",OR($P147="",N($P147)&gt;=PT_MinHours)),"PT","None"))))</f>
        <v/>
      </c>
      <c r="AW147" s="16" t="str">
        <f aca="false">IF(AK147=0,"",IF(AND(AM147&gt;=3,AP147&lt;=AsOfDate),AV147,IF(AND(AM147&gt;=2,AO147&lt;=AsOfDate),AU147,AT147)))</f>
        <v/>
      </c>
      <c r="AX147" s="16" t="str">
        <f aca="false">IF(AK147=0,"",IF(AsOfDate&lt;AL147,-1,12*(YEAR(AsOfDate)-YEAR(AL147))+MONTH(AsOfDate)-MONTH(AL147)-IF(DAY(AsOfDate)&lt;MIN(DAY(AL147),DAY(EOMONTH(AsOfDate,0))),1,0)))</f>
        <v/>
      </c>
      <c r="AY147" s="16" t="str">
        <f aca="false">IF(AK147=0,"",IF(OR(AM147&lt;2,AO147&gt;AsOfDate),AX147,IF((AO147-1)&lt;AL147,-1,12*(YEAR((AO147-1))-YEAR(AL147))+MONTH((AO147-1))-MONTH(AL147)-IF(DAY((AO147-1))&lt;MIN(DAY(AL147),DAY(EOMONTH((AO147-1),0))),1,0))))</f>
        <v/>
      </c>
      <c r="AZ147" s="16" t="str">
        <f aca="false">IF(AK147=0,"",IF(OR(AM147&lt;3,AP147&gt;AsOfDate),AX147,IF((AP147-1)&lt;AL147,-1,12*(YEAR((AP147-1))-YEAR(AL147))+MONTH((AP147-1))-MONTH(AL147)-IF(DAY((AP147-1))&lt;MIN(DAY(AL147),DAY(EOMONTH((AP147-1),0))),1,0))))</f>
        <v/>
      </c>
      <c r="BA147" s="16" t="str">
        <f aca="false">IF(AK147=0,"",IF(PFYDate&lt;AL147,-1,12*(YEAR(PFYDate)-YEAR(AL147))+MONTH(PFYDate)-MONTH(AL147)-IF(DAY(PFYDate)&lt;MIN(DAY(AL147),DAY(EOMONTH(PFYDate,0))),1,0)))</f>
        <v/>
      </c>
      <c r="BB147" s="16" t="str">
        <f aca="false">IF(AK147=0,"",IF(OR(AM147&lt;2,AO147&gt;PFYDate),BA147,IF((AO147-1)&lt;AL147,-1,12*(YEAR((AO147-1))-YEAR(AL147))+MONTH((AO147-1))-MONTH(AL147)-IF(DAY((AO147-1))&lt;MIN(DAY(AL147),DAY(EOMONTH((AO147-1),0))),1,0))))</f>
        <v/>
      </c>
      <c r="BC147" s="16" t="str">
        <f aca="false">IF(AK147=0,"",IF(OR(AM147&lt;3,AP147&gt;PFYDate),BA147,IF((AP147-1)&lt;AL147,-1,12*(YEAR((AP147-1))-YEAR(AL147))+MONTH((AP147-1))-MONTH(AL147)-IF(DAY((AP147-1))&lt;MIN(DAY(AL147),DAY(EOMONTH((AP147-1),0))),1,0))))</f>
        <v/>
      </c>
      <c r="BD147" s="16" t="str">
        <f aca="false">IF(AK147=0,"",IF(AT147="FT",IF(AY147&lt;FT_First,0,IF(AY147&lt;FT_Y5,1+INT((AY147-FT_First)/FT_Int1),FT_PreY5+FT_PerYear*INT((AY147-FT_Y5)/12)+FT_AnnivDays+INT(MOD(AY147-FT_Y5,12)/FT_Int2)-IF(EDATE(AL147,FT_Y5)&lt;PolicyEff,FT_AnnivDays-1,0))),IF(AT147="PT",IF(AY147&lt;PT_First,0,1+INT((AY147-PT_First)/PT_Int)),0))+IF(AND(AM147&gt;=2,AO147&lt;=AsOfDate),IF(AU147="FT",IF(AZ147&lt;FT_First,0,IF(AZ147&lt;FT_Y5,1+INT((AZ147-FT_First)/FT_Int1),FT_PreY5+FT_PerYear*INT((AZ147-FT_Y5)/12)+FT_AnnivDays+INT(MOD(AZ147-FT_Y5,12)/FT_Int2)-IF(EDATE(AL147,FT_Y5)&lt;PolicyEff,FT_AnnivDays-1,0))),IF(AU147="PT",IF(AZ147&lt;PT_First,0,1+INT((AZ147-PT_First)/PT_Int)),0))-IF(AU147="FT",IF(AY147&lt;FT_First,0,IF(AY147&lt;FT_Y5,1+INT((AY147-FT_First)/FT_Int1),FT_PreY5+FT_PerYear*INT((AY147-FT_Y5)/12)+FT_AnnivDays+INT(MOD(AY147-FT_Y5,12)/FT_Int2)-IF(EDATE(AL147,FT_Y5)&lt;PolicyEff,FT_AnnivDays-1,0))),IF(AU147="PT",IF(AY147&lt;PT_First,0,1+INT((AY147-PT_First)/PT_Int)),0)),0)+IF(AND(AM147&gt;=3,AP147&lt;=AsOfDate),IF(AV147="FT",IF(AX147&lt;FT_First,0,IF(AX147&lt;FT_Y5,1+INT((AX147-FT_First)/FT_Int1),FT_PreY5+FT_PerYear*INT((AX147-FT_Y5)/12)+FT_AnnivDays+INT(MOD(AX147-FT_Y5,12)/FT_Int2)-IF(EDATE(AL147,FT_Y5)&lt;PolicyEff,FT_AnnivDays-1,0))),IF(AV147="PT",IF(AX147&lt;PT_First,0,1+INT((AX147-PT_First)/PT_Int)),0))-IF(AV147="FT",IF(AZ147&lt;FT_First,0,IF(AZ147&lt;FT_Y5,1+INT((AZ147-FT_First)/FT_Int1),FT_PreY5+FT_PerYear*INT((AZ147-FT_Y5)/12)+FT_AnnivDays+INT(MOD(AZ147-FT_Y5,12)/FT_Int2)-IF(EDATE(AL147,FT_Y5)&lt;PolicyEff,FT_AnnivDays-1,0))),IF(AV147="PT",IF(AZ147&lt;PT_First,0,1+INT((AZ147-PT_First)/PT_Int)),0)),0))</f>
        <v/>
      </c>
      <c r="BE147" s="16" t="str">
        <f aca="false">IF(AK147=0,"",IF(AT147="FT",IF(BB147&lt;FT_First,0,IF(BB147&lt;FT_Y5,1+INT((BB147-FT_First)/FT_Int1),FT_PreY5+FT_PerYear*INT((BB147-FT_Y5)/12)+FT_AnnivDays+INT(MOD(BB147-FT_Y5,12)/FT_Int2)-IF(EDATE(AL147,FT_Y5)&lt;PolicyEff,FT_AnnivDays-1,0))),IF(AT147="PT",IF(BB147&lt;PT_First,0,1+INT((BB147-PT_First)/PT_Int)),0))+IF(AND(AM147&gt;=2,AO147&lt;=PFYDate),IF(AU147="FT",IF(BC147&lt;FT_First,0,IF(BC147&lt;FT_Y5,1+INT((BC147-FT_First)/FT_Int1),FT_PreY5+FT_PerYear*INT((BC147-FT_Y5)/12)+FT_AnnivDays+INT(MOD(BC147-FT_Y5,12)/FT_Int2)-IF(EDATE(AL147,FT_Y5)&lt;PolicyEff,FT_AnnivDays-1,0))),IF(AU147="PT",IF(BC147&lt;PT_First,0,1+INT((BC147-PT_First)/PT_Int)),0))-IF(AU147="FT",IF(BB147&lt;FT_First,0,IF(BB147&lt;FT_Y5,1+INT((BB147-FT_First)/FT_Int1),FT_PreY5+FT_PerYear*INT((BB147-FT_Y5)/12)+FT_AnnivDays+INT(MOD(BB147-FT_Y5,12)/FT_Int2)-IF(EDATE(AL147,FT_Y5)&lt;PolicyEff,FT_AnnivDays-1,0))),IF(AU147="PT",IF(BB147&lt;PT_First,0,1+INT((BB147-PT_First)/PT_Int)),0)),0)+IF(AND(AM147&gt;=3,AP147&lt;=PFYDate),IF(AV147="FT",IF(BA147&lt;FT_First,0,IF(BA147&lt;FT_Y5,1+INT((BA147-FT_First)/FT_Int1),FT_PreY5+FT_PerYear*INT((BA147-FT_Y5)/12)+FT_AnnivDays+INT(MOD(BA147-FT_Y5,12)/FT_Int2)-IF(EDATE(AL147,FT_Y5)&lt;PolicyEff,FT_AnnivDays-1,0))),IF(AV147="PT",IF(BA147&lt;PT_First,0,1+INT((BA147-PT_First)/PT_Int)),0))-IF(AV147="FT",IF(BC147&lt;FT_First,0,IF(BC147&lt;FT_Y5,1+INT((BC147-FT_First)/FT_Int1),FT_PreY5+FT_PerYear*INT((BC147-FT_Y5)/12)+FT_AnnivDays+INT(MOD(BC147-FT_Y5,12)/FT_Int2)-IF(EDATE(AL147,FT_Y5)&lt;PolicyEff,FT_AnnivDays-1,0))),IF(AV147="PT",IF(BC147&lt;PT_First,0,1+INT((BC147-PT_First)/PT_Int)),0)),0))</f>
        <v/>
      </c>
      <c r="BF147" s="16" t="str">
        <f aca="false">IF(AK147=0,"",IF(AW147="FT",IF(AX147&lt;FT_First,FT_First,IF(AX147&lt;FT_Y5,MIN(FT_Y5,FT_First+FT_Int1*(INT((AX147-FT_First)/FT_Int1)+1)),FT_Y5+12*INT((AX147-FT_Y5)/12)+FT_Int2*(INT(MOD(AX147-FT_Y5,12)/FT_Int2)+1))),IF(AW147="PT",IF(AX147&lt;PT_First,PT_First,PT_First+PT_Int*(INT((AX147-PT_First)/PT_Int)+1)),"")))</f>
        <v/>
      </c>
      <c r="BG147" s="16" t="str">
        <f aca="false">IF(AK147=0,"",IF(NOT(LH_Ready),0,COUNTIFS(INDEX(LH_Data,0,LH_ColFirst),$A147,INDEX(LH_Data,0,LH_ColSur),$B147,INDEX(LH_Data,0,LH_ColCat),BonusCat)))</f>
        <v/>
      </c>
      <c r="BH147" s="16" t="str">
        <f aca="false">IF(AK147=0,"",IF(OR(NOT(LH_Ready),BG147=0),0,SUMPRODUCT(MAX((INDEX(LH_Data,0,LH_ColFirst)=$A147)*(INDEX(LH_Data,0,LH_ColSur)=$B147)*(INDEX(LH_Data,0,LH_ColCat)=BonusCat)*ROW(LH_Data)))))</f>
        <v/>
      </c>
      <c r="BI147" s="16" t="str">
        <f aca="false">IF(AK147=0,"",IF(EOMONTH(AsOfDate,-1)&lt;AL147,-1,12*(YEAR(EOMONTH(AsOfDate,-1))-YEAR(AL147))+MONTH(EOMONTH(AsOfDate,-1))-MONTH(AL147)-IF(DAY(EOMONTH(AsOfDate,-1))&lt;MIN(DAY(AL147),DAY(EOMONTH(EOMONTH(AsOfDate,-1),0))),1,0)))</f>
        <v/>
      </c>
      <c r="BJ147" s="16" t="str">
        <f aca="false">IF(AK147=0,"",IF(OR(AM147&lt;2,AO147&gt;EOMONTH(AsOfDate,-1)),BI147,IF((AO147-1)&lt;AL147,-1,12*(YEAR((AO147-1))-YEAR(AL147))+MONTH((AO147-1))-MONTH(AL147)-IF(DAY((AO147-1))&lt;MIN(DAY(AL147),DAY(EOMONTH((AO147-1),0))),1,0))))</f>
        <v/>
      </c>
      <c r="BK147" s="16" t="str">
        <f aca="false">IF(AK147=0,"",IF(OR(AM147&lt;3,AP147&gt;EOMONTH(AsOfDate,-1)),BI147,IF((AP147-1)&lt;AL147,-1,12*(YEAR((AP147-1))-YEAR(AL147))+MONTH((AP147-1))-MONTH(AL147)-IF(DAY((AP147-1))&lt;MIN(DAY(AL147),DAY(EOMONTH((AP147-1),0))),1,0))))</f>
        <v/>
      </c>
      <c r="BL147" s="16" t="str">
        <f aca="false">IF(AK147=0,"",IF(AT147="FT",IF(BJ147&lt;FT_First,0,IF(BJ147&lt;FT_Y5,1+INT((BJ147-FT_First)/FT_Int1),FT_PreY5+FT_PerYear*INT((BJ147-FT_Y5)/12)+FT_AnnivDays+INT(MOD(BJ147-FT_Y5,12)/FT_Int2)-IF(EDATE(AL147,FT_Y5)&lt;PolicyEff,FT_AnnivDays-1,0))),IF(AT147="PT",IF(BJ147&lt;PT_First,0,1+INT((BJ147-PT_First)/PT_Int)),0))+IF(AND(AM147&gt;=2,AO147&lt;=EOMONTH(AsOfDate,-1)),IF(AU147="FT",IF(BK147&lt;FT_First,0,IF(BK147&lt;FT_Y5,1+INT((BK147-FT_First)/FT_Int1),FT_PreY5+FT_PerYear*INT((BK147-FT_Y5)/12)+FT_AnnivDays+INT(MOD(BK147-FT_Y5,12)/FT_Int2)-IF(EDATE(AL147,FT_Y5)&lt;PolicyEff,FT_AnnivDays-1,0))),IF(AU147="PT",IF(BK147&lt;PT_First,0,1+INT((BK147-PT_First)/PT_Int)),0))-IF(AU147="FT",IF(BJ147&lt;FT_First,0,IF(BJ147&lt;FT_Y5,1+INT((BJ147-FT_First)/FT_Int1),FT_PreY5+FT_PerYear*INT((BJ147-FT_Y5)/12)+FT_AnnivDays+INT(MOD(BJ147-FT_Y5,12)/FT_Int2)-IF(EDATE(AL147,FT_Y5)&lt;PolicyEff,FT_AnnivDays-1,0))),IF(AU147="PT",IF(BJ147&lt;PT_First,0,1+INT((BJ147-PT_First)/PT_Int)),0)),0)+IF(AND(AM147&gt;=3,AP147&lt;=EOMONTH(AsOfDate,-1)),IF(AV147="FT",IF(BI147&lt;FT_First,0,IF(BI147&lt;FT_Y5,1+INT((BI147-FT_First)/FT_Int1),FT_PreY5+FT_PerYear*INT((BI147-FT_Y5)/12)+FT_AnnivDays+INT(MOD(BI147-FT_Y5,12)/FT_Int2)-IF(EDATE(AL147,FT_Y5)&lt;PolicyEff,FT_AnnivDays-1,0))),IF(AV147="PT",IF(BI147&lt;PT_First,0,1+INT((BI147-PT_First)/PT_Int)),0))-IF(AV147="FT",IF(BK147&lt;FT_First,0,IF(BK147&lt;FT_Y5,1+INT((BK147-FT_First)/FT_Int1),FT_PreY5+FT_PerYear*INT((BK147-FT_Y5)/12)+FT_AnnivDays+INT(MOD(BK147-FT_Y5,12)/FT_Int2)-IF(EDATE(AL147,FT_Y5)&lt;PolicyEff,FT_AnnivDays-1,0))),IF(AV147="PT",IF(BK147&lt;PT_First,0,1+INT((BK147-PT_First)/PT_Int)),0)),0))</f>
        <v/>
      </c>
      <c r="BM147" s="16" t="str">
        <f aca="false">IF(AK147=0,"",IF(AW147="FT",IF(AX147&lt;FT_First,"",IF(AX147&lt;FT_Y5,FT_First+FT_Int1*INT((AX147-FT_First)/FT_Int1),FT_Y5+FT_Int2*INT((AX147-FT_Y5)/FT_Int2))),IF(AW147="PT",IF(AX147&lt;PT_First,"",PT_First+PT_Int*INT((AX147-PT_First)/PT_Int)),"")))</f>
        <v/>
      </c>
      <c r="BN147" s="16" t="str">
        <f aca="false">IF(AK147=0,"",IF((SchemeStart-1)&lt;AL147,-1,12*(YEAR((SchemeStart-1))-YEAR(AL147))+MONTH((SchemeStart-1))-MONTH(AL147)-IF(DAY((SchemeStart-1))&lt;MIN(DAY(AL147),DAY(EOMONTH((SchemeStart-1),0))),1,0)))</f>
        <v/>
      </c>
      <c r="BO147" s="16" t="str">
        <f aca="false">IF(AK147=0,"",IF(OR(AM147&lt;2,AO147&gt;(SchemeStart-1)),BN147,IF((AO147-1)&lt;AL147,-1,12*(YEAR((AO147-1))-YEAR(AL147))+MONTH((AO147-1))-MONTH(AL147)-IF(DAY((AO147-1))&lt;MIN(DAY(AL147),DAY(EOMONTH((AO147-1),0))),1,0))))</f>
        <v/>
      </c>
      <c r="BP147" s="16" t="str">
        <f aca="false">IF(AK147=0,"",IF(OR(AM147&lt;3,AP147&gt;(SchemeStart-1)),BN147,IF((AP147-1)&lt;AL147,-1,12*(YEAR((AP147-1))-YEAR(AL147))+MONTH((AP147-1))-MONTH(AL147)-IF(DAY((AP147-1))&lt;MIN(DAY(AL147),DAY(EOMONTH((AP147-1),0))),1,0))))</f>
        <v/>
      </c>
      <c r="BQ147" s="16" t="str">
        <f aca="false">IF(AK147=0,"",IF(AT147="FT",IF(BO147&lt;FT_First,0,IF(BO147&lt;FT_Y5,1+INT((BO147-FT_First)/FT_Int1),FT_PreY5+FT_PerYear*INT((BO147-FT_Y5)/12)+FT_AnnivDays+INT(MOD(BO147-FT_Y5,12)/FT_Int2)-IF(EDATE(AL147,FT_Y5)&lt;PolicyEff,FT_AnnivDays-1,0))),IF(AT147="PT",IF(BO147&lt;PT_First,0,1+INT((BO147-PT_First)/PT_Int)),0))+IF(AND(AM147&gt;=2,AO147&lt;=(SchemeStart-1)),IF(AU147="FT",IF(BP147&lt;FT_First,0,IF(BP147&lt;FT_Y5,1+INT((BP147-FT_First)/FT_Int1),FT_PreY5+FT_PerYear*INT((BP147-FT_Y5)/12)+FT_AnnivDays+INT(MOD(BP147-FT_Y5,12)/FT_Int2)-IF(EDATE(AL147,FT_Y5)&lt;PolicyEff,FT_AnnivDays-1,0))),IF(AU147="PT",IF(BP147&lt;PT_First,0,1+INT((BP147-PT_First)/PT_Int)),0))-IF(AU147="FT",IF(BO147&lt;FT_First,0,IF(BO147&lt;FT_Y5,1+INT((BO147-FT_First)/FT_Int1),FT_PreY5+FT_PerYear*INT((BO147-FT_Y5)/12)+FT_AnnivDays+INT(MOD(BO147-FT_Y5,12)/FT_Int2)-IF(EDATE(AL147,FT_Y5)&lt;PolicyEff,FT_AnnivDays-1,0))),IF(AU147="PT",IF(BO147&lt;PT_First,0,1+INT((BO147-PT_First)/PT_Int)),0)),0)+IF(AND(AM147&gt;=3,AP147&lt;=(SchemeStart-1)),IF(AV147="FT",IF(BN147&lt;FT_First,0,IF(BN147&lt;FT_Y5,1+INT((BN147-FT_First)/FT_Int1),FT_PreY5+FT_PerYear*INT((BN147-FT_Y5)/12)+FT_AnnivDays+INT(MOD(BN147-FT_Y5,12)/FT_Int2)-IF(EDATE(AL147,FT_Y5)&lt;PolicyEff,FT_AnnivDays-1,0))),IF(AV147="PT",IF(BN147&lt;PT_First,0,1+INT((BN147-PT_First)/PT_Int)),0))-IF(AV147="FT",IF(BP147&lt;FT_First,0,IF(BP147&lt;FT_Y5,1+INT((BP147-FT_First)/FT_Int1),FT_PreY5+FT_PerYear*INT((BP147-FT_Y5)/12)+FT_AnnivDays+INT(MOD(BP147-FT_Y5,12)/FT_Int2)-IF(EDATE(AL147,FT_Y5)&lt;PolicyEff,FT_AnnivDays-1,0))),IF(AV147="PT",IF(BP147&lt;PT_First,0,1+INT((BP147-PT_First)/PT_Int)),0)),0))</f>
        <v/>
      </c>
      <c r="BR147" s="0" t="str">
        <f aca="false">IF(LEN($A147&amp;$B147)=0,"",$A147&amp;" "&amp;$B147)</f>
        <v/>
      </c>
    </row>
    <row r="148" customFormat="false" ht="15" hidden="false" customHeight="false" outlineLevel="0" collapsed="false">
      <c r="A148" s="12"/>
      <c r="B148" s="12"/>
      <c r="C148" s="12"/>
      <c r="D148" s="13"/>
      <c r="E148" s="14" t="str">
        <f aca="false">IF(OR(AK148=0,$D148=""),"",DATE(YEAR(AsOfDate)+IF(DATE(YEAR(AsOfDate),MONTH($D148),DAY($D148))&lt;=AsOfDate,1,0),MONTH($D148),DAY($D148)))</f>
        <v/>
      </c>
      <c r="F148" s="13"/>
      <c r="G148" s="13"/>
      <c r="H148" s="13"/>
      <c r="I148" s="13"/>
      <c r="J148" s="13"/>
      <c r="K148" s="14" t="str">
        <f aca="false">IF(AK148=0,"",DATE(YEAR(AsOfDate)+IF(DATE(YEAR(AsOfDate),MONTH(AL148),DAY(AL148))&lt;=AsOfDate,1,0),MONTH(AL148),DAY(AL148)))</f>
        <v/>
      </c>
      <c r="L148" s="15" t="str">
        <f aca="false">IF(AK148=0,"",ROUND((AsOfDate-AL148)/365.25,1))</f>
        <v/>
      </c>
      <c r="M148" s="16" t="str">
        <f aca="false">IF(AK148=0,"",IF(AsOfDate&lt;AL148,"-",DATEDIF(AL148,AsOfDate,"y")&amp;"y "&amp;DATEDIF(AL148,AsOfDate,"ym")&amp;"m "&amp;DATEDIF(AL148,AsOfDate,"md")&amp;"d"))</f>
        <v/>
      </c>
      <c r="N148" s="17" t="str">
        <f aca="false">IF(AK148=0,"",O148*HoursPerDay)</f>
        <v/>
      </c>
      <c r="O148" s="17" t="str">
        <f aca="false">IF(AK148=0,"",MAX(0,BD148-BQ148))</f>
        <v/>
      </c>
      <c r="P148" s="18"/>
      <c r="Q148" s="16" t="str">
        <f aca="false">IF(AK148=0,"",IF(AM148&lt;2,"",AQ148&amp;" to "&amp;AR148&amp;" on "&amp;TEXT(AO148,"dd/mm/yyyy")&amp;IF(AO148&gt;AsOfDate," (future)",IF(AT148=AU148,"",IF(AU148="None"," - STOPPED accruing",IF(AT148="None"," - commencement for Bonus Leave"," - pathway changed"))))&amp;IF(AM148&lt;3,"","; "&amp;AR148&amp;" to "&amp;AS148&amp;" on "&amp;TEXT(AP148,"dd/mm/yyyy")&amp;IF(AP148&gt;AsOfDate," (future)",IF(AU148=AV148,"",IF(AV148="None"," - STOPPED accruing",IF(AU148="None"," - commencement for Bonus Leave"," - pathway changed")))))))</f>
        <v/>
      </c>
      <c r="R148" s="16" t="str">
        <f aca="false">IF(AK148=0,"",IF(AW148="None",IF(O148&gt;0,"No longer accruing","Not eligible - "&amp;IF(AND(OR(ISNUMBER(SEARCH("part",$C148)),UPPER(TRIM($C148))="PT",UPPER(TRIM($C148))="PTE"),Apply2026="No"),"part-time (scheme is full-time only)",IF(AND(OR(ISNUMBER(SEARCH("part",$C148)),UPPER(TRIM($C148))="PT",UPPER(TRIM($C148))="PTE"),$P148&lt;&gt;"",N($P148)&lt;PT_MinHours),"under "&amp;PT_MinHours&amp;" hrs",IF(IF($C148="","",IF(OR(ISNUMBER(SEARCH("full",$C148)),UPPER(TRIM($C148))="FT",UPPER(TRIM($C148))="FTE"),"Full-Time",IF(OR(ISNUMBER(SEARCH("part",$C148)),UPPER(TRIM($C148))="PT",UPPER(TRIM($C148))="PTE"),"Part-Time",IF(OR(ISNUMBER(SEARCH("cas",$C148)),UPPER(TRIM($C148))="CAS"),"Casual","Unknown"))))="Unknown","type not recognised",$C148)))),IF(O148&gt;0,"Yes - Accrual Required","Not yet - from "&amp;TEXT(S148,"dd/mm/yyyy"))))</f>
        <v/>
      </c>
      <c r="S148" s="14" t="str">
        <f aca="false">IF(AK148=0,"",IF(AW148="None","",EDATE(AL148,BF148)))</f>
        <v/>
      </c>
      <c r="T148" s="17" t="str">
        <f aca="false">IF(AK148=0,"",IF(NOT(LH_Ready),"",IF($F148&gt;PFYDate,0,IF(LH_ColPeriod=0,W148-U148+V148,SUMIFS(INDEX(LH_Data,0,LH_ColAcc),INDEX(LH_Data,0,LH_ColFirst),$A148,INDEX(LH_Data,0,LH_ColSur),$B148,INDEX(LH_Data,0,LH_ColCat),BonusCat,INDEX(LH_Data,0,LH_ColPeriod),LH_OpenLabel)*UnitFactor))))</f>
        <v/>
      </c>
      <c r="U148" s="17" t="str">
        <f aca="false">IF(AK148=0,"",IF(NOT(LH_Ready),"",SUMIFS(INDEX(LH_Data,0,LH_ColAcc),INDEX(LH_Data,0,LH_ColFirst),$A148,INDEX(LH_Data,0,LH_ColSur),$B148,INDEX(LH_Data,0,LH_ColCat),BonusCat,INDEX(LH_Data,0,LH_ColStart),"&gt;="&amp;AL148)*UnitFactor))</f>
        <v/>
      </c>
      <c r="V148" s="17" t="str">
        <f aca="false">IF(AK148=0,"",IF(NOT(LH_Ready),"",SUMIFS(INDEX(LH_Data,0,LH_ColTaken),INDEX(LH_Data,0,LH_ColFirst),$A148,INDEX(LH_Data,0,LH_ColSur),$B148,INDEX(LH_Data,0,LH_ColCat),BonusCat,INDEX(LH_Data,0,LH_ColStart),"&gt;="&amp;AL148)*UnitFactor))</f>
        <v/>
      </c>
      <c r="W148" s="17" t="str">
        <f aca="false">IF(AK148=0,"",IF(NOT(LH_Ready),"",IF(BH148=0,0,INDEX(INDEX(LH_Data,0,LH_ColClose),BH148-1)*UnitFactor)))</f>
        <v/>
      </c>
      <c r="X148" s="17" t="str">
        <f aca="false">IF(AK148=0,"",(MAX(0,BD148-BQ148)-MAX(0,BE148-BQ148))*HoursPerDay)</f>
        <v/>
      </c>
      <c r="Y148" s="17" t="str">
        <f aca="false">IF(AK148=0,"",IF(NOT(LH_Ready),"",IF($AI148="Yes",N(AE148)*HoursPerDay-SUMIFS(INDEX(LH_Data,0,LH_ColAcc),INDEX(LH_Data,0,LH_ColFirst),$A148,INDEX(LH_Data,0,LH_ColSur),$B148,INDEX(LH_Data,0,LH_ColCat),BonusCat,INDEX(LH_Data,0,LH_ColStart),"&gt;="&amp;(EOMONTH(AsOfDate,-1)+1),INDEX(LH_Data,0,LH_ColStart),"&lt;="&amp;AsOfDate)*UnitFactor,IF(BG148=0,N148,N148-N(T148)-N(U148)))))</f>
        <v/>
      </c>
      <c r="Z148" s="16" t="str">
        <f aca="false">IF(OR(AK148=0,Y148=""),"",IF(Y148&gt;0,"Yes","No"))</f>
        <v/>
      </c>
      <c r="AA148" s="16" t="str">
        <f aca="false">IF(AK148=0,IF(LEN($A148&amp;$B148)=0,"","FIX INPUT - StartDate missing"),IF(AD148&lt;&gt;"","FIX INPUT - "&amp;AD148,IF(NOT(LH_Ready),"Paste Leave History export (Settings must show YES)",IF(AND($AI148="Yes",Y148&lt;=0),"OK - EH balance accepted to date"&amp;IF(N(AH148)&gt;0," (EH holds "&amp;AH148&amp;" hrs over the scheme)","")&amp;"; next day "&amp;TEXT(S148,"dd mmm yy")&amp;IF(N(AE148)&gt;0," ("&amp;AE148&amp;" day(s) for "&amp;UPPER(TEXT(AsOfDate,"mmm yyyy"))&amp;" already in EH)",""),IF(Y148&gt;0,"ACCRUE "&amp;ROUND(Y148,2)&amp;" hrs ("&amp;ROUND(Y148/HoursPerDay,2)&amp;" days): "&amp;IF(N(AE148)&gt;0,AE148&amp;" day(s) for "&amp;UPPER(TEXT(AsOfDate,"mmm yyyy"))&amp;" (milestone "&amp;UPPER(TEXT(AF148,"dd mmm yy"))&amp;")"&amp;IF(Y148/HoursPerDay&gt;AE148+0.001," + "&amp;ROUND(Y148/HoursPerDay-AE148,2)&amp;" day(s) catch-up from earlier months",""),"all catch-up from earlier months, nothing new this month")&amp;IF(BG148=0,"; no Bonus Leave in EH yet",""),IF(Y148&lt;0,"CHECK - EH accrued "&amp;ROUND(-Y148,2)&amp;" hrs more than policy since commencement",IF(N(W148)&gt;O148*HoursPerDay+0.01,"CHECK - EH balance "&amp;ROUND(W148-O148*HoursPerDay,2)&amp;" hrs more than policy entitlement",IF(O148&gt;0,"OK - nothing to add"&amp;IF(N(AE148)&gt;0," ("&amp;AE148&amp;" day(s) for "&amp;UPPER(TEXT(AsOfDate,"mmm yyyy"))&amp;" already in EH)",""),IF(AW148="None",R148,"Not yet - first day on "&amp;TEXT(S148,"dd/mm/yyyy"))))))))))</f>
        <v/>
      </c>
      <c r="AB148" s="17" t="str">
        <f aca="false">IF(OR(AK148=0,T148=""),"",MAX(0,BE148-BQ148)*HoursPerDay-T148)</f>
        <v/>
      </c>
      <c r="AC148" s="16" t="str">
        <f aca="false">IF(AK148=0,"",BG148)</f>
        <v/>
      </c>
      <c r="AD148" s="16" t="str">
        <f aca="false">IF(AK148=0,"",TRIM(IF(OR(ISTEXT($F148),ISTEXT($H148),ISTEXT($I148),ISTEXT($G148),ISTEXT($J148),ISTEXT($D148)),"A date is typed as text - retype it as dd/mm/yyyy. ","")&amp;IF(IF($C148="","",IF(OR(ISNUMBER(SEARCH("full",$C148)),UPPER(TRIM($C148))="FT",UPPER(TRIM($C148))="FTE"),"Full-Time",IF(OR(ISNUMBER(SEARCH("part",$C148)),UPPER(TRIM($C148))="PT",UPPER(TRIM($C148))="PTE"),"Part-Time",IF(OR(ISNUMBER(SEARCH("cas",$C148)),UPPER(TRIM($C148))="CAS"),"Casual","Unknown"))))="Unknown","EmploymentType not recognised - use Full-Time, Part-Time or Casual. ","")&amp;IF(AND(AM148&gt;=1,IF(AM148&gt;=3,AS148,IF(AM148=2,AR148,AQ148))&lt;&gt;IF($C148="","",IF(OR(ISNUMBER(SEARCH("full",$C148)),UPPER(TRIM($C148))="FT",UPPER(TRIM($C148))="FTE"),"Full-Time",IF(OR(ISNUMBER(SEARCH("part",$C148)),UPPER(TRIM($C148))="PT",UPPER(TRIM($C148))="PTE"),"Part-Time",IF(OR(ISNUMBER(SEARCH("cas",$C148)),UPPER(TRIM($C148))="CAS"),"Casual","Unknown"))))),"EmploymentType does not match latest start date ("&amp;IF(AM148&gt;=3,AS148,IF(AM148=2,AR148,AQ148))&amp;"). ","")&amp;IF(AND(AM148&gt;=1,AN148&lt;&gt;$F148),"Earliest type date should equal StartDate. ","")&amp;IF(AND(AM148&gt;=2,AN148=AO148),"Two types start on the same date. ","")&amp;IF(AND(OR(ISNUMBER(SEARCH("part",$C148)),UPPER(TRIM($C148))="PT",UPPER(TRIM($C148))="PTE"),$P148=""),"Part-time: enter PT Hrs/Week (blank = 24+). ","")))</f>
        <v/>
      </c>
      <c r="AE148" s="17" t="str">
        <f aca="false">IF(AK148=0,"",O148-MAX(0,BL148-BQ148))</f>
        <v/>
      </c>
      <c r="AF148" s="14" t="str">
        <f aca="false">IF(OR(AK148=0,AE148="",N(AE148)=0,BM148=""),"",EDATE(AL148,BM148))</f>
        <v/>
      </c>
      <c r="AG148" s="17" t="str">
        <f aca="false">IF(AK148=0,"",MIN(BD148,BQ148))</f>
        <v/>
      </c>
      <c r="AH148" s="17" t="str">
        <f aca="false">IF(AK148=0,"",IF(NOT(LH_Ready),"",IF(BG148=0,0,MAX(0,ROUND(N(T148)+N(U148)-N148,2)))))</f>
        <v/>
      </c>
      <c r="AI148" s="12"/>
      <c r="AJ148" s="12"/>
      <c r="AK148" s="16" t="n">
        <f aca="false">IF(OR(LEN($A148&amp;$B148)=0,$F148=""),0,1)</f>
        <v>0</v>
      </c>
      <c r="AL148" s="14" t="str">
        <f aca="false">IF(AK148=0,"",IF(PreSchemeCounts="No",MAX(SchemeStart,IF($J148&lt;&gt;"",$J148,IF(OR(CasualCounts="Yes",COUNT($G148:$I148)=0),$F148,IF(Apply2026="No",IF($I148="",$F148,$I148),IF(COUNT($H148:$I148)=0,$F148,MIN($H148:$I148)))))),IF($J148&lt;&gt;"",$J148,IF(OR(CasualCounts="Yes",COUNT($G148:$I148)=0),$F148,IF(Apply2026="No",IF($I148="",$F148,$I148),IF(COUNT($H148:$I148)=0,$F148,MIN($H148:$I148)))))))</f>
        <v/>
      </c>
      <c r="AM148" s="16" t="str">
        <f aca="false">IF(AK148=0,"",COUNT($G148:$I148))</f>
        <v/>
      </c>
      <c r="AN148" s="14" t="str">
        <f aca="false">IF(AK148=0,"",IFERROR(SMALL($G148:$I148,1),""))</f>
        <v/>
      </c>
      <c r="AO148" s="14" t="str">
        <f aca="false">IF(AK148=0,"",IFERROR(SMALL($G148:$I148,2),""))</f>
        <v/>
      </c>
      <c r="AP148" s="14" t="str">
        <f aca="false">IF(AK148=0,"",IFERROR(SMALL($G148:$I148,3),""))</f>
        <v/>
      </c>
      <c r="AQ148" s="16" t="str">
        <f aca="false">IF(AK148=0,"",IF(AN148="","",IF(AN148=$H148,"Part-Time",IF(AN148=$I148,"Full-Time","Casual"))))</f>
        <v/>
      </c>
      <c r="AR148" s="16" t="str">
        <f aca="false">IF(AK148=0,"",IF(AO148="","",IF(AO148=$H148,"Part-Time",IF(AO148=$I148,"Full-Time","Casual"))))</f>
        <v/>
      </c>
      <c r="AS148" s="16" t="str">
        <f aca="false">IF(AK148=0,"",IF(AP148="","",IF(AP148=$H148,"Part-Time",IF(AP148=$I148,"Full-Time","Casual"))))</f>
        <v/>
      </c>
      <c r="AT148" s="16" t="str">
        <f aca="false">IF(AK148=0,"",IF(AM148=0,IF(OR(ISNUMBER(SEARCH("full",$C148)),UPPER(TRIM($C148))="FT",UPPER(TRIM($C148))="FTE"),"FT",IF(AND(OR(ISNUMBER(SEARCH("part",$C148)),UPPER(TRIM($C148))="PT",UPPER(TRIM($C148))="PTE"),Apply2026="Yes",OR($P148="",N($P148)&gt;=PT_MinHours)),"PT","None")),IF(OR(ISNUMBER(SEARCH("full",AQ148)),UPPER(TRIM(AQ148))="FT",UPPER(TRIM(AQ148))="FTE"),"FT",IF(AND(OR(ISNUMBER(SEARCH("part",AQ148)),UPPER(TRIM(AQ148))="PT",UPPER(TRIM(AQ148))="PTE"),Apply2026="Yes",OR($P148="",N($P148)&gt;=PT_MinHours)),"PT","None"))))</f>
        <v/>
      </c>
      <c r="AU148" s="16" t="str">
        <f aca="false">IF(AK148=0,"",IF(AM148&lt;2,"",IF(OR(ISNUMBER(SEARCH("full",AR148)),UPPER(TRIM(AR148))="FT",UPPER(TRIM(AR148))="FTE"),"FT",IF(AND(OR(ISNUMBER(SEARCH("part",AR148)),UPPER(TRIM(AR148))="PT",UPPER(TRIM(AR148))="PTE"),Apply2026="Yes",OR($P148="",N($P148)&gt;=PT_MinHours)),"PT","None"))))</f>
        <v/>
      </c>
      <c r="AV148" s="16" t="str">
        <f aca="false">IF(AK148=0,"",IF(AM148&lt;3,"",IF(OR(ISNUMBER(SEARCH("full",AS148)),UPPER(TRIM(AS148))="FT",UPPER(TRIM(AS148))="FTE"),"FT",IF(AND(OR(ISNUMBER(SEARCH("part",AS148)),UPPER(TRIM(AS148))="PT",UPPER(TRIM(AS148))="PTE"),Apply2026="Yes",OR($P148="",N($P148)&gt;=PT_MinHours)),"PT","None"))))</f>
        <v/>
      </c>
      <c r="AW148" s="16" t="str">
        <f aca="false">IF(AK148=0,"",IF(AND(AM148&gt;=3,AP148&lt;=AsOfDate),AV148,IF(AND(AM148&gt;=2,AO148&lt;=AsOfDate),AU148,AT148)))</f>
        <v/>
      </c>
      <c r="AX148" s="16" t="str">
        <f aca="false">IF(AK148=0,"",IF(AsOfDate&lt;AL148,-1,12*(YEAR(AsOfDate)-YEAR(AL148))+MONTH(AsOfDate)-MONTH(AL148)-IF(DAY(AsOfDate)&lt;MIN(DAY(AL148),DAY(EOMONTH(AsOfDate,0))),1,0)))</f>
        <v/>
      </c>
      <c r="AY148" s="16" t="str">
        <f aca="false">IF(AK148=0,"",IF(OR(AM148&lt;2,AO148&gt;AsOfDate),AX148,IF((AO148-1)&lt;AL148,-1,12*(YEAR((AO148-1))-YEAR(AL148))+MONTH((AO148-1))-MONTH(AL148)-IF(DAY((AO148-1))&lt;MIN(DAY(AL148),DAY(EOMONTH((AO148-1),0))),1,0))))</f>
        <v/>
      </c>
      <c r="AZ148" s="16" t="str">
        <f aca="false">IF(AK148=0,"",IF(OR(AM148&lt;3,AP148&gt;AsOfDate),AX148,IF((AP148-1)&lt;AL148,-1,12*(YEAR((AP148-1))-YEAR(AL148))+MONTH((AP148-1))-MONTH(AL148)-IF(DAY((AP148-1))&lt;MIN(DAY(AL148),DAY(EOMONTH((AP148-1),0))),1,0))))</f>
        <v/>
      </c>
      <c r="BA148" s="16" t="str">
        <f aca="false">IF(AK148=0,"",IF(PFYDate&lt;AL148,-1,12*(YEAR(PFYDate)-YEAR(AL148))+MONTH(PFYDate)-MONTH(AL148)-IF(DAY(PFYDate)&lt;MIN(DAY(AL148),DAY(EOMONTH(PFYDate,0))),1,0)))</f>
        <v/>
      </c>
      <c r="BB148" s="16" t="str">
        <f aca="false">IF(AK148=0,"",IF(OR(AM148&lt;2,AO148&gt;PFYDate),BA148,IF((AO148-1)&lt;AL148,-1,12*(YEAR((AO148-1))-YEAR(AL148))+MONTH((AO148-1))-MONTH(AL148)-IF(DAY((AO148-1))&lt;MIN(DAY(AL148),DAY(EOMONTH((AO148-1),0))),1,0))))</f>
        <v/>
      </c>
      <c r="BC148" s="16" t="str">
        <f aca="false">IF(AK148=0,"",IF(OR(AM148&lt;3,AP148&gt;PFYDate),BA148,IF((AP148-1)&lt;AL148,-1,12*(YEAR((AP148-1))-YEAR(AL148))+MONTH((AP148-1))-MONTH(AL148)-IF(DAY((AP148-1))&lt;MIN(DAY(AL148),DAY(EOMONTH((AP148-1),0))),1,0))))</f>
        <v/>
      </c>
      <c r="BD148" s="16" t="str">
        <f aca="false">IF(AK148=0,"",IF(AT148="FT",IF(AY148&lt;FT_First,0,IF(AY148&lt;FT_Y5,1+INT((AY148-FT_First)/FT_Int1),FT_PreY5+FT_PerYear*INT((AY148-FT_Y5)/12)+FT_AnnivDays+INT(MOD(AY148-FT_Y5,12)/FT_Int2)-IF(EDATE(AL148,FT_Y5)&lt;PolicyEff,FT_AnnivDays-1,0))),IF(AT148="PT",IF(AY148&lt;PT_First,0,1+INT((AY148-PT_First)/PT_Int)),0))+IF(AND(AM148&gt;=2,AO148&lt;=AsOfDate),IF(AU148="FT",IF(AZ148&lt;FT_First,0,IF(AZ148&lt;FT_Y5,1+INT((AZ148-FT_First)/FT_Int1),FT_PreY5+FT_PerYear*INT((AZ148-FT_Y5)/12)+FT_AnnivDays+INT(MOD(AZ148-FT_Y5,12)/FT_Int2)-IF(EDATE(AL148,FT_Y5)&lt;PolicyEff,FT_AnnivDays-1,0))),IF(AU148="PT",IF(AZ148&lt;PT_First,0,1+INT((AZ148-PT_First)/PT_Int)),0))-IF(AU148="FT",IF(AY148&lt;FT_First,0,IF(AY148&lt;FT_Y5,1+INT((AY148-FT_First)/FT_Int1),FT_PreY5+FT_PerYear*INT((AY148-FT_Y5)/12)+FT_AnnivDays+INT(MOD(AY148-FT_Y5,12)/FT_Int2)-IF(EDATE(AL148,FT_Y5)&lt;PolicyEff,FT_AnnivDays-1,0))),IF(AU148="PT",IF(AY148&lt;PT_First,0,1+INT((AY148-PT_First)/PT_Int)),0)),0)+IF(AND(AM148&gt;=3,AP148&lt;=AsOfDate),IF(AV148="FT",IF(AX148&lt;FT_First,0,IF(AX148&lt;FT_Y5,1+INT((AX148-FT_First)/FT_Int1),FT_PreY5+FT_PerYear*INT((AX148-FT_Y5)/12)+FT_AnnivDays+INT(MOD(AX148-FT_Y5,12)/FT_Int2)-IF(EDATE(AL148,FT_Y5)&lt;PolicyEff,FT_AnnivDays-1,0))),IF(AV148="PT",IF(AX148&lt;PT_First,0,1+INT((AX148-PT_First)/PT_Int)),0))-IF(AV148="FT",IF(AZ148&lt;FT_First,0,IF(AZ148&lt;FT_Y5,1+INT((AZ148-FT_First)/FT_Int1),FT_PreY5+FT_PerYear*INT((AZ148-FT_Y5)/12)+FT_AnnivDays+INT(MOD(AZ148-FT_Y5,12)/FT_Int2)-IF(EDATE(AL148,FT_Y5)&lt;PolicyEff,FT_AnnivDays-1,0))),IF(AV148="PT",IF(AZ148&lt;PT_First,0,1+INT((AZ148-PT_First)/PT_Int)),0)),0))</f>
        <v/>
      </c>
      <c r="BE148" s="16" t="str">
        <f aca="false">IF(AK148=0,"",IF(AT148="FT",IF(BB148&lt;FT_First,0,IF(BB148&lt;FT_Y5,1+INT((BB148-FT_First)/FT_Int1),FT_PreY5+FT_PerYear*INT((BB148-FT_Y5)/12)+FT_AnnivDays+INT(MOD(BB148-FT_Y5,12)/FT_Int2)-IF(EDATE(AL148,FT_Y5)&lt;PolicyEff,FT_AnnivDays-1,0))),IF(AT148="PT",IF(BB148&lt;PT_First,0,1+INT((BB148-PT_First)/PT_Int)),0))+IF(AND(AM148&gt;=2,AO148&lt;=PFYDate),IF(AU148="FT",IF(BC148&lt;FT_First,0,IF(BC148&lt;FT_Y5,1+INT((BC148-FT_First)/FT_Int1),FT_PreY5+FT_PerYear*INT((BC148-FT_Y5)/12)+FT_AnnivDays+INT(MOD(BC148-FT_Y5,12)/FT_Int2)-IF(EDATE(AL148,FT_Y5)&lt;PolicyEff,FT_AnnivDays-1,0))),IF(AU148="PT",IF(BC148&lt;PT_First,0,1+INT((BC148-PT_First)/PT_Int)),0))-IF(AU148="FT",IF(BB148&lt;FT_First,0,IF(BB148&lt;FT_Y5,1+INT((BB148-FT_First)/FT_Int1),FT_PreY5+FT_PerYear*INT((BB148-FT_Y5)/12)+FT_AnnivDays+INT(MOD(BB148-FT_Y5,12)/FT_Int2)-IF(EDATE(AL148,FT_Y5)&lt;PolicyEff,FT_AnnivDays-1,0))),IF(AU148="PT",IF(BB148&lt;PT_First,0,1+INT((BB148-PT_First)/PT_Int)),0)),0)+IF(AND(AM148&gt;=3,AP148&lt;=PFYDate),IF(AV148="FT",IF(BA148&lt;FT_First,0,IF(BA148&lt;FT_Y5,1+INT((BA148-FT_First)/FT_Int1),FT_PreY5+FT_PerYear*INT((BA148-FT_Y5)/12)+FT_AnnivDays+INT(MOD(BA148-FT_Y5,12)/FT_Int2)-IF(EDATE(AL148,FT_Y5)&lt;PolicyEff,FT_AnnivDays-1,0))),IF(AV148="PT",IF(BA148&lt;PT_First,0,1+INT((BA148-PT_First)/PT_Int)),0))-IF(AV148="FT",IF(BC148&lt;FT_First,0,IF(BC148&lt;FT_Y5,1+INT((BC148-FT_First)/FT_Int1),FT_PreY5+FT_PerYear*INT((BC148-FT_Y5)/12)+FT_AnnivDays+INT(MOD(BC148-FT_Y5,12)/FT_Int2)-IF(EDATE(AL148,FT_Y5)&lt;PolicyEff,FT_AnnivDays-1,0))),IF(AV148="PT",IF(BC148&lt;PT_First,0,1+INT((BC148-PT_First)/PT_Int)),0)),0))</f>
        <v/>
      </c>
      <c r="BF148" s="16" t="str">
        <f aca="false">IF(AK148=0,"",IF(AW148="FT",IF(AX148&lt;FT_First,FT_First,IF(AX148&lt;FT_Y5,MIN(FT_Y5,FT_First+FT_Int1*(INT((AX148-FT_First)/FT_Int1)+1)),FT_Y5+12*INT((AX148-FT_Y5)/12)+FT_Int2*(INT(MOD(AX148-FT_Y5,12)/FT_Int2)+1))),IF(AW148="PT",IF(AX148&lt;PT_First,PT_First,PT_First+PT_Int*(INT((AX148-PT_First)/PT_Int)+1)),"")))</f>
        <v/>
      </c>
      <c r="BG148" s="16" t="str">
        <f aca="false">IF(AK148=0,"",IF(NOT(LH_Ready),0,COUNTIFS(INDEX(LH_Data,0,LH_ColFirst),$A148,INDEX(LH_Data,0,LH_ColSur),$B148,INDEX(LH_Data,0,LH_ColCat),BonusCat)))</f>
        <v/>
      </c>
      <c r="BH148" s="16" t="str">
        <f aca="false">IF(AK148=0,"",IF(OR(NOT(LH_Ready),BG148=0),0,SUMPRODUCT(MAX((INDEX(LH_Data,0,LH_ColFirst)=$A148)*(INDEX(LH_Data,0,LH_ColSur)=$B148)*(INDEX(LH_Data,0,LH_ColCat)=BonusCat)*ROW(LH_Data)))))</f>
        <v/>
      </c>
      <c r="BI148" s="16" t="str">
        <f aca="false">IF(AK148=0,"",IF(EOMONTH(AsOfDate,-1)&lt;AL148,-1,12*(YEAR(EOMONTH(AsOfDate,-1))-YEAR(AL148))+MONTH(EOMONTH(AsOfDate,-1))-MONTH(AL148)-IF(DAY(EOMONTH(AsOfDate,-1))&lt;MIN(DAY(AL148),DAY(EOMONTH(EOMONTH(AsOfDate,-1),0))),1,0)))</f>
        <v/>
      </c>
      <c r="BJ148" s="16" t="str">
        <f aca="false">IF(AK148=0,"",IF(OR(AM148&lt;2,AO148&gt;EOMONTH(AsOfDate,-1)),BI148,IF((AO148-1)&lt;AL148,-1,12*(YEAR((AO148-1))-YEAR(AL148))+MONTH((AO148-1))-MONTH(AL148)-IF(DAY((AO148-1))&lt;MIN(DAY(AL148),DAY(EOMONTH((AO148-1),0))),1,0))))</f>
        <v/>
      </c>
      <c r="BK148" s="16" t="str">
        <f aca="false">IF(AK148=0,"",IF(OR(AM148&lt;3,AP148&gt;EOMONTH(AsOfDate,-1)),BI148,IF((AP148-1)&lt;AL148,-1,12*(YEAR((AP148-1))-YEAR(AL148))+MONTH((AP148-1))-MONTH(AL148)-IF(DAY((AP148-1))&lt;MIN(DAY(AL148),DAY(EOMONTH((AP148-1),0))),1,0))))</f>
        <v/>
      </c>
      <c r="BL148" s="16" t="str">
        <f aca="false">IF(AK148=0,"",IF(AT148="FT",IF(BJ148&lt;FT_First,0,IF(BJ148&lt;FT_Y5,1+INT((BJ148-FT_First)/FT_Int1),FT_PreY5+FT_PerYear*INT((BJ148-FT_Y5)/12)+FT_AnnivDays+INT(MOD(BJ148-FT_Y5,12)/FT_Int2)-IF(EDATE(AL148,FT_Y5)&lt;PolicyEff,FT_AnnivDays-1,0))),IF(AT148="PT",IF(BJ148&lt;PT_First,0,1+INT((BJ148-PT_First)/PT_Int)),0))+IF(AND(AM148&gt;=2,AO148&lt;=EOMONTH(AsOfDate,-1)),IF(AU148="FT",IF(BK148&lt;FT_First,0,IF(BK148&lt;FT_Y5,1+INT((BK148-FT_First)/FT_Int1),FT_PreY5+FT_PerYear*INT((BK148-FT_Y5)/12)+FT_AnnivDays+INT(MOD(BK148-FT_Y5,12)/FT_Int2)-IF(EDATE(AL148,FT_Y5)&lt;PolicyEff,FT_AnnivDays-1,0))),IF(AU148="PT",IF(BK148&lt;PT_First,0,1+INT((BK148-PT_First)/PT_Int)),0))-IF(AU148="FT",IF(BJ148&lt;FT_First,0,IF(BJ148&lt;FT_Y5,1+INT((BJ148-FT_First)/FT_Int1),FT_PreY5+FT_PerYear*INT((BJ148-FT_Y5)/12)+FT_AnnivDays+INT(MOD(BJ148-FT_Y5,12)/FT_Int2)-IF(EDATE(AL148,FT_Y5)&lt;PolicyEff,FT_AnnivDays-1,0))),IF(AU148="PT",IF(BJ148&lt;PT_First,0,1+INT((BJ148-PT_First)/PT_Int)),0)),0)+IF(AND(AM148&gt;=3,AP148&lt;=EOMONTH(AsOfDate,-1)),IF(AV148="FT",IF(BI148&lt;FT_First,0,IF(BI148&lt;FT_Y5,1+INT((BI148-FT_First)/FT_Int1),FT_PreY5+FT_PerYear*INT((BI148-FT_Y5)/12)+FT_AnnivDays+INT(MOD(BI148-FT_Y5,12)/FT_Int2)-IF(EDATE(AL148,FT_Y5)&lt;PolicyEff,FT_AnnivDays-1,0))),IF(AV148="PT",IF(BI148&lt;PT_First,0,1+INT((BI148-PT_First)/PT_Int)),0))-IF(AV148="FT",IF(BK148&lt;FT_First,0,IF(BK148&lt;FT_Y5,1+INT((BK148-FT_First)/FT_Int1),FT_PreY5+FT_PerYear*INT((BK148-FT_Y5)/12)+FT_AnnivDays+INT(MOD(BK148-FT_Y5,12)/FT_Int2)-IF(EDATE(AL148,FT_Y5)&lt;PolicyEff,FT_AnnivDays-1,0))),IF(AV148="PT",IF(BK148&lt;PT_First,0,1+INT((BK148-PT_First)/PT_Int)),0)),0))</f>
        <v/>
      </c>
      <c r="BM148" s="16" t="str">
        <f aca="false">IF(AK148=0,"",IF(AW148="FT",IF(AX148&lt;FT_First,"",IF(AX148&lt;FT_Y5,FT_First+FT_Int1*INT((AX148-FT_First)/FT_Int1),FT_Y5+FT_Int2*INT((AX148-FT_Y5)/FT_Int2))),IF(AW148="PT",IF(AX148&lt;PT_First,"",PT_First+PT_Int*INT((AX148-PT_First)/PT_Int)),"")))</f>
        <v/>
      </c>
      <c r="BN148" s="16" t="str">
        <f aca="false">IF(AK148=0,"",IF((SchemeStart-1)&lt;AL148,-1,12*(YEAR((SchemeStart-1))-YEAR(AL148))+MONTH((SchemeStart-1))-MONTH(AL148)-IF(DAY((SchemeStart-1))&lt;MIN(DAY(AL148),DAY(EOMONTH((SchemeStart-1),0))),1,0)))</f>
        <v/>
      </c>
      <c r="BO148" s="16" t="str">
        <f aca="false">IF(AK148=0,"",IF(OR(AM148&lt;2,AO148&gt;(SchemeStart-1)),BN148,IF((AO148-1)&lt;AL148,-1,12*(YEAR((AO148-1))-YEAR(AL148))+MONTH((AO148-1))-MONTH(AL148)-IF(DAY((AO148-1))&lt;MIN(DAY(AL148),DAY(EOMONTH((AO148-1),0))),1,0))))</f>
        <v/>
      </c>
      <c r="BP148" s="16" t="str">
        <f aca="false">IF(AK148=0,"",IF(OR(AM148&lt;3,AP148&gt;(SchemeStart-1)),BN148,IF((AP148-1)&lt;AL148,-1,12*(YEAR((AP148-1))-YEAR(AL148))+MONTH((AP148-1))-MONTH(AL148)-IF(DAY((AP148-1))&lt;MIN(DAY(AL148),DAY(EOMONTH((AP148-1),0))),1,0))))</f>
        <v/>
      </c>
      <c r="BQ148" s="16" t="str">
        <f aca="false">IF(AK148=0,"",IF(AT148="FT",IF(BO148&lt;FT_First,0,IF(BO148&lt;FT_Y5,1+INT((BO148-FT_First)/FT_Int1),FT_PreY5+FT_PerYear*INT((BO148-FT_Y5)/12)+FT_AnnivDays+INT(MOD(BO148-FT_Y5,12)/FT_Int2)-IF(EDATE(AL148,FT_Y5)&lt;PolicyEff,FT_AnnivDays-1,0))),IF(AT148="PT",IF(BO148&lt;PT_First,0,1+INT((BO148-PT_First)/PT_Int)),0))+IF(AND(AM148&gt;=2,AO148&lt;=(SchemeStart-1)),IF(AU148="FT",IF(BP148&lt;FT_First,0,IF(BP148&lt;FT_Y5,1+INT((BP148-FT_First)/FT_Int1),FT_PreY5+FT_PerYear*INT((BP148-FT_Y5)/12)+FT_AnnivDays+INT(MOD(BP148-FT_Y5,12)/FT_Int2)-IF(EDATE(AL148,FT_Y5)&lt;PolicyEff,FT_AnnivDays-1,0))),IF(AU148="PT",IF(BP148&lt;PT_First,0,1+INT((BP148-PT_First)/PT_Int)),0))-IF(AU148="FT",IF(BO148&lt;FT_First,0,IF(BO148&lt;FT_Y5,1+INT((BO148-FT_First)/FT_Int1),FT_PreY5+FT_PerYear*INT((BO148-FT_Y5)/12)+FT_AnnivDays+INT(MOD(BO148-FT_Y5,12)/FT_Int2)-IF(EDATE(AL148,FT_Y5)&lt;PolicyEff,FT_AnnivDays-1,0))),IF(AU148="PT",IF(BO148&lt;PT_First,0,1+INT((BO148-PT_First)/PT_Int)),0)),0)+IF(AND(AM148&gt;=3,AP148&lt;=(SchemeStart-1)),IF(AV148="FT",IF(BN148&lt;FT_First,0,IF(BN148&lt;FT_Y5,1+INT((BN148-FT_First)/FT_Int1),FT_PreY5+FT_PerYear*INT((BN148-FT_Y5)/12)+FT_AnnivDays+INT(MOD(BN148-FT_Y5,12)/FT_Int2)-IF(EDATE(AL148,FT_Y5)&lt;PolicyEff,FT_AnnivDays-1,0))),IF(AV148="PT",IF(BN148&lt;PT_First,0,1+INT((BN148-PT_First)/PT_Int)),0))-IF(AV148="FT",IF(BP148&lt;FT_First,0,IF(BP148&lt;FT_Y5,1+INT((BP148-FT_First)/FT_Int1),FT_PreY5+FT_PerYear*INT((BP148-FT_Y5)/12)+FT_AnnivDays+INT(MOD(BP148-FT_Y5,12)/FT_Int2)-IF(EDATE(AL148,FT_Y5)&lt;PolicyEff,FT_AnnivDays-1,0))),IF(AV148="PT",IF(BP148&lt;PT_First,0,1+INT((BP148-PT_First)/PT_Int)),0)),0))</f>
        <v/>
      </c>
      <c r="BR148" s="0" t="str">
        <f aca="false">IF(LEN($A148&amp;$B148)=0,"",$A148&amp;" "&amp;$B148)</f>
        <v/>
      </c>
    </row>
    <row r="149" customFormat="false" ht="15" hidden="false" customHeight="false" outlineLevel="0" collapsed="false">
      <c r="A149" s="12"/>
      <c r="B149" s="12"/>
      <c r="C149" s="12"/>
      <c r="D149" s="13"/>
      <c r="E149" s="14" t="str">
        <f aca="false">IF(OR(AK149=0,$D149=""),"",DATE(YEAR(AsOfDate)+IF(DATE(YEAR(AsOfDate),MONTH($D149),DAY($D149))&lt;=AsOfDate,1,0),MONTH($D149),DAY($D149)))</f>
        <v/>
      </c>
      <c r="F149" s="13"/>
      <c r="G149" s="13"/>
      <c r="H149" s="13"/>
      <c r="I149" s="13"/>
      <c r="J149" s="13"/>
      <c r="K149" s="14" t="str">
        <f aca="false">IF(AK149=0,"",DATE(YEAR(AsOfDate)+IF(DATE(YEAR(AsOfDate),MONTH(AL149),DAY(AL149))&lt;=AsOfDate,1,0),MONTH(AL149),DAY(AL149)))</f>
        <v/>
      </c>
      <c r="L149" s="15" t="str">
        <f aca="false">IF(AK149=0,"",ROUND((AsOfDate-AL149)/365.25,1))</f>
        <v/>
      </c>
      <c r="M149" s="16" t="str">
        <f aca="false">IF(AK149=0,"",IF(AsOfDate&lt;AL149,"-",DATEDIF(AL149,AsOfDate,"y")&amp;"y "&amp;DATEDIF(AL149,AsOfDate,"ym")&amp;"m "&amp;DATEDIF(AL149,AsOfDate,"md")&amp;"d"))</f>
        <v/>
      </c>
      <c r="N149" s="17" t="str">
        <f aca="false">IF(AK149=0,"",O149*HoursPerDay)</f>
        <v/>
      </c>
      <c r="O149" s="17" t="str">
        <f aca="false">IF(AK149=0,"",MAX(0,BD149-BQ149))</f>
        <v/>
      </c>
      <c r="P149" s="18"/>
      <c r="Q149" s="16" t="str">
        <f aca="false">IF(AK149=0,"",IF(AM149&lt;2,"",AQ149&amp;" to "&amp;AR149&amp;" on "&amp;TEXT(AO149,"dd/mm/yyyy")&amp;IF(AO149&gt;AsOfDate," (future)",IF(AT149=AU149,"",IF(AU149="None"," - STOPPED accruing",IF(AT149="None"," - commencement for Bonus Leave"," - pathway changed"))))&amp;IF(AM149&lt;3,"","; "&amp;AR149&amp;" to "&amp;AS149&amp;" on "&amp;TEXT(AP149,"dd/mm/yyyy")&amp;IF(AP149&gt;AsOfDate," (future)",IF(AU149=AV149,"",IF(AV149="None"," - STOPPED accruing",IF(AU149="None"," - commencement for Bonus Leave"," - pathway changed")))))))</f>
        <v/>
      </c>
      <c r="R149" s="16" t="str">
        <f aca="false">IF(AK149=0,"",IF(AW149="None",IF(O149&gt;0,"No longer accruing","Not eligible - "&amp;IF(AND(OR(ISNUMBER(SEARCH("part",$C149)),UPPER(TRIM($C149))="PT",UPPER(TRIM($C149))="PTE"),Apply2026="No"),"part-time (scheme is full-time only)",IF(AND(OR(ISNUMBER(SEARCH("part",$C149)),UPPER(TRIM($C149))="PT",UPPER(TRIM($C149))="PTE"),$P149&lt;&gt;"",N($P149)&lt;PT_MinHours),"under "&amp;PT_MinHours&amp;" hrs",IF(IF($C149="","",IF(OR(ISNUMBER(SEARCH("full",$C149)),UPPER(TRIM($C149))="FT",UPPER(TRIM($C149))="FTE"),"Full-Time",IF(OR(ISNUMBER(SEARCH("part",$C149)),UPPER(TRIM($C149))="PT",UPPER(TRIM($C149))="PTE"),"Part-Time",IF(OR(ISNUMBER(SEARCH("cas",$C149)),UPPER(TRIM($C149))="CAS"),"Casual","Unknown"))))="Unknown","type not recognised",$C149)))),IF(O149&gt;0,"Yes - Accrual Required","Not yet - from "&amp;TEXT(S149,"dd/mm/yyyy"))))</f>
        <v/>
      </c>
      <c r="S149" s="14" t="str">
        <f aca="false">IF(AK149=0,"",IF(AW149="None","",EDATE(AL149,BF149)))</f>
        <v/>
      </c>
      <c r="T149" s="17" t="str">
        <f aca="false">IF(AK149=0,"",IF(NOT(LH_Ready),"",IF($F149&gt;PFYDate,0,IF(LH_ColPeriod=0,W149-U149+V149,SUMIFS(INDEX(LH_Data,0,LH_ColAcc),INDEX(LH_Data,0,LH_ColFirst),$A149,INDEX(LH_Data,0,LH_ColSur),$B149,INDEX(LH_Data,0,LH_ColCat),BonusCat,INDEX(LH_Data,0,LH_ColPeriod),LH_OpenLabel)*UnitFactor))))</f>
        <v/>
      </c>
      <c r="U149" s="17" t="str">
        <f aca="false">IF(AK149=0,"",IF(NOT(LH_Ready),"",SUMIFS(INDEX(LH_Data,0,LH_ColAcc),INDEX(LH_Data,0,LH_ColFirst),$A149,INDEX(LH_Data,0,LH_ColSur),$B149,INDEX(LH_Data,0,LH_ColCat),BonusCat,INDEX(LH_Data,0,LH_ColStart),"&gt;="&amp;AL149)*UnitFactor))</f>
        <v/>
      </c>
      <c r="V149" s="17" t="str">
        <f aca="false">IF(AK149=0,"",IF(NOT(LH_Ready),"",SUMIFS(INDEX(LH_Data,0,LH_ColTaken),INDEX(LH_Data,0,LH_ColFirst),$A149,INDEX(LH_Data,0,LH_ColSur),$B149,INDEX(LH_Data,0,LH_ColCat),BonusCat,INDEX(LH_Data,0,LH_ColStart),"&gt;="&amp;AL149)*UnitFactor))</f>
        <v/>
      </c>
      <c r="W149" s="17" t="str">
        <f aca="false">IF(AK149=0,"",IF(NOT(LH_Ready),"",IF(BH149=0,0,INDEX(INDEX(LH_Data,0,LH_ColClose),BH149-1)*UnitFactor)))</f>
        <v/>
      </c>
      <c r="X149" s="17" t="str">
        <f aca="false">IF(AK149=0,"",(MAX(0,BD149-BQ149)-MAX(0,BE149-BQ149))*HoursPerDay)</f>
        <v/>
      </c>
      <c r="Y149" s="17" t="str">
        <f aca="false">IF(AK149=0,"",IF(NOT(LH_Ready),"",IF($AI149="Yes",N(AE149)*HoursPerDay-SUMIFS(INDEX(LH_Data,0,LH_ColAcc),INDEX(LH_Data,0,LH_ColFirst),$A149,INDEX(LH_Data,0,LH_ColSur),$B149,INDEX(LH_Data,0,LH_ColCat),BonusCat,INDEX(LH_Data,0,LH_ColStart),"&gt;="&amp;(EOMONTH(AsOfDate,-1)+1),INDEX(LH_Data,0,LH_ColStart),"&lt;="&amp;AsOfDate)*UnitFactor,IF(BG149=0,N149,N149-N(T149)-N(U149)))))</f>
        <v/>
      </c>
      <c r="Z149" s="16" t="str">
        <f aca="false">IF(OR(AK149=0,Y149=""),"",IF(Y149&gt;0,"Yes","No"))</f>
        <v/>
      </c>
      <c r="AA149" s="16" t="str">
        <f aca="false">IF(AK149=0,IF(LEN($A149&amp;$B149)=0,"","FIX INPUT - StartDate missing"),IF(AD149&lt;&gt;"","FIX INPUT - "&amp;AD149,IF(NOT(LH_Ready),"Paste Leave History export (Settings must show YES)",IF(AND($AI149="Yes",Y149&lt;=0),"OK - EH balance accepted to date"&amp;IF(N(AH149)&gt;0," (EH holds "&amp;AH149&amp;" hrs over the scheme)","")&amp;"; next day "&amp;TEXT(S149,"dd mmm yy")&amp;IF(N(AE149)&gt;0," ("&amp;AE149&amp;" day(s) for "&amp;UPPER(TEXT(AsOfDate,"mmm yyyy"))&amp;" already in EH)",""),IF(Y149&gt;0,"ACCRUE "&amp;ROUND(Y149,2)&amp;" hrs ("&amp;ROUND(Y149/HoursPerDay,2)&amp;" days): "&amp;IF(N(AE149)&gt;0,AE149&amp;" day(s) for "&amp;UPPER(TEXT(AsOfDate,"mmm yyyy"))&amp;" (milestone "&amp;UPPER(TEXT(AF149,"dd mmm yy"))&amp;")"&amp;IF(Y149/HoursPerDay&gt;AE149+0.001," + "&amp;ROUND(Y149/HoursPerDay-AE149,2)&amp;" day(s) catch-up from earlier months",""),"all catch-up from earlier months, nothing new this month")&amp;IF(BG149=0,"; no Bonus Leave in EH yet",""),IF(Y149&lt;0,"CHECK - EH accrued "&amp;ROUND(-Y149,2)&amp;" hrs more than policy since commencement",IF(N(W149)&gt;O149*HoursPerDay+0.01,"CHECK - EH balance "&amp;ROUND(W149-O149*HoursPerDay,2)&amp;" hrs more than policy entitlement",IF(O149&gt;0,"OK - nothing to add"&amp;IF(N(AE149)&gt;0," ("&amp;AE149&amp;" day(s) for "&amp;UPPER(TEXT(AsOfDate,"mmm yyyy"))&amp;" already in EH)",""),IF(AW149="None",R149,"Not yet - first day on "&amp;TEXT(S149,"dd/mm/yyyy"))))))))))</f>
        <v/>
      </c>
      <c r="AB149" s="17" t="str">
        <f aca="false">IF(OR(AK149=0,T149=""),"",MAX(0,BE149-BQ149)*HoursPerDay-T149)</f>
        <v/>
      </c>
      <c r="AC149" s="16" t="str">
        <f aca="false">IF(AK149=0,"",BG149)</f>
        <v/>
      </c>
      <c r="AD149" s="16" t="str">
        <f aca="false">IF(AK149=0,"",TRIM(IF(OR(ISTEXT($F149),ISTEXT($H149),ISTEXT($I149),ISTEXT($G149),ISTEXT($J149),ISTEXT($D149)),"A date is typed as text - retype it as dd/mm/yyyy. ","")&amp;IF(IF($C149="","",IF(OR(ISNUMBER(SEARCH("full",$C149)),UPPER(TRIM($C149))="FT",UPPER(TRIM($C149))="FTE"),"Full-Time",IF(OR(ISNUMBER(SEARCH("part",$C149)),UPPER(TRIM($C149))="PT",UPPER(TRIM($C149))="PTE"),"Part-Time",IF(OR(ISNUMBER(SEARCH("cas",$C149)),UPPER(TRIM($C149))="CAS"),"Casual","Unknown"))))="Unknown","EmploymentType not recognised - use Full-Time, Part-Time or Casual. ","")&amp;IF(AND(AM149&gt;=1,IF(AM149&gt;=3,AS149,IF(AM149=2,AR149,AQ149))&lt;&gt;IF($C149="","",IF(OR(ISNUMBER(SEARCH("full",$C149)),UPPER(TRIM($C149))="FT",UPPER(TRIM($C149))="FTE"),"Full-Time",IF(OR(ISNUMBER(SEARCH("part",$C149)),UPPER(TRIM($C149))="PT",UPPER(TRIM($C149))="PTE"),"Part-Time",IF(OR(ISNUMBER(SEARCH("cas",$C149)),UPPER(TRIM($C149))="CAS"),"Casual","Unknown"))))),"EmploymentType does not match latest start date ("&amp;IF(AM149&gt;=3,AS149,IF(AM149=2,AR149,AQ149))&amp;"). ","")&amp;IF(AND(AM149&gt;=1,AN149&lt;&gt;$F149),"Earliest type date should equal StartDate. ","")&amp;IF(AND(AM149&gt;=2,AN149=AO149),"Two types start on the same date. ","")&amp;IF(AND(OR(ISNUMBER(SEARCH("part",$C149)),UPPER(TRIM($C149))="PT",UPPER(TRIM($C149))="PTE"),$P149=""),"Part-time: enter PT Hrs/Week (blank = 24+). ","")))</f>
        <v/>
      </c>
      <c r="AE149" s="17" t="str">
        <f aca="false">IF(AK149=0,"",O149-MAX(0,BL149-BQ149))</f>
        <v/>
      </c>
      <c r="AF149" s="14" t="str">
        <f aca="false">IF(OR(AK149=0,AE149="",N(AE149)=0,BM149=""),"",EDATE(AL149,BM149))</f>
        <v/>
      </c>
      <c r="AG149" s="17" t="str">
        <f aca="false">IF(AK149=0,"",MIN(BD149,BQ149))</f>
        <v/>
      </c>
      <c r="AH149" s="17" t="str">
        <f aca="false">IF(AK149=0,"",IF(NOT(LH_Ready),"",IF(BG149=0,0,MAX(0,ROUND(N(T149)+N(U149)-N149,2)))))</f>
        <v/>
      </c>
      <c r="AI149" s="12"/>
      <c r="AJ149" s="12"/>
      <c r="AK149" s="16" t="n">
        <f aca="false">IF(OR(LEN($A149&amp;$B149)=0,$F149=""),0,1)</f>
        <v>0</v>
      </c>
      <c r="AL149" s="14" t="str">
        <f aca="false">IF(AK149=0,"",IF(PreSchemeCounts="No",MAX(SchemeStart,IF($J149&lt;&gt;"",$J149,IF(OR(CasualCounts="Yes",COUNT($G149:$I149)=0),$F149,IF(Apply2026="No",IF($I149="",$F149,$I149),IF(COUNT($H149:$I149)=0,$F149,MIN($H149:$I149)))))),IF($J149&lt;&gt;"",$J149,IF(OR(CasualCounts="Yes",COUNT($G149:$I149)=0),$F149,IF(Apply2026="No",IF($I149="",$F149,$I149),IF(COUNT($H149:$I149)=0,$F149,MIN($H149:$I149)))))))</f>
        <v/>
      </c>
      <c r="AM149" s="16" t="str">
        <f aca="false">IF(AK149=0,"",COUNT($G149:$I149))</f>
        <v/>
      </c>
      <c r="AN149" s="14" t="str">
        <f aca="false">IF(AK149=0,"",IFERROR(SMALL($G149:$I149,1),""))</f>
        <v/>
      </c>
      <c r="AO149" s="14" t="str">
        <f aca="false">IF(AK149=0,"",IFERROR(SMALL($G149:$I149,2),""))</f>
        <v/>
      </c>
      <c r="AP149" s="14" t="str">
        <f aca="false">IF(AK149=0,"",IFERROR(SMALL($G149:$I149,3),""))</f>
        <v/>
      </c>
      <c r="AQ149" s="16" t="str">
        <f aca="false">IF(AK149=0,"",IF(AN149="","",IF(AN149=$H149,"Part-Time",IF(AN149=$I149,"Full-Time","Casual"))))</f>
        <v/>
      </c>
      <c r="AR149" s="16" t="str">
        <f aca="false">IF(AK149=0,"",IF(AO149="","",IF(AO149=$H149,"Part-Time",IF(AO149=$I149,"Full-Time","Casual"))))</f>
        <v/>
      </c>
      <c r="AS149" s="16" t="str">
        <f aca="false">IF(AK149=0,"",IF(AP149="","",IF(AP149=$H149,"Part-Time",IF(AP149=$I149,"Full-Time","Casual"))))</f>
        <v/>
      </c>
      <c r="AT149" s="16" t="str">
        <f aca="false">IF(AK149=0,"",IF(AM149=0,IF(OR(ISNUMBER(SEARCH("full",$C149)),UPPER(TRIM($C149))="FT",UPPER(TRIM($C149))="FTE"),"FT",IF(AND(OR(ISNUMBER(SEARCH("part",$C149)),UPPER(TRIM($C149))="PT",UPPER(TRIM($C149))="PTE"),Apply2026="Yes",OR($P149="",N($P149)&gt;=PT_MinHours)),"PT","None")),IF(OR(ISNUMBER(SEARCH("full",AQ149)),UPPER(TRIM(AQ149))="FT",UPPER(TRIM(AQ149))="FTE"),"FT",IF(AND(OR(ISNUMBER(SEARCH("part",AQ149)),UPPER(TRIM(AQ149))="PT",UPPER(TRIM(AQ149))="PTE"),Apply2026="Yes",OR($P149="",N($P149)&gt;=PT_MinHours)),"PT","None"))))</f>
        <v/>
      </c>
      <c r="AU149" s="16" t="str">
        <f aca="false">IF(AK149=0,"",IF(AM149&lt;2,"",IF(OR(ISNUMBER(SEARCH("full",AR149)),UPPER(TRIM(AR149))="FT",UPPER(TRIM(AR149))="FTE"),"FT",IF(AND(OR(ISNUMBER(SEARCH("part",AR149)),UPPER(TRIM(AR149))="PT",UPPER(TRIM(AR149))="PTE"),Apply2026="Yes",OR($P149="",N($P149)&gt;=PT_MinHours)),"PT","None"))))</f>
        <v/>
      </c>
      <c r="AV149" s="16" t="str">
        <f aca="false">IF(AK149=0,"",IF(AM149&lt;3,"",IF(OR(ISNUMBER(SEARCH("full",AS149)),UPPER(TRIM(AS149))="FT",UPPER(TRIM(AS149))="FTE"),"FT",IF(AND(OR(ISNUMBER(SEARCH("part",AS149)),UPPER(TRIM(AS149))="PT",UPPER(TRIM(AS149))="PTE"),Apply2026="Yes",OR($P149="",N($P149)&gt;=PT_MinHours)),"PT","None"))))</f>
        <v/>
      </c>
      <c r="AW149" s="16" t="str">
        <f aca="false">IF(AK149=0,"",IF(AND(AM149&gt;=3,AP149&lt;=AsOfDate),AV149,IF(AND(AM149&gt;=2,AO149&lt;=AsOfDate),AU149,AT149)))</f>
        <v/>
      </c>
      <c r="AX149" s="16" t="str">
        <f aca="false">IF(AK149=0,"",IF(AsOfDate&lt;AL149,-1,12*(YEAR(AsOfDate)-YEAR(AL149))+MONTH(AsOfDate)-MONTH(AL149)-IF(DAY(AsOfDate)&lt;MIN(DAY(AL149),DAY(EOMONTH(AsOfDate,0))),1,0)))</f>
        <v/>
      </c>
      <c r="AY149" s="16" t="str">
        <f aca="false">IF(AK149=0,"",IF(OR(AM149&lt;2,AO149&gt;AsOfDate),AX149,IF((AO149-1)&lt;AL149,-1,12*(YEAR((AO149-1))-YEAR(AL149))+MONTH((AO149-1))-MONTH(AL149)-IF(DAY((AO149-1))&lt;MIN(DAY(AL149),DAY(EOMONTH((AO149-1),0))),1,0))))</f>
        <v/>
      </c>
      <c r="AZ149" s="16" t="str">
        <f aca="false">IF(AK149=0,"",IF(OR(AM149&lt;3,AP149&gt;AsOfDate),AX149,IF((AP149-1)&lt;AL149,-1,12*(YEAR((AP149-1))-YEAR(AL149))+MONTH((AP149-1))-MONTH(AL149)-IF(DAY((AP149-1))&lt;MIN(DAY(AL149),DAY(EOMONTH((AP149-1),0))),1,0))))</f>
        <v/>
      </c>
      <c r="BA149" s="16" t="str">
        <f aca="false">IF(AK149=0,"",IF(PFYDate&lt;AL149,-1,12*(YEAR(PFYDate)-YEAR(AL149))+MONTH(PFYDate)-MONTH(AL149)-IF(DAY(PFYDate)&lt;MIN(DAY(AL149),DAY(EOMONTH(PFYDate,0))),1,0)))</f>
        <v/>
      </c>
      <c r="BB149" s="16" t="str">
        <f aca="false">IF(AK149=0,"",IF(OR(AM149&lt;2,AO149&gt;PFYDate),BA149,IF((AO149-1)&lt;AL149,-1,12*(YEAR((AO149-1))-YEAR(AL149))+MONTH((AO149-1))-MONTH(AL149)-IF(DAY((AO149-1))&lt;MIN(DAY(AL149),DAY(EOMONTH((AO149-1),0))),1,0))))</f>
        <v/>
      </c>
      <c r="BC149" s="16" t="str">
        <f aca="false">IF(AK149=0,"",IF(OR(AM149&lt;3,AP149&gt;PFYDate),BA149,IF((AP149-1)&lt;AL149,-1,12*(YEAR((AP149-1))-YEAR(AL149))+MONTH((AP149-1))-MONTH(AL149)-IF(DAY((AP149-1))&lt;MIN(DAY(AL149),DAY(EOMONTH((AP149-1),0))),1,0))))</f>
        <v/>
      </c>
      <c r="BD149" s="16" t="str">
        <f aca="false">IF(AK149=0,"",IF(AT149="FT",IF(AY149&lt;FT_First,0,IF(AY149&lt;FT_Y5,1+INT((AY149-FT_First)/FT_Int1),FT_PreY5+FT_PerYear*INT((AY149-FT_Y5)/12)+FT_AnnivDays+INT(MOD(AY149-FT_Y5,12)/FT_Int2)-IF(EDATE(AL149,FT_Y5)&lt;PolicyEff,FT_AnnivDays-1,0))),IF(AT149="PT",IF(AY149&lt;PT_First,0,1+INT((AY149-PT_First)/PT_Int)),0))+IF(AND(AM149&gt;=2,AO149&lt;=AsOfDate),IF(AU149="FT",IF(AZ149&lt;FT_First,0,IF(AZ149&lt;FT_Y5,1+INT((AZ149-FT_First)/FT_Int1),FT_PreY5+FT_PerYear*INT((AZ149-FT_Y5)/12)+FT_AnnivDays+INT(MOD(AZ149-FT_Y5,12)/FT_Int2)-IF(EDATE(AL149,FT_Y5)&lt;PolicyEff,FT_AnnivDays-1,0))),IF(AU149="PT",IF(AZ149&lt;PT_First,0,1+INT((AZ149-PT_First)/PT_Int)),0))-IF(AU149="FT",IF(AY149&lt;FT_First,0,IF(AY149&lt;FT_Y5,1+INT((AY149-FT_First)/FT_Int1),FT_PreY5+FT_PerYear*INT((AY149-FT_Y5)/12)+FT_AnnivDays+INT(MOD(AY149-FT_Y5,12)/FT_Int2)-IF(EDATE(AL149,FT_Y5)&lt;PolicyEff,FT_AnnivDays-1,0))),IF(AU149="PT",IF(AY149&lt;PT_First,0,1+INT((AY149-PT_First)/PT_Int)),0)),0)+IF(AND(AM149&gt;=3,AP149&lt;=AsOfDate),IF(AV149="FT",IF(AX149&lt;FT_First,0,IF(AX149&lt;FT_Y5,1+INT((AX149-FT_First)/FT_Int1),FT_PreY5+FT_PerYear*INT((AX149-FT_Y5)/12)+FT_AnnivDays+INT(MOD(AX149-FT_Y5,12)/FT_Int2)-IF(EDATE(AL149,FT_Y5)&lt;PolicyEff,FT_AnnivDays-1,0))),IF(AV149="PT",IF(AX149&lt;PT_First,0,1+INT((AX149-PT_First)/PT_Int)),0))-IF(AV149="FT",IF(AZ149&lt;FT_First,0,IF(AZ149&lt;FT_Y5,1+INT((AZ149-FT_First)/FT_Int1),FT_PreY5+FT_PerYear*INT((AZ149-FT_Y5)/12)+FT_AnnivDays+INT(MOD(AZ149-FT_Y5,12)/FT_Int2)-IF(EDATE(AL149,FT_Y5)&lt;PolicyEff,FT_AnnivDays-1,0))),IF(AV149="PT",IF(AZ149&lt;PT_First,0,1+INT((AZ149-PT_First)/PT_Int)),0)),0))</f>
        <v/>
      </c>
      <c r="BE149" s="16" t="str">
        <f aca="false">IF(AK149=0,"",IF(AT149="FT",IF(BB149&lt;FT_First,0,IF(BB149&lt;FT_Y5,1+INT((BB149-FT_First)/FT_Int1),FT_PreY5+FT_PerYear*INT((BB149-FT_Y5)/12)+FT_AnnivDays+INT(MOD(BB149-FT_Y5,12)/FT_Int2)-IF(EDATE(AL149,FT_Y5)&lt;PolicyEff,FT_AnnivDays-1,0))),IF(AT149="PT",IF(BB149&lt;PT_First,0,1+INT((BB149-PT_First)/PT_Int)),0))+IF(AND(AM149&gt;=2,AO149&lt;=PFYDate),IF(AU149="FT",IF(BC149&lt;FT_First,0,IF(BC149&lt;FT_Y5,1+INT((BC149-FT_First)/FT_Int1),FT_PreY5+FT_PerYear*INT((BC149-FT_Y5)/12)+FT_AnnivDays+INT(MOD(BC149-FT_Y5,12)/FT_Int2)-IF(EDATE(AL149,FT_Y5)&lt;PolicyEff,FT_AnnivDays-1,0))),IF(AU149="PT",IF(BC149&lt;PT_First,0,1+INT((BC149-PT_First)/PT_Int)),0))-IF(AU149="FT",IF(BB149&lt;FT_First,0,IF(BB149&lt;FT_Y5,1+INT((BB149-FT_First)/FT_Int1),FT_PreY5+FT_PerYear*INT((BB149-FT_Y5)/12)+FT_AnnivDays+INT(MOD(BB149-FT_Y5,12)/FT_Int2)-IF(EDATE(AL149,FT_Y5)&lt;PolicyEff,FT_AnnivDays-1,0))),IF(AU149="PT",IF(BB149&lt;PT_First,0,1+INT((BB149-PT_First)/PT_Int)),0)),0)+IF(AND(AM149&gt;=3,AP149&lt;=PFYDate),IF(AV149="FT",IF(BA149&lt;FT_First,0,IF(BA149&lt;FT_Y5,1+INT((BA149-FT_First)/FT_Int1),FT_PreY5+FT_PerYear*INT((BA149-FT_Y5)/12)+FT_AnnivDays+INT(MOD(BA149-FT_Y5,12)/FT_Int2)-IF(EDATE(AL149,FT_Y5)&lt;PolicyEff,FT_AnnivDays-1,0))),IF(AV149="PT",IF(BA149&lt;PT_First,0,1+INT((BA149-PT_First)/PT_Int)),0))-IF(AV149="FT",IF(BC149&lt;FT_First,0,IF(BC149&lt;FT_Y5,1+INT((BC149-FT_First)/FT_Int1),FT_PreY5+FT_PerYear*INT((BC149-FT_Y5)/12)+FT_AnnivDays+INT(MOD(BC149-FT_Y5,12)/FT_Int2)-IF(EDATE(AL149,FT_Y5)&lt;PolicyEff,FT_AnnivDays-1,0))),IF(AV149="PT",IF(BC149&lt;PT_First,0,1+INT((BC149-PT_First)/PT_Int)),0)),0))</f>
        <v/>
      </c>
      <c r="BF149" s="16" t="str">
        <f aca="false">IF(AK149=0,"",IF(AW149="FT",IF(AX149&lt;FT_First,FT_First,IF(AX149&lt;FT_Y5,MIN(FT_Y5,FT_First+FT_Int1*(INT((AX149-FT_First)/FT_Int1)+1)),FT_Y5+12*INT((AX149-FT_Y5)/12)+FT_Int2*(INT(MOD(AX149-FT_Y5,12)/FT_Int2)+1))),IF(AW149="PT",IF(AX149&lt;PT_First,PT_First,PT_First+PT_Int*(INT((AX149-PT_First)/PT_Int)+1)),"")))</f>
        <v/>
      </c>
      <c r="BG149" s="16" t="str">
        <f aca="false">IF(AK149=0,"",IF(NOT(LH_Ready),0,COUNTIFS(INDEX(LH_Data,0,LH_ColFirst),$A149,INDEX(LH_Data,0,LH_ColSur),$B149,INDEX(LH_Data,0,LH_ColCat),BonusCat)))</f>
        <v/>
      </c>
      <c r="BH149" s="16" t="str">
        <f aca="false">IF(AK149=0,"",IF(OR(NOT(LH_Ready),BG149=0),0,SUMPRODUCT(MAX((INDEX(LH_Data,0,LH_ColFirst)=$A149)*(INDEX(LH_Data,0,LH_ColSur)=$B149)*(INDEX(LH_Data,0,LH_ColCat)=BonusCat)*ROW(LH_Data)))))</f>
        <v/>
      </c>
      <c r="BI149" s="16" t="str">
        <f aca="false">IF(AK149=0,"",IF(EOMONTH(AsOfDate,-1)&lt;AL149,-1,12*(YEAR(EOMONTH(AsOfDate,-1))-YEAR(AL149))+MONTH(EOMONTH(AsOfDate,-1))-MONTH(AL149)-IF(DAY(EOMONTH(AsOfDate,-1))&lt;MIN(DAY(AL149),DAY(EOMONTH(EOMONTH(AsOfDate,-1),0))),1,0)))</f>
        <v/>
      </c>
      <c r="BJ149" s="16" t="str">
        <f aca="false">IF(AK149=0,"",IF(OR(AM149&lt;2,AO149&gt;EOMONTH(AsOfDate,-1)),BI149,IF((AO149-1)&lt;AL149,-1,12*(YEAR((AO149-1))-YEAR(AL149))+MONTH((AO149-1))-MONTH(AL149)-IF(DAY((AO149-1))&lt;MIN(DAY(AL149),DAY(EOMONTH((AO149-1),0))),1,0))))</f>
        <v/>
      </c>
      <c r="BK149" s="16" t="str">
        <f aca="false">IF(AK149=0,"",IF(OR(AM149&lt;3,AP149&gt;EOMONTH(AsOfDate,-1)),BI149,IF((AP149-1)&lt;AL149,-1,12*(YEAR((AP149-1))-YEAR(AL149))+MONTH((AP149-1))-MONTH(AL149)-IF(DAY((AP149-1))&lt;MIN(DAY(AL149),DAY(EOMONTH((AP149-1),0))),1,0))))</f>
        <v/>
      </c>
      <c r="BL149" s="16" t="str">
        <f aca="false">IF(AK149=0,"",IF(AT149="FT",IF(BJ149&lt;FT_First,0,IF(BJ149&lt;FT_Y5,1+INT((BJ149-FT_First)/FT_Int1),FT_PreY5+FT_PerYear*INT((BJ149-FT_Y5)/12)+FT_AnnivDays+INT(MOD(BJ149-FT_Y5,12)/FT_Int2)-IF(EDATE(AL149,FT_Y5)&lt;PolicyEff,FT_AnnivDays-1,0))),IF(AT149="PT",IF(BJ149&lt;PT_First,0,1+INT((BJ149-PT_First)/PT_Int)),0))+IF(AND(AM149&gt;=2,AO149&lt;=EOMONTH(AsOfDate,-1)),IF(AU149="FT",IF(BK149&lt;FT_First,0,IF(BK149&lt;FT_Y5,1+INT((BK149-FT_First)/FT_Int1),FT_PreY5+FT_PerYear*INT((BK149-FT_Y5)/12)+FT_AnnivDays+INT(MOD(BK149-FT_Y5,12)/FT_Int2)-IF(EDATE(AL149,FT_Y5)&lt;PolicyEff,FT_AnnivDays-1,0))),IF(AU149="PT",IF(BK149&lt;PT_First,0,1+INT((BK149-PT_First)/PT_Int)),0))-IF(AU149="FT",IF(BJ149&lt;FT_First,0,IF(BJ149&lt;FT_Y5,1+INT((BJ149-FT_First)/FT_Int1),FT_PreY5+FT_PerYear*INT((BJ149-FT_Y5)/12)+FT_AnnivDays+INT(MOD(BJ149-FT_Y5,12)/FT_Int2)-IF(EDATE(AL149,FT_Y5)&lt;PolicyEff,FT_AnnivDays-1,0))),IF(AU149="PT",IF(BJ149&lt;PT_First,0,1+INT((BJ149-PT_First)/PT_Int)),0)),0)+IF(AND(AM149&gt;=3,AP149&lt;=EOMONTH(AsOfDate,-1)),IF(AV149="FT",IF(BI149&lt;FT_First,0,IF(BI149&lt;FT_Y5,1+INT((BI149-FT_First)/FT_Int1),FT_PreY5+FT_PerYear*INT((BI149-FT_Y5)/12)+FT_AnnivDays+INT(MOD(BI149-FT_Y5,12)/FT_Int2)-IF(EDATE(AL149,FT_Y5)&lt;PolicyEff,FT_AnnivDays-1,0))),IF(AV149="PT",IF(BI149&lt;PT_First,0,1+INT((BI149-PT_First)/PT_Int)),0))-IF(AV149="FT",IF(BK149&lt;FT_First,0,IF(BK149&lt;FT_Y5,1+INT((BK149-FT_First)/FT_Int1),FT_PreY5+FT_PerYear*INT((BK149-FT_Y5)/12)+FT_AnnivDays+INT(MOD(BK149-FT_Y5,12)/FT_Int2)-IF(EDATE(AL149,FT_Y5)&lt;PolicyEff,FT_AnnivDays-1,0))),IF(AV149="PT",IF(BK149&lt;PT_First,0,1+INT((BK149-PT_First)/PT_Int)),0)),0))</f>
        <v/>
      </c>
      <c r="BM149" s="16" t="str">
        <f aca="false">IF(AK149=0,"",IF(AW149="FT",IF(AX149&lt;FT_First,"",IF(AX149&lt;FT_Y5,FT_First+FT_Int1*INT((AX149-FT_First)/FT_Int1),FT_Y5+FT_Int2*INT((AX149-FT_Y5)/FT_Int2))),IF(AW149="PT",IF(AX149&lt;PT_First,"",PT_First+PT_Int*INT((AX149-PT_First)/PT_Int)),"")))</f>
        <v/>
      </c>
      <c r="BN149" s="16" t="str">
        <f aca="false">IF(AK149=0,"",IF((SchemeStart-1)&lt;AL149,-1,12*(YEAR((SchemeStart-1))-YEAR(AL149))+MONTH((SchemeStart-1))-MONTH(AL149)-IF(DAY((SchemeStart-1))&lt;MIN(DAY(AL149),DAY(EOMONTH((SchemeStart-1),0))),1,0)))</f>
        <v/>
      </c>
      <c r="BO149" s="16" t="str">
        <f aca="false">IF(AK149=0,"",IF(OR(AM149&lt;2,AO149&gt;(SchemeStart-1)),BN149,IF((AO149-1)&lt;AL149,-1,12*(YEAR((AO149-1))-YEAR(AL149))+MONTH((AO149-1))-MONTH(AL149)-IF(DAY((AO149-1))&lt;MIN(DAY(AL149),DAY(EOMONTH((AO149-1),0))),1,0))))</f>
        <v/>
      </c>
      <c r="BP149" s="16" t="str">
        <f aca="false">IF(AK149=0,"",IF(OR(AM149&lt;3,AP149&gt;(SchemeStart-1)),BN149,IF((AP149-1)&lt;AL149,-1,12*(YEAR((AP149-1))-YEAR(AL149))+MONTH((AP149-1))-MONTH(AL149)-IF(DAY((AP149-1))&lt;MIN(DAY(AL149),DAY(EOMONTH((AP149-1),0))),1,0))))</f>
        <v/>
      </c>
      <c r="BQ149" s="16" t="str">
        <f aca="false">IF(AK149=0,"",IF(AT149="FT",IF(BO149&lt;FT_First,0,IF(BO149&lt;FT_Y5,1+INT((BO149-FT_First)/FT_Int1),FT_PreY5+FT_PerYear*INT((BO149-FT_Y5)/12)+FT_AnnivDays+INT(MOD(BO149-FT_Y5,12)/FT_Int2)-IF(EDATE(AL149,FT_Y5)&lt;PolicyEff,FT_AnnivDays-1,0))),IF(AT149="PT",IF(BO149&lt;PT_First,0,1+INT((BO149-PT_First)/PT_Int)),0))+IF(AND(AM149&gt;=2,AO149&lt;=(SchemeStart-1)),IF(AU149="FT",IF(BP149&lt;FT_First,0,IF(BP149&lt;FT_Y5,1+INT((BP149-FT_First)/FT_Int1),FT_PreY5+FT_PerYear*INT((BP149-FT_Y5)/12)+FT_AnnivDays+INT(MOD(BP149-FT_Y5,12)/FT_Int2)-IF(EDATE(AL149,FT_Y5)&lt;PolicyEff,FT_AnnivDays-1,0))),IF(AU149="PT",IF(BP149&lt;PT_First,0,1+INT((BP149-PT_First)/PT_Int)),0))-IF(AU149="FT",IF(BO149&lt;FT_First,0,IF(BO149&lt;FT_Y5,1+INT((BO149-FT_First)/FT_Int1),FT_PreY5+FT_PerYear*INT((BO149-FT_Y5)/12)+FT_AnnivDays+INT(MOD(BO149-FT_Y5,12)/FT_Int2)-IF(EDATE(AL149,FT_Y5)&lt;PolicyEff,FT_AnnivDays-1,0))),IF(AU149="PT",IF(BO149&lt;PT_First,0,1+INT((BO149-PT_First)/PT_Int)),0)),0)+IF(AND(AM149&gt;=3,AP149&lt;=(SchemeStart-1)),IF(AV149="FT",IF(BN149&lt;FT_First,0,IF(BN149&lt;FT_Y5,1+INT((BN149-FT_First)/FT_Int1),FT_PreY5+FT_PerYear*INT((BN149-FT_Y5)/12)+FT_AnnivDays+INT(MOD(BN149-FT_Y5,12)/FT_Int2)-IF(EDATE(AL149,FT_Y5)&lt;PolicyEff,FT_AnnivDays-1,0))),IF(AV149="PT",IF(BN149&lt;PT_First,0,1+INT((BN149-PT_First)/PT_Int)),0))-IF(AV149="FT",IF(BP149&lt;FT_First,0,IF(BP149&lt;FT_Y5,1+INT((BP149-FT_First)/FT_Int1),FT_PreY5+FT_PerYear*INT((BP149-FT_Y5)/12)+FT_AnnivDays+INT(MOD(BP149-FT_Y5,12)/FT_Int2)-IF(EDATE(AL149,FT_Y5)&lt;PolicyEff,FT_AnnivDays-1,0))),IF(AV149="PT",IF(BP149&lt;PT_First,0,1+INT((BP149-PT_First)/PT_Int)),0)),0))</f>
        <v/>
      </c>
      <c r="BR149" s="0" t="str">
        <f aca="false">IF(LEN($A149&amp;$B149)=0,"",$A149&amp;" "&amp;$B149)</f>
        <v/>
      </c>
    </row>
    <row r="150" customFormat="false" ht="15" hidden="false" customHeight="false" outlineLevel="0" collapsed="false">
      <c r="A150" s="12"/>
      <c r="B150" s="12"/>
      <c r="C150" s="12"/>
      <c r="D150" s="13"/>
      <c r="E150" s="14" t="str">
        <f aca="false">IF(OR(AK150=0,$D150=""),"",DATE(YEAR(AsOfDate)+IF(DATE(YEAR(AsOfDate),MONTH($D150),DAY($D150))&lt;=AsOfDate,1,0),MONTH($D150),DAY($D150)))</f>
        <v/>
      </c>
      <c r="F150" s="13"/>
      <c r="G150" s="13"/>
      <c r="H150" s="13"/>
      <c r="I150" s="13"/>
      <c r="J150" s="13"/>
      <c r="K150" s="14" t="str">
        <f aca="false">IF(AK150=0,"",DATE(YEAR(AsOfDate)+IF(DATE(YEAR(AsOfDate),MONTH(AL150),DAY(AL150))&lt;=AsOfDate,1,0),MONTH(AL150),DAY(AL150)))</f>
        <v/>
      </c>
      <c r="L150" s="15" t="str">
        <f aca="false">IF(AK150=0,"",ROUND((AsOfDate-AL150)/365.25,1))</f>
        <v/>
      </c>
      <c r="M150" s="16" t="str">
        <f aca="false">IF(AK150=0,"",IF(AsOfDate&lt;AL150,"-",DATEDIF(AL150,AsOfDate,"y")&amp;"y "&amp;DATEDIF(AL150,AsOfDate,"ym")&amp;"m "&amp;DATEDIF(AL150,AsOfDate,"md")&amp;"d"))</f>
        <v/>
      </c>
      <c r="N150" s="17" t="str">
        <f aca="false">IF(AK150=0,"",O150*HoursPerDay)</f>
        <v/>
      </c>
      <c r="O150" s="17" t="str">
        <f aca="false">IF(AK150=0,"",MAX(0,BD150-BQ150))</f>
        <v/>
      </c>
      <c r="P150" s="18"/>
      <c r="Q150" s="16" t="str">
        <f aca="false">IF(AK150=0,"",IF(AM150&lt;2,"",AQ150&amp;" to "&amp;AR150&amp;" on "&amp;TEXT(AO150,"dd/mm/yyyy")&amp;IF(AO150&gt;AsOfDate," (future)",IF(AT150=AU150,"",IF(AU150="None"," - STOPPED accruing",IF(AT150="None"," - commencement for Bonus Leave"," - pathway changed"))))&amp;IF(AM150&lt;3,"","; "&amp;AR150&amp;" to "&amp;AS150&amp;" on "&amp;TEXT(AP150,"dd/mm/yyyy")&amp;IF(AP150&gt;AsOfDate," (future)",IF(AU150=AV150,"",IF(AV150="None"," - STOPPED accruing",IF(AU150="None"," - commencement for Bonus Leave"," - pathway changed")))))))</f>
        <v/>
      </c>
      <c r="R150" s="16" t="str">
        <f aca="false">IF(AK150=0,"",IF(AW150="None",IF(O150&gt;0,"No longer accruing","Not eligible - "&amp;IF(AND(OR(ISNUMBER(SEARCH("part",$C150)),UPPER(TRIM($C150))="PT",UPPER(TRIM($C150))="PTE"),Apply2026="No"),"part-time (scheme is full-time only)",IF(AND(OR(ISNUMBER(SEARCH("part",$C150)),UPPER(TRIM($C150))="PT",UPPER(TRIM($C150))="PTE"),$P150&lt;&gt;"",N($P150)&lt;PT_MinHours),"under "&amp;PT_MinHours&amp;" hrs",IF(IF($C150="","",IF(OR(ISNUMBER(SEARCH("full",$C150)),UPPER(TRIM($C150))="FT",UPPER(TRIM($C150))="FTE"),"Full-Time",IF(OR(ISNUMBER(SEARCH("part",$C150)),UPPER(TRIM($C150))="PT",UPPER(TRIM($C150))="PTE"),"Part-Time",IF(OR(ISNUMBER(SEARCH("cas",$C150)),UPPER(TRIM($C150))="CAS"),"Casual","Unknown"))))="Unknown","type not recognised",$C150)))),IF(O150&gt;0,"Yes - Accrual Required","Not yet - from "&amp;TEXT(S150,"dd/mm/yyyy"))))</f>
        <v/>
      </c>
      <c r="S150" s="14" t="str">
        <f aca="false">IF(AK150=0,"",IF(AW150="None","",EDATE(AL150,BF150)))</f>
        <v/>
      </c>
      <c r="T150" s="17" t="str">
        <f aca="false">IF(AK150=0,"",IF(NOT(LH_Ready),"",IF($F150&gt;PFYDate,0,IF(LH_ColPeriod=0,W150-U150+V150,SUMIFS(INDEX(LH_Data,0,LH_ColAcc),INDEX(LH_Data,0,LH_ColFirst),$A150,INDEX(LH_Data,0,LH_ColSur),$B150,INDEX(LH_Data,0,LH_ColCat),BonusCat,INDEX(LH_Data,0,LH_ColPeriod),LH_OpenLabel)*UnitFactor))))</f>
        <v/>
      </c>
      <c r="U150" s="17" t="str">
        <f aca="false">IF(AK150=0,"",IF(NOT(LH_Ready),"",SUMIFS(INDEX(LH_Data,0,LH_ColAcc),INDEX(LH_Data,0,LH_ColFirst),$A150,INDEX(LH_Data,0,LH_ColSur),$B150,INDEX(LH_Data,0,LH_ColCat),BonusCat,INDEX(LH_Data,0,LH_ColStart),"&gt;="&amp;AL150)*UnitFactor))</f>
        <v/>
      </c>
      <c r="V150" s="17" t="str">
        <f aca="false">IF(AK150=0,"",IF(NOT(LH_Ready),"",SUMIFS(INDEX(LH_Data,0,LH_ColTaken),INDEX(LH_Data,0,LH_ColFirst),$A150,INDEX(LH_Data,0,LH_ColSur),$B150,INDEX(LH_Data,0,LH_ColCat),BonusCat,INDEX(LH_Data,0,LH_ColStart),"&gt;="&amp;AL150)*UnitFactor))</f>
        <v/>
      </c>
      <c r="W150" s="17" t="str">
        <f aca="false">IF(AK150=0,"",IF(NOT(LH_Ready),"",IF(BH150=0,0,INDEX(INDEX(LH_Data,0,LH_ColClose),BH150-1)*UnitFactor)))</f>
        <v/>
      </c>
      <c r="X150" s="17" t="str">
        <f aca="false">IF(AK150=0,"",(MAX(0,BD150-BQ150)-MAX(0,BE150-BQ150))*HoursPerDay)</f>
        <v/>
      </c>
      <c r="Y150" s="17" t="str">
        <f aca="false">IF(AK150=0,"",IF(NOT(LH_Ready),"",IF($AI150="Yes",N(AE150)*HoursPerDay-SUMIFS(INDEX(LH_Data,0,LH_ColAcc),INDEX(LH_Data,0,LH_ColFirst),$A150,INDEX(LH_Data,0,LH_ColSur),$B150,INDEX(LH_Data,0,LH_ColCat),BonusCat,INDEX(LH_Data,0,LH_ColStart),"&gt;="&amp;(EOMONTH(AsOfDate,-1)+1),INDEX(LH_Data,0,LH_ColStart),"&lt;="&amp;AsOfDate)*UnitFactor,IF(BG150=0,N150,N150-N(T150)-N(U150)))))</f>
        <v/>
      </c>
      <c r="Z150" s="16" t="str">
        <f aca="false">IF(OR(AK150=0,Y150=""),"",IF(Y150&gt;0,"Yes","No"))</f>
        <v/>
      </c>
      <c r="AA150" s="16" t="str">
        <f aca="false">IF(AK150=0,IF(LEN($A150&amp;$B150)=0,"","FIX INPUT - StartDate missing"),IF(AD150&lt;&gt;"","FIX INPUT - "&amp;AD150,IF(NOT(LH_Ready),"Paste Leave History export (Settings must show YES)",IF(AND($AI150="Yes",Y150&lt;=0),"OK - EH balance accepted to date"&amp;IF(N(AH150)&gt;0," (EH holds "&amp;AH150&amp;" hrs over the scheme)","")&amp;"; next day "&amp;TEXT(S150,"dd mmm yy")&amp;IF(N(AE150)&gt;0," ("&amp;AE150&amp;" day(s) for "&amp;UPPER(TEXT(AsOfDate,"mmm yyyy"))&amp;" already in EH)",""),IF(Y150&gt;0,"ACCRUE "&amp;ROUND(Y150,2)&amp;" hrs ("&amp;ROUND(Y150/HoursPerDay,2)&amp;" days): "&amp;IF(N(AE150)&gt;0,AE150&amp;" day(s) for "&amp;UPPER(TEXT(AsOfDate,"mmm yyyy"))&amp;" (milestone "&amp;UPPER(TEXT(AF150,"dd mmm yy"))&amp;")"&amp;IF(Y150/HoursPerDay&gt;AE150+0.001," + "&amp;ROUND(Y150/HoursPerDay-AE150,2)&amp;" day(s) catch-up from earlier months",""),"all catch-up from earlier months, nothing new this month")&amp;IF(BG150=0,"; no Bonus Leave in EH yet",""),IF(Y150&lt;0,"CHECK - EH accrued "&amp;ROUND(-Y150,2)&amp;" hrs more than policy since commencement",IF(N(W150)&gt;O150*HoursPerDay+0.01,"CHECK - EH balance "&amp;ROUND(W150-O150*HoursPerDay,2)&amp;" hrs more than policy entitlement",IF(O150&gt;0,"OK - nothing to add"&amp;IF(N(AE150)&gt;0," ("&amp;AE150&amp;" day(s) for "&amp;UPPER(TEXT(AsOfDate,"mmm yyyy"))&amp;" already in EH)",""),IF(AW150="None",R150,"Not yet - first day on "&amp;TEXT(S150,"dd/mm/yyyy"))))))))))</f>
        <v/>
      </c>
      <c r="AB150" s="17" t="str">
        <f aca="false">IF(OR(AK150=0,T150=""),"",MAX(0,BE150-BQ150)*HoursPerDay-T150)</f>
        <v/>
      </c>
      <c r="AC150" s="16" t="str">
        <f aca="false">IF(AK150=0,"",BG150)</f>
        <v/>
      </c>
      <c r="AD150" s="16" t="str">
        <f aca="false">IF(AK150=0,"",TRIM(IF(OR(ISTEXT($F150),ISTEXT($H150),ISTEXT($I150),ISTEXT($G150),ISTEXT($J150),ISTEXT($D150)),"A date is typed as text - retype it as dd/mm/yyyy. ","")&amp;IF(IF($C150="","",IF(OR(ISNUMBER(SEARCH("full",$C150)),UPPER(TRIM($C150))="FT",UPPER(TRIM($C150))="FTE"),"Full-Time",IF(OR(ISNUMBER(SEARCH("part",$C150)),UPPER(TRIM($C150))="PT",UPPER(TRIM($C150))="PTE"),"Part-Time",IF(OR(ISNUMBER(SEARCH("cas",$C150)),UPPER(TRIM($C150))="CAS"),"Casual","Unknown"))))="Unknown","EmploymentType not recognised - use Full-Time, Part-Time or Casual. ","")&amp;IF(AND(AM150&gt;=1,IF(AM150&gt;=3,AS150,IF(AM150=2,AR150,AQ150))&lt;&gt;IF($C150="","",IF(OR(ISNUMBER(SEARCH("full",$C150)),UPPER(TRIM($C150))="FT",UPPER(TRIM($C150))="FTE"),"Full-Time",IF(OR(ISNUMBER(SEARCH("part",$C150)),UPPER(TRIM($C150))="PT",UPPER(TRIM($C150))="PTE"),"Part-Time",IF(OR(ISNUMBER(SEARCH("cas",$C150)),UPPER(TRIM($C150))="CAS"),"Casual","Unknown"))))),"EmploymentType does not match latest start date ("&amp;IF(AM150&gt;=3,AS150,IF(AM150=2,AR150,AQ150))&amp;"). ","")&amp;IF(AND(AM150&gt;=1,AN150&lt;&gt;$F150),"Earliest type date should equal StartDate. ","")&amp;IF(AND(AM150&gt;=2,AN150=AO150),"Two types start on the same date. ","")&amp;IF(AND(OR(ISNUMBER(SEARCH("part",$C150)),UPPER(TRIM($C150))="PT",UPPER(TRIM($C150))="PTE"),$P150=""),"Part-time: enter PT Hrs/Week (blank = 24+). ","")))</f>
        <v/>
      </c>
      <c r="AE150" s="17" t="str">
        <f aca="false">IF(AK150=0,"",O150-MAX(0,BL150-BQ150))</f>
        <v/>
      </c>
      <c r="AF150" s="14" t="str">
        <f aca="false">IF(OR(AK150=0,AE150="",N(AE150)=0,BM150=""),"",EDATE(AL150,BM150))</f>
        <v/>
      </c>
      <c r="AG150" s="17" t="str">
        <f aca="false">IF(AK150=0,"",MIN(BD150,BQ150))</f>
        <v/>
      </c>
      <c r="AH150" s="17" t="str">
        <f aca="false">IF(AK150=0,"",IF(NOT(LH_Ready),"",IF(BG150=0,0,MAX(0,ROUND(N(T150)+N(U150)-N150,2)))))</f>
        <v/>
      </c>
      <c r="AI150" s="12"/>
      <c r="AJ150" s="12"/>
      <c r="AK150" s="16" t="n">
        <f aca="false">IF(OR(LEN($A150&amp;$B150)=0,$F150=""),0,1)</f>
        <v>0</v>
      </c>
      <c r="AL150" s="14" t="str">
        <f aca="false">IF(AK150=0,"",IF(PreSchemeCounts="No",MAX(SchemeStart,IF($J150&lt;&gt;"",$J150,IF(OR(CasualCounts="Yes",COUNT($G150:$I150)=0),$F150,IF(Apply2026="No",IF($I150="",$F150,$I150),IF(COUNT($H150:$I150)=0,$F150,MIN($H150:$I150)))))),IF($J150&lt;&gt;"",$J150,IF(OR(CasualCounts="Yes",COUNT($G150:$I150)=0),$F150,IF(Apply2026="No",IF($I150="",$F150,$I150),IF(COUNT($H150:$I150)=0,$F150,MIN($H150:$I150)))))))</f>
        <v/>
      </c>
      <c r="AM150" s="16" t="str">
        <f aca="false">IF(AK150=0,"",COUNT($G150:$I150))</f>
        <v/>
      </c>
      <c r="AN150" s="14" t="str">
        <f aca="false">IF(AK150=0,"",IFERROR(SMALL($G150:$I150,1),""))</f>
        <v/>
      </c>
      <c r="AO150" s="14" t="str">
        <f aca="false">IF(AK150=0,"",IFERROR(SMALL($G150:$I150,2),""))</f>
        <v/>
      </c>
      <c r="AP150" s="14" t="str">
        <f aca="false">IF(AK150=0,"",IFERROR(SMALL($G150:$I150,3),""))</f>
        <v/>
      </c>
      <c r="AQ150" s="16" t="str">
        <f aca="false">IF(AK150=0,"",IF(AN150="","",IF(AN150=$H150,"Part-Time",IF(AN150=$I150,"Full-Time","Casual"))))</f>
        <v/>
      </c>
      <c r="AR150" s="16" t="str">
        <f aca="false">IF(AK150=0,"",IF(AO150="","",IF(AO150=$H150,"Part-Time",IF(AO150=$I150,"Full-Time","Casual"))))</f>
        <v/>
      </c>
      <c r="AS150" s="16" t="str">
        <f aca="false">IF(AK150=0,"",IF(AP150="","",IF(AP150=$H150,"Part-Time",IF(AP150=$I150,"Full-Time","Casual"))))</f>
        <v/>
      </c>
      <c r="AT150" s="16" t="str">
        <f aca="false">IF(AK150=0,"",IF(AM150=0,IF(OR(ISNUMBER(SEARCH("full",$C150)),UPPER(TRIM($C150))="FT",UPPER(TRIM($C150))="FTE"),"FT",IF(AND(OR(ISNUMBER(SEARCH("part",$C150)),UPPER(TRIM($C150))="PT",UPPER(TRIM($C150))="PTE"),Apply2026="Yes",OR($P150="",N($P150)&gt;=PT_MinHours)),"PT","None")),IF(OR(ISNUMBER(SEARCH("full",AQ150)),UPPER(TRIM(AQ150))="FT",UPPER(TRIM(AQ150))="FTE"),"FT",IF(AND(OR(ISNUMBER(SEARCH("part",AQ150)),UPPER(TRIM(AQ150))="PT",UPPER(TRIM(AQ150))="PTE"),Apply2026="Yes",OR($P150="",N($P150)&gt;=PT_MinHours)),"PT","None"))))</f>
        <v/>
      </c>
      <c r="AU150" s="16" t="str">
        <f aca="false">IF(AK150=0,"",IF(AM150&lt;2,"",IF(OR(ISNUMBER(SEARCH("full",AR150)),UPPER(TRIM(AR150))="FT",UPPER(TRIM(AR150))="FTE"),"FT",IF(AND(OR(ISNUMBER(SEARCH("part",AR150)),UPPER(TRIM(AR150))="PT",UPPER(TRIM(AR150))="PTE"),Apply2026="Yes",OR($P150="",N($P150)&gt;=PT_MinHours)),"PT","None"))))</f>
        <v/>
      </c>
      <c r="AV150" s="16" t="str">
        <f aca="false">IF(AK150=0,"",IF(AM150&lt;3,"",IF(OR(ISNUMBER(SEARCH("full",AS150)),UPPER(TRIM(AS150))="FT",UPPER(TRIM(AS150))="FTE"),"FT",IF(AND(OR(ISNUMBER(SEARCH("part",AS150)),UPPER(TRIM(AS150))="PT",UPPER(TRIM(AS150))="PTE"),Apply2026="Yes",OR($P150="",N($P150)&gt;=PT_MinHours)),"PT","None"))))</f>
        <v/>
      </c>
      <c r="AW150" s="16" t="str">
        <f aca="false">IF(AK150=0,"",IF(AND(AM150&gt;=3,AP150&lt;=AsOfDate),AV150,IF(AND(AM150&gt;=2,AO150&lt;=AsOfDate),AU150,AT150)))</f>
        <v/>
      </c>
      <c r="AX150" s="16" t="str">
        <f aca="false">IF(AK150=0,"",IF(AsOfDate&lt;AL150,-1,12*(YEAR(AsOfDate)-YEAR(AL150))+MONTH(AsOfDate)-MONTH(AL150)-IF(DAY(AsOfDate)&lt;MIN(DAY(AL150),DAY(EOMONTH(AsOfDate,0))),1,0)))</f>
        <v/>
      </c>
      <c r="AY150" s="16" t="str">
        <f aca="false">IF(AK150=0,"",IF(OR(AM150&lt;2,AO150&gt;AsOfDate),AX150,IF((AO150-1)&lt;AL150,-1,12*(YEAR((AO150-1))-YEAR(AL150))+MONTH((AO150-1))-MONTH(AL150)-IF(DAY((AO150-1))&lt;MIN(DAY(AL150),DAY(EOMONTH((AO150-1),0))),1,0))))</f>
        <v/>
      </c>
      <c r="AZ150" s="16" t="str">
        <f aca="false">IF(AK150=0,"",IF(OR(AM150&lt;3,AP150&gt;AsOfDate),AX150,IF((AP150-1)&lt;AL150,-1,12*(YEAR((AP150-1))-YEAR(AL150))+MONTH((AP150-1))-MONTH(AL150)-IF(DAY((AP150-1))&lt;MIN(DAY(AL150),DAY(EOMONTH((AP150-1),0))),1,0))))</f>
        <v/>
      </c>
      <c r="BA150" s="16" t="str">
        <f aca="false">IF(AK150=0,"",IF(PFYDate&lt;AL150,-1,12*(YEAR(PFYDate)-YEAR(AL150))+MONTH(PFYDate)-MONTH(AL150)-IF(DAY(PFYDate)&lt;MIN(DAY(AL150),DAY(EOMONTH(PFYDate,0))),1,0)))</f>
        <v/>
      </c>
      <c r="BB150" s="16" t="str">
        <f aca="false">IF(AK150=0,"",IF(OR(AM150&lt;2,AO150&gt;PFYDate),BA150,IF((AO150-1)&lt;AL150,-1,12*(YEAR((AO150-1))-YEAR(AL150))+MONTH((AO150-1))-MONTH(AL150)-IF(DAY((AO150-1))&lt;MIN(DAY(AL150),DAY(EOMONTH((AO150-1),0))),1,0))))</f>
        <v/>
      </c>
      <c r="BC150" s="16" t="str">
        <f aca="false">IF(AK150=0,"",IF(OR(AM150&lt;3,AP150&gt;PFYDate),BA150,IF((AP150-1)&lt;AL150,-1,12*(YEAR((AP150-1))-YEAR(AL150))+MONTH((AP150-1))-MONTH(AL150)-IF(DAY((AP150-1))&lt;MIN(DAY(AL150),DAY(EOMONTH((AP150-1),0))),1,0))))</f>
        <v/>
      </c>
      <c r="BD150" s="16" t="str">
        <f aca="false">IF(AK150=0,"",IF(AT150="FT",IF(AY150&lt;FT_First,0,IF(AY150&lt;FT_Y5,1+INT((AY150-FT_First)/FT_Int1),FT_PreY5+FT_PerYear*INT((AY150-FT_Y5)/12)+FT_AnnivDays+INT(MOD(AY150-FT_Y5,12)/FT_Int2)-IF(EDATE(AL150,FT_Y5)&lt;PolicyEff,FT_AnnivDays-1,0))),IF(AT150="PT",IF(AY150&lt;PT_First,0,1+INT((AY150-PT_First)/PT_Int)),0))+IF(AND(AM150&gt;=2,AO150&lt;=AsOfDate),IF(AU150="FT",IF(AZ150&lt;FT_First,0,IF(AZ150&lt;FT_Y5,1+INT((AZ150-FT_First)/FT_Int1),FT_PreY5+FT_PerYear*INT((AZ150-FT_Y5)/12)+FT_AnnivDays+INT(MOD(AZ150-FT_Y5,12)/FT_Int2)-IF(EDATE(AL150,FT_Y5)&lt;PolicyEff,FT_AnnivDays-1,0))),IF(AU150="PT",IF(AZ150&lt;PT_First,0,1+INT((AZ150-PT_First)/PT_Int)),0))-IF(AU150="FT",IF(AY150&lt;FT_First,0,IF(AY150&lt;FT_Y5,1+INT((AY150-FT_First)/FT_Int1),FT_PreY5+FT_PerYear*INT((AY150-FT_Y5)/12)+FT_AnnivDays+INT(MOD(AY150-FT_Y5,12)/FT_Int2)-IF(EDATE(AL150,FT_Y5)&lt;PolicyEff,FT_AnnivDays-1,0))),IF(AU150="PT",IF(AY150&lt;PT_First,0,1+INT((AY150-PT_First)/PT_Int)),0)),0)+IF(AND(AM150&gt;=3,AP150&lt;=AsOfDate),IF(AV150="FT",IF(AX150&lt;FT_First,0,IF(AX150&lt;FT_Y5,1+INT((AX150-FT_First)/FT_Int1),FT_PreY5+FT_PerYear*INT((AX150-FT_Y5)/12)+FT_AnnivDays+INT(MOD(AX150-FT_Y5,12)/FT_Int2)-IF(EDATE(AL150,FT_Y5)&lt;PolicyEff,FT_AnnivDays-1,0))),IF(AV150="PT",IF(AX150&lt;PT_First,0,1+INT((AX150-PT_First)/PT_Int)),0))-IF(AV150="FT",IF(AZ150&lt;FT_First,0,IF(AZ150&lt;FT_Y5,1+INT((AZ150-FT_First)/FT_Int1),FT_PreY5+FT_PerYear*INT((AZ150-FT_Y5)/12)+FT_AnnivDays+INT(MOD(AZ150-FT_Y5,12)/FT_Int2)-IF(EDATE(AL150,FT_Y5)&lt;PolicyEff,FT_AnnivDays-1,0))),IF(AV150="PT",IF(AZ150&lt;PT_First,0,1+INT((AZ150-PT_First)/PT_Int)),0)),0))</f>
        <v/>
      </c>
      <c r="BE150" s="16" t="str">
        <f aca="false">IF(AK150=0,"",IF(AT150="FT",IF(BB150&lt;FT_First,0,IF(BB150&lt;FT_Y5,1+INT((BB150-FT_First)/FT_Int1),FT_PreY5+FT_PerYear*INT((BB150-FT_Y5)/12)+FT_AnnivDays+INT(MOD(BB150-FT_Y5,12)/FT_Int2)-IF(EDATE(AL150,FT_Y5)&lt;PolicyEff,FT_AnnivDays-1,0))),IF(AT150="PT",IF(BB150&lt;PT_First,0,1+INT((BB150-PT_First)/PT_Int)),0))+IF(AND(AM150&gt;=2,AO150&lt;=PFYDate),IF(AU150="FT",IF(BC150&lt;FT_First,0,IF(BC150&lt;FT_Y5,1+INT((BC150-FT_First)/FT_Int1),FT_PreY5+FT_PerYear*INT((BC150-FT_Y5)/12)+FT_AnnivDays+INT(MOD(BC150-FT_Y5,12)/FT_Int2)-IF(EDATE(AL150,FT_Y5)&lt;PolicyEff,FT_AnnivDays-1,0))),IF(AU150="PT",IF(BC150&lt;PT_First,0,1+INT((BC150-PT_First)/PT_Int)),0))-IF(AU150="FT",IF(BB150&lt;FT_First,0,IF(BB150&lt;FT_Y5,1+INT((BB150-FT_First)/FT_Int1),FT_PreY5+FT_PerYear*INT((BB150-FT_Y5)/12)+FT_AnnivDays+INT(MOD(BB150-FT_Y5,12)/FT_Int2)-IF(EDATE(AL150,FT_Y5)&lt;PolicyEff,FT_AnnivDays-1,0))),IF(AU150="PT",IF(BB150&lt;PT_First,0,1+INT((BB150-PT_First)/PT_Int)),0)),0)+IF(AND(AM150&gt;=3,AP150&lt;=PFYDate),IF(AV150="FT",IF(BA150&lt;FT_First,0,IF(BA150&lt;FT_Y5,1+INT((BA150-FT_First)/FT_Int1),FT_PreY5+FT_PerYear*INT((BA150-FT_Y5)/12)+FT_AnnivDays+INT(MOD(BA150-FT_Y5,12)/FT_Int2)-IF(EDATE(AL150,FT_Y5)&lt;PolicyEff,FT_AnnivDays-1,0))),IF(AV150="PT",IF(BA150&lt;PT_First,0,1+INT((BA150-PT_First)/PT_Int)),0))-IF(AV150="FT",IF(BC150&lt;FT_First,0,IF(BC150&lt;FT_Y5,1+INT((BC150-FT_First)/FT_Int1),FT_PreY5+FT_PerYear*INT((BC150-FT_Y5)/12)+FT_AnnivDays+INT(MOD(BC150-FT_Y5,12)/FT_Int2)-IF(EDATE(AL150,FT_Y5)&lt;PolicyEff,FT_AnnivDays-1,0))),IF(AV150="PT",IF(BC150&lt;PT_First,0,1+INT((BC150-PT_First)/PT_Int)),0)),0))</f>
        <v/>
      </c>
      <c r="BF150" s="16" t="str">
        <f aca="false">IF(AK150=0,"",IF(AW150="FT",IF(AX150&lt;FT_First,FT_First,IF(AX150&lt;FT_Y5,MIN(FT_Y5,FT_First+FT_Int1*(INT((AX150-FT_First)/FT_Int1)+1)),FT_Y5+12*INT((AX150-FT_Y5)/12)+FT_Int2*(INT(MOD(AX150-FT_Y5,12)/FT_Int2)+1))),IF(AW150="PT",IF(AX150&lt;PT_First,PT_First,PT_First+PT_Int*(INT((AX150-PT_First)/PT_Int)+1)),"")))</f>
        <v/>
      </c>
      <c r="BG150" s="16" t="str">
        <f aca="false">IF(AK150=0,"",IF(NOT(LH_Ready),0,COUNTIFS(INDEX(LH_Data,0,LH_ColFirst),$A150,INDEX(LH_Data,0,LH_ColSur),$B150,INDEX(LH_Data,0,LH_ColCat),BonusCat)))</f>
        <v/>
      </c>
      <c r="BH150" s="16" t="str">
        <f aca="false">IF(AK150=0,"",IF(OR(NOT(LH_Ready),BG150=0),0,SUMPRODUCT(MAX((INDEX(LH_Data,0,LH_ColFirst)=$A150)*(INDEX(LH_Data,0,LH_ColSur)=$B150)*(INDEX(LH_Data,0,LH_ColCat)=BonusCat)*ROW(LH_Data)))))</f>
        <v/>
      </c>
      <c r="BI150" s="16" t="str">
        <f aca="false">IF(AK150=0,"",IF(EOMONTH(AsOfDate,-1)&lt;AL150,-1,12*(YEAR(EOMONTH(AsOfDate,-1))-YEAR(AL150))+MONTH(EOMONTH(AsOfDate,-1))-MONTH(AL150)-IF(DAY(EOMONTH(AsOfDate,-1))&lt;MIN(DAY(AL150),DAY(EOMONTH(EOMONTH(AsOfDate,-1),0))),1,0)))</f>
        <v/>
      </c>
      <c r="BJ150" s="16" t="str">
        <f aca="false">IF(AK150=0,"",IF(OR(AM150&lt;2,AO150&gt;EOMONTH(AsOfDate,-1)),BI150,IF((AO150-1)&lt;AL150,-1,12*(YEAR((AO150-1))-YEAR(AL150))+MONTH((AO150-1))-MONTH(AL150)-IF(DAY((AO150-1))&lt;MIN(DAY(AL150),DAY(EOMONTH((AO150-1),0))),1,0))))</f>
        <v/>
      </c>
      <c r="BK150" s="16" t="str">
        <f aca="false">IF(AK150=0,"",IF(OR(AM150&lt;3,AP150&gt;EOMONTH(AsOfDate,-1)),BI150,IF((AP150-1)&lt;AL150,-1,12*(YEAR((AP150-1))-YEAR(AL150))+MONTH((AP150-1))-MONTH(AL150)-IF(DAY((AP150-1))&lt;MIN(DAY(AL150),DAY(EOMONTH((AP150-1),0))),1,0))))</f>
        <v/>
      </c>
      <c r="BL150" s="16" t="str">
        <f aca="false">IF(AK150=0,"",IF(AT150="FT",IF(BJ150&lt;FT_First,0,IF(BJ150&lt;FT_Y5,1+INT((BJ150-FT_First)/FT_Int1),FT_PreY5+FT_PerYear*INT((BJ150-FT_Y5)/12)+FT_AnnivDays+INT(MOD(BJ150-FT_Y5,12)/FT_Int2)-IF(EDATE(AL150,FT_Y5)&lt;PolicyEff,FT_AnnivDays-1,0))),IF(AT150="PT",IF(BJ150&lt;PT_First,0,1+INT((BJ150-PT_First)/PT_Int)),0))+IF(AND(AM150&gt;=2,AO150&lt;=EOMONTH(AsOfDate,-1)),IF(AU150="FT",IF(BK150&lt;FT_First,0,IF(BK150&lt;FT_Y5,1+INT((BK150-FT_First)/FT_Int1),FT_PreY5+FT_PerYear*INT((BK150-FT_Y5)/12)+FT_AnnivDays+INT(MOD(BK150-FT_Y5,12)/FT_Int2)-IF(EDATE(AL150,FT_Y5)&lt;PolicyEff,FT_AnnivDays-1,0))),IF(AU150="PT",IF(BK150&lt;PT_First,0,1+INT((BK150-PT_First)/PT_Int)),0))-IF(AU150="FT",IF(BJ150&lt;FT_First,0,IF(BJ150&lt;FT_Y5,1+INT((BJ150-FT_First)/FT_Int1),FT_PreY5+FT_PerYear*INT((BJ150-FT_Y5)/12)+FT_AnnivDays+INT(MOD(BJ150-FT_Y5,12)/FT_Int2)-IF(EDATE(AL150,FT_Y5)&lt;PolicyEff,FT_AnnivDays-1,0))),IF(AU150="PT",IF(BJ150&lt;PT_First,0,1+INT((BJ150-PT_First)/PT_Int)),0)),0)+IF(AND(AM150&gt;=3,AP150&lt;=EOMONTH(AsOfDate,-1)),IF(AV150="FT",IF(BI150&lt;FT_First,0,IF(BI150&lt;FT_Y5,1+INT((BI150-FT_First)/FT_Int1),FT_PreY5+FT_PerYear*INT((BI150-FT_Y5)/12)+FT_AnnivDays+INT(MOD(BI150-FT_Y5,12)/FT_Int2)-IF(EDATE(AL150,FT_Y5)&lt;PolicyEff,FT_AnnivDays-1,0))),IF(AV150="PT",IF(BI150&lt;PT_First,0,1+INT((BI150-PT_First)/PT_Int)),0))-IF(AV150="FT",IF(BK150&lt;FT_First,0,IF(BK150&lt;FT_Y5,1+INT((BK150-FT_First)/FT_Int1),FT_PreY5+FT_PerYear*INT((BK150-FT_Y5)/12)+FT_AnnivDays+INT(MOD(BK150-FT_Y5,12)/FT_Int2)-IF(EDATE(AL150,FT_Y5)&lt;PolicyEff,FT_AnnivDays-1,0))),IF(AV150="PT",IF(BK150&lt;PT_First,0,1+INT((BK150-PT_First)/PT_Int)),0)),0))</f>
        <v/>
      </c>
      <c r="BM150" s="16" t="str">
        <f aca="false">IF(AK150=0,"",IF(AW150="FT",IF(AX150&lt;FT_First,"",IF(AX150&lt;FT_Y5,FT_First+FT_Int1*INT((AX150-FT_First)/FT_Int1),FT_Y5+FT_Int2*INT((AX150-FT_Y5)/FT_Int2))),IF(AW150="PT",IF(AX150&lt;PT_First,"",PT_First+PT_Int*INT((AX150-PT_First)/PT_Int)),"")))</f>
        <v/>
      </c>
      <c r="BN150" s="16" t="str">
        <f aca="false">IF(AK150=0,"",IF((SchemeStart-1)&lt;AL150,-1,12*(YEAR((SchemeStart-1))-YEAR(AL150))+MONTH((SchemeStart-1))-MONTH(AL150)-IF(DAY((SchemeStart-1))&lt;MIN(DAY(AL150),DAY(EOMONTH((SchemeStart-1),0))),1,0)))</f>
        <v/>
      </c>
      <c r="BO150" s="16" t="str">
        <f aca="false">IF(AK150=0,"",IF(OR(AM150&lt;2,AO150&gt;(SchemeStart-1)),BN150,IF((AO150-1)&lt;AL150,-1,12*(YEAR((AO150-1))-YEAR(AL150))+MONTH((AO150-1))-MONTH(AL150)-IF(DAY((AO150-1))&lt;MIN(DAY(AL150),DAY(EOMONTH((AO150-1),0))),1,0))))</f>
        <v/>
      </c>
      <c r="BP150" s="16" t="str">
        <f aca="false">IF(AK150=0,"",IF(OR(AM150&lt;3,AP150&gt;(SchemeStart-1)),BN150,IF((AP150-1)&lt;AL150,-1,12*(YEAR((AP150-1))-YEAR(AL150))+MONTH((AP150-1))-MONTH(AL150)-IF(DAY((AP150-1))&lt;MIN(DAY(AL150),DAY(EOMONTH((AP150-1),0))),1,0))))</f>
        <v/>
      </c>
      <c r="BQ150" s="16" t="str">
        <f aca="false">IF(AK150=0,"",IF(AT150="FT",IF(BO150&lt;FT_First,0,IF(BO150&lt;FT_Y5,1+INT((BO150-FT_First)/FT_Int1),FT_PreY5+FT_PerYear*INT((BO150-FT_Y5)/12)+FT_AnnivDays+INT(MOD(BO150-FT_Y5,12)/FT_Int2)-IF(EDATE(AL150,FT_Y5)&lt;PolicyEff,FT_AnnivDays-1,0))),IF(AT150="PT",IF(BO150&lt;PT_First,0,1+INT((BO150-PT_First)/PT_Int)),0))+IF(AND(AM150&gt;=2,AO150&lt;=(SchemeStart-1)),IF(AU150="FT",IF(BP150&lt;FT_First,0,IF(BP150&lt;FT_Y5,1+INT((BP150-FT_First)/FT_Int1),FT_PreY5+FT_PerYear*INT((BP150-FT_Y5)/12)+FT_AnnivDays+INT(MOD(BP150-FT_Y5,12)/FT_Int2)-IF(EDATE(AL150,FT_Y5)&lt;PolicyEff,FT_AnnivDays-1,0))),IF(AU150="PT",IF(BP150&lt;PT_First,0,1+INT((BP150-PT_First)/PT_Int)),0))-IF(AU150="FT",IF(BO150&lt;FT_First,0,IF(BO150&lt;FT_Y5,1+INT((BO150-FT_First)/FT_Int1),FT_PreY5+FT_PerYear*INT((BO150-FT_Y5)/12)+FT_AnnivDays+INT(MOD(BO150-FT_Y5,12)/FT_Int2)-IF(EDATE(AL150,FT_Y5)&lt;PolicyEff,FT_AnnivDays-1,0))),IF(AU150="PT",IF(BO150&lt;PT_First,0,1+INT((BO150-PT_First)/PT_Int)),0)),0)+IF(AND(AM150&gt;=3,AP150&lt;=(SchemeStart-1)),IF(AV150="FT",IF(BN150&lt;FT_First,0,IF(BN150&lt;FT_Y5,1+INT((BN150-FT_First)/FT_Int1),FT_PreY5+FT_PerYear*INT((BN150-FT_Y5)/12)+FT_AnnivDays+INT(MOD(BN150-FT_Y5,12)/FT_Int2)-IF(EDATE(AL150,FT_Y5)&lt;PolicyEff,FT_AnnivDays-1,0))),IF(AV150="PT",IF(BN150&lt;PT_First,0,1+INT((BN150-PT_First)/PT_Int)),0))-IF(AV150="FT",IF(BP150&lt;FT_First,0,IF(BP150&lt;FT_Y5,1+INT((BP150-FT_First)/FT_Int1),FT_PreY5+FT_PerYear*INT((BP150-FT_Y5)/12)+FT_AnnivDays+INT(MOD(BP150-FT_Y5,12)/FT_Int2)-IF(EDATE(AL150,FT_Y5)&lt;PolicyEff,FT_AnnivDays-1,0))),IF(AV150="PT",IF(BP150&lt;PT_First,0,1+INT((BP150-PT_First)/PT_Int)),0)),0))</f>
        <v/>
      </c>
      <c r="BR150" s="0" t="str">
        <f aca="false">IF(LEN($A150&amp;$B150)=0,"",$A150&amp;" "&amp;$B150)</f>
        <v/>
      </c>
    </row>
    <row r="151" customFormat="false" ht="15" hidden="false" customHeight="false" outlineLevel="0" collapsed="false">
      <c r="A151" s="12"/>
      <c r="B151" s="12"/>
      <c r="C151" s="12"/>
      <c r="D151" s="13"/>
      <c r="E151" s="14" t="str">
        <f aca="false">IF(OR(AK151=0,$D151=""),"",DATE(YEAR(AsOfDate)+IF(DATE(YEAR(AsOfDate),MONTH($D151),DAY($D151))&lt;=AsOfDate,1,0),MONTH($D151),DAY($D151)))</f>
        <v/>
      </c>
      <c r="F151" s="13"/>
      <c r="G151" s="13"/>
      <c r="H151" s="13"/>
      <c r="I151" s="13"/>
      <c r="J151" s="13"/>
      <c r="K151" s="14" t="str">
        <f aca="false">IF(AK151=0,"",DATE(YEAR(AsOfDate)+IF(DATE(YEAR(AsOfDate),MONTH(AL151),DAY(AL151))&lt;=AsOfDate,1,0),MONTH(AL151),DAY(AL151)))</f>
        <v/>
      </c>
      <c r="L151" s="15" t="str">
        <f aca="false">IF(AK151=0,"",ROUND((AsOfDate-AL151)/365.25,1))</f>
        <v/>
      </c>
      <c r="M151" s="16" t="str">
        <f aca="false">IF(AK151=0,"",IF(AsOfDate&lt;AL151,"-",DATEDIF(AL151,AsOfDate,"y")&amp;"y "&amp;DATEDIF(AL151,AsOfDate,"ym")&amp;"m "&amp;DATEDIF(AL151,AsOfDate,"md")&amp;"d"))</f>
        <v/>
      </c>
      <c r="N151" s="17" t="str">
        <f aca="false">IF(AK151=0,"",O151*HoursPerDay)</f>
        <v/>
      </c>
      <c r="O151" s="17" t="str">
        <f aca="false">IF(AK151=0,"",MAX(0,BD151-BQ151))</f>
        <v/>
      </c>
      <c r="P151" s="18"/>
      <c r="Q151" s="16" t="str">
        <f aca="false">IF(AK151=0,"",IF(AM151&lt;2,"",AQ151&amp;" to "&amp;AR151&amp;" on "&amp;TEXT(AO151,"dd/mm/yyyy")&amp;IF(AO151&gt;AsOfDate," (future)",IF(AT151=AU151,"",IF(AU151="None"," - STOPPED accruing",IF(AT151="None"," - commencement for Bonus Leave"," - pathway changed"))))&amp;IF(AM151&lt;3,"","; "&amp;AR151&amp;" to "&amp;AS151&amp;" on "&amp;TEXT(AP151,"dd/mm/yyyy")&amp;IF(AP151&gt;AsOfDate," (future)",IF(AU151=AV151,"",IF(AV151="None"," - STOPPED accruing",IF(AU151="None"," - commencement for Bonus Leave"," - pathway changed")))))))</f>
        <v/>
      </c>
      <c r="R151" s="16" t="str">
        <f aca="false">IF(AK151=0,"",IF(AW151="None",IF(O151&gt;0,"No longer accruing","Not eligible - "&amp;IF(AND(OR(ISNUMBER(SEARCH("part",$C151)),UPPER(TRIM($C151))="PT",UPPER(TRIM($C151))="PTE"),Apply2026="No"),"part-time (scheme is full-time only)",IF(AND(OR(ISNUMBER(SEARCH("part",$C151)),UPPER(TRIM($C151))="PT",UPPER(TRIM($C151))="PTE"),$P151&lt;&gt;"",N($P151)&lt;PT_MinHours),"under "&amp;PT_MinHours&amp;" hrs",IF(IF($C151="","",IF(OR(ISNUMBER(SEARCH("full",$C151)),UPPER(TRIM($C151))="FT",UPPER(TRIM($C151))="FTE"),"Full-Time",IF(OR(ISNUMBER(SEARCH("part",$C151)),UPPER(TRIM($C151))="PT",UPPER(TRIM($C151))="PTE"),"Part-Time",IF(OR(ISNUMBER(SEARCH("cas",$C151)),UPPER(TRIM($C151))="CAS"),"Casual","Unknown"))))="Unknown","type not recognised",$C151)))),IF(O151&gt;0,"Yes - Accrual Required","Not yet - from "&amp;TEXT(S151,"dd/mm/yyyy"))))</f>
        <v/>
      </c>
      <c r="S151" s="14" t="str">
        <f aca="false">IF(AK151=0,"",IF(AW151="None","",EDATE(AL151,BF151)))</f>
        <v/>
      </c>
      <c r="T151" s="17" t="str">
        <f aca="false">IF(AK151=0,"",IF(NOT(LH_Ready),"",IF($F151&gt;PFYDate,0,IF(LH_ColPeriod=0,W151-U151+V151,SUMIFS(INDEX(LH_Data,0,LH_ColAcc),INDEX(LH_Data,0,LH_ColFirst),$A151,INDEX(LH_Data,0,LH_ColSur),$B151,INDEX(LH_Data,0,LH_ColCat),BonusCat,INDEX(LH_Data,0,LH_ColPeriod),LH_OpenLabel)*UnitFactor))))</f>
        <v/>
      </c>
      <c r="U151" s="17" t="str">
        <f aca="false">IF(AK151=0,"",IF(NOT(LH_Ready),"",SUMIFS(INDEX(LH_Data,0,LH_ColAcc),INDEX(LH_Data,0,LH_ColFirst),$A151,INDEX(LH_Data,0,LH_ColSur),$B151,INDEX(LH_Data,0,LH_ColCat),BonusCat,INDEX(LH_Data,0,LH_ColStart),"&gt;="&amp;AL151)*UnitFactor))</f>
        <v/>
      </c>
      <c r="V151" s="17" t="str">
        <f aca="false">IF(AK151=0,"",IF(NOT(LH_Ready),"",SUMIFS(INDEX(LH_Data,0,LH_ColTaken),INDEX(LH_Data,0,LH_ColFirst),$A151,INDEX(LH_Data,0,LH_ColSur),$B151,INDEX(LH_Data,0,LH_ColCat),BonusCat,INDEX(LH_Data,0,LH_ColStart),"&gt;="&amp;AL151)*UnitFactor))</f>
        <v/>
      </c>
      <c r="W151" s="17" t="str">
        <f aca="false">IF(AK151=0,"",IF(NOT(LH_Ready),"",IF(BH151=0,0,INDEX(INDEX(LH_Data,0,LH_ColClose),BH151-1)*UnitFactor)))</f>
        <v/>
      </c>
      <c r="X151" s="17" t="str">
        <f aca="false">IF(AK151=0,"",(MAX(0,BD151-BQ151)-MAX(0,BE151-BQ151))*HoursPerDay)</f>
        <v/>
      </c>
      <c r="Y151" s="17" t="str">
        <f aca="false">IF(AK151=0,"",IF(NOT(LH_Ready),"",IF($AI151="Yes",N(AE151)*HoursPerDay-SUMIFS(INDEX(LH_Data,0,LH_ColAcc),INDEX(LH_Data,0,LH_ColFirst),$A151,INDEX(LH_Data,0,LH_ColSur),$B151,INDEX(LH_Data,0,LH_ColCat),BonusCat,INDEX(LH_Data,0,LH_ColStart),"&gt;="&amp;(EOMONTH(AsOfDate,-1)+1),INDEX(LH_Data,0,LH_ColStart),"&lt;="&amp;AsOfDate)*UnitFactor,IF(BG151=0,N151,N151-N(T151)-N(U151)))))</f>
        <v/>
      </c>
      <c r="Z151" s="16" t="str">
        <f aca="false">IF(OR(AK151=0,Y151=""),"",IF(Y151&gt;0,"Yes","No"))</f>
        <v/>
      </c>
      <c r="AA151" s="16" t="str">
        <f aca="false">IF(AK151=0,IF(LEN($A151&amp;$B151)=0,"","FIX INPUT - StartDate missing"),IF(AD151&lt;&gt;"","FIX INPUT - "&amp;AD151,IF(NOT(LH_Ready),"Paste Leave History export (Settings must show YES)",IF(AND($AI151="Yes",Y151&lt;=0),"OK - EH balance accepted to date"&amp;IF(N(AH151)&gt;0," (EH holds "&amp;AH151&amp;" hrs over the scheme)","")&amp;"; next day "&amp;TEXT(S151,"dd mmm yy")&amp;IF(N(AE151)&gt;0," ("&amp;AE151&amp;" day(s) for "&amp;UPPER(TEXT(AsOfDate,"mmm yyyy"))&amp;" already in EH)",""),IF(Y151&gt;0,"ACCRUE "&amp;ROUND(Y151,2)&amp;" hrs ("&amp;ROUND(Y151/HoursPerDay,2)&amp;" days): "&amp;IF(N(AE151)&gt;0,AE151&amp;" day(s) for "&amp;UPPER(TEXT(AsOfDate,"mmm yyyy"))&amp;" (milestone "&amp;UPPER(TEXT(AF151,"dd mmm yy"))&amp;")"&amp;IF(Y151/HoursPerDay&gt;AE151+0.001," + "&amp;ROUND(Y151/HoursPerDay-AE151,2)&amp;" day(s) catch-up from earlier months",""),"all catch-up from earlier months, nothing new this month")&amp;IF(BG151=0,"; no Bonus Leave in EH yet",""),IF(Y151&lt;0,"CHECK - EH accrued "&amp;ROUND(-Y151,2)&amp;" hrs more than policy since commencement",IF(N(W151)&gt;O151*HoursPerDay+0.01,"CHECK - EH balance "&amp;ROUND(W151-O151*HoursPerDay,2)&amp;" hrs more than policy entitlement",IF(O151&gt;0,"OK - nothing to add"&amp;IF(N(AE151)&gt;0," ("&amp;AE151&amp;" day(s) for "&amp;UPPER(TEXT(AsOfDate,"mmm yyyy"))&amp;" already in EH)",""),IF(AW151="None",R151,"Not yet - first day on "&amp;TEXT(S151,"dd/mm/yyyy"))))))))))</f>
        <v/>
      </c>
      <c r="AB151" s="17" t="str">
        <f aca="false">IF(OR(AK151=0,T151=""),"",MAX(0,BE151-BQ151)*HoursPerDay-T151)</f>
        <v/>
      </c>
      <c r="AC151" s="16" t="str">
        <f aca="false">IF(AK151=0,"",BG151)</f>
        <v/>
      </c>
      <c r="AD151" s="16" t="str">
        <f aca="false">IF(AK151=0,"",TRIM(IF(OR(ISTEXT($F151),ISTEXT($H151),ISTEXT($I151),ISTEXT($G151),ISTEXT($J151),ISTEXT($D151)),"A date is typed as text - retype it as dd/mm/yyyy. ","")&amp;IF(IF($C151="","",IF(OR(ISNUMBER(SEARCH("full",$C151)),UPPER(TRIM($C151))="FT",UPPER(TRIM($C151))="FTE"),"Full-Time",IF(OR(ISNUMBER(SEARCH("part",$C151)),UPPER(TRIM($C151))="PT",UPPER(TRIM($C151))="PTE"),"Part-Time",IF(OR(ISNUMBER(SEARCH("cas",$C151)),UPPER(TRIM($C151))="CAS"),"Casual","Unknown"))))="Unknown","EmploymentType not recognised - use Full-Time, Part-Time or Casual. ","")&amp;IF(AND(AM151&gt;=1,IF(AM151&gt;=3,AS151,IF(AM151=2,AR151,AQ151))&lt;&gt;IF($C151="","",IF(OR(ISNUMBER(SEARCH("full",$C151)),UPPER(TRIM($C151))="FT",UPPER(TRIM($C151))="FTE"),"Full-Time",IF(OR(ISNUMBER(SEARCH("part",$C151)),UPPER(TRIM($C151))="PT",UPPER(TRIM($C151))="PTE"),"Part-Time",IF(OR(ISNUMBER(SEARCH("cas",$C151)),UPPER(TRIM($C151))="CAS"),"Casual","Unknown"))))),"EmploymentType does not match latest start date ("&amp;IF(AM151&gt;=3,AS151,IF(AM151=2,AR151,AQ151))&amp;"). ","")&amp;IF(AND(AM151&gt;=1,AN151&lt;&gt;$F151),"Earliest type date should equal StartDate. ","")&amp;IF(AND(AM151&gt;=2,AN151=AO151),"Two types start on the same date. ","")&amp;IF(AND(OR(ISNUMBER(SEARCH("part",$C151)),UPPER(TRIM($C151))="PT",UPPER(TRIM($C151))="PTE"),$P151=""),"Part-time: enter PT Hrs/Week (blank = 24+). ","")))</f>
        <v/>
      </c>
      <c r="AE151" s="17" t="str">
        <f aca="false">IF(AK151=0,"",O151-MAX(0,BL151-BQ151))</f>
        <v/>
      </c>
      <c r="AF151" s="14" t="str">
        <f aca="false">IF(OR(AK151=0,AE151="",N(AE151)=0,BM151=""),"",EDATE(AL151,BM151))</f>
        <v/>
      </c>
      <c r="AG151" s="17" t="str">
        <f aca="false">IF(AK151=0,"",MIN(BD151,BQ151))</f>
        <v/>
      </c>
      <c r="AH151" s="17" t="str">
        <f aca="false">IF(AK151=0,"",IF(NOT(LH_Ready),"",IF(BG151=0,0,MAX(0,ROUND(N(T151)+N(U151)-N151,2)))))</f>
        <v/>
      </c>
      <c r="AI151" s="12"/>
      <c r="AJ151" s="12"/>
      <c r="AK151" s="16" t="n">
        <f aca="false">IF(OR(LEN($A151&amp;$B151)=0,$F151=""),0,1)</f>
        <v>0</v>
      </c>
      <c r="AL151" s="14" t="str">
        <f aca="false">IF(AK151=0,"",IF(PreSchemeCounts="No",MAX(SchemeStart,IF($J151&lt;&gt;"",$J151,IF(OR(CasualCounts="Yes",COUNT($G151:$I151)=0),$F151,IF(Apply2026="No",IF($I151="",$F151,$I151),IF(COUNT($H151:$I151)=0,$F151,MIN($H151:$I151)))))),IF($J151&lt;&gt;"",$J151,IF(OR(CasualCounts="Yes",COUNT($G151:$I151)=0),$F151,IF(Apply2026="No",IF($I151="",$F151,$I151),IF(COUNT($H151:$I151)=0,$F151,MIN($H151:$I151)))))))</f>
        <v/>
      </c>
      <c r="AM151" s="16" t="str">
        <f aca="false">IF(AK151=0,"",COUNT($G151:$I151))</f>
        <v/>
      </c>
      <c r="AN151" s="14" t="str">
        <f aca="false">IF(AK151=0,"",IFERROR(SMALL($G151:$I151,1),""))</f>
        <v/>
      </c>
      <c r="AO151" s="14" t="str">
        <f aca="false">IF(AK151=0,"",IFERROR(SMALL($G151:$I151,2),""))</f>
        <v/>
      </c>
      <c r="AP151" s="14" t="str">
        <f aca="false">IF(AK151=0,"",IFERROR(SMALL($G151:$I151,3),""))</f>
        <v/>
      </c>
      <c r="AQ151" s="16" t="str">
        <f aca="false">IF(AK151=0,"",IF(AN151="","",IF(AN151=$H151,"Part-Time",IF(AN151=$I151,"Full-Time","Casual"))))</f>
        <v/>
      </c>
      <c r="AR151" s="16" t="str">
        <f aca="false">IF(AK151=0,"",IF(AO151="","",IF(AO151=$H151,"Part-Time",IF(AO151=$I151,"Full-Time","Casual"))))</f>
        <v/>
      </c>
      <c r="AS151" s="16" t="str">
        <f aca="false">IF(AK151=0,"",IF(AP151="","",IF(AP151=$H151,"Part-Time",IF(AP151=$I151,"Full-Time","Casual"))))</f>
        <v/>
      </c>
      <c r="AT151" s="16" t="str">
        <f aca="false">IF(AK151=0,"",IF(AM151=0,IF(OR(ISNUMBER(SEARCH("full",$C151)),UPPER(TRIM($C151))="FT",UPPER(TRIM($C151))="FTE"),"FT",IF(AND(OR(ISNUMBER(SEARCH("part",$C151)),UPPER(TRIM($C151))="PT",UPPER(TRIM($C151))="PTE"),Apply2026="Yes",OR($P151="",N($P151)&gt;=PT_MinHours)),"PT","None")),IF(OR(ISNUMBER(SEARCH("full",AQ151)),UPPER(TRIM(AQ151))="FT",UPPER(TRIM(AQ151))="FTE"),"FT",IF(AND(OR(ISNUMBER(SEARCH("part",AQ151)),UPPER(TRIM(AQ151))="PT",UPPER(TRIM(AQ151))="PTE"),Apply2026="Yes",OR($P151="",N($P151)&gt;=PT_MinHours)),"PT","None"))))</f>
        <v/>
      </c>
      <c r="AU151" s="16" t="str">
        <f aca="false">IF(AK151=0,"",IF(AM151&lt;2,"",IF(OR(ISNUMBER(SEARCH("full",AR151)),UPPER(TRIM(AR151))="FT",UPPER(TRIM(AR151))="FTE"),"FT",IF(AND(OR(ISNUMBER(SEARCH("part",AR151)),UPPER(TRIM(AR151))="PT",UPPER(TRIM(AR151))="PTE"),Apply2026="Yes",OR($P151="",N($P151)&gt;=PT_MinHours)),"PT","None"))))</f>
        <v/>
      </c>
      <c r="AV151" s="16" t="str">
        <f aca="false">IF(AK151=0,"",IF(AM151&lt;3,"",IF(OR(ISNUMBER(SEARCH("full",AS151)),UPPER(TRIM(AS151))="FT",UPPER(TRIM(AS151))="FTE"),"FT",IF(AND(OR(ISNUMBER(SEARCH("part",AS151)),UPPER(TRIM(AS151))="PT",UPPER(TRIM(AS151))="PTE"),Apply2026="Yes",OR($P151="",N($P151)&gt;=PT_MinHours)),"PT","None"))))</f>
        <v/>
      </c>
      <c r="AW151" s="16" t="str">
        <f aca="false">IF(AK151=0,"",IF(AND(AM151&gt;=3,AP151&lt;=AsOfDate),AV151,IF(AND(AM151&gt;=2,AO151&lt;=AsOfDate),AU151,AT151)))</f>
        <v/>
      </c>
      <c r="AX151" s="16" t="str">
        <f aca="false">IF(AK151=0,"",IF(AsOfDate&lt;AL151,-1,12*(YEAR(AsOfDate)-YEAR(AL151))+MONTH(AsOfDate)-MONTH(AL151)-IF(DAY(AsOfDate)&lt;MIN(DAY(AL151),DAY(EOMONTH(AsOfDate,0))),1,0)))</f>
        <v/>
      </c>
      <c r="AY151" s="16" t="str">
        <f aca="false">IF(AK151=0,"",IF(OR(AM151&lt;2,AO151&gt;AsOfDate),AX151,IF((AO151-1)&lt;AL151,-1,12*(YEAR((AO151-1))-YEAR(AL151))+MONTH((AO151-1))-MONTH(AL151)-IF(DAY((AO151-1))&lt;MIN(DAY(AL151),DAY(EOMONTH((AO151-1),0))),1,0))))</f>
        <v/>
      </c>
      <c r="AZ151" s="16" t="str">
        <f aca="false">IF(AK151=0,"",IF(OR(AM151&lt;3,AP151&gt;AsOfDate),AX151,IF((AP151-1)&lt;AL151,-1,12*(YEAR((AP151-1))-YEAR(AL151))+MONTH((AP151-1))-MONTH(AL151)-IF(DAY((AP151-1))&lt;MIN(DAY(AL151),DAY(EOMONTH((AP151-1),0))),1,0))))</f>
        <v/>
      </c>
      <c r="BA151" s="16" t="str">
        <f aca="false">IF(AK151=0,"",IF(PFYDate&lt;AL151,-1,12*(YEAR(PFYDate)-YEAR(AL151))+MONTH(PFYDate)-MONTH(AL151)-IF(DAY(PFYDate)&lt;MIN(DAY(AL151),DAY(EOMONTH(PFYDate,0))),1,0)))</f>
        <v/>
      </c>
      <c r="BB151" s="16" t="str">
        <f aca="false">IF(AK151=0,"",IF(OR(AM151&lt;2,AO151&gt;PFYDate),BA151,IF((AO151-1)&lt;AL151,-1,12*(YEAR((AO151-1))-YEAR(AL151))+MONTH((AO151-1))-MONTH(AL151)-IF(DAY((AO151-1))&lt;MIN(DAY(AL151),DAY(EOMONTH((AO151-1),0))),1,0))))</f>
        <v/>
      </c>
      <c r="BC151" s="16" t="str">
        <f aca="false">IF(AK151=0,"",IF(OR(AM151&lt;3,AP151&gt;PFYDate),BA151,IF((AP151-1)&lt;AL151,-1,12*(YEAR((AP151-1))-YEAR(AL151))+MONTH((AP151-1))-MONTH(AL151)-IF(DAY((AP151-1))&lt;MIN(DAY(AL151),DAY(EOMONTH((AP151-1),0))),1,0))))</f>
        <v/>
      </c>
      <c r="BD151" s="16" t="str">
        <f aca="false">IF(AK151=0,"",IF(AT151="FT",IF(AY151&lt;FT_First,0,IF(AY151&lt;FT_Y5,1+INT((AY151-FT_First)/FT_Int1),FT_PreY5+FT_PerYear*INT((AY151-FT_Y5)/12)+FT_AnnivDays+INT(MOD(AY151-FT_Y5,12)/FT_Int2)-IF(EDATE(AL151,FT_Y5)&lt;PolicyEff,FT_AnnivDays-1,0))),IF(AT151="PT",IF(AY151&lt;PT_First,0,1+INT((AY151-PT_First)/PT_Int)),0))+IF(AND(AM151&gt;=2,AO151&lt;=AsOfDate),IF(AU151="FT",IF(AZ151&lt;FT_First,0,IF(AZ151&lt;FT_Y5,1+INT((AZ151-FT_First)/FT_Int1),FT_PreY5+FT_PerYear*INT((AZ151-FT_Y5)/12)+FT_AnnivDays+INT(MOD(AZ151-FT_Y5,12)/FT_Int2)-IF(EDATE(AL151,FT_Y5)&lt;PolicyEff,FT_AnnivDays-1,0))),IF(AU151="PT",IF(AZ151&lt;PT_First,0,1+INT((AZ151-PT_First)/PT_Int)),0))-IF(AU151="FT",IF(AY151&lt;FT_First,0,IF(AY151&lt;FT_Y5,1+INT((AY151-FT_First)/FT_Int1),FT_PreY5+FT_PerYear*INT((AY151-FT_Y5)/12)+FT_AnnivDays+INT(MOD(AY151-FT_Y5,12)/FT_Int2)-IF(EDATE(AL151,FT_Y5)&lt;PolicyEff,FT_AnnivDays-1,0))),IF(AU151="PT",IF(AY151&lt;PT_First,0,1+INT((AY151-PT_First)/PT_Int)),0)),0)+IF(AND(AM151&gt;=3,AP151&lt;=AsOfDate),IF(AV151="FT",IF(AX151&lt;FT_First,0,IF(AX151&lt;FT_Y5,1+INT((AX151-FT_First)/FT_Int1),FT_PreY5+FT_PerYear*INT((AX151-FT_Y5)/12)+FT_AnnivDays+INT(MOD(AX151-FT_Y5,12)/FT_Int2)-IF(EDATE(AL151,FT_Y5)&lt;PolicyEff,FT_AnnivDays-1,0))),IF(AV151="PT",IF(AX151&lt;PT_First,0,1+INT((AX151-PT_First)/PT_Int)),0))-IF(AV151="FT",IF(AZ151&lt;FT_First,0,IF(AZ151&lt;FT_Y5,1+INT((AZ151-FT_First)/FT_Int1),FT_PreY5+FT_PerYear*INT((AZ151-FT_Y5)/12)+FT_AnnivDays+INT(MOD(AZ151-FT_Y5,12)/FT_Int2)-IF(EDATE(AL151,FT_Y5)&lt;PolicyEff,FT_AnnivDays-1,0))),IF(AV151="PT",IF(AZ151&lt;PT_First,0,1+INT((AZ151-PT_First)/PT_Int)),0)),0))</f>
        <v/>
      </c>
      <c r="BE151" s="16" t="str">
        <f aca="false">IF(AK151=0,"",IF(AT151="FT",IF(BB151&lt;FT_First,0,IF(BB151&lt;FT_Y5,1+INT((BB151-FT_First)/FT_Int1),FT_PreY5+FT_PerYear*INT((BB151-FT_Y5)/12)+FT_AnnivDays+INT(MOD(BB151-FT_Y5,12)/FT_Int2)-IF(EDATE(AL151,FT_Y5)&lt;PolicyEff,FT_AnnivDays-1,0))),IF(AT151="PT",IF(BB151&lt;PT_First,0,1+INT((BB151-PT_First)/PT_Int)),0))+IF(AND(AM151&gt;=2,AO151&lt;=PFYDate),IF(AU151="FT",IF(BC151&lt;FT_First,0,IF(BC151&lt;FT_Y5,1+INT((BC151-FT_First)/FT_Int1),FT_PreY5+FT_PerYear*INT((BC151-FT_Y5)/12)+FT_AnnivDays+INT(MOD(BC151-FT_Y5,12)/FT_Int2)-IF(EDATE(AL151,FT_Y5)&lt;PolicyEff,FT_AnnivDays-1,0))),IF(AU151="PT",IF(BC151&lt;PT_First,0,1+INT((BC151-PT_First)/PT_Int)),0))-IF(AU151="FT",IF(BB151&lt;FT_First,0,IF(BB151&lt;FT_Y5,1+INT((BB151-FT_First)/FT_Int1),FT_PreY5+FT_PerYear*INT((BB151-FT_Y5)/12)+FT_AnnivDays+INT(MOD(BB151-FT_Y5,12)/FT_Int2)-IF(EDATE(AL151,FT_Y5)&lt;PolicyEff,FT_AnnivDays-1,0))),IF(AU151="PT",IF(BB151&lt;PT_First,0,1+INT((BB151-PT_First)/PT_Int)),0)),0)+IF(AND(AM151&gt;=3,AP151&lt;=PFYDate),IF(AV151="FT",IF(BA151&lt;FT_First,0,IF(BA151&lt;FT_Y5,1+INT((BA151-FT_First)/FT_Int1),FT_PreY5+FT_PerYear*INT((BA151-FT_Y5)/12)+FT_AnnivDays+INT(MOD(BA151-FT_Y5,12)/FT_Int2)-IF(EDATE(AL151,FT_Y5)&lt;PolicyEff,FT_AnnivDays-1,0))),IF(AV151="PT",IF(BA151&lt;PT_First,0,1+INT((BA151-PT_First)/PT_Int)),0))-IF(AV151="FT",IF(BC151&lt;FT_First,0,IF(BC151&lt;FT_Y5,1+INT((BC151-FT_First)/FT_Int1),FT_PreY5+FT_PerYear*INT((BC151-FT_Y5)/12)+FT_AnnivDays+INT(MOD(BC151-FT_Y5,12)/FT_Int2)-IF(EDATE(AL151,FT_Y5)&lt;PolicyEff,FT_AnnivDays-1,0))),IF(AV151="PT",IF(BC151&lt;PT_First,0,1+INT((BC151-PT_First)/PT_Int)),0)),0))</f>
        <v/>
      </c>
      <c r="BF151" s="16" t="str">
        <f aca="false">IF(AK151=0,"",IF(AW151="FT",IF(AX151&lt;FT_First,FT_First,IF(AX151&lt;FT_Y5,MIN(FT_Y5,FT_First+FT_Int1*(INT((AX151-FT_First)/FT_Int1)+1)),FT_Y5+12*INT((AX151-FT_Y5)/12)+FT_Int2*(INT(MOD(AX151-FT_Y5,12)/FT_Int2)+1))),IF(AW151="PT",IF(AX151&lt;PT_First,PT_First,PT_First+PT_Int*(INT((AX151-PT_First)/PT_Int)+1)),"")))</f>
        <v/>
      </c>
      <c r="BG151" s="16" t="str">
        <f aca="false">IF(AK151=0,"",IF(NOT(LH_Ready),0,COUNTIFS(INDEX(LH_Data,0,LH_ColFirst),$A151,INDEX(LH_Data,0,LH_ColSur),$B151,INDEX(LH_Data,0,LH_ColCat),BonusCat)))</f>
        <v/>
      </c>
      <c r="BH151" s="16" t="str">
        <f aca="false">IF(AK151=0,"",IF(OR(NOT(LH_Ready),BG151=0),0,SUMPRODUCT(MAX((INDEX(LH_Data,0,LH_ColFirst)=$A151)*(INDEX(LH_Data,0,LH_ColSur)=$B151)*(INDEX(LH_Data,0,LH_ColCat)=BonusCat)*ROW(LH_Data)))))</f>
        <v/>
      </c>
      <c r="BI151" s="16" t="str">
        <f aca="false">IF(AK151=0,"",IF(EOMONTH(AsOfDate,-1)&lt;AL151,-1,12*(YEAR(EOMONTH(AsOfDate,-1))-YEAR(AL151))+MONTH(EOMONTH(AsOfDate,-1))-MONTH(AL151)-IF(DAY(EOMONTH(AsOfDate,-1))&lt;MIN(DAY(AL151),DAY(EOMONTH(EOMONTH(AsOfDate,-1),0))),1,0)))</f>
        <v/>
      </c>
      <c r="BJ151" s="16" t="str">
        <f aca="false">IF(AK151=0,"",IF(OR(AM151&lt;2,AO151&gt;EOMONTH(AsOfDate,-1)),BI151,IF((AO151-1)&lt;AL151,-1,12*(YEAR((AO151-1))-YEAR(AL151))+MONTH((AO151-1))-MONTH(AL151)-IF(DAY((AO151-1))&lt;MIN(DAY(AL151),DAY(EOMONTH((AO151-1),0))),1,0))))</f>
        <v/>
      </c>
      <c r="BK151" s="16" t="str">
        <f aca="false">IF(AK151=0,"",IF(OR(AM151&lt;3,AP151&gt;EOMONTH(AsOfDate,-1)),BI151,IF((AP151-1)&lt;AL151,-1,12*(YEAR((AP151-1))-YEAR(AL151))+MONTH((AP151-1))-MONTH(AL151)-IF(DAY((AP151-1))&lt;MIN(DAY(AL151),DAY(EOMONTH((AP151-1),0))),1,0))))</f>
        <v/>
      </c>
      <c r="BL151" s="16" t="str">
        <f aca="false">IF(AK151=0,"",IF(AT151="FT",IF(BJ151&lt;FT_First,0,IF(BJ151&lt;FT_Y5,1+INT((BJ151-FT_First)/FT_Int1),FT_PreY5+FT_PerYear*INT((BJ151-FT_Y5)/12)+FT_AnnivDays+INT(MOD(BJ151-FT_Y5,12)/FT_Int2)-IF(EDATE(AL151,FT_Y5)&lt;PolicyEff,FT_AnnivDays-1,0))),IF(AT151="PT",IF(BJ151&lt;PT_First,0,1+INT((BJ151-PT_First)/PT_Int)),0))+IF(AND(AM151&gt;=2,AO151&lt;=EOMONTH(AsOfDate,-1)),IF(AU151="FT",IF(BK151&lt;FT_First,0,IF(BK151&lt;FT_Y5,1+INT((BK151-FT_First)/FT_Int1),FT_PreY5+FT_PerYear*INT((BK151-FT_Y5)/12)+FT_AnnivDays+INT(MOD(BK151-FT_Y5,12)/FT_Int2)-IF(EDATE(AL151,FT_Y5)&lt;PolicyEff,FT_AnnivDays-1,0))),IF(AU151="PT",IF(BK151&lt;PT_First,0,1+INT((BK151-PT_First)/PT_Int)),0))-IF(AU151="FT",IF(BJ151&lt;FT_First,0,IF(BJ151&lt;FT_Y5,1+INT((BJ151-FT_First)/FT_Int1),FT_PreY5+FT_PerYear*INT((BJ151-FT_Y5)/12)+FT_AnnivDays+INT(MOD(BJ151-FT_Y5,12)/FT_Int2)-IF(EDATE(AL151,FT_Y5)&lt;PolicyEff,FT_AnnivDays-1,0))),IF(AU151="PT",IF(BJ151&lt;PT_First,0,1+INT((BJ151-PT_First)/PT_Int)),0)),0)+IF(AND(AM151&gt;=3,AP151&lt;=EOMONTH(AsOfDate,-1)),IF(AV151="FT",IF(BI151&lt;FT_First,0,IF(BI151&lt;FT_Y5,1+INT((BI151-FT_First)/FT_Int1),FT_PreY5+FT_PerYear*INT((BI151-FT_Y5)/12)+FT_AnnivDays+INT(MOD(BI151-FT_Y5,12)/FT_Int2)-IF(EDATE(AL151,FT_Y5)&lt;PolicyEff,FT_AnnivDays-1,0))),IF(AV151="PT",IF(BI151&lt;PT_First,0,1+INT((BI151-PT_First)/PT_Int)),0))-IF(AV151="FT",IF(BK151&lt;FT_First,0,IF(BK151&lt;FT_Y5,1+INT((BK151-FT_First)/FT_Int1),FT_PreY5+FT_PerYear*INT((BK151-FT_Y5)/12)+FT_AnnivDays+INT(MOD(BK151-FT_Y5,12)/FT_Int2)-IF(EDATE(AL151,FT_Y5)&lt;PolicyEff,FT_AnnivDays-1,0))),IF(AV151="PT",IF(BK151&lt;PT_First,0,1+INT((BK151-PT_First)/PT_Int)),0)),0))</f>
        <v/>
      </c>
      <c r="BM151" s="16" t="str">
        <f aca="false">IF(AK151=0,"",IF(AW151="FT",IF(AX151&lt;FT_First,"",IF(AX151&lt;FT_Y5,FT_First+FT_Int1*INT((AX151-FT_First)/FT_Int1),FT_Y5+FT_Int2*INT((AX151-FT_Y5)/FT_Int2))),IF(AW151="PT",IF(AX151&lt;PT_First,"",PT_First+PT_Int*INT((AX151-PT_First)/PT_Int)),"")))</f>
        <v/>
      </c>
      <c r="BN151" s="16" t="str">
        <f aca="false">IF(AK151=0,"",IF((SchemeStart-1)&lt;AL151,-1,12*(YEAR((SchemeStart-1))-YEAR(AL151))+MONTH((SchemeStart-1))-MONTH(AL151)-IF(DAY((SchemeStart-1))&lt;MIN(DAY(AL151),DAY(EOMONTH((SchemeStart-1),0))),1,0)))</f>
        <v/>
      </c>
      <c r="BO151" s="16" t="str">
        <f aca="false">IF(AK151=0,"",IF(OR(AM151&lt;2,AO151&gt;(SchemeStart-1)),BN151,IF((AO151-1)&lt;AL151,-1,12*(YEAR((AO151-1))-YEAR(AL151))+MONTH((AO151-1))-MONTH(AL151)-IF(DAY((AO151-1))&lt;MIN(DAY(AL151),DAY(EOMONTH((AO151-1),0))),1,0))))</f>
        <v/>
      </c>
      <c r="BP151" s="16" t="str">
        <f aca="false">IF(AK151=0,"",IF(OR(AM151&lt;3,AP151&gt;(SchemeStart-1)),BN151,IF((AP151-1)&lt;AL151,-1,12*(YEAR((AP151-1))-YEAR(AL151))+MONTH((AP151-1))-MONTH(AL151)-IF(DAY((AP151-1))&lt;MIN(DAY(AL151),DAY(EOMONTH((AP151-1),0))),1,0))))</f>
        <v/>
      </c>
      <c r="BQ151" s="16" t="str">
        <f aca="false">IF(AK151=0,"",IF(AT151="FT",IF(BO151&lt;FT_First,0,IF(BO151&lt;FT_Y5,1+INT((BO151-FT_First)/FT_Int1),FT_PreY5+FT_PerYear*INT((BO151-FT_Y5)/12)+FT_AnnivDays+INT(MOD(BO151-FT_Y5,12)/FT_Int2)-IF(EDATE(AL151,FT_Y5)&lt;PolicyEff,FT_AnnivDays-1,0))),IF(AT151="PT",IF(BO151&lt;PT_First,0,1+INT((BO151-PT_First)/PT_Int)),0))+IF(AND(AM151&gt;=2,AO151&lt;=(SchemeStart-1)),IF(AU151="FT",IF(BP151&lt;FT_First,0,IF(BP151&lt;FT_Y5,1+INT((BP151-FT_First)/FT_Int1),FT_PreY5+FT_PerYear*INT((BP151-FT_Y5)/12)+FT_AnnivDays+INT(MOD(BP151-FT_Y5,12)/FT_Int2)-IF(EDATE(AL151,FT_Y5)&lt;PolicyEff,FT_AnnivDays-1,0))),IF(AU151="PT",IF(BP151&lt;PT_First,0,1+INT((BP151-PT_First)/PT_Int)),0))-IF(AU151="FT",IF(BO151&lt;FT_First,0,IF(BO151&lt;FT_Y5,1+INT((BO151-FT_First)/FT_Int1),FT_PreY5+FT_PerYear*INT((BO151-FT_Y5)/12)+FT_AnnivDays+INT(MOD(BO151-FT_Y5,12)/FT_Int2)-IF(EDATE(AL151,FT_Y5)&lt;PolicyEff,FT_AnnivDays-1,0))),IF(AU151="PT",IF(BO151&lt;PT_First,0,1+INT((BO151-PT_First)/PT_Int)),0)),0)+IF(AND(AM151&gt;=3,AP151&lt;=(SchemeStart-1)),IF(AV151="FT",IF(BN151&lt;FT_First,0,IF(BN151&lt;FT_Y5,1+INT((BN151-FT_First)/FT_Int1),FT_PreY5+FT_PerYear*INT((BN151-FT_Y5)/12)+FT_AnnivDays+INT(MOD(BN151-FT_Y5,12)/FT_Int2)-IF(EDATE(AL151,FT_Y5)&lt;PolicyEff,FT_AnnivDays-1,0))),IF(AV151="PT",IF(BN151&lt;PT_First,0,1+INT((BN151-PT_First)/PT_Int)),0))-IF(AV151="FT",IF(BP151&lt;FT_First,0,IF(BP151&lt;FT_Y5,1+INT((BP151-FT_First)/FT_Int1),FT_PreY5+FT_PerYear*INT((BP151-FT_Y5)/12)+FT_AnnivDays+INT(MOD(BP151-FT_Y5,12)/FT_Int2)-IF(EDATE(AL151,FT_Y5)&lt;PolicyEff,FT_AnnivDays-1,0))),IF(AV151="PT",IF(BP151&lt;PT_First,0,1+INT((BP151-PT_First)/PT_Int)),0)),0))</f>
        <v/>
      </c>
      <c r="BR151" s="0" t="str">
        <f aca="false">IF(LEN($A151&amp;$B151)=0,"",$A151&amp;" "&amp;$B151)</f>
        <v/>
      </c>
    </row>
    <row r="152" customFormat="false" ht="15" hidden="false" customHeight="false" outlineLevel="0" collapsed="false">
      <c r="A152" s="12"/>
      <c r="B152" s="12"/>
      <c r="C152" s="12"/>
      <c r="D152" s="13"/>
      <c r="E152" s="14" t="str">
        <f aca="false">IF(OR(AK152=0,$D152=""),"",DATE(YEAR(AsOfDate)+IF(DATE(YEAR(AsOfDate),MONTH($D152),DAY($D152))&lt;=AsOfDate,1,0),MONTH($D152),DAY($D152)))</f>
        <v/>
      </c>
      <c r="F152" s="13"/>
      <c r="G152" s="13"/>
      <c r="H152" s="13"/>
      <c r="I152" s="13"/>
      <c r="J152" s="13"/>
      <c r="K152" s="14" t="str">
        <f aca="false">IF(AK152=0,"",DATE(YEAR(AsOfDate)+IF(DATE(YEAR(AsOfDate),MONTH(AL152),DAY(AL152))&lt;=AsOfDate,1,0),MONTH(AL152),DAY(AL152)))</f>
        <v/>
      </c>
      <c r="L152" s="15" t="str">
        <f aca="false">IF(AK152=0,"",ROUND((AsOfDate-AL152)/365.25,1))</f>
        <v/>
      </c>
      <c r="M152" s="16" t="str">
        <f aca="false">IF(AK152=0,"",IF(AsOfDate&lt;AL152,"-",DATEDIF(AL152,AsOfDate,"y")&amp;"y "&amp;DATEDIF(AL152,AsOfDate,"ym")&amp;"m "&amp;DATEDIF(AL152,AsOfDate,"md")&amp;"d"))</f>
        <v/>
      </c>
      <c r="N152" s="17" t="str">
        <f aca="false">IF(AK152=0,"",O152*HoursPerDay)</f>
        <v/>
      </c>
      <c r="O152" s="17" t="str">
        <f aca="false">IF(AK152=0,"",MAX(0,BD152-BQ152))</f>
        <v/>
      </c>
      <c r="P152" s="18"/>
      <c r="Q152" s="16" t="str">
        <f aca="false">IF(AK152=0,"",IF(AM152&lt;2,"",AQ152&amp;" to "&amp;AR152&amp;" on "&amp;TEXT(AO152,"dd/mm/yyyy")&amp;IF(AO152&gt;AsOfDate," (future)",IF(AT152=AU152,"",IF(AU152="None"," - STOPPED accruing",IF(AT152="None"," - commencement for Bonus Leave"," - pathway changed"))))&amp;IF(AM152&lt;3,"","; "&amp;AR152&amp;" to "&amp;AS152&amp;" on "&amp;TEXT(AP152,"dd/mm/yyyy")&amp;IF(AP152&gt;AsOfDate," (future)",IF(AU152=AV152,"",IF(AV152="None"," - STOPPED accruing",IF(AU152="None"," - commencement for Bonus Leave"," - pathway changed")))))))</f>
        <v/>
      </c>
      <c r="R152" s="16" t="str">
        <f aca="false">IF(AK152=0,"",IF(AW152="None",IF(O152&gt;0,"No longer accruing","Not eligible - "&amp;IF(AND(OR(ISNUMBER(SEARCH("part",$C152)),UPPER(TRIM($C152))="PT",UPPER(TRIM($C152))="PTE"),Apply2026="No"),"part-time (scheme is full-time only)",IF(AND(OR(ISNUMBER(SEARCH("part",$C152)),UPPER(TRIM($C152))="PT",UPPER(TRIM($C152))="PTE"),$P152&lt;&gt;"",N($P152)&lt;PT_MinHours),"under "&amp;PT_MinHours&amp;" hrs",IF(IF($C152="","",IF(OR(ISNUMBER(SEARCH("full",$C152)),UPPER(TRIM($C152))="FT",UPPER(TRIM($C152))="FTE"),"Full-Time",IF(OR(ISNUMBER(SEARCH("part",$C152)),UPPER(TRIM($C152))="PT",UPPER(TRIM($C152))="PTE"),"Part-Time",IF(OR(ISNUMBER(SEARCH("cas",$C152)),UPPER(TRIM($C152))="CAS"),"Casual","Unknown"))))="Unknown","type not recognised",$C152)))),IF(O152&gt;0,"Yes - Accrual Required","Not yet - from "&amp;TEXT(S152,"dd/mm/yyyy"))))</f>
        <v/>
      </c>
      <c r="S152" s="14" t="str">
        <f aca="false">IF(AK152=0,"",IF(AW152="None","",EDATE(AL152,BF152)))</f>
        <v/>
      </c>
      <c r="T152" s="17" t="str">
        <f aca="false">IF(AK152=0,"",IF(NOT(LH_Ready),"",IF($F152&gt;PFYDate,0,IF(LH_ColPeriod=0,W152-U152+V152,SUMIFS(INDEX(LH_Data,0,LH_ColAcc),INDEX(LH_Data,0,LH_ColFirst),$A152,INDEX(LH_Data,0,LH_ColSur),$B152,INDEX(LH_Data,0,LH_ColCat),BonusCat,INDEX(LH_Data,0,LH_ColPeriod),LH_OpenLabel)*UnitFactor))))</f>
        <v/>
      </c>
      <c r="U152" s="17" t="str">
        <f aca="false">IF(AK152=0,"",IF(NOT(LH_Ready),"",SUMIFS(INDEX(LH_Data,0,LH_ColAcc),INDEX(LH_Data,0,LH_ColFirst),$A152,INDEX(LH_Data,0,LH_ColSur),$B152,INDEX(LH_Data,0,LH_ColCat),BonusCat,INDEX(LH_Data,0,LH_ColStart),"&gt;="&amp;AL152)*UnitFactor))</f>
        <v/>
      </c>
      <c r="V152" s="17" t="str">
        <f aca="false">IF(AK152=0,"",IF(NOT(LH_Ready),"",SUMIFS(INDEX(LH_Data,0,LH_ColTaken),INDEX(LH_Data,0,LH_ColFirst),$A152,INDEX(LH_Data,0,LH_ColSur),$B152,INDEX(LH_Data,0,LH_ColCat),BonusCat,INDEX(LH_Data,0,LH_ColStart),"&gt;="&amp;AL152)*UnitFactor))</f>
        <v/>
      </c>
      <c r="W152" s="17" t="str">
        <f aca="false">IF(AK152=0,"",IF(NOT(LH_Ready),"",IF(BH152=0,0,INDEX(INDEX(LH_Data,0,LH_ColClose),BH152-1)*UnitFactor)))</f>
        <v/>
      </c>
      <c r="X152" s="17" t="str">
        <f aca="false">IF(AK152=0,"",(MAX(0,BD152-BQ152)-MAX(0,BE152-BQ152))*HoursPerDay)</f>
        <v/>
      </c>
      <c r="Y152" s="17" t="str">
        <f aca="false">IF(AK152=0,"",IF(NOT(LH_Ready),"",IF($AI152="Yes",N(AE152)*HoursPerDay-SUMIFS(INDEX(LH_Data,0,LH_ColAcc),INDEX(LH_Data,0,LH_ColFirst),$A152,INDEX(LH_Data,0,LH_ColSur),$B152,INDEX(LH_Data,0,LH_ColCat),BonusCat,INDEX(LH_Data,0,LH_ColStart),"&gt;="&amp;(EOMONTH(AsOfDate,-1)+1),INDEX(LH_Data,0,LH_ColStart),"&lt;="&amp;AsOfDate)*UnitFactor,IF(BG152=0,N152,N152-N(T152)-N(U152)))))</f>
        <v/>
      </c>
      <c r="Z152" s="16" t="str">
        <f aca="false">IF(OR(AK152=0,Y152=""),"",IF(Y152&gt;0,"Yes","No"))</f>
        <v/>
      </c>
      <c r="AA152" s="16" t="str">
        <f aca="false">IF(AK152=0,IF(LEN($A152&amp;$B152)=0,"","FIX INPUT - StartDate missing"),IF(AD152&lt;&gt;"","FIX INPUT - "&amp;AD152,IF(NOT(LH_Ready),"Paste Leave History export (Settings must show YES)",IF(AND($AI152="Yes",Y152&lt;=0),"OK - EH balance accepted to date"&amp;IF(N(AH152)&gt;0," (EH holds "&amp;AH152&amp;" hrs over the scheme)","")&amp;"; next day "&amp;TEXT(S152,"dd mmm yy")&amp;IF(N(AE152)&gt;0," ("&amp;AE152&amp;" day(s) for "&amp;UPPER(TEXT(AsOfDate,"mmm yyyy"))&amp;" already in EH)",""),IF(Y152&gt;0,"ACCRUE "&amp;ROUND(Y152,2)&amp;" hrs ("&amp;ROUND(Y152/HoursPerDay,2)&amp;" days): "&amp;IF(N(AE152)&gt;0,AE152&amp;" day(s) for "&amp;UPPER(TEXT(AsOfDate,"mmm yyyy"))&amp;" (milestone "&amp;UPPER(TEXT(AF152,"dd mmm yy"))&amp;")"&amp;IF(Y152/HoursPerDay&gt;AE152+0.001," + "&amp;ROUND(Y152/HoursPerDay-AE152,2)&amp;" day(s) catch-up from earlier months",""),"all catch-up from earlier months, nothing new this month")&amp;IF(BG152=0,"; no Bonus Leave in EH yet",""),IF(Y152&lt;0,"CHECK - EH accrued "&amp;ROUND(-Y152,2)&amp;" hrs more than policy since commencement",IF(N(W152)&gt;O152*HoursPerDay+0.01,"CHECK - EH balance "&amp;ROUND(W152-O152*HoursPerDay,2)&amp;" hrs more than policy entitlement",IF(O152&gt;0,"OK - nothing to add"&amp;IF(N(AE152)&gt;0," ("&amp;AE152&amp;" day(s) for "&amp;UPPER(TEXT(AsOfDate,"mmm yyyy"))&amp;" already in EH)",""),IF(AW152="None",R152,"Not yet - first day on "&amp;TEXT(S152,"dd/mm/yyyy"))))))))))</f>
        <v/>
      </c>
      <c r="AB152" s="17" t="str">
        <f aca="false">IF(OR(AK152=0,T152=""),"",MAX(0,BE152-BQ152)*HoursPerDay-T152)</f>
        <v/>
      </c>
      <c r="AC152" s="16" t="str">
        <f aca="false">IF(AK152=0,"",BG152)</f>
        <v/>
      </c>
      <c r="AD152" s="16" t="str">
        <f aca="false">IF(AK152=0,"",TRIM(IF(OR(ISTEXT($F152),ISTEXT($H152),ISTEXT($I152),ISTEXT($G152),ISTEXT($J152),ISTEXT($D152)),"A date is typed as text - retype it as dd/mm/yyyy. ","")&amp;IF(IF($C152="","",IF(OR(ISNUMBER(SEARCH("full",$C152)),UPPER(TRIM($C152))="FT",UPPER(TRIM($C152))="FTE"),"Full-Time",IF(OR(ISNUMBER(SEARCH("part",$C152)),UPPER(TRIM($C152))="PT",UPPER(TRIM($C152))="PTE"),"Part-Time",IF(OR(ISNUMBER(SEARCH("cas",$C152)),UPPER(TRIM($C152))="CAS"),"Casual","Unknown"))))="Unknown","EmploymentType not recognised - use Full-Time, Part-Time or Casual. ","")&amp;IF(AND(AM152&gt;=1,IF(AM152&gt;=3,AS152,IF(AM152=2,AR152,AQ152))&lt;&gt;IF($C152="","",IF(OR(ISNUMBER(SEARCH("full",$C152)),UPPER(TRIM($C152))="FT",UPPER(TRIM($C152))="FTE"),"Full-Time",IF(OR(ISNUMBER(SEARCH("part",$C152)),UPPER(TRIM($C152))="PT",UPPER(TRIM($C152))="PTE"),"Part-Time",IF(OR(ISNUMBER(SEARCH("cas",$C152)),UPPER(TRIM($C152))="CAS"),"Casual","Unknown"))))),"EmploymentType does not match latest start date ("&amp;IF(AM152&gt;=3,AS152,IF(AM152=2,AR152,AQ152))&amp;"). ","")&amp;IF(AND(AM152&gt;=1,AN152&lt;&gt;$F152),"Earliest type date should equal StartDate. ","")&amp;IF(AND(AM152&gt;=2,AN152=AO152),"Two types start on the same date. ","")&amp;IF(AND(OR(ISNUMBER(SEARCH("part",$C152)),UPPER(TRIM($C152))="PT",UPPER(TRIM($C152))="PTE"),$P152=""),"Part-time: enter PT Hrs/Week (blank = 24+). ","")))</f>
        <v/>
      </c>
      <c r="AE152" s="17" t="str">
        <f aca="false">IF(AK152=0,"",O152-MAX(0,BL152-BQ152))</f>
        <v/>
      </c>
      <c r="AF152" s="14" t="str">
        <f aca="false">IF(OR(AK152=0,AE152="",N(AE152)=0,BM152=""),"",EDATE(AL152,BM152))</f>
        <v/>
      </c>
      <c r="AG152" s="17" t="str">
        <f aca="false">IF(AK152=0,"",MIN(BD152,BQ152))</f>
        <v/>
      </c>
      <c r="AH152" s="17" t="str">
        <f aca="false">IF(AK152=0,"",IF(NOT(LH_Ready),"",IF(BG152=0,0,MAX(0,ROUND(N(T152)+N(U152)-N152,2)))))</f>
        <v/>
      </c>
      <c r="AI152" s="12"/>
      <c r="AJ152" s="12"/>
      <c r="AK152" s="16" t="n">
        <f aca="false">IF(OR(LEN($A152&amp;$B152)=0,$F152=""),0,1)</f>
        <v>0</v>
      </c>
      <c r="AL152" s="14" t="str">
        <f aca="false">IF(AK152=0,"",IF(PreSchemeCounts="No",MAX(SchemeStart,IF($J152&lt;&gt;"",$J152,IF(OR(CasualCounts="Yes",COUNT($G152:$I152)=0),$F152,IF(Apply2026="No",IF($I152="",$F152,$I152),IF(COUNT($H152:$I152)=0,$F152,MIN($H152:$I152)))))),IF($J152&lt;&gt;"",$J152,IF(OR(CasualCounts="Yes",COUNT($G152:$I152)=0),$F152,IF(Apply2026="No",IF($I152="",$F152,$I152),IF(COUNT($H152:$I152)=0,$F152,MIN($H152:$I152)))))))</f>
        <v/>
      </c>
      <c r="AM152" s="16" t="str">
        <f aca="false">IF(AK152=0,"",COUNT($G152:$I152))</f>
        <v/>
      </c>
      <c r="AN152" s="14" t="str">
        <f aca="false">IF(AK152=0,"",IFERROR(SMALL($G152:$I152,1),""))</f>
        <v/>
      </c>
      <c r="AO152" s="14" t="str">
        <f aca="false">IF(AK152=0,"",IFERROR(SMALL($G152:$I152,2),""))</f>
        <v/>
      </c>
      <c r="AP152" s="14" t="str">
        <f aca="false">IF(AK152=0,"",IFERROR(SMALL($G152:$I152,3),""))</f>
        <v/>
      </c>
      <c r="AQ152" s="16" t="str">
        <f aca="false">IF(AK152=0,"",IF(AN152="","",IF(AN152=$H152,"Part-Time",IF(AN152=$I152,"Full-Time","Casual"))))</f>
        <v/>
      </c>
      <c r="AR152" s="16" t="str">
        <f aca="false">IF(AK152=0,"",IF(AO152="","",IF(AO152=$H152,"Part-Time",IF(AO152=$I152,"Full-Time","Casual"))))</f>
        <v/>
      </c>
      <c r="AS152" s="16" t="str">
        <f aca="false">IF(AK152=0,"",IF(AP152="","",IF(AP152=$H152,"Part-Time",IF(AP152=$I152,"Full-Time","Casual"))))</f>
        <v/>
      </c>
      <c r="AT152" s="16" t="str">
        <f aca="false">IF(AK152=0,"",IF(AM152=0,IF(OR(ISNUMBER(SEARCH("full",$C152)),UPPER(TRIM($C152))="FT",UPPER(TRIM($C152))="FTE"),"FT",IF(AND(OR(ISNUMBER(SEARCH("part",$C152)),UPPER(TRIM($C152))="PT",UPPER(TRIM($C152))="PTE"),Apply2026="Yes",OR($P152="",N($P152)&gt;=PT_MinHours)),"PT","None")),IF(OR(ISNUMBER(SEARCH("full",AQ152)),UPPER(TRIM(AQ152))="FT",UPPER(TRIM(AQ152))="FTE"),"FT",IF(AND(OR(ISNUMBER(SEARCH("part",AQ152)),UPPER(TRIM(AQ152))="PT",UPPER(TRIM(AQ152))="PTE"),Apply2026="Yes",OR($P152="",N($P152)&gt;=PT_MinHours)),"PT","None"))))</f>
        <v/>
      </c>
      <c r="AU152" s="16" t="str">
        <f aca="false">IF(AK152=0,"",IF(AM152&lt;2,"",IF(OR(ISNUMBER(SEARCH("full",AR152)),UPPER(TRIM(AR152))="FT",UPPER(TRIM(AR152))="FTE"),"FT",IF(AND(OR(ISNUMBER(SEARCH("part",AR152)),UPPER(TRIM(AR152))="PT",UPPER(TRIM(AR152))="PTE"),Apply2026="Yes",OR($P152="",N($P152)&gt;=PT_MinHours)),"PT","None"))))</f>
        <v/>
      </c>
      <c r="AV152" s="16" t="str">
        <f aca="false">IF(AK152=0,"",IF(AM152&lt;3,"",IF(OR(ISNUMBER(SEARCH("full",AS152)),UPPER(TRIM(AS152))="FT",UPPER(TRIM(AS152))="FTE"),"FT",IF(AND(OR(ISNUMBER(SEARCH("part",AS152)),UPPER(TRIM(AS152))="PT",UPPER(TRIM(AS152))="PTE"),Apply2026="Yes",OR($P152="",N($P152)&gt;=PT_MinHours)),"PT","None"))))</f>
        <v/>
      </c>
      <c r="AW152" s="16" t="str">
        <f aca="false">IF(AK152=0,"",IF(AND(AM152&gt;=3,AP152&lt;=AsOfDate),AV152,IF(AND(AM152&gt;=2,AO152&lt;=AsOfDate),AU152,AT152)))</f>
        <v/>
      </c>
      <c r="AX152" s="16" t="str">
        <f aca="false">IF(AK152=0,"",IF(AsOfDate&lt;AL152,-1,12*(YEAR(AsOfDate)-YEAR(AL152))+MONTH(AsOfDate)-MONTH(AL152)-IF(DAY(AsOfDate)&lt;MIN(DAY(AL152),DAY(EOMONTH(AsOfDate,0))),1,0)))</f>
        <v/>
      </c>
      <c r="AY152" s="16" t="str">
        <f aca="false">IF(AK152=0,"",IF(OR(AM152&lt;2,AO152&gt;AsOfDate),AX152,IF((AO152-1)&lt;AL152,-1,12*(YEAR((AO152-1))-YEAR(AL152))+MONTH((AO152-1))-MONTH(AL152)-IF(DAY((AO152-1))&lt;MIN(DAY(AL152),DAY(EOMONTH((AO152-1),0))),1,0))))</f>
        <v/>
      </c>
      <c r="AZ152" s="16" t="str">
        <f aca="false">IF(AK152=0,"",IF(OR(AM152&lt;3,AP152&gt;AsOfDate),AX152,IF((AP152-1)&lt;AL152,-1,12*(YEAR((AP152-1))-YEAR(AL152))+MONTH((AP152-1))-MONTH(AL152)-IF(DAY((AP152-1))&lt;MIN(DAY(AL152),DAY(EOMONTH((AP152-1),0))),1,0))))</f>
        <v/>
      </c>
      <c r="BA152" s="16" t="str">
        <f aca="false">IF(AK152=0,"",IF(PFYDate&lt;AL152,-1,12*(YEAR(PFYDate)-YEAR(AL152))+MONTH(PFYDate)-MONTH(AL152)-IF(DAY(PFYDate)&lt;MIN(DAY(AL152),DAY(EOMONTH(PFYDate,0))),1,0)))</f>
        <v/>
      </c>
      <c r="BB152" s="16" t="str">
        <f aca="false">IF(AK152=0,"",IF(OR(AM152&lt;2,AO152&gt;PFYDate),BA152,IF((AO152-1)&lt;AL152,-1,12*(YEAR((AO152-1))-YEAR(AL152))+MONTH((AO152-1))-MONTH(AL152)-IF(DAY((AO152-1))&lt;MIN(DAY(AL152),DAY(EOMONTH((AO152-1),0))),1,0))))</f>
        <v/>
      </c>
      <c r="BC152" s="16" t="str">
        <f aca="false">IF(AK152=0,"",IF(OR(AM152&lt;3,AP152&gt;PFYDate),BA152,IF((AP152-1)&lt;AL152,-1,12*(YEAR((AP152-1))-YEAR(AL152))+MONTH((AP152-1))-MONTH(AL152)-IF(DAY((AP152-1))&lt;MIN(DAY(AL152),DAY(EOMONTH((AP152-1),0))),1,0))))</f>
        <v/>
      </c>
      <c r="BD152" s="16" t="str">
        <f aca="false">IF(AK152=0,"",IF(AT152="FT",IF(AY152&lt;FT_First,0,IF(AY152&lt;FT_Y5,1+INT((AY152-FT_First)/FT_Int1),FT_PreY5+FT_PerYear*INT((AY152-FT_Y5)/12)+FT_AnnivDays+INT(MOD(AY152-FT_Y5,12)/FT_Int2)-IF(EDATE(AL152,FT_Y5)&lt;PolicyEff,FT_AnnivDays-1,0))),IF(AT152="PT",IF(AY152&lt;PT_First,0,1+INT((AY152-PT_First)/PT_Int)),0))+IF(AND(AM152&gt;=2,AO152&lt;=AsOfDate),IF(AU152="FT",IF(AZ152&lt;FT_First,0,IF(AZ152&lt;FT_Y5,1+INT((AZ152-FT_First)/FT_Int1),FT_PreY5+FT_PerYear*INT((AZ152-FT_Y5)/12)+FT_AnnivDays+INT(MOD(AZ152-FT_Y5,12)/FT_Int2)-IF(EDATE(AL152,FT_Y5)&lt;PolicyEff,FT_AnnivDays-1,0))),IF(AU152="PT",IF(AZ152&lt;PT_First,0,1+INT((AZ152-PT_First)/PT_Int)),0))-IF(AU152="FT",IF(AY152&lt;FT_First,0,IF(AY152&lt;FT_Y5,1+INT((AY152-FT_First)/FT_Int1),FT_PreY5+FT_PerYear*INT((AY152-FT_Y5)/12)+FT_AnnivDays+INT(MOD(AY152-FT_Y5,12)/FT_Int2)-IF(EDATE(AL152,FT_Y5)&lt;PolicyEff,FT_AnnivDays-1,0))),IF(AU152="PT",IF(AY152&lt;PT_First,0,1+INT((AY152-PT_First)/PT_Int)),0)),0)+IF(AND(AM152&gt;=3,AP152&lt;=AsOfDate),IF(AV152="FT",IF(AX152&lt;FT_First,0,IF(AX152&lt;FT_Y5,1+INT((AX152-FT_First)/FT_Int1),FT_PreY5+FT_PerYear*INT((AX152-FT_Y5)/12)+FT_AnnivDays+INT(MOD(AX152-FT_Y5,12)/FT_Int2)-IF(EDATE(AL152,FT_Y5)&lt;PolicyEff,FT_AnnivDays-1,0))),IF(AV152="PT",IF(AX152&lt;PT_First,0,1+INT((AX152-PT_First)/PT_Int)),0))-IF(AV152="FT",IF(AZ152&lt;FT_First,0,IF(AZ152&lt;FT_Y5,1+INT((AZ152-FT_First)/FT_Int1),FT_PreY5+FT_PerYear*INT((AZ152-FT_Y5)/12)+FT_AnnivDays+INT(MOD(AZ152-FT_Y5,12)/FT_Int2)-IF(EDATE(AL152,FT_Y5)&lt;PolicyEff,FT_AnnivDays-1,0))),IF(AV152="PT",IF(AZ152&lt;PT_First,0,1+INT((AZ152-PT_First)/PT_Int)),0)),0))</f>
        <v/>
      </c>
      <c r="BE152" s="16" t="str">
        <f aca="false">IF(AK152=0,"",IF(AT152="FT",IF(BB152&lt;FT_First,0,IF(BB152&lt;FT_Y5,1+INT((BB152-FT_First)/FT_Int1),FT_PreY5+FT_PerYear*INT((BB152-FT_Y5)/12)+FT_AnnivDays+INT(MOD(BB152-FT_Y5,12)/FT_Int2)-IF(EDATE(AL152,FT_Y5)&lt;PolicyEff,FT_AnnivDays-1,0))),IF(AT152="PT",IF(BB152&lt;PT_First,0,1+INT((BB152-PT_First)/PT_Int)),0))+IF(AND(AM152&gt;=2,AO152&lt;=PFYDate),IF(AU152="FT",IF(BC152&lt;FT_First,0,IF(BC152&lt;FT_Y5,1+INT((BC152-FT_First)/FT_Int1),FT_PreY5+FT_PerYear*INT((BC152-FT_Y5)/12)+FT_AnnivDays+INT(MOD(BC152-FT_Y5,12)/FT_Int2)-IF(EDATE(AL152,FT_Y5)&lt;PolicyEff,FT_AnnivDays-1,0))),IF(AU152="PT",IF(BC152&lt;PT_First,0,1+INT((BC152-PT_First)/PT_Int)),0))-IF(AU152="FT",IF(BB152&lt;FT_First,0,IF(BB152&lt;FT_Y5,1+INT((BB152-FT_First)/FT_Int1),FT_PreY5+FT_PerYear*INT((BB152-FT_Y5)/12)+FT_AnnivDays+INT(MOD(BB152-FT_Y5,12)/FT_Int2)-IF(EDATE(AL152,FT_Y5)&lt;PolicyEff,FT_AnnivDays-1,0))),IF(AU152="PT",IF(BB152&lt;PT_First,0,1+INT((BB152-PT_First)/PT_Int)),0)),0)+IF(AND(AM152&gt;=3,AP152&lt;=PFYDate),IF(AV152="FT",IF(BA152&lt;FT_First,0,IF(BA152&lt;FT_Y5,1+INT((BA152-FT_First)/FT_Int1),FT_PreY5+FT_PerYear*INT((BA152-FT_Y5)/12)+FT_AnnivDays+INT(MOD(BA152-FT_Y5,12)/FT_Int2)-IF(EDATE(AL152,FT_Y5)&lt;PolicyEff,FT_AnnivDays-1,0))),IF(AV152="PT",IF(BA152&lt;PT_First,0,1+INT((BA152-PT_First)/PT_Int)),0))-IF(AV152="FT",IF(BC152&lt;FT_First,0,IF(BC152&lt;FT_Y5,1+INT((BC152-FT_First)/FT_Int1),FT_PreY5+FT_PerYear*INT((BC152-FT_Y5)/12)+FT_AnnivDays+INT(MOD(BC152-FT_Y5,12)/FT_Int2)-IF(EDATE(AL152,FT_Y5)&lt;PolicyEff,FT_AnnivDays-1,0))),IF(AV152="PT",IF(BC152&lt;PT_First,0,1+INT((BC152-PT_First)/PT_Int)),0)),0))</f>
        <v/>
      </c>
      <c r="BF152" s="16" t="str">
        <f aca="false">IF(AK152=0,"",IF(AW152="FT",IF(AX152&lt;FT_First,FT_First,IF(AX152&lt;FT_Y5,MIN(FT_Y5,FT_First+FT_Int1*(INT((AX152-FT_First)/FT_Int1)+1)),FT_Y5+12*INT((AX152-FT_Y5)/12)+FT_Int2*(INT(MOD(AX152-FT_Y5,12)/FT_Int2)+1))),IF(AW152="PT",IF(AX152&lt;PT_First,PT_First,PT_First+PT_Int*(INT((AX152-PT_First)/PT_Int)+1)),"")))</f>
        <v/>
      </c>
      <c r="BG152" s="16" t="str">
        <f aca="false">IF(AK152=0,"",IF(NOT(LH_Ready),0,COUNTIFS(INDEX(LH_Data,0,LH_ColFirst),$A152,INDEX(LH_Data,0,LH_ColSur),$B152,INDEX(LH_Data,0,LH_ColCat),BonusCat)))</f>
        <v/>
      </c>
      <c r="BH152" s="16" t="str">
        <f aca="false">IF(AK152=0,"",IF(OR(NOT(LH_Ready),BG152=0),0,SUMPRODUCT(MAX((INDEX(LH_Data,0,LH_ColFirst)=$A152)*(INDEX(LH_Data,0,LH_ColSur)=$B152)*(INDEX(LH_Data,0,LH_ColCat)=BonusCat)*ROW(LH_Data)))))</f>
        <v/>
      </c>
      <c r="BI152" s="16" t="str">
        <f aca="false">IF(AK152=0,"",IF(EOMONTH(AsOfDate,-1)&lt;AL152,-1,12*(YEAR(EOMONTH(AsOfDate,-1))-YEAR(AL152))+MONTH(EOMONTH(AsOfDate,-1))-MONTH(AL152)-IF(DAY(EOMONTH(AsOfDate,-1))&lt;MIN(DAY(AL152),DAY(EOMONTH(EOMONTH(AsOfDate,-1),0))),1,0)))</f>
        <v/>
      </c>
      <c r="BJ152" s="16" t="str">
        <f aca="false">IF(AK152=0,"",IF(OR(AM152&lt;2,AO152&gt;EOMONTH(AsOfDate,-1)),BI152,IF((AO152-1)&lt;AL152,-1,12*(YEAR((AO152-1))-YEAR(AL152))+MONTH((AO152-1))-MONTH(AL152)-IF(DAY((AO152-1))&lt;MIN(DAY(AL152),DAY(EOMONTH((AO152-1),0))),1,0))))</f>
        <v/>
      </c>
      <c r="BK152" s="16" t="str">
        <f aca="false">IF(AK152=0,"",IF(OR(AM152&lt;3,AP152&gt;EOMONTH(AsOfDate,-1)),BI152,IF((AP152-1)&lt;AL152,-1,12*(YEAR((AP152-1))-YEAR(AL152))+MONTH((AP152-1))-MONTH(AL152)-IF(DAY((AP152-1))&lt;MIN(DAY(AL152),DAY(EOMONTH((AP152-1),0))),1,0))))</f>
        <v/>
      </c>
      <c r="BL152" s="16" t="str">
        <f aca="false">IF(AK152=0,"",IF(AT152="FT",IF(BJ152&lt;FT_First,0,IF(BJ152&lt;FT_Y5,1+INT((BJ152-FT_First)/FT_Int1),FT_PreY5+FT_PerYear*INT((BJ152-FT_Y5)/12)+FT_AnnivDays+INT(MOD(BJ152-FT_Y5,12)/FT_Int2)-IF(EDATE(AL152,FT_Y5)&lt;PolicyEff,FT_AnnivDays-1,0))),IF(AT152="PT",IF(BJ152&lt;PT_First,0,1+INT((BJ152-PT_First)/PT_Int)),0))+IF(AND(AM152&gt;=2,AO152&lt;=EOMONTH(AsOfDate,-1)),IF(AU152="FT",IF(BK152&lt;FT_First,0,IF(BK152&lt;FT_Y5,1+INT((BK152-FT_First)/FT_Int1),FT_PreY5+FT_PerYear*INT((BK152-FT_Y5)/12)+FT_AnnivDays+INT(MOD(BK152-FT_Y5,12)/FT_Int2)-IF(EDATE(AL152,FT_Y5)&lt;PolicyEff,FT_AnnivDays-1,0))),IF(AU152="PT",IF(BK152&lt;PT_First,0,1+INT((BK152-PT_First)/PT_Int)),0))-IF(AU152="FT",IF(BJ152&lt;FT_First,0,IF(BJ152&lt;FT_Y5,1+INT((BJ152-FT_First)/FT_Int1),FT_PreY5+FT_PerYear*INT((BJ152-FT_Y5)/12)+FT_AnnivDays+INT(MOD(BJ152-FT_Y5,12)/FT_Int2)-IF(EDATE(AL152,FT_Y5)&lt;PolicyEff,FT_AnnivDays-1,0))),IF(AU152="PT",IF(BJ152&lt;PT_First,0,1+INT((BJ152-PT_First)/PT_Int)),0)),0)+IF(AND(AM152&gt;=3,AP152&lt;=EOMONTH(AsOfDate,-1)),IF(AV152="FT",IF(BI152&lt;FT_First,0,IF(BI152&lt;FT_Y5,1+INT((BI152-FT_First)/FT_Int1),FT_PreY5+FT_PerYear*INT((BI152-FT_Y5)/12)+FT_AnnivDays+INT(MOD(BI152-FT_Y5,12)/FT_Int2)-IF(EDATE(AL152,FT_Y5)&lt;PolicyEff,FT_AnnivDays-1,0))),IF(AV152="PT",IF(BI152&lt;PT_First,0,1+INT((BI152-PT_First)/PT_Int)),0))-IF(AV152="FT",IF(BK152&lt;FT_First,0,IF(BK152&lt;FT_Y5,1+INT((BK152-FT_First)/FT_Int1),FT_PreY5+FT_PerYear*INT((BK152-FT_Y5)/12)+FT_AnnivDays+INT(MOD(BK152-FT_Y5,12)/FT_Int2)-IF(EDATE(AL152,FT_Y5)&lt;PolicyEff,FT_AnnivDays-1,0))),IF(AV152="PT",IF(BK152&lt;PT_First,0,1+INT((BK152-PT_First)/PT_Int)),0)),0))</f>
        <v/>
      </c>
      <c r="BM152" s="16" t="str">
        <f aca="false">IF(AK152=0,"",IF(AW152="FT",IF(AX152&lt;FT_First,"",IF(AX152&lt;FT_Y5,FT_First+FT_Int1*INT((AX152-FT_First)/FT_Int1),FT_Y5+FT_Int2*INT((AX152-FT_Y5)/FT_Int2))),IF(AW152="PT",IF(AX152&lt;PT_First,"",PT_First+PT_Int*INT((AX152-PT_First)/PT_Int)),"")))</f>
        <v/>
      </c>
      <c r="BN152" s="16" t="str">
        <f aca="false">IF(AK152=0,"",IF((SchemeStart-1)&lt;AL152,-1,12*(YEAR((SchemeStart-1))-YEAR(AL152))+MONTH((SchemeStart-1))-MONTH(AL152)-IF(DAY((SchemeStart-1))&lt;MIN(DAY(AL152),DAY(EOMONTH((SchemeStart-1),0))),1,0)))</f>
        <v/>
      </c>
      <c r="BO152" s="16" t="str">
        <f aca="false">IF(AK152=0,"",IF(OR(AM152&lt;2,AO152&gt;(SchemeStart-1)),BN152,IF((AO152-1)&lt;AL152,-1,12*(YEAR((AO152-1))-YEAR(AL152))+MONTH((AO152-1))-MONTH(AL152)-IF(DAY((AO152-1))&lt;MIN(DAY(AL152),DAY(EOMONTH((AO152-1),0))),1,0))))</f>
        <v/>
      </c>
      <c r="BP152" s="16" t="str">
        <f aca="false">IF(AK152=0,"",IF(OR(AM152&lt;3,AP152&gt;(SchemeStart-1)),BN152,IF((AP152-1)&lt;AL152,-1,12*(YEAR((AP152-1))-YEAR(AL152))+MONTH((AP152-1))-MONTH(AL152)-IF(DAY((AP152-1))&lt;MIN(DAY(AL152),DAY(EOMONTH((AP152-1),0))),1,0))))</f>
        <v/>
      </c>
      <c r="BQ152" s="16" t="str">
        <f aca="false">IF(AK152=0,"",IF(AT152="FT",IF(BO152&lt;FT_First,0,IF(BO152&lt;FT_Y5,1+INT((BO152-FT_First)/FT_Int1),FT_PreY5+FT_PerYear*INT((BO152-FT_Y5)/12)+FT_AnnivDays+INT(MOD(BO152-FT_Y5,12)/FT_Int2)-IF(EDATE(AL152,FT_Y5)&lt;PolicyEff,FT_AnnivDays-1,0))),IF(AT152="PT",IF(BO152&lt;PT_First,0,1+INT((BO152-PT_First)/PT_Int)),0))+IF(AND(AM152&gt;=2,AO152&lt;=(SchemeStart-1)),IF(AU152="FT",IF(BP152&lt;FT_First,0,IF(BP152&lt;FT_Y5,1+INT((BP152-FT_First)/FT_Int1),FT_PreY5+FT_PerYear*INT((BP152-FT_Y5)/12)+FT_AnnivDays+INT(MOD(BP152-FT_Y5,12)/FT_Int2)-IF(EDATE(AL152,FT_Y5)&lt;PolicyEff,FT_AnnivDays-1,0))),IF(AU152="PT",IF(BP152&lt;PT_First,0,1+INT((BP152-PT_First)/PT_Int)),0))-IF(AU152="FT",IF(BO152&lt;FT_First,0,IF(BO152&lt;FT_Y5,1+INT((BO152-FT_First)/FT_Int1),FT_PreY5+FT_PerYear*INT((BO152-FT_Y5)/12)+FT_AnnivDays+INT(MOD(BO152-FT_Y5,12)/FT_Int2)-IF(EDATE(AL152,FT_Y5)&lt;PolicyEff,FT_AnnivDays-1,0))),IF(AU152="PT",IF(BO152&lt;PT_First,0,1+INT((BO152-PT_First)/PT_Int)),0)),0)+IF(AND(AM152&gt;=3,AP152&lt;=(SchemeStart-1)),IF(AV152="FT",IF(BN152&lt;FT_First,0,IF(BN152&lt;FT_Y5,1+INT((BN152-FT_First)/FT_Int1),FT_PreY5+FT_PerYear*INT((BN152-FT_Y5)/12)+FT_AnnivDays+INT(MOD(BN152-FT_Y5,12)/FT_Int2)-IF(EDATE(AL152,FT_Y5)&lt;PolicyEff,FT_AnnivDays-1,0))),IF(AV152="PT",IF(BN152&lt;PT_First,0,1+INT((BN152-PT_First)/PT_Int)),0))-IF(AV152="FT",IF(BP152&lt;FT_First,0,IF(BP152&lt;FT_Y5,1+INT((BP152-FT_First)/FT_Int1),FT_PreY5+FT_PerYear*INT((BP152-FT_Y5)/12)+FT_AnnivDays+INT(MOD(BP152-FT_Y5,12)/FT_Int2)-IF(EDATE(AL152,FT_Y5)&lt;PolicyEff,FT_AnnivDays-1,0))),IF(AV152="PT",IF(BP152&lt;PT_First,0,1+INT((BP152-PT_First)/PT_Int)),0)),0))</f>
        <v/>
      </c>
      <c r="BR152" s="0" t="str">
        <f aca="false">IF(LEN($A152&amp;$B152)=0,"",$A152&amp;" "&amp;$B152)</f>
        <v/>
      </c>
    </row>
    <row r="153" customFormat="false" ht="15" hidden="false" customHeight="false" outlineLevel="0" collapsed="false">
      <c r="A153" s="12"/>
      <c r="B153" s="12"/>
      <c r="C153" s="12"/>
      <c r="D153" s="13"/>
      <c r="E153" s="14" t="str">
        <f aca="false">IF(OR(AK153=0,$D153=""),"",DATE(YEAR(AsOfDate)+IF(DATE(YEAR(AsOfDate),MONTH($D153),DAY($D153))&lt;=AsOfDate,1,0),MONTH($D153),DAY($D153)))</f>
        <v/>
      </c>
      <c r="F153" s="13"/>
      <c r="G153" s="13"/>
      <c r="H153" s="13"/>
      <c r="I153" s="13"/>
      <c r="J153" s="13"/>
      <c r="K153" s="14" t="str">
        <f aca="false">IF(AK153=0,"",DATE(YEAR(AsOfDate)+IF(DATE(YEAR(AsOfDate),MONTH(AL153),DAY(AL153))&lt;=AsOfDate,1,0),MONTH(AL153),DAY(AL153)))</f>
        <v/>
      </c>
      <c r="L153" s="15" t="str">
        <f aca="false">IF(AK153=0,"",ROUND((AsOfDate-AL153)/365.25,1))</f>
        <v/>
      </c>
      <c r="M153" s="16" t="str">
        <f aca="false">IF(AK153=0,"",IF(AsOfDate&lt;AL153,"-",DATEDIF(AL153,AsOfDate,"y")&amp;"y "&amp;DATEDIF(AL153,AsOfDate,"ym")&amp;"m "&amp;DATEDIF(AL153,AsOfDate,"md")&amp;"d"))</f>
        <v/>
      </c>
      <c r="N153" s="17" t="str">
        <f aca="false">IF(AK153=0,"",O153*HoursPerDay)</f>
        <v/>
      </c>
      <c r="O153" s="17" t="str">
        <f aca="false">IF(AK153=0,"",MAX(0,BD153-BQ153))</f>
        <v/>
      </c>
      <c r="P153" s="18"/>
      <c r="Q153" s="16" t="str">
        <f aca="false">IF(AK153=0,"",IF(AM153&lt;2,"",AQ153&amp;" to "&amp;AR153&amp;" on "&amp;TEXT(AO153,"dd/mm/yyyy")&amp;IF(AO153&gt;AsOfDate," (future)",IF(AT153=AU153,"",IF(AU153="None"," - STOPPED accruing",IF(AT153="None"," - commencement for Bonus Leave"," - pathway changed"))))&amp;IF(AM153&lt;3,"","; "&amp;AR153&amp;" to "&amp;AS153&amp;" on "&amp;TEXT(AP153,"dd/mm/yyyy")&amp;IF(AP153&gt;AsOfDate," (future)",IF(AU153=AV153,"",IF(AV153="None"," - STOPPED accruing",IF(AU153="None"," - commencement for Bonus Leave"," - pathway changed")))))))</f>
        <v/>
      </c>
      <c r="R153" s="16" t="str">
        <f aca="false">IF(AK153=0,"",IF(AW153="None",IF(O153&gt;0,"No longer accruing","Not eligible - "&amp;IF(AND(OR(ISNUMBER(SEARCH("part",$C153)),UPPER(TRIM($C153))="PT",UPPER(TRIM($C153))="PTE"),Apply2026="No"),"part-time (scheme is full-time only)",IF(AND(OR(ISNUMBER(SEARCH("part",$C153)),UPPER(TRIM($C153))="PT",UPPER(TRIM($C153))="PTE"),$P153&lt;&gt;"",N($P153)&lt;PT_MinHours),"under "&amp;PT_MinHours&amp;" hrs",IF(IF($C153="","",IF(OR(ISNUMBER(SEARCH("full",$C153)),UPPER(TRIM($C153))="FT",UPPER(TRIM($C153))="FTE"),"Full-Time",IF(OR(ISNUMBER(SEARCH("part",$C153)),UPPER(TRIM($C153))="PT",UPPER(TRIM($C153))="PTE"),"Part-Time",IF(OR(ISNUMBER(SEARCH("cas",$C153)),UPPER(TRIM($C153))="CAS"),"Casual","Unknown"))))="Unknown","type not recognised",$C153)))),IF(O153&gt;0,"Yes - Accrual Required","Not yet - from "&amp;TEXT(S153,"dd/mm/yyyy"))))</f>
        <v/>
      </c>
      <c r="S153" s="14" t="str">
        <f aca="false">IF(AK153=0,"",IF(AW153="None","",EDATE(AL153,BF153)))</f>
        <v/>
      </c>
      <c r="T153" s="17" t="str">
        <f aca="false">IF(AK153=0,"",IF(NOT(LH_Ready),"",IF($F153&gt;PFYDate,0,IF(LH_ColPeriod=0,W153-U153+V153,SUMIFS(INDEX(LH_Data,0,LH_ColAcc),INDEX(LH_Data,0,LH_ColFirst),$A153,INDEX(LH_Data,0,LH_ColSur),$B153,INDEX(LH_Data,0,LH_ColCat),BonusCat,INDEX(LH_Data,0,LH_ColPeriod),LH_OpenLabel)*UnitFactor))))</f>
        <v/>
      </c>
      <c r="U153" s="17" t="str">
        <f aca="false">IF(AK153=0,"",IF(NOT(LH_Ready),"",SUMIFS(INDEX(LH_Data,0,LH_ColAcc),INDEX(LH_Data,0,LH_ColFirst),$A153,INDEX(LH_Data,0,LH_ColSur),$B153,INDEX(LH_Data,0,LH_ColCat),BonusCat,INDEX(LH_Data,0,LH_ColStart),"&gt;="&amp;AL153)*UnitFactor))</f>
        <v/>
      </c>
      <c r="V153" s="17" t="str">
        <f aca="false">IF(AK153=0,"",IF(NOT(LH_Ready),"",SUMIFS(INDEX(LH_Data,0,LH_ColTaken),INDEX(LH_Data,0,LH_ColFirst),$A153,INDEX(LH_Data,0,LH_ColSur),$B153,INDEX(LH_Data,0,LH_ColCat),BonusCat,INDEX(LH_Data,0,LH_ColStart),"&gt;="&amp;AL153)*UnitFactor))</f>
        <v/>
      </c>
      <c r="W153" s="17" t="str">
        <f aca="false">IF(AK153=0,"",IF(NOT(LH_Ready),"",IF(BH153=0,0,INDEX(INDEX(LH_Data,0,LH_ColClose),BH153-1)*UnitFactor)))</f>
        <v/>
      </c>
      <c r="X153" s="17" t="str">
        <f aca="false">IF(AK153=0,"",(MAX(0,BD153-BQ153)-MAX(0,BE153-BQ153))*HoursPerDay)</f>
        <v/>
      </c>
      <c r="Y153" s="17" t="str">
        <f aca="false">IF(AK153=0,"",IF(NOT(LH_Ready),"",IF($AI153="Yes",N(AE153)*HoursPerDay-SUMIFS(INDEX(LH_Data,0,LH_ColAcc),INDEX(LH_Data,0,LH_ColFirst),$A153,INDEX(LH_Data,0,LH_ColSur),$B153,INDEX(LH_Data,0,LH_ColCat),BonusCat,INDEX(LH_Data,0,LH_ColStart),"&gt;="&amp;(EOMONTH(AsOfDate,-1)+1),INDEX(LH_Data,0,LH_ColStart),"&lt;="&amp;AsOfDate)*UnitFactor,IF(BG153=0,N153,N153-N(T153)-N(U153)))))</f>
        <v/>
      </c>
      <c r="Z153" s="16" t="str">
        <f aca="false">IF(OR(AK153=0,Y153=""),"",IF(Y153&gt;0,"Yes","No"))</f>
        <v/>
      </c>
      <c r="AA153" s="16" t="str">
        <f aca="false">IF(AK153=0,IF(LEN($A153&amp;$B153)=0,"","FIX INPUT - StartDate missing"),IF(AD153&lt;&gt;"","FIX INPUT - "&amp;AD153,IF(NOT(LH_Ready),"Paste Leave History export (Settings must show YES)",IF(AND($AI153="Yes",Y153&lt;=0),"OK - EH balance accepted to date"&amp;IF(N(AH153)&gt;0," (EH holds "&amp;AH153&amp;" hrs over the scheme)","")&amp;"; next day "&amp;TEXT(S153,"dd mmm yy")&amp;IF(N(AE153)&gt;0," ("&amp;AE153&amp;" day(s) for "&amp;UPPER(TEXT(AsOfDate,"mmm yyyy"))&amp;" already in EH)",""),IF(Y153&gt;0,"ACCRUE "&amp;ROUND(Y153,2)&amp;" hrs ("&amp;ROUND(Y153/HoursPerDay,2)&amp;" days): "&amp;IF(N(AE153)&gt;0,AE153&amp;" day(s) for "&amp;UPPER(TEXT(AsOfDate,"mmm yyyy"))&amp;" (milestone "&amp;UPPER(TEXT(AF153,"dd mmm yy"))&amp;")"&amp;IF(Y153/HoursPerDay&gt;AE153+0.001," + "&amp;ROUND(Y153/HoursPerDay-AE153,2)&amp;" day(s) catch-up from earlier months",""),"all catch-up from earlier months, nothing new this month")&amp;IF(BG153=0,"; no Bonus Leave in EH yet",""),IF(Y153&lt;0,"CHECK - EH accrued "&amp;ROUND(-Y153,2)&amp;" hrs more than policy since commencement",IF(N(W153)&gt;O153*HoursPerDay+0.01,"CHECK - EH balance "&amp;ROUND(W153-O153*HoursPerDay,2)&amp;" hrs more than policy entitlement",IF(O153&gt;0,"OK - nothing to add"&amp;IF(N(AE153)&gt;0," ("&amp;AE153&amp;" day(s) for "&amp;UPPER(TEXT(AsOfDate,"mmm yyyy"))&amp;" already in EH)",""),IF(AW153="None",R153,"Not yet - first day on "&amp;TEXT(S153,"dd/mm/yyyy"))))))))))</f>
        <v/>
      </c>
      <c r="AB153" s="17" t="str">
        <f aca="false">IF(OR(AK153=0,T153=""),"",MAX(0,BE153-BQ153)*HoursPerDay-T153)</f>
        <v/>
      </c>
      <c r="AC153" s="16" t="str">
        <f aca="false">IF(AK153=0,"",BG153)</f>
        <v/>
      </c>
      <c r="AD153" s="16" t="str">
        <f aca="false">IF(AK153=0,"",TRIM(IF(OR(ISTEXT($F153),ISTEXT($H153),ISTEXT($I153),ISTEXT($G153),ISTEXT($J153),ISTEXT($D153)),"A date is typed as text - retype it as dd/mm/yyyy. ","")&amp;IF(IF($C153="","",IF(OR(ISNUMBER(SEARCH("full",$C153)),UPPER(TRIM($C153))="FT",UPPER(TRIM($C153))="FTE"),"Full-Time",IF(OR(ISNUMBER(SEARCH("part",$C153)),UPPER(TRIM($C153))="PT",UPPER(TRIM($C153))="PTE"),"Part-Time",IF(OR(ISNUMBER(SEARCH("cas",$C153)),UPPER(TRIM($C153))="CAS"),"Casual","Unknown"))))="Unknown","EmploymentType not recognised - use Full-Time, Part-Time or Casual. ","")&amp;IF(AND(AM153&gt;=1,IF(AM153&gt;=3,AS153,IF(AM153=2,AR153,AQ153))&lt;&gt;IF($C153="","",IF(OR(ISNUMBER(SEARCH("full",$C153)),UPPER(TRIM($C153))="FT",UPPER(TRIM($C153))="FTE"),"Full-Time",IF(OR(ISNUMBER(SEARCH("part",$C153)),UPPER(TRIM($C153))="PT",UPPER(TRIM($C153))="PTE"),"Part-Time",IF(OR(ISNUMBER(SEARCH("cas",$C153)),UPPER(TRIM($C153))="CAS"),"Casual","Unknown"))))),"EmploymentType does not match latest start date ("&amp;IF(AM153&gt;=3,AS153,IF(AM153=2,AR153,AQ153))&amp;"). ","")&amp;IF(AND(AM153&gt;=1,AN153&lt;&gt;$F153),"Earliest type date should equal StartDate. ","")&amp;IF(AND(AM153&gt;=2,AN153=AO153),"Two types start on the same date. ","")&amp;IF(AND(OR(ISNUMBER(SEARCH("part",$C153)),UPPER(TRIM($C153))="PT",UPPER(TRIM($C153))="PTE"),$P153=""),"Part-time: enter PT Hrs/Week (blank = 24+). ","")))</f>
        <v/>
      </c>
      <c r="AE153" s="17" t="str">
        <f aca="false">IF(AK153=0,"",O153-MAX(0,BL153-BQ153))</f>
        <v/>
      </c>
      <c r="AF153" s="14" t="str">
        <f aca="false">IF(OR(AK153=0,AE153="",N(AE153)=0,BM153=""),"",EDATE(AL153,BM153))</f>
        <v/>
      </c>
      <c r="AG153" s="17" t="str">
        <f aca="false">IF(AK153=0,"",MIN(BD153,BQ153))</f>
        <v/>
      </c>
      <c r="AH153" s="17" t="str">
        <f aca="false">IF(AK153=0,"",IF(NOT(LH_Ready),"",IF(BG153=0,0,MAX(0,ROUND(N(T153)+N(U153)-N153,2)))))</f>
        <v/>
      </c>
      <c r="AI153" s="12"/>
      <c r="AJ153" s="12"/>
      <c r="AK153" s="16" t="n">
        <f aca="false">IF(OR(LEN($A153&amp;$B153)=0,$F153=""),0,1)</f>
        <v>0</v>
      </c>
      <c r="AL153" s="14" t="str">
        <f aca="false">IF(AK153=0,"",IF(PreSchemeCounts="No",MAX(SchemeStart,IF($J153&lt;&gt;"",$J153,IF(OR(CasualCounts="Yes",COUNT($G153:$I153)=0),$F153,IF(Apply2026="No",IF($I153="",$F153,$I153),IF(COUNT($H153:$I153)=0,$F153,MIN($H153:$I153)))))),IF($J153&lt;&gt;"",$J153,IF(OR(CasualCounts="Yes",COUNT($G153:$I153)=0),$F153,IF(Apply2026="No",IF($I153="",$F153,$I153),IF(COUNT($H153:$I153)=0,$F153,MIN($H153:$I153)))))))</f>
        <v/>
      </c>
      <c r="AM153" s="16" t="str">
        <f aca="false">IF(AK153=0,"",COUNT($G153:$I153))</f>
        <v/>
      </c>
      <c r="AN153" s="14" t="str">
        <f aca="false">IF(AK153=0,"",IFERROR(SMALL($G153:$I153,1),""))</f>
        <v/>
      </c>
      <c r="AO153" s="14" t="str">
        <f aca="false">IF(AK153=0,"",IFERROR(SMALL($G153:$I153,2),""))</f>
        <v/>
      </c>
      <c r="AP153" s="14" t="str">
        <f aca="false">IF(AK153=0,"",IFERROR(SMALL($G153:$I153,3),""))</f>
        <v/>
      </c>
      <c r="AQ153" s="16" t="str">
        <f aca="false">IF(AK153=0,"",IF(AN153="","",IF(AN153=$H153,"Part-Time",IF(AN153=$I153,"Full-Time","Casual"))))</f>
        <v/>
      </c>
      <c r="AR153" s="16" t="str">
        <f aca="false">IF(AK153=0,"",IF(AO153="","",IF(AO153=$H153,"Part-Time",IF(AO153=$I153,"Full-Time","Casual"))))</f>
        <v/>
      </c>
      <c r="AS153" s="16" t="str">
        <f aca="false">IF(AK153=0,"",IF(AP153="","",IF(AP153=$H153,"Part-Time",IF(AP153=$I153,"Full-Time","Casual"))))</f>
        <v/>
      </c>
      <c r="AT153" s="16" t="str">
        <f aca="false">IF(AK153=0,"",IF(AM153=0,IF(OR(ISNUMBER(SEARCH("full",$C153)),UPPER(TRIM($C153))="FT",UPPER(TRIM($C153))="FTE"),"FT",IF(AND(OR(ISNUMBER(SEARCH("part",$C153)),UPPER(TRIM($C153))="PT",UPPER(TRIM($C153))="PTE"),Apply2026="Yes",OR($P153="",N($P153)&gt;=PT_MinHours)),"PT","None")),IF(OR(ISNUMBER(SEARCH("full",AQ153)),UPPER(TRIM(AQ153))="FT",UPPER(TRIM(AQ153))="FTE"),"FT",IF(AND(OR(ISNUMBER(SEARCH("part",AQ153)),UPPER(TRIM(AQ153))="PT",UPPER(TRIM(AQ153))="PTE"),Apply2026="Yes",OR($P153="",N($P153)&gt;=PT_MinHours)),"PT","None"))))</f>
        <v/>
      </c>
      <c r="AU153" s="16" t="str">
        <f aca="false">IF(AK153=0,"",IF(AM153&lt;2,"",IF(OR(ISNUMBER(SEARCH("full",AR153)),UPPER(TRIM(AR153))="FT",UPPER(TRIM(AR153))="FTE"),"FT",IF(AND(OR(ISNUMBER(SEARCH("part",AR153)),UPPER(TRIM(AR153))="PT",UPPER(TRIM(AR153))="PTE"),Apply2026="Yes",OR($P153="",N($P153)&gt;=PT_MinHours)),"PT","None"))))</f>
        <v/>
      </c>
      <c r="AV153" s="16" t="str">
        <f aca="false">IF(AK153=0,"",IF(AM153&lt;3,"",IF(OR(ISNUMBER(SEARCH("full",AS153)),UPPER(TRIM(AS153))="FT",UPPER(TRIM(AS153))="FTE"),"FT",IF(AND(OR(ISNUMBER(SEARCH("part",AS153)),UPPER(TRIM(AS153))="PT",UPPER(TRIM(AS153))="PTE"),Apply2026="Yes",OR($P153="",N($P153)&gt;=PT_MinHours)),"PT","None"))))</f>
        <v/>
      </c>
      <c r="AW153" s="16" t="str">
        <f aca="false">IF(AK153=0,"",IF(AND(AM153&gt;=3,AP153&lt;=AsOfDate),AV153,IF(AND(AM153&gt;=2,AO153&lt;=AsOfDate),AU153,AT153)))</f>
        <v/>
      </c>
      <c r="AX153" s="16" t="str">
        <f aca="false">IF(AK153=0,"",IF(AsOfDate&lt;AL153,-1,12*(YEAR(AsOfDate)-YEAR(AL153))+MONTH(AsOfDate)-MONTH(AL153)-IF(DAY(AsOfDate)&lt;MIN(DAY(AL153),DAY(EOMONTH(AsOfDate,0))),1,0)))</f>
        <v/>
      </c>
      <c r="AY153" s="16" t="str">
        <f aca="false">IF(AK153=0,"",IF(OR(AM153&lt;2,AO153&gt;AsOfDate),AX153,IF((AO153-1)&lt;AL153,-1,12*(YEAR((AO153-1))-YEAR(AL153))+MONTH((AO153-1))-MONTH(AL153)-IF(DAY((AO153-1))&lt;MIN(DAY(AL153),DAY(EOMONTH((AO153-1),0))),1,0))))</f>
        <v/>
      </c>
      <c r="AZ153" s="16" t="str">
        <f aca="false">IF(AK153=0,"",IF(OR(AM153&lt;3,AP153&gt;AsOfDate),AX153,IF((AP153-1)&lt;AL153,-1,12*(YEAR((AP153-1))-YEAR(AL153))+MONTH((AP153-1))-MONTH(AL153)-IF(DAY((AP153-1))&lt;MIN(DAY(AL153),DAY(EOMONTH((AP153-1),0))),1,0))))</f>
        <v/>
      </c>
      <c r="BA153" s="16" t="str">
        <f aca="false">IF(AK153=0,"",IF(PFYDate&lt;AL153,-1,12*(YEAR(PFYDate)-YEAR(AL153))+MONTH(PFYDate)-MONTH(AL153)-IF(DAY(PFYDate)&lt;MIN(DAY(AL153),DAY(EOMONTH(PFYDate,0))),1,0)))</f>
        <v/>
      </c>
      <c r="BB153" s="16" t="str">
        <f aca="false">IF(AK153=0,"",IF(OR(AM153&lt;2,AO153&gt;PFYDate),BA153,IF((AO153-1)&lt;AL153,-1,12*(YEAR((AO153-1))-YEAR(AL153))+MONTH((AO153-1))-MONTH(AL153)-IF(DAY((AO153-1))&lt;MIN(DAY(AL153),DAY(EOMONTH((AO153-1),0))),1,0))))</f>
        <v/>
      </c>
      <c r="BC153" s="16" t="str">
        <f aca="false">IF(AK153=0,"",IF(OR(AM153&lt;3,AP153&gt;PFYDate),BA153,IF((AP153-1)&lt;AL153,-1,12*(YEAR((AP153-1))-YEAR(AL153))+MONTH((AP153-1))-MONTH(AL153)-IF(DAY((AP153-1))&lt;MIN(DAY(AL153),DAY(EOMONTH((AP153-1),0))),1,0))))</f>
        <v/>
      </c>
      <c r="BD153" s="16" t="str">
        <f aca="false">IF(AK153=0,"",IF(AT153="FT",IF(AY153&lt;FT_First,0,IF(AY153&lt;FT_Y5,1+INT((AY153-FT_First)/FT_Int1),FT_PreY5+FT_PerYear*INT((AY153-FT_Y5)/12)+FT_AnnivDays+INT(MOD(AY153-FT_Y5,12)/FT_Int2)-IF(EDATE(AL153,FT_Y5)&lt;PolicyEff,FT_AnnivDays-1,0))),IF(AT153="PT",IF(AY153&lt;PT_First,0,1+INT((AY153-PT_First)/PT_Int)),0))+IF(AND(AM153&gt;=2,AO153&lt;=AsOfDate),IF(AU153="FT",IF(AZ153&lt;FT_First,0,IF(AZ153&lt;FT_Y5,1+INT((AZ153-FT_First)/FT_Int1),FT_PreY5+FT_PerYear*INT((AZ153-FT_Y5)/12)+FT_AnnivDays+INT(MOD(AZ153-FT_Y5,12)/FT_Int2)-IF(EDATE(AL153,FT_Y5)&lt;PolicyEff,FT_AnnivDays-1,0))),IF(AU153="PT",IF(AZ153&lt;PT_First,0,1+INT((AZ153-PT_First)/PT_Int)),0))-IF(AU153="FT",IF(AY153&lt;FT_First,0,IF(AY153&lt;FT_Y5,1+INT((AY153-FT_First)/FT_Int1),FT_PreY5+FT_PerYear*INT((AY153-FT_Y5)/12)+FT_AnnivDays+INT(MOD(AY153-FT_Y5,12)/FT_Int2)-IF(EDATE(AL153,FT_Y5)&lt;PolicyEff,FT_AnnivDays-1,0))),IF(AU153="PT",IF(AY153&lt;PT_First,0,1+INT((AY153-PT_First)/PT_Int)),0)),0)+IF(AND(AM153&gt;=3,AP153&lt;=AsOfDate),IF(AV153="FT",IF(AX153&lt;FT_First,0,IF(AX153&lt;FT_Y5,1+INT((AX153-FT_First)/FT_Int1),FT_PreY5+FT_PerYear*INT((AX153-FT_Y5)/12)+FT_AnnivDays+INT(MOD(AX153-FT_Y5,12)/FT_Int2)-IF(EDATE(AL153,FT_Y5)&lt;PolicyEff,FT_AnnivDays-1,0))),IF(AV153="PT",IF(AX153&lt;PT_First,0,1+INT((AX153-PT_First)/PT_Int)),0))-IF(AV153="FT",IF(AZ153&lt;FT_First,0,IF(AZ153&lt;FT_Y5,1+INT((AZ153-FT_First)/FT_Int1),FT_PreY5+FT_PerYear*INT((AZ153-FT_Y5)/12)+FT_AnnivDays+INT(MOD(AZ153-FT_Y5,12)/FT_Int2)-IF(EDATE(AL153,FT_Y5)&lt;PolicyEff,FT_AnnivDays-1,0))),IF(AV153="PT",IF(AZ153&lt;PT_First,0,1+INT((AZ153-PT_First)/PT_Int)),0)),0))</f>
        <v/>
      </c>
      <c r="BE153" s="16" t="str">
        <f aca="false">IF(AK153=0,"",IF(AT153="FT",IF(BB153&lt;FT_First,0,IF(BB153&lt;FT_Y5,1+INT((BB153-FT_First)/FT_Int1),FT_PreY5+FT_PerYear*INT((BB153-FT_Y5)/12)+FT_AnnivDays+INT(MOD(BB153-FT_Y5,12)/FT_Int2)-IF(EDATE(AL153,FT_Y5)&lt;PolicyEff,FT_AnnivDays-1,0))),IF(AT153="PT",IF(BB153&lt;PT_First,0,1+INT((BB153-PT_First)/PT_Int)),0))+IF(AND(AM153&gt;=2,AO153&lt;=PFYDate),IF(AU153="FT",IF(BC153&lt;FT_First,0,IF(BC153&lt;FT_Y5,1+INT((BC153-FT_First)/FT_Int1),FT_PreY5+FT_PerYear*INT((BC153-FT_Y5)/12)+FT_AnnivDays+INT(MOD(BC153-FT_Y5,12)/FT_Int2)-IF(EDATE(AL153,FT_Y5)&lt;PolicyEff,FT_AnnivDays-1,0))),IF(AU153="PT",IF(BC153&lt;PT_First,0,1+INT((BC153-PT_First)/PT_Int)),0))-IF(AU153="FT",IF(BB153&lt;FT_First,0,IF(BB153&lt;FT_Y5,1+INT((BB153-FT_First)/FT_Int1),FT_PreY5+FT_PerYear*INT((BB153-FT_Y5)/12)+FT_AnnivDays+INT(MOD(BB153-FT_Y5,12)/FT_Int2)-IF(EDATE(AL153,FT_Y5)&lt;PolicyEff,FT_AnnivDays-1,0))),IF(AU153="PT",IF(BB153&lt;PT_First,0,1+INT((BB153-PT_First)/PT_Int)),0)),0)+IF(AND(AM153&gt;=3,AP153&lt;=PFYDate),IF(AV153="FT",IF(BA153&lt;FT_First,0,IF(BA153&lt;FT_Y5,1+INT((BA153-FT_First)/FT_Int1),FT_PreY5+FT_PerYear*INT((BA153-FT_Y5)/12)+FT_AnnivDays+INT(MOD(BA153-FT_Y5,12)/FT_Int2)-IF(EDATE(AL153,FT_Y5)&lt;PolicyEff,FT_AnnivDays-1,0))),IF(AV153="PT",IF(BA153&lt;PT_First,0,1+INT((BA153-PT_First)/PT_Int)),0))-IF(AV153="FT",IF(BC153&lt;FT_First,0,IF(BC153&lt;FT_Y5,1+INT((BC153-FT_First)/FT_Int1),FT_PreY5+FT_PerYear*INT((BC153-FT_Y5)/12)+FT_AnnivDays+INT(MOD(BC153-FT_Y5,12)/FT_Int2)-IF(EDATE(AL153,FT_Y5)&lt;PolicyEff,FT_AnnivDays-1,0))),IF(AV153="PT",IF(BC153&lt;PT_First,0,1+INT((BC153-PT_First)/PT_Int)),0)),0))</f>
        <v/>
      </c>
      <c r="BF153" s="16" t="str">
        <f aca="false">IF(AK153=0,"",IF(AW153="FT",IF(AX153&lt;FT_First,FT_First,IF(AX153&lt;FT_Y5,MIN(FT_Y5,FT_First+FT_Int1*(INT((AX153-FT_First)/FT_Int1)+1)),FT_Y5+12*INT((AX153-FT_Y5)/12)+FT_Int2*(INT(MOD(AX153-FT_Y5,12)/FT_Int2)+1))),IF(AW153="PT",IF(AX153&lt;PT_First,PT_First,PT_First+PT_Int*(INT((AX153-PT_First)/PT_Int)+1)),"")))</f>
        <v/>
      </c>
      <c r="BG153" s="16" t="str">
        <f aca="false">IF(AK153=0,"",IF(NOT(LH_Ready),0,COUNTIFS(INDEX(LH_Data,0,LH_ColFirst),$A153,INDEX(LH_Data,0,LH_ColSur),$B153,INDEX(LH_Data,0,LH_ColCat),BonusCat)))</f>
        <v/>
      </c>
      <c r="BH153" s="16" t="str">
        <f aca="false">IF(AK153=0,"",IF(OR(NOT(LH_Ready),BG153=0),0,SUMPRODUCT(MAX((INDEX(LH_Data,0,LH_ColFirst)=$A153)*(INDEX(LH_Data,0,LH_ColSur)=$B153)*(INDEX(LH_Data,0,LH_ColCat)=BonusCat)*ROW(LH_Data)))))</f>
        <v/>
      </c>
      <c r="BI153" s="16" t="str">
        <f aca="false">IF(AK153=0,"",IF(EOMONTH(AsOfDate,-1)&lt;AL153,-1,12*(YEAR(EOMONTH(AsOfDate,-1))-YEAR(AL153))+MONTH(EOMONTH(AsOfDate,-1))-MONTH(AL153)-IF(DAY(EOMONTH(AsOfDate,-1))&lt;MIN(DAY(AL153),DAY(EOMONTH(EOMONTH(AsOfDate,-1),0))),1,0)))</f>
        <v/>
      </c>
      <c r="BJ153" s="16" t="str">
        <f aca="false">IF(AK153=0,"",IF(OR(AM153&lt;2,AO153&gt;EOMONTH(AsOfDate,-1)),BI153,IF((AO153-1)&lt;AL153,-1,12*(YEAR((AO153-1))-YEAR(AL153))+MONTH((AO153-1))-MONTH(AL153)-IF(DAY((AO153-1))&lt;MIN(DAY(AL153),DAY(EOMONTH((AO153-1),0))),1,0))))</f>
        <v/>
      </c>
      <c r="BK153" s="16" t="str">
        <f aca="false">IF(AK153=0,"",IF(OR(AM153&lt;3,AP153&gt;EOMONTH(AsOfDate,-1)),BI153,IF((AP153-1)&lt;AL153,-1,12*(YEAR((AP153-1))-YEAR(AL153))+MONTH((AP153-1))-MONTH(AL153)-IF(DAY((AP153-1))&lt;MIN(DAY(AL153),DAY(EOMONTH((AP153-1),0))),1,0))))</f>
        <v/>
      </c>
      <c r="BL153" s="16" t="str">
        <f aca="false">IF(AK153=0,"",IF(AT153="FT",IF(BJ153&lt;FT_First,0,IF(BJ153&lt;FT_Y5,1+INT((BJ153-FT_First)/FT_Int1),FT_PreY5+FT_PerYear*INT((BJ153-FT_Y5)/12)+FT_AnnivDays+INT(MOD(BJ153-FT_Y5,12)/FT_Int2)-IF(EDATE(AL153,FT_Y5)&lt;PolicyEff,FT_AnnivDays-1,0))),IF(AT153="PT",IF(BJ153&lt;PT_First,0,1+INT((BJ153-PT_First)/PT_Int)),0))+IF(AND(AM153&gt;=2,AO153&lt;=EOMONTH(AsOfDate,-1)),IF(AU153="FT",IF(BK153&lt;FT_First,0,IF(BK153&lt;FT_Y5,1+INT((BK153-FT_First)/FT_Int1),FT_PreY5+FT_PerYear*INT((BK153-FT_Y5)/12)+FT_AnnivDays+INT(MOD(BK153-FT_Y5,12)/FT_Int2)-IF(EDATE(AL153,FT_Y5)&lt;PolicyEff,FT_AnnivDays-1,0))),IF(AU153="PT",IF(BK153&lt;PT_First,0,1+INT((BK153-PT_First)/PT_Int)),0))-IF(AU153="FT",IF(BJ153&lt;FT_First,0,IF(BJ153&lt;FT_Y5,1+INT((BJ153-FT_First)/FT_Int1),FT_PreY5+FT_PerYear*INT((BJ153-FT_Y5)/12)+FT_AnnivDays+INT(MOD(BJ153-FT_Y5,12)/FT_Int2)-IF(EDATE(AL153,FT_Y5)&lt;PolicyEff,FT_AnnivDays-1,0))),IF(AU153="PT",IF(BJ153&lt;PT_First,0,1+INT((BJ153-PT_First)/PT_Int)),0)),0)+IF(AND(AM153&gt;=3,AP153&lt;=EOMONTH(AsOfDate,-1)),IF(AV153="FT",IF(BI153&lt;FT_First,0,IF(BI153&lt;FT_Y5,1+INT((BI153-FT_First)/FT_Int1),FT_PreY5+FT_PerYear*INT((BI153-FT_Y5)/12)+FT_AnnivDays+INT(MOD(BI153-FT_Y5,12)/FT_Int2)-IF(EDATE(AL153,FT_Y5)&lt;PolicyEff,FT_AnnivDays-1,0))),IF(AV153="PT",IF(BI153&lt;PT_First,0,1+INT((BI153-PT_First)/PT_Int)),0))-IF(AV153="FT",IF(BK153&lt;FT_First,0,IF(BK153&lt;FT_Y5,1+INT((BK153-FT_First)/FT_Int1),FT_PreY5+FT_PerYear*INT((BK153-FT_Y5)/12)+FT_AnnivDays+INT(MOD(BK153-FT_Y5,12)/FT_Int2)-IF(EDATE(AL153,FT_Y5)&lt;PolicyEff,FT_AnnivDays-1,0))),IF(AV153="PT",IF(BK153&lt;PT_First,0,1+INT((BK153-PT_First)/PT_Int)),0)),0))</f>
        <v/>
      </c>
      <c r="BM153" s="16" t="str">
        <f aca="false">IF(AK153=0,"",IF(AW153="FT",IF(AX153&lt;FT_First,"",IF(AX153&lt;FT_Y5,FT_First+FT_Int1*INT((AX153-FT_First)/FT_Int1),FT_Y5+FT_Int2*INT((AX153-FT_Y5)/FT_Int2))),IF(AW153="PT",IF(AX153&lt;PT_First,"",PT_First+PT_Int*INT((AX153-PT_First)/PT_Int)),"")))</f>
        <v/>
      </c>
      <c r="BN153" s="16" t="str">
        <f aca="false">IF(AK153=0,"",IF((SchemeStart-1)&lt;AL153,-1,12*(YEAR((SchemeStart-1))-YEAR(AL153))+MONTH((SchemeStart-1))-MONTH(AL153)-IF(DAY((SchemeStart-1))&lt;MIN(DAY(AL153),DAY(EOMONTH((SchemeStart-1),0))),1,0)))</f>
        <v/>
      </c>
      <c r="BO153" s="16" t="str">
        <f aca="false">IF(AK153=0,"",IF(OR(AM153&lt;2,AO153&gt;(SchemeStart-1)),BN153,IF((AO153-1)&lt;AL153,-1,12*(YEAR((AO153-1))-YEAR(AL153))+MONTH((AO153-1))-MONTH(AL153)-IF(DAY((AO153-1))&lt;MIN(DAY(AL153),DAY(EOMONTH((AO153-1),0))),1,0))))</f>
        <v/>
      </c>
      <c r="BP153" s="16" t="str">
        <f aca="false">IF(AK153=0,"",IF(OR(AM153&lt;3,AP153&gt;(SchemeStart-1)),BN153,IF((AP153-1)&lt;AL153,-1,12*(YEAR((AP153-1))-YEAR(AL153))+MONTH((AP153-1))-MONTH(AL153)-IF(DAY((AP153-1))&lt;MIN(DAY(AL153),DAY(EOMONTH((AP153-1),0))),1,0))))</f>
        <v/>
      </c>
      <c r="BQ153" s="16" t="str">
        <f aca="false">IF(AK153=0,"",IF(AT153="FT",IF(BO153&lt;FT_First,0,IF(BO153&lt;FT_Y5,1+INT((BO153-FT_First)/FT_Int1),FT_PreY5+FT_PerYear*INT((BO153-FT_Y5)/12)+FT_AnnivDays+INT(MOD(BO153-FT_Y5,12)/FT_Int2)-IF(EDATE(AL153,FT_Y5)&lt;PolicyEff,FT_AnnivDays-1,0))),IF(AT153="PT",IF(BO153&lt;PT_First,0,1+INT((BO153-PT_First)/PT_Int)),0))+IF(AND(AM153&gt;=2,AO153&lt;=(SchemeStart-1)),IF(AU153="FT",IF(BP153&lt;FT_First,0,IF(BP153&lt;FT_Y5,1+INT((BP153-FT_First)/FT_Int1),FT_PreY5+FT_PerYear*INT((BP153-FT_Y5)/12)+FT_AnnivDays+INT(MOD(BP153-FT_Y5,12)/FT_Int2)-IF(EDATE(AL153,FT_Y5)&lt;PolicyEff,FT_AnnivDays-1,0))),IF(AU153="PT",IF(BP153&lt;PT_First,0,1+INT((BP153-PT_First)/PT_Int)),0))-IF(AU153="FT",IF(BO153&lt;FT_First,0,IF(BO153&lt;FT_Y5,1+INT((BO153-FT_First)/FT_Int1),FT_PreY5+FT_PerYear*INT((BO153-FT_Y5)/12)+FT_AnnivDays+INT(MOD(BO153-FT_Y5,12)/FT_Int2)-IF(EDATE(AL153,FT_Y5)&lt;PolicyEff,FT_AnnivDays-1,0))),IF(AU153="PT",IF(BO153&lt;PT_First,0,1+INT((BO153-PT_First)/PT_Int)),0)),0)+IF(AND(AM153&gt;=3,AP153&lt;=(SchemeStart-1)),IF(AV153="FT",IF(BN153&lt;FT_First,0,IF(BN153&lt;FT_Y5,1+INT((BN153-FT_First)/FT_Int1),FT_PreY5+FT_PerYear*INT((BN153-FT_Y5)/12)+FT_AnnivDays+INT(MOD(BN153-FT_Y5,12)/FT_Int2)-IF(EDATE(AL153,FT_Y5)&lt;PolicyEff,FT_AnnivDays-1,0))),IF(AV153="PT",IF(BN153&lt;PT_First,0,1+INT((BN153-PT_First)/PT_Int)),0))-IF(AV153="FT",IF(BP153&lt;FT_First,0,IF(BP153&lt;FT_Y5,1+INT((BP153-FT_First)/FT_Int1),FT_PreY5+FT_PerYear*INT((BP153-FT_Y5)/12)+FT_AnnivDays+INT(MOD(BP153-FT_Y5,12)/FT_Int2)-IF(EDATE(AL153,FT_Y5)&lt;PolicyEff,FT_AnnivDays-1,0))),IF(AV153="PT",IF(BP153&lt;PT_First,0,1+INT((BP153-PT_First)/PT_Int)),0)),0))</f>
        <v/>
      </c>
      <c r="BR153" s="0" t="str">
        <f aca="false">IF(LEN($A153&amp;$B153)=0,"",$A153&amp;" "&amp;$B153)</f>
        <v/>
      </c>
    </row>
    <row r="154" customFormat="false" ht="15" hidden="false" customHeight="false" outlineLevel="0" collapsed="false">
      <c r="A154" s="12"/>
      <c r="B154" s="12"/>
      <c r="C154" s="12"/>
      <c r="D154" s="13"/>
      <c r="E154" s="14" t="str">
        <f aca="false">IF(OR(AK154=0,$D154=""),"",DATE(YEAR(AsOfDate)+IF(DATE(YEAR(AsOfDate),MONTH($D154),DAY($D154))&lt;=AsOfDate,1,0),MONTH($D154),DAY($D154)))</f>
        <v/>
      </c>
      <c r="F154" s="13"/>
      <c r="G154" s="13"/>
      <c r="H154" s="13"/>
      <c r="I154" s="13"/>
      <c r="J154" s="13"/>
      <c r="K154" s="14" t="str">
        <f aca="false">IF(AK154=0,"",DATE(YEAR(AsOfDate)+IF(DATE(YEAR(AsOfDate),MONTH(AL154),DAY(AL154))&lt;=AsOfDate,1,0),MONTH(AL154),DAY(AL154)))</f>
        <v/>
      </c>
      <c r="L154" s="15" t="str">
        <f aca="false">IF(AK154=0,"",ROUND((AsOfDate-AL154)/365.25,1))</f>
        <v/>
      </c>
      <c r="M154" s="16" t="str">
        <f aca="false">IF(AK154=0,"",IF(AsOfDate&lt;AL154,"-",DATEDIF(AL154,AsOfDate,"y")&amp;"y "&amp;DATEDIF(AL154,AsOfDate,"ym")&amp;"m "&amp;DATEDIF(AL154,AsOfDate,"md")&amp;"d"))</f>
        <v/>
      </c>
      <c r="N154" s="17" t="str">
        <f aca="false">IF(AK154=0,"",O154*HoursPerDay)</f>
        <v/>
      </c>
      <c r="O154" s="17" t="str">
        <f aca="false">IF(AK154=0,"",MAX(0,BD154-BQ154))</f>
        <v/>
      </c>
      <c r="P154" s="18"/>
      <c r="Q154" s="16" t="str">
        <f aca="false">IF(AK154=0,"",IF(AM154&lt;2,"",AQ154&amp;" to "&amp;AR154&amp;" on "&amp;TEXT(AO154,"dd/mm/yyyy")&amp;IF(AO154&gt;AsOfDate," (future)",IF(AT154=AU154,"",IF(AU154="None"," - STOPPED accruing",IF(AT154="None"," - commencement for Bonus Leave"," - pathway changed"))))&amp;IF(AM154&lt;3,"","; "&amp;AR154&amp;" to "&amp;AS154&amp;" on "&amp;TEXT(AP154,"dd/mm/yyyy")&amp;IF(AP154&gt;AsOfDate," (future)",IF(AU154=AV154,"",IF(AV154="None"," - STOPPED accruing",IF(AU154="None"," - commencement for Bonus Leave"," - pathway changed")))))))</f>
        <v/>
      </c>
      <c r="R154" s="16" t="str">
        <f aca="false">IF(AK154=0,"",IF(AW154="None",IF(O154&gt;0,"No longer accruing","Not eligible - "&amp;IF(AND(OR(ISNUMBER(SEARCH("part",$C154)),UPPER(TRIM($C154))="PT",UPPER(TRIM($C154))="PTE"),Apply2026="No"),"part-time (scheme is full-time only)",IF(AND(OR(ISNUMBER(SEARCH("part",$C154)),UPPER(TRIM($C154))="PT",UPPER(TRIM($C154))="PTE"),$P154&lt;&gt;"",N($P154)&lt;PT_MinHours),"under "&amp;PT_MinHours&amp;" hrs",IF(IF($C154="","",IF(OR(ISNUMBER(SEARCH("full",$C154)),UPPER(TRIM($C154))="FT",UPPER(TRIM($C154))="FTE"),"Full-Time",IF(OR(ISNUMBER(SEARCH("part",$C154)),UPPER(TRIM($C154))="PT",UPPER(TRIM($C154))="PTE"),"Part-Time",IF(OR(ISNUMBER(SEARCH("cas",$C154)),UPPER(TRIM($C154))="CAS"),"Casual","Unknown"))))="Unknown","type not recognised",$C154)))),IF(O154&gt;0,"Yes - Accrual Required","Not yet - from "&amp;TEXT(S154,"dd/mm/yyyy"))))</f>
        <v/>
      </c>
      <c r="S154" s="14" t="str">
        <f aca="false">IF(AK154=0,"",IF(AW154="None","",EDATE(AL154,BF154)))</f>
        <v/>
      </c>
      <c r="T154" s="17" t="str">
        <f aca="false">IF(AK154=0,"",IF(NOT(LH_Ready),"",IF($F154&gt;PFYDate,0,IF(LH_ColPeriod=0,W154-U154+V154,SUMIFS(INDEX(LH_Data,0,LH_ColAcc),INDEX(LH_Data,0,LH_ColFirst),$A154,INDEX(LH_Data,0,LH_ColSur),$B154,INDEX(LH_Data,0,LH_ColCat),BonusCat,INDEX(LH_Data,0,LH_ColPeriod),LH_OpenLabel)*UnitFactor))))</f>
        <v/>
      </c>
      <c r="U154" s="17" t="str">
        <f aca="false">IF(AK154=0,"",IF(NOT(LH_Ready),"",SUMIFS(INDEX(LH_Data,0,LH_ColAcc),INDEX(LH_Data,0,LH_ColFirst),$A154,INDEX(LH_Data,0,LH_ColSur),$B154,INDEX(LH_Data,0,LH_ColCat),BonusCat,INDEX(LH_Data,0,LH_ColStart),"&gt;="&amp;AL154)*UnitFactor))</f>
        <v/>
      </c>
      <c r="V154" s="17" t="str">
        <f aca="false">IF(AK154=0,"",IF(NOT(LH_Ready),"",SUMIFS(INDEX(LH_Data,0,LH_ColTaken),INDEX(LH_Data,0,LH_ColFirst),$A154,INDEX(LH_Data,0,LH_ColSur),$B154,INDEX(LH_Data,0,LH_ColCat),BonusCat,INDEX(LH_Data,0,LH_ColStart),"&gt;="&amp;AL154)*UnitFactor))</f>
        <v/>
      </c>
      <c r="W154" s="17" t="str">
        <f aca="false">IF(AK154=0,"",IF(NOT(LH_Ready),"",IF(BH154=0,0,INDEX(INDEX(LH_Data,0,LH_ColClose),BH154-1)*UnitFactor)))</f>
        <v/>
      </c>
      <c r="X154" s="17" t="str">
        <f aca="false">IF(AK154=0,"",(MAX(0,BD154-BQ154)-MAX(0,BE154-BQ154))*HoursPerDay)</f>
        <v/>
      </c>
      <c r="Y154" s="17" t="str">
        <f aca="false">IF(AK154=0,"",IF(NOT(LH_Ready),"",IF($AI154="Yes",N(AE154)*HoursPerDay-SUMIFS(INDEX(LH_Data,0,LH_ColAcc),INDEX(LH_Data,0,LH_ColFirst),$A154,INDEX(LH_Data,0,LH_ColSur),$B154,INDEX(LH_Data,0,LH_ColCat),BonusCat,INDEX(LH_Data,0,LH_ColStart),"&gt;="&amp;(EOMONTH(AsOfDate,-1)+1),INDEX(LH_Data,0,LH_ColStart),"&lt;="&amp;AsOfDate)*UnitFactor,IF(BG154=0,N154,N154-N(T154)-N(U154)))))</f>
        <v/>
      </c>
      <c r="Z154" s="16" t="str">
        <f aca="false">IF(OR(AK154=0,Y154=""),"",IF(Y154&gt;0,"Yes","No"))</f>
        <v/>
      </c>
      <c r="AA154" s="16" t="str">
        <f aca="false">IF(AK154=0,IF(LEN($A154&amp;$B154)=0,"","FIX INPUT - StartDate missing"),IF(AD154&lt;&gt;"","FIX INPUT - "&amp;AD154,IF(NOT(LH_Ready),"Paste Leave History export (Settings must show YES)",IF(AND($AI154="Yes",Y154&lt;=0),"OK - EH balance accepted to date"&amp;IF(N(AH154)&gt;0," (EH holds "&amp;AH154&amp;" hrs over the scheme)","")&amp;"; next day "&amp;TEXT(S154,"dd mmm yy")&amp;IF(N(AE154)&gt;0," ("&amp;AE154&amp;" day(s) for "&amp;UPPER(TEXT(AsOfDate,"mmm yyyy"))&amp;" already in EH)",""),IF(Y154&gt;0,"ACCRUE "&amp;ROUND(Y154,2)&amp;" hrs ("&amp;ROUND(Y154/HoursPerDay,2)&amp;" days): "&amp;IF(N(AE154)&gt;0,AE154&amp;" day(s) for "&amp;UPPER(TEXT(AsOfDate,"mmm yyyy"))&amp;" (milestone "&amp;UPPER(TEXT(AF154,"dd mmm yy"))&amp;")"&amp;IF(Y154/HoursPerDay&gt;AE154+0.001," + "&amp;ROUND(Y154/HoursPerDay-AE154,2)&amp;" day(s) catch-up from earlier months",""),"all catch-up from earlier months, nothing new this month")&amp;IF(BG154=0,"; no Bonus Leave in EH yet",""),IF(Y154&lt;0,"CHECK - EH accrued "&amp;ROUND(-Y154,2)&amp;" hrs more than policy since commencement",IF(N(W154)&gt;O154*HoursPerDay+0.01,"CHECK - EH balance "&amp;ROUND(W154-O154*HoursPerDay,2)&amp;" hrs more than policy entitlement",IF(O154&gt;0,"OK - nothing to add"&amp;IF(N(AE154)&gt;0," ("&amp;AE154&amp;" day(s) for "&amp;UPPER(TEXT(AsOfDate,"mmm yyyy"))&amp;" already in EH)",""),IF(AW154="None",R154,"Not yet - first day on "&amp;TEXT(S154,"dd/mm/yyyy"))))))))))</f>
        <v/>
      </c>
      <c r="AB154" s="17" t="str">
        <f aca="false">IF(OR(AK154=0,T154=""),"",MAX(0,BE154-BQ154)*HoursPerDay-T154)</f>
        <v/>
      </c>
      <c r="AC154" s="16" t="str">
        <f aca="false">IF(AK154=0,"",BG154)</f>
        <v/>
      </c>
      <c r="AD154" s="16" t="str">
        <f aca="false">IF(AK154=0,"",TRIM(IF(OR(ISTEXT($F154),ISTEXT($H154),ISTEXT($I154),ISTEXT($G154),ISTEXT($J154),ISTEXT($D154)),"A date is typed as text - retype it as dd/mm/yyyy. ","")&amp;IF(IF($C154="","",IF(OR(ISNUMBER(SEARCH("full",$C154)),UPPER(TRIM($C154))="FT",UPPER(TRIM($C154))="FTE"),"Full-Time",IF(OR(ISNUMBER(SEARCH("part",$C154)),UPPER(TRIM($C154))="PT",UPPER(TRIM($C154))="PTE"),"Part-Time",IF(OR(ISNUMBER(SEARCH("cas",$C154)),UPPER(TRIM($C154))="CAS"),"Casual","Unknown"))))="Unknown","EmploymentType not recognised - use Full-Time, Part-Time or Casual. ","")&amp;IF(AND(AM154&gt;=1,IF(AM154&gt;=3,AS154,IF(AM154=2,AR154,AQ154))&lt;&gt;IF($C154="","",IF(OR(ISNUMBER(SEARCH("full",$C154)),UPPER(TRIM($C154))="FT",UPPER(TRIM($C154))="FTE"),"Full-Time",IF(OR(ISNUMBER(SEARCH("part",$C154)),UPPER(TRIM($C154))="PT",UPPER(TRIM($C154))="PTE"),"Part-Time",IF(OR(ISNUMBER(SEARCH("cas",$C154)),UPPER(TRIM($C154))="CAS"),"Casual","Unknown"))))),"EmploymentType does not match latest start date ("&amp;IF(AM154&gt;=3,AS154,IF(AM154=2,AR154,AQ154))&amp;"). ","")&amp;IF(AND(AM154&gt;=1,AN154&lt;&gt;$F154),"Earliest type date should equal StartDate. ","")&amp;IF(AND(AM154&gt;=2,AN154=AO154),"Two types start on the same date. ","")&amp;IF(AND(OR(ISNUMBER(SEARCH("part",$C154)),UPPER(TRIM($C154))="PT",UPPER(TRIM($C154))="PTE"),$P154=""),"Part-time: enter PT Hrs/Week (blank = 24+). ","")))</f>
        <v/>
      </c>
      <c r="AE154" s="17" t="str">
        <f aca="false">IF(AK154=0,"",O154-MAX(0,BL154-BQ154))</f>
        <v/>
      </c>
      <c r="AF154" s="14" t="str">
        <f aca="false">IF(OR(AK154=0,AE154="",N(AE154)=0,BM154=""),"",EDATE(AL154,BM154))</f>
        <v/>
      </c>
      <c r="AG154" s="17" t="str">
        <f aca="false">IF(AK154=0,"",MIN(BD154,BQ154))</f>
        <v/>
      </c>
      <c r="AH154" s="17" t="str">
        <f aca="false">IF(AK154=0,"",IF(NOT(LH_Ready),"",IF(BG154=0,0,MAX(0,ROUND(N(T154)+N(U154)-N154,2)))))</f>
        <v/>
      </c>
      <c r="AI154" s="12"/>
      <c r="AJ154" s="12"/>
      <c r="AK154" s="16" t="n">
        <f aca="false">IF(OR(LEN($A154&amp;$B154)=0,$F154=""),0,1)</f>
        <v>0</v>
      </c>
      <c r="AL154" s="14" t="str">
        <f aca="false">IF(AK154=0,"",IF(PreSchemeCounts="No",MAX(SchemeStart,IF($J154&lt;&gt;"",$J154,IF(OR(CasualCounts="Yes",COUNT($G154:$I154)=0),$F154,IF(Apply2026="No",IF($I154="",$F154,$I154),IF(COUNT($H154:$I154)=0,$F154,MIN($H154:$I154)))))),IF($J154&lt;&gt;"",$J154,IF(OR(CasualCounts="Yes",COUNT($G154:$I154)=0),$F154,IF(Apply2026="No",IF($I154="",$F154,$I154),IF(COUNT($H154:$I154)=0,$F154,MIN($H154:$I154)))))))</f>
        <v/>
      </c>
      <c r="AM154" s="16" t="str">
        <f aca="false">IF(AK154=0,"",COUNT($G154:$I154))</f>
        <v/>
      </c>
      <c r="AN154" s="14" t="str">
        <f aca="false">IF(AK154=0,"",IFERROR(SMALL($G154:$I154,1),""))</f>
        <v/>
      </c>
      <c r="AO154" s="14" t="str">
        <f aca="false">IF(AK154=0,"",IFERROR(SMALL($G154:$I154,2),""))</f>
        <v/>
      </c>
      <c r="AP154" s="14" t="str">
        <f aca="false">IF(AK154=0,"",IFERROR(SMALL($G154:$I154,3),""))</f>
        <v/>
      </c>
      <c r="AQ154" s="16" t="str">
        <f aca="false">IF(AK154=0,"",IF(AN154="","",IF(AN154=$H154,"Part-Time",IF(AN154=$I154,"Full-Time","Casual"))))</f>
        <v/>
      </c>
      <c r="AR154" s="16" t="str">
        <f aca="false">IF(AK154=0,"",IF(AO154="","",IF(AO154=$H154,"Part-Time",IF(AO154=$I154,"Full-Time","Casual"))))</f>
        <v/>
      </c>
      <c r="AS154" s="16" t="str">
        <f aca="false">IF(AK154=0,"",IF(AP154="","",IF(AP154=$H154,"Part-Time",IF(AP154=$I154,"Full-Time","Casual"))))</f>
        <v/>
      </c>
      <c r="AT154" s="16" t="str">
        <f aca="false">IF(AK154=0,"",IF(AM154=0,IF(OR(ISNUMBER(SEARCH("full",$C154)),UPPER(TRIM($C154))="FT",UPPER(TRIM($C154))="FTE"),"FT",IF(AND(OR(ISNUMBER(SEARCH("part",$C154)),UPPER(TRIM($C154))="PT",UPPER(TRIM($C154))="PTE"),Apply2026="Yes",OR($P154="",N($P154)&gt;=PT_MinHours)),"PT","None")),IF(OR(ISNUMBER(SEARCH("full",AQ154)),UPPER(TRIM(AQ154))="FT",UPPER(TRIM(AQ154))="FTE"),"FT",IF(AND(OR(ISNUMBER(SEARCH("part",AQ154)),UPPER(TRIM(AQ154))="PT",UPPER(TRIM(AQ154))="PTE"),Apply2026="Yes",OR($P154="",N($P154)&gt;=PT_MinHours)),"PT","None"))))</f>
        <v/>
      </c>
      <c r="AU154" s="16" t="str">
        <f aca="false">IF(AK154=0,"",IF(AM154&lt;2,"",IF(OR(ISNUMBER(SEARCH("full",AR154)),UPPER(TRIM(AR154))="FT",UPPER(TRIM(AR154))="FTE"),"FT",IF(AND(OR(ISNUMBER(SEARCH("part",AR154)),UPPER(TRIM(AR154))="PT",UPPER(TRIM(AR154))="PTE"),Apply2026="Yes",OR($P154="",N($P154)&gt;=PT_MinHours)),"PT","None"))))</f>
        <v/>
      </c>
      <c r="AV154" s="16" t="str">
        <f aca="false">IF(AK154=0,"",IF(AM154&lt;3,"",IF(OR(ISNUMBER(SEARCH("full",AS154)),UPPER(TRIM(AS154))="FT",UPPER(TRIM(AS154))="FTE"),"FT",IF(AND(OR(ISNUMBER(SEARCH("part",AS154)),UPPER(TRIM(AS154))="PT",UPPER(TRIM(AS154))="PTE"),Apply2026="Yes",OR($P154="",N($P154)&gt;=PT_MinHours)),"PT","None"))))</f>
        <v/>
      </c>
      <c r="AW154" s="16" t="str">
        <f aca="false">IF(AK154=0,"",IF(AND(AM154&gt;=3,AP154&lt;=AsOfDate),AV154,IF(AND(AM154&gt;=2,AO154&lt;=AsOfDate),AU154,AT154)))</f>
        <v/>
      </c>
      <c r="AX154" s="16" t="str">
        <f aca="false">IF(AK154=0,"",IF(AsOfDate&lt;AL154,-1,12*(YEAR(AsOfDate)-YEAR(AL154))+MONTH(AsOfDate)-MONTH(AL154)-IF(DAY(AsOfDate)&lt;MIN(DAY(AL154),DAY(EOMONTH(AsOfDate,0))),1,0)))</f>
        <v/>
      </c>
      <c r="AY154" s="16" t="str">
        <f aca="false">IF(AK154=0,"",IF(OR(AM154&lt;2,AO154&gt;AsOfDate),AX154,IF((AO154-1)&lt;AL154,-1,12*(YEAR((AO154-1))-YEAR(AL154))+MONTH((AO154-1))-MONTH(AL154)-IF(DAY((AO154-1))&lt;MIN(DAY(AL154),DAY(EOMONTH((AO154-1),0))),1,0))))</f>
        <v/>
      </c>
      <c r="AZ154" s="16" t="str">
        <f aca="false">IF(AK154=0,"",IF(OR(AM154&lt;3,AP154&gt;AsOfDate),AX154,IF((AP154-1)&lt;AL154,-1,12*(YEAR((AP154-1))-YEAR(AL154))+MONTH((AP154-1))-MONTH(AL154)-IF(DAY((AP154-1))&lt;MIN(DAY(AL154),DAY(EOMONTH((AP154-1),0))),1,0))))</f>
        <v/>
      </c>
      <c r="BA154" s="16" t="str">
        <f aca="false">IF(AK154=0,"",IF(PFYDate&lt;AL154,-1,12*(YEAR(PFYDate)-YEAR(AL154))+MONTH(PFYDate)-MONTH(AL154)-IF(DAY(PFYDate)&lt;MIN(DAY(AL154),DAY(EOMONTH(PFYDate,0))),1,0)))</f>
        <v/>
      </c>
      <c r="BB154" s="16" t="str">
        <f aca="false">IF(AK154=0,"",IF(OR(AM154&lt;2,AO154&gt;PFYDate),BA154,IF((AO154-1)&lt;AL154,-1,12*(YEAR((AO154-1))-YEAR(AL154))+MONTH((AO154-1))-MONTH(AL154)-IF(DAY((AO154-1))&lt;MIN(DAY(AL154),DAY(EOMONTH((AO154-1),0))),1,0))))</f>
        <v/>
      </c>
      <c r="BC154" s="16" t="str">
        <f aca="false">IF(AK154=0,"",IF(OR(AM154&lt;3,AP154&gt;PFYDate),BA154,IF((AP154-1)&lt;AL154,-1,12*(YEAR((AP154-1))-YEAR(AL154))+MONTH((AP154-1))-MONTH(AL154)-IF(DAY((AP154-1))&lt;MIN(DAY(AL154),DAY(EOMONTH((AP154-1),0))),1,0))))</f>
        <v/>
      </c>
      <c r="BD154" s="16" t="str">
        <f aca="false">IF(AK154=0,"",IF(AT154="FT",IF(AY154&lt;FT_First,0,IF(AY154&lt;FT_Y5,1+INT((AY154-FT_First)/FT_Int1),FT_PreY5+FT_PerYear*INT((AY154-FT_Y5)/12)+FT_AnnivDays+INT(MOD(AY154-FT_Y5,12)/FT_Int2)-IF(EDATE(AL154,FT_Y5)&lt;PolicyEff,FT_AnnivDays-1,0))),IF(AT154="PT",IF(AY154&lt;PT_First,0,1+INT((AY154-PT_First)/PT_Int)),0))+IF(AND(AM154&gt;=2,AO154&lt;=AsOfDate),IF(AU154="FT",IF(AZ154&lt;FT_First,0,IF(AZ154&lt;FT_Y5,1+INT((AZ154-FT_First)/FT_Int1),FT_PreY5+FT_PerYear*INT((AZ154-FT_Y5)/12)+FT_AnnivDays+INT(MOD(AZ154-FT_Y5,12)/FT_Int2)-IF(EDATE(AL154,FT_Y5)&lt;PolicyEff,FT_AnnivDays-1,0))),IF(AU154="PT",IF(AZ154&lt;PT_First,0,1+INT((AZ154-PT_First)/PT_Int)),0))-IF(AU154="FT",IF(AY154&lt;FT_First,0,IF(AY154&lt;FT_Y5,1+INT((AY154-FT_First)/FT_Int1),FT_PreY5+FT_PerYear*INT((AY154-FT_Y5)/12)+FT_AnnivDays+INT(MOD(AY154-FT_Y5,12)/FT_Int2)-IF(EDATE(AL154,FT_Y5)&lt;PolicyEff,FT_AnnivDays-1,0))),IF(AU154="PT",IF(AY154&lt;PT_First,0,1+INT((AY154-PT_First)/PT_Int)),0)),0)+IF(AND(AM154&gt;=3,AP154&lt;=AsOfDate),IF(AV154="FT",IF(AX154&lt;FT_First,0,IF(AX154&lt;FT_Y5,1+INT((AX154-FT_First)/FT_Int1),FT_PreY5+FT_PerYear*INT((AX154-FT_Y5)/12)+FT_AnnivDays+INT(MOD(AX154-FT_Y5,12)/FT_Int2)-IF(EDATE(AL154,FT_Y5)&lt;PolicyEff,FT_AnnivDays-1,0))),IF(AV154="PT",IF(AX154&lt;PT_First,0,1+INT((AX154-PT_First)/PT_Int)),0))-IF(AV154="FT",IF(AZ154&lt;FT_First,0,IF(AZ154&lt;FT_Y5,1+INT((AZ154-FT_First)/FT_Int1),FT_PreY5+FT_PerYear*INT((AZ154-FT_Y5)/12)+FT_AnnivDays+INT(MOD(AZ154-FT_Y5,12)/FT_Int2)-IF(EDATE(AL154,FT_Y5)&lt;PolicyEff,FT_AnnivDays-1,0))),IF(AV154="PT",IF(AZ154&lt;PT_First,0,1+INT((AZ154-PT_First)/PT_Int)),0)),0))</f>
        <v/>
      </c>
      <c r="BE154" s="16" t="str">
        <f aca="false">IF(AK154=0,"",IF(AT154="FT",IF(BB154&lt;FT_First,0,IF(BB154&lt;FT_Y5,1+INT((BB154-FT_First)/FT_Int1),FT_PreY5+FT_PerYear*INT((BB154-FT_Y5)/12)+FT_AnnivDays+INT(MOD(BB154-FT_Y5,12)/FT_Int2)-IF(EDATE(AL154,FT_Y5)&lt;PolicyEff,FT_AnnivDays-1,0))),IF(AT154="PT",IF(BB154&lt;PT_First,0,1+INT((BB154-PT_First)/PT_Int)),0))+IF(AND(AM154&gt;=2,AO154&lt;=PFYDate),IF(AU154="FT",IF(BC154&lt;FT_First,0,IF(BC154&lt;FT_Y5,1+INT((BC154-FT_First)/FT_Int1),FT_PreY5+FT_PerYear*INT((BC154-FT_Y5)/12)+FT_AnnivDays+INT(MOD(BC154-FT_Y5,12)/FT_Int2)-IF(EDATE(AL154,FT_Y5)&lt;PolicyEff,FT_AnnivDays-1,0))),IF(AU154="PT",IF(BC154&lt;PT_First,0,1+INT((BC154-PT_First)/PT_Int)),0))-IF(AU154="FT",IF(BB154&lt;FT_First,0,IF(BB154&lt;FT_Y5,1+INT((BB154-FT_First)/FT_Int1),FT_PreY5+FT_PerYear*INT((BB154-FT_Y5)/12)+FT_AnnivDays+INT(MOD(BB154-FT_Y5,12)/FT_Int2)-IF(EDATE(AL154,FT_Y5)&lt;PolicyEff,FT_AnnivDays-1,0))),IF(AU154="PT",IF(BB154&lt;PT_First,0,1+INT((BB154-PT_First)/PT_Int)),0)),0)+IF(AND(AM154&gt;=3,AP154&lt;=PFYDate),IF(AV154="FT",IF(BA154&lt;FT_First,0,IF(BA154&lt;FT_Y5,1+INT((BA154-FT_First)/FT_Int1),FT_PreY5+FT_PerYear*INT((BA154-FT_Y5)/12)+FT_AnnivDays+INT(MOD(BA154-FT_Y5,12)/FT_Int2)-IF(EDATE(AL154,FT_Y5)&lt;PolicyEff,FT_AnnivDays-1,0))),IF(AV154="PT",IF(BA154&lt;PT_First,0,1+INT((BA154-PT_First)/PT_Int)),0))-IF(AV154="FT",IF(BC154&lt;FT_First,0,IF(BC154&lt;FT_Y5,1+INT((BC154-FT_First)/FT_Int1),FT_PreY5+FT_PerYear*INT((BC154-FT_Y5)/12)+FT_AnnivDays+INT(MOD(BC154-FT_Y5,12)/FT_Int2)-IF(EDATE(AL154,FT_Y5)&lt;PolicyEff,FT_AnnivDays-1,0))),IF(AV154="PT",IF(BC154&lt;PT_First,0,1+INT((BC154-PT_First)/PT_Int)),0)),0))</f>
        <v/>
      </c>
      <c r="BF154" s="16" t="str">
        <f aca="false">IF(AK154=0,"",IF(AW154="FT",IF(AX154&lt;FT_First,FT_First,IF(AX154&lt;FT_Y5,MIN(FT_Y5,FT_First+FT_Int1*(INT((AX154-FT_First)/FT_Int1)+1)),FT_Y5+12*INT((AX154-FT_Y5)/12)+FT_Int2*(INT(MOD(AX154-FT_Y5,12)/FT_Int2)+1))),IF(AW154="PT",IF(AX154&lt;PT_First,PT_First,PT_First+PT_Int*(INT((AX154-PT_First)/PT_Int)+1)),"")))</f>
        <v/>
      </c>
      <c r="BG154" s="16" t="str">
        <f aca="false">IF(AK154=0,"",IF(NOT(LH_Ready),0,COUNTIFS(INDEX(LH_Data,0,LH_ColFirst),$A154,INDEX(LH_Data,0,LH_ColSur),$B154,INDEX(LH_Data,0,LH_ColCat),BonusCat)))</f>
        <v/>
      </c>
      <c r="BH154" s="16" t="str">
        <f aca="false">IF(AK154=0,"",IF(OR(NOT(LH_Ready),BG154=0),0,SUMPRODUCT(MAX((INDEX(LH_Data,0,LH_ColFirst)=$A154)*(INDEX(LH_Data,0,LH_ColSur)=$B154)*(INDEX(LH_Data,0,LH_ColCat)=BonusCat)*ROW(LH_Data)))))</f>
        <v/>
      </c>
      <c r="BI154" s="16" t="str">
        <f aca="false">IF(AK154=0,"",IF(EOMONTH(AsOfDate,-1)&lt;AL154,-1,12*(YEAR(EOMONTH(AsOfDate,-1))-YEAR(AL154))+MONTH(EOMONTH(AsOfDate,-1))-MONTH(AL154)-IF(DAY(EOMONTH(AsOfDate,-1))&lt;MIN(DAY(AL154),DAY(EOMONTH(EOMONTH(AsOfDate,-1),0))),1,0)))</f>
        <v/>
      </c>
      <c r="BJ154" s="16" t="str">
        <f aca="false">IF(AK154=0,"",IF(OR(AM154&lt;2,AO154&gt;EOMONTH(AsOfDate,-1)),BI154,IF((AO154-1)&lt;AL154,-1,12*(YEAR((AO154-1))-YEAR(AL154))+MONTH((AO154-1))-MONTH(AL154)-IF(DAY((AO154-1))&lt;MIN(DAY(AL154),DAY(EOMONTH((AO154-1),0))),1,0))))</f>
        <v/>
      </c>
      <c r="BK154" s="16" t="str">
        <f aca="false">IF(AK154=0,"",IF(OR(AM154&lt;3,AP154&gt;EOMONTH(AsOfDate,-1)),BI154,IF((AP154-1)&lt;AL154,-1,12*(YEAR((AP154-1))-YEAR(AL154))+MONTH((AP154-1))-MONTH(AL154)-IF(DAY((AP154-1))&lt;MIN(DAY(AL154),DAY(EOMONTH((AP154-1),0))),1,0))))</f>
        <v/>
      </c>
      <c r="BL154" s="16" t="str">
        <f aca="false">IF(AK154=0,"",IF(AT154="FT",IF(BJ154&lt;FT_First,0,IF(BJ154&lt;FT_Y5,1+INT((BJ154-FT_First)/FT_Int1),FT_PreY5+FT_PerYear*INT((BJ154-FT_Y5)/12)+FT_AnnivDays+INT(MOD(BJ154-FT_Y5,12)/FT_Int2)-IF(EDATE(AL154,FT_Y5)&lt;PolicyEff,FT_AnnivDays-1,0))),IF(AT154="PT",IF(BJ154&lt;PT_First,0,1+INT((BJ154-PT_First)/PT_Int)),0))+IF(AND(AM154&gt;=2,AO154&lt;=EOMONTH(AsOfDate,-1)),IF(AU154="FT",IF(BK154&lt;FT_First,0,IF(BK154&lt;FT_Y5,1+INT((BK154-FT_First)/FT_Int1),FT_PreY5+FT_PerYear*INT((BK154-FT_Y5)/12)+FT_AnnivDays+INT(MOD(BK154-FT_Y5,12)/FT_Int2)-IF(EDATE(AL154,FT_Y5)&lt;PolicyEff,FT_AnnivDays-1,0))),IF(AU154="PT",IF(BK154&lt;PT_First,0,1+INT((BK154-PT_First)/PT_Int)),0))-IF(AU154="FT",IF(BJ154&lt;FT_First,0,IF(BJ154&lt;FT_Y5,1+INT((BJ154-FT_First)/FT_Int1),FT_PreY5+FT_PerYear*INT((BJ154-FT_Y5)/12)+FT_AnnivDays+INT(MOD(BJ154-FT_Y5,12)/FT_Int2)-IF(EDATE(AL154,FT_Y5)&lt;PolicyEff,FT_AnnivDays-1,0))),IF(AU154="PT",IF(BJ154&lt;PT_First,0,1+INT((BJ154-PT_First)/PT_Int)),0)),0)+IF(AND(AM154&gt;=3,AP154&lt;=EOMONTH(AsOfDate,-1)),IF(AV154="FT",IF(BI154&lt;FT_First,0,IF(BI154&lt;FT_Y5,1+INT((BI154-FT_First)/FT_Int1),FT_PreY5+FT_PerYear*INT((BI154-FT_Y5)/12)+FT_AnnivDays+INT(MOD(BI154-FT_Y5,12)/FT_Int2)-IF(EDATE(AL154,FT_Y5)&lt;PolicyEff,FT_AnnivDays-1,0))),IF(AV154="PT",IF(BI154&lt;PT_First,0,1+INT((BI154-PT_First)/PT_Int)),0))-IF(AV154="FT",IF(BK154&lt;FT_First,0,IF(BK154&lt;FT_Y5,1+INT((BK154-FT_First)/FT_Int1),FT_PreY5+FT_PerYear*INT((BK154-FT_Y5)/12)+FT_AnnivDays+INT(MOD(BK154-FT_Y5,12)/FT_Int2)-IF(EDATE(AL154,FT_Y5)&lt;PolicyEff,FT_AnnivDays-1,0))),IF(AV154="PT",IF(BK154&lt;PT_First,0,1+INT((BK154-PT_First)/PT_Int)),0)),0))</f>
        <v/>
      </c>
      <c r="BM154" s="16" t="str">
        <f aca="false">IF(AK154=0,"",IF(AW154="FT",IF(AX154&lt;FT_First,"",IF(AX154&lt;FT_Y5,FT_First+FT_Int1*INT((AX154-FT_First)/FT_Int1),FT_Y5+FT_Int2*INT((AX154-FT_Y5)/FT_Int2))),IF(AW154="PT",IF(AX154&lt;PT_First,"",PT_First+PT_Int*INT((AX154-PT_First)/PT_Int)),"")))</f>
        <v/>
      </c>
      <c r="BN154" s="16" t="str">
        <f aca="false">IF(AK154=0,"",IF((SchemeStart-1)&lt;AL154,-1,12*(YEAR((SchemeStart-1))-YEAR(AL154))+MONTH((SchemeStart-1))-MONTH(AL154)-IF(DAY((SchemeStart-1))&lt;MIN(DAY(AL154),DAY(EOMONTH((SchemeStart-1),0))),1,0)))</f>
        <v/>
      </c>
      <c r="BO154" s="16" t="str">
        <f aca="false">IF(AK154=0,"",IF(OR(AM154&lt;2,AO154&gt;(SchemeStart-1)),BN154,IF((AO154-1)&lt;AL154,-1,12*(YEAR((AO154-1))-YEAR(AL154))+MONTH((AO154-1))-MONTH(AL154)-IF(DAY((AO154-1))&lt;MIN(DAY(AL154),DAY(EOMONTH((AO154-1),0))),1,0))))</f>
        <v/>
      </c>
      <c r="BP154" s="16" t="str">
        <f aca="false">IF(AK154=0,"",IF(OR(AM154&lt;3,AP154&gt;(SchemeStart-1)),BN154,IF((AP154-1)&lt;AL154,-1,12*(YEAR((AP154-1))-YEAR(AL154))+MONTH((AP154-1))-MONTH(AL154)-IF(DAY((AP154-1))&lt;MIN(DAY(AL154),DAY(EOMONTH((AP154-1),0))),1,0))))</f>
        <v/>
      </c>
      <c r="BQ154" s="16" t="str">
        <f aca="false">IF(AK154=0,"",IF(AT154="FT",IF(BO154&lt;FT_First,0,IF(BO154&lt;FT_Y5,1+INT((BO154-FT_First)/FT_Int1),FT_PreY5+FT_PerYear*INT((BO154-FT_Y5)/12)+FT_AnnivDays+INT(MOD(BO154-FT_Y5,12)/FT_Int2)-IF(EDATE(AL154,FT_Y5)&lt;PolicyEff,FT_AnnivDays-1,0))),IF(AT154="PT",IF(BO154&lt;PT_First,0,1+INT((BO154-PT_First)/PT_Int)),0))+IF(AND(AM154&gt;=2,AO154&lt;=(SchemeStart-1)),IF(AU154="FT",IF(BP154&lt;FT_First,0,IF(BP154&lt;FT_Y5,1+INT((BP154-FT_First)/FT_Int1),FT_PreY5+FT_PerYear*INT((BP154-FT_Y5)/12)+FT_AnnivDays+INT(MOD(BP154-FT_Y5,12)/FT_Int2)-IF(EDATE(AL154,FT_Y5)&lt;PolicyEff,FT_AnnivDays-1,0))),IF(AU154="PT",IF(BP154&lt;PT_First,0,1+INT((BP154-PT_First)/PT_Int)),0))-IF(AU154="FT",IF(BO154&lt;FT_First,0,IF(BO154&lt;FT_Y5,1+INT((BO154-FT_First)/FT_Int1),FT_PreY5+FT_PerYear*INT((BO154-FT_Y5)/12)+FT_AnnivDays+INT(MOD(BO154-FT_Y5,12)/FT_Int2)-IF(EDATE(AL154,FT_Y5)&lt;PolicyEff,FT_AnnivDays-1,0))),IF(AU154="PT",IF(BO154&lt;PT_First,0,1+INT((BO154-PT_First)/PT_Int)),0)),0)+IF(AND(AM154&gt;=3,AP154&lt;=(SchemeStart-1)),IF(AV154="FT",IF(BN154&lt;FT_First,0,IF(BN154&lt;FT_Y5,1+INT((BN154-FT_First)/FT_Int1),FT_PreY5+FT_PerYear*INT((BN154-FT_Y5)/12)+FT_AnnivDays+INT(MOD(BN154-FT_Y5,12)/FT_Int2)-IF(EDATE(AL154,FT_Y5)&lt;PolicyEff,FT_AnnivDays-1,0))),IF(AV154="PT",IF(BN154&lt;PT_First,0,1+INT((BN154-PT_First)/PT_Int)),0))-IF(AV154="FT",IF(BP154&lt;FT_First,0,IF(BP154&lt;FT_Y5,1+INT((BP154-FT_First)/FT_Int1),FT_PreY5+FT_PerYear*INT((BP154-FT_Y5)/12)+FT_AnnivDays+INT(MOD(BP154-FT_Y5,12)/FT_Int2)-IF(EDATE(AL154,FT_Y5)&lt;PolicyEff,FT_AnnivDays-1,0))),IF(AV154="PT",IF(BP154&lt;PT_First,0,1+INT((BP154-PT_First)/PT_Int)),0)),0))</f>
        <v/>
      </c>
      <c r="BR154" s="0" t="str">
        <f aca="false">IF(LEN($A154&amp;$B154)=0,"",$A154&amp;" "&amp;$B154)</f>
        <v/>
      </c>
    </row>
    <row r="157" customFormat="false" ht="15" hidden="false" customHeight="false" outlineLevel="0" collapsed="false">
      <c r="A157" s="5" t="s">
        <v>103</v>
      </c>
    </row>
    <row r="158" customFormat="false" ht="15" hidden="false" customHeight="false" outlineLevel="0" collapsed="false">
      <c r="A158" s="4" t="s">
        <v>104</v>
      </c>
    </row>
    <row r="159" customFormat="false" ht="15" hidden="false" customHeight="false" outlineLevel="0" collapsed="false">
      <c r="A159" s="4" t="s">
        <v>105</v>
      </c>
    </row>
    <row r="160" customFormat="false" ht="15" hidden="false" customHeight="false" outlineLevel="0" collapsed="false">
      <c r="A160" s="4" t="s">
        <v>106</v>
      </c>
    </row>
    <row r="161" customFormat="false" ht="15" hidden="false" customHeight="false" outlineLevel="0" collapsed="false">
      <c r="A161" s="4" t="s">
        <v>107</v>
      </c>
    </row>
  </sheetData>
  <autoFilter ref="A4:AD154"/>
  <conditionalFormatting sqref="AA5:AA154">
    <cfRule type="expression" priority="2" aboveAverage="0" equalAverage="0" bottom="0" percent="0" rank="0" text="" dxfId="8">
      <formula>LEFT(AA5,6)="ACCRUE"</formula>
    </cfRule>
    <cfRule type="expression" priority="3" aboveAverage="0" equalAverage="0" bottom="0" percent="0" rank="0" text="" dxfId="9">
      <formula>LEFT(AA5,5)="CHECK"</formula>
    </cfRule>
    <cfRule type="expression" priority="4" aboveAverage="0" equalAverage="0" bottom="0" percent="0" rank="0" text="" dxfId="9">
      <formula>LEFT(AA5,3)="FIX"</formula>
    </cfRule>
    <cfRule type="expression" priority="5" aboveAverage="0" equalAverage="0" bottom="0" percent="0" rank="0" text="" dxfId="10">
      <formula>LEFT(AA5,2)="OK"</formula>
    </cfRule>
  </conditionalFormatting>
  <conditionalFormatting sqref="AH5:AH154">
    <cfRule type="expression" priority="6" aboveAverage="0" equalAverage="0" bottom="0" percent="0" rank="0" text="" dxfId="9">
      <formula>N(AH5)&gt;0</formula>
    </cfRule>
  </conditionalFormatting>
  <conditionalFormatting sqref="Z5:Z154">
    <cfRule type="expression" priority="7" aboveAverage="0" equalAverage="0" bottom="0" percent="0" rank="0" text="" dxfId="11">
      <formula>Z5="Yes"</formula>
    </cfRule>
  </conditionalFormatting>
  <conditionalFormatting sqref="AE5:AE154">
    <cfRule type="expression" priority="8" aboveAverage="0" equalAverage="0" bottom="0" percent="0" rank="0" text="" dxfId="11">
      <formula>AE5&gt;0</formula>
    </cfRule>
  </conditionalFormatting>
  <conditionalFormatting sqref="R5:R154">
    <cfRule type="expression" priority="9" aboveAverage="0" equalAverage="0" bottom="0" percent="0" rank="0" text="" dxfId="12">
      <formula>LEFT(R5,3)="Yes"</formula>
    </cfRule>
  </conditionalFormatting>
  <conditionalFormatting sqref="Q5:Q154">
    <cfRule type="expression" priority="10" aboveAverage="0" equalAverage="0" bottom="0" percent="0" rank="0" text="" dxfId="13">
      <formula>Q5&lt;&gt;""</formula>
    </cfRule>
  </conditionalFormatting>
  <conditionalFormatting sqref="AD5:AD154">
    <cfRule type="expression" priority="11" aboveAverage="0" equalAverage="0" bottom="0" percent="0" rank="0" text="" dxfId="14">
      <formula>AD5&lt;&gt;""</formula>
    </cfRule>
  </conditionalFormatting>
  <dataValidations count="2">
    <dataValidation allowBlank="true" errorStyle="stop" operator="between" showDropDown="false" showErrorMessage="false" showInputMessage="false" sqref="C5:C154" type="list">
      <formula1>"Full-Time,Part-Time,Casual"</formula1>
      <formula2>0</formula2>
    </dataValidation>
    <dataValidation allowBlank="true" error="Enter a date" errorStyle="stop" operator="greaterThan" showDropDown="false" showErrorMessage="false" showInputMessage="false" sqref="D5:D154 F5:J154" type="date">
      <formula1>20000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Q3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4" min="3" style="0" width="12"/>
    <col collapsed="false" customWidth="true" hidden="false" outlineLevel="0" max="5" min="5" style="0" width="16"/>
    <col collapsed="false" customWidth="true" hidden="false" outlineLevel="0" max="7" min="6" style="0" width="12"/>
    <col collapsed="false" customWidth="true" hidden="false" outlineLevel="0" max="8" min="8" style="0" width="24"/>
    <col collapsed="false" customWidth="true" hidden="false" outlineLevel="0" max="9" min="9" style="0" width="10"/>
    <col collapsed="false" customWidth="true" hidden="false" outlineLevel="0" max="11" min="10" style="0" width="12"/>
    <col collapsed="false" customWidth="true" hidden="false" outlineLevel="0" max="12" min="12" style="0" width="10"/>
    <col collapsed="false" customWidth="true" hidden="false" outlineLevel="0" max="14" min="14" style="0" width="14"/>
    <col collapsed="false" customWidth="true" hidden="false" outlineLevel="0" max="15" min="15" style="0" width="16"/>
  </cols>
  <sheetData>
    <row r="1" customFormat="false" ht="15" hidden="false" customHeight="false" outlineLevel="0" collapsed="false">
      <c r="A1" s="5" t="s">
        <v>108</v>
      </c>
      <c r="B1" s="5" t="s">
        <v>109</v>
      </c>
      <c r="C1" s="5" t="s">
        <v>110</v>
      </c>
      <c r="D1" s="5" t="s">
        <v>34</v>
      </c>
      <c r="E1" s="5" t="s">
        <v>111</v>
      </c>
      <c r="F1" s="5" t="s">
        <v>112</v>
      </c>
      <c r="G1" s="5" t="s">
        <v>113</v>
      </c>
      <c r="H1" s="5" t="s">
        <v>114</v>
      </c>
      <c r="I1" s="5" t="s">
        <v>68</v>
      </c>
      <c r="J1" s="5" t="s">
        <v>115</v>
      </c>
      <c r="K1" s="5" t="s">
        <v>116</v>
      </c>
      <c r="L1" s="5" t="s">
        <v>117</v>
      </c>
      <c r="N1" s="19" t="s">
        <v>118</v>
      </c>
      <c r="O1" s="19" t="s">
        <v>119</v>
      </c>
    </row>
    <row r="2" customFormat="false" ht="15" hidden="false" customHeight="false" outlineLevel="0" collapsed="false">
      <c r="N2" s="4" t="str">
        <f aca="false">IF(H2="","",IFERROR(LEFT(H2,FIND(" ",H2)-1),H2))</f>
        <v/>
      </c>
      <c r="O2" s="20" t="n">
        <f aca="false">IFERROR(DATE(VALUE(MID(N2,FIND("/",N2,FIND("/",N2)+1)+1,4)),VALUE(MID(N2,FIND("/",N2)+1,FIND("/",N2,FIND("/",N2)+1)-FIND("/",N2)-1)),VALUE(LEFT(N2,FIND("/",N2)-1))),0)</f>
        <v>0</v>
      </c>
      <c r="Q2" s="4" t="s">
        <v>120</v>
      </c>
    </row>
    <row r="3" customFormat="false" ht="15" hidden="false" customHeight="false" outlineLevel="0" collapsed="false">
      <c r="N3" s="0" t="str">
        <f aca="false">IF(H3="","",IFERROR(LEFT(H3,FIND(" ",H3)-1),H3))</f>
        <v/>
      </c>
      <c r="O3" s="20" t="n">
        <f aca="false">IFERROR(DATE(VALUE(MID(N3,FIND("/",N3,FIND("/",N3)+1)+1,4)),VALUE(MID(N3,FIND("/",N3)+1,FIND("/",N3,FIND("/",N3)+1)-FIND("/",N3)-1)),VALUE(LEFT(N3,FIND("/",N3)-1))),0)</f>
        <v>0</v>
      </c>
    </row>
    <row r="4" customFormat="false" ht="15" hidden="false" customHeight="false" outlineLevel="0" collapsed="false">
      <c r="N4" s="0" t="str">
        <f aca="false">IF(H4="","",IFERROR(LEFT(H4,FIND(" ",H4)-1),H4))</f>
        <v/>
      </c>
      <c r="O4" s="20" t="n">
        <f aca="false">IFERROR(DATE(VALUE(MID(N4,FIND("/",N4,FIND("/",N4)+1)+1,4)),VALUE(MID(N4,FIND("/",N4)+1,FIND("/",N4,FIND("/",N4)+1)-FIND("/",N4)-1)),VALUE(LEFT(N4,FIND("/",N4)-1))),0)</f>
        <v>0</v>
      </c>
    </row>
    <row r="5" customFormat="false" ht="15" hidden="false" customHeight="false" outlineLevel="0" collapsed="false">
      <c r="N5" s="0" t="str">
        <f aca="false">IF(H5="","",IFERROR(LEFT(H5,FIND(" ",H5)-1),H5))</f>
        <v/>
      </c>
      <c r="O5" s="20" t="n">
        <f aca="false">IFERROR(DATE(VALUE(MID(N5,FIND("/",N5,FIND("/",N5)+1)+1,4)),VALUE(MID(N5,FIND("/",N5)+1,FIND("/",N5,FIND("/",N5)+1)-FIND("/",N5)-1)),VALUE(LEFT(N5,FIND("/",N5)-1))),0)</f>
        <v>0</v>
      </c>
    </row>
    <row r="6" customFormat="false" ht="15" hidden="false" customHeight="false" outlineLevel="0" collapsed="false">
      <c r="N6" s="0" t="str">
        <f aca="false">IF(H6="","",IFERROR(LEFT(H6,FIND(" ",H6)-1),H6))</f>
        <v/>
      </c>
      <c r="O6" s="20" t="n">
        <f aca="false">IFERROR(DATE(VALUE(MID(N6,FIND("/",N6,FIND("/",N6)+1)+1,4)),VALUE(MID(N6,FIND("/",N6)+1,FIND("/",N6,FIND("/",N6)+1)-FIND("/",N6)-1)),VALUE(LEFT(N6,FIND("/",N6)-1))),0)</f>
        <v>0</v>
      </c>
    </row>
    <row r="7" customFormat="false" ht="15" hidden="false" customHeight="false" outlineLevel="0" collapsed="false">
      <c r="N7" s="0" t="str">
        <f aca="false">IF(H7="","",IFERROR(LEFT(H7,FIND(" ",H7)-1),H7))</f>
        <v/>
      </c>
      <c r="O7" s="20" t="n">
        <f aca="false">IFERROR(DATE(VALUE(MID(N7,FIND("/",N7,FIND("/",N7)+1)+1,4)),VALUE(MID(N7,FIND("/",N7)+1,FIND("/",N7,FIND("/",N7)+1)-FIND("/",N7)-1)),VALUE(LEFT(N7,FIND("/",N7)-1))),0)</f>
        <v>0</v>
      </c>
    </row>
    <row r="8" customFormat="false" ht="15" hidden="false" customHeight="false" outlineLevel="0" collapsed="false">
      <c r="N8" s="0" t="str">
        <f aca="false">IF(H8="","",IFERROR(LEFT(H8,FIND(" ",H8)-1),H8))</f>
        <v/>
      </c>
      <c r="O8" s="20" t="n">
        <f aca="false">IFERROR(DATE(VALUE(MID(N8,FIND("/",N8,FIND("/",N8)+1)+1,4)),VALUE(MID(N8,FIND("/",N8)+1,FIND("/",N8,FIND("/",N8)+1)-FIND("/",N8)-1)),VALUE(LEFT(N8,FIND("/",N8)-1))),0)</f>
        <v>0</v>
      </c>
    </row>
    <row r="9" customFormat="false" ht="15" hidden="false" customHeight="false" outlineLevel="0" collapsed="false">
      <c r="N9" s="0" t="str">
        <f aca="false">IF(H9="","",IFERROR(LEFT(H9,FIND(" ",H9)-1),H9))</f>
        <v/>
      </c>
      <c r="O9" s="20" t="n">
        <f aca="false">IFERROR(DATE(VALUE(MID(N9,FIND("/",N9,FIND("/",N9)+1)+1,4)),VALUE(MID(N9,FIND("/",N9)+1,FIND("/",N9,FIND("/",N9)+1)-FIND("/",N9)-1)),VALUE(LEFT(N9,FIND("/",N9)-1))),0)</f>
        <v>0</v>
      </c>
    </row>
    <row r="10" customFormat="false" ht="15" hidden="false" customHeight="false" outlineLevel="0" collapsed="false">
      <c r="N10" s="0" t="str">
        <f aca="false">IF(H10="","",IFERROR(LEFT(H10,FIND(" ",H10)-1),H10))</f>
        <v/>
      </c>
      <c r="O10" s="20" t="n">
        <f aca="false">IFERROR(DATE(VALUE(MID(N10,FIND("/",N10,FIND("/",N10)+1)+1,4)),VALUE(MID(N10,FIND("/",N10)+1,FIND("/",N10,FIND("/",N10)+1)-FIND("/",N10)-1)),VALUE(LEFT(N10,FIND("/",N10)-1))),0)</f>
        <v>0</v>
      </c>
    </row>
    <row r="11" customFormat="false" ht="15" hidden="false" customHeight="false" outlineLevel="0" collapsed="false">
      <c r="N11" s="0" t="str">
        <f aca="false">IF(H11="","",IFERROR(LEFT(H11,FIND(" ",H11)-1),H11))</f>
        <v/>
      </c>
      <c r="O11" s="20" t="n">
        <f aca="false">IFERROR(DATE(VALUE(MID(N11,FIND("/",N11,FIND("/",N11)+1)+1,4)),VALUE(MID(N11,FIND("/",N11)+1,FIND("/",N11,FIND("/",N11)+1)-FIND("/",N11)-1)),VALUE(LEFT(N11,FIND("/",N11)-1))),0)</f>
        <v>0</v>
      </c>
    </row>
    <row r="12" customFormat="false" ht="15" hidden="false" customHeight="false" outlineLevel="0" collapsed="false">
      <c r="N12" s="0" t="str">
        <f aca="false">IF(H12="","",IFERROR(LEFT(H12,FIND(" ",H12)-1),H12))</f>
        <v/>
      </c>
      <c r="O12" s="20" t="n">
        <f aca="false">IFERROR(DATE(VALUE(MID(N12,FIND("/",N12,FIND("/",N12)+1)+1,4)),VALUE(MID(N12,FIND("/",N12)+1,FIND("/",N12,FIND("/",N12)+1)-FIND("/",N12)-1)),VALUE(LEFT(N12,FIND("/",N12)-1))),0)</f>
        <v>0</v>
      </c>
    </row>
    <row r="13" customFormat="false" ht="15" hidden="false" customHeight="false" outlineLevel="0" collapsed="false">
      <c r="N13" s="0" t="str">
        <f aca="false">IF(H13="","",IFERROR(LEFT(H13,FIND(" ",H13)-1),H13))</f>
        <v/>
      </c>
      <c r="O13" s="20" t="n">
        <f aca="false">IFERROR(DATE(VALUE(MID(N13,FIND("/",N13,FIND("/",N13)+1)+1,4)),VALUE(MID(N13,FIND("/",N13)+1,FIND("/",N13,FIND("/",N13)+1)-FIND("/",N13)-1)),VALUE(LEFT(N13,FIND("/",N13)-1))),0)</f>
        <v>0</v>
      </c>
    </row>
    <row r="14" customFormat="false" ht="15" hidden="false" customHeight="false" outlineLevel="0" collapsed="false">
      <c r="N14" s="0" t="str">
        <f aca="false">IF(H14="","",IFERROR(LEFT(H14,FIND(" ",H14)-1),H14))</f>
        <v/>
      </c>
      <c r="O14" s="20" t="n">
        <f aca="false">IFERROR(DATE(VALUE(MID(N14,FIND("/",N14,FIND("/",N14)+1)+1,4)),VALUE(MID(N14,FIND("/",N14)+1,FIND("/",N14,FIND("/",N14)+1)-FIND("/",N14)-1)),VALUE(LEFT(N14,FIND("/",N14)-1))),0)</f>
        <v>0</v>
      </c>
    </row>
    <row r="15" customFormat="false" ht="15" hidden="false" customHeight="false" outlineLevel="0" collapsed="false">
      <c r="N15" s="0" t="str">
        <f aca="false">IF(H15="","",IFERROR(LEFT(H15,FIND(" ",H15)-1),H15))</f>
        <v/>
      </c>
      <c r="O15" s="20" t="n">
        <f aca="false">IFERROR(DATE(VALUE(MID(N15,FIND("/",N15,FIND("/",N15)+1)+1,4)),VALUE(MID(N15,FIND("/",N15)+1,FIND("/",N15,FIND("/",N15)+1)-FIND("/",N15)-1)),VALUE(LEFT(N15,FIND("/",N15)-1))),0)</f>
        <v>0</v>
      </c>
    </row>
    <row r="16" customFormat="false" ht="15" hidden="false" customHeight="false" outlineLevel="0" collapsed="false">
      <c r="N16" s="0" t="str">
        <f aca="false">IF(H16="","",IFERROR(LEFT(H16,FIND(" ",H16)-1),H16))</f>
        <v/>
      </c>
      <c r="O16" s="20" t="n">
        <f aca="false">IFERROR(DATE(VALUE(MID(N16,FIND("/",N16,FIND("/",N16)+1)+1,4)),VALUE(MID(N16,FIND("/",N16)+1,FIND("/",N16,FIND("/",N16)+1)-FIND("/",N16)-1)),VALUE(LEFT(N16,FIND("/",N16)-1))),0)</f>
        <v>0</v>
      </c>
    </row>
    <row r="17" customFormat="false" ht="15" hidden="false" customHeight="false" outlineLevel="0" collapsed="false">
      <c r="N17" s="0" t="str">
        <f aca="false">IF(H17="","",IFERROR(LEFT(H17,FIND(" ",H17)-1),H17))</f>
        <v/>
      </c>
      <c r="O17" s="20" t="n">
        <f aca="false">IFERROR(DATE(VALUE(MID(N17,FIND("/",N17,FIND("/",N17)+1)+1,4)),VALUE(MID(N17,FIND("/",N17)+1,FIND("/",N17,FIND("/",N17)+1)-FIND("/",N17)-1)),VALUE(LEFT(N17,FIND("/",N17)-1))),0)</f>
        <v>0</v>
      </c>
    </row>
    <row r="18" customFormat="false" ht="15" hidden="false" customHeight="false" outlineLevel="0" collapsed="false">
      <c r="N18" s="0" t="str">
        <f aca="false">IF(H18="","",IFERROR(LEFT(H18,FIND(" ",H18)-1),H18))</f>
        <v/>
      </c>
      <c r="O18" s="20" t="n">
        <f aca="false">IFERROR(DATE(VALUE(MID(N18,FIND("/",N18,FIND("/",N18)+1)+1,4)),VALUE(MID(N18,FIND("/",N18)+1,FIND("/",N18,FIND("/",N18)+1)-FIND("/",N18)-1)),VALUE(LEFT(N18,FIND("/",N18)-1))),0)</f>
        <v>0</v>
      </c>
    </row>
    <row r="19" customFormat="false" ht="15" hidden="false" customHeight="false" outlineLevel="0" collapsed="false">
      <c r="N19" s="0" t="str">
        <f aca="false">IF(H19="","",IFERROR(LEFT(H19,FIND(" ",H19)-1),H19))</f>
        <v/>
      </c>
      <c r="O19" s="20" t="n">
        <f aca="false">IFERROR(DATE(VALUE(MID(N19,FIND("/",N19,FIND("/",N19)+1)+1,4)),VALUE(MID(N19,FIND("/",N19)+1,FIND("/",N19,FIND("/",N19)+1)-FIND("/",N19)-1)),VALUE(LEFT(N19,FIND("/",N19)-1))),0)</f>
        <v>0</v>
      </c>
    </row>
    <row r="20" customFormat="false" ht="15" hidden="false" customHeight="false" outlineLevel="0" collapsed="false">
      <c r="N20" s="0" t="str">
        <f aca="false">IF(H20="","",IFERROR(LEFT(H20,FIND(" ",H20)-1),H20))</f>
        <v/>
      </c>
      <c r="O20" s="20" t="n">
        <f aca="false">IFERROR(DATE(VALUE(MID(N20,FIND("/",N20,FIND("/",N20)+1)+1,4)),VALUE(MID(N20,FIND("/",N20)+1,FIND("/",N20,FIND("/",N20)+1)-FIND("/",N20)-1)),VALUE(LEFT(N20,FIND("/",N20)-1))),0)</f>
        <v>0</v>
      </c>
    </row>
    <row r="21" customFormat="false" ht="15" hidden="false" customHeight="false" outlineLevel="0" collapsed="false">
      <c r="N21" s="0" t="str">
        <f aca="false">IF(H21="","",IFERROR(LEFT(H21,FIND(" ",H21)-1),H21))</f>
        <v/>
      </c>
      <c r="O21" s="20" t="n">
        <f aca="false">IFERROR(DATE(VALUE(MID(N21,FIND("/",N21,FIND("/",N21)+1)+1,4)),VALUE(MID(N21,FIND("/",N21)+1,FIND("/",N21,FIND("/",N21)+1)-FIND("/",N21)-1)),VALUE(LEFT(N21,FIND("/",N21)-1))),0)</f>
        <v>0</v>
      </c>
    </row>
    <row r="22" customFormat="false" ht="15" hidden="false" customHeight="false" outlineLevel="0" collapsed="false">
      <c r="N22" s="0" t="str">
        <f aca="false">IF(H22="","",IFERROR(LEFT(H22,FIND(" ",H22)-1),H22))</f>
        <v/>
      </c>
      <c r="O22" s="20" t="n">
        <f aca="false">IFERROR(DATE(VALUE(MID(N22,FIND("/",N22,FIND("/",N22)+1)+1,4)),VALUE(MID(N22,FIND("/",N22)+1,FIND("/",N22,FIND("/",N22)+1)-FIND("/",N22)-1)),VALUE(LEFT(N22,FIND("/",N22)-1))),0)</f>
        <v>0</v>
      </c>
    </row>
    <row r="23" customFormat="false" ht="15" hidden="false" customHeight="false" outlineLevel="0" collapsed="false">
      <c r="N23" s="0" t="str">
        <f aca="false">IF(H23="","",IFERROR(LEFT(H23,FIND(" ",H23)-1),H23))</f>
        <v/>
      </c>
      <c r="O23" s="20" t="n">
        <f aca="false">IFERROR(DATE(VALUE(MID(N23,FIND("/",N23,FIND("/",N23)+1)+1,4)),VALUE(MID(N23,FIND("/",N23)+1,FIND("/",N23,FIND("/",N23)+1)-FIND("/",N23)-1)),VALUE(LEFT(N23,FIND("/",N23)-1))),0)</f>
        <v>0</v>
      </c>
    </row>
    <row r="24" customFormat="false" ht="15" hidden="false" customHeight="false" outlineLevel="0" collapsed="false">
      <c r="N24" s="0" t="str">
        <f aca="false">IF(H24="","",IFERROR(LEFT(H24,FIND(" ",H24)-1),H24))</f>
        <v/>
      </c>
      <c r="O24" s="20" t="n">
        <f aca="false">IFERROR(DATE(VALUE(MID(N24,FIND("/",N24,FIND("/",N24)+1)+1,4)),VALUE(MID(N24,FIND("/",N24)+1,FIND("/",N24,FIND("/",N24)+1)-FIND("/",N24)-1)),VALUE(LEFT(N24,FIND("/",N24)-1))),0)</f>
        <v>0</v>
      </c>
    </row>
    <row r="25" customFormat="false" ht="15" hidden="false" customHeight="false" outlineLevel="0" collapsed="false">
      <c r="N25" s="0" t="str">
        <f aca="false">IF(H25="","",IFERROR(LEFT(H25,FIND(" ",H25)-1),H25))</f>
        <v/>
      </c>
      <c r="O25" s="20" t="n">
        <f aca="false">IFERROR(DATE(VALUE(MID(N25,FIND("/",N25,FIND("/",N25)+1)+1,4)),VALUE(MID(N25,FIND("/",N25)+1,FIND("/",N25,FIND("/",N25)+1)-FIND("/",N25)-1)),VALUE(LEFT(N25,FIND("/",N25)-1))),0)</f>
        <v>0</v>
      </c>
    </row>
    <row r="26" customFormat="false" ht="15" hidden="false" customHeight="false" outlineLevel="0" collapsed="false">
      <c r="N26" s="0" t="str">
        <f aca="false">IF(H26="","",IFERROR(LEFT(H26,FIND(" ",H26)-1),H26))</f>
        <v/>
      </c>
      <c r="O26" s="20" t="n">
        <f aca="false">IFERROR(DATE(VALUE(MID(N26,FIND("/",N26,FIND("/",N26)+1)+1,4)),VALUE(MID(N26,FIND("/",N26)+1,FIND("/",N26,FIND("/",N26)+1)-FIND("/",N26)-1)),VALUE(LEFT(N26,FIND("/",N26)-1))),0)</f>
        <v>0</v>
      </c>
    </row>
    <row r="27" customFormat="false" ht="15" hidden="false" customHeight="false" outlineLevel="0" collapsed="false">
      <c r="N27" s="0" t="str">
        <f aca="false">IF(H27="","",IFERROR(LEFT(H27,FIND(" ",H27)-1),H27))</f>
        <v/>
      </c>
      <c r="O27" s="20" t="n">
        <f aca="false">IFERROR(DATE(VALUE(MID(N27,FIND("/",N27,FIND("/",N27)+1)+1,4)),VALUE(MID(N27,FIND("/",N27)+1,FIND("/",N27,FIND("/",N27)+1)-FIND("/",N27)-1)),VALUE(LEFT(N27,FIND("/",N27)-1))),0)</f>
        <v>0</v>
      </c>
    </row>
    <row r="28" customFormat="false" ht="15" hidden="false" customHeight="false" outlineLevel="0" collapsed="false">
      <c r="N28" s="0" t="str">
        <f aca="false">IF(H28="","",IFERROR(LEFT(H28,FIND(" ",H28)-1),H28))</f>
        <v/>
      </c>
      <c r="O28" s="20" t="n">
        <f aca="false">IFERROR(DATE(VALUE(MID(N28,FIND("/",N28,FIND("/",N28)+1)+1,4)),VALUE(MID(N28,FIND("/",N28)+1,FIND("/",N28,FIND("/",N28)+1)-FIND("/",N28)-1)),VALUE(LEFT(N28,FIND("/",N28)-1))),0)</f>
        <v>0</v>
      </c>
    </row>
    <row r="29" customFormat="false" ht="15" hidden="false" customHeight="false" outlineLevel="0" collapsed="false">
      <c r="N29" s="0" t="str">
        <f aca="false">IF(H29="","",IFERROR(LEFT(H29,FIND(" ",H29)-1),H29))</f>
        <v/>
      </c>
      <c r="O29" s="20" t="n">
        <f aca="false">IFERROR(DATE(VALUE(MID(N29,FIND("/",N29,FIND("/",N29)+1)+1,4)),VALUE(MID(N29,FIND("/",N29)+1,FIND("/",N29,FIND("/",N29)+1)-FIND("/",N29)-1)),VALUE(LEFT(N29,FIND("/",N29)-1))),0)</f>
        <v>0</v>
      </c>
    </row>
    <row r="30" customFormat="false" ht="15" hidden="false" customHeight="false" outlineLevel="0" collapsed="false">
      <c r="N30" s="0" t="str">
        <f aca="false">IF(H30="","",IFERROR(LEFT(H30,FIND(" ",H30)-1),H30))</f>
        <v/>
      </c>
      <c r="O30" s="20" t="n">
        <f aca="false">IFERROR(DATE(VALUE(MID(N30,FIND("/",N30,FIND("/",N30)+1)+1,4)),VALUE(MID(N30,FIND("/",N30)+1,FIND("/",N30,FIND("/",N30)+1)-FIND("/",N30)-1)),VALUE(LEFT(N30,FIND("/",N30)-1))),0)</f>
        <v>0</v>
      </c>
    </row>
    <row r="31" customFormat="false" ht="15" hidden="false" customHeight="false" outlineLevel="0" collapsed="false">
      <c r="N31" s="0" t="str">
        <f aca="false">IF(H31="","",IFERROR(LEFT(H31,FIND(" ",H31)-1),H31))</f>
        <v/>
      </c>
      <c r="O31" s="20" t="n">
        <f aca="false">IFERROR(DATE(VALUE(MID(N31,FIND("/",N31,FIND("/",N31)+1)+1,4)),VALUE(MID(N31,FIND("/",N31)+1,FIND("/",N31,FIND("/",N31)+1)-FIND("/",N31)-1)),VALUE(LEFT(N31,FIND("/",N31)-1))),0)</f>
        <v>0</v>
      </c>
    </row>
    <row r="32" customFormat="false" ht="15" hidden="false" customHeight="false" outlineLevel="0" collapsed="false">
      <c r="N32" s="0" t="str">
        <f aca="false">IF(H32="","",IFERROR(LEFT(H32,FIND(" ",H32)-1),H32))</f>
        <v/>
      </c>
      <c r="O32" s="20" t="n">
        <f aca="false">IFERROR(DATE(VALUE(MID(N32,FIND("/",N32,FIND("/",N32)+1)+1,4)),VALUE(MID(N32,FIND("/",N32)+1,FIND("/",N32,FIND("/",N32)+1)-FIND("/",N32)-1)),VALUE(LEFT(N32,FIND("/",N32)-1))),0)</f>
        <v>0</v>
      </c>
    </row>
    <row r="33" customFormat="false" ht="15" hidden="false" customHeight="false" outlineLevel="0" collapsed="false">
      <c r="N33" s="0" t="str">
        <f aca="false">IF(H33="","",IFERROR(LEFT(H33,FIND(" ",H33)-1),H33))</f>
        <v/>
      </c>
      <c r="O33" s="20" t="n">
        <f aca="false">IFERROR(DATE(VALUE(MID(N33,FIND("/",N33,FIND("/",N33)+1)+1,4)),VALUE(MID(N33,FIND("/",N33)+1,FIND("/",N33,FIND("/",N33)+1)-FIND("/",N33)-1)),VALUE(LEFT(N33,FIND("/",N33)-1))),0)</f>
        <v>0</v>
      </c>
    </row>
    <row r="34" customFormat="false" ht="15" hidden="false" customHeight="false" outlineLevel="0" collapsed="false">
      <c r="N34" s="0" t="str">
        <f aca="false">IF(H34="","",IFERROR(LEFT(H34,FIND(" ",H34)-1),H34))</f>
        <v/>
      </c>
      <c r="O34" s="20" t="n">
        <f aca="false">IFERROR(DATE(VALUE(MID(N34,FIND("/",N34,FIND("/",N34)+1)+1,4)),VALUE(MID(N34,FIND("/",N34)+1,FIND("/",N34,FIND("/",N34)+1)-FIND("/",N34)-1)),VALUE(LEFT(N34,FIND("/",N34)-1))),0)</f>
        <v>0</v>
      </c>
    </row>
    <row r="35" customFormat="false" ht="15" hidden="false" customHeight="false" outlineLevel="0" collapsed="false">
      <c r="N35" s="0" t="str">
        <f aca="false">IF(H35="","",IFERROR(LEFT(H35,FIND(" ",H35)-1),H35))</f>
        <v/>
      </c>
      <c r="O35" s="20" t="n">
        <f aca="false">IFERROR(DATE(VALUE(MID(N35,FIND("/",N35,FIND("/",N35)+1)+1,4)),VALUE(MID(N35,FIND("/",N35)+1,FIND("/",N35,FIND("/",N35)+1)-FIND("/",N35)-1)),VALUE(LEFT(N35,FIND("/",N35)-1))),0)</f>
        <v>0</v>
      </c>
    </row>
    <row r="36" customFormat="false" ht="15" hidden="false" customHeight="false" outlineLevel="0" collapsed="false">
      <c r="N36" s="0" t="str">
        <f aca="false">IF(H36="","",IFERROR(LEFT(H36,FIND(" ",H36)-1),H36))</f>
        <v/>
      </c>
      <c r="O36" s="20" t="n">
        <f aca="false">IFERROR(DATE(VALUE(MID(N36,FIND("/",N36,FIND("/",N36)+1)+1,4)),VALUE(MID(N36,FIND("/",N36)+1,FIND("/",N36,FIND("/",N36)+1)-FIND("/",N36)-1)),VALUE(LEFT(N36,FIND("/",N36)-1))),0)</f>
        <v>0</v>
      </c>
    </row>
    <row r="37" customFormat="false" ht="15" hidden="false" customHeight="false" outlineLevel="0" collapsed="false">
      <c r="N37" s="0" t="str">
        <f aca="false">IF(H37="","",IFERROR(LEFT(H37,FIND(" ",H37)-1),H37))</f>
        <v/>
      </c>
      <c r="O37" s="20" t="n">
        <f aca="false">IFERROR(DATE(VALUE(MID(N37,FIND("/",N37,FIND("/",N37)+1)+1,4)),VALUE(MID(N37,FIND("/",N37)+1,FIND("/",N37,FIND("/",N37)+1)-FIND("/",N37)-1)),VALUE(LEFT(N37,FIND("/",N37)-1))),0)</f>
        <v>0</v>
      </c>
    </row>
    <row r="38" customFormat="false" ht="15" hidden="false" customHeight="false" outlineLevel="0" collapsed="false">
      <c r="N38" s="0" t="str">
        <f aca="false">IF(H38="","",IFERROR(LEFT(H38,FIND(" ",H38)-1),H38))</f>
        <v/>
      </c>
      <c r="O38" s="20" t="n">
        <f aca="false">IFERROR(DATE(VALUE(MID(N38,FIND("/",N38,FIND("/",N38)+1)+1,4)),VALUE(MID(N38,FIND("/",N38)+1,FIND("/",N38,FIND("/",N38)+1)-FIND("/",N38)-1)),VALUE(LEFT(N38,FIND("/",N38)-1))),0)</f>
        <v>0</v>
      </c>
    </row>
    <row r="39" customFormat="false" ht="15" hidden="false" customHeight="false" outlineLevel="0" collapsed="false">
      <c r="N39" s="0" t="str">
        <f aca="false">IF(H39="","",IFERROR(LEFT(H39,FIND(" ",H39)-1),H39))</f>
        <v/>
      </c>
      <c r="O39" s="20" t="n">
        <f aca="false">IFERROR(DATE(VALUE(MID(N39,FIND("/",N39,FIND("/",N39)+1)+1,4)),VALUE(MID(N39,FIND("/",N39)+1,FIND("/",N39,FIND("/",N39)+1)-FIND("/",N39)-1)),VALUE(LEFT(N39,FIND("/",N39)-1))),0)</f>
        <v>0</v>
      </c>
    </row>
    <row r="40" customFormat="false" ht="15" hidden="false" customHeight="false" outlineLevel="0" collapsed="false">
      <c r="N40" s="0" t="str">
        <f aca="false">IF(H40="","",IFERROR(LEFT(H40,FIND(" ",H40)-1),H40))</f>
        <v/>
      </c>
      <c r="O40" s="20" t="n">
        <f aca="false">IFERROR(DATE(VALUE(MID(N40,FIND("/",N40,FIND("/",N40)+1)+1,4)),VALUE(MID(N40,FIND("/",N40)+1,FIND("/",N40,FIND("/",N40)+1)-FIND("/",N40)-1)),VALUE(LEFT(N40,FIND("/",N40)-1))),0)</f>
        <v>0</v>
      </c>
    </row>
    <row r="41" customFormat="false" ht="15" hidden="false" customHeight="false" outlineLevel="0" collapsed="false">
      <c r="N41" s="0" t="str">
        <f aca="false">IF(H41="","",IFERROR(LEFT(H41,FIND(" ",H41)-1),H41))</f>
        <v/>
      </c>
      <c r="O41" s="20" t="n">
        <f aca="false">IFERROR(DATE(VALUE(MID(N41,FIND("/",N41,FIND("/",N41)+1)+1,4)),VALUE(MID(N41,FIND("/",N41)+1,FIND("/",N41,FIND("/",N41)+1)-FIND("/",N41)-1)),VALUE(LEFT(N41,FIND("/",N41)-1))),0)</f>
        <v>0</v>
      </c>
    </row>
    <row r="42" customFormat="false" ht="15" hidden="false" customHeight="false" outlineLevel="0" collapsed="false">
      <c r="N42" s="0" t="str">
        <f aca="false">IF(H42="","",IFERROR(LEFT(H42,FIND(" ",H42)-1),H42))</f>
        <v/>
      </c>
      <c r="O42" s="20" t="n">
        <f aca="false">IFERROR(DATE(VALUE(MID(N42,FIND("/",N42,FIND("/",N42)+1)+1,4)),VALUE(MID(N42,FIND("/",N42)+1,FIND("/",N42,FIND("/",N42)+1)-FIND("/",N42)-1)),VALUE(LEFT(N42,FIND("/",N42)-1))),0)</f>
        <v>0</v>
      </c>
    </row>
    <row r="43" customFormat="false" ht="15" hidden="false" customHeight="false" outlineLevel="0" collapsed="false">
      <c r="N43" s="0" t="str">
        <f aca="false">IF(H43="","",IFERROR(LEFT(H43,FIND(" ",H43)-1),H43))</f>
        <v/>
      </c>
      <c r="O43" s="20" t="n">
        <f aca="false">IFERROR(DATE(VALUE(MID(N43,FIND("/",N43,FIND("/",N43)+1)+1,4)),VALUE(MID(N43,FIND("/",N43)+1,FIND("/",N43,FIND("/",N43)+1)-FIND("/",N43)-1)),VALUE(LEFT(N43,FIND("/",N43)-1))),0)</f>
        <v>0</v>
      </c>
    </row>
    <row r="44" customFormat="false" ht="15" hidden="false" customHeight="false" outlineLevel="0" collapsed="false">
      <c r="N44" s="0" t="str">
        <f aca="false">IF(H44="","",IFERROR(LEFT(H44,FIND(" ",H44)-1),H44))</f>
        <v/>
      </c>
      <c r="O44" s="20" t="n">
        <f aca="false">IFERROR(DATE(VALUE(MID(N44,FIND("/",N44,FIND("/",N44)+1)+1,4)),VALUE(MID(N44,FIND("/",N44)+1,FIND("/",N44,FIND("/",N44)+1)-FIND("/",N44)-1)),VALUE(LEFT(N44,FIND("/",N44)-1))),0)</f>
        <v>0</v>
      </c>
    </row>
    <row r="45" customFormat="false" ht="15" hidden="false" customHeight="false" outlineLevel="0" collapsed="false">
      <c r="N45" s="0" t="str">
        <f aca="false">IF(H45="","",IFERROR(LEFT(H45,FIND(" ",H45)-1),H45))</f>
        <v/>
      </c>
      <c r="O45" s="20" t="n">
        <f aca="false">IFERROR(DATE(VALUE(MID(N45,FIND("/",N45,FIND("/",N45)+1)+1,4)),VALUE(MID(N45,FIND("/",N45)+1,FIND("/",N45,FIND("/",N45)+1)-FIND("/",N45)-1)),VALUE(LEFT(N45,FIND("/",N45)-1))),0)</f>
        <v>0</v>
      </c>
    </row>
    <row r="46" customFormat="false" ht="15" hidden="false" customHeight="false" outlineLevel="0" collapsed="false">
      <c r="N46" s="0" t="str">
        <f aca="false">IF(H46="","",IFERROR(LEFT(H46,FIND(" ",H46)-1),H46))</f>
        <v/>
      </c>
      <c r="O46" s="20" t="n">
        <f aca="false">IFERROR(DATE(VALUE(MID(N46,FIND("/",N46,FIND("/",N46)+1)+1,4)),VALUE(MID(N46,FIND("/",N46)+1,FIND("/",N46,FIND("/",N46)+1)-FIND("/",N46)-1)),VALUE(LEFT(N46,FIND("/",N46)-1))),0)</f>
        <v>0</v>
      </c>
    </row>
    <row r="47" customFormat="false" ht="15" hidden="false" customHeight="false" outlineLevel="0" collapsed="false">
      <c r="N47" s="0" t="str">
        <f aca="false">IF(H47="","",IFERROR(LEFT(H47,FIND(" ",H47)-1),H47))</f>
        <v/>
      </c>
      <c r="O47" s="20" t="n">
        <f aca="false">IFERROR(DATE(VALUE(MID(N47,FIND("/",N47,FIND("/",N47)+1)+1,4)),VALUE(MID(N47,FIND("/",N47)+1,FIND("/",N47,FIND("/",N47)+1)-FIND("/",N47)-1)),VALUE(LEFT(N47,FIND("/",N47)-1))),0)</f>
        <v>0</v>
      </c>
    </row>
    <row r="48" customFormat="false" ht="15" hidden="false" customHeight="false" outlineLevel="0" collapsed="false">
      <c r="N48" s="0" t="str">
        <f aca="false">IF(H48="","",IFERROR(LEFT(H48,FIND(" ",H48)-1),H48))</f>
        <v/>
      </c>
      <c r="O48" s="20" t="n">
        <f aca="false">IFERROR(DATE(VALUE(MID(N48,FIND("/",N48,FIND("/",N48)+1)+1,4)),VALUE(MID(N48,FIND("/",N48)+1,FIND("/",N48,FIND("/",N48)+1)-FIND("/",N48)-1)),VALUE(LEFT(N48,FIND("/",N48)-1))),0)</f>
        <v>0</v>
      </c>
    </row>
    <row r="49" customFormat="false" ht="15" hidden="false" customHeight="false" outlineLevel="0" collapsed="false">
      <c r="N49" s="0" t="str">
        <f aca="false">IF(H49="","",IFERROR(LEFT(H49,FIND(" ",H49)-1),H49))</f>
        <v/>
      </c>
      <c r="O49" s="20" t="n">
        <f aca="false">IFERROR(DATE(VALUE(MID(N49,FIND("/",N49,FIND("/",N49)+1)+1,4)),VALUE(MID(N49,FIND("/",N49)+1,FIND("/",N49,FIND("/",N49)+1)-FIND("/",N49)-1)),VALUE(LEFT(N49,FIND("/",N49)-1))),0)</f>
        <v>0</v>
      </c>
    </row>
    <row r="50" customFormat="false" ht="15" hidden="false" customHeight="false" outlineLevel="0" collapsed="false">
      <c r="N50" s="0" t="str">
        <f aca="false">IF(H50="","",IFERROR(LEFT(H50,FIND(" ",H50)-1),H50))</f>
        <v/>
      </c>
      <c r="O50" s="20" t="n">
        <f aca="false">IFERROR(DATE(VALUE(MID(N50,FIND("/",N50,FIND("/",N50)+1)+1,4)),VALUE(MID(N50,FIND("/",N50)+1,FIND("/",N50,FIND("/",N50)+1)-FIND("/",N50)-1)),VALUE(LEFT(N50,FIND("/",N50)-1))),0)</f>
        <v>0</v>
      </c>
    </row>
    <row r="51" customFormat="false" ht="15" hidden="false" customHeight="false" outlineLevel="0" collapsed="false">
      <c r="N51" s="0" t="str">
        <f aca="false">IF(H51="","",IFERROR(LEFT(H51,FIND(" ",H51)-1),H51))</f>
        <v/>
      </c>
      <c r="O51" s="20" t="n">
        <f aca="false">IFERROR(DATE(VALUE(MID(N51,FIND("/",N51,FIND("/",N51)+1)+1,4)),VALUE(MID(N51,FIND("/",N51)+1,FIND("/",N51,FIND("/",N51)+1)-FIND("/",N51)-1)),VALUE(LEFT(N51,FIND("/",N51)-1))),0)</f>
        <v>0</v>
      </c>
    </row>
    <row r="52" customFormat="false" ht="15" hidden="false" customHeight="false" outlineLevel="0" collapsed="false">
      <c r="N52" s="0" t="str">
        <f aca="false">IF(H52="","",IFERROR(LEFT(H52,FIND(" ",H52)-1),H52))</f>
        <v/>
      </c>
      <c r="O52" s="20" t="n">
        <f aca="false">IFERROR(DATE(VALUE(MID(N52,FIND("/",N52,FIND("/",N52)+1)+1,4)),VALUE(MID(N52,FIND("/",N52)+1,FIND("/",N52,FIND("/",N52)+1)-FIND("/",N52)-1)),VALUE(LEFT(N52,FIND("/",N52)-1))),0)</f>
        <v>0</v>
      </c>
    </row>
    <row r="53" customFormat="false" ht="15" hidden="false" customHeight="false" outlineLevel="0" collapsed="false">
      <c r="N53" s="0" t="str">
        <f aca="false">IF(H53="","",IFERROR(LEFT(H53,FIND(" ",H53)-1),H53))</f>
        <v/>
      </c>
      <c r="O53" s="20" t="n">
        <f aca="false">IFERROR(DATE(VALUE(MID(N53,FIND("/",N53,FIND("/",N53)+1)+1,4)),VALUE(MID(N53,FIND("/",N53)+1,FIND("/",N53,FIND("/",N53)+1)-FIND("/",N53)-1)),VALUE(LEFT(N53,FIND("/",N53)-1))),0)</f>
        <v>0</v>
      </c>
    </row>
    <row r="54" customFormat="false" ht="15" hidden="false" customHeight="false" outlineLevel="0" collapsed="false">
      <c r="N54" s="0" t="str">
        <f aca="false">IF(H54="","",IFERROR(LEFT(H54,FIND(" ",H54)-1),H54))</f>
        <v/>
      </c>
      <c r="O54" s="20" t="n">
        <f aca="false">IFERROR(DATE(VALUE(MID(N54,FIND("/",N54,FIND("/",N54)+1)+1,4)),VALUE(MID(N54,FIND("/",N54)+1,FIND("/",N54,FIND("/",N54)+1)-FIND("/",N54)-1)),VALUE(LEFT(N54,FIND("/",N54)-1))),0)</f>
        <v>0</v>
      </c>
    </row>
    <row r="55" customFormat="false" ht="15" hidden="false" customHeight="false" outlineLevel="0" collapsed="false">
      <c r="N55" s="0" t="str">
        <f aca="false">IF(H55="","",IFERROR(LEFT(H55,FIND(" ",H55)-1),H55))</f>
        <v/>
      </c>
      <c r="O55" s="20" t="n">
        <f aca="false">IFERROR(DATE(VALUE(MID(N55,FIND("/",N55,FIND("/",N55)+1)+1,4)),VALUE(MID(N55,FIND("/",N55)+1,FIND("/",N55,FIND("/",N55)+1)-FIND("/",N55)-1)),VALUE(LEFT(N55,FIND("/",N55)-1))),0)</f>
        <v>0</v>
      </c>
    </row>
    <row r="56" customFormat="false" ht="15" hidden="false" customHeight="false" outlineLevel="0" collapsed="false">
      <c r="N56" s="0" t="str">
        <f aca="false">IF(H56="","",IFERROR(LEFT(H56,FIND(" ",H56)-1),H56))</f>
        <v/>
      </c>
      <c r="O56" s="20" t="n">
        <f aca="false">IFERROR(DATE(VALUE(MID(N56,FIND("/",N56,FIND("/",N56)+1)+1,4)),VALUE(MID(N56,FIND("/",N56)+1,FIND("/",N56,FIND("/",N56)+1)-FIND("/",N56)-1)),VALUE(LEFT(N56,FIND("/",N56)-1))),0)</f>
        <v>0</v>
      </c>
    </row>
    <row r="57" customFormat="false" ht="15" hidden="false" customHeight="false" outlineLevel="0" collapsed="false">
      <c r="N57" s="0" t="str">
        <f aca="false">IF(H57="","",IFERROR(LEFT(H57,FIND(" ",H57)-1),H57))</f>
        <v/>
      </c>
      <c r="O57" s="20" t="n">
        <f aca="false">IFERROR(DATE(VALUE(MID(N57,FIND("/",N57,FIND("/",N57)+1)+1,4)),VALUE(MID(N57,FIND("/",N57)+1,FIND("/",N57,FIND("/",N57)+1)-FIND("/",N57)-1)),VALUE(LEFT(N57,FIND("/",N57)-1))),0)</f>
        <v>0</v>
      </c>
    </row>
    <row r="58" customFormat="false" ht="15" hidden="false" customHeight="false" outlineLevel="0" collapsed="false">
      <c r="N58" s="0" t="str">
        <f aca="false">IF(H58="","",IFERROR(LEFT(H58,FIND(" ",H58)-1),H58))</f>
        <v/>
      </c>
      <c r="O58" s="20" t="n">
        <f aca="false">IFERROR(DATE(VALUE(MID(N58,FIND("/",N58,FIND("/",N58)+1)+1,4)),VALUE(MID(N58,FIND("/",N58)+1,FIND("/",N58,FIND("/",N58)+1)-FIND("/",N58)-1)),VALUE(LEFT(N58,FIND("/",N58)-1))),0)</f>
        <v>0</v>
      </c>
    </row>
    <row r="59" customFormat="false" ht="15" hidden="false" customHeight="false" outlineLevel="0" collapsed="false">
      <c r="N59" s="0" t="str">
        <f aca="false">IF(H59="","",IFERROR(LEFT(H59,FIND(" ",H59)-1),H59))</f>
        <v/>
      </c>
      <c r="O59" s="20" t="n">
        <f aca="false">IFERROR(DATE(VALUE(MID(N59,FIND("/",N59,FIND("/",N59)+1)+1,4)),VALUE(MID(N59,FIND("/",N59)+1,FIND("/",N59,FIND("/",N59)+1)-FIND("/",N59)-1)),VALUE(LEFT(N59,FIND("/",N59)-1))),0)</f>
        <v>0</v>
      </c>
    </row>
    <row r="60" customFormat="false" ht="15" hidden="false" customHeight="false" outlineLevel="0" collapsed="false">
      <c r="N60" s="0" t="str">
        <f aca="false">IF(H60="","",IFERROR(LEFT(H60,FIND(" ",H60)-1),H60))</f>
        <v/>
      </c>
      <c r="O60" s="20" t="n">
        <f aca="false">IFERROR(DATE(VALUE(MID(N60,FIND("/",N60,FIND("/",N60)+1)+1,4)),VALUE(MID(N60,FIND("/",N60)+1,FIND("/",N60,FIND("/",N60)+1)-FIND("/",N60)-1)),VALUE(LEFT(N60,FIND("/",N60)-1))),0)</f>
        <v>0</v>
      </c>
    </row>
    <row r="61" customFormat="false" ht="15" hidden="false" customHeight="false" outlineLevel="0" collapsed="false">
      <c r="N61" s="0" t="str">
        <f aca="false">IF(H61="","",IFERROR(LEFT(H61,FIND(" ",H61)-1),H61))</f>
        <v/>
      </c>
      <c r="O61" s="20" t="n">
        <f aca="false">IFERROR(DATE(VALUE(MID(N61,FIND("/",N61,FIND("/",N61)+1)+1,4)),VALUE(MID(N61,FIND("/",N61)+1,FIND("/",N61,FIND("/",N61)+1)-FIND("/",N61)-1)),VALUE(LEFT(N61,FIND("/",N61)-1))),0)</f>
        <v>0</v>
      </c>
    </row>
    <row r="62" customFormat="false" ht="15" hidden="false" customHeight="false" outlineLevel="0" collapsed="false">
      <c r="N62" s="0" t="str">
        <f aca="false">IF(H62="","",IFERROR(LEFT(H62,FIND(" ",H62)-1),H62))</f>
        <v/>
      </c>
      <c r="O62" s="20" t="n">
        <f aca="false">IFERROR(DATE(VALUE(MID(N62,FIND("/",N62,FIND("/",N62)+1)+1,4)),VALUE(MID(N62,FIND("/",N62)+1,FIND("/",N62,FIND("/",N62)+1)-FIND("/",N62)-1)),VALUE(LEFT(N62,FIND("/",N62)-1))),0)</f>
        <v>0</v>
      </c>
    </row>
    <row r="63" customFormat="false" ht="15" hidden="false" customHeight="false" outlineLevel="0" collapsed="false">
      <c r="N63" s="0" t="str">
        <f aca="false">IF(H63="","",IFERROR(LEFT(H63,FIND(" ",H63)-1),H63))</f>
        <v/>
      </c>
      <c r="O63" s="20" t="n">
        <f aca="false">IFERROR(DATE(VALUE(MID(N63,FIND("/",N63,FIND("/",N63)+1)+1,4)),VALUE(MID(N63,FIND("/",N63)+1,FIND("/",N63,FIND("/",N63)+1)-FIND("/",N63)-1)),VALUE(LEFT(N63,FIND("/",N63)-1))),0)</f>
        <v>0</v>
      </c>
    </row>
    <row r="64" customFormat="false" ht="15" hidden="false" customHeight="false" outlineLevel="0" collapsed="false">
      <c r="N64" s="0" t="str">
        <f aca="false">IF(H64="","",IFERROR(LEFT(H64,FIND(" ",H64)-1),H64))</f>
        <v/>
      </c>
      <c r="O64" s="20" t="n">
        <f aca="false">IFERROR(DATE(VALUE(MID(N64,FIND("/",N64,FIND("/",N64)+1)+1,4)),VALUE(MID(N64,FIND("/",N64)+1,FIND("/",N64,FIND("/",N64)+1)-FIND("/",N64)-1)),VALUE(LEFT(N64,FIND("/",N64)-1))),0)</f>
        <v>0</v>
      </c>
    </row>
    <row r="65" customFormat="false" ht="15" hidden="false" customHeight="false" outlineLevel="0" collapsed="false">
      <c r="N65" s="0" t="str">
        <f aca="false">IF(H65="","",IFERROR(LEFT(H65,FIND(" ",H65)-1),H65))</f>
        <v/>
      </c>
      <c r="O65" s="20" t="n">
        <f aca="false">IFERROR(DATE(VALUE(MID(N65,FIND("/",N65,FIND("/",N65)+1)+1,4)),VALUE(MID(N65,FIND("/",N65)+1,FIND("/",N65,FIND("/",N65)+1)-FIND("/",N65)-1)),VALUE(LEFT(N65,FIND("/",N65)-1))),0)</f>
        <v>0</v>
      </c>
    </row>
    <row r="66" customFormat="false" ht="15" hidden="false" customHeight="false" outlineLevel="0" collapsed="false">
      <c r="N66" s="0" t="str">
        <f aca="false">IF(H66="","",IFERROR(LEFT(H66,FIND(" ",H66)-1),H66))</f>
        <v/>
      </c>
      <c r="O66" s="20" t="n">
        <f aca="false">IFERROR(DATE(VALUE(MID(N66,FIND("/",N66,FIND("/",N66)+1)+1,4)),VALUE(MID(N66,FIND("/",N66)+1,FIND("/",N66,FIND("/",N66)+1)-FIND("/",N66)-1)),VALUE(LEFT(N66,FIND("/",N66)-1))),0)</f>
        <v>0</v>
      </c>
    </row>
    <row r="67" customFormat="false" ht="15" hidden="false" customHeight="false" outlineLevel="0" collapsed="false">
      <c r="N67" s="0" t="str">
        <f aca="false">IF(H67="","",IFERROR(LEFT(H67,FIND(" ",H67)-1),H67))</f>
        <v/>
      </c>
      <c r="O67" s="20" t="n">
        <f aca="false">IFERROR(DATE(VALUE(MID(N67,FIND("/",N67,FIND("/",N67)+1)+1,4)),VALUE(MID(N67,FIND("/",N67)+1,FIND("/",N67,FIND("/",N67)+1)-FIND("/",N67)-1)),VALUE(LEFT(N67,FIND("/",N67)-1))),0)</f>
        <v>0</v>
      </c>
    </row>
    <row r="68" customFormat="false" ht="15" hidden="false" customHeight="false" outlineLevel="0" collapsed="false">
      <c r="N68" s="0" t="str">
        <f aca="false">IF(H68="","",IFERROR(LEFT(H68,FIND(" ",H68)-1),H68))</f>
        <v/>
      </c>
      <c r="O68" s="20" t="n">
        <f aca="false">IFERROR(DATE(VALUE(MID(N68,FIND("/",N68,FIND("/",N68)+1)+1,4)),VALUE(MID(N68,FIND("/",N68)+1,FIND("/",N68,FIND("/",N68)+1)-FIND("/",N68)-1)),VALUE(LEFT(N68,FIND("/",N68)-1))),0)</f>
        <v>0</v>
      </c>
    </row>
    <row r="69" customFormat="false" ht="15" hidden="false" customHeight="false" outlineLevel="0" collapsed="false">
      <c r="N69" s="0" t="str">
        <f aca="false">IF(H69="","",IFERROR(LEFT(H69,FIND(" ",H69)-1),H69))</f>
        <v/>
      </c>
      <c r="O69" s="20" t="n">
        <f aca="false">IFERROR(DATE(VALUE(MID(N69,FIND("/",N69,FIND("/",N69)+1)+1,4)),VALUE(MID(N69,FIND("/",N69)+1,FIND("/",N69,FIND("/",N69)+1)-FIND("/",N69)-1)),VALUE(LEFT(N69,FIND("/",N69)-1))),0)</f>
        <v>0</v>
      </c>
    </row>
    <row r="70" customFormat="false" ht="15" hidden="false" customHeight="false" outlineLevel="0" collapsed="false">
      <c r="N70" s="0" t="str">
        <f aca="false">IF(H70="","",IFERROR(LEFT(H70,FIND(" ",H70)-1),H70))</f>
        <v/>
      </c>
      <c r="O70" s="20" t="n">
        <f aca="false">IFERROR(DATE(VALUE(MID(N70,FIND("/",N70,FIND("/",N70)+1)+1,4)),VALUE(MID(N70,FIND("/",N70)+1,FIND("/",N70,FIND("/",N70)+1)-FIND("/",N70)-1)),VALUE(LEFT(N70,FIND("/",N70)-1))),0)</f>
        <v>0</v>
      </c>
    </row>
    <row r="71" customFormat="false" ht="15" hidden="false" customHeight="false" outlineLevel="0" collapsed="false">
      <c r="N71" s="0" t="str">
        <f aca="false">IF(H71="","",IFERROR(LEFT(H71,FIND(" ",H71)-1),H71))</f>
        <v/>
      </c>
      <c r="O71" s="20" t="n">
        <f aca="false">IFERROR(DATE(VALUE(MID(N71,FIND("/",N71,FIND("/",N71)+1)+1,4)),VALUE(MID(N71,FIND("/",N71)+1,FIND("/",N71,FIND("/",N71)+1)-FIND("/",N71)-1)),VALUE(LEFT(N71,FIND("/",N71)-1))),0)</f>
        <v>0</v>
      </c>
    </row>
    <row r="72" customFormat="false" ht="15" hidden="false" customHeight="false" outlineLevel="0" collapsed="false">
      <c r="N72" s="0" t="str">
        <f aca="false">IF(H72="","",IFERROR(LEFT(H72,FIND(" ",H72)-1),H72))</f>
        <v/>
      </c>
      <c r="O72" s="20" t="n">
        <f aca="false">IFERROR(DATE(VALUE(MID(N72,FIND("/",N72,FIND("/",N72)+1)+1,4)),VALUE(MID(N72,FIND("/",N72)+1,FIND("/",N72,FIND("/",N72)+1)-FIND("/",N72)-1)),VALUE(LEFT(N72,FIND("/",N72)-1))),0)</f>
        <v>0</v>
      </c>
    </row>
    <row r="73" customFormat="false" ht="15" hidden="false" customHeight="false" outlineLevel="0" collapsed="false">
      <c r="N73" s="0" t="str">
        <f aca="false">IF(H73="","",IFERROR(LEFT(H73,FIND(" ",H73)-1),H73))</f>
        <v/>
      </c>
      <c r="O73" s="20" t="n">
        <f aca="false">IFERROR(DATE(VALUE(MID(N73,FIND("/",N73,FIND("/",N73)+1)+1,4)),VALUE(MID(N73,FIND("/",N73)+1,FIND("/",N73,FIND("/",N73)+1)-FIND("/",N73)-1)),VALUE(LEFT(N73,FIND("/",N73)-1))),0)</f>
        <v>0</v>
      </c>
    </row>
    <row r="74" customFormat="false" ht="15" hidden="false" customHeight="false" outlineLevel="0" collapsed="false">
      <c r="N74" s="0" t="str">
        <f aca="false">IF(H74="","",IFERROR(LEFT(H74,FIND(" ",H74)-1),H74))</f>
        <v/>
      </c>
      <c r="O74" s="20" t="n">
        <f aca="false">IFERROR(DATE(VALUE(MID(N74,FIND("/",N74,FIND("/",N74)+1)+1,4)),VALUE(MID(N74,FIND("/",N74)+1,FIND("/",N74,FIND("/",N74)+1)-FIND("/",N74)-1)),VALUE(LEFT(N74,FIND("/",N74)-1))),0)</f>
        <v>0</v>
      </c>
    </row>
    <row r="75" customFormat="false" ht="15" hidden="false" customHeight="false" outlineLevel="0" collapsed="false">
      <c r="N75" s="0" t="str">
        <f aca="false">IF(H75="","",IFERROR(LEFT(H75,FIND(" ",H75)-1),H75))</f>
        <v/>
      </c>
      <c r="O75" s="20" t="n">
        <f aca="false">IFERROR(DATE(VALUE(MID(N75,FIND("/",N75,FIND("/",N75)+1)+1,4)),VALUE(MID(N75,FIND("/",N75)+1,FIND("/",N75,FIND("/",N75)+1)-FIND("/",N75)-1)),VALUE(LEFT(N75,FIND("/",N75)-1))),0)</f>
        <v>0</v>
      </c>
    </row>
    <row r="76" customFormat="false" ht="15" hidden="false" customHeight="false" outlineLevel="0" collapsed="false">
      <c r="N76" s="0" t="str">
        <f aca="false">IF(H76="","",IFERROR(LEFT(H76,FIND(" ",H76)-1),H76))</f>
        <v/>
      </c>
      <c r="O76" s="20" t="n">
        <f aca="false">IFERROR(DATE(VALUE(MID(N76,FIND("/",N76,FIND("/",N76)+1)+1,4)),VALUE(MID(N76,FIND("/",N76)+1,FIND("/",N76,FIND("/",N76)+1)-FIND("/",N76)-1)),VALUE(LEFT(N76,FIND("/",N76)-1))),0)</f>
        <v>0</v>
      </c>
    </row>
    <row r="77" customFormat="false" ht="15" hidden="false" customHeight="false" outlineLevel="0" collapsed="false">
      <c r="N77" s="0" t="str">
        <f aca="false">IF(H77="","",IFERROR(LEFT(H77,FIND(" ",H77)-1),H77))</f>
        <v/>
      </c>
      <c r="O77" s="20" t="n">
        <f aca="false">IFERROR(DATE(VALUE(MID(N77,FIND("/",N77,FIND("/",N77)+1)+1,4)),VALUE(MID(N77,FIND("/",N77)+1,FIND("/",N77,FIND("/",N77)+1)-FIND("/",N77)-1)),VALUE(LEFT(N77,FIND("/",N77)-1))),0)</f>
        <v>0</v>
      </c>
    </row>
    <row r="78" customFormat="false" ht="15" hidden="false" customHeight="false" outlineLevel="0" collapsed="false">
      <c r="N78" s="0" t="str">
        <f aca="false">IF(H78="","",IFERROR(LEFT(H78,FIND(" ",H78)-1),H78))</f>
        <v/>
      </c>
      <c r="O78" s="20" t="n">
        <f aca="false">IFERROR(DATE(VALUE(MID(N78,FIND("/",N78,FIND("/",N78)+1)+1,4)),VALUE(MID(N78,FIND("/",N78)+1,FIND("/",N78,FIND("/",N78)+1)-FIND("/",N78)-1)),VALUE(LEFT(N78,FIND("/",N78)-1))),0)</f>
        <v>0</v>
      </c>
    </row>
    <row r="79" customFormat="false" ht="15" hidden="false" customHeight="false" outlineLevel="0" collapsed="false">
      <c r="N79" s="0" t="str">
        <f aca="false">IF(H79="","",IFERROR(LEFT(H79,FIND(" ",H79)-1),H79))</f>
        <v/>
      </c>
      <c r="O79" s="20" t="n">
        <f aca="false">IFERROR(DATE(VALUE(MID(N79,FIND("/",N79,FIND("/",N79)+1)+1,4)),VALUE(MID(N79,FIND("/",N79)+1,FIND("/",N79,FIND("/",N79)+1)-FIND("/",N79)-1)),VALUE(LEFT(N79,FIND("/",N79)-1))),0)</f>
        <v>0</v>
      </c>
    </row>
    <row r="80" customFormat="false" ht="15" hidden="false" customHeight="false" outlineLevel="0" collapsed="false">
      <c r="N80" s="0" t="str">
        <f aca="false">IF(H80="","",IFERROR(LEFT(H80,FIND(" ",H80)-1),H80))</f>
        <v/>
      </c>
      <c r="O80" s="20" t="n">
        <f aca="false">IFERROR(DATE(VALUE(MID(N80,FIND("/",N80,FIND("/",N80)+1)+1,4)),VALUE(MID(N80,FIND("/",N80)+1,FIND("/",N80,FIND("/",N80)+1)-FIND("/",N80)-1)),VALUE(LEFT(N80,FIND("/",N80)-1))),0)</f>
        <v>0</v>
      </c>
    </row>
    <row r="81" customFormat="false" ht="15" hidden="false" customHeight="false" outlineLevel="0" collapsed="false">
      <c r="N81" s="0" t="str">
        <f aca="false">IF(H81="","",IFERROR(LEFT(H81,FIND(" ",H81)-1),H81))</f>
        <v/>
      </c>
      <c r="O81" s="20" t="n">
        <f aca="false">IFERROR(DATE(VALUE(MID(N81,FIND("/",N81,FIND("/",N81)+1)+1,4)),VALUE(MID(N81,FIND("/",N81)+1,FIND("/",N81,FIND("/",N81)+1)-FIND("/",N81)-1)),VALUE(LEFT(N81,FIND("/",N81)-1))),0)</f>
        <v>0</v>
      </c>
    </row>
    <row r="82" customFormat="false" ht="15" hidden="false" customHeight="false" outlineLevel="0" collapsed="false">
      <c r="N82" s="0" t="str">
        <f aca="false">IF(H82="","",IFERROR(LEFT(H82,FIND(" ",H82)-1),H82))</f>
        <v/>
      </c>
      <c r="O82" s="20" t="n">
        <f aca="false">IFERROR(DATE(VALUE(MID(N82,FIND("/",N82,FIND("/",N82)+1)+1,4)),VALUE(MID(N82,FIND("/",N82)+1,FIND("/",N82,FIND("/",N82)+1)-FIND("/",N82)-1)),VALUE(LEFT(N82,FIND("/",N82)-1))),0)</f>
        <v>0</v>
      </c>
    </row>
    <row r="83" customFormat="false" ht="15" hidden="false" customHeight="false" outlineLevel="0" collapsed="false">
      <c r="N83" s="0" t="str">
        <f aca="false">IF(H83="","",IFERROR(LEFT(H83,FIND(" ",H83)-1),H83))</f>
        <v/>
      </c>
      <c r="O83" s="20" t="n">
        <f aca="false">IFERROR(DATE(VALUE(MID(N83,FIND("/",N83,FIND("/",N83)+1)+1,4)),VALUE(MID(N83,FIND("/",N83)+1,FIND("/",N83,FIND("/",N83)+1)-FIND("/",N83)-1)),VALUE(LEFT(N83,FIND("/",N83)-1))),0)</f>
        <v>0</v>
      </c>
    </row>
    <row r="84" customFormat="false" ht="15" hidden="false" customHeight="false" outlineLevel="0" collapsed="false">
      <c r="N84" s="0" t="str">
        <f aca="false">IF(H84="","",IFERROR(LEFT(H84,FIND(" ",H84)-1),H84))</f>
        <v/>
      </c>
      <c r="O84" s="20" t="n">
        <f aca="false">IFERROR(DATE(VALUE(MID(N84,FIND("/",N84,FIND("/",N84)+1)+1,4)),VALUE(MID(N84,FIND("/",N84)+1,FIND("/",N84,FIND("/",N84)+1)-FIND("/",N84)-1)),VALUE(LEFT(N84,FIND("/",N84)-1))),0)</f>
        <v>0</v>
      </c>
    </row>
    <row r="85" customFormat="false" ht="15" hidden="false" customHeight="false" outlineLevel="0" collapsed="false">
      <c r="N85" s="0" t="str">
        <f aca="false">IF(H85="","",IFERROR(LEFT(H85,FIND(" ",H85)-1),H85))</f>
        <v/>
      </c>
      <c r="O85" s="20" t="n">
        <f aca="false">IFERROR(DATE(VALUE(MID(N85,FIND("/",N85,FIND("/",N85)+1)+1,4)),VALUE(MID(N85,FIND("/",N85)+1,FIND("/",N85,FIND("/",N85)+1)-FIND("/",N85)-1)),VALUE(LEFT(N85,FIND("/",N85)-1))),0)</f>
        <v>0</v>
      </c>
    </row>
    <row r="86" customFormat="false" ht="15" hidden="false" customHeight="false" outlineLevel="0" collapsed="false">
      <c r="N86" s="0" t="str">
        <f aca="false">IF(H86="","",IFERROR(LEFT(H86,FIND(" ",H86)-1),H86))</f>
        <v/>
      </c>
      <c r="O86" s="20" t="n">
        <f aca="false">IFERROR(DATE(VALUE(MID(N86,FIND("/",N86,FIND("/",N86)+1)+1,4)),VALUE(MID(N86,FIND("/",N86)+1,FIND("/",N86,FIND("/",N86)+1)-FIND("/",N86)-1)),VALUE(LEFT(N86,FIND("/",N86)-1))),0)</f>
        <v>0</v>
      </c>
    </row>
    <row r="87" customFormat="false" ht="15" hidden="false" customHeight="false" outlineLevel="0" collapsed="false">
      <c r="N87" s="0" t="str">
        <f aca="false">IF(H87="","",IFERROR(LEFT(H87,FIND(" ",H87)-1),H87))</f>
        <v/>
      </c>
      <c r="O87" s="20" t="n">
        <f aca="false">IFERROR(DATE(VALUE(MID(N87,FIND("/",N87,FIND("/",N87)+1)+1,4)),VALUE(MID(N87,FIND("/",N87)+1,FIND("/",N87,FIND("/",N87)+1)-FIND("/",N87)-1)),VALUE(LEFT(N87,FIND("/",N87)-1))),0)</f>
        <v>0</v>
      </c>
    </row>
    <row r="88" customFormat="false" ht="15" hidden="false" customHeight="false" outlineLevel="0" collapsed="false">
      <c r="N88" s="0" t="str">
        <f aca="false">IF(H88="","",IFERROR(LEFT(H88,FIND(" ",H88)-1),H88))</f>
        <v/>
      </c>
      <c r="O88" s="20" t="n">
        <f aca="false">IFERROR(DATE(VALUE(MID(N88,FIND("/",N88,FIND("/",N88)+1)+1,4)),VALUE(MID(N88,FIND("/",N88)+1,FIND("/",N88,FIND("/",N88)+1)-FIND("/",N88)-1)),VALUE(LEFT(N88,FIND("/",N88)-1))),0)</f>
        <v>0</v>
      </c>
    </row>
    <row r="89" customFormat="false" ht="15" hidden="false" customHeight="false" outlineLevel="0" collapsed="false">
      <c r="N89" s="0" t="str">
        <f aca="false">IF(H89="","",IFERROR(LEFT(H89,FIND(" ",H89)-1),H89))</f>
        <v/>
      </c>
      <c r="O89" s="20" t="n">
        <f aca="false">IFERROR(DATE(VALUE(MID(N89,FIND("/",N89,FIND("/",N89)+1)+1,4)),VALUE(MID(N89,FIND("/",N89)+1,FIND("/",N89,FIND("/",N89)+1)-FIND("/",N89)-1)),VALUE(LEFT(N89,FIND("/",N89)-1))),0)</f>
        <v>0</v>
      </c>
    </row>
    <row r="90" customFormat="false" ht="15" hidden="false" customHeight="false" outlineLevel="0" collapsed="false">
      <c r="N90" s="0" t="str">
        <f aca="false">IF(H90="","",IFERROR(LEFT(H90,FIND(" ",H90)-1),H90))</f>
        <v/>
      </c>
      <c r="O90" s="20" t="n">
        <f aca="false">IFERROR(DATE(VALUE(MID(N90,FIND("/",N90,FIND("/",N90)+1)+1,4)),VALUE(MID(N90,FIND("/",N90)+1,FIND("/",N90,FIND("/",N90)+1)-FIND("/",N90)-1)),VALUE(LEFT(N90,FIND("/",N90)-1))),0)</f>
        <v>0</v>
      </c>
    </row>
    <row r="91" customFormat="false" ht="15" hidden="false" customHeight="false" outlineLevel="0" collapsed="false">
      <c r="N91" s="0" t="str">
        <f aca="false">IF(H91="","",IFERROR(LEFT(H91,FIND(" ",H91)-1),H91))</f>
        <v/>
      </c>
      <c r="O91" s="20" t="n">
        <f aca="false">IFERROR(DATE(VALUE(MID(N91,FIND("/",N91,FIND("/",N91)+1)+1,4)),VALUE(MID(N91,FIND("/",N91)+1,FIND("/",N91,FIND("/",N91)+1)-FIND("/",N91)-1)),VALUE(LEFT(N91,FIND("/",N91)-1))),0)</f>
        <v>0</v>
      </c>
    </row>
    <row r="92" customFormat="false" ht="15" hidden="false" customHeight="false" outlineLevel="0" collapsed="false">
      <c r="N92" s="0" t="str">
        <f aca="false">IF(H92="","",IFERROR(LEFT(H92,FIND(" ",H92)-1),H92))</f>
        <v/>
      </c>
      <c r="O92" s="20" t="n">
        <f aca="false">IFERROR(DATE(VALUE(MID(N92,FIND("/",N92,FIND("/",N92)+1)+1,4)),VALUE(MID(N92,FIND("/",N92)+1,FIND("/",N92,FIND("/",N92)+1)-FIND("/",N92)-1)),VALUE(LEFT(N92,FIND("/",N92)-1))),0)</f>
        <v>0</v>
      </c>
    </row>
    <row r="93" customFormat="false" ht="15" hidden="false" customHeight="false" outlineLevel="0" collapsed="false">
      <c r="N93" s="0" t="str">
        <f aca="false">IF(H93="","",IFERROR(LEFT(H93,FIND(" ",H93)-1),H93))</f>
        <v/>
      </c>
      <c r="O93" s="20" t="n">
        <f aca="false">IFERROR(DATE(VALUE(MID(N93,FIND("/",N93,FIND("/",N93)+1)+1,4)),VALUE(MID(N93,FIND("/",N93)+1,FIND("/",N93,FIND("/",N93)+1)-FIND("/",N93)-1)),VALUE(LEFT(N93,FIND("/",N93)-1))),0)</f>
        <v>0</v>
      </c>
    </row>
    <row r="94" customFormat="false" ht="15" hidden="false" customHeight="false" outlineLevel="0" collapsed="false">
      <c r="N94" s="0" t="str">
        <f aca="false">IF(H94="","",IFERROR(LEFT(H94,FIND(" ",H94)-1),H94))</f>
        <v/>
      </c>
      <c r="O94" s="20" t="n">
        <f aca="false">IFERROR(DATE(VALUE(MID(N94,FIND("/",N94,FIND("/",N94)+1)+1,4)),VALUE(MID(N94,FIND("/",N94)+1,FIND("/",N94,FIND("/",N94)+1)-FIND("/",N94)-1)),VALUE(LEFT(N94,FIND("/",N94)-1))),0)</f>
        <v>0</v>
      </c>
    </row>
    <row r="95" customFormat="false" ht="15" hidden="false" customHeight="false" outlineLevel="0" collapsed="false">
      <c r="N95" s="0" t="str">
        <f aca="false">IF(H95="","",IFERROR(LEFT(H95,FIND(" ",H95)-1),H95))</f>
        <v/>
      </c>
      <c r="O95" s="20" t="n">
        <f aca="false">IFERROR(DATE(VALUE(MID(N95,FIND("/",N95,FIND("/",N95)+1)+1,4)),VALUE(MID(N95,FIND("/",N95)+1,FIND("/",N95,FIND("/",N95)+1)-FIND("/",N95)-1)),VALUE(LEFT(N95,FIND("/",N95)-1))),0)</f>
        <v>0</v>
      </c>
    </row>
    <row r="96" customFormat="false" ht="15" hidden="false" customHeight="false" outlineLevel="0" collapsed="false">
      <c r="N96" s="0" t="str">
        <f aca="false">IF(H96="","",IFERROR(LEFT(H96,FIND(" ",H96)-1),H96))</f>
        <v/>
      </c>
      <c r="O96" s="20" t="n">
        <f aca="false">IFERROR(DATE(VALUE(MID(N96,FIND("/",N96,FIND("/",N96)+1)+1,4)),VALUE(MID(N96,FIND("/",N96)+1,FIND("/",N96,FIND("/",N96)+1)-FIND("/",N96)-1)),VALUE(LEFT(N96,FIND("/",N96)-1))),0)</f>
        <v>0</v>
      </c>
    </row>
    <row r="97" customFormat="false" ht="15" hidden="false" customHeight="false" outlineLevel="0" collapsed="false">
      <c r="N97" s="0" t="str">
        <f aca="false">IF(H97="","",IFERROR(LEFT(H97,FIND(" ",H97)-1),H97))</f>
        <v/>
      </c>
      <c r="O97" s="20" t="n">
        <f aca="false">IFERROR(DATE(VALUE(MID(N97,FIND("/",N97,FIND("/",N97)+1)+1,4)),VALUE(MID(N97,FIND("/",N97)+1,FIND("/",N97,FIND("/",N97)+1)-FIND("/",N97)-1)),VALUE(LEFT(N97,FIND("/",N97)-1))),0)</f>
        <v>0</v>
      </c>
    </row>
    <row r="98" customFormat="false" ht="15" hidden="false" customHeight="false" outlineLevel="0" collapsed="false">
      <c r="N98" s="0" t="str">
        <f aca="false">IF(H98="","",IFERROR(LEFT(H98,FIND(" ",H98)-1),H98))</f>
        <v/>
      </c>
      <c r="O98" s="20" t="n">
        <f aca="false">IFERROR(DATE(VALUE(MID(N98,FIND("/",N98,FIND("/",N98)+1)+1,4)),VALUE(MID(N98,FIND("/",N98)+1,FIND("/",N98,FIND("/",N98)+1)-FIND("/",N98)-1)),VALUE(LEFT(N98,FIND("/",N98)-1))),0)</f>
        <v>0</v>
      </c>
    </row>
    <row r="99" customFormat="false" ht="15" hidden="false" customHeight="false" outlineLevel="0" collapsed="false">
      <c r="N99" s="0" t="str">
        <f aca="false">IF(H99="","",IFERROR(LEFT(H99,FIND(" ",H99)-1),H99))</f>
        <v/>
      </c>
      <c r="O99" s="20" t="n">
        <f aca="false">IFERROR(DATE(VALUE(MID(N99,FIND("/",N99,FIND("/",N99)+1)+1,4)),VALUE(MID(N99,FIND("/",N99)+1,FIND("/",N99,FIND("/",N99)+1)-FIND("/",N99)-1)),VALUE(LEFT(N99,FIND("/",N99)-1))),0)</f>
        <v>0</v>
      </c>
    </row>
    <row r="100" customFormat="false" ht="15" hidden="false" customHeight="false" outlineLevel="0" collapsed="false">
      <c r="N100" s="0" t="str">
        <f aca="false">IF(H100="","",IFERROR(LEFT(H100,FIND(" ",H100)-1),H100))</f>
        <v/>
      </c>
      <c r="O100" s="20" t="n">
        <f aca="false">IFERROR(DATE(VALUE(MID(N100,FIND("/",N100,FIND("/",N100)+1)+1,4)),VALUE(MID(N100,FIND("/",N100)+1,FIND("/",N100,FIND("/",N100)+1)-FIND("/",N100)-1)),VALUE(LEFT(N100,FIND("/",N100)-1))),0)</f>
        <v>0</v>
      </c>
    </row>
    <row r="101" customFormat="false" ht="15" hidden="false" customHeight="false" outlineLevel="0" collapsed="false">
      <c r="N101" s="0" t="str">
        <f aca="false">IF(H101="","",IFERROR(LEFT(H101,FIND(" ",H101)-1),H101))</f>
        <v/>
      </c>
      <c r="O101" s="20" t="n">
        <f aca="false">IFERROR(DATE(VALUE(MID(N101,FIND("/",N101,FIND("/",N101)+1)+1,4)),VALUE(MID(N101,FIND("/",N101)+1,FIND("/",N101,FIND("/",N101)+1)-FIND("/",N101)-1)),VALUE(LEFT(N101,FIND("/",N101)-1))),0)</f>
        <v>0</v>
      </c>
    </row>
    <row r="102" customFormat="false" ht="15" hidden="false" customHeight="false" outlineLevel="0" collapsed="false">
      <c r="N102" s="0" t="str">
        <f aca="false">IF(H102="","",IFERROR(LEFT(H102,FIND(" ",H102)-1),H102))</f>
        <v/>
      </c>
      <c r="O102" s="20" t="n">
        <f aca="false">IFERROR(DATE(VALUE(MID(N102,FIND("/",N102,FIND("/",N102)+1)+1,4)),VALUE(MID(N102,FIND("/",N102)+1,FIND("/",N102,FIND("/",N102)+1)-FIND("/",N102)-1)),VALUE(LEFT(N102,FIND("/",N102)-1))),0)</f>
        <v>0</v>
      </c>
    </row>
    <row r="103" customFormat="false" ht="15" hidden="false" customHeight="false" outlineLevel="0" collapsed="false">
      <c r="N103" s="0" t="str">
        <f aca="false">IF(H103="","",IFERROR(LEFT(H103,FIND(" ",H103)-1),H103))</f>
        <v/>
      </c>
      <c r="O103" s="20" t="n">
        <f aca="false">IFERROR(DATE(VALUE(MID(N103,FIND("/",N103,FIND("/",N103)+1)+1,4)),VALUE(MID(N103,FIND("/",N103)+1,FIND("/",N103,FIND("/",N103)+1)-FIND("/",N103)-1)),VALUE(LEFT(N103,FIND("/",N103)-1))),0)</f>
        <v>0</v>
      </c>
    </row>
    <row r="104" customFormat="false" ht="15" hidden="false" customHeight="false" outlineLevel="0" collapsed="false">
      <c r="N104" s="0" t="str">
        <f aca="false">IF(H104="","",IFERROR(LEFT(H104,FIND(" ",H104)-1),H104))</f>
        <v/>
      </c>
      <c r="O104" s="20" t="n">
        <f aca="false">IFERROR(DATE(VALUE(MID(N104,FIND("/",N104,FIND("/",N104)+1)+1,4)),VALUE(MID(N104,FIND("/",N104)+1,FIND("/",N104,FIND("/",N104)+1)-FIND("/",N104)-1)),VALUE(LEFT(N104,FIND("/",N104)-1))),0)</f>
        <v>0</v>
      </c>
    </row>
    <row r="105" customFormat="false" ht="15" hidden="false" customHeight="false" outlineLevel="0" collapsed="false">
      <c r="N105" s="0" t="str">
        <f aca="false">IF(H105="","",IFERROR(LEFT(H105,FIND(" ",H105)-1),H105))</f>
        <v/>
      </c>
      <c r="O105" s="20" t="n">
        <f aca="false">IFERROR(DATE(VALUE(MID(N105,FIND("/",N105,FIND("/",N105)+1)+1,4)),VALUE(MID(N105,FIND("/",N105)+1,FIND("/",N105,FIND("/",N105)+1)-FIND("/",N105)-1)),VALUE(LEFT(N105,FIND("/",N105)-1))),0)</f>
        <v>0</v>
      </c>
    </row>
    <row r="106" customFormat="false" ht="15" hidden="false" customHeight="false" outlineLevel="0" collapsed="false">
      <c r="N106" s="0" t="str">
        <f aca="false">IF(H106="","",IFERROR(LEFT(H106,FIND(" ",H106)-1),H106))</f>
        <v/>
      </c>
      <c r="O106" s="20" t="n">
        <f aca="false">IFERROR(DATE(VALUE(MID(N106,FIND("/",N106,FIND("/",N106)+1)+1,4)),VALUE(MID(N106,FIND("/",N106)+1,FIND("/",N106,FIND("/",N106)+1)-FIND("/",N106)-1)),VALUE(LEFT(N106,FIND("/",N106)-1))),0)</f>
        <v>0</v>
      </c>
    </row>
    <row r="107" customFormat="false" ht="15" hidden="false" customHeight="false" outlineLevel="0" collapsed="false">
      <c r="N107" s="0" t="str">
        <f aca="false">IF(H107="","",IFERROR(LEFT(H107,FIND(" ",H107)-1),H107))</f>
        <v/>
      </c>
      <c r="O107" s="20" t="n">
        <f aca="false">IFERROR(DATE(VALUE(MID(N107,FIND("/",N107,FIND("/",N107)+1)+1,4)),VALUE(MID(N107,FIND("/",N107)+1,FIND("/",N107,FIND("/",N107)+1)-FIND("/",N107)-1)),VALUE(LEFT(N107,FIND("/",N107)-1))),0)</f>
        <v>0</v>
      </c>
    </row>
    <row r="108" customFormat="false" ht="15" hidden="false" customHeight="false" outlineLevel="0" collapsed="false">
      <c r="N108" s="0" t="str">
        <f aca="false">IF(H108="","",IFERROR(LEFT(H108,FIND(" ",H108)-1),H108))</f>
        <v/>
      </c>
      <c r="O108" s="20" t="n">
        <f aca="false">IFERROR(DATE(VALUE(MID(N108,FIND("/",N108,FIND("/",N108)+1)+1,4)),VALUE(MID(N108,FIND("/",N108)+1,FIND("/",N108,FIND("/",N108)+1)-FIND("/",N108)-1)),VALUE(LEFT(N108,FIND("/",N108)-1))),0)</f>
        <v>0</v>
      </c>
    </row>
    <row r="109" customFormat="false" ht="15" hidden="false" customHeight="false" outlineLevel="0" collapsed="false">
      <c r="N109" s="0" t="str">
        <f aca="false">IF(H109="","",IFERROR(LEFT(H109,FIND(" ",H109)-1),H109))</f>
        <v/>
      </c>
      <c r="O109" s="20" t="n">
        <f aca="false">IFERROR(DATE(VALUE(MID(N109,FIND("/",N109,FIND("/",N109)+1)+1,4)),VALUE(MID(N109,FIND("/",N109)+1,FIND("/",N109,FIND("/",N109)+1)-FIND("/",N109)-1)),VALUE(LEFT(N109,FIND("/",N109)-1))),0)</f>
        <v>0</v>
      </c>
    </row>
    <row r="110" customFormat="false" ht="15" hidden="false" customHeight="false" outlineLevel="0" collapsed="false">
      <c r="N110" s="0" t="str">
        <f aca="false">IF(H110="","",IFERROR(LEFT(H110,FIND(" ",H110)-1),H110))</f>
        <v/>
      </c>
      <c r="O110" s="20" t="n">
        <f aca="false">IFERROR(DATE(VALUE(MID(N110,FIND("/",N110,FIND("/",N110)+1)+1,4)),VALUE(MID(N110,FIND("/",N110)+1,FIND("/",N110,FIND("/",N110)+1)-FIND("/",N110)-1)),VALUE(LEFT(N110,FIND("/",N110)-1))),0)</f>
        <v>0</v>
      </c>
    </row>
    <row r="111" customFormat="false" ht="15" hidden="false" customHeight="false" outlineLevel="0" collapsed="false">
      <c r="N111" s="0" t="str">
        <f aca="false">IF(H111="","",IFERROR(LEFT(H111,FIND(" ",H111)-1),H111))</f>
        <v/>
      </c>
      <c r="O111" s="20" t="n">
        <f aca="false">IFERROR(DATE(VALUE(MID(N111,FIND("/",N111,FIND("/",N111)+1)+1,4)),VALUE(MID(N111,FIND("/",N111)+1,FIND("/",N111,FIND("/",N111)+1)-FIND("/",N111)-1)),VALUE(LEFT(N111,FIND("/",N111)-1))),0)</f>
        <v>0</v>
      </c>
    </row>
    <row r="112" customFormat="false" ht="15" hidden="false" customHeight="false" outlineLevel="0" collapsed="false">
      <c r="N112" s="0" t="str">
        <f aca="false">IF(H112="","",IFERROR(LEFT(H112,FIND(" ",H112)-1),H112))</f>
        <v/>
      </c>
      <c r="O112" s="20" t="n">
        <f aca="false">IFERROR(DATE(VALUE(MID(N112,FIND("/",N112,FIND("/",N112)+1)+1,4)),VALUE(MID(N112,FIND("/",N112)+1,FIND("/",N112,FIND("/",N112)+1)-FIND("/",N112)-1)),VALUE(LEFT(N112,FIND("/",N112)-1))),0)</f>
        <v>0</v>
      </c>
    </row>
    <row r="113" customFormat="false" ht="15" hidden="false" customHeight="false" outlineLevel="0" collapsed="false">
      <c r="N113" s="0" t="str">
        <f aca="false">IF(H113="","",IFERROR(LEFT(H113,FIND(" ",H113)-1),H113))</f>
        <v/>
      </c>
      <c r="O113" s="20" t="n">
        <f aca="false">IFERROR(DATE(VALUE(MID(N113,FIND("/",N113,FIND("/",N113)+1)+1,4)),VALUE(MID(N113,FIND("/",N113)+1,FIND("/",N113,FIND("/",N113)+1)-FIND("/",N113)-1)),VALUE(LEFT(N113,FIND("/",N113)-1))),0)</f>
        <v>0</v>
      </c>
    </row>
    <row r="114" customFormat="false" ht="15" hidden="false" customHeight="false" outlineLevel="0" collapsed="false">
      <c r="N114" s="0" t="str">
        <f aca="false">IF(H114="","",IFERROR(LEFT(H114,FIND(" ",H114)-1),H114))</f>
        <v/>
      </c>
      <c r="O114" s="20" t="n">
        <f aca="false">IFERROR(DATE(VALUE(MID(N114,FIND("/",N114,FIND("/",N114)+1)+1,4)),VALUE(MID(N114,FIND("/",N114)+1,FIND("/",N114,FIND("/",N114)+1)-FIND("/",N114)-1)),VALUE(LEFT(N114,FIND("/",N114)-1))),0)</f>
        <v>0</v>
      </c>
    </row>
    <row r="115" customFormat="false" ht="15" hidden="false" customHeight="false" outlineLevel="0" collapsed="false">
      <c r="N115" s="0" t="str">
        <f aca="false">IF(H115="","",IFERROR(LEFT(H115,FIND(" ",H115)-1),H115))</f>
        <v/>
      </c>
      <c r="O115" s="20" t="n">
        <f aca="false">IFERROR(DATE(VALUE(MID(N115,FIND("/",N115,FIND("/",N115)+1)+1,4)),VALUE(MID(N115,FIND("/",N115)+1,FIND("/",N115,FIND("/",N115)+1)-FIND("/",N115)-1)),VALUE(LEFT(N115,FIND("/",N115)-1))),0)</f>
        <v>0</v>
      </c>
    </row>
    <row r="116" customFormat="false" ht="15" hidden="false" customHeight="false" outlineLevel="0" collapsed="false">
      <c r="N116" s="0" t="str">
        <f aca="false">IF(H116="","",IFERROR(LEFT(H116,FIND(" ",H116)-1),H116))</f>
        <v/>
      </c>
      <c r="O116" s="20" t="n">
        <f aca="false">IFERROR(DATE(VALUE(MID(N116,FIND("/",N116,FIND("/",N116)+1)+1,4)),VALUE(MID(N116,FIND("/",N116)+1,FIND("/",N116,FIND("/",N116)+1)-FIND("/",N116)-1)),VALUE(LEFT(N116,FIND("/",N116)-1))),0)</f>
        <v>0</v>
      </c>
    </row>
    <row r="117" customFormat="false" ht="15" hidden="false" customHeight="false" outlineLevel="0" collapsed="false">
      <c r="N117" s="0" t="str">
        <f aca="false">IF(H117="","",IFERROR(LEFT(H117,FIND(" ",H117)-1),H117))</f>
        <v/>
      </c>
      <c r="O117" s="20" t="n">
        <f aca="false">IFERROR(DATE(VALUE(MID(N117,FIND("/",N117,FIND("/",N117)+1)+1,4)),VALUE(MID(N117,FIND("/",N117)+1,FIND("/",N117,FIND("/",N117)+1)-FIND("/",N117)-1)),VALUE(LEFT(N117,FIND("/",N117)-1))),0)</f>
        <v>0</v>
      </c>
    </row>
    <row r="118" customFormat="false" ht="15" hidden="false" customHeight="false" outlineLevel="0" collapsed="false">
      <c r="N118" s="0" t="str">
        <f aca="false">IF(H118="","",IFERROR(LEFT(H118,FIND(" ",H118)-1),H118))</f>
        <v/>
      </c>
      <c r="O118" s="20" t="n">
        <f aca="false">IFERROR(DATE(VALUE(MID(N118,FIND("/",N118,FIND("/",N118)+1)+1,4)),VALUE(MID(N118,FIND("/",N118)+1,FIND("/",N118,FIND("/",N118)+1)-FIND("/",N118)-1)),VALUE(LEFT(N118,FIND("/",N118)-1))),0)</f>
        <v>0</v>
      </c>
    </row>
    <row r="119" customFormat="false" ht="15" hidden="false" customHeight="false" outlineLevel="0" collapsed="false">
      <c r="N119" s="0" t="str">
        <f aca="false">IF(H119="","",IFERROR(LEFT(H119,FIND(" ",H119)-1),H119))</f>
        <v/>
      </c>
      <c r="O119" s="20" t="n">
        <f aca="false">IFERROR(DATE(VALUE(MID(N119,FIND("/",N119,FIND("/",N119)+1)+1,4)),VALUE(MID(N119,FIND("/",N119)+1,FIND("/",N119,FIND("/",N119)+1)-FIND("/",N119)-1)),VALUE(LEFT(N119,FIND("/",N119)-1))),0)</f>
        <v>0</v>
      </c>
    </row>
    <row r="120" customFormat="false" ht="15" hidden="false" customHeight="false" outlineLevel="0" collapsed="false">
      <c r="N120" s="0" t="str">
        <f aca="false">IF(H120="","",IFERROR(LEFT(H120,FIND(" ",H120)-1),H120))</f>
        <v/>
      </c>
      <c r="O120" s="20" t="n">
        <f aca="false">IFERROR(DATE(VALUE(MID(N120,FIND("/",N120,FIND("/",N120)+1)+1,4)),VALUE(MID(N120,FIND("/",N120)+1,FIND("/",N120,FIND("/",N120)+1)-FIND("/",N120)-1)),VALUE(LEFT(N120,FIND("/",N120)-1))),0)</f>
        <v>0</v>
      </c>
    </row>
    <row r="121" customFormat="false" ht="15" hidden="false" customHeight="false" outlineLevel="0" collapsed="false">
      <c r="N121" s="0" t="str">
        <f aca="false">IF(H121="","",IFERROR(LEFT(H121,FIND(" ",H121)-1),H121))</f>
        <v/>
      </c>
      <c r="O121" s="20" t="n">
        <f aca="false">IFERROR(DATE(VALUE(MID(N121,FIND("/",N121,FIND("/",N121)+1)+1,4)),VALUE(MID(N121,FIND("/",N121)+1,FIND("/",N121,FIND("/",N121)+1)-FIND("/",N121)-1)),VALUE(LEFT(N121,FIND("/",N121)-1))),0)</f>
        <v>0</v>
      </c>
    </row>
    <row r="122" customFormat="false" ht="15" hidden="false" customHeight="false" outlineLevel="0" collapsed="false">
      <c r="N122" s="0" t="str">
        <f aca="false">IF(H122="","",IFERROR(LEFT(H122,FIND(" ",H122)-1),H122))</f>
        <v/>
      </c>
      <c r="O122" s="20" t="n">
        <f aca="false">IFERROR(DATE(VALUE(MID(N122,FIND("/",N122,FIND("/",N122)+1)+1,4)),VALUE(MID(N122,FIND("/",N122)+1,FIND("/",N122,FIND("/",N122)+1)-FIND("/",N122)-1)),VALUE(LEFT(N122,FIND("/",N122)-1))),0)</f>
        <v>0</v>
      </c>
    </row>
    <row r="123" customFormat="false" ht="15" hidden="false" customHeight="false" outlineLevel="0" collapsed="false">
      <c r="N123" s="0" t="str">
        <f aca="false">IF(H123="","",IFERROR(LEFT(H123,FIND(" ",H123)-1),H123))</f>
        <v/>
      </c>
      <c r="O123" s="20" t="n">
        <f aca="false">IFERROR(DATE(VALUE(MID(N123,FIND("/",N123,FIND("/",N123)+1)+1,4)),VALUE(MID(N123,FIND("/",N123)+1,FIND("/",N123,FIND("/",N123)+1)-FIND("/",N123)-1)),VALUE(LEFT(N123,FIND("/",N123)-1))),0)</f>
        <v>0</v>
      </c>
    </row>
    <row r="124" customFormat="false" ht="15" hidden="false" customHeight="false" outlineLevel="0" collapsed="false">
      <c r="N124" s="0" t="str">
        <f aca="false">IF(H124="","",IFERROR(LEFT(H124,FIND(" ",H124)-1),H124))</f>
        <v/>
      </c>
      <c r="O124" s="20" t="n">
        <f aca="false">IFERROR(DATE(VALUE(MID(N124,FIND("/",N124,FIND("/",N124)+1)+1,4)),VALUE(MID(N124,FIND("/",N124)+1,FIND("/",N124,FIND("/",N124)+1)-FIND("/",N124)-1)),VALUE(LEFT(N124,FIND("/",N124)-1))),0)</f>
        <v>0</v>
      </c>
    </row>
    <row r="125" customFormat="false" ht="15" hidden="false" customHeight="false" outlineLevel="0" collapsed="false">
      <c r="N125" s="0" t="str">
        <f aca="false">IF(H125="","",IFERROR(LEFT(H125,FIND(" ",H125)-1),H125))</f>
        <v/>
      </c>
      <c r="O125" s="20" t="n">
        <f aca="false">IFERROR(DATE(VALUE(MID(N125,FIND("/",N125,FIND("/",N125)+1)+1,4)),VALUE(MID(N125,FIND("/",N125)+1,FIND("/",N125,FIND("/",N125)+1)-FIND("/",N125)-1)),VALUE(LEFT(N125,FIND("/",N125)-1))),0)</f>
        <v>0</v>
      </c>
    </row>
    <row r="126" customFormat="false" ht="15" hidden="false" customHeight="false" outlineLevel="0" collapsed="false">
      <c r="N126" s="0" t="str">
        <f aca="false">IF(H126="","",IFERROR(LEFT(H126,FIND(" ",H126)-1),H126))</f>
        <v/>
      </c>
      <c r="O126" s="20" t="n">
        <f aca="false">IFERROR(DATE(VALUE(MID(N126,FIND("/",N126,FIND("/",N126)+1)+1,4)),VALUE(MID(N126,FIND("/",N126)+1,FIND("/",N126,FIND("/",N126)+1)-FIND("/",N126)-1)),VALUE(LEFT(N126,FIND("/",N126)-1))),0)</f>
        <v>0</v>
      </c>
    </row>
    <row r="127" customFormat="false" ht="15" hidden="false" customHeight="false" outlineLevel="0" collapsed="false">
      <c r="N127" s="0" t="str">
        <f aca="false">IF(H127="","",IFERROR(LEFT(H127,FIND(" ",H127)-1),H127))</f>
        <v/>
      </c>
      <c r="O127" s="20" t="n">
        <f aca="false">IFERROR(DATE(VALUE(MID(N127,FIND("/",N127,FIND("/",N127)+1)+1,4)),VALUE(MID(N127,FIND("/",N127)+1,FIND("/",N127,FIND("/",N127)+1)-FIND("/",N127)-1)),VALUE(LEFT(N127,FIND("/",N127)-1))),0)</f>
        <v>0</v>
      </c>
    </row>
    <row r="128" customFormat="false" ht="15" hidden="false" customHeight="false" outlineLevel="0" collapsed="false">
      <c r="N128" s="0" t="str">
        <f aca="false">IF(H128="","",IFERROR(LEFT(H128,FIND(" ",H128)-1),H128))</f>
        <v/>
      </c>
      <c r="O128" s="20" t="n">
        <f aca="false">IFERROR(DATE(VALUE(MID(N128,FIND("/",N128,FIND("/",N128)+1)+1,4)),VALUE(MID(N128,FIND("/",N128)+1,FIND("/",N128,FIND("/",N128)+1)-FIND("/",N128)-1)),VALUE(LEFT(N128,FIND("/",N128)-1))),0)</f>
        <v>0</v>
      </c>
    </row>
    <row r="129" customFormat="false" ht="15" hidden="false" customHeight="false" outlineLevel="0" collapsed="false">
      <c r="N129" s="0" t="str">
        <f aca="false">IF(H129="","",IFERROR(LEFT(H129,FIND(" ",H129)-1),H129))</f>
        <v/>
      </c>
      <c r="O129" s="20" t="n">
        <f aca="false">IFERROR(DATE(VALUE(MID(N129,FIND("/",N129,FIND("/",N129)+1)+1,4)),VALUE(MID(N129,FIND("/",N129)+1,FIND("/",N129,FIND("/",N129)+1)-FIND("/",N129)-1)),VALUE(LEFT(N129,FIND("/",N129)-1))),0)</f>
        <v>0</v>
      </c>
    </row>
    <row r="130" customFormat="false" ht="15" hidden="false" customHeight="false" outlineLevel="0" collapsed="false">
      <c r="N130" s="0" t="str">
        <f aca="false">IF(H130="","",IFERROR(LEFT(H130,FIND(" ",H130)-1),H130))</f>
        <v/>
      </c>
      <c r="O130" s="20" t="n">
        <f aca="false">IFERROR(DATE(VALUE(MID(N130,FIND("/",N130,FIND("/",N130)+1)+1,4)),VALUE(MID(N130,FIND("/",N130)+1,FIND("/",N130,FIND("/",N130)+1)-FIND("/",N130)-1)),VALUE(LEFT(N130,FIND("/",N130)-1))),0)</f>
        <v>0</v>
      </c>
    </row>
    <row r="131" customFormat="false" ht="15" hidden="false" customHeight="false" outlineLevel="0" collapsed="false">
      <c r="N131" s="0" t="str">
        <f aca="false">IF(H131="","",IFERROR(LEFT(H131,FIND(" ",H131)-1),H131))</f>
        <v/>
      </c>
      <c r="O131" s="20" t="n">
        <f aca="false">IFERROR(DATE(VALUE(MID(N131,FIND("/",N131,FIND("/",N131)+1)+1,4)),VALUE(MID(N131,FIND("/",N131)+1,FIND("/",N131,FIND("/",N131)+1)-FIND("/",N131)-1)),VALUE(LEFT(N131,FIND("/",N131)-1))),0)</f>
        <v>0</v>
      </c>
    </row>
    <row r="132" customFormat="false" ht="15" hidden="false" customHeight="false" outlineLevel="0" collapsed="false">
      <c r="N132" s="0" t="str">
        <f aca="false">IF(H132="","",IFERROR(LEFT(H132,FIND(" ",H132)-1),H132))</f>
        <v/>
      </c>
      <c r="O132" s="20" t="n">
        <f aca="false">IFERROR(DATE(VALUE(MID(N132,FIND("/",N132,FIND("/",N132)+1)+1,4)),VALUE(MID(N132,FIND("/",N132)+1,FIND("/",N132,FIND("/",N132)+1)-FIND("/",N132)-1)),VALUE(LEFT(N132,FIND("/",N132)-1))),0)</f>
        <v>0</v>
      </c>
    </row>
    <row r="133" customFormat="false" ht="15" hidden="false" customHeight="false" outlineLevel="0" collapsed="false">
      <c r="N133" s="0" t="str">
        <f aca="false">IF(H133="","",IFERROR(LEFT(H133,FIND(" ",H133)-1),H133))</f>
        <v/>
      </c>
      <c r="O133" s="20" t="n">
        <f aca="false">IFERROR(DATE(VALUE(MID(N133,FIND("/",N133,FIND("/",N133)+1)+1,4)),VALUE(MID(N133,FIND("/",N133)+1,FIND("/",N133,FIND("/",N133)+1)-FIND("/",N133)-1)),VALUE(LEFT(N133,FIND("/",N133)-1))),0)</f>
        <v>0</v>
      </c>
    </row>
    <row r="134" customFormat="false" ht="15" hidden="false" customHeight="false" outlineLevel="0" collapsed="false">
      <c r="N134" s="0" t="str">
        <f aca="false">IF(H134="","",IFERROR(LEFT(H134,FIND(" ",H134)-1),H134))</f>
        <v/>
      </c>
      <c r="O134" s="20" t="n">
        <f aca="false">IFERROR(DATE(VALUE(MID(N134,FIND("/",N134,FIND("/",N134)+1)+1,4)),VALUE(MID(N134,FIND("/",N134)+1,FIND("/",N134,FIND("/",N134)+1)-FIND("/",N134)-1)),VALUE(LEFT(N134,FIND("/",N134)-1))),0)</f>
        <v>0</v>
      </c>
    </row>
    <row r="135" customFormat="false" ht="15" hidden="false" customHeight="false" outlineLevel="0" collapsed="false">
      <c r="N135" s="0" t="str">
        <f aca="false">IF(H135="","",IFERROR(LEFT(H135,FIND(" ",H135)-1),H135))</f>
        <v/>
      </c>
      <c r="O135" s="20" t="n">
        <f aca="false">IFERROR(DATE(VALUE(MID(N135,FIND("/",N135,FIND("/",N135)+1)+1,4)),VALUE(MID(N135,FIND("/",N135)+1,FIND("/",N135,FIND("/",N135)+1)-FIND("/",N135)-1)),VALUE(LEFT(N135,FIND("/",N135)-1))),0)</f>
        <v>0</v>
      </c>
    </row>
    <row r="136" customFormat="false" ht="15" hidden="false" customHeight="false" outlineLevel="0" collapsed="false">
      <c r="N136" s="0" t="str">
        <f aca="false">IF(H136="","",IFERROR(LEFT(H136,FIND(" ",H136)-1),H136))</f>
        <v/>
      </c>
      <c r="O136" s="20" t="n">
        <f aca="false">IFERROR(DATE(VALUE(MID(N136,FIND("/",N136,FIND("/",N136)+1)+1,4)),VALUE(MID(N136,FIND("/",N136)+1,FIND("/",N136,FIND("/",N136)+1)-FIND("/",N136)-1)),VALUE(LEFT(N136,FIND("/",N136)-1))),0)</f>
        <v>0</v>
      </c>
    </row>
    <row r="137" customFormat="false" ht="15" hidden="false" customHeight="false" outlineLevel="0" collapsed="false">
      <c r="N137" s="0" t="str">
        <f aca="false">IF(H137="","",IFERROR(LEFT(H137,FIND(" ",H137)-1),H137))</f>
        <v/>
      </c>
      <c r="O137" s="20" t="n">
        <f aca="false">IFERROR(DATE(VALUE(MID(N137,FIND("/",N137,FIND("/",N137)+1)+1,4)),VALUE(MID(N137,FIND("/",N137)+1,FIND("/",N137,FIND("/",N137)+1)-FIND("/",N137)-1)),VALUE(LEFT(N137,FIND("/",N137)-1))),0)</f>
        <v>0</v>
      </c>
    </row>
    <row r="138" customFormat="false" ht="15" hidden="false" customHeight="false" outlineLevel="0" collapsed="false">
      <c r="N138" s="0" t="str">
        <f aca="false">IF(H138="","",IFERROR(LEFT(H138,FIND(" ",H138)-1),H138))</f>
        <v/>
      </c>
      <c r="O138" s="20" t="n">
        <f aca="false">IFERROR(DATE(VALUE(MID(N138,FIND("/",N138,FIND("/",N138)+1)+1,4)),VALUE(MID(N138,FIND("/",N138)+1,FIND("/",N138,FIND("/",N138)+1)-FIND("/",N138)-1)),VALUE(LEFT(N138,FIND("/",N138)-1))),0)</f>
        <v>0</v>
      </c>
    </row>
    <row r="139" customFormat="false" ht="15" hidden="false" customHeight="false" outlineLevel="0" collapsed="false">
      <c r="N139" s="0" t="str">
        <f aca="false">IF(H139="","",IFERROR(LEFT(H139,FIND(" ",H139)-1),H139))</f>
        <v/>
      </c>
      <c r="O139" s="20" t="n">
        <f aca="false">IFERROR(DATE(VALUE(MID(N139,FIND("/",N139,FIND("/",N139)+1)+1,4)),VALUE(MID(N139,FIND("/",N139)+1,FIND("/",N139,FIND("/",N139)+1)-FIND("/",N139)-1)),VALUE(LEFT(N139,FIND("/",N139)-1))),0)</f>
        <v>0</v>
      </c>
    </row>
    <row r="140" customFormat="false" ht="15" hidden="false" customHeight="false" outlineLevel="0" collapsed="false">
      <c r="N140" s="0" t="str">
        <f aca="false">IF(H140="","",IFERROR(LEFT(H140,FIND(" ",H140)-1),H140))</f>
        <v/>
      </c>
      <c r="O140" s="20" t="n">
        <f aca="false">IFERROR(DATE(VALUE(MID(N140,FIND("/",N140,FIND("/",N140)+1)+1,4)),VALUE(MID(N140,FIND("/",N140)+1,FIND("/",N140,FIND("/",N140)+1)-FIND("/",N140)-1)),VALUE(LEFT(N140,FIND("/",N140)-1))),0)</f>
        <v>0</v>
      </c>
    </row>
    <row r="141" customFormat="false" ht="15" hidden="false" customHeight="false" outlineLevel="0" collapsed="false">
      <c r="N141" s="0" t="str">
        <f aca="false">IF(H141="","",IFERROR(LEFT(H141,FIND(" ",H141)-1),H141))</f>
        <v/>
      </c>
      <c r="O141" s="20" t="n">
        <f aca="false">IFERROR(DATE(VALUE(MID(N141,FIND("/",N141,FIND("/",N141)+1)+1,4)),VALUE(MID(N141,FIND("/",N141)+1,FIND("/",N141,FIND("/",N141)+1)-FIND("/",N141)-1)),VALUE(LEFT(N141,FIND("/",N141)-1))),0)</f>
        <v>0</v>
      </c>
    </row>
    <row r="142" customFormat="false" ht="15" hidden="false" customHeight="false" outlineLevel="0" collapsed="false">
      <c r="N142" s="0" t="str">
        <f aca="false">IF(H142="","",IFERROR(LEFT(H142,FIND(" ",H142)-1),H142))</f>
        <v/>
      </c>
      <c r="O142" s="20" t="n">
        <f aca="false">IFERROR(DATE(VALUE(MID(N142,FIND("/",N142,FIND("/",N142)+1)+1,4)),VALUE(MID(N142,FIND("/",N142)+1,FIND("/",N142,FIND("/",N142)+1)-FIND("/",N142)-1)),VALUE(LEFT(N142,FIND("/",N142)-1))),0)</f>
        <v>0</v>
      </c>
    </row>
    <row r="143" customFormat="false" ht="15" hidden="false" customHeight="false" outlineLevel="0" collapsed="false">
      <c r="N143" s="0" t="str">
        <f aca="false">IF(H143="","",IFERROR(LEFT(H143,FIND(" ",H143)-1),H143))</f>
        <v/>
      </c>
      <c r="O143" s="20" t="n">
        <f aca="false">IFERROR(DATE(VALUE(MID(N143,FIND("/",N143,FIND("/",N143)+1)+1,4)),VALUE(MID(N143,FIND("/",N143)+1,FIND("/",N143,FIND("/",N143)+1)-FIND("/",N143)-1)),VALUE(LEFT(N143,FIND("/",N143)-1))),0)</f>
        <v>0</v>
      </c>
    </row>
    <row r="144" customFormat="false" ht="15" hidden="false" customHeight="false" outlineLevel="0" collapsed="false">
      <c r="N144" s="0" t="str">
        <f aca="false">IF(H144="","",IFERROR(LEFT(H144,FIND(" ",H144)-1),H144))</f>
        <v/>
      </c>
      <c r="O144" s="20" t="n">
        <f aca="false">IFERROR(DATE(VALUE(MID(N144,FIND("/",N144,FIND("/",N144)+1)+1,4)),VALUE(MID(N144,FIND("/",N144)+1,FIND("/",N144,FIND("/",N144)+1)-FIND("/",N144)-1)),VALUE(LEFT(N144,FIND("/",N144)-1))),0)</f>
        <v>0</v>
      </c>
    </row>
    <row r="145" customFormat="false" ht="15" hidden="false" customHeight="false" outlineLevel="0" collapsed="false">
      <c r="N145" s="0" t="str">
        <f aca="false">IF(H145="","",IFERROR(LEFT(H145,FIND(" ",H145)-1),H145))</f>
        <v/>
      </c>
      <c r="O145" s="20" t="n">
        <f aca="false">IFERROR(DATE(VALUE(MID(N145,FIND("/",N145,FIND("/",N145)+1)+1,4)),VALUE(MID(N145,FIND("/",N145)+1,FIND("/",N145,FIND("/",N145)+1)-FIND("/",N145)-1)),VALUE(LEFT(N145,FIND("/",N145)-1))),0)</f>
        <v>0</v>
      </c>
    </row>
    <row r="146" customFormat="false" ht="15" hidden="false" customHeight="false" outlineLevel="0" collapsed="false">
      <c r="N146" s="0" t="str">
        <f aca="false">IF(H146="","",IFERROR(LEFT(H146,FIND(" ",H146)-1),H146))</f>
        <v/>
      </c>
      <c r="O146" s="20" t="n">
        <f aca="false">IFERROR(DATE(VALUE(MID(N146,FIND("/",N146,FIND("/",N146)+1)+1,4)),VALUE(MID(N146,FIND("/",N146)+1,FIND("/",N146,FIND("/",N146)+1)-FIND("/",N146)-1)),VALUE(LEFT(N146,FIND("/",N146)-1))),0)</f>
        <v>0</v>
      </c>
    </row>
    <row r="147" customFormat="false" ht="15" hidden="false" customHeight="false" outlineLevel="0" collapsed="false">
      <c r="N147" s="0" t="str">
        <f aca="false">IF(H147="","",IFERROR(LEFT(H147,FIND(" ",H147)-1),H147))</f>
        <v/>
      </c>
      <c r="O147" s="20" t="n">
        <f aca="false">IFERROR(DATE(VALUE(MID(N147,FIND("/",N147,FIND("/",N147)+1)+1,4)),VALUE(MID(N147,FIND("/",N147)+1,FIND("/",N147,FIND("/",N147)+1)-FIND("/",N147)-1)),VALUE(LEFT(N147,FIND("/",N147)-1))),0)</f>
        <v>0</v>
      </c>
    </row>
    <row r="148" customFormat="false" ht="15" hidden="false" customHeight="false" outlineLevel="0" collapsed="false">
      <c r="N148" s="0" t="str">
        <f aca="false">IF(H148="","",IFERROR(LEFT(H148,FIND(" ",H148)-1),H148))</f>
        <v/>
      </c>
      <c r="O148" s="20" t="n">
        <f aca="false">IFERROR(DATE(VALUE(MID(N148,FIND("/",N148,FIND("/",N148)+1)+1,4)),VALUE(MID(N148,FIND("/",N148)+1,FIND("/",N148,FIND("/",N148)+1)-FIND("/",N148)-1)),VALUE(LEFT(N148,FIND("/",N148)-1))),0)</f>
        <v>0</v>
      </c>
    </row>
    <row r="149" customFormat="false" ht="15" hidden="false" customHeight="false" outlineLevel="0" collapsed="false">
      <c r="N149" s="0" t="str">
        <f aca="false">IF(H149="","",IFERROR(LEFT(H149,FIND(" ",H149)-1),H149))</f>
        <v/>
      </c>
      <c r="O149" s="20" t="n">
        <f aca="false">IFERROR(DATE(VALUE(MID(N149,FIND("/",N149,FIND("/",N149)+1)+1,4)),VALUE(MID(N149,FIND("/",N149)+1,FIND("/",N149,FIND("/",N149)+1)-FIND("/",N149)-1)),VALUE(LEFT(N149,FIND("/",N149)-1))),0)</f>
        <v>0</v>
      </c>
    </row>
    <row r="150" customFormat="false" ht="15" hidden="false" customHeight="false" outlineLevel="0" collapsed="false">
      <c r="N150" s="0" t="str">
        <f aca="false">IF(H150="","",IFERROR(LEFT(H150,FIND(" ",H150)-1),H150))</f>
        <v/>
      </c>
      <c r="O150" s="20" t="n">
        <f aca="false">IFERROR(DATE(VALUE(MID(N150,FIND("/",N150,FIND("/",N150)+1)+1,4)),VALUE(MID(N150,FIND("/",N150)+1,FIND("/",N150,FIND("/",N150)+1)-FIND("/",N150)-1)),VALUE(LEFT(N150,FIND("/",N150)-1))),0)</f>
        <v>0</v>
      </c>
    </row>
    <row r="151" customFormat="false" ht="15" hidden="false" customHeight="false" outlineLevel="0" collapsed="false">
      <c r="N151" s="0" t="str">
        <f aca="false">IF(H151="","",IFERROR(LEFT(H151,FIND(" ",H151)-1),H151))</f>
        <v/>
      </c>
      <c r="O151" s="20" t="n">
        <f aca="false">IFERROR(DATE(VALUE(MID(N151,FIND("/",N151,FIND("/",N151)+1)+1,4)),VALUE(MID(N151,FIND("/",N151)+1,FIND("/",N151,FIND("/",N151)+1)-FIND("/",N151)-1)),VALUE(LEFT(N151,FIND("/",N151)-1))),0)</f>
        <v>0</v>
      </c>
    </row>
    <row r="152" customFormat="false" ht="15" hidden="false" customHeight="false" outlineLevel="0" collapsed="false">
      <c r="N152" s="0" t="str">
        <f aca="false">IF(H152="","",IFERROR(LEFT(H152,FIND(" ",H152)-1),H152))</f>
        <v/>
      </c>
      <c r="O152" s="20" t="n">
        <f aca="false">IFERROR(DATE(VALUE(MID(N152,FIND("/",N152,FIND("/",N152)+1)+1,4)),VALUE(MID(N152,FIND("/",N152)+1,FIND("/",N152,FIND("/",N152)+1)-FIND("/",N152)-1)),VALUE(LEFT(N152,FIND("/",N152)-1))),0)</f>
        <v>0</v>
      </c>
    </row>
    <row r="153" customFormat="false" ht="15" hidden="false" customHeight="false" outlineLevel="0" collapsed="false">
      <c r="N153" s="0" t="str">
        <f aca="false">IF(H153="","",IFERROR(LEFT(H153,FIND(" ",H153)-1),H153))</f>
        <v/>
      </c>
      <c r="O153" s="20" t="n">
        <f aca="false">IFERROR(DATE(VALUE(MID(N153,FIND("/",N153,FIND("/",N153)+1)+1,4)),VALUE(MID(N153,FIND("/",N153)+1,FIND("/",N153,FIND("/",N153)+1)-FIND("/",N153)-1)),VALUE(LEFT(N153,FIND("/",N153)-1))),0)</f>
        <v>0</v>
      </c>
    </row>
    <row r="154" customFormat="false" ht="15" hidden="false" customHeight="false" outlineLevel="0" collapsed="false">
      <c r="N154" s="0" t="str">
        <f aca="false">IF(H154="","",IFERROR(LEFT(H154,FIND(" ",H154)-1),H154))</f>
        <v/>
      </c>
      <c r="O154" s="20" t="n">
        <f aca="false">IFERROR(DATE(VALUE(MID(N154,FIND("/",N154,FIND("/",N154)+1)+1,4)),VALUE(MID(N154,FIND("/",N154)+1,FIND("/",N154,FIND("/",N154)+1)-FIND("/",N154)-1)),VALUE(LEFT(N154,FIND("/",N154)-1))),0)</f>
        <v>0</v>
      </c>
    </row>
    <row r="155" customFormat="false" ht="15" hidden="false" customHeight="false" outlineLevel="0" collapsed="false">
      <c r="N155" s="0" t="str">
        <f aca="false">IF(H155="","",IFERROR(LEFT(H155,FIND(" ",H155)-1),H155))</f>
        <v/>
      </c>
      <c r="O155" s="20" t="n">
        <f aca="false">IFERROR(DATE(VALUE(MID(N155,FIND("/",N155,FIND("/",N155)+1)+1,4)),VALUE(MID(N155,FIND("/",N155)+1,FIND("/",N155,FIND("/",N155)+1)-FIND("/",N155)-1)),VALUE(LEFT(N155,FIND("/",N155)-1))),0)</f>
        <v>0</v>
      </c>
    </row>
    <row r="156" customFormat="false" ht="15" hidden="false" customHeight="false" outlineLevel="0" collapsed="false">
      <c r="N156" s="0" t="str">
        <f aca="false">IF(H156="","",IFERROR(LEFT(H156,FIND(" ",H156)-1),H156))</f>
        <v/>
      </c>
      <c r="O156" s="20" t="n">
        <f aca="false">IFERROR(DATE(VALUE(MID(N156,FIND("/",N156,FIND("/",N156)+1)+1,4)),VALUE(MID(N156,FIND("/",N156)+1,FIND("/",N156,FIND("/",N156)+1)-FIND("/",N156)-1)),VALUE(LEFT(N156,FIND("/",N156)-1))),0)</f>
        <v>0</v>
      </c>
    </row>
    <row r="157" customFormat="false" ht="15" hidden="false" customHeight="false" outlineLevel="0" collapsed="false">
      <c r="N157" s="0" t="str">
        <f aca="false">IF(H157="","",IFERROR(LEFT(H157,FIND(" ",H157)-1),H157))</f>
        <v/>
      </c>
      <c r="O157" s="20" t="n">
        <f aca="false">IFERROR(DATE(VALUE(MID(N157,FIND("/",N157,FIND("/",N157)+1)+1,4)),VALUE(MID(N157,FIND("/",N157)+1,FIND("/",N157,FIND("/",N157)+1)-FIND("/",N157)-1)),VALUE(LEFT(N157,FIND("/",N157)-1))),0)</f>
        <v>0</v>
      </c>
    </row>
    <row r="158" customFormat="false" ht="15" hidden="false" customHeight="false" outlineLevel="0" collapsed="false">
      <c r="N158" s="0" t="str">
        <f aca="false">IF(H158="","",IFERROR(LEFT(H158,FIND(" ",H158)-1),H158))</f>
        <v/>
      </c>
      <c r="O158" s="20" t="n">
        <f aca="false">IFERROR(DATE(VALUE(MID(N158,FIND("/",N158,FIND("/",N158)+1)+1,4)),VALUE(MID(N158,FIND("/",N158)+1,FIND("/",N158,FIND("/",N158)+1)-FIND("/",N158)-1)),VALUE(LEFT(N158,FIND("/",N158)-1))),0)</f>
        <v>0</v>
      </c>
    </row>
    <row r="159" customFormat="false" ht="15" hidden="false" customHeight="false" outlineLevel="0" collapsed="false">
      <c r="N159" s="0" t="str">
        <f aca="false">IF(H159="","",IFERROR(LEFT(H159,FIND(" ",H159)-1),H159))</f>
        <v/>
      </c>
      <c r="O159" s="20" t="n">
        <f aca="false">IFERROR(DATE(VALUE(MID(N159,FIND("/",N159,FIND("/",N159)+1)+1,4)),VALUE(MID(N159,FIND("/",N159)+1,FIND("/",N159,FIND("/",N159)+1)-FIND("/",N159)-1)),VALUE(LEFT(N159,FIND("/",N159)-1))),0)</f>
        <v>0</v>
      </c>
    </row>
    <row r="160" customFormat="false" ht="15" hidden="false" customHeight="false" outlineLevel="0" collapsed="false">
      <c r="N160" s="0" t="str">
        <f aca="false">IF(H160="","",IFERROR(LEFT(H160,FIND(" ",H160)-1),H160))</f>
        <v/>
      </c>
      <c r="O160" s="20" t="n">
        <f aca="false">IFERROR(DATE(VALUE(MID(N160,FIND("/",N160,FIND("/",N160)+1)+1,4)),VALUE(MID(N160,FIND("/",N160)+1,FIND("/",N160,FIND("/",N160)+1)-FIND("/",N160)-1)),VALUE(LEFT(N160,FIND("/",N160)-1))),0)</f>
        <v>0</v>
      </c>
    </row>
    <row r="161" customFormat="false" ht="15" hidden="false" customHeight="false" outlineLevel="0" collapsed="false">
      <c r="N161" s="0" t="str">
        <f aca="false">IF(H161="","",IFERROR(LEFT(H161,FIND(" ",H161)-1),H161))</f>
        <v/>
      </c>
      <c r="O161" s="20" t="n">
        <f aca="false">IFERROR(DATE(VALUE(MID(N161,FIND("/",N161,FIND("/",N161)+1)+1,4)),VALUE(MID(N161,FIND("/",N161)+1,FIND("/",N161,FIND("/",N161)+1)-FIND("/",N161)-1)),VALUE(LEFT(N161,FIND("/",N161)-1))),0)</f>
        <v>0</v>
      </c>
    </row>
    <row r="162" customFormat="false" ht="15" hidden="false" customHeight="false" outlineLevel="0" collapsed="false">
      <c r="N162" s="0" t="str">
        <f aca="false">IF(H162="","",IFERROR(LEFT(H162,FIND(" ",H162)-1),H162))</f>
        <v/>
      </c>
      <c r="O162" s="20" t="n">
        <f aca="false">IFERROR(DATE(VALUE(MID(N162,FIND("/",N162,FIND("/",N162)+1)+1,4)),VALUE(MID(N162,FIND("/",N162)+1,FIND("/",N162,FIND("/",N162)+1)-FIND("/",N162)-1)),VALUE(LEFT(N162,FIND("/",N162)-1))),0)</f>
        <v>0</v>
      </c>
    </row>
    <row r="163" customFormat="false" ht="15" hidden="false" customHeight="false" outlineLevel="0" collapsed="false">
      <c r="N163" s="0" t="str">
        <f aca="false">IF(H163="","",IFERROR(LEFT(H163,FIND(" ",H163)-1),H163))</f>
        <v/>
      </c>
      <c r="O163" s="20" t="n">
        <f aca="false">IFERROR(DATE(VALUE(MID(N163,FIND("/",N163,FIND("/",N163)+1)+1,4)),VALUE(MID(N163,FIND("/",N163)+1,FIND("/",N163,FIND("/",N163)+1)-FIND("/",N163)-1)),VALUE(LEFT(N163,FIND("/",N163)-1))),0)</f>
        <v>0</v>
      </c>
    </row>
    <row r="164" customFormat="false" ht="15" hidden="false" customHeight="false" outlineLevel="0" collapsed="false">
      <c r="N164" s="0" t="str">
        <f aca="false">IF(H164="","",IFERROR(LEFT(H164,FIND(" ",H164)-1),H164))</f>
        <v/>
      </c>
      <c r="O164" s="20" t="n">
        <f aca="false">IFERROR(DATE(VALUE(MID(N164,FIND("/",N164,FIND("/",N164)+1)+1,4)),VALUE(MID(N164,FIND("/",N164)+1,FIND("/",N164,FIND("/",N164)+1)-FIND("/",N164)-1)),VALUE(LEFT(N164,FIND("/",N164)-1))),0)</f>
        <v>0</v>
      </c>
    </row>
    <row r="165" customFormat="false" ht="15" hidden="false" customHeight="false" outlineLevel="0" collapsed="false">
      <c r="N165" s="0" t="str">
        <f aca="false">IF(H165="","",IFERROR(LEFT(H165,FIND(" ",H165)-1),H165))</f>
        <v/>
      </c>
      <c r="O165" s="20" t="n">
        <f aca="false">IFERROR(DATE(VALUE(MID(N165,FIND("/",N165,FIND("/",N165)+1)+1,4)),VALUE(MID(N165,FIND("/",N165)+1,FIND("/",N165,FIND("/",N165)+1)-FIND("/",N165)-1)),VALUE(LEFT(N165,FIND("/",N165)-1))),0)</f>
        <v>0</v>
      </c>
    </row>
    <row r="166" customFormat="false" ht="15" hidden="false" customHeight="false" outlineLevel="0" collapsed="false">
      <c r="N166" s="0" t="str">
        <f aca="false">IF(H166="","",IFERROR(LEFT(H166,FIND(" ",H166)-1),H166))</f>
        <v/>
      </c>
      <c r="O166" s="20" t="n">
        <f aca="false">IFERROR(DATE(VALUE(MID(N166,FIND("/",N166,FIND("/",N166)+1)+1,4)),VALUE(MID(N166,FIND("/",N166)+1,FIND("/",N166,FIND("/",N166)+1)-FIND("/",N166)-1)),VALUE(LEFT(N166,FIND("/",N166)-1))),0)</f>
        <v>0</v>
      </c>
    </row>
    <row r="167" customFormat="false" ht="15" hidden="false" customHeight="false" outlineLevel="0" collapsed="false">
      <c r="N167" s="0" t="str">
        <f aca="false">IF(H167="","",IFERROR(LEFT(H167,FIND(" ",H167)-1),H167))</f>
        <v/>
      </c>
      <c r="O167" s="20" t="n">
        <f aca="false">IFERROR(DATE(VALUE(MID(N167,FIND("/",N167,FIND("/",N167)+1)+1,4)),VALUE(MID(N167,FIND("/",N167)+1,FIND("/",N167,FIND("/",N167)+1)-FIND("/",N167)-1)),VALUE(LEFT(N167,FIND("/",N167)-1))),0)</f>
        <v>0</v>
      </c>
    </row>
    <row r="168" customFormat="false" ht="15" hidden="false" customHeight="false" outlineLevel="0" collapsed="false">
      <c r="N168" s="0" t="str">
        <f aca="false">IF(H168="","",IFERROR(LEFT(H168,FIND(" ",H168)-1),H168))</f>
        <v/>
      </c>
      <c r="O168" s="20" t="n">
        <f aca="false">IFERROR(DATE(VALUE(MID(N168,FIND("/",N168,FIND("/",N168)+1)+1,4)),VALUE(MID(N168,FIND("/",N168)+1,FIND("/",N168,FIND("/",N168)+1)-FIND("/",N168)-1)),VALUE(LEFT(N168,FIND("/",N168)-1))),0)</f>
        <v>0</v>
      </c>
    </row>
    <row r="169" customFormat="false" ht="15" hidden="false" customHeight="false" outlineLevel="0" collapsed="false">
      <c r="N169" s="0" t="str">
        <f aca="false">IF(H169="","",IFERROR(LEFT(H169,FIND(" ",H169)-1),H169))</f>
        <v/>
      </c>
      <c r="O169" s="20" t="n">
        <f aca="false">IFERROR(DATE(VALUE(MID(N169,FIND("/",N169,FIND("/",N169)+1)+1,4)),VALUE(MID(N169,FIND("/",N169)+1,FIND("/",N169,FIND("/",N169)+1)-FIND("/",N169)-1)),VALUE(LEFT(N169,FIND("/",N169)-1))),0)</f>
        <v>0</v>
      </c>
    </row>
    <row r="170" customFormat="false" ht="15" hidden="false" customHeight="false" outlineLevel="0" collapsed="false">
      <c r="N170" s="0" t="str">
        <f aca="false">IF(H170="","",IFERROR(LEFT(H170,FIND(" ",H170)-1),H170))</f>
        <v/>
      </c>
      <c r="O170" s="20" t="n">
        <f aca="false">IFERROR(DATE(VALUE(MID(N170,FIND("/",N170,FIND("/",N170)+1)+1,4)),VALUE(MID(N170,FIND("/",N170)+1,FIND("/",N170,FIND("/",N170)+1)-FIND("/",N170)-1)),VALUE(LEFT(N170,FIND("/",N170)-1))),0)</f>
        <v>0</v>
      </c>
    </row>
    <row r="171" customFormat="false" ht="15" hidden="false" customHeight="false" outlineLevel="0" collapsed="false">
      <c r="N171" s="0" t="str">
        <f aca="false">IF(H171="","",IFERROR(LEFT(H171,FIND(" ",H171)-1),H171))</f>
        <v/>
      </c>
      <c r="O171" s="20" t="n">
        <f aca="false">IFERROR(DATE(VALUE(MID(N171,FIND("/",N171,FIND("/",N171)+1)+1,4)),VALUE(MID(N171,FIND("/",N171)+1,FIND("/",N171,FIND("/",N171)+1)-FIND("/",N171)-1)),VALUE(LEFT(N171,FIND("/",N171)-1))),0)</f>
        <v>0</v>
      </c>
    </row>
    <row r="172" customFormat="false" ht="15" hidden="false" customHeight="false" outlineLevel="0" collapsed="false">
      <c r="N172" s="0" t="str">
        <f aca="false">IF(H172="","",IFERROR(LEFT(H172,FIND(" ",H172)-1),H172))</f>
        <v/>
      </c>
      <c r="O172" s="20" t="n">
        <f aca="false">IFERROR(DATE(VALUE(MID(N172,FIND("/",N172,FIND("/",N172)+1)+1,4)),VALUE(MID(N172,FIND("/",N172)+1,FIND("/",N172,FIND("/",N172)+1)-FIND("/",N172)-1)),VALUE(LEFT(N172,FIND("/",N172)-1))),0)</f>
        <v>0</v>
      </c>
    </row>
    <row r="173" customFormat="false" ht="15" hidden="false" customHeight="false" outlineLevel="0" collapsed="false">
      <c r="N173" s="0" t="str">
        <f aca="false">IF(H173="","",IFERROR(LEFT(H173,FIND(" ",H173)-1),H173))</f>
        <v/>
      </c>
      <c r="O173" s="20" t="n">
        <f aca="false">IFERROR(DATE(VALUE(MID(N173,FIND("/",N173,FIND("/",N173)+1)+1,4)),VALUE(MID(N173,FIND("/",N173)+1,FIND("/",N173,FIND("/",N173)+1)-FIND("/",N173)-1)),VALUE(LEFT(N173,FIND("/",N173)-1))),0)</f>
        <v>0</v>
      </c>
    </row>
    <row r="174" customFormat="false" ht="15" hidden="false" customHeight="false" outlineLevel="0" collapsed="false">
      <c r="N174" s="0" t="str">
        <f aca="false">IF(H174="","",IFERROR(LEFT(H174,FIND(" ",H174)-1),H174))</f>
        <v/>
      </c>
      <c r="O174" s="20" t="n">
        <f aca="false">IFERROR(DATE(VALUE(MID(N174,FIND("/",N174,FIND("/",N174)+1)+1,4)),VALUE(MID(N174,FIND("/",N174)+1,FIND("/",N174,FIND("/",N174)+1)-FIND("/",N174)-1)),VALUE(LEFT(N174,FIND("/",N174)-1))),0)</f>
        <v>0</v>
      </c>
    </row>
    <row r="175" customFormat="false" ht="15" hidden="false" customHeight="false" outlineLevel="0" collapsed="false">
      <c r="N175" s="0" t="str">
        <f aca="false">IF(H175="","",IFERROR(LEFT(H175,FIND(" ",H175)-1),H175))</f>
        <v/>
      </c>
      <c r="O175" s="20" t="n">
        <f aca="false">IFERROR(DATE(VALUE(MID(N175,FIND("/",N175,FIND("/",N175)+1)+1,4)),VALUE(MID(N175,FIND("/",N175)+1,FIND("/",N175,FIND("/",N175)+1)-FIND("/",N175)-1)),VALUE(LEFT(N175,FIND("/",N175)-1))),0)</f>
        <v>0</v>
      </c>
    </row>
    <row r="176" customFormat="false" ht="15" hidden="false" customHeight="false" outlineLevel="0" collapsed="false">
      <c r="N176" s="0" t="str">
        <f aca="false">IF(H176="","",IFERROR(LEFT(H176,FIND(" ",H176)-1),H176))</f>
        <v/>
      </c>
      <c r="O176" s="20" t="n">
        <f aca="false">IFERROR(DATE(VALUE(MID(N176,FIND("/",N176,FIND("/",N176)+1)+1,4)),VALUE(MID(N176,FIND("/",N176)+1,FIND("/",N176,FIND("/",N176)+1)-FIND("/",N176)-1)),VALUE(LEFT(N176,FIND("/",N176)-1))),0)</f>
        <v>0</v>
      </c>
    </row>
    <row r="177" customFormat="false" ht="15" hidden="false" customHeight="false" outlineLevel="0" collapsed="false">
      <c r="N177" s="0" t="str">
        <f aca="false">IF(H177="","",IFERROR(LEFT(H177,FIND(" ",H177)-1),H177))</f>
        <v/>
      </c>
      <c r="O177" s="20" t="n">
        <f aca="false">IFERROR(DATE(VALUE(MID(N177,FIND("/",N177,FIND("/",N177)+1)+1,4)),VALUE(MID(N177,FIND("/",N177)+1,FIND("/",N177,FIND("/",N177)+1)-FIND("/",N177)-1)),VALUE(LEFT(N177,FIND("/",N177)-1))),0)</f>
        <v>0</v>
      </c>
    </row>
    <row r="178" customFormat="false" ht="15" hidden="false" customHeight="false" outlineLevel="0" collapsed="false">
      <c r="N178" s="0" t="str">
        <f aca="false">IF(H178="","",IFERROR(LEFT(H178,FIND(" ",H178)-1),H178))</f>
        <v/>
      </c>
      <c r="O178" s="20" t="n">
        <f aca="false">IFERROR(DATE(VALUE(MID(N178,FIND("/",N178,FIND("/",N178)+1)+1,4)),VALUE(MID(N178,FIND("/",N178)+1,FIND("/",N178,FIND("/",N178)+1)-FIND("/",N178)-1)),VALUE(LEFT(N178,FIND("/",N178)-1))),0)</f>
        <v>0</v>
      </c>
    </row>
    <row r="179" customFormat="false" ht="15" hidden="false" customHeight="false" outlineLevel="0" collapsed="false">
      <c r="N179" s="0" t="str">
        <f aca="false">IF(H179="","",IFERROR(LEFT(H179,FIND(" ",H179)-1),H179))</f>
        <v/>
      </c>
      <c r="O179" s="20" t="n">
        <f aca="false">IFERROR(DATE(VALUE(MID(N179,FIND("/",N179,FIND("/",N179)+1)+1,4)),VALUE(MID(N179,FIND("/",N179)+1,FIND("/",N179,FIND("/",N179)+1)-FIND("/",N179)-1)),VALUE(LEFT(N179,FIND("/",N179)-1))),0)</f>
        <v>0</v>
      </c>
    </row>
    <row r="180" customFormat="false" ht="15" hidden="false" customHeight="false" outlineLevel="0" collapsed="false">
      <c r="N180" s="0" t="str">
        <f aca="false">IF(H180="","",IFERROR(LEFT(H180,FIND(" ",H180)-1),H180))</f>
        <v/>
      </c>
      <c r="O180" s="20" t="n">
        <f aca="false">IFERROR(DATE(VALUE(MID(N180,FIND("/",N180,FIND("/",N180)+1)+1,4)),VALUE(MID(N180,FIND("/",N180)+1,FIND("/",N180,FIND("/",N180)+1)-FIND("/",N180)-1)),VALUE(LEFT(N180,FIND("/",N180)-1))),0)</f>
        <v>0</v>
      </c>
    </row>
    <row r="181" customFormat="false" ht="15" hidden="false" customHeight="false" outlineLevel="0" collapsed="false">
      <c r="N181" s="0" t="str">
        <f aca="false">IF(H181="","",IFERROR(LEFT(H181,FIND(" ",H181)-1),H181))</f>
        <v/>
      </c>
      <c r="O181" s="20" t="n">
        <f aca="false">IFERROR(DATE(VALUE(MID(N181,FIND("/",N181,FIND("/",N181)+1)+1,4)),VALUE(MID(N181,FIND("/",N181)+1,FIND("/",N181,FIND("/",N181)+1)-FIND("/",N181)-1)),VALUE(LEFT(N181,FIND("/",N181)-1))),0)</f>
        <v>0</v>
      </c>
    </row>
    <row r="182" customFormat="false" ht="15" hidden="false" customHeight="false" outlineLevel="0" collapsed="false">
      <c r="N182" s="0" t="str">
        <f aca="false">IF(H182="","",IFERROR(LEFT(H182,FIND(" ",H182)-1),H182))</f>
        <v/>
      </c>
      <c r="O182" s="20" t="n">
        <f aca="false">IFERROR(DATE(VALUE(MID(N182,FIND("/",N182,FIND("/",N182)+1)+1,4)),VALUE(MID(N182,FIND("/",N182)+1,FIND("/",N182,FIND("/",N182)+1)-FIND("/",N182)-1)),VALUE(LEFT(N182,FIND("/",N182)-1))),0)</f>
        <v>0</v>
      </c>
    </row>
    <row r="183" customFormat="false" ht="15" hidden="false" customHeight="false" outlineLevel="0" collapsed="false">
      <c r="N183" s="0" t="str">
        <f aca="false">IF(H183="","",IFERROR(LEFT(H183,FIND(" ",H183)-1),H183))</f>
        <v/>
      </c>
      <c r="O183" s="20" t="n">
        <f aca="false">IFERROR(DATE(VALUE(MID(N183,FIND("/",N183,FIND("/",N183)+1)+1,4)),VALUE(MID(N183,FIND("/",N183)+1,FIND("/",N183,FIND("/",N183)+1)-FIND("/",N183)-1)),VALUE(LEFT(N183,FIND("/",N183)-1))),0)</f>
        <v>0</v>
      </c>
    </row>
    <row r="184" customFormat="false" ht="15" hidden="false" customHeight="false" outlineLevel="0" collapsed="false">
      <c r="N184" s="0" t="str">
        <f aca="false">IF(H184="","",IFERROR(LEFT(H184,FIND(" ",H184)-1),H184))</f>
        <v/>
      </c>
      <c r="O184" s="20" t="n">
        <f aca="false">IFERROR(DATE(VALUE(MID(N184,FIND("/",N184,FIND("/",N184)+1)+1,4)),VALUE(MID(N184,FIND("/",N184)+1,FIND("/",N184,FIND("/",N184)+1)-FIND("/",N184)-1)),VALUE(LEFT(N184,FIND("/",N184)-1))),0)</f>
        <v>0</v>
      </c>
    </row>
    <row r="185" customFormat="false" ht="15" hidden="false" customHeight="false" outlineLevel="0" collapsed="false">
      <c r="N185" s="0" t="str">
        <f aca="false">IF(H185="","",IFERROR(LEFT(H185,FIND(" ",H185)-1),H185))</f>
        <v/>
      </c>
      <c r="O185" s="20" t="n">
        <f aca="false">IFERROR(DATE(VALUE(MID(N185,FIND("/",N185,FIND("/",N185)+1)+1,4)),VALUE(MID(N185,FIND("/",N185)+1,FIND("/",N185,FIND("/",N185)+1)-FIND("/",N185)-1)),VALUE(LEFT(N185,FIND("/",N185)-1))),0)</f>
        <v>0</v>
      </c>
    </row>
    <row r="186" customFormat="false" ht="15" hidden="false" customHeight="false" outlineLevel="0" collapsed="false">
      <c r="N186" s="0" t="str">
        <f aca="false">IF(H186="","",IFERROR(LEFT(H186,FIND(" ",H186)-1),H186))</f>
        <v/>
      </c>
      <c r="O186" s="20" t="n">
        <f aca="false">IFERROR(DATE(VALUE(MID(N186,FIND("/",N186,FIND("/",N186)+1)+1,4)),VALUE(MID(N186,FIND("/",N186)+1,FIND("/",N186,FIND("/",N186)+1)-FIND("/",N186)-1)),VALUE(LEFT(N186,FIND("/",N186)-1))),0)</f>
        <v>0</v>
      </c>
    </row>
    <row r="187" customFormat="false" ht="15" hidden="false" customHeight="false" outlineLevel="0" collapsed="false">
      <c r="N187" s="0" t="str">
        <f aca="false">IF(H187="","",IFERROR(LEFT(H187,FIND(" ",H187)-1),H187))</f>
        <v/>
      </c>
      <c r="O187" s="20" t="n">
        <f aca="false">IFERROR(DATE(VALUE(MID(N187,FIND("/",N187,FIND("/",N187)+1)+1,4)),VALUE(MID(N187,FIND("/",N187)+1,FIND("/",N187,FIND("/",N187)+1)-FIND("/",N187)-1)),VALUE(LEFT(N187,FIND("/",N187)-1))),0)</f>
        <v>0</v>
      </c>
    </row>
    <row r="188" customFormat="false" ht="15" hidden="false" customHeight="false" outlineLevel="0" collapsed="false">
      <c r="N188" s="0" t="str">
        <f aca="false">IF(H188="","",IFERROR(LEFT(H188,FIND(" ",H188)-1),H188))</f>
        <v/>
      </c>
      <c r="O188" s="20" t="n">
        <f aca="false">IFERROR(DATE(VALUE(MID(N188,FIND("/",N188,FIND("/",N188)+1)+1,4)),VALUE(MID(N188,FIND("/",N188)+1,FIND("/",N188,FIND("/",N188)+1)-FIND("/",N188)-1)),VALUE(LEFT(N188,FIND("/",N188)-1))),0)</f>
        <v>0</v>
      </c>
    </row>
    <row r="189" customFormat="false" ht="15" hidden="false" customHeight="false" outlineLevel="0" collapsed="false">
      <c r="N189" s="0" t="str">
        <f aca="false">IF(H189="","",IFERROR(LEFT(H189,FIND(" ",H189)-1),H189))</f>
        <v/>
      </c>
      <c r="O189" s="20" t="n">
        <f aca="false">IFERROR(DATE(VALUE(MID(N189,FIND("/",N189,FIND("/",N189)+1)+1,4)),VALUE(MID(N189,FIND("/",N189)+1,FIND("/",N189,FIND("/",N189)+1)-FIND("/",N189)-1)),VALUE(LEFT(N189,FIND("/",N189)-1))),0)</f>
        <v>0</v>
      </c>
    </row>
    <row r="190" customFormat="false" ht="15" hidden="false" customHeight="false" outlineLevel="0" collapsed="false">
      <c r="N190" s="0" t="str">
        <f aca="false">IF(H190="","",IFERROR(LEFT(H190,FIND(" ",H190)-1),H190))</f>
        <v/>
      </c>
      <c r="O190" s="20" t="n">
        <f aca="false">IFERROR(DATE(VALUE(MID(N190,FIND("/",N190,FIND("/",N190)+1)+1,4)),VALUE(MID(N190,FIND("/",N190)+1,FIND("/",N190,FIND("/",N190)+1)-FIND("/",N190)-1)),VALUE(LEFT(N190,FIND("/",N190)-1))),0)</f>
        <v>0</v>
      </c>
    </row>
    <row r="191" customFormat="false" ht="15" hidden="false" customHeight="false" outlineLevel="0" collapsed="false">
      <c r="N191" s="0" t="str">
        <f aca="false">IF(H191="","",IFERROR(LEFT(H191,FIND(" ",H191)-1),H191))</f>
        <v/>
      </c>
      <c r="O191" s="20" t="n">
        <f aca="false">IFERROR(DATE(VALUE(MID(N191,FIND("/",N191,FIND("/",N191)+1)+1,4)),VALUE(MID(N191,FIND("/",N191)+1,FIND("/",N191,FIND("/",N191)+1)-FIND("/",N191)-1)),VALUE(LEFT(N191,FIND("/",N191)-1))),0)</f>
        <v>0</v>
      </c>
    </row>
    <row r="192" customFormat="false" ht="15" hidden="false" customHeight="false" outlineLevel="0" collapsed="false">
      <c r="N192" s="0" t="str">
        <f aca="false">IF(H192="","",IFERROR(LEFT(H192,FIND(" ",H192)-1),H192))</f>
        <v/>
      </c>
      <c r="O192" s="20" t="n">
        <f aca="false">IFERROR(DATE(VALUE(MID(N192,FIND("/",N192,FIND("/",N192)+1)+1,4)),VALUE(MID(N192,FIND("/",N192)+1,FIND("/",N192,FIND("/",N192)+1)-FIND("/",N192)-1)),VALUE(LEFT(N192,FIND("/",N192)-1))),0)</f>
        <v>0</v>
      </c>
    </row>
    <row r="193" customFormat="false" ht="15" hidden="false" customHeight="false" outlineLevel="0" collapsed="false">
      <c r="N193" s="0" t="str">
        <f aca="false">IF(H193="","",IFERROR(LEFT(H193,FIND(" ",H193)-1),H193))</f>
        <v/>
      </c>
      <c r="O193" s="20" t="n">
        <f aca="false">IFERROR(DATE(VALUE(MID(N193,FIND("/",N193,FIND("/",N193)+1)+1,4)),VALUE(MID(N193,FIND("/",N193)+1,FIND("/",N193,FIND("/",N193)+1)-FIND("/",N193)-1)),VALUE(LEFT(N193,FIND("/",N193)-1))),0)</f>
        <v>0</v>
      </c>
    </row>
    <row r="194" customFormat="false" ht="15" hidden="false" customHeight="false" outlineLevel="0" collapsed="false">
      <c r="N194" s="0" t="str">
        <f aca="false">IF(H194="","",IFERROR(LEFT(H194,FIND(" ",H194)-1),H194))</f>
        <v/>
      </c>
      <c r="O194" s="20" t="n">
        <f aca="false">IFERROR(DATE(VALUE(MID(N194,FIND("/",N194,FIND("/",N194)+1)+1,4)),VALUE(MID(N194,FIND("/",N194)+1,FIND("/",N194,FIND("/",N194)+1)-FIND("/",N194)-1)),VALUE(LEFT(N194,FIND("/",N194)-1))),0)</f>
        <v>0</v>
      </c>
    </row>
    <row r="195" customFormat="false" ht="15" hidden="false" customHeight="false" outlineLevel="0" collapsed="false">
      <c r="N195" s="0" t="str">
        <f aca="false">IF(H195="","",IFERROR(LEFT(H195,FIND(" ",H195)-1),H195))</f>
        <v/>
      </c>
      <c r="O195" s="20" t="n">
        <f aca="false">IFERROR(DATE(VALUE(MID(N195,FIND("/",N195,FIND("/",N195)+1)+1,4)),VALUE(MID(N195,FIND("/",N195)+1,FIND("/",N195,FIND("/",N195)+1)-FIND("/",N195)-1)),VALUE(LEFT(N195,FIND("/",N195)-1))),0)</f>
        <v>0</v>
      </c>
    </row>
    <row r="196" customFormat="false" ht="15" hidden="false" customHeight="false" outlineLevel="0" collapsed="false">
      <c r="N196" s="0" t="str">
        <f aca="false">IF(H196="","",IFERROR(LEFT(H196,FIND(" ",H196)-1),H196))</f>
        <v/>
      </c>
      <c r="O196" s="20" t="n">
        <f aca="false">IFERROR(DATE(VALUE(MID(N196,FIND("/",N196,FIND("/",N196)+1)+1,4)),VALUE(MID(N196,FIND("/",N196)+1,FIND("/",N196,FIND("/",N196)+1)-FIND("/",N196)-1)),VALUE(LEFT(N196,FIND("/",N196)-1))),0)</f>
        <v>0</v>
      </c>
    </row>
    <row r="197" customFormat="false" ht="15" hidden="false" customHeight="false" outlineLevel="0" collapsed="false">
      <c r="N197" s="0" t="str">
        <f aca="false">IF(H197="","",IFERROR(LEFT(H197,FIND(" ",H197)-1),H197))</f>
        <v/>
      </c>
      <c r="O197" s="20" t="n">
        <f aca="false">IFERROR(DATE(VALUE(MID(N197,FIND("/",N197,FIND("/",N197)+1)+1,4)),VALUE(MID(N197,FIND("/",N197)+1,FIND("/",N197,FIND("/",N197)+1)-FIND("/",N197)-1)),VALUE(LEFT(N197,FIND("/",N197)-1))),0)</f>
        <v>0</v>
      </c>
    </row>
    <row r="198" customFormat="false" ht="15" hidden="false" customHeight="false" outlineLevel="0" collapsed="false">
      <c r="N198" s="0" t="str">
        <f aca="false">IF(H198="","",IFERROR(LEFT(H198,FIND(" ",H198)-1),H198))</f>
        <v/>
      </c>
      <c r="O198" s="20" t="n">
        <f aca="false">IFERROR(DATE(VALUE(MID(N198,FIND("/",N198,FIND("/",N198)+1)+1,4)),VALUE(MID(N198,FIND("/",N198)+1,FIND("/",N198,FIND("/",N198)+1)-FIND("/",N198)-1)),VALUE(LEFT(N198,FIND("/",N198)-1))),0)</f>
        <v>0</v>
      </c>
    </row>
    <row r="199" customFormat="false" ht="15" hidden="false" customHeight="false" outlineLevel="0" collapsed="false">
      <c r="N199" s="0" t="str">
        <f aca="false">IF(H199="","",IFERROR(LEFT(H199,FIND(" ",H199)-1),H199))</f>
        <v/>
      </c>
      <c r="O199" s="20" t="n">
        <f aca="false">IFERROR(DATE(VALUE(MID(N199,FIND("/",N199,FIND("/",N199)+1)+1,4)),VALUE(MID(N199,FIND("/",N199)+1,FIND("/",N199,FIND("/",N199)+1)-FIND("/",N199)-1)),VALUE(LEFT(N199,FIND("/",N199)-1))),0)</f>
        <v>0</v>
      </c>
    </row>
    <row r="200" customFormat="false" ht="15" hidden="false" customHeight="false" outlineLevel="0" collapsed="false">
      <c r="N200" s="0" t="str">
        <f aca="false">IF(H200="","",IFERROR(LEFT(H200,FIND(" ",H200)-1),H200))</f>
        <v/>
      </c>
      <c r="O200" s="20" t="n">
        <f aca="false">IFERROR(DATE(VALUE(MID(N200,FIND("/",N200,FIND("/",N200)+1)+1,4)),VALUE(MID(N200,FIND("/",N200)+1,FIND("/",N200,FIND("/",N200)+1)-FIND("/",N200)-1)),VALUE(LEFT(N200,FIND("/",N200)-1))),0)</f>
        <v>0</v>
      </c>
    </row>
    <row r="201" customFormat="false" ht="15" hidden="false" customHeight="false" outlineLevel="0" collapsed="false">
      <c r="N201" s="0" t="str">
        <f aca="false">IF(H201="","",IFERROR(LEFT(H201,FIND(" ",H201)-1),H201))</f>
        <v/>
      </c>
      <c r="O201" s="20" t="n">
        <f aca="false">IFERROR(DATE(VALUE(MID(N201,FIND("/",N201,FIND("/",N201)+1)+1,4)),VALUE(MID(N201,FIND("/",N201)+1,FIND("/",N201,FIND("/",N201)+1)-FIND("/",N201)-1)),VALUE(LEFT(N201,FIND("/",N201)-1))),0)</f>
        <v>0</v>
      </c>
    </row>
    <row r="202" customFormat="false" ht="15" hidden="false" customHeight="false" outlineLevel="0" collapsed="false">
      <c r="N202" s="0" t="str">
        <f aca="false">IF(H202="","",IFERROR(LEFT(H202,FIND(" ",H202)-1),H202))</f>
        <v/>
      </c>
      <c r="O202" s="20" t="n">
        <f aca="false">IFERROR(DATE(VALUE(MID(N202,FIND("/",N202,FIND("/",N202)+1)+1,4)),VALUE(MID(N202,FIND("/",N202)+1,FIND("/",N202,FIND("/",N202)+1)-FIND("/",N202)-1)),VALUE(LEFT(N202,FIND("/",N202)-1))),0)</f>
        <v>0</v>
      </c>
    </row>
    <row r="203" customFormat="false" ht="15" hidden="false" customHeight="false" outlineLevel="0" collapsed="false">
      <c r="N203" s="0" t="str">
        <f aca="false">IF(H203="","",IFERROR(LEFT(H203,FIND(" ",H203)-1),H203))</f>
        <v/>
      </c>
      <c r="O203" s="20" t="n">
        <f aca="false">IFERROR(DATE(VALUE(MID(N203,FIND("/",N203,FIND("/",N203)+1)+1,4)),VALUE(MID(N203,FIND("/",N203)+1,FIND("/",N203,FIND("/",N203)+1)-FIND("/",N203)-1)),VALUE(LEFT(N203,FIND("/",N203)-1))),0)</f>
        <v>0</v>
      </c>
    </row>
    <row r="204" customFormat="false" ht="15" hidden="false" customHeight="false" outlineLevel="0" collapsed="false">
      <c r="N204" s="0" t="str">
        <f aca="false">IF(H204="","",IFERROR(LEFT(H204,FIND(" ",H204)-1),H204))</f>
        <v/>
      </c>
      <c r="O204" s="20" t="n">
        <f aca="false">IFERROR(DATE(VALUE(MID(N204,FIND("/",N204,FIND("/",N204)+1)+1,4)),VALUE(MID(N204,FIND("/",N204)+1,FIND("/",N204,FIND("/",N204)+1)-FIND("/",N204)-1)),VALUE(LEFT(N204,FIND("/",N204)-1))),0)</f>
        <v>0</v>
      </c>
    </row>
    <row r="205" customFormat="false" ht="15" hidden="false" customHeight="false" outlineLevel="0" collapsed="false">
      <c r="N205" s="0" t="str">
        <f aca="false">IF(H205="","",IFERROR(LEFT(H205,FIND(" ",H205)-1),H205))</f>
        <v/>
      </c>
      <c r="O205" s="20" t="n">
        <f aca="false">IFERROR(DATE(VALUE(MID(N205,FIND("/",N205,FIND("/",N205)+1)+1,4)),VALUE(MID(N205,FIND("/",N205)+1,FIND("/",N205,FIND("/",N205)+1)-FIND("/",N205)-1)),VALUE(LEFT(N205,FIND("/",N205)-1))),0)</f>
        <v>0</v>
      </c>
    </row>
    <row r="206" customFormat="false" ht="15" hidden="false" customHeight="false" outlineLevel="0" collapsed="false">
      <c r="N206" s="0" t="str">
        <f aca="false">IF(H206="","",IFERROR(LEFT(H206,FIND(" ",H206)-1),H206))</f>
        <v/>
      </c>
      <c r="O206" s="20" t="n">
        <f aca="false">IFERROR(DATE(VALUE(MID(N206,FIND("/",N206,FIND("/",N206)+1)+1,4)),VALUE(MID(N206,FIND("/",N206)+1,FIND("/",N206,FIND("/",N206)+1)-FIND("/",N206)-1)),VALUE(LEFT(N206,FIND("/",N206)-1))),0)</f>
        <v>0</v>
      </c>
    </row>
    <row r="207" customFormat="false" ht="15" hidden="false" customHeight="false" outlineLevel="0" collapsed="false">
      <c r="N207" s="0" t="str">
        <f aca="false">IF(H207="","",IFERROR(LEFT(H207,FIND(" ",H207)-1),H207))</f>
        <v/>
      </c>
      <c r="O207" s="20" t="n">
        <f aca="false">IFERROR(DATE(VALUE(MID(N207,FIND("/",N207,FIND("/",N207)+1)+1,4)),VALUE(MID(N207,FIND("/",N207)+1,FIND("/",N207,FIND("/",N207)+1)-FIND("/",N207)-1)),VALUE(LEFT(N207,FIND("/",N207)-1))),0)</f>
        <v>0</v>
      </c>
    </row>
    <row r="208" customFormat="false" ht="15" hidden="false" customHeight="false" outlineLevel="0" collapsed="false">
      <c r="N208" s="0" t="str">
        <f aca="false">IF(H208="","",IFERROR(LEFT(H208,FIND(" ",H208)-1),H208))</f>
        <v/>
      </c>
      <c r="O208" s="20" t="n">
        <f aca="false">IFERROR(DATE(VALUE(MID(N208,FIND("/",N208,FIND("/",N208)+1)+1,4)),VALUE(MID(N208,FIND("/",N208)+1,FIND("/",N208,FIND("/",N208)+1)-FIND("/",N208)-1)),VALUE(LEFT(N208,FIND("/",N208)-1))),0)</f>
        <v>0</v>
      </c>
    </row>
    <row r="209" customFormat="false" ht="15" hidden="false" customHeight="false" outlineLevel="0" collapsed="false">
      <c r="N209" s="0" t="str">
        <f aca="false">IF(H209="","",IFERROR(LEFT(H209,FIND(" ",H209)-1),H209))</f>
        <v/>
      </c>
      <c r="O209" s="20" t="n">
        <f aca="false">IFERROR(DATE(VALUE(MID(N209,FIND("/",N209,FIND("/",N209)+1)+1,4)),VALUE(MID(N209,FIND("/",N209)+1,FIND("/",N209,FIND("/",N209)+1)-FIND("/",N209)-1)),VALUE(LEFT(N209,FIND("/",N209)-1))),0)</f>
        <v>0</v>
      </c>
    </row>
    <row r="210" customFormat="false" ht="15" hidden="false" customHeight="false" outlineLevel="0" collapsed="false">
      <c r="N210" s="0" t="str">
        <f aca="false">IF(H210="","",IFERROR(LEFT(H210,FIND(" ",H210)-1),H210))</f>
        <v/>
      </c>
      <c r="O210" s="20" t="n">
        <f aca="false">IFERROR(DATE(VALUE(MID(N210,FIND("/",N210,FIND("/",N210)+1)+1,4)),VALUE(MID(N210,FIND("/",N210)+1,FIND("/",N210,FIND("/",N210)+1)-FIND("/",N210)-1)),VALUE(LEFT(N210,FIND("/",N210)-1))),0)</f>
        <v>0</v>
      </c>
    </row>
    <row r="211" customFormat="false" ht="15" hidden="false" customHeight="false" outlineLevel="0" collapsed="false">
      <c r="N211" s="0" t="str">
        <f aca="false">IF(H211="","",IFERROR(LEFT(H211,FIND(" ",H211)-1),H211))</f>
        <v/>
      </c>
      <c r="O211" s="20" t="n">
        <f aca="false">IFERROR(DATE(VALUE(MID(N211,FIND("/",N211,FIND("/",N211)+1)+1,4)),VALUE(MID(N211,FIND("/",N211)+1,FIND("/",N211,FIND("/",N211)+1)-FIND("/",N211)-1)),VALUE(LEFT(N211,FIND("/",N211)-1))),0)</f>
        <v>0</v>
      </c>
    </row>
    <row r="212" customFormat="false" ht="15" hidden="false" customHeight="false" outlineLevel="0" collapsed="false">
      <c r="N212" s="0" t="str">
        <f aca="false">IF(H212="","",IFERROR(LEFT(H212,FIND(" ",H212)-1),H212))</f>
        <v/>
      </c>
      <c r="O212" s="20" t="n">
        <f aca="false">IFERROR(DATE(VALUE(MID(N212,FIND("/",N212,FIND("/",N212)+1)+1,4)),VALUE(MID(N212,FIND("/",N212)+1,FIND("/",N212,FIND("/",N212)+1)-FIND("/",N212)-1)),VALUE(LEFT(N212,FIND("/",N212)-1))),0)</f>
        <v>0</v>
      </c>
    </row>
    <row r="213" customFormat="false" ht="15" hidden="false" customHeight="false" outlineLevel="0" collapsed="false">
      <c r="N213" s="0" t="str">
        <f aca="false">IF(H213="","",IFERROR(LEFT(H213,FIND(" ",H213)-1),H213))</f>
        <v/>
      </c>
      <c r="O213" s="20" t="n">
        <f aca="false">IFERROR(DATE(VALUE(MID(N213,FIND("/",N213,FIND("/",N213)+1)+1,4)),VALUE(MID(N213,FIND("/",N213)+1,FIND("/",N213,FIND("/",N213)+1)-FIND("/",N213)-1)),VALUE(LEFT(N213,FIND("/",N213)-1))),0)</f>
        <v>0</v>
      </c>
    </row>
    <row r="214" customFormat="false" ht="15" hidden="false" customHeight="false" outlineLevel="0" collapsed="false">
      <c r="N214" s="0" t="str">
        <f aca="false">IF(H214="","",IFERROR(LEFT(H214,FIND(" ",H214)-1),H214))</f>
        <v/>
      </c>
      <c r="O214" s="20" t="n">
        <f aca="false">IFERROR(DATE(VALUE(MID(N214,FIND("/",N214,FIND("/",N214)+1)+1,4)),VALUE(MID(N214,FIND("/",N214)+1,FIND("/",N214,FIND("/",N214)+1)-FIND("/",N214)-1)),VALUE(LEFT(N214,FIND("/",N214)-1))),0)</f>
        <v>0</v>
      </c>
    </row>
    <row r="215" customFormat="false" ht="15" hidden="false" customHeight="false" outlineLevel="0" collapsed="false">
      <c r="N215" s="0" t="str">
        <f aca="false">IF(H215="","",IFERROR(LEFT(H215,FIND(" ",H215)-1),H215))</f>
        <v/>
      </c>
      <c r="O215" s="20" t="n">
        <f aca="false">IFERROR(DATE(VALUE(MID(N215,FIND("/",N215,FIND("/",N215)+1)+1,4)),VALUE(MID(N215,FIND("/",N215)+1,FIND("/",N215,FIND("/",N215)+1)-FIND("/",N215)-1)),VALUE(LEFT(N215,FIND("/",N215)-1))),0)</f>
        <v>0</v>
      </c>
    </row>
    <row r="216" customFormat="false" ht="15" hidden="false" customHeight="false" outlineLevel="0" collapsed="false">
      <c r="N216" s="0" t="str">
        <f aca="false">IF(H216="","",IFERROR(LEFT(H216,FIND(" ",H216)-1),H216))</f>
        <v/>
      </c>
      <c r="O216" s="20" t="n">
        <f aca="false">IFERROR(DATE(VALUE(MID(N216,FIND("/",N216,FIND("/",N216)+1)+1,4)),VALUE(MID(N216,FIND("/",N216)+1,FIND("/",N216,FIND("/",N216)+1)-FIND("/",N216)-1)),VALUE(LEFT(N216,FIND("/",N216)-1))),0)</f>
        <v>0</v>
      </c>
    </row>
    <row r="217" customFormat="false" ht="15" hidden="false" customHeight="false" outlineLevel="0" collapsed="false">
      <c r="N217" s="0" t="str">
        <f aca="false">IF(H217="","",IFERROR(LEFT(H217,FIND(" ",H217)-1),H217))</f>
        <v/>
      </c>
      <c r="O217" s="20" t="n">
        <f aca="false">IFERROR(DATE(VALUE(MID(N217,FIND("/",N217,FIND("/",N217)+1)+1,4)),VALUE(MID(N217,FIND("/",N217)+1,FIND("/",N217,FIND("/",N217)+1)-FIND("/",N217)-1)),VALUE(LEFT(N217,FIND("/",N217)-1))),0)</f>
        <v>0</v>
      </c>
    </row>
    <row r="218" customFormat="false" ht="15" hidden="false" customHeight="false" outlineLevel="0" collapsed="false">
      <c r="N218" s="0" t="str">
        <f aca="false">IF(H218="","",IFERROR(LEFT(H218,FIND(" ",H218)-1),H218))</f>
        <v/>
      </c>
      <c r="O218" s="20" t="n">
        <f aca="false">IFERROR(DATE(VALUE(MID(N218,FIND("/",N218,FIND("/",N218)+1)+1,4)),VALUE(MID(N218,FIND("/",N218)+1,FIND("/",N218,FIND("/",N218)+1)-FIND("/",N218)-1)),VALUE(LEFT(N218,FIND("/",N218)-1))),0)</f>
        <v>0</v>
      </c>
    </row>
    <row r="219" customFormat="false" ht="15" hidden="false" customHeight="false" outlineLevel="0" collapsed="false">
      <c r="N219" s="0" t="str">
        <f aca="false">IF(H219="","",IFERROR(LEFT(H219,FIND(" ",H219)-1),H219))</f>
        <v/>
      </c>
      <c r="O219" s="20" t="n">
        <f aca="false">IFERROR(DATE(VALUE(MID(N219,FIND("/",N219,FIND("/",N219)+1)+1,4)),VALUE(MID(N219,FIND("/",N219)+1,FIND("/",N219,FIND("/",N219)+1)-FIND("/",N219)-1)),VALUE(LEFT(N219,FIND("/",N219)-1))),0)</f>
        <v>0</v>
      </c>
    </row>
    <row r="220" customFormat="false" ht="15" hidden="false" customHeight="false" outlineLevel="0" collapsed="false">
      <c r="N220" s="0" t="str">
        <f aca="false">IF(H220="","",IFERROR(LEFT(H220,FIND(" ",H220)-1),H220))</f>
        <v/>
      </c>
      <c r="O220" s="20" t="n">
        <f aca="false">IFERROR(DATE(VALUE(MID(N220,FIND("/",N220,FIND("/",N220)+1)+1,4)),VALUE(MID(N220,FIND("/",N220)+1,FIND("/",N220,FIND("/",N220)+1)-FIND("/",N220)-1)),VALUE(LEFT(N220,FIND("/",N220)-1))),0)</f>
        <v>0</v>
      </c>
    </row>
    <row r="221" customFormat="false" ht="15" hidden="false" customHeight="false" outlineLevel="0" collapsed="false">
      <c r="N221" s="0" t="str">
        <f aca="false">IF(H221="","",IFERROR(LEFT(H221,FIND(" ",H221)-1),H221))</f>
        <v/>
      </c>
      <c r="O221" s="20" t="n">
        <f aca="false">IFERROR(DATE(VALUE(MID(N221,FIND("/",N221,FIND("/",N221)+1)+1,4)),VALUE(MID(N221,FIND("/",N221)+1,FIND("/",N221,FIND("/",N221)+1)-FIND("/",N221)-1)),VALUE(LEFT(N221,FIND("/",N221)-1))),0)</f>
        <v>0</v>
      </c>
    </row>
    <row r="222" customFormat="false" ht="15" hidden="false" customHeight="false" outlineLevel="0" collapsed="false">
      <c r="N222" s="0" t="str">
        <f aca="false">IF(H222="","",IFERROR(LEFT(H222,FIND(" ",H222)-1),H222))</f>
        <v/>
      </c>
      <c r="O222" s="20" t="n">
        <f aca="false">IFERROR(DATE(VALUE(MID(N222,FIND("/",N222,FIND("/",N222)+1)+1,4)),VALUE(MID(N222,FIND("/",N222)+1,FIND("/",N222,FIND("/",N222)+1)-FIND("/",N222)-1)),VALUE(LEFT(N222,FIND("/",N222)-1))),0)</f>
        <v>0</v>
      </c>
    </row>
    <row r="223" customFormat="false" ht="15" hidden="false" customHeight="false" outlineLevel="0" collapsed="false">
      <c r="N223" s="0" t="str">
        <f aca="false">IF(H223="","",IFERROR(LEFT(H223,FIND(" ",H223)-1),H223))</f>
        <v/>
      </c>
      <c r="O223" s="20" t="n">
        <f aca="false">IFERROR(DATE(VALUE(MID(N223,FIND("/",N223,FIND("/",N223)+1)+1,4)),VALUE(MID(N223,FIND("/",N223)+1,FIND("/",N223,FIND("/",N223)+1)-FIND("/",N223)-1)),VALUE(LEFT(N223,FIND("/",N223)-1))),0)</f>
        <v>0</v>
      </c>
    </row>
    <row r="224" customFormat="false" ht="15" hidden="false" customHeight="false" outlineLevel="0" collapsed="false">
      <c r="N224" s="0" t="str">
        <f aca="false">IF(H224="","",IFERROR(LEFT(H224,FIND(" ",H224)-1),H224))</f>
        <v/>
      </c>
      <c r="O224" s="20" t="n">
        <f aca="false">IFERROR(DATE(VALUE(MID(N224,FIND("/",N224,FIND("/",N224)+1)+1,4)),VALUE(MID(N224,FIND("/",N224)+1,FIND("/",N224,FIND("/",N224)+1)-FIND("/",N224)-1)),VALUE(LEFT(N224,FIND("/",N224)-1))),0)</f>
        <v>0</v>
      </c>
    </row>
    <row r="225" customFormat="false" ht="15" hidden="false" customHeight="false" outlineLevel="0" collapsed="false">
      <c r="N225" s="0" t="str">
        <f aca="false">IF(H225="","",IFERROR(LEFT(H225,FIND(" ",H225)-1),H225))</f>
        <v/>
      </c>
      <c r="O225" s="20" t="n">
        <f aca="false">IFERROR(DATE(VALUE(MID(N225,FIND("/",N225,FIND("/",N225)+1)+1,4)),VALUE(MID(N225,FIND("/",N225)+1,FIND("/",N225,FIND("/",N225)+1)-FIND("/",N225)-1)),VALUE(LEFT(N225,FIND("/",N225)-1))),0)</f>
        <v>0</v>
      </c>
    </row>
    <row r="226" customFormat="false" ht="15" hidden="false" customHeight="false" outlineLevel="0" collapsed="false">
      <c r="N226" s="0" t="str">
        <f aca="false">IF(H226="","",IFERROR(LEFT(H226,FIND(" ",H226)-1),H226))</f>
        <v/>
      </c>
      <c r="O226" s="20" t="n">
        <f aca="false">IFERROR(DATE(VALUE(MID(N226,FIND("/",N226,FIND("/",N226)+1)+1,4)),VALUE(MID(N226,FIND("/",N226)+1,FIND("/",N226,FIND("/",N226)+1)-FIND("/",N226)-1)),VALUE(LEFT(N226,FIND("/",N226)-1))),0)</f>
        <v>0</v>
      </c>
    </row>
    <row r="227" customFormat="false" ht="15" hidden="false" customHeight="false" outlineLevel="0" collapsed="false">
      <c r="N227" s="0" t="str">
        <f aca="false">IF(H227="","",IFERROR(LEFT(H227,FIND(" ",H227)-1),H227))</f>
        <v/>
      </c>
      <c r="O227" s="20" t="n">
        <f aca="false">IFERROR(DATE(VALUE(MID(N227,FIND("/",N227,FIND("/",N227)+1)+1,4)),VALUE(MID(N227,FIND("/",N227)+1,FIND("/",N227,FIND("/",N227)+1)-FIND("/",N227)-1)),VALUE(LEFT(N227,FIND("/",N227)-1))),0)</f>
        <v>0</v>
      </c>
    </row>
    <row r="228" customFormat="false" ht="15" hidden="false" customHeight="false" outlineLevel="0" collapsed="false">
      <c r="N228" s="0" t="str">
        <f aca="false">IF(H228="","",IFERROR(LEFT(H228,FIND(" ",H228)-1),H228))</f>
        <v/>
      </c>
      <c r="O228" s="20" t="n">
        <f aca="false">IFERROR(DATE(VALUE(MID(N228,FIND("/",N228,FIND("/",N228)+1)+1,4)),VALUE(MID(N228,FIND("/",N228)+1,FIND("/",N228,FIND("/",N228)+1)-FIND("/",N228)-1)),VALUE(LEFT(N228,FIND("/",N228)-1))),0)</f>
        <v>0</v>
      </c>
    </row>
    <row r="229" customFormat="false" ht="15" hidden="false" customHeight="false" outlineLevel="0" collapsed="false">
      <c r="N229" s="0" t="str">
        <f aca="false">IF(H229="","",IFERROR(LEFT(H229,FIND(" ",H229)-1),H229))</f>
        <v/>
      </c>
      <c r="O229" s="20" t="n">
        <f aca="false">IFERROR(DATE(VALUE(MID(N229,FIND("/",N229,FIND("/",N229)+1)+1,4)),VALUE(MID(N229,FIND("/",N229)+1,FIND("/",N229,FIND("/",N229)+1)-FIND("/",N229)-1)),VALUE(LEFT(N229,FIND("/",N229)-1))),0)</f>
        <v>0</v>
      </c>
    </row>
    <row r="230" customFormat="false" ht="15" hidden="false" customHeight="false" outlineLevel="0" collapsed="false">
      <c r="N230" s="0" t="str">
        <f aca="false">IF(H230="","",IFERROR(LEFT(H230,FIND(" ",H230)-1),H230))</f>
        <v/>
      </c>
      <c r="O230" s="20" t="n">
        <f aca="false">IFERROR(DATE(VALUE(MID(N230,FIND("/",N230,FIND("/",N230)+1)+1,4)),VALUE(MID(N230,FIND("/",N230)+1,FIND("/",N230,FIND("/",N230)+1)-FIND("/",N230)-1)),VALUE(LEFT(N230,FIND("/",N230)-1))),0)</f>
        <v>0</v>
      </c>
    </row>
    <row r="231" customFormat="false" ht="15" hidden="false" customHeight="false" outlineLevel="0" collapsed="false">
      <c r="N231" s="0" t="str">
        <f aca="false">IF(H231="","",IFERROR(LEFT(H231,FIND(" ",H231)-1),H231))</f>
        <v/>
      </c>
      <c r="O231" s="20" t="n">
        <f aca="false">IFERROR(DATE(VALUE(MID(N231,FIND("/",N231,FIND("/",N231)+1)+1,4)),VALUE(MID(N231,FIND("/",N231)+1,FIND("/",N231,FIND("/",N231)+1)-FIND("/",N231)-1)),VALUE(LEFT(N231,FIND("/",N231)-1))),0)</f>
        <v>0</v>
      </c>
    </row>
    <row r="232" customFormat="false" ht="15" hidden="false" customHeight="false" outlineLevel="0" collapsed="false">
      <c r="N232" s="0" t="str">
        <f aca="false">IF(H232="","",IFERROR(LEFT(H232,FIND(" ",H232)-1),H232))</f>
        <v/>
      </c>
      <c r="O232" s="20" t="n">
        <f aca="false">IFERROR(DATE(VALUE(MID(N232,FIND("/",N232,FIND("/",N232)+1)+1,4)),VALUE(MID(N232,FIND("/",N232)+1,FIND("/",N232,FIND("/",N232)+1)-FIND("/",N232)-1)),VALUE(LEFT(N232,FIND("/",N232)-1))),0)</f>
        <v>0</v>
      </c>
    </row>
    <row r="233" customFormat="false" ht="15" hidden="false" customHeight="false" outlineLevel="0" collapsed="false">
      <c r="N233" s="0" t="str">
        <f aca="false">IF(H233="","",IFERROR(LEFT(H233,FIND(" ",H233)-1),H233))</f>
        <v/>
      </c>
      <c r="O233" s="20" t="n">
        <f aca="false">IFERROR(DATE(VALUE(MID(N233,FIND("/",N233,FIND("/",N233)+1)+1,4)),VALUE(MID(N233,FIND("/",N233)+1,FIND("/",N233,FIND("/",N233)+1)-FIND("/",N233)-1)),VALUE(LEFT(N233,FIND("/",N233)-1))),0)</f>
        <v>0</v>
      </c>
    </row>
    <row r="234" customFormat="false" ht="15" hidden="false" customHeight="false" outlineLevel="0" collapsed="false">
      <c r="N234" s="0" t="str">
        <f aca="false">IF(H234="","",IFERROR(LEFT(H234,FIND(" ",H234)-1),H234))</f>
        <v/>
      </c>
      <c r="O234" s="20" t="n">
        <f aca="false">IFERROR(DATE(VALUE(MID(N234,FIND("/",N234,FIND("/",N234)+1)+1,4)),VALUE(MID(N234,FIND("/",N234)+1,FIND("/",N234,FIND("/",N234)+1)-FIND("/",N234)-1)),VALUE(LEFT(N234,FIND("/",N234)-1))),0)</f>
        <v>0</v>
      </c>
    </row>
    <row r="235" customFormat="false" ht="15" hidden="false" customHeight="false" outlineLevel="0" collapsed="false">
      <c r="N235" s="0" t="str">
        <f aca="false">IF(H235="","",IFERROR(LEFT(H235,FIND(" ",H235)-1),H235))</f>
        <v/>
      </c>
      <c r="O235" s="20" t="n">
        <f aca="false">IFERROR(DATE(VALUE(MID(N235,FIND("/",N235,FIND("/",N235)+1)+1,4)),VALUE(MID(N235,FIND("/",N235)+1,FIND("/",N235,FIND("/",N235)+1)-FIND("/",N235)-1)),VALUE(LEFT(N235,FIND("/",N235)-1))),0)</f>
        <v>0</v>
      </c>
    </row>
    <row r="236" customFormat="false" ht="15" hidden="false" customHeight="false" outlineLevel="0" collapsed="false">
      <c r="N236" s="0" t="str">
        <f aca="false">IF(H236="","",IFERROR(LEFT(H236,FIND(" ",H236)-1),H236))</f>
        <v/>
      </c>
      <c r="O236" s="20" t="n">
        <f aca="false">IFERROR(DATE(VALUE(MID(N236,FIND("/",N236,FIND("/",N236)+1)+1,4)),VALUE(MID(N236,FIND("/",N236)+1,FIND("/",N236,FIND("/",N236)+1)-FIND("/",N236)-1)),VALUE(LEFT(N236,FIND("/",N236)-1))),0)</f>
        <v>0</v>
      </c>
    </row>
    <row r="237" customFormat="false" ht="15" hidden="false" customHeight="false" outlineLevel="0" collapsed="false">
      <c r="N237" s="0" t="str">
        <f aca="false">IF(H237="","",IFERROR(LEFT(H237,FIND(" ",H237)-1),H237))</f>
        <v/>
      </c>
      <c r="O237" s="20" t="n">
        <f aca="false">IFERROR(DATE(VALUE(MID(N237,FIND("/",N237,FIND("/",N237)+1)+1,4)),VALUE(MID(N237,FIND("/",N237)+1,FIND("/",N237,FIND("/",N237)+1)-FIND("/",N237)-1)),VALUE(LEFT(N237,FIND("/",N237)-1))),0)</f>
        <v>0</v>
      </c>
    </row>
    <row r="238" customFormat="false" ht="15" hidden="false" customHeight="false" outlineLevel="0" collapsed="false">
      <c r="N238" s="0" t="str">
        <f aca="false">IF(H238="","",IFERROR(LEFT(H238,FIND(" ",H238)-1),H238))</f>
        <v/>
      </c>
      <c r="O238" s="20" t="n">
        <f aca="false">IFERROR(DATE(VALUE(MID(N238,FIND("/",N238,FIND("/",N238)+1)+1,4)),VALUE(MID(N238,FIND("/",N238)+1,FIND("/",N238,FIND("/",N238)+1)-FIND("/",N238)-1)),VALUE(LEFT(N238,FIND("/",N238)-1))),0)</f>
        <v>0</v>
      </c>
    </row>
    <row r="239" customFormat="false" ht="15" hidden="false" customHeight="false" outlineLevel="0" collapsed="false">
      <c r="N239" s="0" t="str">
        <f aca="false">IF(H239="","",IFERROR(LEFT(H239,FIND(" ",H239)-1),H239))</f>
        <v/>
      </c>
      <c r="O239" s="20" t="n">
        <f aca="false">IFERROR(DATE(VALUE(MID(N239,FIND("/",N239,FIND("/",N239)+1)+1,4)),VALUE(MID(N239,FIND("/",N239)+1,FIND("/",N239,FIND("/",N239)+1)-FIND("/",N239)-1)),VALUE(LEFT(N239,FIND("/",N239)-1))),0)</f>
        <v>0</v>
      </c>
    </row>
    <row r="240" customFormat="false" ht="15" hidden="false" customHeight="false" outlineLevel="0" collapsed="false">
      <c r="N240" s="0" t="str">
        <f aca="false">IF(H240="","",IFERROR(LEFT(H240,FIND(" ",H240)-1),H240))</f>
        <v/>
      </c>
      <c r="O240" s="20" t="n">
        <f aca="false">IFERROR(DATE(VALUE(MID(N240,FIND("/",N240,FIND("/",N240)+1)+1,4)),VALUE(MID(N240,FIND("/",N240)+1,FIND("/",N240,FIND("/",N240)+1)-FIND("/",N240)-1)),VALUE(LEFT(N240,FIND("/",N240)-1))),0)</f>
        <v>0</v>
      </c>
    </row>
    <row r="241" customFormat="false" ht="15" hidden="false" customHeight="false" outlineLevel="0" collapsed="false">
      <c r="N241" s="0" t="str">
        <f aca="false">IF(H241="","",IFERROR(LEFT(H241,FIND(" ",H241)-1),H241))</f>
        <v/>
      </c>
      <c r="O241" s="20" t="n">
        <f aca="false">IFERROR(DATE(VALUE(MID(N241,FIND("/",N241,FIND("/",N241)+1)+1,4)),VALUE(MID(N241,FIND("/",N241)+1,FIND("/",N241,FIND("/",N241)+1)-FIND("/",N241)-1)),VALUE(LEFT(N241,FIND("/",N241)-1))),0)</f>
        <v>0</v>
      </c>
    </row>
    <row r="242" customFormat="false" ht="15" hidden="false" customHeight="false" outlineLevel="0" collapsed="false">
      <c r="N242" s="0" t="str">
        <f aca="false">IF(H242="","",IFERROR(LEFT(H242,FIND(" ",H242)-1),H242))</f>
        <v/>
      </c>
      <c r="O242" s="20" t="n">
        <f aca="false">IFERROR(DATE(VALUE(MID(N242,FIND("/",N242,FIND("/",N242)+1)+1,4)),VALUE(MID(N242,FIND("/",N242)+1,FIND("/",N242,FIND("/",N242)+1)-FIND("/",N242)-1)),VALUE(LEFT(N242,FIND("/",N242)-1))),0)</f>
        <v>0</v>
      </c>
    </row>
    <row r="243" customFormat="false" ht="15" hidden="false" customHeight="false" outlineLevel="0" collapsed="false">
      <c r="N243" s="0" t="str">
        <f aca="false">IF(H243="","",IFERROR(LEFT(H243,FIND(" ",H243)-1),H243))</f>
        <v/>
      </c>
      <c r="O243" s="20" t="n">
        <f aca="false">IFERROR(DATE(VALUE(MID(N243,FIND("/",N243,FIND("/",N243)+1)+1,4)),VALUE(MID(N243,FIND("/",N243)+1,FIND("/",N243,FIND("/",N243)+1)-FIND("/",N243)-1)),VALUE(LEFT(N243,FIND("/",N243)-1))),0)</f>
        <v>0</v>
      </c>
    </row>
    <row r="244" customFormat="false" ht="15" hidden="false" customHeight="false" outlineLevel="0" collapsed="false">
      <c r="N244" s="0" t="str">
        <f aca="false">IF(H244="","",IFERROR(LEFT(H244,FIND(" ",H244)-1),H244))</f>
        <v/>
      </c>
      <c r="O244" s="20" t="n">
        <f aca="false">IFERROR(DATE(VALUE(MID(N244,FIND("/",N244,FIND("/",N244)+1)+1,4)),VALUE(MID(N244,FIND("/",N244)+1,FIND("/",N244,FIND("/",N244)+1)-FIND("/",N244)-1)),VALUE(LEFT(N244,FIND("/",N244)-1))),0)</f>
        <v>0</v>
      </c>
    </row>
    <row r="245" customFormat="false" ht="15" hidden="false" customHeight="false" outlineLevel="0" collapsed="false">
      <c r="N245" s="0" t="str">
        <f aca="false">IF(H245="","",IFERROR(LEFT(H245,FIND(" ",H245)-1),H245))</f>
        <v/>
      </c>
      <c r="O245" s="20" t="n">
        <f aca="false">IFERROR(DATE(VALUE(MID(N245,FIND("/",N245,FIND("/",N245)+1)+1,4)),VALUE(MID(N245,FIND("/",N245)+1,FIND("/",N245,FIND("/",N245)+1)-FIND("/",N245)-1)),VALUE(LEFT(N245,FIND("/",N245)-1))),0)</f>
        <v>0</v>
      </c>
    </row>
    <row r="246" customFormat="false" ht="15" hidden="false" customHeight="false" outlineLevel="0" collapsed="false">
      <c r="N246" s="0" t="str">
        <f aca="false">IF(H246="","",IFERROR(LEFT(H246,FIND(" ",H246)-1),H246))</f>
        <v/>
      </c>
      <c r="O246" s="20" t="n">
        <f aca="false">IFERROR(DATE(VALUE(MID(N246,FIND("/",N246,FIND("/",N246)+1)+1,4)),VALUE(MID(N246,FIND("/",N246)+1,FIND("/",N246,FIND("/",N246)+1)-FIND("/",N246)-1)),VALUE(LEFT(N246,FIND("/",N246)-1))),0)</f>
        <v>0</v>
      </c>
    </row>
    <row r="247" customFormat="false" ht="15" hidden="false" customHeight="false" outlineLevel="0" collapsed="false">
      <c r="N247" s="0" t="str">
        <f aca="false">IF(H247="","",IFERROR(LEFT(H247,FIND(" ",H247)-1),H247))</f>
        <v/>
      </c>
      <c r="O247" s="20" t="n">
        <f aca="false">IFERROR(DATE(VALUE(MID(N247,FIND("/",N247,FIND("/",N247)+1)+1,4)),VALUE(MID(N247,FIND("/",N247)+1,FIND("/",N247,FIND("/",N247)+1)-FIND("/",N247)-1)),VALUE(LEFT(N247,FIND("/",N247)-1))),0)</f>
        <v>0</v>
      </c>
    </row>
    <row r="248" customFormat="false" ht="15" hidden="false" customHeight="false" outlineLevel="0" collapsed="false">
      <c r="N248" s="0" t="str">
        <f aca="false">IF(H248="","",IFERROR(LEFT(H248,FIND(" ",H248)-1),H248))</f>
        <v/>
      </c>
      <c r="O248" s="20" t="n">
        <f aca="false">IFERROR(DATE(VALUE(MID(N248,FIND("/",N248,FIND("/",N248)+1)+1,4)),VALUE(MID(N248,FIND("/",N248)+1,FIND("/",N248,FIND("/",N248)+1)-FIND("/",N248)-1)),VALUE(LEFT(N248,FIND("/",N248)-1))),0)</f>
        <v>0</v>
      </c>
    </row>
    <row r="249" customFormat="false" ht="15" hidden="false" customHeight="false" outlineLevel="0" collapsed="false">
      <c r="N249" s="0" t="str">
        <f aca="false">IF(H249="","",IFERROR(LEFT(H249,FIND(" ",H249)-1),H249))</f>
        <v/>
      </c>
      <c r="O249" s="20" t="n">
        <f aca="false">IFERROR(DATE(VALUE(MID(N249,FIND("/",N249,FIND("/",N249)+1)+1,4)),VALUE(MID(N249,FIND("/",N249)+1,FIND("/",N249,FIND("/",N249)+1)-FIND("/",N249)-1)),VALUE(LEFT(N249,FIND("/",N249)-1))),0)</f>
        <v>0</v>
      </c>
    </row>
    <row r="250" customFormat="false" ht="15" hidden="false" customHeight="false" outlineLevel="0" collapsed="false">
      <c r="N250" s="0" t="str">
        <f aca="false">IF(H250="","",IFERROR(LEFT(H250,FIND(" ",H250)-1),H250))</f>
        <v/>
      </c>
      <c r="O250" s="20" t="n">
        <f aca="false">IFERROR(DATE(VALUE(MID(N250,FIND("/",N250,FIND("/",N250)+1)+1,4)),VALUE(MID(N250,FIND("/",N250)+1,FIND("/",N250,FIND("/",N250)+1)-FIND("/",N250)-1)),VALUE(LEFT(N250,FIND("/",N250)-1))),0)</f>
        <v>0</v>
      </c>
    </row>
    <row r="251" customFormat="false" ht="15" hidden="false" customHeight="false" outlineLevel="0" collapsed="false">
      <c r="N251" s="0" t="str">
        <f aca="false">IF(H251="","",IFERROR(LEFT(H251,FIND(" ",H251)-1),H251))</f>
        <v/>
      </c>
      <c r="O251" s="20" t="n">
        <f aca="false">IFERROR(DATE(VALUE(MID(N251,FIND("/",N251,FIND("/",N251)+1)+1,4)),VALUE(MID(N251,FIND("/",N251)+1,FIND("/",N251,FIND("/",N251)+1)-FIND("/",N251)-1)),VALUE(LEFT(N251,FIND("/",N251)-1))),0)</f>
        <v>0</v>
      </c>
    </row>
    <row r="252" customFormat="false" ht="15" hidden="false" customHeight="false" outlineLevel="0" collapsed="false">
      <c r="N252" s="0" t="str">
        <f aca="false">IF(H252="","",IFERROR(LEFT(H252,FIND(" ",H252)-1),H252))</f>
        <v/>
      </c>
      <c r="O252" s="20" t="n">
        <f aca="false">IFERROR(DATE(VALUE(MID(N252,FIND("/",N252,FIND("/",N252)+1)+1,4)),VALUE(MID(N252,FIND("/",N252)+1,FIND("/",N252,FIND("/",N252)+1)-FIND("/",N252)-1)),VALUE(LEFT(N252,FIND("/",N252)-1))),0)</f>
        <v>0</v>
      </c>
    </row>
    <row r="253" customFormat="false" ht="15" hidden="false" customHeight="false" outlineLevel="0" collapsed="false">
      <c r="N253" s="0" t="str">
        <f aca="false">IF(H253="","",IFERROR(LEFT(H253,FIND(" ",H253)-1),H253))</f>
        <v/>
      </c>
      <c r="O253" s="20" t="n">
        <f aca="false">IFERROR(DATE(VALUE(MID(N253,FIND("/",N253,FIND("/",N253)+1)+1,4)),VALUE(MID(N253,FIND("/",N253)+1,FIND("/",N253,FIND("/",N253)+1)-FIND("/",N253)-1)),VALUE(LEFT(N253,FIND("/",N253)-1))),0)</f>
        <v>0</v>
      </c>
    </row>
    <row r="254" customFormat="false" ht="15" hidden="false" customHeight="false" outlineLevel="0" collapsed="false">
      <c r="N254" s="0" t="str">
        <f aca="false">IF(H254="","",IFERROR(LEFT(H254,FIND(" ",H254)-1),H254))</f>
        <v/>
      </c>
      <c r="O254" s="20" t="n">
        <f aca="false">IFERROR(DATE(VALUE(MID(N254,FIND("/",N254,FIND("/",N254)+1)+1,4)),VALUE(MID(N254,FIND("/",N254)+1,FIND("/",N254,FIND("/",N254)+1)-FIND("/",N254)-1)),VALUE(LEFT(N254,FIND("/",N254)-1))),0)</f>
        <v>0</v>
      </c>
    </row>
    <row r="255" customFormat="false" ht="15" hidden="false" customHeight="false" outlineLevel="0" collapsed="false">
      <c r="N255" s="0" t="str">
        <f aca="false">IF(H255="","",IFERROR(LEFT(H255,FIND(" ",H255)-1),H255))</f>
        <v/>
      </c>
      <c r="O255" s="20" t="n">
        <f aca="false">IFERROR(DATE(VALUE(MID(N255,FIND("/",N255,FIND("/",N255)+1)+1,4)),VALUE(MID(N255,FIND("/",N255)+1,FIND("/",N255,FIND("/",N255)+1)-FIND("/",N255)-1)),VALUE(LEFT(N255,FIND("/",N255)-1))),0)</f>
        <v>0</v>
      </c>
    </row>
    <row r="256" customFormat="false" ht="15" hidden="false" customHeight="false" outlineLevel="0" collapsed="false">
      <c r="N256" s="0" t="str">
        <f aca="false">IF(H256="","",IFERROR(LEFT(H256,FIND(" ",H256)-1),H256))</f>
        <v/>
      </c>
      <c r="O256" s="20" t="n">
        <f aca="false">IFERROR(DATE(VALUE(MID(N256,FIND("/",N256,FIND("/",N256)+1)+1,4)),VALUE(MID(N256,FIND("/",N256)+1,FIND("/",N256,FIND("/",N256)+1)-FIND("/",N256)-1)),VALUE(LEFT(N256,FIND("/",N256)-1))),0)</f>
        <v>0</v>
      </c>
    </row>
    <row r="257" customFormat="false" ht="15" hidden="false" customHeight="false" outlineLevel="0" collapsed="false">
      <c r="N257" s="0" t="str">
        <f aca="false">IF(H257="","",IFERROR(LEFT(H257,FIND(" ",H257)-1),H257))</f>
        <v/>
      </c>
      <c r="O257" s="20" t="n">
        <f aca="false">IFERROR(DATE(VALUE(MID(N257,FIND("/",N257,FIND("/",N257)+1)+1,4)),VALUE(MID(N257,FIND("/",N257)+1,FIND("/",N257,FIND("/",N257)+1)-FIND("/",N257)-1)),VALUE(LEFT(N257,FIND("/",N257)-1))),0)</f>
        <v>0</v>
      </c>
    </row>
    <row r="258" customFormat="false" ht="15" hidden="false" customHeight="false" outlineLevel="0" collapsed="false">
      <c r="N258" s="0" t="str">
        <f aca="false">IF(H258="","",IFERROR(LEFT(H258,FIND(" ",H258)-1),H258))</f>
        <v/>
      </c>
      <c r="O258" s="20" t="n">
        <f aca="false">IFERROR(DATE(VALUE(MID(N258,FIND("/",N258,FIND("/",N258)+1)+1,4)),VALUE(MID(N258,FIND("/",N258)+1,FIND("/",N258,FIND("/",N258)+1)-FIND("/",N258)-1)),VALUE(LEFT(N258,FIND("/",N258)-1))),0)</f>
        <v>0</v>
      </c>
    </row>
    <row r="259" customFormat="false" ht="15" hidden="false" customHeight="false" outlineLevel="0" collapsed="false">
      <c r="N259" s="0" t="str">
        <f aca="false">IF(H259="","",IFERROR(LEFT(H259,FIND(" ",H259)-1),H259))</f>
        <v/>
      </c>
      <c r="O259" s="20" t="n">
        <f aca="false">IFERROR(DATE(VALUE(MID(N259,FIND("/",N259,FIND("/",N259)+1)+1,4)),VALUE(MID(N259,FIND("/",N259)+1,FIND("/",N259,FIND("/",N259)+1)-FIND("/",N259)-1)),VALUE(LEFT(N259,FIND("/",N259)-1))),0)</f>
        <v>0</v>
      </c>
    </row>
    <row r="260" customFormat="false" ht="15" hidden="false" customHeight="false" outlineLevel="0" collapsed="false">
      <c r="N260" s="0" t="str">
        <f aca="false">IF(H260="","",IFERROR(LEFT(H260,FIND(" ",H260)-1),H260))</f>
        <v/>
      </c>
      <c r="O260" s="20" t="n">
        <f aca="false">IFERROR(DATE(VALUE(MID(N260,FIND("/",N260,FIND("/",N260)+1)+1,4)),VALUE(MID(N260,FIND("/",N260)+1,FIND("/",N260,FIND("/",N260)+1)-FIND("/",N260)-1)),VALUE(LEFT(N260,FIND("/",N260)-1))),0)</f>
        <v>0</v>
      </c>
    </row>
    <row r="261" customFormat="false" ht="15" hidden="false" customHeight="false" outlineLevel="0" collapsed="false">
      <c r="N261" s="0" t="str">
        <f aca="false">IF(H261="","",IFERROR(LEFT(H261,FIND(" ",H261)-1),H261))</f>
        <v/>
      </c>
      <c r="O261" s="20" t="n">
        <f aca="false">IFERROR(DATE(VALUE(MID(N261,FIND("/",N261,FIND("/",N261)+1)+1,4)),VALUE(MID(N261,FIND("/",N261)+1,FIND("/",N261,FIND("/",N261)+1)-FIND("/",N261)-1)),VALUE(LEFT(N261,FIND("/",N261)-1))),0)</f>
        <v>0</v>
      </c>
    </row>
    <row r="262" customFormat="false" ht="15" hidden="false" customHeight="false" outlineLevel="0" collapsed="false">
      <c r="N262" s="0" t="str">
        <f aca="false">IF(H262="","",IFERROR(LEFT(H262,FIND(" ",H262)-1),H262))</f>
        <v/>
      </c>
      <c r="O262" s="20" t="n">
        <f aca="false">IFERROR(DATE(VALUE(MID(N262,FIND("/",N262,FIND("/",N262)+1)+1,4)),VALUE(MID(N262,FIND("/",N262)+1,FIND("/",N262,FIND("/",N262)+1)-FIND("/",N262)-1)),VALUE(LEFT(N262,FIND("/",N262)-1))),0)</f>
        <v>0</v>
      </c>
    </row>
    <row r="263" customFormat="false" ht="15" hidden="false" customHeight="false" outlineLevel="0" collapsed="false">
      <c r="N263" s="0" t="str">
        <f aca="false">IF(H263="","",IFERROR(LEFT(H263,FIND(" ",H263)-1),H263))</f>
        <v/>
      </c>
      <c r="O263" s="20" t="n">
        <f aca="false">IFERROR(DATE(VALUE(MID(N263,FIND("/",N263,FIND("/",N263)+1)+1,4)),VALUE(MID(N263,FIND("/",N263)+1,FIND("/",N263,FIND("/",N263)+1)-FIND("/",N263)-1)),VALUE(LEFT(N263,FIND("/",N263)-1))),0)</f>
        <v>0</v>
      </c>
    </row>
    <row r="264" customFormat="false" ht="15" hidden="false" customHeight="false" outlineLevel="0" collapsed="false">
      <c r="N264" s="0" t="str">
        <f aca="false">IF(H264="","",IFERROR(LEFT(H264,FIND(" ",H264)-1),H264))</f>
        <v/>
      </c>
      <c r="O264" s="20" t="n">
        <f aca="false">IFERROR(DATE(VALUE(MID(N264,FIND("/",N264,FIND("/",N264)+1)+1,4)),VALUE(MID(N264,FIND("/",N264)+1,FIND("/",N264,FIND("/",N264)+1)-FIND("/",N264)-1)),VALUE(LEFT(N264,FIND("/",N264)-1))),0)</f>
        <v>0</v>
      </c>
    </row>
    <row r="265" customFormat="false" ht="15" hidden="false" customHeight="false" outlineLevel="0" collapsed="false">
      <c r="N265" s="0" t="str">
        <f aca="false">IF(H265="","",IFERROR(LEFT(H265,FIND(" ",H265)-1),H265))</f>
        <v/>
      </c>
      <c r="O265" s="20" t="n">
        <f aca="false">IFERROR(DATE(VALUE(MID(N265,FIND("/",N265,FIND("/",N265)+1)+1,4)),VALUE(MID(N265,FIND("/",N265)+1,FIND("/",N265,FIND("/",N265)+1)-FIND("/",N265)-1)),VALUE(LEFT(N265,FIND("/",N265)-1))),0)</f>
        <v>0</v>
      </c>
    </row>
    <row r="266" customFormat="false" ht="15" hidden="false" customHeight="false" outlineLevel="0" collapsed="false">
      <c r="N266" s="0" t="str">
        <f aca="false">IF(H266="","",IFERROR(LEFT(H266,FIND(" ",H266)-1),H266))</f>
        <v/>
      </c>
      <c r="O266" s="20" t="n">
        <f aca="false">IFERROR(DATE(VALUE(MID(N266,FIND("/",N266,FIND("/",N266)+1)+1,4)),VALUE(MID(N266,FIND("/",N266)+1,FIND("/",N266,FIND("/",N266)+1)-FIND("/",N266)-1)),VALUE(LEFT(N266,FIND("/",N266)-1))),0)</f>
        <v>0</v>
      </c>
    </row>
    <row r="267" customFormat="false" ht="15" hidden="false" customHeight="false" outlineLevel="0" collapsed="false">
      <c r="N267" s="0" t="str">
        <f aca="false">IF(H267="","",IFERROR(LEFT(H267,FIND(" ",H267)-1),H267))</f>
        <v/>
      </c>
      <c r="O267" s="20" t="n">
        <f aca="false">IFERROR(DATE(VALUE(MID(N267,FIND("/",N267,FIND("/",N267)+1)+1,4)),VALUE(MID(N267,FIND("/",N267)+1,FIND("/",N267,FIND("/",N267)+1)-FIND("/",N267)-1)),VALUE(LEFT(N267,FIND("/",N267)-1))),0)</f>
        <v>0</v>
      </c>
    </row>
    <row r="268" customFormat="false" ht="15" hidden="false" customHeight="false" outlineLevel="0" collapsed="false">
      <c r="N268" s="0" t="str">
        <f aca="false">IF(H268="","",IFERROR(LEFT(H268,FIND(" ",H268)-1),H268))</f>
        <v/>
      </c>
      <c r="O268" s="20" t="n">
        <f aca="false">IFERROR(DATE(VALUE(MID(N268,FIND("/",N268,FIND("/",N268)+1)+1,4)),VALUE(MID(N268,FIND("/",N268)+1,FIND("/",N268,FIND("/",N268)+1)-FIND("/",N268)-1)),VALUE(LEFT(N268,FIND("/",N268)-1))),0)</f>
        <v>0</v>
      </c>
    </row>
    <row r="269" customFormat="false" ht="15" hidden="false" customHeight="false" outlineLevel="0" collapsed="false">
      <c r="N269" s="0" t="str">
        <f aca="false">IF(H269="","",IFERROR(LEFT(H269,FIND(" ",H269)-1),H269))</f>
        <v/>
      </c>
      <c r="O269" s="20" t="n">
        <f aca="false">IFERROR(DATE(VALUE(MID(N269,FIND("/",N269,FIND("/",N269)+1)+1,4)),VALUE(MID(N269,FIND("/",N269)+1,FIND("/",N269,FIND("/",N269)+1)-FIND("/",N269)-1)),VALUE(LEFT(N269,FIND("/",N269)-1))),0)</f>
        <v>0</v>
      </c>
    </row>
    <row r="270" customFormat="false" ht="15" hidden="false" customHeight="false" outlineLevel="0" collapsed="false">
      <c r="N270" s="0" t="str">
        <f aca="false">IF(H270="","",IFERROR(LEFT(H270,FIND(" ",H270)-1),H270))</f>
        <v/>
      </c>
      <c r="O270" s="20" t="n">
        <f aca="false">IFERROR(DATE(VALUE(MID(N270,FIND("/",N270,FIND("/",N270)+1)+1,4)),VALUE(MID(N270,FIND("/",N270)+1,FIND("/",N270,FIND("/",N270)+1)-FIND("/",N270)-1)),VALUE(LEFT(N270,FIND("/",N270)-1))),0)</f>
        <v>0</v>
      </c>
    </row>
    <row r="271" customFormat="false" ht="15" hidden="false" customHeight="false" outlineLevel="0" collapsed="false">
      <c r="N271" s="0" t="str">
        <f aca="false">IF(H271="","",IFERROR(LEFT(H271,FIND(" ",H271)-1),H271))</f>
        <v/>
      </c>
      <c r="O271" s="20" t="n">
        <f aca="false">IFERROR(DATE(VALUE(MID(N271,FIND("/",N271,FIND("/",N271)+1)+1,4)),VALUE(MID(N271,FIND("/",N271)+1,FIND("/",N271,FIND("/",N271)+1)-FIND("/",N271)-1)),VALUE(LEFT(N271,FIND("/",N271)-1))),0)</f>
        <v>0</v>
      </c>
    </row>
    <row r="272" customFormat="false" ht="15" hidden="false" customHeight="false" outlineLevel="0" collapsed="false">
      <c r="N272" s="0" t="str">
        <f aca="false">IF(H272="","",IFERROR(LEFT(H272,FIND(" ",H272)-1),H272))</f>
        <v/>
      </c>
      <c r="O272" s="20" t="n">
        <f aca="false">IFERROR(DATE(VALUE(MID(N272,FIND("/",N272,FIND("/",N272)+1)+1,4)),VALUE(MID(N272,FIND("/",N272)+1,FIND("/",N272,FIND("/",N272)+1)-FIND("/",N272)-1)),VALUE(LEFT(N272,FIND("/",N272)-1))),0)</f>
        <v>0</v>
      </c>
    </row>
    <row r="273" customFormat="false" ht="15" hidden="false" customHeight="false" outlineLevel="0" collapsed="false">
      <c r="N273" s="0" t="str">
        <f aca="false">IF(H273="","",IFERROR(LEFT(H273,FIND(" ",H273)-1),H273))</f>
        <v/>
      </c>
      <c r="O273" s="20" t="n">
        <f aca="false">IFERROR(DATE(VALUE(MID(N273,FIND("/",N273,FIND("/",N273)+1)+1,4)),VALUE(MID(N273,FIND("/",N273)+1,FIND("/",N273,FIND("/",N273)+1)-FIND("/",N273)-1)),VALUE(LEFT(N273,FIND("/",N273)-1))),0)</f>
        <v>0</v>
      </c>
    </row>
    <row r="274" customFormat="false" ht="15" hidden="false" customHeight="false" outlineLevel="0" collapsed="false">
      <c r="N274" s="0" t="str">
        <f aca="false">IF(H274="","",IFERROR(LEFT(H274,FIND(" ",H274)-1),H274))</f>
        <v/>
      </c>
      <c r="O274" s="20" t="n">
        <f aca="false">IFERROR(DATE(VALUE(MID(N274,FIND("/",N274,FIND("/",N274)+1)+1,4)),VALUE(MID(N274,FIND("/",N274)+1,FIND("/",N274,FIND("/",N274)+1)-FIND("/",N274)-1)),VALUE(LEFT(N274,FIND("/",N274)-1))),0)</f>
        <v>0</v>
      </c>
    </row>
    <row r="275" customFormat="false" ht="15" hidden="false" customHeight="false" outlineLevel="0" collapsed="false">
      <c r="N275" s="0" t="str">
        <f aca="false">IF(H275="","",IFERROR(LEFT(H275,FIND(" ",H275)-1),H275))</f>
        <v/>
      </c>
      <c r="O275" s="20" t="n">
        <f aca="false">IFERROR(DATE(VALUE(MID(N275,FIND("/",N275,FIND("/",N275)+1)+1,4)),VALUE(MID(N275,FIND("/",N275)+1,FIND("/",N275,FIND("/",N275)+1)-FIND("/",N275)-1)),VALUE(LEFT(N275,FIND("/",N275)-1))),0)</f>
        <v>0</v>
      </c>
    </row>
    <row r="276" customFormat="false" ht="15" hidden="false" customHeight="false" outlineLevel="0" collapsed="false">
      <c r="N276" s="0" t="str">
        <f aca="false">IF(H276="","",IFERROR(LEFT(H276,FIND(" ",H276)-1),H276))</f>
        <v/>
      </c>
      <c r="O276" s="20" t="n">
        <f aca="false">IFERROR(DATE(VALUE(MID(N276,FIND("/",N276,FIND("/",N276)+1)+1,4)),VALUE(MID(N276,FIND("/",N276)+1,FIND("/",N276,FIND("/",N276)+1)-FIND("/",N276)-1)),VALUE(LEFT(N276,FIND("/",N276)-1))),0)</f>
        <v>0</v>
      </c>
    </row>
    <row r="277" customFormat="false" ht="15" hidden="false" customHeight="false" outlineLevel="0" collapsed="false">
      <c r="N277" s="0" t="str">
        <f aca="false">IF(H277="","",IFERROR(LEFT(H277,FIND(" ",H277)-1),H277))</f>
        <v/>
      </c>
      <c r="O277" s="20" t="n">
        <f aca="false">IFERROR(DATE(VALUE(MID(N277,FIND("/",N277,FIND("/",N277)+1)+1,4)),VALUE(MID(N277,FIND("/",N277)+1,FIND("/",N277,FIND("/",N277)+1)-FIND("/",N277)-1)),VALUE(LEFT(N277,FIND("/",N277)-1))),0)</f>
        <v>0</v>
      </c>
    </row>
    <row r="278" customFormat="false" ht="15" hidden="false" customHeight="false" outlineLevel="0" collapsed="false">
      <c r="N278" s="0" t="str">
        <f aca="false">IF(H278="","",IFERROR(LEFT(H278,FIND(" ",H278)-1),H278))</f>
        <v/>
      </c>
      <c r="O278" s="20" t="n">
        <f aca="false">IFERROR(DATE(VALUE(MID(N278,FIND("/",N278,FIND("/",N278)+1)+1,4)),VALUE(MID(N278,FIND("/",N278)+1,FIND("/",N278,FIND("/",N278)+1)-FIND("/",N278)-1)),VALUE(LEFT(N278,FIND("/",N278)-1))),0)</f>
        <v>0</v>
      </c>
    </row>
    <row r="279" customFormat="false" ht="15" hidden="false" customHeight="false" outlineLevel="0" collapsed="false">
      <c r="N279" s="0" t="str">
        <f aca="false">IF(H279="","",IFERROR(LEFT(H279,FIND(" ",H279)-1),H279))</f>
        <v/>
      </c>
      <c r="O279" s="20" t="n">
        <f aca="false">IFERROR(DATE(VALUE(MID(N279,FIND("/",N279,FIND("/",N279)+1)+1,4)),VALUE(MID(N279,FIND("/",N279)+1,FIND("/",N279,FIND("/",N279)+1)-FIND("/",N279)-1)),VALUE(LEFT(N279,FIND("/",N279)-1))),0)</f>
        <v>0</v>
      </c>
    </row>
    <row r="280" customFormat="false" ht="15" hidden="false" customHeight="false" outlineLevel="0" collapsed="false">
      <c r="N280" s="0" t="str">
        <f aca="false">IF(H280="","",IFERROR(LEFT(H280,FIND(" ",H280)-1),H280))</f>
        <v/>
      </c>
      <c r="O280" s="20" t="n">
        <f aca="false">IFERROR(DATE(VALUE(MID(N280,FIND("/",N280,FIND("/",N280)+1)+1,4)),VALUE(MID(N280,FIND("/",N280)+1,FIND("/",N280,FIND("/",N280)+1)-FIND("/",N280)-1)),VALUE(LEFT(N280,FIND("/",N280)-1))),0)</f>
        <v>0</v>
      </c>
    </row>
    <row r="281" customFormat="false" ht="15" hidden="false" customHeight="false" outlineLevel="0" collapsed="false">
      <c r="N281" s="0" t="str">
        <f aca="false">IF(H281="","",IFERROR(LEFT(H281,FIND(" ",H281)-1),H281))</f>
        <v/>
      </c>
      <c r="O281" s="20" t="n">
        <f aca="false">IFERROR(DATE(VALUE(MID(N281,FIND("/",N281,FIND("/",N281)+1)+1,4)),VALUE(MID(N281,FIND("/",N281)+1,FIND("/",N281,FIND("/",N281)+1)-FIND("/",N281)-1)),VALUE(LEFT(N281,FIND("/",N281)-1))),0)</f>
        <v>0</v>
      </c>
    </row>
    <row r="282" customFormat="false" ht="15" hidden="false" customHeight="false" outlineLevel="0" collapsed="false">
      <c r="N282" s="0" t="str">
        <f aca="false">IF(H282="","",IFERROR(LEFT(H282,FIND(" ",H282)-1),H282))</f>
        <v/>
      </c>
      <c r="O282" s="20" t="n">
        <f aca="false">IFERROR(DATE(VALUE(MID(N282,FIND("/",N282,FIND("/",N282)+1)+1,4)),VALUE(MID(N282,FIND("/",N282)+1,FIND("/",N282,FIND("/",N282)+1)-FIND("/",N282)-1)),VALUE(LEFT(N282,FIND("/",N282)-1))),0)</f>
        <v>0</v>
      </c>
    </row>
    <row r="283" customFormat="false" ht="15" hidden="false" customHeight="false" outlineLevel="0" collapsed="false">
      <c r="N283" s="0" t="str">
        <f aca="false">IF(H283="","",IFERROR(LEFT(H283,FIND(" ",H283)-1),H283))</f>
        <v/>
      </c>
      <c r="O283" s="20" t="n">
        <f aca="false">IFERROR(DATE(VALUE(MID(N283,FIND("/",N283,FIND("/",N283)+1)+1,4)),VALUE(MID(N283,FIND("/",N283)+1,FIND("/",N283,FIND("/",N283)+1)-FIND("/",N283)-1)),VALUE(LEFT(N283,FIND("/",N283)-1))),0)</f>
        <v>0</v>
      </c>
    </row>
    <row r="284" customFormat="false" ht="15" hidden="false" customHeight="false" outlineLevel="0" collapsed="false">
      <c r="N284" s="0" t="str">
        <f aca="false">IF(H284="","",IFERROR(LEFT(H284,FIND(" ",H284)-1),H284))</f>
        <v/>
      </c>
      <c r="O284" s="20" t="n">
        <f aca="false">IFERROR(DATE(VALUE(MID(N284,FIND("/",N284,FIND("/",N284)+1)+1,4)),VALUE(MID(N284,FIND("/",N284)+1,FIND("/",N284,FIND("/",N284)+1)-FIND("/",N284)-1)),VALUE(LEFT(N284,FIND("/",N284)-1))),0)</f>
        <v>0</v>
      </c>
    </row>
    <row r="285" customFormat="false" ht="15" hidden="false" customHeight="false" outlineLevel="0" collapsed="false">
      <c r="N285" s="0" t="str">
        <f aca="false">IF(H285="","",IFERROR(LEFT(H285,FIND(" ",H285)-1),H285))</f>
        <v/>
      </c>
      <c r="O285" s="20" t="n">
        <f aca="false">IFERROR(DATE(VALUE(MID(N285,FIND("/",N285,FIND("/",N285)+1)+1,4)),VALUE(MID(N285,FIND("/",N285)+1,FIND("/",N285,FIND("/",N285)+1)-FIND("/",N285)-1)),VALUE(LEFT(N285,FIND("/",N285)-1))),0)</f>
        <v>0</v>
      </c>
    </row>
    <row r="286" customFormat="false" ht="15" hidden="false" customHeight="false" outlineLevel="0" collapsed="false">
      <c r="N286" s="0" t="str">
        <f aca="false">IF(H286="","",IFERROR(LEFT(H286,FIND(" ",H286)-1),H286))</f>
        <v/>
      </c>
      <c r="O286" s="20" t="n">
        <f aca="false">IFERROR(DATE(VALUE(MID(N286,FIND("/",N286,FIND("/",N286)+1)+1,4)),VALUE(MID(N286,FIND("/",N286)+1,FIND("/",N286,FIND("/",N286)+1)-FIND("/",N286)-1)),VALUE(LEFT(N286,FIND("/",N286)-1))),0)</f>
        <v>0</v>
      </c>
    </row>
    <row r="287" customFormat="false" ht="15" hidden="false" customHeight="false" outlineLevel="0" collapsed="false">
      <c r="N287" s="0" t="str">
        <f aca="false">IF(H287="","",IFERROR(LEFT(H287,FIND(" ",H287)-1),H287))</f>
        <v/>
      </c>
      <c r="O287" s="20" t="n">
        <f aca="false">IFERROR(DATE(VALUE(MID(N287,FIND("/",N287,FIND("/",N287)+1)+1,4)),VALUE(MID(N287,FIND("/",N287)+1,FIND("/",N287,FIND("/",N287)+1)-FIND("/",N287)-1)),VALUE(LEFT(N287,FIND("/",N287)-1))),0)</f>
        <v>0</v>
      </c>
    </row>
    <row r="288" customFormat="false" ht="15" hidden="false" customHeight="false" outlineLevel="0" collapsed="false">
      <c r="N288" s="0" t="str">
        <f aca="false">IF(H288="","",IFERROR(LEFT(H288,FIND(" ",H288)-1),H288))</f>
        <v/>
      </c>
      <c r="O288" s="20" t="n">
        <f aca="false">IFERROR(DATE(VALUE(MID(N288,FIND("/",N288,FIND("/",N288)+1)+1,4)),VALUE(MID(N288,FIND("/",N288)+1,FIND("/",N288,FIND("/",N288)+1)-FIND("/",N288)-1)),VALUE(LEFT(N288,FIND("/",N288)-1))),0)</f>
        <v>0</v>
      </c>
    </row>
    <row r="289" customFormat="false" ht="15" hidden="false" customHeight="false" outlineLevel="0" collapsed="false">
      <c r="N289" s="0" t="str">
        <f aca="false">IF(H289="","",IFERROR(LEFT(H289,FIND(" ",H289)-1),H289))</f>
        <v/>
      </c>
      <c r="O289" s="20" t="n">
        <f aca="false">IFERROR(DATE(VALUE(MID(N289,FIND("/",N289,FIND("/",N289)+1)+1,4)),VALUE(MID(N289,FIND("/",N289)+1,FIND("/",N289,FIND("/",N289)+1)-FIND("/",N289)-1)),VALUE(LEFT(N289,FIND("/",N289)-1))),0)</f>
        <v>0</v>
      </c>
    </row>
    <row r="290" customFormat="false" ht="15" hidden="false" customHeight="false" outlineLevel="0" collapsed="false">
      <c r="N290" s="0" t="str">
        <f aca="false">IF(H290="","",IFERROR(LEFT(H290,FIND(" ",H290)-1),H290))</f>
        <v/>
      </c>
      <c r="O290" s="20" t="n">
        <f aca="false">IFERROR(DATE(VALUE(MID(N290,FIND("/",N290,FIND("/",N290)+1)+1,4)),VALUE(MID(N290,FIND("/",N290)+1,FIND("/",N290,FIND("/",N290)+1)-FIND("/",N290)-1)),VALUE(LEFT(N290,FIND("/",N290)-1))),0)</f>
        <v>0</v>
      </c>
    </row>
    <row r="291" customFormat="false" ht="15" hidden="false" customHeight="false" outlineLevel="0" collapsed="false">
      <c r="N291" s="0" t="str">
        <f aca="false">IF(H291="","",IFERROR(LEFT(H291,FIND(" ",H291)-1),H291))</f>
        <v/>
      </c>
      <c r="O291" s="20" t="n">
        <f aca="false">IFERROR(DATE(VALUE(MID(N291,FIND("/",N291,FIND("/",N291)+1)+1,4)),VALUE(MID(N291,FIND("/",N291)+1,FIND("/",N291,FIND("/",N291)+1)-FIND("/",N291)-1)),VALUE(LEFT(N291,FIND("/",N291)-1))),0)</f>
        <v>0</v>
      </c>
    </row>
    <row r="292" customFormat="false" ht="15" hidden="false" customHeight="false" outlineLevel="0" collapsed="false">
      <c r="N292" s="0" t="str">
        <f aca="false">IF(H292="","",IFERROR(LEFT(H292,FIND(" ",H292)-1),H292))</f>
        <v/>
      </c>
      <c r="O292" s="20" t="n">
        <f aca="false">IFERROR(DATE(VALUE(MID(N292,FIND("/",N292,FIND("/",N292)+1)+1,4)),VALUE(MID(N292,FIND("/",N292)+1,FIND("/",N292,FIND("/",N292)+1)-FIND("/",N292)-1)),VALUE(LEFT(N292,FIND("/",N292)-1))),0)</f>
        <v>0</v>
      </c>
    </row>
    <row r="293" customFormat="false" ht="15" hidden="false" customHeight="false" outlineLevel="0" collapsed="false">
      <c r="N293" s="0" t="str">
        <f aca="false">IF(H293="","",IFERROR(LEFT(H293,FIND(" ",H293)-1),H293))</f>
        <v/>
      </c>
      <c r="O293" s="20" t="n">
        <f aca="false">IFERROR(DATE(VALUE(MID(N293,FIND("/",N293,FIND("/",N293)+1)+1,4)),VALUE(MID(N293,FIND("/",N293)+1,FIND("/",N293,FIND("/",N293)+1)-FIND("/",N293)-1)),VALUE(LEFT(N293,FIND("/",N293)-1))),0)</f>
        <v>0</v>
      </c>
    </row>
    <row r="294" customFormat="false" ht="15" hidden="false" customHeight="false" outlineLevel="0" collapsed="false">
      <c r="N294" s="0" t="str">
        <f aca="false">IF(H294="","",IFERROR(LEFT(H294,FIND(" ",H294)-1),H294))</f>
        <v/>
      </c>
      <c r="O294" s="20" t="n">
        <f aca="false">IFERROR(DATE(VALUE(MID(N294,FIND("/",N294,FIND("/",N294)+1)+1,4)),VALUE(MID(N294,FIND("/",N294)+1,FIND("/",N294,FIND("/",N294)+1)-FIND("/",N294)-1)),VALUE(LEFT(N294,FIND("/",N294)-1))),0)</f>
        <v>0</v>
      </c>
    </row>
    <row r="295" customFormat="false" ht="15" hidden="false" customHeight="false" outlineLevel="0" collapsed="false">
      <c r="N295" s="0" t="str">
        <f aca="false">IF(H295="","",IFERROR(LEFT(H295,FIND(" ",H295)-1),H295))</f>
        <v/>
      </c>
      <c r="O295" s="20" t="n">
        <f aca="false">IFERROR(DATE(VALUE(MID(N295,FIND("/",N295,FIND("/",N295)+1)+1,4)),VALUE(MID(N295,FIND("/",N295)+1,FIND("/",N295,FIND("/",N295)+1)-FIND("/",N295)-1)),VALUE(LEFT(N295,FIND("/",N295)-1))),0)</f>
        <v>0</v>
      </c>
    </row>
    <row r="296" customFormat="false" ht="15" hidden="false" customHeight="false" outlineLevel="0" collapsed="false">
      <c r="N296" s="0" t="str">
        <f aca="false">IF(H296="","",IFERROR(LEFT(H296,FIND(" ",H296)-1),H296))</f>
        <v/>
      </c>
      <c r="O296" s="20" t="n">
        <f aca="false">IFERROR(DATE(VALUE(MID(N296,FIND("/",N296,FIND("/",N296)+1)+1,4)),VALUE(MID(N296,FIND("/",N296)+1,FIND("/",N296,FIND("/",N296)+1)-FIND("/",N296)-1)),VALUE(LEFT(N296,FIND("/",N296)-1))),0)</f>
        <v>0</v>
      </c>
    </row>
    <row r="297" customFormat="false" ht="15" hidden="false" customHeight="false" outlineLevel="0" collapsed="false">
      <c r="N297" s="0" t="str">
        <f aca="false">IF(H297="","",IFERROR(LEFT(H297,FIND(" ",H297)-1),H297))</f>
        <v/>
      </c>
      <c r="O297" s="20" t="n">
        <f aca="false">IFERROR(DATE(VALUE(MID(N297,FIND("/",N297,FIND("/",N297)+1)+1,4)),VALUE(MID(N297,FIND("/",N297)+1,FIND("/",N297,FIND("/",N297)+1)-FIND("/",N297)-1)),VALUE(LEFT(N297,FIND("/",N297)-1))),0)</f>
        <v>0</v>
      </c>
    </row>
    <row r="298" customFormat="false" ht="15" hidden="false" customHeight="false" outlineLevel="0" collapsed="false">
      <c r="N298" s="0" t="str">
        <f aca="false">IF(H298="","",IFERROR(LEFT(H298,FIND(" ",H298)-1),H298))</f>
        <v/>
      </c>
      <c r="O298" s="20" t="n">
        <f aca="false">IFERROR(DATE(VALUE(MID(N298,FIND("/",N298,FIND("/",N298)+1)+1,4)),VALUE(MID(N298,FIND("/",N298)+1,FIND("/",N298,FIND("/",N298)+1)-FIND("/",N298)-1)),VALUE(LEFT(N298,FIND("/",N298)-1))),0)</f>
        <v>0</v>
      </c>
    </row>
    <row r="299" customFormat="false" ht="15" hidden="false" customHeight="false" outlineLevel="0" collapsed="false">
      <c r="N299" s="0" t="str">
        <f aca="false">IF(H299="","",IFERROR(LEFT(H299,FIND(" ",H299)-1),H299))</f>
        <v/>
      </c>
      <c r="O299" s="20" t="n">
        <f aca="false">IFERROR(DATE(VALUE(MID(N299,FIND("/",N299,FIND("/",N299)+1)+1,4)),VALUE(MID(N299,FIND("/",N299)+1,FIND("/",N299,FIND("/",N299)+1)-FIND("/",N299)-1)),VALUE(LEFT(N299,FIND("/",N299)-1))),0)</f>
        <v>0</v>
      </c>
    </row>
    <row r="300" customFormat="false" ht="15" hidden="false" customHeight="false" outlineLevel="0" collapsed="false">
      <c r="N300" s="0" t="str">
        <f aca="false">IF(H300="","",IFERROR(LEFT(H300,FIND(" ",H300)-1),H300))</f>
        <v/>
      </c>
      <c r="O300" s="20" t="n">
        <f aca="false">IFERROR(DATE(VALUE(MID(N300,FIND("/",N300,FIND("/",N300)+1)+1,4)),VALUE(MID(N300,FIND("/",N300)+1,FIND("/",N300,FIND("/",N300)+1)-FIND("/",N300)-1)),VALUE(LEFT(N300,FIND("/",N300)-1))),0)</f>
        <v>0</v>
      </c>
    </row>
    <row r="301" customFormat="false" ht="15" hidden="false" customHeight="false" outlineLevel="0" collapsed="false">
      <c r="N301" s="0" t="str">
        <f aca="false">IF(H301="","",IFERROR(LEFT(H301,FIND(" ",H301)-1),H301))</f>
        <v/>
      </c>
      <c r="O301" s="20" t="n">
        <f aca="false">IFERROR(DATE(VALUE(MID(N301,FIND("/",N301,FIND("/",N301)+1)+1,4)),VALUE(MID(N301,FIND("/",N301)+1,FIND("/",N301,FIND("/",N301)+1)-FIND("/",N301)-1)),VALUE(LEFT(N301,FIND("/",N301)-1))),0)</f>
        <v>0</v>
      </c>
    </row>
    <row r="302" customFormat="false" ht="15" hidden="false" customHeight="false" outlineLevel="0" collapsed="false">
      <c r="N302" s="0" t="str">
        <f aca="false">IF(H302="","",IFERROR(LEFT(H302,FIND(" ",H302)-1),H302))</f>
        <v/>
      </c>
      <c r="O302" s="20" t="n">
        <f aca="false">IFERROR(DATE(VALUE(MID(N302,FIND("/",N302,FIND("/",N302)+1)+1,4)),VALUE(MID(N302,FIND("/",N302)+1,FIND("/",N302,FIND("/",N302)+1)-FIND("/",N302)-1)),VALUE(LEFT(N302,FIND("/",N302)-1))),0)</f>
        <v>0</v>
      </c>
    </row>
    <row r="303" customFormat="false" ht="15" hidden="false" customHeight="false" outlineLevel="0" collapsed="false">
      <c r="N303" s="0" t="str">
        <f aca="false">IF(H303="","",IFERROR(LEFT(H303,FIND(" ",H303)-1),H303))</f>
        <v/>
      </c>
      <c r="O303" s="20" t="n">
        <f aca="false">IFERROR(DATE(VALUE(MID(N303,FIND("/",N303,FIND("/",N303)+1)+1,4)),VALUE(MID(N303,FIND("/",N303)+1,FIND("/",N303,FIND("/",N303)+1)-FIND("/",N303)-1)),VALUE(LEFT(N303,FIND("/",N303)-1))),0)</f>
        <v>0</v>
      </c>
    </row>
    <row r="304" customFormat="false" ht="15" hidden="false" customHeight="false" outlineLevel="0" collapsed="false">
      <c r="N304" s="0" t="str">
        <f aca="false">IF(H304="","",IFERROR(LEFT(H304,FIND(" ",H304)-1),H304))</f>
        <v/>
      </c>
      <c r="O304" s="20" t="n">
        <f aca="false">IFERROR(DATE(VALUE(MID(N304,FIND("/",N304,FIND("/",N304)+1)+1,4)),VALUE(MID(N304,FIND("/",N304)+1,FIND("/",N304,FIND("/",N304)+1)-FIND("/",N304)-1)),VALUE(LEFT(N304,FIND("/",N304)-1))),0)</f>
        <v>0</v>
      </c>
    </row>
    <row r="305" customFormat="false" ht="15" hidden="false" customHeight="false" outlineLevel="0" collapsed="false">
      <c r="N305" s="0" t="str">
        <f aca="false">IF(H305="","",IFERROR(LEFT(H305,FIND(" ",H305)-1),H305))</f>
        <v/>
      </c>
      <c r="O305" s="20" t="n">
        <f aca="false">IFERROR(DATE(VALUE(MID(N305,FIND("/",N305,FIND("/",N305)+1)+1,4)),VALUE(MID(N305,FIND("/",N305)+1,FIND("/",N305,FIND("/",N305)+1)-FIND("/",N305)-1)),VALUE(LEFT(N305,FIND("/",N305)-1))),0)</f>
        <v>0</v>
      </c>
    </row>
    <row r="306" customFormat="false" ht="15" hidden="false" customHeight="false" outlineLevel="0" collapsed="false">
      <c r="N306" s="0" t="str">
        <f aca="false">IF(H306="","",IFERROR(LEFT(H306,FIND(" ",H306)-1),H306))</f>
        <v/>
      </c>
      <c r="O306" s="20" t="n">
        <f aca="false">IFERROR(DATE(VALUE(MID(N306,FIND("/",N306,FIND("/",N306)+1)+1,4)),VALUE(MID(N306,FIND("/",N306)+1,FIND("/",N306,FIND("/",N306)+1)-FIND("/",N306)-1)),VALUE(LEFT(N306,FIND("/",N306)-1))),0)</f>
        <v>0</v>
      </c>
    </row>
    <row r="307" customFormat="false" ht="15" hidden="false" customHeight="false" outlineLevel="0" collapsed="false">
      <c r="N307" s="0" t="str">
        <f aca="false">IF(H307="","",IFERROR(LEFT(H307,FIND(" ",H307)-1),H307))</f>
        <v/>
      </c>
      <c r="O307" s="20" t="n">
        <f aca="false">IFERROR(DATE(VALUE(MID(N307,FIND("/",N307,FIND("/",N307)+1)+1,4)),VALUE(MID(N307,FIND("/",N307)+1,FIND("/",N307,FIND("/",N307)+1)-FIND("/",N307)-1)),VALUE(LEFT(N307,FIND("/",N307)-1))),0)</f>
        <v>0</v>
      </c>
    </row>
    <row r="308" customFormat="false" ht="15" hidden="false" customHeight="false" outlineLevel="0" collapsed="false">
      <c r="N308" s="0" t="str">
        <f aca="false">IF(H308="","",IFERROR(LEFT(H308,FIND(" ",H308)-1),H308))</f>
        <v/>
      </c>
      <c r="O308" s="20" t="n">
        <f aca="false">IFERROR(DATE(VALUE(MID(N308,FIND("/",N308,FIND("/",N308)+1)+1,4)),VALUE(MID(N308,FIND("/",N308)+1,FIND("/",N308,FIND("/",N308)+1)-FIND("/",N308)-1)),VALUE(LEFT(N308,FIND("/",N308)-1))),0)</f>
        <v>0</v>
      </c>
    </row>
    <row r="309" customFormat="false" ht="15" hidden="false" customHeight="false" outlineLevel="0" collapsed="false">
      <c r="N309" s="0" t="str">
        <f aca="false">IF(H309="","",IFERROR(LEFT(H309,FIND(" ",H309)-1),H309))</f>
        <v/>
      </c>
      <c r="O309" s="20" t="n">
        <f aca="false">IFERROR(DATE(VALUE(MID(N309,FIND("/",N309,FIND("/",N309)+1)+1,4)),VALUE(MID(N309,FIND("/",N309)+1,FIND("/",N309,FIND("/",N309)+1)-FIND("/",N309)-1)),VALUE(LEFT(N309,FIND("/",N309)-1))),0)</f>
        <v>0</v>
      </c>
    </row>
    <row r="310" customFormat="false" ht="15" hidden="false" customHeight="false" outlineLevel="0" collapsed="false">
      <c r="N310" s="0" t="str">
        <f aca="false">IF(H310="","",IFERROR(LEFT(H310,FIND(" ",H310)-1),H310))</f>
        <v/>
      </c>
      <c r="O310" s="20" t="n">
        <f aca="false">IFERROR(DATE(VALUE(MID(N310,FIND("/",N310,FIND("/",N310)+1)+1,4)),VALUE(MID(N310,FIND("/",N310)+1,FIND("/",N310,FIND("/",N310)+1)-FIND("/",N310)-1)),VALUE(LEFT(N310,FIND("/",N310)-1))),0)</f>
        <v>0</v>
      </c>
    </row>
    <row r="311" customFormat="false" ht="15" hidden="false" customHeight="false" outlineLevel="0" collapsed="false">
      <c r="N311" s="0" t="str">
        <f aca="false">IF(H311="","",IFERROR(LEFT(H311,FIND(" ",H311)-1),H311))</f>
        <v/>
      </c>
      <c r="O311" s="20" t="n">
        <f aca="false">IFERROR(DATE(VALUE(MID(N311,FIND("/",N311,FIND("/",N311)+1)+1,4)),VALUE(MID(N311,FIND("/",N311)+1,FIND("/",N311,FIND("/",N311)+1)-FIND("/",N311)-1)),VALUE(LEFT(N311,FIND("/",N311)-1))),0)</f>
        <v>0</v>
      </c>
    </row>
    <row r="312" customFormat="false" ht="15" hidden="false" customHeight="false" outlineLevel="0" collapsed="false">
      <c r="N312" s="0" t="str">
        <f aca="false">IF(H312="","",IFERROR(LEFT(H312,FIND(" ",H312)-1),H312))</f>
        <v/>
      </c>
      <c r="O312" s="20" t="n">
        <f aca="false">IFERROR(DATE(VALUE(MID(N312,FIND("/",N312,FIND("/",N312)+1)+1,4)),VALUE(MID(N312,FIND("/",N312)+1,FIND("/",N312,FIND("/",N312)+1)-FIND("/",N312)-1)),VALUE(LEFT(N312,FIND("/",N312)-1))),0)</f>
        <v>0</v>
      </c>
    </row>
    <row r="313" customFormat="false" ht="15" hidden="false" customHeight="false" outlineLevel="0" collapsed="false">
      <c r="N313" s="0" t="str">
        <f aca="false">IF(H313="","",IFERROR(LEFT(H313,FIND(" ",H313)-1),H313))</f>
        <v/>
      </c>
      <c r="O313" s="20" t="n">
        <f aca="false">IFERROR(DATE(VALUE(MID(N313,FIND("/",N313,FIND("/",N313)+1)+1,4)),VALUE(MID(N313,FIND("/",N313)+1,FIND("/",N313,FIND("/",N313)+1)-FIND("/",N313)-1)),VALUE(LEFT(N313,FIND("/",N313)-1))),0)</f>
        <v>0</v>
      </c>
    </row>
    <row r="314" customFormat="false" ht="15" hidden="false" customHeight="false" outlineLevel="0" collapsed="false">
      <c r="N314" s="0" t="str">
        <f aca="false">IF(H314="","",IFERROR(LEFT(H314,FIND(" ",H314)-1),H314))</f>
        <v/>
      </c>
      <c r="O314" s="20" t="n">
        <f aca="false">IFERROR(DATE(VALUE(MID(N314,FIND("/",N314,FIND("/",N314)+1)+1,4)),VALUE(MID(N314,FIND("/",N314)+1,FIND("/",N314,FIND("/",N314)+1)-FIND("/",N314)-1)),VALUE(LEFT(N314,FIND("/",N314)-1))),0)</f>
        <v>0</v>
      </c>
    </row>
    <row r="315" customFormat="false" ht="15" hidden="false" customHeight="false" outlineLevel="0" collapsed="false">
      <c r="N315" s="0" t="str">
        <f aca="false">IF(H315="","",IFERROR(LEFT(H315,FIND(" ",H315)-1),H315))</f>
        <v/>
      </c>
      <c r="O315" s="20" t="n">
        <f aca="false">IFERROR(DATE(VALUE(MID(N315,FIND("/",N315,FIND("/",N315)+1)+1,4)),VALUE(MID(N315,FIND("/",N315)+1,FIND("/",N315,FIND("/",N315)+1)-FIND("/",N315)-1)),VALUE(LEFT(N315,FIND("/",N315)-1))),0)</f>
        <v>0</v>
      </c>
    </row>
    <row r="316" customFormat="false" ht="15" hidden="false" customHeight="false" outlineLevel="0" collapsed="false">
      <c r="N316" s="0" t="str">
        <f aca="false">IF(H316="","",IFERROR(LEFT(H316,FIND(" ",H316)-1),H316))</f>
        <v/>
      </c>
      <c r="O316" s="20" t="n">
        <f aca="false">IFERROR(DATE(VALUE(MID(N316,FIND("/",N316,FIND("/",N316)+1)+1,4)),VALUE(MID(N316,FIND("/",N316)+1,FIND("/",N316,FIND("/",N316)+1)-FIND("/",N316)-1)),VALUE(LEFT(N316,FIND("/",N316)-1))),0)</f>
        <v>0</v>
      </c>
    </row>
    <row r="317" customFormat="false" ht="15" hidden="false" customHeight="false" outlineLevel="0" collapsed="false">
      <c r="N317" s="0" t="str">
        <f aca="false">IF(H317="","",IFERROR(LEFT(H317,FIND(" ",H317)-1),H317))</f>
        <v/>
      </c>
      <c r="O317" s="20" t="n">
        <f aca="false">IFERROR(DATE(VALUE(MID(N317,FIND("/",N317,FIND("/",N317)+1)+1,4)),VALUE(MID(N317,FIND("/",N317)+1,FIND("/",N317,FIND("/",N317)+1)-FIND("/",N317)-1)),VALUE(LEFT(N317,FIND("/",N317)-1))),0)</f>
        <v>0</v>
      </c>
    </row>
    <row r="318" customFormat="false" ht="15" hidden="false" customHeight="false" outlineLevel="0" collapsed="false">
      <c r="N318" s="0" t="str">
        <f aca="false">IF(H318="","",IFERROR(LEFT(H318,FIND(" ",H318)-1),H318))</f>
        <v/>
      </c>
      <c r="O318" s="20" t="n">
        <f aca="false">IFERROR(DATE(VALUE(MID(N318,FIND("/",N318,FIND("/",N318)+1)+1,4)),VALUE(MID(N318,FIND("/",N318)+1,FIND("/",N318,FIND("/",N318)+1)-FIND("/",N318)-1)),VALUE(LEFT(N318,FIND("/",N318)-1))),0)</f>
        <v>0</v>
      </c>
    </row>
    <row r="319" customFormat="false" ht="15" hidden="false" customHeight="false" outlineLevel="0" collapsed="false">
      <c r="N319" s="0" t="str">
        <f aca="false">IF(H319="","",IFERROR(LEFT(H319,FIND(" ",H319)-1),H319))</f>
        <v/>
      </c>
      <c r="O319" s="20" t="n">
        <f aca="false">IFERROR(DATE(VALUE(MID(N319,FIND("/",N319,FIND("/",N319)+1)+1,4)),VALUE(MID(N319,FIND("/",N319)+1,FIND("/",N319,FIND("/",N319)+1)-FIND("/",N319)-1)),VALUE(LEFT(N319,FIND("/",N319)-1))),0)</f>
        <v>0</v>
      </c>
    </row>
    <row r="320" customFormat="false" ht="15" hidden="false" customHeight="false" outlineLevel="0" collapsed="false">
      <c r="N320" s="0" t="str">
        <f aca="false">IF(H320="","",IFERROR(LEFT(H320,FIND(" ",H320)-1),H320))</f>
        <v/>
      </c>
      <c r="O320" s="20" t="n">
        <f aca="false">IFERROR(DATE(VALUE(MID(N320,FIND("/",N320,FIND("/",N320)+1)+1,4)),VALUE(MID(N320,FIND("/",N320)+1,FIND("/",N320,FIND("/",N320)+1)-FIND("/",N320)-1)),VALUE(LEFT(N320,FIND("/",N320)-1))),0)</f>
        <v>0</v>
      </c>
    </row>
    <row r="321" customFormat="false" ht="15" hidden="false" customHeight="false" outlineLevel="0" collapsed="false">
      <c r="N321" s="0" t="str">
        <f aca="false">IF(H321="","",IFERROR(LEFT(H321,FIND(" ",H321)-1),H321))</f>
        <v/>
      </c>
      <c r="O321" s="20" t="n">
        <f aca="false">IFERROR(DATE(VALUE(MID(N321,FIND("/",N321,FIND("/",N321)+1)+1,4)),VALUE(MID(N321,FIND("/",N321)+1,FIND("/",N321,FIND("/",N321)+1)-FIND("/",N321)-1)),VALUE(LEFT(N321,FIND("/",N321)-1))),0)</f>
        <v>0</v>
      </c>
    </row>
    <row r="322" customFormat="false" ht="15" hidden="false" customHeight="false" outlineLevel="0" collapsed="false">
      <c r="N322" s="0" t="str">
        <f aca="false">IF(H322="","",IFERROR(LEFT(H322,FIND(" ",H322)-1),H322))</f>
        <v/>
      </c>
      <c r="O322" s="20" t="n">
        <f aca="false">IFERROR(DATE(VALUE(MID(N322,FIND("/",N322,FIND("/",N322)+1)+1,4)),VALUE(MID(N322,FIND("/",N322)+1,FIND("/",N322,FIND("/",N322)+1)-FIND("/",N322)-1)),VALUE(LEFT(N322,FIND("/",N322)-1))),0)</f>
        <v>0</v>
      </c>
    </row>
    <row r="323" customFormat="false" ht="15" hidden="false" customHeight="false" outlineLevel="0" collapsed="false">
      <c r="N323" s="0" t="str">
        <f aca="false">IF(H323="","",IFERROR(LEFT(H323,FIND(" ",H323)-1),H323))</f>
        <v/>
      </c>
      <c r="O323" s="20" t="n">
        <f aca="false">IFERROR(DATE(VALUE(MID(N323,FIND("/",N323,FIND("/",N323)+1)+1,4)),VALUE(MID(N323,FIND("/",N323)+1,FIND("/",N323,FIND("/",N323)+1)-FIND("/",N323)-1)),VALUE(LEFT(N323,FIND("/",N323)-1))),0)</f>
        <v>0</v>
      </c>
    </row>
    <row r="324" customFormat="false" ht="15" hidden="false" customHeight="false" outlineLevel="0" collapsed="false">
      <c r="N324" s="0" t="str">
        <f aca="false">IF(H324="","",IFERROR(LEFT(H324,FIND(" ",H324)-1),H324))</f>
        <v/>
      </c>
      <c r="O324" s="20" t="n">
        <f aca="false">IFERROR(DATE(VALUE(MID(N324,FIND("/",N324,FIND("/",N324)+1)+1,4)),VALUE(MID(N324,FIND("/",N324)+1,FIND("/",N324,FIND("/",N324)+1)-FIND("/",N324)-1)),VALUE(LEFT(N324,FIND("/",N324)-1))),0)</f>
        <v>0</v>
      </c>
    </row>
    <row r="325" customFormat="false" ht="15" hidden="false" customHeight="false" outlineLevel="0" collapsed="false">
      <c r="N325" s="0" t="str">
        <f aca="false">IF(H325="","",IFERROR(LEFT(H325,FIND(" ",H325)-1),H325))</f>
        <v/>
      </c>
      <c r="O325" s="20" t="n">
        <f aca="false">IFERROR(DATE(VALUE(MID(N325,FIND("/",N325,FIND("/",N325)+1)+1,4)),VALUE(MID(N325,FIND("/",N325)+1,FIND("/",N325,FIND("/",N325)+1)-FIND("/",N325)-1)),VALUE(LEFT(N325,FIND("/",N325)-1))),0)</f>
        <v>0</v>
      </c>
    </row>
    <row r="326" customFormat="false" ht="15" hidden="false" customHeight="false" outlineLevel="0" collapsed="false">
      <c r="N326" s="0" t="str">
        <f aca="false">IF(H326="","",IFERROR(LEFT(H326,FIND(" ",H326)-1),H326))</f>
        <v/>
      </c>
      <c r="O326" s="20" t="n">
        <f aca="false">IFERROR(DATE(VALUE(MID(N326,FIND("/",N326,FIND("/",N326)+1)+1,4)),VALUE(MID(N326,FIND("/",N326)+1,FIND("/",N326,FIND("/",N326)+1)-FIND("/",N326)-1)),VALUE(LEFT(N326,FIND("/",N326)-1))),0)</f>
        <v>0</v>
      </c>
    </row>
    <row r="327" customFormat="false" ht="15" hidden="false" customHeight="false" outlineLevel="0" collapsed="false">
      <c r="N327" s="0" t="str">
        <f aca="false">IF(H327="","",IFERROR(LEFT(H327,FIND(" ",H327)-1),H327))</f>
        <v/>
      </c>
      <c r="O327" s="20" t="n">
        <f aca="false">IFERROR(DATE(VALUE(MID(N327,FIND("/",N327,FIND("/",N327)+1)+1,4)),VALUE(MID(N327,FIND("/",N327)+1,FIND("/",N327,FIND("/",N327)+1)-FIND("/",N327)-1)),VALUE(LEFT(N327,FIND("/",N327)-1))),0)</f>
        <v>0</v>
      </c>
    </row>
    <row r="328" customFormat="false" ht="15" hidden="false" customHeight="false" outlineLevel="0" collapsed="false">
      <c r="N328" s="0" t="str">
        <f aca="false">IF(H328="","",IFERROR(LEFT(H328,FIND(" ",H328)-1),H328))</f>
        <v/>
      </c>
      <c r="O328" s="20" t="n">
        <f aca="false">IFERROR(DATE(VALUE(MID(N328,FIND("/",N328,FIND("/",N328)+1)+1,4)),VALUE(MID(N328,FIND("/",N328)+1,FIND("/",N328,FIND("/",N328)+1)-FIND("/",N328)-1)),VALUE(LEFT(N328,FIND("/",N328)-1))),0)</f>
        <v>0</v>
      </c>
    </row>
    <row r="329" customFormat="false" ht="15" hidden="false" customHeight="false" outlineLevel="0" collapsed="false">
      <c r="N329" s="0" t="str">
        <f aca="false">IF(H329="","",IFERROR(LEFT(H329,FIND(" ",H329)-1),H329))</f>
        <v/>
      </c>
      <c r="O329" s="20" t="n">
        <f aca="false">IFERROR(DATE(VALUE(MID(N329,FIND("/",N329,FIND("/",N329)+1)+1,4)),VALUE(MID(N329,FIND("/",N329)+1,FIND("/",N329,FIND("/",N329)+1)-FIND("/",N329)-1)),VALUE(LEFT(N329,FIND("/",N329)-1))),0)</f>
        <v>0</v>
      </c>
    </row>
    <row r="330" customFormat="false" ht="15" hidden="false" customHeight="false" outlineLevel="0" collapsed="false">
      <c r="N330" s="0" t="str">
        <f aca="false">IF(H330="","",IFERROR(LEFT(H330,FIND(" ",H330)-1),H330))</f>
        <v/>
      </c>
      <c r="O330" s="20" t="n">
        <f aca="false">IFERROR(DATE(VALUE(MID(N330,FIND("/",N330,FIND("/",N330)+1)+1,4)),VALUE(MID(N330,FIND("/",N330)+1,FIND("/",N330,FIND("/",N330)+1)-FIND("/",N330)-1)),VALUE(LEFT(N330,FIND("/",N330)-1))),0)</f>
        <v>0</v>
      </c>
    </row>
    <row r="331" customFormat="false" ht="15" hidden="false" customHeight="false" outlineLevel="0" collapsed="false">
      <c r="N331" s="0" t="str">
        <f aca="false">IF(H331="","",IFERROR(LEFT(H331,FIND(" ",H331)-1),H331))</f>
        <v/>
      </c>
      <c r="O331" s="20" t="n">
        <f aca="false">IFERROR(DATE(VALUE(MID(N331,FIND("/",N331,FIND("/",N331)+1)+1,4)),VALUE(MID(N331,FIND("/",N331)+1,FIND("/",N331,FIND("/",N331)+1)-FIND("/",N331)-1)),VALUE(LEFT(N331,FIND("/",N331)-1))),0)</f>
        <v>0</v>
      </c>
    </row>
    <row r="332" customFormat="false" ht="15" hidden="false" customHeight="false" outlineLevel="0" collapsed="false">
      <c r="N332" s="0" t="str">
        <f aca="false">IF(H332="","",IFERROR(LEFT(H332,FIND(" ",H332)-1),H332))</f>
        <v/>
      </c>
      <c r="O332" s="20" t="n">
        <f aca="false">IFERROR(DATE(VALUE(MID(N332,FIND("/",N332,FIND("/",N332)+1)+1,4)),VALUE(MID(N332,FIND("/",N332)+1,FIND("/",N332,FIND("/",N332)+1)-FIND("/",N332)-1)),VALUE(LEFT(N332,FIND("/",N332)-1))),0)</f>
        <v>0</v>
      </c>
    </row>
    <row r="333" customFormat="false" ht="15" hidden="false" customHeight="false" outlineLevel="0" collapsed="false">
      <c r="N333" s="0" t="str">
        <f aca="false">IF(H333="","",IFERROR(LEFT(H333,FIND(" ",H333)-1),H333))</f>
        <v/>
      </c>
      <c r="O333" s="20" t="n">
        <f aca="false">IFERROR(DATE(VALUE(MID(N333,FIND("/",N333,FIND("/",N333)+1)+1,4)),VALUE(MID(N333,FIND("/",N333)+1,FIND("/",N333,FIND("/",N333)+1)-FIND("/",N333)-1)),VALUE(LEFT(N333,FIND("/",N333)-1))),0)</f>
        <v>0</v>
      </c>
    </row>
    <row r="334" customFormat="false" ht="15" hidden="false" customHeight="false" outlineLevel="0" collapsed="false">
      <c r="N334" s="0" t="str">
        <f aca="false">IF(H334="","",IFERROR(LEFT(H334,FIND(" ",H334)-1),H334))</f>
        <v/>
      </c>
      <c r="O334" s="20" t="n">
        <f aca="false">IFERROR(DATE(VALUE(MID(N334,FIND("/",N334,FIND("/",N334)+1)+1,4)),VALUE(MID(N334,FIND("/",N334)+1,FIND("/",N334,FIND("/",N334)+1)-FIND("/",N334)-1)),VALUE(LEFT(N334,FIND("/",N334)-1))),0)</f>
        <v>0</v>
      </c>
    </row>
    <row r="335" customFormat="false" ht="15" hidden="false" customHeight="false" outlineLevel="0" collapsed="false">
      <c r="N335" s="0" t="str">
        <f aca="false">IF(H335="","",IFERROR(LEFT(H335,FIND(" ",H335)-1),H335))</f>
        <v/>
      </c>
      <c r="O335" s="20" t="n">
        <f aca="false">IFERROR(DATE(VALUE(MID(N335,FIND("/",N335,FIND("/",N335)+1)+1,4)),VALUE(MID(N335,FIND("/",N335)+1,FIND("/",N335,FIND("/",N335)+1)-FIND("/",N335)-1)),VALUE(LEFT(N335,FIND("/",N335)-1))),0)</f>
        <v>0</v>
      </c>
    </row>
    <row r="336" customFormat="false" ht="15" hidden="false" customHeight="false" outlineLevel="0" collapsed="false">
      <c r="N336" s="0" t="str">
        <f aca="false">IF(H336="","",IFERROR(LEFT(H336,FIND(" ",H336)-1),H336))</f>
        <v/>
      </c>
      <c r="O336" s="20" t="n">
        <f aca="false">IFERROR(DATE(VALUE(MID(N336,FIND("/",N336,FIND("/",N336)+1)+1,4)),VALUE(MID(N336,FIND("/",N336)+1,FIND("/",N336,FIND("/",N336)+1)-FIND("/",N336)-1)),VALUE(LEFT(N336,FIND("/",N336)-1))),0)</f>
        <v>0</v>
      </c>
    </row>
    <row r="337" customFormat="false" ht="15" hidden="false" customHeight="false" outlineLevel="0" collapsed="false">
      <c r="N337" s="0" t="str">
        <f aca="false">IF(H337="","",IFERROR(LEFT(H337,FIND(" ",H337)-1),H337))</f>
        <v/>
      </c>
      <c r="O337" s="20" t="n">
        <f aca="false">IFERROR(DATE(VALUE(MID(N337,FIND("/",N337,FIND("/",N337)+1)+1,4)),VALUE(MID(N337,FIND("/",N337)+1,FIND("/",N337,FIND("/",N337)+1)-FIND("/",N337)-1)),VALUE(LEFT(N337,FIND("/",N337)-1))),0)</f>
        <v>0</v>
      </c>
    </row>
    <row r="338" customFormat="false" ht="15" hidden="false" customHeight="false" outlineLevel="0" collapsed="false">
      <c r="N338" s="0" t="str">
        <f aca="false">IF(H338="","",IFERROR(LEFT(H338,FIND(" ",H338)-1),H338))</f>
        <v/>
      </c>
      <c r="O338" s="20" t="n">
        <f aca="false">IFERROR(DATE(VALUE(MID(N338,FIND("/",N338,FIND("/",N338)+1)+1,4)),VALUE(MID(N338,FIND("/",N338)+1,FIND("/",N338,FIND("/",N338)+1)-FIND("/",N338)-1)),VALUE(LEFT(N338,FIND("/",N338)-1))),0)</f>
        <v>0</v>
      </c>
    </row>
    <row r="339" customFormat="false" ht="15" hidden="false" customHeight="false" outlineLevel="0" collapsed="false">
      <c r="N339" s="0" t="str">
        <f aca="false">IF(H339="","",IFERROR(LEFT(H339,FIND(" ",H339)-1),H339))</f>
        <v/>
      </c>
      <c r="O339" s="20" t="n">
        <f aca="false">IFERROR(DATE(VALUE(MID(N339,FIND("/",N339,FIND("/",N339)+1)+1,4)),VALUE(MID(N339,FIND("/",N339)+1,FIND("/",N339,FIND("/",N339)+1)-FIND("/",N339)-1)),VALUE(LEFT(N339,FIND("/",N339)-1))),0)</f>
        <v>0</v>
      </c>
    </row>
    <row r="340" customFormat="false" ht="15" hidden="false" customHeight="false" outlineLevel="0" collapsed="false">
      <c r="N340" s="0" t="str">
        <f aca="false">IF(H340="","",IFERROR(LEFT(H340,FIND(" ",H340)-1),H340))</f>
        <v/>
      </c>
      <c r="O340" s="20" t="n">
        <f aca="false">IFERROR(DATE(VALUE(MID(N340,FIND("/",N340,FIND("/",N340)+1)+1,4)),VALUE(MID(N340,FIND("/",N340)+1,FIND("/",N340,FIND("/",N340)+1)-FIND("/",N340)-1)),VALUE(LEFT(N340,FIND("/",N340)-1))),0)</f>
        <v>0</v>
      </c>
    </row>
    <row r="341" customFormat="false" ht="15" hidden="false" customHeight="false" outlineLevel="0" collapsed="false">
      <c r="N341" s="0" t="str">
        <f aca="false">IF(H341="","",IFERROR(LEFT(H341,FIND(" ",H341)-1),H341))</f>
        <v/>
      </c>
      <c r="O341" s="20" t="n">
        <f aca="false">IFERROR(DATE(VALUE(MID(N341,FIND("/",N341,FIND("/",N341)+1)+1,4)),VALUE(MID(N341,FIND("/",N341)+1,FIND("/",N341,FIND("/",N341)+1)-FIND("/",N341)-1)),VALUE(LEFT(N341,FIND("/",N341)-1))),0)</f>
        <v>0</v>
      </c>
    </row>
    <row r="342" customFormat="false" ht="15" hidden="false" customHeight="false" outlineLevel="0" collapsed="false">
      <c r="N342" s="0" t="str">
        <f aca="false">IF(H342="","",IFERROR(LEFT(H342,FIND(" ",H342)-1),H342))</f>
        <v/>
      </c>
      <c r="O342" s="20" t="n">
        <f aca="false">IFERROR(DATE(VALUE(MID(N342,FIND("/",N342,FIND("/",N342)+1)+1,4)),VALUE(MID(N342,FIND("/",N342)+1,FIND("/",N342,FIND("/",N342)+1)-FIND("/",N342)-1)),VALUE(LEFT(N342,FIND("/",N342)-1))),0)</f>
        <v>0</v>
      </c>
    </row>
    <row r="343" customFormat="false" ht="15" hidden="false" customHeight="false" outlineLevel="0" collapsed="false">
      <c r="N343" s="0" t="str">
        <f aca="false">IF(H343="","",IFERROR(LEFT(H343,FIND(" ",H343)-1),H343))</f>
        <v/>
      </c>
      <c r="O343" s="20" t="n">
        <f aca="false">IFERROR(DATE(VALUE(MID(N343,FIND("/",N343,FIND("/",N343)+1)+1,4)),VALUE(MID(N343,FIND("/",N343)+1,FIND("/",N343,FIND("/",N343)+1)-FIND("/",N343)-1)),VALUE(LEFT(N343,FIND("/",N343)-1))),0)</f>
        <v>0</v>
      </c>
    </row>
    <row r="344" customFormat="false" ht="15" hidden="false" customHeight="false" outlineLevel="0" collapsed="false">
      <c r="N344" s="0" t="str">
        <f aca="false">IF(H344="","",IFERROR(LEFT(H344,FIND(" ",H344)-1),H344))</f>
        <v/>
      </c>
      <c r="O344" s="20" t="n">
        <f aca="false">IFERROR(DATE(VALUE(MID(N344,FIND("/",N344,FIND("/",N344)+1)+1,4)),VALUE(MID(N344,FIND("/",N344)+1,FIND("/",N344,FIND("/",N344)+1)-FIND("/",N344)-1)),VALUE(LEFT(N344,FIND("/",N344)-1))),0)</f>
        <v>0</v>
      </c>
    </row>
    <row r="345" customFormat="false" ht="15" hidden="false" customHeight="false" outlineLevel="0" collapsed="false">
      <c r="N345" s="0" t="str">
        <f aca="false">IF(H345="","",IFERROR(LEFT(H345,FIND(" ",H345)-1),H345))</f>
        <v/>
      </c>
      <c r="O345" s="20" t="n">
        <f aca="false">IFERROR(DATE(VALUE(MID(N345,FIND("/",N345,FIND("/",N345)+1)+1,4)),VALUE(MID(N345,FIND("/",N345)+1,FIND("/",N345,FIND("/",N345)+1)-FIND("/",N345)-1)),VALUE(LEFT(N345,FIND("/",N345)-1))),0)</f>
        <v>0</v>
      </c>
    </row>
    <row r="346" customFormat="false" ht="15" hidden="false" customHeight="false" outlineLevel="0" collapsed="false">
      <c r="N346" s="0" t="str">
        <f aca="false">IF(H346="","",IFERROR(LEFT(H346,FIND(" ",H346)-1),H346))</f>
        <v/>
      </c>
      <c r="O346" s="20" t="n">
        <f aca="false">IFERROR(DATE(VALUE(MID(N346,FIND("/",N346,FIND("/",N346)+1)+1,4)),VALUE(MID(N346,FIND("/",N346)+1,FIND("/",N346,FIND("/",N346)+1)-FIND("/",N346)-1)),VALUE(LEFT(N346,FIND("/",N346)-1))),0)</f>
        <v>0</v>
      </c>
    </row>
    <row r="347" customFormat="false" ht="15" hidden="false" customHeight="false" outlineLevel="0" collapsed="false">
      <c r="N347" s="0" t="str">
        <f aca="false">IF(H347="","",IFERROR(LEFT(H347,FIND(" ",H347)-1),H347))</f>
        <v/>
      </c>
      <c r="O347" s="20" t="n">
        <f aca="false">IFERROR(DATE(VALUE(MID(N347,FIND("/",N347,FIND("/",N347)+1)+1,4)),VALUE(MID(N347,FIND("/",N347)+1,FIND("/",N347,FIND("/",N347)+1)-FIND("/",N347)-1)),VALUE(LEFT(N347,FIND("/",N347)-1))),0)</f>
        <v>0</v>
      </c>
    </row>
    <row r="348" customFormat="false" ht="15" hidden="false" customHeight="false" outlineLevel="0" collapsed="false">
      <c r="N348" s="0" t="str">
        <f aca="false">IF(H348="","",IFERROR(LEFT(H348,FIND(" ",H348)-1),H348))</f>
        <v/>
      </c>
      <c r="O348" s="20" t="n">
        <f aca="false">IFERROR(DATE(VALUE(MID(N348,FIND("/",N348,FIND("/",N348)+1)+1,4)),VALUE(MID(N348,FIND("/",N348)+1,FIND("/",N348,FIND("/",N348)+1)-FIND("/",N348)-1)),VALUE(LEFT(N348,FIND("/",N348)-1))),0)</f>
        <v>0</v>
      </c>
    </row>
    <row r="349" customFormat="false" ht="15" hidden="false" customHeight="false" outlineLevel="0" collapsed="false">
      <c r="N349" s="0" t="str">
        <f aca="false">IF(H349="","",IFERROR(LEFT(H349,FIND(" ",H349)-1),H349))</f>
        <v/>
      </c>
      <c r="O349" s="20" t="n">
        <f aca="false">IFERROR(DATE(VALUE(MID(N349,FIND("/",N349,FIND("/",N349)+1)+1,4)),VALUE(MID(N349,FIND("/",N349)+1,FIND("/",N349,FIND("/",N349)+1)-FIND("/",N349)-1)),VALUE(LEFT(N349,FIND("/",N349)-1))),0)</f>
        <v>0</v>
      </c>
    </row>
    <row r="350" customFormat="false" ht="15" hidden="false" customHeight="false" outlineLevel="0" collapsed="false">
      <c r="N350" s="0" t="str">
        <f aca="false">IF(H350="","",IFERROR(LEFT(H350,FIND(" ",H350)-1),H350))</f>
        <v/>
      </c>
      <c r="O350" s="20" t="n">
        <f aca="false">IFERROR(DATE(VALUE(MID(N350,FIND("/",N350,FIND("/",N350)+1)+1,4)),VALUE(MID(N350,FIND("/",N350)+1,FIND("/",N350,FIND("/",N350)+1)-FIND("/",N350)-1)),VALUE(LEFT(N350,FIND("/",N350)-1))),0)</f>
        <v>0</v>
      </c>
    </row>
    <row r="351" customFormat="false" ht="15" hidden="false" customHeight="false" outlineLevel="0" collapsed="false">
      <c r="N351" s="0" t="str">
        <f aca="false">IF(H351="","",IFERROR(LEFT(H351,FIND(" ",H351)-1),H351))</f>
        <v/>
      </c>
      <c r="O351" s="20" t="n">
        <f aca="false">IFERROR(DATE(VALUE(MID(N351,FIND("/",N351,FIND("/",N351)+1)+1,4)),VALUE(MID(N351,FIND("/",N351)+1,FIND("/",N351,FIND("/",N351)+1)-FIND("/",N351)-1)),VALUE(LEFT(N351,FIND("/",N351)-1))),0)</f>
        <v>0</v>
      </c>
    </row>
    <row r="352" customFormat="false" ht="15" hidden="false" customHeight="false" outlineLevel="0" collapsed="false">
      <c r="N352" s="0" t="str">
        <f aca="false">IF(H352="","",IFERROR(LEFT(H352,FIND(" ",H352)-1),H352))</f>
        <v/>
      </c>
      <c r="O352" s="20" t="n">
        <f aca="false">IFERROR(DATE(VALUE(MID(N352,FIND("/",N352,FIND("/",N352)+1)+1,4)),VALUE(MID(N352,FIND("/",N352)+1,FIND("/",N352,FIND("/",N352)+1)-FIND("/",N352)-1)),VALUE(LEFT(N352,FIND("/",N352)-1))),0)</f>
        <v>0</v>
      </c>
    </row>
    <row r="353" customFormat="false" ht="15" hidden="false" customHeight="false" outlineLevel="0" collapsed="false">
      <c r="N353" s="0" t="str">
        <f aca="false">IF(H353="","",IFERROR(LEFT(H353,FIND(" ",H353)-1),H353))</f>
        <v/>
      </c>
      <c r="O353" s="20" t="n">
        <f aca="false">IFERROR(DATE(VALUE(MID(N353,FIND("/",N353,FIND("/",N353)+1)+1,4)),VALUE(MID(N353,FIND("/",N353)+1,FIND("/",N353,FIND("/",N353)+1)-FIND("/",N353)-1)),VALUE(LEFT(N353,FIND("/",N353)-1))),0)</f>
        <v>0</v>
      </c>
    </row>
    <row r="354" customFormat="false" ht="15" hidden="false" customHeight="false" outlineLevel="0" collapsed="false">
      <c r="N354" s="0" t="str">
        <f aca="false">IF(H354="","",IFERROR(LEFT(H354,FIND(" ",H354)-1),H354))</f>
        <v/>
      </c>
      <c r="O354" s="20" t="n">
        <f aca="false">IFERROR(DATE(VALUE(MID(N354,FIND("/",N354,FIND("/",N354)+1)+1,4)),VALUE(MID(N354,FIND("/",N354)+1,FIND("/",N354,FIND("/",N354)+1)-FIND("/",N354)-1)),VALUE(LEFT(N354,FIND("/",N354)-1))),0)</f>
        <v>0</v>
      </c>
    </row>
    <row r="355" customFormat="false" ht="15" hidden="false" customHeight="false" outlineLevel="0" collapsed="false">
      <c r="N355" s="0" t="str">
        <f aca="false">IF(H355="","",IFERROR(LEFT(H355,FIND(" ",H355)-1),H355))</f>
        <v/>
      </c>
      <c r="O355" s="20" t="n">
        <f aca="false">IFERROR(DATE(VALUE(MID(N355,FIND("/",N355,FIND("/",N355)+1)+1,4)),VALUE(MID(N355,FIND("/",N355)+1,FIND("/",N355,FIND("/",N355)+1)-FIND("/",N355)-1)),VALUE(LEFT(N355,FIND("/",N355)-1))),0)</f>
        <v>0</v>
      </c>
    </row>
    <row r="356" customFormat="false" ht="15" hidden="false" customHeight="false" outlineLevel="0" collapsed="false">
      <c r="N356" s="0" t="str">
        <f aca="false">IF(H356="","",IFERROR(LEFT(H356,FIND(" ",H356)-1),H356))</f>
        <v/>
      </c>
      <c r="O356" s="20" t="n">
        <f aca="false">IFERROR(DATE(VALUE(MID(N356,FIND("/",N356,FIND("/",N356)+1)+1,4)),VALUE(MID(N356,FIND("/",N356)+1,FIND("/",N356,FIND("/",N356)+1)-FIND("/",N356)-1)),VALUE(LEFT(N356,FIND("/",N356)-1))),0)</f>
        <v>0</v>
      </c>
    </row>
    <row r="357" customFormat="false" ht="15" hidden="false" customHeight="false" outlineLevel="0" collapsed="false">
      <c r="N357" s="0" t="str">
        <f aca="false">IF(H357="","",IFERROR(LEFT(H357,FIND(" ",H357)-1),H357))</f>
        <v/>
      </c>
      <c r="O357" s="20" t="n">
        <f aca="false">IFERROR(DATE(VALUE(MID(N357,FIND("/",N357,FIND("/",N357)+1)+1,4)),VALUE(MID(N357,FIND("/",N357)+1,FIND("/",N357,FIND("/",N357)+1)-FIND("/",N357)-1)),VALUE(LEFT(N357,FIND("/",N357)-1))),0)</f>
        <v>0</v>
      </c>
    </row>
    <row r="358" customFormat="false" ht="15" hidden="false" customHeight="false" outlineLevel="0" collapsed="false">
      <c r="N358" s="0" t="str">
        <f aca="false">IF(H358="","",IFERROR(LEFT(H358,FIND(" ",H358)-1),H358))</f>
        <v/>
      </c>
      <c r="O358" s="20" t="n">
        <f aca="false">IFERROR(DATE(VALUE(MID(N358,FIND("/",N358,FIND("/",N358)+1)+1,4)),VALUE(MID(N358,FIND("/",N358)+1,FIND("/",N358,FIND("/",N358)+1)-FIND("/",N358)-1)),VALUE(LEFT(N358,FIND("/",N358)-1))),0)</f>
        <v>0</v>
      </c>
    </row>
    <row r="359" customFormat="false" ht="15" hidden="false" customHeight="false" outlineLevel="0" collapsed="false">
      <c r="N359" s="0" t="str">
        <f aca="false">IF(H359="","",IFERROR(LEFT(H359,FIND(" ",H359)-1),H359))</f>
        <v/>
      </c>
      <c r="O359" s="20" t="n">
        <f aca="false">IFERROR(DATE(VALUE(MID(N359,FIND("/",N359,FIND("/",N359)+1)+1,4)),VALUE(MID(N359,FIND("/",N359)+1,FIND("/",N359,FIND("/",N359)+1)-FIND("/",N359)-1)),VALUE(LEFT(N359,FIND("/",N359)-1))),0)</f>
        <v>0</v>
      </c>
    </row>
    <row r="360" customFormat="false" ht="15" hidden="false" customHeight="false" outlineLevel="0" collapsed="false">
      <c r="N360" s="0" t="str">
        <f aca="false">IF(H360="","",IFERROR(LEFT(H360,FIND(" ",H360)-1),H360))</f>
        <v/>
      </c>
      <c r="O360" s="20" t="n">
        <f aca="false">IFERROR(DATE(VALUE(MID(N360,FIND("/",N360,FIND("/",N360)+1)+1,4)),VALUE(MID(N360,FIND("/",N360)+1,FIND("/",N360,FIND("/",N360)+1)-FIND("/",N360)-1)),VALUE(LEFT(N360,FIND("/",N360)-1))),0)</f>
        <v>0</v>
      </c>
    </row>
    <row r="361" customFormat="false" ht="15" hidden="false" customHeight="false" outlineLevel="0" collapsed="false">
      <c r="N361" s="0" t="str">
        <f aca="false">IF(H361="","",IFERROR(LEFT(H361,FIND(" ",H361)-1),H361))</f>
        <v/>
      </c>
      <c r="O361" s="20" t="n">
        <f aca="false">IFERROR(DATE(VALUE(MID(N361,FIND("/",N361,FIND("/",N361)+1)+1,4)),VALUE(MID(N361,FIND("/",N361)+1,FIND("/",N361,FIND("/",N361)+1)-FIND("/",N361)-1)),VALUE(LEFT(N361,FIND("/",N361)-1))),0)</f>
        <v>0</v>
      </c>
    </row>
    <row r="362" customFormat="false" ht="15" hidden="false" customHeight="false" outlineLevel="0" collapsed="false">
      <c r="N362" s="0" t="str">
        <f aca="false">IF(H362="","",IFERROR(LEFT(H362,FIND(" ",H362)-1),H362))</f>
        <v/>
      </c>
      <c r="O362" s="20" t="n">
        <f aca="false">IFERROR(DATE(VALUE(MID(N362,FIND("/",N362,FIND("/",N362)+1)+1,4)),VALUE(MID(N362,FIND("/",N362)+1,FIND("/",N362,FIND("/",N362)+1)-FIND("/",N362)-1)),VALUE(LEFT(N362,FIND("/",N362)-1))),0)</f>
        <v>0</v>
      </c>
    </row>
    <row r="363" customFormat="false" ht="15" hidden="false" customHeight="false" outlineLevel="0" collapsed="false">
      <c r="N363" s="0" t="str">
        <f aca="false">IF(H363="","",IFERROR(LEFT(H363,FIND(" ",H363)-1),H363))</f>
        <v/>
      </c>
      <c r="O363" s="20" t="n">
        <f aca="false">IFERROR(DATE(VALUE(MID(N363,FIND("/",N363,FIND("/",N363)+1)+1,4)),VALUE(MID(N363,FIND("/",N363)+1,FIND("/",N363,FIND("/",N363)+1)-FIND("/",N363)-1)),VALUE(LEFT(N363,FIND("/",N363)-1))),0)</f>
        <v>0</v>
      </c>
    </row>
    <row r="364" customFormat="false" ht="15" hidden="false" customHeight="false" outlineLevel="0" collapsed="false">
      <c r="N364" s="0" t="str">
        <f aca="false">IF(H364="","",IFERROR(LEFT(H364,FIND(" ",H364)-1),H364))</f>
        <v/>
      </c>
      <c r="O364" s="20" t="n">
        <f aca="false">IFERROR(DATE(VALUE(MID(N364,FIND("/",N364,FIND("/",N364)+1)+1,4)),VALUE(MID(N364,FIND("/",N364)+1,FIND("/",N364,FIND("/",N364)+1)-FIND("/",N364)-1)),VALUE(LEFT(N364,FIND("/",N364)-1))),0)</f>
        <v>0</v>
      </c>
    </row>
    <row r="365" customFormat="false" ht="15" hidden="false" customHeight="false" outlineLevel="0" collapsed="false">
      <c r="N365" s="0" t="str">
        <f aca="false">IF(H365="","",IFERROR(LEFT(H365,FIND(" ",H365)-1),H365))</f>
        <v/>
      </c>
      <c r="O365" s="20" t="n">
        <f aca="false">IFERROR(DATE(VALUE(MID(N365,FIND("/",N365,FIND("/",N365)+1)+1,4)),VALUE(MID(N365,FIND("/",N365)+1,FIND("/",N365,FIND("/",N365)+1)-FIND("/",N365)-1)),VALUE(LEFT(N365,FIND("/",N365)-1))),0)</f>
        <v>0</v>
      </c>
    </row>
    <row r="366" customFormat="false" ht="15" hidden="false" customHeight="false" outlineLevel="0" collapsed="false">
      <c r="N366" s="0" t="str">
        <f aca="false">IF(H366="","",IFERROR(LEFT(H366,FIND(" ",H366)-1),H366))</f>
        <v/>
      </c>
      <c r="O366" s="20" t="n">
        <f aca="false">IFERROR(DATE(VALUE(MID(N366,FIND("/",N366,FIND("/",N366)+1)+1,4)),VALUE(MID(N366,FIND("/",N366)+1,FIND("/",N366,FIND("/",N366)+1)-FIND("/",N366)-1)),VALUE(LEFT(N366,FIND("/",N366)-1))),0)</f>
        <v>0</v>
      </c>
    </row>
    <row r="367" customFormat="false" ht="15" hidden="false" customHeight="false" outlineLevel="0" collapsed="false">
      <c r="N367" s="0" t="str">
        <f aca="false">IF(H367="","",IFERROR(LEFT(H367,FIND(" ",H367)-1),H367))</f>
        <v/>
      </c>
      <c r="O367" s="20" t="n">
        <f aca="false">IFERROR(DATE(VALUE(MID(N367,FIND("/",N367,FIND("/",N367)+1)+1,4)),VALUE(MID(N367,FIND("/",N367)+1,FIND("/",N367,FIND("/",N367)+1)-FIND("/",N367)-1)),VALUE(LEFT(N367,FIND("/",N367)-1))),0)</f>
        <v>0</v>
      </c>
    </row>
    <row r="368" customFormat="false" ht="15" hidden="false" customHeight="false" outlineLevel="0" collapsed="false">
      <c r="N368" s="0" t="str">
        <f aca="false">IF(H368="","",IFERROR(LEFT(H368,FIND(" ",H368)-1),H368))</f>
        <v/>
      </c>
      <c r="O368" s="20" t="n">
        <f aca="false">IFERROR(DATE(VALUE(MID(N368,FIND("/",N368,FIND("/",N368)+1)+1,4)),VALUE(MID(N368,FIND("/",N368)+1,FIND("/",N368,FIND("/",N368)+1)-FIND("/",N368)-1)),VALUE(LEFT(N368,FIND("/",N368)-1))),0)</f>
        <v>0</v>
      </c>
    </row>
    <row r="369" customFormat="false" ht="15" hidden="false" customHeight="false" outlineLevel="0" collapsed="false">
      <c r="N369" s="0" t="str">
        <f aca="false">IF(H369="","",IFERROR(LEFT(H369,FIND(" ",H369)-1),H369))</f>
        <v/>
      </c>
      <c r="O369" s="20" t="n">
        <f aca="false">IFERROR(DATE(VALUE(MID(N369,FIND("/",N369,FIND("/",N369)+1)+1,4)),VALUE(MID(N369,FIND("/",N369)+1,FIND("/",N369,FIND("/",N369)+1)-FIND("/",N369)-1)),VALUE(LEFT(N369,FIND("/",N369)-1))),0)</f>
        <v>0</v>
      </c>
    </row>
    <row r="370" customFormat="false" ht="15" hidden="false" customHeight="false" outlineLevel="0" collapsed="false">
      <c r="N370" s="0" t="str">
        <f aca="false">IF(H370="","",IFERROR(LEFT(H370,FIND(" ",H370)-1),H370))</f>
        <v/>
      </c>
      <c r="O370" s="20" t="n">
        <f aca="false">IFERROR(DATE(VALUE(MID(N370,FIND("/",N370,FIND("/",N370)+1)+1,4)),VALUE(MID(N370,FIND("/",N370)+1,FIND("/",N370,FIND("/",N370)+1)-FIND("/",N370)-1)),VALUE(LEFT(N370,FIND("/",N370)-1))),0)</f>
        <v>0</v>
      </c>
    </row>
    <row r="371" customFormat="false" ht="15" hidden="false" customHeight="false" outlineLevel="0" collapsed="false">
      <c r="N371" s="0" t="str">
        <f aca="false">IF(H371="","",IFERROR(LEFT(H371,FIND(" ",H371)-1),H371))</f>
        <v/>
      </c>
      <c r="O371" s="20" t="n">
        <f aca="false">IFERROR(DATE(VALUE(MID(N371,FIND("/",N371,FIND("/",N371)+1)+1,4)),VALUE(MID(N371,FIND("/",N371)+1,FIND("/",N371,FIND("/",N371)+1)-FIND("/",N371)-1)),VALUE(LEFT(N371,FIND("/",N371)-1))),0)</f>
        <v>0</v>
      </c>
    </row>
    <row r="372" customFormat="false" ht="15" hidden="false" customHeight="false" outlineLevel="0" collapsed="false">
      <c r="N372" s="0" t="str">
        <f aca="false">IF(H372="","",IFERROR(LEFT(H372,FIND(" ",H372)-1),H372))</f>
        <v/>
      </c>
      <c r="O372" s="20" t="n">
        <f aca="false">IFERROR(DATE(VALUE(MID(N372,FIND("/",N372,FIND("/",N372)+1)+1,4)),VALUE(MID(N372,FIND("/",N372)+1,FIND("/",N372,FIND("/",N372)+1)-FIND("/",N372)-1)),VALUE(LEFT(N372,FIND("/",N372)-1))),0)</f>
        <v>0</v>
      </c>
    </row>
    <row r="373" customFormat="false" ht="15" hidden="false" customHeight="false" outlineLevel="0" collapsed="false">
      <c r="N373" s="0" t="str">
        <f aca="false">IF(H373="","",IFERROR(LEFT(H373,FIND(" ",H373)-1),H373))</f>
        <v/>
      </c>
      <c r="O373" s="20" t="n">
        <f aca="false">IFERROR(DATE(VALUE(MID(N373,FIND("/",N373,FIND("/",N373)+1)+1,4)),VALUE(MID(N373,FIND("/",N373)+1,FIND("/",N373,FIND("/",N373)+1)-FIND("/",N373)-1)),VALUE(LEFT(N373,FIND("/",N373)-1))),0)</f>
        <v>0</v>
      </c>
    </row>
    <row r="374" customFormat="false" ht="15" hidden="false" customHeight="false" outlineLevel="0" collapsed="false">
      <c r="N374" s="0" t="str">
        <f aca="false">IF(H374="","",IFERROR(LEFT(H374,FIND(" ",H374)-1),H374))</f>
        <v/>
      </c>
      <c r="O374" s="20" t="n">
        <f aca="false">IFERROR(DATE(VALUE(MID(N374,FIND("/",N374,FIND("/",N374)+1)+1,4)),VALUE(MID(N374,FIND("/",N374)+1,FIND("/",N374,FIND("/",N374)+1)-FIND("/",N374)-1)),VALUE(LEFT(N374,FIND("/",N374)-1))),0)</f>
        <v>0</v>
      </c>
    </row>
    <row r="375" customFormat="false" ht="15" hidden="false" customHeight="false" outlineLevel="0" collapsed="false">
      <c r="N375" s="0" t="str">
        <f aca="false">IF(H375="","",IFERROR(LEFT(H375,FIND(" ",H375)-1),H375))</f>
        <v/>
      </c>
      <c r="O375" s="20" t="n">
        <f aca="false">IFERROR(DATE(VALUE(MID(N375,FIND("/",N375,FIND("/",N375)+1)+1,4)),VALUE(MID(N375,FIND("/",N375)+1,FIND("/",N375,FIND("/",N375)+1)-FIND("/",N375)-1)),VALUE(LEFT(N375,FIND("/",N375)-1))),0)</f>
        <v>0</v>
      </c>
    </row>
    <row r="376" customFormat="false" ht="15" hidden="false" customHeight="false" outlineLevel="0" collapsed="false">
      <c r="N376" s="0" t="str">
        <f aca="false">IF(H376="","",IFERROR(LEFT(H376,FIND(" ",H376)-1),H376))</f>
        <v/>
      </c>
      <c r="O376" s="20" t="n">
        <f aca="false">IFERROR(DATE(VALUE(MID(N376,FIND("/",N376,FIND("/",N376)+1)+1,4)),VALUE(MID(N376,FIND("/",N376)+1,FIND("/",N376,FIND("/",N376)+1)-FIND("/",N376)-1)),VALUE(LEFT(N376,FIND("/",N376)-1))),0)</f>
        <v>0</v>
      </c>
    </row>
    <row r="377" customFormat="false" ht="15" hidden="false" customHeight="false" outlineLevel="0" collapsed="false">
      <c r="N377" s="0" t="str">
        <f aca="false">IF(H377="","",IFERROR(LEFT(H377,FIND(" ",H377)-1),H377))</f>
        <v/>
      </c>
      <c r="O377" s="20" t="n">
        <f aca="false">IFERROR(DATE(VALUE(MID(N377,FIND("/",N377,FIND("/",N377)+1)+1,4)),VALUE(MID(N377,FIND("/",N377)+1,FIND("/",N377,FIND("/",N377)+1)-FIND("/",N377)-1)),VALUE(LEFT(N377,FIND("/",N377)-1))),0)</f>
        <v>0</v>
      </c>
    </row>
    <row r="378" customFormat="false" ht="15" hidden="false" customHeight="false" outlineLevel="0" collapsed="false">
      <c r="N378" s="0" t="str">
        <f aca="false">IF(H378="","",IFERROR(LEFT(H378,FIND(" ",H378)-1),H378))</f>
        <v/>
      </c>
      <c r="O378" s="20" t="n">
        <f aca="false">IFERROR(DATE(VALUE(MID(N378,FIND("/",N378,FIND("/",N378)+1)+1,4)),VALUE(MID(N378,FIND("/",N378)+1,FIND("/",N378,FIND("/",N378)+1)-FIND("/",N378)-1)),VALUE(LEFT(N378,FIND("/",N378)-1))),0)</f>
        <v>0</v>
      </c>
    </row>
    <row r="379" customFormat="false" ht="15" hidden="false" customHeight="false" outlineLevel="0" collapsed="false">
      <c r="N379" s="0" t="str">
        <f aca="false">IF(H379="","",IFERROR(LEFT(H379,FIND(" ",H379)-1),H379))</f>
        <v/>
      </c>
      <c r="O379" s="20" t="n">
        <f aca="false">IFERROR(DATE(VALUE(MID(N379,FIND("/",N379,FIND("/",N379)+1)+1,4)),VALUE(MID(N379,FIND("/",N379)+1,FIND("/",N379,FIND("/",N379)+1)-FIND("/",N379)-1)),VALUE(LEFT(N379,FIND("/",N379)-1))),0)</f>
        <v>0</v>
      </c>
    </row>
    <row r="380" customFormat="false" ht="15" hidden="false" customHeight="false" outlineLevel="0" collapsed="false">
      <c r="N380" s="0" t="str">
        <f aca="false">IF(H380="","",IFERROR(LEFT(H380,FIND(" ",H380)-1),H380))</f>
        <v/>
      </c>
      <c r="O380" s="20" t="n">
        <f aca="false">IFERROR(DATE(VALUE(MID(N380,FIND("/",N380,FIND("/",N380)+1)+1,4)),VALUE(MID(N380,FIND("/",N380)+1,FIND("/",N380,FIND("/",N380)+1)-FIND("/",N380)-1)),VALUE(LEFT(N380,FIND("/",N380)-1))),0)</f>
        <v>0</v>
      </c>
    </row>
    <row r="381" customFormat="false" ht="15" hidden="false" customHeight="false" outlineLevel="0" collapsed="false">
      <c r="N381" s="0" t="str">
        <f aca="false">IF(H381="","",IFERROR(LEFT(H381,FIND(" ",H381)-1),H381))</f>
        <v/>
      </c>
      <c r="O381" s="20" t="n">
        <f aca="false">IFERROR(DATE(VALUE(MID(N381,FIND("/",N381,FIND("/",N381)+1)+1,4)),VALUE(MID(N381,FIND("/",N381)+1,FIND("/",N381,FIND("/",N381)+1)-FIND("/",N381)-1)),VALUE(LEFT(N381,FIND("/",N381)-1))),0)</f>
        <v>0</v>
      </c>
    </row>
    <row r="382" customFormat="false" ht="15" hidden="false" customHeight="false" outlineLevel="0" collapsed="false">
      <c r="N382" s="0" t="str">
        <f aca="false">IF(H382="","",IFERROR(LEFT(H382,FIND(" ",H382)-1),H382))</f>
        <v/>
      </c>
      <c r="O382" s="20" t="n">
        <f aca="false">IFERROR(DATE(VALUE(MID(N382,FIND("/",N382,FIND("/",N382)+1)+1,4)),VALUE(MID(N382,FIND("/",N382)+1,FIND("/",N382,FIND("/",N382)+1)-FIND("/",N382)-1)),VALUE(LEFT(N382,FIND("/",N382)-1))),0)</f>
        <v>0</v>
      </c>
    </row>
    <row r="383" customFormat="false" ht="15" hidden="false" customHeight="false" outlineLevel="0" collapsed="false">
      <c r="N383" s="0" t="str">
        <f aca="false">IF(H383="","",IFERROR(LEFT(H383,FIND(" ",H383)-1),H383))</f>
        <v/>
      </c>
      <c r="O383" s="20" t="n">
        <f aca="false">IFERROR(DATE(VALUE(MID(N383,FIND("/",N383,FIND("/",N383)+1)+1,4)),VALUE(MID(N383,FIND("/",N383)+1,FIND("/",N383,FIND("/",N383)+1)-FIND("/",N383)-1)),VALUE(LEFT(N383,FIND("/",N383)-1))),0)</f>
        <v>0</v>
      </c>
    </row>
    <row r="384" customFormat="false" ht="15" hidden="false" customHeight="false" outlineLevel="0" collapsed="false">
      <c r="N384" s="0" t="str">
        <f aca="false">IF(H384="","",IFERROR(LEFT(H384,FIND(" ",H384)-1),H384))</f>
        <v/>
      </c>
      <c r="O384" s="20" t="n">
        <f aca="false">IFERROR(DATE(VALUE(MID(N384,FIND("/",N384,FIND("/",N384)+1)+1,4)),VALUE(MID(N384,FIND("/",N384)+1,FIND("/",N384,FIND("/",N384)+1)-FIND("/",N384)-1)),VALUE(LEFT(N384,FIND("/",N384)-1))),0)</f>
        <v>0</v>
      </c>
    </row>
    <row r="385" customFormat="false" ht="15" hidden="false" customHeight="false" outlineLevel="0" collapsed="false">
      <c r="N385" s="0" t="str">
        <f aca="false">IF(H385="","",IFERROR(LEFT(H385,FIND(" ",H385)-1),H385))</f>
        <v/>
      </c>
      <c r="O385" s="20" t="n">
        <f aca="false">IFERROR(DATE(VALUE(MID(N385,FIND("/",N385,FIND("/",N385)+1)+1,4)),VALUE(MID(N385,FIND("/",N385)+1,FIND("/",N385,FIND("/",N385)+1)-FIND("/",N385)-1)),VALUE(LEFT(N385,FIND("/",N385)-1))),0)</f>
        <v>0</v>
      </c>
    </row>
    <row r="386" customFormat="false" ht="15" hidden="false" customHeight="false" outlineLevel="0" collapsed="false">
      <c r="N386" s="0" t="str">
        <f aca="false">IF(H386="","",IFERROR(LEFT(H386,FIND(" ",H386)-1),H386))</f>
        <v/>
      </c>
      <c r="O386" s="20" t="n">
        <f aca="false">IFERROR(DATE(VALUE(MID(N386,FIND("/",N386,FIND("/",N386)+1)+1,4)),VALUE(MID(N386,FIND("/",N386)+1,FIND("/",N386,FIND("/",N386)+1)-FIND("/",N386)-1)),VALUE(LEFT(N386,FIND("/",N386)-1))),0)</f>
        <v>0</v>
      </c>
    </row>
    <row r="387" customFormat="false" ht="15" hidden="false" customHeight="false" outlineLevel="0" collapsed="false">
      <c r="N387" s="0" t="str">
        <f aca="false">IF(H387="","",IFERROR(LEFT(H387,FIND(" ",H387)-1),H387))</f>
        <v/>
      </c>
      <c r="O387" s="20" t="n">
        <f aca="false">IFERROR(DATE(VALUE(MID(N387,FIND("/",N387,FIND("/",N387)+1)+1,4)),VALUE(MID(N387,FIND("/",N387)+1,FIND("/",N387,FIND("/",N387)+1)-FIND("/",N387)-1)),VALUE(LEFT(N387,FIND("/",N387)-1))),0)</f>
        <v>0</v>
      </c>
    </row>
    <row r="388" customFormat="false" ht="15" hidden="false" customHeight="false" outlineLevel="0" collapsed="false">
      <c r="N388" s="0" t="str">
        <f aca="false">IF(H388="","",IFERROR(LEFT(H388,FIND(" ",H388)-1),H388))</f>
        <v/>
      </c>
      <c r="O388" s="20" t="n">
        <f aca="false">IFERROR(DATE(VALUE(MID(N388,FIND("/",N388,FIND("/",N388)+1)+1,4)),VALUE(MID(N388,FIND("/",N388)+1,FIND("/",N388,FIND("/",N388)+1)-FIND("/",N388)-1)),VALUE(LEFT(N388,FIND("/",N388)-1))),0)</f>
        <v>0</v>
      </c>
    </row>
    <row r="389" customFormat="false" ht="15" hidden="false" customHeight="false" outlineLevel="0" collapsed="false">
      <c r="N389" s="0" t="str">
        <f aca="false">IF(H389="","",IFERROR(LEFT(H389,FIND(" ",H389)-1),H389))</f>
        <v/>
      </c>
      <c r="O389" s="20" t="n">
        <f aca="false">IFERROR(DATE(VALUE(MID(N389,FIND("/",N389,FIND("/",N389)+1)+1,4)),VALUE(MID(N389,FIND("/",N389)+1,FIND("/",N389,FIND("/",N389)+1)-FIND("/",N389)-1)),VALUE(LEFT(N389,FIND("/",N389)-1))),0)</f>
        <v>0</v>
      </c>
    </row>
    <row r="390" customFormat="false" ht="15" hidden="false" customHeight="false" outlineLevel="0" collapsed="false">
      <c r="N390" s="0" t="str">
        <f aca="false">IF(H390="","",IFERROR(LEFT(H390,FIND(" ",H390)-1),H390))</f>
        <v/>
      </c>
      <c r="O390" s="20" t="n">
        <f aca="false">IFERROR(DATE(VALUE(MID(N390,FIND("/",N390,FIND("/",N390)+1)+1,4)),VALUE(MID(N390,FIND("/",N390)+1,FIND("/",N390,FIND("/",N390)+1)-FIND("/",N390)-1)),VALUE(LEFT(N390,FIND("/",N390)-1))),0)</f>
        <v>0</v>
      </c>
    </row>
    <row r="391" customFormat="false" ht="15" hidden="false" customHeight="false" outlineLevel="0" collapsed="false">
      <c r="N391" s="0" t="str">
        <f aca="false">IF(H391="","",IFERROR(LEFT(H391,FIND(" ",H391)-1),H391))</f>
        <v/>
      </c>
      <c r="O391" s="20" t="n">
        <f aca="false">IFERROR(DATE(VALUE(MID(N391,FIND("/",N391,FIND("/",N391)+1)+1,4)),VALUE(MID(N391,FIND("/",N391)+1,FIND("/",N391,FIND("/",N391)+1)-FIND("/",N391)-1)),VALUE(LEFT(N391,FIND("/",N391)-1))),0)</f>
        <v>0</v>
      </c>
    </row>
    <row r="392" customFormat="false" ht="15" hidden="false" customHeight="false" outlineLevel="0" collapsed="false">
      <c r="N392" s="0" t="str">
        <f aca="false">IF(H392="","",IFERROR(LEFT(H392,FIND(" ",H392)-1),H392))</f>
        <v/>
      </c>
      <c r="O392" s="20" t="n">
        <f aca="false">IFERROR(DATE(VALUE(MID(N392,FIND("/",N392,FIND("/",N392)+1)+1,4)),VALUE(MID(N392,FIND("/",N392)+1,FIND("/",N392,FIND("/",N392)+1)-FIND("/",N392)-1)),VALUE(LEFT(N392,FIND("/",N392)-1))),0)</f>
        <v>0</v>
      </c>
    </row>
    <row r="393" customFormat="false" ht="15" hidden="false" customHeight="false" outlineLevel="0" collapsed="false">
      <c r="N393" s="0" t="str">
        <f aca="false">IF(H393="","",IFERROR(LEFT(H393,FIND(" ",H393)-1),H393))</f>
        <v/>
      </c>
      <c r="O393" s="20" t="n">
        <f aca="false">IFERROR(DATE(VALUE(MID(N393,FIND("/",N393,FIND("/",N393)+1)+1,4)),VALUE(MID(N393,FIND("/",N393)+1,FIND("/",N393,FIND("/",N393)+1)-FIND("/",N393)-1)),VALUE(LEFT(N393,FIND("/",N393)-1))),0)</f>
        <v>0</v>
      </c>
    </row>
    <row r="394" customFormat="false" ht="15" hidden="false" customHeight="false" outlineLevel="0" collapsed="false">
      <c r="N394" s="0" t="str">
        <f aca="false">IF(H394="","",IFERROR(LEFT(H394,FIND(" ",H394)-1),H394))</f>
        <v/>
      </c>
      <c r="O394" s="20" t="n">
        <f aca="false">IFERROR(DATE(VALUE(MID(N394,FIND("/",N394,FIND("/",N394)+1)+1,4)),VALUE(MID(N394,FIND("/",N394)+1,FIND("/",N394,FIND("/",N394)+1)-FIND("/",N394)-1)),VALUE(LEFT(N394,FIND("/",N394)-1))),0)</f>
        <v>0</v>
      </c>
    </row>
    <row r="395" customFormat="false" ht="15" hidden="false" customHeight="false" outlineLevel="0" collapsed="false">
      <c r="N395" s="0" t="str">
        <f aca="false">IF(H395="","",IFERROR(LEFT(H395,FIND(" ",H395)-1),H395))</f>
        <v/>
      </c>
      <c r="O395" s="20" t="n">
        <f aca="false">IFERROR(DATE(VALUE(MID(N395,FIND("/",N395,FIND("/",N395)+1)+1,4)),VALUE(MID(N395,FIND("/",N395)+1,FIND("/",N395,FIND("/",N395)+1)-FIND("/",N395)-1)),VALUE(LEFT(N395,FIND("/",N395)-1))),0)</f>
        <v>0</v>
      </c>
    </row>
    <row r="396" customFormat="false" ht="15" hidden="false" customHeight="false" outlineLevel="0" collapsed="false">
      <c r="N396" s="0" t="str">
        <f aca="false">IF(H396="","",IFERROR(LEFT(H396,FIND(" ",H396)-1),H396))</f>
        <v/>
      </c>
      <c r="O396" s="20" t="n">
        <f aca="false">IFERROR(DATE(VALUE(MID(N396,FIND("/",N396,FIND("/",N396)+1)+1,4)),VALUE(MID(N396,FIND("/",N396)+1,FIND("/",N396,FIND("/",N396)+1)-FIND("/",N396)-1)),VALUE(LEFT(N396,FIND("/",N396)-1))),0)</f>
        <v>0</v>
      </c>
    </row>
    <row r="397" customFormat="false" ht="15" hidden="false" customHeight="false" outlineLevel="0" collapsed="false">
      <c r="N397" s="0" t="str">
        <f aca="false">IF(H397="","",IFERROR(LEFT(H397,FIND(" ",H397)-1),H397))</f>
        <v/>
      </c>
      <c r="O397" s="20" t="n">
        <f aca="false">IFERROR(DATE(VALUE(MID(N397,FIND("/",N397,FIND("/",N397)+1)+1,4)),VALUE(MID(N397,FIND("/",N397)+1,FIND("/",N397,FIND("/",N397)+1)-FIND("/",N397)-1)),VALUE(LEFT(N397,FIND("/",N397)-1))),0)</f>
        <v>0</v>
      </c>
    </row>
    <row r="398" customFormat="false" ht="15" hidden="false" customHeight="false" outlineLevel="0" collapsed="false">
      <c r="N398" s="0" t="str">
        <f aca="false">IF(H398="","",IFERROR(LEFT(H398,FIND(" ",H398)-1),H398))</f>
        <v/>
      </c>
      <c r="O398" s="20" t="n">
        <f aca="false">IFERROR(DATE(VALUE(MID(N398,FIND("/",N398,FIND("/",N398)+1)+1,4)),VALUE(MID(N398,FIND("/",N398)+1,FIND("/",N398,FIND("/",N398)+1)-FIND("/",N398)-1)),VALUE(LEFT(N398,FIND("/",N398)-1))),0)</f>
        <v>0</v>
      </c>
    </row>
    <row r="399" customFormat="false" ht="15" hidden="false" customHeight="false" outlineLevel="0" collapsed="false">
      <c r="N399" s="0" t="str">
        <f aca="false">IF(H399="","",IFERROR(LEFT(H399,FIND(" ",H399)-1),H399))</f>
        <v/>
      </c>
      <c r="O399" s="20" t="n">
        <f aca="false">IFERROR(DATE(VALUE(MID(N399,FIND("/",N399,FIND("/",N399)+1)+1,4)),VALUE(MID(N399,FIND("/",N399)+1,FIND("/",N399,FIND("/",N399)+1)-FIND("/",N399)-1)),VALUE(LEFT(N399,FIND("/",N399)-1))),0)</f>
        <v>0</v>
      </c>
    </row>
    <row r="400" customFormat="false" ht="15" hidden="false" customHeight="false" outlineLevel="0" collapsed="false">
      <c r="N400" s="0" t="str">
        <f aca="false">IF(H400="","",IFERROR(LEFT(H400,FIND(" ",H400)-1),H400))</f>
        <v/>
      </c>
      <c r="O400" s="20" t="n">
        <f aca="false">IFERROR(DATE(VALUE(MID(N400,FIND("/",N400,FIND("/",N400)+1)+1,4)),VALUE(MID(N400,FIND("/",N400)+1,FIND("/",N400,FIND("/",N400)+1)-FIND("/",N400)-1)),VALUE(LEFT(N400,FIND("/",N400)-1))),0)</f>
        <v>0</v>
      </c>
    </row>
    <row r="401" customFormat="false" ht="15" hidden="false" customHeight="false" outlineLevel="0" collapsed="false">
      <c r="N401" s="0" t="str">
        <f aca="false">IF(H401="","",IFERROR(LEFT(H401,FIND(" ",H401)-1),H401))</f>
        <v/>
      </c>
      <c r="O401" s="20" t="n">
        <f aca="false">IFERROR(DATE(VALUE(MID(N401,FIND("/",N401,FIND("/",N401)+1)+1,4)),VALUE(MID(N401,FIND("/",N401)+1,FIND("/",N401,FIND("/",N401)+1)-FIND("/",N401)-1)),VALUE(LEFT(N401,FIND("/",N401)-1))),0)</f>
        <v>0</v>
      </c>
    </row>
    <row r="402" customFormat="false" ht="15" hidden="false" customHeight="false" outlineLevel="0" collapsed="false">
      <c r="N402" s="0" t="str">
        <f aca="false">IF(H402="","",IFERROR(LEFT(H402,FIND(" ",H402)-1),H402))</f>
        <v/>
      </c>
      <c r="O402" s="20" t="n">
        <f aca="false">IFERROR(DATE(VALUE(MID(N402,FIND("/",N402,FIND("/",N402)+1)+1,4)),VALUE(MID(N402,FIND("/",N402)+1,FIND("/",N402,FIND("/",N402)+1)-FIND("/",N402)-1)),VALUE(LEFT(N402,FIND("/",N402)-1))),0)</f>
        <v>0</v>
      </c>
    </row>
    <row r="403" customFormat="false" ht="15" hidden="false" customHeight="false" outlineLevel="0" collapsed="false">
      <c r="N403" s="0" t="str">
        <f aca="false">IF(H403="","",IFERROR(LEFT(H403,FIND(" ",H403)-1),H403))</f>
        <v/>
      </c>
      <c r="O403" s="20" t="n">
        <f aca="false">IFERROR(DATE(VALUE(MID(N403,FIND("/",N403,FIND("/",N403)+1)+1,4)),VALUE(MID(N403,FIND("/",N403)+1,FIND("/",N403,FIND("/",N403)+1)-FIND("/",N403)-1)),VALUE(LEFT(N403,FIND("/",N403)-1))),0)</f>
        <v>0</v>
      </c>
    </row>
    <row r="404" customFormat="false" ht="15" hidden="false" customHeight="false" outlineLevel="0" collapsed="false">
      <c r="N404" s="0" t="str">
        <f aca="false">IF(H404="","",IFERROR(LEFT(H404,FIND(" ",H404)-1),H404))</f>
        <v/>
      </c>
      <c r="O404" s="20" t="n">
        <f aca="false">IFERROR(DATE(VALUE(MID(N404,FIND("/",N404,FIND("/",N404)+1)+1,4)),VALUE(MID(N404,FIND("/",N404)+1,FIND("/",N404,FIND("/",N404)+1)-FIND("/",N404)-1)),VALUE(LEFT(N404,FIND("/",N404)-1))),0)</f>
        <v>0</v>
      </c>
    </row>
    <row r="405" customFormat="false" ht="15" hidden="false" customHeight="false" outlineLevel="0" collapsed="false">
      <c r="N405" s="0" t="str">
        <f aca="false">IF(H405="","",IFERROR(LEFT(H405,FIND(" ",H405)-1),H405))</f>
        <v/>
      </c>
      <c r="O405" s="20" t="n">
        <f aca="false">IFERROR(DATE(VALUE(MID(N405,FIND("/",N405,FIND("/",N405)+1)+1,4)),VALUE(MID(N405,FIND("/",N405)+1,FIND("/",N405,FIND("/",N405)+1)-FIND("/",N405)-1)),VALUE(LEFT(N405,FIND("/",N405)-1))),0)</f>
        <v>0</v>
      </c>
    </row>
    <row r="406" customFormat="false" ht="15" hidden="false" customHeight="false" outlineLevel="0" collapsed="false">
      <c r="N406" s="0" t="str">
        <f aca="false">IF(H406="","",IFERROR(LEFT(H406,FIND(" ",H406)-1),H406))</f>
        <v/>
      </c>
      <c r="O406" s="20" t="n">
        <f aca="false">IFERROR(DATE(VALUE(MID(N406,FIND("/",N406,FIND("/",N406)+1)+1,4)),VALUE(MID(N406,FIND("/",N406)+1,FIND("/",N406,FIND("/",N406)+1)-FIND("/",N406)-1)),VALUE(LEFT(N406,FIND("/",N406)-1))),0)</f>
        <v>0</v>
      </c>
    </row>
    <row r="407" customFormat="false" ht="15" hidden="false" customHeight="false" outlineLevel="0" collapsed="false">
      <c r="N407" s="0" t="str">
        <f aca="false">IF(H407="","",IFERROR(LEFT(H407,FIND(" ",H407)-1),H407))</f>
        <v/>
      </c>
      <c r="O407" s="20" t="n">
        <f aca="false">IFERROR(DATE(VALUE(MID(N407,FIND("/",N407,FIND("/",N407)+1)+1,4)),VALUE(MID(N407,FIND("/",N407)+1,FIND("/",N407,FIND("/",N407)+1)-FIND("/",N407)-1)),VALUE(LEFT(N407,FIND("/",N407)-1))),0)</f>
        <v>0</v>
      </c>
    </row>
    <row r="408" customFormat="false" ht="15" hidden="false" customHeight="false" outlineLevel="0" collapsed="false">
      <c r="N408" s="0" t="str">
        <f aca="false">IF(H408="","",IFERROR(LEFT(H408,FIND(" ",H408)-1),H408))</f>
        <v/>
      </c>
      <c r="O408" s="20" t="n">
        <f aca="false">IFERROR(DATE(VALUE(MID(N408,FIND("/",N408,FIND("/",N408)+1)+1,4)),VALUE(MID(N408,FIND("/",N408)+1,FIND("/",N408,FIND("/",N408)+1)-FIND("/",N408)-1)),VALUE(LEFT(N408,FIND("/",N408)-1))),0)</f>
        <v>0</v>
      </c>
    </row>
    <row r="409" customFormat="false" ht="15" hidden="false" customHeight="false" outlineLevel="0" collapsed="false">
      <c r="N409" s="0" t="str">
        <f aca="false">IF(H409="","",IFERROR(LEFT(H409,FIND(" ",H409)-1),H409))</f>
        <v/>
      </c>
      <c r="O409" s="20" t="n">
        <f aca="false">IFERROR(DATE(VALUE(MID(N409,FIND("/",N409,FIND("/",N409)+1)+1,4)),VALUE(MID(N409,FIND("/",N409)+1,FIND("/",N409,FIND("/",N409)+1)-FIND("/",N409)-1)),VALUE(LEFT(N409,FIND("/",N409)-1))),0)</f>
        <v>0</v>
      </c>
    </row>
    <row r="410" customFormat="false" ht="15" hidden="false" customHeight="false" outlineLevel="0" collapsed="false">
      <c r="N410" s="0" t="str">
        <f aca="false">IF(H410="","",IFERROR(LEFT(H410,FIND(" ",H410)-1),H410))</f>
        <v/>
      </c>
      <c r="O410" s="20" t="n">
        <f aca="false">IFERROR(DATE(VALUE(MID(N410,FIND("/",N410,FIND("/",N410)+1)+1,4)),VALUE(MID(N410,FIND("/",N410)+1,FIND("/",N410,FIND("/",N410)+1)-FIND("/",N410)-1)),VALUE(LEFT(N410,FIND("/",N410)-1))),0)</f>
        <v>0</v>
      </c>
    </row>
    <row r="411" customFormat="false" ht="15" hidden="false" customHeight="false" outlineLevel="0" collapsed="false">
      <c r="N411" s="0" t="str">
        <f aca="false">IF(H411="","",IFERROR(LEFT(H411,FIND(" ",H411)-1),H411))</f>
        <v/>
      </c>
      <c r="O411" s="20" t="n">
        <f aca="false">IFERROR(DATE(VALUE(MID(N411,FIND("/",N411,FIND("/",N411)+1)+1,4)),VALUE(MID(N411,FIND("/",N411)+1,FIND("/",N411,FIND("/",N411)+1)-FIND("/",N411)-1)),VALUE(LEFT(N411,FIND("/",N411)-1))),0)</f>
        <v>0</v>
      </c>
    </row>
    <row r="412" customFormat="false" ht="15" hidden="false" customHeight="false" outlineLevel="0" collapsed="false">
      <c r="N412" s="0" t="str">
        <f aca="false">IF(H412="","",IFERROR(LEFT(H412,FIND(" ",H412)-1),H412))</f>
        <v/>
      </c>
      <c r="O412" s="20" t="n">
        <f aca="false">IFERROR(DATE(VALUE(MID(N412,FIND("/",N412,FIND("/",N412)+1)+1,4)),VALUE(MID(N412,FIND("/",N412)+1,FIND("/",N412,FIND("/",N412)+1)-FIND("/",N412)-1)),VALUE(LEFT(N412,FIND("/",N412)-1))),0)</f>
        <v>0</v>
      </c>
    </row>
    <row r="413" customFormat="false" ht="15" hidden="false" customHeight="false" outlineLevel="0" collapsed="false">
      <c r="N413" s="0" t="str">
        <f aca="false">IF(H413="","",IFERROR(LEFT(H413,FIND(" ",H413)-1),H413))</f>
        <v/>
      </c>
      <c r="O413" s="20" t="n">
        <f aca="false">IFERROR(DATE(VALUE(MID(N413,FIND("/",N413,FIND("/",N413)+1)+1,4)),VALUE(MID(N413,FIND("/",N413)+1,FIND("/",N413,FIND("/",N413)+1)-FIND("/",N413)-1)),VALUE(LEFT(N413,FIND("/",N413)-1))),0)</f>
        <v>0</v>
      </c>
    </row>
    <row r="414" customFormat="false" ht="15" hidden="false" customHeight="false" outlineLevel="0" collapsed="false">
      <c r="N414" s="0" t="str">
        <f aca="false">IF(H414="","",IFERROR(LEFT(H414,FIND(" ",H414)-1),H414))</f>
        <v/>
      </c>
      <c r="O414" s="20" t="n">
        <f aca="false">IFERROR(DATE(VALUE(MID(N414,FIND("/",N414,FIND("/",N414)+1)+1,4)),VALUE(MID(N414,FIND("/",N414)+1,FIND("/",N414,FIND("/",N414)+1)-FIND("/",N414)-1)),VALUE(LEFT(N414,FIND("/",N414)-1))),0)</f>
        <v>0</v>
      </c>
    </row>
    <row r="415" customFormat="false" ht="15" hidden="false" customHeight="false" outlineLevel="0" collapsed="false">
      <c r="N415" s="0" t="str">
        <f aca="false">IF(H415="","",IFERROR(LEFT(H415,FIND(" ",H415)-1),H415))</f>
        <v/>
      </c>
      <c r="O415" s="20" t="n">
        <f aca="false">IFERROR(DATE(VALUE(MID(N415,FIND("/",N415,FIND("/",N415)+1)+1,4)),VALUE(MID(N415,FIND("/",N415)+1,FIND("/",N415,FIND("/",N415)+1)-FIND("/",N415)-1)),VALUE(LEFT(N415,FIND("/",N415)-1))),0)</f>
        <v>0</v>
      </c>
    </row>
    <row r="416" customFormat="false" ht="15" hidden="false" customHeight="false" outlineLevel="0" collapsed="false">
      <c r="N416" s="0" t="str">
        <f aca="false">IF(H416="","",IFERROR(LEFT(H416,FIND(" ",H416)-1),H416))</f>
        <v/>
      </c>
      <c r="O416" s="20" t="n">
        <f aca="false">IFERROR(DATE(VALUE(MID(N416,FIND("/",N416,FIND("/",N416)+1)+1,4)),VALUE(MID(N416,FIND("/",N416)+1,FIND("/",N416,FIND("/",N416)+1)-FIND("/",N416)-1)),VALUE(LEFT(N416,FIND("/",N416)-1))),0)</f>
        <v>0</v>
      </c>
    </row>
    <row r="417" customFormat="false" ht="15" hidden="false" customHeight="false" outlineLevel="0" collapsed="false">
      <c r="N417" s="0" t="str">
        <f aca="false">IF(H417="","",IFERROR(LEFT(H417,FIND(" ",H417)-1),H417))</f>
        <v/>
      </c>
      <c r="O417" s="20" t="n">
        <f aca="false">IFERROR(DATE(VALUE(MID(N417,FIND("/",N417,FIND("/",N417)+1)+1,4)),VALUE(MID(N417,FIND("/",N417)+1,FIND("/",N417,FIND("/",N417)+1)-FIND("/",N417)-1)),VALUE(LEFT(N417,FIND("/",N417)-1))),0)</f>
        <v>0</v>
      </c>
    </row>
    <row r="418" customFormat="false" ht="15" hidden="false" customHeight="false" outlineLevel="0" collapsed="false">
      <c r="N418" s="0" t="str">
        <f aca="false">IF(H418="","",IFERROR(LEFT(H418,FIND(" ",H418)-1),H418))</f>
        <v/>
      </c>
      <c r="O418" s="20" t="n">
        <f aca="false">IFERROR(DATE(VALUE(MID(N418,FIND("/",N418,FIND("/",N418)+1)+1,4)),VALUE(MID(N418,FIND("/",N418)+1,FIND("/",N418,FIND("/",N418)+1)-FIND("/",N418)-1)),VALUE(LEFT(N418,FIND("/",N418)-1))),0)</f>
        <v>0</v>
      </c>
    </row>
    <row r="419" customFormat="false" ht="15" hidden="false" customHeight="false" outlineLevel="0" collapsed="false">
      <c r="N419" s="0" t="str">
        <f aca="false">IF(H419="","",IFERROR(LEFT(H419,FIND(" ",H419)-1),H419))</f>
        <v/>
      </c>
      <c r="O419" s="20" t="n">
        <f aca="false">IFERROR(DATE(VALUE(MID(N419,FIND("/",N419,FIND("/",N419)+1)+1,4)),VALUE(MID(N419,FIND("/",N419)+1,FIND("/",N419,FIND("/",N419)+1)-FIND("/",N419)-1)),VALUE(LEFT(N419,FIND("/",N419)-1))),0)</f>
        <v>0</v>
      </c>
    </row>
    <row r="420" customFormat="false" ht="15" hidden="false" customHeight="false" outlineLevel="0" collapsed="false">
      <c r="N420" s="0" t="str">
        <f aca="false">IF(H420="","",IFERROR(LEFT(H420,FIND(" ",H420)-1),H420))</f>
        <v/>
      </c>
      <c r="O420" s="20" t="n">
        <f aca="false">IFERROR(DATE(VALUE(MID(N420,FIND("/",N420,FIND("/",N420)+1)+1,4)),VALUE(MID(N420,FIND("/",N420)+1,FIND("/",N420,FIND("/",N420)+1)-FIND("/",N420)-1)),VALUE(LEFT(N420,FIND("/",N420)-1))),0)</f>
        <v>0</v>
      </c>
    </row>
    <row r="421" customFormat="false" ht="15" hidden="false" customHeight="false" outlineLevel="0" collapsed="false">
      <c r="N421" s="0" t="str">
        <f aca="false">IF(H421="","",IFERROR(LEFT(H421,FIND(" ",H421)-1),H421))</f>
        <v/>
      </c>
      <c r="O421" s="20" t="n">
        <f aca="false">IFERROR(DATE(VALUE(MID(N421,FIND("/",N421,FIND("/",N421)+1)+1,4)),VALUE(MID(N421,FIND("/",N421)+1,FIND("/",N421,FIND("/",N421)+1)-FIND("/",N421)-1)),VALUE(LEFT(N421,FIND("/",N421)-1))),0)</f>
        <v>0</v>
      </c>
    </row>
    <row r="422" customFormat="false" ht="15" hidden="false" customHeight="false" outlineLevel="0" collapsed="false">
      <c r="N422" s="0" t="str">
        <f aca="false">IF(H422="","",IFERROR(LEFT(H422,FIND(" ",H422)-1),H422))</f>
        <v/>
      </c>
      <c r="O422" s="20" t="n">
        <f aca="false">IFERROR(DATE(VALUE(MID(N422,FIND("/",N422,FIND("/",N422)+1)+1,4)),VALUE(MID(N422,FIND("/",N422)+1,FIND("/",N422,FIND("/",N422)+1)-FIND("/",N422)-1)),VALUE(LEFT(N422,FIND("/",N422)-1))),0)</f>
        <v>0</v>
      </c>
    </row>
    <row r="423" customFormat="false" ht="15" hidden="false" customHeight="false" outlineLevel="0" collapsed="false">
      <c r="N423" s="0" t="str">
        <f aca="false">IF(H423="","",IFERROR(LEFT(H423,FIND(" ",H423)-1),H423))</f>
        <v/>
      </c>
      <c r="O423" s="20" t="n">
        <f aca="false">IFERROR(DATE(VALUE(MID(N423,FIND("/",N423,FIND("/",N423)+1)+1,4)),VALUE(MID(N423,FIND("/",N423)+1,FIND("/",N423,FIND("/",N423)+1)-FIND("/",N423)-1)),VALUE(LEFT(N423,FIND("/",N423)-1))),0)</f>
        <v>0</v>
      </c>
    </row>
    <row r="424" customFormat="false" ht="15" hidden="false" customHeight="false" outlineLevel="0" collapsed="false">
      <c r="N424" s="0" t="str">
        <f aca="false">IF(H424="","",IFERROR(LEFT(H424,FIND(" ",H424)-1),H424))</f>
        <v/>
      </c>
      <c r="O424" s="20" t="n">
        <f aca="false">IFERROR(DATE(VALUE(MID(N424,FIND("/",N424,FIND("/",N424)+1)+1,4)),VALUE(MID(N424,FIND("/",N424)+1,FIND("/",N424,FIND("/",N424)+1)-FIND("/",N424)-1)),VALUE(LEFT(N424,FIND("/",N424)-1))),0)</f>
        <v>0</v>
      </c>
    </row>
    <row r="425" customFormat="false" ht="15" hidden="false" customHeight="false" outlineLevel="0" collapsed="false">
      <c r="N425" s="0" t="str">
        <f aca="false">IF(H425="","",IFERROR(LEFT(H425,FIND(" ",H425)-1),H425))</f>
        <v/>
      </c>
      <c r="O425" s="20" t="n">
        <f aca="false">IFERROR(DATE(VALUE(MID(N425,FIND("/",N425,FIND("/",N425)+1)+1,4)),VALUE(MID(N425,FIND("/",N425)+1,FIND("/",N425,FIND("/",N425)+1)-FIND("/",N425)-1)),VALUE(LEFT(N425,FIND("/",N425)-1))),0)</f>
        <v>0</v>
      </c>
    </row>
    <row r="426" customFormat="false" ht="15" hidden="false" customHeight="false" outlineLevel="0" collapsed="false">
      <c r="N426" s="0" t="str">
        <f aca="false">IF(H426="","",IFERROR(LEFT(H426,FIND(" ",H426)-1),H426))</f>
        <v/>
      </c>
      <c r="O426" s="20" t="n">
        <f aca="false">IFERROR(DATE(VALUE(MID(N426,FIND("/",N426,FIND("/",N426)+1)+1,4)),VALUE(MID(N426,FIND("/",N426)+1,FIND("/",N426,FIND("/",N426)+1)-FIND("/",N426)-1)),VALUE(LEFT(N426,FIND("/",N426)-1))),0)</f>
        <v>0</v>
      </c>
    </row>
    <row r="427" customFormat="false" ht="15" hidden="false" customHeight="false" outlineLevel="0" collapsed="false">
      <c r="N427" s="0" t="str">
        <f aca="false">IF(H427="","",IFERROR(LEFT(H427,FIND(" ",H427)-1),H427))</f>
        <v/>
      </c>
      <c r="O427" s="20" t="n">
        <f aca="false">IFERROR(DATE(VALUE(MID(N427,FIND("/",N427,FIND("/",N427)+1)+1,4)),VALUE(MID(N427,FIND("/",N427)+1,FIND("/",N427,FIND("/",N427)+1)-FIND("/",N427)-1)),VALUE(LEFT(N427,FIND("/",N427)-1))),0)</f>
        <v>0</v>
      </c>
    </row>
    <row r="428" customFormat="false" ht="15" hidden="false" customHeight="false" outlineLevel="0" collapsed="false">
      <c r="N428" s="0" t="str">
        <f aca="false">IF(H428="","",IFERROR(LEFT(H428,FIND(" ",H428)-1),H428))</f>
        <v/>
      </c>
      <c r="O428" s="20" t="n">
        <f aca="false">IFERROR(DATE(VALUE(MID(N428,FIND("/",N428,FIND("/",N428)+1)+1,4)),VALUE(MID(N428,FIND("/",N428)+1,FIND("/",N428,FIND("/",N428)+1)-FIND("/",N428)-1)),VALUE(LEFT(N428,FIND("/",N428)-1))),0)</f>
        <v>0</v>
      </c>
    </row>
    <row r="429" customFormat="false" ht="15" hidden="false" customHeight="false" outlineLevel="0" collapsed="false">
      <c r="N429" s="0" t="str">
        <f aca="false">IF(H429="","",IFERROR(LEFT(H429,FIND(" ",H429)-1),H429))</f>
        <v/>
      </c>
      <c r="O429" s="20" t="n">
        <f aca="false">IFERROR(DATE(VALUE(MID(N429,FIND("/",N429,FIND("/",N429)+1)+1,4)),VALUE(MID(N429,FIND("/",N429)+1,FIND("/",N429,FIND("/",N429)+1)-FIND("/",N429)-1)),VALUE(LEFT(N429,FIND("/",N429)-1))),0)</f>
        <v>0</v>
      </c>
    </row>
    <row r="430" customFormat="false" ht="15" hidden="false" customHeight="false" outlineLevel="0" collapsed="false">
      <c r="N430" s="0" t="str">
        <f aca="false">IF(H430="","",IFERROR(LEFT(H430,FIND(" ",H430)-1),H430))</f>
        <v/>
      </c>
      <c r="O430" s="20" t="n">
        <f aca="false">IFERROR(DATE(VALUE(MID(N430,FIND("/",N430,FIND("/",N430)+1)+1,4)),VALUE(MID(N430,FIND("/",N430)+1,FIND("/",N430,FIND("/",N430)+1)-FIND("/",N430)-1)),VALUE(LEFT(N430,FIND("/",N430)-1))),0)</f>
        <v>0</v>
      </c>
    </row>
    <row r="431" customFormat="false" ht="15" hidden="false" customHeight="false" outlineLevel="0" collapsed="false">
      <c r="N431" s="0" t="str">
        <f aca="false">IF(H431="","",IFERROR(LEFT(H431,FIND(" ",H431)-1),H431))</f>
        <v/>
      </c>
      <c r="O431" s="20" t="n">
        <f aca="false">IFERROR(DATE(VALUE(MID(N431,FIND("/",N431,FIND("/",N431)+1)+1,4)),VALUE(MID(N431,FIND("/",N431)+1,FIND("/",N431,FIND("/",N431)+1)-FIND("/",N431)-1)),VALUE(LEFT(N431,FIND("/",N431)-1))),0)</f>
        <v>0</v>
      </c>
    </row>
    <row r="432" customFormat="false" ht="15" hidden="false" customHeight="false" outlineLevel="0" collapsed="false">
      <c r="N432" s="0" t="str">
        <f aca="false">IF(H432="","",IFERROR(LEFT(H432,FIND(" ",H432)-1),H432))</f>
        <v/>
      </c>
      <c r="O432" s="20" t="n">
        <f aca="false">IFERROR(DATE(VALUE(MID(N432,FIND("/",N432,FIND("/",N432)+1)+1,4)),VALUE(MID(N432,FIND("/",N432)+1,FIND("/",N432,FIND("/",N432)+1)-FIND("/",N432)-1)),VALUE(LEFT(N432,FIND("/",N432)-1))),0)</f>
        <v>0</v>
      </c>
    </row>
    <row r="433" customFormat="false" ht="15" hidden="false" customHeight="false" outlineLevel="0" collapsed="false">
      <c r="N433" s="0" t="str">
        <f aca="false">IF(H433="","",IFERROR(LEFT(H433,FIND(" ",H433)-1),H433))</f>
        <v/>
      </c>
      <c r="O433" s="20" t="n">
        <f aca="false">IFERROR(DATE(VALUE(MID(N433,FIND("/",N433,FIND("/",N433)+1)+1,4)),VALUE(MID(N433,FIND("/",N433)+1,FIND("/",N433,FIND("/",N433)+1)-FIND("/",N433)-1)),VALUE(LEFT(N433,FIND("/",N433)-1))),0)</f>
        <v>0</v>
      </c>
    </row>
    <row r="434" customFormat="false" ht="15" hidden="false" customHeight="false" outlineLevel="0" collapsed="false">
      <c r="N434" s="0" t="str">
        <f aca="false">IF(H434="","",IFERROR(LEFT(H434,FIND(" ",H434)-1),H434))</f>
        <v/>
      </c>
      <c r="O434" s="20" t="n">
        <f aca="false">IFERROR(DATE(VALUE(MID(N434,FIND("/",N434,FIND("/",N434)+1)+1,4)),VALUE(MID(N434,FIND("/",N434)+1,FIND("/",N434,FIND("/",N434)+1)-FIND("/",N434)-1)),VALUE(LEFT(N434,FIND("/",N434)-1))),0)</f>
        <v>0</v>
      </c>
    </row>
    <row r="435" customFormat="false" ht="15" hidden="false" customHeight="false" outlineLevel="0" collapsed="false">
      <c r="N435" s="0" t="str">
        <f aca="false">IF(H435="","",IFERROR(LEFT(H435,FIND(" ",H435)-1),H435))</f>
        <v/>
      </c>
      <c r="O435" s="20" t="n">
        <f aca="false">IFERROR(DATE(VALUE(MID(N435,FIND("/",N435,FIND("/",N435)+1)+1,4)),VALUE(MID(N435,FIND("/",N435)+1,FIND("/",N435,FIND("/",N435)+1)-FIND("/",N435)-1)),VALUE(LEFT(N435,FIND("/",N435)-1))),0)</f>
        <v>0</v>
      </c>
    </row>
    <row r="436" customFormat="false" ht="15" hidden="false" customHeight="false" outlineLevel="0" collapsed="false">
      <c r="N436" s="0" t="str">
        <f aca="false">IF(H436="","",IFERROR(LEFT(H436,FIND(" ",H436)-1),H436))</f>
        <v/>
      </c>
      <c r="O436" s="20" t="n">
        <f aca="false">IFERROR(DATE(VALUE(MID(N436,FIND("/",N436,FIND("/",N436)+1)+1,4)),VALUE(MID(N436,FIND("/",N436)+1,FIND("/",N436,FIND("/",N436)+1)-FIND("/",N436)-1)),VALUE(LEFT(N436,FIND("/",N436)-1))),0)</f>
        <v>0</v>
      </c>
    </row>
    <row r="437" customFormat="false" ht="15" hidden="false" customHeight="false" outlineLevel="0" collapsed="false">
      <c r="N437" s="0" t="str">
        <f aca="false">IF(H437="","",IFERROR(LEFT(H437,FIND(" ",H437)-1),H437))</f>
        <v/>
      </c>
      <c r="O437" s="20" t="n">
        <f aca="false">IFERROR(DATE(VALUE(MID(N437,FIND("/",N437,FIND("/",N437)+1)+1,4)),VALUE(MID(N437,FIND("/",N437)+1,FIND("/",N437,FIND("/",N437)+1)-FIND("/",N437)-1)),VALUE(LEFT(N437,FIND("/",N437)-1))),0)</f>
        <v>0</v>
      </c>
    </row>
    <row r="438" customFormat="false" ht="15" hidden="false" customHeight="false" outlineLevel="0" collapsed="false">
      <c r="N438" s="0" t="str">
        <f aca="false">IF(H438="","",IFERROR(LEFT(H438,FIND(" ",H438)-1),H438))</f>
        <v/>
      </c>
      <c r="O438" s="20" t="n">
        <f aca="false">IFERROR(DATE(VALUE(MID(N438,FIND("/",N438,FIND("/",N438)+1)+1,4)),VALUE(MID(N438,FIND("/",N438)+1,FIND("/",N438,FIND("/",N438)+1)-FIND("/",N438)-1)),VALUE(LEFT(N438,FIND("/",N438)-1))),0)</f>
        <v>0</v>
      </c>
    </row>
    <row r="439" customFormat="false" ht="15" hidden="false" customHeight="false" outlineLevel="0" collapsed="false">
      <c r="N439" s="0" t="str">
        <f aca="false">IF(H439="","",IFERROR(LEFT(H439,FIND(" ",H439)-1),H439))</f>
        <v/>
      </c>
      <c r="O439" s="20" t="n">
        <f aca="false">IFERROR(DATE(VALUE(MID(N439,FIND("/",N439,FIND("/",N439)+1)+1,4)),VALUE(MID(N439,FIND("/",N439)+1,FIND("/",N439,FIND("/",N439)+1)-FIND("/",N439)-1)),VALUE(LEFT(N439,FIND("/",N439)-1))),0)</f>
        <v>0</v>
      </c>
    </row>
    <row r="440" customFormat="false" ht="15" hidden="false" customHeight="false" outlineLevel="0" collapsed="false">
      <c r="N440" s="0" t="str">
        <f aca="false">IF(H440="","",IFERROR(LEFT(H440,FIND(" ",H440)-1),H440))</f>
        <v/>
      </c>
      <c r="O440" s="20" t="n">
        <f aca="false">IFERROR(DATE(VALUE(MID(N440,FIND("/",N440,FIND("/",N440)+1)+1,4)),VALUE(MID(N440,FIND("/",N440)+1,FIND("/",N440,FIND("/",N440)+1)-FIND("/",N440)-1)),VALUE(LEFT(N440,FIND("/",N440)-1))),0)</f>
        <v>0</v>
      </c>
    </row>
    <row r="441" customFormat="false" ht="15" hidden="false" customHeight="false" outlineLevel="0" collapsed="false">
      <c r="N441" s="0" t="str">
        <f aca="false">IF(H441="","",IFERROR(LEFT(H441,FIND(" ",H441)-1),H441))</f>
        <v/>
      </c>
      <c r="O441" s="20" t="n">
        <f aca="false">IFERROR(DATE(VALUE(MID(N441,FIND("/",N441,FIND("/",N441)+1)+1,4)),VALUE(MID(N441,FIND("/",N441)+1,FIND("/",N441,FIND("/",N441)+1)-FIND("/",N441)-1)),VALUE(LEFT(N441,FIND("/",N441)-1))),0)</f>
        <v>0</v>
      </c>
    </row>
    <row r="442" customFormat="false" ht="15" hidden="false" customHeight="false" outlineLevel="0" collapsed="false">
      <c r="N442" s="0" t="str">
        <f aca="false">IF(H442="","",IFERROR(LEFT(H442,FIND(" ",H442)-1),H442))</f>
        <v/>
      </c>
      <c r="O442" s="20" t="n">
        <f aca="false">IFERROR(DATE(VALUE(MID(N442,FIND("/",N442,FIND("/",N442)+1)+1,4)),VALUE(MID(N442,FIND("/",N442)+1,FIND("/",N442,FIND("/",N442)+1)-FIND("/",N442)-1)),VALUE(LEFT(N442,FIND("/",N442)-1))),0)</f>
        <v>0</v>
      </c>
    </row>
    <row r="443" customFormat="false" ht="15" hidden="false" customHeight="false" outlineLevel="0" collapsed="false">
      <c r="N443" s="0" t="str">
        <f aca="false">IF(H443="","",IFERROR(LEFT(H443,FIND(" ",H443)-1),H443))</f>
        <v/>
      </c>
      <c r="O443" s="20" t="n">
        <f aca="false">IFERROR(DATE(VALUE(MID(N443,FIND("/",N443,FIND("/",N443)+1)+1,4)),VALUE(MID(N443,FIND("/",N443)+1,FIND("/",N443,FIND("/",N443)+1)-FIND("/",N443)-1)),VALUE(LEFT(N443,FIND("/",N443)-1))),0)</f>
        <v>0</v>
      </c>
    </row>
    <row r="444" customFormat="false" ht="15" hidden="false" customHeight="false" outlineLevel="0" collapsed="false">
      <c r="N444" s="0" t="str">
        <f aca="false">IF(H444="","",IFERROR(LEFT(H444,FIND(" ",H444)-1),H444))</f>
        <v/>
      </c>
      <c r="O444" s="20" t="n">
        <f aca="false">IFERROR(DATE(VALUE(MID(N444,FIND("/",N444,FIND("/",N444)+1)+1,4)),VALUE(MID(N444,FIND("/",N444)+1,FIND("/",N444,FIND("/",N444)+1)-FIND("/",N444)-1)),VALUE(LEFT(N444,FIND("/",N444)-1))),0)</f>
        <v>0</v>
      </c>
    </row>
    <row r="445" customFormat="false" ht="15" hidden="false" customHeight="false" outlineLevel="0" collapsed="false">
      <c r="N445" s="0" t="str">
        <f aca="false">IF(H445="","",IFERROR(LEFT(H445,FIND(" ",H445)-1),H445))</f>
        <v/>
      </c>
      <c r="O445" s="20" t="n">
        <f aca="false">IFERROR(DATE(VALUE(MID(N445,FIND("/",N445,FIND("/",N445)+1)+1,4)),VALUE(MID(N445,FIND("/",N445)+1,FIND("/",N445,FIND("/",N445)+1)-FIND("/",N445)-1)),VALUE(LEFT(N445,FIND("/",N445)-1))),0)</f>
        <v>0</v>
      </c>
    </row>
    <row r="446" customFormat="false" ht="15" hidden="false" customHeight="false" outlineLevel="0" collapsed="false">
      <c r="N446" s="0" t="str">
        <f aca="false">IF(H446="","",IFERROR(LEFT(H446,FIND(" ",H446)-1),H446))</f>
        <v/>
      </c>
      <c r="O446" s="20" t="n">
        <f aca="false">IFERROR(DATE(VALUE(MID(N446,FIND("/",N446,FIND("/",N446)+1)+1,4)),VALUE(MID(N446,FIND("/",N446)+1,FIND("/",N446,FIND("/",N446)+1)-FIND("/",N446)-1)),VALUE(LEFT(N446,FIND("/",N446)-1))),0)</f>
        <v>0</v>
      </c>
    </row>
    <row r="447" customFormat="false" ht="15" hidden="false" customHeight="false" outlineLevel="0" collapsed="false">
      <c r="N447" s="0" t="str">
        <f aca="false">IF(H447="","",IFERROR(LEFT(H447,FIND(" ",H447)-1),H447))</f>
        <v/>
      </c>
      <c r="O447" s="20" t="n">
        <f aca="false">IFERROR(DATE(VALUE(MID(N447,FIND("/",N447,FIND("/",N447)+1)+1,4)),VALUE(MID(N447,FIND("/",N447)+1,FIND("/",N447,FIND("/",N447)+1)-FIND("/",N447)-1)),VALUE(LEFT(N447,FIND("/",N447)-1))),0)</f>
        <v>0</v>
      </c>
    </row>
    <row r="448" customFormat="false" ht="15" hidden="false" customHeight="false" outlineLevel="0" collapsed="false">
      <c r="N448" s="0" t="str">
        <f aca="false">IF(H448="","",IFERROR(LEFT(H448,FIND(" ",H448)-1),H448))</f>
        <v/>
      </c>
      <c r="O448" s="20" t="n">
        <f aca="false">IFERROR(DATE(VALUE(MID(N448,FIND("/",N448,FIND("/",N448)+1)+1,4)),VALUE(MID(N448,FIND("/",N448)+1,FIND("/",N448,FIND("/",N448)+1)-FIND("/",N448)-1)),VALUE(LEFT(N448,FIND("/",N448)-1))),0)</f>
        <v>0</v>
      </c>
    </row>
    <row r="449" customFormat="false" ht="15" hidden="false" customHeight="false" outlineLevel="0" collapsed="false">
      <c r="N449" s="0" t="str">
        <f aca="false">IF(H449="","",IFERROR(LEFT(H449,FIND(" ",H449)-1),H449))</f>
        <v/>
      </c>
      <c r="O449" s="20" t="n">
        <f aca="false">IFERROR(DATE(VALUE(MID(N449,FIND("/",N449,FIND("/",N449)+1)+1,4)),VALUE(MID(N449,FIND("/",N449)+1,FIND("/",N449,FIND("/",N449)+1)-FIND("/",N449)-1)),VALUE(LEFT(N449,FIND("/",N449)-1))),0)</f>
        <v>0</v>
      </c>
    </row>
    <row r="450" customFormat="false" ht="15" hidden="false" customHeight="false" outlineLevel="0" collapsed="false">
      <c r="N450" s="0" t="str">
        <f aca="false">IF(H450="","",IFERROR(LEFT(H450,FIND(" ",H450)-1),H450))</f>
        <v/>
      </c>
      <c r="O450" s="20" t="n">
        <f aca="false">IFERROR(DATE(VALUE(MID(N450,FIND("/",N450,FIND("/",N450)+1)+1,4)),VALUE(MID(N450,FIND("/",N450)+1,FIND("/",N450,FIND("/",N450)+1)-FIND("/",N450)-1)),VALUE(LEFT(N450,FIND("/",N450)-1))),0)</f>
        <v>0</v>
      </c>
    </row>
    <row r="451" customFormat="false" ht="15" hidden="false" customHeight="false" outlineLevel="0" collapsed="false">
      <c r="N451" s="0" t="str">
        <f aca="false">IF(H451="","",IFERROR(LEFT(H451,FIND(" ",H451)-1),H451))</f>
        <v/>
      </c>
      <c r="O451" s="20" t="n">
        <f aca="false">IFERROR(DATE(VALUE(MID(N451,FIND("/",N451,FIND("/",N451)+1)+1,4)),VALUE(MID(N451,FIND("/",N451)+1,FIND("/",N451,FIND("/",N451)+1)-FIND("/",N451)-1)),VALUE(LEFT(N451,FIND("/",N451)-1))),0)</f>
        <v>0</v>
      </c>
    </row>
    <row r="452" customFormat="false" ht="15" hidden="false" customHeight="false" outlineLevel="0" collapsed="false">
      <c r="N452" s="0" t="str">
        <f aca="false">IF(H452="","",IFERROR(LEFT(H452,FIND(" ",H452)-1),H452))</f>
        <v/>
      </c>
      <c r="O452" s="20" t="n">
        <f aca="false">IFERROR(DATE(VALUE(MID(N452,FIND("/",N452,FIND("/",N452)+1)+1,4)),VALUE(MID(N452,FIND("/",N452)+1,FIND("/",N452,FIND("/",N452)+1)-FIND("/",N452)-1)),VALUE(LEFT(N452,FIND("/",N452)-1))),0)</f>
        <v>0</v>
      </c>
    </row>
    <row r="453" customFormat="false" ht="15" hidden="false" customHeight="false" outlineLevel="0" collapsed="false">
      <c r="N453" s="0" t="str">
        <f aca="false">IF(H453="","",IFERROR(LEFT(H453,FIND(" ",H453)-1),H453))</f>
        <v/>
      </c>
      <c r="O453" s="20" t="n">
        <f aca="false">IFERROR(DATE(VALUE(MID(N453,FIND("/",N453,FIND("/",N453)+1)+1,4)),VALUE(MID(N453,FIND("/",N453)+1,FIND("/",N453,FIND("/",N453)+1)-FIND("/",N453)-1)),VALUE(LEFT(N453,FIND("/",N453)-1))),0)</f>
        <v>0</v>
      </c>
    </row>
    <row r="454" customFormat="false" ht="15" hidden="false" customHeight="false" outlineLevel="0" collapsed="false">
      <c r="N454" s="0" t="str">
        <f aca="false">IF(H454="","",IFERROR(LEFT(H454,FIND(" ",H454)-1),H454))</f>
        <v/>
      </c>
      <c r="O454" s="20" t="n">
        <f aca="false">IFERROR(DATE(VALUE(MID(N454,FIND("/",N454,FIND("/",N454)+1)+1,4)),VALUE(MID(N454,FIND("/",N454)+1,FIND("/",N454,FIND("/",N454)+1)-FIND("/",N454)-1)),VALUE(LEFT(N454,FIND("/",N454)-1))),0)</f>
        <v>0</v>
      </c>
    </row>
    <row r="455" customFormat="false" ht="15" hidden="false" customHeight="false" outlineLevel="0" collapsed="false">
      <c r="N455" s="0" t="str">
        <f aca="false">IF(H455="","",IFERROR(LEFT(H455,FIND(" ",H455)-1),H455))</f>
        <v/>
      </c>
      <c r="O455" s="20" t="n">
        <f aca="false">IFERROR(DATE(VALUE(MID(N455,FIND("/",N455,FIND("/",N455)+1)+1,4)),VALUE(MID(N455,FIND("/",N455)+1,FIND("/",N455,FIND("/",N455)+1)-FIND("/",N455)-1)),VALUE(LEFT(N455,FIND("/",N455)-1))),0)</f>
        <v>0</v>
      </c>
    </row>
    <row r="456" customFormat="false" ht="15" hidden="false" customHeight="false" outlineLevel="0" collapsed="false">
      <c r="N456" s="0" t="str">
        <f aca="false">IF(H456="","",IFERROR(LEFT(H456,FIND(" ",H456)-1),H456))</f>
        <v/>
      </c>
      <c r="O456" s="20" t="n">
        <f aca="false">IFERROR(DATE(VALUE(MID(N456,FIND("/",N456,FIND("/",N456)+1)+1,4)),VALUE(MID(N456,FIND("/",N456)+1,FIND("/",N456,FIND("/",N456)+1)-FIND("/",N456)-1)),VALUE(LEFT(N456,FIND("/",N456)-1))),0)</f>
        <v>0</v>
      </c>
    </row>
    <row r="457" customFormat="false" ht="15" hidden="false" customHeight="false" outlineLevel="0" collapsed="false">
      <c r="N457" s="0" t="str">
        <f aca="false">IF(H457="","",IFERROR(LEFT(H457,FIND(" ",H457)-1),H457))</f>
        <v/>
      </c>
      <c r="O457" s="20" t="n">
        <f aca="false">IFERROR(DATE(VALUE(MID(N457,FIND("/",N457,FIND("/",N457)+1)+1,4)),VALUE(MID(N457,FIND("/",N457)+1,FIND("/",N457,FIND("/",N457)+1)-FIND("/",N457)-1)),VALUE(LEFT(N457,FIND("/",N457)-1))),0)</f>
        <v>0</v>
      </c>
    </row>
    <row r="458" customFormat="false" ht="15" hidden="false" customHeight="false" outlineLevel="0" collapsed="false">
      <c r="N458" s="0" t="str">
        <f aca="false">IF(H458="","",IFERROR(LEFT(H458,FIND(" ",H458)-1),H458))</f>
        <v/>
      </c>
      <c r="O458" s="20" t="n">
        <f aca="false">IFERROR(DATE(VALUE(MID(N458,FIND("/",N458,FIND("/",N458)+1)+1,4)),VALUE(MID(N458,FIND("/",N458)+1,FIND("/",N458,FIND("/",N458)+1)-FIND("/",N458)-1)),VALUE(LEFT(N458,FIND("/",N458)-1))),0)</f>
        <v>0</v>
      </c>
    </row>
    <row r="459" customFormat="false" ht="15" hidden="false" customHeight="false" outlineLevel="0" collapsed="false">
      <c r="N459" s="0" t="str">
        <f aca="false">IF(H459="","",IFERROR(LEFT(H459,FIND(" ",H459)-1),H459))</f>
        <v/>
      </c>
      <c r="O459" s="20" t="n">
        <f aca="false">IFERROR(DATE(VALUE(MID(N459,FIND("/",N459,FIND("/",N459)+1)+1,4)),VALUE(MID(N459,FIND("/",N459)+1,FIND("/",N459,FIND("/",N459)+1)-FIND("/",N459)-1)),VALUE(LEFT(N459,FIND("/",N459)-1))),0)</f>
        <v>0</v>
      </c>
    </row>
    <row r="460" customFormat="false" ht="15" hidden="false" customHeight="false" outlineLevel="0" collapsed="false">
      <c r="N460" s="0" t="str">
        <f aca="false">IF(H460="","",IFERROR(LEFT(H460,FIND(" ",H460)-1),H460))</f>
        <v/>
      </c>
      <c r="O460" s="20" t="n">
        <f aca="false">IFERROR(DATE(VALUE(MID(N460,FIND("/",N460,FIND("/",N460)+1)+1,4)),VALUE(MID(N460,FIND("/",N460)+1,FIND("/",N460,FIND("/",N460)+1)-FIND("/",N460)-1)),VALUE(LEFT(N460,FIND("/",N460)-1))),0)</f>
        <v>0</v>
      </c>
    </row>
    <row r="461" customFormat="false" ht="15" hidden="false" customHeight="false" outlineLevel="0" collapsed="false">
      <c r="N461" s="0" t="str">
        <f aca="false">IF(H461="","",IFERROR(LEFT(H461,FIND(" ",H461)-1),H461))</f>
        <v/>
      </c>
      <c r="O461" s="20" t="n">
        <f aca="false">IFERROR(DATE(VALUE(MID(N461,FIND("/",N461,FIND("/",N461)+1)+1,4)),VALUE(MID(N461,FIND("/",N461)+1,FIND("/",N461,FIND("/",N461)+1)-FIND("/",N461)-1)),VALUE(LEFT(N461,FIND("/",N461)-1))),0)</f>
        <v>0</v>
      </c>
    </row>
    <row r="462" customFormat="false" ht="15" hidden="false" customHeight="false" outlineLevel="0" collapsed="false">
      <c r="N462" s="0" t="str">
        <f aca="false">IF(H462="","",IFERROR(LEFT(H462,FIND(" ",H462)-1),H462))</f>
        <v/>
      </c>
      <c r="O462" s="20" t="n">
        <f aca="false">IFERROR(DATE(VALUE(MID(N462,FIND("/",N462,FIND("/",N462)+1)+1,4)),VALUE(MID(N462,FIND("/",N462)+1,FIND("/",N462,FIND("/",N462)+1)-FIND("/",N462)-1)),VALUE(LEFT(N462,FIND("/",N462)-1))),0)</f>
        <v>0</v>
      </c>
    </row>
    <row r="463" customFormat="false" ht="15" hidden="false" customHeight="false" outlineLevel="0" collapsed="false">
      <c r="N463" s="0" t="str">
        <f aca="false">IF(H463="","",IFERROR(LEFT(H463,FIND(" ",H463)-1),H463))</f>
        <v/>
      </c>
      <c r="O463" s="20" t="n">
        <f aca="false">IFERROR(DATE(VALUE(MID(N463,FIND("/",N463,FIND("/",N463)+1)+1,4)),VALUE(MID(N463,FIND("/",N463)+1,FIND("/",N463,FIND("/",N463)+1)-FIND("/",N463)-1)),VALUE(LEFT(N463,FIND("/",N463)-1))),0)</f>
        <v>0</v>
      </c>
    </row>
    <row r="464" customFormat="false" ht="15" hidden="false" customHeight="false" outlineLevel="0" collapsed="false">
      <c r="N464" s="0" t="str">
        <f aca="false">IF(H464="","",IFERROR(LEFT(H464,FIND(" ",H464)-1),H464))</f>
        <v/>
      </c>
      <c r="O464" s="20" t="n">
        <f aca="false">IFERROR(DATE(VALUE(MID(N464,FIND("/",N464,FIND("/",N464)+1)+1,4)),VALUE(MID(N464,FIND("/",N464)+1,FIND("/",N464,FIND("/",N464)+1)-FIND("/",N464)-1)),VALUE(LEFT(N464,FIND("/",N464)-1))),0)</f>
        <v>0</v>
      </c>
    </row>
    <row r="465" customFormat="false" ht="15" hidden="false" customHeight="false" outlineLevel="0" collapsed="false">
      <c r="N465" s="0" t="str">
        <f aca="false">IF(H465="","",IFERROR(LEFT(H465,FIND(" ",H465)-1),H465))</f>
        <v/>
      </c>
      <c r="O465" s="20" t="n">
        <f aca="false">IFERROR(DATE(VALUE(MID(N465,FIND("/",N465,FIND("/",N465)+1)+1,4)),VALUE(MID(N465,FIND("/",N465)+1,FIND("/",N465,FIND("/",N465)+1)-FIND("/",N465)-1)),VALUE(LEFT(N465,FIND("/",N465)-1))),0)</f>
        <v>0</v>
      </c>
    </row>
    <row r="466" customFormat="false" ht="15" hidden="false" customHeight="false" outlineLevel="0" collapsed="false">
      <c r="N466" s="0" t="str">
        <f aca="false">IF(H466="","",IFERROR(LEFT(H466,FIND(" ",H466)-1),H466))</f>
        <v/>
      </c>
      <c r="O466" s="20" t="n">
        <f aca="false">IFERROR(DATE(VALUE(MID(N466,FIND("/",N466,FIND("/",N466)+1)+1,4)),VALUE(MID(N466,FIND("/",N466)+1,FIND("/",N466,FIND("/",N466)+1)-FIND("/",N466)-1)),VALUE(LEFT(N466,FIND("/",N466)-1))),0)</f>
        <v>0</v>
      </c>
    </row>
    <row r="467" customFormat="false" ht="15" hidden="false" customHeight="false" outlineLevel="0" collapsed="false">
      <c r="N467" s="0" t="str">
        <f aca="false">IF(H467="","",IFERROR(LEFT(H467,FIND(" ",H467)-1),H467))</f>
        <v/>
      </c>
      <c r="O467" s="20" t="n">
        <f aca="false">IFERROR(DATE(VALUE(MID(N467,FIND("/",N467,FIND("/",N467)+1)+1,4)),VALUE(MID(N467,FIND("/",N467)+1,FIND("/",N467,FIND("/",N467)+1)-FIND("/",N467)-1)),VALUE(LEFT(N467,FIND("/",N467)-1))),0)</f>
        <v>0</v>
      </c>
    </row>
    <row r="468" customFormat="false" ht="15" hidden="false" customHeight="false" outlineLevel="0" collapsed="false">
      <c r="N468" s="0" t="str">
        <f aca="false">IF(H468="","",IFERROR(LEFT(H468,FIND(" ",H468)-1),H468))</f>
        <v/>
      </c>
      <c r="O468" s="20" t="n">
        <f aca="false">IFERROR(DATE(VALUE(MID(N468,FIND("/",N468,FIND("/",N468)+1)+1,4)),VALUE(MID(N468,FIND("/",N468)+1,FIND("/",N468,FIND("/",N468)+1)-FIND("/",N468)-1)),VALUE(LEFT(N468,FIND("/",N468)-1))),0)</f>
        <v>0</v>
      </c>
    </row>
    <row r="469" customFormat="false" ht="15" hidden="false" customHeight="false" outlineLevel="0" collapsed="false">
      <c r="N469" s="0" t="str">
        <f aca="false">IF(H469="","",IFERROR(LEFT(H469,FIND(" ",H469)-1),H469))</f>
        <v/>
      </c>
      <c r="O469" s="20" t="n">
        <f aca="false">IFERROR(DATE(VALUE(MID(N469,FIND("/",N469,FIND("/",N469)+1)+1,4)),VALUE(MID(N469,FIND("/",N469)+1,FIND("/",N469,FIND("/",N469)+1)-FIND("/",N469)-1)),VALUE(LEFT(N469,FIND("/",N469)-1))),0)</f>
        <v>0</v>
      </c>
    </row>
    <row r="470" customFormat="false" ht="15" hidden="false" customHeight="false" outlineLevel="0" collapsed="false">
      <c r="N470" s="0" t="str">
        <f aca="false">IF(H470="","",IFERROR(LEFT(H470,FIND(" ",H470)-1),H470))</f>
        <v/>
      </c>
      <c r="O470" s="20" t="n">
        <f aca="false">IFERROR(DATE(VALUE(MID(N470,FIND("/",N470,FIND("/",N470)+1)+1,4)),VALUE(MID(N470,FIND("/",N470)+1,FIND("/",N470,FIND("/",N470)+1)-FIND("/",N470)-1)),VALUE(LEFT(N470,FIND("/",N470)-1))),0)</f>
        <v>0</v>
      </c>
    </row>
    <row r="471" customFormat="false" ht="15" hidden="false" customHeight="false" outlineLevel="0" collapsed="false">
      <c r="N471" s="0" t="str">
        <f aca="false">IF(H471="","",IFERROR(LEFT(H471,FIND(" ",H471)-1),H471))</f>
        <v/>
      </c>
      <c r="O471" s="20" t="n">
        <f aca="false">IFERROR(DATE(VALUE(MID(N471,FIND("/",N471,FIND("/",N471)+1)+1,4)),VALUE(MID(N471,FIND("/",N471)+1,FIND("/",N471,FIND("/",N471)+1)-FIND("/",N471)-1)),VALUE(LEFT(N471,FIND("/",N471)-1))),0)</f>
        <v>0</v>
      </c>
    </row>
    <row r="472" customFormat="false" ht="15" hidden="false" customHeight="false" outlineLevel="0" collapsed="false">
      <c r="N472" s="0" t="str">
        <f aca="false">IF(H472="","",IFERROR(LEFT(H472,FIND(" ",H472)-1),H472))</f>
        <v/>
      </c>
      <c r="O472" s="20" t="n">
        <f aca="false">IFERROR(DATE(VALUE(MID(N472,FIND("/",N472,FIND("/",N472)+1)+1,4)),VALUE(MID(N472,FIND("/",N472)+1,FIND("/",N472,FIND("/",N472)+1)-FIND("/",N472)-1)),VALUE(LEFT(N472,FIND("/",N472)-1))),0)</f>
        <v>0</v>
      </c>
    </row>
    <row r="473" customFormat="false" ht="15" hidden="false" customHeight="false" outlineLevel="0" collapsed="false">
      <c r="N473" s="0" t="str">
        <f aca="false">IF(H473="","",IFERROR(LEFT(H473,FIND(" ",H473)-1),H473))</f>
        <v/>
      </c>
      <c r="O473" s="20" t="n">
        <f aca="false">IFERROR(DATE(VALUE(MID(N473,FIND("/",N473,FIND("/",N473)+1)+1,4)),VALUE(MID(N473,FIND("/",N473)+1,FIND("/",N473,FIND("/",N473)+1)-FIND("/",N473)-1)),VALUE(LEFT(N473,FIND("/",N473)-1))),0)</f>
        <v>0</v>
      </c>
    </row>
    <row r="474" customFormat="false" ht="15" hidden="false" customHeight="false" outlineLevel="0" collapsed="false">
      <c r="N474" s="0" t="str">
        <f aca="false">IF(H474="","",IFERROR(LEFT(H474,FIND(" ",H474)-1),H474))</f>
        <v/>
      </c>
      <c r="O474" s="20" t="n">
        <f aca="false">IFERROR(DATE(VALUE(MID(N474,FIND("/",N474,FIND("/",N474)+1)+1,4)),VALUE(MID(N474,FIND("/",N474)+1,FIND("/",N474,FIND("/",N474)+1)-FIND("/",N474)-1)),VALUE(LEFT(N474,FIND("/",N474)-1))),0)</f>
        <v>0</v>
      </c>
    </row>
    <row r="475" customFormat="false" ht="15" hidden="false" customHeight="false" outlineLevel="0" collapsed="false">
      <c r="N475" s="0" t="str">
        <f aca="false">IF(H475="","",IFERROR(LEFT(H475,FIND(" ",H475)-1),H475))</f>
        <v/>
      </c>
      <c r="O475" s="20" t="n">
        <f aca="false">IFERROR(DATE(VALUE(MID(N475,FIND("/",N475,FIND("/",N475)+1)+1,4)),VALUE(MID(N475,FIND("/",N475)+1,FIND("/",N475,FIND("/",N475)+1)-FIND("/",N475)-1)),VALUE(LEFT(N475,FIND("/",N475)-1))),0)</f>
        <v>0</v>
      </c>
    </row>
    <row r="476" customFormat="false" ht="15" hidden="false" customHeight="false" outlineLevel="0" collapsed="false">
      <c r="N476" s="0" t="str">
        <f aca="false">IF(H476="","",IFERROR(LEFT(H476,FIND(" ",H476)-1),H476))</f>
        <v/>
      </c>
      <c r="O476" s="20" t="n">
        <f aca="false">IFERROR(DATE(VALUE(MID(N476,FIND("/",N476,FIND("/",N476)+1)+1,4)),VALUE(MID(N476,FIND("/",N476)+1,FIND("/",N476,FIND("/",N476)+1)-FIND("/",N476)-1)),VALUE(LEFT(N476,FIND("/",N476)-1))),0)</f>
        <v>0</v>
      </c>
    </row>
    <row r="477" customFormat="false" ht="15" hidden="false" customHeight="false" outlineLevel="0" collapsed="false">
      <c r="N477" s="0" t="str">
        <f aca="false">IF(H477="","",IFERROR(LEFT(H477,FIND(" ",H477)-1),H477))</f>
        <v/>
      </c>
      <c r="O477" s="20" t="n">
        <f aca="false">IFERROR(DATE(VALUE(MID(N477,FIND("/",N477,FIND("/",N477)+1)+1,4)),VALUE(MID(N477,FIND("/",N477)+1,FIND("/",N477,FIND("/",N477)+1)-FIND("/",N477)-1)),VALUE(LEFT(N477,FIND("/",N477)-1))),0)</f>
        <v>0</v>
      </c>
    </row>
    <row r="478" customFormat="false" ht="15" hidden="false" customHeight="false" outlineLevel="0" collapsed="false">
      <c r="N478" s="0" t="str">
        <f aca="false">IF(H478="","",IFERROR(LEFT(H478,FIND(" ",H478)-1),H478))</f>
        <v/>
      </c>
      <c r="O478" s="20" t="n">
        <f aca="false">IFERROR(DATE(VALUE(MID(N478,FIND("/",N478,FIND("/",N478)+1)+1,4)),VALUE(MID(N478,FIND("/",N478)+1,FIND("/",N478,FIND("/",N478)+1)-FIND("/",N478)-1)),VALUE(LEFT(N478,FIND("/",N478)-1))),0)</f>
        <v>0</v>
      </c>
    </row>
    <row r="479" customFormat="false" ht="15" hidden="false" customHeight="false" outlineLevel="0" collapsed="false">
      <c r="N479" s="0" t="str">
        <f aca="false">IF(H479="","",IFERROR(LEFT(H479,FIND(" ",H479)-1),H479))</f>
        <v/>
      </c>
      <c r="O479" s="20" t="n">
        <f aca="false">IFERROR(DATE(VALUE(MID(N479,FIND("/",N479,FIND("/",N479)+1)+1,4)),VALUE(MID(N479,FIND("/",N479)+1,FIND("/",N479,FIND("/",N479)+1)-FIND("/",N479)-1)),VALUE(LEFT(N479,FIND("/",N479)-1))),0)</f>
        <v>0</v>
      </c>
    </row>
    <row r="480" customFormat="false" ht="15" hidden="false" customHeight="false" outlineLevel="0" collapsed="false">
      <c r="N480" s="0" t="str">
        <f aca="false">IF(H480="","",IFERROR(LEFT(H480,FIND(" ",H480)-1),H480))</f>
        <v/>
      </c>
      <c r="O480" s="20" t="n">
        <f aca="false">IFERROR(DATE(VALUE(MID(N480,FIND("/",N480,FIND("/",N480)+1)+1,4)),VALUE(MID(N480,FIND("/",N480)+1,FIND("/",N480,FIND("/",N480)+1)-FIND("/",N480)-1)),VALUE(LEFT(N480,FIND("/",N480)-1))),0)</f>
        <v>0</v>
      </c>
    </row>
    <row r="481" customFormat="false" ht="15" hidden="false" customHeight="false" outlineLevel="0" collapsed="false">
      <c r="N481" s="0" t="str">
        <f aca="false">IF(H481="","",IFERROR(LEFT(H481,FIND(" ",H481)-1),H481))</f>
        <v/>
      </c>
      <c r="O481" s="20" t="n">
        <f aca="false">IFERROR(DATE(VALUE(MID(N481,FIND("/",N481,FIND("/",N481)+1)+1,4)),VALUE(MID(N481,FIND("/",N481)+1,FIND("/",N481,FIND("/",N481)+1)-FIND("/",N481)-1)),VALUE(LEFT(N481,FIND("/",N481)-1))),0)</f>
        <v>0</v>
      </c>
    </row>
    <row r="482" customFormat="false" ht="15" hidden="false" customHeight="false" outlineLevel="0" collapsed="false">
      <c r="N482" s="0" t="str">
        <f aca="false">IF(H482="","",IFERROR(LEFT(H482,FIND(" ",H482)-1),H482))</f>
        <v/>
      </c>
      <c r="O482" s="20" t="n">
        <f aca="false">IFERROR(DATE(VALUE(MID(N482,FIND("/",N482,FIND("/",N482)+1)+1,4)),VALUE(MID(N482,FIND("/",N482)+1,FIND("/",N482,FIND("/",N482)+1)-FIND("/",N482)-1)),VALUE(LEFT(N482,FIND("/",N482)-1))),0)</f>
        <v>0</v>
      </c>
    </row>
    <row r="483" customFormat="false" ht="15" hidden="false" customHeight="false" outlineLevel="0" collapsed="false">
      <c r="N483" s="0" t="str">
        <f aca="false">IF(H483="","",IFERROR(LEFT(H483,FIND(" ",H483)-1),H483))</f>
        <v/>
      </c>
      <c r="O483" s="20" t="n">
        <f aca="false">IFERROR(DATE(VALUE(MID(N483,FIND("/",N483,FIND("/",N483)+1)+1,4)),VALUE(MID(N483,FIND("/",N483)+1,FIND("/",N483,FIND("/",N483)+1)-FIND("/",N483)-1)),VALUE(LEFT(N483,FIND("/",N483)-1))),0)</f>
        <v>0</v>
      </c>
    </row>
    <row r="484" customFormat="false" ht="15" hidden="false" customHeight="false" outlineLevel="0" collapsed="false">
      <c r="N484" s="0" t="str">
        <f aca="false">IF(H484="","",IFERROR(LEFT(H484,FIND(" ",H484)-1),H484))</f>
        <v/>
      </c>
      <c r="O484" s="20" t="n">
        <f aca="false">IFERROR(DATE(VALUE(MID(N484,FIND("/",N484,FIND("/",N484)+1)+1,4)),VALUE(MID(N484,FIND("/",N484)+1,FIND("/",N484,FIND("/",N484)+1)-FIND("/",N484)-1)),VALUE(LEFT(N484,FIND("/",N484)-1))),0)</f>
        <v>0</v>
      </c>
    </row>
    <row r="485" customFormat="false" ht="15" hidden="false" customHeight="false" outlineLevel="0" collapsed="false">
      <c r="N485" s="0" t="str">
        <f aca="false">IF(H485="","",IFERROR(LEFT(H485,FIND(" ",H485)-1),H485))</f>
        <v/>
      </c>
      <c r="O485" s="20" t="n">
        <f aca="false">IFERROR(DATE(VALUE(MID(N485,FIND("/",N485,FIND("/",N485)+1)+1,4)),VALUE(MID(N485,FIND("/",N485)+1,FIND("/",N485,FIND("/",N485)+1)-FIND("/",N485)-1)),VALUE(LEFT(N485,FIND("/",N485)-1))),0)</f>
        <v>0</v>
      </c>
    </row>
    <row r="486" customFormat="false" ht="15" hidden="false" customHeight="false" outlineLevel="0" collapsed="false">
      <c r="N486" s="0" t="str">
        <f aca="false">IF(H486="","",IFERROR(LEFT(H486,FIND(" ",H486)-1),H486))</f>
        <v/>
      </c>
      <c r="O486" s="20" t="n">
        <f aca="false">IFERROR(DATE(VALUE(MID(N486,FIND("/",N486,FIND("/",N486)+1)+1,4)),VALUE(MID(N486,FIND("/",N486)+1,FIND("/",N486,FIND("/",N486)+1)-FIND("/",N486)-1)),VALUE(LEFT(N486,FIND("/",N486)-1))),0)</f>
        <v>0</v>
      </c>
    </row>
    <row r="487" customFormat="false" ht="15" hidden="false" customHeight="false" outlineLevel="0" collapsed="false">
      <c r="N487" s="0" t="str">
        <f aca="false">IF(H487="","",IFERROR(LEFT(H487,FIND(" ",H487)-1),H487))</f>
        <v/>
      </c>
      <c r="O487" s="20" t="n">
        <f aca="false">IFERROR(DATE(VALUE(MID(N487,FIND("/",N487,FIND("/",N487)+1)+1,4)),VALUE(MID(N487,FIND("/",N487)+1,FIND("/",N487,FIND("/",N487)+1)-FIND("/",N487)-1)),VALUE(LEFT(N487,FIND("/",N487)-1))),0)</f>
        <v>0</v>
      </c>
    </row>
    <row r="488" customFormat="false" ht="15" hidden="false" customHeight="false" outlineLevel="0" collapsed="false">
      <c r="N488" s="0" t="str">
        <f aca="false">IF(H488="","",IFERROR(LEFT(H488,FIND(" ",H488)-1),H488))</f>
        <v/>
      </c>
      <c r="O488" s="20" t="n">
        <f aca="false">IFERROR(DATE(VALUE(MID(N488,FIND("/",N488,FIND("/",N488)+1)+1,4)),VALUE(MID(N488,FIND("/",N488)+1,FIND("/",N488,FIND("/",N488)+1)-FIND("/",N488)-1)),VALUE(LEFT(N488,FIND("/",N488)-1))),0)</f>
        <v>0</v>
      </c>
    </row>
    <row r="489" customFormat="false" ht="15" hidden="false" customHeight="false" outlineLevel="0" collapsed="false">
      <c r="N489" s="0" t="str">
        <f aca="false">IF(H489="","",IFERROR(LEFT(H489,FIND(" ",H489)-1),H489))</f>
        <v/>
      </c>
      <c r="O489" s="20" t="n">
        <f aca="false">IFERROR(DATE(VALUE(MID(N489,FIND("/",N489,FIND("/",N489)+1)+1,4)),VALUE(MID(N489,FIND("/",N489)+1,FIND("/",N489,FIND("/",N489)+1)-FIND("/",N489)-1)),VALUE(LEFT(N489,FIND("/",N489)-1))),0)</f>
        <v>0</v>
      </c>
    </row>
    <row r="490" customFormat="false" ht="15" hidden="false" customHeight="false" outlineLevel="0" collapsed="false">
      <c r="N490" s="0" t="str">
        <f aca="false">IF(H490="","",IFERROR(LEFT(H490,FIND(" ",H490)-1),H490))</f>
        <v/>
      </c>
      <c r="O490" s="20" t="n">
        <f aca="false">IFERROR(DATE(VALUE(MID(N490,FIND("/",N490,FIND("/",N490)+1)+1,4)),VALUE(MID(N490,FIND("/",N490)+1,FIND("/",N490,FIND("/",N490)+1)-FIND("/",N490)-1)),VALUE(LEFT(N490,FIND("/",N490)-1))),0)</f>
        <v>0</v>
      </c>
    </row>
    <row r="491" customFormat="false" ht="15" hidden="false" customHeight="false" outlineLevel="0" collapsed="false">
      <c r="N491" s="0" t="str">
        <f aca="false">IF(H491="","",IFERROR(LEFT(H491,FIND(" ",H491)-1),H491))</f>
        <v/>
      </c>
      <c r="O491" s="20" t="n">
        <f aca="false">IFERROR(DATE(VALUE(MID(N491,FIND("/",N491,FIND("/",N491)+1)+1,4)),VALUE(MID(N491,FIND("/",N491)+1,FIND("/",N491,FIND("/",N491)+1)-FIND("/",N491)-1)),VALUE(LEFT(N491,FIND("/",N491)-1))),0)</f>
        <v>0</v>
      </c>
    </row>
    <row r="492" customFormat="false" ht="15" hidden="false" customHeight="false" outlineLevel="0" collapsed="false">
      <c r="N492" s="0" t="str">
        <f aca="false">IF(H492="","",IFERROR(LEFT(H492,FIND(" ",H492)-1),H492))</f>
        <v/>
      </c>
      <c r="O492" s="20" t="n">
        <f aca="false">IFERROR(DATE(VALUE(MID(N492,FIND("/",N492,FIND("/",N492)+1)+1,4)),VALUE(MID(N492,FIND("/",N492)+1,FIND("/",N492,FIND("/",N492)+1)-FIND("/",N492)-1)),VALUE(LEFT(N492,FIND("/",N492)-1))),0)</f>
        <v>0</v>
      </c>
    </row>
    <row r="493" customFormat="false" ht="15" hidden="false" customHeight="false" outlineLevel="0" collapsed="false">
      <c r="N493" s="0" t="str">
        <f aca="false">IF(H493="","",IFERROR(LEFT(H493,FIND(" ",H493)-1),H493))</f>
        <v/>
      </c>
      <c r="O493" s="20" t="n">
        <f aca="false">IFERROR(DATE(VALUE(MID(N493,FIND("/",N493,FIND("/",N493)+1)+1,4)),VALUE(MID(N493,FIND("/",N493)+1,FIND("/",N493,FIND("/",N493)+1)-FIND("/",N493)-1)),VALUE(LEFT(N493,FIND("/",N493)-1))),0)</f>
        <v>0</v>
      </c>
    </row>
    <row r="494" customFormat="false" ht="15" hidden="false" customHeight="false" outlineLevel="0" collapsed="false">
      <c r="N494" s="0" t="str">
        <f aca="false">IF(H494="","",IFERROR(LEFT(H494,FIND(" ",H494)-1),H494))</f>
        <v/>
      </c>
      <c r="O494" s="20" t="n">
        <f aca="false">IFERROR(DATE(VALUE(MID(N494,FIND("/",N494,FIND("/",N494)+1)+1,4)),VALUE(MID(N494,FIND("/",N494)+1,FIND("/",N494,FIND("/",N494)+1)-FIND("/",N494)-1)),VALUE(LEFT(N494,FIND("/",N494)-1))),0)</f>
        <v>0</v>
      </c>
    </row>
    <row r="495" customFormat="false" ht="15" hidden="false" customHeight="false" outlineLevel="0" collapsed="false">
      <c r="N495" s="0" t="str">
        <f aca="false">IF(H495="","",IFERROR(LEFT(H495,FIND(" ",H495)-1),H495))</f>
        <v/>
      </c>
      <c r="O495" s="20" t="n">
        <f aca="false">IFERROR(DATE(VALUE(MID(N495,FIND("/",N495,FIND("/",N495)+1)+1,4)),VALUE(MID(N495,FIND("/",N495)+1,FIND("/",N495,FIND("/",N495)+1)-FIND("/",N495)-1)),VALUE(LEFT(N495,FIND("/",N495)-1))),0)</f>
        <v>0</v>
      </c>
    </row>
    <row r="496" customFormat="false" ht="15" hidden="false" customHeight="false" outlineLevel="0" collapsed="false">
      <c r="N496" s="0" t="str">
        <f aca="false">IF(H496="","",IFERROR(LEFT(H496,FIND(" ",H496)-1),H496))</f>
        <v/>
      </c>
      <c r="O496" s="20" t="n">
        <f aca="false">IFERROR(DATE(VALUE(MID(N496,FIND("/",N496,FIND("/",N496)+1)+1,4)),VALUE(MID(N496,FIND("/",N496)+1,FIND("/",N496,FIND("/",N496)+1)-FIND("/",N496)-1)),VALUE(LEFT(N496,FIND("/",N496)-1))),0)</f>
        <v>0</v>
      </c>
    </row>
    <row r="497" customFormat="false" ht="15" hidden="false" customHeight="false" outlineLevel="0" collapsed="false">
      <c r="N497" s="0" t="str">
        <f aca="false">IF(H497="","",IFERROR(LEFT(H497,FIND(" ",H497)-1),H497))</f>
        <v/>
      </c>
      <c r="O497" s="20" t="n">
        <f aca="false">IFERROR(DATE(VALUE(MID(N497,FIND("/",N497,FIND("/",N497)+1)+1,4)),VALUE(MID(N497,FIND("/",N497)+1,FIND("/",N497,FIND("/",N497)+1)-FIND("/",N497)-1)),VALUE(LEFT(N497,FIND("/",N497)-1))),0)</f>
        <v>0</v>
      </c>
    </row>
    <row r="498" customFormat="false" ht="15" hidden="false" customHeight="false" outlineLevel="0" collapsed="false">
      <c r="N498" s="0" t="str">
        <f aca="false">IF(H498="","",IFERROR(LEFT(H498,FIND(" ",H498)-1),H498))</f>
        <v/>
      </c>
      <c r="O498" s="20" t="n">
        <f aca="false">IFERROR(DATE(VALUE(MID(N498,FIND("/",N498,FIND("/",N498)+1)+1,4)),VALUE(MID(N498,FIND("/",N498)+1,FIND("/",N498,FIND("/",N498)+1)-FIND("/",N498)-1)),VALUE(LEFT(N498,FIND("/",N498)-1))),0)</f>
        <v>0</v>
      </c>
    </row>
    <row r="499" customFormat="false" ht="15" hidden="false" customHeight="false" outlineLevel="0" collapsed="false">
      <c r="N499" s="0" t="str">
        <f aca="false">IF(H499="","",IFERROR(LEFT(H499,FIND(" ",H499)-1),H499))</f>
        <v/>
      </c>
      <c r="O499" s="20" t="n">
        <f aca="false">IFERROR(DATE(VALUE(MID(N499,FIND("/",N499,FIND("/",N499)+1)+1,4)),VALUE(MID(N499,FIND("/",N499)+1,FIND("/",N499,FIND("/",N499)+1)-FIND("/",N499)-1)),VALUE(LEFT(N499,FIND("/",N499)-1))),0)</f>
        <v>0</v>
      </c>
    </row>
    <row r="500" customFormat="false" ht="15" hidden="false" customHeight="false" outlineLevel="0" collapsed="false">
      <c r="N500" s="0" t="str">
        <f aca="false">IF(H500="","",IFERROR(LEFT(H500,FIND(" ",H500)-1),H500))</f>
        <v/>
      </c>
      <c r="O500" s="20" t="n">
        <f aca="false">IFERROR(DATE(VALUE(MID(N500,FIND("/",N500,FIND("/",N500)+1)+1,4)),VALUE(MID(N500,FIND("/",N500)+1,FIND("/",N500,FIND("/",N500)+1)-FIND("/",N500)-1)),VALUE(LEFT(N500,FIND("/",N500)-1))),0)</f>
        <v>0</v>
      </c>
    </row>
    <row r="501" customFormat="false" ht="15" hidden="false" customHeight="false" outlineLevel="0" collapsed="false">
      <c r="N501" s="0" t="str">
        <f aca="false">IF(H501="","",IFERROR(LEFT(H501,FIND(" ",H501)-1),H501))</f>
        <v/>
      </c>
      <c r="O501" s="20" t="n">
        <f aca="false">IFERROR(DATE(VALUE(MID(N501,FIND("/",N501,FIND("/",N501)+1)+1,4)),VALUE(MID(N501,FIND("/",N501)+1,FIND("/",N501,FIND("/",N501)+1)-FIND("/",N501)-1)),VALUE(LEFT(N501,FIND("/",N501)-1))),0)</f>
        <v>0</v>
      </c>
    </row>
    <row r="502" customFormat="false" ht="15" hidden="false" customHeight="false" outlineLevel="0" collapsed="false">
      <c r="N502" s="0" t="str">
        <f aca="false">IF(H502="","",IFERROR(LEFT(H502,FIND(" ",H502)-1),H502))</f>
        <v/>
      </c>
      <c r="O502" s="20" t="n">
        <f aca="false">IFERROR(DATE(VALUE(MID(N502,FIND("/",N502,FIND("/",N502)+1)+1,4)),VALUE(MID(N502,FIND("/",N502)+1,FIND("/",N502,FIND("/",N502)+1)-FIND("/",N502)-1)),VALUE(LEFT(N502,FIND("/",N502)-1))),0)</f>
        <v>0</v>
      </c>
    </row>
    <row r="503" customFormat="false" ht="15" hidden="false" customHeight="false" outlineLevel="0" collapsed="false">
      <c r="N503" s="0" t="str">
        <f aca="false">IF(H503="","",IFERROR(LEFT(H503,FIND(" ",H503)-1),H503))</f>
        <v/>
      </c>
      <c r="O503" s="20" t="n">
        <f aca="false">IFERROR(DATE(VALUE(MID(N503,FIND("/",N503,FIND("/",N503)+1)+1,4)),VALUE(MID(N503,FIND("/",N503)+1,FIND("/",N503,FIND("/",N503)+1)-FIND("/",N503)-1)),VALUE(LEFT(N503,FIND("/",N503)-1))),0)</f>
        <v>0</v>
      </c>
    </row>
    <row r="504" customFormat="false" ht="15" hidden="false" customHeight="false" outlineLevel="0" collapsed="false">
      <c r="N504" s="0" t="str">
        <f aca="false">IF(H504="","",IFERROR(LEFT(H504,FIND(" ",H504)-1),H504))</f>
        <v/>
      </c>
      <c r="O504" s="20" t="n">
        <f aca="false">IFERROR(DATE(VALUE(MID(N504,FIND("/",N504,FIND("/",N504)+1)+1,4)),VALUE(MID(N504,FIND("/",N504)+1,FIND("/",N504,FIND("/",N504)+1)-FIND("/",N504)-1)),VALUE(LEFT(N504,FIND("/",N504)-1))),0)</f>
        <v>0</v>
      </c>
    </row>
    <row r="505" customFormat="false" ht="15" hidden="false" customHeight="false" outlineLevel="0" collapsed="false">
      <c r="N505" s="0" t="str">
        <f aca="false">IF(H505="","",IFERROR(LEFT(H505,FIND(" ",H505)-1),H505))</f>
        <v/>
      </c>
      <c r="O505" s="20" t="n">
        <f aca="false">IFERROR(DATE(VALUE(MID(N505,FIND("/",N505,FIND("/",N505)+1)+1,4)),VALUE(MID(N505,FIND("/",N505)+1,FIND("/",N505,FIND("/",N505)+1)-FIND("/",N505)-1)),VALUE(LEFT(N505,FIND("/",N505)-1))),0)</f>
        <v>0</v>
      </c>
    </row>
    <row r="506" customFormat="false" ht="15" hidden="false" customHeight="false" outlineLevel="0" collapsed="false">
      <c r="N506" s="0" t="str">
        <f aca="false">IF(H506="","",IFERROR(LEFT(H506,FIND(" ",H506)-1),H506))</f>
        <v/>
      </c>
      <c r="O506" s="20" t="n">
        <f aca="false">IFERROR(DATE(VALUE(MID(N506,FIND("/",N506,FIND("/",N506)+1)+1,4)),VALUE(MID(N506,FIND("/",N506)+1,FIND("/",N506,FIND("/",N506)+1)-FIND("/",N506)-1)),VALUE(LEFT(N506,FIND("/",N506)-1))),0)</f>
        <v>0</v>
      </c>
    </row>
    <row r="507" customFormat="false" ht="15" hidden="false" customHeight="false" outlineLevel="0" collapsed="false">
      <c r="N507" s="0" t="str">
        <f aca="false">IF(H507="","",IFERROR(LEFT(H507,FIND(" ",H507)-1),H507))</f>
        <v/>
      </c>
      <c r="O507" s="20" t="n">
        <f aca="false">IFERROR(DATE(VALUE(MID(N507,FIND("/",N507,FIND("/",N507)+1)+1,4)),VALUE(MID(N507,FIND("/",N507)+1,FIND("/",N507,FIND("/",N507)+1)-FIND("/",N507)-1)),VALUE(LEFT(N507,FIND("/",N507)-1))),0)</f>
        <v>0</v>
      </c>
    </row>
    <row r="508" customFormat="false" ht="15" hidden="false" customHeight="false" outlineLevel="0" collapsed="false">
      <c r="N508" s="0" t="str">
        <f aca="false">IF(H508="","",IFERROR(LEFT(H508,FIND(" ",H508)-1),H508))</f>
        <v/>
      </c>
      <c r="O508" s="20" t="n">
        <f aca="false">IFERROR(DATE(VALUE(MID(N508,FIND("/",N508,FIND("/",N508)+1)+1,4)),VALUE(MID(N508,FIND("/",N508)+1,FIND("/",N508,FIND("/",N508)+1)-FIND("/",N508)-1)),VALUE(LEFT(N508,FIND("/",N508)-1))),0)</f>
        <v>0</v>
      </c>
    </row>
    <row r="509" customFormat="false" ht="15" hidden="false" customHeight="false" outlineLevel="0" collapsed="false">
      <c r="N509" s="0" t="str">
        <f aca="false">IF(H509="","",IFERROR(LEFT(H509,FIND(" ",H509)-1),H509))</f>
        <v/>
      </c>
      <c r="O509" s="20" t="n">
        <f aca="false">IFERROR(DATE(VALUE(MID(N509,FIND("/",N509,FIND("/",N509)+1)+1,4)),VALUE(MID(N509,FIND("/",N509)+1,FIND("/",N509,FIND("/",N509)+1)-FIND("/",N509)-1)),VALUE(LEFT(N509,FIND("/",N509)-1))),0)</f>
        <v>0</v>
      </c>
    </row>
    <row r="510" customFormat="false" ht="15" hidden="false" customHeight="false" outlineLevel="0" collapsed="false">
      <c r="N510" s="0" t="str">
        <f aca="false">IF(H510="","",IFERROR(LEFT(H510,FIND(" ",H510)-1),H510))</f>
        <v/>
      </c>
      <c r="O510" s="20" t="n">
        <f aca="false">IFERROR(DATE(VALUE(MID(N510,FIND("/",N510,FIND("/",N510)+1)+1,4)),VALUE(MID(N510,FIND("/",N510)+1,FIND("/",N510,FIND("/",N510)+1)-FIND("/",N510)-1)),VALUE(LEFT(N510,FIND("/",N510)-1))),0)</f>
        <v>0</v>
      </c>
    </row>
    <row r="511" customFormat="false" ht="15" hidden="false" customHeight="false" outlineLevel="0" collapsed="false">
      <c r="N511" s="0" t="str">
        <f aca="false">IF(H511="","",IFERROR(LEFT(H511,FIND(" ",H511)-1),H511))</f>
        <v/>
      </c>
      <c r="O511" s="20" t="n">
        <f aca="false">IFERROR(DATE(VALUE(MID(N511,FIND("/",N511,FIND("/",N511)+1)+1,4)),VALUE(MID(N511,FIND("/",N511)+1,FIND("/",N511,FIND("/",N511)+1)-FIND("/",N511)-1)),VALUE(LEFT(N511,FIND("/",N511)-1))),0)</f>
        <v>0</v>
      </c>
    </row>
    <row r="512" customFormat="false" ht="15" hidden="false" customHeight="false" outlineLevel="0" collapsed="false">
      <c r="N512" s="0" t="str">
        <f aca="false">IF(H512="","",IFERROR(LEFT(H512,FIND(" ",H512)-1),H512))</f>
        <v/>
      </c>
      <c r="O512" s="20" t="n">
        <f aca="false">IFERROR(DATE(VALUE(MID(N512,FIND("/",N512,FIND("/",N512)+1)+1,4)),VALUE(MID(N512,FIND("/",N512)+1,FIND("/",N512,FIND("/",N512)+1)-FIND("/",N512)-1)),VALUE(LEFT(N512,FIND("/",N512)-1))),0)</f>
        <v>0</v>
      </c>
    </row>
    <row r="513" customFormat="false" ht="15" hidden="false" customHeight="false" outlineLevel="0" collapsed="false">
      <c r="N513" s="0" t="str">
        <f aca="false">IF(H513="","",IFERROR(LEFT(H513,FIND(" ",H513)-1),H513))</f>
        <v/>
      </c>
      <c r="O513" s="20" t="n">
        <f aca="false">IFERROR(DATE(VALUE(MID(N513,FIND("/",N513,FIND("/",N513)+1)+1,4)),VALUE(MID(N513,FIND("/",N513)+1,FIND("/",N513,FIND("/",N513)+1)-FIND("/",N513)-1)),VALUE(LEFT(N513,FIND("/",N513)-1))),0)</f>
        <v>0</v>
      </c>
    </row>
    <row r="514" customFormat="false" ht="15" hidden="false" customHeight="false" outlineLevel="0" collapsed="false">
      <c r="N514" s="0" t="str">
        <f aca="false">IF(H514="","",IFERROR(LEFT(H514,FIND(" ",H514)-1),H514))</f>
        <v/>
      </c>
      <c r="O514" s="20" t="n">
        <f aca="false">IFERROR(DATE(VALUE(MID(N514,FIND("/",N514,FIND("/",N514)+1)+1,4)),VALUE(MID(N514,FIND("/",N514)+1,FIND("/",N514,FIND("/",N514)+1)-FIND("/",N514)-1)),VALUE(LEFT(N514,FIND("/",N514)-1))),0)</f>
        <v>0</v>
      </c>
    </row>
    <row r="515" customFormat="false" ht="15" hidden="false" customHeight="false" outlineLevel="0" collapsed="false">
      <c r="N515" s="0" t="str">
        <f aca="false">IF(H515="","",IFERROR(LEFT(H515,FIND(" ",H515)-1),H515))</f>
        <v/>
      </c>
      <c r="O515" s="20" t="n">
        <f aca="false">IFERROR(DATE(VALUE(MID(N515,FIND("/",N515,FIND("/",N515)+1)+1,4)),VALUE(MID(N515,FIND("/",N515)+1,FIND("/",N515,FIND("/",N515)+1)-FIND("/",N515)-1)),VALUE(LEFT(N515,FIND("/",N515)-1))),0)</f>
        <v>0</v>
      </c>
    </row>
    <row r="516" customFormat="false" ht="15" hidden="false" customHeight="false" outlineLevel="0" collapsed="false">
      <c r="N516" s="0" t="str">
        <f aca="false">IF(H516="","",IFERROR(LEFT(H516,FIND(" ",H516)-1),H516))</f>
        <v/>
      </c>
      <c r="O516" s="20" t="n">
        <f aca="false">IFERROR(DATE(VALUE(MID(N516,FIND("/",N516,FIND("/",N516)+1)+1,4)),VALUE(MID(N516,FIND("/",N516)+1,FIND("/",N516,FIND("/",N516)+1)-FIND("/",N516)-1)),VALUE(LEFT(N516,FIND("/",N516)-1))),0)</f>
        <v>0</v>
      </c>
    </row>
    <row r="517" customFormat="false" ht="15" hidden="false" customHeight="false" outlineLevel="0" collapsed="false">
      <c r="N517" s="0" t="str">
        <f aca="false">IF(H517="","",IFERROR(LEFT(H517,FIND(" ",H517)-1),H517))</f>
        <v/>
      </c>
      <c r="O517" s="20" t="n">
        <f aca="false">IFERROR(DATE(VALUE(MID(N517,FIND("/",N517,FIND("/",N517)+1)+1,4)),VALUE(MID(N517,FIND("/",N517)+1,FIND("/",N517,FIND("/",N517)+1)-FIND("/",N517)-1)),VALUE(LEFT(N517,FIND("/",N517)-1))),0)</f>
        <v>0</v>
      </c>
    </row>
    <row r="518" customFormat="false" ht="15" hidden="false" customHeight="false" outlineLevel="0" collapsed="false">
      <c r="N518" s="0" t="str">
        <f aca="false">IF(H518="","",IFERROR(LEFT(H518,FIND(" ",H518)-1),H518))</f>
        <v/>
      </c>
      <c r="O518" s="20" t="n">
        <f aca="false">IFERROR(DATE(VALUE(MID(N518,FIND("/",N518,FIND("/",N518)+1)+1,4)),VALUE(MID(N518,FIND("/",N518)+1,FIND("/",N518,FIND("/",N518)+1)-FIND("/",N518)-1)),VALUE(LEFT(N518,FIND("/",N518)-1))),0)</f>
        <v>0</v>
      </c>
    </row>
    <row r="519" customFormat="false" ht="15" hidden="false" customHeight="false" outlineLevel="0" collapsed="false">
      <c r="N519" s="0" t="str">
        <f aca="false">IF(H519="","",IFERROR(LEFT(H519,FIND(" ",H519)-1),H519))</f>
        <v/>
      </c>
      <c r="O519" s="20" t="n">
        <f aca="false">IFERROR(DATE(VALUE(MID(N519,FIND("/",N519,FIND("/",N519)+1)+1,4)),VALUE(MID(N519,FIND("/",N519)+1,FIND("/",N519,FIND("/",N519)+1)-FIND("/",N519)-1)),VALUE(LEFT(N519,FIND("/",N519)-1))),0)</f>
        <v>0</v>
      </c>
    </row>
    <row r="520" customFormat="false" ht="15" hidden="false" customHeight="false" outlineLevel="0" collapsed="false">
      <c r="N520" s="0" t="str">
        <f aca="false">IF(H520="","",IFERROR(LEFT(H520,FIND(" ",H520)-1),H520))</f>
        <v/>
      </c>
      <c r="O520" s="20" t="n">
        <f aca="false">IFERROR(DATE(VALUE(MID(N520,FIND("/",N520,FIND("/",N520)+1)+1,4)),VALUE(MID(N520,FIND("/",N520)+1,FIND("/",N520,FIND("/",N520)+1)-FIND("/",N520)-1)),VALUE(LEFT(N520,FIND("/",N520)-1))),0)</f>
        <v>0</v>
      </c>
    </row>
    <row r="521" customFormat="false" ht="15" hidden="false" customHeight="false" outlineLevel="0" collapsed="false">
      <c r="N521" s="0" t="str">
        <f aca="false">IF(H521="","",IFERROR(LEFT(H521,FIND(" ",H521)-1),H521))</f>
        <v/>
      </c>
      <c r="O521" s="20" t="n">
        <f aca="false">IFERROR(DATE(VALUE(MID(N521,FIND("/",N521,FIND("/",N521)+1)+1,4)),VALUE(MID(N521,FIND("/",N521)+1,FIND("/",N521,FIND("/",N521)+1)-FIND("/",N521)-1)),VALUE(LEFT(N521,FIND("/",N521)-1))),0)</f>
        <v>0</v>
      </c>
    </row>
    <row r="522" customFormat="false" ht="15" hidden="false" customHeight="false" outlineLevel="0" collapsed="false">
      <c r="N522" s="0" t="str">
        <f aca="false">IF(H522="","",IFERROR(LEFT(H522,FIND(" ",H522)-1),H522))</f>
        <v/>
      </c>
      <c r="O522" s="20" t="n">
        <f aca="false">IFERROR(DATE(VALUE(MID(N522,FIND("/",N522,FIND("/",N522)+1)+1,4)),VALUE(MID(N522,FIND("/",N522)+1,FIND("/",N522,FIND("/",N522)+1)-FIND("/",N522)-1)),VALUE(LEFT(N522,FIND("/",N522)-1))),0)</f>
        <v>0</v>
      </c>
    </row>
    <row r="523" customFormat="false" ht="15" hidden="false" customHeight="false" outlineLevel="0" collapsed="false">
      <c r="N523" s="0" t="str">
        <f aca="false">IF(H523="","",IFERROR(LEFT(H523,FIND(" ",H523)-1),H523))</f>
        <v/>
      </c>
      <c r="O523" s="20" t="n">
        <f aca="false">IFERROR(DATE(VALUE(MID(N523,FIND("/",N523,FIND("/",N523)+1)+1,4)),VALUE(MID(N523,FIND("/",N523)+1,FIND("/",N523,FIND("/",N523)+1)-FIND("/",N523)-1)),VALUE(LEFT(N523,FIND("/",N523)-1))),0)</f>
        <v>0</v>
      </c>
    </row>
    <row r="524" customFormat="false" ht="15" hidden="false" customHeight="false" outlineLevel="0" collapsed="false">
      <c r="N524" s="0" t="str">
        <f aca="false">IF(H524="","",IFERROR(LEFT(H524,FIND(" ",H524)-1),H524))</f>
        <v/>
      </c>
      <c r="O524" s="20" t="n">
        <f aca="false">IFERROR(DATE(VALUE(MID(N524,FIND("/",N524,FIND("/",N524)+1)+1,4)),VALUE(MID(N524,FIND("/",N524)+1,FIND("/",N524,FIND("/",N524)+1)-FIND("/",N524)-1)),VALUE(LEFT(N524,FIND("/",N524)-1))),0)</f>
        <v>0</v>
      </c>
    </row>
    <row r="525" customFormat="false" ht="15" hidden="false" customHeight="false" outlineLevel="0" collapsed="false">
      <c r="N525" s="0" t="str">
        <f aca="false">IF(H525="","",IFERROR(LEFT(H525,FIND(" ",H525)-1),H525))</f>
        <v/>
      </c>
      <c r="O525" s="20" t="n">
        <f aca="false">IFERROR(DATE(VALUE(MID(N525,FIND("/",N525,FIND("/",N525)+1)+1,4)),VALUE(MID(N525,FIND("/",N525)+1,FIND("/",N525,FIND("/",N525)+1)-FIND("/",N525)-1)),VALUE(LEFT(N525,FIND("/",N525)-1))),0)</f>
        <v>0</v>
      </c>
    </row>
    <row r="526" customFormat="false" ht="15" hidden="false" customHeight="false" outlineLevel="0" collapsed="false">
      <c r="N526" s="0" t="str">
        <f aca="false">IF(H526="","",IFERROR(LEFT(H526,FIND(" ",H526)-1),H526))</f>
        <v/>
      </c>
      <c r="O526" s="20" t="n">
        <f aca="false">IFERROR(DATE(VALUE(MID(N526,FIND("/",N526,FIND("/",N526)+1)+1,4)),VALUE(MID(N526,FIND("/",N526)+1,FIND("/",N526,FIND("/",N526)+1)-FIND("/",N526)-1)),VALUE(LEFT(N526,FIND("/",N526)-1))),0)</f>
        <v>0</v>
      </c>
    </row>
    <row r="527" customFormat="false" ht="15" hidden="false" customHeight="false" outlineLevel="0" collapsed="false">
      <c r="N527" s="0" t="str">
        <f aca="false">IF(H527="","",IFERROR(LEFT(H527,FIND(" ",H527)-1),H527))</f>
        <v/>
      </c>
      <c r="O527" s="20" t="n">
        <f aca="false">IFERROR(DATE(VALUE(MID(N527,FIND("/",N527,FIND("/",N527)+1)+1,4)),VALUE(MID(N527,FIND("/",N527)+1,FIND("/",N527,FIND("/",N527)+1)-FIND("/",N527)-1)),VALUE(LEFT(N527,FIND("/",N527)-1))),0)</f>
        <v>0</v>
      </c>
    </row>
    <row r="528" customFormat="false" ht="15" hidden="false" customHeight="false" outlineLevel="0" collapsed="false">
      <c r="N528" s="0" t="str">
        <f aca="false">IF(H528="","",IFERROR(LEFT(H528,FIND(" ",H528)-1),H528))</f>
        <v/>
      </c>
      <c r="O528" s="20" t="n">
        <f aca="false">IFERROR(DATE(VALUE(MID(N528,FIND("/",N528,FIND("/",N528)+1)+1,4)),VALUE(MID(N528,FIND("/",N528)+1,FIND("/",N528,FIND("/",N528)+1)-FIND("/",N528)-1)),VALUE(LEFT(N528,FIND("/",N528)-1))),0)</f>
        <v>0</v>
      </c>
    </row>
    <row r="529" customFormat="false" ht="15" hidden="false" customHeight="false" outlineLevel="0" collapsed="false">
      <c r="N529" s="0" t="str">
        <f aca="false">IF(H529="","",IFERROR(LEFT(H529,FIND(" ",H529)-1),H529))</f>
        <v/>
      </c>
      <c r="O529" s="20" t="n">
        <f aca="false">IFERROR(DATE(VALUE(MID(N529,FIND("/",N529,FIND("/",N529)+1)+1,4)),VALUE(MID(N529,FIND("/",N529)+1,FIND("/",N529,FIND("/",N529)+1)-FIND("/",N529)-1)),VALUE(LEFT(N529,FIND("/",N529)-1))),0)</f>
        <v>0</v>
      </c>
    </row>
    <row r="530" customFormat="false" ht="15" hidden="false" customHeight="false" outlineLevel="0" collapsed="false">
      <c r="N530" s="0" t="str">
        <f aca="false">IF(H530="","",IFERROR(LEFT(H530,FIND(" ",H530)-1),H530))</f>
        <v/>
      </c>
      <c r="O530" s="20" t="n">
        <f aca="false">IFERROR(DATE(VALUE(MID(N530,FIND("/",N530,FIND("/",N530)+1)+1,4)),VALUE(MID(N530,FIND("/",N530)+1,FIND("/",N530,FIND("/",N530)+1)-FIND("/",N530)-1)),VALUE(LEFT(N530,FIND("/",N530)-1))),0)</f>
        <v>0</v>
      </c>
    </row>
    <row r="531" customFormat="false" ht="15" hidden="false" customHeight="false" outlineLevel="0" collapsed="false">
      <c r="N531" s="0" t="str">
        <f aca="false">IF(H531="","",IFERROR(LEFT(H531,FIND(" ",H531)-1),H531))</f>
        <v/>
      </c>
      <c r="O531" s="20" t="n">
        <f aca="false">IFERROR(DATE(VALUE(MID(N531,FIND("/",N531,FIND("/",N531)+1)+1,4)),VALUE(MID(N531,FIND("/",N531)+1,FIND("/",N531,FIND("/",N531)+1)-FIND("/",N531)-1)),VALUE(LEFT(N531,FIND("/",N531)-1))),0)</f>
        <v>0</v>
      </c>
    </row>
    <row r="532" customFormat="false" ht="15" hidden="false" customHeight="false" outlineLevel="0" collapsed="false">
      <c r="N532" s="0" t="str">
        <f aca="false">IF(H532="","",IFERROR(LEFT(H532,FIND(" ",H532)-1),H532))</f>
        <v/>
      </c>
      <c r="O532" s="20" t="n">
        <f aca="false">IFERROR(DATE(VALUE(MID(N532,FIND("/",N532,FIND("/",N532)+1)+1,4)),VALUE(MID(N532,FIND("/",N532)+1,FIND("/",N532,FIND("/",N532)+1)-FIND("/",N532)-1)),VALUE(LEFT(N532,FIND("/",N532)-1))),0)</f>
        <v>0</v>
      </c>
    </row>
    <row r="533" customFormat="false" ht="15" hidden="false" customHeight="false" outlineLevel="0" collapsed="false">
      <c r="N533" s="0" t="str">
        <f aca="false">IF(H533="","",IFERROR(LEFT(H533,FIND(" ",H533)-1),H533))</f>
        <v/>
      </c>
      <c r="O533" s="20" t="n">
        <f aca="false">IFERROR(DATE(VALUE(MID(N533,FIND("/",N533,FIND("/",N533)+1)+1,4)),VALUE(MID(N533,FIND("/",N533)+1,FIND("/",N533,FIND("/",N533)+1)-FIND("/",N533)-1)),VALUE(LEFT(N533,FIND("/",N533)-1))),0)</f>
        <v>0</v>
      </c>
    </row>
    <row r="534" customFormat="false" ht="15" hidden="false" customHeight="false" outlineLevel="0" collapsed="false">
      <c r="N534" s="0" t="str">
        <f aca="false">IF(H534="","",IFERROR(LEFT(H534,FIND(" ",H534)-1),H534))</f>
        <v/>
      </c>
      <c r="O534" s="20" t="n">
        <f aca="false">IFERROR(DATE(VALUE(MID(N534,FIND("/",N534,FIND("/",N534)+1)+1,4)),VALUE(MID(N534,FIND("/",N534)+1,FIND("/",N534,FIND("/",N534)+1)-FIND("/",N534)-1)),VALUE(LEFT(N534,FIND("/",N534)-1))),0)</f>
        <v>0</v>
      </c>
    </row>
    <row r="535" customFormat="false" ht="15" hidden="false" customHeight="false" outlineLevel="0" collapsed="false">
      <c r="N535" s="0" t="str">
        <f aca="false">IF(H535="","",IFERROR(LEFT(H535,FIND(" ",H535)-1),H535))</f>
        <v/>
      </c>
      <c r="O535" s="20" t="n">
        <f aca="false">IFERROR(DATE(VALUE(MID(N535,FIND("/",N535,FIND("/",N535)+1)+1,4)),VALUE(MID(N535,FIND("/",N535)+1,FIND("/",N535,FIND("/",N535)+1)-FIND("/",N535)-1)),VALUE(LEFT(N535,FIND("/",N535)-1))),0)</f>
        <v>0</v>
      </c>
    </row>
    <row r="536" customFormat="false" ht="15" hidden="false" customHeight="false" outlineLevel="0" collapsed="false">
      <c r="N536" s="0" t="str">
        <f aca="false">IF(H536="","",IFERROR(LEFT(H536,FIND(" ",H536)-1),H536))</f>
        <v/>
      </c>
      <c r="O536" s="20" t="n">
        <f aca="false">IFERROR(DATE(VALUE(MID(N536,FIND("/",N536,FIND("/",N536)+1)+1,4)),VALUE(MID(N536,FIND("/",N536)+1,FIND("/",N536,FIND("/",N536)+1)-FIND("/",N536)-1)),VALUE(LEFT(N536,FIND("/",N536)-1))),0)</f>
        <v>0</v>
      </c>
    </row>
    <row r="537" customFormat="false" ht="15" hidden="false" customHeight="false" outlineLevel="0" collapsed="false">
      <c r="N537" s="0" t="str">
        <f aca="false">IF(H537="","",IFERROR(LEFT(H537,FIND(" ",H537)-1),H537))</f>
        <v/>
      </c>
      <c r="O537" s="20" t="n">
        <f aca="false">IFERROR(DATE(VALUE(MID(N537,FIND("/",N537,FIND("/",N537)+1)+1,4)),VALUE(MID(N537,FIND("/",N537)+1,FIND("/",N537,FIND("/",N537)+1)-FIND("/",N537)-1)),VALUE(LEFT(N537,FIND("/",N537)-1))),0)</f>
        <v>0</v>
      </c>
    </row>
    <row r="538" customFormat="false" ht="15" hidden="false" customHeight="false" outlineLevel="0" collapsed="false">
      <c r="N538" s="0" t="str">
        <f aca="false">IF(H538="","",IFERROR(LEFT(H538,FIND(" ",H538)-1),H538))</f>
        <v/>
      </c>
      <c r="O538" s="20" t="n">
        <f aca="false">IFERROR(DATE(VALUE(MID(N538,FIND("/",N538,FIND("/",N538)+1)+1,4)),VALUE(MID(N538,FIND("/",N538)+1,FIND("/",N538,FIND("/",N538)+1)-FIND("/",N538)-1)),VALUE(LEFT(N538,FIND("/",N538)-1))),0)</f>
        <v>0</v>
      </c>
    </row>
    <row r="539" customFormat="false" ht="15" hidden="false" customHeight="false" outlineLevel="0" collapsed="false">
      <c r="N539" s="0" t="str">
        <f aca="false">IF(H539="","",IFERROR(LEFT(H539,FIND(" ",H539)-1),H539))</f>
        <v/>
      </c>
      <c r="O539" s="20" t="n">
        <f aca="false">IFERROR(DATE(VALUE(MID(N539,FIND("/",N539,FIND("/",N539)+1)+1,4)),VALUE(MID(N539,FIND("/",N539)+1,FIND("/",N539,FIND("/",N539)+1)-FIND("/",N539)-1)),VALUE(LEFT(N539,FIND("/",N539)-1))),0)</f>
        <v>0</v>
      </c>
    </row>
    <row r="540" customFormat="false" ht="15" hidden="false" customHeight="false" outlineLevel="0" collapsed="false">
      <c r="N540" s="0" t="str">
        <f aca="false">IF(H540="","",IFERROR(LEFT(H540,FIND(" ",H540)-1),H540))</f>
        <v/>
      </c>
      <c r="O540" s="20" t="n">
        <f aca="false">IFERROR(DATE(VALUE(MID(N540,FIND("/",N540,FIND("/",N540)+1)+1,4)),VALUE(MID(N540,FIND("/",N540)+1,FIND("/",N540,FIND("/",N540)+1)-FIND("/",N540)-1)),VALUE(LEFT(N540,FIND("/",N540)-1))),0)</f>
        <v>0</v>
      </c>
    </row>
    <row r="541" customFormat="false" ht="15" hidden="false" customHeight="false" outlineLevel="0" collapsed="false">
      <c r="N541" s="0" t="str">
        <f aca="false">IF(H541="","",IFERROR(LEFT(H541,FIND(" ",H541)-1),H541))</f>
        <v/>
      </c>
      <c r="O541" s="20" t="n">
        <f aca="false">IFERROR(DATE(VALUE(MID(N541,FIND("/",N541,FIND("/",N541)+1)+1,4)),VALUE(MID(N541,FIND("/",N541)+1,FIND("/",N541,FIND("/",N541)+1)-FIND("/",N541)-1)),VALUE(LEFT(N541,FIND("/",N541)-1))),0)</f>
        <v>0</v>
      </c>
    </row>
    <row r="542" customFormat="false" ht="15" hidden="false" customHeight="false" outlineLevel="0" collapsed="false">
      <c r="N542" s="0" t="str">
        <f aca="false">IF(H542="","",IFERROR(LEFT(H542,FIND(" ",H542)-1),H542))</f>
        <v/>
      </c>
      <c r="O542" s="20" t="n">
        <f aca="false">IFERROR(DATE(VALUE(MID(N542,FIND("/",N542,FIND("/",N542)+1)+1,4)),VALUE(MID(N542,FIND("/",N542)+1,FIND("/",N542,FIND("/",N542)+1)-FIND("/",N542)-1)),VALUE(LEFT(N542,FIND("/",N542)-1))),0)</f>
        <v>0</v>
      </c>
    </row>
    <row r="543" customFormat="false" ht="15" hidden="false" customHeight="false" outlineLevel="0" collapsed="false">
      <c r="N543" s="0" t="str">
        <f aca="false">IF(H543="","",IFERROR(LEFT(H543,FIND(" ",H543)-1),H543))</f>
        <v/>
      </c>
      <c r="O543" s="20" t="n">
        <f aca="false">IFERROR(DATE(VALUE(MID(N543,FIND("/",N543,FIND("/",N543)+1)+1,4)),VALUE(MID(N543,FIND("/",N543)+1,FIND("/",N543,FIND("/",N543)+1)-FIND("/",N543)-1)),VALUE(LEFT(N543,FIND("/",N543)-1))),0)</f>
        <v>0</v>
      </c>
    </row>
    <row r="544" customFormat="false" ht="15" hidden="false" customHeight="false" outlineLevel="0" collapsed="false">
      <c r="N544" s="0" t="str">
        <f aca="false">IF(H544="","",IFERROR(LEFT(H544,FIND(" ",H544)-1),H544))</f>
        <v/>
      </c>
      <c r="O544" s="20" t="n">
        <f aca="false">IFERROR(DATE(VALUE(MID(N544,FIND("/",N544,FIND("/",N544)+1)+1,4)),VALUE(MID(N544,FIND("/",N544)+1,FIND("/",N544,FIND("/",N544)+1)-FIND("/",N544)-1)),VALUE(LEFT(N544,FIND("/",N544)-1))),0)</f>
        <v>0</v>
      </c>
    </row>
    <row r="545" customFormat="false" ht="15" hidden="false" customHeight="false" outlineLevel="0" collapsed="false">
      <c r="N545" s="0" t="str">
        <f aca="false">IF(H545="","",IFERROR(LEFT(H545,FIND(" ",H545)-1),H545))</f>
        <v/>
      </c>
      <c r="O545" s="20" t="n">
        <f aca="false">IFERROR(DATE(VALUE(MID(N545,FIND("/",N545,FIND("/",N545)+1)+1,4)),VALUE(MID(N545,FIND("/",N545)+1,FIND("/",N545,FIND("/",N545)+1)-FIND("/",N545)-1)),VALUE(LEFT(N545,FIND("/",N545)-1))),0)</f>
        <v>0</v>
      </c>
    </row>
    <row r="546" customFormat="false" ht="15" hidden="false" customHeight="false" outlineLevel="0" collapsed="false">
      <c r="N546" s="0" t="str">
        <f aca="false">IF(H546="","",IFERROR(LEFT(H546,FIND(" ",H546)-1),H546))</f>
        <v/>
      </c>
      <c r="O546" s="20" t="n">
        <f aca="false">IFERROR(DATE(VALUE(MID(N546,FIND("/",N546,FIND("/",N546)+1)+1,4)),VALUE(MID(N546,FIND("/",N546)+1,FIND("/",N546,FIND("/",N546)+1)-FIND("/",N546)-1)),VALUE(LEFT(N546,FIND("/",N546)-1))),0)</f>
        <v>0</v>
      </c>
    </row>
    <row r="547" customFormat="false" ht="15" hidden="false" customHeight="false" outlineLevel="0" collapsed="false">
      <c r="N547" s="0" t="str">
        <f aca="false">IF(H547="","",IFERROR(LEFT(H547,FIND(" ",H547)-1),H547))</f>
        <v/>
      </c>
      <c r="O547" s="20" t="n">
        <f aca="false">IFERROR(DATE(VALUE(MID(N547,FIND("/",N547,FIND("/",N547)+1)+1,4)),VALUE(MID(N547,FIND("/",N547)+1,FIND("/",N547,FIND("/",N547)+1)-FIND("/",N547)-1)),VALUE(LEFT(N547,FIND("/",N547)-1))),0)</f>
        <v>0</v>
      </c>
    </row>
    <row r="548" customFormat="false" ht="15" hidden="false" customHeight="false" outlineLevel="0" collapsed="false">
      <c r="N548" s="0" t="str">
        <f aca="false">IF(H548="","",IFERROR(LEFT(H548,FIND(" ",H548)-1),H548))</f>
        <v/>
      </c>
      <c r="O548" s="20" t="n">
        <f aca="false">IFERROR(DATE(VALUE(MID(N548,FIND("/",N548,FIND("/",N548)+1)+1,4)),VALUE(MID(N548,FIND("/",N548)+1,FIND("/",N548,FIND("/",N548)+1)-FIND("/",N548)-1)),VALUE(LEFT(N548,FIND("/",N548)-1))),0)</f>
        <v>0</v>
      </c>
    </row>
    <row r="549" customFormat="false" ht="15" hidden="false" customHeight="false" outlineLevel="0" collapsed="false">
      <c r="N549" s="0" t="str">
        <f aca="false">IF(H549="","",IFERROR(LEFT(H549,FIND(" ",H549)-1),H549))</f>
        <v/>
      </c>
      <c r="O549" s="20" t="n">
        <f aca="false">IFERROR(DATE(VALUE(MID(N549,FIND("/",N549,FIND("/",N549)+1)+1,4)),VALUE(MID(N549,FIND("/",N549)+1,FIND("/",N549,FIND("/",N549)+1)-FIND("/",N549)-1)),VALUE(LEFT(N549,FIND("/",N549)-1))),0)</f>
        <v>0</v>
      </c>
    </row>
    <row r="550" customFormat="false" ht="15" hidden="false" customHeight="false" outlineLevel="0" collapsed="false">
      <c r="N550" s="0" t="str">
        <f aca="false">IF(H550="","",IFERROR(LEFT(H550,FIND(" ",H550)-1),H550))</f>
        <v/>
      </c>
      <c r="O550" s="20" t="n">
        <f aca="false">IFERROR(DATE(VALUE(MID(N550,FIND("/",N550,FIND("/",N550)+1)+1,4)),VALUE(MID(N550,FIND("/",N550)+1,FIND("/",N550,FIND("/",N550)+1)-FIND("/",N550)-1)),VALUE(LEFT(N550,FIND("/",N550)-1))),0)</f>
        <v>0</v>
      </c>
    </row>
    <row r="551" customFormat="false" ht="15" hidden="false" customHeight="false" outlineLevel="0" collapsed="false">
      <c r="N551" s="0" t="str">
        <f aca="false">IF(H551="","",IFERROR(LEFT(H551,FIND(" ",H551)-1),H551))</f>
        <v/>
      </c>
      <c r="O551" s="20" t="n">
        <f aca="false">IFERROR(DATE(VALUE(MID(N551,FIND("/",N551,FIND("/",N551)+1)+1,4)),VALUE(MID(N551,FIND("/",N551)+1,FIND("/",N551,FIND("/",N551)+1)-FIND("/",N551)-1)),VALUE(LEFT(N551,FIND("/",N551)-1))),0)</f>
        <v>0</v>
      </c>
    </row>
    <row r="552" customFormat="false" ht="15" hidden="false" customHeight="false" outlineLevel="0" collapsed="false">
      <c r="N552" s="0" t="str">
        <f aca="false">IF(H552="","",IFERROR(LEFT(H552,FIND(" ",H552)-1),H552))</f>
        <v/>
      </c>
      <c r="O552" s="20" t="n">
        <f aca="false">IFERROR(DATE(VALUE(MID(N552,FIND("/",N552,FIND("/",N552)+1)+1,4)),VALUE(MID(N552,FIND("/",N552)+1,FIND("/",N552,FIND("/",N552)+1)-FIND("/",N552)-1)),VALUE(LEFT(N552,FIND("/",N552)-1))),0)</f>
        <v>0</v>
      </c>
    </row>
    <row r="553" customFormat="false" ht="15" hidden="false" customHeight="false" outlineLevel="0" collapsed="false">
      <c r="N553" s="0" t="str">
        <f aca="false">IF(H553="","",IFERROR(LEFT(H553,FIND(" ",H553)-1),H553))</f>
        <v/>
      </c>
      <c r="O553" s="20" t="n">
        <f aca="false">IFERROR(DATE(VALUE(MID(N553,FIND("/",N553,FIND("/",N553)+1)+1,4)),VALUE(MID(N553,FIND("/",N553)+1,FIND("/",N553,FIND("/",N553)+1)-FIND("/",N553)-1)),VALUE(LEFT(N553,FIND("/",N553)-1))),0)</f>
        <v>0</v>
      </c>
    </row>
    <row r="554" customFormat="false" ht="15" hidden="false" customHeight="false" outlineLevel="0" collapsed="false">
      <c r="N554" s="0" t="str">
        <f aca="false">IF(H554="","",IFERROR(LEFT(H554,FIND(" ",H554)-1),H554))</f>
        <v/>
      </c>
      <c r="O554" s="20" t="n">
        <f aca="false">IFERROR(DATE(VALUE(MID(N554,FIND("/",N554,FIND("/",N554)+1)+1,4)),VALUE(MID(N554,FIND("/",N554)+1,FIND("/",N554,FIND("/",N554)+1)-FIND("/",N554)-1)),VALUE(LEFT(N554,FIND("/",N554)-1))),0)</f>
        <v>0</v>
      </c>
    </row>
    <row r="555" customFormat="false" ht="15" hidden="false" customHeight="false" outlineLevel="0" collapsed="false">
      <c r="N555" s="0" t="str">
        <f aca="false">IF(H555="","",IFERROR(LEFT(H555,FIND(" ",H555)-1),H555))</f>
        <v/>
      </c>
      <c r="O555" s="20" t="n">
        <f aca="false">IFERROR(DATE(VALUE(MID(N555,FIND("/",N555,FIND("/",N555)+1)+1,4)),VALUE(MID(N555,FIND("/",N555)+1,FIND("/",N555,FIND("/",N555)+1)-FIND("/",N555)-1)),VALUE(LEFT(N555,FIND("/",N555)-1))),0)</f>
        <v>0</v>
      </c>
    </row>
    <row r="556" customFormat="false" ht="15" hidden="false" customHeight="false" outlineLevel="0" collapsed="false">
      <c r="N556" s="0" t="str">
        <f aca="false">IF(H556="","",IFERROR(LEFT(H556,FIND(" ",H556)-1),H556))</f>
        <v/>
      </c>
      <c r="O556" s="20" t="n">
        <f aca="false">IFERROR(DATE(VALUE(MID(N556,FIND("/",N556,FIND("/",N556)+1)+1,4)),VALUE(MID(N556,FIND("/",N556)+1,FIND("/",N556,FIND("/",N556)+1)-FIND("/",N556)-1)),VALUE(LEFT(N556,FIND("/",N556)-1))),0)</f>
        <v>0</v>
      </c>
    </row>
    <row r="557" customFormat="false" ht="15" hidden="false" customHeight="false" outlineLevel="0" collapsed="false">
      <c r="N557" s="0" t="str">
        <f aca="false">IF(H557="","",IFERROR(LEFT(H557,FIND(" ",H557)-1),H557))</f>
        <v/>
      </c>
      <c r="O557" s="20" t="n">
        <f aca="false">IFERROR(DATE(VALUE(MID(N557,FIND("/",N557,FIND("/",N557)+1)+1,4)),VALUE(MID(N557,FIND("/",N557)+1,FIND("/",N557,FIND("/",N557)+1)-FIND("/",N557)-1)),VALUE(LEFT(N557,FIND("/",N557)-1))),0)</f>
        <v>0</v>
      </c>
    </row>
    <row r="558" customFormat="false" ht="15" hidden="false" customHeight="false" outlineLevel="0" collapsed="false">
      <c r="N558" s="0" t="str">
        <f aca="false">IF(H558="","",IFERROR(LEFT(H558,FIND(" ",H558)-1),H558))</f>
        <v/>
      </c>
      <c r="O558" s="20" t="n">
        <f aca="false">IFERROR(DATE(VALUE(MID(N558,FIND("/",N558,FIND("/",N558)+1)+1,4)),VALUE(MID(N558,FIND("/",N558)+1,FIND("/",N558,FIND("/",N558)+1)-FIND("/",N558)-1)),VALUE(LEFT(N558,FIND("/",N558)-1))),0)</f>
        <v>0</v>
      </c>
    </row>
    <row r="559" customFormat="false" ht="15" hidden="false" customHeight="false" outlineLevel="0" collapsed="false">
      <c r="N559" s="0" t="str">
        <f aca="false">IF(H559="","",IFERROR(LEFT(H559,FIND(" ",H559)-1),H559))</f>
        <v/>
      </c>
      <c r="O559" s="20" t="n">
        <f aca="false">IFERROR(DATE(VALUE(MID(N559,FIND("/",N559,FIND("/",N559)+1)+1,4)),VALUE(MID(N559,FIND("/",N559)+1,FIND("/",N559,FIND("/",N559)+1)-FIND("/",N559)-1)),VALUE(LEFT(N559,FIND("/",N559)-1))),0)</f>
        <v>0</v>
      </c>
    </row>
    <row r="560" customFormat="false" ht="15" hidden="false" customHeight="false" outlineLevel="0" collapsed="false">
      <c r="N560" s="0" t="str">
        <f aca="false">IF(H560="","",IFERROR(LEFT(H560,FIND(" ",H560)-1),H560))</f>
        <v/>
      </c>
      <c r="O560" s="20" t="n">
        <f aca="false">IFERROR(DATE(VALUE(MID(N560,FIND("/",N560,FIND("/",N560)+1)+1,4)),VALUE(MID(N560,FIND("/",N560)+1,FIND("/",N560,FIND("/",N560)+1)-FIND("/",N560)-1)),VALUE(LEFT(N560,FIND("/",N560)-1))),0)</f>
        <v>0</v>
      </c>
    </row>
    <row r="561" customFormat="false" ht="15" hidden="false" customHeight="false" outlineLevel="0" collapsed="false">
      <c r="N561" s="0" t="str">
        <f aca="false">IF(H561="","",IFERROR(LEFT(H561,FIND(" ",H561)-1),H561))</f>
        <v/>
      </c>
      <c r="O561" s="20" t="n">
        <f aca="false">IFERROR(DATE(VALUE(MID(N561,FIND("/",N561,FIND("/",N561)+1)+1,4)),VALUE(MID(N561,FIND("/",N561)+1,FIND("/",N561,FIND("/",N561)+1)-FIND("/",N561)-1)),VALUE(LEFT(N561,FIND("/",N561)-1))),0)</f>
        <v>0</v>
      </c>
    </row>
    <row r="562" customFormat="false" ht="15" hidden="false" customHeight="false" outlineLevel="0" collapsed="false">
      <c r="N562" s="0" t="str">
        <f aca="false">IF(H562="","",IFERROR(LEFT(H562,FIND(" ",H562)-1),H562))</f>
        <v/>
      </c>
      <c r="O562" s="20" t="n">
        <f aca="false">IFERROR(DATE(VALUE(MID(N562,FIND("/",N562,FIND("/",N562)+1)+1,4)),VALUE(MID(N562,FIND("/",N562)+1,FIND("/",N562,FIND("/",N562)+1)-FIND("/",N562)-1)),VALUE(LEFT(N562,FIND("/",N562)-1))),0)</f>
        <v>0</v>
      </c>
    </row>
    <row r="563" customFormat="false" ht="15" hidden="false" customHeight="false" outlineLevel="0" collapsed="false">
      <c r="N563" s="0" t="str">
        <f aca="false">IF(H563="","",IFERROR(LEFT(H563,FIND(" ",H563)-1),H563))</f>
        <v/>
      </c>
      <c r="O563" s="20" t="n">
        <f aca="false">IFERROR(DATE(VALUE(MID(N563,FIND("/",N563,FIND("/",N563)+1)+1,4)),VALUE(MID(N563,FIND("/",N563)+1,FIND("/",N563,FIND("/",N563)+1)-FIND("/",N563)-1)),VALUE(LEFT(N563,FIND("/",N563)-1))),0)</f>
        <v>0</v>
      </c>
    </row>
    <row r="564" customFormat="false" ht="15" hidden="false" customHeight="false" outlineLevel="0" collapsed="false">
      <c r="N564" s="0" t="str">
        <f aca="false">IF(H564="","",IFERROR(LEFT(H564,FIND(" ",H564)-1),H564))</f>
        <v/>
      </c>
      <c r="O564" s="20" t="n">
        <f aca="false">IFERROR(DATE(VALUE(MID(N564,FIND("/",N564,FIND("/",N564)+1)+1,4)),VALUE(MID(N564,FIND("/",N564)+1,FIND("/",N564,FIND("/",N564)+1)-FIND("/",N564)-1)),VALUE(LEFT(N564,FIND("/",N564)-1))),0)</f>
        <v>0</v>
      </c>
    </row>
    <row r="565" customFormat="false" ht="15" hidden="false" customHeight="false" outlineLevel="0" collapsed="false">
      <c r="N565" s="0" t="str">
        <f aca="false">IF(H565="","",IFERROR(LEFT(H565,FIND(" ",H565)-1),H565))</f>
        <v/>
      </c>
      <c r="O565" s="20" t="n">
        <f aca="false">IFERROR(DATE(VALUE(MID(N565,FIND("/",N565,FIND("/",N565)+1)+1,4)),VALUE(MID(N565,FIND("/",N565)+1,FIND("/",N565,FIND("/",N565)+1)-FIND("/",N565)-1)),VALUE(LEFT(N565,FIND("/",N565)-1))),0)</f>
        <v>0</v>
      </c>
    </row>
    <row r="566" customFormat="false" ht="15" hidden="false" customHeight="false" outlineLevel="0" collapsed="false">
      <c r="N566" s="0" t="str">
        <f aca="false">IF(H566="","",IFERROR(LEFT(H566,FIND(" ",H566)-1),H566))</f>
        <v/>
      </c>
      <c r="O566" s="20" t="n">
        <f aca="false">IFERROR(DATE(VALUE(MID(N566,FIND("/",N566,FIND("/",N566)+1)+1,4)),VALUE(MID(N566,FIND("/",N566)+1,FIND("/",N566,FIND("/",N566)+1)-FIND("/",N566)-1)),VALUE(LEFT(N566,FIND("/",N566)-1))),0)</f>
        <v>0</v>
      </c>
    </row>
    <row r="567" customFormat="false" ht="15" hidden="false" customHeight="false" outlineLevel="0" collapsed="false">
      <c r="N567" s="0" t="str">
        <f aca="false">IF(H567="","",IFERROR(LEFT(H567,FIND(" ",H567)-1),H567))</f>
        <v/>
      </c>
      <c r="O567" s="20" t="n">
        <f aca="false">IFERROR(DATE(VALUE(MID(N567,FIND("/",N567,FIND("/",N567)+1)+1,4)),VALUE(MID(N567,FIND("/",N567)+1,FIND("/",N567,FIND("/",N567)+1)-FIND("/",N567)-1)),VALUE(LEFT(N567,FIND("/",N567)-1))),0)</f>
        <v>0</v>
      </c>
    </row>
    <row r="568" customFormat="false" ht="15" hidden="false" customHeight="false" outlineLevel="0" collapsed="false">
      <c r="N568" s="0" t="str">
        <f aca="false">IF(H568="","",IFERROR(LEFT(H568,FIND(" ",H568)-1),H568))</f>
        <v/>
      </c>
      <c r="O568" s="20" t="n">
        <f aca="false">IFERROR(DATE(VALUE(MID(N568,FIND("/",N568,FIND("/",N568)+1)+1,4)),VALUE(MID(N568,FIND("/",N568)+1,FIND("/",N568,FIND("/",N568)+1)-FIND("/",N568)-1)),VALUE(LEFT(N568,FIND("/",N568)-1))),0)</f>
        <v>0</v>
      </c>
    </row>
    <row r="569" customFormat="false" ht="15" hidden="false" customHeight="false" outlineLevel="0" collapsed="false">
      <c r="N569" s="0" t="str">
        <f aca="false">IF(H569="","",IFERROR(LEFT(H569,FIND(" ",H569)-1),H569))</f>
        <v/>
      </c>
      <c r="O569" s="20" t="n">
        <f aca="false">IFERROR(DATE(VALUE(MID(N569,FIND("/",N569,FIND("/",N569)+1)+1,4)),VALUE(MID(N569,FIND("/",N569)+1,FIND("/",N569,FIND("/",N569)+1)-FIND("/",N569)-1)),VALUE(LEFT(N569,FIND("/",N569)-1))),0)</f>
        <v>0</v>
      </c>
    </row>
    <row r="570" customFormat="false" ht="15" hidden="false" customHeight="false" outlineLevel="0" collapsed="false">
      <c r="N570" s="0" t="str">
        <f aca="false">IF(H570="","",IFERROR(LEFT(H570,FIND(" ",H570)-1),H570))</f>
        <v/>
      </c>
      <c r="O570" s="20" t="n">
        <f aca="false">IFERROR(DATE(VALUE(MID(N570,FIND("/",N570,FIND("/",N570)+1)+1,4)),VALUE(MID(N570,FIND("/",N570)+1,FIND("/",N570,FIND("/",N570)+1)-FIND("/",N570)-1)),VALUE(LEFT(N570,FIND("/",N570)-1))),0)</f>
        <v>0</v>
      </c>
    </row>
    <row r="571" customFormat="false" ht="15" hidden="false" customHeight="false" outlineLevel="0" collapsed="false">
      <c r="N571" s="0" t="str">
        <f aca="false">IF(H571="","",IFERROR(LEFT(H571,FIND(" ",H571)-1),H571))</f>
        <v/>
      </c>
      <c r="O571" s="20" t="n">
        <f aca="false">IFERROR(DATE(VALUE(MID(N571,FIND("/",N571,FIND("/",N571)+1)+1,4)),VALUE(MID(N571,FIND("/",N571)+1,FIND("/",N571,FIND("/",N571)+1)-FIND("/",N571)-1)),VALUE(LEFT(N571,FIND("/",N571)-1))),0)</f>
        <v>0</v>
      </c>
    </row>
    <row r="572" customFormat="false" ht="15" hidden="false" customHeight="false" outlineLevel="0" collapsed="false">
      <c r="N572" s="0" t="str">
        <f aca="false">IF(H572="","",IFERROR(LEFT(H572,FIND(" ",H572)-1),H572))</f>
        <v/>
      </c>
      <c r="O572" s="20" t="n">
        <f aca="false">IFERROR(DATE(VALUE(MID(N572,FIND("/",N572,FIND("/",N572)+1)+1,4)),VALUE(MID(N572,FIND("/",N572)+1,FIND("/",N572,FIND("/",N572)+1)-FIND("/",N572)-1)),VALUE(LEFT(N572,FIND("/",N572)-1))),0)</f>
        <v>0</v>
      </c>
    </row>
    <row r="573" customFormat="false" ht="15" hidden="false" customHeight="false" outlineLevel="0" collapsed="false">
      <c r="N573" s="0" t="str">
        <f aca="false">IF(H573="","",IFERROR(LEFT(H573,FIND(" ",H573)-1),H573))</f>
        <v/>
      </c>
      <c r="O573" s="20" t="n">
        <f aca="false">IFERROR(DATE(VALUE(MID(N573,FIND("/",N573,FIND("/",N573)+1)+1,4)),VALUE(MID(N573,FIND("/",N573)+1,FIND("/",N573,FIND("/",N573)+1)-FIND("/",N573)-1)),VALUE(LEFT(N573,FIND("/",N573)-1))),0)</f>
        <v>0</v>
      </c>
    </row>
    <row r="574" customFormat="false" ht="15" hidden="false" customHeight="false" outlineLevel="0" collapsed="false">
      <c r="N574" s="0" t="str">
        <f aca="false">IF(H574="","",IFERROR(LEFT(H574,FIND(" ",H574)-1),H574))</f>
        <v/>
      </c>
      <c r="O574" s="20" t="n">
        <f aca="false">IFERROR(DATE(VALUE(MID(N574,FIND("/",N574,FIND("/",N574)+1)+1,4)),VALUE(MID(N574,FIND("/",N574)+1,FIND("/",N574,FIND("/",N574)+1)-FIND("/",N574)-1)),VALUE(LEFT(N574,FIND("/",N574)-1))),0)</f>
        <v>0</v>
      </c>
    </row>
    <row r="575" customFormat="false" ht="15" hidden="false" customHeight="false" outlineLevel="0" collapsed="false">
      <c r="N575" s="0" t="str">
        <f aca="false">IF(H575="","",IFERROR(LEFT(H575,FIND(" ",H575)-1),H575))</f>
        <v/>
      </c>
      <c r="O575" s="20" t="n">
        <f aca="false">IFERROR(DATE(VALUE(MID(N575,FIND("/",N575,FIND("/",N575)+1)+1,4)),VALUE(MID(N575,FIND("/",N575)+1,FIND("/",N575,FIND("/",N575)+1)-FIND("/",N575)-1)),VALUE(LEFT(N575,FIND("/",N575)-1))),0)</f>
        <v>0</v>
      </c>
    </row>
    <row r="576" customFormat="false" ht="15" hidden="false" customHeight="false" outlineLevel="0" collapsed="false">
      <c r="N576" s="0" t="str">
        <f aca="false">IF(H576="","",IFERROR(LEFT(H576,FIND(" ",H576)-1),H576))</f>
        <v/>
      </c>
      <c r="O576" s="20" t="n">
        <f aca="false">IFERROR(DATE(VALUE(MID(N576,FIND("/",N576,FIND("/",N576)+1)+1,4)),VALUE(MID(N576,FIND("/",N576)+1,FIND("/",N576,FIND("/",N576)+1)-FIND("/",N576)-1)),VALUE(LEFT(N576,FIND("/",N576)-1))),0)</f>
        <v>0</v>
      </c>
    </row>
    <row r="577" customFormat="false" ht="15" hidden="false" customHeight="false" outlineLevel="0" collapsed="false">
      <c r="N577" s="0" t="str">
        <f aca="false">IF(H577="","",IFERROR(LEFT(H577,FIND(" ",H577)-1),H577))</f>
        <v/>
      </c>
      <c r="O577" s="20" t="n">
        <f aca="false">IFERROR(DATE(VALUE(MID(N577,FIND("/",N577,FIND("/",N577)+1)+1,4)),VALUE(MID(N577,FIND("/",N577)+1,FIND("/",N577,FIND("/",N577)+1)-FIND("/",N577)-1)),VALUE(LEFT(N577,FIND("/",N577)-1))),0)</f>
        <v>0</v>
      </c>
    </row>
    <row r="578" customFormat="false" ht="15" hidden="false" customHeight="false" outlineLevel="0" collapsed="false">
      <c r="N578" s="0" t="str">
        <f aca="false">IF(H578="","",IFERROR(LEFT(H578,FIND(" ",H578)-1),H578))</f>
        <v/>
      </c>
      <c r="O578" s="20" t="n">
        <f aca="false">IFERROR(DATE(VALUE(MID(N578,FIND("/",N578,FIND("/",N578)+1)+1,4)),VALUE(MID(N578,FIND("/",N578)+1,FIND("/",N578,FIND("/",N578)+1)-FIND("/",N578)-1)),VALUE(LEFT(N578,FIND("/",N578)-1))),0)</f>
        <v>0</v>
      </c>
    </row>
    <row r="579" customFormat="false" ht="15" hidden="false" customHeight="false" outlineLevel="0" collapsed="false">
      <c r="N579" s="0" t="str">
        <f aca="false">IF(H579="","",IFERROR(LEFT(H579,FIND(" ",H579)-1),H579))</f>
        <v/>
      </c>
      <c r="O579" s="20" t="n">
        <f aca="false">IFERROR(DATE(VALUE(MID(N579,FIND("/",N579,FIND("/",N579)+1)+1,4)),VALUE(MID(N579,FIND("/",N579)+1,FIND("/",N579,FIND("/",N579)+1)-FIND("/",N579)-1)),VALUE(LEFT(N579,FIND("/",N579)-1))),0)</f>
        <v>0</v>
      </c>
    </row>
    <row r="580" customFormat="false" ht="15" hidden="false" customHeight="false" outlineLevel="0" collapsed="false">
      <c r="N580" s="0" t="str">
        <f aca="false">IF(H580="","",IFERROR(LEFT(H580,FIND(" ",H580)-1),H580))</f>
        <v/>
      </c>
      <c r="O580" s="20" t="n">
        <f aca="false">IFERROR(DATE(VALUE(MID(N580,FIND("/",N580,FIND("/",N580)+1)+1,4)),VALUE(MID(N580,FIND("/",N580)+1,FIND("/",N580,FIND("/",N580)+1)-FIND("/",N580)-1)),VALUE(LEFT(N580,FIND("/",N580)-1))),0)</f>
        <v>0</v>
      </c>
    </row>
    <row r="581" customFormat="false" ht="15" hidden="false" customHeight="false" outlineLevel="0" collapsed="false">
      <c r="N581" s="0" t="str">
        <f aca="false">IF(H581="","",IFERROR(LEFT(H581,FIND(" ",H581)-1),H581))</f>
        <v/>
      </c>
      <c r="O581" s="20" t="n">
        <f aca="false">IFERROR(DATE(VALUE(MID(N581,FIND("/",N581,FIND("/",N581)+1)+1,4)),VALUE(MID(N581,FIND("/",N581)+1,FIND("/",N581,FIND("/",N581)+1)-FIND("/",N581)-1)),VALUE(LEFT(N581,FIND("/",N581)-1))),0)</f>
        <v>0</v>
      </c>
    </row>
    <row r="582" customFormat="false" ht="15" hidden="false" customHeight="false" outlineLevel="0" collapsed="false">
      <c r="N582" s="0" t="str">
        <f aca="false">IF(H582="","",IFERROR(LEFT(H582,FIND(" ",H582)-1),H582))</f>
        <v/>
      </c>
      <c r="O582" s="20" t="n">
        <f aca="false">IFERROR(DATE(VALUE(MID(N582,FIND("/",N582,FIND("/",N582)+1)+1,4)),VALUE(MID(N582,FIND("/",N582)+1,FIND("/",N582,FIND("/",N582)+1)-FIND("/",N582)-1)),VALUE(LEFT(N582,FIND("/",N582)-1))),0)</f>
        <v>0</v>
      </c>
    </row>
    <row r="583" customFormat="false" ht="15" hidden="false" customHeight="false" outlineLevel="0" collapsed="false">
      <c r="N583" s="0" t="str">
        <f aca="false">IF(H583="","",IFERROR(LEFT(H583,FIND(" ",H583)-1),H583))</f>
        <v/>
      </c>
      <c r="O583" s="20" t="n">
        <f aca="false">IFERROR(DATE(VALUE(MID(N583,FIND("/",N583,FIND("/",N583)+1)+1,4)),VALUE(MID(N583,FIND("/",N583)+1,FIND("/",N583,FIND("/",N583)+1)-FIND("/",N583)-1)),VALUE(LEFT(N583,FIND("/",N583)-1))),0)</f>
        <v>0</v>
      </c>
    </row>
    <row r="584" customFormat="false" ht="15" hidden="false" customHeight="false" outlineLevel="0" collapsed="false">
      <c r="N584" s="0" t="str">
        <f aca="false">IF(H584="","",IFERROR(LEFT(H584,FIND(" ",H584)-1),H584))</f>
        <v/>
      </c>
      <c r="O584" s="20" t="n">
        <f aca="false">IFERROR(DATE(VALUE(MID(N584,FIND("/",N584,FIND("/",N584)+1)+1,4)),VALUE(MID(N584,FIND("/",N584)+1,FIND("/",N584,FIND("/",N584)+1)-FIND("/",N584)-1)),VALUE(LEFT(N584,FIND("/",N584)-1))),0)</f>
        <v>0</v>
      </c>
    </row>
    <row r="585" customFormat="false" ht="15" hidden="false" customHeight="false" outlineLevel="0" collapsed="false">
      <c r="N585" s="0" t="str">
        <f aca="false">IF(H585="","",IFERROR(LEFT(H585,FIND(" ",H585)-1),H585))</f>
        <v/>
      </c>
      <c r="O585" s="20" t="n">
        <f aca="false">IFERROR(DATE(VALUE(MID(N585,FIND("/",N585,FIND("/",N585)+1)+1,4)),VALUE(MID(N585,FIND("/",N585)+1,FIND("/",N585,FIND("/",N585)+1)-FIND("/",N585)-1)),VALUE(LEFT(N585,FIND("/",N585)-1))),0)</f>
        <v>0</v>
      </c>
    </row>
    <row r="586" customFormat="false" ht="15" hidden="false" customHeight="false" outlineLevel="0" collapsed="false">
      <c r="N586" s="0" t="str">
        <f aca="false">IF(H586="","",IFERROR(LEFT(H586,FIND(" ",H586)-1),H586))</f>
        <v/>
      </c>
      <c r="O586" s="20" t="n">
        <f aca="false">IFERROR(DATE(VALUE(MID(N586,FIND("/",N586,FIND("/",N586)+1)+1,4)),VALUE(MID(N586,FIND("/",N586)+1,FIND("/",N586,FIND("/",N586)+1)-FIND("/",N586)-1)),VALUE(LEFT(N586,FIND("/",N586)-1))),0)</f>
        <v>0</v>
      </c>
    </row>
    <row r="587" customFormat="false" ht="15" hidden="false" customHeight="false" outlineLevel="0" collapsed="false">
      <c r="N587" s="0" t="str">
        <f aca="false">IF(H587="","",IFERROR(LEFT(H587,FIND(" ",H587)-1),H587))</f>
        <v/>
      </c>
      <c r="O587" s="20" t="n">
        <f aca="false">IFERROR(DATE(VALUE(MID(N587,FIND("/",N587,FIND("/",N587)+1)+1,4)),VALUE(MID(N587,FIND("/",N587)+1,FIND("/",N587,FIND("/",N587)+1)-FIND("/",N587)-1)),VALUE(LEFT(N587,FIND("/",N587)-1))),0)</f>
        <v>0</v>
      </c>
    </row>
    <row r="588" customFormat="false" ht="15" hidden="false" customHeight="false" outlineLevel="0" collapsed="false">
      <c r="N588" s="0" t="str">
        <f aca="false">IF(H588="","",IFERROR(LEFT(H588,FIND(" ",H588)-1),H588))</f>
        <v/>
      </c>
      <c r="O588" s="20" t="n">
        <f aca="false">IFERROR(DATE(VALUE(MID(N588,FIND("/",N588,FIND("/",N588)+1)+1,4)),VALUE(MID(N588,FIND("/",N588)+1,FIND("/",N588,FIND("/",N588)+1)-FIND("/",N588)-1)),VALUE(LEFT(N588,FIND("/",N588)-1))),0)</f>
        <v>0</v>
      </c>
    </row>
    <row r="589" customFormat="false" ht="15" hidden="false" customHeight="false" outlineLevel="0" collapsed="false">
      <c r="N589" s="0" t="str">
        <f aca="false">IF(H589="","",IFERROR(LEFT(H589,FIND(" ",H589)-1),H589))</f>
        <v/>
      </c>
      <c r="O589" s="20" t="n">
        <f aca="false">IFERROR(DATE(VALUE(MID(N589,FIND("/",N589,FIND("/",N589)+1)+1,4)),VALUE(MID(N589,FIND("/",N589)+1,FIND("/",N589,FIND("/",N589)+1)-FIND("/",N589)-1)),VALUE(LEFT(N589,FIND("/",N589)-1))),0)</f>
        <v>0</v>
      </c>
    </row>
    <row r="590" customFormat="false" ht="15" hidden="false" customHeight="false" outlineLevel="0" collapsed="false">
      <c r="N590" s="0" t="str">
        <f aca="false">IF(H590="","",IFERROR(LEFT(H590,FIND(" ",H590)-1),H590))</f>
        <v/>
      </c>
      <c r="O590" s="20" t="n">
        <f aca="false">IFERROR(DATE(VALUE(MID(N590,FIND("/",N590,FIND("/",N590)+1)+1,4)),VALUE(MID(N590,FIND("/",N590)+1,FIND("/",N590,FIND("/",N590)+1)-FIND("/",N590)-1)),VALUE(LEFT(N590,FIND("/",N590)-1))),0)</f>
        <v>0</v>
      </c>
    </row>
    <row r="591" customFormat="false" ht="15" hidden="false" customHeight="false" outlineLevel="0" collapsed="false">
      <c r="N591" s="0" t="str">
        <f aca="false">IF(H591="","",IFERROR(LEFT(H591,FIND(" ",H591)-1),H591))</f>
        <v/>
      </c>
      <c r="O591" s="20" t="n">
        <f aca="false">IFERROR(DATE(VALUE(MID(N591,FIND("/",N591,FIND("/",N591)+1)+1,4)),VALUE(MID(N591,FIND("/",N591)+1,FIND("/",N591,FIND("/",N591)+1)-FIND("/",N591)-1)),VALUE(LEFT(N591,FIND("/",N591)-1))),0)</f>
        <v>0</v>
      </c>
    </row>
    <row r="592" customFormat="false" ht="15" hidden="false" customHeight="false" outlineLevel="0" collapsed="false">
      <c r="N592" s="0" t="str">
        <f aca="false">IF(H592="","",IFERROR(LEFT(H592,FIND(" ",H592)-1),H592))</f>
        <v/>
      </c>
      <c r="O592" s="20" t="n">
        <f aca="false">IFERROR(DATE(VALUE(MID(N592,FIND("/",N592,FIND("/",N592)+1)+1,4)),VALUE(MID(N592,FIND("/",N592)+1,FIND("/",N592,FIND("/",N592)+1)-FIND("/",N592)-1)),VALUE(LEFT(N592,FIND("/",N592)-1))),0)</f>
        <v>0</v>
      </c>
    </row>
    <row r="593" customFormat="false" ht="15" hidden="false" customHeight="false" outlineLevel="0" collapsed="false">
      <c r="N593" s="0" t="str">
        <f aca="false">IF(H593="","",IFERROR(LEFT(H593,FIND(" ",H593)-1),H593))</f>
        <v/>
      </c>
      <c r="O593" s="20" t="n">
        <f aca="false">IFERROR(DATE(VALUE(MID(N593,FIND("/",N593,FIND("/",N593)+1)+1,4)),VALUE(MID(N593,FIND("/",N593)+1,FIND("/",N593,FIND("/",N593)+1)-FIND("/",N593)-1)),VALUE(LEFT(N593,FIND("/",N593)-1))),0)</f>
        <v>0</v>
      </c>
    </row>
    <row r="594" customFormat="false" ht="15" hidden="false" customHeight="false" outlineLevel="0" collapsed="false">
      <c r="N594" s="0" t="str">
        <f aca="false">IF(H594="","",IFERROR(LEFT(H594,FIND(" ",H594)-1),H594))</f>
        <v/>
      </c>
      <c r="O594" s="20" t="n">
        <f aca="false">IFERROR(DATE(VALUE(MID(N594,FIND("/",N594,FIND("/",N594)+1)+1,4)),VALUE(MID(N594,FIND("/",N594)+1,FIND("/",N594,FIND("/",N594)+1)-FIND("/",N594)-1)),VALUE(LEFT(N594,FIND("/",N594)-1))),0)</f>
        <v>0</v>
      </c>
    </row>
    <row r="595" customFormat="false" ht="15" hidden="false" customHeight="false" outlineLevel="0" collapsed="false">
      <c r="N595" s="0" t="str">
        <f aca="false">IF(H595="","",IFERROR(LEFT(H595,FIND(" ",H595)-1),H595))</f>
        <v/>
      </c>
      <c r="O595" s="20" t="n">
        <f aca="false">IFERROR(DATE(VALUE(MID(N595,FIND("/",N595,FIND("/",N595)+1)+1,4)),VALUE(MID(N595,FIND("/",N595)+1,FIND("/",N595,FIND("/",N595)+1)-FIND("/",N595)-1)),VALUE(LEFT(N595,FIND("/",N595)-1))),0)</f>
        <v>0</v>
      </c>
    </row>
    <row r="596" customFormat="false" ht="15" hidden="false" customHeight="false" outlineLevel="0" collapsed="false">
      <c r="N596" s="0" t="str">
        <f aca="false">IF(H596="","",IFERROR(LEFT(H596,FIND(" ",H596)-1),H596))</f>
        <v/>
      </c>
      <c r="O596" s="20" t="n">
        <f aca="false">IFERROR(DATE(VALUE(MID(N596,FIND("/",N596,FIND("/",N596)+1)+1,4)),VALUE(MID(N596,FIND("/",N596)+1,FIND("/",N596,FIND("/",N596)+1)-FIND("/",N596)-1)),VALUE(LEFT(N596,FIND("/",N596)-1))),0)</f>
        <v>0</v>
      </c>
    </row>
    <row r="597" customFormat="false" ht="15" hidden="false" customHeight="false" outlineLevel="0" collapsed="false">
      <c r="N597" s="0" t="str">
        <f aca="false">IF(H597="","",IFERROR(LEFT(H597,FIND(" ",H597)-1),H597))</f>
        <v/>
      </c>
      <c r="O597" s="20" t="n">
        <f aca="false">IFERROR(DATE(VALUE(MID(N597,FIND("/",N597,FIND("/",N597)+1)+1,4)),VALUE(MID(N597,FIND("/",N597)+1,FIND("/",N597,FIND("/",N597)+1)-FIND("/",N597)-1)),VALUE(LEFT(N597,FIND("/",N597)-1))),0)</f>
        <v>0</v>
      </c>
    </row>
    <row r="598" customFormat="false" ht="15" hidden="false" customHeight="false" outlineLevel="0" collapsed="false">
      <c r="N598" s="0" t="str">
        <f aca="false">IF(H598="","",IFERROR(LEFT(H598,FIND(" ",H598)-1),H598))</f>
        <v/>
      </c>
      <c r="O598" s="20" t="n">
        <f aca="false">IFERROR(DATE(VALUE(MID(N598,FIND("/",N598,FIND("/",N598)+1)+1,4)),VALUE(MID(N598,FIND("/",N598)+1,FIND("/",N598,FIND("/",N598)+1)-FIND("/",N598)-1)),VALUE(LEFT(N598,FIND("/",N598)-1))),0)</f>
        <v>0</v>
      </c>
    </row>
    <row r="599" customFormat="false" ht="15" hidden="false" customHeight="false" outlineLevel="0" collapsed="false">
      <c r="N599" s="0" t="str">
        <f aca="false">IF(H599="","",IFERROR(LEFT(H599,FIND(" ",H599)-1),H599))</f>
        <v/>
      </c>
      <c r="O599" s="20" t="n">
        <f aca="false">IFERROR(DATE(VALUE(MID(N599,FIND("/",N599,FIND("/",N599)+1)+1,4)),VALUE(MID(N599,FIND("/",N599)+1,FIND("/",N599,FIND("/",N599)+1)-FIND("/",N599)-1)),VALUE(LEFT(N599,FIND("/",N599)-1))),0)</f>
        <v>0</v>
      </c>
    </row>
    <row r="600" customFormat="false" ht="15" hidden="false" customHeight="false" outlineLevel="0" collapsed="false">
      <c r="N600" s="0" t="str">
        <f aca="false">IF(H600="","",IFERROR(LEFT(H600,FIND(" ",H600)-1),H600))</f>
        <v/>
      </c>
      <c r="O600" s="20" t="n">
        <f aca="false">IFERROR(DATE(VALUE(MID(N600,FIND("/",N600,FIND("/",N600)+1)+1,4)),VALUE(MID(N600,FIND("/",N600)+1,FIND("/",N600,FIND("/",N600)+1)-FIND("/",N600)-1)),VALUE(LEFT(N600,FIND("/",N600)-1))),0)</f>
        <v>0</v>
      </c>
    </row>
    <row r="601" customFormat="false" ht="15" hidden="false" customHeight="false" outlineLevel="0" collapsed="false">
      <c r="N601" s="0" t="str">
        <f aca="false">IF(H601="","",IFERROR(LEFT(H601,FIND(" ",H601)-1),H601))</f>
        <v/>
      </c>
      <c r="O601" s="20" t="n">
        <f aca="false">IFERROR(DATE(VALUE(MID(N601,FIND("/",N601,FIND("/",N601)+1)+1,4)),VALUE(MID(N601,FIND("/",N601)+1,FIND("/",N601,FIND("/",N601)+1)-FIND("/",N601)-1)),VALUE(LEFT(N601,FIND("/",N601)-1))),0)</f>
        <v>0</v>
      </c>
    </row>
    <row r="602" customFormat="false" ht="15" hidden="false" customHeight="false" outlineLevel="0" collapsed="false">
      <c r="N602" s="0" t="str">
        <f aca="false">IF(H602="","",IFERROR(LEFT(H602,FIND(" ",H602)-1),H602))</f>
        <v/>
      </c>
      <c r="O602" s="20" t="n">
        <f aca="false">IFERROR(DATE(VALUE(MID(N602,FIND("/",N602,FIND("/",N602)+1)+1,4)),VALUE(MID(N602,FIND("/",N602)+1,FIND("/",N602,FIND("/",N602)+1)-FIND("/",N602)-1)),VALUE(LEFT(N602,FIND("/",N602)-1))),0)</f>
        <v>0</v>
      </c>
    </row>
    <row r="603" customFormat="false" ht="15" hidden="false" customHeight="false" outlineLevel="0" collapsed="false">
      <c r="N603" s="0" t="str">
        <f aca="false">IF(H603="","",IFERROR(LEFT(H603,FIND(" ",H603)-1),H603))</f>
        <v/>
      </c>
      <c r="O603" s="20" t="n">
        <f aca="false">IFERROR(DATE(VALUE(MID(N603,FIND("/",N603,FIND("/",N603)+1)+1,4)),VALUE(MID(N603,FIND("/",N603)+1,FIND("/",N603,FIND("/",N603)+1)-FIND("/",N603)-1)),VALUE(LEFT(N603,FIND("/",N603)-1))),0)</f>
        <v>0</v>
      </c>
    </row>
    <row r="604" customFormat="false" ht="15" hidden="false" customHeight="false" outlineLevel="0" collapsed="false">
      <c r="N604" s="0" t="str">
        <f aca="false">IF(H604="","",IFERROR(LEFT(H604,FIND(" ",H604)-1),H604))</f>
        <v/>
      </c>
      <c r="O604" s="20" t="n">
        <f aca="false">IFERROR(DATE(VALUE(MID(N604,FIND("/",N604,FIND("/",N604)+1)+1,4)),VALUE(MID(N604,FIND("/",N604)+1,FIND("/",N604,FIND("/",N604)+1)-FIND("/",N604)-1)),VALUE(LEFT(N604,FIND("/",N604)-1))),0)</f>
        <v>0</v>
      </c>
    </row>
    <row r="605" customFormat="false" ht="15" hidden="false" customHeight="false" outlineLevel="0" collapsed="false">
      <c r="N605" s="0" t="str">
        <f aca="false">IF(H605="","",IFERROR(LEFT(H605,FIND(" ",H605)-1),H605))</f>
        <v/>
      </c>
      <c r="O605" s="20" t="n">
        <f aca="false">IFERROR(DATE(VALUE(MID(N605,FIND("/",N605,FIND("/",N605)+1)+1,4)),VALUE(MID(N605,FIND("/",N605)+1,FIND("/",N605,FIND("/",N605)+1)-FIND("/",N605)-1)),VALUE(LEFT(N605,FIND("/",N605)-1))),0)</f>
        <v>0</v>
      </c>
    </row>
    <row r="606" customFormat="false" ht="15" hidden="false" customHeight="false" outlineLevel="0" collapsed="false">
      <c r="N606" s="0" t="str">
        <f aca="false">IF(H606="","",IFERROR(LEFT(H606,FIND(" ",H606)-1),H606))</f>
        <v/>
      </c>
      <c r="O606" s="20" t="n">
        <f aca="false">IFERROR(DATE(VALUE(MID(N606,FIND("/",N606,FIND("/",N606)+1)+1,4)),VALUE(MID(N606,FIND("/",N606)+1,FIND("/",N606,FIND("/",N606)+1)-FIND("/",N606)-1)),VALUE(LEFT(N606,FIND("/",N606)-1))),0)</f>
        <v>0</v>
      </c>
    </row>
    <row r="607" customFormat="false" ht="15" hidden="false" customHeight="false" outlineLevel="0" collapsed="false">
      <c r="N607" s="0" t="str">
        <f aca="false">IF(H607="","",IFERROR(LEFT(H607,FIND(" ",H607)-1),H607))</f>
        <v/>
      </c>
      <c r="O607" s="20" t="n">
        <f aca="false">IFERROR(DATE(VALUE(MID(N607,FIND("/",N607,FIND("/",N607)+1)+1,4)),VALUE(MID(N607,FIND("/",N607)+1,FIND("/",N607,FIND("/",N607)+1)-FIND("/",N607)-1)),VALUE(LEFT(N607,FIND("/",N607)-1))),0)</f>
        <v>0</v>
      </c>
    </row>
    <row r="608" customFormat="false" ht="15" hidden="false" customHeight="false" outlineLevel="0" collapsed="false">
      <c r="N608" s="0" t="str">
        <f aca="false">IF(H608="","",IFERROR(LEFT(H608,FIND(" ",H608)-1),H608))</f>
        <v/>
      </c>
      <c r="O608" s="20" t="n">
        <f aca="false">IFERROR(DATE(VALUE(MID(N608,FIND("/",N608,FIND("/",N608)+1)+1,4)),VALUE(MID(N608,FIND("/",N608)+1,FIND("/",N608,FIND("/",N608)+1)-FIND("/",N608)-1)),VALUE(LEFT(N608,FIND("/",N608)-1))),0)</f>
        <v>0</v>
      </c>
    </row>
    <row r="609" customFormat="false" ht="15" hidden="false" customHeight="false" outlineLevel="0" collapsed="false">
      <c r="N609" s="0" t="str">
        <f aca="false">IF(H609="","",IFERROR(LEFT(H609,FIND(" ",H609)-1),H609))</f>
        <v/>
      </c>
      <c r="O609" s="20" t="n">
        <f aca="false">IFERROR(DATE(VALUE(MID(N609,FIND("/",N609,FIND("/",N609)+1)+1,4)),VALUE(MID(N609,FIND("/",N609)+1,FIND("/",N609,FIND("/",N609)+1)-FIND("/",N609)-1)),VALUE(LEFT(N609,FIND("/",N609)-1))),0)</f>
        <v>0</v>
      </c>
    </row>
    <row r="610" customFormat="false" ht="15" hidden="false" customHeight="false" outlineLevel="0" collapsed="false">
      <c r="N610" s="0" t="str">
        <f aca="false">IF(H610="","",IFERROR(LEFT(H610,FIND(" ",H610)-1),H610))</f>
        <v/>
      </c>
      <c r="O610" s="20" t="n">
        <f aca="false">IFERROR(DATE(VALUE(MID(N610,FIND("/",N610,FIND("/",N610)+1)+1,4)),VALUE(MID(N610,FIND("/",N610)+1,FIND("/",N610,FIND("/",N610)+1)-FIND("/",N610)-1)),VALUE(LEFT(N610,FIND("/",N610)-1))),0)</f>
        <v>0</v>
      </c>
    </row>
    <row r="611" customFormat="false" ht="15" hidden="false" customHeight="false" outlineLevel="0" collapsed="false">
      <c r="N611" s="0" t="str">
        <f aca="false">IF(H611="","",IFERROR(LEFT(H611,FIND(" ",H611)-1),H611))</f>
        <v/>
      </c>
      <c r="O611" s="20" t="n">
        <f aca="false">IFERROR(DATE(VALUE(MID(N611,FIND("/",N611,FIND("/",N611)+1)+1,4)),VALUE(MID(N611,FIND("/",N611)+1,FIND("/",N611,FIND("/",N611)+1)-FIND("/",N611)-1)),VALUE(LEFT(N611,FIND("/",N611)-1))),0)</f>
        <v>0</v>
      </c>
    </row>
    <row r="612" customFormat="false" ht="15" hidden="false" customHeight="false" outlineLevel="0" collapsed="false">
      <c r="N612" s="0" t="str">
        <f aca="false">IF(H612="","",IFERROR(LEFT(H612,FIND(" ",H612)-1),H612))</f>
        <v/>
      </c>
      <c r="O612" s="20" t="n">
        <f aca="false">IFERROR(DATE(VALUE(MID(N612,FIND("/",N612,FIND("/",N612)+1)+1,4)),VALUE(MID(N612,FIND("/",N612)+1,FIND("/",N612,FIND("/",N612)+1)-FIND("/",N612)-1)),VALUE(LEFT(N612,FIND("/",N612)-1))),0)</f>
        <v>0</v>
      </c>
    </row>
    <row r="613" customFormat="false" ht="15" hidden="false" customHeight="false" outlineLevel="0" collapsed="false">
      <c r="N613" s="0" t="str">
        <f aca="false">IF(H613="","",IFERROR(LEFT(H613,FIND(" ",H613)-1),H613))</f>
        <v/>
      </c>
      <c r="O613" s="20" t="n">
        <f aca="false">IFERROR(DATE(VALUE(MID(N613,FIND("/",N613,FIND("/",N613)+1)+1,4)),VALUE(MID(N613,FIND("/",N613)+1,FIND("/",N613,FIND("/",N613)+1)-FIND("/",N613)-1)),VALUE(LEFT(N613,FIND("/",N613)-1))),0)</f>
        <v>0</v>
      </c>
    </row>
    <row r="614" customFormat="false" ht="15" hidden="false" customHeight="false" outlineLevel="0" collapsed="false">
      <c r="N614" s="0" t="str">
        <f aca="false">IF(H614="","",IFERROR(LEFT(H614,FIND(" ",H614)-1),H614))</f>
        <v/>
      </c>
      <c r="O614" s="20" t="n">
        <f aca="false">IFERROR(DATE(VALUE(MID(N614,FIND("/",N614,FIND("/",N614)+1)+1,4)),VALUE(MID(N614,FIND("/",N614)+1,FIND("/",N614,FIND("/",N614)+1)-FIND("/",N614)-1)),VALUE(LEFT(N614,FIND("/",N614)-1))),0)</f>
        <v>0</v>
      </c>
    </row>
    <row r="615" customFormat="false" ht="15" hidden="false" customHeight="false" outlineLevel="0" collapsed="false">
      <c r="N615" s="0" t="str">
        <f aca="false">IF(H615="","",IFERROR(LEFT(H615,FIND(" ",H615)-1),H615))</f>
        <v/>
      </c>
      <c r="O615" s="20" t="n">
        <f aca="false">IFERROR(DATE(VALUE(MID(N615,FIND("/",N615,FIND("/",N615)+1)+1,4)),VALUE(MID(N615,FIND("/",N615)+1,FIND("/",N615,FIND("/",N615)+1)-FIND("/",N615)-1)),VALUE(LEFT(N615,FIND("/",N615)-1))),0)</f>
        <v>0</v>
      </c>
    </row>
    <row r="616" customFormat="false" ht="15" hidden="false" customHeight="false" outlineLevel="0" collapsed="false">
      <c r="N616" s="0" t="str">
        <f aca="false">IF(H616="","",IFERROR(LEFT(H616,FIND(" ",H616)-1),H616))</f>
        <v/>
      </c>
      <c r="O616" s="20" t="n">
        <f aca="false">IFERROR(DATE(VALUE(MID(N616,FIND("/",N616,FIND("/",N616)+1)+1,4)),VALUE(MID(N616,FIND("/",N616)+1,FIND("/",N616,FIND("/",N616)+1)-FIND("/",N616)-1)),VALUE(LEFT(N616,FIND("/",N616)-1))),0)</f>
        <v>0</v>
      </c>
    </row>
    <row r="617" customFormat="false" ht="15" hidden="false" customHeight="false" outlineLevel="0" collapsed="false">
      <c r="N617" s="0" t="str">
        <f aca="false">IF(H617="","",IFERROR(LEFT(H617,FIND(" ",H617)-1),H617))</f>
        <v/>
      </c>
      <c r="O617" s="20" t="n">
        <f aca="false">IFERROR(DATE(VALUE(MID(N617,FIND("/",N617,FIND("/",N617)+1)+1,4)),VALUE(MID(N617,FIND("/",N617)+1,FIND("/",N617,FIND("/",N617)+1)-FIND("/",N617)-1)),VALUE(LEFT(N617,FIND("/",N617)-1))),0)</f>
        <v>0</v>
      </c>
    </row>
    <row r="618" customFormat="false" ht="15" hidden="false" customHeight="false" outlineLevel="0" collapsed="false">
      <c r="N618" s="0" t="str">
        <f aca="false">IF(H618="","",IFERROR(LEFT(H618,FIND(" ",H618)-1),H618))</f>
        <v/>
      </c>
      <c r="O618" s="20" t="n">
        <f aca="false">IFERROR(DATE(VALUE(MID(N618,FIND("/",N618,FIND("/",N618)+1)+1,4)),VALUE(MID(N618,FIND("/",N618)+1,FIND("/",N618,FIND("/",N618)+1)-FIND("/",N618)-1)),VALUE(LEFT(N618,FIND("/",N618)-1))),0)</f>
        <v>0</v>
      </c>
    </row>
    <row r="619" customFormat="false" ht="15" hidden="false" customHeight="false" outlineLevel="0" collapsed="false">
      <c r="N619" s="0" t="str">
        <f aca="false">IF(H619="","",IFERROR(LEFT(H619,FIND(" ",H619)-1),H619))</f>
        <v/>
      </c>
      <c r="O619" s="20" t="n">
        <f aca="false">IFERROR(DATE(VALUE(MID(N619,FIND("/",N619,FIND("/",N619)+1)+1,4)),VALUE(MID(N619,FIND("/",N619)+1,FIND("/",N619,FIND("/",N619)+1)-FIND("/",N619)-1)),VALUE(LEFT(N619,FIND("/",N619)-1))),0)</f>
        <v>0</v>
      </c>
    </row>
    <row r="620" customFormat="false" ht="15" hidden="false" customHeight="false" outlineLevel="0" collapsed="false">
      <c r="N620" s="0" t="str">
        <f aca="false">IF(H620="","",IFERROR(LEFT(H620,FIND(" ",H620)-1),H620))</f>
        <v/>
      </c>
      <c r="O620" s="20" t="n">
        <f aca="false">IFERROR(DATE(VALUE(MID(N620,FIND("/",N620,FIND("/",N620)+1)+1,4)),VALUE(MID(N620,FIND("/",N620)+1,FIND("/",N620,FIND("/",N620)+1)-FIND("/",N620)-1)),VALUE(LEFT(N620,FIND("/",N620)-1))),0)</f>
        <v>0</v>
      </c>
    </row>
    <row r="621" customFormat="false" ht="15" hidden="false" customHeight="false" outlineLevel="0" collapsed="false">
      <c r="N621" s="0" t="str">
        <f aca="false">IF(H621="","",IFERROR(LEFT(H621,FIND(" ",H621)-1),H621))</f>
        <v/>
      </c>
      <c r="O621" s="20" t="n">
        <f aca="false">IFERROR(DATE(VALUE(MID(N621,FIND("/",N621,FIND("/",N621)+1)+1,4)),VALUE(MID(N621,FIND("/",N621)+1,FIND("/",N621,FIND("/",N621)+1)-FIND("/",N621)-1)),VALUE(LEFT(N621,FIND("/",N621)-1))),0)</f>
        <v>0</v>
      </c>
    </row>
    <row r="622" customFormat="false" ht="15" hidden="false" customHeight="false" outlineLevel="0" collapsed="false">
      <c r="N622" s="0" t="str">
        <f aca="false">IF(H622="","",IFERROR(LEFT(H622,FIND(" ",H622)-1),H622))</f>
        <v/>
      </c>
      <c r="O622" s="20" t="n">
        <f aca="false">IFERROR(DATE(VALUE(MID(N622,FIND("/",N622,FIND("/",N622)+1)+1,4)),VALUE(MID(N622,FIND("/",N622)+1,FIND("/",N622,FIND("/",N622)+1)-FIND("/",N622)-1)),VALUE(LEFT(N622,FIND("/",N622)-1))),0)</f>
        <v>0</v>
      </c>
    </row>
    <row r="623" customFormat="false" ht="15" hidden="false" customHeight="false" outlineLevel="0" collapsed="false">
      <c r="N623" s="0" t="str">
        <f aca="false">IF(H623="","",IFERROR(LEFT(H623,FIND(" ",H623)-1),H623))</f>
        <v/>
      </c>
      <c r="O623" s="20" t="n">
        <f aca="false">IFERROR(DATE(VALUE(MID(N623,FIND("/",N623,FIND("/",N623)+1)+1,4)),VALUE(MID(N623,FIND("/",N623)+1,FIND("/",N623,FIND("/",N623)+1)-FIND("/",N623)-1)),VALUE(LEFT(N623,FIND("/",N623)-1))),0)</f>
        <v>0</v>
      </c>
    </row>
    <row r="624" customFormat="false" ht="15" hidden="false" customHeight="false" outlineLevel="0" collapsed="false">
      <c r="N624" s="0" t="str">
        <f aca="false">IF(H624="","",IFERROR(LEFT(H624,FIND(" ",H624)-1),H624))</f>
        <v/>
      </c>
      <c r="O624" s="20" t="n">
        <f aca="false">IFERROR(DATE(VALUE(MID(N624,FIND("/",N624,FIND("/",N624)+1)+1,4)),VALUE(MID(N624,FIND("/",N624)+1,FIND("/",N624,FIND("/",N624)+1)-FIND("/",N624)-1)),VALUE(LEFT(N624,FIND("/",N624)-1))),0)</f>
        <v>0</v>
      </c>
    </row>
    <row r="625" customFormat="false" ht="15" hidden="false" customHeight="false" outlineLevel="0" collapsed="false">
      <c r="N625" s="0" t="str">
        <f aca="false">IF(H625="","",IFERROR(LEFT(H625,FIND(" ",H625)-1),H625))</f>
        <v/>
      </c>
      <c r="O625" s="20" t="n">
        <f aca="false">IFERROR(DATE(VALUE(MID(N625,FIND("/",N625,FIND("/",N625)+1)+1,4)),VALUE(MID(N625,FIND("/",N625)+1,FIND("/",N625,FIND("/",N625)+1)-FIND("/",N625)-1)),VALUE(LEFT(N625,FIND("/",N625)-1))),0)</f>
        <v>0</v>
      </c>
    </row>
    <row r="626" customFormat="false" ht="15" hidden="false" customHeight="false" outlineLevel="0" collapsed="false">
      <c r="N626" s="0" t="str">
        <f aca="false">IF(H626="","",IFERROR(LEFT(H626,FIND(" ",H626)-1),H626))</f>
        <v/>
      </c>
      <c r="O626" s="20" t="n">
        <f aca="false">IFERROR(DATE(VALUE(MID(N626,FIND("/",N626,FIND("/",N626)+1)+1,4)),VALUE(MID(N626,FIND("/",N626)+1,FIND("/",N626,FIND("/",N626)+1)-FIND("/",N626)-1)),VALUE(LEFT(N626,FIND("/",N626)-1))),0)</f>
        <v>0</v>
      </c>
    </row>
    <row r="627" customFormat="false" ht="15" hidden="false" customHeight="false" outlineLevel="0" collapsed="false">
      <c r="N627" s="0" t="str">
        <f aca="false">IF(H627="","",IFERROR(LEFT(H627,FIND(" ",H627)-1),H627))</f>
        <v/>
      </c>
      <c r="O627" s="20" t="n">
        <f aca="false">IFERROR(DATE(VALUE(MID(N627,FIND("/",N627,FIND("/",N627)+1)+1,4)),VALUE(MID(N627,FIND("/",N627)+1,FIND("/",N627,FIND("/",N627)+1)-FIND("/",N627)-1)),VALUE(LEFT(N627,FIND("/",N627)-1))),0)</f>
        <v>0</v>
      </c>
    </row>
    <row r="628" customFormat="false" ht="15" hidden="false" customHeight="false" outlineLevel="0" collapsed="false">
      <c r="N628" s="0" t="str">
        <f aca="false">IF(H628="","",IFERROR(LEFT(H628,FIND(" ",H628)-1),H628))</f>
        <v/>
      </c>
      <c r="O628" s="20" t="n">
        <f aca="false">IFERROR(DATE(VALUE(MID(N628,FIND("/",N628,FIND("/",N628)+1)+1,4)),VALUE(MID(N628,FIND("/",N628)+1,FIND("/",N628,FIND("/",N628)+1)-FIND("/",N628)-1)),VALUE(LEFT(N628,FIND("/",N628)-1))),0)</f>
        <v>0</v>
      </c>
    </row>
    <row r="629" customFormat="false" ht="15" hidden="false" customHeight="false" outlineLevel="0" collapsed="false">
      <c r="N629" s="0" t="str">
        <f aca="false">IF(H629="","",IFERROR(LEFT(H629,FIND(" ",H629)-1),H629))</f>
        <v/>
      </c>
      <c r="O629" s="20" t="n">
        <f aca="false">IFERROR(DATE(VALUE(MID(N629,FIND("/",N629,FIND("/",N629)+1)+1,4)),VALUE(MID(N629,FIND("/",N629)+1,FIND("/",N629,FIND("/",N629)+1)-FIND("/",N629)-1)),VALUE(LEFT(N629,FIND("/",N629)-1))),0)</f>
        <v>0</v>
      </c>
    </row>
    <row r="630" customFormat="false" ht="15" hidden="false" customHeight="false" outlineLevel="0" collapsed="false">
      <c r="N630" s="0" t="str">
        <f aca="false">IF(H630="","",IFERROR(LEFT(H630,FIND(" ",H630)-1),H630))</f>
        <v/>
      </c>
      <c r="O630" s="20" t="n">
        <f aca="false">IFERROR(DATE(VALUE(MID(N630,FIND("/",N630,FIND("/",N630)+1)+1,4)),VALUE(MID(N630,FIND("/",N630)+1,FIND("/",N630,FIND("/",N630)+1)-FIND("/",N630)-1)),VALUE(LEFT(N630,FIND("/",N630)-1))),0)</f>
        <v>0</v>
      </c>
    </row>
    <row r="631" customFormat="false" ht="15" hidden="false" customHeight="false" outlineLevel="0" collapsed="false">
      <c r="N631" s="0" t="str">
        <f aca="false">IF(H631="","",IFERROR(LEFT(H631,FIND(" ",H631)-1),H631))</f>
        <v/>
      </c>
      <c r="O631" s="20" t="n">
        <f aca="false">IFERROR(DATE(VALUE(MID(N631,FIND("/",N631,FIND("/",N631)+1)+1,4)),VALUE(MID(N631,FIND("/",N631)+1,FIND("/",N631,FIND("/",N631)+1)-FIND("/",N631)-1)),VALUE(LEFT(N631,FIND("/",N631)-1))),0)</f>
        <v>0</v>
      </c>
    </row>
    <row r="632" customFormat="false" ht="15" hidden="false" customHeight="false" outlineLevel="0" collapsed="false">
      <c r="N632" s="0" t="str">
        <f aca="false">IF(H632="","",IFERROR(LEFT(H632,FIND(" ",H632)-1),H632))</f>
        <v/>
      </c>
      <c r="O632" s="20" t="n">
        <f aca="false">IFERROR(DATE(VALUE(MID(N632,FIND("/",N632,FIND("/",N632)+1)+1,4)),VALUE(MID(N632,FIND("/",N632)+1,FIND("/",N632,FIND("/",N632)+1)-FIND("/",N632)-1)),VALUE(LEFT(N632,FIND("/",N632)-1))),0)</f>
        <v>0</v>
      </c>
    </row>
    <row r="633" customFormat="false" ht="15" hidden="false" customHeight="false" outlineLevel="0" collapsed="false">
      <c r="N633" s="0" t="str">
        <f aca="false">IF(H633="","",IFERROR(LEFT(H633,FIND(" ",H633)-1),H633))</f>
        <v/>
      </c>
      <c r="O633" s="20" t="n">
        <f aca="false">IFERROR(DATE(VALUE(MID(N633,FIND("/",N633,FIND("/",N633)+1)+1,4)),VALUE(MID(N633,FIND("/",N633)+1,FIND("/",N633,FIND("/",N633)+1)-FIND("/",N633)-1)),VALUE(LEFT(N633,FIND("/",N633)-1))),0)</f>
        <v>0</v>
      </c>
    </row>
    <row r="634" customFormat="false" ht="15" hidden="false" customHeight="false" outlineLevel="0" collapsed="false">
      <c r="N634" s="0" t="str">
        <f aca="false">IF(H634="","",IFERROR(LEFT(H634,FIND(" ",H634)-1),H634))</f>
        <v/>
      </c>
      <c r="O634" s="20" t="n">
        <f aca="false">IFERROR(DATE(VALUE(MID(N634,FIND("/",N634,FIND("/",N634)+1)+1,4)),VALUE(MID(N634,FIND("/",N634)+1,FIND("/",N634,FIND("/",N634)+1)-FIND("/",N634)-1)),VALUE(LEFT(N634,FIND("/",N634)-1))),0)</f>
        <v>0</v>
      </c>
    </row>
    <row r="635" customFormat="false" ht="15" hidden="false" customHeight="false" outlineLevel="0" collapsed="false">
      <c r="N635" s="0" t="str">
        <f aca="false">IF(H635="","",IFERROR(LEFT(H635,FIND(" ",H635)-1),H635))</f>
        <v/>
      </c>
      <c r="O635" s="20" t="n">
        <f aca="false">IFERROR(DATE(VALUE(MID(N635,FIND("/",N635,FIND("/",N635)+1)+1,4)),VALUE(MID(N635,FIND("/",N635)+1,FIND("/",N635,FIND("/",N635)+1)-FIND("/",N635)-1)),VALUE(LEFT(N635,FIND("/",N635)-1))),0)</f>
        <v>0</v>
      </c>
    </row>
    <row r="636" customFormat="false" ht="15" hidden="false" customHeight="false" outlineLevel="0" collapsed="false">
      <c r="N636" s="0" t="str">
        <f aca="false">IF(H636="","",IFERROR(LEFT(H636,FIND(" ",H636)-1),H636))</f>
        <v/>
      </c>
      <c r="O636" s="20" t="n">
        <f aca="false">IFERROR(DATE(VALUE(MID(N636,FIND("/",N636,FIND("/",N636)+1)+1,4)),VALUE(MID(N636,FIND("/",N636)+1,FIND("/",N636,FIND("/",N636)+1)-FIND("/",N636)-1)),VALUE(LEFT(N636,FIND("/",N636)-1))),0)</f>
        <v>0</v>
      </c>
    </row>
    <row r="637" customFormat="false" ht="15" hidden="false" customHeight="false" outlineLevel="0" collapsed="false">
      <c r="N637" s="0" t="str">
        <f aca="false">IF(H637="","",IFERROR(LEFT(H637,FIND(" ",H637)-1),H637))</f>
        <v/>
      </c>
      <c r="O637" s="20" t="n">
        <f aca="false">IFERROR(DATE(VALUE(MID(N637,FIND("/",N637,FIND("/",N637)+1)+1,4)),VALUE(MID(N637,FIND("/",N637)+1,FIND("/",N637,FIND("/",N637)+1)-FIND("/",N637)-1)),VALUE(LEFT(N637,FIND("/",N637)-1))),0)</f>
        <v>0</v>
      </c>
    </row>
    <row r="638" customFormat="false" ht="15" hidden="false" customHeight="false" outlineLevel="0" collapsed="false">
      <c r="N638" s="0" t="str">
        <f aca="false">IF(H638="","",IFERROR(LEFT(H638,FIND(" ",H638)-1),H638))</f>
        <v/>
      </c>
      <c r="O638" s="20" t="n">
        <f aca="false">IFERROR(DATE(VALUE(MID(N638,FIND("/",N638,FIND("/",N638)+1)+1,4)),VALUE(MID(N638,FIND("/",N638)+1,FIND("/",N638,FIND("/",N638)+1)-FIND("/",N638)-1)),VALUE(LEFT(N638,FIND("/",N638)-1))),0)</f>
        <v>0</v>
      </c>
    </row>
    <row r="639" customFormat="false" ht="15" hidden="false" customHeight="false" outlineLevel="0" collapsed="false">
      <c r="N639" s="0" t="str">
        <f aca="false">IF(H639="","",IFERROR(LEFT(H639,FIND(" ",H639)-1),H639))</f>
        <v/>
      </c>
      <c r="O639" s="20" t="n">
        <f aca="false">IFERROR(DATE(VALUE(MID(N639,FIND("/",N639,FIND("/",N639)+1)+1,4)),VALUE(MID(N639,FIND("/",N639)+1,FIND("/",N639,FIND("/",N639)+1)-FIND("/",N639)-1)),VALUE(LEFT(N639,FIND("/",N639)-1))),0)</f>
        <v>0</v>
      </c>
    </row>
    <row r="640" customFormat="false" ht="15" hidden="false" customHeight="false" outlineLevel="0" collapsed="false">
      <c r="N640" s="0" t="str">
        <f aca="false">IF(H640="","",IFERROR(LEFT(H640,FIND(" ",H640)-1),H640))</f>
        <v/>
      </c>
      <c r="O640" s="20" t="n">
        <f aca="false">IFERROR(DATE(VALUE(MID(N640,FIND("/",N640,FIND("/",N640)+1)+1,4)),VALUE(MID(N640,FIND("/",N640)+1,FIND("/",N640,FIND("/",N640)+1)-FIND("/",N640)-1)),VALUE(LEFT(N640,FIND("/",N640)-1))),0)</f>
        <v>0</v>
      </c>
    </row>
    <row r="641" customFormat="false" ht="15" hidden="false" customHeight="false" outlineLevel="0" collapsed="false">
      <c r="N641" s="0" t="str">
        <f aca="false">IF(H641="","",IFERROR(LEFT(H641,FIND(" ",H641)-1),H641))</f>
        <v/>
      </c>
      <c r="O641" s="20" t="n">
        <f aca="false">IFERROR(DATE(VALUE(MID(N641,FIND("/",N641,FIND("/",N641)+1)+1,4)),VALUE(MID(N641,FIND("/",N641)+1,FIND("/",N641,FIND("/",N641)+1)-FIND("/",N641)-1)),VALUE(LEFT(N641,FIND("/",N641)-1))),0)</f>
        <v>0</v>
      </c>
    </row>
    <row r="642" customFormat="false" ht="15" hidden="false" customHeight="false" outlineLevel="0" collapsed="false">
      <c r="N642" s="0" t="str">
        <f aca="false">IF(H642="","",IFERROR(LEFT(H642,FIND(" ",H642)-1),H642))</f>
        <v/>
      </c>
      <c r="O642" s="20" t="n">
        <f aca="false">IFERROR(DATE(VALUE(MID(N642,FIND("/",N642,FIND("/",N642)+1)+1,4)),VALUE(MID(N642,FIND("/",N642)+1,FIND("/",N642,FIND("/",N642)+1)-FIND("/",N642)-1)),VALUE(LEFT(N642,FIND("/",N642)-1))),0)</f>
        <v>0</v>
      </c>
    </row>
    <row r="643" customFormat="false" ht="15" hidden="false" customHeight="false" outlineLevel="0" collapsed="false">
      <c r="N643" s="0" t="str">
        <f aca="false">IF(H643="","",IFERROR(LEFT(H643,FIND(" ",H643)-1),H643))</f>
        <v/>
      </c>
      <c r="O643" s="20" t="n">
        <f aca="false">IFERROR(DATE(VALUE(MID(N643,FIND("/",N643,FIND("/",N643)+1)+1,4)),VALUE(MID(N643,FIND("/",N643)+1,FIND("/",N643,FIND("/",N643)+1)-FIND("/",N643)-1)),VALUE(LEFT(N643,FIND("/",N643)-1))),0)</f>
        <v>0</v>
      </c>
    </row>
    <row r="644" customFormat="false" ht="15" hidden="false" customHeight="false" outlineLevel="0" collapsed="false">
      <c r="N644" s="0" t="str">
        <f aca="false">IF(H644="","",IFERROR(LEFT(H644,FIND(" ",H644)-1),H644))</f>
        <v/>
      </c>
      <c r="O644" s="20" t="n">
        <f aca="false">IFERROR(DATE(VALUE(MID(N644,FIND("/",N644,FIND("/",N644)+1)+1,4)),VALUE(MID(N644,FIND("/",N644)+1,FIND("/",N644,FIND("/",N644)+1)-FIND("/",N644)-1)),VALUE(LEFT(N644,FIND("/",N644)-1))),0)</f>
        <v>0</v>
      </c>
    </row>
    <row r="645" customFormat="false" ht="15" hidden="false" customHeight="false" outlineLevel="0" collapsed="false">
      <c r="N645" s="0" t="str">
        <f aca="false">IF(H645="","",IFERROR(LEFT(H645,FIND(" ",H645)-1),H645))</f>
        <v/>
      </c>
      <c r="O645" s="20" t="n">
        <f aca="false">IFERROR(DATE(VALUE(MID(N645,FIND("/",N645,FIND("/",N645)+1)+1,4)),VALUE(MID(N645,FIND("/",N645)+1,FIND("/",N645,FIND("/",N645)+1)-FIND("/",N645)-1)),VALUE(LEFT(N645,FIND("/",N645)-1))),0)</f>
        <v>0</v>
      </c>
    </row>
    <row r="646" customFormat="false" ht="15" hidden="false" customHeight="false" outlineLevel="0" collapsed="false">
      <c r="N646" s="0" t="str">
        <f aca="false">IF(H646="","",IFERROR(LEFT(H646,FIND(" ",H646)-1),H646))</f>
        <v/>
      </c>
      <c r="O646" s="20" t="n">
        <f aca="false">IFERROR(DATE(VALUE(MID(N646,FIND("/",N646,FIND("/",N646)+1)+1,4)),VALUE(MID(N646,FIND("/",N646)+1,FIND("/",N646,FIND("/",N646)+1)-FIND("/",N646)-1)),VALUE(LEFT(N646,FIND("/",N646)-1))),0)</f>
        <v>0</v>
      </c>
    </row>
    <row r="647" customFormat="false" ht="15" hidden="false" customHeight="false" outlineLevel="0" collapsed="false">
      <c r="N647" s="0" t="str">
        <f aca="false">IF(H647="","",IFERROR(LEFT(H647,FIND(" ",H647)-1),H647))</f>
        <v/>
      </c>
      <c r="O647" s="20" t="n">
        <f aca="false">IFERROR(DATE(VALUE(MID(N647,FIND("/",N647,FIND("/",N647)+1)+1,4)),VALUE(MID(N647,FIND("/",N647)+1,FIND("/",N647,FIND("/",N647)+1)-FIND("/",N647)-1)),VALUE(LEFT(N647,FIND("/",N647)-1))),0)</f>
        <v>0</v>
      </c>
    </row>
    <row r="648" customFormat="false" ht="15" hidden="false" customHeight="false" outlineLevel="0" collapsed="false">
      <c r="N648" s="0" t="str">
        <f aca="false">IF(H648="","",IFERROR(LEFT(H648,FIND(" ",H648)-1),H648))</f>
        <v/>
      </c>
      <c r="O648" s="20" t="n">
        <f aca="false">IFERROR(DATE(VALUE(MID(N648,FIND("/",N648,FIND("/",N648)+1)+1,4)),VALUE(MID(N648,FIND("/",N648)+1,FIND("/",N648,FIND("/",N648)+1)-FIND("/",N648)-1)),VALUE(LEFT(N648,FIND("/",N648)-1))),0)</f>
        <v>0</v>
      </c>
    </row>
    <row r="649" customFormat="false" ht="15" hidden="false" customHeight="false" outlineLevel="0" collapsed="false">
      <c r="N649" s="0" t="str">
        <f aca="false">IF(H649="","",IFERROR(LEFT(H649,FIND(" ",H649)-1),H649))</f>
        <v/>
      </c>
      <c r="O649" s="20" t="n">
        <f aca="false">IFERROR(DATE(VALUE(MID(N649,FIND("/",N649,FIND("/",N649)+1)+1,4)),VALUE(MID(N649,FIND("/",N649)+1,FIND("/",N649,FIND("/",N649)+1)-FIND("/",N649)-1)),VALUE(LEFT(N649,FIND("/",N649)-1))),0)</f>
        <v>0</v>
      </c>
    </row>
    <row r="650" customFormat="false" ht="15" hidden="false" customHeight="false" outlineLevel="0" collapsed="false">
      <c r="N650" s="0" t="str">
        <f aca="false">IF(H650="","",IFERROR(LEFT(H650,FIND(" ",H650)-1),H650))</f>
        <v/>
      </c>
      <c r="O650" s="20" t="n">
        <f aca="false">IFERROR(DATE(VALUE(MID(N650,FIND("/",N650,FIND("/",N650)+1)+1,4)),VALUE(MID(N650,FIND("/",N650)+1,FIND("/",N650,FIND("/",N650)+1)-FIND("/",N650)-1)),VALUE(LEFT(N650,FIND("/",N650)-1))),0)</f>
        <v>0</v>
      </c>
    </row>
    <row r="651" customFormat="false" ht="15" hidden="false" customHeight="false" outlineLevel="0" collapsed="false">
      <c r="N651" s="0" t="str">
        <f aca="false">IF(H651="","",IFERROR(LEFT(H651,FIND(" ",H651)-1),H651))</f>
        <v/>
      </c>
      <c r="O651" s="20" t="n">
        <f aca="false">IFERROR(DATE(VALUE(MID(N651,FIND("/",N651,FIND("/",N651)+1)+1,4)),VALUE(MID(N651,FIND("/",N651)+1,FIND("/",N651,FIND("/",N651)+1)-FIND("/",N651)-1)),VALUE(LEFT(N651,FIND("/",N651)-1))),0)</f>
        <v>0</v>
      </c>
    </row>
    <row r="652" customFormat="false" ht="15" hidden="false" customHeight="false" outlineLevel="0" collapsed="false">
      <c r="N652" s="0" t="str">
        <f aca="false">IF(H652="","",IFERROR(LEFT(H652,FIND(" ",H652)-1),H652))</f>
        <v/>
      </c>
      <c r="O652" s="20" t="n">
        <f aca="false">IFERROR(DATE(VALUE(MID(N652,FIND("/",N652,FIND("/",N652)+1)+1,4)),VALUE(MID(N652,FIND("/",N652)+1,FIND("/",N652,FIND("/",N652)+1)-FIND("/",N652)-1)),VALUE(LEFT(N652,FIND("/",N652)-1))),0)</f>
        <v>0</v>
      </c>
    </row>
    <row r="653" customFormat="false" ht="15" hidden="false" customHeight="false" outlineLevel="0" collapsed="false">
      <c r="N653" s="0" t="str">
        <f aca="false">IF(H653="","",IFERROR(LEFT(H653,FIND(" ",H653)-1),H653))</f>
        <v/>
      </c>
      <c r="O653" s="20" t="n">
        <f aca="false">IFERROR(DATE(VALUE(MID(N653,FIND("/",N653,FIND("/",N653)+1)+1,4)),VALUE(MID(N653,FIND("/",N653)+1,FIND("/",N653,FIND("/",N653)+1)-FIND("/",N653)-1)),VALUE(LEFT(N653,FIND("/",N653)-1))),0)</f>
        <v>0</v>
      </c>
    </row>
    <row r="654" customFormat="false" ht="15" hidden="false" customHeight="false" outlineLevel="0" collapsed="false">
      <c r="N654" s="0" t="str">
        <f aca="false">IF(H654="","",IFERROR(LEFT(H654,FIND(" ",H654)-1),H654))</f>
        <v/>
      </c>
      <c r="O654" s="20" t="n">
        <f aca="false">IFERROR(DATE(VALUE(MID(N654,FIND("/",N654,FIND("/",N654)+1)+1,4)),VALUE(MID(N654,FIND("/",N654)+1,FIND("/",N654,FIND("/",N654)+1)-FIND("/",N654)-1)),VALUE(LEFT(N654,FIND("/",N654)-1))),0)</f>
        <v>0</v>
      </c>
    </row>
    <row r="655" customFormat="false" ht="15" hidden="false" customHeight="false" outlineLevel="0" collapsed="false">
      <c r="N655" s="0" t="str">
        <f aca="false">IF(H655="","",IFERROR(LEFT(H655,FIND(" ",H655)-1),H655))</f>
        <v/>
      </c>
      <c r="O655" s="20" t="n">
        <f aca="false">IFERROR(DATE(VALUE(MID(N655,FIND("/",N655,FIND("/",N655)+1)+1,4)),VALUE(MID(N655,FIND("/",N655)+1,FIND("/",N655,FIND("/",N655)+1)-FIND("/",N655)-1)),VALUE(LEFT(N655,FIND("/",N655)-1))),0)</f>
        <v>0</v>
      </c>
    </row>
    <row r="656" customFormat="false" ht="15" hidden="false" customHeight="false" outlineLevel="0" collapsed="false">
      <c r="N656" s="0" t="str">
        <f aca="false">IF(H656="","",IFERROR(LEFT(H656,FIND(" ",H656)-1),H656))</f>
        <v/>
      </c>
      <c r="O656" s="20" t="n">
        <f aca="false">IFERROR(DATE(VALUE(MID(N656,FIND("/",N656,FIND("/",N656)+1)+1,4)),VALUE(MID(N656,FIND("/",N656)+1,FIND("/",N656,FIND("/",N656)+1)-FIND("/",N656)-1)),VALUE(LEFT(N656,FIND("/",N656)-1))),0)</f>
        <v>0</v>
      </c>
    </row>
    <row r="657" customFormat="false" ht="15" hidden="false" customHeight="false" outlineLevel="0" collapsed="false">
      <c r="N657" s="0" t="str">
        <f aca="false">IF(H657="","",IFERROR(LEFT(H657,FIND(" ",H657)-1),H657))</f>
        <v/>
      </c>
      <c r="O657" s="20" t="n">
        <f aca="false">IFERROR(DATE(VALUE(MID(N657,FIND("/",N657,FIND("/",N657)+1)+1,4)),VALUE(MID(N657,FIND("/",N657)+1,FIND("/",N657,FIND("/",N657)+1)-FIND("/",N657)-1)),VALUE(LEFT(N657,FIND("/",N657)-1))),0)</f>
        <v>0</v>
      </c>
    </row>
    <row r="658" customFormat="false" ht="15" hidden="false" customHeight="false" outlineLevel="0" collapsed="false">
      <c r="N658" s="0" t="str">
        <f aca="false">IF(H658="","",IFERROR(LEFT(H658,FIND(" ",H658)-1),H658))</f>
        <v/>
      </c>
      <c r="O658" s="20" t="n">
        <f aca="false">IFERROR(DATE(VALUE(MID(N658,FIND("/",N658,FIND("/",N658)+1)+1,4)),VALUE(MID(N658,FIND("/",N658)+1,FIND("/",N658,FIND("/",N658)+1)-FIND("/",N658)-1)),VALUE(LEFT(N658,FIND("/",N658)-1))),0)</f>
        <v>0</v>
      </c>
    </row>
    <row r="659" customFormat="false" ht="15" hidden="false" customHeight="false" outlineLevel="0" collapsed="false">
      <c r="N659" s="0" t="str">
        <f aca="false">IF(H659="","",IFERROR(LEFT(H659,FIND(" ",H659)-1),H659))</f>
        <v/>
      </c>
      <c r="O659" s="20" t="n">
        <f aca="false">IFERROR(DATE(VALUE(MID(N659,FIND("/",N659,FIND("/",N659)+1)+1,4)),VALUE(MID(N659,FIND("/",N659)+1,FIND("/",N659,FIND("/",N659)+1)-FIND("/",N659)-1)),VALUE(LEFT(N659,FIND("/",N659)-1))),0)</f>
        <v>0</v>
      </c>
    </row>
    <row r="660" customFormat="false" ht="15" hidden="false" customHeight="false" outlineLevel="0" collapsed="false">
      <c r="N660" s="0" t="str">
        <f aca="false">IF(H660="","",IFERROR(LEFT(H660,FIND(" ",H660)-1),H660))</f>
        <v/>
      </c>
      <c r="O660" s="20" t="n">
        <f aca="false">IFERROR(DATE(VALUE(MID(N660,FIND("/",N660,FIND("/",N660)+1)+1,4)),VALUE(MID(N660,FIND("/",N660)+1,FIND("/",N660,FIND("/",N660)+1)-FIND("/",N660)-1)),VALUE(LEFT(N660,FIND("/",N660)-1))),0)</f>
        <v>0</v>
      </c>
    </row>
    <row r="661" customFormat="false" ht="15" hidden="false" customHeight="false" outlineLevel="0" collapsed="false">
      <c r="N661" s="0" t="str">
        <f aca="false">IF(H661="","",IFERROR(LEFT(H661,FIND(" ",H661)-1),H661))</f>
        <v/>
      </c>
      <c r="O661" s="20" t="n">
        <f aca="false">IFERROR(DATE(VALUE(MID(N661,FIND("/",N661,FIND("/",N661)+1)+1,4)),VALUE(MID(N661,FIND("/",N661)+1,FIND("/",N661,FIND("/",N661)+1)-FIND("/",N661)-1)),VALUE(LEFT(N661,FIND("/",N661)-1))),0)</f>
        <v>0</v>
      </c>
    </row>
    <row r="662" customFormat="false" ht="15" hidden="false" customHeight="false" outlineLevel="0" collapsed="false">
      <c r="N662" s="0" t="str">
        <f aca="false">IF(H662="","",IFERROR(LEFT(H662,FIND(" ",H662)-1),H662))</f>
        <v/>
      </c>
      <c r="O662" s="20" t="n">
        <f aca="false">IFERROR(DATE(VALUE(MID(N662,FIND("/",N662,FIND("/",N662)+1)+1,4)),VALUE(MID(N662,FIND("/",N662)+1,FIND("/",N662,FIND("/",N662)+1)-FIND("/",N662)-1)),VALUE(LEFT(N662,FIND("/",N662)-1))),0)</f>
        <v>0</v>
      </c>
    </row>
    <row r="663" customFormat="false" ht="15" hidden="false" customHeight="false" outlineLevel="0" collapsed="false">
      <c r="N663" s="0" t="str">
        <f aca="false">IF(H663="","",IFERROR(LEFT(H663,FIND(" ",H663)-1),H663))</f>
        <v/>
      </c>
      <c r="O663" s="20" t="n">
        <f aca="false">IFERROR(DATE(VALUE(MID(N663,FIND("/",N663,FIND("/",N663)+1)+1,4)),VALUE(MID(N663,FIND("/",N663)+1,FIND("/",N663,FIND("/",N663)+1)-FIND("/",N663)-1)),VALUE(LEFT(N663,FIND("/",N663)-1))),0)</f>
        <v>0</v>
      </c>
    </row>
    <row r="664" customFormat="false" ht="15" hidden="false" customHeight="false" outlineLevel="0" collapsed="false">
      <c r="N664" s="0" t="str">
        <f aca="false">IF(H664="","",IFERROR(LEFT(H664,FIND(" ",H664)-1),H664))</f>
        <v/>
      </c>
      <c r="O664" s="20" t="n">
        <f aca="false">IFERROR(DATE(VALUE(MID(N664,FIND("/",N664,FIND("/",N664)+1)+1,4)),VALUE(MID(N664,FIND("/",N664)+1,FIND("/",N664,FIND("/",N664)+1)-FIND("/",N664)-1)),VALUE(LEFT(N664,FIND("/",N664)-1))),0)</f>
        <v>0</v>
      </c>
    </row>
    <row r="665" customFormat="false" ht="15" hidden="false" customHeight="false" outlineLevel="0" collapsed="false">
      <c r="N665" s="0" t="str">
        <f aca="false">IF(H665="","",IFERROR(LEFT(H665,FIND(" ",H665)-1),H665))</f>
        <v/>
      </c>
      <c r="O665" s="20" t="n">
        <f aca="false">IFERROR(DATE(VALUE(MID(N665,FIND("/",N665,FIND("/",N665)+1)+1,4)),VALUE(MID(N665,FIND("/",N665)+1,FIND("/",N665,FIND("/",N665)+1)-FIND("/",N665)-1)),VALUE(LEFT(N665,FIND("/",N665)-1))),0)</f>
        <v>0</v>
      </c>
    </row>
    <row r="666" customFormat="false" ht="15" hidden="false" customHeight="false" outlineLevel="0" collapsed="false">
      <c r="N666" s="0" t="str">
        <f aca="false">IF(H666="","",IFERROR(LEFT(H666,FIND(" ",H666)-1),H666))</f>
        <v/>
      </c>
      <c r="O666" s="20" t="n">
        <f aca="false">IFERROR(DATE(VALUE(MID(N666,FIND("/",N666,FIND("/",N666)+1)+1,4)),VALUE(MID(N666,FIND("/",N666)+1,FIND("/",N666,FIND("/",N666)+1)-FIND("/",N666)-1)),VALUE(LEFT(N666,FIND("/",N666)-1))),0)</f>
        <v>0</v>
      </c>
    </row>
    <row r="667" customFormat="false" ht="15" hidden="false" customHeight="false" outlineLevel="0" collapsed="false">
      <c r="N667" s="0" t="str">
        <f aca="false">IF(H667="","",IFERROR(LEFT(H667,FIND(" ",H667)-1),H667))</f>
        <v/>
      </c>
      <c r="O667" s="20" t="n">
        <f aca="false">IFERROR(DATE(VALUE(MID(N667,FIND("/",N667,FIND("/",N667)+1)+1,4)),VALUE(MID(N667,FIND("/",N667)+1,FIND("/",N667,FIND("/",N667)+1)-FIND("/",N667)-1)),VALUE(LEFT(N667,FIND("/",N667)-1))),0)</f>
        <v>0</v>
      </c>
    </row>
    <row r="668" customFormat="false" ht="15" hidden="false" customHeight="false" outlineLevel="0" collapsed="false">
      <c r="N668" s="0" t="str">
        <f aca="false">IF(H668="","",IFERROR(LEFT(H668,FIND(" ",H668)-1),H668))</f>
        <v/>
      </c>
      <c r="O668" s="20" t="n">
        <f aca="false">IFERROR(DATE(VALUE(MID(N668,FIND("/",N668,FIND("/",N668)+1)+1,4)),VALUE(MID(N668,FIND("/",N668)+1,FIND("/",N668,FIND("/",N668)+1)-FIND("/",N668)-1)),VALUE(LEFT(N668,FIND("/",N668)-1))),0)</f>
        <v>0</v>
      </c>
    </row>
    <row r="669" customFormat="false" ht="15" hidden="false" customHeight="false" outlineLevel="0" collapsed="false">
      <c r="N669" s="0" t="str">
        <f aca="false">IF(H669="","",IFERROR(LEFT(H669,FIND(" ",H669)-1),H669))</f>
        <v/>
      </c>
      <c r="O669" s="20" t="n">
        <f aca="false">IFERROR(DATE(VALUE(MID(N669,FIND("/",N669,FIND("/",N669)+1)+1,4)),VALUE(MID(N669,FIND("/",N669)+1,FIND("/",N669,FIND("/",N669)+1)-FIND("/",N669)-1)),VALUE(LEFT(N669,FIND("/",N669)-1))),0)</f>
        <v>0</v>
      </c>
    </row>
    <row r="670" customFormat="false" ht="15" hidden="false" customHeight="false" outlineLevel="0" collapsed="false">
      <c r="N670" s="0" t="str">
        <f aca="false">IF(H670="","",IFERROR(LEFT(H670,FIND(" ",H670)-1),H670))</f>
        <v/>
      </c>
      <c r="O670" s="20" t="n">
        <f aca="false">IFERROR(DATE(VALUE(MID(N670,FIND("/",N670,FIND("/",N670)+1)+1,4)),VALUE(MID(N670,FIND("/",N670)+1,FIND("/",N670,FIND("/",N670)+1)-FIND("/",N670)-1)),VALUE(LEFT(N670,FIND("/",N670)-1))),0)</f>
        <v>0</v>
      </c>
    </row>
    <row r="671" customFormat="false" ht="15" hidden="false" customHeight="false" outlineLevel="0" collapsed="false">
      <c r="N671" s="0" t="str">
        <f aca="false">IF(H671="","",IFERROR(LEFT(H671,FIND(" ",H671)-1),H671))</f>
        <v/>
      </c>
      <c r="O671" s="20" t="n">
        <f aca="false">IFERROR(DATE(VALUE(MID(N671,FIND("/",N671,FIND("/",N671)+1)+1,4)),VALUE(MID(N671,FIND("/",N671)+1,FIND("/",N671,FIND("/",N671)+1)-FIND("/",N671)-1)),VALUE(LEFT(N671,FIND("/",N671)-1))),0)</f>
        <v>0</v>
      </c>
    </row>
    <row r="672" customFormat="false" ht="15" hidden="false" customHeight="false" outlineLevel="0" collapsed="false">
      <c r="N672" s="0" t="str">
        <f aca="false">IF(H672="","",IFERROR(LEFT(H672,FIND(" ",H672)-1),H672))</f>
        <v/>
      </c>
      <c r="O672" s="20" t="n">
        <f aca="false">IFERROR(DATE(VALUE(MID(N672,FIND("/",N672,FIND("/",N672)+1)+1,4)),VALUE(MID(N672,FIND("/",N672)+1,FIND("/",N672,FIND("/",N672)+1)-FIND("/",N672)-1)),VALUE(LEFT(N672,FIND("/",N672)-1))),0)</f>
        <v>0</v>
      </c>
    </row>
    <row r="673" customFormat="false" ht="15" hidden="false" customHeight="false" outlineLevel="0" collapsed="false">
      <c r="N673" s="0" t="str">
        <f aca="false">IF(H673="","",IFERROR(LEFT(H673,FIND(" ",H673)-1),H673))</f>
        <v/>
      </c>
      <c r="O673" s="20" t="n">
        <f aca="false">IFERROR(DATE(VALUE(MID(N673,FIND("/",N673,FIND("/",N673)+1)+1,4)),VALUE(MID(N673,FIND("/",N673)+1,FIND("/",N673,FIND("/",N673)+1)-FIND("/",N673)-1)),VALUE(LEFT(N673,FIND("/",N673)-1))),0)</f>
        <v>0</v>
      </c>
    </row>
    <row r="674" customFormat="false" ht="15" hidden="false" customHeight="false" outlineLevel="0" collapsed="false">
      <c r="N674" s="0" t="str">
        <f aca="false">IF(H674="","",IFERROR(LEFT(H674,FIND(" ",H674)-1),H674))</f>
        <v/>
      </c>
      <c r="O674" s="20" t="n">
        <f aca="false">IFERROR(DATE(VALUE(MID(N674,FIND("/",N674,FIND("/",N674)+1)+1,4)),VALUE(MID(N674,FIND("/",N674)+1,FIND("/",N674,FIND("/",N674)+1)-FIND("/",N674)-1)),VALUE(LEFT(N674,FIND("/",N674)-1))),0)</f>
        <v>0</v>
      </c>
    </row>
    <row r="675" customFormat="false" ht="15" hidden="false" customHeight="false" outlineLevel="0" collapsed="false">
      <c r="N675" s="0" t="str">
        <f aca="false">IF(H675="","",IFERROR(LEFT(H675,FIND(" ",H675)-1),H675))</f>
        <v/>
      </c>
      <c r="O675" s="20" t="n">
        <f aca="false">IFERROR(DATE(VALUE(MID(N675,FIND("/",N675,FIND("/",N675)+1)+1,4)),VALUE(MID(N675,FIND("/",N675)+1,FIND("/",N675,FIND("/",N675)+1)-FIND("/",N675)-1)),VALUE(LEFT(N675,FIND("/",N675)-1))),0)</f>
        <v>0</v>
      </c>
    </row>
    <row r="676" customFormat="false" ht="15" hidden="false" customHeight="false" outlineLevel="0" collapsed="false">
      <c r="N676" s="0" t="str">
        <f aca="false">IF(H676="","",IFERROR(LEFT(H676,FIND(" ",H676)-1),H676))</f>
        <v/>
      </c>
      <c r="O676" s="20" t="n">
        <f aca="false">IFERROR(DATE(VALUE(MID(N676,FIND("/",N676,FIND("/",N676)+1)+1,4)),VALUE(MID(N676,FIND("/",N676)+1,FIND("/",N676,FIND("/",N676)+1)-FIND("/",N676)-1)),VALUE(LEFT(N676,FIND("/",N676)-1))),0)</f>
        <v>0</v>
      </c>
    </row>
    <row r="677" customFormat="false" ht="15" hidden="false" customHeight="false" outlineLevel="0" collapsed="false">
      <c r="N677" s="0" t="str">
        <f aca="false">IF(H677="","",IFERROR(LEFT(H677,FIND(" ",H677)-1),H677))</f>
        <v/>
      </c>
      <c r="O677" s="20" t="n">
        <f aca="false">IFERROR(DATE(VALUE(MID(N677,FIND("/",N677,FIND("/",N677)+1)+1,4)),VALUE(MID(N677,FIND("/",N677)+1,FIND("/",N677,FIND("/",N677)+1)-FIND("/",N677)-1)),VALUE(LEFT(N677,FIND("/",N677)-1))),0)</f>
        <v>0</v>
      </c>
    </row>
    <row r="678" customFormat="false" ht="15" hidden="false" customHeight="false" outlineLevel="0" collapsed="false">
      <c r="N678" s="0" t="str">
        <f aca="false">IF(H678="","",IFERROR(LEFT(H678,FIND(" ",H678)-1),H678))</f>
        <v/>
      </c>
      <c r="O678" s="20" t="n">
        <f aca="false">IFERROR(DATE(VALUE(MID(N678,FIND("/",N678,FIND("/",N678)+1)+1,4)),VALUE(MID(N678,FIND("/",N678)+1,FIND("/",N678,FIND("/",N678)+1)-FIND("/",N678)-1)),VALUE(LEFT(N678,FIND("/",N678)-1))),0)</f>
        <v>0</v>
      </c>
    </row>
    <row r="679" customFormat="false" ht="15" hidden="false" customHeight="false" outlineLevel="0" collapsed="false">
      <c r="N679" s="0" t="str">
        <f aca="false">IF(H679="","",IFERROR(LEFT(H679,FIND(" ",H679)-1),H679))</f>
        <v/>
      </c>
      <c r="O679" s="20" t="n">
        <f aca="false">IFERROR(DATE(VALUE(MID(N679,FIND("/",N679,FIND("/",N679)+1)+1,4)),VALUE(MID(N679,FIND("/",N679)+1,FIND("/",N679,FIND("/",N679)+1)-FIND("/",N679)-1)),VALUE(LEFT(N679,FIND("/",N679)-1))),0)</f>
        <v>0</v>
      </c>
    </row>
    <row r="680" customFormat="false" ht="15" hidden="false" customHeight="false" outlineLevel="0" collapsed="false">
      <c r="N680" s="0" t="str">
        <f aca="false">IF(H680="","",IFERROR(LEFT(H680,FIND(" ",H680)-1),H680))</f>
        <v/>
      </c>
      <c r="O680" s="20" t="n">
        <f aca="false">IFERROR(DATE(VALUE(MID(N680,FIND("/",N680,FIND("/",N680)+1)+1,4)),VALUE(MID(N680,FIND("/",N680)+1,FIND("/",N680,FIND("/",N680)+1)-FIND("/",N680)-1)),VALUE(LEFT(N680,FIND("/",N680)-1))),0)</f>
        <v>0</v>
      </c>
    </row>
    <row r="681" customFormat="false" ht="15" hidden="false" customHeight="false" outlineLevel="0" collapsed="false">
      <c r="N681" s="0" t="str">
        <f aca="false">IF(H681="","",IFERROR(LEFT(H681,FIND(" ",H681)-1),H681))</f>
        <v/>
      </c>
      <c r="O681" s="20" t="n">
        <f aca="false">IFERROR(DATE(VALUE(MID(N681,FIND("/",N681,FIND("/",N681)+1)+1,4)),VALUE(MID(N681,FIND("/",N681)+1,FIND("/",N681,FIND("/",N681)+1)-FIND("/",N681)-1)),VALUE(LEFT(N681,FIND("/",N681)-1))),0)</f>
        <v>0</v>
      </c>
    </row>
    <row r="682" customFormat="false" ht="15" hidden="false" customHeight="false" outlineLevel="0" collapsed="false">
      <c r="N682" s="0" t="str">
        <f aca="false">IF(H682="","",IFERROR(LEFT(H682,FIND(" ",H682)-1),H682))</f>
        <v/>
      </c>
      <c r="O682" s="20" t="n">
        <f aca="false">IFERROR(DATE(VALUE(MID(N682,FIND("/",N682,FIND("/",N682)+1)+1,4)),VALUE(MID(N682,FIND("/",N682)+1,FIND("/",N682,FIND("/",N682)+1)-FIND("/",N682)-1)),VALUE(LEFT(N682,FIND("/",N682)-1))),0)</f>
        <v>0</v>
      </c>
    </row>
    <row r="683" customFormat="false" ht="15" hidden="false" customHeight="false" outlineLevel="0" collapsed="false">
      <c r="N683" s="0" t="str">
        <f aca="false">IF(H683="","",IFERROR(LEFT(H683,FIND(" ",H683)-1),H683))</f>
        <v/>
      </c>
      <c r="O683" s="20" t="n">
        <f aca="false">IFERROR(DATE(VALUE(MID(N683,FIND("/",N683,FIND("/",N683)+1)+1,4)),VALUE(MID(N683,FIND("/",N683)+1,FIND("/",N683,FIND("/",N683)+1)-FIND("/",N683)-1)),VALUE(LEFT(N683,FIND("/",N683)-1))),0)</f>
        <v>0</v>
      </c>
    </row>
    <row r="684" customFormat="false" ht="15" hidden="false" customHeight="false" outlineLevel="0" collapsed="false">
      <c r="N684" s="0" t="str">
        <f aca="false">IF(H684="","",IFERROR(LEFT(H684,FIND(" ",H684)-1),H684))</f>
        <v/>
      </c>
      <c r="O684" s="20" t="n">
        <f aca="false">IFERROR(DATE(VALUE(MID(N684,FIND("/",N684,FIND("/",N684)+1)+1,4)),VALUE(MID(N684,FIND("/",N684)+1,FIND("/",N684,FIND("/",N684)+1)-FIND("/",N684)-1)),VALUE(LEFT(N684,FIND("/",N684)-1))),0)</f>
        <v>0</v>
      </c>
    </row>
    <row r="685" customFormat="false" ht="15" hidden="false" customHeight="false" outlineLevel="0" collapsed="false">
      <c r="N685" s="0" t="str">
        <f aca="false">IF(H685="","",IFERROR(LEFT(H685,FIND(" ",H685)-1),H685))</f>
        <v/>
      </c>
      <c r="O685" s="20" t="n">
        <f aca="false">IFERROR(DATE(VALUE(MID(N685,FIND("/",N685,FIND("/",N685)+1)+1,4)),VALUE(MID(N685,FIND("/",N685)+1,FIND("/",N685,FIND("/",N685)+1)-FIND("/",N685)-1)),VALUE(LEFT(N685,FIND("/",N685)-1))),0)</f>
        <v>0</v>
      </c>
    </row>
    <row r="686" customFormat="false" ht="15" hidden="false" customHeight="false" outlineLevel="0" collapsed="false">
      <c r="N686" s="0" t="str">
        <f aca="false">IF(H686="","",IFERROR(LEFT(H686,FIND(" ",H686)-1),H686))</f>
        <v/>
      </c>
      <c r="O686" s="20" t="n">
        <f aca="false">IFERROR(DATE(VALUE(MID(N686,FIND("/",N686,FIND("/",N686)+1)+1,4)),VALUE(MID(N686,FIND("/",N686)+1,FIND("/",N686,FIND("/",N686)+1)-FIND("/",N686)-1)),VALUE(LEFT(N686,FIND("/",N686)-1))),0)</f>
        <v>0</v>
      </c>
    </row>
    <row r="687" customFormat="false" ht="15" hidden="false" customHeight="false" outlineLevel="0" collapsed="false">
      <c r="N687" s="0" t="str">
        <f aca="false">IF(H687="","",IFERROR(LEFT(H687,FIND(" ",H687)-1),H687))</f>
        <v/>
      </c>
      <c r="O687" s="20" t="n">
        <f aca="false">IFERROR(DATE(VALUE(MID(N687,FIND("/",N687,FIND("/",N687)+1)+1,4)),VALUE(MID(N687,FIND("/",N687)+1,FIND("/",N687,FIND("/",N687)+1)-FIND("/",N687)-1)),VALUE(LEFT(N687,FIND("/",N687)-1))),0)</f>
        <v>0</v>
      </c>
    </row>
    <row r="688" customFormat="false" ht="15" hidden="false" customHeight="false" outlineLevel="0" collapsed="false">
      <c r="N688" s="0" t="str">
        <f aca="false">IF(H688="","",IFERROR(LEFT(H688,FIND(" ",H688)-1),H688))</f>
        <v/>
      </c>
      <c r="O688" s="20" t="n">
        <f aca="false">IFERROR(DATE(VALUE(MID(N688,FIND("/",N688,FIND("/",N688)+1)+1,4)),VALUE(MID(N688,FIND("/",N688)+1,FIND("/",N688,FIND("/",N688)+1)-FIND("/",N688)-1)),VALUE(LEFT(N688,FIND("/",N688)-1))),0)</f>
        <v>0</v>
      </c>
    </row>
    <row r="689" customFormat="false" ht="15" hidden="false" customHeight="false" outlineLevel="0" collapsed="false">
      <c r="N689" s="0" t="str">
        <f aca="false">IF(H689="","",IFERROR(LEFT(H689,FIND(" ",H689)-1),H689))</f>
        <v/>
      </c>
      <c r="O689" s="20" t="n">
        <f aca="false">IFERROR(DATE(VALUE(MID(N689,FIND("/",N689,FIND("/",N689)+1)+1,4)),VALUE(MID(N689,FIND("/",N689)+1,FIND("/",N689,FIND("/",N689)+1)-FIND("/",N689)-1)),VALUE(LEFT(N689,FIND("/",N689)-1))),0)</f>
        <v>0</v>
      </c>
    </row>
    <row r="690" customFormat="false" ht="15" hidden="false" customHeight="false" outlineLevel="0" collapsed="false">
      <c r="N690" s="0" t="str">
        <f aca="false">IF(H690="","",IFERROR(LEFT(H690,FIND(" ",H690)-1),H690))</f>
        <v/>
      </c>
      <c r="O690" s="20" t="n">
        <f aca="false">IFERROR(DATE(VALUE(MID(N690,FIND("/",N690,FIND("/",N690)+1)+1,4)),VALUE(MID(N690,FIND("/",N690)+1,FIND("/",N690,FIND("/",N690)+1)-FIND("/",N690)-1)),VALUE(LEFT(N690,FIND("/",N690)-1))),0)</f>
        <v>0</v>
      </c>
    </row>
    <row r="691" customFormat="false" ht="15" hidden="false" customHeight="false" outlineLevel="0" collapsed="false">
      <c r="N691" s="0" t="str">
        <f aca="false">IF(H691="","",IFERROR(LEFT(H691,FIND(" ",H691)-1),H691))</f>
        <v/>
      </c>
      <c r="O691" s="20" t="n">
        <f aca="false">IFERROR(DATE(VALUE(MID(N691,FIND("/",N691,FIND("/",N691)+1)+1,4)),VALUE(MID(N691,FIND("/",N691)+1,FIND("/",N691,FIND("/",N691)+1)-FIND("/",N691)-1)),VALUE(LEFT(N691,FIND("/",N691)-1))),0)</f>
        <v>0</v>
      </c>
    </row>
    <row r="692" customFormat="false" ht="15" hidden="false" customHeight="false" outlineLevel="0" collapsed="false">
      <c r="N692" s="0" t="str">
        <f aca="false">IF(H692="","",IFERROR(LEFT(H692,FIND(" ",H692)-1),H692))</f>
        <v/>
      </c>
      <c r="O692" s="20" t="n">
        <f aca="false">IFERROR(DATE(VALUE(MID(N692,FIND("/",N692,FIND("/",N692)+1)+1,4)),VALUE(MID(N692,FIND("/",N692)+1,FIND("/",N692,FIND("/",N692)+1)-FIND("/",N692)-1)),VALUE(LEFT(N692,FIND("/",N692)-1))),0)</f>
        <v>0</v>
      </c>
    </row>
    <row r="693" customFormat="false" ht="15" hidden="false" customHeight="false" outlineLevel="0" collapsed="false">
      <c r="N693" s="0" t="str">
        <f aca="false">IF(H693="","",IFERROR(LEFT(H693,FIND(" ",H693)-1),H693))</f>
        <v/>
      </c>
      <c r="O693" s="20" t="n">
        <f aca="false">IFERROR(DATE(VALUE(MID(N693,FIND("/",N693,FIND("/",N693)+1)+1,4)),VALUE(MID(N693,FIND("/",N693)+1,FIND("/",N693,FIND("/",N693)+1)-FIND("/",N693)-1)),VALUE(LEFT(N693,FIND("/",N693)-1))),0)</f>
        <v>0</v>
      </c>
    </row>
    <row r="694" customFormat="false" ht="15" hidden="false" customHeight="false" outlineLevel="0" collapsed="false">
      <c r="N694" s="0" t="str">
        <f aca="false">IF(H694="","",IFERROR(LEFT(H694,FIND(" ",H694)-1),H694))</f>
        <v/>
      </c>
      <c r="O694" s="20" t="n">
        <f aca="false">IFERROR(DATE(VALUE(MID(N694,FIND("/",N694,FIND("/",N694)+1)+1,4)),VALUE(MID(N694,FIND("/",N694)+1,FIND("/",N694,FIND("/",N694)+1)-FIND("/",N694)-1)),VALUE(LEFT(N694,FIND("/",N694)-1))),0)</f>
        <v>0</v>
      </c>
    </row>
    <row r="695" customFormat="false" ht="15" hidden="false" customHeight="false" outlineLevel="0" collapsed="false">
      <c r="N695" s="0" t="str">
        <f aca="false">IF(H695="","",IFERROR(LEFT(H695,FIND(" ",H695)-1),H695))</f>
        <v/>
      </c>
      <c r="O695" s="20" t="n">
        <f aca="false">IFERROR(DATE(VALUE(MID(N695,FIND("/",N695,FIND("/",N695)+1)+1,4)),VALUE(MID(N695,FIND("/",N695)+1,FIND("/",N695,FIND("/",N695)+1)-FIND("/",N695)-1)),VALUE(LEFT(N695,FIND("/",N695)-1))),0)</f>
        <v>0</v>
      </c>
    </row>
    <row r="696" customFormat="false" ht="15" hidden="false" customHeight="false" outlineLevel="0" collapsed="false">
      <c r="N696" s="0" t="str">
        <f aca="false">IF(H696="","",IFERROR(LEFT(H696,FIND(" ",H696)-1),H696))</f>
        <v/>
      </c>
      <c r="O696" s="20" t="n">
        <f aca="false">IFERROR(DATE(VALUE(MID(N696,FIND("/",N696,FIND("/",N696)+1)+1,4)),VALUE(MID(N696,FIND("/",N696)+1,FIND("/",N696,FIND("/",N696)+1)-FIND("/",N696)-1)),VALUE(LEFT(N696,FIND("/",N696)-1))),0)</f>
        <v>0</v>
      </c>
    </row>
    <row r="697" customFormat="false" ht="15" hidden="false" customHeight="false" outlineLevel="0" collapsed="false">
      <c r="N697" s="0" t="str">
        <f aca="false">IF(H697="","",IFERROR(LEFT(H697,FIND(" ",H697)-1),H697))</f>
        <v/>
      </c>
      <c r="O697" s="20" t="n">
        <f aca="false">IFERROR(DATE(VALUE(MID(N697,FIND("/",N697,FIND("/",N697)+1)+1,4)),VALUE(MID(N697,FIND("/",N697)+1,FIND("/",N697,FIND("/",N697)+1)-FIND("/",N697)-1)),VALUE(LEFT(N697,FIND("/",N697)-1))),0)</f>
        <v>0</v>
      </c>
    </row>
    <row r="698" customFormat="false" ht="15" hidden="false" customHeight="false" outlineLevel="0" collapsed="false">
      <c r="N698" s="0" t="str">
        <f aca="false">IF(H698="","",IFERROR(LEFT(H698,FIND(" ",H698)-1),H698))</f>
        <v/>
      </c>
      <c r="O698" s="20" t="n">
        <f aca="false">IFERROR(DATE(VALUE(MID(N698,FIND("/",N698,FIND("/",N698)+1)+1,4)),VALUE(MID(N698,FIND("/",N698)+1,FIND("/",N698,FIND("/",N698)+1)-FIND("/",N698)-1)),VALUE(LEFT(N698,FIND("/",N698)-1))),0)</f>
        <v>0</v>
      </c>
    </row>
    <row r="699" customFormat="false" ht="15" hidden="false" customHeight="false" outlineLevel="0" collapsed="false">
      <c r="N699" s="0" t="str">
        <f aca="false">IF(H699="","",IFERROR(LEFT(H699,FIND(" ",H699)-1),H699))</f>
        <v/>
      </c>
      <c r="O699" s="20" t="n">
        <f aca="false">IFERROR(DATE(VALUE(MID(N699,FIND("/",N699,FIND("/",N699)+1)+1,4)),VALUE(MID(N699,FIND("/",N699)+1,FIND("/",N699,FIND("/",N699)+1)-FIND("/",N699)-1)),VALUE(LEFT(N699,FIND("/",N699)-1))),0)</f>
        <v>0</v>
      </c>
    </row>
    <row r="700" customFormat="false" ht="15" hidden="false" customHeight="false" outlineLevel="0" collapsed="false">
      <c r="N700" s="0" t="str">
        <f aca="false">IF(H700="","",IFERROR(LEFT(H700,FIND(" ",H700)-1),H700))</f>
        <v/>
      </c>
      <c r="O700" s="20" t="n">
        <f aca="false">IFERROR(DATE(VALUE(MID(N700,FIND("/",N700,FIND("/",N700)+1)+1,4)),VALUE(MID(N700,FIND("/",N700)+1,FIND("/",N700,FIND("/",N700)+1)-FIND("/",N700)-1)),VALUE(LEFT(N700,FIND("/",N700)-1))),0)</f>
        <v>0</v>
      </c>
    </row>
    <row r="701" customFormat="false" ht="15" hidden="false" customHeight="false" outlineLevel="0" collapsed="false">
      <c r="N701" s="0" t="str">
        <f aca="false">IF(H701="","",IFERROR(LEFT(H701,FIND(" ",H701)-1),H701))</f>
        <v/>
      </c>
      <c r="O701" s="20" t="n">
        <f aca="false">IFERROR(DATE(VALUE(MID(N701,FIND("/",N701,FIND("/",N701)+1)+1,4)),VALUE(MID(N701,FIND("/",N701)+1,FIND("/",N701,FIND("/",N701)+1)-FIND("/",N701)-1)),VALUE(LEFT(N701,FIND("/",N701)-1))),0)</f>
        <v>0</v>
      </c>
    </row>
    <row r="702" customFormat="false" ht="15" hidden="false" customHeight="false" outlineLevel="0" collapsed="false">
      <c r="N702" s="0" t="str">
        <f aca="false">IF(H702="","",IFERROR(LEFT(H702,FIND(" ",H702)-1),H702))</f>
        <v/>
      </c>
      <c r="O702" s="20" t="n">
        <f aca="false">IFERROR(DATE(VALUE(MID(N702,FIND("/",N702,FIND("/",N702)+1)+1,4)),VALUE(MID(N702,FIND("/",N702)+1,FIND("/",N702,FIND("/",N702)+1)-FIND("/",N702)-1)),VALUE(LEFT(N702,FIND("/",N702)-1))),0)</f>
        <v>0</v>
      </c>
    </row>
    <row r="703" customFormat="false" ht="15" hidden="false" customHeight="false" outlineLevel="0" collapsed="false">
      <c r="N703" s="0" t="str">
        <f aca="false">IF(H703="","",IFERROR(LEFT(H703,FIND(" ",H703)-1),H703))</f>
        <v/>
      </c>
      <c r="O703" s="20" t="n">
        <f aca="false">IFERROR(DATE(VALUE(MID(N703,FIND("/",N703,FIND("/",N703)+1)+1,4)),VALUE(MID(N703,FIND("/",N703)+1,FIND("/",N703,FIND("/",N703)+1)-FIND("/",N703)-1)),VALUE(LEFT(N703,FIND("/",N703)-1))),0)</f>
        <v>0</v>
      </c>
    </row>
    <row r="704" customFormat="false" ht="15" hidden="false" customHeight="false" outlineLevel="0" collapsed="false">
      <c r="N704" s="0" t="str">
        <f aca="false">IF(H704="","",IFERROR(LEFT(H704,FIND(" ",H704)-1),H704))</f>
        <v/>
      </c>
      <c r="O704" s="20" t="n">
        <f aca="false">IFERROR(DATE(VALUE(MID(N704,FIND("/",N704,FIND("/",N704)+1)+1,4)),VALUE(MID(N704,FIND("/",N704)+1,FIND("/",N704,FIND("/",N704)+1)-FIND("/",N704)-1)),VALUE(LEFT(N704,FIND("/",N704)-1))),0)</f>
        <v>0</v>
      </c>
    </row>
    <row r="705" customFormat="false" ht="15" hidden="false" customHeight="false" outlineLevel="0" collapsed="false">
      <c r="N705" s="0" t="str">
        <f aca="false">IF(H705="","",IFERROR(LEFT(H705,FIND(" ",H705)-1),H705))</f>
        <v/>
      </c>
      <c r="O705" s="20" t="n">
        <f aca="false">IFERROR(DATE(VALUE(MID(N705,FIND("/",N705,FIND("/",N705)+1)+1,4)),VALUE(MID(N705,FIND("/",N705)+1,FIND("/",N705,FIND("/",N705)+1)-FIND("/",N705)-1)),VALUE(LEFT(N705,FIND("/",N705)-1))),0)</f>
        <v>0</v>
      </c>
    </row>
    <row r="706" customFormat="false" ht="15" hidden="false" customHeight="false" outlineLevel="0" collapsed="false">
      <c r="N706" s="0" t="str">
        <f aca="false">IF(H706="","",IFERROR(LEFT(H706,FIND(" ",H706)-1),H706))</f>
        <v/>
      </c>
      <c r="O706" s="20" t="n">
        <f aca="false">IFERROR(DATE(VALUE(MID(N706,FIND("/",N706,FIND("/",N706)+1)+1,4)),VALUE(MID(N706,FIND("/",N706)+1,FIND("/",N706,FIND("/",N706)+1)-FIND("/",N706)-1)),VALUE(LEFT(N706,FIND("/",N706)-1))),0)</f>
        <v>0</v>
      </c>
    </row>
    <row r="707" customFormat="false" ht="15" hidden="false" customHeight="false" outlineLevel="0" collapsed="false">
      <c r="N707" s="0" t="str">
        <f aca="false">IF(H707="","",IFERROR(LEFT(H707,FIND(" ",H707)-1),H707))</f>
        <v/>
      </c>
      <c r="O707" s="20" t="n">
        <f aca="false">IFERROR(DATE(VALUE(MID(N707,FIND("/",N707,FIND("/",N707)+1)+1,4)),VALUE(MID(N707,FIND("/",N707)+1,FIND("/",N707,FIND("/",N707)+1)-FIND("/",N707)-1)),VALUE(LEFT(N707,FIND("/",N707)-1))),0)</f>
        <v>0</v>
      </c>
    </row>
    <row r="708" customFormat="false" ht="15" hidden="false" customHeight="false" outlineLevel="0" collapsed="false">
      <c r="N708" s="0" t="str">
        <f aca="false">IF(H708="","",IFERROR(LEFT(H708,FIND(" ",H708)-1),H708))</f>
        <v/>
      </c>
      <c r="O708" s="20" t="n">
        <f aca="false">IFERROR(DATE(VALUE(MID(N708,FIND("/",N708,FIND("/",N708)+1)+1,4)),VALUE(MID(N708,FIND("/",N708)+1,FIND("/",N708,FIND("/",N708)+1)-FIND("/",N708)-1)),VALUE(LEFT(N708,FIND("/",N708)-1))),0)</f>
        <v>0</v>
      </c>
    </row>
    <row r="709" customFormat="false" ht="15" hidden="false" customHeight="false" outlineLevel="0" collapsed="false">
      <c r="N709" s="0" t="str">
        <f aca="false">IF(H709="","",IFERROR(LEFT(H709,FIND(" ",H709)-1),H709))</f>
        <v/>
      </c>
      <c r="O709" s="20" t="n">
        <f aca="false">IFERROR(DATE(VALUE(MID(N709,FIND("/",N709,FIND("/",N709)+1)+1,4)),VALUE(MID(N709,FIND("/",N709)+1,FIND("/",N709,FIND("/",N709)+1)-FIND("/",N709)-1)),VALUE(LEFT(N709,FIND("/",N709)-1))),0)</f>
        <v>0</v>
      </c>
    </row>
    <row r="710" customFormat="false" ht="15" hidden="false" customHeight="false" outlineLevel="0" collapsed="false">
      <c r="N710" s="0" t="str">
        <f aca="false">IF(H710="","",IFERROR(LEFT(H710,FIND(" ",H710)-1),H710))</f>
        <v/>
      </c>
      <c r="O710" s="20" t="n">
        <f aca="false">IFERROR(DATE(VALUE(MID(N710,FIND("/",N710,FIND("/",N710)+1)+1,4)),VALUE(MID(N710,FIND("/",N710)+1,FIND("/",N710,FIND("/",N710)+1)-FIND("/",N710)-1)),VALUE(LEFT(N710,FIND("/",N710)-1))),0)</f>
        <v>0</v>
      </c>
    </row>
    <row r="711" customFormat="false" ht="15" hidden="false" customHeight="false" outlineLevel="0" collapsed="false">
      <c r="N711" s="0" t="str">
        <f aca="false">IF(H711="","",IFERROR(LEFT(H711,FIND(" ",H711)-1),H711))</f>
        <v/>
      </c>
      <c r="O711" s="20" t="n">
        <f aca="false">IFERROR(DATE(VALUE(MID(N711,FIND("/",N711,FIND("/",N711)+1)+1,4)),VALUE(MID(N711,FIND("/",N711)+1,FIND("/",N711,FIND("/",N711)+1)-FIND("/",N711)-1)),VALUE(LEFT(N711,FIND("/",N711)-1))),0)</f>
        <v>0</v>
      </c>
    </row>
    <row r="712" customFormat="false" ht="15" hidden="false" customHeight="false" outlineLevel="0" collapsed="false">
      <c r="N712" s="0" t="str">
        <f aca="false">IF(H712="","",IFERROR(LEFT(H712,FIND(" ",H712)-1),H712))</f>
        <v/>
      </c>
      <c r="O712" s="20" t="n">
        <f aca="false">IFERROR(DATE(VALUE(MID(N712,FIND("/",N712,FIND("/",N712)+1)+1,4)),VALUE(MID(N712,FIND("/",N712)+1,FIND("/",N712,FIND("/",N712)+1)-FIND("/",N712)-1)),VALUE(LEFT(N712,FIND("/",N712)-1))),0)</f>
        <v>0</v>
      </c>
    </row>
    <row r="713" customFormat="false" ht="15" hidden="false" customHeight="false" outlineLevel="0" collapsed="false">
      <c r="N713" s="0" t="str">
        <f aca="false">IF(H713="","",IFERROR(LEFT(H713,FIND(" ",H713)-1),H713))</f>
        <v/>
      </c>
      <c r="O713" s="20" t="n">
        <f aca="false">IFERROR(DATE(VALUE(MID(N713,FIND("/",N713,FIND("/",N713)+1)+1,4)),VALUE(MID(N713,FIND("/",N713)+1,FIND("/",N713,FIND("/",N713)+1)-FIND("/",N713)-1)),VALUE(LEFT(N713,FIND("/",N713)-1))),0)</f>
        <v>0</v>
      </c>
    </row>
    <row r="714" customFormat="false" ht="15" hidden="false" customHeight="false" outlineLevel="0" collapsed="false">
      <c r="N714" s="0" t="str">
        <f aca="false">IF(H714="","",IFERROR(LEFT(H714,FIND(" ",H714)-1),H714))</f>
        <v/>
      </c>
      <c r="O714" s="20" t="n">
        <f aca="false">IFERROR(DATE(VALUE(MID(N714,FIND("/",N714,FIND("/",N714)+1)+1,4)),VALUE(MID(N714,FIND("/",N714)+1,FIND("/",N714,FIND("/",N714)+1)-FIND("/",N714)-1)),VALUE(LEFT(N714,FIND("/",N714)-1))),0)</f>
        <v>0</v>
      </c>
    </row>
    <row r="715" customFormat="false" ht="15" hidden="false" customHeight="false" outlineLevel="0" collapsed="false">
      <c r="N715" s="0" t="str">
        <f aca="false">IF(H715="","",IFERROR(LEFT(H715,FIND(" ",H715)-1),H715))</f>
        <v/>
      </c>
      <c r="O715" s="20" t="n">
        <f aca="false">IFERROR(DATE(VALUE(MID(N715,FIND("/",N715,FIND("/",N715)+1)+1,4)),VALUE(MID(N715,FIND("/",N715)+1,FIND("/",N715,FIND("/",N715)+1)-FIND("/",N715)-1)),VALUE(LEFT(N715,FIND("/",N715)-1))),0)</f>
        <v>0</v>
      </c>
    </row>
    <row r="716" customFormat="false" ht="15" hidden="false" customHeight="false" outlineLevel="0" collapsed="false">
      <c r="N716" s="0" t="str">
        <f aca="false">IF(H716="","",IFERROR(LEFT(H716,FIND(" ",H716)-1),H716))</f>
        <v/>
      </c>
      <c r="O716" s="20" t="n">
        <f aca="false">IFERROR(DATE(VALUE(MID(N716,FIND("/",N716,FIND("/",N716)+1)+1,4)),VALUE(MID(N716,FIND("/",N716)+1,FIND("/",N716,FIND("/",N716)+1)-FIND("/",N716)-1)),VALUE(LEFT(N716,FIND("/",N716)-1))),0)</f>
        <v>0</v>
      </c>
    </row>
    <row r="717" customFormat="false" ht="15" hidden="false" customHeight="false" outlineLevel="0" collapsed="false">
      <c r="N717" s="0" t="str">
        <f aca="false">IF(H717="","",IFERROR(LEFT(H717,FIND(" ",H717)-1),H717))</f>
        <v/>
      </c>
      <c r="O717" s="20" t="n">
        <f aca="false">IFERROR(DATE(VALUE(MID(N717,FIND("/",N717,FIND("/",N717)+1)+1,4)),VALUE(MID(N717,FIND("/",N717)+1,FIND("/",N717,FIND("/",N717)+1)-FIND("/",N717)-1)),VALUE(LEFT(N717,FIND("/",N717)-1))),0)</f>
        <v>0</v>
      </c>
    </row>
    <row r="718" customFormat="false" ht="15" hidden="false" customHeight="false" outlineLevel="0" collapsed="false">
      <c r="N718" s="0" t="str">
        <f aca="false">IF(H718="","",IFERROR(LEFT(H718,FIND(" ",H718)-1),H718))</f>
        <v/>
      </c>
      <c r="O718" s="20" t="n">
        <f aca="false">IFERROR(DATE(VALUE(MID(N718,FIND("/",N718,FIND("/",N718)+1)+1,4)),VALUE(MID(N718,FIND("/",N718)+1,FIND("/",N718,FIND("/",N718)+1)-FIND("/",N718)-1)),VALUE(LEFT(N718,FIND("/",N718)-1))),0)</f>
        <v>0</v>
      </c>
    </row>
    <row r="719" customFormat="false" ht="15" hidden="false" customHeight="false" outlineLevel="0" collapsed="false">
      <c r="N719" s="0" t="str">
        <f aca="false">IF(H719="","",IFERROR(LEFT(H719,FIND(" ",H719)-1),H719))</f>
        <v/>
      </c>
      <c r="O719" s="20" t="n">
        <f aca="false">IFERROR(DATE(VALUE(MID(N719,FIND("/",N719,FIND("/",N719)+1)+1,4)),VALUE(MID(N719,FIND("/",N719)+1,FIND("/",N719,FIND("/",N719)+1)-FIND("/",N719)-1)),VALUE(LEFT(N719,FIND("/",N719)-1))),0)</f>
        <v>0</v>
      </c>
    </row>
    <row r="720" customFormat="false" ht="15" hidden="false" customHeight="false" outlineLevel="0" collapsed="false">
      <c r="N720" s="0" t="str">
        <f aca="false">IF(H720="","",IFERROR(LEFT(H720,FIND(" ",H720)-1),H720))</f>
        <v/>
      </c>
      <c r="O720" s="20" t="n">
        <f aca="false">IFERROR(DATE(VALUE(MID(N720,FIND("/",N720,FIND("/",N720)+1)+1,4)),VALUE(MID(N720,FIND("/",N720)+1,FIND("/",N720,FIND("/",N720)+1)-FIND("/",N720)-1)),VALUE(LEFT(N720,FIND("/",N720)-1))),0)</f>
        <v>0</v>
      </c>
    </row>
    <row r="721" customFormat="false" ht="15" hidden="false" customHeight="false" outlineLevel="0" collapsed="false">
      <c r="N721" s="0" t="str">
        <f aca="false">IF(H721="","",IFERROR(LEFT(H721,FIND(" ",H721)-1),H721))</f>
        <v/>
      </c>
      <c r="O721" s="20" t="n">
        <f aca="false">IFERROR(DATE(VALUE(MID(N721,FIND("/",N721,FIND("/",N721)+1)+1,4)),VALUE(MID(N721,FIND("/",N721)+1,FIND("/",N721,FIND("/",N721)+1)-FIND("/",N721)-1)),VALUE(LEFT(N721,FIND("/",N721)-1))),0)</f>
        <v>0</v>
      </c>
    </row>
    <row r="722" customFormat="false" ht="15" hidden="false" customHeight="false" outlineLevel="0" collapsed="false">
      <c r="N722" s="0" t="str">
        <f aca="false">IF(H722="","",IFERROR(LEFT(H722,FIND(" ",H722)-1),H722))</f>
        <v/>
      </c>
      <c r="O722" s="20" t="n">
        <f aca="false">IFERROR(DATE(VALUE(MID(N722,FIND("/",N722,FIND("/",N722)+1)+1,4)),VALUE(MID(N722,FIND("/",N722)+1,FIND("/",N722,FIND("/",N722)+1)-FIND("/",N722)-1)),VALUE(LEFT(N722,FIND("/",N722)-1))),0)</f>
        <v>0</v>
      </c>
    </row>
    <row r="723" customFormat="false" ht="15" hidden="false" customHeight="false" outlineLevel="0" collapsed="false">
      <c r="N723" s="0" t="str">
        <f aca="false">IF(H723="","",IFERROR(LEFT(H723,FIND(" ",H723)-1),H723))</f>
        <v/>
      </c>
      <c r="O723" s="20" t="n">
        <f aca="false">IFERROR(DATE(VALUE(MID(N723,FIND("/",N723,FIND("/",N723)+1)+1,4)),VALUE(MID(N723,FIND("/",N723)+1,FIND("/",N723,FIND("/",N723)+1)-FIND("/",N723)-1)),VALUE(LEFT(N723,FIND("/",N723)-1))),0)</f>
        <v>0</v>
      </c>
    </row>
    <row r="724" customFormat="false" ht="15" hidden="false" customHeight="false" outlineLevel="0" collapsed="false">
      <c r="N724" s="0" t="str">
        <f aca="false">IF(H724="","",IFERROR(LEFT(H724,FIND(" ",H724)-1),H724))</f>
        <v/>
      </c>
      <c r="O724" s="20" t="n">
        <f aca="false">IFERROR(DATE(VALUE(MID(N724,FIND("/",N724,FIND("/",N724)+1)+1,4)),VALUE(MID(N724,FIND("/",N724)+1,FIND("/",N724,FIND("/",N724)+1)-FIND("/",N724)-1)),VALUE(LEFT(N724,FIND("/",N724)-1))),0)</f>
        <v>0</v>
      </c>
    </row>
    <row r="725" customFormat="false" ht="15" hidden="false" customHeight="false" outlineLevel="0" collapsed="false">
      <c r="N725" s="0" t="str">
        <f aca="false">IF(H725="","",IFERROR(LEFT(H725,FIND(" ",H725)-1),H725))</f>
        <v/>
      </c>
      <c r="O725" s="20" t="n">
        <f aca="false">IFERROR(DATE(VALUE(MID(N725,FIND("/",N725,FIND("/",N725)+1)+1,4)),VALUE(MID(N725,FIND("/",N725)+1,FIND("/",N725,FIND("/",N725)+1)-FIND("/",N725)-1)),VALUE(LEFT(N725,FIND("/",N725)-1))),0)</f>
        <v>0</v>
      </c>
    </row>
    <row r="726" customFormat="false" ht="15" hidden="false" customHeight="false" outlineLevel="0" collapsed="false">
      <c r="N726" s="0" t="str">
        <f aca="false">IF(H726="","",IFERROR(LEFT(H726,FIND(" ",H726)-1),H726))</f>
        <v/>
      </c>
      <c r="O726" s="20" t="n">
        <f aca="false">IFERROR(DATE(VALUE(MID(N726,FIND("/",N726,FIND("/",N726)+1)+1,4)),VALUE(MID(N726,FIND("/",N726)+1,FIND("/",N726,FIND("/",N726)+1)-FIND("/",N726)-1)),VALUE(LEFT(N726,FIND("/",N726)-1))),0)</f>
        <v>0</v>
      </c>
    </row>
    <row r="727" customFormat="false" ht="15" hidden="false" customHeight="false" outlineLevel="0" collapsed="false">
      <c r="N727" s="0" t="str">
        <f aca="false">IF(H727="","",IFERROR(LEFT(H727,FIND(" ",H727)-1),H727))</f>
        <v/>
      </c>
      <c r="O727" s="20" t="n">
        <f aca="false">IFERROR(DATE(VALUE(MID(N727,FIND("/",N727,FIND("/",N727)+1)+1,4)),VALUE(MID(N727,FIND("/",N727)+1,FIND("/",N727,FIND("/",N727)+1)-FIND("/",N727)-1)),VALUE(LEFT(N727,FIND("/",N727)-1))),0)</f>
        <v>0</v>
      </c>
    </row>
    <row r="728" customFormat="false" ht="15" hidden="false" customHeight="false" outlineLevel="0" collapsed="false">
      <c r="N728" s="0" t="str">
        <f aca="false">IF(H728="","",IFERROR(LEFT(H728,FIND(" ",H728)-1),H728))</f>
        <v/>
      </c>
      <c r="O728" s="20" t="n">
        <f aca="false">IFERROR(DATE(VALUE(MID(N728,FIND("/",N728,FIND("/",N728)+1)+1,4)),VALUE(MID(N728,FIND("/",N728)+1,FIND("/",N728,FIND("/",N728)+1)-FIND("/",N728)-1)),VALUE(LEFT(N728,FIND("/",N728)-1))),0)</f>
        <v>0</v>
      </c>
    </row>
    <row r="729" customFormat="false" ht="15" hidden="false" customHeight="false" outlineLevel="0" collapsed="false">
      <c r="N729" s="0" t="str">
        <f aca="false">IF(H729="","",IFERROR(LEFT(H729,FIND(" ",H729)-1),H729))</f>
        <v/>
      </c>
      <c r="O729" s="20" t="n">
        <f aca="false">IFERROR(DATE(VALUE(MID(N729,FIND("/",N729,FIND("/",N729)+1)+1,4)),VALUE(MID(N729,FIND("/",N729)+1,FIND("/",N729,FIND("/",N729)+1)-FIND("/",N729)-1)),VALUE(LEFT(N729,FIND("/",N729)-1))),0)</f>
        <v>0</v>
      </c>
    </row>
    <row r="730" customFormat="false" ht="15" hidden="false" customHeight="false" outlineLevel="0" collapsed="false">
      <c r="N730" s="0" t="str">
        <f aca="false">IF(H730="","",IFERROR(LEFT(H730,FIND(" ",H730)-1),H730))</f>
        <v/>
      </c>
      <c r="O730" s="20" t="n">
        <f aca="false">IFERROR(DATE(VALUE(MID(N730,FIND("/",N730,FIND("/",N730)+1)+1,4)),VALUE(MID(N730,FIND("/",N730)+1,FIND("/",N730,FIND("/",N730)+1)-FIND("/",N730)-1)),VALUE(LEFT(N730,FIND("/",N730)-1))),0)</f>
        <v>0</v>
      </c>
    </row>
    <row r="731" customFormat="false" ht="15" hidden="false" customHeight="false" outlineLevel="0" collapsed="false">
      <c r="N731" s="0" t="str">
        <f aca="false">IF(H731="","",IFERROR(LEFT(H731,FIND(" ",H731)-1),H731))</f>
        <v/>
      </c>
      <c r="O731" s="20" t="n">
        <f aca="false">IFERROR(DATE(VALUE(MID(N731,FIND("/",N731,FIND("/",N731)+1)+1,4)),VALUE(MID(N731,FIND("/",N731)+1,FIND("/",N731,FIND("/",N731)+1)-FIND("/",N731)-1)),VALUE(LEFT(N731,FIND("/",N731)-1))),0)</f>
        <v>0</v>
      </c>
    </row>
    <row r="732" customFormat="false" ht="15" hidden="false" customHeight="false" outlineLevel="0" collapsed="false">
      <c r="N732" s="0" t="str">
        <f aca="false">IF(H732="","",IFERROR(LEFT(H732,FIND(" ",H732)-1),H732))</f>
        <v/>
      </c>
      <c r="O732" s="20" t="n">
        <f aca="false">IFERROR(DATE(VALUE(MID(N732,FIND("/",N732,FIND("/",N732)+1)+1,4)),VALUE(MID(N732,FIND("/",N732)+1,FIND("/",N732,FIND("/",N732)+1)-FIND("/",N732)-1)),VALUE(LEFT(N732,FIND("/",N732)-1))),0)</f>
        <v>0</v>
      </c>
    </row>
    <row r="733" customFormat="false" ht="15" hidden="false" customHeight="false" outlineLevel="0" collapsed="false">
      <c r="N733" s="0" t="str">
        <f aca="false">IF(H733="","",IFERROR(LEFT(H733,FIND(" ",H733)-1),H733))</f>
        <v/>
      </c>
      <c r="O733" s="20" t="n">
        <f aca="false">IFERROR(DATE(VALUE(MID(N733,FIND("/",N733,FIND("/",N733)+1)+1,4)),VALUE(MID(N733,FIND("/",N733)+1,FIND("/",N733,FIND("/",N733)+1)-FIND("/",N733)-1)),VALUE(LEFT(N733,FIND("/",N733)-1))),0)</f>
        <v>0</v>
      </c>
    </row>
    <row r="734" customFormat="false" ht="15" hidden="false" customHeight="false" outlineLevel="0" collapsed="false">
      <c r="N734" s="0" t="str">
        <f aca="false">IF(H734="","",IFERROR(LEFT(H734,FIND(" ",H734)-1),H734))</f>
        <v/>
      </c>
      <c r="O734" s="20" t="n">
        <f aca="false">IFERROR(DATE(VALUE(MID(N734,FIND("/",N734,FIND("/",N734)+1)+1,4)),VALUE(MID(N734,FIND("/",N734)+1,FIND("/",N734,FIND("/",N734)+1)-FIND("/",N734)-1)),VALUE(LEFT(N734,FIND("/",N734)-1))),0)</f>
        <v>0</v>
      </c>
    </row>
    <row r="735" customFormat="false" ht="15" hidden="false" customHeight="false" outlineLevel="0" collapsed="false">
      <c r="N735" s="0" t="str">
        <f aca="false">IF(H735="","",IFERROR(LEFT(H735,FIND(" ",H735)-1),H735))</f>
        <v/>
      </c>
      <c r="O735" s="20" t="n">
        <f aca="false">IFERROR(DATE(VALUE(MID(N735,FIND("/",N735,FIND("/",N735)+1)+1,4)),VALUE(MID(N735,FIND("/",N735)+1,FIND("/",N735,FIND("/",N735)+1)-FIND("/",N735)-1)),VALUE(LEFT(N735,FIND("/",N735)-1))),0)</f>
        <v>0</v>
      </c>
    </row>
    <row r="736" customFormat="false" ht="15" hidden="false" customHeight="false" outlineLevel="0" collapsed="false">
      <c r="N736" s="0" t="str">
        <f aca="false">IF(H736="","",IFERROR(LEFT(H736,FIND(" ",H736)-1),H736))</f>
        <v/>
      </c>
      <c r="O736" s="20" t="n">
        <f aca="false">IFERROR(DATE(VALUE(MID(N736,FIND("/",N736,FIND("/",N736)+1)+1,4)),VALUE(MID(N736,FIND("/",N736)+1,FIND("/",N736,FIND("/",N736)+1)-FIND("/",N736)-1)),VALUE(LEFT(N736,FIND("/",N736)-1))),0)</f>
        <v>0</v>
      </c>
    </row>
    <row r="737" customFormat="false" ht="15" hidden="false" customHeight="false" outlineLevel="0" collapsed="false">
      <c r="N737" s="0" t="str">
        <f aca="false">IF(H737="","",IFERROR(LEFT(H737,FIND(" ",H737)-1),H737))</f>
        <v/>
      </c>
      <c r="O737" s="20" t="n">
        <f aca="false">IFERROR(DATE(VALUE(MID(N737,FIND("/",N737,FIND("/",N737)+1)+1,4)),VALUE(MID(N737,FIND("/",N737)+1,FIND("/",N737,FIND("/",N737)+1)-FIND("/",N737)-1)),VALUE(LEFT(N737,FIND("/",N737)-1))),0)</f>
        <v>0</v>
      </c>
    </row>
    <row r="738" customFormat="false" ht="15" hidden="false" customHeight="false" outlineLevel="0" collapsed="false">
      <c r="N738" s="0" t="str">
        <f aca="false">IF(H738="","",IFERROR(LEFT(H738,FIND(" ",H738)-1),H738))</f>
        <v/>
      </c>
      <c r="O738" s="20" t="n">
        <f aca="false">IFERROR(DATE(VALUE(MID(N738,FIND("/",N738,FIND("/",N738)+1)+1,4)),VALUE(MID(N738,FIND("/",N738)+1,FIND("/",N738,FIND("/",N738)+1)-FIND("/",N738)-1)),VALUE(LEFT(N738,FIND("/",N738)-1))),0)</f>
        <v>0</v>
      </c>
    </row>
    <row r="739" customFormat="false" ht="15" hidden="false" customHeight="false" outlineLevel="0" collapsed="false">
      <c r="N739" s="0" t="str">
        <f aca="false">IF(H739="","",IFERROR(LEFT(H739,FIND(" ",H739)-1),H739))</f>
        <v/>
      </c>
      <c r="O739" s="20" t="n">
        <f aca="false">IFERROR(DATE(VALUE(MID(N739,FIND("/",N739,FIND("/",N739)+1)+1,4)),VALUE(MID(N739,FIND("/",N739)+1,FIND("/",N739,FIND("/",N739)+1)-FIND("/",N739)-1)),VALUE(LEFT(N739,FIND("/",N739)-1))),0)</f>
        <v>0</v>
      </c>
    </row>
    <row r="740" customFormat="false" ht="15" hidden="false" customHeight="false" outlineLevel="0" collapsed="false">
      <c r="N740" s="0" t="str">
        <f aca="false">IF(H740="","",IFERROR(LEFT(H740,FIND(" ",H740)-1),H740))</f>
        <v/>
      </c>
      <c r="O740" s="20" t="n">
        <f aca="false">IFERROR(DATE(VALUE(MID(N740,FIND("/",N740,FIND("/",N740)+1)+1,4)),VALUE(MID(N740,FIND("/",N740)+1,FIND("/",N740,FIND("/",N740)+1)-FIND("/",N740)-1)),VALUE(LEFT(N740,FIND("/",N740)-1))),0)</f>
        <v>0</v>
      </c>
    </row>
    <row r="741" customFormat="false" ht="15" hidden="false" customHeight="false" outlineLevel="0" collapsed="false">
      <c r="N741" s="0" t="str">
        <f aca="false">IF(H741="","",IFERROR(LEFT(H741,FIND(" ",H741)-1),H741))</f>
        <v/>
      </c>
      <c r="O741" s="20" t="n">
        <f aca="false">IFERROR(DATE(VALUE(MID(N741,FIND("/",N741,FIND("/",N741)+1)+1,4)),VALUE(MID(N741,FIND("/",N741)+1,FIND("/",N741,FIND("/",N741)+1)-FIND("/",N741)-1)),VALUE(LEFT(N741,FIND("/",N741)-1))),0)</f>
        <v>0</v>
      </c>
    </row>
    <row r="742" customFormat="false" ht="15" hidden="false" customHeight="false" outlineLevel="0" collapsed="false">
      <c r="N742" s="0" t="str">
        <f aca="false">IF(H742="","",IFERROR(LEFT(H742,FIND(" ",H742)-1),H742))</f>
        <v/>
      </c>
      <c r="O742" s="20" t="n">
        <f aca="false">IFERROR(DATE(VALUE(MID(N742,FIND("/",N742,FIND("/",N742)+1)+1,4)),VALUE(MID(N742,FIND("/",N742)+1,FIND("/",N742,FIND("/",N742)+1)-FIND("/",N742)-1)),VALUE(LEFT(N742,FIND("/",N742)-1))),0)</f>
        <v>0</v>
      </c>
    </row>
    <row r="743" customFormat="false" ht="15" hidden="false" customHeight="false" outlineLevel="0" collapsed="false">
      <c r="N743" s="0" t="str">
        <f aca="false">IF(H743="","",IFERROR(LEFT(H743,FIND(" ",H743)-1),H743))</f>
        <v/>
      </c>
      <c r="O743" s="20" t="n">
        <f aca="false">IFERROR(DATE(VALUE(MID(N743,FIND("/",N743,FIND("/",N743)+1)+1,4)),VALUE(MID(N743,FIND("/",N743)+1,FIND("/",N743,FIND("/",N743)+1)-FIND("/",N743)-1)),VALUE(LEFT(N743,FIND("/",N743)-1))),0)</f>
        <v>0</v>
      </c>
    </row>
    <row r="744" customFormat="false" ht="15" hidden="false" customHeight="false" outlineLevel="0" collapsed="false">
      <c r="N744" s="0" t="str">
        <f aca="false">IF(H744="","",IFERROR(LEFT(H744,FIND(" ",H744)-1),H744))</f>
        <v/>
      </c>
      <c r="O744" s="20" t="n">
        <f aca="false">IFERROR(DATE(VALUE(MID(N744,FIND("/",N744,FIND("/",N744)+1)+1,4)),VALUE(MID(N744,FIND("/",N744)+1,FIND("/",N744,FIND("/",N744)+1)-FIND("/",N744)-1)),VALUE(LEFT(N744,FIND("/",N744)-1))),0)</f>
        <v>0</v>
      </c>
    </row>
    <row r="745" customFormat="false" ht="15" hidden="false" customHeight="false" outlineLevel="0" collapsed="false">
      <c r="N745" s="0" t="str">
        <f aca="false">IF(H745="","",IFERROR(LEFT(H745,FIND(" ",H745)-1),H745))</f>
        <v/>
      </c>
      <c r="O745" s="20" t="n">
        <f aca="false">IFERROR(DATE(VALUE(MID(N745,FIND("/",N745,FIND("/",N745)+1)+1,4)),VALUE(MID(N745,FIND("/",N745)+1,FIND("/",N745,FIND("/",N745)+1)-FIND("/",N745)-1)),VALUE(LEFT(N745,FIND("/",N745)-1))),0)</f>
        <v>0</v>
      </c>
    </row>
    <row r="746" customFormat="false" ht="15" hidden="false" customHeight="false" outlineLevel="0" collapsed="false">
      <c r="N746" s="0" t="str">
        <f aca="false">IF(H746="","",IFERROR(LEFT(H746,FIND(" ",H746)-1),H746))</f>
        <v/>
      </c>
      <c r="O746" s="20" t="n">
        <f aca="false">IFERROR(DATE(VALUE(MID(N746,FIND("/",N746,FIND("/",N746)+1)+1,4)),VALUE(MID(N746,FIND("/",N746)+1,FIND("/",N746,FIND("/",N746)+1)-FIND("/",N746)-1)),VALUE(LEFT(N746,FIND("/",N746)-1))),0)</f>
        <v>0</v>
      </c>
    </row>
    <row r="747" customFormat="false" ht="15" hidden="false" customHeight="false" outlineLevel="0" collapsed="false">
      <c r="N747" s="0" t="str">
        <f aca="false">IF(H747="","",IFERROR(LEFT(H747,FIND(" ",H747)-1),H747))</f>
        <v/>
      </c>
      <c r="O747" s="20" t="n">
        <f aca="false">IFERROR(DATE(VALUE(MID(N747,FIND("/",N747,FIND("/",N747)+1)+1,4)),VALUE(MID(N747,FIND("/",N747)+1,FIND("/",N747,FIND("/",N747)+1)-FIND("/",N747)-1)),VALUE(LEFT(N747,FIND("/",N747)-1))),0)</f>
        <v>0</v>
      </c>
    </row>
    <row r="748" customFormat="false" ht="15" hidden="false" customHeight="false" outlineLevel="0" collapsed="false">
      <c r="N748" s="0" t="str">
        <f aca="false">IF(H748="","",IFERROR(LEFT(H748,FIND(" ",H748)-1),H748))</f>
        <v/>
      </c>
      <c r="O748" s="20" t="n">
        <f aca="false">IFERROR(DATE(VALUE(MID(N748,FIND("/",N748,FIND("/",N748)+1)+1,4)),VALUE(MID(N748,FIND("/",N748)+1,FIND("/",N748,FIND("/",N748)+1)-FIND("/",N748)-1)),VALUE(LEFT(N748,FIND("/",N748)-1))),0)</f>
        <v>0</v>
      </c>
    </row>
    <row r="749" customFormat="false" ht="15" hidden="false" customHeight="false" outlineLevel="0" collapsed="false">
      <c r="N749" s="0" t="str">
        <f aca="false">IF(H749="","",IFERROR(LEFT(H749,FIND(" ",H749)-1),H749))</f>
        <v/>
      </c>
      <c r="O749" s="20" t="n">
        <f aca="false">IFERROR(DATE(VALUE(MID(N749,FIND("/",N749,FIND("/",N749)+1)+1,4)),VALUE(MID(N749,FIND("/",N749)+1,FIND("/",N749,FIND("/",N749)+1)-FIND("/",N749)-1)),VALUE(LEFT(N749,FIND("/",N749)-1))),0)</f>
        <v>0</v>
      </c>
    </row>
    <row r="750" customFormat="false" ht="15" hidden="false" customHeight="false" outlineLevel="0" collapsed="false">
      <c r="N750" s="0" t="str">
        <f aca="false">IF(H750="","",IFERROR(LEFT(H750,FIND(" ",H750)-1),H750))</f>
        <v/>
      </c>
      <c r="O750" s="20" t="n">
        <f aca="false">IFERROR(DATE(VALUE(MID(N750,FIND("/",N750,FIND("/",N750)+1)+1,4)),VALUE(MID(N750,FIND("/",N750)+1,FIND("/",N750,FIND("/",N750)+1)-FIND("/",N750)-1)),VALUE(LEFT(N750,FIND("/",N750)-1))),0)</f>
        <v>0</v>
      </c>
    </row>
    <row r="751" customFormat="false" ht="15" hidden="false" customHeight="false" outlineLevel="0" collapsed="false">
      <c r="N751" s="0" t="str">
        <f aca="false">IF(H751="","",IFERROR(LEFT(H751,FIND(" ",H751)-1),H751))</f>
        <v/>
      </c>
      <c r="O751" s="20" t="n">
        <f aca="false">IFERROR(DATE(VALUE(MID(N751,FIND("/",N751,FIND("/",N751)+1)+1,4)),VALUE(MID(N751,FIND("/",N751)+1,FIND("/",N751,FIND("/",N751)+1)-FIND("/",N751)-1)),VALUE(LEFT(N751,FIND("/",N751)-1))),0)</f>
        <v>0</v>
      </c>
    </row>
    <row r="752" customFormat="false" ht="15" hidden="false" customHeight="false" outlineLevel="0" collapsed="false">
      <c r="N752" s="0" t="str">
        <f aca="false">IF(H752="","",IFERROR(LEFT(H752,FIND(" ",H752)-1),H752))</f>
        <v/>
      </c>
      <c r="O752" s="20" t="n">
        <f aca="false">IFERROR(DATE(VALUE(MID(N752,FIND("/",N752,FIND("/",N752)+1)+1,4)),VALUE(MID(N752,FIND("/",N752)+1,FIND("/",N752,FIND("/",N752)+1)-FIND("/",N752)-1)),VALUE(LEFT(N752,FIND("/",N752)-1))),0)</f>
        <v>0</v>
      </c>
    </row>
    <row r="753" customFormat="false" ht="15" hidden="false" customHeight="false" outlineLevel="0" collapsed="false">
      <c r="N753" s="0" t="str">
        <f aca="false">IF(H753="","",IFERROR(LEFT(H753,FIND(" ",H753)-1),H753))</f>
        <v/>
      </c>
      <c r="O753" s="20" t="n">
        <f aca="false">IFERROR(DATE(VALUE(MID(N753,FIND("/",N753,FIND("/",N753)+1)+1,4)),VALUE(MID(N753,FIND("/",N753)+1,FIND("/",N753,FIND("/",N753)+1)-FIND("/",N753)-1)),VALUE(LEFT(N753,FIND("/",N753)-1))),0)</f>
        <v>0</v>
      </c>
    </row>
    <row r="754" customFormat="false" ht="15" hidden="false" customHeight="false" outlineLevel="0" collapsed="false">
      <c r="N754" s="0" t="str">
        <f aca="false">IF(H754="","",IFERROR(LEFT(H754,FIND(" ",H754)-1),H754))</f>
        <v/>
      </c>
      <c r="O754" s="20" t="n">
        <f aca="false">IFERROR(DATE(VALUE(MID(N754,FIND("/",N754,FIND("/",N754)+1)+1,4)),VALUE(MID(N754,FIND("/",N754)+1,FIND("/",N754,FIND("/",N754)+1)-FIND("/",N754)-1)),VALUE(LEFT(N754,FIND("/",N754)-1))),0)</f>
        <v>0</v>
      </c>
    </row>
    <row r="755" customFormat="false" ht="15" hidden="false" customHeight="false" outlineLevel="0" collapsed="false">
      <c r="N755" s="0" t="str">
        <f aca="false">IF(H755="","",IFERROR(LEFT(H755,FIND(" ",H755)-1),H755))</f>
        <v/>
      </c>
      <c r="O755" s="20" t="n">
        <f aca="false">IFERROR(DATE(VALUE(MID(N755,FIND("/",N755,FIND("/",N755)+1)+1,4)),VALUE(MID(N755,FIND("/",N755)+1,FIND("/",N755,FIND("/",N755)+1)-FIND("/",N755)-1)),VALUE(LEFT(N755,FIND("/",N755)-1))),0)</f>
        <v>0</v>
      </c>
    </row>
    <row r="756" customFormat="false" ht="15" hidden="false" customHeight="false" outlineLevel="0" collapsed="false">
      <c r="N756" s="0" t="str">
        <f aca="false">IF(H756="","",IFERROR(LEFT(H756,FIND(" ",H756)-1),H756))</f>
        <v/>
      </c>
      <c r="O756" s="20" t="n">
        <f aca="false">IFERROR(DATE(VALUE(MID(N756,FIND("/",N756,FIND("/",N756)+1)+1,4)),VALUE(MID(N756,FIND("/",N756)+1,FIND("/",N756,FIND("/",N756)+1)-FIND("/",N756)-1)),VALUE(LEFT(N756,FIND("/",N756)-1))),0)</f>
        <v>0</v>
      </c>
    </row>
    <row r="757" customFormat="false" ht="15" hidden="false" customHeight="false" outlineLevel="0" collapsed="false">
      <c r="N757" s="0" t="str">
        <f aca="false">IF(H757="","",IFERROR(LEFT(H757,FIND(" ",H757)-1),H757))</f>
        <v/>
      </c>
      <c r="O757" s="20" t="n">
        <f aca="false">IFERROR(DATE(VALUE(MID(N757,FIND("/",N757,FIND("/",N757)+1)+1,4)),VALUE(MID(N757,FIND("/",N757)+1,FIND("/",N757,FIND("/",N757)+1)-FIND("/",N757)-1)),VALUE(LEFT(N757,FIND("/",N757)-1))),0)</f>
        <v>0</v>
      </c>
    </row>
    <row r="758" customFormat="false" ht="15" hidden="false" customHeight="false" outlineLevel="0" collapsed="false">
      <c r="N758" s="0" t="str">
        <f aca="false">IF(H758="","",IFERROR(LEFT(H758,FIND(" ",H758)-1),H758))</f>
        <v/>
      </c>
      <c r="O758" s="20" t="n">
        <f aca="false">IFERROR(DATE(VALUE(MID(N758,FIND("/",N758,FIND("/",N758)+1)+1,4)),VALUE(MID(N758,FIND("/",N758)+1,FIND("/",N758,FIND("/",N758)+1)-FIND("/",N758)-1)),VALUE(LEFT(N758,FIND("/",N758)-1))),0)</f>
        <v>0</v>
      </c>
    </row>
    <row r="759" customFormat="false" ht="15" hidden="false" customHeight="false" outlineLevel="0" collapsed="false">
      <c r="N759" s="0" t="str">
        <f aca="false">IF(H759="","",IFERROR(LEFT(H759,FIND(" ",H759)-1),H759))</f>
        <v/>
      </c>
      <c r="O759" s="20" t="n">
        <f aca="false">IFERROR(DATE(VALUE(MID(N759,FIND("/",N759,FIND("/",N759)+1)+1,4)),VALUE(MID(N759,FIND("/",N759)+1,FIND("/",N759,FIND("/",N759)+1)-FIND("/",N759)-1)),VALUE(LEFT(N759,FIND("/",N759)-1))),0)</f>
        <v>0</v>
      </c>
    </row>
    <row r="760" customFormat="false" ht="15" hidden="false" customHeight="false" outlineLevel="0" collapsed="false">
      <c r="N760" s="0" t="str">
        <f aca="false">IF(H760="","",IFERROR(LEFT(H760,FIND(" ",H760)-1),H760))</f>
        <v/>
      </c>
      <c r="O760" s="20" t="n">
        <f aca="false">IFERROR(DATE(VALUE(MID(N760,FIND("/",N760,FIND("/",N760)+1)+1,4)),VALUE(MID(N760,FIND("/",N760)+1,FIND("/",N760,FIND("/",N760)+1)-FIND("/",N760)-1)),VALUE(LEFT(N760,FIND("/",N760)-1))),0)</f>
        <v>0</v>
      </c>
    </row>
    <row r="761" customFormat="false" ht="15" hidden="false" customHeight="false" outlineLevel="0" collapsed="false">
      <c r="N761" s="0" t="str">
        <f aca="false">IF(H761="","",IFERROR(LEFT(H761,FIND(" ",H761)-1),H761))</f>
        <v/>
      </c>
      <c r="O761" s="20" t="n">
        <f aca="false">IFERROR(DATE(VALUE(MID(N761,FIND("/",N761,FIND("/",N761)+1)+1,4)),VALUE(MID(N761,FIND("/",N761)+1,FIND("/",N761,FIND("/",N761)+1)-FIND("/",N761)-1)),VALUE(LEFT(N761,FIND("/",N761)-1))),0)</f>
        <v>0</v>
      </c>
    </row>
    <row r="762" customFormat="false" ht="15" hidden="false" customHeight="false" outlineLevel="0" collapsed="false">
      <c r="N762" s="0" t="str">
        <f aca="false">IF(H762="","",IFERROR(LEFT(H762,FIND(" ",H762)-1),H762))</f>
        <v/>
      </c>
      <c r="O762" s="20" t="n">
        <f aca="false">IFERROR(DATE(VALUE(MID(N762,FIND("/",N762,FIND("/",N762)+1)+1,4)),VALUE(MID(N762,FIND("/",N762)+1,FIND("/",N762,FIND("/",N762)+1)-FIND("/",N762)-1)),VALUE(LEFT(N762,FIND("/",N762)-1))),0)</f>
        <v>0</v>
      </c>
    </row>
    <row r="763" customFormat="false" ht="15" hidden="false" customHeight="false" outlineLevel="0" collapsed="false">
      <c r="N763" s="0" t="str">
        <f aca="false">IF(H763="","",IFERROR(LEFT(H763,FIND(" ",H763)-1),H763))</f>
        <v/>
      </c>
      <c r="O763" s="20" t="n">
        <f aca="false">IFERROR(DATE(VALUE(MID(N763,FIND("/",N763,FIND("/",N763)+1)+1,4)),VALUE(MID(N763,FIND("/",N763)+1,FIND("/",N763,FIND("/",N763)+1)-FIND("/",N763)-1)),VALUE(LEFT(N763,FIND("/",N763)-1))),0)</f>
        <v>0</v>
      </c>
    </row>
    <row r="764" customFormat="false" ht="15" hidden="false" customHeight="false" outlineLevel="0" collapsed="false">
      <c r="N764" s="0" t="str">
        <f aca="false">IF(H764="","",IFERROR(LEFT(H764,FIND(" ",H764)-1),H764))</f>
        <v/>
      </c>
      <c r="O764" s="20" t="n">
        <f aca="false">IFERROR(DATE(VALUE(MID(N764,FIND("/",N764,FIND("/",N764)+1)+1,4)),VALUE(MID(N764,FIND("/",N764)+1,FIND("/",N764,FIND("/",N764)+1)-FIND("/",N764)-1)),VALUE(LEFT(N764,FIND("/",N764)-1))),0)</f>
        <v>0</v>
      </c>
    </row>
    <row r="765" customFormat="false" ht="15" hidden="false" customHeight="false" outlineLevel="0" collapsed="false">
      <c r="N765" s="0" t="str">
        <f aca="false">IF(H765="","",IFERROR(LEFT(H765,FIND(" ",H765)-1),H765))</f>
        <v/>
      </c>
      <c r="O765" s="20" t="n">
        <f aca="false">IFERROR(DATE(VALUE(MID(N765,FIND("/",N765,FIND("/",N765)+1)+1,4)),VALUE(MID(N765,FIND("/",N765)+1,FIND("/",N765,FIND("/",N765)+1)-FIND("/",N765)-1)),VALUE(LEFT(N765,FIND("/",N765)-1))),0)</f>
        <v>0</v>
      </c>
    </row>
    <row r="766" customFormat="false" ht="15" hidden="false" customHeight="false" outlineLevel="0" collapsed="false">
      <c r="N766" s="0" t="str">
        <f aca="false">IF(H766="","",IFERROR(LEFT(H766,FIND(" ",H766)-1),H766))</f>
        <v/>
      </c>
      <c r="O766" s="20" t="n">
        <f aca="false">IFERROR(DATE(VALUE(MID(N766,FIND("/",N766,FIND("/",N766)+1)+1,4)),VALUE(MID(N766,FIND("/",N766)+1,FIND("/",N766,FIND("/",N766)+1)-FIND("/",N766)-1)),VALUE(LEFT(N766,FIND("/",N766)-1))),0)</f>
        <v>0</v>
      </c>
    </row>
    <row r="767" customFormat="false" ht="15" hidden="false" customHeight="false" outlineLevel="0" collapsed="false">
      <c r="N767" s="0" t="str">
        <f aca="false">IF(H767="","",IFERROR(LEFT(H767,FIND(" ",H767)-1),H767))</f>
        <v/>
      </c>
      <c r="O767" s="20" t="n">
        <f aca="false">IFERROR(DATE(VALUE(MID(N767,FIND("/",N767,FIND("/",N767)+1)+1,4)),VALUE(MID(N767,FIND("/",N767)+1,FIND("/",N767,FIND("/",N767)+1)-FIND("/",N767)-1)),VALUE(LEFT(N767,FIND("/",N767)-1))),0)</f>
        <v>0</v>
      </c>
    </row>
    <row r="768" customFormat="false" ht="15" hidden="false" customHeight="false" outlineLevel="0" collapsed="false">
      <c r="N768" s="0" t="str">
        <f aca="false">IF(H768="","",IFERROR(LEFT(H768,FIND(" ",H768)-1),H768))</f>
        <v/>
      </c>
      <c r="O768" s="20" t="n">
        <f aca="false">IFERROR(DATE(VALUE(MID(N768,FIND("/",N768,FIND("/",N768)+1)+1,4)),VALUE(MID(N768,FIND("/",N768)+1,FIND("/",N768,FIND("/",N768)+1)-FIND("/",N768)-1)),VALUE(LEFT(N768,FIND("/",N768)-1))),0)</f>
        <v>0</v>
      </c>
    </row>
    <row r="769" customFormat="false" ht="15" hidden="false" customHeight="false" outlineLevel="0" collapsed="false">
      <c r="N769" s="0" t="str">
        <f aca="false">IF(H769="","",IFERROR(LEFT(H769,FIND(" ",H769)-1),H769))</f>
        <v/>
      </c>
      <c r="O769" s="20" t="n">
        <f aca="false">IFERROR(DATE(VALUE(MID(N769,FIND("/",N769,FIND("/",N769)+1)+1,4)),VALUE(MID(N769,FIND("/",N769)+1,FIND("/",N769,FIND("/",N769)+1)-FIND("/",N769)-1)),VALUE(LEFT(N769,FIND("/",N769)-1))),0)</f>
        <v>0</v>
      </c>
    </row>
    <row r="770" customFormat="false" ht="15" hidden="false" customHeight="false" outlineLevel="0" collapsed="false">
      <c r="N770" s="0" t="str">
        <f aca="false">IF(H770="","",IFERROR(LEFT(H770,FIND(" ",H770)-1),H770))</f>
        <v/>
      </c>
      <c r="O770" s="20" t="n">
        <f aca="false">IFERROR(DATE(VALUE(MID(N770,FIND("/",N770,FIND("/",N770)+1)+1,4)),VALUE(MID(N770,FIND("/",N770)+1,FIND("/",N770,FIND("/",N770)+1)-FIND("/",N770)-1)),VALUE(LEFT(N770,FIND("/",N770)-1))),0)</f>
        <v>0</v>
      </c>
    </row>
    <row r="771" customFormat="false" ht="15" hidden="false" customHeight="false" outlineLevel="0" collapsed="false">
      <c r="N771" s="0" t="str">
        <f aca="false">IF(H771="","",IFERROR(LEFT(H771,FIND(" ",H771)-1),H771))</f>
        <v/>
      </c>
      <c r="O771" s="20" t="n">
        <f aca="false">IFERROR(DATE(VALUE(MID(N771,FIND("/",N771,FIND("/",N771)+1)+1,4)),VALUE(MID(N771,FIND("/",N771)+1,FIND("/",N771,FIND("/",N771)+1)-FIND("/",N771)-1)),VALUE(LEFT(N771,FIND("/",N771)-1))),0)</f>
        <v>0</v>
      </c>
    </row>
    <row r="772" customFormat="false" ht="15" hidden="false" customHeight="false" outlineLevel="0" collapsed="false">
      <c r="N772" s="0" t="str">
        <f aca="false">IF(H772="","",IFERROR(LEFT(H772,FIND(" ",H772)-1),H772))</f>
        <v/>
      </c>
      <c r="O772" s="20" t="n">
        <f aca="false">IFERROR(DATE(VALUE(MID(N772,FIND("/",N772,FIND("/",N772)+1)+1,4)),VALUE(MID(N772,FIND("/",N772)+1,FIND("/",N772,FIND("/",N772)+1)-FIND("/",N772)-1)),VALUE(LEFT(N772,FIND("/",N772)-1))),0)</f>
        <v>0</v>
      </c>
    </row>
    <row r="773" customFormat="false" ht="15" hidden="false" customHeight="false" outlineLevel="0" collapsed="false">
      <c r="N773" s="0" t="str">
        <f aca="false">IF(H773="","",IFERROR(LEFT(H773,FIND(" ",H773)-1),H773))</f>
        <v/>
      </c>
      <c r="O773" s="20" t="n">
        <f aca="false">IFERROR(DATE(VALUE(MID(N773,FIND("/",N773,FIND("/",N773)+1)+1,4)),VALUE(MID(N773,FIND("/",N773)+1,FIND("/",N773,FIND("/",N773)+1)-FIND("/",N773)-1)),VALUE(LEFT(N773,FIND("/",N773)-1))),0)</f>
        <v>0</v>
      </c>
    </row>
    <row r="774" customFormat="false" ht="15" hidden="false" customHeight="false" outlineLevel="0" collapsed="false">
      <c r="N774" s="0" t="str">
        <f aca="false">IF(H774="","",IFERROR(LEFT(H774,FIND(" ",H774)-1),H774))</f>
        <v/>
      </c>
      <c r="O774" s="20" t="n">
        <f aca="false">IFERROR(DATE(VALUE(MID(N774,FIND("/",N774,FIND("/",N774)+1)+1,4)),VALUE(MID(N774,FIND("/",N774)+1,FIND("/",N774,FIND("/",N774)+1)-FIND("/",N774)-1)),VALUE(LEFT(N774,FIND("/",N774)-1))),0)</f>
        <v>0</v>
      </c>
    </row>
    <row r="775" customFormat="false" ht="15" hidden="false" customHeight="false" outlineLevel="0" collapsed="false">
      <c r="N775" s="0" t="str">
        <f aca="false">IF(H775="","",IFERROR(LEFT(H775,FIND(" ",H775)-1),H775))</f>
        <v/>
      </c>
      <c r="O775" s="20" t="n">
        <f aca="false">IFERROR(DATE(VALUE(MID(N775,FIND("/",N775,FIND("/",N775)+1)+1,4)),VALUE(MID(N775,FIND("/",N775)+1,FIND("/",N775,FIND("/",N775)+1)-FIND("/",N775)-1)),VALUE(LEFT(N775,FIND("/",N775)-1))),0)</f>
        <v>0</v>
      </c>
    </row>
    <row r="776" customFormat="false" ht="15" hidden="false" customHeight="false" outlineLevel="0" collapsed="false">
      <c r="N776" s="0" t="str">
        <f aca="false">IF(H776="","",IFERROR(LEFT(H776,FIND(" ",H776)-1),H776))</f>
        <v/>
      </c>
      <c r="O776" s="20" t="n">
        <f aca="false">IFERROR(DATE(VALUE(MID(N776,FIND("/",N776,FIND("/",N776)+1)+1,4)),VALUE(MID(N776,FIND("/",N776)+1,FIND("/",N776,FIND("/",N776)+1)-FIND("/",N776)-1)),VALUE(LEFT(N776,FIND("/",N776)-1))),0)</f>
        <v>0</v>
      </c>
    </row>
    <row r="777" customFormat="false" ht="15" hidden="false" customHeight="false" outlineLevel="0" collapsed="false">
      <c r="N777" s="0" t="str">
        <f aca="false">IF(H777="","",IFERROR(LEFT(H777,FIND(" ",H777)-1),H777))</f>
        <v/>
      </c>
      <c r="O777" s="20" t="n">
        <f aca="false">IFERROR(DATE(VALUE(MID(N777,FIND("/",N777,FIND("/",N777)+1)+1,4)),VALUE(MID(N777,FIND("/",N777)+1,FIND("/",N777,FIND("/",N777)+1)-FIND("/",N777)-1)),VALUE(LEFT(N777,FIND("/",N777)-1))),0)</f>
        <v>0</v>
      </c>
    </row>
    <row r="778" customFormat="false" ht="15" hidden="false" customHeight="false" outlineLevel="0" collapsed="false">
      <c r="N778" s="0" t="str">
        <f aca="false">IF(H778="","",IFERROR(LEFT(H778,FIND(" ",H778)-1),H778))</f>
        <v/>
      </c>
      <c r="O778" s="20" t="n">
        <f aca="false">IFERROR(DATE(VALUE(MID(N778,FIND("/",N778,FIND("/",N778)+1)+1,4)),VALUE(MID(N778,FIND("/",N778)+1,FIND("/",N778,FIND("/",N778)+1)-FIND("/",N778)-1)),VALUE(LEFT(N778,FIND("/",N778)-1))),0)</f>
        <v>0</v>
      </c>
    </row>
    <row r="779" customFormat="false" ht="15" hidden="false" customHeight="false" outlineLevel="0" collapsed="false">
      <c r="N779" s="0" t="str">
        <f aca="false">IF(H779="","",IFERROR(LEFT(H779,FIND(" ",H779)-1),H779))</f>
        <v/>
      </c>
      <c r="O779" s="20" t="n">
        <f aca="false">IFERROR(DATE(VALUE(MID(N779,FIND("/",N779,FIND("/",N779)+1)+1,4)),VALUE(MID(N779,FIND("/",N779)+1,FIND("/",N779,FIND("/",N779)+1)-FIND("/",N779)-1)),VALUE(LEFT(N779,FIND("/",N779)-1))),0)</f>
        <v>0</v>
      </c>
    </row>
    <row r="780" customFormat="false" ht="15" hidden="false" customHeight="false" outlineLevel="0" collapsed="false">
      <c r="N780" s="0" t="str">
        <f aca="false">IF(H780="","",IFERROR(LEFT(H780,FIND(" ",H780)-1),H780))</f>
        <v/>
      </c>
      <c r="O780" s="20" t="n">
        <f aca="false">IFERROR(DATE(VALUE(MID(N780,FIND("/",N780,FIND("/",N780)+1)+1,4)),VALUE(MID(N780,FIND("/",N780)+1,FIND("/",N780,FIND("/",N780)+1)-FIND("/",N780)-1)),VALUE(LEFT(N780,FIND("/",N780)-1))),0)</f>
        <v>0</v>
      </c>
    </row>
    <row r="781" customFormat="false" ht="15" hidden="false" customHeight="false" outlineLevel="0" collapsed="false">
      <c r="N781" s="0" t="str">
        <f aca="false">IF(H781="","",IFERROR(LEFT(H781,FIND(" ",H781)-1),H781))</f>
        <v/>
      </c>
      <c r="O781" s="20" t="n">
        <f aca="false">IFERROR(DATE(VALUE(MID(N781,FIND("/",N781,FIND("/",N781)+1)+1,4)),VALUE(MID(N781,FIND("/",N781)+1,FIND("/",N781,FIND("/",N781)+1)-FIND("/",N781)-1)),VALUE(LEFT(N781,FIND("/",N781)-1))),0)</f>
        <v>0</v>
      </c>
    </row>
    <row r="782" customFormat="false" ht="15" hidden="false" customHeight="false" outlineLevel="0" collapsed="false">
      <c r="N782" s="0" t="str">
        <f aca="false">IF(H782="","",IFERROR(LEFT(H782,FIND(" ",H782)-1),H782))</f>
        <v/>
      </c>
      <c r="O782" s="20" t="n">
        <f aca="false">IFERROR(DATE(VALUE(MID(N782,FIND("/",N782,FIND("/",N782)+1)+1,4)),VALUE(MID(N782,FIND("/",N782)+1,FIND("/",N782,FIND("/",N782)+1)-FIND("/",N782)-1)),VALUE(LEFT(N782,FIND("/",N782)-1))),0)</f>
        <v>0</v>
      </c>
    </row>
    <row r="783" customFormat="false" ht="15" hidden="false" customHeight="false" outlineLevel="0" collapsed="false">
      <c r="N783" s="0" t="str">
        <f aca="false">IF(H783="","",IFERROR(LEFT(H783,FIND(" ",H783)-1),H783))</f>
        <v/>
      </c>
      <c r="O783" s="20" t="n">
        <f aca="false">IFERROR(DATE(VALUE(MID(N783,FIND("/",N783,FIND("/",N783)+1)+1,4)),VALUE(MID(N783,FIND("/",N783)+1,FIND("/",N783,FIND("/",N783)+1)-FIND("/",N783)-1)),VALUE(LEFT(N783,FIND("/",N783)-1))),0)</f>
        <v>0</v>
      </c>
    </row>
    <row r="784" customFormat="false" ht="15" hidden="false" customHeight="false" outlineLevel="0" collapsed="false">
      <c r="N784" s="0" t="str">
        <f aca="false">IF(H784="","",IFERROR(LEFT(H784,FIND(" ",H784)-1),H784))</f>
        <v/>
      </c>
      <c r="O784" s="20" t="n">
        <f aca="false">IFERROR(DATE(VALUE(MID(N784,FIND("/",N784,FIND("/",N784)+1)+1,4)),VALUE(MID(N784,FIND("/",N784)+1,FIND("/",N784,FIND("/",N784)+1)-FIND("/",N784)-1)),VALUE(LEFT(N784,FIND("/",N784)-1))),0)</f>
        <v>0</v>
      </c>
    </row>
    <row r="785" customFormat="false" ht="15" hidden="false" customHeight="false" outlineLevel="0" collapsed="false">
      <c r="N785" s="0" t="str">
        <f aca="false">IF(H785="","",IFERROR(LEFT(H785,FIND(" ",H785)-1),H785))</f>
        <v/>
      </c>
      <c r="O785" s="20" t="n">
        <f aca="false">IFERROR(DATE(VALUE(MID(N785,FIND("/",N785,FIND("/",N785)+1)+1,4)),VALUE(MID(N785,FIND("/",N785)+1,FIND("/",N785,FIND("/",N785)+1)-FIND("/",N785)-1)),VALUE(LEFT(N785,FIND("/",N785)-1))),0)</f>
        <v>0</v>
      </c>
    </row>
    <row r="786" customFormat="false" ht="15" hidden="false" customHeight="false" outlineLevel="0" collapsed="false">
      <c r="N786" s="0" t="str">
        <f aca="false">IF(H786="","",IFERROR(LEFT(H786,FIND(" ",H786)-1),H786))</f>
        <v/>
      </c>
      <c r="O786" s="20" t="n">
        <f aca="false">IFERROR(DATE(VALUE(MID(N786,FIND("/",N786,FIND("/",N786)+1)+1,4)),VALUE(MID(N786,FIND("/",N786)+1,FIND("/",N786,FIND("/",N786)+1)-FIND("/",N786)-1)),VALUE(LEFT(N786,FIND("/",N786)-1))),0)</f>
        <v>0</v>
      </c>
    </row>
    <row r="787" customFormat="false" ht="15" hidden="false" customHeight="false" outlineLevel="0" collapsed="false">
      <c r="N787" s="0" t="str">
        <f aca="false">IF(H787="","",IFERROR(LEFT(H787,FIND(" ",H787)-1),H787))</f>
        <v/>
      </c>
      <c r="O787" s="20" t="n">
        <f aca="false">IFERROR(DATE(VALUE(MID(N787,FIND("/",N787,FIND("/",N787)+1)+1,4)),VALUE(MID(N787,FIND("/",N787)+1,FIND("/",N787,FIND("/",N787)+1)-FIND("/",N787)-1)),VALUE(LEFT(N787,FIND("/",N787)-1))),0)</f>
        <v>0</v>
      </c>
    </row>
    <row r="788" customFormat="false" ht="15" hidden="false" customHeight="false" outlineLevel="0" collapsed="false">
      <c r="N788" s="0" t="str">
        <f aca="false">IF(H788="","",IFERROR(LEFT(H788,FIND(" ",H788)-1),H788))</f>
        <v/>
      </c>
      <c r="O788" s="20" t="n">
        <f aca="false">IFERROR(DATE(VALUE(MID(N788,FIND("/",N788,FIND("/",N788)+1)+1,4)),VALUE(MID(N788,FIND("/",N788)+1,FIND("/",N788,FIND("/",N788)+1)-FIND("/",N788)-1)),VALUE(LEFT(N788,FIND("/",N788)-1))),0)</f>
        <v>0</v>
      </c>
    </row>
    <row r="789" customFormat="false" ht="15" hidden="false" customHeight="false" outlineLevel="0" collapsed="false">
      <c r="N789" s="0" t="str">
        <f aca="false">IF(H789="","",IFERROR(LEFT(H789,FIND(" ",H789)-1),H789))</f>
        <v/>
      </c>
      <c r="O789" s="20" t="n">
        <f aca="false">IFERROR(DATE(VALUE(MID(N789,FIND("/",N789,FIND("/",N789)+1)+1,4)),VALUE(MID(N789,FIND("/",N789)+1,FIND("/",N789,FIND("/",N789)+1)-FIND("/",N789)-1)),VALUE(LEFT(N789,FIND("/",N789)-1))),0)</f>
        <v>0</v>
      </c>
    </row>
    <row r="790" customFormat="false" ht="15" hidden="false" customHeight="false" outlineLevel="0" collapsed="false">
      <c r="N790" s="0" t="str">
        <f aca="false">IF(H790="","",IFERROR(LEFT(H790,FIND(" ",H790)-1),H790))</f>
        <v/>
      </c>
      <c r="O790" s="20" t="n">
        <f aca="false">IFERROR(DATE(VALUE(MID(N790,FIND("/",N790,FIND("/",N790)+1)+1,4)),VALUE(MID(N790,FIND("/",N790)+1,FIND("/",N790,FIND("/",N790)+1)-FIND("/",N790)-1)),VALUE(LEFT(N790,FIND("/",N790)-1))),0)</f>
        <v>0</v>
      </c>
    </row>
    <row r="791" customFormat="false" ht="15" hidden="false" customHeight="false" outlineLevel="0" collapsed="false">
      <c r="N791" s="0" t="str">
        <f aca="false">IF(H791="","",IFERROR(LEFT(H791,FIND(" ",H791)-1),H791))</f>
        <v/>
      </c>
      <c r="O791" s="20" t="n">
        <f aca="false">IFERROR(DATE(VALUE(MID(N791,FIND("/",N791,FIND("/",N791)+1)+1,4)),VALUE(MID(N791,FIND("/",N791)+1,FIND("/",N791,FIND("/",N791)+1)-FIND("/",N791)-1)),VALUE(LEFT(N791,FIND("/",N791)-1))),0)</f>
        <v>0</v>
      </c>
    </row>
    <row r="792" customFormat="false" ht="15" hidden="false" customHeight="false" outlineLevel="0" collapsed="false">
      <c r="N792" s="0" t="str">
        <f aca="false">IF(H792="","",IFERROR(LEFT(H792,FIND(" ",H792)-1),H792))</f>
        <v/>
      </c>
      <c r="O792" s="20" t="n">
        <f aca="false">IFERROR(DATE(VALUE(MID(N792,FIND("/",N792,FIND("/",N792)+1)+1,4)),VALUE(MID(N792,FIND("/",N792)+1,FIND("/",N792,FIND("/",N792)+1)-FIND("/",N792)-1)),VALUE(LEFT(N792,FIND("/",N792)-1))),0)</f>
        <v>0</v>
      </c>
    </row>
    <row r="793" customFormat="false" ht="15" hidden="false" customHeight="false" outlineLevel="0" collapsed="false">
      <c r="N793" s="0" t="str">
        <f aca="false">IF(H793="","",IFERROR(LEFT(H793,FIND(" ",H793)-1),H793))</f>
        <v/>
      </c>
      <c r="O793" s="20" t="n">
        <f aca="false">IFERROR(DATE(VALUE(MID(N793,FIND("/",N793,FIND("/",N793)+1)+1,4)),VALUE(MID(N793,FIND("/",N793)+1,FIND("/",N793,FIND("/",N793)+1)-FIND("/",N793)-1)),VALUE(LEFT(N793,FIND("/",N793)-1))),0)</f>
        <v>0</v>
      </c>
    </row>
    <row r="794" customFormat="false" ht="15" hidden="false" customHeight="false" outlineLevel="0" collapsed="false">
      <c r="N794" s="0" t="str">
        <f aca="false">IF(H794="","",IFERROR(LEFT(H794,FIND(" ",H794)-1),H794))</f>
        <v/>
      </c>
      <c r="O794" s="20" t="n">
        <f aca="false">IFERROR(DATE(VALUE(MID(N794,FIND("/",N794,FIND("/",N794)+1)+1,4)),VALUE(MID(N794,FIND("/",N794)+1,FIND("/",N794,FIND("/",N794)+1)-FIND("/",N794)-1)),VALUE(LEFT(N794,FIND("/",N794)-1))),0)</f>
        <v>0</v>
      </c>
    </row>
    <row r="795" customFormat="false" ht="15" hidden="false" customHeight="false" outlineLevel="0" collapsed="false">
      <c r="N795" s="0" t="str">
        <f aca="false">IF(H795="","",IFERROR(LEFT(H795,FIND(" ",H795)-1),H795))</f>
        <v/>
      </c>
      <c r="O795" s="20" t="n">
        <f aca="false">IFERROR(DATE(VALUE(MID(N795,FIND("/",N795,FIND("/",N795)+1)+1,4)),VALUE(MID(N795,FIND("/",N795)+1,FIND("/",N795,FIND("/",N795)+1)-FIND("/",N795)-1)),VALUE(LEFT(N795,FIND("/",N795)-1))),0)</f>
        <v>0</v>
      </c>
    </row>
    <row r="796" customFormat="false" ht="15" hidden="false" customHeight="false" outlineLevel="0" collapsed="false">
      <c r="N796" s="0" t="str">
        <f aca="false">IF(H796="","",IFERROR(LEFT(H796,FIND(" ",H796)-1),H796))</f>
        <v/>
      </c>
      <c r="O796" s="20" t="n">
        <f aca="false">IFERROR(DATE(VALUE(MID(N796,FIND("/",N796,FIND("/",N796)+1)+1,4)),VALUE(MID(N796,FIND("/",N796)+1,FIND("/",N796,FIND("/",N796)+1)-FIND("/",N796)-1)),VALUE(LEFT(N796,FIND("/",N796)-1))),0)</f>
        <v>0</v>
      </c>
    </row>
    <row r="797" customFormat="false" ht="15" hidden="false" customHeight="false" outlineLevel="0" collapsed="false">
      <c r="N797" s="0" t="str">
        <f aca="false">IF(H797="","",IFERROR(LEFT(H797,FIND(" ",H797)-1),H797))</f>
        <v/>
      </c>
      <c r="O797" s="20" t="n">
        <f aca="false">IFERROR(DATE(VALUE(MID(N797,FIND("/",N797,FIND("/",N797)+1)+1,4)),VALUE(MID(N797,FIND("/",N797)+1,FIND("/",N797,FIND("/",N797)+1)-FIND("/",N797)-1)),VALUE(LEFT(N797,FIND("/",N797)-1))),0)</f>
        <v>0</v>
      </c>
    </row>
    <row r="798" customFormat="false" ht="15" hidden="false" customHeight="false" outlineLevel="0" collapsed="false">
      <c r="N798" s="0" t="str">
        <f aca="false">IF(H798="","",IFERROR(LEFT(H798,FIND(" ",H798)-1),H798))</f>
        <v/>
      </c>
      <c r="O798" s="20" t="n">
        <f aca="false">IFERROR(DATE(VALUE(MID(N798,FIND("/",N798,FIND("/",N798)+1)+1,4)),VALUE(MID(N798,FIND("/",N798)+1,FIND("/",N798,FIND("/",N798)+1)-FIND("/",N798)-1)),VALUE(LEFT(N798,FIND("/",N798)-1))),0)</f>
        <v>0</v>
      </c>
    </row>
    <row r="799" customFormat="false" ht="15" hidden="false" customHeight="false" outlineLevel="0" collapsed="false">
      <c r="N799" s="0" t="str">
        <f aca="false">IF(H799="","",IFERROR(LEFT(H799,FIND(" ",H799)-1),H799))</f>
        <v/>
      </c>
      <c r="O799" s="20" t="n">
        <f aca="false">IFERROR(DATE(VALUE(MID(N799,FIND("/",N799,FIND("/",N799)+1)+1,4)),VALUE(MID(N799,FIND("/",N799)+1,FIND("/",N799,FIND("/",N799)+1)-FIND("/",N799)-1)),VALUE(LEFT(N799,FIND("/",N799)-1))),0)</f>
        <v>0</v>
      </c>
    </row>
    <row r="800" customFormat="false" ht="15" hidden="false" customHeight="false" outlineLevel="0" collapsed="false">
      <c r="N800" s="0" t="str">
        <f aca="false">IF(H800="","",IFERROR(LEFT(H800,FIND(" ",H800)-1),H800))</f>
        <v/>
      </c>
      <c r="O800" s="20" t="n">
        <f aca="false">IFERROR(DATE(VALUE(MID(N800,FIND("/",N800,FIND("/",N800)+1)+1,4)),VALUE(MID(N800,FIND("/",N800)+1,FIND("/",N800,FIND("/",N800)+1)-FIND("/",N800)-1)),VALUE(LEFT(N800,FIND("/",N800)-1))),0)</f>
        <v>0</v>
      </c>
    </row>
    <row r="801" customFormat="false" ht="15" hidden="false" customHeight="false" outlineLevel="0" collapsed="false">
      <c r="N801" s="0" t="str">
        <f aca="false">IF(H801="","",IFERROR(LEFT(H801,FIND(" ",H801)-1),H801))</f>
        <v/>
      </c>
      <c r="O801" s="20" t="n">
        <f aca="false">IFERROR(DATE(VALUE(MID(N801,FIND("/",N801,FIND("/",N801)+1)+1,4)),VALUE(MID(N801,FIND("/",N801)+1,FIND("/",N801,FIND("/",N801)+1)-FIND("/",N801)-1)),VALUE(LEFT(N801,FIND("/",N801)-1))),0)</f>
        <v>0</v>
      </c>
    </row>
    <row r="802" customFormat="false" ht="15" hidden="false" customHeight="false" outlineLevel="0" collapsed="false">
      <c r="N802" s="0" t="str">
        <f aca="false">IF(H802="","",IFERROR(LEFT(H802,FIND(" ",H802)-1),H802))</f>
        <v/>
      </c>
      <c r="O802" s="20" t="n">
        <f aca="false">IFERROR(DATE(VALUE(MID(N802,FIND("/",N802,FIND("/",N802)+1)+1,4)),VALUE(MID(N802,FIND("/",N802)+1,FIND("/",N802,FIND("/",N802)+1)-FIND("/",N802)-1)),VALUE(LEFT(N802,FIND("/",N802)-1))),0)</f>
        <v>0</v>
      </c>
    </row>
    <row r="803" customFormat="false" ht="15" hidden="false" customHeight="false" outlineLevel="0" collapsed="false">
      <c r="N803" s="0" t="str">
        <f aca="false">IF(H803="","",IFERROR(LEFT(H803,FIND(" ",H803)-1),H803))</f>
        <v/>
      </c>
      <c r="O803" s="20" t="n">
        <f aca="false">IFERROR(DATE(VALUE(MID(N803,FIND("/",N803,FIND("/",N803)+1)+1,4)),VALUE(MID(N803,FIND("/",N803)+1,FIND("/",N803,FIND("/",N803)+1)-FIND("/",N803)-1)),VALUE(LEFT(N803,FIND("/",N803)-1))),0)</f>
        <v>0</v>
      </c>
    </row>
    <row r="804" customFormat="false" ht="15" hidden="false" customHeight="false" outlineLevel="0" collapsed="false">
      <c r="N804" s="0" t="str">
        <f aca="false">IF(H804="","",IFERROR(LEFT(H804,FIND(" ",H804)-1),H804))</f>
        <v/>
      </c>
      <c r="O804" s="20" t="n">
        <f aca="false">IFERROR(DATE(VALUE(MID(N804,FIND("/",N804,FIND("/",N804)+1)+1,4)),VALUE(MID(N804,FIND("/",N804)+1,FIND("/",N804,FIND("/",N804)+1)-FIND("/",N804)-1)),VALUE(LEFT(N804,FIND("/",N804)-1))),0)</f>
        <v>0</v>
      </c>
    </row>
    <row r="805" customFormat="false" ht="15" hidden="false" customHeight="false" outlineLevel="0" collapsed="false">
      <c r="N805" s="0" t="str">
        <f aca="false">IF(H805="","",IFERROR(LEFT(H805,FIND(" ",H805)-1),H805))</f>
        <v/>
      </c>
      <c r="O805" s="20" t="n">
        <f aca="false">IFERROR(DATE(VALUE(MID(N805,FIND("/",N805,FIND("/",N805)+1)+1,4)),VALUE(MID(N805,FIND("/",N805)+1,FIND("/",N805,FIND("/",N805)+1)-FIND("/",N805)-1)),VALUE(LEFT(N805,FIND("/",N805)-1))),0)</f>
        <v>0</v>
      </c>
    </row>
    <row r="806" customFormat="false" ht="15" hidden="false" customHeight="false" outlineLevel="0" collapsed="false">
      <c r="N806" s="0" t="str">
        <f aca="false">IF(H806="","",IFERROR(LEFT(H806,FIND(" ",H806)-1),H806))</f>
        <v/>
      </c>
      <c r="O806" s="20" t="n">
        <f aca="false">IFERROR(DATE(VALUE(MID(N806,FIND("/",N806,FIND("/",N806)+1)+1,4)),VALUE(MID(N806,FIND("/",N806)+1,FIND("/",N806,FIND("/",N806)+1)-FIND("/",N806)-1)),VALUE(LEFT(N806,FIND("/",N806)-1))),0)</f>
        <v>0</v>
      </c>
    </row>
    <row r="807" customFormat="false" ht="15" hidden="false" customHeight="false" outlineLevel="0" collapsed="false">
      <c r="N807" s="0" t="str">
        <f aca="false">IF(H807="","",IFERROR(LEFT(H807,FIND(" ",H807)-1),H807))</f>
        <v/>
      </c>
      <c r="O807" s="20" t="n">
        <f aca="false">IFERROR(DATE(VALUE(MID(N807,FIND("/",N807,FIND("/",N807)+1)+1,4)),VALUE(MID(N807,FIND("/",N807)+1,FIND("/",N807,FIND("/",N807)+1)-FIND("/",N807)-1)),VALUE(LEFT(N807,FIND("/",N807)-1))),0)</f>
        <v>0</v>
      </c>
    </row>
    <row r="808" customFormat="false" ht="15" hidden="false" customHeight="false" outlineLevel="0" collapsed="false">
      <c r="N808" s="0" t="str">
        <f aca="false">IF(H808="","",IFERROR(LEFT(H808,FIND(" ",H808)-1),H808))</f>
        <v/>
      </c>
      <c r="O808" s="20" t="n">
        <f aca="false">IFERROR(DATE(VALUE(MID(N808,FIND("/",N808,FIND("/",N808)+1)+1,4)),VALUE(MID(N808,FIND("/",N808)+1,FIND("/",N808,FIND("/",N808)+1)-FIND("/",N808)-1)),VALUE(LEFT(N808,FIND("/",N808)-1))),0)</f>
        <v>0</v>
      </c>
    </row>
    <row r="809" customFormat="false" ht="15" hidden="false" customHeight="false" outlineLevel="0" collapsed="false">
      <c r="N809" s="0" t="str">
        <f aca="false">IF(H809="","",IFERROR(LEFT(H809,FIND(" ",H809)-1),H809))</f>
        <v/>
      </c>
      <c r="O809" s="20" t="n">
        <f aca="false">IFERROR(DATE(VALUE(MID(N809,FIND("/",N809,FIND("/",N809)+1)+1,4)),VALUE(MID(N809,FIND("/",N809)+1,FIND("/",N809,FIND("/",N809)+1)-FIND("/",N809)-1)),VALUE(LEFT(N809,FIND("/",N809)-1))),0)</f>
        <v>0</v>
      </c>
    </row>
    <row r="810" customFormat="false" ht="15" hidden="false" customHeight="false" outlineLevel="0" collapsed="false">
      <c r="N810" s="0" t="str">
        <f aca="false">IF(H810="","",IFERROR(LEFT(H810,FIND(" ",H810)-1),H810))</f>
        <v/>
      </c>
      <c r="O810" s="20" t="n">
        <f aca="false">IFERROR(DATE(VALUE(MID(N810,FIND("/",N810,FIND("/",N810)+1)+1,4)),VALUE(MID(N810,FIND("/",N810)+1,FIND("/",N810,FIND("/",N810)+1)-FIND("/",N810)-1)),VALUE(LEFT(N810,FIND("/",N810)-1))),0)</f>
        <v>0</v>
      </c>
    </row>
    <row r="811" customFormat="false" ht="15" hidden="false" customHeight="false" outlineLevel="0" collapsed="false">
      <c r="N811" s="0" t="str">
        <f aca="false">IF(H811="","",IFERROR(LEFT(H811,FIND(" ",H811)-1),H811))</f>
        <v/>
      </c>
      <c r="O811" s="20" t="n">
        <f aca="false">IFERROR(DATE(VALUE(MID(N811,FIND("/",N811,FIND("/",N811)+1)+1,4)),VALUE(MID(N811,FIND("/",N811)+1,FIND("/",N811,FIND("/",N811)+1)-FIND("/",N811)-1)),VALUE(LEFT(N811,FIND("/",N811)-1))),0)</f>
        <v>0</v>
      </c>
    </row>
    <row r="812" customFormat="false" ht="15" hidden="false" customHeight="false" outlineLevel="0" collapsed="false">
      <c r="N812" s="0" t="str">
        <f aca="false">IF(H812="","",IFERROR(LEFT(H812,FIND(" ",H812)-1),H812))</f>
        <v/>
      </c>
      <c r="O812" s="20" t="n">
        <f aca="false">IFERROR(DATE(VALUE(MID(N812,FIND("/",N812,FIND("/",N812)+1)+1,4)),VALUE(MID(N812,FIND("/",N812)+1,FIND("/",N812,FIND("/",N812)+1)-FIND("/",N812)-1)),VALUE(LEFT(N812,FIND("/",N812)-1))),0)</f>
        <v>0</v>
      </c>
    </row>
    <row r="813" customFormat="false" ht="15" hidden="false" customHeight="false" outlineLevel="0" collapsed="false">
      <c r="N813" s="0" t="str">
        <f aca="false">IF(H813="","",IFERROR(LEFT(H813,FIND(" ",H813)-1),H813))</f>
        <v/>
      </c>
      <c r="O813" s="20" t="n">
        <f aca="false">IFERROR(DATE(VALUE(MID(N813,FIND("/",N813,FIND("/",N813)+1)+1,4)),VALUE(MID(N813,FIND("/",N813)+1,FIND("/",N813,FIND("/",N813)+1)-FIND("/",N813)-1)),VALUE(LEFT(N813,FIND("/",N813)-1))),0)</f>
        <v>0</v>
      </c>
    </row>
    <row r="814" customFormat="false" ht="15" hidden="false" customHeight="false" outlineLevel="0" collapsed="false">
      <c r="N814" s="0" t="str">
        <f aca="false">IF(H814="","",IFERROR(LEFT(H814,FIND(" ",H814)-1),H814))</f>
        <v/>
      </c>
      <c r="O814" s="20" t="n">
        <f aca="false">IFERROR(DATE(VALUE(MID(N814,FIND("/",N814,FIND("/",N814)+1)+1,4)),VALUE(MID(N814,FIND("/",N814)+1,FIND("/",N814,FIND("/",N814)+1)-FIND("/",N814)-1)),VALUE(LEFT(N814,FIND("/",N814)-1))),0)</f>
        <v>0</v>
      </c>
    </row>
    <row r="815" customFormat="false" ht="15" hidden="false" customHeight="false" outlineLevel="0" collapsed="false">
      <c r="N815" s="0" t="str">
        <f aca="false">IF(H815="","",IFERROR(LEFT(H815,FIND(" ",H815)-1),H815))</f>
        <v/>
      </c>
      <c r="O815" s="20" t="n">
        <f aca="false">IFERROR(DATE(VALUE(MID(N815,FIND("/",N815,FIND("/",N815)+1)+1,4)),VALUE(MID(N815,FIND("/",N815)+1,FIND("/",N815,FIND("/",N815)+1)-FIND("/",N815)-1)),VALUE(LEFT(N815,FIND("/",N815)-1))),0)</f>
        <v>0</v>
      </c>
    </row>
    <row r="816" customFormat="false" ht="15" hidden="false" customHeight="false" outlineLevel="0" collapsed="false">
      <c r="N816" s="0" t="str">
        <f aca="false">IF(H816="","",IFERROR(LEFT(H816,FIND(" ",H816)-1),H816))</f>
        <v/>
      </c>
      <c r="O816" s="20" t="n">
        <f aca="false">IFERROR(DATE(VALUE(MID(N816,FIND("/",N816,FIND("/",N816)+1)+1,4)),VALUE(MID(N816,FIND("/",N816)+1,FIND("/",N816,FIND("/",N816)+1)-FIND("/",N816)-1)),VALUE(LEFT(N816,FIND("/",N816)-1))),0)</f>
        <v>0</v>
      </c>
    </row>
    <row r="817" customFormat="false" ht="15" hidden="false" customHeight="false" outlineLevel="0" collapsed="false">
      <c r="N817" s="0" t="str">
        <f aca="false">IF(H817="","",IFERROR(LEFT(H817,FIND(" ",H817)-1),H817))</f>
        <v/>
      </c>
      <c r="O817" s="20" t="n">
        <f aca="false">IFERROR(DATE(VALUE(MID(N817,FIND("/",N817,FIND("/",N817)+1)+1,4)),VALUE(MID(N817,FIND("/",N817)+1,FIND("/",N817,FIND("/",N817)+1)-FIND("/",N817)-1)),VALUE(LEFT(N817,FIND("/",N817)-1))),0)</f>
        <v>0</v>
      </c>
    </row>
    <row r="818" customFormat="false" ht="15" hidden="false" customHeight="false" outlineLevel="0" collapsed="false">
      <c r="N818" s="0" t="str">
        <f aca="false">IF(H818="","",IFERROR(LEFT(H818,FIND(" ",H818)-1),H818))</f>
        <v/>
      </c>
      <c r="O818" s="20" t="n">
        <f aca="false">IFERROR(DATE(VALUE(MID(N818,FIND("/",N818,FIND("/",N818)+1)+1,4)),VALUE(MID(N818,FIND("/",N818)+1,FIND("/",N818,FIND("/",N818)+1)-FIND("/",N818)-1)),VALUE(LEFT(N818,FIND("/",N818)-1))),0)</f>
        <v>0</v>
      </c>
    </row>
    <row r="819" customFormat="false" ht="15" hidden="false" customHeight="false" outlineLevel="0" collapsed="false">
      <c r="N819" s="0" t="str">
        <f aca="false">IF(H819="","",IFERROR(LEFT(H819,FIND(" ",H819)-1),H819))</f>
        <v/>
      </c>
      <c r="O819" s="20" t="n">
        <f aca="false">IFERROR(DATE(VALUE(MID(N819,FIND("/",N819,FIND("/",N819)+1)+1,4)),VALUE(MID(N819,FIND("/",N819)+1,FIND("/",N819,FIND("/",N819)+1)-FIND("/",N819)-1)),VALUE(LEFT(N819,FIND("/",N819)-1))),0)</f>
        <v>0</v>
      </c>
    </row>
    <row r="820" customFormat="false" ht="15" hidden="false" customHeight="false" outlineLevel="0" collapsed="false">
      <c r="N820" s="0" t="str">
        <f aca="false">IF(H820="","",IFERROR(LEFT(H820,FIND(" ",H820)-1),H820))</f>
        <v/>
      </c>
      <c r="O820" s="20" t="n">
        <f aca="false">IFERROR(DATE(VALUE(MID(N820,FIND("/",N820,FIND("/",N820)+1)+1,4)),VALUE(MID(N820,FIND("/",N820)+1,FIND("/",N820,FIND("/",N820)+1)-FIND("/",N820)-1)),VALUE(LEFT(N820,FIND("/",N820)-1))),0)</f>
        <v>0</v>
      </c>
    </row>
    <row r="821" customFormat="false" ht="15" hidden="false" customHeight="false" outlineLevel="0" collapsed="false">
      <c r="N821" s="0" t="str">
        <f aca="false">IF(H821="","",IFERROR(LEFT(H821,FIND(" ",H821)-1),H821))</f>
        <v/>
      </c>
      <c r="O821" s="20" t="n">
        <f aca="false">IFERROR(DATE(VALUE(MID(N821,FIND("/",N821,FIND("/",N821)+1)+1,4)),VALUE(MID(N821,FIND("/",N821)+1,FIND("/",N821,FIND("/",N821)+1)-FIND("/",N821)-1)),VALUE(LEFT(N821,FIND("/",N821)-1))),0)</f>
        <v>0</v>
      </c>
    </row>
    <row r="822" customFormat="false" ht="15" hidden="false" customHeight="false" outlineLevel="0" collapsed="false">
      <c r="N822" s="0" t="str">
        <f aca="false">IF(H822="","",IFERROR(LEFT(H822,FIND(" ",H822)-1),H822))</f>
        <v/>
      </c>
      <c r="O822" s="20" t="n">
        <f aca="false">IFERROR(DATE(VALUE(MID(N822,FIND("/",N822,FIND("/",N822)+1)+1,4)),VALUE(MID(N822,FIND("/",N822)+1,FIND("/",N822,FIND("/",N822)+1)-FIND("/",N822)-1)),VALUE(LEFT(N822,FIND("/",N822)-1))),0)</f>
        <v>0</v>
      </c>
    </row>
    <row r="823" customFormat="false" ht="15" hidden="false" customHeight="false" outlineLevel="0" collapsed="false">
      <c r="N823" s="0" t="str">
        <f aca="false">IF(H823="","",IFERROR(LEFT(H823,FIND(" ",H823)-1),H823))</f>
        <v/>
      </c>
      <c r="O823" s="20" t="n">
        <f aca="false">IFERROR(DATE(VALUE(MID(N823,FIND("/",N823,FIND("/",N823)+1)+1,4)),VALUE(MID(N823,FIND("/",N823)+1,FIND("/",N823,FIND("/",N823)+1)-FIND("/",N823)-1)),VALUE(LEFT(N823,FIND("/",N823)-1))),0)</f>
        <v>0</v>
      </c>
    </row>
    <row r="824" customFormat="false" ht="15" hidden="false" customHeight="false" outlineLevel="0" collapsed="false">
      <c r="N824" s="0" t="str">
        <f aca="false">IF(H824="","",IFERROR(LEFT(H824,FIND(" ",H824)-1),H824))</f>
        <v/>
      </c>
      <c r="O824" s="20" t="n">
        <f aca="false">IFERROR(DATE(VALUE(MID(N824,FIND("/",N824,FIND("/",N824)+1)+1,4)),VALUE(MID(N824,FIND("/",N824)+1,FIND("/",N824,FIND("/",N824)+1)-FIND("/",N824)-1)),VALUE(LEFT(N824,FIND("/",N824)-1))),0)</f>
        <v>0</v>
      </c>
    </row>
    <row r="825" customFormat="false" ht="15" hidden="false" customHeight="false" outlineLevel="0" collapsed="false">
      <c r="N825" s="0" t="str">
        <f aca="false">IF(H825="","",IFERROR(LEFT(H825,FIND(" ",H825)-1),H825))</f>
        <v/>
      </c>
      <c r="O825" s="20" t="n">
        <f aca="false">IFERROR(DATE(VALUE(MID(N825,FIND("/",N825,FIND("/",N825)+1)+1,4)),VALUE(MID(N825,FIND("/",N825)+1,FIND("/",N825,FIND("/",N825)+1)-FIND("/",N825)-1)),VALUE(LEFT(N825,FIND("/",N825)-1))),0)</f>
        <v>0</v>
      </c>
    </row>
    <row r="826" customFormat="false" ht="15" hidden="false" customHeight="false" outlineLevel="0" collapsed="false">
      <c r="N826" s="0" t="str">
        <f aca="false">IF(H826="","",IFERROR(LEFT(H826,FIND(" ",H826)-1),H826))</f>
        <v/>
      </c>
      <c r="O826" s="20" t="n">
        <f aca="false">IFERROR(DATE(VALUE(MID(N826,FIND("/",N826,FIND("/",N826)+1)+1,4)),VALUE(MID(N826,FIND("/",N826)+1,FIND("/",N826,FIND("/",N826)+1)-FIND("/",N826)-1)),VALUE(LEFT(N826,FIND("/",N826)-1))),0)</f>
        <v>0</v>
      </c>
    </row>
    <row r="827" customFormat="false" ht="15" hidden="false" customHeight="false" outlineLevel="0" collapsed="false">
      <c r="N827" s="0" t="str">
        <f aca="false">IF(H827="","",IFERROR(LEFT(H827,FIND(" ",H827)-1),H827))</f>
        <v/>
      </c>
      <c r="O827" s="20" t="n">
        <f aca="false">IFERROR(DATE(VALUE(MID(N827,FIND("/",N827,FIND("/",N827)+1)+1,4)),VALUE(MID(N827,FIND("/",N827)+1,FIND("/",N827,FIND("/",N827)+1)-FIND("/",N827)-1)),VALUE(LEFT(N827,FIND("/",N827)-1))),0)</f>
        <v>0</v>
      </c>
    </row>
    <row r="828" customFormat="false" ht="15" hidden="false" customHeight="false" outlineLevel="0" collapsed="false">
      <c r="N828" s="0" t="str">
        <f aca="false">IF(H828="","",IFERROR(LEFT(H828,FIND(" ",H828)-1),H828))</f>
        <v/>
      </c>
      <c r="O828" s="20" t="n">
        <f aca="false">IFERROR(DATE(VALUE(MID(N828,FIND("/",N828,FIND("/",N828)+1)+1,4)),VALUE(MID(N828,FIND("/",N828)+1,FIND("/",N828,FIND("/",N828)+1)-FIND("/",N828)-1)),VALUE(LEFT(N828,FIND("/",N828)-1))),0)</f>
        <v>0</v>
      </c>
    </row>
    <row r="829" customFormat="false" ht="15" hidden="false" customHeight="false" outlineLevel="0" collapsed="false">
      <c r="N829" s="0" t="str">
        <f aca="false">IF(H829="","",IFERROR(LEFT(H829,FIND(" ",H829)-1),H829))</f>
        <v/>
      </c>
      <c r="O829" s="20" t="n">
        <f aca="false">IFERROR(DATE(VALUE(MID(N829,FIND("/",N829,FIND("/",N829)+1)+1,4)),VALUE(MID(N829,FIND("/",N829)+1,FIND("/",N829,FIND("/",N829)+1)-FIND("/",N829)-1)),VALUE(LEFT(N829,FIND("/",N829)-1))),0)</f>
        <v>0</v>
      </c>
    </row>
    <row r="830" customFormat="false" ht="15" hidden="false" customHeight="false" outlineLevel="0" collapsed="false">
      <c r="N830" s="0" t="str">
        <f aca="false">IF(H830="","",IFERROR(LEFT(H830,FIND(" ",H830)-1),H830))</f>
        <v/>
      </c>
      <c r="O830" s="20" t="n">
        <f aca="false">IFERROR(DATE(VALUE(MID(N830,FIND("/",N830,FIND("/",N830)+1)+1,4)),VALUE(MID(N830,FIND("/",N830)+1,FIND("/",N830,FIND("/",N830)+1)-FIND("/",N830)-1)),VALUE(LEFT(N830,FIND("/",N830)-1))),0)</f>
        <v>0</v>
      </c>
    </row>
    <row r="831" customFormat="false" ht="15" hidden="false" customHeight="false" outlineLevel="0" collapsed="false">
      <c r="N831" s="0" t="str">
        <f aca="false">IF(H831="","",IFERROR(LEFT(H831,FIND(" ",H831)-1),H831))</f>
        <v/>
      </c>
      <c r="O831" s="20" t="n">
        <f aca="false">IFERROR(DATE(VALUE(MID(N831,FIND("/",N831,FIND("/",N831)+1)+1,4)),VALUE(MID(N831,FIND("/",N831)+1,FIND("/",N831,FIND("/",N831)+1)-FIND("/",N831)-1)),VALUE(LEFT(N831,FIND("/",N831)-1))),0)</f>
        <v>0</v>
      </c>
    </row>
    <row r="832" customFormat="false" ht="15" hidden="false" customHeight="false" outlineLevel="0" collapsed="false">
      <c r="N832" s="0" t="str">
        <f aca="false">IF(H832="","",IFERROR(LEFT(H832,FIND(" ",H832)-1),H832))</f>
        <v/>
      </c>
      <c r="O832" s="20" t="n">
        <f aca="false">IFERROR(DATE(VALUE(MID(N832,FIND("/",N832,FIND("/",N832)+1)+1,4)),VALUE(MID(N832,FIND("/",N832)+1,FIND("/",N832,FIND("/",N832)+1)-FIND("/",N832)-1)),VALUE(LEFT(N832,FIND("/",N832)-1))),0)</f>
        <v>0</v>
      </c>
    </row>
    <row r="833" customFormat="false" ht="15" hidden="false" customHeight="false" outlineLevel="0" collapsed="false">
      <c r="N833" s="0" t="str">
        <f aca="false">IF(H833="","",IFERROR(LEFT(H833,FIND(" ",H833)-1),H833))</f>
        <v/>
      </c>
      <c r="O833" s="20" t="n">
        <f aca="false">IFERROR(DATE(VALUE(MID(N833,FIND("/",N833,FIND("/",N833)+1)+1,4)),VALUE(MID(N833,FIND("/",N833)+1,FIND("/",N833,FIND("/",N833)+1)-FIND("/",N833)-1)),VALUE(LEFT(N833,FIND("/",N833)-1))),0)</f>
        <v>0</v>
      </c>
    </row>
    <row r="834" customFormat="false" ht="15" hidden="false" customHeight="false" outlineLevel="0" collapsed="false">
      <c r="N834" s="0" t="str">
        <f aca="false">IF(H834="","",IFERROR(LEFT(H834,FIND(" ",H834)-1),H834))</f>
        <v/>
      </c>
      <c r="O834" s="20" t="n">
        <f aca="false">IFERROR(DATE(VALUE(MID(N834,FIND("/",N834,FIND("/",N834)+1)+1,4)),VALUE(MID(N834,FIND("/",N834)+1,FIND("/",N834,FIND("/",N834)+1)-FIND("/",N834)-1)),VALUE(LEFT(N834,FIND("/",N834)-1))),0)</f>
        <v>0</v>
      </c>
    </row>
    <row r="835" customFormat="false" ht="15" hidden="false" customHeight="false" outlineLevel="0" collapsed="false">
      <c r="N835" s="0" t="str">
        <f aca="false">IF(H835="","",IFERROR(LEFT(H835,FIND(" ",H835)-1),H835))</f>
        <v/>
      </c>
      <c r="O835" s="20" t="n">
        <f aca="false">IFERROR(DATE(VALUE(MID(N835,FIND("/",N835,FIND("/",N835)+1)+1,4)),VALUE(MID(N835,FIND("/",N835)+1,FIND("/",N835,FIND("/",N835)+1)-FIND("/",N835)-1)),VALUE(LEFT(N835,FIND("/",N835)-1))),0)</f>
        <v>0</v>
      </c>
    </row>
    <row r="836" customFormat="false" ht="15" hidden="false" customHeight="false" outlineLevel="0" collapsed="false">
      <c r="N836" s="0" t="str">
        <f aca="false">IF(H836="","",IFERROR(LEFT(H836,FIND(" ",H836)-1),H836))</f>
        <v/>
      </c>
      <c r="O836" s="20" t="n">
        <f aca="false">IFERROR(DATE(VALUE(MID(N836,FIND("/",N836,FIND("/",N836)+1)+1,4)),VALUE(MID(N836,FIND("/",N836)+1,FIND("/",N836,FIND("/",N836)+1)-FIND("/",N836)-1)),VALUE(LEFT(N836,FIND("/",N836)-1))),0)</f>
        <v>0</v>
      </c>
    </row>
    <row r="837" customFormat="false" ht="15" hidden="false" customHeight="false" outlineLevel="0" collapsed="false">
      <c r="N837" s="0" t="str">
        <f aca="false">IF(H837="","",IFERROR(LEFT(H837,FIND(" ",H837)-1),H837))</f>
        <v/>
      </c>
      <c r="O837" s="20" t="n">
        <f aca="false">IFERROR(DATE(VALUE(MID(N837,FIND("/",N837,FIND("/",N837)+1)+1,4)),VALUE(MID(N837,FIND("/",N837)+1,FIND("/",N837,FIND("/",N837)+1)-FIND("/",N837)-1)),VALUE(LEFT(N837,FIND("/",N837)-1))),0)</f>
        <v>0</v>
      </c>
    </row>
    <row r="838" customFormat="false" ht="15" hidden="false" customHeight="false" outlineLevel="0" collapsed="false">
      <c r="N838" s="0" t="str">
        <f aca="false">IF(H838="","",IFERROR(LEFT(H838,FIND(" ",H838)-1),H838))</f>
        <v/>
      </c>
      <c r="O838" s="20" t="n">
        <f aca="false">IFERROR(DATE(VALUE(MID(N838,FIND("/",N838,FIND("/",N838)+1)+1,4)),VALUE(MID(N838,FIND("/",N838)+1,FIND("/",N838,FIND("/",N838)+1)-FIND("/",N838)-1)),VALUE(LEFT(N838,FIND("/",N838)-1))),0)</f>
        <v>0</v>
      </c>
    </row>
    <row r="839" customFormat="false" ht="15" hidden="false" customHeight="false" outlineLevel="0" collapsed="false">
      <c r="N839" s="0" t="str">
        <f aca="false">IF(H839="","",IFERROR(LEFT(H839,FIND(" ",H839)-1),H839))</f>
        <v/>
      </c>
      <c r="O839" s="20" t="n">
        <f aca="false">IFERROR(DATE(VALUE(MID(N839,FIND("/",N839,FIND("/",N839)+1)+1,4)),VALUE(MID(N839,FIND("/",N839)+1,FIND("/",N839,FIND("/",N839)+1)-FIND("/",N839)-1)),VALUE(LEFT(N839,FIND("/",N839)-1))),0)</f>
        <v>0</v>
      </c>
    </row>
    <row r="840" customFormat="false" ht="15" hidden="false" customHeight="false" outlineLevel="0" collapsed="false">
      <c r="N840" s="0" t="str">
        <f aca="false">IF(H840="","",IFERROR(LEFT(H840,FIND(" ",H840)-1),H840))</f>
        <v/>
      </c>
      <c r="O840" s="20" t="n">
        <f aca="false">IFERROR(DATE(VALUE(MID(N840,FIND("/",N840,FIND("/",N840)+1)+1,4)),VALUE(MID(N840,FIND("/",N840)+1,FIND("/",N840,FIND("/",N840)+1)-FIND("/",N840)-1)),VALUE(LEFT(N840,FIND("/",N840)-1))),0)</f>
        <v>0</v>
      </c>
    </row>
    <row r="841" customFormat="false" ht="15" hidden="false" customHeight="false" outlineLevel="0" collapsed="false">
      <c r="N841" s="0" t="str">
        <f aca="false">IF(H841="","",IFERROR(LEFT(H841,FIND(" ",H841)-1),H841))</f>
        <v/>
      </c>
      <c r="O841" s="20" t="n">
        <f aca="false">IFERROR(DATE(VALUE(MID(N841,FIND("/",N841,FIND("/",N841)+1)+1,4)),VALUE(MID(N841,FIND("/",N841)+1,FIND("/",N841,FIND("/",N841)+1)-FIND("/",N841)-1)),VALUE(LEFT(N841,FIND("/",N841)-1))),0)</f>
        <v>0</v>
      </c>
    </row>
    <row r="842" customFormat="false" ht="15" hidden="false" customHeight="false" outlineLevel="0" collapsed="false">
      <c r="N842" s="0" t="str">
        <f aca="false">IF(H842="","",IFERROR(LEFT(H842,FIND(" ",H842)-1),H842))</f>
        <v/>
      </c>
      <c r="O842" s="20" t="n">
        <f aca="false">IFERROR(DATE(VALUE(MID(N842,FIND("/",N842,FIND("/",N842)+1)+1,4)),VALUE(MID(N842,FIND("/",N842)+1,FIND("/",N842,FIND("/",N842)+1)-FIND("/",N842)-1)),VALUE(LEFT(N842,FIND("/",N842)-1))),0)</f>
        <v>0</v>
      </c>
    </row>
    <row r="843" customFormat="false" ht="15" hidden="false" customHeight="false" outlineLevel="0" collapsed="false">
      <c r="N843" s="0" t="str">
        <f aca="false">IF(H843="","",IFERROR(LEFT(H843,FIND(" ",H843)-1),H843))</f>
        <v/>
      </c>
      <c r="O843" s="20" t="n">
        <f aca="false">IFERROR(DATE(VALUE(MID(N843,FIND("/",N843,FIND("/",N843)+1)+1,4)),VALUE(MID(N843,FIND("/",N843)+1,FIND("/",N843,FIND("/",N843)+1)-FIND("/",N843)-1)),VALUE(LEFT(N843,FIND("/",N843)-1))),0)</f>
        <v>0</v>
      </c>
    </row>
    <row r="844" customFormat="false" ht="15" hidden="false" customHeight="false" outlineLevel="0" collapsed="false">
      <c r="N844" s="0" t="str">
        <f aca="false">IF(H844="","",IFERROR(LEFT(H844,FIND(" ",H844)-1),H844))</f>
        <v/>
      </c>
      <c r="O844" s="20" t="n">
        <f aca="false">IFERROR(DATE(VALUE(MID(N844,FIND("/",N844,FIND("/",N844)+1)+1,4)),VALUE(MID(N844,FIND("/",N844)+1,FIND("/",N844,FIND("/",N844)+1)-FIND("/",N844)-1)),VALUE(LEFT(N844,FIND("/",N844)-1))),0)</f>
        <v>0</v>
      </c>
    </row>
    <row r="845" customFormat="false" ht="15" hidden="false" customHeight="false" outlineLevel="0" collapsed="false">
      <c r="N845" s="0" t="str">
        <f aca="false">IF(H845="","",IFERROR(LEFT(H845,FIND(" ",H845)-1),H845))</f>
        <v/>
      </c>
      <c r="O845" s="20" t="n">
        <f aca="false">IFERROR(DATE(VALUE(MID(N845,FIND("/",N845,FIND("/",N845)+1)+1,4)),VALUE(MID(N845,FIND("/",N845)+1,FIND("/",N845,FIND("/",N845)+1)-FIND("/",N845)-1)),VALUE(LEFT(N845,FIND("/",N845)-1))),0)</f>
        <v>0</v>
      </c>
    </row>
    <row r="846" customFormat="false" ht="15" hidden="false" customHeight="false" outlineLevel="0" collapsed="false">
      <c r="N846" s="0" t="str">
        <f aca="false">IF(H846="","",IFERROR(LEFT(H846,FIND(" ",H846)-1),H846))</f>
        <v/>
      </c>
      <c r="O846" s="20" t="n">
        <f aca="false">IFERROR(DATE(VALUE(MID(N846,FIND("/",N846,FIND("/",N846)+1)+1,4)),VALUE(MID(N846,FIND("/",N846)+1,FIND("/",N846,FIND("/",N846)+1)-FIND("/",N846)-1)),VALUE(LEFT(N846,FIND("/",N846)-1))),0)</f>
        <v>0</v>
      </c>
    </row>
    <row r="847" customFormat="false" ht="15" hidden="false" customHeight="false" outlineLevel="0" collapsed="false">
      <c r="N847" s="0" t="str">
        <f aca="false">IF(H847="","",IFERROR(LEFT(H847,FIND(" ",H847)-1),H847))</f>
        <v/>
      </c>
      <c r="O847" s="20" t="n">
        <f aca="false">IFERROR(DATE(VALUE(MID(N847,FIND("/",N847,FIND("/",N847)+1)+1,4)),VALUE(MID(N847,FIND("/",N847)+1,FIND("/",N847,FIND("/",N847)+1)-FIND("/",N847)-1)),VALUE(LEFT(N847,FIND("/",N847)-1))),0)</f>
        <v>0</v>
      </c>
    </row>
    <row r="848" customFormat="false" ht="15" hidden="false" customHeight="false" outlineLevel="0" collapsed="false">
      <c r="N848" s="0" t="str">
        <f aca="false">IF(H848="","",IFERROR(LEFT(H848,FIND(" ",H848)-1),H848))</f>
        <v/>
      </c>
      <c r="O848" s="20" t="n">
        <f aca="false">IFERROR(DATE(VALUE(MID(N848,FIND("/",N848,FIND("/",N848)+1)+1,4)),VALUE(MID(N848,FIND("/",N848)+1,FIND("/",N848,FIND("/",N848)+1)-FIND("/",N848)-1)),VALUE(LEFT(N848,FIND("/",N848)-1))),0)</f>
        <v>0</v>
      </c>
    </row>
    <row r="849" customFormat="false" ht="15" hidden="false" customHeight="false" outlineLevel="0" collapsed="false">
      <c r="N849" s="0" t="str">
        <f aca="false">IF(H849="","",IFERROR(LEFT(H849,FIND(" ",H849)-1),H849))</f>
        <v/>
      </c>
      <c r="O849" s="20" t="n">
        <f aca="false">IFERROR(DATE(VALUE(MID(N849,FIND("/",N849,FIND("/",N849)+1)+1,4)),VALUE(MID(N849,FIND("/",N849)+1,FIND("/",N849,FIND("/",N849)+1)-FIND("/",N849)-1)),VALUE(LEFT(N849,FIND("/",N849)-1))),0)</f>
        <v>0</v>
      </c>
    </row>
    <row r="850" customFormat="false" ht="15" hidden="false" customHeight="false" outlineLevel="0" collapsed="false">
      <c r="N850" s="0" t="str">
        <f aca="false">IF(H850="","",IFERROR(LEFT(H850,FIND(" ",H850)-1),H850))</f>
        <v/>
      </c>
      <c r="O850" s="20" t="n">
        <f aca="false">IFERROR(DATE(VALUE(MID(N850,FIND("/",N850,FIND("/",N850)+1)+1,4)),VALUE(MID(N850,FIND("/",N850)+1,FIND("/",N850,FIND("/",N850)+1)-FIND("/",N850)-1)),VALUE(LEFT(N850,FIND("/",N850)-1))),0)</f>
        <v>0</v>
      </c>
    </row>
    <row r="851" customFormat="false" ht="15" hidden="false" customHeight="false" outlineLevel="0" collapsed="false">
      <c r="N851" s="0" t="str">
        <f aca="false">IF(H851="","",IFERROR(LEFT(H851,FIND(" ",H851)-1),H851))</f>
        <v/>
      </c>
      <c r="O851" s="20" t="n">
        <f aca="false">IFERROR(DATE(VALUE(MID(N851,FIND("/",N851,FIND("/",N851)+1)+1,4)),VALUE(MID(N851,FIND("/",N851)+1,FIND("/",N851,FIND("/",N851)+1)-FIND("/",N851)-1)),VALUE(LEFT(N851,FIND("/",N851)-1))),0)</f>
        <v>0</v>
      </c>
    </row>
    <row r="852" customFormat="false" ht="15" hidden="false" customHeight="false" outlineLevel="0" collapsed="false">
      <c r="N852" s="0" t="str">
        <f aca="false">IF(H852="","",IFERROR(LEFT(H852,FIND(" ",H852)-1),H852))</f>
        <v/>
      </c>
      <c r="O852" s="20" t="n">
        <f aca="false">IFERROR(DATE(VALUE(MID(N852,FIND("/",N852,FIND("/",N852)+1)+1,4)),VALUE(MID(N852,FIND("/",N852)+1,FIND("/",N852,FIND("/",N852)+1)-FIND("/",N852)-1)),VALUE(LEFT(N852,FIND("/",N852)-1))),0)</f>
        <v>0</v>
      </c>
    </row>
    <row r="853" customFormat="false" ht="15" hidden="false" customHeight="false" outlineLevel="0" collapsed="false">
      <c r="N853" s="0" t="str">
        <f aca="false">IF(H853="","",IFERROR(LEFT(H853,FIND(" ",H853)-1),H853))</f>
        <v/>
      </c>
      <c r="O853" s="20" t="n">
        <f aca="false">IFERROR(DATE(VALUE(MID(N853,FIND("/",N853,FIND("/",N853)+1)+1,4)),VALUE(MID(N853,FIND("/",N853)+1,FIND("/",N853,FIND("/",N853)+1)-FIND("/",N853)-1)),VALUE(LEFT(N853,FIND("/",N853)-1))),0)</f>
        <v>0</v>
      </c>
    </row>
    <row r="854" customFormat="false" ht="15" hidden="false" customHeight="false" outlineLevel="0" collapsed="false">
      <c r="N854" s="0" t="str">
        <f aca="false">IF(H854="","",IFERROR(LEFT(H854,FIND(" ",H854)-1),H854))</f>
        <v/>
      </c>
      <c r="O854" s="20" t="n">
        <f aca="false">IFERROR(DATE(VALUE(MID(N854,FIND("/",N854,FIND("/",N854)+1)+1,4)),VALUE(MID(N854,FIND("/",N854)+1,FIND("/",N854,FIND("/",N854)+1)-FIND("/",N854)-1)),VALUE(LEFT(N854,FIND("/",N854)-1))),0)</f>
        <v>0</v>
      </c>
    </row>
    <row r="855" customFormat="false" ht="15" hidden="false" customHeight="false" outlineLevel="0" collapsed="false">
      <c r="N855" s="0" t="str">
        <f aca="false">IF(H855="","",IFERROR(LEFT(H855,FIND(" ",H855)-1),H855))</f>
        <v/>
      </c>
      <c r="O855" s="20" t="n">
        <f aca="false">IFERROR(DATE(VALUE(MID(N855,FIND("/",N855,FIND("/",N855)+1)+1,4)),VALUE(MID(N855,FIND("/",N855)+1,FIND("/",N855,FIND("/",N855)+1)-FIND("/",N855)-1)),VALUE(LEFT(N855,FIND("/",N855)-1))),0)</f>
        <v>0</v>
      </c>
    </row>
    <row r="856" customFormat="false" ht="15" hidden="false" customHeight="false" outlineLevel="0" collapsed="false">
      <c r="N856" s="0" t="str">
        <f aca="false">IF(H856="","",IFERROR(LEFT(H856,FIND(" ",H856)-1),H856))</f>
        <v/>
      </c>
      <c r="O856" s="20" t="n">
        <f aca="false">IFERROR(DATE(VALUE(MID(N856,FIND("/",N856,FIND("/",N856)+1)+1,4)),VALUE(MID(N856,FIND("/",N856)+1,FIND("/",N856,FIND("/",N856)+1)-FIND("/",N856)-1)),VALUE(LEFT(N856,FIND("/",N856)-1))),0)</f>
        <v>0</v>
      </c>
    </row>
    <row r="857" customFormat="false" ht="15" hidden="false" customHeight="false" outlineLevel="0" collapsed="false">
      <c r="N857" s="0" t="str">
        <f aca="false">IF(H857="","",IFERROR(LEFT(H857,FIND(" ",H857)-1),H857))</f>
        <v/>
      </c>
      <c r="O857" s="20" t="n">
        <f aca="false">IFERROR(DATE(VALUE(MID(N857,FIND("/",N857,FIND("/",N857)+1)+1,4)),VALUE(MID(N857,FIND("/",N857)+1,FIND("/",N857,FIND("/",N857)+1)-FIND("/",N857)-1)),VALUE(LEFT(N857,FIND("/",N857)-1))),0)</f>
        <v>0</v>
      </c>
    </row>
    <row r="858" customFormat="false" ht="15" hidden="false" customHeight="false" outlineLevel="0" collapsed="false">
      <c r="N858" s="0" t="str">
        <f aca="false">IF(H858="","",IFERROR(LEFT(H858,FIND(" ",H858)-1),H858))</f>
        <v/>
      </c>
      <c r="O858" s="20" t="n">
        <f aca="false">IFERROR(DATE(VALUE(MID(N858,FIND("/",N858,FIND("/",N858)+1)+1,4)),VALUE(MID(N858,FIND("/",N858)+1,FIND("/",N858,FIND("/",N858)+1)-FIND("/",N858)-1)),VALUE(LEFT(N858,FIND("/",N858)-1))),0)</f>
        <v>0</v>
      </c>
    </row>
    <row r="859" customFormat="false" ht="15" hidden="false" customHeight="false" outlineLevel="0" collapsed="false">
      <c r="N859" s="0" t="str">
        <f aca="false">IF(H859="","",IFERROR(LEFT(H859,FIND(" ",H859)-1),H859))</f>
        <v/>
      </c>
      <c r="O859" s="20" t="n">
        <f aca="false">IFERROR(DATE(VALUE(MID(N859,FIND("/",N859,FIND("/",N859)+1)+1,4)),VALUE(MID(N859,FIND("/",N859)+1,FIND("/",N859,FIND("/",N859)+1)-FIND("/",N859)-1)),VALUE(LEFT(N859,FIND("/",N859)-1))),0)</f>
        <v>0</v>
      </c>
    </row>
    <row r="860" customFormat="false" ht="15" hidden="false" customHeight="false" outlineLevel="0" collapsed="false">
      <c r="N860" s="0" t="str">
        <f aca="false">IF(H860="","",IFERROR(LEFT(H860,FIND(" ",H860)-1),H860))</f>
        <v/>
      </c>
      <c r="O860" s="20" t="n">
        <f aca="false">IFERROR(DATE(VALUE(MID(N860,FIND("/",N860,FIND("/",N860)+1)+1,4)),VALUE(MID(N860,FIND("/",N860)+1,FIND("/",N860,FIND("/",N860)+1)-FIND("/",N860)-1)),VALUE(LEFT(N860,FIND("/",N860)-1))),0)</f>
        <v>0</v>
      </c>
    </row>
    <row r="861" customFormat="false" ht="15" hidden="false" customHeight="false" outlineLevel="0" collapsed="false">
      <c r="N861" s="0" t="str">
        <f aca="false">IF(H861="","",IFERROR(LEFT(H861,FIND(" ",H861)-1),H861))</f>
        <v/>
      </c>
      <c r="O861" s="20" t="n">
        <f aca="false">IFERROR(DATE(VALUE(MID(N861,FIND("/",N861,FIND("/",N861)+1)+1,4)),VALUE(MID(N861,FIND("/",N861)+1,FIND("/",N861,FIND("/",N861)+1)-FIND("/",N861)-1)),VALUE(LEFT(N861,FIND("/",N861)-1))),0)</f>
        <v>0</v>
      </c>
    </row>
    <row r="862" customFormat="false" ht="15" hidden="false" customHeight="false" outlineLevel="0" collapsed="false">
      <c r="N862" s="0" t="str">
        <f aca="false">IF(H862="","",IFERROR(LEFT(H862,FIND(" ",H862)-1),H862))</f>
        <v/>
      </c>
      <c r="O862" s="20" t="n">
        <f aca="false">IFERROR(DATE(VALUE(MID(N862,FIND("/",N862,FIND("/",N862)+1)+1,4)),VALUE(MID(N862,FIND("/",N862)+1,FIND("/",N862,FIND("/",N862)+1)-FIND("/",N862)-1)),VALUE(LEFT(N862,FIND("/",N862)-1))),0)</f>
        <v>0</v>
      </c>
    </row>
    <row r="863" customFormat="false" ht="15" hidden="false" customHeight="false" outlineLevel="0" collapsed="false">
      <c r="N863" s="0" t="str">
        <f aca="false">IF(H863="","",IFERROR(LEFT(H863,FIND(" ",H863)-1),H863))</f>
        <v/>
      </c>
      <c r="O863" s="20" t="n">
        <f aca="false">IFERROR(DATE(VALUE(MID(N863,FIND("/",N863,FIND("/",N863)+1)+1,4)),VALUE(MID(N863,FIND("/",N863)+1,FIND("/",N863,FIND("/",N863)+1)-FIND("/",N863)-1)),VALUE(LEFT(N863,FIND("/",N863)-1))),0)</f>
        <v>0</v>
      </c>
    </row>
    <row r="864" customFormat="false" ht="15" hidden="false" customHeight="false" outlineLevel="0" collapsed="false">
      <c r="N864" s="0" t="str">
        <f aca="false">IF(H864="","",IFERROR(LEFT(H864,FIND(" ",H864)-1),H864))</f>
        <v/>
      </c>
      <c r="O864" s="20" t="n">
        <f aca="false">IFERROR(DATE(VALUE(MID(N864,FIND("/",N864,FIND("/",N864)+1)+1,4)),VALUE(MID(N864,FIND("/",N864)+1,FIND("/",N864,FIND("/",N864)+1)-FIND("/",N864)-1)),VALUE(LEFT(N864,FIND("/",N864)-1))),0)</f>
        <v>0</v>
      </c>
    </row>
    <row r="865" customFormat="false" ht="15" hidden="false" customHeight="false" outlineLevel="0" collapsed="false">
      <c r="N865" s="0" t="str">
        <f aca="false">IF(H865="","",IFERROR(LEFT(H865,FIND(" ",H865)-1),H865))</f>
        <v/>
      </c>
      <c r="O865" s="20" t="n">
        <f aca="false">IFERROR(DATE(VALUE(MID(N865,FIND("/",N865,FIND("/",N865)+1)+1,4)),VALUE(MID(N865,FIND("/",N865)+1,FIND("/",N865,FIND("/",N865)+1)-FIND("/",N865)-1)),VALUE(LEFT(N865,FIND("/",N865)-1))),0)</f>
        <v>0</v>
      </c>
    </row>
    <row r="866" customFormat="false" ht="15" hidden="false" customHeight="false" outlineLevel="0" collapsed="false">
      <c r="N866" s="0" t="str">
        <f aca="false">IF(H866="","",IFERROR(LEFT(H866,FIND(" ",H866)-1),H866))</f>
        <v/>
      </c>
      <c r="O866" s="20" t="n">
        <f aca="false">IFERROR(DATE(VALUE(MID(N866,FIND("/",N866,FIND("/",N866)+1)+1,4)),VALUE(MID(N866,FIND("/",N866)+1,FIND("/",N866,FIND("/",N866)+1)-FIND("/",N866)-1)),VALUE(LEFT(N866,FIND("/",N866)-1))),0)</f>
        <v>0</v>
      </c>
    </row>
    <row r="867" customFormat="false" ht="15" hidden="false" customHeight="false" outlineLevel="0" collapsed="false">
      <c r="N867" s="0" t="str">
        <f aca="false">IF(H867="","",IFERROR(LEFT(H867,FIND(" ",H867)-1),H867))</f>
        <v/>
      </c>
      <c r="O867" s="20" t="n">
        <f aca="false">IFERROR(DATE(VALUE(MID(N867,FIND("/",N867,FIND("/",N867)+1)+1,4)),VALUE(MID(N867,FIND("/",N867)+1,FIND("/",N867,FIND("/",N867)+1)-FIND("/",N867)-1)),VALUE(LEFT(N867,FIND("/",N867)-1))),0)</f>
        <v>0</v>
      </c>
    </row>
    <row r="868" customFormat="false" ht="15" hidden="false" customHeight="false" outlineLevel="0" collapsed="false">
      <c r="N868" s="0" t="str">
        <f aca="false">IF(H868="","",IFERROR(LEFT(H868,FIND(" ",H868)-1),H868))</f>
        <v/>
      </c>
      <c r="O868" s="20" t="n">
        <f aca="false">IFERROR(DATE(VALUE(MID(N868,FIND("/",N868,FIND("/",N868)+1)+1,4)),VALUE(MID(N868,FIND("/",N868)+1,FIND("/",N868,FIND("/",N868)+1)-FIND("/",N868)-1)),VALUE(LEFT(N868,FIND("/",N868)-1))),0)</f>
        <v>0</v>
      </c>
    </row>
    <row r="869" customFormat="false" ht="15" hidden="false" customHeight="false" outlineLevel="0" collapsed="false">
      <c r="N869" s="0" t="str">
        <f aca="false">IF(H869="","",IFERROR(LEFT(H869,FIND(" ",H869)-1),H869))</f>
        <v/>
      </c>
      <c r="O869" s="20" t="n">
        <f aca="false">IFERROR(DATE(VALUE(MID(N869,FIND("/",N869,FIND("/",N869)+1)+1,4)),VALUE(MID(N869,FIND("/",N869)+1,FIND("/",N869,FIND("/",N869)+1)-FIND("/",N869)-1)),VALUE(LEFT(N869,FIND("/",N869)-1))),0)</f>
        <v>0</v>
      </c>
    </row>
    <row r="870" customFormat="false" ht="15" hidden="false" customHeight="false" outlineLevel="0" collapsed="false">
      <c r="N870" s="0" t="str">
        <f aca="false">IF(H870="","",IFERROR(LEFT(H870,FIND(" ",H870)-1),H870))</f>
        <v/>
      </c>
      <c r="O870" s="20" t="n">
        <f aca="false">IFERROR(DATE(VALUE(MID(N870,FIND("/",N870,FIND("/",N870)+1)+1,4)),VALUE(MID(N870,FIND("/",N870)+1,FIND("/",N870,FIND("/",N870)+1)-FIND("/",N870)-1)),VALUE(LEFT(N870,FIND("/",N870)-1))),0)</f>
        <v>0</v>
      </c>
    </row>
    <row r="871" customFormat="false" ht="15" hidden="false" customHeight="false" outlineLevel="0" collapsed="false">
      <c r="N871" s="0" t="str">
        <f aca="false">IF(H871="","",IFERROR(LEFT(H871,FIND(" ",H871)-1),H871))</f>
        <v/>
      </c>
      <c r="O871" s="20" t="n">
        <f aca="false">IFERROR(DATE(VALUE(MID(N871,FIND("/",N871,FIND("/",N871)+1)+1,4)),VALUE(MID(N871,FIND("/",N871)+1,FIND("/",N871,FIND("/",N871)+1)-FIND("/",N871)-1)),VALUE(LEFT(N871,FIND("/",N871)-1))),0)</f>
        <v>0</v>
      </c>
    </row>
    <row r="872" customFormat="false" ht="15" hidden="false" customHeight="false" outlineLevel="0" collapsed="false">
      <c r="N872" s="0" t="str">
        <f aca="false">IF(H872="","",IFERROR(LEFT(H872,FIND(" ",H872)-1),H872))</f>
        <v/>
      </c>
      <c r="O872" s="20" t="n">
        <f aca="false">IFERROR(DATE(VALUE(MID(N872,FIND("/",N872,FIND("/",N872)+1)+1,4)),VALUE(MID(N872,FIND("/",N872)+1,FIND("/",N872,FIND("/",N872)+1)-FIND("/",N872)-1)),VALUE(LEFT(N872,FIND("/",N872)-1))),0)</f>
        <v>0</v>
      </c>
    </row>
    <row r="873" customFormat="false" ht="15" hidden="false" customHeight="false" outlineLevel="0" collapsed="false">
      <c r="N873" s="0" t="str">
        <f aca="false">IF(H873="","",IFERROR(LEFT(H873,FIND(" ",H873)-1),H873))</f>
        <v/>
      </c>
      <c r="O873" s="20" t="n">
        <f aca="false">IFERROR(DATE(VALUE(MID(N873,FIND("/",N873,FIND("/",N873)+1)+1,4)),VALUE(MID(N873,FIND("/",N873)+1,FIND("/",N873,FIND("/",N873)+1)-FIND("/",N873)-1)),VALUE(LEFT(N873,FIND("/",N873)-1))),0)</f>
        <v>0</v>
      </c>
    </row>
    <row r="874" customFormat="false" ht="15" hidden="false" customHeight="false" outlineLevel="0" collapsed="false">
      <c r="N874" s="0" t="str">
        <f aca="false">IF(H874="","",IFERROR(LEFT(H874,FIND(" ",H874)-1),H874))</f>
        <v/>
      </c>
      <c r="O874" s="20" t="n">
        <f aca="false">IFERROR(DATE(VALUE(MID(N874,FIND("/",N874,FIND("/",N874)+1)+1,4)),VALUE(MID(N874,FIND("/",N874)+1,FIND("/",N874,FIND("/",N874)+1)-FIND("/",N874)-1)),VALUE(LEFT(N874,FIND("/",N874)-1))),0)</f>
        <v>0</v>
      </c>
    </row>
    <row r="875" customFormat="false" ht="15" hidden="false" customHeight="false" outlineLevel="0" collapsed="false">
      <c r="N875" s="0" t="str">
        <f aca="false">IF(H875="","",IFERROR(LEFT(H875,FIND(" ",H875)-1),H875))</f>
        <v/>
      </c>
      <c r="O875" s="20" t="n">
        <f aca="false">IFERROR(DATE(VALUE(MID(N875,FIND("/",N875,FIND("/",N875)+1)+1,4)),VALUE(MID(N875,FIND("/",N875)+1,FIND("/",N875,FIND("/",N875)+1)-FIND("/",N875)-1)),VALUE(LEFT(N875,FIND("/",N875)-1))),0)</f>
        <v>0</v>
      </c>
    </row>
    <row r="876" customFormat="false" ht="15" hidden="false" customHeight="false" outlineLevel="0" collapsed="false">
      <c r="N876" s="0" t="str">
        <f aca="false">IF(H876="","",IFERROR(LEFT(H876,FIND(" ",H876)-1),H876))</f>
        <v/>
      </c>
      <c r="O876" s="20" t="n">
        <f aca="false">IFERROR(DATE(VALUE(MID(N876,FIND("/",N876,FIND("/",N876)+1)+1,4)),VALUE(MID(N876,FIND("/",N876)+1,FIND("/",N876,FIND("/",N876)+1)-FIND("/",N876)-1)),VALUE(LEFT(N876,FIND("/",N876)-1))),0)</f>
        <v>0</v>
      </c>
    </row>
    <row r="877" customFormat="false" ht="15" hidden="false" customHeight="false" outlineLevel="0" collapsed="false">
      <c r="N877" s="0" t="str">
        <f aca="false">IF(H877="","",IFERROR(LEFT(H877,FIND(" ",H877)-1),H877))</f>
        <v/>
      </c>
      <c r="O877" s="20" t="n">
        <f aca="false">IFERROR(DATE(VALUE(MID(N877,FIND("/",N877,FIND("/",N877)+1)+1,4)),VALUE(MID(N877,FIND("/",N877)+1,FIND("/",N877,FIND("/",N877)+1)-FIND("/",N877)-1)),VALUE(LEFT(N877,FIND("/",N877)-1))),0)</f>
        <v>0</v>
      </c>
    </row>
    <row r="878" customFormat="false" ht="15" hidden="false" customHeight="false" outlineLevel="0" collapsed="false">
      <c r="N878" s="0" t="str">
        <f aca="false">IF(H878="","",IFERROR(LEFT(H878,FIND(" ",H878)-1),H878))</f>
        <v/>
      </c>
      <c r="O878" s="20" t="n">
        <f aca="false">IFERROR(DATE(VALUE(MID(N878,FIND("/",N878,FIND("/",N878)+1)+1,4)),VALUE(MID(N878,FIND("/",N878)+1,FIND("/",N878,FIND("/",N878)+1)-FIND("/",N878)-1)),VALUE(LEFT(N878,FIND("/",N878)-1))),0)</f>
        <v>0</v>
      </c>
    </row>
    <row r="879" customFormat="false" ht="15" hidden="false" customHeight="false" outlineLevel="0" collapsed="false">
      <c r="N879" s="0" t="str">
        <f aca="false">IF(H879="","",IFERROR(LEFT(H879,FIND(" ",H879)-1),H879))</f>
        <v/>
      </c>
      <c r="O879" s="20" t="n">
        <f aca="false">IFERROR(DATE(VALUE(MID(N879,FIND("/",N879,FIND("/",N879)+1)+1,4)),VALUE(MID(N879,FIND("/",N879)+1,FIND("/",N879,FIND("/",N879)+1)-FIND("/",N879)-1)),VALUE(LEFT(N879,FIND("/",N879)-1))),0)</f>
        <v>0</v>
      </c>
    </row>
    <row r="880" customFormat="false" ht="15" hidden="false" customHeight="false" outlineLevel="0" collapsed="false">
      <c r="N880" s="0" t="str">
        <f aca="false">IF(H880="","",IFERROR(LEFT(H880,FIND(" ",H880)-1),H880))</f>
        <v/>
      </c>
      <c r="O880" s="20" t="n">
        <f aca="false">IFERROR(DATE(VALUE(MID(N880,FIND("/",N880,FIND("/",N880)+1)+1,4)),VALUE(MID(N880,FIND("/",N880)+1,FIND("/",N880,FIND("/",N880)+1)-FIND("/",N880)-1)),VALUE(LEFT(N880,FIND("/",N880)-1))),0)</f>
        <v>0</v>
      </c>
    </row>
    <row r="881" customFormat="false" ht="15" hidden="false" customHeight="false" outlineLevel="0" collapsed="false">
      <c r="N881" s="0" t="str">
        <f aca="false">IF(H881="","",IFERROR(LEFT(H881,FIND(" ",H881)-1),H881))</f>
        <v/>
      </c>
      <c r="O881" s="20" t="n">
        <f aca="false">IFERROR(DATE(VALUE(MID(N881,FIND("/",N881,FIND("/",N881)+1)+1,4)),VALUE(MID(N881,FIND("/",N881)+1,FIND("/",N881,FIND("/",N881)+1)-FIND("/",N881)-1)),VALUE(LEFT(N881,FIND("/",N881)-1))),0)</f>
        <v>0</v>
      </c>
    </row>
    <row r="882" customFormat="false" ht="15" hidden="false" customHeight="false" outlineLevel="0" collapsed="false">
      <c r="N882" s="0" t="str">
        <f aca="false">IF(H882="","",IFERROR(LEFT(H882,FIND(" ",H882)-1),H882))</f>
        <v/>
      </c>
      <c r="O882" s="20" t="n">
        <f aca="false">IFERROR(DATE(VALUE(MID(N882,FIND("/",N882,FIND("/",N882)+1)+1,4)),VALUE(MID(N882,FIND("/",N882)+1,FIND("/",N882,FIND("/",N882)+1)-FIND("/",N882)-1)),VALUE(LEFT(N882,FIND("/",N882)-1))),0)</f>
        <v>0</v>
      </c>
    </row>
    <row r="883" customFormat="false" ht="15" hidden="false" customHeight="false" outlineLevel="0" collapsed="false">
      <c r="N883" s="0" t="str">
        <f aca="false">IF(H883="","",IFERROR(LEFT(H883,FIND(" ",H883)-1),H883))</f>
        <v/>
      </c>
      <c r="O883" s="20" t="n">
        <f aca="false">IFERROR(DATE(VALUE(MID(N883,FIND("/",N883,FIND("/",N883)+1)+1,4)),VALUE(MID(N883,FIND("/",N883)+1,FIND("/",N883,FIND("/",N883)+1)-FIND("/",N883)-1)),VALUE(LEFT(N883,FIND("/",N883)-1))),0)</f>
        <v>0</v>
      </c>
    </row>
    <row r="884" customFormat="false" ht="15" hidden="false" customHeight="false" outlineLevel="0" collapsed="false">
      <c r="N884" s="0" t="str">
        <f aca="false">IF(H884="","",IFERROR(LEFT(H884,FIND(" ",H884)-1),H884))</f>
        <v/>
      </c>
      <c r="O884" s="20" t="n">
        <f aca="false">IFERROR(DATE(VALUE(MID(N884,FIND("/",N884,FIND("/",N884)+1)+1,4)),VALUE(MID(N884,FIND("/",N884)+1,FIND("/",N884,FIND("/",N884)+1)-FIND("/",N884)-1)),VALUE(LEFT(N884,FIND("/",N884)-1))),0)</f>
        <v>0</v>
      </c>
    </row>
    <row r="885" customFormat="false" ht="15" hidden="false" customHeight="false" outlineLevel="0" collapsed="false">
      <c r="N885" s="0" t="str">
        <f aca="false">IF(H885="","",IFERROR(LEFT(H885,FIND(" ",H885)-1),H885))</f>
        <v/>
      </c>
      <c r="O885" s="20" t="n">
        <f aca="false">IFERROR(DATE(VALUE(MID(N885,FIND("/",N885,FIND("/",N885)+1)+1,4)),VALUE(MID(N885,FIND("/",N885)+1,FIND("/",N885,FIND("/",N885)+1)-FIND("/",N885)-1)),VALUE(LEFT(N885,FIND("/",N885)-1))),0)</f>
        <v>0</v>
      </c>
    </row>
    <row r="886" customFormat="false" ht="15" hidden="false" customHeight="false" outlineLevel="0" collapsed="false">
      <c r="N886" s="0" t="str">
        <f aca="false">IF(H886="","",IFERROR(LEFT(H886,FIND(" ",H886)-1),H886))</f>
        <v/>
      </c>
      <c r="O886" s="20" t="n">
        <f aca="false">IFERROR(DATE(VALUE(MID(N886,FIND("/",N886,FIND("/",N886)+1)+1,4)),VALUE(MID(N886,FIND("/",N886)+1,FIND("/",N886,FIND("/",N886)+1)-FIND("/",N886)-1)),VALUE(LEFT(N886,FIND("/",N886)-1))),0)</f>
        <v>0</v>
      </c>
    </row>
    <row r="887" customFormat="false" ht="15" hidden="false" customHeight="false" outlineLevel="0" collapsed="false">
      <c r="N887" s="0" t="str">
        <f aca="false">IF(H887="","",IFERROR(LEFT(H887,FIND(" ",H887)-1),H887))</f>
        <v/>
      </c>
      <c r="O887" s="20" t="n">
        <f aca="false">IFERROR(DATE(VALUE(MID(N887,FIND("/",N887,FIND("/",N887)+1)+1,4)),VALUE(MID(N887,FIND("/",N887)+1,FIND("/",N887,FIND("/",N887)+1)-FIND("/",N887)-1)),VALUE(LEFT(N887,FIND("/",N887)-1))),0)</f>
        <v>0</v>
      </c>
    </row>
    <row r="888" customFormat="false" ht="15" hidden="false" customHeight="false" outlineLevel="0" collapsed="false">
      <c r="N888" s="0" t="str">
        <f aca="false">IF(H888="","",IFERROR(LEFT(H888,FIND(" ",H888)-1),H888))</f>
        <v/>
      </c>
      <c r="O888" s="20" t="n">
        <f aca="false">IFERROR(DATE(VALUE(MID(N888,FIND("/",N888,FIND("/",N888)+1)+1,4)),VALUE(MID(N888,FIND("/",N888)+1,FIND("/",N888,FIND("/",N888)+1)-FIND("/",N888)-1)),VALUE(LEFT(N888,FIND("/",N888)-1))),0)</f>
        <v>0</v>
      </c>
    </row>
    <row r="889" customFormat="false" ht="15" hidden="false" customHeight="false" outlineLevel="0" collapsed="false">
      <c r="N889" s="0" t="str">
        <f aca="false">IF(H889="","",IFERROR(LEFT(H889,FIND(" ",H889)-1),H889))</f>
        <v/>
      </c>
      <c r="O889" s="20" t="n">
        <f aca="false">IFERROR(DATE(VALUE(MID(N889,FIND("/",N889,FIND("/",N889)+1)+1,4)),VALUE(MID(N889,FIND("/",N889)+1,FIND("/",N889,FIND("/",N889)+1)-FIND("/",N889)-1)),VALUE(LEFT(N889,FIND("/",N889)-1))),0)</f>
        <v>0</v>
      </c>
    </row>
    <row r="890" customFormat="false" ht="15" hidden="false" customHeight="false" outlineLevel="0" collapsed="false">
      <c r="N890" s="0" t="str">
        <f aca="false">IF(H890="","",IFERROR(LEFT(H890,FIND(" ",H890)-1),H890))</f>
        <v/>
      </c>
      <c r="O890" s="20" t="n">
        <f aca="false">IFERROR(DATE(VALUE(MID(N890,FIND("/",N890,FIND("/",N890)+1)+1,4)),VALUE(MID(N890,FIND("/",N890)+1,FIND("/",N890,FIND("/",N890)+1)-FIND("/",N890)-1)),VALUE(LEFT(N890,FIND("/",N890)-1))),0)</f>
        <v>0</v>
      </c>
    </row>
    <row r="891" customFormat="false" ht="15" hidden="false" customHeight="false" outlineLevel="0" collapsed="false">
      <c r="N891" s="0" t="str">
        <f aca="false">IF(H891="","",IFERROR(LEFT(H891,FIND(" ",H891)-1),H891))</f>
        <v/>
      </c>
      <c r="O891" s="20" t="n">
        <f aca="false">IFERROR(DATE(VALUE(MID(N891,FIND("/",N891,FIND("/",N891)+1)+1,4)),VALUE(MID(N891,FIND("/",N891)+1,FIND("/",N891,FIND("/",N891)+1)-FIND("/",N891)-1)),VALUE(LEFT(N891,FIND("/",N891)-1))),0)</f>
        <v>0</v>
      </c>
    </row>
    <row r="892" customFormat="false" ht="15" hidden="false" customHeight="false" outlineLevel="0" collapsed="false">
      <c r="N892" s="0" t="str">
        <f aca="false">IF(H892="","",IFERROR(LEFT(H892,FIND(" ",H892)-1),H892))</f>
        <v/>
      </c>
      <c r="O892" s="20" t="n">
        <f aca="false">IFERROR(DATE(VALUE(MID(N892,FIND("/",N892,FIND("/",N892)+1)+1,4)),VALUE(MID(N892,FIND("/",N892)+1,FIND("/",N892,FIND("/",N892)+1)-FIND("/",N892)-1)),VALUE(LEFT(N892,FIND("/",N892)-1))),0)</f>
        <v>0</v>
      </c>
    </row>
    <row r="893" customFormat="false" ht="15" hidden="false" customHeight="false" outlineLevel="0" collapsed="false">
      <c r="N893" s="0" t="str">
        <f aca="false">IF(H893="","",IFERROR(LEFT(H893,FIND(" ",H893)-1),H893))</f>
        <v/>
      </c>
      <c r="O893" s="20" t="n">
        <f aca="false">IFERROR(DATE(VALUE(MID(N893,FIND("/",N893,FIND("/",N893)+1)+1,4)),VALUE(MID(N893,FIND("/",N893)+1,FIND("/",N893,FIND("/",N893)+1)-FIND("/",N893)-1)),VALUE(LEFT(N893,FIND("/",N893)-1))),0)</f>
        <v>0</v>
      </c>
    </row>
    <row r="894" customFormat="false" ht="15" hidden="false" customHeight="false" outlineLevel="0" collapsed="false">
      <c r="N894" s="0" t="str">
        <f aca="false">IF(H894="","",IFERROR(LEFT(H894,FIND(" ",H894)-1),H894))</f>
        <v/>
      </c>
      <c r="O894" s="20" t="n">
        <f aca="false">IFERROR(DATE(VALUE(MID(N894,FIND("/",N894,FIND("/",N894)+1)+1,4)),VALUE(MID(N894,FIND("/",N894)+1,FIND("/",N894,FIND("/",N894)+1)-FIND("/",N894)-1)),VALUE(LEFT(N894,FIND("/",N894)-1))),0)</f>
        <v>0</v>
      </c>
    </row>
    <row r="895" customFormat="false" ht="15" hidden="false" customHeight="false" outlineLevel="0" collapsed="false">
      <c r="N895" s="0" t="str">
        <f aca="false">IF(H895="","",IFERROR(LEFT(H895,FIND(" ",H895)-1),H895))</f>
        <v/>
      </c>
      <c r="O895" s="20" t="n">
        <f aca="false">IFERROR(DATE(VALUE(MID(N895,FIND("/",N895,FIND("/",N895)+1)+1,4)),VALUE(MID(N895,FIND("/",N895)+1,FIND("/",N895,FIND("/",N895)+1)-FIND("/",N895)-1)),VALUE(LEFT(N895,FIND("/",N895)-1))),0)</f>
        <v>0</v>
      </c>
    </row>
    <row r="896" customFormat="false" ht="15" hidden="false" customHeight="false" outlineLevel="0" collapsed="false">
      <c r="N896" s="0" t="str">
        <f aca="false">IF(H896="","",IFERROR(LEFT(H896,FIND(" ",H896)-1),H896))</f>
        <v/>
      </c>
      <c r="O896" s="20" t="n">
        <f aca="false">IFERROR(DATE(VALUE(MID(N896,FIND("/",N896,FIND("/",N896)+1)+1,4)),VALUE(MID(N896,FIND("/",N896)+1,FIND("/",N896,FIND("/",N896)+1)-FIND("/",N896)-1)),VALUE(LEFT(N896,FIND("/",N896)-1))),0)</f>
        <v>0</v>
      </c>
    </row>
    <row r="897" customFormat="false" ht="15" hidden="false" customHeight="false" outlineLevel="0" collapsed="false">
      <c r="N897" s="0" t="str">
        <f aca="false">IF(H897="","",IFERROR(LEFT(H897,FIND(" ",H897)-1),H897))</f>
        <v/>
      </c>
      <c r="O897" s="20" t="n">
        <f aca="false">IFERROR(DATE(VALUE(MID(N897,FIND("/",N897,FIND("/",N897)+1)+1,4)),VALUE(MID(N897,FIND("/",N897)+1,FIND("/",N897,FIND("/",N897)+1)-FIND("/",N897)-1)),VALUE(LEFT(N897,FIND("/",N897)-1))),0)</f>
        <v>0</v>
      </c>
    </row>
    <row r="898" customFormat="false" ht="15" hidden="false" customHeight="false" outlineLevel="0" collapsed="false">
      <c r="N898" s="0" t="str">
        <f aca="false">IF(H898="","",IFERROR(LEFT(H898,FIND(" ",H898)-1),H898))</f>
        <v/>
      </c>
      <c r="O898" s="20" t="n">
        <f aca="false">IFERROR(DATE(VALUE(MID(N898,FIND("/",N898,FIND("/",N898)+1)+1,4)),VALUE(MID(N898,FIND("/",N898)+1,FIND("/",N898,FIND("/",N898)+1)-FIND("/",N898)-1)),VALUE(LEFT(N898,FIND("/",N898)-1))),0)</f>
        <v>0</v>
      </c>
    </row>
    <row r="899" customFormat="false" ht="15" hidden="false" customHeight="false" outlineLevel="0" collapsed="false">
      <c r="N899" s="0" t="str">
        <f aca="false">IF(H899="","",IFERROR(LEFT(H899,FIND(" ",H899)-1),H899))</f>
        <v/>
      </c>
      <c r="O899" s="20" t="n">
        <f aca="false">IFERROR(DATE(VALUE(MID(N899,FIND("/",N899,FIND("/",N899)+1)+1,4)),VALUE(MID(N899,FIND("/",N899)+1,FIND("/",N899,FIND("/",N899)+1)-FIND("/",N899)-1)),VALUE(LEFT(N899,FIND("/",N899)-1))),0)</f>
        <v>0</v>
      </c>
    </row>
    <row r="900" customFormat="false" ht="15" hidden="false" customHeight="false" outlineLevel="0" collapsed="false">
      <c r="N900" s="0" t="str">
        <f aca="false">IF(H900="","",IFERROR(LEFT(H900,FIND(" ",H900)-1),H900))</f>
        <v/>
      </c>
      <c r="O900" s="20" t="n">
        <f aca="false">IFERROR(DATE(VALUE(MID(N900,FIND("/",N900,FIND("/",N900)+1)+1,4)),VALUE(MID(N900,FIND("/",N900)+1,FIND("/",N900,FIND("/",N900)+1)-FIND("/",N900)-1)),VALUE(LEFT(N900,FIND("/",N900)-1))),0)</f>
        <v>0</v>
      </c>
    </row>
    <row r="901" customFormat="false" ht="15" hidden="false" customHeight="false" outlineLevel="0" collapsed="false">
      <c r="N901" s="0" t="str">
        <f aca="false">IF(H901="","",IFERROR(LEFT(H901,FIND(" ",H901)-1),H901))</f>
        <v/>
      </c>
      <c r="O901" s="20" t="n">
        <f aca="false">IFERROR(DATE(VALUE(MID(N901,FIND("/",N901,FIND("/",N901)+1)+1,4)),VALUE(MID(N901,FIND("/",N901)+1,FIND("/",N901,FIND("/",N901)+1)-FIND("/",N901)-1)),VALUE(LEFT(N901,FIND("/",N901)-1))),0)</f>
        <v>0</v>
      </c>
    </row>
    <row r="902" customFormat="false" ht="15" hidden="false" customHeight="false" outlineLevel="0" collapsed="false">
      <c r="N902" s="0" t="str">
        <f aca="false">IF(H902="","",IFERROR(LEFT(H902,FIND(" ",H902)-1),H902))</f>
        <v/>
      </c>
      <c r="O902" s="20" t="n">
        <f aca="false">IFERROR(DATE(VALUE(MID(N902,FIND("/",N902,FIND("/",N902)+1)+1,4)),VALUE(MID(N902,FIND("/",N902)+1,FIND("/",N902,FIND("/",N902)+1)-FIND("/",N902)-1)),VALUE(LEFT(N902,FIND("/",N902)-1))),0)</f>
        <v>0</v>
      </c>
    </row>
    <row r="903" customFormat="false" ht="15" hidden="false" customHeight="false" outlineLevel="0" collapsed="false">
      <c r="N903" s="0" t="str">
        <f aca="false">IF(H903="","",IFERROR(LEFT(H903,FIND(" ",H903)-1),H903))</f>
        <v/>
      </c>
      <c r="O903" s="20" t="n">
        <f aca="false">IFERROR(DATE(VALUE(MID(N903,FIND("/",N903,FIND("/",N903)+1)+1,4)),VALUE(MID(N903,FIND("/",N903)+1,FIND("/",N903,FIND("/",N903)+1)-FIND("/",N903)-1)),VALUE(LEFT(N903,FIND("/",N903)-1))),0)</f>
        <v>0</v>
      </c>
    </row>
    <row r="904" customFormat="false" ht="15" hidden="false" customHeight="false" outlineLevel="0" collapsed="false">
      <c r="N904" s="0" t="str">
        <f aca="false">IF(H904="","",IFERROR(LEFT(H904,FIND(" ",H904)-1),H904))</f>
        <v/>
      </c>
      <c r="O904" s="20" t="n">
        <f aca="false">IFERROR(DATE(VALUE(MID(N904,FIND("/",N904,FIND("/",N904)+1)+1,4)),VALUE(MID(N904,FIND("/",N904)+1,FIND("/",N904,FIND("/",N904)+1)-FIND("/",N904)-1)),VALUE(LEFT(N904,FIND("/",N904)-1))),0)</f>
        <v>0</v>
      </c>
    </row>
    <row r="905" customFormat="false" ht="15" hidden="false" customHeight="false" outlineLevel="0" collapsed="false">
      <c r="N905" s="0" t="str">
        <f aca="false">IF(H905="","",IFERROR(LEFT(H905,FIND(" ",H905)-1),H905))</f>
        <v/>
      </c>
      <c r="O905" s="20" t="n">
        <f aca="false">IFERROR(DATE(VALUE(MID(N905,FIND("/",N905,FIND("/",N905)+1)+1,4)),VALUE(MID(N905,FIND("/",N905)+1,FIND("/",N905,FIND("/",N905)+1)-FIND("/",N905)-1)),VALUE(LEFT(N905,FIND("/",N905)-1))),0)</f>
        <v>0</v>
      </c>
    </row>
    <row r="906" customFormat="false" ht="15" hidden="false" customHeight="false" outlineLevel="0" collapsed="false">
      <c r="N906" s="0" t="str">
        <f aca="false">IF(H906="","",IFERROR(LEFT(H906,FIND(" ",H906)-1),H906))</f>
        <v/>
      </c>
      <c r="O906" s="20" t="n">
        <f aca="false">IFERROR(DATE(VALUE(MID(N906,FIND("/",N906,FIND("/",N906)+1)+1,4)),VALUE(MID(N906,FIND("/",N906)+1,FIND("/",N906,FIND("/",N906)+1)-FIND("/",N906)-1)),VALUE(LEFT(N906,FIND("/",N906)-1))),0)</f>
        <v>0</v>
      </c>
    </row>
    <row r="907" customFormat="false" ht="15" hidden="false" customHeight="false" outlineLevel="0" collapsed="false">
      <c r="N907" s="0" t="str">
        <f aca="false">IF(H907="","",IFERROR(LEFT(H907,FIND(" ",H907)-1),H907))</f>
        <v/>
      </c>
      <c r="O907" s="20" t="n">
        <f aca="false">IFERROR(DATE(VALUE(MID(N907,FIND("/",N907,FIND("/",N907)+1)+1,4)),VALUE(MID(N907,FIND("/",N907)+1,FIND("/",N907,FIND("/",N907)+1)-FIND("/",N907)-1)),VALUE(LEFT(N907,FIND("/",N907)-1))),0)</f>
        <v>0</v>
      </c>
    </row>
    <row r="908" customFormat="false" ht="15" hidden="false" customHeight="false" outlineLevel="0" collapsed="false">
      <c r="N908" s="0" t="str">
        <f aca="false">IF(H908="","",IFERROR(LEFT(H908,FIND(" ",H908)-1),H908))</f>
        <v/>
      </c>
      <c r="O908" s="20" t="n">
        <f aca="false">IFERROR(DATE(VALUE(MID(N908,FIND("/",N908,FIND("/",N908)+1)+1,4)),VALUE(MID(N908,FIND("/",N908)+1,FIND("/",N908,FIND("/",N908)+1)-FIND("/",N908)-1)),VALUE(LEFT(N908,FIND("/",N908)-1))),0)</f>
        <v>0</v>
      </c>
    </row>
    <row r="909" customFormat="false" ht="15" hidden="false" customHeight="false" outlineLevel="0" collapsed="false">
      <c r="N909" s="0" t="str">
        <f aca="false">IF(H909="","",IFERROR(LEFT(H909,FIND(" ",H909)-1),H909))</f>
        <v/>
      </c>
      <c r="O909" s="20" t="n">
        <f aca="false">IFERROR(DATE(VALUE(MID(N909,FIND("/",N909,FIND("/",N909)+1)+1,4)),VALUE(MID(N909,FIND("/",N909)+1,FIND("/",N909,FIND("/",N909)+1)-FIND("/",N909)-1)),VALUE(LEFT(N909,FIND("/",N909)-1))),0)</f>
        <v>0</v>
      </c>
    </row>
    <row r="910" customFormat="false" ht="15" hidden="false" customHeight="false" outlineLevel="0" collapsed="false">
      <c r="N910" s="0" t="str">
        <f aca="false">IF(H910="","",IFERROR(LEFT(H910,FIND(" ",H910)-1),H910))</f>
        <v/>
      </c>
      <c r="O910" s="20" t="n">
        <f aca="false">IFERROR(DATE(VALUE(MID(N910,FIND("/",N910,FIND("/",N910)+1)+1,4)),VALUE(MID(N910,FIND("/",N910)+1,FIND("/",N910,FIND("/",N910)+1)-FIND("/",N910)-1)),VALUE(LEFT(N910,FIND("/",N910)-1))),0)</f>
        <v>0</v>
      </c>
    </row>
    <row r="911" customFormat="false" ht="15" hidden="false" customHeight="false" outlineLevel="0" collapsed="false">
      <c r="N911" s="0" t="str">
        <f aca="false">IF(H911="","",IFERROR(LEFT(H911,FIND(" ",H911)-1),H911))</f>
        <v/>
      </c>
      <c r="O911" s="20" t="n">
        <f aca="false">IFERROR(DATE(VALUE(MID(N911,FIND("/",N911,FIND("/",N911)+1)+1,4)),VALUE(MID(N911,FIND("/",N911)+1,FIND("/",N911,FIND("/",N911)+1)-FIND("/",N911)-1)),VALUE(LEFT(N911,FIND("/",N911)-1))),0)</f>
        <v>0</v>
      </c>
    </row>
    <row r="912" customFormat="false" ht="15" hidden="false" customHeight="false" outlineLevel="0" collapsed="false">
      <c r="N912" s="0" t="str">
        <f aca="false">IF(H912="","",IFERROR(LEFT(H912,FIND(" ",H912)-1),H912))</f>
        <v/>
      </c>
      <c r="O912" s="20" t="n">
        <f aca="false">IFERROR(DATE(VALUE(MID(N912,FIND("/",N912,FIND("/",N912)+1)+1,4)),VALUE(MID(N912,FIND("/",N912)+1,FIND("/",N912,FIND("/",N912)+1)-FIND("/",N912)-1)),VALUE(LEFT(N912,FIND("/",N912)-1))),0)</f>
        <v>0</v>
      </c>
    </row>
    <row r="913" customFormat="false" ht="15" hidden="false" customHeight="false" outlineLevel="0" collapsed="false">
      <c r="N913" s="0" t="str">
        <f aca="false">IF(H913="","",IFERROR(LEFT(H913,FIND(" ",H913)-1),H913))</f>
        <v/>
      </c>
      <c r="O913" s="20" t="n">
        <f aca="false">IFERROR(DATE(VALUE(MID(N913,FIND("/",N913,FIND("/",N913)+1)+1,4)),VALUE(MID(N913,FIND("/",N913)+1,FIND("/",N913,FIND("/",N913)+1)-FIND("/",N913)-1)),VALUE(LEFT(N913,FIND("/",N913)-1))),0)</f>
        <v>0</v>
      </c>
    </row>
    <row r="914" customFormat="false" ht="15" hidden="false" customHeight="false" outlineLevel="0" collapsed="false">
      <c r="N914" s="0" t="str">
        <f aca="false">IF(H914="","",IFERROR(LEFT(H914,FIND(" ",H914)-1),H914))</f>
        <v/>
      </c>
      <c r="O914" s="20" t="n">
        <f aca="false">IFERROR(DATE(VALUE(MID(N914,FIND("/",N914,FIND("/",N914)+1)+1,4)),VALUE(MID(N914,FIND("/",N914)+1,FIND("/",N914,FIND("/",N914)+1)-FIND("/",N914)-1)),VALUE(LEFT(N914,FIND("/",N914)-1))),0)</f>
        <v>0</v>
      </c>
    </row>
    <row r="915" customFormat="false" ht="15" hidden="false" customHeight="false" outlineLevel="0" collapsed="false">
      <c r="N915" s="0" t="str">
        <f aca="false">IF(H915="","",IFERROR(LEFT(H915,FIND(" ",H915)-1),H915))</f>
        <v/>
      </c>
      <c r="O915" s="20" t="n">
        <f aca="false">IFERROR(DATE(VALUE(MID(N915,FIND("/",N915,FIND("/",N915)+1)+1,4)),VALUE(MID(N915,FIND("/",N915)+1,FIND("/",N915,FIND("/",N915)+1)-FIND("/",N915)-1)),VALUE(LEFT(N915,FIND("/",N915)-1))),0)</f>
        <v>0</v>
      </c>
    </row>
    <row r="916" customFormat="false" ht="15" hidden="false" customHeight="false" outlineLevel="0" collapsed="false">
      <c r="N916" s="0" t="str">
        <f aca="false">IF(H916="","",IFERROR(LEFT(H916,FIND(" ",H916)-1),H916))</f>
        <v/>
      </c>
      <c r="O916" s="20" t="n">
        <f aca="false">IFERROR(DATE(VALUE(MID(N916,FIND("/",N916,FIND("/",N916)+1)+1,4)),VALUE(MID(N916,FIND("/",N916)+1,FIND("/",N916,FIND("/",N916)+1)-FIND("/",N916)-1)),VALUE(LEFT(N916,FIND("/",N916)-1))),0)</f>
        <v>0</v>
      </c>
    </row>
    <row r="917" customFormat="false" ht="15" hidden="false" customHeight="false" outlineLevel="0" collapsed="false">
      <c r="N917" s="0" t="str">
        <f aca="false">IF(H917="","",IFERROR(LEFT(H917,FIND(" ",H917)-1),H917))</f>
        <v/>
      </c>
      <c r="O917" s="20" t="n">
        <f aca="false">IFERROR(DATE(VALUE(MID(N917,FIND("/",N917,FIND("/",N917)+1)+1,4)),VALUE(MID(N917,FIND("/",N917)+1,FIND("/",N917,FIND("/",N917)+1)-FIND("/",N917)-1)),VALUE(LEFT(N917,FIND("/",N917)-1))),0)</f>
        <v>0</v>
      </c>
    </row>
    <row r="918" customFormat="false" ht="15" hidden="false" customHeight="false" outlineLevel="0" collapsed="false">
      <c r="N918" s="0" t="str">
        <f aca="false">IF(H918="","",IFERROR(LEFT(H918,FIND(" ",H918)-1),H918))</f>
        <v/>
      </c>
      <c r="O918" s="20" t="n">
        <f aca="false">IFERROR(DATE(VALUE(MID(N918,FIND("/",N918,FIND("/",N918)+1)+1,4)),VALUE(MID(N918,FIND("/",N918)+1,FIND("/",N918,FIND("/",N918)+1)-FIND("/",N918)-1)),VALUE(LEFT(N918,FIND("/",N918)-1))),0)</f>
        <v>0</v>
      </c>
    </row>
    <row r="919" customFormat="false" ht="15" hidden="false" customHeight="false" outlineLevel="0" collapsed="false">
      <c r="N919" s="0" t="str">
        <f aca="false">IF(H919="","",IFERROR(LEFT(H919,FIND(" ",H919)-1),H919))</f>
        <v/>
      </c>
      <c r="O919" s="20" t="n">
        <f aca="false">IFERROR(DATE(VALUE(MID(N919,FIND("/",N919,FIND("/",N919)+1)+1,4)),VALUE(MID(N919,FIND("/",N919)+1,FIND("/",N919,FIND("/",N919)+1)-FIND("/",N919)-1)),VALUE(LEFT(N919,FIND("/",N919)-1))),0)</f>
        <v>0</v>
      </c>
    </row>
    <row r="920" customFormat="false" ht="15" hidden="false" customHeight="false" outlineLevel="0" collapsed="false">
      <c r="N920" s="0" t="str">
        <f aca="false">IF(H920="","",IFERROR(LEFT(H920,FIND(" ",H920)-1),H920))</f>
        <v/>
      </c>
      <c r="O920" s="20" t="n">
        <f aca="false">IFERROR(DATE(VALUE(MID(N920,FIND("/",N920,FIND("/",N920)+1)+1,4)),VALUE(MID(N920,FIND("/",N920)+1,FIND("/",N920,FIND("/",N920)+1)-FIND("/",N920)-1)),VALUE(LEFT(N920,FIND("/",N920)-1))),0)</f>
        <v>0</v>
      </c>
    </row>
    <row r="921" customFormat="false" ht="15" hidden="false" customHeight="false" outlineLevel="0" collapsed="false">
      <c r="N921" s="0" t="str">
        <f aca="false">IF(H921="","",IFERROR(LEFT(H921,FIND(" ",H921)-1),H921))</f>
        <v/>
      </c>
      <c r="O921" s="20" t="n">
        <f aca="false">IFERROR(DATE(VALUE(MID(N921,FIND("/",N921,FIND("/",N921)+1)+1,4)),VALUE(MID(N921,FIND("/",N921)+1,FIND("/",N921,FIND("/",N921)+1)-FIND("/",N921)-1)),VALUE(LEFT(N921,FIND("/",N921)-1))),0)</f>
        <v>0</v>
      </c>
    </row>
    <row r="922" customFormat="false" ht="15" hidden="false" customHeight="false" outlineLevel="0" collapsed="false">
      <c r="N922" s="0" t="str">
        <f aca="false">IF(H922="","",IFERROR(LEFT(H922,FIND(" ",H922)-1),H922))</f>
        <v/>
      </c>
      <c r="O922" s="20" t="n">
        <f aca="false">IFERROR(DATE(VALUE(MID(N922,FIND("/",N922,FIND("/",N922)+1)+1,4)),VALUE(MID(N922,FIND("/",N922)+1,FIND("/",N922,FIND("/",N922)+1)-FIND("/",N922)-1)),VALUE(LEFT(N922,FIND("/",N922)-1))),0)</f>
        <v>0</v>
      </c>
    </row>
    <row r="923" customFormat="false" ht="15" hidden="false" customHeight="false" outlineLevel="0" collapsed="false">
      <c r="N923" s="0" t="str">
        <f aca="false">IF(H923="","",IFERROR(LEFT(H923,FIND(" ",H923)-1),H923))</f>
        <v/>
      </c>
      <c r="O923" s="20" t="n">
        <f aca="false">IFERROR(DATE(VALUE(MID(N923,FIND("/",N923,FIND("/",N923)+1)+1,4)),VALUE(MID(N923,FIND("/",N923)+1,FIND("/",N923,FIND("/",N923)+1)-FIND("/",N923)-1)),VALUE(LEFT(N923,FIND("/",N923)-1))),0)</f>
        <v>0</v>
      </c>
    </row>
    <row r="924" customFormat="false" ht="15" hidden="false" customHeight="false" outlineLevel="0" collapsed="false">
      <c r="N924" s="0" t="str">
        <f aca="false">IF(H924="","",IFERROR(LEFT(H924,FIND(" ",H924)-1),H924))</f>
        <v/>
      </c>
      <c r="O924" s="20" t="n">
        <f aca="false">IFERROR(DATE(VALUE(MID(N924,FIND("/",N924,FIND("/",N924)+1)+1,4)),VALUE(MID(N924,FIND("/",N924)+1,FIND("/",N924,FIND("/",N924)+1)-FIND("/",N924)-1)),VALUE(LEFT(N924,FIND("/",N924)-1))),0)</f>
        <v>0</v>
      </c>
    </row>
    <row r="925" customFormat="false" ht="15" hidden="false" customHeight="false" outlineLevel="0" collapsed="false">
      <c r="N925" s="0" t="str">
        <f aca="false">IF(H925="","",IFERROR(LEFT(H925,FIND(" ",H925)-1),H925))</f>
        <v/>
      </c>
      <c r="O925" s="20" t="n">
        <f aca="false">IFERROR(DATE(VALUE(MID(N925,FIND("/",N925,FIND("/",N925)+1)+1,4)),VALUE(MID(N925,FIND("/",N925)+1,FIND("/",N925,FIND("/",N925)+1)-FIND("/",N925)-1)),VALUE(LEFT(N925,FIND("/",N925)-1))),0)</f>
        <v>0</v>
      </c>
    </row>
    <row r="926" customFormat="false" ht="15" hidden="false" customHeight="false" outlineLevel="0" collapsed="false">
      <c r="N926" s="0" t="str">
        <f aca="false">IF(H926="","",IFERROR(LEFT(H926,FIND(" ",H926)-1),H926))</f>
        <v/>
      </c>
      <c r="O926" s="20" t="n">
        <f aca="false">IFERROR(DATE(VALUE(MID(N926,FIND("/",N926,FIND("/",N926)+1)+1,4)),VALUE(MID(N926,FIND("/",N926)+1,FIND("/",N926,FIND("/",N926)+1)-FIND("/",N926)-1)),VALUE(LEFT(N926,FIND("/",N926)-1))),0)</f>
        <v>0</v>
      </c>
    </row>
    <row r="927" customFormat="false" ht="15" hidden="false" customHeight="false" outlineLevel="0" collapsed="false">
      <c r="N927" s="0" t="str">
        <f aca="false">IF(H927="","",IFERROR(LEFT(H927,FIND(" ",H927)-1),H927))</f>
        <v/>
      </c>
      <c r="O927" s="20" t="n">
        <f aca="false">IFERROR(DATE(VALUE(MID(N927,FIND("/",N927,FIND("/",N927)+1)+1,4)),VALUE(MID(N927,FIND("/",N927)+1,FIND("/",N927,FIND("/",N927)+1)-FIND("/",N927)-1)),VALUE(LEFT(N927,FIND("/",N927)-1))),0)</f>
        <v>0</v>
      </c>
    </row>
    <row r="928" customFormat="false" ht="15" hidden="false" customHeight="false" outlineLevel="0" collapsed="false">
      <c r="N928" s="0" t="str">
        <f aca="false">IF(H928="","",IFERROR(LEFT(H928,FIND(" ",H928)-1),H928))</f>
        <v/>
      </c>
      <c r="O928" s="20" t="n">
        <f aca="false">IFERROR(DATE(VALUE(MID(N928,FIND("/",N928,FIND("/",N928)+1)+1,4)),VALUE(MID(N928,FIND("/",N928)+1,FIND("/",N928,FIND("/",N928)+1)-FIND("/",N928)-1)),VALUE(LEFT(N928,FIND("/",N928)-1))),0)</f>
        <v>0</v>
      </c>
    </row>
    <row r="929" customFormat="false" ht="15" hidden="false" customHeight="false" outlineLevel="0" collapsed="false">
      <c r="N929" s="0" t="str">
        <f aca="false">IF(H929="","",IFERROR(LEFT(H929,FIND(" ",H929)-1),H929))</f>
        <v/>
      </c>
      <c r="O929" s="20" t="n">
        <f aca="false">IFERROR(DATE(VALUE(MID(N929,FIND("/",N929,FIND("/",N929)+1)+1,4)),VALUE(MID(N929,FIND("/",N929)+1,FIND("/",N929,FIND("/",N929)+1)-FIND("/",N929)-1)),VALUE(LEFT(N929,FIND("/",N929)-1))),0)</f>
        <v>0</v>
      </c>
    </row>
    <row r="930" customFormat="false" ht="15" hidden="false" customHeight="false" outlineLevel="0" collapsed="false">
      <c r="N930" s="0" t="str">
        <f aca="false">IF(H930="","",IFERROR(LEFT(H930,FIND(" ",H930)-1),H930))</f>
        <v/>
      </c>
      <c r="O930" s="20" t="n">
        <f aca="false">IFERROR(DATE(VALUE(MID(N930,FIND("/",N930,FIND("/",N930)+1)+1,4)),VALUE(MID(N930,FIND("/",N930)+1,FIND("/",N930,FIND("/",N930)+1)-FIND("/",N930)-1)),VALUE(LEFT(N930,FIND("/",N930)-1))),0)</f>
        <v>0</v>
      </c>
    </row>
    <row r="931" customFormat="false" ht="15" hidden="false" customHeight="false" outlineLevel="0" collapsed="false">
      <c r="N931" s="0" t="str">
        <f aca="false">IF(H931="","",IFERROR(LEFT(H931,FIND(" ",H931)-1),H931))</f>
        <v/>
      </c>
      <c r="O931" s="20" t="n">
        <f aca="false">IFERROR(DATE(VALUE(MID(N931,FIND("/",N931,FIND("/",N931)+1)+1,4)),VALUE(MID(N931,FIND("/",N931)+1,FIND("/",N931,FIND("/",N931)+1)-FIND("/",N931)-1)),VALUE(LEFT(N931,FIND("/",N931)-1))),0)</f>
        <v>0</v>
      </c>
    </row>
    <row r="932" customFormat="false" ht="15" hidden="false" customHeight="false" outlineLevel="0" collapsed="false">
      <c r="N932" s="0" t="str">
        <f aca="false">IF(H932="","",IFERROR(LEFT(H932,FIND(" ",H932)-1),H932))</f>
        <v/>
      </c>
      <c r="O932" s="20" t="n">
        <f aca="false">IFERROR(DATE(VALUE(MID(N932,FIND("/",N932,FIND("/",N932)+1)+1,4)),VALUE(MID(N932,FIND("/",N932)+1,FIND("/",N932,FIND("/",N932)+1)-FIND("/",N932)-1)),VALUE(LEFT(N932,FIND("/",N932)-1))),0)</f>
        <v>0</v>
      </c>
    </row>
    <row r="933" customFormat="false" ht="15" hidden="false" customHeight="false" outlineLevel="0" collapsed="false">
      <c r="N933" s="0" t="str">
        <f aca="false">IF(H933="","",IFERROR(LEFT(H933,FIND(" ",H933)-1),H933))</f>
        <v/>
      </c>
      <c r="O933" s="20" t="n">
        <f aca="false">IFERROR(DATE(VALUE(MID(N933,FIND("/",N933,FIND("/",N933)+1)+1,4)),VALUE(MID(N933,FIND("/",N933)+1,FIND("/",N933,FIND("/",N933)+1)-FIND("/",N933)-1)),VALUE(LEFT(N933,FIND("/",N933)-1))),0)</f>
        <v>0</v>
      </c>
    </row>
    <row r="934" customFormat="false" ht="15" hidden="false" customHeight="false" outlineLevel="0" collapsed="false">
      <c r="N934" s="0" t="str">
        <f aca="false">IF(H934="","",IFERROR(LEFT(H934,FIND(" ",H934)-1),H934))</f>
        <v/>
      </c>
      <c r="O934" s="20" t="n">
        <f aca="false">IFERROR(DATE(VALUE(MID(N934,FIND("/",N934,FIND("/",N934)+1)+1,4)),VALUE(MID(N934,FIND("/",N934)+1,FIND("/",N934,FIND("/",N934)+1)-FIND("/",N934)-1)),VALUE(LEFT(N934,FIND("/",N934)-1))),0)</f>
        <v>0</v>
      </c>
    </row>
    <row r="935" customFormat="false" ht="15" hidden="false" customHeight="false" outlineLevel="0" collapsed="false">
      <c r="N935" s="0" t="str">
        <f aca="false">IF(H935="","",IFERROR(LEFT(H935,FIND(" ",H935)-1),H935))</f>
        <v/>
      </c>
      <c r="O935" s="20" t="n">
        <f aca="false">IFERROR(DATE(VALUE(MID(N935,FIND("/",N935,FIND("/",N935)+1)+1,4)),VALUE(MID(N935,FIND("/",N935)+1,FIND("/",N935,FIND("/",N935)+1)-FIND("/",N935)-1)),VALUE(LEFT(N935,FIND("/",N935)-1))),0)</f>
        <v>0</v>
      </c>
    </row>
    <row r="936" customFormat="false" ht="15" hidden="false" customHeight="false" outlineLevel="0" collapsed="false">
      <c r="N936" s="0" t="str">
        <f aca="false">IF(H936="","",IFERROR(LEFT(H936,FIND(" ",H936)-1),H936))</f>
        <v/>
      </c>
      <c r="O936" s="20" t="n">
        <f aca="false">IFERROR(DATE(VALUE(MID(N936,FIND("/",N936,FIND("/",N936)+1)+1,4)),VALUE(MID(N936,FIND("/",N936)+1,FIND("/",N936,FIND("/",N936)+1)-FIND("/",N936)-1)),VALUE(LEFT(N936,FIND("/",N936)-1))),0)</f>
        <v>0</v>
      </c>
    </row>
    <row r="937" customFormat="false" ht="15" hidden="false" customHeight="false" outlineLevel="0" collapsed="false">
      <c r="N937" s="0" t="str">
        <f aca="false">IF(H937="","",IFERROR(LEFT(H937,FIND(" ",H937)-1),H937))</f>
        <v/>
      </c>
      <c r="O937" s="20" t="n">
        <f aca="false">IFERROR(DATE(VALUE(MID(N937,FIND("/",N937,FIND("/",N937)+1)+1,4)),VALUE(MID(N937,FIND("/",N937)+1,FIND("/",N937,FIND("/",N937)+1)-FIND("/",N937)-1)),VALUE(LEFT(N937,FIND("/",N937)-1))),0)</f>
        <v>0</v>
      </c>
    </row>
    <row r="938" customFormat="false" ht="15" hidden="false" customHeight="false" outlineLevel="0" collapsed="false">
      <c r="N938" s="0" t="str">
        <f aca="false">IF(H938="","",IFERROR(LEFT(H938,FIND(" ",H938)-1),H938))</f>
        <v/>
      </c>
      <c r="O938" s="20" t="n">
        <f aca="false">IFERROR(DATE(VALUE(MID(N938,FIND("/",N938,FIND("/",N938)+1)+1,4)),VALUE(MID(N938,FIND("/",N938)+1,FIND("/",N938,FIND("/",N938)+1)-FIND("/",N938)-1)),VALUE(LEFT(N938,FIND("/",N938)-1))),0)</f>
        <v>0</v>
      </c>
    </row>
    <row r="939" customFormat="false" ht="15" hidden="false" customHeight="false" outlineLevel="0" collapsed="false">
      <c r="N939" s="0" t="str">
        <f aca="false">IF(H939="","",IFERROR(LEFT(H939,FIND(" ",H939)-1),H939))</f>
        <v/>
      </c>
      <c r="O939" s="20" t="n">
        <f aca="false">IFERROR(DATE(VALUE(MID(N939,FIND("/",N939,FIND("/",N939)+1)+1,4)),VALUE(MID(N939,FIND("/",N939)+1,FIND("/",N939,FIND("/",N939)+1)-FIND("/",N939)-1)),VALUE(LEFT(N939,FIND("/",N939)-1))),0)</f>
        <v>0</v>
      </c>
    </row>
    <row r="940" customFormat="false" ht="15" hidden="false" customHeight="false" outlineLevel="0" collapsed="false">
      <c r="N940" s="0" t="str">
        <f aca="false">IF(H940="","",IFERROR(LEFT(H940,FIND(" ",H940)-1),H940))</f>
        <v/>
      </c>
      <c r="O940" s="20" t="n">
        <f aca="false">IFERROR(DATE(VALUE(MID(N940,FIND("/",N940,FIND("/",N940)+1)+1,4)),VALUE(MID(N940,FIND("/",N940)+1,FIND("/",N940,FIND("/",N940)+1)-FIND("/",N940)-1)),VALUE(LEFT(N940,FIND("/",N940)-1))),0)</f>
        <v>0</v>
      </c>
    </row>
    <row r="941" customFormat="false" ht="15" hidden="false" customHeight="false" outlineLevel="0" collapsed="false">
      <c r="N941" s="0" t="str">
        <f aca="false">IF(H941="","",IFERROR(LEFT(H941,FIND(" ",H941)-1),H941))</f>
        <v/>
      </c>
      <c r="O941" s="20" t="n">
        <f aca="false">IFERROR(DATE(VALUE(MID(N941,FIND("/",N941,FIND("/",N941)+1)+1,4)),VALUE(MID(N941,FIND("/",N941)+1,FIND("/",N941,FIND("/",N941)+1)-FIND("/",N941)-1)),VALUE(LEFT(N941,FIND("/",N941)-1))),0)</f>
        <v>0</v>
      </c>
    </row>
    <row r="942" customFormat="false" ht="15" hidden="false" customHeight="false" outlineLevel="0" collapsed="false">
      <c r="N942" s="0" t="str">
        <f aca="false">IF(H942="","",IFERROR(LEFT(H942,FIND(" ",H942)-1),H942))</f>
        <v/>
      </c>
      <c r="O942" s="20" t="n">
        <f aca="false">IFERROR(DATE(VALUE(MID(N942,FIND("/",N942,FIND("/",N942)+1)+1,4)),VALUE(MID(N942,FIND("/",N942)+1,FIND("/",N942,FIND("/",N942)+1)-FIND("/",N942)-1)),VALUE(LEFT(N942,FIND("/",N942)-1))),0)</f>
        <v>0</v>
      </c>
    </row>
    <row r="943" customFormat="false" ht="15" hidden="false" customHeight="false" outlineLevel="0" collapsed="false">
      <c r="N943" s="0" t="str">
        <f aca="false">IF(H943="","",IFERROR(LEFT(H943,FIND(" ",H943)-1),H943))</f>
        <v/>
      </c>
      <c r="O943" s="20" t="n">
        <f aca="false">IFERROR(DATE(VALUE(MID(N943,FIND("/",N943,FIND("/",N943)+1)+1,4)),VALUE(MID(N943,FIND("/",N943)+1,FIND("/",N943,FIND("/",N943)+1)-FIND("/",N943)-1)),VALUE(LEFT(N943,FIND("/",N943)-1))),0)</f>
        <v>0</v>
      </c>
    </row>
    <row r="944" customFormat="false" ht="15" hidden="false" customHeight="false" outlineLevel="0" collapsed="false">
      <c r="N944" s="0" t="str">
        <f aca="false">IF(H944="","",IFERROR(LEFT(H944,FIND(" ",H944)-1),H944))</f>
        <v/>
      </c>
      <c r="O944" s="20" t="n">
        <f aca="false">IFERROR(DATE(VALUE(MID(N944,FIND("/",N944,FIND("/",N944)+1)+1,4)),VALUE(MID(N944,FIND("/",N944)+1,FIND("/",N944,FIND("/",N944)+1)-FIND("/",N944)-1)),VALUE(LEFT(N944,FIND("/",N944)-1))),0)</f>
        <v>0</v>
      </c>
    </row>
    <row r="945" customFormat="false" ht="15" hidden="false" customHeight="false" outlineLevel="0" collapsed="false">
      <c r="N945" s="0" t="str">
        <f aca="false">IF(H945="","",IFERROR(LEFT(H945,FIND(" ",H945)-1),H945))</f>
        <v/>
      </c>
      <c r="O945" s="20" t="n">
        <f aca="false">IFERROR(DATE(VALUE(MID(N945,FIND("/",N945,FIND("/",N945)+1)+1,4)),VALUE(MID(N945,FIND("/",N945)+1,FIND("/",N945,FIND("/",N945)+1)-FIND("/",N945)-1)),VALUE(LEFT(N945,FIND("/",N945)-1))),0)</f>
        <v>0</v>
      </c>
    </row>
    <row r="946" customFormat="false" ht="15" hidden="false" customHeight="false" outlineLevel="0" collapsed="false">
      <c r="N946" s="0" t="str">
        <f aca="false">IF(H946="","",IFERROR(LEFT(H946,FIND(" ",H946)-1),H946))</f>
        <v/>
      </c>
      <c r="O946" s="20" t="n">
        <f aca="false">IFERROR(DATE(VALUE(MID(N946,FIND("/",N946,FIND("/",N946)+1)+1,4)),VALUE(MID(N946,FIND("/",N946)+1,FIND("/",N946,FIND("/",N946)+1)-FIND("/",N946)-1)),VALUE(LEFT(N946,FIND("/",N946)-1))),0)</f>
        <v>0</v>
      </c>
    </row>
    <row r="947" customFormat="false" ht="15" hidden="false" customHeight="false" outlineLevel="0" collapsed="false">
      <c r="N947" s="0" t="str">
        <f aca="false">IF(H947="","",IFERROR(LEFT(H947,FIND(" ",H947)-1),H947))</f>
        <v/>
      </c>
      <c r="O947" s="20" t="n">
        <f aca="false">IFERROR(DATE(VALUE(MID(N947,FIND("/",N947,FIND("/",N947)+1)+1,4)),VALUE(MID(N947,FIND("/",N947)+1,FIND("/",N947,FIND("/",N947)+1)-FIND("/",N947)-1)),VALUE(LEFT(N947,FIND("/",N947)-1))),0)</f>
        <v>0</v>
      </c>
    </row>
    <row r="948" customFormat="false" ht="15" hidden="false" customHeight="false" outlineLevel="0" collapsed="false">
      <c r="N948" s="0" t="str">
        <f aca="false">IF(H948="","",IFERROR(LEFT(H948,FIND(" ",H948)-1),H948))</f>
        <v/>
      </c>
      <c r="O948" s="20" t="n">
        <f aca="false">IFERROR(DATE(VALUE(MID(N948,FIND("/",N948,FIND("/",N948)+1)+1,4)),VALUE(MID(N948,FIND("/",N948)+1,FIND("/",N948,FIND("/",N948)+1)-FIND("/",N948)-1)),VALUE(LEFT(N948,FIND("/",N948)-1))),0)</f>
        <v>0</v>
      </c>
    </row>
    <row r="949" customFormat="false" ht="15" hidden="false" customHeight="false" outlineLevel="0" collapsed="false">
      <c r="N949" s="0" t="str">
        <f aca="false">IF(H949="","",IFERROR(LEFT(H949,FIND(" ",H949)-1),H949))</f>
        <v/>
      </c>
      <c r="O949" s="20" t="n">
        <f aca="false">IFERROR(DATE(VALUE(MID(N949,FIND("/",N949,FIND("/",N949)+1)+1,4)),VALUE(MID(N949,FIND("/",N949)+1,FIND("/",N949,FIND("/",N949)+1)-FIND("/",N949)-1)),VALUE(LEFT(N949,FIND("/",N949)-1))),0)</f>
        <v>0</v>
      </c>
    </row>
    <row r="950" customFormat="false" ht="15" hidden="false" customHeight="false" outlineLevel="0" collapsed="false">
      <c r="N950" s="0" t="str">
        <f aca="false">IF(H950="","",IFERROR(LEFT(H950,FIND(" ",H950)-1),H950))</f>
        <v/>
      </c>
      <c r="O950" s="20" t="n">
        <f aca="false">IFERROR(DATE(VALUE(MID(N950,FIND("/",N950,FIND("/",N950)+1)+1,4)),VALUE(MID(N950,FIND("/",N950)+1,FIND("/",N950,FIND("/",N950)+1)-FIND("/",N950)-1)),VALUE(LEFT(N950,FIND("/",N950)-1))),0)</f>
        <v>0</v>
      </c>
    </row>
    <row r="951" customFormat="false" ht="15" hidden="false" customHeight="false" outlineLevel="0" collapsed="false">
      <c r="N951" s="0" t="str">
        <f aca="false">IF(H951="","",IFERROR(LEFT(H951,FIND(" ",H951)-1),H951))</f>
        <v/>
      </c>
      <c r="O951" s="20" t="n">
        <f aca="false">IFERROR(DATE(VALUE(MID(N951,FIND("/",N951,FIND("/",N951)+1)+1,4)),VALUE(MID(N951,FIND("/",N951)+1,FIND("/",N951,FIND("/",N951)+1)-FIND("/",N951)-1)),VALUE(LEFT(N951,FIND("/",N951)-1))),0)</f>
        <v>0</v>
      </c>
    </row>
    <row r="952" customFormat="false" ht="15" hidden="false" customHeight="false" outlineLevel="0" collapsed="false">
      <c r="N952" s="0" t="str">
        <f aca="false">IF(H952="","",IFERROR(LEFT(H952,FIND(" ",H952)-1),H952))</f>
        <v/>
      </c>
      <c r="O952" s="20" t="n">
        <f aca="false">IFERROR(DATE(VALUE(MID(N952,FIND("/",N952,FIND("/",N952)+1)+1,4)),VALUE(MID(N952,FIND("/",N952)+1,FIND("/",N952,FIND("/",N952)+1)-FIND("/",N952)-1)),VALUE(LEFT(N952,FIND("/",N952)-1))),0)</f>
        <v>0</v>
      </c>
    </row>
    <row r="953" customFormat="false" ht="15" hidden="false" customHeight="false" outlineLevel="0" collapsed="false">
      <c r="N953" s="0" t="str">
        <f aca="false">IF(H953="","",IFERROR(LEFT(H953,FIND(" ",H953)-1),H953))</f>
        <v/>
      </c>
      <c r="O953" s="20" t="n">
        <f aca="false">IFERROR(DATE(VALUE(MID(N953,FIND("/",N953,FIND("/",N953)+1)+1,4)),VALUE(MID(N953,FIND("/",N953)+1,FIND("/",N953,FIND("/",N953)+1)-FIND("/",N953)-1)),VALUE(LEFT(N953,FIND("/",N953)-1))),0)</f>
        <v>0</v>
      </c>
    </row>
    <row r="954" customFormat="false" ht="15" hidden="false" customHeight="false" outlineLevel="0" collapsed="false">
      <c r="N954" s="0" t="str">
        <f aca="false">IF(H954="","",IFERROR(LEFT(H954,FIND(" ",H954)-1),H954))</f>
        <v/>
      </c>
      <c r="O954" s="20" t="n">
        <f aca="false">IFERROR(DATE(VALUE(MID(N954,FIND("/",N954,FIND("/",N954)+1)+1,4)),VALUE(MID(N954,FIND("/",N954)+1,FIND("/",N954,FIND("/",N954)+1)-FIND("/",N954)-1)),VALUE(LEFT(N954,FIND("/",N954)-1))),0)</f>
        <v>0</v>
      </c>
    </row>
    <row r="955" customFormat="false" ht="15" hidden="false" customHeight="false" outlineLevel="0" collapsed="false">
      <c r="N955" s="0" t="str">
        <f aca="false">IF(H955="","",IFERROR(LEFT(H955,FIND(" ",H955)-1),H955))</f>
        <v/>
      </c>
      <c r="O955" s="20" t="n">
        <f aca="false">IFERROR(DATE(VALUE(MID(N955,FIND("/",N955,FIND("/",N955)+1)+1,4)),VALUE(MID(N955,FIND("/",N955)+1,FIND("/",N955,FIND("/",N955)+1)-FIND("/",N955)-1)),VALUE(LEFT(N955,FIND("/",N955)-1))),0)</f>
        <v>0</v>
      </c>
    </row>
    <row r="956" customFormat="false" ht="15" hidden="false" customHeight="false" outlineLevel="0" collapsed="false">
      <c r="N956" s="0" t="str">
        <f aca="false">IF(H956="","",IFERROR(LEFT(H956,FIND(" ",H956)-1),H956))</f>
        <v/>
      </c>
      <c r="O956" s="20" t="n">
        <f aca="false">IFERROR(DATE(VALUE(MID(N956,FIND("/",N956,FIND("/",N956)+1)+1,4)),VALUE(MID(N956,FIND("/",N956)+1,FIND("/",N956,FIND("/",N956)+1)-FIND("/",N956)-1)),VALUE(LEFT(N956,FIND("/",N956)-1))),0)</f>
        <v>0</v>
      </c>
    </row>
    <row r="957" customFormat="false" ht="15" hidden="false" customHeight="false" outlineLevel="0" collapsed="false">
      <c r="N957" s="0" t="str">
        <f aca="false">IF(H957="","",IFERROR(LEFT(H957,FIND(" ",H957)-1),H957))</f>
        <v/>
      </c>
      <c r="O957" s="20" t="n">
        <f aca="false">IFERROR(DATE(VALUE(MID(N957,FIND("/",N957,FIND("/",N957)+1)+1,4)),VALUE(MID(N957,FIND("/",N957)+1,FIND("/",N957,FIND("/",N957)+1)-FIND("/",N957)-1)),VALUE(LEFT(N957,FIND("/",N957)-1))),0)</f>
        <v>0</v>
      </c>
    </row>
    <row r="958" customFormat="false" ht="15" hidden="false" customHeight="false" outlineLevel="0" collapsed="false">
      <c r="N958" s="0" t="str">
        <f aca="false">IF(H958="","",IFERROR(LEFT(H958,FIND(" ",H958)-1),H958))</f>
        <v/>
      </c>
      <c r="O958" s="20" t="n">
        <f aca="false">IFERROR(DATE(VALUE(MID(N958,FIND("/",N958,FIND("/",N958)+1)+1,4)),VALUE(MID(N958,FIND("/",N958)+1,FIND("/",N958,FIND("/",N958)+1)-FIND("/",N958)-1)),VALUE(LEFT(N958,FIND("/",N958)-1))),0)</f>
        <v>0</v>
      </c>
    </row>
    <row r="959" customFormat="false" ht="15" hidden="false" customHeight="false" outlineLevel="0" collapsed="false">
      <c r="N959" s="0" t="str">
        <f aca="false">IF(H959="","",IFERROR(LEFT(H959,FIND(" ",H959)-1),H959))</f>
        <v/>
      </c>
      <c r="O959" s="20" t="n">
        <f aca="false">IFERROR(DATE(VALUE(MID(N959,FIND("/",N959,FIND("/",N959)+1)+1,4)),VALUE(MID(N959,FIND("/",N959)+1,FIND("/",N959,FIND("/",N959)+1)-FIND("/",N959)-1)),VALUE(LEFT(N959,FIND("/",N959)-1))),0)</f>
        <v>0</v>
      </c>
    </row>
    <row r="960" customFormat="false" ht="15" hidden="false" customHeight="false" outlineLevel="0" collapsed="false">
      <c r="N960" s="0" t="str">
        <f aca="false">IF(H960="","",IFERROR(LEFT(H960,FIND(" ",H960)-1),H960))</f>
        <v/>
      </c>
      <c r="O960" s="20" t="n">
        <f aca="false">IFERROR(DATE(VALUE(MID(N960,FIND("/",N960,FIND("/",N960)+1)+1,4)),VALUE(MID(N960,FIND("/",N960)+1,FIND("/",N960,FIND("/",N960)+1)-FIND("/",N960)-1)),VALUE(LEFT(N960,FIND("/",N960)-1))),0)</f>
        <v>0</v>
      </c>
    </row>
    <row r="961" customFormat="false" ht="15" hidden="false" customHeight="false" outlineLevel="0" collapsed="false">
      <c r="N961" s="0" t="str">
        <f aca="false">IF(H961="","",IFERROR(LEFT(H961,FIND(" ",H961)-1),H961))</f>
        <v/>
      </c>
      <c r="O961" s="20" t="n">
        <f aca="false">IFERROR(DATE(VALUE(MID(N961,FIND("/",N961,FIND("/",N961)+1)+1,4)),VALUE(MID(N961,FIND("/",N961)+1,FIND("/",N961,FIND("/",N961)+1)-FIND("/",N961)-1)),VALUE(LEFT(N961,FIND("/",N961)-1))),0)</f>
        <v>0</v>
      </c>
    </row>
    <row r="962" customFormat="false" ht="15" hidden="false" customHeight="false" outlineLevel="0" collapsed="false">
      <c r="N962" s="0" t="str">
        <f aca="false">IF(H962="","",IFERROR(LEFT(H962,FIND(" ",H962)-1),H962))</f>
        <v/>
      </c>
      <c r="O962" s="20" t="n">
        <f aca="false">IFERROR(DATE(VALUE(MID(N962,FIND("/",N962,FIND("/",N962)+1)+1,4)),VALUE(MID(N962,FIND("/",N962)+1,FIND("/",N962,FIND("/",N962)+1)-FIND("/",N962)-1)),VALUE(LEFT(N962,FIND("/",N962)-1))),0)</f>
        <v>0</v>
      </c>
    </row>
    <row r="963" customFormat="false" ht="15" hidden="false" customHeight="false" outlineLevel="0" collapsed="false">
      <c r="N963" s="0" t="str">
        <f aca="false">IF(H963="","",IFERROR(LEFT(H963,FIND(" ",H963)-1),H963))</f>
        <v/>
      </c>
      <c r="O963" s="20" t="n">
        <f aca="false">IFERROR(DATE(VALUE(MID(N963,FIND("/",N963,FIND("/",N963)+1)+1,4)),VALUE(MID(N963,FIND("/",N963)+1,FIND("/",N963,FIND("/",N963)+1)-FIND("/",N963)-1)),VALUE(LEFT(N963,FIND("/",N963)-1))),0)</f>
        <v>0</v>
      </c>
    </row>
    <row r="964" customFormat="false" ht="15" hidden="false" customHeight="false" outlineLevel="0" collapsed="false">
      <c r="N964" s="0" t="str">
        <f aca="false">IF(H964="","",IFERROR(LEFT(H964,FIND(" ",H964)-1),H964))</f>
        <v/>
      </c>
      <c r="O964" s="20" t="n">
        <f aca="false">IFERROR(DATE(VALUE(MID(N964,FIND("/",N964,FIND("/",N964)+1)+1,4)),VALUE(MID(N964,FIND("/",N964)+1,FIND("/",N964,FIND("/",N964)+1)-FIND("/",N964)-1)),VALUE(LEFT(N964,FIND("/",N964)-1))),0)</f>
        <v>0</v>
      </c>
    </row>
    <row r="965" customFormat="false" ht="15" hidden="false" customHeight="false" outlineLevel="0" collapsed="false">
      <c r="N965" s="0" t="str">
        <f aca="false">IF(H965="","",IFERROR(LEFT(H965,FIND(" ",H965)-1),H965))</f>
        <v/>
      </c>
      <c r="O965" s="20" t="n">
        <f aca="false">IFERROR(DATE(VALUE(MID(N965,FIND("/",N965,FIND("/",N965)+1)+1,4)),VALUE(MID(N965,FIND("/",N965)+1,FIND("/",N965,FIND("/",N965)+1)-FIND("/",N965)-1)),VALUE(LEFT(N965,FIND("/",N965)-1))),0)</f>
        <v>0</v>
      </c>
    </row>
    <row r="966" customFormat="false" ht="15" hidden="false" customHeight="false" outlineLevel="0" collapsed="false">
      <c r="N966" s="0" t="str">
        <f aca="false">IF(H966="","",IFERROR(LEFT(H966,FIND(" ",H966)-1),H966))</f>
        <v/>
      </c>
      <c r="O966" s="20" t="n">
        <f aca="false">IFERROR(DATE(VALUE(MID(N966,FIND("/",N966,FIND("/",N966)+1)+1,4)),VALUE(MID(N966,FIND("/",N966)+1,FIND("/",N966,FIND("/",N966)+1)-FIND("/",N966)-1)),VALUE(LEFT(N966,FIND("/",N966)-1))),0)</f>
        <v>0</v>
      </c>
    </row>
    <row r="967" customFormat="false" ht="15" hidden="false" customHeight="false" outlineLevel="0" collapsed="false">
      <c r="N967" s="0" t="str">
        <f aca="false">IF(H967="","",IFERROR(LEFT(H967,FIND(" ",H967)-1),H967))</f>
        <v/>
      </c>
      <c r="O967" s="20" t="n">
        <f aca="false">IFERROR(DATE(VALUE(MID(N967,FIND("/",N967,FIND("/",N967)+1)+1,4)),VALUE(MID(N967,FIND("/",N967)+1,FIND("/",N967,FIND("/",N967)+1)-FIND("/",N967)-1)),VALUE(LEFT(N967,FIND("/",N967)-1))),0)</f>
        <v>0</v>
      </c>
    </row>
    <row r="968" customFormat="false" ht="15" hidden="false" customHeight="false" outlineLevel="0" collapsed="false">
      <c r="N968" s="0" t="str">
        <f aca="false">IF(H968="","",IFERROR(LEFT(H968,FIND(" ",H968)-1),H968))</f>
        <v/>
      </c>
      <c r="O968" s="20" t="n">
        <f aca="false">IFERROR(DATE(VALUE(MID(N968,FIND("/",N968,FIND("/",N968)+1)+1,4)),VALUE(MID(N968,FIND("/",N968)+1,FIND("/",N968,FIND("/",N968)+1)-FIND("/",N968)-1)),VALUE(LEFT(N968,FIND("/",N968)-1))),0)</f>
        <v>0</v>
      </c>
    </row>
    <row r="969" customFormat="false" ht="15" hidden="false" customHeight="false" outlineLevel="0" collapsed="false">
      <c r="N969" s="0" t="str">
        <f aca="false">IF(H969="","",IFERROR(LEFT(H969,FIND(" ",H969)-1),H969))</f>
        <v/>
      </c>
      <c r="O969" s="20" t="n">
        <f aca="false">IFERROR(DATE(VALUE(MID(N969,FIND("/",N969,FIND("/",N969)+1)+1,4)),VALUE(MID(N969,FIND("/",N969)+1,FIND("/",N969,FIND("/",N969)+1)-FIND("/",N969)-1)),VALUE(LEFT(N969,FIND("/",N969)-1))),0)</f>
        <v>0</v>
      </c>
    </row>
    <row r="970" customFormat="false" ht="15" hidden="false" customHeight="false" outlineLevel="0" collapsed="false">
      <c r="N970" s="0" t="str">
        <f aca="false">IF(H970="","",IFERROR(LEFT(H970,FIND(" ",H970)-1),H970))</f>
        <v/>
      </c>
      <c r="O970" s="20" t="n">
        <f aca="false">IFERROR(DATE(VALUE(MID(N970,FIND("/",N970,FIND("/",N970)+1)+1,4)),VALUE(MID(N970,FIND("/",N970)+1,FIND("/",N970,FIND("/",N970)+1)-FIND("/",N970)-1)),VALUE(LEFT(N970,FIND("/",N970)-1))),0)</f>
        <v>0</v>
      </c>
    </row>
    <row r="971" customFormat="false" ht="15" hidden="false" customHeight="false" outlineLevel="0" collapsed="false">
      <c r="N971" s="0" t="str">
        <f aca="false">IF(H971="","",IFERROR(LEFT(H971,FIND(" ",H971)-1),H971))</f>
        <v/>
      </c>
      <c r="O971" s="20" t="n">
        <f aca="false">IFERROR(DATE(VALUE(MID(N971,FIND("/",N971,FIND("/",N971)+1)+1,4)),VALUE(MID(N971,FIND("/",N971)+1,FIND("/",N971,FIND("/",N971)+1)-FIND("/",N971)-1)),VALUE(LEFT(N971,FIND("/",N971)-1))),0)</f>
        <v>0</v>
      </c>
    </row>
    <row r="972" customFormat="false" ht="15" hidden="false" customHeight="false" outlineLevel="0" collapsed="false">
      <c r="N972" s="0" t="str">
        <f aca="false">IF(H972="","",IFERROR(LEFT(H972,FIND(" ",H972)-1),H972))</f>
        <v/>
      </c>
      <c r="O972" s="20" t="n">
        <f aca="false">IFERROR(DATE(VALUE(MID(N972,FIND("/",N972,FIND("/",N972)+1)+1,4)),VALUE(MID(N972,FIND("/",N972)+1,FIND("/",N972,FIND("/",N972)+1)-FIND("/",N972)-1)),VALUE(LEFT(N972,FIND("/",N972)-1))),0)</f>
        <v>0</v>
      </c>
    </row>
    <row r="973" customFormat="false" ht="15" hidden="false" customHeight="false" outlineLevel="0" collapsed="false">
      <c r="N973" s="0" t="str">
        <f aca="false">IF(H973="","",IFERROR(LEFT(H973,FIND(" ",H973)-1),H973))</f>
        <v/>
      </c>
      <c r="O973" s="20" t="n">
        <f aca="false">IFERROR(DATE(VALUE(MID(N973,FIND("/",N973,FIND("/",N973)+1)+1,4)),VALUE(MID(N973,FIND("/",N973)+1,FIND("/",N973,FIND("/",N973)+1)-FIND("/",N973)-1)),VALUE(LEFT(N973,FIND("/",N973)-1))),0)</f>
        <v>0</v>
      </c>
    </row>
    <row r="974" customFormat="false" ht="15" hidden="false" customHeight="false" outlineLevel="0" collapsed="false">
      <c r="N974" s="0" t="str">
        <f aca="false">IF(H974="","",IFERROR(LEFT(H974,FIND(" ",H974)-1),H974))</f>
        <v/>
      </c>
      <c r="O974" s="20" t="n">
        <f aca="false">IFERROR(DATE(VALUE(MID(N974,FIND("/",N974,FIND("/",N974)+1)+1,4)),VALUE(MID(N974,FIND("/",N974)+1,FIND("/",N974,FIND("/",N974)+1)-FIND("/",N974)-1)),VALUE(LEFT(N974,FIND("/",N974)-1))),0)</f>
        <v>0</v>
      </c>
    </row>
    <row r="975" customFormat="false" ht="15" hidden="false" customHeight="false" outlineLevel="0" collapsed="false">
      <c r="N975" s="0" t="str">
        <f aca="false">IF(H975="","",IFERROR(LEFT(H975,FIND(" ",H975)-1),H975))</f>
        <v/>
      </c>
      <c r="O975" s="20" t="n">
        <f aca="false">IFERROR(DATE(VALUE(MID(N975,FIND("/",N975,FIND("/",N975)+1)+1,4)),VALUE(MID(N975,FIND("/",N975)+1,FIND("/",N975,FIND("/",N975)+1)-FIND("/",N975)-1)),VALUE(LEFT(N975,FIND("/",N975)-1))),0)</f>
        <v>0</v>
      </c>
    </row>
    <row r="976" customFormat="false" ht="15" hidden="false" customHeight="false" outlineLevel="0" collapsed="false">
      <c r="N976" s="0" t="str">
        <f aca="false">IF(H976="","",IFERROR(LEFT(H976,FIND(" ",H976)-1),H976))</f>
        <v/>
      </c>
      <c r="O976" s="20" t="n">
        <f aca="false">IFERROR(DATE(VALUE(MID(N976,FIND("/",N976,FIND("/",N976)+1)+1,4)),VALUE(MID(N976,FIND("/",N976)+1,FIND("/",N976,FIND("/",N976)+1)-FIND("/",N976)-1)),VALUE(LEFT(N976,FIND("/",N976)-1))),0)</f>
        <v>0</v>
      </c>
    </row>
    <row r="977" customFormat="false" ht="15" hidden="false" customHeight="false" outlineLevel="0" collapsed="false">
      <c r="N977" s="0" t="str">
        <f aca="false">IF(H977="","",IFERROR(LEFT(H977,FIND(" ",H977)-1),H977))</f>
        <v/>
      </c>
      <c r="O977" s="20" t="n">
        <f aca="false">IFERROR(DATE(VALUE(MID(N977,FIND("/",N977,FIND("/",N977)+1)+1,4)),VALUE(MID(N977,FIND("/",N977)+1,FIND("/",N977,FIND("/",N977)+1)-FIND("/",N977)-1)),VALUE(LEFT(N977,FIND("/",N977)-1))),0)</f>
        <v>0</v>
      </c>
    </row>
    <row r="978" customFormat="false" ht="15" hidden="false" customHeight="false" outlineLevel="0" collapsed="false">
      <c r="N978" s="0" t="str">
        <f aca="false">IF(H978="","",IFERROR(LEFT(H978,FIND(" ",H978)-1),H978))</f>
        <v/>
      </c>
      <c r="O978" s="20" t="n">
        <f aca="false">IFERROR(DATE(VALUE(MID(N978,FIND("/",N978,FIND("/",N978)+1)+1,4)),VALUE(MID(N978,FIND("/",N978)+1,FIND("/",N978,FIND("/",N978)+1)-FIND("/",N978)-1)),VALUE(LEFT(N978,FIND("/",N978)-1))),0)</f>
        <v>0</v>
      </c>
    </row>
    <row r="979" customFormat="false" ht="15" hidden="false" customHeight="false" outlineLevel="0" collapsed="false">
      <c r="N979" s="0" t="str">
        <f aca="false">IF(H979="","",IFERROR(LEFT(H979,FIND(" ",H979)-1),H979))</f>
        <v/>
      </c>
      <c r="O979" s="20" t="n">
        <f aca="false">IFERROR(DATE(VALUE(MID(N979,FIND("/",N979,FIND("/",N979)+1)+1,4)),VALUE(MID(N979,FIND("/",N979)+1,FIND("/",N979,FIND("/",N979)+1)-FIND("/",N979)-1)),VALUE(LEFT(N979,FIND("/",N979)-1))),0)</f>
        <v>0</v>
      </c>
    </row>
    <row r="980" customFormat="false" ht="15" hidden="false" customHeight="false" outlineLevel="0" collapsed="false">
      <c r="N980" s="0" t="str">
        <f aca="false">IF(H980="","",IFERROR(LEFT(H980,FIND(" ",H980)-1),H980))</f>
        <v/>
      </c>
      <c r="O980" s="20" t="n">
        <f aca="false">IFERROR(DATE(VALUE(MID(N980,FIND("/",N980,FIND("/",N980)+1)+1,4)),VALUE(MID(N980,FIND("/",N980)+1,FIND("/",N980,FIND("/",N980)+1)-FIND("/",N980)-1)),VALUE(LEFT(N980,FIND("/",N980)-1))),0)</f>
        <v>0</v>
      </c>
    </row>
    <row r="981" customFormat="false" ht="15" hidden="false" customHeight="false" outlineLevel="0" collapsed="false">
      <c r="N981" s="0" t="str">
        <f aca="false">IF(H981="","",IFERROR(LEFT(H981,FIND(" ",H981)-1),H981))</f>
        <v/>
      </c>
      <c r="O981" s="20" t="n">
        <f aca="false">IFERROR(DATE(VALUE(MID(N981,FIND("/",N981,FIND("/",N981)+1)+1,4)),VALUE(MID(N981,FIND("/",N981)+1,FIND("/",N981,FIND("/",N981)+1)-FIND("/",N981)-1)),VALUE(LEFT(N981,FIND("/",N981)-1))),0)</f>
        <v>0</v>
      </c>
    </row>
    <row r="982" customFormat="false" ht="15" hidden="false" customHeight="false" outlineLevel="0" collapsed="false">
      <c r="N982" s="0" t="str">
        <f aca="false">IF(H982="","",IFERROR(LEFT(H982,FIND(" ",H982)-1),H982))</f>
        <v/>
      </c>
      <c r="O982" s="20" t="n">
        <f aca="false">IFERROR(DATE(VALUE(MID(N982,FIND("/",N982,FIND("/",N982)+1)+1,4)),VALUE(MID(N982,FIND("/",N982)+1,FIND("/",N982,FIND("/",N982)+1)-FIND("/",N982)-1)),VALUE(LEFT(N982,FIND("/",N982)-1))),0)</f>
        <v>0</v>
      </c>
    </row>
    <row r="983" customFormat="false" ht="15" hidden="false" customHeight="false" outlineLevel="0" collapsed="false">
      <c r="N983" s="0" t="str">
        <f aca="false">IF(H983="","",IFERROR(LEFT(H983,FIND(" ",H983)-1),H983))</f>
        <v/>
      </c>
      <c r="O983" s="20" t="n">
        <f aca="false">IFERROR(DATE(VALUE(MID(N983,FIND("/",N983,FIND("/",N983)+1)+1,4)),VALUE(MID(N983,FIND("/",N983)+1,FIND("/",N983,FIND("/",N983)+1)-FIND("/",N983)-1)),VALUE(LEFT(N983,FIND("/",N983)-1))),0)</f>
        <v>0</v>
      </c>
    </row>
    <row r="984" customFormat="false" ht="15" hidden="false" customHeight="false" outlineLevel="0" collapsed="false">
      <c r="N984" s="0" t="str">
        <f aca="false">IF(H984="","",IFERROR(LEFT(H984,FIND(" ",H984)-1),H984))</f>
        <v/>
      </c>
      <c r="O984" s="20" t="n">
        <f aca="false">IFERROR(DATE(VALUE(MID(N984,FIND("/",N984,FIND("/",N984)+1)+1,4)),VALUE(MID(N984,FIND("/",N984)+1,FIND("/",N984,FIND("/",N984)+1)-FIND("/",N984)-1)),VALUE(LEFT(N984,FIND("/",N984)-1))),0)</f>
        <v>0</v>
      </c>
    </row>
    <row r="985" customFormat="false" ht="15" hidden="false" customHeight="false" outlineLevel="0" collapsed="false">
      <c r="N985" s="0" t="str">
        <f aca="false">IF(H985="","",IFERROR(LEFT(H985,FIND(" ",H985)-1),H985))</f>
        <v/>
      </c>
      <c r="O985" s="20" t="n">
        <f aca="false">IFERROR(DATE(VALUE(MID(N985,FIND("/",N985,FIND("/",N985)+1)+1,4)),VALUE(MID(N985,FIND("/",N985)+1,FIND("/",N985,FIND("/",N985)+1)-FIND("/",N985)-1)),VALUE(LEFT(N985,FIND("/",N985)-1))),0)</f>
        <v>0</v>
      </c>
    </row>
    <row r="986" customFormat="false" ht="15" hidden="false" customHeight="false" outlineLevel="0" collapsed="false">
      <c r="N986" s="0" t="str">
        <f aca="false">IF(H986="","",IFERROR(LEFT(H986,FIND(" ",H986)-1),H986))</f>
        <v/>
      </c>
      <c r="O986" s="20" t="n">
        <f aca="false">IFERROR(DATE(VALUE(MID(N986,FIND("/",N986,FIND("/",N986)+1)+1,4)),VALUE(MID(N986,FIND("/",N986)+1,FIND("/",N986,FIND("/",N986)+1)-FIND("/",N986)-1)),VALUE(LEFT(N986,FIND("/",N986)-1))),0)</f>
        <v>0</v>
      </c>
    </row>
    <row r="987" customFormat="false" ht="15" hidden="false" customHeight="false" outlineLevel="0" collapsed="false">
      <c r="N987" s="0" t="str">
        <f aca="false">IF(H987="","",IFERROR(LEFT(H987,FIND(" ",H987)-1),H987))</f>
        <v/>
      </c>
      <c r="O987" s="20" t="n">
        <f aca="false">IFERROR(DATE(VALUE(MID(N987,FIND("/",N987,FIND("/",N987)+1)+1,4)),VALUE(MID(N987,FIND("/",N987)+1,FIND("/",N987,FIND("/",N987)+1)-FIND("/",N987)-1)),VALUE(LEFT(N987,FIND("/",N987)-1))),0)</f>
        <v>0</v>
      </c>
    </row>
    <row r="988" customFormat="false" ht="15" hidden="false" customHeight="false" outlineLevel="0" collapsed="false">
      <c r="N988" s="0" t="str">
        <f aca="false">IF(H988="","",IFERROR(LEFT(H988,FIND(" ",H988)-1),H988))</f>
        <v/>
      </c>
      <c r="O988" s="20" t="n">
        <f aca="false">IFERROR(DATE(VALUE(MID(N988,FIND("/",N988,FIND("/",N988)+1)+1,4)),VALUE(MID(N988,FIND("/",N988)+1,FIND("/",N988,FIND("/",N988)+1)-FIND("/",N988)-1)),VALUE(LEFT(N988,FIND("/",N988)-1))),0)</f>
        <v>0</v>
      </c>
    </row>
    <row r="989" customFormat="false" ht="15" hidden="false" customHeight="false" outlineLevel="0" collapsed="false">
      <c r="N989" s="0" t="str">
        <f aca="false">IF(H989="","",IFERROR(LEFT(H989,FIND(" ",H989)-1),H989))</f>
        <v/>
      </c>
      <c r="O989" s="20" t="n">
        <f aca="false">IFERROR(DATE(VALUE(MID(N989,FIND("/",N989,FIND("/",N989)+1)+1,4)),VALUE(MID(N989,FIND("/",N989)+1,FIND("/",N989,FIND("/",N989)+1)-FIND("/",N989)-1)),VALUE(LEFT(N989,FIND("/",N989)-1))),0)</f>
        <v>0</v>
      </c>
    </row>
    <row r="990" customFormat="false" ht="15" hidden="false" customHeight="false" outlineLevel="0" collapsed="false">
      <c r="N990" s="0" t="str">
        <f aca="false">IF(H990="","",IFERROR(LEFT(H990,FIND(" ",H990)-1),H990))</f>
        <v/>
      </c>
      <c r="O990" s="20" t="n">
        <f aca="false">IFERROR(DATE(VALUE(MID(N990,FIND("/",N990,FIND("/",N990)+1)+1,4)),VALUE(MID(N990,FIND("/",N990)+1,FIND("/",N990,FIND("/",N990)+1)-FIND("/",N990)-1)),VALUE(LEFT(N990,FIND("/",N990)-1))),0)</f>
        <v>0</v>
      </c>
    </row>
    <row r="991" customFormat="false" ht="15" hidden="false" customHeight="false" outlineLevel="0" collapsed="false">
      <c r="N991" s="0" t="str">
        <f aca="false">IF(H991="","",IFERROR(LEFT(H991,FIND(" ",H991)-1),H991))</f>
        <v/>
      </c>
      <c r="O991" s="20" t="n">
        <f aca="false">IFERROR(DATE(VALUE(MID(N991,FIND("/",N991,FIND("/",N991)+1)+1,4)),VALUE(MID(N991,FIND("/",N991)+1,FIND("/",N991,FIND("/",N991)+1)-FIND("/",N991)-1)),VALUE(LEFT(N991,FIND("/",N991)-1))),0)</f>
        <v>0</v>
      </c>
    </row>
    <row r="992" customFormat="false" ht="15" hidden="false" customHeight="false" outlineLevel="0" collapsed="false">
      <c r="N992" s="0" t="str">
        <f aca="false">IF(H992="","",IFERROR(LEFT(H992,FIND(" ",H992)-1),H992))</f>
        <v/>
      </c>
      <c r="O992" s="20" t="n">
        <f aca="false">IFERROR(DATE(VALUE(MID(N992,FIND("/",N992,FIND("/",N992)+1)+1,4)),VALUE(MID(N992,FIND("/",N992)+1,FIND("/",N992,FIND("/",N992)+1)-FIND("/",N992)-1)),VALUE(LEFT(N992,FIND("/",N992)-1))),0)</f>
        <v>0</v>
      </c>
    </row>
    <row r="993" customFormat="false" ht="15" hidden="false" customHeight="false" outlineLevel="0" collapsed="false">
      <c r="N993" s="0" t="str">
        <f aca="false">IF(H993="","",IFERROR(LEFT(H993,FIND(" ",H993)-1),H993))</f>
        <v/>
      </c>
      <c r="O993" s="20" t="n">
        <f aca="false">IFERROR(DATE(VALUE(MID(N993,FIND("/",N993,FIND("/",N993)+1)+1,4)),VALUE(MID(N993,FIND("/",N993)+1,FIND("/",N993,FIND("/",N993)+1)-FIND("/",N993)-1)),VALUE(LEFT(N993,FIND("/",N993)-1))),0)</f>
        <v>0</v>
      </c>
    </row>
    <row r="994" customFormat="false" ht="15" hidden="false" customHeight="false" outlineLevel="0" collapsed="false">
      <c r="N994" s="0" t="str">
        <f aca="false">IF(H994="","",IFERROR(LEFT(H994,FIND(" ",H994)-1),H994))</f>
        <v/>
      </c>
      <c r="O994" s="20" t="n">
        <f aca="false">IFERROR(DATE(VALUE(MID(N994,FIND("/",N994,FIND("/",N994)+1)+1,4)),VALUE(MID(N994,FIND("/",N994)+1,FIND("/",N994,FIND("/",N994)+1)-FIND("/",N994)-1)),VALUE(LEFT(N994,FIND("/",N994)-1))),0)</f>
        <v>0</v>
      </c>
    </row>
    <row r="995" customFormat="false" ht="15" hidden="false" customHeight="false" outlineLevel="0" collapsed="false">
      <c r="N995" s="0" t="str">
        <f aca="false">IF(H995="","",IFERROR(LEFT(H995,FIND(" ",H995)-1),H995))</f>
        <v/>
      </c>
      <c r="O995" s="20" t="n">
        <f aca="false">IFERROR(DATE(VALUE(MID(N995,FIND("/",N995,FIND("/",N995)+1)+1,4)),VALUE(MID(N995,FIND("/",N995)+1,FIND("/",N995,FIND("/",N995)+1)-FIND("/",N995)-1)),VALUE(LEFT(N995,FIND("/",N995)-1))),0)</f>
        <v>0</v>
      </c>
    </row>
    <row r="996" customFormat="false" ht="15" hidden="false" customHeight="false" outlineLevel="0" collapsed="false">
      <c r="N996" s="0" t="str">
        <f aca="false">IF(H996="","",IFERROR(LEFT(H996,FIND(" ",H996)-1),H996))</f>
        <v/>
      </c>
      <c r="O996" s="20" t="n">
        <f aca="false">IFERROR(DATE(VALUE(MID(N996,FIND("/",N996,FIND("/",N996)+1)+1,4)),VALUE(MID(N996,FIND("/",N996)+1,FIND("/",N996,FIND("/",N996)+1)-FIND("/",N996)-1)),VALUE(LEFT(N996,FIND("/",N996)-1))),0)</f>
        <v>0</v>
      </c>
    </row>
    <row r="997" customFormat="false" ht="15" hidden="false" customHeight="false" outlineLevel="0" collapsed="false">
      <c r="N997" s="0" t="str">
        <f aca="false">IF(H997="","",IFERROR(LEFT(H997,FIND(" ",H997)-1),H997))</f>
        <v/>
      </c>
      <c r="O997" s="20" t="n">
        <f aca="false">IFERROR(DATE(VALUE(MID(N997,FIND("/",N997,FIND("/",N997)+1)+1,4)),VALUE(MID(N997,FIND("/",N997)+1,FIND("/",N997,FIND("/",N997)+1)-FIND("/",N997)-1)),VALUE(LEFT(N997,FIND("/",N997)-1))),0)</f>
        <v>0</v>
      </c>
    </row>
    <row r="998" customFormat="false" ht="15" hidden="false" customHeight="false" outlineLevel="0" collapsed="false">
      <c r="N998" s="0" t="str">
        <f aca="false">IF(H998="","",IFERROR(LEFT(H998,FIND(" ",H998)-1),H998))</f>
        <v/>
      </c>
      <c r="O998" s="20" t="n">
        <f aca="false">IFERROR(DATE(VALUE(MID(N998,FIND("/",N998,FIND("/",N998)+1)+1,4)),VALUE(MID(N998,FIND("/",N998)+1,FIND("/",N998,FIND("/",N998)+1)-FIND("/",N998)-1)),VALUE(LEFT(N998,FIND("/",N998)-1))),0)</f>
        <v>0</v>
      </c>
    </row>
    <row r="999" customFormat="false" ht="15" hidden="false" customHeight="false" outlineLevel="0" collapsed="false">
      <c r="N999" s="0" t="str">
        <f aca="false">IF(H999="","",IFERROR(LEFT(H999,FIND(" ",H999)-1),H999))</f>
        <v/>
      </c>
      <c r="O999" s="20" t="n">
        <f aca="false">IFERROR(DATE(VALUE(MID(N999,FIND("/",N999,FIND("/",N999)+1)+1,4)),VALUE(MID(N999,FIND("/",N999)+1,FIND("/",N999,FIND("/",N999)+1)-FIND("/",N999)-1)),VALUE(LEFT(N999,FIND("/",N999)-1))),0)</f>
        <v>0</v>
      </c>
    </row>
    <row r="1000" customFormat="false" ht="15" hidden="false" customHeight="false" outlineLevel="0" collapsed="false">
      <c r="N1000" s="0" t="str">
        <f aca="false">IF(H1000="","",IFERROR(LEFT(H1000,FIND(" ",H1000)-1),H1000))</f>
        <v/>
      </c>
      <c r="O1000" s="20" t="n">
        <f aca="false">IFERROR(DATE(VALUE(MID(N1000,FIND("/",N1000,FIND("/",N1000)+1)+1,4)),VALUE(MID(N1000,FIND("/",N1000)+1,FIND("/",N1000,FIND("/",N1000)+1)-FIND("/",N1000)-1)),VALUE(LEFT(N1000,FIND("/",N1000)-1))),0)</f>
        <v>0</v>
      </c>
    </row>
    <row r="1001" customFormat="false" ht="15" hidden="false" customHeight="false" outlineLevel="0" collapsed="false">
      <c r="N1001" s="0" t="str">
        <f aca="false">IF(H1001="","",IFERROR(LEFT(H1001,FIND(" ",H1001)-1),H1001))</f>
        <v/>
      </c>
      <c r="O1001" s="20" t="n">
        <f aca="false">IFERROR(DATE(VALUE(MID(N1001,FIND("/",N1001,FIND("/",N1001)+1)+1,4)),VALUE(MID(N1001,FIND("/",N1001)+1,FIND("/",N1001,FIND("/",N1001)+1)-FIND("/",N1001)-1)),VALUE(LEFT(N1001,FIND("/",N1001)-1))),0)</f>
        <v>0</v>
      </c>
    </row>
    <row r="1002" customFormat="false" ht="15" hidden="false" customHeight="false" outlineLevel="0" collapsed="false">
      <c r="N1002" s="0" t="str">
        <f aca="false">IF(H1002="","",IFERROR(LEFT(H1002,FIND(" ",H1002)-1),H1002))</f>
        <v/>
      </c>
      <c r="O1002" s="20" t="n">
        <f aca="false">IFERROR(DATE(VALUE(MID(N1002,FIND("/",N1002,FIND("/",N1002)+1)+1,4)),VALUE(MID(N1002,FIND("/",N1002)+1,FIND("/",N1002,FIND("/",N1002)+1)-FIND("/",N1002)-1)),VALUE(LEFT(N1002,FIND("/",N1002)-1))),0)</f>
        <v>0</v>
      </c>
    </row>
    <row r="1003" customFormat="false" ht="15" hidden="false" customHeight="false" outlineLevel="0" collapsed="false">
      <c r="N1003" s="0" t="str">
        <f aca="false">IF(H1003="","",IFERROR(LEFT(H1003,FIND(" ",H1003)-1),H1003))</f>
        <v/>
      </c>
      <c r="O1003" s="20" t="n">
        <f aca="false">IFERROR(DATE(VALUE(MID(N1003,FIND("/",N1003,FIND("/",N1003)+1)+1,4)),VALUE(MID(N1003,FIND("/",N1003)+1,FIND("/",N1003,FIND("/",N1003)+1)-FIND("/",N1003)-1)),VALUE(LEFT(N1003,FIND("/",N1003)-1))),0)</f>
        <v>0</v>
      </c>
    </row>
    <row r="1004" customFormat="false" ht="15" hidden="false" customHeight="false" outlineLevel="0" collapsed="false">
      <c r="N1004" s="0" t="str">
        <f aca="false">IF(H1004="","",IFERROR(LEFT(H1004,FIND(" ",H1004)-1),H1004))</f>
        <v/>
      </c>
      <c r="O1004" s="20" t="n">
        <f aca="false">IFERROR(DATE(VALUE(MID(N1004,FIND("/",N1004,FIND("/",N1004)+1)+1,4)),VALUE(MID(N1004,FIND("/",N1004)+1,FIND("/",N1004,FIND("/",N1004)+1)-FIND("/",N1004)-1)),VALUE(LEFT(N1004,FIND("/",N1004)-1))),0)</f>
        <v>0</v>
      </c>
    </row>
    <row r="1005" customFormat="false" ht="15" hidden="false" customHeight="false" outlineLevel="0" collapsed="false">
      <c r="N1005" s="0" t="str">
        <f aca="false">IF(H1005="","",IFERROR(LEFT(H1005,FIND(" ",H1005)-1),H1005))</f>
        <v/>
      </c>
      <c r="O1005" s="20" t="n">
        <f aca="false">IFERROR(DATE(VALUE(MID(N1005,FIND("/",N1005,FIND("/",N1005)+1)+1,4)),VALUE(MID(N1005,FIND("/",N1005)+1,FIND("/",N1005,FIND("/",N1005)+1)-FIND("/",N1005)-1)),VALUE(LEFT(N1005,FIND("/",N1005)-1))),0)</f>
        <v>0</v>
      </c>
    </row>
    <row r="1006" customFormat="false" ht="15" hidden="false" customHeight="false" outlineLevel="0" collapsed="false">
      <c r="N1006" s="0" t="str">
        <f aca="false">IF(H1006="","",IFERROR(LEFT(H1006,FIND(" ",H1006)-1),H1006))</f>
        <v/>
      </c>
      <c r="O1006" s="20" t="n">
        <f aca="false">IFERROR(DATE(VALUE(MID(N1006,FIND("/",N1006,FIND("/",N1006)+1)+1,4)),VALUE(MID(N1006,FIND("/",N1006)+1,FIND("/",N1006,FIND("/",N1006)+1)-FIND("/",N1006)-1)),VALUE(LEFT(N1006,FIND("/",N1006)-1))),0)</f>
        <v>0</v>
      </c>
    </row>
    <row r="1007" customFormat="false" ht="15" hidden="false" customHeight="false" outlineLevel="0" collapsed="false">
      <c r="N1007" s="0" t="str">
        <f aca="false">IF(H1007="","",IFERROR(LEFT(H1007,FIND(" ",H1007)-1),H1007))</f>
        <v/>
      </c>
      <c r="O1007" s="20" t="n">
        <f aca="false">IFERROR(DATE(VALUE(MID(N1007,FIND("/",N1007,FIND("/",N1007)+1)+1,4)),VALUE(MID(N1007,FIND("/",N1007)+1,FIND("/",N1007,FIND("/",N1007)+1)-FIND("/",N1007)-1)),VALUE(LEFT(N1007,FIND("/",N1007)-1))),0)</f>
        <v>0</v>
      </c>
    </row>
    <row r="1008" customFormat="false" ht="15" hidden="false" customHeight="false" outlineLevel="0" collapsed="false">
      <c r="N1008" s="0" t="str">
        <f aca="false">IF(H1008="","",IFERROR(LEFT(H1008,FIND(" ",H1008)-1),H1008))</f>
        <v/>
      </c>
      <c r="O1008" s="20" t="n">
        <f aca="false">IFERROR(DATE(VALUE(MID(N1008,FIND("/",N1008,FIND("/",N1008)+1)+1,4)),VALUE(MID(N1008,FIND("/",N1008)+1,FIND("/",N1008,FIND("/",N1008)+1)-FIND("/",N1008)-1)),VALUE(LEFT(N1008,FIND("/",N1008)-1))),0)</f>
        <v>0</v>
      </c>
    </row>
    <row r="1009" customFormat="false" ht="15" hidden="false" customHeight="false" outlineLevel="0" collapsed="false">
      <c r="N1009" s="0" t="str">
        <f aca="false">IF(H1009="","",IFERROR(LEFT(H1009,FIND(" ",H1009)-1),H1009))</f>
        <v/>
      </c>
      <c r="O1009" s="20" t="n">
        <f aca="false">IFERROR(DATE(VALUE(MID(N1009,FIND("/",N1009,FIND("/",N1009)+1)+1,4)),VALUE(MID(N1009,FIND("/",N1009)+1,FIND("/",N1009,FIND("/",N1009)+1)-FIND("/",N1009)-1)),VALUE(LEFT(N1009,FIND("/",N1009)-1))),0)</f>
        <v>0</v>
      </c>
    </row>
    <row r="1010" customFormat="false" ht="15" hidden="false" customHeight="false" outlineLevel="0" collapsed="false">
      <c r="N1010" s="0" t="str">
        <f aca="false">IF(H1010="","",IFERROR(LEFT(H1010,FIND(" ",H1010)-1),H1010))</f>
        <v/>
      </c>
      <c r="O1010" s="20" t="n">
        <f aca="false">IFERROR(DATE(VALUE(MID(N1010,FIND("/",N1010,FIND("/",N1010)+1)+1,4)),VALUE(MID(N1010,FIND("/",N1010)+1,FIND("/",N1010,FIND("/",N1010)+1)-FIND("/",N1010)-1)),VALUE(LEFT(N1010,FIND("/",N1010)-1))),0)</f>
        <v>0</v>
      </c>
    </row>
    <row r="1011" customFormat="false" ht="15" hidden="false" customHeight="false" outlineLevel="0" collapsed="false">
      <c r="N1011" s="0" t="str">
        <f aca="false">IF(H1011="","",IFERROR(LEFT(H1011,FIND(" ",H1011)-1),H1011))</f>
        <v/>
      </c>
      <c r="O1011" s="20" t="n">
        <f aca="false">IFERROR(DATE(VALUE(MID(N1011,FIND("/",N1011,FIND("/",N1011)+1)+1,4)),VALUE(MID(N1011,FIND("/",N1011)+1,FIND("/",N1011,FIND("/",N1011)+1)-FIND("/",N1011)-1)),VALUE(LEFT(N1011,FIND("/",N1011)-1))),0)</f>
        <v>0</v>
      </c>
    </row>
    <row r="1012" customFormat="false" ht="15" hidden="false" customHeight="false" outlineLevel="0" collapsed="false">
      <c r="N1012" s="0" t="str">
        <f aca="false">IF(H1012="","",IFERROR(LEFT(H1012,FIND(" ",H1012)-1),H1012))</f>
        <v/>
      </c>
      <c r="O1012" s="20" t="n">
        <f aca="false">IFERROR(DATE(VALUE(MID(N1012,FIND("/",N1012,FIND("/",N1012)+1)+1,4)),VALUE(MID(N1012,FIND("/",N1012)+1,FIND("/",N1012,FIND("/",N1012)+1)-FIND("/",N1012)-1)),VALUE(LEFT(N1012,FIND("/",N1012)-1))),0)</f>
        <v>0</v>
      </c>
    </row>
    <row r="1013" customFormat="false" ht="15" hidden="false" customHeight="false" outlineLevel="0" collapsed="false">
      <c r="N1013" s="0" t="str">
        <f aca="false">IF(H1013="","",IFERROR(LEFT(H1013,FIND(" ",H1013)-1),H1013))</f>
        <v/>
      </c>
      <c r="O1013" s="20" t="n">
        <f aca="false">IFERROR(DATE(VALUE(MID(N1013,FIND("/",N1013,FIND("/",N1013)+1)+1,4)),VALUE(MID(N1013,FIND("/",N1013)+1,FIND("/",N1013,FIND("/",N1013)+1)-FIND("/",N1013)-1)),VALUE(LEFT(N1013,FIND("/",N1013)-1))),0)</f>
        <v>0</v>
      </c>
    </row>
    <row r="1014" customFormat="false" ht="15" hidden="false" customHeight="false" outlineLevel="0" collapsed="false">
      <c r="N1014" s="0" t="str">
        <f aca="false">IF(H1014="","",IFERROR(LEFT(H1014,FIND(" ",H1014)-1),H1014))</f>
        <v/>
      </c>
      <c r="O1014" s="20" t="n">
        <f aca="false">IFERROR(DATE(VALUE(MID(N1014,FIND("/",N1014,FIND("/",N1014)+1)+1,4)),VALUE(MID(N1014,FIND("/",N1014)+1,FIND("/",N1014,FIND("/",N1014)+1)-FIND("/",N1014)-1)),VALUE(LEFT(N1014,FIND("/",N1014)-1))),0)</f>
        <v>0</v>
      </c>
    </row>
    <row r="1015" customFormat="false" ht="15" hidden="false" customHeight="false" outlineLevel="0" collapsed="false">
      <c r="N1015" s="0" t="str">
        <f aca="false">IF(H1015="","",IFERROR(LEFT(H1015,FIND(" ",H1015)-1),H1015))</f>
        <v/>
      </c>
      <c r="O1015" s="20" t="n">
        <f aca="false">IFERROR(DATE(VALUE(MID(N1015,FIND("/",N1015,FIND("/",N1015)+1)+1,4)),VALUE(MID(N1015,FIND("/",N1015)+1,FIND("/",N1015,FIND("/",N1015)+1)-FIND("/",N1015)-1)),VALUE(LEFT(N1015,FIND("/",N1015)-1))),0)</f>
        <v>0</v>
      </c>
    </row>
    <row r="1016" customFormat="false" ht="15" hidden="false" customHeight="false" outlineLevel="0" collapsed="false">
      <c r="N1016" s="0" t="str">
        <f aca="false">IF(H1016="","",IFERROR(LEFT(H1016,FIND(" ",H1016)-1),H1016))</f>
        <v/>
      </c>
      <c r="O1016" s="20" t="n">
        <f aca="false">IFERROR(DATE(VALUE(MID(N1016,FIND("/",N1016,FIND("/",N1016)+1)+1,4)),VALUE(MID(N1016,FIND("/",N1016)+1,FIND("/",N1016,FIND("/",N1016)+1)-FIND("/",N1016)-1)),VALUE(LEFT(N1016,FIND("/",N1016)-1))),0)</f>
        <v>0</v>
      </c>
    </row>
    <row r="1017" customFormat="false" ht="15" hidden="false" customHeight="false" outlineLevel="0" collapsed="false">
      <c r="N1017" s="0" t="str">
        <f aca="false">IF(H1017="","",IFERROR(LEFT(H1017,FIND(" ",H1017)-1),H1017))</f>
        <v/>
      </c>
      <c r="O1017" s="20" t="n">
        <f aca="false">IFERROR(DATE(VALUE(MID(N1017,FIND("/",N1017,FIND("/",N1017)+1)+1,4)),VALUE(MID(N1017,FIND("/",N1017)+1,FIND("/",N1017,FIND("/",N1017)+1)-FIND("/",N1017)-1)),VALUE(LEFT(N1017,FIND("/",N1017)-1))),0)</f>
        <v>0</v>
      </c>
    </row>
    <row r="1018" customFormat="false" ht="15" hidden="false" customHeight="false" outlineLevel="0" collapsed="false">
      <c r="N1018" s="0" t="str">
        <f aca="false">IF(H1018="","",IFERROR(LEFT(H1018,FIND(" ",H1018)-1),H1018))</f>
        <v/>
      </c>
      <c r="O1018" s="20" t="n">
        <f aca="false">IFERROR(DATE(VALUE(MID(N1018,FIND("/",N1018,FIND("/",N1018)+1)+1,4)),VALUE(MID(N1018,FIND("/",N1018)+1,FIND("/",N1018,FIND("/",N1018)+1)-FIND("/",N1018)-1)),VALUE(LEFT(N1018,FIND("/",N1018)-1))),0)</f>
        <v>0</v>
      </c>
    </row>
    <row r="1019" customFormat="false" ht="15" hidden="false" customHeight="false" outlineLevel="0" collapsed="false">
      <c r="N1019" s="0" t="str">
        <f aca="false">IF(H1019="","",IFERROR(LEFT(H1019,FIND(" ",H1019)-1),H1019))</f>
        <v/>
      </c>
      <c r="O1019" s="20" t="n">
        <f aca="false">IFERROR(DATE(VALUE(MID(N1019,FIND("/",N1019,FIND("/",N1019)+1)+1,4)),VALUE(MID(N1019,FIND("/",N1019)+1,FIND("/",N1019,FIND("/",N1019)+1)-FIND("/",N1019)-1)),VALUE(LEFT(N1019,FIND("/",N1019)-1))),0)</f>
        <v>0</v>
      </c>
    </row>
    <row r="1020" customFormat="false" ht="15" hidden="false" customHeight="false" outlineLevel="0" collapsed="false">
      <c r="N1020" s="0" t="str">
        <f aca="false">IF(H1020="","",IFERROR(LEFT(H1020,FIND(" ",H1020)-1),H1020))</f>
        <v/>
      </c>
      <c r="O1020" s="20" t="n">
        <f aca="false">IFERROR(DATE(VALUE(MID(N1020,FIND("/",N1020,FIND("/",N1020)+1)+1,4)),VALUE(MID(N1020,FIND("/",N1020)+1,FIND("/",N1020,FIND("/",N1020)+1)-FIND("/",N1020)-1)),VALUE(LEFT(N1020,FIND("/",N1020)-1))),0)</f>
        <v>0</v>
      </c>
    </row>
    <row r="1021" customFormat="false" ht="15" hidden="false" customHeight="false" outlineLevel="0" collapsed="false">
      <c r="N1021" s="0" t="str">
        <f aca="false">IF(H1021="","",IFERROR(LEFT(H1021,FIND(" ",H1021)-1),H1021))</f>
        <v/>
      </c>
      <c r="O1021" s="20" t="n">
        <f aca="false">IFERROR(DATE(VALUE(MID(N1021,FIND("/",N1021,FIND("/",N1021)+1)+1,4)),VALUE(MID(N1021,FIND("/",N1021)+1,FIND("/",N1021,FIND("/",N1021)+1)-FIND("/",N1021)-1)),VALUE(LEFT(N1021,FIND("/",N1021)-1))),0)</f>
        <v>0</v>
      </c>
    </row>
    <row r="1022" customFormat="false" ht="15" hidden="false" customHeight="false" outlineLevel="0" collapsed="false">
      <c r="N1022" s="0" t="str">
        <f aca="false">IF(H1022="","",IFERROR(LEFT(H1022,FIND(" ",H1022)-1),H1022))</f>
        <v/>
      </c>
      <c r="O1022" s="20" t="n">
        <f aca="false">IFERROR(DATE(VALUE(MID(N1022,FIND("/",N1022,FIND("/",N1022)+1)+1,4)),VALUE(MID(N1022,FIND("/",N1022)+1,FIND("/",N1022,FIND("/",N1022)+1)-FIND("/",N1022)-1)),VALUE(LEFT(N1022,FIND("/",N1022)-1))),0)</f>
        <v>0</v>
      </c>
    </row>
    <row r="1023" customFormat="false" ht="15" hidden="false" customHeight="false" outlineLevel="0" collapsed="false">
      <c r="N1023" s="0" t="str">
        <f aca="false">IF(H1023="","",IFERROR(LEFT(H1023,FIND(" ",H1023)-1),H1023))</f>
        <v/>
      </c>
      <c r="O1023" s="20" t="n">
        <f aca="false">IFERROR(DATE(VALUE(MID(N1023,FIND("/",N1023,FIND("/",N1023)+1)+1,4)),VALUE(MID(N1023,FIND("/",N1023)+1,FIND("/",N1023,FIND("/",N1023)+1)-FIND("/",N1023)-1)),VALUE(LEFT(N1023,FIND("/",N1023)-1))),0)</f>
        <v>0</v>
      </c>
    </row>
    <row r="1024" customFormat="false" ht="15" hidden="false" customHeight="false" outlineLevel="0" collapsed="false">
      <c r="N1024" s="0" t="str">
        <f aca="false">IF(H1024="","",IFERROR(LEFT(H1024,FIND(" ",H1024)-1),H1024))</f>
        <v/>
      </c>
      <c r="O1024" s="20" t="n">
        <f aca="false">IFERROR(DATE(VALUE(MID(N1024,FIND("/",N1024,FIND("/",N1024)+1)+1,4)),VALUE(MID(N1024,FIND("/",N1024)+1,FIND("/",N1024,FIND("/",N1024)+1)-FIND("/",N1024)-1)),VALUE(LEFT(N1024,FIND("/",N1024)-1))),0)</f>
        <v>0</v>
      </c>
    </row>
    <row r="1025" customFormat="false" ht="15" hidden="false" customHeight="false" outlineLevel="0" collapsed="false">
      <c r="N1025" s="0" t="str">
        <f aca="false">IF(H1025="","",IFERROR(LEFT(H1025,FIND(" ",H1025)-1),H1025))</f>
        <v/>
      </c>
      <c r="O1025" s="20" t="n">
        <f aca="false">IFERROR(DATE(VALUE(MID(N1025,FIND("/",N1025,FIND("/",N1025)+1)+1,4)),VALUE(MID(N1025,FIND("/",N1025)+1,FIND("/",N1025,FIND("/",N1025)+1)-FIND("/",N1025)-1)),VALUE(LEFT(N1025,FIND("/",N1025)-1))),0)</f>
        <v>0</v>
      </c>
    </row>
    <row r="1026" customFormat="false" ht="15" hidden="false" customHeight="false" outlineLevel="0" collapsed="false">
      <c r="N1026" s="0" t="str">
        <f aca="false">IF(H1026="","",IFERROR(LEFT(H1026,FIND(" ",H1026)-1),H1026))</f>
        <v/>
      </c>
      <c r="O1026" s="20" t="n">
        <f aca="false">IFERROR(DATE(VALUE(MID(N1026,FIND("/",N1026,FIND("/",N1026)+1)+1,4)),VALUE(MID(N1026,FIND("/",N1026)+1,FIND("/",N1026,FIND("/",N1026)+1)-FIND("/",N1026)-1)),VALUE(LEFT(N1026,FIND("/",N1026)-1))),0)</f>
        <v>0</v>
      </c>
    </row>
    <row r="1027" customFormat="false" ht="15" hidden="false" customHeight="false" outlineLevel="0" collapsed="false">
      <c r="N1027" s="0" t="str">
        <f aca="false">IF(H1027="","",IFERROR(LEFT(H1027,FIND(" ",H1027)-1),H1027))</f>
        <v/>
      </c>
      <c r="O1027" s="20" t="n">
        <f aca="false">IFERROR(DATE(VALUE(MID(N1027,FIND("/",N1027,FIND("/",N1027)+1)+1,4)),VALUE(MID(N1027,FIND("/",N1027)+1,FIND("/",N1027,FIND("/",N1027)+1)-FIND("/",N1027)-1)),VALUE(LEFT(N1027,FIND("/",N1027)-1))),0)</f>
        <v>0</v>
      </c>
    </row>
    <row r="1028" customFormat="false" ht="15" hidden="false" customHeight="false" outlineLevel="0" collapsed="false">
      <c r="N1028" s="0" t="str">
        <f aca="false">IF(H1028="","",IFERROR(LEFT(H1028,FIND(" ",H1028)-1),H1028))</f>
        <v/>
      </c>
      <c r="O1028" s="20" t="n">
        <f aca="false">IFERROR(DATE(VALUE(MID(N1028,FIND("/",N1028,FIND("/",N1028)+1)+1,4)),VALUE(MID(N1028,FIND("/",N1028)+1,FIND("/",N1028,FIND("/",N1028)+1)-FIND("/",N1028)-1)),VALUE(LEFT(N1028,FIND("/",N1028)-1))),0)</f>
        <v>0</v>
      </c>
    </row>
    <row r="1029" customFormat="false" ht="15" hidden="false" customHeight="false" outlineLevel="0" collapsed="false">
      <c r="N1029" s="0" t="str">
        <f aca="false">IF(H1029="","",IFERROR(LEFT(H1029,FIND(" ",H1029)-1),H1029))</f>
        <v/>
      </c>
      <c r="O1029" s="20" t="n">
        <f aca="false">IFERROR(DATE(VALUE(MID(N1029,FIND("/",N1029,FIND("/",N1029)+1)+1,4)),VALUE(MID(N1029,FIND("/",N1029)+1,FIND("/",N1029,FIND("/",N1029)+1)-FIND("/",N1029)-1)),VALUE(LEFT(N1029,FIND("/",N1029)-1))),0)</f>
        <v>0</v>
      </c>
    </row>
    <row r="1030" customFormat="false" ht="15" hidden="false" customHeight="false" outlineLevel="0" collapsed="false">
      <c r="N1030" s="0" t="str">
        <f aca="false">IF(H1030="","",IFERROR(LEFT(H1030,FIND(" ",H1030)-1),H1030))</f>
        <v/>
      </c>
      <c r="O1030" s="20" t="n">
        <f aca="false">IFERROR(DATE(VALUE(MID(N1030,FIND("/",N1030,FIND("/",N1030)+1)+1,4)),VALUE(MID(N1030,FIND("/",N1030)+1,FIND("/",N1030,FIND("/",N1030)+1)-FIND("/",N1030)-1)),VALUE(LEFT(N1030,FIND("/",N1030)-1))),0)</f>
        <v>0</v>
      </c>
    </row>
    <row r="1031" customFormat="false" ht="15" hidden="false" customHeight="false" outlineLevel="0" collapsed="false">
      <c r="N1031" s="0" t="str">
        <f aca="false">IF(H1031="","",IFERROR(LEFT(H1031,FIND(" ",H1031)-1),H1031))</f>
        <v/>
      </c>
      <c r="O1031" s="20" t="n">
        <f aca="false">IFERROR(DATE(VALUE(MID(N1031,FIND("/",N1031,FIND("/",N1031)+1)+1,4)),VALUE(MID(N1031,FIND("/",N1031)+1,FIND("/",N1031,FIND("/",N1031)+1)-FIND("/",N1031)-1)),VALUE(LEFT(N1031,FIND("/",N1031)-1))),0)</f>
        <v>0</v>
      </c>
    </row>
    <row r="1032" customFormat="false" ht="15" hidden="false" customHeight="false" outlineLevel="0" collapsed="false">
      <c r="N1032" s="0" t="str">
        <f aca="false">IF(H1032="","",IFERROR(LEFT(H1032,FIND(" ",H1032)-1),H1032))</f>
        <v/>
      </c>
      <c r="O1032" s="20" t="n">
        <f aca="false">IFERROR(DATE(VALUE(MID(N1032,FIND("/",N1032,FIND("/",N1032)+1)+1,4)),VALUE(MID(N1032,FIND("/",N1032)+1,FIND("/",N1032,FIND("/",N1032)+1)-FIND("/",N1032)-1)),VALUE(LEFT(N1032,FIND("/",N1032)-1))),0)</f>
        <v>0</v>
      </c>
    </row>
    <row r="1033" customFormat="false" ht="15" hidden="false" customHeight="false" outlineLevel="0" collapsed="false">
      <c r="N1033" s="0" t="str">
        <f aca="false">IF(H1033="","",IFERROR(LEFT(H1033,FIND(" ",H1033)-1),H1033))</f>
        <v/>
      </c>
      <c r="O1033" s="20" t="n">
        <f aca="false">IFERROR(DATE(VALUE(MID(N1033,FIND("/",N1033,FIND("/",N1033)+1)+1,4)),VALUE(MID(N1033,FIND("/",N1033)+1,FIND("/",N1033,FIND("/",N1033)+1)-FIND("/",N1033)-1)),VALUE(LEFT(N1033,FIND("/",N1033)-1))),0)</f>
        <v>0</v>
      </c>
    </row>
    <row r="1034" customFormat="false" ht="15" hidden="false" customHeight="false" outlineLevel="0" collapsed="false">
      <c r="N1034" s="0" t="str">
        <f aca="false">IF(H1034="","",IFERROR(LEFT(H1034,FIND(" ",H1034)-1),H1034))</f>
        <v/>
      </c>
      <c r="O1034" s="20" t="n">
        <f aca="false">IFERROR(DATE(VALUE(MID(N1034,FIND("/",N1034,FIND("/",N1034)+1)+1,4)),VALUE(MID(N1034,FIND("/",N1034)+1,FIND("/",N1034,FIND("/",N1034)+1)-FIND("/",N1034)-1)),VALUE(LEFT(N1034,FIND("/",N1034)-1))),0)</f>
        <v>0</v>
      </c>
    </row>
    <row r="1035" customFormat="false" ht="15" hidden="false" customHeight="false" outlineLevel="0" collapsed="false">
      <c r="N1035" s="0" t="str">
        <f aca="false">IF(H1035="","",IFERROR(LEFT(H1035,FIND(" ",H1035)-1),H1035))</f>
        <v/>
      </c>
      <c r="O1035" s="20" t="n">
        <f aca="false">IFERROR(DATE(VALUE(MID(N1035,FIND("/",N1035,FIND("/",N1035)+1)+1,4)),VALUE(MID(N1035,FIND("/",N1035)+1,FIND("/",N1035,FIND("/",N1035)+1)-FIND("/",N1035)-1)),VALUE(LEFT(N1035,FIND("/",N1035)-1))),0)</f>
        <v>0</v>
      </c>
    </row>
    <row r="1036" customFormat="false" ht="15" hidden="false" customHeight="false" outlineLevel="0" collapsed="false">
      <c r="N1036" s="0" t="str">
        <f aca="false">IF(H1036="","",IFERROR(LEFT(H1036,FIND(" ",H1036)-1),H1036))</f>
        <v/>
      </c>
      <c r="O1036" s="20" t="n">
        <f aca="false">IFERROR(DATE(VALUE(MID(N1036,FIND("/",N1036,FIND("/",N1036)+1)+1,4)),VALUE(MID(N1036,FIND("/",N1036)+1,FIND("/",N1036,FIND("/",N1036)+1)-FIND("/",N1036)-1)),VALUE(LEFT(N1036,FIND("/",N1036)-1))),0)</f>
        <v>0</v>
      </c>
    </row>
    <row r="1037" customFormat="false" ht="15" hidden="false" customHeight="false" outlineLevel="0" collapsed="false">
      <c r="N1037" s="0" t="str">
        <f aca="false">IF(H1037="","",IFERROR(LEFT(H1037,FIND(" ",H1037)-1),H1037))</f>
        <v/>
      </c>
      <c r="O1037" s="20" t="n">
        <f aca="false">IFERROR(DATE(VALUE(MID(N1037,FIND("/",N1037,FIND("/",N1037)+1)+1,4)),VALUE(MID(N1037,FIND("/",N1037)+1,FIND("/",N1037,FIND("/",N1037)+1)-FIND("/",N1037)-1)),VALUE(LEFT(N1037,FIND("/",N1037)-1))),0)</f>
        <v>0</v>
      </c>
    </row>
    <row r="1038" customFormat="false" ht="15" hidden="false" customHeight="false" outlineLevel="0" collapsed="false">
      <c r="N1038" s="0" t="str">
        <f aca="false">IF(H1038="","",IFERROR(LEFT(H1038,FIND(" ",H1038)-1),H1038))</f>
        <v/>
      </c>
      <c r="O1038" s="20" t="n">
        <f aca="false">IFERROR(DATE(VALUE(MID(N1038,FIND("/",N1038,FIND("/",N1038)+1)+1,4)),VALUE(MID(N1038,FIND("/",N1038)+1,FIND("/",N1038,FIND("/",N1038)+1)-FIND("/",N1038)-1)),VALUE(LEFT(N1038,FIND("/",N1038)-1))),0)</f>
        <v>0</v>
      </c>
    </row>
    <row r="1039" customFormat="false" ht="15" hidden="false" customHeight="false" outlineLevel="0" collapsed="false">
      <c r="N1039" s="0" t="str">
        <f aca="false">IF(H1039="","",IFERROR(LEFT(H1039,FIND(" ",H1039)-1),H1039))</f>
        <v/>
      </c>
      <c r="O1039" s="20" t="n">
        <f aca="false">IFERROR(DATE(VALUE(MID(N1039,FIND("/",N1039,FIND("/",N1039)+1)+1,4)),VALUE(MID(N1039,FIND("/",N1039)+1,FIND("/",N1039,FIND("/",N1039)+1)-FIND("/",N1039)-1)),VALUE(LEFT(N1039,FIND("/",N1039)-1))),0)</f>
        <v>0</v>
      </c>
    </row>
    <row r="1040" customFormat="false" ht="15" hidden="false" customHeight="false" outlineLevel="0" collapsed="false">
      <c r="N1040" s="0" t="str">
        <f aca="false">IF(H1040="","",IFERROR(LEFT(H1040,FIND(" ",H1040)-1),H1040))</f>
        <v/>
      </c>
      <c r="O1040" s="20" t="n">
        <f aca="false">IFERROR(DATE(VALUE(MID(N1040,FIND("/",N1040,FIND("/",N1040)+1)+1,4)),VALUE(MID(N1040,FIND("/",N1040)+1,FIND("/",N1040,FIND("/",N1040)+1)-FIND("/",N1040)-1)),VALUE(LEFT(N1040,FIND("/",N1040)-1))),0)</f>
        <v>0</v>
      </c>
    </row>
    <row r="1041" customFormat="false" ht="15" hidden="false" customHeight="false" outlineLevel="0" collapsed="false">
      <c r="N1041" s="0" t="str">
        <f aca="false">IF(H1041="","",IFERROR(LEFT(H1041,FIND(" ",H1041)-1),H1041))</f>
        <v/>
      </c>
      <c r="O1041" s="20" t="n">
        <f aca="false">IFERROR(DATE(VALUE(MID(N1041,FIND("/",N1041,FIND("/",N1041)+1)+1,4)),VALUE(MID(N1041,FIND("/",N1041)+1,FIND("/",N1041,FIND("/",N1041)+1)-FIND("/",N1041)-1)),VALUE(LEFT(N1041,FIND("/",N1041)-1))),0)</f>
        <v>0</v>
      </c>
    </row>
    <row r="1042" customFormat="false" ht="15" hidden="false" customHeight="false" outlineLevel="0" collapsed="false">
      <c r="N1042" s="0" t="str">
        <f aca="false">IF(H1042="","",IFERROR(LEFT(H1042,FIND(" ",H1042)-1),H1042))</f>
        <v/>
      </c>
      <c r="O1042" s="20" t="n">
        <f aca="false">IFERROR(DATE(VALUE(MID(N1042,FIND("/",N1042,FIND("/",N1042)+1)+1,4)),VALUE(MID(N1042,FIND("/",N1042)+1,FIND("/",N1042,FIND("/",N1042)+1)-FIND("/",N1042)-1)),VALUE(LEFT(N1042,FIND("/",N1042)-1))),0)</f>
        <v>0</v>
      </c>
    </row>
    <row r="1043" customFormat="false" ht="15" hidden="false" customHeight="false" outlineLevel="0" collapsed="false">
      <c r="N1043" s="0" t="str">
        <f aca="false">IF(H1043="","",IFERROR(LEFT(H1043,FIND(" ",H1043)-1),H1043))</f>
        <v/>
      </c>
      <c r="O1043" s="20" t="n">
        <f aca="false">IFERROR(DATE(VALUE(MID(N1043,FIND("/",N1043,FIND("/",N1043)+1)+1,4)),VALUE(MID(N1043,FIND("/",N1043)+1,FIND("/",N1043,FIND("/",N1043)+1)-FIND("/",N1043)-1)),VALUE(LEFT(N1043,FIND("/",N1043)-1))),0)</f>
        <v>0</v>
      </c>
    </row>
    <row r="1044" customFormat="false" ht="15" hidden="false" customHeight="false" outlineLevel="0" collapsed="false">
      <c r="N1044" s="0" t="str">
        <f aca="false">IF(H1044="","",IFERROR(LEFT(H1044,FIND(" ",H1044)-1),H1044))</f>
        <v/>
      </c>
      <c r="O1044" s="20" t="n">
        <f aca="false">IFERROR(DATE(VALUE(MID(N1044,FIND("/",N1044,FIND("/",N1044)+1)+1,4)),VALUE(MID(N1044,FIND("/",N1044)+1,FIND("/",N1044,FIND("/",N1044)+1)-FIND("/",N1044)-1)),VALUE(LEFT(N1044,FIND("/",N1044)-1))),0)</f>
        <v>0</v>
      </c>
    </row>
    <row r="1045" customFormat="false" ht="15" hidden="false" customHeight="false" outlineLevel="0" collapsed="false">
      <c r="N1045" s="0" t="str">
        <f aca="false">IF(H1045="","",IFERROR(LEFT(H1045,FIND(" ",H1045)-1),H1045))</f>
        <v/>
      </c>
      <c r="O1045" s="20" t="n">
        <f aca="false">IFERROR(DATE(VALUE(MID(N1045,FIND("/",N1045,FIND("/",N1045)+1)+1,4)),VALUE(MID(N1045,FIND("/",N1045)+1,FIND("/",N1045,FIND("/",N1045)+1)-FIND("/",N1045)-1)),VALUE(LEFT(N1045,FIND("/",N1045)-1))),0)</f>
        <v>0</v>
      </c>
    </row>
    <row r="1046" customFormat="false" ht="15" hidden="false" customHeight="false" outlineLevel="0" collapsed="false">
      <c r="N1046" s="0" t="str">
        <f aca="false">IF(H1046="","",IFERROR(LEFT(H1046,FIND(" ",H1046)-1),H1046))</f>
        <v/>
      </c>
      <c r="O1046" s="20" t="n">
        <f aca="false">IFERROR(DATE(VALUE(MID(N1046,FIND("/",N1046,FIND("/",N1046)+1)+1,4)),VALUE(MID(N1046,FIND("/",N1046)+1,FIND("/",N1046,FIND("/",N1046)+1)-FIND("/",N1046)-1)),VALUE(LEFT(N1046,FIND("/",N1046)-1))),0)</f>
        <v>0</v>
      </c>
    </row>
    <row r="1047" customFormat="false" ht="15" hidden="false" customHeight="false" outlineLevel="0" collapsed="false">
      <c r="N1047" s="0" t="str">
        <f aca="false">IF(H1047="","",IFERROR(LEFT(H1047,FIND(" ",H1047)-1),H1047))</f>
        <v/>
      </c>
      <c r="O1047" s="20" t="n">
        <f aca="false">IFERROR(DATE(VALUE(MID(N1047,FIND("/",N1047,FIND("/",N1047)+1)+1,4)),VALUE(MID(N1047,FIND("/",N1047)+1,FIND("/",N1047,FIND("/",N1047)+1)-FIND("/",N1047)-1)),VALUE(LEFT(N1047,FIND("/",N1047)-1))),0)</f>
        <v>0</v>
      </c>
    </row>
    <row r="1048" customFormat="false" ht="15" hidden="false" customHeight="false" outlineLevel="0" collapsed="false">
      <c r="N1048" s="0" t="str">
        <f aca="false">IF(H1048="","",IFERROR(LEFT(H1048,FIND(" ",H1048)-1),H1048))</f>
        <v/>
      </c>
      <c r="O1048" s="20" t="n">
        <f aca="false">IFERROR(DATE(VALUE(MID(N1048,FIND("/",N1048,FIND("/",N1048)+1)+1,4)),VALUE(MID(N1048,FIND("/",N1048)+1,FIND("/",N1048,FIND("/",N1048)+1)-FIND("/",N1048)-1)),VALUE(LEFT(N1048,FIND("/",N1048)-1))),0)</f>
        <v>0</v>
      </c>
    </row>
    <row r="1049" customFormat="false" ht="15" hidden="false" customHeight="false" outlineLevel="0" collapsed="false">
      <c r="N1049" s="0" t="str">
        <f aca="false">IF(H1049="","",IFERROR(LEFT(H1049,FIND(" ",H1049)-1),H1049))</f>
        <v/>
      </c>
      <c r="O1049" s="20" t="n">
        <f aca="false">IFERROR(DATE(VALUE(MID(N1049,FIND("/",N1049,FIND("/",N1049)+1)+1,4)),VALUE(MID(N1049,FIND("/",N1049)+1,FIND("/",N1049,FIND("/",N1049)+1)-FIND("/",N1049)-1)),VALUE(LEFT(N1049,FIND("/",N1049)-1))),0)</f>
        <v>0</v>
      </c>
    </row>
    <row r="1050" customFormat="false" ht="15" hidden="false" customHeight="false" outlineLevel="0" collapsed="false">
      <c r="N1050" s="0" t="str">
        <f aca="false">IF(H1050="","",IFERROR(LEFT(H1050,FIND(" ",H1050)-1),H1050))</f>
        <v/>
      </c>
      <c r="O1050" s="20" t="n">
        <f aca="false">IFERROR(DATE(VALUE(MID(N1050,FIND("/",N1050,FIND("/",N1050)+1)+1,4)),VALUE(MID(N1050,FIND("/",N1050)+1,FIND("/",N1050,FIND("/",N1050)+1)-FIND("/",N1050)-1)),VALUE(LEFT(N1050,FIND("/",N1050)-1))),0)</f>
        <v>0</v>
      </c>
    </row>
    <row r="1051" customFormat="false" ht="15" hidden="false" customHeight="false" outlineLevel="0" collapsed="false">
      <c r="N1051" s="0" t="str">
        <f aca="false">IF(H1051="","",IFERROR(LEFT(H1051,FIND(" ",H1051)-1),H1051))</f>
        <v/>
      </c>
      <c r="O1051" s="20" t="n">
        <f aca="false">IFERROR(DATE(VALUE(MID(N1051,FIND("/",N1051,FIND("/",N1051)+1)+1,4)),VALUE(MID(N1051,FIND("/",N1051)+1,FIND("/",N1051,FIND("/",N1051)+1)-FIND("/",N1051)-1)),VALUE(LEFT(N1051,FIND("/",N1051)-1))),0)</f>
        <v>0</v>
      </c>
    </row>
    <row r="1052" customFormat="false" ht="15" hidden="false" customHeight="false" outlineLevel="0" collapsed="false">
      <c r="N1052" s="0" t="str">
        <f aca="false">IF(H1052="","",IFERROR(LEFT(H1052,FIND(" ",H1052)-1),H1052))</f>
        <v/>
      </c>
      <c r="O1052" s="20" t="n">
        <f aca="false">IFERROR(DATE(VALUE(MID(N1052,FIND("/",N1052,FIND("/",N1052)+1)+1,4)),VALUE(MID(N1052,FIND("/",N1052)+1,FIND("/",N1052,FIND("/",N1052)+1)-FIND("/",N1052)-1)),VALUE(LEFT(N1052,FIND("/",N1052)-1))),0)</f>
        <v>0</v>
      </c>
    </row>
    <row r="1053" customFormat="false" ht="15" hidden="false" customHeight="false" outlineLevel="0" collapsed="false">
      <c r="N1053" s="0" t="str">
        <f aca="false">IF(H1053="","",IFERROR(LEFT(H1053,FIND(" ",H1053)-1),H1053))</f>
        <v/>
      </c>
      <c r="O1053" s="20" t="n">
        <f aca="false">IFERROR(DATE(VALUE(MID(N1053,FIND("/",N1053,FIND("/",N1053)+1)+1,4)),VALUE(MID(N1053,FIND("/",N1053)+1,FIND("/",N1053,FIND("/",N1053)+1)-FIND("/",N1053)-1)),VALUE(LEFT(N1053,FIND("/",N1053)-1))),0)</f>
        <v>0</v>
      </c>
    </row>
    <row r="1054" customFormat="false" ht="15" hidden="false" customHeight="false" outlineLevel="0" collapsed="false">
      <c r="N1054" s="0" t="str">
        <f aca="false">IF(H1054="","",IFERROR(LEFT(H1054,FIND(" ",H1054)-1),H1054))</f>
        <v/>
      </c>
      <c r="O1054" s="20" t="n">
        <f aca="false">IFERROR(DATE(VALUE(MID(N1054,FIND("/",N1054,FIND("/",N1054)+1)+1,4)),VALUE(MID(N1054,FIND("/",N1054)+1,FIND("/",N1054,FIND("/",N1054)+1)-FIND("/",N1054)-1)),VALUE(LEFT(N1054,FIND("/",N1054)-1))),0)</f>
        <v>0</v>
      </c>
    </row>
    <row r="1055" customFormat="false" ht="15" hidden="false" customHeight="false" outlineLevel="0" collapsed="false">
      <c r="N1055" s="0" t="str">
        <f aca="false">IF(H1055="","",IFERROR(LEFT(H1055,FIND(" ",H1055)-1),H1055))</f>
        <v/>
      </c>
      <c r="O1055" s="20" t="n">
        <f aca="false">IFERROR(DATE(VALUE(MID(N1055,FIND("/",N1055,FIND("/",N1055)+1)+1,4)),VALUE(MID(N1055,FIND("/",N1055)+1,FIND("/",N1055,FIND("/",N1055)+1)-FIND("/",N1055)-1)),VALUE(LEFT(N1055,FIND("/",N1055)-1))),0)</f>
        <v>0</v>
      </c>
    </row>
    <row r="1056" customFormat="false" ht="15" hidden="false" customHeight="false" outlineLevel="0" collapsed="false">
      <c r="N1056" s="0" t="str">
        <f aca="false">IF(H1056="","",IFERROR(LEFT(H1056,FIND(" ",H1056)-1),H1056))</f>
        <v/>
      </c>
      <c r="O1056" s="20" t="n">
        <f aca="false">IFERROR(DATE(VALUE(MID(N1056,FIND("/",N1056,FIND("/",N1056)+1)+1,4)),VALUE(MID(N1056,FIND("/",N1056)+1,FIND("/",N1056,FIND("/",N1056)+1)-FIND("/",N1056)-1)),VALUE(LEFT(N1056,FIND("/",N1056)-1))),0)</f>
        <v>0</v>
      </c>
    </row>
    <row r="1057" customFormat="false" ht="15" hidden="false" customHeight="false" outlineLevel="0" collapsed="false">
      <c r="N1057" s="0" t="str">
        <f aca="false">IF(H1057="","",IFERROR(LEFT(H1057,FIND(" ",H1057)-1),H1057))</f>
        <v/>
      </c>
      <c r="O1057" s="20" t="n">
        <f aca="false">IFERROR(DATE(VALUE(MID(N1057,FIND("/",N1057,FIND("/",N1057)+1)+1,4)),VALUE(MID(N1057,FIND("/",N1057)+1,FIND("/",N1057,FIND("/",N1057)+1)-FIND("/",N1057)-1)),VALUE(LEFT(N1057,FIND("/",N1057)-1))),0)</f>
        <v>0</v>
      </c>
    </row>
    <row r="1058" customFormat="false" ht="15" hidden="false" customHeight="false" outlineLevel="0" collapsed="false">
      <c r="N1058" s="0" t="str">
        <f aca="false">IF(H1058="","",IFERROR(LEFT(H1058,FIND(" ",H1058)-1),H1058))</f>
        <v/>
      </c>
      <c r="O1058" s="20" t="n">
        <f aca="false">IFERROR(DATE(VALUE(MID(N1058,FIND("/",N1058,FIND("/",N1058)+1)+1,4)),VALUE(MID(N1058,FIND("/",N1058)+1,FIND("/",N1058,FIND("/",N1058)+1)-FIND("/",N1058)-1)),VALUE(LEFT(N1058,FIND("/",N1058)-1))),0)</f>
        <v>0</v>
      </c>
    </row>
    <row r="1059" customFormat="false" ht="15" hidden="false" customHeight="false" outlineLevel="0" collapsed="false">
      <c r="N1059" s="0" t="str">
        <f aca="false">IF(H1059="","",IFERROR(LEFT(H1059,FIND(" ",H1059)-1),H1059))</f>
        <v/>
      </c>
      <c r="O1059" s="20" t="n">
        <f aca="false">IFERROR(DATE(VALUE(MID(N1059,FIND("/",N1059,FIND("/",N1059)+1)+1,4)),VALUE(MID(N1059,FIND("/",N1059)+1,FIND("/",N1059,FIND("/",N1059)+1)-FIND("/",N1059)-1)),VALUE(LEFT(N1059,FIND("/",N1059)-1))),0)</f>
        <v>0</v>
      </c>
    </row>
    <row r="1060" customFormat="false" ht="15" hidden="false" customHeight="false" outlineLevel="0" collapsed="false">
      <c r="N1060" s="0" t="str">
        <f aca="false">IF(H1060="","",IFERROR(LEFT(H1060,FIND(" ",H1060)-1),H1060))</f>
        <v/>
      </c>
      <c r="O1060" s="20" t="n">
        <f aca="false">IFERROR(DATE(VALUE(MID(N1060,FIND("/",N1060,FIND("/",N1060)+1)+1,4)),VALUE(MID(N1060,FIND("/",N1060)+1,FIND("/",N1060,FIND("/",N1060)+1)-FIND("/",N1060)-1)),VALUE(LEFT(N1060,FIND("/",N1060)-1))),0)</f>
        <v>0</v>
      </c>
    </row>
    <row r="1061" customFormat="false" ht="15" hidden="false" customHeight="false" outlineLevel="0" collapsed="false">
      <c r="N1061" s="0" t="str">
        <f aca="false">IF(H1061="","",IFERROR(LEFT(H1061,FIND(" ",H1061)-1),H1061))</f>
        <v/>
      </c>
      <c r="O1061" s="20" t="n">
        <f aca="false">IFERROR(DATE(VALUE(MID(N1061,FIND("/",N1061,FIND("/",N1061)+1)+1,4)),VALUE(MID(N1061,FIND("/",N1061)+1,FIND("/",N1061,FIND("/",N1061)+1)-FIND("/",N1061)-1)),VALUE(LEFT(N1061,FIND("/",N1061)-1))),0)</f>
        <v>0</v>
      </c>
    </row>
    <row r="1062" customFormat="false" ht="15" hidden="false" customHeight="false" outlineLevel="0" collapsed="false">
      <c r="N1062" s="0" t="str">
        <f aca="false">IF(H1062="","",IFERROR(LEFT(H1062,FIND(" ",H1062)-1),H1062))</f>
        <v/>
      </c>
      <c r="O1062" s="20" t="n">
        <f aca="false">IFERROR(DATE(VALUE(MID(N1062,FIND("/",N1062,FIND("/",N1062)+1)+1,4)),VALUE(MID(N1062,FIND("/",N1062)+1,FIND("/",N1062,FIND("/",N1062)+1)-FIND("/",N1062)-1)),VALUE(LEFT(N1062,FIND("/",N1062)-1))),0)</f>
        <v>0</v>
      </c>
    </row>
    <row r="1063" customFormat="false" ht="15" hidden="false" customHeight="false" outlineLevel="0" collapsed="false">
      <c r="N1063" s="0" t="str">
        <f aca="false">IF(H1063="","",IFERROR(LEFT(H1063,FIND(" ",H1063)-1),H1063))</f>
        <v/>
      </c>
      <c r="O1063" s="20" t="n">
        <f aca="false">IFERROR(DATE(VALUE(MID(N1063,FIND("/",N1063,FIND("/",N1063)+1)+1,4)),VALUE(MID(N1063,FIND("/",N1063)+1,FIND("/",N1063,FIND("/",N1063)+1)-FIND("/",N1063)-1)),VALUE(LEFT(N1063,FIND("/",N1063)-1))),0)</f>
        <v>0</v>
      </c>
    </row>
    <row r="1064" customFormat="false" ht="15" hidden="false" customHeight="false" outlineLevel="0" collapsed="false">
      <c r="N1064" s="0" t="str">
        <f aca="false">IF(H1064="","",IFERROR(LEFT(H1064,FIND(" ",H1064)-1),H1064))</f>
        <v/>
      </c>
      <c r="O1064" s="20" t="n">
        <f aca="false">IFERROR(DATE(VALUE(MID(N1064,FIND("/",N1064,FIND("/",N1064)+1)+1,4)),VALUE(MID(N1064,FIND("/",N1064)+1,FIND("/",N1064,FIND("/",N1064)+1)-FIND("/",N1064)-1)),VALUE(LEFT(N1064,FIND("/",N1064)-1))),0)</f>
        <v>0</v>
      </c>
    </row>
    <row r="1065" customFormat="false" ht="15" hidden="false" customHeight="false" outlineLevel="0" collapsed="false">
      <c r="N1065" s="0" t="str">
        <f aca="false">IF(H1065="","",IFERROR(LEFT(H1065,FIND(" ",H1065)-1),H1065))</f>
        <v/>
      </c>
      <c r="O1065" s="20" t="n">
        <f aca="false">IFERROR(DATE(VALUE(MID(N1065,FIND("/",N1065,FIND("/",N1065)+1)+1,4)),VALUE(MID(N1065,FIND("/",N1065)+1,FIND("/",N1065,FIND("/",N1065)+1)-FIND("/",N1065)-1)),VALUE(LEFT(N1065,FIND("/",N1065)-1))),0)</f>
        <v>0</v>
      </c>
    </row>
    <row r="1066" customFormat="false" ht="15" hidden="false" customHeight="false" outlineLevel="0" collapsed="false">
      <c r="N1066" s="0" t="str">
        <f aca="false">IF(H1066="","",IFERROR(LEFT(H1066,FIND(" ",H1066)-1),H1066))</f>
        <v/>
      </c>
      <c r="O1066" s="20" t="n">
        <f aca="false">IFERROR(DATE(VALUE(MID(N1066,FIND("/",N1066,FIND("/",N1066)+1)+1,4)),VALUE(MID(N1066,FIND("/",N1066)+1,FIND("/",N1066,FIND("/",N1066)+1)-FIND("/",N1066)-1)),VALUE(LEFT(N1066,FIND("/",N1066)-1))),0)</f>
        <v>0</v>
      </c>
    </row>
    <row r="1067" customFormat="false" ht="15" hidden="false" customHeight="false" outlineLevel="0" collapsed="false">
      <c r="N1067" s="0" t="str">
        <f aca="false">IF(H1067="","",IFERROR(LEFT(H1067,FIND(" ",H1067)-1),H1067))</f>
        <v/>
      </c>
      <c r="O1067" s="20" t="n">
        <f aca="false">IFERROR(DATE(VALUE(MID(N1067,FIND("/",N1067,FIND("/",N1067)+1)+1,4)),VALUE(MID(N1067,FIND("/",N1067)+1,FIND("/",N1067,FIND("/",N1067)+1)-FIND("/",N1067)-1)),VALUE(LEFT(N1067,FIND("/",N1067)-1))),0)</f>
        <v>0</v>
      </c>
    </row>
    <row r="1068" customFormat="false" ht="15" hidden="false" customHeight="false" outlineLevel="0" collapsed="false">
      <c r="N1068" s="0" t="str">
        <f aca="false">IF(H1068="","",IFERROR(LEFT(H1068,FIND(" ",H1068)-1),H1068))</f>
        <v/>
      </c>
      <c r="O1068" s="20" t="n">
        <f aca="false">IFERROR(DATE(VALUE(MID(N1068,FIND("/",N1068,FIND("/",N1068)+1)+1,4)),VALUE(MID(N1068,FIND("/",N1068)+1,FIND("/",N1068,FIND("/",N1068)+1)-FIND("/",N1068)-1)),VALUE(LEFT(N1068,FIND("/",N1068)-1))),0)</f>
        <v>0</v>
      </c>
    </row>
    <row r="1069" customFormat="false" ht="15" hidden="false" customHeight="false" outlineLevel="0" collapsed="false">
      <c r="N1069" s="0" t="str">
        <f aca="false">IF(H1069="","",IFERROR(LEFT(H1069,FIND(" ",H1069)-1),H1069))</f>
        <v/>
      </c>
      <c r="O1069" s="20" t="n">
        <f aca="false">IFERROR(DATE(VALUE(MID(N1069,FIND("/",N1069,FIND("/",N1069)+1)+1,4)),VALUE(MID(N1069,FIND("/",N1069)+1,FIND("/",N1069,FIND("/",N1069)+1)-FIND("/",N1069)-1)),VALUE(LEFT(N1069,FIND("/",N1069)-1))),0)</f>
        <v>0</v>
      </c>
    </row>
    <row r="1070" customFormat="false" ht="15" hidden="false" customHeight="false" outlineLevel="0" collapsed="false">
      <c r="N1070" s="0" t="str">
        <f aca="false">IF(H1070="","",IFERROR(LEFT(H1070,FIND(" ",H1070)-1),H1070))</f>
        <v/>
      </c>
      <c r="O1070" s="20" t="n">
        <f aca="false">IFERROR(DATE(VALUE(MID(N1070,FIND("/",N1070,FIND("/",N1070)+1)+1,4)),VALUE(MID(N1070,FIND("/",N1070)+1,FIND("/",N1070,FIND("/",N1070)+1)-FIND("/",N1070)-1)),VALUE(LEFT(N1070,FIND("/",N1070)-1))),0)</f>
        <v>0</v>
      </c>
    </row>
    <row r="1071" customFormat="false" ht="15" hidden="false" customHeight="false" outlineLevel="0" collapsed="false">
      <c r="N1071" s="0" t="str">
        <f aca="false">IF(H1071="","",IFERROR(LEFT(H1071,FIND(" ",H1071)-1),H1071))</f>
        <v/>
      </c>
      <c r="O1071" s="20" t="n">
        <f aca="false">IFERROR(DATE(VALUE(MID(N1071,FIND("/",N1071,FIND("/",N1071)+1)+1,4)),VALUE(MID(N1071,FIND("/",N1071)+1,FIND("/",N1071,FIND("/",N1071)+1)-FIND("/",N1071)-1)),VALUE(LEFT(N1071,FIND("/",N1071)-1))),0)</f>
        <v>0</v>
      </c>
    </row>
    <row r="1072" customFormat="false" ht="15" hidden="false" customHeight="false" outlineLevel="0" collapsed="false">
      <c r="N1072" s="0" t="str">
        <f aca="false">IF(H1072="","",IFERROR(LEFT(H1072,FIND(" ",H1072)-1),H1072))</f>
        <v/>
      </c>
      <c r="O1072" s="20" t="n">
        <f aca="false">IFERROR(DATE(VALUE(MID(N1072,FIND("/",N1072,FIND("/",N1072)+1)+1,4)),VALUE(MID(N1072,FIND("/",N1072)+1,FIND("/",N1072,FIND("/",N1072)+1)-FIND("/",N1072)-1)),VALUE(LEFT(N1072,FIND("/",N1072)-1))),0)</f>
        <v>0</v>
      </c>
    </row>
    <row r="1073" customFormat="false" ht="15" hidden="false" customHeight="false" outlineLevel="0" collapsed="false">
      <c r="N1073" s="0" t="str">
        <f aca="false">IF(H1073="","",IFERROR(LEFT(H1073,FIND(" ",H1073)-1),H1073))</f>
        <v/>
      </c>
      <c r="O1073" s="20" t="n">
        <f aca="false">IFERROR(DATE(VALUE(MID(N1073,FIND("/",N1073,FIND("/",N1073)+1)+1,4)),VALUE(MID(N1073,FIND("/",N1073)+1,FIND("/",N1073,FIND("/",N1073)+1)-FIND("/",N1073)-1)),VALUE(LEFT(N1073,FIND("/",N1073)-1))),0)</f>
        <v>0</v>
      </c>
    </row>
    <row r="1074" customFormat="false" ht="15" hidden="false" customHeight="false" outlineLevel="0" collapsed="false">
      <c r="N1074" s="0" t="str">
        <f aca="false">IF(H1074="","",IFERROR(LEFT(H1074,FIND(" ",H1074)-1),H1074))</f>
        <v/>
      </c>
      <c r="O1074" s="20" t="n">
        <f aca="false">IFERROR(DATE(VALUE(MID(N1074,FIND("/",N1074,FIND("/",N1074)+1)+1,4)),VALUE(MID(N1074,FIND("/",N1074)+1,FIND("/",N1074,FIND("/",N1074)+1)-FIND("/",N1074)-1)),VALUE(LEFT(N1074,FIND("/",N1074)-1))),0)</f>
        <v>0</v>
      </c>
    </row>
    <row r="1075" customFormat="false" ht="15" hidden="false" customHeight="false" outlineLevel="0" collapsed="false">
      <c r="N1075" s="0" t="str">
        <f aca="false">IF(H1075="","",IFERROR(LEFT(H1075,FIND(" ",H1075)-1),H1075))</f>
        <v/>
      </c>
      <c r="O1075" s="20" t="n">
        <f aca="false">IFERROR(DATE(VALUE(MID(N1075,FIND("/",N1075,FIND("/",N1075)+1)+1,4)),VALUE(MID(N1075,FIND("/",N1075)+1,FIND("/",N1075,FIND("/",N1075)+1)-FIND("/",N1075)-1)),VALUE(LEFT(N1075,FIND("/",N1075)-1))),0)</f>
        <v>0</v>
      </c>
    </row>
    <row r="1076" customFormat="false" ht="15" hidden="false" customHeight="false" outlineLevel="0" collapsed="false">
      <c r="N1076" s="0" t="str">
        <f aca="false">IF(H1076="","",IFERROR(LEFT(H1076,FIND(" ",H1076)-1),H1076))</f>
        <v/>
      </c>
      <c r="O1076" s="20" t="n">
        <f aca="false">IFERROR(DATE(VALUE(MID(N1076,FIND("/",N1076,FIND("/",N1076)+1)+1,4)),VALUE(MID(N1076,FIND("/",N1076)+1,FIND("/",N1076,FIND("/",N1076)+1)-FIND("/",N1076)-1)),VALUE(LEFT(N1076,FIND("/",N1076)-1))),0)</f>
        <v>0</v>
      </c>
    </row>
    <row r="1077" customFormat="false" ht="15" hidden="false" customHeight="false" outlineLevel="0" collapsed="false">
      <c r="N1077" s="0" t="str">
        <f aca="false">IF(H1077="","",IFERROR(LEFT(H1077,FIND(" ",H1077)-1),H1077))</f>
        <v/>
      </c>
      <c r="O1077" s="20" t="n">
        <f aca="false">IFERROR(DATE(VALUE(MID(N1077,FIND("/",N1077,FIND("/",N1077)+1)+1,4)),VALUE(MID(N1077,FIND("/",N1077)+1,FIND("/",N1077,FIND("/",N1077)+1)-FIND("/",N1077)-1)),VALUE(LEFT(N1077,FIND("/",N1077)-1))),0)</f>
        <v>0</v>
      </c>
    </row>
    <row r="1078" customFormat="false" ht="15" hidden="false" customHeight="false" outlineLevel="0" collapsed="false">
      <c r="N1078" s="0" t="str">
        <f aca="false">IF(H1078="","",IFERROR(LEFT(H1078,FIND(" ",H1078)-1),H1078))</f>
        <v/>
      </c>
      <c r="O1078" s="20" t="n">
        <f aca="false">IFERROR(DATE(VALUE(MID(N1078,FIND("/",N1078,FIND("/",N1078)+1)+1,4)),VALUE(MID(N1078,FIND("/",N1078)+1,FIND("/",N1078,FIND("/",N1078)+1)-FIND("/",N1078)-1)),VALUE(LEFT(N1078,FIND("/",N1078)-1))),0)</f>
        <v>0</v>
      </c>
    </row>
    <row r="1079" customFormat="false" ht="15" hidden="false" customHeight="false" outlineLevel="0" collapsed="false">
      <c r="N1079" s="0" t="str">
        <f aca="false">IF(H1079="","",IFERROR(LEFT(H1079,FIND(" ",H1079)-1),H1079))</f>
        <v/>
      </c>
      <c r="O1079" s="20" t="n">
        <f aca="false">IFERROR(DATE(VALUE(MID(N1079,FIND("/",N1079,FIND("/",N1079)+1)+1,4)),VALUE(MID(N1079,FIND("/",N1079)+1,FIND("/",N1079,FIND("/",N1079)+1)-FIND("/",N1079)-1)),VALUE(LEFT(N1079,FIND("/",N1079)-1))),0)</f>
        <v>0</v>
      </c>
    </row>
    <row r="1080" customFormat="false" ht="15" hidden="false" customHeight="false" outlineLevel="0" collapsed="false">
      <c r="N1080" s="0" t="str">
        <f aca="false">IF(H1080="","",IFERROR(LEFT(H1080,FIND(" ",H1080)-1),H1080))</f>
        <v/>
      </c>
      <c r="O1080" s="20" t="n">
        <f aca="false">IFERROR(DATE(VALUE(MID(N1080,FIND("/",N1080,FIND("/",N1080)+1)+1,4)),VALUE(MID(N1080,FIND("/",N1080)+1,FIND("/",N1080,FIND("/",N1080)+1)-FIND("/",N1080)-1)),VALUE(LEFT(N1080,FIND("/",N1080)-1))),0)</f>
        <v>0</v>
      </c>
    </row>
    <row r="1081" customFormat="false" ht="15" hidden="false" customHeight="false" outlineLevel="0" collapsed="false">
      <c r="N1081" s="0" t="str">
        <f aca="false">IF(H1081="","",IFERROR(LEFT(H1081,FIND(" ",H1081)-1),H1081))</f>
        <v/>
      </c>
      <c r="O1081" s="20" t="n">
        <f aca="false">IFERROR(DATE(VALUE(MID(N1081,FIND("/",N1081,FIND("/",N1081)+1)+1,4)),VALUE(MID(N1081,FIND("/",N1081)+1,FIND("/",N1081,FIND("/",N1081)+1)-FIND("/",N1081)-1)),VALUE(LEFT(N1081,FIND("/",N1081)-1))),0)</f>
        <v>0</v>
      </c>
    </row>
    <row r="1082" customFormat="false" ht="15" hidden="false" customHeight="false" outlineLevel="0" collapsed="false">
      <c r="N1082" s="0" t="str">
        <f aca="false">IF(H1082="","",IFERROR(LEFT(H1082,FIND(" ",H1082)-1),H1082))</f>
        <v/>
      </c>
      <c r="O1082" s="20" t="n">
        <f aca="false">IFERROR(DATE(VALUE(MID(N1082,FIND("/",N1082,FIND("/",N1082)+1)+1,4)),VALUE(MID(N1082,FIND("/",N1082)+1,FIND("/",N1082,FIND("/",N1082)+1)-FIND("/",N1082)-1)),VALUE(LEFT(N1082,FIND("/",N1082)-1))),0)</f>
        <v>0</v>
      </c>
    </row>
    <row r="1083" customFormat="false" ht="15" hidden="false" customHeight="false" outlineLevel="0" collapsed="false">
      <c r="N1083" s="0" t="str">
        <f aca="false">IF(H1083="","",IFERROR(LEFT(H1083,FIND(" ",H1083)-1),H1083))</f>
        <v/>
      </c>
      <c r="O1083" s="20" t="n">
        <f aca="false">IFERROR(DATE(VALUE(MID(N1083,FIND("/",N1083,FIND("/",N1083)+1)+1,4)),VALUE(MID(N1083,FIND("/",N1083)+1,FIND("/",N1083,FIND("/",N1083)+1)-FIND("/",N1083)-1)),VALUE(LEFT(N1083,FIND("/",N1083)-1))),0)</f>
        <v>0</v>
      </c>
    </row>
    <row r="1084" customFormat="false" ht="15" hidden="false" customHeight="false" outlineLevel="0" collapsed="false">
      <c r="N1084" s="0" t="str">
        <f aca="false">IF(H1084="","",IFERROR(LEFT(H1084,FIND(" ",H1084)-1),H1084))</f>
        <v/>
      </c>
      <c r="O1084" s="20" t="n">
        <f aca="false">IFERROR(DATE(VALUE(MID(N1084,FIND("/",N1084,FIND("/",N1084)+1)+1,4)),VALUE(MID(N1084,FIND("/",N1084)+1,FIND("/",N1084,FIND("/",N1084)+1)-FIND("/",N1084)-1)),VALUE(LEFT(N1084,FIND("/",N1084)-1))),0)</f>
        <v>0</v>
      </c>
    </row>
    <row r="1085" customFormat="false" ht="15" hidden="false" customHeight="false" outlineLevel="0" collapsed="false">
      <c r="N1085" s="0" t="str">
        <f aca="false">IF(H1085="","",IFERROR(LEFT(H1085,FIND(" ",H1085)-1),H1085))</f>
        <v/>
      </c>
      <c r="O1085" s="20" t="n">
        <f aca="false">IFERROR(DATE(VALUE(MID(N1085,FIND("/",N1085,FIND("/",N1085)+1)+1,4)),VALUE(MID(N1085,FIND("/",N1085)+1,FIND("/",N1085,FIND("/",N1085)+1)-FIND("/",N1085)-1)),VALUE(LEFT(N1085,FIND("/",N1085)-1))),0)</f>
        <v>0</v>
      </c>
    </row>
    <row r="1086" customFormat="false" ht="15" hidden="false" customHeight="false" outlineLevel="0" collapsed="false">
      <c r="N1086" s="0" t="str">
        <f aca="false">IF(H1086="","",IFERROR(LEFT(H1086,FIND(" ",H1086)-1),H1086))</f>
        <v/>
      </c>
      <c r="O1086" s="20" t="n">
        <f aca="false">IFERROR(DATE(VALUE(MID(N1086,FIND("/",N1086,FIND("/",N1086)+1)+1,4)),VALUE(MID(N1086,FIND("/",N1086)+1,FIND("/",N1086,FIND("/",N1086)+1)-FIND("/",N1086)-1)),VALUE(LEFT(N1086,FIND("/",N1086)-1))),0)</f>
        <v>0</v>
      </c>
    </row>
    <row r="1087" customFormat="false" ht="15" hidden="false" customHeight="false" outlineLevel="0" collapsed="false">
      <c r="N1087" s="0" t="str">
        <f aca="false">IF(H1087="","",IFERROR(LEFT(H1087,FIND(" ",H1087)-1),H1087))</f>
        <v/>
      </c>
      <c r="O1087" s="20" t="n">
        <f aca="false">IFERROR(DATE(VALUE(MID(N1087,FIND("/",N1087,FIND("/",N1087)+1)+1,4)),VALUE(MID(N1087,FIND("/",N1087)+1,FIND("/",N1087,FIND("/",N1087)+1)-FIND("/",N1087)-1)),VALUE(LEFT(N1087,FIND("/",N1087)-1))),0)</f>
        <v>0</v>
      </c>
    </row>
    <row r="1088" customFormat="false" ht="15" hidden="false" customHeight="false" outlineLevel="0" collapsed="false">
      <c r="N1088" s="0" t="str">
        <f aca="false">IF(H1088="","",IFERROR(LEFT(H1088,FIND(" ",H1088)-1),H1088))</f>
        <v/>
      </c>
      <c r="O1088" s="20" t="n">
        <f aca="false">IFERROR(DATE(VALUE(MID(N1088,FIND("/",N1088,FIND("/",N1088)+1)+1,4)),VALUE(MID(N1088,FIND("/",N1088)+1,FIND("/",N1088,FIND("/",N1088)+1)-FIND("/",N1088)-1)),VALUE(LEFT(N1088,FIND("/",N1088)-1))),0)</f>
        <v>0</v>
      </c>
    </row>
    <row r="1089" customFormat="false" ht="15" hidden="false" customHeight="false" outlineLevel="0" collapsed="false">
      <c r="N1089" s="0" t="str">
        <f aca="false">IF(H1089="","",IFERROR(LEFT(H1089,FIND(" ",H1089)-1),H1089))</f>
        <v/>
      </c>
      <c r="O1089" s="20" t="n">
        <f aca="false">IFERROR(DATE(VALUE(MID(N1089,FIND("/",N1089,FIND("/",N1089)+1)+1,4)),VALUE(MID(N1089,FIND("/",N1089)+1,FIND("/",N1089,FIND("/",N1089)+1)-FIND("/",N1089)-1)),VALUE(LEFT(N1089,FIND("/",N1089)-1))),0)</f>
        <v>0</v>
      </c>
    </row>
    <row r="1090" customFormat="false" ht="15" hidden="false" customHeight="false" outlineLevel="0" collapsed="false">
      <c r="N1090" s="0" t="str">
        <f aca="false">IF(H1090="","",IFERROR(LEFT(H1090,FIND(" ",H1090)-1),H1090))</f>
        <v/>
      </c>
      <c r="O1090" s="20" t="n">
        <f aca="false">IFERROR(DATE(VALUE(MID(N1090,FIND("/",N1090,FIND("/",N1090)+1)+1,4)),VALUE(MID(N1090,FIND("/",N1090)+1,FIND("/",N1090,FIND("/",N1090)+1)-FIND("/",N1090)-1)),VALUE(LEFT(N1090,FIND("/",N1090)-1))),0)</f>
        <v>0</v>
      </c>
    </row>
    <row r="1091" customFormat="false" ht="15" hidden="false" customHeight="false" outlineLevel="0" collapsed="false">
      <c r="N1091" s="0" t="str">
        <f aca="false">IF(H1091="","",IFERROR(LEFT(H1091,FIND(" ",H1091)-1),H1091))</f>
        <v/>
      </c>
      <c r="O1091" s="20" t="n">
        <f aca="false">IFERROR(DATE(VALUE(MID(N1091,FIND("/",N1091,FIND("/",N1091)+1)+1,4)),VALUE(MID(N1091,FIND("/",N1091)+1,FIND("/",N1091,FIND("/",N1091)+1)-FIND("/",N1091)-1)),VALUE(LEFT(N1091,FIND("/",N1091)-1))),0)</f>
        <v>0</v>
      </c>
    </row>
    <row r="1092" customFormat="false" ht="15" hidden="false" customHeight="false" outlineLevel="0" collapsed="false">
      <c r="N1092" s="0" t="str">
        <f aca="false">IF(H1092="","",IFERROR(LEFT(H1092,FIND(" ",H1092)-1),H1092))</f>
        <v/>
      </c>
      <c r="O1092" s="20" t="n">
        <f aca="false">IFERROR(DATE(VALUE(MID(N1092,FIND("/",N1092,FIND("/",N1092)+1)+1,4)),VALUE(MID(N1092,FIND("/",N1092)+1,FIND("/",N1092,FIND("/",N1092)+1)-FIND("/",N1092)-1)),VALUE(LEFT(N1092,FIND("/",N1092)-1))),0)</f>
        <v>0</v>
      </c>
    </row>
    <row r="1093" customFormat="false" ht="15" hidden="false" customHeight="false" outlineLevel="0" collapsed="false">
      <c r="N1093" s="0" t="str">
        <f aca="false">IF(H1093="","",IFERROR(LEFT(H1093,FIND(" ",H1093)-1),H1093))</f>
        <v/>
      </c>
      <c r="O1093" s="20" t="n">
        <f aca="false">IFERROR(DATE(VALUE(MID(N1093,FIND("/",N1093,FIND("/",N1093)+1)+1,4)),VALUE(MID(N1093,FIND("/",N1093)+1,FIND("/",N1093,FIND("/",N1093)+1)-FIND("/",N1093)-1)),VALUE(LEFT(N1093,FIND("/",N1093)-1))),0)</f>
        <v>0</v>
      </c>
    </row>
    <row r="1094" customFormat="false" ht="15" hidden="false" customHeight="false" outlineLevel="0" collapsed="false">
      <c r="N1094" s="0" t="str">
        <f aca="false">IF(H1094="","",IFERROR(LEFT(H1094,FIND(" ",H1094)-1),H1094))</f>
        <v/>
      </c>
      <c r="O1094" s="20" t="n">
        <f aca="false">IFERROR(DATE(VALUE(MID(N1094,FIND("/",N1094,FIND("/",N1094)+1)+1,4)),VALUE(MID(N1094,FIND("/",N1094)+1,FIND("/",N1094,FIND("/",N1094)+1)-FIND("/",N1094)-1)),VALUE(LEFT(N1094,FIND("/",N1094)-1))),0)</f>
        <v>0</v>
      </c>
    </row>
    <row r="1095" customFormat="false" ht="15" hidden="false" customHeight="false" outlineLevel="0" collapsed="false">
      <c r="N1095" s="0" t="str">
        <f aca="false">IF(H1095="","",IFERROR(LEFT(H1095,FIND(" ",H1095)-1),H1095))</f>
        <v/>
      </c>
      <c r="O1095" s="20" t="n">
        <f aca="false">IFERROR(DATE(VALUE(MID(N1095,FIND("/",N1095,FIND("/",N1095)+1)+1,4)),VALUE(MID(N1095,FIND("/",N1095)+1,FIND("/",N1095,FIND("/",N1095)+1)-FIND("/",N1095)-1)),VALUE(LEFT(N1095,FIND("/",N1095)-1))),0)</f>
        <v>0</v>
      </c>
    </row>
    <row r="1096" customFormat="false" ht="15" hidden="false" customHeight="false" outlineLevel="0" collapsed="false">
      <c r="N1096" s="0" t="str">
        <f aca="false">IF(H1096="","",IFERROR(LEFT(H1096,FIND(" ",H1096)-1),H1096))</f>
        <v/>
      </c>
      <c r="O1096" s="20" t="n">
        <f aca="false">IFERROR(DATE(VALUE(MID(N1096,FIND("/",N1096,FIND("/",N1096)+1)+1,4)),VALUE(MID(N1096,FIND("/",N1096)+1,FIND("/",N1096,FIND("/",N1096)+1)-FIND("/",N1096)-1)),VALUE(LEFT(N1096,FIND("/",N1096)-1))),0)</f>
        <v>0</v>
      </c>
    </row>
    <row r="1097" customFormat="false" ht="15" hidden="false" customHeight="false" outlineLevel="0" collapsed="false">
      <c r="N1097" s="0" t="str">
        <f aca="false">IF(H1097="","",IFERROR(LEFT(H1097,FIND(" ",H1097)-1),H1097))</f>
        <v/>
      </c>
      <c r="O1097" s="20" t="n">
        <f aca="false">IFERROR(DATE(VALUE(MID(N1097,FIND("/",N1097,FIND("/",N1097)+1)+1,4)),VALUE(MID(N1097,FIND("/",N1097)+1,FIND("/",N1097,FIND("/",N1097)+1)-FIND("/",N1097)-1)),VALUE(LEFT(N1097,FIND("/",N1097)-1))),0)</f>
        <v>0</v>
      </c>
    </row>
    <row r="1098" customFormat="false" ht="15" hidden="false" customHeight="false" outlineLevel="0" collapsed="false">
      <c r="N1098" s="0" t="str">
        <f aca="false">IF(H1098="","",IFERROR(LEFT(H1098,FIND(" ",H1098)-1),H1098))</f>
        <v/>
      </c>
      <c r="O1098" s="20" t="n">
        <f aca="false">IFERROR(DATE(VALUE(MID(N1098,FIND("/",N1098,FIND("/",N1098)+1)+1,4)),VALUE(MID(N1098,FIND("/",N1098)+1,FIND("/",N1098,FIND("/",N1098)+1)-FIND("/",N1098)-1)),VALUE(LEFT(N1098,FIND("/",N1098)-1))),0)</f>
        <v>0</v>
      </c>
    </row>
    <row r="1099" customFormat="false" ht="15" hidden="false" customHeight="false" outlineLevel="0" collapsed="false">
      <c r="N1099" s="0" t="str">
        <f aca="false">IF(H1099="","",IFERROR(LEFT(H1099,FIND(" ",H1099)-1),H1099))</f>
        <v/>
      </c>
      <c r="O1099" s="20" t="n">
        <f aca="false">IFERROR(DATE(VALUE(MID(N1099,FIND("/",N1099,FIND("/",N1099)+1)+1,4)),VALUE(MID(N1099,FIND("/",N1099)+1,FIND("/",N1099,FIND("/",N1099)+1)-FIND("/",N1099)-1)),VALUE(LEFT(N1099,FIND("/",N1099)-1))),0)</f>
        <v>0</v>
      </c>
    </row>
    <row r="1100" customFormat="false" ht="15" hidden="false" customHeight="false" outlineLevel="0" collapsed="false">
      <c r="N1100" s="0" t="str">
        <f aca="false">IF(H1100="","",IFERROR(LEFT(H1100,FIND(" ",H1100)-1),H1100))</f>
        <v/>
      </c>
      <c r="O1100" s="20" t="n">
        <f aca="false">IFERROR(DATE(VALUE(MID(N1100,FIND("/",N1100,FIND("/",N1100)+1)+1,4)),VALUE(MID(N1100,FIND("/",N1100)+1,FIND("/",N1100,FIND("/",N1100)+1)-FIND("/",N1100)-1)),VALUE(LEFT(N1100,FIND("/",N1100)-1))),0)</f>
        <v>0</v>
      </c>
    </row>
    <row r="1101" customFormat="false" ht="15" hidden="false" customHeight="false" outlineLevel="0" collapsed="false">
      <c r="N1101" s="0" t="str">
        <f aca="false">IF(H1101="","",IFERROR(LEFT(H1101,FIND(" ",H1101)-1),H1101))</f>
        <v/>
      </c>
      <c r="O1101" s="20" t="n">
        <f aca="false">IFERROR(DATE(VALUE(MID(N1101,FIND("/",N1101,FIND("/",N1101)+1)+1,4)),VALUE(MID(N1101,FIND("/",N1101)+1,FIND("/",N1101,FIND("/",N1101)+1)-FIND("/",N1101)-1)),VALUE(LEFT(N1101,FIND("/",N1101)-1))),0)</f>
        <v>0</v>
      </c>
    </row>
    <row r="1102" customFormat="false" ht="15" hidden="false" customHeight="false" outlineLevel="0" collapsed="false">
      <c r="N1102" s="0" t="str">
        <f aca="false">IF(H1102="","",IFERROR(LEFT(H1102,FIND(" ",H1102)-1),H1102))</f>
        <v/>
      </c>
      <c r="O1102" s="20" t="n">
        <f aca="false">IFERROR(DATE(VALUE(MID(N1102,FIND("/",N1102,FIND("/",N1102)+1)+1,4)),VALUE(MID(N1102,FIND("/",N1102)+1,FIND("/",N1102,FIND("/",N1102)+1)-FIND("/",N1102)-1)),VALUE(LEFT(N1102,FIND("/",N1102)-1))),0)</f>
        <v>0</v>
      </c>
    </row>
    <row r="1103" customFormat="false" ht="15" hidden="false" customHeight="false" outlineLevel="0" collapsed="false">
      <c r="N1103" s="0" t="str">
        <f aca="false">IF(H1103="","",IFERROR(LEFT(H1103,FIND(" ",H1103)-1),H1103))</f>
        <v/>
      </c>
      <c r="O1103" s="20" t="n">
        <f aca="false">IFERROR(DATE(VALUE(MID(N1103,FIND("/",N1103,FIND("/",N1103)+1)+1,4)),VALUE(MID(N1103,FIND("/",N1103)+1,FIND("/",N1103,FIND("/",N1103)+1)-FIND("/",N1103)-1)),VALUE(LEFT(N1103,FIND("/",N1103)-1))),0)</f>
        <v>0</v>
      </c>
    </row>
    <row r="1104" customFormat="false" ht="15" hidden="false" customHeight="false" outlineLevel="0" collapsed="false">
      <c r="N1104" s="0" t="str">
        <f aca="false">IF(H1104="","",IFERROR(LEFT(H1104,FIND(" ",H1104)-1),H1104))</f>
        <v/>
      </c>
      <c r="O1104" s="20" t="n">
        <f aca="false">IFERROR(DATE(VALUE(MID(N1104,FIND("/",N1104,FIND("/",N1104)+1)+1,4)),VALUE(MID(N1104,FIND("/",N1104)+1,FIND("/",N1104,FIND("/",N1104)+1)-FIND("/",N1104)-1)),VALUE(LEFT(N1104,FIND("/",N1104)-1))),0)</f>
        <v>0</v>
      </c>
    </row>
    <row r="1105" customFormat="false" ht="15" hidden="false" customHeight="false" outlineLevel="0" collapsed="false">
      <c r="N1105" s="0" t="str">
        <f aca="false">IF(H1105="","",IFERROR(LEFT(H1105,FIND(" ",H1105)-1),H1105))</f>
        <v/>
      </c>
      <c r="O1105" s="20" t="n">
        <f aca="false">IFERROR(DATE(VALUE(MID(N1105,FIND("/",N1105,FIND("/",N1105)+1)+1,4)),VALUE(MID(N1105,FIND("/",N1105)+1,FIND("/",N1105,FIND("/",N1105)+1)-FIND("/",N1105)-1)),VALUE(LEFT(N1105,FIND("/",N1105)-1))),0)</f>
        <v>0</v>
      </c>
    </row>
    <row r="1106" customFormat="false" ht="15" hidden="false" customHeight="false" outlineLevel="0" collapsed="false">
      <c r="N1106" s="0" t="str">
        <f aca="false">IF(H1106="","",IFERROR(LEFT(H1106,FIND(" ",H1106)-1),H1106))</f>
        <v/>
      </c>
      <c r="O1106" s="20" t="n">
        <f aca="false">IFERROR(DATE(VALUE(MID(N1106,FIND("/",N1106,FIND("/",N1106)+1)+1,4)),VALUE(MID(N1106,FIND("/",N1106)+1,FIND("/",N1106,FIND("/",N1106)+1)-FIND("/",N1106)-1)),VALUE(LEFT(N1106,FIND("/",N1106)-1))),0)</f>
        <v>0</v>
      </c>
    </row>
    <row r="1107" customFormat="false" ht="15" hidden="false" customHeight="false" outlineLevel="0" collapsed="false">
      <c r="N1107" s="0" t="str">
        <f aca="false">IF(H1107="","",IFERROR(LEFT(H1107,FIND(" ",H1107)-1),H1107))</f>
        <v/>
      </c>
      <c r="O1107" s="20" t="n">
        <f aca="false">IFERROR(DATE(VALUE(MID(N1107,FIND("/",N1107,FIND("/",N1107)+1)+1,4)),VALUE(MID(N1107,FIND("/",N1107)+1,FIND("/",N1107,FIND("/",N1107)+1)-FIND("/",N1107)-1)),VALUE(LEFT(N1107,FIND("/",N1107)-1))),0)</f>
        <v>0</v>
      </c>
    </row>
    <row r="1108" customFormat="false" ht="15" hidden="false" customHeight="false" outlineLevel="0" collapsed="false">
      <c r="N1108" s="0" t="str">
        <f aca="false">IF(H1108="","",IFERROR(LEFT(H1108,FIND(" ",H1108)-1),H1108))</f>
        <v/>
      </c>
      <c r="O1108" s="20" t="n">
        <f aca="false">IFERROR(DATE(VALUE(MID(N1108,FIND("/",N1108,FIND("/",N1108)+1)+1,4)),VALUE(MID(N1108,FIND("/",N1108)+1,FIND("/",N1108,FIND("/",N1108)+1)-FIND("/",N1108)-1)),VALUE(LEFT(N1108,FIND("/",N1108)-1))),0)</f>
        <v>0</v>
      </c>
    </row>
    <row r="1109" customFormat="false" ht="15" hidden="false" customHeight="false" outlineLevel="0" collapsed="false">
      <c r="N1109" s="0" t="str">
        <f aca="false">IF(H1109="","",IFERROR(LEFT(H1109,FIND(" ",H1109)-1),H1109))</f>
        <v/>
      </c>
      <c r="O1109" s="20" t="n">
        <f aca="false">IFERROR(DATE(VALUE(MID(N1109,FIND("/",N1109,FIND("/",N1109)+1)+1,4)),VALUE(MID(N1109,FIND("/",N1109)+1,FIND("/",N1109,FIND("/",N1109)+1)-FIND("/",N1109)-1)),VALUE(LEFT(N1109,FIND("/",N1109)-1))),0)</f>
        <v>0</v>
      </c>
    </row>
    <row r="1110" customFormat="false" ht="15" hidden="false" customHeight="false" outlineLevel="0" collapsed="false">
      <c r="N1110" s="0" t="str">
        <f aca="false">IF(H1110="","",IFERROR(LEFT(H1110,FIND(" ",H1110)-1),H1110))</f>
        <v/>
      </c>
      <c r="O1110" s="20" t="n">
        <f aca="false">IFERROR(DATE(VALUE(MID(N1110,FIND("/",N1110,FIND("/",N1110)+1)+1,4)),VALUE(MID(N1110,FIND("/",N1110)+1,FIND("/",N1110,FIND("/",N1110)+1)-FIND("/",N1110)-1)),VALUE(LEFT(N1110,FIND("/",N1110)-1))),0)</f>
        <v>0</v>
      </c>
    </row>
    <row r="1111" customFormat="false" ht="15" hidden="false" customHeight="false" outlineLevel="0" collapsed="false">
      <c r="N1111" s="0" t="str">
        <f aca="false">IF(H1111="","",IFERROR(LEFT(H1111,FIND(" ",H1111)-1),H1111))</f>
        <v/>
      </c>
      <c r="O1111" s="20" t="n">
        <f aca="false">IFERROR(DATE(VALUE(MID(N1111,FIND("/",N1111,FIND("/",N1111)+1)+1,4)),VALUE(MID(N1111,FIND("/",N1111)+1,FIND("/",N1111,FIND("/",N1111)+1)-FIND("/",N1111)-1)),VALUE(LEFT(N1111,FIND("/",N1111)-1))),0)</f>
        <v>0</v>
      </c>
    </row>
    <row r="1112" customFormat="false" ht="15" hidden="false" customHeight="false" outlineLevel="0" collapsed="false">
      <c r="N1112" s="0" t="str">
        <f aca="false">IF(H1112="","",IFERROR(LEFT(H1112,FIND(" ",H1112)-1),H1112))</f>
        <v/>
      </c>
      <c r="O1112" s="20" t="n">
        <f aca="false">IFERROR(DATE(VALUE(MID(N1112,FIND("/",N1112,FIND("/",N1112)+1)+1,4)),VALUE(MID(N1112,FIND("/",N1112)+1,FIND("/",N1112,FIND("/",N1112)+1)-FIND("/",N1112)-1)),VALUE(LEFT(N1112,FIND("/",N1112)-1))),0)</f>
        <v>0</v>
      </c>
    </row>
    <row r="1113" customFormat="false" ht="15" hidden="false" customHeight="false" outlineLevel="0" collapsed="false">
      <c r="N1113" s="0" t="str">
        <f aca="false">IF(H1113="","",IFERROR(LEFT(H1113,FIND(" ",H1113)-1),H1113))</f>
        <v/>
      </c>
      <c r="O1113" s="20" t="n">
        <f aca="false">IFERROR(DATE(VALUE(MID(N1113,FIND("/",N1113,FIND("/",N1113)+1)+1,4)),VALUE(MID(N1113,FIND("/",N1113)+1,FIND("/",N1113,FIND("/",N1113)+1)-FIND("/",N1113)-1)),VALUE(LEFT(N1113,FIND("/",N1113)-1))),0)</f>
        <v>0</v>
      </c>
    </row>
    <row r="1114" customFormat="false" ht="15" hidden="false" customHeight="false" outlineLevel="0" collapsed="false">
      <c r="N1114" s="0" t="str">
        <f aca="false">IF(H1114="","",IFERROR(LEFT(H1114,FIND(" ",H1114)-1),H1114))</f>
        <v/>
      </c>
      <c r="O1114" s="20" t="n">
        <f aca="false">IFERROR(DATE(VALUE(MID(N1114,FIND("/",N1114,FIND("/",N1114)+1)+1,4)),VALUE(MID(N1114,FIND("/",N1114)+1,FIND("/",N1114,FIND("/",N1114)+1)-FIND("/",N1114)-1)),VALUE(LEFT(N1114,FIND("/",N1114)-1))),0)</f>
        <v>0</v>
      </c>
    </row>
    <row r="1115" customFormat="false" ht="15" hidden="false" customHeight="false" outlineLevel="0" collapsed="false">
      <c r="N1115" s="0" t="str">
        <f aca="false">IF(H1115="","",IFERROR(LEFT(H1115,FIND(" ",H1115)-1),H1115))</f>
        <v/>
      </c>
      <c r="O1115" s="20" t="n">
        <f aca="false">IFERROR(DATE(VALUE(MID(N1115,FIND("/",N1115,FIND("/",N1115)+1)+1,4)),VALUE(MID(N1115,FIND("/",N1115)+1,FIND("/",N1115,FIND("/",N1115)+1)-FIND("/",N1115)-1)),VALUE(LEFT(N1115,FIND("/",N1115)-1))),0)</f>
        <v>0</v>
      </c>
    </row>
    <row r="1116" customFormat="false" ht="15" hidden="false" customHeight="false" outlineLevel="0" collapsed="false">
      <c r="N1116" s="0" t="str">
        <f aca="false">IF(H1116="","",IFERROR(LEFT(H1116,FIND(" ",H1116)-1),H1116))</f>
        <v/>
      </c>
      <c r="O1116" s="20" t="n">
        <f aca="false">IFERROR(DATE(VALUE(MID(N1116,FIND("/",N1116,FIND("/",N1116)+1)+1,4)),VALUE(MID(N1116,FIND("/",N1116)+1,FIND("/",N1116,FIND("/",N1116)+1)-FIND("/",N1116)-1)),VALUE(LEFT(N1116,FIND("/",N1116)-1))),0)</f>
        <v>0</v>
      </c>
    </row>
    <row r="1117" customFormat="false" ht="15" hidden="false" customHeight="false" outlineLevel="0" collapsed="false">
      <c r="N1117" s="0" t="str">
        <f aca="false">IF(H1117="","",IFERROR(LEFT(H1117,FIND(" ",H1117)-1),H1117))</f>
        <v/>
      </c>
      <c r="O1117" s="20" t="n">
        <f aca="false">IFERROR(DATE(VALUE(MID(N1117,FIND("/",N1117,FIND("/",N1117)+1)+1,4)),VALUE(MID(N1117,FIND("/",N1117)+1,FIND("/",N1117,FIND("/",N1117)+1)-FIND("/",N1117)-1)),VALUE(LEFT(N1117,FIND("/",N1117)-1))),0)</f>
        <v>0</v>
      </c>
    </row>
    <row r="1118" customFormat="false" ht="15" hidden="false" customHeight="false" outlineLevel="0" collapsed="false">
      <c r="N1118" s="0" t="str">
        <f aca="false">IF(H1118="","",IFERROR(LEFT(H1118,FIND(" ",H1118)-1),H1118))</f>
        <v/>
      </c>
      <c r="O1118" s="20" t="n">
        <f aca="false">IFERROR(DATE(VALUE(MID(N1118,FIND("/",N1118,FIND("/",N1118)+1)+1,4)),VALUE(MID(N1118,FIND("/",N1118)+1,FIND("/",N1118,FIND("/",N1118)+1)-FIND("/",N1118)-1)),VALUE(LEFT(N1118,FIND("/",N1118)-1))),0)</f>
        <v>0</v>
      </c>
    </row>
    <row r="1119" customFormat="false" ht="15" hidden="false" customHeight="false" outlineLevel="0" collapsed="false">
      <c r="N1119" s="0" t="str">
        <f aca="false">IF(H1119="","",IFERROR(LEFT(H1119,FIND(" ",H1119)-1),H1119))</f>
        <v/>
      </c>
      <c r="O1119" s="20" t="n">
        <f aca="false">IFERROR(DATE(VALUE(MID(N1119,FIND("/",N1119,FIND("/",N1119)+1)+1,4)),VALUE(MID(N1119,FIND("/",N1119)+1,FIND("/",N1119,FIND("/",N1119)+1)-FIND("/",N1119)-1)),VALUE(LEFT(N1119,FIND("/",N1119)-1))),0)</f>
        <v>0</v>
      </c>
    </row>
    <row r="1120" customFormat="false" ht="15" hidden="false" customHeight="false" outlineLevel="0" collapsed="false">
      <c r="N1120" s="0" t="str">
        <f aca="false">IF(H1120="","",IFERROR(LEFT(H1120,FIND(" ",H1120)-1),H1120))</f>
        <v/>
      </c>
      <c r="O1120" s="20" t="n">
        <f aca="false">IFERROR(DATE(VALUE(MID(N1120,FIND("/",N1120,FIND("/",N1120)+1)+1,4)),VALUE(MID(N1120,FIND("/",N1120)+1,FIND("/",N1120,FIND("/",N1120)+1)-FIND("/",N1120)-1)),VALUE(LEFT(N1120,FIND("/",N1120)-1))),0)</f>
        <v>0</v>
      </c>
    </row>
    <row r="1121" customFormat="false" ht="15" hidden="false" customHeight="false" outlineLevel="0" collapsed="false">
      <c r="N1121" s="0" t="str">
        <f aca="false">IF(H1121="","",IFERROR(LEFT(H1121,FIND(" ",H1121)-1),H1121))</f>
        <v/>
      </c>
      <c r="O1121" s="20" t="n">
        <f aca="false">IFERROR(DATE(VALUE(MID(N1121,FIND("/",N1121,FIND("/",N1121)+1)+1,4)),VALUE(MID(N1121,FIND("/",N1121)+1,FIND("/",N1121,FIND("/",N1121)+1)-FIND("/",N1121)-1)),VALUE(LEFT(N1121,FIND("/",N1121)-1))),0)</f>
        <v>0</v>
      </c>
    </row>
    <row r="1122" customFormat="false" ht="15" hidden="false" customHeight="false" outlineLevel="0" collapsed="false">
      <c r="N1122" s="0" t="str">
        <f aca="false">IF(H1122="","",IFERROR(LEFT(H1122,FIND(" ",H1122)-1),H1122))</f>
        <v/>
      </c>
      <c r="O1122" s="20" t="n">
        <f aca="false">IFERROR(DATE(VALUE(MID(N1122,FIND("/",N1122,FIND("/",N1122)+1)+1,4)),VALUE(MID(N1122,FIND("/",N1122)+1,FIND("/",N1122,FIND("/",N1122)+1)-FIND("/",N1122)-1)),VALUE(LEFT(N1122,FIND("/",N1122)-1))),0)</f>
        <v>0</v>
      </c>
    </row>
    <row r="1123" customFormat="false" ht="15" hidden="false" customHeight="false" outlineLevel="0" collapsed="false">
      <c r="N1123" s="0" t="str">
        <f aca="false">IF(H1123="","",IFERROR(LEFT(H1123,FIND(" ",H1123)-1),H1123))</f>
        <v/>
      </c>
      <c r="O1123" s="20" t="n">
        <f aca="false">IFERROR(DATE(VALUE(MID(N1123,FIND("/",N1123,FIND("/",N1123)+1)+1,4)),VALUE(MID(N1123,FIND("/",N1123)+1,FIND("/",N1123,FIND("/",N1123)+1)-FIND("/",N1123)-1)),VALUE(LEFT(N1123,FIND("/",N1123)-1))),0)</f>
        <v>0</v>
      </c>
    </row>
    <row r="1124" customFormat="false" ht="15" hidden="false" customHeight="false" outlineLevel="0" collapsed="false">
      <c r="N1124" s="0" t="str">
        <f aca="false">IF(H1124="","",IFERROR(LEFT(H1124,FIND(" ",H1124)-1),H1124))</f>
        <v/>
      </c>
      <c r="O1124" s="20" t="n">
        <f aca="false">IFERROR(DATE(VALUE(MID(N1124,FIND("/",N1124,FIND("/",N1124)+1)+1,4)),VALUE(MID(N1124,FIND("/",N1124)+1,FIND("/",N1124,FIND("/",N1124)+1)-FIND("/",N1124)-1)),VALUE(LEFT(N1124,FIND("/",N1124)-1))),0)</f>
        <v>0</v>
      </c>
    </row>
    <row r="1125" customFormat="false" ht="15" hidden="false" customHeight="false" outlineLevel="0" collapsed="false">
      <c r="N1125" s="0" t="str">
        <f aca="false">IF(H1125="","",IFERROR(LEFT(H1125,FIND(" ",H1125)-1),H1125))</f>
        <v/>
      </c>
      <c r="O1125" s="20" t="n">
        <f aca="false">IFERROR(DATE(VALUE(MID(N1125,FIND("/",N1125,FIND("/",N1125)+1)+1,4)),VALUE(MID(N1125,FIND("/",N1125)+1,FIND("/",N1125,FIND("/",N1125)+1)-FIND("/",N1125)-1)),VALUE(LEFT(N1125,FIND("/",N1125)-1))),0)</f>
        <v>0</v>
      </c>
    </row>
    <row r="1126" customFormat="false" ht="15" hidden="false" customHeight="false" outlineLevel="0" collapsed="false">
      <c r="N1126" s="0" t="str">
        <f aca="false">IF(H1126="","",IFERROR(LEFT(H1126,FIND(" ",H1126)-1),H1126))</f>
        <v/>
      </c>
      <c r="O1126" s="20" t="n">
        <f aca="false">IFERROR(DATE(VALUE(MID(N1126,FIND("/",N1126,FIND("/",N1126)+1)+1,4)),VALUE(MID(N1126,FIND("/",N1126)+1,FIND("/",N1126,FIND("/",N1126)+1)-FIND("/",N1126)-1)),VALUE(LEFT(N1126,FIND("/",N1126)-1))),0)</f>
        <v>0</v>
      </c>
    </row>
    <row r="1127" customFormat="false" ht="15" hidden="false" customHeight="false" outlineLevel="0" collapsed="false">
      <c r="N1127" s="0" t="str">
        <f aca="false">IF(H1127="","",IFERROR(LEFT(H1127,FIND(" ",H1127)-1),H1127))</f>
        <v/>
      </c>
      <c r="O1127" s="20" t="n">
        <f aca="false">IFERROR(DATE(VALUE(MID(N1127,FIND("/",N1127,FIND("/",N1127)+1)+1,4)),VALUE(MID(N1127,FIND("/",N1127)+1,FIND("/",N1127,FIND("/",N1127)+1)-FIND("/",N1127)-1)),VALUE(LEFT(N1127,FIND("/",N1127)-1))),0)</f>
        <v>0</v>
      </c>
    </row>
    <row r="1128" customFormat="false" ht="15" hidden="false" customHeight="false" outlineLevel="0" collapsed="false">
      <c r="N1128" s="0" t="str">
        <f aca="false">IF(H1128="","",IFERROR(LEFT(H1128,FIND(" ",H1128)-1),H1128))</f>
        <v/>
      </c>
      <c r="O1128" s="20" t="n">
        <f aca="false">IFERROR(DATE(VALUE(MID(N1128,FIND("/",N1128,FIND("/",N1128)+1)+1,4)),VALUE(MID(N1128,FIND("/",N1128)+1,FIND("/",N1128,FIND("/",N1128)+1)-FIND("/",N1128)-1)),VALUE(LEFT(N1128,FIND("/",N1128)-1))),0)</f>
        <v>0</v>
      </c>
    </row>
    <row r="1129" customFormat="false" ht="15" hidden="false" customHeight="false" outlineLevel="0" collapsed="false">
      <c r="N1129" s="0" t="str">
        <f aca="false">IF(H1129="","",IFERROR(LEFT(H1129,FIND(" ",H1129)-1),H1129))</f>
        <v/>
      </c>
      <c r="O1129" s="20" t="n">
        <f aca="false">IFERROR(DATE(VALUE(MID(N1129,FIND("/",N1129,FIND("/",N1129)+1)+1,4)),VALUE(MID(N1129,FIND("/",N1129)+1,FIND("/",N1129,FIND("/",N1129)+1)-FIND("/",N1129)-1)),VALUE(LEFT(N1129,FIND("/",N1129)-1))),0)</f>
        <v>0</v>
      </c>
    </row>
    <row r="1130" customFormat="false" ht="15" hidden="false" customHeight="false" outlineLevel="0" collapsed="false">
      <c r="N1130" s="0" t="str">
        <f aca="false">IF(H1130="","",IFERROR(LEFT(H1130,FIND(" ",H1130)-1),H1130))</f>
        <v/>
      </c>
      <c r="O1130" s="20" t="n">
        <f aca="false">IFERROR(DATE(VALUE(MID(N1130,FIND("/",N1130,FIND("/",N1130)+1)+1,4)),VALUE(MID(N1130,FIND("/",N1130)+1,FIND("/",N1130,FIND("/",N1130)+1)-FIND("/",N1130)-1)),VALUE(LEFT(N1130,FIND("/",N1130)-1))),0)</f>
        <v>0</v>
      </c>
    </row>
    <row r="1131" customFormat="false" ht="15" hidden="false" customHeight="false" outlineLevel="0" collapsed="false">
      <c r="N1131" s="0" t="str">
        <f aca="false">IF(H1131="","",IFERROR(LEFT(H1131,FIND(" ",H1131)-1),H1131))</f>
        <v/>
      </c>
      <c r="O1131" s="20" t="n">
        <f aca="false">IFERROR(DATE(VALUE(MID(N1131,FIND("/",N1131,FIND("/",N1131)+1)+1,4)),VALUE(MID(N1131,FIND("/",N1131)+1,FIND("/",N1131,FIND("/",N1131)+1)-FIND("/",N1131)-1)),VALUE(LEFT(N1131,FIND("/",N1131)-1))),0)</f>
        <v>0</v>
      </c>
    </row>
    <row r="1132" customFormat="false" ht="15" hidden="false" customHeight="false" outlineLevel="0" collapsed="false">
      <c r="N1132" s="0" t="str">
        <f aca="false">IF(H1132="","",IFERROR(LEFT(H1132,FIND(" ",H1132)-1),H1132))</f>
        <v/>
      </c>
      <c r="O1132" s="20" t="n">
        <f aca="false">IFERROR(DATE(VALUE(MID(N1132,FIND("/",N1132,FIND("/",N1132)+1)+1,4)),VALUE(MID(N1132,FIND("/",N1132)+1,FIND("/",N1132,FIND("/",N1132)+1)-FIND("/",N1132)-1)),VALUE(LEFT(N1132,FIND("/",N1132)-1))),0)</f>
        <v>0</v>
      </c>
    </row>
    <row r="1133" customFormat="false" ht="15" hidden="false" customHeight="false" outlineLevel="0" collapsed="false">
      <c r="N1133" s="0" t="str">
        <f aca="false">IF(H1133="","",IFERROR(LEFT(H1133,FIND(" ",H1133)-1),H1133))</f>
        <v/>
      </c>
      <c r="O1133" s="20" t="n">
        <f aca="false">IFERROR(DATE(VALUE(MID(N1133,FIND("/",N1133,FIND("/",N1133)+1)+1,4)),VALUE(MID(N1133,FIND("/",N1133)+1,FIND("/",N1133,FIND("/",N1133)+1)-FIND("/",N1133)-1)),VALUE(LEFT(N1133,FIND("/",N1133)-1))),0)</f>
        <v>0</v>
      </c>
    </row>
    <row r="1134" customFormat="false" ht="15" hidden="false" customHeight="false" outlineLevel="0" collapsed="false">
      <c r="N1134" s="0" t="str">
        <f aca="false">IF(H1134="","",IFERROR(LEFT(H1134,FIND(" ",H1134)-1),H1134))</f>
        <v/>
      </c>
      <c r="O1134" s="20" t="n">
        <f aca="false">IFERROR(DATE(VALUE(MID(N1134,FIND("/",N1134,FIND("/",N1134)+1)+1,4)),VALUE(MID(N1134,FIND("/",N1134)+1,FIND("/",N1134,FIND("/",N1134)+1)-FIND("/",N1134)-1)),VALUE(LEFT(N1134,FIND("/",N1134)-1))),0)</f>
        <v>0</v>
      </c>
    </row>
    <row r="1135" customFormat="false" ht="15" hidden="false" customHeight="false" outlineLevel="0" collapsed="false">
      <c r="N1135" s="0" t="str">
        <f aca="false">IF(H1135="","",IFERROR(LEFT(H1135,FIND(" ",H1135)-1),H1135))</f>
        <v/>
      </c>
      <c r="O1135" s="20" t="n">
        <f aca="false">IFERROR(DATE(VALUE(MID(N1135,FIND("/",N1135,FIND("/",N1135)+1)+1,4)),VALUE(MID(N1135,FIND("/",N1135)+1,FIND("/",N1135,FIND("/",N1135)+1)-FIND("/",N1135)-1)),VALUE(LEFT(N1135,FIND("/",N1135)-1))),0)</f>
        <v>0</v>
      </c>
    </row>
    <row r="1136" customFormat="false" ht="15" hidden="false" customHeight="false" outlineLevel="0" collapsed="false">
      <c r="N1136" s="0" t="str">
        <f aca="false">IF(H1136="","",IFERROR(LEFT(H1136,FIND(" ",H1136)-1),H1136))</f>
        <v/>
      </c>
      <c r="O1136" s="20" t="n">
        <f aca="false">IFERROR(DATE(VALUE(MID(N1136,FIND("/",N1136,FIND("/",N1136)+1)+1,4)),VALUE(MID(N1136,FIND("/",N1136)+1,FIND("/",N1136,FIND("/",N1136)+1)-FIND("/",N1136)-1)),VALUE(LEFT(N1136,FIND("/",N1136)-1))),0)</f>
        <v>0</v>
      </c>
    </row>
    <row r="1137" customFormat="false" ht="15" hidden="false" customHeight="false" outlineLevel="0" collapsed="false">
      <c r="N1137" s="0" t="str">
        <f aca="false">IF(H1137="","",IFERROR(LEFT(H1137,FIND(" ",H1137)-1),H1137))</f>
        <v/>
      </c>
      <c r="O1137" s="20" t="n">
        <f aca="false">IFERROR(DATE(VALUE(MID(N1137,FIND("/",N1137,FIND("/",N1137)+1)+1,4)),VALUE(MID(N1137,FIND("/",N1137)+1,FIND("/",N1137,FIND("/",N1137)+1)-FIND("/",N1137)-1)),VALUE(LEFT(N1137,FIND("/",N1137)-1))),0)</f>
        <v>0</v>
      </c>
    </row>
    <row r="1138" customFormat="false" ht="15" hidden="false" customHeight="false" outlineLevel="0" collapsed="false">
      <c r="N1138" s="0" t="str">
        <f aca="false">IF(H1138="","",IFERROR(LEFT(H1138,FIND(" ",H1138)-1),H1138))</f>
        <v/>
      </c>
      <c r="O1138" s="20" t="n">
        <f aca="false">IFERROR(DATE(VALUE(MID(N1138,FIND("/",N1138,FIND("/",N1138)+1)+1,4)),VALUE(MID(N1138,FIND("/",N1138)+1,FIND("/",N1138,FIND("/",N1138)+1)-FIND("/",N1138)-1)),VALUE(LEFT(N1138,FIND("/",N1138)-1))),0)</f>
        <v>0</v>
      </c>
    </row>
    <row r="1139" customFormat="false" ht="15" hidden="false" customHeight="false" outlineLevel="0" collapsed="false">
      <c r="N1139" s="0" t="str">
        <f aca="false">IF(H1139="","",IFERROR(LEFT(H1139,FIND(" ",H1139)-1),H1139))</f>
        <v/>
      </c>
      <c r="O1139" s="20" t="n">
        <f aca="false">IFERROR(DATE(VALUE(MID(N1139,FIND("/",N1139,FIND("/",N1139)+1)+1,4)),VALUE(MID(N1139,FIND("/",N1139)+1,FIND("/",N1139,FIND("/",N1139)+1)-FIND("/",N1139)-1)),VALUE(LEFT(N1139,FIND("/",N1139)-1))),0)</f>
        <v>0</v>
      </c>
    </row>
    <row r="1140" customFormat="false" ht="15" hidden="false" customHeight="false" outlineLevel="0" collapsed="false">
      <c r="N1140" s="0" t="str">
        <f aca="false">IF(H1140="","",IFERROR(LEFT(H1140,FIND(" ",H1140)-1),H1140))</f>
        <v/>
      </c>
      <c r="O1140" s="20" t="n">
        <f aca="false">IFERROR(DATE(VALUE(MID(N1140,FIND("/",N1140,FIND("/",N1140)+1)+1,4)),VALUE(MID(N1140,FIND("/",N1140)+1,FIND("/",N1140,FIND("/",N1140)+1)-FIND("/",N1140)-1)),VALUE(LEFT(N1140,FIND("/",N1140)-1))),0)</f>
        <v>0</v>
      </c>
    </row>
    <row r="1141" customFormat="false" ht="15" hidden="false" customHeight="false" outlineLevel="0" collapsed="false">
      <c r="N1141" s="0" t="str">
        <f aca="false">IF(H1141="","",IFERROR(LEFT(H1141,FIND(" ",H1141)-1),H1141))</f>
        <v/>
      </c>
      <c r="O1141" s="20" t="n">
        <f aca="false">IFERROR(DATE(VALUE(MID(N1141,FIND("/",N1141,FIND("/",N1141)+1)+1,4)),VALUE(MID(N1141,FIND("/",N1141)+1,FIND("/",N1141,FIND("/",N1141)+1)-FIND("/",N1141)-1)),VALUE(LEFT(N1141,FIND("/",N1141)-1))),0)</f>
        <v>0</v>
      </c>
    </row>
    <row r="1142" customFormat="false" ht="15" hidden="false" customHeight="false" outlineLevel="0" collapsed="false">
      <c r="N1142" s="0" t="str">
        <f aca="false">IF(H1142="","",IFERROR(LEFT(H1142,FIND(" ",H1142)-1),H1142))</f>
        <v/>
      </c>
      <c r="O1142" s="20" t="n">
        <f aca="false">IFERROR(DATE(VALUE(MID(N1142,FIND("/",N1142,FIND("/",N1142)+1)+1,4)),VALUE(MID(N1142,FIND("/",N1142)+1,FIND("/",N1142,FIND("/",N1142)+1)-FIND("/",N1142)-1)),VALUE(LEFT(N1142,FIND("/",N1142)-1))),0)</f>
        <v>0</v>
      </c>
    </row>
    <row r="1143" customFormat="false" ht="15" hidden="false" customHeight="false" outlineLevel="0" collapsed="false">
      <c r="N1143" s="0" t="str">
        <f aca="false">IF(H1143="","",IFERROR(LEFT(H1143,FIND(" ",H1143)-1),H1143))</f>
        <v/>
      </c>
      <c r="O1143" s="20" t="n">
        <f aca="false">IFERROR(DATE(VALUE(MID(N1143,FIND("/",N1143,FIND("/",N1143)+1)+1,4)),VALUE(MID(N1143,FIND("/",N1143)+1,FIND("/",N1143,FIND("/",N1143)+1)-FIND("/",N1143)-1)),VALUE(LEFT(N1143,FIND("/",N1143)-1))),0)</f>
        <v>0</v>
      </c>
    </row>
    <row r="1144" customFormat="false" ht="15" hidden="false" customHeight="false" outlineLevel="0" collapsed="false">
      <c r="N1144" s="0" t="str">
        <f aca="false">IF(H1144="","",IFERROR(LEFT(H1144,FIND(" ",H1144)-1),H1144))</f>
        <v/>
      </c>
      <c r="O1144" s="20" t="n">
        <f aca="false">IFERROR(DATE(VALUE(MID(N1144,FIND("/",N1144,FIND("/",N1144)+1)+1,4)),VALUE(MID(N1144,FIND("/",N1144)+1,FIND("/",N1144,FIND("/",N1144)+1)-FIND("/",N1144)-1)),VALUE(LEFT(N1144,FIND("/",N1144)-1))),0)</f>
        <v>0</v>
      </c>
    </row>
    <row r="1145" customFormat="false" ht="15" hidden="false" customHeight="false" outlineLevel="0" collapsed="false">
      <c r="N1145" s="0" t="str">
        <f aca="false">IF(H1145="","",IFERROR(LEFT(H1145,FIND(" ",H1145)-1),H1145))</f>
        <v/>
      </c>
      <c r="O1145" s="20" t="n">
        <f aca="false">IFERROR(DATE(VALUE(MID(N1145,FIND("/",N1145,FIND("/",N1145)+1)+1,4)),VALUE(MID(N1145,FIND("/",N1145)+1,FIND("/",N1145,FIND("/",N1145)+1)-FIND("/",N1145)-1)),VALUE(LEFT(N1145,FIND("/",N1145)-1))),0)</f>
        <v>0</v>
      </c>
    </row>
    <row r="1146" customFormat="false" ht="15" hidden="false" customHeight="false" outlineLevel="0" collapsed="false">
      <c r="N1146" s="0" t="str">
        <f aca="false">IF(H1146="","",IFERROR(LEFT(H1146,FIND(" ",H1146)-1),H1146))</f>
        <v/>
      </c>
      <c r="O1146" s="20" t="n">
        <f aca="false">IFERROR(DATE(VALUE(MID(N1146,FIND("/",N1146,FIND("/",N1146)+1)+1,4)),VALUE(MID(N1146,FIND("/",N1146)+1,FIND("/",N1146,FIND("/",N1146)+1)-FIND("/",N1146)-1)),VALUE(LEFT(N1146,FIND("/",N1146)-1))),0)</f>
        <v>0</v>
      </c>
    </row>
    <row r="1147" customFormat="false" ht="15" hidden="false" customHeight="false" outlineLevel="0" collapsed="false">
      <c r="N1147" s="0" t="str">
        <f aca="false">IF(H1147="","",IFERROR(LEFT(H1147,FIND(" ",H1147)-1),H1147))</f>
        <v/>
      </c>
      <c r="O1147" s="20" t="n">
        <f aca="false">IFERROR(DATE(VALUE(MID(N1147,FIND("/",N1147,FIND("/",N1147)+1)+1,4)),VALUE(MID(N1147,FIND("/",N1147)+1,FIND("/",N1147,FIND("/",N1147)+1)-FIND("/",N1147)-1)),VALUE(LEFT(N1147,FIND("/",N1147)-1))),0)</f>
        <v>0</v>
      </c>
    </row>
    <row r="1148" customFormat="false" ht="15" hidden="false" customHeight="false" outlineLevel="0" collapsed="false">
      <c r="N1148" s="0" t="str">
        <f aca="false">IF(H1148="","",IFERROR(LEFT(H1148,FIND(" ",H1148)-1),H1148))</f>
        <v/>
      </c>
      <c r="O1148" s="20" t="n">
        <f aca="false">IFERROR(DATE(VALUE(MID(N1148,FIND("/",N1148,FIND("/",N1148)+1)+1,4)),VALUE(MID(N1148,FIND("/",N1148)+1,FIND("/",N1148,FIND("/",N1148)+1)-FIND("/",N1148)-1)),VALUE(LEFT(N1148,FIND("/",N1148)-1))),0)</f>
        <v>0</v>
      </c>
    </row>
    <row r="1149" customFormat="false" ht="15" hidden="false" customHeight="false" outlineLevel="0" collapsed="false">
      <c r="N1149" s="0" t="str">
        <f aca="false">IF(H1149="","",IFERROR(LEFT(H1149,FIND(" ",H1149)-1),H1149))</f>
        <v/>
      </c>
      <c r="O1149" s="20" t="n">
        <f aca="false">IFERROR(DATE(VALUE(MID(N1149,FIND("/",N1149,FIND("/",N1149)+1)+1,4)),VALUE(MID(N1149,FIND("/",N1149)+1,FIND("/",N1149,FIND("/",N1149)+1)-FIND("/",N1149)-1)),VALUE(LEFT(N1149,FIND("/",N1149)-1))),0)</f>
        <v>0</v>
      </c>
    </row>
    <row r="1150" customFormat="false" ht="15" hidden="false" customHeight="false" outlineLevel="0" collapsed="false">
      <c r="N1150" s="0" t="str">
        <f aca="false">IF(H1150="","",IFERROR(LEFT(H1150,FIND(" ",H1150)-1),H1150))</f>
        <v/>
      </c>
      <c r="O1150" s="20" t="n">
        <f aca="false">IFERROR(DATE(VALUE(MID(N1150,FIND("/",N1150,FIND("/",N1150)+1)+1,4)),VALUE(MID(N1150,FIND("/",N1150)+1,FIND("/",N1150,FIND("/",N1150)+1)-FIND("/",N1150)-1)),VALUE(LEFT(N1150,FIND("/",N1150)-1))),0)</f>
        <v>0</v>
      </c>
    </row>
    <row r="1151" customFormat="false" ht="15" hidden="false" customHeight="false" outlineLevel="0" collapsed="false">
      <c r="N1151" s="0" t="str">
        <f aca="false">IF(H1151="","",IFERROR(LEFT(H1151,FIND(" ",H1151)-1),H1151))</f>
        <v/>
      </c>
      <c r="O1151" s="20" t="n">
        <f aca="false">IFERROR(DATE(VALUE(MID(N1151,FIND("/",N1151,FIND("/",N1151)+1)+1,4)),VALUE(MID(N1151,FIND("/",N1151)+1,FIND("/",N1151,FIND("/",N1151)+1)-FIND("/",N1151)-1)),VALUE(LEFT(N1151,FIND("/",N1151)-1))),0)</f>
        <v>0</v>
      </c>
    </row>
    <row r="1152" customFormat="false" ht="15" hidden="false" customHeight="false" outlineLevel="0" collapsed="false">
      <c r="N1152" s="0" t="str">
        <f aca="false">IF(H1152="","",IFERROR(LEFT(H1152,FIND(" ",H1152)-1),H1152))</f>
        <v/>
      </c>
      <c r="O1152" s="20" t="n">
        <f aca="false">IFERROR(DATE(VALUE(MID(N1152,FIND("/",N1152,FIND("/",N1152)+1)+1,4)),VALUE(MID(N1152,FIND("/",N1152)+1,FIND("/",N1152,FIND("/",N1152)+1)-FIND("/",N1152)-1)),VALUE(LEFT(N1152,FIND("/",N1152)-1))),0)</f>
        <v>0</v>
      </c>
    </row>
    <row r="1153" customFormat="false" ht="15" hidden="false" customHeight="false" outlineLevel="0" collapsed="false">
      <c r="N1153" s="0" t="str">
        <f aca="false">IF(H1153="","",IFERROR(LEFT(H1153,FIND(" ",H1153)-1),H1153))</f>
        <v/>
      </c>
      <c r="O1153" s="20" t="n">
        <f aca="false">IFERROR(DATE(VALUE(MID(N1153,FIND("/",N1153,FIND("/",N1153)+1)+1,4)),VALUE(MID(N1153,FIND("/",N1153)+1,FIND("/",N1153,FIND("/",N1153)+1)-FIND("/",N1153)-1)),VALUE(LEFT(N1153,FIND("/",N1153)-1))),0)</f>
        <v>0</v>
      </c>
    </row>
    <row r="1154" customFormat="false" ht="15" hidden="false" customHeight="false" outlineLevel="0" collapsed="false">
      <c r="N1154" s="0" t="str">
        <f aca="false">IF(H1154="","",IFERROR(LEFT(H1154,FIND(" ",H1154)-1),H1154))</f>
        <v/>
      </c>
      <c r="O1154" s="20" t="n">
        <f aca="false">IFERROR(DATE(VALUE(MID(N1154,FIND("/",N1154,FIND("/",N1154)+1)+1,4)),VALUE(MID(N1154,FIND("/",N1154)+1,FIND("/",N1154,FIND("/",N1154)+1)-FIND("/",N1154)-1)),VALUE(LEFT(N1154,FIND("/",N1154)-1))),0)</f>
        <v>0</v>
      </c>
    </row>
    <row r="1155" customFormat="false" ht="15" hidden="false" customHeight="false" outlineLevel="0" collapsed="false">
      <c r="N1155" s="0" t="str">
        <f aca="false">IF(H1155="","",IFERROR(LEFT(H1155,FIND(" ",H1155)-1),H1155))</f>
        <v/>
      </c>
      <c r="O1155" s="20" t="n">
        <f aca="false">IFERROR(DATE(VALUE(MID(N1155,FIND("/",N1155,FIND("/",N1155)+1)+1,4)),VALUE(MID(N1155,FIND("/",N1155)+1,FIND("/",N1155,FIND("/",N1155)+1)-FIND("/",N1155)-1)),VALUE(LEFT(N1155,FIND("/",N1155)-1))),0)</f>
        <v>0</v>
      </c>
    </row>
    <row r="1156" customFormat="false" ht="15" hidden="false" customHeight="false" outlineLevel="0" collapsed="false">
      <c r="N1156" s="0" t="str">
        <f aca="false">IF(H1156="","",IFERROR(LEFT(H1156,FIND(" ",H1156)-1),H1156))</f>
        <v/>
      </c>
      <c r="O1156" s="20" t="n">
        <f aca="false">IFERROR(DATE(VALUE(MID(N1156,FIND("/",N1156,FIND("/",N1156)+1)+1,4)),VALUE(MID(N1156,FIND("/",N1156)+1,FIND("/",N1156,FIND("/",N1156)+1)-FIND("/",N1156)-1)),VALUE(LEFT(N1156,FIND("/",N1156)-1))),0)</f>
        <v>0</v>
      </c>
    </row>
    <row r="1157" customFormat="false" ht="15" hidden="false" customHeight="false" outlineLevel="0" collapsed="false">
      <c r="N1157" s="0" t="str">
        <f aca="false">IF(H1157="","",IFERROR(LEFT(H1157,FIND(" ",H1157)-1),H1157))</f>
        <v/>
      </c>
      <c r="O1157" s="20" t="n">
        <f aca="false">IFERROR(DATE(VALUE(MID(N1157,FIND("/",N1157,FIND("/",N1157)+1)+1,4)),VALUE(MID(N1157,FIND("/",N1157)+1,FIND("/",N1157,FIND("/",N1157)+1)-FIND("/",N1157)-1)),VALUE(LEFT(N1157,FIND("/",N1157)-1))),0)</f>
        <v>0</v>
      </c>
    </row>
    <row r="1158" customFormat="false" ht="15" hidden="false" customHeight="false" outlineLevel="0" collapsed="false">
      <c r="N1158" s="0" t="str">
        <f aca="false">IF(H1158="","",IFERROR(LEFT(H1158,FIND(" ",H1158)-1),H1158))</f>
        <v/>
      </c>
      <c r="O1158" s="20" t="n">
        <f aca="false">IFERROR(DATE(VALUE(MID(N1158,FIND("/",N1158,FIND("/",N1158)+1)+1,4)),VALUE(MID(N1158,FIND("/",N1158)+1,FIND("/",N1158,FIND("/",N1158)+1)-FIND("/",N1158)-1)),VALUE(LEFT(N1158,FIND("/",N1158)-1))),0)</f>
        <v>0</v>
      </c>
    </row>
    <row r="1159" customFormat="false" ht="15" hidden="false" customHeight="false" outlineLevel="0" collapsed="false">
      <c r="N1159" s="0" t="str">
        <f aca="false">IF(H1159="","",IFERROR(LEFT(H1159,FIND(" ",H1159)-1),H1159))</f>
        <v/>
      </c>
      <c r="O1159" s="20" t="n">
        <f aca="false">IFERROR(DATE(VALUE(MID(N1159,FIND("/",N1159,FIND("/",N1159)+1)+1,4)),VALUE(MID(N1159,FIND("/",N1159)+1,FIND("/",N1159,FIND("/",N1159)+1)-FIND("/",N1159)-1)),VALUE(LEFT(N1159,FIND("/",N1159)-1))),0)</f>
        <v>0</v>
      </c>
    </row>
    <row r="1160" customFormat="false" ht="15" hidden="false" customHeight="false" outlineLevel="0" collapsed="false">
      <c r="N1160" s="0" t="str">
        <f aca="false">IF(H1160="","",IFERROR(LEFT(H1160,FIND(" ",H1160)-1),H1160))</f>
        <v/>
      </c>
      <c r="O1160" s="20" t="n">
        <f aca="false">IFERROR(DATE(VALUE(MID(N1160,FIND("/",N1160,FIND("/",N1160)+1)+1,4)),VALUE(MID(N1160,FIND("/",N1160)+1,FIND("/",N1160,FIND("/",N1160)+1)-FIND("/",N1160)-1)),VALUE(LEFT(N1160,FIND("/",N1160)-1))),0)</f>
        <v>0</v>
      </c>
    </row>
    <row r="1161" customFormat="false" ht="15" hidden="false" customHeight="false" outlineLevel="0" collapsed="false">
      <c r="N1161" s="0" t="str">
        <f aca="false">IF(H1161="","",IFERROR(LEFT(H1161,FIND(" ",H1161)-1),H1161))</f>
        <v/>
      </c>
      <c r="O1161" s="20" t="n">
        <f aca="false">IFERROR(DATE(VALUE(MID(N1161,FIND("/",N1161,FIND("/",N1161)+1)+1,4)),VALUE(MID(N1161,FIND("/",N1161)+1,FIND("/",N1161,FIND("/",N1161)+1)-FIND("/",N1161)-1)),VALUE(LEFT(N1161,FIND("/",N1161)-1))),0)</f>
        <v>0</v>
      </c>
    </row>
    <row r="1162" customFormat="false" ht="15" hidden="false" customHeight="false" outlineLevel="0" collapsed="false">
      <c r="N1162" s="0" t="str">
        <f aca="false">IF(H1162="","",IFERROR(LEFT(H1162,FIND(" ",H1162)-1),H1162))</f>
        <v/>
      </c>
      <c r="O1162" s="20" t="n">
        <f aca="false">IFERROR(DATE(VALUE(MID(N1162,FIND("/",N1162,FIND("/",N1162)+1)+1,4)),VALUE(MID(N1162,FIND("/",N1162)+1,FIND("/",N1162,FIND("/",N1162)+1)-FIND("/",N1162)-1)),VALUE(LEFT(N1162,FIND("/",N1162)-1))),0)</f>
        <v>0</v>
      </c>
    </row>
    <row r="1163" customFormat="false" ht="15" hidden="false" customHeight="false" outlineLevel="0" collapsed="false">
      <c r="N1163" s="0" t="str">
        <f aca="false">IF(H1163="","",IFERROR(LEFT(H1163,FIND(" ",H1163)-1),H1163))</f>
        <v/>
      </c>
      <c r="O1163" s="20" t="n">
        <f aca="false">IFERROR(DATE(VALUE(MID(N1163,FIND("/",N1163,FIND("/",N1163)+1)+1,4)),VALUE(MID(N1163,FIND("/",N1163)+1,FIND("/",N1163,FIND("/",N1163)+1)-FIND("/",N1163)-1)),VALUE(LEFT(N1163,FIND("/",N1163)-1))),0)</f>
        <v>0</v>
      </c>
    </row>
    <row r="1164" customFormat="false" ht="15" hidden="false" customHeight="false" outlineLevel="0" collapsed="false">
      <c r="N1164" s="0" t="str">
        <f aca="false">IF(H1164="","",IFERROR(LEFT(H1164,FIND(" ",H1164)-1),H1164))</f>
        <v/>
      </c>
      <c r="O1164" s="20" t="n">
        <f aca="false">IFERROR(DATE(VALUE(MID(N1164,FIND("/",N1164,FIND("/",N1164)+1)+1,4)),VALUE(MID(N1164,FIND("/",N1164)+1,FIND("/",N1164,FIND("/",N1164)+1)-FIND("/",N1164)-1)),VALUE(LEFT(N1164,FIND("/",N1164)-1))),0)</f>
        <v>0</v>
      </c>
    </row>
    <row r="1165" customFormat="false" ht="15" hidden="false" customHeight="false" outlineLevel="0" collapsed="false">
      <c r="N1165" s="0" t="str">
        <f aca="false">IF(H1165="","",IFERROR(LEFT(H1165,FIND(" ",H1165)-1),H1165))</f>
        <v/>
      </c>
      <c r="O1165" s="20" t="n">
        <f aca="false">IFERROR(DATE(VALUE(MID(N1165,FIND("/",N1165,FIND("/",N1165)+1)+1,4)),VALUE(MID(N1165,FIND("/",N1165)+1,FIND("/",N1165,FIND("/",N1165)+1)-FIND("/",N1165)-1)),VALUE(LEFT(N1165,FIND("/",N1165)-1))),0)</f>
        <v>0</v>
      </c>
    </row>
    <row r="1166" customFormat="false" ht="15" hidden="false" customHeight="false" outlineLevel="0" collapsed="false">
      <c r="N1166" s="0" t="str">
        <f aca="false">IF(H1166="","",IFERROR(LEFT(H1166,FIND(" ",H1166)-1),H1166))</f>
        <v/>
      </c>
      <c r="O1166" s="20" t="n">
        <f aca="false">IFERROR(DATE(VALUE(MID(N1166,FIND("/",N1166,FIND("/",N1166)+1)+1,4)),VALUE(MID(N1166,FIND("/",N1166)+1,FIND("/",N1166,FIND("/",N1166)+1)-FIND("/",N1166)-1)),VALUE(LEFT(N1166,FIND("/",N1166)-1))),0)</f>
        <v>0</v>
      </c>
    </row>
    <row r="1167" customFormat="false" ht="15" hidden="false" customHeight="false" outlineLevel="0" collapsed="false">
      <c r="N1167" s="0" t="str">
        <f aca="false">IF(H1167="","",IFERROR(LEFT(H1167,FIND(" ",H1167)-1),H1167))</f>
        <v/>
      </c>
      <c r="O1167" s="20" t="n">
        <f aca="false">IFERROR(DATE(VALUE(MID(N1167,FIND("/",N1167,FIND("/",N1167)+1)+1,4)),VALUE(MID(N1167,FIND("/",N1167)+1,FIND("/",N1167,FIND("/",N1167)+1)-FIND("/",N1167)-1)),VALUE(LEFT(N1167,FIND("/",N1167)-1))),0)</f>
        <v>0</v>
      </c>
    </row>
    <row r="1168" customFormat="false" ht="15" hidden="false" customHeight="false" outlineLevel="0" collapsed="false">
      <c r="N1168" s="0" t="str">
        <f aca="false">IF(H1168="","",IFERROR(LEFT(H1168,FIND(" ",H1168)-1),H1168))</f>
        <v/>
      </c>
      <c r="O1168" s="20" t="n">
        <f aca="false">IFERROR(DATE(VALUE(MID(N1168,FIND("/",N1168,FIND("/",N1168)+1)+1,4)),VALUE(MID(N1168,FIND("/",N1168)+1,FIND("/",N1168,FIND("/",N1168)+1)-FIND("/",N1168)-1)),VALUE(LEFT(N1168,FIND("/",N1168)-1))),0)</f>
        <v>0</v>
      </c>
    </row>
    <row r="1169" customFormat="false" ht="15" hidden="false" customHeight="false" outlineLevel="0" collapsed="false">
      <c r="N1169" s="0" t="str">
        <f aca="false">IF(H1169="","",IFERROR(LEFT(H1169,FIND(" ",H1169)-1),H1169))</f>
        <v/>
      </c>
      <c r="O1169" s="20" t="n">
        <f aca="false">IFERROR(DATE(VALUE(MID(N1169,FIND("/",N1169,FIND("/",N1169)+1)+1,4)),VALUE(MID(N1169,FIND("/",N1169)+1,FIND("/",N1169,FIND("/",N1169)+1)-FIND("/",N1169)-1)),VALUE(LEFT(N1169,FIND("/",N1169)-1))),0)</f>
        <v>0</v>
      </c>
    </row>
    <row r="1170" customFormat="false" ht="15" hidden="false" customHeight="false" outlineLevel="0" collapsed="false">
      <c r="N1170" s="0" t="str">
        <f aca="false">IF(H1170="","",IFERROR(LEFT(H1170,FIND(" ",H1170)-1),H1170))</f>
        <v/>
      </c>
      <c r="O1170" s="20" t="n">
        <f aca="false">IFERROR(DATE(VALUE(MID(N1170,FIND("/",N1170,FIND("/",N1170)+1)+1,4)),VALUE(MID(N1170,FIND("/",N1170)+1,FIND("/",N1170,FIND("/",N1170)+1)-FIND("/",N1170)-1)),VALUE(LEFT(N1170,FIND("/",N1170)-1))),0)</f>
        <v>0</v>
      </c>
    </row>
    <row r="1171" customFormat="false" ht="15" hidden="false" customHeight="false" outlineLevel="0" collapsed="false">
      <c r="N1171" s="0" t="str">
        <f aca="false">IF(H1171="","",IFERROR(LEFT(H1171,FIND(" ",H1171)-1),H1171))</f>
        <v/>
      </c>
      <c r="O1171" s="20" t="n">
        <f aca="false">IFERROR(DATE(VALUE(MID(N1171,FIND("/",N1171,FIND("/",N1171)+1)+1,4)),VALUE(MID(N1171,FIND("/",N1171)+1,FIND("/",N1171,FIND("/",N1171)+1)-FIND("/",N1171)-1)),VALUE(LEFT(N1171,FIND("/",N1171)-1))),0)</f>
        <v>0</v>
      </c>
    </row>
    <row r="1172" customFormat="false" ht="15" hidden="false" customHeight="false" outlineLevel="0" collapsed="false">
      <c r="N1172" s="0" t="str">
        <f aca="false">IF(H1172="","",IFERROR(LEFT(H1172,FIND(" ",H1172)-1),H1172))</f>
        <v/>
      </c>
      <c r="O1172" s="20" t="n">
        <f aca="false">IFERROR(DATE(VALUE(MID(N1172,FIND("/",N1172,FIND("/",N1172)+1)+1,4)),VALUE(MID(N1172,FIND("/",N1172)+1,FIND("/",N1172,FIND("/",N1172)+1)-FIND("/",N1172)-1)),VALUE(LEFT(N1172,FIND("/",N1172)-1))),0)</f>
        <v>0</v>
      </c>
    </row>
    <row r="1173" customFormat="false" ht="15" hidden="false" customHeight="false" outlineLevel="0" collapsed="false">
      <c r="N1173" s="0" t="str">
        <f aca="false">IF(H1173="","",IFERROR(LEFT(H1173,FIND(" ",H1173)-1),H1173))</f>
        <v/>
      </c>
      <c r="O1173" s="20" t="n">
        <f aca="false">IFERROR(DATE(VALUE(MID(N1173,FIND("/",N1173,FIND("/",N1173)+1)+1,4)),VALUE(MID(N1173,FIND("/",N1173)+1,FIND("/",N1173,FIND("/",N1173)+1)-FIND("/",N1173)-1)),VALUE(LEFT(N1173,FIND("/",N1173)-1))),0)</f>
        <v>0</v>
      </c>
    </row>
    <row r="1174" customFormat="false" ht="15" hidden="false" customHeight="false" outlineLevel="0" collapsed="false">
      <c r="N1174" s="0" t="str">
        <f aca="false">IF(H1174="","",IFERROR(LEFT(H1174,FIND(" ",H1174)-1),H1174))</f>
        <v/>
      </c>
      <c r="O1174" s="20" t="n">
        <f aca="false">IFERROR(DATE(VALUE(MID(N1174,FIND("/",N1174,FIND("/",N1174)+1)+1,4)),VALUE(MID(N1174,FIND("/",N1174)+1,FIND("/",N1174,FIND("/",N1174)+1)-FIND("/",N1174)-1)),VALUE(LEFT(N1174,FIND("/",N1174)-1))),0)</f>
        <v>0</v>
      </c>
    </row>
    <row r="1175" customFormat="false" ht="15" hidden="false" customHeight="false" outlineLevel="0" collapsed="false">
      <c r="N1175" s="0" t="str">
        <f aca="false">IF(H1175="","",IFERROR(LEFT(H1175,FIND(" ",H1175)-1),H1175))</f>
        <v/>
      </c>
      <c r="O1175" s="20" t="n">
        <f aca="false">IFERROR(DATE(VALUE(MID(N1175,FIND("/",N1175,FIND("/",N1175)+1)+1,4)),VALUE(MID(N1175,FIND("/",N1175)+1,FIND("/",N1175,FIND("/",N1175)+1)-FIND("/",N1175)-1)),VALUE(LEFT(N1175,FIND("/",N1175)-1))),0)</f>
        <v>0</v>
      </c>
    </row>
    <row r="1176" customFormat="false" ht="15" hidden="false" customHeight="false" outlineLevel="0" collapsed="false">
      <c r="N1176" s="0" t="str">
        <f aca="false">IF(H1176="","",IFERROR(LEFT(H1176,FIND(" ",H1176)-1),H1176))</f>
        <v/>
      </c>
      <c r="O1176" s="20" t="n">
        <f aca="false">IFERROR(DATE(VALUE(MID(N1176,FIND("/",N1176,FIND("/",N1176)+1)+1,4)),VALUE(MID(N1176,FIND("/",N1176)+1,FIND("/",N1176,FIND("/",N1176)+1)-FIND("/",N1176)-1)),VALUE(LEFT(N1176,FIND("/",N1176)-1))),0)</f>
        <v>0</v>
      </c>
    </row>
    <row r="1177" customFormat="false" ht="15" hidden="false" customHeight="false" outlineLevel="0" collapsed="false">
      <c r="N1177" s="0" t="str">
        <f aca="false">IF(H1177="","",IFERROR(LEFT(H1177,FIND(" ",H1177)-1),H1177))</f>
        <v/>
      </c>
      <c r="O1177" s="20" t="n">
        <f aca="false">IFERROR(DATE(VALUE(MID(N1177,FIND("/",N1177,FIND("/",N1177)+1)+1,4)),VALUE(MID(N1177,FIND("/",N1177)+1,FIND("/",N1177,FIND("/",N1177)+1)-FIND("/",N1177)-1)),VALUE(LEFT(N1177,FIND("/",N1177)-1))),0)</f>
        <v>0</v>
      </c>
    </row>
    <row r="1178" customFormat="false" ht="15" hidden="false" customHeight="false" outlineLevel="0" collapsed="false">
      <c r="N1178" s="0" t="str">
        <f aca="false">IF(H1178="","",IFERROR(LEFT(H1178,FIND(" ",H1178)-1),H1178))</f>
        <v/>
      </c>
      <c r="O1178" s="20" t="n">
        <f aca="false">IFERROR(DATE(VALUE(MID(N1178,FIND("/",N1178,FIND("/",N1178)+1)+1,4)),VALUE(MID(N1178,FIND("/",N1178)+1,FIND("/",N1178,FIND("/",N1178)+1)-FIND("/",N1178)-1)),VALUE(LEFT(N1178,FIND("/",N1178)-1))),0)</f>
        <v>0</v>
      </c>
    </row>
    <row r="1179" customFormat="false" ht="15" hidden="false" customHeight="false" outlineLevel="0" collapsed="false">
      <c r="N1179" s="0" t="str">
        <f aca="false">IF(H1179="","",IFERROR(LEFT(H1179,FIND(" ",H1179)-1),H1179))</f>
        <v/>
      </c>
      <c r="O1179" s="20" t="n">
        <f aca="false">IFERROR(DATE(VALUE(MID(N1179,FIND("/",N1179,FIND("/",N1179)+1)+1,4)),VALUE(MID(N1179,FIND("/",N1179)+1,FIND("/",N1179,FIND("/",N1179)+1)-FIND("/",N1179)-1)),VALUE(LEFT(N1179,FIND("/",N1179)-1))),0)</f>
        <v>0</v>
      </c>
    </row>
    <row r="1180" customFormat="false" ht="15" hidden="false" customHeight="false" outlineLevel="0" collapsed="false">
      <c r="N1180" s="0" t="str">
        <f aca="false">IF(H1180="","",IFERROR(LEFT(H1180,FIND(" ",H1180)-1),H1180))</f>
        <v/>
      </c>
      <c r="O1180" s="20" t="n">
        <f aca="false">IFERROR(DATE(VALUE(MID(N1180,FIND("/",N1180,FIND("/",N1180)+1)+1,4)),VALUE(MID(N1180,FIND("/",N1180)+1,FIND("/",N1180,FIND("/",N1180)+1)-FIND("/",N1180)-1)),VALUE(LEFT(N1180,FIND("/",N1180)-1))),0)</f>
        <v>0</v>
      </c>
    </row>
    <row r="1181" customFormat="false" ht="15" hidden="false" customHeight="false" outlineLevel="0" collapsed="false">
      <c r="N1181" s="0" t="str">
        <f aca="false">IF(H1181="","",IFERROR(LEFT(H1181,FIND(" ",H1181)-1),H1181))</f>
        <v/>
      </c>
      <c r="O1181" s="20" t="n">
        <f aca="false">IFERROR(DATE(VALUE(MID(N1181,FIND("/",N1181,FIND("/",N1181)+1)+1,4)),VALUE(MID(N1181,FIND("/",N1181)+1,FIND("/",N1181,FIND("/",N1181)+1)-FIND("/",N1181)-1)),VALUE(LEFT(N1181,FIND("/",N1181)-1))),0)</f>
        <v>0</v>
      </c>
    </row>
    <row r="1182" customFormat="false" ht="15" hidden="false" customHeight="false" outlineLevel="0" collapsed="false">
      <c r="N1182" s="0" t="str">
        <f aca="false">IF(H1182="","",IFERROR(LEFT(H1182,FIND(" ",H1182)-1),H1182))</f>
        <v/>
      </c>
      <c r="O1182" s="20" t="n">
        <f aca="false">IFERROR(DATE(VALUE(MID(N1182,FIND("/",N1182,FIND("/",N1182)+1)+1,4)),VALUE(MID(N1182,FIND("/",N1182)+1,FIND("/",N1182,FIND("/",N1182)+1)-FIND("/",N1182)-1)),VALUE(LEFT(N1182,FIND("/",N1182)-1))),0)</f>
        <v>0</v>
      </c>
    </row>
    <row r="1183" customFormat="false" ht="15" hidden="false" customHeight="false" outlineLevel="0" collapsed="false">
      <c r="N1183" s="0" t="str">
        <f aca="false">IF(H1183="","",IFERROR(LEFT(H1183,FIND(" ",H1183)-1),H1183))</f>
        <v/>
      </c>
      <c r="O1183" s="20" t="n">
        <f aca="false">IFERROR(DATE(VALUE(MID(N1183,FIND("/",N1183,FIND("/",N1183)+1)+1,4)),VALUE(MID(N1183,FIND("/",N1183)+1,FIND("/",N1183,FIND("/",N1183)+1)-FIND("/",N1183)-1)),VALUE(LEFT(N1183,FIND("/",N1183)-1))),0)</f>
        <v>0</v>
      </c>
    </row>
    <row r="1184" customFormat="false" ht="15" hidden="false" customHeight="false" outlineLevel="0" collapsed="false">
      <c r="N1184" s="0" t="str">
        <f aca="false">IF(H1184="","",IFERROR(LEFT(H1184,FIND(" ",H1184)-1),H1184))</f>
        <v/>
      </c>
      <c r="O1184" s="20" t="n">
        <f aca="false">IFERROR(DATE(VALUE(MID(N1184,FIND("/",N1184,FIND("/",N1184)+1)+1,4)),VALUE(MID(N1184,FIND("/",N1184)+1,FIND("/",N1184,FIND("/",N1184)+1)-FIND("/",N1184)-1)),VALUE(LEFT(N1184,FIND("/",N1184)-1))),0)</f>
        <v>0</v>
      </c>
    </row>
    <row r="1185" customFormat="false" ht="15" hidden="false" customHeight="false" outlineLevel="0" collapsed="false">
      <c r="N1185" s="0" t="str">
        <f aca="false">IF(H1185="","",IFERROR(LEFT(H1185,FIND(" ",H1185)-1),H1185))</f>
        <v/>
      </c>
      <c r="O1185" s="20" t="n">
        <f aca="false">IFERROR(DATE(VALUE(MID(N1185,FIND("/",N1185,FIND("/",N1185)+1)+1,4)),VALUE(MID(N1185,FIND("/",N1185)+1,FIND("/",N1185,FIND("/",N1185)+1)-FIND("/",N1185)-1)),VALUE(LEFT(N1185,FIND("/",N1185)-1))),0)</f>
        <v>0</v>
      </c>
    </row>
    <row r="1186" customFormat="false" ht="15" hidden="false" customHeight="false" outlineLevel="0" collapsed="false">
      <c r="N1186" s="0" t="str">
        <f aca="false">IF(H1186="","",IFERROR(LEFT(H1186,FIND(" ",H1186)-1),H1186))</f>
        <v/>
      </c>
      <c r="O1186" s="20" t="n">
        <f aca="false">IFERROR(DATE(VALUE(MID(N1186,FIND("/",N1186,FIND("/",N1186)+1)+1,4)),VALUE(MID(N1186,FIND("/",N1186)+1,FIND("/",N1186,FIND("/",N1186)+1)-FIND("/",N1186)-1)),VALUE(LEFT(N1186,FIND("/",N1186)-1))),0)</f>
        <v>0</v>
      </c>
    </row>
    <row r="1187" customFormat="false" ht="15" hidden="false" customHeight="false" outlineLevel="0" collapsed="false">
      <c r="N1187" s="0" t="str">
        <f aca="false">IF(H1187="","",IFERROR(LEFT(H1187,FIND(" ",H1187)-1),H1187))</f>
        <v/>
      </c>
      <c r="O1187" s="20" t="n">
        <f aca="false">IFERROR(DATE(VALUE(MID(N1187,FIND("/",N1187,FIND("/",N1187)+1)+1,4)),VALUE(MID(N1187,FIND("/",N1187)+1,FIND("/",N1187,FIND("/",N1187)+1)-FIND("/",N1187)-1)),VALUE(LEFT(N1187,FIND("/",N1187)-1))),0)</f>
        <v>0</v>
      </c>
    </row>
    <row r="1188" customFormat="false" ht="15" hidden="false" customHeight="false" outlineLevel="0" collapsed="false">
      <c r="N1188" s="0" t="str">
        <f aca="false">IF(H1188="","",IFERROR(LEFT(H1188,FIND(" ",H1188)-1),H1188))</f>
        <v/>
      </c>
      <c r="O1188" s="20" t="n">
        <f aca="false">IFERROR(DATE(VALUE(MID(N1188,FIND("/",N1188,FIND("/",N1188)+1)+1,4)),VALUE(MID(N1188,FIND("/",N1188)+1,FIND("/",N1188,FIND("/",N1188)+1)-FIND("/",N1188)-1)),VALUE(LEFT(N1188,FIND("/",N1188)-1))),0)</f>
        <v>0</v>
      </c>
    </row>
    <row r="1189" customFormat="false" ht="15" hidden="false" customHeight="false" outlineLevel="0" collapsed="false">
      <c r="N1189" s="0" t="str">
        <f aca="false">IF(H1189="","",IFERROR(LEFT(H1189,FIND(" ",H1189)-1),H1189))</f>
        <v/>
      </c>
      <c r="O1189" s="20" t="n">
        <f aca="false">IFERROR(DATE(VALUE(MID(N1189,FIND("/",N1189,FIND("/",N1189)+1)+1,4)),VALUE(MID(N1189,FIND("/",N1189)+1,FIND("/",N1189,FIND("/",N1189)+1)-FIND("/",N1189)-1)),VALUE(LEFT(N1189,FIND("/",N1189)-1))),0)</f>
        <v>0</v>
      </c>
    </row>
    <row r="1190" customFormat="false" ht="15" hidden="false" customHeight="false" outlineLevel="0" collapsed="false">
      <c r="N1190" s="0" t="str">
        <f aca="false">IF(H1190="","",IFERROR(LEFT(H1190,FIND(" ",H1190)-1),H1190))</f>
        <v/>
      </c>
      <c r="O1190" s="20" t="n">
        <f aca="false">IFERROR(DATE(VALUE(MID(N1190,FIND("/",N1190,FIND("/",N1190)+1)+1,4)),VALUE(MID(N1190,FIND("/",N1190)+1,FIND("/",N1190,FIND("/",N1190)+1)-FIND("/",N1190)-1)),VALUE(LEFT(N1190,FIND("/",N1190)-1))),0)</f>
        <v>0</v>
      </c>
    </row>
    <row r="1191" customFormat="false" ht="15" hidden="false" customHeight="false" outlineLevel="0" collapsed="false">
      <c r="N1191" s="0" t="str">
        <f aca="false">IF(H1191="","",IFERROR(LEFT(H1191,FIND(" ",H1191)-1),H1191))</f>
        <v/>
      </c>
      <c r="O1191" s="20" t="n">
        <f aca="false">IFERROR(DATE(VALUE(MID(N1191,FIND("/",N1191,FIND("/",N1191)+1)+1,4)),VALUE(MID(N1191,FIND("/",N1191)+1,FIND("/",N1191,FIND("/",N1191)+1)-FIND("/",N1191)-1)),VALUE(LEFT(N1191,FIND("/",N1191)-1))),0)</f>
        <v>0</v>
      </c>
    </row>
    <row r="1192" customFormat="false" ht="15" hidden="false" customHeight="false" outlineLevel="0" collapsed="false">
      <c r="N1192" s="0" t="str">
        <f aca="false">IF(H1192="","",IFERROR(LEFT(H1192,FIND(" ",H1192)-1),H1192))</f>
        <v/>
      </c>
      <c r="O1192" s="20" t="n">
        <f aca="false">IFERROR(DATE(VALUE(MID(N1192,FIND("/",N1192,FIND("/",N1192)+1)+1,4)),VALUE(MID(N1192,FIND("/",N1192)+1,FIND("/",N1192,FIND("/",N1192)+1)-FIND("/",N1192)-1)),VALUE(LEFT(N1192,FIND("/",N1192)-1))),0)</f>
        <v>0</v>
      </c>
    </row>
    <row r="1193" customFormat="false" ht="15" hidden="false" customHeight="false" outlineLevel="0" collapsed="false">
      <c r="N1193" s="0" t="str">
        <f aca="false">IF(H1193="","",IFERROR(LEFT(H1193,FIND(" ",H1193)-1),H1193))</f>
        <v/>
      </c>
      <c r="O1193" s="20" t="n">
        <f aca="false">IFERROR(DATE(VALUE(MID(N1193,FIND("/",N1193,FIND("/",N1193)+1)+1,4)),VALUE(MID(N1193,FIND("/",N1193)+1,FIND("/",N1193,FIND("/",N1193)+1)-FIND("/",N1193)-1)),VALUE(LEFT(N1193,FIND("/",N1193)-1))),0)</f>
        <v>0</v>
      </c>
    </row>
    <row r="1194" customFormat="false" ht="15" hidden="false" customHeight="false" outlineLevel="0" collapsed="false">
      <c r="N1194" s="0" t="str">
        <f aca="false">IF(H1194="","",IFERROR(LEFT(H1194,FIND(" ",H1194)-1),H1194))</f>
        <v/>
      </c>
      <c r="O1194" s="20" t="n">
        <f aca="false">IFERROR(DATE(VALUE(MID(N1194,FIND("/",N1194,FIND("/",N1194)+1)+1,4)),VALUE(MID(N1194,FIND("/",N1194)+1,FIND("/",N1194,FIND("/",N1194)+1)-FIND("/",N1194)-1)),VALUE(LEFT(N1194,FIND("/",N1194)-1))),0)</f>
        <v>0</v>
      </c>
    </row>
    <row r="1195" customFormat="false" ht="15" hidden="false" customHeight="false" outlineLevel="0" collapsed="false">
      <c r="N1195" s="0" t="str">
        <f aca="false">IF(H1195="","",IFERROR(LEFT(H1195,FIND(" ",H1195)-1),H1195))</f>
        <v/>
      </c>
      <c r="O1195" s="20" t="n">
        <f aca="false">IFERROR(DATE(VALUE(MID(N1195,FIND("/",N1195,FIND("/",N1195)+1)+1,4)),VALUE(MID(N1195,FIND("/",N1195)+1,FIND("/",N1195,FIND("/",N1195)+1)-FIND("/",N1195)-1)),VALUE(LEFT(N1195,FIND("/",N1195)-1))),0)</f>
        <v>0</v>
      </c>
    </row>
    <row r="1196" customFormat="false" ht="15" hidden="false" customHeight="false" outlineLevel="0" collapsed="false">
      <c r="N1196" s="0" t="str">
        <f aca="false">IF(H1196="","",IFERROR(LEFT(H1196,FIND(" ",H1196)-1),H1196))</f>
        <v/>
      </c>
      <c r="O1196" s="20" t="n">
        <f aca="false">IFERROR(DATE(VALUE(MID(N1196,FIND("/",N1196,FIND("/",N1196)+1)+1,4)),VALUE(MID(N1196,FIND("/",N1196)+1,FIND("/",N1196,FIND("/",N1196)+1)-FIND("/",N1196)-1)),VALUE(LEFT(N1196,FIND("/",N1196)-1))),0)</f>
        <v>0</v>
      </c>
    </row>
    <row r="1197" customFormat="false" ht="15" hidden="false" customHeight="false" outlineLevel="0" collapsed="false">
      <c r="N1197" s="0" t="str">
        <f aca="false">IF(H1197="","",IFERROR(LEFT(H1197,FIND(" ",H1197)-1),H1197))</f>
        <v/>
      </c>
      <c r="O1197" s="20" t="n">
        <f aca="false">IFERROR(DATE(VALUE(MID(N1197,FIND("/",N1197,FIND("/",N1197)+1)+1,4)),VALUE(MID(N1197,FIND("/",N1197)+1,FIND("/",N1197,FIND("/",N1197)+1)-FIND("/",N1197)-1)),VALUE(LEFT(N1197,FIND("/",N1197)-1))),0)</f>
        <v>0</v>
      </c>
    </row>
    <row r="1198" customFormat="false" ht="15" hidden="false" customHeight="false" outlineLevel="0" collapsed="false">
      <c r="N1198" s="0" t="str">
        <f aca="false">IF(H1198="","",IFERROR(LEFT(H1198,FIND(" ",H1198)-1),H1198))</f>
        <v/>
      </c>
      <c r="O1198" s="20" t="n">
        <f aca="false">IFERROR(DATE(VALUE(MID(N1198,FIND("/",N1198,FIND("/",N1198)+1)+1,4)),VALUE(MID(N1198,FIND("/",N1198)+1,FIND("/",N1198,FIND("/",N1198)+1)-FIND("/",N1198)-1)),VALUE(LEFT(N1198,FIND("/",N1198)-1))),0)</f>
        <v>0</v>
      </c>
    </row>
    <row r="1199" customFormat="false" ht="15" hidden="false" customHeight="false" outlineLevel="0" collapsed="false">
      <c r="N1199" s="0" t="str">
        <f aca="false">IF(H1199="","",IFERROR(LEFT(H1199,FIND(" ",H1199)-1),H1199))</f>
        <v/>
      </c>
      <c r="O1199" s="20" t="n">
        <f aca="false">IFERROR(DATE(VALUE(MID(N1199,FIND("/",N1199,FIND("/",N1199)+1)+1,4)),VALUE(MID(N1199,FIND("/",N1199)+1,FIND("/",N1199,FIND("/",N1199)+1)-FIND("/",N1199)-1)),VALUE(LEFT(N1199,FIND("/",N1199)-1))),0)</f>
        <v>0</v>
      </c>
    </row>
    <row r="1200" customFormat="false" ht="15" hidden="false" customHeight="false" outlineLevel="0" collapsed="false">
      <c r="N1200" s="0" t="str">
        <f aca="false">IF(H1200="","",IFERROR(LEFT(H1200,FIND(" ",H1200)-1),H1200))</f>
        <v/>
      </c>
      <c r="O1200" s="20" t="n">
        <f aca="false">IFERROR(DATE(VALUE(MID(N1200,FIND("/",N1200,FIND("/",N1200)+1)+1,4)),VALUE(MID(N1200,FIND("/",N1200)+1,FIND("/",N1200,FIND("/",N1200)+1)-FIND("/",N1200)-1)),VALUE(LEFT(N1200,FIND("/",N1200)-1))),0)</f>
        <v>0</v>
      </c>
    </row>
    <row r="1201" customFormat="false" ht="15" hidden="false" customHeight="false" outlineLevel="0" collapsed="false">
      <c r="N1201" s="0" t="str">
        <f aca="false">IF(H1201="","",IFERROR(LEFT(H1201,FIND(" ",H1201)-1),H1201))</f>
        <v/>
      </c>
      <c r="O1201" s="20" t="n">
        <f aca="false">IFERROR(DATE(VALUE(MID(N1201,FIND("/",N1201,FIND("/",N1201)+1)+1,4)),VALUE(MID(N1201,FIND("/",N1201)+1,FIND("/",N1201,FIND("/",N1201)+1)-FIND("/",N1201)-1)),VALUE(LEFT(N1201,FIND("/",N1201)-1))),0)</f>
        <v>0</v>
      </c>
    </row>
    <row r="1202" customFormat="false" ht="15" hidden="false" customHeight="false" outlineLevel="0" collapsed="false">
      <c r="N1202" s="0" t="str">
        <f aca="false">IF(H1202="","",IFERROR(LEFT(H1202,FIND(" ",H1202)-1),H1202))</f>
        <v/>
      </c>
      <c r="O1202" s="20" t="n">
        <f aca="false">IFERROR(DATE(VALUE(MID(N1202,FIND("/",N1202,FIND("/",N1202)+1)+1,4)),VALUE(MID(N1202,FIND("/",N1202)+1,FIND("/",N1202,FIND("/",N1202)+1)-FIND("/",N1202)-1)),VALUE(LEFT(N1202,FIND("/",N1202)-1))),0)</f>
        <v>0</v>
      </c>
    </row>
    <row r="1203" customFormat="false" ht="15" hidden="false" customHeight="false" outlineLevel="0" collapsed="false">
      <c r="N1203" s="0" t="str">
        <f aca="false">IF(H1203="","",IFERROR(LEFT(H1203,FIND(" ",H1203)-1),H1203))</f>
        <v/>
      </c>
      <c r="O1203" s="20" t="n">
        <f aca="false">IFERROR(DATE(VALUE(MID(N1203,FIND("/",N1203,FIND("/",N1203)+1)+1,4)),VALUE(MID(N1203,FIND("/",N1203)+1,FIND("/",N1203,FIND("/",N1203)+1)-FIND("/",N1203)-1)),VALUE(LEFT(N1203,FIND("/",N1203)-1))),0)</f>
        <v>0</v>
      </c>
    </row>
    <row r="1204" customFormat="false" ht="15" hidden="false" customHeight="false" outlineLevel="0" collapsed="false">
      <c r="N1204" s="0" t="str">
        <f aca="false">IF(H1204="","",IFERROR(LEFT(H1204,FIND(" ",H1204)-1),H1204))</f>
        <v/>
      </c>
      <c r="O1204" s="20" t="n">
        <f aca="false">IFERROR(DATE(VALUE(MID(N1204,FIND("/",N1204,FIND("/",N1204)+1)+1,4)),VALUE(MID(N1204,FIND("/",N1204)+1,FIND("/",N1204,FIND("/",N1204)+1)-FIND("/",N1204)-1)),VALUE(LEFT(N1204,FIND("/",N1204)-1))),0)</f>
        <v>0</v>
      </c>
    </row>
    <row r="1205" customFormat="false" ht="15" hidden="false" customHeight="false" outlineLevel="0" collapsed="false">
      <c r="N1205" s="0" t="str">
        <f aca="false">IF(H1205="","",IFERROR(LEFT(H1205,FIND(" ",H1205)-1),H1205))</f>
        <v/>
      </c>
      <c r="O1205" s="20" t="n">
        <f aca="false">IFERROR(DATE(VALUE(MID(N1205,FIND("/",N1205,FIND("/",N1205)+1)+1,4)),VALUE(MID(N1205,FIND("/",N1205)+1,FIND("/",N1205,FIND("/",N1205)+1)-FIND("/",N1205)-1)),VALUE(LEFT(N1205,FIND("/",N1205)-1))),0)</f>
        <v>0</v>
      </c>
    </row>
    <row r="1206" customFormat="false" ht="15" hidden="false" customHeight="false" outlineLevel="0" collapsed="false">
      <c r="N1206" s="0" t="str">
        <f aca="false">IF(H1206="","",IFERROR(LEFT(H1206,FIND(" ",H1206)-1),H1206))</f>
        <v/>
      </c>
      <c r="O1206" s="20" t="n">
        <f aca="false">IFERROR(DATE(VALUE(MID(N1206,FIND("/",N1206,FIND("/",N1206)+1)+1,4)),VALUE(MID(N1206,FIND("/",N1206)+1,FIND("/",N1206,FIND("/",N1206)+1)-FIND("/",N1206)-1)),VALUE(LEFT(N1206,FIND("/",N1206)-1))),0)</f>
        <v>0</v>
      </c>
    </row>
    <row r="1207" customFormat="false" ht="15" hidden="false" customHeight="false" outlineLevel="0" collapsed="false">
      <c r="N1207" s="0" t="str">
        <f aca="false">IF(H1207="","",IFERROR(LEFT(H1207,FIND(" ",H1207)-1),H1207))</f>
        <v/>
      </c>
      <c r="O1207" s="20" t="n">
        <f aca="false">IFERROR(DATE(VALUE(MID(N1207,FIND("/",N1207,FIND("/",N1207)+1)+1,4)),VALUE(MID(N1207,FIND("/",N1207)+1,FIND("/",N1207,FIND("/",N1207)+1)-FIND("/",N1207)-1)),VALUE(LEFT(N1207,FIND("/",N1207)-1))),0)</f>
        <v>0</v>
      </c>
    </row>
    <row r="1208" customFormat="false" ht="15" hidden="false" customHeight="false" outlineLevel="0" collapsed="false">
      <c r="N1208" s="0" t="str">
        <f aca="false">IF(H1208="","",IFERROR(LEFT(H1208,FIND(" ",H1208)-1),H1208))</f>
        <v/>
      </c>
      <c r="O1208" s="20" t="n">
        <f aca="false">IFERROR(DATE(VALUE(MID(N1208,FIND("/",N1208,FIND("/",N1208)+1)+1,4)),VALUE(MID(N1208,FIND("/",N1208)+1,FIND("/",N1208,FIND("/",N1208)+1)-FIND("/",N1208)-1)),VALUE(LEFT(N1208,FIND("/",N1208)-1))),0)</f>
        <v>0</v>
      </c>
    </row>
    <row r="1209" customFormat="false" ht="15" hidden="false" customHeight="false" outlineLevel="0" collapsed="false">
      <c r="N1209" s="0" t="str">
        <f aca="false">IF(H1209="","",IFERROR(LEFT(H1209,FIND(" ",H1209)-1),H1209))</f>
        <v/>
      </c>
      <c r="O1209" s="20" t="n">
        <f aca="false">IFERROR(DATE(VALUE(MID(N1209,FIND("/",N1209,FIND("/",N1209)+1)+1,4)),VALUE(MID(N1209,FIND("/",N1209)+1,FIND("/",N1209,FIND("/",N1209)+1)-FIND("/",N1209)-1)),VALUE(LEFT(N1209,FIND("/",N1209)-1))),0)</f>
        <v>0</v>
      </c>
    </row>
    <row r="1210" customFormat="false" ht="15" hidden="false" customHeight="false" outlineLevel="0" collapsed="false">
      <c r="N1210" s="0" t="str">
        <f aca="false">IF(H1210="","",IFERROR(LEFT(H1210,FIND(" ",H1210)-1),H1210))</f>
        <v/>
      </c>
      <c r="O1210" s="20" t="n">
        <f aca="false">IFERROR(DATE(VALUE(MID(N1210,FIND("/",N1210,FIND("/",N1210)+1)+1,4)),VALUE(MID(N1210,FIND("/",N1210)+1,FIND("/",N1210,FIND("/",N1210)+1)-FIND("/",N1210)-1)),VALUE(LEFT(N1210,FIND("/",N1210)-1))),0)</f>
        <v>0</v>
      </c>
    </row>
    <row r="1211" customFormat="false" ht="15" hidden="false" customHeight="false" outlineLevel="0" collapsed="false">
      <c r="N1211" s="0" t="str">
        <f aca="false">IF(H1211="","",IFERROR(LEFT(H1211,FIND(" ",H1211)-1),H1211))</f>
        <v/>
      </c>
      <c r="O1211" s="20" t="n">
        <f aca="false">IFERROR(DATE(VALUE(MID(N1211,FIND("/",N1211,FIND("/",N1211)+1)+1,4)),VALUE(MID(N1211,FIND("/",N1211)+1,FIND("/",N1211,FIND("/",N1211)+1)-FIND("/",N1211)-1)),VALUE(LEFT(N1211,FIND("/",N1211)-1))),0)</f>
        <v>0</v>
      </c>
    </row>
    <row r="1212" customFormat="false" ht="15" hidden="false" customHeight="false" outlineLevel="0" collapsed="false">
      <c r="N1212" s="0" t="str">
        <f aca="false">IF(H1212="","",IFERROR(LEFT(H1212,FIND(" ",H1212)-1),H1212))</f>
        <v/>
      </c>
      <c r="O1212" s="20" t="n">
        <f aca="false">IFERROR(DATE(VALUE(MID(N1212,FIND("/",N1212,FIND("/",N1212)+1)+1,4)),VALUE(MID(N1212,FIND("/",N1212)+1,FIND("/",N1212,FIND("/",N1212)+1)-FIND("/",N1212)-1)),VALUE(LEFT(N1212,FIND("/",N1212)-1))),0)</f>
        <v>0</v>
      </c>
    </row>
    <row r="1213" customFormat="false" ht="15" hidden="false" customHeight="false" outlineLevel="0" collapsed="false">
      <c r="N1213" s="0" t="str">
        <f aca="false">IF(H1213="","",IFERROR(LEFT(H1213,FIND(" ",H1213)-1),H1213))</f>
        <v/>
      </c>
      <c r="O1213" s="20" t="n">
        <f aca="false">IFERROR(DATE(VALUE(MID(N1213,FIND("/",N1213,FIND("/",N1213)+1)+1,4)),VALUE(MID(N1213,FIND("/",N1213)+1,FIND("/",N1213,FIND("/",N1213)+1)-FIND("/",N1213)-1)),VALUE(LEFT(N1213,FIND("/",N1213)-1))),0)</f>
        <v>0</v>
      </c>
    </row>
    <row r="1214" customFormat="false" ht="15" hidden="false" customHeight="false" outlineLevel="0" collapsed="false">
      <c r="N1214" s="0" t="str">
        <f aca="false">IF(H1214="","",IFERROR(LEFT(H1214,FIND(" ",H1214)-1),H1214))</f>
        <v/>
      </c>
      <c r="O1214" s="20" t="n">
        <f aca="false">IFERROR(DATE(VALUE(MID(N1214,FIND("/",N1214,FIND("/",N1214)+1)+1,4)),VALUE(MID(N1214,FIND("/",N1214)+1,FIND("/",N1214,FIND("/",N1214)+1)-FIND("/",N1214)-1)),VALUE(LEFT(N1214,FIND("/",N1214)-1))),0)</f>
        <v>0</v>
      </c>
    </row>
    <row r="1215" customFormat="false" ht="15" hidden="false" customHeight="false" outlineLevel="0" collapsed="false">
      <c r="N1215" s="0" t="str">
        <f aca="false">IF(H1215="","",IFERROR(LEFT(H1215,FIND(" ",H1215)-1),H1215))</f>
        <v/>
      </c>
      <c r="O1215" s="20" t="n">
        <f aca="false">IFERROR(DATE(VALUE(MID(N1215,FIND("/",N1215,FIND("/",N1215)+1)+1,4)),VALUE(MID(N1215,FIND("/",N1215)+1,FIND("/",N1215,FIND("/",N1215)+1)-FIND("/",N1215)-1)),VALUE(LEFT(N1215,FIND("/",N1215)-1))),0)</f>
        <v>0</v>
      </c>
    </row>
    <row r="1216" customFormat="false" ht="15" hidden="false" customHeight="false" outlineLevel="0" collapsed="false">
      <c r="N1216" s="0" t="str">
        <f aca="false">IF(H1216="","",IFERROR(LEFT(H1216,FIND(" ",H1216)-1),H1216))</f>
        <v/>
      </c>
      <c r="O1216" s="20" t="n">
        <f aca="false">IFERROR(DATE(VALUE(MID(N1216,FIND("/",N1216,FIND("/",N1216)+1)+1,4)),VALUE(MID(N1216,FIND("/",N1216)+1,FIND("/",N1216,FIND("/",N1216)+1)-FIND("/",N1216)-1)),VALUE(LEFT(N1216,FIND("/",N1216)-1))),0)</f>
        <v>0</v>
      </c>
    </row>
    <row r="1217" customFormat="false" ht="15" hidden="false" customHeight="false" outlineLevel="0" collapsed="false">
      <c r="N1217" s="0" t="str">
        <f aca="false">IF(H1217="","",IFERROR(LEFT(H1217,FIND(" ",H1217)-1),H1217))</f>
        <v/>
      </c>
      <c r="O1217" s="20" t="n">
        <f aca="false">IFERROR(DATE(VALUE(MID(N1217,FIND("/",N1217,FIND("/",N1217)+1)+1,4)),VALUE(MID(N1217,FIND("/",N1217)+1,FIND("/",N1217,FIND("/",N1217)+1)-FIND("/",N1217)-1)),VALUE(LEFT(N1217,FIND("/",N1217)-1))),0)</f>
        <v>0</v>
      </c>
    </row>
    <row r="1218" customFormat="false" ht="15" hidden="false" customHeight="false" outlineLevel="0" collapsed="false">
      <c r="N1218" s="0" t="str">
        <f aca="false">IF(H1218="","",IFERROR(LEFT(H1218,FIND(" ",H1218)-1),H1218))</f>
        <v/>
      </c>
      <c r="O1218" s="20" t="n">
        <f aca="false">IFERROR(DATE(VALUE(MID(N1218,FIND("/",N1218,FIND("/",N1218)+1)+1,4)),VALUE(MID(N1218,FIND("/",N1218)+1,FIND("/",N1218,FIND("/",N1218)+1)-FIND("/",N1218)-1)),VALUE(LEFT(N1218,FIND("/",N1218)-1))),0)</f>
        <v>0</v>
      </c>
    </row>
    <row r="1219" customFormat="false" ht="15" hidden="false" customHeight="false" outlineLevel="0" collapsed="false">
      <c r="N1219" s="0" t="str">
        <f aca="false">IF(H1219="","",IFERROR(LEFT(H1219,FIND(" ",H1219)-1),H1219))</f>
        <v/>
      </c>
      <c r="O1219" s="20" t="n">
        <f aca="false">IFERROR(DATE(VALUE(MID(N1219,FIND("/",N1219,FIND("/",N1219)+1)+1,4)),VALUE(MID(N1219,FIND("/",N1219)+1,FIND("/",N1219,FIND("/",N1219)+1)-FIND("/",N1219)-1)),VALUE(LEFT(N1219,FIND("/",N1219)-1))),0)</f>
        <v>0</v>
      </c>
    </row>
    <row r="1220" customFormat="false" ht="15" hidden="false" customHeight="false" outlineLevel="0" collapsed="false">
      <c r="N1220" s="0" t="str">
        <f aca="false">IF(H1220="","",IFERROR(LEFT(H1220,FIND(" ",H1220)-1),H1220))</f>
        <v/>
      </c>
      <c r="O1220" s="20" t="n">
        <f aca="false">IFERROR(DATE(VALUE(MID(N1220,FIND("/",N1220,FIND("/",N1220)+1)+1,4)),VALUE(MID(N1220,FIND("/",N1220)+1,FIND("/",N1220,FIND("/",N1220)+1)-FIND("/",N1220)-1)),VALUE(LEFT(N1220,FIND("/",N1220)-1))),0)</f>
        <v>0</v>
      </c>
    </row>
    <row r="1221" customFormat="false" ht="15" hidden="false" customHeight="false" outlineLevel="0" collapsed="false">
      <c r="N1221" s="0" t="str">
        <f aca="false">IF(H1221="","",IFERROR(LEFT(H1221,FIND(" ",H1221)-1),H1221))</f>
        <v/>
      </c>
      <c r="O1221" s="20" t="n">
        <f aca="false">IFERROR(DATE(VALUE(MID(N1221,FIND("/",N1221,FIND("/",N1221)+1)+1,4)),VALUE(MID(N1221,FIND("/",N1221)+1,FIND("/",N1221,FIND("/",N1221)+1)-FIND("/",N1221)-1)),VALUE(LEFT(N1221,FIND("/",N1221)-1))),0)</f>
        <v>0</v>
      </c>
    </row>
    <row r="1222" customFormat="false" ht="15" hidden="false" customHeight="false" outlineLevel="0" collapsed="false">
      <c r="N1222" s="0" t="str">
        <f aca="false">IF(H1222="","",IFERROR(LEFT(H1222,FIND(" ",H1222)-1),H1222))</f>
        <v/>
      </c>
      <c r="O1222" s="20" t="n">
        <f aca="false">IFERROR(DATE(VALUE(MID(N1222,FIND("/",N1222,FIND("/",N1222)+1)+1,4)),VALUE(MID(N1222,FIND("/",N1222)+1,FIND("/",N1222,FIND("/",N1222)+1)-FIND("/",N1222)-1)),VALUE(LEFT(N1222,FIND("/",N1222)-1))),0)</f>
        <v>0</v>
      </c>
    </row>
    <row r="1223" customFormat="false" ht="15" hidden="false" customHeight="false" outlineLevel="0" collapsed="false">
      <c r="N1223" s="0" t="str">
        <f aca="false">IF(H1223="","",IFERROR(LEFT(H1223,FIND(" ",H1223)-1),H1223))</f>
        <v/>
      </c>
      <c r="O1223" s="20" t="n">
        <f aca="false">IFERROR(DATE(VALUE(MID(N1223,FIND("/",N1223,FIND("/",N1223)+1)+1,4)),VALUE(MID(N1223,FIND("/",N1223)+1,FIND("/",N1223,FIND("/",N1223)+1)-FIND("/",N1223)-1)),VALUE(LEFT(N1223,FIND("/",N1223)-1))),0)</f>
        <v>0</v>
      </c>
    </row>
    <row r="1224" customFormat="false" ht="15" hidden="false" customHeight="false" outlineLevel="0" collapsed="false">
      <c r="N1224" s="0" t="str">
        <f aca="false">IF(H1224="","",IFERROR(LEFT(H1224,FIND(" ",H1224)-1),H1224))</f>
        <v/>
      </c>
      <c r="O1224" s="20" t="n">
        <f aca="false">IFERROR(DATE(VALUE(MID(N1224,FIND("/",N1224,FIND("/",N1224)+1)+1,4)),VALUE(MID(N1224,FIND("/",N1224)+1,FIND("/",N1224,FIND("/",N1224)+1)-FIND("/",N1224)-1)),VALUE(LEFT(N1224,FIND("/",N1224)-1))),0)</f>
        <v>0</v>
      </c>
    </row>
    <row r="1225" customFormat="false" ht="15" hidden="false" customHeight="false" outlineLevel="0" collapsed="false">
      <c r="N1225" s="0" t="str">
        <f aca="false">IF(H1225="","",IFERROR(LEFT(H1225,FIND(" ",H1225)-1),H1225))</f>
        <v/>
      </c>
      <c r="O1225" s="20" t="n">
        <f aca="false">IFERROR(DATE(VALUE(MID(N1225,FIND("/",N1225,FIND("/",N1225)+1)+1,4)),VALUE(MID(N1225,FIND("/",N1225)+1,FIND("/",N1225,FIND("/",N1225)+1)-FIND("/",N1225)-1)),VALUE(LEFT(N1225,FIND("/",N1225)-1))),0)</f>
        <v>0</v>
      </c>
    </row>
    <row r="1226" customFormat="false" ht="15" hidden="false" customHeight="false" outlineLevel="0" collapsed="false">
      <c r="N1226" s="0" t="str">
        <f aca="false">IF(H1226="","",IFERROR(LEFT(H1226,FIND(" ",H1226)-1),H1226))</f>
        <v/>
      </c>
      <c r="O1226" s="20" t="n">
        <f aca="false">IFERROR(DATE(VALUE(MID(N1226,FIND("/",N1226,FIND("/",N1226)+1)+1,4)),VALUE(MID(N1226,FIND("/",N1226)+1,FIND("/",N1226,FIND("/",N1226)+1)-FIND("/",N1226)-1)),VALUE(LEFT(N1226,FIND("/",N1226)-1))),0)</f>
        <v>0</v>
      </c>
    </row>
    <row r="1227" customFormat="false" ht="15" hidden="false" customHeight="false" outlineLevel="0" collapsed="false">
      <c r="N1227" s="0" t="str">
        <f aca="false">IF(H1227="","",IFERROR(LEFT(H1227,FIND(" ",H1227)-1),H1227))</f>
        <v/>
      </c>
      <c r="O1227" s="20" t="n">
        <f aca="false">IFERROR(DATE(VALUE(MID(N1227,FIND("/",N1227,FIND("/",N1227)+1)+1,4)),VALUE(MID(N1227,FIND("/",N1227)+1,FIND("/",N1227,FIND("/",N1227)+1)-FIND("/",N1227)-1)),VALUE(LEFT(N1227,FIND("/",N1227)-1))),0)</f>
        <v>0</v>
      </c>
    </row>
    <row r="1228" customFormat="false" ht="15" hidden="false" customHeight="false" outlineLevel="0" collapsed="false">
      <c r="N1228" s="0" t="str">
        <f aca="false">IF(H1228="","",IFERROR(LEFT(H1228,FIND(" ",H1228)-1),H1228))</f>
        <v/>
      </c>
      <c r="O1228" s="20" t="n">
        <f aca="false">IFERROR(DATE(VALUE(MID(N1228,FIND("/",N1228,FIND("/",N1228)+1)+1,4)),VALUE(MID(N1228,FIND("/",N1228)+1,FIND("/",N1228,FIND("/",N1228)+1)-FIND("/",N1228)-1)),VALUE(LEFT(N1228,FIND("/",N1228)-1))),0)</f>
        <v>0</v>
      </c>
    </row>
    <row r="1229" customFormat="false" ht="15" hidden="false" customHeight="false" outlineLevel="0" collapsed="false">
      <c r="N1229" s="0" t="str">
        <f aca="false">IF(H1229="","",IFERROR(LEFT(H1229,FIND(" ",H1229)-1),H1229))</f>
        <v/>
      </c>
      <c r="O1229" s="20" t="n">
        <f aca="false">IFERROR(DATE(VALUE(MID(N1229,FIND("/",N1229,FIND("/",N1229)+1)+1,4)),VALUE(MID(N1229,FIND("/",N1229)+1,FIND("/",N1229,FIND("/",N1229)+1)-FIND("/",N1229)-1)),VALUE(LEFT(N1229,FIND("/",N1229)-1))),0)</f>
        <v>0</v>
      </c>
    </row>
    <row r="1230" customFormat="false" ht="15" hidden="false" customHeight="false" outlineLevel="0" collapsed="false">
      <c r="N1230" s="0" t="str">
        <f aca="false">IF(H1230="","",IFERROR(LEFT(H1230,FIND(" ",H1230)-1),H1230))</f>
        <v/>
      </c>
      <c r="O1230" s="20" t="n">
        <f aca="false">IFERROR(DATE(VALUE(MID(N1230,FIND("/",N1230,FIND("/",N1230)+1)+1,4)),VALUE(MID(N1230,FIND("/",N1230)+1,FIND("/",N1230,FIND("/",N1230)+1)-FIND("/",N1230)-1)),VALUE(LEFT(N1230,FIND("/",N1230)-1))),0)</f>
        <v>0</v>
      </c>
    </row>
    <row r="1231" customFormat="false" ht="15" hidden="false" customHeight="false" outlineLevel="0" collapsed="false">
      <c r="N1231" s="0" t="str">
        <f aca="false">IF(H1231="","",IFERROR(LEFT(H1231,FIND(" ",H1231)-1),H1231))</f>
        <v/>
      </c>
      <c r="O1231" s="20" t="n">
        <f aca="false">IFERROR(DATE(VALUE(MID(N1231,FIND("/",N1231,FIND("/",N1231)+1)+1,4)),VALUE(MID(N1231,FIND("/",N1231)+1,FIND("/",N1231,FIND("/",N1231)+1)-FIND("/",N1231)-1)),VALUE(LEFT(N1231,FIND("/",N1231)-1))),0)</f>
        <v>0</v>
      </c>
    </row>
    <row r="1232" customFormat="false" ht="15" hidden="false" customHeight="false" outlineLevel="0" collapsed="false">
      <c r="N1232" s="0" t="str">
        <f aca="false">IF(H1232="","",IFERROR(LEFT(H1232,FIND(" ",H1232)-1),H1232))</f>
        <v/>
      </c>
      <c r="O1232" s="20" t="n">
        <f aca="false">IFERROR(DATE(VALUE(MID(N1232,FIND("/",N1232,FIND("/",N1232)+1)+1,4)),VALUE(MID(N1232,FIND("/",N1232)+1,FIND("/",N1232,FIND("/",N1232)+1)-FIND("/",N1232)-1)),VALUE(LEFT(N1232,FIND("/",N1232)-1))),0)</f>
        <v>0</v>
      </c>
    </row>
    <row r="1233" customFormat="false" ht="15" hidden="false" customHeight="false" outlineLevel="0" collapsed="false">
      <c r="N1233" s="0" t="str">
        <f aca="false">IF(H1233="","",IFERROR(LEFT(H1233,FIND(" ",H1233)-1),H1233))</f>
        <v/>
      </c>
      <c r="O1233" s="20" t="n">
        <f aca="false">IFERROR(DATE(VALUE(MID(N1233,FIND("/",N1233,FIND("/",N1233)+1)+1,4)),VALUE(MID(N1233,FIND("/",N1233)+1,FIND("/",N1233,FIND("/",N1233)+1)-FIND("/",N1233)-1)),VALUE(LEFT(N1233,FIND("/",N1233)-1))),0)</f>
        <v>0</v>
      </c>
    </row>
    <row r="1234" customFormat="false" ht="15" hidden="false" customHeight="false" outlineLevel="0" collapsed="false">
      <c r="N1234" s="0" t="str">
        <f aca="false">IF(H1234="","",IFERROR(LEFT(H1234,FIND(" ",H1234)-1),H1234))</f>
        <v/>
      </c>
      <c r="O1234" s="20" t="n">
        <f aca="false">IFERROR(DATE(VALUE(MID(N1234,FIND("/",N1234,FIND("/",N1234)+1)+1,4)),VALUE(MID(N1234,FIND("/",N1234)+1,FIND("/",N1234,FIND("/",N1234)+1)-FIND("/",N1234)-1)),VALUE(LEFT(N1234,FIND("/",N1234)-1))),0)</f>
        <v>0</v>
      </c>
    </row>
    <row r="1235" customFormat="false" ht="15" hidden="false" customHeight="false" outlineLevel="0" collapsed="false">
      <c r="N1235" s="0" t="str">
        <f aca="false">IF(H1235="","",IFERROR(LEFT(H1235,FIND(" ",H1235)-1),H1235))</f>
        <v/>
      </c>
      <c r="O1235" s="20" t="n">
        <f aca="false">IFERROR(DATE(VALUE(MID(N1235,FIND("/",N1235,FIND("/",N1235)+1)+1,4)),VALUE(MID(N1235,FIND("/",N1235)+1,FIND("/",N1235,FIND("/",N1235)+1)-FIND("/",N1235)-1)),VALUE(LEFT(N1235,FIND("/",N1235)-1))),0)</f>
        <v>0</v>
      </c>
    </row>
    <row r="1236" customFormat="false" ht="15" hidden="false" customHeight="false" outlineLevel="0" collapsed="false">
      <c r="N1236" s="0" t="str">
        <f aca="false">IF(H1236="","",IFERROR(LEFT(H1236,FIND(" ",H1236)-1),H1236))</f>
        <v/>
      </c>
      <c r="O1236" s="20" t="n">
        <f aca="false">IFERROR(DATE(VALUE(MID(N1236,FIND("/",N1236,FIND("/",N1236)+1)+1,4)),VALUE(MID(N1236,FIND("/",N1236)+1,FIND("/",N1236,FIND("/",N1236)+1)-FIND("/",N1236)-1)),VALUE(LEFT(N1236,FIND("/",N1236)-1))),0)</f>
        <v>0</v>
      </c>
    </row>
    <row r="1237" customFormat="false" ht="15" hidden="false" customHeight="false" outlineLevel="0" collapsed="false">
      <c r="N1237" s="0" t="str">
        <f aca="false">IF(H1237="","",IFERROR(LEFT(H1237,FIND(" ",H1237)-1),H1237))</f>
        <v/>
      </c>
      <c r="O1237" s="20" t="n">
        <f aca="false">IFERROR(DATE(VALUE(MID(N1237,FIND("/",N1237,FIND("/",N1237)+1)+1,4)),VALUE(MID(N1237,FIND("/",N1237)+1,FIND("/",N1237,FIND("/",N1237)+1)-FIND("/",N1237)-1)),VALUE(LEFT(N1237,FIND("/",N1237)-1))),0)</f>
        <v>0</v>
      </c>
    </row>
    <row r="1238" customFormat="false" ht="15" hidden="false" customHeight="false" outlineLevel="0" collapsed="false">
      <c r="N1238" s="0" t="str">
        <f aca="false">IF(H1238="","",IFERROR(LEFT(H1238,FIND(" ",H1238)-1),H1238))</f>
        <v/>
      </c>
      <c r="O1238" s="20" t="n">
        <f aca="false">IFERROR(DATE(VALUE(MID(N1238,FIND("/",N1238,FIND("/",N1238)+1)+1,4)),VALUE(MID(N1238,FIND("/",N1238)+1,FIND("/",N1238,FIND("/",N1238)+1)-FIND("/",N1238)-1)),VALUE(LEFT(N1238,FIND("/",N1238)-1))),0)</f>
        <v>0</v>
      </c>
    </row>
    <row r="1239" customFormat="false" ht="15" hidden="false" customHeight="false" outlineLevel="0" collapsed="false">
      <c r="N1239" s="0" t="str">
        <f aca="false">IF(H1239="","",IFERROR(LEFT(H1239,FIND(" ",H1239)-1),H1239))</f>
        <v/>
      </c>
      <c r="O1239" s="20" t="n">
        <f aca="false">IFERROR(DATE(VALUE(MID(N1239,FIND("/",N1239,FIND("/",N1239)+1)+1,4)),VALUE(MID(N1239,FIND("/",N1239)+1,FIND("/",N1239,FIND("/",N1239)+1)-FIND("/",N1239)-1)),VALUE(LEFT(N1239,FIND("/",N1239)-1))),0)</f>
        <v>0</v>
      </c>
    </row>
    <row r="1240" customFormat="false" ht="15" hidden="false" customHeight="false" outlineLevel="0" collapsed="false">
      <c r="N1240" s="0" t="str">
        <f aca="false">IF(H1240="","",IFERROR(LEFT(H1240,FIND(" ",H1240)-1),H1240))</f>
        <v/>
      </c>
      <c r="O1240" s="20" t="n">
        <f aca="false">IFERROR(DATE(VALUE(MID(N1240,FIND("/",N1240,FIND("/",N1240)+1)+1,4)),VALUE(MID(N1240,FIND("/",N1240)+1,FIND("/",N1240,FIND("/",N1240)+1)-FIND("/",N1240)-1)),VALUE(LEFT(N1240,FIND("/",N1240)-1))),0)</f>
        <v>0</v>
      </c>
    </row>
    <row r="1241" customFormat="false" ht="15" hidden="false" customHeight="false" outlineLevel="0" collapsed="false">
      <c r="N1241" s="0" t="str">
        <f aca="false">IF(H1241="","",IFERROR(LEFT(H1241,FIND(" ",H1241)-1),H1241))</f>
        <v/>
      </c>
      <c r="O1241" s="20" t="n">
        <f aca="false">IFERROR(DATE(VALUE(MID(N1241,FIND("/",N1241,FIND("/",N1241)+1)+1,4)),VALUE(MID(N1241,FIND("/",N1241)+1,FIND("/",N1241,FIND("/",N1241)+1)-FIND("/",N1241)-1)),VALUE(LEFT(N1241,FIND("/",N1241)-1))),0)</f>
        <v>0</v>
      </c>
    </row>
    <row r="1242" customFormat="false" ht="15" hidden="false" customHeight="false" outlineLevel="0" collapsed="false">
      <c r="N1242" s="0" t="str">
        <f aca="false">IF(H1242="","",IFERROR(LEFT(H1242,FIND(" ",H1242)-1),H1242))</f>
        <v/>
      </c>
      <c r="O1242" s="20" t="n">
        <f aca="false">IFERROR(DATE(VALUE(MID(N1242,FIND("/",N1242,FIND("/",N1242)+1)+1,4)),VALUE(MID(N1242,FIND("/",N1242)+1,FIND("/",N1242,FIND("/",N1242)+1)-FIND("/",N1242)-1)),VALUE(LEFT(N1242,FIND("/",N1242)-1))),0)</f>
        <v>0</v>
      </c>
    </row>
    <row r="1243" customFormat="false" ht="15" hidden="false" customHeight="false" outlineLevel="0" collapsed="false">
      <c r="N1243" s="0" t="str">
        <f aca="false">IF(H1243="","",IFERROR(LEFT(H1243,FIND(" ",H1243)-1),H1243))</f>
        <v/>
      </c>
      <c r="O1243" s="20" t="n">
        <f aca="false">IFERROR(DATE(VALUE(MID(N1243,FIND("/",N1243,FIND("/",N1243)+1)+1,4)),VALUE(MID(N1243,FIND("/",N1243)+1,FIND("/",N1243,FIND("/",N1243)+1)-FIND("/",N1243)-1)),VALUE(LEFT(N1243,FIND("/",N1243)-1))),0)</f>
        <v>0</v>
      </c>
    </row>
    <row r="1244" customFormat="false" ht="15" hidden="false" customHeight="false" outlineLevel="0" collapsed="false">
      <c r="N1244" s="0" t="str">
        <f aca="false">IF(H1244="","",IFERROR(LEFT(H1244,FIND(" ",H1244)-1),H1244))</f>
        <v/>
      </c>
      <c r="O1244" s="20" t="n">
        <f aca="false">IFERROR(DATE(VALUE(MID(N1244,FIND("/",N1244,FIND("/",N1244)+1)+1,4)),VALUE(MID(N1244,FIND("/",N1244)+1,FIND("/",N1244,FIND("/",N1244)+1)-FIND("/",N1244)-1)),VALUE(LEFT(N1244,FIND("/",N1244)-1))),0)</f>
        <v>0</v>
      </c>
    </row>
    <row r="1245" customFormat="false" ht="15" hidden="false" customHeight="false" outlineLevel="0" collapsed="false">
      <c r="N1245" s="0" t="str">
        <f aca="false">IF(H1245="","",IFERROR(LEFT(H1245,FIND(" ",H1245)-1),H1245))</f>
        <v/>
      </c>
      <c r="O1245" s="20" t="n">
        <f aca="false">IFERROR(DATE(VALUE(MID(N1245,FIND("/",N1245,FIND("/",N1245)+1)+1,4)),VALUE(MID(N1245,FIND("/",N1245)+1,FIND("/",N1245,FIND("/",N1245)+1)-FIND("/",N1245)-1)),VALUE(LEFT(N1245,FIND("/",N1245)-1))),0)</f>
        <v>0</v>
      </c>
    </row>
    <row r="1246" customFormat="false" ht="15" hidden="false" customHeight="false" outlineLevel="0" collapsed="false">
      <c r="N1246" s="0" t="str">
        <f aca="false">IF(H1246="","",IFERROR(LEFT(H1246,FIND(" ",H1246)-1),H1246))</f>
        <v/>
      </c>
      <c r="O1246" s="20" t="n">
        <f aca="false">IFERROR(DATE(VALUE(MID(N1246,FIND("/",N1246,FIND("/",N1246)+1)+1,4)),VALUE(MID(N1246,FIND("/",N1246)+1,FIND("/",N1246,FIND("/",N1246)+1)-FIND("/",N1246)-1)),VALUE(LEFT(N1246,FIND("/",N1246)-1))),0)</f>
        <v>0</v>
      </c>
    </row>
    <row r="1247" customFormat="false" ht="15" hidden="false" customHeight="false" outlineLevel="0" collapsed="false">
      <c r="N1247" s="0" t="str">
        <f aca="false">IF(H1247="","",IFERROR(LEFT(H1247,FIND(" ",H1247)-1),H1247))</f>
        <v/>
      </c>
      <c r="O1247" s="20" t="n">
        <f aca="false">IFERROR(DATE(VALUE(MID(N1247,FIND("/",N1247,FIND("/",N1247)+1)+1,4)),VALUE(MID(N1247,FIND("/",N1247)+1,FIND("/",N1247,FIND("/",N1247)+1)-FIND("/",N1247)-1)),VALUE(LEFT(N1247,FIND("/",N1247)-1))),0)</f>
        <v>0</v>
      </c>
    </row>
    <row r="1248" customFormat="false" ht="15" hidden="false" customHeight="false" outlineLevel="0" collapsed="false">
      <c r="N1248" s="0" t="str">
        <f aca="false">IF(H1248="","",IFERROR(LEFT(H1248,FIND(" ",H1248)-1),H1248))</f>
        <v/>
      </c>
      <c r="O1248" s="20" t="n">
        <f aca="false">IFERROR(DATE(VALUE(MID(N1248,FIND("/",N1248,FIND("/",N1248)+1)+1,4)),VALUE(MID(N1248,FIND("/",N1248)+1,FIND("/",N1248,FIND("/",N1248)+1)-FIND("/",N1248)-1)),VALUE(LEFT(N1248,FIND("/",N1248)-1))),0)</f>
        <v>0</v>
      </c>
    </row>
    <row r="1249" customFormat="false" ht="15" hidden="false" customHeight="false" outlineLevel="0" collapsed="false">
      <c r="N1249" s="0" t="str">
        <f aca="false">IF(H1249="","",IFERROR(LEFT(H1249,FIND(" ",H1249)-1),H1249))</f>
        <v/>
      </c>
      <c r="O1249" s="20" t="n">
        <f aca="false">IFERROR(DATE(VALUE(MID(N1249,FIND("/",N1249,FIND("/",N1249)+1)+1,4)),VALUE(MID(N1249,FIND("/",N1249)+1,FIND("/",N1249,FIND("/",N1249)+1)-FIND("/",N1249)-1)),VALUE(LEFT(N1249,FIND("/",N1249)-1))),0)</f>
        <v>0</v>
      </c>
    </row>
    <row r="1250" customFormat="false" ht="15" hidden="false" customHeight="false" outlineLevel="0" collapsed="false">
      <c r="N1250" s="0" t="str">
        <f aca="false">IF(H1250="","",IFERROR(LEFT(H1250,FIND(" ",H1250)-1),H1250))</f>
        <v/>
      </c>
      <c r="O1250" s="20" t="n">
        <f aca="false">IFERROR(DATE(VALUE(MID(N1250,FIND("/",N1250,FIND("/",N1250)+1)+1,4)),VALUE(MID(N1250,FIND("/",N1250)+1,FIND("/",N1250,FIND("/",N1250)+1)-FIND("/",N1250)-1)),VALUE(LEFT(N1250,FIND("/",N1250)-1))),0)</f>
        <v>0</v>
      </c>
    </row>
    <row r="1251" customFormat="false" ht="15" hidden="false" customHeight="false" outlineLevel="0" collapsed="false">
      <c r="N1251" s="0" t="str">
        <f aca="false">IF(H1251="","",IFERROR(LEFT(H1251,FIND(" ",H1251)-1),H1251))</f>
        <v/>
      </c>
      <c r="O1251" s="20" t="n">
        <f aca="false">IFERROR(DATE(VALUE(MID(N1251,FIND("/",N1251,FIND("/",N1251)+1)+1,4)),VALUE(MID(N1251,FIND("/",N1251)+1,FIND("/",N1251,FIND("/",N1251)+1)-FIND("/",N1251)-1)),VALUE(LEFT(N1251,FIND("/",N1251)-1))),0)</f>
        <v>0</v>
      </c>
    </row>
    <row r="1252" customFormat="false" ht="15" hidden="false" customHeight="false" outlineLevel="0" collapsed="false">
      <c r="N1252" s="0" t="str">
        <f aca="false">IF(H1252="","",IFERROR(LEFT(H1252,FIND(" ",H1252)-1),H1252))</f>
        <v/>
      </c>
      <c r="O1252" s="20" t="n">
        <f aca="false">IFERROR(DATE(VALUE(MID(N1252,FIND("/",N1252,FIND("/",N1252)+1)+1,4)),VALUE(MID(N1252,FIND("/",N1252)+1,FIND("/",N1252,FIND("/",N1252)+1)-FIND("/",N1252)-1)),VALUE(LEFT(N1252,FIND("/",N1252)-1))),0)</f>
        <v>0</v>
      </c>
    </row>
    <row r="1253" customFormat="false" ht="15" hidden="false" customHeight="false" outlineLevel="0" collapsed="false">
      <c r="N1253" s="0" t="str">
        <f aca="false">IF(H1253="","",IFERROR(LEFT(H1253,FIND(" ",H1253)-1),H1253))</f>
        <v/>
      </c>
      <c r="O1253" s="20" t="n">
        <f aca="false">IFERROR(DATE(VALUE(MID(N1253,FIND("/",N1253,FIND("/",N1253)+1)+1,4)),VALUE(MID(N1253,FIND("/",N1253)+1,FIND("/",N1253,FIND("/",N1253)+1)-FIND("/",N1253)-1)),VALUE(LEFT(N1253,FIND("/",N1253)-1))),0)</f>
        <v>0</v>
      </c>
    </row>
    <row r="1254" customFormat="false" ht="15" hidden="false" customHeight="false" outlineLevel="0" collapsed="false">
      <c r="N1254" s="0" t="str">
        <f aca="false">IF(H1254="","",IFERROR(LEFT(H1254,FIND(" ",H1254)-1),H1254))</f>
        <v/>
      </c>
      <c r="O1254" s="20" t="n">
        <f aca="false">IFERROR(DATE(VALUE(MID(N1254,FIND("/",N1254,FIND("/",N1254)+1)+1,4)),VALUE(MID(N1254,FIND("/",N1254)+1,FIND("/",N1254,FIND("/",N1254)+1)-FIND("/",N1254)-1)),VALUE(LEFT(N1254,FIND("/",N1254)-1))),0)</f>
        <v>0</v>
      </c>
    </row>
    <row r="1255" customFormat="false" ht="15" hidden="false" customHeight="false" outlineLevel="0" collapsed="false">
      <c r="N1255" s="0" t="str">
        <f aca="false">IF(H1255="","",IFERROR(LEFT(H1255,FIND(" ",H1255)-1),H1255))</f>
        <v/>
      </c>
      <c r="O1255" s="20" t="n">
        <f aca="false">IFERROR(DATE(VALUE(MID(N1255,FIND("/",N1255,FIND("/",N1255)+1)+1,4)),VALUE(MID(N1255,FIND("/",N1255)+1,FIND("/",N1255,FIND("/",N1255)+1)-FIND("/",N1255)-1)),VALUE(LEFT(N1255,FIND("/",N1255)-1))),0)</f>
        <v>0</v>
      </c>
    </row>
    <row r="1256" customFormat="false" ht="15" hidden="false" customHeight="false" outlineLevel="0" collapsed="false">
      <c r="N1256" s="0" t="str">
        <f aca="false">IF(H1256="","",IFERROR(LEFT(H1256,FIND(" ",H1256)-1),H1256))</f>
        <v/>
      </c>
      <c r="O1256" s="20" t="n">
        <f aca="false">IFERROR(DATE(VALUE(MID(N1256,FIND("/",N1256,FIND("/",N1256)+1)+1,4)),VALUE(MID(N1256,FIND("/",N1256)+1,FIND("/",N1256,FIND("/",N1256)+1)-FIND("/",N1256)-1)),VALUE(LEFT(N1256,FIND("/",N1256)-1))),0)</f>
        <v>0</v>
      </c>
    </row>
    <row r="1257" customFormat="false" ht="15" hidden="false" customHeight="false" outlineLevel="0" collapsed="false">
      <c r="N1257" s="0" t="str">
        <f aca="false">IF(H1257="","",IFERROR(LEFT(H1257,FIND(" ",H1257)-1),H1257))</f>
        <v/>
      </c>
      <c r="O1257" s="20" t="n">
        <f aca="false">IFERROR(DATE(VALUE(MID(N1257,FIND("/",N1257,FIND("/",N1257)+1)+1,4)),VALUE(MID(N1257,FIND("/",N1257)+1,FIND("/",N1257,FIND("/",N1257)+1)-FIND("/",N1257)-1)),VALUE(LEFT(N1257,FIND("/",N1257)-1))),0)</f>
        <v>0</v>
      </c>
    </row>
    <row r="1258" customFormat="false" ht="15" hidden="false" customHeight="false" outlineLevel="0" collapsed="false">
      <c r="N1258" s="0" t="str">
        <f aca="false">IF(H1258="","",IFERROR(LEFT(H1258,FIND(" ",H1258)-1),H1258))</f>
        <v/>
      </c>
      <c r="O1258" s="20" t="n">
        <f aca="false">IFERROR(DATE(VALUE(MID(N1258,FIND("/",N1258,FIND("/",N1258)+1)+1,4)),VALUE(MID(N1258,FIND("/",N1258)+1,FIND("/",N1258,FIND("/",N1258)+1)-FIND("/",N1258)-1)),VALUE(LEFT(N1258,FIND("/",N1258)-1))),0)</f>
        <v>0</v>
      </c>
    </row>
    <row r="1259" customFormat="false" ht="15" hidden="false" customHeight="false" outlineLevel="0" collapsed="false">
      <c r="N1259" s="0" t="str">
        <f aca="false">IF(H1259="","",IFERROR(LEFT(H1259,FIND(" ",H1259)-1),H1259))</f>
        <v/>
      </c>
      <c r="O1259" s="20" t="n">
        <f aca="false">IFERROR(DATE(VALUE(MID(N1259,FIND("/",N1259,FIND("/",N1259)+1)+1,4)),VALUE(MID(N1259,FIND("/",N1259)+1,FIND("/",N1259,FIND("/",N1259)+1)-FIND("/",N1259)-1)),VALUE(LEFT(N1259,FIND("/",N1259)-1))),0)</f>
        <v>0</v>
      </c>
    </row>
    <row r="1260" customFormat="false" ht="15" hidden="false" customHeight="false" outlineLevel="0" collapsed="false">
      <c r="N1260" s="0" t="str">
        <f aca="false">IF(H1260="","",IFERROR(LEFT(H1260,FIND(" ",H1260)-1),H1260))</f>
        <v/>
      </c>
      <c r="O1260" s="20" t="n">
        <f aca="false">IFERROR(DATE(VALUE(MID(N1260,FIND("/",N1260,FIND("/",N1260)+1)+1,4)),VALUE(MID(N1260,FIND("/",N1260)+1,FIND("/",N1260,FIND("/",N1260)+1)-FIND("/",N1260)-1)),VALUE(LEFT(N1260,FIND("/",N1260)-1))),0)</f>
        <v>0</v>
      </c>
    </row>
    <row r="1261" customFormat="false" ht="15" hidden="false" customHeight="false" outlineLevel="0" collapsed="false">
      <c r="N1261" s="0" t="str">
        <f aca="false">IF(H1261="","",IFERROR(LEFT(H1261,FIND(" ",H1261)-1),H1261))</f>
        <v/>
      </c>
      <c r="O1261" s="20" t="n">
        <f aca="false">IFERROR(DATE(VALUE(MID(N1261,FIND("/",N1261,FIND("/",N1261)+1)+1,4)),VALUE(MID(N1261,FIND("/",N1261)+1,FIND("/",N1261,FIND("/",N1261)+1)-FIND("/",N1261)-1)),VALUE(LEFT(N1261,FIND("/",N1261)-1))),0)</f>
        <v>0</v>
      </c>
    </row>
    <row r="1262" customFormat="false" ht="15" hidden="false" customHeight="false" outlineLevel="0" collapsed="false">
      <c r="N1262" s="0" t="str">
        <f aca="false">IF(H1262="","",IFERROR(LEFT(H1262,FIND(" ",H1262)-1),H1262))</f>
        <v/>
      </c>
      <c r="O1262" s="20" t="n">
        <f aca="false">IFERROR(DATE(VALUE(MID(N1262,FIND("/",N1262,FIND("/",N1262)+1)+1,4)),VALUE(MID(N1262,FIND("/",N1262)+1,FIND("/",N1262,FIND("/",N1262)+1)-FIND("/",N1262)-1)),VALUE(LEFT(N1262,FIND("/",N1262)-1))),0)</f>
        <v>0</v>
      </c>
    </row>
    <row r="1263" customFormat="false" ht="15" hidden="false" customHeight="false" outlineLevel="0" collapsed="false">
      <c r="N1263" s="0" t="str">
        <f aca="false">IF(H1263="","",IFERROR(LEFT(H1263,FIND(" ",H1263)-1),H1263))</f>
        <v/>
      </c>
      <c r="O1263" s="20" t="n">
        <f aca="false">IFERROR(DATE(VALUE(MID(N1263,FIND("/",N1263,FIND("/",N1263)+1)+1,4)),VALUE(MID(N1263,FIND("/",N1263)+1,FIND("/",N1263,FIND("/",N1263)+1)-FIND("/",N1263)-1)),VALUE(LEFT(N1263,FIND("/",N1263)-1))),0)</f>
        <v>0</v>
      </c>
    </row>
    <row r="1264" customFormat="false" ht="15" hidden="false" customHeight="false" outlineLevel="0" collapsed="false">
      <c r="N1264" s="0" t="str">
        <f aca="false">IF(H1264="","",IFERROR(LEFT(H1264,FIND(" ",H1264)-1),H1264))</f>
        <v/>
      </c>
      <c r="O1264" s="20" t="n">
        <f aca="false">IFERROR(DATE(VALUE(MID(N1264,FIND("/",N1264,FIND("/",N1264)+1)+1,4)),VALUE(MID(N1264,FIND("/",N1264)+1,FIND("/",N1264,FIND("/",N1264)+1)-FIND("/",N1264)-1)),VALUE(LEFT(N1264,FIND("/",N1264)-1))),0)</f>
        <v>0</v>
      </c>
    </row>
    <row r="1265" customFormat="false" ht="15" hidden="false" customHeight="false" outlineLevel="0" collapsed="false">
      <c r="N1265" s="0" t="str">
        <f aca="false">IF(H1265="","",IFERROR(LEFT(H1265,FIND(" ",H1265)-1),H1265))</f>
        <v/>
      </c>
      <c r="O1265" s="20" t="n">
        <f aca="false">IFERROR(DATE(VALUE(MID(N1265,FIND("/",N1265,FIND("/",N1265)+1)+1,4)),VALUE(MID(N1265,FIND("/",N1265)+1,FIND("/",N1265,FIND("/",N1265)+1)-FIND("/",N1265)-1)),VALUE(LEFT(N1265,FIND("/",N1265)-1))),0)</f>
        <v>0</v>
      </c>
    </row>
    <row r="1266" customFormat="false" ht="15" hidden="false" customHeight="false" outlineLevel="0" collapsed="false">
      <c r="N1266" s="0" t="str">
        <f aca="false">IF(H1266="","",IFERROR(LEFT(H1266,FIND(" ",H1266)-1),H1266))</f>
        <v/>
      </c>
      <c r="O1266" s="20" t="n">
        <f aca="false">IFERROR(DATE(VALUE(MID(N1266,FIND("/",N1266,FIND("/",N1266)+1)+1,4)),VALUE(MID(N1266,FIND("/",N1266)+1,FIND("/",N1266,FIND("/",N1266)+1)-FIND("/",N1266)-1)),VALUE(LEFT(N1266,FIND("/",N1266)-1))),0)</f>
        <v>0</v>
      </c>
    </row>
    <row r="1267" customFormat="false" ht="15" hidden="false" customHeight="false" outlineLevel="0" collapsed="false">
      <c r="N1267" s="0" t="str">
        <f aca="false">IF(H1267="","",IFERROR(LEFT(H1267,FIND(" ",H1267)-1),H1267))</f>
        <v/>
      </c>
      <c r="O1267" s="20" t="n">
        <f aca="false">IFERROR(DATE(VALUE(MID(N1267,FIND("/",N1267,FIND("/",N1267)+1)+1,4)),VALUE(MID(N1267,FIND("/",N1267)+1,FIND("/",N1267,FIND("/",N1267)+1)-FIND("/",N1267)-1)),VALUE(LEFT(N1267,FIND("/",N1267)-1))),0)</f>
        <v>0</v>
      </c>
    </row>
    <row r="1268" customFormat="false" ht="15" hidden="false" customHeight="false" outlineLevel="0" collapsed="false">
      <c r="N1268" s="0" t="str">
        <f aca="false">IF(H1268="","",IFERROR(LEFT(H1268,FIND(" ",H1268)-1),H1268))</f>
        <v/>
      </c>
      <c r="O1268" s="20" t="n">
        <f aca="false">IFERROR(DATE(VALUE(MID(N1268,FIND("/",N1268,FIND("/",N1268)+1)+1,4)),VALUE(MID(N1268,FIND("/",N1268)+1,FIND("/",N1268,FIND("/",N1268)+1)-FIND("/",N1268)-1)),VALUE(LEFT(N1268,FIND("/",N1268)-1))),0)</f>
        <v>0</v>
      </c>
    </row>
    <row r="1269" customFormat="false" ht="15" hidden="false" customHeight="false" outlineLevel="0" collapsed="false">
      <c r="N1269" s="0" t="str">
        <f aca="false">IF(H1269="","",IFERROR(LEFT(H1269,FIND(" ",H1269)-1),H1269))</f>
        <v/>
      </c>
      <c r="O1269" s="20" t="n">
        <f aca="false">IFERROR(DATE(VALUE(MID(N1269,FIND("/",N1269,FIND("/",N1269)+1)+1,4)),VALUE(MID(N1269,FIND("/",N1269)+1,FIND("/",N1269,FIND("/",N1269)+1)-FIND("/",N1269)-1)),VALUE(LEFT(N1269,FIND("/",N1269)-1))),0)</f>
        <v>0</v>
      </c>
    </row>
    <row r="1270" customFormat="false" ht="15" hidden="false" customHeight="false" outlineLevel="0" collapsed="false">
      <c r="N1270" s="0" t="str">
        <f aca="false">IF(H1270="","",IFERROR(LEFT(H1270,FIND(" ",H1270)-1),H1270))</f>
        <v/>
      </c>
      <c r="O1270" s="20" t="n">
        <f aca="false">IFERROR(DATE(VALUE(MID(N1270,FIND("/",N1270,FIND("/",N1270)+1)+1,4)),VALUE(MID(N1270,FIND("/",N1270)+1,FIND("/",N1270,FIND("/",N1270)+1)-FIND("/",N1270)-1)),VALUE(LEFT(N1270,FIND("/",N1270)-1))),0)</f>
        <v>0</v>
      </c>
    </row>
    <row r="1271" customFormat="false" ht="15" hidden="false" customHeight="false" outlineLevel="0" collapsed="false">
      <c r="N1271" s="0" t="str">
        <f aca="false">IF(H1271="","",IFERROR(LEFT(H1271,FIND(" ",H1271)-1),H1271))</f>
        <v/>
      </c>
      <c r="O1271" s="20" t="n">
        <f aca="false">IFERROR(DATE(VALUE(MID(N1271,FIND("/",N1271,FIND("/",N1271)+1)+1,4)),VALUE(MID(N1271,FIND("/",N1271)+1,FIND("/",N1271,FIND("/",N1271)+1)-FIND("/",N1271)-1)),VALUE(LEFT(N1271,FIND("/",N1271)-1))),0)</f>
        <v>0</v>
      </c>
    </row>
    <row r="1272" customFormat="false" ht="15" hidden="false" customHeight="false" outlineLevel="0" collapsed="false">
      <c r="N1272" s="0" t="str">
        <f aca="false">IF(H1272="","",IFERROR(LEFT(H1272,FIND(" ",H1272)-1),H1272))</f>
        <v/>
      </c>
      <c r="O1272" s="20" t="n">
        <f aca="false">IFERROR(DATE(VALUE(MID(N1272,FIND("/",N1272,FIND("/",N1272)+1)+1,4)),VALUE(MID(N1272,FIND("/",N1272)+1,FIND("/",N1272,FIND("/",N1272)+1)-FIND("/",N1272)-1)),VALUE(LEFT(N1272,FIND("/",N1272)-1))),0)</f>
        <v>0</v>
      </c>
    </row>
    <row r="1273" customFormat="false" ht="15" hidden="false" customHeight="false" outlineLevel="0" collapsed="false">
      <c r="N1273" s="0" t="str">
        <f aca="false">IF(H1273="","",IFERROR(LEFT(H1273,FIND(" ",H1273)-1),H1273))</f>
        <v/>
      </c>
      <c r="O1273" s="20" t="n">
        <f aca="false">IFERROR(DATE(VALUE(MID(N1273,FIND("/",N1273,FIND("/",N1273)+1)+1,4)),VALUE(MID(N1273,FIND("/",N1273)+1,FIND("/",N1273,FIND("/",N1273)+1)-FIND("/",N1273)-1)),VALUE(LEFT(N1273,FIND("/",N1273)-1))),0)</f>
        <v>0</v>
      </c>
    </row>
    <row r="1274" customFormat="false" ht="15" hidden="false" customHeight="false" outlineLevel="0" collapsed="false">
      <c r="N1274" s="0" t="str">
        <f aca="false">IF(H1274="","",IFERROR(LEFT(H1274,FIND(" ",H1274)-1),H1274))</f>
        <v/>
      </c>
      <c r="O1274" s="20" t="n">
        <f aca="false">IFERROR(DATE(VALUE(MID(N1274,FIND("/",N1274,FIND("/",N1274)+1)+1,4)),VALUE(MID(N1274,FIND("/",N1274)+1,FIND("/",N1274,FIND("/",N1274)+1)-FIND("/",N1274)-1)),VALUE(LEFT(N1274,FIND("/",N1274)-1))),0)</f>
        <v>0</v>
      </c>
    </row>
    <row r="1275" customFormat="false" ht="15" hidden="false" customHeight="false" outlineLevel="0" collapsed="false">
      <c r="N1275" s="0" t="str">
        <f aca="false">IF(H1275="","",IFERROR(LEFT(H1275,FIND(" ",H1275)-1),H1275))</f>
        <v/>
      </c>
      <c r="O1275" s="20" t="n">
        <f aca="false">IFERROR(DATE(VALUE(MID(N1275,FIND("/",N1275,FIND("/",N1275)+1)+1,4)),VALUE(MID(N1275,FIND("/",N1275)+1,FIND("/",N1275,FIND("/",N1275)+1)-FIND("/",N1275)-1)),VALUE(LEFT(N1275,FIND("/",N1275)-1))),0)</f>
        <v>0</v>
      </c>
    </row>
    <row r="1276" customFormat="false" ht="15" hidden="false" customHeight="false" outlineLevel="0" collapsed="false">
      <c r="N1276" s="0" t="str">
        <f aca="false">IF(H1276="","",IFERROR(LEFT(H1276,FIND(" ",H1276)-1),H1276))</f>
        <v/>
      </c>
      <c r="O1276" s="20" t="n">
        <f aca="false">IFERROR(DATE(VALUE(MID(N1276,FIND("/",N1276,FIND("/",N1276)+1)+1,4)),VALUE(MID(N1276,FIND("/",N1276)+1,FIND("/",N1276,FIND("/",N1276)+1)-FIND("/",N1276)-1)),VALUE(LEFT(N1276,FIND("/",N1276)-1))),0)</f>
        <v>0</v>
      </c>
    </row>
    <row r="1277" customFormat="false" ht="15" hidden="false" customHeight="false" outlineLevel="0" collapsed="false">
      <c r="N1277" s="0" t="str">
        <f aca="false">IF(H1277="","",IFERROR(LEFT(H1277,FIND(" ",H1277)-1),H1277))</f>
        <v/>
      </c>
      <c r="O1277" s="20" t="n">
        <f aca="false">IFERROR(DATE(VALUE(MID(N1277,FIND("/",N1277,FIND("/",N1277)+1)+1,4)),VALUE(MID(N1277,FIND("/",N1277)+1,FIND("/",N1277,FIND("/",N1277)+1)-FIND("/",N1277)-1)),VALUE(LEFT(N1277,FIND("/",N1277)-1))),0)</f>
        <v>0</v>
      </c>
    </row>
    <row r="1278" customFormat="false" ht="15" hidden="false" customHeight="false" outlineLevel="0" collapsed="false">
      <c r="N1278" s="0" t="str">
        <f aca="false">IF(H1278="","",IFERROR(LEFT(H1278,FIND(" ",H1278)-1),H1278))</f>
        <v/>
      </c>
      <c r="O1278" s="20" t="n">
        <f aca="false">IFERROR(DATE(VALUE(MID(N1278,FIND("/",N1278,FIND("/",N1278)+1)+1,4)),VALUE(MID(N1278,FIND("/",N1278)+1,FIND("/",N1278,FIND("/",N1278)+1)-FIND("/",N1278)-1)),VALUE(LEFT(N1278,FIND("/",N1278)-1))),0)</f>
        <v>0</v>
      </c>
    </row>
    <row r="1279" customFormat="false" ht="15" hidden="false" customHeight="false" outlineLevel="0" collapsed="false">
      <c r="N1279" s="0" t="str">
        <f aca="false">IF(H1279="","",IFERROR(LEFT(H1279,FIND(" ",H1279)-1),H1279))</f>
        <v/>
      </c>
      <c r="O1279" s="20" t="n">
        <f aca="false">IFERROR(DATE(VALUE(MID(N1279,FIND("/",N1279,FIND("/",N1279)+1)+1,4)),VALUE(MID(N1279,FIND("/",N1279)+1,FIND("/",N1279,FIND("/",N1279)+1)-FIND("/",N1279)-1)),VALUE(LEFT(N1279,FIND("/",N1279)-1))),0)</f>
        <v>0</v>
      </c>
    </row>
    <row r="1280" customFormat="false" ht="15" hidden="false" customHeight="false" outlineLevel="0" collapsed="false">
      <c r="N1280" s="0" t="str">
        <f aca="false">IF(H1280="","",IFERROR(LEFT(H1280,FIND(" ",H1280)-1),H1280))</f>
        <v/>
      </c>
      <c r="O1280" s="20" t="n">
        <f aca="false">IFERROR(DATE(VALUE(MID(N1280,FIND("/",N1280,FIND("/",N1280)+1)+1,4)),VALUE(MID(N1280,FIND("/",N1280)+1,FIND("/",N1280,FIND("/",N1280)+1)-FIND("/",N1280)-1)),VALUE(LEFT(N1280,FIND("/",N1280)-1))),0)</f>
        <v>0</v>
      </c>
    </row>
    <row r="1281" customFormat="false" ht="15" hidden="false" customHeight="false" outlineLevel="0" collapsed="false">
      <c r="N1281" s="0" t="str">
        <f aca="false">IF(H1281="","",IFERROR(LEFT(H1281,FIND(" ",H1281)-1),H1281))</f>
        <v/>
      </c>
      <c r="O1281" s="20" t="n">
        <f aca="false">IFERROR(DATE(VALUE(MID(N1281,FIND("/",N1281,FIND("/",N1281)+1)+1,4)),VALUE(MID(N1281,FIND("/",N1281)+1,FIND("/",N1281,FIND("/",N1281)+1)-FIND("/",N1281)-1)),VALUE(LEFT(N1281,FIND("/",N1281)-1))),0)</f>
        <v>0</v>
      </c>
    </row>
    <row r="1282" customFormat="false" ht="15" hidden="false" customHeight="false" outlineLevel="0" collapsed="false">
      <c r="N1282" s="0" t="str">
        <f aca="false">IF(H1282="","",IFERROR(LEFT(H1282,FIND(" ",H1282)-1),H1282))</f>
        <v/>
      </c>
      <c r="O1282" s="20" t="n">
        <f aca="false">IFERROR(DATE(VALUE(MID(N1282,FIND("/",N1282,FIND("/",N1282)+1)+1,4)),VALUE(MID(N1282,FIND("/",N1282)+1,FIND("/",N1282,FIND("/",N1282)+1)-FIND("/",N1282)-1)),VALUE(LEFT(N1282,FIND("/",N1282)-1))),0)</f>
        <v>0</v>
      </c>
    </row>
    <row r="1283" customFormat="false" ht="15" hidden="false" customHeight="false" outlineLevel="0" collapsed="false">
      <c r="N1283" s="0" t="str">
        <f aca="false">IF(H1283="","",IFERROR(LEFT(H1283,FIND(" ",H1283)-1),H1283))</f>
        <v/>
      </c>
      <c r="O1283" s="20" t="n">
        <f aca="false">IFERROR(DATE(VALUE(MID(N1283,FIND("/",N1283,FIND("/",N1283)+1)+1,4)),VALUE(MID(N1283,FIND("/",N1283)+1,FIND("/",N1283,FIND("/",N1283)+1)-FIND("/",N1283)-1)),VALUE(LEFT(N1283,FIND("/",N1283)-1))),0)</f>
        <v>0</v>
      </c>
    </row>
    <row r="1284" customFormat="false" ht="15" hidden="false" customHeight="false" outlineLevel="0" collapsed="false">
      <c r="N1284" s="0" t="str">
        <f aca="false">IF(H1284="","",IFERROR(LEFT(H1284,FIND(" ",H1284)-1),H1284))</f>
        <v/>
      </c>
      <c r="O1284" s="20" t="n">
        <f aca="false">IFERROR(DATE(VALUE(MID(N1284,FIND("/",N1284,FIND("/",N1284)+1)+1,4)),VALUE(MID(N1284,FIND("/",N1284)+1,FIND("/",N1284,FIND("/",N1284)+1)-FIND("/",N1284)-1)),VALUE(LEFT(N1284,FIND("/",N1284)-1))),0)</f>
        <v>0</v>
      </c>
    </row>
    <row r="1285" customFormat="false" ht="15" hidden="false" customHeight="false" outlineLevel="0" collapsed="false">
      <c r="N1285" s="0" t="str">
        <f aca="false">IF(H1285="","",IFERROR(LEFT(H1285,FIND(" ",H1285)-1),H1285))</f>
        <v/>
      </c>
      <c r="O1285" s="20" t="n">
        <f aca="false">IFERROR(DATE(VALUE(MID(N1285,FIND("/",N1285,FIND("/",N1285)+1)+1,4)),VALUE(MID(N1285,FIND("/",N1285)+1,FIND("/",N1285,FIND("/",N1285)+1)-FIND("/",N1285)-1)),VALUE(LEFT(N1285,FIND("/",N1285)-1))),0)</f>
        <v>0</v>
      </c>
    </row>
    <row r="1286" customFormat="false" ht="15" hidden="false" customHeight="false" outlineLevel="0" collapsed="false">
      <c r="N1286" s="0" t="str">
        <f aca="false">IF(H1286="","",IFERROR(LEFT(H1286,FIND(" ",H1286)-1),H1286))</f>
        <v/>
      </c>
      <c r="O1286" s="20" t="n">
        <f aca="false">IFERROR(DATE(VALUE(MID(N1286,FIND("/",N1286,FIND("/",N1286)+1)+1,4)),VALUE(MID(N1286,FIND("/",N1286)+1,FIND("/",N1286,FIND("/",N1286)+1)-FIND("/",N1286)-1)),VALUE(LEFT(N1286,FIND("/",N1286)-1))),0)</f>
        <v>0</v>
      </c>
    </row>
    <row r="1287" customFormat="false" ht="15" hidden="false" customHeight="false" outlineLevel="0" collapsed="false">
      <c r="N1287" s="0" t="str">
        <f aca="false">IF(H1287="","",IFERROR(LEFT(H1287,FIND(" ",H1287)-1),H1287))</f>
        <v/>
      </c>
      <c r="O1287" s="20" t="n">
        <f aca="false">IFERROR(DATE(VALUE(MID(N1287,FIND("/",N1287,FIND("/",N1287)+1)+1,4)),VALUE(MID(N1287,FIND("/",N1287)+1,FIND("/",N1287,FIND("/",N1287)+1)-FIND("/",N1287)-1)),VALUE(LEFT(N1287,FIND("/",N1287)-1))),0)</f>
        <v>0</v>
      </c>
    </row>
    <row r="1288" customFormat="false" ht="15" hidden="false" customHeight="false" outlineLevel="0" collapsed="false">
      <c r="N1288" s="0" t="str">
        <f aca="false">IF(H1288="","",IFERROR(LEFT(H1288,FIND(" ",H1288)-1),H1288))</f>
        <v/>
      </c>
      <c r="O1288" s="20" t="n">
        <f aca="false">IFERROR(DATE(VALUE(MID(N1288,FIND("/",N1288,FIND("/",N1288)+1)+1,4)),VALUE(MID(N1288,FIND("/",N1288)+1,FIND("/",N1288,FIND("/",N1288)+1)-FIND("/",N1288)-1)),VALUE(LEFT(N1288,FIND("/",N1288)-1))),0)</f>
        <v>0</v>
      </c>
    </row>
    <row r="1289" customFormat="false" ht="15" hidden="false" customHeight="false" outlineLevel="0" collapsed="false">
      <c r="N1289" s="0" t="str">
        <f aca="false">IF(H1289="","",IFERROR(LEFT(H1289,FIND(" ",H1289)-1),H1289))</f>
        <v/>
      </c>
      <c r="O1289" s="20" t="n">
        <f aca="false">IFERROR(DATE(VALUE(MID(N1289,FIND("/",N1289,FIND("/",N1289)+1)+1,4)),VALUE(MID(N1289,FIND("/",N1289)+1,FIND("/",N1289,FIND("/",N1289)+1)-FIND("/",N1289)-1)),VALUE(LEFT(N1289,FIND("/",N1289)-1))),0)</f>
        <v>0</v>
      </c>
    </row>
    <row r="1290" customFormat="false" ht="15" hidden="false" customHeight="false" outlineLevel="0" collapsed="false">
      <c r="N1290" s="0" t="str">
        <f aca="false">IF(H1290="","",IFERROR(LEFT(H1290,FIND(" ",H1290)-1),H1290))</f>
        <v/>
      </c>
      <c r="O1290" s="20" t="n">
        <f aca="false">IFERROR(DATE(VALUE(MID(N1290,FIND("/",N1290,FIND("/",N1290)+1)+1,4)),VALUE(MID(N1290,FIND("/",N1290)+1,FIND("/",N1290,FIND("/",N1290)+1)-FIND("/",N1290)-1)),VALUE(LEFT(N1290,FIND("/",N1290)-1))),0)</f>
        <v>0</v>
      </c>
    </row>
    <row r="1291" customFormat="false" ht="15" hidden="false" customHeight="false" outlineLevel="0" collapsed="false">
      <c r="N1291" s="0" t="str">
        <f aca="false">IF(H1291="","",IFERROR(LEFT(H1291,FIND(" ",H1291)-1),H1291))</f>
        <v/>
      </c>
      <c r="O1291" s="20" t="n">
        <f aca="false">IFERROR(DATE(VALUE(MID(N1291,FIND("/",N1291,FIND("/",N1291)+1)+1,4)),VALUE(MID(N1291,FIND("/",N1291)+1,FIND("/",N1291,FIND("/",N1291)+1)-FIND("/",N1291)-1)),VALUE(LEFT(N1291,FIND("/",N1291)-1))),0)</f>
        <v>0</v>
      </c>
    </row>
    <row r="1292" customFormat="false" ht="15" hidden="false" customHeight="false" outlineLevel="0" collapsed="false">
      <c r="N1292" s="0" t="str">
        <f aca="false">IF(H1292="","",IFERROR(LEFT(H1292,FIND(" ",H1292)-1),H1292))</f>
        <v/>
      </c>
      <c r="O1292" s="20" t="n">
        <f aca="false">IFERROR(DATE(VALUE(MID(N1292,FIND("/",N1292,FIND("/",N1292)+1)+1,4)),VALUE(MID(N1292,FIND("/",N1292)+1,FIND("/",N1292,FIND("/",N1292)+1)-FIND("/",N1292)-1)),VALUE(LEFT(N1292,FIND("/",N1292)-1))),0)</f>
        <v>0</v>
      </c>
    </row>
    <row r="1293" customFormat="false" ht="15" hidden="false" customHeight="false" outlineLevel="0" collapsed="false">
      <c r="N1293" s="0" t="str">
        <f aca="false">IF(H1293="","",IFERROR(LEFT(H1293,FIND(" ",H1293)-1),H1293))</f>
        <v/>
      </c>
      <c r="O1293" s="20" t="n">
        <f aca="false">IFERROR(DATE(VALUE(MID(N1293,FIND("/",N1293,FIND("/",N1293)+1)+1,4)),VALUE(MID(N1293,FIND("/",N1293)+1,FIND("/",N1293,FIND("/",N1293)+1)-FIND("/",N1293)-1)),VALUE(LEFT(N1293,FIND("/",N1293)-1))),0)</f>
        <v>0</v>
      </c>
    </row>
    <row r="1294" customFormat="false" ht="15" hidden="false" customHeight="false" outlineLevel="0" collapsed="false">
      <c r="N1294" s="0" t="str">
        <f aca="false">IF(H1294="","",IFERROR(LEFT(H1294,FIND(" ",H1294)-1),H1294))</f>
        <v/>
      </c>
      <c r="O1294" s="20" t="n">
        <f aca="false">IFERROR(DATE(VALUE(MID(N1294,FIND("/",N1294,FIND("/",N1294)+1)+1,4)),VALUE(MID(N1294,FIND("/",N1294)+1,FIND("/",N1294,FIND("/",N1294)+1)-FIND("/",N1294)-1)),VALUE(LEFT(N1294,FIND("/",N1294)-1))),0)</f>
        <v>0</v>
      </c>
    </row>
    <row r="1295" customFormat="false" ht="15" hidden="false" customHeight="false" outlineLevel="0" collapsed="false">
      <c r="N1295" s="0" t="str">
        <f aca="false">IF(H1295="","",IFERROR(LEFT(H1295,FIND(" ",H1295)-1),H1295))</f>
        <v/>
      </c>
      <c r="O1295" s="20" t="n">
        <f aca="false">IFERROR(DATE(VALUE(MID(N1295,FIND("/",N1295,FIND("/",N1295)+1)+1,4)),VALUE(MID(N1295,FIND("/",N1295)+1,FIND("/",N1295,FIND("/",N1295)+1)-FIND("/",N1295)-1)),VALUE(LEFT(N1295,FIND("/",N1295)-1))),0)</f>
        <v>0</v>
      </c>
    </row>
    <row r="1296" customFormat="false" ht="15" hidden="false" customHeight="false" outlineLevel="0" collapsed="false">
      <c r="N1296" s="0" t="str">
        <f aca="false">IF(H1296="","",IFERROR(LEFT(H1296,FIND(" ",H1296)-1),H1296))</f>
        <v/>
      </c>
      <c r="O1296" s="20" t="n">
        <f aca="false">IFERROR(DATE(VALUE(MID(N1296,FIND("/",N1296,FIND("/",N1296)+1)+1,4)),VALUE(MID(N1296,FIND("/",N1296)+1,FIND("/",N1296,FIND("/",N1296)+1)-FIND("/",N1296)-1)),VALUE(LEFT(N1296,FIND("/",N1296)-1))),0)</f>
        <v>0</v>
      </c>
    </row>
    <row r="1297" customFormat="false" ht="15" hidden="false" customHeight="false" outlineLevel="0" collapsed="false">
      <c r="N1297" s="0" t="str">
        <f aca="false">IF(H1297="","",IFERROR(LEFT(H1297,FIND(" ",H1297)-1),H1297))</f>
        <v/>
      </c>
      <c r="O1297" s="20" t="n">
        <f aca="false">IFERROR(DATE(VALUE(MID(N1297,FIND("/",N1297,FIND("/",N1297)+1)+1,4)),VALUE(MID(N1297,FIND("/",N1297)+1,FIND("/",N1297,FIND("/",N1297)+1)-FIND("/",N1297)-1)),VALUE(LEFT(N1297,FIND("/",N1297)-1))),0)</f>
        <v>0</v>
      </c>
    </row>
    <row r="1298" customFormat="false" ht="15" hidden="false" customHeight="false" outlineLevel="0" collapsed="false">
      <c r="N1298" s="0" t="str">
        <f aca="false">IF(H1298="","",IFERROR(LEFT(H1298,FIND(" ",H1298)-1),H1298))</f>
        <v/>
      </c>
      <c r="O1298" s="20" t="n">
        <f aca="false">IFERROR(DATE(VALUE(MID(N1298,FIND("/",N1298,FIND("/",N1298)+1)+1,4)),VALUE(MID(N1298,FIND("/",N1298)+1,FIND("/",N1298,FIND("/",N1298)+1)-FIND("/",N1298)-1)),VALUE(LEFT(N1298,FIND("/",N1298)-1))),0)</f>
        <v>0</v>
      </c>
    </row>
    <row r="1299" customFormat="false" ht="15" hidden="false" customHeight="false" outlineLevel="0" collapsed="false">
      <c r="N1299" s="0" t="str">
        <f aca="false">IF(H1299="","",IFERROR(LEFT(H1299,FIND(" ",H1299)-1),H1299))</f>
        <v/>
      </c>
      <c r="O1299" s="20" t="n">
        <f aca="false">IFERROR(DATE(VALUE(MID(N1299,FIND("/",N1299,FIND("/",N1299)+1)+1,4)),VALUE(MID(N1299,FIND("/",N1299)+1,FIND("/",N1299,FIND("/",N1299)+1)-FIND("/",N1299)-1)),VALUE(LEFT(N1299,FIND("/",N1299)-1))),0)</f>
        <v>0</v>
      </c>
    </row>
    <row r="1300" customFormat="false" ht="15" hidden="false" customHeight="false" outlineLevel="0" collapsed="false">
      <c r="N1300" s="0" t="str">
        <f aca="false">IF(H1300="","",IFERROR(LEFT(H1300,FIND(" ",H1300)-1),H1300))</f>
        <v/>
      </c>
      <c r="O1300" s="20" t="n">
        <f aca="false">IFERROR(DATE(VALUE(MID(N1300,FIND("/",N1300,FIND("/",N1300)+1)+1,4)),VALUE(MID(N1300,FIND("/",N1300)+1,FIND("/",N1300,FIND("/",N1300)+1)-FIND("/",N1300)-1)),VALUE(LEFT(N1300,FIND("/",N1300)-1))),0)</f>
        <v>0</v>
      </c>
    </row>
    <row r="1301" customFormat="false" ht="15" hidden="false" customHeight="false" outlineLevel="0" collapsed="false">
      <c r="N1301" s="0" t="str">
        <f aca="false">IF(H1301="","",IFERROR(LEFT(H1301,FIND(" ",H1301)-1),H1301))</f>
        <v/>
      </c>
      <c r="O1301" s="20" t="n">
        <f aca="false">IFERROR(DATE(VALUE(MID(N1301,FIND("/",N1301,FIND("/",N1301)+1)+1,4)),VALUE(MID(N1301,FIND("/",N1301)+1,FIND("/",N1301,FIND("/",N1301)+1)-FIND("/",N1301)-1)),VALUE(LEFT(N1301,FIND("/",N1301)-1))),0)</f>
        <v>0</v>
      </c>
    </row>
    <row r="1302" customFormat="false" ht="15" hidden="false" customHeight="false" outlineLevel="0" collapsed="false">
      <c r="N1302" s="0" t="str">
        <f aca="false">IF(H1302="","",IFERROR(LEFT(H1302,FIND(" ",H1302)-1),H1302))</f>
        <v/>
      </c>
      <c r="O1302" s="20" t="n">
        <f aca="false">IFERROR(DATE(VALUE(MID(N1302,FIND("/",N1302,FIND("/",N1302)+1)+1,4)),VALUE(MID(N1302,FIND("/",N1302)+1,FIND("/",N1302,FIND("/",N1302)+1)-FIND("/",N1302)-1)),VALUE(LEFT(N1302,FIND("/",N1302)-1))),0)</f>
        <v>0</v>
      </c>
    </row>
    <row r="1303" customFormat="false" ht="15" hidden="false" customHeight="false" outlineLevel="0" collapsed="false">
      <c r="N1303" s="0" t="str">
        <f aca="false">IF(H1303="","",IFERROR(LEFT(H1303,FIND(" ",H1303)-1),H1303))</f>
        <v/>
      </c>
      <c r="O1303" s="20" t="n">
        <f aca="false">IFERROR(DATE(VALUE(MID(N1303,FIND("/",N1303,FIND("/",N1303)+1)+1,4)),VALUE(MID(N1303,FIND("/",N1303)+1,FIND("/",N1303,FIND("/",N1303)+1)-FIND("/",N1303)-1)),VALUE(LEFT(N1303,FIND("/",N1303)-1))),0)</f>
        <v>0</v>
      </c>
    </row>
    <row r="1304" customFormat="false" ht="15" hidden="false" customHeight="false" outlineLevel="0" collapsed="false">
      <c r="N1304" s="0" t="str">
        <f aca="false">IF(H1304="","",IFERROR(LEFT(H1304,FIND(" ",H1304)-1),H1304))</f>
        <v/>
      </c>
      <c r="O1304" s="20" t="n">
        <f aca="false">IFERROR(DATE(VALUE(MID(N1304,FIND("/",N1304,FIND("/",N1304)+1)+1,4)),VALUE(MID(N1304,FIND("/",N1304)+1,FIND("/",N1304,FIND("/",N1304)+1)-FIND("/",N1304)-1)),VALUE(LEFT(N1304,FIND("/",N1304)-1))),0)</f>
        <v>0</v>
      </c>
    </row>
    <row r="1305" customFormat="false" ht="15" hidden="false" customHeight="false" outlineLevel="0" collapsed="false">
      <c r="N1305" s="0" t="str">
        <f aca="false">IF(H1305="","",IFERROR(LEFT(H1305,FIND(" ",H1305)-1),H1305))</f>
        <v/>
      </c>
      <c r="O1305" s="20" t="n">
        <f aca="false">IFERROR(DATE(VALUE(MID(N1305,FIND("/",N1305,FIND("/",N1305)+1)+1,4)),VALUE(MID(N1305,FIND("/",N1305)+1,FIND("/",N1305,FIND("/",N1305)+1)-FIND("/",N1305)-1)),VALUE(LEFT(N1305,FIND("/",N1305)-1))),0)</f>
        <v>0</v>
      </c>
    </row>
    <row r="1306" customFormat="false" ht="15" hidden="false" customHeight="false" outlineLevel="0" collapsed="false">
      <c r="N1306" s="0" t="str">
        <f aca="false">IF(H1306="","",IFERROR(LEFT(H1306,FIND(" ",H1306)-1),H1306))</f>
        <v/>
      </c>
      <c r="O1306" s="20" t="n">
        <f aca="false">IFERROR(DATE(VALUE(MID(N1306,FIND("/",N1306,FIND("/",N1306)+1)+1,4)),VALUE(MID(N1306,FIND("/",N1306)+1,FIND("/",N1306,FIND("/",N1306)+1)-FIND("/",N1306)-1)),VALUE(LEFT(N1306,FIND("/",N1306)-1))),0)</f>
        <v>0</v>
      </c>
    </row>
    <row r="1307" customFormat="false" ht="15" hidden="false" customHeight="false" outlineLevel="0" collapsed="false">
      <c r="N1307" s="0" t="str">
        <f aca="false">IF(H1307="","",IFERROR(LEFT(H1307,FIND(" ",H1307)-1),H1307))</f>
        <v/>
      </c>
      <c r="O1307" s="20" t="n">
        <f aca="false">IFERROR(DATE(VALUE(MID(N1307,FIND("/",N1307,FIND("/",N1307)+1)+1,4)),VALUE(MID(N1307,FIND("/",N1307)+1,FIND("/",N1307,FIND("/",N1307)+1)-FIND("/",N1307)-1)),VALUE(LEFT(N1307,FIND("/",N1307)-1))),0)</f>
        <v>0</v>
      </c>
    </row>
    <row r="1308" customFormat="false" ht="15" hidden="false" customHeight="false" outlineLevel="0" collapsed="false">
      <c r="N1308" s="0" t="str">
        <f aca="false">IF(H1308="","",IFERROR(LEFT(H1308,FIND(" ",H1308)-1),H1308))</f>
        <v/>
      </c>
      <c r="O1308" s="20" t="n">
        <f aca="false">IFERROR(DATE(VALUE(MID(N1308,FIND("/",N1308,FIND("/",N1308)+1)+1,4)),VALUE(MID(N1308,FIND("/",N1308)+1,FIND("/",N1308,FIND("/",N1308)+1)-FIND("/",N1308)-1)),VALUE(LEFT(N1308,FIND("/",N1308)-1))),0)</f>
        <v>0</v>
      </c>
    </row>
    <row r="1309" customFormat="false" ht="15" hidden="false" customHeight="false" outlineLevel="0" collapsed="false">
      <c r="N1309" s="0" t="str">
        <f aca="false">IF(H1309="","",IFERROR(LEFT(H1309,FIND(" ",H1309)-1),H1309))</f>
        <v/>
      </c>
      <c r="O1309" s="20" t="n">
        <f aca="false">IFERROR(DATE(VALUE(MID(N1309,FIND("/",N1309,FIND("/",N1309)+1)+1,4)),VALUE(MID(N1309,FIND("/",N1309)+1,FIND("/",N1309,FIND("/",N1309)+1)-FIND("/",N1309)-1)),VALUE(LEFT(N1309,FIND("/",N1309)-1))),0)</f>
        <v>0</v>
      </c>
    </row>
    <row r="1310" customFormat="false" ht="15" hidden="false" customHeight="false" outlineLevel="0" collapsed="false">
      <c r="N1310" s="0" t="str">
        <f aca="false">IF(H1310="","",IFERROR(LEFT(H1310,FIND(" ",H1310)-1),H1310))</f>
        <v/>
      </c>
      <c r="O1310" s="20" t="n">
        <f aca="false">IFERROR(DATE(VALUE(MID(N1310,FIND("/",N1310,FIND("/",N1310)+1)+1,4)),VALUE(MID(N1310,FIND("/",N1310)+1,FIND("/",N1310,FIND("/",N1310)+1)-FIND("/",N1310)-1)),VALUE(LEFT(N1310,FIND("/",N1310)-1))),0)</f>
        <v>0</v>
      </c>
    </row>
    <row r="1311" customFormat="false" ht="15" hidden="false" customHeight="false" outlineLevel="0" collapsed="false">
      <c r="N1311" s="0" t="str">
        <f aca="false">IF(H1311="","",IFERROR(LEFT(H1311,FIND(" ",H1311)-1),H1311))</f>
        <v/>
      </c>
      <c r="O1311" s="20" t="n">
        <f aca="false">IFERROR(DATE(VALUE(MID(N1311,FIND("/",N1311,FIND("/",N1311)+1)+1,4)),VALUE(MID(N1311,FIND("/",N1311)+1,FIND("/",N1311,FIND("/",N1311)+1)-FIND("/",N1311)-1)),VALUE(LEFT(N1311,FIND("/",N1311)-1))),0)</f>
        <v>0</v>
      </c>
    </row>
    <row r="1312" customFormat="false" ht="15" hidden="false" customHeight="false" outlineLevel="0" collapsed="false">
      <c r="N1312" s="0" t="str">
        <f aca="false">IF(H1312="","",IFERROR(LEFT(H1312,FIND(" ",H1312)-1),H1312))</f>
        <v/>
      </c>
      <c r="O1312" s="20" t="n">
        <f aca="false">IFERROR(DATE(VALUE(MID(N1312,FIND("/",N1312,FIND("/",N1312)+1)+1,4)),VALUE(MID(N1312,FIND("/",N1312)+1,FIND("/",N1312,FIND("/",N1312)+1)-FIND("/",N1312)-1)),VALUE(LEFT(N1312,FIND("/",N1312)-1))),0)</f>
        <v>0</v>
      </c>
    </row>
    <row r="1313" customFormat="false" ht="15" hidden="false" customHeight="false" outlineLevel="0" collapsed="false">
      <c r="N1313" s="0" t="str">
        <f aca="false">IF(H1313="","",IFERROR(LEFT(H1313,FIND(" ",H1313)-1),H1313))</f>
        <v/>
      </c>
      <c r="O1313" s="20" t="n">
        <f aca="false">IFERROR(DATE(VALUE(MID(N1313,FIND("/",N1313,FIND("/",N1313)+1)+1,4)),VALUE(MID(N1313,FIND("/",N1313)+1,FIND("/",N1313,FIND("/",N1313)+1)-FIND("/",N1313)-1)),VALUE(LEFT(N1313,FIND("/",N1313)-1))),0)</f>
        <v>0</v>
      </c>
    </row>
    <row r="1314" customFormat="false" ht="15" hidden="false" customHeight="false" outlineLevel="0" collapsed="false">
      <c r="N1314" s="0" t="str">
        <f aca="false">IF(H1314="","",IFERROR(LEFT(H1314,FIND(" ",H1314)-1),H1314))</f>
        <v/>
      </c>
      <c r="O1314" s="20" t="n">
        <f aca="false">IFERROR(DATE(VALUE(MID(N1314,FIND("/",N1314,FIND("/",N1314)+1)+1,4)),VALUE(MID(N1314,FIND("/",N1314)+1,FIND("/",N1314,FIND("/",N1314)+1)-FIND("/",N1314)-1)),VALUE(LEFT(N1314,FIND("/",N1314)-1))),0)</f>
        <v>0</v>
      </c>
    </row>
    <row r="1315" customFormat="false" ht="15" hidden="false" customHeight="false" outlineLevel="0" collapsed="false">
      <c r="N1315" s="0" t="str">
        <f aca="false">IF(H1315="","",IFERROR(LEFT(H1315,FIND(" ",H1315)-1),H1315))</f>
        <v/>
      </c>
      <c r="O1315" s="20" t="n">
        <f aca="false">IFERROR(DATE(VALUE(MID(N1315,FIND("/",N1315,FIND("/",N1315)+1)+1,4)),VALUE(MID(N1315,FIND("/",N1315)+1,FIND("/",N1315,FIND("/",N1315)+1)-FIND("/",N1315)-1)),VALUE(LEFT(N1315,FIND("/",N1315)-1))),0)</f>
        <v>0</v>
      </c>
    </row>
    <row r="1316" customFormat="false" ht="15" hidden="false" customHeight="false" outlineLevel="0" collapsed="false">
      <c r="N1316" s="0" t="str">
        <f aca="false">IF(H1316="","",IFERROR(LEFT(H1316,FIND(" ",H1316)-1),H1316))</f>
        <v/>
      </c>
      <c r="O1316" s="20" t="n">
        <f aca="false">IFERROR(DATE(VALUE(MID(N1316,FIND("/",N1316,FIND("/",N1316)+1)+1,4)),VALUE(MID(N1316,FIND("/",N1316)+1,FIND("/",N1316,FIND("/",N1316)+1)-FIND("/",N1316)-1)),VALUE(LEFT(N1316,FIND("/",N1316)-1))),0)</f>
        <v>0</v>
      </c>
    </row>
    <row r="1317" customFormat="false" ht="15" hidden="false" customHeight="false" outlineLevel="0" collapsed="false">
      <c r="N1317" s="0" t="str">
        <f aca="false">IF(H1317="","",IFERROR(LEFT(H1317,FIND(" ",H1317)-1),H1317))</f>
        <v/>
      </c>
      <c r="O1317" s="20" t="n">
        <f aca="false">IFERROR(DATE(VALUE(MID(N1317,FIND("/",N1317,FIND("/",N1317)+1)+1,4)),VALUE(MID(N1317,FIND("/",N1317)+1,FIND("/",N1317,FIND("/",N1317)+1)-FIND("/",N1317)-1)),VALUE(LEFT(N1317,FIND("/",N1317)-1))),0)</f>
        <v>0</v>
      </c>
    </row>
    <row r="1318" customFormat="false" ht="15" hidden="false" customHeight="false" outlineLevel="0" collapsed="false">
      <c r="N1318" s="0" t="str">
        <f aca="false">IF(H1318="","",IFERROR(LEFT(H1318,FIND(" ",H1318)-1),H1318))</f>
        <v/>
      </c>
      <c r="O1318" s="20" t="n">
        <f aca="false">IFERROR(DATE(VALUE(MID(N1318,FIND("/",N1318,FIND("/",N1318)+1)+1,4)),VALUE(MID(N1318,FIND("/",N1318)+1,FIND("/",N1318,FIND("/",N1318)+1)-FIND("/",N1318)-1)),VALUE(LEFT(N1318,FIND("/",N1318)-1))),0)</f>
        <v>0</v>
      </c>
    </row>
    <row r="1319" customFormat="false" ht="15" hidden="false" customHeight="false" outlineLevel="0" collapsed="false">
      <c r="N1319" s="0" t="str">
        <f aca="false">IF(H1319="","",IFERROR(LEFT(H1319,FIND(" ",H1319)-1),H1319))</f>
        <v/>
      </c>
      <c r="O1319" s="20" t="n">
        <f aca="false">IFERROR(DATE(VALUE(MID(N1319,FIND("/",N1319,FIND("/",N1319)+1)+1,4)),VALUE(MID(N1319,FIND("/",N1319)+1,FIND("/",N1319,FIND("/",N1319)+1)-FIND("/",N1319)-1)),VALUE(LEFT(N1319,FIND("/",N1319)-1))),0)</f>
        <v>0</v>
      </c>
    </row>
    <row r="1320" customFormat="false" ht="15" hidden="false" customHeight="false" outlineLevel="0" collapsed="false">
      <c r="N1320" s="0" t="str">
        <f aca="false">IF(H1320="","",IFERROR(LEFT(H1320,FIND(" ",H1320)-1),H1320))</f>
        <v/>
      </c>
      <c r="O1320" s="20" t="n">
        <f aca="false">IFERROR(DATE(VALUE(MID(N1320,FIND("/",N1320,FIND("/",N1320)+1)+1,4)),VALUE(MID(N1320,FIND("/",N1320)+1,FIND("/",N1320,FIND("/",N1320)+1)-FIND("/",N1320)-1)),VALUE(LEFT(N1320,FIND("/",N1320)-1))),0)</f>
        <v>0</v>
      </c>
    </row>
    <row r="1321" customFormat="false" ht="15" hidden="false" customHeight="false" outlineLevel="0" collapsed="false">
      <c r="N1321" s="0" t="str">
        <f aca="false">IF(H1321="","",IFERROR(LEFT(H1321,FIND(" ",H1321)-1),H1321))</f>
        <v/>
      </c>
      <c r="O1321" s="20" t="n">
        <f aca="false">IFERROR(DATE(VALUE(MID(N1321,FIND("/",N1321,FIND("/",N1321)+1)+1,4)),VALUE(MID(N1321,FIND("/",N1321)+1,FIND("/",N1321,FIND("/",N1321)+1)-FIND("/",N1321)-1)),VALUE(LEFT(N1321,FIND("/",N1321)-1))),0)</f>
        <v>0</v>
      </c>
    </row>
    <row r="1322" customFormat="false" ht="15" hidden="false" customHeight="false" outlineLevel="0" collapsed="false">
      <c r="N1322" s="0" t="str">
        <f aca="false">IF(H1322="","",IFERROR(LEFT(H1322,FIND(" ",H1322)-1),H1322))</f>
        <v/>
      </c>
      <c r="O1322" s="20" t="n">
        <f aca="false">IFERROR(DATE(VALUE(MID(N1322,FIND("/",N1322,FIND("/",N1322)+1)+1,4)),VALUE(MID(N1322,FIND("/",N1322)+1,FIND("/",N1322,FIND("/",N1322)+1)-FIND("/",N1322)-1)),VALUE(LEFT(N1322,FIND("/",N1322)-1))),0)</f>
        <v>0</v>
      </c>
    </row>
    <row r="1323" customFormat="false" ht="15" hidden="false" customHeight="false" outlineLevel="0" collapsed="false">
      <c r="N1323" s="0" t="str">
        <f aca="false">IF(H1323="","",IFERROR(LEFT(H1323,FIND(" ",H1323)-1),H1323))</f>
        <v/>
      </c>
      <c r="O1323" s="20" t="n">
        <f aca="false">IFERROR(DATE(VALUE(MID(N1323,FIND("/",N1323,FIND("/",N1323)+1)+1,4)),VALUE(MID(N1323,FIND("/",N1323)+1,FIND("/",N1323,FIND("/",N1323)+1)-FIND("/",N1323)-1)),VALUE(LEFT(N1323,FIND("/",N1323)-1))),0)</f>
        <v>0</v>
      </c>
    </row>
    <row r="1324" customFormat="false" ht="15" hidden="false" customHeight="false" outlineLevel="0" collapsed="false">
      <c r="N1324" s="0" t="str">
        <f aca="false">IF(H1324="","",IFERROR(LEFT(H1324,FIND(" ",H1324)-1),H1324))</f>
        <v/>
      </c>
      <c r="O1324" s="20" t="n">
        <f aca="false">IFERROR(DATE(VALUE(MID(N1324,FIND("/",N1324,FIND("/",N1324)+1)+1,4)),VALUE(MID(N1324,FIND("/",N1324)+1,FIND("/",N1324,FIND("/",N1324)+1)-FIND("/",N1324)-1)),VALUE(LEFT(N1324,FIND("/",N1324)-1))),0)</f>
        <v>0</v>
      </c>
    </row>
    <row r="1325" customFormat="false" ht="15" hidden="false" customHeight="false" outlineLevel="0" collapsed="false">
      <c r="N1325" s="0" t="str">
        <f aca="false">IF(H1325="","",IFERROR(LEFT(H1325,FIND(" ",H1325)-1),H1325))</f>
        <v/>
      </c>
      <c r="O1325" s="20" t="n">
        <f aca="false">IFERROR(DATE(VALUE(MID(N1325,FIND("/",N1325,FIND("/",N1325)+1)+1,4)),VALUE(MID(N1325,FIND("/",N1325)+1,FIND("/",N1325,FIND("/",N1325)+1)-FIND("/",N1325)-1)),VALUE(LEFT(N1325,FIND("/",N1325)-1))),0)</f>
        <v>0</v>
      </c>
    </row>
    <row r="1326" customFormat="false" ht="15" hidden="false" customHeight="false" outlineLevel="0" collapsed="false">
      <c r="N1326" s="0" t="str">
        <f aca="false">IF(H1326="","",IFERROR(LEFT(H1326,FIND(" ",H1326)-1),H1326))</f>
        <v/>
      </c>
      <c r="O1326" s="20" t="n">
        <f aca="false">IFERROR(DATE(VALUE(MID(N1326,FIND("/",N1326,FIND("/",N1326)+1)+1,4)),VALUE(MID(N1326,FIND("/",N1326)+1,FIND("/",N1326,FIND("/",N1326)+1)-FIND("/",N1326)-1)),VALUE(LEFT(N1326,FIND("/",N1326)-1))),0)</f>
        <v>0</v>
      </c>
    </row>
    <row r="1327" customFormat="false" ht="15" hidden="false" customHeight="false" outlineLevel="0" collapsed="false">
      <c r="N1327" s="0" t="str">
        <f aca="false">IF(H1327="","",IFERROR(LEFT(H1327,FIND(" ",H1327)-1),H1327))</f>
        <v/>
      </c>
      <c r="O1327" s="20" t="n">
        <f aca="false">IFERROR(DATE(VALUE(MID(N1327,FIND("/",N1327,FIND("/",N1327)+1)+1,4)),VALUE(MID(N1327,FIND("/",N1327)+1,FIND("/",N1327,FIND("/",N1327)+1)-FIND("/",N1327)-1)),VALUE(LEFT(N1327,FIND("/",N1327)-1))),0)</f>
        <v>0</v>
      </c>
    </row>
    <row r="1328" customFormat="false" ht="15" hidden="false" customHeight="false" outlineLevel="0" collapsed="false">
      <c r="N1328" s="0" t="str">
        <f aca="false">IF(H1328="","",IFERROR(LEFT(H1328,FIND(" ",H1328)-1),H1328))</f>
        <v/>
      </c>
      <c r="O1328" s="20" t="n">
        <f aca="false">IFERROR(DATE(VALUE(MID(N1328,FIND("/",N1328,FIND("/",N1328)+1)+1,4)),VALUE(MID(N1328,FIND("/",N1328)+1,FIND("/",N1328,FIND("/",N1328)+1)-FIND("/",N1328)-1)),VALUE(LEFT(N1328,FIND("/",N1328)-1))),0)</f>
        <v>0</v>
      </c>
    </row>
    <row r="1329" customFormat="false" ht="15" hidden="false" customHeight="false" outlineLevel="0" collapsed="false">
      <c r="N1329" s="0" t="str">
        <f aca="false">IF(H1329="","",IFERROR(LEFT(H1329,FIND(" ",H1329)-1),H1329))</f>
        <v/>
      </c>
      <c r="O1329" s="20" t="n">
        <f aca="false">IFERROR(DATE(VALUE(MID(N1329,FIND("/",N1329,FIND("/",N1329)+1)+1,4)),VALUE(MID(N1329,FIND("/",N1329)+1,FIND("/",N1329,FIND("/",N1329)+1)-FIND("/",N1329)-1)),VALUE(LEFT(N1329,FIND("/",N1329)-1))),0)</f>
        <v>0</v>
      </c>
    </row>
    <row r="1330" customFormat="false" ht="15" hidden="false" customHeight="false" outlineLevel="0" collapsed="false">
      <c r="N1330" s="0" t="str">
        <f aca="false">IF(H1330="","",IFERROR(LEFT(H1330,FIND(" ",H1330)-1),H1330))</f>
        <v/>
      </c>
      <c r="O1330" s="20" t="n">
        <f aca="false">IFERROR(DATE(VALUE(MID(N1330,FIND("/",N1330,FIND("/",N1330)+1)+1,4)),VALUE(MID(N1330,FIND("/",N1330)+1,FIND("/",N1330,FIND("/",N1330)+1)-FIND("/",N1330)-1)),VALUE(LEFT(N1330,FIND("/",N1330)-1))),0)</f>
        <v>0</v>
      </c>
    </row>
    <row r="1331" customFormat="false" ht="15" hidden="false" customHeight="false" outlineLevel="0" collapsed="false">
      <c r="N1331" s="0" t="str">
        <f aca="false">IF(H1331="","",IFERROR(LEFT(H1331,FIND(" ",H1331)-1),H1331))</f>
        <v/>
      </c>
      <c r="O1331" s="20" t="n">
        <f aca="false">IFERROR(DATE(VALUE(MID(N1331,FIND("/",N1331,FIND("/",N1331)+1)+1,4)),VALUE(MID(N1331,FIND("/",N1331)+1,FIND("/",N1331,FIND("/",N1331)+1)-FIND("/",N1331)-1)),VALUE(LEFT(N1331,FIND("/",N1331)-1))),0)</f>
        <v>0</v>
      </c>
    </row>
    <row r="1332" customFormat="false" ht="15" hidden="false" customHeight="false" outlineLevel="0" collapsed="false">
      <c r="N1332" s="0" t="str">
        <f aca="false">IF(H1332="","",IFERROR(LEFT(H1332,FIND(" ",H1332)-1),H1332))</f>
        <v/>
      </c>
      <c r="O1332" s="20" t="n">
        <f aca="false">IFERROR(DATE(VALUE(MID(N1332,FIND("/",N1332,FIND("/",N1332)+1)+1,4)),VALUE(MID(N1332,FIND("/",N1332)+1,FIND("/",N1332,FIND("/",N1332)+1)-FIND("/",N1332)-1)),VALUE(LEFT(N1332,FIND("/",N1332)-1))),0)</f>
        <v>0</v>
      </c>
    </row>
    <row r="1333" customFormat="false" ht="15" hidden="false" customHeight="false" outlineLevel="0" collapsed="false">
      <c r="N1333" s="0" t="str">
        <f aca="false">IF(H1333="","",IFERROR(LEFT(H1333,FIND(" ",H1333)-1),H1333))</f>
        <v/>
      </c>
      <c r="O1333" s="20" t="n">
        <f aca="false">IFERROR(DATE(VALUE(MID(N1333,FIND("/",N1333,FIND("/",N1333)+1)+1,4)),VALUE(MID(N1333,FIND("/",N1333)+1,FIND("/",N1333,FIND("/",N1333)+1)-FIND("/",N1333)-1)),VALUE(LEFT(N1333,FIND("/",N1333)-1))),0)</f>
        <v>0</v>
      </c>
    </row>
    <row r="1334" customFormat="false" ht="15" hidden="false" customHeight="false" outlineLevel="0" collapsed="false">
      <c r="N1334" s="0" t="str">
        <f aca="false">IF(H1334="","",IFERROR(LEFT(H1334,FIND(" ",H1334)-1),H1334))</f>
        <v/>
      </c>
      <c r="O1334" s="20" t="n">
        <f aca="false">IFERROR(DATE(VALUE(MID(N1334,FIND("/",N1334,FIND("/",N1334)+1)+1,4)),VALUE(MID(N1334,FIND("/",N1334)+1,FIND("/",N1334,FIND("/",N1334)+1)-FIND("/",N1334)-1)),VALUE(LEFT(N1334,FIND("/",N1334)-1))),0)</f>
        <v>0</v>
      </c>
    </row>
    <row r="1335" customFormat="false" ht="15" hidden="false" customHeight="false" outlineLevel="0" collapsed="false">
      <c r="N1335" s="0" t="str">
        <f aca="false">IF(H1335="","",IFERROR(LEFT(H1335,FIND(" ",H1335)-1),H1335))</f>
        <v/>
      </c>
      <c r="O1335" s="20" t="n">
        <f aca="false">IFERROR(DATE(VALUE(MID(N1335,FIND("/",N1335,FIND("/",N1335)+1)+1,4)),VALUE(MID(N1335,FIND("/",N1335)+1,FIND("/",N1335,FIND("/",N1335)+1)-FIND("/",N1335)-1)),VALUE(LEFT(N1335,FIND("/",N1335)-1))),0)</f>
        <v>0</v>
      </c>
    </row>
    <row r="1336" customFormat="false" ht="15" hidden="false" customHeight="false" outlineLevel="0" collapsed="false">
      <c r="N1336" s="0" t="str">
        <f aca="false">IF(H1336="","",IFERROR(LEFT(H1336,FIND(" ",H1336)-1),H1336))</f>
        <v/>
      </c>
      <c r="O1336" s="20" t="n">
        <f aca="false">IFERROR(DATE(VALUE(MID(N1336,FIND("/",N1336,FIND("/",N1336)+1)+1,4)),VALUE(MID(N1336,FIND("/",N1336)+1,FIND("/",N1336,FIND("/",N1336)+1)-FIND("/",N1336)-1)),VALUE(LEFT(N1336,FIND("/",N1336)-1))),0)</f>
        <v>0</v>
      </c>
    </row>
    <row r="1337" customFormat="false" ht="15" hidden="false" customHeight="false" outlineLevel="0" collapsed="false">
      <c r="N1337" s="0" t="str">
        <f aca="false">IF(H1337="","",IFERROR(LEFT(H1337,FIND(" ",H1337)-1),H1337))</f>
        <v/>
      </c>
      <c r="O1337" s="20" t="n">
        <f aca="false">IFERROR(DATE(VALUE(MID(N1337,FIND("/",N1337,FIND("/",N1337)+1)+1,4)),VALUE(MID(N1337,FIND("/",N1337)+1,FIND("/",N1337,FIND("/",N1337)+1)-FIND("/",N1337)-1)),VALUE(LEFT(N1337,FIND("/",N1337)-1))),0)</f>
        <v>0</v>
      </c>
    </row>
    <row r="1338" customFormat="false" ht="15" hidden="false" customHeight="false" outlineLevel="0" collapsed="false">
      <c r="N1338" s="0" t="str">
        <f aca="false">IF(H1338="","",IFERROR(LEFT(H1338,FIND(" ",H1338)-1),H1338))</f>
        <v/>
      </c>
      <c r="O1338" s="20" t="n">
        <f aca="false">IFERROR(DATE(VALUE(MID(N1338,FIND("/",N1338,FIND("/",N1338)+1)+1,4)),VALUE(MID(N1338,FIND("/",N1338)+1,FIND("/",N1338,FIND("/",N1338)+1)-FIND("/",N1338)-1)),VALUE(LEFT(N1338,FIND("/",N1338)-1))),0)</f>
        <v>0</v>
      </c>
    </row>
    <row r="1339" customFormat="false" ht="15" hidden="false" customHeight="false" outlineLevel="0" collapsed="false">
      <c r="N1339" s="0" t="str">
        <f aca="false">IF(H1339="","",IFERROR(LEFT(H1339,FIND(" ",H1339)-1),H1339))</f>
        <v/>
      </c>
      <c r="O1339" s="20" t="n">
        <f aca="false">IFERROR(DATE(VALUE(MID(N1339,FIND("/",N1339,FIND("/",N1339)+1)+1,4)),VALUE(MID(N1339,FIND("/",N1339)+1,FIND("/",N1339,FIND("/",N1339)+1)-FIND("/",N1339)-1)),VALUE(LEFT(N1339,FIND("/",N1339)-1))),0)</f>
        <v>0</v>
      </c>
    </row>
    <row r="1340" customFormat="false" ht="15" hidden="false" customHeight="false" outlineLevel="0" collapsed="false">
      <c r="N1340" s="0" t="str">
        <f aca="false">IF(H1340="","",IFERROR(LEFT(H1340,FIND(" ",H1340)-1),H1340))</f>
        <v/>
      </c>
      <c r="O1340" s="20" t="n">
        <f aca="false">IFERROR(DATE(VALUE(MID(N1340,FIND("/",N1340,FIND("/",N1340)+1)+1,4)),VALUE(MID(N1340,FIND("/",N1340)+1,FIND("/",N1340,FIND("/",N1340)+1)-FIND("/",N1340)-1)),VALUE(LEFT(N1340,FIND("/",N1340)-1))),0)</f>
        <v>0</v>
      </c>
    </row>
    <row r="1341" customFormat="false" ht="15" hidden="false" customHeight="false" outlineLevel="0" collapsed="false">
      <c r="N1341" s="0" t="str">
        <f aca="false">IF(H1341="","",IFERROR(LEFT(H1341,FIND(" ",H1341)-1),H1341))</f>
        <v/>
      </c>
      <c r="O1341" s="20" t="n">
        <f aca="false">IFERROR(DATE(VALUE(MID(N1341,FIND("/",N1341,FIND("/",N1341)+1)+1,4)),VALUE(MID(N1341,FIND("/",N1341)+1,FIND("/",N1341,FIND("/",N1341)+1)-FIND("/",N1341)-1)),VALUE(LEFT(N1341,FIND("/",N1341)-1))),0)</f>
        <v>0</v>
      </c>
    </row>
    <row r="1342" customFormat="false" ht="15" hidden="false" customHeight="false" outlineLevel="0" collapsed="false">
      <c r="N1342" s="0" t="str">
        <f aca="false">IF(H1342="","",IFERROR(LEFT(H1342,FIND(" ",H1342)-1),H1342))</f>
        <v/>
      </c>
      <c r="O1342" s="20" t="n">
        <f aca="false">IFERROR(DATE(VALUE(MID(N1342,FIND("/",N1342,FIND("/",N1342)+1)+1,4)),VALUE(MID(N1342,FIND("/",N1342)+1,FIND("/",N1342,FIND("/",N1342)+1)-FIND("/",N1342)-1)),VALUE(LEFT(N1342,FIND("/",N1342)-1))),0)</f>
        <v>0</v>
      </c>
    </row>
    <row r="1343" customFormat="false" ht="15" hidden="false" customHeight="false" outlineLevel="0" collapsed="false">
      <c r="N1343" s="0" t="str">
        <f aca="false">IF(H1343="","",IFERROR(LEFT(H1343,FIND(" ",H1343)-1),H1343))</f>
        <v/>
      </c>
      <c r="O1343" s="20" t="n">
        <f aca="false">IFERROR(DATE(VALUE(MID(N1343,FIND("/",N1343,FIND("/",N1343)+1)+1,4)),VALUE(MID(N1343,FIND("/",N1343)+1,FIND("/",N1343,FIND("/",N1343)+1)-FIND("/",N1343)-1)),VALUE(LEFT(N1343,FIND("/",N1343)-1))),0)</f>
        <v>0</v>
      </c>
    </row>
    <row r="1344" customFormat="false" ht="15" hidden="false" customHeight="false" outlineLevel="0" collapsed="false">
      <c r="N1344" s="0" t="str">
        <f aca="false">IF(H1344="","",IFERROR(LEFT(H1344,FIND(" ",H1344)-1),H1344))</f>
        <v/>
      </c>
      <c r="O1344" s="20" t="n">
        <f aca="false">IFERROR(DATE(VALUE(MID(N1344,FIND("/",N1344,FIND("/",N1344)+1)+1,4)),VALUE(MID(N1344,FIND("/",N1344)+1,FIND("/",N1344,FIND("/",N1344)+1)-FIND("/",N1344)-1)),VALUE(LEFT(N1344,FIND("/",N1344)-1))),0)</f>
        <v>0</v>
      </c>
    </row>
    <row r="1345" customFormat="false" ht="15" hidden="false" customHeight="false" outlineLevel="0" collapsed="false">
      <c r="N1345" s="0" t="str">
        <f aca="false">IF(H1345="","",IFERROR(LEFT(H1345,FIND(" ",H1345)-1),H1345))</f>
        <v/>
      </c>
      <c r="O1345" s="20" t="n">
        <f aca="false">IFERROR(DATE(VALUE(MID(N1345,FIND("/",N1345,FIND("/",N1345)+1)+1,4)),VALUE(MID(N1345,FIND("/",N1345)+1,FIND("/",N1345,FIND("/",N1345)+1)-FIND("/",N1345)-1)),VALUE(LEFT(N1345,FIND("/",N1345)-1))),0)</f>
        <v>0</v>
      </c>
    </row>
    <row r="1346" customFormat="false" ht="15" hidden="false" customHeight="false" outlineLevel="0" collapsed="false">
      <c r="N1346" s="0" t="str">
        <f aca="false">IF(H1346="","",IFERROR(LEFT(H1346,FIND(" ",H1346)-1),H1346))</f>
        <v/>
      </c>
      <c r="O1346" s="20" t="n">
        <f aca="false">IFERROR(DATE(VALUE(MID(N1346,FIND("/",N1346,FIND("/",N1346)+1)+1,4)),VALUE(MID(N1346,FIND("/",N1346)+1,FIND("/",N1346,FIND("/",N1346)+1)-FIND("/",N1346)-1)),VALUE(LEFT(N1346,FIND("/",N1346)-1))),0)</f>
        <v>0</v>
      </c>
    </row>
    <row r="1347" customFormat="false" ht="15" hidden="false" customHeight="false" outlineLevel="0" collapsed="false">
      <c r="N1347" s="0" t="str">
        <f aca="false">IF(H1347="","",IFERROR(LEFT(H1347,FIND(" ",H1347)-1),H1347))</f>
        <v/>
      </c>
      <c r="O1347" s="20" t="n">
        <f aca="false">IFERROR(DATE(VALUE(MID(N1347,FIND("/",N1347,FIND("/",N1347)+1)+1,4)),VALUE(MID(N1347,FIND("/",N1347)+1,FIND("/",N1347,FIND("/",N1347)+1)-FIND("/",N1347)-1)),VALUE(LEFT(N1347,FIND("/",N1347)-1))),0)</f>
        <v>0</v>
      </c>
    </row>
    <row r="1348" customFormat="false" ht="15" hidden="false" customHeight="false" outlineLevel="0" collapsed="false">
      <c r="N1348" s="0" t="str">
        <f aca="false">IF(H1348="","",IFERROR(LEFT(H1348,FIND(" ",H1348)-1),H1348))</f>
        <v/>
      </c>
      <c r="O1348" s="20" t="n">
        <f aca="false">IFERROR(DATE(VALUE(MID(N1348,FIND("/",N1348,FIND("/",N1348)+1)+1,4)),VALUE(MID(N1348,FIND("/",N1348)+1,FIND("/",N1348,FIND("/",N1348)+1)-FIND("/",N1348)-1)),VALUE(LEFT(N1348,FIND("/",N1348)-1))),0)</f>
        <v>0</v>
      </c>
    </row>
    <row r="1349" customFormat="false" ht="15" hidden="false" customHeight="false" outlineLevel="0" collapsed="false">
      <c r="N1349" s="0" t="str">
        <f aca="false">IF(H1349="","",IFERROR(LEFT(H1349,FIND(" ",H1349)-1),H1349))</f>
        <v/>
      </c>
      <c r="O1349" s="20" t="n">
        <f aca="false">IFERROR(DATE(VALUE(MID(N1349,FIND("/",N1349,FIND("/",N1349)+1)+1,4)),VALUE(MID(N1349,FIND("/",N1349)+1,FIND("/",N1349,FIND("/",N1349)+1)-FIND("/",N1349)-1)),VALUE(LEFT(N1349,FIND("/",N1349)-1))),0)</f>
        <v>0</v>
      </c>
    </row>
    <row r="1350" customFormat="false" ht="15" hidden="false" customHeight="false" outlineLevel="0" collapsed="false">
      <c r="N1350" s="0" t="str">
        <f aca="false">IF(H1350="","",IFERROR(LEFT(H1350,FIND(" ",H1350)-1),H1350))</f>
        <v/>
      </c>
      <c r="O1350" s="20" t="n">
        <f aca="false">IFERROR(DATE(VALUE(MID(N1350,FIND("/",N1350,FIND("/",N1350)+1)+1,4)),VALUE(MID(N1350,FIND("/",N1350)+1,FIND("/",N1350,FIND("/",N1350)+1)-FIND("/",N1350)-1)),VALUE(LEFT(N1350,FIND("/",N1350)-1))),0)</f>
        <v>0</v>
      </c>
    </row>
    <row r="1351" customFormat="false" ht="15" hidden="false" customHeight="false" outlineLevel="0" collapsed="false">
      <c r="N1351" s="0" t="str">
        <f aca="false">IF(H1351="","",IFERROR(LEFT(H1351,FIND(" ",H1351)-1),H1351))</f>
        <v/>
      </c>
      <c r="O1351" s="20" t="n">
        <f aca="false">IFERROR(DATE(VALUE(MID(N1351,FIND("/",N1351,FIND("/",N1351)+1)+1,4)),VALUE(MID(N1351,FIND("/",N1351)+1,FIND("/",N1351,FIND("/",N1351)+1)-FIND("/",N1351)-1)),VALUE(LEFT(N1351,FIND("/",N1351)-1))),0)</f>
        <v>0</v>
      </c>
    </row>
    <row r="1352" customFormat="false" ht="15" hidden="false" customHeight="false" outlineLevel="0" collapsed="false">
      <c r="N1352" s="0" t="str">
        <f aca="false">IF(H1352="","",IFERROR(LEFT(H1352,FIND(" ",H1352)-1),H1352))</f>
        <v/>
      </c>
      <c r="O1352" s="20" t="n">
        <f aca="false">IFERROR(DATE(VALUE(MID(N1352,FIND("/",N1352,FIND("/",N1352)+1)+1,4)),VALUE(MID(N1352,FIND("/",N1352)+1,FIND("/",N1352,FIND("/",N1352)+1)-FIND("/",N1352)-1)),VALUE(LEFT(N1352,FIND("/",N1352)-1))),0)</f>
        <v>0</v>
      </c>
    </row>
    <row r="1353" customFormat="false" ht="15" hidden="false" customHeight="false" outlineLevel="0" collapsed="false">
      <c r="N1353" s="0" t="str">
        <f aca="false">IF(H1353="","",IFERROR(LEFT(H1353,FIND(" ",H1353)-1),H1353))</f>
        <v/>
      </c>
      <c r="O1353" s="20" t="n">
        <f aca="false">IFERROR(DATE(VALUE(MID(N1353,FIND("/",N1353,FIND("/",N1353)+1)+1,4)),VALUE(MID(N1353,FIND("/",N1353)+1,FIND("/",N1353,FIND("/",N1353)+1)-FIND("/",N1353)-1)),VALUE(LEFT(N1353,FIND("/",N1353)-1))),0)</f>
        <v>0</v>
      </c>
    </row>
    <row r="1354" customFormat="false" ht="15" hidden="false" customHeight="false" outlineLevel="0" collapsed="false">
      <c r="N1354" s="0" t="str">
        <f aca="false">IF(H1354="","",IFERROR(LEFT(H1354,FIND(" ",H1354)-1),H1354))</f>
        <v/>
      </c>
      <c r="O1354" s="20" t="n">
        <f aca="false">IFERROR(DATE(VALUE(MID(N1354,FIND("/",N1354,FIND("/",N1354)+1)+1,4)),VALUE(MID(N1354,FIND("/",N1354)+1,FIND("/",N1354,FIND("/",N1354)+1)-FIND("/",N1354)-1)),VALUE(LEFT(N1354,FIND("/",N1354)-1))),0)</f>
        <v>0</v>
      </c>
    </row>
    <row r="1355" customFormat="false" ht="15" hidden="false" customHeight="false" outlineLevel="0" collapsed="false">
      <c r="N1355" s="0" t="str">
        <f aca="false">IF(H1355="","",IFERROR(LEFT(H1355,FIND(" ",H1355)-1),H1355))</f>
        <v/>
      </c>
      <c r="O1355" s="20" t="n">
        <f aca="false">IFERROR(DATE(VALUE(MID(N1355,FIND("/",N1355,FIND("/",N1355)+1)+1,4)),VALUE(MID(N1355,FIND("/",N1355)+1,FIND("/",N1355,FIND("/",N1355)+1)-FIND("/",N1355)-1)),VALUE(LEFT(N1355,FIND("/",N1355)-1))),0)</f>
        <v>0</v>
      </c>
    </row>
    <row r="1356" customFormat="false" ht="15" hidden="false" customHeight="false" outlineLevel="0" collapsed="false">
      <c r="N1356" s="0" t="str">
        <f aca="false">IF(H1356="","",IFERROR(LEFT(H1356,FIND(" ",H1356)-1),H1356))</f>
        <v/>
      </c>
      <c r="O1356" s="20" t="n">
        <f aca="false">IFERROR(DATE(VALUE(MID(N1356,FIND("/",N1356,FIND("/",N1356)+1)+1,4)),VALUE(MID(N1356,FIND("/",N1356)+1,FIND("/",N1356,FIND("/",N1356)+1)-FIND("/",N1356)-1)),VALUE(LEFT(N1356,FIND("/",N1356)-1))),0)</f>
        <v>0</v>
      </c>
    </row>
    <row r="1357" customFormat="false" ht="15" hidden="false" customHeight="false" outlineLevel="0" collapsed="false">
      <c r="N1357" s="0" t="str">
        <f aca="false">IF(H1357="","",IFERROR(LEFT(H1357,FIND(" ",H1357)-1),H1357))</f>
        <v/>
      </c>
      <c r="O1357" s="20" t="n">
        <f aca="false">IFERROR(DATE(VALUE(MID(N1357,FIND("/",N1357,FIND("/",N1357)+1)+1,4)),VALUE(MID(N1357,FIND("/",N1357)+1,FIND("/",N1357,FIND("/",N1357)+1)-FIND("/",N1357)-1)),VALUE(LEFT(N1357,FIND("/",N1357)-1))),0)</f>
        <v>0</v>
      </c>
    </row>
    <row r="1358" customFormat="false" ht="15" hidden="false" customHeight="false" outlineLevel="0" collapsed="false">
      <c r="N1358" s="0" t="str">
        <f aca="false">IF(H1358="","",IFERROR(LEFT(H1358,FIND(" ",H1358)-1),H1358))</f>
        <v/>
      </c>
      <c r="O1358" s="20" t="n">
        <f aca="false">IFERROR(DATE(VALUE(MID(N1358,FIND("/",N1358,FIND("/",N1358)+1)+1,4)),VALUE(MID(N1358,FIND("/",N1358)+1,FIND("/",N1358,FIND("/",N1358)+1)-FIND("/",N1358)-1)),VALUE(LEFT(N1358,FIND("/",N1358)-1))),0)</f>
        <v>0</v>
      </c>
    </row>
    <row r="1359" customFormat="false" ht="15" hidden="false" customHeight="false" outlineLevel="0" collapsed="false">
      <c r="N1359" s="0" t="str">
        <f aca="false">IF(H1359="","",IFERROR(LEFT(H1359,FIND(" ",H1359)-1),H1359))</f>
        <v/>
      </c>
      <c r="O1359" s="20" t="n">
        <f aca="false">IFERROR(DATE(VALUE(MID(N1359,FIND("/",N1359,FIND("/",N1359)+1)+1,4)),VALUE(MID(N1359,FIND("/",N1359)+1,FIND("/",N1359,FIND("/",N1359)+1)-FIND("/",N1359)-1)),VALUE(LEFT(N1359,FIND("/",N1359)-1))),0)</f>
        <v>0</v>
      </c>
    </row>
    <row r="1360" customFormat="false" ht="15" hidden="false" customHeight="false" outlineLevel="0" collapsed="false">
      <c r="N1360" s="0" t="str">
        <f aca="false">IF(H1360="","",IFERROR(LEFT(H1360,FIND(" ",H1360)-1),H1360))</f>
        <v/>
      </c>
      <c r="O1360" s="20" t="n">
        <f aca="false">IFERROR(DATE(VALUE(MID(N1360,FIND("/",N1360,FIND("/",N1360)+1)+1,4)),VALUE(MID(N1360,FIND("/",N1360)+1,FIND("/",N1360,FIND("/",N1360)+1)-FIND("/",N1360)-1)),VALUE(LEFT(N1360,FIND("/",N1360)-1))),0)</f>
        <v>0</v>
      </c>
    </row>
    <row r="1361" customFormat="false" ht="15" hidden="false" customHeight="false" outlineLevel="0" collapsed="false">
      <c r="N1361" s="0" t="str">
        <f aca="false">IF(H1361="","",IFERROR(LEFT(H1361,FIND(" ",H1361)-1),H1361))</f>
        <v/>
      </c>
      <c r="O1361" s="20" t="n">
        <f aca="false">IFERROR(DATE(VALUE(MID(N1361,FIND("/",N1361,FIND("/",N1361)+1)+1,4)),VALUE(MID(N1361,FIND("/",N1361)+1,FIND("/",N1361,FIND("/",N1361)+1)-FIND("/",N1361)-1)),VALUE(LEFT(N1361,FIND("/",N1361)-1))),0)</f>
        <v>0</v>
      </c>
    </row>
    <row r="1362" customFormat="false" ht="15" hidden="false" customHeight="false" outlineLevel="0" collapsed="false">
      <c r="N1362" s="0" t="str">
        <f aca="false">IF(H1362="","",IFERROR(LEFT(H1362,FIND(" ",H1362)-1),H1362))</f>
        <v/>
      </c>
      <c r="O1362" s="20" t="n">
        <f aca="false">IFERROR(DATE(VALUE(MID(N1362,FIND("/",N1362,FIND("/",N1362)+1)+1,4)),VALUE(MID(N1362,FIND("/",N1362)+1,FIND("/",N1362,FIND("/",N1362)+1)-FIND("/",N1362)-1)),VALUE(LEFT(N1362,FIND("/",N1362)-1))),0)</f>
        <v>0</v>
      </c>
    </row>
    <row r="1363" customFormat="false" ht="15" hidden="false" customHeight="false" outlineLevel="0" collapsed="false">
      <c r="N1363" s="0" t="str">
        <f aca="false">IF(H1363="","",IFERROR(LEFT(H1363,FIND(" ",H1363)-1),H1363))</f>
        <v/>
      </c>
      <c r="O1363" s="20" t="n">
        <f aca="false">IFERROR(DATE(VALUE(MID(N1363,FIND("/",N1363,FIND("/",N1363)+1)+1,4)),VALUE(MID(N1363,FIND("/",N1363)+1,FIND("/",N1363,FIND("/",N1363)+1)-FIND("/",N1363)-1)),VALUE(LEFT(N1363,FIND("/",N1363)-1))),0)</f>
        <v>0</v>
      </c>
    </row>
    <row r="1364" customFormat="false" ht="15" hidden="false" customHeight="false" outlineLevel="0" collapsed="false">
      <c r="N1364" s="0" t="str">
        <f aca="false">IF(H1364="","",IFERROR(LEFT(H1364,FIND(" ",H1364)-1),H1364))</f>
        <v/>
      </c>
      <c r="O1364" s="20" t="n">
        <f aca="false">IFERROR(DATE(VALUE(MID(N1364,FIND("/",N1364,FIND("/",N1364)+1)+1,4)),VALUE(MID(N1364,FIND("/",N1364)+1,FIND("/",N1364,FIND("/",N1364)+1)-FIND("/",N1364)-1)),VALUE(LEFT(N1364,FIND("/",N1364)-1))),0)</f>
        <v>0</v>
      </c>
    </row>
    <row r="1365" customFormat="false" ht="15" hidden="false" customHeight="false" outlineLevel="0" collapsed="false">
      <c r="N1365" s="0" t="str">
        <f aca="false">IF(H1365="","",IFERROR(LEFT(H1365,FIND(" ",H1365)-1),H1365))</f>
        <v/>
      </c>
      <c r="O1365" s="20" t="n">
        <f aca="false">IFERROR(DATE(VALUE(MID(N1365,FIND("/",N1365,FIND("/",N1365)+1)+1,4)),VALUE(MID(N1365,FIND("/",N1365)+1,FIND("/",N1365,FIND("/",N1365)+1)-FIND("/",N1365)-1)),VALUE(LEFT(N1365,FIND("/",N1365)-1))),0)</f>
        <v>0</v>
      </c>
    </row>
    <row r="1366" customFormat="false" ht="15" hidden="false" customHeight="false" outlineLevel="0" collapsed="false">
      <c r="N1366" s="0" t="str">
        <f aca="false">IF(H1366="","",IFERROR(LEFT(H1366,FIND(" ",H1366)-1),H1366))</f>
        <v/>
      </c>
      <c r="O1366" s="20" t="n">
        <f aca="false">IFERROR(DATE(VALUE(MID(N1366,FIND("/",N1366,FIND("/",N1366)+1)+1,4)),VALUE(MID(N1366,FIND("/",N1366)+1,FIND("/",N1366,FIND("/",N1366)+1)-FIND("/",N1366)-1)),VALUE(LEFT(N1366,FIND("/",N1366)-1))),0)</f>
        <v>0</v>
      </c>
    </row>
    <row r="1367" customFormat="false" ht="15" hidden="false" customHeight="false" outlineLevel="0" collapsed="false">
      <c r="N1367" s="0" t="str">
        <f aca="false">IF(H1367="","",IFERROR(LEFT(H1367,FIND(" ",H1367)-1),H1367))</f>
        <v/>
      </c>
      <c r="O1367" s="20" t="n">
        <f aca="false">IFERROR(DATE(VALUE(MID(N1367,FIND("/",N1367,FIND("/",N1367)+1)+1,4)),VALUE(MID(N1367,FIND("/",N1367)+1,FIND("/",N1367,FIND("/",N1367)+1)-FIND("/",N1367)-1)),VALUE(LEFT(N1367,FIND("/",N1367)-1))),0)</f>
        <v>0</v>
      </c>
    </row>
    <row r="1368" customFormat="false" ht="15" hidden="false" customHeight="false" outlineLevel="0" collapsed="false">
      <c r="N1368" s="0" t="str">
        <f aca="false">IF(H1368="","",IFERROR(LEFT(H1368,FIND(" ",H1368)-1),H1368))</f>
        <v/>
      </c>
      <c r="O1368" s="20" t="n">
        <f aca="false">IFERROR(DATE(VALUE(MID(N1368,FIND("/",N1368,FIND("/",N1368)+1)+1,4)),VALUE(MID(N1368,FIND("/",N1368)+1,FIND("/",N1368,FIND("/",N1368)+1)-FIND("/",N1368)-1)),VALUE(LEFT(N1368,FIND("/",N1368)-1))),0)</f>
        <v>0</v>
      </c>
    </row>
    <row r="1369" customFormat="false" ht="15" hidden="false" customHeight="false" outlineLevel="0" collapsed="false">
      <c r="N1369" s="0" t="str">
        <f aca="false">IF(H1369="","",IFERROR(LEFT(H1369,FIND(" ",H1369)-1),H1369))</f>
        <v/>
      </c>
      <c r="O1369" s="20" t="n">
        <f aca="false">IFERROR(DATE(VALUE(MID(N1369,FIND("/",N1369,FIND("/",N1369)+1)+1,4)),VALUE(MID(N1369,FIND("/",N1369)+1,FIND("/",N1369,FIND("/",N1369)+1)-FIND("/",N1369)-1)),VALUE(LEFT(N1369,FIND("/",N1369)-1))),0)</f>
        <v>0</v>
      </c>
    </row>
    <row r="1370" customFormat="false" ht="15" hidden="false" customHeight="false" outlineLevel="0" collapsed="false">
      <c r="N1370" s="0" t="str">
        <f aca="false">IF(H1370="","",IFERROR(LEFT(H1370,FIND(" ",H1370)-1),H1370))</f>
        <v/>
      </c>
      <c r="O1370" s="20" t="n">
        <f aca="false">IFERROR(DATE(VALUE(MID(N1370,FIND("/",N1370,FIND("/",N1370)+1)+1,4)),VALUE(MID(N1370,FIND("/",N1370)+1,FIND("/",N1370,FIND("/",N1370)+1)-FIND("/",N1370)-1)),VALUE(LEFT(N1370,FIND("/",N1370)-1))),0)</f>
        <v>0</v>
      </c>
    </row>
    <row r="1371" customFormat="false" ht="15" hidden="false" customHeight="false" outlineLevel="0" collapsed="false">
      <c r="N1371" s="0" t="str">
        <f aca="false">IF(H1371="","",IFERROR(LEFT(H1371,FIND(" ",H1371)-1),H1371))</f>
        <v/>
      </c>
      <c r="O1371" s="20" t="n">
        <f aca="false">IFERROR(DATE(VALUE(MID(N1371,FIND("/",N1371,FIND("/",N1371)+1)+1,4)),VALUE(MID(N1371,FIND("/",N1371)+1,FIND("/",N1371,FIND("/",N1371)+1)-FIND("/",N1371)-1)),VALUE(LEFT(N1371,FIND("/",N1371)-1))),0)</f>
        <v>0</v>
      </c>
    </row>
    <row r="1372" customFormat="false" ht="15" hidden="false" customHeight="false" outlineLevel="0" collapsed="false">
      <c r="N1372" s="0" t="str">
        <f aca="false">IF(H1372="","",IFERROR(LEFT(H1372,FIND(" ",H1372)-1),H1372))</f>
        <v/>
      </c>
      <c r="O1372" s="20" t="n">
        <f aca="false">IFERROR(DATE(VALUE(MID(N1372,FIND("/",N1372,FIND("/",N1372)+1)+1,4)),VALUE(MID(N1372,FIND("/",N1372)+1,FIND("/",N1372,FIND("/",N1372)+1)-FIND("/",N1372)-1)),VALUE(LEFT(N1372,FIND("/",N1372)-1))),0)</f>
        <v>0</v>
      </c>
    </row>
    <row r="1373" customFormat="false" ht="15" hidden="false" customHeight="false" outlineLevel="0" collapsed="false">
      <c r="N1373" s="0" t="str">
        <f aca="false">IF(H1373="","",IFERROR(LEFT(H1373,FIND(" ",H1373)-1),H1373))</f>
        <v/>
      </c>
      <c r="O1373" s="20" t="n">
        <f aca="false">IFERROR(DATE(VALUE(MID(N1373,FIND("/",N1373,FIND("/",N1373)+1)+1,4)),VALUE(MID(N1373,FIND("/",N1373)+1,FIND("/",N1373,FIND("/",N1373)+1)-FIND("/",N1373)-1)),VALUE(LEFT(N1373,FIND("/",N1373)-1))),0)</f>
        <v>0</v>
      </c>
    </row>
    <row r="1374" customFormat="false" ht="15" hidden="false" customHeight="false" outlineLevel="0" collapsed="false">
      <c r="N1374" s="0" t="str">
        <f aca="false">IF(H1374="","",IFERROR(LEFT(H1374,FIND(" ",H1374)-1),H1374))</f>
        <v/>
      </c>
      <c r="O1374" s="20" t="n">
        <f aca="false">IFERROR(DATE(VALUE(MID(N1374,FIND("/",N1374,FIND("/",N1374)+1)+1,4)),VALUE(MID(N1374,FIND("/",N1374)+1,FIND("/",N1374,FIND("/",N1374)+1)-FIND("/",N1374)-1)),VALUE(LEFT(N1374,FIND("/",N1374)-1))),0)</f>
        <v>0</v>
      </c>
    </row>
    <row r="1375" customFormat="false" ht="15" hidden="false" customHeight="false" outlineLevel="0" collapsed="false">
      <c r="N1375" s="0" t="str">
        <f aca="false">IF(H1375="","",IFERROR(LEFT(H1375,FIND(" ",H1375)-1),H1375))</f>
        <v/>
      </c>
      <c r="O1375" s="20" t="n">
        <f aca="false">IFERROR(DATE(VALUE(MID(N1375,FIND("/",N1375,FIND("/",N1375)+1)+1,4)),VALUE(MID(N1375,FIND("/",N1375)+1,FIND("/",N1375,FIND("/",N1375)+1)-FIND("/",N1375)-1)),VALUE(LEFT(N1375,FIND("/",N1375)-1))),0)</f>
        <v>0</v>
      </c>
    </row>
    <row r="1376" customFormat="false" ht="15" hidden="false" customHeight="false" outlineLevel="0" collapsed="false">
      <c r="N1376" s="0" t="str">
        <f aca="false">IF(H1376="","",IFERROR(LEFT(H1376,FIND(" ",H1376)-1),H1376))</f>
        <v/>
      </c>
      <c r="O1376" s="20" t="n">
        <f aca="false">IFERROR(DATE(VALUE(MID(N1376,FIND("/",N1376,FIND("/",N1376)+1)+1,4)),VALUE(MID(N1376,FIND("/",N1376)+1,FIND("/",N1376,FIND("/",N1376)+1)-FIND("/",N1376)-1)),VALUE(LEFT(N1376,FIND("/",N1376)-1))),0)</f>
        <v>0</v>
      </c>
    </row>
    <row r="1377" customFormat="false" ht="15" hidden="false" customHeight="false" outlineLevel="0" collapsed="false">
      <c r="N1377" s="0" t="str">
        <f aca="false">IF(H1377="","",IFERROR(LEFT(H1377,FIND(" ",H1377)-1),H1377))</f>
        <v/>
      </c>
      <c r="O1377" s="20" t="n">
        <f aca="false">IFERROR(DATE(VALUE(MID(N1377,FIND("/",N1377,FIND("/",N1377)+1)+1,4)),VALUE(MID(N1377,FIND("/",N1377)+1,FIND("/",N1377,FIND("/",N1377)+1)-FIND("/",N1377)-1)),VALUE(LEFT(N1377,FIND("/",N1377)-1))),0)</f>
        <v>0</v>
      </c>
    </row>
    <row r="1378" customFormat="false" ht="15" hidden="false" customHeight="false" outlineLevel="0" collapsed="false">
      <c r="N1378" s="0" t="str">
        <f aca="false">IF(H1378="","",IFERROR(LEFT(H1378,FIND(" ",H1378)-1),H1378))</f>
        <v/>
      </c>
      <c r="O1378" s="20" t="n">
        <f aca="false">IFERROR(DATE(VALUE(MID(N1378,FIND("/",N1378,FIND("/",N1378)+1)+1,4)),VALUE(MID(N1378,FIND("/",N1378)+1,FIND("/",N1378,FIND("/",N1378)+1)-FIND("/",N1378)-1)),VALUE(LEFT(N1378,FIND("/",N1378)-1))),0)</f>
        <v>0</v>
      </c>
    </row>
    <row r="1379" customFormat="false" ht="15" hidden="false" customHeight="false" outlineLevel="0" collapsed="false">
      <c r="N1379" s="0" t="str">
        <f aca="false">IF(H1379="","",IFERROR(LEFT(H1379,FIND(" ",H1379)-1),H1379))</f>
        <v/>
      </c>
      <c r="O1379" s="20" t="n">
        <f aca="false">IFERROR(DATE(VALUE(MID(N1379,FIND("/",N1379,FIND("/",N1379)+1)+1,4)),VALUE(MID(N1379,FIND("/",N1379)+1,FIND("/",N1379,FIND("/",N1379)+1)-FIND("/",N1379)-1)),VALUE(LEFT(N1379,FIND("/",N1379)-1))),0)</f>
        <v>0</v>
      </c>
    </row>
    <row r="1380" customFormat="false" ht="15" hidden="false" customHeight="false" outlineLevel="0" collapsed="false">
      <c r="N1380" s="0" t="str">
        <f aca="false">IF(H1380="","",IFERROR(LEFT(H1380,FIND(" ",H1380)-1),H1380))</f>
        <v/>
      </c>
      <c r="O1380" s="20" t="n">
        <f aca="false">IFERROR(DATE(VALUE(MID(N1380,FIND("/",N1380,FIND("/",N1380)+1)+1,4)),VALUE(MID(N1380,FIND("/",N1380)+1,FIND("/",N1380,FIND("/",N1380)+1)-FIND("/",N1380)-1)),VALUE(LEFT(N1380,FIND("/",N1380)-1))),0)</f>
        <v>0</v>
      </c>
    </row>
    <row r="1381" customFormat="false" ht="15" hidden="false" customHeight="false" outlineLevel="0" collapsed="false">
      <c r="N1381" s="0" t="str">
        <f aca="false">IF(H1381="","",IFERROR(LEFT(H1381,FIND(" ",H1381)-1),H1381))</f>
        <v/>
      </c>
      <c r="O1381" s="20" t="n">
        <f aca="false">IFERROR(DATE(VALUE(MID(N1381,FIND("/",N1381,FIND("/",N1381)+1)+1,4)),VALUE(MID(N1381,FIND("/",N1381)+1,FIND("/",N1381,FIND("/",N1381)+1)-FIND("/",N1381)-1)),VALUE(LEFT(N1381,FIND("/",N1381)-1))),0)</f>
        <v>0</v>
      </c>
    </row>
    <row r="1382" customFormat="false" ht="15" hidden="false" customHeight="false" outlineLevel="0" collapsed="false">
      <c r="N1382" s="0" t="str">
        <f aca="false">IF(H1382="","",IFERROR(LEFT(H1382,FIND(" ",H1382)-1),H1382))</f>
        <v/>
      </c>
      <c r="O1382" s="20" t="n">
        <f aca="false">IFERROR(DATE(VALUE(MID(N1382,FIND("/",N1382,FIND("/",N1382)+1)+1,4)),VALUE(MID(N1382,FIND("/",N1382)+1,FIND("/",N1382,FIND("/",N1382)+1)-FIND("/",N1382)-1)),VALUE(LEFT(N1382,FIND("/",N1382)-1))),0)</f>
        <v>0</v>
      </c>
    </row>
    <row r="1383" customFormat="false" ht="15" hidden="false" customHeight="false" outlineLevel="0" collapsed="false">
      <c r="N1383" s="0" t="str">
        <f aca="false">IF(H1383="","",IFERROR(LEFT(H1383,FIND(" ",H1383)-1),H1383))</f>
        <v/>
      </c>
      <c r="O1383" s="20" t="n">
        <f aca="false">IFERROR(DATE(VALUE(MID(N1383,FIND("/",N1383,FIND("/",N1383)+1)+1,4)),VALUE(MID(N1383,FIND("/",N1383)+1,FIND("/",N1383,FIND("/",N1383)+1)-FIND("/",N1383)-1)),VALUE(LEFT(N1383,FIND("/",N1383)-1))),0)</f>
        <v>0</v>
      </c>
    </row>
    <row r="1384" customFormat="false" ht="15" hidden="false" customHeight="false" outlineLevel="0" collapsed="false">
      <c r="N1384" s="0" t="str">
        <f aca="false">IF(H1384="","",IFERROR(LEFT(H1384,FIND(" ",H1384)-1),H1384))</f>
        <v/>
      </c>
      <c r="O1384" s="20" t="n">
        <f aca="false">IFERROR(DATE(VALUE(MID(N1384,FIND("/",N1384,FIND("/",N1384)+1)+1,4)),VALUE(MID(N1384,FIND("/",N1384)+1,FIND("/",N1384,FIND("/",N1384)+1)-FIND("/",N1384)-1)),VALUE(LEFT(N1384,FIND("/",N1384)-1))),0)</f>
        <v>0</v>
      </c>
    </row>
    <row r="1385" customFormat="false" ht="15" hidden="false" customHeight="false" outlineLevel="0" collapsed="false">
      <c r="N1385" s="0" t="str">
        <f aca="false">IF(H1385="","",IFERROR(LEFT(H1385,FIND(" ",H1385)-1),H1385))</f>
        <v/>
      </c>
      <c r="O1385" s="20" t="n">
        <f aca="false">IFERROR(DATE(VALUE(MID(N1385,FIND("/",N1385,FIND("/",N1385)+1)+1,4)),VALUE(MID(N1385,FIND("/",N1385)+1,FIND("/",N1385,FIND("/",N1385)+1)-FIND("/",N1385)-1)),VALUE(LEFT(N1385,FIND("/",N1385)-1))),0)</f>
        <v>0</v>
      </c>
    </row>
    <row r="1386" customFormat="false" ht="15" hidden="false" customHeight="false" outlineLevel="0" collapsed="false">
      <c r="N1386" s="0" t="str">
        <f aca="false">IF(H1386="","",IFERROR(LEFT(H1386,FIND(" ",H1386)-1),H1386))</f>
        <v/>
      </c>
      <c r="O1386" s="20" t="n">
        <f aca="false">IFERROR(DATE(VALUE(MID(N1386,FIND("/",N1386,FIND("/",N1386)+1)+1,4)),VALUE(MID(N1386,FIND("/",N1386)+1,FIND("/",N1386,FIND("/",N1386)+1)-FIND("/",N1386)-1)),VALUE(LEFT(N1386,FIND("/",N1386)-1))),0)</f>
        <v>0</v>
      </c>
    </row>
    <row r="1387" customFormat="false" ht="15" hidden="false" customHeight="false" outlineLevel="0" collapsed="false">
      <c r="N1387" s="0" t="str">
        <f aca="false">IF(H1387="","",IFERROR(LEFT(H1387,FIND(" ",H1387)-1),H1387))</f>
        <v/>
      </c>
      <c r="O1387" s="20" t="n">
        <f aca="false">IFERROR(DATE(VALUE(MID(N1387,FIND("/",N1387,FIND("/",N1387)+1)+1,4)),VALUE(MID(N1387,FIND("/",N1387)+1,FIND("/",N1387,FIND("/",N1387)+1)-FIND("/",N1387)-1)),VALUE(LEFT(N1387,FIND("/",N1387)-1))),0)</f>
        <v>0</v>
      </c>
    </row>
    <row r="1388" customFormat="false" ht="15" hidden="false" customHeight="false" outlineLevel="0" collapsed="false">
      <c r="N1388" s="0" t="str">
        <f aca="false">IF(H1388="","",IFERROR(LEFT(H1388,FIND(" ",H1388)-1),H1388))</f>
        <v/>
      </c>
      <c r="O1388" s="20" t="n">
        <f aca="false">IFERROR(DATE(VALUE(MID(N1388,FIND("/",N1388,FIND("/",N1388)+1)+1,4)),VALUE(MID(N1388,FIND("/",N1388)+1,FIND("/",N1388,FIND("/",N1388)+1)-FIND("/",N1388)-1)),VALUE(LEFT(N1388,FIND("/",N1388)-1))),0)</f>
        <v>0</v>
      </c>
    </row>
    <row r="1389" customFormat="false" ht="15" hidden="false" customHeight="false" outlineLevel="0" collapsed="false">
      <c r="N1389" s="0" t="str">
        <f aca="false">IF(H1389="","",IFERROR(LEFT(H1389,FIND(" ",H1389)-1),H1389))</f>
        <v/>
      </c>
      <c r="O1389" s="20" t="n">
        <f aca="false">IFERROR(DATE(VALUE(MID(N1389,FIND("/",N1389,FIND("/",N1389)+1)+1,4)),VALUE(MID(N1389,FIND("/",N1389)+1,FIND("/",N1389,FIND("/",N1389)+1)-FIND("/",N1389)-1)),VALUE(LEFT(N1389,FIND("/",N1389)-1))),0)</f>
        <v>0</v>
      </c>
    </row>
    <row r="1390" customFormat="false" ht="15" hidden="false" customHeight="false" outlineLevel="0" collapsed="false">
      <c r="N1390" s="0" t="str">
        <f aca="false">IF(H1390="","",IFERROR(LEFT(H1390,FIND(" ",H1390)-1),H1390))</f>
        <v/>
      </c>
      <c r="O1390" s="20" t="n">
        <f aca="false">IFERROR(DATE(VALUE(MID(N1390,FIND("/",N1390,FIND("/",N1390)+1)+1,4)),VALUE(MID(N1390,FIND("/",N1390)+1,FIND("/",N1390,FIND("/",N1390)+1)-FIND("/",N1390)-1)),VALUE(LEFT(N1390,FIND("/",N1390)-1))),0)</f>
        <v>0</v>
      </c>
    </row>
    <row r="1391" customFormat="false" ht="15" hidden="false" customHeight="false" outlineLevel="0" collapsed="false">
      <c r="N1391" s="0" t="str">
        <f aca="false">IF(H1391="","",IFERROR(LEFT(H1391,FIND(" ",H1391)-1),H1391))</f>
        <v/>
      </c>
      <c r="O1391" s="20" t="n">
        <f aca="false">IFERROR(DATE(VALUE(MID(N1391,FIND("/",N1391,FIND("/",N1391)+1)+1,4)),VALUE(MID(N1391,FIND("/",N1391)+1,FIND("/",N1391,FIND("/",N1391)+1)-FIND("/",N1391)-1)),VALUE(LEFT(N1391,FIND("/",N1391)-1))),0)</f>
        <v>0</v>
      </c>
    </row>
    <row r="1392" customFormat="false" ht="15" hidden="false" customHeight="false" outlineLevel="0" collapsed="false">
      <c r="N1392" s="0" t="str">
        <f aca="false">IF(H1392="","",IFERROR(LEFT(H1392,FIND(" ",H1392)-1),H1392))</f>
        <v/>
      </c>
      <c r="O1392" s="20" t="n">
        <f aca="false">IFERROR(DATE(VALUE(MID(N1392,FIND("/",N1392,FIND("/",N1392)+1)+1,4)),VALUE(MID(N1392,FIND("/",N1392)+1,FIND("/",N1392,FIND("/",N1392)+1)-FIND("/",N1392)-1)),VALUE(LEFT(N1392,FIND("/",N1392)-1))),0)</f>
        <v>0</v>
      </c>
    </row>
    <row r="1393" customFormat="false" ht="15" hidden="false" customHeight="false" outlineLevel="0" collapsed="false">
      <c r="N1393" s="0" t="str">
        <f aca="false">IF(H1393="","",IFERROR(LEFT(H1393,FIND(" ",H1393)-1),H1393))</f>
        <v/>
      </c>
      <c r="O1393" s="20" t="n">
        <f aca="false">IFERROR(DATE(VALUE(MID(N1393,FIND("/",N1393,FIND("/",N1393)+1)+1,4)),VALUE(MID(N1393,FIND("/",N1393)+1,FIND("/",N1393,FIND("/",N1393)+1)-FIND("/",N1393)-1)),VALUE(LEFT(N1393,FIND("/",N1393)-1))),0)</f>
        <v>0</v>
      </c>
    </row>
    <row r="1394" customFormat="false" ht="15" hidden="false" customHeight="false" outlineLevel="0" collapsed="false">
      <c r="N1394" s="0" t="str">
        <f aca="false">IF(H1394="","",IFERROR(LEFT(H1394,FIND(" ",H1394)-1),H1394))</f>
        <v/>
      </c>
      <c r="O1394" s="20" t="n">
        <f aca="false">IFERROR(DATE(VALUE(MID(N1394,FIND("/",N1394,FIND("/",N1394)+1)+1,4)),VALUE(MID(N1394,FIND("/",N1394)+1,FIND("/",N1394,FIND("/",N1394)+1)-FIND("/",N1394)-1)),VALUE(LEFT(N1394,FIND("/",N1394)-1))),0)</f>
        <v>0</v>
      </c>
    </row>
    <row r="1395" customFormat="false" ht="15" hidden="false" customHeight="false" outlineLevel="0" collapsed="false">
      <c r="N1395" s="0" t="str">
        <f aca="false">IF(H1395="","",IFERROR(LEFT(H1395,FIND(" ",H1395)-1),H1395))</f>
        <v/>
      </c>
      <c r="O1395" s="20" t="n">
        <f aca="false">IFERROR(DATE(VALUE(MID(N1395,FIND("/",N1395,FIND("/",N1395)+1)+1,4)),VALUE(MID(N1395,FIND("/",N1395)+1,FIND("/",N1395,FIND("/",N1395)+1)-FIND("/",N1395)-1)),VALUE(LEFT(N1395,FIND("/",N1395)-1))),0)</f>
        <v>0</v>
      </c>
    </row>
    <row r="1396" customFormat="false" ht="15" hidden="false" customHeight="false" outlineLevel="0" collapsed="false">
      <c r="N1396" s="0" t="str">
        <f aca="false">IF(H1396="","",IFERROR(LEFT(H1396,FIND(" ",H1396)-1),H1396))</f>
        <v/>
      </c>
      <c r="O1396" s="20" t="n">
        <f aca="false">IFERROR(DATE(VALUE(MID(N1396,FIND("/",N1396,FIND("/",N1396)+1)+1,4)),VALUE(MID(N1396,FIND("/",N1396)+1,FIND("/",N1396,FIND("/",N1396)+1)-FIND("/",N1396)-1)),VALUE(LEFT(N1396,FIND("/",N1396)-1))),0)</f>
        <v>0</v>
      </c>
    </row>
    <row r="1397" customFormat="false" ht="15" hidden="false" customHeight="false" outlineLevel="0" collapsed="false">
      <c r="N1397" s="0" t="str">
        <f aca="false">IF(H1397="","",IFERROR(LEFT(H1397,FIND(" ",H1397)-1),H1397))</f>
        <v/>
      </c>
      <c r="O1397" s="20" t="n">
        <f aca="false">IFERROR(DATE(VALUE(MID(N1397,FIND("/",N1397,FIND("/",N1397)+1)+1,4)),VALUE(MID(N1397,FIND("/",N1397)+1,FIND("/",N1397,FIND("/",N1397)+1)-FIND("/",N1397)-1)),VALUE(LEFT(N1397,FIND("/",N1397)-1))),0)</f>
        <v>0</v>
      </c>
    </row>
    <row r="1398" customFormat="false" ht="15" hidden="false" customHeight="false" outlineLevel="0" collapsed="false">
      <c r="N1398" s="0" t="str">
        <f aca="false">IF(H1398="","",IFERROR(LEFT(H1398,FIND(" ",H1398)-1),H1398))</f>
        <v/>
      </c>
      <c r="O1398" s="20" t="n">
        <f aca="false">IFERROR(DATE(VALUE(MID(N1398,FIND("/",N1398,FIND("/",N1398)+1)+1,4)),VALUE(MID(N1398,FIND("/",N1398)+1,FIND("/",N1398,FIND("/",N1398)+1)-FIND("/",N1398)-1)),VALUE(LEFT(N1398,FIND("/",N1398)-1))),0)</f>
        <v>0</v>
      </c>
    </row>
    <row r="1399" customFormat="false" ht="15" hidden="false" customHeight="false" outlineLevel="0" collapsed="false">
      <c r="N1399" s="0" t="str">
        <f aca="false">IF(H1399="","",IFERROR(LEFT(H1399,FIND(" ",H1399)-1),H1399))</f>
        <v/>
      </c>
      <c r="O1399" s="20" t="n">
        <f aca="false">IFERROR(DATE(VALUE(MID(N1399,FIND("/",N1399,FIND("/",N1399)+1)+1,4)),VALUE(MID(N1399,FIND("/",N1399)+1,FIND("/",N1399,FIND("/",N1399)+1)-FIND("/",N1399)-1)),VALUE(LEFT(N1399,FIND("/",N1399)-1))),0)</f>
        <v>0</v>
      </c>
    </row>
    <row r="1400" customFormat="false" ht="15" hidden="false" customHeight="false" outlineLevel="0" collapsed="false">
      <c r="N1400" s="0" t="str">
        <f aca="false">IF(H1400="","",IFERROR(LEFT(H1400,FIND(" ",H1400)-1),H1400))</f>
        <v/>
      </c>
      <c r="O1400" s="20" t="n">
        <f aca="false">IFERROR(DATE(VALUE(MID(N1400,FIND("/",N1400,FIND("/",N1400)+1)+1,4)),VALUE(MID(N1400,FIND("/",N1400)+1,FIND("/",N1400,FIND("/",N1400)+1)-FIND("/",N1400)-1)),VALUE(LEFT(N1400,FIND("/",N1400)-1))),0)</f>
        <v>0</v>
      </c>
    </row>
    <row r="1401" customFormat="false" ht="15" hidden="false" customHeight="false" outlineLevel="0" collapsed="false">
      <c r="N1401" s="0" t="str">
        <f aca="false">IF(H1401="","",IFERROR(LEFT(H1401,FIND(" ",H1401)-1),H1401))</f>
        <v/>
      </c>
      <c r="O1401" s="20" t="n">
        <f aca="false">IFERROR(DATE(VALUE(MID(N1401,FIND("/",N1401,FIND("/",N1401)+1)+1,4)),VALUE(MID(N1401,FIND("/",N1401)+1,FIND("/",N1401,FIND("/",N1401)+1)-FIND("/",N1401)-1)),VALUE(LEFT(N1401,FIND("/",N1401)-1))),0)</f>
        <v>0</v>
      </c>
    </row>
    <row r="1402" customFormat="false" ht="15" hidden="false" customHeight="false" outlineLevel="0" collapsed="false">
      <c r="N1402" s="0" t="str">
        <f aca="false">IF(H1402="","",IFERROR(LEFT(H1402,FIND(" ",H1402)-1),H1402))</f>
        <v/>
      </c>
      <c r="O1402" s="20" t="n">
        <f aca="false">IFERROR(DATE(VALUE(MID(N1402,FIND("/",N1402,FIND("/",N1402)+1)+1,4)),VALUE(MID(N1402,FIND("/",N1402)+1,FIND("/",N1402,FIND("/",N1402)+1)-FIND("/",N1402)-1)),VALUE(LEFT(N1402,FIND("/",N1402)-1))),0)</f>
        <v>0</v>
      </c>
    </row>
    <row r="1403" customFormat="false" ht="15" hidden="false" customHeight="false" outlineLevel="0" collapsed="false">
      <c r="N1403" s="0" t="str">
        <f aca="false">IF(H1403="","",IFERROR(LEFT(H1403,FIND(" ",H1403)-1),H1403))</f>
        <v/>
      </c>
      <c r="O1403" s="20" t="n">
        <f aca="false">IFERROR(DATE(VALUE(MID(N1403,FIND("/",N1403,FIND("/",N1403)+1)+1,4)),VALUE(MID(N1403,FIND("/",N1403)+1,FIND("/",N1403,FIND("/",N1403)+1)-FIND("/",N1403)-1)),VALUE(LEFT(N1403,FIND("/",N1403)-1))),0)</f>
        <v>0</v>
      </c>
    </row>
    <row r="1404" customFormat="false" ht="15" hidden="false" customHeight="false" outlineLevel="0" collapsed="false">
      <c r="N1404" s="0" t="str">
        <f aca="false">IF(H1404="","",IFERROR(LEFT(H1404,FIND(" ",H1404)-1),H1404))</f>
        <v/>
      </c>
      <c r="O1404" s="20" t="n">
        <f aca="false">IFERROR(DATE(VALUE(MID(N1404,FIND("/",N1404,FIND("/",N1404)+1)+1,4)),VALUE(MID(N1404,FIND("/",N1404)+1,FIND("/",N1404,FIND("/",N1404)+1)-FIND("/",N1404)-1)),VALUE(LEFT(N1404,FIND("/",N1404)-1))),0)</f>
        <v>0</v>
      </c>
    </row>
    <row r="1405" customFormat="false" ht="15" hidden="false" customHeight="false" outlineLevel="0" collapsed="false">
      <c r="N1405" s="0" t="str">
        <f aca="false">IF(H1405="","",IFERROR(LEFT(H1405,FIND(" ",H1405)-1),H1405))</f>
        <v/>
      </c>
      <c r="O1405" s="20" t="n">
        <f aca="false">IFERROR(DATE(VALUE(MID(N1405,FIND("/",N1405,FIND("/",N1405)+1)+1,4)),VALUE(MID(N1405,FIND("/",N1405)+1,FIND("/",N1405,FIND("/",N1405)+1)-FIND("/",N1405)-1)),VALUE(LEFT(N1405,FIND("/",N1405)-1))),0)</f>
        <v>0</v>
      </c>
    </row>
    <row r="1406" customFormat="false" ht="15" hidden="false" customHeight="false" outlineLevel="0" collapsed="false">
      <c r="N1406" s="0" t="str">
        <f aca="false">IF(H1406="","",IFERROR(LEFT(H1406,FIND(" ",H1406)-1),H1406))</f>
        <v/>
      </c>
      <c r="O1406" s="20" t="n">
        <f aca="false">IFERROR(DATE(VALUE(MID(N1406,FIND("/",N1406,FIND("/",N1406)+1)+1,4)),VALUE(MID(N1406,FIND("/",N1406)+1,FIND("/",N1406,FIND("/",N1406)+1)-FIND("/",N1406)-1)),VALUE(LEFT(N1406,FIND("/",N1406)-1))),0)</f>
        <v>0</v>
      </c>
    </row>
    <row r="1407" customFormat="false" ht="15" hidden="false" customHeight="false" outlineLevel="0" collapsed="false">
      <c r="N1407" s="0" t="str">
        <f aca="false">IF(H1407="","",IFERROR(LEFT(H1407,FIND(" ",H1407)-1),H1407))</f>
        <v/>
      </c>
      <c r="O1407" s="20" t="n">
        <f aca="false">IFERROR(DATE(VALUE(MID(N1407,FIND("/",N1407,FIND("/",N1407)+1)+1,4)),VALUE(MID(N1407,FIND("/",N1407)+1,FIND("/",N1407,FIND("/",N1407)+1)-FIND("/",N1407)-1)),VALUE(LEFT(N1407,FIND("/",N1407)-1))),0)</f>
        <v>0</v>
      </c>
    </row>
    <row r="1408" customFormat="false" ht="15" hidden="false" customHeight="false" outlineLevel="0" collapsed="false">
      <c r="N1408" s="0" t="str">
        <f aca="false">IF(H1408="","",IFERROR(LEFT(H1408,FIND(" ",H1408)-1),H1408))</f>
        <v/>
      </c>
      <c r="O1408" s="20" t="n">
        <f aca="false">IFERROR(DATE(VALUE(MID(N1408,FIND("/",N1408,FIND("/",N1408)+1)+1,4)),VALUE(MID(N1408,FIND("/",N1408)+1,FIND("/",N1408,FIND("/",N1408)+1)-FIND("/",N1408)-1)),VALUE(LEFT(N1408,FIND("/",N1408)-1))),0)</f>
        <v>0</v>
      </c>
    </row>
    <row r="1409" customFormat="false" ht="15" hidden="false" customHeight="false" outlineLevel="0" collapsed="false">
      <c r="N1409" s="0" t="str">
        <f aca="false">IF(H1409="","",IFERROR(LEFT(H1409,FIND(" ",H1409)-1),H1409))</f>
        <v/>
      </c>
      <c r="O1409" s="20" t="n">
        <f aca="false">IFERROR(DATE(VALUE(MID(N1409,FIND("/",N1409,FIND("/",N1409)+1)+1,4)),VALUE(MID(N1409,FIND("/",N1409)+1,FIND("/",N1409,FIND("/",N1409)+1)-FIND("/",N1409)-1)),VALUE(LEFT(N1409,FIND("/",N1409)-1))),0)</f>
        <v>0</v>
      </c>
    </row>
    <row r="1410" customFormat="false" ht="15" hidden="false" customHeight="false" outlineLevel="0" collapsed="false">
      <c r="N1410" s="0" t="str">
        <f aca="false">IF(H1410="","",IFERROR(LEFT(H1410,FIND(" ",H1410)-1),H1410))</f>
        <v/>
      </c>
      <c r="O1410" s="20" t="n">
        <f aca="false">IFERROR(DATE(VALUE(MID(N1410,FIND("/",N1410,FIND("/",N1410)+1)+1,4)),VALUE(MID(N1410,FIND("/",N1410)+1,FIND("/",N1410,FIND("/",N1410)+1)-FIND("/",N1410)-1)),VALUE(LEFT(N1410,FIND("/",N1410)-1))),0)</f>
        <v>0</v>
      </c>
    </row>
    <row r="1411" customFormat="false" ht="15" hidden="false" customHeight="false" outlineLevel="0" collapsed="false">
      <c r="N1411" s="0" t="str">
        <f aca="false">IF(H1411="","",IFERROR(LEFT(H1411,FIND(" ",H1411)-1),H1411))</f>
        <v/>
      </c>
      <c r="O1411" s="20" t="n">
        <f aca="false">IFERROR(DATE(VALUE(MID(N1411,FIND("/",N1411,FIND("/",N1411)+1)+1,4)),VALUE(MID(N1411,FIND("/",N1411)+1,FIND("/",N1411,FIND("/",N1411)+1)-FIND("/",N1411)-1)),VALUE(LEFT(N1411,FIND("/",N1411)-1))),0)</f>
        <v>0</v>
      </c>
    </row>
    <row r="1412" customFormat="false" ht="15" hidden="false" customHeight="false" outlineLevel="0" collapsed="false">
      <c r="N1412" s="0" t="str">
        <f aca="false">IF(H1412="","",IFERROR(LEFT(H1412,FIND(" ",H1412)-1),H1412))</f>
        <v/>
      </c>
      <c r="O1412" s="20" t="n">
        <f aca="false">IFERROR(DATE(VALUE(MID(N1412,FIND("/",N1412,FIND("/",N1412)+1)+1,4)),VALUE(MID(N1412,FIND("/",N1412)+1,FIND("/",N1412,FIND("/",N1412)+1)-FIND("/",N1412)-1)),VALUE(LEFT(N1412,FIND("/",N1412)-1))),0)</f>
        <v>0</v>
      </c>
    </row>
    <row r="1413" customFormat="false" ht="15" hidden="false" customHeight="false" outlineLevel="0" collapsed="false">
      <c r="N1413" s="0" t="str">
        <f aca="false">IF(H1413="","",IFERROR(LEFT(H1413,FIND(" ",H1413)-1),H1413))</f>
        <v/>
      </c>
      <c r="O1413" s="20" t="n">
        <f aca="false">IFERROR(DATE(VALUE(MID(N1413,FIND("/",N1413,FIND("/",N1413)+1)+1,4)),VALUE(MID(N1413,FIND("/",N1413)+1,FIND("/",N1413,FIND("/",N1413)+1)-FIND("/",N1413)-1)),VALUE(LEFT(N1413,FIND("/",N1413)-1))),0)</f>
        <v>0</v>
      </c>
    </row>
    <row r="1414" customFormat="false" ht="15" hidden="false" customHeight="false" outlineLevel="0" collapsed="false">
      <c r="N1414" s="0" t="str">
        <f aca="false">IF(H1414="","",IFERROR(LEFT(H1414,FIND(" ",H1414)-1),H1414))</f>
        <v/>
      </c>
      <c r="O1414" s="20" t="n">
        <f aca="false">IFERROR(DATE(VALUE(MID(N1414,FIND("/",N1414,FIND("/",N1414)+1)+1,4)),VALUE(MID(N1414,FIND("/",N1414)+1,FIND("/",N1414,FIND("/",N1414)+1)-FIND("/",N1414)-1)),VALUE(LEFT(N1414,FIND("/",N1414)-1))),0)</f>
        <v>0</v>
      </c>
    </row>
    <row r="1415" customFormat="false" ht="15" hidden="false" customHeight="false" outlineLevel="0" collapsed="false">
      <c r="N1415" s="0" t="str">
        <f aca="false">IF(H1415="","",IFERROR(LEFT(H1415,FIND(" ",H1415)-1),H1415))</f>
        <v/>
      </c>
      <c r="O1415" s="20" t="n">
        <f aca="false">IFERROR(DATE(VALUE(MID(N1415,FIND("/",N1415,FIND("/",N1415)+1)+1,4)),VALUE(MID(N1415,FIND("/",N1415)+1,FIND("/",N1415,FIND("/",N1415)+1)-FIND("/",N1415)-1)),VALUE(LEFT(N1415,FIND("/",N1415)-1))),0)</f>
        <v>0</v>
      </c>
    </row>
    <row r="1416" customFormat="false" ht="15" hidden="false" customHeight="false" outlineLevel="0" collapsed="false">
      <c r="N1416" s="0" t="str">
        <f aca="false">IF(H1416="","",IFERROR(LEFT(H1416,FIND(" ",H1416)-1),H1416))</f>
        <v/>
      </c>
      <c r="O1416" s="20" t="n">
        <f aca="false">IFERROR(DATE(VALUE(MID(N1416,FIND("/",N1416,FIND("/",N1416)+1)+1,4)),VALUE(MID(N1416,FIND("/",N1416)+1,FIND("/",N1416,FIND("/",N1416)+1)-FIND("/",N1416)-1)),VALUE(LEFT(N1416,FIND("/",N1416)-1))),0)</f>
        <v>0</v>
      </c>
    </row>
    <row r="1417" customFormat="false" ht="15" hidden="false" customHeight="false" outlineLevel="0" collapsed="false">
      <c r="N1417" s="0" t="str">
        <f aca="false">IF(H1417="","",IFERROR(LEFT(H1417,FIND(" ",H1417)-1),H1417))</f>
        <v/>
      </c>
      <c r="O1417" s="20" t="n">
        <f aca="false">IFERROR(DATE(VALUE(MID(N1417,FIND("/",N1417,FIND("/",N1417)+1)+1,4)),VALUE(MID(N1417,FIND("/",N1417)+1,FIND("/",N1417,FIND("/",N1417)+1)-FIND("/",N1417)-1)),VALUE(LEFT(N1417,FIND("/",N1417)-1))),0)</f>
        <v>0</v>
      </c>
    </row>
    <row r="1418" customFormat="false" ht="15" hidden="false" customHeight="false" outlineLevel="0" collapsed="false">
      <c r="N1418" s="0" t="str">
        <f aca="false">IF(H1418="","",IFERROR(LEFT(H1418,FIND(" ",H1418)-1),H1418))</f>
        <v/>
      </c>
      <c r="O1418" s="20" t="n">
        <f aca="false">IFERROR(DATE(VALUE(MID(N1418,FIND("/",N1418,FIND("/",N1418)+1)+1,4)),VALUE(MID(N1418,FIND("/",N1418)+1,FIND("/",N1418,FIND("/",N1418)+1)-FIND("/",N1418)-1)),VALUE(LEFT(N1418,FIND("/",N1418)-1))),0)</f>
        <v>0</v>
      </c>
    </row>
    <row r="1419" customFormat="false" ht="15" hidden="false" customHeight="false" outlineLevel="0" collapsed="false">
      <c r="N1419" s="0" t="str">
        <f aca="false">IF(H1419="","",IFERROR(LEFT(H1419,FIND(" ",H1419)-1),H1419))</f>
        <v/>
      </c>
      <c r="O1419" s="20" t="n">
        <f aca="false">IFERROR(DATE(VALUE(MID(N1419,FIND("/",N1419,FIND("/",N1419)+1)+1,4)),VALUE(MID(N1419,FIND("/",N1419)+1,FIND("/",N1419,FIND("/",N1419)+1)-FIND("/",N1419)-1)),VALUE(LEFT(N1419,FIND("/",N1419)-1))),0)</f>
        <v>0</v>
      </c>
    </row>
    <row r="1420" customFormat="false" ht="15" hidden="false" customHeight="false" outlineLevel="0" collapsed="false">
      <c r="N1420" s="0" t="str">
        <f aca="false">IF(H1420="","",IFERROR(LEFT(H1420,FIND(" ",H1420)-1),H1420))</f>
        <v/>
      </c>
      <c r="O1420" s="20" t="n">
        <f aca="false">IFERROR(DATE(VALUE(MID(N1420,FIND("/",N1420,FIND("/",N1420)+1)+1,4)),VALUE(MID(N1420,FIND("/",N1420)+1,FIND("/",N1420,FIND("/",N1420)+1)-FIND("/",N1420)-1)),VALUE(LEFT(N1420,FIND("/",N1420)-1))),0)</f>
        <v>0</v>
      </c>
    </row>
    <row r="1421" customFormat="false" ht="15" hidden="false" customHeight="false" outlineLevel="0" collapsed="false">
      <c r="N1421" s="0" t="str">
        <f aca="false">IF(H1421="","",IFERROR(LEFT(H1421,FIND(" ",H1421)-1),H1421))</f>
        <v/>
      </c>
      <c r="O1421" s="20" t="n">
        <f aca="false">IFERROR(DATE(VALUE(MID(N1421,FIND("/",N1421,FIND("/",N1421)+1)+1,4)),VALUE(MID(N1421,FIND("/",N1421)+1,FIND("/",N1421,FIND("/",N1421)+1)-FIND("/",N1421)-1)),VALUE(LEFT(N1421,FIND("/",N1421)-1))),0)</f>
        <v>0</v>
      </c>
    </row>
    <row r="1422" customFormat="false" ht="15" hidden="false" customHeight="false" outlineLevel="0" collapsed="false">
      <c r="N1422" s="0" t="str">
        <f aca="false">IF(H1422="","",IFERROR(LEFT(H1422,FIND(" ",H1422)-1),H1422))</f>
        <v/>
      </c>
      <c r="O1422" s="20" t="n">
        <f aca="false">IFERROR(DATE(VALUE(MID(N1422,FIND("/",N1422,FIND("/",N1422)+1)+1,4)),VALUE(MID(N1422,FIND("/",N1422)+1,FIND("/",N1422,FIND("/",N1422)+1)-FIND("/",N1422)-1)),VALUE(LEFT(N1422,FIND("/",N1422)-1))),0)</f>
        <v>0</v>
      </c>
    </row>
    <row r="1423" customFormat="false" ht="15" hidden="false" customHeight="false" outlineLevel="0" collapsed="false">
      <c r="N1423" s="0" t="str">
        <f aca="false">IF(H1423="","",IFERROR(LEFT(H1423,FIND(" ",H1423)-1),H1423))</f>
        <v/>
      </c>
      <c r="O1423" s="20" t="n">
        <f aca="false">IFERROR(DATE(VALUE(MID(N1423,FIND("/",N1423,FIND("/",N1423)+1)+1,4)),VALUE(MID(N1423,FIND("/",N1423)+1,FIND("/",N1423,FIND("/",N1423)+1)-FIND("/",N1423)-1)),VALUE(LEFT(N1423,FIND("/",N1423)-1))),0)</f>
        <v>0</v>
      </c>
    </row>
    <row r="1424" customFormat="false" ht="15" hidden="false" customHeight="false" outlineLevel="0" collapsed="false">
      <c r="N1424" s="0" t="str">
        <f aca="false">IF(H1424="","",IFERROR(LEFT(H1424,FIND(" ",H1424)-1),H1424))</f>
        <v/>
      </c>
      <c r="O1424" s="20" t="n">
        <f aca="false">IFERROR(DATE(VALUE(MID(N1424,FIND("/",N1424,FIND("/",N1424)+1)+1,4)),VALUE(MID(N1424,FIND("/",N1424)+1,FIND("/",N1424,FIND("/",N1424)+1)-FIND("/",N1424)-1)),VALUE(LEFT(N1424,FIND("/",N1424)-1))),0)</f>
        <v>0</v>
      </c>
    </row>
    <row r="1425" customFormat="false" ht="15" hidden="false" customHeight="false" outlineLevel="0" collapsed="false">
      <c r="N1425" s="0" t="str">
        <f aca="false">IF(H1425="","",IFERROR(LEFT(H1425,FIND(" ",H1425)-1),H1425))</f>
        <v/>
      </c>
      <c r="O1425" s="20" t="n">
        <f aca="false">IFERROR(DATE(VALUE(MID(N1425,FIND("/",N1425,FIND("/",N1425)+1)+1,4)),VALUE(MID(N1425,FIND("/",N1425)+1,FIND("/",N1425,FIND("/",N1425)+1)-FIND("/",N1425)-1)),VALUE(LEFT(N1425,FIND("/",N1425)-1))),0)</f>
        <v>0</v>
      </c>
    </row>
    <row r="1426" customFormat="false" ht="15" hidden="false" customHeight="false" outlineLevel="0" collapsed="false">
      <c r="N1426" s="0" t="str">
        <f aca="false">IF(H1426="","",IFERROR(LEFT(H1426,FIND(" ",H1426)-1),H1426))</f>
        <v/>
      </c>
      <c r="O1426" s="20" t="n">
        <f aca="false">IFERROR(DATE(VALUE(MID(N1426,FIND("/",N1426,FIND("/",N1426)+1)+1,4)),VALUE(MID(N1426,FIND("/",N1426)+1,FIND("/",N1426,FIND("/",N1426)+1)-FIND("/",N1426)-1)),VALUE(LEFT(N1426,FIND("/",N1426)-1))),0)</f>
        <v>0</v>
      </c>
    </row>
    <row r="1427" customFormat="false" ht="15" hidden="false" customHeight="false" outlineLevel="0" collapsed="false">
      <c r="N1427" s="0" t="str">
        <f aca="false">IF(H1427="","",IFERROR(LEFT(H1427,FIND(" ",H1427)-1),H1427))</f>
        <v/>
      </c>
      <c r="O1427" s="20" t="n">
        <f aca="false">IFERROR(DATE(VALUE(MID(N1427,FIND("/",N1427,FIND("/",N1427)+1)+1,4)),VALUE(MID(N1427,FIND("/",N1427)+1,FIND("/",N1427,FIND("/",N1427)+1)-FIND("/",N1427)-1)),VALUE(LEFT(N1427,FIND("/",N1427)-1))),0)</f>
        <v>0</v>
      </c>
    </row>
    <row r="1428" customFormat="false" ht="15" hidden="false" customHeight="false" outlineLevel="0" collapsed="false">
      <c r="N1428" s="0" t="str">
        <f aca="false">IF(H1428="","",IFERROR(LEFT(H1428,FIND(" ",H1428)-1),H1428))</f>
        <v/>
      </c>
      <c r="O1428" s="20" t="n">
        <f aca="false">IFERROR(DATE(VALUE(MID(N1428,FIND("/",N1428,FIND("/",N1428)+1)+1,4)),VALUE(MID(N1428,FIND("/",N1428)+1,FIND("/",N1428,FIND("/",N1428)+1)-FIND("/",N1428)-1)),VALUE(LEFT(N1428,FIND("/",N1428)-1))),0)</f>
        <v>0</v>
      </c>
    </row>
    <row r="1429" customFormat="false" ht="15" hidden="false" customHeight="false" outlineLevel="0" collapsed="false">
      <c r="N1429" s="0" t="str">
        <f aca="false">IF(H1429="","",IFERROR(LEFT(H1429,FIND(" ",H1429)-1),H1429))</f>
        <v/>
      </c>
      <c r="O1429" s="20" t="n">
        <f aca="false">IFERROR(DATE(VALUE(MID(N1429,FIND("/",N1429,FIND("/",N1429)+1)+1,4)),VALUE(MID(N1429,FIND("/",N1429)+1,FIND("/",N1429,FIND("/",N1429)+1)-FIND("/",N1429)-1)),VALUE(LEFT(N1429,FIND("/",N1429)-1))),0)</f>
        <v>0</v>
      </c>
    </row>
    <row r="1430" customFormat="false" ht="15" hidden="false" customHeight="false" outlineLevel="0" collapsed="false">
      <c r="N1430" s="0" t="str">
        <f aca="false">IF(H1430="","",IFERROR(LEFT(H1430,FIND(" ",H1430)-1),H1430))</f>
        <v/>
      </c>
      <c r="O1430" s="20" t="n">
        <f aca="false">IFERROR(DATE(VALUE(MID(N1430,FIND("/",N1430,FIND("/",N1430)+1)+1,4)),VALUE(MID(N1430,FIND("/",N1430)+1,FIND("/",N1430,FIND("/",N1430)+1)-FIND("/",N1430)-1)),VALUE(LEFT(N1430,FIND("/",N1430)-1))),0)</f>
        <v>0</v>
      </c>
    </row>
    <row r="1431" customFormat="false" ht="15" hidden="false" customHeight="false" outlineLevel="0" collapsed="false">
      <c r="N1431" s="0" t="str">
        <f aca="false">IF(H1431="","",IFERROR(LEFT(H1431,FIND(" ",H1431)-1),H1431))</f>
        <v/>
      </c>
      <c r="O1431" s="20" t="n">
        <f aca="false">IFERROR(DATE(VALUE(MID(N1431,FIND("/",N1431,FIND("/",N1431)+1)+1,4)),VALUE(MID(N1431,FIND("/",N1431)+1,FIND("/",N1431,FIND("/",N1431)+1)-FIND("/",N1431)-1)),VALUE(LEFT(N1431,FIND("/",N1431)-1))),0)</f>
        <v>0</v>
      </c>
    </row>
    <row r="1432" customFormat="false" ht="15" hidden="false" customHeight="false" outlineLevel="0" collapsed="false">
      <c r="N1432" s="0" t="str">
        <f aca="false">IF(H1432="","",IFERROR(LEFT(H1432,FIND(" ",H1432)-1),H1432))</f>
        <v/>
      </c>
      <c r="O1432" s="20" t="n">
        <f aca="false">IFERROR(DATE(VALUE(MID(N1432,FIND("/",N1432,FIND("/",N1432)+1)+1,4)),VALUE(MID(N1432,FIND("/",N1432)+1,FIND("/",N1432,FIND("/",N1432)+1)-FIND("/",N1432)-1)),VALUE(LEFT(N1432,FIND("/",N1432)-1))),0)</f>
        <v>0</v>
      </c>
    </row>
    <row r="1433" customFormat="false" ht="15" hidden="false" customHeight="false" outlineLevel="0" collapsed="false">
      <c r="N1433" s="0" t="str">
        <f aca="false">IF(H1433="","",IFERROR(LEFT(H1433,FIND(" ",H1433)-1),H1433))</f>
        <v/>
      </c>
      <c r="O1433" s="20" t="n">
        <f aca="false">IFERROR(DATE(VALUE(MID(N1433,FIND("/",N1433,FIND("/",N1433)+1)+1,4)),VALUE(MID(N1433,FIND("/",N1433)+1,FIND("/",N1433,FIND("/",N1433)+1)-FIND("/",N1433)-1)),VALUE(LEFT(N1433,FIND("/",N1433)-1))),0)</f>
        <v>0</v>
      </c>
    </row>
    <row r="1434" customFormat="false" ht="15" hidden="false" customHeight="false" outlineLevel="0" collapsed="false">
      <c r="N1434" s="0" t="str">
        <f aca="false">IF(H1434="","",IFERROR(LEFT(H1434,FIND(" ",H1434)-1),H1434))</f>
        <v/>
      </c>
      <c r="O1434" s="20" t="n">
        <f aca="false">IFERROR(DATE(VALUE(MID(N1434,FIND("/",N1434,FIND("/",N1434)+1)+1,4)),VALUE(MID(N1434,FIND("/",N1434)+1,FIND("/",N1434,FIND("/",N1434)+1)-FIND("/",N1434)-1)),VALUE(LEFT(N1434,FIND("/",N1434)-1))),0)</f>
        <v>0</v>
      </c>
    </row>
    <row r="1435" customFormat="false" ht="15" hidden="false" customHeight="false" outlineLevel="0" collapsed="false">
      <c r="N1435" s="0" t="str">
        <f aca="false">IF(H1435="","",IFERROR(LEFT(H1435,FIND(" ",H1435)-1),H1435))</f>
        <v/>
      </c>
      <c r="O1435" s="20" t="n">
        <f aca="false">IFERROR(DATE(VALUE(MID(N1435,FIND("/",N1435,FIND("/",N1435)+1)+1,4)),VALUE(MID(N1435,FIND("/",N1435)+1,FIND("/",N1435,FIND("/",N1435)+1)-FIND("/",N1435)-1)),VALUE(LEFT(N1435,FIND("/",N1435)-1))),0)</f>
        <v>0</v>
      </c>
    </row>
    <row r="1436" customFormat="false" ht="15" hidden="false" customHeight="false" outlineLevel="0" collapsed="false">
      <c r="N1436" s="0" t="str">
        <f aca="false">IF(H1436="","",IFERROR(LEFT(H1436,FIND(" ",H1436)-1),H1436))</f>
        <v/>
      </c>
      <c r="O1436" s="20" t="n">
        <f aca="false">IFERROR(DATE(VALUE(MID(N1436,FIND("/",N1436,FIND("/",N1436)+1)+1,4)),VALUE(MID(N1436,FIND("/",N1436)+1,FIND("/",N1436,FIND("/",N1436)+1)-FIND("/",N1436)-1)),VALUE(LEFT(N1436,FIND("/",N1436)-1))),0)</f>
        <v>0</v>
      </c>
    </row>
    <row r="1437" customFormat="false" ht="15" hidden="false" customHeight="false" outlineLevel="0" collapsed="false">
      <c r="N1437" s="0" t="str">
        <f aca="false">IF(H1437="","",IFERROR(LEFT(H1437,FIND(" ",H1437)-1),H1437))</f>
        <v/>
      </c>
      <c r="O1437" s="20" t="n">
        <f aca="false">IFERROR(DATE(VALUE(MID(N1437,FIND("/",N1437,FIND("/",N1437)+1)+1,4)),VALUE(MID(N1437,FIND("/",N1437)+1,FIND("/",N1437,FIND("/",N1437)+1)-FIND("/",N1437)-1)),VALUE(LEFT(N1437,FIND("/",N1437)-1))),0)</f>
        <v>0</v>
      </c>
    </row>
    <row r="1438" customFormat="false" ht="15" hidden="false" customHeight="false" outlineLevel="0" collapsed="false">
      <c r="N1438" s="0" t="str">
        <f aca="false">IF(H1438="","",IFERROR(LEFT(H1438,FIND(" ",H1438)-1),H1438))</f>
        <v/>
      </c>
      <c r="O1438" s="20" t="n">
        <f aca="false">IFERROR(DATE(VALUE(MID(N1438,FIND("/",N1438,FIND("/",N1438)+1)+1,4)),VALUE(MID(N1438,FIND("/",N1438)+1,FIND("/",N1438,FIND("/",N1438)+1)-FIND("/",N1438)-1)),VALUE(LEFT(N1438,FIND("/",N1438)-1))),0)</f>
        <v>0</v>
      </c>
    </row>
    <row r="1439" customFormat="false" ht="15" hidden="false" customHeight="false" outlineLevel="0" collapsed="false">
      <c r="N1439" s="0" t="str">
        <f aca="false">IF(H1439="","",IFERROR(LEFT(H1439,FIND(" ",H1439)-1),H1439))</f>
        <v/>
      </c>
      <c r="O1439" s="20" t="n">
        <f aca="false">IFERROR(DATE(VALUE(MID(N1439,FIND("/",N1439,FIND("/",N1439)+1)+1,4)),VALUE(MID(N1439,FIND("/",N1439)+1,FIND("/",N1439,FIND("/",N1439)+1)-FIND("/",N1439)-1)),VALUE(LEFT(N1439,FIND("/",N1439)-1))),0)</f>
        <v>0</v>
      </c>
    </row>
    <row r="1440" customFormat="false" ht="15" hidden="false" customHeight="false" outlineLevel="0" collapsed="false">
      <c r="N1440" s="0" t="str">
        <f aca="false">IF(H1440="","",IFERROR(LEFT(H1440,FIND(" ",H1440)-1),H1440))</f>
        <v/>
      </c>
      <c r="O1440" s="20" t="n">
        <f aca="false">IFERROR(DATE(VALUE(MID(N1440,FIND("/",N1440,FIND("/",N1440)+1)+1,4)),VALUE(MID(N1440,FIND("/",N1440)+1,FIND("/",N1440,FIND("/",N1440)+1)-FIND("/",N1440)-1)),VALUE(LEFT(N1440,FIND("/",N1440)-1))),0)</f>
        <v>0</v>
      </c>
    </row>
    <row r="1441" customFormat="false" ht="15" hidden="false" customHeight="false" outlineLevel="0" collapsed="false">
      <c r="N1441" s="0" t="str">
        <f aca="false">IF(H1441="","",IFERROR(LEFT(H1441,FIND(" ",H1441)-1),H1441))</f>
        <v/>
      </c>
      <c r="O1441" s="20" t="n">
        <f aca="false">IFERROR(DATE(VALUE(MID(N1441,FIND("/",N1441,FIND("/",N1441)+1)+1,4)),VALUE(MID(N1441,FIND("/",N1441)+1,FIND("/",N1441,FIND("/",N1441)+1)-FIND("/",N1441)-1)),VALUE(LEFT(N1441,FIND("/",N1441)-1))),0)</f>
        <v>0</v>
      </c>
    </row>
    <row r="1442" customFormat="false" ht="15" hidden="false" customHeight="false" outlineLevel="0" collapsed="false">
      <c r="N1442" s="0" t="str">
        <f aca="false">IF(H1442="","",IFERROR(LEFT(H1442,FIND(" ",H1442)-1),H1442))</f>
        <v/>
      </c>
      <c r="O1442" s="20" t="n">
        <f aca="false">IFERROR(DATE(VALUE(MID(N1442,FIND("/",N1442,FIND("/",N1442)+1)+1,4)),VALUE(MID(N1442,FIND("/",N1442)+1,FIND("/",N1442,FIND("/",N1442)+1)-FIND("/",N1442)-1)),VALUE(LEFT(N1442,FIND("/",N1442)-1))),0)</f>
        <v>0</v>
      </c>
    </row>
    <row r="1443" customFormat="false" ht="15" hidden="false" customHeight="false" outlineLevel="0" collapsed="false">
      <c r="N1443" s="0" t="str">
        <f aca="false">IF(H1443="","",IFERROR(LEFT(H1443,FIND(" ",H1443)-1),H1443))</f>
        <v/>
      </c>
      <c r="O1443" s="20" t="n">
        <f aca="false">IFERROR(DATE(VALUE(MID(N1443,FIND("/",N1443,FIND("/",N1443)+1)+1,4)),VALUE(MID(N1443,FIND("/",N1443)+1,FIND("/",N1443,FIND("/",N1443)+1)-FIND("/",N1443)-1)),VALUE(LEFT(N1443,FIND("/",N1443)-1))),0)</f>
        <v>0</v>
      </c>
    </row>
    <row r="1444" customFormat="false" ht="15" hidden="false" customHeight="false" outlineLevel="0" collapsed="false">
      <c r="N1444" s="0" t="str">
        <f aca="false">IF(H1444="","",IFERROR(LEFT(H1444,FIND(" ",H1444)-1),H1444))</f>
        <v/>
      </c>
      <c r="O1444" s="20" t="n">
        <f aca="false">IFERROR(DATE(VALUE(MID(N1444,FIND("/",N1444,FIND("/",N1444)+1)+1,4)),VALUE(MID(N1444,FIND("/",N1444)+1,FIND("/",N1444,FIND("/",N1444)+1)-FIND("/",N1444)-1)),VALUE(LEFT(N1444,FIND("/",N1444)-1))),0)</f>
        <v>0</v>
      </c>
    </row>
    <row r="1445" customFormat="false" ht="15" hidden="false" customHeight="false" outlineLevel="0" collapsed="false">
      <c r="N1445" s="0" t="str">
        <f aca="false">IF(H1445="","",IFERROR(LEFT(H1445,FIND(" ",H1445)-1),H1445))</f>
        <v/>
      </c>
      <c r="O1445" s="20" t="n">
        <f aca="false">IFERROR(DATE(VALUE(MID(N1445,FIND("/",N1445,FIND("/",N1445)+1)+1,4)),VALUE(MID(N1445,FIND("/",N1445)+1,FIND("/",N1445,FIND("/",N1445)+1)-FIND("/",N1445)-1)),VALUE(LEFT(N1445,FIND("/",N1445)-1))),0)</f>
        <v>0</v>
      </c>
    </row>
    <row r="1446" customFormat="false" ht="15" hidden="false" customHeight="false" outlineLevel="0" collapsed="false">
      <c r="N1446" s="0" t="str">
        <f aca="false">IF(H1446="","",IFERROR(LEFT(H1446,FIND(" ",H1446)-1),H1446))</f>
        <v/>
      </c>
      <c r="O1446" s="20" t="n">
        <f aca="false">IFERROR(DATE(VALUE(MID(N1446,FIND("/",N1446,FIND("/",N1446)+1)+1,4)),VALUE(MID(N1446,FIND("/",N1446)+1,FIND("/",N1446,FIND("/",N1446)+1)-FIND("/",N1446)-1)),VALUE(LEFT(N1446,FIND("/",N1446)-1))),0)</f>
        <v>0</v>
      </c>
    </row>
    <row r="1447" customFormat="false" ht="15" hidden="false" customHeight="false" outlineLevel="0" collapsed="false">
      <c r="N1447" s="0" t="str">
        <f aca="false">IF(H1447="","",IFERROR(LEFT(H1447,FIND(" ",H1447)-1),H1447))</f>
        <v/>
      </c>
      <c r="O1447" s="20" t="n">
        <f aca="false">IFERROR(DATE(VALUE(MID(N1447,FIND("/",N1447,FIND("/",N1447)+1)+1,4)),VALUE(MID(N1447,FIND("/",N1447)+1,FIND("/",N1447,FIND("/",N1447)+1)-FIND("/",N1447)-1)),VALUE(LEFT(N1447,FIND("/",N1447)-1))),0)</f>
        <v>0</v>
      </c>
    </row>
    <row r="1448" customFormat="false" ht="15" hidden="false" customHeight="false" outlineLevel="0" collapsed="false">
      <c r="N1448" s="0" t="str">
        <f aca="false">IF(H1448="","",IFERROR(LEFT(H1448,FIND(" ",H1448)-1),H1448))</f>
        <v/>
      </c>
      <c r="O1448" s="20" t="n">
        <f aca="false">IFERROR(DATE(VALUE(MID(N1448,FIND("/",N1448,FIND("/",N1448)+1)+1,4)),VALUE(MID(N1448,FIND("/",N1448)+1,FIND("/",N1448,FIND("/",N1448)+1)-FIND("/",N1448)-1)),VALUE(LEFT(N1448,FIND("/",N1448)-1))),0)</f>
        <v>0</v>
      </c>
    </row>
    <row r="1449" customFormat="false" ht="15" hidden="false" customHeight="false" outlineLevel="0" collapsed="false">
      <c r="N1449" s="0" t="str">
        <f aca="false">IF(H1449="","",IFERROR(LEFT(H1449,FIND(" ",H1449)-1),H1449))</f>
        <v/>
      </c>
      <c r="O1449" s="20" t="n">
        <f aca="false">IFERROR(DATE(VALUE(MID(N1449,FIND("/",N1449,FIND("/",N1449)+1)+1,4)),VALUE(MID(N1449,FIND("/",N1449)+1,FIND("/",N1449,FIND("/",N1449)+1)-FIND("/",N1449)-1)),VALUE(LEFT(N1449,FIND("/",N1449)-1))),0)</f>
        <v>0</v>
      </c>
    </row>
    <row r="1450" customFormat="false" ht="15" hidden="false" customHeight="false" outlineLevel="0" collapsed="false">
      <c r="N1450" s="0" t="str">
        <f aca="false">IF(H1450="","",IFERROR(LEFT(H1450,FIND(" ",H1450)-1),H1450))</f>
        <v/>
      </c>
      <c r="O1450" s="20" t="n">
        <f aca="false">IFERROR(DATE(VALUE(MID(N1450,FIND("/",N1450,FIND("/",N1450)+1)+1,4)),VALUE(MID(N1450,FIND("/",N1450)+1,FIND("/",N1450,FIND("/",N1450)+1)-FIND("/",N1450)-1)),VALUE(LEFT(N1450,FIND("/",N1450)-1))),0)</f>
        <v>0</v>
      </c>
    </row>
    <row r="1451" customFormat="false" ht="15" hidden="false" customHeight="false" outlineLevel="0" collapsed="false">
      <c r="N1451" s="0" t="str">
        <f aca="false">IF(H1451="","",IFERROR(LEFT(H1451,FIND(" ",H1451)-1),H1451))</f>
        <v/>
      </c>
      <c r="O1451" s="20" t="n">
        <f aca="false">IFERROR(DATE(VALUE(MID(N1451,FIND("/",N1451,FIND("/",N1451)+1)+1,4)),VALUE(MID(N1451,FIND("/",N1451)+1,FIND("/",N1451,FIND("/",N1451)+1)-FIND("/",N1451)-1)),VALUE(LEFT(N1451,FIND("/",N1451)-1))),0)</f>
        <v>0</v>
      </c>
    </row>
    <row r="1452" customFormat="false" ht="15" hidden="false" customHeight="false" outlineLevel="0" collapsed="false">
      <c r="N1452" s="0" t="str">
        <f aca="false">IF(H1452="","",IFERROR(LEFT(H1452,FIND(" ",H1452)-1),H1452))</f>
        <v/>
      </c>
      <c r="O1452" s="20" t="n">
        <f aca="false">IFERROR(DATE(VALUE(MID(N1452,FIND("/",N1452,FIND("/",N1452)+1)+1,4)),VALUE(MID(N1452,FIND("/",N1452)+1,FIND("/",N1452,FIND("/",N1452)+1)-FIND("/",N1452)-1)),VALUE(LEFT(N1452,FIND("/",N1452)-1))),0)</f>
        <v>0</v>
      </c>
    </row>
    <row r="1453" customFormat="false" ht="15" hidden="false" customHeight="false" outlineLevel="0" collapsed="false">
      <c r="N1453" s="0" t="str">
        <f aca="false">IF(H1453="","",IFERROR(LEFT(H1453,FIND(" ",H1453)-1),H1453))</f>
        <v/>
      </c>
      <c r="O1453" s="20" t="n">
        <f aca="false">IFERROR(DATE(VALUE(MID(N1453,FIND("/",N1453,FIND("/",N1453)+1)+1,4)),VALUE(MID(N1453,FIND("/",N1453)+1,FIND("/",N1453,FIND("/",N1453)+1)-FIND("/",N1453)-1)),VALUE(LEFT(N1453,FIND("/",N1453)-1))),0)</f>
        <v>0</v>
      </c>
    </row>
    <row r="1454" customFormat="false" ht="15" hidden="false" customHeight="false" outlineLevel="0" collapsed="false">
      <c r="N1454" s="0" t="str">
        <f aca="false">IF(H1454="","",IFERROR(LEFT(H1454,FIND(" ",H1454)-1),H1454))</f>
        <v/>
      </c>
      <c r="O1454" s="20" t="n">
        <f aca="false">IFERROR(DATE(VALUE(MID(N1454,FIND("/",N1454,FIND("/",N1454)+1)+1,4)),VALUE(MID(N1454,FIND("/",N1454)+1,FIND("/",N1454,FIND("/",N1454)+1)-FIND("/",N1454)-1)),VALUE(LEFT(N1454,FIND("/",N1454)-1))),0)</f>
        <v>0</v>
      </c>
    </row>
    <row r="1455" customFormat="false" ht="15" hidden="false" customHeight="false" outlineLevel="0" collapsed="false">
      <c r="N1455" s="0" t="str">
        <f aca="false">IF(H1455="","",IFERROR(LEFT(H1455,FIND(" ",H1455)-1),H1455))</f>
        <v/>
      </c>
      <c r="O1455" s="20" t="n">
        <f aca="false">IFERROR(DATE(VALUE(MID(N1455,FIND("/",N1455,FIND("/",N1455)+1)+1,4)),VALUE(MID(N1455,FIND("/",N1455)+1,FIND("/",N1455,FIND("/",N1455)+1)-FIND("/",N1455)-1)),VALUE(LEFT(N1455,FIND("/",N1455)-1))),0)</f>
        <v>0</v>
      </c>
    </row>
    <row r="1456" customFormat="false" ht="15" hidden="false" customHeight="false" outlineLevel="0" collapsed="false">
      <c r="N1456" s="0" t="str">
        <f aca="false">IF(H1456="","",IFERROR(LEFT(H1456,FIND(" ",H1456)-1),H1456))</f>
        <v/>
      </c>
      <c r="O1456" s="20" t="n">
        <f aca="false">IFERROR(DATE(VALUE(MID(N1456,FIND("/",N1456,FIND("/",N1456)+1)+1,4)),VALUE(MID(N1456,FIND("/",N1456)+1,FIND("/",N1456,FIND("/",N1456)+1)-FIND("/",N1456)-1)),VALUE(LEFT(N1456,FIND("/",N1456)-1))),0)</f>
        <v>0</v>
      </c>
    </row>
    <row r="1457" customFormat="false" ht="15" hidden="false" customHeight="false" outlineLevel="0" collapsed="false">
      <c r="N1457" s="0" t="str">
        <f aca="false">IF(H1457="","",IFERROR(LEFT(H1457,FIND(" ",H1457)-1),H1457))</f>
        <v/>
      </c>
      <c r="O1457" s="20" t="n">
        <f aca="false">IFERROR(DATE(VALUE(MID(N1457,FIND("/",N1457,FIND("/",N1457)+1)+1,4)),VALUE(MID(N1457,FIND("/",N1457)+1,FIND("/",N1457,FIND("/",N1457)+1)-FIND("/",N1457)-1)),VALUE(LEFT(N1457,FIND("/",N1457)-1))),0)</f>
        <v>0</v>
      </c>
    </row>
    <row r="1458" customFormat="false" ht="15" hidden="false" customHeight="false" outlineLevel="0" collapsed="false">
      <c r="N1458" s="0" t="str">
        <f aca="false">IF(H1458="","",IFERROR(LEFT(H1458,FIND(" ",H1458)-1),H1458))</f>
        <v/>
      </c>
      <c r="O1458" s="20" t="n">
        <f aca="false">IFERROR(DATE(VALUE(MID(N1458,FIND("/",N1458,FIND("/",N1458)+1)+1,4)),VALUE(MID(N1458,FIND("/",N1458)+1,FIND("/",N1458,FIND("/",N1458)+1)-FIND("/",N1458)-1)),VALUE(LEFT(N1458,FIND("/",N1458)-1))),0)</f>
        <v>0</v>
      </c>
    </row>
    <row r="1459" customFormat="false" ht="15" hidden="false" customHeight="false" outlineLevel="0" collapsed="false">
      <c r="N1459" s="0" t="str">
        <f aca="false">IF(H1459="","",IFERROR(LEFT(H1459,FIND(" ",H1459)-1),H1459))</f>
        <v/>
      </c>
      <c r="O1459" s="20" t="n">
        <f aca="false">IFERROR(DATE(VALUE(MID(N1459,FIND("/",N1459,FIND("/",N1459)+1)+1,4)),VALUE(MID(N1459,FIND("/",N1459)+1,FIND("/",N1459,FIND("/",N1459)+1)-FIND("/",N1459)-1)),VALUE(LEFT(N1459,FIND("/",N1459)-1))),0)</f>
        <v>0</v>
      </c>
    </row>
    <row r="1460" customFormat="false" ht="15" hidden="false" customHeight="false" outlineLevel="0" collapsed="false">
      <c r="N1460" s="0" t="str">
        <f aca="false">IF(H1460="","",IFERROR(LEFT(H1460,FIND(" ",H1460)-1),H1460))</f>
        <v/>
      </c>
      <c r="O1460" s="20" t="n">
        <f aca="false">IFERROR(DATE(VALUE(MID(N1460,FIND("/",N1460,FIND("/",N1460)+1)+1,4)),VALUE(MID(N1460,FIND("/",N1460)+1,FIND("/",N1460,FIND("/",N1460)+1)-FIND("/",N1460)-1)),VALUE(LEFT(N1460,FIND("/",N1460)-1))),0)</f>
        <v>0</v>
      </c>
    </row>
    <row r="1461" customFormat="false" ht="15" hidden="false" customHeight="false" outlineLevel="0" collapsed="false">
      <c r="N1461" s="0" t="str">
        <f aca="false">IF(H1461="","",IFERROR(LEFT(H1461,FIND(" ",H1461)-1),H1461))</f>
        <v/>
      </c>
      <c r="O1461" s="20" t="n">
        <f aca="false">IFERROR(DATE(VALUE(MID(N1461,FIND("/",N1461,FIND("/",N1461)+1)+1,4)),VALUE(MID(N1461,FIND("/",N1461)+1,FIND("/",N1461,FIND("/",N1461)+1)-FIND("/",N1461)-1)),VALUE(LEFT(N1461,FIND("/",N1461)-1))),0)</f>
        <v>0</v>
      </c>
    </row>
    <row r="1462" customFormat="false" ht="15" hidden="false" customHeight="false" outlineLevel="0" collapsed="false">
      <c r="N1462" s="0" t="str">
        <f aca="false">IF(H1462="","",IFERROR(LEFT(H1462,FIND(" ",H1462)-1),H1462))</f>
        <v/>
      </c>
      <c r="O1462" s="20" t="n">
        <f aca="false">IFERROR(DATE(VALUE(MID(N1462,FIND("/",N1462,FIND("/",N1462)+1)+1,4)),VALUE(MID(N1462,FIND("/",N1462)+1,FIND("/",N1462,FIND("/",N1462)+1)-FIND("/",N1462)-1)),VALUE(LEFT(N1462,FIND("/",N1462)-1))),0)</f>
        <v>0</v>
      </c>
    </row>
    <row r="1463" customFormat="false" ht="15" hidden="false" customHeight="false" outlineLevel="0" collapsed="false">
      <c r="N1463" s="0" t="str">
        <f aca="false">IF(H1463="","",IFERROR(LEFT(H1463,FIND(" ",H1463)-1),H1463))</f>
        <v/>
      </c>
      <c r="O1463" s="20" t="n">
        <f aca="false">IFERROR(DATE(VALUE(MID(N1463,FIND("/",N1463,FIND("/",N1463)+1)+1,4)),VALUE(MID(N1463,FIND("/",N1463)+1,FIND("/",N1463,FIND("/",N1463)+1)-FIND("/",N1463)-1)),VALUE(LEFT(N1463,FIND("/",N1463)-1))),0)</f>
        <v>0</v>
      </c>
    </row>
    <row r="1464" customFormat="false" ht="15" hidden="false" customHeight="false" outlineLevel="0" collapsed="false">
      <c r="N1464" s="0" t="str">
        <f aca="false">IF(H1464="","",IFERROR(LEFT(H1464,FIND(" ",H1464)-1),H1464))</f>
        <v/>
      </c>
      <c r="O1464" s="20" t="n">
        <f aca="false">IFERROR(DATE(VALUE(MID(N1464,FIND("/",N1464,FIND("/",N1464)+1)+1,4)),VALUE(MID(N1464,FIND("/",N1464)+1,FIND("/",N1464,FIND("/",N1464)+1)-FIND("/",N1464)-1)),VALUE(LEFT(N1464,FIND("/",N1464)-1))),0)</f>
        <v>0</v>
      </c>
    </row>
    <row r="1465" customFormat="false" ht="15" hidden="false" customHeight="false" outlineLevel="0" collapsed="false">
      <c r="N1465" s="0" t="str">
        <f aca="false">IF(H1465="","",IFERROR(LEFT(H1465,FIND(" ",H1465)-1),H1465))</f>
        <v/>
      </c>
      <c r="O1465" s="20" t="n">
        <f aca="false">IFERROR(DATE(VALUE(MID(N1465,FIND("/",N1465,FIND("/",N1465)+1)+1,4)),VALUE(MID(N1465,FIND("/",N1465)+1,FIND("/",N1465,FIND("/",N1465)+1)-FIND("/",N1465)-1)),VALUE(LEFT(N1465,FIND("/",N1465)-1))),0)</f>
        <v>0</v>
      </c>
    </row>
    <row r="1466" customFormat="false" ht="15" hidden="false" customHeight="false" outlineLevel="0" collapsed="false">
      <c r="N1466" s="0" t="str">
        <f aca="false">IF(H1466="","",IFERROR(LEFT(H1466,FIND(" ",H1466)-1),H1466))</f>
        <v/>
      </c>
      <c r="O1466" s="20" t="n">
        <f aca="false">IFERROR(DATE(VALUE(MID(N1466,FIND("/",N1466,FIND("/",N1466)+1)+1,4)),VALUE(MID(N1466,FIND("/",N1466)+1,FIND("/",N1466,FIND("/",N1466)+1)-FIND("/",N1466)-1)),VALUE(LEFT(N1466,FIND("/",N1466)-1))),0)</f>
        <v>0</v>
      </c>
    </row>
    <row r="1467" customFormat="false" ht="15" hidden="false" customHeight="false" outlineLevel="0" collapsed="false">
      <c r="N1467" s="0" t="str">
        <f aca="false">IF(H1467="","",IFERROR(LEFT(H1467,FIND(" ",H1467)-1),H1467))</f>
        <v/>
      </c>
      <c r="O1467" s="20" t="n">
        <f aca="false">IFERROR(DATE(VALUE(MID(N1467,FIND("/",N1467,FIND("/",N1467)+1)+1,4)),VALUE(MID(N1467,FIND("/",N1467)+1,FIND("/",N1467,FIND("/",N1467)+1)-FIND("/",N1467)-1)),VALUE(LEFT(N1467,FIND("/",N1467)-1))),0)</f>
        <v>0</v>
      </c>
    </row>
    <row r="1468" customFormat="false" ht="15" hidden="false" customHeight="false" outlineLevel="0" collapsed="false">
      <c r="N1468" s="0" t="str">
        <f aca="false">IF(H1468="","",IFERROR(LEFT(H1468,FIND(" ",H1468)-1),H1468))</f>
        <v/>
      </c>
      <c r="O1468" s="20" t="n">
        <f aca="false">IFERROR(DATE(VALUE(MID(N1468,FIND("/",N1468,FIND("/",N1468)+1)+1,4)),VALUE(MID(N1468,FIND("/",N1468)+1,FIND("/",N1468,FIND("/",N1468)+1)-FIND("/",N1468)-1)),VALUE(LEFT(N1468,FIND("/",N1468)-1))),0)</f>
        <v>0</v>
      </c>
    </row>
    <row r="1469" customFormat="false" ht="15" hidden="false" customHeight="false" outlineLevel="0" collapsed="false">
      <c r="N1469" s="0" t="str">
        <f aca="false">IF(H1469="","",IFERROR(LEFT(H1469,FIND(" ",H1469)-1),H1469))</f>
        <v/>
      </c>
      <c r="O1469" s="20" t="n">
        <f aca="false">IFERROR(DATE(VALUE(MID(N1469,FIND("/",N1469,FIND("/",N1469)+1)+1,4)),VALUE(MID(N1469,FIND("/",N1469)+1,FIND("/",N1469,FIND("/",N1469)+1)-FIND("/",N1469)-1)),VALUE(LEFT(N1469,FIND("/",N1469)-1))),0)</f>
        <v>0</v>
      </c>
    </row>
    <row r="1470" customFormat="false" ht="15" hidden="false" customHeight="false" outlineLevel="0" collapsed="false">
      <c r="N1470" s="0" t="str">
        <f aca="false">IF(H1470="","",IFERROR(LEFT(H1470,FIND(" ",H1470)-1),H1470))</f>
        <v/>
      </c>
      <c r="O1470" s="20" t="n">
        <f aca="false">IFERROR(DATE(VALUE(MID(N1470,FIND("/",N1470,FIND("/",N1470)+1)+1,4)),VALUE(MID(N1470,FIND("/",N1470)+1,FIND("/",N1470,FIND("/",N1470)+1)-FIND("/",N1470)-1)),VALUE(LEFT(N1470,FIND("/",N1470)-1))),0)</f>
        <v>0</v>
      </c>
    </row>
    <row r="1471" customFormat="false" ht="15" hidden="false" customHeight="false" outlineLevel="0" collapsed="false">
      <c r="N1471" s="0" t="str">
        <f aca="false">IF(H1471="","",IFERROR(LEFT(H1471,FIND(" ",H1471)-1),H1471))</f>
        <v/>
      </c>
      <c r="O1471" s="20" t="n">
        <f aca="false">IFERROR(DATE(VALUE(MID(N1471,FIND("/",N1471,FIND("/",N1471)+1)+1,4)),VALUE(MID(N1471,FIND("/",N1471)+1,FIND("/",N1471,FIND("/",N1471)+1)-FIND("/",N1471)-1)),VALUE(LEFT(N1471,FIND("/",N1471)-1))),0)</f>
        <v>0</v>
      </c>
    </row>
    <row r="1472" customFormat="false" ht="15" hidden="false" customHeight="false" outlineLevel="0" collapsed="false">
      <c r="N1472" s="0" t="str">
        <f aca="false">IF(H1472="","",IFERROR(LEFT(H1472,FIND(" ",H1472)-1),H1472))</f>
        <v/>
      </c>
      <c r="O1472" s="20" t="n">
        <f aca="false">IFERROR(DATE(VALUE(MID(N1472,FIND("/",N1472,FIND("/",N1472)+1)+1,4)),VALUE(MID(N1472,FIND("/",N1472)+1,FIND("/",N1472,FIND("/",N1472)+1)-FIND("/",N1472)-1)),VALUE(LEFT(N1472,FIND("/",N1472)-1))),0)</f>
        <v>0</v>
      </c>
    </row>
    <row r="1473" customFormat="false" ht="15" hidden="false" customHeight="false" outlineLevel="0" collapsed="false">
      <c r="N1473" s="0" t="str">
        <f aca="false">IF(H1473="","",IFERROR(LEFT(H1473,FIND(" ",H1473)-1),H1473))</f>
        <v/>
      </c>
      <c r="O1473" s="20" t="n">
        <f aca="false">IFERROR(DATE(VALUE(MID(N1473,FIND("/",N1473,FIND("/",N1473)+1)+1,4)),VALUE(MID(N1473,FIND("/",N1473)+1,FIND("/",N1473,FIND("/",N1473)+1)-FIND("/",N1473)-1)),VALUE(LEFT(N1473,FIND("/",N1473)-1))),0)</f>
        <v>0</v>
      </c>
    </row>
    <row r="1474" customFormat="false" ht="15" hidden="false" customHeight="false" outlineLevel="0" collapsed="false">
      <c r="N1474" s="0" t="str">
        <f aca="false">IF(H1474="","",IFERROR(LEFT(H1474,FIND(" ",H1474)-1),H1474))</f>
        <v/>
      </c>
      <c r="O1474" s="20" t="n">
        <f aca="false">IFERROR(DATE(VALUE(MID(N1474,FIND("/",N1474,FIND("/",N1474)+1)+1,4)),VALUE(MID(N1474,FIND("/",N1474)+1,FIND("/",N1474,FIND("/",N1474)+1)-FIND("/",N1474)-1)),VALUE(LEFT(N1474,FIND("/",N1474)-1))),0)</f>
        <v>0</v>
      </c>
    </row>
    <row r="1475" customFormat="false" ht="15" hidden="false" customHeight="false" outlineLevel="0" collapsed="false">
      <c r="N1475" s="0" t="str">
        <f aca="false">IF(H1475="","",IFERROR(LEFT(H1475,FIND(" ",H1475)-1),H1475))</f>
        <v/>
      </c>
      <c r="O1475" s="20" t="n">
        <f aca="false">IFERROR(DATE(VALUE(MID(N1475,FIND("/",N1475,FIND("/",N1475)+1)+1,4)),VALUE(MID(N1475,FIND("/",N1475)+1,FIND("/",N1475,FIND("/",N1475)+1)-FIND("/",N1475)-1)),VALUE(LEFT(N1475,FIND("/",N1475)-1))),0)</f>
        <v>0</v>
      </c>
    </row>
    <row r="1476" customFormat="false" ht="15" hidden="false" customHeight="false" outlineLevel="0" collapsed="false">
      <c r="N1476" s="0" t="str">
        <f aca="false">IF(H1476="","",IFERROR(LEFT(H1476,FIND(" ",H1476)-1),H1476))</f>
        <v/>
      </c>
      <c r="O1476" s="20" t="n">
        <f aca="false">IFERROR(DATE(VALUE(MID(N1476,FIND("/",N1476,FIND("/",N1476)+1)+1,4)),VALUE(MID(N1476,FIND("/",N1476)+1,FIND("/",N1476,FIND("/",N1476)+1)-FIND("/",N1476)-1)),VALUE(LEFT(N1476,FIND("/",N1476)-1))),0)</f>
        <v>0</v>
      </c>
    </row>
    <row r="1477" customFormat="false" ht="15" hidden="false" customHeight="false" outlineLevel="0" collapsed="false">
      <c r="N1477" s="0" t="str">
        <f aca="false">IF(H1477="","",IFERROR(LEFT(H1477,FIND(" ",H1477)-1),H1477))</f>
        <v/>
      </c>
      <c r="O1477" s="20" t="n">
        <f aca="false">IFERROR(DATE(VALUE(MID(N1477,FIND("/",N1477,FIND("/",N1477)+1)+1,4)),VALUE(MID(N1477,FIND("/",N1477)+1,FIND("/",N1477,FIND("/",N1477)+1)-FIND("/",N1477)-1)),VALUE(LEFT(N1477,FIND("/",N1477)-1))),0)</f>
        <v>0</v>
      </c>
    </row>
    <row r="1478" customFormat="false" ht="15" hidden="false" customHeight="false" outlineLevel="0" collapsed="false">
      <c r="N1478" s="0" t="str">
        <f aca="false">IF(H1478="","",IFERROR(LEFT(H1478,FIND(" ",H1478)-1),H1478))</f>
        <v/>
      </c>
      <c r="O1478" s="20" t="n">
        <f aca="false">IFERROR(DATE(VALUE(MID(N1478,FIND("/",N1478,FIND("/",N1478)+1)+1,4)),VALUE(MID(N1478,FIND("/",N1478)+1,FIND("/",N1478,FIND("/",N1478)+1)-FIND("/",N1478)-1)),VALUE(LEFT(N1478,FIND("/",N1478)-1))),0)</f>
        <v>0</v>
      </c>
    </row>
    <row r="1479" customFormat="false" ht="15" hidden="false" customHeight="false" outlineLevel="0" collapsed="false">
      <c r="N1479" s="0" t="str">
        <f aca="false">IF(H1479="","",IFERROR(LEFT(H1479,FIND(" ",H1479)-1),H1479))</f>
        <v/>
      </c>
      <c r="O1479" s="20" t="n">
        <f aca="false">IFERROR(DATE(VALUE(MID(N1479,FIND("/",N1479,FIND("/",N1479)+1)+1,4)),VALUE(MID(N1479,FIND("/",N1479)+1,FIND("/",N1479,FIND("/",N1479)+1)-FIND("/",N1479)-1)),VALUE(LEFT(N1479,FIND("/",N1479)-1))),0)</f>
        <v>0</v>
      </c>
    </row>
    <row r="1480" customFormat="false" ht="15" hidden="false" customHeight="false" outlineLevel="0" collapsed="false">
      <c r="N1480" s="0" t="str">
        <f aca="false">IF(H1480="","",IFERROR(LEFT(H1480,FIND(" ",H1480)-1),H1480))</f>
        <v/>
      </c>
      <c r="O1480" s="20" t="n">
        <f aca="false">IFERROR(DATE(VALUE(MID(N1480,FIND("/",N1480,FIND("/",N1480)+1)+1,4)),VALUE(MID(N1480,FIND("/",N1480)+1,FIND("/",N1480,FIND("/",N1480)+1)-FIND("/",N1480)-1)),VALUE(LEFT(N1480,FIND("/",N1480)-1))),0)</f>
        <v>0</v>
      </c>
    </row>
    <row r="1481" customFormat="false" ht="15" hidden="false" customHeight="false" outlineLevel="0" collapsed="false">
      <c r="N1481" s="0" t="str">
        <f aca="false">IF(H1481="","",IFERROR(LEFT(H1481,FIND(" ",H1481)-1),H1481))</f>
        <v/>
      </c>
      <c r="O1481" s="20" t="n">
        <f aca="false">IFERROR(DATE(VALUE(MID(N1481,FIND("/",N1481,FIND("/",N1481)+1)+1,4)),VALUE(MID(N1481,FIND("/",N1481)+1,FIND("/",N1481,FIND("/",N1481)+1)-FIND("/",N1481)-1)),VALUE(LEFT(N1481,FIND("/",N1481)-1))),0)</f>
        <v>0</v>
      </c>
    </row>
    <row r="1482" customFormat="false" ht="15" hidden="false" customHeight="false" outlineLevel="0" collapsed="false">
      <c r="N1482" s="0" t="str">
        <f aca="false">IF(H1482="","",IFERROR(LEFT(H1482,FIND(" ",H1482)-1),H1482))</f>
        <v/>
      </c>
      <c r="O1482" s="20" t="n">
        <f aca="false">IFERROR(DATE(VALUE(MID(N1482,FIND("/",N1482,FIND("/",N1482)+1)+1,4)),VALUE(MID(N1482,FIND("/",N1482)+1,FIND("/",N1482,FIND("/",N1482)+1)-FIND("/",N1482)-1)),VALUE(LEFT(N1482,FIND("/",N1482)-1))),0)</f>
        <v>0</v>
      </c>
    </row>
    <row r="1483" customFormat="false" ht="15" hidden="false" customHeight="false" outlineLevel="0" collapsed="false">
      <c r="N1483" s="0" t="str">
        <f aca="false">IF(H1483="","",IFERROR(LEFT(H1483,FIND(" ",H1483)-1),H1483))</f>
        <v/>
      </c>
      <c r="O1483" s="20" t="n">
        <f aca="false">IFERROR(DATE(VALUE(MID(N1483,FIND("/",N1483,FIND("/",N1483)+1)+1,4)),VALUE(MID(N1483,FIND("/",N1483)+1,FIND("/",N1483,FIND("/",N1483)+1)-FIND("/",N1483)-1)),VALUE(LEFT(N1483,FIND("/",N1483)-1))),0)</f>
        <v>0</v>
      </c>
    </row>
    <row r="1484" customFormat="false" ht="15" hidden="false" customHeight="false" outlineLevel="0" collapsed="false">
      <c r="N1484" s="0" t="str">
        <f aca="false">IF(H1484="","",IFERROR(LEFT(H1484,FIND(" ",H1484)-1),H1484))</f>
        <v/>
      </c>
      <c r="O1484" s="20" t="n">
        <f aca="false">IFERROR(DATE(VALUE(MID(N1484,FIND("/",N1484,FIND("/",N1484)+1)+1,4)),VALUE(MID(N1484,FIND("/",N1484)+1,FIND("/",N1484,FIND("/",N1484)+1)-FIND("/",N1484)-1)),VALUE(LEFT(N1484,FIND("/",N1484)-1))),0)</f>
        <v>0</v>
      </c>
    </row>
    <row r="1485" customFormat="false" ht="15" hidden="false" customHeight="false" outlineLevel="0" collapsed="false">
      <c r="N1485" s="0" t="str">
        <f aca="false">IF(H1485="","",IFERROR(LEFT(H1485,FIND(" ",H1485)-1),H1485))</f>
        <v/>
      </c>
      <c r="O1485" s="20" t="n">
        <f aca="false">IFERROR(DATE(VALUE(MID(N1485,FIND("/",N1485,FIND("/",N1485)+1)+1,4)),VALUE(MID(N1485,FIND("/",N1485)+1,FIND("/",N1485,FIND("/",N1485)+1)-FIND("/",N1485)-1)),VALUE(LEFT(N1485,FIND("/",N1485)-1))),0)</f>
        <v>0</v>
      </c>
    </row>
    <row r="1486" customFormat="false" ht="15" hidden="false" customHeight="false" outlineLevel="0" collapsed="false">
      <c r="N1486" s="0" t="str">
        <f aca="false">IF(H1486="","",IFERROR(LEFT(H1486,FIND(" ",H1486)-1),H1486))</f>
        <v/>
      </c>
      <c r="O1486" s="20" t="n">
        <f aca="false">IFERROR(DATE(VALUE(MID(N1486,FIND("/",N1486,FIND("/",N1486)+1)+1,4)),VALUE(MID(N1486,FIND("/",N1486)+1,FIND("/",N1486,FIND("/",N1486)+1)-FIND("/",N1486)-1)),VALUE(LEFT(N1486,FIND("/",N1486)-1))),0)</f>
        <v>0</v>
      </c>
    </row>
    <row r="1487" customFormat="false" ht="15" hidden="false" customHeight="false" outlineLevel="0" collapsed="false">
      <c r="N1487" s="0" t="str">
        <f aca="false">IF(H1487="","",IFERROR(LEFT(H1487,FIND(" ",H1487)-1),H1487))</f>
        <v/>
      </c>
      <c r="O1487" s="20" t="n">
        <f aca="false">IFERROR(DATE(VALUE(MID(N1487,FIND("/",N1487,FIND("/",N1487)+1)+1,4)),VALUE(MID(N1487,FIND("/",N1487)+1,FIND("/",N1487,FIND("/",N1487)+1)-FIND("/",N1487)-1)),VALUE(LEFT(N1487,FIND("/",N1487)-1))),0)</f>
        <v>0</v>
      </c>
    </row>
    <row r="1488" customFormat="false" ht="15" hidden="false" customHeight="false" outlineLevel="0" collapsed="false">
      <c r="N1488" s="0" t="str">
        <f aca="false">IF(H1488="","",IFERROR(LEFT(H1488,FIND(" ",H1488)-1),H1488))</f>
        <v/>
      </c>
      <c r="O1488" s="20" t="n">
        <f aca="false">IFERROR(DATE(VALUE(MID(N1488,FIND("/",N1488,FIND("/",N1488)+1)+1,4)),VALUE(MID(N1488,FIND("/",N1488)+1,FIND("/",N1488,FIND("/",N1488)+1)-FIND("/",N1488)-1)),VALUE(LEFT(N1488,FIND("/",N1488)-1))),0)</f>
        <v>0</v>
      </c>
    </row>
    <row r="1489" customFormat="false" ht="15" hidden="false" customHeight="false" outlineLevel="0" collapsed="false">
      <c r="N1489" s="0" t="str">
        <f aca="false">IF(H1489="","",IFERROR(LEFT(H1489,FIND(" ",H1489)-1),H1489))</f>
        <v/>
      </c>
      <c r="O1489" s="20" t="n">
        <f aca="false">IFERROR(DATE(VALUE(MID(N1489,FIND("/",N1489,FIND("/",N1489)+1)+1,4)),VALUE(MID(N1489,FIND("/",N1489)+1,FIND("/",N1489,FIND("/",N1489)+1)-FIND("/",N1489)-1)),VALUE(LEFT(N1489,FIND("/",N1489)-1))),0)</f>
        <v>0</v>
      </c>
    </row>
    <row r="1490" customFormat="false" ht="15" hidden="false" customHeight="false" outlineLevel="0" collapsed="false">
      <c r="N1490" s="0" t="str">
        <f aca="false">IF(H1490="","",IFERROR(LEFT(H1490,FIND(" ",H1490)-1),H1490))</f>
        <v/>
      </c>
      <c r="O1490" s="20" t="n">
        <f aca="false">IFERROR(DATE(VALUE(MID(N1490,FIND("/",N1490,FIND("/",N1490)+1)+1,4)),VALUE(MID(N1490,FIND("/",N1490)+1,FIND("/",N1490,FIND("/",N1490)+1)-FIND("/",N1490)-1)),VALUE(LEFT(N1490,FIND("/",N1490)-1))),0)</f>
        <v>0</v>
      </c>
    </row>
    <row r="1491" customFormat="false" ht="15" hidden="false" customHeight="false" outlineLevel="0" collapsed="false">
      <c r="N1491" s="0" t="str">
        <f aca="false">IF(H1491="","",IFERROR(LEFT(H1491,FIND(" ",H1491)-1),H1491))</f>
        <v/>
      </c>
      <c r="O1491" s="20" t="n">
        <f aca="false">IFERROR(DATE(VALUE(MID(N1491,FIND("/",N1491,FIND("/",N1491)+1)+1,4)),VALUE(MID(N1491,FIND("/",N1491)+1,FIND("/",N1491,FIND("/",N1491)+1)-FIND("/",N1491)-1)),VALUE(LEFT(N1491,FIND("/",N1491)-1))),0)</f>
        <v>0</v>
      </c>
    </row>
    <row r="1492" customFormat="false" ht="15" hidden="false" customHeight="false" outlineLevel="0" collapsed="false">
      <c r="N1492" s="0" t="str">
        <f aca="false">IF(H1492="","",IFERROR(LEFT(H1492,FIND(" ",H1492)-1),H1492))</f>
        <v/>
      </c>
      <c r="O1492" s="20" t="n">
        <f aca="false">IFERROR(DATE(VALUE(MID(N1492,FIND("/",N1492,FIND("/",N1492)+1)+1,4)),VALUE(MID(N1492,FIND("/",N1492)+1,FIND("/",N1492,FIND("/",N1492)+1)-FIND("/",N1492)-1)),VALUE(LEFT(N1492,FIND("/",N1492)-1))),0)</f>
        <v>0</v>
      </c>
    </row>
    <row r="1493" customFormat="false" ht="15" hidden="false" customHeight="false" outlineLevel="0" collapsed="false">
      <c r="N1493" s="0" t="str">
        <f aca="false">IF(H1493="","",IFERROR(LEFT(H1493,FIND(" ",H1493)-1),H1493))</f>
        <v/>
      </c>
      <c r="O1493" s="20" t="n">
        <f aca="false">IFERROR(DATE(VALUE(MID(N1493,FIND("/",N1493,FIND("/",N1493)+1)+1,4)),VALUE(MID(N1493,FIND("/",N1493)+1,FIND("/",N1493,FIND("/",N1493)+1)-FIND("/",N1493)-1)),VALUE(LEFT(N1493,FIND("/",N1493)-1))),0)</f>
        <v>0</v>
      </c>
    </row>
    <row r="1494" customFormat="false" ht="15" hidden="false" customHeight="false" outlineLevel="0" collapsed="false">
      <c r="N1494" s="0" t="str">
        <f aca="false">IF(H1494="","",IFERROR(LEFT(H1494,FIND(" ",H1494)-1),H1494))</f>
        <v/>
      </c>
      <c r="O1494" s="20" t="n">
        <f aca="false">IFERROR(DATE(VALUE(MID(N1494,FIND("/",N1494,FIND("/",N1494)+1)+1,4)),VALUE(MID(N1494,FIND("/",N1494)+1,FIND("/",N1494,FIND("/",N1494)+1)-FIND("/",N1494)-1)),VALUE(LEFT(N1494,FIND("/",N1494)-1))),0)</f>
        <v>0</v>
      </c>
    </row>
    <row r="1495" customFormat="false" ht="15" hidden="false" customHeight="false" outlineLevel="0" collapsed="false">
      <c r="N1495" s="0" t="str">
        <f aca="false">IF(H1495="","",IFERROR(LEFT(H1495,FIND(" ",H1495)-1),H1495))</f>
        <v/>
      </c>
      <c r="O1495" s="20" t="n">
        <f aca="false">IFERROR(DATE(VALUE(MID(N1495,FIND("/",N1495,FIND("/",N1495)+1)+1,4)),VALUE(MID(N1495,FIND("/",N1495)+1,FIND("/",N1495,FIND("/",N1495)+1)-FIND("/",N1495)-1)),VALUE(LEFT(N1495,FIND("/",N1495)-1))),0)</f>
        <v>0</v>
      </c>
    </row>
    <row r="1496" customFormat="false" ht="15" hidden="false" customHeight="false" outlineLevel="0" collapsed="false">
      <c r="N1496" s="0" t="str">
        <f aca="false">IF(H1496="","",IFERROR(LEFT(H1496,FIND(" ",H1496)-1),H1496))</f>
        <v/>
      </c>
      <c r="O1496" s="20" t="n">
        <f aca="false">IFERROR(DATE(VALUE(MID(N1496,FIND("/",N1496,FIND("/",N1496)+1)+1,4)),VALUE(MID(N1496,FIND("/",N1496)+1,FIND("/",N1496,FIND("/",N1496)+1)-FIND("/",N1496)-1)),VALUE(LEFT(N1496,FIND("/",N1496)-1))),0)</f>
        <v>0</v>
      </c>
    </row>
    <row r="1497" customFormat="false" ht="15" hidden="false" customHeight="false" outlineLevel="0" collapsed="false">
      <c r="N1497" s="0" t="str">
        <f aca="false">IF(H1497="","",IFERROR(LEFT(H1497,FIND(" ",H1497)-1),H1497))</f>
        <v/>
      </c>
      <c r="O1497" s="20" t="n">
        <f aca="false">IFERROR(DATE(VALUE(MID(N1497,FIND("/",N1497,FIND("/",N1497)+1)+1,4)),VALUE(MID(N1497,FIND("/",N1497)+1,FIND("/",N1497,FIND("/",N1497)+1)-FIND("/",N1497)-1)),VALUE(LEFT(N1497,FIND("/",N1497)-1))),0)</f>
        <v>0</v>
      </c>
    </row>
    <row r="1498" customFormat="false" ht="15" hidden="false" customHeight="false" outlineLevel="0" collapsed="false">
      <c r="N1498" s="0" t="str">
        <f aca="false">IF(H1498="","",IFERROR(LEFT(H1498,FIND(" ",H1498)-1),H1498))</f>
        <v/>
      </c>
      <c r="O1498" s="20" t="n">
        <f aca="false">IFERROR(DATE(VALUE(MID(N1498,FIND("/",N1498,FIND("/",N1498)+1)+1,4)),VALUE(MID(N1498,FIND("/",N1498)+1,FIND("/",N1498,FIND("/",N1498)+1)-FIND("/",N1498)-1)),VALUE(LEFT(N1498,FIND("/",N1498)-1))),0)</f>
        <v>0</v>
      </c>
    </row>
    <row r="1499" customFormat="false" ht="15" hidden="false" customHeight="false" outlineLevel="0" collapsed="false">
      <c r="N1499" s="0" t="str">
        <f aca="false">IF(H1499="","",IFERROR(LEFT(H1499,FIND(" ",H1499)-1),H1499))</f>
        <v/>
      </c>
      <c r="O1499" s="20" t="n">
        <f aca="false">IFERROR(DATE(VALUE(MID(N1499,FIND("/",N1499,FIND("/",N1499)+1)+1,4)),VALUE(MID(N1499,FIND("/",N1499)+1,FIND("/",N1499,FIND("/",N1499)+1)-FIND("/",N1499)-1)),VALUE(LEFT(N1499,FIND("/",N1499)-1))),0)</f>
        <v>0</v>
      </c>
    </row>
    <row r="1500" customFormat="false" ht="15" hidden="false" customHeight="false" outlineLevel="0" collapsed="false">
      <c r="N1500" s="0" t="str">
        <f aca="false">IF(H1500="","",IFERROR(LEFT(H1500,FIND(" ",H1500)-1),H1500))</f>
        <v/>
      </c>
      <c r="O1500" s="20" t="n">
        <f aca="false">IFERROR(DATE(VALUE(MID(N1500,FIND("/",N1500,FIND("/",N1500)+1)+1,4)),VALUE(MID(N1500,FIND("/",N1500)+1,FIND("/",N1500,FIND("/",N1500)+1)-FIND("/",N1500)-1)),VALUE(LEFT(N1500,FIND("/",N1500)-1))),0)</f>
        <v>0</v>
      </c>
    </row>
    <row r="1501" customFormat="false" ht="15" hidden="false" customHeight="false" outlineLevel="0" collapsed="false">
      <c r="N1501" s="0" t="str">
        <f aca="false">IF(H1501="","",IFERROR(LEFT(H1501,FIND(" ",H1501)-1),H1501))</f>
        <v/>
      </c>
      <c r="O1501" s="20" t="n">
        <f aca="false">IFERROR(DATE(VALUE(MID(N1501,FIND("/",N1501,FIND("/",N1501)+1)+1,4)),VALUE(MID(N1501,FIND("/",N1501)+1,FIND("/",N1501,FIND("/",N1501)+1)-FIND("/",N1501)-1)),VALUE(LEFT(N1501,FIND("/",N1501)-1))),0)</f>
        <v>0</v>
      </c>
    </row>
    <row r="1502" customFormat="false" ht="15" hidden="false" customHeight="false" outlineLevel="0" collapsed="false">
      <c r="N1502" s="0" t="str">
        <f aca="false">IF(H1502="","",IFERROR(LEFT(H1502,FIND(" ",H1502)-1),H1502))</f>
        <v/>
      </c>
      <c r="O1502" s="20" t="n">
        <f aca="false">IFERROR(DATE(VALUE(MID(N1502,FIND("/",N1502,FIND("/",N1502)+1)+1,4)),VALUE(MID(N1502,FIND("/",N1502)+1,FIND("/",N1502,FIND("/",N1502)+1)-FIND("/",N1502)-1)),VALUE(LEFT(N1502,FIND("/",N1502)-1))),0)</f>
        <v>0</v>
      </c>
    </row>
    <row r="1503" customFormat="false" ht="15" hidden="false" customHeight="false" outlineLevel="0" collapsed="false">
      <c r="N1503" s="0" t="str">
        <f aca="false">IF(H1503="","",IFERROR(LEFT(H1503,FIND(" ",H1503)-1),H1503))</f>
        <v/>
      </c>
      <c r="O1503" s="20" t="n">
        <f aca="false">IFERROR(DATE(VALUE(MID(N1503,FIND("/",N1503,FIND("/",N1503)+1)+1,4)),VALUE(MID(N1503,FIND("/",N1503)+1,FIND("/",N1503,FIND("/",N1503)+1)-FIND("/",N1503)-1)),VALUE(LEFT(N1503,FIND("/",N1503)-1))),0)</f>
        <v>0</v>
      </c>
    </row>
    <row r="1504" customFormat="false" ht="15" hidden="false" customHeight="false" outlineLevel="0" collapsed="false">
      <c r="N1504" s="0" t="str">
        <f aca="false">IF(H1504="","",IFERROR(LEFT(H1504,FIND(" ",H1504)-1),H1504))</f>
        <v/>
      </c>
      <c r="O1504" s="20" t="n">
        <f aca="false">IFERROR(DATE(VALUE(MID(N1504,FIND("/",N1504,FIND("/",N1504)+1)+1,4)),VALUE(MID(N1504,FIND("/",N1504)+1,FIND("/",N1504,FIND("/",N1504)+1)-FIND("/",N1504)-1)),VALUE(LEFT(N1504,FIND("/",N1504)-1))),0)</f>
        <v>0</v>
      </c>
    </row>
    <row r="1505" customFormat="false" ht="15" hidden="false" customHeight="false" outlineLevel="0" collapsed="false">
      <c r="N1505" s="0" t="str">
        <f aca="false">IF(H1505="","",IFERROR(LEFT(H1505,FIND(" ",H1505)-1),H1505))</f>
        <v/>
      </c>
      <c r="O1505" s="20" t="n">
        <f aca="false">IFERROR(DATE(VALUE(MID(N1505,FIND("/",N1505,FIND("/",N1505)+1)+1,4)),VALUE(MID(N1505,FIND("/",N1505)+1,FIND("/",N1505,FIND("/",N1505)+1)-FIND("/",N1505)-1)),VALUE(LEFT(N1505,FIND("/",N1505)-1))),0)</f>
        <v>0</v>
      </c>
    </row>
    <row r="1506" customFormat="false" ht="15" hidden="false" customHeight="false" outlineLevel="0" collapsed="false">
      <c r="N1506" s="0" t="str">
        <f aca="false">IF(H1506="","",IFERROR(LEFT(H1506,FIND(" ",H1506)-1),H1506))</f>
        <v/>
      </c>
      <c r="O1506" s="20" t="n">
        <f aca="false">IFERROR(DATE(VALUE(MID(N1506,FIND("/",N1506,FIND("/",N1506)+1)+1,4)),VALUE(MID(N1506,FIND("/",N1506)+1,FIND("/",N1506,FIND("/",N1506)+1)-FIND("/",N1506)-1)),VALUE(LEFT(N1506,FIND("/",N1506)-1))),0)</f>
        <v>0</v>
      </c>
    </row>
    <row r="1507" customFormat="false" ht="15" hidden="false" customHeight="false" outlineLevel="0" collapsed="false">
      <c r="N1507" s="0" t="str">
        <f aca="false">IF(H1507="","",IFERROR(LEFT(H1507,FIND(" ",H1507)-1),H1507))</f>
        <v/>
      </c>
      <c r="O1507" s="20" t="n">
        <f aca="false">IFERROR(DATE(VALUE(MID(N1507,FIND("/",N1507,FIND("/",N1507)+1)+1,4)),VALUE(MID(N1507,FIND("/",N1507)+1,FIND("/",N1507,FIND("/",N1507)+1)-FIND("/",N1507)-1)),VALUE(LEFT(N1507,FIND("/",N1507)-1))),0)</f>
        <v>0</v>
      </c>
    </row>
    <row r="1508" customFormat="false" ht="15" hidden="false" customHeight="false" outlineLevel="0" collapsed="false">
      <c r="N1508" s="0" t="str">
        <f aca="false">IF(H1508="","",IFERROR(LEFT(H1508,FIND(" ",H1508)-1),H1508))</f>
        <v/>
      </c>
      <c r="O1508" s="20" t="n">
        <f aca="false">IFERROR(DATE(VALUE(MID(N1508,FIND("/",N1508,FIND("/",N1508)+1)+1,4)),VALUE(MID(N1508,FIND("/",N1508)+1,FIND("/",N1508,FIND("/",N1508)+1)-FIND("/",N1508)-1)),VALUE(LEFT(N1508,FIND("/",N1508)-1))),0)</f>
        <v>0</v>
      </c>
    </row>
    <row r="1509" customFormat="false" ht="15" hidden="false" customHeight="false" outlineLevel="0" collapsed="false">
      <c r="N1509" s="0" t="str">
        <f aca="false">IF(H1509="","",IFERROR(LEFT(H1509,FIND(" ",H1509)-1),H1509))</f>
        <v/>
      </c>
      <c r="O1509" s="20" t="n">
        <f aca="false">IFERROR(DATE(VALUE(MID(N1509,FIND("/",N1509,FIND("/",N1509)+1)+1,4)),VALUE(MID(N1509,FIND("/",N1509)+1,FIND("/",N1509,FIND("/",N1509)+1)-FIND("/",N1509)-1)),VALUE(LEFT(N1509,FIND("/",N1509)-1))),0)</f>
        <v>0</v>
      </c>
    </row>
    <row r="1510" customFormat="false" ht="15" hidden="false" customHeight="false" outlineLevel="0" collapsed="false">
      <c r="N1510" s="0" t="str">
        <f aca="false">IF(H1510="","",IFERROR(LEFT(H1510,FIND(" ",H1510)-1),H1510))</f>
        <v/>
      </c>
      <c r="O1510" s="20" t="n">
        <f aca="false">IFERROR(DATE(VALUE(MID(N1510,FIND("/",N1510,FIND("/",N1510)+1)+1,4)),VALUE(MID(N1510,FIND("/",N1510)+1,FIND("/",N1510,FIND("/",N1510)+1)-FIND("/",N1510)-1)),VALUE(LEFT(N1510,FIND("/",N1510)-1))),0)</f>
        <v>0</v>
      </c>
    </row>
    <row r="1511" customFormat="false" ht="15" hidden="false" customHeight="false" outlineLevel="0" collapsed="false">
      <c r="N1511" s="0" t="str">
        <f aca="false">IF(H1511="","",IFERROR(LEFT(H1511,FIND(" ",H1511)-1),H1511))</f>
        <v/>
      </c>
      <c r="O1511" s="20" t="n">
        <f aca="false">IFERROR(DATE(VALUE(MID(N1511,FIND("/",N1511,FIND("/",N1511)+1)+1,4)),VALUE(MID(N1511,FIND("/",N1511)+1,FIND("/",N1511,FIND("/",N1511)+1)-FIND("/",N1511)-1)),VALUE(LEFT(N1511,FIND("/",N1511)-1))),0)</f>
        <v>0</v>
      </c>
    </row>
    <row r="1512" customFormat="false" ht="15" hidden="false" customHeight="false" outlineLevel="0" collapsed="false">
      <c r="N1512" s="0" t="str">
        <f aca="false">IF(H1512="","",IFERROR(LEFT(H1512,FIND(" ",H1512)-1),H1512))</f>
        <v/>
      </c>
      <c r="O1512" s="20" t="n">
        <f aca="false">IFERROR(DATE(VALUE(MID(N1512,FIND("/",N1512,FIND("/",N1512)+1)+1,4)),VALUE(MID(N1512,FIND("/",N1512)+1,FIND("/",N1512,FIND("/",N1512)+1)-FIND("/",N1512)-1)),VALUE(LEFT(N1512,FIND("/",N1512)-1))),0)</f>
        <v>0</v>
      </c>
    </row>
    <row r="1513" customFormat="false" ht="15" hidden="false" customHeight="false" outlineLevel="0" collapsed="false">
      <c r="N1513" s="0" t="str">
        <f aca="false">IF(H1513="","",IFERROR(LEFT(H1513,FIND(" ",H1513)-1),H1513))</f>
        <v/>
      </c>
      <c r="O1513" s="20" t="n">
        <f aca="false">IFERROR(DATE(VALUE(MID(N1513,FIND("/",N1513,FIND("/",N1513)+1)+1,4)),VALUE(MID(N1513,FIND("/",N1513)+1,FIND("/",N1513,FIND("/",N1513)+1)-FIND("/",N1513)-1)),VALUE(LEFT(N1513,FIND("/",N1513)-1))),0)</f>
        <v>0</v>
      </c>
    </row>
    <row r="1514" customFormat="false" ht="15" hidden="false" customHeight="false" outlineLevel="0" collapsed="false">
      <c r="N1514" s="0" t="str">
        <f aca="false">IF(H1514="","",IFERROR(LEFT(H1514,FIND(" ",H1514)-1),H1514))</f>
        <v/>
      </c>
      <c r="O1514" s="20" t="n">
        <f aca="false">IFERROR(DATE(VALUE(MID(N1514,FIND("/",N1514,FIND("/",N1514)+1)+1,4)),VALUE(MID(N1514,FIND("/",N1514)+1,FIND("/",N1514,FIND("/",N1514)+1)-FIND("/",N1514)-1)),VALUE(LEFT(N1514,FIND("/",N1514)-1))),0)</f>
        <v>0</v>
      </c>
    </row>
    <row r="1515" customFormat="false" ht="15" hidden="false" customHeight="false" outlineLevel="0" collapsed="false">
      <c r="N1515" s="0" t="str">
        <f aca="false">IF(H1515="","",IFERROR(LEFT(H1515,FIND(" ",H1515)-1),H1515))</f>
        <v/>
      </c>
      <c r="O1515" s="20" t="n">
        <f aca="false">IFERROR(DATE(VALUE(MID(N1515,FIND("/",N1515,FIND("/",N1515)+1)+1,4)),VALUE(MID(N1515,FIND("/",N1515)+1,FIND("/",N1515,FIND("/",N1515)+1)-FIND("/",N1515)-1)),VALUE(LEFT(N1515,FIND("/",N1515)-1))),0)</f>
        <v>0</v>
      </c>
    </row>
    <row r="1516" customFormat="false" ht="15" hidden="false" customHeight="false" outlineLevel="0" collapsed="false">
      <c r="N1516" s="0" t="str">
        <f aca="false">IF(H1516="","",IFERROR(LEFT(H1516,FIND(" ",H1516)-1),H1516))</f>
        <v/>
      </c>
      <c r="O1516" s="20" t="n">
        <f aca="false">IFERROR(DATE(VALUE(MID(N1516,FIND("/",N1516,FIND("/",N1516)+1)+1,4)),VALUE(MID(N1516,FIND("/",N1516)+1,FIND("/",N1516,FIND("/",N1516)+1)-FIND("/",N1516)-1)),VALUE(LEFT(N1516,FIND("/",N1516)-1))),0)</f>
        <v>0</v>
      </c>
    </row>
    <row r="1517" customFormat="false" ht="15" hidden="false" customHeight="false" outlineLevel="0" collapsed="false">
      <c r="N1517" s="0" t="str">
        <f aca="false">IF(H1517="","",IFERROR(LEFT(H1517,FIND(" ",H1517)-1),H1517))</f>
        <v/>
      </c>
      <c r="O1517" s="20" t="n">
        <f aca="false">IFERROR(DATE(VALUE(MID(N1517,FIND("/",N1517,FIND("/",N1517)+1)+1,4)),VALUE(MID(N1517,FIND("/",N1517)+1,FIND("/",N1517,FIND("/",N1517)+1)-FIND("/",N1517)-1)),VALUE(LEFT(N1517,FIND("/",N1517)-1))),0)</f>
        <v>0</v>
      </c>
    </row>
    <row r="1518" customFormat="false" ht="15" hidden="false" customHeight="false" outlineLevel="0" collapsed="false">
      <c r="N1518" s="0" t="str">
        <f aca="false">IF(H1518="","",IFERROR(LEFT(H1518,FIND(" ",H1518)-1),H1518))</f>
        <v/>
      </c>
      <c r="O1518" s="20" t="n">
        <f aca="false">IFERROR(DATE(VALUE(MID(N1518,FIND("/",N1518,FIND("/",N1518)+1)+1,4)),VALUE(MID(N1518,FIND("/",N1518)+1,FIND("/",N1518,FIND("/",N1518)+1)-FIND("/",N1518)-1)),VALUE(LEFT(N1518,FIND("/",N1518)-1))),0)</f>
        <v>0</v>
      </c>
    </row>
    <row r="1519" customFormat="false" ht="15" hidden="false" customHeight="false" outlineLevel="0" collapsed="false">
      <c r="N1519" s="0" t="str">
        <f aca="false">IF(H1519="","",IFERROR(LEFT(H1519,FIND(" ",H1519)-1),H1519))</f>
        <v/>
      </c>
      <c r="O1519" s="20" t="n">
        <f aca="false">IFERROR(DATE(VALUE(MID(N1519,FIND("/",N1519,FIND("/",N1519)+1)+1,4)),VALUE(MID(N1519,FIND("/",N1519)+1,FIND("/",N1519,FIND("/",N1519)+1)-FIND("/",N1519)-1)),VALUE(LEFT(N1519,FIND("/",N1519)-1))),0)</f>
        <v>0</v>
      </c>
    </row>
    <row r="1520" customFormat="false" ht="15" hidden="false" customHeight="false" outlineLevel="0" collapsed="false">
      <c r="N1520" s="0" t="str">
        <f aca="false">IF(H1520="","",IFERROR(LEFT(H1520,FIND(" ",H1520)-1),H1520))</f>
        <v/>
      </c>
      <c r="O1520" s="20" t="n">
        <f aca="false">IFERROR(DATE(VALUE(MID(N1520,FIND("/",N1520,FIND("/",N1520)+1)+1,4)),VALUE(MID(N1520,FIND("/",N1520)+1,FIND("/",N1520,FIND("/",N1520)+1)-FIND("/",N1520)-1)),VALUE(LEFT(N1520,FIND("/",N1520)-1))),0)</f>
        <v>0</v>
      </c>
    </row>
    <row r="1521" customFormat="false" ht="15" hidden="false" customHeight="false" outlineLevel="0" collapsed="false">
      <c r="N1521" s="0" t="str">
        <f aca="false">IF(H1521="","",IFERROR(LEFT(H1521,FIND(" ",H1521)-1),H1521))</f>
        <v/>
      </c>
      <c r="O1521" s="20" t="n">
        <f aca="false">IFERROR(DATE(VALUE(MID(N1521,FIND("/",N1521,FIND("/",N1521)+1)+1,4)),VALUE(MID(N1521,FIND("/",N1521)+1,FIND("/",N1521,FIND("/",N1521)+1)-FIND("/",N1521)-1)),VALUE(LEFT(N1521,FIND("/",N1521)-1))),0)</f>
        <v>0</v>
      </c>
    </row>
    <row r="1522" customFormat="false" ht="15" hidden="false" customHeight="false" outlineLevel="0" collapsed="false">
      <c r="N1522" s="0" t="str">
        <f aca="false">IF(H1522="","",IFERROR(LEFT(H1522,FIND(" ",H1522)-1),H1522))</f>
        <v/>
      </c>
      <c r="O1522" s="20" t="n">
        <f aca="false">IFERROR(DATE(VALUE(MID(N1522,FIND("/",N1522,FIND("/",N1522)+1)+1,4)),VALUE(MID(N1522,FIND("/",N1522)+1,FIND("/",N1522,FIND("/",N1522)+1)-FIND("/",N1522)-1)),VALUE(LEFT(N1522,FIND("/",N1522)-1))),0)</f>
        <v>0</v>
      </c>
    </row>
    <row r="1523" customFormat="false" ht="15" hidden="false" customHeight="false" outlineLevel="0" collapsed="false">
      <c r="N1523" s="0" t="str">
        <f aca="false">IF(H1523="","",IFERROR(LEFT(H1523,FIND(" ",H1523)-1),H1523))</f>
        <v/>
      </c>
      <c r="O1523" s="20" t="n">
        <f aca="false">IFERROR(DATE(VALUE(MID(N1523,FIND("/",N1523,FIND("/",N1523)+1)+1,4)),VALUE(MID(N1523,FIND("/",N1523)+1,FIND("/",N1523,FIND("/",N1523)+1)-FIND("/",N1523)-1)),VALUE(LEFT(N1523,FIND("/",N1523)-1))),0)</f>
        <v>0</v>
      </c>
    </row>
    <row r="1524" customFormat="false" ht="15" hidden="false" customHeight="false" outlineLevel="0" collapsed="false">
      <c r="N1524" s="0" t="str">
        <f aca="false">IF(H1524="","",IFERROR(LEFT(H1524,FIND(" ",H1524)-1),H1524))</f>
        <v/>
      </c>
      <c r="O1524" s="20" t="n">
        <f aca="false">IFERROR(DATE(VALUE(MID(N1524,FIND("/",N1524,FIND("/",N1524)+1)+1,4)),VALUE(MID(N1524,FIND("/",N1524)+1,FIND("/",N1524,FIND("/",N1524)+1)-FIND("/",N1524)-1)),VALUE(LEFT(N1524,FIND("/",N1524)-1))),0)</f>
        <v>0</v>
      </c>
    </row>
    <row r="1525" customFormat="false" ht="15" hidden="false" customHeight="false" outlineLevel="0" collapsed="false">
      <c r="N1525" s="0" t="str">
        <f aca="false">IF(H1525="","",IFERROR(LEFT(H1525,FIND(" ",H1525)-1),H1525))</f>
        <v/>
      </c>
      <c r="O1525" s="20" t="n">
        <f aca="false">IFERROR(DATE(VALUE(MID(N1525,FIND("/",N1525,FIND("/",N1525)+1)+1,4)),VALUE(MID(N1525,FIND("/",N1525)+1,FIND("/",N1525,FIND("/",N1525)+1)-FIND("/",N1525)-1)),VALUE(LEFT(N1525,FIND("/",N1525)-1))),0)</f>
        <v>0</v>
      </c>
    </row>
    <row r="1526" customFormat="false" ht="15" hidden="false" customHeight="false" outlineLevel="0" collapsed="false">
      <c r="N1526" s="0" t="str">
        <f aca="false">IF(H1526="","",IFERROR(LEFT(H1526,FIND(" ",H1526)-1),H1526))</f>
        <v/>
      </c>
      <c r="O1526" s="20" t="n">
        <f aca="false">IFERROR(DATE(VALUE(MID(N1526,FIND("/",N1526,FIND("/",N1526)+1)+1,4)),VALUE(MID(N1526,FIND("/",N1526)+1,FIND("/",N1526,FIND("/",N1526)+1)-FIND("/",N1526)-1)),VALUE(LEFT(N1526,FIND("/",N1526)-1))),0)</f>
        <v>0</v>
      </c>
    </row>
    <row r="1527" customFormat="false" ht="15" hidden="false" customHeight="false" outlineLevel="0" collapsed="false">
      <c r="N1527" s="0" t="str">
        <f aca="false">IF(H1527="","",IFERROR(LEFT(H1527,FIND(" ",H1527)-1),H1527))</f>
        <v/>
      </c>
      <c r="O1527" s="20" t="n">
        <f aca="false">IFERROR(DATE(VALUE(MID(N1527,FIND("/",N1527,FIND("/",N1527)+1)+1,4)),VALUE(MID(N1527,FIND("/",N1527)+1,FIND("/",N1527,FIND("/",N1527)+1)-FIND("/",N1527)-1)),VALUE(LEFT(N1527,FIND("/",N1527)-1))),0)</f>
        <v>0</v>
      </c>
    </row>
    <row r="1528" customFormat="false" ht="15" hidden="false" customHeight="false" outlineLevel="0" collapsed="false">
      <c r="N1528" s="0" t="str">
        <f aca="false">IF(H1528="","",IFERROR(LEFT(H1528,FIND(" ",H1528)-1),H1528))</f>
        <v/>
      </c>
      <c r="O1528" s="20" t="n">
        <f aca="false">IFERROR(DATE(VALUE(MID(N1528,FIND("/",N1528,FIND("/",N1528)+1)+1,4)),VALUE(MID(N1528,FIND("/",N1528)+1,FIND("/",N1528,FIND("/",N1528)+1)-FIND("/",N1528)-1)),VALUE(LEFT(N1528,FIND("/",N1528)-1))),0)</f>
        <v>0</v>
      </c>
    </row>
    <row r="1529" customFormat="false" ht="15" hidden="false" customHeight="false" outlineLevel="0" collapsed="false">
      <c r="N1529" s="0" t="str">
        <f aca="false">IF(H1529="","",IFERROR(LEFT(H1529,FIND(" ",H1529)-1),H1529))</f>
        <v/>
      </c>
      <c r="O1529" s="20" t="n">
        <f aca="false">IFERROR(DATE(VALUE(MID(N1529,FIND("/",N1529,FIND("/",N1529)+1)+1,4)),VALUE(MID(N1529,FIND("/",N1529)+1,FIND("/",N1529,FIND("/",N1529)+1)-FIND("/",N1529)-1)),VALUE(LEFT(N1529,FIND("/",N1529)-1))),0)</f>
        <v>0</v>
      </c>
    </row>
    <row r="1530" customFormat="false" ht="15" hidden="false" customHeight="false" outlineLevel="0" collapsed="false">
      <c r="N1530" s="0" t="str">
        <f aca="false">IF(H1530="","",IFERROR(LEFT(H1530,FIND(" ",H1530)-1),H1530))</f>
        <v/>
      </c>
      <c r="O1530" s="20" t="n">
        <f aca="false">IFERROR(DATE(VALUE(MID(N1530,FIND("/",N1530,FIND("/",N1530)+1)+1,4)),VALUE(MID(N1530,FIND("/",N1530)+1,FIND("/",N1530,FIND("/",N1530)+1)-FIND("/",N1530)-1)),VALUE(LEFT(N1530,FIND("/",N1530)-1))),0)</f>
        <v>0</v>
      </c>
    </row>
    <row r="1531" customFormat="false" ht="15" hidden="false" customHeight="false" outlineLevel="0" collapsed="false">
      <c r="N1531" s="0" t="str">
        <f aca="false">IF(H1531="","",IFERROR(LEFT(H1531,FIND(" ",H1531)-1),H1531))</f>
        <v/>
      </c>
      <c r="O1531" s="20" t="n">
        <f aca="false">IFERROR(DATE(VALUE(MID(N1531,FIND("/",N1531,FIND("/",N1531)+1)+1,4)),VALUE(MID(N1531,FIND("/",N1531)+1,FIND("/",N1531,FIND("/",N1531)+1)-FIND("/",N1531)-1)),VALUE(LEFT(N1531,FIND("/",N1531)-1))),0)</f>
        <v>0</v>
      </c>
    </row>
    <row r="1532" customFormat="false" ht="15" hidden="false" customHeight="false" outlineLevel="0" collapsed="false">
      <c r="N1532" s="0" t="str">
        <f aca="false">IF(H1532="","",IFERROR(LEFT(H1532,FIND(" ",H1532)-1),H1532))</f>
        <v/>
      </c>
      <c r="O1532" s="20" t="n">
        <f aca="false">IFERROR(DATE(VALUE(MID(N1532,FIND("/",N1532,FIND("/",N1532)+1)+1,4)),VALUE(MID(N1532,FIND("/",N1532)+1,FIND("/",N1532,FIND("/",N1532)+1)-FIND("/",N1532)-1)),VALUE(LEFT(N1532,FIND("/",N1532)-1))),0)</f>
        <v>0</v>
      </c>
    </row>
    <row r="1533" customFormat="false" ht="15" hidden="false" customHeight="false" outlineLevel="0" collapsed="false">
      <c r="N1533" s="0" t="str">
        <f aca="false">IF(H1533="","",IFERROR(LEFT(H1533,FIND(" ",H1533)-1),H1533))</f>
        <v/>
      </c>
      <c r="O1533" s="20" t="n">
        <f aca="false">IFERROR(DATE(VALUE(MID(N1533,FIND("/",N1533,FIND("/",N1533)+1)+1,4)),VALUE(MID(N1533,FIND("/",N1533)+1,FIND("/",N1533,FIND("/",N1533)+1)-FIND("/",N1533)-1)),VALUE(LEFT(N1533,FIND("/",N1533)-1))),0)</f>
        <v>0</v>
      </c>
    </row>
    <row r="1534" customFormat="false" ht="15" hidden="false" customHeight="false" outlineLevel="0" collapsed="false">
      <c r="N1534" s="0" t="str">
        <f aca="false">IF(H1534="","",IFERROR(LEFT(H1534,FIND(" ",H1534)-1),H1534))</f>
        <v/>
      </c>
      <c r="O1534" s="20" t="n">
        <f aca="false">IFERROR(DATE(VALUE(MID(N1534,FIND("/",N1534,FIND("/",N1534)+1)+1,4)),VALUE(MID(N1534,FIND("/",N1534)+1,FIND("/",N1534,FIND("/",N1534)+1)-FIND("/",N1534)-1)),VALUE(LEFT(N1534,FIND("/",N1534)-1))),0)</f>
        <v>0</v>
      </c>
    </row>
    <row r="1535" customFormat="false" ht="15" hidden="false" customHeight="false" outlineLevel="0" collapsed="false">
      <c r="N1535" s="0" t="str">
        <f aca="false">IF(H1535="","",IFERROR(LEFT(H1535,FIND(" ",H1535)-1),H1535))</f>
        <v/>
      </c>
      <c r="O1535" s="20" t="n">
        <f aca="false">IFERROR(DATE(VALUE(MID(N1535,FIND("/",N1535,FIND("/",N1535)+1)+1,4)),VALUE(MID(N1535,FIND("/",N1535)+1,FIND("/",N1535,FIND("/",N1535)+1)-FIND("/",N1535)-1)),VALUE(LEFT(N1535,FIND("/",N1535)-1))),0)</f>
        <v>0</v>
      </c>
    </row>
    <row r="1536" customFormat="false" ht="15" hidden="false" customHeight="false" outlineLevel="0" collapsed="false">
      <c r="N1536" s="0" t="str">
        <f aca="false">IF(H1536="","",IFERROR(LEFT(H1536,FIND(" ",H1536)-1),H1536))</f>
        <v/>
      </c>
      <c r="O1536" s="20" t="n">
        <f aca="false">IFERROR(DATE(VALUE(MID(N1536,FIND("/",N1536,FIND("/",N1536)+1)+1,4)),VALUE(MID(N1536,FIND("/",N1536)+1,FIND("/",N1536,FIND("/",N1536)+1)-FIND("/",N1536)-1)),VALUE(LEFT(N1536,FIND("/",N1536)-1))),0)</f>
        <v>0</v>
      </c>
    </row>
    <row r="1537" customFormat="false" ht="15" hidden="false" customHeight="false" outlineLevel="0" collapsed="false">
      <c r="N1537" s="0" t="str">
        <f aca="false">IF(H1537="","",IFERROR(LEFT(H1537,FIND(" ",H1537)-1),H1537))</f>
        <v/>
      </c>
      <c r="O1537" s="20" t="n">
        <f aca="false">IFERROR(DATE(VALUE(MID(N1537,FIND("/",N1537,FIND("/",N1537)+1)+1,4)),VALUE(MID(N1537,FIND("/",N1537)+1,FIND("/",N1537,FIND("/",N1537)+1)-FIND("/",N1537)-1)),VALUE(LEFT(N1537,FIND("/",N1537)-1))),0)</f>
        <v>0</v>
      </c>
    </row>
    <row r="1538" customFormat="false" ht="15" hidden="false" customHeight="false" outlineLevel="0" collapsed="false">
      <c r="N1538" s="0" t="str">
        <f aca="false">IF(H1538="","",IFERROR(LEFT(H1538,FIND(" ",H1538)-1),H1538))</f>
        <v/>
      </c>
      <c r="O1538" s="20" t="n">
        <f aca="false">IFERROR(DATE(VALUE(MID(N1538,FIND("/",N1538,FIND("/",N1538)+1)+1,4)),VALUE(MID(N1538,FIND("/",N1538)+1,FIND("/",N1538,FIND("/",N1538)+1)-FIND("/",N1538)-1)),VALUE(LEFT(N1538,FIND("/",N1538)-1))),0)</f>
        <v>0</v>
      </c>
    </row>
    <row r="1539" customFormat="false" ht="15" hidden="false" customHeight="false" outlineLevel="0" collapsed="false">
      <c r="N1539" s="0" t="str">
        <f aca="false">IF(H1539="","",IFERROR(LEFT(H1539,FIND(" ",H1539)-1),H1539))</f>
        <v/>
      </c>
      <c r="O1539" s="20" t="n">
        <f aca="false">IFERROR(DATE(VALUE(MID(N1539,FIND("/",N1539,FIND("/",N1539)+1)+1,4)),VALUE(MID(N1539,FIND("/",N1539)+1,FIND("/",N1539,FIND("/",N1539)+1)-FIND("/",N1539)-1)),VALUE(LEFT(N1539,FIND("/",N1539)-1))),0)</f>
        <v>0</v>
      </c>
    </row>
    <row r="1540" customFormat="false" ht="15" hidden="false" customHeight="false" outlineLevel="0" collapsed="false">
      <c r="N1540" s="0" t="str">
        <f aca="false">IF(H1540="","",IFERROR(LEFT(H1540,FIND(" ",H1540)-1),H1540))</f>
        <v/>
      </c>
      <c r="O1540" s="20" t="n">
        <f aca="false">IFERROR(DATE(VALUE(MID(N1540,FIND("/",N1540,FIND("/",N1540)+1)+1,4)),VALUE(MID(N1540,FIND("/",N1540)+1,FIND("/",N1540,FIND("/",N1540)+1)-FIND("/",N1540)-1)),VALUE(LEFT(N1540,FIND("/",N1540)-1))),0)</f>
        <v>0</v>
      </c>
    </row>
    <row r="1541" customFormat="false" ht="15" hidden="false" customHeight="false" outlineLevel="0" collapsed="false">
      <c r="N1541" s="0" t="str">
        <f aca="false">IF(H1541="","",IFERROR(LEFT(H1541,FIND(" ",H1541)-1),H1541))</f>
        <v/>
      </c>
      <c r="O1541" s="20" t="n">
        <f aca="false">IFERROR(DATE(VALUE(MID(N1541,FIND("/",N1541,FIND("/",N1541)+1)+1,4)),VALUE(MID(N1541,FIND("/",N1541)+1,FIND("/",N1541,FIND("/",N1541)+1)-FIND("/",N1541)-1)),VALUE(LEFT(N1541,FIND("/",N1541)-1))),0)</f>
        <v>0</v>
      </c>
    </row>
    <row r="1542" customFormat="false" ht="15" hidden="false" customHeight="false" outlineLevel="0" collapsed="false">
      <c r="N1542" s="0" t="str">
        <f aca="false">IF(H1542="","",IFERROR(LEFT(H1542,FIND(" ",H1542)-1),H1542))</f>
        <v/>
      </c>
      <c r="O1542" s="20" t="n">
        <f aca="false">IFERROR(DATE(VALUE(MID(N1542,FIND("/",N1542,FIND("/",N1542)+1)+1,4)),VALUE(MID(N1542,FIND("/",N1542)+1,FIND("/",N1542,FIND("/",N1542)+1)-FIND("/",N1542)-1)),VALUE(LEFT(N1542,FIND("/",N1542)-1))),0)</f>
        <v>0</v>
      </c>
    </row>
    <row r="1543" customFormat="false" ht="15" hidden="false" customHeight="false" outlineLevel="0" collapsed="false">
      <c r="N1543" s="0" t="str">
        <f aca="false">IF(H1543="","",IFERROR(LEFT(H1543,FIND(" ",H1543)-1),H1543))</f>
        <v/>
      </c>
      <c r="O1543" s="20" t="n">
        <f aca="false">IFERROR(DATE(VALUE(MID(N1543,FIND("/",N1543,FIND("/",N1543)+1)+1,4)),VALUE(MID(N1543,FIND("/",N1543)+1,FIND("/",N1543,FIND("/",N1543)+1)-FIND("/",N1543)-1)),VALUE(LEFT(N1543,FIND("/",N1543)-1))),0)</f>
        <v>0</v>
      </c>
    </row>
    <row r="1544" customFormat="false" ht="15" hidden="false" customHeight="false" outlineLevel="0" collapsed="false">
      <c r="N1544" s="0" t="str">
        <f aca="false">IF(H1544="","",IFERROR(LEFT(H1544,FIND(" ",H1544)-1),H1544))</f>
        <v/>
      </c>
      <c r="O1544" s="20" t="n">
        <f aca="false">IFERROR(DATE(VALUE(MID(N1544,FIND("/",N1544,FIND("/",N1544)+1)+1,4)),VALUE(MID(N1544,FIND("/",N1544)+1,FIND("/",N1544,FIND("/",N1544)+1)-FIND("/",N1544)-1)),VALUE(LEFT(N1544,FIND("/",N1544)-1))),0)</f>
        <v>0</v>
      </c>
    </row>
    <row r="1545" customFormat="false" ht="15" hidden="false" customHeight="false" outlineLevel="0" collapsed="false">
      <c r="N1545" s="0" t="str">
        <f aca="false">IF(H1545="","",IFERROR(LEFT(H1545,FIND(" ",H1545)-1),H1545))</f>
        <v/>
      </c>
      <c r="O1545" s="20" t="n">
        <f aca="false">IFERROR(DATE(VALUE(MID(N1545,FIND("/",N1545,FIND("/",N1545)+1)+1,4)),VALUE(MID(N1545,FIND("/",N1545)+1,FIND("/",N1545,FIND("/",N1545)+1)-FIND("/",N1545)-1)),VALUE(LEFT(N1545,FIND("/",N1545)-1))),0)</f>
        <v>0</v>
      </c>
    </row>
    <row r="1546" customFormat="false" ht="15" hidden="false" customHeight="false" outlineLevel="0" collapsed="false">
      <c r="N1546" s="0" t="str">
        <f aca="false">IF(H1546="","",IFERROR(LEFT(H1546,FIND(" ",H1546)-1),H1546))</f>
        <v/>
      </c>
      <c r="O1546" s="20" t="n">
        <f aca="false">IFERROR(DATE(VALUE(MID(N1546,FIND("/",N1546,FIND("/",N1546)+1)+1,4)),VALUE(MID(N1546,FIND("/",N1546)+1,FIND("/",N1546,FIND("/",N1546)+1)-FIND("/",N1546)-1)),VALUE(LEFT(N1546,FIND("/",N1546)-1))),0)</f>
        <v>0</v>
      </c>
    </row>
    <row r="1547" customFormat="false" ht="15" hidden="false" customHeight="false" outlineLevel="0" collapsed="false">
      <c r="N1547" s="0" t="str">
        <f aca="false">IF(H1547="","",IFERROR(LEFT(H1547,FIND(" ",H1547)-1),H1547))</f>
        <v/>
      </c>
      <c r="O1547" s="20" t="n">
        <f aca="false">IFERROR(DATE(VALUE(MID(N1547,FIND("/",N1547,FIND("/",N1547)+1)+1,4)),VALUE(MID(N1547,FIND("/",N1547)+1,FIND("/",N1547,FIND("/",N1547)+1)-FIND("/",N1547)-1)),VALUE(LEFT(N1547,FIND("/",N1547)-1))),0)</f>
        <v>0</v>
      </c>
    </row>
    <row r="1548" customFormat="false" ht="15" hidden="false" customHeight="false" outlineLevel="0" collapsed="false">
      <c r="N1548" s="0" t="str">
        <f aca="false">IF(H1548="","",IFERROR(LEFT(H1548,FIND(" ",H1548)-1),H1548))</f>
        <v/>
      </c>
      <c r="O1548" s="20" t="n">
        <f aca="false">IFERROR(DATE(VALUE(MID(N1548,FIND("/",N1548,FIND("/",N1548)+1)+1,4)),VALUE(MID(N1548,FIND("/",N1548)+1,FIND("/",N1548,FIND("/",N1548)+1)-FIND("/",N1548)-1)),VALUE(LEFT(N1548,FIND("/",N1548)-1))),0)</f>
        <v>0</v>
      </c>
    </row>
    <row r="1549" customFormat="false" ht="15" hidden="false" customHeight="false" outlineLevel="0" collapsed="false">
      <c r="N1549" s="0" t="str">
        <f aca="false">IF(H1549="","",IFERROR(LEFT(H1549,FIND(" ",H1549)-1),H1549))</f>
        <v/>
      </c>
      <c r="O1549" s="20" t="n">
        <f aca="false">IFERROR(DATE(VALUE(MID(N1549,FIND("/",N1549,FIND("/",N1549)+1)+1,4)),VALUE(MID(N1549,FIND("/",N1549)+1,FIND("/",N1549,FIND("/",N1549)+1)-FIND("/",N1549)-1)),VALUE(LEFT(N1549,FIND("/",N1549)-1))),0)</f>
        <v>0</v>
      </c>
    </row>
    <row r="1550" customFormat="false" ht="15" hidden="false" customHeight="false" outlineLevel="0" collapsed="false">
      <c r="N1550" s="0" t="str">
        <f aca="false">IF(H1550="","",IFERROR(LEFT(H1550,FIND(" ",H1550)-1),H1550))</f>
        <v/>
      </c>
      <c r="O1550" s="20" t="n">
        <f aca="false">IFERROR(DATE(VALUE(MID(N1550,FIND("/",N1550,FIND("/",N1550)+1)+1,4)),VALUE(MID(N1550,FIND("/",N1550)+1,FIND("/",N1550,FIND("/",N1550)+1)-FIND("/",N1550)-1)),VALUE(LEFT(N1550,FIND("/",N1550)-1))),0)</f>
        <v>0</v>
      </c>
    </row>
    <row r="1551" customFormat="false" ht="15" hidden="false" customHeight="false" outlineLevel="0" collapsed="false">
      <c r="N1551" s="0" t="str">
        <f aca="false">IF(H1551="","",IFERROR(LEFT(H1551,FIND(" ",H1551)-1),H1551))</f>
        <v/>
      </c>
      <c r="O1551" s="20" t="n">
        <f aca="false">IFERROR(DATE(VALUE(MID(N1551,FIND("/",N1551,FIND("/",N1551)+1)+1,4)),VALUE(MID(N1551,FIND("/",N1551)+1,FIND("/",N1551,FIND("/",N1551)+1)-FIND("/",N1551)-1)),VALUE(LEFT(N1551,FIND("/",N1551)-1))),0)</f>
        <v>0</v>
      </c>
    </row>
    <row r="1552" customFormat="false" ht="15" hidden="false" customHeight="false" outlineLevel="0" collapsed="false">
      <c r="N1552" s="0" t="str">
        <f aca="false">IF(H1552="","",IFERROR(LEFT(H1552,FIND(" ",H1552)-1),H1552))</f>
        <v/>
      </c>
      <c r="O1552" s="20" t="n">
        <f aca="false">IFERROR(DATE(VALUE(MID(N1552,FIND("/",N1552,FIND("/",N1552)+1)+1,4)),VALUE(MID(N1552,FIND("/",N1552)+1,FIND("/",N1552,FIND("/",N1552)+1)-FIND("/",N1552)-1)),VALUE(LEFT(N1552,FIND("/",N1552)-1))),0)</f>
        <v>0</v>
      </c>
    </row>
    <row r="1553" customFormat="false" ht="15" hidden="false" customHeight="false" outlineLevel="0" collapsed="false">
      <c r="N1553" s="0" t="str">
        <f aca="false">IF(H1553="","",IFERROR(LEFT(H1553,FIND(" ",H1553)-1),H1553))</f>
        <v/>
      </c>
      <c r="O1553" s="20" t="n">
        <f aca="false">IFERROR(DATE(VALUE(MID(N1553,FIND("/",N1553,FIND("/",N1553)+1)+1,4)),VALUE(MID(N1553,FIND("/",N1553)+1,FIND("/",N1553,FIND("/",N1553)+1)-FIND("/",N1553)-1)),VALUE(LEFT(N1553,FIND("/",N1553)-1))),0)</f>
        <v>0</v>
      </c>
    </row>
    <row r="1554" customFormat="false" ht="15" hidden="false" customHeight="false" outlineLevel="0" collapsed="false">
      <c r="N1554" s="0" t="str">
        <f aca="false">IF(H1554="","",IFERROR(LEFT(H1554,FIND(" ",H1554)-1),H1554))</f>
        <v/>
      </c>
      <c r="O1554" s="20" t="n">
        <f aca="false">IFERROR(DATE(VALUE(MID(N1554,FIND("/",N1554,FIND("/",N1554)+1)+1,4)),VALUE(MID(N1554,FIND("/",N1554)+1,FIND("/",N1554,FIND("/",N1554)+1)-FIND("/",N1554)-1)),VALUE(LEFT(N1554,FIND("/",N1554)-1))),0)</f>
        <v>0</v>
      </c>
    </row>
    <row r="1555" customFormat="false" ht="15" hidden="false" customHeight="false" outlineLevel="0" collapsed="false">
      <c r="N1555" s="0" t="str">
        <f aca="false">IF(H1555="","",IFERROR(LEFT(H1555,FIND(" ",H1555)-1),H1555))</f>
        <v/>
      </c>
      <c r="O1555" s="20" t="n">
        <f aca="false">IFERROR(DATE(VALUE(MID(N1555,FIND("/",N1555,FIND("/",N1555)+1)+1,4)),VALUE(MID(N1555,FIND("/",N1555)+1,FIND("/",N1555,FIND("/",N1555)+1)-FIND("/",N1555)-1)),VALUE(LEFT(N1555,FIND("/",N1555)-1))),0)</f>
        <v>0</v>
      </c>
    </row>
    <row r="1556" customFormat="false" ht="15" hidden="false" customHeight="false" outlineLevel="0" collapsed="false">
      <c r="N1556" s="0" t="str">
        <f aca="false">IF(H1556="","",IFERROR(LEFT(H1556,FIND(" ",H1556)-1),H1556))</f>
        <v/>
      </c>
      <c r="O1556" s="20" t="n">
        <f aca="false">IFERROR(DATE(VALUE(MID(N1556,FIND("/",N1556,FIND("/",N1556)+1)+1,4)),VALUE(MID(N1556,FIND("/",N1556)+1,FIND("/",N1556,FIND("/",N1556)+1)-FIND("/",N1556)-1)),VALUE(LEFT(N1556,FIND("/",N1556)-1))),0)</f>
        <v>0</v>
      </c>
    </row>
    <row r="1557" customFormat="false" ht="15" hidden="false" customHeight="false" outlineLevel="0" collapsed="false">
      <c r="N1557" s="0" t="str">
        <f aca="false">IF(H1557="","",IFERROR(LEFT(H1557,FIND(" ",H1557)-1),H1557))</f>
        <v/>
      </c>
      <c r="O1557" s="20" t="n">
        <f aca="false">IFERROR(DATE(VALUE(MID(N1557,FIND("/",N1557,FIND("/",N1557)+1)+1,4)),VALUE(MID(N1557,FIND("/",N1557)+1,FIND("/",N1557,FIND("/",N1557)+1)-FIND("/",N1557)-1)),VALUE(LEFT(N1557,FIND("/",N1557)-1))),0)</f>
        <v>0</v>
      </c>
    </row>
    <row r="1558" customFormat="false" ht="15" hidden="false" customHeight="false" outlineLevel="0" collapsed="false">
      <c r="N1558" s="0" t="str">
        <f aca="false">IF(H1558="","",IFERROR(LEFT(H1558,FIND(" ",H1558)-1),H1558))</f>
        <v/>
      </c>
      <c r="O1558" s="20" t="n">
        <f aca="false">IFERROR(DATE(VALUE(MID(N1558,FIND("/",N1558,FIND("/",N1558)+1)+1,4)),VALUE(MID(N1558,FIND("/",N1558)+1,FIND("/",N1558,FIND("/",N1558)+1)-FIND("/",N1558)-1)),VALUE(LEFT(N1558,FIND("/",N1558)-1))),0)</f>
        <v>0</v>
      </c>
    </row>
    <row r="1559" customFormat="false" ht="15" hidden="false" customHeight="false" outlineLevel="0" collapsed="false">
      <c r="N1559" s="0" t="str">
        <f aca="false">IF(H1559="","",IFERROR(LEFT(H1559,FIND(" ",H1559)-1),H1559))</f>
        <v/>
      </c>
      <c r="O1559" s="20" t="n">
        <f aca="false">IFERROR(DATE(VALUE(MID(N1559,FIND("/",N1559,FIND("/",N1559)+1)+1,4)),VALUE(MID(N1559,FIND("/",N1559)+1,FIND("/",N1559,FIND("/",N1559)+1)-FIND("/",N1559)-1)),VALUE(LEFT(N1559,FIND("/",N1559)-1))),0)</f>
        <v>0</v>
      </c>
    </row>
    <row r="1560" customFormat="false" ht="15" hidden="false" customHeight="false" outlineLevel="0" collapsed="false">
      <c r="N1560" s="0" t="str">
        <f aca="false">IF(H1560="","",IFERROR(LEFT(H1560,FIND(" ",H1560)-1),H1560))</f>
        <v/>
      </c>
      <c r="O1560" s="20" t="n">
        <f aca="false">IFERROR(DATE(VALUE(MID(N1560,FIND("/",N1560,FIND("/",N1560)+1)+1,4)),VALUE(MID(N1560,FIND("/",N1560)+1,FIND("/",N1560,FIND("/",N1560)+1)-FIND("/",N1560)-1)),VALUE(LEFT(N1560,FIND("/",N1560)-1))),0)</f>
        <v>0</v>
      </c>
    </row>
    <row r="1561" customFormat="false" ht="15" hidden="false" customHeight="false" outlineLevel="0" collapsed="false">
      <c r="N1561" s="0" t="str">
        <f aca="false">IF(H1561="","",IFERROR(LEFT(H1561,FIND(" ",H1561)-1),H1561))</f>
        <v/>
      </c>
      <c r="O1561" s="20" t="n">
        <f aca="false">IFERROR(DATE(VALUE(MID(N1561,FIND("/",N1561,FIND("/",N1561)+1)+1,4)),VALUE(MID(N1561,FIND("/",N1561)+1,FIND("/",N1561,FIND("/",N1561)+1)-FIND("/",N1561)-1)),VALUE(LEFT(N1561,FIND("/",N1561)-1))),0)</f>
        <v>0</v>
      </c>
    </row>
    <row r="1562" customFormat="false" ht="15" hidden="false" customHeight="false" outlineLevel="0" collapsed="false">
      <c r="N1562" s="0" t="str">
        <f aca="false">IF(H1562="","",IFERROR(LEFT(H1562,FIND(" ",H1562)-1),H1562))</f>
        <v/>
      </c>
      <c r="O1562" s="20" t="n">
        <f aca="false">IFERROR(DATE(VALUE(MID(N1562,FIND("/",N1562,FIND("/",N1562)+1)+1,4)),VALUE(MID(N1562,FIND("/",N1562)+1,FIND("/",N1562,FIND("/",N1562)+1)-FIND("/",N1562)-1)),VALUE(LEFT(N1562,FIND("/",N1562)-1))),0)</f>
        <v>0</v>
      </c>
    </row>
    <row r="1563" customFormat="false" ht="15" hidden="false" customHeight="false" outlineLevel="0" collapsed="false">
      <c r="N1563" s="0" t="str">
        <f aca="false">IF(H1563="","",IFERROR(LEFT(H1563,FIND(" ",H1563)-1),H1563))</f>
        <v/>
      </c>
      <c r="O1563" s="20" t="n">
        <f aca="false">IFERROR(DATE(VALUE(MID(N1563,FIND("/",N1563,FIND("/",N1563)+1)+1,4)),VALUE(MID(N1563,FIND("/",N1563)+1,FIND("/",N1563,FIND("/",N1563)+1)-FIND("/",N1563)-1)),VALUE(LEFT(N1563,FIND("/",N1563)-1))),0)</f>
        <v>0</v>
      </c>
    </row>
    <row r="1564" customFormat="false" ht="15" hidden="false" customHeight="false" outlineLevel="0" collapsed="false">
      <c r="N1564" s="0" t="str">
        <f aca="false">IF(H1564="","",IFERROR(LEFT(H1564,FIND(" ",H1564)-1),H1564))</f>
        <v/>
      </c>
      <c r="O1564" s="20" t="n">
        <f aca="false">IFERROR(DATE(VALUE(MID(N1564,FIND("/",N1564,FIND("/",N1564)+1)+1,4)),VALUE(MID(N1564,FIND("/",N1564)+1,FIND("/",N1564,FIND("/",N1564)+1)-FIND("/",N1564)-1)),VALUE(LEFT(N1564,FIND("/",N1564)-1))),0)</f>
        <v>0</v>
      </c>
    </row>
    <row r="1565" customFormat="false" ht="15" hidden="false" customHeight="false" outlineLevel="0" collapsed="false">
      <c r="N1565" s="0" t="str">
        <f aca="false">IF(H1565="","",IFERROR(LEFT(H1565,FIND(" ",H1565)-1),H1565))</f>
        <v/>
      </c>
      <c r="O1565" s="20" t="n">
        <f aca="false">IFERROR(DATE(VALUE(MID(N1565,FIND("/",N1565,FIND("/",N1565)+1)+1,4)),VALUE(MID(N1565,FIND("/",N1565)+1,FIND("/",N1565,FIND("/",N1565)+1)-FIND("/",N1565)-1)),VALUE(LEFT(N1565,FIND("/",N1565)-1))),0)</f>
        <v>0</v>
      </c>
    </row>
    <row r="1566" customFormat="false" ht="15" hidden="false" customHeight="false" outlineLevel="0" collapsed="false">
      <c r="N1566" s="0" t="str">
        <f aca="false">IF(H1566="","",IFERROR(LEFT(H1566,FIND(" ",H1566)-1),H1566))</f>
        <v/>
      </c>
      <c r="O1566" s="20" t="n">
        <f aca="false">IFERROR(DATE(VALUE(MID(N1566,FIND("/",N1566,FIND("/",N1566)+1)+1,4)),VALUE(MID(N1566,FIND("/",N1566)+1,FIND("/",N1566,FIND("/",N1566)+1)-FIND("/",N1566)-1)),VALUE(LEFT(N1566,FIND("/",N1566)-1))),0)</f>
        <v>0</v>
      </c>
    </row>
    <row r="1567" customFormat="false" ht="15" hidden="false" customHeight="false" outlineLevel="0" collapsed="false">
      <c r="N1567" s="0" t="str">
        <f aca="false">IF(H1567="","",IFERROR(LEFT(H1567,FIND(" ",H1567)-1),H1567))</f>
        <v/>
      </c>
      <c r="O1567" s="20" t="n">
        <f aca="false">IFERROR(DATE(VALUE(MID(N1567,FIND("/",N1567,FIND("/",N1567)+1)+1,4)),VALUE(MID(N1567,FIND("/",N1567)+1,FIND("/",N1567,FIND("/",N1567)+1)-FIND("/",N1567)-1)),VALUE(LEFT(N1567,FIND("/",N1567)-1))),0)</f>
        <v>0</v>
      </c>
    </row>
    <row r="1568" customFormat="false" ht="15" hidden="false" customHeight="false" outlineLevel="0" collapsed="false">
      <c r="N1568" s="0" t="str">
        <f aca="false">IF(H1568="","",IFERROR(LEFT(H1568,FIND(" ",H1568)-1),H1568))</f>
        <v/>
      </c>
      <c r="O1568" s="20" t="n">
        <f aca="false">IFERROR(DATE(VALUE(MID(N1568,FIND("/",N1568,FIND("/",N1568)+1)+1,4)),VALUE(MID(N1568,FIND("/",N1568)+1,FIND("/",N1568,FIND("/",N1568)+1)-FIND("/",N1568)-1)),VALUE(LEFT(N1568,FIND("/",N1568)-1))),0)</f>
        <v>0</v>
      </c>
    </row>
    <row r="1569" customFormat="false" ht="15" hidden="false" customHeight="false" outlineLevel="0" collapsed="false">
      <c r="N1569" s="0" t="str">
        <f aca="false">IF(H1569="","",IFERROR(LEFT(H1569,FIND(" ",H1569)-1),H1569))</f>
        <v/>
      </c>
      <c r="O1569" s="20" t="n">
        <f aca="false">IFERROR(DATE(VALUE(MID(N1569,FIND("/",N1569,FIND("/",N1569)+1)+1,4)),VALUE(MID(N1569,FIND("/",N1569)+1,FIND("/",N1569,FIND("/",N1569)+1)-FIND("/",N1569)-1)),VALUE(LEFT(N1569,FIND("/",N1569)-1))),0)</f>
        <v>0</v>
      </c>
    </row>
    <row r="1570" customFormat="false" ht="15" hidden="false" customHeight="false" outlineLevel="0" collapsed="false">
      <c r="N1570" s="0" t="str">
        <f aca="false">IF(H1570="","",IFERROR(LEFT(H1570,FIND(" ",H1570)-1),H1570))</f>
        <v/>
      </c>
      <c r="O1570" s="20" t="n">
        <f aca="false">IFERROR(DATE(VALUE(MID(N1570,FIND("/",N1570,FIND("/",N1570)+1)+1,4)),VALUE(MID(N1570,FIND("/",N1570)+1,FIND("/",N1570,FIND("/",N1570)+1)-FIND("/",N1570)-1)),VALUE(LEFT(N1570,FIND("/",N1570)-1))),0)</f>
        <v>0</v>
      </c>
    </row>
    <row r="1571" customFormat="false" ht="15" hidden="false" customHeight="false" outlineLevel="0" collapsed="false">
      <c r="N1571" s="0" t="str">
        <f aca="false">IF(H1571="","",IFERROR(LEFT(H1571,FIND(" ",H1571)-1),H1571))</f>
        <v/>
      </c>
      <c r="O1571" s="20" t="n">
        <f aca="false">IFERROR(DATE(VALUE(MID(N1571,FIND("/",N1571,FIND("/",N1571)+1)+1,4)),VALUE(MID(N1571,FIND("/",N1571)+1,FIND("/",N1571,FIND("/",N1571)+1)-FIND("/",N1571)-1)),VALUE(LEFT(N1571,FIND("/",N1571)-1))),0)</f>
        <v>0</v>
      </c>
    </row>
    <row r="1572" customFormat="false" ht="15" hidden="false" customHeight="false" outlineLevel="0" collapsed="false">
      <c r="N1572" s="0" t="str">
        <f aca="false">IF(H1572="","",IFERROR(LEFT(H1572,FIND(" ",H1572)-1),H1572))</f>
        <v/>
      </c>
      <c r="O1572" s="20" t="n">
        <f aca="false">IFERROR(DATE(VALUE(MID(N1572,FIND("/",N1572,FIND("/",N1572)+1)+1,4)),VALUE(MID(N1572,FIND("/",N1572)+1,FIND("/",N1572,FIND("/",N1572)+1)-FIND("/",N1572)-1)),VALUE(LEFT(N1572,FIND("/",N1572)-1))),0)</f>
        <v>0</v>
      </c>
    </row>
    <row r="1573" customFormat="false" ht="15" hidden="false" customHeight="false" outlineLevel="0" collapsed="false">
      <c r="N1573" s="0" t="str">
        <f aca="false">IF(H1573="","",IFERROR(LEFT(H1573,FIND(" ",H1573)-1),H1573))</f>
        <v/>
      </c>
      <c r="O1573" s="20" t="n">
        <f aca="false">IFERROR(DATE(VALUE(MID(N1573,FIND("/",N1573,FIND("/",N1573)+1)+1,4)),VALUE(MID(N1573,FIND("/",N1573)+1,FIND("/",N1573,FIND("/",N1573)+1)-FIND("/",N1573)-1)),VALUE(LEFT(N1573,FIND("/",N1573)-1))),0)</f>
        <v>0</v>
      </c>
    </row>
    <row r="1574" customFormat="false" ht="15" hidden="false" customHeight="false" outlineLevel="0" collapsed="false">
      <c r="N1574" s="0" t="str">
        <f aca="false">IF(H1574="","",IFERROR(LEFT(H1574,FIND(" ",H1574)-1),H1574))</f>
        <v/>
      </c>
      <c r="O1574" s="20" t="n">
        <f aca="false">IFERROR(DATE(VALUE(MID(N1574,FIND("/",N1574,FIND("/",N1574)+1)+1,4)),VALUE(MID(N1574,FIND("/",N1574)+1,FIND("/",N1574,FIND("/",N1574)+1)-FIND("/",N1574)-1)),VALUE(LEFT(N1574,FIND("/",N1574)-1))),0)</f>
        <v>0</v>
      </c>
    </row>
    <row r="1575" customFormat="false" ht="15" hidden="false" customHeight="false" outlineLevel="0" collapsed="false">
      <c r="N1575" s="0" t="str">
        <f aca="false">IF(H1575="","",IFERROR(LEFT(H1575,FIND(" ",H1575)-1),H1575))</f>
        <v/>
      </c>
      <c r="O1575" s="20" t="n">
        <f aca="false">IFERROR(DATE(VALUE(MID(N1575,FIND("/",N1575,FIND("/",N1575)+1)+1,4)),VALUE(MID(N1575,FIND("/",N1575)+1,FIND("/",N1575,FIND("/",N1575)+1)-FIND("/",N1575)-1)),VALUE(LEFT(N1575,FIND("/",N1575)-1))),0)</f>
        <v>0</v>
      </c>
    </row>
    <row r="1576" customFormat="false" ht="15" hidden="false" customHeight="false" outlineLevel="0" collapsed="false">
      <c r="N1576" s="0" t="str">
        <f aca="false">IF(H1576="","",IFERROR(LEFT(H1576,FIND(" ",H1576)-1),H1576))</f>
        <v/>
      </c>
      <c r="O1576" s="20" t="n">
        <f aca="false">IFERROR(DATE(VALUE(MID(N1576,FIND("/",N1576,FIND("/",N1576)+1)+1,4)),VALUE(MID(N1576,FIND("/",N1576)+1,FIND("/",N1576,FIND("/",N1576)+1)-FIND("/",N1576)-1)),VALUE(LEFT(N1576,FIND("/",N1576)-1))),0)</f>
        <v>0</v>
      </c>
    </row>
    <row r="1577" customFormat="false" ht="15" hidden="false" customHeight="false" outlineLevel="0" collapsed="false">
      <c r="N1577" s="0" t="str">
        <f aca="false">IF(H1577="","",IFERROR(LEFT(H1577,FIND(" ",H1577)-1),H1577))</f>
        <v/>
      </c>
      <c r="O1577" s="20" t="n">
        <f aca="false">IFERROR(DATE(VALUE(MID(N1577,FIND("/",N1577,FIND("/",N1577)+1)+1,4)),VALUE(MID(N1577,FIND("/",N1577)+1,FIND("/",N1577,FIND("/",N1577)+1)-FIND("/",N1577)-1)),VALUE(LEFT(N1577,FIND("/",N1577)-1))),0)</f>
        <v>0</v>
      </c>
    </row>
    <row r="1578" customFormat="false" ht="15" hidden="false" customHeight="false" outlineLevel="0" collapsed="false">
      <c r="N1578" s="0" t="str">
        <f aca="false">IF(H1578="","",IFERROR(LEFT(H1578,FIND(" ",H1578)-1),H1578))</f>
        <v/>
      </c>
      <c r="O1578" s="20" t="n">
        <f aca="false">IFERROR(DATE(VALUE(MID(N1578,FIND("/",N1578,FIND("/",N1578)+1)+1,4)),VALUE(MID(N1578,FIND("/",N1578)+1,FIND("/",N1578,FIND("/",N1578)+1)-FIND("/",N1578)-1)),VALUE(LEFT(N1578,FIND("/",N1578)-1))),0)</f>
        <v>0</v>
      </c>
    </row>
    <row r="1579" customFormat="false" ht="15" hidden="false" customHeight="false" outlineLevel="0" collapsed="false">
      <c r="N1579" s="0" t="str">
        <f aca="false">IF(H1579="","",IFERROR(LEFT(H1579,FIND(" ",H1579)-1),H1579))</f>
        <v/>
      </c>
      <c r="O1579" s="20" t="n">
        <f aca="false">IFERROR(DATE(VALUE(MID(N1579,FIND("/",N1579,FIND("/",N1579)+1)+1,4)),VALUE(MID(N1579,FIND("/",N1579)+1,FIND("/",N1579,FIND("/",N1579)+1)-FIND("/",N1579)-1)),VALUE(LEFT(N1579,FIND("/",N1579)-1))),0)</f>
        <v>0</v>
      </c>
    </row>
    <row r="1580" customFormat="false" ht="15" hidden="false" customHeight="false" outlineLevel="0" collapsed="false">
      <c r="N1580" s="0" t="str">
        <f aca="false">IF(H1580="","",IFERROR(LEFT(H1580,FIND(" ",H1580)-1),H1580))</f>
        <v/>
      </c>
      <c r="O1580" s="20" t="n">
        <f aca="false">IFERROR(DATE(VALUE(MID(N1580,FIND("/",N1580,FIND("/",N1580)+1)+1,4)),VALUE(MID(N1580,FIND("/",N1580)+1,FIND("/",N1580,FIND("/",N1580)+1)-FIND("/",N1580)-1)),VALUE(LEFT(N1580,FIND("/",N1580)-1))),0)</f>
        <v>0</v>
      </c>
    </row>
    <row r="1581" customFormat="false" ht="15" hidden="false" customHeight="false" outlineLevel="0" collapsed="false">
      <c r="N1581" s="0" t="str">
        <f aca="false">IF(H1581="","",IFERROR(LEFT(H1581,FIND(" ",H1581)-1),H1581))</f>
        <v/>
      </c>
      <c r="O1581" s="20" t="n">
        <f aca="false">IFERROR(DATE(VALUE(MID(N1581,FIND("/",N1581,FIND("/",N1581)+1)+1,4)),VALUE(MID(N1581,FIND("/",N1581)+1,FIND("/",N1581,FIND("/",N1581)+1)-FIND("/",N1581)-1)),VALUE(LEFT(N1581,FIND("/",N1581)-1))),0)</f>
        <v>0</v>
      </c>
    </row>
    <row r="1582" customFormat="false" ht="15" hidden="false" customHeight="false" outlineLevel="0" collapsed="false">
      <c r="N1582" s="0" t="str">
        <f aca="false">IF(H1582="","",IFERROR(LEFT(H1582,FIND(" ",H1582)-1),H1582))</f>
        <v/>
      </c>
      <c r="O1582" s="20" t="n">
        <f aca="false">IFERROR(DATE(VALUE(MID(N1582,FIND("/",N1582,FIND("/",N1582)+1)+1,4)),VALUE(MID(N1582,FIND("/",N1582)+1,FIND("/",N1582,FIND("/",N1582)+1)-FIND("/",N1582)-1)),VALUE(LEFT(N1582,FIND("/",N1582)-1))),0)</f>
        <v>0</v>
      </c>
    </row>
    <row r="1583" customFormat="false" ht="15" hidden="false" customHeight="false" outlineLevel="0" collapsed="false">
      <c r="N1583" s="0" t="str">
        <f aca="false">IF(H1583="","",IFERROR(LEFT(H1583,FIND(" ",H1583)-1),H1583))</f>
        <v/>
      </c>
      <c r="O1583" s="20" t="n">
        <f aca="false">IFERROR(DATE(VALUE(MID(N1583,FIND("/",N1583,FIND("/",N1583)+1)+1,4)),VALUE(MID(N1583,FIND("/",N1583)+1,FIND("/",N1583,FIND("/",N1583)+1)-FIND("/",N1583)-1)),VALUE(LEFT(N1583,FIND("/",N1583)-1))),0)</f>
        <v>0</v>
      </c>
    </row>
    <row r="1584" customFormat="false" ht="15" hidden="false" customHeight="false" outlineLevel="0" collapsed="false">
      <c r="N1584" s="0" t="str">
        <f aca="false">IF(H1584="","",IFERROR(LEFT(H1584,FIND(" ",H1584)-1),H1584))</f>
        <v/>
      </c>
      <c r="O1584" s="20" t="n">
        <f aca="false">IFERROR(DATE(VALUE(MID(N1584,FIND("/",N1584,FIND("/",N1584)+1)+1,4)),VALUE(MID(N1584,FIND("/",N1584)+1,FIND("/",N1584,FIND("/",N1584)+1)-FIND("/",N1584)-1)),VALUE(LEFT(N1584,FIND("/",N1584)-1))),0)</f>
        <v>0</v>
      </c>
    </row>
    <row r="1585" customFormat="false" ht="15" hidden="false" customHeight="false" outlineLevel="0" collapsed="false">
      <c r="N1585" s="0" t="str">
        <f aca="false">IF(H1585="","",IFERROR(LEFT(H1585,FIND(" ",H1585)-1),H1585))</f>
        <v/>
      </c>
      <c r="O1585" s="20" t="n">
        <f aca="false">IFERROR(DATE(VALUE(MID(N1585,FIND("/",N1585,FIND("/",N1585)+1)+1,4)),VALUE(MID(N1585,FIND("/",N1585)+1,FIND("/",N1585,FIND("/",N1585)+1)-FIND("/",N1585)-1)),VALUE(LEFT(N1585,FIND("/",N1585)-1))),0)</f>
        <v>0</v>
      </c>
    </row>
    <row r="1586" customFormat="false" ht="15" hidden="false" customHeight="false" outlineLevel="0" collapsed="false">
      <c r="N1586" s="0" t="str">
        <f aca="false">IF(H1586="","",IFERROR(LEFT(H1586,FIND(" ",H1586)-1),H1586))</f>
        <v/>
      </c>
      <c r="O1586" s="20" t="n">
        <f aca="false">IFERROR(DATE(VALUE(MID(N1586,FIND("/",N1586,FIND("/",N1586)+1)+1,4)),VALUE(MID(N1586,FIND("/",N1586)+1,FIND("/",N1586,FIND("/",N1586)+1)-FIND("/",N1586)-1)),VALUE(LEFT(N1586,FIND("/",N1586)-1))),0)</f>
        <v>0</v>
      </c>
    </row>
    <row r="1587" customFormat="false" ht="15" hidden="false" customHeight="false" outlineLevel="0" collapsed="false">
      <c r="N1587" s="0" t="str">
        <f aca="false">IF(H1587="","",IFERROR(LEFT(H1587,FIND(" ",H1587)-1),H1587))</f>
        <v/>
      </c>
      <c r="O1587" s="20" t="n">
        <f aca="false">IFERROR(DATE(VALUE(MID(N1587,FIND("/",N1587,FIND("/",N1587)+1)+1,4)),VALUE(MID(N1587,FIND("/",N1587)+1,FIND("/",N1587,FIND("/",N1587)+1)-FIND("/",N1587)-1)),VALUE(LEFT(N1587,FIND("/",N1587)-1))),0)</f>
        <v>0</v>
      </c>
    </row>
    <row r="1588" customFormat="false" ht="15" hidden="false" customHeight="false" outlineLevel="0" collapsed="false">
      <c r="N1588" s="0" t="str">
        <f aca="false">IF(H1588="","",IFERROR(LEFT(H1588,FIND(" ",H1588)-1),H1588))</f>
        <v/>
      </c>
      <c r="O1588" s="20" t="n">
        <f aca="false">IFERROR(DATE(VALUE(MID(N1588,FIND("/",N1588,FIND("/",N1588)+1)+1,4)),VALUE(MID(N1588,FIND("/",N1588)+1,FIND("/",N1588,FIND("/",N1588)+1)-FIND("/",N1588)-1)),VALUE(LEFT(N1588,FIND("/",N1588)-1))),0)</f>
        <v>0</v>
      </c>
    </row>
    <row r="1589" customFormat="false" ht="15" hidden="false" customHeight="false" outlineLevel="0" collapsed="false">
      <c r="N1589" s="0" t="str">
        <f aca="false">IF(H1589="","",IFERROR(LEFT(H1589,FIND(" ",H1589)-1),H1589))</f>
        <v/>
      </c>
      <c r="O1589" s="20" t="n">
        <f aca="false">IFERROR(DATE(VALUE(MID(N1589,FIND("/",N1589,FIND("/",N1589)+1)+1,4)),VALUE(MID(N1589,FIND("/",N1589)+1,FIND("/",N1589,FIND("/",N1589)+1)-FIND("/",N1589)-1)),VALUE(LEFT(N1589,FIND("/",N1589)-1))),0)</f>
        <v>0</v>
      </c>
    </row>
    <row r="1590" customFormat="false" ht="15" hidden="false" customHeight="false" outlineLevel="0" collapsed="false">
      <c r="N1590" s="0" t="str">
        <f aca="false">IF(H1590="","",IFERROR(LEFT(H1590,FIND(" ",H1590)-1),H1590))</f>
        <v/>
      </c>
      <c r="O1590" s="20" t="n">
        <f aca="false">IFERROR(DATE(VALUE(MID(N1590,FIND("/",N1590,FIND("/",N1590)+1)+1,4)),VALUE(MID(N1590,FIND("/",N1590)+1,FIND("/",N1590,FIND("/",N1590)+1)-FIND("/",N1590)-1)),VALUE(LEFT(N1590,FIND("/",N1590)-1))),0)</f>
        <v>0</v>
      </c>
    </row>
    <row r="1591" customFormat="false" ht="15" hidden="false" customHeight="false" outlineLevel="0" collapsed="false">
      <c r="N1591" s="0" t="str">
        <f aca="false">IF(H1591="","",IFERROR(LEFT(H1591,FIND(" ",H1591)-1),H1591))</f>
        <v/>
      </c>
      <c r="O1591" s="20" t="n">
        <f aca="false">IFERROR(DATE(VALUE(MID(N1591,FIND("/",N1591,FIND("/",N1591)+1)+1,4)),VALUE(MID(N1591,FIND("/",N1591)+1,FIND("/",N1591,FIND("/",N1591)+1)-FIND("/",N1591)-1)),VALUE(LEFT(N1591,FIND("/",N1591)-1))),0)</f>
        <v>0</v>
      </c>
    </row>
    <row r="1592" customFormat="false" ht="15" hidden="false" customHeight="false" outlineLevel="0" collapsed="false">
      <c r="N1592" s="0" t="str">
        <f aca="false">IF(H1592="","",IFERROR(LEFT(H1592,FIND(" ",H1592)-1),H1592))</f>
        <v/>
      </c>
      <c r="O1592" s="20" t="n">
        <f aca="false">IFERROR(DATE(VALUE(MID(N1592,FIND("/",N1592,FIND("/",N1592)+1)+1,4)),VALUE(MID(N1592,FIND("/",N1592)+1,FIND("/",N1592,FIND("/",N1592)+1)-FIND("/",N1592)-1)),VALUE(LEFT(N1592,FIND("/",N1592)-1))),0)</f>
        <v>0</v>
      </c>
    </row>
    <row r="1593" customFormat="false" ht="15" hidden="false" customHeight="false" outlineLevel="0" collapsed="false">
      <c r="N1593" s="0" t="str">
        <f aca="false">IF(H1593="","",IFERROR(LEFT(H1593,FIND(" ",H1593)-1),H1593))</f>
        <v/>
      </c>
      <c r="O1593" s="20" t="n">
        <f aca="false">IFERROR(DATE(VALUE(MID(N1593,FIND("/",N1593,FIND("/",N1593)+1)+1,4)),VALUE(MID(N1593,FIND("/",N1593)+1,FIND("/",N1593,FIND("/",N1593)+1)-FIND("/",N1593)-1)),VALUE(LEFT(N1593,FIND("/",N1593)-1))),0)</f>
        <v>0</v>
      </c>
    </row>
    <row r="1594" customFormat="false" ht="15" hidden="false" customHeight="false" outlineLevel="0" collapsed="false">
      <c r="N1594" s="0" t="str">
        <f aca="false">IF(H1594="","",IFERROR(LEFT(H1594,FIND(" ",H1594)-1),H1594))</f>
        <v/>
      </c>
      <c r="O1594" s="20" t="n">
        <f aca="false">IFERROR(DATE(VALUE(MID(N1594,FIND("/",N1594,FIND("/",N1594)+1)+1,4)),VALUE(MID(N1594,FIND("/",N1594)+1,FIND("/",N1594,FIND("/",N1594)+1)-FIND("/",N1594)-1)),VALUE(LEFT(N1594,FIND("/",N1594)-1))),0)</f>
        <v>0</v>
      </c>
    </row>
    <row r="1595" customFormat="false" ht="15" hidden="false" customHeight="false" outlineLevel="0" collapsed="false">
      <c r="N1595" s="0" t="str">
        <f aca="false">IF(H1595="","",IFERROR(LEFT(H1595,FIND(" ",H1595)-1),H1595))</f>
        <v/>
      </c>
      <c r="O1595" s="20" t="n">
        <f aca="false">IFERROR(DATE(VALUE(MID(N1595,FIND("/",N1595,FIND("/",N1595)+1)+1,4)),VALUE(MID(N1595,FIND("/",N1595)+1,FIND("/",N1595,FIND("/",N1595)+1)-FIND("/",N1595)-1)),VALUE(LEFT(N1595,FIND("/",N1595)-1))),0)</f>
        <v>0</v>
      </c>
    </row>
    <row r="1596" customFormat="false" ht="15" hidden="false" customHeight="false" outlineLevel="0" collapsed="false">
      <c r="N1596" s="0" t="str">
        <f aca="false">IF(H1596="","",IFERROR(LEFT(H1596,FIND(" ",H1596)-1),H1596))</f>
        <v/>
      </c>
      <c r="O1596" s="20" t="n">
        <f aca="false">IFERROR(DATE(VALUE(MID(N1596,FIND("/",N1596,FIND("/",N1596)+1)+1,4)),VALUE(MID(N1596,FIND("/",N1596)+1,FIND("/",N1596,FIND("/",N1596)+1)-FIND("/",N1596)-1)),VALUE(LEFT(N1596,FIND("/",N1596)-1))),0)</f>
        <v>0</v>
      </c>
    </row>
    <row r="1597" customFormat="false" ht="15" hidden="false" customHeight="false" outlineLevel="0" collapsed="false">
      <c r="N1597" s="0" t="str">
        <f aca="false">IF(H1597="","",IFERROR(LEFT(H1597,FIND(" ",H1597)-1),H1597))</f>
        <v/>
      </c>
      <c r="O1597" s="20" t="n">
        <f aca="false">IFERROR(DATE(VALUE(MID(N1597,FIND("/",N1597,FIND("/",N1597)+1)+1,4)),VALUE(MID(N1597,FIND("/",N1597)+1,FIND("/",N1597,FIND("/",N1597)+1)-FIND("/",N1597)-1)),VALUE(LEFT(N1597,FIND("/",N1597)-1))),0)</f>
        <v>0</v>
      </c>
    </row>
    <row r="1598" customFormat="false" ht="15" hidden="false" customHeight="false" outlineLevel="0" collapsed="false">
      <c r="N1598" s="0" t="str">
        <f aca="false">IF(H1598="","",IFERROR(LEFT(H1598,FIND(" ",H1598)-1),H1598))</f>
        <v/>
      </c>
      <c r="O1598" s="20" t="n">
        <f aca="false">IFERROR(DATE(VALUE(MID(N1598,FIND("/",N1598,FIND("/",N1598)+1)+1,4)),VALUE(MID(N1598,FIND("/",N1598)+1,FIND("/",N1598,FIND("/",N1598)+1)-FIND("/",N1598)-1)),VALUE(LEFT(N1598,FIND("/",N1598)-1))),0)</f>
        <v>0</v>
      </c>
    </row>
    <row r="1599" customFormat="false" ht="15" hidden="false" customHeight="false" outlineLevel="0" collapsed="false">
      <c r="N1599" s="0" t="str">
        <f aca="false">IF(H1599="","",IFERROR(LEFT(H1599,FIND(" ",H1599)-1),H1599))</f>
        <v/>
      </c>
      <c r="O1599" s="20" t="n">
        <f aca="false">IFERROR(DATE(VALUE(MID(N1599,FIND("/",N1599,FIND("/",N1599)+1)+1,4)),VALUE(MID(N1599,FIND("/",N1599)+1,FIND("/",N1599,FIND("/",N1599)+1)-FIND("/",N1599)-1)),VALUE(LEFT(N1599,FIND("/",N1599)-1))),0)</f>
        <v>0</v>
      </c>
    </row>
    <row r="1600" customFormat="false" ht="15" hidden="false" customHeight="false" outlineLevel="0" collapsed="false">
      <c r="N1600" s="0" t="str">
        <f aca="false">IF(H1600="","",IFERROR(LEFT(H1600,FIND(" ",H1600)-1),H1600))</f>
        <v/>
      </c>
      <c r="O1600" s="20" t="n">
        <f aca="false">IFERROR(DATE(VALUE(MID(N1600,FIND("/",N1600,FIND("/",N1600)+1)+1,4)),VALUE(MID(N1600,FIND("/",N1600)+1,FIND("/",N1600,FIND("/",N1600)+1)-FIND("/",N1600)-1)),VALUE(LEFT(N1600,FIND("/",N1600)-1))),0)</f>
        <v>0</v>
      </c>
    </row>
    <row r="1601" customFormat="false" ht="15" hidden="false" customHeight="false" outlineLevel="0" collapsed="false">
      <c r="N1601" s="0" t="str">
        <f aca="false">IF(H1601="","",IFERROR(LEFT(H1601,FIND(" ",H1601)-1),H1601))</f>
        <v/>
      </c>
      <c r="O1601" s="20" t="n">
        <f aca="false">IFERROR(DATE(VALUE(MID(N1601,FIND("/",N1601,FIND("/",N1601)+1)+1,4)),VALUE(MID(N1601,FIND("/",N1601)+1,FIND("/",N1601,FIND("/",N1601)+1)-FIND("/",N1601)-1)),VALUE(LEFT(N1601,FIND("/",N1601)-1))),0)</f>
        <v>0</v>
      </c>
    </row>
    <row r="1602" customFormat="false" ht="15" hidden="false" customHeight="false" outlineLevel="0" collapsed="false">
      <c r="N1602" s="0" t="str">
        <f aca="false">IF(H1602="","",IFERROR(LEFT(H1602,FIND(" ",H1602)-1),H1602))</f>
        <v/>
      </c>
      <c r="O1602" s="20" t="n">
        <f aca="false">IFERROR(DATE(VALUE(MID(N1602,FIND("/",N1602,FIND("/",N1602)+1)+1,4)),VALUE(MID(N1602,FIND("/",N1602)+1,FIND("/",N1602,FIND("/",N1602)+1)-FIND("/",N1602)-1)),VALUE(LEFT(N1602,FIND("/",N1602)-1))),0)</f>
        <v>0</v>
      </c>
    </row>
    <row r="1603" customFormat="false" ht="15" hidden="false" customHeight="false" outlineLevel="0" collapsed="false">
      <c r="N1603" s="0" t="str">
        <f aca="false">IF(H1603="","",IFERROR(LEFT(H1603,FIND(" ",H1603)-1),H1603))</f>
        <v/>
      </c>
      <c r="O1603" s="20" t="n">
        <f aca="false">IFERROR(DATE(VALUE(MID(N1603,FIND("/",N1603,FIND("/",N1603)+1)+1,4)),VALUE(MID(N1603,FIND("/",N1603)+1,FIND("/",N1603,FIND("/",N1603)+1)-FIND("/",N1603)-1)),VALUE(LEFT(N1603,FIND("/",N1603)-1))),0)</f>
        <v>0</v>
      </c>
    </row>
    <row r="1604" customFormat="false" ht="15" hidden="false" customHeight="false" outlineLevel="0" collapsed="false">
      <c r="N1604" s="0" t="str">
        <f aca="false">IF(H1604="","",IFERROR(LEFT(H1604,FIND(" ",H1604)-1),H1604))</f>
        <v/>
      </c>
      <c r="O1604" s="20" t="n">
        <f aca="false">IFERROR(DATE(VALUE(MID(N1604,FIND("/",N1604,FIND("/",N1604)+1)+1,4)),VALUE(MID(N1604,FIND("/",N1604)+1,FIND("/",N1604,FIND("/",N1604)+1)-FIND("/",N1604)-1)),VALUE(LEFT(N1604,FIND("/",N1604)-1))),0)</f>
        <v>0</v>
      </c>
    </row>
    <row r="1605" customFormat="false" ht="15" hidden="false" customHeight="false" outlineLevel="0" collapsed="false">
      <c r="N1605" s="0" t="str">
        <f aca="false">IF(H1605="","",IFERROR(LEFT(H1605,FIND(" ",H1605)-1),H1605))</f>
        <v/>
      </c>
      <c r="O1605" s="20" t="n">
        <f aca="false">IFERROR(DATE(VALUE(MID(N1605,FIND("/",N1605,FIND("/",N1605)+1)+1,4)),VALUE(MID(N1605,FIND("/",N1605)+1,FIND("/",N1605,FIND("/",N1605)+1)-FIND("/",N1605)-1)),VALUE(LEFT(N1605,FIND("/",N1605)-1))),0)</f>
        <v>0</v>
      </c>
    </row>
    <row r="1606" customFormat="false" ht="15" hidden="false" customHeight="false" outlineLevel="0" collapsed="false">
      <c r="N1606" s="0" t="str">
        <f aca="false">IF(H1606="","",IFERROR(LEFT(H1606,FIND(" ",H1606)-1),H1606))</f>
        <v/>
      </c>
      <c r="O1606" s="20" t="n">
        <f aca="false">IFERROR(DATE(VALUE(MID(N1606,FIND("/",N1606,FIND("/",N1606)+1)+1,4)),VALUE(MID(N1606,FIND("/",N1606)+1,FIND("/",N1606,FIND("/",N1606)+1)-FIND("/",N1606)-1)),VALUE(LEFT(N1606,FIND("/",N1606)-1))),0)</f>
        <v>0</v>
      </c>
    </row>
    <row r="1607" customFormat="false" ht="15" hidden="false" customHeight="false" outlineLevel="0" collapsed="false">
      <c r="N1607" s="0" t="str">
        <f aca="false">IF(H1607="","",IFERROR(LEFT(H1607,FIND(" ",H1607)-1),H1607))</f>
        <v/>
      </c>
      <c r="O1607" s="20" t="n">
        <f aca="false">IFERROR(DATE(VALUE(MID(N1607,FIND("/",N1607,FIND("/",N1607)+1)+1,4)),VALUE(MID(N1607,FIND("/",N1607)+1,FIND("/",N1607,FIND("/",N1607)+1)-FIND("/",N1607)-1)),VALUE(LEFT(N1607,FIND("/",N1607)-1))),0)</f>
        <v>0</v>
      </c>
    </row>
    <row r="1608" customFormat="false" ht="15" hidden="false" customHeight="false" outlineLevel="0" collapsed="false">
      <c r="N1608" s="0" t="str">
        <f aca="false">IF(H1608="","",IFERROR(LEFT(H1608,FIND(" ",H1608)-1),H1608))</f>
        <v/>
      </c>
      <c r="O1608" s="20" t="n">
        <f aca="false">IFERROR(DATE(VALUE(MID(N1608,FIND("/",N1608,FIND("/",N1608)+1)+1,4)),VALUE(MID(N1608,FIND("/",N1608)+1,FIND("/",N1608,FIND("/",N1608)+1)-FIND("/",N1608)-1)),VALUE(LEFT(N1608,FIND("/",N1608)-1))),0)</f>
        <v>0</v>
      </c>
    </row>
    <row r="1609" customFormat="false" ht="15" hidden="false" customHeight="false" outlineLevel="0" collapsed="false">
      <c r="N1609" s="0" t="str">
        <f aca="false">IF(H1609="","",IFERROR(LEFT(H1609,FIND(" ",H1609)-1),H1609))</f>
        <v/>
      </c>
      <c r="O1609" s="20" t="n">
        <f aca="false">IFERROR(DATE(VALUE(MID(N1609,FIND("/",N1609,FIND("/",N1609)+1)+1,4)),VALUE(MID(N1609,FIND("/",N1609)+1,FIND("/",N1609,FIND("/",N1609)+1)-FIND("/",N1609)-1)),VALUE(LEFT(N1609,FIND("/",N1609)-1))),0)</f>
        <v>0</v>
      </c>
    </row>
    <row r="1610" customFormat="false" ht="15" hidden="false" customHeight="false" outlineLevel="0" collapsed="false">
      <c r="N1610" s="0" t="str">
        <f aca="false">IF(H1610="","",IFERROR(LEFT(H1610,FIND(" ",H1610)-1),H1610))</f>
        <v/>
      </c>
      <c r="O1610" s="20" t="n">
        <f aca="false">IFERROR(DATE(VALUE(MID(N1610,FIND("/",N1610,FIND("/",N1610)+1)+1,4)),VALUE(MID(N1610,FIND("/",N1610)+1,FIND("/",N1610,FIND("/",N1610)+1)-FIND("/",N1610)-1)),VALUE(LEFT(N1610,FIND("/",N1610)-1))),0)</f>
        <v>0</v>
      </c>
    </row>
    <row r="1611" customFormat="false" ht="15" hidden="false" customHeight="false" outlineLevel="0" collapsed="false">
      <c r="N1611" s="0" t="str">
        <f aca="false">IF(H1611="","",IFERROR(LEFT(H1611,FIND(" ",H1611)-1),H1611))</f>
        <v/>
      </c>
      <c r="O1611" s="20" t="n">
        <f aca="false">IFERROR(DATE(VALUE(MID(N1611,FIND("/",N1611,FIND("/",N1611)+1)+1,4)),VALUE(MID(N1611,FIND("/",N1611)+1,FIND("/",N1611,FIND("/",N1611)+1)-FIND("/",N1611)-1)),VALUE(LEFT(N1611,FIND("/",N1611)-1))),0)</f>
        <v>0</v>
      </c>
    </row>
    <row r="1612" customFormat="false" ht="15" hidden="false" customHeight="false" outlineLevel="0" collapsed="false">
      <c r="N1612" s="0" t="str">
        <f aca="false">IF(H1612="","",IFERROR(LEFT(H1612,FIND(" ",H1612)-1),H1612))</f>
        <v/>
      </c>
      <c r="O1612" s="20" t="n">
        <f aca="false">IFERROR(DATE(VALUE(MID(N1612,FIND("/",N1612,FIND("/",N1612)+1)+1,4)),VALUE(MID(N1612,FIND("/",N1612)+1,FIND("/",N1612,FIND("/",N1612)+1)-FIND("/",N1612)-1)),VALUE(LEFT(N1612,FIND("/",N1612)-1))),0)</f>
        <v>0</v>
      </c>
    </row>
    <row r="1613" customFormat="false" ht="15" hidden="false" customHeight="false" outlineLevel="0" collapsed="false">
      <c r="N1613" s="0" t="str">
        <f aca="false">IF(H1613="","",IFERROR(LEFT(H1613,FIND(" ",H1613)-1),H1613))</f>
        <v/>
      </c>
      <c r="O1613" s="20" t="n">
        <f aca="false">IFERROR(DATE(VALUE(MID(N1613,FIND("/",N1613,FIND("/",N1613)+1)+1,4)),VALUE(MID(N1613,FIND("/",N1613)+1,FIND("/",N1613,FIND("/",N1613)+1)-FIND("/",N1613)-1)),VALUE(LEFT(N1613,FIND("/",N1613)-1))),0)</f>
        <v>0</v>
      </c>
    </row>
    <row r="1614" customFormat="false" ht="15" hidden="false" customHeight="false" outlineLevel="0" collapsed="false">
      <c r="N1614" s="0" t="str">
        <f aca="false">IF(H1614="","",IFERROR(LEFT(H1614,FIND(" ",H1614)-1),H1614))</f>
        <v/>
      </c>
      <c r="O1614" s="20" t="n">
        <f aca="false">IFERROR(DATE(VALUE(MID(N1614,FIND("/",N1614,FIND("/",N1614)+1)+1,4)),VALUE(MID(N1614,FIND("/",N1614)+1,FIND("/",N1614,FIND("/",N1614)+1)-FIND("/",N1614)-1)),VALUE(LEFT(N1614,FIND("/",N1614)-1))),0)</f>
        <v>0</v>
      </c>
    </row>
    <row r="1615" customFormat="false" ht="15" hidden="false" customHeight="false" outlineLevel="0" collapsed="false">
      <c r="N1615" s="0" t="str">
        <f aca="false">IF(H1615="","",IFERROR(LEFT(H1615,FIND(" ",H1615)-1),H1615))</f>
        <v/>
      </c>
      <c r="O1615" s="20" t="n">
        <f aca="false">IFERROR(DATE(VALUE(MID(N1615,FIND("/",N1615,FIND("/",N1615)+1)+1,4)),VALUE(MID(N1615,FIND("/",N1615)+1,FIND("/",N1615,FIND("/",N1615)+1)-FIND("/",N1615)-1)),VALUE(LEFT(N1615,FIND("/",N1615)-1))),0)</f>
        <v>0</v>
      </c>
    </row>
    <row r="1616" customFormat="false" ht="15" hidden="false" customHeight="false" outlineLevel="0" collapsed="false">
      <c r="N1616" s="0" t="str">
        <f aca="false">IF(H1616="","",IFERROR(LEFT(H1616,FIND(" ",H1616)-1),H1616))</f>
        <v/>
      </c>
      <c r="O1616" s="20" t="n">
        <f aca="false">IFERROR(DATE(VALUE(MID(N1616,FIND("/",N1616,FIND("/",N1616)+1)+1,4)),VALUE(MID(N1616,FIND("/",N1616)+1,FIND("/",N1616,FIND("/",N1616)+1)-FIND("/",N1616)-1)),VALUE(LEFT(N1616,FIND("/",N1616)-1))),0)</f>
        <v>0</v>
      </c>
    </row>
    <row r="1617" customFormat="false" ht="15" hidden="false" customHeight="false" outlineLevel="0" collapsed="false">
      <c r="N1617" s="0" t="str">
        <f aca="false">IF(H1617="","",IFERROR(LEFT(H1617,FIND(" ",H1617)-1),H1617))</f>
        <v/>
      </c>
      <c r="O1617" s="20" t="n">
        <f aca="false">IFERROR(DATE(VALUE(MID(N1617,FIND("/",N1617,FIND("/",N1617)+1)+1,4)),VALUE(MID(N1617,FIND("/",N1617)+1,FIND("/",N1617,FIND("/",N1617)+1)-FIND("/",N1617)-1)),VALUE(LEFT(N1617,FIND("/",N1617)-1))),0)</f>
        <v>0</v>
      </c>
    </row>
    <row r="1618" customFormat="false" ht="15" hidden="false" customHeight="false" outlineLevel="0" collapsed="false">
      <c r="N1618" s="0" t="str">
        <f aca="false">IF(H1618="","",IFERROR(LEFT(H1618,FIND(" ",H1618)-1),H1618))</f>
        <v/>
      </c>
      <c r="O1618" s="20" t="n">
        <f aca="false">IFERROR(DATE(VALUE(MID(N1618,FIND("/",N1618,FIND("/",N1618)+1)+1,4)),VALUE(MID(N1618,FIND("/",N1618)+1,FIND("/",N1618,FIND("/",N1618)+1)-FIND("/",N1618)-1)),VALUE(LEFT(N1618,FIND("/",N1618)-1))),0)</f>
        <v>0</v>
      </c>
    </row>
    <row r="1619" customFormat="false" ht="15" hidden="false" customHeight="false" outlineLevel="0" collapsed="false">
      <c r="N1619" s="0" t="str">
        <f aca="false">IF(H1619="","",IFERROR(LEFT(H1619,FIND(" ",H1619)-1),H1619))</f>
        <v/>
      </c>
      <c r="O1619" s="20" t="n">
        <f aca="false">IFERROR(DATE(VALUE(MID(N1619,FIND("/",N1619,FIND("/",N1619)+1)+1,4)),VALUE(MID(N1619,FIND("/",N1619)+1,FIND("/",N1619,FIND("/",N1619)+1)-FIND("/",N1619)-1)),VALUE(LEFT(N1619,FIND("/",N1619)-1))),0)</f>
        <v>0</v>
      </c>
    </row>
    <row r="1620" customFormat="false" ht="15" hidden="false" customHeight="false" outlineLevel="0" collapsed="false">
      <c r="N1620" s="0" t="str">
        <f aca="false">IF(H1620="","",IFERROR(LEFT(H1620,FIND(" ",H1620)-1),H1620))</f>
        <v/>
      </c>
      <c r="O1620" s="20" t="n">
        <f aca="false">IFERROR(DATE(VALUE(MID(N1620,FIND("/",N1620,FIND("/",N1620)+1)+1,4)),VALUE(MID(N1620,FIND("/",N1620)+1,FIND("/",N1620,FIND("/",N1620)+1)-FIND("/",N1620)-1)),VALUE(LEFT(N1620,FIND("/",N1620)-1))),0)</f>
        <v>0</v>
      </c>
    </row>
    <row r="1621" customFormat="false" ht="15" hidden="false" customHeight="false" outlineLevel="0" collapsed="false">
      <c r="N1621" s="0" t="str">
        <f aca="false">IF(H1621="","",IFERROR(LEFT(H1621,FIND(" ",H1621)-1),H1621))</f>
        <v/>
      </c>
      <c r="O1621" s="20" t="n">
        <f aca="false">IFERROR(DATE(VALUE(MID(N1621,FIND("/",N1621,FIND("/",N1621)+1)+1,4)),VALUE(MID(N1621,FIND("/",N1621)+1,FIND("/",N1621,FIND("/",N1621)+1)-FIND("/",N1621)-1)),VALUE(LEFT(N1621,FIND("/",N1621)-1))),0)</f>
        <v>0</v>
      </c>
    </row>
    <row r="1622" customFormat="false" ht="15" hidden="false" customHeight="false" outlineLevel="0" collapsed="false">
      <c r="N1622" s="0" t="str">
        <f aca="false">IF(H1622="","",IFERROR(LEFT(H1622,FIND(" ",H1622)-1),H1622))</f>
        <v/>
      </c>
      <c r="O1622" s="20" t="n">
        <f aca="false">IFERROR(DATE(VALUE(MID(N1622,FIND("/",N1622,FIND("/",N1622)+1)+1,4)),VALUE(MID(N1622,FIND("/",N1622)+1,FIND("/",N1622,FIND("/",N1622)+1)-FIND("/",N1622)-1)),VALUE(LEFT(N1622,FIND("/",N1622)-1))),0)</f>
        <v>0</v>
      </c>
    </row>
    <row r="1623" customFormat="false" ht="15" hidden="false" customHeight="false" outlineLevel="0" collapsed="false">
      <c r="N1623" s="0" t="str">
        <f aca="false">IF(H1623="","",IFERROR(LEFT(H1623,FIND(" ",H1623)-1),H1623))</f>
        <v/>
      </c>
      <c r="O1623" s="20" t="n">
        <f aca="false">IFERROR(DATE(VALUE(MID(N1623,FIND("/",N1623,FIND("/",N1623)+1)+1,4)),VALUE(MID(N1623,FIND("/",N1623)+1,FIND("/",N1623,FIND("/",N1623)+1)-FIND("/",N1623)-1)),VALUE(LEFT(N1623,FIND("/",N1623)-1))),0)</f>
        <v>0</v>
      </c>
    </row>
    <row r="1624" customFormat="false" ht="15" hidden="false" customHeight="false" outlineLevel="0" collapsed="false">
      <c r="N1624" s="0" t="str">
        <f aca="false">IF(H1624="","",IFERROR(LEFT(H1624,FIND(" ",H1624)-1),H1624))</f>
        <v/>
      </c>
      <c r="O1624" s="20" t="n">
        <f aca="false">IFERROR(DATE(VALUE(MID(N1624,FIND("/",N1624,FIND("/",N1624)+1)+1,4)),VALUE(MID(N1624,FIND("/",N1624)+1,FIND("/",N1624,FIND("/",N1624)+1)-FIND("/",N1624)-1)),VALUE(LEFT(N1624,FIND("/",N1624)-1))),0)</f>
        <v>0</v>
      </c>
    </row>
    <row r="1625" customFormat="false" ht="15" hidden="false" customHeight="false" outlineLevel="0" collapsed="false">
      <c r="N1625" s="0" t="str">
        <f aca="false">IF(H1625="","",IFERROR(LEFT(H1625,FIND(" ",H1625)-1),H1625))</f>
        <v/>
      </c>
      <c r="O1625" s="20" t="n">
        <f aca="false">IFERROR(DATE(VALUE(MID(N1625,FIND("/",N1625,FIND("/",N1625)+1)+1,4)),VALUE(MID(N1625,FIND("/",N1625)+1,FIND("/",N1625,FIND("/",N1625)+1)-FIND("/",N1625)-1)),VALUE(LEFT(N1625,FIND("/",N1625)-1))),0)</f>
        <v>0</v>
      </c>
    </row>
    <row r="1626" customFormat="false" ht="15" hidden="false" customHeight="false" outlineLevel="0" collapsed="false">
      <c r="N1626" s="0" t="str">
        <f aca="false">IF(H1626="","",IFERROR(LEFT(H1626,FIND(" ",H1626)-1),H1626))</f>
        <v/>
      </c>
      <c r="O1626" s="20" t="n">
        <f aca="false">IFERROR(DATE(VALUE(MID(N1626,FIND("/",N1626,FIND("/",N1626)+1)+1,4)),VALUE(MID(N1626,FIND("/",N1626)+1,FIND("/",N1626,FIND("/",N1626)+1)-FIND("/",N1626)-1)),VALUE(LEFT(N1626,FIND("/",N1626)-1))),0)</f>
        <v>0</v>
      </c>
    </row>
    <row r="1627" customFormat="false" ht="15" hidden="false" customHeight="false" outlineLevel="0" collapsed="false">
      <c r="N1627" s="0" t="str">
        <f aca="false">IF(H1627="","",IFERROR(LEFT(H1627,FIND(" ",H1627)-1),H1627))</f>
        <v/>
      </c>
      <c r="O1627" s="20" t="n">
        <f aca="false">IFERROR(DATE(VALUE(MID(N1627,FIND("/",N1627,FIND("/",N1627)+1)+1,4)),VALUE(MID(N1627,FIND("/",N1627)+1,FIND("/",N1627,FIND("/",N1627)+1)-FIND("/",N1627)-1)),VALUE(LEFT(N1627,FIND("/",N1627)-1))),0)</f>
        <v>0</v>
      </c>
    </row>
    <row r="1628" customFormat="false" ht="15" hidden="false" customHeight="false" outlineLevel="0" collapsed="false">
      <c r="N1628" s="0" t="str">
        <f aca="false">IF(H1628="","",IFERROR(LEFT(H1628,FIND(" ",H1628)-1),H1628))</f>
        <v/>
      </c>
      <c r="O1628" s="20" t="n">
        <f aca="false">IFERROR(DATE(VALUE(MID(N1628,FIND("/",N1628,FIND("/",N1628)+1)+1,4)),VALUE(MID(N1628,FIND("/",N1628)+1,FIND("/",N1628,FIND("/",N1628)+1)-FIND("/",N1628)-1)),VALUE(LEFT(N1628,FIND("/",N1628)-1))),0)</f>
        <v>0</v>
      </c>
    </row>
    <row r="1629" customFormat="false" ht="15" hidden="false" customHeight="false" outlineLevel="0" collapsed="false">
      <c r="N1629" s="0" t="str">
        <f aca="false">IF(H1629="","",IFERROR(LEFT(H1629,FIND(" ",H1629)-1),H1629))</f>
        <v/>
      </c>
      <c r="O1629" s="20" t="n">
        <f aca="false">IFERROR(DATE(VALUE(MID(N1629,FIND("/",N1629,FIND("/",N1629)+1)+1,4)),VALUE(MID(N1629,FIND("/",N1629)+1,FIND("/",N1629,FIND("/",N1629)+1)-FIND("/",N1629)-1)),VALUE(LEFT(N1629,FIND("/",N1629)-1))),0)</f>
        <v>0</v>
      </c>
    </row>
    <row r="1630" customFormat="false" ht="15" hidden="false" customHeight="false" outlineLevel="0" collapsed="false">
      <c r="N1630" s="0" t="str">
        <f aca="false">IF(H1630="","",IFERROR(LEFT(H1630,FIND(" ",H1630)-1),H1630))</f>
        <v/>
      </c>
      <c r="O1630" s="20" t="n">
        <f aca="false">IFERROR(DATE(VALUE(MID(N1630,FIND("/",N1630,FIND("/",N1630)+1)+1,4)),VALUE(MID(N1630,FIND("/",N1630)+1,FIND("/",N1630,FIND("/",N1630)+1)-FIND("/",N1630)-1)),VALUE(LEFT(N1630,FIND("/",N1630)-1))),0)</f>
        <v>0</v>
      </c>
    </row>
    <row r="1631" customFormat="false" ht="15" hidden="false" customHeight="false" outlineLevel="0" collapsed="false">
      <c r="N1631" s="0" t="str">
        <f aca="false">IF(H1631="","",IFERROR(LEFT(H1631,FIND(" ",H1631)-1),H1631))</f>
        <v/>
      </c>
      <c r="O1631" s="20" t="n">
        <f aca="false">IFERROR(DATE(VALUE(MID(N1631,FIND("/",N1631,FIND("/",N1631)+1)+1,4)),VALUE(MID(N1631,FIND("/",N1631)+1,FIND("/",N1631,FIND("/",N1631)+1)-FIND("/",N1631)-1)),VALUE(LEFT(N1631,FIND("/",N1631)-1))),0)</f>
        <v>0</v>
      </c>
    </row>
    <row r="1632" customFormat="false" ht="15" hidden="false" customHeight="false" outlineLevel="0" collapsed="false">
      <c r="N1632" s="0" t="str">
        <f aca="false">IF(H1632="","",IFERROR(LEFT(H1632,FIND(" ",H1632)-1),H1632))</f>
        <v/>
      </c>
      <c r="O1632" s="20" t="n">
        <f aca="false">IFERROR(DATE(VALUE(MID(N1632,FIND("/",N1632,FIND("/",N1632)+1)+1,4)),VALUE(MID(N1632,FIND("/",N1632)+1,FIND("/",N1632,FIND("/",N1632)+1)-FIND("/",N1632)-1)),VALUE(LEFT(N1632,FIND("/",N1632)-1))),0)</f>
        <v>0</v>
      </c>
    </row>
    <row r="1633" customFormat="false" ht="15" hidden="false" customHeight="false" outlineLevel="0" collapsed="false">
      <c r="N1633" s="0" t="str">
        <f aca="false">IF(H1633="","",IFERROR(LEFT(H1633,FIND(" ",H1633)-1),H1633))</f>
        <v/>
      </c>
      <c r="O1633" s="20" t="n">
        <f aca="false">IFERROR(DATE(VALUE(MID(N1633,FIND("/",N1633,FIND("/",N1633)+1)+1,4)),VALUE(MID(N1633,FIND("/",N1633)+1,FIND("/",N1633,FIND("/",N1633)+1)-FIND("/",N1633)-1)),VALUE(LEFT(N1633,FIND("/",N1633)-1))),0)</f>
        <v>0</v>
      </c>
    </row>
    <row r="1634" customFormat="false" ht="15" hidden="false" customHeight="false" outlineLevel="0" collapsed="false">
      <c r="N1634" s="0" t="str">
        <f aca="false">IF(H1634="","",IFERROR(LEFT(H1634,FIND(" ",H1634)-1),H1634))</f>
        <v/>
      </c>
      <c r="O1634" s="20" t="n">
        <f aca="false">IFERROR(DATE(VALUE(MID(N1634,FIND("/",N1634,FIND("/",N1634)+1)+1,4)),VALUE(MID(N1634,FIND("/",N1634)+1,FIND("/",N1634,FIND("/",N1634)+1)-FIND("/",N1634)-1)),VALUE(LEFT(N1634,FIND("/",N1634)-1))),0)</f>
        <v>0</v>
      </c>
    </row>
    <row r="1635" customFormat="false" ht="15" hidden="false" customHeight="false" outlineLevel="0" collapsed="false">
      <c r="N1635" s="0" t="str">
        <f aca="false">IF(H1635="","",IFERROR(LEFT(H1635,FIND(" ",H1635)-1),H1635))</f>
        <v/>
      </c>
      <c r="O1635" s="20" t="n">
        <f aca="false">IFERROR(DATE(VALUE(MID(N1635,FIND("/",N1635,FIND("/",N1635)+1)+1,4)),VALUE(MID(N1635,FIND("/",N1635)+1,FIND("/",N1635,FIND("/",N1635)+1)-FIND("/",N1635)-1)),VALUE(LEFT(N1635,FIND("/",N1635)-1))),0)</f>
        <v>0</v>
      </c>
    </row>
    <row r="1636" customFormat="false" ht="15" hidden="false" customHeight="false" outlineLevel="0" collapsed="false">
      <c r="N1636" s="0" t="str">
        <f aca="false">IF(H1636="","",IFERROR(LEFT(H1636,FIND(" ",H1636)-1),H1636))</f>
        <v/>
      </c>
      <c r="O1636" s="20" t="n">
        <f aca="false">IFERROR(DATE(VALUE(MID(N1636,FIND("/",N1636,FIND("/",N1636)+1)+1,4)),VALUE(MID(N1636,FIND("/",N1636)+1,FIND("/",N1636,FIND("/",N1636)+1)-FIND("/",N1636)-1)),VALUE(LEFT(N1636,FIND("/",N1636)-1))),0)</f>
        <v>0</v>
      </c>
    </row>
    <row r="1637" customFormat="false" ht="15" hidden="false" customHeight="false" outlineLevel="0" collapsed="false">
      <c r="N1637" s="0" t="str">
        <f aca="false">IF(H1637="","",IFERROR(LEFT(H1637,FIND(" ",H1637)-1),H1637))</f>
        <v/>
      </c>
      <c r="O1637" s="20" t="n">
        <f aca="false">IFERROR(DATE(VALUE(MID(N1637,FIND("/",N1637,FIND("/",N1637)+1)+1,4)),VALUE(MID(N1637,FIND("/",N1637)+1,FIND("/",N1637,FIND("/",N1637)+1)-FIND("/",N1637)-1)),VALUE(LEFT(N1637,FIND("/",N1637)-1))),0)</f>
        <v>0</v>
      </c>
    </row>
    <row r="1638" customFormat="false" ht="15" hidden="false" customHeight="false" outlineLevel="0" collapsed="false">
      <c r="N1638" s="0" t="str">
        <f aca="false">IF(H1638="","",IFERROR(LEFT(H1638,FIND(" ",H1638)-1),H1638))</f>
        <v/>
      </c>
      <c r="O1638" s="20" t="n">
        <f aca="false">IFERROR(DATE(VALUE(MID(N1638,FIND("/",N1638,FIND("/",N1638)+1)+1,4)),VALUE(MID(N1638,FIND("/",N1638)+1,FIND("/",N1638,FIND("/",N1638)+1)-FIND("/",N1638)-1)),VALUE(LEFT(N1638,FIND("/",N1638)-1))),0)</f>
        <v>0</v>
      </c>
    </row>
    <row r="1639" customFormat="false" ht="15" hidden="false" customHeight="false" outlineLevel="0" collapsed="false">
      <c r="N1639" s="0" t="str">
        <f aca="false">IF(H1639="","",IFERROR(LEFT(H1639,FIND(" ",H1639)-1),H1639))</f>
        <v/>
      </c>
      <c r="O1639" s="20" t="n">
        <f aca="false">IFERROR(DATE(VALUE(MID(N1639,FIND("/",N1639,FIND("/",N1639)+1)+1,4)),VALUE(MID(N1639,FIND("/",N1639)+1,FIND("/",N1639,FIND("/",N1639)+1)-FIND("/",N1639)-1)),VALUE(LEFT(N1639,FIND("/",N1639)-1))),0)</f>
        <v>0</v>
      </c>
    </row>
    <row r="1640" customFormat="false" ht="15" hidden="false" customHeight="false" outlineLevel="0" collapsed="false">
      <c r="N1640" s="0" t="str">
        <f aca="false">IF(H1640="","",IFERROR(LEFT(H1640,FIND(" ",H1640)-1),H1640))</f>
        <v/>
      </c>
      <c r="O1640" s="20" t="n">
        <f aca="false">IFERROR(DATE(VALUE(MID(N1640,FIND("/",N1640,FIND("/",N1640)+1)+1,4)),VALUE(MID(N1640,FIND("/",N1640)+1,FIND("/",N1640,FIND("/",N1640)+1)-FIND("/",N1640)-1)),VALUE(LEFT(N1640,FIND("/",N1640)-1))),0)</f>
        <v>0</v>
      </c>
    </row>
    <row r="1641" customFormat="false" ht="15" hidden="false" customHeight="false" outlineLevel="0" collapsed="false">
      <c r="N1641" s="0" t="str">
        <f aca="false">IF(H1641="","",IFERROR(LEFT(H1641,FIND(" ",H1641)-1),H1641))</f>
        <v/>
      </c>
      <c r="O1641" s="20" t="n">
        <f aca="false">IFERROR(DATE(VALUE(MID(N1641,FIND("/",N1641,FIND("/",N1641)+1)+1,4)),VALUE(MID(N1641,FIND("/",N1641)+1,FIND("/",N1641,FIND("/",N1641)+1)-FIND("/",N1641)-1)),VALUE(LEFT(N1641,FIND("/",N1641)-1))),0)</f>
        <v>0</v>
      </c>
    </row>
    <row r="1642" customFormat="false" ht="15" hidden="false" customHeight="false" outlineLevel="0" collapsed="false">
      <c r="N1642" s="0" t="str">
        <f aca="false">IF(H1642="","",IFERROR(LEFT(H1642,FIND(" ",H1642)-1),H1642))</f>
        <v/>
      </c>
      <c r="O1642" s="20" t="n">
        <f aca="false">IFERROR(DATE(VALUE(MID(N1642,FIND("/",N1642,FIND("/",N1642)+1)+1,4)),VALUE(MID(N1642,FIND("/",N1642)+1,FIND("/",N1642,FIND("/",N1642)+1)-FIND("/",N1642)-1)),VALUE(LEFT(N1642,FIND("/",N1642)-1))),0)</f>
        <v>0</v>
      </c>
    </row>
    <row r="1643" customFormat="false" ht="15" hidden="false" customHeight="false" outlineLevel="0" collapsed="false">
      <c r="N1643" s="0" t="str">
        <f aca="false">IF(H1643="","",IFERROR(LEFT(H1643,FIND(" ",H1643)-1),H1643))</f>
        <v/>
      </c>
      <c r="O1643" s="20" t="n">
        <f aca="false">IFERROR(DATE(VALUE(MID(N1643,FIND("/",N1643,FIND("/",N1643)+1)+1,4)),VALUE(MID(N1643,FIND("/",N1643)+1,FIND("/",N1643,FIND("/",N1643)+1)-FIND("/",N1643)-1)),VALUE(LEFT(N1643,FIND("/",N1643)-1))),0)</f>
        <v>0</v>
      </c>
    </row>
    <row r="1644" customFormat="false" ht="15" hidden="false" customHeight="false" outlineLevel="0" collapsed="false">
      <c r="N1644" s="0" t="str">
        <f aca="false">IF(H1644="","",IFERROR(LEFT(H1644,FIND(" ",H1644)-1),H1644))</f>
        <v/>
      </c>
      <c r="O1644" s="20" t="n">
        <f aca="false">IFERROR(DATE(VALUE(MID(N1644,FIND("/",N1644,FIND("/",N1644)+1)+1,4)),VALUE(MID(N1644,FIND("/",N1644)+1,FIND("/",N1644,FIND("/",N1644)+1)-FIND("/",N1644)-1)),VALUE(LEFT(N1644,FIND("/",N1644)-1))),0)</f>
        <v>0</v>
      </c>
    </row>
    <row r="1645" customFormat="false" ht="15" hidden="false" customHeight="false" outlineLevel="0" collapsed="false">
      <c r="N1645" s="0" t="str">
        <f aca="false">IF(H1645="","",IFERROR(LEFT(H1645,FIND(" ",H1645)-1),H1645))</f>
        <v/>
      </c>
      <c r="O1645" s="20" t="n">
        <f aca="false">IFERROR(DATE(VALUE(MID(N1645,FIND("/",N1645,FIND("/",N1645)+1)+1,4)),VALUE(MID(N1645,FIND("/",N1645)+1,FIND("/",N1645,FIND("/",N1645)+1)-FIND("/",N1645)-1)),VALUE(LEFT(N1645,FIND("/",N1645)-1))),0)</f>
        <v>0</v>
      </c>
    </row>
    <row r="1646" customFormat="false" ht="15" hidden="false" customHeight="false" outlineLevel="0" collapsed="false">
      <c r="N1646" s="0" t="str">
        <f aca="false">IF(H1646="","",IFERROR(LEFT(H1646,FIND(" ",H1646)-1),H1646))</f>
        <v/>
      </c>
      <c r="O1646" s="20" t="n">
        <f aca="false">IFERROR(DATE(VALUE(MID(N1646,FIND("/",N1646,FIND("/",N1646)+1)+1,4)),VALUE(MID(N1646,FIND("/",N1646)+1,FIND("/",N1646,FIND("/",N1646)+1)-FIND("/",N1646)-1)),VALUE(LEFT(N1646,FIND("/",N1646)-1))),0)</f>
        <v>0</v>
      </c>
    </row>
    <row r="1647" customFormat="false" ht="15" hidden="false" customHeight="false" outlineLevel="0" collapsed="false">
      <c r="N1647" s="0" t="str">
        <f aca="false">IF(H1647="","",IFERROR(LEFT(H1647,FIND(" ",H1647)-1),H1647))</f>
        <v/>
      </c>
      <c r="O1647" s="20" t="n">
        <f aca="false">IFERROR(DATE(VALUE(MID(N1647,FIND("/",N1647,FIND("/",N1647)+1)+1,4)),VALUE(MID(N1647,FIND("/",N1647)+1,FIND("/",N1647,FIND("/",N1647)+1)-FIND("/",N1647)-1)),VALUE(LEFT(N1647,FIND("/",N1647)-1))),0)</f>
        <v>0</v>
      </c>
    </row>
    <row r="1648" customFormat="false" ht="15" hidden="false" customHeight="false" outlineLevel="0" collapsed="false">
      <c r="N1648" s="0" t="str">
        <f aca="false">IF(H1648="","",IFERROR(LEFT(H1648,FIND(" ",H1648)-1),H1648))</f>
        <v/>
      </c>
      <c r="O1648" s="20" t="n">
        <f aca="false">IFERROR(DATE(VALUE(MID(N1648,FIND("/",N1648,FIND("/",N1648)+1)+1,4)),VALUE(MID(N1648,FIND("/",N1648)+1,FIND("/",N1648,FIND("/",N1648)+1)-FIND("/",N1648)-1)),VALUE(LEFT(N1648,FIND("/",N1648)-1))),0)</f>
        <v>0</v>
      </c>
    </row>
    <row r="1649" customFormat="false" ht="15" hidden="false" customHeight="false" outlineLevel="0" collapsed="false">
      <c r="N1649" s="0" t="str">
        <f aca="false">IF(H1649="","",IFERROR(LEFT(H1649,FIND(" ",H1649)-1),H1649))</f>
        <v/>
      </c>
      <c r="O1649" s="20" t="n">
        <f aca="false">IFERROR(DATE(VALUE(MID(N1649,FIND("/",N1649,FIND("/",N1649)+1)+1,4)),VALUE(MID(N1649,FIND("/",N1649)+1,FIND("/",N1649,FIND("/",N1649)+1)-FIND("/",N1649)-1)),VALUE(LEFT(N1649,FIND("/",N1649)-1))),0)</f>
        <v>0</v>
      </c>
    </row>
    <row r="1650" customFormat="false" ht="15" hidden="false" customHeight="false" outlineLevel="0" collapsed="false">
      <c r="N1650" s="0" t="str">
        <f aca="false">IF(H1650="","",IFERROR(LEFT(H1650,FIND(" ",H1650)-1),H1650))</f>
        <v/>
      </c>
      <c r="O1650" s="20" t="n">
        <f aca="false">IFERROR(DATE(VALUE(MID(N1650,FIND("/",N1650,FIND("/",N1650)+1)+1,4)),VALUE(MID(N1650,FIND("/",N1650)+1,FIND("/",N1650,FIND("/",N1650)+1)-FIND("/",N1650)-1)),VALUE(LEFT(N1650,FIND("/",N1650)-1))),0)</f>
        <v>0</v>
      </c>
    </row>
    <row r="1651" customFormat="false" ht="15" hidden="false" customHeight="false" outlineLevel="0" collapsed="false">
      <c r="N1651" s="0" t="str">
        <f aca="false">IF(H1651="","",IFERROR(LEFT(H1651,FIND(" ",H1651)-1),H1651))</f>
        <v/>
      </c>
      <c r="O1651" s="20" t="n">
        <f aca="false">IFERROR(DATE(VALUE(MID(N1651,FIND("/",N1651,FIND("/",N1651)+1)+1,4)),VALUE(MID(N1651,FIND("/",N1651)+1,FIND("/",N1651,FIND("/",N1651)+1)-FIND("/",N1651)-1)),VALUE(LEFT(N1651,FIND("/",N1651)-1))),0)</f>
        <v>0</v>
      </c>
    </row>
    <row r="1652" customFormat="false" ht="15" hidden="false" customHeight="false" outlineLevel="0" collapsed="false">
      <c r="N1652" s="0" t="str">
        <f aca="false">IF(H1652="","",IFERROR(LEFT(H1652,FIND(" ",H1652)-1),H1652))</f>
        <v/>
      </c>
      <c r="O1652" s="20" t="n">
        <f aca="false">IFERROR(DATE(VALUE(MID(N1652,FIND("/",N1652,FIND("/",N1652)+1)+1,4)),VALUE(MID(N1652,FIND("/",N1652)+1,FIND("/",N1652,FIND("/",N1652)+1)-FIND("/",N1652)-1)),VALUE(LEFT(N1652,FIND("/",N1652)-1))),0)</f>
        <v>0</v>
      </c>
    </row>
    <row r="1653" customFormat="false" ht="15" hidden="false" customHeight="false" outlineLevel="0" collapsed="false">
      <c r="N1653" s="0" t="str">
        <f aca="false">IF(H1653="","",IFERROR(LEFT(H1653,FIND(" ",H1653)-1),H1653))</f>
        <v/>
      </c>
      <c r="O1653" s="20" t="n">
        <f aca="false">IFERROR(DATE(VALUE(MID(N1653,FIND("/",N1653,FIND("/",N1653)+1)+1,4)),VALUE(MID(N1653,FIND("/",N1653)+1,FIND("/",N1653,FIND("/",N1653)+1)-FIND("/",N1653)-1)),VALUE(LEFT(N1653,FIND("/",N1653)-1))),0)</f>
        <v>0</v>
      </c>
    </row>
    <row r="1654" customFormat="false" ht="15" hidden="false" customHeight="false" outlineLevel="0" collapsed="false">
      <c r="N1654" s="0" t="str">
        <f aca="false">IF(H1654="","",IFERROR(LEFT(H1654,FIND(" ",H1654)-1),H1654))</f>
        <v/>
      </c>
      <c r="O1654" s="20" t="n">
        <f aca="false">IFERROR(DATE(VALUE(MID(N1654,FIND("/",N1654,FIND("/",N1654)+1)+1,4)),VALUE(MID(N1654,FIND("/",N1654)+1,FIND("/",N1654,FIND("/",N1654)+1)-FIND("/",N1654)-1)),VALUE(LEFT(N1654,FIND("/",N1654)-1))),0)</f>
        <v>0</v>
      </c>
    </row>
    <row r="1655" customFormat="false" ht="15" hidden="false" customHeight="false" outlineLevel="0" collapsed="false">
      <c r="N1655" s="0" t="str">
        <f aca="false">IF(H1655="","",IFERROR(LEFT(H1655,FIND(" ",H1655)-1),H1655))</f>
        <v/>
      </c>
      <c r="O1655" s="20" t="n">
        <f aca="false">IFERROR(DATE(VALUE(MID(N1655,FIND("/",N1655,FIND("/",N1655)+1)+1,4)),VALUE(MID(N1655,FIND("/",N1655)+1,FIND("/",N1655,FIND("/",N1655)+1)-FIND("/",N1655)-1)),VALUE(LEFT(N1655,FIND("/",N1655)-1))),0)</f>
        <v>0</v>
      </c>
    </row>
    <row r="1656" customFormat="false" ht="15" hidden="false" customHeight="false" outlineLevel="0" collapsed="false">
      <c r="N1656" s="0" t="str">
        <f aca="false">IF(H1656="","",IFERROR(LEFT(H1656,FIND(" ",H1656)-1),H1656))</f>
        <v/>
      </c>
      <c r="O1656" s="20" t="n">
        <f aca="false">IFERROR(DATE(VALUE(MID(N1656,FIND("/",N1656,FIND("/",N1656)+1)+1,4)),VALUE(MID(N1656,FIND("/",N1656)+1,FIND("/",N1656,FIND("/",N1656)+1)-FIND("/",N1656)-1)),VALUE(LEFT(N1656,FIND("/",N1656)-1))),0)</f>
        <v>0</v>
      </c>
    </row>
    <row r="1657" customFormat="false" ht="15" hidden="false" customHeight="false" outlineLevel="0" collapsed="false">
      <c r="N1657" s="0" t="str">
        <f aca="false">IF(H1657="","",IFERROR(LEFT(H1657,FIND(" ",H1657)-1),H1657))</f>
        <v/>
      </c>
      <c r="O1657" s="20" t="n">
        <f aca="false">IFERROR(DATE(VALUE(MID(N1657,FIND("/",N1657,FIND("/",N1657)+1)+1,4)),VALUE(MID(N1657,FIND("/",N1657)+1,FIND("/",N1657,FIND("/",N1657)+1)-FIND("/",N1657)-1)),VALUE(LEFT(N1657,FIND("/",N1657)-1))),0)</f>
        <v>0</v>
      </c>
    </row>
    <row r="1658" customFormat="false" ht="15" hidden="false" customHeight="false" outlineLevel="0" collapsed="false">
      <c r="N1658" s="0" t="str">
        <f aca="false">IF(H1658="","",IFERROR(LEFT(H1658,FIND(" ",H1658)-1),H1658))</f>
        <v/>
      </c>
      <c r="O1658" s="20" t="n">
        <f aca="false">IFERROR(DATE(VALUE(MID(N1658,FIND("/",N1658,FIND("/",N1658)+1)+1,4)),VALUE(MID(N1658,FIND("/",N1658)+1,FIND("/",N1658,FIND("/",N1658)+1)-FIND("/",N1658)-1)),VALUE(LEFT(N1658,FIND("/",N1658)-1))),0)</f>
        <v>0</v>
      </c>
    </row>
    <row r="1659" customFormat="false" ht="15" hidden="false" customHeight="false" outlineLevel="0" collapsed="false">
      <c r="N1659" s="0" t="str">
        <f aca="false">IF(H1659="","",IFERROR(LEFT(H1659,FIND(" ",H1659)-1),H1659))</f>
        <v/>
      </c>
      <c r="O1659" s="20" t="n">
        <f aca="false">IFERROR(DATE(VALUE(MID(N1659,FIND("/",N1659,FIND("/",N1659)+1)+1,4)),VALUE(MID(N1659,FIND("/",N1659)+1,FIND("/",N1659,FIND("/",N1659)+1)-FIND("/",N1659)-1)),VALUE(LEFT(N1659,FIND("/",N1659)-1))),0)</f>
        <v>0</v>
      </c>
    </row>
    <row r="1660" customFormat="false" ht="15" hidden="false" customHeight="false" outlineLevel="0" collapsed="false">
      <c r="N1660" s="0" t="str">
        <f aca="false">IF(H1660="","",IFERROR(LEFT(H1660,FIND(" ",H1660)-1),H1660))</f>
        <v/>
      </c>
      <c r="O1660" s="20" t="n">
        <f aca="false">IFERROR(DATE(VALUE(MID(N1660,FIND("/",N1660,FIND("/",N1660)+1)+1,4)),VALUE(MID(N1660,FIND("/",N1660)+1,FIND("/",N1660,FIND("/",N1660)+1)-FIND("/",N1660)-1)),VALUE(LEFT(N1660,FIND("/",N1660)-1))),0)</f>
        <v>0</v>
      </c>
    </row>
    <row r="1661" customFormat="false" ht="15" hidden="false" customHeight="false" outlineLevel="0" collapsed="false">
      <c r="N1661" s="0" t="str">
        <f aca="false">IF(H1661="","",IFERROR(LEFT(H1661,FIND(" ",H1661)-1),H1661))</f>
        <v/>
      </c>
      <c r="O1661" s="20" t="n">
        <f aca="false">IFERROR(DATE(VALUE(MID(N1661,FIND("/",N1661,FIND("/",N1661)+1)+1,4)),VALUE(MID(N1661,FIND("/",N1661)+1,FIND("/",N1661,FIND("/",N1661)+1)-FIND("/",N1661)-1)),VALUE(LEFT(N1661,FIND("/",N1661)-1))),0)</f>
        <v>0</v>
      </c>
    </row>
    <row r="1662" customFormat="false" ht="15" hidden="false" customHeight="false" outlineLevel="0" collapsed="false">
      <c r="N1662" s="0" t="str">
        <f aca="false">IF(H1662="","",IFERROR(LEFT(H1662,FIND(" ",H1662)-1),H1662))</f>
        <v/>
      </c>
      <c r="O1662" s="20" t="n">
        <f aca="false">IFERROR(DATE(VALUE(MID(N1662,FIND("/",N1662,FIND("/",N1662)+1)+1,4)),VALUE(MID(N1662,FIND("/",N1662)+1,FIND("/",N1662,FIND("/",N1662)+1)-FIND("/",N1662)-1)),VALUE(LEFT(N1662,FIND("/",N1662)-1))),0)</f>
        <v>0</v>
      </c>
    </row>
    <row r="1663" customFormat="false" ht="15" hidden="false" customHeight="false" outlineLevel="0" collapsed="false">
      <c r="N1663" s="0" t="str">
        <f aca="false">IF(H1663="","",IFERROR(LEFT(H1663,FIND(" ",H1663)-1),H1663))</f>
        <v/>
      </c>
      <c r="O1663" s="20" t="n">
        <f aca="false">IFERROR(DATE(VALUE(MID(N1663,FIND("/",N1663,FIND("/",N1663)+1)+1,4)),VALUE(MID(N1663,FIND("/",N1663)+1,FIND("/",N1663,FIND("/",N1663)+1)-FIND("/",N1663)-1)),VALUE(LEFT(N1663,FIND("/",N1663)-1))),0)</f>
        <v>0</v>
      </c>
    </row>
    <row r="1664" customFormat="false" ht="15" hidden="false" customHeight="false" outlineLevel="0" collapsed="false">
      <c r="N1664" s="0" t="str">
        <f aca="false">IF(H1664="","",IFERROR(LEFT(H1664,FIND(" ",H1664)-1),H1664))</f>
        <v/>
      </c>
      <c r="O1664" s="20" t="n">
        <f aca="false">IFERROR(DATE(VALUE(MID(N1664,FIND("/",N1664,FIND("/",N1664)+1)+1,4)),VALUE(MID(N1664,FIND("/",N1664)+1,FIND("/",N1664,FIND("/",N1664)+1)-FIND("/",N1664)-1)),VALUE(LEFT(N1664,FIND("/",N1664)-1))),0)</f>
        <v>0</v>
      </c>
    </row>
    <row r="1665" customFormat="false" ht="15" hidden="false" customHeight="false" outlineLevel="0" collapsed="false">
      <c r="N1665" s="0" t="str">
        <f aca="false">IF(H1665="","",IFERROR(LEFT(H1665,FIND(" ",H1665)-1),H1665))</f>
        <v/>
      </c>
      <c r="O1665" s="20" t="n">
        <f aca="false">IFERROR(DATE(VALUE(MID(N1665,FIND("/",N1665,FIND("/",N1665)+1)+1,4)),VALUE(MID(N1665,FIND("/",N1665)+1,FIND("/",N1665,FIND("/",N1665)+1)-FIND("/",N1665)-1)),VALUE(LEFT(N1665,FIND("/",N1665)-1))),0)</f>
        <v>0</v>
      </c>
    </row>
    <row r="1666" customFormat="false" ht="15" hidden="false" customHeight="false" outlineLevel="0" collapsed="false">
      <c r="N1666" s="0" t="str">
        <f aca="false">IF(H1666="","",IFERROR(LEFT(H1666,FIND(" ",H1666)-1),H1666))</f>
        <v/>
      </c>
      <c r="O1666" s="20" t="n">
        <f aca="false">IFERROR(DATE(VALUE(MID(N1666,FIND("/",N1666,FIND("/",N1666)+1)+1,4)),VALUE(MID(N1666,FIND("/",N1666)+1,FIND("/",N1666,FIND("/",N1666)+1)-FIND("/",N1666)-1)),VALUE(LEFT(N1666,FIND("/",N1666)-1))),0)</f>
        <v>0</v>
      </c>
    </row>
    <row r="1667" customFormat="false" ht="15" hidden="false" customHeight="false" outlineLevel="0" collapsed="false">
      <c r="N1667" s="0" t="str">
        <f aca="false">IF(H1667="","",IFERROR(LEFT(H1667,FIND(" ",H1667)-1),H1667))</f>
        <v/>
      </c>
      <c r="O1667" s="20" t="n">
        <f aca="false">IFERROR(DATE(VALUE(MID(N1667,FIND("/",N1667,FIND("/",N1667)+1)+1,4)),VALUE(MID(N1667,FIND("/",N1667)+1,FIND("/",N1667,FIND("/",N1667)+1)-FIND("/",N1667)-1)),VALUE(LEFT(N1667,FIND("/",N1667)-1))),0)</f>
        <v>0</v>
      </c>
    </row>
    <row r="1668" customFormat="false" ht="15" hidden="false" customHeight="false" outlineLevel="0" collapsed="false">
      <c r="N1668" s="0" t="str">
        <f aca="false">IF(H1668="","",IFERROR(LEFT(H1668,FIND(" ",H1668)-1),H1668))</f>
        <v/>
      </c>
      <c r="O1668" s="20" t="n">
        <f aca="false">IFERROR(DATE(VALUE(MID(N1668,FIND("/",N1668,FIND("/",N1668)+1)+1,4)),VALUE(MID(N1668,FIND("/",N1668)+1,FIND("/",N1668,FIND("/",N1668)+1)-FIND("/",N1668)-1)),VALUE(LEFT(N1668,FIND("/",N1668)-1))),0)</f>
        <v>0</v>
      </c>
    </row>
    <row r="1669" customFormat="false" ht="15" hidden="false" customHeight="false" outlineLevel="0" collapsed="false">
      <c r="N1669" s="0" t="str">
        <f aca="false">IF(H1669="","",IFERROR(LEFT(H1669,FIND(" ",H1669)-1),H1669))</f>
        <v/>
      </c>
      <c r="O1669" s="20" t="n">
        <f aca="false">IFERROR(DATE(VALUE(MID(N1669,FIND("/",N1669,FIND("/",N1669)+1)+1,4)),VALUE(MID(N1669,FIND("/",N1669)+1,FIND("/",N1669,FIND("/",N1669)+1)-FIND("/",N1669)-1)),VALUE(LEFT(N1669,FIND("/",N1669)-1))),0)</f>
        <v>0</v>
      </c>
    </row>
    <row r="1670" customFormat="false" ht="15" hidden="false" customHeight="false" outlineLevel="0" collapsed="false">
      <c r="N1670" s="0" t="str">
        <f aca="false">IF(H1670="","",IFERROR(LEFT(H1670,FIND(" ",H1670)-1),H1670))</f>
        <v/>
      </c>
      <c r="O1670" s="20" t="n">
        <f aca="false">IFERROR(DATE(VALUE(MID(N1670,FIND("/",N1670,FIND("/",N1670)+1)+1,4)),VALUE(MID(N1670,FIND("/",N1670)+1,FIND("/",N1670,FIND("/",N1670)+1)-FIND("/",N1670)-1)),VALUE(LEFT(N1670,FIND("/",N1670)-1))),0)</f>
        <v>0</v>
      </c>
    </row>
    <row r="1671" customFormat="false" ht="15" hidden="false" customHeight="false" outlineLevel="0" collapsed="false">
      <c r="N1671" s="0" t="str">
        <f aca="false">IF(H1671="","",IFERROR(LEFT(H1671,FIND(" ",H1671)-1),H1671))</f>
        <v/>
      </c>
      <c r="O1671" s="20" t="n">
        <f aca="false">IFERROR(DATE(VALUE(MID(N1671,FIND("/",N1671,FIND("/",N1671)+1)+1,4)),VALUE(MID(N1671,FIND("/",N1671)+1,FIND("/",N1671,FIND("/",N1671)+1)-FIND("/",N1671)-1)),VALUE(LEFT(N1671,FIND("/",N1671)-1))),0)</f>
        <v>0</v>
      </c>
    </row>
    <row r="1672" customFormat="false" ht="15" hidden="false" customHeight="false" outlineLevel="0" collapsed="false">
      <c r="N1672" s="0" t="str">
        <f aca="false">IF(H1672="","",IFERROR(LEFT(H1672,FIND(" ",H1672)-1),H1672))</f>
        <v/>
      </c>
      <c r="O1672" s="20" t="n">
        <f aca="false">IFERROR(DATE(VALUE(MID(N1672,FIND("/",N1672,FIND("/",N1672)+1)+1,4)),VALUE(MID(N1672,FIND("/",N1672)+1,FIND("/",N1672,FIND("/",N1672)+1)-FIND("/",N1672)-1)),VALUE(LEFT(N1672,FIND("/",N1672)-1))),0)</f>
        <v>0</v>
      </c>
    </row>
    <row r="1673" customFormat="false" ht="15" hidden="false" customHeight="false" outlineLevel="0" collapsed="false">
      <c r="N1673" s="0" t="str">
        <f aca="false">IF(H1673="","",IFERROR(LEFT(H1673,FIND(" ",H1673)-1),H1673))</f>
        <v/>
      </c>
      <c r="O1673" s="20" t="n">
        <f aca="false">IFERROR(DATE(VALUE(MID(N1673,FIND("/",N1673,FIND("/",N1673)+1)+1,4)),VALUE(MID(N1673,FIND("/",N1673)+1,FIND("/",N1673,FIND("/",N1673)+1)-FIND("/",N1673)-1)),VALUE(LEFT(N1673,FIND("/",N1673)-1))),0)</f>
        <v>0</v>
      </c>
    </row>
    <row r="1674" customFormat="false" ht="15" hidden="false" customHeight="false" outlineLevel="0" collapsed="false">
      <c r="N1674" s="0" t="str">
        <f aca="false">IF(H1674="","",IFERROR(LEFT(H1674,FIND(" ",H1674)-1),H1674))</f>
        <v/>
      </c>
      <c r="O1674" s="20" t="n">
        <f aca="false">IFERROR(DATE(VALUE(MID(N1674,FIND("/",N1674,FIND("/",N1674)+1)+1,4)),VALUE(MID(N1674,FIND("/",N1674)+1,FIND("/",N1674,FIND("/",N1674)+1)-FIND("/",N1674)-1)),VALUE(LEFT(N1674,FIND("/",N1674)-1))),0)</f>
        <v>0</v>
      </c>
    </row>
    <row r="1675" customFormat="false" ht="15" hidden="false" customHeight="false" outlineLevel="0" collapsed="false">
      <c r="N1675" s="0" t="str">
        <f aca="false">IF(H1675="","",IFERROR(LEFT(H1675,FIND(" ",H1675)-1),H1675))</f>
        <v/>
      </c>
      <c r="O1675" s="20" t="n">
        <f aca="false">IFERROR(DATE(VALUE(MID(N1675,FIND("/",N1675,FIND("/",N1675)+1)+1,4)),VALUE(MID(N1675,FIND("/",N1675)+1,FIND("/",N1675,FIND("/",N1675)+1)-FIND("/",N1675)-1)),VALUE(LEFT(N1675,FIND("/",N1675)-1))),0)</f>
        <v>0</v>
      </c>
    </row>
    <row r="1676" customFormat="false" ht="15" hidden="false" customHeight="false" outlineLevel="0" collapsed="false">
      <c r="N1676" s="0" t="str">
        <f aca="false">IF(H1676="","",IFERROR(LEFT(H1676,FIND(" ",H1676)-1),H1676))</f>
        <v/>
      </c>
      <c r="O1676" s="20" t="n">
        <f aca="false">IFERROR(DATE(VALUE(MID(N1676,FIND("/",N1676,FIND("/",N1676)+1)+1,4)),VALUE(MID(N1676,FIND("/",N1676)+1,FIND("/",N1676,FIND("/",N1676)+1)-FIND("/",N1676)-1)),VALUE(LEFT(N1676,FIND("/",N1676)-1))),0)</f>
        <v>0</v>
      </c>
    </row>
    <row r="1677" customFormat="false" ht="15" hidden="false" customHeight="false" outlineLevel="0" collapsed="false">
      <c r="N1677" s="0" t="str">
        <f aca="false">IF(H1677="","",IFERROR(LEFT(H1677,FIND(" ",H1677)-1),H1677))</f>
        <v/>
      </c>
      <c r="O1677" s="20" t="n">
        <f aca="false">IFERROR(DATE(VALUE(MID(N1677,FIND("/",N1677,FIND("/",N1677)+1)+1,4)),VALUE(MID(N1677,FIND("/",N1677)+1,FIND("/",N1677,FIND("/",N1677)+1)-FIND("/",N1677)-1)),VALUE(LEFT(N1677,FIND("/",N1677)-1))),0)</f>
        <v>0</v>
      </c>
    </row>
    <row r="1678" customFormat="false" ht="15" hidden="false" customHeight="false" outlineLevel="0" collapsed="false">
      <c r="N1678" s="0" t="str">
        <f aca="false">IF(H1678="","",IFERROR(LEFT(H1678,FIND(" ",H1678)-1),H1678))</f>
        <v/>
      </c>
      <c r="O1678" s="20" t="n">
        <f aca="false">IFERROR(DATE(VALUE(MID(N1678,FIND("/",N1678,FIND("/",N1678)+1)+1,4)),VALUE(MID(N1678,FIND("/",N1678)+1,FIND("/",N1678,FIND("/",N1678)+1)-FIND("/",N1678)-1)),VALUE(LEFT(N1678,FIND("/",N1678)-1))),0)</f>
        <v>0</v>
      </c>
    </row>
    <row r="1679" customFormat="false" ht="15" hidden="false" customHeight="false" outlineLevel="0" collapsed="false">
      <c r="N1679" s="0" t="str">
        <f aca="false">IF(H1679="","",IFERROR(LEFT(H1679,FIND(" ",H1679)-1),H1679))</f>
        <v/>
      </c>
      <c r="O1679" s="20" t="n">
        <f aca="false">IFERROR(DATE(VALUE(MID(N1679,FIND("/",N1679,FIND("/",N1679)+1)+1,4)),VALUE(MID(N1679,FIND("/",N1679)+1,FIND("/",N1679,FIND("/",N1679)+1)-FIND("/",N1679)-1)),VALUE(LEFT(N1679,FIND("/",N1679)-1))),0)</f>
        <v>0</v>
      </c>
    </row>
    <row r="1680" customFormat="false" ht="15" hidden="false" customHeight="false" outlineLevel="0" collapsed="false">
      <c r="N1680" s="0" t="str">
        <f aca="false">IF(H1680="","",IFERROR(LEFT(H1680,FIND(" ",H1680)-1),H1680))</f>
        <v/>
      </c>
      <c r="O1680" s="20" t="n">
        <f aca="false">IFERROR(DATE(VALUE(MID(N1680,FIND("/",N1680,FIND("/",N1680)+1)+1,4)),VALUE(MID(N1680,FIND("/",N1680)+1,FIND("/",N1680,FIND("/",N1680)+1)-FIND("/",N1680)-1)),VALUE(LEFT(N1680,FIND("/",N1680)-1))),0)</f>
        <v>0</v>
      </c>
    </row>
    <row r="1681" customFormat="false" ht="15" hidden="false" customHeight="false" outlineLevel="0" collapsed="false">
      <c r="N1681" s="0" t="str">
        <f aca="false">IF(H1681="","",IFERROR(LEFT(H1681,FIND(" ",H1681)-1),H1681))</f>
        <v/>
      </c>
      <c r="O1681" s="20" t="n">
        <f aca="false">IFERROR(DATE(VALUE(MID(N1681,FIND("/",N1681,FIND("/",N1681)+1)+1,4)),VALUE(MID(N1681,FIND("/",N1681)+1,FIND("/",N1681,FIND("/",N1681)+1)-FIND("/",N1681)-1)),VALUE(LEFT(N1681,FIND("/",N1681)-1))),0)</f>
        <v>0</v>
      </c>
    </row>
    <row r="1682" customFormat="false" ht="15" hidden="false" customHeight="false" outlineLevel="0" collapsed="false">
      <c r="N1682" s="0" t="str">
        <f aca="false">IF(H1682="","",IFERROR(LEFT(H1682,FIND(" ",H1682)-1),H1682))</f>
        <v/>
      </c>
      <c r="O1682" s="20" t="n">
        <f aca="false">IFERROR(DATE(VALUE(MID(N1682,FIND("/",N1682,FIND("/",N1682)+1)+1,4)),VALUE(MID(N1682,FIND("/",N1682)+1,FIND("/",N1682,FIND("/",N1682)+1)-FIND("/",N1682)-1)),VALUE(LEFT(N1682,FIND("/",N1682)-1))),0)</f>
        <v>0</v>
      </c>
    </row>
    <row r="1683" customFormat="false" ht="15" hidden="false" customHeight="false" outlineLevel="0" collapsed="false">
      <c r="N1683" s="0" t="str">
        <f aca="false">IF(H1683="","",IFERROR(LEFT(H1683,FIND(" ",H1683)-1),H1683))</f>
        <v/>
      </c>
      <c r="O1683" s="20" t="n">
        <f aca="false">IFERROR(DATE(VALUE(MID(N1683,FIND("/",N1683,FIND("/",N1683)+1)+1,4)),VALUE(MID(N1683,FIND("/",N1683)+1,FIND("/",N1683,FIND("/",N1683)+1)-FIND("/",N1683)-1)),VALUE(LEFT(N1683,FIND("/",N1683)-1))),0)</f>
        <v>0</v>
      </c>
    </row>
    <row r="1684" customFormat="false" ht="15" hidden="false" customHeight="false" outlineLevel="0" collapsed="false">
      <c r="N1684" s="0" t="str">
        <f aca="false">IF(H1684="","",IFERROR(LEFT(H1684,FIND(" ",H1684)-1),H1684))</f>
        <v/>
      </c>
      <c r="O1684" s="20" t="n">
        <f aca="false">IFERROR(DATE(VALUE(MID(N1684,FIND("/",N1684,FIND("/",N1684)+1)+1,4)),VALUE(MID(N1684,FIND("/",N1684)+1,FIND("/",N1684,FIND("/",N1684)+1)-FIND("/",N1684)-1)),VALUE(LEFT(N1684,FIND("/",N1684)-1))),0)</f>
        <v>0</v>
      </c>
    </row>
    <row r="1685" customFormat="false" ht="15" hidden="false" customHeight="false" outlineLevel="0" collapsed="false">
      <c r="N1685" s="0" t="str">
        <f aca="false">IF(H1685="","",IFERROR(LEFT(H1685,FIND(" ",H1685)-1),H1685))</f>
        <v/>
      </c>
      <c r="O1685" s="20" t="n">
        <f aca="false">IFERROR(DATE(VALUE(MID(N1685,FIND("/",N1685,FIND("/",N1685)+1)+1,4)),VALUE(MID(N1685,FIND("/",N1685)+1,FIND("/",N1685,FIND("/",N1685)+1)-FIND("/",N1685)-1)),VALUE(LEFT(N1685,FIND("/",N1685)-1))),0)</f>
        <v>0</v>
      </c>
    </row>
    <row r="1686" customFormat="false" ht="15" hidden="false" customHeight="false" outlineLevel="0" collapsed="false">
      <c r="N1686" s="0" t="str">
        <f aca="false">IF(H1686="","",IFERROR(LEFT(H1686,FIND(" ",H1686)-1),H1686))</f>
        <v/>
      </c>
      <c r="O1686" s="20" t="n">
        <f aca="false">IFERROR(DATE(VALUE(MID(N1686,FIND("/",N1686,FIND("/",N1686)+1)+1,4)),VALUE(MID(N1686,FIND("/",N1686)+1,FIND("/",N1686,FIND("/",N1686)+1)-FIND("/",N1686)-1)),VALUE(LEFT(N1686,FIND("/",N1686)-1))),0)</f>
        <v>0</v>
      </c>
    </row>
    <row r="1687" customFormat="false" ht="15" hidden="false" customHeight="false" outlineLevel="0" collapsed="false">
      <c r="N1687" s="0" t="str">
        <f aca="false">IF(H1687="","",IFERROR(LEFT(H1687,FIND(" ",H1687)-1),H1687))</f>
        <v/>
      </c>
      <c r="O1687" s="20" t="n">
        <f aca="false">IFERROR(DATE(VALUE(MID(N1687,FIND("/",N1687,FIND("/",N1687)+1)+1,4)),VALUE(MID(N1687,FIND("/",N1687)+1,FIND("/",N1687,FIND("/",N1687)+1)-FIND("/",N1687)-1)),VALUE(LEFT(N1687,FIND("/",N1687)-1))),0)</f>
        <v>0</v>
      </c>
    </row>
    <row r="1688" customFormat="false" ht="15" hidden="false" customHeight="false" outlineLevel="0" collapsed="false">
      <c r="N1688" s="0" t="str">
        <f aca="false">IF(H1688="","",IFERROR(LEFT(H1688,FIND(" ",H1688)-1),H1688))</f>
        <v/>
      </c>
      <c r="O1688" s="20" t="n">
        <f aca="false">IFERROR(DATE(VALUE(MID(N1688,FIND("/",N1688,FIND("/",N1688)+1)+1,4)),VALUE(MID(N1688,FIND("/",N1688)+1,FIND("/",N1688,FIND("/",N1688)+1)-FIND("/",N1688)-1)),VALUE(LEFT(N1688,FIND("/",N1688)-1))),0)</f>
        <v>0</v>
      </c>
    </row>
    <row r="1689" customFormat="false" ht="15" hidden="false" customHeight="false" outlineLevel="0" collapsed="false">
      <c r="N1689" s="0" t="str">
        <f aca="false">IF(H1689="","",IFERROR(LEFT(H1689,FIND(" ",H1689)-1),H1689))</f>
        <v/>
      </c>
      <c r="O1689" s="20" t="n">
        <f aca="false">IFERROR(DATE(VALUE(MID(N1689,FIND("/",N1689,FIND("/",N1689)+1)+1,4)),VALUE(MID(N1689,FIND("/",N1689)+1,FIND("/",N1689,FIND("/",N1689)+1)-FIND("/",N1689)-1)),VALUE(LEFT(N1689,FIND("/",N1689)-1))),0)</f>
        <v>0</v>
      </c>
    </row>
    <row r="1690" customFormat="false" ht="15" hidden="false" customHeight="false" outlineLevel="0" collapsed="false">
      <c r="N1690" s="0" t="str">
        <f aca="false">IF(H1690="","",IFERROR(LEFT(H1690,FIND(" ",H1690)-1),H1690))</f>
        <v/>
      </c>
      <c r="O1690" s="20" t="n">
        <f aca="false">IFERROR(DATE(VALUE(MID(N1690,FIND("/",N1690,FIND("/",N1690)+1)+1,4)),VALUE(MID(N1690,FIND("/",N1690)+1,FIND("/",N1690,FIND("/",N1690)+1)-FIND("/",N1690)-1)),VALUE(LEFT(N1690,FIND("/",N1690)-1))),0)</f>
        <v>0</v>
      </c>
    </row>
    <row r="1691" customFormat="false" ht="15" hidden="false" customHeight="false" outlineLevel="0" collapsed="false">
      <c r="N1691" s="0" t="str">
        <f aca="false">IF(H1691="","",IFERROR(LEFT(H1691,FIND(" ",H1691)-1),H1691))</f>
        <v/>
      </c>
      <c r="O1691" s="20" t="n">
        <f aca="false">IFERROR(DATE(VALUE(MID(N1691,FIND("/",N1691,FIND("/",N1691)+1)+1,4)),VALUE(MID(N1691,FIND("/",N1691)+1,FIND("/",N1691,FIND("/",N1691)+1)-FIND("/",N1691)-1)),VALUE(LEFT(N1691,FIND("/",N1691)-1))),0)</f>
        <v>0</v>
      </c>
    </row>
    <row r="1692" customFormat="false" ht="15" hidden="false" customHeight="false" outlineLevel="0" collapsed="false">
      <c r="N1692" s="0" t="str">
        <f aca="false">IF(H1692="","",IFERROR(LEFT(H1692,FIND(" ",H1692)-1),H1692))</f>
        <v/>
      </c>
      <c r="O1692" s="20" t="n">
        <f aca="false">IFERROR(DATE(VALUE(MID(N1692,FIND("/",N1692,FIND("/",N1692)+1)+1,4)),VALUE(MID(N1692,FIND("/",N1692)+1,FIND("/",N1692,FIND("/",N1692)+1)-FIND("/",N1692)-1)),VALUE(LEFT(N1692,FIND("/",N1692)-1))),0)</f>
        <v>0</v>
      </c>
    </row>
    <row r="1693" customFormat="false" ht="15" hidden="false" customHeight="false" outlineLevel="0" collapsed="false">
      <c r="N1693" s="0" t="str">
        <f aca="false">IF(H1693="","",IFERROR(LEFT(H1693,FIND(" ",H1693)-1),H1693))</f>
        <v/>
      </c>
      <c r="O1693" s="20" t="n">
        <f aca="false">IFERROR(DATE(VALUE(MID(N1693,FIND("/",N1693,FIND("/",N1693)+1)+1,4)),VALUE(MID(N1693,FIND("/",N1693)+1,FIND("/",N1693,FIND("/",N1693)+1)-FIND("/",N1693)-1)),VALUE(LEFT(N1693,FIND("/",N1693)-1))),0)</f>
        <v>0</v>
      </c>
    </row>
    <row r="1694" customFormat="false" ht="15" hidden="false" customHeight="false" outlineLevel="0" collapsed="false">
      <c r="N1694" s="0" t="str">
        <f aca="false">IF(H1694="","",IFERROR(LEFT(H1694,FIND(" ",H1694)-1),H1694))</f>
        <v/>
      </c>
      <c r="O1694" s="20" t="n">
        <f aca="false">IFERROR(DATE(VALUE(MID(N1694,FIND("/",N1694,FIND("/",N1694)+1)+1,4)),VALUE(MID(N1694,FIND("/",N1694)+1,FIND("/",N1694,FIND("/",N1694)+1)-FIND("/",N1694)-1)),VALUE(LEFT(N1694,FIND("/",N1694)-1))),0)</f>
        <v>0</v>
      </c>
    </row>
    <row r="1695" customFormat="false" ht="15" hidden="false" customHeight="false" outlineLevel="0" collapsed="false">
      <c r="N1695" s="0" t="str">
        <f aca="false">IF(H1695="","",IFERROR(LEFT(H1695,FIND(" ",H1695)-1),H1695))</f>
        <v/>
      </c>
      <c r="O1695" s="20" t="n">
        <f aca="false">IFERROR(DATE(VALUE(MID(N1695,FIND("/",N1695,FIND("/",N1695)+1)+1,4)),VALUE(MID(N1695,FIND("/",N1695)+1,FIND("/",N1695,FIND("/",N1695)+1)-FIND("/",N1695)-1)),VALUE(LEFT(N1695,FIND("/",N1695)-1))),0)</f>
        <v>0</v>
      </c>
    </row>
    <row r="1696" customFormat="false" ht="15" hidden="false" customHeight="false" outlineLevel="0" collapsed="false">
      <c r="N1696" s="0" t="str">
        <f aca="false">IF(H1696="","",IFERROR(LEFT(H1696,FIND(" ",H1696)-1),H1696))</f>
        <v/>
      </c>
      <c r="O1696" s="20" t="n">
        <f aca="false">IFERROR(DATE(VALUE(MID(N1696,FIND("/",N1696,FIND("/",N1696)+1)+1,4)),VALUE(MID(N1696,FIND("/",N1696)+1,FIND("/",N1696,FIND("/",N1696)+1)-FIND("/",N1696)-1)),VALUE(LEFT(N1696,FIND("/",N1696)-1))),0)</f>
        <v>0</v>
      </c>
    </row>
    <row r="1697" customFormat="false" ht="15" hidden="false" customHeight="false" outlineLevel="0" collapsed="false">
      <c r="N1697" s="0" t="str">
        <f aca="false">IF(H1697="","",IFERROR(LEFT(H1697,FIND(" ",H1697)-1),H1697))</f>
        <v/>
      </c>
      <c r="O1697" s="20" t="n">
        <f aca="false">IFERROR(DATE(VALUE(MID(N1697,FIND("/",N1697,FIND("/",N1697)+1)+1,4)),VALUE(MID(N1697,FIND("/",N1697)+1,FIND("/",N1697,FIND("/",N1697)+1)-FIND("/",N1697)-1)),VALUE(LEFT(N1697,FIND("/",N1697)-1))),0)</f>
        <v>0</v>
      </c>
    </row>
    <row r="1698" customFormat="false" ht="15" hidden="false" customHeight="false" outlineLevel="0" collapsed="false">
      <c r="N1698" s="0" t="str">
        <f aca="false">IF(H1698="","",IFERROR(LEFT(H1698,FIND(" ",H1698)-1),H1698))</f>
        <v/>
      </c>
      <c r="O1698" s="20" t="n">
        <f aca="false">IFERROR(DATE(VALUE(MID(N1698,FIND("/",N1698,FIND("/",N1698)+1)+1,4)),VALUE(MID(N1698,FIND("/",N1698)+1,FIND("/",N1698,FIND("/",N1698)+1)-FIND("/",N1698)-1)),VALUE(LEFT(N1698,FIND("/",N1698)-1))),0)</f>
        <v>0</v>
      </c>
    </row>
    <row r="1699" customFormat="false" ht="15" hidden="false" customHeight="false" outlineLevel="0" collapsed="false">
      <c r="N1699" s="0" t="str">
        <f aca="false">IF(H1699="","",IFERROR(LEFT(H1699,FIND(" ",H1699)-1),H1699))</f>
        <v/>
      </c>
      <c r="O1699" s="20" t="n">
        <f aca="false">IFERROR(DATE(VALUE(MID(N1699,FIND("/",N1699,FIND("/",N1699)+1)+1,4)),VALUE(MID(N1699,FIND("/",N1699)+1,FIND("/",N1699,FIND("/",N1699)+1)-FIND("/",N1699)-1)),VALUE(LEFT(N1699,FIND("/",N1699)-1))),0)</f>
        <v>0</v>
      </c>
    </row>
    <row r="1700" customFormat="false" ht="15" hidden="false" customHeight="false" outlineLevel="0" collapsed="false">
      <c r="N1700" s="0" t="str">
        <f aca="false">IF(H1700="","",IFERROR(LEFT(H1700,FIND(" ",H1700)-1),H1700))</f>
        <v/>
      </c>
      <c r="O1700" s="20" t="n">
        <f aca="false">IFERROR(DATE(VALUE(MID(N1700,FIND("/",N1700,FIND("/",N1700)+1)+1,4)),VALUE(MID(N1700,FIND("/",N1700)+1,FIND("/",N1700,FIND("/",N1700)+1)-FIND("/",N1700)-1)),VALUE(LEFT(N1700,FIND("/",N1700)-1))),0)</f>
        <v>0</v>
      </c>
    </row>
    <row r="1701" customFormat="false" ht="15" hidden="false" customHeight="false" outlineLevel="0" collapsed="false">
      <c r="N1701" s="0" t="str">
        <f aca="false">IF(H1701="","",IFERROR(LEFT(H1701,FIND(" ",H1701)-1),H1701))</f>
        <v/>
      </c>
      <c r="O1701" s="20" t="n">
        <f aca="false">IFERROR(DATE(VALUE(MID(N1701,FIND("/",N1701,FIND("/",N1701)+1)+1,4)),VALUE(MID(N1701,FIND("/",N1701)+1,FIND("/",N1701,FIND("/",N1701)+1)-FIND("/",N1701)-1)),VALUE(LEFT(N1701,FIND("/",N1701)-1))),0)</f>
        <v>0</v>
      </c>
    </row>
    <row r="1702" customFormat="false" ht="15" hidden="false" customHeight="false" outlineLevel="0" collapsed="false">
      <c r="N1702" s="0" t="str">
        <f aca="false">IF(H1702="","",IFERROR(LEFT(H1702,FIND(" ",H1702)-1),H1702))</f>
        <v/>
      </c>
      <c r="O1702" s="20" t="n">
        <f aca="false">IFERROR(DATE(VALUE(MID(N1702,FIND("/",N1702,FIND("/",N1702)+1)+1,4)),VALUE(MID(N1702,FIND("/",N1702)+1,FIND("/",N1702,FIND("/",N1702)+1)-FIND("/",N1702)-1)),VALUE(LEFT(N1702,FIND("/",N1702)-1))),0)</f>
        <v>0</v>
      </c>
    </row>
    <row r="1703" customFormat="false" ht="15" hidden="false" customHeight="false" outlineLevel="0" collapsed="false">
      <c r="N1703" s="0" t="str">
        <f aca="false">IF(H1703="","",IFERROR(LEFT(H1703,FIND(" ",H1703)-1),H1703))</f>
        <v/>
      </c>
      <c r="O1703" s="20" t="n">
        <f aca="false">IFERROR(DATE(VALUE(MID(N1703,FIND("/",N1703,FIND("/",N1703)+1)+1,4)),VALUE(MID(N1703,FIND("/",N1703)+1,FIND("/",N1703,FIND("/",N1703)+1)-FIND("/",N1703)-1)),VALUE(LEFT(N1703,FIND("/",N1703)-1))),0)</f>
        <v>0</v>
      </c>
    </row>
    <row r="1704" customFormat="false" ht="15" hidden="false" customHeight="false" outlineLevel="0" collapsed="false">
      <c r="N1704" s="0" t="str">
        <f aca="false">IF(H1704="","",IFERROR(LEFT(H1704,FIND(" ",H1704)-1),H1704))</f>
        <v/>
      </c>
      <c r="O1704" s="20" t="n">
        <f aca="false">IFERROR(DATE(VALUE(MID(N1704,FIND("/",N1704,FIND("/",N1704)+1)+1,4)),VALUE(MID(N1704,FIND("/",N1704)+1,FIND("/",N1704,FIND("/",N1704)+1)-FIND("/",N1704)-1)),VALUE(LEFT(N1704,FIND("/",N1704)-1))),0)</f>
        <v>0</v>
      </c>
    </row>
    <row r="1705" customFormat="false" ht="15" hidden="false" customHeight="false" outlineLevel="0" collapsed="false">
      <c r="N1705" s="0" t="str">
        <f aca="false">IF(H1705="","",IFERROR(LEFT(H1705,FIND(" ",H1705)-1),H1705))</f>
        <v/>
      </c>
      <c r="O1705" s="20" t="n">
        <f aca="false">IFERROR(DATE(VALUE(MID(N1705,FIND("/",N1705,FIND("/",N1705)+1)+1,4)),VALUE(MID(N1705,FIND("/",N1705)+1,FIND("/",N1705,FIND("/",N1705)+1)-FIND("/",N1705)-1)),VALUE(LEFT(N1705,FIND("/",N1705)-1))),0)</f>
        <v>0</v>
      </c>
    </row>
    <row r="1706" customFormat="false" ht="15" hidden="false" customHeight="false" outlineLevel="0" collapsed="false">
      <c r="N1706" s="0" t="str">
        <f aca="false">IF(H1706="","",IFERROR(LEFT(H1706,FIND(" ",H1706)-1),H1706))</f>
        <v/>
      </c>
      <c r="O1706" s="20" t="n">
        <f aca="false">IFERROR(DATE(VALUE(MID(N1706,FIND("/",N1706,FIND("/",N1706)+1)+1,4)),VALUE(MID(N1706,FIND("/",N1706)+1,FIND("/",N1706,FIND("/",N1706)+1)-FIND("/",N1706)-1)),VALUE(LEFT(N1706,FIND("/",N1706)-1))),0)</f>
        <v>0</v>
      </c>
    </row>
    <row r="1707" customFormat="false" ht="15" hidden="false" customHeight="false" outlineLevel="0" collapsed="false">
      <c r="N1707" s="0" t="str">
        <f aca="false">IF(H1707="","",IFERROR(LEFT(H1707,FIND(" ",H1707)-1),H1707))</f>
        <v/>
      </c>
      <c r="O1707" s="20" t="n">
        <f aca="false">IFERROR(DATE(VALUE(MID(N1707,FIND("/",N1707,FIND("/",N1707)+1)+1,4)),VALUE(MID(N1707,FIND("/",N1707)+1,FIND("/",N1707,FIND("/",N1707)+1)-FIND("/",N1707)-1)),VALUE(LEFT(N1707,FIND("/",N1707)-1))),0)</f>
        <v>0</v>
      </c>
    </row>
    <row r="1708" customFormat="false" ht="15" hidden="false" customHeight="false" outlineLevel="0" collapsed="false">
      <c r="N1708" s="0" t="str">
        <f aca="false">IF(H1708="","",IFERROR(LEFT(H1708,FIND(" ",H1708)-1),H1708))</f>
        <v/>
      </c>
      <c r="O1708" s="20" t="n">
        <f aca="false">IFERROR(DATE(VALUE(MID(N1708,FIND("/",N1708,FIND("/",N1708)+1)+1,4)),VALUE(MID(N1708,FIND("/",N1708)+1,FIND("/",N1708,FIND("/",N1708)+1)-FIND("/",N1708)-1)),VALUE(LEFT(N1708,FIND("/",N1708)-1))),0)</f>
        <v>0</v>
      </c>
    </row>
    <row r="1709" customFormat="false" ht="15" hidden="false" customHeight="false" outlineLevel="0" collapsed="false">
      <c r="N1709" s="0" t="str">
        <f aca="false">IF(H1709="","",IFERROR(LEFT(H1709,FIND(" ",H1709)-1),H1709))</f>
        <v/>
      </c>
      <c r="O1709" s="20" t="n">
        <f aca="false">IFERROR(DATE(VALUE(MID(N1709,FIND("/",N1709,FIND("/",N1709)+1)+1,4)),VALUE(MID(N1709,FIND("/",N1709)+1,FIND("/",N1709,FIND("/",N1709)+1)-FIND("/",N1709)-1)),VALUE(LEFT(N1709,FIND("/",N1709)-1))),0)</f>
        <v>0</v>
      </c>
    </row>
    <row r="1710" customFormat="false" ht="15" hidden="false" customHeight="false" outlineLevel="0" collapsed="false">
      <c r="N1710" s="0" t="str">
        <f aca="false">IF(H1710="","",IFERROR(LEFT(H1710,FIND(" ",H1710)-1),H1710))</f>
        <v/>
      </c>
      <c r="O1710" s="20" t="n">
        <f aca="false">IFERROR(DATE(VALUE(MID(N1710,FIND("/",N1710,FIND("/",N1710)+1)+1,4)),VALUE(MID(N1710,FIND("/",N1710)+1,FIND("/",N1710,FIND("/",N1710)+1)-FIND("/",N1710)-1)),VALUE(LEFT(N1710,FIND("/",N1710)-1))),0)</f>
        <v>0</v>
      </c>
    </row>
    <row r="1711" customFormat="false" ht="15" hidden="false" customHeight="false" outlineLevel="0" collapsed="false">
      <c r="N1711" s="0" t="str">
        <f aca="false">IF(H1711="","",IFERROR(LEFT(H1711,FIND(" ",H1711)-1),H1711))</f>
        <v/>
      </c>
      <c r="O1711" s="20" t="n">
        <f aca="false">IFERROR(DATE(VALUE(MID(N1711,FIND("/",N1711,FIND("/",N1711)+1)+1,4)),VALUE(MID(N1711,FIND("/",N1711)+1,FIND("/",N1711,FIND("/",N1711)+1)-FIND("/",N1711)-1)),VALUE(LEFT(N1711,FIND("/",N1711)-1))),0)</f>
        <v>0</v>
      </c>
    </row>
    <row r="1712" customFormat="false" ht="15" hidden="false" customHeight="false" outlineLevel="0" collapsed="false">
      <c r="N1712" s="0" t="str">
        <f aca="false">IF(H1712="","",IFERROR(LEFT(H1712,FIND(" ",H1712)-1),H1712))</f>
        <v/>
      </c>
      <c r="O1712" s="20" t="n">
        <f aca="false">IFERROR(DATE(VALUE(MID(N1712,FIND("/",N1712,FIND("/",N1712)+1)+1,4)),VALUE(MID(N1712,FIND("/",N1712)+1,FIND("/",N1712,FIND("/",N1712)+1)-FIND("/",N1712)-1)),VALUE(LEFT(N1712,FIND("/",N1712)-1))),0)</f>
        <v>0</v>
      </c>
    </row>
    <row r="1713" customFormat="false" ht="15" hidden="false" customHeight="false" outlineLevel="0" collapsed="false">
      <c r="N1713" s="0" t="str">
        <f aca="false">IF(H1713="","",IFERROR(LEFT(H1713,FIND(" ",H1713)-1),H1713))</f>
        <v/>
      </c>
      <c r="O1713" s="20" t="n">
        <f aca="false">IFERROR(DATE(VALUE(MID(N1713,FIND("/",N1713,FIND("/",N1713)+1)+1,4)),VALUE(MID(N1713,FIND("/",N1713)+1,FIND("/",N1713,FIND("/",N1713)+1)-FIND("/",N1713)-1)),VALUE(LEFT(N1713,FIND("/",N1713)-1))),0)</f>
        <v>0</v>
      </c>
    </row>
    <row r="1714" customFormat="false" ht="15" hidden="false" customHeight="false" outlineLevel="0" collapsed="false">
      <c r="N1714" s="0" t="str">
        <f aca="false">IF(H1714="","",IFERROR(LEFT(H1714,FIND(" ",H1714)-1),H1714))</f>
        <v/>
      </c>
      <c r="O1714" s="20" t="n">
        <f aca="false">IFERROR(DATE(VALUE(MID(N1714,FIND("/",N1714,FIND("/",N1714)+1)+1,4)),VALUE(MID(N1714,FIND("/",N1714)+1,FIND("/",N1714,FIND("/",N1714)+1)-FIND("/",N1714)-1)),VALUE(LEFT(N1714,FIND("/",N1714)-1))),0)</f>
        <v>0</v>
      </c>
    </row>
    <row r="1715" customFormat="false" ht="15" hidden="false" customHeight="false" outlineLevel="0" collapsed="false">
      <c r="N1715" s="0" t="str">
        <f aca="false">IF(H1715="","",IFERROR(LEFT(H1715,FIND(" ",H1715)-1),H1715))</f>
        <v/>
      </c>
      <c r="O1715" s="20" t="n">
        <f aca="false">IFERROR(DATE(VALUE(MID(N1715,FIND("/",N1715,FIND("/",N1715)+1)+1,4)),VALUE(MID(N1715,FIND("/",N1715)+1,FIND("/",N1715,FIND("/",N1715)+1)-FIND("/",N1715)-1)),VALUE(LEFT(N1715,FIND("/",N1715)-1))),0)</f>
        <v>0</v>
      </c>
    </row>
    <row r="1716" customFormat="false" ht="15" hidden="false" customHeight="false" outlineLevel="0" collapsed="false">
      <c r="N1716" s="0" t="str">
        <f aca="false">IF(H1716="","",IFERROR(LEFT(H1716,FIND(" ",H1716)-1),H1716))</f>
        <v/>
      </c>
      <c r="O1716" s="20" t="n">
        <f aca="false">IFERROR(DATE(VALUE(MID(N1716,FIND("/",N1716,FIND("/",N1716)+1)+1,4)),VALUE(MID(N1716,FIND("/",N1716)+1,FIND("/",N1716,FIND("/",N1716)+1)-FIND("/",N1716)-1)),VALUE(LEFT(N1716,FIND("/",N1716)-1))),0)</f>
        <v>0</v>
      </c>
    </row>
    <row r="1717" customFormat="false" ht="15" hidden="false" customHeight="false" outlineLevel="0" collapsed="false">
      <c r="N1717" s="0" t="str">
        <f aca="false">IF(H1717="","",IFERROR(LEFT(H1717,FIND(" ",H1717)-1),H1717))</f>
        <v/>
      </c>
      <c r="O1717" s="20" t="n">
        <f aca="false">IFERROR(DATE(VALUE(MID(N1717,FIND("/",N1717,FIND("/",N1717)+1)+1,4)),VALUE(MID(N1717,FIND("/",N1717)+1,FIND("/",N1717,FIND("/",N1717)+1)-FIND("/",N1717)-1)),VALUE(LEFT(N1717,FIND("/",N1717)-1))),0)</f>
        <v>0</v>
      </c>
    </row>
    <row r="1718" customFormat="false" ht="15" hidden="false" customHeight="false" outlineLevel="0" collapsed="false">
      <c r="N1718" s="0" t="str">
        <f aca="false">IF(H1718="","",IFERROR(LEFT(H1718,FIND(" ",H1718)-1),H1718))</f>
        <v/>
      </c>
      <c r="O1718" s="20" t="n">
        <f aca="false">IFERROR(DATE(VALUE(MID(N1718,FIND("/",N1718,FIND("/",N1718)+1)+1,4)),VALUE(MID(N1718,FIND("/",N1718)+1,FIND("/",N1718,FIND("/",N1718)+1)-FIND("/",N1718)-1)),VALUE(LEFT(N1718,FIND("/",N1718)-1))),0)</f>
        <v>0</v>
      </c>
    </row>
    <row r="1719" customFormat="false" ht="15" hidden="false" customHeight="false" outlineLevel="0" collapsed="false">
      <c r="N1719" s="0" t="str">
        <f aca="false">IF(H1719="","",IFERROR(LEFT(H1719,FIND(" ",H1719)-1),H1719))</f>
        <v/>
      </c>
      <c r="O1719" s="20" t="n">
        <f aca="false">IFERROR(DATE(VALUE(MID(N1719,FIND("/",N1719,FIND("/",N1719)+1)+1,4)),VALUE(MID(N1719,FIND("/",N1719)+1,FIND("/",N1719,FIND("/",N1719)+1)-FIND("/",N1719)-1)),VALUE(LEFT(N1719,FIND("/",N1719)-1))),0)</f>
        <v>0</v>
      </c>
    </row>
    <row r="1720" customFormat="false" ht="15" hidden="false" customHeight="false" outlineLevel="0" collapsed="false">
      <c r="N1720" s="0" t="str">
        <f aca="false">IF(H1720="","",IFERROR(LEFT(H1720,FIND(" ",H1720)-1),H1720))</f>
        <v/>
      </c>
      <c r="O1720" s="20" t="n">
        <f aca="false">IFERROR(DATE(VALUE(MID(N1720,FIND("/",N1720,FIND("/",N1720)+1)+1,4)),VALUE(MID(N1720,FIND("/",N1720)+1,FIND("/",N1720,FIND("/",N1720)+1)-FIND("/",N1720)-1)),VALUE(LEFT(N1720,FIND("/",N1720)-1))),0)</f>
        <v>0</v>
      </c>
    </row>
    <row r="1721" customFormat="false" ht="15" hidden="false" customHeight="false" outlineLevel="0" collapsed="false">
      <c r="N1721" s="0" t="str">
        <f aca="false">IF(H1721="","",IFERROR(LEFT(H1721,FIND(" ",H1721)-1),H1721))</f>
        <v/>
      </c>
      <c r="O1721" s="20" t="n">
        <f aca="false">IFERROR(DATE(VALUE(MID(N1721,FIND("/",N1721,FIND("/",N1721)+1)+1,4)),VALUE(MID(N1721,FIND("/",N1721)+1,FIND("/",N1721,FIND("/",N1721)+1)-FIND("/",N1721)-1)),VALUE(LEFT(N1721,FIND("/",N1721)-1))),0)</f>
        <v>0</v>
      </c>
    </row>
    <row r="1722" customFormat="false" ht="15" hidden="false" customHeight="false" outlineLevel="0" collapsed="false">
      <c r="N1722" s="0" t="str">
        <f aca="false">IF(H1722="","",IFERROR(LEFT(H1722,FIND(" ",H1722)-1),H1722))</f>
        <v/>
      </c>
      <c r="O1722" s="20" t="n">
        <f aca="false">IFERROR(DATE(VALUE(MID(N1722,FIND("/",N1722,FIND("/",N1722)+1)+1,4)),VALUE(MID(N1722,FIND("/",N1722)+1,FIND("/",N1722,FIND("/",N1722)+1)-FIND("/",N1722)-1)),VALUE(LEFT(N1722,FIND("/",N1722)-1))),0)</f>
        <v>0</v>
      </c>
    </row>
    <row r="1723" customFormat="false" ht="15" hidden="false" customHeight="false" outlineLevel="0" collapsed="false">
      <c r="N1723" s="0" t="str">
        <f aca="false">IF(H1723="","",IFERROR(LEFT(H1723,FIND(" ",H1723)-1),H1723))</f>
        <v/>
      </c>
      <c r="O1723" s="20" t="n">
        <f aca="false">IFERROR(DATE(VALUE(MID(N1723,FIND("/",N1723,FIND("/",N1723)+1)+1,4)),VALUE(MID(N1723,FIND("/",N1723)+1,FIND("/",N1723,FIND("/",N1723)+1)-FIND("/",N1723)-1)),VALUE(LEFT(N1723,FIND("/",N1723)-1))),0)</f>
        <v>0</v>
      </c>
    </row>
    <row r="1724" customFormat="false" ht="15" hidden="false" customHeight="false" outlineLevel="0" collapsed="false">
      <c r="N1724" s="0" t="str">
        <f aca="false">IF(H1724="","",IFERROR(LEFT(H1724,FIND(" ",H1724)-1),H1724))</f>
        <v/>
      </c>
      <c r="O1724" s="20" t="n">
        <f aca="false">IFERROR(DATE(VALUE(MID(N1724,FIND("/",N1724,FIND("/",N1724)+1)+1,4)),VALUE(MID(N1724,FIND("/",N1724)+1,FIND("/",N1724,FIND("/",N1724)+1)-FIND("/",N1724)-1)),VALUE(LEFT(N1724,FIND("/",N1724)-1))),0)</f>
        <v>0</v>
      </c>
    </row>
    <row r="1725" customFormat="false" ht="15" hidden="false" customHeight="false" outlineLevel="0" collapsed="false">
      <c r="N1725" s="0" t="str">
        <f aca="false">IF(H1725="","",IFERROR(LEFT(H1725,FIND(" ",H1725)-1),H1725))</f>
        <v/>
      </c>
      <c r="O1725" s="20" t="n">
        <f aca="false">IFERROR(DATE(VALUE(MID(N1725,FIND("/",N1725,FIND("/",N1725)+1)+1,4)),VALUE(MID(N1725,FIND("/",N1725)+1,FIND("/",N1725,FIND("/",N1725)+1)-FIND("/",N1725)-1)),VALUE(LEFT(N1725,FIND("/",N1725)-1))),0)</f>
        <v>0</v>
      </c>
    </row>
    <row r="1726" customFormat="false" ht="15" hidden="false" customHeight="false" outlineLevel="0" collapsed="false">
      <c r="N1726" s="0" t="str">
        <f aca="false">IF(H1726="","",IFERROR(LEFT(H1726,FIND(" ",H1726)-1),H1726))</f>
        <v/>
      </c>
      <c r="O1726" s="20" t="n">
        <f aca="false">IFERROR(DATE(VALUE(MID(N1726,FIND("/",N1726,FIND("/",N1726)+1)+1,4)),VALUE(MID(N1726,FIND("/",N1726)+1,FIND("/",N1726,FIND("/",N1726)+1)-FIND("/",N1726)-1)),VALUE(LEFT(N1726,FIND("/",N1726)-1))),0)</f>
        <v>0</v>
      </c>
    </row>
    <row r="1727" customFormat="false" ht="15" hidden="false" customHeight="false" outlineLevel="0" collapsed="false">
      <c r="N1727" s="0" t="str">
        <f aca="false">IF(H1727="","",IFERROR(LEFT(H1727,FIND(" ",H1727)-1),H1727))</f>
        <v/>
      </c>
      <c r="O1727" s="20" t="n">
        <f aca="false">IFERROR(DATE(VALUE(MID(N1727,FIND("/",N1727,FIND("/",N1727)+1)+1,4)),VALUE(MID(N1727,FIND("/",N1727)+1,FIND("/",N1727,FIND("/",N1727)+1)-FIND("/",N1727)-1)),VALUE(LEFT(N1727,FIND("/",N1727)-1))),0)</f>
        <v>0</v>
      </c>
    </row>
    <row r="1728" customFormat="false" ht="15" hidden="false" customHeight="false" outlineLevel="0" collapsed="false">
      <c r="N1728" s="0" t="str">
        <f aca="false">IF(H1728="","",IFERROR(LEFT(H1728,FIND(" ",H1728)-1),H1728))</f>
        <v/>
      </c>
      <c r="O1728" s="20" t="n">
        <f aca="false">IFERROR(DATE(VALUE(MID(N1728,FIND("/",N1728,FIND("/",N1728)+1)+1,4)),VALUE(MID(N1728,FIND("/",N1728)+1,FIND("/",N1728,FIND("/",N1728)+1)-FIND("/",N1728)-1)),VALUE(LEFT(N1728,FIND("/",N1728)-1))),0)</f>
        <v>0</v>
      </c>
    </row>
    <row r="1729" customFormat="false" ht="15" hidden="false" customHeight="false" outlineLevel="0" collapsed="false">
      <c r="N1729" s="0" t="str">
        <f aca="false">IF(H1729="","",IFERROR(LEFT(H1729,FIND(" ",H1729)-1),H1729))</f>
        <v/>
      </c>
      <c r="O1729" s="20" t="n">
        <f aca="false">IFERROR(DATE(VALUE(MID(N1729,FIND("/",N1729,FIND("/",N1729)+1)+1,4)),VALUE(MID(N1729,FIND("/",N1729)+1,FIND("/",N1729,FIND("/",N1729)+1)-FIND("/",N1729)-1)),VALUE(LEFT(N1729,FIND("/",N1729)-1))),0)</f>
        <v>0</v>
      </c>
    </row>
    <row r="1730" customFormat="false" ht="15" hidden="false" customHeight="false" outlineLevel="0" collapsed="false">
      <c r="N1730" s="0" t="str">
        <f aca="false">IF(H1730="","",IFERROR(LEFT(H1730,FIND(" ",H1730)-1),H1730))</f>
        <v/>
      </c>
      <c r="O1730" s="20" t="n">
        <f aca="false">IFERROR(DATE(VALUE(MID(N1730,FIND("/",N1730,FIND("/",N1730)+1)+1,4)),VALUE(MID(N1730,FIND("/",N1730)+1,FIND("/",N1730,FIND("/",N1730)+1)-FIND("/",N1730)-1)),VALUE(LEFT(N1730,FIND("/",N1730)-1))),0)</f>
        <v>0</v>
      </c>
    </row>
    <row r="1731" customFormat="false" ht="15" hidden="false" customHeight="false" outlineLevel="0" collapsed="false">
      <c r="N1731" s="0" t="str">
        <f aca="false">IF(H1731="","",IFERROR(LEFT(H1731,FIND(" ",H1731)-1),H1731))</f>
        <v/>
      </c>
      <c r="O1731" s="20" t="n">
        <f aca="false">IFERROR(DATE(VALUE(MID(N1731,FIND("/",N1731,FIND("/",N1731)+1)+1,4)),VALUE(MID(N1731,FIND("/",N1731)+1,FIND("/",N1731,FIND("/",N1731)+1)-FIND("/",N1731)-1)),VALUE(LEFT(N1731,FIND("/",N1731)-1))),0)</f>
        <v>0</v>
      </c>
    </row>
    <row r="1732" customFormat="false" ht="15" hidden="false" customHeight="false" outlineLevel="0" collapsed="false">
      <c r="N1732" s="0" t="str">
        <f aca="false">IF(H1732="","",IFERROR(LEFT(H1732,FIND(" ",H1732)-1),H1732))</f>
        <v/>
      </c>
      <c r="O1732" s="20" t="n">
        <f aca="false">IFERROR(DATE(VALUE(MID(N1732,FIND("/",N1732,FIND("/",N1732)+1)+1,4)),VALUE(MID(N1732,FIND("/",N1732)+1,FIND("/",N1732,FIND("/",N1732)+1)-FIND("/",N1732)-1)),VALUE(LEFT(N1732,FIND("/",N1732)-1))),0)</f>
        <v>0</v>
      </c>
    </row>
    <row r="1733" customFormat="false" ht="15" hidden="false" customHeight="false" outlineLevel="0" collapsed="false">
      <c r="N1733" s="0" t="str">
        <f aca="false">IF(H1733="","",IFERROR(LEFT(H1733,FIND(" ",H1733)-1),H1733))</f>
        <v/>
      </c>
      <c r="O1733" s="20" t="n">
        <f aca="false">IFERROR(DATE(VALUE(MID(N1733,FIND("/",N1733,FIND("/",N1733)+1)+1,4)),VALUE(MID(N1733,FIND("/",N1733)+1,FIND("/",N1733,FIND("/",N1733)+1)-FIND("/",N1733)-1)),VALUE(LEFT(N1733,FIND("/",N1733)-1))),0)</f>
        <v>0</v>
      </c>
    </row>
    <row r="1734" customFormat="false" ht="15" hidden="false" customHeight="false" outlineLevel="0" collapsed="false">
      <c r="N1734" s="0" t="str">
        <f aca="false">IF(H1734="","",IFERROR(LEFT(H1734,FIND(" ",H1734)-1),H1734))</f>
        <v/>
      </c>
      <c r="O1734" s="20" t="n">
        <f aca="false">IFERROR(DATE(VALUE(MID(N1734,FIND("/",N1734,FIND("/",N1734)+1)+1,4)),VALUE(MID(N1734,FIND("/",N1734)+1,FIND("/",N1734,FIND("/",N1734)+1)-FIND("/",N1734)-1)),VALUE(LEFT(N1734,FIND("/",N1734)-1))),0)</f>
        <v>0</v>
      </c>
    </row>
    <row r="1735" customFormat="false" ht="15" hidden="false" customHeight="false" outlineLevel="0" collapsed="false">
      <c r="N1735" s="0" t="str">
        <f aca="false">IF(H1735="","",IFERROR(LEFT(H1735,FIND(" ",H1735)-1),H1735))</f>
        <v/>
      </c>
      <c r="O1735" s="20" t="n">
        <f aca="false">IFERROR(DATE(VALUE(MID(N1735,FIND("/",N1735,FIND("/",N1735)+1)+1,4)),VALUE(MID(N1735,FIND("/",N1735)+1,FIND("/",N1735,FIND("/",N1735)+1)-FIND("/",N1735)-1)),VALUE(LEFT(N1735,FIND("/",N1735)-1))),0)</f>
        <v>0</v>
      </c>
    </row>
    <row r="1736" customFormat="false" ht="15" hidden="false" customHeight="false" outlineLevel="0" collapsed="false">
      <c r="N1736" s="0" t="str">
        <f aca="false">IF(H1736="","",IFERROR(LEFT(H1736,FIND(" ",H1736)-1),H1736))</f>
        <v/>
      </c>
      <c r="O1736" s="20" t="n">
        <f aca="false">IFERROR(DATE(VALUE(MID(N1736,FIND("/",N1736,FIND("/",N1736)+1)+1,4)),VALUE(MID(N1736,FIND("/",N1736)+1,FIND("/",N1736,FIND("/",N1736)+1)-FIND("/",N1736)-1)),VALUE(LEFT(N1736,FIND("/",N1736)-1))),0)</f>
        <v>0</v>
      </c>
    </row>
    <row r="1737" customFormat="false" ht="15" hidden="false" customHeight="false" outlineLevel="0" collapsed="false">
      <c r="N1737" s="0" t="str">
        <f aca="false">IF(H1737="","",IFERROR(LEFT(H1737,FIND(" ",H1737)-1),H1737))</f>
        <v/>
      </c>
      <c r="O1737" s="20" t="n">
        <f aca="false">IFERROR(DATE(VALUE(MID(N1737,FIND("/",N1737,FIND("/",N1737)+1)+1,4)),VALUE(MID(N1737,FIND("/",N1737)+1,FIND("/",N1737,FIND("/",N1737)+1)-FIND("/",N1737)-1)),VALUE(LEFT(N1737,FIND("/",N1737)-1))),0)</f>
        <v>0</v>
      </c>
    </row>
    <row r="1738" customFormat="false" ht="15" hidden="false" customHeight="false" outlineLevel="0" collapsed="false">
      <c r="N1738" s="0" t="str">
        <f aca="false">IF(H1738="","",IFERROR(LEFT(H1738,FIND(" ",H1738)-1),H1738))</f>
        <v/>
      </c>
      <c r="O1738" s="20" t="n">
        <f aca="false">IFERROR(DATE(VALUE(MID(N1738,FIND("/",N1738,FIND("/",N1738)+1)+1,4)),VALUE(MID(N1738,FIND("/",N1738)+1,FIND("/",N1738,FIND("/",N1738)+1)-FIND("/",N1738)-1)),VALUE(LEFT(N1738,FIND("/",N1738)-1))),0)</f>
        <v>0</v>
      </c>
    </row>
    <row r="1739" customFormat="false" ht="15" hidden="false" customHeight="false" outlineLevel="0" collapsed="false">
      <c r="N1739" s="0" t="str">
        <f aca="false">IF(H1739="","",IFERROR(LEFT(H1739,FIND(" ",H1739)-1),H1739))</f>
        <v/>
      </c>
      <c r="O1739" s="20" t="n">
        <f aca="false">IFERROR(DATE(VALUE(MID(N1739,FIND("/",N1739,FIND("/",N1739)+1)+1,4)),VALUE(MID(N1739,FIND("/",N1739)+1,FIND("/",N1739,FIND("/",N1739)+1)-FIND("/",N1739)-1)),VALUE(LEFT(N1739,FIND("/",N1739)-1))),0)</f>
        <v>0</v>
      </c>
    </row>
    <row r="1740" customFormat="false" ht="15" hidden="false" customHeight="false" outlineLevel="0" collapsed="false">
      <c r="N1740" s="0" t="str">
        <f aca="false">IF(H1740="","",IFERROR(LEFT(H1740,FIND(" ",H1740)-1),H1740))</f>
        <v/>
      </c>
      <c r="O1740" s="20" t="n">
        <f aca="false">IFERROR(DATE(VALUE(MID(N1740,FIND("/",N1740,FIND("/",N1740)+1)+1,4)),VALUE(MID(N1740,FIND("/",N1740)+1,FIND("/",N1740,FIND("/",N1740)+1)-FIND("/",N1740)-1)),VALUE(LEFT(N1740,FIND("/",N1740)-1))),0)</f>
        <v>0</v>
      </c>
    </row>
    <row r="1741" customFormat="false" ht="15" hidden="false" customHeight="false" outlineLevel="0" collapsed="false">
      <c r="N1741" s="0" t="str">
        <f aca="false">IF(H1741="","",IFERROR(LEFT(H1741,FIND(" ",H1741)-1),H1741))</f>
        <v/>
      </c>
      <c r="O1741" s="20" t="n">
        <f aca="false">IFERROR(DATE(VALUE(MID(N1741,FIND("/",N1741,FIND("/",N1741)+1)+1,4)),VALUE(MID(N1741,FIND("/",N1741)+1,FIND("/",N1741,FIND("/",N1741)+1)-FIND("/",N1741)-1)),VALUE(LEFT(N1741,FIND("/",N1741)-1))),0)</f>
        <v>0</v>
      </c>
    </row>
    <row r="1742" customFormat="false" ht="15" hidden="false" customHeight="false" outlineLevel="0" collapsed="false">
      <c r="N1742" s="0" t="str">
        <f aca="false">IF(H1742="","",IFERROR(LEFT(H1742,FIND(" ",H1742)-1),H1742))</f>
        <v/>
      </c>
      <c r="O1742" s="20" t="n">
        <f aca="false">IFERROR(DATE(VALUE(MID(N1742,FIND("/",N1742,FIND("/",N1742)+1)+1,4)),VALUE(MID(N1742,FIND("/",N1742)+1,FIND("/",N1742,FIND("/",N1742)+1)-FIND("/",N1742)-1)),VALUE(LEFT(N1742,FIND("/",N1742)-1))),0)</f>
        <v>0</v>
      </c>
    </row>
    <row r="1743" customFormat="false" ht="15" hidden="false" customHeight="false" outlineLevel="0" collapsed="false">
      <c r="N1743" s="0" t="str">
        <f aca="false">IF(H1743="","",IFERROR(LEFT(H1743,FIND(" ",H1743)-1),H1743))</f>
        <v/>
      </c>
      <c r="O1743" s="20" t="n">
        <f aca="false">IFERROR(DATE(VALUE(MID(N1743,FIND("/",N1743,FIND("/",N1743)+1)+1,4)),VALUE(MID(N1743,FIND("/",N1743)+1,FIND("/",N1743,FIND("/",N1743)+1)-FIND("/",N1743)-1)),VALUE(LEFT(N1743,FIND("/",N1743)-1))),0)</f>
        <v>0</v>
      </c>
    </row>
    <row r="1744" customFormat="false" ht="15" hidden="false" customHeight="false" outlineLevel="0" collapsed="false">
      <c r="N1744" s="0" t="str">
        <f aca="false">IF(H1744="","",IFERROR(LEFT(H1744,FIND(" ",H1744)-1),H1744))</f>
        <v/>
      </c>
      <c r="O1744" s="20" t="n">
        <f aca="false">IFERROR(DATE(VALUE(MID(N1744,FIND("/",N1744,FIND("/",N1744)+1)+1,4)),VALUE(MID(N1744,FIND("/",N1744)+1,FIND("/",N1744,FIND("/",N1744)+1)-FIND("/",N1744)-1)),VALUE(LEFT(N1744,FIND("/",N1744)-1))),0)</f>
        <v>0</v>
      </c>
    </row>
    <row r="1745" customFormat="false" ht="15" hidden="false" customHeight="false" outlineLevel="0" collapsed="false">
      <c r="N1745" s="0" t="str">
        <f aca="false">IF(H1745="","",IFERROR(LEFT(H1745,FIND(" ",H1745)-1),H1745))</f>
        <v/>
      </c>
      <c r="O1745" s="20" t="n">
        <f aca="false">IFERROR(DATE(VALUE(MID(N1745,FIND("/",N1745,FIND("/",N1745)+1)+1,4)),VALUE(MID(N1745,FIND("/",N1745)+1,FIND("/",N1745,FIND("/",N1745)+1)-FIND("/",N1745)-1)),VALUE(LEFT(N1745,FIND("/",N1745)-1))),0)</f>
        <v>0</v>
      </c>
    </row>
    <row r="1746" customFormat="false" ht="15" hidden="false" customHeight="false" outlineLevel="0" collapsed="false">
      <c r="N1746" s="0" t="str">
        <f aca="false">IF(H1746="","",IFERROR(LEFT(H1746,FIND(" ",H1746)-1),H1746))</f>
        <v/>
      </c>
      <c r="O1746" s="20" t="n">
        <f aca="false">IFERROR(DATE(VALUE(MID(N1746,FIND("/",N1746,FIND("/",N1746)+1)+1,4)),VALUE(MID(N1746,FIND("/",N1746)+1,FIND("/",N1746,FIND("/",N1746)+1)-FIND("/",N1746)-1)),VALUE(LEFT(N1746,FIND("/",N1746)-1))),0)</f>
        <v>0</v>
      </c>
    </row>
    <row r="1747" customFormat="false" ht="15" hidden="false" customHeight="false" outlineLevel="0" collapsed="false">
      <c r="N1747" s="0" t="str">
        <f aca="false">IF(H1747="","",IFERROR(LEFT(H1747,FIND(" ",H1747)-1),H1747))</f>
        <v/>
      </c>
      <c r="O1747" s="20" t="n">
        <f aca="false">IFERROR(DATE(VALUE(MID(N1747,FIND("/",N1747,FIND("/",N1747)+1)+1,4)),VALUE(MID(N1747,FIND("/",N1747)+1,FIND("/",N1747,FIND("/",N1747)+1)-FIND("/",N1747)-1)),VALUE(LEFT(N1747,FIND("/",N1747)-1))),0)</f>
        <v>0</v>
      </c>
    </row>
    <row r="1748" customFormat="false" ht="15" hidden="false" customHeight="false" outlineLevel="0" collapsed="false">
      <c r="N1748" s="0" t="str">
        <f aca="false">IF(H1748="","",IFERROR(LEFT(H1748,FIND(" ",H1748)-1),H1748))</f>
        <v/>
      </c>
      <c r="O1748" s="20" t="n">
        <f aca="false">IFERROR(DATE(VALUE(MID(N1748,FIND("/",N1748,FIND("/",N1748)+1)+1,4)),VALUE(MID(N1748,FIND("/",N1748)+1,FIND("/",N1748,FIND("/",N1748)+1)-FIND("/",N1748)-1)),VALUE(LEFT(N1748,FIND("/",N1748)-1))),0)</f>
        <v>0</v>
      </c>
    </row>
    <row r="1749" customFormat="false" ht="15" hidden="false" customHeight="false" outlineLevel="0" collapsed="false">
      <c r="N1749" s="0" t="str">
        <f aca="false">IF(H1749="","",IFERROR(LEFT(H1749,FIND(" ",H1749)-1),H1749))</f>
        <v/>
      </c>
      <c r="O1749" s="20" t="n">
        <f aca="false">IFERROR(DATE(VALUE(MID(N1749,FIND("/",N1749,FIND("/",N1749)+1)+1,4)),VALUE(MID(N1749,FIND("/",N1749)+1,FIND("/",N1749,FIND("/",N1749)+1)-FIND("/",N1749)-1)),VALUE(LEFT(N1749,FIND("/",N1749)-1))),0)</f>
        <v>0</v>
      </c>
    </row>
    <row r="1750" customFormat="false" ht="15" hidden="false" customHeight="false" outlineLevel="0" collapsed="false">
      <c r="N1750" s="0" t="str">
        <f aca="false">IF(H1750="","",IFERROR(LEFT(H1750,FIND(" ",H1750)-1),H1750))</f>
        <v/>
      </c>
      <c r="O1750" s="20" t="n">
        <f aca="false">IFERROR(DATE(VALUE(MID(N1750,FIND("/",N1750,FIND("/",N1750)+1)+1,4)),VALUE(MID(N1750,FIND("/",N1750)+1,FIND("/",N1750,FIND("/",N1750)+1)-FIND("/",N1750)-1)),VALUE(LEFT(N1750,FIND("/",N1750)-1))),0)</f>
        <v>0</v>
      </c>
    </row>
    <row r="1751" customFormat="false" ht="15" hidden="false" customHeight="false" outlineLevel="0" collapsed="false">
      <c r="N1751" s="0" t="str">
        <f aca="false">IF(H1751="","",IFERROR(LEFT(H1751,FIND(" ",H1751)-1),H1751))</f>
        <v/>
      </c>
      <c r="O1751" s="20" t="n">
        <f aca="false">IFERROR(DATE(VALUE(MID(N1751,FIND("/",N1751,FIND("/",N1751)+1)+1,4)),VALUE(MID(N1751,FIND("/",N1751)+1,FIND("/",N1751,FIND("/",N1751)+1)-FIND("/",N1751)-1)),VALUE(LEFT(N1751,FIND("/",N1751)-1))),0)</f>
        <v>0</v>
      </c>
    </row>
    <row r="1752" customFormat="false" ht="15" hidden="false" customHeight="false" outlineLevel="0" collapsed="false">
      <c r="N1752" s="0" t="str">
        <f aca="false">IF(H1752="","",IFERROR(LEFT(H1752,FIND(" ",H1752)-1),H1752))</f>
        <v/>
      </c>
      <c r="O1752" s="20" t="n">
        <f aca="false">IFERROR(DATE(VALUE(MID(N1752,FIND("/",N1752,FIND("/",N1752)+1)+1,4)),VALUE(MID(N1752,FIND("/",N1752)+1,FIND("/",N1752,FIND("/",N1752)+1)-FIND("/",N1752)-1)),VALUE(LEFT(N1752,FIND("/",N1752)-1))),0)</f>
        <v>0</v>
      </c>
    </row>
    <row r="1753" customFormat="false" ht="15" hidden="false" customHeight="false" outlineLevel="0" collapsed="false">
      <c r="N1753" s="0" t="str">
        <f aca="false">IF(H1753="","",IFERROR(LEFT(H1753,FIND(" ",H1753)-1),H1753))</f>
        <v/>
      </c>
      <c r="O1753" s="20" t="n">
        <f aca="false">IFERROR(DATE(VALUE(MID(N1753,FIND("/",N1753,FIND("/",N1753)+1)+1,4)),VALUE(MID(N1753,FIND("/",N1753)+1,FIND("/",N1753,FIND("/",N1753)+1)-FIND("/",N1753)-1)),VALUE(LEFT(N1753,FIND("/",N1753)-1))),0)</f>
        <v>0</v>
      </c>
    </row>
    <row r="1754" customFormat="false" ht="15" hidden="false" customHeight="false" outlineLevel="0" collapsed="false">
      <c r="N1754" s="0" t="str">
        <f aca="false">IF(H1754="","",IFERROR(LEFT(H1754,FIND(" ",H1754)-1),H1754))</f>
        <v/>
      </c>
      <c r="O1754" s="20" t="n">
        <f aca="false">IFERROR(DATE(VALUE(MID(N1754,FIND("/",N1754,FIND("/",N1754)+1)+1,4)),VALUE(MID(N1754,FIND("/",N1754)+1,FIND("/",N1754,FIND("/",N1754)+1)-FIND("/",N1754)-1)),VALUE(LEFT(N1754,FIND("/",N1754)-1))),0)</f>
        <v>0</v>
      </c>
    </row>
    <row r="1755" customFormat="false" ht="15" hidden="false" customHeight="false" outlineLevel="0" collapsed="false">
      <c r="N1755" s="0" t="str">
        <f aca="false">IF(H1755="","",IFERROR(LEFT(H1755,FIND(" ",H1755)-1),H1755))</f>
        <v/>
      </c>
      <c r="O1755" s="20" t="n">
        <f aca="false">IFERROR(DATE(VALUE(MID(N1755,FIND("/",N1755,FIND("/",N1755)+1)+1,4)),VALUE(MID(N1755,FIND("/",N1755)+1,FIND("/",N1755,FIND("/",N1755)+1)-FIND("/",N1755)-1)),VALUE(LEFT(N1755,FIND("/",N1755)-1))),0)</f>
        <v>0</v>
      </c>
    </row>
    <row r="1756" customFormat="false" ht="15" hidden="false" customHeight="false" outlineLevel="0" collapsed="false">
      <c r="N1756" s="0" t="str">
        <f aca="false">IF(H1756="","",IFERROR(LEFT(H1756,FIND(" ",H1756)-1),H1756))</f>
        <v/>
      </c>
      <c r="O1756" s="20" t="n">
        <f aca="false">IFERROR(DATE(VALUE(MID(N1756,FIND("/",N1756,FIND("/",N1756)+1)+1,4)),VALUE(MID(N1756,FIND("/",N1756)+1,FIND("/",N1756,FIND("/",N1756)+1)-FIND("/",N1756)-1)),VALUE(LEFT(N1756,FIND("/",N1756)-1))),0)</f>
        <v>0</v>
      </c>
    </row>
    <row r="1757" customFormat="false" ht="15" hidden="false" customHeight="false" outlineLevel="0" collapsed="false">
      <c r="N1757" s="0" t="str">
        <f aca="false">IF(H1757="","",IFERROR(LEFT(H1757,FIND(" ",H1757)-1),H1757))</f>
        <v/>
      </c>
      <c r="O1757" s="20" t="n">
        <f aca="false">IFERROR(DATE(VALUE(MID(N1757,FIND("/",N1757,FIND("/",N1757)+1)+1,4)),VALUE(MID(N1757,FIND("/",N1757)+1,FIND("/",N1757,FIND("/",N1757)+1)-FIND("/",N1757)-1)),VALUE(LEFT(N1757,FIND("/",N1757)-1))),0)</f>
        <v>0</v>
      </c>
    </row>
    <row r="1758" customFormat="false" ht="15" hidden="false" customHeight="false" outlineLevel="0" collapsed="false">
      <c r="N1758" s="0" t="str">
        <f aca="false">IF(H1758="","",IFERROR(LEFT(H1758,FIND(" ",H1758)-1),H1758))</f>
        <v/>
      </c>
      <c r="O1758" s="20" t="n">
        <f aca="false">IFERROR(DATE(VALUE(MID(N1758,FIND("/",N1758,FIND("/",N1758)+1)+1,4)),VALUE(MID(N1758,FIND("/",N1758)+1,FIND("/",N1758,FIND("/",N1758)+1)-FIND("/",N1758)-1)),VALUE(LEFT(N1758,FIND("/",N1758)-1))),0)</f>
        <v>0</v>
      </c>
    </row>
    <row r="1759" customFormat="false" ht="15" hidden="false" customHeight="false" outlineLevel="0" collapsed="false">
      <c r="N1759" s="0" t="str">
        <f aca="false">IF(H1759="","",IFERROR(LEFT(H1759,FIND(" ",H1759)-1),H1759))</f>
        <v/>
      </c>
      <c r="O1759" s="20" t="n">
        <f aca="false">IFERROR(DATE(VALUE(MID(N1759,FIND("/",N1759,FIND("/",N1759)+1)+1,4)),VALUE(MID(N1759,FIND("/",N1759)+1,FIND("/",N1759,FIND("/",N1759)+1)-FIND("/",N1759)-1)),VALUE(LEFT(N1759,FIND("/",N1759)-1))),0)</f>
        <v>0</v>
      </c>
    </row>
    <row r="1760" customFormat="false" ht="15" hidden="false" customHeight="false" outlineLevel="0" collapsed="false">
      <c r="N1760" s="0" t="str">
        <f aca="false">IF(H1760="","",IFERROR(LEFT(H1760,FIND(" ",H1760)-1),H1760))</f>
        <v/>
      </c>
      <c r="O1760" s="20" t="n">
        <f aca="false">IFERROR(DATE(VALUE(MID(N1760,FIND("/",N1760,FIND("/",N1760)+1)+1,4)),VALUE(MID(N1760,FIND("/",N1760)+1,FIND("/",N1760,FIND("/",N1760)+1)-FIND("/",N1760)-1)),VALUE(LEFT(N1760,FIND("/",N1760)-1))),0)</f>
        <v>0</v>
      </c>
    </row>
    <row r="1761" customFormat="false" ht="15" hidden="false" customHeight="false" outlineLevel="0" collapsed="false">
      <c r="N1761" s="0" t="str">
        <f aca="false">IF(H1761="","",IFERROR(LEFT(H1761,FIND(" ",H1761)-1),H1761))</f>
        <v/>
      </c>
      <c r="O1761" s="20" t="n">
        <f aca="false">IFERROR(DATE(VALUE(MID(N1761,FIND("/",N1761,FIND("/",N1761)+1)+1,4)),VALUE(MID(N1761,FIND("/",N1761)+1,FIND("/",N1761,FIND("/",N1761)+1)-FIND("/",N1761)-1)),VALUE(LEFT(N1761,FIND("/",N1761)-1))),0)</f>
        <v>0</v>
      </c>
    </row>
    <row r="1762" customFormat="false" ht="15" hidden="false" customHeight="false" outlineLevel="0" collapsed="false">
      <c r="N1762" s="0" t="str">
        <f aca="false">IF(H1762="","",IFERROR(LEFT(H1762,FIND(" ",H1762)-1),H1762))</f>
        <v/>
      </c>
      <c r="O1762" s="20" t="n">
        <f aca="false">IFERROR(DATE(VALUE(MID(N1762,FIND("/",N1762,FIND("/",N1762)+1)+1,4)),VALUE(MID(N1762,FIND("/",N1762)+1,FIND("/",N1762,FIND("/",N1762)+1)-FIND("/",N1762)-1)),VALUE(LEFT(N1762,FIND("/",N1762)-1))),0)</f>
        <v>0</v>
      </c>
    </row>
    <row r="1763" customFormat="false" ht="15" hidden="false" customHeight="false" outlineLevel="0" collapsed="false">
      <c r="N1763" s="0" t="str">
        <f aca="false">IF(H1763="","",IFERROR(LEFT(H1763,FIND(" ",H1763)-1),H1763))</f>
        <v/>
      </c>
      <c r="O1763" s="20" t="n">
        <f aca="false">IFERROR(DATE(VALUE(MID(N1763,FIND("/",N1763,FIND("/",N1763)+1)+1,4)),VALUE(MID(N1763,FIND("/",N1763)+1,FIND("/",N1763,FIND("/",N1763)+1)-FIND("/",N1763)-1)),VALUE(LEFT(N1763,FIND("/",N1763)-1))),0)</f>
        <v>0</v>
      </c>
    </row>
    <row r="1764" customFormat="false" ht="15" hidden="false" customHeight="false" outlineLevel="0" collapsed="false">
      <c r="N1764" s="0" t="str">
        <f aca="false">IF(H1764="","",IFERROR(LEFT(H1764,FIND(" ",H1764)-1),H1764))</f>
        <v/>
      </c>
      <c r="O1764" s="20" t="n">
        <f aca="false">IFERROR(DATE(VALUE(MID(N1764,FIND("/",N1764,FIND("/",N1764)+1)+1,4)),VALUE(MID(N1764,FIND("/",N1764)+1,FIND("/",N1764,FIND("/",N1764)+1)-FIND("/",N1764)-1)),VALUE(LEFT(N1764,FIND("/",N1764)-1))),0)</f>
        <v>0</v>
      </c>
    </row>
    <row r="1765" customFormat="false" ht="15" hidden="false" customHeight="false" outlineLevel="0" collapsed="false">
      <c r="N1765" s="0" t="str">
        <f aca="false">IF(H1765="","",IFERROR(LEFT(H1765,FIND(" ",H1765)-1),H1765))</f>
        <v/>
      </c>
      <c r="O1765" s="20" t="n">
        <f aca="false">IFERROR(DATE(VALUE(MID(N1765,FIND("/",N1765,FIND("/",N1765)+1)+1,4)),VALUE(MID(N1765,FIND("/",N1765)+1,FIND("/",N1765,FIND("/",N1765)+1)-FIND("/",N1765)-1)),VALUE(LEFT(N1765,FIND("/",N1765)-1))),0)</f>
        <v>0</v>
      </c>
    </row>
    <row r="1766" customFormat="false" ht="15" hidden="false" customHeight="false" outlineLevel="0" collapsed="false">
      <c r="N1766" s="0" t="str">
        <f aca="false">IF(H1766="","",IFERROR(LEFT(H1766,FIND(" ",H1766)-1),H1766))</f>
        <v/>
      </c>
      <c r="O1766" s="20" t="n">
        <f aca="false">IFERROR(DATE(VALUE(MID(N1766,FIND("/",N1766,FIND("/",N1766)+1)+1,4)),VALUE(MID(N1766,FIND("/",N1766)+1,FIND("/",N1766,FIND("/",N1766)+1)-FIND("/",N1766)-1)),VALUE(LEFT(N1766,FIND("/",N1766)-1))),0)</f>
        <v>0</v>
      </c>
    </row>
    <row r="1767" customFormat="false" ht="15" hidden="false" customHeight="false" outlineLevel="0" collapsed="false">
      <c r="N1767" s="0" t="str">
        <f aca="false">IF(H1767="","",IFERROR(LEFT(H1767,FIND(" ",H1767)-1),H1767))</f>
        <v/>
      </c>
      <c r="O1767" s="20" t="n">
        <f aca="false">IFERROR(DATE(VALUE(MID(N1767,FIND("/",N1767,FIND("/",N1767)+1)+1,4)),VALUE(MID(N1767,FIND("/",N1767)+1,FIND("/",N1767,FIND("/",N1767)+1)-FIND("/",N1767)-1)),VALUE(LEFT(N1767,FIND("/",N1767)-1))),0)</f>
        <v>0</v>
      </c>
    </row>
    <row r="1768" customFormat="false" ht="15" hidden="false" customHeight="false" outlineLevel="0" collapsed="false">
      <c r="N1768" s="0" t="str">
        <f aca="false">IF(H1768="","",IFERROR(LEFT(H1768,FIND(" ",H1768)-1),H1768))</f>
        <v/>
      </c>
      <c r="O1768" s="20" t="n">
        <f aca="false">IFERROR(DATE(VALUE(MID(N1768,FIND("/",N1768,FIND("/",N1768)+1)+1,4)),VALUE(MID(N1768,FIND("/",N1768)+1,FIND("/",N1768,FIND("/",N1768)+1)-FIND("/",N1768)-1)),VALUE(LEFT(N1768,FIND("/",N1768)-1))),0)</f>
        <v>0</v>
      </c>
    </row>
    <row r="1769" customFormat="false" ht="15" hidden="false" customHeight="false" outlineLevel="0" collapsed="false">
      <c r="N1769" s="0" t="str">
        <f aca="false">IF(H1769="","",IFERROR(LEFT(H1769,FIND(" ",H1769)-1),H1769))</f>
        <v/>
      </c>
      <c r="O1769" s="20" t="n">
        <f aca="false">IFERROR(DATE(VALUE(MID(N1769,FIND("/",N1769,FIND("/",N1769)+1)+1,4)),VALUE(MID(N1769,FIND("/",N1769)+1,FIND("/",N1769,FIND("/",N1769)+1)-FIND("/",N1769)-1)),VALUE(LEFT(N1769,FIND("/",N1769)-1))),0)</f>
        <v>0</v>
      </c>
    </row>
    <row r="1770" customFormat="false" ht="15" hidden="false" customHeight="false" outlineLevel="0" collapsed="false">
      <c r="N1770" s="0" t="str">
        <f aca="false">IF(H1770="","",IFERROR(LEFT(H1770,FIND(" ",H1770)-1),H1770))</f>
        <v/>
      </c>
      <c r="O1770" s="20" t="n">
        <f aca="false">IFERROR(DATE(VALUE(MID(N1770,FIND("/",N1770,FIND("/",N1770)+1)+1,4)),VALUE(MID(N1770,FIND("/",N1770)+1,FIND("/",N1770,FIND("/",N1770)+1)-FIND("/",N1770)-1)),VALUE(LEFT(N1770,FIND("/",N1770)-1))),0)</f>
        <v>0</v>
      </c>
    </row>
    <row r="1771" customFormat="false" ht="15" hidden="false" customHeight="false" outlineLevel="0" collapsed="false">
      <c r="N1771" s="0" t="str">
        <f aca="false">IF(H1771="","",IFERROR(LEFT(H1771,FIND(" ",H1771)-1),H1771))</f>
        <v/>
      </c>
      <c r="O1771" s="20" t="n">
        <f aca="false">IFERROR(DATE(VALUE(MID(N1771,FIND("/",N1771,FIND("/",N1771)+1)+1,4)),VALUE(MID(N1771,FIND("/",N1771)+1,FIND("/",N1771,FIND("/",N1771)+1)-FIND("/",N1771)-1)),VALUE(LEFT(N1771,FIND("/",N1771)-1))),0)</f>
        <v>0</v>
      </c>
    </row>
    <row r="1772" customFormat="false" ht="15" hidden="false" customHeight="false" outlineLevel="0" collapsed="false">
      <c r="N1772" s="0" t="str">
        <f aca="false">IF(H1772="","",IFERROR(LEFT(H1772,FIND(" ",H1772)-1),H1772))</f>
        <v/>
      </c>
      <c r="O1772" s="20" t="n">
        <f aca="false">IFERROR(DATE(VALUE(MID(N1772,FIND("/",N1772,FIND("/",N1772)+1)+1,4)),VALUE(MID(N1772,FIND("/",N1772)+1,FIND("/",N1772,FIND("/",N1772)+1)-FIND("/",N1772)-1)),VALUE(LEFT(N1772,FIND("/",N1772)-1))),0)</f>
        <v>0</v>
      </c>
    </row>
    <row r="1773" customFormat="false" ht="15" hidden="false" customHeight="false" outlineLevel="0" collapsed="false">
      <c r="N1773" s="0" t="str">
        <f aca="false">IF(H1773="","",IFERROR(LEFT(H1773,FIND(" ",H1773)-1),H1773))</f>
        <v/>
      </c>
      <c r="O1773" s="20" t="n">
        <f aca="false">IFERROR(DATE(VALUE(MID(N1773,FIND("/",N1773,FIND("/",N1773)+1)+1,4)),VALUE(MID(N1773,FIND("/",N1773)+1,FIND("/",N1773,FIND("/",N1773)+1)-FIND("/",N1773)-1)),VALUE(LEFT(N1773,FIND("/",N1773)-1))),0)</f>
        <v>0</v>
      </c>
    </row>
    <row r="1774" customFormat="false" ht="15" hidden="false" customHeight="false" outlineLevel="0" collapsed="false">
      <c r="N1774" s="0" t="str">
        <f aca="false">IF(H1774="","",IFERROR(LEFT(H1774,FIND(" ",H1774)-1),H1774))</f>
        <v/>
      </c>
      <c r="O1774" s="20" t="n">
        <f aca="false">IFERROR(DATE(VALUE(MID(N1774,FIND("/",N1774,FIND("/",N1774)+1)+1,4)),VALUE(MID(N1774,FIND("/",N1774)+1,FIND("/",N1774,FIND("/",N1774)+1)-FIND("/",N1774)-1)),VALUE(LEFT(N1774,FIND("/",N1774)-1))),0)</f>
        <v>0</v>
      </c>
    </row>
    <row r="1775" customFormat="false" ht="15" hidden="false" customHeight="false" outlineLevel="0" collapsed="false">
      <c r="N1775" s="0" t="str">
        <f aca="false">IF(H1775="","",IFERROR(LEFT(H1775,FIND(" ",H1775)-1),H1775))</f>
        <v/>
      </c>
      <c r="O1775" s="20" t="n">
        <f aca="false">IFERROR(DATE(VALUE(MID(N1775,FIND("/",N1775,FIND("/",N1775)+1)+1,4)),VALUE(MID(N1775,FIND("/",N1775)+1,FIND("/",N1775,FIND("/",N1775)+1)-FIND("/",N1775)-1)),VALUE(LEFT(N1775,FIND("/",N1775)-1))),0)</f>
        <v>0</v>
      </c>
    </row>
    <row r="1776" customFormat="false" ht="15" hidden="false" customHeight="false" outlineLevel="0" collapsed="false">
      <c r="N1776" s="0" t="str">
        <f aca="false">IF(H1776="","",IFERROR(LEFT(H1776,FIND(" ",H1776)-1),H1776))</f>
        <v/>
      </c>
      <c r="O1776" s="20" t="n">
        <f aca="false">IFERROR(DATE(VALUE(MID(N1776,FIND("/",N1776,FIND("/",N1776)+1)+1,4)),VALUE(MID(N1776,FIND("/",N1776)+1,FIND("/",N1776,FIND("/",N1776)+1)-FIND("/",N1776)-1)),VALUE(LEFT(N1776,FIND("/",N1776)-1))),0)</f>
        <v>0</v>
      </c>
    </row>
    <row r="1777" customFormat="false" ht="15" hidden="false" customHeight="false" outlineLevel="0" collapsed="false">
      <c r="N1777" s="0" t="str">
        <f aca="false">IF(H1777="","",IFERROR(LEFT(H1777,FIND(" ",H1777)-1),H1777))</f>
        <v/>
      </c>
      <c r="O1777" s="20" t="n">
        <f aca="false">IFERROR(DATE(VALUE(MID(N1777,FIND("/",N1777,FIND("/",N1777)+1)+1,4)),VALUE(MID(N1777,FIND("/",N1777)+1,FIND("/",N1777,FIND("/",N1777)+1)-FIND("/",N1777)-1)),VALUE(LEFT(N1777,FIND("/",N1777)-1))),0)</f>
        <v>0</v>
      </c>
    </row>
    <row r="1778" customFormat="false" ht="15" hidden="false" customHeight="false" outlineLevel="0" collapsed="false">
      <c r="N1778" s="0" t="str">
        <f aca="false">IF(H1778="","",IFERROR(LEFT(H1778,FIND(" ",H1778)-1),H1778))</f>
        <v/>
      </c>
      <c r="O1778" s="20" t="n">
        <f aca="false">IFERROR(DATE(VALUE(MID(N1778,FIND("/",N1778,FIND("/",N1778)+1)+1,4)),VALUE(MID(N1778,FIND("/",N1778)+1,FIND("/",N1778,FIND("/",N1778)+1)-FIND("/",N1778)-1)),VALUE(LEFT(N1778,FIND("/",N1778)-1))),0)</f>
        <v>0</v>
      </c>
    </row>
    <row r="1779" customFormat="false" ht="15" hidden="false" customHeight="false" outlineLevel="0" collapsed="false">
      <c r="N1779" s="0" t="str">
        <f aca="false">IF(H1779="","",IFERROR(LEFT(H1779,FIND(" ",H1779)-1),H1779))</f>
        <v/>
      </c>
      <c r="O1779" s="20" t="n">
        <f aca="false">IFERROR(DATE(VALUE(MID(N1779,FIND("/",N1779,FIND("/",N1779)+1)+1,4)),VALUE(MID(N1779,FIND("/",N1779)+1,FIND("/",N1779,FIND("/",N1779)+1)-FIND("/",N1779)-1)),VALUE(LEFT(N1779,FIND("/",N1779)-1))),0)</f>
        <v>0</v>
      </c>
    </row>
    <row r="1780" customFormat="false" ht="15" hidden="false" customHeight="false" outlineLevel="0" collapsed="false">
      <c r="N1780" s="0" t="str">
        <f aca="false">IF(H1780="","",IFERROR(LEFT(H1780,FIND(" ",H1780)-1),H1780))</f>
        <v/>
      </c>
      <c r="O1780" s="20" t="n">
        <f aca="false">IFERROR(DATE(VALUE(MID(N1780,FIND("/",N1780,FIND("/",N1780)+1)+1,4)),VALUE(MID(N1780,FIND("/",N1780)+1,FIND("/",N1780,FIND("/",N1780)+1)-FIND("/",N1780)-1)),VALUE(LEFT(N1780,FIND("/",N1780)-1))),0)</f>
        <v>0</v>
      </c>
    </row>
    <row r="1781" customFormat="false" ht="15" hidden="false" customHeight="false" outlineLevel="0" collapsed="false">
      <c r="N1781" s="0" t="str">
        <f aca="false">IF(H1781="","",IFERROR(LEFT(H1781,FIND(" ",H1781)-1),H1781))</f>
        <v/>
      </c>
      <c r="O1781" s="20" t="n">
        <f aca="false">IFERROR(DATE(VALUE(MID(N1781,FIND("/",N1781,FIND("/",N1781)+1)+1,4)),VALUE(MID(N1781,FIND("/",N1781)+1,FIND("/",N1781,FIND("/",N1781)+1)-FIND("/",N1781)-1)),VALUE(LEFT(N1781,FIND("/",N1781)-1))),0)</f>
        <v>0</v>
      </c>
    </row>
    <row r="1782" customFormat="false" ht="15" hidden="false" customHeight="false" outlineLevel="0" collapsed="false">
      <c r="N1782" s="0" t="str">
        <f aca="false">IF(H1782="","",IFERROR(LEFT(H1782,FIND(" ",H1782)-1),H1782))</f>
        <v/>
      </c>
      <c r="O1782" s="20" t="n">
        <f aca="false">IFERROR(DATE(VALUE(MID(N1782,FIND("/",N1782,FIND("/",N1782)+1)+1,4)),VALUE(MID(N1782,FIND("/",N1782)+1,FIND("/",N1782,FIND("/",N1782)+1)-FIND("/",N1782)-1)),VALUE(LEFT(N1782,FIND("/",N1782)-1))),0)</f>
        <v>0</v>
      </c>
    </row>
    <row r="1783" customFormat="false" ht="15" hidden="false" customHeight="false" outlineLevel="0" collapsed="false">
      <c r="N1783" s="0" t="str">
        <f aca="false">IF(H1783="","",IFERROR(LEFT(H1783,FIND(" ",H1783)-1),H1783))</f>
        <v/>
      </c>
      <c r="O1783" s="20" t="n">
        <f aca="false">IFERROR(DATE(VALUE(MID(N1783,FIND("/",N1783,FIND("/",N1783)+1)+1,4)),VALUE(MID(N1783,FIND("/",N1783)+1,FIND("/",N1783,FIND("/",N1783)+1)-FIND("/",N1783)-1)),VALUE(LEFT(N1783,FIND("/",N1783)-1))),0)</f>
        <v>0</v>
      </c>
    </row>
    <row r="1784" customFormat="false" ht="15" hidden="false" customHeight="false" outlineLevel="0" collapsed="false">
      <c r="N1784" s="0" t="str">
        <f aca="false">IF(H1784="","",IFERROR(LEFT(H1784,FIND(" ",H1784)-1),H1784))</f>
        <v/>
      </c>
      <c r="O1784" s="20" t="n">
        <f aca="false">IFERROR(DATE(VALUE(MID(N1784,FIND("/",N1784,FIND("/",N1784)+1)+1,4)),VALUE(MID(N1784,FIND("/",N1784)+1,FIND("/",N1784,FIND("/",N1784)+1)-FIND("/",N1784)-1)),VALUE(LEFT(N1784,FIND("/",N1784)-1))),0)</f>
        <v>0</v>
      </c>
    </row>
    <row r="1785" customFormat="false" ht="15" hidden="false" customHeight="false" outlineLevel="0" collapsed="false">
      <c r="N1785" s="0" t="str">
        <f aca="false">IF(H1785="","",IFERROR(LEFT(H1785,FIND(" ",H1785)-1),H1785))</f>
        <v/>
      </c>
      <c r="O1785" s="20" t="n">
        <f aca="false">IFERROR(DATE(VALUE(MID(N1785,FIND("/",N1785,FIND("/",N1785)+1)+1,4)),VALUE(MID(N1785,FIND("/",N1785)+1,FIND("/",N1785,FIND("/",N1785)+1)-FIND("/",N1785)-1)),VALUE(LEFT(N1785,FIND("/",N1785)-1))),0)</f>
        <v>0</v>
      </c>
    </row>
    <row r="1786" customFormat="false" ht="15" hidden="false" customHeight="false" outlineLevel="0" collapsed="false">
      <c r="N1786" s="0" t="str">
        <f aca="false">IF(H1786="","",IFERROR(LEFT(H1786,FIND(" ",H1786)-1),H1786))</f>
        <v/>
      </c>
      <c r="O1786" s="20" t="n">
        <f aca="false">IFERROR(DATE(VALUE(MID(N1786,FIND("/",N1786,FIND("/",N1786)+1)+1,4)),VALUE(MID(N1786,FIND("/",N1786)+1,FIND("/",N1786,FIND("/",N1786)+1)-FIND("/",N1786)-1)),VALUE(LEFT(N1786,FIND("/",N1786)-1))),0)</f>
        <v>0</v>
      </c>
    </row>
    <row r="1787" customFormat="false" ht="15" hidden="false" customHeight="false" outlineLevel="0" collapsed="false">
      <c r="N1787" s="0" t="str">
        <f aca="false">IF(H1787="","",IFERROR(LEFT(H1787,FIND(" ",H1787)-1),H1787))</f>
        <v/>
      </c>
      <c r="O1787" s="20" t="n">
        <f aca="false">IFERROR(DATE(VALUE(MID(N1787,FIND("/",N1787,FIND("/",N1787)+1)+1,4)),VALUE(MID(N1787,FIND("/",N1787)+1,FIND("/",N1787,FIND("/",N1787)+1)-FIND("/",N1787)-1)),VALUE(LEFT(N1787,FIND("/",N1787)-1))),0)</f>
        <v>0</v>
      </c>
    </row>
    <row r="1788" customFormat="false" ht="15" hidden="false" customHeight="false" outlineLevel="0" collapsed="false">
      <c r="N1788" s="0" t="str">
        <f aca="false">IF(H1788="","",IFERROR(LEFT(H1788,FIND(" ",H1788)-1),H1788))</f>
        <v/>
      </c>
      <c r="O1788" s="20" t="n">
        <f aca="false">IFERROR(DATE(VALUE(MID(N1788,FIND("/",N1788,FIND("/",N1788)+1)+1,4)),VALUE(MID(N1788,FIND("/",N1788)+1,FIND("/",N1788,FIND("/",N1788)+1)-FIND("/",N1788)-1)),VALUE(LEFT(N1788,FIND("/",N1788)-1))),0)</f>
        <v>0</v>
      </c>
    </row>
    <row r="1789" customFormat="false" ht="15" hidden="false" customHeight="false" outlineLevel="0" collapsed="false">
      <c r="N1789" s="0" t="str">
        <f aca="false">IF(H1789="","",IFERROR(LEFT(H1789,FIND(" ",H1789)-1),H1789))</f>
        <v/>
      </c>
      <c r="O1789" s="20" t="n">
        <f aca="false">IFERROR(DATE(VALUE(MID(N1789,FIND("/",N1789,FIND("/",N1789)+1)+1,4)),VALUE(MID(N1789,FIND("/",N1789)+1,FIND("/",N1789,FIND("/",N1789)+1)-FIND("/",N1789)-1)),VALUE(LEFT(N1789,FIND("/",N1789)-1))),0)</f>
        <v>0</v>
      </c>
    </row>
    <row r="1790" customFormat="false" ht="15" hidden="false" customHeight="false" outlineLevel="0" collapsed="false">
      <c r="N1790" s="0" t="str">
        <f aca="false">IF(H1790="","",IFERROR(LEFT(H1790,FIND(" ",H1790)-1),H1790))</f>
        <v/>
      </c>
      <c r="O1790" s="20" t="n">
        <f aca="false">IFERROR(DATE(VALUE(MID(N1790,FIND("/",N1790,FIND("/",N1790)+1)+1,4)),VALUE(MID(N1790,FIND("/",N1790)+1,FIND("/",N1790,FIND("/",N1790)+1)-FIND("/",N1790)-1)),VALUE(LEFT(N1790,FIND("/",N1790)-1))),0)</f>
        <v>0</v>
      </c>
    </row>
    <row r="1791" customFormat="false" ht="15" hidden="false" customHeight="false" outlineLevel="0" collapsed="false">
      <c r="N1791" s="0" t="str">
        <f aca="false">IF(H1791="","",IFERROR(LEFT(H1791,FIND(" ",H1791)-1),H1791))</f>
        <v/>
      </c>
      <c r="O1791" s="20" t="n">
        <f aca="false">IFERROR(DATE(VALUE(MID(N1791,FIND("/",N1791,FIND("/",N1791)+1)+1,4)),VALUE(MID(N1791,FIND("/",N1791)+1,FIND("/",N1791,FIND("/",N1791)+1)-FIND("/",N1791)-1)),VALUE(LEFT(N1791,FIND("/",N1791)-1))),0)</f>
        <v>0</v>
      </c>
    </row>
    <row r="1792" customFormat="false" ht="15" hidden="false" customHeight="false" outlineLevel="0" collapsed="false">
      <c r="N1792" s="0" t="str">
        <f aca="false">IF(H1792="","",IFERROR(LEFT(H1792,FIND(" ",H1792)-1),H1792))</f>
        <v/>
      </c>
      <c r="O1792" s="20" t="n">
        <f aca="false">IFERROR(DATE(VALUE(MID(N1792,FIND("/",N1792,FIND("/",N1792)+1)+1,4)),VALUE(MID(N1792,FIND("/",N1792)+1,FIND("/",N1792,FIND("/",N1792)+1)-FIND("/",N1792)-1)),VALUE(LEFT(N1792,FIND("/",N1792)-1))),0)</f>
        <v>0</v>
      </c>
    </row>
    <row r="1793" customFormat="false" ht="15" hidden="false" customHeight="false" outlineLevel="0" collapsed="false">
      <c r="N1793" s="0" t="str">
        <f aca="false">IF(H1793="","",IFERROR(LEFT(H1793,FIND(" ",H1793)-1),H1793))</f>
        <v/>
      </c>
      <c r="O1793" s="20" t="n">
        <f aca="false">IFERROR(DATE(VALUE(MID(N1793,FIND("/",N1793,FIND("/",N1793)+1)+1,4)),VALUE(MID(N1793,FIND("/",N1793)+1,FIND("/",N1793,FIND("/",N1793)+1)-FIND("/",N1793)-1)),VALUE(LEFT(N1793,FIND("/",N1793)-1))),0)</f>
        <v>0</v>
      </c>
    </row>
    <row r="1794" customFormat="false" ht="15" hidden="false" customHeight="false" outlineLevel="0" collapsed="false">
      <c r="N1794" s="0" t="str">
        <f aca="false">IF(H1794="","",IFERROR(LEFT(H1794,FIND(" ",H1794)-1),H1794))</f>
        <v/>
      </c>
      <c r="O1794" s="20" t="n">
        <f aca="false">IFERROR(DATE(VALUE(MID(N1794,FIND("/",N1794,FIND("/",N1794)+1)+1,4)),VALUE(MID(N1794,FIND("/",N1794)+1,FIND("/",N1794,FIND("/",N1794)+1)-FIND("/",N1794)-1)),VALUE(LEFT(N1794,FIND("/",N1794)-1))),0)</f>
        <v>0</v>
      </c>
    </row>
    <row r="1795" customFormat="false" ht="15" hidden="false" customHeight="false" outlineLevel="0" collapsed="false">
      <c r="N1795" s="0" t="str">
        <f aca="false">IF(H1795="","",IFERROR(LEFT(H1795,FIND(" ",H1795)-1),H1795))</f>
        <v/>
      </c>
      <c r="O1795" s="20" t="n">
        <f aca="false">IFERROR(DATE(VALUE(MID(N1795,FIND("/",N1795,FIND("/",N1795)+1)+1,4)),VALUE(MID(N1795,FIND("/",N1795)+1,FIND("/",N1795,FIND("/",N1795)+1)-FIND("/",N1795)-1)),VALUE(LEFT(N1795,FIND("/",N1795)-1))),0)</f>
        <v>0</v>
      </c>
    </row>
    <row r="1796" customFormat="false" ht="15" hidden="false" customHeight="false" outlineLevel="0" collapsed="false">
      <c r="N1796" s="0" t="str">
        <f aca="false">IF(H1796="","",IFERROR(LEFT(H1796,FIND(" ",H1796)-1),H1796))</f>
        <v/>
      </c>
      <c r="O1796" s="20" t="n">
        <f aca="false">IFERROR(DATE(VALUE(MID(N1796,FIND("/",N1796,FIND("/",N1796)+1)+1,4)),VALUE(MID(N1796,FIND("/",N1796)+1,FIND("/",N1796,FIND("/",N1796)+1)-FIND("/",N1796)-1)),VALUE(LEFT(N1796,FIND("/",N1796)-1))),0)</f>
        <v>0</v>
      </c>
    </row>
    <row r="1797" customFormat="false" ht="15" hidden="false" customHeight="false" outlineLevel="0" collapsed="false">
      <c r="N1797" s="0" t="str">
        <f aca="false">IF(H1797="","",IFERROR(LEFT(H1797,FIND(" ",H1797)-1),H1797))</f>
        <v/>
      </c>
      <c r="O1797" s="20" t="n">
        <f aca="false">IFERROR(DATE(VALUE(MID(N1797,FIND("/",N1797,FIND("/",N1797)+1)+1,4)),VALUE(MID(N1797,FIND("/",N1797)+1,FIND("/",N1797,FIND("/",N1797)+1)-FIND("/",N1797)-1)),VALUE(LEFT(N1797,FIND("/",N1797)-1))),0)</f>
        <v>0</v>
      </c>
    </row>
    <row r="1798" customFormat="false" ht="15" hidden="false" customHeight="false" outlineLevel="0" collapsed="false">
      <c r="N1798" s="0" t="str">
        <f aca="false">IF(H1798="","",IFERROR(LEFT(H1798,FIND(" ",H1798)-1),H1798))</f>
        <v/>
      </c>
      <c r="O1798" s="20" t="n">
        <f aca="false">IFERROR(DATE(VALUE(MID(N1798,FIND("/",N1798,FIND("/",N1798)+1)+1,4)),VALUE(MID(N1798,FIND("/",N1798)+1,FIND("/",N1798,FIND("/",N1798)+1)-FIND("/",N1798)-1)),VALUE(LEFT(N1798,FIND("/",N1798)-1))),0)</f>
        <v>0</v>
      </c>
    </row>
    <row r="1799" customFormat="false" ht="15" hidden="false" customHeight="false" outlineLevel="0" collapsed="false">
      <c r="N1799" s="0" t="str">
        <f aca="false">IF(H1799="","",IFERROR(LEFT(H1799,FIND(" ",H1799)-1),H1799))</f>
        <v/>
      </c>
      <c r="O1799" s="20" t="n">
        <f aca="false">IFERROR(DATE(VALUE(MID(N1799,FIND("/",N1799,FIND("/",N1799)+1)+1,4)),VALUE(MID(N1799,FIND("/",N1799)+1,FIND("/",N1799,FIND("/",N1799)+1)-FIND("/",N1799)-1)),VALUE(LEFT(N1799,FIND("/",N1799)-1))),0)</f>
        <v>0</v>
      </c>
    </row>
    <row r="1800" customFormat="false" ht="15" hidden="false" customHeight="false" outlineLevel="0" collapsed="false">
      <c r="N1800" s="0" t="str">
        <f aca="false">IF(H1800="","",IFERROR(LEFT(H1800,FIND(" ",H1800)-1),H1800))</f>
        <v/>
      </c>
      <c r="O1800" s="20" t="n">
        <f aca="false">IFERROR(DATE(VALUE(MID(N1800,FIND("/",N1800,FIND("/",N1800)+1)+1,4)),VALUE(MID(N1800,FIND("/",N1800)+1,FIND("/",N1800,FIND("/",N1800)+1)-FIND("/",N1800)-1)),VALUE(LEFT(N1800,FIND("/",N1800)-1))),0)</f>
        <v>0</v>
      </c>
    </row>
    <row r="1801" customFormat="false" ht="15" hidden="false" customHeight="false" outlineLevel="0" collapsed="false">
      <c r="N1801" s="0" t="str">
        <f aca="false">IF(H1801="","",IFERROR(LEFT(H1801,FIND(" ",H1801)-1),H1801))</f>
        <v/>
      </c>
      <c r="O1801" s="20" t="n">
        <f aca="false">IFERROR(DATE(VALUE(MID(N1801,FIND("/",N1801,FIND("/",N1801)+1)+1,4)),VALUE(MID(N1801,FIND("/",N1801)+1,FIND("/",N1801,FIND("/",N1801)+1)-FIND("/",N1801)-1)),VALUE(LEFT(N1801,FIND("/",N1801)-1))),0)</f>
        <v>0</v>
      </c>
    </row>
    <row r="1802" customFormat="false" ht="15" hidden="false" customHeight="false" outlineLevel="0" collapsed="false">
      <c r="N1802" s="0" t="str">
        <f aca="false">IF(H1802="","",IFERROR(LEFT(H1802,FIND(" ",H1802)-1),H1802))</f>
        <v/>
      </c>
      <c r="O1802" s="20" t="n">
        <f aca="false">IFERROR(DATE(VALUE(MID(N1802,FIND("/",N1802,FIND("/",N1802)+1)+1,4)),VALUE(MID(N1802,FIND("/",N1802)+1,FIND("/",N1802,FIND("/",N1802)+1)-FIND("/",N1802)-1)),VALUE(LEFT(N1802,FIND("/",N1802)-1))),0)</f>
        <v>0</v>
      </c>
    </row>
    <row r="1803" customFormat="false" ht="15" hidden="false" customHeight="false" outlineLevel="0" collapsed="false">
      <c r="N1803" s="0" t="str">
        <f aca="false">IF(H1803="","",IFERROR(LEFT(H1803,FIND(" ",H1803)-1),H1803))</f>
        <v/>
      </c>
      <c r="O1803" s="20" t="n">
        <f aca="false">IFERROR(DATE(VALUE(MID(N1803,FIND("/",N1803,FIND("/",N1803)+1)+1,4)),VALUE(MID(N1803,FIND("/",N1803)+1,FIND("/",N1803,FIND("/",N1803)+1)-FIND("/",N1803)-1)),VALUE(LEFT(N1803,FIND("/",N1803)-1))),0)</f>
        <v>0</v>
      </c>
    </row>
    <row r="1804" customFormat="false" ht="15" hidden="false" customHeight="false" outlineLevel="0" collapsed="false">
      <c r="N1804" s="0" t="str">
        <f aca="false">IF(H1804="","",IFERROR(LEFT(H1804,FIND(" ",H1804)-1),H1804))</f>
        <v/>
      </c>
      <c r="O1804" s="20" t="n">
        <f aca="false">IFERROR(DATE(VALUE(MID(N1804,FIND("/",N1804,FIND("/",N1804)+1)+1,4)),VALUE(MID(N1804,FIND("/",N1804)+1,FIND("/",N1804,FIND("/",N1804)+1)-FIND("/",N1804)-1)),VALUE(LEFT(N1804,FIND("/",N1804)-1))),0)</f>
        <v>0</v>
      </c>
    </row>
    <row r="1805" customFormat="false" ht="15" hidden="false" customHeight="false" outlineLevel="0" collapsed="false">
      <c r="N1805" s="0" t="str">
        <f aca="false">IF(H1805="","",IFERROR(LEFT(H1805,FIND(" ",H1805)-1),H1805))</f>
        <v/>
      </c>
      <c r="O1805" s="20" t="n">
        <f aca="false">IFERROR(DATE(VALUE(MID(N1805,FIND("/",N1805,FIND("/",N1805)+1)+1,4)),VALUE(MID(N1805,FIND("/",N1805)+1,FIND("/",N1805,FIND("/",N1805)+1)-FIND("/",N1805)-1)),VALUE(LEFT(N1805,FIND("/",N1805)-1))),0)</f>
        <v>0</v>
      </c>
    </row>
    <row r="1806" customFormat="false" ht="15" hidden="false" customHeight="false" outlineLevel="0" collapsed="false">
      <c r="N1806" s="0" t="str">
        <f aca="false">IF(H1806="","",IFERROR(LEFT(H1806,FIND(" ",H1806)-1),H1806))</f>
        <v/>
      </c>
      <c r="O1806" s="20" t="n">
        <f aca="false">IFERROR(DATE(VALUE(MID(N1806,FIND("/",N1806,FIND("/",N1806)+1)+1,4)),VALUE(MID(N1806,FIND("/",N1806)+1,FIND("/",N1806,FIND("/",N1806)+1)-FIND("/",N1806)-1)),VALUE(LEFT(N1806,FIND("/",N1806)-1))),0)</f>
        <v>0</v>
      </c>
    </row>
    <row r="1807" customFormat="false" ht="15" hidden="false" customHeight="false" outlineLevel="0" collapsed="false">
      <c r="N1807" s="0" t="str">
        <f aca="false">IF(H1807="","",IFERROR(LEFT(H1807,FIND(" ",H1807)-1),H1807))</f>
        <v/>
      </c>
      <c r="O1807" s="20" t="n">
        <f aca="false">IFERROR(DATE(VALUE(MID(N1807,FIND("/",N1807,FIND("/",N1807)+1)+1,4)),VALUE(MID(N1807,FIND("/",N1807)+1,FIND("/",N1807,FIND("/",N1807)+1)-FIND("/",N1807)-1)),VALUE(LEFT(N1807,FIND("/",N1807)-1))),0)</f>
        <v>0</v>
      </c>
    </row>
    <row r="1808" customFormat="false" ht="15" hidden="false" customHeight="false" outlineLevel="0" collapsed="false">
      <c r="N1808" s="0" t="str">
        <f aca="false">IF(H1808="","",IFERROR(LEFT(H1808,FIND(" ",H1808)-1),H1808))</f>
        <v/>
      </c>
      <c r="O1808" s="20" t="n">
        <f aca="false">IFERROR(DATE(VALUE(MID(N1808,FIND("/",N1808,FIND("/",N1808)+1)+1,4)),VALUE(MID(N1808,FIND("/",N1808)+1,FIND("/",N1808,FIND("/",N1808)+1)-FIND("/",N1808)-1)),VALUE(LEFT(N1808,FIND("/",N1808)-1))),0)</f>
        <v>0</v>
      </c>
    </row>
    <row r="1809" customFormat="false" ht="15" hidden="false" customHeight="false" outlineLevel="0" collapsed="false">
      <c r="N1809" s="0" t="str">
        <f aca="false">IF(H1809="","",IFERROR(LEFT(H1809,FIND(" ",H1809)-1),H1809))</f>
        <v/>
      </c>
      <c r="O1809" s="20" t="n">
        <f aca="false">IFERROR(DATE(VALUE(MID(N1809,FIND("/",N1809,FIND("/",N1809)+1)+1,4)),VALUE(MID(N1809,FIND("/",N1809)+1,FIND("/",N1809,FIND("/",N1809)+1)-FIND("/",N1809)-1)),VALUE(LEFT(N1809,FIND("/",N1809)-1))),0)</f>
        <v>0</v>
      </c>
    </row>
    <row r="1810" customFormat="false" ht="15" hidden="false" customHeight="false" outlineLevel="0" collapsed="false">
      <c r="N1810" s="0" t="str">
        <f aca="false">IF(H1810="","",IFERROR(LEFT(H1810,FIND(" ",H1810)-1),H1810))</f>
        <v/>
      </c>
      <c r="O1810" s="20" t="n">
        <f aca="false">IFERROR(DATE(VALUE(MID(N1810,FIND("/",N1810,FIND("/",N1810)+1)+1,4)),VALUE(MID(N1810,FIND("/",N1810)+1,FIND("/",N1810,FIND("/",N1810)+1)-FIND("/",N1810)-1)),VALUE(LEFT(N1810,FIND("/",N1810)-1))),0)</f>
        <v>0</v>
      </c>
    </row>
    <row r="1811" customFormat="false" ht="15" hidden="false" customHeight="false" outlineLevel="0" collapsed="false">
      <c r="N1811" s="0" t="str">
        <f aca="false">IF(H1811="","",IFERROR(LEFT(H1811,FIND(" ",H1811)-1),H1811))</f>
        <v/>
      </c>
      <c r="O1811" s="20" t="n">
        <f aca="false">IFERROR(DATE(VALUE(MID(N1811,FIND("/",N1811,FIND("/",N1811)+1)+1,4)),VALUE(MID(N1811,FIND("/",N1811)+1,FIND("/",N1811,FIND("/",N1811)+1)-FIND("/",N1811)-1)),VALUE(LEFT(N1811,FIND("/",N1811)-1))),0)</f>
        <v>0</v>
      </c>
    </row>
    <row r="1812" customFormat="false" ht="15" hidden="false" customHeight="false" outlineLevel="0" collapsed="false">
      <c r="N1812" s="0" t="str">
        <f aca="false">IF(H1812="","",IFERROR(LEFT(H1812,FIND(" ",H1812)-1),H1812))</f>
        <v/>
      </c>
      <c r="O1812" s="20" t="n">
        <f aca="false">IFERROR(DATE(VALUE(MID(N1812,FIND("/",N1812,FIND("/",N1812)+1)+1,4)),VALUE(MID(N1812,FIND("/",N1812)+1,FIND("/",N1812,FIND("/",N1812)+1)-FIND("/",N1812)-1)),VALUE(LEFT(N1812,FIND("/",N1812)-1))),0)</f>
        <v>0</v>
      </c>
    </row>
    <row r="1813" customFormat="false" ht="15" hidden="false" customHeight="false" outlineLevel="0" collapsed="false">
      <c r="N1813" s="0" t="str">
        <f aca="false">IF(H1813="","",IFERROR(LEFT(H1813,FIND(" ",H1813)-1),H1813))</f>
        <v/>
      </c>
      <c r="O1813" s="20" t="n">
        <f aca="false">IFERROR(DATE(VALUE(MID(N1813,FIND("/",N1813,FIND("/",N1813)+1)+1,4)),VALUE(MID(N1813,FIND("/",N1813)+1,FIND("/",N1813,FIND("/",N1813)+1)-FIND("/",N1813)-1)),VALUE(LEFT(N1813,FIND("/",N1813)-1))),0)</f>
        <v>0</v>
      </c>
    </row>
    <row r="1814" customFormat="false" ht="15" hidden="false" customHeight="false" outlineLevel="0" collapsed="false">
      <c r="N1814" s="0" t="str">
        <f aca="false">IF(H1814="","",IFERROR(LEFT(H1814,FIND(" ",H1814)-1),H1814))</f>
        <v/>
      </c>
      <c r="O1814" s="20" t="n">
        <f aca="false">IFERROR(DATE(VALUE(MID(N1814,FIND("/",N1814,FIND("/",N1814)+1)+1,4)),VALUE(MID(N1814,FIND("/",N1814)+1,FIND("/",N1814,FIND("/",N1814)+1)-FIND("/",N1814)-1)),VALUE(LEFT(N1814,FIND("/",N1814)-1))),0)</f>
        <v>0</v>
      </c>
    </row>
    <row r="1815" customFormat="false" ht="15" hidden="false" customHeight="false" outlineLevel="0" collapsed="false">
      <c r="N1815" s="0" t="str">
        <f aca="false">IF(H1815="","",IFERROR(LEFT(H1815,FIND(" ",H1815)-1),H1815))</f>
        <v/>
      </c>
      <c r="O1815" s="20" t="n">
        <f aca="false">IFERROR(DATE(VALUE(MID(N1815,FIND("/",N1815,FIND("/",N1815)+1)+1,4)),VALUE(MID(N1815,FIND("/",N1815)+1,FIND("/",N1815,FIND("/",N1815)+1)-FIND("/",N1815)-1)),VALUE(LEFT(N1815,FIND("/",N1815)-1))),0)</f>
        <v>0</v>
      </c>
    </row>
    <row r="1816" customFormat="false" ht="15" hidden="false" customHeight="false" outlineLevel="0" collapsed="false">
      <c r="N1816" s="0" t="str">
        <f aca="false">IF(H1816="","",IFERROR(LEFT(H1816,FIND(" ",H1816)-1),H1816))</f>
        <v/>
      </c>
      <c r="O1816" s="20" t="n">
        <f aca="false">IFERROR(DATE(VALUE(MID(N1816,FIND("/",N1816,FIND("/",N1816)+1)+1,4)),VALUE(MID(N1816,FIND("/",N1816)+1,FIND("/",N1816,FIND("/",N1816)+1)-FIND("/",N1816)-1)),VALUE(LEFT(N1816,FIND("/",N1816)-1))),0)</f>
        <v>0</v>
      </c>
    </row>
    <row r="1817" customFormat="false" ht="15" hidden="false" customHeight="false" outlineLevel="0" collapsed="false">
      <c r="N1817" s="0" t="str">
        <f aca="false">IF(H1817="","",IFERROR(LEFT(H1817,FIND(" ",H1817)-1),H1817))</f>
        <v/>
      </c>
      <c r="O1817" s="20" t="n">
        <f aca="false">IFERROR(DATE(VALUE(MID(N1817,FIND("/",N1817,FIND("/",N1817)+1)+1,4)),VALUE(MID(N1817,FIND("/",N1817)+1,FIND("/",N1817,FIND("/",N1817)+1)-FIND("/",N1817)-1)),VALUE(LEFT(N1817,FIND("/",N1817)-1))),0)</f>
        <v>0</v>
      </c>
    </row>
    <row r="1818" customFormat="false" ht="15" hidden="false" customHeight="false" outlineLevel="0" collapsed="false">
      <c r="N1818" s="0" t="str">
        <f aca="false">IF(H1818="","",IFERROR(LEFT(H1818,FIND(" ",H1818)-1),H1818))</f>
        <v/>
      </c>
      <c r="O1818" s="20" t="n">
        <f aca="false">IFERROR(DATE(VALUE(MID(N1818,FIND("/",N1818,FIND("/",N1818)+1)+1,4)),VALUE(MID(N1818,FIND("/",N1818)+1,FIND("/",N1818,FIND("/",N1818)+1)-FIND("/",N1818)-1)),VALUE(LEFT(N1818,FIND("/",N1818)-1))),0)</f>
        <v>0</v>
      </c>
    </row>
    <row r="1819" customFormat="false" ht="15" hidden="false" customHeight="false" outlineLevel="0" collapsed="false">
      <c r="N1819" s="0" t="str">
        <f aca="false">IF(H1819="","",IFERROR(LEFT(H1819,FIND(" ",H1819)-1),H1819))</f>
        <v/>
      </c>
      <c r="O1819" s="20" t="n">
        <f aca="false">IFERROR(DATE(VALUE(MID(N1819,FIND("/",N1819,FIND("/",N1819)+1)+1,4)),VALUE(MID(N1819,FIND("/",N1819)+1,FIND("/",N1819,FIND("/",N1819)+1)-FIND("/",N1819)-1)),VALUE(LEFT(N1819,FIND("/",N1819)-1))),0)</f>
        <v>0</v>
      </c>
    </row>
    <row r="1820" customFormat="false" ht="15" hidden="false" customHeight="false" outlineLevel="0" collapsed="false">
      <c r="N1820" s="0" t="str">
        <f aca="false">IF(H1820="","",IFERROR(LEFT(H1820,FIND(" ",H1820)-1),H1820))</f>
        <v/>
      </c>
      <c r="O1820" s="20" t="n">
        <f aca="false">IFERROR(DATE(VALUE(MID(N1820,FIND("/",N1820,FIND("/",N1820)+1)+1,4)),VALUE(MID(N1820,FIND("/",N1820)+1,FIND("/",N1820,FIND("/",N1820)+1)-FIND("/",N1820)-1)),VALUE(LEFT(N1820,FIND("/",N1820)-1))),0)</f>
        <v>0</v>
      </c>
    </row>
    <row r="1821" customFormat="false" ht="15" hidden="false" customHeight="false" outlineLevel="0" collapsed="false">
      <c r="N1821" s="0" t="str">
        <f aca="false">IF(H1821="","",IFERROR(LEFT(H1821,FIND(" ",H1821)-1),H1821))</f>
        <v/>
      </c>
      <c r="O1821" s="20" t="n">
        <f aca="false">IFERROR(DATE(VALUE(MID(N1821,FIND("/",N1821,FIND("/",N1821)+1)+1,4)),VALUE(MID(N1821,FIND("/",N1821)+1,FIND("/",N1821,FIND("/",N1821)+1)-FIND("/",N1821)-1)),VALUE(LEFT(N1821,FIND("/",N1821)-1))),0)</f>
        <v>0</v>
      </c>
    </row>
    <row r="1822" customFormat="false" ht="15" hidden="false" customHeight="false" outlineLevel="0" collapsed="false">
      <c r="N1822" s="0" t="str">
        <f aca="false">IF(H1822="","",IFERROR(LEFT(H1822,FIND(" ",H1822)-1),H1822))</f>
        <v/>
      </c>
      <c r="O1822" s="20" t="n">
        <f aca="false">IFERROR(DATE(VALUE(MID(N1822,FIND("/",N1822,FIND("/",N1822)+1)+1,4)),VALUE(MID(N1822,FIND("/",N1822)+1,FIND("/",N1822,FIND("/",N1822)+1)-FIND("/",N1822)-1)),VALUE(LEFT(N1822,FIND("/",N1822)-1))),0)</f>
        <v>0</v>
      </c>
    </row>
    <row r="1823" customFormat="false" ht="15" hidden="false" customHeight="false" outlineLevel="0" collapsed="false">
      <c r="N1823" s="0" t="str">
        <f aca="false">IF(H1823="","",IFERROR(LEFT(H1823,FIND(" ",H1823)-1),H1823))</f>
        <v/>
      </c>
      <c r="O1823" s="20" t="n">
        <f aca="false">IFERROR(DATE(VALUE(MID(N1823,FIND("/",N1823,FIND("/",N1823)+1)+1,4)),VALUE(MID(N1823,FIND("/",N1823)+1,FIND("/",N1823,FIND("/",N1823)+1)-FIND("/",N1823)-1)),VALUE(LEFT(N1823,FIND("/",N1823)-1))),0)</f>
        <v>0</v>
      </c>
    </row>
    <row r="1824" customFormat="false" ht="15" hidden="false" customHeight="false" outlineLevel="0" collapsed="false">
      <c r="N1824" s="0" t="str">
        <f aca="false">IF(H1824="","",IFERROR(LEFT(H1824,FIND(" ",H1824)-1),H1824))</f>
        <v/>
      </c>
      <c r="O1824" s="20" t="n">
        <f aca="false">IFERROR(DATE(VALUE(MID(N1824,FIND("/",N1824,FIND("/",N1824)+1)+1,4)),VALUE(MID(N1824,FIND("/",N1824)+1,FIND("/",N1824,FIND("/",N1824)+1)-FIND("/",N1824)-1)),VALUE(LEFT(N1824,FIND("/",N1824)-1))),0)</f>
        <v>0</v>
      </c>
    </row>
    <row r="1825" customFormat="false" ht="15" hidden="false" customHeight="false" outlineLevel="0" collapsed="false">
      <c r="N1825" s="0" t="str">
        <f aca="false">IF(H1825="","",IFERROR(LEFT(H1825,FIND(" ",H1825)-1),H1825))</f>
        <v/>
      </c>
      <c r="O1825" s="20" t="n">
        <f aca="false">IFERROR(DATE(VALUE(MID(N1825,FIND("/",N1825,FIND("/",N1825)+1)+1,4)),VALUE(MID(N1825,FIND("/",N1825)+1,FIND("/",N1825,FIND("/",N1825)+1)-FIND("/",N1825)-1)),VALUE(LEFT(N1825,FIND("/",N1825)-1))),0)</f>
        <v>0</v>
      </c>
    </row>
    <row r="1826" customFormat="false" ht="15" hidden="false" customHeight="false" outlineLevel="0" collapsed="false">
      <c r="N1826" s="0" t="str">
        <f aca="false">IF(H1826="","",IFERROR(LEFT(H1826,FIND(" ",H1826)-1),H1826))</f>
        <v/>
      </c>
      <c r="O1826" s="20" t="n">
        <f aca="false">IFERROR(DATE(VALUE(MID(N1826,FIND("/",N1826,FIND("/",N1826)+1)+1,4)),VALUE(MID(N1826,FIND("/",N1826)+1,FIND("/",N1826,FIND("/",N1826)+1)-FIND("/",N1826)-1)),VALUE(LEFT(N1826,FIND("/",N1826)-1))),0)</f>
        <v>0</v>
      </c>
    </row>
    <row r="1827" customFormat="false" ht="15" hidden="false" customHeight="false" outlineLevel="0" collapsed="false">
      <c r="N1827" s="0" t="str">
        <f aca="false">IF(H1827="","",IFERROR(LEFT(H1827,FIND(" ",H1827)-1),H1827))</f>
        <v/>
      </c>
      <c r="O1827" s="20" t="n">
        <f aca="false">IFERROR(DATE(VALUE(MID(N1827,FIND("/",N1827,FIND("/",N1827)+1)+1,4)),VALUE(MID(N1827,FIND("/",N1827)+1,FIND("/",N1827,FIND("/",N1827)+1)-FIND("/",N1827)-1)),VALUE(LEFT(N1827,FIND("/",N1827)-1))),0)</f>
        <v>0</v>
      </c>
    </row>
    <row r="1828" customFormat="false" ht="15" hidden="false" customHeight="false" outlineLevel="0" collapsed="false">
      <c r="N1828" s="0" t="str">
        <f aca="false">IF(H1828="","",IFERROR(LEFT(H1828,FIND(" ",H1828)-1),H1828))</f>
        <v/>
      </c>
      <c r="O1828" s="20" t="n">
        <f aca="false">IFERROR(DATE(VALUE(MID(N1828,FIND("/",N1828,FIND("/",N1828)+1)+1,4)),VALUE(MID(N1828,FIND("/",N1828)+1,FIND("/",N1828,FIND("/",N1828)+1)-FIND("/",N1828)-1)),VALUE(LEFT(N1828,FIND("/",N1828)-1))),0)</f>
        <v>0</v>
      </c>
    </row>
    <row r="1829" customFormat="false" ht="15" hidden="false" customHeight="false" outlineLevel="0" collapsed="false">
      <c r="N1829" s="0" t="str">
        <f aca="false">IF(H1829="","",IFERROR(LEFT(H1829,FIND(" ",H1829)-1),H1829))</f>
        <v/>
      </c>
      <c r="O1829" s="20" t="n">
        <f aca="false">IFERROR(DATE(VALUE(MID(N1829,FIND("/",N1829,FIND("/",N1829)+1)+1,4)),VALUE(MID(N1829,FIND("/",N1829)+1,FIND("/",N1829,FIND("/",N1829)+1)-FIND("/",N1829)-1)),VALUE(LEFT(N1829,FIND("/",N1829)-1))),0)</f>
        <v>0</v>
      </c>
    </row>
    <row r="1830" customFormat="false" ht="15" hidden="false" customHeight="false" outlineLevel="0" collapsed="false">
      <c r="N1830" s="0" t="str">
        <f aca="false">IF(H1830="","",IFERROR(LEFT(H1830,FIND(" ",H1830)-1),H1830))</f>
        <v/>
      </c>
      <c r="O1830" s="20" t="n">
        <f aca="false">IFERROR(DATE(VALUE(MID(N1830,FIND("/",N1830,FIND("/",N1830)+1)+1,4)),VALUE(MID(N1830,FIND("/",N1830)+1,FIND("/",N1830,FIND("/",N1830)+1)-FIND("/",N1830)-1)),VALUE(LEFT(N1830,FIND("/",N1830)-1))),0)</f>
        <v>0</v>
      </c>
    </row>
    <row r="1831" customFormat="false" ht="15" hidden="false" customHeight="false" outlineLevel="0" collapsed="false">
      <c r="N1831" s="0" t="str">
        <f aca="false">IF(H1831="","",IFERROR(LEFT(H1831,FIND(" ",H1831)-1),H1831))</f>
        <v/>
      </c>
      <c r="O1831" s="20" t="n">
        <f aca="false">IFERROR(DATE(VALUE(MID(N1831,FIND("/",N1831,FIND("/",N1831)+1)+1,4)),VALUE(MID(N1831,FIND("/",N1831)+1,FIND("/",N1831,FIND("/",N1831)+1)-FIND("/",N1831)-1)),VALUE(LEFT(N1831,FIND("/",N1831)-1))),0)</f>
        <v>0</v>
      </c>
    </row>
    <row r="1832" customFormat="false" ht="15" hidden="false" customHeight="false" outlineLevel="0" collapsed="false">
      <c r="N1832" s="0" t="str">
        <f aca="false">IF(H1832="","",IFERROR(LEFT(H1832,FIND(" ",H1832)-1),H1832))</f>
        <v/>
      </c>
      <c r="O1832" s="20" t="n">
        <f aca="false">IFERROR(DATE(VALUE(MID(N1832,FIND("/",N1832,FIND("/",N1832)+1)+1,4)),VALUE(MID(N1832,FIND("/",N1832)+1,FIND("/",N1832,FIND("/",N1832)+1)-FIND("/",N1832)-1)),VALUE(LEFT(N1832,FIND("/",N1832)-1))),0)</f>
        <v>0</v>
      </c>
    </row>
    <row r="1833" customFormat="false" ht="15" hidden="false" customHeight="false" outlineLevel="0" collapsed="false">
      <c r="N1833" s="0" t="str">
        <f aca="false">IF(H1833="","",IFERROR(LEFT(H1833,FIND(" ",H1833)-1),H1833))</f>
        <v/>
      </c>
      <c r="O1833" s="20" t="n">
        <f aca="false">IFERROR(DATE(VALUE(MID(N1833,FIND("/",N1833,FIND("/",N1833)+1)+1,4)),VALUE(MID(N1833,FIND("/",N1833)+1,FIND("/",N1833,FIND("/",N1833)+1)-FIND("/",N1833)-1)),VALUE(LEFT(N1833,FIND("/",N1833)-1))),0)</f>
        <v>0</v>
      </c>
    </row>
    <row r="1834" customFormat="false" ht="15" hidden="false" customHeight="false" outlineLevel="0" collapsed="false">
      <c r="N1834" s="0" t="str">
        <f aca="false">IF(H1834="","",IFERROR(LEFT(H1834,FIND(" ",H1834)-1),H1834))</f>
        <v/>
      </c>
      <c r="O1834" s="20" t="n">
        <f aca="false">IFERROR(DATE(VALUE(MID(N1834,FIND("/",N1834,FIND("/",N1834)+1)+1,4)),VALUE(MID(N1834,FIND("/",N1834)+1,FIND("/",N1834,FIND("/",N1834)+1)-FIND("/",N1834)-1)),VALUE(LEFT(N1834,FIND("/",N1834)-1))),0)</f>
        <v>0</v>
      </c>
    </row>
    <row r="1835" customFormat="false" ht="15" hidden="false" customHeight="false" outlineLevel="0" collapsed="false">
      <c r="N1835" s="0" t="str">
        <f aca="false">IF(H1835="","",IFERROR(LEFT(H1835,FIND(" ",H1835)-1),H1835))</f>
        <v/>
      </c>
      <c r="O1835" s="20" t="n">
        <f aca="false">IFERROR(DATE(VALUE(MID(N1835,FIND("/",N1835,FIND("/",N1835)+1)+1,4)),VALUE(MID(N1835,FIND("/",N1835)+1,FIND("/",N1835,FIND("/",N1835)+1)-FIND("/",N1835)-1)),VALUE(LEFT(N1835,FIND("/",N1835)-1))),0)</f>
        <v>0</v>
      </c>
    </row>
    <row r="1836" customFormat="false" ht="15" hidden="false" customHeight="false" outlineLevel="0" collapsed="false">
      <c r="N1836" s="0" t="str">
        <f aca="false">IF(H1836="","",IFERROR(LEFT(H1836,FIND(" ",H1836)-1),H1836))</f>
        <v/>
      </c>
      <c r="O1836" s="20" t="n">
        <f aca="false">IFERROR(DATE(VALUE(MID(N1836,FIND("/",N1836,FIND("/",N1836)+1)+1,4)),VALUE(MID(N1836,FIND("/",N1836)+1,FIND("/",N1836,FIND("/",N1836)+1)-FIND("/",N1836)-1)),VALUE(LEFT(N1836,FIND("/",N1836)-1))),0)</f>
        <v>0</v>
      </c>
    </row>
    <row r="1837" customFormat="false" ht="15" hidden="false" customHeight="false" outlineLevel="0" collapsed="false">
      <c r="N1837" s="0" t="str">
        <f aca="false">IF(H1837="","",IFERROR(LEFT(H1837,FIND(" ",H1837)-1),H1837))</f>
        <v/>
      </c>
      <c r="O1837" s="20" t="n">
        <f aca="false">IFERROR(DATE(VALUE(MID(N1837,FIND("/",N1837,FIND("/",N1837)+1)+1,4)),VALUE(MID(N1837,FIND("/",N1837)+1,FIND("/",N1837,FIND("/",N1837)+1)-FIND("/",N1837)-1)),VALUE(LEFT(N1837,FIND("/",N1837)-1))),0)</f>
        <v>0</v>
      </c>
    </row>
    <row r="1838" customFormat="false" ht="15" hidden="false" customHeight="false" outlineLevel="0" collapsed="false">
      <c r="N1838" s="0" t="str">
        <f aca="false">IF(H1838="","",IFERROR(LEFT(H1838,FIND(" ",H1838)-1),H1838))</f>
        <v/>
      </c>
      <c r="O1838" s="20" t="n">
        <f aca="false">IFERROR(DATE(VALUE(MID(N1838,FIND("/",N1838,FIND("/",N1838)+1)+1,4)),VALUE(MID(N1838,FIND("/",N1838)+1,FIND("/",N1838,FIND("/",N1838)+1)-FIND("/",N1838)-1)),VALUE(LEFT(N1838,FIND("/",N1838)-1))),0)</f>
        <v>0</v>
      </c>
    </row>
    <row r="1839" customFormat="false" ht="15" hidden="false" customHeight="false" outlineLevel="0" collapsed="false">
      <c r="N1839" s="0" t="str">
        <f aca="false">IF(H1839="","",IFERROR(LEFT(H1839,FIND(" ",H1839)-1),H1839))</f>
        <v/>
      </c>
      <c r="O1839" s="20" t="n">
        <f aca="false">IFERROR(DATE(VALUE(MID(N1839,FIND("/",N1839,FIND("/",N1839)+1)+1,4)),VALUE(MID(N1839,FIND("/",N1839)+1,FIND("/",N1839,FIND("/",N1839)+1)-FIND("/",N1839)-1)),VALUE(LEFT(N1839,FIND("/",N1839)-1))),0)</f>
        <v>0</v>
      </c>
    </row>
    <row r="1840" customFormat="false" ht="15" hidden="false" customHeight="false" outlineLevel="0" collapsed="false">
      <c r="N1840" s="0" t="str">
        <f aca="false">IF(H1840="","",IFERROR(LEFT(H1840,FIND(" ",H1840)-1),H1840))</f>
        <v/>
      </c>
      <c r="O1840" s="20" t="n">
        <f aca="false">IFERROR(DATE(VALUE(MID(N1840,FIND("/",N1840,FIND("/",N1840)+1)+1,4)),VALUE(MID(N1840,FIND("/",N1840)+1,FIND("/",N1840,FIND("/",N1840)+1)-FIND("/",N1840)-1)),VALUE(LEFT(N1840,FIND("/",N1840)-1))),0)</f>
        <v>0</v>
      </c>
    </row>
    <row r="1841" customFormat="false" ht="15" hidden="false" customHeight="false" outlineLevel="0" collapsed="false">
      <c r="N1841" s="0" t="str">
        <f aca="false">IF(H1841="","",IFERROR(LEFT(H1841,FIND(" ",H1841)-1),H1841))</f>
        <v/>
      </c>
      <c r="O1841" s="20" t="n">
        <f aca="false">IFERROR(DATE(VALUE(MID(N1841,FIND("/",N1841,FIND("/",N1841)+1)+1,4)),VALUE(MID(N1841,FIND("/",N1841)+1,FIND("/",N1841,FIND("/",N1841)+1)-FIND("/",N1841)-1)),VALUE(LEFT(N1841,FIND("/",N1841)-1))),0)</f>
        <v>0</v>
      </c>
    </row>
    <row r="1842" customFormat="false" ht="15" hidden="false" customHeight="false" outlineLevel="0" collapsed="false">
      <c r="N1842" s="0" t="str">
        <f aca="false">IF(H1842="","",IFERROR(LEFT(H1842,FIND(" ",H1842)-1),H1842))</f>
        <v/>
      </c>
      <c r="O1842" s="20" t="n">
        <f aca="false">IFERROR(DATE(VALUE(MID(N1842,FIND("/",N1842,FIND("/",N1842)+1)+1,4)),VALUE(MID(N1842,FIND("/",N1842)+1,FIND("/",N1842,FIND("/",N1842)+1)-FIND("/",N1842)-1)),VALUE(LEFT(N1842,FIND("/",N1842)-1))),0)</f>
        <v>0</v>
      </c>
    </row>
    <row r="1843" customFormat="false" ht="15" hidden="false" customHeight="false" outlineLevel="0" collapsed="false">
      <c r="N1843" s="0" t="str">
        <f aca="false">IF(H1843="","",IFERROR(LEFT(H1843,FIND(" ",H1843)-1),H1843))</f>
        <v/>
      </c>
      <c r="O1843" s="20" t="n">
        <f aca="false">IFERROR(DATE(VALUE(MID(N1843,FIND("/",N1843,FIND("/",N1843)+1)+1,4)),VALUE(MID(N1843,FIND("/",N1843)+1,FIND("/",N1843,FIND("/",N1843)+1)-FIND("/",N1843)-1)),VALUE(LEFT(N1843,FIND("/",N1843)-1))),0)</f>
        <v>0</v>
      </c>
    </row>
    <row r="1844" customFormat="false" ht="15" hidden="false" customHeight="false" outlineLevel="0" collapsed="false">
      <c r="N1844" s="0" t="str">
        <f aca="false">IF(H1844="","",IFERROR(LEFT(H1844,FIND(" ",H1844)-1),H1844))</f>
        <v/>
      </c>
      <c r="O1844" s="20" t="n">
        <f aca="false">IFERROR(DATE(VALUE(MID(N1844,FIND("/",N1844,FIND("/",N1844)+1)+1,4)),VALUE(MID(N1844,FIND("/",N1844)+1,FIND("/",N1844,FIND("/",N1844)+1)-FIND("/",N1844)-1)),VALUE(LEFT(N1844,FIND("/",N1844)-1))),0)</f>
        <v>0</v>
      </c>
    </row>
    <row r="1845" customFormat="false" ht="15" hidden="false" customHeight="false" outlineLevel="0" collapsed="false">
      <c r="N1845" s="0" t="str">
        <f aca="false">IF(H1845="","",IFERROR(LEFT(H1845,FIND(" ",H1845)-1),H1845))</f>
        <v/>
      </c>
      <c r="O1845" s="20" t="n">
        <f aca="false">IFERROR(DATE(VALUE(MID(N1845,FIND("/",N1845,FIND("/",N1845)+1)+1,4)),VALUE(MID(N1845,FIND("/",N1845)+1,FIND("/",N1845,FIND("/",N1845)+1)-FIND("/",N1845)-1)),VALUE(LEFT(N1845,FIND("/",N1845)-1))),0)</f>
        <v>0</v>
      </c>
    </row>
    <row r="1846" customFormat="false" ht="15" hidden="false" customHeight="false" outlineLevel="0" collapsed="false">
      <c r="N1846" s="0" t="str">
        <f aca="false">IF(H1846="","",IFERROR(LEFT(H1846,FIND(" ",H1846)-1),H1846))</f>
        <v/>
      </c>
      <c r="O1846" s="20" t="n">
        <f aca="false">IFERROR(DATE(VALUE(MID(N1846,FIND("/",N1846,FIND("/",N1846)+1)+1,4)),VALUE(MID(N1846,FIND("/",N1846)+1,FIND("/",N1846,FIND("/",N1846)+1)-FIND("/",N1846)-1)),VALUE(LEFT(N1846,FIND("/",N1846)-1))),0)</f>
        <v>0</v>
      </c>
    </row>
    <row r="1847" customFormat="false" ht="15" hidden="false" customHeight="false" outlineLevel="0" collapsed="false">
      <c r="N1847" s="0" t="str">
        <f aca="false">IF(H1847="","",IFERROR(LEFT(H1847,FIND(" ",H1847)-1),H1847))</f>
        <v/>
      </c>
      <c r="O1847" s="20" t="n">
        <f aca="false">IFERROR(DATE(VALUE(MID(N1847,FIND("/",N1847,FIND("/",N1847)+1)+1,4)),VALUE(MID(N1847,FIND("/",N1847)+1,FIND("/",N1847,FIND("/",N1847)+1)-FIND("/",N1847)-1)),VALUE(LEFT(N1847,FIND("/",N1847)-1))),0)</f>
        <v>0</v>
      </c>
    </row>
    <row r="1848" customFormat="false" ht="15" hidden="false" customHeight="false" outlineLevel="0" collapsed="false">
      <c r="N1848" s="0" t="str">
        <f aca="false">IF(H1848="","",IFERROR(LEFT(H1848,FIND(" ",H1848)-1),H1848))</f>
        <v/>
      </c>
      <c r="O1848" s="20" t="n">
        <f aca="false">IFERROR(DATE(VALUE(MID(N1848,FIND("/",N1848,FIND("/",N1848)+1)+1,4)),VALUE(MID(N1848,FIND("/",N1848)+1,FIND("/",N1848,FIND("/",N1848)+1)-FIND("/",N1848)-1)),VALUE(LEFT(N1848,FIND("/",N1848)-1))),0)</f>
        <v>0</v>
      </c>
    </row>
    <row r="1849" customFormat="false" ht="15" hidden="false" customHeight="false" outlineLevel="0" collapsed="false">
      <c r="N1849" s="0" t="str">
        <f aca="false">IF(H1849="","",IFERROR(LEFT(H1849,FIND(" ",H1849)-1),H1849))</f>
        <v/>
      </c>
      <c r="O1849" s="20" t="n">
        <f aca="false">IFERROR(DATE(VALUE(MID(N1849,FIND("/",N1849,FIND("/",N1849)+1)+1,4)),VALUE(MID(N1849,FIND("/",N1849)+1,FIND("/",N1849,FIND("/",N1849)+1)-FIND("/",N1849)-1)),VALUE(LEFT(N1849,FIND("/",N1849)-1))),0)</f>
        <v>0</v>
      </c>
    </row>
    <row r="1850" customFormat="false" ht="15" hidden="false" customHeight="false" outlineLevel="0" collapsed="false">
      <c r="N1850" s="0" t="str">
        <f aca="false">IF(H1850="","",IFERROR(LEFT(H1850,FIND(" ",H1850)-1),H1850))</f>
        <v/>
      </c>
      <c r="O1850" s="20" t="n">
        <f aca="false">IFERROR(DATE(VALUE(MID(N1850,FIND("/",N1850,FIND("/",N1850)+1)+1,4)),VALUE(MID(N1850,FIND("/",N1850)+1,FIND("/",N1850,FIND("/",N1850)+1)-FIND("/",N1850)-1)),VALUE(LEFT(N1850,FIND("/",N1850)-1))),0)</f>
        <v>0</v>
      </c>
    </row>
    <row r="1851" customFormat="false" ht="15" hidden="false" customHeight="false" outlineLevel="0" collapsed="false">
      <c r="N1851" s="0" t="str">
        <f aca="false">IF(H1851="","",IFERROR(LEFT(H1851,FIND(" ",H1851)-1),H1851))</f>
        <v/>
      </c>
      <c r="O1851" s="20" t="n">
        <f aca="false">IFERROR(DATE(VALUE(MID(N1851,FIND("/",N1851,FIND("/",N1851)+1)+1,4)),VALUE(MID(N1851,FIND("/",N1851)+1,FIND("/",N1851,FIND("/",N1851)+1)-FIND("/",N1851)-1)),VALUE(LEFT(N1851,FIND("/",N1851)-1))),0)</f>
        <v>0</v>
      </c>
    </row>
    <row r="1852" customFormat="false" ht="15" hidden="false" customHeight="false" outlineLevel="0" collapsed="false">
      <c r="N1852" s="0" t="str">
        <f aca="false">IF(H1852="","",IFERROR(LEFT(H1852,FIND(" ",H1852)-1),H1852))</f>
        <v/>
      </c>
      <c r="O1852" s="20" t="n">
        <f aca="false">IFERROR(DATE(VALUE(MID(N1852,FIND("/",N1852,FIND("/",N1852)+1)+1,4)),VALUE(MID(N1852,FIND("/",N1852)+1,FIND("/",N1852,FIND("/",N1852)+1)-FIND("/",N1852)-1)),VALUE(LEFT(N1852,FIND("/",N1852)-1))),0)</f>
        <v>0</v>
      </c>
    </row>
    <row r="1853" customFormat="false" ht="15" hidden="false" customHeight="false" outlineLevel="0" collapsed="false">
      <c r="N1853" s="0" t="str">
        <f aca="false">IF(H1853="","",IFERROR(LEFT(H1853,FIND(" ",H1853)-1),H1853))</f>
        <v/>
      </c>
      <c r="O1853" s="20" t="n">
        <f aca="false">IFERROR(DATE(VALUE(MID(N1853,FIND("/",N1853,FIND("/",N1853)+1)+1,4)),VALUE(MID(N1853,FIND("/",N1853)+1,FIND("/",N1853,FIND("/",N1853)+1)-FIND("/",N1853)-1)),VALUE(LEFT(N1853,FIND("/",N1853)-1))),0)</f>
        <v>0</v>
      </c>
    </row>
    <row r="1854" customFormat="false" ht="15" hidden="false" customHeight="false" outlineLevel="0" collapsed="false">
      <c r="N1854" s="0" t="str">
        <f aca="false">IF(H1854="","",IFERROR(LEFT(H1854,FIND(" ",H1854)-1),H1854))</f>
        <v/>
      </c>
      <c r="O1854" s="20" t="n">
        <f aca="false">IFERROR(DATE(VALUE(MID(N1854,FIND("/",N1854,FIND("/",N1854)+1)+1,4)),VALUE(MID(N1854,FIND("/",N1854)+1,FIND("/",N1854,FIND("/",N1854)+1)-FIND("/",N1854)-1)),VALUE(LEFT(N1854,FIND("/",N1854)-1))),0)</f>
        <v>0</v>
      </c>
    </row>
    <row r="1855" customFormat="false" ht="15" hidden="false" customHeight="false" outlineLevel="0" collapsed="false">
      <c r="N1855" s="0" t="str">
        <f aca="false">IF(H1855="","",IFERROR(LEFT(H1855,FIND(" ",H1855)-1),H1855))</f>
        <v/>
      </c>
      <c r="O1855" s="20" t="n">
        <f aca="false">IFERROR(DATE(VALUE(MID(N1855,FIND("/",N1855,FIND("/",N1855)+1)+1,4)),VALUE(MID(N1855,FIND("/",N1855)+1,FIND("/",N1855,FIND("/",N1855)+1)-FIND("/",N1855)-1)),VALUE(LEFT(N1855,FIND("/",N1855)-1))),0)</f>
        <v>0</v>
      </c>
    </row>
    <row r="1856" customFormat="false" ht="15" hidden="false" customHeight="false" outlineLevel="0" collapsed="false">
      <c r="N1856" s="0" t="str">
        <f aca="false">IF(H1856="","",IFERROR(LEFT(H1856,FIND(" ",H1856)-1),H1856))</f>
        <v/>
      </c>
      <c r="O1856" s="20" t="n">
        <f aca="false">IFERROR(DATE(VALUE(MID(N1856,FIND("/",N1856,FIND("/",N1856)+1)+1,4)),VALUE(MID(N1856,FIND("/",N1856)+1,FIND("/",N1856,FIND("/",N1856)+1)-FIND("/",N1856)-1)),VALUE(LEFT(N1856,FIND("/",N1856)-1))),0)</f>
        <v>0</v>
      </c>
    </row>
    <row r="1857" customFormat="false" ht="15" hidden="false" customHeight="false" outlineLevel="0" collapsed="false">
      <c r="N1857" s="0" t="str">
        <f aca="false">IF(H1857="","",IFERROR(LEFT(H1857,FIND(" ",H1857)-1),H1857))</f>
        <v/>
      </c>
      <c r="O1857" s="20" t="n">
        <f aca="false">IFERROR(DATE(VALUE(MID(N1857,FIND("/",N1857,FIND("/",N1857)+1)+1,4)),VALUE(MID(N1857,FIND("/",N1857)+1,FIND("/",N1857,FIND("/",N1857)+1)-FIND("/",N1857)-1)),VALUE(LEFT(N1857,FIND("/",N1857)-1))),0)</f>
        <v>0</v>
      </c>
    </row>
    <row r="1858" customFormat="false" ht="15" hidden="false" customHeight="false" outlineLevel="0" collapsed="false">
      <c r="N1858" s="0" t="str">
        <f aca="false">IF(H1858="","",IFERROR(LEFT(H1858,FIND(" ",H1858)-1),H1858))</f>
        <v/>
      </c>
      <c r="O1858" s="20" t="n">
        <f aca="false">IFERROR(DATE(VALUE(MID(N1858,FIND("/",N1858,FIND("/",N1858)+1)+1,4)),VALUE(MID(N1858,FIND("/",N1858)+1,FIND("/",N1858,FIND("/",N1858)+1)-FIND("/",N1858)-1)),VALUE(LEFT(N1858,FIND("/",N1858)-1))),0)</f>
        <v>0</v>
      </c>
    </row>
    <row r="1859" customFormat="false" ht="15" hidden="false" customHeight="false" outlineLevel="0" collapsed="false">
      <c r="N1859" s="0" t="str">
        <f aca="false">IF(H1859="","",IFERROR(LEFT(H1859,FIND(" ",H1859)-1),H1859))</f>
        <v/>
      </c>
      <c r="O1859" s="20" t="n">
        <f aca="false">IFERROR(DATE(VALUE(MID(N1859,FIND("/",N1859,FIND("/",N1859)+1)+1,4)),VALUE(MID(N1859,FIND("/",N1859)+1,FIND("/",N1859,FIND("/",N1859)+1)-FIND("/",N1859)-1)),VALUE(LEFT(N1859,FIND("/",N1859)-1))),0)</f>
        <v>0</v>
      </c>
    </row>
    <row r="1860" customFormat="false" ht="15" hidden="false" customHeight="false" outlineLevel="0" collapsed="false">
      <c r="N1860" s="0" t="str">
        <f aca="false">IF(H1860="","",IFERROR(LEFT(H1860,FIND(" ",H1860)-1),H1860))</f>
        <v/>
      </c>
      <c r="O1860" s="20" t="n">
        <f aca="false">IFERROR(DATE(VALUE(MID(N1860,FIND("/",N1860,FIND("/",N1860)+1)+1,4)),VALUE(MID(N1860,FIND("/",N1860)+1,FIND("/",N1860,FIND("/",N1860)+1)-FIND("/",N1860)-1)),VALUE(LEFT(N1860,FIND("/",N1860)-1))),0)</f>
        <v>0</v>
      </c>
    </row>
    <row r="1861" customFormat="false" ht="15" hidden="false" customHeight="false" outlineLevel="0" collapsed="false">
      <c r="N1861" s="0" t="str">
        <f aca="false">IF(H1861="","",IFERROR(LEFT(H1861,FIND(" ",H1861)-1),H1861))</f>
        <v/>
      </c>
      <c r="O1861" s="20" t="n">
        <f aca="false">IFERROR(DATE(VALUE(MID(N1861,FIND("/",N1861,FIND("/",N1861)+1)+1,4)),VALUE(MID(N1861,FIND("/",N1861)+1,FIND("/",N1861,FIND("/",N1861)+1)-FIND("/",N1861)-1)),VALUE(LEFT(N1861,FIND("/",N1861)-1))),0)</f>
        <v>0</v>
      </c>
    </row>
    <row r="1862" customFormat="false" ht="15" hidden="false" customHeight="false" outlineLevel="0" collapsed="false">
      <c r="N1862" s="0" t="str">
        <f aca="false">IF(H1862="","",IFERROR(LEFT(H1862,FIND(" ",H1862)-1),H1862))</f>
        <v/>
      </c>
      <c r="O1862" s="20" t="n">
        <f aca="false">IFERROR(DATE(VALUE(MID(N1862,FIND("/",N1862,FIND("/",N1862)+1)+1,4)),VALUE(MID(N1862,FIND("/",N1862)+1,FIND("/",N1862,FIND("/",N1862)+1)-FIND("/",N1862)-1)),VALUE(LEFT(N1862,FIND("/",N1862)-1))),0)</f>
        <v>0</v>
      </c>
    </row>
    <row r="1863" customFormat="false" ht="15" hidden="false" customHeight="false" outlineLevel="0" collapsed="false">
      <c r="N1863" s="0" t="str">
        <f aca="false">IF(H1863="","",IFERROR(LEFT(H1863,FIND(" ",H1863)-1),H1863))</f>
        <v/>
      </c>
      <c r="O1863" s="20" t="n">
        <f aca="false">IFERROR(DATE(VALUE(MID(N1863,FIND("/",N1863,FIND("/",N1863)+1)+1,4)),VALUE(MID(N1863,FIND("/",N1863)+1,FIND("/",N1863,FIND("/",N1863)+1)-FIND("/",N1863)-1)),VALUE(LEFT(N1863,FIND("/",N1863)-1))),0)</f>
        <v>0</v>
      </c>
    </row>
    <row r="1864" customFormat="false" ht="15" hidden="false" customHeight="false" outlineLevel="0" collapsed="false">
      <c r="N1864" s="0" t="str">
        <f aca="false">IF(H1864="","",IFERROR(LEFT(H1864,FIND(" ",H1864)-1),H1864))</f>
        <v/>
      </c>
      <c r="O1864" s="20" t="n">
        <f aca="false">IFERROR(DATE(VALUE(MID(N1864,FIND("/",N1864,FIND("/",N1864)+1)+1,4)),VALUE(MID(N1864,FIND("/",N1864)+1,FIND("/",N1864,FIND("/",N1864)+1)-FIND("/",N1864)-1)),VALUE(LEFT(N1864,FIND("/",N1864)-1))),0)</f>
        <v>0</v>
      </c>
    </row>
    <row r="1865" customFormat="false" ht="15" hidden="false" customHeight="false" outlineLevel="0" collapsed="false">
      <c r="N1865" s="0" t="str">
        <f aca="false">IF(H1865="","",IFERROR(LEFT(H1865,FIND(" ",H1865)-1),H1865))</f>
        <v/>
      </c>
      <c r="O1865" s="20" t="n">
        <f aca="false">IFERROR(DATE(VALUE(MID(N1865,FIND("/",N1865,FIND("/",N1865)+1)+1,4)),VALUE(MID(N1865,FIND("/",N1865)+1,FIND("/",N1865,FIND("/",N1865)+1)-FIND("/",N1865)-1)),VALUE(LEFT(N1865,FIND("/",N1865)-1))),0)</f>
        <v>0</v>
      </c>
    </row>
    <row r="1866" customFormat="false" ht="15" hidden="false" customHeight="false" outlineLevel="0" collapsed="false">
      <c r="N1866" s="0" t="str">
        <f aca="false">IF(H1866="","",IFERROR(LEFT(H1866,FIND(" ",H1866)-1),H1866))</f>
        <v/>
      </c>
      <c r="O1866" s="20" t="n">
        <f aca="false">IFERROR(DATE(VALUE(MID(N1866,FIND("/",N1866,FIND("/",N1866)+1)+1,4)),VALUE(MID(N1866,FIND("/",N1866)+1,FIND("/",N1866,FIND("/",N1866)+1)-FIND("/",N1866)-1)),VALUE(LEFT(N1866,FIND("/",N1866)-1))),0)</f>
        <v>0</v>
      </c>
    </row>
    <row r="1867" customFormat="false" ht="15" hidden="false" customHeight="false" outlineLevel="0" collapsed="false">
      <c r="N1867" s="0" t="str">
        <f aca="false">IF(H1867="","",IFERROR(LEFT(H1867,FIND(" ",H1867)-1),H1867))</f>
        <v/>
      </c>
      <c r="O1867" s="20" t="n">
        <f aca="false">IFERROR(DATE(VALUE(MID(N1867,FIND("/",N1867,FIND("/",N1867)+1)+1,4)),VALUE(MID(N1867,FIND("/",N1867)+1,FIND("/",N1867,FIND("/",N1867)+1)-FIND("/",N1867)-1)),VALUE(LEFT(N1867,FIND("/",N1867)-1))),0)</f>
        <v>0</v>
      </c>
    </row>
    <row r="1868" customFormat="false" ht="15" hidden="false" customHeight="false" outlineLevel="0" collapsed="false">
      <c r="N1868" s="0" t="str">
        <f aca="false">IF(H1868="","",IFERROR(LEFT(H1868,FIND(" ",H1868)-1),H1868))</f>
        <v/>
      </c>
      <c r="O1868" s="20" t="n">
        <f aca="false">IFERROR(DATE(VALUE(MID(N1868,FIND("/",N1868,FIND("/",N1868)+1)+1,4)),VALUE(MID(N1868,FIND("/",N1868)+1,FIND("/",N1868,FIND("/",N1868)+1)-FIND("/",N1868)-1)),VALUE(LEFT(N1868,FIND("/",N1868)-1))),0)</f>
        <v>0</v>
      </c>
    </row>
    <row r="1869" customFormat="false" ht="15" hidden="false" customHeight="false" outlineLevel="0" collapsed="false">
      <c r="N1869" s="0" t="str">
        <f aca="false">IF(H1869="","",IFERROR(LEFT(H1869,FIND(" ",H1869)-1),H1869))</f>
        <v/>
      </c>
      <c r="O1869" s="20" t="n">
        <f aca="false">IFERROR(DATE(VALUE(MID(N1869,FIND("/",N1869,FIND("/",N1869)+1)+1,4)),VALUE(MID(N1869,FIND("/",N1869)+1,FIND("/",N1869,FIND("/",N1869)+1)-FIND("/",N1869)-1)),VALUE(LEFT(N1869,FIND("/",N1869)-1))),0)</f>
        <v>0</v>
      </c>
    </row>
    <row r="1870" customFormat="false" ht="15" hidden="false" customHeight="false" outlineLevel="0" collapsed="false">
      <c r="N1870" s="0" t="str">
        <f aca="false">IF(H1870="","",IFERROR(LEFT(H1870,FIND(" ",H1870)-1),H1870))</f>
        <v/>
      </c>
      <c r="O1870" s="20" t="n">
        <f aca="false">IFERROR(DATE(VALUE(MID(N1870,FIND("/",N1870,FIND("/",N1870)+1)+1,4)),VALUE(MID(N1870,FIND("/",N1870)+1,FIND("/",N1870,FIND("/",N1870)+1)-FIND("/",N1870)-1)),VALUE(LEFT(N1870,FIND("/",N1870)-1))),0)</f>
        <v>0</v>
      </c>
    </row>
    <row r="1871" customFormat="false" ht="15" hidden="false" customHeight="false" outlineLevel="0" collapsed="false">
      <c r="N1871" s="0" t="str">
        <f aca="false">IF(H1871="","",IFERROR(LEFT(H1871,FIND(" ",H1871)-1),H1871))</f>
        <v/>
      </c>
      <c r="O1871" s="20" t="n">
        <f aca="false">IFERROR(DATE(VALUE(MID(N1871,FIND("/",N1871,FIND("/",N1871)+1)+1,4)),VALUE(MID(N1871,FIND("/",N1871)+1,FIND("/",N1871,FIND("/",N1871)+1)-FIND("/",N1871)-1)),VALUE(LEFT(N1871,FIND("/",N1871)-1))),0)</f>
        <v>0</v>
      </c>
    </row>
    <row r="1872" customFormat="false" ht="15" hidden="false" customHeight="false" outlineLevel="0" collapsed="false">
      <c r="N1872" s="0" t="str">
        <f aca="false">IF(H1872="","",IFERROR(LEFT(H1872,FIND(" ",H1872)-1),H1872))</f>
        <v/>
      </c>
      <c r="O1872" s="20" t="n">
        <f aca="false">IFERROR(DATE(VALUE(MID(N1872,FIND("/",N1872,FIND("/",N1872)+1)+1,4)),VALUE(MID(N1872,FIND("/",N1872)+1,FIND("/",N1872,FIND("/",N1872)+1)-FIND("/",N1872)-1)),VALUE(LEFT(N1872,FIND("/",N1872)-1))),0)</f>
        <v>0</v>
      </c>
    </row>
    <row r="1873" customFormat="false" ht="15" hidden="false" customHeight="false" outlineLevel="0" collapsed="false">
      <c r="N1873" s="0" t="str">
        <f aca="false">IF(H1873="","",IFERROR(LEFT(H1873,FIND(" ",H1873)-1),H1873))</f>
        <v/>
      </c>
      <c r="O1873" s="20" t="n">
        <f aca="false">IFERROR(DATE(VALUE(MID(N1873,FIND("/",N1873,FIND("/",N1873)+1)+1,4)),VALUE(MID(N1873,FIND("/",N1873)+1,FIND("/",N1873,FIND("/",N1873)+1)-FIND("/",N1873)-1)),VALUE(LEFT(N1873,FIND("/",N1873)-1))),0)</f>
        <v>0</v>
      </c>
    </row>
    <row r="1874" customFormat="false" ht="15" hidden="false" customHeight="false" outlineLevel="0" collapsed="false">
      <c r="N1874" s="0" t="str">
        <f aca="false">IF(H1874="","",IFERROR(LEFT(H1874,FIND(" ",H1874)-1),H1874))</f>
        <v/>
      </c>
      <c r="O1874" s="20" t="n">
        <f aca="false">IFERROR(DATE(VALUE(MID(N1874,FIND("/",N1874,FIND("/",N1874)+1)+1,4)),VALUE(MID(N1874,FIND("/",N1874)+1,FIND("/",N1874,FIND("/",N1874)+1)-FIND("/",N1874)-1)),VALUE(LEFT(N1874,FIND("/",N1874)-1))),0)</f>
        <v>0</v>
      </c>
    </row>
    <row r="1875" customFormat="false" ht="15" hidden="false" customHeight="false" outlineLevel="0" collapsed="false">
      <c r="N1875" s="0" t="str">
        <f aca="false">IF(H1875="","",IFERROR(LEFT(H1875,FIND(" ",H1875)-1),H1875))</f>
        <v/>
      </c>
      <c r="O1875" s="20" t="n">
        <f aca="false">IFERROR(DATE(VALUE(MID(N1875,FIND("/",N1875,FIND("/",N1875)+1)+1,4)),VALUE(MID(N1875,FIND("/",N1875)+1,FIND("/",N1875,FIND("/",N1875)+1)-FIND("/",N1875)-1)),VALUE(LEFT(N1875,FIND("/",N1875)-1))),0)</f>
        <v>0</v>
      </c>
    </row>
    <row r="1876" customFormat="false" ht="15" hidden="false" customHeight="false" outlineLevel="0" collapsed="false">
      <c r="N1876" s="0" t="str">
        <f aca="false">IF(H1876="","",IFERROR(LEFT(H1876,FIND(" ",H1876)-1),H1876))</f>
        <v/>
      </c>
      <c r="O1876" s="20" t="n">
        <f aca="false">IFERROR(DATE(VALUE(MID(N1876,FIND("/",N1876,FIND("/",N1876)+1)+1,4)),VALUE(MID(N1876,FIND("/",N1876)+1,FIND("/",N1876,FIND("/",N1876)+1)-FIND("/",N1876)-1)),VALUE(LEFT(N1876,FIND("/",N1876)-1))),0)</f>
        <v>0</v>
      </c>
    </row>
    <row r="1877" customFormat="false" ht="15" hidden="false" customHeight="false" outlineLevel="0" collapsed="false">
      <c r="N1877" s="0" t="str">
        <f aca="false">IF(H1877="","",IFERROR(LEFT(H1877,FIND(" ",H1877)-1),H1877))</f>
        <v/>
      </c>
      <c r="O1877" s="20" t="n">
        <f aca="false">IFERROR(DATE(VALUE(MID(N1877,FIND("/",N1877,FIND("/",N1877)+1)+1,4)),VALUE(MID(N1877,FIND("/",N1877)+1,FIND("/",N1877,FIND("/",N1877)+1)-FIND("/",N1877)-1)),VALUE(LEFT(N1877,FIND("/",N1877)-1))),0)</f>
        <v>0</v>
      </c>
    </row>
    <row r="1878" customFormat="false" ht="15" hidden="false" customHeight="false" outlineLevel="0" collapsed="false">
      <c r="N1878" s="0" t="str">
        <f aca="false">IF(H1878="","",IFERROR(LEFT(H1878,FIND(" ",H1878)-1),H1878))</f>
        <v/>
      </c>
      <c r="O1878" s="20" t="n">
        <f aca="false">IFERROR(DATE(VALUE(MID(N1878,FIND("/",N1878,FIND("/",N1878)+1)+1,4)),VALUE(MID(N1878,FIND("/",N1878)+1,FIND("/",N1878,FIND("/",N1878)+1)-FIND("/",N1878)-1)),VALUE(LEFT(N1878,FIND("/",N1878)-1))),0)</f>
        <v>0</v>
      </c>
    </row>
    <row r="1879" customFormat="false" ht="15" hidden="false" customHeight="false" outlineLevel="0" collapsed="false">
      <c r="N1879" s="0" t="str">
        <f aca="false">IF(H1879="","",IFERROR(LEFT(H1879,FIND(" ",H1879)-1),H1879))</f>
        <v/>
      </c>
      <c r="O1879" s="20" t="n">
        <f aca="false">IFERROR(DATE(VALUE(MID(N1879,FIND("/",N1879,FIND("/",N1879)+1)+1,4)),VALUE(MID(N1879,FIND("/",N1879)+1,FIND("/",N1879,FIND("/",N1879)+1)-FIND("/",N1879)-1)),VALUE(LEFT(N1879,FIND("/",N1879)-1))),0)</f>
        <v>0</v>
      </c>
    </row>
    <row r="1880" customFormat="false" ht="15" hidden="false" customHeight="false" outlineLevel="0" collapsed="false">
      <c r="N1880" s="0" t="str">
        <f aca="false">IF(H1880="","",IFERROR(LEFT(H1880,FIND(" ",H1880)-1),H1880))</f>
        <v/>
      </c>
      <c r="O1880" s="20" t="n">
        <f aca="false">IFERROR(DATE(VALUE(MID(N1880,FIND("/",N1880,FIND("/",N1880)+1)+1,4)),VALUE(MID(N1880,FIND("/",N1880)+1,FIND("/",N1880,FIND("/",N1880)+1)-FIND("/",N1880)-1)),VALUE(LEFT(N1880,FIND("/",N1880)-1))),0)</f>
        <v>0</v>
      </c>
    </row>
    <row r="1881" customFormat="false" ht="15" hidden="false" customHeight="false" outlineLevel="0" collapsed="false">
      <c r="N1881" s="0" t="str">
        <f aca="false">IF(H1881="","",IFERROR(LEFT(H1881,FIND(" ",H1881)-1),H1881))</f>
        <v/>
      </c>
      <c r="O1881" s="20" t="n">
        <f aca="false">IFERROR(DATE(VALUE(MID(N1881,FIND("/",N1881,FIND("/",N1881)+1)+1,4)),VALUE(MID(N1881,FIND("/",N1881)+1,FIND("/",N1881,FIND("/",N1881)+1)-FIND("/",N1881)-1)),VALUE(LEFT(N1881,FIND("/",N1881)-1))),0)</f>
        <v>0</v>
      </c>
    </row>
    <row r="1882" customFormat="false" ht="15" hidden="false" customHeight="false" outlineLevel="0" collapsed="false">
      <c r="N1882" s="0" t="str">
        <f aca="false">IF(H1882="","",IFERROR(LEFT(H1882,FIND(" ",H1882)-1),H1882))</f>
        <v/>
      </c>
      <c r="O1882" s="20" t="n">
        <f aca="false">IFERROR(DATE(VALUE(MID(N1882,FIND("/",N1882,FIND("/",N1882)+1)+1,4)),VALUE(MID(N1882,FIND("/",N1882)+1,FIND("/",N1882,FIND("/",N1882)+1)-FIND("/",N1882)-1)),VALUE(LEFT(N1882,FIND("/",N1882)-1))),0)</f>
        <v>0</v>
      </c>
    </row>
    <row r="1883" customFormat="false" ht="15" hidden="false" customHeight="false" outlineLevel="0" collapsed="false">
      <c r="N1883" s="0" t="str">
        <f aca="false">IF(H1883="","",IFERROR(LEFT(H1883,FIND(" ",H1883)-1),H1883))</f>
        <v/>
      </c>
      <c r="O1883" s="20" t="n">
        <f aca="false">IFERROR(DATE(VALUE(MID(N1883,FIND("/",N1883,FIND("/",N1883)+1)+1,4)),VALUE(MID(N1883,FIND("/",N1883)+1,FIND("/",N1883,FIND("/",N1883)+1)-FIND("/",N1883)-1)),VALUE(LEFT(N1883,FIND("/",N1883)-1))),0)</f>
        <v>0</v>
      </c>
    </row>
    <row r="1884" customFormat="false" ht="15" hidden="false" customHeight="false" outlineLevel="0" collapsed="false">
      <c r="N1884" s="0" t="str">
        <f aca="false">IF(H1884="","",IFERROR(LEFT(H1884,FIND(" ",H1884)-1),H1884))</f>
        <v/>
      </c>
      <c r="O1884" s="20" t="n">
        <f aca="false">IFERROR(DATE(VALUE(MID(N1884,FIND("/",N1884,FIND("/",N1884)+1)+1,4)),VALUE(MID(N1884,FIND("/",N1884)+1,FIND("/",N1884,FIND("/",N1884)+1)-FIND("/",N1884)-1)),VALUE(LEFT(N1884,FIND("/",N1884)-1))),0)</f>
        <v>0</v>
      </c>
    </row>
    <row r="1885" customFormat="false" ht="15" hidden="false" customHeight="false" outlineLevel="0" collapsed="false">
      <c r="N1885" s="0" t="str">
        <f aca="false">IF(H1885="","",IFERROR(LEFT(H1885,FIND(" ",H1885)-1),H1885))</f>
        <v/>
      </c>
      <c r="O1885" s="20" t="n">
        <f aca="false">IFERROR(DATE(VALUE(MID(N1885,FIND("/",N1885,FIND("/",N1885)+1)+1,4)),VALUE(MID(N1885,FIND("/",N1885)+1,FIND("/",N1885,FIND("/",N1885)+1)-FIND("/",N1885)-1)),VALUE(LEFT(N1885,FIND("/",N1885)-1))),0)</f>
        <v>0</v>
      </c>
    </row>
    <row r="1886" customFormat="false" ht="15" hidden="false" customHeight="false" outlineLevel="0" collapsed="false">
      <c r="N1886" s="0" t="str">
        <f aca="false">IF(H1886="","",IFERROR(LEFT(H1886,FIND(" ",H1886)-1),H1886))</f>
        <v/>
      </c>
      <c r="O1886" s="20" t="n">
        <f aca="false">IFERROR(DATE(VALUE(MID(N1886,FIND("/",N1886,FIND("/",N1886)+1)+1,4)),VALUE(MID(N1886,FIND("/",N1886)+1,FIND("/",N1886,FIND("/",N1886)+1)-FIND("/",N1886)-1)),VALUE(LEFT(N1886,FIND("/",N1886)-1))),0)</f>
        <v>0</v>
      </c>
    </row>
    <row r="1887" customFormat="false" ht="15" hidden="false" customHeight="false" outlineLevel="0" collapsed="false">
      <c r="N1887" s="0" t="str">
        <f aca="false">IF(H1887="","",IFERROR(LEFT(H1887,FIND(" ",H1887)-1),H1887))</f>
        <v/>
      </c>
      <c r="O1887" s="20" t="n">
        <f aca="false">IFERROR(DATE(VALUE(MID(N1887,FIND("/",N1887,FIND("/",N1887)+1)+1,4)),VALUE(MID(N1887,FIND("/",N1887)+1,FIND("/",N1887,FIND("/",N1887)+1)-FIND("/",N1887)-1)),VALUE(LEFT(N1887,FIND("/",N1887)-1))),0)</f>
        <v>0</v>
      </c>
    </row>
    <row r="1888" customFormat="false" ht="15" hidden="false" customHeight="false" outlineLevel="0" collapsed="false">
      <c r="N1888" s="0" t="str">
        <f aca="false">IF(H1888="","",IFERROR(LEFT(H1888,FIND(" ",H1888)-1),H1888))</f>
        <v/>
      </c>
      <c r="O1888" s="20" t="n">
        <f aca="false">IFERROR(DATE(VALUE(MID(N1888,FIND("/",N1888,FIND("/",N1888)+1)+1,4)),VALUE(MID(N1888,FIND("/",N1888)+1,FIND("/",N1888,FIND("/",N1888)+1)-FIND("/",N1888)-1)),VALUE(LEFT(N1888,FIND("/",N1888)-1))),0)</f>
        <v>0</v>
      </c>
    </row>
    <row r="1889" customFormat="false" ht="15" hidden="false" customHeight="false" outlineLevel="0" collapsed="false">
      <c r="N1889" s="0" t="str">
        <f aca="false">IF(H1889="","",IFERROR(LEFT(H1889,FIND(" ",H1889)-1),H1889))</f>
        <v/>
      </c>
      <c r="O1889" s="20" t="n">
        <f aca="false">IFERROR(DATE(VALUE(MID(N1889,FIND("/",N1889,FIND("/",N1889)+1)+1,4)),VALUE(MID(N1889,FIND("/",N1889)+1,FIND("/",N1889,FIND("/",N1889)+1)-FIND("/",N1889)-1)),VALUE(LEFT(N1889,FIND("/",N1889)-1))),0)</f>
        <v>0</v>
      </c>
    </row>
    <row r="1890" customFormat="false" ht="15" hidden="false" customHeight="false" outlineLevel="0" collapsed="false">
      <c r="N1890" s="0" t="str">
        <f aca="false">IF(H1890="","",IFERROR(LEFT(H1890,FIND(" ",H1890)-1),H1890))</f>
        <v/>
      </c>
      <c r="O1890" s="20" t="n">
        <f aca="false">IFERROR(DATE(VALUE(MID(N1890,FIND("/",N1890,FIND("/",N1890)+1)+1,4)),VALUE(MID(N1890,FIND("/",N1890)+1,FIND("/",N1890,FIND("/",N1890)+1)-FIND("/",N1890)-1)),VALUE(LEFT(N1890,FIND("/",N1890)-1))),0)</f>
        <v>0</v>
      </c>
    </row>
    <row r="1891" customFormat="false" ht="15" hidden="false" customHeight="false" outlineLevel="0" collapsed="false">
      <c r="N1891" s="0" t="str">
        <f aca="false">IF(H1891="","",IFERROR(LEFT(H1891,FIND(" ",H1891)-1),H1891))</f>
        <v/>
      </c>
      <c r="O1891" s="20" t="n">
        <f aca="false">IFERROR(DATE(VALUE(MID(N1891,FIND("/",N1891,FIND("/",N1891)+1)+1,4)),VALUE(MID(N1891,FIND("/",N1891)+1,FIND("/",N1891,FIND("/",N1891)+1)-FIND("/",N1891)-1)),VALUE(LEFT(N1891,FIND("/",N1891)-1))),0)</f>
        <v>0</v>
      </c>
    </row>
    <row r="1892" customFormat="false" ht="15" hidden="false" customHeight="false" outlineLevel="0" collapsed="false">
      <c r="N1892" s="0" t="str">
        <f aca="false">IF(H1892="","",IFERROR(LEFT(H1892,FIND(" ",H1892)-1),H1892))</f>
        <v/>
      </c>
      <c r="O1892" s="20" t="n">
        <f aca="false">IFERROR(DATE(VALUE(MID(N1892,FIND("/",N1892,FIND("/",N1892)+1)+1,4)),VALUE(MID(N1892,FIND("/",N1892)+1,FIND("/",N1892,FIND("/",N1892)+1)-FIND("/",N1892)-1)),VALUE(LEFT(N1892,FIND("/",N1892)-1))),0)</f>
        <v>0</v>
      </c>
    </row>
    <row r="1893" customFormat="false" ht="15" hidden="false" customHeight="false" outlineLevel="0" collapsed="false">
      <c r="N1893" s="0" t="str">
        <f aca="false">IF(H1893="","",IFERROR(LEFT(H1893,FIND(" ",H1893)-1),H1893))</f>
        <v/>
      </c>
      <c r="O1893" s="20" t="n">
        <f aca="false">IFERROR(DATE(VALUE(MID(N1893,FIND("/",N1893,FIND("/",N1893)+1)+1,4)),VALUE(MID(N1893,FIND("/",N1893)+1,FIND("/",N1893,FIND("/",N1893)+1)-FIND("/",N1893)-1)),VALUE(LEFT(N1893,FIND("/",N1893)-1))),0)</f>
        <v>0</v>
      </c>
    </row>
    <row r="1894" customFormat="false" ht="15" hidden="false" customHeight="false" outlineLevel="0" collapsed="false">
      <c r="N1894" s="0" t="str">
        <f aca="false">IF(H1894="","",IFERROR(LEFT(H1894,FIND(" ",H1894)-1),H1894))</f>
        <v/>
      </c>
      <c r="O1894" s="20" t="n">
        <f aca="false">IFERROR(DATE(VALUE(MID(N1894,FIND("/",N1894,FIND("/",N1894)+1)+1,4)),VALUE(MID(N1894,FIND("/",N1894)+1,FIND("/",N1894,FIND("/",N1894)+1)-FIND("/",N1894)-1)),VALUE(LEFT(N1894,FIND("/",N1894)-1))),0)</f>
        <v>0</v>
      </c>
    </row>
    <row r="1895" customFormat="false" ht="15" hidden="false" customHeight="false" outlineLevel="0" collapsed="false">
      <c r="N1895" s="0" t="str">
        <f aca="false">IF(H1895="","",IFERROR(LEFT(H1895,FIND(" ",H1895)-1),H1895))</f>
        <v/>
      </c>
      <c r="O1895" s="20" t="n">
        <f aca="false">IFERROR(DATE(VALUE(MID(N1895,FIND("/",N1895,FIND("/",N1895)+1)+1,4)),VALUE(MID(N1895,FIND("/",N1895)+1,FIND("/",N1895,FIND("/",N1895)+1)-FIND("/",N1895)-1)),VALUE(LEFT(N1895,FIND("/",N1895)-1))),0)</f>
        <v>0</v>
      </c>
    </row>
    <row r="1896" customFormat="false" ht="15" hidden="false" customHeight="false" outlineLevel="0" collapsed="false">
      <c r="N1896" s="0" t="str">
        <f aca="false">IF(H1896="","",IFERROR(LEFT(H1896,FIND(" ",H1896)-1),H1896))</f>
        <v/>
      </c>
      <c r="O1896" s="20" t="n">
        <f aca="false">IFERROR(DATE(VALUE(MID(N1896,FIND("/",N1896,FIND("/",N1896)+1)+1,4)),VALUE(MID(N1896,FIND("/",N1896)+1,FIND("/",N1896,FIND("/",N1896)+1)-FIND("/",N1896)-1)),VALUE(LEFT(N1896,FIND("/",N1896)-1))),0)</f>
        <v>0</v>
      </c>
    </row>
    <row r="1897" customFormat="false" ht="15" hidden="false" customHeight="false" outlineLevel="0" collapsed="false">
      <c r="N1897" s="0" t="str">
        <f aca="false">IF(H1897="","",IFERROR(LEFT(H1897,FIND(" ",H1897)-1),H1897))</f>
        <v/>
      </c>
      <c r="O1897" s="20" t="n">
        <f aca="false">IFERROR(DATE(VALUE(MID(N1897,FIND("/",N1897,FIND("/",N1897)+1)+1,4)),VALUE(MID(N1897,FIND("/",N1897)+1,FIND("/",N1897,FIND("/",N1897)+1)-FIND("/",N1897)-1)),VALUE(LEFT(N1897,FIND("/",N1897)-1))),0)</f>
        <v>0</v>
      </c>
    </row>
    <row r="1898" customFormat="false" ht="15" hidden="false" customHeight="false" outlineLevel="0" collapsed="false">
      <c r="N1898" s="0" t="str">
        <f aca="false">IF(H1898="","",IFERROR(LEFT(H1898,FIND(" ",H1898)-1),H1898))</f>
        <v/>
      </c>
      <c r="O1898" s="20" t="n">
        <f aca="false">IFERROR(DATE(VALUE(MID(N1898,FIND("/",N1898,FIND("/",N1898)+1)+1,4)),VALUE(MID(N1898,FIND("/",N1898)+1,FIND("/",N1898,FIND("/",N1898)+1)-FIND("/",N1898)-1)),VALUE(LEFT(N1898,FIND("/",N1898)-1))),0)</f>
        <v>0</v>
      </c>
    </row>
    <row r="1899" customFormat="false" ht="15" hidden="false" customHeight="false" outlineLevel="0" collapsed="false">
      <c r="N1899" s="0" t="str">
        <f aca="false">IF(H1899="","",IFERROR(LEFT(H1899,FIND(" ",H1899)-1),H1899))</f>
        <v/>
      </c>
      <c r="O1899" s="20" t="n">
        <f aca="false">IFERROR(DATE(VALUE(MID(N1899,FIND("/",N1899,FIND("/",N1899)+1)+1,4)),VALUE(MID(N1899,FIND("/",N1899)+1,FIND("/",N1899,FIND("/",N1899)+1)-FIND("/",N1899)-1)),VALUE(LEFT(N1899,FIND("/",N1899)-1))),0)</f>
        <v>0</v>
      </c>
    </row>
    <row r="1900" customFormat="false" ht="15" hidden="false" customHeight="false" outlineLevel="0" collapsed="false">
      <c r="N1900" s="0" t="str">
        <f aca="false">IF(H1900="","",IFERROR(LEFT(H1900,FIND(" ",H1900)-1),H1900))</f>
        <v/>
      </c>
      <c r="O1900" s="20" t="n">
        <f aca="false">IFERROR(DATE(VALUE(MID(N1900,FIND("/",N1900,FIND("/",N1900)+1)+1,4)),VALUE(MID(N1900,FIND("/",N1900)+1,FIND("/",N1900,FIND("/",N1900)+1)-FIND("/",N1900)-1)),VALUE(LEFT(N1900,FIND("/",N1900)-1))),0)</f>
        <v>0</v>
      </c>
    </row>
    <row r="1901" customFormat="false" ht="15" hidden="false" customHeight="false" outlineLevel="0" collapsed="false">
      <c r="N1901" s="0" t="str">
        <f aca="false">IF(H1901="","",IFERROR(LEFT(H1901,FIND(" ",H1901)-1),H1901))</f>
        <v/>
      </c>
      <c r="O1901" s="20" t="n">
        <f aca="false">IFERROR(DATE(VALUE(MID(N1901,FIND("/",N1901,FIND("/",N1901)+1)+1,4)),VALUE(MID(N1901,FIND("/",N1901)+1,FIND("/",N1901,FIND("/",N1901)+1)-FIND("/",N1901)-1)),VALUE(LEFT(N1901,FIND("/",N1901)-1))),0)</f>
        <v>0</v>
      </c>
    </row>
    <row r="1902" customFormat="false" ht="15" hidden="false" customHeight="false" outlineLevel="0" collapsed="false">
      <c r="N1902" s="0" t="str">
        <f aca="false">IF(H1902="","",IFERROR(LEFT(H1902,FIND(" ",H1902)-1),H1902))</f>
        <v/>
      </c>
      <c r="O1902" s="20" t="n">
        <f aca="false">IFERROR(DATE(VALUE(MID(N1902,FIND("/",N1902,FIND("/",N1902)+1)+1,4)),VALUE(MID(N1902,FIND("/",N1902)+1,FIND("/",N1902,FIND("/",N1902)+1)-FIND("/",N1902)-1)),VALUE(LEFT(N1902,FIND("/",N1902)-1))),0)</f>
        <v>0</v>
      </c>
    </row>
    <row r="1903" customFormat="false" ht="15" hidden="false" customHeight="false" outlineLevel="0" collapsed="false">
      <c r="N1903" s="0" t="str">
        <f aca="false">IF(H1903="","",IFERROR(LEFT(H1903,FIND(" ",H1903)-1),H1903))</f>
        <v/>
      </c>
      <c r="O1903" s="20" t="n">
        <f aca="false">IFERROR(DATE(VALUE(MID(N1903,FIND("/",N1903,FIND("/",N1903)+1)+1,4)),VALUE(MID(N1903,FIND("/",N1903)+1,FIND("/",N1903,FIND("/",N1903)+1)-FIND("/",N1903)-1)),VALUE(LEFT(N1903,FIND("/",N1903)-1))),0)</f>
        <v>0</v>
      </c>
    </row>
    <row r="1904" customFormat="false" ht="15" hidden="false" customHeight="false" outlineLevel="0" collapsed="false">
      <c r="N1904" s="0" t="str">
        <f aca="false">IF(H1904="","",IFERROR(LEFT(H1904,FIND(" ",H1904)-1),H1904))</f>
        <v/>
      </c>
      <c r="O1904" s="20" t="n">
        <f aca="false">IFERROR(DATE(VALUE(MID(N1904,FIND("/",N1904,FIND("/",N1904)+1)+1,4)),VALUE(MID(N1904,FIND("/",N1904)+1,FIND("/",N1904,FIND("/",N1904)+1)-FIND("/",N1904)-1)),VALUE(LEFT(N1904,FIND("/",N1904)-1))),0)</f>
        <v>0</v>
      </c>
    </row>
    <row r="1905" customFormat="false" ht="15" hidden="false" customHeight="false" outlineLevel="0" collapsed="false">
      <c r="N1905" s="0" t="str">
        <f aca="false">IF(H1905="","",IFERROR(LEFT(H1905,FIND(" ",H1905)-1),H1905))</f>
        <v/>
      </c>
      <c r="O1905" s="20" t="n">
        <f aca="false">IFERROR(DATE(VALUE(MID(N1905,FIND("/",N1905,FIND("/",N1905)+1)+1,4)),VALUE(MID(N1905,FIND("/",N1905)+1,FIND("/",N1905,FIND("/",N1905)+1)-FIND("/",N1905)-1)),VALUE(LEFT(N1905,FIND("/",N1905)-1))),0)</f>
        <v>0</v>
      </c>
    </row>
    <row r="1906" customFormat="false" ht="15" hidden="false" customHeight="false" outlineLevel="0" collapsed="false">
      <c r="N1906" s="0" t="str">
        <f aca="false">IF(H1906="","",IFERROR(LEFT(H1906,FIND(" ",H1906)-1),H1906))</f>
        <v/>
      </c>
      <c r="O1906" s="20" t="n">
        <f aca="false">IFERROR(DATE(VALUE(MID(N1906,FIND("/",N1906,FIND("/",N1906)+1)+1,4)),VALUE(MID(N1906,FIND("/",N1906)+1,FIND("/",N1906,FIND("/",N1906)+1)-FIND("/",N1906)-1)),VALUE(LEFT(N1906,FIND("/",N1906)-1))),0)</f>
        <v>0</v>
      </c>
    </row>
    <row r="1907" customFormat="false" ht="15" hidden="false" customHeight="false" outlineLevel="0" collapsed="false">
      <c r="N1907" s="0" t="str">
        <f aca="false">IF(H1907="","",IFERROR(LEFT(H1907,FIND(" ",H1907)-1),H1907))</f>
        <v/>
      </c>
      <c r="O1907" s="20" t="n">
        <f aca="false">IFERROR(DATE(VALUE(MID(N1907,FIND("/",N1907,FIND("/",N1907)+1)+1,4)),VALUE(MID(N1907,FIND("/",N1907)+1,FIND("/",N1907,FIND("/",N1907)+1)-FIND("/",N1907)-1)),VALUE(LEFT(N1907,FIND("/",N1907)-1))),0)</f>
        <v>0</v>
      </c>
    </row>
    <row r="1908" customFormat="false" ht="15" hidden="false" customHeight="false" outlineLevel="0" collapsed="false">
      <c r="N1908" s="0" t="str">
        <f aca="false">IF(H1908="","",IFERROR(LEFT(H1908,FIND(" ",H1908)-1),H1908))</f>
        <v/>
      </c>
      <c r="O1908" s="20" t="n">
        <f aca="false">IFERROR(DATE(VALUE(MID(N1908,FIND("/",N1908,FIND("/",N1908)+1)+1,4)),VALUE(MID(N1908,FIND("/",N1908)+1,FIND("/",N1908,FIND("/",N1908)+1)-FIND("/",N1908)-1)),VALUE(LEFT(N1908,FIND("/",N1908)-1))),0)</f>
        <v>0</v>
      </c>
    </row>
    <row r="1909" customFormat="false" ht="15" hidden="false" customHeight="false" outlineLevel="0" collapsed="false">
      <c r="N1909" s="0" t="str">
        <f aca="false">IF(H1909="","",IFERROR(LEFT(H1909,FIND(" ",H1909)-1),H1909))</f>
        <v/>
      </c>
      <c r="O1909" s="20" t="n">
        <f aca="false">IFERROR(DATE(VALUE(MID(N1909,FIND("/",N1909,FIND("/",N1909)+1)+1,4)),VALUE(MID(N1909,FIND("/",N1909)+1,FIND("/",N1909,FIND("/",N1909)+1)-FIND("/",N1909)-1)),VALUE(LEFT(N1909,FIND("/",N1909)-1))),0)</f>
        <v>0</v>
      </c>
    </row>
    <row r="1910" customFormat="false" ht="15" hidden="false" customHeight="false" outlineLevel="0" collapsed="false">
      <c r="N1910" s="0" t="str">
        <f aca="false">IF(H1910="","",IFERROR(LEFT(H1910,FIND(" ",H1910)-1),H1910))</f>
        <v/>
      </c>
      <c r="O1910" s="20" t="n">
        <f aca="false">IFERROR(DATE(VALUE(MID(N1910,FIND("/",N1910,FIND("/",N1910)+1)+1,4)),VALUE(MID(N1910,FIND("/",N1910)+1,FIND("/",N1910,FIND("/",N1910)+1)-FIND("/",N1910)-1)),VALUE(LEFT(N1910,FIND("/",N1910)-1))),0)</f>
        <v>0</v>
      </c>
    </row>
    <row r="1911" customFormat="false" ht="15" hidden="false" customHeight="false" outlineLevel="0" collapsed="false">
      <c r="N1911" s="0" t="str">
        <f aca="false">IF(H1911="","",IFERROR(LEFT(H1911,FIND(" ",H1911)-1),H1911))</f>
        <v/>
      </c>
      <c r="O1911" s="20" t="n">
        <f aca="false">IFERROR(DATE(VALUE(MID(N1911,FIND("/",N1911,FIND("/",N1911)+1)+1,4)),VALUE(MID(N1911,FIND("/",N1911)+1,FIND("/",N1911,FIND("/",N1911)+1)-FIND("/",N1911)-1)),VALUE(LEFT(N1911,FIND("/",N1911)-1))),0)</f>
        <v>0</v>
      </c>
    </row>
    <row r="1912" customFormat="false" ht="15" hidden="false" customHeight="false" outlineLevel="0" collapsed="false">
      <c r="N1912" s="0" t="str">
        <f aca="false">IF(H1912="","",IFERROR(LEFT(H1912,FIND(" ",H1912)-1),H1912))</f>
        <v/>
      </c>
      <c r="O1912" s="20" t="n">
        <f aca="false">IFERROR(DATE(VALUE(MID(N1912,FIND("/",N1912,FIND("/",N1912)+1)+1,4)),VALUE(MID(N1912,FIND("/",N1912)+1,FIND("/",N1912,FIND("/",N1912)+1)-FIND("/",N1912)-1)),VALUE(LEFT(N1912,FIND("/",N1912)-1))),0)</f>
        <v>0</v>
      </c>
    </row>
    <row r="1913" customFormat="false" ht="15" hidden="false" customHeight="false" outlineLevel="0" collapsed="false">
      <c r="N1913" s="0" t="str">
        <f aca="false">IF(H1913="","",IFERROR(LEFT(H1913,FIND(" ",H1913)-1),H1913))</f>
        <v/>
      </c>
      <c r="O1913" s="20" t="n">
        <f aca="false">IFERROR(DATE(VALUE(MID(N1913,FIND("/",N1913,FIND("/",N1913)+1)+1,4)),VALUE(MID(N1913,FIND("/",N1913)+1,FIND("/",N1913,FIND("/",N1913)+1)-FIND("/",N1913)-1)),VALUE(LEFT(N1913,FIND("/",N1913)-1))),0)</f>
        <v>0</v>
      </c>
    </row>
    <row r="1914" customFormat="false" ht="15" hidden="false" customHeight="false" outlineLevel="0" collapsed="false">
      <c r="N1914" s="0" t="str">
        <f aca="false">IF(H1914="","",IFERROR(LEFT(H1914,FIND(" ",H1914)-1),H1914))</f>
        <v/>
      </c>
      <c r="O1914" s="20" t="n">
        <f aca="false">IFERROR(DATE(VALUE(MID(N1914,FIND("/",N1914,FIND("/",N1914)+1)+1,4)),VALUE(MID(N1914,FIND("/",N1914)+1,FIND("/",N1914,FIND("/",N1914)+1)-FIND("/",N1914)-1)),VALUE(LEFT(N1914,FIND("/",N1914)-1))),0)</f>
        <v>0</v>
      </c>
    </row>
    <row r="1915" customFormat="false" ht="15" hidden="false" customHeight="false" outlineLevel="0" collapsed="false">
      <c r="N1915" s="0" t="str">
        <f aca="false">IF(H1915="","",IFERROR(LEFT(H1915,FIND(" ",H1915)-1),H1915))</f>
        <v/>
      </c>
      <c r="O1915" s="20" t="n">
        <f aca="false">IFERROR(DATE(VALUE(MID(N1915,FIND("/",N1915,FIND("/",N1915)+1)+1,4)),VALUE(MID(N1915,FIND("/",N1915)+1,FIND("/",N1915,FIND("/",N1915)+1)-FIND("/",N1915)-1)),VALUE(LEFT(N1915,FIND("/",N1915)-1))),0)</f>
        <v>0</v>
      </c>
    </row>
    <row r="1916" customFormat="false" ht="15" hidden="false" customHeight="false" outlineLevel="0" collapsed="false">
      <c r="N1916" s="0" t="str">
        <f aca="false">IF(H1916="","",IFERROR(LEFT(H1916,FIND(" ",H1916)-1),H1916))</f>
        <v/>
      </c>
      <c r="O1916" s="20" t="n">
        <f aca="false">IFERROR(DATE(VALUE(MID(N1916,FIND("/",N1916,FIND("/",N1916)+1)+1,4)),VALUE(MID(N1916,FIND("/",N1916)+1,FIND("/",N1916,FIND("/",N1916)+1)-FIND("/",N1916)-1)),VALUE(LEFT(N1916,FIND("/",N1916)-1))),0)</f>
        <v>0</v>
      </c>
    </row>
    <row r="1917" customFormat="false" ht="15" hidden="false" customHeight="false" outlineLevel="0" collapsed="false">
      <c r="N1917" s="0" t="str">
        <f aca="false">IF(H1917="","",IFERROR(LEFT(H1917,FIND(" ",H1917)-1),H1917))</f>
        <v/>
      </c>
      <c r="O1917" s="20" t="n">
        <f aca="false">IFERROR(DATE(VALUE(MID(N1917,FIND("/",N1917,FIND("/",N1917)+1)+1,4)),VALUE(MID(N1917,FIND("/",N1917)+1,FIND("/",N1917,FIND("/",N1917)+1)-FIND("/",N1917)-1)),VALUE(LEFT(N1917,FIND("/",N1917)-1))),0)</f>
        <v>0</v>
      </c>
    </row>
    <row r="1918" customFormat="false" ht="15" hidden="false" customHeight="false" outlineLevel="0" collapsed="false">
      <c r="N1918" s="0" t="str">
        <f aca="false">IF(H1918="","",IFERROR(LEFT(H1918,FIND(" ",H1918)-1),H1918))</f>
        <v/>
      </c>
      <c r="O1918" s="20" t="n">
        <f aca="false">IFERROR(DATE(VALUE(MID(N1918,FIND("/",N1918,FIND("/",N1918)+1)+1,4)),VALUE(MID(N1918,FIND("/",N1918)+1,FIND("/",N1918,FIND("/",N1918)+1)-FIND("/",N1918)-1)),VALUE(LEFT(N1918,FIND("/",N1918)-1))),0)</f>
        <v>0</v>
      </c>
    </row>
    <row r="1919" customFormat="false" ht="15" hidden="false" customHeight="false" outlineLevel="0" collapsed="false">
      <c r="N1919" s="0" t="str">
        <f aca="false">IF(H1919="","",IFERROR(LEFT(H1919,FIND(" ",H1919)-1),H1919))</f>
        <v/>
      </c>
      <c r="O1919" s="20" t="n">
        <f aca="false">IFERROR(DATE(VALUE(MID(N1919,FIND("/",N1919,FIND("/",N1919)+1)+1,4)),VALUE(MID(N1919,FIND("/",N1919)+1,FIND("/",N1919,FIND("/",N1919)+1)-FIND("/",N1919)-1)),VALUE(LEFT(N1919,FIND("/",N1919)-1))),0)</f>
        <v>0</v>
      </c>
    </row>
    <row r="1920" customFormat="false" ht="15" hidden="false" customHeight="false" outlineLevel="0" collapsed="false">
      <c r="N1920" s="0" t="str">
        <f aca="false">IF(H1920="","",IFERROR(LEFT(H1920,FIND(" ",H1920)-1),H1920))</f>
        <v/>
      </c>
      <c r="O1920" s="20" t="n">
        <f aca="false">IFERROR(DATE(VALUE(MID(N1920,FIND("/",N1920,FIND("/",N1920)+1)+1,4)),VALUE(MID(N1920,FIND("/",N1920)+1,FIND("/",N1920,FIND("/",N1920)+1)-FIND("/",N1920)-1)),VALUE(LEFT(N1920,FIND("/",N1920)-1))),0)</f>
        <v>0</v>
      </c>
    </row>
    <row r="1921" customFormat="false" ht="15" hidden="false" customHeight="false" outlineLevel="0" collapsed="false">
      <c r="N1921" s="0" t="str">
        <f aca="false">IF(H1921="","",IFERROR(LEFT(H1921,FIND(" ",H1921)-1),H1921))</f>
        <v/>
      </c>
      <c r="O1921" s="20" t="n">
        <f aca="false">IFERROR(DATE(VALUE(MID(N1921,FIND("/",N1921,FIND("/",N1921)+1)+1,4)),VALUE(MID(N1921,FIND("/",N1921)+1,FIND("/",N1921,FIND("/",N1921)+1)-FIND("/",N1921)-1)),VALUE(LEFT(N1921,FIND("/",N1921)-1))),0)</f>
        <v>0</v>
      </c>
    </row>
    <row r="1922" customFormat="false" ht="15" hidden="false" customHeight="false" outlineLevel="0" collapsed="false">
      <c r="N1922" s="0" t="str">
        <f aca="false">IF(H1922="","",IFERROR(LEFT(H1922,FIND(" ",H1922)-1),H1922))</f>
        <v/>
      </c>
      <c r="O1922" s="20" t="n">
        <f aca="false">IFERROR(DATE(VALUE(MID(N1922,FIND("/",N1922,FIND("/",N1922)+1)+1,4)),VALUE(MID(N1922,FIND("/",N1922)+1,FIND("/",N1922,FIND("/",N1922)+1)-FIND("/",N1922)-1)),VALUE(LEFT(N1922,FIND("/",N1922)-1))),0)</f>
        <v>0</v>
      </c>
    </row>
    <row r="1923" customFormat="false" ht="15" hidden="false" customHeight="false" outlineLevel="0" collapsed="false">
      <c r="N1923" s="0" t="str">
        <f aca="false">IF(H1923="","",IFERROR(LEFT(H1923,FIND(" ",H1923)-1),H1923))</f>
        <v/>
      </c>
      <c r="O1923" s="20" t="n">
        <f aca="false">IFERROR(DATE(VALUE(MID(N1923,FIND("/",N1923,FIND("/",N1923)+1)+1,4)),VALUE(MID(N1923,FIND("/",N1923)+1,FIND("/",N1923,FIND("/",N1923)+1)-FIND("/",N1923)-1)),VALUE(LEFT(N1923,FIND("/",N1923)-1))),0)</f>
        <v>0</v>
      </c>
    </row>
    <row r="1924" customFormat="false" ht="15" hidden="false" customHeight="false" outlineLevel="0" collapsed="false">
      <c r="N1924" s="0" t="str">
        <f aca="false">IF(H1924="","",IFERROR(LEFT(H1924,FIND(" ",H1924)-1),H1924))</f>
        <v/>
      </c>
      <c r="O1924" s="20" t="n">
        <f aca="false">IFERROR(DATE(VALUE(MID(N1924,FIND("/",N1924,FIND("/",N1924)+1)+1,4)),VALUE(MID(N1924,FIND("/",N1924)+1,FIND("/",N1924,FIND("/",N1924)+1)-FIND("/",N1924)-1)),VALUE(LEFT(N1924,FIND("/",N1924)-1))),0)</f>
        <v>0</v>
      </c>
    </row>
    <row r="1925" customFormat="false" ht="15" hidden="false" customHeight="false" outlineLevel="0" collapsed="false">
      <c r="N1925" s="0" t="str">
        <f aca="false">IF(H1925="","",IFERROR(LEFT(H1925,FIND(" ",H1925)-1),H1925))</f>
        <v/>
      </c>
      <c r="O1925" s="20" t="n">
        <f aca="false">IFERROR(DATE(VALUE(MID(N1925,FIND("/",N1925,FIND("/",N1925)+1)+1,4)),VALUE(MID(N1925,FIND("/",N1925)+1,FIND("/",N1925,FIND("/",N1925)+1)-FIND("/",N1925)-1)),VALUE(LEFT(N1925,FIND("/",N1925)-1))),0)</f>
        <v>0</v>
      </c>
    </row>
    <row r="1926" customFormat="false" ht="15" hidden="false" customHeight="false" outlineLevel="0" collapsed="false">
      <c r="N1926" s="0" t="str">
        <f aca="false">IF(H1926="","",IFERROR(LEFT(H1926,FIND(" ",H1926)-1),H1926))</f>
        <v/>
      </c>
      <c r="O1926" s="20" t="n">
        <f aca="false">IFERROR(DATE(VALUE(MID(N1926,FIND("/",N1926,FIND("/",N1926)+1)+1,4)),VALUE(MID(N1926,FIND("/",N1926)+1,FIND("/",N1926,FIND("/",N1926)+1)-FIND("/",N1926)-1)),VALUE(LEFT(N1926,FIND("/",N1926)-1))),0)</f>
        <v>0</v>
      </c>
    </row>
    <row r="1927" customFormat="false" ht="15" hidden="false" customHeight="false" outlineLevel="0" collapsed="false">
      <c r="N1927" s="0" t="str">
        <f aca="false">IF(H1927="","",IFERROR(LEFT(H1927,FIND(" ",H1927)-1),H1927))</f>
        <v/>
      </c>
      <c r="O1927" s="20" t="n">
        <f aca="false">IFERROR(DATE(VALUE(MID(N1927,FIND("/",N1927,FIND("/",N1927)+1)+1,4)),VALUE(MID(N1927,FIND("/",N1927)+1,FIND("/",N1927,FIND("/",N1927)+1)-FIND("/",N1927)-1)),VALUE(LEFT(N1927,FIND("/",N1927)-1))),0)</f>
        <v>0</v>
      </c>
    </row>
    <row r="1928" customFormat="false" ht="15" hidden="false" customHeight="false" outlineLevel="0" collapsed="false">
      <c r="N1928" s="0" t="str">
        <f aca="false">IF(H1928="","",IFERROR(LEFT(H1928,FIND(" ",H1928)-1),H1928))</f>
        <v/>
      </c>
      <c r="O1928" s="20" t="n">
        <f aca="false">IFERROR(DATE(VALUE(MID(N1928,FIND("/",N1928,FIND("/",N1928)+1)+1,4)),VALUE(MID(N1928,FIND("/",N1928)+1,FIND("/",N1928,FIND("/",N1928)+1)-FIND("/",N1928)-1)),VALUE(LEFT(N1928,FIND("/",N1928)-1))),0)</f>
        <v>0</v>
      </c>
    </row>
    <row r="1929" customFormat="false" ht="15" hidden="false" customHeight="false" outlineLevel="0" collapsed="false">
      <c r="N1929" s="0" t="str">
        <f aca="false">IF(H1929="","",IFERROR(LEFT(H1929,FIND(" ",H1929)-1),H1929))</f>
        <v/>
      </c>
      <c r="O1929" s="20" t="n">
        <f aca="false">IFERROR(DATE(VALUE(MID(N1929,FIND("/",N1929,FIND("/",N1929)+1)+1,4)),VALUE(MID(N1929,FIND("/",N1929)+1,FIND("/",N1929,FIND("/",N1929)+1)-FIND("/",N1929)-1)),VALUE(LEFT(N1929,FIND("/",N1929)-1))),0)</f>
        <v>0</v>
      </c>
    </row>
    <row r="1930" customFormat="false" ht="15" hidden="false" customHeight="false" outlineLevel="0" collapsed="false">
      <c r="N1930" s="0" t="str">
        <f aca="false">IF(H1930="","",IFERROR(LEFT(H1930,FIND(" ",H1930)-1),H1930))</f>
        <v/>
      </c>
      <c r="O1930" s="20" t="n">
        <f aca="false">IFERROR(DATE(VALUE(MID(N1930,FIND("/",N1930,FIND("/",N1930)+1)+1,4)),VALUE(MID(N1930,FIND("/",N1930)+1,FIND("/",N1930,FIND("/",N1930)+1)-FIND("/",N1930)-1)),VALUE(LEFT(N1930,FIND("/",N1930)-1))),0)</f>
        <v>0</v>
      </c>
    </row>
    <row r="1931" customFormat="false" ht="15" hidden="false" customHeight="false" outlineLevel="0" collapsed="false">
      <c r="N1931" s="0" t="str">
        <f aca="false">IF(H1931="","",IFERROR(LEFT(H1931,FIND(" ",H1931)-1),H1931))</f>
        <v/>
      </c>
      <c r="O1931" s="20" t="n">
        <f aca="false">IFERROR(DATE(VALUE(MID(N1931,FIND("/",N1931,FIND("/",N1931)+1)+1,4)),VALUE(MID(N1931,FIND("/",N1931)+1,FIND("/",N1931,FIND("/",N1931)+1)-FIND("/",N1931)-1)),VALUE(LEFT(N1931,FIND("/",N1931)-1))),0)</f>
        <v>0</v>
      </c>
    </row>
    <row r="1932" customFormat="false" ht="15" hidden="false" customHeight="false" outlineLevel="0" collapsed="false">
      <c r="N1932" s="0" t="str">
        <f aca="false">IF(H1932="","",IFERROR(LEFT(H1932,FIND(" ",H1932)-1),H1932))</f>
        <v/>
      </c>
      <c r="O1932" s="20" t="n">
        <f aca="false">IFERROR(DATE(VALUE(MID(N1932,FIND("/",N1932,FIND("/",N1932)+1)+1,4)),VALUE(MID(N1932,FIND("/",N1932)+1,FIND("/",N1932,FIND("/",N1932)+1)-FIND("/",N1932)-1)),VALUE(LEFT(N1932,FIND("/",N1932)-1))),0)</f>
        <v>0</v>
      </c>
    </row>
    <row r="1933" customFormat="false" ht="15" hidden="false" customHeight="false" outlineLevel="0" collapsed="false">
      <c r="N1933" s="0" t="str">
        <f aca="false">IF(H1933="","",IFERROR(LEFT(H1933,FIND(" ",H1933)-1),H1933))</f>
        <v/>
      </c>
      <c r="O1933" s="20" t="n">
        <f aca="false">IFERROR(DATE(VALUE(MID(N1933,FIND("/",N1933,FIND("/",N1933)+1)+1,4)),VALUE(MID(N1933,FIND("/",N1933)+1,FIND("/",N1933,FIND("/",N1933)+1)-FIND("/",N1933)-1)),VALUE(LEFT(N1933,FIND("/",N1933)-1))),0)</f>
        <v>0</v>
      </c>
    </row>
    <row r="1934" customFormat="false" ht="15" hidden="false" customHeight="false" outlineLevel="0" collapsed="false">
      <c r="N1934" s="0" t="str">
        <f aca="false">IF(H1934="","",IFERROR(LEFT(H1934,FIND(" ",H1934)-1),H1934))</f>
        <v/>
      </c>
      <c r="O1934" s="20" t="n">
        <f aca="false">IFERROR(DATE(VALUE(MID(N1934,FIND("/",N1934,FIND("/",N1934)+1)+1,4)),VALUE(MID(N1934,FIND("/",N1934)+1,FIND("/",N1934,FIND("/",N1934)+1)-FIND("/",N1934)-1)),VALUE(LEFT(N1934,FIND("/",N1934)-1))),0)</f>
        <v>0</v>
      </c>
    </row>
    <row r="1935" customFormat="false" ht="15" hidden="false" customHeight="false" outlineLevel="0" collapsed="false">
      <c r="N1935" s="0" t="str">
        <f aca="false">IF(H1935="","",IFERROR(LEFT(H1935,FIND(" ",H1935)-1),H1935))</f>
        <v/>
      </c>
      <c r="O1935" s="20" t="n">
        <f aca="false">IFERROR(DATE(VALUE(MID(N1935,FIND("/",N1935,FIND("/",N1935)+1)+1,4)),VALUE(MID(N1935,FIND("/",N1935)+1,FIND("/",N1935,FIND("/",N1935)+1)-FIND("/",N1935)-1)),VALUE(LEFT(N1935,FIND("/",N1935)-1))),0)</f>
        <v>0</v>
      </c>
    </row>
    <row r="1936" customFormat="false" ht="15" hidden="false" customHeight="false" outlineLevel="0" collapsed="false">
      <c r="N1936" s="0" t="str">
        <f aca="false">IF(H1936="","",IFERROR(LEFT(H1936,FIND(" ",H1936)-1),H1936))</f>
        <v/>
      </c>
      <c r="O1936" s="20" t="n">
        <f aca="false">IFERROR(DATE(VALUE(MID(N1936,FIND("/",N1936,FIND("/",N1936)+1)+1,4)),VALUE(MID(N1936,FIND("/",N1936)+1,FIND("/",N1936,FIND("/",N1936)+1)-FIND("/",N1936)-1)),VALUE(LEFT(N1936,FIND("/",N1936)-1))),0)</f>
        <v>0</v>
      </c>
    </row>
    <row r="1937" customFormat="false" ht="15" hidden="false" customHeight="false" outlineLevel="0" collapsed="false">
      <c r="N1937" s="0" t="str">
        <f aca="false">IF(H1937="","",IFERROR(LEFT(H1937,FIND(" ",H1937)-1),H1937))</f>
        <v/>
      </c>
      <c r="O1937" s="20" t="n">
        <f aca="false">IFERROR(DATE(VALUE(MID(N1937,FIND("/",N1937,FIND("/",N1937)+1)+1,4)),VALUE(MID(N1937,FIND("/",N1937)+1,FIND("/",N1937,FIND("/",N1937)+1)-FIND("/",N1937)-1)),VALUE(LEFT(N1937,FIND("/",N1937)-1))),0)</f>
        <v>0</v>
      </c>
    </row>
    <row r="1938" customFormat="false" ht="15" hidden="false" customHeight="false" outlineLevel="0" collapsed="false">
      <c r="N1938" s="0" t="str">
        <f aca="false">IF(H1938="","",IFERROR(LEFT(H1938,FIND(" ",H1938)-1),H1938))</f>
        <v/>
      </c>
      <c r="O1938" s="20" t="n">
        <f aca="false">IFERROR(DATE(VALUE(MID(N1938,FIND("/",N1938,FIND("/",N1938)+1)+1,4)),VALUE(MID(N1938,FIND("/",N1938)+1,FIND("/",N1938,FIND("/",N1938)+1)-FIND("/",N1938)-1)),VALUE(LEFT(N1938,FIND("/",N1938)-1))),0)</f>
        <v>0</v>
      </c>
    </row>
    <row r="1939" customFormat="false" ht="15" hidden="false" customHeight="false" outlineLevel="0" collapsed="false">
      <c r="N1939" s="0" t="str">
        <f aca="false">IF(H1939="","",IFERROR(LEFT(H1939,FIND(" ",H1939)-1),H1939))</f>
        <v/>
      </c>
      <c r="O1939" s="20" t="n">
        <f aca="false">IFERROR(DATE(VALUE(MID(N1939,FIND("/",N1939,FIND("/",N1939)+1)+1,4)),VALUE(MID(N1939,FIND("/",N1939)+1,FIND("/",N1939,FIND("/",N1939)+1)-FIND("/",N1939)-1)),VALUE(LEFT(N1939,FIND("/",N1939)-1))),0)</f>
        <v>0</v>
      </c>
    </row>
    <row r="1940" customFormat="false" ht="15" hidden="false" customHeight="false" outlineLevel="0" collapsed="false">
      <c r="N1940" s="0" t="str">
        <f aca="false">IF(H1940="","",IFERROR(LEFT(H1940,FIND(" ",H1940)-1),H1940))</f>
        <v/>
      </c>
      <c r="O1940" s="20" t="n">
        <f aca="false">IFERROR(DATE(VALUE(MID(N1940,FIND("/",N1940,FIND("/",N1940)+1)+1,4)),VALUE(MID(N1940,FIND("/",N1940)+1,FIND("/",N1940,FIND("/",N1940)+1)-FIND("/",N1940)-1)),VALUE(LEFT(N1940,FIND("/",N1940)-1))),0)</f>
        <v>0</v>
      </c>
    </row>
    <row r="1941" customFormat="false" ht="15" hidden="false" customHeight="false" outlineLevel="0" collapsed="false">
      <c r="N1941" s="0" t="str">
        <f aca="false">IF(H1941="","",IFERROR(LEFT(H1941,FIND(" ",H1941)-1),H1941))</f>
        <v/>
      </c>
      <c r="O1941" s="20" t="n">
        <f aca="false">IFERROR(DATE(VALUE(MID(N1941,FIND("/",N1941,FIND("/",N1941)+1)+1,4)),VALUE(MID(N1941,FIND("/",N1941)+1,FIND("/",N1941,FIND("/",N1941)+1)-FIND("/",N1941)-1)),VALUE(LEFT(N1941,FIND("/",N1941)-1))),0)</f>
        <v>0</v>
      </c>
    </row>
    <row r="1942" customFormat="false" ht="15" hidden="false" customHeight="false" outlineLevel="0" collapsed="false">
      <c r="N1942" s="0" t="str">
        <f aca="false">IF(H1942="","",IFERROR(LEFT(H1942,FIND(" ",H1942)-1),H1942))</f>
        <v/>
      </c>
      <c r="O1942" s="20" t="n">
        <f aca="false">IFERROR(DATE(VALUE(MID(N1942,FIND("/",N1942,FIND("/",N1942)+1)+1,4)),VALUE(MID(N1942,FIND("/",N1942)+1,FIND("/",N1942,FIND("/",N1942)+1)-FIND("/",N1942)-1)),VALUE(LEFT(N1942,FIND("/",N1942)-1))),0)</f>
        <v>0</v>
      </c>
    </row>
    <row r="1943" customFormat="false" ht="15" hidden="false" customHeight="false" outlineLevel="0" collapsed="false">
      <c r="N1943" s="0" t="str">
        <f aca="false">IF(H1943="","",IFERROR(LEFT(H1943,FIND(" ",H1943)-1),H1943))</f>
        <v/>
      </c>
      <c r="O1943" s="20" t="n">
        <f aca="false">IFERROR(DATE(VALUE(MID(N1943,FIND("/",N1943,FIND("/",N1943)+1)+1,4)),VALUE(MID(N1943,FIND("/",N1943)+1,FIND("/",N1943,FIND("/",N1943)+1)-FIND("/",N1943)-1)),VALUE(LEFT(N1943,FIND("/",N1943)-1))),0)</f>
        <v>0</v>
      </c>
    </row>
    <row r="1944" customFormat="false" ht="15" hidden="false" customHeight="false" outlineLevel="0" collapsed="false">
      <c r="N1944" s="0" t="str">
        <f aca="false">IF(H1944="","",IFERROR(LEFT(H1944,FIND(" ",H1944)-1),H1944))</f>
        <v/>
      </c>
      <c r="O1944" s="20" t="n">
        <f aca="false">IFERROR(DATE(VALUE(MID(N1944,FIND("/",N1944,FIND("/",N1944)+1)+1,4)),VALUE(MID(N1944,FIND("/",N1944)+1,FIND("/",N1944,FIND("/",N1944)+1)-FIND("/",N1944)-1)),VALUE(LEFT(N1944,FIND("/",N1944)-1))),0)</f>
        <v>0</v>
      </c>
    </row>
    <row r="1945" customFormat="false" ht="15" hidden="false" customHeight="false" outlineLevel="0" collapsed="false">
      <c r="N1945" s="0" t="str">
        <f aca="false">IF(H1945="","",IFERROR(LEFT(H1945,FIND(" ",H1945)-1),H1945))</f>
        <v/>
      </c>
      <c r="O1945" s="20" t="n">
        <f aca="false">IFERROR(DATE(VALUE(MID(N1945,FIND("/",N1945,FIND("/",N1945)+1)+1,4)),VALUE(MID(N1945,FIND("/",N1945)+1,FIND("/",N1945,FIND("/",N1945)+1)-FIND("/",N1945)-1)),VALUE(LEFT(N1945,FIND("/",N1945)-1))),0)</f>
        <v>0</v>
      </c>
    </row>
    <row r="1946" customFormat="false" ht="15" hidden="false" customHeight="false" outlineLevel="0" collapsed="false">
      <c r="N1946" s="0" t="str">
        <f aca="false">IF(H1946="","",IFERROR(LEFT(H1946,FIND(" ",H1946)-1),H1946))</f>
        <v/>
      </c>
      <c r="O1946" s="20" t="n">
        <f aca="false">IFERROR(DATE(VALUE(MID(N1946,FIND("/",N1946,FIND("/",N1946)+1)+1,4)),VALUE(MID(N1946,FIND("/",N1946)+1,FIND("/",N1946,FIND("/",N1946)+1)-FIND("/",N1946)-1)),VALUE(LEFT(N1946,FIND("/",N1946)-1))),0)</f>
        <v>0</v>
      </c>
    </row>
    <row r="1947" customFormat="false" ht="15" hidden="false" customHeight="false" outlineLevel="0" collapsed="false">
      <c r="N1947" s="0" t="str">
        <f aca="false">IF(H1947="","",IFERROR(LEFT(H1947,FIND(" ",H1947)-1),H1947))</f>
        <v/>
      </c>
      <c r="O1947" s="20" t="n">
        <f aca="false">IFERROR(DATE(VALUE(MID(N1947,FIND("/",N1947,FIND("/",N1947)+1)+1,4)),VALUE(MID(N1947,FIND("/",N1947)+1,FIND("/",N1947,FIND("/",N1947)+1)-FIND("/",N1947)-1)),VALUE(LEFT(N1947,FIND("/",N1947)-1))),0)</f>
        <v>0</v>
      </c>
    </row>
    <row r="1948" customFormat="false" ht="15" hidden="false" customHeight="false" outlineLevel="0" collapsed="false">
      <c r="N1948" s="0" t="str">
        <f aca="false">IF(H1948="","",IFERROR(LEFT(H1948,FIND(" ",H1948)-1),H1948))</f>
        <v/>
      </c>
      <c r="O1948" s="20" t="n">
        <f aca="false">IFERROR(DATE(VALUE(MID(N1948,FIND("/",N1948,FIND("/",N1948)+1)+1,4)),VALUE(MID(N1948,FIND("/",N1948)+1,FIND("/",N1948,FIND("/",N1948)+1)-FIND("/",N1948)-1)),VALUE(LEFT(N1948,FIND("/",N1948)-1))),0)</f>
        <v>0</v>
      </c>
    </row>
    <row r="1949" customFormat="false" ht="15" hidden="false" customHeight="false" outlineLevel="0" collapsed="false">
      <c r="N1949" s="0" t="str">
        <f aca="false">IF(H1949="","",IFERROR(LEFT(H1949,FIND(" ",H1949)-1),H1949))</f>
        <v/>
      </c>
      <c r="O1949" s="20" t="n">
        <f aca="false">IFERROR(DATE(VALUE(MID(N1949,FIND("/",N1949,FIND("/",N1949)+1)+1,4)),VALUE(MID(N1949,FIND("/",N1949)+1,FIND("/",N1949,FIND("/",N1949)+1)-FIND("/",N1949)-1)),VALUE(LEFT(N1949,FIND("/",N1949)-1))),0)</f>
        <v>0</v>
      </c>
    </row>
    <row r="1950" customFormat="false" ht="15" hidden="false" customHeight="false" outlineLevel="0" collapsed="false">
      <c r="N1950" s="0" t="str">
        <f aca="false">IF(H1950="","",IFERROR(LEFT(H1950,FIND(" ",H1950)-1),H1950))</f>
        <v/>
      </c>
      <c r="O1950" s="20" t="n">
        <f aca="false">IFERROR(DATE(VALUE(MID(N1950,FIND("/",N1950,FIND("/",N1950)+1)+1,4)),VALUE(MID(N1950,FIND("/",N1950)+1,FIND("/",N1950,FIND("/",N1950)+1)-FIND("/",N1950)-1)),VALUE(LEFT(N1950,FIND("/",N1950)-1))),0)</f>
        <v>0</v>
      </c>
    </row>
    <row r="1951" customFormat="false" ht="15" hidden="false" customHeight="false" outlineLevel="0" collapsed="false">
      <c r="N1951" s="0" t="str">
        <f aca="false">IF(H1951="","",IFERROR(LEFT(H1951,FIND(" ",H1951)-1),H1951))</f>
        <v/>
      </c>
      <c r="O1951" s="20" t="n">
        <f aca="false">IFERROR(DATE(VALUE(MID(N1951,FIND("/",N1951,FIND("/",N1951)+1)+1,4)),VALUE(MID(N1951,FIND("/",N1951)+1,FIND("/",N1951,FIND("/",N1951)+1)-FIND("/",N1951)-1)),VALUE(LEFT(N1951,FIND("/",N1951)-1))),0)</f>
        <v>0</v>
      </c>
    </row>
    <row r="1952" customFormat="false" ht="15" hidden="false" customHeight="false" outlineLevel="0" collapsed="false">
      <c r="N1952" s="0" t="str">
        <f aca="false">IF(H1952="","",IFERROR(LEFT(H1952,FIND(" ",H1952)-1),H1952))</f>
        <v/>
      </c>
      <c r="O1952" s="20" t="n">
        <f aca="false">IFERROR(DATE(VALUE(MID(N1952,FIND("/",N1952,FIND("/",N1952)+1)+1,4)),VALUE(MID(N1952,FIND("/",N1952)+1,FIND("/",N1952,FIND("/",N1952)+1)-FIND("/",N1952)-1)),VALUE(LEFT(N1952,FIND("/",N1952)-1))),0)</f>
        <v>0</v>
      </c>
    </row>
    <row r="1953" customFormat="false" ht="15" hidden="false" customHeight="false" outlineLevel="0" collapsed="false">
      <c r="N1953" s="0" t="str">
        <f aca="false">IF(H1953="","",IFERROR(LEFT(H1953,FIND(" ",H1953)-1),H1953))</f>
        <v/>
      </c>
      <c r="O1953" s="20" t="n">
        <f aca="false">IFERROR(DATE(VALUE(MID(N1953,FIND("/",N1953,FIND("/",N1953)+1)+1,4)),VALUE(MID(N1953,FIND("/",N1953)+1,FIND("/",N1953,FIND("/",N1953)+1)-FIND("/",N1953)-1)),VALUE(LEFT(N1953,FIND("/",N1953)-1))),0)</f>
        <v>0</v>
      </c>
    </row>
    <row r="1954" customFormat="false" ht="15" hidden="false" customHeight="false" outlineLevel="0" collapsed="false">
      <c r="N1954" s="0" t="str">
        <f aca="false">IF(H1954="","",IFERROR(LEFT(H1954,FIND(" ",H1954)-1),H1954))</f>
        <v/>
      </c>
      <c r="O1954" s="20" t="n">
        <f aca="false">IFERROR(DATE(VALUE(MID(N1954,FIND("/",N1954,FIND("/",N1954)+1)+1,4)),VALUE(MID(N1954,FIND("/",N1954)+1,FIND("/",N1954,FIND("/",N1954)+1)-FIND("/",N1954)-1)),VALUE(LEFT(N1954,FIND("/",N1954)-1))),0)</f>
        <v>0</v>
      </c>
    </row>
    <row r="1955" customFormat="false" ht="15" hidden="false" customHeight="false" outlineLevel="0" collapsed="false">
      <c r="N1955" s="0" t="str">
        <f aca="false">IF(H1955="","",IFERROR(LEFT(H1955,FIND(" ",H1955)-1),H1955))</f>
        <v/>
      </c>
      <c r="O1955" s="20" t="n">
        <f aca="false">IFERROR(DATE(VALUE(MID(N1955,FIND("/",N1955,FIND("/",N1955)+1)+1,4)),VALUE(MID(N1955,FIND("/",N1955)+1,FIND("/",N1955,FIND("/",N1955)+1)-FIND("/",N1955)-1)),VALUE(LEFT(N1955,FIND("/",N1955)-1))),0)</f>
        <v>0</v>
      </c>
    </row>
    <row r="1956" customFormat="false" ht="15" hidden="false" customHeight="false" outlineLevel="0" collapsed="false">
      <c r="N1956" s="0" t="str">
        <f aca="false">IF(H1956="","",IFERROR(LEFT(H1956,FIND(" ",H1956)-1),H1956))</f>
        <v/>
      </c>
      <c r="O1956" s="20" t="n">
        <f aca="false">IFERROR(DATE(VALUE(MID(N1956,FIND("/",N1956,FIND("/",N1956)+1)+1,4)),VALUE(MID(N1956,FIND("/",N1956)+1,FIND("/",N1956,FIND("/",N1956)+1)-FIND("/",N1956)-1)),VALUE(LEFT(N1956,FIND("/",N1956)-1))),0)</f>
        <v>0</v>
      </c>
    </row>
    <row r="1957" customFormat="false" ht="15" hidden="false" customHeight="false" outlineLevel="0" collapsed="false">
      <c r="N1957" s="0" t="str">
        <f aca="false">IF(H1957="","",IFERROR(LEFT(H1957,FIND(" ",H1957)-1),H1957))</f>
        <v/>
      </c>
      <c r="O1957" s="20" t="n">
        <f aca="false">IFERROR(DATE(VALUE(MID(N1957,FIND("/",N1957,FIND("/",N1957)+1)+1,4)),VALUE(MID(N1957,FIND("/",N1957)+1,FIND("/",N1957,FIND("/",N1957)+1)-FIND("/",N1957)-1)),VALUE(LEFT(N1957,FIND("/",N1957)-1))),0)</f>
        <v>0</v>
      </c>
    </row>
    <row r="1958" customFormat="false" ht="15" hidden="false" customHeight="false" outlineLevel="0" collapsed="false">
      <c r="N1958" s="0" t="str">
        <f aca="false">IF(H1958="","",IFERROR(LEFT(H1958,FIND(" ",H1958)-1),H1958))</f>
        <v/>
      </c>
      <c r="O1958" s="20" t="n">
        <f aca="false">IFERROR(DATE(VALUE(MID(N1958,FIND("/",N1958,FIND("/",N1958)+1)+1,4)),VALUE(MID(N1958,FIND("/",N1958)+1,FIND("/",N1958,FIND("/",N1958)+1)-FIND("/",N1958)-1)),VALUE(LEFT(N1958,FIND("/",N1958)-1))),0)</f>
        <v>0</v>
      </c>
    </row>
    <row r="1959" customFormat="false" ht="15" hidden="false" customHeight="false" outlineLevel="0" collapsed="false">
      <c r="N1959" s="0" t="str">
        <f aca="false">IF(H1959="","",IFERROR(LEFT(H1959,FIND(" ",H1959)-1),H1959))</f>
        <v/>
      </c>
      <c r="O1959" s="20" t="n">
        <f aca="false">IFERROR(DATE(VALUE(MID(N1959,FIND("/",N1959,FIND("/",N1959)+1)+1,4)),VALUE(MID(N1959,FIND("/",N1959)+1,FIND("/",N1959,FIND("/",N1959)+1)-FIND("/",N1959)-1)),VALUE(LEFT(N1959,FIND("/",N1959)-1))),0)</f>
        <v>0</v>
      </c>
    </row>
    <row r="1960" customFormat="false" ht="15" hidden="false" customHeight="false" outlineLevel="0" collapsed="false">
      <c r="N1960" s="0" t="str">
        <f aca="false">IF(H1960="","",IFERROR(LEFT(H1960,FIND(" ",H1960)-1),H1960))</f>
        <v/>
      </c>
      <c r="O1960" s="20" t="n">
        <f aca="false">IFERROR(DATE(VALUE(MID(N1960,FIND("/",N1960,FIND("/",N1960)+1)+1,4)),VALUE(MID(N1960,FIND("/",N1960)+1,FIND("/",N1960,FIND("/",N1960)+1)-FIND("/",N1960)-1)),VALUE(LEFT(N1960,FIND("/",N1960)-1))),0)</f>
        <v>0</v>
      </c>
    </row>
    <row r="1961" customFormat="false" ht="15" hidden="false" customHeight="false" outlineLevel="0" collapsed="false">
      <c r="N1961" s="0" t="str">
        <f aca="false">IF(H1961="","",IFERROR(LEFT(H1961,FIND(" ",H1961)-1),H1961))</f>
        <v/>
      </c>
      <c r="O1961" s="20" t="n">
        <f aca="false">IFERROR(DATE(VALUE(MID(N1961,FIND("/",N1961,FIND("/",N1961)+1)+1,4)),VALUE(MID(N1961,FIND("/",N1961)+1,FIND("/",N1961,FIND("/",N1961)+1)-FIND("/",N1961)-1)),VALUE(LEFT(N1961,FIND("/",N1961)-1))),0)</f>
        <v>0</v>
      </c>
    </row>
    <row r="1962" customFormat="false" ht="15" hidden="false" customHeight="false" outlineLevel="0" collapsed="false">
      <c r="N1962" s="0" t="str">
        <f aca="false">IF(H1962="","",IFERROR(LEFT(H1962,FIND(" ",H1962)-1),H1962))</f>
        <v/>
      </c>
      <c r="O1962" s="20" t="n">
        <f aca="false">IFERROR(DATE(VALUE(MID(N1962,FIND("/",N1962,FIND("/",N1962)+1)+1,4)),VALUE(MID(N1962,FIND("/",N1962)+1,FIND("/",N1962,FIND("/",N1962)+1)-FIND("/",N1962)-1)),VALUE(LEFT(N1962,FIND("/",N1962)-1))),0)</f>
        <v>0</v>
      </c>
    </row>
    <row r="1963" customFormat="false" ht="15" hidden="false" customHeight="false" outlineLevel="0" collapsed="false">
      <c r="N1963" s="0" t="str">
        <f aca="false">IF(H1963="","",IFERROR(LEFT(H1963,FIND(" ",H1963)-1),H1963))</f>
        <v/>
      </c>
      <c r="O1963" s="20" t="n">
        <f aca="false">IFERROR(DATE(VALUE(MID(N1963,FIND("/",N1963,FIND("/",N1963)+1)+1,4)),VALUE(MID(N1963,FIND("/",N1963)+1,FIND("/",N1963,FIND("/",N1963)+1)-FIND("/",N1963)-1)),VALUE(LEFT(N1963,FIND("/",N1963)-1))),0)</f>
        <v>0</v>
      </c>
    </row>
    <row r="1964" customFormat="false" ht="15" hidden="false" customHeight="false" outlineLevel="0" collapsed="false">
      <c r="N1964" s="0" t="str">
        <f aca="false">IF(H1964="","",IFERROR(LEFT(H1964,FIND(" ",H1964)-1),H1964))</f>
        <v/>
      </c>
      <c r="O1964" s="20" t="n">
        <f aca="false">IFERROR(DATE(VALUE(MID(N1964,FIND("/",N1964,FIND("/",N1964)+1)+1,4)),VALUE(MID(N1964,FIND("/",N1964)+1,FIND("/",N1964,FIND("/",N1964)+1)-FIND("/",N1964)-1)),VALUE(LEFT(N1964,FIND("/",N1964)-1))),0)</f>
        <v>0</v>
      </c>
    </row>
    <row r="1965" customFormat="false" ht="15" hidden="false" customHeight="false" outlineLevel="0" collapsed="false">
      <c r="N1965" s="0" t="str">
        <f aca="false">IF(H1965="","",IFERROR(LEFT(H1965,FIND(" ",H1965)-1),H1965))</f>
        <v/>
      </c>
      <c r="O1965" s="20" t="n">
        <f aca="false">IFERROR(DATE(VALUE(MID(N1965,FIND("/",N1965,FIND("/",N1965)+1)+1,4)),VALUE(MID(N1965,FIND("/",N1965)+1,FIND("/",N1965,FIND("/",N1965)+1)-FIND("/",N1965)-1)),VALUE(LEFT(N1965,FIND("/",N1965)-1))),0)</f>
        <v>0</v>
      </c>
    </row>
    <row r="1966" customFormat="false" ht="15" hidden="false" customHeight="false" outlineLevel="0" collapsed="false">
      <c r="N1966" s="0" t="str">
        <f aca="false">IF(H1966="","",IFERROR(LEFT(H1966,FIND(" ",H1966)-1),H1966))</f>
        <v/>
      </c>
      <c r="O1966" s="20" t="n">
        <f aca="false">IFERROR(DATE(VALUE(MID(N1966,FIND("/",N1966,FIND("/",N1966)+1)+1,4)),VALUE(MID(N1966,FIND("/",N1966)+1,FIND("/",N1966,FIND("/",N1966)+1)-FIND("/",N1966)-1)),VALUE(LEFT(N1966,FIND("/",N1966)-1))),0)</f>
        <v>0</v>
      </c>
    </row>
    <row r="1967" customFormat="false" ht="15" hidden="false" customHeight="false" outlineLevel="0" collapsed="false">
      <c r="N1967" s="0" t="str">
        <f aca="false">IF(H1967="","",IFERROR(LEFT(H1967,FIND(" ",H1967)-1),H1967))</f>
        <v/>
      </c>
      <c r="O1967" s="20" t="n">
        <f aca="false">IFERROR(DATE(VALUE(MID(N1967,FIND("/",N1967,FIND("/",N1967)+1)+1,4)),VALUE(MID(N1967,FIND("/",N1967)+1,FIND("/",N1967,FIND("/",N1967)+1)-FIND("/",N1967)-1)),VALUE(LEFT(N1967,FIND("/",N1967)-1))),0)</f>
        <v>0</v>
      </c>
    </row>
    <row r="1968" customFormat="false" ht="15" hidden="false" customHeight="false" outlineLevel="0" collapsed="false">
      <c r="N1968" s="0" t="str">
        <f aca="false">IF(H1968="","",IFERROR(LEFT(H1968,FIND(" ",H1968)-1),H1968))</f>
        <v/>
      </c>
      <c r="O1968" s="20" t="n">
        <f aca="false">IFERROR(DATE(VALUE(MID(N1968,FIND("/",N1968,FIND("/",N1968)+1)+1,4)),VALUE(MID(N1968,FIND("/",N1968)+1,FIND("/",N1968,FIND("/",N1968)+1)-FIND("/",N1968)-1)),VALUE(LEFT(N1968,FIND("/",N1968)-1))),0)</f>
        <v>0</v>
      </c>
    </row>
    <row r="1969" customFormat="false" ht="15" hidden="false" customHeight="false" outlineLevel="0" collapsed="false">
      <c r="N1969" s="0" t="str">
        <f aca="false">IF(H1969="","",IFERROR(LEFT(H1969,FIND(" ",H1969)-1),H1969))</f>
        <v/>
      </c>
      <c r="O1969" s="20" t="n">
        <f aca="false">IFERROR(DATE(VALUE(MID(N1969,FIND("/",N1969,FIND("/",N1969)+1)+1,4)),VALUE(MID(N1969,FIND("/",N1969)+1,FIND("/",N1969,FIND("/",N1969)+1)-FIND("/",N1969)-1)),VALUE(LEFT(N1969,FIND("/",N1969)-1))),0)</f>
        <v>0</v>
      </c>
    </row>
    <row r="1970" customFormat="false" ht="15" hidden="false" customHeight="false" outlineLevel="0" collapsed="false">
      <c r="N1970" s="0" t="str">
        <f aca="false">IF(H1970="","",IFERROR(LEFT(H1970,FIND(" ",H1970)-1),H1970))</f>
        <v/>
      </c>
      <c r="O1970" s="20" t="n">
        <f aca="false">IFERROR(DATE(VALUE(MID(N1970,FIND("/",N1970,FIND("/",N1970)+1)+1,4)),VALUE(MID(N1970,FIND("/",N1970)+1,FIND("/",N1970,FIND("/",N1970)+1)-FIND("/",N1970)-1)),VALUE(LEFT(N1970,FIND("/",N1970)-1))),0)</f>
        <v>0</v>
      </c>
    </row>
    <row r="1971" customFormat="false" ht="15" hidden="false" customHeight="false" outlineLevel="0" collapsed="false">
      <c r="N1971" s="0" t="str">
        <f aca="false">IF(H1971="","",IFERROR(LEFT(H1971,FIND(" ",H1971)-1),H1971))</f>
        <v/>
      </c>
      <c r="O1971" s="20" t="n">
        <f aca="false">IFERROR(DATE(VALUE(MID(N1971,FIND("/",N1971,FIND("/",N1971)+1)+1,4)),VALUE(MID(N1971,FIND("/",N1971)+1,FIND("/",N1971,FIND("/",N1971)+1)-FIND("/",N1971)-1)),VALUE(LEFT(N1971,FIND("/",N1971)-1))),0)</f>
        <v>0</v>
      </c>
    </row>
    <row r="1972" customFormat="false" ht="15" hidden="false" customHeight="false" outlineLevel="0" collapsed="false">
      <c r="N1972" s="0" t="str">
        <f aca="false">IF(H1972="","",IFERROR(LEFT(H1972,FIND(" ",H1972)-1),H1972))</f>
        <v/>
      </c>
      <c r="O1972" s="20" t="n">
        <f aca="false">IFERROR(DATE(VALUE(MID(N1972,FIND("/",N1972,FIND("/",N1972)+1)+1,4)),VALUE(MID(N1972,FIND("/",N1972)+1,FIND("/",N1972,FIND("/",N1972)+1)-FIND("/",N1972)-1)),VALUE(LEFT(N1972,FIND("/",N1972)-1))),0)</f>
        <v>0</v>
      </c>
    </row>
    <row r="1973" customFormat="false" ht="15" hidden="false" customHeight="false" outlineLevel="0" collapsed="false">
      <c r="N1973" s="0" t="str">
        <f aca="false">IF(H1973="","",IFERROR(LEFT(H1973,FIND(" ",H1973)-1),H1973))</f>
        <v/>
      </c>
      <c r="O1973" s="20" t="n">
        <f aca="false">IFERROR(DATE(VALUE(MID(N1973,FIND("/",N1973,FIND("/",N1973)+1)+1,4)),VALUE(MID(N1973,FIND("/",N1973)+1,FIND("/",N1973,FIND("/",N1973)+1)-FIND("/",N1973)-1)),VALUE(LEFT(N1973,FIND("/",N1973)-1))),0)</f>
        <v>0</v>
      </c>
    </row>
    <row r="1974" customFormat="false" ht="15" hidden="false" customHeight="false" outlineLevel="0" collapsed="false">
      <c r="N1974" s="0" t="str">
        <f aca="false">IF(H1974="","",IFERROR(LEFT(H1974,FIND(" ",H1974)-1),H1974))</f>
        <v/>
      </c>
      <c r="O1974" s="20" t="n">
        <f aca="false">IFERROR(DATE(VALUE(MID(N1974,FIND("/",N1974,FIND("/",N1974)+1)+1,4)),VALUE(MID(N1974,FIND("/",N1974)+1,FIND("/",N1974,FIND("/",N1974)+1)-FIND("/",N1974)-1)),VALUE(LEFT(N1974,FIND("/",N1974)-1))),0)</f>
        <v>0</v>
      </c>
    </row>
    <row r="1975" customFormat="false" ht="15" hidden="false" customHeight="false" outlineLevel="0" collapsed="false">
      <c r="N1975" s="0" t="str">
        <f aca="false">IF(H1975="","",IFERROR(LEFT(H1975,FIND(" ",H1975)-1),H1975))</f>
        <v/>
      </c>
      <c r="O1975" s="20" t="n">
        <f aca="false">IFERROR(DATE(VALUE(MID(N1975,FIND("/",N1975,FIND("/",N1975)+1)+1,4)),VALUE(MID(N1975,FIND("/",N1975)+1,FIND("/",N1975,FIND("/",N1975)+1)-FIND("/",N1975)-1)),VALUE(LEFT(N1975,FIND("/",N1975)-1))),0)</f>
        <v>0</v>
      </c>
    </row>
    <row r="1976" customFormat="false" ht="15" hidden="false" customHeight="false" outlineLevel="0" collapsed="false">
      <c r="N1976" s="0" t="str">
        <f aca="false">IF(H1976="","",IFERROR(LEFT(H1976,FIND(" ",H1976)-1),H1976))</f>
        <v/>
      </c>
      <c r="O1976" s="20" t="n">
        <f aca="false">IFERROR(DATE(VALUE(MID(N1976,FIND("/",N1976,FIND("/",N1976)+1)+1,4)),VALUE(MID(N1976,FIND("/",N1976)+1,FIND("/",N1976,FIND("/",N1976)+1)-FIND("/",N1976)-1)),VALUE(LEFT(N1976,FIND("/",N1976)-1))),0)</f>
        <v>0</v>
      </c>
    </row>
    <row r="1977" customFormat="false" ht="15" hidden="false" customHeight="false" outlineLevel="0" collapsed="false">
      <c r="N1977" s="0" t="str">
        <f aca="false">IF(H1977="","",IFERROR(LEFT(H1977,FIND(" ",H1977)-1),H1977))</f>
        <v/>
      </c>
      <c r="O1977" s="20" t="n">
        <f aca="false">IFERROR(DATE(VALUE(MID(N1977,FIND("/",N1977,FIND("/",N1977)+1)+1,4)),VALUE(MID(N1977,FIND("/",N1977)+1,FIND("/",N1977,FIND("/",N1977)+1)-FIND("/",N1977)-1)),VALUE(LEFT(N1977,FIND("/",N1977)-1))),0)</f>
        <v>0</v>
      </c>
    </row>
    <row r="1978" customFormat="false" ht="15" hidden="false" customHeight="false" outlineLevel="0" collapsed="false">
      <c r="N1978" s="0" t="str">
        <f aca="false">IF(H1978="","",IFERROR(LEFT(H1978,FIND(" ",H1978)-1),H1978))</f>
        <v/>
      </c>
      <c r="O1978" s="20" t="n">
        <f aca="false">IFERROR(DATE(VALUE(MID(N1978,FIND("/",N1978,FIND("/",N1978)+1)+1,4)),VALUE(MID(N1978,FIND("/",N1978)+1,FIND("/",N1978,FIND("/",N1978)+1)-FIND("/",N1978)-1)),VALUE(LEFT(N1978,FIND("/",N1978)-1))),0)</f>
        <v>0</v>
      </c>
    </row>
    <row r="1979" customFormat="false" ht="15" hidden="false" customHeight="false" outlineLevel="0" collapsed="false">
      <c r="N1979" s="0" t="str">
        <f aca="false">IF(H1979="","",IFERROR(LEFT(H1979,FIND(" ",H1979)-1),H1979))</f>
        <v/>
      </c>
      <c r="O1979" s="20" t="n">
        <f aca="false">IFERROR(DATE(VALUE(MID(N1979,FIND("/",N1979,FIND("/",N1979)+1)+1,4)),VALUE(MID(N1979,FIND("/",N1979)+1,FIND("/",N1979,FIND("/",N1979)+1)-FIND("/",N1979)-1)),VALUE(LEFT(N1979,FIND("/",N1979)-1))),0)</f>
        <v>0</v>
      </c>
    </row>
    <row r="1980" customFormat="false" ht="15" hidden="false" customHeight="false" outlineLevel="0" collapsed="false">
      <c r="N1980" s="0" t="str">
        <f aca="false">IF(H1980="","",IFERROR(LEFT(H1980,FIND(" ",H1980)-1),H1980))</f>
        <v/>
      </c>
      <c r="O1980" s="20" t="n">
        <f aca="false">IFERROR(DATE(VALUE(MID(N1980,FIND("/",N1980,FIND("/",N1980)+1)+1,4)),VALUE(MID(N1980,FIND("/",N1980)+1,FIND("/",N1980,FIND("/",N1980)+1)-FIND("/",N1980)-1)),VALUE(LEFT(N1980,FIND("/",N1980)-1))),0)</f>
        <v>0</v>
      </c>
    </row>
    <row r="1981" customFormat="false" ht="15" hidden="false" customHeight="false" outlineLevel="0" collapsed="false">
      <c r="N1981" s="0" t="str">
        <f aca="false">IF(H1981="","",IFERROR(LEFT(H1981,FIND(" ",H1981)-1),H1981))</f>
        <v/>
      </c>
      <c r="O1981" s="20" t="n">
        <f aca="false">IFERROR(DATE(VALUE(MID(N1981,FIND("/",N1981,FIND("/",N1981)+1)+1,4)),VALUE(MID(N1981,FIND("/",N1981)+1,FIND("/",N1981,FIND("/",N1981)+1)-FIND("/",N1981)-1)),VALUE(LEFT(N1981,FIND("/",N1981)-1))),0)</f>
        <v>0</v>
      </c>
    </row>
    <row r="1982" customFormat="false" ht="15" hidden="false" customHeight="false" outlineLevel="0" collapsed="false">
      <c r="N1982" s="0" t="str">
        <f aca="false">IF(H1982="","",IFERROR(LEFT(H1982,FIND(" ",H1982)-1),H1982))</f>
        <v/>
      </c>
      <c r="O1982" s="20" t="n">
        <f aca="false">IFERROR(DATE(VALUE(MID(N1982,FIND("/",N1982,FIND("/",N1982)+1)+1,4)),VALUE(MID(N1982,FIND("/",N1982)+1,FIND("/",N1982,FIND("/",N1982)+1)-FIND("/",N1982)-1)),VALUE(LEFT(N1982,FIND("/",N1982)-1))),0)</f>
        <v>0</v>
      </c>
    </row>
    <row r="1983" customFormat="false" ht="15" hidden="false" customHeight="false" outlineLevel="0" collapsed="false">
      <c r="N1983" s="0" t="str">
        <f aca="false">IF(H1983="","",IFERROR(LEFT(H1983,FIND(" ",H1983)-1),H1983))</f>
        <v/>
      </c>
      <c r="O1983" s="20" t="n">
        <f aca="false">IFERROR(DATE(VALUE(MID(N1983,FIND("/",N1983,FIND("/",N1983)+1)+1,4)),VALUE(MID(N1983,FIND("/",N1983)+1,FIND("/",N1983,FIND("/",N1983)+1)-FIND("/",N1983)-1)),VALUE(LEFT(N1983,FIND("/",N1983)-1))),0)</f>
        <v>0</v>
      </c>
    </row>
    <row r="1984" customFormat="false" ht="15" hidden="false" customHeight="false" outlineLevel="0" collapsed="false">
      <c r="N1984" s="0" t="str">
        <f aca="false">IF(H1984="","",IFERROR(LEFT(H1984,FIND(" ",H1984)-1),H1984))</f>
        <v/>
      </c>
      <c r="O1984" s="20" t="n">
        <f aca="false">IFERROR(DATE(VALUE(MID(N1984,FIND("/",N1984,FIND("/",N1984)+1)+1,4)),VALUE(MID(N1984,FIND("/",N1984)+1,FIND("/",N1984,FIND("/",N1984)+1)-FIND("/",N1984)-1)),VALUE(LEFT(N1984,FIND("/",N1984)-1))),0)</f>
        <v>0</v>
      </c>
    </row>
    <row r="1985" customFormat="false" ht="15" hidden="false" customHeight="false" outlineLevel="0" collapsed="false">
      <c r="N1985" s="0" t="str">
        <f aca="false">IF(H1985="","",IFERROR(LEFT(H1985,FIND(" ",H1985)-1),H1985))</f>
        <v/>
      </c>
      <c r="O1985" s="20" t="n">
        <f aca="false">IFERROR(DATE(VALUE(MID(N1985,FIND("/",N1985,FIND("/",N1985)+1)+1,4)),VALUE(MID(N1985,FIND("/",N1985)+1,FIND("/",N1985,FIND("/",N1985)+1)-FIND("/",N1985)-1)),VALUE(LEFT(N1985,FIND("/",N1985)-1))),0)</f>
        <v>0</v>
      </c>
    </row>
    <row r="1986" customFormat="false" ht="15" hidden="false" customHeight="false" outlineLevel="0" collapsed="false">
      <c r="N1986" s="0" t="str">
        <f aca="false">IF(H1986="","",IFERROR(LEFT(H1986,FIND(" ",H1986)-1),H1986))</f>
        <v/>
      </c>
      <c r="O1986" s="20" t="n">
        <f aca="false">IFERROR(DATE(VALUE(MID(N1986,FIND("/",N1986,FIND("/",N1986)+1)+1,4)),VALUE(MID(N1986,FIND("/",N1986)+1,FIND("/",N1986,FIND("/",N1986)+1)-FIND("/",N1986)-1)),VALUE(LEFT(N1986,FIND("/",N1986)-1))),0)</f>
        <v>0</v>
      </c>
    </row>
    <row r="1987" customFormat="false" ht="15" hidden="false" customHeight="false" outlineLevel="0" collapsed="false">
      <c r="N1987" s="0" t="str">
        <f aca="false">IF(H1987="","",IFERROR(LEFT(H1987,FIND(" ",H1987)-1),H1987))</f>
        <v/>
      </c>
      <c r="O1987" s="20" t="n">
        <f aca="false">IFERROR(DATE(VALUE(MID(N1987,FIND("/",N1987,FIND("/",N1987)+1)+1,4)),VALUE(MID(N1987,FIND("/",N1987)+1,FIND("/",N1987,FIND("/",N1987)+1)-FIND("/",N1987)-1)),VALUE(LEFT(N1987,FIND("/",N1987)-1))),0)</f>
        <v>0</v>
      </c>
    </row>
    <row r="1988" customFormat="false" ht="15" hidden="false" customHeight="false" outlineLevel="0" collapsed="false">
      <c r="N1988" s="0" t="str">
        <f aca="false">IF(H1988="","",IFERROR(LEFT(H1988,FIND(" ",H1988)-1),H1988))</f>
        <v/>
      </c>
      <c r="O1988" s="20" t="n">
        <f aca="false">IFERROR(DATE(VALUE(MID(N1988,FIND("/",N1988,FIND("/",N1988)+1)+1,4)),VALUE(MID(N1988,FIND("/",N1988)+1,FIND("/",N1988,FIND("/",N1988)+1)-FIND("/",N1988)-1)),VALUE(LEFT(N1988,FIND("/",N1988)-1))),0)</f>
        <v>0</v>
      </c>
    </row>
    <row r="1989" customFormat="false" ht="15" hidden="false" customHeight="false" outlineLevel="0" collapsed="false">
      <c r="N1989" s="0" t="str">
        <f aca="false">IF(H1989="","",IFERROR(LEFT(H1989,FIND(" ",H1989)-1),H1989))</f>
        <v/>
      </c>
      <c r="O1989" s="20" t="n">
        <f aca="false">IFERROR(DATE(VALUE(MID(N1989,FIND("/",N1989,FIND("/",N1989)+1)+1,4)),VALUE(MID(N1989,FIND("/",N1989)+1,FIND("/",N1989,FIND("/",N1989)+1)-FIND("/",N1989)-1)),VALUE(LEFT(N1989,FIND("/",N1989)-1))),0)</f>
        <v>0</v>
      </c>
    </row>
    <row r="1990" customFormat="false" ht="15" hidden="false" customHeight="false" outlineLevel="0" collapsed="false">
      <c r="N1990" s="0" t="str">
        <f aca="false">IF(H1990="","",IFERROR(LEFT(H1990,FIND(" ",H1990)-1),H1990))</f>
        <v/>
      </c>
      <c r="O1990" s="20" t="n">
        <f aca="false">IFERROR(DATE(VALUE(MID(N1990,FIND("/",N1990,FIND("/",N1990)+1)+1,4)),VALUE(MID(N1990,FIND("/",N1990)+1,FIND("/",N1990,FIND("/",N1990)+1)-FIND("/",N1990)-1)),VALUE(LEFT(N1990,FIND("/",N1990)-1))),0)</f>
        <v>0</v>
      </c>
    </row>
    <row r="1991" customFormat="false" ht="15" hidden="false" customHeight="false" outlineLevel="0" collapsed="false">
      <c r="N1991" s="0" t="str">
        <f aca="false">IF(H1991="","",IFERROR(LEFT(H1991,FIND(" ",H1991)-1),H1991))</f>
        <v/>
      </c>
      <c r="O1991" s="20" t="n">
        <f aca="false">IFERROR(DATE(VALUE(MID(N1991,FIND("/",N1991,FIND("/",N1991)+1)+1,4)),VALUE(MID(N1991,FIND("/",N1991)+1,FIND("/",N1991,FIND("/",N1991)+1)-FIND("/",N1991)-1)),VALUE(LEFT(N1991,FIND("/",N1991)-1))),0)</f>
        <v>0</v>
      </c>
    </row>
    <row r="1992" customFormat="false" ht="15" hidden="false" customHeight="false" outlineLevel="0" collapsed="false">
      <c r="N1992" s="0" t="str">
        <f aca="false">IF(H1992="","",IFERROR(LEFT(H1992,FIND(" ",H1992)-1),H1992))</f>
        <v/>
      </c>
      <c r="O1992" s="20" t="n">
        <f aca="false">IFERROR(DATE(VALUE(MID(N1992,FIND("/",N1992,FIND("/",N1992)+1)+1,4)),VALUE(MID(N1992,FIND("/",N1992)+1,FIND("/",N1992,FIND("/",N1992)+1)-FIND("/",N1992)-1)),VALUE(LEFT(N1992,FIND("/",N1992)-1))),0)</f>
        <v>0</v>
      </c>
    </row>
    <row r="1993" customFormat="false" ht="15" hidden="false" customHeight="false" outlineLevel="0" collapsed="false">
      <c r="N1993" s="0" t="str">
        <f aca="false">IF(H1993="","",IFERROR(LEFT(H1993,FIND(" ",H1993)-1),H1993))</f>
        <v/>
      </c>
      <c r="O1993" s="20" t="n">
        <f aca="false">IFERROR(DATE(VALUE(MID(N1993,FIND("/",N1993,FIND("/",N1993)+1)+1,4)),VALUE(MID(N1993,FIND("/",N1993)+1,FIND("/",N1993,FIND("/",N1993)+1)-FIND("/",N1993)-1)),VALUE(LEFT(N1993,FIND("/",N1993)-1))),0)</f>
        <v>0</v>
      </c>
    </row>
    <row r="1994" customFormat="false" ht="15" hidden="false" customHeight="false" outlineLevel="0" collapsed="false">
      <c r="N1994" s="0" t="str">
        <f aca="false">IF(H1994="","",IFERROR(LEFT(H1994,FIND(" ",H1994)-1),H1994))</f>
        <v/>
      </c>
      <c r="O1994" s="20" t="n">
        <f aca="false">IFERROR(DATE(VALUE(MID(N1994,FIND("/",N1994,FIND("/",N1994)+1)+1,4)),VALUE(MID(N1994,FIND("/",N1994)+1,FIND("/",N1994,FIND("/",N1994)+1)-FIND("/",N1994)-1)),VALUE(LEFT(N1994,FIND("/",N1994)-1))),0)</f>
        <v>0</v>
      </c>
    </row>
    <row r="1995" customFormat="false" ht="15" hidden="false" customHeight="false" outlineLevel="0" collapsed="false">
      <c r="N1995" s="0" t="str">
        <f aca="false">IF(H1995="","",IFERROR(LEFT(H1995,FIND(" ",H1995)-1),H1995))</f>
        <v/>
      </c>
      <c r="O1995" s="20" t="n">
        <f aca="false">IFERROR(DATE(VALUE(MID(N1995,FIND("/",N1995,FIND("/",N1995)+1)+1,4)),VALUE(MID(N1995,FIND("/",N1995)+1,FIND("/",N1995,FIND("/",N1995)+1)-FIND("/",N1995)-1)),VALUE(LEFT(N1995,FIND("/",N1995)-1))),0)</f>
        <v>0</v>
      </c>
    </row>
    <row r="1996" customFormat="false" ht="15" hidden="false" customHeight="false" outlineLevel="0" collapsed="false">
      <c r="N1996" s="0" t="str">
        <f aca="false">IF(H1996="","",IFERROR(LEFT(H1996,FIND(" ",H1996)-1),H1996))</f>
        <v/>
      </c>
      <c r="O1996" s="20" t="n">
        <f aca="false">IFERROR(DATE(VALUE(MID(N1996,FIND("/",N1996,FIND("/",N1996)+1)+1,4)),VALUE(MID(N1996,FIND("/",N1996)+1,FIND("/",N1996,FIND("/",N1996)+1)-FIND("/",N1996)-1)),VALUE(LEFT(N1996,FIND("/",N1996)-1))),0)</f>
        <v>0</v>
      </c>
    </row>
    <row r="1997" customFormat="false" ht="15" hidden="false" customHeight="false" outlineLevel="0" collapsed="false">
      <c r="N1997" s="0" t="str">
        <f aca="false">IF(H1997="","",IFERROR(LEFT(H1997,FIND(" ",H1997)-1),H1997))</f>
        <v/>
      </c>
      <c r="O1997" s="20" t="n">
        <f aca="false">IFERROR(DATE(VALUE(MID(N1997,FIND("/",N1997,FIND("/",N1997)+1)+1,4)),VALUE(MID(N1997,FIND("/",N1997)+1,FIND("/",N1997,FIND("/",N1997)+1)-FIND("/",N1997)-1)),VALUE(LEFT(N1997,FIND("/",N1997)-1))),0)</f>
        <v>0</v>
      </c>
    </row>
    <row r="1998" customFormat="false" ht="15" hidden="false" customHeight="false" outlineLevel="0" collapsed="false">
      <c r="N1998" s="0" t="str">
        <f aca="false">IF(H1998="","",IFERROR(LEFT(H1998,FIND(" ",H1998)-1),H1998))</f>
        <v/>
      </c>
      <c r="O1998" s="20" t="n">
        <f aca="false">IFERROR(DATE(VALUE(MID(N1998,FIND("/",N1998,FIND("/",N1998)+1)+1,4)),VALUE(MID(N1998,FIND("/",N1998)+1,FIND("/",N1998,FIND("/",N1998)+1)-FIND("/",N1998)-1)),VALUE(LEFT(N1998,FIND("/",N1998)-1))),0)</f>
        <v>0</v>
      </c>
    </row>
    <row r="1999" customFormat="false" ht="15" hidden="false" customHeight="false" outlineLevel="0" collapsed="false">
      <c r="N1999" s="0" t="str">
        <f aca="false">IF(H1999="","",IFERROR(LEFT(H1999,FIND(" ",H1999)-1),H1999))</f>
        <v/>
      </c>
      <c r="O1999" s="20" t="n">
        <f aca="false">IFERROR(DATE(VALUE(MID(N1999,FIND("/",N1999,FIND("/",N1999)+1)+1,4)),VALUE(MID(N1999,FIND("/",N1999)+1,FIND("/",N1999,FIND("/",N1999)+1)-FIND("/",N1999)-1)),VALUE(LEFT(N1999,FIND("/",N1999)-1))),0)</f>
        <v>0</v>
      </c>
    </row>
    <row r="2000" customFormat="false" ht="15" hidden="false" customHeight="false" outlineLevel="0" collapsed="false">
      <c r="N2000" s="0" t="str">
        <f aca="false">IF(H2000="","",IFERROR(LEFT(H2000,FIND(" ",H2000)-1),H2000))</f>
        <v/>
      </c>
      <c r="O2000" s="20" t="n">
        <f aca="false">IFERROR(DATE(VALUE(MID(N2000,FIND("/",N2000,FIND("/",N2000)+1)+1,4)),VALUE(MID(N2000,FIND("/",N2000)+1,FIND("/",N2000,FIND("/",N2000)+1)-FIND("/",N2000)-1)),VALUE(LEFT(N2000,FIND("/",N2000)-1))),0)</f>
        <v>0</v>
      </c>
    </row>
    <row r="2001" customFormat="false" ht="15" hidden="false" customHeight="false" outlineLevel="0" collapsed="false">
      <c r="N2001" s="0" t="str">
        <f aca="false">IF(H2001="","",IFERROR(LEFT(H2001,FIND(" ",H2001)-1),H2001))</f>
        <v/>
      </c>
      <c r="O2001" s="20" t="n">
        <f aca="false">IFERROR(DATE(VALUE(MID(N2001,FIND("/",N2001,FIND("/",N2001)+1)+1,4)),VALUE(MID(N2001,FIND("/",N2001)+1,FIND("/",N2001,FIND("/",N2001)+1)-FIND("/",N2001)-1)),VALUE(LEFT(N2001,FIND("/",N2001)-1))),0)</f>
        <v>0</v>
      </c>
    </row>
    <row r="2002" customFormat="false" ht="15" hidden="false" customHeight="false" outlineLevel="0" collapsed="false">
      <c r="N2002" s="0" t="str">
        <f aca="false">IF(H2002="","",IFERROR(LEFT(H2002,FIND(" ",H2002)-1),H2002))</f>
        <v/>
      </c>
      <c r="O2002" s="20" t="n">
        <f aca="false">IFERROR(DATE(VALUE(MID(N2002,FIND("/",N2002,FIND("/",N2002)+1)+1,4)),VALUE(MID(N2002,FIND("/",N2002)+1,FIND("/",N2002,FIND("/",N2002)+1)-FIND("/",N2002)-1)),VALUE(LEFT(N2002,FIND("/",N2002)-1))),0)</f>
        <v>0</v>
      </c>
    </row>
    <row r="2003" customFormat="false" ht="15" hidden="false" customHeight="false" outlineLevel="0" collapsed="false">
      <c r="N2003" s="0" t="str">
        <f aca="false">IF(H2003="","",IFERROR(LEFT(H2003,FIND(" ",H2003)-1),H2003))</f>
        <v/>
      </c>
      <c r="O2003" s="20" t="n">
        <f aca="false">IFERROR(DATE(VALUE(MID(N2003,FIND("/",N2003,FIND("/",N2003)+1)+1,4)),VALUE(MID(N2003,FIND("/",N2003)+1,FIND("/",N2003,FIND("/",N2003)+1)-FIND("/",N2003)-1)),VALUE(LEFT(N2003,FIND("/",N2003)-1))),0)</f>
        <v>0</v>
      </c>
    </row>
    <row r="2004" customFormat="false" ht="15" hidden="false" customHeight="false" outlineLevel="0" collapsed="false">
      <c r="N2004" s="0" t="str">
        <f aca="false">IF(H2004="","",IFERROR(LEFT(H2004,FIND(" ",H2004)-1),H2004))</f>
        <v/>
      </c>
      <c r="O2004" s="20" t="n">
        <f aca="false">IFERROR(DATE(VALUE(MID(N2004,FIND("/",N2004,FIND("/",N2004)+1)+1,4)),VALUE(MID(N2004,FIND("/",N2004)+1,FIND("/",N2004,FIND("/",N2004)+1)-FIND("/",N2004)-1)),VALUE(LEFT(N2004,FIND("/",N2004)-1))),0)</f>
        <v>0</v>
      </c>
    </row>
    <row r="2005" customFormat="false" ht="15" hidden="false" customHeight="false" outlineLevel="0" collapsed="false">
      <c r="N2005" s="0" t="str">
        <f aca="false">IF(H2005="","",IFERROR(LEFT(H2005,FIND(" ",H2005)-1),H2005))</f>
        <v/>
      </c>
      <c r="O2005" s="20" t="n">
        <f aca="false">IFERROR(DATE(VALUE(MID(N2005,FIND("/",N2005,FIND("/",N2005)+1)+1,4)),VALUE(MID(N2005,FIND("/",N2005)+1,FIND("/",N2005,FIND("/",N2005)+1)-FIND("/",N2005)-1)),VALUE(LEFT(N2005,FIND("/",N2005)-1))),0)</f>
        <v>0</v>
      </c>
    </row>
    <row r="2006" customFormat="false" ht="15" hidden="false" customHeight="false" outlineLevel="0" collapsed="false">
      <c r="N2006" s="0" t="str">
        <f aca="false">IF(H2006="","",IFERROR(LEFT(H2006,FIND(" ",H2006)-1),H2006))</f>
        <v/>
      </c>
      <c r="O2006" s="20" t="n">
        <f aca="false">IFERROR(DATE(VALUE(MID(N2006,FIND("/",N2006,FIND("/",N2006)+1)+1,4)),VALUE(MID(N2006,FIND("/",N2006)+1,FIND("/",N2006,FIND("/",N2006)+1)-FIND("/",N2006)-1)),VALUE(LEFT(N2006,FIND("/",N2006)-1))),0)</f>
        <v>0</v>
      </c>
    </row>
    <row r="2007" customFormat="false" ht="15" hidden="false" customHeight="false" outlineLevel="0" collapsed="false">
      <c r="N2007" s="0" t="str">
        <f aca="false">IF(H2007="","",IFERROR(LEFT(H2007,FIND(" ",H2007)-1),H2007))</f>
        <v/>
      </c>
      <c r="O2007" s="20" t="n">
        <f aca="false">IFERROR(DATE(VALUE(MID(N2007,FIND("/",N2007,FIND("/",N2007)+1)+1,4)),VALUE(MID(N2007,FIND("/",N2007)+1,FIND("/",N2007,FIND("/",N2007)+1)-FIND("/",N2007)-1)),VALUE(LEFT(N2007,FIND("/",N2007)-1))),0)</f>
        <v>0</v>
      </c>
    </row>
    <row r="2008" customFormat="false" ht="15" hidden="false" customHeight="false" outlineLevel="0" collapsed="false">
      <c r="N2008" s="0" t="str">
        <f aca="false">IF(H2008="","",IFERROR(LEFT(H2008,FIND(" ",H2008)-1),H2008))</f>
        <v/>
      </c>
      <c r="O2008" s="20" t="n">
        <f aca="false">IFERROR(DATE(VALUE(MID(N2008,FIND("/",N2008,FIND("/",N2008)+1)+1,4)),VALUE(MID(N2008,FIND("/",N2008)+1,FIND("/",N2008,FIND("/",N2008)+1)-FIND("/",N2008)-1)),VALUE(LEFT(N2008,FIND("/",N2008)-1))),0)</f>
        <v>0</v>
      </c>
    </row>
    <row r="2009" customFormat="false" ht="15" hidden="false" customHeight="false" outlineLevel="0" collapsed="false">
      <c r="N2009" s="0" t="str">
        <f aca="false">IF(H2009="","",IFERROR(LEFT(H2009,FIND(" ",H2009)-1),H2009))</f>
        <v/>
      </c>
      <c r="O2009" s="20" t="n">
        <f aca="false">IFERROR(DATE(VALUE(MID(N2009,FIND("/",N2009,FIND("/",N2009)+1)+1,4)),VALUE(MID(N2009,FIND("/",N2009)+1,FIND("/",N2009,FIND("/",N2009)+1)-FIND("/",N2009)-1)),VALUE(LEFT(N2009,FIND("/",N2009)-1))),0)</f>
        <v>0</v>
      </c>
    </row>
    <row r="2010" customFormat="false" ht="15" hidden="false" customHeight="false" outlineLevel="0" collapsed="false">
      <c r="N2010" s="0" t="str">
        <f aca="false">IF(H2010="","",IFERROR(LEFT(H2010,FIND(" ",H2010)-1),H2010))</f>
        <v/>
      </c>
      <c r="O2010" s="20" t="n">
        <f aca="false">IFERROR(DATE(VALUE(MID(N2010,FIND("/",N2010,FIND("/",N2010)+1)+1,4)),VALUE(MID(N2010,FIND("/",N2010)+1,FIND("/",N2010,FIND("/",N2010)+1)-FIND("/",N2010)-1)),VALUE(LEFT(N2010,FIND("/",N2010)-1))),0)</f>
        <v>0</v>
      </c>
    </row>
    <row r="2011" customFormat="false" ht="15" hidden="false" customHeight="false" outlineLevel="0" collapsed="false">
      <c r="N2011" s="0" t="str">
        <f aca="false">IF(H2011="","",IFERROR(LEFT(H2011,FIND(" ",H2011)-1),H2011))</f>
        <v/>
      </c>
      <c r="O2011" s="20" t="n">
        <f aca="false">IFERROR(DATE(VALUE(MID(N2011,FIND("/",N2011,FIND("/",N2011)+1)+1,4)),VALUE(MID(N2011,FIND("/",N2011)+1,FIND("/",N2011,FIND("/",N2011)+1)-FIND("/",N2011)-1)),VALUE(LEFT(N2011,FIND("/",N2011)-1))),0)</f>
        <v>0</v>
      </c>
    </row>
    <row r="2012" customFormat="false" ht="15" hidden="false" customHeight="false" outlineLevel="0" collapsed="false">
      <c r="N2012" s="0" t="str">
        <f aca="false">IF(H2012="","",IFERROR(LEFT(H2012,FIND(" ",H2012)-1),H2012))</f>
        <v/>
      </c>
      <c r="O2012" s="20" t="n">
        <f aca="false">IFERROR(DATE(VALUE(MID(N2012,FIND("/",N2012,FIND("/",N2012)+1)+1,4)),VALUE(MID(N2012,FIND("/",N2012)+1,FIND("/",N2012,FIND("/",N2012)+1)-FIND("/",N2012)-1)),VALUE(LEFT(N2012,FIND("/",N2012)-1))),0)</f>
        <v>0</v>
      </c>
    </row>
    <row r="2013" customFormat="false" ht="15" hidden="false" customHeight="false" outlineLevel="0" collapsed="false">
      <c r="N2013" s="0" t="str">
        <f aca="false">IF(H2013="","",IFERROR(LEFT(H2013,FIND(" ",H2013)-1),H2013))</f>
        <v/>
      </c>
      <c r="O2013" s="20" t="n">
        <f aca="false">IFERROR(DATE(VALUE(MID(N2013,FIND("/",N2013,FIND("/",N2013)+1)+1,4)),VALUE(MID(N2013,FIND("/",N2013)+1,FIND("/",N2013,FIND("/",N2013)+1)-FIND("/",N2013)-1)),VALUE(LEFT(N2013,FIND("/",N2013)-1))),0)</f>
        <v>0</v>
      </c>
    </row>
    <row r="2014" customFormat="false" ht="15" hidden="false" customHeight="false" outlineLevel="0" collapsed="false">
      <c r="N2014" s="0" t="str">
        <f aca="false">IF(H2014="","",IFERROR(LEFT(H2014,FIND(" ",H2014)-1),H2014))</f>
        <v/>
      </c>
      <c r="O2014" s="20" t="n">
        <f aca="false">IFERROR(DATE(VALUE(MID(N2014,FIND("/",N2014,FIND("/",N2014)+1)+1,4)),VALUE(MID(N2014,FIND("/",N2014)+1,FIND("/",N2014,FIND("/",N2014)+1)-FIND("/",N2014)-1)),VALUE(LEFT(N2014,FIND("/",N2014)-1))),0)</f>
        <v>0</v>
      </c>
    </row>
    <row r="2015" customFormat="false" ht="15" hidden="false" customHeight="false" outlineLevel="0" collapsed="false">
      <c r="N2015" s="0" t="str">
        <f aca="false">IF(H2015="","",IFERROR(LEFT(H2015,FIND(" ",H2015)-1),H2015))</f>
        <v/>
      </c>
      <c r="O2015" s="20" t="n">
        <f aca="false">IFERROR(DATE(VALUE(MID(N2015,FIND("/",N2015,FIND("/",N2015)+1)+1,4)),VALUE(MID(N2015,FIND("/",N2015)+1,FIND("/",N2015,FIND("/",N2015)+1)-FIND("/",N2015)-1)),VALUE(LEFT(N2015,FIND("/",N2015)-1))),0)</f>
        <v>0</v>
      </c>
    </row>
    <row r="2016" customFormat="false" ht="15" hidden="false" customHeight="false" outlineLevel="0" collapsed="false">
      <c r="N2016" s="0" t="str">
        <f aca="false">IF(H2016="","",IFERROR(LEFT(H2016,FIND(" ",H2016)-1),H2016))</f>
        <v/>
      </c>
      <c r="O2016" s="20" t="n">
        <f aca="false">IFERROR(DATE(VALUE(MID(N2016,FIND("/",N2016,FIND("/",N2016)+1)+1,4)),VALUE(MID(N2016,FIND("/",N2016)+1,FIND("/",N2016,FIND("/",N2016)+1)-FIND("/",N2016)-1)),VALUE(LEFT(N2016,FIND("/",N2016)-1))),0)</f>
        <v>0</v>
      </c>
    </row>
    <row r="2017" customFormat="false" ht="15" hidden="false" customHeight="false" outlineLevel="0" collapsed="false">
      <c r="N2017" s="0" t="str">
        <f aca="false">IF(H2017="","",IFERROR(LEFT(H2017,FIND(" ",H2017)-1),H2017))</f>
        <v/>
      </c>
      <c r="O2017" s="20" t="n">
        <f aca="false">IFERROR(DATE(VALUE(MID(N2017,FIND("/",N2017,FIND("/",N2017)+1)+1,4)),VALUE(MID(N2017,FIND("/",N2017)+1,FIND("/",N2017,FIND("/",N2017)+1)-FIND("/",N2017)-1)),VALUE(LEFT(N2017,FIND("/",N2017)-1))),0)</f>
        <v>0</v>
      </c>
    </row>
    <row r="2018" customFormat="false" ht="15" hidden="false" customHeight="false" outlineLevel="0" collapsed="false">
      <c r="N2018" s="0" t="str">
        <f aca="false">IF(H2018="","",IFERROR(LEFT(H2018,FIND(" ",H2018)-1),H2018))</f>
        <v/>
      </c>
      <c r="O2018" s="20" t="n">
        <f aca="false">IFERROR(DATE(VALUE(MID(N2018,FIND("/",N2018,FIND("/",N2018)+1)+1,4)),VALUE(MID(N2018,FIND("/",N2018)+1,FIND("/",N2018,FIND("/",N2018)+1)-FIND("/",N2018)-1)),VALUE(LEFT(N2018,FIND("/",N2018)-1))),0)</f>
        <v>0</v>
      </c>
    </row>
    <row r="2019" customFormat="false" ht="15" hidden="false" customHeight="false" outlineLevel="0" collapsed="false">
      <c r="N2019" s="0" t="str">
        <f aca="false">IF(H2019="","",IFERROR(LEFT(H2019,FIND(" ",H2019)-1),H2019))</f>
        <v/>
      </c>
      <c r="O2019" s="20" t="n">
        <f aca="false">IFERROR(DATE(VALUE(MID(N2019,FIND("/",N2019,FIND("/",N2019)+1)+1,4)),VALUE(MID(N2019,FIND("/",N2019)+1,FIND("/",N2019,FIND("/",N2019)+1)-FIND("/",N2019)-1)),VALUE(LEFT(N2019,FIND("/",N2019)-1))),0)</f>
        <v>0</v>
      </c>
    </row>
    <row r="2020" customFormat="false" ht="15" hidden="false" customHeight="false" outlineLevel="0" collapsed="false">
      <c r="N2020" s="0" t="str">
        <f aca="false">IF(H2020="","",IFERROR(LEFT(H2020,FIND(" ",H2020)-1),H2020))</f>
        <v/>
      </c>
      <c r="O2020" s="20" t="n">
        <f aca="false">IFERROR(DATE(VALUE(MID(N2020,FIND("/",N2020,FIND("/",N2020)+1)+1,4)),VALUE(MID(N2020,FIND("/",N2020)+1,FIND("/",N2020,FIND("/",N2020)+1)-FIND("/",N2020)-1)),VALUE(LEFT(N2020,FIND("/",N2020)-1))),0)</f>
        <v>0</v>
      </c>
    </row>
    <row r="2021" customFormat="false" ht="15" hidden="false" customHeight="false" outlineLevel="0" collapsed="false">
      <c r="N2021" s="0" t="str">
        <f aca="false">IF(H2021="","",IFERROR(LEFT(H2021,FIND(" ",H2021)-1),H2021))</f>
        <v/>
      </c>
      <c r="O2021" s="20" t="n">
        <f aca="false">IFERROR(DATE(VALUE(MID(N2021,FIND("/",N2021,FIND("/",N2021)+1)+1,4)),VALUE(MID(N2021,FIND("/",N2021)+1,FIND("/",N2021,FIND("/",N2021)+1)-FIND("/",N2021)-1)),VALUE(LEFT(N2021,FIND("/",N2021)-1))),0)</f>
        <v>0</v>
      </c>
    </row>
    <row r="2022" customFormat="false" ht="15" hidden="false" customHeight="false" outlineLevel="0" collapsed="false">
      <c r="N2022" s="0" t="str">
        <f aca="false">IF(H2022="","",IFERROR(LEFT(H2022,FIND(" ",H2022)-1),H2022))</f>
        <v/>
      </c>
      <c r="O2022" s="20" t="n">
        <f aca="false">IFERROR(DATE(VALUE(MID(N2022,FIND("/",N2022,FIND("/",N2022)+1)+1,4)),VALUE(MID(N2022,FIND("/",N2022)+1,FIND("/",N2022,FIND("/",N2022)+1)-FIND("/",N2022)-1)),VALUE(LEFT(N2022,FIND("/",N2022)-1))),0)</f>
        <v>0</v>
      </c>
    </row>
    <row r="2023" customFormat="false" ht="15" hidden="false" customHeight="false" outlineLevel="0" collapsed="false">
      <c r="N2023" s="0" t="str">
        <f aca="false">IF(H2023="","",IFERROR(LEFT(H2023,FIND(" ",H2023)-1),H2023))</f>
        <v/>
      </c>
      <c r="O2023" s="20" t="n">
        <f aca="false">IFERROR(DATE(VALUE(MID(N2023,FIND("/",N2023,FIND("/",N2023)+1)+1,4)),VALUE(MID(N2023,FIND("/",N2023)+1,FIND("/",N2023,FIND("/",N2023)+1)-FIND("/",N2023)-1)),VALUE(LEFT(N2023,FIND("/",N2023)-1))),0)</f>
        <v>0</v>
      </c>
    </row>
    <row r="2024" customFormat="false" ht="15" hidden="false" customHeight="false" outlineLevel="0" collapsed="false">
      <c r="N2024" s="0" t="str">
        <f aca="false">IF(H2024="","",IFERROR(LEFT(H2024,FIND(" ",H2024)-1),H2024))</f>
        <v/>
      </c>
      <c r="O2024" s="20" t="n">
        <f aca="false">IFERROR(DATE(VALUE(MID(N2024,FIND("/",N2024,FIND("/",N2024)+1)+1,4)),VALUE(MID(N2024,FIND("/",N2024)+1,FIND("/",N2024,FIND("/",N2024)+1)-FIND("/",N2024)-1)),VALUE(LEFT(N2024,FIND("/",N2024)-1))),0)</f>
        <v>0</v>
      </c>
    </row>
    <row r="2025" customFormat="false" ht="15" hidden="false" customHeight="false" outlineLevel="0" collapsed="false">
      <c r="N2025" s="0" t="str">
        <f aca="false">IF(H2025="","",IFERROR(LEFT(H2025,FIND(" ",H2025)-1),H2025))</f>
        <v/>
      </c>
      <c r="O2025" s="20" t="n">
        <f aca="false">IFERROR(DATE(VALUE(MID(N2025,FIND("/",N2025,FIND("/",N2025)+1)+1,4)),VALUE(MID(N2025,FIND("/",N2025)+1,FIND("/",N2025,FIND("/",N2025)+1)-FIND("/",N2025)-1)),VALUE(LEFT(N2025,FIND("/",N2025)-1))),0)</f>
        <v>0</v>
      </c>
    </row>
    <row r="2026" customFormat="false" ht="15" hidden="false" customHeight="false" outlineLevel="0" collapsed="false">
      <c r="N2026" s="0" t="str">
        <f aca="false">IF(H2026="","",IFERROR(LEFT(H2026,FIND(" ",H2026)-1),H2026))</f>
        <v/>
      </c>
      <c r="O2026" s="20" t="n">
        <f aca="false">IFERROR(DATE(VALUE(MID(N2026,FIND("/",N2026,FIND("/",N2026)+1)+1,4)),VALUE(MID(N2026,FIND("/",N2026)+1,FIND("/",N2026,FIND("/",N2026)+1)-FIND("/",N2026)-1)),VALUE(LEFT(N2026,FIND("/",N2026)-1))),0)</f>
        <v>0</v>
      </c>
    </row>
    <row r="2027" customFormat="false" ht="15" hidden="false" customHeight="false" outlineLevel="0" collapsed="false">
      <c r="N2027" s="0" t="str">
        <f aca="false">IF(H2027="","",IFERROR(LEFT(H2027,FIND(" ",H2027)-1),H2027))</f>
        <v/>
      </c>
      <c r="O2027" s="20" t="n">
        <f aca="false">IFERROR(DATE(VALUE(MID(N2027,FIND("/",N2027,FIND("/",N2027)+1)+1,4)),VALUE(MID(N2027,FIND("/",N2027)+1,FIND("/",N2027,FIND("/",N2027)+1)-FIND("/",N2027)-1)),VALUE(LEFT(N2027,FIND("/",N2027)-1))),0)</f>
        <v>0</v>
      </c>
    </row>
    <row r="2028" customFormat="false" ht="15" hidden="false" customHeight="false" outlineLevel="0" collapsed="false">
      <c r="N2028" s="0" t="str">
        <f aca="false">IF(H2028="","",IFERROR(LEFT(H2028,FIND(" ",H2028)-1),H2028))</f>
        <v/>
      </c>
      <c r="O2028" s="20" t="n">
        <f aca="false">IFERROR(DATE(VALUE(MID(N2028,FIND("/",N2028,FIND("/",N2028)+1)+1,4)),VALUE(MID(N2028,FIND("/",N2028)+1,FIND("/",N2028,FIND("/",N2028)+1)-FIND("/",N2028)-1)),VALUE(LEFT(N2028,FIND("/",N2028)-1))),0)</f>
        <v>0</v>
      </c>
    </row>
    <row r="2029" customFormat="false" ht="15" hidden="false" customHeight="false" outlineLevel="0" collapsed="false">
      <c r="N2029" s="0" t="str">
        <f aca="false">IF(H2029="","",IFERROR(LEFT(H2029,FIND(" ",H2029)-1),H2029))</f>
        <v/>
      </c>
      <c r="O2029" s="20" t="n">
        <f aca="false">IFERROR(DATE(VALUE(MID(N2029,FIND("/",N2029,FIND("/",N2029)+1)+1,4)),VALUE(MID(N2029,FIND("/",N2029)+1,FIND("/",N2029,FIND("/",N2029)+1)-FIND("/",N2029)-1)),VALUE(LEFT(N2029,FIND("/",N2029)-1))),0)</f>
        <v>0</v>
      </c>
    </row>
    <row r="2030" customFormat="false" ht="15" hidden="false" customHeight="false" outlineLevel="0" collapsed="false">
      <c r="N2030" s="0" t="str">
        <f aca="false">IF(H2030="","",IFERROR(LEFT(H2030,FIND(" ",H2030)-1),H2030))</f>
        <v/>
      </c>
      <c r="O2030" s="20" t="n">
        <f aca="false">IFERROR(DATE(VALUE(MID(N2030,FIND("/",N2030,FIND("/",N2030)+1)+1,4)),VALUE(MID(N2030,FIND("/",N2030)+1,FIND("/",N2030,FIND("/",N2030)+1)-FIND("/",N2030)-1)),VALUE(LEFT(N2030,FIND("/",N2030)-1))),0)</f>
        <v>0</v>
      </c>
    </row>
    <row r="2031" customFormat="false" ht="15" hidden="false" customHeight="false" outlineLevel="0" collapsed="false">
      <c r="N2031" s="0" t="str">
        <f aca="false">IF(H2031="","",IFERROR(LEFT(H2031,FIND(" ",H2031)-1),H2031))</f>
        <v/>
      </c>
      <c r="O2031" s="20" t="n">
        <f aca="false">IFERROR(DATE(VALUE(MID(N2031,FIND("/",N2031,FIND("/",N2031)+1)+1,4)),VALUE(MID(N2031,FIND("/",N2031)+1,FIND("/",N2031,FIND("/",N2031)+1)-FIND("/",N2031)-1)),VALUE(LEFT(N2031,FIND("/",N2031)-1))),0)</f>
        <v>0</v>
      </c>
    </row>
    <row r="2032" customFormat="false" ht="15" hidden="false" customHeight="false" outlineLevel="0" collapsed="false">
      <c r="N2032" s="0" t="str">
        <f aca="false">IF(H2032="","",IFERROR(LEFT(H2032,FIND(" ",H2032)-1),H2032))</f>
        <v/>
      </c>
      <c r="O2032" s="20" t="n">
        <f aca="false">IFERROR(DATE(VALUE(MID(N2032,FIND("/",N2032,FIND("/",N2032)+1)+1,4)),VALUE(MID(N2032,FIND("/",N2032)+1,FIND("/",N2032,FIND("/",N2032)+1)-FIND("/",N2032)-1)),VALUE(LEFT(N2032,FIND("/",N2032)-1))),0)</f>
        <v>0</v>
      </c>
    </row>
    <row r="2033" customFormat="false" ht="15" hidden="false" customHeight="false" outlineLevel="0" collapsed="false">
      <c r="N2033" s="0" t="str">
        <f aca="false">IF(H2033="","",IFERROR(LEFT(H2033,FIND(" ",H2033)-1),H2033))</f>
        <v/>
      </c>
      <c r="O2033" s="20" t="n">
        <f aca="false">IFERROR(DATE(VALUE(MID(N2033,FIND("/",N2033,FIND("/",N2033)+1)+1,4)),VALUE(MID(N2033,FIND("/",N2033)+1,FIND("/",N2033,FIND("/",N2033)+1)-FIND("/",N2033)-1)),VALUE(LEFT(N2033,FIND("/",N2033)-1))),0)</f>
        <v>0</v>
      </c>
    </row>
    <row r="2034" customFormat="false" ht="15" hidden="false" customHeight="false" outlineLevel="0" collapsed="false">
      <c r="N2034" s="0" t="str">
        <f aca="false">IF(H2034="","",IFERROR(LEFT(H2034,FIND(" ",H2034)-1),H2034))</f>
        <v/>
      </c>
      <c r="O2034" s="20" t="n">
        <f aca="false">IFERROR(DATE(VALUE(MID(N2034,FIND("/",N2034,FIND("/",N2034)+1)+1,4)),VALUE(MID(N2034,FIND("/",N2034)+1,FIND("/",N2034,FIND("/",N2034)+1)-FIND("/",N2034)-1)),VALUE(LEFT(N2034,FIND("/",N2034)-1))),0)</f>
        <v>0</v>
      </c>
    </row>
    <row r="2035" customFormat="false" ht="15" hidden="false" customHeight="false" outlineLevel="0" collapsed="false">
      <c r="N2035" s="0" t="str">
        <f aca="false">IF(H2035="","",IFERROR(LEFT(H2035,FIND(" ",H2035)-1),H2035))</f>
        <v/>
      </c>
      <c r="O2035" s="20" t="n">
        <f aca="false">IFERROR(DATE(VALUE(MID(N2035,FIND("/",N2035,FIND("/",N2035)+1)+1,4)),VALUE(MID(N2035,FIND("/",N2035)+1,FIND("/",N2035,FIND("/",N2035)+1)-FIND("/",N2035)-1)),VALUE(LEFT(N2035,FIND("/",N2035)-1))),0)</f>
        <v>0</v>
      </c>
    </row>
    <row r="2036" customFormat="false" ht="15" hidden="false" customHeight="false" outlineLevel="0" collapsed="false">
      <c r="N2036" s="0" t="str">
        <f aca="false">IF(H2036="","",IFERROR(LEFT(H2036,FIND(" ",H2036)-1),H2036))</f>
        <v/>
      </c>
      <c r="O2036" s="20" t="n">
        <f aca="false">IFERROR(DATE(VALUE(MID(N2036,FIND("/",N2036,FIND("/",N2036)+1)+1,4)),VALUE(MID(N2036,FIND("/",N2036)+1,FIND("/",N2036,FIND("/",N2036)+1)-FIND("/",N2036)-1)),VALUE(LEFT(N2036,FIND("/",N2036)-1))),0)</f>
        <v>0</v>
      </c>
    </row>
    <row r="2037" customFormat="false" ht="15" hidden="false" customHeight="false" outlineLevel="0" collapsed="false">
      <c r="N2037" s="0" t="str">
        <f aca="false">IF(H2037="","",IFERROR(LEFT(H2037,FIND(" ",H2037)-1),H2037))</f>
        <v/>
      </c>
      <c r="O2037" s="20" t="n">
        <f aca="false">IFERROR(DATE(VALUE(MID(N2037,FIND("/",N2037,FIND("/",N2037)+1)+1,4)),VALUE(MID(N2037,FIND("/",N2037)+1,FIND("/",N2037,FIND("/",N2037)+1)-FIND("/",N2037)-1)),VALUE(LEFT(N2037,FIND("/",N2037)-1))),0)</f>
        <v>0</v>
      </c>
    </row>
    <row r="2038" customFormat="false" ht="15" hidden="false" customHeight="false" outlineLevel="0" collapsed="false">
      <c r="N2038" s="0" t="str">
        <f aca="false">IF(H2038="","",IFERROR(LEFT(H2038,FIND(" ",H2038)-1),H2038))</f>
        <v/>
      </c>
      <c r="O2038" s="20" t="n">
        <f aca="false">IFERROR(DATE(VALUE(MID(N2038,FIND("/",N2038,FIND("/",N2038)+1)+1,4)),VALUE(MID(N2038,FIND("/",N2038)+1,FIND("/",N2038,FIND("/",N2038)+1)-FIND("/",N2038)-1)),VALUE(LEFT(N2038,FIND("/",N2038)-1))),0)</f>
        <v>0</v>
      </c>
    </row>
    <row r="2039" customFormat="false" ht="15" hidden="false" customHeight="false" outlineLevel="0" collapsed="false">
      <c r="N2039" s="0" t="str">
        <f aca="false">IF(H2039="","",IFERROR(LEFT(H2039,FIND(" ",H2039)-1),H2039))</f>
        <v/>
      </c>
      <c r="O2039" s="20" t="n">
        <f aca="false">IFERROR(DATE(VALUE(MID(N2039,FIND("/",N2039,FIND("/",N2039)+1)+1,4)),VALUE(MID(N2039,FIND("/",N2039)+1,FIND("/",N2039,FIND("/",N2039)+1)-FIND("/",N2039)-1)),VALUE(LEFT(N2039,FIND("/",N2039)-1))),0)</f>
        <v>0</v>
      </c>
    </row>
    <row r="2040" customFormat="false" ht="15" hidden="false" customHeight="false" outlineLevel="0" collapsed="false">
      <c r="N2040" s="0" t="str">
        <f aca="false">IF(H2040="","",IFERROR(LEFT(H2040,FIND(" ",H2040)-1),H2040))</f>
        <v/>
      </c>
      <c r="O2040" s="20" t="n">
        <f aca="false">IFERROR(DATE(VALUE(MID(N2040,FIND("/",N2040,FIND("/",N2040)+1)+1,4)),VALUE(MID(N2040,FIND("/",N2040)+1,FIND("/",N2040,FIND("/",N2040)+1)-FIND("/",N2040)-1)),VALUE(LEFT(N2040,FIND("/",N2040)-1))),0)</f>
        <v>0</v>
      </c>
    </row>
    <row r="2041" customFormat="false" ht="15" hidden="false" customHeight="false" outlineLevel="0" collapsed="false">
      <c r="N2041" s="0" t="str">
        <f aca="false">IF(H2041="","",IFERROR(LEFT(H2041,FIND(" ",H2041)-1),H2041))</f>
        <v/>
      </c>
      <c r="O2041" s="20" t="n">
        <f aca="false">IFERROR(DATE(VALUE(MID(N2041,FIND("/",N2041,FIND("/",N2041)+1)+1,4)),VALUE(MID(N2041,FIND("/",N2041)+1,FIND("/",N2041,FIND("/",N2041)+1)-FIND("/",N2041)-1)),VALUE(LEFT(N2041,FIND("/",N2041)-1))),0)</f>
        <v>0</v>
      </c>
    </row>
    <row r="2042" customFormat="false" ht="15" hidden="false" customHeight="false" outlineLevel="0" collapsed="false">
      <c r="N2042" s="0" t="str">
        <f aca="false">IF(H2042="","",IFERROR(LEFT(H2042,FIND(" ",H2042)-1),H2042))</f>
        <v/>
      </c>
      <c r="O2042" s="20" t="n">
        <f aca="false">IFERROR(DATE(VALUE(MID(N2042,FIND("/",N2042,FIND("/",N2042)+1)+1,4)),VALUE(MID(N2042,FIND("/",N2042)+1,FIND("/",N2042,FIND("/",N2042)+1)-FIND("/",N2042)-1)),VALUE(LEFT(N2042,FIND("/",N2042)-1))),0)</f>
        <v>0</v>
      </c>
    </row>
    <row r="2043" customFormat="false" ht="15" hidden="false" customHeight="false" outlineLevel="0" collapsed="false">
      <c r="N2043" s="0" t="str">
        <f aca="false">IF(H2043="","",IFERROR(LEFT(H2043,FIND(" ",H2043)-1),H2043))</f>
        <v/>
      </c>
      <c r="O2043" s="20" t="n">
        <f aca="false">IFERROR(DATE(VALUE(MID(N2043,FIND("/",N2043,FIND("/",N2043)+1)+1,4)),VALUE(MID(N2043,FIND("/",N2043)+1,FIND("/",N2043,FIND("/",N2043)+1)-FIND("/",N2043)-1)),VALUE(LEFT(N2043,FIND("/",N2043)-1))),0)</f>
        <v>0</v>
      </c>
    </row>
    <row r="2044" customFormat="false" ht="15" hidden="false" customHeight="false" outlineLevel="0" collapsed="false">
      <c r="N2044" s="0" t="str">
        <f aca="false">IF(H2044="","",IFERROR(LEFT(H2044,FIND(" ",H2044)-1),H2044))</f>
        <v/>
      </c>
      <c r="O2044" s="20" t="n">
        <f aca="false">IFERROR(DATE(VALUE(MID(N2044,FIND("/",N2044,FIND("/",N2044)+1)+1,4)),VALUE(MID(N2044,FIND("/",N2044)+1,FIND("/",N2044,FIND("/",N2044)+1)-FIND("/",N2044)-1)),VALUE(LEFT(N2044,FIND("/",N2044)-1))),0)</f>
        <v>0</v>
      </c>
    </row>
    <row r="2045" customFormat="false" ht="15" hidden="false" customHeight="false" outlineLevel="0" collapsed="false">
      <c r="N2045" s="0" t="str">
        <f aca="false">IF(H2045="","",IFERROR(LEFT(H2045,FIND(" ",H2045)-1),H2045))</f>
        <v/>
      </c>
      <c r="O2045" s="20" t="n">
        <f aca="false">IFERROR(DATE(VALUE(MID(N2045,FIND("/",N2045,FIND("/",N2045)+1)+1,4)),VALUE(MID(N2045,FIND("/",N2045)+1,FIND("/",N2045,FIND("/",N2045)+1)-FIND("/",N2045)-1)),VALUE(LEFT(N2045,FIND("/",N2045)-1))),0)</f>
        <v>0</v>
      </c>
    </row>
    <row r="2046" customFormat="false" ht="15" hidden="false" customHeight="false" outlineLevel="0" collapsed="false">
      <c r="N2046" s="0" t="str">
        <f aca="false">IF(H2046="","",IFERROR(LEFT(H2046,FIND(" ",H2046)-1),H2046))</f>
        <v/>
      </c>
      <c r="O2046" s="20" t="n">
        <f aca="false">IFERROR(DATE(VALUE(MID(N2046,FIND("/",N2046,FIND("/",N2046)+1)+1,4)),VALUE(MID(N2046,FIND("/",N2046)+1,FIND("/",N2046,FIND("/",N2046)+1)-FIND("/",N2046)-1)),VALUE(LEFT(N2046,FIND("/",N2046)-1))),0)</f>
        <v>0</v>
      </c>
    </row>
    <row r="2047" customFormat="false" ht="15" hidden="false" customHeight="false" outlineLevel="0" collapsed="false">
      <c r="N2047" s="0" t="str">
        <f aca="false">IF(H2047="","",IFERROR(LEFT(H2047,FIND(" ",H2047)-1),H2047))</f>
        <v/>
      </c>
      <c r="O2047" s="20" t="n">
        <f aca="false">IFERROR(DATE(VALUE(MID(N2047,FIND("/",N2047,FIND("/",N2047)+1)+1,4)),VALUE(MID(N2047,FIND("/",N2047)+1,FIND("/",N2047,FIND("/",N2047)+1)-FIND("/",N2047)-1)),VALUE(LEFT(N2047,FIND("/",N2047)-1))),0)</f>
        <v>0</v>
      </c>
    </row>
    <row r="2048" customFormat="false" ht="15" hidden="false" customHeight="false" outlineLevel="0" collapsed="false">
      <c r="N2048" s="0" t="str">
        <f aca="false">IF(H2048="","",IFERROR(LEFT(H2048,FIND(" ",H2048)-1),H2048))</f>
        <v/>
      </c>
      <c r="O2048" s="20" t="n">
        <f aca="false">IFERROR(DATE(VALUE(MID(N2048,FIND("/",N2048,FIND("/",N2048)+1)+1,4)),VALUE(MID(N2048,FIND("/",N2048)+1,FIND("/",N2048,FIND("/",N2048)+1)-FIND("/",N2048)-1)),VALUE(LEFT(N2048,FIND("/",N2048)-1))),0)</f>
        <v>0</v>
      </c>
    </row>
    <row r="2049" customFormat="false" ht="15" hidden="false" customHeight="false" outlineLevel="0" collapsed="false">
      <c r="N2049" s="0" t="str">
        <f aca="false">IF(H2049="","",IFERROR(LEFT(H2049,FIND(" ",H2049)-1),H2049))</f>
        <v/>
      </c>
      <c r="O2049" s="20" t="n">
        <f aca="false">IFERROR(DATE(VALUE(MID(N2049,FIND("/",N2049,FIND("/",N2049)+1)+1,4)),VALUE(MID(N2049,FIND("/",N2049)+1,FIND("/",N2049,FIND("/",N2049)+1)-FIND("/",N2049)-1)),VALUE(LEFT(N2049,FIND("/",N2049)-1))),0)</f>
        <v>0</v>
      </c>
    </row>
    <row r="2050" customFormat="false" ht="15" hidden="false" customHeight="false" outlineLevel="0" collapsed="false">
      <c r="N2050" s="0" t="str">
        <f aca="false">IF(H2050="","",IFERROR(LEFT(H2050,FIND(" ",H2050)-1),H2050))</f>
        <v/>
      </c>
      <c r="O2050" s="20" t="n">
        <f aca="false">IFERROR(DATE(VALUE(MID(N2050,FIND("/",N2050,FIND("/",N2050)+1)+1,4)),VALUE(MID(N2050,FIND("/",N2050)+1,FIND("/",N2050,FIND("/",N2050)+1)-FIND("/",N2050)-1)),VALUE(LEFT(N2050,FIND("/",N2050)-1))),0)</f>
        <v>0</v>
      </c>
    </row>
    <row r="2051" customFormat="false" ht="15" hidden="false" customHeight="false" outlineLevel="0" collapsed="false">
      <c r="N2051" s="0" t="str">
        <f aca="false">IF(H2051="","",IFERROR(LEFT(H2051,FIND(" ",H2051)-1),H2051))</f>
        <v/>
      </c>
      <c r="O2051" s="20" t="n">
        <f aca="false">IFERROR(DATE(VALUE(MID(N2051,FIND("/",N2051,FIND("/",N2051)+1)+1,4)),VALUE(MID(N2051,FIND("/",N2051)+1,FIND("/",N2051,FIND("/",N2051)+1)-FIND("/",N2051)-1)),VALUE(LEFT(N2051,FIND("/",N2051)-1))),0)</f>
        <v>0</v>
      </c>
    </row>
    <row r="2052" customFormat="false" ht="15" hidden="false" customHeight="false" outlineLevel="0" collapsed="false">
      <c r="N2052" s="0" t="str">
        <f aca="false">IF(H2052="","",IFERROR(LEFT(H2052,FIND(" ",H2052)-1),H2052))</f>
        <v/>
      </c>
      <c r="O2052" s="20" t="n">
        <f aca="false">IFERROR(DATE(VALUE(MID(N2052,FIND("/",N2052,FIND("/",N2052)+1)+1,4)),VALUE(MID(N2052,FIND("/",N2052)+1,FIND("/",N2052,FIND("/",N2052)+1)-FIND("/",N2052)-1)),VALUE(LEFT(N2052,FIND("/",N2052)-1))),0)</f>
        <v>0</v>
      </c>
    </row>
    <row r="2053" customFormat="false" ht="15" hidden="false" customHeight="false" outlineLevel="0" collapsed="false">
      <c r="N2053" s="0" t="str">
        <f aca="false">IF(H2053="","",IFERROR(LEFT(H2053,FIND(" ",H2053)-1),H2053))</f>
        <v/>
      </c>
      <c r="O2053" s="20" t="n">
        <f aca="false">IFERROR(DATE(VALUE(MID(N2053,FIND("/",N2053,FIND("/",N2053)+1)+1,4)),VALUE(MID(N2053,FIND("/",N2053)+1,FIND("/",N2053,FIND("/",N2053)+1)-FIND("/",N2053)-1)),VALUE(LEFT(N2053,FIND("/",N2053)-1))),0)</f>
        <v>0</v>
      </c>
    </row>
    <row r="2054" customFormat="false" ht="15" hidden="false" customHeight="false" outlineLevel="0" collapsed="false">
      <c r="N2054" s="0" t="str">
        <f aca="false">IF(H2054="","",IFERROR(LEFT(H2054,FIND(" ",H2054)-1),H2054))</f>
        <v/>
      </c>
      <c r="O2054" s="20" t="n">
        <f aca="false">IFERROR(DATE(VALUE(MID(N2054,FIND("/",N2054,FIND("/",N2054)+1)+1,4)),VALUE(MID(N2054,FIND("/",N2054)+1,FIND("/",N2054,FIND("/",N2054)+1)-FIND("/",N2054)-1)),VALUE(LEFT(N2054,FIND("/",N2054)-1))),0)</f>
        <v>0</v>
      </c>
    </row>
    <row r="2055" customFormat="false" ht="15" hidden="false" customHeight="false" outlineLevel="0" collapsed="false">
      <c r="N2055" s="0" t="str">
        <f aca="false">IF(H2055="","",IFERROR(LEFT(H2055,FIND(" ",H2055)-1),H2055))</f>
        <v/>
      </c>
      <c r="O2055" s="20" t="n">
        <f aca="false">IFERROR(DATE(VALUE(MID(N2055,FIND("/",N2055,FIND("/",N2055)+1)+1,4)),VALUE(MID(N2055,FIND("/",N2055)+1,FIND("/",N2055,FIND("/",N2055)+1)-FIND("/",N2055)-1)),VALUE(LEFT(N2055,FIND("/",N2055)-1))),0)</f>
        <v>0</v>
      </c>
    </row>
    <row r="2056" customFormat="false" ht="15" hidden="false" customHeight="false" outlineLevel="0" collapsed="false">
      <c r="N2056" s="0" t="str">
        <f aca="false">IF(H2056="","",IFERROR(LEFT(H2056,FIND(" ",H2056)-1),H2056))</f>
        <v/>
      </c>
      <c r="O2056" s="20" t="n">
        <f aca="false">IFERROR(DATE(VALUE(MID(N2056,FIND("/",N2056,FIND("/",N2056)+1)+1,4)),VALUE(MID(N2056,FIND("/",N2056)+1,FIND("/",N2056,FIND("/",N2056)+1)-FIND("/",N2056)-1)),VALUE(LEFT(N2056,FIND("/",N2056)-1))),0)</f>
        <v>0</v>
      </c>
    </row>
    <row r="2057" customFormat="false" ht="15" hidden="false" customHeight="false" outlineLevel="0" collapsed="false">
      <c r="N2057" s="0" t="str">
        <f aca="false">IF(H2057="","",IFERROR(LEFT(H2057,FIND(" ",H2057)-1),H2057))</f>
        <v/>
      </c>
      <c r="O2057" s="20" t="n">
        <f aca="false">IFERROR(DATE(VALUE(MID(N2057,FIND("/",N2057,FIND("/",N2057)+1)+1,4)),VALUE(MID(N2057,FIND("/",N2057)+1,FIND("/",N2057,FIND("/",N2057)+1)-FIND("/",N2057)-1)),VALUE(LEFT(N2057,FIND("/",N2057)-1))),0)</f>
        <v>0</v>
      </c>
    </row>
    <row r="2058" customFormat="false" ht="15" hidden="false" customHeight="false" outlineLevel="0" collapsed="false">
      <c r="N2058" s="0" t="str">
        <f aca="false">IF(H2058="","",IFERROR(LEFT(H2058,FIND(" ",H2058)-1),H2058))</f>
        <v/>
      </c>
      <c r="O2058" s="20" t="n">
        <f aca="false">IFERROR(DATE(VALUE(MID(N2058,FIND("/",N2058,FIND("/",N2058)+1)+1,4)),VALUE(MID(N2058,FIND("/",N2058)+1,FIND("/",N2058,FIND("/",N2058)+1)-FIND("/",N2058)-1)),VALUE(LEFT(N2058,FIND("/",N2058)-1))),0)</f>
        <v>0</v>
      </c>
    </row>
    <row r="2059" customFormat="false" ht="15" hidden="false" customHeight="false" outlineLevel="0" collapsed="false">
      <c r="N2059" s="0" t="str">
        <f aca="false">IF(H2059="","",IFERROR(LEFT(H2059,FIND(" ",H2059)-1),H2059))</f>
        <v/>
      </c>
      <c r="O2059" s="20" t="n">
        <f aca="false">IFERROR(DATE(VALUE(MID(N2059,FIND("/",N2059,FIND("/",N2059)+1)+1,4)),VALUE(MID(N2059,FIND("/",N2059)+1,FIND("/",N2059,FIND("/",N2059)+1)-FIND("/",N2059)-1)),VALUE(LEFT(N2059,FIND("/",N2059)-1))),0)</f>
        <v>0</v>
      </c>
    </row>
    <row r="2060" customFormat="false" ht="15" hidden="false" customHeight="false" outlineLevel="0" collapsed="false">
      <c r="N2060" s="0" t="str">
        <f aca="false">IF(H2060="","",IFERROR(LEFT(H2060,FIND(" ",H2060)-1),H2060))</f>
        <v/>
      </c>
      <c r="O2060" s="20" t="n">
        <f aca="false">IFERROR(DATE(VALUE(MID(N2060,FIND("/",N2060,FIND("/",N2060)+1)+1,4)),VALUE(MID(N2060,FIND("/",N2060)+1,FIND("/",N2060,FIND("/",N2060)+1)-FIND("/",N2060)-1)),VALUE(LEFT(N2060,FIND("/",N2060)-1))),0)</f>
        <v>0</v>
      </c>
    </row>
    <row r="2061" customFormat="false" ht="15" hidden="false" customHeight="false" outlineLevel="0" collapsed="false">
      <c r="N2061" s="0" t="str">
        <f aca="false">IF(H2061="","",IFERROR(LEFT(H2061,FIND(" ",H2061)-1),H2061))</f>
        <v/>
      </c>
      <c r="O2061" s="20" t="n">
        <f aca="false">IFERROR(DATE(VALUE(MID(N2061,FIND("/",N2061,FIND("/",N2061)+1)+1,4)),VALUE(MID(N2061,FIND("/",N2061)+1,FIND("/",N2061,FIND("/",N2061)+1)-FIND("/",N2061)-1)),VALUE(LEFT(N2061,FIND("/",N2061)-1))),0)</f>
        <v>0</v>
      </c>
    </row>
    <row r="2062" customFormat="false" ht="15" hidden="false" customHeight="false" outlineLevel="0" collapsed="false">
      <c r="N2062" s="0" t="str">
        <f aca="false">IF(H2062="","",IFERROR(LEFT(H2062,FIND(" ",H2062)-1),H2062))</f>
        <v/>
      </c>
      <c r="O2062" s="20" t="n">
        <f aca="false">IFERROR(DATE(VALUE(MID(N2062,FIND("/",N2062,FIND("/",N2062)+1)+1,4)),VALUE(MID(N2062,FIND("/",N2062)+1,FIND("/",N2062,FIND("/",N2062)+1)-FIND("/",N2062)-1)),VALUE(LEFT(N2062,FIND("/",N2062)-1))),0)</f>
        <v>0</v>
      </c>
    </row>
    <row r="2063" customFormat="false" ht="15" hidden="false" customHeight="false" outlineLevel="0" collapsed="false">
      <c r="N2063" s="0" t="str">
        <f aca="false">IF(H2063="","",IFERROR(LEFT(H2063,FIND(" ",H2063)-1),H2063))</f>
        <v/>
      </c>
      <c r="O2063" s="20" t="n">
        <f aca="false">IFERROR(DATE(VALUE(MID(N2063,FIND("/",N2063,FIND("/",N2063)+1)+1,4)),VALUE(MID(N2063,FIND("/",N2063)+1,FIND("/",N2063,FIND("/",N2063)+1)-FIND("/",N2063)-1)),VALUE(LEFT(N2063,FIND("/",N2063)-1))),0)</f>
        <v>0</v>
      </c>
    </row>
    <row r="2064" customFormat="false" ht="15" hidden="false" customHeight="false" outlineLevel="0" collapsed="false">
      <c r="N2064" s="0" t="str">
        <f aca="false">IF(H2064="","",IFERROR(LEFT(H2064,FIND(" ",H2064)-1),H2064))</f>
        <v/>
      </c>
      <c r="O2064" s="20" t="n">
        <f aca="false">IFERROR(DATE(VALUE(MID(N2064,FIND("/",N2064,FIND("/",N2064)+1)+1,4)),VALUE(MID(N2064,FIND("/",N2064)+1,FIND("/",N2064,FIND("/",N2064)+1)-FIND("/",N2064)-1)),VALUE(LEFT(N2064,FIND("/",N2064)-1))),0)</f>
        <v>0</v>
      </c>
    </row>
    <row r="2065" customFormat="false" ht="15" hidden="false" customHeight="false" outlineLevel="0" collapsed="false">
      <c r="N2065" s="0" t="str">
        <f aca="false">IF(H2065="","",IFERROR(LEFT(H2065,FIND(" ",H2065)-1),H2065))</f>
        <v/>
      </c>
      <c r="O2065" s="20" t="n">
        <f aca="false">IFERROR(DATE(VALUE(MID(N2065,FIND("/",N2065,FIND("/",N2065)+1)+1,4)),VALUE(MID(N2065,FIND("/",N2065)+1,FIND("/",N2065,FIND("/",N2065)+1)-FIND("/",N2065)-1)),VALUE(LEFT(N2065,FIND("/",N2065)-1))),0)</f>
        <v>0</v>
      </c>
    </row>
    <row r="2066" customFormat="false" ht="15" hidden="false" customHeight="false" outlineLevel="0" collapsed="false">
      <c r="N2066" s="0" t="str">
        <f aca="false">IF(H2066="","",IFERROR(LEFT(H2066,FIND(" ",H2066)-1),H2066))</f>
        <v/>
      </c>
      <c r="O2066" s="20" t="n">
        <f aca="false">IFERROR(DATE(VALUE(MID(N2066,FIND("/",N2066,FIND("/",N2066)+1)+1,4)),VALUE(MID(N2066,FIND("/",N2066)+1,FIND("/",N2066,FIND("/",N2066)+1)-FIND("/",N2066)-1)),VALUE(LEFT(N2066,FIND("/",N2066)-1))),0)</f>
        <v>0</v>
      </c>
    </row>
    <row r="2067" customFormat="false" ht="15" hidden="false" customHeight="false" outlineLevel="0" collapsed="false">
      <c r="N2067" s="0" t="str">
        <f aca="false">IF(H2067="","",IFERROR(LEFT(H2067,FIND(" ",H2067)-1),H2067))</f>
        <v/>
      </c>
      <c r="O2067" s="20" t="n">
        <f aca="false">IFERROR(DATE(VALUE(MID(N2067,FIND("/",N2067,FIND("/",N2067)+1)+1,4)),VALUE(MID(N2067,FIND("/",N2067)+1,FIND("/",N2067,FIND("/",N2067)+1)-FIND("/",N2067)-1)),VALUE(LEFT(N2067,FIND("/",N2067)-1))),0)</f>
        <v>0</v>
      </c>
    </row>
    <row r="2068" customFormat="false" ht="15" hidden="false" customHeight="false" outlineLevel="0" collapsed="false">
      <c r="N2068" s="0" t="str">
        <f aca="false">IF(H2068="","",IFERROR(LEFT(H2068,FIND(" ",H2068)-1),H2068))</f>
        <v/>
      </c>
      <c r="O2068" s="20" t="n">
        <f aca="false">IFERROR(DATE(VALUE(MID(N2068,FIND("/",N2068,FIND("/",N2068)+1)+1,4)),VALUE(MID(N2068,FIND("/",N2068)+1,FIND("/",N2068,FIND("/",N2068)+1)-FIND("/",N2068)-1)),VALUE(LEFT(N2068,FIND("/",N2068)-1))),0)</f>
        <v>0</v>
      </c>
    </row>
    <row r="2069" customFormat="false" ht="15" hidden="false" customHeight="false" outlineLevel="0" collapsed="false">
      <c r="N2069" s="0" t="str">
        <f aca="false">IF(H2069="","",IFERROR(LEFT(H2069,FIND(" ",H2069)-1),H2069))</f>
        <v/>
      </c>
      <c r="O2069" s="20" t="n">
        <f aca="false">IFERROR(DATE(VALUE(MID(N2069,FIND("/",N2069,FIND("/",N2069)+1)+1,4)),VALUE(MID(N2069,FIND("/",N2069)+1,FIND("/",N2069,FIND("/",N2069)+1)-FIND("/",N2069)-1)),VALUE(LEFT(N2069,FIND("/",N2069)-1))),0)</f>
        <v>0</v>
      </c>
    </row>
    <row r="2070" customFormat="false" ht="15" hidden="false" customHeight="false" outlineLevel="0" collapsed="false">
      <c r="N2070" s="0" t="str">
        <f aca="false">IF(H2070="","",IFERROR(LEFT(H2070,FIND(" ",H2070)-1),H2070))</f>
        <v/>
      </c>
      <c r="O2070" s="20" t="n">
        <f aca="false">IFERROR(DATE(VALUE(MID(N2070,FIND("/",N2070,FIND("/",N2070)+1)+1,4)),VALUE(MID(N2070,FIND("/",N2070)+1,FIND("/",N2070,FIND("/",N2070)+1)-FIND("/",N2070)-1)),VALUE(LEFT(N2070,FIND("/",N2070)-1))),0)</f>
        <v>0</v>
      </c>
    </row>
    <row r="2071" customFormat="false" ht="15" hidden="false" customHeight="false" outlineLevel="0" collapsed="false">
      <c r="N2071" s="0" t="str">
        <f aca="false">IF(H2071="","",IFERROR(LEFT(H2071,FIND(" ",H2071)-1),H2071))</f>
        <v/>
      </c>
      <c r="O2071" s="20" t="n">
        <f aca="false">IFERROR(DATE(VALUE(MID(N2071,FIND("/",N2071,FIND("/",N2071)+1)+1,4)),VALUE(MID(N2071,FIND("/",N2071)+1,FIND("/",N2071,FIND("/",N2071)+1)-FIND("/",N2071)-1)),VALUE(LEFT(N2071,FIND("/",N2071)-1))),0)</f>
        <v>0</v>
      </c>
    </row>
    <row r="2072" customFormat="false" ht="15" hidden="false" customHeight="false" outlineLevel="0" collapsed="false">
      <c r="N2072" s="0" t="str">
        <f aca="false">IF(H2072="","",IFERROR(LEFT(H2072,FIND(" ",H2072)-1),H2072))</f>
        <v/>
      </c>
      <c r="O2072" s="20" t="n">
        <f aca="false">IFERROR(DATE(VALUE(MID(N2072,FIND("/",N2072,FIND("/",N2072)+1)+1,4)),VALUE(MID(N2072,FIND("/",N2072)+1,FIND("/",N2072,FIND("/",N2072)+1)-FIND("/",N2072)-1)),VALUE(LEFT(N2072,FIND("/",N2072)-1))),0)</f>
        <v>0</v>
      </c>
    </row>
    <row r="2073" customFormat="false" ht="15" hidden="false" customHeight="false" outlineLevel="0" collapsed="false">
      <c r="N2073" s="0" t="str">
        <f aca="false">IF(H2073="","",IFERROR(LEFT(H2073,FIND(" ",H2073)-1),H2073))</f>
        <v/>
      </c>
      <c r="O2073" s="20" t="n">
        <f aca="false">IFERROR(DATE(VALUE(MID(N2073,FIND("/",N2073,FIND("/",N2073)+1)+1,4)),VALUE(MID(N2073,FIND("/",N2073)+1,FIND("/",N2073,FIND("/",N2073)+1)-FIND("/",N2073)-1)),VALUE(LEFT(N2073,FIND("/",N2073)-1))),0)</f>
        <v>0</v>
      </c>
    </row>
    <row r="2074" customFormat="false" ht="15" hidden="false" customHeight="false" outlineLevel="0" collapsed="false">
      <c r="N2074" s="0" t="str">
        <f aca="false">IF(H2074="","",IFERROR(LEFT(H2074,FIND(" ",H2074)-1),H2074))</f>
        <v/>
      </c>
      <c r="O2074" s="20" t="n">
        <f aca="false">IFERROR(DATE(VALUE(MID(N2074,FIND("/",N2074,FIND("/",N2074)+1)+1,4)),VALUE(MID(N2074,FIND("/",N2074)+1,FIND("/",N2074,FIND("/",N2074)+1)-FIND("/",N2074)-1)),VALUE(LEFT(N2074,FIND("/",N2074)-1))),0)</f>
        <v>0</v>
      </c>
    </row>
    <row r="2075" customFormat="false" ht="15" hidden="false" customHeight="false" outlineLevel="0" collapsed="false">
      <c r="N2075" s="0" t="str">
        <f aca="false">IF(H2075="","",IFERROR(LEFT(H2075,FIND(" ",H2075)-1),H2075))</f>
        <v/>
      </c>
      <c r="O2075" s="20" t="n">
        <f aca="false">IFERROR(DATE(VALUE(MID(N2075,FIND("/",N2075,FIND("/",N2075)+1)+1,4)),VALUE(MID(N2075,FIND("/",N2075)+1,FIND("/",N2075,FIND("/",N2075)+1)-FIND("/",N2075)-1)),VALUE(LEFT(N2075,FIND("/",N2075)-1))),0)</f>
        <v>0</v>
      </c>
    </row>
    <row r="2076" customFormat="false" ht="15" hidden="false" customHeight="false" outlineLevel="0" collapsed="false">
      <c r="N2076" s="0" t="str">
        <f aca="false">IF(H2076="","",IFERROR(LEFT(H2076,FIND(" ",H2076)-1),H2076))</f>
        <v/>
      </c>
      <c r="O2076" s="20" t="n">
        <f aca="false">IFERROR(DATE(VALUE(MID(N2076,FIND("/",N2076,FIND("/",N2076)+1)+1,4)),VALUE(MID(N2076,FIND("/",N2076)+1,FIND("/",N2076,FIND("/",N2076)+1)-FIND("/",N2076)-1)),VALUE(LEFT(N2076,FIND("/",N2076)-1))),0)</f>
        <v>0</v>
      </c>
    </row>
    <row r="2077" customFormat="false" ht="15" hidden="false" customHeight="false" outlineLevel="0" collapsed="false">
      <c r="N2077" s="0" t="str">
        <f aca="false">IF(H2077="","",IFERROR(LEFT(H2077,FIND(" ",H2077)-1),H2077))</f>
        <v/>
      </c>
      <c r="O2077" s="20" t="n">
        <f aca="false">IFERROR(DATE(VALUE(MID(N2077,FIND("/",N2077,FIND("/",N2077)+1)+1,4)),VALUE(MID(N2077,FIND("/",N2077)+1,FIND("/",N2077,FIND("/",N2077)+1)-FIND("/",N2077)-1)),VALUE(LEFT(N2077,FIND("/",N2077)-1))),0)</f>
        <v>0</v>
      </c>
    </row>
    <row r="2078" customFormat="false" ht="15" hidden="false" customHeight="false" outlineLevel="0" collapsed="false">
      <c r="N2078" s="0" t="str">
        <f aca="false">IF(H2078="","",IFERROR(LEFT(H2078,FIND(" ",H2078)-1),H2078))</f>
        <v/>
      </c>
      <c r="O2078" s="20" t="n">
        <f aca="false">IFERROR(DATE(VALUE(MID(N2078,FIND("/",N2078,FIND("/",N2078)+1)+1,4)),VALUE(MID(N2078,FIND("/",N2078)+1,FIND("/",N2078,FIND("/",N2078)+1)-FIND("/",N2078)-1)),VALUE(LEFT(N2078,FIND("/",N2078)-1))),0)</f>
        <v>0</v>
      </c>
    </row>
    <row r="2079" customFormat="false" ht="15" hidden="false" customHeight="false" outlineLevel="0" collapsed="false">
      <c r="N2079" s="0" t="str">
        <f aca="false">IF(H2079="","",IFERROR(LEFT(H2079,FIND(" ",H2079)-1),H2079))</f>
        <v/>
      </c>
      <c r="O2079" s="20" t="n">
        <f aca="false">IFERROR(DATE(VALUE(MID(N2079,FIND("/",N2079,FIND("/",N2079)+1)+1,4)),VALUE(MID(N2079,FIND("/",N2079)+1,FIND("/",N2079,FIND("/",N2079)+1)-FIND("/",N2079)-1)),VALUE(LEFT(N2079,FIND("/",N2079)-1))),0)</f>
        <v>0</v>
      </c>
    </row>
    <row r="2080" customFormat="false" ht="15" hidden="false" customHeight="false" outlineLevel="0" collapsed="false">
      <c r="N2080" s="0" t="str">
        <f aca="false">IF(H2080="","",IFERROR(LEFT(H2080,FIND(" ",H2080)-1),H2080))</f>
        <v/>
      </c>
      <c r="O2080" s="20" t="n">
        <f aca="false">IFERROR(DATE(VALUE(MID(N2080,FIND("/",N2080,FIND("/",N2080)+1)+1,4)),VALUE(MID(N2080,FIND("/",N2080)+1,FIND("/",N2080,FIND("/",N2080)+1)-FIND("/",N2080)-1)),VALUE(LEFT(N2080,FIND("/",N2080)-1))),0)</f>
        <v>0</v>
      </c>
    </row>
    <row r="2081" customFormat="false" ht="15" hidden="false" customHeight="false" outlineLevel="0" collapsed="false">
      <c r="N2081" s="0" t="str">
        <f aca="false">IF(H2081="","",IFERROR(LEFT(H2081,FIND(" ",H2081)-1),H2081))</f>
        <v/>
      </c>
      <c r="O2081" s="20" t="n">
        <f aca="false">IFERROR(DATE(VALUE(MID(N2081,FIND("/",N2081,FIND("/",N2081)+1)+1,4)),VALUE(MID(N2081,FIND("/",N2081)+1,FIND("/",N2081,FIND("/",N2081)+1)-FIND("/",N2081)-1)),VALUE(LEFT(N2081,FIND("/",N2081)-1))),0)</f>
        <v>0</v>
      </c>
    </row>
    <row r="2082" customFormat="false" ht="15" hidden="false" customHeight="false" outlineLevel="0" collapsed="false">
      <c r="N2082" s="0" t="str">
        <f aca="false">IF(H2082="","",IFERROR(LEFT(H2082,FIND(" ",H2082)-1),H2082))</f>
        <v/>
      </c>
      <c r="O2082" s="20" t="n">
        <f aca="false">IFERROR(DATE(VALUE(MID(N2082,FIND("/",N2082,FIND("/",N2082)+1)+1,4)),VALUE(MID(N2082,FIND("/",N2082)+1,FIND("/",N2082,FIND("/",N2082)+1)-FIND("/",N2082)-1)),VALUE(LEFT(N2082,FIND("/",N2082)-1))),0)</f>
        <v>0</v>
      </c>
    </row>
    <row r="2083" customFormat="false" ht="15" hidden="false" customHeight="false" outlineLevel="0" collapsed="false">
      <c r="N2083" s="0" t="str">
        <f aca="false">IF(H2083="","",IFERROR(LEFT(H2083,FIND(" ",H2083)-1),H2083))</f>
        <v/>
      </c>
      <c r="O2083" s="20" t="n">
        <f aca="false">IFERROR(DATE(VALUE(MID(N2083,FIND("/",N2083,FIND("/",N2083)+1)+1,4)),VALUE(MID(N2083,FIND("/",N2083)+1,FIND("/",N2083,FIND("/",N2083)+1)-FIND("/",N2083)-1)),VALUE(LEFT(N2083,FIND("/",N2083)-1))),0)</f>
        <v>0</v>
      </c>
    </row>
    <row r="2084" customFormat="false" ht="15" hidden="false" customHeight="false" outlineLevel="0" collapsed="false">
      <c r="N2084" s="0" t="str">
        <f aca="false">IF(H2084="","",IFERROR(LEFT(H2084,FIND(" ",H2084)-1),H2084))</f>
        <v/>
      </c>
      <c r="O2084" s="20" t="n">
        <f aca="false">IFERROR(DATE(VALUE(MID(N2084,FIND("/",N2084,FIND("/",N2084)+1)+1,4)),VALUE(MID(N2084,FIND("/",N2084)+1,FIND("/",N2084,FIND("/",N2084)+1)-FIND("/",N2084)-1)),VALUE(LEFT(N2084,FIND("/",N2084)-1))),0)</f>
        <v>0</v>
      </c>
    </row>
    <row r="2085" customFormat="false" ht="15" hidden="false" customHeight="false" outlineLevel="0" collapsed="false">
      <c r="N2085" s="0" t="str">
        <f aca="false">IF(H2085="","",IFERROR(LEFT(H2085,FIND(" ",H2085)-1),H2085))</f>
        <v/>
      </c>
      <c r="O2085" s="20" t="n">
        <f aca="false">IFERROR(DATE(VALUE(MID(N2085,FIND("/",N2085,FIND("/",N2085)+1)+1,4)),VALUE(MID(N2085,FIND("/",N2085)+1,FIND("/",N2085,FIND("/",N2085)+1)-FIND("/",N2085)-1)),VALUE(LEFT(N2085,FIND("/",N2085)-1))),0)</f>
        <v>0</v>
      </c>
    </row>
    <row r="2086" customFormat="false" ht="15" hidden="false" customHeight="false" outlineLevel="0" collapsed="false">
      <c r="N2086" s="0" t="str">
        <f aca="false">IF(H2086="","",IFERROR(LEFT(H2086,FIND(" ",H2086)-1),H2086))</f>
        <v/>
      </c>
      <c r="O2086" s="20" t="n">
        <f aca="false">IFERROR(DATE(VALUE(MID(N2086,FIND("/",N2086,FIND("/",N2086)+1)+1,4)),VALUE(MID(N2086,FIND("/",N2086)+1,FIND("/",N2086,FIND("/",N2086)+1)-FIND("/",N2086)-1)),VALUE(LEFT(N2086,FIND("/",N2086)-1))),0)</f>
        <v>0</v>
      </c>
    </row>
    <row r="2087" customFormat="false" ht="15" hidden="false" customHeight="false" outlineLevel="0" collapsed="false">
      <c r="N2087" s="0" t="str">
        <f aca="false">IF(H2087="","",IFERROR(LEFT(H2087,FIND(" ",H2087)-1),H2087))</f>
        <v/>
      </c>
      <c r="O2087" s="20" t="n">
        <f aca="false">IFERROR(DATE(VALUE(MID(N2087,FIND("/",N2087,FIND("/",N2087)+1)+1,4)),VALUE(MID(N2087,FIND("/",N2087)+1,FIND("/",N2087,FIND("/",N2087)+1)-FIND("/",N2087)-1)),VALUE(LEFT(N2087,FIND("/",N2087)-1))),0)</f>
        <v>0</v>
      </c>
    </row>
    <row r="2088" customFormat="false" ht="15" hidden="false" customHeight="false" outlineLevel="0" collapsed="false">
      <c r="N2088" s="0" t="str">
        <f aca="false">IF(H2088="","",IFERROR(LEFT(H2088,FIND(" ",H2088)-1),H2088))</f>
        <v/>
      </c>
      <c r="O2088" s="20" t="n">
        <f aca="false">IFERROR(DATE(VALUE(MID(N2088,FIND("/",N2088,FIND("/",N2088)+1)+1,4)),VALUE(MID(N2088,FIND("/",N2088)+1,FIND("/",N2088,FIND("/",N2088)+1)-FIND("/",N2088)-1)),VALUE(LEFT(N2088,FIND("/",N2088)-1))),0)</f>
        <v>0</v>
      </c>
    </row>
    <row r="2089" customFormat="false" ht="15" hidden="false" customHeight="false" outlineLevel="0" collapsed="false">
      <c r="N2089" s="0" t="str">
        <f aca="false">IF(H2089="","",IFERROR(LEFT(H2089,FIND(" ",H2089)-1),H2089))</f>
        <v/>
      </c>
      <c r="O2089" s="20" t="n">
        <f aca="false">IFERROR(DATE(VALUE(MID(N2089,FIND("/",N2089,FIND("/",N2089)+1)+1,4)),VALUE(MID(N2089,FIND("/",N2089)+1,FIND("/",N2089,FIND("/",N2089)+1)-FIND("/",N2089)-1)),VALUE(LEFT(N2089,FIND("/",N2089)-1))),0)</f>
        <v>0</v>
      </c>
    </row>
    <row r="2090" customFormat="false" ht="15" hidden="false" customHeight="false" outlineLevel="0" collapsed="false">
      <c r="N2090" s="0" t="str">
        <f aca="false">IF(H2090="","",IFERROR(LEFT(H2090,FIND(" ",H2090)-1),H2090))</f>
        <v/>
      </c>
      <c r="O2090" s="20" t="n">
        <f aca="false">IFERROR(DATE(VALUE(MID(N2090,FIND("/",N2090,FIND("/",N2090)+1)+1,4)),VALUE(MID(N2090,FIND("/",N2090)+1,FIND("/",N2090,FIND("/",N2090)+1)-FIND("/",N2090)-1)),VALUE(LEFT(N2090,FIND("/",N2090)-1))),0)</f>
        <v>0</v>
      </c>
    </row>
    <row r="2091" customFormat="false" ht="15" hidden="false" customHeight="false" outlineLevel="0" collapsed="false">
      <c r="N2091" s="0" t="str">
        <f aca="false">IF(H2091="","",IFERROR(LEFT(H2091,FIND(" ",H2091)-1),H2091))</f>
        <v/>
      </c>
      <c r="O2091" s="20" t="n">
        <f aca="false">IFERROR(DATE(VALUE(MID(N2091,FIND("/",N2091,FIND("/",N2091)+1)+1,4)),VALUE(MID(N2091,FIND("/",N2091)+1,FIND("/",N2091,FIND("/",N2091)+1)-FIND("/",N2091)-1)),VALUE(LEFT(N2091,FIND("/",N2091)-1))),0)</f>
        <v>0</v>
      </c>
    </row>
    <row r="2092" customFormat="false" ht="15" hidden="false" customHeight="false" outlineLevel="0" collapsed="false">
      <c r="N2092" s="0" t="str">
        <f aca="false">IF(H2092="","",IFERROR(LEFT(H2092,FIND(" ",H2092)-1),H2092))</f>
        <v/>
      </c>
      <c r="O2092" s="20" t="n">
        <f aca="false">IFERROR(DATE(VALUE(MID(N2092,FIND("/",N2092,FIND("/",N2092)+1)+1,4)),VALUE(MID(N2092,FIND("/",N2092)+1,FIND("/",N2092,FIND("/",N2092)+1)-FIND("/",N2092)-1)),VALUE(LEFT(N2092,FIND("/",N2092)-1))),0)</f>
        <v>0</v>
      </c>
    </row>
    <row r="2093" customFormat="false" ht="15" hidden="false" customHeight="false" outlineLevel="0" collapsed="false">
      <c r="N2093" s="0" t="str">
        <f aca="false">IF(H2093="","",IFERROR(LEFT(H2093,FIND(" ",H2093)-1),H2093))</f>
        <v/>
      </c>
      <c r="O2093" s="20" t="n">
        <f aca="false">IFERROR(DATE(VALUE(MID(N2093,FIND("/",N2093,FIND("/",N2093)+1)+1,4)),VALUE(MID(N2093,FIND("/",N2093)+1,FIND("/",N2093,FIND("/",N2093)+1)-FIND("/",N2093)-1)),VALUE(LEFT(N2093,FIND("/",N2093)-1))),0)</f>
        <v>0</v>
      </c>
    </row>
    <row r="2094" customFormat="false" ht="15" hidden="false" customHeight="false" outlineLevel="0" collapsed="false">
      <c r="N2094" s="0" t="str">
        <f aca="false">IF(H2094="","",IFERROR(LEFT(H2094,FIND(" ",H2094)-1),H2094))</f>
        <v/>
      </c>
      <c r="O2094" s="20" t="n">
        <f aca="false">IFERROR(DATE(VALUE(MID(N2094,FIND("/",N2094,FIND("/",N2094)+1)+1,4)),VALUE(MID(N2094,FIND("/",N2094)+1,FIND("/",N2094,FIND("/",N2094)+1)-FIND("/",N2094)-1)),VALUE(LEFT(N2094,FIND("/",N2094)-1))),0)</f>
        <v>0</v>
      </c>
    </row>
    <row r="2095" customFormat="false" ht="15" hidden="false" customHeight="false" outlineLevel="0" collapsed="false">
      <c r="N2095" s="0" t="str">
        <f aca="false">IF(H2095="","",IFERROR(LEFT(H2095,FIND(" ",H2095)-1),H2095))</f>
        <v/>
      </c>
      <c r="O2095" s="20" t="n">
        <f aca="false">IFERROR(DATE(VALUE(MID(N2095,FIND("/",N2095,FIND("/",N2095)+1)+1,4)),VALUE(MID(N2095,FIND("/",N2095)+1,FIND("/",N2095,FIND("/",N2095)+1)-FIND("/",N2095)-1)),VALUE(LEFT(N2095,FIND("/",N2095)-1))),0)</f>
        <v>0</v>
      </c>
    </row>
    <row r="2096" customFormat="false" ht="15" hidden="false" customHeight="false" outlineLevel="0" collapsed="false">
      <c r="N2096" s="0" t="str">
        <f aca="false">IF(H2096="","",IFERROR(LEFT(H2096,FIND(" ",H2096)-1),H2096))</f>
        <v/>
      </c>
      <c r="O2096" s="20" t="n">
        <f aca="false">IFERROR(DATE(VALUE(MID(N2096,FIND("/",N2096,FIND("/",N2096)+1)+1,4)),VALUE(MID(N2096,FIND("/",N2096)+1,FIND("/",N2096,FIND("/",N2096)+1)-FIND("/",N2096)-1)),VALUE(LEFT(N2096,FIND("/",N2096)-1))),0)</f>
        <v>0</v>
      </c>
    </row>
    <row r="2097" customFormat="false" ht="15" hidden="false" customHeight="false" outlineLevel="0" collapsed="false">
      <c r="N2097" s="0" t="str">
        <f aca="false">IF(H2097="","",IFERROR(LEFT(H2097,FIND(" ",H2097)-1),H2097))</f>
        <v/>
      </c>
      <c r="O2097" s="20" t="n">
        <f aca="false">IFERROR(DATE(VALUE(MID(N2097,FIND("/",N2097,FIND("/",N2097)+1)+1,4)),VALUE(MID(N2097,FIND("/",N2097)+1,FIND("/",N2097,FIND("/",N2097)+1)-FIND("/",N2097)-1)),VALUE(LEFT(N2097,FIND("/",N2097)-1))),0)</f>
        <v>0</v>
      </c>
    </row>
    <row r="2098" customFormat="false" ht="15" hidden="false" customHeight="false" outlineLevel="0" collapsed="false">
      <c r="N2098" s="0" t="str">
        <f aca="false">IF(H2098="","",IFERROR(LEFT(H2098,FIND(" ",H2098)-1),H2098))</f>
        <v/>
      </c>
      <c r="O2098" s="20" t="n">
        <f aca="false">IFERROR(DATE(VALUE(MID(N2098,FIND("/",N2098,FIND("/",N2098)+1)+1,4)),VALUE(MID(N2098,FIND("/",N2098)+1,FIND("/",N2098,FIND("/",N2098)+1)-FIND("/",N2098)-1)),VALUE(LEFT(N2098,FIND("/",N2098)-1))),0)</f>
        <v>0</v>
      </c>
    </row>
    <row r="2099" customFormat="false" ht="15" hidden="false" customHeight="false" outlineLevel="0" collapsed="false">
      <c r="N2099" s="0" t="str">
        <f aca="false">IF(H2099="","",IFERROR(LEFT(H2099,FIND(" ",H2099)-1),H2099))</f>
        <v/>
      </c>
      <c r="O2099" s="20" t="n">
        <f aca="false">IFERROR(DATE(VALUE(MID(N2099,FIND("/",N2099,FIND("/",N2099)+1)+1,4)),VALUE(MID(N2099,FIND("/",N2099)+1,FIND("/",N2099,FIND("/",N2099)+1)-FIND("/",N2099)-1)),VALUE(LEFT(N2099,FIND("/",N2099)-1))),0)</f>
        <v>0</v>
      </c>
    </row>
    <row r="2100" customFormat="false" ht="15" hidden="false" customHeight="false" outlineLevel="0" collapsed="false">
      <c r="N2100" s="0" t="str">
        <f aca="false">IF(H2100="","",IFERROR(LEFT(H2100,FIND(" ",H2100)-1),H2100))</f>
        <v/>
      </c>
      <c r="O2100" s="20" t="n">
        <f aca="false">IFERROR(DATE(VALUE(MID(N2100,FIND("/",N2100,FIND("/",N2100)+1)+1,4)),VALUE(MID(N2100,FIND("/",N2100)+1,FIND("/",N2100,FIND("/",N2100)+1)-FIND("/",N2100)-1)),VALUE(LEFT(N2100,FIND("/",N2100)-1))),0)</f>
        <v>0</v>
      </c>
    </row>
    <row r="2101" customFormat="false" ht="15" hidden="false" customHeight="false" outlineLevel="0" collapsed="false">
      <c r="N2101" s="0" t="str">
        <f aca="false">IF(H2101="","",IFERROR(LEFT(H2101,FIND(" ",H2101)-1),H2101))</f>
        <v/>
      </c>
      <c r="O2101" s="20" t="n">
        <f aca="false">IFERROR(DATE(VALUE(MID(N2101,FIND("/",N2101,FIND("/",N2101)+1)+1,4)),VALUE(MID(N2101,FIND("/",N2101)+1,FIND("/",N2101,FIND("/",N2101)+1)-FIND("/",N2101)-1)),VALUE(LEFT(N2101,FIND("/",N2101)-1))),0)</f>
        <v>0</v>
      </c>
    </row>
    <row r="2102" customFormat="false" ht="15" hidden="false" customHeight="false" outlineLevel="0" collapsed="false">
      <c r="N2102" s="0" t="str">
        <f aca="false">IF(H2102="","",IFERROR(LEFT(H2102,FIND(" ",H2102)-1),H2102))</f>
        <v/>
      </c>
      <c r="O2102" s="20" t="n">
        <f aca="false">IFERROR(DATE(VALUE(MID(N2102,FIND("/",N2102,FIND("/",N2102)+1)+1,4)),VALUE(MID(N2102,FIND("/",N2102)+1,FIND("/",N2102,FIND("/",N2102)+1)-FIND("/",N2102)-1)),VALUE(LEFT(N2102,FIND("/",N2102)-1))),0)</f>
        <v>0</v>
      </c>
    </row>
    <row r="2103" customFormat="false" ht="15" hidden="false" customHeight="false" outlineLevel="0" collapsed="false">
      <c r="N2103" s="0" t="str">
        <f aca="false">IF(H2103="","",IFERROR(LEFT(H2103,FIND(" ",H2103)-1),H2103))</f>
        <v/>
      </c>
      <c r="O2103" s="20" t="n">
        <f aca="false">IFERROR(DATE(VALUE(MID(N2103,FIND("/",N2103,FIND("/",N2103)+1)+1,4)),VALUE(MID(N2103,FIND("/",N2103)+1,FIND("/",N2103,FIND("/",N2103)+1)-FIND("/",N2103)-1)),VALUE(LEFT(N2103,FIND("/",N2103)-1))),0)</f>
        <v>0</v>
      </c>
    </row>
    <row r="2104" customFormat="false" ht="15" hidden="false" customHeight="false" outlineLevel="0" collapsed="false">
      <c r="N2104" s="0" t="str">
        <f aca="false">IF(H2104="","",IFERROR(LEFT(H2104,FIND(" ",H2104)-1),H2104))</f>
        <v/>
      </c>
      <c r="O2104" s="20" t="n">
        <f aca="false">IFERROR(DATE(VALUE(MID(N2104,FIND("/",N2104,FIND("/",N2104)+1)+1,4)),VALUE(MID(N2104,FIND("/",N2104)+1,FIND("/",N2104,FIND("/",N2104)+1)-FIND("/",N2104)-1)),VALUE(LEFT(N2104,FIND("/",N2104)-1))),0)</f>
        <v>0</v>
      </c>
    </row>
    <row r="2105" customFormat="false" ht="15" hidden="false" customHeight="false" outlineLevel="0" collapsed="false">
      <c r="N2105" s="0" t="str">
        <f aca="false">IF(H2105="","",IFERROR(LEFT(H2105,FIND(" ",H2105)-1),H2105))</f>
        <v/>
      </c>
      <c r="O2105" s="20" t="n">
        <f aca="false">IFERROR(DATE(VALUE(MID(N2105,FIND("/",N2105,FIND("/",N2105)+1)+1,4)),VALUE(MID(N2105,FIND("/",N2105)+1,FIND("/",N2105,FIND("/",N2105)+1)-FIND("/",N2105)-1)),VALUE(LEFT(N2105,FIND("/",N2105)-1))),0)</f>
        <v>0</v>
      </c>
    </row>
    <row r="2106" customFormat="false" ht="15" hidden="false" customHeight="false" outlineLevel="0" collapsed="false">
      <c r="N2106" s="0" t="str">
        <f aca="false">IF(H2106="","",IFERROR(LEFT(H2106,FIND(" ",H2106)-1),H2106))</f>
        <v/>
      </c>
      <c r="O2106" s="20" t="n">
        <f aca="false">IFERROR(DATE(VALUE(MID(N2106,FIND("/",N2106,FIND("/",N2106)+1)+1,4)),VALUE(MID(N2106,FIND("/",N2106)+1,FIND("/",N2106,FIND("/",N2106)+1)-FIND("/",N2106)-1)),VALUE(LEFT(N2106,FIND("/",N2106)-1))),0)</f>
        <v>0</v>
      </c>
    </row>
    <row r="2107" customFormat="false" ht="15" hidden="false" customHeight="false" outlineLevel="0" collapsed="false">
      <c r="N2107" s="0" t="str">
        <f aca="false">IF(H2107="","",IFERROR(LEFT(H2107,FIND(" ",H2107)-1),H2107))</f>
        <v/>
      </c>
      <c r="O2107" s="20" t="n">
        <f aca="false">IFERROR(DATE(VALUE(MID(N2107,FIND("/",N2107,FIND("/",N2107)+1)+1,4)),VALUE(MID(N2107,FIND("/",N2107)+1,FIND("/",N2107,FIND("/",N2107)+1)-FIND("/",N2107)-1)),VALUE(LEFT(N2107,FIND("/",N2107)-1))),0)</f>
        <v>0</v>
      </c>
    </row>
    <row r="2108" customFormat="false" ht="15" hidden="false" customHeight="false" outlineLevel="0" collapsed="false">
      <c r="N2108" s="0" t="str">
        <f aca="false">IF(H2108="","",IFERROR(LEFT(H2108,FIND(" ",H2108)-1),H2108))</f>
        <v/>
      </c>
      <c r="O2108" s="20" t="n">
        <f aca="false">IFERROR(DATE(VALUE(MID(N2108,FIND("/",N2108,FIND("/",N2108)+1)+1,4)),VALUE(MID(N2108,FIND("/",N2108)+1,FIND("/",N2108,FIND("/",N2108)+1)-FIND("/",N2108)-1)),VALUE(LEFT(N2108,FIND("/",N2108)-1))),0)</f>
        <v>0</v>
      </c>
    </row>
    <row r="2109" customFormat="false" ht="15" hidden="false" customHeight="false" outlineLevel="0" collapsed="false">
      <c r="N2109" s="0" t="str">
        <f aca="false">IF(H2109="","",IFERROR(LEFT(H2109,FIND(" ",H2109)-1),H2109))</f>
        <v/>
      </c>
      <c r="O2109" s="20" t="n">
        <f aca="false">IFERROR(DATE(VALUE(MID(N2109,FIND("/",N2109,FIND("/",N2109)+1)+1,4)),VALUE(MID(N2109,FIND("/",N2109)+1,FIND("/",N2109,FIND("/",N2109)+1)-FIND("/",N2109)-1)),VALUE(LEFT(N2109,FIND("/",N2109)-1))),0)</f>
        <v>0</v>
      </c>
    </row>
    <row r="2110" customFormat="false" ht="15" hidden="false" customHeight="false" outlineLevel="0" collapsed="false">
      <c r="N2110" s="0" t="str">
        <f aca="false">IF(H2110="","",IFERROR(LEFT(H2110,FIND(" ",H2110)-1),H2110))</f>
        <v/>
      </c>
      <c r="O2110" s="20" t="n">
        <f aca="false">IFERROR(DATE(VALUE(MID(N2110,FIND("/",N2110,FIND("/",N2110)+1)+1,4)),VALUE(MID(N2110,FIND("/",N2110)+1,FIND("/",N2110,FIND("/",N2110)+1)-FIND("/",N2110)-1)),VALUE(LEFT(N2110,FIND("/",N2110)-1))),0)</f>
        <v>0</v>
      </c>
    </row>
    <row r="2111" customFormat="false" ht="15" hidden="false" customHeight="false" outlineLevel="0" collapsed="false">
      <c r="N2111" s="0" t="str">
        <f aca="false">IF(H2111="","",IFERROR(LEFT(H2111,FIND(" ",H2111)-1),H2111))</f>
        <v/>
      </c>
      <c r="O2111" s="20" t="n">
        <f aca="false">IFERROR(DATE(VALUE(MID(N2111,FIND("/",N2111,FIND("/",N2111)+1)+1,4)),VALUE(MID(N2111,FIND("/",N2111)+1,FIND("/",N2111,FIND("/",N2111)+1)-FIND("/",N2111)-1)),VALUE(LEFT(N2111,FIND("/",N2111)-1))),0)</f>
        <v>0</v>
      </c>
    </row>
    <row r="2112" customFormat="false" ht="15" hidden="false" customHeight="false" outlineLevel="0" collapsed="false">
      <c r="N2112" s="0" t="str">
        <f aca="false">IF(H2112="","",IFERROR(LEFT(H2112,FIND(" ",H2112)-1),H2112))</f>
        <v/>
      </c>
      <c r="O2112" s="20" t="n">
        <f aca="false">IFERROR(DATE(VALUE(MID(N2112,FIND("/",N2112,FIND("/",N2112)+1)+1,4)),VALUE(MID(N2112,FIND("/",N2112)+1,FIND("/",N2112,FIND("/",N2112)+1)-FIND("/",N2112)-1)),VALUE(LEFT(N2112,FIND("/",N2112)-1))),0)</f>
        <v>0</v>
      </c>
    </row>
    <row r="2113" customFormat="false" ht="15" hidden="false" customHeight="false" outlineLevel="0" collapsed="false">
      <c r="N2113" s="0" t="str">
        <f aca="false">IF(H2113="","",IFERROR(LEFT(H2113,FIND(" ",H2113)-1),H2113))</f>
        <v/>
      </c>
      <c r="O2113" s="20" t="n">
        <f aca="false">IFERROR(DATE(VALUE(MID(N2113,FIND("/",N2113,FIND("/",N2113)+1)+1,4)),VALUE(MID(N2113,FIND("/",N2113)+1,FIND("/",N2113,FIND("/",N2113)+1)-FIND("/",N2113)-1)),VALUE(LEFT(N2113,FIND("/",N2113)-1))),0)</f>
        <v>0</v>
      </c>
    </row>
    <row r="2114" customFormat="false" ht="15" hidden="false" customHeight="false" outlineLevel="0" collapsed="false">
      <c r="N2114" s="0" t="str">
        <f aca="false">IF(H2114="","",IFERROR(LEFT(H2114,FIND(" ",H2114)-1),H2114))</f>
        <v/>
      </c>
      <c r="O2114" s="20" t="n">
        <f aca="false">IFERROR(DATE(VALUE(MID(N2114,FIND("/",N2114,FIND("/",N2114)+1)+1,4)),VALUE(MID(N2114,FIND("/",N2114)+1,FIND("/",N2114,FIND("/",N2114)+1)-FIND("/",N2114)-1)),VALUE(LEFT(N2114,FIND("/",N2114)-1))),0)</f>
        <v>0</v>
      </c>
    </row>
    <row r="2115" customFormat="false" ht="15" hidden="false" customHeight="false" outlineLevel="0" collapsed="false">
      <c r="N2115" s="0" t="str">
        <f aca="false">IF(H2115="","",IFERROR(LEFT(H2115,FIND(" ",H2115)-1),H2115))</f>
        <v/>
      </c>
      <c r="O2115" s="20" t="n">
        <f aca="false">IFERROR(DATE(VALUE(MID(N2115,FIND("/",N2115,FIND("/",N2115)+1)+1,4)),VALUE(MID(N2115,FIND("/",N2115)+1,FIND("/",N2115,FIND("/",N2115)+1)-FIND("/",N2115)-1)),VALUE(LEFT(N2115,FIND("/",N2115)-1))),0)</f>
        <v>0</v>
      </c>
    </row>
    <row r="2116" customFormat="false" ht="15" hidden="false" customHeight="false" outlineLevel="0" collapsed="false">
      <c r="N2116" s="0" t="str">
        <f aca="false">IF(H2116="","",IFERROR(LEFT(H2116,FIND(" ",H2116)-1),H2116))</f>
        <v/>
      </c>
      <c r="O2116" s="20" t="n">
        <f aca="false">IFERROR(DATE(VALUE(MID(N2116,FIND("/",N2116,FIND("/",N2116)+1)+1,4)),VALUE(MID(N2116,FIND("/",N2116)+1,FIND("/",N2116,FIND("/",N2116)+1)-FIND("/",N2116)-1)),VALUE(LEFT(N2116,FIND("/",N2116)-1))),0)</f>
        <v>0</v>
      </c>
    </row>
    <row r="2117" customFormat="false" ht="15" hidden="false" customHeight="false" outlineLevel="0" collapsed="false">
      <c r="N2117" s="0" t="str">
        <f aca="false">IF(H2117="","",IFERROR(LEFT(H2117,FIND(" ",H2117)-1),H2117))</f>
        <v/>
      </c>
      <c r="O2117" s="20" t="n">
        <f aca="false">IFERROR(DATE(VALUE(MID(N2117,FIND("/",N2117,FIND("/",N2117)+1)+1,4)),VALUE(MID(N2117,FIND("/",N2117)+1,FIND("/",N2117,FIND("/",N2117)+1)-FIND("/",N2117)-1)),VALUE(LEFT(N2117,FIND("/",N2117)-1))),0)</f>
        <v>0</v>
      </c>
    </row>
    <row r="2118" customFormat="false" ht="15" hidden="false" customHeight="false" outlineLevel="0" collapsed="false">
      <c r="N2118" s="0" t="str">
        <f aca="false">IF(H2118="","",IFERROR(LEFT(H2118,FIND(" ",H2118)-1),H2118))</f>
        <v/>
      </c>
      <c r="O2118" s="20" t="n">
        <f aca="false">IFERROR(DATE(VALUE(MID(N2118,FIND("/",N2118,FIND("/",N2118)+1)+1,4)),VALUE(MID(N2118,FIND("/",N2118)+1,FIND("/",N2118,FIND("/",N2118)+1)-FIND("/",N2118)-1)),VALUE(LEFT(N2118,FIND("/",N2118)-1))),0)</f>
        <v>0</v>
      </c>
    </row>
    <row r="2119" customFormat="false" ht="15" hidden="false" customHeight="false" outlineLevel="0" collapsed="false">
      <c r="N2119" s="0" t="str">
        <f aca="false">IF(H2119="","",IFERROR(LEFT(H2119,FIND(" ",H2119)-1),H2119))</f>
        <v/>
      </c>
      <c r="O2119" s="20" t="n">
        <f aca="false">IFERROR(DATE(VALUE(MID(N2119,FIND("/",N2119,FIND("/",N2119)+1)+1,4)),VALUE(MID(N2119,FIND("/",N2119)+1,FIND("/",N2119,FIND("/",N2119)+1)-FIND("/",N2119)-1)),VALUE(LEFT(N2119,FIND("/",N2119)-1))),0)</f>
        <v>0</v>
      </c>
    </row>
    <row r="2120" customFormat="false" ht="15" hidden="false" customHeight="false" outlineLevel="0" collapsed="false">
      <c r="N2120" s="0" t="str">
        <f aca="false">IF(H2120="","",IFERROR(LEFT(H2120,FIND(" ",H2120)-1),H2120))</f>
        <v/>
      </c>
      <c r="O2120" s="20" t="n">
        <f aca="false">IFERROR(DATE(VALUE(MID(N2120,FIND("/",N2120,FIND("/",N2120)+1)+1,4)),VALUE(MID(N2120,FIND("/",N2120)+1,FIND("/",N2120,FIND("/",N2120)+1)-FIND("/",N2120)-1)),VALUE(LEFT(N2120,FIND("/",N2120)-1))),0)</f>
        <v>0</v>
      </c>
    </row>
    <row r="2121" customFormat="false" ht="15" hidden="false" customHeight="false" outlineLevel="0" collapsed="false">
      <c r="N2121" s="0" t="str">
        <f aca="false">IF(H2121="","",IFERROR(LEFT(H2121,FIND(" ",H2121)-1),H2121))</f>
        <v/>
      </c>
      <c r="O2121" s="20" t="n">
        <f aca="false">IFERROR(DATE(VALUE(MID(N2121,FIND("/",N2121,FIND("/",N2121)+1)+1,4)),VALUE(MID(N2121,FIND("/",N2121)+1,FIND("/",N2121,FIND("/",N2121)+1)-FIND("/",N2121)-1)),VALUE(LEFT(N2121,FIND("/",N2121)-1))),0)</f>
        <v>0</v>
      </c>
    </row>
    <row r="2122" customFormat="false" ht="15" hidden="false" customHeight="false" outlineLevel="0" collapsed="false">
      <c r="N2122" s="0" t="str">
        <f aca="false">IF(H2122="","",IFERROR(LEFT(H2122,FIND(" ",H2122)-1),H2122))</f>
        <v/>
      </c>
      <c r="O2122" s="20" t="n">
        <f aca="false">IFERROR(DATE(VALUE(MID(N2122,FIND("/",N2122,FIND("/",N2122)+1)+1,4)),VALUE(MID(N2122,FIND("/",N2122)+1,FIND("/",N2122,FIND("/",N2122)+1)-FIND("/",N2122)-1)),VALUE(LEFT(N2122,FIND("/",N2122)-1))),0)</f>
        <v>0</v>
      </c>
    </row>
    <row r="2123" customFormat="false" ht="15" hidden="false" customHeight="false" outlineLevel="0" collapsed="false">
      <c r="N2123" s="0" t="str">
        <f aca="false">IF(H2123="","",IFERROR(LEFT(H2123,FIND(" ",H2123)-1),H2123))</f>
        <v/>
      </c>
      <c r="O2123" s="20" t="n">
        <f aca="false">IFERROR(DATE(VALUE(MID(N2123,FIND("/",N2123,FIND("/",N2123)+1)+1,4)),VALUE(MID(N2123,FIND("/",N2123)+1,FIND("/",N2123,FIND("/",N2123)+1)-FIND("/",N2123)-1)),VALUE(LEFT(N2123,FIND("/",N2123)-1))),0)</f>
        <v>0</v>
      </c>
    </row>
    <row r="2124" customFormat="false" ht="15" hidden="false" customHeight="false" outlineLevel="0" collapsed="false">
      <c r="N2124" s="0" t="str">
        <f aca="false">IF(H2124="","",IFERROR(LEFT(H2124,FIND(" ",H2124)-1),H2124))</f>
        <v/>
      </c>
      <c r="O2124" s="20" t="n">
        <f aca="false">IFERROR(DATE(VALUE(MID(N2124,FIND("/",N2124,FIND("/",N2124)+1)+1,4)),VALUE(MID(N2124,FIND("/",N2124)+1,FIND("/",N2124,FIND("/",N2124)+1)-FIND("/",N2124)-1)),VALUE(LEFT(N2124,FIND("/",N2124)-1))),0)</f>
        <v>0</v>
      </c>
    </row>
    <row r="2125" customFormat="false" ht="15" hidden="false" customHeight="false" outlineLevel="0" collapsed="false">
      <c r="N2125" s="0" t="str">
        <f aca="false">IF(H2125="","",IFERROR(LEFT(H2125,FIND(" ",H2125)-1),H2125))</f>
        <v/>
      </c>
      <c r="O2125" s="20" t="n">
        <f aca="false">IFERROR(DATE(VALUE(MID(N2125,FIND("/",N2125,FIND("/",N2125)+1)+1,4)),VALUE(MID(N2125,FIND("/",N2125)+1,FIND("/",N2125,FIND("/",N2125)+1)-FIND("/",N2125)-1)),VALUE(LEFT(N2125,FIND("/",N2125)-1))),0)</f>
        <v>0</v>
      </c>
    </row>
    <row r="2126" customFormat="false" ht="15" hidden="false" customHeight="false" outlineLevel="0" collapsed="false">
      <c r="N2126" s="0" t="str">
        <f aca="false">IF(H2126="","",IFERROR(LEFT(H2126,FIND(" ",H2126)-1),H2126))</f>
        <v/>
      </c>
      <c r="O2126" s="20" t="n">
        <f aca="false">IFERROR(DATE(VALUE(MID(N2126,FIND("/",N2126,FIND("/",N2126)+1)+1,4)),VALUE(MID(N2126,FIND("/",N2126)+1,FIND("/",N2126,FIND("/",N2126)+1)-FIND("/",N2126)-1)),VALUE(LEFT(N2126,FIND("/",N2126)-1))),0)</f>
        <v>0</v>
      </c>
    </row>
    <row r="2127" customFormat="false" ht="15" hidden="false" customHeight="false" outlineLevel="0" collapsed="false">
      <c r="N2127" s="0" t="str">
        <f aca="false">IF(H2127="","",IFERROR(LEFT(H2127,FIND(" ",H2127)-1),H2127))</f>
        <v/>
      </c>
      <c r="O2127" s="20" t="n">
        <f aca="false">IFERROR(DATE(VALUE(MID(N2127,FIND("/",N2127,FIND("/",N2127)+1)+1,4)),VALUE(MID(N2127,FIND("/",N2127)+1,FIND("/",N2127,FIND("/",N2127)+1)-FIND("/",N2127)-1)),VALUE(LEFT(N2127,FIND("/",N2127)-1))),0)</f>
        <v>0</v>
      </c>
    </row>
    <row r="2128" customFormat="false" ht="15" hidden="false" customHeight="false" outlineLevel="0" collapsed="false">
      <c r="N2128" s="0" t="str">
        <f aca="false">IF(H2128="","",IFERROR(LEFT(H2128,FIND(" ",H2128)-1),H2128))</f>
        <v/>
      </c>
      <c r="O2128" s="20" t="n">
        <f aca="false">IFERROR(DATE(VALUE(MID(N2128,FIND("/",N2128,FIND("/",N2128)+1)+1,4)),VALUE(MID(N2128,FIND("/",N2128)+1,FIND("/",N2128,FIND("/",N2128)+1)-FIND("/",N2128)-1)),VALUE(LEFT(N2128,FIND("/",N2128)-1))),0)</f>
        <v>0</v>
      </c>
    </row>
    <row r="2129" customFormat="false" ht="15" hidden="false" customHeight="false" outlineLevel="0" collapsed="false">
      <c r="N2129" s="0" t="str">
        <f aca="false">IF(H2129="","",IFERROR(LEFT(H2129,FIND(" ",H2129)-1),H2129))</f>
        <v/>
      </c>
      <c r="O2129" s="20" t="n">
        <f aca="false">IFERROR(DATE(VALUE(MID(N2129,FIND("/",N2129,FIND("/",N2129)+1)+1,4)),VALUE(MID(N2129,FIND("/",N2129)+1,FIND("/",N2129,FIND("/",N2129)+1)-FIND("/",N2129)-1)),VALUE(LEFT(N2129,FIND("/",N2129)-1))),0)</f>
        <v>0</v>
      </c>
    </row>
    <row r="2130" customFormat="false" ht="15" hidden="false" customHeight="false" outlineLevel="0" collapsed="false">
      <c r="N2130" s="0" t="str">
        <f aca="false">IF(H2130="","",IFERROR(LEFT(H2130,FIND(" ",H2130)-1),H2130))</f>
        <v/>
      </c>
      <c r="O2130" s="20" t="n">
        <f aca="false">IFERROR(DATE(VALUE(MID(N2130,FIND("/",N2130,FIND("/",N2130)+1)+1,4)),VALUE(MID(N2130,FIND("/",N2130)+1,FIND("/",N2130,FIND("/",N2130)+1)-FIND("/",N2130)-1)),VALUE(LEFT(N2130,FIND("/",N2130)-1))),0)</f>
        <v>0</v>
      </c>
    </row>
    <row r="2131" customFormat="false" ht="15" hidden="false" customHeight="false" outlineLevel="0" collapsed="false">
      <c r="N2131" s="0" t="str">
        <f aca="false">IF(H2131="","",IFERROR(LEFT(H2131,FIND(" ",H2131)-1),H2131))</f>
        <v/>
      </c>
      <c r="O2131" s="20" t="n">
        <f aca="false">IFERROR(DATE(VALUE(MID(N2131,FIND("/",N2131,FIND("/",N2131)+1)+1,4)),VALUE(MID(N2131,FIND("/",N2131)+1,FIND("/",N2131,FIND("/",N2131)+1)-FIND("/",N2131)-1)),VALUE(LEFT(N2131,FIND("/",N2131)-1))),0)</f>
        <v>0</v>
      </c>
    </row>
    <row r="2132" customFormat="false" ht="15" hidden="false" customHeight="false" outlineLevel="0" collapsed="false">
      <c r="N2132" s="0" t="str">
        <f aca="false">IF(H2132="","",IFERROR(LEFT(H2132,FIND(" ",H2132)-1),H2132))</f>
        <v/>
      </c>
      <c r="O2132" s="20" t="n">
        <f aca="false">IFERROR(DATE(VALUE(MID(N2132,FIND("/",N2132,FIND("/",N2132)+1)+1,4)),VALUE(MID(N2132,FIND("/",N2132)+1,FIND("/",N2132,FIND("/",N2132)+1)-FIND("/",N2132)-1)),VALUE(LEFT(N2132,FIND("/",N2132)-1))),0)</f>
        <v>0</v>
      </c>
    </row>
    <row r="2133" customFormat="false" ht="15" hidden="false" customHeight="false" outlineLevel="0" collapsed="false">
      <c r="N2133" s="0" t="str">
        <f aca="false">IF(H2133="","",IFERROR(LEFT(H2133,FIND(" ",H2133)-1),H2133))</f>
        <v/>
      </c>
      <c r="O2133" s="20" t="n">
        <f aca="false">IFERROR(DATE(VALUE(MID(N2133,FIND("/",N2133,FIND("/",N2133)+1)+1,4)),VALUE(MID(N2133,FIND("/",N2133)+1,FIND("/",N2133,FIND("/",N2133)+1)-FIND("/",N2133)-1)),VALUE(LEFT(N2133,FIND("/",N2133)-1))),0)</f>
        <v>0</v>
      </c>
    </row>
    <row r="2134" customFormat="false" ht="15" hidden="false" customHeight="false" outlineLevel="0" collapsed="false">
      <c r="N2134" s="0" t="str">
        <f aca="false">IF(H2134="","",IFERROR(LEFT(H2134,FIND(" ",H2134)-1),H2134))</f>
        <v/>
      </c>
      <c r="O2134" s="20" t="n">
        <f aca="false">IFERROR(DATE(VALUE(MID(N2134,FIND("/",N2134,FIND("/",N2134)+1)+1,4)),VALUE(MID(N2134,FIND("/",N2134)+1,FIND("/",N2134,FIND("/",N2134)+1)-FIND("/",N2134)-1)),VALUE(LEFT(N2134,FIND("/",N2134)-1))),0)</f>
        <v>0</v>
      </c>
    </row>
    <row r="2135" customFormat="false" ht="15" hidden="false" customHeight="false" outlineLevel="0" collapsed="false">
      <c r="N2135" s="0" t="str">
        <f aca="false">IF(H2135="","",IFERROR(LEFT(H2135,FIND(" ",H2135)-1),H2135))</f>
        <v/>
      </c>
      <c r="O2135" s="20" t="n">
        <f aca="false">IFERROR(DATE(VALUE(MID(N2135,FIND("/",N2135,FIND("/",N2135)+1)+1,4)),VALUE(MID(N2135,FIND("/",N2135)+1,FIND("/",N2135,FIND("/",N2135)+1)-FIND("/",N2135)-1)),VALUE(LEFT(N2135,FIND("/",N2135)-1))),0)</f>
        <v>0</v>
      </c>
    </row>
    <row r="2136" customFormat="false" ht="15" hidden="false" customHeight="false" outlineLevel="0" collapsed="false">
      <c r="N2136" s="0" t="str">
        <f aca="false">IF(H2136="","",IFERROR(LEFT(H2136,FIND(" ",H2136)-1),H2136))</f>
        <v/>
      </c>
      <c r="O2136" s="20" t="n">
        <f aca="false">IFERROR(DATE(VALUE(MID(N2136,FIND("/",N2136,FIND("/",N2136)+1)+1,4)),VALUE(MID(N2136,FIND("/",N2136)+1,FIND("/",N2136,FIND("/",N2136)+1)-FIND("/",N2136)-1)),VALUE(LEFT(N2136,FIND("/",N2136)-1))),0)</f>
        <v>0</v>
      </c>
    </row>
    <row r="2137" customFormat="false" ht="15" hidden="false" customHeight="false" outlineLevel="0" collapsed="false">
      <c r="N2137" s="0" t="str">
        <f aca="false">IF(H2137="","",IFERROR(LEFT(H2137,FIND(" ",H2137)-1),H2137))</f>
        <v/>
      </c>
      <c r="O2137" s="20" t="n">
        <f aca="false">IFERROR(DATE(VALUE(MID(N2137,FIND("/",N2137,FIND("/",N2137)+1)+1,4)),VALUE(MID(N2137,FIND("/",N2137)+1,FIND("/",N2137,FIND("/",N2137)+1)-FIND("/",N2137)-1)),VALUE(LEFT(N2137,FIND("/",N2137)-1))),0)</f>
        <v>0</v>
      </c>
    </row>
    <row r="2138" customFormat="false" ht="15" hidden="false" customHeight="false" outlineLevel="0" collapsed="false">
      <c r="N2138" s="0" t="str">
        <f aca="false">IF(H2138="","",IFERROR(LEFT(H2138,FIND(" ",H2138)-1),H2138))</f>
        <v/>
      </c>
      <c r="O2138" s="20" t="n">
        <f aca="false">IFERROR(DATE(VALUE(MID(N2138,FIND("/",N2138,FIND("/",N2138)+1)+1,4)),VALUE(MID(N2138,FIND("/",N2138)+1,FIND("/",N2138,FIND("/",N2138)+1)-FIND("/",N2138)-1)),VALUE(LEFT(N2138,FIND("/",N2138)-1))),0)</f>
        <v>0</v>
      </c>
    </row>
    <row r="2139" customFormat="false" ht="15" hidden="false" customHeight="false" outlineLevel="0" collapsed="false">
      <c r="N2139" s="0" t="str">
        <f aca="false">IF(H2139="","",IFERROR(LEFT(H2139,FIND(" ",H2139)-1),H2139))</f>
        <v/>
      </c>
      <c r="O2139" s="20" t="n">
        <f aca="false">IFERROR(DATE(VALUE(MID(N2139,FIND("/",N2139,FIND("/",N2139)+1)+1,4)),VALUE(MID(N2139,FIND("/",N2139)+1,FIND("/",N2139,FIND("/",N2139)+1)-FIND("/",N2139)-1)),VALUE(LEFT(N2139,FIND("/",N2139)-1))),0)</f>
        <v>0</v>
      </c>
    </row>
    <row r="2140" customFormat="false" ht="15" hidden="false" customHeight="false" outlineLevel="0" collapsed="false">
      <c r="N2140" s="0" t="str">
        <f aca="false">IF(H2140="","",IFERROR(LEFT(H2140,FIND(" ",H2140)-1),H2140))</f>
        <v/>
      </c>
      <c r="O2140" s="20" t="n">
        <f aca="false">IFERROR(DATE(VALUE(MID(N2140,FIND("/",N2140,FIND("/",N2140)+1)+1,4)),VALUE(MID(N2140,FIND("/",N2140)+1,FIND("/",N2140,FIND("/",N2140)+1)-FIND("/",N2140)-1)),VALUE(LEFT(N2140,FIND("/",N2140)-1))),0)</f>
        <v>0</v>
      </c>
    </row>
    <row r="2141" customFormat="false" ht="15" hidden="false" customHeight="false" outlineLevel="0" collapsed="false">
      <c r="N2141" s="0" t="str">
        <f aca="false">IF(H2141="","",IFERROR(LEFT(H2141,FIND(" ",H2141)-1),H2141))</f>
        <v/>
      </c>
      <c r="O2141" s="20" t="n">
        <f aca="false">IFERROR(DATE(VALUE(MID(N2141,FIND("/",N2141,FIND("/",N2141)+1)+1,4)),VALUE(MID(N2141,FIND("/",N2141)+1,FIND("/",N2141,FIND("/",N2141)+1)-FIND("/",N2141)-1)),VALUE(LEFT(N2141,FIND("/",N2141)-1))),0)</f>
        <v>0</v>
      </c>
    </row>
    <row r="2142" customFormat="false" ht="15" hidden="false" customHeight="false" outlineLevel="0" collapsed="false">
      <c r="N2142" s="0" t="str">
        <f aca="false">IF(H2142="","",IFERROR(LEFT(H2142,FIND(" ",H2142)-1),H2142))</f>
        <v/>
      </c>
      <c r="O2142" s="20" t="n">
        <f aca="false">IFERROR(DATE(VALUE(MID(N2142,FIND("/",N2142,FIND("/",N2142)+1)+1,4)),VALUE(MID(N2142,FIND("/",N2142)+1,FIND("/",N2142,FIND("/",N2142)+1)-FIND("/",N2142)-1)),VALUE(LEFT(N2142,FIND("/",N2142)-1))),0)</f>
        <v>0</v>
      </c>
    </row>
    <row r="2143" customFormat="false" ht="15" hidden="false" customHeight="false" outlineLevel="0" collapsed="false">
      <c r="N2143" s="0" t="str">
        <f aca="false">IF(H2143="","",IFERROR(LEFT(H2143,FIND(" ",H2143)-1),H2143))</f>
        <v/>
      </c>
      <c r="O2143" s="20" t="n">
        <f aca="false">IFERROR(DATE(VALUE(MID(N2143,FIND("/",N2143,FIND("/",N2143)+1)+1,4)),VALUE(MID(N2143,FIND("/",N2143)+1,FIND("/",N2143,FIND("/",N2143)+1)-FIND("/",N2143)-1)),VALUE(LEFT(N2143,FIND("/",N2143)-1))),0)</f>
        <v>0</v>
      </c>
    </row>
    <row r="2144" customFormat="false" ht="15" hidden="false" customHeight="false" outlineLevel="0" collapsed="false">
      <c r="N2144" s="0" t="str">
        <f aca="false">IF(H2144="","",IFERROR(LEFT(H2144,FIND(" ",H2144)-1),H2144))</f>
        <v/>
      </c>
      <c r="O2144" s="20" t="n">
        <f aca="false">IFERROR(DATE(VALUE(MID(N2144,FIND("/",N2144,FIND("/",N2144)+1)+1,4)),VALUE(MID(N2144,FIND("/",N2144)+1,FIND("/",N2144,FIND("/",N2144)+1)-FIND("/",N2144)-1)),VALUE(LEFT(N2144,FIND("/",N2144)-1))),0)</f>
        <v>0</v>
      </c>
    </row>
    <row r="2145" customFormat="false" ht="15" hidden="false" customHeight="false" outlineLevel="0" collapsed="false">
      <c r="N2145" s="0" t="str">
        <f aca="false">IF(H2145="","",IFERROR(LEFT(H2145,FIND(" ",H2145)-1),H2145))</f>
        <v/>
      </c>
      <c r="O2145" s="20" t="n">
        <f aca="false">IFERROR(DATE(VALUE(MID(N2145,FIND("/",N2145,FIND("/",N2145)+1)+1,4)),VALUE(MID(N2145,FIND("/",N2145)+1,FIND("/",N2145,FIND("/",N2145)+1)-FIND("/",N2145)-1)),VALUE(LEFT(N2145,FIND("/",N2145)-1))),0)</f>
        <v>0</v>
      </c>
    </row>
    <row r="2146" customFormat="false" ht="15" hidden="false" customHeight="false" outlineLevel="0" collapsed="false">
      <c r="N2146" s="0" t="str">
        <f aca="false">IF(H2146="","",IFERROR(LEFT(H2146,FIND(" ",H2146)-1),H2146))</f>
        <v/>
      </c>
      <c r="O2146" s="20" t="n">
        <f aca="false">IFERROR(DATE(VALUE(MID(N2146,FIND("/",N2146,FIND("/",N2146)+1)+1,4)),VALUE(MID(N2146,FIND("/",N2146)+1,FIND("/",N2146,FIND("/",N2146)+1)-FIND("/",N2146)-1)),VALUE(LEFT(N2146,FIND("/",N2146)-1))),0)</f>
        <v>0</v>
      </c>
    </row>
    <row r="2147" customFormat="false" ht="15" hidden="false" customHeight="false" outlineLevel="0" collapsed="false">
      <c r="N2147" s="0" t="str">
        <f aca="false">IF(H2147="","",IFERROR(LEFT(H2147,FIND(" ",H2147)-1),H2147))</f>
        <v/>
      </c>
      <c r="O2147" s="20" t="n">
        <f aca="false">IFERROR(DATE(VALUE(MID(N2147,FIND("/",N2147,FIND("/",N2147)+1)+1,4)),VALUE(MID(N2147,FIND("/",N2147)+1,FIND("/",N2147,FIND("/",N2147)+1)-FIND("/",N2147)-1)),VALUE(LEFT(N2147,FIND("/",N2147)-1))),0)</f>
        <v>0</v>
      </c>
    </row>
    <row r="2148" customFormat="false" ht="15" hidden="false" customHeight="false" outlineLevel="0" collapsed="false">
      <c r="N2148" s="0" t="str">
        <f aca="false">IF(H2148="","",IFERROR(LEFT(H2148,FIND(" ",H2148)-1),H2148))</f>
        <v/>
      </c>
      <c r="O2148" s="20" t="n">
        <f aca="false">IFERROR(DATE(VALUE(MID(N2148,FIND("/",N2148,FIND("/",N2148)+1)+1,4)),VALUE(MID(N2148,FIND("/",N2148)+1,FIND("/",N2148,FIND("/",N2148)+1)-FIND("/",N2148)-1)),VALUE(LEFT(N2148,FIND("/",N2148)-1))),0)</f>
        <v>0</v>
      </c>
    </row>
    <row r="2149" customFormat="false" ht="15" hidden="false" customHeight="false" outlineLevel="0" collapsed="false">
      <c r="N2149" s="0" t="str">
        <f aca="false">IF(H2149="","",IFERROR(LEFT(H2149,FIND(" ",H2149)-1),H2149))</f>
        <v/>
      </c>
      <c r="O2149" s="20" t="n">
        <f aca="false">IFERROR(DATE(VALUE(MID(N2149,FIND("/",N2149,FIND("/",N2149)+1)+1,4)),VALUE(MID(N2149,FIND("/",N2149)+1,FIND("/",N2149,FIND("/",N2149)+1)-FIND("/",N2149)-1)),VALUE(LEFT(N2149,FIND("/",N2149)-1))),0)</f>
        <v>0</v>
      </c>
    </row>
    <row r="2150" customFormat="false" ht="15" hidden="false" customHeight="false" outlineLevel="0" collapsed="false">
      <c r="N2150" s="0" t="str">
        <f aca="false">IF(H2150="","",IFERROR(LEFT(H2150,FIND(" ",H2150)-1),H2150))</f>
        <v/>
      </c>
      <c r="O2150" s="20" t="n">
        <f aca="false">IFERROR(DATE(VALUE(MID(N2150,FIND("/",N2150,FIND("/",N2150)+1)+1,4)),VALUE(MID(N2150,FIND("/",N2150)+1,FIND("/",N2150,FIND("/",N2150)+1)-FIND("/",N2150)-1)),VALUE(LEFT(N2150,FIND("/",N2150)-1))),0)</f>
        <v>0</v>
      </c>
    </row>
    <row r="2151" customFormat="false" ht="15" hidden="false" customHeight="false" outlineLevel="0" collapsed="false">
      <c r="N2151" s="0" t="str">
        <f aca="false">IF(H2151="","",IFERROR(LEFT(H2151,FIND(" ",H2151)-1),H2151))</f>
        <v/>
      </c>
      <c r="O2151" s="20" t="n">
        <f aca="false">IFERROR(DATE(VALUE(MID(N2151,FIND("/",N2151,FIND("/",N2151)+1)+1,4)),VALUE(MID(N2151,FIND("/",N2151)+1,FIND("/",N2151,FIND("/",N2151)+1)-FIND("/",N2151)-1)),VALUE(LEFT(N2151,FIND("/",N2151)-1))),0)</f>
        <v>0</v>
      </c>
    </row>
    <row r="2152" customFormat="false" ht="15" hidden="false" customHeight="false" outlineLevel="0" collapsed="false">
      <c r="N2152" s="0" t="str">
        <f aca="false">IF(H2152="","",IFERROR(LEFT(H2152,FIND(" ",H2152)-1),H2152))</f>
        <v/>
      </c>
      <c r="O2152" s="20" t="n">
        <f aca="false">IFERROR(DATE(VALUE(MID(N2152,FIND("/",N2152,FIND("/",N2152)+1)+1,4)),VALUE(MID(N2152,FIND("/",N2152)+1,FIND("/",N2152,FIND("/",N2152)+1)-FIND("/",N2152)-1)),VALUE(LEFT(N2152,FIND("/",N2152)-1))),0)</f>
        <v>0</v>
      </c>
    </row>
    <row r="2153" customFormat="false" ht="15" hidden="false" customHeight="false" outlineLevel="0" collapsed="false">
      <c r="N2153" s="0" t="str">
        <f aca="false">IF(H2153="","",IFERROR(LEFT(H2153,FIND(" ",H2153)-1),H2153))</f>
        <v/>
      </c>
      <c r="O2153" s="20" t="n">
        <f aca="false">IFERROR(DATE(VALUE(MID(N2153,FIND("/",N2153,FIND("/",N2153)+1)+1,4)),VALUE(MID(N2153,FIND("/",N2153)+1,FIND("/",N2153,FIND("/",N2153)+1)-FIND("/",N2153)-1)),VALUE(LEFT(N2153,FIND("/",N2153)-1))),0)</f>
        <v>0</v>
      </c>
    </row>
    <row r="2154" customFormat="false" ht="15" hidden="false" customHeight="false" outlineLevel="0" collapsed="false">
      <c r="N2154" s="0" t="str">
        <f aca="false">IF(H2154="","",IFERROR(LEFT(H2154,FIND(" ",H2154)-1),H2154))</f>
        <v/>
      </c>
      <c r="O2154" s="20" t="n">
        <f aca="false">IFERROR(DATE(VALUE(MID(N2154,FIND("/",N2154,FIND("/",N2154)+1)+1,4)),VALUE(MID(N2154,FIND("/",N2154)+1,FIND("/",N2154,FIND("/",N2154)+1)-FIND("/",N2154)-1)),VALUE(LEFT(N2154,FIND("/",N2154)-1))),0)</f>
        <v>0</v>
      </c>
    </row>
    <row r="2155" customFormat="false" ht="15" hidden="false" customHeight="false" outlineLevel="0" collapsed="false">
      <c r="N2155" s="0" t="str">
        <f aca="false">IF(H2155="","",IFERROR(LEFT(H2155,FIND(" ",H2155)-1),H2155))</f>
        <v/>
      </c>
      <c r="O2155" s="20" t="n">
        <f aca="false">IFERROR(DATE(VALUE(MID(N2155,FIND("/",N2155,FIND("/",N2155)+1)+1,4)),VALUE(MID(N2155,FIND("/",N2155)+1,FIND("/",N2155,FIND("/",N2155)+1)-FIND("/",N2155)-1)),VALUE(LEFT(N2155,FIND("/",N2155)-1))),0)</f>
        <v>0</v>
      </c>
    </row>
    <row r="2156" customFormat="false" ht="15" hidden="false" customHeight="false" outlineLevel="0" collapsed="false">
      <c r="N2156" s="0" t="str">
        <f aca="false">IF(H2156="","",IFERROR(LEFT(H2156,FIND(" ",H2156)-1),H2156))</f>
        <v/>
      </c>
      <c r="O2156" s="20" t="n">
        <f aca="false">IFERROR(DATE(VALUE(MID(N2156,FIND("/",N2156,FIND("/",N2156)+1)+1,4)),VALUE(MID(N2156,FIND("/",N2156)+1,FIND("/",N2156,FIND("/",N2156)+1)-FIND("/",N2156)-1)),VALUE(LEFT(N2156,FIND("/",N2156)-1))),0)</f>
        <v>0</v>
      </c>
    </row>
    <row r="2157" customFormat="false" ht="15" hidden="false" customHeight="false" outlineLevel="0" collapsed="false">
      <c r="N2157" s="0" t="str">
        <f aca="false">IF(H2157="","",IFERROR(LEFT(H2157,FIND(" ",H2157)-1),H2157))</f>
        <v/>
      </c>
      <c r="O2157" s="20" t="n">
        <f aca="false">IFERROR(DATE(VALUE(MID(N2157,FIND("/",N2157,FIND("/",N2157)+1)+1,4)),VALUE(MID(N2157,FIND("/",N2157)+1,FIND("/",N2157,FIND("/",N2157)+1)-FIND("/",N2157)-1)),VALUE(LEFT(N2157,FIND("/",N2157)-1))),0)</f>
        <v>0</v>
      </c>
    </row>
    <row r="2158" customFormat="false" ht="15" hidden="false" customHeight="false" outlineLevel="0" collapsed="false">
      <c r="N2158" s="0" t="str">
        <f aca="false">IF(H2158="","",IFERROR(LEFT(H2158,FIND(" ",H2158)-1),H2158))</f>
        <v/>
      </c>
      <c r="O2158" s="20" t="n">
        <f aca="false">IFERROR(DATE(VALUE(MID(N2158,FIND("/",N2158,FIND("/",N2158)+1)+1,4)),VALUE(MID(N2158,FIND("/",N2158)+1,FIND("/",N2158,FIND("/",N2158)+1)-FIND("/",N2158)-1)),VALUE(LEFT(N2158,FIND("/",N2158)-1))),0)</f>
        <v>0</v>
      </c>
    </row>
    <row r="2159" customFormat="false" ht="15" hidden="false" customHeight="false" outlineLevel="0" collapsed="false">
      <c r="N2159" s="0" t="str">
        <f aca="false">IF(H2159="","",IFERROR(LEFT(H2159,FIND(" ",H2159)-1),H2159))</f>
        <v/>
      </c>
      <c r="O2159" s="20" t="n">
        <f aca="false">IFERROR(DATE(VALUE(MID(N2159,FIND("/",N2159,FIND("/",N2159)+1)+1,4)),VALUE(MID(N2159,FIND("/",N2159)+1,FIND("/",N2159,FIND("/",N2159)+1)-FIND("/",N2159)-1)),VALUE(LEFT(N2159,FIND("/",N2159)-1))),0)</f>
        <v>0</v>
      </c>
    </row>
    <row r="2160" customFormat="false" ht="15" hidden="false" customHeight="false" outlineLevel="0" collapsed="false">
      <c r="N2160" s="0" t="str">
        <f aca="false">IF(H2160="","",IFERROR(LEFT(H2160,FIND(" ",H2160)-1),H2160))</f>
        <v/>
      </c>
      <c r="O2160" s="20" t="n">
        <f aca="false">IFERROR(DATE(VALUE(MID(N2160,FIND("/",N2160,FIND("/",N2160)+1)+1,4)),VALUE(MID(N2160,FIND("/",N2160)+1,FIND("/",N2160,FIND("/",N2160)+1)-FIND("/",N2160)-1)),VALUE(LEFT(N2160,FIND("/",N2160)-1))),0)</f>
        <v>0</v>
      </c>
    </row>
    <row r="2161" customFormat="false" ht="15" hidden="false" customHeight="false" outlineLevel="0" collapsed="false">
      <c r="N2161" s="0" t="str">
        <f aca="false">IF(H2161="","",IFERROR(LEFT(H2161,FIND(" ",H2161)-1),H2161))</f>
        <v/>
      </c>
      <c r="O2161" s="20" t="n">
        <f aca="false">IFERROR(DATE(VALUE(MID(N2161,FIND("/",N2161,FIND("/",N2161)+1)+1,4)),VALUE(MID(N2161,FIND("/",N2161)+1,FIND("/",N2161,FIND("/",N2161)+1)-FIND("/",N2161)-1)),VALUE(LEFT(N2161,FIND("/",N2161)-1))),0)</f>
        <v>0</v>
      </c>
    </row>
    <row r="2162" customFormat="false" ht="15" hidden="false" customHeight="false" outlineLevel="0" collapsed="false">
      <c r="N2162" s="0" t="str">
        <f aca="false">IF(H2162="","",IFERROR(LEFT(H2162,FIND(" ",H2162)-1),H2162))</f>
        <v/>
      </c>
      <c r="O2162" s="20" t="n">
        <f aca="false">IFERROR(DATE(VALUE(MID(N2162,FIND("/",N2162,FIND("/",N2162)+1)+1,4)),VALUE(MID(N2162,FIND("/",N2162)+1,FIND("/",N2162,FIND("/",N2162)+1)-FIND("/",N2162)-1)),VALUE(LEFT(N2162,FIND("/",N2162)-1))),0)</f>
        <v>0</v>
      </c>
    </row>
    <row r="2163" customFormat="false" ht="15" hidden="false" customHeight="false" outlineLevel="0" collapsed="false">
      <c r="N2163" s="0" t="str">
        <f aca="false">IF(H2163="","",IFERROR(LEFT(H2163,FIND(" ",H2163)-1),H2163))</f>
        <v/>
      </c>
      <c r="O2163" s="20" t="n">
        <f aca="false">IFERROR(DATE(VALUE(MID(N2163,FIND("/",N2163,FIND("/",N2163)+1)+1,4)),VALUE(MID(N2163,FIND("/",N2163)+1,FIND("/",N2163,FIND("/",N2163)+1)-FIND("/",N2163)-1)),VALUE(LEFT(N2163,FIND("/",N2163)-1))),0)</f>
        <v>0</v>
      </c>
    </row>
    <row r="2164" customFormat="false" ht="15" hidden="false" customHeight="false" outlineLevel="0" collapsed="false">
      <c r="N2164" s="0" t="str">
        <f aca="false">IF(H2164="","",IFERROR(LEFT(H2164,FIND(" ",H2164)-1),H2164))</f>
        <v/>
      </c>
      <c r="O2164" s="20" t="n">
        <f aca="false">IFERROR(DATE(VALUE(MID(N2164,FIND("/",N2164,FIND("/",N2164)+1)+1,4)),VALUE(MID(N2164,FIND("/",N2164)+1,FIND("/",N2164,FIND("/",N2164)+1)-FIND("/",N2164)-1)),VALUE(LEFT(N2164,FIND("/",N2164)-1))),0)</f>
        <v>0</v>
      </c>
    </row>
    <row r="2165" customFormat="false" ht="15" hidden="false" customHeight="false" outlineLevel="0" collapsed="false">
      <c r="N2165" s="0" t="str">
        <f aca="false">IF(H2165="","",IFERROR(LEFT(H2165,FIND(" ",H2165)-1),H2165))</f>
        <v/>
      </c>
      <c r="O2165" s="20" t="n">
        <f aca="false">IFERROR(DATE(VALUE(MID(N2165,FIND("/",N2165,FIND("/",N2165)+1)+1,4)),VALUE(MID(N2165,FIND("/",N2165)+1,FIND("/",N2165,FIND("/",N2165)+1)-FIND("/",N2165)-1)),VALUE(LEFT(N2165,FIND("/",N2165)-1))),0)</f>
        <v>0</v>
      </c>
    </row>
    <row r="2166" customFormat="false" ht="15" hidden="false" customHeight="false" outlineLevel="0" collapsed="false">
      <c r="N2166" s="0" t="str">
        <f aca="false">IF(H2166="","",IFERROR(LEFT(H2166,FIND(" ",H2166)-1),H2166))</f>
        <v/>
      </c>
      <c r="O2166" s="20" t="n">
        <f aca="false">IFERROR(DATE(VALUE(MID(N2166,FIND("/",N2166,FIND("/",N2166)+1)+1,4)),VALUE(MID(N2166,FIND("/",N2166)+1,FIND("/",N2166,FIND("/",N2166)+1)-FIND("/",N2166)-1)),VALUE(LEFT(N2166,FIND("/",N2166)-1))),0)</f>
        <v>0</v>
      </c>
    </row>
    <row r="2167" customFormat="false" ht="15" hidden="false" customHeight="false" outlineLevel="0" collapsed="false">
      <c r="N2167" s="0" t="str">
        <f aca="false">IF(H2167="","",IFERROR(LEFT(H2167,FIND(" ",H2167)-1),H2167))</f>
        <v/>
      </c>
      <c r="O2167" s="20" t="n">
        <f aca="false">IFERROR(DATE(VALUE(MID(N2167,FIND("/",N2167,FIND("/",N2167)+1)+1,4)),VALUE(MID(N2167,FIND("/",N2167)+1,FIND("/",N2167,FIND("/",N2167)+1)-FIND("/",N2167)-1)),VALUE(LEFT(N2167,FIND("/",N2167)-1))),0)</f>
        <v>0</v>
      </c>
    </row>
    <row r="2168" customFormat="false" ht="15" hidden="false" customHeight="false" outlineLevel="0" collapsed="false">
      <c r="N2168" s="0" t="str">
        <f aca="false">IF(H2168="","",IFERROR(LEFT(H2168,FIND(" ",H2168)-1),H2168))</f>
        <v/>
      </c>
      <c r="O2168" s="20" t="n">
        <f aca="false">IFERROR(DATE(VALUE(MID(N2168,FIND("/",N2168,FIND("/",N2168)+1)+1,4)),VALUE(MID(N2168,FIND("/",N2168)+1,FIND("/",N2168,FIND("/",N2168)+1)-FIND("/",N2168)-1)),VALUE(LEFT(N2168,FIND("/",N2168)-1))),0)</f>
        <v>0</v>
      </c>
    </row>
    <row r="2169" customFormat="false" ht="15" hidden="false" customHeight="false" outlineLevel="0" collapsed="false">
      <c r="N2169" s="0" t="str">
        <f aca="false">IF(H2169="","",IFERROR(LEFT(H2169,FIND(" ",H2169)-1),H2169))</f>
        <v/>
      </c>
      <c r="O2169" s="20" t="n">
        <f aca="false">IFERROR(DATE(VALUE(MID(N2169,FIND("/",N2169,FIND("/",N2169)+1)+1,4)),VALUE(MID(N2169,FIND("/",N2169)+1,FIND("/",N2169,FIND("/",N2169)+1)-FIND("/",N2169)-1)),VALUE(LEFT(N2169,FIND("/",N2169)-1))),0)</f>
        <v>0</v>
      </c>
    </row>
    <row r="2170" customFormat="false" ht="15" hidden="false" customHeight="false" outlineLevel="0" collapsed="false">
      <c r="N2170" s="0" t="str">
        <f aca="false">IF(H2170="","",IFERROR(LEFT(H2170,FIND(" ",H2170)-1),H2170))</f>
        <v/>
      </c>
      <c r="O2170" s="20" t="n">
        <f aca="false">IFERROR(DATE(VALUE(MID(N2170,FIND("/",N2170,FIND("/",N2170)+1)+1,4)),VALUE(MID(N2170,FIND("/",N2170)+1,FIND("/",N2170,FIND("/",N2170)+1)-FIND("/",N2170)-1)),VALUE(LEFT(N2170,FIND("/",N2170)-1))),0)</f>
        <v>0</v>
      </c>
    </row>
    <row r="2171" customFormat="false" ht="15" hidden="false" customHeight="false" outlineLevel="0" collapsed="false">
      <c r="N2171" s="0" t="str">
        <f aca="false">IF(H2171="","",IFERROR(LEFT(H2171,FIND(" ",H2171)-1),H2171))</f>
        <v/>
      </c>
      <c r="O2171" s="20" t="n">
        <f aca="false">IFERROR(DATE(VALUE(MID(N2171,FIND("/",N2171,FIND("/",N2171)+1)+1,4)),VALUE(MID(N2171,FIND("/",N2171)+1,FIND("/",N2171,FIND("/",N2171)+1)-FIND("/",N2171)-1)),VALUE(LEFT(N2171,FIND("/",N2171)-1))),0)</f>
        <v>0</v>
      </c>
    </row>
    <row r="2172" customFormat="false" ht="15" hidden="false" customHeight="false" outlineLevel="0" collapsed="false">
      <c r="N2172" s="0" t="str">
        <f aca="false">IF(H2172="","",IFERROR(LEFT(H2172,FIND(" ",H2172)-1),H2172))</f>
        <v/>
      </c>
      <c r="O2172" s="20" t="n">
        <f aca="false">IFERROR(DATE(VALUE(MID(N2172,FIND("/",N2172,FIND("/",N2172)+1)+1,4)),VALUE(MID(N2172,FIND("/",N2172)+1,FIND("/",N2172,FIND("/",N2172)+1)-FIND("/",N2172)-1)),VALUE(LEFT(N2172,FIND("/",N2172)-1))),0)</f>
        <v>0</v>
      </c>
    </row>
    <row r="2173" customFormat="false" ht="15" hidden="false" customHeight="false" outlineLevel="0" collapsed="false">
      <c r="N2173" s="0" t="str">
        <f aca="false">IF(H2173="","",IFERROR(LEFT(H2173,FIND(" ",H2173)-1),H2173))</f>
        <v/>
      </c>
      <c r="O2173" s="20" t="n">
        <f aca="false">IFERROR(DATE(VALUE(MID(N2173,FIND("/",N2173,FIND("/",N2173)+1)+1,4)),VALUE(MID(N2173,FIND("/",N2173)+1,FIND("/",N2173,FIND("/",N2173)+1)-FIND("/",N2173)-1)),VALUE(LEFT(N2173,FIND("/",N2173)-1))),0)</f>
        <v>0</v>
      </c>
    </row>
    <row r="2174" customFormat="false" ht="15" hidden="false" customHeight="false" outlineLevel="0" collapsed="false">
      <c r="N2174" s="0" t="str">
        <f aca="false">IF(H2174="","",IFERROR(LEFT(H2174,FIND(" ",H2174)-1),H2174))</f>
        <v/>
      </c>
      <c r="O2174" s="20" t="n">
        <f aca="false">IFERROR(DATE(VALUE(MID(N2174,FIND("/",N2174,FIND("/",N2174)+1)+1,4)),VALUE(MID(N2174,FIND("/",N2174)+1,FIND("/",N2174,FIND("/",N2174)+1)-FIND("/",N2174)-1)),VALUE(LEFT(N2174,FIND("/",N2174)-1))),0)</f>
        <v>0</v>
      </c>
    </row>
    <row r="2175" customFormat="false" ht="15" hidden="false" customHeight="false" outlineLevel="0" collapsed="false">
      <c r="N2175" s="0" t="str">
        <f aca="false">IF(H2175="","",IFERROR(LEFT(H2175,FIND(" ",H2175)-1),H2175))</f>
        <v/>
      </c>
      <c r="O2175" s="20" t="n">
        <f aca="false">IFERROR(DATE(VALUE(MID(N2175,FIND("/",N2175,FIND("/",N2175)+1)+1,4)),VALUE(MID(N2175,FIND("/",N2175)+1,FIND("/",N2175,FIND("/",N2175)+1)-FIND("/",N2175)-1)),VALUE(LEFT(N2175,FIND("/",N2175)-1))),0)</f>
        <v>0</v>
      </c>
    </row>
    <row r="2176" customFormat="false" ht="15" hidden="false" customHeight="false" outlineLevel="0" collapsed="false">
      <c r="N2176" s="0" t="str">
        <f aca="false">IF(H2176="","",IFERROR(LEFT(H2176,FIND(" ",H2176)-1),H2176))</f>
        <v/>
      </c>
      <c r="O2176" s="20" t="n">
        <f aca="false">IFERROR(DATE(VALUE(MID(N2176,FIND("/",N2176,FIND("/",N2176)+1)+1,4)),VALUE(MID(N2176,FIND("/",N2176)+1,FIND("/",N2176,FIND("/",N2176)+1)-FIND("/",N2176)-1)),VALUE(LEFT(N2176,FIND("/",N2176)-1))),0)</f>
        <v>0</v>
      </c>
    </row>
    <row r="2177" customFormat="false" ht="15" hidden="false" customHeight="false" outlineLevel="0" collapsed="false">
      <c r="N2177" s="0" t="str">
        <f aca="false">IF(H2177="","",IFERROR(LEFT(H2177,FIND(" ",H2177)-1),H2177))</f>
        <v/>
      </c>
      <c r="O2177" s="20" t="n">
        <f aca="false">IFERROR(DATE(VALUE(MID(N2177,FIND("/",N2177,FIND("/",N2177)+1)+1,4)),VALUE(MID(N2177,FIND("/",N2177)+1,FIND("/",N2177,FIND("/",N2177)+1)-FIND("/",N2177)-1)),VALUE(LEFT(N2177,FIND("/",N2177)-1))),0)</f>
        <v>0</v>
      </c>
    </row>
    <row r="2178" customFormat="false" ht="15" hidden="false" customHeight="false" outlineLevel="0" collapsed="false">
      <c r="N2178" s="0" t="str">
        <f aca="false">IF(H2178="","",IFERROR(LEFT(H2178,FIND(" ",H2178)-1),H2178))</f>
        <v/>
      </c>
      <c r="O2178" s="20" t="n">
        <f aca="false">IFERROR(DATE(VALUE(MID(N2178,FIND("/",N2178,FIND("/",N2178)+1)+1,4)),VALUE(MID(N2178,FIND("/",N2178)+1,FIND("/",N2178,FIND("/",N2178)+1)-FIND("/",N2178)-1)),VALUE(LEFT(N2178,FIND("/",N2178)-1))),0)</f>
        <v>0</v>
      </c>
    </row>
    <row r="2179" customFormat="false" ht="15" hidden="false" customHeight="false" outlineLevel="0" collapsed="false">
      <c r="N2179" s="0" t="str">
        <f aca="false">IF(H2179="","",IFERROR(LEFT(H2179,FIND(" ",H2179)-1),H2179))</f>
        <v/>
      </c>
      <c r="O2179" s="20" t="n">
        <f aca="false">IFERROR(DATE(VALUE(MID(N2179,FIND("/",N2179,FIND("/",N2179)+1)+1,4)),VALUE(MID(N2179,FIND("/",N2179)+1,FIND("/",N2179,FIND("/",N2179)+1)-FIND("/",N2179)-1)),VALUE(LEFT(N2179,FIND("/",N2179)-1))),0)</f>
        <v>0</v>
      </c>
    </row>
    <row r="2180" customFormat="false" ht="15" hidden="false" customHeight="false" outlineLevel="0" collapsed="false">
      <c r="N2180" s="0" t="str">
        <f aca="false">IF(H2180="","",IFERROR(LEFT(H2180,FIND(" ",H2180)-1),H2180))</f>
        <v/>
      </c>
      <c r="O2180" s="20" t="n">
        <f aca="false">IFERROR(DATE(VALUE(MID(N2180,FIND("/",N2180,FIND("/",N2180)+1)+1,4)),VALUE(MID(N2180,FIND("/",N2180)+1,FIND("/",N2180,FIND("/",N2180)+1)-FIND("/",N2180)-1)),VALUE(LEFT(N2180,FIND("/",N2180)-1))),0)</f>
        <v>0</v>
      </c>
    </row>
    <row r="2181" customFormat="false" ht="15" hidden="false" customHeight="false" outlineLevel="0" collapsed="false">
      <c r="N2181" s="0" t="str">
        <f aca="false">IF(H2181="","",IFERROR(LEFT(H2181,FIND(" ",H2181)-1),H2181))</f>
        <v/>
      </c>
      <c r="O2181" s="20" t="n">
        <f aca="false">IFERROR(DATE(VALUE(MID(N2181,FIND("/",N2181,FIND("/",N2181)+1)+1,4)),VALUE(MID(N2181,FIND("/",N2181)+1,FIND("/",N2181,FIND("/",N2181)+1)-FIND("/",N2181)-1)),VALUE(LEFT(N2181,FIND("/",N2181)-1))),0)</f>
        <v>0</v>
      </c>
    </row>
    <row r="2182" customFormat="false" ht="15" hidden="false" customHeight="false" outlineLevel="0" collapsed="false">
      <c r="N2182" s="0" t="str">
        <f aca="false">IF(H2182="","",IFERROR(LEFT(H2182,FIND(" ",H2182)-1),H2182))</f>
        <v/>
      </c>
      <c r="O2182" s="20" t="n">
        <f aca="false">IFERROR(DATE(VALUE(MID(N2182,FIND("/",N2182,FIND("/",N2182)+1)+1,4)),VALUE(MID(N2182,FIND("/",N2182)+1,FIND("/",N2182,FIND("/",N2182)+1)-FIND("/",N2182)-1)),VALUE(LEFT(N2182,FIND("/",N2182)-1))),0)</f>
        <v>0</v>
      </c>
    </row>
    <row r="2183" customFormat="false" ht="15" hidden="false" customHeight="false" outlineLevel="0" collapsed="false">
      <c r="N2183" s="0" t="str">
        <f aca="false">IF(H2183="","",IFERROR(LEFT(H2183,FIND(" ",H2183)-1),H2183))</f>
        <v/>
      </c>
      <c r="O2183" s="20" t="n">
        <f aca="false">IFERROR(DATE(VALUE(MID(N2183,FIND("/",N2183,FIND("/",N2183)+1)+1,4)),VALUE(MID(N2183,FIND("/",N2183)+1,FIND("/",N2183,FIND("/",N2183)+1)-FIND("/",N2183)-1)),VALUE(LEFT(N2183,FIND("/",N2183)-1))),0)</f>
        <v>0</v>
      </c>
    </row>
    <row r="2184" customFormat="false" ht="15" hidden="false" customHeight="false" outlineLevel="0" collapsed="false">
      <c r="N2184" s="0" t="str">
        <f aca="false">IF(H2184="","",IFERROR(LEFT(H2184,FIND(" ",H2184)-1),H2184))</f>
        <v/>
      </c>
      <c r="O2184" s="20" t="n">
        <f aca="false">IFERROR(DATE(VALUE(MID(N2184,FIND("/",N2184,FIND("/",N2184)+1)+1,4)),VALUE(MID(N2184,FIND("/",N2184)+1,FIND("/",N2184,FIND("/",N2184)+1)-FIND("/",N2184)-1)),VALUE(LEFT(N2184,FIND("/",N2184)-1))),0)</f>
        <v>0</v>
      </c>
    </row>
    <row r="2185" customFormat="false" ht="15" hidden="false" customHeight="false" outlineLevel="0" collapsed="false">
      <c r="N2185" s="0" t="str">
        <f aca="false">IF(H2185="","",IFERROR(LEFT(H2185,FIND(" ",H2185)-1),H2185))</f>
        <v/>
      </c>
      <c r="O2185" s="20" t="n">
        <f aca="false">IFERROR(DATE(VALUE(MID(N2185,FIND("/",N2185,FIND("/",N2185)+1)+1,4)),VALUE(MID(N2185,FIND("/",N2185)+1,FIND("/",N2185,FIND("/",N2185)+1)-FIND("/",N2185)-1)),VALUE(LEFT(N2185,FIND("/",N2185)-1))),0)</f>
        <v>0</v>
      </c>
    </row>
    <row r="2186" customFormat="false" ht="15" hidden="false" customHeight="false" outlineLevel="0" collapsed="false">
      <c r="N2186" s="0" t="str">
        <f aca="false">IF(H2186="","",IFERROR(LEFT(H2186,FIND(" ",H2186)-1),H2186))</f>
        <v/>
      </c>
      <c r="O2186" s="20" t="n">
        <f aca="false">IFERROR(DATE(VALUE(MID(N2186,FIND("/",N2186,FIND("/",N2186)+1)+1,4)),VALUE(MID(N2186,FIND("/",N2186)+1,FIND("/",N2186,FIND("/",N2186)+1)-FIND("/",N2186)-1)),VALUE(LEFT(N2186,FIND("/",N2186)-1))),0)</f>
        <v>0</v>
      </c>
    </row>
    <row r="2187" customFormat="false" ht="15" hidden="false" customHeight="false" outlineLevel="0" collapsed="false">
      <c r="N2187" s="0" t="str">
        <f aca="false">IF(H2187="","",IFERROR(LEFT(H2187,FIND(" ",H2187)-1),H2187))</f>
        <v/>
      </c>
      <c r="O2187" s="20" t="n">
        <f aca="false">IFERROR(DATE(VALUE(MID(N2187,FIND("/",N2187,FIND("/",N2187)+1)+1,4)),VALUE(MID(N2187,FIND("/",N2187)+1,FIND("/",N2187,FIND("/",N2187)+1)-FIND("/",N2187)-1)),VALUE(LEFT(N2187,FIND("/",N2187)-1))),0)</f>
        <v>0</v>
      </c>
    </row>
    <row r="2188" customFormat="false" ht="15" hidden="false" customHeight="false" outlineLevel="0" collapsed="false">
      <c r="N2188" s="0" t="str">
        <f aca="false">IF(H2188="","",IFERROR(LEFT(H2188,FIND(" ",H2188)-1),H2188))</f>
        <v/>
      </c>
      <c r="O2188" s="20" t="n">
        <f aca="false">IFERROR(DATE(VALUE(MID(N2188,FIND("/",N2188,FIND("/",N2188)+1)+1,4)),VALUE(MID(N2188,FIND("/",N2188)+1,FIND("/",N2188,FIND("/",N2188)+1)-FIND("/",N2188)-1)),VALUE(LEFT(N2188,FIND("/",N2188)-1))),0)</f>
        <v>0</v>
      </c>
    </row>
    <row r="2189" customFormat="false" ht="15" hidden="false" customHeight="false" outlineLevel="0" collapsed="false">
      <c r="N2189" s="0" t="str">
        <f aca="false">IF(H2189="","",IFERROR(LEFT(H2189,FIND(" ",H2189)-1),H2189))</f>
        <v/>
      </c>
      <c r="O2189" s="20" t="n">
        <f aca="false">IFERROR(DATE(VALUE(MID(N2189,FIND("/",N2189,FIND("/",N2189)+1)+1,4)),VALUE(MID(N2189,FIND("/",N2189)+1,FIND("/",N2189,FIND("/",N2189)+1)-FIND("/",N2189)-1)),VALUE(LEFT(N2189,FIND("/",N2189)-1))),0)</f>
        <v>0</v>
      </c>
    </row>
    <row r="2190" customFormat="false" ht="15" hidden="false" customHeight="false" outlineLevel="0" collapsed="false">
      <c r="N2190" s="0" t="str">
        <f aca="false">IF(H2190="","",IFERROR(LEFT(H2190,FIND(" ",H2190)-1),H2190))</f>
        <v/>
      </c>
      <c r="O2190" s="20" t="n">
        <f aca="false">IFERROR(DATE(VALUE(MID(N2190,FIND("/",N2190,FIND("/",N2190)+1)+1,4)),VALUE(MID(N2190,FIND("/",N2190)+1,FIND("/",N2190,FIND("/",N2190)+1)-FIND("/",N2190)-1)),VALUE(LEFT(N2190,FIND("/",N2190)-1))),0)</f>
        <v>0</v>
      </c>
    </row>
    <row r="2191" customFormat="false" ht="15" hidden="false" customHeight="false" outlineLevel="0" collapsed="false">
      <c r="N2191" s="0" t="str">
        <f aca="false">IF(H2191="","",IFERROR(LEFT(H2191,FIND(" ",H2191)-1),H2191))</f>
        <v/>
      </c>
      <c r="O2191" s="20" t="n">
        <f aca="false">IFERROR(DATE(VALUE(MID(N2191,FIND("/",N2191,FIND("/",N2191)+1)+1,4)),VALUE(MID(N2191,FIND("/",N2191)+1,FIND("/",N2191,FIND("/",N2191)+1)-FIND("/",N2191)-1)),VALUE(LEFT(N2191,FIND("/",N2191)-1))),0)</f>
        <v>0</v>
      </c>
    </row>
    <row r="2192" customFormat="false" ht="15" hidden="false" customHeight="false" outlineLevel="0" collapsed="false">
      <c r="N2192" s="0" t="str">
        <f aca="false">IF(H2192="","",IFERROR(LEFT(H2192,FIND(" ",H2192)-1),H2192))</f>
        <v/>
      </c>
      <c r="O2192" s="20" t="n">
        <f aca="false">IFERROR(DATE(VALUE(MID(N2192,FIND("/",N2192,FIND("/",N2192)+1)+1,4)),VALUE(MID(N2192,FIND("/",N2192)+1,FIND("/",N2192,FIND("/",N2192)+1)-FIND("/",N2192)-1)),VALUE(LEFT(N2192,FIND("/",N2192)-1))),0)</f>
        <v>0</v>
      </c>
    </row>
    <row r="2193" customFormat="false" ht="15" hidden="false" customHeight="false" outlineLevel="0" collapsed="false">
      <c r="N2193" s="0" t="str">
        <f aca="false">IF(H2193="","",IFERROR(LEFT(H2193,FIND(" ",H2193)-1),H2193))</f>
        <v/>
      </c>
      <c r="O2193" s="20" t="n">
        <f aca="false">IFERROR(DATE(VALUE(MID(N2193,FIND("/",N2193,FIND("/",N2193)+1)+1,4)),VALUE(MID(N2193,FIND("/",N2193)+1,FIND("/",N2193,FIND("/",N2193)+1)-FIND("/",N2193)-1)),VALUE(LEFT(N2193,FIND("/",N2193)-1))),0)</f>
        <v>0</v>
      </c>
    </row>
    <row r="2194" customFormat="false" ht="15" hidden="false" customHeight="false" outlineLevel="0" collapsed="false">
      <c r="N2194" s="0" t="str">
        <f aca="false">IF(H2194="","",IFERROR(LEFT(H2194,FIND(" ",H2194)-1),H2194))</f>
        <v/>
      </c>
      <c r="O2194" s="20" t="n">
        <f aca="false">IFERROR(DATE(VALUE(MID(N2194,FIND("/",N2194,FIND("/",N2194)+1)+1,4)),VALUE(MID(N2194,FIND("/",N2194)+1,FIND("/",N2194,FIND("/",N2194)+1)-FIND("/",N2194)-1)),VALUE(LEFT(N2194,FIND("/",N2194)-1))),0)</f>
        <v>0</v>
      </c>
    </row>
    <row r="2195" customFormat="false" ht="15" hidden="false" customHeight="false" outlineLevel="0" collapsed="false">
      <c r="N2195" s="0" t="str">
        <f aca="false">IF(H2195="","",IFERROR(LEFT(H2195,FIND(" ",H2195)-1),H2195))</f>
        <v/>
      </c>
      <c r="O2195" s="20" t="n">
        <f aca="false">IFERROR(DATE(VALUE(MID(N2195,FIND("/",N2195,FIND("/",N2195)+1)+1,4)),VALUE(MID(N2195,FIND("/",N2195)+1,FIND("/",N2195,FIND("/",N2195)+1)-FIND("/",N2195)-1)),VALUE(LEFT(N2195,FIND("/",N2195)-1))),0)</f>
        <v>0</v>
      </c>
    </row>
    <row r="2196" customFormat="false" ht="15" hidden="false" customHeight="false" outlineLevel="0" collapsed="false">
      <c r="N2196" s="0" t="str">
        <f aca="false">IF(H2196="","",IFERROR(LEFT(H2196,FIND(" ",H2196)-1),H2196))</f>
        <v/>
      </c>
      <c r="O2196" s="20" t="n">
        <f aca="false">IFERROR(DATE(VALUE(MID(N2196,FIND("/",N2196,FIND("/",N2196)+1)+1,4)),VALUE(MID(N2196,FIND("/",N2196)+1,FIND("/",N2196,FIND("/",N2196)+1)-FIND("/",N2196)-1)),VALUE(LEFT(N2196,FIND("/",N2196)-1))),0)</f>
        <v>0</v>
      </c>
    </row>
    <row r="2197" customFormat="false" ht="15" hidden="false" customHeight="false" outlineLevel="0" collapsed="false">
      <c r="N2197" s="0" t="str">
        <f aca="false">IF(H2197="","",IFERROR(LEFT(H2197,FIND(" ",H2197)-1),H2197))</f>
        <v/>
      </c>
      <c r="O2197" s="20" t="n">
        <f aca="false">IFERROR(DATE(VALUE(MID(N2197,FIND("/",N2197,FIND("/",N2197)+1)+1,4)),VALUE(MID(N2197,FIND("/",N2197)+1,FIND("/",N2197,FIND("/",N2197)+1)-FIND("/",N2197)-1)),VALUE(LEFT(N2197,FIND("/",N2197)-1))),0)</f>
        <v>0</v>
      </c>
    </row>
    <row r="2198" customFormat="false" ht="15" hidden="false" customHeight="false" outlineLevel="0" collapsed="false">
      <c r="N2198" s="0" t="str">
        <f aca="false">IF(H2198="","",IFERROR(LEFT(H2198,FIND(" ",H2198)-1),H2198))</f>
        <v/>
      </c>
      <c r="O2198" s="20" t="n">
        <f aca="false">IFERROR(DATE(VALUE(MID(N2198,FIND("/",N2198,FIND("/",N2198)+1)+1,4)),VALUE(MID(N2198,FIND("/",N2198)+1,FIND("/",N2198,FIND("/",N2198)+1)-FIND("/",N2198)-1)),VALUE(LEFT(N2198,FIND("/",N2198)-1))),0)</f>
        <v>0</v>
      </c>
    </row>
    <row r="2199" customFormat="false" ht="15" hidden="false" customHeight="false" outlineLevel="0" collapsed="false">
      <c r="N2199" s="0" t="str">
        <f aca="false">IF(H2199="","",IFERROR(LEFT(H2199,FIND(" ",H2199)-1),H2199))</f>
        <v/>
      </c>
      <c r="O2199" s="20" t="n">
        <f aca="false">IFERROR(DATE(VALUE(MID(N2199,FIND("/",N2199,FIND("/",N2199)+1)+1,4)),VALUE(MID(N2199,FIND("/",N2199)+1,FIND("/",N2199,FIND("/",N2199)+1)-FIND("/",N2199)-1)),VALUE(LEFT(N2199,FIND("/",N2199)-1))),0)</f>
        <v>0</v>
      </c>
    </row>
    <row r="2200" customFormat="false" ht="15" hidden="false" customHeight="false" outlineLevel="0" collapsed="false">
      <c r="N2200" s="0" t="str">
        <f aca="false">IF(H2200="","",IFERROR(LEFT(H2200,FIND(" ",H2200)-1),H2200))</f>
        <v/>
      </c>
      <c r="O2200" s="20" t="n">
        <f aca="false">IFERROR(DATE(VALUE(MID(N2200,FIND("/",N2200,FIND("/",N2200)+1)+1,4)),VALUE(MID(N2200,FIND("/",N2200)+1,FIND("/",N2200,FIND("/",N2200)+1)-FIND("/",N2200)-1)),VALUE(LEFT(N2200,FIND("/",N2200)-1))),0)</f>
        <v>0</v>
      </c>
    </row>
    <row r="2201" customFormat="false" ht="15" hidden="false" customHeight="false" outlineLevel="0" collapsed="false">
      <c r="N2201" s="0" t="str">
        <f aca="false">IF(H2201="","",IFERROR(LEFT(H2201,FIND(" ",H2201)-1),H2201))</f>
        <v/>
      </c>
      <c r="O2201" s="20" t="n">
        <f aca="false">IFERROR(DATE(VALUE(MID(N2201,FIND("/",N2201,FIND("/",N2201)+1)+1,4)),VALUE(MID(N2201,FIND("/",N2201)+1,FIND("/",N2201,FIND("/",N2201)+1)-FIND("/",N2201)-1)),VALUE(LEFT(N2201,FIND("/",N2201)-1))),0)</f>
        <v>0</v>
      </c>
    </row>
    <row r="2202" customFormat="false" ht="15" hidden="false" customHeight="false" outlineLevel="0" collapsed="false">
      <c r="N2202" s="0" t="str">
        <f aca="false">IF(H2202="","",IFERROR(LEFT(H2202,FIND(" ",H2202)-1),H2202))</f>
        <v/>
      </c>
      <c r="O2202" s="20" t="n">
        <f aca="false">IFERROR(DATE(VALUE(MID(N2202,FIND("/",N2202,FIND("/",N2202)+1)+1,4)),VALUE(MID(N2202,FIND("/",N2202)+1,FIND("/",N2202,FIND("/",N2202)+1)-FIND("/",N2202)-1)),VALUE(LEFT(N2202,FIND("/",N2202)-1))),0)</f>
        <v>0</v>
      </c>
    </row>
    <row r="2203" customFormat="false" ht="15" hidden="false" customHeight="false" outlineLevel="0" collapsed="false">
      <c r="N2203" s="0" t="str">
        <f aca="false">IF(H2203="","",IFERROR(LEFT(H2203,FIND(" ",H2203)-1),H2203))</f>
        <v/>
      </c>
      <c r="O2203" s="20" t="n">
        <f aca="false">IFERROR(DATE(VALUE(MID(N2203,FIND("/",N2203,FIND("/",N2203)+1)+1,4)),VALUE(MID(N2203,FIND("/",N2203)+1,FIND("/",N2203,FIND("/",N2203)+1)-FIND("/",N2203)-1)),VALUE(LEFT(N2203,FIND("/",N2203)-1))),0)</f>
        <v>0</v>
      </c>
    </row>
    <row r="2204" customFormat="false" ht="15" hidden="false" customHeight="false" outlineLevel="0" collapsed="false">
      <c r="N2204" s="0" t="str">
        <f aca="false">IF(H2204="","",IFERROR(LEFT(H2204,FIND(" ",H2204)-1),H2204))</f>
        <v/>
      </c>
      <c r="O2204" s="20" t="n">
        <f aca="false">IFERROR(DATE(VALUE(MID(N2204,FIND("/",N2204,FIND("/",N2204)+1)+1,4)),VALUE(MID(N2204,FIND("/",N2204)+1,FIND("/",N2204,FIND("/",N2204)+1)-FIND("/",N2204)-1)),VALUE(LEFT(N2204,FIND("/",N2204)-1))),0)</f>
        <v>0</v>
      </c>
    </row>
    <row r="2205" customFormat="false" ht="15" hidden="false" customHeight="false" outlineLevel="0" collapsed="false">
      <c r="N2205" s="0" t="str">
        <f aca="false">IF(H2205="","",IFERROR(LEFT(H2205,FIND(" ",H2205)-1),H2205))</f>
        <v/>
      </c>
      <c r="O2205" s="20" t="n">
        <f aca="false">IFERROR(DATE(VALUE(MID(N2205,FIND("/",N2205,FIND("/",N2205)+1)+1,4)),VALUE(MID(N2205,FIND("/",N2205)+1,FIND("/",N2205,FIND("/",N2205)+1)-FIND("/",N2205)-1)),VALUE(LEFT(N2205,FIND("/",N2205)-1))),0)</f>
        <v>0</v>
      </c>
    </row>
    <row r="2206" customFormat="false" ht="15" hidden="false" customHeight="false" outlineLevel="0" collapsed="false">
      <c r="N2206" s="0" t="str">
        <f aca="false">IF(H2206="","",IFERROR(LEFT(H2206,FIND(" ",H2206)-1),H2206))</f>
        <v/>
      </c>
      <c r="O2206" s="20" t="n">
        <f aca="false">IFERROR(DATE(VALUE(MID(N2206,FIND("/",N2206,FIND("/",N2206)+1)+1,4)),VALUE(MID(N2206,FIND("/",N2206)+1,FIND("/",N2206,FIND("/",N2206)+1)-FIND("/",N2206)-1)),VALUE(LEFT(N2206,FIND("/",N2206)-1))),0)</f>
        <v>0</v>
      </c>
    </row>
    <row r="2207" customFormat="false" ht="15" hidden="false" customHeight="false" outlineLevel="0" collapsed="false">
      <c r="N2207" s="0" t="str">
        <f aca="false">IF(H2207="","",IFERROR(LEFT(H2207,FIND(" ",H2207)-1),H2207))</f>
        <v/>
      </c>
      <c r="O2207" s="20" t="n">
        <f aca="false">IFERROR(DATE(VALUE(MID(N2207,FIND("/",N2207,FIND("/",N2207)+1)+1,4)),VALUE(MID(N2207,FIND("/",N2207)+1,FIND("/",N2207,FIND("/",N2207)+1)-FIND("/",N2207)-1)),VALUE(LEFT(N2207,FIND("/",N2207)-1))),0)</f>
        <v>0</v>
      </c>
    </row>
    <row r="2208" customFormat="false" ht="15" hidden="false" customHeight="false" outlineLevel="0" collapsed="false">
      <c r="N2208" s="0" t="str">
        <f aca="false">IF(H2208="","",IFERROR(LEFT(H2208,FIND(" ",H2208)-1),H2208))</f>
        <v/>
      </c>
      <c r="O2208" s="20" t="n">
        <f aca="false">IFERROR(DATE(VALUE(MID(N2208,FIND("/",N2208,FIND("/",N2208)+1)+1,4)),VALUE(MID(N2208,FIND("/",N2208)+1,FIND("/",N2208,FIND("/",N2208)+1)-FIND("/",N2208)-1)),VALUE(LEFT(N2208,FIND("/",N2208)-1))),0)</f>
        <v>0</v>
      </c>
    </row>
    <row r="2209" customFormat="false" ht="15" hidden="false" customHeight="false" outlineLevel="0" collapsed="false">
      <c r="N2209" s="0" t="str">
        <f aca="false">IF(H2209="","",IFERROR(LEFT(H2209,FIND(" ",H2209)-1),H2209))</f>
        <v/>
      </c>
      <c r="O2209" s="20" t="n">
        <f aca="false">IFERROR(DATE(VALUE(MID(N2209,FIND("/",N2209,FIND("/",N2209)+1)+1,4)),VALUE(MID(N2209,FIND("/",N2209)+1,FIND("/",N2209,FIND("/",N2209)+1)-FIND("/",N2209)-1)),VALUE(LEFT(N2209,FIND("/",N2209)-1))),0)</f>
        <v>0</v>
      </c>
    </row>
    <row r="2210" customFormat="false" ht="15" hidden="false" customHeight="false" outlineLevel="0" collapsed="false">
      <c r="N2210" s="0" t="str">
        <f aca="false">IF(H2210="","",IFERROR(LEFT(H2210,FIND(" ",H2210)-1),H2210))</f>
        <v/>
      </c>
      <c r="O2210" s="20" t="n">
        <f aca="false">IFERROR(DATE(VALUE(MID(N2210,FIND("/",N2210,FIND("/",N2210)+1)+1,4)),VALUE(MID(N2210,FIND("/",N2210)+1,FIND("/",N2210,FIND("/",N2210)+1)-FIND("/",N2210)-1)),VALUE(LEFT(N2210,FIND("/",N2210)-1))),0)</f>
        <v>0</v>
      </c>
    </row>
    <row r="2211" customFormat="false" ht="15" hidden="false" customHeight="false" outlineLevel="0" collapsed="false">
      <c r="N2211" s="0" t="str">
        <f aca="false">IF(H2211="","",IFERROR(LEFT(H2211,FIND(" ",H2211)-1),H2211))</f>
        <v/>
      </c>
      <c r="O2211" s="20" t="n">
        <f aca="false">IFERROR(DATE(VALUE(MID(N2211,FIND("/",N2211,FIND("/",N2211)+1)+1,4)),VALUE(MID(N2211,FIND("/",N2211)+1,FIND("/",N2211,FIND("/",N2211)+1)-FIND("/",N2211)-1)),VALUE(LEFT(N2211,FIND("/",N2211)-1))),0)</f>
        <v>0</v>
      </c>
    </row>
    <row r="2212" customFormat="false" ht="15" hidden="false" customHeight="false" outlineLevel="0" collapsed="false">
      <c r="N2212" s="0" t="str">
        <f aca="false">IF(H2212="","",IFERROR(LEFT(H2212,FIND(" ",H2212)-1),H2212))</f>
        <v/>
      </c>
      <c r="O2212" s="20" t="n">
        <f aca="false">IFERROR(DATE(VALUE(MID(N2212,FIND("/",N2212,FIND("/",N2212)+1)+1,4)),VALUE(MID(N2212,FIND("/",N2212)+1,FIND("/",N2212,FIND("/",N2212)+1)-FIND("/",N2212)-1)),VALUE(LEFT(N2212,FIND("/",N2212)-1))),0)</f>
        <v>0</v>
      </c>
    </row>
    <row r="2213" customFormat="false" ht="15" hidden="false" customHeight="false" outlineLevel="0" collapsed="false">
      <c r="N2213" s="0" t="str">
        <f aca="false">IF(H2213="","",IFERROR(LEFT(H2213,FIND(" ",H2213)-1),H2213))</f>
        <v/>
      </c>
      <c r="O2213" s="20" t="n">
        <f aca="false">IFERROR(DATE(VALUE(MID(N2213,FIND("/",N2213,FIND("/",N2213)+1)+1,4)),VALUE(MID(N2213,FIND("/",N2213)+1,FIND("/",N2213,FIND("/",N2213)+1)-FIND("/",N2213)-1)),VALUE(LEFT(N2213,FIND("/",N2213)-1))),0)</f>
        <v>0</v>
      </c>
    </row>
    <row r="2214" customFormat="false" ht="15" hidden="false" customHeight="false" outlineLevel="0" collapsed="false">
      <c r="N2214" s="0" t="str">
        <f aca="false">IF(H2214="","",IFERROR(LEFT(H2214,FIND(" ",H2214)-1),H2214))</f>
        <v/>
      </c>
      <c r="O2214" s="20" t="n">
        <f aca="false">IFERROR(DATE(VALUE(MID(N2214,FIND("/",N2214,FIND("/",N2214)+1)+1,4)),VALUE(MID(N2214,FIND("/",N2214)+1,FIND("/",N2214,FIND("/",N2214)+1)-FIND("/",N2214)-1)),VALUE(LEFT(N2214,FIND("/",N2214)-1))),0)</f>
        <v>0</v>
      </c>
    </row>
    <row r="2215" customFormat="false" ht="15" hidden="false" customHeight="false" outlineLevel="0" collapsed="false">
      <c r="N2215" s="0" t="str">
        <f aca="false">IF(H2215="","",IFERROR(LEFT(H2215,FIND(" ",H2215)-1),H2215))</f>
        <v/>
      </c>
      <c r="O2215" s="20" t="n">
        <f aca="false">IFERROR(DATE(VALUE(MID(N2215,FIND("/",N2215,FIND("/",N2215)+1)+1,4)),VALUE(MID(N2215,FIND("/",N2215)+1,FIND("/",N2215,FIND("/",N2215)+1)-FIND("/",N2215)-1)),VALUE(LEFT(N2215,FIND("/",N2215)-1))),0)</f>
        <v>0</v>
      </c>
    </row>
    <row r="2216" customFormat="false" ht="15" hidden="false" customHeight="false" outlineLevel="0" collapsed="false">
      <c r="N2216" s="0" t="str">
        <f aca="false">IF(H2216="","",IFERROR(LEFT(H2216,FIND(" ",H2216)-1),H2216))</f>
        <v/>
      </c>
      <c r="O2216" s="20" t="n">
        <f aca="false">IFERROR(DATE(VALUE(MID(N2216,FIND("/",N2216,FIND("/",N2216)+1)+1,4)),VALUE(MID(N2216,FIND("/",N2216)+1,FIND("/",N2216,FIND("/",N2216)+1)-FIND("/",N2216)-1)),VALUE(LEFT(N2216,FIND("/",N2216)-1))),0)</f>
        <v>0</v>
      </c>
    </row>
    <row r="2217" customFormat="false" ht="15" hidden="false" customHeight="false" outlineLevel="0" collapsed="false">
      <c r="N2217" s="0" t="str">
        <f aca="false">IF(H2217="","",IFERROR(LEFT(H2217,FIND(" ",H2217)-1),H2217))</f>
        <v/>
      </c>
      <c r="O2217" s="20" t="n">
        <f aca="false">IFERROR(DATE(VALUE(MID(N2217,FIND("/",N2217,FIND("/",N2217)+1)+1,4)),VALUE(MID(N2217,FIND("/",N2217)+1,FIND("/",N2217,FIND("/",N2217)+1)-FIND("/",N2217)-1)),VALUE(LEFT(N2217,FIND("/",N2217)-1))),0)</f>
        <v>0</v>
      </c>
    </row>
    <row r="2218" customFormat="false" ht="15" hidden="false" customHeight="false" outlineLevel="0" collapsed="false">
      <c r="N2218" s="0" t="str">
        <f aca="false">IF(H2218="","",IFERROR(LEFT(H2218,FIND(" ",H2218)-1),H2218))</f>
        <v/>
      </c>
      <c r="O2218" s="20" t="n">
        <f aca="false">IFERROR(DATE(VALUE(MID(N2218,FIND("/",N2218,FIND("/",N2218)+1)+1,4)),VALUE(MID(N2218,FIND("/",N2218)+1,FIND("/",N2218,FIND("/",N2218)+1)-FIND("/",N2218)-1)),VALUE(LEFT(N2218,FIND("/",N2218)-1))),0)</f>
        <v>0</v>
      </c>
    </row>
    <row r="2219" customFormat="false" ht="15" hidden="false" customHeight="false" outlineLevel="0" collapsed="false">
      <c r="N2219" s="0" t="str">
        <f aca="false">IF(H2219="","",IFERROR(LEFT(H2219,FIND(" ",H2219)-1),H2219))</f>
        <v/>
      </c>
      <c r="O2219" s="20" t="n">
        <f aca="false">IFERROR(DATE(VALUE(MID(N2219,FIND("/",N2219,FIND("/",N2219)+1)+1,4)),VALUE(MID(N2219,FIND("/",N2219)+1,FIND("/",N2219,FIND("/",N2219)+1)-FIND("/",N2219)-1)),VALUE(LEFT(N2219,FIND("/",N2219)-1))),0)</f>
        <v>0</v>
      </c>
    </row>
    <row r="2220" customFormat="false" ht="15" hidden="false" customHeight="false" outlineLevel="0" collapsed="false">
      <c r="N2220" s="0" t="str">
        <f aca="false">IF(H2220="","",IFERROR(LEFT(H2220,FIND(" ",H2220)-1),H2220))</f>
        <v/>
      </c>
      <c r="O2220" s="20" t="n">
        <f aca="false">IFERROR(DATE(VALUE(MID(N2220,FIND("/",N2220,FIND("/",N2220)+1)+1,4)),VALUE(MID(N2220,FIND("/",N2220)+1,FIND("/",N2220,FIND("/",N2220)+1)-FIND("/",N2220)-1)),VALUE(LEFT(N2220,FIND("/",N2220)-1))),0)</f>
        <v>0</v>
      </c>
    </row>
    <row r="2221" customFormat="false" ht="15" hidden="false" customHeight="false" outlineLevel="0" collapsed="false">
      <c r="N2221" s="0" t="str">
        <f aca="false">IF(H2221="","",IFERROR(LEFT(H2221,FIND(" ",H2221)-1),H2221))</f>
        <v/>
      </c>
      <c r="O2221" s="20" t="n">
        <f aca="false">IFERROR(DATE(VALUE(MID(N2221,FIND("/",N2221,FIND("/",N2221)+1)+1,4)),VALUE(MID(N2221,FIND("/",N2221)+1,FIND("/",N2221,FIND("/",N2221)+1)-FIND("/",N2221)-1)),VALUE(LEFT(N2221,FIND("/",N2221)-1))),0)</f>
        <v>0</v>
      </c>
    </row>
    <row r="2222" customFormat="false" ht="15" hidden="false" customHeight="false" outlineLevel="0" collapsed="false">
      <c r="N2222" s="0" t="str">
        <f aca="false">IF(H2222="","",IFERROR(LEFT(H2222,FIND(" ",H2222)-1),H2222))</f>
        <v/>
      </c>
      <c r="O2222" s="20" t="n">
        <f aca="false">IFERROR(DATE(VALUE(MID(N2222,FIND("/",N2222,FIND("/",N2222)+1)+1,4)),VALUE(MID(N2222,FIND("/",N2222)+1,FIND("/",N2222,FIND("/",N2222)+1)-FIND("/",N2222)-1)),VALUE(LEFT(N2222,FIND("/",N2222)-1))),0)</f>
        <v>0</v>
      </c>
    </row>
    <row r="2223" customFormat="false" ht="15" hidden="false" customHeight="false" outlineLevel="0" collapsed="false">
      <c r="N2223" s="0" t="str">
        <f aca="false">IF(H2223="","",IFERROR(LEFT(H2223,FIND(" ",H2223)-1),H2223))</f>
        <v/>
      </c>
      <c r="O2223" s="20" t="n">
        <f aca="false">IFERROR(DATE(VALUE(MID(N2223,FIND("/",N2223,FIND("/",N2223)+1)+1,4)),VALUE(MID(N2223,FIND("/",N2223)+1,FIND("/",N2223,FIND("/",N2223)+1)-FIND("/",N2223)-1)),VALUE(LEFT(N2223,FIND("/",N2223)-1))),0)</f>
        <v>0</v>
      </c>
    </row>
    <row r="2224" customFormat="false" ht="15" hidden="false" customHeight="false" outlineLevel="0" collapsed="false">
      <c r="N2224" s="0" t="str">
        <f aca="false">IF(H2224="","",IFERROR(LEFT(H2224,FIND(" ",H2224)-1),H2224))</f>
        <v/>
      </c>
      <c r="O2224" s="20" t="n">
        <f aca="false">IFERROR(DATE(VALUE(MID(N2224,FIND("/",N2224,FIND("/",N2224)+1)+1,4)),VALUE(MID(N2224,FIND("/",N2224)+1,FIND("/",N2224,FIND("/",N2224)+1)-FIND("/",N2224)-1)),VALUE(LEFT(N2224,FIND("/",N2224)-1))),0)</f>
        <v>0</v>
      </c>
    </row>
    <row r="2225" customFormat="false" ht="15" hidden="false" customHeight="false" outlineLevel="0" collapsed="false">
      <c r="N2225" s="0" t="str">
        <f aca="false">IF(H2225="","",IFERROR(LEFT(H2225,FIND(" ",H2225)-1),H2225))</f>
        <v/>
      </c>
      <c r="O2225" s="20" t="n">
        <f aca="false">IFERROR(DATE(VALUE(MID(N2225,FIND("/",N2225,FIND("/",N2225)+1)+1,4)),VALUE(MID(N2225,FIND("/",N2225)+1,FIND("/",N2225,FIND("/",N2225)+1)-FIND("/",N2225)-1)),VALUE(LEFT(N2225,FIND("/",N2225)-1))),0)</f>
        <v>0</v>
      </c>
    </row>
    <row r="2226" customFormat="false" ht="15" hidden="false" customHeight="false" outlineLevel="0" collapsed="false">
      <c r="N2226" s="0" t="str">
        <f aca="false">IF(H2226="","",IFERROR(LEFT(H2226,FIND(" ",H2226)-1),H2226))</f>
        <v/>
      </c>
      <c r="O2226" s="20" t="n">
        <f aca="false">IFERROR(DATE(VALUE(MID(N2226,FIND("/",N2226,FIND("/",N2226)+1)+1,4)),VALUE(MID(N2226,FIND("/",N2226)+1,FIND("/",N2226,FIND("/",N2226)+1)-FIND("/",N2226)-1)),VALUE(LEFT(N2226,FIND("/",N2226)-1))),0)</f>
        <v>0</v>
      </c>
    </row>
    <row r="2227" customFormat="false" ht="15" hidden="false" customHeight="false" outlineLevel="0" collapsed="false">
      <c r="N2227" s="0" t="str">
        <f aca="false">IF(H2227="","",IFERROR(LEFT(H2227,FIND(" ",H2227)-1),H2227))</f>
        <v/>
      </c>
      <c r="O2227" s="20" t="n">
        <f aca="false">IFERROR(DATE(VALUE(MID(N2227,FIND("/",N2227,FIND("/",N2227)+1)+1,4)),VALUE(MID(N2227,FIND("/",N2227)+1,FIND("/",N2227,FIND("/",N2227)+1)-FIND("/",N2227)-1)),VALUE(LEFT(N2227,FIND("/",N2227)-1))),0)</f>
        <v>0</v>
      </c>
    </row>
    <row r="2228" customFormat="false" ht="15" hidden="false" customHeight="false" outlineLevel="0" collapsed="false">
      <c r="N2228" s="0" t="str">
        <f aca="false">IF(H2228="","",IFERROR(LEFT(H2228,FIND(" ",H2228)-1),H2228))</f>
        <v/>
      </c>
      <c r="O2228" s="20" t="n">
        <f aca="false">IFERROR(DATE(VALUE(MID(N2228,FIND("/",N2228,FIND("/",N2228)+1)+1,4)),VALUE(MID(N2228,FIND("/",N2228)+1,FIND("/",N2228,FIND("/",N2228)+1)-FIND("/",N2228)-1)),VALUE(LEFT(N2228,FIND("/",N2228)-1))),0)</f>
        <v>0</v>
      </c>
    </row>
    <row r="2229" customFormat="false" ht="15" hidden="false" customHeight="false" outlineLevel="0" collapsed="false">
      <c r="N2229" s="0" t="str">
        <f aca="false">IF(H2229="","",IFERROR(LEFT(H2229,FIND(" ",H2229)-1),H2229))</f>
        <v/>
      </c>
      <c r="O2229" s="20" t="n">
        <f aca="false">IFERROR(DATE(VALUE(MID(N2229,FIND("/",N2229,FIND("/",N2229)+1)+1,4)),VALUE(MID(N2229,FIND("/",N2229)+1,FIND("/",N2229,FIND("/",N2229)+1)-FIND("/",N2229)-1)),VALUE(LEFT(N2229,FIND("/",N2229)-1))),0)</f>
        <v>0</v>
      </c>
    </row>
    <row r="2230" customFormat="false" ht="15" hidden="false" customHeight="false" outlineLevel="0" collapsed="false">
      <c r="N2230" s="0" t="str">
        <f aca="false">IF(H2230="","",IFERROR(LEFT(H2230,FIND(" ",H2230)-1),H2230))</f>
        <v/>
      </c>
      <c r="O2230" s="20" t="n">
        <f aca="false">IFERROR(DATE(VALUE(MID(N2230,FIND("/",N2230,FIND("/",N2230)+1)+1,4)),VALUE(MID(N2230,FIND("/",N2230)+1,FIND("/",N2230,FIND("/",N2230)+1)-FIND("/",N2230)-1)),VALUE(LEFT(N2230,FIND("/",N2230)-1))),0)</f>
        <v>0</v>
      </c>
    </row>
    <row r="2231" customFormat="false" ht="15" hidden="false" customHeight="false" outlineLevel="0" collapsed="false">
      <c r="N2231" s="0" t="str">
        <f aca="false">IF(H2231="","",IFERROR(LEFT(H2231,FIND(" ",H2231)-1),H2231))</f>
        <v/>
      </c>
      <c r="O2231" s="20" t="n">
        <f aca="false">IFERROR(DATE(VALUE(MID(N2231,FIND("/",N2231,FIND("/",N2231)+1)+1,4)),VALUE(MID(N2231,FIND("/",N2231)+1,FIND("/",N2231,FIND("/",N2231)+1)-FIND("/",N2231)-1)),VALUE(LEFT(N2231,FIND("/",N2231)-1))),0)</f>
        <v>0</v>
      </c>
    </row>
    <row r="2232" customFormat="false" ht="15" hidden="false" customHeight="false" outlineLevel="0" collapsed="false">
      <c r="N2232" s="0" t="str">
        <f aca="false">IF(H2232="","",IFERROR(LEFT(H2232,FIND(" ",H2232)-1),H2232))</f>
        <v/>
      </c>
      <c r="O2232" s="20" t="n">
        <f aca="false">IFERROR(DATE(VALUE(MID(N2232,FIND("/",N2232,FIND("/",N2232)+1)+1,4)),VALUE(MID(N2232,FIND("/",N2232)+1,FIND("/",N2232,FIND("/",N2232)+1)-FIND("/",N2232)-1)),VALUE(LEFT(N2232,FIND("/",N2232)-1))),0)</f>
        <v>0</v>
      </c>
    </row>
    <row r="2233" customFormat="false" ht="15" hidden="false" customHeight="false" outlineLevel="0" collapsed="false">
      <c r="N2233" s="0" t="str">
        <f aca="false">IF(H2233="","",IFERROR(LEFT(H2233,FIND(" ",H2233)-1),H2233))</f>
        <v/>
      </c>
      <c r="O2233" s="20" t="n">
        <f aca="false">IFERROR(DATE(VALUE(MID(N2233,FIND("/",N2233,FIND("/",N2233)+1)+1,4)),VALUE(MID(N2233,FIND("/",N2233)+1,FIND("/",N2233,FIND("/",N2233)+1)-FIND("/",N2233)-1)),VALUE(LEFT(N2233,FIND("/",N2233)-1))),0)</f>
        <v>0</v>
      </c>
    </row>
    <row r="2234" customFormat="false" ht="15" hidden="false" customHeight="false" outlineLevel="0" collapsed="false">
      <c r="N2234" s="0" t="str">
        <f aca="false">IF(H2234="","",IFERROR(LEFT(H2234,FIND(" ",H2234)-1),H2234))</f>
        <v/>
      </c>
      <c r="O2234" s="20" t="n">
        <f aca="false">IFERROR(DATE(VALUE(MID(N2234,FIND("/",N2234,FIND("/",N2234)+1)+1,4)),VALUE(MID(N2234,FIND("/",N2234)+1,FIND("/",N2234,FIND("/",N2234)+1)-FIND("/",N2234)-1)),VALUE(LEFT(N2234,FIND("/",N2234)-1))),0)</f>
        <v>0</v>
      </c>
    </row>
    <row r="2235" customFormat="false" ht="15" hidden="false" customHeight="false" outlineLevel="0" collapsed="false">
      <c r="N2235" s="0" t="str">
        <f aca="false">IF(H2235="","",IFERROR(LEFT(H2235,FIND(" ",H2235)-1),H2235))</f>
        <v/>
      </c>
      <c r="O2235" s="20" t="n">
        <f aca="false">IFERROR(DATE(VALUE(MID(N2235,FIND("/",N2235,FIND("/",N2235)+1)+1,4)),VALUE(MID(N2235,FIND("/",N2235)+1,FIND("/",N2235,FIND("/",N2235)+1)-FIND("/",N2235)-1)),VALUE(LEFT(N2235,FIND("/",N2235)-1))),0)</f>
        <v>0</v>
      </c>
    </row>
    <row r="2236" customFormat="false" ht="15" hidden="false" customHeight="false" outlineLevel="0" collapsed="false">
      <c r="N2236" s="0" t="str">
        <f aca="false">IF(H2236="","",IFERROR(LEFT(H2236,FIND(" ",H2236)-1),H2236))</f>
        <v/>
      </c>
      <c r="O2236" s="20" t="n">
        <f aca="false">IFERROR(DATE(VALUE(MID(N2236,FIND("/",N2236,FIND("/",N2236)+1)+1,4)),VALUE(MID(N2236,FIND("/",N2236)+1,FIND("/",N2236,FIND("/",N2236)+1)-FIND("/",N2236)-1)),VALUE(LEFT(N2236,FIND("/",N2236)-1))),0)</f>
        <v>0</v>
      </c>
    </row>
    <row r="2237" customFormat="false" ht="15" hidden="false" customHeight="false" outlineLevel="0" collapsed="false">
      <c r="N2237" s="0" t="str">
        <f aca="false">IF(H2237="","",IFERROR(LEFT(H2237,FIND(" ",H2237)-1),H2237))</f>
        <v/>
      </c>
      <c r="O2237" s="20" t="n">
        <f aca="false">IFERROR(DATE(VALUE(MID(N2237,FIND("/",N2237,FIND("/",N2237)+1)+1,4)),VALUE(MID(N2237,FIND("/",N2237)+1,FIND("/",N2237,FIND("/",N2237)+1)-FIND("/",N2237)-1)),VALUE(LEFT(N2237,FIND("/",N2237)-1))),0)</f>
        <v>0</v>
      </c>
    </row>
    <row r="2238" customFormat="false" ht="15" hidden="false" customHeight="false" outlineLevel="0" collapsed="false">
      <c r="N2238" s="0" t="str">
        <f aca="false">IF(H2238="","",IFERROR(LEFT(H2238,FIND(" ",H2238)-1),H2238))</f>
        <v/>
      </c>
      <c r="O2238" s="20" t="n">
        <f aca="false">IFERROR(DATE(VALUE(MID(N2238,FIND("/",N2238,FIND("/",N2238)+1)+1,4)),VALUE(MID(N2238,FIND("/",N2238)+1,FIND("/",N2238,FIND("/",N2238)+1)-FIND("/",N2238)-1)),VALUE(LEFT(N2238,FIND("/",N2238)-1))),0)</f>
        <v>0</v>
      </c>
    </row>
    <row r="2239" customFormat="false" ht="15" hidden="false" customHeight="false" outlineLevel="0" collapsed="false">
      <c r="N2239" s="0" t="str">
        <f aca="false">IF(H2239="","",IFERROR(LEFT(H2239,FIND(" ",H2239)-1),H2239))</f>
        <v/>
      </c>
      <c r="O2239" s="20" t="n">
        <f aca="false">IFERROR(DATE(VALUE(MID(N2239,FIND("/",N2239,FIND("/",N2239)+1)+1,4)),VALUE(MID(N2239,FIND("/",N2239)+1,FIND("/",N2239,FIND("/",N2239)+1)-FIND("/",N2239)-1)),VALUE(LEFT(N2239,FIND("/",N2239)-1))),0)</f>
        <v>0</v>
      </c>
    </row>
    <row r="2240" customFormat="false" ht="15" hidden="false" customHeight="false" outlineLevel="0" collapsed="false">
      <c r="N2240" s="0" t="str">
        <f aca="false">IF(H2240="","",IFERROR(LEFT(H2240,FIND(" ",H2240)-1),H2240))</f>
        <v/>
      </c>
      <c r="O2240" s="20" t="n">
        <f aca="false">IFERROR(DATE(VALUE(MID(N2240,FIND("/",N2240,FIND("/",N2240)+1)+1,4)),VALUE(MID(N2240,FIND("/",N2240)+1,FIND("/",N2240,FIND("/",N2240)+1)-FIND("/",N2240)-1)),VALUE(LEFT(N2240,FIND("/",N2240)-1))),0)</f>
        <v>0</v>
      </c>
    </row>
    <row r="2241" customFormat="false" ht="15" hidden="false" customHeight="false" outlineLevel="0" collapsed="false">
      <c r="N2241" s="0" t="str">
        <f aca="false">IF(H2241="","",IFERROR(LEFT(H2241,FIND(" ",H2241)-1),H2241))</f>
        <v/>
      </c>
      <c r="O2241" s="20" t="n">
        <f aca="false">IFERROR(DATE(VALUE(MID(N2241,FIND("/",N2241,FIND("/",N2241)+1)+1,4)),VALUE(MID(N2241,FIND("/",N2241)+1,FIND("/",N2241,FIND("/",N2241)+1)-FIND("/",N2241)-1)),VALUE(LEFT(N2241,FIND("/",N2241)-1))),0)</f>
        <v>0</v>
      </c>
    </row>
    <row r="2242" customFormat="false" ht="15" hidden="false" customHeight="false" outlineLevel="0" collapsed="false">
      <c r="N2242" s="0" t="str">
        <f aca="false">IF(H2242="","",IFERROR(LEFT(H2242,FIND(" ",H2242)-1),H2242))</f>
        <v/>
      </c>
      <c r="O2242" s="20" t="n">
        <f aca="false">IFERROR(DATE(VALUE(MID(N2242,FIND("/",N2242,FIND("/",N2242)+1)+1,4)),VALUE(MID(N2242,FIND("/",N2242)+1,FIND("/",N2242,FIND("/",N2242)+1)-FIND("/",N2242)-1)),VALUE(LEFT(N2242,FIND("/",N2242)-1))),0)</f>
        <v>0</v>
      </c>
    </row>
    <row r="2243" customFormat="false" ht="15" hidden="false" customHeight="false" outlineLevel="0" collapsed="false">
      <c r="N2243" s="0" t="str">
        <f aca="false">IF(H2243="","",IFERROR(LEFT(H2243,FIND(" ",H2243)-1),H2243))</f>
        <v/>
      </c>
      <c r="O2243" s="20" t="n">
        <f aca="false">IFERROR(DATE(VALUE(MID(N2243,FIND("/",N2243,FIND("/",N2243)+1)+1,4)),VALUE(MID(N2243,FIND("/",N2243)+1,FIND("/",N2243,FIND("/",N2243)+1)-FIND("/",N2243)-1)),VALUE(LEFT(N2243,FIND("/",N2243)-1))),0)</f>
        <v>0</v>
      </c>
    </row>
    <row r="2244" customFormat="false" ht="15" hidden="false" customHeight="false" outlineLevel="0" collapsed="false">
      <c r="N2244" s="0" t="str">
        <f aca="false">IF(H2244="","",IFERROR(LEFT(H2244,FIND(" ",H2244)-1),H2244))</f>
        <v/>
      </c>
      <c r="O2244" s="20" t="n">
        <f aca="false">IFERROR(DATE(VALUE(MID(N2244,FIND("/",N2244,FIND("/",N2244)+1)+1,4)),VALUE(MID(N2244,FIND("/",N2244)+1,FIND("/",N2244,FIND("/",N2244)+1)-FIND("/",N2244)-1)),VALUE(LEFT(N2244,FIND("/",N2244)-1))),0)</f>
        <v>0</v>
      </c>
    </row>
    <row r="2245" customFormat="false" ht="15" hidden="false" customHeight="false" outlineLevel="0" collapsed="false">
      <c r="N2245" s="0" t="str">
        <f aca="false">IF(H2245="","",IFERROR(LEFT(H2245,FIND(" ",H2245)-1),H2245))</f>
        <v/>
      </c>
      <c r="O2245" s="20" t="n">
        <f aca="false">IFERROR(DATE(VALUE(MID(N2245,FIND("/",N2245,FIND("/",N2245)+1)+1,4)),VALUE(MID(N2245,FIND("/",N2245)+1,FIND("/",N2245,FIND("/",N2245)+1)-FIND("/",N2245)-1)),VALUE(LEFT(N2245,FIND("/",N2245)-1))),0)</f>
        <v>0</v>
      </c>
    </row>
    <row r="2246" customFormat="false" ht="15" hidden="false" customHeight="false" outlineLevel="0" collapsed="false">
      <c r="N2246" s="0" t="str">
        <f aca="false">IF(H2246="","",IFERROR(LEFT(H2246,FIND(" ",H2246)-1),H2246))</f>
        <v/>
      </c>
      <c r="O2246" s="20" t="n">
        <f aca="false">IFERROR(DATE(VALUE(MID(N2246,FIND("/",N2246,FIND("/",N2246)+1)+1,4)),VALUE(MID(N2246,FIND("/",N2246)+1,FIND("/",N2246,FIND("/",N2246)+1)-FIND("/",N2246)-1)),VALUE(LEFT(N2246,FIND("/",N2246)-1))),0)</f>
        <v>0</v>
      </c>
    </row>
    <row r="2247" customFormat="false" ht="15" hidden="false" customHeight="false" outlineLevel="0" collapsed="false">
      <c r="N2247" s="0" t="str">
        <f aca="false">IF(H2247="","",IFERROR(LEFT(H2247,FIND(" ",H2247)-1),H2247))</f>
        <v/>
      </c>
      <c r="O2247" s="20" t="n">
        <f aca="false">IFERROR(DATE(VALUE(MID(N2247,FIND("/",N2247,FIND("/",N2247)+1)+1,4)),VALUE(MID(N2247,FIND("/",N2247)+1,FIND("/",N2247,FIND("/",N2247)+1)-FIND("/",N2247)-1)),VALUE(LEFT(N2247,FIND("/",N2247)-1))),0)</f>
        <v>0</v>
      </c>
    </row>
    <row r="2248" customFormat="false" ht="15" hidden="false" customHeight="false" outlineLevel="0" collapsed="false">
      <c r="N2248" s="0" t="str">
        <f aca="false">IF(H2248="","",IFERROR(LEFT(H2248,FIND(" ",H2248)-1),H2248))</f>
        <v/>
      </c>
      <c r="O2248" s="20" t="n">
        <f aca="false">IFERROR(DATE(VALUE(MID(N2248,FIND("/",N2248,FIND("/",N2248)+1)+1,4)),VALUE(MID(N2248,FIND("/",N2248)+1,FIND("/",N2248,FIND("/",N2248)+1)-FIND("/",N2248)-1)),VALUE(LEFT(N2248,FIND("/",N2248)-1))),0)</f>
        <v>0</v>
      </c>
    </row>
    <row r="2249" customFormat="false" ht="15" hidden="false" customHeight="false" outlineLevel="0" collapsed="false">
      <c r="N2249" s="0" t="str">
        <f aca="false">IF(H2249="","",IFERROR(LEFT(H2249,FIND(" ",H2249)-1),H2249))</f>
        <v/>
      </c>
      <c r="O2249" s="20" t="n">
        <f aca="false">IFERROR(DATE(VALUE(MID(N2249,FIND("/",N2249,FIND("/",N2249)+1)+1,4)),VALUE(MID(N2249,FIND("/",N2249)+1,FIND("/",N2249,FIND("/",N2249)+1)-FIND("/",N2249)-1)),VALUE(LEFT(N2249,FIND("/",N2249)-1))),0)</f>
        <v>0</v>
      </c>
    </row>
    <row r="2250" customFormat="false" ht="15" hidden="false" customHeight="false" outlineLevel="0" collapsed="false">
      <c r="N2250" s="0" t="str">
        <f aca="false">IF(H2250="","",IFERROR(LEFT(H2250,FIND(" ",H2250)-1),H2250))</f>
        <v/>
      </c>
      <c r="O2250" s="20" t="n">
        <f aca="false">IFERROR(DATE(VALUE(MID(N2250,FIND("/",N2250,FIND("/",N2250)+1)+1,4)),VALUE(MID(N2250,FIND("/",N2250)+1,FIND("/",N2250,FIND("/",N2250)+1)-FIND("/",N2250)-1)),VALUE(LEFT(N2250,FIND("/",N2250)-1))),0)</f>
        <v>0</v>
      </c>
    </row>
    <row r="2251" customFormat="false" ht="15" hidden="false" customHeight="false" outlineLevel="0" collapsed="false">
      <c r="N2251" s="0" t="str">
        <f aca="false">IF(H2251="","",IFERROR(LEFT(H2251,FIND(" ",H2251)-1),H2251))</f>
        <v/>
      </c>
      <c r="O2251" s="20" t="n">
        <f aca="false">IFERROR(DATE(VALUE(MID(N2251,FIND("/",N2251,FIND("/",N2251)+1)+1,4)),VALUE(MID(N2251,FIND("/",N2251)+1,FIND("/",N2251,FIND("/",N2251)+1)-FIND("/",N2251)-1)),VALUE(LEFT(N2251,FIND("/",N2251)-1))),0)</f>
        <v>0</v>
      </c>
    </row>
    <row r="2252" customFormat="false" ht="15" hidden="false" customHeight="false" outlineLevel="0" collapsed="false">
      <c r="N2252" s="0" t="str">
        <f aca="false">IF(H2252="","",IFERROR(LEFT(H2252,FIND(" ",H2252)-1),H2252))</f>
        <v/>
      </c>
      <c r="O2252" s="20" t="n">
        <f aca="false">IFERROR(DATE(VALUE(MID(N2252,FIND("/",N2252,FIND("/",N2252)+1)+1,4)),VALUE(MID(N2252,FIND("/",N2252)+1,FIND("/",N2252,FIND("/",N2252)+1)-FIND("/",N2252)-1)),VALUE(LEFT(N2252,FIND("/",N2252)-1))),0)</f>
        <v>0</v>
      </c>
    </row>
    <row r="2253" customFormat="false" ht="15" hidden="false" customHeight="false" outlineLevel="0" collapsed="false">
      <c r="N2253" s="0" t="str">
        <f aca="false">IF(H2253="","",IFERROR(LEFT(H2253,FIND(" ",H2253)-1),H2253))</f>
        <v/>
      </c>
      <c r="O2253" s="20" t="n">
        <f aca="false">IFERROR(DATE(VALUE(MID(N2253,FIND("/",N2253,FIND("/",N2253)+1)+1,4)),VALUE(MID(N2253,FIND("/",N2253)+1,FIND("/",N2253,FIND("/",N2253)+1)-FIND("/",N2253)-1)),VALUE(LEFT(N2253,FIND("/",N2253)-1))),0)</f>
        <v>0</v>
      </c>
    </row>
    <row r="2254" customFormat="false" ht="15" hidden="false" customHeight="false" outlineLevel="0" collapsed="false">
      <c r="N2254" s="0" t="str">
        <f aca="false">IF(H2254="","",IFERROR(LEFT(H2254,FIND(" ",H2254)-1),H2254))</f>
        <v/>
      </c>
      <c r="O2254" s="20" t="n">
        <f aca="false">IFERROR(DATE(VALUE(MID(N2254,FIND("/",N2254,FIND("/",N2254)+1)+1,4)),VALUE(MID(N2254,FIND("/",N2254)+1,FIND("/",N2254,FIND("/",N2254)+1)-FIND("/",N2254)-1)),VALUE(LEFT(N2254,FIND("/",N2254)-1))),0)</f>
        <v>0</v>
      </c>
    </row>
    <row r="2255" customFormat="false" ht="15" hidden="false" customHeight="false" outlineLevel="0" collapsed="false">
      <c r="N2255" s="0" t="str">
        <f aca="false">IF(H2255="","",IFERROR(LEFT(H2255,FIND(" ",H2255)-1),H2255))</f>
        <v/>
      </c>
      <c r="O2255" s="20" t="n">
        <f aca="false">IFERROR(DATE(VALUE(MID(N2255,FIND("/",N2255,FIND("/",N2255)+1)+1,4)),VALUE(MID(N2255,FIND("/",N2255)+1,FIND("/",N2255,FIND("/",N2255)+1)-FIND("/",N2255)-1)),VALUE(LEFT(N2255,FIND("/",N2255)-1))),0)</f>
        <v>0</v>
      </c>
    </row>
    <row r="2256" customFormat="false" ht="15" hidden="false" customHeight="false" outlineLevel="0" collapsed="false">
      <c r="N2256" s="0" t="str">
        <f aca="false">IF(H2256="","",IFERROR(LEFT(H2256,FIND(" ",H2256)-1),H2256))</f>
        <v/>
      </c>
      <c r="O2256" s="20" t="n">
        <f aca="false">IFERROR(DATE(VALUE(MID(N2256,FIND("/",N2256,FIND("/",N2256)+1)+1,4)),VALUE(MID(N2256,FIND("/",N2256)+1,FIND("/",N2256,FIND("/",N2256)+1)-FIND("/",N2256)-1)),VALUE(LEFT(N2256,FIND("/",N2256)-1))),0)</f>
        <v>0</v>
      </c>
    </row>
    <row r="2257" customFormat="false" ht="15" hidden="false" customHeight="false" outlineLevel="0" collapsed="false">
      <c r="N2257" s="0" t="str">
        <f aca="false">IF(H2257="","",IFERROR(LEFT(H2257,FIND(" ",H2257)-1),H2257))</f>
        <v/>
      </c>
      <c r="O2257" s="20" t="n">
        <f aca="false">IFERROR(DATE(VALUE(MID(N2257,FIND("/",N2257,FIND("/",N2257)+1)+1,4)),VALUE(MID(N2257,FIND("/",N2257)+1,FIND("/",N2257,FIND("/",N2257)+1)-FIND("/",N2257)-1)),VALUE(LEFT(N2257,FIND("/",N2257)-1))),0)</f>
        <v>0</v>
      </c>
    </row>
    <row r="2258" customFormat="false" ht="15" hidden="false" customHeight="false" outlineLevel="0" collapsed="false">
      <c r="N2258" s="0" t="str">
        <f aca="false">IF(H2258="","",IFERROR(LEFT(H2258,FIND(" ",H2258)-1),H2258))</f>
        <v/>
      </c>
      <c r="O2258" s="20" t="n">
        <f aca="false">IFERROR(DATE(VALUE(MID(N2258,FIND("/",N2258,FIND("/",N2258)+1)+1,4)),VALUE(MID(N2258,FIND("/",N2258)+1,FIND("/",N2258,FIND("/",N2258)+1)-FIND("/",N2258)-1)),VALUE(LEFT(N2258,FIND("/",N2258)-1))),0)</f>
        <v>0</v>
      </c>
    </row>
    <row r="2259" customFormat="false" ht="15" hidden="false" customHeight="false" outlineLevel="0" collapsed="false">
      <c r="N2259" s="0" t="str">
        <f aca="false">IF(H2259="","",IFERROR(LEFT(H2259,FIND(" ",H2259)-1),H2259))</f>
        <v/>
      </c>
      <c r="O2259" s="20" t="n">
        <f aca="false">IFERROR(DATE(VALUE(MID(N2259,FIND("/",N2259,FIND("/",N2259)+1)+1,4)),VALUE(MID(N2259,FIND("/",N2259)+1,FIND("/",N2259,FIND("/",N2259)+1)-FIND("/",N2259)-1)),VALUE(LEFT(N2259,FIND("/",N2259)-1))),0)</f>
        <v>0</v>
      </c>
    </row>
    <row r="2260" customFormat="false" ht="15" hidden="false" customHeight="false" outlineLevel="0" collapsed="false">
      <c r="N2260" s="0" t="str">
        <f aca="false">IF(H2260="","",IFERROR(LEFT(H2260,FIND(" ",H2260)-1),H2260))</f>
        <v/>
      </c>
      <c r="O2260" s="20" t="n">
        <f aca="false">IFERROR(DATE(VALUE(MID(N2260,FIND("/",N2260,FIND("/",N2260)+1)+1,4)),VALUE(MID(N2260,FIND("/",N2260)+1,FIND("/",N2260,FIND("/",N2260)+1)-FIND("/",N2260)-1)),VALUE(LEFT(N2260,FIND("/",N2260)-1))),0)</f>
        <v>0</v>
      </c>
    </row>
    <row r="2261" customFormat="false" ht="15" hidden="false" customHeight="false" outlineLevel="0" collapsed="false">
      <c r="N2261" s="0" t="str">
        <f aca="false">IF(H2261="","",IFERROR(LEFT(H2261,FIND(" ",H2261)-1),H2261))</f>
        <v/>
      </c>
      <c r="O2261" s="20" t="n">
        <f aca="false">IFERROR(DATE(VALUE(MID(N2261,FIND("/",N2261,FIND("/",N2261)+1)+1,4)),VALUE(MID(N2261,FIND("/",N2261)+1,FIND("/",N2261,FIND("/",N2261)+1)-FIND("/",N2261)-1)),VALUE(LEFT(N2261,FIND("/",N2261)-1))),0)</f>
        <v>0</v>
      </c>
    </row>
    <row r="2262" customFormat="false" ht="15" hidden="false" customHeight="false" outlineLevel="0" collapsed="false">
      <c r="N2262" s="0" t="str">
        <f aca="false">IF(H2262="","",IFERROR(LEFT(H2262,FIND(" ",H2262)-1),H2262))</f>
        <v/>
      </c>
      <c r="O2262" s="20" t="n">
        <f aca="false">IFERROR(DATE(VALUE(MID(N2262,FIND("/",N2262,FIND("/",N2262)+1)+1,4)),VALUE(MID(N2262,FIND("/",N2262)+1,FIND("/",N2262,FIND("/",N2262)+1)-FIND("/",N2262)-1)),VALUE(LEFT(N2262,FIND("/",N2262)-1))),0)</f>
        <v>0</v>
      </c>
    </row>
    <row r="2263" customFormat="false" ht="15" hidden="false" customHeight="false" outlineLevel="0" collapsed="false">
      <c r="N2263" s="0" t="str">
        <f aca="false">IF(H2263="","",IFERROR(LEFT(H2263,FIND(" ",H2263)-1),H2263))</f>
        <v/>
      </c>
      <c r="O2263" s="20" t="n">
        <f aca="false">IFERROR(DATE(VALUE(MID(N2263,FIND("/",N2263,FIND("/",N2263)+1)+1,4)),VALUE(MID(N2263,FIND("/",N2263)+1,FIND("/",N2263,FIND("/",N2263)+1)-FIND("/",N2263)-1)),VALUE(LEFT(N2263,FIND("/",N2263)-1))),0)</f>
        <v>0</v>
      </c>
    </row>
    <row r="2264" customFormat="false" ht="15" hidden="false" customHeight="false" outlineLevel="0" collapsed="false">
      <c r="N2264" s="0" t="str">
        <f aca="false">IF(H2264="","",IFERROR(LEFT(H2264,FIND(" ",H2264)-1),H2264))</f>
        <v/>
      </c>
      <c r="O2264" s="20" t="n">
        <f aca="false">IFERROR(DATE(VALUE(MID(N2264,FIND("/",N2264,FIND("/",N2264)+1)+1,4)),VALUE(MID(N2264,FIND("/",N2264)+1,FIND("/",N2264,FIND("/",N2264)+1)-FIND("/",N2264)-1)),VALUE(LEFT(N2264,FIND("/",N2264)-1))),0)</f>
        <v>0</v>
      </c>
    </row>
    <row r="2265" customFormat="false" ht="15" hidden="false" customHeight="false" outlineLevel="0" collapsed="false">
      <c r="N2265" s="0" t="str">
        <f aca="false">IF(H2265="","",IFERROR(LEFT(H2265,FIND(" ",H2265)-1),H2265))</f>
        <v/>
      </c>
      <c r="O2265" s="20" t="n">
        <f aca="false">IFERROR(DATE(VALUE(MID(N2265,FIND("/",N2265,FIND("/",N2265)+1)+1,4)),VALUE(MID(N2265,FIND("/",N2265)+1,FIND("/",N2265,FIND("/",N2265)+1)-FIND("/",N2265)-1)),VALUE(LEFT(N2265,FIND("/",N2265)-1))),0)</f>
        <v>0</v>
      </c>
    </row>
    <row r="2266" customFormat="false" ht="15" hidden="false" customHeight="false" outlineLevel="0" collapsed="false">
      <c r="N2266" s="0" t="str">
        <f aca="false">IF(H2266="","",IFERROR(LEFT(H2266,FIND(" ",H2266)-1),H2266))</f>
        <v/>
      </c>
      <c r="O2266" s="20" t="n">
        <f aca="false">IFERROR(DATE(VALUE(MID(N2266,FIND("/",N2266,FIND("/",N2266)+1)+1,4)),VALUE(MID(N2266,FIND("/",N2266)+1,FIND("/",N2266,FIND("/",N2266)+1)-FIND("/",N2266)-1)),VALUE(LEFT(N2266,FIND("/",N2266)-1))),0)</f>
        <v>0</v>
      </c>
    </row>
    <row r="2267" customFormat="false" ht="15" hidden="false" customHeight="false" outlineLevel="0" collapsed="false">
      <c r="N2267" s="0" t="str">
        <f aca="false">IF(H2267="","",IFERROR(LEFT(H2267,FIND(" ",H2267)-1),H2267))</f>
        <v/>
      </c>
      <c r="O2267" s="20" t="n">
        <f aca="false">IFERROR(DATE(VALUE(MID(N2267,FIND("/",N2267,FIND("/",N2267)+1)+1,4)),VALUE(MID(N2267,FIND("/",N2267)+1,FIND("/",N2267,FIND("/",N2267)+1)-FIND("/",N2267)-1)),VALUE(LEFT(N2267,FIND("/",N2267)-1))),0)</f>
        <v>0</v>
      </c>
    </row>
    <row r="2268" customFormat="false" ht="15" hidden="false" customHeight="false" outlineLevel="0" collapsed="false">
      <c r="N2268" s="0" t="str">
        <f aca="false">IF(H2268="","",IFERROR(LEFT(H2268,FIND(" ",H2268)-1),H2268))</f>
        <v/>
      </c>
      <c r="O2268" s="20" t="n">
        <f aca="false">IFERROR(DATE(VALUE(MID(N2268,FIND("/",N2268,FIND("/",N2268)+1)+1,4)),VALUE(MID(N2268,FIND("/",N2268)+1,FIND("/",N2268,FIND("/",N2268)+1)-FIND("/",N2268)-1)),VALUE(LEFT(N2268,FIND("/",N2268)-1))),0)</f>
        <v>0</v>
      </c>
    </row>
    <row r="2269" customFormat="false" ht="15" hidden="false" customHeight="false" outlineLevel="0" collapsed="false">
      <c r="N2269" s="0" t="str">
        <f aca="false">IF(H2269="","",IFERROR(LEFT(H2269,FIND(" ",H2269)-1),H2269))</f>
        <v/>
      </c>
      <c r="O2269" s="20" t="n">
        <f aca="false">IFERROR(DATE(VALUE(MID(N2269,FIND("/",N2269,FIND("/",N2269)+1)+1,4)),VALUE(MID(N2269,FIND("/",N2269)+1,FIND("/",N2269,FIND("/",N2269)+1)-FIND("/",N2269)-1)),VALUE(LEFT(N2269,FIND("/",N2269)-1))),0)</f>
        <v>0</v>
      </c>
    </row>
    <row r="2270" customFormat="false" ht="15" hidden="false" customHeight="false" outlineLevel="0" collapsed="false">
      <c r="N2270" s="0" t="str">
        <f aca="false">IF(H2270="","",IFERROR(LEFT(H2270,FIND(" ",H2270)-1),H2270))</f>
        <v/>
      </c>
      <c r="O2270" s="20" t="n">
        <f aca="false">IFERROR(DATE(VALUE(MID(N2270,FIND("/",N2270,FIND("/",N2270)+1)+1,4)),VALUE(MID(N2270,FIND("/",N2270)+1,FIND("/",N2270,FIND("/",N2270)+1)-FIND("/",N2270)-1)),VALUE(LEFT(N2270,FIND("/",N2270)-1))),0)</f>
        <v>0</v>
      </c>
    </row>
    <row r="2271" customFormat="false" ht="15" hidden="false" customHeight="false" outlineLevel="0" collapsed="false">
      <c r="N2271" s="0" t="str">
        <f aca="false">IF(H2271="","",IFERROR(LEFT(H2271,FIND(" ",H2271)-1),H2271))</f>
        <v/>
      </c>
      <c r="O2271" s="20" t="n">
        <f aca="false">IFERROR(DATE(VALUE(MID(N2271,FIND("/",N2271,FIND("/",N2271)+1)+1,4)),VALUE(MID(N2271,FIND("/",N2271)+1,FIND("/",N2271,FIND("/",N2271)+1)-FIND("/",N2271)-1)),VALUE(LEFT(N2271,FIND("/",N2271)-1))),0)</f>
        <v>0</v>
      </c>
    </row>
    <row r="2272" customFormat="false" ht="15" hidden="false" customHeight="false" outlineLevel="0" collapsed="false">
      <c r="N2272" s="0" t="str">
        <f aca="false">IF(H2272="","",IFERROR(LEFT(H2272,FIND(" ",H2272)-1),H2272))</f>
        <v/>
      </c>
      <c r="O2272" s="20" t="n">
        <f aca="false">IFERROR(DATE(VALUE(MID(N2272,FIND("/",N2272,FIND("/",N2272)+1)+1,4)),VALUE(MID(N2272,FIND("/",N2272)+1,FIND("/",N2272,FIND("/",N2272)+1)-FIND("/",N2272)-1)),VALUE(LEFT(N2272,FIND("/",N2272)-1))),0)</f>
        <v>0</v>
      </c>
    </row>
    <row r="2273" customFormat="false" ht="15" hidden="false" customHeight="false" outlineLevel="0" collapsed="false">
      <c r="N2273" s="0" t="str">
        <f aca="false">IF(H2273="","",IFERROR(LEFT(H2273,FIND(" ",H2273)-1),H2273))</f>
        <v/>
      </c>
      <c r="O2273" s="20" t="n">
        <f aca="false">IFERROR(DATE(VALUE(MID(N2273,FIND("/",N2273,FIND("/",N2273)+1)+1,4)),VALUE(MID(N2273,FIND("/",N2273)+1,FIND("/",N2273,FIND("/",N2273)+1)-FIND("/",N2273)-1)),VALUE(LEFT(N2273,FIND("/",N2273)-1))),0)</f>
        <v>0</v>
      </c>
    </row>
    <row r="2274" customFormat="false" ht="15" hidden="false" customHeight="false" outlineLevel="0" collapsed="false">
      <c r="N2274" s="0" t="str">
        <f aca="false">IF(H2274="","",IFERROR(LEFT(H2274,FIND(" ",H2274)-1),H2274))</f>
        <v/>
      </c>
      <c r="O2274" s="20" t="n">
        <f aca="false">IFERROR(DATE(VALUE(MID(N2274,FIND("/",N2274,FIND("/",N2274)+1)+1,4)),VALUE(MID(N2274,FIND("/",N2274)+1,FIND("/",N2274,FIND("/",N2274)+1)-FIND("/",N2274)-1)),VALUE(LEFT(N2274,FIND("/",N2274)-1))),0)</f>
        <v>0</v>
      </c>
    </row>
    <row r="2275" customFormat="false" ht="15" hidden="false" customHeight="false" outlineLevel="0" collapsed="false">
      <c r="N2275" s="0" t="str">
        <f aca="false">IF(H2275="","",IFERROR(LEFT(H2275,FIND(" ",H2275)-1),H2275))</f>
        <v/>
      </c>
      <c r="O2275" s="20" t="n">
        <f aca="false">IFERROR(DATE(VALUE(MID(N2275,FIND("/",N2275,FIND("/",N2275)+1)+1,4)),VALUE(MID(N2275,FIND("/",N2275)+1,FIND("/",N2275,FIND("/",N2275)+1)-FIND("/",N2275)-1)),VALUE(LEFT(N2275,FIND("/",N2275)-1))),0)</f>
        <v>0</v>
      </c>
    </row>
    <row r="2276" customFormat="false" ht="15" hidden="false" customHeight="false" outlineLevel="0" collapsed="false">
      <c r="N2276" s="0" t="str">
        <f aca="false">IF(H2276="","",IFERROR(LEFT(H2276,FIND(" ",H2276)-1),H2276))</f>
        <v/>
      </c>
      <c r="O2276" s="20" t="n">
        <f aca="false">IFERROR(DATE(VALUE(MID(N2276,FIND("/",N2276,FIND("/",N2276)+1)+1,4)),VALUE(MID(N2276,FIND("/",N2276)+1,FIND("/",N2276,FIND("/",N2276)+1)-FIND("/",N2276)-1)),VALUE(LEFT(N2276,FIND("/",N2276)-1))),0)</f>
        <v>0</v>
      </c>
    </row>
    <row r="2277" customFormat="false" ht="15" hidden="false" customHeight="false" outlineLevel="0" collapsed="false">
      <c r="N2277" s="0" t="str">
        <f aca="false">IF(H2277="","",IFERROR(LEFT(H2277,FIND(" ",H2277)-1),H2277))</f>
        <v/>
      </c>
      <c r="O2277" s="20" t="n">
        <f aca="false">IFERROR(DATE(VALUE(MID(N2277,FIND("/",N2277,FIND("/",N2277)+1)+1,4)),VALUE(MID(N2277,FIND("/",N2277)+1,FIND("/",N2277,FIND("/",N2277)+1)-FIND("/",N2277)-1)),VALUE(LEFT(N2277,FIND("/",N2277)-1))),0)</f>
        <v>0</v>
      </c>
    </row>
    <row r="2278" customFormat="false" ht="15" hidden="false" customHeight="false" outlineLevel="0" collapsed="false">
      <c r="N2278" s="0" t="str">
        <f aca="false">IF(H2278="","",IFERROR(LEFT(H2278,FIND(" ",H2278)-1),H2278))</f>
        <v/>
      </c>
      <c r="O2278" s="20" t="n">
        <f aca="false">IFERROR(DATE(VALUE(MID(N2278,FIND("/",N2278,FIND("/",N2278)+1)+1,4)),VALUE(MID(N2278,FIND("/",N2278)+1,FIND("/",N2278,FIND("/",N2278)+1)-FIND("/",N2278)-1)),VALUE(LEFT(N2278,FIND("/",N2278)-1))),0)</f>
        <v>0</v>
      </c>
    </row>
    <row r="2279" customFormat="false" ht="15" hidden="false" customHeight="false" outlineLevel="0" collapsed="false">
      <c r="N2279" s="0" t="str">
        <f aca="false">IF(H2279="","",IFERROR(LEFT(H2279,FIND(" ",H2279)-1),H2279))</f>
        <v/>
      </c>
      <c r="O2279" s="20" t="n">
        <f aca="false">IFERROR(DATE(VALUE(MID(N2279,FIND("/",N2279,FIND("/",N2279)+1)+1,4)),VALUE(MID(N2279,FIND("/",N2279)+1,FIND("/",N2279,FIND("/",N2279)+1)-FIND("/",N2279)-1)),VALUE(LEFT(N2279,FIND("/",N2279)-1))),0)</f>
        <v>0</v>
      </c>
    </row>
    <row r="2280" customFormat="false" ht="15" hidden="false" customHeight="false" outlineLevel="0" collapsed="false">
      <c r="N2280" s="0" t="str">
        <f aca="false">IF(H2280="","",IFERROR(LEFT(H2280,FIND(" ",H2280)-1),H2280))</f>
        <v/>
      </c>
      <c r="O2280" s="20" t="n">
        <f aca="false">IFERROR(DATE(VALUE(MID(N2280,FIND("/",N2280,FIND("/",N2280)+1)+1,4)),VALUE(MID(N2280,FIND("/",N2280)+1,FIND("/",N2280,FIND("/",N2280)+1)-FIND("/",N2280)-1)),VALUE(LEFT(N2280,FIND("/",N2280)-1))),0)</f>
        <v>0</v>
      </c>
    </row>
    <row r="2281" customFormat="false" ht="15" hidden="false" customHeight="false" outlineLevel="0" collapsed="false">
      <c r="N2281" s="0" t="str">
        <f aca="false">IF(H2281="","",IFERROR(LEFT(H2281,FIND(" ",H2281)-1),H2281))</f>
        <v/>
      </c>
      <c r="O2281" s="20" t="n">
        <f aca="false">IFERROR(DATE(VALUE(MID(N2281,FIND("/",N2281,FIND("/",N2281)+1)+1,4)),VALUE(MID(N2281,FIND("/",N2281)+1,FIND("/",N2281,FIND("/",N2281)+1)-FIND("/",N2281)-1)),VALUE(LEFT(N2281,FIND("/",N2281)-1))),0)</f>
        <v>0</v>
      </c>
    </row>
    <row r="2282" customFormat="false" ht="15" hidden="false" customHeight="false" outlineLevel="0" collapsed="false">
      <c r="N2282" s="0" t="str">
        <f aca="false">IF(H2282="","",IFERROR(LEFT(H2282,FIND(" ",H2282)-1),H2282))</f>
        <v/>
      </c>
      <c r="O2282" s="20" t="n">
        <f aca="false">IFERROR(DATE(VALUE(MID(N2282,FIND("/",N2282,FIND("/",N2282)+1)+1,4)),VALUE(MID(N2282,FIND("/",N2282)+1,FIND("/",N2282,FIND("/",N2282)+1)-FIND("/",N2282)-1)),VALUE(LEFT(N2282,FIND("/",N2282)-1))),0)</f>
        <v>0</v>
      </c>
    </row>
    <row r="2283" customFormat="false" ht="15" hidden="false" customHeight="false" outlineLevel="0" collapsed="false">
      <c r="N2283" s="0" t="str">
        <f aca="false">IF(H2283="","",IFERROR(LEFT(H2283,FIND(" ",H2283)-1),H2283))</f>
        <v/>
      </c>
      <c r="O2283" s="20" t="n">
        <f aca="false">IFERROR(DATE(VALUE(MID(N2283,FIND("/",N2283,FIND("/",N2283)+1)+1,4)),VALUE(MID(N2283,FIND("/",N2283)+1,FIND("/",N2283,FIND("/",N2283)+1)-FIND("/",N2283)-1)),VALUE(LEFT(N2283,FIND("/",N2283)-1))),0)</f>
        <v>0</v>
      </c>
    </row>
    <row r="2284" customFormat="false" ht="15" hidden="false" customHeight="false" outlineLevel="0" collapsed="false">
      <c r="N2284" s="0" t="str">
        <f aca="false">IF(H2284="","",IFERROR(LEFT(H2284,FIND(" ",H2284)-1),H2284))</f>
        <v/>
      </c>
      <c r="O2284" s="20" t="n">
        <f aca="false">IFERROR(DATE(VALUE(MID(N2284,FIND("/",N2284,FIND("/",N2284)+1)+1,4)),VALUE(MID(N2284,FIND("/",N2284)+1,FIND("/",N2284,FIND("/",N2284)+1)-FIND("/",N2284)-1)),VALUE(LEFT(N2284,FIND("/",N2284)-1))),0)</f>
        <v>0</v>
      </c>
    </row>
    <row r="2285" customFormat="false" ht="15" hidden="false" customHeight="false" outlineLevel="0" collapsed="false">
      <c r="N2285" s="0" t="str">
        <f aca="false">IF(H2285="","",IFERROR(LEFT(H2285,FIND(" ",H2285)-1),H2285))</f>
        <v/>
      </c>
      <c r="O2285" s="20" t="n">
        <f aca="false">IFERROR(DATE(VALUE(MID(N2285,FIND("/",N2285,FIND("/",N2285)+1)+1,4)),VALUE(MID(N2285,FIND("/",N2285)+1,FIND("/",N2285,FIND("/",N2285)+1)-FIND("/",N2285)-1)),VALUE(LEFT(N2285,FIND("/",N2285)-1))),0)</f>
        <v>0</v>
      </c>
    </row>
    <row r="2286" customFormat="false" ht="15" hidden="false" customHeight="false" outlineLevel="0" collapsed="false">
      <c r="N2286" s="0" t="str">
        <f aca="false">IF(H2286="","",IFERROR(LEFT(H2286,FIND(" ",H2286)-1),H2286))</f>
        <v/>
      </c>
      <c r="O2286" s="20" t="n">
        <f aca="false">IFERROR(DATE(VALUE(MID(N2286,FIND("/",N2286,FIND("/",N2286)+1)+1,4)),VALUE(MID(N2286,FIND("/",N2286)+1,FIND("/",N2286,FIND("/",N2286)+1)-FIND("/",N2286)-1)),VALUE(LEFT(N2286,FIND("/",N2286)-1))),0)</f>
        <v>0</v>
      </c>
    </row>
    <row r="2287" customFormat="false" ht="15" hidden="false" customHeight="false" outlineLevel="0" collapsed="false">
      <c r="N2287" s="0" t="str">
        <f aca="false">IF(H2287="","",IFERROR(LEFT(H2287,FIND(" ",H2287)-1),H2287))</f>
        <v/>
      </c>
      <c r="O2287" s="20" t="n">
        <f aca="false">IFERROR(DATE(VALUE(MID(N2287,FIND("/",N2287,FIND("/",N2287)+1)+1,4)),VALUE(MID(N2287,FIND("/",N2287)+1,FIND("/",N2287,FIND("/",N2287)+1)-FIND("/",N2287)-1)),VALUE(LEFT(N2287,FIND("/",N2287)-1))),0)</f>
        <v>0</v>
      </c>
    </row>
    <row r="2288" customFormat="false" ht="15" hidden="false" customHeight="false" outlineLevel="0" collapsed="false">
      <c r="N2288" s="0" t="str">
        <f aca="false">IF(H2288="","",IFERROR(LEFT(H2288,FIND(" ",H2288)-1),H2288))</f>
        <v/>
      </c>
      <c r="O2288" s="20" t="n">
        <f aca="false">IFERROR(DATE(VALUE(MID(N2288,FIND("/",N2288,FIND("/",N2288)+1)+1,4)),VALUE(MID(N2288,FIND("/",N2288)+1,FIND("/",N2288,FIND("/",N2288)+1)-FIND("/",N2288)-1)),VALUE(LEFT(N2288,FIND("/",N2288)-1))),0)</f>
        <v>0</v>
      </c>
    </row>
    <row r="2289" customFormat="false" ht="15" hidden="false" customHeight="false" outlineLevel="0" collapsed="false">
      <c r="N2289" s="0" t="str">
        <f aca="false">IF(H2289="","",IFERROR(LEFT(H2289,FIND(" ",H2289)-1),H2289))</f>
        <v/>
      </c>
      <c r="O2289" s="20" t="n">
        <f aca="false">IFERROR(DATE(VALUE(MID(N2289,FIND("/",N2289,FIND("/",N2289)+1)+1,4)),VALUE(MID(N2289,FIND("/",N2289)+1,FIND("/",N2289,FIND("/",N2289)+1)-FIND("/",N2289)-1)),VALUE(LEFT(N2289,FIND("/",N2289)-1))),0)</f>
        <v>0</v>
      </c>
    </row>
    <row r="2290" customFormat="false" ht="15" hidden="false" customHeight="false" outlineLevel="0" collapsed="false">
      <c r="N2290" s="0" t="str">
        <f aca="false">IF(H2290="","",IFERROR(LEFT(H2290,FIND(" ",H2290)-1),H2290))</f>
        <v/>
      </c>
      <c r="O2290" s="20" t="n">
        <f aca="false">IFERROR(DATE(VALUE(MID(N2290,FIND("/",N2290,FIND("/",N2290)+1)+1,4)),VALUE(MID(N2290,FIND("/",N2290)+1,FIND("/",N2290,FIND("/",N2290)+1)-FIND("/",N2290)-1)),VALUE(LEFT(N2290,FIND("/",N2290)-1))),0)</f>
        <v>0</v>
      </c>
    </row>
    <row r="2291" customFormat="false" ht="15" hidden="false" customHeight="false" outlineLevel="0" collapsed="false">
      <c r="N2291" s="0" t="str">
        <f aca="false">IF(H2291="","",IFERROR(LEFT(H2291,FIND(" ",H2291)-1),H2291))</f>
        <v/>
      </c>
      <c r="O2291" s="20" t="n">
        <f aca="false">IFERROR(DATE(VALUE(MID(N2291,FIND("/",N2291,FIND("/",N2291)+1)+1,4)),VALUE(MID(N2291,FIND("/",N2291)+1,FIND("/",N2291,FIND("/",N2291)+1)-FIND("/",N2291)-1)),VALUE(LEFT(N2291,FIND("/",N2291)-1))),0)</f>
        <v>0</v>
      </c>
    </row>
    <row r="2292" customFormat="false" ht="15" hidden="false" customHeight="false" outlineLevel="0" collapsed="false">
      <c r="N2292" s="0" t="str">
        <f aca="false">IF(H2292="","",IFERROR(LEFT(H2292,FIND(" ",H2292)-1),H2292))</f>
        <v/>
      </c>
      <c r="O2292" s="20" t="n">
        <f aca="false">IFERROR(DATE(VALUE(MID(N2292,FIND("/",N2292,FIND("/",N2292)+1)+1,4)),VALUE(MID(N2292,FIND("/",N2292)+1,FIND("/",N2292,FIND("/",N2292)+1)-FIND("/",N2292)-1)),VALUE(LEFT(N2292,FIND("/",N2292)-1))),0)</f>
        <v>0</v>
      </c>
    </row>
    <row r="2293" customFormat="false" ht="15" hidden="false" customHeight="false" outlineLevel="0" collapsed="false">
      <c r="N2293" s="0" t="str">
        <f aca="false">IF(H2293="","",IFERROR(LEFT(H2293,FIND(" ",H2293)-1),H2293))</f>
        <v/>
      </c>
      <c r="O2293" s="20" t="n">
        <f aca="false">IFERROR(DATE(VALUE(MID(N2293,FIND("/",N2293,FIND("/",N2293)+1)+1,4)),VALUE(MID(N2293,FIND("/",N2293)+1,FIND("/",N2293,FIND("/",N2293)+1)-FIND("/",N2293)-1)),VALUE(LEFT(N2293,FIND("/",N2293)-1))),0)</f>
        <v>0</v>
      </c>
    </row>
    <row r="2294" customFormat="false" ht="15" hidden="false" customHeight="false" outlineLevel="0" collapsed="false">
      <c r="N2294" s="0" t="str">
        <f aca="false">IF(H2294="","",IFERROR(LEFT(H2294,FIND(" ",H2294)-1),H2294))</f>
        <v/>
      </c>
      <c r="O2294" s="20" t="n">
        <f aca="false">IFERROR(DATE(VALUE(MID(N2294,FIND("/",N2294,FIND("/",N2294)+1)+1,4)),VALUE(MID(N2294,FIND("/",N2294)+1,FIND("/",N2294,FIND("/",N2294)+1)-FIND("/",N2294)-1)),VALUE(LEFT(N2294,FIND("/",N2294)-1))),0)</f>
        <v>0</v>
      </c>
    </row>
    <row r="2295" customFormat="false" ht="15" hidden="false" customHeight="false" outlineLevel="0" collapsed="false">
      <c r="N2295" s="0" t="str">
        <f aca="false">IF(H2295="","",IFERROR(LEFT(H2295,FIND(" ",H2295)-1),H2295))</f>
        <v/>
      </c>
      <c r="O2295" s="20" t="n">
        <f aca="false">IFERROR(DATE(VALUE(MID(N2295,FIND("/",N2295,FIND("/",N2295)+1)+1,4)),VALUE(MID(N2295,FIND("/",N2295)+1,FIND("/",N2295,FIND("/",N2295)+1)-FIND("/",N2295)-1)),VALUE(LEFT(N2295,FIND("/",N2295)-1))),0)</f>
        <v>0</v>
      </c>
    </row>
    <row r="2296" customFormat="false" ht="15" hidden="false" customHeight="false" outlineLevel="0" collapsed="false">
      <c r="N2296" s="0" t="str">
        <f aca="false">IF(H2296="","",IFERROR(LEFT(H2296,FIND(" ",H2296)-1),H2296))</f>
        <v/>
      </c>
      <c r="O2296" s="20" t="n">
        <f aca="false">IFERROR(DATE(VALUE(MID(N2296,FIND("/",N2296,FIND("/",N2296)+1)+1,4)),VALUE(MID(N2296,FIND("/",N2296)+1,FIND("/",N2296,FIND("/",N2296)+1)-FIND("/",N2296)-1)),VALUE(LEFT(N2296,FIND("/",N2296)-1))),0)</f>
        <v>0</v>
      </c>
    </row>
    <row r="2297" customFormat="false" ht="15" hidden="false" customHeight="false" outlineLevel="0" collapsed="false">
      <c r="N2297" s="0" t="str">
        <f aca="false">IF(H2297="","",IFERROR(LEFT(H2297,FIND(" ",H2297)-1),H2297))</f>
        <v/>
      </c>
      <c r="O2297" s="20" t="n">
        <f aca="false">IFERROR(DATE(VALUE(MID(N2297,FIND("/",N2297,FIND("/",N2297)+1)+1,4)),VALUE(MID(N2297,FIND("/",N2297)+1,FIND("/",N2297,FIND("/",N2297)+1)-FIND("/",N2297)-1)),VALUE(LEFT(N2297,FIND("/",N2297)-1))),0)</f>
        <v>0</v>
      </c>
    </row>
    <row r="2298" customFormat="false" ht="15" hidden="false" customHeight="false" outlineLevel="0" collapsed="false">
      <c r="N2298" s="0" t="str">
        <f aca="false">IF(H2298="","",IFERROR(LEFT(H2298,FIND(" ",H2298)-1),H2298))</f>
        <v/>
      </c>
      <c r="O2298" s="20" t="n">
        <f aca="false">IFERROR(DATE(VALUE(MID(N2298,FIND("/",N2298,FIND("/",N2298)+1)+1,4)),VALUE(MID(N2298,FIND("/",N2298)+1,FIND("/",N2298,FIND("/",N2298)+1)-FIND("/",N2298)-1)),VALUE(LEFT(N2298,FIND("/",N2298)-1))),0)</f>
        <v>0</v>
      </c>
    </row>
    <row r="2299" customFormat="false" ht="15" hidden="false" customHeight="false" outlineLevel="0" collapsed="false">
      <c r="N2299" s="0" t="str">
        <f aca="false">IF(H2299="","",IFERROR(LEFT(H2299,FIND(" ",H2299)-1),H2299))</f>
        <v/>
      </c>
      <c r="O2299" s="20" t="n">
        <f aca="false">IFERROR(DATE(VALUE(MID(N2299,FIND("/",N2299,FIND("/",N2299)+1)+1,4)),VALUE(MID(N2299,FIND("/",N2299)+1,FIND("/",N2299,FIND("/",N2299)+1)-FIND("/",N2299)-1)),VALUE(LEFT(N2299,FIND("/",N2299)-1))),0)</f>
        <v>0</v>
      </c>
    </row>
    <row r="2300" customFormat="false" ht="15" hidden="false" customHeight="false" outlineLevel="0" collapsed="false">
      <c r="N2300" s="0" t="str">
        <f aca="false">IF(H2300="","",IFERROR(LEFT(H2300,FIND(" ",H2300)-1),H2300))</f>
        <v/>
      </c>
      <c r="O2300" s="20" t="n">
        <f aca="false">IFERROR(DATE(VALUE(MID(N2300,FIND("/",N2300,FIND("/",N2300)+1)+1,4)),VALUE(MID(N2300,FIND("/",N2300)+1,FIND("/",N2300,FIND("/",N2300)+1)-FIND("/",N2300)-1)),VALUE(LEFT(N2300,FIND("/",N2300)-1))),0)</f>
        <v>0</v>
      </c>
    </row>
    <row r="2301" customFormat="false" ht="15" hidden="false" customHeight="false" outlineLevel="0" collapsed="false">
      <c r="N2301" s="0" t="str">
        <f aca="false">IF(H2301="","",IFERROR(LEFT(H2301,FIND(" ",H2301)-1),H2301))</f>
        <v/>
      </c>
      <c r="O2301" s="20" t="n">
        <f aca="false">IFERROR(DATE(VALUE(MID(N2301,FIND("/",N2301,FIND("/",N2301)+1)+1,4)),VALUE(MID(N2301,FIND("/",N2301)+1,FIND("/",N2301,FIND("/",N2301)+1)-FIND("/",N2301)-1)),VALUE(LEFT(N2301,FIND("/",N2301)-1))),0)</f>
        <v>0</v>
      </c>
    </row>
    <row r="2302" customFormat="false" ht="15" hidden="false" customHeight="false" outlineLevel="0" collapsed="false">
      <c r="N2302" s="0" t="str">
        <f aca="false">IF(H2302="","",IFERROR(LEFT(H2302,FIND(" ",H2302)-1),H2302))</f>
        <v/>
      </c>
      <c r="O2302" s="20" t="n">
        <f aca="false">IFERROR(DATE(VALUE(MID(N2302,FIND("/",N2302,FIND("/",N2302)+1)+1,4)),VALUE(MID(N2302,FIND("/",N2302)+1,FIND("/",N2302,FIND("/",N2302)+1)-FIND("/",N2302)-1)),VALUE(LEFT(N2302,FIND("/",N2302)-1))),0)</f>
        <v>0</v>
      </c>
    </row>
    <row r="2303" customFormat="false" ht="15" hidden="false" customHeight="false" outlineLevel="0" collapsed="false">
      <c r="N2303" s="0" t="str">
        <f aca="false">IF(H2303="","",IFERROR(LEFT(H2303,FIND(" ",H2303)-1),H2303))</f>
        <v/>
      </c>
      <c r="O2303" s="20" t="n">
        <f aca="false">IFERROR(DATE(VALUE(MID(N2303,FIND("/",N2303,FIND("/",N2303)+1)+1,4)),VALUE(MID(N2303,FIND("/",N2303)+1,FIND("/",N2303,FIND("/",N2303)+1)-FIND("/",N2303)-1)),VALUE(LEFT(N2303,FIND("/",N2303)-1))),0)</f>
        <v>0</v>
      </c>
    </row>
    <row r="2304" customFormat="false" ht="15" hidden="false" customHeight="false" outlineLevel="0" collapsed="false">
      <c r="N2304" s="0" t="str">
        <f aca="false">IF(H2304="","",IFERROR(LEFT(H2304,FIND(" ",H2304)-1),H2304))</f>
        <v/>
      </c>
      <c r="O2304" s="20" t="n">
        <f aca="false">IFERROR(DATE(VALUE(MID(N2304,FIND("/",N2304,FIND("/",N2304)+1)+1,4)),VALUE(MID(N2304,FIND("/",N2304)+1,FIND("/",N2304,FIND("/",N2304)+1)-FIND("/",N2304)-1)),VALUE(LEFT(N2304,FIND("/",N2304)-1))),0)</f>
        <v>0</v>
      </c>
    </row>
    <row r="2305" customFormat="false" ht="15" hidden="false" customHeight="false" outlineLevel="0" collapsed="false">
      <c r="N2305" s="0" t="str">
        <f aca="false">IF(H2305="","",IFERROR(LEFT(H2305,FIND(" ",H2305)-1),H2305))</f>
        <v/>
      </c>
      <c r="O2305" s="20" t="n">
        <f aca="false">IFERROR(DATE(VALUE(MID(N2305,FIND("/",N2305,FIND("/",N2305)+1)+1,4)),VALUE(MID(N2305,FIND("/",N2305)+1,FIND("/",N2305,FIND("/",N2305)+1)-FIND("/",N2305)-1)),VALUE(LEFT(N2305,FIND("/",N2305)-1))),0)</f>
        <v>0</v>
      </c>
    </row>
    <row r="2306" customFormat="false" ht="15" hidden="false" customHeight="false" outlineLevel="0" collapsed="false">
      <c r="N2306" s="0" t="str">
        <f aca="false">IF(H2306="","",IFERROR(LEFT(H2306,FIND(" ",H2306)-1),H2306))</f>
        <v/>
      </c>
      <c r="O2306" s="20" t="n">
        <f aca="false">IFERROR(DATE(VALUE(MID(N2306,FIND("/",N2306,FIND("/",N2306)+1)+1,4)),VALUE(MID(N2306,FIND("/",N2306)+1,FIND("/",N2306,FIND("/",N2306)+1)-FIND("/",N2306)-1)),VALUE(LEFT(N2306,FIND("/",N2306)-1))),0)</f>
        <v>0</v>
      </c>
    </row>
    <row r="2307" customFormat="false" ht="15" hidden="false" customHeight="false" outlineLevel="0" collapsed="false">
      <c r="N2307" s="0" t="str">
        <f aca="false">IF(H2307="","",IFERROR(LEFT(H2307,FIND(" ",H2307)-1),H2307))</f>
        <v/>
      </c>
      <c r="O2307" s="20" t="n">
        <f aca="false">IFERROR(DATE(VALUE(MID(N2307,FIND("/",N2307,FIND("/",N2307)+1)+1,4)),VALUE(MID(N2307,FIND("/",N2307)+1,FIND("/",N2307,FIND("/",N2307)+1)-FIND("/",N2307)-1)),VALUE(LEFT(N2307,FIND("/",N2307)-1))),0)</f>
        <v>0</v>
      </c>
    </row>
    <row r="2308" customFormat="false" ht="15" hidden="false" customHeight="false" outlineLevel="0" collapsed="false">
      <c r="N2308" s="0" t="str">
        <f aca="false">IF(H2308="","",IFERROR(LEFT(H2308,FIND(" ",H2308)-1),H2308))</f>
        <v/>
      </c>
      <c r="O2308" s="20" t="n">
        <f aca="false">IFERROR(DATE(VALUE(MID(N2308,FIND("/",N2308,FIND("/",N2308)+1)+1,4)),VALUE(MID(N2308,FIND("/",N2308)+1,FIND("/",N2308,FIND("/",N2308)+1)-FIND("/",N2308)-1)),VALUE(LEFT(N2308,FIND("/",N2308)-1))),0)</f>
        <v>0</v>
      </c>
    </row>
    <row r="2309" customFormat="false" ht="15" hidden="false" customHeight="false" outlineLevel="0" collapsed="false">
      <c r="N2309" s="0" t="str">
        <f aca="false">IF(H2309="","",IFERROR(LEFT(H2309,FIND(" ",H2309)-1),H2309))</f>
        <v/>
      </c>
      <c r="O2309" s="20" t="n">
        <f aca="false">IFERROR(DATE(VALUE(MID(N2309,FIND("/",N2309,FIND("/",N2309)+1)+1,4)),VALUE(MID(N2309,FIND("/",N2309)+1,FIND("/",N2309,FIND("/",N2309)+1)-FIND("/",N2309)-1)),VALUE(LEFT(N2309,FIND("/",N2309)-1))),0)</f>
        <v>0</v>
      </c>
    </row>
    <row r="2310" customFormat="false" ht="15" hidden="false" customHeight="false" outlineLevel="0" collapsed="false">
      <c r="N2310" s="0" t="str">
        <f aca="false">IF(H2310="","",IFERROR(LEFT(H2310,FIND(" ",H2310)-1),H2310))</f>
        <v/>
      </c>
      <c r="O2310" s="20" t="n">
        <f aca="false">IFERROR(DATE(VALUE(MID(N2310,FIND("/",N2310,FIND("/",N2310)+1)+1,4)),VALUE(MID(N2310,FIND("/",N2310)+1,FIND("/",N2310,FIND("/",N2310)+1)-FIND("/",N2310)-1)),VALUE(LEFT(N2310,FIND("/",N2310)-1))),0)</f>
        <v>0</v>
      </c>
    </row>
    <row r="2311" customFormat="false" ht="15" hidden="false" customHeight="false" outlineLevel="0" collapsed="false">
      <c r="N2311" s="0" t="str">
        <f aca="false">IF(H2311="","",IFERROR(LEFT(H2311,FIND(" ",H2311)-1),H2311))</f>
        <v/>
      </c>
      <c r="O2311" s="20" t="n">
        <f aca="false">IFERROR(DATE(VALUE(MID(N2311,FIND("/",N2311,FIND("/",N2311)+1)+1,4)),VALUE(MID(N2311,FIND("/",N2311)+1,FIND("/",N2311,FIND("/",N2311)+1)-FIND("/",N2311)-1)),VALUE(LEFT(N2311,FIND("/",N2311)-1))),0)</f>
        <v>0</v>
      </c>
    </row>
    <row r="2312" customFormat="false" ht="15" hidden="false" customHeight="false" outlineLevel="0" collapsed="false">
      <c r="N2312" s="0" t="str">
        <f aca="false">IF(H2312="","",IFERROR(LEFT(H2312,FIND(" ",H2312)-1),H2312))</f>
        <v/>
      </c>
      <c r="O2312" s="20" t="n">
        <f aca="false">IFERROR(DATE(VALUE(MID(N2312,FIND("/",N2312,FIND("/",N2312)+1)+1,4)),VALUE(MID(N2312,FIND("/",N2312)+1,FIND("/",N2312,FIND("/",N2312)+1)-FIND("/",N2312)-1)),VALUE(LEFT(N2312,FIND("/",N2312)-1))),0)</f>
        <v>0</v>
      </c>
    </row>
    <row r="2313" customFormat="false" ht="15" hidden="false" customHeight="false" outlineLevel="0" collapsed="false">
      <c r="N2313" s="0" t="str">
        <f aca="false">IF(H2313="","",IFERROR(LEFT(H2313,FIND(" ",H2313)-1),H2313))</f>
        <v/>
      </c>
      <c r="O2313" s="20" t="n">
        <f aca="false">IFERROR(DATE(VALUE(MID(N2313,FIND("/",N2313,FIND("/",N2313)+1)+1,4)),VALUE(MID(N2313,FIND("/",N2313)+1,FIND("/",N2313,FIND("/",N2313)+1)-FIND("/",N2313)-1)),VALUE(LEFT(N2313,FIND("/",N2313)-1))),0)</f>
        <v>0</v>
      </c>
    </row>
    <row r="2314" customFormat="false" ht="15" hidden="false" customHeight="false" outlineLevel="0" collapsed="false">
      <c r="N2314" s="0" t="str">
        <f aca="false">IF(H2314="","",IFERROR(LEFT(H2314,FIND(" ",H2314)-1),H2314))</f>
        <v/>
      </c>
      <c r="O2314" s="20" t="n">
        <f aca="false">IFERROR(DATE(VALUE(MID(N2314,FIND("/",N2314,FIND("/",N2314)+1)+1,4)),VALUE(MID(N2314,FIND("/",N2314)+1,FIND("/",N2314,FIND("/",N2314)+1)-FIND("/",N2314)-1)),VALUE(LEFT(N2314,FIND("/",N2314)-1))),0)</f>
        <v>0</v>
      </c>
    </row>
    <row r="2315" customFormat="false" ht="15" hidden="false" customHeight="false" outlineLevel="0" collapsed="false">
      <c r="N2315" s="0" t="str">
        <f aca="false">IF(H2315="","",IFERROR(LEFT(H2315,FIND(" ",H2315)-1),H2315))</f>
        <v/>
      </c>
      <c r="O2315" s="20" t="n">
        <f aca="false">IFERROR(DATE(VALUE(MID(N2315,FIND("/",N2315,FIND("/",N2315)+1)+1,4)),VALUE(MID(N2315,FIND("/",N2315)+1,FIND("/",N2315,FIND("/",N2315)+1)-FIND("/",N2315)-1)),VALUE(LEFT(N2315,FIND("/",N2315)-1))),0)</f>
        <v>0</v>
      </c>
    </row>
    <row r="2316" customFormat="false" ht="15" hidden="false" customHeight="false" outlineLevel="0" collapsed="false">
      <c r="N2316" s="0" t="str">
        <f aca="false">IF(H2316="","",IFERROR(LEFT(H2316,FIND(" ",H2316)-1),H2316))</f>
        <v/>
      </c>
      <c r="O2316" s="20" t="n">
        <f aca="false">IFERROR(DATE(VALUE(MID(N2316,FIND("/",N2316,FIND("/",N2316)+1)+1,4)),VALUE(MID(N2316,FIND("/",N2316)+1,FIND("/",N2316,FIND("/",N2316)+1)-FIND("/",N2316)-1)),VALUE(LEFT(N2316,FIND("/",N2316)-1))),0)</f>
        <v>0</v>
      </c>
    </row>
    <row r="2317" customFormat="false" ht="15" hidden="false" customHeight="false" outlineLevel="0" collapsed="false">
      <c r="N2317" s="0" t="str">
        <f aca="false">IF(H2317="","",IFERROR(LEFT(H2317,FIND(" ",H2317)-1),H2317))</f>
        <v/>
      </c>
      <c r="O2317" s="20" t="n">
        <f aca="false">IFERROR(DATE(VALUE(MID(N2317,FIND("/",N2317,FIND("/",N2317)+1)+1,4)),VALUE(MID(N2317,FIND("/",N2317)+1,FIND("/",N2317,FIND("/",N2317)+1)-FIND("/",N2317)-1)),VALUE(LEFT(N2317,FIND("/",N2317)-1))),0)</f>
        <v>0</v>
      </c>
    </row>
    <row r="2318" customFormat="false" ht="15" hidden="false" customHeight="false" outlineLevel="0" collapsed="false">
      <c r="N2318" s="0" t="str">
        <f aca="false">IF(H2318="","",IFERROR(LEFT(H2318,FIND(" ",H2318)-1),H2318))</f>
        <v/>
      </c>
      <c r="O2318" s="20" t="n">
        <f aca="false">IFERROR(DATE(VALUE(MID(N2318,FIND("/",N2318,FIND("/",N2318)+1)+1,4)),VALUE(MID(N2318,FIND("/",N2318)+1,FIND("/",N2318,FIND("/",N2318)+1)-FIND("/",N2318)-1)),VALUE(LEFT(N2318,FIND("/",N2318)-1))),0)</f>
        <v>0</v>
      </c>
    </row>
    <row r="2319" customFormat="false" ht="15" hidden="false" customHeight="false" outlineLevel="0" collapsed="false">
      <c r="N2319" s="0" t="str">
        <f aca="false">IF(H2319="","",IFERROR(LEFT(H2319,FIND(" ",H2319)-1),H2319))</f>
        <v/>
      </c>
      <c r="O2319" s="20" t="n">
        <f aca="false">IFERROR(DATE(VALUE(MID(N2319,FIND("/",N2319,FIND("/",N2319)+1)+1,4)),VALUE(MID(N2319,FIND("/",N2319)+1,FIND("/",N2319,FIND("/",N2319)+1)-FIND("/",N2319)-1)),VALUE(LEFT(N2319,FIND("/",N2319)-1))),0)</f>
        <v>0</v>
      </c>
    </row>
    <row r="2320" customFormat="false" ht="15" hidden="false" customHeight="false" outlineLevel="0" collapsed="false">
      <c r="N2320" s="0" t="str">
        <f aca="false">IF(H2320="","",IFERROR(LEFT(H2320,FIND(" ",H2320)-1),H2320))</f>
        <v/>
      </c>
      <c r="O2320" s="20" t="n">
        <f aca="false">IFERROR(DATE(VALUE(MID(N2320,FIND("/",N2320,FIND("/",N2320)+1)+1,4)),VALUE(MID(N2320,FIND("/",N2320)+1,FIND("/",N2320,FIND("/",N2320)+1)-FIND("/",N2320)-1)),VALUE(LEFT(N2320,FIND("/",N2320)-1))),0)</f>
        <v>0</v>
      </c>
    </row>
    <row r="2321" customFormat="false" ht="15" hidden="false" customHeight="false" outlineLevel="0" collapsed="false">
      <c r="N2321" s="0" t="str">
        <f aca="false">IF(H2321="","",IFERROR(LEFT(H2321,FIND(" ",H2321)-1),H2321))</f>
        <v/>
      </c>
      <c r="O2321" s="20" t="n">
        <f aca="false">IFERROR(DATE(VALUE(MID(N2321,FIND("/",N2321,FIND("/",N2321)+1)+1,4)),VALUE(MID(N2321,FIND("/",N2321)+1,FIND("/",N2321,FIND("/",N2321)+1)-FIND("/",N2321)-1)),VALUE(LEFT(N2321,FIND("/",N2321)-1))),0)</f>
        <v>0</v>
      </c>
    </row>
    <row r="2322" customFormat="false" ht="15" hidden="false" customHeight="false" outlineLevel="0" collapsed="false">
      <c r="N2322" s="0" t="str">
        <f aca="false">IF(H2322="","",IFERROR(LEFT(H2322,FIND(" ",H2322)-1),H2322))</f>
        <v/>
      </c>
      <c r="O2322" s="20" t="n">
        <f aca="false">IFERROR(DATE(VALUE(MID(N2322,FIND("/",N2322,FIND("/",N2322)+1)+1,4)),VALUE(MID(N2322,FIND("/",N2322)+1,FIND("/",N2322,FIND("/",N2322)+1)-FIND("/",N2322)-1)),VALUE(LEFT(N2322,FIND("/",N2322)-1))),0)</f>
        <v>0</v>
      </c>
    </row>
    <row r="2323" customFormat="false" ht="15" hidden="false" customHeight="false" outlineLevel="0" collapsed="false">
      <c r="N2323" s="0" t="str">
        <f aca="false">IF(H2323="","",IFERROR(LEFT(H2323,FIND(" ",H2323)-1),H2323))</f>
        <v/>
      </c>
      <c r="O2323" s="20" t="n">
        <f aca="false">IFERROR(DATE(VALUE(MID(N2323,FIND("/",N2323,FIND("/",N2323)+1)+1,4)),VALUE(MID(N2323,FIND("/",N2323)+1,FIND("/",N2323,FIND("/",N2323)+1)-FIND("/",N2323)-1)),VALUE(LEFT(N2323,FIND("/",N2323)-1))),0)</f>
        <v>0</v>
      </c>
    </row>
    <row r="2324" customFormat="false" ht="15" hidden="false" customHeight="false" outlineLevel="0" collapsed="false">
      <c r="N2324" s="0" t="str">
        <f aca="false">IF(H2324="","",IFERROR(LEFT(H2324,FIND(" ",H2324)-1),H2324))</f>
        <v/>
      </c>
      <c r="O2324" s="20" t="n">
        <f aca="false">IFERROR(DATE(VALUE(MID(N2324,FIND("/",N2324,FIND("/",N2324)+1)+1,4)),VALUE(MID(N2324,FIND("/",N2324)+1,FIND("/",N2324,FIND("/",N2324)+1)-FIND("/",N2324)-1)),VALUE(LEFT(N2324,FIND("/",N2324)-1))),0)</f>
        <v>0</v>
      </c>
    </row>
    <row r="2325" customFormat="false" ht="15" hidden="false" customHeight="false" outlineLevel="0" collapsed="false">
      <c r="N2325" s="0" t="str">
        <f aca="false">IF(H2325="","",IFERROR(LEFT(H2325,FIND(" ",H2325)-1),H2325))</f>
        <v/>
      </c>
      <c r="O2325" s="20" t="n">
        <f aca="false">IFERROR(DATE(VALUE(MID(N2325,FIND("/",N2325,FIND("/",N2325)+1)+1,4)),VALUE(MID(N2325,FIND("/",N2325)+1,FIND("/",N2325,FIND("/",N2325)+1)-FIND("/",N2325)-1)),VALUE(LEFT(N2325,FIND("/",N2325)-1))),0)</f>
        <v>0</v>
      </c>
    </row>
    <row r="2326" customFormat="false" ht="15" hidden="false" customHeight="false" outlineLevel="0" collapsed="false">
      <c r="N2326" s="0" t="str">
        <f aca="false">IF(H2326="","",IFERROR(LEFT(H2326,FIND(" ",H2326)-1),H2326))</f>
        <v/>
      </c>
      <c r="O2326" s="20" t="n">
        <f aca="false">IFERROR(DATE(VALUE(MID(N2326,FIND("/",N2326,FIND("/",N2326)+1)+1,4)),VALUE(MID(N2326,FIND("/",N2326)+1,FIND("/",N2326,FIND("/",N2326)+1)-FIND("/",N2326)-1)),VALUE(LEFT(N2326,FIND("/",N2326)-1))),0)</f>
        <v>0</v>
      </c>
    </row>
    <row r="2327" customFormat="false" ht="15" hidden="false" customHeight="false" outlineLevel="0" collapsed="false">
      <c r="N2327" s="0" t="str">
        <f aca="false">IF(H2327="","",IFERROR(LEFT(H2327,FIND(" ",H2327)-1),H2327))</f>
        <v/>
      </c>
      <c r="O2327" s="20" t="n">
        <f aca="false">IFERROR(DATE(VALUE(MID(N2327,FIND("/",N2327,FIND("/",N2327)+1)+1,4)),VALUE(MID(N2327,FIND("/",N2327)+1,FIND("/",N2327,FIND("/",N2327)+1)-FIND("/",N2327)-1)),VALUE(LEFT(N2327,FIND("/",N2327)-1))),0)</f>
        <v>0</v>
      </c>
    </row>
    <row r="2328" customFormat="false" ht="15" hidden="false" customHeight="false" outlineLevel="0" collapsed="false">
      <c r="N2328" s="0" t="str">
        <f aca="false">IF(H2328="","",IFERROR(LEFT(H2328,FIND(" ",H2328)-1),H2328))</f>
        <v/>
      </c>
      <c r="O2328" s="20" t="n">
        <f aca="false">IFERROR(DATE(VALUE(MID(N2328,FIND("/",N2328,FIND("/",N2328)+1)+1,4)),VALUE(MID(N2328,FIND("/",N2328)+1,FIND("/",N2328,FIND("/",N2328)+1)-FIND("/",N2328)-1)),VALUE(LEFT(N2328,FIND("/",N2328)-1))),0)</f>
        <v>0</v>
      </c>
    </row>
    <row r="2329" customFormat="false" ht="15" hidden="false" customHeight="false" outlineLevel="0" collapsed="false">
      <c r="N2329" s="0" t="str">
        <f aca="false">IF(H2329="","",IFERROR(LEFT(H2329,FIND(" ",H2329)-1),H2329))</f>
        <v/>
      </c>
      <c r="O2329" s="20" t="n">
        <f aca="false">IFERROR(DATE(VALUE(MID(N2329,FIND("/",N2329,FIND("/",N2329)+1)+1,4)),VALUE(MID(N2329,FIND("/",N2329)+1,FIND("/",N2329,FIND("/",N2329)+1)-FIND("/",N2329)-1)),VALUE(LEFT(N2329,FIND("/",N2329)-1))),0)</f>
        <v>0</v>
      </c>
    </row>
    <row r="2330" customFormat="false" ht="15" hidden="false" customHeight="false" outlineLevel="0" collapsed="false">
      <c r="N2330" s="0" t="str">
        <f aca="false">IF(H2330="","",IFERROR(LEFT(H2330,FIND(" ",H2330)-1),H2330))</f>
        <v/>
      </c>
      <c r="O2330" s="20" t="n">
        <f aca="false">IFERROR(DATE(VALUE(MID(N2330,FIND("/",N2330,FIND("/",N2330)+1)+1,4)),VALUE(MID(N2330,FIND("/",N2330)+1,FIND("/",N2330,FIND("/",N2330)+1)-FIND("/",N2330)-1)),VALUE(LEFT(N2330,FIND("/",N2330)-1))),0)</f>
        <v>0</v>
      </c>
    </row>
    <row r="2331" customFormat="false" ht="15" hidden="false" customHeight="false" outlineLevel="0" collapsed="false">
      <c r="N2331" s="0" t="str">
        <f aca="false">IF(H2331="","",IFERROR(LEFT(H2331,FIND(" ",H2331)-1),H2331))</f>
        <v/>
      </c>
      <c r="O2331" s="20" t="n">
        <f aca="false">IFERROR(DATE(VALUE(MID(N2331,FIND("/",N2331,FIND("/",N2331)+1)+1,4)),VALUE(MID(N2331,FIND("/",N2331)+1,FIND("/",N2331,FIND("/",N2331)+1)-FIND("/",N2331)-1)),VALUE(LEFT(N2331,FIND("/",N2331)-1))),0)</f>
        <v>0</v>
      </c>
    </row>
    <row r="2332" customFormat="false" ht="15" hidden="false" customHeight="false" outlineLevel="0" collapsed="false">
      <c r="N2332" s="0" t="str">
        <f aca="false">IF(H2332="","",IFERROR(LEFT(H2332,FIND(" ",H2332)-1),H2332))</f>
        <v/>
      </c>
      <c r="O2332" s="20" t="n">
        <f aca="false">IFERROR(DATE(VALUE(MID(N2332,FIND("/",N2332,FIND("/",N2332)+1)+1,4)),VALUE(MID(N2332,FIND("/",N2332)+1,FIND("/",N2332,FIND("/",N2332)+1)-FIND("/",N2332)-1)),VALUE(LEFT(N2332,FIND("/",N2332)-1))),0)</f>
        <v>0</v>
      </c>
    </row>
    <row r="2333" customFormat="false" ht="15" hidden="false" customHeight="false" outlineLevel="0" collapsed="false">
      <c r="N2333" s="0" t="str">
        <f aca="false">IF(H2333="","",IFERROR(LEFT(H2333,FIND(" ",H2333)-1),H2333))</f>
        <v/>
      </c>
      <c r="O2333" s="20" t="n">
        <f aca="false">IFERROR(DATE(VALUE(MID(N2333,FIND("/",N2333,FIND("/",N2333)+1)+1,4)),VALUE(MID(N2333,FIND("/",N2333)+1,FIND("/",N2333,FIND("/",N2333)+1)-FIND("/",N2333)-1)),VALUE(LEFT(N2333,FIND("/",N2333)-1))),0)</f>
        <v>0</v>
      </c>
    </row>
    <row r="2334" customFormat="false" ht="15" hidden="false" customHeight="false" outlineLevel="0" collapsed="false">
      <c r="N2334" s="0" t="str">
        <f aca="false">IF(H2334="","",IFERROR(LEFT(H2334,FIND(" ",H2334)-1),H2334))</f>
        <v/>
      </c>
      <c r="O2334" s="20" t="n">
        <f aca="false">IFERROR(DATE(VALUE(MID(N2334,FIND("/",N2334,FIND("/",N2334)+1)+1,4)),VALUE(MID(N2334,FIND("/",N2334)+1,FIND("/",N2334,FIND("/",N2334)+1)-FIND("/",N2334)-1)),VALUE(LEFT(N2334,FIND("/",N2334)-1))),0)</f>
        <v>0</v>
      </c>
    </row>
    <row r="2335" customFormat="false" ht="15" hidden="false" customHeight="false" outlineLevel="0" collapsed="false">
      <c r="N2335" s="0" t="str">
        <f aca="false">IF(H2335="","",IFERROR(LEFT(H2335,FIND(" ",H2335)-1),H2335))</f>
        <v/>
      </c>
      <c r="O2335" s="20" t="n">
        <f aca="false">IFERROR(DATE(VALUE(MID(N2335,FIND("/",N2335,FIND("/",N2335)+1)+1,4)),VALUE(MID(N2335,FIND("/",N2335)+1,FIND("/",N2335,FIND("/",N2335)+1)-FIND("/",N2335)-1)),VALUE(LEFT(N2335,FIND("/",N2335)-1))),0)</f>
        <v>0</v>
      </c>
    </row>
    <row r="2336" customFormat="false" ht="15" hidden="false" customHeight="false" outlineLevel="0" collapsed="false">
      <c r="N2336" s="0" t="str">
        <f aca="false">IF(H2336="","",IFERROR(LEFT(H2336,FIND(" ",H2336)-1),H2336))</f>
        <v/>
      </c>
      <c r="O2336" s="20" t="n">
        <f aca="false">IFERROR(DATE(VALUE(MID(N2336,FIND("/",N2336,FIND("/",N2336)+1)+1,4)),VALUE(MID(N2336,FIND("/",N2336)+1,FIND("/",N2336,FIND("/",N2336)+1)-FIND("/",N2336)-1)),VALUE(LEFT(N2336,FIND("/",N2336)-1))),0)</f>
        <v>0</v>
      </c>
    </row>
    <row r="2337" customFormat="false" ht="15" hidden="false" customHeight="false" outlineLevel="0" collapsed="false">
      <c r="N2337" s="0" t="str">
        <f aca="false">IF(H2337="","",IFERROR(LEFT(H2337,FIND(" ",H2337)-1),H2337))</f>
        <v/>
      </c>
      <c r="O2337" s="20" t="n">
        <f aca="false">IFERROR(DATE(VALUE(MID(N2337,FIND("/",N2337,FIND("/",N2337)+1)+1,4)),VALUE(MID(N2337,FIND("/",N2337)+1,FIND("/",N2337,FIND("/",N2337)+1)-FIND("/",N2337)-1)),VALUE(LEFT(N2337,FIND("/",N2337)-1))),0)</f>
        <v>0</v>
      </c>
    </row>
    <row r="2338" customFormat="false" ht="15" hidden="false" customHeight="false" outlineLevel="0" collapsed="false">
      <c r="N2338" s="0" t="str">
        <f aca="false">IF(H2338="","",IFERROR(LEFT(H2338,FIND(" ",H2338)-1),H2338))</f>
        <v/>
      </c>
      <c r="O2338" s="20" t="n">
        <f aca="false">IFERROR(DATE(VALUE(MID(N2338,FIND("/",N2338,FIND("/",N2338)+1)+1,4)),VALUE(MID(N2338,FIND("/",N2338)+1,FIND("/",N2338,FIND("/",N2338)+1)-FIND("/",N2338)-1)),VALUE(LEFT(N2338,FIND("/",N2338)-1))),0)</f>
        <v>0</v>
      </c>
    </row>
    <row r="2339" customFormat="false" ht="15" hidden="false" customHeight="false" outlineLevel="0" collapsed="false">
      <c r="N2339" s="0" t="str">
        <f aca="false">IF(H2339="","",IFERROR(LEFT(H2339,FIND(" ",H2339)-1),H2339))</f>
        <v/>
      </c>
      <c r="O2339" s="20" t="n">
        <f aca="false">IFERROR(DATE(VALUE(MID(N2339,FIND("/",N2339,FIND("/",N2339)+1)+1,4)),VALUE(MID(N2339,FIND("/",N2339)+1,FIND("/",N2339,FIND("/",N2339)+1)-FIND("/",N2339)-1)),VALUE(LEFT(N2339,FIND("/",N2339)-1))),0)</f>
        <v>0</v>
      </c>
    </row>
    <row r="2340" customFormat="false" ht="15" hidden="false" customHeight="false" outlineLevel="0" collapsed="false">
      <c r="N2340" s="0" t="str">
        <f aca="false">IF(H2340="","",IFERROR(LEFT(H2340,FIND(" ",H2340)-1),H2340))</f>
        <v/>
      </c>
      <c r="O2340" s="20" t="n">
        <f aca="false">IFERROR(DATE(VALUE(MID(N2340,FIND("/",N2340,FIND("/",N2340)+1)+1,4)),VALUE(MID(N2340,FIND("/",N2340)+1,FIND("/",N2340,FIND("/",N2340)+1)-FIND("/",N2340)-1)),VALUE(LEFT(N2340,FIND("/",N2340)-1))),0)</f>
        <v>0</v>
      </c>
    </row>
    <row r="2341" customFormat="false" ht="15" hidden="false" customHeight="false" outlineLevel="0" collapsed="false">
      <c r="N2341" s="0" t="str">
        <f aca="false">IF(H2341="","",IFERROR(LEFT(H2341,FIND(" ",H2341)-1),H2341))</f>
        <v/>
      </c>
      <c r="O2341" s="20" t="n">
        <f aca="false">IFERROR(DATE(VALUE(MID(N2341,FIND("/",N2341,FIND("/",N2341)+1)+1,4)),VALUE(MID(N2341,FIND("/",N2341)+1,FIND("/",N2341,FIND("/",N2341)+1)-FIND("/",N2341)-1)),VALUE(LEFT(N2341,FIND("/",N2341)-1))),0)</f>
        <v>0</v>
      </c>
    </row>
    <row r="2342" customFormat="false" ht="15" hidden="false" customHeight="false" outlineLevel="0" collapsed="false">
      <c r="N2342" s="0" t="str">
        <f aca="false">IF(H2342="","",IFERROR(LEFT(H2342,FIND(" ",H2342)-1),H2342))</f>
        <v/>
      </c>
      <c r="O2342" s="20" t="n">
        <f aca="false">IFERROR(DATE(VALUE(MID(N2342,FIND("/",N2342,FIND("/",N2342)+1)+1,4)),VALUE(MID(N2342,FIND("/",N2342)+1,FIND("/",N2342,FIND("/",N2342)+1)-FIND("/",N2342)-1)),VALUE(LEFT(N2342,FIND("/",N2342)-1))),0)</f>
        <v>0</v>
      </c>
    </row>
    <row r="2343" customFormat="false" ht="15" hidden="false" customHeight="false" outlineLevel="0" collapsed="false">
      <c r="N2343" s="0" t="str">
        <f aca="false">IF(H2343="","",IFERROR(LEFT(H2343,FIND(" ",H2343)-1),H2343))</f>
        <v/>
      </c>
      <c r="O2343" s="20" t="n">
        <f aca="false">IFERROR(DATE(VALUE(MID(N2343,FIND("/",N2343,FIND("/",N2343)+1)+1,4)),VALUE(MID(N2343,FIND("/",N2343)+1,FIND("/",N2343,FIND("/",N2343)+1)-FIND("/",N2343)-1)),VALUE(LEFT(N2343,FIND("/",N2343)-1))),0)</f>
        <v>0</v>
      </c>
    </row>
    <row r="2344" customFormat="false" ht="15" hidden="false" customHeight="false" outlineLevel="0" collapsed="false">
      <c r="N2344" s="0" t="str">
        <f aca="false">IF(H2344="","",IFERROR(LEFT(H2344,FIND(" ",H2344)-1),H2344))</f>
        <v/>
      </c>
      <c r="O2344" s="20" t="n">
        <f aca="false">IFERROR(DATE(VALUE(MID(N2344,FIND("/",N2344,FIND("/",N2344)+1)+1,4)),VALUE(MID(N2344,FIND("/",N2344)+1,FIND("/",N2344,FIND("/",N2344)+1)-FIND("/",N2344)-1)),VALUE(LEFT(N2344,FIND("/",N2344)-1))),0)</f>
        <v>0</v>
      </c>
    </row>
    <row r="2345" customFormat="false" ht="15" hidden="false" customHeight="false" outlineLevel="0" collapsed="false">
      <c r="N2345" s="0" t="str">
        <f aca="false">IF(H2345="","",IFERROR(LEFT(H2345,FIND(" ",H2345)-1),H2345))</f>
        <v/>
      </c>
      <c r="O2345" s="20" t="n">
        <f aca="false">IFERROR(DATE(VALUE(MID(N2345,FIND("/",N2345,FIND("/",N2345)+1)+1,4)),VALUE(MID(N2345,FIND("/",N2345)+1,FIND("/",N2345,FIND("/",N2345)+1)-FIND("/",N2345)-1)),VALUE(LEFT(N2345,FIND("/",N2345)-1))),0)</f>
        <v>0</v>
      </c>
    </row>
    <row r="2346" customFormat="false" ht="15" hidden="false" customHeight="false" outlineLevel="0" collapsed="false">
      <c r="N2346" s="0" t="str">
        <f aca="false">IF(H2346="","",IFERROR(LEFT(H2346,FIND(" ",H2346)-1),H2346))</f>
        <v/>
      </c>
      <c r="O2346" s="20" t="n">
        <f aca="false">IFERROR(DATE(VALUE(MID(N2346,FIND("/",N2346,FIND("/",N2346)+1)+1,4)),VALUE(MID(N2346,FIND("/",N2346)+1,FIND("/",N2346,FIND("/",N2346)+1)-FIND("/",N2346)-1)),VALUE(LEFT(N2346,FIND("/",N2346)-1))),0)</f>
        <v>0</v>
      </c>
    </row>
    <row r="2347" customFormat="false" ht="15" hidden="false" customHeight="false" outlineLevel="0" collapsed="false">
      <c r="N2347" s="0" t="str">
        <f aca="false">IF(H2347="","",IFERROR(LEFT(H2347,FIND(" ",H2347)-1),H2347))</f>
        <v/>
      </c>
      <c r="O2347" s="20" t="n">
        <f aca="false">IFERROR(DATE(VALUE(MID(N2347,FIND("/",N2347,FIND("/",N2347)+1)+1,4)),VALUE(MID(N2347,FIND("/",N2347)+1,FIND("/",N2347,FIND("/",N2347)+1)-FIND("/",N2347)-1)),VALUE(LEFT(N2347,FIND("/",N2347)-1))),0)</f>
        <v>0</v>
      </c>
    </row>
    <row r="2348" customFormat="false" ht="15" hidden="false" customHeight="false" outlineLevel="0" collapsed="false">
      <c r="N2348" s="0" t="str">
        <f aca="false">IF(H2348="","",IFERROR(LEFT(H2348,FIND(" ",H2348)-1),H2348))</f>
        <v/>
      </c>
      <c r="O2348" s="20" t="n">
        <f aca="false">IFERROR(DATE(VALUE(MID(N2348,FIND("/",N2348,FIND("/",N2348)+1)+1,4)),VALUE(MID(N2348,FIND("/",N2348)+1,FIND("/",N2348,FIND("/",N2348)+1)-FIND("/",N2348)-1)),VALUE(LEFT(N2348,FIND("/",N2348)-1))),0)</f>
        <v>0</v>
      </c>
    </row>
    <row r="2349" customFormat="false" ht="15" hidden="false" customHeight="false" outlineLevel="0" collapsed="false">
      <c r="N2349" s="0" t="str">
        <f aca="false">IF(H2349="","",IFERROR(LEFT(H2349,FIND(" ",H2349)-1),H2349))</f>
        <v/>
      </c>
      <c r="O2349" s="20" t="n">
        <f aca="false">IFERROR(DATE(VALUE(MID(N2349,FIND("/",N2349,FIND("/",N2349)+1)+1,4)),VALUE(MID(N2349,FIND("/",N2349)+1,FIND("/",N2349,FIND("/",N2349)+1)-FIND("/",N2349)-1)),VALUE(LEFT(N2349,FIND("/",N2349)-1))),0)</f>
        <v>0</v>
      </c>
    </row>
    <row r="2350" customFormat="false" ht="15" hidden="false" customHeight="false" outlineLevel="0" collapsed="false">
      <c r="N2350" s="0" t="str">
        <f aca="false">IF(H2350="","",IFERROR(LEFT(H2350,FIND(" ",H2350)-1),H2350))</f>
        <v/>
      </c>
      <c r="O2350" s="20" t="n">
        <f aca="false">IFERROR(DATE(VALUE(MID(N2350,FIND("/",N2350,FIND("/",N2350)+1)+1,4)),VALUE(MID(N2350,FIND("/",N2350)+1,FIND("/",N2350,FIND("/",N2350)+1)-FIND("/",N2350)-1)),VALUE(LEFT(N2350,FIND("/",N2350)-1))),0)</f>
        <v>0</v>
      </c>
    </row>
    <row r="2351" customFormat="false" ht="15" hidden="false" customHeight="false" outlineLevel="0" collapsed="false">
      <c r="N2351" s="0" t="str">
        <f aca="false">IF(H2351="","",IFERROR(LEFT(H2351,FIND(" ",H2351)-1),H2351))</f>
        <v/>
      </c>
      <c r="O2351" s="20" t="n">
        <f aca="false">IFERROR(DATE(VALUE(MID(N2351,FIND("/",N2351,FIND("/",N2351)+1)+1,4)),VALUE(MID(N2351,FIND("/",N2351)+1,FIND("/",N2351,FIND("/",N2351)+1)-FIND("/",N2351)-1)),VALUE(LEFT(N2351,FIND("/",N2351)-1))),0)</f>
        <v>0</v>
      </c>
    </row>
    <row r="2352" customFormat="false" ht="15" hidden="false" customHeight="false" outlineLevel="0" collapsed="false">
      <c r="N2352" s="0" t="str">
        <f aca="false">IF(H2352="","",IFERROR(LEFT(H2352,FIND(" ",H2352)-1),H2352))</f>
        <v/>
      </c>
      <c r="O2352" s="20" t="n">
        <f aca="false">IFERROR(DATE(VALUE(MID(N2352,FIND("/",N2352,FIND("/",N2352)+1)+1,4)),VALUE(MID(N2352,FIND("/",N2352)+1,FIND("/",N2352,FIND("/",N2352)+1)-FIND("/",N2352)-1)),VALUE(LEFT(N2352,FIND("/",N2352)-1))),0)</f>
        <v>0</v>
      </c>
    </row>
    <row r="2353" customFormat="false" ht="15" hidden="false" customHeight="false" outlineLevel="0" collapsed="false">
      <c r="N2353" s="0" t="str">
        <f aca="false">IF(H2353="","",IFERROR(LEFT(H2353,FIND(" ",H2353)-1),H2353))</f>
        <v/>
      </c>
      <c r="O2353" s="20" t="n">
        <f aca="false">IFERROR(DATE(VALUE(MID(N2353,FIND("/",N2353,FIND("/",N2353)+1)+1,4)),VALUE(MID(N2353,FIND("/",N2353)+1,FIND("/",N2353,FIND("/",N2353)+1)-FIND("/",N2353)-1)),VALUE(LEFT(N2353,FIND("/",N2353)-1))),0)</f>
        <v>0</v>
      </c>
    </row>
    <row r="2354" customFormat="false" ht="15" hidden="false" customHeight="false" outlineLevel="0" collapsed="false">
      <c r="N2354" s="0" t="str">
        <f aca="false">IF(H2354="","",IFERROR(LEFT(H2354,FIND(" ",H2354)-1),H2354))</f>
        <v/>
      </c>
      <c r="O2354" s="20" t="n">
        <f aca="false">IFERROR(DATE(VALUE(MID(N2354,FIND("/",N2354,FIND("/",N2354)+1)+1,4)),VALUE(MID(N2354,FIND("/",N2354)+1,FIND("/",N2354,FIND("/",N2354)+1)-FIND("/",N2354)-1)),VALUE(LEFT(N2354,FIND("/",N2354)-1))),0)</f>
        <v>0</v>
      </c>
    </row>
    <row r="2355" customFormat="false" ht="15" hidden="false" customHeight="false" outlineLevel="0" collapsed="false">
      <c r="N2355" s="0" t="str">
        <f aca="false">IF(H2355="","",IFERROR(LEFT(H2355,FIND(" ",H2355)-1),H2355))</f>
        <v/>
      </c>
      <c r="O2355" s="20" t="n">
        <f aca="false">IFERROR(DATE(VALUE(MID(N2355,FIND("/",N2355,FIND("/",N2355)+1)+1,4)),VALUE(MID(N2355,FIND("/",N2355)+1,FIND("/",N2355,FIND("/",N2355)+1)-FIND("/",N2355)-1)),VALUE(LEFT(N2355,FIND("/",N2355)-1))),0)</f>
        <v>0</v>
      </c>
    </row>
    <row r="2356" customFormat="false" ht="15" hidden="false" customHeight="false" outlineLevel="0" collapsed="false">
      <c r="N2356" s="0" t="str">
        <f aca="false">IF(H2356="","",IFERROR(LEFT(H2356,FIND(" ",H2356)-1),H2356))</f>
        <v/>
      </c>
      <c r="O2356" s="20" t="n">
        <f aca="false">IFERROR(DATE(VALUE(MID(N2356,FIND("/",N2356,FIND("/",N2356)+1)+1,4)),VALUE(MID(N2356,FIND("/",N2356)+1,FIND("/",N2356,FIND("/",N2356)+1)-FIND("/",N2356)-1)),VALUE(LEFT(N2356,FIND("/",N2356)-1))),0)</f>
        <v>0</v>
      </c>
    </row>
    <row r="2357" customFormat="false" ht="15" hidden="false" customHeight="false" outlineLevel="0" collapsed="false">
      <c r="N2357" s="0" t="str">
        <f aca="false">IF(H2357="","",IFERROR(LEFT(H2357,FIND(" ",H2357)-1),H2357))</f>
        <v/>
      </c>
      <c r="O2357" s="20" t="n">
        <f aca="false">IFERROR(DATE(VALUE(MID(N2357,FIND("/",N2357,FIND("/",N2357)+1)+1,4)),VALUE(MID(N2357,FIND("/",N2357)+1,FIND("/",N2357,FIND("/",N2357)+1)-FIND("/",N2357)-1)),VALUE(LEFT(N2357,FIND("/",N2357)-1))),0)</f>
        <v>0</v>
      </c>
    </row>
    <row r="2358" customFormat="false" ht="15" hidden="false" customHeight="false" outlineLevel="0" collapsed="false">
      <c r="N2358" s="0" t="str">
        <f aca="false">IF(H2358="","",IFERROR(LEFT(H2358,FIND(" ",H2358)-1),H2358))</f>
        <v/>
      </c>
      <c r="O2358" s="20" t="n">
        <f aca="false">IFERROR(DATE(VALUE(MID(N2358,FIND("/",N2358,FIND("/",N2358)+1)+1,4)),VALUE(MID(N2358,FIND("/",N2358)+1,FIND("/",N2358,FIND("/",N2358)+1)-FIND("/",N2358)-1)),VALUE(LEFT(N2358,FIND("/",N2358)-1))),0)</f>
        <v>0</v>
      </c>
    </row>
    <row r="2359" customFormat="false" ht="15" hidden="false" customHeight="false" outlineLevel="0" collapsed="false">
      <c r="N2359" s="0" t="str">
        <f aca="false">IF(H2359="","",IFERROR(LEFT(H2359,FIND(" ",H2359)-1),H2359))</f>
        <v/>
      </c>
      <c r="O2359" s="20" t="n">
        <f aca="false">IFERROR(DATE(VALUE(MID(N2359,FIND("/",N2359,FIND("/",N2359)+1)+1,4)),VALUE(MID(N2359,FIND("/",N2359)+1,FIND("/",N2359,FIND("/",N2359)+1)-FIND("/",N2359)-1)),VALUE(LEFT(N2359,FIND("/",N2359)-1))),0)</f>
        <v>0</v>
      </c>
    </row>
    <row r="2360" customFormat="false" ht="15" hidden="false" customHeight="false" outlineLevel="0" collapsed="false">
      <c r="N2360" s="0" t="str">
        <f aca="false">IF(H2360="","",IFERROR(LEFT(H2360,FIND(" ",H2360)-1),H2360))</f>
        <v/>
      </c>
      <c r="O2360" s="20" t="n">
        <f aca="false">IFERROR(DATE(VALUE(MID(N2360,FIND("/",N2360,FIND("/",N2360)+1)+1,4)),VALUE(MID(N2360,FIND("/",N2360)+1,FIND("/",N2360,FIND("/",N2360)+1)-FIND("/",N2360)-1)),VALUE(LEFT(N2360,FIND("/",N2360)-1))),0)</f>
        <v>0</v>
      </c>
    </row>
    <row r="2361" customFormat="false" ht="15" hidden="false" customHeight="false" outlineLevel="0" collapsed="false">
      <c r="N2361" s="0" t="str">
        <f aca="false">IF(H2361="","",IFERROR(LEFT(H2361,FIND(" ",H2361)-1),H2361))</f>
        <v/>
      </c>
      <c r="O2361" s="20" t="n">
        <f aca="false">IFERROR(DATE(VALUE(MID(N2361,FIND("/",N2361,FIND("/",N2361)+1)+1,4)),VALUE(MID(N2361,FIND("/",N2361)+1,FIND("/",N2361,FIND("/",N2361)+1)-FIND("/",N2361)-1)),VALUE(LEFT(N2361,FIND("/",N2361)-1))),0)</f>
        <v>0</v>
      </c>
    </row>
    <row r="2362" customFormat="false" ht="15" hidden="false" customHeight="false" outlineLevel="0" collapsed="false">
      <c r="N2362" s="0" t="str">
        <f aca="false">IF(H2362="","",IFERROR(LEFT(H2362,FIND(" ",H2362)-1),H2362))</f>
        <v/>
      </c>
      <c r="O2362" s="20" t="n">
        <f aca="false">IFERROR(DATE(VALUE(MID(N2362,FIND("/",N2362,FIND("/",N2362)+1)+1,4)),VALUE(MID(N2362,FIND("/",N2362)+1,FIND("/",N2362,FIND("/",N2362)+1)-FIND("/",N2362)-1)),VALUE(LEFT(N2362,FIND("/",N2362)-1))),0)</f>
        <v>0</v>
      </c>
    </row>
    <row r="2363" customFormat="false" ht="15" hidden="false" customHeight="false" outlineLevel="0" collapsed="false">
      <c r="N2363" s="0" t="str">
        <f aca="false">IF(H2363="","",IFERROR(LEFT(H2363,FIND(" ",H2363)-1),H2363))</f>
        <v/>
      </c>
      <c r="O2363" s="20" t="n">
        <f aca="false">IFERROR(DATE(VALUE(MID(N2363,FIND("/",N2363,FIND("/",N2363)+1)+1,4)),VALUE(MID(N2363,FIND("/",N2363)+1,FIND("/",N2363,FIND("/",N2363)+1)-FIND("/",N2363)-1)),VALUE(LEFT(N2363,FIND("/",N2363)-1))),0)</f>
        <v>0</v>
      </c>
    </row>
    <row r="2364" customFormat="false" ht="15" hidden="false" customHeight="false" outlineLevel="0" collapsed="false">
      <c r="N2364" s="0" t="str">
        <f aca="false">IF(H2364="","",IFERROR(LEFT(H2364,FIND(" ",H2364)-1),H2364))</f>
        <v/>
      </c>
      <c r="O2364" s="20" t="n">
        <f aca="false">IFERROR(DATE(VALUE(MID(N2364,FIND("/",N2364,FIND("/",N2364)+1)+1,4)),VALUE(MID(N2364,FIND("/",N2364)+1,FIND("/",N2364,FIND("/",N2364)+1)-FIND("/",N2364)-1)),VALUE(LEFT(N2364,FIND("/",N2364)-1))),0)</f>
        <v>0</v>
      </c>
    </row>
    <row r="2365" customFormat="false" ht="15" hidden="false" customHeight="false" outlineLevel="0" collapsed="false">
      <c r="N2365" s="0" t="str">
        <f aca="false">IF(H2365="","",IFERROR(LEFT(H2365,FIND(" ",H2365)-1),H2365))</f>
        <v/>
      </c>
      <c r="O2365" s="20" t="n">
        <f aca="false">IFERROR(DATE(VALUE(MID(N2365,FIND("/",N2365,FIND("/",N2365)+1)+1,4)),VALUE(MID(N2365,FIND("/",N2365)+1,FIND("/",N2365,FIND("/",N2365)+1)-FIND("/",N2365)-1)),VALUE(LEFT(N2365,FIND("/",N2365)-1))),0)</f>
        <v>0</v>
      </c>
    </row>
    <row r="2366" customFormat="false" ht="15" hidden="false" customHeight="false" outlineLevel="0" collapsed="false">
      <c r="N2366" s="0" t="str">
        <f aca="false">IF(H2366="","",IFERROR(LEFT(H2366,FIND(" ",H2366)-1),H2366))</f>
        <v/>
      </c>
      <c r="O2366" s="20" t="n">
        <f aca="false">IFERROR(DATE(VALUE(MID(N2366,FIND("/",N2366,FIND("/",N2366)+1)+1,4)),VALUE(MID(N2366,FIND("/",N2366)+1,FIND("/",N2366,FIND("/",N2366)+1)-FIND("/",N2366)-1)),VALUE(LEFT(N2366,FIND("/",N2366)-1))),0)</f>
        <v>0</v>
      </c>
    </row>
    <row r="2367" customFormat="false" ht="15" hidden="false" customHeight="false" outlineLevel="0" collapsed="false">
      <c r="N2367" s="0" t="str">
        <f aca="false">IF(H2367="","",IFERROR(LEFT(H2367,FIND(" ",H2367)-1),H2367))</f>
        <v/>
      </c>
      <c r="O2367" s="20" t="n">
        <f aca="false">IFERROR(DATE(VALUE(MID(N2367,FIND("/",N2367,FIND("/",N2367)+1)+1,4)),VALUE(MID(N2367,FIND("/",N2367)+1,FIND("/",N2367,FIND("/",N2367)+1)-FIND("/",N2367)-1)),VALUE(LEFT(N2367,FIND("/",N2367)-1))),0)</f>
        <v>0</v>
      </c>
    </row>
    <row r="2368" customFormat="false" ht="15" hidden="false" customHeight="false" outlineLevel="0" collapsed="false">
      <c r="N2368" s="0" t="str">
        <f aca="false">IF(H2368="","",IFERROR(LEFT(H2368,FIND(" ",H2368)-1),H2368))</f>
        <v/>
      </c>
      <c r="O2368" s="20" t="n">
        <f aca="false">IFERROR(DATE(VALUE(MID(N2368,FIND("/",N2368,FIND("/",N2368)+1)+1,4)),VALUE(MID(N2368,FIND("/",N2368)+1,FIND("/",N2368,FIND("/",N2368)+1)-FIND("/",N2368)-1)),VALUE(LEFT(N2368,FIND("/",N2368)-1))),0)</f>
        <v>0</v>
      </c>
    </row>
    <row r="2369" customFormat="false" ht="15" hidden="false" customHeight="false" outlineLevel="0" collapsed="false">
      <c r="N2369" s="0" t="str">
        <f aca="false">IF(H2369="","",IFERROR(LEFT(H2369,FIND(" ",H2369)-1),H2369))</f>
        <v/>
      </c>
      <c r="O2369" s="20" t="n">
        <f aca="false">IFERROR(DATE(VALUE(MID(N2369,FIND("/",N2369,FIND("/",N2369)+1)+1,4)),VALUE(MID(N2369,FIND("/",N2369)+1,FIND("/",N2369,FIND("/",N2369)+1)-FIND("/",N2369)-1)),VALUE(LEFT(N2369,FIND("/",N2369)-1))),0)</f>
        <v>0</v>
      </c>
    </row>
    <row r="2370" customFormat="false" ht="15" hidden="false" customHeight="false" outlineLevel="0" collapsed="false">
      <c r="N2370" s="0" t="str">
        <f aca="false">IF(H2370="","",IFERROR(LEFT(H2370,FIND(" ",H2370)-1),H2370))</f>
        <v/>
      </c>
      <c r="O2370" s="20" t="n">
        <f aca="false">IFERROR(DATE(VALUE(MID(N2370,FIND("/",N2370,FIND("/",N2370)+1)+1,4)),VALUE(MID(N2370,FIND("/",N2370)+1,FIND("/",N2370,FIND("/",N2370)+1)-FIND("/",N2370)-1)),VALUE(LEFT(N2370,FIND("/",N2370)-1))),0)</f>
        <v>0</v>
      </c>
    </row>
    <row r="2371" customFormat="false" ht="15" hidden="false" customHeight="false" outlineLevel="0" collapsed="false">
      <c r="N2371" s="0" t="str">
        <f aca="false">IF(H2371="","",IFERROR(LEFT(H2371,FIND(" ",H2371)-1),H2371))</f>
        <v/>
      </c>
      <c r="O2371" s="20" t="n">
        <f aca="false">IFERROR(DATE(VALUE(MID(N2371,FIND("/",N2371,FIND("/",N2371)+1)+1,4)),VALUE(MID(N2371,FIND("/",N2371)+1,FIND("/",N2371,FIND("/",N2371)+1)-FIND("/",N2371)-1)),VALUE(LEFT(N2371,FIND("/",N2371)-1))),0)</f>
        <v>0</v>
      </c>
    </row>
    <row r="2372" customFormat="false" ht="15" hidden="false" customHeight="false" outlineLevel="0" collapsed="false">
      <c r="N2372" s="0" t="str">
        <f aca="false">IF(H2372="","",IFERROR(LEFT(H2372,FIND(" ",H2372)-1),H2372))</f>
        <v/>
      </c>
      <c r="O2372" s="20" t="n">
        <f aca="false">IFERROR(DATE(VALUE(MID(N2372,FIND("/",N2372,FIND("/",N2372)+1)+1,4)),VALUE(MID(N2372,FIND("/",N2372)+1,FIND("/",N2372,FIND("/",N2372)+1)-FIND("/",N2372)-1)),VALUE(LEFT(N2372,FIND("/",N2372)-1))),0)</f>
        <v>0</v>
      </c>
    </row>
    <row r="2373" customFormat="false" ht="15" hidden="false" customHeight="false" outlineLevel="0" collapsed="false">
      <c r="N2373" s="0" t="str">
        <f aca="false">IF(H2373="","",IFERROR(LEFT(H2373,FIND(" ",H2373)-1),H2373))</f>
        <v/>
      </c>
      <c r="O2373" s="20" t="n">
        <f aca="false">IFERROR(DATE(VALUE(MID(N2373,FIND("/",N2373,FIND("/",N2373)+1)+1,4)),VALUE(MID(N2373,FIND("/",N2373)+1,FIND("/",N2373,FIND("/",N2373)+1)-FIND("/",N2373)-1)),VALUE(LEFT(N2373,FIND("/",N2373)-1))),0)</f>
        <v>0</v>
      </c>
    </row>
    <row r="2374" customFormat="false" ht="15" hidden="false" customHeight="false" outlineLevel="0" collapsed="false">
      <c r="N2374" s="0" t="str">
        <f aca="false">IF(H2374="","",IFERROR(LEFT(H2374,FIND(" ",H2374)-1),H2374))</f>
        <v/>
      </c>
      <c r="O2374" s="20" t="n">
        <f aca="false">IFERROR(DATE(VALUE(MID(N2374,FIND("/",N2374,FIND("/",N2374)+1)+1,4)),VALUE(MID(N2374,FIND("/",N2374)+1,FIND("/",N2374,FIND("/",N2374)+1)-FIND("/",N2374)-1)),VALUE(LEFT(N2374,FIND("/",N2374)-1))),0)</f>
        <v>0</v>
      </c>
    </row>
    <row r="2375" customFormat="false" ht="15" hidden="false" customHeight="false" outlineLevel="0" collapsed="false">
      <c r="N2375" s="0" t="str">
        <f aca="false">IF(H2375="","",IFERROR(LEFT(H2375,FIND(" ",H2375)-1),H2375))</f>
        <v/>
      </c>
      <c r="O2375" s="20" t="n">
        <f aca="false">IFERROR(DATE(VALUE(MID(N2375,FIND("/",N2375,FIND("/",N2375)+1)+1,4)),VALUE(MID(N2375,FIND("/",N2375)+1,FIND("/",N2375,FIND("/",N2375)+1)-FIND("/",N2375)-1)),VALUE(LEFT(N2375,FIND("/",N2375)-1))),0)</f>
        <v>0</v>
      </c>
    </row>
    <row r="2376" customFormat="false" ht="15" hidden="false" customHeight="false" outlineLevel="0" collapsed="false">
      <c r="N2376" s="0" t="str">
        <f aca="false">IF(H2376="","",IFERROR(LEFT(H2376,FIND(" ",H2376)-1),H2376))</f>
        <v/>
      </c>
      <c r="O2376" s="20" t="n">
        <f aca="false">IFERROR(DATE(VALUE(MID(N2376,FIND("/",N2376,FIND("/",N2376)+1)+1,4)),VALUE(MID(N2376,FIND("/",N2376)+1,FIND("/",N2376,FIND("/",N2376)+1)-FIND("/",N2376)-1)),VALUE(LEFT(N2376,FIND("/",N2376)-1))),0)</f>
        <v>0</v>
      </c>
    </row>
    <row r="2377" customFormat="false" ht="15" hidden="false" customHeight="false" outlineLevel="0" collapsed="false">
      <c r="N2377" s="0" t="str">
        <f aca="false">IF(H2377="","",IFERROR(LEFT(H2377,FIND(" ",H2377)-1),H2377))</f>
        <v/>
      </c>
      <c r="O2377" s="20" t="n">
        <f aca="false">IFERROR(DATE(VALUE(MID(N2377,FIND("/",N2377,FIND("/",N2377)+1)+1,4)),VALUE(MID(N2377,FIND("/",N2377)+1,FIND("/",N2377,FIND("/",N2377)+1)-FIND("/",N2377)-1)),VALUE(LEFT(N2377,FIND("/",N2377)-1))),0)</f>
        <v>0</v>
      </c>
    </row>
    <row r="2378" customFormat="false" ht="15" hidden="false" customHeight="false" outlineLevel="0" collapsed="false">
      <c r="N2378" s="0" t="str">
        <f aca="false">IF(H2378="","",IFERROR(LEFT(H2378,FIND(" ",H2378)-1),H2378))</f>
        <v/>
      </c>
      <c r="O2378" s="20" t="n">
        <f aca="false">IFERROR(DATE(VALUE(MID(N2378,FIND("/",N2378,FIND("/",N2378)+1)+1,4)),VALUE(MID(N2378,FIND("/",N2378)+1,FIND("/",N2378,FIND("/",N2378)+1)-FIND("/",N2378)-1)),VALUE(LEFT(N2378,FIND("/",N2378)-1))),0)</f>
        <v>0</v>
      </c>
    </row>
    <row r="2379" customFormat="false" ht="15" hidden="false" customHeight="false" outlineLevel="0" collapsed="false">
      <c r="N2379" s="0" t="str">
        <f aca="false">IF(H2379="","",IFERROR(LEFT(H2379,FIND(" ",H2379)-1),H2379))</f>
        <v/>
      </c>
      <c r="O2379" s="20" t="n">
        <f aca="false">IFERROR(DATE(VALUE(MID(N2379,FIND("/",N2379,FIND("/",N2379)+1)+1,4)),VALUE(MID(N2379,FIND("/",N2379)+1,FIND("/",N2379,FIND("/",N2379)+1)-FIND("/",N2379)-1)),VALUE(LEFT(N2379,FIND("/",N2379)-1))),0)</f>
        <v>0</v>
      </c>
    </row>
    <row r="2380" customFormat="false" ht="15" hidden="false" customHeight="false" outlineLevel="0" collapsed="false">
      <c r="N2380" s="0" t="str">
        <f aca="false">IF(H2380="","",IFERROR(LEFT(H2380,FIND(" ",H2380)-1),H2380))</f>
        <v/>
      </c>
      <c r="O2380" s="20" t="n">
        <f aca="false">IFERROR(DATE(VALUE(MID(N2380,FIND("/",N2380,FIND("/",N2380)+1)+1,4)),VALUE(MID(N2380,FIND("/",N2380)+1,FIND("/",N2380,FIND("/",N2380)+1)-FIND("/",N2380)-1)),VALUE(LEFT(N2380,FIND("/",N2380)-1))),0)</f>
        <v>0</v>
      </c>
    </row>
    <row r="2381" customFormat="false" ht="15" hidden="false" customHeight="false" outlineLevel="0" collapsed="false">
      <c r="N2381" s="0" t="str">
        <f aca="false">IF(H2381="","",IFERROR(LEFT(H2381,FIND(" ",H2381)-1),H2381))</f>
        <v/>
      </c>
      <c r="O2381" s="20" t="n">
        <f aca="false">IFERROR(DATE(VALUE(MID(N2381,FIND("/",N2381,FIND("/",N2381)+1)+1,4)),VALUE(MID(N2381,FIND("/",N2381)+1,FIND("/",N2381,FIND("/",N2381)+1)-FIND("/",N2381)-1)),VALUE(LEFT(N2381,FIND("/",N2381)-1))),0)</f>
        <v>0</v>
      </c>
    </row>
    <row r="2382" customFormat="false" ht="15" hidden="false" customHeight="false" outlineLevel="0" collapsed="false">
      <c r="N2382" s="0" t="str">
        <f aca="false">IF(H2382="","",IFERROR(LEFT(H2382,FIND(" ",H2382)-1),H2382))</f>
        <v/>
      </c>
      <c r="O2382" s="20" t="n">
        <f aca="false">IFERROR(DATE(VALUE(MID(N2382,FIND("/",N2382,FIND("/",N2382)+1)+1,4)),VALUE(MID(N2382,FIND("/",N2382)+1,FIND("/",N2382,FIND("/",N2382)+1)-FIND("/",N2382)-1)),VALUE(LEFT(N2382,FIND("/",N2382)-1))),0)</f>
        <v>0</v>
      </c>
    </row>
    <row r="2383" customFormat="false" ht="15" hidden="false" customHeight="false" outlineLevel="0" collapsed="false">
      <c r="N2383" s="0" t="str">
        <f aca="false">IF(H2383="","",IFERROR(LEFT(H2383,FIND(" ",H2383)-1),H2383))</f>
        <v/>
      </c>
      <c r="O2383" s="20" t="n">
        <f aca="false">IFERROR(DATE(VALUE(MID(N2383,FIND("/",N2383,FIND("/",N2383)+1)+1,4)),VALUE(MID(N2383,FIND("/",N2383)+1,FIND("/",N2383,FIND("/",N2383)+1)-FIND("/",N2383)-1)),VALUE(LEFT(N2383,FIND("/",N2383)-1))),0)</f>
        <v>0</v>
      </c>
    </row>
    <row r="2384" customFormat="false" ht="15" hidden="false" customHeight="false" outlineLevel="0" collapsed="false">
      <c r="N2384" s="0" t="str">
        <f aca="false">IF(H2384="","",IFERROR(LEFT(H2384,FIND(" ",H2384)-1),H2384))</f>
        <v/>
      </c>
      <c r="O2384" s="20" t="n">
        <f aca="false">IFERROR(DATE(VALUE(MID(N2384,FIND("/",N2384,FIND("/",N2384)+1)+1,4)),VALUE(MID(N2384,FIND("/",N2384)+1,FIND("/",N2384,FIND("/",N2384)+1)-FIND("/",N2384)-1)),VALUE(LEFT(N2384,FIND("/",N2384)-1))),0)</f>
        <v>0</v>
      </c>
    </row>
    <row r="2385" customFormat="false" ht="15" hidden="false" customHeight="false" outlineLevel="0" collapsed="false">
      <c r="N2385" s="0" t="str">
        <f aca="false">IF(H2385="","",IFERROR(LEFT(H2385,FIND(" ",H2385)-1),H2385))</f>
        <v/>
      </c>
      <c r="O2385" s="20" t="n">
        <f aca="false">IFERROR(DATE(VALUE(MID(N2385,FIND("/",N2385,FIND("/",N2385)+1)+1,4)),VALUE(MID(N2385,FIND("/",N2385)+1,FIND("/",N2385,FIND("/",N2385)+1)-FIND("/",N2385)-1)),VALUE(LEFT(N2385,FIND("/",N2385)-1))),0)</f>
        <v>0</v>
      </c>
    </row>
    <row r="2386" customFormat="false" ht="15" hidden="false" customHeight="false" outlineLevel="0" collapsed="false">
      <c r="N2386" s="0" t="str">
        <f aca="false">IF(H2386="","",IFERROR(LEFT(H2386,FIND(" ",H2386)-1),H2386))</f>
        <v/>
      </c>
      <c r="O2386" s="20" t="n">
        <f aca="false">IFERROR(DATE(VALUE(MID(N2386,FIND("/",N2386,FIND("/",N2386)+1)+1,4)),VALUE(MID(N2386,FIND("/",N2386)+1,FIND("/",N2386,FIND("/",N2386)+1)-FIND("/",N2386)-1)),VALUE(LEFT(N2386,FIND("/",N2386)-1))),0)</f>
        <v>0</v>
      </c>
    </row>
    <row r="2387" customFormat="false" ht="15" hidden="false" customHeight="false" outlineLevel="0" collapsed="false">
      <c r="N2387" s="0" t="str">
        <f aca="false">IF(H2387="","",IFERROR(LEFT(H2387,FIND(" ",H2387)-1),H2387))</f>
        <v/>
      </c>
      <c r="O2387" s="20" t="n">
        <f aca="false">IFERROR(DATE(VALUE(MID(N2387,FIND("/",N2387,FIND("/",N2387)+1)+1,4)),VALUE(MID(N2387,FIND("/",N2387)+1,FIND("/",N2387,FIND("/",N2387)+1)-FIND("/",N2387)-1)),VALUE(LEFT(N2387,FIND("/",N2387)-1))),0)</f>
        <v>0</v>
      </c>
    </row>
    <row r="2388" customFormat="false" ht="15" hidden="false" customHeight="false" outlineLevel="0" collapsed="false">
      <c r="N2388" s="0" t="str">
        <f aca="false">IF(H2388="","",IFERROR(LEFT(H2388,FIND(" ",H2388)-1),H2388))</f>
        <v/>
      </c>
      <c r="O2388" s="20" t="n">
        <f aca="false">IFERROR(DATE(VALUE(MID(N2388,FIND("/",N2388,FIND("/",N2388)+1)+1,4)),VALUE(MID(N2388,FIND("/",N2388)+1,FIND("/",N2388,FIND("/",N2388)+1)-FIND("/",N2388)-1)),VALUE(LEFT(N2388,FIND("/",N2388)-1))),0)</f>
        <v>0</v>
      </c>
    </row>
    <row r="2389" customFormat="false" ht="15" hidden="false" customHeight="false" outlineLevel="0" collapsed="false">
      <c r="N2389" s="0" t="str">
        <f aca="false">IF(H2389="","",IFERROR(LEFT(H2389,FIND(" ",H2389)-1),H2389))</f>
        <v/>
      </c>
      <c r="O2389" s="20" t="n">
        <f aca="false">IFERROR(DATE(VALUE(MID(N2389,FIND("/",N2389,FIND("/",N2389)+1)+1,4)),VALUE(MID(N2389,FIND("/",N2389)+1,FIND("/",N2389,FIND("/",N2389)+1)-FIND("/",N2389)-1)),VALUE(LEFT(N2389,FIND("/",N2389)-1))),0)</f>
        <v>0</v>
      </c>
    </row>
    <row r="2390" customFormat="false" ht="15" hidden="false" customHeight="false" outlineLevel="0" collapsed="false">
      <c r="N2390" s="0" t="str">
        <f aca="false">IF(H2390="","",IFERROR(LEFT(H2390,FIND(" ",H2390)-1),H2390))</f>
        <v/>
      </c>
      <c r="O2390" s="20" t="n">
        <f aca="false">IFERROR(DATE(VALUE(MID(N2390,FIND("/",N2390,FIND("/",N2390)+1)+1,4)),VALUE(MID(N2390,FIND("/",N2390)+1,FIND("/",N2390,FIND("/",N2390)+1)-FIND("/",N2390)-1)),VALUE(LEFT(N2390,FIND("/",N2390)-1))),0)</f>
        <v>0</v>
      </c>
    </row>
    <row r="2391" customFormat="false" ht="15" hidden="false" customHeight="false" outlineLevel="0" collapsed="false">
      <c r="N2391" s="0" t="str">
        <f aca="false">IF(H2391="","",IFERROR(LEFT(H2391,FIND(" ",H2391)-1),H2391))</f>
        <v/>
      </c>
      <c r="O2391" s="20" t="n">
        <f aca="false">IFERROR(DATE(VALUE(MID(N2391,FIND("/",N2391,FIND("/",N2391)+1)+1,4)),VALUE(MID(N2391,FIND("/",N2391)+1,FIND("/",N2391,FIND("/",N2391)+1)-FIND("/",N2391)-1)),VALUE(LEFT(N2391,FIND("/",N2391)-1))),0)</f>
        <v>0</v>
      </c>
    </row>
    <row r="2392" customFormat="false" ht="15" hidden="false" customHeight="false" outlineLevel="0" collapsed="false">
      <c r="N2392" s="0" t="str">
        <f aca="false">IF(H2392="","",IFERROR(LEFT(H2392,FIND(" ",H2392)-1),H2392))</f>
        <v/>
      </c>
      <c r="O2392" s="20" t="n">
        <f aca="false">IFERROR(DATE(VALUE(MID(N2392,FIND("/",N2392,FIND("/",N2392)+1)+1,4)),VALUE(MID(N2392,FIND("/",N2392)+1,FIND("/",N2392,FIND("/",N2392)+1)-FIND("/",N2392)-1)),VALUE(LEFT(N2392,FIND("/",N2392)-1))),0)</f>
        <v>0</v>
      </c>
    </row>
    <row r="2393" customFormat="false" ht="15" hidden="false" customHeight="false" outlineLevel="0" collapsed="false">
      <c r="N2393" s="0" t="str">
        <f aca="false">IF(H2393="","",IFERROR(LEFT(H2393,FIND(" ",H2393)-1),H2393))</f>
        <v/>
      </c>
      <c r="O2393" s="20" t="n">
        <f aca="false">IFERROR(DATE(VALUE(MID(N2393,FIND("/",N2393,FIND("/",N2393)+1)+1,4)),VALUE(MID(N2393,FIND("/",N2393)+1,FIND("/",N2393,FIND("/",N2393)+1)-FIND("/",N2393)-1)),VALUE(LEFT(N2393,FIND("/",N2393)-1))),0)</f>
        <v>0</v>
      </c>
    </row>
    <row r="2394" customFormat="false" ht="15" hidden="false" customHeight="false" outlineLevel="0" collapsed="false">
      <c r="N2394" s="0" t="str">
        <f aca="false">IF(H2394="","",IFERROR(LEFT(H2394,FIND(" ",H2394)-1),H2394))</f>
        <v/>
      </c>
      <c r="O2394" s="20" t="n">
        <f aca="false">IFERROR(DATE(VALUE(MID(N2394,FIND("/",N2394,FIND("/",N2394)+1)+1,4)),VALUE(MID(N2394,FIND("/",N2394)+1,FIND("/",N2394,FIND("/",N2394)+1)-FIND("/",N2394)-1)),VALUE(LEFT(N2394,FIND("/",N2394)-1))),0)</f>
        <v>0</v>
      </c>
    </row>
    <row r="2395" customFormat="false" ht="15" hidden="false" customHeight="false" outlineLevel="0" collapsed="false">
      <c r="N2395" s="0" t="str">
        <f aca="false">IF(H2395="","",IFERROR(LEFT(H2395,FIND(" ",H2395)-1),H2395))</f>
        <v/>
      </c>
      <c r="O2395" s="20" t="n">
        <f aca="false">IFERROR(DATE(VALUE(MID(N2395,FIND("/",N2395,FIND("/",N2395)+1)+1,4)),VALUE(MID(N2395,FIND("/",N2395)+1,FIND("/",N2395,FIND("/",N2395)+1)-FIND("/",N2395)-1)),VALUE(LEFT(N2395,FIND("/",N2395)-1))),0)</f>
        <v>0</v>
      </c>
    </row>
    <row r="2396" customFormat="false" ht="15" hidden="false" customHeight="false" outlineLevel="0" collapsed="false">
      <c r="N2396" s="0" t="str">
        <f aca="false">IF(H2396="","",IFERROR(LEFT(H2396,FIND(" ",H2396)-1),H2396))</f>
        <v/>
      </c>
      <c r="O2396" s="20" t="n">
        <f aca="false">IFERROR(DATE(VALUE(MID(N2396,FIND("/",N2396,FIND("/",N2396)+1)+1,4)),VALUE(MID(N2396,FIND("/",N2396)+1,FIND("/",N2396,FIND("/",N2396)+1)-FIND("/",N2396)-1)),VALUE(LEFT(N2396,FIND("/",N2396)-1))),0)</f>
        <v>0</v>
      </c>
    </row>
    <row r="2397" customFormat="false" ht="15" hidden="false" customHeight="false" outlineLevel="0" collapsed="false">
      <c r="N2397" s="0" t="str">
        <f aca="false">IF(H2397="","",IFERROR(LEFT(H2397,FIND(" ",H2397)-1),H2397))</f>
        <v/>
      </c>
      <c r="O2397" s="20" t="n">
        <f aca="false">IFERROR(DATE(VALUE(MID(N2397,FIND("/",N2397,FIND("/",N2397)+1)+1,4)),VALUE(MID(N2397,FIND("/",N2397)+1,FIND("/",N2397,FIND("/",N2397)+1)-FIND("/",N2397)-1)),VALUE(LEFT(N2397,FIND("/",N2397)-1))),0)</f>
        <v>0</v>
      </c>
    </row>
    <row r="2398" customFormat="false" ht="15" hidden="false" customHeight="false" outlineLevel="0" collapsed="false">
      <c r="N2398" s="0" t="str">
        <f aca="false">IF(H2398="","",IFERROR(LEFT(H2398,FIND(" ",H2398)-1),H2398))</f>
        <v/>
      </c>
      <c r="O2398" s="20" t="n">
        <f aca="false">IFERROR(DATE(VALUE(MID(N2398,FIND("/",N2398,FIND("/",N2398)+1)+1,4)),VALUE(MID(N2398,FIND("/",N2398)+1,FIND("/",N2398,FIND("/",N2398)+1)-FIND("/",N2398)-1)),VALUE(LEFT(N2398,FIND("/",N2398)-1))),0)</f>
        <v>0</v>
      </c>
    </row>
    <row r="2399" customFormat="false" ht="15" hidden="false" customHeight="false" outlineLevel="0" collapsed="false">
      <c r="N2399" s="0" t="str">
        <f aca="false">IF(H2399="","",IFERROR(LEFT(H2399,FIND(" ",H2399)-1),H2399))</f>
        <v/>
      </c>
      <c r="O2399" s="20" t="n">
        <f aca="false">IFERROR(DATE(VALUE(MID(N2399,FIND("/",N2399,FIND("/",N2399)+1)+1,4)),VALUE(MID(N2399,FIND("/",N2399)+1,FIND("/",N2399,FIND("/",N2399)+1)-FIND("/",N2399)-1)),VALUE(LEFT(N2399,FIND("/",N2399)-1))),0)</f>
        <v>0</v>
      </c>
    </row>
    <row r="2400" customFormat="false" ht="15" hidden="false" customHeight="false" outlineLevel="0" collapsed="false">
      <c r="N2400" s="0" t="str">
        <f aca="false">IF(H2400="","",IFERROR(LEFT(H2400,FIND(" ",H2400)-1),H2400))</f>
        <v/>
      </c>
      <c r="O2400" s="20" t="n">
        <f aca="false">IFERROR(DATE(VALUE(MID(N2400,FIND("/",N2400,FIND("/",N2400)+1)+1,4)),VALUE(MID(N2400,FIND("/",N2400)+1,FIND("/",N2400,FIND("/",N2400)+1)-FIND("/",N2400)-1)),VALUE(LEFT(N2400,FIND("/",N2400)-1))),0)</f>
        <v>0</v>
      </c>
    </row>
    <row r="2401" customFormat="false" ht="15" hidden="false" customHeight="false" outlineLevel="0" collapsed="false">
      <c r="N2401" s="0" t="str">
        <f aca="false">IF(H2401="","",IFERROR(LEFT(H2401,FIND(" ",H2401)-1),H2401))</f>
        <v/>
      </c>
      <c r="O2401" s="20" t="n">
        <f aca="false">IFERROR(DATE(VALUE(MID(N2401,FIND("/",N2401,FIND("/",N2401)+1)+1,4)),VALUE(MID(N2401,FIND("/",N2401)+1,FIND("/",N2401,FIND("/",N2401)+1)-FIND("/",N2401)-1)),VALUE(LEFT(N2401,FIND("/",N2401)-1))),0)</f>
        <v>0</v>
      </c>
    </row>
    <row r="2402" customFormat="false" ht="15" hidden="false" customHeight="false" outlineLevel="0" collapsed="false">
      <c r="N2402" s="0" t="str">
        <f aca="false">IF(H2402="","",IFERROR(LEFT(H2402,FIND(" ",H2402)-1),H2402))</f>
        <v/>
      </c>
      <c r="O2402" s="20" t="n">
        <f aca="false">IFERROR(DATE(VALUE(MID(N2402,FIND("/",N2402,FIND("/",N2402)+1)+1,4)),VALUE(MID(N2402,FIND("/",N2402)+1,FIND("/",N2402,FIND("/",N2402)+1)-FIND("/",N2402)-1)),VALUE(LEFT(N2402,FIND("/",N2402)-1))),0)</f>
        <v>0</v>
      </c>
    </row>
    <row r="2403" customFormat="false" ht="15" hidden="false" customHeight="false" outlineLevel="0" collapsed="false">
      <c r="N2403" s="0" t="str">
        <f aca="false">IF(H2403="","",IFERROR(LEFT(H2403,FIND(" ",H2403)-1),H2403))</f>
        <v/>
      </c>
      <c r="O2403" s="20" t="n">
        <f aca="false">IFERROR(DATE(VALUE(MID(N2403,FIND("/",N2403,FIND("/",N2403)+1)+1,4)),VALUE(MID(N2403,FIND("/",N2403)+1,FIND("/",N2403,FIND("/",N2403)+1)-FIND("/",N2403)-1)),VALUE(LEFT(N2403,FIND("/",N2403)-1))),0)</f>
        <v>0</v>
      </c>
    </row>
    <row r="2404" customFormat="false" ht="15" hidden="false" customHeight="false" outlineLevel="0" collapsed="false">
      <c r="N2404" s="0" t="str">
        <f aca="false">IF(H2404="","",IFERROR(LEFT(H2404,FIND(" ",H2404)-1),H2404))</f>
        <v/>
      </c>
      <c r="O2404" s="20" t="n">
        <f aca="false">IFERROR(DATE(VALUE(MID(N2404,FIND("/",N2404,FIND("/",N2404)+1)+1,4)),VALUE(MID(N2404,FIND("/",N2404)+1,FIND("/",N2404,FIND("/",N2404)+1)-FIND("/",N2404)-1)),VALUE(LEFT(N2404,FIND("/",N2404)-1))),0)</f>
        <v>0</v>
      </c>
    </row>
    <row r="2405" customFormat="false" ht="15" hidden="false" customHeight="false" outlineLevel="0" collapsed="false">
      <c r="N2405" s="0" t="str">
        <f aca="false">IF(H2405="","",IFERROR(LEFT(H2405,FIND(" ",H2405)-1),H2405))</f>
        <v/>
      </c>
      <c r="O2405" s="20" t="n">
        <f aca="false">IFERROR(DATE(VALUE(MID(N2405,FIND("/",N2405,FIND("/",N2405)+1)+1,4)),VALUE(MID(N2405,FIND("/",N2405)+1,FIND("/",N2405,FIND("/",N2405)+1)-FIND("/",N2405)-1)),VALUE(LEFT(N2405,FIND("/",N2405)-1))),0)</f>
        <v>0</v>
      </c>
    </row>
    <row r="2406" customFormat="false" ht="15" hidden="false" customHeight="false" outlineLevel="0" collapsed="false">
      <c r="N2406" s="0" t="str">
        <f aca="false">IF(H2406="","",IFERROR(LEFT(H2406,FIND(" ",H2406)-1),H2406))</f>
        <v/>
      </c>
      <c r="O2406" s="20" t="n">
        <f aca="false">IFERROR(DATE(VALUE(MID(N2406,FIND("/",N2406,FIND("/",N2406)+1)+1,4)),VALUE(MID(N2406,FIND("/",N2406)+1,FIND("/",N2406,FIND("/",N2406)+1)-FIND("/",N2406)-1)),VALUE(LEFT(N2406,FIND("/",N2406)-1))),0)</f>
        <v>0</v>
      </c>
    </row>
    <row r="2407" customFormat="false" ht="15" hidden="false" customHeight="false" outlineLevel="0" collapsed="false">
      <c r="N2407" s="0" t="str">
        <f aca="false">IF(H2407="","",IFERROR(LEFT(H2407,FIND(" ",H2407)-1),H2407))</f>
        <v/>
      </c>
      <c r="O2407" s="20" t="n">
        <f aca="false">IFERROR(DATE(VALUE(MID(N2407,FIND("/",N2407,FIND("/",N2407)+1)+1,4)),VALUE(MID(N2407,FIND("/",N2407)+1,FIND("/",N2407,FIND("/",N2407)+1)-FIND("/",N2407)-1)),VALUE(LEFT(N2407,FIND("/",N2407)-1))),0)</f>
        <v>0</v>
      </c>
    </row>
    <row r="2408" customFormat="false" ht="15" hidden="false" customHeight="false" outlineLevel="0" collapsed="false">
      <c r="N2408" s="0" t="str">
        <f aca="false">IF(H2408="","",IFERROR(LEFT(H2408,FIND(" ",H2408)-1),H2408))</f>
        <v/>
      </c>
      <c r="O2408" s="20" t="n">
        <f aca="false">IFERROR(DATE(VALUE(MID(N2408,FIND("/",N2408,FIND("/",N2408)+1)+1,4)),VALUE(MID(N2408,FIND("/",N2408)+1,FIND("/",N2408,FIND("/",N2408)+1)-FIND("/",N2408)-1)),VALUE(LEFT(N2408,FIND("/",N2408)-1))),0)</f>
        <v>0</v>
      </c>
    </row>
    <row r="2409" customFormat="false" ht="15" hidden="false" customHeight="false" outlineLevel="0" collapsed="false">
      <c r="N2409" s="0" t="str">
        <f aca="false">IF(H2409="","",IFERROR(LEFT(H2409,FIND(" ",H2409)-1),H2409))</f>
        <v/>
      </c>
      <c r="O2409" s="20" t="n">
        <f aca="false">IFERROR(DATE(VALUE(MID(N2409,FIND("/",N2409,FIND("/",N2409)+1)+1,4)),VALUE(MID(N2409,FIND("/",N2409)+1,FIND("/",N2409,FIND("/",N2409)+1)-FIND("/",N2409)-1)),VALUE(LEFT(N2409,FIND("/",N2409)-1))),0)</f>
        <v>0</v>
      </c>
    </row>
    <row r="2410" customFormat="false" ht="15" hidden="false" customHeight="false" outlineLevel="0" collapsed="false">
      <c r="N2410" s="0" t="str">
        <f aca="false">IF(H2410="","",IFERROR(LEFT(H2410,FIND(" ",H2410)-1),H2410))</f>
        <v/>
      </c>
      <c r="O2410" s="20" t="n">
        <f aca="false">IFERROR(DATE(VALUE(MID(N2410,FIND("/",N2410,FIND("/",N2410)+1)+1,4)),VALUE(MID(N2410,FIND("/",N2410)+1,FIND("/",N2410,FIND("/",N2410)+1)-FIND("/",N2410)-1)),VALUE(LEFT(N2410,FIND("/",N2410)-1))),0)</f>
        <v>0</v>
      </c>
    </row>
    <row r="2411" customFormat="false" ht="15" hidden="false" customHeight="false" outlineLevel="0" collapsed="false">
      <c r="N2411" s="0" t="str">
        <f aca="false">IF(H2411="","",IFERROR(LEFT(H2411,FIND(" ",H2411)-1),H2411))</f>
        <v/>
      </c>
      <c r="O2411" s="20" t="n">
        <f aca="false">IFERROR(DATE(VALUE(MID(N2411,FIND("/",N2411,FIND("/",N2411)+1)+1,4)),VALUE(MID(N2411,FIND("/",N2411)+1,FIND("/",N2411,FIND("/",N2411)+1)-FIND("/",N2411)-1)),VALUE(LEFT(N2411,FIND("/",N2411)-1))),0)</f>
        <v>0</v>
      </c>
    </row>
    <row r="2412" customFormat="false" ht="15" hidden="false" customHeight="false" outlineLevel="0" collapsed="false">
      <c r="N2412" s="0" t="str">
        <f aca="false">IF(H2412="","",IFERROR(LEFT(H2412,FIND(" ",H2412)-1),H2412))</f>
        <v/>
      </c>
      <c r="O2412" s="20" t="n">
        <f aca="false">IFERROR(DATE(VALUE(MID(N2412,FIND("/",N2412,FIND("/",N2412)+1)+1,4)),VALUE(MID(N2412,FIND("/",N2412)+1,FIND("/",N2412,FIND("/",N2412)+1)-FIND("/",N2412)-1)),VALUE(LEFT(N2412,FIND("/",N2412)-1))),0)</f>
        <v>0</v>
      </c>
    </row>
    <row r="2413" customFormat="false" ht="15" hidden="false" customHeight="false" outlineLevel="0" collapsed="false">
      <c r="N2413" s="0" t="str">
        <f aca="false">IF(H2413="","",IFERROR(LEFT(H2413,FIND(" ",H2413)-1),H2413))</f>
        <v/>
      </c>
      <c r="O2413" s="20" t="n">
        <f aca="false">IFERROR(DATE(VALUE(MID(N2413,FIND("/",N2413,FIND("/",N2413)+1)+1,4)),VALUE(MID(N2413,FIND("/",N2413)+1,FIND("/",N2413,FIND("/",N2413)+1)-FIND("/",N2413)-1)),VALUE(LEFT(N2413,FIND("/",N2413)-1))),0)</f>
        <v>0</v>
      </c>
    </row>
    <row r="2414" customFormat="false" ht="15" hidden="false" customHeight="false" outlineLevel="0" collapsed="false">
      <c r="N2414" s="0" t="str">
        <f aca="false">IF(H2414="","",IFERROR(LEFT(H2414,FIND(" ",H2414)-1),H2414))</f>
        <v/>
      </c>
      <c r="O2414" s="20" t="n">
        <f aca="false">IFERROR(DATE(VALUE(MID(N2414,FIND("/",N2414,FIND("/",N2414)+1)+1,4)),VALUE(MID(N2414,FIND("/",N2414)+1,FIND("/",N2414,FIND("/",N2414)+1)-FIND("/",N2414)-1)),VALUE(LEFT(N2414,FIND("/",N2414)-1))),0)</f>
        <v>0</v>
      </c>
    </row>
    <row r="2415" customFormat="false" ht="15" hidden="false" customHeight="false" outlineLevel="0" collapsed="false">
      <c r="N2415" s="0" t="str">
        <f aca="false">IF(H2415="","",IFERROR(LEFT(H2415,FIND(" ",H2415)-1),H2415))</f>
        <v/>
      </c>
      <c r="O2415" s="20" t="n">
        <f aca="false">IFERROR(DATE(VALUE(MID(N2415,FIND("/",N2415,FIND("/",N2415)+1)+1,4)),VALUE(MID(N2415,FIND("/",N2415)+1,FIND("/",N2415,FIND("/",N2415)+1)-FIND("/",N2415)-1)),VALUE(LEFT(N2415,FIND("/",N2415)-1))),0)</f>
        <v>0</v>
      </c>
    </row>
    <row r="2416" customFormat="false" ht="15" hidden="false" customHeight="false" outlineLevel="0" collapsed="false">
      <c r="N2416" s="0" t="str">
        <f aca="false">IF(H2416="","",IFERROR(LEFT(H2416,FIND(" ",H2416)-1),H2416))</f>
        <v/>
      </c>
      <c r="O2416" s="20" t="n">
        <f aca="false">IFERROR(DATE(VALUE(MID(N2416,FIND("/",N2416,FIND("/",N2416)+1)+1,4)),VALUE(MID(N2416,FIND("/",N2416)+1,FIND("/",N2416,FIND("/",N2416)+1)-FIND("/",N2416)-1)),VALUE(LEFT(N2416,FIND("/",N2416)-1))),0)</f>
        <v>0</v>
      </c>
    </row>
    <row r="2417" customFormat="false" ht="15" hidden="false" customHeight="false" outlineLevel="0" collapsed="false">
      <c r="N2417" s="0" t="str">
        <f aca="false">IF(H2417="","",IFERROR(LEFT(H2417,FIND(" ",H2417)-1),H2417))</f>
        <v/>
      </c>
      <c r="O2417" s="20" t="n">
        <f aca="false">IFERROR(DATE(VALUE(MID(N2417,FIND("/",N2417,FIND("/",N2417)+1)+1,4)),VALUE(MID(N2417,FIND("/",N2417)+1,FIND("/",N2417,FIND("/",N2417)+1)-FIND("/",N2417)-1)),VALUE(LEFT(N2417,FIND("/",N2417)-1))),0)</f>
        <v>0</v>
      </c>
    </row>
    <row r="2418" customFormat="false" ht="15" hidden="false" customHeight="false" outlineLevel="0" collapsed="false">
      <c r="N2418" s="0" t="str">
        <f aca="false">IF(H2418="","",IFERROR(LEFT(H2418,FIND(" ",H2418)-1),H2418))</f>
        <v/>
      </c>
      <c r="O2418" s="20" t="n">
        <f aca="false">IFERROR(DATE(VALUE(MID(N2418,FIND("/",N2418,FIND("/",N2418)+1)+1,4)),VALUE(MID(N2418,FIND("/",N2418)+1,FIND("/",N2418,FIND("/",N2418)+1)-FIND("/",N2418)-1)),VALUE(LEFT(N2418,FIND("/",N2418)-1))),0)</f>
        <v>0</v>
      </c>
    </row>
    <row r="2419" customFormat="false" ht="15" hidden="false" customHeight="false" outlineLevel="0" collapsed="false">
      <c r="N2419" s="0" t="str">
        <f aca="false">IF(H2419="","",IFERROR(LEFT(H2419,FIND(" ",H2419)-1),H2419))</f>
        <v/>
      </c>
      <c r="O2419" s="20" t="n">
        <f aca="false">IFERROR(DATE(VALUE(MID(N2419,FIND("/",N2419,FIND("/",N2419)+1)+1,4)),VALUE(MID(N2419,FIND("/",N2419)+1,FIND("/",N2419,FIND("/",N2419)+1)-FIND("/",N2419)-1)),VALUE(LEFT(N2419,FIND("/",N2419)-1))),0)</f>
        <v>0</v>
      </c>
    </row>
    <row r="2420" customFormat="false" ht="15" hidden="false" customHeight="false" outlineLevel="0" collapsed="false">
      <c r="N2420" s="0" t="str">
        <f aca="false">IF(H2420="","",IFERROR(LEFT(H2420,FIND(" ",H2420)-1),H2420))</f>
        <v/>
      </c>
      <c r="O2420" s="20" t="n">
        <f aca="false">IFERROR(DATE(VALUE(MID(N2420,FIND("/",N2420,FIND("/",N2420)+1)+1,4)),VALUE(MID(N2420,FIND("/",N2420)+1,FIND("/",N2420,FIND("/",N2420)+1)-FIND("/",N2420)-1)),VALUE(LEFT(N2420,FIND("/",N2420)-1))),0)</f>
        <v>0</v>
      </c>
    </row>
    <row r="2421" customFormat="false" ht="15" hidden="false" customHeight="false" outlineLevel="0" collapsed="false">
      <c r="N2421" s="0" t="str">
        <f aca="false">IF(H2421="","",IFERROR(LEFT(H2421,FIND(" ",H2421)-1),H2421))</f>
        <v/>
      </c>
      <c r="O2421" s="20" t="n">
        <f aca="false">IFERROR(DATE(VALUE(MID(N2421,FIND("/",N2421,FIND("/",N2421)+1)+1,4)),VALUE(MID(N2421,FIND("/",N2421)+1,FIND("/",N2421,FIND("/",N2421)+1)-FIND("/",N2421)-1)),VALUE(LEFT(N2421,FIND("/",N2421)-1))),0)</f>
        <v>0</v>
      </c>
    </row>
    <row r="2422" customFormat="false" ht="15" hidden="false" customHeight="false" outlineLevel="0" collapsed="false">
      <c r="N2422" s="0" t="str">
        <f aca="false">IF(H2422="","",IFERROR(LEFT(H2422,FIND(" ",H2422)-1),H2422))</f>
        <v/>
      </c>
      <c r="O2422" s="20" t="n">
        <f aca="false">IFERROR(DATE(VALUE(MID(N2422,FIND("/",N2422,FIND("/",N2422)+1)+1,4)),VALUE(MID(N2422,FIND("/",N2422)+1,FIND("/",N2422,FIND("/",N2422)+1)-FIND("/",N2422)-1)),VALUE(LEFT(N2422,FIND("/",N2422)-1))),0)</f>
        <v>0</v>
      </c>
    </row>
    <row r="2423" customFormat="false" ht="15" hidden="false" customHeight="false" outlineLevel="0" collapsed="false">
      <c r="N2423" s="0" t="str">
        <f aca="false">IF(H2423="","",IFERROR(LEFT(H2423,FIND(" ",H2423)-1),H2423))</f>
        <v/>
      </c>
      <c r="O2423" s="20" t="n">
        <f aca="false">IFERROR(DATE(VALUE(MID(N2423,FIND("/",N2423,FIND("/",N2423)+1)+1,4)),VALUE(MID(N2423,FIND("/",N2423)+1,FIND("/",N2423,FIND("/",N2423)+1)-FIND("/",N2423)-1)),VALUE(LEFT(N2423,FIND("/",N2423)-1))),0)</f>
        <v>0</v>
      </c>
    </row>
    <row r="2424" customFormat="false" ht="15" hidden="false" customHeight="false" outlineLevel="0" collapsed="false">
      <c r="N2424" s="0" t="str">
        <f aca="false">IF(H2424="","",IFERROR(LEFT(H2424,FIND(" ",H2424)-1),H2424))</f>
        <v/>
      </c>
      <c r="O2424" s="20" t="n">
        <f aca="false">IFERROR(DATE(VALUE(MID(N2424,FIND("/",N2424,FIND("/",N2424)+1)+1,4)),VALUE(MID(N2424,FIND("/",N2424)+1,FIND("/",N2424,FIND("/",N2424)+1)-FIND("/",N2424)-1)),VALUE(LEFT(N2424,FIND("/",N2424)-1))),0)</f>
        <v>0</v>
      </c>
    </row>
    <row r="2425" customFormat="false" ht="15" hidden="false" customHeight="false" outlineLevel="0" collapsed="false">
      <c r="N2425" s="0" t="str">
        <f aca="false">IF(H2425="","",IFERROR(LEFT(H2425,FIND(" ",H2425)-1),H2425))</f>
        <v/>
      </c>
      <c r="O2425" s="20" t="n">
        <f aca="false">IFERROR(DATE(VALUE(MID(N2425,FIND("/",N2425,FIND("/",N2425)+1)+1,4)),VALUE(MID(N2425,FIND("/",N2425)+1,FIND("/",N2425,FIND("/",N2425)+1)-FIND("/",N2425)-1)),VALUE(LEFT(N2425,FIND("/",N2425)-1))),0)</f>
        <v>0</v>
      </c>
    </row>
    <row r="2426" customFormat="false" ht="15" hidden="false" customHeight="false" outlineLevel="0" collapsed="false">
      <c r="N2426" s="0" t="str">
        <f aca="false">IF(H2426="","",IFERROR(LEFT(H2426,FIND(" ",H2426)-1),H2426))</f>
        <v/>
      </c>
      <c r="O2426" s="20" t="n">
        <f aca="false">IFERROR(DATE(VALUE(MID(N2426,FIND("/",N2426,FIND("/",N2426)+1)+1,4)),VALUE(MID(N2426,FIND("/",N2426)+1,FIND("/",N2426,FIND("/",N2426)+1)-FIND("/",N2426)-1)),VALUE(LEFT(N2426,FIND("/",N2426)-1))),0)</f>
        <v>0</v>
      </c>
    </row>
    <row r="2427" customFormat="false" ht="15" hidden="false" customHeight="false" outlineLevel="0" collapsed="false">
      <c r="N2427" s="0" t="str">
        <f aca="false">IF(H2427="","",IFERROR(LEFT(H2427,FIND(" ",H2427)-1),H2427))</f>
        <v/>
      </c>
      <c r="O2427" s="20" t="n">
        <f aca="false">IFERROR(DATE(VALUE(MID(N2427,FIND("/",N2427,FIND("/",N2427)+1)+1,4)),VALUE(MID(N2427,FIND("/",N2427)+1,FIND("/",N2427,FIND("/",N2427)+1)-FIND("/",N2427)-1)),VALUE(LEFT(N2427,FIND("/",N2427)-1))),0)</f>
        <v>0</v>
      </c>
    </row>
    <row r="2428" customFormat="false" ht="15" hidden="false" customHeight="false" outlineLevel="0" collapsed="false">
      <c r="N2428" s="0" t="str">
        <f aca="false">IF(H2428="","",IFERROR(LEFT(H2428,FIND(" ",H2428)-1),H2428))</f>
        <v/>
      </c>
      <c r="O2428" s="20" t="n">
        <f aca="false">IFERROR(DATE(VALUE(MID(N2428,FIND("/",N2428,FIND("/",N2428)+1)+1,4)),VALUE(MID(N2428,FIND("/",N2428)+1,FIND("/",N2428,FIND("/",N2428)+1)-FIND("/",N2428)-1)),VALUE(LEFT(N2428,FIND("/",N2428)-1))),0)</f>
        <v>0</v>
      </c>
    </row>
    <row r="2429" customFormat="false" ht="15" hidden="false" customHeight="false" outlineLevel="0" collapsed="false">
      <c r="N2429" s="0" t="str">
        <f aca="false">IF(H2429="","",IFERROR(LEFT(H2429,FIND(" ",H2429)-1),H2429))</f>
        <v/>
      </c>
      <c r="O2429" s="20" t="n">
        <f aca="false">IFERROR(DATE(VALUE(MID(N2429,FIND("/",N2429,FIND("/",N2429)+1)+1,4)),VALUE(MID(N2429,FIND("/",N2429)+1,FIND("/",N2429,FIND("/",N2429)+1)-FIND("/",N2429)-1)),VALUE(LEFT(N2429,FIND("/",N2429)-1))),0)</f>
        <v>0</v>
      </c>
    </row>
    <row r="2430" customFormat="false" ht="15" hidden="false" customHeight="false" outlineLevel="0" collapsed="false">
      <c r="N2430" s="0" t="str">
        <f aca="false">IF(H2430="","",IFERROR(LEFT(H2430,FIND(" ",H2430)-1),H2430))</f>
        <v/>
      </c>
      <c r="O2430" s="20" t="n">
        <f aca="false">IFERROR(DATE(VALUE(MID(N2430,FIND("/",N2430,FIND("/",N2430)+1)+1,4)),VALUE(MID(N2430,FIND("/",N2430)+1,FIND("/",N2430,FIND("/",N2430)+1)-FIND("/",N2430)-1)),VALUE(LEFT(N2430,FIND("/",N2430)-1))),0)</f>
        <v>0</v>
      </c>
    </row>
    <row r="2431" customFormat="false" ht="15" hidden="false" customHeight="false" outlineLevel="0" collapsed="false">
      <c r="N2431" s="0" t="str">
        <f aca="false">IF(H2431="","",IFERROR(LEFT(H2431,FIND(" ",H2431)-1),H2431))</f>
        <v/>
      </c>
      <c r="O2431" s="20" t="n">
        <f aca="false">IFERROR(DATE(VALUE(MID(N2431,FIND("/",N2431,FIND("/",N2431)+1)+1,4)),VALUE(MID(N2431,FIND("/",N2431)+1,FIND("/",N2431,FIND("/",N2431)+1)-FIND("/",N2431)-1)),VALUE(LEFT(N2431,FIND("/",N2431)-1))),0)</f>
        <v>0</v>
      </c>
    </row>
    <row r="2432" customFormat="false" ht="15" hidden="false" customHeight="false" outlineLevel="0" collapsed="false">
      <c r="N2432" s="0" t="str">
        <f aca="false">IF(H2432="","",IFERROR(LEFT(H2432,FIND(" ",H2432)-1),H2432))</f>
        <v/>
      </c>
      <c r="O2432" s="20" t="n">
        <f aca="false">IFERROR(DATE(VALUE(MID(N2432,FIND("/",N2432,FIND("/",N2432)+1)+1,4)),VALUE(MID(N2432,FIND("/",N2432)+1,FIND("/",N2432,FIND("/",N2432)+1)-FIND("/",N2432)-1)),VALUE(LEFT(N2432,FIND("/",N2432)-1))),0)</f>
        <v>0</v>
      </c>
    </row>
    <row r="2433" customFormat="false" ht="15" hidden="false" customHeight="false" outlineLevel="0" collapsed="false">
      <c r="N2433" s="0" t="str">
        <f aca="false">IF(H2433="","",IFERROR(LEFT(H2433,FIND(" ",H2433)-1),H2433))</f>
        <v/>
      </c>
      <c r="O2433" s="20" t="n">
        <f aca="false">IFERROR(DATE(VALUE(MID(N2433,FIND("/",N2433,FIND("/",N2433)+1)+1,4)),VALUE(MID(N2433,FIND("/",N2433)+1,FIND("/",N2433,FIND("/",N2433)+1)-FIND("/",N2433)-1)),VALUE(LEFT(N2433,FIND("/",N2433)-1))),0)</f>
        <v>0</v>
      </c>
    </row>
    <row r="2434" customFormat="false" ht="15" hidden="false" customHeight="false" outlineLevel="0" collapsed="false">
      <c r="N2434" s="0" t="str">
        <f aca="false">IF(H2434="","",IFERROR(LEFT(H2434,FIND(" ",H2434)-1),H2434))</f>
        <v/>
      </c>
      <c r="O2434" s="20" t="n">
        <f aca="false">IFERROR(DATE(VALUE(MID(N2434,FIND("/",N2434,FIND("/",N2434)+1)+1,4)),VALUE(MID(N2434,FIND("/",N2434)+1,FIND("/",N2434,FIND("/",N2434)+1)-FIND("/",N2434)-1)),VALUE(LEFT(N2434,FIND("/",N2434)-1))),0)</f>
        <v>0</v>
      </c>
    </row>
    <row r="2435" customFormat="false" ht="15" hidden="false" customHeight="false" outlineLevel="0" collapsed="false">
      <c r="N2435" s="0" t="str">
        <f aca="false">IF(H2435="","",IFERROR(LEFT(H2435,FIND(" ",H2435)-1),H2435))</f>
        <v/>
      </c>
      <c r="O2435" s="20" t="n">
        <f aca="false">IFERROR(DATE(VALUE(MID(N2435,FIND("/",N2435,FIND("/",N2435)+1)+1,4)),VALUE(MID(N2435,FIND("/",N2435)+1,FIND("/",N2435,FIND("/",N2435)+1)-FIND("/",N2435)-1)),VALUE(LEFT(N2435,FIND("/",N2435)-1))),0)</f>
        <v>0</v>
      </c>
    </row>
    <row r="2436" customFormat="false" ht="15" hidden="false" customHeight="false" outlineLevel="0" collapsed="false">
      <c r="N2436" s="0" t="str">
        <f aca="false">IF(H2436="","",IFERROR(LEFT(H2436,FIND(" ",H2436)-1),H2436))</f>
        <v/>
      </c>
      <c r="O2436" s="20" t="n">
        <f aca="false">IFERROR(DATE(VALUE(MID(N2436,FIND("/",N2436,FIND("/",N2436)+1)+1,4)),VALUE(MID(N2436,FIND("/",N2436)+1,FIND("/",N2436,FIND("/",N2436)+1)-FIND("/",N2436)-1)),VALUE(LEFT(N2436,FIND("/",N2436)-1))),0)</f>
        <v>0</v>
      </c>
    </row>
    <row r="2437" customFormat="false" ht="15" hidden="false" customHeight="false" outlineLevel="0" collapsed="false">
      <c r="N2437" s="0" t="str">
        <f aca="false">IF(H2437="","",IFERROR(LEFT(H2437,FIND(" ",H2437)-1),H2437))</f>
        <v/>
      </c>
      <c r="O2437" s="20" t="n">
        <f aca="false">IFERROR(DATE(VALUE(MID(N2437,FIND("/",N2437,FIND("/",N2437)+1)+1,4)),VALUE(MID(N2437,FIND("/",N2437)+1,FIND("/",N2437,FIND("/",N2437)+1)-FIND("/",N2437)-1)),VALUE(LEFT(N2437,FIND("/",N2437)-1))),0)</f>
        <v>0</v>
      </c>
    </row>
    <row r="2438" customFormat="false" ht="15" hidden="false" customHeight="false" outlineLevel="0" collapsed="false">
      <c r="N2438" s="0" t="str">
        <f aca="false">IF(H2438="","",IFERROR(LEFT(H2438,FIND(" ",H2438)-1),H2438))</f>
        <v/>
      </c>
      <c r="O2438" s="20" t="n">
        <f aca="false">IFERROR(DATE(VALUE(MID(N2438,FIND("/",N2438,FIND("/",N2438)+1)+1,4)),VALUE(MID(N2438,FIND("/",N2438)+1,FIND("/",N2438,FIND("/",N2438)+1)-FIND("/",N2438)-1)),VALUE(LEFT(N2438,FIND("/",N2438)-1))),0)</f>
        <v>0</v>
      </c>
    </row>
    <row r="2439" customFormat="false" ht="15" hidden="false" customHeight="false" outlineLevel="0" collapsed="false">
      <c r="N2439" s="0" t="str">
        <f aca="false">IF(H2439="","",IFERROR(LEFT(H2439,FIND(" ",H2439)-1),H2439))</f>
        <v/>
      </c>
      <c r="O2439" s="20" t="n">
        <f aca="false">IFERROR(DATE(VALUE(MID(N2439,FIND("/",N2439,FIND("/",N2439)+1)+1,4)),VALUE(MID(N2439,FIND("/",N2439)+1,FIND("/",N2439,FIND("/",N2439)+1)-FIND("/",N2439)-1)),VALUE(LEFT(N2439,FIND("/",N2439)-1))),0)</f>
        <v>0</v>
      </c>
    </row>
    <row r="2440" customFormat="false" ht="15" hidden="false" customHeight="false" outlineLevel="0" collapsed="false">
      <c r="N2440" s="0" t="str">
        <f aca="false">IF(H2440="","",IFERROR(LEFT(H2440,FIND(" ",H2440)-1),H2440))</f>
        <v/>
      </c>
      <c r="O2440" s="20" t="n">
        <f aca="false">IFERROR(DATE(VALUE(MID(N2440,FIND("/",N2440,FIND("/",N2440)+1)+1,4)),VALUE(MID(N2440,FIND("/",N2440)+1,FIND("/",N2440,FIND("/",N2440)+1)-FIND("/",N2440)-1)),VALUE(LEFT(N2440,FIND("/",N2440)-1))),0)</f>
        <v>0</v>
      </c>
    </row>
    <row r="2441" customFormat="false" ht="15" hidden="false" customHeight="false" outlineLevel="0" collapsed="false">
      <c r="N2441" s="0" t="str">
        <f aca="false">IF(H2441="","",IFERROR(LEFT(H2441,FIND(" ",H2441)-1),H2441))</f>
        <v/>
      </c>
      <c r="O2441" s="20" t="n">
        <f aca="false">IFERROR(DATE(VALUE(MID(N2441,FIND("/",N2441,FIND("/",N2441)+1)+1,4)),VALUE(MID(N2441,FIND("/",N2441)+1,FIND("/",N2441,FIND("/",N2441)+1)-FIND("/",N2441)-1)),VALUE(LEFT(N2441,FIND("/",N2441)-1))),0)</f>
        <v>0</v>
      </c>
    </row>
    <row r="2442" customFormat="false" ht="15" hidden="false" customHeight="false" outlineLevel="0" collapsed="false">
      <c r="N2442" s="0" t="str">
        <f aca="false">IF(H2442="","",IFERROR(LEFT(H2442,FIND(" ",H2442)-1),H2442))</f>
        <v/>
      </c>
      <c r="O2442" s="20" t="n">
        <f aca="false">IFERROR(DATE(VALUE(MID(N2442,FIND("/",N2442,FIND("/",N2442)+1)+1,4)),VALUE(MID(N2442,FIND("/",N2442)+1,FIND("/",N2442,FIND("/",N2442)+1)-FIND("/",N2442)-1)),VALUE(LEFT(N2442,FIND("/",N2442)-1))),0)</f>
        <v>0</v>
      </c>
    </row>
    <row r="2443" customFormat="false" ht="15" hidden="false" customHeight="false" outlineLevel="0" collapsed="false">
      <c r="N2443" s="0" t="str">
        <f aca="false">IF(H2443="","",IFERROR(LEFT(H2443,FIND(" ",H2443)-1),H2443))</f>
        <v/>
      </c>
      <c r="O2443" s="20" t="n">
        <f aca="false">IFERROR(DATE(VALUE(MID(N2443,FIND("/",N2443,FIND("/",N2443)+1)+1,4)),VALUE(MID(N2443,FIND("/",N2443)+1,FIND("/",N2443,FIND("/",N2443)+1)-FIND("/",N2443)-1)),VALUE(LEFT(N2443,FIND("/",N2443)-1))),0)</f>
        <v>0</v>
      </c>
    </row>
    <row r="2444" customFormat="false" ht="15" hidden="false" customHeight="false" outlineLevel="0" collapsed="false">
      <c r="N2444" s="0" t="str">
        <f aca="false">IF(H2444="","",IFERROR(LEFT(H2444,FIND(" ",H2444)-1),H2444))</f>
        <v/>
      </c>
      <c r="O2444" s="20" t="n">
        <f aca="false">IFERROR(DATE(VALUE(MID(N2444,FIND("/",N2444,FIND("/",N2444)+1)+1,4)),VALUE(MID(N2444,FIND("/",N2444)+1,FIND("/",N2444,FIND("/",N2444)+1)-FIND("/",N2444)-1)),VALUE(LEFT(N2444,FIND("/",N2444)-1))),0)</f>
        <v>0</v>
      </c>
    </row>
    <row r="2445" customFormat="false" ht="15" hidden="false" customHeight="false" outlineLevel="0" collapsed="false">
      <c r="N2445" s="0" t="str">
        <f aca="false">IF(H2445="","",IFERROR(LEFT(H2445,FIND(" ",H2445)-1),H2445))</f>
        <v/>
      </c>
      <c r="O2445" s="20" t="n">
        <f aca="false">IFERROR(DATE(VALUE(MID(N2445,FIND("/",N2445,FIND("/",N2445)+1)+1,4)),VALUE(MID(N2445,FIND("/",N2445)+1,FIND("/",N2445,FIND("/",N2445)+1)-FIND("/",N2445)-1)),VALUE(LEFT(N2445,FIND("/",N2445)-1))),0)</f>
        <v>0</v>
      </c>
    </row>
    <row r="2446" customFormat="false" ht="15" hidden="false" customHeight="false" outlineLevel="0" collapsed="false">
      <c r="N2446" s="0" t="str">
        <f aca="false">IF(H2446="","",IFERROR(LEFT(H2446,FIND(" ",H2446)-1),H2446))</f>
        <v/>
      </c>
      <c r="O2446" s="20" t="n">
        <f aca="false">IFERROR(DATE(VALUE(MID(N2446,FIND("/",N2446,FIND("/",N2446)+1)+1,4)),VALUE(MID(N2446,FIND("/",N2446)+1,FIND("/",N2446,FIND("/",N2446)+1)-FIND("/",N2446)-1)),VALUE(LEFT(N2446,FIND("/",N2446)-1))),0)</f>
        <v>0</v>
      </c>
    </row>
    <row r="2447" customFormat="false" ht="15" hidden="false" customHeight="false" outlineLevel="0" collapsed="false">
      <c r="N2447" s="0" t="str">
        <f aca="false">IF(H2447="","",IFERROR(LEFT(H2447,FIND(" ",H2447)-1),H2447))</f>
        <v/>
      </c>
      <c r="O2447" s="20" t="n">
        <f aca="false">IFERROR(DATE(VALUE(MID(N2447,FIND("/",N2447,FIND("/",N2447)+1)+1,4)),VALUE(MID(N2447,FIND("/",N2447)+1,FIND("/",N2447,FIND("/",N2447)+1)-FIND("/",N2447)-1)),VALUE(LEFT(N2447,FIND("/",N2447)-1))),0)</f>
        <v>0</v>
      </c>
    </row>
    <row r="2448" customFormat="false" ht="15" hidden="false" customHeight="false" outlineLevel="0" collapsed="false">
      <c r="N2448" s="0" t="str">
        <f aca="false">IF(H2448="","",IFERROR(LEFT(H2448,FIND(" ",H2448)-1),H2448))</f>
        <v/>
      </c>
      <c r="O2448" s="20" t="n">
        <f aca="false">IFERROR(DATE(VALUE(MID(N2448,FIND("/",N2448,FIND("/",N2448)+1)+1,4)),VALUE(MID(N2448,FIND("/",N2448)+1,FIND("/",N2448,FIND("/",N2448)+1)-FIND("/",N2448)-1)),VALUE(LEFT(N2448,FIND("/",N2448)-1))),0)</f>
        <v>0</v>
      </c>
    </row>
    <row r="2449" customFormat="false" ht="15" hidden="false" customHeight="false" outlineLevel="0" collapsed="false">
      <c r="N2449" s="0" t="str">
        <f aca="false">IF(H2449="","",IFERROR(LEFT(H2449,FIND(" ",H2449)-1),H2449))</f>
        <v/>
      </c>
      <c r="O2449" s="20" t="n">
        <f aca="false">IFERROR(DATE(VALUE(MID(N2449,FIND("/",N2449,FIND("/",N2449)+1)+1,4)),VALUE(MID(N2449,FIND("/",N2449)+1,FIND("/",N2449,FIND("/",N2449)+1)-FIND("/",N2449)-1)),VALUE(LEFT(N2449,FIND("/",N2449)-1))),0)</f>
        <v>0</v>
      </c>
    </row>
    <row r="2450" customFormat="false" ht="15" hidden="false" customHeight="false" outlineLevel="0" collapsed="false">
      <c r="N2450" s="0" t="str">
        <f aca="false">IF(H2450="","",IFERROR(LEFT(H2450,FIND(" ",H2450)-1),H2450))</f>
        <v/>
      </c>
      <c r="O2450" s="20" t="n">
        <f aca="false">IFERROR(DATE(VALUE(MID(N2450,FIND("/",N2450,FIND("/",N2450)+1)+1,4)),VALUE(MID(N2450,FIND("/",N2450)+1,FIND("/",N2450,FIND("/",N2450)+1)-FIND("/",N2450)-1)),VALUE(LEFT(N2450,FIND("/",N2450)-1))),0)</f>
        <v>0</v>
      </c>
    </row>
    <row r="2451" customFormat="false" ht="15" hidden="false" customHeight="false" outlineLevel="0" collapsed="false">
      <c r="N2451" s="0" t="str">
        <f aca="false">IF(H2451="","",IFERROR(LEFT(H2451,FIND(" ",H2451)-1),H2451))</f>
        <v/>
      </c>
      <c r="O2451" s="20" t="n">
        <f aca="false">IFERROR(DATE(VALUE(MID(N2451,FIND("/",N2451,FIND("/",N2451)+1)+1,4)),VALUE(MID(N2451,FIND("/",N2451)+1,FIND("/",N2451,FIND("/",N2451)+1)-FIND("/",N2451)-1)),VALUE(LEFT(N2451,FIND("/",N2451)-1))),0)</f>
        <v>0</v>
      </c>
    </row>
    <row r="2452" customFormat="false" ht="15" hidden="false" customHeight="false" outlineLevel="0" collapsed="false">
      <c r="N2452" s="0" t="str">
        <f aca="false">IF(H2452="","",IFERROR(LEFT(H2452,FIND(" ",H2452)-1),H2452))</f>
        <v/>
      </c>
      <c r="O2452" s="20" t="n">
        <f aca="false">IFERROR(DATE(VALUE(MID(N2452,FIND("/",N2452,FIND("/",N2452)+1)+1,4)),VALUE(MID(N2452,FIND("/",N2452)+1,FIND("/",N2452,FIND("/",N2452)+1)-FIND("/",N2452)-1)),VALUE(LEFT(N2452,FIND("/",N2452)-1))),0)</f>
        <v>0</v>
      </c>
    </row>
    <row r="2453" customFormat="false" ht="15" hidden="false" customHeight="false" outlineLevel="0" collapsed="false">
      <c r="N2453" s="0" t="str">
        <f aca="false">IF(H2453="","",IFERROR(LEFT(H2453,FIND(" ",H2453)-1),H2453))</f>
        <v/>
      </c>
      <c r="O2453" s="20" t="n">
        <f aca="false">IFERROR(DATE(VALUE(MID(N2453,FIND("/",N2453,FIND("/",N2453)+1)+1,4)),VALUE(MID(N2453,FIND("/",N2453)+1,FIND("/",N2453,FIND("/",N2453)+1)-FIND("/",N2453)-1)),VALUE(LEFT(N2453,FIND("/",N2453)-1))),0)</f>
        <v>0</v>
      </c>
    </row>
    <row r="2454" customFormat="false" ht="15" hidden="false" customHeight="false" outlineLevel="0" collapsed="false">
      <c r="N2454" s="0" t="str">
        <f aca="false">IF(H2454="","",IFERROR(LEFT(H2454,FIND(" ",H2454)-1),H2454))</f>
        <v/>
      </c>
      <c r="O2454" s="20" t="n">
        <f aca="false">IFERROR(DATE(VALUE(MID(N2454,FIND("/",N2454,FIND("/",N2454)+1)+1,4)),VALUE(MID(N2454,FIND("/",N2454)+1,FIND("/",N2454,FIND("/",N2454)+1)-FIND("/",N2454)-1)),VALUE(LEFT(N2454,FIND("/",N2454)-1))),0)</f>
        <v>0</v>
      </c>
    </row>
    <row r="2455" customFormat="false" ht="15" hidden="false" customHeight="false" outlineLevel="0" collapsed="false">
      <c r="N2455" s="0" t="str">
        <f aca="false">IF(H2455="","",IFERROR(LEFT(H2455,FIND(" ",H2455)-1),H2455))</f>
        <v/>
      </c>
      <c r="O2455" s="20" t="n">
        <f aca="false">IFERROR(DATE(VALUE(MID(N2455,FIND("/",N2455,FIND("/",N2455)+1)+1,4)),VALUE(MID(N2455,FIND("/",N2455)+1,FIND("/",N2455,FIND("/",N2455)+1)-FIND("/",N2455)-1)),VALUE(LEFT(N2455,FIND("/",N2455)-1))),0)</f>
        <v>0</v>
      </c>
    </row>
    <row r="2456" customFormat="false" ht="15" hidden="false" customHeight="false" outlineLevel="0" collapsed="false">
      <c r="N2456" s="0" t="str">
        <f aca="false">IF(H2456="","",IFERROR(LEFT(H2456,FIND(" ",H2456)-1),H2456))</f>
        <v/>
      </c>
      <c r="O2456" s="20" t="n">
        <f aca="false">IFERROR(DATE(VALUE(MID(N2456,FIND("/",N2456,FIND("/",N2456)+1)+1,4)),VALUE(MID(N2456,FIND("/",N2456)+1,FIND("/",N2456,FIND("/",N2456)+1)-FIND("/",N2456)-1)),VALUE(LEFT(N2456,FIND("/",N2456)-1))),0)</f>
        <v>0</v>
      </c>
    </row>
    <row r="2457" customFormat="false" ht="15" hidden="false" customHeight="false" outlineLevel="0" collapsed="false">
      <c r="N2457" s="0" t="str">
        <f aca="false">IF(H2457="","",IFERROR(LEFT(H2457,FIND(" ",H2457)-1),H2457))</f>
        <v/>
      </c>
      <c r="O2457" s="20" t="n">
        <f aca="false">IFERROR(DATE(VALUE(MID(N2457,FIND("/",N2457,FIND("/",N2457)+1)+1,4)),VALUE(MID(N2457,FIND("/",N2457)+1,FIND("/",N2457,FIND("/",N2457)+1)-FIND("/",N2457)-1)),VALUE(LEFT(N2457,FIND("/",N2457)-1))),0)</f>
        <v>0</v>
      </c>
    </row>
    <row r="2458" customFormat="false" ht="15" hidden="false" customHeight="false" outlineLevel="0" collapsed="false">
      <c r="N2458" s="0" t="str">
        <f aca="false">IF(H2458="","",IFERROR(LEFT(H2458,FIND(" ",H2458)-1),H2458))</f>
        <v/>
      </c>
      <c r="O2458" s="20" t="n">
        <f aca="false">IFERROR(DATE(VALUE(MID(N2458,FIND("/",N2458,FIND("/",N2458)+1)+1,4)),VALUE(MID(N2458,FIND("/",N2458)+1,FIND("/",N2458,FIND("/",N2458)+1)-FIND("/",N2458)-1)),VALUE(LEFT(N2458,FIND("/",N2458)-1))),0)</f>
        <v>0</v>
      </c>
    </row>
    <row r="2459" customFormat="false" ht="15" hidden="false" customHeight="false" outlineLevel="0" collapsed="false">
      <c r="N2459" s="0" t="str">
        <f aca="false">IF(H2459="","",IFERROR(LEFT(H2459,FIND(" ",H2459)-1),H2459))</f>
        <v/>
      </c>
      <c r="O2459" s="20" t="n">
        <f aca="false">IFERROR(DATE(VALUE(MID(N2459,FIND("/",N2459,FIND("/",N2459)+1)+1,4)),VALUE(MID(N2459,FIND("/",N2459)+1,FIND("/",N2459,FIND("/",N2459)+1)-FIND("/",N2459)-1)),VALUE(LEFT(N2459,FIND("/",N2459)-1))),0)</f>
        <v>0</v>
      </c>
    </row>
    <row r="2460" customFormat="false" ht="15" hidden="false" customHeight="false" outlineLevel="0" collapsed="false">
      <c r="N2460" s="0" t="str">
        <f aca="false">IF(H2460="","",IFERROR(LEFT(H2460,FIND(" ",H2460)-1),H2460))</f>
        <v/>
      </c>
      <c r="O2460" s="20" t="n">
        <f aca="false">IFERROR(DATE(VALUE(MID(N2460,FIND("/",N2460,FIND("/",N2460)+1)+1,4)),VALUE(MID(N2460,FIND("/",N2460)+1,FIND("/",N2460,FIND("/",N2460)+1)-FIND("/",N2460)-1)),VALUE(LEFT(N2460,FIND("/",N2460)-1))),0)</f>
        <v>0</v>
      </c>
    </row>
    <row r="2461" customFormat="false" ht="15" hidden="false" customHeight="false" outlineLevel="0" collapsed="false">
      <c r="N2461" s="0" t="str">
        <f aca="false">IF(H2461="","",IFERROR(LEFT(H2461,FIND(" ",H2461)-1),H2461))</f>
        <v/>
      </c>
      <c r="O2461" s="20" t="n">
        <f aca="false">IFERROR(DATE(VALUE(MID(N2461,FIND("/",N2461,FIND("/",N2461)+1)+1,4)),VALUE(MID(N2461,FIND("/",N2461)+1,FIND("/",N2461,FIND("/",N2461)+1)-FIND("/",N2461)-1)),VALUE(LEFT(N2461,FIND("/",N2461)-1))),0)</f>
        <v>0</v>
      </c>
    </row>
    <row r="2462" customFormat="false" ht="15" hidden="false" customHeight="false" outlineLevel="0" collapsed="false">
      <c r="N2462" s="0" t="str">
        <f aca="false">IF(H2462="","",IFERROR(LEFT(H2462,FIND(" ",H2462)-1),H2462))</f>
        <v/>
      </c>
      <c r="O2462" s="20" t="n">
        <f aca="false">IFERROR(DATE(VALUE(MID(N2462,FIND("/",N2462,FIND("/",N2462)+1)+1,4)),VALUE(MID(N2462,FIND("/",N2462)+1,FIND("/",N2462,FIND("/",N2462)+1)-FIND("/",N2462)-1)),VALUE(LEFT(N2462,FIND("/",N2462)-1))),0)</f>
        <v>0</v>
      </c>
    </row>
    <row r="2463" customFormat="false" ht="15" hidden="false" customHeight="false" outlineLevel="0" collapsed="false">
      <c r="N2463" s="0" t="str">
        <f aca="false">IF(H2463="","",IFERROR(LEFT(H2463,FIND(" ",H2463)-1),H2463))</f>
        <v/>
      </c>
      <c r="O2463" s="20" t="n">
        <f aca="false">IFERROR(DATE(VALUE(MID(N2463,FIND("/",N2463,FIND("/",N2463)+1)+1,4)),VALUE(MID(N2463,FIND("/",N2463)+1,FIND("/",N2463,FIND("/",N2463)+1)-FIND("/",N2463)-1)),VALUE(LEFT(N2463,FIND("/",N2463)-1))),0)</f>
        <v>0</v>
      </c>
    </row>
    <row r="2464" customFormat="false" ht="15" hidden="false" customHeight="false" outlineLevel="0" collapsed="false">
      <c r="N2464" s="0" t="str">
        <f aca="false">IF(H2464="","",IFERROR(LEFT(H2464,FIND(" ",H2464)-1),H2464))</f>
        <v/>
      </c>
      <c r="O2464" s="20" t="n">
        <f aca="false">IFERROR(DATE(VALUE(MID(N2464,FIND("/",N2464,FIND("/",N2464)+1)+1,4)),VALUE(MID(N2464,FIND("/",N2464)+1,FIND("/",N2464,FIND("/",N2464)+1)-FIND("/",N2464)-1)),VALUE(LEFT(N2464,FIND("/",N2464)-1))),0)</f>
        <v>0</v>
      </c>
    </row>
    <row r="2465" customFormat="false" ht="15" hidden="false" customHeight="false" outlineLevel="0" collapsed="false">
      <c r="N2465" s="0" t="str">
        <f aca="false">IF(H2465="","",IFERROR(LEFT(H2465,FIND(" ",H2465)-1),H2465))</f>
        <v/>
      </c>
      <c r="O2465" s="20" t="n">
        <f aca="false">IFERROR(DATE(VALUE(MID(N2465,FIND("/",N2465,FIND("/",N2465)+1)+1,4)),VALUE(MID(N2465,FIND("/",N2465)+1,FIND("/",N2465,FIND("/",N2465)+1)-FIND("/",N2465)-1)),VALUE(LEFT(N2465,FIND("/",N2465)-1))),0)</f>
        <v>0</v>
      </c>
    </row>
    <row r="2466" customFormat="false" ht="15" hidden="false" customHeight="false" outlineLevel="0" collapsed="false">
      <c r="N2466" s="0" t="str">
        <f aca="false">IF(H2466="","",IFERROR(LEFT(H2466,FIND(" ",H2466)-1),H2466))</f>
        <v/>
      </c>
      <c r="O2466" s="20" t="n">
        <f aca="false">IFERROR(DATE(VALUE(MID(N2466,FIND("/",N2466,FIND("/",N2466)+1)+1,4)),VALUE(MID(N2466,FIND("/",N2466)+1,FIND("/",N2466,FIND("/",N2466)+1)-FIND("/",N2466)-1)),VALUE(LEFT(N2466,FIND("/",N2466)-1))),0)</f>
        <v>0</v>
      </c>
    </row>
    <row r="2467" customFormat="false" ht="15" hidden="false" customHeight="false" outlineLevel="0" collapsed="false">
      <c r="N2467" s="0" t="str">
        <f aca="false">IF(H2467="","",IFERROR(LEFT(H2467,FIND(" ",H2467)-1),H2467))</f>
        <v/>
      </c>
      <c r="O2467" s="20" t="n">
        <f aca="false">IFERROR(DATE(VALUE(MID(N2467,FIND("/",N2467,FIND("/",N2467)+1)+1,4)),VALUE(MID(N2467,FIND("/",N2467)+1,FIND("/",N2467,FIND("/",N2467)+1)-FIND("/",N2467)-1)),VALUE(LEFT(N2467,FIND("/",N2467)-1))),0)</f>
        <v>0</v>
      </c>
    </row>
    <row r="2468" customFormat="false" ht="15" hidden="false" customHeight="false" outlineLevel="0" collapsed="false">
      <c r="N2468" s="0" t="str">
        <f aca="false">IF(H2468="","",IFERROR(LEFT(H2468,FIND(" ",H2468)-1),H2468))</f>
        <v/>
      </c>
      <c r="O2468" s="20" t="n">
        <f aca="false">IFERROR(DATE(VALUE(MID(N2468,FIND("/",N2468,FIND("/",N2468)+1)+1,4)),VALUE(MID(N2468,FIND("/",N2468)+1,FIND("/",N2468,FIND("/",N2468)+1)-FIND("/",N2468)-1)),VALUE(LEFT(N2468,FIND("/",N2468)-1))),0)</f>
        <v>0</v>
      </c>
    </row>
    <row r="2469" customFormat="false" ht="15" hidden="false" customHeight="false" outlineLevel="0" collapsed="false">
      <c r="N2469" s="0" t="str">
        <f aca="false">IF(H2469="","",IFERROR(LEFT(H2469,FIND(" ",H2469)-1),H2469))</f>
        <v/>
      </c>
      <c r="O2469" s="20" t="n">
        <f aca="false">IFERROR(DATE(VALUE(MID(N2469,FIND("/",N2469,FIND("/",N2469)+1)+1,4)),VALUE(MID(N2469,FIND("/",N2469)+1,FIND("/",N2469,FIND("/",N2469)+1)-FIND("/",N2469)-1)),VALUE(LEFT(N2469,FIND("/",N2469)-1))),0)</f>
        <v>0</v>
      </c>
    </row>
    <row r="2470" customFormat="false" ht="15" hidden="false" customHeight="false" outlineLevel="0" collapsed="false">
      <c r="N2470" s="0" t="str">
        <f aca="false">IF(H2470="","",IFERROR(LEFT(H2470,FIND(" ",H2470)-1),H2470))</f>
        <v/>
      </c>
      <c r="O2470" s="20" t="n">
        <f aca="false">IFERROR(DATE(VALUE(MID(N2470,FIND("/",N2470,FIND("/",N2470)+1)+1,4)),VALUE(MID(N2470,FIND("/",N2470)+1,FIND("/",N2470,FIND("/",N2470)+1)-FIND("/",N2470)-1)),VALUE(LEFT(N2470,FIND("/",N2470)-1))),0)</f>
        <v>0</v>
      </c>
    </row>
    <row r="2471" customFormat="false" ht="15" hidden="false" customHeight="false" outlineLevel="0" collapsed="false">
      <c r="N2471" s="0" t="str">
        <f aca="false">IF(H2471="","",IFERROR(LEFT(H2471,FIND(" ",H2471)-1),H2471))</f>
        <v/>
      </c>
      <c r="O2471" s="20" t="n">
        <f aca="false">IFERROR(DATE(VALUE(MID(N2471,FIND("/",N2471,FIND("/",N2471)+1)+1,4)),VALUE(MID(N2471,FIND("/",N2471)+1,FIND("/",N2471,FIND("/",N2471)+1)-FIND("/",N2471)-1)),VALUE(LEFT(N2471,FIND("/",N2471)-1))),0)</f>
        <v>0</v>
      </c>
    </row>
    <row r="2472" customFormat="false" ht="15" hidden="false" customHeight="false" outlineLevel="0" collapsed="false">
      <c r="N2472" s="0" t="str">
        <f aca="false">IF(H2472="","",IFERROR(LEFT(H2472,FIND(" ",H2472)-1),H2472))</f>
        <v/>
      </c>
      <c r="O2472" s="20" t="n">
        <f aca="false">IFERROR(DATE(VALUE(MID(N2472,FIND("/",N2472,FIND("/",N2472)+1)+1,4)),VALUE(MID(N2472,FIND("/",N2472)+1,FIND("/",N2472,FIND("/",N2472)+1)-FIND("/",N2472)-1)),VALUE(LEFT(N2472,FIND("/",N2472)-1))),0)</f>
        <v>0</v>
      </c>
    </row>
    <row r="2473" customFormat="false" ht="15" hidden="false" customHeight="false" outlineLevel="0" collapsed="false">
      <c r="N2473" s="0" t="str">
        <f aca="false">IF(H2473="","",IFERROR(LEFT(H2473,FIND(" ",H2473)-1),H2473))</f>
        <v/>
      </c>
      <c r="O2473" s="20" t="n">
        <f aca="false">IFERROR(DATE(VALUE(MID(N2473,FIND("/",N2473,FIND("/",N2473)+1)+1,4)),VALUE(MID(N2473,FIND("/",N2473)+1,FIND("/",N2473,FIND("/",N2473)+1)-FIND("/",N2473)-1)),VALUE(LEFT(N2473,FIND("/",N2473)-1))),0)</f>
        <v>0</v>
      </c>
    </row>
    <row r="2474" customFormat="false" ht="15" hidden="false" customHeight="false" outlineLevel="0" collapsed="false">
      <c r="N2474" s="0" t="str">
        <f aca="false">IF(H2474="","",IFERROR(LEFT(H2474,FIND(" ",H2474)-1),H2474))</f>
        <v/>
      </c>
      <c r="O2474" s="20" t="n">
        <f aca="false">IFERROR(DATE(VALUE(MID(N2474,FIND("/",N2474,FIND("/",N2474)+1)+1,4)),VALUE(MID(N2474,FIND("/",N2474)+1,FIND("/",N2474,FIND("/",N2474)+1)-FIND("/",N2474)-1)),VALUE(LEFT(N2474,FIND("/",N2474)-1))),0)</f>
        <v>0</v>
      </c>
    </row>
    <row r="2475" customFormat="false" ht="15" hidden="false" customHeight="false" outlineLevel="0" collapsed="false">
      <c r="N2475" s="0" t="str">
        <f aca="false">IF(H2475="","",IFERROR(LEFT(H2475,FIND(" ",H2475)-1),H2475))</f>
        <v/>
      </c>
      <c r="O2475" s="20" t="n">
        <f aca="false">IFERROR(DATE(VALUE(MID(N2475,FIND("/",N2475,FIND("/",N2475)+1)+1,4)),VALUE(MID(N2475,FIND("/",N2475)+1,FIND("/",N2475,FIND("/",N2475)+1)-FIND("/",N2475)-1)),VALUE(LEFT(N2475,FIND("/",N2475)-1))),0)</f>
        <v>0</v>
      </c>
    </row>
    <row r="2476" customFormat="false" ht="15" hidden="false" customHeight="false" outlineLevel="0" collapsed="false">
      <c r="N2476" s="0" t="str">
        <f aca="false">IF(H2476="","",IFERROR(LEFT(H2476,FIND(" ",H2476)-1),H2476))</f>
        <v/>
      </c>
      <c r="O2476" s="20" t="n">
        <f aca="false">IFERROR(DATE(VALUE(MID(N2476,FIND("/",N2476,FIND("/",N2476)+1)+1,4)),VALUE(MID(N2476,FIND("/",N2476)+1,FIND("/",N2476,FIND("/",N2476)+1)-FIND("/",N2476)-1)),VALUE(LEFT(N2476,FIND("/",N2476)-1))),0)</f>
        <v>0</v>
      </c>
    </row>
    <row r="2477" customFormat="false" ht="15" hidden="false" customHeight="false" outlineLevel="0" collapsed="false">
      <c r="N2477" s="0" t="str">
        <f aca="false">IF(H2477="","",IFERROR(LEFT(H2477,FIND(" ",H2477)-1),H2477))</f>
        <v/>
      </c>
      <c r="O2477" s="20" t="n">
        <f aca="false">IFERROR(DATE(VALUE(MID(N2477,FIND("/",N2477,FIND("/",N2477)+1)+1,4)),VALUE(MID(N2477,FIND("/",N2477)+1,FIND("/",N2477,FIND("/",N2477)+1)-FIND("/",N2477)-1)),VALUE(LEFT(N2477,FIND("/",N2477)-1))),0)</f>
        <v>0</v>
      </c>
    </row>
    <row r="2478" customFormat="false" ht="15" hidden="false" customHeight="false" outlineLevel="0" collapsed="false">
      <c r="N2478" s="0" t="str">
        <f aca="false">IF(H2478="","",IFERROR(LEFT(H2478,FIND(" ",H2478)-1),H2478))</f>
        <v/>
      </c>
      <c r="O2478" s="20" t="n">
        <f aca="false">IFERROR(DATE(VALUE(MID(N2478,FIND("/",N2478,FIND("/",N2478)+1)+1,4)),VALUE(MID(N2478,FIND("/",N2478)+1,FIND("/",N2478,FIND("/",N2478)+1)-FIND("/",N2478)-1)),VALUE(LEFT(N2478,FIND("/",N2478)-1))),0)</f>
        <v>0</v>
      </c>
    </row>
    <row r="2479" customFormat="false" ht="15" hidden="false" customHeight="false" outlineLevel="0" collapsed="false">
      <c r="N2479" s="0" t="str">
        <f aca="false">IF(H2479="","",IFERROR(LEFT(H2479,FIND(" ",H2479)-1),H2479))</f>
        <v/>
      </c>
      <c r="O2479" s="20" t="n">
        <f aca="false">IFERROR(DATE(VALUE(MID(N2479,FIND("/",N2479,FIND("/",N2479)+1)+1,4)),VALUE(MID(N2479,FIND("/",N2479)+1,FIND("/",N2479,FIND("/",N2479)+1)-FIND("/",N2479)-1)),VALUE(LEFT(N2479,FIND("/",N2479)-1))),0)</f>
        <v>0</v>
      </c>
    </row>
    <row r="2480" customFormat="false" ht="15" hidden="false" customHeight="false" outlineLevel="0" collapsed="false">
      <c r="N2480" s="0" t="str">
        <f aca="false">IF(H2480="","",IFERROR(LEFT(H2480,FIND(" ",H2480)-1),H2480))</f>
        <v/>
      </c>
      <c r="O2480" s="20" t="n">
        <f aca="false">IFERROR(DATE(VALUE(MID(N2480,FIND("/",N2480,FIND("/",N2480)+1)+1,4)),VALUE(MID(N2480,FIND("/",N2480)+1,FIND("/",N2480,FIND("/",N2480)+1)-FIND("/",N2480)-1)),VALUE(LEFT(N2480,FIND("/",N2480)-1))),0)</f>
        <v>0</v>
      </c>
    </row>
    <row r="2481" customFormat="false" ht="15" hidden="false" customHeight="false" outlineLevel="0" collapsed="false">
      <c r="N2481" s="0" t="str">
        <f aca="false">IF(H2481="","",IFERROR(LEFT(H2481,FIND(" ",H2481)-1),H2481))</f>
        <v/>
      </c>
      <c r="O2481" s="20" t="n">
        <f aca="false">IFERROR(DATE(VALUE(MID(N2481,FIND("/",N2481,FIND("/",N2481)+1)+1,4)),VALUE(MID(N2481,FIND("/",N2481)+1,FIND("/",N2481,FIND("/",N2481)+1)-FIND("/",N2481)-1)),VALUE(LEFT(N2481,FIND("/",N2481)-1))),0)</f>
        <v>0</v>
      </c>
    </row>
    <row r="2482" customFormat="false" ht="15" hidden="false" customHeight="false" outlineLevel="0" collapsed="false">
      <c r="N2482" s="0" t="str">
        <f aca="false">IF(H2482="","",IFERROR(LEFT(H2482,FIND(" ",H2482)-1),H2482))</f>
        <v/>
      </c>
      <c r="O2482" s="20" t="n">
        <f aca="false">IFERROR(DATE(VALUE(MID(N2482,FIND("/",N2482,FIND("/",N2482)+1)+1,4)),VALUE(MID(N2482,FIND("/",N2482)+1,FIND("/",N2482,FIND("/",N2482)+1)-FIND("/",N2482)-1)),VALUE(LEFT(N2482,FIND("/",N2482)-1))),0)</f>
        <v>0</v>
      </c>
    </row>
    <row r="2483" customFormat="false" ht="15" hidden="false" customHeight="false" outlineLevel="0" collapsed="false">
      <c r="N2483" s="0" t="str">
        <f aca="false">IF(H2483="","",IFERROR(LEFT(H2483,FIND(" ",H2483)-1),H2483))</f>
        <v/>
      </c>
      <c r="O2483" s="20" t="n">
        <f aca="false">IFERROR(DATE(VALUE(MID(N2483,FIND("/",N2483,FIND("/",N2483)+1)+1,4)),VALUE(MID(N2483,FIND("/",N2483)+1,FIND("/",N2483,FIND("/",N2483)+1)-FIND("/",N2483)-1)),VALUE(LEFT(N2483,FIND("/",N2483)-1))),0)</f>
        <v>0</v>
      </c>
    </row>
    <row r="2484" customFormat="false" ht="15" hidden="false" customHeight="false" outlineLevel="0" collapsed="false">
      <c r="N2484" s="0" t="str">
        <f aca="false">IF(H2484="","",IFERROR(LEFT(H2484,FIND(" ",H2484)-1),H2484))</f>
        <v/>
      </c>
      <c r="O2484" s="20" t="n">
        <f aca="false">IFERROR(DATE(VALUE(MID(N2484,FIND("/",N2484,FIND("/",N2484)+1)+1,4)),VALUE(MID(N2484,FIND("/",N2484)+1,FIND("/",N2484,FIND("/",N2484)+1)-FIND("/",N2484)-1)),VALUE(LEFT(N2484,FIND("/",N2484)-1))),0)</f>
        <v>0</v>
      </c>
    </row>
    <row r="2485" customFormat="false" ht="15" hidden="false" customHeight="false" outlineLevel="0" collapsed="false">
      <c r="N2485" s="0" t="str">
        <f aca="false">IF(H2485="","",IFERROR(LEFT(H2485,FIND(" ",H2485)-1),H2485))</f>
        <v/>
      </c>
      <c r="O2485" s="20" t="n">
        <f aca="false">IFERROR(DATE(VALUE(MID(N2485,FIND("/",N2485,FIND("/",N2485)+1)+1,4)),VALUE(MID(N2485,FIND("/",N2485)+1,FIND("/",N2485,FIND("/",N2485)+1)-FIND("/",N2485)-1)),VALUE(LEFT(N2485,FIND("/",N2485)-1))),0)</f>
        <v>0</v>
      </c>
    </row>
    <row r="2486" customFormat="false" ht="15" hidden="false" customHeight="false" outlineLevel="0" collapsed="false">
      <c r="N2486" s="0" t="str">
        <f aca="false">IF(H2486="","",IFERROR(LEFT(H2486,FIND(" ",H2486)-1),H2486))</f>
        <v/>
      </c>
      <c r="O2486" s="20" t="n">
        <f aca="false">IFERROR(DATE(VALUE(MID(N2486,FIND("/",N2486,FIND("/",N2486)+1)+1,4)),VALUE(MID(N2486,FIND("/",N2486)+1,FIND("/",N2486,FIND("/",N2486)+1)-FIND("/",N2486)-1)),VALUE(LEFT(N2486,FIND("/",N2486)-1))),0)</f>
        <v>0</v>
      </c>
    </row>
    <row r="2487" customFormat="false" ht="15" hidden="false" customHeight="false" outlineLevel="0" collapsed="false">
      <c r="N2487" s="0" t="str">
        <f aca="false">IF(H2487="","",IFERROR(LEFT(H2487,FIND(" ",H2487)-1),H2487))</f>
        <v/>
      </c>
      <c r="O2487" s="20" t="n">
        <f aca="false">IFERROR(DATE(VALUE(MID(N2487,FIND("/",N2487,FIND("/",N2487)+1)+1,4)),VALUE(MID(N2487,FIND("/",N2487)+1,FIND("/",N2487,FIND("/",N2487)+1)-FIND("/",N2487)-1)),VALUE(LEFT(N2487,FIND("/",N2487)-1))),0)</f>
        <v>0</v>
      </c>
    </row>
    <row r="2488" customFormat="false" ht="15" hidden="false" customHeight="false" outlineLevel="0" collapsed="false">
      <c r="N2488" s="0" t="str">
        <f aca="false">IF(H2488="","",IFERROR(LEFT(H2488,FIND(" ",H2488)-1),H2488))</f>
        <v/>
      </c>
      <c r="O2488" s="20" t="n">
        <f aca="false">IFERROR(DATE(VALUE(MID(N2488,FIND("/",N2488,FIND("/",N2488)+1)+1,4)),VALUE(MID(N2488,FIND("/",N2488)+1,FIND("/",N2488,FIND("/",N2488)+1)-FIND("/",N2488)-1)),VALUE(LEFT(N2488,FIND("/",N2488)-1))),0)</f>
        <v>0</v>
      </c>
    </row>
    <row r="2489" customFormat="false" ht="15" hidden="false" customHeight="false" outlineLevel="0" collapsed="false">
      <c r="N2489" s="0" t="str">
        <f aca="false">IF(H2489="","",IFERROR(LEFT(H2489,FIND(" ",H2489)-1),H2489))</f>
        <v/>
      </c>
      <c r="O2489" s="20" t="n">
        <f aca="false">IFERROR(DATE(VALUE(MID(N2489,FIND("/",N2489,FIND("/",N2489)+1)+1,4)),VALUE(MID(N2489,FIND("/",N2489)+1,FIND("/",N2489,FIND("/",N2489)+1)-FIND("/",N2489)-1)),VALUE(LEFT(N2489,FIND("/",N2489)-1))),0)</f>
        <v>0</v>
      </c>
    </row>
    <row r="2490" customFormat="false" ht="15" hidden="false" customHeight="false" outlineLevel="0" collapsed="false">
      <c r="N2490" s="0" t="str">
        <f aca="false">IF(H2490="","",IFERROR(LEFT(H2490,FIND(" ",H2490)-1),H2490))</f>
        <v/>
      </c>
      <c r="O2490" s="20" t="n">
        <f aca="false">IFERROR(DATE(VALUE(MID(N2490,FIND("/",N2490,FIND("/",N2490)+1)+1,4)),VALUE(MID(N2490,FIND("/",N2490)+1,FIND("/",N2490,FIND("/",N2490)+1)-FIND("/",N2490)-1)),VALUE(LEFT(N2490,FIND("/",N2490)-1))),0)</f>
        <v>0</v>
      </c>
    </row>
    <row r="2491" customFormat="false" ht="15" hidden="false" customHeight="false" outlineLevel="0" collapsed="false">
      <c r="N2491" s="0" t="str">
        <f aca="false">IF(H2491="","",IFERROR(LEFT(H2491,FIND(" ",H2491)-1),H2491))</f>
        <v/>
      </c>
      <c r="O2491" s="20" t="n">
        <f aca="false">IFERROR(DATE(VALUE(MID(N2491,FIND("/",N2491,FIND("/",N2491)+1)+1,4)),VALUE(MID(N2491,FIND("/",N2491)+1,FIND("/",N2491,FIND("/",N2491)+1)-FIND("/",N2491)-1)),VALUE(LEFT(N2491,FIND("/",N2491)-1))),0)</f>
        <v>0</v>
      </c>
    </row>
    <row r="2492" customFormat="false" ht="15" hidden="false" customHeight="false" outlineLevel="0" collapsed="false">
      <c r="N2492" s="0" t="str">
        <f aca="false">IF(H2492="","",IFERROR(LEFT(H2492,FIND(" ",H2492)-1),H2492))</f>
        <v/>
      </c>
      <c r="O2492" s="20" t="n">
        <f aca="false">IFERROR(DATE(VALUE(MID(N2492,FIND("/",N2492,FIND("/",N2492)+1)+1,4)),VALUE(MID(N2492,FIND("/",N2492)+1,FIND("/",N2492,FIND("/",N2492)+1)-FIND("/",N2492)-1)),VALUE(LEFT(N2492,FIND("/",N2492)-1))),0)</f>
        <v>0</v>
      </c>
    </row>
    <row r="2493" customFormat="false" ht="15" hidden="false" customHeight="false" outlineLevel="0" collapsed="false">
      <c r="N2493" s="0" t="str">
        <f aca="false">IF(H2493="","",IFERROR(LEFT(H2493,FIND(" ",H2493)-1),H2493))</f>
        <v/>
      </c>
      <c r="O2493" s="20" t="n">
        <f aca="false">IFERROR(DATE(VALUE(MID(N2493,FIND("/",N2493,FIND("/",N2493)+1)+1,4)),VALUE(MID(N2493,FIND("/",N2493)+1,FIND("/",N2493,FIND("/",N2493)+1)-FIND("/",N2493)-1)),VALUE(LEFT(N2493,FIND("/",N2493)-1))),0)</f>
        <v>0</v>
      </c>
    </row>
    <row r="2494" customFormat="false" ht="15" hidden="false" customHeight="false" outlineLevel="0" collapsed="false">
      <c r="N2494" s="0" t="str">
        <f aca="false">IF(H2494="","",IFERROR(LEFT(H2494,FIND(" ",H2494)-1),H2494))</f>
        <v/>
      </c>
      <c r="O2494" s="20" t="n">
        <f aca="false">IFERROR(DATE(VALUE(MID(N2494,FIND("/",N2494,FIND("/",N2494)+1)+1,4)),VALUE(MID(N2494,FIND("/",N2494)+1,FIND("/",N2494,FIND("/",N2494)+1)-FIND("/",N2494)-1)),VALUE(LEFT(N2494,FIND("/",N2494)-1))),0)</f>
        <v>0</v>
      </c>
    </row>
    <row r="2495" customFormat="false" ht="15" hidden="false" customHeight="false" outlineLevel="0" collapsed="false">
      <c r="N2495" s="0" t="str">
        <f aca="false">IF(H2495="","",IFERROR(LEFT(H2495,FIND(" ",H2495)-1),H2495))</f>
        <v/>
      </c>
      <c r="O2495" s="20" t="n">
        <f aca="false">IFERROR(DATE(VALUE(MID(N2495,FIND("/",N2495,FIND("/",N2495)+1)+1,4)),VALUE(MID(N2495,FIND("/",N2495)+1,FIND("/",N2495,FIND("/",N2495)+1)-FIND("/",N2495)-1)),VALUE(LEFT(N2495,FIND("/",N2495)-1))),0)</f>
        <v>0</v>
      </c>
    </row>
    <row r="2496" customFormat="false" ht="15" hidden="false" customHeight="false" outlineLevel="0" collapsed="false">
      <c r="N2496" s="0" t="str">
        <f aca="false">IF(H2496="","",IFERROR(LEFT(H2496,FIND(" ",H2496)-1),H2496))</f>
        <v/>
      </c>
      <c r="O2496" s="20" t="n">
        <f aca="false">IFERROR(DATE(VALUE(MID(N2496,FIND("/",N2496,FIND("/",N2496)+1)+1,4)),VALUE(MID(N2496,FIND("/",N2496)+1,FIND("/",N2496,FIND("/",N2496)+1)-FIND("/",N2496)-1)),VALUE(LEFT(N2496,FIND("/",N2496)-1))),0)</f>
        <v>0</v>
      </c>
    </row>
    <row r="2497" customFormat="false" ht="15" hidden="false" customHeight="false" outlineLevel="0" collapsed="false">
      <c r="N2497" s="0" t="str">
        <f aca="false">IF(H2497="","",IFERROR(LEFT(H2497,FIND(" ",H2497)-1),H2497))</f>
        <v/>
      </c>
      <c r="O2497" s="20" t="n">
        <f aca="false">IFERROR(DATE(VALUE(MID(N2497,FIND("/",N2497,FIND("/",N2497)+1)+1,4)),VALUE(MID(N2497,FIND("/",N2497)+1,FIND("/",N2497,FIND("/",N2497)+1)-FIND("/",N2497)-1)),VALUE(LEFT(N2497,FIND("/",N2497)-1))),0)</f>
        <v>0</v>
      </c>
    </row>
    <row r="2498" customFormat="false" ht="15" hidden="false" customHeight="false" outlineLevel="0" collapsed="false">
      <c r="N2498" s="0" t="str">
        <f aca="false">IF(H2498="","",IFERROR(LEFT(H2498,FIND(" ",H2498)-1),H2498))</f>
        <v/>
      </c>
      <c r="O2498" s="20" t="n">
        <f aca="false">IFERROR(DATE(VALUE(MID(N2498,FIND("/",N2498,FIND("/",N2498)+1)+1,4)),VALUE(MID(N2498,FIND("/",N2498)+1,FIND("/",N2498,FIND("/",N2498)+1)-FIND("/",N2498)-1)),VALUE(LEFT(N2498,FIND("/",N2498)-1))),0)</f>
        <v>0</v>
      </c>
    </row>
    <row r="2499" customFormat="false" ht="15" hidden="false" customHeight="false" outlineLevel="0" collapsed="false">
      <c r="N2499" s="0" t="str">
        <f aca="false">IF(H2499="","",IFERROR(LEFT(H2499,FIND(" ",H2499)-1),H2499))</f>
        <v/>
      </c>
      <c r="O2499" s="20" t="n">
        <f aca="false">IFERROR(DATE(VALUE(MID(N2499,FIND("/",N2499,FIND("/",N2499)+1)+1,4)),VALUE(MID(N2499,FIND("/",N2499)+1,FIND("/",N2499,FIND("/",N2499)+1)-FIND("/",N2499)-1)),VALUE(LEFT(N2499,FIND("/",N2499)-1))),0)</f>
        <v>0</v>
      </c>
    </row>
    <row r="2500" customFormat="false" ht="15" hidden="false" customHeight="false" outlineLevel="0" collapsed="false">
      <c r="N2500" s="0" t="str">
        <f aca="false">IF(H2500="","",IFERROR(LEFT(H2500,FIND(" ",H2500)-1),H2500))</f>
        <v/>
      </c>
      <c r="O2500" s="20" t="n">
        <f aca="false">IFERROR(DATE(VALUE(MID(N2500,FIND("/",N2500,FIND("/",N2500)+1)+1,4)),VALUE(MID(N2500,FIND("/",N2500)+1,FIND("/",N2500,FIND("/",N2500)+1)-FIND("/",N2500)-1)),VALUE(LEFT(N2500,FIND("/",N2500)-1))),0)</f>
        <v>0</v>
      </c>
    </row>
    <row r="2501" customFormat="false" ht="15" hidden="false" customHeight="false" outlineLevel="0" collapsed="false">
      <c r="N2501" s="0" t="str">
        <f aca="false">IF(H2501="","",IFERROR(LEFT(H2501,FIND(" ",H2501)-1),H2501))</f>
        <v/>
      </c>
      <c r="O2501" s="20" t="n">
        <f aca="false">IFERROR(DATE(VALUE(MID(N2501,FIND("/",N2501,FIND("/",N2501)+1)+1,4)),VALUE(MID(N2501,FIND("/",N2501)+1,FIND("/",N2501,FIND("/",N2501)+1)-FIND("/",N2501)-1)),VALUE(LEFT(N2501,FIND("/",N2501)-1))),0)</f>
        <v>0</v>
      </c>
    </row>
    <row r="2502" customFormat="false" ht="15" hidden="false" customHeight="false" outlineLevel="0" collapsed="false">
      <c r="N2502" s="0" t="str">
        <f aca="false">IF(H2502="","",IFERROR(LEFT(H2502,FIND(" ",H2502)-1),H2502))</f>
        <v/>
      </c>
      <c r="O2502" s="20" t="n">
        <f aca="false">IFERROR(DATE(VALUE(MID(N2502,FIND("/",N2502,FIND("/",N2502)+1)+1,4)),VALUE(MID(N2502,FIND("/",N2502)+1,FIND("/",N2502,FIND("/",N2502)+1)-FIND("/",N2502)-1)),VALUE(LEFT(N2502,FIND("/",N2502)-1))),0)</f>
        <v>0</v>
      </c>
    </row>
    <row r="2503" customFormat="false" ht="15" hidden="false" customHeight="false" outlineLevel="0" collapsed="false">
      <c r="N2503" s="0" t="str">
        <f aca="false">IF(H2503="","",IFERROR(LEFT(H2503,FIND(" ",H2503)-1),H2503))</f>
        <v/>
      </c>
      <c r="O2503" s="20" t="n">
        <f aca="false">IFERROR(DATE(VALUE(MID(N2503,FIND("/",N2503,FIND("/",N2503)+1)+1,4)),VALUE(MID(N2503,FIND("/",N2503)+1,FIND("/",N2503,FIND("/",N2503)+1)-FIND("/",N2503)-1)),VALUE(LEFT(N2503,FIND("/",N2503)-1))),0)</f>
        <v>0</v>
      </c>
    </row>
    <row r="2504" customFormat="false" ht="15" hidden="false" customHeight="false" outlineLevel="0" collapsed="false">
      <c r="N2504" s="0" t="str">
        <f aca="false">IF(H2504="","",IFERROR(LEFT(H2504,FIND(" ",H2504)-1),H2504))</f>
        <v/>
      </c>
      <c r="O2504" s="20" t="n">
        <f aca="false">IFERROR(DATE(VALUE(MID(N2504,FIND("/",N2504,FIND("/",N2504)+1)+1,4)),VALUE(MID(N2504,FIND("/",N2504)+1,FIND("/",N2504,FIND("/",N2504)+1)-FIND("/",N2504)-1)),VALUE(LEFT(N2504,FIND("/",N2504)-1))),0)</f>
        <v>0</v>
      </c>
    </row>
    <row r="2505" customFormat="false" ht="15" hidden="false" customHeight="false" outlineLevel="0" collapsed="false">
      <c r="N2505" s="0" t="str">
        <f aca="false">IF(H2505="","",IFERROR(LEFT(H2505,FIND(" ",H2505)-1),H2505))</f>
        <v/>
      </c>
      <c r="O2505" s="20" t="n">
        <f aca="false">IFERROR(DATE(VALUE(MID(N2505,FIND("/",N2505,FIND("/",N2505)+1)+1,4)),VALUE(MID(N2505,FIND("/",N2505)+1,FIND("/",N2505,FIND("/",N2505)+1)-FIND("/",N2505)-1)),VALUE(LEFT(N2505,FIND("/",N2505)-1))),0)</f>
        <v>0</v>
      </c>
    </row>
    <row r="2506" customFormat="false" ht="15" hidden="false" customHeight="false" outlineLevel="0" collapsed="false">
      <c r="N2506" s="0" t="str">
        <f aca="false">IF(H2506="","",IFERROR(LEFT(H2506,FIND(" ",H2506)-1),H2506))</f>
        <v/>
      </c>
      <c r="O2506" s="20" t="n">
        <f aca="false">IFERROR(DATE(VALUE(MID(N2506,FIND("/",N2506,FIND("/",N2506)+1)+1,4)),VALUE(MID(N2506,FIND("/",N2506)+1,FIND("/",N2506,FIND("/",N2506)+1)-FIND("/",N2506)-1)),VALUE(LEFT(N2506,FIND("/",N2506)-1))),0)</f>
        <v>0</v>
      </c>
    </row>
    <row r="2507" customFormat="false" ht="15" hidden="false" customHeight="false" outlineLevel="0" collapsed="false">
      <c r="N2507" s="0" t="str">
        <f aca="false">IF(H2507="","",IFERROR(LEFT(H2507,FIND(" ",H2507)-1),H2507))</f>
        <v/>
      </c>
      <c r="O2507" s="20" t="n">
        <f aca="false">IFERROR(DATE(VALUE(MID(N2507,FIND("/",N2507,FIND("/",N2507)+1)+1,4)),VALUE(MID(N2507,FIND("/",N2507)+1,FIND("/",N2507,FIND("/",N2507)+1)-FIND("/",N2507)-1)),VALUE(LEFT(N2507,FIND("/",N2507)-1))),0)</f>
        <v>0</v>
      </c>
    </row>
    <row r="2508" customFormat="false" ht="15" hidden="false" customHeight="false" outlineLevel="0" collapsed="false">
      <c r="N2508" s="0" t="str">
        <f aca="false">IF(H2508="","",IFERROR(LEFT(H2508,FIND(" ",H2508)-1),H2508))</f>
        <v/>
      </c>
      <c r="O2508" s="20" t="n">
        <f aca="false">IFERROR(DATE(VALUE(MID(N2508,FIND("/",N2508,FIND("/",N2508)+1)+1,4)),VALUE(MID(N2508,FIND("/",N2508)+1,FIND("/",N2508,FIND("/",N2508)+1)-FIND("/",N2508)-1)),VALUE(LEFT(N2508,FIND("/",N2508)-1))),0)</f>
        <v>0</v>
      </c>
    </row>
    <row r="2509" customFormat="false" ht="15" hidden="false" customHeight="false" outlineLevel="0" collapsed="false">
      <c r="N2509" s="0" t="str">
        <f aca="false">IF(H2509="","",IFERROR(LEFT(H2509,FIND(" ",H2509)-1),H2509))</f>
        <v/>
      </c>
      <c r="O2509" s="20" t="n">
        <f aca="false">IFERROR(DATE(VALUE(MID(N2509,FIND("/",N2509,FIND("/",N2509)+1)+1,4)),VALUE(MID(N2509,FIND("/",N2509)+1,FIND("/",N2509,FIND("/",N2509)+1)-FIND("/",N2509)-1)),VALUE(LEFT(N2509,FIND("/",N2509)-1))),0)</f>
        <v>0</v>
      </c>
    </row>
    <row r="2510" customFormat="false" ht="15" hidden="false" customHeight="false" outlineLevel="0" collapsed="false">
      <c r="N2510" s="0" t="str">
        <f aca="false">IF(H2510="","",IFERROR(LEFT(H2510,FIND(" ",H2510)-1),H2510))</f>
        <v/>
      </c>
      <c r="O2510" s="20" t="n">
        <f aca="false">IFERROR(DATE(VALUE(MID(N2510,FIND("/",N2510,FIND("/",N2510)+1)+1,4)),VALUE(MID(N2510,FIND("/",N2510)+1,FIND("/",N2510,FIND("/",N2510)+1)-FIND("/",N2510)-1)),VALUE(LEFT(N2510,FIND("/",N2510)-1))),0)</f>
        <v>0</v>
      </c>
    </row>
    <row r="2511" customFormat="false" ht="15" hidden="false" customHeight="false" outlineLevel="0" collapsed="false">
      <c r="N2511" s="0" t="str">
        <f aca="false">IF(H2511="","",IFERROR(LEFT(H2511,FIND(" ",H2511)-1),H2511))</f>
        <v/>
      </c>
      <c r="O2511" s="20" t="n">
        <f aca="false">IFERROR(DATE(VALUE(MID(N2511,FIND("/",N2511,FIND("/",N2511)+1)+1,4)),VALUE(MID(N2511,FIND("/",N2511)+1,FIND("/",N2511,FIND("/",N2511)+1)-FIND("/",N2511)-1)),VALUE(LEFT(N2511,FIND("/",N2511)-1))),0)</f>
        <v>0</v>
      </c>
    </row>
    <row r="2512" customFormat="false" ht="15" hidden="false" customHeight="false" outlineLevel="0" collapsed="false">
      <c r="N2512" s="0" t="str">
        <f aca="false">IF(H2512="","",IFERROR(LEFT(H2512,FIND(" ",H2512)-1),H2512))</f>
        <v/>
      </c>
      <c r="O2512" s="20" t="n">
        <f aca="false">IFERROR(DATE(VALUE(MID(N2512,FIND("/",N2512,FIND("/",N2512)+1)+1,4)),VALUE(MID(N2512,FIND("/",N2512)+1,FIND("/",N2512,FIND("/",N2512)+1)-FIND("/",N2512)-1)),VALUE(LEFT(N2512,FIND("/",N2512)-1))),0)</f>
        <v>0</v>
      </c>
    </row>
    <row r="2513" customFormat="false" ht="15" hidden="false" customHeight="false" outlineLevel="0" collapsed="false">
      <c r="N2513" s="0" t="str">
        <f aca="false">IF(H2513="","",IFERROR(LEFT(H2513,FIND(" ",H2513)-1),H2513))</f>
        <v/>
      </c>
      <c r="O2513" s="20" t="n">
        <f aca="false">IFERROR(DATE(VALUE(MID(N2513,FIND("/",N2513,FIND("/",N2513)+1)+1,4)),VALUE(MID(N2513,FIND("/",N2513)+1,FIND("/",N2513,FIND("/",N2513)+1)-FIND("/",N2513)-1)),VALUE(LEFT(N2513,FIND("/",N2513)-1))),0)</f>
        <v>0</v>
      </c>
    </row>
    <row r="2514" customFormat="false" ht="15" hidden="false" customHeight="false" outlineLevel="0" collapsed="false">
      <c r="N2514" s="0" t="str">
        <f aca="false">IF(H2514="","",IFERROR(LEFT(H2514,FIND(" ",H2514)-1),H2514))</f>
        <v/>
      </c>
      <c r="O2514" s="20" t="n">
        <f aca="false">IFERROR(DATE(VALUE(MID(N2514,FIND("/",N2514,FIND("/",N2514)+1)+1,4)),VALUE(MID(N2514,FIND("/",N2514)+1,FIND("/",N2514,FIND("/",N2514)+1)-FIND("/",N2514)-1)),VALUE(LEFT(N2514,FIND("/",N2514)-1))),0)</f>
        <v>0</v>
      </c>
    </row>
    <row r="2515" customFormat="false" ht="15" hidden="false" customHeight="false" outlineLevel="0" collapsed="false">
      <c r="N2515" s="0" t="str">
        <f aca="false">IF(H2515="","",IFERROR(LEFT(H2515,FIND(" ",H2515)-1),H2515))</f>
        <v/>
      </c>
      <c r="O2515" s="20" t="n">
        <f aca="false">IFERROR(DATE(VALUE(MID(N2515,FIND("/",N2515,FIND("/",N2515)+1)+1,4)),VALUE(MID(N2515,FIND("/",N2515)+1,FIND("/",N2515,FIND("/",N2515)+1)-FIND("/",N2515)-1)),VALUE(LEFT(N2515,FIND("/",N2515)-1))),0)</f>
        <v>0</v>
      </c>
    </row>
    <row r="2516" customFormat="false" ht="15" hidden="false" customHeight="false" outlineLevel="0" collapsed="false">
      <c r="N2516" s="0" t="str">
        <f aca="false">IF(H2516="","",IFERROR(LEFT(H2516,FIND(" ",H2516)-1),H2516))</f>
        <v/>
      </c>
      <c r="O2516" s="20" t="n">
        <f aca="false">IFERROR(DATE(VALUE(MID(N2516,FIND("/",N2516,FIND("/",N2516)+1)+1,4)),VALUE(MID(N2516,FIND("/",N2516)+1,FIND("/",N2516,FIND("/",N2516)+1)-FIND("/",N2516)-1)),VALUE(LEFT(N2516,FIND("/",N2516)-1))),0)</f>
        <v>0</v>
      </c>
    </row>
    <row r="2517" customFormat="false" ht="15" hidden="false" customHeight="false" outlineLevel="0" collapsed="false">
      <c r="N2517" s="0" t="str">
        <f aca="false">IF(H2517="","",IFERROR(LEFT(H2517,FIND(" ",H2517)-1),H2517))</f>
        <v/>
      </c>
      <c r="O2517" s="20" t="n">
        <f aca="false">IFERROR(DATE(VALUE(MID(N2517,FIND("/",N2517,FIND("/",N2517)+1)+1,4)),VALUE(MID(N2517,FIND("/",N2517)+1,FIND("/",N2517,FIND("/",N2517)+1)-FIND("/",N2517)-1)),VALUE(LEFT(N2517,FIND("/",N2517)-1))),0)</f>
        <v>0</v>
      </c>
    </row>
    <row r="2518" customFormat="false" ht="15" hidden="false" customHeight="false" outlineLevel="0" collapsed="false">
      <c r="N2518" s="0" t="str">
        <f aca="false">IF(H2518="","",IFERROR(LEFT(H2518,FIND(" ",H2518)-1),H2518))</f>
        <v/>
      </c>
      <c r="O2518" s="20" t="n">
        <f aca="false">IFERROR(DATE(VALUE(MID(N2518,FIND("/",N2518,FIND("/",N2518)+1)+1,4)),VALUE(MID(N2518,FIND("/",N2518)+1,FIND("/",N2518,FIND("/",N2518)+1)-FIND("/",N2518)-1)),VALUE(LEFT(N2518,FIND("/",N2518)-1))),0)</f>
        <v>0</v>
      </c>
    </row>
    <row r="2519" customFormat="false" ht="15" hidden="false" customHeight="false" outlineLevel="0" collapsed="false">
      <c r="N2519" s="0" t="str">
        <f aca="false">IF(H2519="","",IFERROR(LEFT(H2519,FIND(" ",H2519)-1),H2519))</f>
        <v/>
      </c>
      <c r="O2519" s="20" t="n">
        <f aca="false">IFERROR(DATE(VALUE(MID(N2519,FIND("/",N2519,FIND("/",N2519)+1)+1,4)),VALUE(MID(N2519,FIND("/",N2519)+1,FIND("/",N2519,FIND("/",N2519)+1)-FIND("/",N2519)-1)),VALUE(LEFT(N2519,FIND("/",N2519)-1))),0)</f>
        <v>0</v>
      </c>
    </row>
    <row r="2520" customFormat="false" ht="15" hidden="false" customHeight="false" outlineLevel="0" collapsed="false">
      <c r="N2520" s="0" t="str">
        <f aca="false">IF(H2520="","",IFERROR(LEFT(H2520,FIND(" ",H2520)-1),H2520))</f>
        <v/>
      </c>
      <c r="O2520" s="20" t="n">
        <f aca="false">IFERROR(DATE(VALUE(MID(N2520,FIND("/",N2520,FIND("/",N2520)+1)+1,4)),VALUE(MID(N2520,FIND("/",N2520)+1,FIND("/",N2520,FIND("/",N2520)+1)-FIND("/",N2520)-1)),VALUE(LEFT(N2520,FIND("/",N2520)-1))),0)</f>
        <v>0</v>
      </c>
    </row>
    <row r="2521" customFormat="false" ht="15" hidden="false" customHeight="false" outlineLevel="0" collapsed="false">
      <c r="N2521" s="0" t="str">
        <f aca="false">IF(H2521="","",IFERROR(LEFT(H2521,FIND(" ",H2521)-1),H2521))</f>
        <v/>
      </c>
      <c r="O2521" s="20" t="n">
        <f aca="false">IFERROR(DATE(VALUE(MID(N2521,FIND("/",N2521,FIND("/",N2521)+1)+1,4)),VALUE(MID(N2521,FIND("/",N2521)+1,FIND("/",N2521,FIND("/",N2521)+1)-FIND("/",N2521)-1)),VALUE(LEFT(N2521,FIND("/",N2521)-1))),0)</f>
        <v>0</v>
      </c>
    </row>
    <row r="2522" customFormat="false" ht="15" hidden="false" customHeight="false" outlineLevel="0" collapsed="false">
      <c r="N2522" s="0" t="str">
        <f aca="false">IF(H2522="","",IFERROR(LEFT(H2522,FIND(" ",H2522)-1),H2522))</f>
        <v/>
      </c>
      <c r="O2522" s="20" t="n">
        <f aca="false">IFERROR(DATE(VALUE(MID(N2522,FIND("/",N2522,FIND("/",N2522)+1)+1,4)),VALUE(MID(N2522,FIND("/",N2522)+1,FIND("/",N2522,FIND("/",N2522)+1)-FIND("/",N2522)-1)),VALUE(LEFT(N2522,FIND("/",N2522)-1))),0)</f>
        <v>0</v>
      </c>
    </row>
    <row r="2523" customFormat="false" ht="15" hidden="false" customHeight="false" outlineLevel="0" collapsed="false">
      <c r="N2523" s="0" t="str">
        <f aca="false">IF(H2523="","",IFERROR(LEFT(H2523,FIND(" ",H2523)-1),H2523))</f>
        <v/>
      </c>
      <c r="O2523" s="20" t="n">
        <f aca="false">IFERROR(DATE(VALUE(MID(N2523,FIND("/",N2523,FIND("/",N2523)+1)+1,4)),VALUE(MID(N2523,FIND("/",N2523)+1,FIND("/",N2523,FIND("/",N2523)+1)-FIND("/",N2523)-1)),VALUE(LEFT(N2523,FIND("/",N2523)-1))),0)</f>
        <v>0</v>
      </c>
    </row>
    <row r="2524" customFormat="false" ht="15" hidden="false" customHeight="false" outlineLevel="0" collapsed="false">
      <c r="N2524" s="0" t="str">
        <f aca="false">IF(H2524="","",IFERROR(LEFT(H2524,FIND(" ",H2524)-1),H2524))</f>
        <v/>
      </c>
      <c r="O2524" s="20" t="n">
        <f aca="false">IFERROR(DATE(VALUE(MID(N2524,FIND("/",N2524,FIND("/",N2524)+1)+1,4)),VALUE(MID(N2524,FIND("/",N2524)+1,FIND("/",N2524,FIND("/",N2524)+1)-FIND("/",N2524)-1)),VALUE(LEFT(N2524,FIND("/",N2524)-1))),0)</f>
        <v>0</v>
      </c>
    </row>
    <row r="2525" customFormat="false" ht="15" hidden="false" customHeight="false" outlineLevel="0" collapsed="false">
      <c r="N2525" s="0" t="str">
        <f aca="false">IF(H2525="","",IFERROR(LEFT(H2525,FIND(" ",H2525)-1),H2525))</f>
        <v/>
      </c>
      <c r="O2525" s="20" t="n">
        <f aca="false">IFERROR(DATE(VALUE(MID(N2525,FIND("/",N2525,FIND("/",N2525)+1)+1,4)),VALUE(MID(N2525,FIND("/",N2525)+1,FIND("/",N2525,FIND("/",N2525)+1)-FIND("/",N2525)-1)),VALUE(LEFT(N2525,FIND("/",N2525)-1))),0)</f>
        <v>0</v>
      </c>
    </row>
    <row r="2526" customFormat="false" ht="15" hidden="false" customHeight="false" outlineLevel="0" collapsed="false">
      <c r="N2526" s="0" t="str">
        <f aca="false">IF(H2526="","",IFERROR(LEFT(H2526,FIND(" ",H2526)-1),H2526))</f>
        <v/>
      </c>
      <c r="O2526" s="20" t="n">
        <f aca="false">IFERROR(DATE(VALUE(MID(N2526,FIND("/",N2526,FIND("/",N2526)+1)+1,4)),VALUE(MID(N2526,FIND("/",N2526)+1,FIND("/",N2526,FIND("/",N2526)+1)-FIND("/",N2526)-1)),VALUE(LEFT(N2526,FIND("/",N2526)-1))),0)</f>
        <v>0</v>
      </c>
    </row>
    <row r="2527" customFormat="false" ht="15" hidden="false" customHeight="false" outlineLevel="0" collapsed="false">
      <c r="N2527" s="0" t="str">
        <f aca="false">IF(H2527="","",IFERROR(LEFT(H2527,FIND(" ",H2527)-1),H2527))</f>
        <v/>
      </c>
      <c r="O2527" s="20" t="n">
        <f aca="false">IFERROR(DATE(VALUE(MID(N2527,FIND("/",N2527,FIND("/",N2527)+1)+1,4)),VALUE(MID(N2527,FIND("/",N2527)+1,FIND("/",N2527,FIND("/",N2527)+1)-FIND("/",N2527)-1)),VALUE(LEFT(N2527,FIND("/",N2527)-1))),0)</f>
        <v>0</v>
      </c>
    </row>
    <row r="2528" customFormat="false" ht="15" hidden="false" customHeight="false" outlineLevel="0" collapsed="false">
      <c r="N2528" s="0" t="str">
        <f aca="false">IF(H2528="","",IFERROR(LEFT(H2528,FIND(" ",H2528)-1),H2528))</f>
        <v/>
      </c>
      <c r="O2528" s="20" t="n">
        <f aca="false">IFERROR(DATE(VALUE(MID(N2528,FIND("/",N2528,FIND("/",N2528)+1)+1,4)),VALUE(MID(N2528,FIND("/",N2528)+1,FIND("/",N2528,FIND("/",N2528)+1)-FIND("/",N2528)-1)),VALUE(LEFT(N2528,FIND("/",N2528)-1))),0)</f>
        <v>0</v>
      </c>
    </row>
    <row r="2529" customFormat="false" ht="15" hidden="false" customHeight="false" outlineLevel="0" collapsed="false">
      <c r="N2529" s="0" t="str">
        <f aca="false">IF(H2529="","",IFERROR(LEFT(H2529,FIND(" ",H2529)-1),H2529))</f>
        <v/>
      </c>
      <c r="O2529" s="20" t="n">
        <f aca="false">IFERROR(DATE(VALUE(MID(N2529,FIND("/",N2529,FIND("/",N2529)+1)+1,4)),VALUE(MID(N2529,FIND("/",N2529)+1,FIND("/",N2529,FIND("/",N2529)+1)-FIND("/",N2529)-1)),VALUE(LEFT(N2529,FIND("/",N2529)-1))),0)</f>
        <v>0</v>
      </c>
    </row>
    <row r="2530" customFormat="false" ht="15" hidden="false" customHeight="false" outlineLevel="0" collapsed="false">
      <c r="N2530" s="0" t="str">
        <f aca="false">IF(H2530="","",IFERROR(LEFT(H2530,FIND(" ",H2530)-1),H2530))</f>
        <v/>
      </c>
      <c r="O2530" s="20" t="n">
        <f aca="false">IFERROR(DATE(VALUE(MID(N2530,FIND("/",N2530,FIND("/",N2530)+1)+1,4)),VALUE(MID(N2530,FIND("/",N2530)+1,FIND("/",N2530,FIND("/",N2530)+1)-FIND("/",N2530)-1)),VALUE(LEFT(N2530,FIND("/",N2530)-1))),0)</f>
        <v>0</v>
      </c>
    </row>
    <row r="2531" customFormat="false" ht="15" hidden="false" customHeight="false" outlineLevel="0" collapsed="false">
      <c r="N2531" s="0" t="str">
        <f aca="false">IF(H2531="","",IFERROR(LEFT(H2531,FIND(" ",H2531)-1),H2531))</f>
        <v/>
      </c>
      <c r="O2531" s="20" t="n">
        <f aca="false">IFERROR(DATE(VALUE(MID(N2531,FIND("/",N2531,FIND("/",N2531)+1)+1,4)),VALUE(MID(N2531,FIND("/",N2531)+1,FIND("/",N2531,FIND("/",N2531)+1)-FIND("/",N2531)-1)),VALUE(LEFT(N2531,FIND("/",N2531)-1))),0)</f>
        <v>0</v>
      </c>
    </row>
    <row r="2532" customFormat="false" ht="15" hidden="false" customHeight="false" outlineLevel="0" collapsed="false">
      <c r="N2532" s="0" t="str">
        <f aca="false">IF(H2532="","",IFERROR(LEFT(H2532,FIND(" ",H2532)-1),H2532))</f>
        <v/>
      </c>
      <c r="O2532" s="20" t="n">
        <f aca="false">IFERROR(DATE(VALUE(MID(N2532,FIND("/",N2532,FIND("/",N2532)+1)+1,4)),VALUE(MID(N2532,FIND("/",N2532)+1,FIND("/",N2532,FIND("/",N2532)+1)-FIND("/",N2532)-1)),VALUE(LEFT(N2532,FIND("/",N2532)-1))),0)</f>
        <v>0</v>
      </c>
    </row>
    <row r="2533" customFormat="false" ht="15" hidden="false" customHeight="false" outlineLevel="0" collapsed="false">
      <c r="N2533" s="0" t="str">
        <f aca="false">IF(H2533="","",IFERROR(LEFT(H2533,FIND(" ",H2533)-1),H2533))</f>
        <v/>
      </c>
      <c r="O2533" s="20" t="n">
        <f aca="false">IFERROR(DATE(VALUE(MID(N2533,FIND("/",N2533,FIND("/",N2533)+1)+1,4)),VALUE(MID(N2533,FIND("/",N2533)+1,FIND("/",N2533,FIND("/",N2533)+1)-FIND("/",N2533)-1)),VALUE(LEFT(N2533,FIND("/",N2533)-1))),0)</f>
        <v>0</v>
      </c>
    </row>
    <row r="2534" customFormat="false" ht="15" hidden="false" customHeight="false" outlineLevel="0" collapsed="false">
      <c r="N2534" s="0" t="str">
        <f aca="false">IF(H2534="","",IFERROR(LEFT(H2534,FIND(" ",H2534)-1),H2534))</f>
        <v/>
      </c>
      <c r="O2534" s="20" t="n">
        <f aca="false">IFERROR(DATE(VALUE(MID(N2534,FIND("/",N2534,FIND("/",N2534)+1)+1,4)),VALUE(MID(N2534,FIND("/",N2534)+1,FIND("/",N2534,FIND("/",N2534)+1)-FIND("/",N2534)-1)),VALUE(LEFT(N2534,FIND("/",N2534)-1))),0)</f>
        <v>0</v>
      </c>
    </row>
    <row r="2535" customFormat="false" ht="15" hidden="false" customHeight="false" outlineLevel="0" collapsed="false">
      <c r="N2535" s="0" t="str">
        <f aca="false">IF(H2535="","",IFERROR(LEFT(H2535,FIND(" ",H2535)-1),H2535))</f>
        <v/>
      </c>
      <c r="O2535" s="20" t="n">
        <f aca="false">IFERROR(DATE(VALUE(MID(N2535,FIND("/",N2535,FIND("/",N2535)+1)+1,4)),VALUE(MID(N2535,FIND("/",N2535)+1,FIND("/",N2535,FIND("/",N2535)+1)-FIND("/",N2535)-1)),VALUE(LEFT(N2535,FIND("/",N2535)-1))),0)</f>
        <v>0</v>
      </c>
    </row>
    <row r="2536" customFormat="false" ht="15" hidden="false" customHeight="false" outlineLevel="0" collapsed="false">
      <c r="N2536" s="0" t="str">
        <f aca="false">IF(H2536="","",IFERROR(LEFT(H2536,FIND(" ",H2536)-1),H2536))</f>
        <v/>
      </c>
      <c r="O2536" s="20" t="n">
        <f aca="false">IFERROR(DATE(VALUE(MID(N2536,FIND("/",N2536,FIND("/",N2536)+1)+1,4)),VALUE(MID(N2536,FIND("/",N2536)+1,FIND("/",N2536,FIND("/",N2536)+1)-FIND("/",N2536)-1)),VALUE(LEFT(N2536,FIND("/",N2536)-1))),0)</f>
        <v>0</v>
      </c>
    </row>
    <row r="2537" customFormat="false" ht="15" hidden="false" customHeight="false" outlineLevel="0" collapsed="false">
      <c r="N2537" s="0" t="str">
        <f aca="false">IF(H2537="","",IFERROR(LEFT(H2537,FIND(" ",H2537)-1),H2537))</f>
        <v/>
      </c>
      <c r="O2537" s="20" t="n">
        <f aca="false">IFERROR(DATE(VALUE(MID(N2537,FIND("/",N2537,FIND("/",N2537)+1)+1,4)),VALUE(MID(N2537,FIND("/",N2537)+1,FIND("/",N2537,FIND("/",N2537)+1)-FIND("/",N2537)-1)),VALUE(LEFT(N2537,FIND("/",N2537)-1))),0)</f>
        <v>0</v>
      </c>
    </row>
    <row r="2538" customFormat="false" ht="15" hidden="false" customHeight="false" outlineLevel="0" collapsed="false">
      <c r="N2538" s="0" t="str">
        <f aca="false">IF(H2538="","",IFERROR(LEFT(H2538,FIND(" ",H2538)-1),H2538))</f>
        <v/>
      </c>
      <c r="O2538" s="20" t="n">
        <f aca="false">IFERROR(DATE(VALUE(MID(N2538,FIND("/",N2538,FIND("/",N2538)+1)+1,4)),VALUE(MID(N2538,FIND("/",N2538)+1,FIND("/",N2538,FIND("/",N2538)+1)-FIND("/",N2538)-1)),VALUE(LEFT(N2538,FIND("/",N2538)-1))),0)</f>
        <v>0</v>
      </c>
    </row>
    <row r="2539" customFormat="false" ht="15" hidden="false" customHeight="false" outlineLevel="0" collapsed="false">
      <c r="N2539" s="0" t="str">
        <f aca="false">IF(H2539="","",IFERROR(LEFT(H2539,FIND(" ",H2539)-1),H2539))</f>
        <v/>
      </c>
      <c r="O2539" s="20" t="n">
        <f aca="false">IFERROR(DATE(VALUE(MID(N2539,FIND("/",N2539,FIND("/",N2539)+1)+1,4)),VALUE(MID(N2539,FIND("/",N2539)+1,FIND("/",N2539,FIND("/",N2539)+1)-FIND("/",N2539)-1)),VALUE(LEFT(N2539,FIND("/",N2539)-1))),0)</f>
        <v>0</v>
      </c>
    </row>
    <row r="2540" customFormat="false" ht="15" hidden="false" customHeight="false" outlineLevel="0" collapsed="false">
      <c r="N2540" s="0" t="str">
        <f aca="false">IF(H2540="","",IFERROR(LEFT(H2540,FIND(" ",H2540)-1),H2540))</f>
        <v/>
      </c>
      <c r="O2540" s="20" t="n">
        <f aca="false">IFERROR(DATE(VALUE(MID(N2540,FIND("/",N2540,FIND("/",N2540)+1)+1,4)),VALUE(MID(N2540,FIND("/",N2540)+1,FIND("/",N2540,FIND("/",N2540)+1)-FIND("/",N2540)-1)),VALUE(LEFT(N2540,FIND("/",N2540)-1))),0)</f>
        <v>0</v>
      </c>
    </row>
    <row r="2541" customFormat="false" ht="15" hidden="false" customHeight="false" outlineLevel="0" collapsed="false">
      <c r="N2541" s="0" t="str">
        <f aca="false">IF(H2541="","",IFERROR(LEFT(H2541,FIND(" ",H2541)-1),H2541))</f>
        <v/>
      </c>
      <c r="O2541" s="20" t="n">
        <f aca="false">IFERROR(DATE(VALUE(MID(N2541,FIND("/",N2541,FIND("/",N2541)+1)+1,4)),VALUE(MID(N2541,FIND("/",N2541)+1,FIND("/",N2541,FIND("/",N2541)+1)-FIND("/",N2541)-1)),VALUE(LEFT(N2541,FIND("/",N2541)-1))),0)</f>
        <v>0</v>
      </c>
    </row>
    <row r="2542" customFormat="false" ht="15" hidden="false" customHeight="false" outlineLevel="0" collapsed="false">
      <c r="N2542" s="0" t="str">
        <f aca="false">IF(H2542="","",IFERROR(LEFT(H2542,FIND(" ",H2542)-1),H2542))</f>
        <v/>
      </c>
      <c r="O2542" s="20" t="n">
        <f aca="false">IFERROR(DATE(VALUE(MID(N2542,FIND("/",N2542,FIND("/",N2542)+1)+1,4)),VALUE(MID(N2542,FIND("/",N2542)+1,FIND("/",N2542,FIND("/",N2542)+1)-FIND("/",N2542)-1)),VALUE(LEFT(N2542,FIND("/",N2542)-1))),0)</f>
        <v>0</v>
      </c>
    </row>
    <row r="2543" customFormat="false" ht="15" hidden="false" customHeight="false" outlineLevel="0" collapsed="false">
      <c r="N2543" s="0" t="str">
        <f aca="false">IF(H2543="","",IFERROR(LEFT(H2543,FIND(" ",H2543)-1),H2543))</f>
        <v/>
      </c>
      <c r="O2543" s="20" t="n">
        <f aca="false">IFERROR(DATE(VALUE(MID(N2543,FIND("/",N2543,FIND("/",N2543)+1)+1,4)),VALUE(MID(N2543,FIND("/",N2543)+1,FIND("/",N2543,FIND("/",N2543)+1)-FIND("/",N2543)-1)),VALUE(LEFT(N2543,FIND("/",N2543)-1))),0)</f>
        <v>0</v>
      </c>
    </row>
    <row r="2544" customFormat="false" ht="15" hidden="false" customHeight="false" outlineLevel="0" collapsed="false">
      <c r="N2544" s="0" t="str">
        <f aca="false">IF(H2544="","",IFERROR(LEFT(H2544,FIND(" ",H2544)-1),H2544))</f>
        <v/>
      </c>
      <c r="O2544" s="20" t="n">
        <f aca="false">IFERROR(DATE(VALUE(MID(N2544,FIND("/",N2544,FIND("/",N2544)+1)+1,4)),VALUE(MID(N2544,FIND("/",N2544)+1,FIND("/",N2544,FIND("/",N2544)+1)-FIND("/",N2544)-1)),VALUE(LEFT(N2544,FIND("/",N2544)-1))),0)</f>
        <v>0</v>
      </c>
    </row>
    <row r="2545" customFormat="false" ht="15" hidden="false" customHeight="false" outlineLevel="0" collapsed="false">
      <c r="N2545" s="0" t="str">
        <f aca="false">IF(H2545="","",IFERROR(LEFT(H2545,FIND(" ",H2545)-1),H2545))</f>
        <v/>
      </c>
      <c r="O2545" s="20" t="n">
        <f aca="false">IFERROR(DATE(VALUE(MID(N2545,FIND("/",N2545,FIND("/",N2545)+1)+1,4)),VALUE(MID(N2545,FIND("/",N2545)+1,FIND("/",N2545,FIND("/",N2545)+1)-FIND("/",N2545)-1)),VALUE(LEFT(N2545,FIND("/",N2545)-1))),0)</f>
        <v>0</v>
      </c>
    </row>
    <row r="2546" customFormat="false" ht="15" hidden="false" customHeight="false" outlineLevel="0" collapsed="false">
      <c r="N2546" s="0" t="str">
        <f aca="false">IF(H2546="","",IFERROR(LEFT(H2546,FIND(" ",H2546)-1),H2546))</f>
        <v/>
      </c>
      <c r="O2546" s="20" t="n">
        <f aca="false">IFERROR(DATE(VALUE(MID(N2546,FIND("/",N2546,FIND("/",N2546)+1)+1,4)),VALUE(MID(N2546,FIND("/",N2546)+1,FIND("/",N2546,FIND("/",N2546)+1)-FIND("/",N2546)-1)),VALUE(LEFT(N2546,FIND("/",N2546)-1))),0)</f>
        <v>0</v>
      </c>
    </row>
    <row r="2547" customFormat="false" ht="15" hidden="false" customHeight="false" outlineLevel="0" collapsed="false">
      <c r="N2547" s="0" t="str">
        <f aca="false">IF(H2547="","",IFERROR(LEFT(H2547,FIND(" ",H2547)-1),H2547))</f>
        <v/>
      </c>
      <c r="O2547" s="20" t="n">
        <f aca="false">IFERROR(DATE(VALUE(MID(N2547,FIND("/",N2547,FIND("/",N2547)+1)+1,4)),VALUE(MID(N2547,FIND("/",N2547)+1,FIND("/",N2547,FIND("/",N2547)+1)-FIND("/",N2547)-1)),VALUE(LEFT(N2547,FIND("/",N2547)-1))),0)</f>
        <v>0</v>
      </c>
    </row>
    <row r="2548" customFormat="false" ht="15" hidden="false" customHeight="false" outlineLevel="0" collapsed="false">
      <c r="N2548" s="0" t="str">
        <f aca="false">IF(H2548="","",IFERROR(LEFT(H2548,FIND(" ",H2548)-1),H2548))</f>
        <v/>
      </c>
      <c r="O2548" s="20" t="n">
        <f aca="false">IFERROR(DATE(VALUE(MID(N2548,FIND("/",N2548,FIND("/",N2548)+1)+1,4)),VALUE(MID(N2548,FIND("/",N2548)+1,FIND("/",N2548,FIND("/",N2548)+1)-FIND("/",N2548)-1)),VALUE(LEFT(N2548,FIND("/",N2548)-1))),0)</f>
        <v>0</v>
      </c>
    </row>
    <row r="2549" customFormat="false" ht="15" hidden="false" customHeight="false" outlineLevel="0" collapsed="false">
      <c r="N2549" s="0" t="str">
        <f aca="false">IF(H2549="","",IFERROR(LEFT(H2549,FIND(" ",H2549)-1),H2549))</f>
        <v/>
      </c>
      <c r="O2549" s="20" t="n">
        <f aca="false">IFERROR(DATE(VALUE(MID(N2549,FIND("/",N2549,FIND("/",N2549)+1)+1,4)),VALUE(MID(N2549,FIND("/",N2549)+1,FIND("/",N2549,FIND("/",N2549)+1)-FIND("/",N2549)-1)),VALUE(LEFT(N2549,FIND("/",N2549)-1))),0)</f>
        <v>0</v>
      </c>
    </row>
    <row r="2550" customFormat="false" ht="15" hidden="false" customHeight="false" outlineLevel="0" collapsed="false">
      <c r="N2550" s="0" t="str">
        <f aca="false">IF(H2550="","",IFERROR(LEFT(H2550,FIND(" ",H2550)-1),H2550))</f>
        <v/>
      </c>
      <c r="O2550" s="20" t="n">
        <f aca="false">IFERROR(DATE(VALUE(MID(N2550,FIND("/",N2550,FIND("/",N2550)+1)+1,4)),VALUE(MID(N2550,FIND("/",N2550)+1,FIND("/",N2550,FIND("/",N2550)+1)-FIND("/",N2550)-1)),VALUE(LEFT(N2550,FIND("/",N2550)-1))),0)</f>
        <v>0</v>
      </c>
    </row>
    <row r="2551" customFormat="false" ht="15" hidden="false" customHeight="false" outlineLevel="0" collapsed="false">
      <c r="N2551" s="0" t="str">
        <f aca="false">IF(H2551="","",IFERROR(LEFT(H2551,FIND(" ",H2551)-1),H2551))</f>
        <v/>
      </c>
      <c r="O2551" s="20" t="n">
        <f aca="false">IFERROR(DATE(VALUE(MID(N2551,FIND("/",N2551,FIND("/",N2551)+1)+1,4)),VALUE(MID(N2551,FIND("/",N2551)+1,FIND("/",N2551,FIND("/",N2551)+1)-FIND("/",N2551)-1)),VALUE(LEFT(N2551,FIND("/",N2551)-1))),0)</f>
        <v>0</v>
      </c>
    </row>
    <row r="2552" customFormat="false" ht="15" hidden="false" customHeight="false" outlineLevel="0" collapsed="false">
      <c r="N2552" s="0" t="str">
        <f aca="false">IF(H2552="","",IFERROR(LEFT(H2552,FIND(" ",H2552)-1),H2552))</f>
        <v/>
      </c>
      <c r="O2552" s="20" t="n">
        <f aca="false">IFERROR(DATE(VALUE(MID(N2552,FIND("/",N2552,FIND("/",N2552)+1)+1,4)),VALUE(MID(N2552,FIND("/",N2552)+1,FIND("/",N2552,FIND("/",N2552)+1)-FIND("/",N2552)-1)),VALUE(LEFT(N2552,FIND("/",N2552)-1))),0)</f>
        <v>0</v>
      </c>
    </row>
    <row r="2553" customFormat="false" ht="15" hidden="false" customHeight="false" outlineLevel="0" collapsed="false">
      <c r="N2553" s="0" t="str">
        <f aca="false">IF(H2553="","",IFERROR(LEFT(H2553,FIND(" ",H2553)-1),H2553))</f>
        <v/>
      </c>
      <c r="O2553" s="20" t="n">
        <f aca="false">IFERROR(DATE(VALUE(MID(N2553,FIND("/",N2553,FIND("/",N2553)+1)+1,4)),VALUE(MID(N2553,FIND("/",N2553)+1,FIND("/",N2553,FIND("/",N2553)+1)-FIND("/",N2553)-1)),VALUE(LEFT(N2553,FIND("/",N2553)-1))),0)</f>
        <v>0</v>
      </c>
    </row>
    <row r="2554" customFormat="false" ht="15" hidden="false" customHeight="false" outlineLevel="0" collapsed="false">
      <c r="N2554" s="0" t="str">
        <f aca="false">IF(H2554="","",IFERROR(LEFT(H2554,FIND(" ",H2554)-1),H2554))</f>
        <v/>
      </c>
      <c r="O2554" s="20" t="n">
        <f aca="false">IFERROR(DATE(VALUE(MID(N2554,FIND("/",N2554,FIND("/",N2554)+1)+1,4)),VALUE(MID(N2554,FIND("/",N2554)+1,FIND("/",N2554,FIND("/",N2554)+1)-FIND("/",N2554)-1)),VALUE(LEFT(N2554,FIND("/",N2554)-1))),0)</f>
        <v>0</v>
      </c>
    </row>
    <row r="2555" customFormat="false" ht="15" hidden="false" customHeight="false" outlineLevel="0" collapsed="false">
      <c r="N2555" s="0" t="str">
        <f aca="false">IF(H2555="","",IFERROR(LEFT(H2555,FIND(" ",H2555)-1),H2555))</f>
        <v/>
      </c>
      <c r="O2555" s="20" t="n">
        <f aca="false">IFERROR(DATE(VALUE(MID(N2555,FIND("/",N2555,FIND("/",N2555)+1)+1,4)),VALUE(MID(N2555,FIND("/",N2555)+1,FIND("/",N2555,FIND("/",N2555)+1)-FIND("/",N2555)-1)),VALUE(LEFT(N2555,FIND("/",N2555)-1))),0)</f>
        <v>0</v>
      </c>
    </row>
    <row r="2556" customFormat="false" ht="15" hidden="false" customHeight="false" outlineLevel="0" collapsed="false">
      <c r="N2556" s="0" t="str">
        <f aca="false">IF(H2556="","",IFERROR(LEFT(H2556,FIND(" ",H2556)-1),H2556))</f>
        <v/>
      </c>
      <c r="O2556" s="20" t="n">
        <f aca="false">IFERROR(DATE(VALUE(MID(N2556,FIND("/",N2556,FIND("/",N2556)+1)+1,4)),VALUE(MID(N2556,FIND("/",N2556)+1,FIND("/",N2556,FIND("/",N2556)+1)-FIND("/",N2556)-1)),VALUE(LEFT(N2556,FIND("/",N2556)-1))),0)</f>
        <v>0</v>
      </c>
    </row>
    <row r="2557" customFormat="false" ht="15" hidden="false" customHeight="false" outlineLevel="0" collapsed="false">
      <c r="N2557" s="0" t="str">
        <f aca="false">IF(H2557="","",IFERROR(LEFT(H2557,FIND(" ",H2557)-1),H2557))</f>
        <v/>
      </c>
      <c r="O2557" s="20" t="n">
        <f aca="false">IFERROR(DATE(VALUE(MID(N2557,FIND("/",N2557,FIND("/",N2557)+1)+1,4)),VALUE(MID(N2557,FIND("/",N2557)+1,FIND("/",N2557,FIND("/",N2557)+1)-FIND("/",N2557)-1)),VALUE(LEFT(N2557,FIND("/",N2557)-1))),0)</f>
        <v>0</v>
      </c>
    </row>
    <row r="2558" customFormat="false" ht="15" hidden="false" customHeight="false" outlineLevel="0" collapsed="false">
      <c r="N2558" s="0" t="str">
        <f aca="false">IF(H2558="","",IFERROR(LEFT(H2558,FIND(" ",H2558)-1),H2558))</f>
        <v/>
      </c>
      <c r="O2558" s="20" t="n">
        <f aca="false">IFERROR(DATE(VALUE(MID(N2558,FIND("/",N2558,FIND("/",N2558)+1)+1,4)),VALUE(MID(N2558,FIND("/",N2558)+1,FIND("/",N2558,FIND("/",N2558)+1)-FIND("/",N2558)-1)),VALUE(LEFT(N2558,FIND("/",N2558)-1))),0)</f>
        <v>0</v>
      </c>
    </row>
    <row r="2559" customFormat="false" ht="15" hidden="false" customHeight="false" outlineLevel="0" collapsed="false">
      <c r="N2559" s="0" t="str">
        <f aca="false">IF(H2559="","",IFERROR(LEFT(H2559,FIND(" ",H2559)-1),H2559))</f>
        <v/>
      </c>
      <c r="O2559" s="20" t="n">
        <f aca="false">IFERROR(DATE(VALUE(MID(N2559,FIND("/",N2559,FIND("/",N2559)+1)+1,4)),VALUE(MID(N2559,FIND("/",N2559)+1,FIND("/",N2559,FIND("/",N2559)+1)-FIND("/",N2559)-1)),VALUE(LEFT(N2559,FIND("/",N2559)-1))),0)</f>
        <v>0</v>
      </c>
    </row>
    <row r="2560" customFormat="false" ht="15" hidden="false" customHeight="false" outlineLevel="0" collapsed="false">
      <c r="N2560" s="0" t="str">
        <f aca="false">IF(H2560="","",IFERROR(LEFT(H2560,FIND(" ",H2560)-1),H2560))</f>
        <v/>
      </c>
      <c r="O2560" s="20" t="n">
        <f aca="false">IFERROR(DATE(VALUE(MID(N2560,FIND("/",N2560,FIND("/",N2560)+1)+1,4)),VALUE(MID(N2560,FIND("/",N2560)+1,FIND("/",N2560,FIND("/",N2560)+1)-FIND("/",N2560)-1)),VALUE(LEFT(N2560,FIND("/",N2560)-1))),0)</f>
        <v>0</v>
      </c>
    </row>
    <row r="2561" customFormat="false" ht="15" hidden="false" customHeight="false" outlineLevel="0" collapsed="false">
      <c r="N2561" s="0" t="str">
        <f aca="false">IF(H2561="","",IFERROR(LEFT(H2561,FIND(" ",H2561)-1),H2561))</f>
        <v/>
      </c>
      <c r="O2561" s="20" t="n">
        <f aca="false">IFERROR(DATE(VALUE(MID(N2561,FIND("/",N2561,FIND("/",N2561)+1)+1,4)),VALUE(MID(N2561,FIND("/",N2561)+1,FIND("/",N2561,FIND("/",N2561)+1)-FIND("/",N2561)-1)),VALUE(LEFT(N2561,FIND("/",N2561)-1))),0)</f>
        <v>0</v>
      </c>
    </row>
    <row r="2562" customFormat="false" ht="15" hidden="false" customHeight="false" outlineLevel="0" collapsed="false">
      <c r="N2562" s="0" t="str">
        <f aca="false">IF(H2562="","",IFERROR(LEFT(H2562,FIND(" ",H2562)-1),H2562))</f>
        <v/>
      </c>
      <c r="O2562" s="20" t="n">
        <f aca="false">IFERROR(DATE(VALUE(MID(N2562,FIND("/",N2562,FIND("/",N2562)+1)+1,4)),VALUE(MID(N2562,FIND("/",N2562)+1,FIND("/",N2562,FIND("/",N2562)+1)-FIND("/",N2562)-1)),VALUE(LEFT(N2562,FIND("/",N2562)-1))),0)</f>
        <v>0</v>
      </c>
    </row>
    <row r="2563" customFormat="false" ht="15" hidden="false" customHeight="false" outlineLevel="0" collapsed="false">
      <c r="N2563" s="0" t="str">
        <f aca="false">IF(H2563="","",IFERROR(LEFT(H2563,FIND(" ",H2563)-1),H2563))</f>
        <v/>
      </c>
      <c r="O2563" s="20" t="n">
        <f aca="false">IFERROR(DATE(VALUE(MID(N2563,FIND("/",N2563,FIND("/",N2563)+1)+1,4)),VALUE(MID(N2563,FIND("/",N2563)+1,FIND("/",N2563,FIND("/",N2563)+1)-FIND("/",N2563)-1)),VALUE(LEFT(N2563,FIND("/",N2563)-1))),0)</f>
        <v>0</v>
      </c>
    </row>
    <row r="2564" customFormat="false" ht="15" hidden="false" customHeight="false" outlineLevel="0" collapsed="false">
      <c r="N2564" s="0" t="str">
        <f aca="false">IF(H2564="","",IFERROR(LEFT(H2564,FIND(" ",H2564)-1),H2564))</f>
        <v/>
      </c>
      <c r="O2564" s="20" t="n">
        <f aca="false">IFERROR(DATE(VALUE(MID(N2564,FIND("/",N2564,FIND("/",N2564)+1)+1,4)),VALUE(MID(N2564,FIND("/",N2564)+1,FIND("/",N2564,FIND("/",N2564)+1)-FIND("/",N2564)-1)),VALUE(LEFT(N2564,FIND("/",N2564)-1))),0)</f>
        <v>0</v>
      </c>
    </row>
    <row r="2565" customFormat="false" ht="15" hidden="false" customHeight="false" outlineLevel="0" collapsed="false">
      <c r="N2565" s="0" t="str">
        <f aca="false">IF(H2565="","",IFERROR(LEFT(H2565,FIND(" ",H2565)-1),H2565))</f>
        <v/>
      </c>
      <c r="O2565" s="20" t="n">
        <f aca="false">IFERROR(DATE(VALUE(MID(N2565,FIND("/",N2565,FIND("/",N2565)+1)+1,4)),VALUE(MID(N2565,FIND("/",N2565)+1,FIND("/",N2565,FIND("/",N2565)+1)-FIND("/",N2565)-1)),VALUE(LEFT(N2565,FIND("/",N2565)-1))),0)</f>
        <v>0</v>
      </c>
    </row>
    <row r="2566" customFormat="false" ht="15" hidden="false" customHeight="false" outlineLevel="0" collapsed="false">
      <c r="N2566" s="0" t="str">
        <f aca="false">IF(H2566="","",IFERROR(LEFT(H2566,FIND(" ",H2566)-1),H2566))</f>
        <v/>
      </c>
      <c r="O2566" s="20" t="n">
        <f aca="false">IFERROR(DATE(VALUE(MID(N2566,FIND("/",N2566,FIND("/",N2566)+1)+1,4)),VALUE(MID(N2566,FIND("/",N2566)+1,FIND("/",N2566,FIND("/",N2566)+1)-FIND("/",N2566)-1)),VALUE(LEFT(N2566,FIND("/",N2566)-1))),0)</f>
        <v>0</v>
      </c>
    </row>
    <row r="2567" customFormat="false" ht="15" hidden="false" customHeight="false" outlineLevel="0" collapsed="false">
      <c r="N2567" s="0" t="str">
        <f aca="false">IF(H2567="","",IFERROR(LEFT(H2567,FIND(" ",H2567)-1),H2567))</f>
        <v/>
      </c>
      <c r="O2567" s="20" t="n">
        <f aca="false">IFERROR(DATE(VALUE(MID(N2567,FIND("/",N2567,FIND("/",N2567)+1)+1,4)),VALUE(MID(N2567,FIND("/",N2567)+1,FIND("/",N2567,FIND("/",N2567)+1)-FIND("/",N2567)-1)),VALUE(LEFT(N2567,FIND("/",N2567)-1))),0)</f>
        <v>0</v>
      </c>
    </row>
    <row r="2568" customFormat="false" ht="15" hidden="false" customHeight="false" outlineLevel="0" collapsed="false">
      <c r="N2568" s="0" t="str">
        <f aca="false">IF(H2568="","",IFERROR(LEFT(H2568,FIND(" ",H2568)-1),H2568))</f>
        <v/>
      </c>
      <c r="O2568" s="20" t="n">
        <f aca="false">IFERROR(DATE(VALUE(MID(N2568,FIND("/",N2568,FIND("/",N2568)+1)+1,4)),VALUE(MID(N2568,FIND("/",N2568)+1,FIND("/",N2568,FIND("/",N2568)+1)-FIND("/",N2568)-1)),VALUE(LEFT(N2568,FIND("/",N2568)-1))),0)</f>
        <v>0</v>
      </c>
    </row>
    <row r="2569" customFormat="false" ht="15" hidden="false" customHeight="false" outlineLevel="0" collapsed="false">
      <c r="N2569" s="0" t="str">
        <f aca="false">IF(H2569="","",IFERROR(LEFT(H2569,FIND(" ",H2569)-1),H2569))</f>
        <v/>
      </c>
      <c r="O2569" s="20" t="n">
        <f aca="false">IFERROR(DATE(VALUE(MID(N2569,FIND("/",N2569,FIND("/",N2569)+1)+1,4)),VALUE(MID(N2569,FIND("/",N2569)+1,FIND("/",N2569,FIND("/",N2569)+1)-FIND("/",N2569)-1)),VALUE(LEFT(N2569,FIND("/",N2569)-1))),0)</f>
        <v>0</v>
      </c>
    </row>
    <row r="2570" customFormat="false" ht="15" hidden="false" customHeight="false" outlineLevel="0" collapsed="false">
      <c r="N2570" s="0" t="str">
        <f aca="false">IF(H2570="","",IFERROR(LEFT(H2570,FIND(" ",H2570)-1),H2570))</f>
        <v/>
      </c>
      <c r="O2570" s="20" t="n">
        <f aca="false">IFERROR(DATE(VALUE(MID(N2570,FIND("/",N2570,FIND("/",N2570)+1)+1,4)),VALUE(MID(N2570,FIND("/",N2570)+1,FIND("/",N2570,FIND("/",N2570)+1)-FIND("/",N2570)-1)),VALUE(LEFT(N2570,FIND("/",N2570)-1))),0)</f>
        <v>0</v>
      </c>
    </row>
    <row r="2571" customFormat="false" ht="15" hidden="false" customHeight="false" outlineLevel="0" collapsed="false">
      <c r="N2571" s="0" t="str">
        <f aca="false">IF(H2571="","",IFERROR(LEFT(H2571,FIND(" ",H2571)-1),H2571))</f>
        <v/>
      </c>
      <c r="O2571" s="20" t="n">
        <f aca="false">IFERROR(DATE(VALUE(MID(N2571,FIND("/",N2571,FIND("/",N2571)+1)+1,4)),VALUE(MID(N2571,FIND("/",N2571)+1,FIND("/",N2571,FIND("/",N2571)+1)-FIND("/",N2571)-1)),VALUE(LEFT(N2571,FIND("/",N2571)-1))),0)</f>
        <v>0</v>
      </c>
    </row>
    <row r="2572" customFormat="false" ht="15" hidden="false" customHeight="false" outlineLevel="0" collapsed="false">
      <c r="N2572" s="0" t="str">
        <f aca="false">IF(H2572="","",IFERROR(LEFT(H2572,FIND(" ",H2572)-1),H2572))</f>
        <v/>
      </c>
      <c r="O2572" s="20" t="n">
        <f aca="false">IFERROR(DATE(VALUE(MID(N2572,FIND("/",N2572,FIND("/",N2572)+1)+1,4)),VALUE(MID(N2572,FIND("/",N2572)+1,FIND("/",N2572,FIND("/",N2572)+1)-FIND("/",N2572)-1)),VALUE(LEFT(N2572,FIND("/",N2572)-1))),0)</f>
        <v>0</v>
      </c>
    </row>
    <row r="2573" customFormat="false" ht="15" hidden="false" customHeight="false" outlineLevel="0" collapsed="false">
      <c r="N2573" s="0" t="str">
        <f aca="false">IF(H2573="","",IFERROR(LEFT(H2573,FIND(" ",H2573)-1),H2573))</f>
        <v/>
      </c>
      <c r="O2573" s="20" t="n">
        <f aca="false">IFERROR(DATE(VALUE(MID(N2573,FIND("/",N2573,FIND("/",N2573)+1)+1,4)),VALUE(MID(N2573,FIND("/",N2573)+1,FIND("/",N2573,FIND("/",N2573)+1)-FIND("/",N2573)-1)),VALUE(LEFT(N2573,FIND("/",N2573)-1))),0)</f>
        <v>0</v>
      </c>
    </row>
    <row r="2574" customFormat="false" ht="15" hidden="false" customHeight="false" outlineLevel="0" collapsed="false">
      <c r="N2574" s="0" t="str">
        <f aca="false">IF(H2574="","",IFERROR(LEFT(H2574,FIND(" ",H2574)-1),H2574))</f>
        <v/>
      </c>
      <c r="O2574" s="20" t="n">
        <f aca="false">IFERROR(DATE(VALUE(MID(N2574,FIND("/",N2574,FIND("/",N2574)+1)+1,4)),VALUE(MID(N2574,FIND("/",N2574)+1,FIND("/",N2574,FIND("/",N2574)+1)-FIND("/",N2574)-1)),VALUE(LEFT(N2574,FIND("/",N2574)-1))),0)</f>
        <v>0</v>
      </c>
    </row>
    <row r="2575" customFormat="false" ht="15" hidden="false" customHeight="false" outlineLevel="0" collapsed="false">
      <c r="N2575" s="0" t="str">
        <f aca="false">IF(H2575="","",IFERROR(LEFT(H2575,FIND(" ",H2575)-1),H2575))</f>
        <v/>
      </c>
      <c r="O2575" s="20" t="n">
        <f aca="false">IFERROR(DATE(VALUE(MID(N2575,FIND("/",N2575,FIND("/",N2575)+1)+1,4)),VALUE(MID(N2575,FIND("/",N2575)+1,FIND("/",N2575,FIND("/",N2575)+1)-FIND("/",N2575)-1)),VALUE(LEFT(N2575,FIND("/",N2575)-1))),0)</f>
        <v>0</v>
      </c>
    </row>
    <row r="2576" customFormat="false" ht="15" hidden="false" customHeight="false" outlineLevel="0" collapsed="false">
      <c r="N2576" s="0" t="str">
        <f aca="false">IF(H2576="","",IFERROR(LEFT(H2576,FIND(" ",H2576)-1),H2576))</f>
        <v/>
      </c>
      <c r="O2576" s="20" t="n">
        <f aca="false">IFERROR(DATE(VALUE(MID(N2576,FIND("/",N2576,FIND("/",N2576)+1)+1,4)),VALUE(MID(N2576,FIND("/",N2576)+1,FIND("/",N2576,FIND("/",N2576)+1)-FIND("/",N2576)-1)),VALUE(LEFT(N2576,FIND("/",N2576)-1))),0)</f>
        <v>0</v>
      </c>
    </row>
    <row r="2577" customFormat="false" ht="15" hidden="false" customHeight="false" outlineLevel="0" collapsed="false">
      <c r="N2577" s="0" t="str">
        <f aca="false">IF(H2577="","",IFERROR(LEFT(H2577,FIND(" ",H2577)-1),H2577))</f>
        <v/>
      </c>
      <c r="O2577" s="20" t="n">
        <f aca="false">IFERROR(DATE(VALUE(MID(N2577,FIND("/",N2577,FIND("/",N2577)+1)+1,4)),VALUE(MID(N2577,FIND("/",N2577)+1,FIND("/",N2577,FIND("/",N2577)+1)-FIND("/",N2577)-1)),VALUE(LEFT(N2577,FIND("/",N2577)-1))),0)</f>
        <v>0</v>
      </c>
    </row>
    <row r="2578" customFormat="false" ht="15" hidden="false" customHeight="false" outlineLevel="0" collapsed="false">
      <c r="N2578" s="0" t="str">
        <f aca="false">IF(H2578="","",IFERROR(LEFT(H2578,FIND(" ",H2578)-1),H2578))</f>
        <v/>
      </c>
      <c r="O2578" s="20" t="n">
        <f aca="false">IFERROR(DATE(VALUE(MID(N2578,FIND("/",N2578,FIND("/",N2578)+1)+1,4)),VALUE(MID(N2578,FIND("/",N2578)+1,FIND("/",N2578,FIND("/",N2578)+1)-FIND("/",N2578)-1)),VALUE(LEFT(N2578,FIND("/",N2578)-1))),0)</f>
        <v>0</v>
      </c>
    </row>
    <row r="2579" customFormat="false" ht="15" hidden="false" customHeight="false" outlineLevel="0" collapsed="false">
      <c r="N2579" s="0" t="str">
        <f aca="false">IF(H2579="","",IFERROR(LEFT(H2579,FIND(" ",H2579)-1),H2579))</f>
        <v/>
      </c>
      <c r="O2579" s="20" t="n">
        <f aca="false">IFERROR(DATE(VALUE(MID(N2579,FIND("/",N2579,FIND("/",N2579)+1)+1,4)),VALUE(MID(N2579,FIND("/",N2579)+1,FIND("/",N2579,FIND("/",N2579)+1)-FIND("/",N2579)-1)),VALUE(LEFT(N2579,FIND("/",N2579)-1))),0)</f>
        <v>0</v>
      </c>
    </row>
    <row r="2580" customFormat="false" ht="15" hidden="false" customHeight="false" outlineLevel="0" collapsed="false">
      <c r="N2580" s="0" t="str">
        <f aca="false">IF(H2580="","",IFERROR(LEFT(H2580,FIND(" ",H2580)-1),H2580))</f>
        <v/>
      </c>
      <c r="O2580" s="20" t="n">
        <f aca="false">IFERROR(DATE(VALUE(MID(N2580,FIND("/",N2580,FIND("/",N2580)+1)+1,4)),VALUE(MID(N2580,FIND("/",N2580)+1,FIND("/",N2580,FIND("/",N2580)+1)-FIND("/",N2580)-1)),VALUE(LEFT(N2580,FIND("/",N2580)-1))),0)</f>
        <v>0</v>
      </c>
    </row>
    <row r="2581" customFormat="false" ht="15" hidden="false" customHeight="false" outlineLevel="0" collapsed="false">
      <c r="N2581" s="0" t="str">
        <f aca="false">IF(H2581="","",IFERROR(LEFT(H2581,FIND(" ",H2581)-1),H2581))</f>
        <v/>
      </c>
      <c r="O2581" s="20" t="n">
        <f aca="false">IFERROR(DATE(VALUE(MID(N2581,FIND("/",N2581,FIND("/",N2581)+1)+1,4)),VALUE(MID(N2581,FIND("/",N2581)+1,FIND("/",N2581,FIND("/",N2581)+1)-FIND("/",N2581)-1)),VALUE(LEFT(N2581,FIND("/",N2581)-1))),0)</f>
        <v>0</v>
      </c>
    </row>
    <row r="2582" customFormat="false" ht="15" hidden="false" customHeight="false" outlineLevel="0" collapsed="false">
      <c r="N2582" s="0" t="str">
        <f aca="false">IF(H2582="","",IFERROR(LEFT(H2582,FIND(" ",H2582)-1),H2582))</f>
        <v/>
      </c>
      <c r="O2582" s="20" t="n">
        <f aca="false">IFERROR(DATE(VALUE(MID(N2582,FIND("/",N2582,FIND("/",N2582)+1)+1,4)),VALUE(MID(N2582,FIND("/",N2582)+1,FIND("/",N2582,FIND("/",N2582)+1)-FIND("/",N2582)-1)),VALUE(LEFT(N2582,FIND("/",N2582)-1))),0)</f>
        <v>0</v>
      </c>
    </row>
    <row r="2583" customFormat="false" ht="15" hidden="false" customHeight="false" outlineLevel="0" collapsed="false">
      <c r="N2583" s="0" t="str">
        <f aca="false">IF(H2583="","",IFERROR(LEFT(H2583,FIND(" ",H2583)-1),H2583))</f>
        <v/>
      </c>
      <c r="O2583" s="20" t="n">
        <f aca="false">IFERROR(DATE(VALUE(MID(N2583,FIND("/",N2583,FIND("/",N2583)+1)+1,4)),VALUE(MID(N2583,FIND("/",N2583)+1,FIND("/",N2583,FIND("/",N2583)+1)-FIND("/",N2583)-1)),VALUE(LEFT(N2583,FIND("/",N2583)-1))),0)</f>
        <v>0</v>
      </c>
    </row>
    <row r="2584" customFormat="false" ht="15" hidden="false" customHeight="false" outlineLevel="0" collapsed="false">
      <c r="N2584" s="0" t="str">
        <f aca="false">IF(H2584="","",IFERROR(LEFT(H2584,FIND(" ",H2584)-1),H2584))</f>
        <v/>
      </c>
      <c r="O2584" s="20" t="n">
        <f aca="false">IFERROR(DATE(VALUE(MID(N2584,FIND("/",N2584,FIND("/",N2584)+1)+1,4)),VALUE(MID(N2584,FIND("/",N2584)+1,FIND("/",N2584,FIND("/",N2584)+1)-FIND("/",N2584)-1)),VALUE(LEFT(N2584,FIND("/",N2584)-1))),0)</f>
        <v>0</v>
      </c>
    </row>
    <row r="2585" customFormat="false" ht="15" hidden="false" customHeight="false" outlineLevel="0" collapsed="false">
      <c r="N2585" s="0" t="str">
        <f aca="false">IF(H2585="","",IFERROR(LEFT(H2585,FIND(" ",H2585)-1),H2585))</f>
        <v/>
      </c>
      <c r="O2585" s="20" t="n">
        <f aca="false">IFERROR(DATE(VALUE(MID(N2585,FIND("/",N2585,FIND("/",N2585)+1)+1,4)),VALUE(MID(N2585,FIND("/",N2585)+1,FIND("/",N2585,FIND("/",N2585)+1)-FIND("/",N2585)-1)),VALUE(LEFT(N2585,FIND("/",N2585)-1))),0)</f>
        <v>0</v>
      </c>
    </row>
    <row r="2586" customFormat="false" ht="15" hidden="false" customHeight="false" outlineLevel="0" collapsed="false">
      <c r="N2586" s="0" t="str">
        <f aca="false">IF(H2586="","",IFERROR(LEFT(H2586,FIND(" ",H2586)-1),H2586))</f>
        <v/>
      </c>
      <c r="O2586" s="20" t="n">
        <f aca="false">IFERROR(DATE(VALUE(MID(N2586,FIND("/",N2586,FIND("/",N2586)+1)+1,4)),VALUE(MID(N2586,FIND("/",N2586)+1,FIND("/",N2586,FIND("/",N2586)+1)-FIND("/",N2586)-1)),VALUE(LEFT(N2586,FIND("/",N2586)-1))),0)</f>
        <v>0</v>
      </c>
    </row>
    <row r="2587" customFormat="false" ht="15" hidden="false" customHeight="false" outlineLevel="0" collapsed="false">
      <c r="N2587" s="0" t="str">
        <f aca="false">IF(H2587="","",IFERROR(LEFT(H2587,FIND(" ",H2587)-1),H2587))</f>
        <v/>
      </c>
      <c r="O2587" s="20" t="n">
        <f aca="false">IFERROR(DATE(VALUE(MID(N2587,FIND("/",N2587,FIND("/",N2587)+1)+1,4)),VALUE(MID(N2587,FIND("/",N2587)+1,FIND("/",N2587,FIND("/",N2587)+1)-FIND("/",N2587)-1)),VALUE(LEFT(N2587,FIND("/",N2587)-1))),0)</f>
        <v>0</v>
      </c>
    </row>
    <row r="2588" customFormat="false" ht="15" hidden="false" customHeight="false" outlineLevel="0" collapsed="false">
      <c r="N2588" s="0" t="str">
        <f aca="false">IF(H2588="","",IFERROR(LEFT(H2588,FIND(" ",H2588)-1),H2588))</f>
        <v/>
      </c>
      <c r="O2588" s="20" t="n">
        <f aca="false">IFERROR(DATE(VALUE(MID(N2588,FIND("/",N2588,FIND("/",N2588)+1)+1,4)),VALUE(MID(N2588,FIND("/",N2588)+1,FIND("/",N2588,FIND("/",N2588)+1)-FIND("/",N2588)-1)),VALUE(LEFT(N2588,FIND("/",N2588)-1))),0)</f>
        <v>0</v>
      </c>
    </row>
    <row r="2589" customFormat="false" ht="15" hidden="false" customHeight="false" outlineLevel="0" collapsed="false">
      <c r="N2589" s="0" t="str">
        <f aca="false">IF(H2589="","",IFERROR(LEFT(H2589,FIND(" ",H2589)-1),H2589))</f>
        <v/>
      </c>
      <c r="O2589" s="20" t="n">
        <f aca="false">IFERROR(DATE(VALUE(MID(N2589,FIND("/",N2589,FIND("/",N2589)+1)+1,4)),VALUE(MID(N2589,FIND("/",N2589)+1,FIND("/",N2589,FIND("/",N2589)+1)-FIND("/",N2589)-1)),VALUE(LEFT(N2589,FIND("/",N2589)-1))),0)</f>
        <v>0</v>
      </c>
    </row>
    <row r="2590" customFormat="false" ht="15" hidden="false" customHeight="false" outlineLevel="0" collapsed="false">
      <c r="N2590" s="0" t="str">
        <f aca="false">IF(H2590="","",IFERROR(LEFT(H2590,FIND(" ",H2590)-1),H2590))</f>
        <v/>
      </c>
      <c r="O2590" s="20" t="n">
        <f aca="false">IFERROR(DATE(VALUE(MID(N2590,FIND("/",N2590,FIND("/",N2590)+1)+1,4)),VALUE(MID(N2590,FIND("/",N2590)+1,FIND("/",N2590,FIND("/",N2590)+1)-FIND("/",N2590)-1)),VALUE(LEFT(N2590,FIND("/",N2590)-1))),0)</f>
        <v>0</v>
      </c>
    </row>
    <row r="2591" customFormat="false" ht="15" hidden="false" customHeight="false" outlineLevel="0" collapsed="false">
      <c r="N2591" s="0" t="str">
        <f aca="false">IF(H2591="","",IFERROR(LEFT(H2591,FIND(" ",H2591)-1),H2591))</f>
        <v/>
      </c>
      <c r="O2591" s="20" t="n">
        <f aca="false">IFERROR(DATE(VALUE(MID(N2591,FIND("/",N2591,FIND("/",N2591)+1)+1,4)),VALUE(MID(N2591,FIND("/",N2591)+1,FIND("/",N2591,FIND("/",N2591)+1)-FIND("/",N2591)-1)),VALUE(LEFT(N2591,FIND("/",N2591)-1))),0)</f>
        <v>0</v>
      </c>
    </row>
    <row r="2592" customFormat="false" ht="15" hidden="false" customHeight="false" outlineLevel="0" collapsed="false">
      <c r="N2592" s="0" t="str">
        <f aca="false">IF(H2592="","",IFERROR(LEFT(H2592,FIND(" ",H2592)-1),H2592))</f>
        <v/>
      </c>
      <c r="O2592" s="20" t="n">
        <f aca="false">IFERROR(DATE(VALUE(MID(N2592,FIND("/",N2592,FIND("/",N2592)+1)+1,4)),VALUE(MID(N2592,FIND("/",N2592)+1,FIND("/",N2592,FIND("/",N2592)+1)-FIND("/",N2592)-1)),VALUE(LEFT(N2592,FIND("/",N2592)-1))),0)</f>
        <v>0</v>
      </c>
    </row>
    <row r="2593" customFormat="false" ht="15" hidden="false" customHeight="false" outlineLevel="0" collapsed="false">
      <c r="N2593" s="0" t="str">
        <f aca="false">IF(H2593="","",IFERROR(LEFT(H2593,FIND(" ",H2593)-1),H2593))</f>
        <v/>
      </c>
      <c r="O2593" s="20" t="n">
        <f aca="false">IFERROR(DATE(VALUE(MID(N2593,FIND("/",N2593,FIND("/",N2593)+1)+1,4)),VALUE(MID(N2593,FIND("/",N2593)+1,FIND("/",N2593,FIND("/",N2593)+1)-FIND("/",N2593)-1)),VALUE(LEFT(N2593,FIND("/",N2593)-1))),0)</f>
        <v>0</v>
      </c>
    </row>
    <row r="2594" customFormat="false" ht="15" hidden="false" customHeight="false" outlineLevel="0" collapsed="false">
      <c r="N2594" s="0" t="str">
        <f aca="false">IF(H2594="","",IFERROR(LEFT(H2594,FIND(" ",H2594)-1),H2594))</f>
        <v/>
      </c>
      <c r="O2594" s="20" t="n">
        <f aca="false">IFERROR(DATE(VALUE(MID(N2594,FIND("/",N2594,FIND("/",N2594)+1)+1,4)),VALUE(MID(N2594,FIND("/",N2594)+1,FIND("/",N2594,FIND("/",N2594)+1)-FIND("/",N2594)-1)),VALUE(LEFT(N2594,FIND("/",N2594)-1))),0)</f>
        <v>0</v>
      </c>
    </row>
    <row r="2595" customFormat="false" ht="15" hidden="false" customHeight="false" outlineLevel="0" collapsed="false">
      <c r="N2595" s="0" t="str">
        <f aca="false">IF(H2595="","",IFERROR(LEFT(H2595,FIND(" ",H2595)-1),H2595))</f>
        <v/>
      </c>
      <c r="O2595" s="20" t="n">
        <f aca="false">IFERROR(DATE(VALUE(MID(N2595,FIND("/",N2595,FIND("/",N2595)+1)+1,4)),VALUE(MID(N2595,FIND("/",N2595)+1,FIND("/",N2595,FIND("/",N2595)+1)-FIND("/",N2595)-1)),VALUE(LEFT(N2595,FIND("/",N2595)-1))),0)</f>
        <v>0</v>
      </c>
    </row>
    <row r="2596" customFormat="false" ht="15" hidden="false" customHeight="false" outlineLevel="0" collapsed="false">
      <c r="N2596" s="0" t="str">
        <f aca="false">IF(H2596="","",IFERROR(LEFT(H2596,FIND(" ",H2596)-1),H2596))</f>
        <v/>
      </c>
      <c r="O2596" s="20" t="n">
        <f aca="false">IFERROR(DATE(VALUE(MID(N2596,FIND("/",N2596,FIND("/",N2596)+1)+1,4)),VALUE(MID(N2596,FIND("/",N2596)+1,FIND("/",N2596,FIND("/",N2596)+1)-FIND("/",N2596)-1)),VALUE(LEFT(N2596,FIND("/",N2596)-1))),0)</f>
        <v>0</v>
      </c>
    </row>
    <row r="2597" customFormat="false" ht="15" hidden="false" customHeight="false" outlineLevel="0" collapsed="false">
      <c r="N2597" s="0" t="str">
        <f aca="false">IF(H2597="","",IFERROR(LEFT(H2597,FIND(" ",H2597)-1),H2597))</f>
        <v/>
      </c>
      <c r="O2597" s="20" t="n">
        <f aca="false">IFERROR(DATE(VALUE(MID(N2597,FIND("/",N2597,FIND("/",N2597)+1)+1,4)),VALUE(MID(N2597,FIND("/",N2597)+1,FIND("/",N2597,FIND("/",N2597)+1)-FIND("/",N2597)-1)),VALUE(LEFT(N2597,FIND("/",N2597)-1))),0)</f>
        <v>0</v>
      </c>
    </row>
    <row r="2598" customFormat="false" ht="15" hidden="false" customHeight="false" outlineLevel="0" collapsed="false">
      <c r="N2598" s="0" t="str">
        <f aca="false">IF(H2598="","",IFERROR(LEFT(H2598,FIND(" ",H2598)-1),H2598))</f>
        <v/>
      </c>
      <c r="O2598" s="20" t="n">
        <f aca="false">IFERROR(DATE(VALUE(MID(N2598,FIND("/",N2598,FIND("/",N2598)+1)+1,4)),VALUE(MID(N2598,FIND("/",N2598)+1,FIND("/",N2598,FIND("/",N2598)+1)-FIND("/",N2598)-1)),VALUE(LEFT(N2598,FIND("/",N2598)-1))),0)</f>
        <v>0</v>
      </c>
    </row>
    <row r="2599" customFormat="false" ht="15" hidden="false" customHeight="false" outlineLevel="0" collapsed="false">
      <c r="N2599" s="0" t="str">
        <f aca="false">IF(H2599="","",IFERROR(LEFT(H2599,FIND(" ",H2599)-1),H2599))</f>
        <v/>
      </c>
      <c r="O2599" s="20" t="n">
        <f aca="false">IFERROR(DATE(VALUE(MID(N2599,FIND("/",N2599,FIND("/",N2599)+1)+1,4)),VALUE(MID(N2599,FIND("/",N2599)+1,FIND("/",N2599,FIND("/",N2599)+1)-FIND("/",N2599)-1)),VALUE(LEFT(N2599,FIND("/",N2599)-1))),0)</f>
        <v>0</v>
      </c>
    </row>
    <row r="2600" customFormat="false" ht="15" hidden="false" customHeight="false" outlineLevel="0" collapsed="false">
      <c r="N2600" s="0" t="str">
        <f aca="false">IF(H2600="","",IFERROR(LEFT(H2600,FIND(" ",H2600)-1),H2600))</f>
        <v/>
      </c>
      <c r="O2600" s="20" t="n">
        <f aca="false">IFERROR(DATE(VALUE(MID(N2600,FIND("/",N2600,FIND("/",N2600)+1)+1,4)),VALUE(MID(N2600,FIND("/",N2600)+1,FIND("/",N2600,FIND("/",N2600)+1)-FIND("/",N2600)-1)),VALUE(LEFT(N2600,FIND("/",N2600)-1))),0)</f>
        <v>0</v>
      </c>
    </row>
    <row r="2601" customFormat="false" ht="15" hidden="false" customHeight="false" outlineLevel="0" collapsed="false">
      <c r="N2601" s="0" t="str">
        <f aca="false">IF(H2601="","",IFERROR(LEFT(H2601,FIND(" ",H2601)-1),H2601))</f>
        <v/>
      </c>
      <c r="O2601" s="20" t="n">
        <f aca="false">IFERROR(DATE(VALUE(MID(N2601,FIND("/",N2601,FIND("/",N2601)+1)+1,4)),VALUE(MID(N2601,FIND("/",N2601)+1,FIND("/",N2601,FIND("/",N2601)+1)-FIND("/",N2601)-1)),VALUE(LEFT(N2601,FIND("/",N2601)-1))),0)</f>
        <v>0</v>
      </c>
    </row>
    <row r="2602" customFormat="false" ht="15" hidden="false" customHeight="false" outlineLevel="0" collapsed="false">
      <c r="N2602" s="0" t="str">
        <f aca="false">IF(H2602="","",IFERROR(LEFT(H2602,FIND(" ",H2602)-1),H2602))</f>
        <v/>
      </c>
      <c r="O2602" s="20" t="n">
        <f aca="false">IFERROR(DATE(VALUE(MID(N2602,FIND("/",N2602,FIND("/",N2602)+1)+1,4)),VALUE(MID(N2602,FIND("/",N2602)+1,FIND("/",N2602,FIND("/",N2602)+1)-FIND("/",N2602)-1)),VALUE(LEFT(N2602,FIND("/",N2602)-1))),0)</f>
        <v>0</v>
      </c>
    </row>
    <row r="2603" customFormat="false" ht="15" hidden="false" customHeight="false" outlineLevel="0" collapsed="false">
      <c r="N2603" s="0" t="str">
        <f aca="false">IF(H2603="","",IFERROR(LEFT(H2603,FIND(" ",H2603)-1),H2603))</f>
        <v/>
      </c>
      <c r="O2603" s="20" t="n">
        <f aca="false">IFERROR(DATE(VALUE(MID(N2603,FIND("/",N2603,FIND("/",N2603)+1)+1,4)),VALUE(MID(N2603,FIND("/",N2603)+1,FIND("/",N2603,FIND("/",N2603)+1)-FIND("/",N2603)-1)),VALUE(LEFT(N2603,FIND("/",N2603)-1))),0)</f>
        <v>0</v>
      </c>
    </row>
    <row r="2604" customFormat="false" ht="15" hidden="false" customHeight="false" outlineLevel="0" collapsed="false">
      <c r="N2604" s="0" t="str">
        <f aca="false">IF(H2604="","",IFERROR(LEFT(H2604,FIND(" ",H2604)-1),H2604))</f>
        <v/>
      </c>
      <c r="O2604" s="20" t="n">
        <f aca="false">IFERROR(DATE(VALUE(MID(N2604,FIND("/",N2604,FIND("/",N2604)+1)+1,4)),VALUE(MID(N2604,FIND("/",N2604)+1,FIND("/",N2604,FIND("/",N2604)+1)-FIND("/",N2604)-1)),VALUE(LEFT(N2604,FIND("/",N2604)-1))),0)</f>
        <v>0</v>
      </c>
    </row>
    <row r="2605" customFormat="false" ht="15" hidden="false" customHeight="false" outlineLevel="0" collapsed="false">
      <c r="N2605" s="0" t="str">
        <f aca="false">IF(H2605="","",IFERROR(LEFT(H2605,FIND(" ",H2605)-1),H2605))</f>
        <v/>
      </c>
      <c r="O2605" s="20" t="n">
        <f aca="false">IFERROR(DATE(VALUE(MID(N2605,FIND("/",N2605,FIND("/",N2605)+1)+1,4)),VALUE(MID(N2605,FIND("/",N2605)+1,FIND("/",N2605,FIND("/",N2605)+1)-FIND("/",N2605)-1)),VALUE(LEFT(N2605,FIND("/",N2605)-1))),0)</f>
        <v>0</v>
      </c>
    </row>
    <row r="2606" customFormat="false" ht="15" hidden="false" customHeight="false" outlineLevel="0" collapsed="false">
      <c r="N2606" s="0" t="str">
        <f aca="false">IF(H2606="","",IFERROR(LEFT(H2606,FIND(" ",H2606)-1),H2606))</f>
        <v/>
      </c>
      <c r="O2606" s="20" t="n">
        <f aca="false">IFERROR(DATE(VALUE(MID(N2606,FIND("/",N2606,FIND("/",N2606)+1)+1,4)),VALUE(MID(N2606,FIND("/",N2606)+1,FIND("/",N2606,FIND("/",N2606)+1)-FIND("/",N2606)-1)),VALUE(LEFT(N2606,FIND("/",N2606)-1))),0)</f>
        <v>0</v>
      </c>
    </row>
    <row r="2607" customFormat="false" ht="15" hidden="false" customHeight="false" outlineLevel="0" collapsed="false">
      <c r="N2607" s="0" t="str">
        <f aca="false">IF(H2607="","",IFERROR(LEFT(H2607,FIND(" ",H2607)-1),H2607))</f>
        <v/>
      </c>
      <c r="O2607" s="20" t="n">
        <f aca="false">IFERROR(DATE(VALUE(MID(N2607,FIND("/",N2607,FIND("/",N2607)+1)+1,4)),VALUE(MID(N2607,FIND("/",N2607)+1,FIND("/",N2607,FIND("/",N2607)+1)-FIND("/",N2607)-1)),VALUE(LEFT(N2607,FIND("/",N2607)-1))),0)</f>
        <v>0</v>
      </c>
    </row>
    <row r="2608" customFormat="false" ht="15" hidden="false" customHeight="false" outlineLevel="0" collapsed="false">
      <c r="N2608" s="0" t="str">
        <f aca="false">IF(H2608="","",IFERROR(LEFT(H2608,FIND(" ",H2608)-1),H2608))</f>
        <v/>
      </c>
      <c r="O2608" s="20" t="n">
        <f aca="false">IFERROR(DATE(VALUE(MID(N2608,FIND("/",N2608,FIND("/",N2608)+1)+1,4)),VALUE(MID(N2608,FIND("/",N2608)+1,FIND("/",N2608,FIND("/",N2608)+1)-FIND("/",N2608)-1)),VALUE(LEFT(N2608,FIND("/",N2608)-1))),0)</f>
        <v>0</v>
      </c>
    </row>
    <row r="2609" customFormat="false" ht="15" hidden="false" customHeight="false" outlineLevel="0" collapsed="false">
      <c r="N2609" s="0" t="str">
        <f aca="false">IF(H2609="","",IFERROR(LEFT(H2609,FIND(" ",H2609)-1),H2609))</f>
        <v/>
      </c>
      <c r="O2609" s="20" t="n">
        <f aca="false">IFERROR(DATE(VALUE(MID(N2609,FIND("/",N2609,FIND("/",N2609)+1)+1,4)),VALUE(MID(N2609,FIND("/",N2609)+1,FIND("/",N2609,FIND("/",N2609)+1)-FIND("/",N2609)-1)),VALUE(LEFT(N2609,FIND("/",N2609)-1))),0)</f>
        <v>0</v>
      </c>
    </row>
    <row r="2610" customFormat="false" ht="15" hidden="false" customHeight="false" outlineLevel="0" collapsed="false">
      <c r="N2610" s="0" t="str">
        <f aca="false">IF(H2610="","",IFERROR(LEFT(H2610,FIND(" ",H2610)-1),H2610))</f>
        <v/>
      </c>
      <c r="O2610" s="20" t="n">
        <f aca="false">IFERROR(DATE(VALUE(MID(N2610,FIND("/",N2610,FIND("/",N2610)+1)+1,4)),VALUE(MID(N2610,FIND("/",N2610)+1,FIND("/",N2610,FIND("/",N2610)+1)-FIND("/",N2610)-1)),VALUE(LEFT(N2610,FIND("/",N2610)-1))),0)</f>
        <v>0</v>
      </c>
    </row>
    <row r="2611" customFormat="false" ht="15" hidden="false" customHeight="false" outlineLevel="0" collapsed="false">
      <c r="N2611" s="0" t="str">
        <f aca="false">IF(H2611="","",IFERROR(LEFT(H2611,FIND(" ",H2611)-1),H2611))</f>
        <v/>
      </c>
      <c r="O2611" s="20" t="n">
        <f aca="false">IFERROR(DATE(VALUE(MID(N2611,FIND("/",N2611,FIND("/",N2611)+1)+1,4)),VALUE(MID(N2611,FIND("/",N2611)+1,FIND("/",N2611,FIND("/",N2611)+1)-FIND("/",N2611)-1)),VALUE(LEFT(N2611,FIND("/",N2611)-1))),0)</f>
        <v>0</v>
      </c>
    </row>
    <row r="2612" customFormat="false" ht="15" hidden="false" customHeight="false" outlineLevel="0" collapsed="false">
      <c r="N2612" s="0" t="str">
        <f aca="false">IF(H2612="","",IFERROR(LEFT(H2612,FIND(" ",H2612)-1),H2612))</f>
        <v/>
      </c>
      <c r="O2612" s="20" t="n">
        <f aca="false">IFERROR(DATE(VALUE(MID(N2612,FIND("/",N2612,FIND("/",N2612)+1)+1,4)),VALUE(MID(N2612,FIND("/",N2612)+1,FIND("/",N2612,FIND("/",N2612)+1)-FIND("/",N2612)-1)),VALUE(LEFT(N2612,FIND("/",N2612)-1))),0)</f>
        <v>0</v>
      </c>
    </row>
    <row r="2613" customFormat="false" ht="15" hidden="false" customHeight="false" outlineLevel="0" collapsed="false">
      <c r="N2613" s="0" t="str">
        <f aca="false">IF(H2613="","",IFERROR(LEFT(H2613,FIND(" ",H2613)-1),H2613))</f>
        <v/>
      </c>
      <c r="O2613" s="20" t="n">
        <f aca="false">IFERROR(DATE(VALUE(MID(N2613,FIND("/",N2613,FIND("/",N2613)+1)+1,4)),VALUE(MID(N2613,FIND("/",N2613)+1,FIND("/",N2613,FIND("/",N2613)+1)-FIND("/",N2613)-1)),VALUE(LEFT(N2613,FIND("/",N2613)-1))),0)</f>
        <v>0</v>
      </c>
    </row>
    <row r="2614" customFormat="false" ht="15" hidden="false" customHeight="false" outlineLevel="0" collapsed="false">
      <c r="N2614" s="0" t="str">
        <f aca="false">IF(H2614="","",IFERROR(LEFT(H2614,FIND(" ",H2614)-1),H2614))</f>
        <v/>
      </c>
      <c r="O2614" s="20" t="n">
        <f aca="false">IFERROR(DATE(VALUE(MID(N2614,FIND("/",N2614,FIND("/",N2614)+1)+1,4)),VALUE(MID(N2614,FIND("/",N2614)+1,FIND("/",N2614,FIND("/",N2614)+1)-FIND("/",N2614)-1)),VALUE(LEFT(N2614,FIND("/",N2614)-1))),0)</f>
        <v>0</v>
      </c>
    </row>
    <row r="2615" customFormat="false" ht="15" hidden="false" customHeight="false" outlineLevel="0" collapsed="false">
      <c r="N2615" s="0" t="str">
        <f aca="false">IF(H2615="","",IFERROR(LEFT(H2615,FIND(" ",H2615)-1),H2615))</f>
        <v/>
      </c>
      <c r="O2615" s="20" t="n">
        <f aca="false">IFERROR(DATE(VALUE(MID(N2615,FIND("/",N2615,FIND("/",N2615)+1)+1,4)),VALUE(MID(N2615,FIND("/",N2615)+1,FIND("/",N2615,FIND("/",N2615)+1)-FIND("/",N2615)-1)),VALUE(LEFT(N2615,FIND("/",N2615)-1))),0)</f>
        <v>0</v>
      </c>
    </row>
    <row r="2616" customFormat="false" ht="15" hidden="false" customHeight="false" outlineLevel="0" collapsed="false">
      <c r="N2616" s="0" t="str">
        <f aca="false">IF(H2616="","",IFERROR(LEFT(H2616,FIND(" ",H2616)-1),H2616))</f>
        <v/>
      </c>
      <c r="O2616" s="20" t="n">
        <f aca="false">IFERROR(DATE(VALUE(MID(N2616,FIND("/",N2616,FIND("/",N2616)+1)+1,4)),VALUE(MID(N2616,FIND("/",N2616)+1,FIND("/",N2616,FIND("/",N2616)+1)-FIND("/",N2616)-1)),VALUE(LEFT(N2616,FIND("/",N2616)-1))),0)</f>
        <v>0</v>
      </c>
    </row>
    <row r="2617" customFormat="false" ht="15" hidden="false" customHeight="false" outlineLevel="0" collapsed="false">
      <c r="N2617" s="0" t="str">
        <f aca="false">IF(H2617="","",IFERROR(LEFT(H2617,FIND(" ",H2617)-1),H2617))</f>
        <v/>
      </c>
      <c r="O2617" s="20" t="n">
        <f aca="false">IFERROR(DATE(VALUE(MID(N2617,FIND("/",N2617,FIND("/",N2617)+1)+1,4)),VALUE(MID(N2617,FIND("/",N2617)+1,FIND("/",N2617,FIND("/",N2617)+1)-FIND("/",N2617)-1)),VALUE(LEFT(N2617,FIND("/",N2617)-1))),0)</f>
        <v>0</v>
      </c>
    </row>
    <row r="2618" customFormat="false" ht="15" hidden="false" customHeight="false" outlineLevel="0" collapsed="false">
      <c r="N2618" s="0" t="str">
        <f aca="false">IF(H2618="","",IFERROR(LEFT(H2618,FIND(" ",H2618)-1),H2618))</f>
        <v/>
      </c>
      <c r="O2618" s="20" t="n">
        <f aca="false">IFERROR(DATE(VALUE(MID(N2618,FIND("/",N2618,FIND("/",N2618)+1)+1,4)),VALUE(MID(N2618,FIND("/",N2618)+1,FIND("/",N2618,FIND("/",N2618)+1)-FIND("/",N2618)-1)),VALUE(LEFT(N2618,FIND("/",N2618)-1))),0)</f>
        <v>0</v>
      </c>
    </row>
    <row r="2619" customFormat="false" ht="15" hidden="false" customHeight="false" outlineLevel="0" collapsed="false">
      <c r="N2619" s="0" t="str">
        <f aca="false">IF(H2619="","",IFERROR(LEFT(H2619,FIND(" ",H2619)-1),H2619))</f>
        <v/>
      </c>
      <c r="O2619" s="20" t="n">
        <f aca="false">IFERROR(DATE(VALUE(MID(N2619,FIND("/",N2619,FIND("/",N2619)+1)+1,4)),VALUE(MID(N2619,FIND("/",N2619)+1,FIND("/",N2619,FIND("/",N2619)+1)-FIND("/",N2619)-1)),VALUE(LEFT(N2619,FIND("/",N2619)-1))),0)</f>
        <v>0</v>
      </c>
    </row>
    <row r="2620" customFormat="false" ht="15" hidden="false" customHeight="false" outlineLevel="0" collapsed="false">
      <c r="N2620" s="0" t="str">
        <f aca="false">IF(H2620="","",IFERROR(LEFT(H2620,FIND(" ",H2620)-1),H2620))</f>
        <v/>
      </c>
      <c r="O2620" s="20" t="n">
        <f aca="false">IFERROR(DATE(VALUE(MID(N2620,FIND("/",N2620,FIND("/",N2620)+1)+1,4)),VALUE(MID(N2620,FIND("/",N2620)+1,FIND("/",N2620,FIND("/",N2620)+1)-FIND("/",N2620)-1)),VALUE(LEFT(N2620,FIND("/",N2620)-1))),0)</f>
        <v>0</v>
      </c>
    </row>
    <row r="2621" customFormat="false" ht="15" hidden="false" customHeight="false" outlineLevel="0" collapsed="false">
      <c r="N2621" s="0" t="str">
        <f aca="false">IF(H2621="","",IFERROR(LEFT(H2621,FIND(" ",H2621)-1),H2621))</f>
        <v/>
      </c>
      <c r="O2621" s="20" t="n">
        <f aca="false">IFERROR(DATE(VALUE(MID(N2621,FIND("/",N2621,FIND("/",N2621)+1)+1,4)),VALUE(MID(N2621,FIND("/",N2621)+1,FIND("/",N2621,FIND("/",N2621)+1)-FIND("/",N2621)-1)),VALUE(LEFT(N2621,FIND("/",N2621)-1))),0)</f>
        <v>0</v>
      </c>
    </row>
    <row r="2622" customFormat="false" ht="15" hidden="false" customHeight="false" outlineLevel="0" collapsed="false">
      <c r="N2622" s="0" t="str">
        <f aca="false">IF(H2622="","",IFERROR(LEFT(H2622,FIND(" ",H2622)-1),H2622))</f>
        <v/>
      </c>
      <c r="O2622" s="20" t="n">
        <f aca="false">IFERROR(DATE(VALUE(MID(N2622,FIND("/",N2622,FIND("/",N2622)+1)+1,4)),VALUE(MID(N2622,FIND("/",N2622)+1,FIND("/",N2622,FIND("/",N2622)+1)-FIND("/",N2622)-1)),VALUE(LEFT(N2622,FIND("/",N2622)-1))),0)</f>
        <v>0</v>
      </c>
    </row>
    <row r="2623" customFormat="false" ht="15" hidden="false" customHeight="false" outlineLevel="0" collapsed="false">
      <c r="N2623" s="0" t="str">
        <f aca="false">IF(H2623="","",IFERROR(LEFT(H2623,FIND(" ",H2623)-1),H2623))</f>
        <v/>
      </c>
      <c r="O2623" s="20" t="n">
        <f aca="false">IFERROR(DATE(VALUE(MID(N2623,FIND("/",N2623,FIND("/",N2623)+1)+1,4)),VALUE(MID(N2623,FIND("/",N2623)+1,FIND("/",N2623,FIND("/",N2623)+1)-FIND("/",N2623)-1)),VALUE(LEFT(N2623,FIND("/",N2623)-1))),0)</f>
        <v>0</v>
      </c>
    </row>
    <row r="2624" customFormat="false" ht="15" hidden="false" customHeight="false" outlineLevel="0" collapsed="false">
      <c r="N2624" s="0" t="str">
        <f aca="false">IF(H2624="","",IFERROR(LEFT(H2624,FIND(" ",H2624)-1),H2624))</f>
        <v/>
      </c>
      <c r="O2624" s="20" t="n">
        <f aca="false">IFERROR(DATE(VALUE(MID(N2624,FIND("/",N2624,FIND("/",N2624)+1)+1,4)),VALUE(MID(N2624,FIND("/",N2624)+1,FIND("/",N2624,FIND("/",N2624)+1)-FIND("/",N2624)-1)),VALUE(LEFT(N2624,FIND("/",N2624)-1))),0)</f>
        <v>0</v>
      </c>
    </row>
    <row r="2625" customFormat="false" ht="15" hidden="false" customHeight="false" outlineLevel="0" collapsed="false">
      <c r="N2625" s="0" t="str">
        <f aca="false">IF(H2625="","",IFERROR(LEFT(H2625,FIND(" ",H2625)-1),H2625))</f>
        <v/>
      </c>
      <c r="O2625" s="20" t="n">
        <f aca="false">IFERROR(DATE(VALUE(MID(N2625,FIND("/",N2625,FIND("/",N2625)+1)+1,4)),VALUE(MID(N2625,FIND("/",N2625)+1,FIND("/",N2625,FIND("/",N2625)+1)-FIND("/",N2625)-1)),VALUE(LEFT(N2625,FIND("/",N2625)-1))),0)</f>
        <v>0</v>
      </c>
    </row>
    <row r="2626" customFormat="false" ht="15" hidden="false" customHeight="false" outlineLevel="0" collapsed="false">
      <c r="N2626" s="0" t="str">
        <f aca="false">IF(H2626="","",IFERROR(LEFT(H2626,FIND(" ",H2626)-1),H2626))</f>
        <v/>
      </c>
      <c r="O2626" s="20" t="n">
        <f aca="false">IFERROR(DATE(VALUE(MID(N2626,FIND("/",N2626,FIND("/",N2626)+1)+1,4)),VALUE(MID(N2626,FIND("/",N2626)+1,FIND("/",N2626,FIND("/",N2626)+1)-FIND("/",N2626)-1)),VALUE(LEFT(N2626,FIND("/",N2626)-1))),0)</f>
        <v>0</v>
      </c>
    </row>
    <row r="2627" customFormat="false" ht="15" hidden="false" customHeight="false" outlineLevel="0" collapsed="false">
      <c r="N2627" s="0" t="str">
        <f aca="false">IF(H2627="","",IFERROR(LEFT(H2627,FIND(" ",H2627)-1),H2627))</f>
        <v/>
      </c>
      <c r="O2627" s="20" t="n">
        <f aca="false">IFERROR(DATE(VALUE(MID(N2627,FIND("/",N2627,FIND("/",N2627)+1)+1,4)),VALUE(MID(N2627,FIND("/",N2627)+1,FIND("/",N2627,FIND("/",N2627)+1)-FIND("/",N2627)-1)),VALUE(LEFT(N2627,FIND("/",N2627)-1))),0)</f>
        <v>0</v>
      </c>
    </row>
    <row r="2628" customFormat="false" ht="15" hidden="false" customHeight="false" outlineLevel="0" collapsed="false">
      <c r="N2628" s="0" t="str">
        <f aca="false">IF(H2628="","",IFERROR(LEFT(H2628,FIND(" ",H2628)-1),H2628))</f>
        <v/>
      </c>
      <c r="O2628" s="20" t="n">
        <f aca="false">IFERROR(DATE(VALUE(MID(N2628,FIND("/",N2628,FIND("/",N2628)+1)+1,4)),VALUE(MID(N2628,FIND("/",N2628)+1,FIND("/",N2628,FIND("/",N2628)+1)-FIND("/",N2628)-1)),VALUE(LEFT(N2628,FIND("/",N2628)-1))),0)</f>
        <v>0</v>
      </c>
    </row>
    <row r="2629" customFormat="false" ht="15" hidden="false" customHeight="false" outlineLevel="0" collapsed="false">
      <c r="N2629" s="0" t="str">
        <f aca="false">IF(H2629="","",IFERROR(LEFT(H2629,FIND(" ",H2629)-1),H2629))</f>
        <v/>
      </c>
      <c r="O2629" s="20" t="n">
        <f aca="false">IFERROR(DATE(VALUE(MID(N2629,FIND("/",N2629,FIND("/",N2629)+1)+1,4)),VALUE(MID(N2629,FIND("/",N2629)+1,FIND("/",N2629,FIND("/",N2629)+1)-FIND("/",N2629)-1)),VALUE(LEFT(N2629,FIND("/",N2629)-1))),0)</f>
        <v>0</v>
      </c>
    </row>
    <row r="2630" customFormat="false" ht="15" hidden="false" customHeight="false" outlineLevel="0" collapsed="false">
      <c r="N2630" s="0" t="str">
        <f aca="false">IF(H2630="","",IFERROR(LEFT(H2630,FIND(" ",H2630)-1),H2630))</f>
        <v/>
      </c>
      <c r="O2630" s="20" t="n">
        <f aca="false">IFERROR(DATE(VALUE(MID(N2630,FIND("/",N2630,FIND("/",N2630)+1)+1,4)),VALUE(MID(N2630,FIND("/",N2630)+1,FIND("/",N2630,FIND("/",N2630)+1)-FIND("/",N2630)-1)),VALUE(LEFT(N2630,FIND("/",N2630)-1))),0)</f>
        <v>0</v>
      </c>
    </row>
    <row r="2631" customFormat="false" ht="15" hidden="false" customHeight="false" outlineLevel="0" collapsed="false">
      <c r="N2631" s="0" t="str">
        <f aca="false">IF(H2631="","",IFERROR(LEFT(H2631,FIND(" ",H2631)-1),H2631))</f>
        <v/>
      </c>
      <c r="O2631" s="20" t="n">
        <f aca="false">IFERROR(DATE(VALUE(MID(N2631,FIND("/",N2631,FIND("/",N2631)+1)+1,4)),VALUE(MID(N2631,FIND("/",N2631)+1,FIND("/",N2631,FIND("/",N2631)+1)-FIND("/",N2631)-1)),VALUE(LEFT(N2631,FIND("/",N2631)-1))),0)</f>
        <v>0</v>
      </c>
    </row>
    <row r="2632" customFormat="false" ht="15" hidden="false" customHeight="false" outlineLevel="0" collapsed="false">
      <c r="N2632" s="0" t="str">
        <f aca="false">IF(H2632="","",IFERROR(LEFT(H2632,FIND(" ",H2632)-1),H2632))</f>
        <v/>
      </c>
      <c r="O2632" s="20" t="n">
        <f aca="false">IFERROR(DATE(VALUE(MID(N2632,FIND("/",N2632,FIND("/",N2632)+1)+1,4)),VALUE(MID(N2632,FIND("/",N2632)+1,FIND("/",N2632,FIND("/",N2632)+1)-FIND("/",N2632)-1)),VALUE(LEFT(N2632,FIND("/",N2632)-1))),0)</f>
        <v>0</v>
      </c>
    </row>
    <row r="2633" customFormat="false" ht="15" hidden="false" customHeight="false" outlineLevel="0" collapsed="false">
      <c r="N2633" s="0" t="str">
        <f aca="false">IF(H2633="","",IFERROR(LEFT(H2633,FIND(" ",H2633)-1),H2633))</f>
        <v/>
      </c>
      <c r="O2633" s="20" t="n">
        <f aca="false">IFERROR(DATE(VALUE(MID(N2633,FIND("/",N2633,FIND("/",N2633)+1)+1,4)),VALUE(MID(N2633,FIND("/",N2633)+1,FIND("/",N2633,FIND("/",N2633)+1)-FIND("/",N2633)-1)),VALUE(LEFT(N2633,FIND("/",N2633)-1))),0)</f>
        <v>0</v>
      </c>
    </row>
    <row r="2634" customFormat="false" ht="15" hidden="false" customHeight="false" outlineLevel="0" collapsed="false">
      <c r="N2634" s="0" t="str">
        <f aca="false">IF(H2634="","",IFERROR(LEFT(H2634,FIND(" ",H2634)-1),H2634))</f>
        <v/>
      </c>
      <c r="O2634" s="20" t="n">
        <f aca="false">IFERROR(DATE(VALUE(MID(N2634,FIND("/",N2634,FIND("/",N2634)+1)+1,4)),VALUE(MID(N2634,FIND("/",N2634)+1,FIND("/",N2634,FIND("/",N2634)+1)-FIND("/",N2634)-1)),VALUE(LEFT(N2634,FIND("/",N2634)-1))),0)</f>
        <v>0</v>
      </c>
    </row>
    <row r="2635" customFormat="false" ht="15" hidden="false" customHeight="false" outlineLevel="0" collapsed="false">
      <c r="N2635" s="0" t="str">
        <f aca="false">IF(H2635="","",IFERROR(LEFT(H2635,FIND(" ",H2635)-1),H2635))</f>
        <v/>
      </c>
      <c r="O2635" s="20" t="n">
        <f aca="false">IFERROR(DATE(VALUE(MID(N2635,FIND("/",N2635,FIND("/",N2635)+1)+1,4)),VALUE(MID(N2635,FIND("/",N2635)+1,FIND("/",N2635,FIND("/",N2635)+1)-FIND("/",N2635)-1)),VALUE(LEFT(N2635,FIND("/",N2635)-1))),0)</f>
        <v>0</v>
      </c>
    </row>
    <row r="2636" customFormat="false" ht="15" hidden="false" customHeight="false" outlineLevel="0" collapsed="false">
      <c r="N2636" s="0" t="str">
        <f aca="false">IF(H2636="","",IFERROR(LEFT(H2636,FIND(" ",H2636)-1),H2636))</f>
        <v/>
      </c>
      <c r="O2636" s="20" t="n">
        <f aca="false">IFERROR(DATE(VALUE(MID(N2636,FIND("/",N2636,FIND("/",N2636)+1)+1,4)),VALUE(MID(N2636,FIND("/",N2636)+1,FIND("/",N2636,FIND("/",N2636)+1)-FIND("/",N2636)-1)),VALUE(LEFT(N2636,FIND("/",N2636)-1))),0)</f>
        <v>0</v>
      </c>
    </row>
    <row r="2637" customFormat="false" ht="15" hidden="false" customHeight="false" outlineLevel="0" collapsed="false">
      <c r="N2637" s="0" t="str">
        <f aca="false">IF(H2637="","",IFERROR(LEFT(H2637,FIND(" ",H2637)-1),H2637))</f>
        <v/>
      </c>
      <c r="O2637" s="20" t="n">
        <f aca="false">IFERROR(DATE(VALUE(MID(N2637,FIND("/",N2637,FIND("/",N2637)+1)+1,4)),VALUE(MID(N2637,FIND("/",N2637)+1,FIND("/",N2637,FIND("/",N2637)+1)-FIND("/",N2637)-1)),VALUE(LEFT(N2637,FIND("/",N2637)-1))),0)</f>
        <v>0</v>
      </c>
    </row>
    <row r="2638" customFormat="false" ht="15" hidden="false" customHeight="false" outlineLevel="0" collapsed="false">
      <c r="N2638" s="0" t="str">
        <f aca="false">IF(H2638="","",IFERROR(LEFT(H2638,FIND(" ",H2638)-1),H2638))</f>
        <v/>
      </c>
      <c r="O2638" s="20" t="n">
        <f aca="false">IFERROR(DATE(VALUE(MID(N2638,FIND("/",N2638,FIND("/",N2638)+1)+1,4)),VALUE(MID(N2638,FIND("/",N2638)+1,FIND("/",N2638,FIND("/",N2638)+1)-FIND("/",N2638)-1)),VALUE(LEFT(N2638,FIND("/",N2638)-1))),0)</f>
        <v>0</v>
      </c>
    </row>
    <row r="2639" customFormat="false" ht="15" hidden="false" customHeight="false" outlineLevel="0" collapsed="false">
      <c r="N2639" s="0" t="str">
        <f aca="false">IF(H2639="","",IFERROR(LEFT(H2639,FIND(" ",H2639)-1),H2639))</f>
        <v/>
      </c>
      <c r="O2639" s="20" t="n">
        <f aca="false">IFERROR(DATE(VALUE(MID(N2639,FIND("/",N2639,FIND("/",N2639)+1)+1,4)),VALUE(MID(N2639,FIND("/",N2639)+1,FIND("/",N2639,FIND("/",N2639)+1)-FIND("/",N2639)-1)),VALUE(LEFT(N2639,FIND("/",N2639)-1))),0)</f>
        <v>0</v>
      </c>
    </row>
    <row r="2640" customFormat="false" ht="15" hidden="false" customHeight="false" outlineLevel="0" collapsed="false">
      <c r="N2640" s="0" t="str">
        <f aca="false">IF(H2640="","",IFERROR(LEFT(H2640,FIND(" ",H2640)-1),H2640))</f>
        <v/>
      </c>
      <c r="O2640" s="20" t="n">
        <f aca="false">IFERROR(DATE(VALUE(MID(N2640,FIND("/",N2640,FIND("/",N2640)+1)+1,4)),VALUE(MID(N2640,FIND("/",N2640)+1,FIND("/",N2640,FIND("/",N2640)+1)-FIND("/",N2640)-1)),VALUE(LEFT(N2640,FIND("/",N2640)-1))),0)</f>
        <v>0</v>
      </c>
    </row>
    <row r="2641" customFormat="false" ht="15" hidden="false" customHeight="false" outlineLevel="0" collapsed="false">
      <c r="N2641" s="0" t="str">
        <f aca="false">IF(H2641="","",IFERROR(LEFT(H2641,FIND(" ",H2641)-1),H2641))</f>
        <v/>
      </c>
      <c r="O2641" s="20" t="n">
        <f aca="false">IFERROR(DATE(VALUE(MID(N2641,FIND("/",N2641,FIND("/",N2641)+1)+1,4)),VALUE(MID(N2641,FIND("/",N2641)+1,FIND("/",N2641,FIND("/",N2641)+1)-FIND("/",N2641)-1)),VALUE(LEFT(N2641,FIND("/",N2641)-1))),0)</f>
        <v>0</v>
      </c>
    </row>
    <row r="2642" customFormat="false" ht="15" hidden="false" customHeight="false" outlineLevel="0" collapsed="false">
      <c r="N2642" s="0" t="str">
        <f aca="false">IF(H2642="","",IFERROR(LEFT(H2642,FIND(" ",H2642)-1),H2642))</f>
        <v/>
      </c>
      <c r="O2642" s="20" t="n">
        <f aca="false">IFERROR(DATE(VALUE(MID(N2642,FIND("/",N2642,FIND("/",N2642)+1)+1,4)),VALUE(MID(N2642,FIND("/",N2642)+1,FIND("/",N2642,FIND("/",N2642)+1)-FIND("/",N2642)-1)),VALUE(LEFT(N2642,FIND("/",N2642)-1))),0)</f>
        <v>0</v>
      </c>
    </row>
    <row r="2643" customFormat="false" ht="15" hidden="false" customHeight="false" outlineLevel="0" collapsed="false">
      <c r="N2643" s="0" t="str">
        <f aca="false">IF(H2643="","",IFERROR(LEFT(H2643,FIND(" ",H2643)-1),H2643))</f>
        <v/>
      </c>
      <c r="O2643" s="20" t="n">
        <f aca="false">IFERROR(DATE(VALUE(MID(N2643,FIND("/",N2643,FIND("/",N2643)+1)+1,4)),VALUE(MID(N2643,FIND("/",N2643)+1,FIND("/",N2643,FIND("/",N2643)+1)-FIND("/",N2643)-1)),VALUE(LEFT(N2643,FIND("/",N2643)-1))),0)</f>
        <v>0</v>
      </c>
    </row>
    <row r="2644" customFormat="false" ht="15" hidden="false" customHeight="false" outlineLevel="0" collapsed="false">
      <c r="N2644" s="0" t="str">
        <f aca="false">IF(H2644="","",IFERROR(LEFT(H2644,FIND(" ",H2644)-1),H2644))</f>
        <v/>
      </c>
      <c r="O2644" s="20" t="n">
        <f aca="false">IFERROR(DATE(VALUE(MID(N2644,FIND("/",N2644,FIND("/",N2644)+1)+1,4)),VALUE(MID(N2644,FIND("/",N2644)+1,FIND("/",N2644,FIND("/",N2644)+1)-FIND("/",N2644)-1)),VALUE(LEFT(N2644,FIND("/",N2644)-1))),0)</f>
        <v>0</v>
      </c>
    </row>
    <row r="2645" customFormat="false" ht="15" hidden="false" customHeight="false" outlineLevel="0" collapsed="false">
      <c r="N2645" s="0" t="str">
        <f aca="false">IF(H2645="","",IFERROR(LEFT(H2645,FIND(" ",H2645)-1),H2645))</f>
        <v/>
      </c>
      <c r="O2645" s="20" t="n">
        <f aca="false">IFERROR(DATE(VALUE(MID(N2645,FIND("/",N2645,FIND("/",N2645)+1)+1,4)),VALUE(MID(N2645,FIND("/",N2645)+1,FIND("/",N2645,FIND("/",N2645)+1)-FIND("/",N2645)-1)),VALUE(LEFT(N2645,FIND("/",N2645)-1))),0)</f>
        <v>0</v>
      </c>
    </row>
    <row r="2646" customFormat="false" ht="15" hidden="false" customHeight="false" outlineLevel="0" collapsed="false">
      <c r="N2646" s="0" t="str">
        <f aca="false">IF(H2646="","",IFERROR(LEFT(H2646,FIND(" ",H2646)-1),H2646))</f>
        <v/>
      </c>
      <c r="O2646" s="20" t="n">
        <f aca="false">IFERROR(DATE(VALUE(MID(N2646,FIND("/",N2646,FIND("/",N2646)+1)+1,4)),VALUE(MID(N2646,FIND("/",N2646)+1,FIND("/",N2646,FIND("/",N2646)+1)-FIND("/",N2646)-1)),VALUE(LEFT(N2646,FIND("/",N2646)-1))),0)</f>
        <v>0</v>
      </c>
    </row>
    <row r="2647" customFormat="false" ht="15" hidden="false" customHeight="false" outlineLevel="0" collapsed="false">
      <c r="N2647" s="0" t="str">
        <f aca="false">IF(H2647="","",IFERROR(LEFT(H2647,FIND(" ",H2647)-1),H2647))</f>
        <v/>
      </c>
      <c r="O2647" s="20" t="n">
        <f aca="false">IFERROR(DATE(VALUE(MID(N2647,FIND("/",N2647,FIND("/",N2647)+1)+1,4)),VALUE(MID(N2647,FIND("/",N2647)+1,FIND("/",N2647,FIND("/",N2647)+1)-FIND("/",N2647)-1)),VALUE(LEFT(N2647,FIND("/",N2647)-1))),0)</f>
        <v>0</v>
      </c>
    </row>
    <row r="2648" customFormat="false" ht="15" hidden="false" customHeight="false" outlineLevel="0" collapsed="false">
      <c r="N2648" s="0" t="str">
        <f aca="false">IF(H2648="","",IFERROR(LEFT(H2648,FIND(" ",H2648)-1),H2648))</f>
        <v/>
      </c>
      <c r="O2648" s="20" t="n">
        <f aca="false">IFERROR(DATE(VALUE(MID(N2648,FIND("/",N2648,FIND("/",N2648)+1)+1,4)),VALUE(MID(N2648,FIND("/",N2648)+1,FIND("/",N2648,FIND("/",N2648)+1)-FIND("/",N2648)-1)),VALUE(LEFT(N2648,FIND("/",N2648)-1))),0)</f>
        <v>0</v>
      </c>
    </row>
    <row r="2649" customFormat="false" ht="15" hidden="false" customHeight="false" outlineLevel="0" collapsed="false">
      <c r="N2649" s="0" t="str">
        <f aca="false">IF(H2649="","",IFERROR(LEFT(H2649,FIND(" ",H2649)-1),H2649))</f>
        <v/>
      </c>
      <c r="O2649" s="20" t="n">
        <f aca="false">IFERROR(DATE(VALUE(MID(N2649,FIND("/",N2649,FIND("/",N2649)+1)+1,4)),VALUE(MID(N2649,FIND("/",N2649)+1,FIND("/",N2649,FIND("/",N2649)+1)-FIND("/",N2649)-1)),VALUE(LEFT(N2649,FIND("/",N2649)-1))),0)</f>
        <v>0</v>
      </c>
    </row>
    <row r="2650" customFormat="false" ht="15" hidden="false" customHeight="false" outlineLevel="0" collapsed="false">
      <c r="N2650" s="0" t="str">
        <f aca="false">IF(H2650="","",IFERROR(LEFT(H2650,FIND(" ",H2650)-1),H2650))</f>
        <v/>
      </c>
      <c r="O2650" s="20" t="n">
        <f aca="false">IFERROR(DATE(VALUE(MID(N2650,FIND("/",N2650,FIND("/",N2650)+1)+1,4)),VALUE(MID(N2650,FIND("/",N2650)+1,FIND("/",N2650,FIND("/",N2650)+1)-FIND("/",N2650)-1)),VALUE(LEFT(N2650,FIND("/",N2650)-1))),0)</f>
        <v>0</v>
      </c>
    </row>
    <row r="2651" customFormat="false" ht="15" hidden="false" customHeight="false" outlineLevel="0" collapsed="false">
      <c r="N2651" s="0" t="str">
        <f aca="false">IF(H2651="","",IFERROR(LEFT(H2651,FIND(" ",H2651)-1),H2651))</f>
        <v/>
      </c>
      <c r="O2651" s="20" t="n">
        <f aca="false">IFERROR(DATE(VALUE(MID(N2651,FIND("/",N2651,FIND("/",N2651)+1)+1,4)),VALUE(MID(N2651,FIND("/",N2651)+1,FIND("/",N2651,FIND("/",N2651)+1)-FIND("/",N2651)-1)),VALUE(LEFT(N2651,FIND("/",N2651)-1))),0)</f>
        <v>0</v>
      </c>
    </row>
    <row r="2652" customFormat="false" ht="15" hidden="false" customHeight="false" outlineLevel="0" collapsed="false">
      <c r="N2652" s="0" t="str">
        <f aca="false">IF(H2652="","",IFERROR(LEFT(H2652,FIND(" ",H2652)-1),H2652))</f>
        <v/>
      </c>
      <c r="O2652" s="20" t="n">
        <f aca="false">IFERROR(DATE(VALUE(MID(N2652,FIND("/",N2652,FIND("/",N2652)+1)+1,4)),VALUE(MID(N2652,FIND("/",N2652)+1,FIND("/",N2652,FIND("/",N2652)+1)-FIND("/",N2652)-1)),VALUE(LEFT(N2652,FIND("/",N2652)-1))),0)</f>
        <v>0</v>
      </c>
    </row>
    <row r="2653" customFormat="false" ht="15" hidden="false" customHeight="false" outlineLevel="0" collapsed="false">
      <c r="N2653" s="0" t="str">
        <f aca="false">IF(H2653="","",IFERROR(LEFT(H2653,FIND(" ",H2653)-1),H2653))</f>
        <v/>
      </c>
      <c r="O2653" s="20" t="n">
        <f aca="false">IFERROR(DATE(VALUE(MID(N2653,FIND("/",N2653,FIND("/",N2653)+1)+1,4)),VALUE(MID(N2653,FIND("/",N2653)+1,FIND("/",N2653,FIND("/",N2653)+1)-FIND("/",N2653)-1)),VALUE(LEFT(N2653,FIND("/",N2653)-1))),0)</f>
        <v>0</v>
      </c>
    </row>
    <row r="2654" customFormat="false" ht="15" hidden="false" customHeight="false" outlineLevel="0" collapsed="false">
      <c r="N2654" s="0" t="str">
        <f aca="false">IF(H2654="","",IFERROR(LEFT(H2654,FIND(" ",H2654)-1),H2654))</f>
        <v/>
      </c>
      <c r="O2654" s="20" t="n">
        <f aca="false">IFERROR(DATE(VALUE(MID(N2654,FIND("/",N2654,FIND("/",N2654)+1)+1,4)),VALUE(MID(N2654,FIND("/",N2654)+1,FIND("/",N2654,FIND("/",N2654)+1)-FIND("/",N2654)-1)),VALUE(LEFT(N2654,FIND("/",N2654)-1))),0)</f>
        <v>0</v>
      </c>
    </row>
    <row r="2655" customFormat="false" ht="15" hidden="false" customHeight="false" outlineLevel="0" collapsed="false">
      <c r="N2655" s="0" t="str">
        <f aca="false">IF(H2655="","",IFERROR(LEFT(H2655,FIND(" ",H2655)-1),H2655))</f>
        <v/>
      </c>
      <c r="O2655" s="20" t="n">
        <f aca="false">IFERROR(DATE(VALUE(MID(N2655,FIND("/",N2655,FIND("/",N2655)+1)+1,4)),VALUE(MID(N2655,FIND("/",N2655)+1,FIND("/",N2655,FIND("/",N2655)+1)-FIND("/",N2655)-1)),VALUE(LEFT(N2655,FIND("/",N2655)-1))),0)</f>
        <v>0</v>
      </c>
    </row>
    <row r="2656" customFormat="false" ht="15" hidden="false" customHeight="false" outlineLevel="0" collapsed="false">
      <c r="N2656" s="0" t="str">
        <f aca="false">IF(H2656="","",IFERROR(LEFT(H2656,FIND(" ",H2656)-1),H2656))</f>
        <v/>
      </c>
      <c r="O2656" s="20" t="n">
        <f aca="false">IFERROR(DATE(VALUE(MID(N2656,FIND("/",N2656,FIND("/",N2656)+1)+1,4)),VALUE(MID(N2656,FIND("/",N2656)+1,FIND("/",N2656,FIND("/",N2656)+1)-FIND("/",N2656)-1)),VALUE(LEFT(N2656,FIND("/",N2656)-1))),0)</f>
        <v>0</v>
      </c>
    </row>
    <row r="2657" customFormat="false" ht="15" hidden="false" customHeight="false" outlineLevel="0" collapsed="false">
      <c r="N2657" s="0" t="str">
        <f aca="false">IF(H2657="","",IFERROR(LEFT(H2657,FIND(" ",H2657)-1),H2657))</f>
        <v/>
      </c>
      <c r="O2657" s="20" t="n">
        <f aca="false">IFERROR(DATE(VALUE(MID(N2657,FIND("/",N2657,FIND("/",N2657)+1)+1,4)),VALUE(MID(N2657,FIND("/",N2657)+1,FIND("/",N2657,FIND("/",N2657)+1)-FIND("/",N2657)-1)),VALUE(LEFT(N2657,FIND("/",N2657)-1))),0)</f>
        <v>0</v>
      </c>
    </row>
    <row r="2658" customFormat="false" ht="15" hidden="false" customHeight="false" outlineLevel="0" collapsed="false">
      <c r="N2658" s="0" t="str">
        <f aca="false">IF(H2658="","",IFERROR(LEFT(H2658,FIND(" ",H2658)-1),H2658))</f>
        <v/>
      </c>
      <c r="O2658" s="20" t="n">
        <f aca="false">IFERROR(DATE(VALUE(MID(N2658,FIND("/",N2658,FIND("/",N2658)+1)+1,4)),VALUE(MID(N2658,FIND("/",N2658)+1,FIND("/",N2658,FIND("/",N2658)+1)-FIND("/",N2658)-1)),VALUE(LEFT(N2658,FIND("/",N2658)-1))),0)</f>
        <v>0</v>
      </c>
    </row>
    <row r="2659" customFormat="false" ht="15" hidden="false" customHeight="false" outlineLevel="0" collapsed="false">
      <c r="N2659" s="0" t="str">
        <f aca="false">IF(H2659="","",IFERROR(LEFT(H2659,FIND(" ",H2659)-1),H2659))</f>
        <v/>
      </c>
      <c r="O2659" s="20" t="n">
        <f aca="false">IFERROR(DATE(VALUE(MID(N2659,FIND("/",N2659,FIND("/",N2659)+1)+1,4)),VALUE(MID(N2659,FIND("/",N2659)+1,FIND("/",N2659,FIND("/",N2659)+1)-FIND("/",N2659)-1)),VALUE(LEFT(N2659,FIND("/",N2659)-1))),0)</f>
        <v>0</v>
      </c>
    </row>
    <row r="2660" customFormat="false" ht="15" hidden="false" customHeight="false" outlineLevel="0" collapsed="false">
      <c r="N2660" s="0" t="str">
        <f aca="false">IF(H2660="","",IFERROR(LEFT(H2660,FIND(" ",H2660)-1),H2660))</f>
        <v/>
      </c>
      <c r="O2660" s="20" t="n">
        <f aca="false">IFERROR(DATE(VALUE(MID(N2660,FIND("/",N2660,FIND("/",N2660)+1)+1,4)),VALUE(MID(N2660,FIND("/",N2660)+1,FIND("/",N2660,FIND("/",N2660)+1)-FIND("/",N2660)-1)),VALUE(LEFT(N2660,FIND("/",N2660)-1))),0)</f>
        <v>0</v>
      </c>
    </row>
    <row r="2661" customFormat="false" ht="15" hidden="false" customHeight="false" outlineLevel="0" collapsed="false">
      <c r="N2661" s="0" t="str">
        <f aca="false">IF(H2661="","",IFERROR(LEFT(H2661,FIND(" ",H2661)-1),H2661))</f>
        <v/>
      </c>
      <c r="O2661" s="20" t="n">
        <f aca="false">IFERROR(DATE(VALUE(MID(N2661,FIND("/",N2661,FIND("/",N2661)+1)+1,4)),VALUE(MID(N2661,FIND("/",N2661)+1,FIND("/",N2661,FIND("/",N2661)+1)-FIND("/",N2661)-1)),VALUE(LEFT(N2661,FIND("/",N2661)-1))),0)</f>
        <v>0</v>
      </c>
    </row>
    <row r="2662" customFormat="false" ht="15" hidden="false" customHeight="false" outlineLevel="0" collapsed="false">
      <c r="N2662" s="0" t="str">
        <f aca="false">IF(H2662="","",IFERROR(LEFT(H2662,FIND(" ",H2662)-1),H2662))</f>
        <v/>
      </c>
      <c r="O2662" s="20" t="n">
        <f aca="false">IFERROR(DATE(VALUE(MID(N2662,FIND("/",N2662,FIND("/",N2662)+1)+1,4)),VALUE(MID(N2662,FIND("/",N2662)+1,FIND("/",N2662,FIND("/",N2662)+1)-FIND("/",N2662)-1)),VALUE(LEFT(N2662,FIND("/",N2662)-1))),0)</f>
        <v>0</v>
      </c>
    </row>
    <row r="2663" customFormat="false" ht="15" hidden="false" customHeight="false" outlineLevel="0" collapsed="false">
      <c r="N2663" s="0" t="str">
        <f aca="false">IF(H2663="","",IFERROR(LEFT(H2663,FIND(" ",H2663)-1),H2663))</f>
        <v/>
      </c>
      <c r="O2663" s="20" t="n">
        <f aca="false">IFERROR(DATE(VALUE(MID(N2663,FIND("/",N2663,FIND("/",N2663)+1)+1,4)),VALUE(MID(N2663,FIND("/",N2663)+1,FIND("/",N2663,FIND("/",N2663)+1)-FIND("/",N2663)-1)),VALUE(LEFT(N2663,FIND("/",N2663)-1))),0)</f>
        <v>0</v>
      </c>
    </row>
    <row r="2664" customFormat="false" ht="15" hidden="false" customHeight="false" outlineLevel="0" collapsed="false">
      <c r="N2664" s="0" t="str">
        <f aca="false">IF(H2664="","",IFERROR(LEFT(H2664,FIND(" ",H2664)-1),H2664))</f>
        <v/>
      </c>
      <c r="O2664" s="20" t="n">
        <f aca="false">IFERROR(DATE(VALUE(MID(N2664,FIND("/",N2664,FIND("/",N2664)+1)+1,4)),VALUE(MID(N2664,FIND("/",N2664)+1,FIND("/",N2664,FIND("/",N2664)+1)-FIND("/",N2664)-1)),VALUE(LEFT(N2664,FIND("/",N2664)-1))),0)</f>
        <v>0</v>
      </c>
    </row>
    <row r="2665" customFormat="false" ht="15" hidden="false" customHeight="false" outlineLevel="0" collapsed="false">
      <c r="N2665" s="0" t="str">
        <f aca="false">IF(H2665="","",IFERROR(LEFT(H2665,FIND(" ",H2665)-1),H2665))</f>
        <v/>
      </c>
      <c r="O2665" s="20" t="n">
        <f aca="false">IFERROR(DATE(VALUE(MID(N2665,FIND("/",N2665,FIND("/",N2665)+1)+1,4)),VALUE(MID(N2665,FIND("/",N2665)+1,FIND("/",N2665,FIND("/",N2665)+1)-FIND("/",N2665)-1)),VALUE(LEFT(N2665,FIND("/",N2665)-1))),0)</f>
        <v>0</v>
      </c>
    </row>
    <row r="2666" customFormat="false" ht="15" hidden="false" customHeight="false" outlineLevel="0" collapsed="false">
      <c r="N2666" s="0" t="str">
        <f aca="false">IF(H2666="","",IFERROR(LEFT(H2666,FIND(" ",H2666)-1),H2666))</f>
        <v/>
      </c>
      <c r="O2666" s="20" t="n">
        <f aca="false">IFERROR(DATE(VALUE(MID(N2666,FIND("/",N2666,FIND("/",N2666)+1)+1,4)),VALUE(MID(N2666,FIND("/",N2666)+1,FIND("/",N2666,FIND("/",N2666)+1)-FIND("/",N2666)-1)),VALUE(LEFT(N2666,FIND("/",N2666)-1))),0)</f>
        <v>0</v>
      </c>
    </row>
    <row r="2667" customFormat="false" ht="15" hidden="false" customHeight="false" outlineLevel="0" collapsed="false">
      <c r="N2667" s="0" t="str">
        <f aca="false">IF(H2667="","",IFERROR(LEFT(H2667,FIND(" ",H2667)-1),H2667))</f>
        <v/>
      </c>
      <c r="O2667" s="20" t="n">
        <f aca="false">IFERROR(DATE(VALUE(MID(N2667,FIND("/",N2667,FIND("/",N2667)+1)+1,4)),VALUE(MID(N2667,FIND("/",N2667)+1,FIND("/",N2667,FIND("/",N2667)+1)-FIND("/",N2667)-1)),VALUE(LEFT(N2667,FIND("/",N2667)-1))),0)</f>
        <v>0</v>
      </c>
    </row>
    <row r="2668" customFormat="false" ht="15" hidden="false" customHeight="false" outlineLevel="0" collapsed="false">
      <c r="N2668" s="0" t="str">
        <f aca="false">IF(H2668="","",IFERROR(LEFT(H2668,FIND(" ",H2668)-1),H2668))</f>
        <v/>
      </c>
      <c r="O2668" s="20" t="n">
        <f aca="false">IFERROR(DATE(VALUE(MID(N2668,FIND("/",N2668,FIND("/",N2668)+1)+1,4)),VALUE(MID(N2668,FIND("/",N2668)+1,FIND("/",N2668,FIND("/",N2668)+1)-FIND("/",N2668)-1)),VALUE(LEFT(N2668,FIND("/",N2668)-1))),0)</f>
        <v>0</v>
      </c>
    </row>
    <row r="2669" customFormat="false" ht="15" hidden="false" customHeight="false" outlineLevel="0" collapsed="false">
      <c r="N2669" s="0" t="str">
        <f aca="false">IF(H2669="","",IFERROR(LEFT(H2669,FIND(" ",H2669)-1),H2669))</f>
        <v/>
      </c>
      <c r="O2669" s="20" t="n">
        <f aca="false">IFERROR(DATE(VALUE(MID(N2669,FIND("/",N2669,FIND("/",N2669)+1)+1,4)),VALUE(MID(N2669,FIND("/",N2669)+1,FIND("/",N2669,FIND("/",N2669)+1)-FIND("/",N2669)-1)),VALUE(LEFT(N2669,FIND("/",N2669)-1))),0)</f>
        <v>0</v>
      </c>
    </row>
    <row r="2670" customFormat="false" ht="15" hidden="false" customHeight="false" outlineLevel="0" collapsed="false">
      <c r="N2670" s="0" t="str">
        <f aca="false">IF(H2670="","",IFERROR(LEFT(H2670,FIND(" ",H2670)-1),H2670))</f>
        <v/>
      </c>
      <c r="O2670" s="20" t="n">
        <f aca="false">IFERROR(DATE(VALUE(MID(N2670,FIND("/",N2670,FIND("/",N2670)+1)+1,4)),VALUE(MID(N2670,FIND("/",N2670)+1,FIND("/",N2670,FIND("/",N2670)+1)-FIND("/",N2670)-1)),VALUE(LEFT(N2670,FIND("/",N2670)-1))),0)</f>
        <v>0</v>
      </c>
    </row>
    <row r="2671" customFormat="false" ht="15" hidden="false" customHeight="false" outlineLevel="0" collapsed="false">
      <c r="N2671" s="0" t="str">
        <f aca="false">IF(H2671="","",IFERROR(LEFT(H2671,FIND(" ",H2671)-1),H2671))</f>
        <v/>
      </c>
      <c r="O2671" s="20" t="n">
        <f aca="false">IFERROR(DATE(VALUE(MID(N2671,FIND("/",N2671,FIND("/",N2671)+1)+1,4)),VALUE(MID(N2671,FIND("/",N2671)+1,FIND("/",N2671,FIND("/",N2671)+1)-FIND("/",N2671)-1)),VALUE(LEFT(N2671,FIND("/",N2671)-1))),0)</f>
        <v>0</v>
      </c>
    </row>
    <row r="2672" customFormat="false" ht="15" hidden="false" customHeight="false" outlineLevel="0" collapsed="false">
      <c r="N2672" s="0" t="str">
        <f aca="false">IF(H2672="","",IFERROR(LEFT(H2672,FIND(" ",H2672)-1),H2672))</f>
        <v/>
      </c>
      <c r="O2672" s="20" t="n">
        <f aca="false">IFERROR(DATE(VALUE(MID(N2672,FIND("/",N2672,FIND("/",N2672)+1)+1,4)),VALUE(MID(N2672,FIND("/",N2672)+1,FIND("/",N2672,FIND("/",N2672)+1)-FIND("/",N2672)-1)),VALUE(LEFT(N2672,FIND("/",N2672)-1))),0)</f>
        <v>0</v>
      </c>
    </row>
    <row r="2673" customFormat="false" ht="15" hidden="false" customHeight="false" outlineLevel="0" collapsed="false">
      <c r="N2673" s="0" t="str">
        <f aca="false">IF(H2673="","",IFERROR(LEFT(H2673,FIND(" ",H2673)-1),H2673))</f>
        <v/>
      </c>
      <c r="O2673" s="20" t="n">
        <f aca="false">IFERROR(DATE(VALUE(MID(N2673,FIND("/",N2673,FIND("/",N2673)+1)+1,4)),VALUE(MID(N2673,FIND("/",N2673)+1,FIND("/",N2673,FIND("/",N2673)+1)-FIND("/",N2673)-1)),VALUE(LEFT(N2673,FIND("/",N2673)-1))),0)</f>
        <v>0</v>
      </c>
    </row>
    <row r="2674" customFormat="false" ht="15" hidden="false" customHeight="false" outlineLevel="0" collapsed="false">
      <c r="N2674" s="0" t="str">
        <f aca="false">IF(H2674="","",IFERROR(LEFT(H2674,FIND(" ",H2674)-1),H2674))</f>
        <v/>
      </c>
      <c r="O2674" s="20" t="n">
        <f aca="false">IFERROR(DATE(VALUE(MID(N2674,FIND("/",N2674,FIND("/",N2674)+1)+1,4)),VALUE(MID(N2674,FIND("/",N2674)+1,FIND("/",N2674,FIND("/",N2674)+1)-FIND("/",N2674)-1)),VALUE(LEFT(N2674,FIND("/",N2674)-1))),0)</f>
        <v>0</v>
      </c>
    </row>
    <row r="2675" customFormat="false" ht="15" hidden="false" customHeight="false" outlineLevel="0" collapsed="false">
      <c r="N2675" s="0" t="str">
        <f aca="false">IF(H2675="","",IFERROR(LEFT(H2675,FIND(" ",H2675)-1),H2675))</f>
        <v/>
      </c>
      <c r="O2675" s="20" t="n">
        <f aca="false">IFERROR(DATE(VALUE(MID(N2675,FIND("/",N2675,FIND("/",N2675)+1)+1,4)),VALUE(MID(N2675,FIND("/",N2675)+1,FIND("/",N2675,FIND("/",N2675)+1)-FIND("/",N2675)-1)),VALUE(LEFT(N2675,FIND("/",N2675)-1))),0)</f>
        <v>0</v>
      </c>
    </row>
    <row r="2676" customFormat="false" ht="15" hidden="false" customHeight="false" outlineLevel="0" collapsed="false">
      <c r="N2676" s="0" t="str">
        <f aca="false">IF(H2676="","",IFERROR(LEFT(H2676,FIND(" ",H2676)-1),H2676))</f>
        <v/>
      </c>
      <c r="O2676" s="20" t="n">
        <f aca="false">IFERROR(DATE(VALUE(MID(N2676,FIND("/",N2676,FIND("/",N2676)+1)+1,4)),VALUE(MID(N2676,FIND("/",N2676)+1,FIND("/",N2676,FIND("/",N2676)+1)-FIND("/",N2676)-1)),VALUE(LEFT(N2676,FIND("/",N2676)-1))),0)</f>
        <v>0</v>
      </c>
    </row>
    <row r="2677" customFormat="false" ht="15" hidden="false" customHeight="false" outlineLevel="0" collapsed="false">
      <c r="N2677" s="0" t="str">
        <f aca="false">IF(H2677="","",IFERROR(LEFT(H2677,FIND(" ",H2677)-1),H2677))</f>
        <v/>
      </c>
      <c r="O2677" s="20" t="n">
        <f aca="false">IFERROR(DATE(VALUE(MID(N2677,FIND("/",N2677,FIND("/",N2677)+1)+1,4)),VALUE(MID(N2677,FIND("/",N2677)+1,FIND("/",N2677,FIND("/",N2677)+1)-FIND("/",N2677)-1)),VALUE(LEFT(N2677,FIND("/",N2677)-1))),0)</f>
        <v>0</v>
      </c>
    </row>
    <row r="2678" customFormat="false" ht="15" hidden="false" customHeight="false" outlineLevel="0" collapsed="false">
      <c r="N2678" s="0" t="str">
        <f aca="false">IF(H2678="","",IFERROR(LEFT(H2678,FIND(" ",H2678)-1),H2678))</f>
        <v/>
      </c>
      <c r="O2678" s="20" t="n">
        <f aca="false">IFERROR(DATE(VALUE(MID(N2678,FIND("/",N2678,FIND("/",N2678)+1)+1,4)),VALUE(MID(N2678,FIND("/",N2678)+1,FIND("/",N2678,FIND("/",N2678)+1)-FIND("/",N2678)-1)),VALUE(LEFT(N2678,FIND("/",N2678)-1))),0)</f>
        <v>0</v>
      </c>
    </row>
    <row r="2679" customFormat="false" ht="15" hidden="false" customHeight="false" outlineLevel="0" collapsed="false">
      <c r="N2679" s="0" t="str">
        <f aca="false">IF(H2679="","",IFERROR(LEFT(H2679,FIND(" ",H2679)-1),H2679))</f>
        <v/>
      </c>
      <c r="O2679" s="20" t="n">
        <f aca="false">IFERROR(DATE(VALUE(MID(N2679,FIND("/",N2679,FIND("/",N2679)+1)+1,4)),VALUE(MID(N2679,FIND("/",N2679)+1,FIND("/",N2679,FIND("/",N2679)+1)-FIND("/",N2679)-1)),VALUE(LEFT(N2679,FIND("/",N2679)-1))),0)</f>
        <v>0</v>
      </c>
    </row>
    <row r="2680" customFormat="false" ht="15" hidden="false" customHeight="false" outlineLevel="0" collapsed="false">
      <c r="N2680" s="0" t="str">
        <f aca="false">IF(H2680="","",IFERROR(LEFT(H2680,FIND(" ",H2680)-1),H2680))</f>
        <v/>
      </c>
      <c r="O2680" s="20" t="n">
        <f aca="false">IFERROR(DATE(VALUE(MID(N2680,FIND("/",N2680,FIND("/",N2680)+1)+1,4)),VALUE(MID(N2680,FIND("/",N2680)+1,FIND("/",N2680,FIND("/",N2680)+1)-FIND("/",N2680)-1)),VALUE(LEFT(N2680,FIND("/",N2680)-1))),0)</f>
        <v>0</v>
      </c>
    </row>
    <row r="2681" customFormat="false" ht="15" hidden="false" customHeight="false" outlineLevel="0" collapsed="false">
      <c r="N2681" s="0" t="str">
        <f aca="false">IF(H2681="","",IFERROR(LEFT(H2681,FIND(" ",H2681)-1),H2681))</f>
        <v/>
      </c>
      <c r="O2681" s="20" t="n">
        <f aca="false">IFERROR(DATE(VALUE(MID(N2681,FIND("/",N2681,FIND("/",N2681)+1)+1,4)),VALUE(MID(N2681,FIND("/",N2681)+1,FIND("/",N2681,FIND("/",N2681)+1)-FIND("/",N2681)-1)),VALUE(LEFT(N2681,FIND("/",N2681)-1))),0)</f>
        <v>0</v>
      </c>
    </row>
    <row r="2682" customFormat="false" ht="15" hidden="false" customHeight="false" outlineLevel="0" collapsed="false">
      <c r="N2682" s="0" t="str">
        <f aca="false">IF(H2682="","",IFERROR(LEFT(H2682,FIND(" ",H2682)-1),H2682))</f>
        <v/>
      </c>
      <c r="O2682" s="20" t="n">
        <f aca="false">IFERROR(DATE(VALUE(MID(N2682,FIND("/",N2682,FIND("/",N2682)+1)+1,4)),VALUE(MID(N2682,FIND("/",N2682)+1,FIND("/",N2682,FIND("/",N2682)+1)-FIND("/",N2682)-1)),VALUE(LEFT(N2682,FIND("/",N2682)-1))),0)</f>
        <v>0</v>
      </c>
    </row>
    <row r="2683" customFormat="false" ht="15" hidden="false" customHeight="false" outlineLevel="0" collapsed="false">
      <c r="N2683" s="0" t="str">
        <f aca="false">IF(H2683="","",IFERROR(LEFT(H2683,FIND(" ",H2683)-1),H2683))</f>
        <v/>
      </c>
      <c r="O2683" s="20" t="n">
        <f aca="false">IFERROR(DATE(VALUE(MID(N2683,FIND("/",N2683,FIND("/",N2683)+1)+1,4)),VALUE(MID(N2683,FIND("/",N2683)+1,FIND("/",N2683,FIND("/",N2683)+1)-FIND("/",N2683)-1)),VALUE(LEFT(N2683,FIND("/",N2683)-1))),0)</f>
        <v>0</v>
      </c>
    </row>
    <row r="2684" customFormat="false" ht="15" hidden="false" customHeight="false" outlineLevel="0" collapsed="false">
      <c r="N2684" s="0" t="str">
        <f aca="false">IF(H2684="","",IFERROR(LEFT(H2684,FIND(" ",H2684)-1),H2684))</f>
        <v/>
      </c>
      <c r="O2684" s="20" t="n">
        <f aca="false">IFERROR(DATE(VALUE(MID(N2684,FIND("/",N2684,FIND("/",N2684)+1)+1,4)),VALUE(MID(N2684,FIND("/",N2684)+1,FIND("/",N2684,FIND("/",N2684)+1)-FIND("/",N2684)-1)),VALUE(LEFT(N2684,FIND("/",N2684)-1))),0)</f>
        <v>0</v>
      </c>
    </row>
    <row r="2685" customFormat="false" ht="15" hidden="false" customHeight="false" outlineLevel="0" collapsed="false">
      <c r="N2685" s="0" t="str">
        <f aca="false">IF(H2685="","",IFERROR(LEFT(H2685,FIND(" ",H2685)-1),H2685))</f>
        <v/>
      </c>
      <c r="O2685" s="20" t="n">
        <f aca="false">IFERROR(DATE(VALUE(MID(N2685,FIND("/",N2685,FIND("/",N2685)+1)+1,4)),VALUE(MID(N2685,FIND("/",N2685)+1,FIND("/",N2685,FIND("/",N2685)+1)-FIND("/",N2685)-1)),VALUE(LEFT(N2685,FIND("/",N2685)-1))),0)</f>
        <v>0</v>
      </c>
    </row>
    <row r="2686" customFormat="false" ht="15" hidden="false" customHeight="false" outlineLevel="0" collapsed="false">
      <c r="N2686" s="0" t="str">
        <f aca="false">IF(H2686="","",IFERROR(LEFT(H2686,FIND(" ",H2686)-1),H2686))</f>
        <v/>
      </c>
      <c r="O2686" s="20" t="n">
        <f aca="false">IFERROR(DATE(VALUE(MID(N2686,FIND("/",N2686,FIND("/",N2686)+1)+1,4)),VALUE(MID(N2686,FIND("/",N2686)+1,FIND("/",N2686,FIND("/",N2686)+1)-FIND("/",N2686)-1)),VALUE(LEFT(N2686,FIND("/",N2686)-1))),0)</f>
        <v>0</v>
      </c>
    </row>
    <row r="2687" customFormat="false" ht="15" hidden="false" customHeight="false" outlineLevel="0" collapsed="false">
      <c r="N2687" s="0" t="str">
        <f aca="false">IF(H2687="","",IFERROR(LEFT(H2687,FIND(" ",H2687)-1),H2687))</f>
        <v/>
      </c>
      <c r="O2687" s="20" t="n">
        <f aca="false">IFERROR(DATE(VALUE(MID(N2687,FIND("/",N2687,FIND("/",N2687)+1)+1,4)),VALUE(MID(N2687,FIND("/",N2687)+1,FIND("/",N2687,FIND("/",N2687)+1)-FIND("/",N2687)-1)),VALUE(LEFT(N2687,FIND("/",N2687)-1))),0)</f>
        <v>0</v>
      </c>
    </row>
    <row r="2688" customFormat="false" ht="15" hidden="false" customHeight="false" outlineLevel="0" collapsed="false">
      <c r="N2688" s="0" t="str">
        <f aca="false">IF(H2688="","",IFERROR(LEFT(H2688,FIND(" ",H2688)-1),H2688))</f>
        <v/>
      </c>
      <c r="O2688" s="20" t="n">
        <f aca="false">IFERROR(DATE(VALUE(MID(N2688,FIND("/",N2688,FIND("/",N2688)+1)+1,4)),VALUE(MID(N2688,FIND("/",N2688)+1,FIND("/",N2688,FIND("/",N2688)+1)-FIND("/",N2688)-1)),VALUE(LEFT(N2688,FIND("/",N2688)-1))),0)</f>
        <v>0</v>
      </c>
    </row>
    <row r="2689" customFormat="false" ht="15" hidden="false" customHeight="false" outlineLevel="0" collapsed="false">
      <c r="N2689" s="0" t="str">
        <f aca="false">IF(H2689="","",IFERROR(LEFT(H2689,FIND(" ",H2689)-1),H2689))</f>
        <v/>
      </c>
      <c r="O2689" s="20" t="n">
        <f aca="false">IFERROR(DATE(VALUE(MID(N2689,FIND("/",N2689,FIND("/",N2689)+1)+1,4)),VALUE(MID(N2689,FIND("/",N2689)+1,FIND("/",N2689,FIND("/",N2689)+1)-FIND("/",N2689)-1)),VALUE(LEFT(N2689,FIND("/",N2689)-1))),0)</f>
        <v>0</v>
      </c>
    </row>
    <row r="2690" customFormat="false" ht="15" hidden="false" customHeight="false" outlineLevel="0" collapsed="false">
      <c r="N2690" s="0" t="str">
        <f aca="false">IF(H2690="","",IFERROR(LEFT(H2690,FIND(" ",H2690)-1),H2690))</f>
        <v/>
      </c>
      <c r="O2690" s="20" t="n">
        <f aca="false">IFERROR(DATE(VALUE(MID(N2690,FIND("/",N2690,FIND("/",N2690)+1)+1,4)),VALUE(MID(N2690,FIND("/",N2690)+1,FIND("/",N2690,FIND("/",N2690)+1)-FIND("/",N2690)-1)),VALUE(LEFT(N2690,FIND("/",N2690)-1))),0)</f>
        <v>0</v>
      </c>
    </row>
    <row r="2691" customFormat="false" ht="15" hidden="false" customHeight="false" outlineLevel="0" collapsed="false">
      <c r="N2691" s="0" t="str">
        <f aca="false">IF(H2691="","",IFERROR(LEFT(H2691,FIND(" ",H2691)-1),H2691))</f>
        <v/>
      </c>
      <c r="O2691" s="20" t="n">
        <f aca="false">IFERROR(DATE(VALUE(MID(N2691,FIND("/",N2691,FIND("/",N2691)+1)+1,4)),VALUE(MID(N2691,FIND("/",N2691)+1,FIND("/",N2691,FIND("/",N2691)+1)-FIND("/",N2691)-1)),VALUE(LEFT(N2691,FIND("/",N2691)-1))),0)</f>
        <v>0</v>
      </c>
    </row>
    <row r="2692" customFormat="false" ht="15" hidden="false" customHeight="false" outlineLevel="0" collapsed="false">
      <c r="N2692" s="0" t="str">
        <f aca="false">IF(H2692="","",IFERROR(LEFT(H2692,FIND(" ",H2692)-1),H2692))</f>
        <v/>
      </c>
      <c r="O2692" s="20" t="n">
        <f aca="false">IFERROR(DATE(VALUE(MID(N2692,FIND("/",N2692,FIND("/",N2692)+1)+1,4)),VALUE(MID(N2692,FIND("/",N2692)+1,FIND("/",N2692,FIND("/",N2692)+1)-FIND("/",N2692)-1)),VALUE(LEFT(N2692,FIND("/",N2692)-1))),0)</f>
        <v>0</v>
      </c>
    </row>
    <row r="2693" customFormat="false" ht="15" hidden="false" customHeight="false" outlineLevel="0" collapsed="false">
      <c r="N2693" s="0" t="str">
        <f aca="false">IF(H2693="","",IFERROR(LEFT(H2693,FIND(" ",H2693)-1),H2693))</f>
        <v/>
      </c>
      <c r="O2693" s="20" t="n">
        <f aca="false">IFERROR(DATE(VALUE(MID(N2693,FIND("/",N2693,FIND("/",N2693)+1)+1,4)),VALUE(MID(N2693,FIND("/",N2693)+1,FIND("/",N2693,FIND("/",N2693)+1)-FIND("/",N2693)-1)),VALUE(LEFT(N2693,FIND("/",N2693)-1))),0)</f>
        <v>0</v>
      </c>
    </row>
    <row r="2694" customFormat="false" ht="15" hidden="false" customHeight="false" outlineLevel="0" collapsed="false">
      <c r="N2694" s="0" t="str">
        <f aca="false">IF(H2694="","",IFERROR(LEFT(H2694,FIND(" ",H2694)-1),H2694))</f>
        <v/>
      </c>
      <c r="O2694" s="20" t="n">
        <f aca="false">IFERROR(DATE(VALUE(MID(N2694,FIND("/",N2694,FIND("/",N2694)+1)+1,4)),VALUE(MID(N2694,FIND("/",N2694)+1,FIND("/",N2694,FIND("/",N2694)+1)-FIND("/",N2694)-1)),VALUE(LEFT(N2694,FIND("/",N2694)-1))),0)</f>
        <v>0</v>
      </c>
    </row>
    <row r="2695" customFormat="false" ht="15" hidden="false" customHeight="false" outlineLevel="0" collapsed="false">
      <c r="N2695" s="0" t="str">
        <f aca="false">IF(H2695="","",IFERROR(LEFT(H2695,FIND(" ",H2695)-1),H2695))</f>
        <v/>
      </c>
      <c r="O2695" s="20" t="n">
        <f aca="false">IFERROR(DATE(VALUE(MID(N2695,FIND("/",N2695,FIND("/",N2695)+1)+1,4)),VALUE(MID(N2695,FIND("/",N2695)+1,FIND("/",N2695,FIND("/",N2695)+1)-FIND("/",N2695)-1)),VALUE(LEFT(N2695,FIND("/",N2695)-1))),0)</f>
        <v>0</v>
      </c>
    </row>
    <row r="2696" customFormat="false" ht="15" hidden="false" customHeight="false" outlineLevel="0" collapsed="false">
      <c r="N2696" s="0" t="str">
        <f aca="false">IF(H2696="","",IFERROR(LEFT(H2696,FIND(" ",H2696)-1),H2696))</f>
        <v/>
      </c>
      <c r="O2696" s="20" t="n">
        <f aca="false">IFERROR(DATE(VALUE(MID(N2696,FIND("/",N2696,FIND("/",N2696)+1)+1,4)),VALUE(MID(N2696,FIND("/",N2696)+1,FIND("/",N2696,FIND("/",N2696)+1)-FIND("/",N2696)-1)),VALUE(LEFT(N2696,FIND("/",N2696)-1))),0)</f>
        <v>0</v>
      </c>
    </row>
    <row r="2697" customFormat="false" ht="15" hidden="false" customHeight="false" outlineLevel="0" collapsed="false">
      <c r="N2697" s="0" t="str">
        <f aca="false">IF(H2697="","",IFERROR(LEFT(H2697,FIND(" ",H2697)-1),H2697))</f>
        <v/>
      </c>
      <c r="O2697" s="20" t="n">
        <f aca="false">IFERROR(DATE(VALUE(MID(N2697,FIND("/",N2697,FIND("/",N2697)+1)+1,4)),VALUE(MID(N2697,FIND("/",N2697)+1,FIND("/",N2697,FIND("/",N2697)+1)-FIND("/",N2697)-1)),VALUE(LEFT(N2697,FIND("/",N2697)-1))),0)</f>
        <v>0</v>
      </c>
    </row>
    <row r="2698" customFormat="false" ht="15" hidden="false" customHeight="false" outlineLevel="0" collapsed="false">
      <c r="N2698" s="0" t="str">
        <f aca="false">IF(H2698="","",IFERROR(LEFT(H2698,FIND(" ",H2698)-1),H2698))</f>
        <v/>
      </c>
      <c r="O2698" s="20" t="n">
        <f aca="false">IFERROR(DATE(VALUE(MID(N2698,FIND("/",N2698,FIND("/",N2698)+1)+1,4)),VALUE(MID(N2698,FIND("/",N2698)+1,FIND("/",N2698,FIND("/",N2698)+1)-FIND("/",N2698)-1)),VALUE(LEFT(N2698,FIND("/",N2698)-1))),0)</f>
        <v>0</v>
      </c>
    </row>
    <row r="2699" customFormat="false" ht="15" hidden="false" customHeight="false" outlineLevel="0" collapsed="false">
      <c r="N2699" s="0" t="str">
        <f aca="false">IF(H2699="","",IFERROR(LEFT(H2699,FIND(" ",H2699)-1),H2699))</f>
        <v/>
      </c>
      <c r="O2699" s="20" t="n">
        <f aca="false">IFERROR(DATE(VALUE(MID(N2699,FIND("/",N2699,FIND("/",N2699)+1)+1,4)),VALUE(MID(N2699,FIND("/",N2699)+1,FIND("/",N2699,FIND("/",N2699)+1)-FIND("/",N2699)-1)),VALUE(LEFT(N2699,FIND("/",N2699)-1))),0)</f>
        <v>0</v>
      </c>
    </row>
    <row r="2700" customFormat="false" ht="15" hidden="false" customHeight="false" outlineLevel="0" collapsed="false">
      <c r="N2700" s="0" t="str">
        <f aca="false">IF(H2700="","",IFERROR(LEFT(H2700,FIND(" ",H2700)-1),H2700))</f>
        <v/>
      </c>
      <c r="O2700" s="20" t="n">
        <f aca="false">IFERROR(DATE(VALUE(MID(N2700,FIND("/",N2700,FIND("/",N2700)+1)+1,4)),VALUE(MID(N2700,FIND("/",N2700)+1,FIND("/",N2700,FIND("/",N2700)+1)-FIND("/",N2700)-1)),VALUE(LEFT(N2700,FIND("/",N2700)-1))),0)</f>
        <v>0</v>
      </c>
    </row>
    <row r="2701" customFormat="false" ht="15" hidden="false" customHeight="false" outlineLevel="0" collapsed="false">
      <c r="N2701" s="0" t="str">
        <f aca="false">IF(H2701="","",IFERROR(LEFT(H2701,FIND(" ",H2701)-1),H2701))</f>
        <v/>
      </c>
      <c r="O2701" s="20" t="n">
        <f aca="false">IFERROR(DATE(VALUE(MID(N2701,FIND("/",N2701,FIND("/",N2701)+1)+1,4)),VALUE(MID(N2701,FIND("/",N2701)+1,FIND("/",N2701,FIND("/",N2701)+1)-FIND("/",N2701)-1)),VALUE(LEFT(N2701,FIND("/",N2701)-1))),0)</f>
        <v>0</v>
      </c>
    </row>
    <row r="2702" customFormat="false" ht="15" hidden="false" customHeight="false" outlineLevel="0" collapsed="false">
      <c r="N2702" s="0" t="str">
        <f aca="false">IF(H2702="","",IFERROR(LEFT(H2702,FIND(" ",H2702)-1),H2702))</f>
        <v/>
      </c>
      <c r="O2702" s="20" t="n">
        <f aca="false">IFERROR(DATE(VALUE(MID(N2702,FIND("/",N2702,FIND("/",N2702)+1)+1,4)),VALUE(MID(N2702,FIND("/",N2702)+1,FIND("/",N2702,FIND("/",N2702)+1)-FIND("/",N2702)-1)),VALUE(LEFT(N2702,FIND("/",N2702)-1))),0)</f>
        <v>0</v>
      </c>
    </row>
    <row r="2703" customFormat="false" ht="15" hidden="false" customHeight="false" outlineLevel="0" collapsed="false">
      <c r="N2703" s="0" t="str">
        <f aca="false">IF(H2703="","",IFERROR(LEFT(H2703,FIND(" ",H2703)-1),H2703))</f>
        <v/>
      </c>
      <c r="O2703" s="20" t="n">
        <f aca="false">IFERROR(DATE(VALUE(MID(N2703,FIND("/",N2703,FIND("/",N2703)+1)+1,4)),VALUE(MID(N2703,FIND("/",N2703)+1,FIND("/",N2703,FIND("/",N2703)+1)-FIND("/",N2703)-1)),VALUE(LEFT(N2703,FIND("/",N2703)-1))),0)</f>
        <v>0</v>
      </c>
    </row>
    <row r="2704" customFormat="false" ht="15" hidden="false" customHeight="false" outlineLevel="0" collapsed="false">
      <c r="N2704" s="0" t="str">
        <f aca="false">IF(H2704="","",IFERROR(LEFT(H2704,FIND(" ",H2704)-1),H2704))</f>
        <v/>
      </c>
      <c r="O2704" s="20" t="n">
        <f aca="false">IFERROR(DATE(VALUE(MID(N2704,FIND("/",N2704,FIND("/",N2704)+1)+1,4)),VALUE(MID(N2704,FIND("/",N2704)+1,FIND("/",N2704,FIND("/",N2704)+1)-FIND("/",N2704)-1)),VALUE(LEFT(N2704,FIND("/",N2704)-1))),0)</f>
        <v>0</v>
      </c>
    </row>
    <row r="2705" customFormat="false" ht="15" hidden="false" customHeight="false" outlineLevel="0" collapsed="false">
      <c r="N2705" s="0" t="str">
        <f aca="false">IF(H2705="","",IFERROR(LEFT(H2705,FIND(" ",H2705)-1),H2705))</f>
        <v/>
      </c>
      <c r="O2705" s="20" t="n">
        <f aca="false">IFERROR(DATE(VALUE(MID(N2705,FIND("/",N2705,FIND("/",N2705)+1)+1,4)),VALUE(MID(N2705,FIND("/",N2705)+1,FIND("/",N2705,FIND("/",N2705)+1)-FIND("/",N2705)-1)),VALUE(LEFT(N2705,FIND("/",N2705)-1))),0)</f>
        <v>0</v>
      </c>
    </row>
    <row r="2706" customFormat="false" ht="15" hidden="false" customHeight="false" outlineLevel="0" collapsed="false">
      <c r="N2706" s="0" t="str">
        <f aca="false">IF(H2706="","",IFERROR(LEFT(H2706,FIND(" ",H2706)-1),H2706))</f>
        <v/>
      </c>
      <c r="O2706" s="20" t="n">
        <f aca="false">IFERROR(DATE(VALUE(MID(N2706,FIND("/",N2706,FIND("/",N2706)+1)+1,4)),VALUE(MID(N2706,FIND("/",N2706)+1,FIND("/",N2706,FIND("/",N2706)+1)-FIND("/",N2706)-1)),VALUE(LEFT(N2706,FIND("/",N2706)-1))),0)</f>
        <v>0</v>
      </c>
    </row>
    <row r="2707" customFormat="false" ht="15" hidden="false" customHeight="false" outlineLevel="0" collapsed="false">
      <c r="N2707" s="0" t="str">
        <f aca="false">IF(H2707="","",IFERROR(LEFT(H2707,FIND(" ",H2707)-1),H2707))</f>
        <v/>
      </c>
      <c r="O2707" s="20" t="n">
        <f aca="false">IFERROR(DATE(VALUE(MID(N2707,FIND("/",N2707,FIND("/",N2707)+1)+1,4)),VALUE(MID(N2707,FIND("/",N2707)+1,FIND("/",N2707,FIND("/",N2707)+1)-FIND("/",N2707)-1)),VALUE(LEFT(N2707,FIND("/",N2707)-1))),0)</f>
        <v>0</v>
      </c>
    </row>
    <row r="2708" customFormat="false" ht="15" hidden="false" customHeight="false" outlineLevel="0" collapsed="false">
      <c r="N2708" s="0" t="str">
        <f aca="false">IF(H2708="","",IFERROR(LEFT(H2708,FIND(" ",H2708)-1),H2708))</f>
        <v/>
      </c>
      <c r="O2708" s="20" t="n">
        <f aca="false">IFERROR(DATE(VALUE(MID(N2708,FIND("/",N2708,FIND("/",N2708)+1)+1,4)),VALUE(MID(N2708,FIND("/",N2708)+1,FIND("/",N2708,FIND("/",N2708)+1)-FIND("/",N2708)-1)),VALUE(LEFT(N2708,FIND("/",N2708)-1))),0)</f>
        <v>0</v>
      </c>
    </row>
    <row r="2709" customFormat="false" ht="15" hidden="false" customHeight="false" outlineLevel="0" collapsed="false">
      <c r="N2709" s="0" t="str">
        <f aca="false">IF(H2709="","",IFERROR(LEFT(H2709,FIND(" ",H2709)-1),H2709))</f>
        <v/>
      </c>
      <c r="O2709" s="20" t="n">
        <f aca="false">IFERROR(DATE(VALUE(MID(N2709,FIND("/",N2709,FIND("/",N2709)+1)+1,4)),VALUE(MID(N2709,FIND("/",N2709)+1,FIND("/",N2709,FIND("/",N2709)+1)-FIND("/",N2709)-1)),VALUE(LEFT(N2709,FIND("/",N2709)-1))),0)</f>
        <v>0</v>
      </c>
    </row>
    <row r="2710" customFormat="false" ht="15" hidden="false" customHeight="false" outlineLevel="0" collapsed="false">
      <c r="N2710" s="0" t="str">
        <f aca="false">IF(H2710="","",IFERROR(LEFT(H2710,FIND(" ",H2710)-1),H2710))</f>
        <v/>
      </c>
      <c r="O2710" s="20" t="n">
        <f aca="false">IFERROR(DATE(VALUE(MID(N2710,FIND("/",N2710,FIND("/",N2710)+1)+1,4)),VALUE(MID(N2710,FIND("/",N2710)+1,FIND("/",N2710,FIND("/",N2710)+1)-FIND("/",N2710)-1)),VALUE(LEFT(N2710,FIND("/",N2710)-1))),0)</f>
        <v>0</v>
      </c>
    </row>
    <row r="2711" customFormat="false" ht="15" hidden="false" customHeight="false" outlineLevel="0" collapsed="false">
      <c r="N2711" s="0" t="str">
        <f aca="false">IF(H2711="","",IFERROR(LEFT(H2711,FIND(" ",H2711)-1),H2711))</f>
        <v/>
      </c>
      <c r="O2711" s="20" t="n">
        <f aca="false">IFERROR(DATE(VALUE(MID(N2711,FIND("/",N2711,FIND("/",N2711)+1)+1,4)),VALUE(MID(N2711,FIND("/",N2711)+1,FIND("/",N2711,FIND("/",N2711)+1)-FIND("/",N2711)-1)),VALUE(LEFT(N2711,FIND("/",N2711)-1))),0)</f>
        <v>0</v>
      </c>
    </row>
    <row r="2712" customFormat="false" ht="15" hidden="false" customHeight="false" outlineLevel="0" collapsed="false">
      <c r="N2712" s="0" t="str">
        <f aca="false">IF(H2712="","",IFERROR(LEFT(H2712,FIND(" ",H2712)-1),H2712))</f>
        <v/>
      </c>
      <c r="O2712" s="20" t="n">
        <f aca="false">IFERROR(DATE(VALUE(MID(N2712,FIND("/",N2712,FIND("/",N2712)+1)+1,4)),VALUE(MID(N2712,FIND("/",N2712)+1,FIND("/",N2712,FIND("/",N2712)+1)-FIND("/",N2712)-1)),VALUE(LEFT(N2712,FIND("/",N2712)-1))),0)</f>
        <v>0</v>
      </c>
    </row>
    <row r="2713" customFormat="false" ht="15" hidden="false" customHeight="false" outlineLevel="0" collapsed="false">
      <c r="N2713" s="0" t="str">
        <f aca="false">IF(H2713="","",IFERROR(LEFT(H2713,FIND(" ",H2713)-1),H2713))</f>
        <v/>
      </c>
      <c r="O2713" s="20" t="n">
        <f aca="false">IFERROR(DATE(VALUE(MID(N2713,FIND("/",N2713,FIND("/",N2713)+1)+1,4)),VALUE(MID(N2713,FIND("/",N2713)+1,FIND("/",N2713,FIND("/",N2713)+1)-FIND("/",N2713)-1)),VALUE(LEFT(N2713,FIND("/",N2713)-1))),0)</f>
        <v>0</v>
      </c>
    </row>
    <row r="2714" customFormat="false" ht="15" hidden="false" customHeight="false" outlineLevel="0" collapsed="false">
      <c r="N2714" s="0" t="str">
        <f aca="false">IF(H2714="","",IFERROR(LEFT(H2714,FIND(" ",H2714)-1),H2714))</f>
        <v/>
      </c>
      <c r="O2714" s="20" t="n">
        <f aca="false">IFERROR(DATE(VALUE(MID(N2714,FIND("/",N2714,FIND("/",N2714)+1)+1,4)),VALUE(MID(N2714,FIND("/",N2714)+1,FIND("/",N2714,FIND("/",N2714)+1)-FIND("/",N2714)-1)),VALUE(LEFT(N2714,FIND("/",N2714)-1))),0)</f>
        <v>0</v>
      </c>
    </row>
    <row r="2715" customFormat="false" ht="15" hidden="false" customHeight="false" outlineLevel="0" collapsed="false">
      <c r="N2715" s="0" t="str">
        <f aca="false">IF(H2715="","",IFERROR(LEFT(H2715,FIND(" ",H2715)-1),H2715))</f>
        <v/>
      </c>
      <c r="O2715" s="20" t="n">
        <f aca="false">IFERROR(DATE(VALUE(MID(N2715,FIND("/",N2715,FIND("/",N2715)+1)+1,4)),VALUE(MID(N2715,FIND("/",N2715)+1,FIND("/",N2715,FIND("/",N2715)+1)-FIND("/",N2715)-1)),VALUE(LEFT(N2715,FIND("/",N2715)-1))),0)</f>
        <v>0</v>
      </c>
    </row>
    <row r="2716" customFormat="false" ht="15" hidden="false" customHeight="false" outlineLevel="0" collapsed="false">
      <c r="N2716" s="0" t="str">
        <f aca="false">IF(H2716="","",IFERROR(LEFT(H2716,FIND(" ",H2716)-1),H2716))</f>
        <v/>
      </c>
      <c r="O2716" s="20" t="n">
        <f aca="false">IFERROR(DATE(VALUE(MID(N2716,FIND("/",N2716,FIND("/",N2716)+1)+1,4)),VALUE(MID(N2716,FIND("/",N2716)+1,FIND("/",N2716,FIND("/",N2716)+1)-FIND("/",N2716)-1)),VALUE(LEFT(N2716,FIND("/",N2716)-1))),0)</f>
        <v>0</v>
      </c>
    </row>
    <row r="2717" customFormat="false" ht="15" hidden="false" customHeight="false" outlineLevel="0" collapsed="false">
      <c r="N2717" s="0" t="str">
        <f aca="false">IF(H2717="","",IFERROR(LEFT(H2717,FIND(" ",H2717)-1),H2717))</f>
        <v/>
      </c>
      <c r="O2717" s="20" t="n">
        <f aca="false">IFERROR(DATE(VALUE(MID(N2717,FIND("/",N2717,FIND("/",N2717)+1)+1,4)),VALUE(MID(N2717,FIND("/",N2717)+1,FIND("/",N2717,FIND("/",N2717)+1)-FIND("/",N2717)-1)),VALUE(LEFT(N2717,FIND("/",N2717)-1))),0)</f>
        <v>0</v>
      </c>
    </row>
    <row r="2718" customFormat="false" ht="15" hidden="false" customHeight="false" outlineLevel="0" collapsed="false">
      <c r="N2718" s="0" t="str">
        <f aca="false">IF(H2718="","",IFERROR(LEFT(H2718,FIND(" ",H2718)-1),H2718))</f>
        <v/>
      </c>
      <c r="O2718" s="20" t="n">
        <f aca="false">IFERROR(DATE(VALUE(MID(N2718,FIND("/",N2718,FIND("/",N2718)+1)+1,4)),VALUE(MID(N2718,FIND("/",N2718)+1,FIND("/",N2718,FIND("/",N2718)+1)-FIND("/",N2718)-1)),VALUE(LEFT(N2718,FIND("/",N2718)-1))),0)</f>
        <v>0</v>
      </c>
    </row>
    <row r="2719" customFormat="false" ht="15" hidden="false" customHeight="false" outlineLevel="0" collapsed="false">
      <c r="N2719" s="0" t="str">
        <f aca="false">IF(H2719="","",IFERROR(LEFT(H2719,FIND(" ",H2719)-1),H2719))</f>
        <v/>
      </c>
      <c r="O2719" s="20" t="n">
        <f aca="false">IFERROR(DATE(VALUE(MID(N2719,FIND("/",N2719,FIND("/",N2719)+1)+1,4)),VALUE(MID(N2719,FIND("/",N2719)+1,FIND("/",N2719,FIND("/",N2719)+1)-FIND("/",N2719)-1)),VALUE(LEFT(N2719,FIND("/",N2719)-1))),0)</f>
        <v>0</v>
      </c>
    </row>
    <row r="2720" customFormat="false" ht="15" hidden="false" customHeight="false" outlineLevel="0" collapsed="false">
      <c r="N2720" s="0" t="str">
        <f aca="false">IF(H2720="","",IFERROR(LEFT(H2720,FIND(" ",H2720)-1),H2720))</f>
        <v/>
      </c>
      <c r="O2720" s="20" t="n">
        <f aca="false">IFERROR(DATE(VALUE(MID(N2720,FIND("/",N2720,FIND("/",N2720)+1)+1,4)),VALUE(MID(N2720,FIND("/",N2720)+1,FIND("/",N2720,FIND("/",N2720)+1)-FIND("/",N2720)-1)),VALUE(LEFT(N2720,FIND("/",N2720)-1))),0)</f>
        <v>0</v>
      </c>
    </row>
    <row r="2721" customFormat="false" ht="15" hidden="false" customHeight="false" outlineLevel="0" collapsed="false">
      <c r="N2721" s="0" t="str">
        <f aca="false">IF(H2721="","",IFERROR(LEFT(H2721,FIND(" ",H2721)-1),H2721))</f>
        <v/>
      </c>
      <c r="O2721" s="20" t="n">
        <f aca="false">IFERROR(DATE(VALUE(MID(N2721,FIND("/",N2721,FIND("/",N2721)+1)+1,4)),VALUE(MID(N2721,FIND("/",N2721)+1,FIND("/",N2721,FIND("/",N2721)+1)-FIND("/",N2721)-1)),VALUE(LEFT(N2721,FIND("/",N2721)-1))),0)</f>
        <v>0</v>
      </c>
    </row>
    <row r="2722" customFormat="false" ht="15" hidden="false" customHeight="false" outlineLevel="0" collapsed="false">
      <c r="N2722" s="0" t="str">
        <f aca="false">IF(H2722="","",IFERROR(LEFT(H2722,FIND(" ",H2722)-1),H2722))</f>
        <v/>
      </c>
      <c r="O2722" s="20" t="n">
        <f aca="false">IFERROR(DATE(VALUE(MID(N2722,FIND("/",N2722,FIND("/",N2722)+1)+1,4)),VALUE(MID(N2722,FIND("/",N2722)+1,FIND("/",N2722,FIND("/",N2722)+1)-FIND("/",N2722)-1)),VALUE(LEFT(N2722,FIND("/",N2722)-1))),0)</f>
        <v>0</v>
      </c>
    </row>
    <row r="2723" customFormat="false" ht="15" hidden="false" customHeight="false" outlineLevel="0" collapsed="false">
      <c r="N2723" s="0" t="str">
        <f aca="false">IF(H2723="","",IFERROR(LEFT(H2723,FIND(" ",H2723)-1),H2723))</f>
        <v/>
      </c>
      <c r="O2723" s="20" t="n">
        <f aca="false">IFERROR(DATE(VALUE(MID(N2723,FIND("/",N2723,FIND("/",N2723)+1)+1,4)),VALUE(MID(N2723,FIND("/",N2723)+1,FIND("/",N2723,FIND("/",N2723)+1)-FIND("/",N2723)-1)),VALUE(LEFT(N2723,FIND("/",N2723)-1))),0)</f>
        <v>0</v>
      </c>
    </row>
    <row r="2724" customFormat="false" ht="15" hidden="false" customHeight="false" outlineLevel="0" collapsed="false">
      <c r="N2724" s="0" t="str">
        <f aca="false">IF(H2724="","",IFERROR(LEFT(H2724,FIND(" ",H2724)-1),H2724))</f>
        <v/>
      </c>
      <c r="O2724" s="20" t="n">
        <f aca="false">IFERROR(DATE(VALUE(MID(N2724,FIND("/",N2724,FIND("/",N2724)+1)+1,4)),VALUE(MID(N2724,FIND("/",N2724)+1,FIND("/",N2724,FIND("/",N2724)+1)-FIND("/",N2724)-1)),VALUE(LEFT(N2724,FIND("/",N2724)-1))),0)</f>
        <v>0</v>
      </c>
    </row>
    <row r="2725" customFormat="false" ht="15" hidden="false" customHeight="false" outlineLevel="0" collapsed="false">
      <c r="N2725" s="0" t="str">
        <f aca="false">IF(H2725="","",IFERROR(LEFT(H2725,FIND(" ",H2725)-1),H2725))</f>
        <v/>
      </c>
      <c r="O2725" s="20" t="n">
        <f aca="false">IFERROR(DATE(VALUE(MID(N2725,FIND("/",N2725,FIND("/",N2725)+1)+1,4)),VALUE(MID(N2725,FIND("/",N2725)+1,FIND("/",N2725,FIND("/",N2725)+1)-FIND("/",N2725)-1)),VALUE(LEFT(N2725,FIND("/",N2725)-1))),0)</f>
        <v>0</v>
      </c>
    </row>
    <row r="2726" customFormat="false" ht="15" hidden="false" customHeight="false" outlineLevel="0" collapsed="false">
      <c r="N2726" s="0" t="str">
        <f aca="false">IF(H2726="","",IFERROR(LEFT(H2726,FIND(" ",H2726)-1),H2726))</f>
        <v/>
      </c>
      <c r="O2726" s="20" t="n">
        <f aca="false">IFERROR(DATE(VALUE(MID(N2726,FIND("/",N2726,FIND("/",N2726)+1)+1,4)),VALUE(MID(N2726,FIND("/",N2726)+1,FIND("/",N2726,FIND("/",N2726)+1)-FIND("/",N2726)-1)),VALUE(LEFT(N2726,FIND("/",N2726)-1))),0)</f>
        <v>0</v>
      </c>
    </row>
    <row r="2727" customFormat="false" ht="15" hidden="false" customHeight="false" outlineLevel="0" collapsed="false">
      <c r="N2727" s="0" t="str">
        <f aca="false">IF(H2727="","",IFERROR(LEFT(H2727,FIND(" ",H2727)-1),H2727))</f>
        <v/>
      </c>
      <c r="O2727" s="20" t="n">
        <f aca="false">IFERROR(DATE(VALUE(MID(N2727,FIND("/",N2727,FIND("/",N2727)+1)+1,4)),VALUE(MID(N2727,FIND("/",N2727)+1,FIND("/",N2727,FIND("/",N2727)+1)-FIND("/",N2727)-1)),VALUE(LEFT(N2727,FIND("/",N2727)-1))),0)</f>
        <v>0</v>
      </c>
    </row>
    <row r="2728" customFormat="false" ht="15" hidden="false" customHeight="false" outlineLevel="0" collapsed="false">
      <c r="N2728" s="0" t="str">
        <f aca="false">IF(H2728="","",IFERROR(LEFT(H2728,FIND(" ",H2728)-1),H2728))</f>
        <v/>
      </c>
      <c r="O2728" s="20" t="n">
        <f aca="false">IFERROR(DATE(VALUE(MID(N2728,FIND("/",N2728,FIND("/",N2728)+1)+1,4)),VALUE(MID(N2728,FIND("/",N2728)+1,FIND("/",N2728,FIND("/",N2728)+1)-FIND("/",N2728)-1)),VALUE(LEFT(N2728,FIND("/",N2728)-1))),0)</f>
        <v>0</v>
      </c>
    </row>
    <row r="2729" customFormat="false" ht="15" hidden="false" customHeight="false" outlineLevel="0" collapsed="false">
      <c r="N2729" s="0" t="str">
        <f aca="false">IF(H2729="","",IFERROR(LEFT(H2729,FIND(" ",H2729)-1),H2729))</f>
        <v/>
      </c>
      <c r="O2729" s="20" t="n">
        <f aca="false">IFERROR(DATE(VALUE(MID(N2729,FIND("/",N2729,FIND("/",N2729)+1)+1,4)),VALUE(MID(N2729,FIND("/",N2729)+1,FIND("/",N2729,FIND("/",N2729)+1)-FIND("/",N2729)-1)),VALUE(LEFT(N2729,FIND("/",N2729)-1))),0)</f>
        <v>0</v>
      </c>
    </row>
    <row r="2730" customFormat="false" ht="15" hidden="false" customHeight="false" outlineLevel="0" collapsed="false">
      <c r="N2730" s="0" t="str">
        <f aca="false">IF(H2730="","",IFERROR(LEFT(H2730,FIND(" ",H2730)-1),H2730))</f>
        <v/>
      </c>
      <c r="O2730" s="20" t="n">
        <f aca="false">IFERROR(DATE(VALUE(MID(N2730,FIND("/",N2730,FIND("/",N2730)+1)+1,4)),VALUE(MID(N2730,FIND("/",N2730)+1,FIND("/",N2730,FIND("/",N2730)+1)-FIND("/",N2730)-1)),VALUE(LEFT(N2730,FIND("/",N2730)-1))),0)</f>
        <v>0</v>
      </c>
    </row>
    <row r="2731" customFormat="false" ht="15" hidden="false" customHeight="false" outlineLevel="0" collapsed="false">
      <c r="N2731" s="0" t="str">
        <f aca="false">IF(H2731="","",IFERROR(LEFT(H2731,FIND(" ",H2731)-1),H2731))</f>
        <v/>
      </c>
      <c r="O2731" s="20" t="n">
        <f aca="false">IFERROR(DATE(VALUE(MID(N2731,FIND("/",N2731,FIND("/",N2731)+1)+1,4)),VALUE(MID(N2731,FIND("/",N2731)+1,FIND("/",N2731,FIND("/",N2731)+1)-FIND("/",N2731)-1)),VALUE(LEFT(N2731,FIND("/",N2731)-1))),0)</f>
        <v>0</v>
      </c>
    </row>
    <row r="2732" customFormat="false" ht="15" hidden="false" customHeight="false" outlineLevel="0" collapsed="false">
      <c r="N2732" s="0" t="str">
        <f aca="false">IF(H2732="","",IFERROR(LEFT(H2732,FIND(" ",H2732)-1),H2732))</f>
        <v/>
      </c>
      <c r="O2732" s="20" t="n">
        <f aca="false">IFERROR(DATE(VALUE(MID(N2732,FIND("/",N2732,FIND("/",N2732)+1)+1,4)),VALUE(MID(N2732,FIND("/",N2732)+1,FIND("/",N2732,FIND("/",N2732)+1)-FIND("/",N2732)-1)),VALUE(LEFT(N2732,FIND("/",N2732)-1))),0)</f>
        <v>0</v>
      </c>
    </row>
    <row r="2733" customFormat="false" ht="15" hidden="false" customHeight="false" outlineLevel="0" collapsed="false">
      <c r="N2733" s="0" t="str">
        <f aca="false">IF(H2733="","",IFERROR(LEFT(H2733,FIND(" ",H2733)-1),H2733))</f>
        <v/>
      </c>
      <c r="O2733" s="20" t="n">
        <f aca="false">IFERROR(DATE(VALUE(MID(N2733,FIND("/",N2733,FIND("/",N2733)+1)+1,4)),VALUE(MID(N2733,FIND("/",N2733)+1,FIND("/",N2733,FIND("/",N2733)+1)-FIND("/",N2733)-1)),VALUE(LEFT(N2733,FIND("/",N2733)-1))),0)</f>
        <v>0</v>
      </c>
    </row>
    <row r="2734" customFormat="false" ht="15" hidden="false" customHeight="false" outlineLevel="0" collapsed="false">
      <c r="N2734" s="0" t="str">
        <f aca="false">IF(H2734="","",IFERROR(LEFT(H2734,FIND(" ",H2734)-1),H2734))</f>
        <v/>
      </c>
      <c r="O2734" s="20" t="n">
        <f aca="false">IFERROR(DATE(VALUE(MID(N2734,FIND("/",N2734,FIND("/",N2734)+1)+1,4)),VALUE(MID(N2734,FIND("/",N2734)+1,FIND("/",N2734,FIND("/",N2734)+1)-FIND("/",N2734)-1)),VALUE(LEFT(N2734,FIND("/",N2734)-1))),0)</f>
        <v>0</v>
      </c>
    </row>
    <row r="2735" customFormat="false" ht="15" hidden="false" customHeight="false" outlineLevel="0" collapsed="false">
      <c r="N2735" s="0" t="str">
        <f aca="false">IF(H2735="","",IFERROR(LEFT(H2735,FIND(" ",H2735)-1),H2735))</f>
        <v/>
      </c>
      <c r="O2735" s="20" t="n">
        <f aca="false">IFERROR(DATE(VALUE(MID(N2735,FIND("/",N2735,FIND("/",N2735)+1)+1,4)),VALUE(MID(N2735,FIND("/",N2735)+1,FIND("/",N2735,FIND("/",N2735)+1)-FIND("/",N2735)-1)),VALUE(LEFT(N2735,FIND("/",N2735)-1))),0)</f>
        <v>0</v>
      </c>
    </row>
    <row r="2736" customFormat="false" ht="15" hidden="false" customHeight="false" outlineLevel="0" collapsed="false">
      <c r="N2736" s="0" t="str">
        <f aca="false">IF(H2736="","",IFERROR(LEFT(H2736,FIND(" ",H2736)-1),H2736))</f>
        <v/>
      </c>
      <c r="O2736" s="20" t="n">
        <f aca="false">IFERROR(DATE(VALUE(MID(N2736,FIND("/",N2736,FIND("/",N2736)+1)+1,4)),VALUE(MID(N2736,FIND("/",N2736)+1,FIND("/",N2736,FIND("/",N2736)+1)-FIND("/",N2736)-1)),VALUE(LEFT(N2736,FIND("/",N2736)-1))),0)</f>
        <v>0</v>
      </c>
    </row>
    <row r="2737" customFormat="false" ht="15" hidden="false" customHeight="false" outlineLevel="0" collapsed="false">
      <c r="N2737" s="0" t="str">
        <f aca="false">IF(H2737="","",IFERROR(LEFT(H2737,FIND(" ",H2737)-1),H2737))</f>
        <v/>
      </c>
      <c r="O2737" s="20" t="n">
        <f aca="false">IFERROR(DATE(VALUE(MID(N2737,FIND("/",N2737,FIND("/",N2737)+1)+1,4)),VALUE(MID(N2737,FIND("/",N2737)+1,FIND("/",N2737,FIND("/",N2737)+1)-FIND("/",N2737)-1)),VALUE(LEFT(N2737,FIND("/",N2737)-1))),0)</f>
        <v>0</v>
      </c>
    </row>
    <row r="2738" customFormat="false" ht="15" hidden="false" customHeight="false" outlineLevel="0" collapsed="false">
      <c r="N2738" s="0" t="str">
        <f aca="false">IF(H2738="","",IFERROR(LEFT(H2738,FIND(" ",H2738)-1),H2738))</f>
        <v/>
      </c>
      <c r="O2738" s="20" t="n">
        <f aca="false">IFERROR(DATE(VALUE(MID(N2738,FIND("/",N2738,FIND("/",N2738)+1)+1,4)),VALUE(MID(N2738,FIND("/",N2738)+1,FIND("/",N2738,FIND("/",N2738)+1)-FIND("/",N2738)-1)),VALUE(LEFT(N2738,FIND("/",N2738)-1))),0)</f>
        <v>0</v>
      </c>
    </row>
    <row r="2739" customFormat="false" ht="15" hidden="false" customHeight="false" outlineLevel="0" collapsed="false">
      <c r="N2739" s="0" t="str">
        <f aca="false">IF(H2739="","",IFERROR(LEFT(H2739,FIND(" ",H2739)-1),H2739))</f>
        <v/>
      </c>
      <c r="O2739" s="20" t="n">
        <f aca="false">IFERROR(DATE(VALUE(MID(N2739,FIND("/",N2739,FIND("/",N2739)+1)+1,4)),VALUE(MID(N2739,FIND("/",N2739)+1,FIND("/",N2739,FIND("/",N2739)+1)-FIND("/",N2739)-1)),VALUE(LEFT(N2739,FIND("/",N2739)-1))),0)</f>
        <v>0</v>
      </c>
    </row>
    <row r="2740" customFormat="false" ht="15" hidden="false" customHeight="false" outlineLevel="0" collapsed="false">
      <c r="N2740" s="0" t="str">
        <f aca="false">IF(H2740="","",IFERROR(LEFT(H2740,FIND(" ",H2740)-1),H2740))</f>
        <v/>
      </c>
      <c r="O2740" s="20" t="n">
        <f aca="false">IFERROR(DATE(VALUE(MID(N2740,FIND("/",N2740,FIND("/",N2740)+1)+1,4)),VALUE(MID(N2740,FIND("/",N2740)+1,FIND("/",N2740,FIND("/",N2740)+1)-FIND("/",N2740)-1)),VALUE(LEFT(N2740,FIND("/",N2740)-1))),0)</f>
        <v>0</v>
      </c>
    </row>
    <row r="2741" customFormat="false" ht="15" hidden="false" customHeight="false" outlineLevel="0" collapsed="false">
      <c r="N2741" s="0" t="str">
        <f aca="false">IF(H2741="","",IFERROR(LEFT(H2741,FIND(" ",H2741)-1),H2741))</f>
        <v/>
      </c>
      <c r="O2741" s="20" t="n">
        <f aca="false">IFERROR(DATE(VALUE(MID(N2741,FIND("/",N2741,FIND("/",N2741)+1)+1,4)),VALUE(MID(N2741,FIND("/",N2741)+1,FIND("/",N2741,FIND("/",N2741)+1)-FIND("/",N2741)-1)),VALUE(LEFT(N2741,FIND("/",N2741)-1))),0)</f>
        <v>0</v>
      </c>
    </row>
    <row r="2742" customFormat="false" ht="15" hidden="false" customHeight="false" outlineLevel="0" collapsed="false">
      <c r="N2742" s="0" t="str">
        <f aca="false">IF(H2742="","",IFERROR(LEFT(H2742,FIND(" ",H2742)-1),H2742))</f>
        <v/>
      </c>
      <c r="O2742" s="20" t="n">
        <f aca="false">IFERROR(DATE(VALUE(MID(N2742,FIND("/",N2742,FIND("/",N2742)+1)+1,4)),VALUE(MID(N2742,FIND("/",N2742)+1,FIND("/",N2742,FIND("/",N2742)+1)-FIND("/",N2742)-1)),VALUE(LEFT(N2742,FIND("/",N2742)-1))),0)</f>
        <v>0</v>
      </c>
    </row>
    <row r="2743" customFormat="false" ht="15" hidden="false" customHeight="false" outlineLevel="0" collapsed="false">
      <c r="N2743" s="0" t="str">
        <f aca="false">IF(H2743="","",IFERROR(LEFT(H2743,FIND(" ",H2743)-1),H2743))</f>
        <v/>
      </c>
      <c r="O2743" s="20" t="n">
        <f aca="false">IFERROR(DATE(VALUE(MID(N2743,FIND("/",N2743,FIND("/",N2743)+1)+1,4)),VALUE(MID(N2743,FIND("/",N2743)+1,FIND("/",N2743,FIND("/",N2743)+1)-FIND("/",N2743)-1)),VALUE(LEFT(N2743,FIND("/",N2743)-1))),0)</f>
        <v>0</v>
      </c>
    </row>
    <row r="2744" customFormat="false" ht="15" hidden="false" customHeight="false" outlineLevel="0" collapsed="false">
      <c r="N2744" s="0" t="str">
        <f aca="false">IF(H2744="","",IFERROR(LEFT(H2744,FIND(" ",H2744)-1),H2744))</f>
        <v/>
      </c>
      <c r="O2744" s="20" t="n">
        <f aca="false">IFERROR(DATE(VALUE(MID(N2744,FIND("/",N2744,FIND("/",N2744)+1)+1,4)),VALUE(MID(N2744,FIND("/",N2744)+1,FIND("/",N2744,FIND("/",N2744)+1)-FIND("/",N2744)-1)),VALUE(LEFT(N2744,FIND("/",N2744)-1))),0)</f>
        <v>0</v>
      </c>
    </row>
    <row r="2745" customFormat="false" ht="15" hidden="false" customHeight="false" outlineLevel="0" collapsed="false">
      <c r="N2745" s="0" t="str">
        <f aca="false">IF(H2745="","",IFERROR(LEFT(H2745,FIND(" ",H2745)-1),H2745))</f>
        <v/>
      </c>
      <c r="O2745" s="20" t="n">
        <f aca="false">IFERROR(DATE(VALUE(MID(N2745,FIND("/",N2745,FIND("/",N2745)+1)+1,4)),VALUE(MID(N2745,FIND("/",N2745)+1,FIND("/",N2745,FIND("/",N2745)+1)-FIND("/",N2745)-1)),VALUE(LEFT(N2745,FIND("/",N2745)-1))),0)</f>
        <v>0</v>
      </c>
    </row>
    <row r="2746" customFormat="false" ht="15" hidden="false" customHeight="false" outlineLevel="0" collapsed="false">
      <c r="N2746" s="0" t="str">
        <f aca="false">IF(H2746="","",IFERROR(LEFT(H2746,FIND(" ",H2746)-1),H2746))</f>
        <v/>
      </c>
      <c r="O2746" s="20" t="n">
        <f aca="false">IFERROR(DATE(VALUE(MID(N2746,FIND("/",N2746,FIND("/",N2746)+1)+1,4)),VALUE(MID(N2746,FIND("/",N2746)+1,FIND("/",N2746,FIND("/",N2746)+1)-FIND("/",N2746)-1)),VALUE(LEFT(N2746,FIND("/",N2746)-1))),0)</f>
        <v>0</v>
      </c>
    </row>
    <row r="2747" customFormat="false" ht="15" hidden="false" customHeight="false" outlineLevel="0" collapsed="false">
      <c r="N2747" s="0" t="str">
        <f aca="false">IF(H2747="","",IFERROR(LEFT(H2747,FIND(" ",H2747)-1),H2747))</f>
        <v/>
      </c>
      <c r="O2747" s="20" t="n">
        <f aca="false">IFERROR(DATE(VALUE(MID(N2747,FIND("/",N2747,FIND("/",N2747)+1)+1,4)),VALUE(MID(N2747,FIND("/",N2747)+1,FIND("/",N2747,FIND("/",N2747)+1)-FIND("/",N2747)-1)),VALUE(LEFT(N2747,FIND("/",N2747)-1))),0)</f>
        <v>0</v>
      </c>
    </row>
    <row r="2748" customFormat="false" ht="15" hidden="false" customHeight="false" outlineLevel="0" collapsed="false">
      <c r="N2748" s="0" t="str">
        <f aca="false">IF(H2748="","",IFERROR(LEFT(H2748,FIND(" ",H2748)-1),H2748))</f>
        <v/>
      </c>
      <c r="O2748" s="20" t="n">
        <f aca="false">IFERROR(DATE(VALUE(MID(N2748,FIND("/",N2748,FIND("/",N2748)+1)+1,4)),VALUE(MID(N2748,FIND("/",N2748)+1,FIND("/",N2748,FIND("/",N2748)+1)-FIND("/",N2748)-1)),VALUE(LEFT(N2748,FIND("/",N2748)-1))),0)</f>
        <v>0</v>
      </c>
    </row>
    <row r="2749" customFormat="false" ht="15" hidden="false" customHeight="false" outlineLevel="0" collapsed="false">
      <c r="N2749" s="0" t="str">
        <f aca="false">IF(H2749="","",IFERROR(LEFT(H2749,FIND(" ",H2749)-1),H2749))</f>
        <v/>
      </c>
      <c r="O2749" s="20" t="n">
        <f aca="false">IFERROR(DATE(VALUE(MID(N2749,FIND("/",N2749,FIND("/",N2749)+1)+1,4)),VALUE(MID(N2749,FIND("/",N2749)+1,FIND("/",N2749,FIND("/",N2749)+1)-FIND("/",N2749)-1)),VALUE(LEFT(N2749,FIND("/",N2749)-1))),0)</f>
        <v>0</v>
      </c>
    </row>
    <row r="2750" customFormat="false" ht="15" hidden="false" customHeight="false" outlineLevel="0" collapsed="false">
      <c r="N2750" s="0" t="str">
        <f aca="false">IF(H2750="","",IFERROR(LEFT(H2750,FIND(" ",H2750)-1),H2750))</f>
        <v/>
      </c>
      <c r="O2750" s="20" t="n">
        <f aca="false">IFERROR(DATE(VALUE(MID(N2750,FIND("/",N2750,FIND("/",N2750)+1)+1,4)),VALUE(MID(N2750,FIND("/",N2750)+1,FIND("/",N2750,FIND("/",N2750)+1)-FIND("/",N2750)-1)),VALUE(LEFT(N2750,FIND("/",N2750)-1))),0)</f>
        <v>0</v>
      </c>
    </row>
    <row r="2751" customFormat="false" ht="15" hidden="false" customHeight="false" outlineLevel="0" collapsed="false">
      <c r="N2751" s="0" t="str">
        <f aca="false">IF(H2751="","",IFERROR(LEFT(H2751,FIND(" ",H2751)-1),H2751))</f>
        <v/>
      </c>
      <c r="O2751" s="20" t="n">
        <f aca="false">IFERROR(DATE(VALUE(MID(N2751,FIND("/",N2751,FIND("/",N2751)+1)+1,4)),VALUE(MID(N2751,FIND("/",N2751)+1,FIND("/",N2751,FIND("/",N2751)+1)-FIND("/",N2751)-1)),VALUE(LEFT(N2751,FIND("/",N2751)-1))),0)</f>
        <v>0</v>
      </c>
    </row>
    <row r="2752" customFormat="false" ht="15" hidden="false" customHeight="false" outlineLevel="0" collapsed="false">
      <c r="N2752" s="0" t="str">
        <f aca="false">IF(H2752="","",IFERROR(LEFT(H2752,FIND(" ",H2752)-1),H2752))</f>
        <v/>
      </c>
      <c r="O2752" s="20" t="n">
        <f aca="false">IFERROR(DATE(VALUE(MID(N2752,FIND("/",N2752,FIND("/",N2752)+1)+1,4)),VALUE(MID(N2752,FIND("/",N2752)+1,FIND("/",N2752,FIND("/",N2752)+1)-FIND("/",N2752)-1)),VALUE(LEFT(N2752,FIND("/",N2752)-1))),0)</f>
        <v>0</v>
      </c>
    </row>
    <row r="2753" customFormat="false" ht="15" hidden="false" customHeight="false" outlineLevel="0" collapsed="false">
      <c r="N2753" s="0" t="str">
        <f aca="false">IF(H2753="","",IFERROR(LEFT(H2753,FIND(" ",H2753)-1),H2753))</f>
        <v/>
      </c>
      <c r="O2753" s="20" t="n">
        <f aca="false">IFERROR(DATE(VALUE(MID(N2753,FIND("/",N2753,FIND("/",N2753)+1)+1,4)),VALUE(MID(N2753,FIND("/",N2753)+1,FIND("/",N2753,FIND("/",N2753)+1)-FIND("/",N2753)-1)),VALUE(LEFT(N2753,FIND("/",N2753)-1))),0)</f>
        <v>0</v>
      </c>
    </row>
    <row r="2754" customFormat="false" ht="15" hidden="false" customHeight="false" outlineLevel="0" collapsed="false">
      <c r="N2754" s="0" t="str">
        <f aca="false">IF(H2754="","",IFERROR(LEFT(H2754,FIND(" ",H2754)-1),H2754))</f>
        <v/>
      </c>
      <c r="O2754" s="20" t="n">
        <f aca="false">IFERROR(DATE(VALUE(MID(N2754,FIND("/",N2754,FIND("/",N2754)+1)+1,4)),VALUE(MID(N2754,FIND("/",N2754)+1,FIND("/",N2754,FIND("/",N2754)+1)-FIND("/",N2754)-1)),VALUE(LEFT(N2754,FIND("/",N2754)-1))),0)</f>
        <v>0</v>
      </c>
    </row>
    <row r="2755" customFormat="false" ht="15" hidden="false" customHeight="false" outlineLevel="0" collapsed="false">
      <c r="N2755" s="0" t="str">
        <f aca="false">IF(H2755="","",IFERROR(LEFT(H2755,FIND(" ",H2755)-1),H2755))</f>
        <v/>
      </c>
      <c r="O2755" s="20" t="n">
        <f aca="false">IFERROR(DATE(VALUE(MID(N2755,FIND("/",N2755,FIND("/",N2755)+1)+1,4)),VALUE(MID(N2755,FIND("/",N2755)+1,FIND("/",N2755,FIND("/",N2755)+1)-FIND("/",N2755)-1)),VALUE(LEFT(N2755,FIND("/",N2755)-1))),0)</f>
        <v>0</v>
      </c>
    </row>
    <row r="2756" customFormat="false" ht="15" hidden="false" customHeight="false" outlineLevel="0" collapsed="false">
      <c r="N2756" s="0" t="str">
        <f aca="false">IF(H2756="","",IFERROR(LEFT(H2756,FIND(" ",H2756)-1),H2756))</f>
        <v/>
      </c>
      <c r="O2756" s="20" t="n">
        <f aca="false">IFERROR(DATE(VALUE(MID(N2756,FIND("/",N2756,FIND("/",N2756)+1)+1,4)),VALUE(MID(N2756,FIND("/",N2756)+1,FIND("/",N2756,FIND("/",N2756)+1)-FIND("/",N2756)-1)),VALUE(LEFT(N2756,FIND("/",N2756)-1))),0)</f>
        <v>0</v>
      </c>
    </row>
    <row r="2757" customFormat="false" ht="15" hidden="false" customHeight="false" outlineLevel="0" collapsed="false">
      <c r="N2757" s="0" t="str">
        <f aca="false">IF(H2757="","",IFERROR(LEFT(H2757,FIND(" ",H2757)-1),H2757))</f>
        <v/>
      </c>
      <c r="O2757" s="20" t="n">
        <f aca="false">IFERROR(DATE(VALUE(MID(N2757,FIND("/",N2757,FIND("/",N2757)+1)+1,4)),VALUE(MID(N2757,FIND("/",N2757)+1,FIND("/",N2757,FIND("/",N2757)+1)-FIND("/",N2757)-1)),VALUE(LEFT(N2757,FIND("/",N2757)-1))),0)</f>
        <v>0</v>
      </c>
    </row>
    <row r="2758" customFormat="false" ht="15" hidden="false" customHeight="false" outlineLevel="0" collapsed="false">
      <c r="N2758" s="0" t="str">
        <f aca="false">IF(H2758="","",IFERROR(LEFT(H2758,FIND(" ",H2758)-1),H2758))</f>
        <v/>
      </c>
      <c r="O2758" s="20" t="n">
        <f aca="false">IFERROR(DATE(VALUE(MID(N2758,FIND("/",N2758,FIND("/",N2758)+1)+1,4)),VALUE(MID(N2758,FIND("/",N2758)+1,FIND("/",N2758,FIND("/",N2758)+1)-FIND("/",N2758)-1)),VALUE(LEFT(N2758,FIND("/",N2758)-1))),0)</f>
        <v>0</v>
      </c>
    </row>
    <row r="2759" customFormat="false" ht="15" hidden="false" customHeight="false" outlineLevel="0" collapsed="false">
      <c r="N2759" s="0" t="str">
        <f aca="false">IF(H2759="","",IFERROR(LEFT(H2759,FIND(" ",H2759)-1),H2759))</f>
        <v/>
      </c>
      <c r="O2759" s="20" t="n">
        <f aca="false">IFERROR(DATE(VALUE(MID(N2759,FIND("/",N2759,FIND("/",N2759)+1)+1,4)),VALUE(MID(N2759,FIND("/",N2759)+1,FIND("/",N2759,FIND("/",N2759)+1)-FIND("/",N2759)-1)),VALUE(LEFT(N2759,FIND("/",N2759)-1))),0)</f>
        <v>0</v>
      </c>
    </row>
    <row r="2760" customFormat="false" ht="15" hidden="false" customHeight="false" outlineLevel="0" collapsed="false">
      <c r="N2760" s="0" t="str">
        <f aca="false">IF(H2760="","",IFERROR(LEFT(H2760,FIND(" ",H2760)-1),H2760))</f>
        <v/>
      </c>
      <c r="O2760" s="20" t="n">
        <f aca="false">IFERROR(DATE(VALUE(MID(N2760,FIND("/",N2760,FIND("/",N2760)+1)+1,4)),VALUE(MID(N2760,FIND("/",N2760)+1,FIND("/",N2760,FIND("/",N2760)+1)-FIND("/",N2760)-1)),VALUE(LEFT(N2760,FIND("/",N2760)-1))),0)</f>
        <v>0</v>
      </c>
    </row>
    <row r="2761" customFormat="false" ht="15" hidden="false" customHeight="false" outlineLevel="0" collapsed="false">
      <c r="N2761" s="0" t="str">
        <f aca="false">IF(H2761="","",IFERROR(LEFT(H2761,FIND(" ",H2761)-1),H2761))</f>
        <v/>
      </c>
      <c r="O2761" s="20" t="n">
        <f aca="false">IFERROR(DATE(VALUE(MID(N2761,FIND("/",N2761,FIND("/",N2761)+1)+1,4)),VALUE(MID(N2761,FIND("/",N2761)+1,FIND("/",N2761,FIND("/",N2761)+1)-FIND("/",N2761)-1)),VALUE(LEFT(N2761,FIND("/",N2761)-1))),0)</f>
        <v>0</v>
      </c>
    </row>
    <row r="2762" customFormat="false" ht="15" hidden="false" customHeight="false" outlineLevel="0" collapsed="false">
      <c r="N2762" s="0" t="str">
        <f aca="false">IF(H2762="","",IFERROR(LEFT(H2762,FIND(" ",H2762)-1),H2762))</f>
        <v/>
      </c>
      <c r="O2762" s="20" t="n">
        <f aca="false">IFERROR(DATE(VALUE(MID(N2762,FIND("/",N2762,FIND("/",N2762)+1)+1,4)),VALUE(MID(N2762,FIND("/",N2762)+1,FIND("/",N2762,FIND("/",N2762)+1)-FIND("/",N2762)-1)),VALUE(LEFT(N2762,FIND("/",N2762)-1))),0)</f>
        <v>0</v>
      </c>
    </row>
    <row r="2763" customFormat="false" ht="15" hidden="false" customHeight="false" outlineLevel="0" collapsed="false">
      <c r="N2763" s="0" t="str">
        <f aca="false">IF(H2763="","",IFERROR(LEFT(H2763,FIND(" ",H2763)-1),H2763))</f>
        <v/>
      </c>
      <c r="O2763" s="20" t="n">
        <f aca="false">IFERROR(DATE(VALUE(MID(N2763,FIND("/",N2763,FIND("/",N2763)+1)+1,4)),VALUE(MID(N2763,FIND("/",N2763)+1,FIND("/",N2763,FIND("/",N2763)+1)-FIND("/",N2763)-1)),VALUE(LEFT(N2763,FIND("/",N2763)-1))),0)</f>
        <v>0</v>
      </c>
    </row>
    <row r="2764" customFormat="false" ht="15" hidden="false" customHeight="false" outlineLevel="0" collapsed="false">
      <c r="N2764" s="0" t="str">
        <f aca="false">IF(H2764="","",IFERROR(LEFT(H2764,FIND(" ",H2764)-1),H2764))</f>
        <v/>
      </c>
      <c r="O2764" s="20" t="n">
        <f aca="false">IFERROR(DATE(VALUE(MID(N2764,FIND("/",N2764,FIND("/",N2764)+1)+1,4)),VALUE(MID(N2764,FIND("/",N2764)+1,FIND("/",N2764,FIND("/",N2764)+1)-FIND("/",N2764)-1)),VALUE(LEFT(N2764,FIND("/",N2764)-1))),0)</f>
        <v>0</v>
      </c>
    </row>
    <row r="2765" customFormat="false" ht="15" hidden="false" customHeight="false" outlineLevel="0" collapsed="false">
      <c r="N2765" s="0" t="str">
        <f aca="false">IF(H2765="","",IFERROR(LEFT(H2765,FIND(" ",H2765)-1),H2765))</f>
        <v/>
      </c>
      <c r="O2765" s="20" t="n">
        <f aca="false">IFERROR(DATE(VALUE(MID(N2765,FIND("/",N2765,FIND("/",N2765)+1)+1,4)),VALUE(MID(N2765,FIND("/",N2765)+1,FIND("/",N2765,FIND("/",N2765)+1)-FIND("/",N2765)-1)),VALUE(LEFT(N2765,FIND("/",N2765)-1))),0)</f>
        <v>0</v>
      </c>
    </row>
    <row r="2766" customFormat="false" ht="15" hidden="false" customHeight="false" outlineLevel="0" collapsed="false">
      <c r="N2766" s="0" t="str">
        <f aca="false">IF(H2766="","",IFERROR(LEFT(H2766,FIND(" ",H2766)-1),H2766))</f>
        <v/>
      </c>
      <c r="O2766" s="20" t="n">
        <f aca="false">IFERROR(DATE(VALUE(MID(N2766,FIND("/",N2766,FIND("/",N2766)+1)+1,4)),VALUE(MID(N2766,FIND("/",N2766)+1,FIND("/",N2766,FIND("/",N2766)+1)-FIND("/",N2766)-1)),VALUE(LEFT(N2766,FIND("/",N2766)-1))),0)</f>
        <v>0</v>
      </c>
    </row>
    <row r="2767" customFormat="false" ht="15" hidden="false" customHeight="false" outlineLevel="0" collapsed="false">
      <c r="N2767" s="0" t="str">
        <f aca="false">IF(H2767="","",IFERROR(LEFT(H2767,FIND(" ",H2767)-1),H2767))</f>
        <v/>
      </c>
      <c r="O2767" s="20" t="n">
        <f aca="false">IFERROR(DATE(VALUE(MID(N2767,FIND("/",N2767,FIND("/",N2767)+1)+1,4)),VALUE(MID(N2767,FIND("/",N2767)+1,FIND("/",N2767,FIND("/",N2767)+1)-FIND("/",N2767)-1)),VALUE(LEFT(N2767,FIND("/",N2767)-1))),0)</f>
        <v>0</v>
      </c>
    </row>
    <row r="2768" customFormat="false" ht="15" hidden="false" customHeight="false" outlineLevel="0" collapsed="false">
      <c r="N2768" s="0" t="str">
        <f aca="false">IF(H2768="","",IFERROR(LEFT(H2768,FIND(" ",H2768)-1),H2768))</f>
        <v/>
      </c>
      <c r="O2768" s="20" t="n">
        <f aca="false">IFERROR(DATE(VALUE(MID(N2768,FIND("/",N2768,FIND("/",N2768)+1)+1,4)),VALUE(MID(N2768,FIND("/",N2768)+1,FIND("/",N2768,FIND("/",N2768)+1)-FIND("/",N2768)-1)),VALUE(LEFT(N2768,FIND("/",N2768)-1))),0)</f>
        <v>0</v>
      </c>
    </row>
    <row r="2769" customFormat="false" ht="15" hidden="false" customHeight="false" outlineLevel="0" collapsed="false">
      <c r="N2769" s="0" t="str">
        <f aca="false">IF(H2769="","",IFERROR(LEFT(H2769,FIND(" ",H2769)-1),H2769))</f>
        <v/>
      </c>
      <c r="O2769" s="20" t="n">
        <f aca="false">IFERROR(DATE(VALUE(MID(N2769,FIND("/",N2769,FIND("/",N2769)+1)+1,4)),VALUE(MID(N2769,FIND("/",N2769)+1,FIND("/",N2769,FIND("/",N2769)+1)-FIND("/",N2769)-1)),VALUE(LEFT(N2769,FIND("/",N2769)-1))),0)</f>
        <v>0</v>
      </c>
    </row>
    <row r="2770" customFormat="false" ht="15" hidden="false" customHeight="false" outlineLevel="0" collapsed="false">
      <c r="N2770" s="0" t="str">
        <f aca="false">IF(H2770="","",IFERROR(LEFT(H2770,FIND(" ",H2770)-1),H2770))</f>
        <v/>
      </c>
      <c r="O2770" s="20" t="n">
        <f aca="false">IFERROR(DATE(VALUE(MID(N2770,FIND("/",N2770,FIND("/",N2770)+1)+1,4)),VALUE(MID(N2770,FIND("/",N2770)+1,FIND("/",N2770,FIND("/",N2770)+1)-FIND("/",N2770)-1)),VALUE(LEFT(N2770,FIND("/",N2770)-1))),0)</f>
        <v>0</v>
      </c>
    </row>
    <row r="2771" customFormat="false" ht="15" hidden="false" customHeight="false" outlineLevel="0" collapsed="false">
      <c r="N2771" s="0" t="str">
        <f aca="false">IF(H2771="","",IFERROR(LEFT(H2771,FIND(" ",H2771)-1),H2771))</f>
        <v/>
      </c>
      <c r="O2771" s="20" t="n">
        <f aca="false">IFERROR(DATE(VALUE(MID(N2771,FIND("/",N2771,FIND("/",N2771)+1)+1,4)),VALUE(MID(N2771,FIND("/",N2771)+1,FIND("/",N2771,FIND("/",N2771)+1)-FIND("/",N2771)-1)),VALUE(LEFT(N2771,FIND("/",N2771)-1))),0)</f>
        <v>0</v>
      </c>
    </row>
    <row r="2772" customFormat="false" ht="15" hidden="false" customHeight="false" outlineLevel="0" collapsed="false">
      <c r="N2772" s="0" t="str">
        <f aca="false">IF(H2772="","",IFERROR(LEFT(H2772,FIND(" ",H2772)-1),H2772))</f>
        <v/>
      </c>
      <c r="O2772" s="20" t="n">
        <f aca="false">IFERROR(DATE(VALUE(MID(N2772,FIND("/",N2772,FIND("/",N2772)+1)+1,4)),VALUE(MID(N2772,FIND("/",N2772)+1,FIND("/",N2772,FIND("/",N2772)+1)-FIND("/",N2772)-1)),VALUE(LEFT(N2772,FIND("/",N2772)-1))),0)</f>
        <v>0</v>
      </c>
    </row>
    <row r="2773" customFormat="false" ht="15" hidden="false" customHeight="false" outlineLevel="0" collapsed="false">
      <c r="N2773" s="0" t="str">
        <f aca="false">IF(H2773="","",IFERROR(LEFT(H2773,FIND(" ",H2773)-1),H2773))</f>
        <v/>
      </c>
      <c r="O2773" s="20" t="n">
        <f aca="false">IFERROR(DATE(VALUE(MID(N2773,FIND("/",N2773,FIND("/",N2773)+1)+1,4)),VALUE(MID(N2773,FIND("/",N2773)+1,FIND("/",N2773,FIND("/",N2773)+1)-FIND("/",N2773)-1)),VALUE(LEFT(N2773,FIND("/",N2773)-1))),0)</f>
        <v>0</v>
      </c>
    </row>
    <row r="2774" customFormat="false" ht="15" hidden="false" customHeight="false" outlineLevel="0" collapsed="false">
      <c r="N2774" s="0" t="str">
        <f aca="false">IF(H2774="","",IFERROR(LEFT(H2774,FIND(" ",H2774)-1),H2774))</f>
        <v/>
      </c>
      <c r="O2774" s="20" t="n">
        <f aca="false">IFERROR(DATE(VALUE(MID(N2774,FIND("/",N2774,FIND("/",N2774)+1)+1,4)),VALUE(MID(N2774,FIND("/",N2774)+1,FIND("/",N2774,FIND("/",N2774)+1)-FIND("/",N2774)-1)),VALUE(LEFT(N2774,FIND("/",N2774)-1))),0)</f>
        <v>0</v>
      </c>
    </row>
    <row r="2775" customFormat="false" ht="15" hidden="false" customHeight="false" outlineLevel="0" collapsed="false">
      <c r="N2775" s="0" t="str">
        <f aca="false">IF(H2775="","",IFERROR(LEFT(H2775,FIND(" ",H2775)-1),H2775))</f>
        <v/>
      </c>
      <c r="O2775" s="20" t="n">
        <f aca="false">IFERROR(DATE(VALUE(MID(N2775,FIND("/",N2775,FIND("/",N2775)+1)+1,4)),VALUE(MID(N2775,FIND("/",N2775)+1,FIND("/",N2775,FIND("/",N2775)+1)-FIND("/",N2775)-1)),VALUE(LEFT(N2775,FIND("/",N2775)-1))),0)</f>
        <v>0</v>
      </c>
    </row>
    <row r="2776" customFormat="false" ht="15" hidden="false" customHeight="false" outlineLevel="0" collapsed="false">
      <c r="N2776" s="0" t="str">
        <f aca="false">IF(H2776="","",IFERROR(LEFT(H2776,FIND(" ",H2776)-1),H2776))</f>
        <v/>
      </c>
      <c r="O2776" s="20" t="n">
        <f aca="false">IFERROR(DATE(VALUE(MID(N2776,FIND("/",N2776,FIND("/",N2776)+1)+1,4)),VALUE(MID(N2776,FIND("/",N2776)+1,FIND("/",N2776,FIND("/",N2776)+1)-FIND("/",N2776)-1)),VALUE(LEFT(N2776,FIND("/",N2776)-1))),0)</f>
        <v>0</v>
      </c>
    </row>
    <row r="2777" customFormat="false" ht="15" hidden="false" customHeight="false" outlineLevel="0" collapsed="false">
      <c r="N2777" s="0" t="str">
        <f aca="false">IF(H2777="","",IFERROR(LEFT(H2777,FIND(" ",H2777)-1),H2777))</f>
        <v/>
      </c>
      <c r="O2777" s="20" t="n">
        <f aca="false">IFERROR(DATE(VALUE(MID(N2777,FIND("/",N2777,FIND("/",N2777)+1)+1,4)),VALUE(MID(N2777,FIND("/",N2777)+1,FIND("/",N2777,FIND("/",N2777)+1)-FIND("/",N2777)-1)),VALUE(LEFT(N2777,FIND("/",N2777)-1))),0)</f>
        <v>0</v>
      </c>
    </row>
    <row r="2778" customFormat="false" ht="15" hidden="false" customHeight="false" outlineLevel="0" collapsed="false">
      <c r="N2778" s="0" t="str">
        <f aca="false">IF(H2778="","",IFERROR(LEFT(H2778,FIND(" ",H2778)-1),H2778))</f>
        <v/>
      </c>
      <c r="O2778" s="20" t="n">
        <f aca="false">IFERROR(DATE(VALUE(MID(N2778,FIND("/",N2778,FIND("/",N2778)+1)+1,4)),VALUE(MID(N2778,FIND("/",N2778)+1,FIND("/",N2778,FIND("/",N2778)+1)-FIND("/",N2778)-1)),VALUE(LEFT(N2778,FIND("/",N2778)-1))),0)</f>
        <v>0</v>
      </c>
    </row>
    <row r="2779" customFormat="false" ht="15" hidden="false" customHeight="false" outlineLevel="0" collapsed="false">
      <c r="N2779" s="0" t="str">
        <f aca="false">IF(H2779="","",IFERROR(LEFT(H2779,FIND(" ",H2779)-1),H2779))</f>
        <v/>
      </c>
      <c r="O2779" s="20" t="n">
        <f aca="false">IFERROR(DATE(VALUE(MID(N2779,FIND("/",N2779,FIND("/",N2779)+1)+1,4)),VALUE(MID(N2779,FIND("/",N2779)+1,FIND("/",N2779,FIND("/",N2779)+1)-FIND("/",N2779)-1)),VALUE(LEFT(N2779,FIND("/",N2779)-1))),0)</f>
        <v>0</v>
      </c>
    </row>
    <row r="2780" customFormat="false" ht="15" hidden="false" customHeight="false" outlineLevel="0" collapsed="false">
      <c r="N2780" s="0" t="str">
        <f aca="false">IF(H2780="","",IFERROR(LEFT(H2780,FIND(" ",H2780)-1),H2780))</f>
        <v/>
      </c>
      <c r="O2780" s="20" t="n">
        <f aca="false">IFERROR(DATE(VALUE(MID(N2780,FIND("/",N2780,FIND("/",N2780)+1)+1,4)),VALUE(MID(N2780,FIND("/",N2780)+1,FIND("/",N2780,FIND("/",N2780)+1)-FIND("/",N2780)-1)),VALUE(LEFT(N2780,FIND("/",N2780)-1))),0)</f>
        <v>0</v>
      </c>
    </row>
    <row r="2781" customFormat="false" ht="15" hidden="false" customHeight="false" outlineLevel="0" collapsed="false">
      <c r="N2781" s="0" t="str">
        <f aca="false">IF(H2781="","",IFERROR(LEFT(H2781,FIND(" ",H2781)-1),H2781))</f>
        <v/>
      </c>
      <c r="O2781" s="20" t="n">
        <f aca="false">IFERROR(DATE(VALUE(MID(N2781,FIND("/",N2781,FIND("/",N2781)+1)+1,4)),VALUE(MID(N2781,FIND("/",N2781)+1,FIND("/",N2781,FIND("/",N2781)+1)-FIND("/",N2781)-1)),VALUE(LEFT(N2781,FIND("/",N2781)-1))),0)</f>
        <v>0</v>
      </c>
    </row>
    <row r="2782" customFormat="false" ht="15" hidden="false" customHeight="false" outlineLevel="0" collapsed="false">
      <c r="N2782" s="0" t="str">
        <f aca="false">IF(H2782="","",IFERROR(LEFT(H2782,FIND(" ",H2782)-1),H2782))</f>
        <v/>
      </c>
      <c r="O2782" s="20" t="n">
        <f aca="false">IFERROR(DATE(VALUE(MID(N2782,FIND("/",N2782,FIND("/",N2782)+1)+1,4)),VALUE(MID(N2782,FIND("/",N2782)+1,FIND("/",N2782,FIND("/",N2782)+1)-FIND("/",N2782)-1)),VALUE(LEFT(N2782,FIND("/",N2782)-1))),0)</f>
        <v>0</v>
      </c>
    </row>
    <row r="2783" customFormat="false" ht="15" hidden="false" customHeight="false" outlineLevel="0" collapsed="false">
      <c r="N2783" s="0" t="str">
        <f aca="false">IF(H2783="","",IFERROR(LEFT(H2783,FIND(" ",H2783)-1),H2783))</f>
        <v/>
      </c>
      <c r="O2783" s="20" t="n">
        <f aca="false">IFERROR(DATE(VALUE(MID(N2783,FIND("/",N2783,FIND("/",N2783)+1)+1,4)),VALUE(MID(N2783,FIND("/",N2783)+1,FIND("/",N2783,FIND("/",N2783)+1)-FIND("/",N2783)-1)),VALUE(LEFT(N2783,FIND("/",N2783)-1))),0)</f>
        <v>0</v>
      </c>
    </row>
    <row r="2784" customFormat="false" ht="15" hidden="false" customHeight="false" outlineLevel="0" collapsed="false">
      <c r="N2784" s="0" t="str">
        <f aca="false">IF(H2784="","",IFERROR(LEFT(H2784,FIND(" ",H2784)-1),H2784))</f>
        <v/>
      </c>
      <c r="O2784" s="20" t="n">
        <f aca="false">IFERROR(DATE(VALUE(MID(N2784,FIND("/",N2784,FIND("/",N2784)+1)+1,4)),VALUE(MID(N2784,FIND("/",N2784)+1,FIND("/",N2784,FIND("/",N2784)+1)-FIND("/",N2784)-1)),VALUE(LEFT(N2784,FIND("/",N2784)-1))),0)</f>
        <v>0</v>
      </c>
    </row>
    <row r="2785" customFormat="false" ht="15" hidden="false" customHeight="false" outlineLevel="0" collapsed="false">
      <c r="N2785" s="0" t="str">
        <f aca="false">IF(H2785="","",IFERROR(LEFT(H2785,FIND(" ",H2785)-1),H2785))</f>
        <v/>
      </c>
      <c r="O2785" s="20" t="n">
        <f aca="false">IFERROR(DATE(VALUE(MID(N2785,FIND("/",N2785,FIND("/",N2785)+1)+1,4)),VALUE(MID(N2785,FIND("/",N2785)+1,FIND("/",N2785,FIND("/",N2785)+1)-FIND("/",N2785)-1)),VALUE(LEFT(N2785,FIND("/",N2785)-1))),0)</f>
        <v>0</v>
      </c>
    </row>
    <row r="2786" customFormat="false" ht="15" hidden="false" customHeight="false" outlineLevel="0" collapsed="false">
      <c r="N2786" s="0" t="str">
        <f aca="false">IF(H2786="","",IFERROR(LEFT(H2786,FIND(" ",H2786)-1),H2786))</f>
        <v/>
      </c>
      <c r="O2786" s="20" t="n">
        <f aca="false">IFERROR(DATE(VALUE(MID(N2786,FIND("/",N2786,FIND("/",N2786)+1)+1,4)),VALUE(MID(N2786,FIND("/",N2786)+1,FIND("/",N2786,FIND("/",N2786)+1)-FIND("/",N2786)-1)),VALUE(LEFT(N2786,FIND("/",N2786)-1))),0)</f>
        <v>0</v>
      </c>
    </row>
    <row r="2787" customFormat="false" ht="15" hidden="false" customHeight="false" outlineLevel="0" collapsed="false">
      <c r="N2787" s="0" t="str">
        <f aca="false">IF(H2787="","",IFERROR(LEFT(H2787,FIND(" ",H2787)-1),H2787))</f>
        <v/>
      </c>
      <c r="O2787" s="20" t="n">
        <f aca="false">IFERROR(DATE(VALUE(MID(N2787,FIND("/",N2787,FIND("/",N2787)+1)+1,4)),VALUE(MID(N2787,FIND("/",N2787)+1,FIND("/",N2787,FIND("/",N2787)+1)-FIND("/",N2787)-1)),VALUE(LEFT(N2787,FIND("/",N2787)-1))),0)</f>
        <v>0</v>
      </c>
    </row>
    <row r="2788" customFormat="false" ht="15" hidden="false" customHeight="false" outlineLevel="0" collapsed="false">
      <c r="N2788" s="0" t="str">
        <f aca="false">IF(H2788="","",IFERROR(LEFT(H2788,FIND(" ",H2788)-1),H2788))</f>
        <v/>
      </c>
      <c r="O2788" s="20" t="n">
        <f aca="false">IFERROR(DATE(VALUE(MID(N2788,FIND("/",N2788,FIND("/",N2788)+1)+1,4)),VALUE(MID(N2788,FIND("/",N2788)+1,FIND("/",N2788,FIND("/",N2788)+1)-FIND("/",N2788)-1)),VALUE(LEFT(N2788,FIND("/",N2788)-1))),0)</f>
        <v>0</v>
      </c>
    </row>
    <row r="2789" customFormat="false" ht="15" hidden="false" customHeight="false" outlineLevel="0" collapsed="false">
      <c r="N2789" s="0" t="str">
        <f aca="false">IF(H2789="","",IFERROR(LEFT(H2789,FIND(" ",H2789)-1),H2789))</f>
        <v/>
      </c>
      <c r="O2789" s="20" t="n">
        <f aca="false">IFERROR(DATE(VALUE(MID(N2789,FIND("/",N2789,FIND("/",N2789)+1)+1,4)),VALUE(MID(N2789,FIND("/",N2789)+1,FIND("/",N2789,FIND("/",N2789)+1)-FIND("/",N2789)-1)),VALUE(LEFT(N2789,FIND("/",N2789)-1))),0)</f>
        <v>0</v>
      </c>
    </row>
    <row r="2790" customFormat="false" ht="15" hidden="false" customHeight="false" outlineLevel="0" collapsed="false">
      <c r="N2790" s="0" t="str">
        <f aca="false">IF(H2790="","",IFERROR(LEFT(H2790,FIND(" ",H2790)-1),H2790))</f>
        <v/>
      </c>
      <c r="O2790" s="20" t="n">
        <f aca="false">IFERROR(DATE(VALUE(MID(N2790,FIND("/",N2790,FIND("/",N2790)+1)+1,4)),VALUE(MID(N2790,FIND("/",N2790)+1,FIND("/",N2790,FIND("/",N2790)+1)-FIND("/",N2790)-1)),VALUE(LEFT(N2790,FIND("/",N2790)-1))),0)</f>
        <v>0</v>
      </c>
    </row>
    <row r="2791" customFormat="false" ht="15" hidden="false" customHeight="false" outlineLevel="0" collapsed="false">
      <c r="N2791" s="0" t="str">
        <f aca="false">IF(H2791="","",IFERROR(LEFT(H2791,FIND(" ",H2791)-1),H2791))</f>
        <v/>
      </c>
      <c r="O2791" s="20" t="n">
        <f aca="false">IFERROR(DATE(VALUE(MID(N2791,FIND("/",N2791,FIND("/",N2791)+1)+1,4)),VALUE(MID(N2791,FIND("/",N2791)+1,FIND("/",N2791,FIND("/",N2791)+1)-FIND("/",N2791)-1)),VALUE(LEFT(N2791,FIND("/",N2791)-1))),0)</f>
        <v>0</v>
      </c>
    </row>
    <row r="2792" customFormat="false" ht="15" hidden="false" customHeight="false" outlineLevel="0" collapsed="false">
      <c r="N2792" s="0" t="str">
        <f aca="false">IF(H2792="","",IFERROR(LEFT(H2792,FIND(" ",H2792)-1),H2792))</f>
        <v/>
      </c>
      <c r="O2792" s="20" t="n">
        <f aca="false">IFERROR(DATE(VALUE(MID(N2792,FIND("/",N2792,FIND("/",N2792)+1)+1,4)),VALUE(MID(N2792,FIND("/",N2792)+1,FIND("/",N2792,FIND("/",N2792)+1)-FIND("/",N2792)-1)),VALUE(LEFT(N2792,FIND("/",N2792)-1))),0)</f>
        <v>0</v>
      </c>
    </row>
    <row r="2793" customFormat="false" ht="15" hidden="false" customHeight="false" outlineLevel="0" collapsed="false">
      <c r="N2793" s="0" t="str">
        <f aca="false">IF(H2793="","",IFERROR(LEFT(H2793,FIND(" ",H2793)-1),H2793))</f>
        <v/>
      </c>
      <c r="O2793" s="20" t="n">
        <f aca="false">IFERROR(DATE(VALUE(MID(N2793,FIND("/",N2793,FIND("/",N2793)+1)+1,4)),VALUE(MID(N2793,FIND("/",N2793)+1,FIND("/",N2793,FIND("/",N2793)+1)-FIND("/",N2793)-1)),VALUE(LEFT(N2793,FIND("/",N2793)-1))),0)</f>
        <v>0</v>
      </c>
    </row>
    <row r="2794" customFormat="false" ht="15" hidden="false" customHeight="false" outlineLevel="0" collapsed="false">
      <c r="N2794" s="0" t="str">
        <f aca="false">IF(H2794="","",IFERROR(LEFT(H2794,FIND(" ",H2794)-1),H2794))</f>
        <v/>
      </c>
      <c r="O2794" s="20" t="n">
        <f aca="false">IFERROR(DATE(VALUE(MID(N2794,FIND("/",N2794,FIND("/",N2794)+1)+1,4)),VALUE(MID(N2794,FIND("/",N2794)+1,FIND("/",N2794,FIND("/",N2794)+1)-FIND("/",N2794)-1)),VALUE(LEFT(N2794,FIND("/",N2794)-1))),0)</f>
        <v>0</v>
      </c>
    </row>
    <row r="2795" customFormat="false" ht="15" hidden="false" customHeight="false" outlineLevel="0" collapsed="false">
      <c r="N2795" s="0" t="str">
        <f aca="false">IF(H2795="","",IFERROR(LEFT(H2795,FIND(" ",H2795)-1),H2795))</f>
        <v/>
      </c>
      <c r="O2795" s="20" t="n">
        <f aca="false">IFERROR(DATE(VALUE(MID(N2795,FIND("/",N2795,FIND("/",N2795)+1)+1,4)),VALUE(MID(N2795,FIND("/",N2795)+1,FIND("/",N2795,FIND("/",N2795)+1)-FIND("/",N2795)-1)),VALUE(LEFT(N2795,FIND("/",N2795)-1))),0)</f>
        <v>0</v>
      </c>
    </row>
    <row r="2796" customFormat="false" ht="15" hidden="false" customHeight="false" outlineLevel="0" collapsed="false">
      <c r="N2796" s="0" t="str">
        <f aca="false">IF(H2796="","",IFERROR(LEFT(H2796,FIND(" ",H2796)-1),H2796))</f>
        <v/>
      </c>
      <c r="O2796" s="20" t="n">
        <f aca="false">IFERROR(DATE(VALUE(MID(N2796,FIND("/",N2796,FIND("/",N2796)+1)+1,4)),VALUE(MID(N2796,FIND("/",N2796)+1,FIND("/",N2796,FIND("/",N2796)+1)-FIND("/",N2796)-1)),VALUE(LEFT(N2796,FIND("/",N2796)-1))),0)</f>
        <v>0</v>
      </c>
    </row>
    <row r="2797" customFormat="false" ht="15" hidden="false" customHeight="false" outlineLevel="0" collapsed="false">
      <c r="N2797" s="0" t="str">
        <f aca="false">IF(H2797="","",IFERROR(LEFT(H2797,FIND(" ",H2797)-1),H2797))</f>
        <v/>
      </c>
      <c r="O2797" s="20" t="n">
        <f aca="false">IFERROR(DATE(VALUE(MID(N2797,FIND("/",N2797,FIND("/",N2797)+1)+1,4)),VALUE(MID(N2797,FIND("/",N2797)+1,FIND("/",N2797,FIND("/",N2797)+1)-FIND("/",N2797)-1)),VALUE(LEFT(N2797,FIND("/",N2797)-1))),0)</f>
        <v>0</v>
      </c>
    </row>
    <row r="2798" customFormat="false" ht="15" hidden="false" customHeight="false" outlineLevel="0" collapsed="false">
      <c r="N2798" s="0" t="str">
        <f aca="false">IF(H2798="","",IFERROR(LEFT(H2798,FIND(" ",H2798)-1),H2798))</f>
        <v/>
      </c>
      <c r="O2798" s="20" t="n">
        <f aca="false">IFERROR(DATE(VALUE(MID(N2798,FIND("/",N2798,FIND("/",N2798)+1)+1,4)),VALUE(MID(N2798,FIND("/",N2798)+1,FIND("/",N2798,FIND("/",N2798)+1)-FIND("/",N2798)-1)),VALUE(LEFT(N2798,FIND("/",N2798)-1))),0)</f>
        <v>0</v>
      </c>
    </row>
    <row r="2799" customFormat="false" ht="15" hidden="false" customHeight="false" outlineLevel="0" collapsed="false">
      <c r="N2799" s="0" t="str">
        <f aca="false">IF(H2799="","",IFERROR(LEFT(H2799,FIND(" ",H2799)-1),H2799))</f>
        <v/>
      </c>
      <c r="O2799" s="20" t="n">
        <f aca="false">IFERROR(DATE(VALUE(MID(N2799,FIND("/",N2799,FIND("/",N2799)+1)+1,4)),VALUE(MID(N2799,FIND("/",N2799)+1,FIND("/",N2799,FIND("/",N2799)+1)-FIND("/",N2799)-1)),VALUE(LEFT(N2799,FIND("/",N2799)-1))),0)</f>
        <v>0</v>
      </c>
    </row>
    <row r="2800" customFormat="false" ht="15" hidden="false" customHeight="false" outlineLevel="0" collapsed="false">
      <c r="N2800" s="0" t="str">
        <f aca="false">IF(H2800="","",IFERROR(LEFT(H2800,FIND(" ",H2800)-1),H2800))</f>
        <v/>
      </c>
      <c r="O2800" s="20" t="n">
        <f aca="false">IFERROR(DATE(VALUE(MID(N2800,FIND("/",N2800,FIND("/",N2800)+1)+1,4)),VALUE(MID(N2800,FIND("/",N2800)+1,FIND("/",N2800,FIND("/",N2800)+1)-FIND("/",N2800)-1)),VALUE(LEFT(N2800,FIND("/",N2800)-1))),0)</f>
        <v>0</v>
      </c>
    </row>
    <row r="2801" customFormat="false" ht="15" hidden="false" customHeight="false" outlineLevel="0" collapsed="false">
      <c r="N2801" s="0" t="str">
        <f aca="false">IF(H2801="","",IFERROR(LEFT(H2801,FIND(" ",H2801)-1),H2801))</f>
        <v/>
      </c>
      <c r="O2801" s="20" t="n">
        <f aca="false">IFERROR(DATE(VALUE(MID(N2801,FIND("/",N2801,FIND("/",N2801)+1)+1,4)),VALUE(MID(N2801,FIND("/",N2801)+1,FIND("/",N2801,FIND("/",N2801)+1)-FIND("/",N2801)-1)),VALUE(LEFT(N2801,FIND("/",N2801)-1))),0)</f>
        <v>0</v>
      </c>
    </row>
    <row r="2802" customFormat="false" ht="15" hidden="false" customHeight="false" outlineLevel="0" collapsed="false">
      <c r="N2802" s="0" t="str">
        <f aca="false">IF(H2802="","",IFERROR(LEFT(H2802,FIND(" ",H2802)-1),H2802))</f>
        <v/>
      </c>
      <c r="O2802" s="20" t="n">
        <f aca="false">IFERROR(DATE(VALUE(MID(N2802,FIND("/",N2802,FIND("/",N2802)+1)+1,4)),VALUE(MID(N2802,FIND("/",N2802)+1,FIND("/",N2802,FIND("/",N2802)+1)-FIND("/",N2802)-1)),VALUE(LEFT(N2802,FIND("/",N2802)-1))),0)</f>
        <v>0</v>
      </c>
    </row>
    <row r="2803" customFormat="false" ht="15" hidden="false" customHeight="false" outlineLevel="0" collapsed="false">
      <c r="N2803" s="0" t="str">
        <f aca="false">IF(H2803="","",IFERROR(LEFT(H2803,FIND(" ",H2803)-1),H2803))</f>
        <v/>
      </c>
      <c r="O2803" s="20" t="n">
        <f aca="false">IFERROR(DATE(VALUE(MID(N2803,FIND("/",N2803,FIND("/",N2803)+1)+1,4)),VALUE(MID(N2803,FIND("/",N2803)+1,FIND("/",N2803,FIND("/",N2803)+1)-FIND("/",N2803)-1)),VALUE(LEFT(N2803,FIND("/",N2803)-1))),0)</f>
        <v>0</v>
      </c>
    </row>
    <row r="2804" customFormat="false" ht="15" hidden="false" customHeight="false" outlineLevel="0" collapsed="false">
      <c r="N2804" s="0" t="str">
        <f aca="false">IF(H2804="","",IFERROR(LEFT(H2804,FIND(" ",H2804)-1),H2804))</f>
        <v/>
      </c>
      <c r="O2804" s="20" t="n">
        <f aca="false">IFERROR(DATE(VALUE(MID(N2804,FIND("/",N2804,FIND("/",N2804)+1)+1,4)),VALUE(MID(N2804,FIND("/",N2804)+1,FIND("/",N2804,FIND("/",N2804)+1)-FIND("/",N2804)-1)),VALUE(LEFT(N2804,FIND("/",N2804)-1))),0)</f>
        <v>0</v>
      </c>
    </row>
    <row r="2805" customFormat="false" ht="15" hidden="false" customHeight="false" outlineLevel="0" collapsed="false">
      <c r="N2805" s="0" t="str">
        <f aca="false">IF(H2805="","",IFERROR(LEFT(H2805,FIND(" ",H2805)-1),H2805))</f>
        <v/>
      </c>
      <c r="O2805" s="20" t="n">
        <f aca="false">IFERROR(DATE(VALUE(MID(N2805,FIND("/",N2805,FIND("/",N2805)+1)+1,4)),VALUE(MID(N2805,FIND("/",N2805)+1,FIND("/",N2805,FIND("/",N2805)+1)-FIND("/",N2805)-1)),VALUE(LEFT(N2805,FIND("/",N2805)-1))),0)</f>
        <v>0</v>
      </c>
    </row>
    <row r="2806" customFormat="false" ht="15" hidden="false" customHeight="false" outlineLevel="0" collapsed="false">
      <c r="N2806" s="0" t="str">
        <f aca="false">IF(H2806="","",IFERROR(LEFT(H2806,FIND(" ",H2806)-1),H2806))</f>
        <v/>
      </c>
      <c r="O2806" s="20" t="n">
        <f aca="false">IFERROR(DATE(VALUE(MID(N2806,FIND("/",N2806,FIND("/",N2806)+1)+1,4)),VALUE(MID(N2806,FIND("/",N2806)+1,FIND("/",N2806,FIND("/",N2806)+1)-FIND("/",N2806)-1)),VALUE(LEFT(N2806,FIND("/",N2806)-1))),0)</f>
        <v>0</v>
      </c>
    </row>
    <row r="2807" customFormat="false" ht="15" hidden="false" customHeight="false" outlineLevel="0" collapsed="false">
      <c r="N2807" s="0" t="str">
        <f aca="false">IF(H2807="","",IFERROR(LEFT(H2807,FIND(" ",H2807)-1),H2807))</f>
        <v/>
      </c>
      <c r="O2807" s="20" t="n">
        <f aca="false">IFERROR(DATE(VALUE(MID(N2807,FIND("/",N2807,FIND("/",N2807)+1)+1,4)),VALUE(MID(N2807,FIND("/",N2807)+1,FIND("/",N2807,FIND("/",N2807)+1)-FIND("/",N2807)-1)),VALUE(LEFT(N2807,FIND("/",N2807)-1))),0)</f>
        <v>0</v>
      </c>
    </row>
    <row r="2808" customFormat="false" ht="15" hidden="false" customHeight="false" outlineLevel="0" collapsed="false">
      <c r="N2808" s="0" t="str">
        <f aca="false">IF(H2808="","",IFERROR(LEFT(H2808,FIND(" ",H2808)-1),H2808))</f>
        <v/>
      </c>
      <c r="O2808" s="20" t="n">
        <f aca="false">IFERROR(DATE(VALUE(MID(N2808,FIND("/",N2808,FIND("/",N2808)+1)+1,4)),VALUE(MID(N2808,FIND("/",N2808)+1,FIND("/",N2808,FIND("/",N2808)+1)-FIND("/",N2808)-1)),VALUE(LEFT(N2808,FIND("/",N2808)-1))),0)</f>
        <v>0</v>
      </c>
    </row>
    <row r="2809" customFormat="false" ht="15" hidden="false" customHeight="false" outlineLevel="0" collapsed="false">
      <c r="N2809" s="0" t="str">
        <f aca="false">IF(H2809="","",IFERROR(LEFT(H2809,FIND(" ",H2809)-1),H2809))</f>
        <v/>
      </c>
      <c r="O2809" s="20" t="n">
        <f aca="false">IFERROR(DATE(VALUE(MID(N2809,FIND("/",N2809,FIND("/",N2809)+1)+1,4)),VALUE(MID(N2809,FIND("/",N2809)+1,FIND("/",N2809,FIND("/",N2809)+1)-FIND("/",N2809)-1)),VALUE(LEFT(N2809,FIND("/",N2809)-1))),0)</f>
        <v>0</v>
      </c>
    </row>
    <row r="2810" customFormat="false" ht="15" hidden="false" customHeight="false" outlineLevel="0" collapsed="false">
      <c r="N2810" s="0" t="str">
        <f aca="false">IF(H2810="","",IFERROR(LEFT(H2810,FIND(" ",H2810)-1),H2810))</f>
        <v/>
      </c>
      <c r="O2810" s="20" t="n">
        <f aca="false">IFERROR(DATE(VALUE(MID(N2810,FIND("/",N2810,FIND("/",N2810)+1)+1,4)),VALUE(MID(N2810,FIND("/",N2810)+1,FIND("/",N2810,FIND("/",N2810)+1)-FIND("/",N2810)-1)),VALUE(LEFT(N2810,FIND("/",N2810)-1))),0)</f>
        <v>0</v>
      </c>
    </row>
    <row r="2811" customFormat="false" ht="15" hidden="false" customHeight="false" outlineLevel="0" collapsed="false">
      <c r="N2811" s="0" t="str">
        <f aca="false">IF(H2811="","",IFERROR(LEFT(H2811,FIND(" ",H2811)-1),H2811))</f>
        <v/>
      </c>
      <c r="O2811" s="20" t="n">
        <f aca="false">IFERROR(DATE(VALUE(MID(N2811,FIND("/",N2811,FIND("/",N2811)+1)+1,4)),VALUE(MID(N2811,FIND("/",N2811)+1,FIND("/",N2811,FIND("/",N2811)+1)-FIND("/",N2811)-1)),VALUE(LEFT(N2811,FIND("/",N2811)-1))),0)</f>
        <v>0</v>
      </c>
    </row>
    <row r="2812" customFormat="false" ht="15" hidden="false" customHeight="false" outlineLevel="0" collapsed="false">
      <c r="N2812" s="0" t="str">
        <f aca="false">IF(H2812="","",IFERROR(LEFT(H2812,FIND(" ",H2812)-1),H2812))</f>
        <v/>
      </c>
      <c r="O2812" s="20" t="n">
        <f aca="false">IFERROR(DATE(VALUE(MID(N2812,FIND("/",N2812,FIND("/",N2812)+1)+1,4)),VALUE(MID(N2812,FIND("/",N2812)+1,FIND("/",N2812,FIND("/",N2812)+1)-FIND("/",N2812)-1)),VALUE(LEFT(N2812,FIND("/",N2812)-1))),0)</f>
        <v>0</v>
      </c>
    </row>
    <row r="2813" customFormat="false" ht="15" hidden="false" customHeight="false" outlineLevel="0" collapsed="false">
      <c r="N2813" s="0" t="str">
        <f aca="false">IF(H2813="","",IFERROR(LEFT(H2813,FIND(" ",H2813)-1),H2813))</f>
        <v/>
      </c>
      <c r="O2813" s="20" t="n">
        <f aca="false">IFERROR(DATE(VALUE(MID(N2813,FIND("/",N2813,FIND("/",N2813)+1)+1,4)),VALUE(MID(N2813,FIND("/",N2813)+1,FIND("/",N2813,FIND("/",N2813)+1)-FIND("/",N2813)-1)),VALUE(LEFT(N2813,FIND("/",N2813)-1))),0)</f>
        <v>0</v>
      </c>
    </row>
    <row r="2814" customFormat="false" ht="15" hidden="false" customHeight="false" outlineLevel="0" collapsed="false">
      <c r="N2814" s="0" t="str">
        <f aca="false">IF(H2814="","",IFERROR(LEFT(H2814,FIND(" ",H2814)-1),H2814))</f>
        <v/>
      </c>
      <c r="O2814" s="20" t="n">
        <f aca="false">IFERROR(DATE(VALUE(MID(N2814,FIND("/",N2814,FIND("/",N2814)+1)+1,4)),VALUE(MID(N2814,FIND("/",N2814)+1,FIND("/",N2814,FIND("/",N2814)+1)-FIND("/",N2814)-1)),VALUE(LEFT(N2814,FIND("/",N2814)-1))),0)</f>
        <v>0</v>
      </c>
    </row>
    <row r="2815" customFormat="false" ht="15" hidden="false" customHeight="false" outlineLevel="0" collapsed="false">
      <c r="N2815" s="0" t="str">
        <f aca="false">IF(H2815="","",IFERROR(LEFT(H2815,FIND(" ",H2815)-1),H2815))</f>
        <v/>
      </c>
      <c r="O2815" s="20" t="n">
        <f aca="false">IFERROR(DATE(VALUE(MID(N2815,FIND("/",N2815,FIND("/",N2815)+1)+1,4)),VALUE(MID(N2815,FIND("/",N2815)+1,FIND("/",N2815,FIND("/",N2815)+1)-FIND("/",N2815)-1)),VALUE(LEFT(N2815,FIND("/",N2815)-1))),0)</f>
        <v>0</v>
      </c>
    </row>
    <row r="2816" customFormat="false" ht="15" hidden="false" customHeight="false" outlineLevel="0" collapsed="false">
      <c r="N2816" s="0" t="str">
        <f aca="false">IF(H2816="","",IFERROR(LEFT(H2816,FIND(" ",H2816)-1),H2816))</f>
        <v/>
      </c>
      <c r="O2816" s="20" t="n">
        <f aca="false">IFERROR(DATE(VALUE(MID(N2816,FIND("/",N2816,FIND("/",N2816)+1)+1,4)),VALUE(MID(N2816,FIND("/",N2816)+1,FIND("/",N2816,FIND("/",N2816)+1)-FIND("/",N2816)-1)),VALUE(LEFT(N2816,FIND("/",N2816)-1))),0)</f>
        <v>0</v>
      </c>
    </row>
    <row r="2817" customFormat="false" ht="15" hidden="false" customHeight="false" outlineLevel="0" collapsed="false">
      <c r="N2817" s="0" t="str">
        <f aca="false">IF(H2817="","",IFERROR(LEFT(H2817,FIND(" ",H2817)-1),H2817))</f>
        <v/>
      </c>
      <c r="O2817" s="20" t="n">
        <f aca="false">IFERROR(DATE(VALUE(MID(N2817,FIND("/",N2817,FIND("/",N2817)+1)+1,4)),VALUE(MID(N2817,FIND("/",N2817)+1,FIND("/",N2817,FIND("/",N2817)+1)-FIND("/",N2817)-1)),VALUE(LEFT(N2817,FIND("/",N2817)-1))),0)</f>
        <v>0</v>
      </c>
    </row>
    <row r="2818" customFormat="false" ht="15" hidden="false" customHeight="false" outlineLevel="0" collapsed="false">
      <c r="N2818" s="0" t="str">
        <f aca="false">IF(H2818="","",IFERROR(LEFT(H2818,FIND(" ",H2818)-1),H2818))</f>
        <v/>
      </c>
      <c r="O2818" s="20" t="n">
        <f aca="false">IFERROR(DATE(VALUE(MID(N2818,FIND("/",N2818,FIND("/",N2818)+1)+1,4)),VALUE(MID(N2818,FIND("/",N2818)+1,FIND("/",N2818,FIND("/",N2818)+1)-FIND("/",N2818)-1)),VALUE(LEFT(N2818,FIND("/",N2818)-1))),0)</f>
        <v>0</v>
      </c>
    </row>
    <row r="2819" customFormat="false" ht="15" hidden="false" customHeight="false" outlineLevel="0" collapsed="false">
      <c r="N2819" s="0" t="str">
        <f aca="false">IF(H2819="","",IFERROR(LEFT(H2819,FIND(" ",H2819)-1),H2819))</f>
        <v/>
      </c>
      <c r="O2819" s="20" t="n">
        <f aca="false">IFERROR(DATE(VALUE(MID(N2819,FIND("/",N2819,FIND("/",N2819)+1)+1,4)),VALUE(MID(N2819,FIND("/",N2819)+1,FIND("/",N2819,FIND("/",N2819)+1)-FIND("/",N2819)-1)),VALUE(LEFT(N2819,FIND("/",N2819)-1))),0)</f>
        <v>0</v>
      </c>
    </row>
    <row r="2820" customFormat="false" ht="15" hidden="false" customHeight="false" outlineLevel="0" collapsed="false">
      <c r="N2820" s="0" t="str">
        <f aca="false">IF(H2820="","",IFERROR(LEFT(H2820,FIND(" ",H2820)-1),H2820))</f>
        <v/>
      </c>
      <c r="O2820" s="20" t="n">
        <f aca="false">IFERROR(DATE(VALUE(MID(N2820,FIND("/",N2820,FIND("/",N2820)+1)+1,4)),VALUE(MID(N2820,FIND("/",N2820)+1,FIND("/",N2820,FIND("/",N2820)+1)-FIND("/",N2820)-1)),VALUE(LEFT(N2820,FIND("/",N2820)-1))),0)</f>
        <v>0</v>
      </c>
    </row>
    <row r="2821" customFormat="false" ht="15" hidden="false" customHeight="false" outlineLevel="0" collapsed="false">
      <c r="N2821" s="0" t="str">
        <f aca="false">IF(H2821="","",IFERROR(LEFT(H2821,FIND(" ",H2821)-1),H2821))</f>
        <v/>
      </c>
      <c r="O2821" s="20" t="n">
        <f aca="false">IFERROR(DATE(VALUE(MID(N2821,FIND("/",N2821,FIND("/",N2821)+1)+1,4)),VALUE(MID(N2821,FIND("/",N2821)+1,FIND("/",N2821,FIND("/",N2821)+1)-FIND("/",N2821)-1)),VALUE(LEFT(N2821,FIND("/",N2821)-1))),0)</f>
        <v>0</v>
      </c>
    </row>
    <row r="2822" customFormat="false" ht="15" hidden="false" customHeight="false" outlineLevel="0" collapsed="false">
      <c r="N2822" s="0" t="str">
        <f aca="false">IF(H2822="","",IFERROR(LEFT(H2822,FIND(" ",H2822)-1),H2822))</f>
        <v/>
      </c>
      <c r="O2822" s="20" t="n">
        <f aca="false">IFERROR(DATE(VALUE(MID(N2822,FIND("/",N2822,FIND("/",N2822)+1)+1,4)),VALUE(MID(N2822,FIND("/",N2822)+1,FIND("/",N2822,FIND("/",N2822)+1)-FIND("/",N2822)-1)),VALUE(LEFT(N2822,FIND("/",N2822)-1))),0)</f>
        <v>0</v>
      </c>
    </row>
    <row r="2823" customFormat="false" ht="15" hidden="false" customHeight="false" outlineLevel="0" collapsed="false">
      <c r="N2823" s="0" t="str">
        <f aca="false">IF(H2823="","",IFERROR(LEFT(H2823,FIND(" ",H2823)-1),H2823))</f>
        <v/>
      </c>
      <c r="O2823" s="20" t="n">
        <f aca="false">IFERROR(DATE(VALUE(MID(N2823,FIND("/",N2823,FIND("/",N2823)+1)+1,4)),VALUE(MID(N2823,FIND("/",N2823)+1,FIND("/",N2823,FIND("/",N2823)+1)-FIND("/",N2823)-1)),VALUE(LEFT(N2823,FIND("/",N2823)-1))),0)</f>
        <v>0</v>
      </c>
    </row>
    <row r="2824" customFormat="false" ht="15" hidden="false" customHeight="false" outlineLevel="0" collapsed="false">
      <c r="N2824" s="0" t="str">
        <f aca="false">IF(H2824="","",IFERROR(LEFT(H2824,FIND(" ",H2824)-1),H2824))</f>
        <v/>
      </c>
      <c r="O2824" s="20" t="n">
        <f aca="false">IFERROR(DATE(VALUE(MID(N2824,FIND("/",N2824,FIND("/",N2824)+1)+1,4)),VALUE(MID(N2824,FIND("/",N2824)+1,FIND("/",N2824,FIND("/",N2824)+1)-FIND("/",N2824)-1)),VALUE(LEFT(N2824,FIND("/",N2824)-1))),0)</f>
        <v>0</v>
      </c>
    </row>
    <row r="2825" customFormat="false" ht="15" hidden="false" customHeight="false" outlineLevel="0" collapsed="false">
      <c r="N2825" s="0" t="str">
        <f aca="false">IF(H2825="","",IFERROR(LEFT(H2825,FIND(" ",H2825)-1),H2825))</f>
        <v/>
      </c>
      <c r="O2825" s="20" t="n">
        <f aca="false">IFERROR(DATE(VALUE(MID(N2825,FIND("/",N2825,FIND("/",N2825)+1)+1,4)),VALUE(MID(N2825,FIND("/",N2825)+1,FIND("/",N2825,FIND("/",N2825)+1)-FIND("/",N2825)-1)),VALUE(LEFT(N2825,FIND("/",N2825)-1))),0)</f>
        <v>0</v>
      </c>
    </row>
    <row r="2826" customFormat="false" ht="15" hidden="false" customHeight="false" outlineLevel="0" collapsed="false">
      <c r="N2826" s="0" t="str">
        <f aca="false">IF(H2826="","",IFERROR(LEFT(H2826,FIND(" ",H2826)-1),H2826))</f>
        <v/>
      </c>
      <c r="O2826" s="20" t="n">
        <f aca="false">IFERROR(DATE(VALUE(MID(N2826,FIND("/",N2826,FIND("/",N2826)+1)+1,4)),VALUE(MID(N2826,FIND("/",N2826)+1,FIND("/",N2826,FIND("/",N2826)+1)-FIND("/",N2826)-1)),VALUE(LEFT(N2826,FIND("/",N2826)-1))),0)</f>
        <v>0</v>
      </c>
    </row>
    <row r="2827" customFormat="false" ht="15" hidden="false" customHeight="false" outlineLevel="0" collapsed="false">
      <c r="N2827" s="0" t="str">
        <f aca="false">IF(H2827="","",IFERROR(LEFT(H2827,FIND(" ",H2827)-1),H2827))</f>
        <v/>
      </c>
      <c r="O2827" s="20" t="n">
        <f aca="false">IFERROR(DATE(VALUE(MID(N2827,FIND("/",N2827,FIND("/",N2827)+1)+1,4)),VALUE(MID(N2827,FIND("/",N2827)+1,FIND("/",N2827,FIND("/",N2827)+1)-FIND("/",N2827)-1)),VALUE(LEFT(N2827,FIND("/",N2827)-1))),0)</f>
        <v>0</v>
      </c>
    </row>
    <row r="2828" customFormat="false" ht="15" hidden="false" customHeight="false" outlineLevel="0" collapsed="false">
      <c r="N2828" s="0" t="str">
        <f aca="false">IF(H2828="","",IFERROR(LEFT(H2828,FIND(" ",H2828)-1),H2828))</f>
        <v/>
      </c>
      <c r="O2828" s="20" t="n">
        <f aca="false">IFERROR(DATE(VALUE(MID(N2828,FIND("/",N2828,FIND("/",N2828)+1)+1,4)),VALUE(MID(N2828,FIND("/",N2828)+1,FIND("/",N2828,FIND("/",N2828)+1)-FIND("/",N2828)-1)),VALUE(LEFT(N2828,FIND("/",N2828)-1))),0)</f>
        <v>0</v>
      </c>
    </row>
    <row r="2829" customFormat="false" ht="15" hidden="false" customHeight="false" outlineLevel="0" collapsed="false">
      <c r="N2829" s="0" t="str">
        <f aca="false">IF(H2829="","",IFERROR(LEFT(H2829,FIND(" ",H2829)-1),H2829))</f>
        <v/>
      </c>
      <c r="O2829" s="20" t="n">
        <f aca="false">IFERROR(DATE(VALUE(MID(N2829,FIND("/",N2829,FIND("/",N2829)+1)+1,4)),VALUE(MID(N2829,FIND("/",N2829)+1,FIND("/",N2829,FIND("/",N2829)+1)-FIND("/",N2829)-1)),VALUE(LEFT(N2829,FIND("/",N2829)-1))),0)</f>
        <v>0</v>
      </c>
    </row>
    <row r="2830" customFormat="false" ht="15" hidden="false" customHeight="false" outlineLevel="0" collapsed="false">
      <c r="N2830" s="0" t="str">
        <f aca="false">IF(H2830="","",IFERROR(LEFT(H2830,FIND(" ",H2830)-1),H2830))</f>
        <v/>
      </c>
      <c r="O2830" s="20" t="n">
        <f aca="false">IFERROR(DATE(VALUE(MID(N2830,FIND("/",N2830,FIND("/",N2830)+1)+1,4)),VALUE(MID(N2830,FIND("/",N2830)+1,FIND("/",N2830,FIND("/",N2830)+1)-FIND("/",N2830)-1)),VALUE(LEFT(N2830,FIND("/",N2830)-1))),0)</f>
        <v>0</v>
      </c>
    </row>
    <row r="2831" customFormat="false" ht="15" hidden="false" customHeight="false" outlineLevel="0" collapsed="false">
      <c r="N2831" s="0" t="str">
        <f aca="false">IF(H2831="","",IFERROR(LEFT(H2831,FIND(" ",H2831)-1),H2831))</f>
        <v/>
      </c>
      <c r="O2831" s="20" t="n">
        <f aca="false">IFERROR(DATE(VALUE(MID(N2831,FIND("/",N2831,FIND("/",N2831)+1)+1,4)),VALUE(MID(N2831,FIND("/",N2831)+1,FIND("/",N2831,FIND("/",N2831)+1)-FIND("/",N2831)-1)),VALUE(LEFT(N2831,FIND("/",N2831)-1))),0)</f>
        <v>0</v>
      </c>
    </row>
    <row r="2832" customFormat="false" ht="15" hidden="false" customHeight="false" outlineLevel="0" collapsed="false">
      <c r="N2832" s="0" t="str">
        <f aca="false">IF(H2832="","",IFERROR(LEFT(H2832,FIND(" ",H2832)-1),H2832))</f>
        <v/>
      </c>
      <c r="O2832" s="20" t="n">
        <f aca="false">IFERROR(DATE(VALUE(MID(N2832,FIND("/",N2832,FIND("/",N2832)+1)+1,4)),VALUE(MID(N2832,FIND("/",N2832)+1,FIND("/",N2832,FIND("/",N2832)+1)-FIND("/",N2832)-1)),VALUE(LEFT(N2832,FIND("/",N2832)-1))),0)</f>
        <v>0</v>
      </c>
    </row>
    <row r="2833" customFormat="false" ht="15" hidden="false" customHeight="false" outlineLevel="0" collapsed="false">
      <c r="N2833" s="0" t="str">
        <f aca="false">IF(H2833="","",IFERROR(LEFT(H2833,FIND(" ",H2833)-1),H2833))</f>
        <v/>
      </c>
      <c r="O2833" s="20" t="n">
        <f aca="false">IFERROR(DATE(VALUE(MID(N2833,FIND("/",N2833,FIND("/",N2833)+1)+1,4)),VALUE(MID(N2833,FIND("/",N2833)+1,FIND("/",N2833,FIND("/",N2833)+1)-FIND("/",N2833)-1)),VALUE(LEFT(N2833,FIND("/",N2833)-1))),0)</f>
        <v>0</v>
      </c>
    </row>
    <row r="2834" customFormat="false" ht="15" hidden="false" customHeight="false" outlineLevel="0" collapsed="false">
      <c r="N2834" s="0" t="str">
        <f aca="false">IF(H2834="","",IFERROR(LEFT(H2834,FIND(" ",H2834)-1),H2834))</f>
        <v/>
      </c>
      <c r="O2834" s="20" t="n">
        <f aca="false">IFERROR(DATE(VALUE(MID(N2834,FIND("/",N2834,FIND("/",N2834)+1)+1,4)),VALUE(MID(N2834,FIND("/",N2834)+1,FIND("/",N2834,FIND("/",N2834)+1)-FIND("/",N2834)-1)),VALUE(LEFT(N2834,FIND("/",N2834)-1))),0)</f>
        <v>0</v>
      </c>
    </row>
    <row r="2835" customFormat="false" ht="15" hidden="false" customHeight="false" outlineLevel="0" collapsed="false">
      <c r="N2835" s="0" t="str">
        <f aca="false">IF(H2835="","",IFERROR(LEFT(H2835,FIND(" ",H2835)-1),H2835))</f>
        <v/>
      </c>
      <c r="O2835" s="20" t="n">
        <f aca="false">IFERROR(DATE(VALUE(MID(N2835,FIND("/",N2835,FIND("/",N2835)+1)+1,4)),VALUE(MID(N2835,FIND("/",N2835)+1,FIND("/",N2835,FIND("/",N2835)+1)-FIND("/",N2835)-1)),VALUE(LEFT(N2835,FIND("/",N2835)-1))),0)</f>
        <v>0</v>
      </c>
    </row>
    <row r="2836" customFormat="false" ht="15" hidden="false" customHeight="false" outlineLevel="0" collapsed="false">
      <c r="N2836" s="0" t="str">
        <f aca="false">IF(H2836="","",IFERROR(LEFT(H2836,FIND(" ",H2836)-1),H2836))</f>
        <v/>
      </c>
      <c r="O2836" s="20" t="n">
        <f aca="false">IFERROR(DATE(VALUE(MID(N2836,FIND("/",N2836,FIND("/",N2836)+1)+1,4)),VALUE(MID(N2836,FIND("/",N2836)+1,FIND("/",N2836,FIND("/",N2836)+1)-FIND("/",N2836)-1)),VALUE(LEFT(N2836,FIND("/",N2836)-1))),0)</f>
        <v>0</v>
      </c>
    </row>
    <row r="2837" customFormat="false" ht="15" hidden="false" customHeight="false" outlineLevel="0" collapsed="false">
      <c r="N2837" s="0" t="str">
        <f aca="false">IF(H2837="","",IFERROR(LEFT(H2837,FIND(" ",H2837)-1),H2837))</f>
        <v/>
      </c>
      <c r="O2837" s="20" t="n">
        <f aca="false">IFERROR(DATE(VALUE(MID(N2837,FIND("/",N2837,FIND("/",N2837)+1)+1,4)),VALUE(MID(N2837,FIND("/",N2837)+1,FIND("/",N2837,FIND("/",N2837)+1)-FIND("/",N2837)-1)),VALUE(LEFT(N2837,FIND("/",N2837)-1))),0)</f>
        <v>0</v>
      </c>
    </row>
    <row r="2838" customFormat="false" ht="15" hidden="false" customHeight="false" outlineLevel="0" collapsed="false">
      <c r="N2838" s="0" t="str">
        <f aca="false">IF(H2838="","",IFERROR(LEFT(H2838,FIND(" ",H2838)-1),H2838))</f>
        <v/>
      </c>
      <c r="O2838" s="20" t="n">
        <f aca="false">IFERROR(DATE(VALUE(MID(N2838,FIND("/",N2838,FIND("/",N2838)+1)+1,4)),VALUE(MID(N2838,FIND("/",N2838)+1,FIND("/",N2838,FIND("/",N2838)+1)-FIND("/",N2838)-1)),VALUE(LEFT(N2838,FIND("/",N2838)-1))),0)</f>
        <v>0</v>
      </c>
    </row>
    <row r="2839" customFormat="false" ht="15" hidden="false" customHeight="false" outlineLevel="0" collapsed="false">
      <c r="N2839" s="0" t="str">
        <f aca="false">IF(H2839="","",IFERROR(LEFT(H2839,FIND(" ",H2839)-1),H2839))</f>
        <v/>
      </c>
      <c r="O2839" s="20" t="n">
        <f aca="false">IFERROR(DATE(VALUE(MID(N2839,FIND("/",N2839,FIND("/",N2839)+1)+1,4)),VALUE(MID(N2839,FIND("/",N2839)+1,FIND("/",N2839,FIND("/",N2839)+1)-FIND("/",N2839)-1)),VALUE(LEFT(N2839,FIND("/",N2839)-1))),0)</f>
        <v>0</v>
      </c>
    </row>
    <row r="2840" customFormat="false" ht="15" hidden="false" customHeight="false" outlineLevel="0" collapsed="false">
      <c r="N2840" s="0" t="str">
        <f aca="false">IF(H2840="","",IFERROR(LEFT(H2840,FIND(" ",H2840)-1),H2840))</f>
        <v/>
      </c>
      <c r="O2840" s="20" t="n">
        <f aca="false">IFERROR(DATE(VALUE(MID(N2840,FIND("/",N2840,FIND("/",N2840)+1)+1,4)),VALUE(MID(N2840,FIND("/",N2840)+1,FIND("/",N2840,FIND("/",N2840)+1)-FIND("/",N2840)-1)),VALUE(LEFT(N2840,FIND("/",N2840)-1))),0)</f>
        <v>0</v>
      </c>
    </row>
    <row r="2841" customFormat="false" ht="15" hidden="false" customHeight="false" outlineLevel="0" collapsed="false">
      <c r="N2841" s="0" t="str">
        <f aca="false">IF(H2841="","",IFERROR(LEFT(H2841,FIND(" ",H2841)-1),H2841))</f>
        <v/>
      </c>
      <c r="O2841" s="20" t="n">
        <f aca="false">IFERROR(DATE(VALUE(MID(N2841,FIND("/",N2841,FIND("/",N2841)+1)+1,4)),VALUE(MID(N2841,FIND("/",N2841)+1,FIND("/",N2841,FIND("/",N2841)+1)-FIND("/",N2841)-1)),VALUE(LEFT(N2841,FIND("/",N2841)-1))),0)</f>
        <v>0</v>
      </c>
    </row>
    <row r="2842" customFormat="false" ht="15" hidden="false" customHeight="false" outlineLevel="0" collapsed="false">
      <c r="N2842" s="0" t="str">
        <f aca="false">IF(H2842="","",IFERROR(LEFT(H2842,FIND(" ",H2842)-1),H2842))</f>
        <v/>
      </c>
      <c r="O2842" s="20" t="n">
        <f aca="false">IFERROR(DATE(VALUE(MID(N2842,FIND("/",N2842,FIND("/",N2842)+1)+1,4)),VALUE(MID(N2842,FIND("/",N2842)+1,FIND("/",N2842,FIND("/",N2842)+1)-FIND("/",N2842)-1)),VALUE(LEFT(N2842,FIND("/",N2842)-1))),0)</f>
        <v>0</v>
      </c>
    </row>
    <row r="2843" customFormat="false" ht="15" hidden="false" customHeight="false" outlineLevel="0" collapsed="false">
      <c r="N2843" s="0" t="str">
        <f aca="false">IF(H2843="","",IFERROR(LEFT(H2843,FIND(" ",H2843)-1),H2843))</f>
        <v/>
      </c>
      <c r="O2843" s="20" t="n">
        <f aca="false">IFERROR(DATE(VALUE(MID(N2843,FIND("/",N2843,FIND("/",N2843)+1)+1,4)),VALUE(MID(N2843,FIND("/",N2843)+1,FIND("/",N2843,FIND("/",N2843)+1)-FIND("/",N2843)-1)),VALUE(LEFT(N2843,FIND("/",N2843)-1))),0)</f>
        <v>0</v>
      </c>
    </row>
    <row r="2844" customFormat="false" ht="15" hidden="false" customHeight="false" outlineLevel="0" collapsed="false">
      <c r="N2844" s="0" t="str">
        <f aca="false">IF(H2844="","",IFERROR(LEFT(H2844,FIND(" ",H2844)-1),H2844))</f>
        <v/>
      </c>
      <c r="O2844" s="20" t="n">
        <f aca="false">IFERROR(DATE(VALUE(MID(N2844,FIND("/",N2844,FIND("/",N2844)+1)+1,4)),VALUE(MID(N2844,FIND("/",N2844)+1,FIND("/",N2844,FIND("/",N2844)+1)-FIND("/",N2844)-1)),VALUE(LEFT(N2844,FIND("/",N2844)-1))),0)</f>
        <v>0</v>
      </c>
    </row>
    <row r="2845" customFormat="false" ht="15" hidden="false" customHeight="false" outlineLevel="0" collapsed="false">
      <c r="N2845" s="0" t="str">
        <f aca="false">IF(H2845="","",IFERROR(LEFT(H2845,FIND(" ",H2845)-1),H2845))</f>
        <v/>
      </c>
      <c r="O2845" s="20" t="n">
        <f aca="false">IFERROR(DATE(VALUE(MID(N2845,FIND("/",N2845,FIND("/",N2845)+1)+1,4)),VALUE(MID(N2845,FIND("/",N2845)+1,FIND("/",N2845,FIND("/",N2845)+1)-FIND("/",N2845)-1)),VALUE(LEFT(N2845,FIND("/",N2845)-1))),0)</f>
        <v>0</v>
      </c>
    </row>
    <row r="2846" customFormat="false" ht="15" hidden="false" customHeight="false" outlineLevel="0" collapsed="false">
      <c r="N2846" s="0" t="str">
        <f aca="false">IF(H2846="","",IFERROR(LEFT(H2846,FIND(" ",H2846)-1),H2846))</f>
        <v/>
      </c>
      <c r="O2846" s="20" t="n">
        <f aca="false">IFERROR(DATE(VALUE(MID(N2846,FIND("/",N2846,FIND("/",N2846)+1)+1,4)),VALUE(MID(N2846,FIND("/",N2846)+1,FIND("/",N2846,FIND("/",N2846)+1)-FIND("/",N2846)-1)),VALUE(LEFT(N2846,FIND("/",N2846)-1))),0)</f>
        <v>0</v>
      </c>
    </row>
    <row r="2847" customFormat="false" ht="15" hidden="false" customHeight="false" outlineLevel="0" collapsed="false">
      <c r="N2847" s="0" t="str">
        <f aca="false">IF(H2847="","",IFERROR(LEFT(H2847,FIND(" ",H2847)-1),H2847))</f>
        <v/>
      </c>
      <c r="O2847" s="20" t="n">
        <f aca="false">IFERROR(DATE(VALUE(MID(N2847,FIND("/",N2847,FIND("/",N2847)+1)+1,4)),VALUE(MID(N2847,FIND("/",N2847)+1,FIND("/",N2847,FIND("/",N2847)+1)-FIND("/",N2847)-1)),VALUE(LEFT(N2847,FIND("/",N2847)-1))),0)</f>
        <v>0</v>
      </c>
    </row>
    <row r="2848" customFormat="false" ht="15" hidden="false" customHeight="false" outlineLevel="0" collapsed="false">
      <c r="N2848" s="0" t="str">
        <f aca="false">IF(H2848="","",IFERROR(LEFT(H2848,FIND(" ",H2848)-1),H2848))</f>
        <v/>
      </c>
      <c r="O2848" s="20" t="n">
        <f aca="false">IFERROR(DATE(VALUE(MID(N2848,FIND("/",N2848,FIND("/",N2848)+1)+1,4)),VALUE(MID(N2848,FIND("/",N2848)+1,FIND("/",N2848,FIND("/",N2848)+1)-FIND("/",N2848)-1)),VALUE(LEFT(N2848,FIND("/",N2848)-1))),0)</f>
        <v>0</v>
      </c>
    </row>
    <row r="2849" customFormat="false" ht="15" hidden="false" customHeight="false" outlineLevel="0" collapsed="false">
      <c r="N2849" s="0" t="str">
        <f aca="false">IF(H2849="","",IFERROR(LEFT(H2849,FIND(" ",H2849)-1),H2849))</f>
        <v/>
      </c>
      <c r="O2849" s="20" t="n">
        <f aca="false">IFERROR(DATE(VALUE(MID(N2849,FIND("/",N2849,FIND("/",N2849)+1)+1,4)),VALUE(MID(N2849,FIND("/",N2849)+1,FIND("/",N2849,FIND("/",N2849)+1)-FIND("/",N2849)-1)),VALUE(LEFT(N2849,FIND("/",N2849)-1))),0)</f>
        <v>0</v>
      </c>
    </row>
    <row r="2850" customFormat="false" ht="15" hidden="false" customHeight="false" outlineLevel="0" collapsed="false">
      <c r="N2850" s="0" t="str">
        <f aca="false">IF(H2850="","",IFERROR(LEFT(H2850,FIND(" ",H2850)-1),H2850))</f>
        <v/>
      </c>
      <c r="O2850" s="20" t="n">
        <f aca="false">IFERROR(DATE(VALUE(MID(N2850,FIND("/",N2850,FIND("/",N2850)+1)+1,4)),VALUE(MID(N2850,FIND("/",N2850)+1,FIND("/",N2850,FIND("/",N2850)+1)-FIND("/",N2850)-1)),VALUE(LEFT(N2850,FIND("/",N2850)-1))),0)</f>
        <v>0</v>
      </c>
    </row>
    <row r="2851" customFormat="false" ht="15" hidden="false" customHeight="false" outlineLevel="0" collapsed="false">
      <c r="N2851" s="0" t="str">
        <f aca="false">IF(H2851="","",IFERROR(LEFT(H2851,FIND(" ",H2851)-1),H2851))</f>
        <v/>
      </c>
      <c r="O2851" s="20" t="n">
        <f aca="false">IFERROR(DATE(VALUE(MID(N2851,FIND("/",N2851,FIND("/",N2851)+1)+1,4)),VALUE(MID(N2851,FIND("/",N2851)+1,FIND("/",N2851,FIND("/",N2851)+1)-FIND("/",N2851)-1)),VALUE(LEFT(N2851,FIND("/",N2851)-1))),0)</f>
        <v>0</v>
      </c>
    </row>
    <row r="2852" customFormat="false" ht="15" hidden="false" customHeight="false" outlineLevel="0" collapsed="false">
      <c r="N2852" s="0" t="str">
        <f aca="false">IF(H2852="","",IFERROR(LEFT(H2852,FIND(" ",H2852)-1),H2852))</f>
        <v/>
      </c>
      <c r="O2852" s="20" t="n">
        <f aca="false">IFERROR(DATE(VALUE(MID(N2852,FIND("/",N2852,FIND("/",N2852)+1)+1,4)),VALUE(MID(N2852,FIND("/",N2852)+1,FIND("/",N2852,FIND("/",N2852)+1)-FIND("/",N2852)-1)),VALUE(LEFT(N2852,FIND("/",N2852)-1))),0)</f>
        <v>0</v>
      </c>
    </row>
    <row r="2853" customFormat="false" ht="15" hidden="false" customHeight="false" outlineLevel="0" collapsed="false">
      <c r="N2853" s="0" t="str">
        <f aca="false">IF(H2853="","",IFERROR(LEFT(H2853,FIND(" ",H2853)-1),H2853))</f>
        <v/>
      </c>
      <c r="O2853" s="20" t="n">
        <f aca="false">IFERROR(DATE(VALUE(MID(N2853,FIND("/",N2853,FIND("/",N2853)+1)+1,4)),VALUE(MID(N2853,FIND("/",N2853)+1,FIND("/",N2853,FIND("/",N2853)+1)-FIND("/",N2853)-1)),VALUE(LEFT(N2853,FIND("/",N2853)-1))),0)</f>
        <v>0</v>
      </c>
    </row>
    <row r="2854" customFormat="false" ht="15" hidden="false" customHeight="false" outlineLevel="0" collapsed="false">
      <c r="N2854" s="0" t="str">
        <f aca="false">IF(H2854="","",IFERROR(LEFT(H2854,FIND(" ",H2854)-1),H2854))</f>
        <v/>
      </c>
      <c r="O2854" s="20" t="n">
        <f aca="false">IFERROR(DATE(VALUE(MID(N2854,FIND("/",N2854,FIND("/",N2854)+1)+1,4)),VALUE(MID(N2854,FIND("/",N2854)+1,FIND("/",N2854,FIND("/",N2854)+1)-FIND("/",N2854)-1)),VALUE(LEFT(N2854,FIND("/",N2854)-1))),0)</f>
        <v>0</v>
      </c>
    </row>
    <row r="2855" customFormat="false" ht="15" hidden="false" customHeight="false" outlineLevel="0" collapsed="false">
      <c r="N2855" s="0" t="str">
        <f aca="false">IF(H2855="","",IFERROR(LEFT(H2855,FIND(" ",H2855)-1),H2855))</f>
        <v/>
      </c>
      <c r="O2855" s="20" t="n">
        <f aca="false">IFERROR(DATE(VALUE(MID(N2855,FIND("/",N2855,FIND("/",N2855)+1)+1,4)),VALUE(MID(N2855,FIND("/",N2855)+1,FIND("/",N2855,FIND("/",N2855)+1)-FIND("/",N2855)-1)),VALUE(LEFT(N2855,FIND("/",N2855)-1))),0)</f>
        <v>0</v>
      </c>
    </row>
    <row r="2856" customFormat="false" ht="15" hidden="false" customHeight="false" outlineLevel="0" collapsed="false">
      <c r="N2856" s="0" t="str">
        <f aca="false">IF(H2856="","",IFERROR(LEFT(H2856,FIND(" ",H2856)-1),H2856))</f>
        <v/>
      </c>
      <c r="O2856" s="20" t="n">
        <f aca="false">IFERROR(DATE(VALUE(MID(N2856,FIND("/",N2856,FIND("/",N2856)+1)+1,4)),VALUE(MID(N2856,FIND("/",N2856)+1,FIND("/",N2856,FIND("/",N2856)+1)-FIND("/",N2856)-1)),VALUE(LEFT(N2856,FIND("/",N2856)-1))),0)</f>
        <v>0</v>
      </c>
    </row>
    <row r="2857" customFormat="false" ht="15" hidden="false" customHeight="false" outlineLevel="0" collapsed="false">
      <c r="N2857" s="0" t="str">
        <f aca="false">IF(H2857="","",IFERROR(LEFT(H2857,FIND(" ",H2857)-1),H2857))</f>
        <v/>
      </c>
      <c r="O2857" s="20" t="n">
        <f aca="false">IFERROR(DATE(VALUE(MID(N2857,FIND("/",N2857,FIND("/",N2857)+1)+1,4)),VALUE(MID(N2857,FIND("/",N2857)+1,FIND("/",N2857,FIND("/",N2857)+1)-FIND("/",N2857)-1)),VALUE(LEFT(N2857,FIND("/",N2857)-1))),0)</f>
        <v>0</v>
      </c>
    </row>
    <row r="2858" customFormat="false" ht="15" hidden="false" customHeight="false" outlineLevel="0" collapsed="false">
      <c r="N2858" s="0" t="str">
        <f aca="false">IF(H2858="","",IFERROR(LEFT(H2858,FIND(" ",H2858)-1),H2858))</f>
        <v/>
      </c>
      <c r="O2858" s="20" t="n">
        <f aca="false">IFERROR(DATE(VALUE(MID(N2858,FIND("/",N2858,FIND("/",N2858)+1)+1,4)),VALUE(MID(N2858,FIND("/",N2858)+1,FIND("/",N2858,FIND("/",N2858)+1)-FIND("/",N2858)-1)),VALUE(LEFT(N2858,FIND("/",N2858)-1))),0)</f>
        <v>0</v>
      </c>
    </row>
    <row r="2859" customFormat="false" ht="15" hidden="false" customHeight="false" outlineLevel="0" collapsed="false">
      <c r="N2859" s="0" t="str">
        <f aca="false">IF(H2859="","",IFERROR(LEFT(H2859,FIND(" ",H2859)-1),H2859))</f>
        <v/>
      </c>
      <c r="O2859" s="20" t="n">
        <f aca="false">IFERROR(DATE(VALUE(MID(N2859,FIND("/",N2859,FIND("/",N2859)+1)+1,4)),VALUE(MID(N2859,FIND("/",N2859)+1,FIND("/",N2859,FIND("/",N2859)+1)-FIND("/",N2859)-1)),VALUE(LEFT(N2859,FIND("/",N2859)-1))),0)</f>
        <v>0</v>
      </c>
    </row>
    <row r="2860" customFormat="false" ht="15" hidden="false" customHeight="false" outlineLevel="0" collapsed="false">
      <c r="N2860" s="0" t="str">
        <f aca="false">IF(H2860="","",IFERROR(LEFT(H2860,FIND(" ",H2860)-1),H2860))</f>
        <v/>
      </c>
      <c r="O2860" s="20" t="n">
        <f aca="false">IFERROR(DATE(VALUE(MID(N2860,FIND("/",N2860,FIND("/",N2860)+1)+1,4)),VALUE(MID(N2860,FIND("/",N2860)+1,FIND("/",N2860,FIND("/",N2860)+1)-FIND("/",N2860)-1)),VALUE(LEFT(N2860,FIND("/",N2860)-1))),0)</f>
        <v>0</v>
      </c>
    </row>
    <row r="2861" customFormat="false" ht="15" hidden="false" customHeight="false" outlineLevel="0" collapsed="false">
      <c r="N2861" s="0" t="str">
        <f aca="false">IF(H2861="","",IFERROR(LEFT(H2861,FIND(" ",H2861)-1),H2861))</f>
        <v/>
      </c>
      <c r="O2861" s="20" t="n">
        <f aca="false">IFERROR(DATE(VALUE(MID(N2861,FIND("/",N2861,FIND("/",N2861)+1)+1,4)),VALUE(MID(N2861,FIND("/",N2861)+1,FIND("/",N2861,FIND("/",N2861)+1)-FIND("/",N2861)-1)),VALUE(LEFT(N2861,FIND("/",N2861)-1))),0)</f>
        <v>0</v>
      </c>
    </row>
    <row r="2862" customFormat="false" ht="15" hidden="false" customHeight="false" outlineLevel="0" collapsed="false">
      <c r="N2862" s="0" t="str">
        <f aca="false">IF(H2862="","",IFERROR(LEFT(H2862,FIND(" ",H2862)-1),H2862))</f>
        <v/>
      </c>
      <c r="O2862" s="20" t="n">
        <f aca="false">IFERROR(DATE(VALUE(MID(N2862,FIND("/",N2862,FIND("/",N2862)+1)+1,4)),VALUE(MID(N2862,FIND("/",N2862)+1,FIND("/",N2862,FIND("/",N2862)+1)-FIND("/",N2862)-1)),VALUE(LEFT(N2862,FIND("/",N2862)-1))),0)</f>
        <v>0</v>
      </c>
    </row>
    <row r="2863" customFormat="false" ht="15" hidden="false" customHeight="false" outlineLevel="0" collapsed="false">
      <c r="N2863" s="0" t="str">
        <f aca="false">IF(H2863="","",IFERROR(LEFT(H2863,FIND(" ",H2863)-1),H2863))</f>
        <v/>
      </c>
      <c r="O2863" s="20" t="n">
        <f aca="false">IFERROR(DATE(VALUE(MID(N2863,FIND("/",N2863,FIND("/",N2863)+1)+1,4)),VALUE(MID(N2863,FIND("/",N2863)+1,FIND("/",N2863,FIND("/",N2863)+1)-FIND("/",N2863)-1)),VALUE(LEFT(N2863,FIND("/",N2863)-1))),0)</f>
        <v>0</v>
      </c>
    </row>
    <row r="2864" customFormat="false" ht="15" hidden="false" customHeight="false" outlineLevel="0" collapsed="false">
      <c r="N2864" s="0" t="str">
        <f aca="false">IF(H2864="","",IFERROR(LEFT(H2864,FIND(" ",H2864)-1),H2864))</f>
        <v/>
      </c>
      <c r="O2864" s="20" t="n">
        <f aca="false">IFERROR(DATE(VALUE(MID(N2864,FIND("/",N2864,FIND("/",N2864)+1)+1,4)),VALUE(MID(N2864,FIND("/",N2864)+1,FIND("/",N2864,FIND("/",N2864)+1)-FIND("/",N2864)-1)),VALUE(LEFT(N2864,FIND("/",N2864)-1))),0)</f>
        <v>0</v>
      </c>
    </row>
    <row r="2865" customFormat="false" ht="15" hidden="false" customHeight="false" outlineLevel="0" collapsed="false">
      <c r="N2865" s="0" t="str">
        <f aca="false">IF(H2865="","",IFERROR(LEFT(H2865,FIND(" ",H2865)-1),H2865))</f>
        <v/>
      </c>
      <c r="O2865" s="20" t="n">
        <f aca="false">IFERROR(DATE(VALUE(MID(N2865,FIND("/",N2865,FIND("/",N2865)+1)+1,4)),VALUE(MID(N2865,FIND("/",N2865)+1,FIND("/",N2865,FIND("/",N2865)+1)-FIND("/",N2865)-1)),VALUE(LEFT(N2865,FIND("/",N2865)-1))),0)</f>
        <v>0</v>
      </c>
    </row>
    <row r="2866" customFormat="false" ht="15" hidden="false" customHeight="false" outlineLevel="0" collapsed="false">
      <c r="N2866" s="0" t="str">
        <f aca="false">IF(H2866="","",IFERROR(LEFT(H2866,FIND(" ",H2866)-1),H2866))</f>
        <v/>
      </c>
      <c r="O2866" s="20" t="n">
        <f aca="false">IFERROR(DATE(VALUE(MID(N2866,FIND("/",N2866,FIND("/",N2866)+1)+1,4)),VALUE(MID(N2866,FIND("/",N2866)+1,FIND("/",N2866,FIND("/",N2866)+1)-FIND("/",N2866)-1)),VALUE(LEFT(N2866,FIND("/",N2866)-1))),0)</f>
        <v>0</v>
      </c>
    </row>
    <row r="2867" customFormat="false" ht="15" hidden="false" customHeight="false" outlineLevel="0" collapsed="false">
      <c r="N2867" s="0" t="str">
        <f aca="false">IF(H2867="","",IFERROR(LEFT(H2867,FIND(" ",H2867)-1),H2867))</f>
        <v/>
      </c>
      <c r="O2867" s="20" t="n">
        <f aca="false">IFERROR(DATE(VALUE(MID(N2867,FIND("/",N2867,FIND("/",N2867)+1)+1,4)),VALUE(MID(N2867,FIND("/",N2867)+1,FIND("/",N2867,FIND("/",N2867)+1)-FIND("/",N2867)-1)),VALUE(LEFT(N2867,FIND("/",N2867)-1))),0)</f>
        <v>0</v>
      </c>
    </row>
    <row r="2868" customFormat="false" ht="15" hidden="false" customHeight="false" outlineLevel="0" collapsed="false">
      <c r="N2868" s="0" t="str">
        <f aca="false">IF(H2868="","",IFERROR(LEFT(H2868,FIND(" ",H2868)-1),H2868))</f>
        <v/>
      </c>
      <c r="O2868" s="20" t="n">
        <f aca="false">IFERROR(DATE(VALUE(MID(N2868,FIND("/",N2868,FIND("/",N2868)+1)+1,4)),VALUE(MID(N2868,FIND("/",N2868)+1,FIND("/",N2868,FIND("/",N2868)+1)-FIND("/",N2868)-1)),VALUE(LEFT(N2868,FIND("/",N2868)-1))),0)</f>
        <v>0</v>
      </c>
    </row>
    <row r="2869" customFormat="false" ht="15" hidden="false" customHeight="false" outlineLevel="0" collapsed="false">
      <c r="N2869" s="0" t="str">
        <f aca="false">IF(H2869="","",IFERROR(LEFT(H2869,FIND(" ",H2869)-1),H2869))</f>
        <v/>
      </c>
      <c r="O2869" s="20" t="n">
        <f aca="false">IFERROR(DATE(VALUE(MID(N2869,FIND("/",N2869,FIND("/",N2869)+1)+1,4)),VALUE(MID(N2869,FIND("/",N2869)+1,FIND("/",N2869,FIND("/",N2869)+1)-FIND("/",N2869)-1)),VALUE(LEFT(N2869,FIND("/",N2869)-1))),0)</f>
        <v>0</v>
      </c>
    </row>
    <row r="2870" customFormat="false" ht="15" hidden="false" customHeight="false" outlineLevel="0" collapsed="false">
      <c r="N2870" s="0" t="str">
        <f aca="false">IF(H2870="","",IFERROR(LEFT(H2870,FIND(" ",H2870)-1),H2870))</f>
        <v/>
      </c>
      <c r="O2870" s="20" t="n">
        <f aca="false">IFERROR(DATE(VALUE(MID(N2870,FIND("/",N2870,FIND("/",N2870)+1)+1,4)),VALUE(MID(N2870,FIND("/",N2870)+1,FIND("/",N2870,FIND("/",N2870)+1)-FIND("/",N2870)-1)),VALUE(LEFT(N2870,FIND("/",N2870)-1))),0)</f>
        <v>0</v>
      </c>
    </row>
    <row r="2871" customFormat="false" ht="15" hidden="false" customHeight="false" outlineLevel="0" collapsed="false">
      <c r="N2871" s="0" t="str">
        <f aca="false">IF(H2871="","",IFERROR(LEFT(H2871,FIND(" ",H2871)-1),H2871))</f>
        <v/>
      </c>
      <c r="O2871" s="20" t="n">
        <f aca="false">IFERROR(DATE(VALUE(MID(N2871,FIND("/",N2871,FIND("/",N2871)+1)+1,4)),VALUE(MID(N2871,FIND("/",N2871)+1,FIND("/",N2871,FIND("/",N2871)+1)-FIND("/",N2871)-1)),VALUE(LEFT(N2871,FIND("/",N2871)-1))),0)</f>
        <v>0</v>
      </c>
    </row>
    <row r="2872" customFormat="false" ht="15" hidden="false" customHeight="false" outlineLevel="0" collapsed="false">
      <c r="N2872" s="0" t="str">
        <f aca="false">IF(H2872="","",IFERROR(LEFT(H2872,FIND(" ",H2872)-1),H2872))</f>
        <v/>
      </c>
      <c r="O2872" s="20" t="n">
        <f aca="false">IFERROR(DATE(VALUE(MID(N2872,FIND("/",N2872,FIND("/",N2872)+1)+1,4)),VALUE(MID(N2872,FIND("/",N2872)+1,FIND("/",N2872,FIND("/",N2872)+1)-FIND("/",N2872)-1)),VALUE(LEFT(N2872,FIND("/",N2872)-1))),0)</f>
        <v>0</v>
      </c>
    </row>
    <row r="2873" customFormat="false" ht="15" hidden="false" customHeight="false" outlineLevel="0" collapsed="false">
      <c r="N2873" s="0" t="str">
        <f aca="false">IF(H2873="","",IFERROR(LEFT(H2873,FIND(" ",H2873)-1),H2873))</f>
        <v/>
      </c>
      <c r="O2873" s="20" t="n">
        <f aca="false">IFERROR(DATE(VALUE(MID(N2873,FIND("/",N2873,FIND("/",N2873)+1)+1,4)),VALUE(MID(N2873,FIND("/",N2873)+1,FIND("/",N2873,FIND("/",N2873)+1)-FIND("/",N2873)-1)),VALUE(LEFT(N2873,FIND("/",N2873)-1))),0)</f>
        <v>0</v>
      </c>
    </row>
    <row r="2874" customFormat="false" ht="15" hidden="false" customHeight="false" outlineLevel="0" collapsed="false">
      <c r="N2874" s="0" t="str">
        <f aca="false">IF(H2874="","",IFERROR(LEFT(H2874,FIND(" ",H2874)-1),H2874))</f>
        <v/>
      </c>
      <c r="O2874" s="20" t="n">
        <f aca="false">IFERROR(DATE(VALUE(MID(N2874,FIND("/",N2874,FIND("/",N2874)+1)+1,4)),VALUE(MID(N2874,FIND("/",N2874)+1,FIND("/",N2874,FIND("/",N2874)+1)-FIND("/",N2874)-1)),VALUE(LEFT(N2874,FIND("/",N2874)-1))),0)</f>
        <v>0</v>
      </c>
    </row>
    <row r="2875" customFormat="false" ht="15" hidden="false" customHeight="false" outlineLevel="0" collapsed="false">
      <c r="N2875" s="0" t="str">
        <f aca="false">IF(H2875="","",IFERROR(LEFT(H2875,FIND(" ",H2875)-1),H2875))</f>
        <v/>
      </c>
      <c r="O2875" s="20" t="n">
        <f aca="false">IFERROR(DATE(VALUE(MID(N2875,FIND("/",N2875,FIND("/",N2875)+1)+1,4)),VALUE(MID(N2875,FIND("/",N2875)+1,FIND("/",N2875,FIND("/",N2875)+1)-FIND("/",N2875)-1)),VALUE(LEFT(N2875,FIND("/",N2875)-1))),0)</f>
        <v>0</v>
      </c>
    </row>
    <row r="2876" customFormat="false" ht="15" hidden="false" customHeight="false" outlineLevel="0" collapsed="false">
      <c r="N2876" s="0" t="str">
        <f aca="false">IF(H2876="","",IFERROR(LEFT(H2876,FIND(" ",H2876)-1),H2876))</f>
        <v/>
      </c>
      <c r="O2876" s="20" t="n">
        <f aca="false">IFERROR(DATE(VALUE(MID(N2876,FIND("/",N2876,FIND("/",N2876)+1)+1,4)),VALUE(MID(N2876,FIND("/",N2876)+1,FIND("/",N2876,FIND("/",N2876)+1)-FIND("/",N2876)-1)),VALUE(LEFT(N2876,FIND("/",N2876)-1))),0)</f>
        <v>0</v>
      </c>
    </row>
    <row r="2877" customFormat="false" ht="15" hidden="false" customHeight="false" outlineLevel="0" collapsed="false">
      <c r="N2877" s="0" t="str">
        <f aca="false">IF(H2877="","",IFERROR(LEFT(H2877,FIND(" ",H2877)-1),H2877))</f>
        <v/>
      </c>
      <c r="O2877" s="20" t="n">
        <f aca="false">IFERROR(DATE(VALUE(MID(N2877,FIND("/",N2877,FIND("/",N2877)+1)+1,4)),VALUE(MID(N2877,FIND("/",N2877)+1,FIND("/",N2877,FIND("/",N2877)+1)-FIND("/",N2877)-1)),VALUE(LEFT(N2877,FIND("/",N2877)-1))),0)</f>
        <v>0</v>
      </c>
    </row>
    <row r="2878" customFormat="false" ht="15" hidden="false" customHeight="false" outlineLevel="0" collapsed="false">
      <c r="N2878" s="0" t="str">
        <f aca="false">IF(H2878="","",IFERROR(LEFT(H2878,FIND(" ",H2878)-1),H2878))</f>
        <v/>
      </c>
      <c r="O2878" s="20" t="n">
        <f aca="false">IFERROR(DATE(VALUE(MID(N2878,FIND("/",N2878,FIND("/",N2878)+1)+1,4)),VALUE(MID(N2878,FIND("/",N2878)+1,FIND("/",N2878,FIND("/",N2878)+1)-FIND("/",N2878)-1)),VALUE(LEFT(N2878,FIND("/",N2878)-1))),0)</f>
        <v>0</v>
      </c>
    </row>
    <row r="2879" customFormat="false" ht="15" hidden="false" customHeight="false" outlineLevel="0" collapsed="false">
      <c r="N2879" s="0" t="str">
        <f aca="false">IF(H2879="","",IFERROR(LEFT(H2879,FIND(" ",H2879)-1),H2879))</f>
        <v/>
      </c>
      <c r="O2879" s="20" t="n">
        <f aca="false">IFERROR(DATE(VALUE(MID(N2879,FIND("/",N2879,FIND("/",N2879)+1)+1,4)),VALUE(MID(N2879,FIND("/",N2879)+1,FIND("/",N2879,FIND("/",N2879)+1)-FIND("/",N2879)-1)),VALUE(LEFT(N2879,FIND("/",N2879)-1))),0)</f>
        <v>0</v>
      </c>
    </row>
    <row r="2880" customFormat="false" ht="15" hidden="false" customHeight="false" outlineLevel="0" collapsed="false">
      <c r="N2880" s="0" t="str">
        <f aca="false">IF(H2880="","",IFERROR(LEFT(H2880,FIND(" ",H2880)-1),H2880))</f>
        <v/>
      </c>
      <c r="O2880" s="20" t="n">
        <f aca="false">IFERROR(DATE(VALUE(MID(N2880,FIND("/",N2880,FIND("/",N2880)+1)+1,4)),VALUE(MID(N2880,FIND("/",N2880)+1,FIND("/",N2880,FIND("/",N2880)+1)-FIND("/",N2880)-1)),VALUE(LEFT(N2880,FIND("/",N2880)-1))),0)</f>
        <v>0</v>
      </c>
    </row>
    <row r="2881" customFormat="false" ht="15" hidden="false" customHeight="false" outlineLevel="0" collapsed="false">
      <c r="N2881" s="0" t="str">
        <f aca="false">IF(H2881="","",IFERROR(LEFT(H2881,FIND(" ",H2881)-1),H2881))</f>
        <v/>
      </c>
      <c r="O2881" s="20" t="n">
        <f aca="false">IFERROR(DATE(VALUE(MID(N2881,FIND("/",N2881,FIND("/",N2881)+1)+1,4)),VALUE(MID(N2881,FIND("/",N2881)+1,FIND("/",N2881,FIND("/",N2881)+1)-FIND("/",N2881)-1)),VALUE(LEFT(N2881,FIND("/",N2881)-1))),0)</f>
        <v>0</v>
      </c>
    </row>
    <row r="2882" customFormat="false" ht="15" hidden="false" customHeight="false" outlineLevel="0" collapsed="false">
      <c r="N2882" s="0" t="str">
        <f aca="false">IF(H2882="","",IFERROR(LEFT(H2882,FIND(" ",H2882)-1),H2882))</f>
        <v/>
      </c>
      <c r="O2882" s="20" t="n">
        <f aca="false">IFERROR(DATE(VALUE(MID(N2882,FIND("/",N2882,FIND("/",N2882)+1)+1,4)),VALUE(MID(N2882,FIND("/",N2882)+1,FIND("/",N2882,FIND("/",N2882)+1)-FIND("/",N2882)-1)),VALUE(LEFT(N2882,FIND("/",N2882)-1))),0)</f>
        <v>0</v>
      </c>
    </row>
    <row r="2883" customFormat="false" ht="15" hidden="false" customHeight="false" outlineLevel="0" collapsed="false">
      <c r="N2883" s="0" t="str">
        <f aca="false">IF(H2883="","",IFERROR(LEFT(H2883,FIND(" ",H2883)-1),H2883))</f>
        <v/>
      </c>
      <c r="O2883" s="20" t="n">
        <f aca="false">IFERROR(DATE(VALUE(MID(N2883,FIND("/",N2883,FIND("/",N2883)+1)+1,4)),VALUE(MID(N2883,FIND("/",N2883)+1,FIND("/",N2883,FIND("/",N2883)+1)-FIND("/",N2883)-1)),VALUE(LEFT(N2883,FIND("/",N2883)-1))),0)</f>
        <v>0</v>
      </c>
    </row>
    <row r="2884" customFormat="false" ht="15" hidden="false" customHeight="false" outlineLevel="0" collapsed="false">
      <c r="N2884" s="0" t="str">
        <f aca="false">IF(H2884="","",IFERROR(LEFT(H2884,FIND(" ",H2884)-1),H2884))</f>
        <v/>
      </c>
      <c r="O2884" s="20" t="n">
        <f aca="false">IFERROR(DATE(VALUE(MID(N2884,FIND("/",N2884,FIND("/",N2884)+1)+1,4)),VALUE(MID(N2884,FIND("/",N2884)+1,FIND("/",N2884,FIND("/",N2884)+1)-FIND("/",N2884)-1)),VALUE(LEFT(N2884,FIND("/",N2884)-1))),0)</f>
        <v>0</v>
      </c>
    </row>
    <row r="2885" customFormat="false" ht="15" hidden="false" customHeight="false" outlineLevel="0" collapsed="false">
      <c r="N2885" s="0" t="str">
        <f aca="false">IF(H2885="","",IFERROR(LEFT(H2885,FIND(" ",H2885)-1),H2885))</f>
        <v/>
      </c>
      <c r="O2885" s="20" t="n">
        <f aca="false">IFERROR(DATE(VALUE(MID(N2885,FIND("/",N2885,FIND("/",N2885)+1)+1,4)),VALUE(MID(N2885,FIND("/",N2885)+1,FIND("/",N2885,FIND("/",N2885)+1)-FIND("/",N2885)-1)),VALUE(LEFT(N2885,FIND("/",N2885)-1))),0)</f>
        <v>0</v>
      </c>
    </row>
    <row r="2886" customFormat="false" ht="15" hidden="false" customHeight="false" outlineLevel="0" collapsed="false">
      <c r="N2886" s="0" t="str">
        <f aca="false">IF(H2886="","",IFERROR(LEFT(H2886,FIND(" ",H2886)-1),H2886))</f>
        <v/>
      </c>
      <c r="O2886" s="20" t="n">
        <f aca="false">IFERROR(DATE(VALUE(MID(N2886,FIND("/",N2886,FIND("/",N2886)+1)+1,4)),VALUE(MID(N2886,FIND("/",N2886)+1,FIND("/",N2886,FIND("/",N2886)+1)-FIND("/",N2886)-1)),VALUE(LEFT(N2886,FIND("/",N2886)-1))),0)</f>
        <v>0</v>
      </c>
    </row>
    <row r="2887" customFormat="false" ht="15" hidden="false" customHeight="false" outlineLevel="0" collapsed="false">
      <c r="N2887" s="0" t="str">
        <f aca="false">IF(H2887="","",IFERROR(LEFT(H2887,FIND(" ",H2887)-1),H2887))</f>
        <v/>
      </c>
      <c r="O2887" s="20" t="n">
        <f aca="false">IFERROR(DATE(VALUE(MID(N2887,FIND("/",N2887,FIND("/",N2887)+1)+1,4)),VALUE(MID(N2887,FIND("/",N2887)+1,FIND("/",N2887,FIND("/",N2887)+1)-FIND("/",N2887)-1)),VALUE(LEFT(N2887,FIND("/",N2887)-1))),0)</f>
        <v>0</v>
      </c>
    </row>
    <row r="2888" customFormat="false" ht="15" hidden="false" customHeight="false" outlineLevel="0" collapsed="false">
      <c r="N2888" s="0" t="str">
        <f aca="false">IF(H2888="","",IFERROR(LEFT(H2888,FIND(" ",H2888)-1),H2888))</f>
        <v/>
      </c>
      <c r="O2888" s="20" t="n">
        <f aca="false">IFERROR(DATE(VALUE(MID(N2888,FIND("/",N2888,FIND("/",N2888)+1)+1,4)),VALUE(MID(N2888,FIND("/",N2888)+1,FIND("/",N2888,FIND("/",N2888)+1)-FIND("/",N2888)-1)),VALUE(LEFT(N2888,FIND("/",N2888)-1))),0)</f>
        <v>0</v>
      </c>
    </row>
    <row r="2889" customFormat="false" ht="15" hidden="false" customHeight="false" outlineLevel="0" collapsed="false">
      <c r="N2889" s="0" t="str">
        <f aca="false">IF(H2889="","",IFERROR(LEFT(H2889,FIND(" ",H2889)-1),H2889))</f>
        <v/>
      </c>
      <c r="O2889" s="20" t="n">
        <f aca="false">IFERROR(DATE(VALUE(MID(N2889,FIND("/",N2889,FIND("/",N2889)+1)+1,4)),VALUE(MID(N2889,FIND("/",N2889)+1,FIND("/",N2889,FIND("/",N2889)+1)-FIND("/",N2889)-1)),VALUE(LEFT(N2889,FIND("/",N2889)-1))),0)</f>
        <v>0</v>
      </c>
    </row>
    <row r="2890" customFormat="false" ht="15" hidden="false" customHeight="false" outlineLevel="0" collapsed="false">
      <c r="N2890" s="0" t="str">
        <f aca="false">IF(H2890="","",IFERROR(LEFT(H2890,FIND(" ",H2890)-1),H2890))</f>
        <v/>
      </c>
      <c r="O2890" s="20" t="n">
        <f aca="false">IFERROR(DATE(VALUE(MID(N2890,FIND("/",N2890,FIND("/",N2890)+1)+1,4)),VALUE(MID(N2890,FIND("/",N2890)+1,FIND("/",N2890,FIND("/",N2890)+1)-FIND("/",N2890)-1)),VALUE(LEFT(N2890,FIND("/",N2890)-1))),0)</f>
        <v>0</v>
      </c>
    </row>
    <row r="2891" customFormat="false" ht="15" hidden="false" customHeight="false" outlineLevel="0" collapsed="false">
      <c r="N2891" s="0" t="str">
        <f aca="false">IF(H2891="","",IFERROR(LEFT(H2891,FIND(" ",H2891)-1),H2891))</f>
        <v/>
      </c>
      <c r="O2891" s="20" t="n">
        <f aca="false">IFERROR(DATE(VALUE(MID(N2891,FIND("/",N2891,FIND("/",N2891)+1)+1,4)),VALUE(MID(N2891,FIND("/",N2891)+1,FIND("/",N2891,FIND("/",N2891)+1)-FIND("/",N2891)-1)),VALUE(LEFT(N2891,FIND("/",N2891)-1))),0)</f>
        <v>0</v>
      </c>
    </row>
    <row r="2892" customFormat="false" ht="15" hidden="false" customHeight="false" outlineLevel="0" collapsed="false">
      <c r="N2892" s="0" t="str">
        <f aca="false">IF(H2892="","",IFERROR(LEFT(H2892,FIND(" ",H2892)-1),H2892))</f>
        <v/>
      </c>
      <c r="O2892" s="20" t="n">
        <f aca="false">IFERROR(DATE(VALUE(MID(N2892,FIND("/",N2892,FIND("/",N2892)+1)+1,4)),VALUE(MID(N2892,FIND("/",N2892)+1,FIND("/",N2892,FIND("/",N2892)+1)-FIND("/",N2892)-1)),VALUE(LEFT(N2892,FIND("/",N2892)-1))),0)</f>
        <v>0</v>
      </c>
    </row>
    <row r="2893" customFormat="false" ht="15" hidden="false" customHeight="false" outlineLevel="0" collapsed="false">
      <c r="N2893" s="0" t="str">
        <f aca="false">IF(H2893="","",IFERROR(LEFT(H2893,FIND(" ",H2893)-1),H2893))</f>
        <v/>
      </c>
      <c r="O2893" s="20" t="n">
        <f aca="false">IFERROR(DATE(VALUE(MID(N2893,FIND("/",N2893,FIND("/",N2893)+1)+1,4)),VALUE(MID(N2893,FIND("/",N2893)+1,FIND("/",N2893,FIND("/",N2893)+1)-FIND("/",N2893)-1)),VALUE(LEFT(N2893,FIND("/",N2893)-1))),0)</f>
        <v>0</v>
      </c>
    </row>
    <row r="2894" customFormat="false" ht="15" hidden="false" customHeight="false" outlineLevel="0" collapsed="false">
      <c r="N2894" s="0" t="str">
        <f aca="false">IF(H2894="","",IFERROR(LEFT(H2894,FIND(" ",H2894)-1),H2894))</f>
        <v/>
      </c>
      <c r="O2894" s="20" t="n">
        <f aca="false">IFERROR(DATE(VALUE(MID(N2894,FIND("/",N2894,FIND("/",N2894)+1)+1,4)),VALUE(MID(N2894,FIND("/",N2894)+1,FIND("/",N2894,FIND("/",N2894)+1)-FIND("/",N2894)-1)),VALUE(LEFT(N2894,FIND("/",N2894)-1))),0)</f>
        <v>0</v>
      </c>
    </row>
    <row r="2895" customFormat="false" ht="15" hidden="false" customHeight="false" outlineLevel="0" collapsed="false">
      <c r="N2895" s="0" t="str">
        <f aca="false">IF(H2895="","",IFERROR(LEFT(H2895,FIND(" ",H2895)-1),H2895))</f>
        <v/>
      </c>
      <c r="O2895" s="20" t="n">
        <f aca="false">IFERROR(DATE(VALUE(MID(N2895,FIND("/",N2895,FIND("/",N2895)+1)+1,4)),VALUE(MID(N2895,FIND("/",N2895)+1,FIND("/",N2895,FIND("/",N2895)+1)-FIND("/",N2895)-1)),VALUE(LEFT(N2895,FIND("/",N2895)-1))),0)</f>
        <v>0</v>
      </c>
    </row>
    <row r="2896" customFormat="false" ht="15" hidden="false" customHeight="false" outlineLevel="0" collapsed="false">
      <c r="N2896" s="0" t="str">
        <f aca="false">IF(H2896="","",IFERROR(LEFT(H2896,FIND(" ",H2896)-1),H2896))</f>
        <v/>
      </c>
      <c r="O2896" s="20" t="n">
        <f aca="false">IFERROR(DATE(VALUE(MID(N2896,FIND("/",N2896,FIND("/",N2896)+1)+1,4)),VALUE(MID(N2896,FIND("/",N2896)+1,FIND("/",N2896,FIND("/",N2896)+1)-FIND("/",N2896)-1)),VALUE(LEFT(N2896,FIND("/",N2896)-1))),0)</f>
        <v>0</v>
      </c>
    </row>
    <row r="2897" customFormat="false" ht="15" hidden="false" customHeight="false" outlineLevel="0" collapsed="false">
      <c r="N2897" s="0" t="str">
        <f aca="false">IF(H2897="","",IFERROR(LEFT(H2897,FIND(" ",H2897)-1),H2897))</f>
        <v/>
      </c>
      <c r="O2897" s="20" t="n">
        <f aca="false">IFERROR(DATE(VALUE(MID(N2897,FIND("/",N2897,FIND("/",N2897)+1)+1,4)),VALUE(MID(N2897,FIND("/",N2897)+1,FIND("/",N2897,FIND("/",N2897)+1)-FIND("/",N2897)-1)),VALUE(LEFT(N2897,FIND("/",N2897)-1))),0)</f>
        <v>0</v>
      </c>
    </row>
    <row r="2898" customFormat="false" ht="15" hidden="false" customHeight="false" outlineLevel="0" collapsed="false">
      <c r="N2898" s="0" t="str">
        <f aca="false">IF(H2898="","",IFERROR(LEFT(H2898,FIND(" ",H2898)-1),H2898))</f>
        <v/>
      </c>
      <c r="O2898" s="20" t="n">
        <f aca="false">IFERROR(DATE(VALUE(MID(N2898,FIND("/",N2898,FIND("/",N2898)+1)+1,4)),VALUE(MID(N2898,FIND("/",N2898)+1,FIND("/",N2898,FIND("/",N2898)+1)-FIND("/",N2898)-1)),VALUE(LEFT(N2898,FIND("/",N2898)-1))),0)</f>
        <v>0</v>
      </c>
    </row>
    <row r="2899" customFormat="false" ht="15" hidden="false" customHeight="false" outlineLevel="0" collapsed="false">
      <c r="N2899" s="0" t="str">
        <f aca="false">IF(H2899="","",IFERROR(LEFT(H2899,FIND(" ",H2899)-1),H2899))</f>
        <v/>
      </c>
      <c r="O2899" s="20" t="n">
        <f aca="false">IFERROR(DATE(VALUE(MID(N2899,FIND("/",N2899,FIND("/",N2899)+1)+1,4)),VALUE(MID(N2899,FIND("/",N2899)+1,FIND("/",N2899,FIND("/",N2899)+1)-FIND("/",N2899)-1)),VALUE(LEFT(N2899,FIND("/",N2899)-1))),0)</f>
        <v>0</v>
      </c>
    </row>
    <row r="2900" customFormat="false" ht="15" hidden="false" customHeight="false" outlineLevel="0" collapsed="false">
      <c r="N2900" s="0" t="str">
        <f aca="false">IF(H2900="","",IFERROR(LEFT(H2900,FIND(" ",H2900)-1),H2900))</f>
        <v/>
      </c>
      <c r="O2900" s="20" t="n">
        <f aca="false">IFERROR(DATE(VALUE(MID(N2900,FIND("/",N2900,FIND("/",N2900)+1)+1,4)),VALUE(MID(N2900,FIND("/",N2900)+1,FIND("/",N2900,FIND("/",N2900)+1)-FIND("/",N2900)-1)),VALUE(LEFT(N2900,FIND("/",N2900)-1))),0)</f>
        <v>0</v>
      </c>
    </row>
    <row r="2901" customFormat="false" ht="15" hidden="false" customHeight="false" outlineLevel="0" collapsed="false">
      <c r="N2901" s="0" t="str">
        <f aca="false">IF(H2901="","",IFERROR(LEFT(H2901,FIND(" ",H2901)-1),H2901))</f>
        <v/>
      </c>
      <c r="O2901" s="20" t="n">
        <f aca="false">IFERROR(DATE(VALUE(MID(N2901,FIND("/",N2901,FIND("/",N2901)+1)+1,4)),VALUE(MID(N2901,FIND("/",N2901)+1,FIND("/",N2901,FIND("/",N2901)+1)-FIND("/",N2901)-1)),VALUE(LEFT(N2901,FIND("/",N2901)-1))),0)</f>
        <v>0</v>
      </c>
    </row>
    <row r="2902" customFormat="false" ht="15" hidden="false" customHeight="false" outlineLevel="0" collapsed="false">
      <c r="N2902" s="0" t="str">
        <f aca="false">IF(H2902="","",IFERROR(LEFT(H2902,FIND(" ",H2902)-1),H2902))</f>
        <v/>
      </c>
      <c r="O2902" s="20" t="n">
        <f aca="false">IFERROR(DATE(VALUE(MID(N2902,FIND("/",N2902,FIND("/",N2902)+1)+1,4)),VALUE(MID(N2902,FIND("/",N2902)+1,FIND("/",N2902,FIND("/",N2902)+1)-FIND("/",N2902)-1)),VALUE(LEFT(N2902,FIND("/",N2902)-1))),0)</f>
        <v>0</v>
      </c>
    </row>
    <row r="2903" customFormat="false" ht="15" hidden="false" customHeight="false" outlineLevel="0" collapsed="false">
      <c r="N2903" s="0" t="str">
        <f aca="false">IF(H2903="","",IFERROR(LEFT(H2903,FIND(" ",H2903)-1),H2903))</f>
        <v/>
      </c>
      <c r="O2903" s="20" t="n">
        <f aca="false">IFERROR(DATE(VALUE(MID(N2903,FIND("/",N2903,FIND("/",N2903)+1)+1,4)),VALUE(MID(N2903,FIND("/",N2903)+1,FIND("/",N2903,FIND("/",N2903)+1)-FIND("/",N2903)-1)),VALUE(LEFT(N2903,FIND("/",N2903)-1))),0)</f>
        <v>0</v>
      </c>
    </row>
    <row r="2904" customFormat="false" ht="15" hidden="false" customHeight="false" outlineLevel="0" collapsed="false">
      <c r="N2904" s="0" t="str">
        <f aca="false">IF(H2904="","",IFERROR(LEFT(H2904,FIND(" ",H2904)-1),H2904))</f>
        <v/>
      </c>
      <c r="O2904" s="20" t="n">
        <f aca="false">IFERROR(DATE(VALUE(MID(N2904,FIND("/",N2904,FIND("/",N2904)+1)+1,4)),VALUE(MID(N2904,FIND("/",N2904)+1,FIND("/",N2904,FIND("/",N2904)+1)-FIND("/",N2904)-1)),VALUE(LEFT(N2904,FIND("/",N2904)-1))),0)</f>
        <v>0</v>
      </c>
    </row>
    <row r="2905" customFormat="false" ht="15" hidden="false" customHeight="false" outlineLevel="0" collapsed="false">
      <c r="N2905" s="0" t="str">
        <f aca="false">IF(H2905="","",IFERROR(LEFT(H2905,FIND(" ",H2905)-1),H2905))</f>
        <v/>
      </c>
      <c r="O2905" s="20" t="n">
        <f aca="false">IFERROR(DATE(VALUE(MID(N2905,FIND("/",N2905,FIND("/",N2905)+1)+1,4)),VALUE(MID(N2905,FIND("/",N2905)+1,FIND("/",N2905,FIND("/",N2905)+1)-FIND("/",N2905)-1)),VALUE(LEFT(N2905,FIND("/",N2905)-1))),0)</f>
        <v>0</v>
      </c>
    </row>
    <row r="2906" customFormat="false" ht="15" hidden="false" customHeight="false" outlineLevel="0" collapsed="false">
      <c r="N2906" s="0" t="str">
        <f aca="false">IF(H2906="","",IFERROR(LEFT(H2906,FIND(" ",H2906)-1),H2906))</f>
        <v/>
      </c>
      <c r="O2906" s="20" t="n">
        <f aca="false">IFERROR(DATE(VALUE(MID(N2906,FIND("/",N2906,FIND("/",N2906)+1)+1,4)),VALUE(MID(N2906,FIND("/",N2906)+1,FIND("/",N2906,FIND("/",N2906)+1)-FIND("/",N2906)-1)),VALUE(LEFT(N2906,FIND("/",N2906)-1))),0)</f>
        <v>0</v>
      </c>
    </row>
    <row r="2907" customFormat="false" ht="15" hidden="false" customHeight="false" outlineLevel="0" collapsed="false">
      <c r="N2907" s="0" t="str">
        <f aca="false">IF(H2907="","",IFERROR(LEFT(H2907,FIND(" ",H2907)-1),H2907))</f>
        <v/>
      </c>
      <c r="O2907" s="20" t="n">
        <f aca="false">IFERROR(DATE(VALUE(MID(N2907,FIND("/",N2907,FIND("/",N2907)+1)+1,4)),VALUE(MID(N2907,FIND("/",N2907)+1,FIND("/",N2907,FIND("/",N2907)+1)-FIND("/",N2907)-1)),VALUE(LEFT(N2907,FIND("/",N2907)-1))),0)</f>
        <v>0</v>
      </c>
    </row>
    <row r="2908" customFormat="false" ht="15" hidden="false" customHeight="false" outlineLevel="0" collapsed="false">
      <c r="N2908" s="0" t="str">
        <f aca="false">IF(H2908="","",IFERROR(LEFT(H2908,FIND(" ",H2908)-1),H2908))</f>
        <v/>
      </c>
      <c r="O2908" s="20" t="n">
        <f aca="false">IFERROR(DATE(VALUE(MID(N2908,FIND("/",N2908,FIND("/",N2908)+1)+1,4)),VALUE(MID(N2908,FIND("/",N2908)+1,FIND("/",N2908,FIND("/",N2908)+1)-FIND("/",N2908)-1)),VALUE(LEFT(N2908,FIND("/",N2908)-1))),0)</f>
        <v>0</v>
      </c>
    </row>
    <row r="2909" customFormat="false" ht="15" hidden="false" customHeight="false" outlineLevel="0" collapsed="false">
      <c r="N2909" s="0" t="str">
        <f aca="false">IF(H2909="","",IFERROR(LEFT(H2909,FIND(" ",H2909)-1),H2909))</f>
        <v/>
      </c>
      <c r="O2909" s="20" t="n">
        <f aca="false">IFERROR(DATE(VALUE(MID(N2909,FIND("/",N2909,FIND("/",N2909)+1)+1,4)),VALUE(MID(N2909,FIND("/",N2909)+1,FIND("/",N2909,FIND("/",N2909)+1)-FIND("/",N2909)-1)),VALUE(LEFT(N2909,FIND("/",N2909)-1))),0)</f>
        <v>0</v>
      </c>
    </row>
    <row r="2910" customFormat="false" ht="15" hidden="false" customHeight="false" outlineLevel="0" collapsed="false">
      <c r="N2910" s="0" t="str">
        <f aca="false">IF(H2910="","",IFERROR(LEFT(H2910,FIND(" ",H2910)-1),H2910))</f>
        <v/>
      </c>
      <c r="O2910" s="20" t="n">
        <f aca="false">IFERROR(DATE(VALUE(MID(N2910,FIND("/",N2910,FIND("/",N2910)+1)+1,4)),VALUE(MID(N2910,FIND("/",N2910)+1,FIND("/",N2910,FIND("/",N2910)+1)-FIND("/",N2910)-1)),VALUE(LEFT(N2910,FIND("/",N2910)-1))),0)</f>
        <v>0</v>
      </c>
    </row>
    <row r="2911" customFormat="false" ht="15" hidden="false" customHeight="false" outlineLevel="0" collapsed="false">
      <c r="N2911" s="0" t="str">
        <f aca="false">IF(H2911="","",IFERROR(LEFT(H2911,FIND(" ",H2911)-1),H2911))</f>
        <v/>
      </c>
      <c r="O2911" s="20" t="n">
        <f aca="false">IFERROR(DATE(VALUE(MID(N2911,FIND("/",N2911,FIND("/",N2911)+1)+1,4)),VALUE(MID(N2911,FIND("/",N2911)+1,FIND("/",N2911,FIND("/",N2911)+1)-FIND("/",N2911)-1)),VALUE(LEFT(N2911,FIND("/",N2911)-1))),0)</f>
        <v>0</v>
      </c>
    </row>
    <row r="2912" customFormat="false" ht="15" hidden="false" customHeight="false" outlineLevel="0" collapsed="false">
      <c r="N2912" s="0" t="str">
        <f aca="false">IF(H2912="","",IFERROR(LEFT(H2912,FIND(" ",H2912)-1),H2912))</f>
        <v/>
      </c>
      <c r="O2912" s="20" t="n">
        <f aca="false">IFERROR(DATE(VALUE(MID(N2912,FIND("/",N2912,FIND("/",N2912)+1)+1,4)),VALUE(MID(N2912,FIND("/",N2912)+1,FIND("/",N2912,FIND("/",N2912)+1)-FIND("/",N2912)-1)),VALUE(LEFT(N2912,FIND("/",N2912)-1))),0)</f>
        <v>0</v>
      </c>
    </row>
    <row r="2913" customFormat="false" ht="15" hidden="false" customHeight="false" outlineLevel="0" collapsed="false">
      <c r="N2913" s="0" t="str">
        <f aca="false">IF(H2913="","",IFERROR(LEFT(H2913,FIND(" ",H2913)-1),H2913))</f>
        <v/>
      </c>
      <c r="O2913" s="20" t="n">
        <f aca="false">IFERROR(DATE(VALUE(MID(N2913,FIND("/",N2913,FIND("/",N2913)+1)+1,4)),VALUE(MID(N2913,FIND("/",N2913)+1,FIND("/",N2913,FIND("/",N2913)+1)-FIND("/",N2913)-1)),VALUE(LEFT(N2913,FIND("/",N2913)-1))),0)</f>
        <v>0</v>
      </c>
    </row>
    <row r="2914" customFormat="false" ht="15" hidden="false" customHeight="false" outlineLevel="0" collapsed="false">
      <c r="N2914" s="0" t="str">
        <f aca="false">IF(H2914="","",IFERROR(LEFT(H2914,FIND(" ",H2914)-1),H2914))</f>
        <v/>
      </c>
      <c r="O2914" s="20" t="n">
        <f aca="false">IFERROR(DATE(VALUE(MID(N2914,FIND("/",N2914,FIND("/",N2914)+1)+1,4)),VALUE(MID(N2914,FIND("/",N2914)+1,FIND("/",N2914,FIND("/",N2914)+1)-FIND("/",N2914)-1)),VALUE(LEFT(N2914,FIND("/",N2914)-1))),0)</f>
        <v>0</v>
      </c>
    </row>
    <row r="2915" customFormat="false" ht="15" hidden="false" customHeight="false" outlineLevel="0" collapsed="false">
      <c r="N2915" s="0" t="str">
        <f aca="false">IF(H2915="","",IFERROR(LEFT(H2915,FIND(" ",H2915)-1),H2915))</f>
        <v/>
      </c>
      <c r="O2915" s="20" t="n">
        <f aca="false">IFERROR(DATE(VALUE(MID(N2915,FIND("/",N2915,FIND("/",N2915)+1)+1,4)),VALUE(MID(N2915,FIND("/",N2915)+1,FIND("/",N2915,FIND("/",N2915)+1)-FIND("/",N2915)-1)),VALUE(LEFT(N2915,FIND("/",N2915)-1))),0)</f>
        <v>0</v>
      </c>
    </row>
    <row r="2916" customFormat="false" ht="15" hidden="false" customHeight="false" outlineLevel="0" collapsed="false">
      <c r="N2916" s="0" t="str">
        <f aca="false">IF(H2916="","",IFERROR(LEFT(H2916,FIND(" ",H2916)-1),H2916))</f>
        <v/>
      </c>
      <c r="O2916" s="20" t="n">
        <f aca="false">IFERROR(DATE(VALUE(MID(N2916,FIND("/",N2916,FIND("/",N2916)+1)+1,4)),VALUE(MID(N2916,FIND("/",N2916)+1,FIND("/",N2916,FIND("/",N2916)+1)-FIND("/",N2916)-1)),VALUE(LEFT(N2916,FIND("/",N2916)-1))),0)</f>
        <v>0</v>
      </c>
    </row>
    <row r="2917" customFormat="false" ht="15" hidden="false" customHeight="false" outlineLevel="0" collapsed="false">
      <c r="N2917" s="0" t="str">
        <f aca="false">IF(H2917="","",IFERROR(LEFT(H2917,FIND(" ",H2917)-1),H2917))</f>
        <v/>
      </c>
      <c r="O2917" s="20" t="n">
        <f aca="false">IFERROR(DATE(VALUE(MID(N2917,FIND("/",N2917,FIND("/",N2917)+1)+1,4)),VALUE(MID(N2917,FIND("/",N2917)+1,FIND("/",N2917,FIND("/",N2917)+1)-FIND("/",N2917)-1)),VALUE(LEFT(N2917,FIND("/",N2917)-1))),0)</f>
        <v>0</v>
      </c>
    </row>
    <row r="2918" customFormat="false" ht="15" hidden="false" customHeight="false" outlineLevel="0" collapsed="false">
      <c r="N2918" s="0" t="str">
        <f aca="false">IF(H2918="","",IFERROR(LEFT(H2918,FIND(" ",H2918)-1),H2918))</f>
        <v/>
      </c>
      <c r="O2918" s="20" t="n">
        <f aca="false">IFERROR(DATE(VALUE(MID(N2918,FIND("/",N2918,FIND("/",N2918)+1)+1,4)),VALUE(MID(N2918,FIND("/",N2918)+1,FIND("/",N2918,FIND("/",N2918)+1)-FIND("/",N2918)-1)),VALUE(LEFT(N2918,FIND("/",N2918)-1))),0)</f>
        <v>0</v>
      </c>
    </row>
    <row r="2919" customFormat="false" ht="15" hidden="false" customHeight="false" outlineLevel="0" collapsed="false">
      <c r="N2919" s="0" t="str">
        <f aca="false">IF(H2919="","",IFERROR(LEFT(H2919,FIND(" ",H2919)-1),H2919))</f>
        <v/>
      </c>
      <c r="O2919" s="20" t="n">
        <f aca="false">IFERROR(DATE(VALUE(MID(N2919,FIND("/",N2919,FIND("/",N2919)+1)+1,4)),VALUE(MID(N2919,FIND("/",N2919)+1,FIND("/",N2919,FIND("/",N2919)+1)-FIND("/",N2919)-1)),VALUE(LEFT(N2919,FIND("/",N2919)-1))),0)</f>
        <v>0</v>
      </c>
    </row>
    <row r="2920" customFormat="false" ht="15" hidden="false" customHeight="false" outlineLevel="0" collapsed="false">
      <c r="N2920" s="0" t="str">
        <f aca="false">IF(H2920="","",IFERROR(LEFT(H2920,FIND(" ",H2920)-1),H2920))</f>
        <v/>
      </c>
      <c r="O2920" s="20" t="n">
        <f aca="false">IFERROR(DATE(VALUE(MID(N2920,FIND("/",N2920,FIND("/",N2920)+1)+1,4)),VALUE(MID(N2920,FIND("/",N2920)+1,FIND("/",N2920,FIND("/",N2920)+1)-FIND("/",N2920)-1)),VALUE(LEFT(N2920,FIND("/",N2920)-1))),0)</f>
        <v>0</v>
      </c>
    </row>
    <row r="2921" customFormat="false" ht="15" hidden="false" customHeight="false" outlineLevel="0" collapsed="false">
      <c r="N2921" s="0" t="str">
        <f aca="false">IF(H2921="","",IFERROR(LEFT(H2921,FIND(" ",H2921)-1),H2921))</f>
        <v/>
      </c>
      <c r="O2921" s="20" t="n">
        <f aca="false">IFERROR(DATE(VALUE(MID(N2921,FIND("/",N2921,FIND("/",N2921)+1)+1,4)),VALUE(MID(N2921,FIND("/",N2921)+1,FIND("/",N2921,FIND("/",N2921)+1)-FIND("/",N2921)-1)),VALUE(LEFT(N2921,FIND("/",N2921)-1))),0)</f>
        <v>0</v>
      </c>
    </row>
    <row r="2922" customFormat="false" ht="15" hidden="false" customHeight="false" outlineLevel="0" collapsed="false">
      <c r="N2922" s="0" t="str">
        <f aca="false">IF(H2922="","",IFERROR(LEFT(H2922,FIND(" ",H2922)-1),H2922))</f>
        <v/>
      </c>
      <c r="O2922" s="20" t="n">
        <f aca="false">IFERROR(DATE(VALUE(MID(N2922,FIND("/",N2922,FIND("/",N2922)+1)+1,4)),VALUE(MID(N2922,FIND("/",N2922)+1,FIND("/",N2922,FIND("/",N2922)+1)-FIND("/",N2922)-1)),VALUE(LEFT(N2922,FIND("/",N2922)-1))),0)</f>
        <v>0</v>
      </c>
    </row>
    <row r="2923" customFormat="false" ht="15" hidden="false" customHeight="false" outlineLevel="0" collapsed="false">
      <c r="N2923" s="0" t="str">
        <f aca="false">IF(H2923="","",IFERROR(LEFT(H2923,FIND(" ",H2923)-1),H2923))</f>
        <v/>
      </c>
      <c r="O2923" s="20" t="n">
        <f aca="false">IFERROR(DATE(VALUE(MID(N2923,FIND("/",N2923,FIND("/",N2923)+1)+1,4)),VALUE(MID(N2923,FIND("/",N2923)+1,FIND("/",N2923,FIND("/",N2923)+1)-FIND("/",N2923)-1)),VALUE(LEFT(N2923,FIND("/",N2923)-1))),0)</f>
        <v>0</v>
      </c>
    </row>
    <row r="2924" customFormat="false" ht="15" hidden="false" customHeight="false" outlineLevel="0" collapsed="false">
      <c r="N2924" s="0" t="str">
        <f aca="false">IF(H2924="","",IFERROR(LEFT(H2924,FIND(" ",H2924)-1),H2924))</f>
        <v/>
      </c>
      <c r="O2924" s="20" t="n">
        <f aca="false">IFERROR(DATE(VALUE(MID(N2924,FIND("/",N2924,FIND("/",N2924)+1)+1,4)),VALUE(MID(N2924,FIND("/",N2924)+1,FIND("/",N2924,FIND("/",N2924)+1)-FIND("/",N2924)-1)),VALUE(LEFT(N2924,FIND("/",N2924)-1))),0)</f>
        <v>0</v>
      </c>
    </row>
    <row r="2925" customFormat="false" ht="15" hidden="false" customHeight="false" outlineLevel="0" collapsed="false">
      <c r="N2925" s="0" t="str">
        <f aca="false">IF(H2925="","",IFERROR(LEFT(H2925,FIND(" ",H2925)-1),H2925))</f>
        <v/>
      </c>
      <c r="O2925" s="20" t="n">
        <f aca="false">IFERROR(DATE(VALUE(MID(N2925,FIND("/",N2925,FIND("/",N2925)+1)+1,4)),VALUE(MID(N2925,FIND("/",N2925)+1,FIND("/",N2925,FIND("/",N2925)+1)-FIND("/",N2925)-1)),VALUE(LEFT(N2925,FIND("/",N2925)-1))),0)</f>
        <v>0</v>
      </c>
    </row>
    <row r="2926" customFormat="false" ht="15" hidden="false" customHeight="false" outlineLevel="0" collapsed="false">
      <c r="N2926" s="0" t="str">
        <f aca="false">IF(H2926="","",IFERROR(LEFT(H2926,FIND(" ",H2926)-1),H2926))</f>
        <v/>
      </c>
      <c r="O2926" s="20" t="n">
        <f aca="false">IFERROR(DATE(VALUE(MID(N2926,FIND("/",N2926,FIND("/",N2926)+1)+1,4)),VALUE(MID(N2926,FIND("/",N2926)+1,FIND("/",N2926,FIND("/",N2926)+1)-FIND("/",N2926)-1)),VALUE(LEFT(N2926,FIND("/",N2926)-1))),0)</f>
        <v>0</v>
      </c>
    </row>
    <row r="2927" customFormat="false" ht="15" hidden="false" customHeight="false" outlineLevel="0" collapsed="false">
      <c r="N2927" s="0" t="str">
        <f aca="false">IF(H2927="","",IFERROR(LEFT(H2927,FIND(" ",H2927)-1),H2927))</f>
        <v/>
      </c>
      <c r="O2927" s="20" t="n">
        <f aca="false">IFERROR(DATE(VALUE(MID(N2927,FIND("/",N2927,FIND("/",N2927)+1)+1,4)),VALUE(MID(N2927,FIND("/",N2927)+1,FIND("/",N2927,FIND("/",N2927)+1)-FIND("/",N2927)-1)),VALUE(LEFT(N2927,FIND("/",N2927)-1))),0)</f>
        <v>0</v>
      </c>
    </row>
    <row r="2928" customFormat="false" ht="15" hidden="false" customHeight="false" outlineLevel="0" collapsed="false">
      <c r="N2928" s="0" t="str">
        <f aca="false">IF(H2928="","",IFERROR(LEFT(H2928,FIND(" ",H2928)-1),H2928))</f>
        <v/>
      </c>
      <c r="O2928" s="20" t="n">
        <f aca="false">IFERROR(DATE(VALUE(MID(N2928,FIND("/",N2928,FIND("/",N2928)+1)+1,4)),VALUE(MID(N2928,FIND("/",N2928)+1,FIND("/",N2928,FIND("/",N2928)+1)-FIND("/",N2928)-1)),VALUE(LEFT(N2928,FIND("/",N2928)-1))),0)</f>
        <v>0</v>
      </c>
    </row>
    <row r="2929" customFormat="false" ht="15" hidden="false" customHeight="false" outlineLevel="0" collapsed="false">
      <c r="N2929" s="0" t="str">
        <f aca="false">IF(H2929="","",IFERROR(LEFT(H2929,FIND(" ",H2929)-1),H2929))</f>
        <v/>
      </c>
      <c r="O2929" s="20" t="n">
        <f aca="false">IFERROR(DATE(VALUE(MID(N2929,FIND("/",N2929,FIND("/",N2929)+1)+1,4)),VALUE(MID(N2929,FIND("/",N2929)+1,FIND("/",N2929,FIND("/",N2929)+1)-FIND("/",N2929)-1)),VALUE(LEFT(N2929,FIND("/",N2929)-1))),0)</f>
        <v>0</v>
      </c>
    </row>
    <row r="2930" customFormat="false" ht="15" hidden="false" customHeight="false" outlineLevel="0" collapsed="false">
      <c r="N2930" s="0" t="str">
        <f aca="false">IF(H2930="","",IFERROR(LEFT(H2930,FIND(" ",H2930)-1),H2930))</f>
        <v/>
      </c>
      <c r="O2930" s="20" t="n">
        <f aca="false">IFERROR(DATE(VALUE(MID(N2930,FIND("/",N2930,FIND("/",N2930)+1)+1,4)),VALUE(MID(N2930,FIND("/",N2930)+1,FIND("/",N2930,FIND("/",N2930)+1)-FIND("/",N2930)-1)),VALUE(LEFT(N2930,FIND("/",N2930)-1))),0)</f>
        <v>0</v>
      </c>
    </row>
    <row r="2931" customFormat="false" ht="15" hidden="false" customHeight="false" outlineLevel="0" collapsed="false">
      <c r="N2931" s="0" t="str">
        <f aca="false">IF(H2931="","",IFERROR(LEFT(H2931,FIND(" ",H2931)-1),H2931))</f>
        <v/>
      </c>
      <c r="O2931" s="20" t="n">
        <f aca="false">IFERROR(DATE(VALUE(MID(N2931,FIND("/",N2931,FIND("/",N2931)+1)+1,4)),VALUE(MID(N2931,FIND("/",N2931)+1,FIND("/",N2931,FIND("/",N2931)+1)-FIND("/",N2931)-1)),VALUE(LEFT(N2931,FIND("/",N2931)-1))),0)</f>
        <v>0</v>
      </c>
    </row>
    <row r="2932" customFormat="false" ht="15" hidden="false" customHeight="false" outlineLevel="0" collapsed="false">
      <c r="N2932" s="0" t="str">
        <f aca="false">IF(H2932="","",IFERROR(LEFT(H2932,FIND(" ",H2932)-1),H2932))</f>
        <v/>
      </c>
      <c r="O2932" s="20" t="n">
        <f aca="false">IFERROR(DATE(VALUE(MID(N2932,FIND("/",N2932,FIND("/",N2932)+1)+1,4)),VALUE(MID(N2932,FIND("/",N2932)+1,FIND("/",N2932,FIND("/",N2932)+1)-FIND("/",N2932)-1)),VALUE(LEFT(N2932,FIND("/",N2932)-1))),0)</f>
        <v>0</v>
      </c>
    </row>
    <row r="2933" customFormat="false" ht="15" hidden="false" customHeight="false" outlineLevel="0" collapsed="false">
      <c r="N2933" s="0" t="str">
        <f aca="false">IF(H2933="","",IFERROR(LEFT(H2933,FIND(" ",H2933)-1),H2933))</f>
        <v/>
      </c>
      <c r="O2933" s="20" t="n">
        <f aca="false">IFERROR(DATE(VALUE(MID(N2933,FIND("/",N2933,FIND("/",N2933)+1)+1,4)),VALUE(MID(N2933,FIND("/",N2933)+1,FIND("/",N2933,FIND("/",N2933)+1)-FIND("/",N2933)-1)),VALUE(LEFT(N2933,FIND("/",N2933)-1))),0)</f>
        <v>0</v>
      </c>
    </row>
    <row r="2934" customFormat="false" ht="15" hidden="false" customHeight="false" outlineLevel="0" collapsed="false">
      <c r="N2934" s="0" t="str">
        <f aca="false">IF(H2934="","",IFERROR(LEFT(H2934,FIND(" ",H2934)-1),H2934))</f>
        <v/>
      </c>
      <c r="O2934" s="20" t="n">
        <f aca="false">IFERROR(DATE(VALUE(MID(N2934,FIND("/",N2934,FIND("/",N2934)+1)+1,4)),VALUE(MID(N2934,FIND("/",N2934)+1,FIND("/",N2934,FIND("/",N2934)+1)-FIND("/",N2934)-1)),VALUE(LEFT(N2934,FIND("/",N2934)-1))),0)</f>
        <v>0</v>
      </c>
    </row>
    <row r="2935" customFormat="false" ht="15" hidden="false" customHeight="false" outlineLevel="0" collapsed="false">
      <c r="N2935" s="0" t="str">
        <f aca="false">IF(H2935="","",IFERROR(LEFT(H2935,FIND(" ",H2935)-1),H2935))</f>
        <v/>
      </c>
      <c r="O2935" s="20" t="n">
        <f aca="false">IFERROR(DATE(VALUE(MID(N2935,FIND("/",N2935,FIND("/",N2935)+1)+1,4)),VALUE(MID(N2935,FIND("/",N2935)+1,FIND("/",N2935,FIND("/",N2935)+1)-FIND("/",N2935)-1)),VALUE(LEFT(N2935,FIND("/",N2935)-1))),0)</f>
        <v>0</v>
      </c>
    </row>
    <row r="2936" customFormat="false" ht="15" hidden="false" customHeight="false" outlineLevel="0" collapsed="false">
      <c r="N2936" s="0" t="str">
        <f aca="false">IF(H2936="","",IFERROR(LEFT(H2936,FIND(" ",H2936)-1),H2936))</f>
        <v/>
      </c>
      <c r="O2936" s="20" t="n">
        <f aca="false">IFERROR(DATE(VALUE(MID(N2936,FIND("/",N2936,FIND("/",N2936)+1)+1,4)),VALUE(MID(N2936,FIND("/",N2936)+1,FIND("/",N2936,FIND("/",N2936)+1)-FIND("/",N2936)-1)),VALUE(LEFT(N2936,FIND("/",N2936)-1))),0)</f>
        <v>0</v>
      </c>
    </row>
    <row r="2937" customFormat="false" ht="15" hidden="false" customHeight="false" outlineLevel="0" collapsed="false">
      <c r="N2937" s="0" t="str">
        <f aca="false">IF(H2937="","",IFERROR(LEFT(H2937,FIND(" ",H2937)-1),H2937))</f>
        <v/>
      </c>
      <c r="O2937" s="20" t="n">
        <f aca="false">IFERROR(DATE(VALUE(MID(N2937,FIND("/",N2937,FIND("/",N2937)+1)+1,4)),VALUE(MID(N2937,FIND("/",N2937)+1,FIND("/",N2937,FIND("/",N2937)+1)-FIND("/",N2937)-1)),VALUE(LEFT(N2937,FIND("/",N2937)-1))),0)</f>
        <v>0</v>
      </c>
    </row>
    <row r="2938" customFormat="false" ht="15" hidden="false" customHeight="false" outlineLevel="0" collapsed="false">
      <c r="N2938" s="0" t="str">
        <f aca="false">IF(H2938="","",IFERROR(LEFT(H2938,FIND(" ",H2938)-1),H2938))</f>
        <v/>
      </c>
      <c r="O2938" s="20" t="n">
        <f aca="false">IFERROR(DATE(VALUE(MID(N2938,FIND("/",N2938,FIND("/",N2938)+1)+1,4)),VALUE(MID(N2938,FIND("/",N2938)+1,FIND("/",N2938,FIND("/",N2938)+1)-FIND("/",N2938)-1)),VALUE(LEFT(N2938,FIND("/",N2938)-1))),0)</f>
        <v>0</v>
      </c>
    </row>
    <row r="2939" customFormat="false" ht="15" hidden="false" customHeight="false" outlineLevel="0" collapsed="false">
      <c r="N2939" s="0" t="str">
        <f aca="false">IF(H2939="","",IFERROR(LEFT(H2939,FIND(" ",H2939)-1),H2939))</f>
        <v/>
      </c>
      <c r="O2939" s="20" t="n">
        <f aca="false">IFERROR(DATE(VALUE(MID(N2939,FIND("/",N2939,FIND("/",N2939)+1)+1,4)),VALUE(MID(N2939,FIND("/",N2939)+1,FIND("/",N2939,FIND("/",N2939)+1)-FIND("/",N2939)-1)),VALUE(LEFT(N2939,FIND("/",N2939)-1))),0)</f>
        <v>0</v>
      </c>
    </row>
    <row r="2940" customFormat="false" ht="15" hidden="false" customHeight="false" outlineLevel="0" collapsed="false">
      <c r="N2940" s="0" t="str">
        <f aca="false">IF(H2940="","",IFERROR(LEFT(H2940,FIND(" ",H2940)-1),H2940))</f>
        <v/>
      </c>
      <c r="O2940" s="20" t="n">
        <f aca="false">IFERROR(DATE(VALUE(MID(N2940,FIND("/",N2940,FIND("/",N2940)+1)+1,4)),VALUE(MID(N2940,FIND("/",N2940)+1,FIND("/",N2940,FIND("/",N2940)+1)-FIND("/",N2940)-1)),VALUE(LEFT(N2940,FIND("/",N2940)-1))),0)</f>
        <v>0</v>
      </c>
    </row>
    <row r="2941" customFormat="false" ht="15" hidden="false" customHeight="false" outlineLevel="0" collapsed="false">
      <c r="N2941" s="0" t="str">
        <f aca="false">IF(H2941="","",IFERROR(LEFT(H2941,FIND(" ",H2941)-1),H2941))</f>
        <v/>
      </c>
      <c r="O2941" s="20" t="n">
        <f aca="false">IFERROR(DATE(VALUE(MID(N2941,FIND("/",N2941,FIND("/",N2941)+1)+1,4)),VALUE(MID(N2941,FIND("/",N2941)+1,FIND("/",N2941,FIND("/",N2941)+1)-FIND("/",N2941)-1)),VALUE(LEFT(N2941,FIND("/",N2941)-1))),0)</f>
        <v>0</v>
      </c>
    </row>
    <row r="2942" customFormat="false" ht="15" hidden="false" customHeight="false" outlineLevel="0" collapsed="false">
      <c r="N2942" s="0" t="str">
        <f aca="false">IF(H2942="","",IFERROR(LEFT(H2942,FIND(" ",H2942)-1),H2942))</f>
        <v/>
      </c>
      <c r="O2942" s="20" t="n">
        <f aca="false">IFERROR(DATE(VALUE(MID(N2942,FIND("/",N2942,FIND("/",N2942)+1)+1,4)),VALUE(MID(N2942,FIND("/",N2942)+1,FIND("/",N2942,FIND("/",N2942)+1)-FIND("/",N2942)-1)),VALUE(LEFT(N2942,FIND("/",N2942)-1))),0)</f>
        <v>0</v>
      </c>
    </row>
    <row r="2943" customFormat="false" ht="15" hidden="false" customHeight="false" outlineLevel="0" collapsed="false">
      <c r="N2943" s="0" t="str">
        <f aca="false">IF(H2943="","",IFERROR(LEFT(H2943,FIND(" ",H2943)-1),H2943))</f>
        <v/>
      </c>
      <c r="O2943" s="20" t="n">
        <f aca="false">IFERROR(DATE(VALUE(MID(N2943,FIND("/",N2943,FIND("/",N2943)+1)+1,4)),VALUE(MID(N2943,FIND("/",N2943)+1,FIND("/",N2943,FIND("/",N2943)+1)-FIND("/",N2943)-1)),VALUE(LEFT(N2943,FIND("/",N2943)-1))),0)</f>
        <v>0</v>
      </c>
    </row>
    <row r="2944" customFormat="false" ht="15" hidden="false" customHeight="false" outlineLevel="0" collapsed="false">
      <c r="N2944" s="0" t="str">
        <f aca="false">IF(H2944="","",IFERROR(LEFT(H2944,FIND(" ",H2944)-1),H2944))</f>
        <v/>
      </c>
      <c r="O2944" s="20" t="n">
        <f aca="false">IFERROR(DATE(VALUE(MID(N2944,FIND("/",N2944,FIND("/",N2944)+1)+1,4)),VALUE(MID(N2944,FIND("/",N2944)+1,FIND("/",N2944,FIND("/",N2944)+1)-FIND("/",N2944)-1)),VALUE(LEFT(N2944,FIND("/",N2944)-1))),0)</f>
        <v>0</v>
      </c>
    </row>
    <row r="2945" customFormat="false" ht="15" hidden="false" customHeight="false" outlineLevel="0" collapsed="false">
      <c r="N2945" s="0" t="str">
        <f aca="false">IF(H2945="","",IFERROR(LEFT(H2945,FIND(" ",H2945)-1),H2945))</f>
        <v/>
      </c>
      <c r="O2945" s="20" t="n">
        <f aca="false">IFERROR(DATE(VALUE(MID(N2945,FIND("/",N2945,FIND("/",N2945)+1)+1,4)),VALUE(MID(N2945,FIND("/",N2945)+1,FIND("/",N2945,FIND("/",N2945)+1)-FIND("/",N2945)-1)),VALUE(LEFT(N2945,FIND("/",N2945)-1))),0)</f>
        <v>0</v>
      </c>
    </row>
    <row r="2946" customFormat="false" ht="15" hidden="false" customHeight="false" outlineLevel="0" collapsed="false">
      <c r="N2946" s="0" t="str">
        <f aca="false">IF(H2946="","",IFERROR(LEFT(H2946,FIND(" ",H2946)-1),H2946))</f>
        <v/>
      </c>
      <c r="O2946" s="20" t="n">
        <f aca="false">IFERROR(DATE(VALUE(MID(N2946,FIND("/",N2946,FIND("/",N2946)+1)+1,4)),VALUE(MID(N2946,FIND("/",N2946)+1,FIND("/",N2946,FIND("/",N2946)+1)-FIND("/",N2946)-1)),VALUE(LEFT(N2946,FIND("/",N2946)-1))),0)</f>
        <v>0</v>
      </c>
    </row>
    <row r="2947" customFormat="false" ht="15" hidden="false" customHeight="false" outlineLevel="0" collapsed="false">
      <c r="N2947" s="0" t="str">
        <f aca="false">IF(H2947="","",IFERROR(LEFT(H2947,FIND(" ",H2947)-1),H2947))</f>
        <v/>
      </c>
      <c r="O2947" s="20" t="n">
        <f aca="false">IFERROR(DATE(VALUE(MID(N2947,FIND("/",N2947,FIND("/",N2947)+1)+1,4)),VALUE(MID(N2947,FIND("/",N2947)+1,FIND("/",N2947,FIND("/",N2947)+1)-FIND("/",N2947)-1)),VALUE(LEFT(N2947,FIND("/",N2947)-1))),0)</f>
        <v>0</v>
      </c>
    </row>
    <row r="2948" customFormat="false" ht="15" hidden="false" customHeight="false" outlineLevel="0" collapsed="false">
      <c r="N2948" s="0" t="str">
        <f aca="false">IF(H2948="","",IFERROR(LEFT(H2948,FIND(" ",H2948)-1),H2948))</f>
        <v/>
      </c>
      <c r="O2948" s="20" t="n">
        <f aca="false">IFERROR(DATE(VALUE(MID(N2948,FIND("/",N2948,FIND("/",N2948)+1)+1,4)),VALUE(MID(N2948,FIND("/",N2948)+1,FIND("/",N2948,FIND("/",N2948)+1)-FIND("/",N2948)-1)),VALUE(LEFT(N2948,FIND("/",N2948)-1))),0)</f>
        <v>0</v>
      </c>
    </row>
    <row r="2949" customFormat="false" ht="15" hidden="false" customHeight="false" outlineLevel="0" collapsed="false">
      <c r="N2949" s="0" t="str">
        <f aca="false">IF(H2949="","",IFERROR(LEFT(H2949,FIND(" ",H2949)-1),H2949))</f>
        <v/>
      </c>
      <c r="O2949" s="20" t="n">
        <f aca="false">IFERROR(DATE(VALUE(MID(N2949,FIND("/",N2949,FIND("/",N2949)+1)+1,4)),VALUE(MID(N2949,FIND("/",N2949)+1,FIND("/",N2949,FIND("/",N2949)+1)-FIND("/",N2949)-1)),VALUE(LEFT(N2949,FIND("/",N2949)-1))),0)</f>
        <v>0</v>
      </c>
    </row>
    <row r="2950" customFormat="false" ht="15" hidden="false" customHeight="false" outlineLevel="0" collapsed="false">
      <c r="N2950" s="0" t="str">
        <f aca="false">IF(H2950="","",IFERROR(LEFT(H2950,FIND(" ",H2950)-1),H2950))</f>
        <v/>
      </c>
      <c r="O2950" s="20" t="n">
        <f aca="false">IFERROR(DATE(VALUE(MID(N2950,FIND("/",N2950,FIND("/",N2950)+1)+1,4)),VALUE(MID(N2950,FIND("/",N2950)+1,FIND("/",N2950,FIND("/",N2950)+1)-FIND("/",N2950)-1)),VALUE(LEFT(N2950,FIND("/",N2950)-1))),0)</f>
        <v>0</v>
      </c>
    </row>
    <row r="2951" customFormat="false" ht="15" hidden="false" customHeight="false" outlineLevel="0" collapsed="false">
      <c r="N2951" s="0" t="str">
        <f aca="false">IF(H2951="","",IFERROR(LEFT(H2951,FIND(" ",H2951)-1),H2951))</f>
        <v/>
      </c>
      <c r="O2951" s="20" t="n">
        <f aca="false">IFERROR(DATE(VALUE(MID(N2951,FIND("/",N2951,FIND("/",N2951)+1)+1,4)),VALUE(MID(N2951,FIND("/",N2951)+1,FIND("/",N2951,FIND("/",N2951)+1)-FIND("/",N2951)-1)),VALUE(LEFT(N2951,FIND("/",N2951)-1))),0)</f>
        <v>0</v>
      </c>
    </row>
    <row r="2952" customFormat="false" ht="15" hidden="false" customHeight="false" outlineLevel="0" collapsed="false">
      <c r="N2952" s="0" t="str">
        <f aca="false">IF(H2952="","",IFERROR(LEFT(H2952,FIND(" ",H2952)-1),H2952))</f>
        <v/>
      </c>
      <c r="O2952" s="20" t="n">
        <f aca="false">IFERROR(DATE(VALUE(MID(N2952,FIND("/",N2952,FIND("/",N2952)+1)+1,4)),VALUE(MID(N2952,FIND("/",N2952)+1,FIND("/",N2952,FIND("/",N2952)+1)-FIND("/",N2952)-1)),VALUE(LEFT(N2952,FIND("/",N2952)-1))),0)</f>
        <v>0</v>
      </c>
    </row>
    <row r="2953" customFormat="false" ht="15" hidden="false" customHeight="false" outlineLevel="0" collapsed="false">
      <c r="N2953" s="0" t="str">
        <f aca="false">IF(H2953="","",IFERROR(LEFT(H2953,FIND(" ",H2953)-1),H2953))</f>
        <v/>
      </c>
      <c r="O2953" s="20" t="n">
        <f aca="false">IFERROR(DATE(VALUE(MID(N2953,FIND("/",N2953,FIND("/",N2953)+1)+1,4)),VALUE(MID(N2953,FIND("/",N2953)+1,FIND("/",N2953,FIND("/",N2953)+1)-FIND("/",N2953)-1)),VALUE(LEFT(N2953,FIND("/",N2953)-1))),0)</f>
        <v>0</v>
      </c>
    </row>
    <row r="2954" customFormat="false" ht="15" hidden="false" customHeight="false" outlineLevel="0" collapsed="false">
      <c r="N2954" s="0" t="str">
        <f aca="false">IF(H2954="","",IFERROR(LEFT(H2954,FIND(" ",H2954)-1),H2954))</f>
        <v/>
      </c>
      <c r="O2954" s="20" t="n">
        <f aca="false">IFERROR(DATE(VALUE(MID(N2954,FIND("/",N2954,FIND("/",N2954)+1)+1,4)),VALUE(MID(N2954,FIND("/",N2954)+1,FIND("/",N2954,FIND("/",N2954)+1)-FIND("/",N2954)-1)),VALUE(LEFT(N2954,FIND("/",N2954)-1))),0)</f>
        <v>0</v>
      </c>
    </row>
    <row r="2955" customFormat="false" ht="15" hidden="false" customHeight="false" outlineLevel="0" collapsed="false">
      <c r="N2955" s="0" t="str">
        <f aca="false">IF(H2955="","",IFERROR(LEFT(H2955,FIND(" ",H2955)-1),H2955))</f>
        <v/>
      </c>
      <c r="O2955" s="20" t="n">
        <f aca="false">IFERROR(DATE(VALUE(MID(N2955,FIND("/",N2955,FIND("/",N2955)+1)+1,4)),VALUE(MID(N2955,FIND("/",N2955)+1,FIND("/",N2955,FIND("/",N2955)+1)-FIND("/",N2955)-1)),VALUE(LEFT(N2955,FIND("/",N2955)-1))),0)</f>
        <v>0</v>
      </c>
    </row>
    <row r="2956" customFormat="false" ht="15" hidden="false" customHeight="false" outlineLevel="0" collapsed="false">
      <c r="N2956" s="0" t="str">
        <f aca="false">IF(H2956="","",IFERROR(LEFT(H2956,FIND(" ",H2956)-1),H2956))</f>
        <v/>
      </c>
      <c r="O2956" s="20" t="n">
        <f aca="false">IFERROR(DATE(VALUE(MID(N2956,FIND("/",N2956,FIND("/",N2956)+1)+1,4)),VALUE(MID(N2956,FIND("/",N2956)+1,FIND("/",N2956,FIND("/",N2956)+1)-FIND("/",N2956)-1)),VALUE(LEFT(N2956,FIND("/",N2956)-1))),0)</f>
        <v>0</v>
      </c>
    </row>
    <row r="2957" customFormat="false" ht="15" hidden="false" customHeight="false" outlineLevel="0" collapsed="false">
      <c r="N2957" s="0" t="str">
        <f aca="false">IF(H2957="","",IFERROR(LEFT(H2957,FIND(" ",H2957)-1),H2957))</f>
        <v/>
      </c>
      <c r="O2957" s="20" t="n">
        <f aca="false">IFERROR(DATE(VALUE(MID(N2957,FIND("/",N2957,FIND("/",N2957)+1)+1,4)),VALUE(MID(N2957,FIND("/",N2957)+1,FIND("/",N2957,FIND("/",N2957)+1)-FIND("/",N2957)-1)),VALUE(LEFT(N2957,FIND("/",N2957)-1))),0)</f>
        <v>0</v>
      </c>
    </row>
    <row r="2958" customFormat="false" ht="15" hidden="false" customHeight="false" outlineLevel="0" collapsed="false">
      <c r="N2958" s="0" t="str">
        <f aca="false">IF(H2958="","",IFERROR(LEFT(H2958,FIND(" ",H2958)-1),H2958))</f>
        <v/>
      </c>
      <c r="O2958" s="20" t="n">
        <f aca="false">IFERROR(DATE(VALUE(MID(N2958,FIND("/",N2958,FIND("/",N2958)+1)+1,4)),VALUE(MID(N2958,FIND("/",N2958)+1,FIND("/",N2958,FIND("/",N2958)+1)-FIND("/",N2958)-1)),VALUE(LEFT(N2958,FIND("/",N2958)-1))),0)</f>
        <v>0</v>
      </c>
    </row>
    <row r="2959" customFormat="false" ht="15" hidden="false" customHeight="false" outlineLevel="0" collapsed="false">
      <c r="N2959" s="0" t="str">
        <f aca="false">IF(H2959="","",IFERROR(LEFT(H2959,FIND(" ",H2959)-1),H2959))</f>
        <v/>
      </c>
      <c r="O2959" s="20" t="n">
        <f aca="false">IFERROR(DATE(VALUE(MID(N2959,FIND("/",N2959,FIND("/",N2959)+1)+1,4)),VALUE(MID(N2959,FIND("/",N2959)+1,FIND("/",N2959,FIND("/",N2959)+1)-FIND("/",N2959)-1)),VALUE(LEFT(N2959,FIND("/",N2959)-1))),0)</f>
        <v>0</v>
      </c>
    </row>
    <row r="2960" customFormat="false" ht="15" hidden="false" customHeight="false" outlineLevel="0" collapsed="false">
      <c r="N2960" s="0" t="str">
        <f aca="false">IF(H2960="","",IFERROR(LEFT(H2960,FIND(" ",H2960)-1),H2960))</f>
        <v/>
      </c>
      <c r="O2960" s="20" t="n">
        <f aca="false">IFERROR(DATE(VALUE(MID(N2960,FIND("/",N2960,FIND("/",N2960)+1)+1,4)),VALUE(MID(N2960,FIND("/",N2960)+1,FIND("/",N2960,FIND("/",N2960)+1)-FIND("/",N2960)-1)),VALUE(LEFT(N2960,FIND("/",N2960)-1))),0)</f>
        <v>0</v>
      </c>
    </row>
    <row r="2961" customFormat="false" ht="15" hidden="false" customHeight="false" outlineLevel="0" collapsed="false">
      <c r="N2961" s="0" t="str">
        <f aca="false">IF(H2961="","",IFERROR(LEFT(H2961,FIND(" ",H2961)-1),H2961))</f>
        <v/>
      </c>
      <c r="O2961" s="20" t="n">
        <f aca="false">IFERROR(DATE(VALUE(MID(N2961,FIND("/",N2961,FIND("/",N2961)+1)+1,4)),VALUE(MID(N2961,FIND("/",N2961)+1,FIND("/",N2961,FIND("/",N2961)+1)-FIND("/",N2961)-1)),VALUE(LEFT(N2961,FIND("/",N2961)-1))),0)</f>
        <v>0</v>
      </c>
    </row>
    <row r="2962" customFormat="false" ht="15" hidden="false" customHeight="false" outlineLevel="0" collapsed="false">
      <c r="N2962" s="0" t="str">
        <f aca="false">IF(H2962="","",IFERROR(LEFT(H2962,FIND(" ",H2962)-1),H2962))</f>
        <v/>
      </c>
      <c r="O2962" s="20" t="n">
        <f aca="false">IFERROR(DATE(VALUE(MID(N2962,FIND("/",N2962,FIND("/",N2962)+1)+1,4)),VALUE(MID(N2962,FIND("/",N2962)+1,FIND("/",N2962,FIND("/",N2962)+1)-FIND("/",N2962)-1)),VALUE(LEFT(N2962,FIND("/",N2962)-1))),0)</f>
        <v>0</v>
      </c>
    </row>
    <row r="2963" customFormat="false" ht="15" hidden="false" customHeight="false" outlineLevel="0" collapsed="false">
      <c r="N2963" s="0" t="str">
        <f aca="false">IF(H2963="","",IFERROR(LEFT(H2963,FIND(" ",H2963)-1),H2963))</f>
        <v/>
      </c>
      <c r="O2963" s="20" t="n">
        <f aca="false">IFERROR(DATE(VALUE(MID(N2963,FIND("/",N2963,FIND("/",N2963)+1)+1,4)),VALUE(MID(N2963,FIND("/",N2963)+1,FIND("/",N2963,FIND("/",N2963)+1)-FIND("/",N2963)-1)),VALUE(LEFT(N2963,FIND("/",N2963)-1))),0)</f>
        <v>0</v>
      </c>
    </row>
    <row r="2964" customFormat="false" ht="15" hidden="false" customHeight="false" outlineLevel="0" collapsed="false">
      <c r="N2964" s="0" t="str">
        <f aca="false">IF(H2964="","",IFERROR(LEFT(H2964,FIND(" ",H2964)-1),H2964))</f>
        <v/>
      </c>
      <c r="O2964" s="20" t="n">
        <f aca="false">IFERROR(DATE(VALUE(MID(N2964,FIND("/",N2964,FIND("/",N2964)+1)+1,4)),VALUE(MID(N2964,FIND("/",N2964)+1,FIND("/",N2964,FIND("/",N2964)+1)-FIND("/",N2964)-1)),VALUE(LEFT(N2964,FIND("/",N2964)-1))),0)</f>
        <v>0</v>
      </c>
    </row>
    <row r="2965" customFormat="false" ht="15" hidden="false" customHeight="false" outlineLevel="0" collapsed="false">
      <c r="N2965" s="0" t="str">
        <f aca="false">IF(H2965="","",IFERROR(LEFT(H2965,FIND(" ",H2965)-1),H2965))</f>
        <v/>
      </c>
      <c r="O2965" s="20" t="n">
        <f aca="false">IFERROR(DATE(VALUE(MID(N2965,FIND("/",N2965,FIND("/",N2965)+1)+1,4)),VALUE(MID(N2965,FIND("/",N2965)+1,FIND("/",N2965,FIND("/",N2965)+1)-FIND("/",N2965)-1)),VALUE(LEFT(N2965,FIND("/",N2965)-1))),0)</f>
        <v>0</v>
      </c>
    </row>
    <row r="2966" customFormat="false" ht="15" hidden="false" customHeight="false" outlineLevel="0" collapsed="false">
      <c r="N2966" s="0" t="str">
        <f aca="false">IF(H2966="","",IFERROR(LEFT(H2966,FIND(" ",H2966)-1),H2966))</f>
        <v/>
      </c>
      <c r="O2966" s="20" t="n">
        <f aca="false">IFERROR(DATE(VALUE(MID(N2966,FIND("/",N2966,FIND("/",N2966)+1)+1,4)),VALUE(MID(N2966,FIND("/",N2966)+1,FIND("/",N2966,FIND("/",N2966)+1)-FIND("/",N2966)-1)),VALUE(LEFT(N2966,FIND("/",N2966)-1))),0)</f>
        <v>0</v>
      </c>
    </row>
    <row r="2967" customFormat="false" ht="15" hidden="false" customHeight="false" outlineLevel="0" collapsed="false">
      <c r="N2967" s="0" t="str">
        <f aca="false">IF(H2967="","",IFERROR(LEFT(H2967,FIND(" ",H2967)-1),H2967))</f>
        <v/>
      </c>
      <c r="O2967" s="20" t="n">
        <f aca="false">IFERROR(DATE(VALUE(MID(N2967,FIND("/",N2967,FIND("/",N2967)+1)+1,4)),VALUE(MID(N2967,FIND("/",N2967)+1,FIND("/",N2967,FIND("/",N2967)+1)-FIND("/",N2967)-1)),VALUE(LEFT(N2967,FIND("/",N2967)-1))),0)</f>
        <v>0</v>
      </c>
    </row>
    <row r="2968" customFormat="false" ht="15" hidden="false" customHeight="false" outlineLevel="0" collapsed="false">
      <c r="N2968" s="0" t="str">
        <f aca="false">IF(H2968="","",IFERROR(LEFT(H2968,FIND(" ",H2968)-1),H2968))</f>
        <v/>
      </c>
      <c r="O2968" s="20" t="n">
        <f aca="false">IFERROR(DATE(VALUE(MID(N2968,FIND("/",N2968,FIND("/",N2968)+1)+1,4)),VALUE(MID(N2968,FIND("/",N2968)+1,FIND("/",N2968,FIND("/",N2968)+1)-FIND("/",N2968)-1)),VALUE(LEFT(N2968,FIND("/",N2968)-1))),0)</f>
        <v>0</v>
      </c>
    </row>
    <row r="2969" customFormat="false" ht="15" hidden="false" customHeight="false" outlineLevel="0" collapsed="false">
      <c r="N2969" s="0" t="str">
        <f aca="false">IF(H2969="","",IFERROR(LEFT(H2969,FIND(" ",H2969)-1),H2969))</f>
        <v/>
      </c>
      <c r="O2969" s="20" t="n">
        <f aca="false">IFERROR(DATE(VALUE(MID(N2969,FIND("/",N2969,FIND("/",N2969)+1)+1,4)),VALUE(MID(N2969,FIND("/",N2969)+1,FIND("/",N2969,FIND("/",N2969)+1)-FIND("/",N2969)-1)),VALUE(LEFT(N2969,FIND("/",N2969)-1))),0)</f>
        <v>0</v>
      </c>
    </row>
    <row r="2970" customFormat="false" ht="15" hidden="false" customHeight="false" outlineLevel="0" collapsed="false">
      <c r="N2970" s="0" t="str">
        <f aca="false">IF(H2970="","",IFERROR(LEFT(H2970,FIND(" ",H2970)-1),H2970))</f>
        <v/>
      </c>
      <c r="O2970" s="20" t="n">
        <f aca="false">IFERROR(DATE(VALUE(MID(N2970,FIND("/",N2970,FIND("/",N2970)+1)+1,4)),VALUE(MID(N2970,FIND("/",N2970)+1,FIND("/",N2970,FIND("/",N2970)+1)-FIND("/",N2970)-1)),VALUE(LEFT(N2970,FIND("/",N2970)-1))),0)</f>
        <v>0</v>
      </c>
    </row>
    <row r="2971" customFormat="false" ht="15" hidden="false" customHeight="false" outlineLevel="0" collapsed="false">
      <c r="N2971" s="0" t="str">
        <f aca="false">IF(H2971="","",IFERROR(LEFT(H2971,FIND(" ",H2971)-1),H2971))</f>
        <v/>
      </c>
      <c r="O2971" s="20" t="n">
        <f aca="false">IFERROR(DATE(VALUE(MID(N2971,FIND("/",N2971,FIND("/",N2971)+1)+1,4)),VALUE(MID(N2971,FIND("/",N2971)+1,FIND("/",N2971,FIND("/",N2971)+1)-FIND("/",N2971)-1)),VALUE(LEFT(N2971,FIND("/",N2971)-1))),0)</f>
        <v>0</v>
      </c>
    </row>
    <row r="2972" customFormat="false" ht="15" hidden="false" customHeight="false" outlineLevel="0" collapsed="false">
      <c r="N2972" s="0" t="str">
        <f aca="false">IF(H2972="","",IFERROR(LEFT(H2972,FIND(" ",H2972)-1),H2972))</f>
        <v/>
      </c>
      <c r="O2972" s="20" t="n">
        <f aca="false">IFERROR(DATE(VALUE(MID(N2972,FIND("/",N2972,FIND("/",N2972)+1)+1,4)),VALUE(MID(N2972,FIND("/",N2972)+1,FIND("/",N2972,FIND("/",N2972)+1)-FIND("/",N2972)-1)),VALUE(LEFT(N2972,FIND("/",N2972)-1))),0)</f>
        <v>0</v>
      </c>
    </row>
    <row r="2973" customFormat="false" ht="15" hidden="false" customHeight="false" outlineLevel="0" collapsed="false">
      <c r="N2973" s="0" t="str">
        <f aca="false">IF(H2973="","",IFERROR(LEFT(H2973,FIND(" ",H2973)-1),H2973))</f>
        <v/>
      </c>
      <c r="O2973" s="20" t="n">
        <f aca="false">IFERROR(DATE(VALUE(MID(N2973,FIND("/",N2973,FIND("/",N2973)+1)+1,4)),VALUE(MID(N2973,FIND("/",N2973)+1,FIND("/",N2973,FIND("/",N2973)+1)-FIND("/",N2973)-1)),VALUE(LEFT(N2973,FIND("/",N2973)-1))),0)</f>
        <v>0</v>
      </c>
    </row>
    <row r="2974" customFormat="false" ht="15" hidden="false" customHeight="false" outlineLevel="0" collapsed="false">
      <c r="N2974" s="0" t="str">
        <f aca="false">IF(H2974="","",IFERROR(LEFT(H2974,FIND(" ",H2974)-1),H2974))</f>
        <v/>
      </c>
      <c r="O2974" s="20" t="n">
        <f aca="false">IFERROR(DATE(VALUE(MID(N2974,FIND("/",N2974,FIND("/",N2974)+1)+1,4)),VALUE(MID(N2974,FIND("/",N2974)+1,FIND("/",N2974,FIND("/",N2974)+1)-FIND("/",N2974)-1)),VALUE(LEFT(N2974,FIND("/",N2974)-1))),0)</f>
        <v>0</v>
      </c>
    </row>
    <row r="2975" customFormat="false" ht="15" hidden="false" customHeight="false" outlineLevel="0" collapsed="false">
      <c r="N2975" s="0" t="str">
        <f aca="false">IF(H2975="","",IFERROR(LEFT(H2975,FIND(" ",H2975)-1),H2975))</f>
        <v/>
      </c>
      <c r="O2975" s="20" t="n">
        <f aca="false">IFERROR(DATE(VALUE(MID(N2975,FIND("/",N2975,FIND("/",N2975)+1)+1,4)),VALUE(MID(N2975,FIND("/",N2975)+1,FIND("/",N2975,FIND("/",N2975)+1)-FIND("/",N2975)-1)),VALUE(LEFT(N2975,FIND("/",N2975)-1))),0)</f>
        <v>0</v>
      </c>
    </row>
    <row r="2976" customFormat="false" ht="15" hidden="false" customHeight="false" outlineLevel="0" collapsed="false">
      <c r="N2976" s="0" t="str">
        <f aca="false">IF(H2976="","",IFERROR(LEFT(H2976,FIND(" ",H2976)-1),H2976))</f>
        <v/>
      </c>
      <c r="O2976" s="20" t="n">
        <f aca="false">IFERROR(DATE(VALUE(MID(N2976,FIND("/",N2976,FIND("/",N2976)+1)+1,4)),VALUE(MID(N2976,FIND("/",N2976)+1,FIND("/",N2976,FIND("/",N2976)+1)-FIND("/",N2976)-1)),VALUE(LEFT(N2976,FIND("/",N2976)-1))),0)</f>
        <v>0</v>
      </c>
    </row>
    <row r="2977" customFormat="false" ht="15" hidden="false" customHeight="false" outlineLevel="0" collapsed="false">
      <c r="N2977" s="0" t="str">
        <f aca="false">IF(H2977="","",IFERROR(LEFT(H2977,FIND(" ",H2977)-1),H2977))</f>
        <v/>
      </c>
      <c r="O2977" s="20" t="n">
        <f aca="false">IFERROR(DATE(VALUE(MID(N2977,FIND("/",N2977,FIND("/",N2977)+1)+1,4)),VALUE(MID(N2977,FIND("/",N2977)+1,FIND("/",N2977,FIND("/",N2977)+1)-FIND("/",N2977)-1)),VALUE(LEFT(N2977,FIND("/",N2977)-1))),0)</f>
        <v>0</v>
      </c>
    </row>
    <row r="2978" customFormat="false" ht="15" hidden="false" customHeight="false" outlineLevel="0" collapsed="false">
      <c r="N2978" s="0" t="str">
        <f aca="false">IF(H2978="","",IFERROR(LEFT(H2978,FIND(" ",H2978)-1),H2978))</f>
        <v/>
      </c>
      <c r="O2978" s="20" t="n">
        <f aca="false">IFERROR(DATE(VALUE(MID(N2978,FIND("/",N2978,FIND("/",N2978)+1)+1,4)),VALUE(MID(N2978,FIND("/",N2978)+1,FIND("/",N2978,FIND("/",N2978)+1)-FIND("/",N2978)-1)),VALUE(LEFT(N2978,FIND("/",N2978)-1))),0)</f>
        <v>0</v>
      </c>
    </row>
    <row r="2979" customFormat="false" ht="15" hidden="false" customHeight="false" outlineLevel="0" collapsed="false">
      <c r="N2979" s="0" t="str">
        <f aca="false">IF(H2979="","",IFERROR(LEFT(H2979,FIND(" ",H2979)-1),H2979))</f>
        <v/>
      </c>
      <c r="O2979" s="20" t="n">
        <f aca="false">IFERROR(DATE(VALUE(MID(N2979,FIND("/",N2979,FIND("/",N2979)+1)+1,4)),VALUE(MID(N2979,FIND("/",N2979)+1,FIND("/",N2979,FIND("/",N2979)+1)-FIND("/",N2979)-1)),VALUE(LEFT(N2979,FIND("/",N2979)-1))),0)</f>
        <v>0</v>
      </c>
    </row>
    <row r="2980" customFormat="false" ht="15" hidden="false" customHeight="false" outlineLevel="0" collapsed="false">
      <c r="N2980" s="0" t="str">
        <f aca="false">IF(H2980="","",IFERROR(LEFT(H2980,FIND(" ",H2980)-1),H2980))</f>
        <v/>
      </c>
      <c r="O2980" s="20" t="n">
        <f aca="false">IFERROR(DATE(VALUE(MID(N2980,FIND("/",N2980,FIND("/",N2980)+1)+1,4)),VALUE(MID(N2980,FIND("/",N2980)+1,FIND("/",N2980,FIND("/",N2980)+1)-FIND("/",N2980)-1)),VALUE(LEFT(N2980,FIND("/",N2980)-1))),0)</f>
        <v>0</v>
      </c>
    </row>
    <row r="2981" customFormat="false" ht="15" hidden="false" customHeight="false" outlineLevel="0" collapsed="false">
      <c r="N2981" s="0" t="str">
        <f aca="false">IF(H2981="","",IFERROR(LEFT(H2981,FIND(" ",H2981)-1),H2981))</f>
        <v/>
      </c>
      <c r="O2981" s="20" t="n">
        <f aca="false">IFERROR(DATE(VALUE(MID(N2981,FIND("/",N2981,FIND("/",N2981)+1)+1,4)),VALUE(MID(N2981,FIND("/",N2981)+1,FIND("/",N2981,FIND("/",N2981)+1)-FIND("/",N2981)-1)),VALUE(LEFT(N2981,FIND("/",N2981)-1))),0)</f>
        <v>0</v>
      </c>
    </row>
    <row r="2982" customFormat="false" ht="15" hidden="false" customHeight="false" outlineLevel="0" collapsed="false">
      <c r="N2982" s="0" t="str">
        <f aca="false">IF(H2982="","",IFERROR(LEFT(H2982,FIND(" ",H2982)-1),H2982))</f>
        <v/>
      </c>
      <c r="O2982" s="20" t="n">
        <f aca="false">IFERROR(DATE(VALUE(MID(N2982,FIND("/",N2982,FIND("/",N2982)+1)+1,4)),VALUE(MID(N2982,FIND("/",N2982)+1,FIND("/",N2982,FIND("/",N2982)+1)-FIND("/",N2982)-1)),VALUE(LEFT(N2982,FIND("/",N2982)-1))),0)</f>
        <v>0</v>
      </c>
    </row>
    <row r="2983" customFormat="false" ht="15" hidden="false" customHeight="false" outlineLevel="0" collapsed="false">
      <c r="N2983" s="0" t="str">
        <f aca="false">IF(H2983="","",IFERROR(LEFT(H2983,FIND(" ",H2983)-1),H2983))</f>
        <v/>
      </c>
      <c r="O2983" s="20" t="n">
        <f aca="false">IFERROR(DATE(VALUE(MID(N2983,FIND("/",N2983,FIND("/",N2983)+1)+1,4)),VALUE(MID(N2983,FIND("/",N2983)+1,FIND("/",N2983,FIND("/",N2983)+1)-FIND("/",N2983)-1)),VALUE(LEFT(N2983,FIND("/",N2983)-1))),0)</f>
        <v>0</v>
      </c>
    </row>
    <row r="2984" customFormat="false" ht="15" hidden="false" customHeight="false" outlineLevel="0" collapsed="false">
      <c r="N2984" s="0" t="str">
        <f aca="false">IF(H2984="","",IFERROR(LEFT(H2984,FIND(" ",H2984)-1),H2984))</f>
        <v/>
      </c>
      <c r="O2984" s="20" t="n">
        <f aca="false">IFERROR(DATE(VALUE(MID(N2984,FIND("/",N2984,FIND("/",N2984)+1)+1,4)),VALUE(MID(N2984,FIND("/",N2984)+1,FIND("/",N2984,FIND("/",N2984)+1)-FIND("/",N2984)-1)),VALUE(LEFT(N2984,FIND("/",N2984)-1))),0)</f>
        <v>0</v>
      </c>
    </row>
    <row r="2985" customFormat="false" ht="15" hidden="false" customHeight="false" outlineLevel="0" collapsed="false">
      <c r="N2985" s="0" t="str">
        <f aca="false">IF(H2985="","",IFERROR(LEFT(H2985,FIND(" ",H2985)-1),H2985))</f>
        <v/>
      </c>
      <c r="O2985" s="20" t="n">
        <f aca="false">IFERROR(DATE(VALUE(MID(N2985,FIND("/",N2985,FIND("/",N2985)+1)+1,4)),VALUE(MID(N2985,FIND("/",N2985)+1,FIND("/",N2985,FIND("/",N2985)+1)-FIND("/",N2985)-1)),VALUE(LEFT(N2985,FIND("/",N2985)-1))),0)</f>
        <v>0</v>
      </c>
    </row>
    <row r="2986" customFormat="false" ht="15" hidden="false" customHeight="false" outlineLevel="0" collapsed="false">
      <c r="N2986" s="0" t="str">
        <f aca="false">IF(H2986="","",IFERROR(LEFT(H2986,FIND(" ",H2986)-1),H2986))</f>
        <v/>
      </c>
      <c r="O2986" s="20" t="n">
        <f aca="false">IFERROR(DATE(VALUE(MID(N2986,FIND("/",N2986,FIND("/",N2986)+1)+1,4)),VALUE(MID(N2986,FIND("/",N2986)+1,FIND("/",N2986,FIND("/",N2986)+1)-FIND("/",N2986)-1)),VALUE(LEFT(N2986,FIND("/",N2986)-1))),0)</f>
        <v>0</v>
      </c>
    </row>
    <row r="2987" customFormat="false" ht="15" hidden="false" customHeight="false" outlineLevel="0" collapsed="false">
      <c r="N2987" s="0" t="str">
        <f aca="false">IF(H2987="","",IFERROR(LEFT(H2987,FIND(" ",H2987)-1),H2987))</f>
        <v/>
      </c>
      <c r="O2987" s="20" t="n">
        <f aca="false">IFERROR(DATE(VALUE(MID(N2987,FIND("/",N2987,FIND("/",N2987)+1)+1,4)),VALUE(MID(N2987,FIND("/",N2987)+1,FIND("/",N2987,FIND("/",N2987)+1)-FIND("/",N2987)-1)),VALUE(LEFT(N2987,FIND("/",N2987)-1))),0)</f>
        <v>0</v>
      </c>
    </row>
    <row r="2988" customFormat="false" ht="15" hidden="false" customHeight="false" outlineLevel="0" collapsed="false">
      <c r="N2988" s="0" t="str">
        <f aca="false">IF(H2988="","",IFERROR(LEFT(H2988,FIND(" ",H2988)-1),H2988))</f>
        <v/>
      </c>
      <c r="O2988" s="20" t="n">
        <f aca="false">IFERROR(DATE(VALUE(MID(N2988,FIND("/",N2988,FIND("/",N2988)+1)+1,4)),VALUE(MID(N2988,FIND("/",N2988)+1,FIND("/",N2988,FIND("/",N2988)+1)-FIND("/",N2988)-1)),VALUE(LEFT(N2988,FIND("/",N2988)-1))),0)</f>
        <v>0</v>
      </c>
    </row>
    <row r="2989" customFormat="false" ht="15" hidden="false" customHeight="false" outlineLevel="0" collapsed="false">
      <c r="N2989" s="0" t="str">
        <f aca="false">IF(H2989="","",IFERROR(LEFT(H2989,FIND(" ",H2989)-1),H2989))</f>
        <v/>
      </c>
      <c r="O2989" s="20" t="n">
        <f aca="false">IFERROR(DATE(VALUE(MID(N2989,FIND("/",N2989,FIND("/",N2989)+1)+1,4)),VALUE(MID(N2989,FIND("/",N2989)+1,FIND("/",N2989,FIND("/",N2989)+1)-FIND("/",N2989)-1)),VALUE(LEFT(N2989,FIND("/",N2989)-1))),0)</f>
        <v>0</v>
      </c>
    </row>
    <row r="2990" customFormat="false" ht="15" hidden="false" customHeight="false" outlineLevel="0" collapsed="false">
      <c r="N2990" s="0" t="str">
        <f aca="false">IF(H2990="","",IFERROR(LEFT(H2990,FIND(" ",H2990)-1),H2990))</f>
        <v/>
      </c>
      <c r="O2990" s="20" t="n">
        <f aca="false">IFERROR(DATE(VALUE(MID(N2990,FIND("/",N2990,FIND("/",N2990)+1)+1,4)),VALUE(MID(N2990,FIND("/",N2990)+1,FIND("/",N2990,FIND("/",N2990)+1)-FIND("/",N2990)-1)),VALUE(LEFT(N2990,FIND("/",N2990)-1))),0)</f>
        <v>0</v>
      </c>
    </row>
    <row r="2991" customFormat="false" ht="15" hidden="false" customHeight="false" outlineLevel="0" collapsed="false">
      <c r="N2991" s="0" t="str">
        <f aca="false">IF(H2991="","",IFERROR(LEFT(H2991,FIND(" ",H2991)-1),H2991))</f>
        <v/>
      </c>
      <c r="O2991" s="20" t="n">
        <f aca="false">IFERROR(DATE(VALUE(MID(N2991,FIND("/",N2991,FIND("/",N2991)+1)+1,4)),VALUE(MID(N2991,FIND("/",N2991)+1,FIND("/",N2991,FIND("/",N2991)+1)-FIND("/",N2991)-1)),VALUE(LEFT(N2991,FIND("/",N2991)-1))),0)</f>
        <v>0</v>
      </c>
    </row>
    <row r="2992" customFormat="false" ht="15" hidden="false" customHeight="false" outlineLevel="0" collapsed="false">
      <c r="N2992" s="0" t="str">
        <f aca="false">IF(H2992="","",IFERROR(LEFT(H2992,FIND(" ",H2992)-1),H2992))</f>
        <v/>
      </c>
      <c r="O2992" s="20" t="n">
        <f aca="false">IFERROR(DATE(VALUE(MID(N2992,FIND("/",N2992,FIND("/",N2992)+1)+1,4)),VALUE(MID(N2992,FIND("/",N2992)+1,FIND("/",N2992,FIND("/",N2992)+1)-FIND("/",N2992)-1)),VALUE(LEFT(N2992,FIND("/",N2992)-1))),0)</f>
        <v>0</v>
      </c>
    </row>
    <row r="2993" customFormat="false" ht="15" hidden="false" customHeight="false" outlineLevel="0" collapsed="false">
      <c r="N2993" s="0" t="str">
        <f aca="false">IF(H2993="","",IFERROR(LEFT(H2993,FIND(" ",H2993)-1),H2993))</f>
        <v/>
      </c>
      <c r="O2993" s="20" t="n">
        <f aca="false">IFERROR(DATE(VALUE(MID(N2993,FIND("/",N2993,FIND("/",N2993)+1)+1,4)),VALUE(MID(N2993,FIND("/",N2993)+1,FIND("/",N2993,FIND("/",N2993)+1)-FIND("/",N2993)-1)),VALUE(LEFT(N2993,FIND("/",N2993)-1))),0)</f>
        <v>0</v>
      </c>
    </row>
    <row r="2994" customFormat="false" ht="15" hidden="false" customHeight="false" outlineLevel="0" collapsed="false">
      <c r="N2994" s="0" t="str">
        <f aca="false">IF(H2994="","",IFERROR(LEFT(H2994,FIND(" ",H2994)-1),H2994))</f>
        <v/>
      </c>
      <c r="O2994" s="20" t="n">
        <f aca="false">IFERROR(DATE(VALUE(MID(N2994,FIND("/",N2994,FIND("/",N2994)+1)+1,4)),VALUE(MID(N2994,FIND("/",N2994)+1,FIND("/",N2994,FIND("/",N2994)+1)-FIND("/",N2994)-1)),VALUE(LEFT(N2994,FIND("/",N2994)-1))),0)</f>
        <v>0</v>
      </c>
    </row>
    <row r="2995" customFormat="false" ht="15" hidden="false" customHeight="false" outlineLevel="0" collapsed="false">
      <c r="N2995" s="0" t="str">
        <f aca="false">IF(H2995="","",IFERROR(LEFT(H2995,FIND(" ",H2995)-1),H2995))</f>
        <v/>
      </c>
      <c r="O2995" s="20" t="n">
        <f aca="false">IFERROR(DATE(VALUE(MID(N2995,FIND("/",N2995,FIND("/",N2995)+1)+1,4)),VALUE(MID(N2995,FIND("/",N2995)+1,FIND("/",N2995,FIND("/",N2995)+1)-FIND("/",N2995)-1)),VALUE(LEFT(N2995,FIND("/",N2995)-1))),0)</f>
        <v>0</v>
      </c>
    </row>
    <row r="2996" customFormat="false" ht="15" hidden="false" customHeight="false" outlineLevel="0" collapsed="false">
      <c r="N2996" s="0" t="str">
        <f aca="false">IF(H2996="","",IFERROR(LEFT(H2996,FIND(" ",H2996)-1),H2996))</f>
        <v/>
      </c>
      <c r="O2996" s="20" t="n">
        <f aca="false">IFERROR(DATE(VALUE(MID(N2996,FIND("/",N2996,FIND("/",N2996)+1)+1,4)),VALUE(MID(N2996,FIND("/",N2996)+1,FIND("/",N2996,FIND("/",N2996)+1)-FIND("/",N2996)-1)),VALUE(LEFT(N2996,FIND("/",N2996)-1))),0)</f>
        <v>0</v>
      </c>
    </row>
    <row r="2997" customFormat="false" ht="15" hidden="false" customHeight="false" outlineLevel="0" collapsed="false">
      <c r="N2997" s="0" t="str">
        <f aca="false">IF(H2997="","",IFERROR(LEFT(H2997,FIND(" ",H2997)-1),H2997))</f>
        <v/>
      </c>
      <c r="O2997" s="20" t="n">
        <f aca="false">IFERROR(DATE(VALUE(MID(N2997,FIND("/",N2997,FIND("/",N2997)+1)+1,4)),VALUE(MID(N2997,FIND("/",N2997)+1,FIND("/",N2997,FIND("/",N2997)+1)-FIND("/",N2997)-1)),VALUE(LEFT(N2997,FIND("/",N2997)-1))),0)</f>
        <v>0</v>
      </c>
    </row>
    <row r="2998" customFormat="false" ht="15" hidden="false" customHeight="false" outlineLevel="0" collapsed="false">
      <c r="N2998" s="0" t="str">
        <f aca="false">IF(H2998="","",IFERROR(LEFT(H2998,FIND(" ",H2998)-1),H2998))</f>
        <v/>
      </c>
      <c r="O2998" s="20" t="n">
        <f aca="false">IFERROR(DATE(VALUE(MID(N2998,FIND("/",N2998,FIND("/",N2998)+1)+1,4)),VALUE(MID(N2998,FIND("/",N2998)+1,FIND("/",N2998,FIND("/",N2998)+1)-FIND("/",N2998)-1)),VALUE(LEFT(N2998,FIND("/",N2998)-1))),0)</f>
        <v>0</v>
      </c>
    </row>
    <row r="2999" customFormat="false" ht="15" hidden="false" customHeight="false" outlineLevel="0" collapsed="false">
      <c r="N2999" s="0" t="str">
        <f aca="false">IF(H2999="","",IFERROR(LEFT(H2999,FIND(" ",H2999)-1),H2999))</f>
        <v/>
      </c>
      <c r="O2999" s="20" t="n">
        <f aca="false">IFERROR(DATE(VALUE(MID(N2999,FIND("/",N2999,FIND("/",N2999)+1)+1,4)),VALUE(MID(N2999,FIND("/",N2999)+1,FIND("/",N2999,FIND("/",N2999)+1)-FIND("/",N2999)-1)),VALUE(LEFT(N2999,FIND("/",N2999)-1))),0)</f>
        <v>0</v>
      </c>
    </row>
    <row r="3000" customFormat="false" ht="15" hidden="false" customHeight="false" outlineLevel="0" collapsed="false">
      <c r="N3000" s="0" t="str">
        <f aca="false">IF(H3000="","",IFERROR(LEFT(H3000,FIND(" ",H3000)-1),H3000))</f>
        <v/>
      </c>
      <c r="O3000" s="20" t="n">
        <f aca="false">IFERROR(DATE(VALUE(MID(N3000,FIND("/",N3000,FIND("/",N3000)+1)+1,4)),VALUE(MID(N3000,FIND("/",N3000)+1,FIND("/",N3000,FIND("/",N3000)+1)-FIND("/",N3000)-1)),VALUE(LEFT(N3000,FIND("/",N3000)-1))),0)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AC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9" topLeftCell="A20" activePane="bottomLeft" state="frozen"/>
      <selection pane="topLeft" activeCell="A1" activeCellId="0" sqref="A1"/>
      <selection pane="bottomLeft" activeCell="A1" activeCellId="0" sqref="A1"/>
    </sheetView>
  </sheetViews>
  <sheetFormatPr defaultColWidth="8.5390625" defaultRowHeight="15" zeroHeight="false" outlineLevelRow="0" outlineLevelCol="1"/>
  <cols>
    <col collapsed="false" customWidth="true" hidden="false" outlineLevel="0" max="1" min="1" style="0" width="2"/>
    <col collapsed="false" customWidth="true" hidden="false" outlineLevel="0" max="2" min="2" style="0" width="30"/>
    <col collapsed="false" customWidth="true" hidden="false" outlineLevel="0" max="3" min="3" style="0" width="16"/>
    <col collapsed="false" customWidth="true" hidden="false" outlineLevel="0" max="4" min="4" style="0" width="2"/>
    <col collapsed="false" customWidth="true" hidden="false" outlineLevel="0" max="5" min="5" style="0" width="30"/>
    <col collapsed="false" customWidth="true" hidden="false" outlineLevel="0" max="6" min="6" style="0" width="16"/>
    <col collapsed="false" customWidth="true" hidden="false" outlineLevel="0" max="7" min="7" style="0" width="2"/>
    <col collapsed="false" customWidth="true" hidden="false" outlineLevel="0" max="8" min="8" style="0" width="4"/>
    <col collapsed="false" customWidth="true" hidden="false" outlineLevel="0" max="9" min="9" style="0" width="9"/>
    <col collapsed="false" customWidth="true" hidden="false" outlineLevel="0" max="10" min="10" style="0" width="11"/>
    <col collapsed="false" customWidth="true" hidden="false" outlineLevel="0" max="11" min="11" style="0" width="12"/>
    <col collapsed="false" customWidth="true" hidden="false" outlineLevel="0" max="12" min="12" style="0" width="13"/>
    <col collapsed="false" customWidth="true" hidden="false" outlineLevel="0" max="13" min="13" style="0" width="10"/>
    <col collapsed="false" customWidth="true" hidden="false" outlineLevel="0" max="15" min="14" style="0" width="9"/>
    <col collapsed="false" customWidth="true" hidden="false" outlineLevel="0" max="16" min="16" style="0" width="18"/>
    <col collapsed="false" customWidth="true" hidden="false" outlineLevel="0" max="17" min="17" style="0" width="4"/>
    <col collapsed="false" customWidth="true" hidden="false" outlineLevel="0" max="18" min="18" style="0" width="9"/>
    <col collapsed="false" customWidth="true" hidden="false" outlineLevel="0" max="19" min="19" style="0" width="11"/>
    <col collapsed="false" customWidth="true" hidden="false" outlineLevel="0" max="20" min="20" style="0" width="12"/>
    <col collapsed="false" customWidth="true" hidden="false" outlineLevel="0" max="21" min="21" style="0" width="13"/>
    <col collapsed="false" customWidth="true" hidden="false" outlineLevel="0" max="22" min="22" style="0" width="10"/>
    <col collapsed="false" customWidth="true" hidden="false" outlineLevel="0" max="24" min="23" style="0" width="9"/>
    <col collapsed="false" customWidth="true" hidden="false" outlineLevel="0" max="25" min="25" style="0" width="18"/>
    <col collapsed="false" customWidth="true" hidden="true" outlineLevel="1" max="29" min="26" style="0" width="9"/>
  </cols>
  <sheetData>
    <row r="2" customFormat="false" ht="17.35" hidden="false" customHeight="false" outlineLevel="0" collapsed="false">
      <c r="B2" s="1" t="s">
        <v>121</v>
      </c>
    </row>
    <row r="3" customFormat="false" ht="15" hidden="false" customHeight="false" outlineLevel="0" collapsed="false">
      <c r="B3" s="4" t="s">
        <v>122</v>
      </c>
    </row>
    <row r="5" customFormat="false" ht="15" hidden="false" customHeight="false" outlineLevel="0" collapsed="false">
      <c r="B5" s="5" t="s">
        <v>123</v>
      </c>
      <c r="C5" s="21" t="str">
        <f aca="false">Staff!BR5</f>
        <v/>
      </c>
    </row>
    <row r="6" customFormat="false" ht="15" hidden="false" customHeight="false" outlineLevel="0" collapsed="false">
      <c r="B6" s="22" t="s">
        <v>124</v>
      </c>
      <c r="C6" s="23" t="str">
        <f aca="false">IF(ISNUMBER(MATCH($C$5,Staff!$BR$5:$BR$154,0)),"Yes","NO - pick from the list")</f>
        <v>Yes</v>
      </c>
    </row>
    <row r="8" customFormat="false" ht="15" hidden="false" customHeight="false" outlineLevel="0" collapsed="false">
      <c r="B8" s="24" t="s">
        <v>125</v>
      </c>
      <c r="C8" s="14" t="str">
        <f aca="false">IF($C$6&lt;&gt;"Yes","",INDEX(Staff!$AL$5:$AL$154,MATCH($C$5,Staff!$BR$5:$BR$154,0)))</f>
        <v/>
      </c>
      <c r="E8" s="24" t="s">
        <v>126</v>
      </c>
      <c r="F8" s="14" t="n">
        <f aca="false">AsOfDate</f>
        <v>46295</v>
      </c>
    </row>
    <row r="9" customFormat="false" ht="15" hidden="false" customHeight="false" outlineLevel="0" collapsed="false">
      <c r="B9" s="24" t="s">
        <v>127</v>
      </c>
      <c r="C9" s="16" t="n">
        <f aca="false">IF($C$6&lt;&gt;"Yes","",INDEX(Staff!$C$5:$C$154,MATCH($C$5,Staff!$BR$5:$BR$154,0)))</f>
        <v>0</v>
      </c>
      <c r="E9" s="24" t="s">
        <v>128</v>
      </c>
      <c r="F9" s="25" t="str">
        <f aca="false">IF($C$6&lt;&gt;"Yes","",INDEX(Staff!$O$5:$O$154,MATCH($C$5,Staff!$BR$5:$BR$154,0)))</f>
        <v/>
      </c>
    </row>
    <row r="10" customFormat="false" ht="15" hidden="false" customHeight="false" outlineLevel="0" collapsed="false">
      <c r="B10" s="24" t="s">
        <v>129</v>
      </c>
      <c r="C10" s="17" t="n">
        <f aca="false">IF($C$6&lt;&gt;"Yes","",INDEX(Staff!$P$5:$P$154,MATCH($C$5,Staff!$BR$5:$BR$154,0)))</f>
        <v>0</v>
      </c>
      <c r="E10" s="24" t="s">
        <v>130</v>
      </c>
      <c r="F10" s="25" t="n">
        <f aca="false">IF($C$6&lt;&gt;"Yes","",SUM($O$20:$O$109)+SUM($X$20:$X$109))</f>
        <v>0</v>
      </c>
    </row>
    <row r="11" customFormat="false" ht="15" hidden="false" customHeight="false" outlineLevel="0" collapsed="false">
      <c r="B11" s="24" t="s">
        <v>131</v>
      </c>
      <c r="C11" s="16" t="str">
        <f aca="false">IF($C$6&lt;&gt;"Yes","",INDEX(Staff!$AQ$5:$AQ$154,MATCH($C$5,Staff!$BR$5:$BR$154,0)))</f>
        <v/>
      </c>
      <c r="E11" s="24" t="s">
        <v>132</v>
      </c>
      <c r="F11" s="25" t="str">
        <f aca="false">IF($C$6&lt;&gt;"Yes","",IF(ABS(N(F9)-N(F10))&lt;0.001,"Yes","NO - check inputs"))</f>
        <v>Yes</v>
      </c>
    </row>
    <row r="12" customFormat="false" ht="15" hidden="false" customHeight="false" outlineLevel="0" collapsed="false">
      <c r="B12" s="24" t="s">
        <v>133</v>
      </c>
      <c r="C12" s="14" t="str">
        <f aca="false">IF($C$6&lt;&gt;"Yes","",INDEX(Staff!$AO$5:$AO$154,MATCH($C$5,Staff!$BR$5:$BR$154,0)))</f>
        <v/>
      </c>
      <c r="E12" s="24" t="s">
        <v>134</v>
      </c>
      <c r="F12" s="16" t="n">
        <f aca="false">HoursPerDay</f>
        <v>8</v>
      </c>
    </row>
    <row r="13" customFormat="false" ht="15" hidden="false" customHeight="false" outlineLevel="0" collapsed="false">
      <c r="B13" s="24" t="s">
        <v>135</v>
      </c>
      <c r="C13" s="16" t="str">
        <f aca="false">IF($C$6&lt;&gt;"Yes","",INDEX(Staff!$AR$5:$AR$154,MATCH($C$5,Staff!$BR$5:$BR$154,0)))</f>
        <v/>
      </c>
      <c r="E13" s="24" t="s">
        <v>136</v>
      </c>
      <c r="F13" s="25" t="n">
        <f aca="false">IF($C$6&lt;&gt;"Yes","",F10*HoursPerDay)</f>
        <v>0</v>
      </c>
    </row>
    <row r="14" customFormat="false" ht="15" hidden="false" customHeight="false" outlineLevel="0" collapsed="false">
      <c r="B14" s="24" t="s">
        <v>137</v>
      </c>
      <c r="C14" s="14" t="str">
        <f aca="false">IF($C$6&lt;&gt;"Yes","",INDEX(Staff!$AP$5:$AP$154,MATCH($C$5,Staff!$BR$5:$BR$154,0)))</f>
        <v/>
      </c>
    </row>
    <row r="15" customFormat="false" ht="15" hidden="false" customHeight="false" outlineLevel="0" collapsed="false">
      <c r="B15" s="24" t="s">
        <v>138</v>
      </c>
      <c r="C15" s="16" t="str">
        <f aca="false">IF($C$6&lt;&gt;"Yes","",INDEX(Staff!$AS$5:$AS$154,MATCH($C$5,Staff!$BR$5:$BR$154,0)))</f>
        <v/>
      </c>
    </row>
    <row r="16" customFormat="false" ht="15" hidden="false" customHeight="false" outlineLevel="0" collapsed="false">
      <c r="B16" s="24" t="s">
        <v>139</v>
      </c>
      <c r="C16" s="16" t="str">
        <f aca="false">IF($C$6&lt;&gt;"Yes","",INDEX(Staff!$AM$5:$AM$154,MATCH($C$5,Staff!$BR$5:$BR$154,0)))</f>
        <v/>
      </c>
    </row>
    <row r="18" customFormat="false" ht="15" hidden="false" customHeight="true" outlineLevel="0" collapsed="false">
      <c r="H18" s="26" t="s">
        <v>140</v>
      </c>
      <c r="I18" s="26"/>
      <c r="J18" s="26"/>
      <c r="K18" s="26"/>
      <c r="L18" s="26"/>
      <c r="M18" s="26"/>
      <c r="N18" s="26"/>
      <c r="O18" s="26"/>
      <c r="P18" s="26"/>
      <c r="Q18" s="26" t="s">
        <v>141</v>
      </c>
      <c r="R18" s="26"/>
      <c r="S18" s="26"/>
      <c r="T18" s="26"/>
      <c r="U18" s="26"/>
      <c r="V18" s="26"/>
      <c r="W18" s="26"/>
      <c r="X18" s="26"/>
      <c r="Y18" s="26"/>
      <c r="Z18" s="4" t="s">
        <v>142</v>
      </c>
    </row>
    <row r="19" customFormat="false" ht="39.75" hidden="false" customHeight="true" outlineLevel="0" collapsed="false">
      <c r="H19" s="8" t="s">
        <v>143</v>
      </c>
      <c r="I19" s="8" t="s">
        <v>144</v>
      </c>
      <c r="J19" s="8" t="s">
        <v>145</v>
      </c>
      <c r="K19" s="8" t="s">
        <v>146</v>
      </c>
      <c r="L19" s="8" t="s">
        <v>147</v>
      </c>
      <c r="M19" s="8" t="s">
        <v>148</v>
      </c>
      <c r="N19" s="8" t="s">
        <v>149</v>
      </c>
      <c r="O19" s="8" t="s">
        <v>150</v>
      </c>
      <c r="P19" s="8" t="s">
        <v>151</v>
      </c>
      <c r="Q19" s="8" t="s">
        <v>143</v>
      </c>
      <c r="R19" s="8" t="s">
        <v>144</v>
      </c>
      <c r="S19" s="8" t="s">
        <v>145</v>
      </c>
      <c r="T19" s="8" t="s">
        <v>146</v>
      </c>
      <c r="U19" s="8" t="s">
        <v>147</v>
      </c>
      <c r="V19" s="8" t="s">
        <v>148</v>
      </c>
      <c r="W19" s="8" t="s">
        <v>149</v>
      </c>
      <c r="X19" s="8" t="s">
        <v>150</v>
      </c>
      <c r="Y19" s="8" t="s">
        <v>151</v>
      </c>
      <c r="Z19" s="27" t="s">
        <v>152</v>
      </c>
      <c r="AA19" s="27" t="s">
        <v>153</v>
      </c>
      <c r="AB19" s="27" t="s">
        <v>148</v>
      </c>
      <c r="AC19" s="27" t="s">
        <v>47</v>
      </c>
    </row>
    <row r="20" customFormat="false" ht="15" hidden="false" customHeight="false" outlineLevel="0" collapsed="false">
      <c r="H20" s="16" t="n">
        <v>1</v>
      </c>
      <c r="I20" s="16" t="n">
        <f aca="false">IF(0&lt;FT_PreY5,FT_First+FT_Int1*0,FT_Y5+FT_Int2*(0-FT_PreY5))</f>
        <v>36</v>
      </c>
      <c r="J20" s="16" t="str">
        <f aca="false">INT(I20/12)&amp;"y "&amp;MOD(I20,12)&amp;"m"</f>
        <v>3y 0m</v>
      </c>
      <c r="K20" s="14" t="str">
        <f aca="false">IF(OR($C$6&lt;&gt;"Yes",$C$8=""),"",EDATE($C$8,I20))</f>
        <v/>
      </c>
      <c r="L20" s="16" t="str">
        <f aca="false">IF(K20="","",IF($C$16=0,$C$9,IF(AND($C$14&lt;&gt;"",K20&gt;=$C$14),$C$15,IF(AND($C$12&lt;&gt;"",K20&gt;=$C$12),$C$13,$C$11))))</f>
        <v/>
      </c>
      <c r="M20" s="16" t="str">
        <f aca="false">IF(K20="","",IF(OR(ISNUMBER(SEARCH("full",L20)),UPPER(TRIM(L20))="FT",UPPER(TRIM(L20))="FTE"),"FT",IF(AND(OR(ISNUMBER(SEARCH("part",L20)),UPPER(TRIM(L20))="PT",UPPER(TRIM(L20))="PTE"),Apply2026="Yes",OR($C$10="",N($C$10)&gt;=PT_MinHours)),"PT","None")))</f>
        <v/>
      </c>
      <c r="N20" s="16" t="n">
        <f aca="false">IF(I20&lt;FT_Y5,1,IF(MOD(I20-FT_Y5,12)=0,FT_AnnivDays,1))</f>
        <v>1</v>
      </c>
      <c r="O20" s="16" t="str">
        <f aca="false">IF(K20="","",IF(AND(M20="FT",K20&lt;=AsOfDate,K20&gt;=SchemeStart),IF(AND("FT"="FT",I20=FT_Y5,K20&lt;PolicyEff),1,N20),0))</f>
        <v/>
      </c>
      <c r="P20" s="16" t="str">
        <f aca="false">IF(K20="","",IF(N(O20)&gt;0,"",IF(K20&lt;SchemeStart,"before scheme start",IF(K20&gt;AsOfDate,"future",IF(M20&lt;&gt;"FT","not " &amp; IF("FT"="FT","full-time","eligible part-time") &amp; " on that date","")))))</f>
        <v/>
      </c>
      <c r="Q20" s="16" t="n">
        <v>1</v>
      </c>
      <c r="R20" s="16" t="n">
        <f aca="false">PT_First+PT_Int*0</f>
        <v>60</v>
      </c>
      <c r="S20" s="16" t="str">
        <f aca="false">INT(R20/12)&amp;"y "&amp;MOD(R20,12)&amp;"m"</f>
        <v>5y 0m</v>
      </c>
      <c r="T20" s="14" t="str">
        <f aca="false">IF(OR($C$6&lt;&gt;"Yes",$C$8=""),"",EDATE($C$8,R20))</f>
        <v/>
      </c>
      <c r="U20" s="16" t="str">
        <f aca="false">IF(T20="","",IF($C$16=0,$C$9,IF(AND($C$14&lt;&gt;"",T20&gt;=$C$14),$C$15,IF(AND($C$12&lt;&gt;"",T20&gt;=$C$12),$C$13,$C$11))))</f>
        <v/>
      </c>
      <c r="V20" s="16" t="str">
        <f aca="false">IF(T20="","",IF(OR(ISNUMBER(SEARCH("full",U20)),UPPER(TRIM(U20))="FT",UPPER(TRIM(U20))="FTE"),"FT",IF(AND(OR(ISNUMBER(SEARCH("part",U20)),UPPER(TRIM(U20))="PT",UPPER(TRIM(U20))="PTE"),Apply2026="Yes",OR($C$10="",N($C$10)&gt;=PT_MinHours)),"PT","None")))</f>
        <v/>
      </c>
      <c r="W20" s="16" t="n">
        <v>1</v>
      </c>
      <c r="X20" s="16" t="str">
        <f aca="false">IF(T20="","",IF(AND(V20="PT",T20&lt;=AsOfDate,T20&gt;=SchemeStart),IF(AND("PT"="FT",R20=FT_Y5,T20&lt;PolicyEff),1,W20),0))</f>
        <v/>
      </c>
      <c r="Y20" s="16" t="str">
        <f aca="false">IF(T20="","",IF(N(X20)&gt;0,"",IF(T20&lt;SchemeStart,"before scheme start",IF(T20&gt;AsOfDate,"future",IF(V20&lt;&gt;"PT","not " &amp; IF("PT"="FT","full-time","eligible part-time") &amp; " on that date","")))))</f>
        <v/>
      </c>
      <c r="Z20" s="19" t="n">
        <f aca="false">I20</f>
        <v>36</v>
      </c>
      <c r="AA20" s="19" t="n">
        <f aca="false">SMALL($Z$20:$Z$199,1)</f>
        <v>36</v>
      </c>
      <c r="AB20" s="19" t="str">
        <f aca="false">IF(1-COUNTIF($Z$20:$Z$199,"&lt;"&amp;AA20)=1,IF(COUNTIF($I$20:$I$109,AA20)&gt;0,"FT","PT"),"PT")</f>
        <v>FT</v>
      </c>
      <c r="AC20" s="19" t="n">
        <f aca="false">IF(AB20="FT",INDEX($N$20:$N$109,MATCH(AA20,$I$20:$I$109,0)),1)</f>
        <v>1</v>
      </c>
    </row>
    <row r="21" customFormat="false" ht="15" hidden="false" customHeight="false" outlineLevel="0" collapsed="false">
      <c r="H21" s="16" t="n">
        <v>2</v>
      </c>
      <c r="I21" s="16" t="n">
        <f aca="false">IF(1&lt;FT_PreY5,FT_First+FT_Int1*1,FT_Y5+FT_Int2*(1-FT_PreY5))</f>
        <v>40</v>
      </c>
      <c r="J21" s="16" t="str">
        <f aca="false">INT(I21/12)&amp;"y "&amp;MOD(I21,12)&amp;"m"</f>
        <v>3y 4m</v>
      </c>
      <c r="K21" s="14" t="str">
        <f aca="false">IF(OR($C$6&lt;&gt;"Yes",$C$8=""),"",EDATE($C$8,I21))</f>
        <v/>
      </c>
      <c r="L21" s="16" t="str">
        <f aca="false">IF(K21="","",IF($C$16=0,$C$9,IF(AND($C$14&lt;&gt;"",K21&gt;=$C$14),$C$15,IF(AND($C$12&lt;&gt;"",K21&gt;=$C$12),$C$13,$C$11))))</f>
        <v/>
      </c>
      <c r="M21" s="16" t="str">
        <f aca="false">IF(K21="","",IF(OR(ISNUMBER(SEARCH("full",L21)),UPPER(TRIM(L21))="FT",UPPER(TRIM(L21))="FTE"),"FT",IF(AND(OR(ISNUMBER(SEARCH("part",L21)),UPPER(TRIM(L21))="PT",UPPER(TRIM(L21))="PTE"),Apply2026="Yes",OR($C$10="",N($C$10)&gt;=PT_MinHours)),"PT","None")))</f>
        <v/>
      </c>
      <c r="N21" s="16" t="n">
        <f aca="false">IF(I21&lt;FT_Y5,1,IF(MOD(I21-FT_Y5,12)=0,FT_AnnivDays,1))</f>
        <v>1</v>
      </c>
      <c r="O21" s="16" t="str">
        <f aca="false">IF(K21="","",IF(AND(M21="FT",K21&lt;=AsOfDate,K21&gt;=SchemeStart),IF(AND("FT"="FT",I21=FT_Y5,K21&lt;PolicyEff),1,N21),0))</f>
        <v/>
      </c>
      <c r="P21" s="16" t="str">
        <f aca="false">IF(K21="","",IF(N(O21)&gt;0,"",IF(K21&lt;SchemeStart,"before scheme start",IF(K21&gt;AsOfDate,"future",IF(M21&lt;&gt;"FT","not " &amp; IF("FT"="FT","full-time","eligible part-time") &amp; " on that date","")))))</f>
        <v/>
      </c>
      <c r="Q21" s="16" t="n">
        <v>2</v>
      </c>
      <c r="R21" s="16" t="n">
        <f aca="false">PT_First+PT_Int*1</f>
        <v>64</v>
      </c>
      <c r="S21" s="16" t="str">
        <f aca="false">INT(R21/12)&amp;"y "&amp;MOD(R21,12)&amp;"m"</f>
        <v>5y 4m</v>
      </c>
      <c r="T21" s="14" t="str">
        <f aca="false">IF(OR($C$6&lt;&gt;"Yes",$C$8=""),"",EDATE($C$8,R21))</f>
        <v/>
      </c>
      <c r="U21" s="16" t="str">
        <f aca="false">IF(T21="","",IF($C$16=0,$C$9,IF(AND($C$14&lt;&gt;"",T21&gt;=$C$14),$C$15,IF(AND($C$12&lt;&gt;"",T21&gt;=$C$12),$C$13,$C$11))))</f>
        <v/>
      </c>
      <c r="V21" s="16" t="str">
        <f aca="false">IF(T21="","",IF(OR(ISNUMBER(SEARCH("full",U21)),UPPER(TRIM(U21))="FT",UPPER(TRIM(U21))="FTE"),"FT",IF(AND(OR(ISNUMBER(SEARCH("part",U21)),UPPER(TRIM(U21))="PT",UPPER(TRIM(U21))="PTE"),Apply2026="Yes",OR($C$10="",N($C$10)&gt;=PT_MinHours)),"PT","None")))</f>
        <v/>
      </c>
      <c r="W21" s="16" t="n">
        <v>1</v>
      </c>
      <c r="X21" s="16" t="str">
        <f aca="false">IF(T21="","",IF(AND(V21="PT",T21&lt;=AsOfDate,T21&gt;=SchemeStart),IF(AND("PT"="FT",R21=FT_Y5,T21&lt;PolicyEff),1,W21),0))</f>
        <v/>
      </c>
      <c r="Y21" s="16" t="str">
        <f aca="false">IF(T21="","",IF(N(X21)&gt;0,"",IF(T21&lt;SchemeStart,"before scheme start",IF(T21&gt;AsOfDate,"future",IF(V21&lt;&gt;"PT","not " &amp; IF("PT"="FT","full-time","eligible part-time") &amp; " on that date","")))))</f>
        <v/>
      </c>
      <c r="Z21" s="19" t="n">
        <f aca="false">I21</f>
        <v>40</v>
      </c>
      <c r="AA21" s="19" t="n">
        <f aca="false">SMALL($Z$20:$Z$199,2)</f>
        <v>40</v>
      </c>
      <c r="AB21" s="19" t="str">
        <f aca="false">IF(2-COUNTIF($Z$20:$Z$199,"&lt;"&amp;AA21)=1,IF(COUNTIF($I$20:$I$109,AA21)&gt;0,"FT","PT"),"PT")</f>
        <v>FT</v>
      </c>
      <c r="AC21" s="19" t="n">
        <f aca="false">IF(AB21="FT",INDEX($N$20:$N$109,MATCH(AA21,$I$20:$I$109,0)),1)</f>
        <v>1</v>
      </c>
    </row>
    <row r="22" customFormat="false" ht="15" hidden="false" customHeight="false" outlineLevel="0" collapsed="false">
      <c r="H22" s="16" t="n">
        <v>3</v>
      </c>
      <c r="I22" s="16" t="n">
        <f aca="false">IF(2&lt;FT_PreY5,FT_First+FT_Int1*2,FT_Y5+FT_Int2*(2-FT_PreY5))</f>
        <v>44</v>
      </c>
      <c r="J22" s="16" t="str">
        <f aca="false">INT(I22/12)&amp;"y "&amp;MOD(I22,12)&amp;"m"</f>
        <v>3y 8m</v>
      </c>
      <c r="K22" s="14" t="str">
        <f aca="false">IF(OR($C$6&lt;&gt;"Yes",$C$8=""),"",EDATE($C$8,I22))</f>
        <v/>
      </c>
      <c r="L22" s="16" t="str">
        <f aca="false">IF(K22="","",IF($C$16=0,$C$9,IF(AND($C$14&lt;&gt;"",K22&gt;=$C$14),$C$15,IF(AND($C$12&lt;&gt;"",K22&gt;=$C$12),$C$13,$C$11))))</f>
        <v/>
      </c>
      <c r="M22" s="16" t="str">
        <f aca="false">IF(K22="","",IF(OR(ISNUMBER(SEARCH("full",L22)),UPPER(TRIM(L22))="FT",UPPER(TRIM(L22))="FTE"),"FT",IF(AND(OR(ISNUMBER(SEARCH("part",L22)),UPPER(TRIM(L22))="PT",UPPER(TRIM(L22))="PTE"),Apply2026="Yes",OR($C$10="",N($C$10)&gt;=PT_MinHours)),"PT","None")))</f>
        <v/>
      </c>
      <c r="N22" s="16" t="n">
        <f aca="false">IF(I22&lt;FT_Y5,1,IF(MOD(I22-FT_Y5,12)=0,FT_AnnivDays,1))</f>
        <v>1</v>
      </c>
      <c r="O22" s="16" t="str">
        <f aca="false">IF(K22="","",IF(AND(M22="FT",K22&lt;=AsOfDate,K22&gt;=SchemeStart),IF(AND("FT"="FT",I22=FT_Y5,K22&lt;PolicyEff),1,N22),0))</f>
        <v/>
      </c>
      <c r="P22" s="16" t="str">
        <f aca="false">IF(K22="","",IF(N(O22)&gt;0,"",IF(K22&lt;SchemeStart,"before scheme start",IF(K22&gt;AsOfDate,"future",IF(M22&lt;&gt;"FT","not " &amp; IF("FT"="FT","full-time","eligible part-time") &amp; " on that date","")))))</f>
        <v/>
      </c>
      <c r="Q22" s="16" t="n">
        <v>3</v>
      </c>
      <c r="R22" s="16" t="n">
        <f aca="false">PT_First+PT_Int*2</f>
        <v>68</v>
      </c>
      <c r="S22" s="16" t="str">
        <f aca="false">INT(R22/12)&amp;"y "&amp;MOD(R22,12)&amp;"m"</f>
        <v>5y 8m</v>
      </c>
      <c r="T22" s="14" t="str">
        <f aca="false">IF(OR($C$6&lt;&gt;"Yes",$C$8=""),"",EDATE($C$8,R22))</f>
        <v/>
      </c>
      <c r="U22" s="16" t="str">
        <f aca="false">IF(T22="","",IF($C$16=0,$C$9,IF(AND($C$14&lt;&gt;"",T22&gt;=$C$14),$C$15,IF(AND($C$12&lt;&gt;"",T22&gt;=$C$12),$C$13,$C$11))))</f>
        <v/>
      </c>
      <c r="V22" s="16" t="str">
        <f aca="false">IF(T22="","",IF(OR(ISNUMBER(SEARCH("full",U22)),UPPER(TRIM(U22))="FT",UPPER(TRIM(U22))="FTE"),"FT",IF(AND(OR(ISNUMBER(SEARCH("part",U22)),UPPER(TRIM(U22))="PT",UPPER(TRIM(U22))="PTE"),Apply2026="Yes",OR($C$10="",N($C$10)&gt;=PT_MinHours)),"PT","None")))</f>
        <v/>
      </c>
      <c r="W22" s="16" t="n">
        <v>1</v>
      </c>
      <c r="X22" s="16" t="str">
        <f aca="false">IF(T22="","",IF(AND(V22="PT",T22&lt;=AsOfDate,T22&gt;=SchemeStart),IF(AND("PT"="FT",R22=FT_Y5,T22&lt;PolicyEff),1,W22),0))</f>
        <v/>
      </c>
      <c r="Y22" s="16" t="str">
        <f aca="false">IF(T22="","",IF(N(X22)&gt;0,"",IF(T22&lt;SchemeStart,"before scheme start",IF(T22&gt;AsOfDate,"future",IF(V22&lt;&gt;"PT","not " &amp; IF("PT"="FT","full-time","eligible part-time") &amp; " on that date","")))))</f>
        <v/>
      </c>
      <c r="Z22" s="19" t="n">
        <f aca="false">I22</f>
        <v>44</v>
      </c>
      <c r="AA22" s="19" t="n">
        <f aca="false">SMALL($Z$20:$Z$199,3)</f>
        <v>44</v>
      </c>
      <c r="AB22" s="19" t="str">
        <f aca="false">IF(3-COUNTIF($Z$20:$Z$199,"&lt;"&amp;AA22)=1,IF(COUNTIF($I$20:$I$109,AA22)&gt;0,"FT","PT"),"PT")</f>
        <v>FT</v>
      </c>
      <c r="AC22" s="19" t="n">
        <f aca="false">IF(AB22="FT",INDEX($N$20:$N$109,MATCH(AA22,$I$20:$I$109,0)),1)</f>
        <v>1</v>
      </c>
    </row>
    <row r="23" customFormat="false" ht="15" hidden="false" customHeight="false" outlineLevel="0" collapsed="false">
      <c r="H23" s="16" t="n">
        <v>4</v>
      </c>
      <c r="I23" s="16" t="n">
        <f aca="false">IF(3&lt;FT_PreY5,FT_First+FT_Int1*3,FT_Y5+FT_Int2*(3-FT_PreY5))</f>
        <v>48</v>
      </c>
      <c r="J23" s="16" t="str">
        <f aca="false">INT(I23/12)&amp;"y "&amp;MOD(I23,12)&amp;"m"</f>
        <v>4y 0m</v>
      </c>
      <c r="K23" s="14" t="str">
        <f aca="false">IF(OR($C$6&lt;&gt;"Yes",$C$8=""),"",EDATE($C$8,I23))</f>
        <v/>
      </c>
      <c r="L23" s="16" t="str">
        <f aca="false">IF(K23="","",IF($C$16=0,$C$9,IF(AND($C$14&lt;&gt;"",K23&gt;=$C$14),$C$15,IF(AND($C$12&lt;&gt;"",K23&gt;=$C$12),$C$13,$C$11))))</f>
        <v/>
      </c>
      <c r="M23" s="16" t="str">
        <f aca="false">IF(K23="","",IF(OR(ISNUMBER(SEARCH("full",L23)),UPPER(TRIM(L23))="FT",UPPER(TRIM(L23))="FTE"),"FT",IF(AND(OR(ISNUMBER(SEARCH("part",L23)),UPPER(TRIM(L23))="PT",UPPER(TRIM(L23))="PTE"),Apply2026="Yes",OR($C$10="",N($C$10)&gt;=PT_MinHours)),"PT","None")))</f>
        <v/>
      </c>
      <c r="N23" s="16" t="n">
        <f aca="false">IF(I23&lt;FT_Y5,1,IF(MOD(I23-FT_Y5,12)=0,FT_AnnivDays,1))</f>
        <v>1</v>
      </c>
      <c r="O23" s="16" t="str">
        <f aca="false">IF(K23="","",IF(AND(M23="FT",K23&lt;=AsOfDate,K23&gt;=SchemeStart),IF(AND("FT"="FT",I23=FT_Y5,K23&lt;PolicyEff),1,N23),0))</f>
        <v/>
      </c>
      <c r="P23" s="16" t="str">
        <f aca="false">IF(K23="","",IF(N(O23)&gt;0,"",IF(K23&lt;SchemeStart,"before scheme start",IF(K23&gt;AsOfDate,"future",IF(M23&lt;&gt;"FT","not " &amp; IF("FT"="FT","full-time","eligible part-time") &amp; " on that date","")))))</f>
        <v/>
      </c>
      <c r="Q23" s="16" t="n">
        <v>4</v>
      </c>
      <c r="R23" s="16" t="n">
        <f aca="false">PT_First+PT_Int*3</f>
        <v>72</v>
      </c>
      <c r="S23" s="16" t="str">
        <f aca="false">INT(R23/12)&amp;"y "&amp;MOD(R23,12)&amp;"m"</f>
        <v>6y 0m</v>
      </c>
      <c r="T23" s="14" t="str">
        <f aca="false">IF(OR($C$6&lt;&gt;"Yes",$C$8=""),"",EDATE($C$8,R23))</f>
        <v/>
      </c>
      <c r="U23" s="16" t="str">
        <f aca="false">IF(T23="","",IF($C$16=0,$C$9,IF(AND($C$14&lt;&gt;"",T23&gt;=$C$14),$C$15,IF(AND($C$12&lt;&gt;"",T23&gt;=$C$12),$C$13,$C$11))))</f>
        <v/>
      </c>
      <c r="V23" s="16" t="str">
        <f aca="false">IF(T23="","",IF(OR(ISNUMBER(SEARCH("full",U23)),UPPER(TRIM(U23))="FT",UPPER(TRIM(U23))="FTE"),"FT",IF(AND(OR(ISNUMBER(SEARCH("part",U23)),UPPER(TRIM(U23))="PT",UPPER(TRIM(U23))="PTE"),Apply2026="Yes",OR($C$10="",N($C$10)&gt;=PT_MinHours)),"PT","None")))</f>
        <v/>
      </c>
      <c r="W23" s="16" t="n">
        <v>1</v>
      </c>
      <c r="X23" s="16" t="str">
        <f aca="false">IF(T23="","",IF(AND(V23="PT",T23&lt;=AsOfDate,T23&gt;=SchemeStart),IF(AND("PT"="FT",R23=FT_Y5,T23&lt;PolicyEff),1,W23),0))</f>
        <v/>
      </c>
      <c r="Y23" s="16" t="str">
        <f aca="false">IF(T23="","",IF(N(X23)&gt;0,"",IF(T23&lt;SchemeStart,"before scheme start",IF(T23&gt;AsOfDate,"future",IF(V23&lt;&gt;"PT","not " &amp; IF("PT"="FT","full-time","eligible part-time") &amp; " on that date","")))))</f>
        <v/>
      </c>
      <c r="Z23" s="19" t="n">
        <f aca="false">I23</f>
        <v>48</v>
      </c>
      <c r="AA23" s="19" t="n">
        <f aca="false">SMALL($Z$20:$Z$199,4)</f>
        <v>48</v>
      </c>
      <c r="AB23" s="19" t="str">
        <f aca="false">IF(4-COUNTIF($Z$20:$Z$199,"&lt;"&amp;AA23)=1,IF(COUNTIF($I$20:$I$109,AA23)&gt;0,"FT","PT"),"PT")</f>
        <v>FT</v>
      </c>
      <c r="AC23" s="19" t="n">
        <f aca="false">IF(AB23="FT",INDEX($N$20:$N$109,MATCH(AA23,$I$20:$I$109,0)),1)</f>
        <v>1</v>
      </c>
    </row>
    <row r="24" customFormat="false" ht="15" hidden="false" customHeight="false" outlineLevel="0" collapsed="false">
      <c r="H24" s="16" t="n">
        <v>5</v>
      </c>
      <c r="I24" s="16" t="n">
        <f aca="false">IF(4&lt;FT_PreY5,FT_First+FT_Int1*4,FT_Y5+FT_Int2*(4-FT_PreY5))</f>
        <v>52</v>
      </c>
      <c r="J24" s="16" t="str">
        <f aca="false">INT(I24/12)&amp;"y "&amp;MOD(I24,12)&amp;"m"</f>
        <v>4y 4m</v>
      </c>
      <c r="K24" s="14" t="str">
        <f aca="false">IF(OR($C$6&lt;&gt;"Yes",$C$8=""),"",EDATE($C$8,I24))</f>
        <v/>
      </c>
      <c r="L24" s="16" t="str">
        <f aca="false">IF(K24="","",IF($C$16=0,$C$9,IF(AND($C$14&lt;&gt;"",K24&gt;=$C$14),$C$15,IF(AND($C$12&lt;&gt;"",K24&gt;=$C$12),$C$13,$C$11))))</f>
        <v/>
      </c>
      <c r="M24" s="16" t="str">
        <f aca="false">IF(K24="","",IF(OR(ISNUMBER(SEARCH("full",L24)),UPPER(TRIM(L24))="FT",UPPER(TRIM(L24))="FTE"),"FT",IF(AND(OR(ISNUMBER(SEARCH("part",L24)),UPPER(TRIM(L24))="PT",UPPER(TRIM(L24))="PTE"),Apply2026="Yes",OR($C$10="",N($C$10)&gt;=PT_MinHours)),"PT","None")))</f>
        <v/>
      </c>
      <c r="N24" s="16" t="n">
        <f aca="false">IF(I24&lt;FT_Y5,1,IF(MOD(I24-FT_Y5,12)=0,FT_AnnivDays,1))</f>
        <v>1</v>
      </c>
      <c r="O24" s="16" t="str">
        <f aca="false">IF(K24="","",IF(AND(M24="FT",K24&lt;=AsOfDate,K24&gt;=SchemeStart),IF(AND("FT"="FT",I24=FT_Y5,K24&lt;PolicyEff),1,N24),0))</f>
        <v/>
      </c>
      <c r="P24" s="16" t="str">
        <f aca="false">IF(K24="","",IF(N(O24)&gt;0,"",IF(K24&lt;SchemeStart,"before scheme start",IF(K24&gt;AsOfDate,"future",IF(M24&lt;&gt;"FT","not " &amp; IF("FT"="FT","full-time","eligible part-time") &amp; " on that date","")))))</f>
        <v/>
      </c>
      <c r="Q24" s="16" t="n">
        <v>5</v>
      </c>
      <c r="R24" s="16" t="n">
        <f aca="false">PT_First+PT_Int*4</f>
        <v>76</v>
      </c>
      <c r="S24" s="16" t="str">
        <f aca="false">INT(R24/12)&amp;"y "&amp;MOD(R24,12)&amp;"m"</f>
        <v>6y 4m</v>
      </c>
      <c r="T24" s="14" t="str">
        <f aca="false">IF(OR($C$6&lt;&gt;"Yes",$C$8=""),"",EDATE($C$8,R24))</f>
        <v/>
      </c>
      <c r="U24" s="16" t="str">
        <f aca="false">IF(T24="","",IF($C$16=0,$C$9,IF(AND($C$14&lt;&gt;"",T24&gt;=$C$14),$C$15,IF(AND($C$12&lt;&gt;"",T24&gt;=$C$12),$C$13,$C$11))))</f>
        <v/>
      </c>
      <c r="V24" s="16" t="str">
        <f aca="false">IF(T24="","",IF(OR(ISNUMBER(SEARCH("full",U24)),UPPER(TRIM(U24))="FT",UPPER(TRIM(U24))="FTE"),"FT",IF(AND(OR(ISNUMBER(SEARCH("part",U24)),UPPER(TRIM(U24))="PT",UPPER(TRIM(U24))="PTE"),Apply2026="Yes",OR($C$10="",N($C$10)&gt;=PT_MinHours)),"PT","None")))</f>
        <v/>
      </c>
      <c r="W24" s="16" t="n">
        <v>1</v>
      </c>
      <c r="X24" s="16" t="str">
        <f aca="false">IF(T24="","",IF(AND(V24="PT",T24&lt;=AsOfDate,T24&gt;=SchemeStart),IF(AND("PT"="FT",R24=FT_Y5,T24&lt;PolicyEff),1,W24),0))</f>
        <v/>
      </c>
      <c r="Y24" s="16" t="str">
        <f aca="false">IF(T24="","",IF(N(X24)&gt;0,"",IF(T24&lt;SchemeStart,"before scheme start",IF(T24&gt;AsOfDate,"future",IF(V24&lt;&gt;"PT","not " &amp; IF("PT"="FT","full-time","eligible part-time") &amp; " on that date","")))))</f>
        <v/>
      </c>
      <c r="Z24" s="19" t="n">
        <f aca="false">I24</f>
        <v>52</v>
      </c>
      <c r="AA24" s="19" t="n">
        <f aca="false">SMALL($Z$20:$Z$199,5)</f>
        <v>52</v>
      </c>
      <c r="AB24" s="19" t="str">
        <f aca="false">IF(5-COUNTIF($Z$20:$Z$199,"&lt;"&amp;AA24)=1,IF(COUNTIF($I$20:$I$109,AA24)&gt;0,"FT","PT"),"PT")</f>
        <v>FT</v>
      </c>
      <c r="AC24" s="19" t="n">
        <f aca="false">IF(AB24="FT",INDEX($N$20:$N$109,MATCH(AA24,$I$20:$I$109,0)),1)</f>
        <v>1</v>
      </c>
    </row>
    <row r="25" customFormat="false" ht="15" hidden="false" customHeight="false" outlineLevel="0" collapsed="false">
      <c r="H25" s="16" t="n">
        <v>6</v>
      </c>
      <c r="I25" s="16" t="n">
        <f aca="false">IF(5&lt;FT_PreY5,FT_First+FT_Int1*5,FT_Y5+FT_Int2*(5-FT_PreY5))</f>
        <v>56</v>
      </c>
      <c r="J25" s="16" t="str">
        <f aca="false">INT(I25/12)&amp;"y "&amp;MOD(I25,12)&amp;"m"</f>
        <v>4y 8m</v>
      </c>
      <c r="K25" s="14" t="str">
        <f aca="false">IF(OR($C$6&lt;&gt;"Yes",$C$8=""),"",EDATE($C$8,I25))</f>
        <v/>
      </c>
      <c r="L25" s="16" t="str">
        <f aca="false">IF(K25="","",IF($C$16=0,$C$9,IF(AND($C$14&lt;&gt;"",K25&gt;=$C$14),$C$15,IF(AND($C$12&lt;&gt;"",K25&gt;=$C$12),$C$13,$C$11))))</f>
        <v/>
      </c>
      <c r="M25" s="16" t="str">
        <f aca="false">IF(K25="","",IF(OR(ISNUMBER(SEARCH("full",L25)),UPPER(TRIM(L25))="FT",UPPER(TRIM(L25))="FTE"),"FT",IF(AND(OR(ISNUMBER(SEARCH("part",L25)),UPPER(TRIM(L25))="PT",UPPER(TRIM(L25))="PTE"),Apply2026="Yes",OR($C$10="",N($C$10)&gt;=PT_MinHours)),"PT","None")))</f>
        <v/>
      </c>
      <c r="N25" s="16" t="n">
        <f aca="false">IF(I25&lt;FT_Y5,1,IF(MOD(I25-FT_Y5,12)=0,FT_AnnivDays,1))</f>
        <v>1</v>
      </c>
      <c r="O25" s="16" t="str">
        <f aca="false">IF(K25="","",IF(AND(M25="FT",K25&lt;=AsOfDate,K25&gt;=SchemeStart),IF(AND("FT"="FT",I25=FT_Y5,K25&lt;PolicyEff),1,N25),0))</f>
        <v/>
      </c>
      <c r="P25" s="16" t="str">
        <f aca="false">IF(K25="","",IF(N(O25)&gt;0,"",IF(K25&lt;SchemeStart,"before scheme start",IF(K25&gt;AsOfDate,"future",IF(M25&lt;&gt;"FT","not " &amp; IF("FT"="FT","full-time","eligible part-time") &amp; " on that date","")))))</f>
        <v/>
      </c>
      <c r="Q25" s="16" t="n">
        <v>6</v>
      </c>
      <c r="R25" s="16" t="n">
        <f aca="false">PT_First+PT_Int*5</f>
        <v>80</v>
      </c>
      <c r="S25" s="16" t="str">
        <f aca="false">INT(R25/12)&amp;"y "&amp;MOD(R25,12)&amp;"m"</f>
        <v>6y 8m</v>
      </c>
      <c r="T25" s="14" t="str">
        <f aca="false">IF(OR($C$6&lt;&gt;"Yes",$C$8=""),"",EDATE($C$8,R25))</f>
        <v/>
      </c>
      <c r="U25" s="16" t="str">
        <f aca="false">IF(T25="","",IF($C$16=0,$C$9,IF(AND($C$14&lt;&gt;"",T25&gt;=$C$14),$C$15,IF(AND($C$12&lt;&gt;"",T25&gt;=$C$12),$C$13,$C$11))))</f>
        <v/>
      </c>
      <c r="V25" s="16" t="str">
        <f aca="false">IF(T25="","",IF(OR(ISNUMBER(SEARCH("full",U25)),UPPER(TRIM(U25))="FT",UPPER(TRIM(U25))="FTE"),"FT",IF(AND(OR(ISNUMBER(SEARCH("part",U25)),UPPER(TRIM(U25))="PT",UPPER(TRIM(U25))="PTE"),Apply2026="Yes",OR($C$10="",N($C$10)&gt;=PT_MinHours)),"PT","None")))</f>
        <v/>
      </c>
      <c r="W25" s="16" t="n">
        <v>1</v>
      </c>
      <c r="X25" s="16" t="str">
        <f aca="false">IF(T25="","",IF(AND(V25="PT",T25&lt;=AsOfDate,T25&gt;=SchemeStart),IF(AND("PT"="FT",R25=FT_Y5,T25&lt;PolicyEff),1,W25),0))</f>
        <v/>
      </c>
      <c r="Y25" s="16" t="str">
        <f aca="false">IF(T25="","",IF(N(X25)&gt;0,"",IF(T25&lt;SchemeStart,"before scheme start",IF(T25&gt;AsOfDate,"future",IF(V25&lt;&gt;"PT","not " &amp; IF("PT"="FT","full-time","eligible part-time") &amp; " on that date","")))))</f>
        <v/>
      </c>
      <c r="Z25" s="19" t="n">
        <f aca="false">I25</f>
        <v>56</v>
      </c>
      <c r="AA25" s="19" t="n">
        <f aca="false">SMALL($Z$20:$Z$199,6)</f>
        <v>56</v>
      </c>
      <c r="AB25" s="19" t="str">
        <f aca="false">IF(6-COUNTIF($Z$20:$Z$199,"&lt;"&amp;AA25)=1,IF(COUNTIF($I$20:$I$109,AA25)&gt;0,"FT","PT"),"PT")</f>
        <v>FT</v>
      </c>
      <c r="AC25" s="19" t="n">
        <f aca="false">IF(AB25="FT",INDEX($N$20:$N$109,MATCH(AA25,$I$20:$I$109,0)),1)</f>
        <v>1</v>
      </c>
    </row>
    <row r="26" customFormat="false" ht="15" hidden="false" customHeight="false" outlineLevel="0" collapsed="false">
      <c r="H26" s="16" t="n">
        <v>7</v>
      </c>
      <c r="I26" s="16" t="n">
        <f aca="false">IF(6&lt;FT_PreY5,FT_First+FT_Int1*6,FT_Y5+FT_Int2*(6-FT_PreY5))</f>
        <v>60</v>
      </c>
      <c r="J26" s="16" t="str">
        <f aca="false">INT(I26/12)&amp;"y "&amp;MOD(I26,12)&amp;"m"</f>
        <v>5y 0m</v>
      </c>
      <c r="K26" s="14" t="str">
        <f aca="false">IF(OR($C$6&lt;&gt;"Yes",$C$8=""),"",EDATE($C$8,I26))</f>
        <v/>
      </c>
      <c r="L26" s="16" t="str">
        <f aca="false">IF(K26="","",IF($C$16=0,$C$9,IF(AND($C$14&lt;&gt;"",K26&gt;=$C$14),$C$15,IF(AND($C$12&lt;&gt;"",K26&gt;=$C$12),$C$13,$C$11))))</f>
        <v/>
      </c>
      <c r="M26" s="16" t="str">
        <f aca="false">IF(K26="","",IF(OR(ISNUMBER(SEARCH("full",L26)),UPPER(TRIM(L26))="FT",UPPER(TRIM(L26))="FTE"),"FT",IF(AND(OR(ISNUMBER(SEARCH("part",L26)),UPPER(TRIM(L26))="PT",UPPER(TRIM(L26))="PTE"),Apply2026="Yes",OR($C$10="",N($C$10)&gt;=PT_MinHours)),"PT","None")))</f>
        <v/>
      </c>
      <c r="N26" s="16" t="n">
        <f aca="false">IF(I26&lt;FT_Y5,1,IF(MOD(I26-FT_Y5,12)=0,FT_AnnivDays,1))</f>
        <v>2</v>
      </c>
      <c r="O26" s="16" t="str">
        <f aca="false">IF(K26="","",IF(AND(M26="FT",K26&lt;=AsOfDate,K26&gt;=SchemeStart),IF(AND("FT"="FT",I26=FT_Y5,K26&lt;PolicyEff),1,N26),0))</f>
        <v/>
      </c>
      <c r="P26" s="16" t="str">
        <f aca="false">IF(K26="","",IF(N(O26)&gt;0,"",IF(K26&lt;SchemeStart,"before scheme start",IF(K26&gt;AsOfDate,"future",IF(M26&lt;&gt;"FT","not " &amp; IF("FT"="FT","full-time","eligible part-time") &amp; " on that date","")))))</f>
        <v/>
      </c>
      <c r="Q26" s="16" t="n">
        <v>7</v>
      </c>
      <c r="R26" s="16" t="n">
        <f aca="false">PT_First+PT_Int*6</f>
        <v>84</v>
      </c>
      <c r="S26" s="16" t="str">
        <f aca="false">INT(R26/12)&amp;"y "&amp;MOD(R26,12)&amp;"m"</f>
        <v>7y 0m</v>
      </c>
      <c r="T26" s="14" t="str">
        <f aca="false">IF(OR($C$6&lt;&gt;"Yes",$C$8=""),"",EDATE($C$8,R26))</f>
        <v/>
      </c>
      <c r="U26" s="16" t="str">
        <f aca="false">IF(T26="","",IF($C$16=0,$C$9,IF(AND($C$14&lt;&gt;"",T26&gt;=$C$14),$C$15,IF(AND($C$12&lt;&gt;"",T26&gt;=$C$12),$C$13,$C$11))))</f>
        <v/>
      </c>
      <c r="V26" s="16" t="str">
        <f aca="false">IF(T26="","",IF(OR(ISNUMBER(SEARCH("full",U26)),UPPER(TRIM(U26))="FT",UPPER(TRIM(U26))="FTE"),"FT",IF(AND(OR(ISNUMBER(SEARCH("part",U26)),UPPER(TRIM(U26))="PT",UPPER(TRIM(U26))="PTE"),Apply2026="Yes",OR($C$10="",N($C$10)&gt;=PT_MinHours)),"PT","None")))</f>
        <v/>
      </c>
      <c r="W26" s="16" t="n">
        <v>1</v>
      </c>
      <c r="X26" s="16" t="str">
        <f aca="false">IF(T26="","",IF(AND(V26="PT",T26&lt;=AsOfDate,T26&gt;=SchemeStart),IF(AND("PT"="FT",R26=FT_Y5,T26&lt;PolicyEff),1,W26),0))</f>
        <v/>
      </c>
      <c r="Y26" s="16" t="str">
        <f aca="false">IF(T26="","",IF(N(X26)&gt;0,"",IF(T26&lt;SchemeStart,"before scheme start",IF(T26&gt;AsOfDate,"future",IF(V26&lt;&gt;"PT","not " &amp; IF("PT"="FT","full-time","eligible part-time") &amp; " on that date","")))))</f>
        <v/>
      </c>
      <c r="Z26" s="19" t="n">
        <f aca="false">I26</f>
        <v>60</v>
      </c>
      <c r="AA26" s="19" t="n">
        <f aca="false">SMALL($Z$20:$Z$199,7)</f>
        <v>60</v>
      </c>
      <c r="AB26" s="19" t="str">
        <f aca="false">IF(7-COUNTIF($Z$20:$Z$199,"&lt;"&amp;AA26)=1,IF(COUNTIF($I$20:$I$109,AA26)&gt;0,"FT","PT"),"PT")</f>
        <v>FT</v>
      </c>
      <c r="AC26" s="19" t="n">
        <f aca="false">IF(AB26="FT",INDEX($N$20:$N$109,MATCH(AA26,$I$20:$I$109,0)),1)</f>
        <v>2</v>
      </c>
    </row>
    <row r="27" customFormat="false" ht="15" hidden="false" customHeight="false" outlineLevel="0" collapsed="false">
      <c r="H27" s="16" t="n">
        <v>8</v>
      </c>
      <c r="I27" s="16" t="n">
        <f aca="false">IF(7&lt;FT_PreY5,FT_First+FT_Int1*7,FT_Y5+FT_Int2*(7-FT_PreY5))</f>
        <v>63</v>
      </c>
      <c r="J27" s="16" t="str">
        <f aca="false">INT(I27/12)&amp;"y "&amp;MOD(I27,12)&amp;"m"</f>
        <v>5y 3m</v>
      </c>
      <c r="K27" s="14" t="str">
        <f aca="false">IF(OR($C$6&lt;&gt;"Yes",$C$8=""),"",EDATE($C$8,I27))</f>
        <v/>
      </c>
      <c r="L27" s="16" t="str">
        <f aca="false">IF(K27="","",IF($C$16=0,$C$9,IF(AND($C$14&lt;&gt;"",K27&gt;=$C$14),$C$15,IF(AND($C$12&lt;&gt;"",K27&gt;=$C$12),$C$13,$C$11))))</f>
        <v/>
      </c>
      <c r="M27" s="16" t="str">
        <f aca="false">IF(K27="","",IF(OR(ISNUMBER(SEARCH("full",L27)),UPPER(TRIM(L27))="FT",UPPER(TRIM(L27))="FTE"),"FT",IF(AND(OR(ISNUMBER(SEARCH("part",L27)),UPPER(TRIM(L27))="PT",UPPER(TRIM(L27))="PTE"),Apply2026="Yes",OR($C$10="",N($C$10)&gt;=PT_MinHours)),"PT","None")))</f>
        <v/>
      </c>
      <c r="N27" s="16" t="n">
        <f aca="false">IF(I27&lt;FT_Y5,1,IF(MOD(I27-FT_Y5,12)=0,FT_AnnivDays,1))</f>
        <v>1</v>
      </c>
      <c r="O27" s="16" t="str">
        <f aca="false">IF(K27="","",IF(AND(M27="FT",K27&lt;=AsOfDate,K27&gt;=SchemeStart),IF(AND("FT"="FT",I27=FT_Y5,K27&lt;PolicyEff),1,N27),0))</f>
        <v/>
      </c>
      <c r="P27" s="16" t="str">
        <f aca="false">IF(K27="","",IF(N(O27)&gt;0,"",IF(K27&lt;SchemeStart,"before scheme start",IF(K27&gt;AsOfDate,"future",IF(M27&lt;&gt;"FT","not " &amp; IF("FT"="FT","full-time","eligible part-time") &amp; " on that date","")))))</f>
        <v/>
      </c>
      <c r="Q27" s="16" t="n">
        <v>8</v>
      </c>
      <c r="R27" s="16" t="n">
        <f aca="false">PT_First+PT_Int*7</f>
        <v>88</v>
      </c>
      <c r="S27" s="16" t="str">
        <f aca="false">INT(R27/12)&amp;"y "&amp;MOD(R27,12)&amp;"m"</f>
        <v>7y 4m</v>
      </c>
      <c r="T27" s="14" t="str">
        <f aca="false">IF(OR($C$6&lt;&gt;"Yes",$C$8=""),"",EDATE($C$8,R27))</f>
        <v/>
      </c>
      <c r="U27" s="16" t="str">
        <f aca="false">IF(T27="","",IF($C$16=0,$C$9,IF(AND($C$14&lt;&gt;"",T27&gt;=$C$14),$C$15,IF(AND($C$12&lt;&gt;"",T27&gt;=$C$12),$C$13,$C$11))))</f>
        <v/>
      </c>
      <c r="V27" s="16" t="str">
        <f aca="false">IF(T27="","",IF(OR(ISNUMBER(SEARCH("full",U27)),UPPER(TRIM(U27))="FT",UPPER(TRIM(U27))="FTE"),"FT",IF(AND(OR(ISNUMBER(SEARCH("part",U27)),UPPER(TRIM(U27))="PT",UPPER(TRIM(U27))="PTE"),Apply2026="Yes",OR($C$10="",N($C$10)&gt;=PT_MinHours)),"PT","None")))</f>
        <v/>
      </c>
      <c r="W27" s="16" t="n">
        <v>1</v>
      </c>
      <c r="X27" s="16" t="str">
        <f aca="false">IF(T27="","",IF(AND(V27="PT",T27&lt;=AsOfDate,T27&gt;=SchemeStart),IF(AND("PT"="FT",R27=FT_Y5,T27&lt;PolicyEff),1,W27),0))</f>
        <v/>
      </c>
      <c r="Y27" s="16" t="str">
        <f aca="false">IF(T27="","",IF(N(X27)&gt;0,"",IF(T27&lt;SchemeStart,"before scheme start",IF(T27&gt;AsOfDate,"future",IF(V27&lt;&gt;"PT","not " &amp; IF("PT"="FT","full-time","eligible part-time") &amp; " on that date","")))))</f>
        <v/>
      </c>
      <c r="Z27" s="19" t="n">
        <f aca="false">I27</f>
        <v>63</v>
      </c>
      <c r="AA27" s="19" t="n">
        <f aca="false">SMALL($Z$20:$Z$199,8)</f>
        <v>60</v>
      </c>
      <c r="AB27" s="19" t="str">
        <f aca="false">IF(8-COUNTIF($Z$20:$Z$199,"&lt;"&amp;AA27)=1,IF(COUNTIF($I$20:$I$109,AA27)&gt;0,"FT","PT"),"PT")</f>
        <v>PT</v>
      </c>
      <c r="AC27" s="19" t="n">
        <f aca="false">IF(AB27="FT",INDEX($N$20:$N$109,MATCH(AA27,$I$20:$I$109,0)),1)</f>
        <v>1</v>
      </c>
    </row>
    <row r="28" customFormat="false" ht="15" hidden="false" customHeight="false" outlineLevel="0" collapsed="false">
      <c r="H28" s="16" t="n">
        <v>9</v>
      </c>
      <c r="I28" s="16" t="n">
        <f aca="false">IF(8&lt;FT_PreY5,FT_First+FT_Int1*8,FT_Y5+FT_Int2*(8-FT_PreY5))</f>
        <v>66</v>
      </c>
      <c r="J28" s="16" t="str">
        <f aca="false">INT(I28/12)&amp;"y "&amp;MOD(I28,12)&amp;"m"</f>
        <v>5y 6m</v>
      </c>
      <c r="K28" s="14" t="str">
        <f aca="false">IF(OR($C$6&lt;&gt;"Yes",$C$8=""),"",EDATE($C$8,I28))</f>
        <v/>
      </c>
      <c r="L28" s="16" t="str">
        <f aca="false">IF(K28="","",IF($C$16=0,$C$9,IF(AND($C$14&lt;&gt;"",K28&gt;=$C$14),$C$15,IF(AND($C$12&lt;&gt;"",K28&gt;=$C$12),$C$13,$C$11))))</f>
        <v/>
      </c>
      <c r="M28" s="16" t="str">
        <f aca="false">IF(K28="","",IF(OR(ISNUMBER(SEARCH("full",L28)),UPPER(TRIM(L28))="FT",UPPER(TRIM(L28))="FTE"),"FT",IF(AND(OR(ISNUMBER(SEARCH("part",L28)),UPPER(TRIM(L28))="PT",UPPER(TRIM(L28))="PTE"),Apply2026="Yes",OR($C$10="",N($C$10)&gt;=PT_MinHours)),"PT","None")))</f>
        <v/>
      </c>
      <c r="N28" s="16" t="n">
        <f aca="false">IF(I28&lt;FT_Y5,1,IF(MOD(I28-FT_Y5,12)=0,FT_AnnivDays,1))</f>
        <v>1</v>
      </c>
      <c r="O28" s="16" t="str">
        <f aca="false">IF(K28="","",IF(AND(M28="FT",K28&lt;=AsOfDate,K28&gt;=SchemeStart),IF(AND("FT"="FT",I28=FT_Y5,K28&lt;PolicyEff),1,N28),0))</f>
        <v/>
      </c>
      <c r="P28" s="16" t="str">
        <f aca="false">IF(K28="","",IF(N(O28)&gt;0,"",IF(K28&lt;SchemeStart,"before scheme start",IF(K28&gt;AsOfDate,"future",IF(M28&lt;&gt;"FT","not " &amp; IF("FT"="FT","full-time","eligible part-time") &amp; " on that date","")))))</f>
        <v/>
      </c>
      <c r="Q28" s="16" t="n">
        <v>9</v>
      </c>
      <c r="R28" s="16" t="n">
        <f aca="false">PT_First+PT_Int*8</f>
        <v>92</v>
      </c>
      <c r="S28" s="16" t="str">
        <f aca="false">INT(R28/12)&amp;"y "&amp;MOD(R28,12)&amp;"m"</f>
        <v>7y 8m</v>
      </c>
      <c r="T28" s="14" t="str">
        <f aca="false">IF(OR($C$6&lt;&gt;"Yes",$C$8=""),"",EDATE($C$8,R28))</f>
        <v/>
      </c>
      <c r="U28" s="16" t="str">
        <f aca="false">IF(T28="","",IF($C$16=0,$C$9,IF(AND($C$14&lt;&gt;"",T28&gt;=$C$14),$C$15,IF(AND($C$12&lt;&gt;"",T28&gt;=$C$12),$C$13,$C$11))))</f>
        <v/>
      </c>
      <c r="V28" s="16" t="str">
        <f aca="false">IF(T28="","",IF(OR(ISNUMBER(SEARCH("full",U28)),UPPER(TRIM(U28))="FT",UPPER(TRIM(U28))="FTE"),"FT",IF(AND(OR(ISNUMBER(SEARCH("part",U28)),UPPER(TRIM(U28))="PT",UPPER(TRIM(U28))="PTE"),Apply2026="Yes",OR($C$10="",N($C$10)&gt;=PT_MinHours)),"PT","None")))</f>
        <v/>
      </c>
      <c r="W28" s="16" t="n">
        <v>1</v>
      </c>
      <c r="X28" s="16" t="str">
        <f aca="false">IF(T28="","",IF(AND(V28="PT",T28&lt;=AsOfDate,T28&gt;=SchemeStart),IF(AND("PT"="FT",R28=FT_Y5,T28&lt;PolicyEff),1,W28),0))</f>
        <v/>
      </c>
      <c r="Y28" s="16" t="str">
        <f aca="false">IF(T28="","",IF(N(X28)&gt;0,"",IF(T28&lt;SchemeStart,"before scheme start",IF(T28&gt;AsOfDate,"future",IF(V28&lt;&gt;"PT","not " &amp; IF("PT"="FT","full-time","eligible part-time") &amp; " on that date","")))))</f>
        <v/>
      </c>
      <c r="Z28" s="19" t="n">
        <f aca="false">I28</f>
        <v>66</v>
      </c>
      <c r="AA28" s="19" t="n">
        <f aca="false">SMALL($Z$20:$Z$199,9)</f>
        <v>63</v>
      </c>
      <c r="AB28" s="19" t="str">
        <f aca="false">IF(9-COUNTIF($Z$20:$Z$199,"&lt;"&amp;AA28)=1,IF(COUNTIF($I$20:$I$109,AA28)&gt;0,"FT","PT"),"PT")</f>
        <v>FT</v>
      </c>
      <c r="AC28" s="19" t="n">
        <f aca="false">IF(AB28="FT",INDEX($N$20:$N$109,MATCH(AA28,$I$20:$I$109,0)),1)</f>
        <v>1</v>
      </c>
    </row>
    <row r="29" customFormat="false" ht="15" hidden="false" customHeight="false" outlineLevel="0" collapsed="false">
      <c r="H29" s="16" t="n">
        <v>10</v>
      </c>
      <c r="I29" s="16" t="n">
        <f aca="false">IF(9&lt;FT_PreY5,FT_First+FT_Int1*9,FT_Y5+FT_Int2*(9-FT_PreY5))</f>
        <v>69</v>
      </c>
      <c r="J29" s="16" t="str">
        <f aca="false">INT(I29/12)&amp;"y "&amp;MOD(I29,12)&amp;"m"</f>
        <v>5y 9m</v>
      </c>
      <c r="K29" s="14" t="str">
        <f aca="false">IF(OR($C$6&lt;&gt;"Yes",$C$8=""),"",EDATE($C$8,I29))</f>
        <v/>
      </c>
      <c r="L29" s="16" t="str">
        <f aca="false">IF(K29="","",IF($C$16=0,$C$9,IF(AND($C$14&lt;&gt;"",K29&gt;=$C$14),$C$15,IF(AND($C$12&lt;&gt;"",K29&gt;=$C$12),$C$13,$C$11))))</f>
        <v/>
      </c>
      <c r="M29" s="16" t="str">
        <f aca="false">IF(K29="","",IF(OR(ISNUMBER(SEARCH("full",L29)),UPPER(TRIM(L29))="FT",UPPER(TRIM(L29))="FTE"),"FT",IF(AND(OR(ISNUMBER(SEARCH("part",L29)),UPPER(TRIM(L29))="PT",UPPER(TRIM(L29))="PTE"),Apply2026="Yes",OR($C$10="",N($C$10)&gt;=PT_MinHours)),"PT","None")))</f>
        <v/>
      </c>
      <c r="N29" s="16" t="n">
        <f aca="false">IF(I29&lt;FT_Y5,1,IF(MOD(I29-FT_Y5,12)=0,FT_AnnivDays,1))</f>
        <v>1</v>
      </c>
      <c r="O29" s="16" t="str">
        <f aca="false">IF(K29="","",IF(AND(M29="FT",K29&lt;=AsOfDate,K29&gt;=SchemeStart),IF(AND("FT"="FT",I29=FT_Y5,K29&lt;PolicyEff),1,N29),0))</f>
        <v/>
      </c>
      <c r="P29" s="16" t="str">
        <f aca="false">IF(K29="","",IF(N(O29)&gt;0,"",IF(K29&lt;SchemeStart,"before scheme start",IF(K29&gt;AsOfDate,"future",IF(M29&lt;&gt;"FT","not " &amp; IF("FT"="FT","full-time","eligible part-time") &amp; " on that date","")))))</f>
        <v/>
      </c>
      <c r="Q29" s="16" t="n">
        <v>10</v>
      </c>
      <c r="R29" s="16" t="n">
        <f aca="false">PT_First+PT_Int*9</f>
        <v>96</v>
      </c>
      <c r="S29" s="16" t="str">
        <f aca="false">INT(R29/12)&amp;"y "&amp;MOD(R29,12)&amp;"m"</f>
        <v>8y 0m</v>
      </c>
      <c r="T29" s="14" t="str">
        <f aca="false">IF(OR($C$6&lt;&gt;"Yes",$C$8=""),"",EDATE($C$8,R29))</f>
        <v/>
      </c>
      <c r="U29" s="16" t="str">
        <f aca="false">IF(T29="","",IF($C$16=0,$C$9,IF(AND($C$14&lt;&gt;"",T29&gt;=$C$14),$C$15,IF(AND($C$12&lt;&gt;"",T29&gt;=$C$12),$C$13,$C$11))))</f>
        <v/>
      </c>
      <c r="V29" s="16" t="str">
        <f aca="false">IF(T29="","",IF(OR(ISNUMBER(SEARCH("full",U29)),UPPER(TRIM(U29))="FT",UPPER(TRIM(U29))="FTE"),"FT",IF(AND(OR(ISNUMBER(SEARCH("part",U29)),UPPER(TRIM(U29))="PT",UPPER(TRIM(U29))="PTE"),Apply2026="Yes",OR($C$10="",N($C$10)&gt;=PT_MinHours)),"PT","None")))</f>
        <v/>
      </c>
      <c r="W29" s="16" t="n">
        <v>1</v>
      </c>
      <c r="X29" s="16" t="str">
        <f aca="false">IF(T29="","",IF(AND(V29="PT",T29&lt;=AsOfDate,T29&gt;=SchemeStart),IF(AND("PT"="FT",R29=FT_Y5,T29&lt;PolicyEff),1,W29),0))</f>
        <v/>
      </c>
      <c r="Y29" s="16" t="str">
        <f aca="false">IF(T29="","",IF(N(X29)&gt;0,"",IF(T29&lt;SchemeStart,"before scheme start",IF(T29&gt;AsOfDate,"future",IF(V29&lt;&gt;"PT","not " &amp; IF("PT"="FT","full-time","eligible part-time") &amp; " on that date","")))))</f>
        <v/>
      </c>
      <c r="Z29" s="19" t="n">
        <f aca="false">I29</f>
        <v>69</v>
      </c>
      <c r="AA29" s="19" t="n">
        <f aca="false">SMALL($Z$20:$Z$199,10)</f>
        <v>64</v>
      </c>
      <c r="AB29" s="19" t="str">
        <f aca="false">IF(10-COUNTIF($Z$20:$Z$199,"&lt;"&amp;AA29)=1,IF(COUNTIF($I$20:$I$109,AA29)&gt;0,"FT","PT"),"PT")</f>
        <v>PT</v>
      </c>
      <c r="AC29" s="19" t="n">
        <f aca="false">IF(AB29="FT",INDEX($N$20:$N$109,MATCH(AA29,$I$20:$I$109,0)),1)</f>
        <v>1</v>
      </c>
    </row>
    <row r="30" customFormat="false" ht="15" hidden="false" customHeight="false" outlineLevel="0" collapsed="false">
      <c r="H30" s="16" t="n">
        <v>11</v>
      </c>
      <c r="I30" s="16" t="n">
        <f aca="false">IF(10&lt;FT_PreY5,FT_First+FT_Int1*10,FT_Y5+FT_Int2*(10-FT_PreY5))</f>
        <v>72</v>
      </c>
      <c r="J30" s="16" t="str">
        <f aca="false">INT(I30/12)&amp;"y "&amp;MOD(I30,12)&amp;"m"</f>
        <v>6y 0m</v>
      </c>
      <c r="K30" s="14" t="str">
        <f aca="false">IF(OR($C$6&lt;&gt;"Yes",$C$8=""),"",EDATE($C$8,I30))</f>
        <v/>
      </c>
      <c r="L30" s="16" t="str">
        <f aca="false">IF(K30="","",IF($C$16=0,$C$9,IF(AND($C$14&lt;&gt;"",K30&gt;=$C$14),$C$15,IF(AND($C$12&lt;&gt;"",K30&gt;=$C$12),$C$13,$C$11))))</f>
        <v/>
      </c>
      <c r="M30" s="16" t="str">
        <f aca="false">IF(K30="","",IF(OR(ISNUMBER(SEARCH("full",L30)),UPPER(TRIM(L30))="FT",UPPER(TRIM(L30))="FTE"),"FT",IF(AND(OR(ISNUMBER(SEARCH("part",L30)),UPPER(TRIM(L30))="PT",UPPER(TRIM(L30))="PTE"),Apply2026="Yes",OR($C$10="",N($C$10)&gt;=PT_MinHours)),"PT","None")))</f>
        <v/>
      </c>
      <c r="N30" s="16" t="n">
        <f aca="false">IF(I30&lt;FT_Y5,1,IF(MOD(I30-FT_Y5,12)=0,FT_AnnivDays,1))</f>
        <v>2</v>
      </c>
      <c r="O30" s="16" t="str">
        <f aca="false">IF(K30="","",IF(AND(M30="FT",K30&lt;=AsOfDate,K30&gt;=SchemeStart),IF(AND("FT"="FT",I30=FT_Y5,K30&lt;PolicyEff),1,N30),0))</f>
        <v/>
      </c>
      <c r="P30" s="16" t="str">
        <f aca="false">IF(K30="","",IF(N(O30)&gt;0,"",IF(K30&lt;SchemeStart,"before scheme start",IF(K30&gt;AsOfDate,"future",IF(M30&lt;&gt;"FT","not " &amp; IF("FT"="FT","full-time","eligible part-time") &amp; " on that date","")))))</f>
        <v/>
      </c>
      <c r="Q30" s="16" t="n">
        <v>11</v>
      </c>
      <c r="R30" s="16" t="n">
        <f aca="false">PT_First+PT_Int*10</f>
        <v>100</v>
      </c>
      <c r="S30" s="16" t="str">
        <f aca="false">INT(R30/12)&amp;"y "&amp;MOD(R30,12)&amp;"m"</f>
        <v>8y 4m</v>
      </c>
      <c r="T30" s="14" t="str">
        <f aca="false">IF(OR($C$6&lt;&gt;"Yes",$C$8=""),"",EDATE($C$8,R30))</f>
        <v/>
      </c>
      <c r="U30" s="16" t="str">
        <f aca="false">IF(T30="","",IF($C$16=0,$C$9,IF(AND($C$14&lt;&gt;"",T30&gt;=$C$14),$C$15,IF(AND($C$12&lt;&gt;"",T30&gt;=$C$12),$C$13,$C$11))))</f>
        <v/>
      </c>
      <c r="V30" s="16" t="str">
        <f aca="false">IF(T30="","",IF(OR(ISNUMBER(SEARCH("full",U30)),UPPER(TRIM(U30))="FT",UPPER(TRIM(U30))="FTE"),"FT",IF(AND(OR(ISNUMBER(SEARCH("part",U30)),UPPER(TRIM(U30))="PT",UPPER(TRIM(U30))="PTE"),Apply2026="Yes",OR($C$10="",N($C$10)&gt;=PT_MinHours)),"PT","None")))</f>
        <v/>
      </c>
      <c r="W30" s="16" t="n">
        <v>1</v>
      </c>
      <c r="X30" s="16" t="str">
        <f aca="false">IF(T30="","",IF(AND(V30="PT",T30&lt;=AsOfDate,T30&gt;=SchemeStart),IF(AND("PT"="FT",R30=FT_Y5,T30&lt;PolicyEff),1,W30),0))</f>
        <v/>
      </c>
      <c r="Y30" s="16" t="str">
        <f aca="false">IF(T30="","",IF(N(X30)&gt;0,"",IF(T30&lt;SchemeStart,"before scheme start",IF(T30&gt;AsOfDate,"future",IF(V30&lt;&gt;"PT","not " &amp; IF("PT"="FT","full-time","eligible part-time") &amp; " on that date","")))))</f>
        <v/>
      </c>
      <c r="Z30" s="19" t="n">
        <f aca="false">I30</f>
        <v>72</v>
      </c>
      <c r="AA30" s="19" t="n">
        <f aca="false">SMALL($Z$20:$Z$199,11)</f>
        <v>66</v>
      </c>
      <c r="AB30" s="19" t="str">
        <f aca="false">IF(11-COUNTIF($Z$20:$Z$199,"&lt;"&amp;AA30)=1,IF(COUNTIF($I$20:$I$109,AA30)&gt;0,"FT","PT"),"PT")</f>
        <v>FT</v>
      </c>
      <c r="AC30" s="19" t="n">
        <f aca="false">IF(AB30="FT",INDEX($N$20:$N$109,MATCH(AA30,$I$20:$I$109,0)),1)</f>
        <v>1</v>
      </c>
    </row>
    <row r="31" customFormat="false" ht="15" hidden="false" customHeight="false" outlineLevel="0" collapsed="false">
      <c r="H31" s="16" t="n">
        <v>12</v>
      </c>
      <c r="I31" s="16" t="n">
        <f aca="false">IF(11&lt;FT_PreY5,FT_First+FT_Int1*11,FT_Y5+FT_Int2*(11-FT_PreY5))</f>
        <v>75</v>
      </c>
      <c r="J31" s="16" t="str">
        <f aca="false">INT(I31/12)&amp;"y "&amp;MOD(I31,12)&amp;"m"</f>
        <v>6y 3m</v>
      </c>
      <c r="K31" s="14" t="str">
        <f aca="false">IF(OR($C$6&lt;&gt;"Yes",$C$8=""),"",EDATE($C$8,I31))</f>
        <v/>
      </c>
      <c r="L31" s="16" t="str">
        <f aca="false">IF(K31="","",IF($C$16=0,$C$9,IF(AND($C$14&lt;&gt;"",K31&gt;=$C$14),$C$15,IF(AND($C$12&lt;&gt;"",K31&gt;=$C$12),$C$13,$C$11))))</f>
        <v/>
      </c>
      <c r="M31" s="16" t="str">
        <f aca="false">IF(K31="","",IF(OR(ISNUMBER(SEARCH("full",L31)),UPPER(TRIM(L31))="FT",UPPER(TRIM(L31))="FTE"),"FT",IF(AND(OR(ISNUMBER(SEARCH("part",L31)),UPPER(TRIM(L31))="PT",UPPER(TRIM(L31))="PTE"),Apply2026="Yes",OR($C$10="",N($C$10)&gt;=PT_MinHours)),"PT","None")))</f>
        <v/>
      </c>
      <c r="N31" s="16" t="n">
        <f aca="false">IF(I31&lt;FT_Y5,1,IF(MOD(I31-FT_Y5,12)=0,FT_AnnivDays,1))</f>
        <v>1</v>
      </c>
      <c r="O31" s="16" t="str">
        <f aca="false">IF(K31="","",IF(AND(M31="FT",K31&lt;=AsOfDate,K31&gt;=SchemeStart),IF(AND("FT"="FT",I31=FT_Y5,K31&lt;PolicyEff),1,N31),0))</f>
        <v/>
      </c>
      <c r="P31" s="16" t="str">
        <f aca="false">IF(K31="","",IF(N(O31)&gt;0,"",IF(K31&lt;SchemeStart,"before scheme start",IF(K31&gt;AsOfDate,"future",IF(M31&lt;&gt;"FT","not " &amp; IF("FT"="FT","full-time","eligible part-time") &amp; " on that date","")))))</f>
        <v/>
      </c>
      <c r="Q31" s="16" t="n">
        <v>12</v>
      </c>
      <c r="R31" s="16" t="n">
        <f aca="false">PT_First+PT_Int*11</f>
        <v>104</v>
      </c>
      <c r="S31" s="16" t="str">
        <f aca="false">INT(R31/12)&amp;"y "&amp;MOD(R31,12)&amp;"m"</f>
        <v>8y 8m</v>
      </c>
      <c r="T31" s="14" t="str">
        <f aca="false">IF(OR($C$6&lt;&gt;"Yes",$C$8=""),"",EDATE($C$8,R31))</f>
        <v/>
      </c>
      <c r="U31" s="16" t="str">
        <f aca="false">IF(T31="","",IF($C$16=0,$C$9,IF(AND($C$14&lt;&gt;"",T31&gt;=$C$14),$C$15,IF(AND($C$12&lt;&gt;"",T31&gt;=$C$12),$C$13,$C$11))))</f>
        <v/>
      </c>
      <c r="V31" s="16" t="str">
        <f aca="false">IF(T31="","",IF(OR(ISNUMBER(SEARCH("full",U31)),UPPER(TRIM(U31))="FT",UPPER(TRIM(U31))="FTE"),"FT",IF(AND(OR(ISNUMBER(SEARCH("part",U31)),UPPER(TRIM(U31))="PT",UPPER(TRIM(U31))="PTE"),Apply2026="Yes",OR($C$10="",N($C$10)&gt;=PT_MinHours)),"PT","None")))</f>
        <v/>
      </c>
      <c r="W31" s="16" t="n">
        <v>1</v>
      </c>
      <c r="X31" s="16" t="str">
        <f aca="false">IF(T31="","",IF(AND(V31="PT",T31&lt;=AsOfDate,T31&gt;=SchemeStart),IF(AND("PT"="FT",R31=FT_Y5,T31&lt;PolicyEff),1,W31),0))</f>
        <v/>
      </c>
      <c r="Y31" s="16" t="str">
        <f aca="false">IF(T31="","",IF(N(X31)&gt;0,"",IF(T31&lt;SchemeStart,"before scheme start",IF(T31&gt;AsOfDate,"future",IF(V31&lt;&gt;"PT","not " &amp; IF("PT"="FT","full-time","eligible part-time") &amp; " on that date","")))))</f>
        <v/>
      </c>
      <c r="Z31" s="19" t="n">
        <f aca="false">I31</f>
        <v>75</v>
      </c>
      <c r="AA31" s="19" t="n">
        <f aca="false">SMALL($Z$20:$Z$199,12)</f>
        <v>68</v>
      </c>
      <c r="AB31" s="19" t="str">
        <f aca="false">IF(12-COUNTIF($Z$20:$Z$199,"&lt;"&amp;AA31)=1,IF(COUNTIF($I$20:$I$109,AA31)&gt;0,"FT","PT"),"PT")</f>
        <v>PT</v>
      </c>
      <c r="AC31" s="19" t="n">
        <f aca="false">IF(AB31="FT",INDEX($N$20:$N$109,MATCH(AA31,$I$20:$I$109,0)),1)</f>
        <v>1</v>
      </c>
    </row>
    <row r="32" customFormat="false" ht="15" hidden="false" customHeight="false" outlineLevel="0" collapsed="false">
      <c r="H32" s="16" t="n">
        <v>13</v>
      </c>
      <c r="I32" s="16" t="n">
        <f aca="false">IF(12&lt;FT_PreY5,FT_First+FT_Int1*12,FT_Y5+FT_Int2*(12-FT_PreY5))</f>
        <v>78</v>
      </c>
      <c r="J32" s="16" t="str">
        <f aca="false">INT(I32/12)&amp;"y "&amp;MOD(I32,12)&amp;"m"</f>
        <v>6y 6m</v>
      </c>
      <c r="K32" s="14" t="str">
        <f aca="false">IF(OR($C$6&lt;&gt;"Yes",$C$8=""),"",EDATE($C$8,I32))</f>
        <v/>
      </c>
      <c r="L32" s="16" t="str">
        <f aca="false">IF(K32="","",IF($C$16=0,$C$9,IF(AND($C$14&lt;&gt;"",K32&gt;=$C$14),$C$15,IF(AND($C$12&lt;&gt;"",K32&gt;=$C$12),$C$13,$C$11))))</f>
        <v/>
      </c>
      <c r="M32" s="16" t="str">
        <f aca="false">IF(K32="","",IF(OR(ISNUMBER(SEARCH("full",L32)),UPPER(TRIM(L32))="FT",UPPER(TRIM(L32))="FTE"),"FT",IF(AND(OR(ISNUMBER(SEARCH("part",L32)),UPPER(TRIM(L32))="PT",UPPER(TRIM(L32))="PTE"),Apply2026="Yes",OR($C$10="",N($C$10)&gt;=PT_MinHours)),"PT","None")))</f>
        <v/>
      </c>
      <c r="N32" s="16" t="n">
        <f aca="false">IF(I32&lt;FT_Y5,1,IF(MOD(I32-FT_Y5,12)=0,FT_AnnivDays,1))</f>
        <v>1</v>
      </c>
      <c r="O32" s="16" t="str">
        <f aca="false">IF(K32="","",IF(AND(M32="FT",K32&lt;=AsOfDate,K32&gt;=SchemeStart),IF(AND("FT"="FT",I32=FT_Y5,K32&lt;PolicyEff),1,N32),0))</f>
        <v/>
      </c>
      <c r="P32" s="16" t="str">
        <f aca="false">IF(K32="","",IF(N(O32)&gt;0,"",IF(K32&lt;SchemeStart,"before scheme start",IF(K32&gt;AsOfDate,"future",IF(M32&lt;&gt;"FT","not " &amp; IF("FT"="FT","full-time","eligible part-time") &amp; " on that date","")))))</f>
        <v/>
      </c>
      <c r="Q32" s="16" t="n">
        <v>13</v>
      </c>
      <c r="R32" s="16" t="n">
        <f aca="false">PT_First+PT_Int*12</f>
        <v>108</v>
      </c>
      <c r="S32" s="16" t="str">
        <f aca="false">INT(R32/12)&amp;"y "&amp;MOD(R32,12)&amp;"m"</f>
        <v>9y 0m</v>
      </c>
      <c r="T32" s="14" t="str">
        <f aca="false">IF(OR($C$6&lt;&gt;"Yes",$C$8=""),"",EDATE($C$8,R32))</f>
        <v/>
      </c>
      <c r="U32" s="16" t="str">
        <f aca="false">IF(T32="","",IF($C$16=0,$C$9,IF(AND($C$14&lt;&gt;"",T32&gt;=$C$14),$C$15,IF(AND($C$12&lt;&gt;"",T32&gt;=$C$12),$C$13,$C$11))))</f>
        <v/>
      </c>
      <c r="V32" s="16" t="str">
        <f aca="false">IF(T32="","",IF(OR(ISNUMBER(SEARCH("full",U32)),UPPER(TRIM(U32))="FT",UPPER(TRIM(U32))="FTE"),"FT",IF(AND(OR(ISNUMBER(SEARCH("part",U32)),UPPER(TRIM(U32))="PT",UPPER(TRIM(U32))="PTE"),Apply2026="Yes",OR($C$10="",N($C$10)&gt;=PT_MinHours)),"PT","None")))</f>
        <v/>
      </c>
      <c r="W32" s="16" t="n">
        <v>1</v>
      </c>
      <c r="X32" s="16" t="str">
        <f aca="false">IF(T32="","",IF(AND(V32="PT",T32&lt;=AsOfDate,T32&gt;=SchemeStart),IF(AND("PT"="FT",R32=FT_Y5,T32&lt;PolicyEff),1,W32),0))</f>
        <v/>
      </c>
      <c r="Y32" s="16" t="str">
        <f aca="false">IF(T32="","",IF(N(X32)&gt;0,"",IF(T32&lt;SchemeStart,"before scheme start",IF(T32&gt;AsOfDate,"future",IF(V32&lt;&gt;"PT","not " &amp; IF("PT"="FT","full-time","eligible part-time") &amp; " on that date","")))))</f>
        <v/>
      </c>
      <c r="Z32" s="19" t="n">
        <f aca="false">I32</f>
        <v>78</v>
      </c>
      <c r="AA32" s="19" t="n">
        <f aca="false">SMALL($Z$20:$Z$199,13)</f>
        <v>69</v>
      </c>
      <c r="AB32" s="19" t="str">
        <f aca="false">IF(13-COUNTIF($Z$20:$Z$199,"&lt;"&amp;AA32)=1,IF(COUNTIF($I$20:$I$109,AA32)&gt;0,"FT","PT"),"PT")</f>
        <v>FT</v>
      </c>
      <c r="AC32" s="19" t="n">
        <f aca="false">IF(AB32="FT",INDEX($N$20:$N$109,MATCH(AA32,$I$20:$I$109,0)),1)</f>
        <v>1</v>
      </c>
    </row>
    <row r="33" customFormat="false" ht="15" hidden="false" customHeight="false" outlineLevel="0" collapsed="false">
      <c r="H33" s="16" t="n">
        <v>14</v>
      </c>
      <c r="I33" s="16" t="n">
        <f aca="false">IF(13&lt;FT_PreY5,FT_First+FT_Int1*13,FT_Y5+FT_Int2*(13-FT_PreY5))</f>
        <v>81</v>
      </c>
      <c r="J33" s="16" t="str">
        <f aca="false">INT(I33/12)&amp;"y "&amp;MOD(I33,12)&amp;"m"</f>
        <v>6y 9m</v>
      </c>
      <c r="K33" s="14" t="str">
        <f aca="false">IF(OR($C$6&lt;&gt;"Yes",$C$8=""),"",EDATE($C$8,I33))</f>
        <v/>
      </c>
      <c r="L33" s="16" t="str">
        <f aca="false">IF(K33="","",IF($C$16=0,$C$9,IF(AND($C$14&lt;&gt;"",K33&gt;=$C$14),$C$15,IF(AND($C$12&lt;&gt;"",K33&gt;=$C$12),$C$13,$C$11))))</f>
        <v/>
      </c>
      <c r="M33" s="16" t="str">
        <f aca="false">IF(K33="","",IF(OR(ISNUMBER(SEARCH("full",L33)),UPPER(TRIM(L33))="FT",UPPER(TRIM(L33))="FTE"),"FT",IF(AND(OR(ISNUMBER(SEARCH("part",L33)),UPPER(TRIM(L33))="PT",UPPER(TRIM(L33))="PTE"),Apply2026="Yes",OR($C$10="",N($C$10)&gt;=PT_MinHours)),"PT","None")))</f>
        <v/>
      </c>
      <c r="N33" s="16" t="n">
        <f aca="false">IF(I33&lt;FT_Y5,1,IF(MOD(I33-FT_Y5,12)=0,FT_AnnivDays,1))</f>
        <v>1</v>
      </c>
      <c r="O33" s="16" t="str">
        <f aca="false">IF(K33="","",IF(AND(M33="FT",K33&lt;=AsOfDate,K33&gt;=SchemeStart),IF(AND("FT"="FT",I33=FT_Y5,K33&lt;PolicyEff),1,N33),0))</f>
        <v/>
      </c>
      <c r="P33" s="16" t="str">
        <f aca="false">IF(K33="","",IF(N(O33)&gt;0,"",IF(K33&lt;SchemeStart,"before scheme start",IF(K33&gt;AsOfDate,"future",IF(M33&lt;&gt;"FT","not " &amp; IF("FT"="FT","full-time","eligible part-time") &amp; " on that date","")))))</f>
        <v/>
      </c>
      <c r="Q33" s="16" t="n">
        <v>14</v>
      </c>
      <c r="R33" s="16" t="n">
        <f aca="false">PT_First+PT_Int*13</f>
        <v>112</v>
      </c>
      <c r="S33" s="16" t="str">
        <f aca="false">INT(R33/12)&amp;"y "&amp;MOD(R33,12)&amp;"m"</f>
        <v>9y 4m</v>
      </c>
      <c r="T33" s="14" t="str">
        <f aca="false">IF(OR($C$6&lt;&gt;"Yes",$C$8=""),"",EDATE($C$8,R33))</f>
        <v/>
      </c>
      <c r="U33" s="16" t="str">
        <f aca="false">IF(T33="","",IF($C$16=0,$C$9,IF(AND($C$14&lt;&gt;"",T33&gt;=$C$14),$C$15,IF(AND($C$12&lt;&gt;"",T33&gt;=$C$12),$C$13,$C$11))))</f>
        <v/>
      </c>
      <c r="V33" s="16" t="str">
        <f aca="false">IF(T33="","",IF(OR(ISNUMBER(SEARCH("full",U33)),UPPER(TRIM(U33))="FT",UPPER(TRIM(U33))="FTE"),"FT",IF(AND(OR(ISNUMBER(SEARCH("part",U33)),UPPER(TRIM(U33))="PT",UPPER(TRIM(U33))="PTE"),Apply2026="Yes",OR($C$10="",N($C$10)&gt;=PT_MinHours)),"PT","None")))</f>
        <v/>
      </c>
      <c r="W33" s="16" t="n">
        <v>1</v>
      </c>
      <c r="X33" s="16" t="str">
        <f aca="false">IF(T33="","",IF(AND(V33="PT",T33&lt;=AsOfDate,T33&gt;=SchemeStart),IF(AND("PT"="FT",R33=FT_Y5,T33&lt;PolicyEff),1,W33),0))</f>
        <v/>
      </c>
      <c r="Y33" s="16" t="str">
        <f aca="false">IF(T33="","",IF(N(X33)&gt;0,"",IF(T33&lt;SchemeStart,"before scheme start",IF(T33&gt;AsOfDate,"future",IF(V33&lt;&gt;"PT","not " &amp; IF("PT"="FT","full-time","eligible part-time") &amp; " on that date","")))))</f>
        <v/>
      </c>
      <c r="Z33" s="19" t="n">
        <f aca="false">I33</f>
        <v>81</v>
      </c>
      <c r="AA33" s="19" t="n">
        <f aca="false">SMALL($Z$20:$Z$199,14)</f>
        <v>72</v>
      </c>
      <c r="AB33" s="19" t="str">
        <f aca="false">IF(14-COUNTIF($Z$20:$Z$199,"&lt;"&amp;AA33)=1,IF(COUNTIF($I$20:$I$109,AA33)&gt;0,"FT","PT"),"PT")</f>
        <v>FT</v>
      </c>
      <c r="AC33" s="19" t="n">
        <f aca="false">IF(AB33="FT",INDEX($N$20:$N$109,MATCH(AA33,$I$20:$I$109,0)),1)</f>
        <v>2</v>
      </c>
    </row>
    <row r="34" customFormat="false" ht="15" hidden="false" customHeight="false" outlineLevel="0" collapsed="false">
      <c r="H34" s="16" t="n">
        <v>15</v>
      </c>
      <c r="I34" s="16" t="n">
        <f aca="false">IF(14&lt;FT_PreY5,FT_First+FT_Int1*14,FT_Y5+FT_Int2*(14-FT_PreY5))</f>
        <v>84</v>
      </c>
      <c r="J34" s="16" t="str">
        <f aca="false">INT(I34/12)&amp;"y "&amp;MOD(I34,12)&amp;"m"</f>
        <v>7y 0m</v>
      </c>
      <c r="K34" s="14" t="str">
        <f aca="false">IF(OR($C$6&lt;&gt;"Yes",$C$8=""),"",EDATE($C$8,I34))</f>
        <v/>
      </c>
      <c r="L34" s="16" t="str">
        <f aca="false">IF(K34="","",IF($C$16=0,$C$9,IF(AND($C$14&lt;&gt;"",K34&gt;=$C$14),$C$15,IF(AND($C$12&lt;&gt;"",K34&gt;=$C$12),$C$13,$C$11))))</f>
        <v/>
      </c>
      <c r="M34" s="16" t="str">
        <f aca="false">IF(K34="","",IF(OR(ISNUMBER(SEARCH("full",L34)),UPPER(TRIM(L34))="FT",UPPER(TRIM(L34))="FTE"),"FT",IF(AND(OR(ISNUMBER(SEARCH("part",L34)),UPPER(TRIM(L34))="PT",UPPER(TRIM(L34))="PTE"),Apply2026="Yes",OR($C$10="",N($C$10)&gt;=PT_MinHours)),"PT","None")))</f>
        <v/>
      </c>
      <c r="N34" s="16" t="n">
        <f aca="false">IF(I34&lt;FT_Y5,1,IF(MOD(I34-FT_Y5,12)=0,FT_AnnivDays,1))</f>
        <v>2</v>
      </c>
      <c r="O34" s="16" t="str">
        <f aca="false">IF(K34="","",IF(AND(M34="FT",K34&lt;=AsOfDate,K34&gt;=SchemeStart),IF(AND("FT"="FT",I34=FT_Y5,K34&lt;PolicyEff),1,N34),0))</f>
        <v/>
      </c>
      <c r="P34" s="16" t="str">
        <f aca="false">IF(K34="","",IF(N(O34)&gt;0,"",IF(K34&lt;SchemeStart,"before scheme start",IF(K34&gt;AsOfDate,"future",IF(M34&lt;&gt;"FT","not " &amp; IF("FT"="FT","full-time","eligible part-time") &amp; " on that date","")))))</f>
        <v/>
      </c>
      <c r="Q34" s="16" t="n">
        <v>15</v>
      </c>
      <c r="R34" s="16" t="n">
        <f aca="false">PT_First+PT_Int*14</f>
        <v>116</v>
      </c>
      <c r="S34" s="16" t="str">
        <f aca="false">INT(R34/12)&amp;"y "&amp;MOD(R34,12)&amp;"m"</f>
        <v>9y 8m</v>
      </c>
      <c r="T34" s="14" t="str">
        <f aca="false">IF(OR($C$6&lt;&gt;"Yes",$C$8=""),"",EDATE($C$8,R34))</f>
        <v/>
      </c>
      <c r="U34" s="16" t="str">
        <f aca="false">IF(T34="","",IF($C$16=0,$C$9,IF(AND($C$14&lt;&gt;"",T34&gt;=$C$14),$C$15,IF(AND($C$12&lt;&gt;"",T34&gt;=$C$12),$C$13,$C$11))))</f>
        <v/>
      </c>
      <c r="V34" s="16" t="str">
        <f aca="false">IF(T34="","",IF(OR(ISNUMBER(SEARCH("full",U34)),UPPER(TRIM(U34))="FT",UPPER(TRIM(U34))="FTE"),"FT",IF(AND(OR(ISNUMBER(SEARCH("part",U34)),UPPER(TRIM(U34))="PT",UPPER(TRIM(U34))="PTE"),Apply2026="Yes",OR($C$10="",N($C$10)&gt;=PT_MinHours)),"PT","None")))</f>
        <v/>
      </c>
      <c r="W34" s="16" t="n">
        <v>1</v>
      </c>
      <c r="X34" s="16" t="str">
        <f aca="false">IF(T34="","",IF(AND(V34="PT",T34&lt;=AsOfDate,T34&gt;=SchemeStart),IF(AND("PT"="FT",R34=FT_Y5,T34&lt;PolicyEff),1,W34),0))</f>
        <v/>
      </c>
      <c r="Y34" s="16" t="str">
        <f aca="false">IF(T34="","",IF(N(X34)&gt;0,"",IF(T34&lt;SchemeStart,"before scheme start",IF(T34&gt;AsOfDate,"future",IF(V34&lt;&gt;"PT","not " &amp; IF("PT"="FT","full-time","eligible part-time") &amp; " on that date","")))))</f>
        <v/>
      </c>
      <c r="Z34" s="19" t="n">
        <f aca="false">I34</f>
        <v>84</v>
      </c>
      <c r="AA34" s="19" t="n">
        <f aca="false">SMALL($Z$20:$Z$199,15)</f>
        <v>72</v>
      </c>
      <c r="AB34" s="19" t="str">
        <f aca="false">IF(15-COUNTIF($Z$20:$Z$199,"&lt;"&amp;AA34)=1,IF(COUNTIF($I$20:$I$109,AA34)&gt;0,"FT","PT"),"PT")</f>
        <v>PT</v>
      </c>
      <c r="AC34" s="19" t="n">
        <f aca="false">IF(AB34="FT",INDEX($N$20:$N$109,MATCH(AA34,$I$20:$I$109,0)),1)</f>
        <v>1</v>
      </c>
    </row>
    <row r="35" customFormat="false" ht="15" hidden="false" customHeight="false" outlineLevel="0" collapsed="false">
      <c r="H35" s="16" t="n">
        <v>16</v>
      </c>
      <c r="I35" s="16" t="n">
        <f aca="false">IF(15&lt;FT_PreY5,FT_First+FT_Int1*15,FT_Y5+FT_Int2*(15-FT_PreY5))</f>
        <v>87</v>
      </c>
      <c r="J35" s="16" t="str">
        <f aca="false">INT(I35/12)&amp;"y "&amp;MOD(I35,12)&amp;"m"</f>
        <v>7y 3m</v>
      </c>
      <c r="K35" s="14" t="str">
        <f aca="false">IF(OR($C$6&lt;&gt;"Yes",$C$8=""),"",EDATE($C$8,I35))</f>
        <v/>
      </c>
      <c r="L35" s="16" t="str">
        <f aca="false">IF(K35="","",IF($C$16=0,$C$9,IF(AND($C$14&lt;&gt;"",K35&gt;=$C$14),$C$15,IF(AND($C$12&lt;&gt;"",K35&gt;=$C$12),$C$13,$C$11))))</f>
        <v/>
      </c>
      <c r="M35" s="16" t="str">
        <f aca="false">IF(K35="","",IF(OR(ISNUMBER(SEARCH("full",L35)),UPPER(TRIM(L35))="FT",UPPER(TRIM(L35))="FTE"),"FT",IF(AND(OR(ISNUMBER(SEARCH("part",L35)),UPPER(TRIM(L35))="PT",UPPER(TRIM(L35))="PTE"),Apply2026="Yes",OR($C$10="",N($C$10)&gt;=PT_MinHours)),"PT","None")))</f>
        <v/>
      </c>
      <c r="N35" s="16" t="n">
        <f aca="false">IF(I35&lt;FT_Y5,1,IF(MOD(I35-FT_Y5,12)=0,FT_AnnivDays,1))</f>
        <v>1</v>
      </c>
      <c r="O35" s="16" t="str">
        <f aca="false">IF(K35="","",IF(AND(M35="FT",K35&lt;=AsOfDate,K35&gt;=SchemeStart),IF(AND("FT"="FT",I35=FT_Y5,K35&lt;PolicyEff),1,N35),0))</f>
        <v/>
      </c>
      <c r="P35" s="16" t="str">
        <f aca="false">IF(K35="","",IF(N(O35)&gt;0,"",IF(K35&lt;SchemeStart,"before scheme start",IF(K35&gt;AsOfDate,"future",IF(M35&lt;&gt;"FT","not " &amp; IF("FT"="FT","full-time","eligible part-time") &amp; " on that date","")))))</f>
        <v/>
      </c>
      <c r="Q35" s="16" t="n">
        <v>16</v>
      </c>
      <c r="R35" s="16" t="n">
        <f aca="false">PT_First+PT_Int*15</f>
        <v>120</v>
      </c>
      <c r="S35" s="16" t="str">
        <f aca="false">INT(R35/12)&amp;"y "&amp;MOD(R35,12)&amp;"m"</f>
        <v>10y 0m</v>
      </c>
      <c r="T35" s="14" t="str">
        <f aca="false">IF(OR($C$6&lt;&gt;"Yes",$C$8=""),"",EDATE($C$8,R35))</f>
        <v/>
      </c>
      <c r="U35" s="16" t="str">
        <f aca="false">IF(T35="","",IF($C$16=0,$C$9,IF(AND($C$14&lt;&gt;"",T35&gt;=$C$14),$C$15,IF(AND($C$12&lt;&gt;"",T35&gt;=$C$12),$C$13,$C$11))))</f>
        <v/>
      </c>
      <c r="V35" s="16" t="str">
        <f aca="false">IF(T35="","",IF(OR(ISNUMBER(SEARCH("full",U35)),UPPER(TRIM(U35))="FT",UPPER(TRIM(U35))="FTE"),"FT",IF(AND(OR(ISNUMBER(SEARCH("part",U35)),UPPER(TRIM(U35))="PT",UPPER(TRIM(U35))="PTE"),Apply2026="Yes",OR($C$10="",N($C$10)&gt;=PT_MinHours)),"PT","None")))</f>
        <v/>
      </c>
      <c r="W35" s="16" t="n">
        <v>1</v>
      </c>
      <c r="X35" s="16" t="str">
        <f aca="false">IF(T35="","",IF(AND(V35="PT",T35&lt;=AsOfDate,T35&gt;=SchemeStart),IF(AND("PT"="FT",R35=FT_Y5,T35&lt;PolicyEff),1,W35),0))</f>
        <v/>
      </c>
      <c r="Y35" s="16" t="str">
        <f aca="false">IF(T35="","",IF(N(X35)&gt;0,"",IF(T35&lt;SchemeStart,"before scheme start",IF(T35&gt;AsOfDate,"future",IF(V35&lt;&gt;"PT","not " &amp; IF("PT"="FT","full-time","eligible part-time") &amp; " on that date","")))))</f>
        <v/>
      </c>
      <c r="Z35" s="19" t="n">
        <f aca="false">I35</f>
        <v>87</v>
      </c>
      <c r="AA35" s="19" t="n">
        <f aca="false">SMALL($Z$20:$Z$199,16)</f>
        <v>75</v>
      </c>
      <c r="AB35" s="19" t="str">
        <f aca="false">IF(16-COUNTIF($Z$20:$Z$199,"&lt;"&amp;AA35)=1,IF(COUNTIF($I$20:$I$109,AA35)&gt;0,"FT","PT"),"PT")</f>
        <v>FT</v>
      </c>
      <c r="AC35" s="19" t="n">
        <f aca="false">IF(AB35="FT",INDEX($N$20:$N$109,MATCH(AA35,$I$20:$I$109,0)),1)</f>
        <v>1</v>
      </c>
    </row>
    <row r="36" customFormat="false" ht="15" hidden="false" customHeight="false" outlineLevel="0" collapsed="false">
      <c r="H36" s="16" t="n">
        <v>17</v>
      </c>
      <c r="I36" s="16" t="n">
        <f aca="false">IF(16&lt;FT_PreY5,FT_First+FT_Int1*16,FT_Y5+FT_Int2*(16-FT_PreY5))</f>
        <v>90</v>
      </c>
      <c r="J36" s="16" t="str">
        <f aca="false">INT(I36/12)&amp;"y "&amp;MOD(I36,12)&amp;"m"</f>
        <v>7y 6m</v>
      </c>
      <c r="K36" s="14" t="str">
        <f aca="false">IF(OR($C$6&lt;&gt;"Yes",$C$8=""),"",EDATE($C$8,I36))</f>
        <v/>
      </c>
      <c r="L36" s="16" t="str">
        <f aca="false">IF(K36="","",IF($C$16=0,$C$9,IF(AND($C$14&lt;&gt;"",K36&gt;=$C$14),$C$15,IF(AND($C$12&lt;&gt;"",K36&gt;=$C$12),$C$13,$C$11))))</f>
        <v/>
      </c>
      <c r="M36" s="16" t="str">
        <f aca="false">IF(K36="","",IF(OR(ISNUMBER(SEARCH("full",L36)),UPPER(TRIM(L36))="FT",UPPER(TRIM(L36))="FTE"),"FT",IF(AND(OR(ISNUMBER(SEARCH("part",L36)),UPPER(TRIM(L36))="PT",UPPER(TRIM(L36))="PTE"),Apply2026="Yes",OR($C$10="",N($C$10)&gt;=PT_MinHours)),"PT","None")))</f>
        <v/>
      </c>
      <c r="N36" s="16" t="n">
        <f aca="false">IF(I36&lt;FT_Y5,1,IF(MOD(I36-FT_Y5,12)=0,FT_AnnivDays,1))</f>
        <v>1</v>
      </c>
      <c r="O36" s="16" t="str">
        <f aca="false">IF(K36="","",IF(AND(M36="FT",K36&lt;=AsOfDate,K36&gt;=SchemeStart),IF(AND("FT"="FT",I36=FT_Y5,K36&lt;PolicyEff),1,N36),0))</f>
        <v/>
      </c>
      <c r="P36" s="16" t="str">
        <f aca="false">IF(K36="","",IF(N(O36)&gt;0,"",IF(K36&lt;SchemeStart,"before scheme start",IF(K36&gt;AsOfDate,"future",IF(M36&lt;&gt;"FT","not " &amp; IF("FT"="FT","full-time","eligible part-time") &amp; " on that date","")))))</f>
        <v/>
      </c>
      <c r="Q36" s="16" t="n">
        <v>17</v>
      </c>
      <c r="R36" s="16" t="n">
        <f aca="false">PT_First+PT_Int*16</f>
        <v>124</v>
      </c>
      <c r="S36" s="16" t="str">
        <f aca="false">INT(R36/12)&amp;"y "&amp;MOD(R36,12)&amp;"m"</f>
        <v>10y 4m</v>
      </c>
      <c r="T36" s="14" t="str">
        <f aca="false">IF(OR($C$6&lt;&gt;"Yes",$C$8=""),"",EDATE($C$8,R36))</f>
        <v/>
      </c>
      <c r="U36" s="16" t="str">
        <f aca="false">IF(T36="","",IF($C$16=0,$C$9,IF(AND($C$14&lt;&gt;"",T36&gt;=$C$14),$C$15,IF(AND($C$12&lt;&gt;"",T36&gt;=$C$12),$C$13,$C$11))))</f>
        <v/>
      </c>
      <c r="V36" s="16" t="str">
        <f aca="false">IF(T36="","",IF(OR(ISNUMBER(SEARCH("full",U36)),UPPER(TRIM(U36))="FT",UPPER(TRIM(U36))="FTE"),"FT",IF(AND(OR(ISNUMBER(SEARCH("part",U36)),UPPER(TRIM(U36))="PT",UPPER(TRIM(U36))="PTE"),Apply2026="Yes",OR($C$10="",N($C$10)&gt;=PT_MinHours)),"PT","None")))</f>
        <v/>
      </c>
      <c r="W36" s="16" t="n">
        <v>1</v>
      </c>
      <c r="X36" s="16" t="str">
        <f aca="false">IF(T36="","",IF(AND(V36="PT",T36&lt;=AsOfDate,T36&gt;=SchemeStart),IF(AND("PT"="FT",R36=FT_Y5,T36&lt;PolicyEff),1,W36),0))</f>
        <v/>
      </c>
      <c r="Y36" s="16" t="str">
        <f aca="false">IF(T36="","",IF(N(X36)&gt;0,"",IF(T36&lt;SchemeStart,"before scheme start",IF(T36&gt;AsOfDate,"future",IF(V36&lt;&gt;"PT","not " &amp; IF("PT"="FT","full-time","eligible part-time") &amp; " on that date","")))))</f>
        <v/>
      </c>
      <c r="Z36" s="19" t="n">
        <f aca="false">I36</f>
        <v>90</v>
      </c>
      <c r="AA36" s="19" t="n">
        <f aca="false">SMALL($Z$20:$Z$199,17)</f>
        <v>76</v>
      </c>
      <c r="AB36" s="19" t="str">
        <f aca="false">IF(17-COUNTIF($Z$20:$Z$199,"&lt;"&amp;AA36)=1,IF(COUNTIF($I$20:$I$109,AA36)&gt;0,"FT","PT"),"PT")</f>
        <v>PT</v>
      </c>
      <c r="AC36" s="19" t="n">
        <f aca="false">IF(AB36="FT",INDEX($N$20:$N$109,MATCH(AA36,$I$20:$I$109,0)),1)</f>
        <v>1</v>
      </c>
    </row>
    <row r="37" customFormat="false" ht="15" hidden="false" customHeight="false" outlineLevel="0" collapsed="false">
      <c r="H37" s="16" t="n">
        <v>18</v>
      </c>
      <c r="I37" s="16" t="n">
        <f aca="false">IF(17&lt;FT_PreY5,FT_First+FT_Int1*17,FT_Y5+FT_Int2*(17-FT_PreY5))</f>
        <v>93</v>
      </c>
      <c r="J37" s="16" t="str">
        <f aca="false">INT(I37/12)&amp;"y "&amp;MOD(I37,12)&amp;"m"</f>
        <v>7y 9m</v>
      </c>
      <c r="K37" s="14" t="str">
        <f aca="false">IF(OR($C$6&lt;&gt;"Yes",$C$8=""),"",EDATE($C$8,I37))</f>
        <v/>
      </c>
      <c r="L37" s="16" t="str">
        <f aca="false">IF(K37="","",IF($C$16=0,$C$9,IF(AND($C$14&lt;&gt;"",K37&gt;=$C$14),$C$15,IF(AND($C$12&lt;&gt;"",K37&gt;=$C$12),$C$13,$C$11))))</f>
        <v/>
      </c>
      <c r="M37" s="16" t="str">
        <f aca="false">IF(K37="","",IF(OR(ISNUMBER(SEARCH("full",L37)),UPPER(TRIM(L37))="FT",UPPER(TRIM(L37))="FTE"),"FT",IF(AND(OR(ISNUMBER(SEARCH("part",L37)),UPPER(TRIM(L37))="PT",UPPER(TRIM(L37))="PTE"),Apply2026="Yes",OR($C$10="",N($C$10)&gt;=PT_MinHours)),"PT","None")))</f>
        <v/>
      </c>
      <c r="N37" s="16" t="n">
        <f aca="false">IF(I37&lt;FT_Y5,1,IF(MOD(I37-FT_Y5,12)=0,FT_AnnivDays,1))</f>
        <v>1</v>
      </c>
      <c r="O37" s="16" t="str">
        <f aca="false">IF(K37="","",IF(AND(M37="FT",K37&lt;=AsOfDate,K37&gt;=SchemeStart),IF(AND("FT"="FT",I37=FT_Y5,K37&lt;PolicyEff),1,N37),0))</f>
        <v/>
      </c>
      <c r="P37" s="16" t="str">
        <f aca="false">IF(K37="","",IF(N(O37)&gt;0,"",IF(K37&lt;SchemeStart,"before scheme start",IF(K37&gt;AsOfDate,"future",IF(M37&lt;&gt;"FT","not " &amp; IF("FT"="FT","full-time","eligible part-time") &amp; " on that date","")))))</f>
        <v/>
      </c>
      <c r="Q37" s="16" t="n">
        <v>18</v>
      </c>
      <c r="R37" s="16" t="n">
        <f aca="false">PT_First+PT_Int*17</f>
        <v>128</v>
      </c>
      <c r="S37" s="16" t="str">
        <f aca="false">INT(R37/12)&amp;"y "&amp;MOD(R37,12)&amp;"m"</f>
        <v>10y 8m</v>
      </c>
      <c r="T37" s="14" t="str">
        <f aca="false">IF(OR($C$6&lt;&gt;"Yes",$C$8=""),"",EDATE($C$8,R37))</f>
        <v/>
      </c>
      <c r="U37" s="16" t="str">
        <f aca="false">IF(T37="","",IF($C$16=0,$C$9,IF(AND($C$14&lt;&gt;"",T37&gt;=$C$14),$C$15,IF(AND($C$12&lt;&gt;"",T37&gt;=$C$12),$C$13,$C$11))))</f>
        <v/>
      </c>
      <c r="V37" s="16" t="str">
        <f aca="false">IF(T37="","",IF(OR(ISNUMBER(SEARCH("full",U37)),UPPER(TRIM(U37))="FT",UPPER(TRIM(U37))="FTE"),"FT",IF(AND(OR(ISNUMBER(SEARCH("part",U37)),UPPER(TRIM(U37))="PT",UPPER(TRIM(U37))="PTE"),Apply2026="Yes",OR($C$10="",N($C$10)&gt;=PT_MinHours)),"PT","None")))</f>
        <v/>
      </c>
      <c r="W37" s="16" t="n">
        <v>1</v>
      </c>
      <c r="X37" s="16" t="str">
        <f aca="false">IF(T37="","",IF(AND(V37="PT",T37&lt;=AsOfDate,T37&gt;=SchemeStart),IF(AND("PT"="FT",R37=FT_Y5,T37&lt;PolicyEff),1,W37),0))</f>
        <v/>
      </c>
      <c r="Y37" s="16" t="str">
        <f aca="false">IF(T37="","",IF(N(X37)&gt;0,"",IF(T37&lt;SchemeStart,"before scheme start",IF(T37&gt;AsOfDate,"future",IF(V37&lt;&gt;"PT","not " &amp; IF("PT"="FT","full-time","eligible part-time") &amp; " on that date","")))))</f>
        <v/>
      </c>
      <c r="Z37" s="19" t="n">
        <f aca="false">I37</f>
        <v>93</v>
      </c>
      <c r="AA37" s="19" t="n">
        <f aca="false">SMALL($Z$20:$Z$199,18)</f>
        <v>78</v>
      </c>
      <c r="AB37" s="19" t="str">
        <f aca="false">IF(18-COUNTIF($Z$20:$Z$199,"&lt;"&amp;AA37)=1,IF(COUNTIF($I$20:$I$109,AA37)&gt;0,"FT","PT"),"PT")</f>
        <v>FT</v>
      </c>
      <c r="AC37" s="19" t="n">
        <f aca="false">IF(AB37="FT",INDEX($N$20:$N$109,MATCH(AA37,$I$20:$I$109,0)),1)</f>
        <v>1</v>
      </c>
    </row>
    <row r="38" customFormat="false" ht="15" hidden="false" customHeight="false" outlineLevel="0" collapsed="false">
      <c r="H38" s="16" t="n">
        <v>19</v>
      </c>
      <c r="I38" s="16" t="n">
        <f aca="false">IF(18&lt;FT_PreY5,FT_First+FT_Int1*18,FT_Y5+FT_Int2*(18-FT_PreY5))</f>
        <v>96</v>
      </c>
      <c r="J38" s="16" t="str">
        <f aca="false">INT(I38/12)&amp;"y "&amp;MOD(I38,12)&amp;"m"</f>
        <v>8y 0m</v>
      </c>
      <c r="K38" s="14" t="str">
        <f aca="false">IF(OR($C$6&lt;&gt;"Yes",$C$8=""),"",EDATE($C$8,I38))</f>
        <v/>
      </c>
      <c r="L38" s="16" t="str">
        <f aca="false">IF(K38="","",IF($C$16=0,$C$9,IF(AND($C$14&lt;&gt;"",K38&gt;=$C$14),$C$15,IF(AND($C$12&lt;&gt;"",K38&gt;=$C$12),$C$13,$C$11))))</f>
        <v/>
      </c>
      <c r="M38" s="16" t="str">
        <f aca="false">IF(K38="","",IF(OR(ISNUMBER(SEARCH("full",L38)),UPPER(TRIM(L38))="FT",UPPER(TRIM(L38))="FTE"),"FT",IF(AND(OR(ISNUMBER(SEARCH("part",L38)),UPPER(TRIM(L38))="PT",UPPER(TRIM(L38))="PTE"),Apply2026="Yes",OR($C$10="",N($C$10)&gt;=PT_MinHours)),"PT","None")))</f>
        <v/>
      </c>
      <c r="N38" s="16" t="n">
        <f aca="false">IF(I38&lt;FT_Y5,1,IF(MOD(I38-FT_Y5,12)=0,FT_AnnivDays,1))</f>
        <v>2</v>
      </c>
      <c r="O38" s="16" t="str">
        <f aca="false">IF(K38="","",IF(AND(M38="FT",K38&lt;=AsOfDate,K38&gt;=SchemeStart),IF(AND("FT"="FT",I38=FT_Y5,K38&lt;PolicyEff),1,N38),0))</f>
        <v/>
      </c>
      <c r="P38" s="16" t="str">
        <f aca="false">IF(K38="","",IF(N(O38)&gt;0,"",IF(K38&lt;SchemeStart,"before scheme start",IF(K38&gt;AsOfDate,"future",IF(M38&lt;&gt;"FT","not " &amp; IF("FT"="FT","full-time","eligible part-time") &amp; " on that date","")))))</f>
        <v/>
      </c>
      <c r="Q38" s="16" t="n">
        <v>19</v>
      </c>
      <c r="R38" s="16" t="n">
        <f aca="false">PT_First+PT_Int*18</f>
        <v>132</v>
      </c>
      <c r="S38" s="16" t="str">
        <f aca="false">INT(R38/12)&amp;"y "&amp;MOD(R38,12)&amp;"m"</f>
        <v>11y 0m</v>
      </c>
      <c r="T38" s="14" t="str">
        <f aca="false">IF(OR($C$6&lt;&gt;"Yes",$C$8=""),"",EDATE($C$8,R38))</f>
        <v/>
      </c>
      <c r="U38" s="16" t="str">
        <f aca="false">IF(T38="","",IF($C$16=0,$C$9,IF(AND($C$14&lt;&gt;"",T38&gt;=$C$14),$C$15,IF(AND($C$12&lt;&gt;"",T38&gt;=$C$12),$C$13,$C$11))))</f>
        <v/>
      </c>
      <c r="V38" s="16" t="str">
        <f aca="false">IF(T38="","",IF(OR(ISNUMBER(SEARCH("full",U38)),UPPER(TRIM(U38))="FT",UPPER(TRIM(U38))="FTE"),"FT",IF(AND(OR(ISNUMBER(SEARCH("part",U38)),UPPER(TRIM(U38))="PT",UPPER(TRIM(U38))="PTE"),Apply2026="Yes",OR($C$10="",N($C$10)&gt;=PT_MinHours)),"PT","None")))</f>
        <v/>
      </c>
      <c r="W38" s="16" t="n">
        <v>1</v>
      </c>
      <c r="X38" s="16" t="str">
        <f aca="false">IF(T38="","",IF(AND(V38="PT",T38&lt;=AsOfDate,T38&gt;=SchemeStart),IF(AND("PT"="FT",R38=FT_Y5,T38&lt;PolicyEff),1,W38),0))</f>
        <v/>
      </c>
      <c r="Y38" s="16" t="str">
        <f aca="false">IF(T38="","",IF(N(X38)&gt;0,"",IF(T38&lt;SchemeStart,"before scheme start",IF(T38&gt;AsOfDate,"future",IF(V38&lt;&gt;"PT","not " &amp; IF("PT"="FT","full-time","eligible part-time") &amp; " on that date","")))))</f>
        <v/>
      </c>
      <c r="Z38" s="19" t="n">
        <f aca="false">I38</f>
        <v>96</v>
      </c>
      <c r="AA38" s="19" t="n">
        <f aca="false">SMALL($Z$20:$Z$199,19)</f>
        <v>80</v>
      </c>
      <c r="AB38" s="19" t="str">
        <f aca="false">IF(19-COUNTIF($Z$20:$Z$199,"&lt;"&amp;AA38)=1,IF(COUNTIF($I$20:$I$109,AA38)&gt;0,"FT","PT"),"PT")</f>
        <v>PT</v>
      </c>
      <c r="AC38" s="19" t="n">
        <f aca="false">IF(AB38="FT",INDEX($N$20:$N$109,MATCH(AA38,$I$20:$I$109,0)),1)</f>
        <v>1</v>
      </c>
    </row>
    <row r="39" customFormat="false" ht="15" hidden="false" customHeight="false" outlineLevel="0" collapsed="false">
      <c r="H39" s="16" t="n">
        <v>20</v>
      </c>
      <c r="I39" s="16" t="n">
        <f aca="false">IF(19&lt;FT_PreY5,FT_First+FT_Int1*19,FT_Y5+FT_Int2*(19-FT_PreY5))</f>
        <v>99</v>
      </c>
      <c r="J39" s="16" t="str">
        <f aca="false">INT(I39/12)&amp;"y "&amp;MOD(I39,12)&amp;"m"</f>
        <v>8y 3m</v>
      </c>
      <c r="K39" s="14" t="str">
        <f aca="false">IF(OR($C$6&lt;&gt;"Yes",$C$8=""),"",EDATE($C$8,I39))</f>
        <v/>
      </c>
      <c r="L39" s="16" t="str">
        <f aca="false">IF(K39="","",IF($C$16=0,$C$9,IF(AND($C$14&lt;&gt;"",K39&gt;=$C$14),$C$15,IF(AND($C$12&lt;&gt;"",K39&gt;=$C$12),$C$13,$C$11))))</f>
        <v/>
      </c>
      <c r="M39" s="16" t="str">
        <f aca="false">IF(K39="","",IF(OR(ISNUMBER(SEARCH("full",L39)),UPPER(TRIM(L39))="FT",UPPER(TRIM(L39))="FTE"),"FT",IF(AND(OR(ISNUMBER(SEARCH("part",L39)),UPPER(TRIM(L39))="PT",UPPER(TRIM(L39))="PTE"),Apply2026="Yes",OR($C$10="",N($C$10)&gt;=PT_MinHours)),"PT","None")))</f>
        <v/>
      </c>
      <c r="N39" s="16" t="n">
        <f aca="false">IF(I39&lt;FT_Y5,1,IF(MOD(I39-FT_Y5,12)=0,FT_AnnivDays,1))</f>
        <v>1</v>
      </c>
      <c r="O39" s="16" t="str">
        <f aca="false">IF(K39="","",IF(AND(M39="FT",K39&lt;=AsOfDate,K39&gt;=SchemeStart),IF(AND("FT"="FT",I39=FT_Y5,K39&lt;PolicyEff),1,N39),0))</f>
        <v/>
      </c>
      <c r="P39" s="16" t="str">
        <f aca="false">IF(K39="","",IF(N(O39)&gt;0,"",IF(K39&lt;SchemeStart,"before scheme start",IF(K39&gt;AsOfDate,"future",IF(M39&lt;&gt;"FT","not " &amp; IF("FT"="FT","full-time","eligible part-time") &amp; " on that date","")))))</f>
        <v/>
      </c>
      <c r="Q39" s="16" t="n">
        <v>20</v>
      </c>
      <c r="R39" s="16" t="n">
        <f aca="false">PT_First+PT_Int*19</f>
        <v>136</v>
      </c>
      <c r="S39" s="16" t="str">
        <f aca="false">INT(R39/12)&amp;"y "&amp;MOD(R39,12)&amp;"m"</f>
        <v>11y 4m</v>
      </c>
      <c r="T39" s="14" t="str">
        <f aca="false">IF(OR($C$6&lt;&gt;"Yes",$C$8=""),"",EDATE($C$8,R39))</f>
        <v/>
      </c>
      <c r="U39" s="16" t="str">
        <f aca="false">IF(T39="","",IF($C$16=0,$C$9,IF(AND($C$14&lt;&gt;"",T39&gt;=$C$14),$C$15,IF(AND($C$12&lt;&gt;"",T39&gt;=$C$12),$C$13,$C$11))))</f>
        <v/>
      </c>
      <c r="V39" s="16" t="str">
        <f aca="false">IF(T39="","",IF(OR(ISNUMBER(SEARCH("full",U39)),UPPER(TRIM(U39))="FT",UPPER(TRIM(U39))="FTE"),"FT",IF(AND(OR(ISNUMBER(SEARCH("part",U39)),UPPER(TRIM(U39))="PT",UPPER(TRIM(U39))="PTE"),Apply2026="Yes",OR($C$10="",N($C$10)&gt;=PT_MinHours)),"PT","None")))</f>
        <v/>
      </c>
      <c r="W39" s="16" t="n">
        <v>1</v>
      </c>
      <c r="X39" s="16" t="str">
        <f aca="false">IF(T39="","",IF(AND(V39="PT",T39&lt;=AsOfDate,T39&gt;=SchemeStart),IF(AND("PT"="FT",R39=FT_Y5,T39&lt;PolicyEff),1,W39),0))</f>
        <v/>
      </c>
      <c r="Y39" s="16" t="str">
        <f aca="false">IF(T39="","",IF(N(X39)&gt;0,"",IF(T39&lt;SchemeStart,"before scheme start",IF(T39&gt;AsOfDate,"future",IF(V39&lt;&gt;"PT","not " &amp; IF("PT"="FT","full-time","eligible part-time") &amp; " on that date","")))))</f>
        <v/>
      </c>
      <c r="Z39" s="19" t="n">
        <f aca="false">I39</f>
        <v>99</v>
      </c>
      <c r="AA39" s="19" t="n">
        <f aca="false">SMALL($Z$20:$Z$199,20)</f>
        <v>81</v>
      </c>
      <c r="AB39" s="19" t="str">
        <f aca="false">IF(20-COUNTIF($Z$20:$Z$199,"&lt;"&amp;AA39)=1,IF(COUNTIF($I$20:$I$109,AA39)&gt;0,"FT","PT"),"PT")</f>
        <v>FT</v>
      </c>
      <c r="AC39" s="19" t="n">
        <f aca="false">IF(AB39="FT",INDEX($N$20:$N$109,MATCH(AA39,$I$20:$I$109,0)),1)</f>
        <v>1</v>
      </c>
    </row>
    <row r="40" customFormat="false" ht="15" hidden="false" customHeight="false" outlineLevel="0" collapsed="false">
      <c r="H40" s="16" t="n">
        <v>21</v>
      </c>
      <c r="I40" s="16" t="n">
        <f aca="false">IF(20&lt;FT_PreY5,FT_First+FT_Int1*20,FT_Y5+FT_Int2*(20-FT_PreY5))</f>
        <v>102</v>
      </c>
      <c r="J40" s="16" t="str">
        <f aca="false">INT(I40/12)&amp;"y "&amp;MOD(I40,12)&amp;"m"</f>
        <v>8y 6m</v>
      </c>
      <c r="K40" s="14" t="str">
        <f aca="false">IF(OR($C$6&lt;&gt;"Yes",$C$8=""),"",EDATE($C$8,I40))</f>
        <v/>
      </c>
      <c r="L40" s="16" t="str">
        <f aca="false">IF(K40="","",IF($C$16=0,$C$9,IF(AND($C$14&lt;&gt;"",K40&gt;=$C$14),$C$15,IF(AND($C$12&lt;&gt;"",K40&gt;=$C$12),$C$13,$C$11))))</f>
        <v/>
      </c>
      <c r="M40" s="16" t="str">
        <f aca="false">IF(K40="","",IF(OR(ISNUMBER(SEARCH("full",L40)),UPPER(TRIM(L40))="FT",UPPER(TRIM(L40))="FTE"),"FT",IF(AND(OR(ISNUMBER(SEARCH("part",L40)),UPPER(TRIM(L40))="PT",UPPER(TRIM(L40))="PTE"),Apply2026="Yes",OR($C$10="",N($C$10)&gt;=PT_MinHours)),"PT","None")))</f>
        <v/>
      </c>
      <c r="N40" s="16" t="n">
        <f aca="false">IF(I40&lt;FT_Y5,1,IF(MOD(I40-FT_Y5,12)=0,FT_AnnivDays,1))</f>
        <v>1</v>
      </c>
      <c r="O40" s="16" t="str">
        <f aca="false">IF(K40="","",IF(AND(M40="FT",K40&lt;=AsOfDate,K40&gt;=SchemeStart),IF(AND("FT"="FT",I40=FT_Y5,K40&lt;PolicyEff),1,N40),0))</f>
        <v/>
      </c>
      <c r="P40" s="16" t="str">
        <f aca="false">IF(K40="","",IF(N(O40)&gt;0,"",IF(K40&lt;SchemeStart,"before scheme start",IF(K40&gt;AsOfDate,"future",IF(M40&lt;&gt;"FT","not " &amp; IF("FT"="FT","full-time","eligible part-time") &amp; " on that date","")))))</f>
        <v/>
      </c>
      <c r="Q40" s="16" t="n">
        <v>21</v>
      </c>
      <c r="R40" s="16" t="n">
        <f aca="false">PT_First+PT_Int*20</f>
        <v>140</v>
      </c>
      <c r="S40" s="16" t="str">
        <f aca="false">INT(R40/12)&amp;"y "&amp;MOD(R40,12)&amp;"m"</f>
        <v>11y 8m</v>
      </c>
      <c r="T40" s="14" t="str">
        <f aca="false">IF(OR($C$6&lt;&gt;"Yes",$C$8=""),"",EDATE($C$8,R40))</f>
        <v/>
      </c>
      <c r="U40" s="16" t="str">
        <f aca="false">IF(T40="","",IF($C$16=0,$C$9,IF(AND($C$14&lt;&gt;"",T40&gt;=$C$14),$C$15,IF(AND($C$12&lt;&gt;"",T40&gt;=$C$12),$C$13,$C$11))))</f>
        <v/>
      </c>
      <c r="V40" s="16" t="str">
        <f aca="false">IF(T40="","",IF(OR(ISNUMBER(SEARCH("full",U40)),UPPER(TRIM(U40))="FT",UPPER(TRIM(U40))="FTE"),"FT",IF(AND(OR(ISNUMBER(SEARCH("part",U40)),UPPER(TRIM(U40))="PT",UPPER(TRIM(U40))="PTE"),Apply2026="Yes",OR($C$10="",N($C$10)&gt;=PT_MinHours)),"PT","None")))</f>
        <v/>
      </c>
      <c r="W40" s="16" t="n">
        <v>1</v>
      </c>
      <c r="X40" s="16" t="str">
        <f aca="false">IF(T40="","",IF(AND(V40="PT",T40&lt;=AsOfDate,T40&gt;=SchemeStart),IF(AND("PT"="FT",R40=FT_Y5,T40&lt;PolicyEff),1,W40),0))</f>
        <v/>
      </c>
      <c r="Y40" s="16" t="str">
        <f aca="false">IF(T40="","",IF(N(X40)&gt;0,"",IF(T40&lt;SchemeStart,"before scheme start",IF(T40&gt;AsOfDate,"future",IF(V40&lt;&gt;"PT","not " &amp; IF("PT"="FT","full-time","eligible part-time") &amp; " on that date","")))))</f>
        <v/>
      </c>
      <c r="Z40" s="19" t="n">
        <f aca="false">I40</f>
        <v>102</v>
      </c>
      <c r="AA40" s="19" t="n">
        <f aca="false">SMALL($Z$20:$Z$199,21)</f>
        <v>84</v>
      </c>
      <c r="AB40" s="19" t="str">
        <f aca="false">IF(21-COUNTIF($Z$20:$Z$199,"&lt;"&amp;AA40)=1,IF(COUNTIF($I$20:$I$109,AA40)&gt;0,"FT","PT"),"PT")</f>
        <v>FT</v>
      </c>
      <c r="AC40" s="19" t="n">
        <f aca="false">IF(AB40="FT",INDEX($N$20:$N$109,MATCH(AA40,$I$20:$I$109,0)),1)</f>
        <v>2</v>
      </c>
    </row>
    <row r="41" customFormat="false" ht="15" hidden="false" customHeight="false" outlineLevel="0" collapsed="false">
      <c r="H41" s="16" t="n">
        <v>22</v>
      </c>
      <c r="I41" s="16" t="n">
        <f aca="false">IF(21&lt;FT_PreY5,FT_First+FT_Int1*21,FT_Y5+FT_Int2*(21-FT_PreY5))</f>
        <v>105</v>
      </c>
      <c r="J41" s="16" t="str">
        <f aca="false">INT(I41/12)&amp;"y "&amp;MOD(I41,12)&amp;"m"</f>
        <v>8y 9m</v>
      </c>
      <c r="K41" s="14" t="str">
        <f aca="false">IF(OR($C$6&lt;&gt;"Yes",$C$8=""),"",EDATE($C$8,I41))</f>
        <v/>
      </c>
      <c r="L41" s="16" t="str">
        <f aca="false">IF(K41="","",IF($C$16=0,$C$9,IF(AND($C$14&lt;&gt;"",K41&gt;=$C$14),$C$15,IF(AND($C$12&lt;&gt;"",K41&gt;=$C$12),$C$13,$C$11))))</f>
        <v/>
      </c>
      <c r="M41" s="16" t="str">
        <f aca="false">IF(K41="","",IF(OR(ISNUMBER(SEARCH("full",L41)),UPPER(TRIM(L41))="FT",UPPER(TRIM(L41))="FTE"),"FT",IF(AND(OR(ISNUMBER(SEARCH("part",L41)),UPPER(TRIM(L41))="PT",UPPER(TRIM(L41))="PTE"),Apply2026="Yes",OR($C$10="",N($C$10)&gt;=PT_MinHours)),"PT","None")))</f>
        <v/>
      </c>
      <c r="N41" s="16" t="n">
        <f aca="false">IF(I41&lt;FT_Y5,1,IF(MOD(I41-FT_Y5,12)=0,FT_AnnivDays,1))</f>
        <v>1</v>
      </c>
      <c r="O41" s="16" t="str">
        <f aca="false">IF(K41="","",IF(AND(M41="FT",K41&lt;=AsOfDate,K41&gt;=SchemeStart),IF(AND("FT"="FT",I41=FT_Y5,K41&lt;PolicyEff),1,N41),0))</f>
        <v/>
      </c>
      <c r="P41" s="16" t="str">
        <f aca="false">IF(K41="","",IF(N(O41)&gt;0,"",IF(K41&lt;SchemeStart,"before scheme start",IF(K41&gt;AsOfDate,"future",IF(M41&lt;&gt;"FT","not " &amp; IF("FT"="FT","full-time","eligible part-time") &amp; " on that date","")))))</f>
        <v/>
      </c>
      <c r="Q41" s="16" t="n">
        <v>22</v>
      </c>
      <c r="R41" s="16" t="n">
        <f aca="false">PT_First+PT_Int*21</f>
        <v>144</v>
      </c>
      <c r="S41" s="16" t="str">
        <f aca="false">INT(R41/12)&amp;"y "&amp;MOD(R41,12)&amp;"m"</f>
        <v>12y 0m</v>
      </c>
      <c r="T41" s="14" t="str">
        <f aca="false">IF(OR($C$6&lt;&gt;"Yes",$C$8=""),"",EDATE($C$8,R41))</f>
        <v/>
      </c>
      <c r="U41" s="16" t="str">
        <f aca="false">IF(T41="","",IF($C$16=0,$C$9,IF(AND($C$14&lt;&gt;"",T41&gt;=$C$14),$C$15,IF(AND($C$12&lt;&gt;"",T41&gt;=$C$12),$C$13,$C$11))))</f>
        <v/>
      </c>
      <c r="V41" s="16" t="str">
        <f aca="false">IF(T41="","",IF(OR(ISNUMBER(SEARCH("full",U41)),UPPER(TRIM(U41))="FT",UPPER(TRIM(U41))="FTE"),"FT",IF(AND(OR(ISNUMBER(SEARCH("part",U41)),UPPER(TRIM(U41))="PT",UPPER(TRIM(U41))="PTE"),Apply2026="Yes",OR($C$10="",N($C$10)&gt;=PT_MinHours)),"PT","None")))</f>
        <v/>
      </c>
      <c r="W41" s="16" t="n">
        <v>1</v>
      </c>
      <c r="X41" s="16" t="str">
        <f aca="false">IF(T41="","",IF(AND(V41="PT",T41&lt;=AsOfDate,T41&gt;=SchemeStart),IF(AND("PT"="FT",R41=FT_Y5,T41&lt;PolicyEff),1,W41),0))</f>
        <v/>
      </c>
      <c r="Y41" s="16" t="str">
        <f aca="false">IF(T41="","",IF(N(X41)&gt;0,"",IF(T41&lt;SchemeStart,"before scheme start",IF(T41&gt;AsOfDate,"future",IF(V41&lt;&gt;"PT","not " &amp; IF("PT"="FT","full-time","eligible part-time") &amp; " on that date","")))))</f>
        <v/>
      </c>
      <c r="Z41" s="19" t="n">
        <f aca="false">I41</f>
        <v>105</v>
      </c>
      <c r="AA41" s="19" t="n">
        <f aca="false">SMALL($Z$20:$Z$199,22)</f>
        <v>84</v>
      </c>
      <c r="AB41" s="19" t="str">
        <f aca="false">IF(22-COUNTIF($Z$20:$Z$199,"&lt;"&amp;AA41)=1,IF(COUNTIF($I$20:$I$109,AA41)&gt;0,"FT","PT"),"PT")</f>
        <v>PT</v>
      </c>
      <c r="AC41" s="19" t="n">
        <f aca="false">IF(AB41="FT",INDEX($N$20:$N$109,MATCH(AA41,$I$20:$I$109,0)),1)</f>
        <v>1</v>
      </c>
    </row>
    <row r="42" customFormat="false" ht="15" hidden="false" customHeight="false" outlineLevel="0" collapsed="false">
      <c r="H42" s="16" t="n">
        <v>23</v>
      </c>
      <c r="I42" s="16" t="n">
        <f aca="false">IF(22&lt;FT_PreY5,FT_First+FT_Int1*22,FT_Y5+FT_Int2*(22-FT_PreY5))</f>
        <v>108</v>
      </c>
      <c r="J42" s="16" t="str">
        <f aca="false">INT(I42/12)&amp;"y "&amp;MOD(I42,12)&amp;"m"</f>
        <v>9y 0m</v>
      </c>
      <c r="K42" s="14" t="str">
        <f aca="false">IF(OR($C$6&lt;&gt;"Yes",$C$8=""),"",EDATE($C$8,I42))</f>
        <v/>
      </c>
      <c r="L42" s="16" t="str">
        <f aca="false">IF(K42="","",IF($C$16=0,$C$9,IF(AND($C$14&lt;&gt;"",K42&gt;=$C$14),$C$15,IF(AND($C$12&lt;&gt;"",K42&gt;=$C$12),$C$13,$C$11))))</f>
        <v/>
      </c>
      <c r="M42" s="16" t="str">
        <f aca="false">IF(K42="","",IF(OR(ISNUMBER(SEARCH("full",L42)),UPPER(TRIM(L42))="FT",UPPER(TRIM(L42))="FTE"),"FT",IF(AND(OR(ISNUMBER(SEARCH("part",L42)),UPPER(TRIM(L42))="PT",UPPER(TRIM(L42))="PTE"),Apply2026="Yes",OR($C$10="",N($C$10)&gt;=PT_MinHours)),"PT","None")))</f>
        <v/>
      </c>
      <c r="N42" s="16" t="n">
        <f aca="false">IF(I42&lt;FT_Y5,1,IF(MOD(I42-FT_Y5,12)=0,FT_AnnivDays,1))</f>
        <v>2</v>
      </c>
      <c r="O42" s="16" t="str">
        <f aca="false">IF(K42="","",IF(AND(M42="FT",K42&lt;=AsOfDate,K42&gt;=SchemeStart),IF(AND("FT"="FT",I42=FT_Y5,K42&lt;PolicyEff),1,N42),0))</f>
        <v/>
      </c>
      <c r="P42" s="16" t="str">
        <f aca="false">IF(K42="","",IF(N(O42)&gt;0,"",IF(K42&lt;SchemeStart,"before scheme start",IF(K42&gt;AsOfDate,"future",IF(M42&lt;&gt;"FT","not " &amp; IF("FT"="FT","full-time","eligible part-time") &amp; " on that date","")))))</f>
        <v/>
      </c>
      <c r="Q42" s="16" t="n">
        <v>23</v>
      </c>
      <c r="R42" s="16" t="n">
        <f aca="false">PT_First+PT_Int*22</f>
        <v>148</v>
      </c>
      <c r="S42" s="16" t="str">
        <f aca="false">INT(R42/12)&amp;"y "&amp;MOD(R42,12)&amp;"m"</f>
        <v>12y 4m</v>
      </c>
      <c r="T42" s="14" t="str">
        <f aca="false">IF(OR($C$6&lt;&gt;"Yes",$C$8=""),"",EDATE($C$8,R42))</f>
        <v/>
      </c>
      <c r="U42" s="16" t="str">
        <f aca="false">IF(T42="","",IF($C$16=0,$C$9,IF(AND($C$14&lt;&gt;"",T42&gt;=$C$14),$C$15,IF(AND($C$12&lt;&gt;"",T42&gt;=$C$12),$C$13,$C$11))))</f>
        <v/>
      </c>
      <c r="V42" s="16" t="str">
        <f aca="false">IF(T42="","",IF(OR(ISNUMBER(SEARCH("full",U42)),UPPER(TRIM(U42))="FT",UPPER(TRIM(U42))="FTE"),"FT",IF(AND(OR(ISNUMBER(SEARCH("part",U42)),UPPER(TRIM(U42))="PT",UPPER(TRIM(U42))="PTE"),Apply2026="Yes",OR($C$10="",N($C$10)&gt;=PT_MinHours)),"PT","None")))</f>
        <v/>
      </c>
      <c r="W42" s="16" t="n">
        <v>1</v>
      </c>
      <c r="X42" s="16" t="str">
        <f aca="false">IF(T42="","",IF(AND(V42="PT",T42&lt;=AsOfDate,T42&gt;=SchemeStart),IF(AND("PT"="FT",R42=FT_Y5,T42&lt;PolicyEff),1,W42),0))</f>
        <v/>
      </c>
      <c r="Y42" s="16" t="str">
        <f aca="false">IF(T42="","",IF(N(X42)&gt;0,"",IF(T42&lt;SchemeStart,"before scheme start",IF(T42&gt;AsOfDate,"future",IF(V42&lt;&gt;"PT","not " &amp; IF("PT"="FT","full-time","eligible part-time") &amp; " on that date","")))))</f>
        <v/>
      </c>
      <c r="Z42" s="19" t="n">
        <f aca="false">I42</f>
        <v>108</v>
      </c>
      <c r="AA42" s="19" t="n">
        <f aca="false">SMALL($Z$20:$Z$199,23)</f>
        <v>87</v>
      </c>
      <c r="AB42" s="19" t="str">
        <f aca="false">IF(23-COUNTIF($Z$20:$Z$199,"&lt;"&amp;AA42)=1,IF(COUNTIF($I$20:$I$109,AA42)&gt;0,"FT","PT"),"PT")</f>
        <v>FT</v>
      </c>
      <c r="AC42" s="19" t="n">
        <f aca="false">IF(AB42="FT",INDEX($N$20:$N$109,MATCH(AA42,$I$20:$I$109,0)),1)</f>
        <v>1</v>
      </c>
    </row>
    <row r="43" customFormat="false" ht="15" hidden="false" customHeight="false" outlineLevel="0" collapsed="false">
      <c r="H43" s="16" t="n">
        <v>24</v>
      </c>
      <c r="I43" s="16" t="n">
        <f aca="false">IF(23&lt;FT_PreY5,FT_First+FT_Int1*23,FT_Y5+FT_Int2*(23-FT_PreY5))</f>
        <v>111</v>
      </c>
      <c r="J43" s="16" t="str">
        <f aca="false">INT(I43/12)&amp;"y "&amp;MOD(I43,12)&amp;"m"</f>
        <v>9y 3m</v>
      </c>
      <c r="K43" s="14" t="str">
        <f aca="false">IF(OR($C$6&lt;&gt;"Yes",$C$8=""),"",EDATE($C$8,I43))</f>
        <v/>
      </c>
      <c r="L43" s="16" t="str">
        <f aca="false">IF(K43="","",IF($C$16=0,$C$9,IF(AND($C$14&lt;&gt;"",K43&gt;=$C$14),$C$15,IF(AND($C$12&lt;&gt;"",K43&gt;=$C$12),$C$13,$C$11))))</f>
        <v/>
      </c>
      <c r="M43" s="16" t="str">
        <f aca="false">IF(K43="","",IF(OR(ISNUMBER(SEARCH("full",L43)),UPPER(TRIM(L43))="FT",UPPER(TRIM(L43))="FTE"),"FT",IF(AND(OR(ISNUMBER(SEARCH("part",L43)),UPPER(TRIM(L43))="PT",UPPER(TRIM(L43))="PTE"),Apply2026="Yes",OR($C$10="",N($C$10)&gt;=PT_MinHours)),"PT","None")))</f>
        <v/>
      </c>
      <c r="N43" s="16" t="n">
        <f aca="false">IF(I43&lt;FT_Y5,1,IF(MOD(I43-FT_Y5,12)=0,FT_AnnivDays,1))</f>
        <v>1</v>
      </c>
      <c r="O43" s="16" t="str">
        <f aca="false">IF(K43="","",IF(AND(M43="FT",K43&lt;=AsOfDate,K43&gt;=SchemeStart),IF(AND("FT"="FT",I43=FT_Y5,K43&lt;PolicyEff),1,N43),0))</f>
        <v/>
      </c>
      <c r="P43" s="16" t="str">
        <f aca="false">IF(K43="","",IF(N(O43)&gt;0,"",IF(K43&lt;SchemeStart,"before scheme start",IF(K43&gt;AsOfDate,"future",IF(M43&lt;&gt;"FT","not " &amp; IF("FT"="FT","full-time","eligible part-time") &amp; " on that date","")))))</f>
        <v/>
      </c>
      <c r="Q43" s="16" t="n">
        <v>24</v>
      </c>
      <c r="R43" s="16" t="n">
        <f aca="false">PT_First+PT_Int*23</f>
        <v>152</v>
      </c>
      <c r="S43" s="16" t="str">
        <f aca="false">INT(R43/12)&amp;"y "&amp;MOD(R43,12)&amp;"m"</f>
        <v>12y 8m</v>
      </c>
      <c r="T43" s="14" t="str">
        <f aca="false">IF(OR($C$6&lt;&gt;"Yes",$C$8=""),"",EDATE($C$8,R43))</f>
        <v/>
      </c>
      <c r="U43" s="16" t="str">
        <f aca="false">IF(T43="","",IF($C$16=0,$C$9,IF(AND($C$14&lt;&gt;"",T43&gt;=$C$14),$C$15,IF(AND($C$12&lt;&gt;"",T43&gt;=$C$12),$C$13,$C$11))))</f>
        <v/>
      </c>
      <c r="V43" s="16" t="str">
        <f aca="false">IF(T43="","",IF(OR(ISNUMBER(SEARCH("full",U43)),UPPER(TRIM(U43))="FT",UPPER(TRIM(U43))="FTE"),"FT",IF(AND(OR(ISNUMBER(SEARCH("part",U43)),UPPER(TRIM(U43))="PT",UPPER(TRIM(U43))="PTE"),Apply2026="Yes",OR($C$10="",N($C$10)&gt;=PT_MinHours)),"PT","None")))</f>
        <v/>
      </c>
      <c r="W43" s="16" t="n">
        <v>1</v>
      </c>
      <c r="X43" s="16" t="str">
        <f aca="false">IF(T43="","",IF(AND(V43="PT",T43&lt;=AsOfDate,T43&gt;=SchemeStart),IF(AND("PT"="FT",R43=FT_Y5,T43&lt;PolicyEff),1,W43),0))</f>
        <v/>
      </c>
      <c r="Y43" s="16" t="str">
        <f aca="false">IF(T43="","",IF(N(X43)&gt;0,"",IF(T43&lt;SchemeStart,"before scheme start",IF(T43&gt;AsOfDate,"future",IF(V43&lt;&gt;"PT","not " &amp; IF("PT"="FT","full-time","eligible part-time") &amp; " on that date","")))))</f>
        <v/>
      </c>
      <c r="Z43" s="19" t="n">
        <f aca="false">I43</f>
        <v>111</v>
      </c>
      <c r="AA43" s="19" t="n">
        <f aca="false">SMALL($Z$20:$Z$199,24)</f>
        <v>88</v>
      </c>
      <c r="AB43" s="19" t="str">
        <f aca="false">IF(24-COUNTIF($Z$20:$Z$199,"&lt;"&amp;AA43)=1,IF(COUNTIF($I$20:$I$109,AA43)&gt;0,"FT","PT"),"PT")</f>
        <v>PT</v>
      </c>
      <c r="AC43" s="19" t="n">
        <f aca="false">IF(AB43="FT",INDEX($N$20:$N$109,MATCH(AA43,$I$20:$I$109,0)),1)</f>
        <v>1</v>
      </c>
    </row>
    <row r="44" customFormat="false" ht="15" hidden="false" customHeight="false" outlineLevel="0" collapsed="false">
      <c r="H44" s="16" t="n">
        <v>25</v>
      </c>
      <c r="I44" s="16" t="n">
        <f aca="false">IF(24&lt;FT_PreY5,FT_First+FT_Int1*24,FT_Y5+FT_Int2*(24-FT_PreY5))</f>
        <v>114</v>
      </c>
      <c r="J44" s="16" t="str">
        <f aca="false">INT(I44/12)&amp;"y "&amp;MOD(I44,12)&amp;"m"</f>
        <v>9y 6m</v>
      </c>
      <c r="K44" s="14" t="str">
        <f aca="false">IF(OR($C$6&lt;&gt;"Yes",$C$8=""),"",EDATE($C$8,I44))</f>
        <v/>
      </c>
      <c r="L44" s="16" t="str">
        <f aca="false">IF(K44="","",IF($C$16=0,$C$9,IF(AND($C$14&lt;&gt;"",K44&gt;=$C$14),$C$15,IF(AND($C$12&lt;&gt;"",K44&gt;=$C$12),$C$13,$C$11))))</f>
        <v/>
      </c>
      <c r="M44" s="16" t="str">
        <f aca="false">IF(K44="","",IF(OR(ISNUMBER(SEARCH("full",L44)),UPPER(TRIM(L44))="FT",UPPER(TRIM(L44))="FTE"),"FT",IF(AND(OR(ISNUMBER(SEARCH("part",L44)),UPPER(TRIM(L44))="PT",UPPER(TRIM(L44))="PTE"),Apply2026="Yes",OR($C$10="",N($C$10)&gt;=PT_MinHours)),"PT","None")))</f>
        <v/>
      </c>
      <c r="N44" s="16" t="n">
        <f aca="false">IF(I44&lt;FT_Y5,1,IF(MOD(I44-FT_Y5,12)=0,FT_AnnivDays,1))</f>
        <v>1</v>
      </c>
      <c r="O44" s="16" t="str">
        <f aca="false">IF(K44="","",IF(AND(M44="FT",K44&lt;=AsOfDate,K44&gt;=SchemeStart),IF(AND("FT"="FT",I44=FT_Y5,K44&lt;PolicyEff),1,N44),0))</f>
        <v/>
      </c>
      <c r="P44" s="16" t="str">
        <f aca="false">IF(K44="","",IF(N(O44)&gt;0,"",IF(K44&lt;SchemeStart,"before scheme start",IF(K44&gt;AsOfDate,"future",IF(M44&lt;&gt;"FT","not " &amp; IF("FT"="FT","full-time","eligible part-time") &amp; " on that date","")))))</f>
        <v/>
      </c>
      <c r="Q44" s="16" t="n">
        <v>25</v>
      </c>
      <c r="R44" s="16" t="n">
        <f aca="false">PT_First+PT_Int*24</f>
        <v>156</v>
      </c>
      <c r="S44" s="16" t="str">
        <f aca="false">INT(R44/12)&amp;"y "&amp;MOD(R44,12)&amp;"m"</f>
        <v>13y 0m</v>
      </c>
      <c r="T44" s="14" t="str">
        <f aca="false">IF(OR($C$6&lt;&gt;"Yes",$C$8=""),"",EDATE($C$8,R44))</f>
        <v/>
      </c>
      <c r="U44" s="16" t="str">
        <f aca="false">IF(T44="","",IF($C$16=0,$C$9,IF(AND($C$14&lt;&gt;"",T44&gt;=$C$14),$C$15,IF(AND($C$12&lt;&gt;"",T44&gt;=$C$12),$C$13,$C$11))))</f>
        <v/>
      </c>
      <c r="V44" s="16" t="str">
        <f aca="false">IF(T44="","",IF(OR(ISNUMBER(SEARCH("full",U44)),UPPER(TRIM(U44))="FT",UPPER(TRIM(U44))="FTE"),"FT",IF(AND(OR(ISNUMBER(SEARCH("part",U44)),UPPER(TRIM(U44))="PT",UPPER(TRIM(U44))="PTE"),Apply2026="Yes",OR($C$10="",N($C$10)&gt;=PT_MinHours)),"PT","None")))</f>
        <v/>
      </c>
      <c r="W44" s="16" t="n">
        <v>1</v>
      </c>
      <c r="X44" s="16" t="str">
        <f aca="false">IF(T44="","",IF(AND(V44="PT",T44&lt;=AsOfDate,T44&gt;=SchemeStart),IF(AND("PT"="FT",R44=FT_Y5,T44&lt;PolicyEff),1,W44),0))</f>
        <v/>
      </c>
      <c r="Y44" s="16" t="str">
        <f aca="false">IF(T44="","",IF(N(X44)&gt;0,"",IF(T44&lt;SchemeStart,"before scheme start",IF(T44&gt;AsOfDate,"future",IF(V44&lt;&gt;"PT","not " &amp; IF("PT"="FT","full-time","eligible part-time") &amp; " on that date","")))))</f>
        <v/>
      </c>
      <c r="Z44" s="19" t="n">
        <f aca="false">I44</f>
        <v>114</v>
      </c>
      <c r="AA44" s="19" t="n">
        <f aca="false">SMALL($Z$20:$Z$199,25)</f>
        <v>90</v>
      </c>
      <c r="AB44" s="19" t="str">
        <f aca="false">IF(25-COUNTIF($Z$20:$Z$199,"&lt;"&amp;AA44)=1,IF(COUNTIF($I$20:$I$109,AA44)&gt;0,"FT","PT"),"PT")</f>
        <v>FT</v>
      </c>
      <c r="AC44" s="19" t="n">
        <f aca="false">IF(AB44="FT",INDEX($N$20:$N$109,MATCH(AA44,$I$20:$I$109,0)),1)</f>
        <v>1</v>
      </c>
    </row>
    <row r="45" customFormat="false" ht="15" hidden="false" customHeight="false" outlineLevel="0" collapsed="false">
      <c r="H45" s="16" t="n">
        <v>26</v>
      </c>
      <c r="I45" s="16" t="n">
        <f aca="false">IF(25&lt;FT_PreY5,FT_First+FT_Int1*25,FT_Y5+FT_Int2*(25-FT_PreY5))</f>
        <v>117</v>
      </c>
      <c r="J45" s="16" t="str">
        <f aca="false">INT(I45/12)&amp;"y "&amp;MOD(I45,12)&amp;"m"</f>
        <v>9y 9m</v>
      </c>
      <c r="K45" s="14" t="str">
        <f aca="false">IF(OR($C$6&lt;&gt;"Yes",$C$8=""),"",EDATE($C$8,I45))</f>
        <v/>
      </c>
      <c r="L45" s="16" t="str">
        <f aca="false">IF(K45="","",IF($C$16=0,$C$9,IF(AND($C$14&lt;&gt;"",K45&gt;=$C$14),$C$15,IF(AND($C$12&lt;&gt;"",K45&gt;=$C$12),$C$13,$C$11))))</f>
        <v/>
      </c>
      <c r="M45" s="16" t="str">
        <f aca="false">IF(K45="","",IF(OR(ISNUMBER(SEARCH("full",L45)),UPPER(TRIM(L45))="FT",UPPER(TRIM(L45))="FTE"),"FT",IF(AND(OR(ISNUMBER(SEARCH("part",L45)),UPPER(TRIM(L45))="PT",UPPER(TRIM(L45))="PTE"),Apply2026="Yes",OR($C$10="",N($C$10)&gt;=PT_MinHours)),"PT","None")))</f>
        <v/>
      </c>
      <c r="N45" s="16" t="n">
        <f aca="false">IF(I45&lt;FT_Y5,1,IF(MOD(I45-FT_Y5,12)=0,FT_AnnivDays,1))</f>
        <v>1</v>
      </c>
      <c r="O45" s="16" t="str">
        <f aca="false">IF(K45="","",IF(AND(M45="FT",K45&lt;=AsOfDate,K45&gt;=SchemeStart),IF(AND("FT"="FT",I45=FT_Y5,K45&lt;PolicyEff),1,N45),0))</f>
        <v/>
      </c>
      <c r="P45" s="16" t="str">
        <f aca="false">IF(K45="","",IF(N(O45)&gt;0,"",IF(K45&lt;SchemeStart,"before scheme start",IF(K45&gt;AsOfDate,"future",IF(M45&lt;&gt;"FT","not " &amp; IF("FT"="FT","full-time","eligible part-time") &amp; " on that date","")))))</f>
        <v/>
      </c>
      <c r="Q45" s="16" t="n">
        <v>26</v>
      </c>
      <c r="R45" s="16" t="n">
        <f aca="false">PT_First+PT_Int*25</f>
        <v>160</v>
      </c>
      <c r="S45" s="16" t="str">
        <f aca="false">INT(R45/12)&amp;"y "&amp;MOD(R45,12)&amp;"m"</f>
        <v>13y 4m</v>
      </c>
      <c r="T45" s="14" t="str">
        <f aca="false">IF(OR($C$6&lt;&gt;"Yes",$C$8=""),"",EDATE($C$8,R45))</f>
        <v/>
      </c>
      <c r="U45" s="16" t="str">
        <f aca="false">IF(T45="","",IF($C$16=0,$C$9,IF(AND($C$14&lt;&gt;"",T45&gt;=$C$14),$C$15,IF(AND($C$12&lt;&gt;"",T45&gt;=$C$12),$C$13,$C$11))))</f>
        <v/>
      </c>
      <c r="V45" s="16" t="str">
        <f aca="false">IF(T45="","",IF(OR(ISNUMBER(SEARCH("full",U45)),UPPER(TRIM(U45))="FT",UPPER(TRIM(U45))="FTE"),"FT",IF(AND(OR(ISNUMBER(SEARCH("part",U45)),UPPER(TRIM(U45))="PT",UPPER(TRIM(U45))="PTE"),Apply2026="Yes",OR($C$10="",N($C$10)&gt;=PT_MinHours)),"PT","None")))</f>
        <v/>
      </c>
      <c r="W45" s="16" t="n">
        <v>1</v>
      </c>
      <c r="X45" s="16" t="str">
        <f aca="false">IF(T45="","",IF(AND(V45="PT",T45&lt;=AsOfDate,T45&gt;=SchemeStart),IF(AND("PT"="FT",R45=FT_Y5,T45&lt;PolicyEff),1,W45),0))</f>
        <v/>
      </c>
      <c r="Y45" s="16" t="str">
        <f aca="false">IF(T45="","",IF(N(X45)&gt;0,"",IF(T45&lt;SchemeStart,"before scheme start",IF(T45&gt;AsOfDate,"future",IF(V45&lt;&gt;"PT","not " &amp; IF("PT"="FT","full-time","eligible part-time") &amp; " on that date","")))))</f>
        <v/>
      </c>
      <c r="Z45" s="19" t="n">
        <f aca="false">I45</f>
        <v>117</v>
      </c>
      <c r="AA45" s="19" t="n">
        <f aca="false">SMALL($Z$20:$Z$199,26)</f>
        <v>92</v>
      </c>
      <c r="AB45" s="19" t="str">
        <f aca="false">IF(26-COUNTIF($Z$20:$Z$199,"&lt;"&amp;AA45)=1,IF(COUNTIF($I$20:$I$109,AA45)&gt;0,"FT","PT"),"PT")</f>
        <v>PT</v>
      </c>
      <c r="AC45" s="19" t="n">
        <f aca="false">IF(AB45="FT",INDEX($N$20:$N$109,MATCH(AA45,$I$20:$I$109,0)),1)</f>
        <v>1</v>
      </c>
    </row>
    <row r="46" customFormat="false" ht="15" hidden="false" customHeight="false" outlineLevel="0" collapsed="false">
      <c r="H46" s="16" t="n">
        <v>27</v>
      </c>
      <c r="I46" s="16" t="n">
        <f aca="false">IF(26&lt;FT_PreY5,FT_First+FT_Int1*26,FT_Y5+FT_Int2*(26-FT_PreY5))</f>
        <v>120</v>
      </c>
      <c r="J46" s="16" t="str">
        <f aca="false">INT(I46/12)&amp;"y "&amp;MOD(I46,12)&amp;"m"</f>
        <v>10y 0m</v>
      </c>
      <c r="K46" s="14" t="str">
        <f aca="false">IF(OR($C$6&lt;&gt;"Yes",$C$8=""),"",EDATE($C$8,I46))</f>
        <v/>
      </c>
      <c r="L46" s="16" t="str">
        <f aca="false">IF(K46="","",IF($C$16=0,$C$9,IF(AND($C$14&lt;&gt;"",K46&gt;=$C$14),$C$15,IF(AND($C$12&lt;&gt;"",K46&gt;=$C$12),$C$13,$C$11))))</f>
        <v/>
      </c>
      <c r="M46" s="16" t="str">
        <f aca="false">IF(K46="","",IF(OR(ISNUMBER(SEARCH("full",L46)),UPPER(TRIM(L46))="FT",UPPER(TRIM(L46))="FTE"),"FT",IF(AND(OR(ISNUMBER(SEARCH("part",L46)),UPPER(TRIM(L46))="PT",UPPER(TRIM(L46))="PTE"),Apply2026="Yes",OR($C$10="",N($C$10)&gt;=PT_MinHours)),"PT","None")))</f>
        <v/>
      </c>
      <c r="N46" s="16" t="n">
        <f aca="false">IF(I46&lt;FT_Y5,1,IF(MOD(I46-FT_Y5,12)=0,FT_AnnivDays,1))</f>
        <v>2</v>
      </c>
      <c r="O46" s="16" t="str">
        <f aca="false">IF(K46="","",IF(AND(M46="FT",K46&lt;=AsOfDate,K46&gt;=SchemeStart),IF(AND("FT"="FT",I46=FT_Y5,K46&lt;PolicyEff),1,N46),0))</f>
        <v/>
      </c>
      <c r="P46" s="16" t="str">
        <f aca="false">IF(K46="","",IF(N(O46)&gt;0,"",IF(K46&lt;SchemeStart,"before scheme start",IF(K46&gt;AsOfDate,"future",IF(M46&lt;&gt;"FT","not " &amp; IF("FT"="FT","full-time","eligible part-time") &amp; " on that date","")))))</f>
        <v/>
      </c>
      <c r="Q46" s="16" t="n">
        <v>27</v>
      </c>
      <c r="R46" s="16" t="n">
        <f aca="false">PT_First+PT_Int*26</f>
        <v>164</v>
      </c>
      <c r="S46" s="16" t="str">
        <f aca="false">INT(R46/12)&amp;"y "&amp;MOD(R46,12)&amp;"m"</f>
        <v>13y 8m</v>
      </c>
      <c r="T46" s="14" t="str">
        <f aca="false">IF(OR($C$6&lt;&gt;"Yes",$C$8=""),"",EDATE($C$8,R46))</f>
        <v/>
      </c>
      <c r="U46" s="16" t="str">
        <f aca="false">IF(T46="","",IF($C$16=0,$C$9,IF(AND($C$14&lt;&gt;"",T46&gt;=$C$14),$C$15,IF(AND($C$12&lt;&gt;"",T46&gt;=$C$12),$C$13,$C$11))))</f>
        <v/>
      </c>
      <c r="V46" s="16" t="str">
        <f aca="false">IF(T46="","",IF(OR(ISNUMBER(SEARCH("full",U46)),UPPER(TRIM(U46))="FT",UPPER(TRIM(U46))="FTE"),"FT",IF(AND(OR(ISNUMBER(SEARCH("part",U46)),UPPER(TRIM(U46))="PT",UPPER(TRIM(U46))="PTE"),Apply2026="Yes",OR($C$10="",N($C$10)&gt;=PT_MinHours)),"PT","None")))</f>
        <v/>
      </c>
      <c r="W46" s="16" t="n">
        <v>1</v>
      </c>
      <c r="X46" s="16" t="str">
        <f aca="false">IF(T46="","",IF(AND(V46="PT",T46&lt;=AsOfDate,T46&gt;=SchemeStart),IF(AND("PT"="FT",R46=FT_Y5,T46&lt;PolicyEff),1,W46),0))</f>
        <v/>
      </c>
      <c r="Y46" s="16" t="str">
        <f aca="false">IF(T46="","",IF(N(X46)&gt;0,"",IF(T46&lt;SchemeStart,"before scheme start",IF(T46&gt;AsOfDate,"future",IF(V46&lt;&gt;"PT","not " &amp; IF("PT"="FT","full-time","eligible part-time") &amp; " on that date","")))))</f>
        <v/>
      </c>
      <c r="Z46" s="19" t="n">
        <f aca="false">I46</f>
        <v>120</v>
      </c>
      <c r="AA46" s="19" t="n">
        <f aca="false">SMALL($Z$20:$Z$199,27)</f>
        <v>93</v>
      </c>
      <c r="AB46" s="19" t="str">
        <f aca="false">IF(27-COUNTIF($Z$20:$Z$199,"&lt;"&amp;AA46)=1,IF(COUNTIF($I$20:$I$109,AA46)&gt;0,"FT","PT"),"PT")</f>
        <v>FT</v>
      </c>
      <c r="AC46" s="19" t="n">
        <f aca="false">IF(AB46="FT",INDEX($N$20:$N$109,MATCH(AA46,$I$20:$I$109,0)),1)</f>
        <v>1</v>
      </c>
    </row>
    <row r="47" customFormat="false" ht="15" hidden="false" customHeight="false" outlineLevel="0" collapsed="false">
      <c r="H47" s="16" t="n">
        <v>28</v>
      </c>
      <c r="I47" s="16" t="n">
        <f aca="false">IF(27&lt;FT_PreY5,FT_First+FT_Int1*27,FT_Y5+FT_Int2*(27-FT_PreY5))</f>
        <v>123</v>
      </c>
      <c r="J47" s="16" t="str">
        <f aca="false">INT(I47/12)&amp;"y "&amp;MOD(I47,12)&amp;"m"</f>
        <v>10y 3m</v>
      </c>
      <c r="K47" s="14" t="str">
        <f aca="false">IF(OR($C$6&lt;&gt;"Yes",$C$8=""),"",EDATE($C$8,I47))</f>
        <v/>
      </c>
      <c r="L47" s="16" t="str">
        <f aca="false">IF(K47="","",IF($C$16=0,$C$9,IF(AND($C$14&lt;&gt;"",K47&gt;=$C$14),$C$15,IF(AND($C$12&lt;&gt;"",K47&gt;=$C$12),$C$13,$C$11))))</f>
        <v/>
      </c>
      <c r="M47" s="16" t="str">
        <f aca="false">IF(K47="","",IF(OR(ISNUMBER(SEARCH("full",L47)),UPPER(TRIM(L47))="FT",UPPER(TRIM(L47))="FTE"),"FT",IF(AND(OR(ISNUMBER(SEARCH("part",L47)),UPPER(TRIM(L47))="PT",UPPER(TRIM(L47))="PTE"),Apply2026="Yes",OR($C$10="",N($C$10)&gt;=PT_MinHours)),"PT","None")))</f>
        <v/>
      </c>
      <c r="N47" s="16" t="n">
        <f aca="false">IF(I47&lt;FT_Y5,1,IF(MOD(I47-FT_Y5,12)=0,FT_AnnivDays,1))</f>
        <v>1</v>
      </c>
      <c r="O47" s="16" t="str">
        <f aca="false">IF(K47="","",IF(AND(M47="FT",K47&lt;=AsOfDate,K47&gt;=SchemeStart),IF(AND("FT"="FT",I47=FT_Y5,K47&lt;PolicyEff),1,N47),0))</f>
        <v/>
      </c>
      <c r="P47" s="16" t="str">
        <f aca="false">IF(K47="","",IF(N(O47)&gt;0,"",IF(K47&lt;SchemeStart,"before scheme start",IF(K47&gt;AsOfDate,"future",IF(M47&lt;&gt;"FT","not " &amp; IF("FT"="FT","full-time","eligible part-time") &amp; " on that date","")))))</f>
        <v/>
      </c>
      <c r="Q47" s="16" t="n">
        <v>28</v>
      </c>
      <c r="R47" s="16" t="n">
        <f aca="false">PT_First+PT_Int*27</f>
        <v>168</v>
      </c>
      <c r="S47" s="16" t="str">
        <f aca="false">INT(R47/12)&amp;"y "&amp;MOD(R47,12)&amp;"m"</f>
        <v>14y 0m</v>
      </c>
      <c r="T47" s="14" t="str">
        <f aca="false">IF(OR($C$6&lt;&gt;"Yes",$C$8=""),"",EDATE($C$8,R47))</f>
        <v/>
      </c>
      <c r="U47" s="16" t="str">
        <f aca="false">IF(T47="","",IF($C$16=0,$C$9,IF(AND($C$14&lt;&gt;"",T47&gt;=$C$14),$C$15,IF(AND($C$12&lt;&gt;"",T47&gt;=$C$12),$C$13,$C$11))))</f>
        <v/>
      </c>
      <c r="V47" s="16" t="str">
        <f aca="false">IF(T47="","",IF(OR(ISNUMBER(SEARCH("full",U47)),UPPER(TRIM(U47))="FT",UPPER(TRIM(U47))="FTE"),"FT",IF(AND(OR(ISNUMBER(SEARCH("part",U47)),UPPER(TRIM(U47))="PT",UPPER(TRIM(U47))="PTE"),Apply2026="Yes",OR($C$10="",N($C$10)&gt;=PT_MinHours)),"PT","None")))</f>
        <v/>
      </c>
      <c r="W47" s="16" t="n">
        <v>1</v>
      </c>
      <c r="X47" s="16" t="str">
        <f aca="false">IF(T47="","",IF(AND(V47="PT",T47&lt;=AsOfDate,T47&gt;=SchemeStart),IF(AND("PT"="FT",R47=FT_Y5,T47&lt;PolicyEff),1,W47),0))</f>
        <v/>
      </c>
      <c r="Y47" s="16" t="str">
        <f aca="false">IF(T47="","",IF(N(X47)&gt;0,"",IF(T47&lt;SchemeStart,"before scheme start",IF(T47&gt;AsOfDate,"future",IF(V47&lt;&gt;"PT","not " &amp; IF("PT"="FT","full-time","eligible part-time") &amp; " on that date","")))))</f>
        <v/>
      </c>
      <c r="Z47" s="19" t="n">
        <f aca="false">I47</f>
        <v>123</v>
      </c>
      <c r="AA47" s="19" t="n">
        <f aca="false">SMALL($Z$20:$Z$199,28)</f>
        <v>96</v>
      </c>
      <c r="AB47" s="19" t="str">
        <f aca="false">IF(28-COUNTIF($Z$20:$Z$199,"&lt;"&amp;AA47)=1,IF(COUNTIF($I$20:$I$109,AA47)&gt;0,"FT","PT"),"PT")</f>
        <v>FT</v>
      </c>
      <c r="AC47" s="19" t="n">
        <f aca="false">IF(AB47="FT",INDEX($N$20:$N$109,MATCH(AA47,$I$20:$I$109,0)),1)</f>
        <v>2</v>
      </c>
    </row>
    <row r="48" customFormat="false" ht="15" hidden="false" customHeight="false" outlineLevel="0" collapsed="false">
      <c r="H48" s="16" t="n">
        <v>29</v>
      </c>
      <c r="I48" s="16" t="n">
        <f aca="false">IF(28&lt;FT_PreY5,FT_First+FT_Int1*28,FT_Y5+FT_Int2*(28-FT_PreY5))</f>
        <v>126</v>
      </c>
      <c r="J48" s="16" t="str">
        <f aca="false">INT(I48/12)&amp;"y "&amp;MOD(I48,12)&amp;"m"</f>
        <v>10y 6m</v>
      </c>
      <c r="K48" s="14" t="str">
        <f aca="false">IF(OR($C$6&lt;&gt;"Yes",$C$8=""),"",EDATE($C$8,I48))</f>
        <v/>
      </c>
      <c r="L48" s="16" t="str">
        <f aca="false">IF(K48="","",IF($C$16=0,$C$9,IF(AND($C$14&lt;&gt;"",K48&gt;=$C$14),$C$15,IF(AND($C$12&lt;&gt;"",K48&gt;=$C$12),$C$13,$C$11))))</f>
        <v/>
      </c>
      <c r="M48" s="16" t="str">
        <f aca="false">IF(K48="","",IF(OR(ISNUMBER(SEARCH("full",L48)),UPPER(TRIM(L48))="FT",UPPER(TRIM(L48))="FTE"),"FT",IF(AND(OR(ISNUMBER(SEARCH("part",L48)),UPPER(TRIM(L48))="PT",UPPER(TRIM(L48))="PTE"),Apply2026="Yes",OR($C$10="",N($C$10)&gt;=PT_MinHours)),"PT","None")))</f>
        <v/>
      </c>
      <c r="N48" s="16" t="n">
        <f aca="false">IF(I48&lt;FT_Y5,1,IF(MOD(I48-FT_Y5,12)=0,FT_AnnivDays,1))</f>
        <v>1</v>
      </c>
      <c r="O48" s="16" t="str">
        <f aca="false">IF(K48="","",IF(AND(M48="FT",K48&lt;=AsOfDate,K48&gt;=SchemeStart),IF(AND("FT"="FT",I48=FT_Y5,K48&lt;PolicyEff),1,N48),0))</f>
        <v/>
      </c>
      <c r="P48" s="16" t="str">
        <f aca="false">IF(K48="","",IF(N(O48)&gt;0,"",IF(K48&lt;SchemeStart,"before scheme start",IF(K48&gt;AsOfDate,"future",IF(M48&lt;&gt;"FT","not " &amp; IF("FT"="FT","full-time","eligible part-time") &amp; " on that date","")))))</f>
        <v/>
      </c>
      <c r="Q48" s="16" t="n">
        <v>29</v>
      </c>
      <c r="R48" s="16" t="n">
        <f aca="false">PT_First+PT_Int*28</f>
        <v>172</v>
      </c>
      <c r="S48" s="16" t="str">
        <f aca="false">INT(R48/12)&amp;"y "&amp;MOD(R48,12)&amp;"m"</f>
        <v>14y 4m</v>
      </c>
      <c r="T48" s="14" t="str">
        <f aca="false">IF(OR($C$6&lt;&gt;"Yes",$C$8=""),"",EDATE($C$8,R48))</f>
        <v/>
      </c>
      <c r="U48" s="16" t="str">
        <f aca="false">IF(T48="","",IF($C$16=0,$C$9,IF(AND($C$14&lt;&gt;"",T48&gt;=$C$14),$C$15,IF(AND($C$12&lt;&gt;"",T48&gt;=$C$12),$C$13,$C$11))))</f>
        <v/>
      </c>
      <c r="V48" s="16" t="str">
        <f aca="false">IF(T48="","",IF(OR(ISNUMBER(SEARCH("full",U48)),UPPER(TRIM(U48))="FT",UPPER(TRIM(U48))="FTE"),"FT",IF(AND(OR(ISNUMBER(SEARCH("part",U48)),UPPER(TRIM(U48))="PT",UPPER(TRIM(U48))="PTE"),Apply2026="Yes",OR($C$10="",N($C$10)&gt;=PT_MinHours)),"PT","None")))</f>
        <v/>
      </c>
      <c r="W48" s="16" t="n">
        <v>1</v>
      </c>
      <c r="X48" s="16" t="str">
        <f aca="false">IF(T48="","",IF(AND(V48="PT",T48&lt;=AsOfDate,T48&gt;=SchemeStart),IF(AND("PT"="FT",R48=FT_Y5,T48&lt;PolicyEff),1,W48),0))</f>
        <v/>
      </c>
      <c r="Y48" s="16" t="str">
        <f aca="false">IF(T48="","",IF(N(X48)&gt;0,"",IF(T48&lt;SchemeStart,"before scheme start",IF(T48&gt;AsOfDate,"future",IF(V48&lt;&gt;"PT","not " &amp; IF("PT"="FT","full-time","eligible part-time") &amp; " on that date","")))))</f>
        <v/>
      </c>
      <c r="Z48" s="19" t="n">
        <f aca="false">I48</f>
        <v>126</v>
      </c>
      <c r="AA48" s="19" t="n">
        <f aca="false">SMALL($Z$20:$Z$199,29)</f>
        <v>96</v>
      </c>
      <c r="AB48" s="19" t="str">
        <f aca="false">IF(29-COUNTIF($Z$20:$Z$199,"&lt;"&amp;AA48)=1,IF(COUNTIF($I$20:$I$109,AA48)&gt;0,"FT","PT"),"PT")</f>
        <v>PT</v>
      </c>
      <c r="AC48" s="19" t="n">
        <f aca="false">IF(AB48="FT",INDEX($N$20:$N$109,MATCH(AA48,$I$20:$I$109,0)),1)</f>
        <v>1</v>
      </c>
    </row>
    <row r="49" customFormat="false" ht="15" hidden="false" customHeight="false" outlineLevel="0" collapsed="false">
      <c r="H49" s="16" t="n">
        <v>30</v>
      </c>
      <c r="I49" s="16" t="n">
        <f aca="false">IF(29&lt;FT_PreY5,FT_First+FT_Int1*29,FT_Y5+FT_Int2*(29-FT_PreY5))</f>
        <v>129</v>
      </c>
      <c r="J49" s="16" t="str">
        <f aca="false">INT(I49/12)&amp;"y "&amp;MOD(I49,12)&amp;"m"</f>
        <v>10y 9m</v>
      </c>
      <c r="K49" s="14" t="str">
        <f aca="false">IF(OR($C$6&lt;&gt;"Yes",$C$8=""),"",EDATE($C$8,I49))</f>
        <v/>
      </c>
      <c r="L49" s="16" t="str">
        <f aca="false">IF(K49="","",IF($C$16=0,$C$9,IF(AND($C$14&lt;&gt;"",K49&gt;=$C$14),$C$15,IF(AND($C$12&lt;&gt;"",K49&gt;=$C$12),$C$13,$C$11))))</f>
        <v/>
      </c>
      <c r="M49" s="16" t="str">
        <f aca="false">IF(K49="","",IF(OR(ISNUMBER(SEARCH("full",L49)),UPPER(TRIM(L49))="FT",UPPER(TRIM(L49))="FTE"),"FT",IF(AND(OR(ISNUMBER(SEARCH("part",L49)),UPPER(TRIM(L49))="PT",UPPER(TRIM(L49))="PTE"),Apply2026="Yes",OR($C$10="",N($C$10)&gt;=PT_MinHours)),"PT","None")))</f>
        <v/>
      </c>
      <c r="N49" s="16" t="n">
        <f aca="false">IF(I49&lt;FT_Y5,1,IF(MOD(I49-FT_Y5,12)=0,FT_AnnivDays,1))</f>
        <v>1</v>
      </c>
      <c r="O49" s="16" t="str">
        <f aca="false">IF(K49="","",IF(AND(M49="FT",K49&lt;=AsOfDate,K49&gt;=SchemeStart),IF(AND("FT"="FT",I49=FT_Y5,K49&lt;PolicyEff),1,N49),0))</f>
        <v/>
      </c>
      <c r="P49" s="16" t="str">
        <f aca="false">IF(K49="","",IF(N(O49)&gt;0,"",IF(K49&lt;SchemeStart,"before scheme start",IF(K49&gt;AsOfDate,"future",IF(M49&lt;&gt;"FT","not " &amp; IF("FT"="FT","full-time","eligible part-time") &amp; " on that date","")))))</f>
        <v/>
      </c>
      <c r="Q49" s="16" t="n">
        <v>30</v>
      </c>
      <c r="R49" s="16" t="n">
        <f aca="false">PT_First+PT_Int*29</f>
        <v>176</v>
      </c>
      <c r="S49" s="16" t="str">
        <f aca="false">INT(R49/12)&amp;"y "&amp;MOD(R49,12)&amp;"m"</f>
        <v>14y 8m</v>
      </c>
      <c r="T49" s="14" t="str">
        <f aca="false">IF(OR($C$6&lt;&gt;"Yes",$C$8=""),"",EDATE($C$8,R49))</f>
        <v/>
      </c>
      <c r="U49" s="16" t="str">
        <f aca="false">IF(T49="","",IF($C$16=0,$C$9,IF(AND($C$14&lt;&gt;"",T49&gt;=$C$14),$C$15,IF(AND($C$12&lt;&gt;"",T49&gt;=$C$12),$C$13,$C$11))))</f>
        <v/>
      </c>
      <c r="V49" s="16" t="str">
        <f aca="false">IF(T49="","",IF(OR(ISNUMBER(SEARCH("full",U49)),UPPER(TRIM(U49))="FT",UPPER(TRIM(U49))="FTE"),"FT",IF(AND(OR(ISNUMBER(SEARCH("part",U49)),UPPER(TRIM(U49))="PT",UPPER(TRIM(U49))="PTE"),Apply2026="Yes",OR($C$10="",N($C$10)&gt;=PT_MinHours)),"PT","None")))</f>
        <v/>
      </c>
      <c r="W49" s="16" t="n">
        <v>1</v>
      </c>
      <c r="X49" s="16" t="str">
        <f aca="false">IF(T49="","",IF(AND(V49="PT",T49&lt;=AsOfDate,T49&gt;=SchemeStart),IF(AND("PT"="FT",R49=FT_Y5,T49&lt;PolicyEff),1,W49),0))</f>
        <v/>
      </c>
      <c r="Y49" s="16" t="str">
        <f aca="false">IF(T49="","",IF(N(X49)&gt;0,"",IF(T49&lt;SchemeStart,"before scheme start",IF(T49&gt;AsOfDate,"future",IF(V49&lt;&gt;"PT","not " &amp; IF("PT"="FT","full-time","eligible part-time") &amp; " on that date","")))))</f>
        <v/>
      </c>
      <c r="Z49" s="19" t="n">
        <f aca="false">I49</f>
        <v>129</v>
      </c>
      <c r="AA49" s="19" t="n">
        <f aca="false">SMALL($Z$20:$Z$199,30)</f>
        <v>99</v>
      </c>
      <c r="AB49" s="19" t="str">
        <f aca="false">IF(30-COUNTIF($Z$20:$Z$199,"&lt;"&amp;AA49)=1,IF(COUNTIF($I$20:$I$109,AA49)&gt;0,"FT","PT"),"PT")</f>
        <v>FT</v>
      </c>
      <c r="AC49" s="19" t="n">
        <f aca="false">IF(AB49="FT",INDEX($N$20:$N$109,MATCH(AA49,$I$20:$I$109,0)),1)</f>
        <v>1</v>
      </c>
    </row>
    <row r="50" customFormat="false" ht="15" hidden="false" customHeight="false" outlineLevel="0" collapsed="false">
      <c r="H50" s="16" t="n">
        <v>31</v>
      </c>
      <c r="I50" s="16" t="n">
        <f aca="false">IF(30&lt;FT_PreY5,FT_First+FT_Int1*30,FT_Y5+FT_Int2*(30-FT_PreY5))</f>
        <v>132</v>
      </c>
      <c r="J50" s="16" t="str">
        <f aca="false">INT(I50/12)&amp;"y "&amp;MOD(I50,12)&amp;"m"</f>
        <v>11y 0m</v>
      </c>
      <c r="K50" s="14" t="str">
        <f aca="false">IF(OR($C$6&lt;&gt;"Yes",$C$8=""),"",EDATE($C$8,I50))</f>
        <v/>
      </c>
      <c r="L50" s="16" t="str">
        <f aca="false">IF(K50="","",IF($C$16=0,$C$9,IF(AND($C$14&lt;&gt;"",K50&gt;=$C$14),$C$15,IF(AND($C$12&lt;&gt;"",K50&gt;=$C$12),$C$13,$C$11))))</f>
        <v/>
      </c>
      <c r="M50" s="16" t="str">
        <f aca="false">IF(K50="","",IF(OR(ISNUMBER(SEARCH("full",L50)),UPPER(TRIM(L50))="FT",UPPER(TRIM(L50))="FTE"),"FT",IF(AND(OR(ISNUMBER(SEARCH("part",L50)),UPPER(TRIM(L50))="PT",UPPER(TRIM(L50))="PTE"),Apply2026="Yes",OR($C$10="",N($C$10)&gt;=PT_MinHours)),"PT","None")))</f>
        <v/>
      </c>
      <c r="N50" s="16" t="n">
        <f aca="false">IF(I50&lt;FT_Y5,1,IF(MOD(I50-FT_Y5,12)=0,FT_AnnivDays,1))</f>
        <v>2</v>
      </c>
      <c r="O50" s="16" t="str">
        <f aca="false">IF(K50="","",IF(AND(M50="FT",K50&lt;=AsOfDate,K50&gt;=SchemeStart),IF(AND("FT"="FT",I50=FT_Y5,K50&lt;PolicyEff),1,N50),0))</f>
        <v/>
      </c>
      <c r="P50" s="16" t="str">
        <f aca="false">IF(K50="","",IF(N(O50)&gt;0,"",IF(K50&lt;SchemeStart,"before scheme start",IF(K50&gt;AsOfDate,"future",IF(M50&lt;&gt;"FT","not " &amp; IF("FT"="FT","full-time","eligible part-time") &amp; " on that date","")))))</f>
        <v/>
      </c>
      <c r="Q50" s="16" t="n">
        <v>31</v>
      </c>
      <c r="R50" s="16" t="n">
        <f aca="false">PT_First+PT_Int*30</f>
        <v>180</v>
      </c>
      <c r="S50" s="16" t="str">
        <f aca="false">INT(R50/12)&amp;"y "&amp;MOD(R50,12)&amp;"m"</f>
        <v>15y 0m</v>
      </c>
      <c r="T50" s="14" t="str">
        <f aca="false">IF(OR($C$6&lt;&gt;"Yes",$C$8=""),"",EDATE($C$8,R50))</f>
        <v/>
      </c>
      <c r="U50" s="16" t="str">
        <f aca="false">IF(T50="","",IF($C$16=0,$C$9,IF(AND($C$14&lt;&gt;"",T50&gt;=$C$14),$C$15,IF(AND($C$12&lt;&gt;"",T50&gt;=$C$12),$C$13,$C$11))))</f>
        <v/>
      </c>
      <c r="V50" s="16" t="str">
        <f aca="false">IF(T50="","",IF(OR(ISNUMBER(SEARCH("full",U50)),UPPER(TRIM(U50))="FT",UPPER(TRIM(U50))="FTE"),"FT",IF(AND(OR(ISNUMBER(SEARCH("part",U50)),UPPER(TRIM(U50))="PT",UPPER(TRIM(U50))="PTE"),Apply2026="Yes",OR($C$10="",N($C$10)&gt;=PT_MinHours)),"PT","None")))</f>
        <v/>
      </c>
      <c r="W50" s="16" t="n">
        <v>1</v>
      </c>
      <c r="X50" s="16" t="str">
        <f aca="false">IF(T50="","",IF(AND(V50="PT",T50&lt;=AsOfDate,T50&gt;=SchemeStart),IF(AND("PT"="FT",R50=FT_Y5,T50&lt;PolicyEff),1,W50),0))</f>
        <v/>
      </c>
      <c r="Y50" s="16" t="str">
        <f aca="false">IF(T50="","",IF(N(X50)&gt;0,"",IF(T50&lt;SchemeStart,"before scheme start",IF(T50&gt;AsOfDate,"future",IF(V50&lt;&gt;"PT","not " &amp; IF("PT"="FT","full-time","eligible part-time") &amp; " on that date","")))))</f>
        <v/>
      </c>
      <c r="Z50" s="19" t="n">
        <f aca="false">I50</f>
        <v>132</v>
      </c>
      <c r="AA50" s="19" t="n">
        <f aca="false">SMALL($Z$20:$Z$199,31)</f>
        <v>100</v>
      </c>
      <c r="AB50" s="19" t="str">
        <f aca="false">IF(31-COUNTIF($Z$20:$Z$199,"&lt;"&amp;AA50)=1,IF(COUNTIF($I$20:$I$109,AA50)&gt;0,"FT","PT"),"PT")</f>
        <v>PT</v>
      </c>
      <c r="AC50" s="19" t="n">
        <f aca="false">IF(AB50="FT",INDEX($N$20:$N$109,MATCH(AA50,$I$20:$I$109,0)),1)</f>
        <v>1</v>
      </c>
    </row>
    <row r="51" customFormat="false" ht="15" hidden="false" customHeight="false" outlineLevel="0" collapsed="false">
      <c r="H51" s="16" t="n">
        <v>32</v>
      </c>
      <c r="I51" s="16" t="n">
        <f aca="false">IF(31&lt;FT_PreY5,FT_First+FT_Int1*31,FT_Y5+FT_Int2*(31-FT_PreY5))</f>
        <v>135</v>
      </c>
      <c r="J51" s="16" t="str">
        <f aca="false">INT(I51/12)&amp;"y "&amp;MOD(I51,12)&amp;"m"</f>
        <v>11y 3m</v>
      </c>
      <c r="K51" s="14" t="str">
        <f aca="false">IF(OR($C$6&lt;&gt;"Yes",$C$8=""),"",EDATE($C$8,I51))</f>
        <v/>
      </c>
      <c r="L51" s="16" t="str">
        <f aca="false">IF(K51="","",IF($C$16=0,$C$9,IF(AND($C$14&lt;&gt;"",K51&gt;=$C$14),$C$15,IF(AND($C$12&lt;&gt;"",K51&gt;=$C$12),$C$13,$C$11))))</f>
        <v/>
      </c>
      <c r="M51" s="16" t="str">
        <f aca="false">IF(K51="","",IF(OR(ISNUMBER(SEARCH("full",L51)),UPPER(TRIM(L51))="FT",UPPER(TRIM(L51))="FTE"),"FT",IF(AND(OR(ISNUMBER(SEARCH("part",L51)),UPPER(TRIM(L51))="PT",UPPER(TRIM(L51))="PTE"),Apply2026="Yes",OR($C$10="",N($C$10)&gt;=PT_MinHours)),"PT","None")))</f>
        <v/>
      </c>
      <c r="N51" s="16" t="n">
        <f aca="false">IF(I51&lt;FT_Y5,1,IF(MOD(I51-FT_Y5,12)=0,FT_AnnivDays,1))</f>
        <v>1</v>
      </c>
      <c r="O51" s="16" t="str">
        <f aca="false">IF(K51="","",IF(AND(M51="FT",K51&lt;=AsOfDate,K51&gt;=SchemeStart),IF(AND("FT"="FT",I51=FT_Y5,K51&lt;PolicyEff),1,N51),0))</f>
        <v/>
      </c>
      <c r="P51" s="16" t="str">
        <f aca="false">IF(K51="","",IF(N(O51)&gt;0,"",IF(K51&lt;SchemeStart,"before scheme start",IF(K51&gt;AsOfDate,"future",IF(M51&lt;&gt;"FT","not " &amp; IF("FT"="FT","full-time","eligible part-time") &amp; " on that date","")))))</f>
        <v/>
      </c>
      <c r="Q51" s="16" t="n">
        <v>32</v>
      </c>
      <c r="R51" s="16" t="n">
        <f aca="false">PT_First+PT_Int*31</f>
        <v>184</v>
      </c>
      <c r="S51" s="16" t="str">
        <f aca="false">INT(R51/12)&amp;"y "&amp;MOD(R51,12)&amp;"m"</f>
        <v>15y 4m</v>
      </c>
      <c r="T51" s="14" t="str">
        <f aca="false">IF(OR($C$6&lt;&gt;"Yes",$C$8=""),"",EDATE($C$8,R51))</f>
        <v/>
      </c>
      <c r="U51" s="16" t="str">
        <f aca="false">IF(T51="","",IF($C$16=0,$C$9,IF(AND($C$14&lt;&gt;"",T51&gt;=$C$14),$C$15,IF(AND($C$12&lt;&gt;"",T51&gt;=$C$12),$C$13,$C$11))))</f>
        <v/>
      </c>
      <c r="V51" s="16" t="str">
        <f aca="false">IF(T51="","",IF(OR(ISNUMBER(SEARCH("full",U51)),UPPER(TRIM(U51))="FT",UPPER(TRIM(U51))="FTE"),"FT",IF(AND(OR(ISNUMBER(SEARCH("part",U51)),UPPER(TRIM(U51))="PT",UPPER(TRIM(U51))="PTE"),Apply2026="Yes",OR($C$10="",N($C$10)&gt;=PT_MinHours)),"PT","None")))</f>
        <v/>
      </c>
      <c r="W51" s="16" t="n">
        <v>1</v>
      </c>
      <c r="X51" s="16" t="str">
        <f aca="false">IF(T51="","",IF(AND(V51="PT",T51&lt;=AsOfDate,T51&gt;=SchemeStart),IF(AND("PT"="FT",R51=FT_Y5,T51&lt;PolicyEff),1,W51),0))</f>
        <v/>
      </c>
      <c r="Y51" s="16" t="str">
        <f aca="false">IF(T51="","",IF(N(X51)&gt;0,"",IF(T51&lt;SchemeStart,"before scheme start",IF(T51&gt;AsOfDate,"future",IF(V51&lt;&gt;"PT","not " &amp; IF("PT"="FT","full-time","eligible part-time") &amp; " on that date","")))))</f>
        <v/>
      </c>
      <c r="Z51" s="19" t="n">
        <f aca="false">I51</f>
        <v>135</v>
      </c>
      <c r="AA51" s="19" t="n">
        <f aca="false">SMALL($Z$20:$Z$199,32)</f>
        <v>102</v>
      </c>
      <c r="AB51" s="19" t="str">
        <f aca="false">IF(32-COUNTIF($Z$20:$Z$199,"&lt;"&amp;AA51)=1,IF(COUNTIF($I$20:$I$109,AA51)&gt;0,"FT","PT"),"PT")</f>
        <v>FT</v>
      </c>
      <c r="AC51" s="19" t="n">
        <f aca="false">IF(AB51="FT",INDEX($N$20:$N$109,MATCH(AA51,$I$20:$I$109,0)),1)</f>
        <v>1</v>
      </c>
    </row>
    <row r="52" customFormat="false" ht="15" hidden="false" customHeight="false" outlineLevel="0" collapsed="false">
      <c r="H52" s="16" t="n">
        <v>33</v>
      </c>
      <c r="I52" s="16" t="n">
        <f aca="false">IF(32&lt;FT_PreY5,FT_First+FT_Int1*32,FT_Y5+FT_Int2*(32-FT_PreY5))</f>
        <v>138</v>
      </c>
      <c r="J52" s="16" t="str">
        <f aca="false">INT(I52/12)&amp;"y "&amp;MOD(I52,12)&amp;"m"</f>
        <v>11y 6m</v>
      </c>
      <c r="K52" s="14" t="str">
        <f aca="false">IF(OR($C$6&lt;&gt;"Yes",$C$8=""),"",EDATE($C$8,I52))</f>
        <v/>
      </c>
      <c r="L52" s="16" t="str">
        <f aca="false">IF(K52="","",IF($C$16=0,$C$9,IF(AND($C$14&lt;&gt;"",K52&gt;=$C$14),$C$15,IF(AND($C$12&lt;&gt;"",K52&gt;=$C$12),$C$13,$C$11))))</f>
        <v/>
      </c>
      <c r="M52" s="16" t="str">
        <f aca="false">IF(K52="","",IF(OR(ISNUMBER(SEARCH("full",L52)),UPPER(TRIM(L52))="FT",UPPER(TRIM(L52))="FTE"),"FT",IF(AND(OR(ISNUMBER(SEARCH("part",L52)),UPPER(TRIM(L52))="PT",UPPER(TRIM(L52))="PTE"),Apply2026="Yes",OR($C$10="",N($C$10)&gt;=PT_MinHours)),"PT","None")))</f>
        <v/>
      </c>
      <c r="N52" s="16" t="n">
        <f aca="false">IF(I52&lt;FT_Y5,1,IF(MOD(I52-FT_Y5,12)=0,FT_AnnivDays,1))</f>
        <v>1</v>
      </c>
      <c r="O52" s="16" t="str">
        <f aca="false">IF(K52="","",IF(AND(M52="FT",K52&lt;=AsOfDate,K52&gt;=SchemeStart),IF(AND("FT"="FT",I52=FT_Y5,K52&lt;PolicyEff),1,N52),0))</f>
        <v/>
      </c>
      <c r="P52" s="16" t="str">
        <f aca="false">IF(K52="","",IF(N(O52)&gt;0,"",IF(K52&lt;SchemeStart,"before scheme start",IF(K52&gt;AsOfDate,"future",IF(M52&lt;&gt;"FT","not " &amp; IF("FT"="FT","full-time","eligible part-time") &amp; " on that date","")))))</f>
        <v/>
      </c>
      <c r="Q52" s="16" t="n">
        <v>33</v>
      </c>
      <c r="R52" s="16" t="n">
        <f aca="false">PT_First+PT_Int*32</f>
        <v>188</v>
      </c>
      <c r="S52" s="16" t="str">
        <f aca="false">INT(R52/12)&amp;"y "&amp;MOD(R52,12)&amp;"m"</f>
        <v>15y 8m</v>
      </c>
      <c r="T52" s="14" t="str">
        <f aca="false">IF(OR($C$6&lt;&gt;"Yes",$C$8=""),"",EDATE($C$8,R52))</f>
        <v/>
      </c>
      <c r="U52" s="16" t="str">
        <f aca="false">IF(T52="","",IF($C$16=0,$C$9,IF(AND($C$14&lt;&gt;"",T52&gt;=$C$14),$C$15,IF(AND($C$12&lt;&gt;"",T52&gt;=$C$12),$C$13,$C$11))))</f>
        <v/>
      </c>
      <c r="V52" s="16" t="str">
        <f aca="false">IF(T52="","",IF(OR(ISNUMBER(SEARCH("full",U52)),UPPER(TRIM(U52))="FT",UPPER(TRIM(U52))="FTE"),"FT",IF(AND(OR(ISNUMBER(SEARCH("part",U52)),UPPER(TRIM(U52))="PT",UPPER(TRIM(U52))="PTE"),Apply2026="Yes",OR($C$10="",N($C$10)&gt;=PT_MinHours)),"PT","None")))</f>
        <v/>
      </c>
      <c r="W52" s="16" t="n">
        <v>1</v>
      </c>
      <c r="X52" s="16" t="str">
        <f aca="false">IF(T52="","",IF(AND(V52="PT",T52&lt;=AsOfDate,T52&gt;=SchemeStart),IF(AND("PT"="FT",R52=FT_Y5,T52&lt;PolicyEff),1,W52),0))</f>
        <v/>
      </c>
      <c r="Y52" s="16" t="str">
        <f aca="false">IF(T52="","",IF(N(X52)&gt;0,"",IF(T52&lt;SchemeStart,"before scheme start",IF(T52&gt;AsOfDate,"future",IF(V52&lt;&gt;"PT","not " &amp; IF("PT"="FT","full-time","eligible part-time") &amp; " on that date","")))))</f>
        <v/>
      </c>
      <c r="Z52" s="19" t="n">
        <f aca="false">I52</f>
        <v>138</v>
      </c>
      <c r="AA52" s="19" t="n">
        <f aca="false">SMALL($Z$20:$Z$199,33)</f>
        <v>104</v>
      </c>
      <c r="AB52" s="19" t="str">
        <f aca="false">IF(33-COUNTIF($Z$20:$Z$199,"&lt;"&amp;AA52)=1,IF(COUNTIF($I$20:$I$109,AA52)&gt;0,"FT","PT"),"PT")</f>
        <v>PT</v>
      </c>
      <c r="AC52" s="19" t="n">
        <f aca="false">IF(AB52="FT",INDEX($N$20:$N$109,MATCH(AA52,$I$20:$I$109,0)),1)</f>
        <v>1</v>
      </c>
    </row>
    <row r="53" customFormat="false" ht="15" hidden="false" customHeight="false" outlineLevel="0" collapsed="false">
      <c r="H53" s="16" t="n">
        <v>34</v>
      </c>
      <c r="I53" s="16" t="n">
        <f aca="false">IF(33&lt;FT_PreY5,FT_First+FT_Int1*33,FT_Y5+FT_Int2*(33-FT_PreY5))</f>
        <v>141</v>
      </c>
      <c r="J53" s="16" t="str">
        <f aca="false">INT(I53/12)&amp;"y "&amp;MOD(I53,12)&amp;"m"</f>
        <v>11y 9m</v>
      </c>
      <c r="K53" s="14" t="str">
        <f aca="false">IF(OR($C$6&lt;&gt;"Yes",$C$8=""),"",EDATE($C$8,I53))</f>
        <v/>
      </c>
      <c r="L53" s="16" t="str">
        <f aca="false">IF(K53="","",IF($C$16=0,$C$9,IF(AND($C$14&lt;&gt;"",K53&gt;=$C$14),$C$15,IF(AND($C$12&lt;&gt;"",K53&gt;=$C$12),$C$13,$C$11))))</f>
        <v/>
      </c>
      <c r="M53" s="16" t="str">
        <f aca="false">IF(K53="","",IF(OR(ISNUMBER(SEARCH("full",L53)),UPPER(TRIM(L53))="FT",UPPER(TRIM(L53))="FTE"),"FT",IF(AND(OR(ISNUMBER(SEARCH("part",L53)),UPPER(TRIM(L53))="PT",UPPER(TRIM(L53))="PTE"),Apply2026="Yes",OR($C$10="",N($C$10)&gt;=PT_MinHours)),"PT","None")))</f>
        <v/>
      </c>
      <c r="N53" s="16" t="n">
        <f aca="false">IF(I53&lt;FT_Y5,1,IF(MOD(I53-FT_Y5,12)=0,FT_AnnivDays,1))</f>
        <v>1</v>
      </c>
      <c r="O53" s="16" t="str">
        <f aca="false">IF(K53="","",IF(AND(M53="FT",K53&lt;=AsOfDate,K53&gt;=SchemeStart),IF(AND("FT"="FT",I53=FT_Y5,K53&lt;PolicyEff),1,N53),0))</f>
        <v/>
      </c>
      <c r="P53" s="16" t="str">
        <f aca="false">IF(K53="","",IF(N(O53)&gt;0,"",IF(K53&lt;SchemeStart,"before scheme start",IF(K53&gt;AsOfDate,"future",IF(M53&lt;&gt;"FT","not " &amp; IF("FT"="FT","full-time","eligible part-time") &amp; " on that date","")))))</f>
        <v/>
      </c>
      <c r="Q53" s="16" t="n">
        <v>34</v>
      </c>
      <c r="R53" s="16" t="n">
        <f aca="false">PT_First+PT_Int*33</f>
        <v>192</v>
      </c>
      <c r="S53" s="16" t="str">
        <f aca="false">INT(R53/12)&amp;"y "&amp;MOD(R53,12)&amp;"m"</f>
        <v>16y 0m</v>
      </c>
      <c r="T53" s="14" t="str">
        <f aca="false">IF(OR($C$6&lt;&gt;"Yes",$C$8=""),"",EDATE($C$8,R53))</f>
        <v/>
      </c>
      <c r="U53" s="16" t="str">
        <f aca="false">IF(T53="","",IF($C$16=0,$C$9,IF(AND($C$14&lt;&gt;"",T53&gt;=$C$14),$C$15,IF(AND($C$12&lt;&gt;"",T53&gt;=$C$12),$C$13,$C$11))))</f>
        <v/>
      </c>
      <c r="V53" s="16" t="str">
        <f aca="false">IF(T53="","",IF(OR(ISNUMBER(SEARCH("full",U53)),UPPER(TRIM(U53))="FT",UPPER(TRIM(U53))="FTE"),"FT",IF(AND(OR(ISNUMBER(SEARCH("part",U53)),UPPER(TRIM(U53))="PT",UPPER(TRIM(U53))="PTE"),Apply2026="Yes",OR($C$10="",N($C$10)&gt;=PT_MinHours)),"PT","None")))</f>
        <v/>
      </c>
      <c r="W53" s="16" t="n">
        <v>1</v>
      </c>
      <c r="X53" s="16" t="str">
        <f aca="false">IF(T53="","",IF(AND(V53="PT",T53&lt;=AsOfDate,T53&gt;=SchemeStart),IF(AND("PT"="FT",R53=FT_Y5,T53&lt;PolicyEff),1,W53),0))</f>
        <v/>
      </c>
      <c r="Y53" s="16" t="str">
        <f aca="false">IF(T53="","",IF(N(X53)&gt;0,"",IF(T53&lt;SchemeStart,"before scheme start",IF(T53&gt;AsOfDate,"future",IF(V53&lt;&gt;"PT","not " &amp; IF("PT"="FT","full-time","eligible part-time") &amp; " on that date","")))))</f>
        <v/>
      </c>
      <c r="Z53" s="19" t="n">
        <f aca="false">I53</f>
        <v>141</v>
      </c>
      <c r="AA53" s="19" t="n">
        <f aca="false">SMALL($Z$20:$Z$199,34)</f>
        <v>105</v>
      </c>
      <c r="AB53" s="19" t="str">
        <f aca="false">IF(34-COUNTIF($Z$20:$Z$199,"&lt;"&amp;AA53)=1,IF(COUNTIF($I$20:$I$109,AA53)&gt;0,"FT","PT"),"PT")</f>
        <v>FT</v>
      </c>
      <c r="AC53" s="19" t="n">
        <f aca="false">IF(AB53="FT",INDEX($N$20:$N$109,MATCH(AA53,$I$20:$I$109,0)),1)</f>
        <v>1</v>
      </c>
    </row>
    <row r="54" customFormat="false" ht="15" hidden="false" customHeight="false" outlineLevel="0" collapsed="false">
      <c r="H54" s="16" t="n">
        <v>35</v>
      </c>
      <c r="I54" s="16" t="n">
        <f aca="false">IF(34&lt;FT_PreY5,FT_First+FT_Int1*34,FT_Y5+FT_Int2*(34-FT_PreY5))</f>
        <v>144</v>
      </c>
      <c r="J54" s="16" t="str">
        <f aca="false">INT(I54/12)&amp;"y "&amp;MOD(I54,12)&amp;"m"</f>
        <v>12y 0m</v>
      </c>
      <c r="K54" s="14" t="str">
        <f aca="false">IF(OR($C$6&lt;&gt;"Yes",$C$8=""),"",EDATE($C$8,I54))</f>
        <v/>
      </c>
      <c r="L54" s="16" t="str">
        <f aca="false">IF(K54="","",IF($C$16=0,$C$9,IF(AND($C$14&lt;&gt;"",K54&gt;=$C$14),$C$15,IF(AND($C$12&lt;&gt;"",K54&gt;=$C$12),$C$13,$C$11))))</f>
        <v/>
      </c>
      <c r="M54" s="16" t="str">
        <f aca="false">IF(K54="","",IF(OR(ISNUMBER(SEARCH("full",L54)),UPPER(TRIM(L54))="FT",UPPER(TRIM(L54))="FTE"),"FT",IF(AND(OR(ISNUMBER(SEARCH("part",L54)),UPPER(TRIM(L54))="PT",UPPER(TRIM(L54))="PTE"),Apply2026="Yes",OR($C$10="",N($C$10)&gt;=PT_MinHours)),"PT","None")))</f>
        <v/>
      </c>
      <c r="N54" s="16" t="n">
        <f aca="false">IF(I54&lt;FT_Y5,1,IF(MOD(I54-FT_Y5,12)=0,FT_AnnivDays,1))</f>
        <v>2</v>
      </c>
      <c r="O54" s="16" t="str">
        <f aca="false">IF(K54="","",IF(AND(M54="FT",K54&lt;=AsOfDate,K54&gt;=SchemeStart),IF(AND("FT"="FT",I54=FT_Y5,K54&lt;PolicyEff),1,N54),0))</f>
        <v/>
      </c>
      <c r="P54" s="16" t="str">
        <f aca="false">IF(K54="","",IF(N(O54)&gt;0,"",IF(K54&lt;SchemeStart,"before scheme start",IF(K54&gt;AsOfDate,"future",IF(M54&lt;&gt;"FT","not " &amp; IF("FT"="FT","full-time","eligible part-time") &amp; " on that date","")))))</f>
        <v/>
      </c>
      <c r="Q54" s="16" t="n">
        <v>35</v>
      </c>
      <c r="R54" s="16" t="n">
        <f aca="false">PT_First+PT_Int*34</f>
        <v>196</v>
      </c>
      <c r="S54" s="16" t="str">
        <f aca="false">INT(R54/12)&amp;"y "&amp;MOD(R54,12)&amp;"m"</f>
        <v>16y 4m</v>
      </c>
      <c r="T54" s="14" t="str">
        <f aca="false">IF(OR($C$6&lt;&gt;"Yes",$C$8=""),"",EDATE($C$8,R54))</f>
        <v/>
      </c>
      <c r="U54" s="16" t="str">
        <f aca="false">IF(T54="","",IF($C$16=0,$C$9,IF(AND($C$14&lt;&gt;"",T54&gt;=$C$14),$C$15,IF(AND($C$12&lt;&gt;"",T54&gt;=$C$12),$C$13,$C$11))))</f>
        <v/>
      </c>
      <c r="V54" s="16" t="str">
        <f aca="false">IF(T54="","",IF(OR(ISNUMBER(SEARCH("full",U54)),UPPER(TRIM(U54))="FT",UPPER(TRIM(U54))="FTE"),"FT",IF(AND(OR(ISNUMBER(SEARCH("part",U54)),UPPER(TRIM(U54))="PT",UPPER(TRIM(U54))="PTE"),Apply2026="Yes",OR($C$10="",N($C$10)&gt;=PT_MinHours)),"PT","None")))</f>
        <v/>
      </c>
      <c r="W54" s="16" t="n">
        <v>1</v>
      </c>
      <c r="X54" s="16" t="str">
        <f aca="false">IF(T54="","",IF(AND(V54="PT",T54&lt;=AsOfDate,T54&gt;=SchemeStart),IF(AND("PT"="FT",R54=FT_Y5,T54&lt;PolicyEff),1,W54),0))</f>
        <v/>
      </c>
      <c r="Y54" s="16" t="str">
        <f aca="false">IF(T54="","",IF(N(X54)&gt;0,"",IF(T54&lt;SchemeStart,"before scheme start",IF(T54&gt;AsOfDate,"future",IF(V54&lt;&gt;"PT","not " &amp; IF("PT"="FT","full-time","eligible part-time") &amp; " on that date","")))))</f>
        <v/>
      </c>
      <c r="Z54" s="19" t="n">
        <f aca="false">I54</f>
        <v>144</v>
      </c>
      <c r="AA54" s="19" t="n">
        <f aca="false">SMALL($Z$20:$Z$199,35)</f>
        <v>108</v>
      </c>
      <c r="AB54" s="19" t="str">
        <f aca="false">IF(35-COUNTIF($Z$20:$Z$199,"&lt;"&amp;AA54)=1,IF(COUNTIF($I$20:$I$109,AA54)&gt;0,"FT","PT"),"PT")</f>
        <v>FT</v>
      </c>
      <c r="AC54" s="19" t="n">
        <f aca="false">IF(AB54="FT",INDEX($N$20:$N$109,MATCH(AA54,$I$20:$I$109,0)),1)</f>
        <v>2</v>
      </c>
    </row>
    <row r="55" customFormat="false" ht="15" hidden="false" customHeight="false" outlineLevel="0" collapsed="false">
      <c r="H55" s="16" t="n">
        <v>36</v>
      </c>
      <c r="I55" s="16" t="n">
        <f aca="false">IF(35&lt;FT_PreY5,FT_First+FT_Int1*35,FT_Y5+FT_Int2*(35-FT_PreY5))</f>
        <v>147</v>
      </c>
      <c r="J55" s="16" t="str">
        <f aca="false">INT(I55/12)&amp;"y "&amp;MOD(I55,12)&amp;"m"</f>
        <v>12y 3m</v>
      </c>
      <c r="K55" s="14" t="str">
        <f aca="false">IF(OR($C$6&lt;&gt;"Yes",$C$8=""),"",EDATE($C$8,I55))</f>
        <v/>
      </c>
      <c r="L55" s="16" t="str">
        <f aca="false">IF(K55="","",IF($C$16=0,$C$9,IF(AND($C$14&lt;&gt;"",K55&gt;=$C$14),$C$15,IF(AND($C$12&lt;&gt;"",K55&gt;=$C$12),$C$13,$C$11))))</f>
        <v/>
      </c>
      <c r="M55" s="16" t="str">
        <f aca="false">IF(K55="","",IF(OR(ISNUMBER(SEARCH("full",L55)),UPPER(TRIM(L55))="FT",UPPER(TRIM(L55))="FTE"),"FT",IF(AND(OR(ISNUMBER(SEARCH("part",L55)),UPPER(TRIM(L55))="PT",UPPER(TRIM(L55))="PTE"),Apply2026="Yes",OR($C$10="",N($C$10)&gt;=PT_MinHours)),"PT","None")))</f>
        <v/>
      </c>
      <c r="N55" s="16" t="n">
        <f aca="false">IF(I55&lt;FT_Y5,1,IF(MOD(I55-FT_Y5,12)=0,FT_AnnivDays,1))</f>
        <v>1</v>
      </c>
      <c r="O55" s="16" t="str">
        <f aca="false">IF(K55="","",IF(AND(M55="FT",K55&lt;=AsOfDate,K55&gt;=SchemeStart),IF(AND("FT"="FT",I55=FT_Y5,K55&lt;PolicyEff),1,N55),0))</f>
        <v/>
      </c>
      <c r="P55" s="16" t="str">
        <f aca="false">IF(K55="","",IF(N(O55)&gt;0,"",IF(K55&lt;SchemeStart,"before scheme start",IF(K55&gt;AsOfDate,"future",IF(M55&lt;&gt;"FT","not " &amp; IF("FT"="FT","full-time","eligible part-time") &amp; " on that date","")))))</f>
        <v/>
      </c>
      <c r="Q55" s="16" t="n">
        <v>36</v>
      </c>
      <c r="R55" s="16" t="n">
        <f aca="false">PT_First+PT_Int*35</f>
        <v>200</v>
      </c>
      <c r="S55" s="16" t="str">
        <f aca="false">INT(R55/12)&amp;"y "&amp;MOD(R55,12)&amp;"m"</f>
        <v>16y 8m</v>
      </c>
      <c r="T55" s="14" t="str">
        <f aca="false">IF(OR($C$6&lt;&gt;"Yes",$C$8=""),"",EDATE($C$8,R55))</f>
        <v/>
      </c>
      <c r="U55" s="16" t="str">
        <f aca="false">IF(T55="","",IF($C$16=0,$C$9,IF(AND($C$14&lt;&gt;"",T55&gt;=$C$14),$C$15,IF(AND($C$12&lt;&gt;"",T55&gt;=$C$12),$C$13,$C$11))))</f>
        <v/>
      </c>
      <c r="V55" s="16" t="str">
        <f aca="false">IF(T55="","",IF(OR(ISNUMBER(SEARCH("full",U55)),UPPER(TRIM(U55))="FT",UPPER(TRIM(U55))="FTE"),"FT",IF(AND(OR(ISNUMBER(SEARCH("part",U55)),UPPER(TRIM(U55))="PT",UPPER(TRIM(U55))="PTE"),Apply2026="Yes",OR($C$10="",N($C$10)&gt;=PT_MinHours)),"PT","None")))</f>
        <v/>
      </c>
      <c r="W55" s="16" t="n">
        <v>1</v>
      </c>
      <c r="X55" s="16" t="str">
        <f aca="false">IF(T55="","",IF(AND(V55="PT",T55&lt;=AsOfDate,T55&gt;=SchemeStart),IF(AND("PT"="FT",R55=FT_Y5,T55&lt;PolicyEff),1,W55),0))</f>
        <v/>
      </c>
      <c r="Y55" s="16" t="str">
        <f aca="false">IF(T55="","",IF(N(X55)&gt;0,"",IF(T55&lt;SchemeStart,"before scheme start",IF(T55&gt;AsOfDate,"future",IF(V55&lt;&gt;"PT","not " &amp; IF("PT"="FT","full-time","eligible part-time") &amp; " on that date","")))))</f>
        <v/>
      </c>
      <c r="Z55" s="19" t="n">
        <f aca="false">I55</f>
        <v>147</v>
      </c>
      <c r="AA55" s="19" t="n">
        <f aca="false">SMALL($Z$20:$Z$199,36)</f>
        <v>108</v>
      </c>
      <c r="AB55" s="19" t="str">
        <f aca="false">IF(36-COUNTIF($Z$20:$Z$199,"&lt;"&amp;AA55)=1,IF(COUNTIF($I$20:$I$109,AA55)&gt;0,"FT","PT"),"PT")</f>
        <v>PT</v>
      </c>
      <c r="AC55" s="19" t="n">
        <f aca="false">IF(AB55="FT",INDEX($N$20:$N$109,MATCH(AA55,$I$20:$I$109,0)),1)</f>
        <v>1</v>
      </c>
    </row>
    <row r="56" customFormat="false" ht="15" hidden="false" customHeight="false" outlineLevel="0" collapsed="false">
      <c r="H56" s="16" t="n">
        <v>37</v>
      </c>
      <c r="I56" s="16" t="n">
        <f aca="false">IF(36&lt;FT_PreY5,FT_First+FT_Int1*36,FT_Y5+FT_Int2*(36-FT_PreY5))</f>
        <v>150</v>
      </c>
      <c r="J56" s="16" t="str">
        <f aca="false">INT(I56/12)&amp;"y "&amp;MOD(I56,12)&amp;"m"</f>
        <v>12y 6m</v>
      </c>
      <c r="K56" s="14" t="str">
        <f aca="false">IF(OR($C$6&lt;&gt;"Yes",$C$8=""),"",EDATE($C$8,I56))</f>
        <v/>
      </c>
      <c r="L56" s="16" t="str">
        <f aca="false">IF(K56="","",IF($C$16=0,$C$9,IF(AND($C$14&lt;&gt;"",K56&gt;=$C$14),$C$15,IF(AND($C$12&lt;&gt;"",K56&gt;=$C$12),$C$13,$C$11))))</f>
        <v/>
      </c>
      <c r="M56" s="16" t="str">
        <f aca="false">IF(K56="","",IF(OR(ISNUMBER(SEARCH("full",L56)),UPPER(TRIM(L56))="FT",UPPER(TRIM(L56))="FTE"),"FT",IF(AND(OR(ISNUMBER(SEARCH("part",L56)),UPPER(TRIM(L56))="PT",UPPER(TRIM(L56))="PTE"),Apply2026="Yes",OR($C$10="",N($C$10)&gt;=PT_MinHours)),"PT","None")))</f>
        <v/>
      </c>
      <c r="N56" s="16" t="n">
        <f aca="false">IF(I56&lt;FT_Y5,1,IF(MOD(I56-FT_Y5,12)=0,FT_AnnivDays,1))</f>
        <v>1</v>
      </c>
      <c r="O56" s="16" t="str">
        <f aca="false">IF(K56="","",IF(AND(M56="FT",K56&lt;=AsOfDate,K56&gt;=SchemeStart),IF(AND("FT"="FT",I56=FT_Y5,K56&lt;PolicyEff),1,N56),0))</f>
        <v/>
      </c>
      <c r="P56" s="16" t="str">
        <f aca="false">IF(K56="","",IF(N(O56)&gt;0,"",IF(K56&lt;SchemeStart,"before scheme start",IF(K56&gt;AsOfDate,"future",IF(M56&lt;&gt;"FT","not " &amp; IF("FT"="FT","full-time","eligible part-time") &amp; " on that date","")))))</f>
        <v/>
      </c>
      <c r="Q56" s="16" t="n">
        <v>37</v>
      </c>
      <c r="R56" s="16" t="n">
        <f aca="false">PT_First+PT_Int*36</f>
        <v>204</v>
      </c>
      <c r="S56" s="16" t="str">
        <f aca="false">INT(R56/12)&amp;"y "&amp;MOD(R56,12)&amp;"m"</f>
        <v>17y 0m</v>
      </c>
      <c r="T56" s="14" t="str">
        <f aca="false">IF(OR($C$6&lt;&gt;"Yes",$C$8=""),"",EDATE($C$8,R56))</f>
        <v/>
      </c>
      <c r="U56" s="16" t="str">
        <f aca="false">IF(T56="","",IF($C$16=0,$C$9,IF(AND($C$14&lt;&gt;"",T56&gt;=$C$14),$C$15,IF(AND($C$12&lt;&gt;"",T56&gt;=$C$12),$C$13,$C$11))))</f>
        <v/>
      </c>
      <c r="V56" s="16" t="str">
        <f aca="false">IF(T56="","",IF(OR(ISNUMBER(SEARCH("full",U56)),UPPER(TRIM(U56))="FT",UPPER(TRIM(U56))="FTE"),"FT",IF(AND(OR(ISNUMBER(SEARCH("part",U56)),UPPER(TRIM(U56))="PT",UPPER(TRIM(U56))="PTE"),Apply2026="Yes",OR($C$10="",N($C$10)&gt;=PT_MinHours)),"PT","None")))</f>
        <v/>
      </c>
      <c r="W56" s="16" t="n">
        <v>1</v>
      </c>
      <c r="X56" s="16" t="str">
        <f aca="false">IF(T56="","",IF(AND(V56="PT",T56&lt;=AsOfDate,T56&gt;=SchemeStart),IF(AND("PT"="FT",R56=FT_Y5,T56&lt;PolicyEff),1,W56),0))</f>
        <v/>
      </c>
      <c r="Y56" s="16" t="str">
        <f aca="false">IF(T56="","",IF(N(X56)&gt;0,"",IF(T56&lt;SchemeStart,"before scheme start",IF(T56&gt;AsOfDate,"future",IF(V56&lt;&gt;"PT","not " &amp; IF("PT"="FT","full-time","eligible part-time") &amp; " on that date","")))))</f>
        <v/>
      </c>
      <c r="Z56" s="19" t="n">
        <f aca="false">I56</f>
        <v>150</v>
      </c>
      <c r="AA56" s="19" t="n">
        <f aca="false">SMALL($Z$20:$Z$199,37)</f>
        <v>111</v>
      </c>
      <c r="AB56" s="19" t="str">
        <f aca="false">IF(37-COUNTIF($Z$20:$Z$199,"&lt;"&amp;AA56)=1,IF(COUNTIF($I$20:$I$109,AA56)&gt;0,"FT","PT"),"PT")</f>
        <v>FT</v>
      </c>
      <c r="AC56" s="19" t="n">
        <f aca="false">IF(AB56="FT",INDEX($N$20:$N$109,MATCH(AA56,$I$20:$I$109,0)),1)</f>
        <v>1</v>
      </c>
    </row>
    <row r="57" customFormat="false" ht="15" hidden="false" customHeight="false" outlineLevel="0" collapsed="false">
      <c r="H57" s="16" t="n">
        <v>38</v>
      </c>
      <c r="I57" s="16" t="n">
        <f aca="false">IF(37&lt;FT_PreY5,FT_First+FT_Int1*37,FT_Y5+FT_Int2*(37-FT_PreY5))</f>
        <v>153</v>
      </c>
      <c r="J57" s="16" t="str">
        <f aca="false">INT(I57/12)&amp;"y "&amp;MOD(I57,12)&amp;"m"</f>
        <v>12y 9m</v>
      </c>
      <c r="K57" s="14" t="str">
        <f aca="false">IF(OR($C$6&lt;&gt;"Yes",$C$8=""),"",EDATE($C$8,I57))</f>
        <v/>
      </c>
      <c r="L57" s="16" t="str">
        <f aca="false">IF(K57="","",IF($C$16=0,$C$9,IF(AND($C$14&lt;&gt;"",K57&gt;=$C$14),$C$15,IF(AND($C$12&lt;&gt;"",K57&gt;=$C$12),$C$13,$C$11))))</f>
        <v/>
      </c>
      <c r="M57" s="16" t="str">
        <f aca="false">IF(K57="","",IF(OR(ISNUMBER(SEARCH("full",L57)),UPPER(TRIM(L57))="FT",UPPER(TRIM(L57))="FTE"),"FT",IF(AND(OR(ISNUMBER(SEARCH("part",L57)),UPPER(TRIM(L57))="PT",UPPER(TRIM(L57))="PTE"),Apply2026="Yes",OR($C$10="",N($C$10)&gt;=PT_MinHours)),"PT","None")))</f>
        <v/>
      </c>
      <c r="N57" s="16" t="n">
        <f aca="false">IF(I57&lt;FT_Y5,1,IF(MOD(I57-FT_Y5,12)=0,FT_AnnivDays,1))</f>
        <v>1</v>
      </c>
      <c r="O57" s="16" t="str">
        <f aca="false">IF(K57="","",IF(AND(M57="FT",K57&lt;=AsOfDate,K57&gt;=SchemeStart),IF(AND("FT"="FT",I57=FT_Y5,K57&lt;PolicyEff),1,N57),0))</f>
        <v/>
      </c>
      <c r="P57" s="16" t="str">
        <f aca="false">IF(K57="","",IF(N(O57)&gt;0,"",IF(K57&lt;SchemeStart,"before scheme start",IF(K57&gt;AsOfDate,"future",IF(M57&lt;&gt;"FT","not " &amp; IF("FT"="FT","full-time","eligible part-time") &amp; " on that date","")))))</f>
        <v/>
      </c>
      <c r="Q57" s="16" t="n">
        <v>38</v>
      </c>
      <c r="R57" s="16" t="n">
        <f aca="false">PT_First+PT_Int*37</f>
        <v>208</v>
      </c>
      <c r="S57" s="16" t="str">
        <f aca="false">INT(R57/12)&amp;"y "&amp;MOD(R57,12)&amp;"m"</f>
        <v>17y 4m</v>
      </c>
      <c r="T57" s="14" t="str">
        <f aca="false">IF(OR($C$6&lt;&gt;"Yes",$C$8=""),"",EDATE($C$8,R57))</f>
        <v/>
      </c>
      <c r="U57" s="16" t="str">
        <f aca="false">IF(T57="","",IF($C$16=0,$C$9,IF(AND($C$14&lt;&gt;"",T57&gt;=$C$14),$C$15,IF(AND($C$12&lt;&gt;"",T57&gt;=$C$12),$C$13,$C$11))))</f>
        <v/>
      </c>
      <c r="V57" s="16" t="str">
        <f aca="false">IF(T57="","",IF(OR(ISNUMBER(SEARCH("full",U57)),UPPER(TRIM(U57))="FT",UPPER(TRIM(U57))="FTE"),"FT",IF(AND(OR(ISNUMBER(SEARCH("part",U57)),UPPER(TRIM(U57))="PT",UPPER(TRIM(U57))="PTE"),Apply2026="Yes",OR($C$10="",N($C$10)&gt;=PT_MinHours)),"PT","None")))</f>
        <v/>
      </c>
      <c r="W57" s="16" t="n">
        <v>1</v>
      </c>
      <c r="X57" s="16" t="str">
        <f aca="false">IF(T57="","",IF(AND(V57="PT",T57&lt;=AsOfDate,T57&gt;=SchemeStart),IF(AND("PT"="FT",R57=FT_Y5,T57&lt;PolicyEff),1,W57),0))</f>
        <v/>
      </c>
      <c r="Y57" s="16" t="str">
        <f aca="false">IF(T57="","",IF(N(X57)&gt;0,"",IF(T57&lt;SchemeStart,"before scheme start",IF(T57&gt;AsOfDate,"future",IF(V57&lt;&gt;"PT","not " &amp; IF("PT"="FT","full-time","eligible part-time") &amp; " on that date","")))))</f>
        <v/>
      </c>
      <c r="Z57" s="19" t="n">
        <f aca="false">I57</f>
        <v>153</v>
      </c>
      <c r="AA57" s="19" t="n">
        <f aca="false">SMALL($Z$20:$Z$199,38)</f>
        <v>112</v>
      </c>
      <c r="AB57" s="19" t="str">
        <f aca="false">IF(38-COUNTIF($Z$20:$Z$199,"&lt;"&amp;AA57)=1,IF(COUNTIF($I$20:$I$109,AA57)&gt;0,"FT","PT"),"PT")</f>
        <v>PT</v>
      </c>
      <c r="AC57" s="19" t="n">
        <f aca="false">IF(AB57="FT",INDEX($N$20:$N$109,MATCH(AA57,$I$20:$I$109,0)),1)</f>
        <v>1</v>
      </c>
    </row>
    <row r="58" customFormat="false" ht="15" hidden="false" customHeight="false" outlineLevel="0" collapsed="false">
      <c r="H58" s="16" t="n">
        <v>39</v>
      </c>
      <c r="I58" s="16" t="n">
        <f aca="false">IF(38&lt;FT_PreY5,FT_First+FT_Int1*38,FT_Y5+FT_Int2*(38-FT_PreY5))</f>
        <v>156</v>
      </c>
      <c r="J58" s="16" t="str">
        <f aca="false">INT(I58/12)&amp;"y "&amp;MOD(I58,12)&amp;"m"</f>
        <v>13y 0m</v>
      </c>
      <c r="K58" s="14" t="str">
        <f aca="false">IF(OR($C$6&lt;&gt;"Yes",$C$8=""),"",EDATE($C$8,I58))</f>
        <v/>
      </c>
      <c r="L58" s="16" t="str">
        <f aca="false">IF(K58="","",IF($C$16=0,$C$9,IF(AND($C$14&lt;&gt;"",K58&gt;=$C$14),$C$15,IF(AND($C$12&lt;&gt;"",K58&gt;=$C$12),$C$13,$C$11))))</f>
        <v/>
      </c>
      <c r="M58" s="16" t="str">
        <f aca="false">IF(K58="","",IF(OR(ISNUMBER(SEARCH("full",L58)),UPPER(TRIM(L58))="FT",UPPER(TRIM(L58))="FTE"),"FT",IF(AND(OR(ISNUMBER(SEARCH("part",L58)),UPPER(TRIM(L58))="PT",UPPER(TRIM(L58))="PTE"),Apply2026="Yes",OR($C$10="",N($C$10)&gt;=PT_MinHours)),"PT","None")))</f>
        <v/>
      </c>
      <c r="N58" s="16" t="n">
        <f aca="false">IF(I58&lt;FT_Y5,1,IF(MOD(I58-FT_Y5,12)=0,FT_AnnivDays,1))</f>
        <v>2</v>
      </c>
      <c r="O58" s="16" t="str">
        <f aca="false">IF(K58="","",IF(AND(M58="FT",K58&lt;=AsOfDate,K58&gt;=SchemeStart),IF(AND("FT"="FT",I58=FT_Y5,K58&lt;PolicyEff),1,N58),0))</f>
        <v/>
      </c>
      <c r="P58" s="16" t="str">
        <f aca="false">IF(K58="","",IF(N(O58)&gt;0,"",IF(K58&lt;SchemeStart,"before scheme start",IF(K58&gt;AsOfDate,"future",IF(M58&lt;&gt;"FT","not " &amp; IF("FT"="FT","full-time","eligible part-time") &amp; " on that date","")))))</f>
        <v/>
      </c>
      <c r="Q58" s="16" t="n">
        <v>39</v>
      </c>
      <c r="R58" s="16" t="n">
        <f aca="false">PT_First+PT_Int*38</f>
        <v>212</v>
      </c>
      <c r="S58" s="16" t="str">
        <f aca="false">INT(R58/12)&amp;"y "&amp;MOD(R58,12)&amp;"m"</f>
        <v>17y 8m</v>
      </c>
      <c r="T58" s="14" t="str">
        <f aca="false">IF(OR($C$6&lt;&gt;"Yes",$C$8=""),"",EDATE($C$8,R58))</f>
        <v/>
      </c>
      <c r="U58" s="16" t="str">
        <f aca="false">IF(T58="","",IF($C$16=0,$C$9,IF(AND($C$14&lt;&gt;"",T58&gt;=$C$14),$C$15,IF(AND($C$12&lt;&gt;"",T58&gt;=$C$12),$C$13,$C$11))))</f>
        <v/>
      </c>
      <c r="V58" s="16" t="str">
        <f aca="false">IF(T58="","",IF(OR(ISNUMBER(SEARCH("full",U58)),UPPER(TRIM(U58))="FT",UPPER(TRIM(U58))="FTE"),"FT",IF(AND(OR(ISNUMBER(SEARCH("part",U58)),UPPER(TRIM(U58))="PT",UPPER(TRIM(U58))="PTE"),Apply2026="Yes",OR($C$10="",N($C$10)&gt;=PT_MinHours)),"PT","None")))</f>
        <v/>
      </c>
      <c r="W58" s="16" t="n">
        <v>1</v>
      </c>
      <c r="X58" s="16" t="str">
        <f aca="false">IF(T58="","",IF(AND(V58="PT",T58&lt;=AsOfDate,T58&gt;=SchemeStart),IF(AND("PT"="FT",R58=FT_Y5,T58&lt;PolicyEff),1,W58),0))</f>
        <v/>
      </c>
      <c r="Y58" s="16" t="str">
        <f aca="false">IF(T58="","",IF(N(X58)&gt;0,"",IF(T58&lt;SchemeStart,"before scheme start",IF(T58&gt;AsOfDate,"future",IF(V58&lt;&gt;"PT","not " &amp; IF("PT"="FT","full-time","eligible part-time") &amp; " on that date","")))))</f>
        <v/>
      </c>
      <c r="Z58" s="19" t="n">
        <f aca="false">I58</f>
        <v>156</v>
      </c>
      <c r="AA58" s="19" t="n">
        <f aca="false">SMALL($Z$20:$Z$199,39)</f>
        <v>114</v>
      </c>
      <c r="AB58" s="19" t="str">
        <f aca="false">IF(39-COUNTIF($Z$20:$Z$199,"&lt;"&amp;AA58)=1,IF(COUNTIF($I$20:$I$109,AA58)&gt;0,"FT","PT"),"PT")</f>
        <v>FT</v>
      </c>
      <c r="AC58" s="19" t="n">
        <f aca="false">IF(AB58="FT",INDEX($N$20:$N$109,MATCH(AA58,$I$20:$I$109,0)),1)</f>
        <v>1</v>
      </c>
    </row>
    <row r="59" customFormat="false" ht="15" hidden="false" customHeight="false" outlineLevel="0" collapsed="false">
      <c r="H59" s="16" t="n">
        <v>40</v>
      </c>
      <c r="I59" s="16" t="n">
        <f aca="false">IF(39&lt;FT_PreY5,FT_First+FT_Int1*39,FT_Y5+FT_Int2*(39-FT_PreY5))</f>
        <v>159</v>
      </c>
      <c r="J59" s="16" t="str">
        <f aca="false">INT(I59/12)&amp;"y "&amp;MOD(I59,12)&amp;"m"</f>
        <v>13y 3m</v>
      </c>
      <c r="K59" s="14" t="str">
        <f aca="false">IF(OR($C$6&lt;&gt;"Yes",$C$8=""),"",EDATE($C$8,I59))</f>
        <v/>
      </c>
      <c r="L59" s="16" t="str">
        <f aca="false">IF(K59="","",IF($C$16=0,$C$9,IF(AND($C$14&lt;&gt;"",K59&gt;=$C$14),$C$15,IF(AND($C$12&lt;&gt;"",K59&gt;=$C$12),$C$13,$C$11))))</f>
        <v/>
      </c>
      <c r="M59" s="16" t="str">
        <f aca="false">IF(K59="","",IF(OR(ISNUMBER(SEARCH("full",L59)),UPPER(TRIM(L59))="FT",UPPER(TRIM(L59))="FTE"),"FT",IF(AND(OR(ISNUMBER(SEARCH("part",L59)),UPPER(TRIM(L59))="PT",UPPER(TRIM(L59))="PTE"),Apply2026="Yes",OR($C$10="",N($C$10)&gt;=PT_MinHours)),"PT","None")))</f>
        <v/>
      </c>
      <c r="N59" s="16" t="n">
        <f aca="false">IF(I59&lt;FT_Y5,1,IF(MOD(I59-FT_Y5,12)=0,FT_AnnivDays,1))</f>
        <v>1</v>
      </c>
      <c r="O59" s="16" t="str">
        <f aca="false">IF(K59="","",IF(AND(M59="FT",K59&lt;=AsOfDate,K59&gt;=SchemeStart),IF(AND("FT"="FT",I59=FT_Y5,K59&lt;PolicyEff),1,N59),0))</f>
        <v/>
      </c>
      <c r="P59" s="16" t="str">
        <f aca="false">IF(K59="","",IF(N(O59)&gt;0,"",IF(K59&lt;SchemeStart,"before scheme start",IF(K59&gt;AsOfDate,"future",IF(M59&lt;&gt;"FT","not " &amp; IF("FT"="FT","full-time","eligible part-time") &amp; " on that date","")))))</f>
        <v/>
      </c>
      <c r="Q59" s="16" t="n">
        <v>40</v>
      </c>
      <c r="R59" s="16" t="n">
        <f aca="false">PT_First+PT_Int*39</f>
        <v>216</v>
      </c>
      <c r="S59" s="16" t="str">
        <f aca="false">INT(R59/12)&amp;"y "&amp;MOD(R59,12)&amp;"m"</f>
        <v>18y 0m</v>
      </c>
      <c r="T59" s="14" t="str">
        <f aca="false">IF(OR($C$6&lt;&gt;"Yes",$C$8=""),"",EDATE($C$8,R59))</f>
        <v/>
      </c>
      <c r="U59" s="16" t="str">
        <f aca="false">IF(T59="","",IF($C$16=0,$C$9,IF(AND($C$14&lt;&gt;"",T59&gt;=$C$14),$C$15,IF(AND($C$12&lt;&gt;"",T59&gt;=$C$12),$C$13,$C$11))))</f>
        <v/>
      </c>
      <c r="V59" s="16" t="str">
        <f aca="false">IF(T59="","",IF(OR(ISNUMBER(SEARCH("full",U59)),UPPER(TRIM(U59))="FT",UPPER(TRIM(U59))="FTE"),"FT",IF(AND(OR(ISNUMBER(SEARCH("part",U59)),UPPER(TRIM(U59))="PT",UPPER(TRIM(U59))="PTE"),Apply2026="Yes",OR($C$10="",N($C$10)&gt;=PT_MinHours)),"PT","None")))</f>
        <v/>
      </c>
      <c r="W59" s="16" t="n">
        <v>1</v>
      </c>
      <c r="X59" s="16" t="str">
        <f aca="false">IF(T59="","",IF(AND(V59="PT",T59&lt;=AsOfDate,T59&gt;=SchemeStart),IF(AND("PT"="FT",R59=FT_Y5,T59&lt;PolicyEff),1,W59),0))</f>
        <v/>
      </c>
      <c r="Y59" s="16" t="str">
        <f aca="false">IF(T59="","",IF(N(X59)&gt;0,"",IF(T59&lt;SchemeStart,"before scheme start",IF(T59&gt;AsOfDate,"future",IF(V59&lt;&gt;"PT","not " &amp; IF("PT"="FT","full-time","eligible part-time") &amp; " on that date","")))))</f>
        <v/>
      </c>
      <c r="Z59" s="19" t="n">
        <f aca="false">I59</f>
        <v>159</v>
      </c>
      <c r="AA59" s="19" t="n">
        <f aca="false">SMALL($Z$20:$Z$199,40)</f>
        <v>116</v>
      </c>
      <c r="AB59" s="19" t="str">
        <f aca="false">IF(40-COUNTIF($Z$20:$Z$199,"&lt;"&amp;AA59)=1,IF(COUNTIF($I$20:$I$109,AA59)&gt;0,"FT","PT"),"PT")</f>
        <v>PT</v>
      </c>
      <c r="AC59" s="19" t="n">
        <f aca="false">IF(AB59="FT",INDEX($N$20:$N$109,MATCH(AA59,$I$20:$I$109,0)),1)</f>
        <v>1</v>
      </c>
    </row>
    <row r="60" customFormat="false" ht="15" hidden="false" customHeight="false" outlineLevel="0" collapsed="false">
      <c r="H60" s="16" t="n">
        <v>41</v>
      </c>
      <c r="I60" s="16" t="n">
        <f aca="false">IF(40&lt;FT_PreY5,FT_First+FT_Int1*40,FT_Y5+FT_Int2*(40-FT_PreY5))</f>
        <v>162</v>
      </c>
      <c r="J60" s="16" t="str">
        <f aca="false">INT(I60/12)&amp;"y "&amp;MOD(I60,12)&amp;"m"</f>
        <v>13y 6m</v>
      </c>
      <c r="K60" s="14" t="str">
        <f aca="false">IF(OR($C$6&lt;&gt;"Yes",$C$8=""),"",EDATE($C$8,I60))</f>
        <v/>
      </c>
      <c r="L60" s="16" t="str">
        <f aca="false">IF(K60="","",IF($C$16=0,$C$9,IF(AND($C$14&lt;&gt;"",K60&gt;=$C$14),$C$15,IF(AND($C$12&lt;&gt;"",K60&gt;=$C$12),$C$13,$C$11))))</f>
        <v/>
      </c>
      <c r="M60" s="16" t="str">
        <f aca="false">IF(K60="","",IF(OR(ISNUMBER(SEARCH("full",L60)),UPPER(TRIM(L60))="FT",UPPER(TRIM(L60))="FTE"),"FT",IF(AND(OR(ISNUMBER(SEARCH("part",L60)),UPPER(TRIM(L60))="PT",UPPER(TRIM(L60))="PTE"),Apply2026="Yes",OR($C$10="",N($C$10)&gt;=PT_MinHours)),"PT","None")))</f>
        <v/>
      </c>
      <c r="N60" s="16" t="n">
        <f aca="false">IF(I60&lt;FT_Y5,1,IF(MOD(I60-FT_Y5,12)=0,FT_AnnivDays,1))</f>
        <v>1</v>
      </c>
      <c r="O60" s="16" t="str">
        <f aca="false">IF(K60="","",IF(AND(M60="FT",K60&lt;=AsOfDate,K60&gt;=SchemeStart),IF(AND("FT"="FT",I60=FT_Y5,K60&lt;PolicyEff),1,N60),0))</f>
        <v/>
      </c>
      <c r="P60" s="16" t="str">
        <f aca="false">IF(K60="","",IF(N(O60)&gt;0,"",IF(K60&lt;SchemeStart,"before scheme start",IF(K60&gt;AsOfDate,"future",IF(M60&lt;&gt;"FT","not " &amp; IF("FT"="FT","full-time","eligible part-time") &amp; " on that date","")))))</f>
        <v/>
      </c>
      <c r="Q60" s="16" t="n">
        <v>41</v>
      </c>
      <c r="R60" s="16" t="n">
        <f aca="false">PT_First+PT_Int*40</f>
        <v>220</v>
      </c>
      <c r="S60" s="16" t="str">
        <f aca="false">INT(R60/12)&amp;"y "&amp;MOD(R60,12)&amp;"m"</f>
        <v>18y 4m</v>
      </c>
      <c r="T60" s="14" t="str">
        <f aca="false">IF(OR($C$6&lt;&gt;"Yes",$C$8=""),"",EDATE($C$8,R60))</f>
        <v/>
      </c>
      <c r="U60" s="16" t="str">
        <f aca="false">IF(T60="","",IF($C$16=0,$C$9,IF(AND($C$14&lt;&gt;"",T60&gt;=$C$14),$C$15,IF(AND($C$12&lt;&gt;"",T60&gt;=$C$12),$C$13,$C$11))))</f>
        <v/>
      </c>
      <c r="V60" s="16" t="str">
        <f aca="false">IF(T60="","",IF(OR(ISNUMBER(SEARCH("full",U60)),UPPER(TRIM(U60))="FT",UPPER(TRIM(U60))="FTE"),"FT",IF(AND(OR(ISNUMBER(SEARCH("part",U60)),UPPER(TRIM(U60))="PT",UPPER(TRIM(U60))="PTE"),Apply2026="Yes",OR($C$10="",N($C$10)&gt;=PT_MinHours)),"PT","None")))</f>
        <v/>
      </c>
      <c r="W60" s="16" t="n">
        <v>1</v>
      </c>
      <c r="X60" s="16" t="str">
        <f aca="false">IF(T60="","",IF(AND(V60="PT",T60&lt;=AsOfDate,T60&gt;=SchemeStart),IF(AND("PT"="FT",R60=FT_Y5,T60&lt;PolicyEff),1,W60),0))</f>
        <v/>
      </c>
      <c r="Y60" s="16" t="str">
        <f aca="false">IF(T60="","",IF(N(X60)&gt;0,"",IF(T60&lt;SchemeStart,"before scheme start",IF(T60&gt;AsOfDate,"future",IF(V60&lt;&gt;"PT","not " &amp; IF("PT"="FT","full-time","eligible part-time") &amp; " on that date","")))))</f>
        <v/>
      </c>
      <c r="Z60" s="19" t="n">
        <f aca="false">I60</f>
        <v>162</v>
      </c>
      <c r="AA60" s="19" t="n">
        <f aca="false">SMALL($Z$20:$Z$199,41)</f>
        <v>117</v>
      </c>
      <c r="AB60" s="19" t="str">
        <f aca="false">IF(41-COUNTIF($Z$20:$Z$199,"&lt;"&amp;AA60)=1,IF(COUNTIF($I$20:$I$109,AA60)&gt;0,"FT","PT"),"PT")</f>
        <v>FT</v>
      </c>
      <c r="AC60" s="19" t="n">
        <f aca="false">IF(AB60="FT",INDEX($N$20:$N$109,MATCH(AA60,$I$20:$I$109,0)),1)</f>
        <v>1</v>
      </c>
    </row>
    <row r="61" customFormat="false" ht="15" hidden="false" customHeight="false" outlineLevel="0" collapsed="false">
      <c r="H61" s="16" t="n">
        <v>42</v>
      </c>
      <c r="I61" s="16" t="n">
        <f aca="false">IF(41&lt;FT_PreY5,FT_First+FT_Int1*41,FT_Y5+FT_Int2*(41-FT_PreY5))</f>
        <v>165</v>
      </c>
      <c r="J61" s="16" t="str">
        <f aca="false">INT(I61/12)&amp;"y "&amp;MOD(I61,12)&amp;"m"</f>
        <v>13y 9m</v>
      </c>
      <c r="K61" s="14" t="str">
        <f aca="false">IF(OR($C$6&lt;&gt;"Yes",$C$8=""),"",EDATE($C$8,I61))</f>
        <v/>
      </c>
      <c r="L61" s="16" t="str">
        <f aca="false">IF(K61="","",IF($C$16=0,$C$9,IF(AND($C$14&lt;&gt;"",K61&gt;=$C$14),$C$15,IF(AND($C$12&lt;&gt;"",K61&gt;=$C$12),$C$13,$C$11))))</f>
        <v/>
      </c>
      <c r="M61" s="16" t="str">
        <f aca="false">IF(K61="","",IF(OR(ISNUMBER(SEARCH("full",L61)),UPPER(TRIM(L61))="FT",UPPER(TRIM(L61))="FTE"),"FT",IF(AND(OR(ISNUMBER(SEARCH("part",L61)),UPPER(TRIM(L61))="PT",UPPER(TRIM(L61))="PTE"),Apply2026="Yes",OR($C$10="",N($C$10)&gt;=PT_MinHours)),"PT","None")))</f>
        <v/>
      </c>
      <c r="N61" s="16" t="n">
        <f aca="false">IF(I61&lt;FT_Y5,1,IF(MOD(I61-FT_Y5,12)=0,FT_AnnivDays,1))</f>
        <v>1</v>
      </c>
      <c r="O61" s="16" t="str">
        <f aca="false">IF(K61="","",IF(AND(M61="FT",K61&lt;=AsOfDate,K61&gt;=SchemeStart),IF(AND("FT"="FT",I61=FT_Y5,K61&lt;PolicyEff),1,N61),0))</f>
        <v/>
      </c>
      <c r="P61" s="16" t="str">
        <f aca="false">IF(K61="","",IF(N(O61)&gt;0,"",IF(K61&lt;SchemeStart,"before scheme start",IF(K61&gt;AsOfDate,"future",IF(M61&lt;&gt;"FT","not " &amp; IF("FT"="FT","full-time","eligible part-time") &amp; " on that date","")))))</f>
        <v/>
      </c>
      <c r="Q61" s="16" t="n">
        <v>42</v>
      </c>
      <c r="R61" s="16" t="n">
        <f aca="false">PT_First+PT_Int*41</f>
        <v>224</v>
      </c>
      <c r="S61" s="16" t="str">
        <f aca="false">INT(R61/12)&amp;"y "&amp;MOD(R61,12)&amp;"m"</f>
        <v>18y 8m</v>
      </c>
      <c r="T61" s="14" t="str">
        <f aca="false">IF(OR($C$6&lt;&gt;"Yes",$C$8=""),"",EDATE($C$8,R61))</f>
        <v/>
      </c>
      <c r="U61" s="16" t="str">
        <f aca="false">IF(T61="","",IF($C$16=0,$C$9,IF(AND($C$14&lt;&gt;"",T61&gt;=$C$14),$C$15,IF(AND($C$12&lt;&gt;"",T61&gt;=$C$12),$C$13,$C$11))))</f>
        <v/>
      </c>
      <c r="V61" s="16" t="str">
        <f aca="false">IF(T61="","",IF(OR(ISNUMBER(SEARCH("full",U61)),UPPER(TRIM(U61))="FT",UPPER(TRIM(U61))="FTE"),"FT",IF(AND(OR(ISNUMBER(SEARCH("part",U61)),UPPER(TRIM(U61))="PT",UPPER(TRIM(U61))="PTE"),Apply2026="Yes",OR($C$10="",N($C$10)&gt;=PT_MinHours)),"PT","None")))</f>
        <v/>
      </c>
      <c r="W61" s="16" t="n">
        <v>1</v>
      </c>
      <c r="X61" s="16" t="str">
        <f aca="false">IF(T61="","",IF(AND(V61="PT",T61&lt;=AsOfDate,T61&gt;=SchemeStart),IF(AND("PT"="FT",R61=FT_Y5,T61&lt;PolicyEff),1,W61),0))</f>
        <v/>
      </c>
      <c r="Y61" s="16" t="str">
        <f aca="false">IF(T61="","",IF(N(X61)&gt;0,"",IF(T61&lt;SchemeStart,"before scheme start",IF(T61&gt;AsOfDate,"future",IF(V61&lt;&gt;"PT","not " &amp; IF("PT"="FT","full-time","eligible part-time") &amp; " on that date","")))))</f>
        <v/>
      </c>
      <c r="Z61" s="19" t="n">
        <f aca="false">I61</f>
        <v>165</v>
      </c>
      <c r="AA61" s="19" t="n">
        <f aca="false">SMALL($Z$20:$Z$199,42)</f>
        <v>120</v>
      </c>
      <c r="AB61" s="19" t="str">
        <f aca="false">IF(42-COUNTIF($Z$20:$Z$199,"&lt;"&amp;AA61)=1,IF(COUNTIF($I$20:$I$109,AA61)&gt;0,"FT","PT"),"PT")</f>
        <v>FT</v>
      </c>
      <c r="AC61" s="19" t="n">
        <f aca="false">IF(AB61="FT",INDEX($N$20:$N$109,MATCH(AA61,$I$20:$I$109,0)),1)</f>
        <v>2</v>
      </c>
    </row>
    <row r="62" customFormat="false" ht="15" hidden="false" customHeight="false" outlineLevel="0" collapsed="false">
      <c r="H62" s="16" t="n">
        <v>43</v>
      </c>
      <c r="I62" s="16" t="n">
        <f aca="false">IF(42&lt;FT_PreY5,FT_First+FT_Int1*42,FT_Y5+FT_Int2*(42-FT_PreY5))</f>
        <v>168</v>
      </c>
      <c r="J62" s="16" t="str">
        <f aca="false">INT(I62/12)&amp;"y "&amp;MOD(I62,12)&amp;"m"</f>
        <v>14y 0m</v>
      </c>
      <c r="K62" s="14" t="str">
        <f aca="false">IF(OR($C$6&lt;&gt;"Yes",$C$8=""),"",EDATE($C$8,I62))</f>
        <v/>
      </c>
      <c r="L62" s="16" t="str">
        <f aca="false">IF(K62="","",IF($C$16=0,$C$9,IF(AND($C$14&lt;&gt;"",K62&gt;=$C$14),$C$15,IF(AND($C$12&lt;&gt;"",K62&gt;=$C$12),$C$13,$C$11))))</f>
        <v/>
      </c>
      <c r="M62" s="16" t="str">
        <f aca="false">IF(K62="","",IF(OR(ISNUMBER(SEARCH("full",L62)),UPPER(TRIM(L62))="FT",UPPER(TRIM(L62))="FTE"),"FT",IF(AND(OR(ISNUMBER(SEARCH("part",L62)),UPPER(TRIM(L62))="PT",UPPER(TRIM(L62))="PTE"),Apply2026="Yes",OR($C$10="",N($C$10)&gt;=PT_MinHours)),"PT","None")))</f>
        <v/>
      </c>
      <c r="N62" s="16" t="n">
        <f aca="false">IF(I62&lt;FT_Y5,1,IF(MOD(I62-FT_Y5,12)=0,FT_AnnivDays,1))</f>
        <v>2</v>
      </c>
      <c r="O62" s="16" t="str">
        <f aca="false">IF(K62="","",IF(AND(M62="FT",K62&lt;=AsOfDate,K62&gt;=SchemeStart),IF(AND("FT"="FT",I62=FT_Y5,K62&lt;PolicyEff),1,N62),0))</f>
        <v/>
      </c>
      <c r="P62" s="16" t="str">
        <f aca="false">IF(K62="","",IF(N(O62)&gt;0,"",IF(K62&lt;SchemeStart,"before scheme start",IF(K62&gt;AsOfDate,"future",IF(M62&lt;&gt;"FT","not " &amp; IF("FT"="FT","full-time","eligible part-time") &amp; " on that date","")))))</f>
        <v/>
      </c>
      <c r="Q62" s="16" t="n">
        <v>43</v>
      </c>
      <c r="R62" s="16" t="n">
        <f aca="false">PT_First+PT_Int*42</f>
        <v>228</v>
      </c>
      <c r="S62" s="16" t="str">
        <f aca="false">INT(R62/12)&amp;"y "&amp;MOD(R62,12)&amp;"m"</f>
        <v>19y 0m</v>
      </c>
      <c r="T62" s="14" t="str">
        <f aca="false">IF(OR($C$6&lt;&gt;"Yes",$C$8=""),"",EDATE($C$8,R62))</f>
        <v/>
      </c>
      <c r="U62" s="16" t="str">
        <f aca="false">IF(T62="","",IF($C$16=0,$C$9,IF(AND($C$14&lt;&gt;"",T62&gt;=$C$14),$C$15,IF(AND($C$12&lt;&gt;"",T62&gt;=$C$12),$C$13,$C$11))))</f>
        <v/>
      </c>
      <c r="V62" s="16" t="str">
        <f aca="false">IF(T62="","",IF(OR(ISNUMBER(SEARCH("full",U62)),UPPER(TRIM(U62))="FT",UPPER(TRIM(U62))="FTE"),"FT",IF(AND(OR(ISNUMBER(SEARCH("part",U62)),UPPER(TRIM(U62))="PT",UPPER(TRIM(U62))="PTE"),Apply2026="Yes",OR($C$10="",N($C$10)&gt;=PT_MinHours)),"PT","None")))</f>
        <v/>
      </c>
      <c r="W62" s="16" t="n">
        <v>1</v>
      </c>
      <c r="X62" s="16" t="str">
        <f aca="false">IF(T62="","",IF(AND(V62="PT",T62&lt;=AsOfDate,T62&gt;=SchemeStart),IF(AND("PT"="FT",R62=FT_Y5,T62&lt;PolicyEff),1,W62),0))</f>
        <v/>
      </c>
      <c r="Y62" s="16" t="str">
        <f aca="false">IF(T62="","",IF(N(X62)&gt;0,"",IF(T62&lt;SchemeStart,"before scheme start",IF(T62&gt;AsOfDate,"future",IF(V62&lt;&gt;"PT","not " &amp; IF("PT"="FT","full-time","eligible part-time") &amp; " on that date","")))))</f>
        <v/>
      </c>
      <c r="Z62" s="19" t="n">
        <f aca="false">I62</f>
        <v>168</v>
      </c>
      <c r="AA62" s="19" t="n">
        <f aca="false">SMALL($Z$20:$Z$199,43)</f>
        <v>120</v>
      </c>
      <c r="AB62" s="19" t="str">
        <f aca="false">IF(43-COUNTIF($Z$20:$Z$199,"&lt;"&amp;AA62)=1,IF(COUNTIF($I$20:$I$109,AA62)&gt;0,"FT","PT"),"PT")</f>
        <v>PT</v>
      </c>
      <c r="AC62" s="19" t="n">
        <f aca="false">IF(AB62="FT",INDEX($N$20:$N$109,MATCH(AA62,$I$20:$I$109,0)),1)</f>
        <v>1</v>
      </c>
    </row>
    <row r="63" customFormat="false" ht="15" hidden="false" customHeight="false" outlineLevel="0" collapsed="false">
      <c r="H63" s="16" t="n">
        <v>44</v>
      </c>
      <c r="I63" s="16" t="n">
        <f aca="false">IF(43&lt;FT_PreY5,FT_First+FT_Int1*43,FT_Y5+FT_Int2*(43-FT_PreY5))</f>
        <v>171</v>
      </c>
      <c r="J63" s="16" t="str">
        <f aca="false">INT(I63/12)&amp;"y "&amp;MOD(I63,12)&amp;"m"</f>
        <v>14y 3m</v>
      </c>
      <c r="K63" s="14" t="str">
        <f aca="false">IF(OR($C$6&lt;&gt;"Yes",$C$8=""),"",EDATE($C$8,I63))</f>
        <v/>
      </c>
      <c r="L63" s="16" t="str">
        <f aca="false">IF(K63="","",IF($C$16=0,$C$9,IF(AND($C$14&lt;&gt;"",K63&gt;=$C$14),$C$15,IF(AND($C$12&lt;&gt;"",K63&gt;=$C$12),$C$13,$C$11))))</f>
        <v/>
      </c>
      <c r="M63" s="16" t="str">
        <f aca="false">IF(K63="","",IF(OR(ISNUMBER(SEARCH("full",L63)),UPPER(TRIM(L63))="FT",UPPER(TRIM(L63))="FTE"),"FT",IF(AND(OR(ISNUMBER(SEARCH("part",L63)),UPPER(TRIM(L63))="PT",UPPER(TRIM(L63))="PTE"),Apply2026="Yes",OR($C$10="",N($C$10)&gt;=PT_MinHours)),"PT","None")))</f>
        <v/>
      </c>
      <c r="N63" s="16" t="n">
        <f aca="false">IF(I63&lt;FT_Y5,1,IF(MOD(I63-FT_Y5,12)=0,FT_AnnivDays,1))</f>
        <v>1</v>
      </c>
      <c r="O63" s="16" t="str">
        <f aca="false">IF(K63="","",IF(AND(M63="FT",K63&lt;=AsOfDate,K63&gt;=SchemeStart),IF(AND("FT"="FT",I63=FT_Y5,K63&lt;PolicyEff),1,N63),0))</f>
        <v/>
      </c>
      <c r="P63" s="16" t="str">
        <f aca="false">IF(K63="","",IF(N(O63)&gt;0,"",IF(K63&lt;SchemeStart,"before scheme start",IF(K63&gt;AsOfDate,"future",IF(M63&lt;&gt;"FT","not " &amp; IF("FT"="FT","full-time","eligible part-time") &amp; " on that date","")))))</f>
        <v/>
      </c>
      <c r="Q63" s="16" t="n">
        <v>44</v>
      </c>
      <c r="R63" s="16" t="n">
        <f aca="false">PT_First+PT_Int*43</f>
        <v>232</v>
      </c>
      <c r="S63" s="16" t="str">
        <f aca="false">INT(R63/12)&amp;"y "&amp;MOD(R63,12)&amp;"m"</f>
        <v>19y 4m</v>
      </c>
      <c r="T63" s="14" t="str">
        <f aca="false">IF(OR($C$6&lt;&gt;"Yes",$C$8=""),"",EDATE($C$8,R63))</f>
        <v/>
      </c>
      <c r="U63" s="16" t="str">
        <f aca="false">IF(T63="","",IF($C$16=0,$C$9,IF(AND($C$14&lt;&gt;"",T63&gt;=$C$14),$C$15,IF(AND($C$12&lt;&gt;"",T63&gt;=$C$12),$C$13,$C$11))))</f>
        <v/>
      </c>
      <c r="V63" s="16" t="str">
        <f aca="false">IF(T63="","",IF(OR(ISNUMBER(SEARCH("full",U63)),UPPER(TRIM(U63))="FT",UPPER(TRIM(U63))="FTE"),"FT",IF(AND(OR(ISNUMBER(SEARCH("part",U63)),UPPER(TRIM(U63))="PT",UPPER(TRIM(U63))="PTE"),Apply2026="Yes",OR($C$10="",N($C$10)&gt;=PT_MinHours)),"PT","None")))</f>
        <v/>
      </c>
      <c r="W63" s="16" t="n">
        <v>1</v>
      </c>
      <c r="X63" s="16" t="str">
        <f aca="false">IF(T63="","",IF(AND(V63="PT",T63&lt;=AsOfDate,T63&gt;=SchemeStart),IF(AND("PT"="FT",R63=FT_Y5,T63&lt;PolicyEff),1,W63),0))</f>
        <v/>
      </c>
      <c r="Y63" s="16" t="str">
        <f aca="false">IF(T63="","",IF(N(X63)&gt;0,"",IF(T63&lt;SchemeStart,"before scheme start",IF(T63&gt;AsOfDate,"future",IF(V63&lt;&gt;"PT","not " &amp; IF("PT"="FT","full-time","eligible part-time") &amp; " on that date","")))))</f>
        <v/>
      </c>
      <c r="Z63" s="19" t="n">
        <f aca="false">I63</f>
        <v>171</v>
      </c>
      <c r="AA63" s="19" t="n">
        <f aca="false">SMALL($Z$20:$Z$199,44)</f>
        <v>123</v>
      </c>
      <c r="AB63" s="19" t="str">
        <f aca="false">IF(44-COUNTIF($Z$20:$Z$199,"&lt;"&amp;AA63)=1,IF(COUNTIF($I$20:$I$109,AA63)&gt;0,"FT","PT"),"PT")</f>
        <v>FT</v>
      </c>
      <c r="AC63" s="19" t="n">
        <f aca="false">IF(AB63="FT",INDEX($N$20:$N$109,MATCH(AA63,$I$20:$I$109,0)),1)</f>
        <v>1</v>
      </c>
    </row>
    <row r="64" customFormat="false" ht="15" hidden="false" customHeight="false" outlineLevel="0" collapsed="false">
      <c r="H64" s="16" t="n">
        <v>45</v>
      </c>
      <c r="I64" s="16" t="n">
        <f aca="false">IF(44&lt;FT_PreY5,FT_First+FT_Int1*44,FT_Y5+FT_Int2*(44-FT_PreY5))</f>
        <v>174</v>
      </c>
      <c r="J64" s="16" t="str">
        <f aca="false">INT(I64/12)&amp;"y "&amp;MOD(I64,12)&amp;"m"</f>
        <v>14y 6m</v>
      </c>
      <c r="K64" s="14" t="str">
        <f aca="false">IF(OR($C$6&lt;&gt;"Yes",$C$8=""),"",EDATE($C$8,I64))</f>
        <v/>
      </c>
      <c r="L64" s="16" t="str">
        <f aca="false">IF(K64="","",IF($C$16=0,$C$9,IF(AND($C$14&lt;&gt;"",K64&gt;=$C$14),$C$15,IF(AND($C$12&lt;&gt;"",K64&gt;=$C$12),$C$13,$C$11))))</f>
        <v/>
      </c>
      <c r="M64" s="16" t="str">
        <f aca="false">IF(K64="","",IF(OR(ISNUMBER(SEARCH("full",L64)),UPPER(TRIM(L64))="FT",UPPER(TRIM(L64))="FTE"),"FT",IF(AND(OR(ISNUMBER(SEARCH("part",L64)),UPPER(TRIM(L64))="PT",UPPER(TRIM(L64))="PTE"),Apply2026="Yes",OR($C$10="",N($C$10)&gt;=PT_MinHours)),"PT","None")))</f>
        <v/>
      </c>
      <c r="N64" s="16" t="n">
        <f aca="false">IF(I64&lt;FT_Y5,1,IF(MOD(I64-FT_Y5,12)=0,FT_AnnivDays,1))</f>
        <v>1</v>
      </c>
      <c r="O64" s="16" t="str">
        <f aca="false">IF(K64="","",IF(AND(M64="FT",K64&lt;=AsOfDate,K64&gt;=SchemeStart),IF(AND("FT"="FT",I64=FT_Y5,K64&lt;PolicyEff),1,N64),0))</f>
        <v/>
      </c>
      <c r="P64" s="16" t="str">
        <f aca="false">IF(K64="","",IF(N(O64)&gt;0,"",IF(K64&lt;SchemeStart,"before scheme start",IF(K64&gt;AsOfDate,"future",IF(M64&lt;&gt;"FT","not " &amp; IF("FT"="FT","full-time","eligible part-time") &amp; " on that date","")))))</f>
        <v/>
      </c>
      <c r="Q64" s="16" t="n">
        <v>45</v>
      </c>
      <c r="R64" s="16" t="n">
        <f aca="false">PT_First+PT_Int*44</f>
        <v>236</v>
      </c>
      <c r="S64" s="16" t="str">
        <f aca="false">INT(R64/12)&amp;"y "&amp;MOD(R64,12)&amp;"m"</f>
        <v>19y 8m</v>
      </c>
      <c r="T64" s="14" t="str">
        <f aca="false">IF(OR($C$6&lt;&gt;"Yes",$C$8=""),"",EDATE($C$8,R64))</f>
        <v/>
      </c>
      <c r="U64" s="16" t="str">
        <f aca="false">IF(T64="","",IF($C$16=0,$C$9,IF(AND($C$14&lt;&gt;"",T64&gt;=$C$14),$C$15,IF(AND($C$12&lt;&gt;"",T64&gt;=$C$12),$C$13,$C$11))))</f>
        <v/>
      </c>
      <c r="V64" s="16" t="str">
        <f aca="false">IF(T64="","",IF(OR(ISNUMBER(SEARCH("full",U64)),UPPER(TRIM(U64))="FT",UPPER(TRIM(U64))="FTE"),"FT",IF(AND(OR(ISNUMBER(SEARCH("part",U64)),UPPER(TRIM(U64))="PT",UPPER(TRIM(U64))="PTE"),Apply2026="Yes",OR($C$10="",N($C$10)&gt;=PT_MinHours)),"PT","None")))</f>
        <v/>
      </c>
      <c r="W64" s="16" t="n">
        <v>1</v>
      </c>
      <c r="X64" s="16" t="str">
        <f aca="false">IF(T64="","",IF(AND(V64="PT",T64&lt;=AsOfDate,T64&gt;=SchemeStart),IF(AND("PT"="FT",R64=FT_Y5,T64&lt;PolicyEff),1,W64),0))</f>
        <v/>
      </c>
      <c r="Y64" s="16" t="str">
        <f aca="false">IF(T64="","",IF(N(X64)&gt;0,"",IF(T64&lt;SchemeStart,"before scheme start",IF(T64&gt;AsOfDate,"future",IF(V64&lt;&gt;"PT","not " &amp; IF("PT"="FT","full-time","eligible part-time") &amp; " on that date","")))))</f>
        <v/>
      </c>
      <c r="Z64" s="19" t="n">
        <f aca="false">I64</f>
        <v>174</v>
      </c>
      <c r="AA64" s="19" t="n">
        <f aca="false">SMALL($Z$20:$Z$199,45)</f>
        <v>124</v>
      </c>
      <c r="AB64" s="19" t="str">
        <f aca="false">IF(45-COUNTIF($Z$20:$Z$199,"&lt;"&amp;AA64)=1,IF(COUNTIF($I$20:$I$109,AA64)&gt;0,"FT","PT"),"PT")</f>
        <v>PT</v>
      </c>
      <c r="AC64" s="19" t="n">
        <f aca="false">IF(AB64="FT",INDEX($N$20:$N$109,MATCH(AA64,$I$20:$I$109,0)),1)</f>
        <v>1</v>
      </c>
    </row>
    <row r="65" customFormat="false" ht="15" hidden="false" customHeight="false" outlineLevel="0" collapsed="false">
      <c r="H65" s="16" t="n">
        <v>46</v>
      </c>
      <c r="I65" s="16" t="n">
        <f aca="false">IF(45&lt;FT_PreY5,FT_First+FT_Int1*45,FT_Y5+FT_Int2*(45-FT_PreY5))</f>
        <v>177</v>
      </c>
      <c r="J65" s="16" t="str">
        <f aca="false">INT(I65/12)&amp;"y "&amp;MOD(I65,12)&amp;"m"</f>
        <v>14y 9m</v>
      </c>
      <c r="K65" s="14" t="str">
        <f aca="false">IF(OR($C$6&lt;&gt;"Yes",$C$8=""),"",EDATE($C$8,I65))</f>
        <v/>
      </c>
      <c r="L65" s="16" t="str">
        <f aca="false">IF(K65="","",IF($C$16=0,$C$9,IF(AND($C$14&lt;&gt;"",K65&gt;=$C$14),$C$15,IF(AND($C$12&lt;&gt;"",K65&gt;=$C$12),$C$13,$C$11))))</f>
        <v/>
      </c>
      <c r="M65" s="16" t="str">
        <f aca="false">IF(K65="","",IF(OR(ISNUMBER(SEARCH("full",L65)),UPPER(TRIM(L65))="FT",UPPER(TRIM(L65))="FTE"),"FT",IF(AND(OR(ISNUMBER(SEARCH("part",L65)),UPPER(TRIM(L65))="PT",UPPER(TRIM(L65))="PTE"),Apply2026="Yes",OR($C$10="",N($C$10)&gt;=PT_MinHours)),"PT","None")))</f>
        <v/>
      </c>
      <c r="N65" s="16" t="n">
        <f aca="false">IF(I65&lt;FT_Y5,1,IF(MOD(I65-FT_Y5,12)=0,FT_AnnivDays,1))</f>
        <v>1</v>
      </c>
      <c r="O65" s="16" t="str">
        <f aca="false">IF(K65="","",IF(AND(M65="FT",K65&lt;=AsOfDate,K65&gt;=SchemeStart),IF(AND("FT"="FT",I65=FT_Y5,K65&lt;PolicyEff),1,N65),0))</f>
        <v/>
      </c>
      <c r="P65" s="16" t="str">
        <f aca="false">IF(K65="","",IF(N(O65)&gt;0,"",IF(K65&lt;SchemeStart,"before scheme start",IF(K65&gt;AsOfDate,"future",IF(M65&lt;&gt;"FT","not " &amp; IF("FT"="FT","full-time","eligible part-time") &amp; " on that date","")))))</f>
        <v/>
      </c>
      <c r="Q65" s="16" t="n">
        <v>46</v>
      </c>
      <c r="R65" s="16" t="n">
        <f aca="false">PT_First+PT_Int*45</f>
        <v>240</v>
      </c>
      <c r="S65" s="16" t="str">
        <f aca="false">INT(R65/12)&amp;"y "&amp;MOD(R65,12)&amp;"m"</f>
        <v>20y 0m</v>
      </c>
      <c r="T65" s="14" t="str">
        <f aca="false">IF(OR($C$6&lt;&gt;"Yes",$C$8=""),"",EDATE($C$8,R65))</f>
        <v/>
      </c>
      <c r="U65" s="16" t="str">
        <f aca="false">IF(T65="","",IF($C$16=0,$C$9,IF(AND($C$14&lt;&gt;"",T65&gt;=$C$14),$C$15,IF(AND($C$12&lt;&gt;"",T65&gt;=$C$12),$C$13,$C$11))))</f>
        <v/>
      </c>
      <c r="V65" s="16" t="str">
        <f aca="false">IF(T65="","",IF(OR(ISNUMBER(SEARCH("full",U65)),UPPER(TRIM(U65))="FT",UPPER(TRIM(U65))="FTE"),"FT",IF(AND(OR(ISNUMBER(SEARCH("part",U65)),UPPER(TRIM(U65))="PT",UPPER(TRIM(U65))="PTE"),Apply2026="Yes",OR($C$10="",N($C$10)&gt;=PT_MinHours)),"PT","None")))</f>
        <v/>
      </c>
      <c r="W65" s="16" t="n">
        <v>1</v>
      </c>
      <c r="X65" s="16" t="str">
        <f aca="false">IF(T65="","",IF(AND(V65="PT",T65&lt;=AsOfDate,T65&gt;=SchemeStart),IF(AND("PT"="FT",R65=FT_Y5,T65&lt;PolicyEff),1,W65),0))</f>
        <v/>
      </c>
      <c r="Y65" s="16" t="str">
        <f aca="false">IF(T65="","",IF(N(X65)&gt;0,"",IF(T65&lt;SchemeStart,"before scheme start",IF(T65&gt;AsOfDate,"future",IF(V65&lt;&gt;"PT","not " &amp; IF("PT"="FT","full-time","eligible part-time") &amp; " on that date","")))))</f>
        <v/>
      </c>
      <c r="Z65" s="19" t="n">
        <f aca="false">I65</f>
        <v>177</v>
      </c>
      <c r="AA65" s="19" t="n">
        <f aca="false">SMALL($Z$20:$Z$199,46)</f>
        <v>126</v>
      </c>
      <c r="AB65" s="19" t="str">
        <f aca="false">IF(46-COUNTIF($Z$20:$Z$199,"&lt;"&amp;AA65)=1,IF(COUNTIF($I$20:$I$109,AA65)&gt;0,"FT","PT"),"PT")</f>
        <v>FT</v>
      </c>
      <c r="AC65" s="19" t="n">
        <f aca="false">IF(AB65="FT",INDEX($N$20:$N$109,MATCH(AA65,$I$20:$I$109,0)),1)</f>
        <v>1</v>
      </c>
    </row>
    <row r="66" customFormat="false" ht="15" hidden="false" customHeight="false" outlineLevel="0" collapsed="false">
      <c r="H66" s="16" t="n">
        <v>47</v>
      </c>
      <c r="I66" s="16" t="n">
        <f aca="false">IF(46&lt;FT_PreY5,FT_First+FT_Int1*46,FT_Y5+FT_Int2*(46-FT_PreY5))</f>
        <v>180</v>
      </c>
      <c r="J66" s="16" t="str">
        <f aca="false">INT(I66/12)&amp;"y "&amp;MOD(I66,12)&amp;"m"</f>
        <v>15y 0m</v>
      </c>
      <c r="K66" s="14" t="str">
        <f aca="false">IF(OR($C$6&lt;&gt;"Yes",$C$8=""),"",EDATE($C$8,I66))</f>
        <v/>
      </c>
      <c r="L66" s="16" t="str">
        <f aca="false">IF(K66="","",IF($C$16=0,$C$9,IF(AND($C$14&lt;&gt;"",K66&gt;=$C$14),$C$15,IF(AND($C$12&lt;&gt;"",K66&gt;=$C$12),$C$13,$C$11))))</f>
        <v/>
      </c>
      <c r="M66" s="16" t="str">
        <f aca="false">IF(K66="","",IF(OR(ISNUMBER(SEARCH("full",L66)),UPPER(TRIM(L66))="FT",UPPER(TRIM(L66))="FTE"),"FT",IF(AND(OR(ISNUMBER(SEARCH("part",L66)),UPPER(TRIM(L66))="PT",UPPER(TRIM(L66))="PTE"),Apply2026="Yes",OR($C$10="",N($C$10)&gt;=PT_MinHours)),"PT","None")))</f>
        <v/>
      </c>
      <c r="N66" s="16" t="n">
        <f aca="false">IF(I66&lt;FT_Y5,1,IF(MOD(I66-FT_Y5,12)=0,FT_AnnivDays,1))</f>
        <v>2</v>
      </c>
      <c r="O66" s="16" t="str">
        <f aca="false">IF(K66="","",IF(AND(M66="FT",K66&lt;=AsOfDate,K66&gt;=SchemeStart),IF(AND("FT"="FT",I66=FT_Y5,K66&lt;PolicyEff),1,N66),0))</f>
        <v/>
      </c>
      <c r="P66" s="16" t="str">
        <f aca="false">IF(K66="","",IF(N(O66)&gt;0,"",IF(K66&lt;SchemeStart,"before scheme start",IF(K66&gt;AsOfDate,"future",IF(M66&lt;&gt;"FT","not " &amp; IF("FT"="FT","full-time","eligible part-time") &amp; " on that date","")))))</f>
        <v/>
      </c>
      <c r="Q66" s="16" t="n">
        <v>47</v>
      </c>
      <c r="R66" s="16" t="n">
        <f aca="false">PT_First+PT_Int*46</f>
        <v>244</v>
      </c>
      <c r="S66" s="16" t="str">
        <f aca="false">INT(R66/12)&amp;"y "&amp;MOD(R66,12)&amp;"m"</f>
        <v>20y 4m</v>
      </c>
      <c r="T66" s="14" t="str">
        <f aca="false">IF(OR($C$6&lt;&gt;"Yes",$C$8=""),"",EDATE($C$8,R66))</f>
        <v/>
      </c>
      <c r="U66" s="16" t="str">
        <f aca="false">IF(T66="","",IF($C$16=0,$C$9,IF(AND($C$14&lt;&gt;"",T66&gt;=$C$14),$C$15,IF(AND($C$12&lt;&gt;"",T66&gt;=$C$12),$C$13,$C$11))))</f>
        <v/>
      </c>
      <c r="V66" s="16" t="str">
        <f aca="false">IF(T66="","",IF(OR(ISNUMBER(SEARCH("full",U66)),UPPER(TRIM(U66))="FT",UPPER(TRIM(U66))="FTE"),"FT",IF(AND(OR(ISNUMBER(SEARCH("part",U66)),UPPER(TRIM(U66))="PT",UPPER(TRIM(U66))="PTE"),Apply2026="Yes",OR($C$10="",N($C$10)&gt;=PT_MinHours)),"PT","None")))</f>
        <v/>
      </c>
      <c r="W66" s="16" t="n">
        <v>1</v>
      </c>
      <c r="X66" s="16" t="str">
        <f aca="false">IF(T66="","",IF(AND(V66="PT",T66&lt;=AsOfDate,T66&gt;=SchemeStart),IF(AND("PT"="FT",R66=FT_Y5,T66&lt;PolicyEff),1,W66),0))</f>
        <v/>
      </c>
      <c r="Y66" s="16" t="str">
        <f aca="false">IF(T66="","",IF(N(X66)&gt;0,"",IF(T66&lt;SchemeStart,"before scheme start",IF(T66&gt;AsOfDate,"future",IF(V66&lt;&gt;"PT","not " &amp; IF("PT"="FT","full-time","eligible part-time") &amp; " on that date","")))))</f>
        <v/>
      </c>
      <c r="Z66" s="19" t="n">
        <f aca="false">I66</f>
        <v>180</v>
      </c>
      <c r="AA66" s="19" t="n">
        <f aca="false">SMALL($Z$20:$Z$199,47)</f>
        <v>128</v>
      </c>
      <c r="AB66" s="19" t="str">
        <f aca="false">IF(47-COUNTIF($Z$20:$Z$199,"&lt;"&amp;AA66)=1,IF(COUNTIF($I$20:$I$109,AA66)&gt;0,"FT","PT"),"PT")</f>
        <v>PT</v>
      </c>
      <c r="AC66" s="19" t="n">
        <f aca="false">IF(AB66="FT",INDEX($N$20:$N$109,MATCH(AA66,$I$20:$I$109,0)),1)</f>
        <v>1</v>
      </c>
    </row>
    <row r="67" customFormat="false" ht="15" hidden="false" customHeight="false" outlineLevel="0" collapsed="false">
      <c r="H67" s="16" t="n">
        <v>48</v>
      </c>
      <c r="I67" s="16" t="n">
        <f aca="false">IF(47&lt;FT_PreY5,FT_First+FT_Int1*47,FT_Y5+FT_Int2*(47-FT_PreY5))</f>
        <v>183</v>
      </c>
      <c r="J67" s="16" t="str">
        <f aca="false">INT(I67/12)&amp;"y "&amp;MOD(I67,12)&amp;"m"</f>
        <v>15y 3m</v>
      </c>
      <c r="K67" s="14" t="str">
        <f aca="false">IF(OR($C$6&lt;&gt;"Yes",$C$8=""),"",EDATE($C$8,I67))</f>
        <v/>
      </c>
      <c r="L67" s="16" t="str">
        <f aca="false">IF(K67="","",IF($C$16=0,$C$9,IF(AND($C$14&lt;&gt;"",K67&gt;=$C$14),$C$15,IF(AND($C$12&lt;&gt;"",K67&gt;=$C$12),$C$13,$C$11))))</f>
        <v/>
      </c>
      <c r="M67" s="16" t="str">
        <f aca="false">IF(K67="","",IF(OR(ISNUMBER(SEARCH("full",L67)),UPPER(TRIM(L67))="FT",UPPER(TRIM(L67))="FTE"),"FT",IF(AND(OR(ISNUMBER(SEARCH("part",L67)),UPPER(TRIM(L67))="PT",UPPER(TRIM(L67))="PTE"),Apply2026="Yes",OR($C$10="",N($C$10)&gt;=PT_MinHours)),"PT","None")))</f>
        <v/>
      </c>
      <c r="N67" s="16" t="n">
        <f aca="false">IF(I67&lt;FT_Y5,1,IF(MOD(I67-FT_Y5,12)=0,FT_AnnivDays,1))</f>
        <v>1</v>
      </c>
      <c r="O67" s="16" t="str">
        <f aca="false">IF(K67="","",IF(AND(M67="FT",K67&lt;=AsOfDate,K67&gt;=SchemeStart),IF(AND("FT"="FT",I67=FT_Y5,K67&lt;PolicyEff),1,N67),0))</f>
        <v/>
      </c>
      <c r="P67" s="16" t="str">
        <f aca="false">IF(K67="","",IF(N(O67)&gt;0,"",IF(K67&lt;SchemeStart,"before scheme start",IF(K67&gt;AsOfDate,"future",IF(M67&lt;&gt;"FT","not " &amp; IF("FT"="FT","full-time","eligible part-time") &amp; " on that date","")))))</f>
        <v/>
      </c>
      <c r="Q67" s="16" t="n">
        <v>48</v>
      </c>
      <c r="R67" s="16" t="n">
        <f aca="false">PT_First+PT_Int*47</f>
        <v>248</v>
      </c>
      <c r="S67" s="16" t="str">
        <f aca="false">INT(R67/12)&amp;"y "&amp;MOD(R67,12)&amp;"m"</f>
        <v>20y 8m</v>
      </c>
      <c r="T67" s="14" t="str">
        <f aca="false">IF(OR($C$6&lt;&gt;"Yes",$C$8=""),"",EDATE($C$8,R67))</f>
        <v/>
      </c>
      <c r="U67" s="16" t="str">
        <f aca="false">IF(T67="","",IF($C$16=0,$C$9,IF(AND($C$14&lt;&gt;"",T67&gt;=$C$14),$C$15,IF(AND($C$12&lt;&gt;"",T67&gt;=$C$12),$C$13,$C$11))))</f>
        <v/>
      </c>
      <c r="V67" s="16" t="str">
        <f aca="false">IF(T67="","",IF(OR(ISNUMBER(SEARCH("full",U67)),UPPER(TRIM(U67))="FT",UPPER(TRIM(U67))="FTE"),"FT",IF(AND(OR(ISNUMBER(SEARCH("part",U67)),UPPER(TRIM(U67))="PT",UPPER(TRIM(U67))="PTE"),Apply2026="Yes",OR($C$10="",N($C$10)&gt;=PT_MinHours)),"PT","None")))</f>
        <v/>
      </c>
      <c r="W67" s="16" t="n">
        <v>1</v>
      </c>
      <c r="X67" s="16" t="str">
        <f aca="false">IF(T67="","",IF(AND(V67="PT",T67&lt;=AsOfDate,T67&gt;=SchemeStart),IF(AND("PT"="FT",R67=FT_Y5,T67&lt;PolicyEff),1,W67),0))</f>
        <v/>
      </c>
      <c r="Y67" s="16" t="str">
        <f aca="false">IF(T67="","",IF(N(X67)&gt;0,"",IF(T67&lt;SchemeStart,"before scheme start",IF(T67&gt;AsOfDate,"future",IF(V67&lt;&gt;"PT","not " &amp; IF("PT"="FT","full-time","eligible part-time") &amp; " on that date","")))))</f>
        <v/>
      </c>
      <c r="Z67" s="19" t="n">
        <f aca="false">I67</f>
        <v>183</v>
      </c>
      <c r="AA67" s="19" t="n">
        <f aca="false">SMALL($Z$20:$Z$199,48)</f>
        <v>129</v>
      </c>
      <c r="AB67" s="19" t="str">
        <f aca="false">IF(48-COUNTIF($Z$20:$Z$199,"&lt;"&amp;AA67)=1,IF(COUNTIF($I$20:$I$109,AA67)&gt;0,"FT","PT"),"PT")</f>
        <v>FT</v>
      </c>
      <c r="AC67" s="19" t="n">
        <f aca="false">IF(AB67="FT",INDEX($N$20:$N$109,MATCH(AA67,$I$20:$I$109,0)),1)</f>
        <v>1</v>
      </c>
    </row>
    <row r="68" customFormat="false" ht="15" hidden="false" customHeight="false" outlineLevel="0" collapsed="false">
      <c r="H68" s="16" t="n">
        <v>49</v>
      </c>
      <c r="I68" s="16" t="n">
        <f aca="false">IF(48&lt;FT_PreY5,FT_First+FT_Int1*48,FT_Y5+FT_Int2*(48-FT_PreY5))</f>
        <v>186</v>
      </c>
      <c r="J68" s="16" t="str">
        <f aca="false">INT(I68/12)&amp;"y "&amp;MOD(I68,12)&amp;"m"</f>
        <v>15y 6m</v>
      </c>
      <c r="K68" s="14" t="str">
        <f aca="false">IF(OR($C$6&lt;&gt;"Yes",$C$8=""),"",EDATE($C$8,I68))</f>
        <v/>
      </c>
      <c r="L68" s="16" t="str">
        <f aca="false">IF(K68="","",IF($C$16=0,$C$9,IF(AND($C$14&lt;&gt;"",K68&gt;=$C$14),$C$15,IF(AND($C$12&lt;&gt;"",K68&gt;=$C$12),$C$13,$C$11))))</f>
        <v/>
      </c>
      <c r="M68" s="16" t="str">
        <f aca="false">IF(K68="","",IF(OR(ISNUMBER(SEARCH("full",L68)),UPPER(TRIM(L68))="FT",UPPER(TRIM(L68))="FTE"),"FT",IF(AND(OR(ISNUMBER(SEARCH("part",L68)),UPPER(TRIM(L68))="PT",UPPER(TRIM(L68))="PTE"),Apply2026="Yes",OR($C$10="",N($C$10)&gt;=PT_MinHours)),"PT","None")))</f>
        <v/>
      </c>
      <c r="N68" s="16" t="n">
        <f aca="false">IF(I68&lt;FT_Y5,1,IF(MOD(I68-FT_Y5,12)=0,FT_AnnivDays,1))</f>
        <v>1</v>
      </c>
      <c r="O68" s="16" t="str">
        <f aca="false">IF(K68="","",IF(AND(M68="FT",K68&lt;=AsOfDate,K68&gt;=SchemeStart),IF(AND("FT"="FT",I68=FT_Y5,K68&lt;PolicyEff),1,N68),0))</f>
        <v/>
      </c>
      <c r="P68" s="16" t="str">
        <f aca="false">IF(K68="","",IF(N(O68)&gt;0,"",IF(K68&lt;SchemeStart,"before scheme start",IF(K68&gt;AsOfDate,"future",IF(M68&lt;&gt;"FT","not " &amp; IF("FT"="FT","full-time","eligible part-time") &amp; " on that date","")))))</f>
        <v/>
      </c>
      <c r="Q68" s="16" t="n">
        <v>49</v>
      </c>
      <c r="R68" s="16" t="n">
        <f aca="false">PT_First+PT_Int*48</f>
        <v>252</v>
      </c>
      <c r="S68" s="16" t="str">
        <f aca="false">INT(R68/12)&amp;"y "&amp;MOD(R68,12)&amp;"m"</f>
        <v>21y 0m</v>
      </c>
      <c r="T68" s="14" t="str">
        <f aca="false">IF(OR($C$6&lt;&gt;"Yes",$C$8=""),"",EDATE($C$8,R68))</f>
        <v/>
      </c>
      <c r="U68" s="16" t="str">
        <f aca="false">IF(T68="","",IF($C$16=0,$C$9,IF(AND($C$14&lt;&gt;"",T68&gt;=$C$14),$C$15,IF(AND($C$12&lt;&gt;"",T68&gt;=$C$12),$C$13,$C$11))))</f>
        <v/>
      </c>
      <c r="V68" s="16" t="str">
        <f aca="false">IF(T68="","",IF(OR(ISNUMBER(SEARCH("full",U68)),UPPER(TRIM(U68))="FT",UPPER(TRIM(U68))="FTE"),"FT",IF(AND(OR(ISNUMBER(SEARCH("part",U68)),UPPER(TRIM(U68))="PT",UPPER(TRIM(U68))="PTE"),Apply2026="Yes",OR($C$10="",N($C$10)&gt;=PT_MinHours)),"PT","None")))</f>
        <v/>
      </c>
      <c r="W68" s="16" t="n">
        <v>1</v>
      </c>
      <c r="X68" s="16" t="str">
        <f aca="false">IF(T68="","",IF(AND(V68="PT",T68&lt;=AsOfDate,T68&gt;=SchemeStart),IF(AND("PT"="FT",R68=FT_Y5,T68&lt;PolicyEff),1,W68),0))</f>
        <v/>
      </c>
      <c r="Y68" s="16" t="str">
        <f aca="false">IF(T68="","",IF(N(X68)&gt;0,"",IF(T68&lt;SchemeStart,"before scheme start",IF(T68&gt;AsOfDate,"future",IF(V68&lt;&gt;"PT","not " &amp; IF("PT"="FT","full-time","eligible part-time") &amp; " on that date","")))))</f>
        <v/>
      </c>
      <c r="Z68" s="19" t="n">
        <f aca="false">I68</f>
        <v>186</v>
      </c>
      <c r="AA68" s="19" t="n">
        <f aca="false">SMALL($Z$20:$Z$199,49)</f>
        <v>132</v>
      </c>
      <c r="AB68" s="19" t="str">
        <f aca="false">IF(49-COUNTIF($Z$20:$Z$199,"&lt;"&amp;AA68)=1,IF(COUNTIF($I$20:$I$109,AA68)&gt;0,"FT","PT"),"PT")</f>
        <v>FT</v>
      </c>
      <c r="AC68" s="19" t="n">
        <f aca="false">IF(AB68="FT",INDEX($N$20:$N$109,MATCH(AA68,$I$20:$I$109,0)),1)</f>
        <v>2</v>
      </c>
    </row>
    <row r="69" customFormat="false" ht="15" hidden="false" customHeight="false" outlineLevel="0" collapsed="false">
      <c r="H69" s="16" t="n">
        <v>50</v>
      </c>
      <c r="I69" s="16" t="n">
        <f aca="false">IF(49&lt;FT_PreY5,FT_First+FT_Int1*49,FT_Y5+FT_Int2*(49-FT_PreY5))</f>
        <v>189</v>
      </c>
      <c r="J69" s="16" t="str">
        <f aca="false">INT(I69/12)&amp;"y "&amp;MOD(I69,12)&amp;"m"</f>
        <v>15y 9m</v>
      </c>
      <c r="K69" s="14" t="str">
        <f aca="false">IF(OR($C$6&lt;&gt;"Yes",$C$8=""),"",EDATE($C$8,I69))</f>
        <v/>
      </c>
      <c r="L69" s="16" t="str">
        <f aca="false">IF(K69="","",IF($C$16=0,$C$9,IF(AND($C$14&lt;&gt;"",K69&gt;=$C$14),$C$15,IF(AND($C$12&lt;&gt;"",K69&gt;=$C$12),$C$13,$C$11))))</f>
        <v/>
      </c>
      <c r="M69" s="16" t="str">
        <f aca="false">IF(K69="","",IF(OR(ISNUMBER(SEARCH("full",L69)),UPPER(TRIM(L69))="FT",UPPER(TRIM(L69))="FTE"),"FT",IF(AND(OR(ISNUMBER(SEARCH("part",L69)),UPPER(TRIM(L69))="PT",UPPER(TRIM(L69))="PTE"),Apply2026="Yes",OR($C$10="",N($C$10)&gt;=PT_MinHours)),"PT","None")))</f>
        <v/>
      </c>
      <c r="N69" s="16" t="n">
        <f aca="false">IF(I69&lt;FT_Y5,1,IF(MOD(I69-FT_Y5,12)=0,FT_AnnivDays,1))</f>
        <v>1</v>
      </c>
      <c r="O69" s="16" t="str">
        <f aca="false">IF(K69="","",IF(AND(M69="FT",K69&lt;=AsOfDate,K69&gt;=SchemeStart),IF(AND("FT"="FT",I69=FT_Y5,K69&lt;PolicyEff),1,N69),0))</f>
        <v/>
      </c>
      <c r="P69" s="16" t="str">
        <f aca="false">IF(K69="","",IF(N(O69)&gt;0,"",IF(K69&lt;SchemeStart,"before scheme start",IF(K69&gt;AsOfDate,"future",IF(M69&lt;&gt;"FT","not " &amp; IF("FT"="FT","full-time","eligible part-time") &amp; " on that date","")))))</f>
        <v/>
      </c>
      <c r="Q69" s="16" t="n">
        <v>50</v>
      </c>
      <c r="R69" s="16" t="n">
        <f aca="false">PT_First+PT_Int*49</f>
        <v>256</v>
      </c>
      <c r="S69" s="16" t="str">
        <f aca="false">INT(R69/12)&amp;"y "&amp;MOD(R69,12)&amp;"m"</f>
        <v>21y 4m</v>
      </c>
      <c r="T69" s="14" t="str">
        <f aca="false">IF(OR($C$6&lt;&gt;"Yes",$C$8=""),"",EDATE($C$8,R69))</f>
        <v/>
      </c>
      <c r="U69" s="16" t="str">
        <f aca="false">IF(T69="","",IF($C$16=0,$C$9,IF(AND($C$14&lt;&gt;"",T69&gt;=$C$14),$C$15,IF(AND($C$12&lt;&gt;"",T69&gt;=$C$12),$C$13,$C$11))))</f>
        <v/>
      </c>
      <c r="V69" s="16" t="str">
        <f aca="false">IF(T69="","",IF(OR(ISNUMBER(SEARCH("full",U69)),UPPER(TRIM(U69))="FT",UPPER(TRIM(U69))="FTE"),"FT",IF(AND(OR(ISNUMBER(SEARCH("part",U69)),UPPER(TRIM(U69))="PT",UPPER(TRIM(U69))="PTE"),Apply2026="Yes",OR($C$10="",N($C$10)&gt;=PT_MinHours)),"PT","None")))</f>
        <v/>
      </c>
      <c r="W69" s="16" t="n">
        <v>1</v>
      </c>
      <c r="X69" s="16" t="str">
        <f aca="false">IF(T69="","",IF(AND(V69="PT",T69&lt;=AsOfDate,T69&gt;=SchemeStart),IF(AND("PT"="FT",R69=FT_Y5,T69&lt;PolicyEff),1,W69),0))</f>
        <v/>
      </c>
      <c r="Y69" s="16" t="str">
        <f aca="false">IF(T69="","",IF(N(X69)&gt;0,"",IF(T69&lt;SchemeStart,"before scheme start",IF(T69&gt;AsOfDate,"future",IF(V69&lt;&gt;"PT","not " &amp; IF("PT"="FT","full-time","eligible part-time") &amp; " on that date","")))))</f>
        <v/>
      </c>
      <c r="Z69" s="19" t="n">
        <f aca="false">I69</f>
        <v>189</v>
      </c>
      <c r="AA69" s="19" t="n">
        <f aca="false">SMALL($Z$20:$Z$199,50)</f>
        <v>132</v>
      </c>
      <c r="AB69" s="19" t="str">
        <f aca="false">IF(50-COUNTIF($Z$20:$Z$199,"&lt;"&amp;AA69)=1,IF(COUNTIF($I$20:$I$109,AA69)&gt;0,"FT","PT"),"PT")</f>
        <v>PT</v>
      </c>
      <c r="AC69" s="19" t="n">
        <f aca="false">IF(AB69="FT",INDEX($N$20:$N$109,MATCH(AA69,$I$20:$I$109,0)),1)</f>
        <v>1</v>
      </c>
    </row>
    <row r="70" customFormat="false" ht="15" hidden="false" customHeight="false" outlineLevel="0" collapsed="false">
      <c r="H70" s="16" t="n">
        <v>51</v>
      </c>
      <c r="I70" s="16" t="n">
        <f aca="false">IF(50&lt;FT_PreY5,FT_First+FT_Int1*50,FT_Y5+FT_Int2*(50-FT_PreY5))</f>
        <v>192</v>
      </c>
      <c r="J70" s="16" t="str">
        <f aca="false">INT(I70/12)&amp;"y "&amp;MOD(I70,12)&amp;"m"</f>
        <v>16y 0m</v>
      </c>
      <c r="K70" s="14" t="str">
        <f aca="false">IF(OR($C$6&lt;&gt;"Yes",$C$8=""),"",EDATE($C$8,I70))</f>
        <v/>
      </c>
      <c r="L70" s="16" t="str">
        <f aca="false">IF(K70="","",IF($C$16=0,$C$9,IF(AND($C$14&lt;&gt;"",K70&gt;=$C$14),$C$15,IF(AND($C$12&lt;&gt;"",K70&gt;=$C$12),$C$13,$C$11))))</f>
        <v/>
      </c>
      <c r="M70" s="16" t="str">
        <f aca="false">IF(K70="","",IF(OR(ISNUMBER(SEARCH("full",L70)),UPPER(TRIM(L70))="FT",UPPER(TRIM(L70))="FTE"),"FT",IF(AND(OR(ISNUMBER(SEARCH("part",L70)),UPPER(TRIM(L70))="PT",UPPER(TRIM(L70))="PTE"),Apply2026="Yes",OR($C$10="",N($C$10)&gt;=PT_MinHours)),"PT","None")))</f>
        <v/>
      </c>
      <c r="N70" s="16" t="n">
        <f aca="false">IF(I70&lt;FT_Y5,1,IF(MOD(I70-FT_Y5,12)=0,FT_AnnivDays,1))</f>
        <v>2</v>
      </c>
      <c r="O70" s="16" t="str">
        <f aca="false">IF(K70="","",IF(AND(M70="FT",K70&lt;=AsOfDate,K70&gt;=SchemeStart),IF(AND("FT"="FT",I70=FT_Y5,K70&lt;PolicyEff),1,N70),0))</f>
        <v/>
      </c>
      <c r="P70" s="16" t="str">
        <f aca="false">IF(K70="","",IF(N(O70)&gt;0,"",IF(K70&lt;SchemeStart,"before scheme start",IF(K70&gt;AsOfDate,"future",IF(M70&lt;&gt;"FT","not " &amp; IF("FT"="FT","full-time","eligible part-time") &amp; " on that date","")))))</f>
        <v/>
      </c>
      <c r="Q70" s="16" t="n">
        <v>51</v>
      </c>
      <c r="R70" s="16" t="n">
        <f aca="false">PT_First+PT_Int*50</f>
        <v>260</v>
      </c>
      <c r="S70" s="16" t="str">
        <f aca="false">INT(R70/12)&amp;"y "&amp;MOD(R70,12)&amp;"m"</f>
        <v>21y 8m</v>
      </c>
      <c r="T70" s="14" t="str">
        <f aca="false">IF(OR($C$6&lt;&gt;"Yes",$C$8=""),"",EDATE($C$8,R70))</f>
        <v/>
      </c>
      <c r="U70" s="16" t="str">
        <f aca="false">IF(T70="","",IF($C$16=0,$C$9,IF(AND($C$14&lt;&gt;"",T70&gt;=$C$14),$C$15,IF(AND($C$12&lt;&gt;"",T70&gt;=$C$12),$C$13,$C$11))))</f>
        <v/>
      </c>
      <c r="V70" s="16" t="str">
        <f aca="false">IF(T70="","",IF(OR(ISNUMBER(SEARCH("full",U70)),UPPER(TRIM(U70))="FT",UPPER(TRIM(U70))="FTE"),"FT",IF(AND(OR(ISNUMBER(SEARCH("part",U70)),UPPER(TRIM(U70))="PT",UPPER(TRIM(U70))="PTE"),Apply2026="Yes",OR($C$10="",N($C$10)&gt;=PT_MinHours)),"PT","None")))</f>
        <v/>
      </c>
      <c r="W70" s="16" t="n">
        <v>1</v>
      </c>
      <c r="X70" s="16" t="str">
        <f aca="false">IF(T70="","",IF(AND(V70="PT",T70&lt;=AsOfDate,T70&gt;=SchemeStart),IF(AND("PT"="FT",R70=FT_Y5,T70&lt;PolicyEff),1,W70),0))</f>
        <v/>
      </c>
      <c r="Y70" s="16" t="str">
        <f aca="false">IF(T70="","",IF(N(X70)&gt;0,"",IF(T70&lt;SchemeStart,"before scheme start",IF(T70&gt;AsOfDate,"future",IF(V70&lt;&gt;"PT","not " &amp; IF("PT"="FT","full-time","eligible part-time") &amp; " on that date","")))))</f>
        <v/>
      </c>
      <c r="Z70" s="19" t="n">
        <f aca="false">I70</f>
        <v>192</v>
      </c>
      <c r="AA70" s="19" t="n">
        <f aca="false">SMALL($Z$20:$Z$199,51)</f>
        <v>135</v>
      </c>
      <c r="AB70" s="19" t="str">
        <f aca="false">IF(51-COUNTIF($Z$20:$Z$199,"&lt;"&amp;AA70)=1,IF(COUNTIF($I$20:$I$109,AA70)&gt;0,"FT","PT"),"PT")</f>
        <v>FT</v>
      </c>
      <c r="AC70" s="19" t="n">
        <f aca="false">IF(AB70="FT",INDEX($N$20:$N$109,MATCH(AA70,$I$20:$I$109,0)),1)</f>
        <v>1</v>
      </c>
    </row>
    <row r="71" customFormat="false" ht="15" hidden="false" customHeight="false" outlineLevel="0" collapsed="false">
      <c r="H71" s="16" t="n">
        <v>52</v>
      </c>
      <c r="I71" s="16" t="n">
        <f aca="false">IF(51&lt;FT_PreY5,FT_First+FT_Int1*51,FT_Y5+FT_Int2*(51-FT_PreY5))</f>
        <v>195</v>
      </c>
      <c r="J71" s="16" t="str">
        <f aca="false">INT(I71/12)&amp;"y "&amp;MOD(I71,12)&amp;"m"</f>
        <v>16y 3m</v>
      </c>
      <c r="K71" s="14" t="str">
        <f aca="false">IF(OR($C$6&lt;&gt;"Yes",$C$8=""),"",EDATE($C$8,I71))</f>
        <v/>
      </c>
      <c r="L71" s="16" t="str">
        <f aca="false">IF(K71="","",IF($C$16=0,$C$9,IF(AND($C$14&lt;&gt;"",K71&gt;=$C$14),$C$15,IF(AND($C$12&lt;&gt;"",K71&gt;=$C$12),$C$13,$C$11))))</f>
        <v/>
      </c>
      <c r="M71" s="16" t="str">
        <f aca="false">IF(K71="","",IF(OR(ISNUMBER(SEARCH("full",L71)),UPPER(TRIM(L71))="FT",UPPER(TRIM(L71))="FTE"),"FT",IF(AND(OR(ISNUMBER(SEARCH("part",L71)),UPPER(TRIM(L71))="PT",UPPER(TRIM(L71))="PTE"),Apply2026="Yes",OR($C$10="",N($C$10)&gt;=PT_MinHours)),"PT","None")))</f>
        <v/>
      </c>
      <c r="N71" s="16" t="n">
        <f aca="false">IF(I71&lt;FT_Y5,1,IF(MOD(I71-FT_Y5,12)=0,FT_AnnivDays,1))</f>
        <v>1</v>
      </c>
      <c r="O71" s="16" t="str">
        <f aca="false">IF(K71="","",IF(AND(M71="FT",K71&lt;=AsOfDate,K71&gt;=SchemeStart),IF(AND("FT"="FT",I71=FT_Y5,K71&lt;PolicyEff),1,N71),0))</f>
        <v/>
      </c>
      <c r="P71" s="16" t="str">
        <f aca="false">IF(K71="","",IF(N(O71)&gt;0,"",IF(K71&lt;SchemeStart,"before scheme start",IF(K71&gt;AsOfDate,"future",IF(M71&lt;&gt;"FT","not " &amp; IF("FT"="FT","full-time","eligible part-time") &amp; " on that date","")))))</f>
        <v/>
      </c>
      <c r="Q71" s="16" t="n">
        <v>52</v>
      </c>
      <c r="R71" s="16" t="n">
        <f aca="false">PT_First+PT_Int*51</f>
        <v>264</v>
      </c>
      <c r="S71" s="16" t="str">
        <f aca="false">INT(R71/12)&amp;"y "&amp;MOD(R71,12)&amp;"m"</f>
        <v>22y 0m</v>
      </c>
      <c r="T71" s="14" t="str">
        <f aca="false">IF(OR($C$6&lt;&gt;"Yes",$C$8=""),"",EDATE($C$8,R71))</f>
        <v/>
      </c>
      <c r="U71" s="16" t="str">
        <f aca="false">IF(T71="","",IF($C$16=0,$C$9,IF(AND($C$14&lt;&gt;"",T71&gt;=$C$14),$C$15,IF(AND($C$12&lt;&gt;"",T71&gt;=$C$12),$C$13,$C$11))))</f>
        <v/>
      </c>
      <c r="V71" s="16" t="str">
        <f aca="false">IF(T71="","",IF(OR(ISNUMBER(SEARCH("full",U71)),UPPER(TRIM(U71))="FT",UPPER(TRIM(U71))="FTE"),"FT",IF(AND(OR(ISNUMBER(SEARCH("part",U71)),UPPER(TRIM(U71))="PT",UPPER(TRIM(U71))="PTE"),Apply2026="Yes",OR($C$10="",N($C$10)&gt;=PT_MinHours)),"PT","None")))</f>
        <v/>
      </c>
      <c r="W71" s="16" t="n">
        <v>1</v>
      </c>
      <c r="X71" s="16" t="str">
        <f aca="false">IF(T71="","",IF(AND(V71="PT",T71&lt;=AsOfDate,T71&gt;=SchemeStart),IF(AND("PT"="FT",R71=FT_Y5,T71&lt;PolicyEff),1,W71),0))</f>
        <v/>
      </c>
      <c r="Y71" s="16" t="str">
        <f aca="false">IF(T71="","",IF(N(X71)&gt;0,"",IF(T71&lt;SchemeStart,"before scheme start",IF(T71&gt;AsOfDate,"future",IF(V71&lt;&gt;"PT","not " &amp; IF("PT"="FT","full-time","eligible part-time") &amp; " on that date","")))))</f>
        <v/>
      </c>
      <c r="Z71" s="19" t="n">
        <f aca="false">I71</f>
        <v>195</v>
      </c>
      <c r="AA71" s="19" t="n">
        <f aca="false">SMALL($Z$20:$Z$199,52)</f>
        <v>136</v>
      </c>
      <c r="AB71" s="19" t="str">
        <f aca="false">IF(52-COUNTIF($Z$20:$Z$199,"&lt;"&amp;AA71)=1,IF(COUNTIF($I$20:$I$109,AA71)&gt;0,"FT","PT"),"PT")</f>
        <v>PT</v>
      </c>
      <c r="AC71" s="19" t="n">
        <f aca="false">IF(AB71="FT",INDEX($N$20:$N$109,MATCH(AA71,$I$20:$I$109,0)),1)</f>
        <v>1</v>
      </c>
    </row>
    <row r="72" customFormat="false" ht="15" hidden="false" customHeight="false" outlineLevel="0" collapsed="false">
      <c r="H72" s="16" t="n">
        <v>53</v>
      </c>
      <c r="I72" s="16" t="n">
        <f aca="false">IF(52&lt;FT_PreY5,FT_First+FT_Int1*52,FT_Y5+FT_Int2*(52-FT_PreY5))</f>
        <v>198</v>
      </c>
      <c r="J72" s="16" t="str">
        <f aca="false">INT(I72/12)&amp;"y "&amp;MOD(I72,12)&amp;"m"</f>
        <v>16y 6m</v>
      </c>
      <c r="K72" s="14" t="str">
        <f aca="false">IF(OR($C$6&lt;&gt;"Yes",$C$8=""),"",EDATE($C$8,I72))</f>
        <v/>
      </c>
      <c r="L72" s="16" t="str">
        <f aca="false">IF(K72="","",IF($C$16=0,$C$9,IF(AND($C$14&lt;&gt;"",K72&gt;=$C$14),$C$15,IF(AND($C$12&lt;&gt;"",K72&gt;=$C$12),$C$13,$C$11))))</f>
        <v/>
      </c>
      <c r="M72" s="16" t="str">
        <f aca="false">IF(K72="","",IF(OR(ISNUMBER(SEARCH("full",L72)),UPPER(TRIM(L72))="FT",UPPER(TRIM(L72))="FTE"),"FT",IF(AND(OR(ISNUMBER(SEARCH("part",L72)),UPPER(TRIM(L72))="PT",UPPER(TRIM(L72))="PTE"),Apply2026="Yes",OR($C$10="",N($C$10)&gt;=PT_MinHours)),"PT","None")))</f>
        <v/>
      </c>
      <c r="N72" s="16" t="n">
        <f aca="false">IF(I72&lt;FT_Y5,1,IF(MOD(I72-FT_Y5,12)=0,FT_AnnivDays,1))</f>
        <v>1</v>
      </c>
      <c r="O72" s="16" t="str">
        <f aca="false">IF(K72="","",IF(AND(M72="FT",K72&lt;=AsOfDate,K72&gt;=SchemeStart),IF(AND("FT"="FT",I72=FT_Y5,K72&lt;PolicyEff),1,N72),0))</f>
        <v/>
      </c>
      <c r="P72" s="16" t="str">
        <f aca="false">IF(K72="","",IF(N(O72)&gt;0,"",IF(K72&lt;SchemeStart,"before scheme start",IF(K72&gt;AsOfDate,"future",IF(M72&lt;&gt;"FT","not " &amp; IF("FT"="FT","full-time","eligible part-time") &amp; " on that date","")))))</f>
        <v/>
      </c>
      <c r="Q72" s="16" t="n">
        <v>53</v>
      </c>
      <c r="R72" s="16" t="n">
        <f aca="false">PT_First+PT_Int*52</f>
        <v>268</v>
      </c>
      <c r="S72" s="16" t="str">
        <f aca="false">INT(R72/12)&amp;"y "&amp;MOD(R72,12)&amp;"m"</f>
        <v>22y 4m</v>
      </c>
      <c r="T72" s="14" t="str">
        <f aca="false">IF(OR($C$6&lt;&gt;"Yes",$C$8=""),"",EDATE($C$8,R72))</f>
        <v/>
      </c>
      <c r="U72" s="16" t="str">
        <f aca="false">IF(T72="","",IF($C$16=0,$C$9,IF(AND($C$14&lt;&gt;"",T72&gt;=$C$14),$C$15,IF(AND($C$12&lt;&gt;"",T72&gt;=$C$12),$C$13,$C$11))))</f>
        <v/>
      </c>
      <c r="V72" s="16" t="str">
        <f aca="false">IF(T72="","",IF(OR(ISNUMBER(SEARCH("full",U72)),UPPER(TRIM(U72))="FT",UPPER(TRIM(U72))="FTE"),"FT",IF(AND(OR(ISNUMBER(SEARCH("part",U72)),UPPER(TRIM(U72))="PT",UPPER(TRIM(U72))="PTE"),Apply2026="Yes",OR($C$10="",N($C$10)&gt;=PT_MinHours)),"PT","None")))</f>
        <v/>
      </c>
      <c r="W72" s="16" t="n">
        <v>1</v>
      </c>
      <c r="X72" s="16" t="str">
        <f aca="false">IF(T72="","",IF(AND(V72="PT",T72&lt;=AsOfDate,T72&gt;=SchemeStart),IF(AND("PT"="FT",R72=FT_Y5,T72&lt;PolicyEff),1,W72),0))</f>
        <v/>
      </c>
      <c r="Y72" s="16" t="str">
        <f aca="false">IF(T72="","",IF(N(X72)&gt;0,"",IF(T72&lt;SchemeStart,"before scheme start",IF(T72&gt;AsOfDate,"future",IF(V72&lt;&gt;"PT","not " &amp; IF("PT"="FT","full-time","eligible part-time") &amp; " on that date","")))))</f>
        <v/>
      </c>
      <c r="Z72" s="19" t="n">
        <f aca="false">I72</f>
        <v>198</v>
      </c>
      <c r="AA72" s="19" t="n">
        <f aca="false">SMALL($Z$20:$Z$199,53)</f>
        <v>138</v>
      </c>
      <c r="AB72" s="19" t="str">
        <f aca="false">IF(53-COUNTIF($Z$20:$Z$199,"&lt;"&amp;AA72)=1,IF(COUNTIF($I$20:$I$109,AA72)&gt;0,"FT","PT"),"PT")</f>
        <v>FT</v>
      </c>
      <c r="AC72" s="19" t="n">
        <f aca="false">IF(AB72="FT",INDEX($N$20:$N$109,MATCH(AA72,$I$20:$I$109,0)),1)</f>
        <v>1</v>
      </c>
    </row>
    <row r="73" customFormat="false" ht="15" hidden="false" customHeight="false" outlineLevel="0" collapsed="false">
      <c r="H73" s="16" t="n">
        <v>54</v>
      </c>
      <c r="I73" s="16" t="n">
        <f aca="false">IF(53&lt;FT_PreY5,FT_First+FT_Int1*53,FT_Y5+FT_Int2*(53-FT_PreY5))</f>
        <v>201</v>
      </c>
      <c r="J73" s="16" t="str">
        <f aca="false">INT(I73/12)&amp;"y "&amp;MOD(I73,12)&amp;"m"</f>
        <v>16y 9m</v>
      </c>
      <c r="K73" s="14" t="str">
        <f aca="false">IF(OR($C$6&lt;&gt;"Yes",$C$8=""),"",EDATE($C$8,I73))</f>
        <v/>
      </c>
      <c r="L73" s="16" t="str">
        <f aca="false">IF(K73="","",IF($C$16=0,$C$9,IF(AND($C$14&lt;&gt;"",K73&gt;=$C$14),$C$15,IF(AND($C$12&lt;&gt;"",K73&gt;=$C$12),$C$13,$C$11))))</f>
        <v/>
      </c>
      <c r="M73" s="16" t="str">
        <f aca="false">IF(K73="","",IF(OR(ISNUMBER(SEARCH("full",L73)),UPPER(TRIM(L73))="FT",UPPER(TRIM(L73))="FTE"),"FT",IF(AND(OR(ISNUMBER(SEARCH("part",L73)),UPPER(TRIM(L73))="PT",UPPER(TRIM(L73))="PTE"),Apply2026="Yes",OR($C$10="",N($C$10)&gt;=PT_MinHours)),"PT","None")))</f>
        <v/>
      </c>
      <c r="N73" s="16" t="n">
        <f aca="false">IF(I73&lt;FT_Y5,1,IF(MOD(I73-FT_Y5,12)=0,FT_AnnivDays,1))</f>
        <v>1</v>
      </c>
      <c r="O73" s="16" t="str">
        <f aca="false">IF(K73="","",IF(AND(M73="FT",K73&lt;=AsOfDate,K73&gt;=SchemeStart),IF(AND("FT"="FT",I73=FT_Y5,K73&lt;PolicyEff),1,N73),0))</f>
        <v/>
      </c>
      <c r="P73" s="16" t="str">
        <f aca="false">IF(K73="","",IF(N(O73)&gt;0,"",IF(K73&lt;SchemeStart,"before scheme start",IF(K73&gt;AsOfDate,"future",IF(M73&lt;&gt;"FT","not " &amp; IF("FT"="FT","full-time","eligible part-time") &amp; " on that date","")))))</f>
        <v/>
      </c>
      <c r="Q73" s="16" t="n">
        <v>54</v>
      </c>
      <c r="R73" s="16" t="n">
        <f aca="false">PT_First+PT_Int*53</f>
        <v>272</v>
      </c>
      <c r="S73" s="16" t="str">
        <f aca="false">INT(R73/12)&amp;"y "&amp;MOD(R73,12)&amp;"m"</f>
        <v>22y 8m</v>
      </c>
      <c r="T73" s="14" t="str">
        <f aca="false">IF(OR($C$6&lt;&gt;"Yes",$C$8=""),"",EDATE($C$8,R73))</f>
        <v/>
      </c>
      <c r="U73" s="16" t="str">
        <f aca="false">IF(T73="","",IF($C$16=0,$C$9,IF(AND($C$14&lt;&gt;"",T73&gt;=$C$14),$C$15,IF(AND($C$12&lt;&gt;"",T73&gt;=$C$12),$C$13,$C$11))))</f>
        <v/>
      </c>
      <c r="V73" s="16" t="str">
        <f aca="false">IF(T73="","",IF(OR(ISNUMBER(SEARCH("full",U73)),UPPER(TRIM(U73))="FT",UPPER(TRIM(U73))="FTE"),"FT",IF(AND(OR(ISNUMBER(SEARCH("part",U73)),UPPER(TRIM(U73))="PT",UPPER(TRIM(U73))="PTE"),Apply2026="Yes",OR($C$10="",N($C$10)&gt;=PT_MinHours)),"PT","None")))</f>
        <v/>
      </c>
      <c r="W73" s="16" t="n">
        <v>1</v>
      </c>
      <c r="X73" s="16" t="str">
        <f aca="false">IF(T73="","",IF(AND(V73="PT",T73&lt;=AsOfDate,T73&gt;=SchemeStart),IF(AND("PT"="FT",R73=FT_Y5,T73&lt;PolicyEff),1,W73),0))</f>
        <v/>
      </c>
      <c r="Y73" s="16" t="str">
        <f aca="false">IF(T73="","",IF(N(X73)&gt;0,"",IF(T73&lt;SchemeStart,"before scheme start",IF(T73&gt;AsOfDate,"future",IF(V73&lt;&gt;"PT","not " &amp; IF("PT"="FT","full-time","eligible part-time") &amp; " on that date","")))))</f>
        <v/>
      </c>
      <c r="Z73" s="19" t="n">
        <f aca="false">I73</f>
        <v>201</v>
      </c>
      <c r="AA73" s="19" t="n">
        <f aca="false">SMALL($Z$20:$Z$199,54)</f>
        <v>140</v>
      </c>
      <c r="AB73" s="19" t="str">
        <f aca="false">IF(54-COUNTIF($Z$20:$Z$199,"&lt;"&amp;AA73)=1,IF(COUNTIF($I$20:$I$109,AA73)&gt;0,"FT","PT"),"PT")</f>
        <v>PT</v>
      </c>
      <c r="AC73" s="19" t="n">
        <f aca="false">IF(AB73="FT",INDEX($N$20:$N$109,MATCH(AA73,$I$20:$I$109,0)),1)</f>
        <v>1</v>
      </c>
    </row>
    <row r="74" customFormat="false" ht="15" hidden="false" customHeight="false" outlineLevel="0" collapsed="false">
      <c r="H74" s="16" t="n">
        <v>55</v>
      </c>
      <c r="I74" s="16" t="n">
        <f aca="false">IF(54&lt;FT_PreY5,FT_First+FT_Int1*54,FT_Y5+FT_Int2*(54-FT_PreY5))</f>
        <v>204</v>
      </c>
      <c r="J74" s="16" t="str">
        <f aca="false">INT(I74/12)&amp;"y "&amp;MOD(I74,12)&amp;"m"</f>
        <v>17y 0m</v>
      </c>
      <c r="K74" s="14" t="str">
        <f aca="false">IF(OR($C$6&lt;&gt;"Yes",$C$8=""),"",EDATE($C$8,I74))</f>
        <v/>
      </c>
      <c r="L74" s="16" t="str">
        <f aca="false">IF(K74="","",IF($C$16=0,$C$9,IF(AND($C$14&lt;&gt;"",K74&gt;=$C$14),$C$15,IF(AND($C$12&lt;&gt;"",K74&gt;=$C$12),$C$13,$C$11))))</f>
        <v/>
      </c>
      <c r="M74" s="16" t="str">
        <f aca="false">IF(K74="","",IF(OR(ISNUMBER(SEARCH("full",L74)),UPPER(TRIM(L74))="FT",UPPER(TRIM(L74))="FTE"),"FT",IF(AND(OR(ISNUMBER(SEARCH("part",L74)),UPPER(TRIM(L74))="PT",UPPER(TRIM(L74))="PTE"),Apply2026="Yes",OR($C$10="",N($C$10)&gt;=PT_MinHours)),"PT","None")))</f>
        <v/>
      </c>
      <c r="N74" s="16" t="n">
        <f aca="false">IF(I74&lt;FT_Y5,1,IF(MOD(I74-FT_Y5,12)=0,FT_AnnivDays,1))</f>
        <v>2</v>
      </c>
      <c r="O74" s="16" t="str">
        <f aca="false">IF(K74="","",IF(AND(M74="FT",K74&lt;=AsOfDate,K74&gt;=SchemeStart),IF(AND("FT"="FT",I74=FT_Y5,K74&lt;PolicyEff),1,N74),0))</f>
        <v/>
      </c>
      <c r="P74" s="16" t="str">
        <f aca="false">IF(K74="","",IF(N(O74)&gt;0,"",IF(K74&lt;SchemeStart,"before scheme start",IF(K74&gt;AsOfDate,"future",IF(M74&lt;&gt;"FT","not " &amp; IF("FT"="FT","full-time","eligible part-time") &amp; " on that date","")))))</f>
        <v/>
      </c>
      <c r="Q74" s="16" t="n">
        <v>55</v>
      </c>
      <c r="R74" s="16" t="n">
        <f aca="false">PT_First+PT_Int*54</f>
        <v>276</v>
      </c>
      <c r="S74" s="16" t="str">
        <f aca="false">INT(R74/12)&amp;"y "&amp;MOD(R74,12)&amp;"m"</f>
        <v>23y 0m</v>
      </c>
      <c r="T74" s="14" t="str">
        <f aca="false">IF(OR($C$6&lt;&gt;"Yes",$C$8=""),"",EDATE($C$8,R74))</f>
        <v/>
      </c>
      <c r="U74" s="16" t="str">
        <f aca="false">IF(T74="","",IF($C$16=0,$C$9,IF(AND($C$14&lt;&gt;"",T74&gt;=$C$14),$C$15,IF(AND($C$12&lt;&gt;"",T74&gt;=$C$12),$C$13,$C$11))))</f>
        <v/>
      </c>
      <c r="V74" s="16" t="str">
        <f aca="false">IF(T74="","",IF(OR(ISNUMBER(SEARCH("full",U74)),UPPER(TRIM(U74))="FT",UPPER(TRIM(U74))="FTE"),"FT",IF(AND(OR(ISNUMBER(SEARCH("part",U74)),UPPER(TRIM(U74))="PT",UPPER(TRIM(U74))="PTE"),Apply2026="Yes",OR($C$10="",N($C$10)&gt;=PT_MinHours)),"PT","None")))</f>
        <v/>
      </c>
      <c r="W74" s="16" t="n">
        <v>1</v>
      </c>
      <c r="X74" s="16" t="str">
        <f aca="false">IF(T74="","",IF(AND(V74="PT",T74&lt;=AsOfDate,T74&gt;=SchemeStart),IF(AND("PT"="FT",R74=FT_Y5,T74&lt;PolicyEff),1,W74),0))</f>
        <v/>
      </c>
      <c r="Y74" s="16" t="str">
        <f aca="false">IF(T74="","",IF(N(X74)&gt;0,"",IF(T74&lt;SchemeStart,"before scheme start",IF(T74&gt;AsOfDate,"future",IF(V74&lt;&gt;"PT","not " &amp; IF("PT"="FT","full-time","eligible part-time") &amp; " on that date","")))))</f>
        <v/>
      </c>
      <c r="Z74" s="19" t="n">
        <f aca="false">I74</f>
        <v>204</v>
      </c>
      <c r="AA74" s="19" t="n">
        <f aca="false">SMALL($Z$20:$Z$199,55)</f>
        <v>141</v>
      </c>
      <c r="AB74" s="19" t="str">
        <f aca="false">IF(55-COUNTIF($Z$20:$Z$199,"&lt;"&amp;AA74)=1,IF(COUNTIF($I$20:$I$109,AA74)&gt;0,"FT","PT"),"PT")</f>
        <v>FT</v>
      </c>
      <c r="AC74" s="19" t="n">
        <f aca="false">IF(AB74="FT",INDEX($N$20:$N$109,MATCH(AA74,$I$20:$I$109,0)),1)</f>
        <v>1</v>
      </c>
    </row>
    <row r="75" customFormat="false" ht="15" hidden="false" customHeight="false" outlineLevel="0" collapsed="false">
      <c r="H75" s="16" t="n">
        <v>56</v>
      </c>
      <c r="I75" s="16" t="n">
        <f aca="false">IF(55&lt;FT_PreY5,FT_First+FT_Int1*55,FT_Y5+FT_Int2*(55-FT_PreY5))</f>
        <v>207</v>
      </c>
      <c r="J75" s="16" t="str">
        <f aca="false">INT(I75/12)&amp;"y "&amp;MOD(I75,12)&amp;"m"</f>
        <v>17y 3m</v>
      </c>
      <c r="K75" s="14" t="str">
        <f aca="false">IF(OR($C$6&lt;&gt;"Yes",$C$8=""),"",EDATE($C$8,I75))</f>
        <v/>
      </c>
      <c r="L75" s="16" t="str">
        <f aca="false">IF(K75="","",IF($C$16=0,$C$9,IF(AND($C$14&lt;&gt;"",K75&gt;=$C$14),$C$15,IF(AND($C$12&lt;&gt;"",K75&gt;=$C$12),$C$13,$C$11))))</f>
        <v/>
      </c>
      <c r="M75" s="16" t="str">
        <f aca="false">IF(K75="","",IF(OR(ISNUMBER(SEARCH("full",L75)),UPPER(TRIM(L75))="FT",UPPER(TRIM(L75))="FTE"),"FT",IF(AND(OR(ISNUMBER(SEARCH("part",L75)),UPPER(TRIM(L75))="PT",UPPER(TRIM(L75))="PTE"),Apply2026="Yes",OR($C$10="",N($C$10)&gt;=PT_MinHours)),"PT","None")))</f>
        <v/>
      </c>
      <c r="N75" s="16" t="n">
        <f aca="false">IF(I75&lt;FT_Y5,1,IF(MOD(I75-FT_Y5,12)=0,FT_AnnivDays,1))</f>
        <v>1</v>
      </c>
      <c r="O75" s="16" t="str">
        <f aca="false">IF(K75="","",IF(AND(M75="FT",K75&lt;=AsOfDate,K75&gt;=SchemeStart),IF(AND("FT"="FT",I75=FT_Y5,K75&lt;PolicyEff),1,N75),0))</f>
        <v/>
      </c>
      <c r="P75" s="16" t="str">
        <f aca="false">IF(K75="","",IF(N(O75)&gt;0,"",IF(K75&lt;SchemeStart,"before scheme start",IF(K75&gt;AsOfDate,"future",IF(M75&lt;&gt;"FT","not " &amp; IF("FT"="FT","full-time","eligible part-time") &amp; " on that date","")))))</f>
        <v/>
      </c>
      <c r="Q75" s="16" t="n">
        <v>56</v>
      </c>
      <c r="R75" s="16" t="n">
        <f aca="false">PT_First+PT_Int*55</f>
        <v>280</v>
      </c>
      <c r="S75" s="16" t="str">
        <f aca="false">INT(R75/12)&amp;"y "&amp;MOD(R75,12)&amp;"m"</f>
        <v>23y 4m</v>
      </c>
      <c r="T75" s="14" t="str">
        <f aca="false">IF(OR($C$6&lt;&gt;"Yes",$C$8=""),"",EDATE($C$8,R75))</f>
        <v/>
      </c>
      <c r="U75" s="16" t="str">
        <f aca="false">IF(T75="","",IF($C$16=0,$C$9,IF(AND($C$14&lt;&gt;"",T75&gt;=$C$14),$C$15,IF(AND($C$12&lt;&gt;"",T75&gt;=$C$12),$C$13,$C$11))))</f>
        <v/>
      </c>
      <c r="V75" s="16" t="str">
        <f aca="false">IF(T75="","",IF(OR(ISNUMBER(SEARCH("full",U75)),UPPER(TRIM(U75))="FT",UPPER(TRIM(U75))="FTE"),"FT",IF(AND(OR(ISNUMBER(SEARCH("part",U75)),UPPER(TRIM(U75))="PT",UPPER(TRIM(U75))="PTE"),Apply2026="Yes",OR($C$10="",N($C$10)&gt;=PT_MinHours)),"PT","None")))</f>
        <v/>
      </c>
      <c r="W75" s="16" t="n">
        <v>1</v>
      </c>
      <c r="X75" s="16" t="str">
        <f aca="false">IF(T75="","",IF(AND(V75="PT",T75&lt;=AsOfDate,T75&gt;=SchemeStart),IF(AND("PT"="FT",R75=FT_Y5,T75&lt;PolicyEff),1,W75),0))</f>
        <v/>
      </c>
      <c r="Y75" s="16" t="str">
        <f aca="false">IF(T75="","",IF(N(X75)&gt;0,"",IF(T75&lt;SchemeStart,"before scheme start",IF(T75&gt;AsOfDate,"future",IF(V75&lt;&gt;"PT","not " &amp; IF("PT"="FT","full-time","eligible part-time") &amp; " on that date","")))))</f>
        <v/>
      </c>
      <c r="Z75" s="19" t="n">
        <f aca="false">I75</f>
        <v>207</v>
      </c>
      <c r="AA75" s="19" t="n">
        <f aca="false">SMALL($Z$20:$Z$199,56)</f>
        <v>144</v>
      </c>
      <c r="AB75" s="19" t="str">
        <f aca="false">IF(56-COUNTIF($Z$20:$Z$199,"&lt;"&amp;AA75)=1,IF(COUNTIF($I$20:$I$109,AA75)&gt;0,"FT","PT"),"PT")</f>
        <v>FT</v>
      </c>
      <c r="AC75" s="19" t="n">
        <f aca="false">IF(AB75="FT",INDEX($N$20:$N$109,MATCH(AA75,$I$20:$I$109,0)),1)</f>
        <v>2</v>
      </c>
    </row>
    <row r="76" customFormat="false" ht="15" hidden="false" customHeight="false" outlineLevel="0" collapsed="false">
      <c r="H76" s="16" t="n">
        <v>57</v>
      </c>
      <c r="I76" s="16" t="n">
        <f aca="false">IF(56&lt;FT_PreY5,FT_First+FT_Int1*56,FT_Y5+FT_Int2*(56-FT_PreY5))</f>
        <v>210</v>
      </c>
      <c r="J76" s="16" t="str">
        <f aca="false">INT(I76/12)&amp;"y "&amp;MOD(I76,12)&amp;"m"</f>
        <v>17y 6m</v>
      </c>
      <c r="K76" s="14" t="str">
        <f aca="false">IF(OR($C$6&lt;&gt;"Yes",$C$8=""),"",EDATE($C$8,I76))</f>
        <v/>
      </c>
      <c r="L76" s="16" t="str">
        <f aca="false">IF(K76="","",IF($C$16=0,$C$9,IF(AND($C$14&lt;&gt;"",K76&gt;=$C$14),$C$15,IF(AND($C$12&lt;&gt;"",K76&gt;=$C$12),$C$13,$C$11))))</f>
        <v/>
      </c>
      <c r="M76" s="16" t="str">
        <f aca="false">IF(K76="","",IF(OR(ISNUMBER(SEARCH("full",L76)),UPPER(TRIM(L76))="FT",UPPER(TRIM(L76))="FTE"),"FT",IF(AND(OR(ISNUMBER(SEARCH("part",L76)),UPPER(TRIM(L76))="PT",UPPER(TRIM(L76))="PTE"),Apply2026="Yes",OR($C$10="",N($C$10)&gt;=PT_MinHours)),"PT","None")))</f>
        <v/>
      </c>
      <c r="N76" s="16" t="n">
        <f aca="false">IF(I76&lt;FT_Y5,1,IF(MOD(I76-FT_Y5,12)=0,FT_AnnivDays,1))</f>
        <v>1</v>
      </c>
      <c r="O76" s="16" t="str">
        <f aca="false">IF(K76="","",IF(AND(M76="FT",K76&lt;=AsOfDate,K76&gt;=SchemeStart),IF(AND("FT"="FT",I76=FT_Y5,K76&lt;PolicyEff),1,N76),0))</f>
        <v/>
      </c>
      <c r="P76" s="16" t="str">
        <f aca="false">IF(K76="","",IF(N(O76)&gt;0,"",IF(K76&lt;SchemeStart,"before scheme start",IF(K76&gt;AsOfDate,"future",IF(M76&lt;&gt;"FT","not " &amp; IF("FT"="FT","full-time","eligible part-time") &amp; " on that date","")))))</f>
        <v/>
      </c>
      <c r="Q76" s="16" t="n">
        <v>57</v>
      </c>
      <c r="R76" s="16" t="n">
        <f aca="false">PT_First+PT_Int*56</f>
        <v>284</v>
      </c>
      <c r="S76" s="16" t="str">
        <f aca="false">INT(R76/12)&amp;"y "&amp;MOD(R76,12)&amp;"m"</f>
        <v>23y 8m</v>
      </c>
      <c r="T76" s="14" t="str">
        <f aca="false">IF(OR($C$6&lt;&gt;"Yes",$C$8=""),"",EDATE($C$8,R76))</f>
        <v/>
      </c>
      <c r="U76" s="16" t="str">
        <f aca="false">IF(T76="","",IF($C$16=0,$C$9,IF(AND($C$14&lt;&gt;"",T76&gt;=$C$14),$C$15,IF(AND($C$12&lt;&gt;"",T76&gt;=$C$12),$C$13,$C$11))))</f>
        <v/>
      </c>
      <c r="V76" s="16" t="str">
        <f aca="false">IF(T76="","",IF(OR(ISNUMBER(SEARCH("full",U76)),UPPER(TRIM(U76))="FT",UPPER(TRIM(U76))="FTE"),"FT",IF(AND(OR(ISNUMBER(SEARCH("part",U76)),UPPER(TRIM(U76))="PT",UPPER(TRIM(U76))="PTE"),Apply2026="Yes",OR($C$10="",N($C$10)&gt;=PT_MinHours)),"PT","None")))</f>
        <v/>
      </c>
      <c r="W76" s="16" t="n">
        <v>1</v>
      </c>
      <c r="X76" s="16" t="str">
        <f aca="false">IF(T76="","",IF(AND(V76="PT",T76&lt;=AsOfDate,T76&gt;=SchemeStart),IF(AND("PT"="FT",R76=FT_Y5,T76&lt;PolicyEff),1,W76),0))</f>
        <v/>
      </c>
      <c r="Y76" s="16" t="str">
        <f aca="false">IF(T76="","",IF(N(X76)&gt;0,"",IF(T76&lt;SchemeStart,"before scheme start",IF(T76&gt;AsOfDate,"future",IF(V76&lt;&gt;"PT","not " &amp; IF("PT"="FT","full-time","eligible part-time") &amp; " on that date","")))))</f>
        <v/>
      </c>
      <c r="Z76" s="19" t="n">
        <f aca="false">I76</f>
        <v>210</v>
      </c>
      <c r="AA76" s="19" t="n">
        <f aca="false">SMALL($Z$20:$Z$199,57)</f>
        <v>144</v>
      </c>
      <c r="AB76" s="19" t="str">
        <f aca="false">IF(57-COUNTIF($Z$20:$Z$199,"&lt;"&amp;AA76)=1,IF(COUNTIF($I$20:$I$109,AA76)&gt;0,"FT","PT"),"PT")</f>
        <v>PT</v>
      </c>
      <c r="AC76" s="19" t="n">
        <f aca="false">IF(AB76="FT",INDEX($N$20:$N$109,MATCH(AA76,$I$20:$I$109,0)),1)</f>
        <v>1</v>
      </c>
    </row>
    <row r="77" customFormat="false" ht="15" hidden="false" customHeight="false" outlineLevel="0" collapsed="false">
      <c r="H77" s="16" t="n">
        <v>58</v>
      </c>
      <c r="I77" s="16" t="n">
        <f aca="false">IF(57&lt;FT_PreY5,FT_First+FT_Int1*57,FT_Y5+FT_Int2*(57-FT_PreY5))</f>
        <v>213</v>
      </c>
      <c r="J77" s="16" t="str">
        <f aca="false">INT(I77/12)&amp;"y "&amp;MOD(I77,12)&amp;"m"</f>
        <v>17y 9m</v>
      </c>
      <c r="K77" s="14" t="str">
        <f aca="false">IF(OR($C$6&lt;&gt;"Yes",$C$8=""),"",EDATE($C$8,I77))</f>
        <v/>
      </c>
      <c r="L77" s="16" t="str">
        <f aca="false">IF(K77="","",IF($C$16=0,$C$9,IF(AND($C$14&lt;&gt;"",K77&gt;=$C$14),$C$15,IF(AND($C$12&lt;&gt;"",K77&gt;=$C$12),$C$13,$C$11))))</f>
        <v/>
      </c>
      <c r="M77" s="16" t="str">
        <f aca="false">IF(K77="","",IF(OR(ISNUMBER(SEARCH("full",L77)),UPPER(TRIM(L77))="FT",UPPER(TRIM(L77))="FTE"),"FT",IF(AND(OR(ISNUMBER(SEARCH("part",L77)),UPPER(TRIM(L77))="PT",UPPER(TRIM(L77))="PTE"),Apply2026="Yes",OR($C$10="",N($C$10)&gt;=PT_MinHours)),"PT","None")))</f>
        <v/>
      </c>
      <c r="N77" s="16" t="n">
        <f aca="false">IF(I77&lt;FT_Y5,1,IF(MOD(I77-FT_Y5,12)=0,FT_AnnivDays,1))</f>
        <v>1</v>
      </c>
      <c r="O77" s="16" t="str">
        <f aca="false">IF(K77="","",IF(AND(M77="FT",K77&lt;=AsOfDate,K77&gt;=SchemeStart),IF(AND("FT"="FT",I77=FT_Y5,K77&lt;PolicyEff),1,N77),0))</f>
        <v/>
      </c>
      <c r="P77" s="16" t="str">
        <f aca="false">IF(K77="","",IF(N(O77)&gt;0,"",IF(K77&lt;SchemeStart,"before scheme start",IF(K77&gt;AsOfDate,"future",IF(M77&lt;&gt;"FT","not " &amp; IF("FT"="FT","full-time","eligible part-time") &amp; " on that date","")))))</f>
        <v/>
      </c>
      <c r="Q77" s="16" t="n">
        <v>58</v>
      </c>
      <c r="R77" s="16" t="n">
        <f aca="false">PT_First+PT_Int*57</f>
        <v>288</v>
      </c>
      <c r="S77" s="16" t="str">
        <f aca="false">INT(R77/12)&amp;"y "&amp;MOD(R77,12)&amp;"m"</f>
        <v>24y 0m</v>
      </c>
      <c r="T77" s="14" t="str">
        <f aca="false">IF(OR($C$6&lt;&gt;"Yes",$C$8=""),"",EDATE($C$8,R77))</f>
        <v/>
      </c>
      <c r="U77" s="16" t="str">
        <f aca="false">IF(T77="","",IF($C$16=0,$C$9,IF(AND($C$14&lt;&gt;"",T77&gt;=$C$14),$C$15,IF(AND($C$12&lt;&gt;"",T77&gt;=$C$12),$C$13,$C$11))))</f>
        <v/>
      </c>
      <c r="V77" s="16" t="str">
        <f aca="false">IF(T77="","",IF(OR(ISNUMBER(SEARCH("full",U77)),UPPER(TRIM(U77))="FT",UPPER(TRIM(U77))="FTE"),"FT",IF(AND(OR(ISNUMBER(SEARCH("part",U77)),UPPER(TRIM(U77))="PT",UPPER(TRIM(U77))="PTE"),Apply2026="Yes",OR($C$10="",N($C$10)&gt;=PT_MinHours)),"PT","None")))</f>
        <v/>
      </c>
      <c r="W77" s="16" t="n">
        <v>1</v>
      </c>
      <c r="X77" s="16" t="str">
        <f aca="false">IF(T77="","",IF(AND(V77="PT",T77&lt;=AsOfDate,T77&gt;=SchemeStart),IF(AND("PT"="FT",R77=FT_Y5,T77&lt;PolicyEff),1,W77),0))</f>
        <v/>
      </c>
      <c r="Y77" s="16" t="str">
        <f aca="false">IF(T77="","",IF(N(X77)&gt;0,"",IF(T77&lt;SchemeStart,"before scheme start",IF(T77&gt;AsOfDate,"future",IF(V77&lt;&gt;"PT","not " &amp; IF("PT"="FT","full-time","eligible part-time") &amp; " on that date","")))))</f>
        <v/>
      </c>
      <c r="Z77" s="19" t="n">
        <f aca="false">I77</f>
        <v>213</v>
      </c>
      <c r="AA77" s="19" t="n">
        <f aca="false">SMALL($Z$20:$Z$199,58)</f>
        <v>147</v>
      </c>
      <c r="AB77" s="19" t="str">
        <f aca="false">IF(58-COUNTIF($Z$20:$Z$199,"&lt;"&amp;AA77)=1,IF(COUNTIF($I$20:$I$109,AA77)&gt;0,"FT","PT"),"PT")</f>
        <v>FT</v>
      </c>
      <c r="AC77" s="19" t="n">
        <f aca="false">IF(AB77="FT",INDEX($N$20:$N$109,MATCH(AA77,$I$20:$I$109,0)),1)</f>
        <v>1</v>
      </c>
    </row>
    <row r="78" customFormat="false" ht="15" hidden="false" customHeight="false" outlineLevel="0" collapsed="false">
      <c r="H78" s="16" t="n">
        <v>59</v>
      </c>
      <c r="I78" s="16" t="n">
        <f aca="false">IF(58&lt;FT_PreY5,FT_First+FT_Int1*58,FT_Y5+FT_Int2*(58-FT_PreY5))</f>
        <v>216</v>
      </c>
      <c r="J78" s="16" t="str">
        <f aca="false">INT(I78/12)&amp;"y "&amp;MOD(I78,12)&amp;"m"</f>
        <v>18y 0m</v>
      </c>
      <c r="K78" s="14" t="str">
        <f aca="false">IF(OR($C$6&lt;&gt;"Yes",$C$8=""),"",EDATE($C$8,I78))</f>
        <v/>
      </c>
      <c r="L78" s="16" t="str">
        <f aca="false">IF(K78="","",IF($C$16=0,$C$9,IF(AND($C$14&lt;&gt;"",K78&gt;=$C$14),$C$15,IF(AND($C$12&lt;&gt;"",K78&gt;=$C$12),$C$13,$C$11))))</f>
        <v/>
      </c>
      <c r="M78" s="16" t="str">
        <f aca="false">IF(K78="","",IF(OR(ISNUMBER(SEARCH("full",L78)),UPPER(TRIM(L78))="FT",UPPER(TRIM(L78))="FTE"),"FT",IF(AND(OR(ISNUMBER(SEARCH("part",L78)),UPPER(TRIM(L78))="PT",UPPER(TRIM(L78))="PTE"),Apply2026="Yes",OR($C$10="",N($C$10)&gt;=PT_MinHours)),"PT","None")))</f>
        <v/>
      </c>
      <c r="N78" s="16" t="n">
        <f aca="false">IF(I78&lt;FT_Y5,1,IF(MOD(I78-FT_Y5,12)=0,FT_AnnivDays,1))</f>
        <v>2</v>
      </c>
      <c r="O78" s="16" t="str">
        <f aca="false">IF(K78="","",IF(AND(M78="FT",K78&lt;=AsOfDate,K78&gt;=SchemeStart),IF(AND("FT"="FT",I78=FT_Y5,K78&lt;PolicyEff),1,N78),0))</f>
        <v/>
      </c>
      <c r="P78" s="16" t="str">
        <f aca="false">IF(K78="","",IF(N(O78)&gt;0,"",IF(K78&lt;SchemeStart,"before scheme start",IF(K78&gt;AsOfDate,"future",IF(M78&lt;&gt;"FT","not " &amp; IF("FT"="FT","full-time","eligible part-time") &amp; " on that date","")))))</f>
        <v/>
      </c>
      <c r="Q78" s="16" t="n">
        <v>59</v>
      </c>
      <c r="R78" s="16" t="n">
        <f aca="false">PT_First+PT_Int*58</f>
        <v>292</v>
      </c>
      <c r="S78" s="16" t="str">
        <f aca="false">INT(R78/12)&amp;"y "&amp;MOD(R78,12)&amp;"m"</f>
        <v>24y 4m</v>
      </c>
      <c r="T78" s="14" t="str">
        <f aca="false">IF(OR($C$6&lt;&gt;"Yes",$C$8=""),"",EDATE($C$8,R78))</f>
        <v/>
      </c>
      <c r="U78" s="16" t="str">
        <f aca="false">IF(T78="","",IF($C$16=0,$C$9,IF(AND($C$14&lt;&gt;"",T78&gt;=$C$14),$C$15,IF(AND($C$12&lt;&gt;"",T78&gt;=$C$12),$C$13,$C$11))))</f>
        <v/>
      </c>
      <c r="V78" s="16" t="str">
        <f aca="false">IF(T78="","",IF(OR(ISNUMBER(SEARCH("full",U78)),UPPER(TRIM(U78))="FT",UPPER(TRIM(U78))="FTE"),"FT",IF(AND(OR(ISNUMBER(SEARCH("part",U78)),UPPER(TRIM(U78))="PT",UPPER(TRIM(U78))="PTE"),Apply2026="Yes",OR($C$10="",N($C$10)&gt;=PT_MinHours)),"PT","None")))</f>
        <v/>
      </c>
      <c r="W78" s="16" t="n">
        <v>1</v>
      </c>
      <c r="X78" s="16" t="str">
        <f aca="false">IF(T78="","",IF(AND(V78="PT",T78&lt;=AsOfDate,T78&gt;=SchemeStart),IF(AND("PT"="FT",R78=FT_Y5,T78&lt;PolicyEff),1,W78),0))</f>
        <v/>
      </c>
      <c r="Y78" s="16" t="str">
        <f aca="false">IF(T78="","",IF(N(X78)&gt;0,"",IF(T78&lt;SchemeStart,"before scheme start",IF(T78&gt;AsOfDate,"future",IF(V78&lt;&gt;"PT","not " &amp; IF("PT"="FT","full-time","eligible part-time") &amp; " on that date","")))))</f>
        <v/>
      </c>
      <c r="Z78" s="19" t="n">
        <f aca="false">I78</f>
        <v>216</v>
      </c>
      <c r="AA78" s="19" t="n">
        <f aca="false">SMALL($Z$20:$Z$199,59)</f>
        <v>148</v>
      </c>
      <c r="AB78" s="19" t="str">
        <f aca="false">IF(59-COUNTIF($Z$20:$Z$199,"&lt;"&amp;AA78)=1,IF(COUNTIF($I$20:$I$109,AA78)&gt;0,"FT","PT"),"PT")</f>
        <v>PT</v>
      </c>
      <c r="AC78" s="19" t="n">
        <f aca="false">IF(AB78="FT",INDEX($N$20:$N$109,MATCH(AA78,$I$20:$I$109,0)),1)</f>
        <v>1</v>
      </c>
    </row>
    <row r="79" customFormat="false" ht="15" hidden="false" customHeight="false" outlineLevel="0" collapsed="false">
      <c r="H79" s="16" t="n">
        <v>60</v>
      </c>
      <c r="I79" s="16" t="n">
        <f aca="false">IF(59&lt;FT_PreY5,FT_First+FT_Int1*59,FT_Y5+FT_Int2*(59-FT_PreY5))</f>
        <v>219</v>
      </c>
      <c r="J79" s="16" t="str">
        <f aca="false">INT(I79/12)&amp;"y "&amp;MOD(I79,12)&amp;"m"</f>
        <v>18y 3m</v>
      </c>
      <c r="K79" s="14" t="str">
        <f aca="false">IF(OR($C$6&lt;&gt;"Yes",$C$8=""),"",EDATE($C$8,I79))</f>
        <v/>
      </c>
      <c r="L79" s="16" t="str">
        <f aca="false">IF(K79="","",IF($C$16=0,$C$9,IF(AND($C$14&lt;&gt;"",K79&gt;=$C$14),$C$15,IF(AND($C$12&lt;&gt;"",K79&gt;=$C$12),$C$13,$C$11))))</f>
        <v/>
      </c>
      <c r="M79" s="16" t="str">
        <f aca="false">IF(K79="","",IF(OR(ISNUMBER(SEARCH("full",L79)),UPPER(TRIM(L79))="FT",UPPER(TRIM(L79))="FTE"),"FT",IF(AND(OR(ISNUMBER(SEARCH("part",L79)),UPPER(TRIM(L79))="PT",UPPER(TRIM(L79))="PTE"),Apply2026="Yes",OR($C$10="",N($C$10)&gt;=PT_MinHours)),"PT","None")))</f>
        <v/>
      </c>
      <c r="N79" s="16" t="n">
        <f aca="false">IF(I79&lt;FT_Y5,1,IF(MOD(I79-FT_Y5,12)=0,FT_AnnivDays,1))</f>
        <v>1</v>
      </c>
      <c r="O79" s="16" t="str">
        <f aca="false">IF(K79="","",IF(AND(M79="FT",K79&lt;=AsOfDate,K79&gt;=SchemeStart),IF(AND("FT"="FT",I79=FT_Y5,K79&lt;PolicyEff),1,N79),0))</f>
        <v/>
      </c>
      <c r="P79" s="16" t="str">
        <f aca="false">IF(K79="","",IF(N(O79)&gt;0,"",IF(K79&lt;SchemeStart,"before scheme start",IF(K79&gt;AsOfDate,"future",IF(M79&lt;&gt;"FT","not " &amp; IF("FT"="FT","full-time","eligible part-time") &amp; " on that date","")))))</f>
        <v/>
      </c>
      <c r="Q79" s="16" t="n">
        <v>60</v>
      </c>
      <c r="R79" s="16" t="n">
        <f aca="false">PT_First+PT_Int*59</f>
        <v>296</v>
      </c>
      <c r="S79" s="16" t="str">
        <f aca="false">INT(R79/12)&amp;"y "&amp;MOD(R79,12)&amp;"m"</f>
        <v>24y 8m</v>
      </c>
      <c r="T79" s="14" t="str">
        <f aca="false">IF(OR($C$6&lt;&gt;"Yes",$C$8=""),"",EDATE($C$8,R79))</f>
        <v/>
      </c>
      <c r="U79" s="16" t="str">
        <f aca="false">IF(T79="","",IF($C$16=0,$C$9,IF(AND($C$14&lt;&gt;"",T79&gt;=$C$14),$C$15,IF(AND($C$12&lt;&gt;"",T79&gt;=$C$12),$C$13,$C$11))))</f>
        <v/>
      </c>
      <c r="V79" s="16" t="str">
        <f aca="false">IF(T79="","",IF(OR(ISNUMBER(SEARCH("full",U79)),UPPER(TRIM(U79))="FT",UPPER(TRIM(U79))="FTE"),"FT",IF(AND(OR(ISNUMBER(SEARCH("part",U79)),UPPER(TRIM(U79))="PT",UPPER(TRIM(U79))="PTE"),Apply2026="Yes",OR($C$10="",N($C$10)&gt;=PT_MinHours)),"PT","None")))</f>
        <v/>
      </c>
      <c r="W79" s="16" t="n">
        <v>1</v>
      </c>
      <c r="X79" s="16" t="str">
        <f aca="false">IF(T79="","",IF(AND(V79="PT",T79&lt;=AsOfDate,T79&gt;=SchemeStart),IF(AND("PT"="FT",R79=FT_Y5,T79&lt;PolicyEff),1,W79),0))</f>
        <v/>
      </c>
      <c r="Y79" s="16" t="str">
        <f aca="false">IF(T79="","",IF(N(X79)&gt;0,"",IF(T79&lt;SchemeStart,"before scheme start",IF(T79&gt;AsOfDate,"future",IF(V79&lt;&gt;"PT","not " &amp; IF("PT"="FT","full-time","eligible part-time") &amp; " on that date","")))))</f>
        <v/>
      </c>
      <c r="Z79" s="19" t="n">
        <f aca="false">I79</f>
        <v>219</v>
      </c>
      <c r="AA79" s="19" t="n">
        <f aca="false">SMALL($Z$20:$Z$199,60)</f>
        <v>150</v>
      </c>
      <c r="AB79" s="19" t="str">
        <f aca="false">IF(60-COUNTIF($Z$20:$Z$199,"&lt;"&amp;AA79)=1,IF(COUNTIF($I$20:$I$109,AA79)&gt;0,"FT","PT"),"PT")</f>
        <v>FT</v>
      </c>
      <c r="AC79" s="19" t="n">
        <f aca="false">IF(AB79="FT",INDEX($N$20:$N$109,MATCH(AA79,$I$20:$I$109,0)),1)</f>
        <v>1</v>
      </c>
    </row>
    <row r="80" customFormat="false" ht="15" hidden="false" customHeight="false" outlineLevel="0" collapsed="false">
      <c r="H80" s="16" t="n">
        <v>61</v>
      </c>
      <c r="I80" s="16" t="n">
        <f aca="false">IF(60&lt;FT_PreY5,FT_First+FT_Int1*60,FT_Y5+FT_Int2*(60-FT_PreY5))</f>
        <v>222</v>
      </c>
      <c r="J80" s="16" t="str">
        <f aca="false">INT(I80/12)&amp;"y "&amp;MOD(I80,12)&amp;"m"</f>
        <v>18y 6m</v>
      </c>
      <c r="K80" s="14" t="str">
        <f aca="false">IF(OR($C$6&lt;&gt;"Yes",$C$8=""),"",EDATE($C$8,I80))</f>
        <v/>
      </c>
      <c r="L80" s="16" t="str">
        <f aca="false">IF(K80="","",IF($C$16=0,$C$9,IF(AND($C$14&lt;&gt;"",K80&gt;=$C$14),$C$15,IF(AND($C$12&lt;&gt;"",K80&gt;=$C$12),$C$13,$C$11))))</f>
        <v/>
      </c>
      <c r="M80" s="16" t="str">
        <f aca="false">IF(K80="","",IF(OR(ISNUMBER(SEARCH("full",L80)),UPPER(TRIM(L80))="FT",UPPER(TRIM(L80))="FTE"),"FT",IF(AND(OR(ISNUMBER(SEARCH("part",L80)),UPPER(TRIM(L80))="PT",UPPER(TRIM(L80))="PTE"),Apply2026="Yes",OR($C$10="",N($C$10)&gt;=PT_MinHours)),"PT","None")))</f>
        <v/>
      </c>
      <c r="N80" s="16" t="n">
        <f aca="false">IF(I80&lt;FT_Y5,1,IF(MOD(I80-FT_Y5,12)=0,FT_AnnivDays,1))</f>
        <v>1</v>
      </c>
      <c r="O80" s="16" t="str">
        <f aca="false">IF(K80="","",IF(AND(M80="FT",K80&lt;=AsOfDate,K80&gt;=SchemeStart),IF(AND("FT"="FT",I80=FT_Y5,K80&lt;PolicyEff),1,N80),0))</f>
        <v/>
      </c>
      <c r="P80" s="16" t="str">
        <f aca="false">IF(K80="","",IF(N(O80)&gt;0,"",IF(K80&lt;SchemeStart,"before scheme start",IF(K80&gt;AsOfDate,"future",IF(M80&lt;&gt;"FT","not " &amp; IF("FT"="FT","full-time","eligible part-time") &amp; " on that date","")))))</f>
        <v/>
      </c>
      <c r="Q80" s="16" t="n">
        <v>61</v>
      </c>
      <c r="R80" s="16" t="n">
        <f aca="false">PT_First+PT_Int*60</f>
        <v>300</v>
      </c>
      <c r="S80" s="16" t="str">
        <f aca="false">INT(R80/12)&amp;"y "&amp;MOD(R80,12)&amp;"m"</f>
        <v>25y 0m</v>
      </c>
      <c r="T80" s="14" t="str">
        <f aca="false">IF(OR($C$6&lt;&gt;"Yes",$C$8=""),"",EDATE($C$8,R80))</f>
        <v/>
      </c>
      <c r="U80" s="16" t="str">
        <f aca="false">IF(T80="","",IF($C$16=0,$C$9,IF(AND($C$14&lt;&gt;"",T80&gt;=$C$14),$C$15,IF(AND($C$12&lt;&gt;"",T80&gt;=$C$12),$C$13,$C$11))))</f>
        <v/>
      </c>
      <c r="V80" s="16" t="str">
        <f aca="false">IF(T80="","",IF(OR(ISNUMBER(SEARCH("full",U80)),UPPER(TRIM(U80))="FT",UPPER(TRIM(U80))="FTE"),"FT",IF(AND(OR(ISNUMBER(SEARCH("part",U80)),UPPER(TRIM(U80))="PT",UPPER(TRIM(U80))="PTE"),Apply2026="Yes",OR($C$10="",N($C$10)&gt;=PT_MinHours)),"PT","None")))</f>
        <v/>
      </c>
      <c r="W80" s="16" t="n">
        <v>1</v>
      </c>
      <c r="X80" s="16" t="str">
        <f aca="false">IF(T80="","",IF(AND(V80="PT",T80&lt;=AsOfDate,T80&gt;=SchemeStart),IF(AND("PT"="FT",R80=FT_Y5,T80&lt;PolicyEff),1,W80),0))</f>
        <v/>
      </c>
      <c r="Y80" s="16" t="str">
        <f aca="false">IF(T80="","",IF(N(X80)&gt;0,"",IF(T80&lt;SchemeStart,"before scheme start",IF(T80&gt;AsOfDate,"future",IF(V80&lt;&gt;"PT","not " &amp; IF("PT"="FT","full-time","eligible part-time") &amp; " on that date","")))))</f>
        <v/>
      </c>
      <c r="Z80" s="19" t="n">
        <f aca="false">I80</f>
        <v>222</v>
      </c>
      <c r="AA80" s="19" t="n">
        <f aca="false">SMALL($Z$20:$Z$199,61)</f>
        <v>152</v>
      </c>
      <c r="AB80" s="19" t="str">
        <f aca="false">IF(61-COUNTIF($Z$20:$Z$199,"&lt;"&amp;AA80)=1,IF(COUNTIF($I$20:$I$109,AA80)&gt;0,"FT","PT"),"PT")</f>
        <v>PT</v>
      </c>
      <c r="AC80" s="19" t="n">
        <f aca="false">IF(AB80="FT",INDEX($N$20:$N$109,MATCH(AA80,$I$20:$I$109,0)),1)</f>
        <v>1</v>
      </c>
    </row>
    <row r="81" customFormat="false" ht="15" hidden="false" customHeight="false" outlineLevel="0" collapsed="false">
      <c r="H81" s="16" t="n">
        <v>62</v>
      </c>
      <c r="I81" s="16" t="n">
        <f aca="false">IF(61&lt;FT_PreY5,FT_First+FT_Int1*61,FT_Y5+FT_Int2*(61-FT_PreY5))</f>
        <v>225</v>
      </c>
      <c r="J81" s="16" t="str">
        <f aca="false">INT(I81/12)&amp;"y "&amp;MOD(I81,12)&amp;"m"</f>
        <v>18y 9m</v>
      </c>
      <c r="K81" s="14" t="str">
        <f aca="false">IF(OR($C$6&lt;&gt;"Yes",$C$8=""),"",EDATE($C$8,I81))</f>
        <v/>
      </c>
      <c r="L81" s="16" t="str">
        <f aca="false">IF(K81="","",IF($C$16=0,$C$9,IF(AND($C$14&lt;&gt;"",K81&gt;=$C$14),$C$15,IF(AND($C$12&lt;&gt;"",K81&gt;=$C$12),$C$13,$C$11))))</f>
        <v/>
      </c>
      <c r="M81" s="16" t="str">
        <f aca="false">IF(K81="","",IF(OR(ISNUMBER(SEARCH("full",L81)),UPPER(TRIM(L81))="FT",UPPER(TRIM(L81))="FTE"),"FT",IF(AND(OR(ISNUMBER(SEARCH("part",L81)),UPPER(TRIM(L81))="PT",UPPER(TRIM(L81))="PTE"),Apply2026="Yes",OR($C$10="",N($C$10)&gt;=PT_MinHours)),"PT","None")))</f>
        <v/>
      </c>
      <c r="N81" s="16" t="n">
        <f aca="false">IF(I81&lt;FT_Y5,1,IF(MOD(I81-FT_Y5,12)=0,FT_AnnivDays,1))</f>
        <v>1</v>
      </c>
      <c r="O81" s="16" t="str">
        <f aca="false">IF(K81="","",IF(AND(M81="FT",K81&lt;=AsOfDate,K81&gt;=SchemeStart),IF(AND("FT"="FT",I81=FT_Y5,K81&lt;PolicyEff),1,N81),0))</f>
        <v/>
      </c>
      <c r="P81" s="16" t="str">
        <f aca="false">IF(K81="","",IF(N(O81)&gt;0,"",IF(K81&lt;SchemeStart,"before scheme start",IF(K81&gt;AsOfDate,"future",IF(M81&lt;&gt;"FT","not " &amp; IF("FT"="FT","full-time","eligible part-time") &amp; " on that date","")))))</f>
        <v/>
      </c>
      <c r="Q81" s="16" t="n">
        <v>62</v>
      </c>
      <c r="R81" s="16" t="n">
        <f aca="false">PT_First+PT_Int*61</f>
        <v>304</v>
      </c>
      <c r="S81" s="16" t="str">
        <f aca="false">INT(R81/12)&amp;"y "&amp;MOD(R81,12)&amp;"m"</f>
        <v>25y 4m</v>
      </c>
      <c r="T81" s="14" t="str">
        <f aca="false">IF(OR($C$6&lt;&gt;"Yes",$C$8=""),"",EDATE($C$8,R81))</f>
        <v/>
      </c>
      <c r="U81" s="16" t="str">
        <f aca="false">IF(T81="","",IF($C$16=0,$C$9,IF(AND($C$14&lt;&gt;"",T81&gt;=$C$14),$C$15,IF(AND($C$12&lt;&gt;"",T81&gt;=$C$12),$C$13,$C$11))))</f>
        <v/>
      </c>
      <c r="V81" s="16" t="str">
        <f aca="false">IF(T81="","",IF(OR(ISNUMBER(SEARCH("full",U81)),UPPER(TRIM(U81))="FT",UPPER(TRIM(U81))="FTE"),"FT",IF(AND(OR(ISNUMBER(SEARCH("part",U81)),UPPER(TRIM(U81))="PT",UPPER(TRIM(U81))="PTE"),Apply2026="Yes",OR($C$10="",N($C$10)&gt;=PT_MinHours)),"PT","None")))</f>
        <v/>
      </c>
      <c r="W81" s="16" t="n">
        <v>1</v>
      </c>
      <c r="X81" s="16" t="str">
        <f aca="false">IF(T81="","",IF(AND(V81="PT",T81&lt;=AsOfDate,T81&gt;=SchemeStart),IF(AND("PT"="FT",R81=FT_Y5,T81&lt;PolicyEff),1,W81),0))</f>
        <v/>
      </c>
      <c r="Y81" s="16" t="str">
        <f aca="false">IF(T81="","",IF(N(X81)&gt;0,"",IF(T81&lt;SchemeStart,"before scheme start",IF(T81&gt;AsOfDate,"future",IF(V81&lt;&gt;"PT","not " &amp; IF("PT"="FT","full-time","eligible part-time") &amp; " on that date","")))))</f>
        <v/>
      </c>
      <c r="Z81" s="19" t="n">
        <f aca="false">I81</f>
        <v>225</v>
      </c>
      <c r="AA81" s="19" t="n">
        <f aca="false">SMALL($Z$20:$Z$199,62)</f>
        <v>153</v>
      </c>
      <c r="AB81" s="19" t="str">
        <f aca="false">IF(62-COUNTIF($Z$20:$Z$199,"&lt;"&amp;AA81)=1,IF(COUNTIF($I$20:$I$109,AA81)&gt;0,"FT","PT"),"PT")</f>
        <v>FT</v>
      </c>
      <c r="AC81" s="19" t="n">
        <f aca="false">IF(AB81="FT",INDEX($N$20:$N$109,MATCH(AA81,$I$20:$I$109,0)),1)</f>
        <v>1</v>
      </c>
    </row>
    <row r="82" customFormat="false" ht="15" hidden="false" customHeight="false" outlineLevel="0" collapsed="false">
      <c r="H82" s="16" t="n">
        <v>63</v>
      </c>
      <c r="I82" s="16" t="n">
        <f aca="false">IF(62&lt;FT_PreY5,FT_First+FT_Int1*62,FT_Y5+FT_Int2*(62-FT_PreY5))</f>
        <v>228</v>
      </c>
      <c r="J82" s="16" t="str">
        <f aca="false">INT(I82/12)&amp;"y "&amp;MOD(I82,12)&amp;"m"</f>
        <v>19y 0m</v>
      </c>
      <c r="K82" s="14" t="str">
        <f aca="false">IF(OR($C$6&lt;&gt;"Yes",$C$8=""),"",EDATE($C$8,I82))</f>
        <v/>
      </c>
      <c r="L82" s="16" t="str">
        <f aca="false">IF(K82="","",IF($C$16=0,$C$9,IF(AND($C$14&lt;&gt;"",K82&gt;=$C$14),$C$15,IF(AND($C$12&lt;&gt;"",K82&gt;=$C$12),$C$13,$C$11))))</f>
        <v/>
      </c>
      <c r="M82" s="16" t="str">
        <f aca="false">IF(K82="","",IF(OR(ISNUMBER(SEARCH("full",L82)),UPPER(TRIM(L82))="FT",UPPER(TRIM(L82))="FTE"),"FT",IF(AND(OR(ISNUMBER(SEARCH("part",L82)),UPPER(TRIM(L82))="PT",UPPER(TRIM(L82))="PTE"),Apply2026="Yes",OR($C$10="",N($C$10)&gt;=PT_MinHours)),"PT","None")))</f>
        <v/>
      </c>
      <c r="N82" s="16" t="n">
        <f aca="false">IF(I82&lt;FT_Y5,1,IF(MOD(I82-FT_Y5,12)=0,FT_AnnivDays,1))</f>
        <v>2</v>
      </c>
      <c r="O82" s="16" t="str">
        <f aca="false">IF(K82="","",IF(AND(M82="FT",K82&lt;=AsOfDate,K82&gt;=SchemeStart),IF(AND("FT"="FT",I82=FT_Y5,K82&lt;PolicyEff),1,N82),0))</f>
        <v/>
      </c>
      <c r="P82" s="16" t="str">
        <f aca="false">IF(K82="","",IF(N(O82)&gt;0,"",IF(K82&lt;SchemeStart,"before scheme start",IF(K82&gt;AsOfDate,"future",IF(M82&lt;&gt;"FT","not " &amp; IF("FT"="FT","full-time","eligible part-time") &amp; " on that date","")))))</f>
        <v/>
      </c>
      <c r="Q82" s="16" t="n">
        <v>63</v>
      </c>
      <c r="R82" s="16" t="n">
        <f aca="false">PT_First+PT_Int*62</f>
        <v>308</v>
      </c>
      <c r="S82" s="16" t="str">
        <f aca="false">INT(R82/12)&amp;"y "&amp;MOD(R82,12)&amp;"m"</f>
        <v>25y 8m</v>
      </c>
      <c r="T82" s="14" t="str">
        <f aca="false">IF(OR($C$6&lt;&gt;"Yes",$C$8=""),"",EDATE($C$8,R82))</f>
        <v/>
      </c>
      <c r="U82" s="16" t="str">
        <f aca="false">IF(T82="","",IF($C$16=0,$C$9,IF(AND($C$14&lt;&gt;"",T82&gt;=$C$14),$C$15,IF(AND($C$12&lt;&gt;"",T82&gt;=$C$12),$C$13,$C$11))))</f>
        <v/>
      </c>
      <c r="V82" s="16" t="str">
        <f aca="false">IF(T82="","",IF(OR(ISNUMBER(SEARCH("full",U82)),UPPER(TRIM(U82))="FT",UPPER(TRIM(U82))="FTE"),"FT",IF(AND(OR(ISNUMBER(SEARCH("part",U82)),UPPER(TRIM(U82))="PT",UPPER(TRIM(U82))="PTE"),Apply2026="Yes",OR($C$10="",N($C$10)&gt;=PT_MinHours)),"PT","None")))</f>
        <v/>
      </c>
      <c r="W82" s="16" t="n">
        <v>1</v>
      </c>
      <c r="X82" s="16" t="str">
        <f aca="false">IF(T82="","",IF(AND(V82="PT",T82&lt;=AsOfDate,T82&gt;=SchemeStart),IF(AND("PT"="FT",R82=FT_Y5,T82&lt;PolicyEff),1,W82),0))</f>
        <v/>
      </c>
      <c r="Y82" s="16" t="str">
        <f aca="false">IF(T82="","",IF(N(X82)&gt;0,"",IF(T82&lt;SchemeStart,"before scheme start",IF(T82&gt;AsOfDate,"future",IF(V82&lt;&gt;"PT","not " &amp; IF("PT"="FT","full-time","eligible part-time") &amp; " on that date","")))))</f>
        <v/>
      </c>
      <c r="Z82" s="19" t="n">
        <f aca="false">I82</f>
        <v>228</v>
      </c>
      <c r="AA82" s="19" t="n">
        <f aca="false">SMALL($Z$20:$Z$199,63)</f>
        <v>156</v>
      </c>
      <c r="AB82" s="19" t="str">
        <f aca="false">IF(63-COUNTIF($Z$20:$Z$199,"&lt;"&amp;AA82)=1,IF(COUNTIF($I$20:$I$109,AA82)&gt;0,"FT","PT"),"PT")</f>
        <v>FT</v>
      </c>
      <c r="AC82" s="19" t="n">
        <f aca="false">IF(AB82="FT",INDEX($N$20:$N$109,MATCH(AA82,$I$20:$I$109,0)),1)</f>
        <v>2</v>
      </c>
    </row>
    <row r="83" customFormat="false" ht="15" hidden="false" customHeight="false" outlineLevel="0" collapsed="false">
      <c r="H83" s="16" t="n">
        <v>64</v>
      </c>
      <c r="I83" s="16" t="n">
        <f aca="false">IF(63&lt;FT_PreY5,FT_First+FT_Int1*63,FT_Y5+FT_Int2*(63-FT_PreY5))</f>
        <v>231</v>
      </c>
      <c r="J83" s="16" t="str">
        <f aca="false">INT(I83/12)&amp;"y "&amp;MOD(I83,12)&amp;"m"</f>
        <v>19y 3m</v>
      </c>
      <c r="K83" s="14" t="str">
        <f aca="false">IF(OR($C$6&lt;&gt;"Yes",$C$8=""),"",EDATE($C$8,I83))</f>
        <v/>
      </c>
      <c r="L83" s="16" t="str">
        <f aca="false">IF(K83="","",IF($C$16=0,$C$9,IF(AND($C$14&lt;&gt;"",K83&gt;=$C$14),$C$15,IF(AND($C$12&lt;&gt;"",K83&gt;=$C$12),$C$13,$C$11))))</f>
        <v/>
      </c>
      <c r="M83" s="16" t="str">
        <f aca="false">IF(K83="","",IF(OR(ISNUMBER(SEARCH("full",L83)),UPPER(TRIM(L83))="FT",UPPER(TRIM(L83))="FTE"),"FT",IF(AND(OR(ISNUMBER(SEARCH("part",L83)),UPPER(TRIM(L83))="PT",UPPER(TRIM(L83))="PTE"),Apply2026="Yes",OR($C$10="",N($C$10)&gt;=PT_MinHours)),"PT","None")))</f>
        <v/>
      </c>
      <c r="N83" s="16" t="n">
        <f aca="false">IF(I83&lt;FT_Y5,1,IF(MOD(I83-FT_Y5,12)=0,FT_AnnivDays,1))</f>
        <v>1</v>
      </c>
      <c r="O83" s="16" t="str">
        <f aca="false">IF(K83="","",IF(AND(M83="FT",K83&lt;=AsOfDate,K83&gt;=SchemeStart),IF(AND("FT"="FT",I83=FT_Y5,K83&lt;PolicyEff),1,N83),0))</f>
        <v/>
      </c>
      <c r="P83" s="16" t="str">
        <f aca="false">IF(K83="","",IF(N(O83)&gt;0,"",IF(K83&lt;SchemeStart,"before scheme start",IF(K83&gt;AsOfDate,"future",IF(M83&lt;&gt;"FT","not " &amp; IF("FT"="FT","full-time","eligible part-time") &amp; " on that date","")))))</f>
        <v/>
      </c>
      <c r="Q83" s="16" t="n">
        <v>64</v>
      </c>
      <c r="R83" s="16" t="n">
        <f aca="false">PT_First+PT_Int*63</f>
        <v>312</v>
      </c>
      <c r="S83" s="16" t="str">
        <f aca="false">INT(R83/12)&amp;"y "&amp;MOD(R83,12)&amp;"m"</f>
        <v>26y 0m</v>
      </c>
      <c r="T83" s="14" t="str">
        <f aca="false">IF(OR($C$6&lt;&gt;"Yes",$C$8=""),"",EDATE($C$8,R83))</f>
        <v/>
      </c>
      <c r="U83" s="16" t="str">
        <f aca="false">IF(T83="","",IF($C$16=0,$C$9,IF(AND($C$14&lt;&gt;"",T83&gt;=$C$14),$C$15,IF(AND($C$12&lt;&gt;"",T83&gt;=$C$12),$C$13,$C$11))))</f>
        <v/>
      </c>
      <c r="V83" s="16" t="str">
        <f aca="false">IF(T83="","",IF(OR(ISNUMBER(SEARCH("full",U83)),UPPER(TRIM(U83))="FT",UPPER(TRIM(U83))="FTE"),"FT",IF(AND(OR(ISNUMBER(SEARCH("part",U83)),UPPER(TRIM(U83))="PT",UPPER(TRIM(U83))="PTE"),Apply2026="Yes",OR($C$10="",N($C$10)&gt;=PT_MinHours)),"PT","None")))</f>
        <v/>
      </c>
      <c r="W83" s="16" t="n">
        <v>1</v>
      </c>
      <c r="X83" s="16" t="str">
        <f aca="false">IF(T83="","",IF(AND(V83="PT",T83&lt;=AsOfDate,T83&gt;=SchemeStart),IF(AND("PT"="FT",R83=FT_Y5,T83&lt;PolicyEff),1,W83),0))</f>
        <v/>
      </c>
      <c r="Y83" s="16" t="str">
        <f aca="false">IF(T83="","",IF(N(X83)&gt;0,"",IF(T83&lt;SchemeStart,"before scheme start",IF(T83&gt;AsOfDate,"future",IF(V83&lt;&gt;"PT","not " &amp; IF("PT"="FT","full-time","eligible part-time") &amp; " on that date","")))))</f>
        <v/>
      </c>
      <c r="Z83" s="19" t="n">
        <f aca="false">I83</f>
        <v>231</v>
      </c>
      <c r="AA83" s="19" t="n">
        <f aca="false">SMALL($Z$20:$Z$199,64)</f>
        <v>156</v>
      </c>
      <c r="AB83" s="19" t="str">
        <f aca="false">IF(64-COUNTIF($Z$20:$Z$199,"&lt;"&amp;AA83)=1,IF(COUNTIF($I$20:$I$109,AA83)&gt;0,"FT","PT"),"PT")</f>
        <v>PT</v>
      </c>
      <c r="AC83" s="19" t="n">
        <f aca="false">IF(AB83="FT",INDEX($N$20:$N$109,MATCH(AA83,$I$20:$I$109,0)),1)</f>
        <v>1</v>
      </c>
    </row>
    <row r="84" customFormat="false" ht="15" hidden="false" customHeight="false" outlineLevel="0" collapsed="false">
      <c r="H84" s="16" t="n">
        <v>65</v>
      </c>
      <c r="I84" s="16" t="n">
        <f aca="false">IF(64&lt;FT_PreY5,FT_First+FT_Int1*64,FT_Y5+FT_Int2*(64-FT_PreY5))</f>
        <v>234</v>
      </c>
      <c r="J84" s="16" t="str">
        <f aca="false">INT(I84/12)&amp;"y "&amp;MOD(I84,12)&amp;"m"</f>
        <v>19y 6m</v>
      </c>
      <c r="K84" s="14" t="str">
        <f aca="false">IF(OR($C$6&lt;&gt;"Yes",$C$8=""),"",EDATE($C$8,I84))</f>
        <v/>
      </c>
      <c r="L84" s="16" t="str">
        <f aca="false">IF(K84="","",IF($C$16=0,$C$9,IF(AND($C$14&lt;&gt;"",K84&gt;=$C$14),$C$15,IF(AND($C$12&lt;&gt;"",K84&gt;=$C$12),$C$13,$C$11))))</f>
        <v/>
      </c>
      <c r="M84" s="16" t="str">
        <f aca="false">IF(K84="","",IF(OR(ISNUMBER(SEARCH("full",L84)),UPPER(TRIM(L84))="FT",UPPER(TRIM(L84))="FTE"),"FT",IF(AND(OR(ISNUMBER(SEARCH("part",L84)),UPPER(TRIM(L84))="PT",UPPER(TRIM(L84))="PTE"),Apply2026="Yes",OR($C$10="",N($C$10)&gt;=PT_MinHours)),"PT","None")))</f>
        <v/>
      </c>
      <c r="N84" s="16" t="n">
        <f aca="false">IF(I84&lt;FT_Y5,1,IF(MOD(I84-FT_Y5,12)=0,FT_AnnivDays,1))</f>
        <v>1</v>
      </c>
      <c r="O84" s="16" t="str">
        <f aca="false">IF(K84="","",IF(AND(M84="FT",K84&lt;=AsOfDate,K84&gt;=SchemeStart),IF(AND("FT"="FT",I84=FT_Y5,K84&lt;PolicyEff),1,N84),0))</f>
        <v/>
      </c>
      <c r="P84" s="16" t="str">
        <f aca="false">IF(K84="","",IF(N(O84)&gt;0,"",IF(K84&lt;SchemeStart,"before scheme start",IF(K84&gt;AsOfDate,"future",IF(M84&lt;&gt;"FT","not " &amp; IF("FT"="FT","full-time","eligible part-time") &amp; " on that date","")))))</f>
        <v/>
      </c>
      <c r="Q84" s="16" t="n">
        <v>65</v>
      </c>
      <c r="R84" s="16" t="n">
        <f aca="false">PT_First+PT_Int*64</f>
        <v>316</v>
      </c>
      <c r="S84" s="16" t="str">
        <f aca="false">INT(R84/12)&amp;"y "&amp;MOD(R84,12)&amp;"m"</f>
        <v>26y 4m</v>
      </c>
      <c r="T84" s="14" t="str">
        <f aca="false">IF(OR($C$6&lt;&gt;"Yes",$C$8=""),"",EDATE($C$8,R84))</f>
        <v/>
      </c>
      <c r="U84" s="16" t="str">
        <f aca="false">IF(T84="","",IF($C$16=0,$C$9,IF(AND($C$14&lt;&gt;"",T84&gt;=$C$14),$C$15,IF(AND($C$12&lt;&gt;"",T84&gt;=$C$12),$C$13,$C$11))))</f>
        <v/>
      </c>
      <c r="V84" s="16" t="str">
        <f aca="false">IF(T84="","",IF(OR(ISNUMBER(SEARCH("full",U84)),UPPER(TRIM(U84))="FT",UPPER(TRIM(U84))="FTE"),"FT",IF(AND(OR(ISNUMBER(SEARCH("part",U84)),UPPER(TRIM(U84))="PT",UPPER(TRIM(U84))="PTE"),Apply2026="Yes",OR($C$10="",N($C$10)&gt;=PT_MinHours)),"PT","None")))</f>
        <v/>
      </c>
      <c r="W84" s="16" t="n">
        <v>1</v>
      </c>
      <c r="X84" s="16" t="str">
        <f aca="false">IF(T84="","",IF(AND(V84="PT",T84&lt;=AsOfDate,T84&gt;=SchemeStart),IF(AND("PT"="FT",R84=FT_Y5,T84&lt;PolicyEff),1,W84),0))</f>
        <v/>
      </c>
      <c r="Y84" s="16" t="str">
        <f aca="false">IF(T84="","",IF(N(X84)&gt;0,"",IF(T84&lt;SchemeStart,"before scheme start",IF(T84&gt;AsOfDate,"future",IF(V84&lt;&gt;"PT","not " &amp; IF("PT"="FT","full-time","eligible part-time") &amp; " on that date","")))))</f>
        <v/>
      </c>
      <c r="Z84" s="19" t="n">
        <f aca="false">I84</f>
        <v>234</v>
      </c>
      <c r="AA84" s="19" t="n">
        <f aca="false">SMALL($Z$20:$Z$199,65)</f>
        <v>159</v>
      </c>
      <c r="AB84" s="19" t="str">
        <f aca="false">IF(65-COUNTIF($Z$20:$Z$199,"&lt;"&amp;AA84)=1,IF(COUNTIF($I$20:$I$109,AA84)&gt;0,"FT","PT"),"PT")</f>
        <v>FT</v>
      </c>
      <c r="AC84" s="19" t="n">
        <f aca="false">IF(AB84="FT",INDEX($N$20:$N$109,MATCH(AA84,$I$20:$I$109,0)),1)</f>
        <v>1</v>
      </c>
    </row>
    <row r="85" customFormat="false" ht="15" hidden="false" customHeight="false" outlineLevel="0" collapsed="false">
      <c r="H85" s="16" t="n">
        <v>66</v>
      </c>
      <c r="I85" s="16" t="n">
        <f aca="false">IF(65&lt;FT_PreY5,FT_First+FT_Int1*65,FT_Y5+FT_Int2*(65-FT_PreY5))</f>
        <v>237</v>
      </c>
      <c r="J85" s="16" t="str">
        <f aca="false">INT(I85/12)&amp;"y "&amp;MOD(I85,12)&amp;"m"</f>
        <v>19y 9m</v>
      </c>
      <c r="K85" s="14" t="str">
        <f aca="false">IF(OR($C$6&lt;&gt;"Yes",$C$8=""),"",EDATE($C$8,I85))</f>
        <v/>
      </c>
      <c r="L85" s="16" t="str">
        <f aca="false">IF(K85="","",IF($C$16=0,$C$9,IF(AND($C$14&lt;&gt;"",K85&gt;=$C$14),$C$15,IF(AND($C$12&lt;&gt;"",K85&gt;=$C$12),$C$13,$C$11))))</f>
        <v/>
      </c>
      <c r="M85" s="16" t="str">
        <f aca="false">IF(K85="","",IF(OR(ISNUMBER(SEARCH("full",L85)),UPPER(TRIM(L85))="FT",UPPER(TRIM(L85))="FTE"),"FT",IF(AND(OR(ISNUMBER(SEARCH("part",L85)),UPPER(TRIM(L85))="PT",UPPER(TRIM(L85))="PTE"),Apply2026="Yes",OR($C$10="",N($C$10)&gt;=PT_MinHours)),"PT","None")))</f>
        <v/>
      </c>
      <c r="N85" s="16" t="n">
        <f aca="false">IF(I85&lt;FT_Y5,1,IF(MOD(I85-FT_Y5,12)=0,FT_AnnivDays,1))</f>
        <v>1</v>
      </c>
      <c r="O85" s="16" t="str">
        <f aca="false">IF(K85="","",IF(AND(M85="FT",K85&lt;=AsOfDate,K85&gt;=SchemeStart),IF(AND("FT"="FT",I85=FT_Y5,K85&lt;PolicyEff),1,N85),0))</f>
        <v/>
      </c>
      <c r="P85" s="16" t="str">
        <f aca="false">IF(K85="","",IF(N(O85)&gt;0,"",IF(K85&lt;SchemeStart,"before scheme start",IF(K85&gt;AsOfDate,"future",IF(M85&lt;&gt;"FT","not " &amp; IF("FT"="FT","full-time","eligible part-time") &amp; " on that date","")))))</f>
        <v/>
      </c>
      <c r="Q85" s="16" t="n">
        <v>66</v>
      </c>
      <c r="R85" s="16" t="n">
        <f aca="false">PT_First+PT_Int*65</f>
        <v>320</v>
      </c>
      <c r="S85" s="16" t="str">
        <f aca="false">INT(R85/12)&amp;"y "&amp;MOD(R85,12)&amp;"m"</f>
        <v>26y 8m</v>
      </c>
      <c r="T85" s="14" t="str">
        <f aca="false">IF(OR($C$6&lt;&gt;"Yes",$C$8=""),"",EDATE($C$8,R85))</f>
        <v/>
      </c>
      <c r="U85" s="16" t="str">
        <f aca="false">IF(T85="","",IF($C$16=0,$C$9,IF(AND($C$14&lt;&gt;"",T85&gt;=$C$14),$C$15,IF(AND($C$12&lt;&gt;"",T85&gt;=$C$12),$C$13,$C$11))))</f>
        <v/>
      </c>
      <c r="V85" s="16" t="str">
        <f aca="false">IF(T85="","",IF(OR(ISNUMBER(SEARCH("full",U85)),UPPER(TRIM(U85))="FT",UPPER(TRIM(U85))="FTE"),"FT",IF(AND(OR(ISNUMBER(SEARCH("part",U85)),UPPER(TRIM(U85))="PT",UPPER(TRIM(U85))="PTE"),Apply2026="Yes",OR($C$10="",N($C$10)&gt;=PT_MinHours)),"PT","None")))</f>
        <v/>
      </c>
      <c r="W85" s="16" t="n">
        <v>1</v>
      </c>
      <c r="X85" s="16" t="str">
        <f aca="false">IF(T85="","",IF(AND(V85="PT",T85&lt;=AsOfDate,T85&gt;=SchemeStart),IF(AND("PT"="FT",R85=FT_Y5,T85&lt;PolicyEff),1,W85),0))</f>
        <v/>
      </c>
      <c r="Y85" s="16" t="str">
        <f aca="false">IF(T85="","",IF(N(X85)&gt;0,"",IF(T85&lt;SchemeStart,"before scheme start",IF(T85&gt;AsOfDate,"future",IF(V85&lt;&gt;"PT","not " &amp; IF("PT"="FT","full-time","eligible part-time") &amp; " on that date","")))))</f>
        <v/>
      </c>
      <c r="Z85" s="19" t="n">
        <f aca="false">I85</f>
        <v>237</v>
      </c>
      <c r="AA85" s="19" t="n">
        <f aca="false">SMALL($Z$20:$Z$199,66)</f>
        <v>160</v>
      </c>
      <c r="AB85" s="19" t="str">
        <f aca="false">IF(66-COUNTIF($Z$20:$Z$199,"&lt;"&amp;AA85)=1,IF(COUNTIF($I$20:$I$109,AA85)&gt;0,"FT","PT"),"PT")</f>
        <v>PT</v>
      </c>
      <c r="AC85" s="19" t="n">
        <f aca="false">IF(AB85="FT",INDEX($N$20:$N$109,MATCH(AA85,$I$20:$I$109,0)),1)</f>
        <v>1</v>
      </c>
    </row>
    <row r="86" customFormat="false" ht="15" hidden="false" customHeight="false" outlineLevel="0" collapsed="false">
      <c r="H86" s="16" t="n">
        <v>67</v>
      </c>
      <c r="I86" s="16" t="n">
        <f aca="false">IF(66&lt;FT_PreY5,FT_First+FT_Int1*66,FT_Y5+FT_Int2*(66-FT_PreY5))</f>
        <v>240</v>
      </c>
      <c r="J86" s="16" t="str">
        <f aca="false">INT(I86/12)&amp;"y "&amp;MOD(I86,12)&amp;"m"</f>
        <v>20y 0m</v>
      </c>
      <c r="K86" s="14" t="str">
        <f aca="false">IF(OR($C$6&lt;&gt;"Yes",$C$8=""),"",EDATE($C$8,I86))</f>
        <v/>
      </c>
      <c r="L86" s="16" t="str">
        <f aca="false">IF(K86="","",IF($C$16=0,$C$9,IF(AND($C$14&lt;&gt;"",K86&gt;=$C$14),$C$15,IF(AND($C$12&lt;&gt;"",K86&gt;=$C$12),$C$13,$C$11))))</f>
        <v/>
      </c>
      <c r="M86" s="16" t="str">
        <f aca="false">IF(K86="","",IF(OR(ISNUMBER(SEARCH("full",L86)),UPPER(TRIM(L86))="FT",UPPER(TRIM(L86))="FTE"),"FT",IF(AND(OR(ISNUMBER(SEARCH("part",L86)),UPPER(TRIM(L86))="PT",UPPER(TRIM(L86))="PTE"),Apply2026="Yes",OR($C$10="",N($C$10)&gt;=PT_MinHours)),"PT","None")))</f>
        <v/>
      </c>
      <c r="N86" s="16" t="n">
        <f aca="false">IF(I86&lt;FT_Y5,1,IF(MOD(I86-FT_Y5,12)=0,FT_AnnivDays,1))</f>
        <v>2</v>
      </c>
      <c r="O86" s="16" t="str">
        <f aca="false">IF(K86="","",IF(AND(M86="FT",K86&lt;=AsOfDate,K86&gt;=SchemeStart),IF(AND("FT"="FT",I86=FT_Y5,K86&lt;PolicyEff),1,N86),0))</f>
        <v/>
      </c>
      <c r="P86" s="16" t="str">
        <f aca="false">IF(K86="","",IF(N(O86)&gt;0,"",IF(K86&lt;SchemeStart,"before scheme start",IF(K86&gt;AsOfDate,"future",IF(M86&lt;&gt;"FT","not " &amp; IF("FT"="FT","full-time","eligible part-time") &amp; " on that date","")))))</f>
        <v/>
      </c>
      <c r="Q86" s="16" t="n">
        <v>67</v>
      </c>
      <c r="R86" s="16" t="n">
        <f aca="false">PT_First+PT_Int*66</f>
        <v>324</v>
      </c>
      <c r="S86" s="16" t="str">
        <f aca="false">INT(R86/12)&amp;"y "&amp;MOD(R86,12)&amp;"m"</f>
        <v>27y 0m</v>
      </c>
      <c r="T86" s="14" t="str">
        <f aca="false">IF(OR($C$6&lt;&gt;"Yes",$C$8=""),"",EDATE($C$8,R86))</f>
        <v/>
      </c>
      <c r="U86" s="16" t="str">
        <f aca="false">IF(T86="","",IF($C$16=0,$C$9,IF(AND($C$14&lt;&gt;"",T86&gt;=$C$14),$C$15,IF(AND($C$12&lt;&gt;"",T86&gt;=$C$12),$C$13,$C$11))))</f>
        <v/>
      </c>
      <c r="V86" s="16" t="str">
        <f aca="false">IF(T86="","",IF(OR(ISNUMBER(SEARCH("full",U86)),UPPER(TRIM(U86))="FT",UPPER(TRIM(U86))="FTE"),"FT",IF(AND(OR(ISNUMBER(SEARCH("part",U86)),UPPER(TRIM(U86))="PT",UPPER(TRIM(U86))="PTE"),Apply2026="Yes",OR($C$10="",N($C$10)&gt;=PT_MinHours)),"PT","None")))</f>
        <v/>
      </c>
      <c r="W86" s="16" t="n">
        <v>1</v>
      </c>
      <c r="X86" s="16" t="str">
        <f aca="false">IF(T86="","",IF(AND(V86="PT",T86&lt;=AsOfDate,T86&gt;=SchemeStart),IF(AND("PT"="FT",R86=FT_Y5,T86&lt;PolicyEff),1,W86),0))</f>
        <v/>
      </c>
      <c r="Y86" s="16" t="str">
        <f aca="false">IF(T86="","",IF(N(X86)&gt;0,"",IF(T86&lt;SchemeStart,"before scheme start",IF(T86&gt;AsOfDate,"future",IF(V86&lt;&gt;"PT","not " &amp; IF("PT"="FT","full-time","eligible part-time") &amp; " on that date","")))))</f>
        <v/>
      </c>
      <c r="Z86" s="19" t="n">
        <f aca="false">I86</f>
        <v>240</v>
      </c>
      <c r="AA86" s="19" t="n">
        <f aca="false">SMALL($Z$20:$Z$199,67)</f>
        <v>162</v>
      </c>
      <c r="AB86" s="19" t="str">
        <f aca="false">IF(67-COUNTIF($Z$20:$Z$199,"&lt;"&amp;AA86)=1,IF(COUNTIF($I$20:$I$109,AA86)&gt;0,"FT","PT"),"PT")</f>
        <v>FT</v>
      </c>
      <c r="AC86" s="19" t="n">
        <f aca="false">IF(AB86="FT",INDEX($N$20:$N$109,MATCH(AA86,$I$20:$I$109,0)),1)</f>
        <v>1</v>
      </c>
    </row>
    <row r="87" customFormat="false" ht="15" hidden="false" customHeight="false" outlineLevel="0" collapsed="false">
      <c r="H87" s="16" t="n">
        <v>68</v>
      </c>
      <c r="I87" s="16" t="n">
        <f aca="false">IF(67&lt;FT_PreY5,FT_First+FT_Int1*67,FT_Y5+FT_Int2*(67-FT_PreY5))</f>
        <v>243</v>
      </c>
      <c r="J87" s="16" t="str">
        <f aca="false">INT(I87/12)&amp;"y "&amp;MOD(I87,12)&amp;"m"</f>
        <v>20y 3m</v>
      </c>
      <c r="K87" s="14" t="str">
        <f aca="false">IF(OR($C$6&lt;&gt;"Yes",$C$8=""),"",EDATE($C$8,I87))</f>
        <v/>
      </c>
      <c r="L87" s="16" t="str">
        <f aca="false">IF(K87="","",IF($C$16=0,$C$9,IF(AND($C$14&lt;&gt;"",K87&gt;=$C$14),$C$15,IF(AND($C$12&lt;&gt;"",K87&gt;=$C$12),$C$13,$C$11))))</f>
        <v/>
      </c>
      <c r="M87" s="16" t="str">
        <f aca="false">IF(K87="","",IF(OR(ISNUMBER(SEARCH("full",L87)),UPPER(TRIM(L87))="FT",UPPER(TRIM(L87))="FTE"),"FT",IF(AND(OR(ISNUMBER(SEARCH("part",L87)),UPPER(TRIM(L87))="PT",UPPER(TRIM(L87))="PTE"),Apply2026="Yes",OR($C$10="",N($C$10)&gt;=PT_MinHours)),"PT","None")))</f>
        <v/>
      </c>
      <c r="N87" s="16" t="n">
        <f aca="false">IF(I87&lt;FT_Y5,1,IF(MOD(I87-FT_Y5,12)=0,FT_AnnivDays,1))</f>
        <v>1</v>
      </c>
      <c r="O87" s="16" t="str">
        <f aca="false">IF(K87="","",IF(AND(M87="FT",K87&lt;=AsOfDate,K87&gt;=SchemeStart),IF(AND("FT"="FT",I87=FT_Y5,K87&lt;PolicyEff),1,N87),0))</f>
        <v/>
      </c>
      <c r="P87" s="16" t="str">
        <f aca="false">IF(K87="","",IF(N(O87)&gt;0,"",IF(K87&lt;SchemeStart,"before scheme start",IF(K87&gt;AsOfDate,"future",IF(M87&lt;&gt;"FT","not " &amp; IF("FT"="FT","full-time","eligible part-time") &amp; " on that date","")))))</f>
        <v/>
      </c>
      <c r="Q87" s="16" t="n">
        <v>68</v>
      </c>
      <c r="R87" s="16" t="n">
        <f aca="false">PT_First+PT_Int*67</f>
        <v>328</v>
      </c>
      <c r="S87" s="16" t="str">
        <f aca="false">INT(R87/12)&amp;"y "&amp;MOD(R87,12)&amp;"m"</f>
        <v>27y 4m</v>
      </c>
      <c r="T87" s="14" t="str">
        <f aca="false">IF(OR($C$6&lt;&gt;"Yes",$C$8=""),"",EDATE($C$8,R87))</f>
        <v/>
      </c>
      <c r="U87" s="16" t="str">
        <f aca="false">IF(T87="","",IF($C$16=0,$C$9,IF(AND($C$14&lt;&gt;"",T87&gt;=$C$14),$C$15,IF(AND($C$12&lt;&gt;"",T87&gt;=$C$12),$C$13,$C$11))))</f>
        <v/>
      </c>
      <c r="V87" s="16" t="str">
        <f aca="false">IF(T87="","",IF(OR(ISNUMBER(SEARCH("full",U87)),UPPER(TRIM(U87))="FT",UPPER(TRIM(U87))="FTE"),"FT",IF(AND(OR(ISNUMBER(SEARCH("part",U87)),UPPER(TRIM(U87))="PT",UPPER(TRIM(U87))="PTE"),Apply2026="Yes",OR($C$10="",N($C$10)&gt;=PT_MinHours)),"PT","None")))</f>
        <v/>
      </c>
      <c r="W87" s="16" t="n">
        <v>1</v>
      </c>
      <c r="X87" s="16" t="str">
        <f aca="false">IF(T87="","",IF(AND(V87="PT",T87&lt;=AsOfDate,T87&gt;=SchemeStart),IF(AND("PT"="FT",R87=FT_Y5,T87&lt;PolicyEff),1,W87),0))</f>
        <v/>
      </c>
      <c r="Y87" s="16" t="str">
        <f aca="false">IF(T87="","",IF(N(X87)&gt;0,"",IF(T87&lt;SchemeStart,"before scheme start",IF(T87&gt;AsOfDate,"future",IF(V87&lt;&gt;"PT","not " &amp; IF("PT"="FT","full-time","eligible part-time") &amp; " on that date","")))))</f>
        <v/>
      </c>
      <c r="Z87" s="19" t="n">
        <f aca="false">I87</f>
        <v>243</v>
      </c>
      <c r="AA87" s="19" t="n">
        <f aca="false">SMALL($Z$20:$Z$199,68)</f>
        <v>164</v>
      </c>
      <c r="AB87" s="19" t="str">
        <f aca="false">IF(68-COUNTIF($Z$20:$Z$199,"&lt;"&amp;AA87)=1,IF(COUNTIF($I$20:$I$109,AA87)&gt;0,"FT","PT"),"PT")</f>
        <v>PT</v>
      </c>
      <c r="AC87" s="19" t="n">
        <f aca="false">IF(AB87="FT",INDEX($N$20:$N$109,MATCH(AA87,$I$20:$I$109,0)),1)</f>
        <v>1</v>
      </c>
    </row>
    <row r="88" customFormat="false" ht="15" hidden="false" customHeight="false" outlineLevel="0" collapsed="false">
      <c r="H88" s="16" t="n">
        <v>69</v>
      </c>
      <c r="I88" s="16" t="n">
        <f aca="false">IF(68&lt;FT_PreY5,FT_First+FT_Int1*68,FT_Y5+FT_Int2*(68-FT_PreY5))</f>
        <v>246</v>
      </c>
      <c r="J88" s="16" t="str">
        <f aca="false">INT(I88/12)&amp;"y "&amp;MOD(I88,12)&amp;"m"</f>
        <v>20y 6m</v>
      </c>
      <c r="K88" s="14" t="str">
        <f aca="false">IF(OR($C$6&lt;&gt;"Yes",$C$8=""),"",EDATE($C$8,I88))</f>
        <v/>
      </c>
      <c r="L88" s="16" t="str">
        <f aca="false">IF(K88="","",IF($C$16=0,$C$9,IF(AND($C$14&lt;&gt;"",K88&gt;=$C$14),$C$15,IF(AND($C$12&lt;&gt;"",K88&gt;=$C$12),$C$13,$C$11))))</f>
        <v/>
      </c>
      <c r="M88" s="16" t="str">
        <f aca="false">IF(K88="","",IF(OR(ISNUMBER(SEARCH("full",L88)),UPPER(TRIM(L88))="FT",UPPER(TRIM(L88))="FTE"),"FT",IF(AND(OR(ISNUMBER(SEARCH("part",L88)),UPPER(TRIM(L88))="PT",UPPER(TRIM(L88))="PTE"),Apply2026="Yes",OR($C$10="",N($C$10)&gt;=PT_MinHours)),"PT","None")))</f>
        <v/>
      </c>
      <c r="N88" s="16" t="n">
        <f aca="false">IF(I88&lt;FT_Y5,1,IF(MOD(I88-FT_Y5,12)=0,FT_AnnivDays,1))</f>
        <v>1</v>
      </c>
      <c r="O88" s="16" t="str">
        <f aca="false">IF(K88="","",IF(AND(M88="FT",K88&lt;=AsOfDate,K88&gt;=SchemeStart),IF(AND("FT"="FT",I88=FT_Y5,K88&lt;PolicyEff),1,N88),0))</f>
        <v/>
      </c>
      <c r="P88" s="16" t="str">
        <f aca="false">IF(K88="","",IF(N(O88)&gt;0,"",IF(K88&lt;SchemeStart,"before scheme start",IF(K88&gt;AsOfDate,"future",IF(M88&lt;&gt;"FT","not " &amp; IF("FT"="FT","full-time","eligible part-time") &amp; " on that date","")))))</f>
        <v/>
      </c>
      <c r="Q88" s="16" t="n">
        <v>69</v>
      </c>
      <c r="R88" s="16" t="n">
        <f aca="false">PT_First+PT_Int*68</f>
        <v>332</v>
      </c>
      <c r="S88" s="16" t="str">
        <f aca="false">INT(R88/12)&amp;"y "&amp;MOD(R88,12)&amp;"m"</f>
        <v>27y 8m</v>
      </c>
      <c r="T88" s="14" t="str">
        <f aca="false">IF(OR($C$6&lt;&gt;"Yes",$C$8=""),"",EDATE($C$8,R88))</f>
        <v/>
      </c>
      <c r="U88" s="16" t="str">
        <f aca="false">IF(T88="","",IF($C$16=0,$C$9,IF(AND($C$14&lt;&gt;"",T88&gt;=$C$14),$C$15,IF(AND($C$12&lt;&gt;"",T88&gt;=$C$12),$C$13,$C$11))))</f>
        <v/>
      </c>
      <c r="V88" s="16" t="str">
        <f aca="false">IF(T88="","",IF(OR(ISNUMBER(SEARCH("full",U88)),UPPER(TRIM(U88))="FT",UPPER(TRIM(U88))="FTE"),"FT",IF(AND(OR(ISNUMBER(SEARCH("part",U88)),UPPER(TRIM(U88))="PT",UPPER(TRIM(U88))="PTE"),Apply2026="Yes",OR($C$10="",N($C$10)&gt;=PT_MinHours)),"PT","None")))</f>
        <v/>
      </c>
      <c r="W88" s="16" t="n">
        <v>1</v>
      </c>
      <c r="X88" s="16" t="str">
        <f aca="false">IF(T88="","",IF(AND(V88="PT",T88&lt;=AsOfDate,T88&gt;=SchemeStart),IF(AND("PT"="FT",R88=FT_Y5,T88&lt;PolicyEff),1,W88),0))</f>
        <v/>
      </c>
      <c r="Y88" s="16" t="str">
        <f aca="false">IF(T88="","",IF(N(X88)&gt;0,"",IF(T88&lt;SchemeStart,"before scheme start",IF(T88&gt;AsOfDate,"future",IF(V88&lt;&gt;"PT","not " &amp; IF("PT"="FT","full-time","eligible part-time") &amp; " on that date","")))))</f>
        <v/>
      </c>
      <c r="Z88" s="19" t="n">
        <f aca="false">I88</f>
        <v>246</v>
      </c>
      <c r="AA88" s="19" t="n">
        <f aca="false">SMALL($Z$20:$Z$199,69)</f>
        <v>165</v>
      </c>
      <c r="AB88" s="19" t="str">
        <f aca="false">IF(69-COUNTIF($Z$20:$Z$199,"&lt;"&amp;AA88)=1,IF(COUNTIF($I$20:$I$109,AA88)&gt;0,"FT","PT"),"PT")</f>
        <v>FT</v>
      </c>
      <c r="AC88" s="19" t="n">
        <f aca="false">IF(AB88="FT",INDEX($N$20:$N$109,MATCH(AA88,$I$20:$I$109,0)),1)</f>
        <v>1</v>
      </c>
    </row>
    <row r="89" customFormat="false" ht="15" hidden="false" customHeight="false" outlineLevel="0" collapsed="false">
      <c r="H89" s="16" t="n">
        <v>70</v>
      </c>
      <c r="I89" s="16" t="n">
        <f aca="false">IF(69&lt;FT_PreY5,FT_First+FT_Int1*69,FT_Y5+FT_Int2*(69-FT_PreY5))</f>
        <v>249</v>
      </c>
      <c r="J89" s="16" t="str">
        <f aca="false">INT(I89/12)&amp;"y "&amp;MOD(I89,12)&amp;"m"</f>
        <v>20y 9m</v>
      </c>
      <c r="K89" s="14" t="str">
        <f aca="false">IF(OR($C$6&lt;&gt;"Yes",$C$8=""),"",EDATE($C$8,I89))</f>
        <v/>
      </c>
      <c r="L89" s="16" t="str">
        <f aca="false">IF(K89="","",IF($C$16=0,$C$9,IF(AND($C$14&lt;&gt;"",K89&gt;=$C$14),$C$15,IF(AND($C$12&lt;&gt;"",K89&gt;=$C$12),$C$13,$C$11))))</f>
        <v/>
      </c>
      <c r="M89" s="16" t="str">
        <f aca="false">IF(K89="","",IF(OR(ISNUMBER(SEARCH("full",L89)),UPPER(TRIM(L89))="FT",UPPER(TRIM(L89))="FTE"),"FT",IF(AND(OR(ISNUMBER(SEARCH("part",L89)),UPPER(TRIM(L89))="PT",UPPER(TRIM(L89))="PTE"),Apply2026="Yes",OR($C$10="",N($C$10)&gt;=PT_MinHours)),"PT","None")))</f>
        <v/>
      </c>
      <c r="N89" s="16" t="n">
        <f aca="false">IF(I89&lt;FT_Y5,1,IF(MOD(I89-FT_Y5,12)=0,FT_AnnivDays,1))</f>
        <v>1</v>
      </c>
      <c r="O89" s="16" t="str">
        <f aca="false">IF(K89="","",IF(AND(M89="FT",K89&lt;=AsOfDate,K89&gt;=SchemeStart),IF(AND("FT"="FT",I89=FT_Y5,K89&lt;PolicyEff),1,N89),0))</f>
        <v/>
      </c>
      <c r="P89" s="16" t="str">
        <f aca="false">IF(K89="","",IF(N(O89)&gt;0,"",IF(K89&lt;SchemeStart,"before scheme start",IF(K89&gt;AsOfDate,"future",IF(M89&lt;&gt;"FT","not " &amp; IF("FT"="FT","full-time","eligible part-time") &amp; " on that date","")))))</f>
        <v/>
      </c>
      <c r="Q89" s="16" t="n">
        <v>70</v>
      </c>
      <c r="R89" s="16" t="n">
        <f aca="false">PT_First+PT_Int*69</f>
        <v>336</v>
      </c>
      <c r="S89" s="16" t="str">
        <f aca="false">INT(R89/12)&amp;"y "&amp;MOD(R89,12)&amp;"m"</f>
        <v>28y 0m</v>
      </c>
      <c r="T89" s="14" t="str">
        <f aca="false">IF(OR($C$6&lt;&gt;"Yes",$C$8=""),"",EDATE($C$8,R89))</f>
        <v/>
      </c>
      <c r="U89" s="16" t="str">
        <f aca="false">IF(T89="","",IF($C$16=0,$C$9,IF(AND($C$14&lt;&gt;"",T89&gt;=$C$14),$C$15,IF(AND($C$12&lt;&gt;"",T89&gt;=$C$12),$C$13,$C$11))))</f>
        <v/>
      </c>
      <c r="V89" s="16" t="str">
        <f aca="false">IF(T89="","",IF(OR(ISNUMBER(SEARCH("full",U89)),UPPER(TRIM(U89))="FT",UPPER(TRIM(U89))="FTE"),"FT",IF(AND(OR(ISNUMBER(SEARCH("part",U89)),UPPER(TRIM(U89))="PT",UPPER(TRIM(U89))="PTE"),Apply2026="Yes",OR($C$10="",N($C$10)&gt;=PT_MinHours)),"PT","None")))</f>
        <v/>
      </c>
      <c r="W89" s="16" t="n">
        <v>1</v>
      </c>
      <c r="X89" s="16" t="str">
        <f aca="false">IF(T89="","",IF(AND(V89="PT",T89&lt;=AsOfDate,T89&gt;=SchemeStart),IF(AND("PT"="FT",R89=FT_Y5,T89&lt;PolicyEff),1,W89),0))</f>
        <v/>
      </c>
      <c r="Y89" s="16" t="str">
        <f aca="false">IF(T89="","",IF(N(X89)&gt;0,"",IF(T89&lt;SchemeStart,"before scheme start",IF(T89&gt;AsOfDate,"future",IF(V89&lt;&gt;"PT","not " &amp; IF("PT"="FT","full-time","eligible part-time") &amp; " on that date","")))))</f>
        <v/>
      </c>
      <c r="Z89" s="19" t="n">
        <f aca="false">I89</f>
        <v>249</v>
      </c>
      <c r="AA89" s="19" t="n">
        <f aca="false">SMALL($Z$20:$Z$199,70)</f>
        <v>168</v>
      </c>
      <c r="AB89" s="19" t="str">
        <f aca="false">IF(70-COUNTIF($Z$20:$Z$199,"&lt;"&amp;AA89)=1,IF(COUNTIF($I$20:$I$109,AA89)&gt;0,"FT","PT"),"PT")</f>
        <v>FT</v>
      </c>
      <c r="AC89" s="19" t="n">
        <f aca="false">IF(AB89="FT",INDEX($N$20:$N$109,MATCH(AA89,$I$20:$I$109,0)),1)</f>
        <v>2</v>
      </c>
    </row>
    <row r="90" customFormat="false" ht="15" hidden="false" customHeight="false" outlineLevel="0" collapsed="false">
      <c r="H90" s="16" t="n">
        <v>71</v>
      </c>
      <c r="I90" s="16" t="n">
        <f aca="false">IF(70&lt;FT_PreY5,FT_First+FT_Int1*70,FT_Y5+FT_Int2*(70-FT_PreY5))</f>
        <v>252</v>
      </c>
      <c r="J90" s="16" t="str">
        <f aca="false">INT(I90/12)&amp;"y "&amp;MOD(I90,12)&amp;"m"</f>
        <v>21y 0m</v>
      </c>
      <c r="K90" s="14" t="str">
        <f aca="false">IF(OR($C$6&lt;&gt;"Yes",$C$8=""),"",EDATE($C$8,I90))</f>
        <v/>
      </c>
      <c r="L90" s="16" t="str">
        <f aca="false">IF(K90="","",IF($C$16=0,$C$9,IF(AND($C$14&lt;&gt;"",K90&gt;=$C$14),$C$15,IF(AND($C$12&lt;&gt;"",K90&gt;=$C$12),$C$13,$C$11))))</f>
        <v/>
      </c>
      <c r="M90" s="16" t="str">
        <f aca="false">IF(K90="","",IF(OR(ISNUMBER(SEARCH("full",L90)),UPPER(TRIM(L90))="FT",UPPER(TRIM(L90))="FTE"),"FT",IF(AND(OR(ISNUMBER(SEARCH("part",L90)),UPPER(TRIM(L90))="PT",UPPER(TRIM(L90))="PTE"),Apply2026="Yes",OR($C$10="",N($C$10)&gt;=PT_MinHours)),"PT","None")))</f>
        <v/>
      </c>
      <c r="N90" s="16" t="n">
        <f aca="false">IF(I90&lt;FT_Y5,1,IF(MOD(I90-FT_Y5,12)=0,FT_AnnivDays,1))</f>
        <v>2</v>
      </c>
      <c r="O90" s="16" t="str">
        <f aca="false">IF(K90="","",IF(AND(M90="FT",K90&lt;=AsOfDate,K90&gt;=SchemeStart),IF(AND("FT"="FT",I90=FT_Y5,K90&lt;PolicyEff),1,N90),0))</f>
        <v/>
      </c>
      <c r="P90" s="16" t="str">
        <f aca="false">IF(K90="","",IF(N(O90)&gt;0,"",IF(K90&lt;SchemeStart,"before scheme start",IF(K90&gt;AsOfDate,"future",IF(M90&lt;&gt;"FT","not " &amp; IF("FT"="FT","full-time","eligible part-time") &amp; " on that date","")))))</f>
        <v/>
      </c>
      <c r="Q90" s="16" t="n">
        <v>71</v>
      </c>
      <c r="R90" s="16" t="n">
        <f aca="false">PT_First+PT_Int*70</f>
        <v>340</v>
      </c>
      <c r="S90" s="16" t="str">
        <f aca="false">INT(R90/12)&amp;"y "&amp;MOD(R90,12)&amp;"m"</f>
        <v>28y 4m</v>
      </c>
      <c r="T90" s="14" t="str">
        <f aca="false">IF(OR($C$6&lt;&gt;"Yes",$C$8=""),"",EDATE($C$8,R90))</f>
        <v/>
      </c>
      <c r="U90" s="16" t="str">
        <f aca="false">IF(T90="","",IF($C$16=0,$C$9,IF(AND($C$14&lt;&gt;"",T90&gt;=$C$14),$C$15,IF(AND($C$12&lt;&gt;"",T90&gt;=$C$12),$C$13,$C$11))))</f>
        <v/>
      </c>
      <c r="V90" s="16" t="str">
        <f aca="false">IF(T90="","",IF(OR(ISNUMBER(SEARCH("full",U90)),UPPER(TRIM(U90))="FT",UPPER(TRIM(U90))="FTE"),"FT",IF(AND(OR(ISNUMBER(SEARCH("part",U90)),UPPER(TRIM(U90))="PT",UPPER(TRIM(U90))="PTE"),Apply2026="Yes",OR($C$10="",N($C$10)&gt;=PT_MinHours)),"PT","None")))</f>
        <v/>
      </c>
      <c r="W90" s="16" t="n">
        <v>1</v>
      </c>
      <c r="X90" s="16" t="str">
        <f aca="false">IF(T90="","",IF(AND(V90="PT",T90&lt;=AsOfDate,T90&gt;=SchemeStart),IF(AND("PT"="FT",R90=FT_Y5,T90&lt;PolicyEff),1,W90),0))</f>
        <v/>
      </c>
      <c r="Y90" s="16" t="str">
        <f aca="false">IF(T90="","",IF(N(X90)&gt;0,"",IF(T90&lt;SchemeStart,"before scheme start",IF(T90&gt;AsOfDate,"future",IF(V90&lt;&gt;"PT","not " &amp; IF("PT"="FT","full-time","eligible part-time") &amp; " on that date","")))))</f>
        <v/>
      </c>
      <c r="Z90" s="19" t="n">
        <f aca="false">I90</f>
        <v>252</v>
      </c>
      <c r="AA90" s="19" t="n">
        <f aca="false">SMALL($Z$20:$Z$199,71)</f>
        <v>168</v>
      </c>
      <c r="AB90" s="19" t="str">
        <f aca="false">IF(71-COUNTIF($Z$20:$Z$199,"&lt;"&amp;AA90)=1,IF(COUNTIF($I$20:$I$109,AA90)&gt;0,"FT","PT"),"PT")</f>
        <v>PT</v>
      </c>
      <c r="AC90" s="19" t="n">
        <f aca="false">IF(AB90="FT",INDEX($N$20:$N$109,MATCH(AA90,$I$20:$I$109,0)),1)</f>
        <v>1</v>
      </c>
    </row>
    <row r="91" customFormat="false" ht="15" hidden="false" customHeight="false" outlineLevel="0" collapsed="false">
      <c r="H91" s="16" t="n">
        <v>72</v>
      </c>
      <c r="I91" s="16" t="n">
        <f aca="false">IF(71&lt;FT_PreY5,FT_First+FT_Int1*71,FT_Y5+FT_Int2*(71-FT_PreY5))</f>
        <v>255</v>
      </c>
      <c r="J91" s="16" t="str">
        <f aca="false">INT(I91/12)&amp;"y "&amp;MOD(I91,12)&amp;"m"</f>
        <v>21y 3m</v>
      </c>
      <c r="K91" s="14" t="str">
        <f aca="false">IF(OR($C$6&lt;&gt;"Yes",$C$8=""),"",EDATE($C$8,I91))</f>
        <v/>
      </c>
      <c r="L91" s="16" t="str">
        <f aca="false">IF(K91="","",IF($C$16=0,$C$9,IF(AND($C$14&lt;&gt;"",K91&gt;=$C$14),$C$15,IF(AND($C$12&lt;&gt;"",K91&gt;=$C$12),$C$13,$C$11))))</f>
        <v/>
      </c>
      <c r="M91" s="16" t="str">
        <f aca="false">IF(K91="","",IF(OR(ISNUMBER(SEARCH("full",L91)),UPPER(TRIM(L91))="FT",UPPER(TRIM(L91))="FTE"),"FT",IF(AND(OR(ISNUMBER(SEARCH("part",L91)),UPPER(TRIM(L91))="PT",UPPER(TRIM(L91))="PTE"),Apply2026="Yes",OR($C$10="",N($C$10)&gt;=PT_MinHours)),"PT","None")))</f>
        <v/>
      </c>
      <c r="N91" s="16" t="n">
        <f aca="false">IF(I91&lt;FT_Y5,1,IF(MOD(I91-FT_Y5,12)=0,FT_AnnivDays,1))</f>
        <v>1</v>
      </c>
      <c r="O91" s="16" t="str">
        <f aca="false">IF(K91="","",IF(AND(M91="FT",K91&lt;=AsOfDate,K91&gt;=SchemeStart),IF(AND("FT"="FT",I91=FT_Y5,K91&lt;PolicyEff),1,N91),0))</f>
        <v/>
      </c>
      <c r="P91" s="16" t="str">
        <f aca="false">IF(K91="","",IF(N(O91)&gt;0,"",IF(K91&lt;SchemeStart,"before scheme start",IF(K91&gt;AsOfDate,"future",IF(M91&lt;&gt;"FT","not " &amp; IF("FT"="FT","full-time","eligible part-time") &amp; " on that date","")))))</f>
        <v/>
      </c>
      <c r="Q91" s="16" t="n">
        <v>72</v>
      </c>
      <c r="R91" s="16" t="n">
        <f aca="false">PT_First+PT_Int*71</f>
        <v>344</v>
      </c>
      <c r="S91" s="16" t="str">
        <f aca="false">INT(R91/12)&amp;"y "&amp;MOD(R91,12)&amp;"m"</f>
        <v>28y 8m</v>
      </c>
      <c r="T91" s="14" t="str">
        <f aca="false">IF(OR($C$6&lt;&gt;"Yes",$C$8=""),"",EDATE($C$8,R91))</f>
        <v/>
      </c>
      <c r="U91" s="16" t="str">
        <f aca="false">IF(T91="","",IF($C$16=0,$C$9,IF(AND($C$14&lt;&gt;"",T91&gt;=$C$14),$C$15,IF(AND($C$12&lt;&gt;"",T91&gt;=$C$12),$C$13,$C$11))))</f>
        <v/>
      </c>
      <c r="V91" s="16" t="str">
        <f aca="false">IF(T91="","",IF(OR(ISNUMBER(SEARCH("full",U91)),UPPER(TRIM(U91))="FT",UPPER(TRIM(U91))="FTE"),"FT",IF(AND(OR(ISNUMBER(SEARCH("part",U91)),UPPER(TRIM(U91))="PT",UPPER(TRIM(U91))="PTE"),Apply2026="Yes",OR($C$10="",N($C$10)&gt;=PT_MinHours)),"PT","None")))</f>
        <v/>
      </c>
      <c r="W91" s="16" t="n">
        <v>1</v>
      </c>
      <c r="X91" s="16" t="str">
        <f aca="false">IF(T91="","",IF(AND(V91="PT",T91&lt;=AsOfDate,T91&gt;=SchemeStart),IF(AND("PT"="FT",R91=FT_Y5,T91&lt;PolicyEff),1,W91),0))</f>
        <v/>
      </c>
      <c r="Y91" s="16" t="str">
        <f aca="false">IF(T91="","",IF(N(X91)&gt;0,"",IF(T91&lt;SchemeStart,"before scheme start",IF(T91&gt;AsOfDate,"future",IF(V91&lt;&gt;"PT","not " &amp; IF("PT"="FT","full-time","eligible part-time") &amp; " on that date","")))))</f>
        <v/>
      </c>
      <c r="Z91" s="19" t="n">
        <f aca="false">I91</f>
        <v>255</v>
      </c>
      <c r="AA91" s="19" t="n">
        <f aca="false">SMALL($Z$20:$Z$199,72)</f>
        <v>171</v>
      </c>
      <c r="AB91" s="19" t="str">
        <f aca="false">IF(72-COUNTIF($Z$20:$Z$199,"&lt;"&amp;AA91)=1,IF(COUNTIF($I$20:$I$109,AA91)&gt;0,"FT","PT"),"PT")</f>
        <v>FT</v>
      </c>
      <c r="AC91" s="19" t="n">
        <f aca="false">IF(AB91="FT",INDEX($N$20:$N$109,MATCH(AA91,$I$20:$I$109,0)),1)</f>
        <v>1</v>
      </c>
    </row>
    <row r="92" customFormat="false" ht="15" hidden="false" customHeight="false" outlineLevel="0" collapsed="false">
      <c r="H92" s="16" t="n">
        <v>73</v>
      </c>
      <c r="I92" s="16" t="n">
        <f aca="false">IF(72&lt;FT_PreY5,FT_First+FT_Int1*72,FT_Y5+FT_Int2*(72-FT_PreY5))</f>
        <v>258</v>
      </c>
      <c r="J92" s="16" t="str">
        <f aca="false">INT(I92/12)&amp;"y "&amp;MOD(I92,12)&amp;"m"</f>
        <v>21y 6m</v>
      </c>
      <c r="K92" s="14" t="str">
        <f aca="false">IF(OR($C$6&lt;&gt;"Yes",$C$8=""),"",EDATE($C$8,I92))</f>
        <v/>
      </c>
      <c r="L92" s="16" t="str">
        <f aca="false">IF(K92="","",IF($C$16=0,$C$9,IF(AND($C$14&lt;&gt;"",K92&gt;=$C$14),$C$15,IF(AND($C$12&lt;&gt;"",K92&gt;=$C$12),$C$13,$C$11))))</f>
        <v/>
      </c>
      <c r="M92" s="16" t="str">
        <f aca="false">IF(K92="","",IF(OR(ISNUMBER(SEARCH("full",L92)),UPPER(TRIM(L92))="FT",UPPER(TRIM(L92))="FTE"),"FT",IF(AND(OR(ISNUMBER(SEARCH("part",L92)),UPPER(TRIM(L92))="PT",UPPER(TRIM(L92))="PTE"),Apply2026="Yes",OR($C$10="",N($C$10)&gt;=PT_MinHours)),"PT","None")))</f>
        <v/>
      </c>
      <c r="N92" s="16" t="n">
        <f aca="false">IF(I92&lt;FT_Y5,1,IF(MOD(I92-FT_Y5,12)=0,FT_AnnivDays,1))</f>
        <v>1</v>
      </c>
      <c r="O92" s="16" t="str">
        <f aca="false">IF(K92="","",IF(AND(M92="FT",K92&lt;=AsOfDate,K92&gt;=SchemeStart),IF(AND("FT"="FT",I92=FT_Y5,K92&lt;PolicyEff),1,N92),0))</f>
        <v/>
      </c>
      <c r="P92" s="16" t="str">
        <f aca="false">IF(K92="","",IF(N(O92)&gt;0,"",IF(K92&lt;SchemeStart,"before scheme start",IF(K92&gt;AsOfDate,"future",IF(M92&lt;&gt;"FT","not " &amp; IF("FT"="FT","full-time","eligible part-time") &amp; " on that date","")))))</f>
        <v/>
      </c>
      <c r="Q92" s="16" t="n">
        <v>73</v>
      </c>
      <c r="R92" s="16" t="n">
        <f aca="false">PT_First+PT_Int*72</f>
        <v>348</v>
      </c>
      <c r="S92" s="16" t="str">
        <f aca="false">INT(R92/12)&amp;"y "&amp;MOD(R92,12)&amp;"m"</f>
        <v>29y 0m</v>
      </c>
      <c r="T92" s="14" t="str">
        <f aca="false">IF(OR($C$6&lt;&gt;"Yes",$C$8=""),"",EDATE($C$8,R92))</f>
        <v/>
      </c>
      <c r="U92" s="16" t="str">
        <f aca="false">IF(T92="","",IF($C$16=0,$C$9,IF(AND($C$14&lt;&gt;"",T92&gt;=$C$14),$C$15,IF(AND($C$12&lt;&gt;"",T92&gt;=$C$12),$C$13,$C$11))))</f>
        <v/>
      </c>
      <c r="V92" s="16" t="str">
        <f aca="false">IF(T92="","",IF(OR(ISNUMBER(SEARCH("full",U92)),UPPER(TRIM(U92))="FT",UPPER(TRIM(U92))="FTE"),"FT",IF(AND(OR(ISNUMBER(SEARCH("part",U92)),UPPER(TRIM(U92))="PT",UPPER(TRIM(U92))="PTE"),Apply2026="Yes",OR($C$10="",N($C$10)&gt;=PT_MinHours)),"PT","None")))</f>
        <v/>
      </c>
      <c r="W92" s="16" t="n">
        <v>1</v>
      </c>
      <c r="X92" s="16" t="str">
        <f aca="false">IF(T92="","",IF(AND(V92="PT",T92&lt;=AsOfDate,T92&gt;=SchemeStart),IF(AND("PT"="FT",R92=FT_Y5,T92&lt;PolicyEff),1,W92),0))</f>
        <v/>
      </c>
      <c r="Y92" s="16" t="str">
        <f aca="false">IF(T92="","",IF(N(X92)&gt;0,"",IF(T92&lt;SchemeStart,"before scheme start",IF(T92&gt;AsOfDate,"future",IF(V92&lt;&gt;"PT","not " &amp; IF("PT"="FT","full-time","eligible part-time") &amp; " on that date","")))))</f>
        <v/>
      </c>
      <c r="Z92" s="19" t="n">
        <f aca="false">I92</f>
        <v>258</v>
      </c>
      <c r="AA92" s="19" t="n">
        <f aca="false">SMALL($Z$20:$Z$199,73)</f>
        <v>172</v>
      </c>
      <c r="AB92" s="19" t="str">
        <f aca="false">IF(73-COUNTIF($Z$20:$Z$199,"&lt;"&amp;AA92)=1,IF(COUNTIF($I$20:$I$109,AA92)&gt;0,"FT","PT"),"PT")</f>
        <v>PT</v>
      </c>
      <c r="AC92" s="19" t="n">
        <f aca="false">IF(AB92="FT",INDEX($N$20:$N$109,MATCH(AA92,$I$20:$I$109,0)),1)</f>
        <v>1</v>
      </c>
    </row>
    <row r="93" customFormat="false" ht="15" hidden="false" customHeight="false" outlineLevel="0" collapsed="false">
      <c r="H93" s="16" t="n">
        <v>74</v>
      </c>
      <c r="I93" s="16" t="n">
        <f aca="false">IF(73&lt;FT_PreY5,FT_First+FT_Int1*73,FT_Y5+FT_Int2*(73-FT_PreY5))</f>
        <v>261</v>
      </c>
      <c r="J93" s="16" t="str">
        <f aca="false">INT(I93/12)&amp;"y "&amp;MOD(I93,12)&amp;"m"</f>
        <v>21y 9m</v>
      </c>
      <c r="K93" s="14" t="str">
        <f aca="false">IF(OR($C$6&lt;&gt;"Yes",$C$8=""),"",EDATE($C$8,I93))</f>
        <v/>
      </c>
      <c r="L93" s="16" t="str">
        <f aca="false">IF(K93="","",IF($C$16=0,$C$9,IF(AND($C$14&lt;&gt;"",K93&gt;=$C$14),$C$15,IF(AND($C$12&lt;&gt;"",K93&gt;=$C$12),$C$13,$C$11))))</f>
        <v/>
      </c>
      <c r="M93" s="16" t="str">
        <f aca="false">IF(K93="","",IF(OR(ISNUMBER(SEARCH("full",L93)),UPPER(TRIM(L93))="FT",UPPER(TRIM(L93))="FTE"),"FT",IF(AND(OR(ISNUMBER(SEARCH("part",L93)),UPPER(TRIM(L93))="PT",UPPER(TRIM(L93))="PTE"),Apply2026="Yes",OR($C$10="",N($C$10)&gt;=PT_MinHours)),"PT","None")))</f>
        <v/>
      </c>
      <c r="N93" s="16" t="n">
        <f aca="false">IF(I93&lt;FT_Y5,1,IF(MOD(I93-FT_Y5,12)=0,FT_AnnivDays,1))</f>
        <v>1</v>
      </c>
      <c r="O93" s="16" t="str">
        <f aca="false">IF(K93="","",IF(AND(M93="FT",K93&lt;=AsOfDate,K93&gt;=SchemeStart),IF(AND("FT"="FT",I93=FT_Y5,K93&lt;PolicyEff),1,N93),0))</f>
        <v/>
      </c>
      <c r="P93" s="16" t="str">
        <f aca="false">IF(K93="","",IF(N(O93)&gt;0,"",IF(K93&lt;SchemeStart,"before scheme start",IF(K93&gt;AsOfDate,"future",IF(M93&lt;&gt;"FT","not " &amp; IF("FT"="FT","full-time","eligible part-time") &amp; " on that date","")))))</f>
        <v/>
      </c>
      <c r="Q93" s="16" t="n">
        <v>74</v>
      </c>
      <c r="R93" s="16" t="n">
        <f aca="false">PT_First+PT_Int*73</f>
        <v>352</v>
      </c>
      <c r="S93" s="16" t="str">
        <f aca="false">INT(R93/12)&amp;"y "&amp;MOD(R93,12)&amp;"m"</f>
        <v>29y 4m</v>
      </c>
      <c r="T93" s="14" t="str">
        <f aca="false">IF(OR($C$6&lt;&gt;"Yes",$C$8=""),"",EDATE($C$8,R93))</f>
        <v/>
      </c>
      <c r="U93" s="16" t="str">
        <f aca="false">IF(T93="","",IF($C$16=0,$C$9,IF(AND($C$14&lt;&gt;"",T93&gt;=$C$14),$C$15,IF(AND($C$12&lt;&gt;"",T93&gt;=$C$12),$C$13,$C$11))))</f>
        <v/>
      </c>
      <c r="V93" s="16" t="str">
        <f aca="false">IF(T93="","",IF(OR(ISNUMBER(SEARCH("full",U93)),UPPER(TRIM(U93))="FT",UPPER(TRIM(U93))="FTE"),"FT",IF(AND(OR(ISNUMBER(SEARCH("part",U93)),UPPER(TRIM(U93))="PT",UPPER(TRIM(U93))="PTE"),Apply2026="Yes",OR($C$10="",N($C$10)&gt;=PT_MinHours)),"PT","None")))</f>
        <v/>
      </c>
      <c r="W93" s="16" t="n">
        <v>1</v>
      </c>
      <c r="X93" s="16" t="str">
        <f aca="false">IF(T93="","",IF(AND(V93="PT",T93&lt;=AsOfDate,T93&gt;=SchemeStart),IF(AND("PT"="FT",R93=FT_Y5,T93&lt;PolicyEff),1,W93),0))</f>
        <v/>
      </c>
      <c r="Y93" s="16" t="str">
        <f aca="false">IF(T93="","",IF(N(X93)&gt;0,"",IF(T93&lt;SchemeStart,"before scheme start",IF(T93&gt;AsOfDate,"future",IF(V93&lt;&gt;"PT","not " &amp; IF("PT"="FT","full-time","eligible part-time") &amp; " on that date","")))))</f>
        <v/>
      </c>
      <c r="Z93" s="19" t="n">
        <f aca="false">I93</f>
        <v>261</v>
      </c>
      <c r="AA93" s="19" t="n">
        <f aca="false">SMALL($Z$20:$Z$199,74)</f>
        <v>174</v>
      </c>
      <c r="AB93" s="19" t="str">
        <f aca="false">IF(74-COUNTIF($Z$20:$Z$199,"&lt;"&amp;AA93)=1,IF(COUNTIF($I$20:$I$109,AA93)&gt;0,"FT","PT"),"PT")</f>
        <v>FT</v>
      </c>
      <c r="AC93" s="19" t="n">
        <f aca="false">IF(AB93="FT",INDEX($N$20:$N$109,MATCH(AA93,$I$20:$I$109,0)),1)</f>
        <v>1</v>
      </c>
    </row>
    <row r="94" customFormat="false" ht="15" hidden="false" customHeight="false" outlineLevel="0" collapsed="false">
      <c r="H94" s="16" t="n">
        <v>75</v>
      </c>
      <c r="I94" s="16" t="n">
        <f aca="false">IF(74&lt;FT_PreY5,FT_First+FT_Int1*74,FT_Y5+FT_Int2*(74-FT_PreY5))</f>
        <v>264</v>
      </c>
      <c r="J94" s="16" t="str">
        <f aca="false">INT(I94/12)&amp;"y "&amp;MOD(I94,12)&amp;"m"</f>
        <v>22y 0m</v>
      </c>
      <c r="K94" s="14" t="str">
        <f aca="false">IF(OR($C$6&lt;&gt;"Yes",$C$8=""),"",EDATE($C$8,I94))</f>
        <v/>
      </c>
      <c r="L94" s="16" t="str">
        <f aca="false">IF(K94="","",IF($C$16=0,$C$9,IF(AND($C$14&lt;&gt;"",K94&gt;=$C$14),$C$15,IF(AND($C$12&lt;&gt;"",K94&gt;=$C$12),$C$13,$C$11))))</f>
        <v/>
      </c>
      <c r="M94" s="16" t="str">
        <f aca="false">IF(K94="","",IF(OR(ISNUMBER(SEARCH("full",L94)),UPPER(TRIM(L94))="FT",UPPER(TRIM(L94))="FTE"),"FT",IF(AND(OR(ISNUMBER(SEARCH("part",L94)),UPPER(TRIM(L94))="PT",UPPER(TRIM(L94))="PTE"),Apply2026="Yes",OR($C$10="",N($C$10)&gt;=PT_MinHours)),"PT","None")))</f>
        <v/>
      </c>
      <c r="N94" s="16" t="n">
        <f aca="false">IF(I94&lt;FT_Y5,1,IF(MOD(I94-FT_Y5,12)=0,FT_AnnivDays,1))</f>
        <v>2</v>
      </c>
      <c r="O94" s="16" t="str">
        <f aca="false">IF(K94="","",IF(AND(M94="FT",K94&lt;=AsOfDate,K94&gt;=SchemeStart),IF(AND("FT"="FT",I94=FT_Y5,K94&lt;PolicyEff),1,N94),0))</f>
        <v/>
      </c>
      <c r="P94" s="16" t="str">
        <f aca="false">IF(K94="","",IF(N(O94)&gt;0,"",IF(K94&lt;SchemeStart,"before scheme start",IF(K94&gt;AsOfDate,"future",IF(M94&lt;&gt;"FT","not " &amp; IF("FT"="FT","full-time","eligible part-time") &amp; " on that date","")))))</f>
        <v/>
      </c>
      <c r="Q94" s="16" t="n">
        <v>75</v>
      </c>
      <c r="R94" s="16" t="n">
        <f aca="false">PT_First+PT_Int*74</f>
        <v>356</v>
      </c>
      <c r="S94" s="16" t="str">
        <f aca="false">INT(R94/12)&amp;"y "&amp;MOD(R94,12)&amp;"m"</f>
        <v>29y 8m</v>
      </c>
      <c r="T94" s="14" t="str">
        <f aca="false">IF(OR($C$6&lt;&gt;"Yes",$C$8=""),"",EDATE($C$8,R94))</f>
        <v/>
      </c>
      <c r="U94" s="16" t="str">
        <f aca="false">IF(T94="","",IF($C$16=0,$C$9,IF(AND($C$14&lt;&gt;"",T94&gt;=$C$14),$C$15,IF(AND($C$12&lt;&gt;"",T94&gt;=$C$12),$C$13,$C$11))))</f>
        <v/>
      </c>
      <c r="V94" s="16" t="str">
        <f aca="false">IF(T94="","",IF(OR(ISNUMBER(SEARCH("full",U94)),UPPER(TRIM(U94))="FT",UPPER(TRIM(U94))="FTE"),"FT",IF(AND(OR(ISNUMBER(SEARCH("part",U94)),UPPER(TRIM(U94))="PT",UPPER(TRIM(U94))="PTE"),Apply2026="Yes",OR($C$10="",N($C$10)&gt;=PT_MinHours)),"PT","None")))</f>
        <v/>
      </c>
      <c r="W94" s="16" t="n">
        <v>1</v>
      </c>
      <c r="X94" s="16" t="str">
        <f aca="false">IF(T94="","",IF(AND(V94="PT",T94&lt;=AsOfDate,T94&gt;=SchemeStart),IF(AND("PT"="FT",R94=FT_Y5,T94&lt;PolicyEff),1,W94),0))</f>
        <v/>
      </c>
      <c r="Y94" s="16" t="str">
        <f aca="false">IF(T94="","",IF(N(X94)&gt;0,"",IF(T94&lt;SchemeStart,"before scheme start",IF(T94&gt;AsOfDate,"future",IF(V94&lt;&gt;"PT","not " &amp; IF("PT"="FT","full-time","eligible part-time") &amp; " on that date","")))))</f>
        <v/>
      </c>
      <c r="Z94" s="19" t="n">
        <f aca="false">I94</f>
        <v>264</v>
      </c>
      <c r="AA94" s="19" t="n">
        <f aca="false">SMALL($Z$20:$Z$199,75)</f>
        <v>176</v>
      </c>
      <c r="AB94" s="19" t="str">
        <f aca="false">IF(75-COUNTIF($Z$20:$Z$199,"&lt;"&amp;AA94)=1,IF(COUNTIF($I$20:$I$109,AA94)&gt;0,"FT","PT"),"PT")</f>
        <v>PT</v>
      </c>
      <c r="AC94" s="19" t="n">
        <f aca="false">IF(AB94="FT",INDEX($N$20:$N$109,MATCH(AA94,$I$20:$I$109,0)),1)</f>
        <v>1</v>
      </c>
    </row>
    <row r="95" customFormat="false" ht="15" hidden="false" customHeight="false" outlineLevel="0" collapsed="false">
      <c r="H95" s="16" t="n">
        <v>76</v>
      </c>
      <c r="I95" s="16" t="n">
        <f aca="false">IF(75&lt;FT_PreY5,FT_First+FT_Int1*75,FT_Y5+FT_Int2*(75-FT_PreY5))</f>
        <v>267</v>
      </c>
      <c r="J95" s="16" t="str">
        <f aca="false">INT(I95/12)&amp;"y "&amp;MOD(I95,12)&amp;"m"</f>
        <v>22y 3m</v>
      </c>
      <c r="K95" s="14" t="str">
        <f aca="false">IF(OR($C$6&lt;&gt;"Yes",$C$8=""),"",EDATE($C$8,I95))</f>
        <v/>
      </c>
      <c r="L95" s="16" t="str">
        <f aca="false">IF(K95="","",IF($C$16=0,$C$9,IF(AND($C$14&lt;&gt;"",K95&gt;=$C$14),$C$15,IF(AND($C$12&lt;&gt;"",K95&gt;=$C$12),$C$13,$C$11))))</f>
        <v/>
      </c>
      <c r="M95" s="16" t="str">
        <f aca="false">IF(K95="","",IF(OR(ISNUMBER(SEARCH("full",L95)),UPPER(TRIM(L95))="FT",UPPER(TRIM(L95))="FTE"),"FT",IF(AND(OR(ISNUMBER(SEARCH("part",L95)),UPPER(TRIM(L95))="PT",UPPER(TRIM(L95))="PTE"),Apply2026="Yes",OR($C$10="",N($C$10)&gt;=PT_MinHours)),"PT","None")))</f>
        <v/>
      </c>
      <c r="N95" s="16" t="n">
        <f aca="false">IF(I95&lt;FT_Y5,1,IF(MOD(I95-FT_Y5,12)=0,FT_AnnivDays,1))</f>
        <v>1</v>
      </c>
      <c r="O95" s="16" t="str">
        <f aca="false">IF(K95="","",IF(AND(M95="FT",K95&lt;=AsOfDate,K95&gt;=SchemeStart),IF(AND("FT"="FT",I95=FT_Y5,K95&lt;PolicyEff),1,N95),0))</f>
        <v/>
      </c>
      <c r="P95" s="16" t="str">
        <f aca="false">IF(K95="","",IF(N(O95)&gt;0,"",IF(K95&lt;SchemeStart,"before scheme start",IF(K95&gt;AsOfDate,"future",IF(M95&lt;&gt;"FT","not " &amp; IF("FT"="FT","full-time","eligible part-time") &amp; " on that date","")))))</f>
        <v/>
      </c>
      <c r="Q95" s="16" t="n">
        <v>76</v>
      </c>
      <c r="R95" s="16" t="n">
        <f aca="false">PT_First+PT_Int*75</f>
        <v>360</v>
      </c>
      <c r="S95" s="16" t="str">
        <f aca="false">INT(R95/12)&amp;"y "&amp;MOD(R95,12)&amp;"m"</f>
        <v>30y 0m</v>
      </c>
      <c r="T95" s="14" t="str">
        <f aca="false">IF(OR($C$6&lt;&gt;"Yes",$C$8=""),"",EDATE($C$8,R95))</f>
        <v/>
      </c>
      <c r="U95" s="16" t="str">
        <f aca="false">IF(T95="","",IF($C$16=0,$C$9,IF(AND($C$14&lt;&gt;"",T95&gt;=$C$14),$C$15,IF(AND($C$12&lt;&gt;"",T95&gt;=$C$12),$C$13,$C$11))))</f>
        <v/>
      </c>
      <c r="V95" s="16" t="str">
        <f aca="false">IF(T95="","",IF(OR(ISNUMBER(SEARCH("full",U95)),UPPER(TRIM(U95))="FT",UPPER(TRIM(U95))="FTE"),"FT",IF(AND(OR(ISNUMBER(SEARCH("part",U95)),UPPER(TRIM(U95))="PT",UPPER(TRIM(U95))="PTE"),Apply2026="Yes",OR($C$10="",N($C$10)&gt;=PT_MinHours)),"PT","None")))</f>
        <v/>
      </c>
      <c r="W95" s="16" t="n">
        <v>1</v>
      </c>
      <c r="X95" s="16" t="str">
        <f aca="false">IF(T95="","",IF(AND(V95="PT",T95&lt;=AsOfDate,T95&gt;=SchemeStart),IF(AND("PT"="FT",R95=FT_Y5,T95&lt;PolicyEff),1,W95),0))</f>
        <v/>
      </c>
      <c r="Y95" s="16" t="str">
        <f aca="false">IF(T95="","",IF(N(X95)&gt;0,"",IF(T95&lt;SchemeStart,"before scheme start",IF(T95&gt;AsOfDate,"future",IF(V95&lt;&gt;"PT","not " &amp; IF("PT"="FT","full-time","eligible part-time") &amp; " on that date","")))))</f>
        <v/>
      </c>
      <c r="Z95" s="19" t="n">
        <f aca="false">I95</f>
        <v>267</v>
      </c>
      <c r="AA95" s="19" t="n">
        <f aca="false">SMALL($Z$20:$Z$199,76)</f>
        <v>177</v>
      </c>
      <c r="AB95" s="19" t="str">
        <f aca="false">IF(76-COUNTIF($Z$20:$Z$199,"&lt;"&amp;AA95)=1,IF(COUNTIF($I$20:$I$109,AA95)&gt;0,"FT","PT"),"PT")</f>
        <v>FT</v>
      </c>
      <c r="AC95" s="19" t="n">
        <f aca="false">IF(AB95="FT",INDEX($N$20:$N$109,MATCH(AA95,$I$20:$I$109,0)),1)</f>
        <v>1</v>
      </c>
    </row>
    <row r="96" customFormat="false" ht="15" hidden="false" customHeight="false" outlineLevel="0" collapsed="false">
      <c r="H96" s="16" t="n">
        <v>77</v>
      </c>
      <c r="I96" s="16" t="n">
        <f aca="false">IF(76&lt;FT_PreY5,FT_First+FT_Int1*76,FT_Y5+FT_Int2*(76-FT_PreY5))</f>
        <v>270</v>
      </c>
      <c r="J96" s="16" t="str">
        <f aca="false">INT(I96/12)&amp;"y "&amp;MOD(I96,12)&amp;"m"</f>
        <v>22y 6m</v>
      </c>
      <c r="K96" s="14" t="str">
        <f aca="false">IF(OR($C$6&lt;&gt;"Yes",$C$8=""),"",EDATE($C$8,I96))</f>
        <v/>
      </c>
      <c r="L96" s="16" t="str">
        <f aca="false">IF(K96="","",IF($C$16=0,$C$9,IF(AND($C$14&lt;&gt;"",K96&gt;=$C$14),$C$15,IF(AND($C$12&lt;&gt;"",K96&gt;=$C$12),$C$13,$C$11))))</f>
        <v/>
      </c>
      <c r="M96" s="16" t="str">
        <f aca="false">IF(K96="","",IF(OR(ISNUMBER(SEARCH("full",L96)),UPPER(TRIM(L96))="FT",UPPER(TRIM(L96))="FTE"),"FT",IF(AND(OR(ISNUMBER(SEARCH("part",L96)),UPPER(TRIM(L96))="PT",UPPER(TRIM(L96))="PTE"),Apply2026="Yes",OR($C$10="",N($C$10)&gt;=PT_MinHours)),"PT","None")))</f>
        <v/>
      </c>
      <c r="N96" s="16" t="n">
        <f aca="false">IF(I96&lt;FT_Y5,1,IF(MOD(I96-FT_Y5,12)=0,FT_AnnivDays,1))</f>
        <v>1</v>
      </c>
      <c r="O96" s="16" t="str">
        <f aca="false">IF(K96="","",IF(AND(M96="FT",K96&lt;=AsOfDate,K96&gt;=SchemeStart),IF(AND("FT"="FT",I96=FT_Y5,K96&lt;PolicyEff),1,N96),0))</f>
        <v/>
      </c>
      <c r="P96" s="16" t="str">
        <f aca="false">IF(K96="","",IF(N(O96)&gt;0,"",IF(K96&lt;SchemeStart,"before scheme start",IF(K96&gt;AsOfDate,"future",IF(M96&lt;&gt;"FT","not " &amp; IF("FT"="FT","full-time","eligible part-time") &amp; " on that date","")))))</f>
        <v/>
      </c>
      <c r="Q96" s="16" t="n">
        <v>77</v>
      </c>
      <c r="R96" s="16" t="n">
        <f aca="false">PT_First+PT_Int*76</f>
        <v>364</v>
      </c>
      <c r="S96" s="16" t="str">
        <f aca="false">INT(R96/12)&amp;"y "&amp;MOD(R96,12)&amp;"m"</f>
        <v>30y 4m</v>
      </c>
      <c r="T96" s="14" t="str">
        <f aca="false">IF(OR($C$6&lt;&gt;"Yes",$C$8=""),"",EDATE($C$8,R96))</f>
        <v/>
      </c>
      <c r="U96" s="16" t="str">
        <f aca="false">IF(T96="","",IF($C$16=0,$C$9,IF(AND($C$14&lt;&gt;"",T96&gt;=$C$14),$C$15,IF(AND($C$12&lt;&gt;"",T96&gt;=$C$12),$C$13,$C$11))))</f>
        <v/>
      </c>
      <c r="V96" s="16" t="str">
        <f aca="false">IF(T96="","",IF(OR(ISNUMBER(SEARCH("full",U96)),UPPER(TRIM(U96))="FT",UPPER(TRIM(U96))="FTE"),"FT",IF(AND(OR(ISNUMBER(SEARCH("part",U96)),UPPER(TRIM(U96))="PT",UPPER(TRIM(U96))="PTE"),Apply2026="Yes",OR($C$10="",N($C$10)&gt;=PT_MinHours)),"PT","None")))</f>
        <v/>
      </c>
      <c r="W96" s="16" t="n">
        <v>1</v>
      </c>
      <c r="X96" s="16" t="str">
        <f aca="false">IF(T96="","",IF(AND(V96="PT",T96&lt;=AsOfDate,T96&gt;=SchemeStart),IF(AND("PT"="FT",R96=FT_Y5,T96&lt;PolicyEff),1,W96),0))</f>
        <v/>
      </c>
      <c r="Y96" s="16" t="str">
        <f aca="false">IF(T96="","",IF(N(X96)&gt;0,"",IF(T96&lt;SchemeStart,"before scheme start",IF(T96&gt;AsOfDate,"future",IF(V96&lt;&gt;"PT","not " &amp; IF("PT"="FT","full-time","eligible part-time") &amp; " on that date","")))))</f>
        <v/>
      </c>
      <c r="Z96" s="19" t="n">
        <f aca="false">I96</f>
        <v>270</v>
      </c>
      <c r="AA96" s="19" t="n">
        <f aca="false">SMALL($Z$20:$Z$199,77)</f>
        <v>180</v>
      </c>
      <c r="AB96" s="19" t="str">
        <f aca="false">IF(77-COUNTIF($Z$20:$Z$199,"&lt;"&amp;AA96)=1,IF(COUNTIF($I$20:$I$109,AA96)&gt;0,"FT","PT"),"PT")</f>
        <v>FT</v>
      </c>
      <c r="AC96" s="19" t="n">
        <f aca="false">IF(AB96="FT",INDEX($N$20:$N$109,MATCH(AA96,$I$20:$I$109,0)),1)</f>
        <v>2</v>
      </c>
    </row>
    <row r="97" customFormat="false" ht="15" hidden="false" customHeight="false" outlineLevel="0" collapsed="false">
      <c r="H97" s="16" t="n">
        <v>78</v>
      </c>
      <c r="I97" s="16" t="n">
        <f aca="false">IF(77&lt;FT_PreY5,FT_First+FT_Int1*77,FT_Y5+FT_Int2*(77-FT_PreY5))</f>
        <v>273</v>
      </c>
      <c r="J97" s="16" t="str">
        <f aca="false">INT(I97/12)&amp;"y "&amp;MOD(I97,12)&amp;"m"</f>
        <v>22y 9m</v>
      </c>
      <c r="K97" s="14" t="str">
        <f aca="false">IF(OR($C$6&lt;&gt;"Yes",$C$8=""),"",EDATE($C$8,I97))</f>
        <v/>
      </c>
      <c r="L97" s="16" t="str">
        <f aca="false">IF(K97="","",IF($C$16=0,$C$9,IF(AND($C$14&lt;&gt;"",K97&gt;=$C$14),$C$15,IF(AND($C$12&lt;&gt;"",K97&gt;=$C$12),$C$13,$C$11))))</f>
        <v/>
      </c>
      <c r="M97" s="16" t="str">
        <f aca="false">IF(K97="","",IF(OR(ISNUMBER(SEARCH("full",L97)),UPPER(TRIM(L97))="FT",UPPER(TRIM(L97))="FTE"),"FT",IF(AND(OR(ISNUMBER(SEARCH("part",L97)),UPPER(TRIM(L97))="PT",UPPER(TRIM(L97))="PTE"),Apply2026="Yes",OR($C$10="",N($C$10)&gt;=PT_MinHours)),"PT","None")))</f>
        <v/>
      </c>
      <c r="N97" s="16" t="n">
        <f aca="false">IF(I97&lt;FT_Y5,1,IF(MOD(I97-FT_Y5,12)=0,FT_AnnivDays,1))</f>
        <v>1</v>
      </c>
      <c r="O97" s="16" t="str">
        <f aca="false">IF(K97="","",IF(AND(M97="FT",K97&lt;=AsOfDate,K97&gt;=SchemeStart),IF(AND("FT"="FT",I97=FT_Y5,K97&lt;PolicyEff),1,N97),0))</f>
        <v/>
      </c>
      <c r="P97" s="16" t="str">
        <f aca="false">IF(K97="","",IF(N(O97)&gt;0,"",IF(K97&lt;SchemeStart,"before scheme start",IF(K97&gt;AsOfDate,"future",IF(M97&lt;&gt;"FT","not " &amp; IF("FT"="FT","full-time","eligible part-time") &amp; " on that date","")))))</f>
        <v/>
      </c>
      <c r="Q97" s="16" t="n">
        <v>78</v>
      </c>
      <c r="R97" s="16" t="n">
        <f aca="false">PT_First+PT_Int*77</f>
        <v>368</v>
      </c>
      <c r="S97" s="16" t="str">
        <f aca="false">INT(R97/12)&amp;"y "&amp;MOD(R97,12)&amp;"m"</f>
        <v>30y 8m</v>
      </c>
      <c r="T97" s="14" t="str">
        <f aca="false">IF(OR($C$6&lt;&gt;"Yes",$C$8=""),"",EDATE($C$8,R97))</f>
        <v/>
      </c>
      <c r="U97" s="16" t="str">
        <f aca="false">IF(T97="","",IF($C$16=0,$C$9,IF(AND($C$14&lt;&gt;"",T97&gt;=$C$14),$C$15,IF(AND($C$12&lt;&gt;"",T97&gt;=$C$12),$C$13,$C$11))))</f>
        <v/>
      </c>
      <c r="V97" s="16" t="str">
        <f aca="false">IF(T97="","",IF(OR(ISNUMBER(SEARCH("full",U97)),UPPER(TRIM(U97))="FT",UPPER(TRIM(U97))="FTE"),"FT",IF(AND(OR(ISNUMBER(SEARCH("part",U97)),UPPER(TRIM(U97))="PT",UPPER(TRIM(U97))="PTE"),Apply2026="Yes",OR($C$10="",N($C$10)&gt;=PT_MinHours)),"PT","None")))</f>
        <v/>
      </c>
      <c r="W97" s="16" t="n">
        <v>1</v>
      </c>
      <c r="X97" s="16" t="str">
        <f aca="false">IF(T97="","",IF(AND(V97="PT",T97&lt;=AsOfDate,T97&gt;=SchemeStart),IF(AND("PT"="FT",R97=FT_Y5,T97&lt;PolicyEff),1,W97),0))</f>
        <v/>
      </c>
      <c r="Y97" s="16" t="str">
        <f aca="false">IF(T97="","",IF(N(X97)&gt;0,"",IF(T97&lt;SchemeStart,"before scheme start",IF(T97&gt;AsOfDate,"future",IF(V97&lt;&gt;"PT","not " &amp; IF("PT"="FT","full-time","eligible part-time") &amp; " on that date","")))))</f>
        <v/>
      </c>
      <c r="Z97" s="19" t="n">
        <f aca="false">I97</f>
        <v>273</v>
      </c>
      <c r="AA97" s="19" t="n">
        <f aca="false">SMALL($Z$20:$Z$199,78)</f>
        <v>180</v>
      </c>
      <c r="AB97" s="19" t="str">
        <f aca="false">IF(78-COUNTIF($Z$20:$Z$199,"&lt;"&amp;AA97)=1,IF(COUNTIF($I$20:$I$109,AA97)&gt;0,"FT","PT"),"PT")</f>
        <v>PT</v>
      </c>
      <c r="AC97" s="19" t="n">
        <f aca="false">IF(AB97="FT",INDEX($N$20:$N$109,MATCH(AA97,$I$20:$I$109,0)),1)</f>
        <v>1</v>
      </c>
    </row>
    <row r="98" customFormat="false" ht="15" hidden="false" customHeight="false" outlineLevel="0" collapsed="false">
      <c r="H98" s="16" t="n">
        <v>79</v>
      </c>
      <c r="I98" s="16" t="n">
        <f aca="false">IF(78&lt;FT_PreY5,FT_First+FT_Int1*78,FT_Y5+FT_Int2*(78-FT_PreY5))</f>
        <v>276</v>
      </c>
      <c r="J98" s="16" t="str">
        <f aca="false">INT(I98/12)&amp;"y "&amp;MOD(I98,12)&amp;"m"</f>
        <v>23y 0m</v>
      </c>
      <c r="K98" s="14" t="str">
        <f aca="false">IF(OR($C$6&lt;&gt;"Yes",$C$8=""),"",EDATE($C$8,I98))</f>
        <v/>
      </c>
      <c r="L98" s="16" t="str">
        <f aca="false">IF(K98="","",IF($C$16=0,$C$9,IF(AND($C$14&lt;&gt;"",K98&gt;=$C$14),$C$15,IF(AND($C$12&lt;&gt;"",K98&gt;=$C$12),$C$13,$C$11))))</f>
        <v/>
      </c>
      <c r="M98" s="16" t="str">
        <f aca="false">IF(K98="","",IF(OR(ISNUMBER(SEARCH("full",L98)),UPPER(TRIM(L98))="FT",UPPER(TRIM(L98))="FTE"),"FT",IF(AND(OR(ISNUMBER(SEARCH("part",L98)),UPPER(TRIM(L98))="PT",UPPER(TRIM(L98))="PTE"),Apply2026="Yes",OR($C$10="",N($C$10)&gt;=PT_MinHours)),"PT","None")))</f>
        <v/>
      </c>
      <c r="N98" s="16" t="n">
        <f aca="false">IF(I98&lt;FT_Y5,1,IF(MOD(I98-FT_Y5,12)=0,FT_AnnivDays,1))</f>
        <v>2</v>
      </c>
      <c r="O98" s="16" t="str">
        <f aca="false">IF(K98="","",IF(AND(M98="FT",K98&lt;=AsOfDate,K98&gt;=SchemeStart),IF(AND("FT"="FT",I98=FT_Y5,K98&lt;PolicyEff),1,N98),0))</f>
        <v/>
      </c>
      <c r="P98" s="16" t="str">
        <f aca="false">IF(K98="","",IF(N(O98)&gt;0,"",IF(K98&lt;SchemeStart,"before scheme start",IF(K98&gt;AsOfDate,"future",IF(M98&lt;&gt;"FT","not " &amp; IF("FT"="FT","full-time","eligible part-time") &amp; " on that date","")))))</f>
        <v/>
      </c>
      <c r="Q98" s="16" t="n">
        <v>79</v>
      </c>
      <c r="R98" s="16" t="n">
        <f aca="false">PT_First+PT_Int*78</f>
        <v>372</v>
      </c>
      <c r="S98" s="16" t="str">
        <f aca="false">INT(R98/12)&amp;"y "&amp;MOD(R98,12)&amp;"m"</f>
        <v>31y 0m</v>
      </c>
      <c r="T98" s="14" t="str">
        <f aca="false">IF(OR($C$6&lt;&gt;"Yes",$C$8=""),"",EDATE($C$8,R98))</f>
        <v/>
      </c>
      <c r="U98" s="16" t="str">
        <f aca="false">IF(T98="","",IF($C$16=0,$C$9,IF(AND($C$14&lt;&gt;"",T98&gt;=$C$14),$C$15,IF(AND($C$12&lt;&gt;"",T98&gt;=$C$12),$C$13,$C$11))))</f>
        <v/>
      </c>
      <c r="V98" s="16" t="str">
        <f aca="false">IF(T98="","",IF(OR(ISNUMBER(SEARCH("full",U98)),UPPER(TRIM(U98))="FT",UPPER(TRIM(U98))="FTE"),"FT",IF(AND(OR(ISNUMBER(SEARCH("part",U98)),UPPER(TRIM(U98))="PT",UPPER(TRIM(U98))="PTE"),Apply2026="Yes",OR($C$10="",N($C$10)&gt;=PT_MinHours)),"PT","None")))</f>
        <v/>
      </c>
      <c r="W98" s="16" t="n">
        <v>1</v>
      </c>
      <c r="X98" s="16" t="str">
        <f aca="false">IF(T98="","",IF(AND(V98="PT",T98&lt;=AsOfDate,T98&gt;=SchemeStart),IF(AND("PT"="FT",R98=FT_Y5,T98&lt;PolicyEff),1,W98),0))</f>
        <v/>
      </c>
      <c r="Y98" s="16" t="str">
        <f aca="false">IF(T98="","",IF(N(X98)&gt;0,"",IF(T98&lt;SchemeStart,"before scheme start",IF(T98&gt;AsOfDate,"future",IF(V98&lt;&gt;"PT","not " &amp; IF("PT"="FT","full-time","eligible part-time") &amp; " on that date","")))))</f>
        <v/>
      </c>
      <c r="Z98" s="19" t="n">
        <f aca="false">I98</f>
        <v>276</v>
      </c>
      <c r="AA98" s="19" t="n">
        <f aca="false">SMALL($Z$20:$Z$199,79)</f>
        <v>183</v>
      </c>
      <c r="AB98" s="19" t="str">
        <f aca="false">IF(79-COUNTIF($Z$20:$Z$199,"&lt;"&amp;AA98)=1,IF(COUNTIF($I$20:$I$109,AA98)&gt;0,"FT","PT"),"PT")</f>
        <v>FT</v>
      </c>
      <c r="AC98" s="19" t="n">
        <f aca="false">IF(AB98="FT",INDEX($N$20:$N$109,MATCH(AA98,$I$20:$I$109,0)),1)</f>
        <v>1</v>
      </c>
    </row>
    <row r="99" customFormat="false" ht="15" hidden="false" customHeight="false" outlineLevel="0" collapsed="false">
      <c r="H99" s="16" t="n">
        <v>80</v>
      </c>
      <c r="I99" s="16" t="n">
        <f aca="false">IF(79&lt;FT_PreY5,FT_First+FT_Int1*79,FT_Y5+FT_Int2*(79-FT_PreY5))</f>
        <v>279</v>
      </c>
      <c r="J99" s="16" t="str">
        <f aca="false">INT(I99/12)&amp;"y "&amp;MOD(I99,12)&amp;"m"</f>
        <v>23y 3m</v>
      </c>
      <c r="K99" s="14" t="str">
        <f aca="false">IF(OR($C$6&lt;&gt;"Yes",$C$8=""),"",EDATE($C$8,I99))</f>
        <v/>
      </c>
      <c r="L99" s="16" t="str">
        <f aca="false">IF(K99="","",IF($C$16=0,$C$9,IF(AND($C$14&lt;&gt;"",K99&gt;=$C$14),$C$15,IF(AND($C$12&lt;&gt;"",K99&gt;=$C$12),$C$13,$C$11))))</f>
        <v/>
      </c>
      <c r="M99" s="16" t="str">
        <f aca="false">IF(K99="","",IF(OR(ISNUMBER(SEARCH("full",L99)),UPPER(TRIM(L99))="FT",UPPER(TRIM(L99))="FTE"),"FT",IF(AND(OR(ISNUMBER(SEARCH("part",L99)),UPPER(TRIM(L99))="PT",UPPER(TRIM(L99))="PTE"),Apply2026="Yes",OR($C$10="",N($C$10)&gt;=PT_MinHours)),"PT","None")))</f>
        <v/>
      </c>
      <c r="N99" s="16" t="n">
        <f aca="false">IF(I99&lt;FT_Y5,1,IF(MOD(I99-FT_Y5,12)=0,FT_AnnivDays,1))</f>
        <v>1</v>
      </c>
      <c r="O99" s="16" t="str">
        <f aca="false">IF(K99="","",IF(AND(M99="FT",K99&lt;=AsOfDate,K99&gt;=SchemeStart),IF(AND("FT"="FT",I99=FT_Y5,K99&lt;PolicyEff),1,N99),0))</f>
        <v/>
      </c>
      <c r="P99" s="16" t="str">
        <f aca="false">IF(K99="","",IF(N(O99)&gt;0,"",IF(K99&lt;SchemeStart,"before scheme start",IF(K99&gt;AsOfDate,"future",IF(M99&lt;&gt;"FT","not " &amp; IF("FT"="FT","full-time","eligible part-time") &amp; " on that date","")))))</f>
        <v/>
      </c>
      <c r="Q99" s="16" t="n">
        <v>80</v>
      </c>
      <c r="R99" s="16" t="n">
        <f aca="false">PT_First+PT_Int*79</f>
        <v>376</v>
      </c>
      <c r="S99" s="16" t="str">
        <f aca="false">INT(R99/12)&amp;"y "&amp;MOD(R99,12)&amp;"m"</f>
        <v>31y 4m</v>
      </c>
      <c r="T99" s="14" t="str">
        <f aca="false">IF(OR($C$6&lt;&gt;"Yes",$C$8=""),"",EDATE($C$8,R99))</f>
        <v/>
      </c>
      <c r="U99" s="16" t="str">
        <f aca="false">IF(T99="","",IF($C$16=0,$C$9,IF(AND($C$14&lt;&gt;"",T99&gt;=$C$14),$C$15,IF(AND($C$12&lt;&gt;"",T99&gt;=$C$12),$C$13,$C$11))))</f>
        <v/>
      </c>
      <c r="V99" s="16" t="str">
        <f aca="false">IF(T99="","",IF(OR(ISNUMBER(SEARCH("full",U99)),UPPER(TRIM(U99))="FT",UPPER(TRIM(U99))="FTE"),"FT",IF(AND(OR(ISNUMBER(SEARCH("part",U99)),UPPER(TRIM(U99))="PT",UPPER(TRIM(U99))="PTE"),Apply2026="Yes",OR($C$10="",N($C$10)&gt;=PT_MinHours)),"PT","None")))</f>
        <v/>
      </c>
      <c r="W99" s="16" t="n">
        <v>1</v>
      </c>
      <c r="X99" s="16" t="str">
        <f aca="false">IF(T99="","",IF(AND(V99="PT",T99&lt;=AsOfDate,T99&gt;=SchemeStart),IF(AND("PT"="FT",R99=FT_Y5,T99&lt;PolicyEff),1,W99),0))</f>
        <v/>
      </c>
      <c r="Y99" s="16" t="str">
        <f aca="false">IF(T99="","",IF(N(X99)&gt;0,"",IF(T99&lt;SchemeStart,"before scheme start",IF(T99&gt;AsOfDate,"future",IF(V99&lt;&gt;"PT","not " &amp; IF("PT"="FT","full-time","eligible part-time") &amp; " on that date","")))))</f>
        <v/>
      </c>
      <c r="Z99" s="19" t="n">
        <f aca="false">I99</f>
        <v>279</v>
      </c>
      <c r="AA99" s="19" t="n">
        <f aca="false">SMALL($Z$20:$Z$199,80)</f>
        <v>184</v>
      </c>
      <c r="AB99" s="19" t="str">
        <f aca="false">IF(80-COUNTIF($Z$20:$Z$199,"&lt;"&amp;AA99)=1,IF(COUNTIF($I$20:$I$109,AA99)&gt;0,"FT","PT"),"PT")</f>
        <v>PT</v>
      </c>
      <c r="AC99" s="19" t="n">
        <f aca="false">IF(AB99="FT",INDEX($N$20:$N$109,MATCH(AA99,$I$20:$I$109,0)),1)</f>
        <v>1</v>
      </c>
    </row>
    <row r="100" customFormat="false" ht="15" hidden="false" customHeight="false" outlineLevel="0" collapsed="false">
      <c r="H100" s="16" t="n">
        <v>81</v>
      </c>
      <c r="I100" s="16" t="n">
        <f aca="false">IF(80&lt;FT_PreY5,FT_First+FT_Int1*80,FT_Y5+FT_Int2*(80-FT_PreY5))</f>
        <v>282</v>
      </c>
      <c r="J100" s="16" t="str">
        <f aca="false">INT(I100/12)&amp;"y "&amp;MOD(I100,12)&amp;"m"</f>
        <v>23y 6m</v>
      </c>
      <c r="K100" s="14" t="str">
        <f aca="false">IF(OR($C$6&lt;&gt;"Yes",$C$8=""),"",EDATE($C$8,I100))</f>
        <v/>
      </c>
      <c r="L100" s="16" t="str">
        <f aca="false">IF(K100="","",IF($C$16=0,$C$9,IF(AND($C$14&lt;&gt;"",K100&gt;=$C$14),$C$15,IF(AND($C$12&lt;&gt;"",K100&gt;=$C$12),$C$13,$C$11))))</f>
        <v/>
      </c>
      <c r="M100" s="16" t="str">
        <f aca="false">IF(K100="","",IF(OR(ISNUMBER(SEARCH("full",L100)),UPPER(TRIM(L100))="FT",UPPER(TRIM(L100))="FTE"),"FT",IF(AND(OR(ISNUMBER(SEARCH("part",L100)),UPPER(TRIM(L100))="PT",UPPER(TRIM(L100))="PTE"),Apply2026="Yes",OR($C$10="",N($C$10)&gt;=PT_MinHours)),"PT","None")))</f>
        <v/>
      </c>
      <c r="N100" s="16" t="n">
        <f aca="false">IF(I100&lt;FT_Y5,1,IF(MOD(I100-FT_Y5,12)=0,FT_AnnivDays,1))</f>
        <v>1</v>
      </c>
      <c r="O100" s="16" t="str">
        <f aca="false">IF(K100="","",IF(AND(M100="FT",K100&lt;=AsOfDate,K100&gt;=SchemeStart),IF(AND("FT"="FT",I100=FT_Y5,K100&lt;PolicyEff),1,N100),0))</f>
        <v/>
      </c>
      <c r="P100" s="16" t="str">
        <f aca="false">IF(K100="","",IF(N(O100)&gt;0,"",IF(K100&lt;SchemeStart,"before scheme start",IF(K100&gt;AsOfDate,"future",IF(M100&lt;&gt;"FT","not " &amp; IF("FT"="FT","full-time","eligible part-time") &amp; " on that date","")))))</f>
        <v/>
      </c>
      <c r="Q100" s="16" t="n">
        <v>81</v>
      </c>
      <c r="R100" s="16" t="n">
        <f aca="false">PT_First+PT_Int*80</f>
        <v>380</v>
      </c>
      <c r="S100" s="16" t="str">
        <f aca="false">INT(R100/12)&amp;"y "&amp;MOD(R100,12)&amp;"m"</f>
        <v>31y 8m</v>
      </c>
      <c r="T100" s="14" t="str">
        <f aca="false">IF(OR($C$6&lt;&gt;"Yes",$C$8=""),"",EDATE($C$8,R100))</f>
        <v/>
      </c>
      <c r="U100" s="16" t="str">
        <f aca="false">IF(T100="","",IF($C$16=0,$C$9,IF(AND($C$14&lt;&gt;"",T100&gt;=$C$14),$C$15,IF(AND($C$12&lt;&gt;"",T100&gt;=$C$12),$C$13,$C$11))))</f>
        <v/>
      </c>
      <c r="V100" s="16" t="str">
        <f aca="false">IF(T100="","",IF(OR(ISNUMBER(SEARCH("full",U100)),UPPER(TRIM(U100))="FT",UPPER(TRIM(U100))="FTE"),"FT",IF(AND(OR(ISNUMBER(SEARCH("part",U100)),UPPER(TRIM(U100))="PT",UPPER(TRIM(U100))="PTE"),Apply2026="Yes",OR($C$10="",N($C$10)&gt;=PT_MinHours)),"PT","None")))</f>
        <v/>
      </c>
      <c r="W100" s="16" t="n">
        <v>1</v>
      </c>
      <c r="X100" s="16" t="str">
        <f aca="false">IF(T100="","",IF(AND(V100="PT",T100&lt;=AsOfDate,T100&gt;=SchemeStart),IF(AND("PT"="FT",R100=FT_Y5,T100&lt;PolicyEff),1,W100),0))</f>
        <v/>
      </c>
      <c r="Y100" s="16" t="str">
        <f aca="false">IF(T100="","",IF(N(X100)&gt;0,"",IF(T100&lt;SchemeStart,"before scheme start",IF(T100&gt;AsOfDate,"future",IF(V100&lt;&gt;"PT","not " &amp; IF("PT"="FT","full-time","eligible part-time") &amp; " on that date","")))))</f>
        <v/>
      </c>
      <c r="Z100" s="19" t="n">
        <f aca="false">I100</f>
        <v>282</v>
      </c>
      <c r="AA100" s="19" t="n">
        <f aca="false">SMALL($Z$20:$Z$199,81)</f>
        <v>186</v>
      </c>
      <c r="AB100" s="19" t="str">
        <f aca="false">IF(81-COUNTIF($Z$20:$Z$199,"&lt;"&amp;AA100)=1,IF(COUNTIF($I$20:$I$109,AA100)&gt;0,"FT","PT"),"PT")</f>
        <v>FT</v>
      </c>
      <c r="AC100" s="19" t="n">
        <f aca="false">IF(AB100="FT",INDEX($N$20:$N$109,MATCH(AA100,$I$20:$I$109,0)),1)</f>
        <v>1</v>
      </c>
    </row>
    <row r="101" customFormat="false" ht="15" hidden="false" customHeight="false" outlineLevel="0" collapsed="false">
      <c r="H101" s="16" t="n">
        <v>82</v>
      </c>
      <c r="I101" s="16" t="n">
        <f aca="false">IF(81&lt;FT_PreY5,FT_First+FT_Int1*81,FT_Y5+FT_Int2*(81-FT_PreY5))</f>
        <v>285</v>
      </c>
      <c r="J101" s="16" t="str">
        <f aca="false">INT(I101/12)&amp;"y "&amp;MOD(I101,12)&amp;"m"</f>
        <v>23y 9m</v>
      </c>
      <c r="K101" s="14" t="str">
        <f aca="false">IF(OR($C$6&lt;&gt;"Yes",$C$8=""),"",EDATE($C$8,I101))</f>
        <v/>
      </c>
      <c r="L101" s="16" t="str">
        <f aca="false">IF(K101="","",IF($C$16=0,$C$9,IF(AND($C$14&lt;&gt;"",K101&gt;=$C$14),$C$15,IF(AND($C$12&lt;&gt;"",K101&gt;=$C$12),$C$13,$C$11))))</f>
        <v/>
      </c>
      <c r="M101" s="16" t="str">
        <f aca="false">IF(K101="","",IF(OR(ISNUMBER(SEARCH("full",L101)),UPPER(TRIM(L101))="FT",UPPER(TRIM(L101))="FTE"),"FT",IF(AND(OR(ISNUMBER(SEARCH("part",L101)),UPPER(TRIM(L101))="PT",UPPER(TRIM(L101))="PTE"),Apply2026="Yes",OR($C$10="",N($C$10)&gt;=PT_MinHours)),"PT","None")))</f>
        <v/>
      </c>
      <c r="N101" s="16" t="n">
        <f aca="false">IF(I101&lt;FT_Y5,1,IF(MOD(I101-FT_Y5,12)=0,FT_AnnivDays,1))</f>
        <v>1</v>
      </c>
      <c r="O101" s="16" t="str">
        <f aca="false">IF(K101="","",IF(AND(M101="FT",K101&lt;=AsOfDate,K101&gt;=SchemeStart),IF(AND("FT"="FT",I101=FT_Y5,K101&lt;PolicyEff),1,N101),0))</f>
        <v/>
      </c>
      <c r="P101" s="16" t="str">
        <f aca="false">IF(K101="","",IF(N(O101)&gt;0,"",IF(K101&lt;SchemeStart,"before scheme start",IF(K101&gt;AsOfDate,"future",IF(M101&lt;&gt;"FT","not " &amp; IF("FT"="FT","full-time","eligible part-time") &amp; " on that date","")))))</f>
        <v/>
      </c>
      <c r="Q101" s="16" t="n">
        <v>82</v>
      </c>
      <c r="R101" s="16" t="n">
        <f aca="false">PT_First+PT_Int*81</f>
        <v>384</v>
      </c>
      <c r="S101" s="16" t="str">
        <f aca="false">INT(R101/12)&amp;"y "&amp;MOD(R101,12)&amp;"m"</f>
        <v>32y 0m</v>
      </c>
      <c r="T101" s="14" t="str">
        <f aca="false">IF(OR($C$6&lt;&gt;"Yes",$C$8=""),"",EDATE($C$8,R101))</f>
        <v/>
      </c>
      <c r="U101" s="16" t="str">
        <f aca="false">IF(T101="","",IF($C$16=0,$C$9,IF(AND($C$14&lt;&gt;"",T101&gt;=$C$14),$C$15,IF(AND($C$12&lt;&gt;"",T101&gt;=$C$12),$C$13,$C$11))))</f>
        <v/>
      </c>
      <c r="V101" s="16" t="str">
        <f aca="false">IF(T101="","",IF(OR(ISNUMBER(SEARCH("full",U101)),UPPER(TRIM(U101))="FT",UPPER(TRIM(U101))="FTE"),"FT",IF(AND(OR(ISNUMBER(SEARCH("part",U101)),UPPER(TRIM(U101))="PT",UPPER(TRIM(U101))="PTE"),Apply2026="Yes",OR($C$10="",N($C$10)&gt;=PT_MinHours)),"PT","None")))</f>
        <v/>
      </c>
      <c r="W101" s="16" t="n">
        <v>1</v>
      </c>
      <c r="X101" s="16" t="str">
        <f aca="false">IF(T101="","",IF(AND(V101="PT",T101&lt;=AsOfDate,T101&gt;=SchemeStart),IF(AND("PT"="FT",R101=FT_Y5,T101&lt;PolicyEff),1,W101),0))</f>
        <v/>
      </c>
      <c r="Y101" s="16" t="str">
        <f aca="false">IF(T101="","",IF(N(X101)&gt;0,"",IF(T101&lt;SchemeStart,"before scheme start",IF(T101&gt;AsOfDate,"future",IF(V101&lt;&gt;"PT","not " &amp; IF("PT"="FT","full-time","eligible part-time") &amp; " on that date","")))))</f>
        <v/>
      </c>
      <c r="Z101" s="19" t="n">
        <f aca="false">I101</f>
        <v>285</v>
      </c>
      <c r="AA101" s="19" t="n">
        <f aca="false">SMALL($Z$20:$Z$199,82)</f>
        <v>188</v>
      </c>
      <c r="AB101" s="19" t="str">
        <f aca="false">IF(82-COUNTIF($Z$20:$Z$199,"&lt;"&amp;AA101)=1,IF(COUNTIF($I$20:$I$109,AA101)&gt;0,"FT","PT"),"PT")</f>
        <v>PT</v>
      </c>
      <c r="AC101" s="19" t="n">
        <f aca="false">IF(AB101="FT",INDEX($N$20:$N$109,MATCH(AA101,$I$20:$I$109,0)),1)</f>
        <v>1</v>
      </c>
    </row>
    <row r="102" customFormat="false" ht="15" hidden="false" customHeight="false" outlineLevel="0" collapsed="false">
      <c r="H102" s="16" t="n">
        <v>83</v>
      </c>
      <c r="I102" s="16" t="n">
        <f aca="false">IF(82&lt;FT_PreY5,FT_First+FT_Int1*82,FT_Y5+FT_Int2*(82-FT_PreY5))</f>
        <v>288</v>
      </c>
      <c r="J102" s="16" t="str">
        <f aca="false">INT(I102/12)&amp;"y "&amp;MOD(I102,12)&amp;"m"</f>
        <v>24y 0m</v>
      </c>
      <c r="K102" s="14" t="str">
        <f aca="false">IF(OR($C$6&lt;&gt;"Yes",$C$8=""),"",EDATE($C$8,I102))</f>
        <v/>
      </c>
      <c r="L102" s="16" t="str">
        <f aca="false">IF(K102="","",IF($C$16=0,$C$9,IF(AND($C$14&lt;&gt;"",K102&gt;=$C$14),$C$15,IF(AND($C$12&lt;&gt;"",K102&gt;=$C$12),$C$13,$C$11))))</f>
        <v/>
      </c>
      <c r="M102" s="16" t="str">
        <f aca="false">IF(K102="","",IF(OR(ISNUMBER(SEARCH("full",L102)),UPPER(TRIM(L102))="FT",UPPER(TRIM(L102))="FTE"),"FT",IF(AND(OR(ISNUMBER(SEARCH("part",L102)),UPPER(TRIM(L102))="PT",UPPER(TRIM(L102))="PTE"),Apply2026="Yes",OR($C$10="",N($C$10)&gt;=PT_MinHours)),"PT","None")))</f>
        <v/>
      </c>
      <c r="N102" s="16" t="n">
        <f aca="false">IF(I102&lt;FT_Y5,1,IF(MOD(I102-FT_Y5,12)=0,FT_AnnivDays,1))</f>
        <v>2</v>
      </c>
      <c r="O102" s="16" t="str">
        <f aca="false">IF(K102="","",IF(AND(M102="FT",K102&lt;=AsOfDate,K102&gt;=SchemeStart),IF(AND("FT"="FT",I102=FT_Y5,K102&lt;PolicyEff),1,N102),0))</f>
        <v/>
      </c>
      <c r="P102" s="16" t="str">
        <f aca="false">IF(K102="","",IF(N(O102)&gt;0,"",IF(K102&lt;SchemeStart,"before scheme start",IF(K102&gt;AsOfDate,"future",IF(M102&lt;&gt;"FT","not " &amp; IF("FT"="FT","full-time","eligible part-time") &amp; " on that date","")))))</f>
        <v/>
      </c>
      <c r="Q102" s="16" t="n">
        <v>83</v>
      </c>
      <c r="R102" s="16" t="n">
        <f aca="false">PT_First+PT_Int*82</f>
        <v>388</v>
      </c>
      <c r="S102" s="16" t="str">
        <f aca="false">INT(R102/12)&amp;"y "&amp;MOD(R102,12)&amp;"m"</f>
        <v>32y 4m</v>
      </c>
      <c r="T102" s="14" t="str">
        <f aca="false">IF(OR($C$6&lt;&gt;"Yes",$C$8=""),"",EDATE($C$8,R102))</f>
        <v/>
      </c>
      <c r="U102" s="16" t="str">
        <f aca="false">IF(T102="","",IF($C$16=0,$C$9,IF(AND($C$14&lt;&gt;"",T102&gt;=$C$14),$C$15,IF(AND($C$12&lt;&gt;"",T102&gt;=$C$12),$C$13,$C$11))))</f>
        <v/>
      </c>
      <c r="V102" s="16" t="str">
        <f aca="false">IF(T102="","",IF(OR(ISNUMBER(SEARCH("full",U102)),UPPER(TRIM(U102))="FT",UPPER(TRIM(U102))="FTE"),"FT",IF(AND(OR(ISNUMBER(SEARCH("part",U102)),UPPER(TRIM(U102))="PT",UPPER(TRIM(U102))="PTE"),Apply2026="Yes",OR($C$10="",N($C$10)&gt;=PT_MinHours)),"PT","None")))</f>
        <v/>
      </c>
      <c r="W102" s="16" t="n">
        <v>1</v>
      </c>
      <c r="X102" s="16" t="str">
        <f aca="false">IF(T102="","",IF(AND(V102="PT",T102&lt;=AsOfDate,T102&gt;=SchemeStart),IF(AND("PT"="FT",R102=FT_Y5,T102&lt;PolicyEff),1,W102),0))</f>
        <v/>
      </c>
      <c r="Y102" s="16" t="str">
        <f aca="false">IF(T102="","",IF(N(X102)&gt;0,"",IF(T102&lt;SchemeStart,"before scheme start",IF(T102&gt;AsOfDate,"future",IF(V102&lt;&gt;"PT","not " &amp; IF("PT"="FT","full-time","eligible part-time") &amp; " on that date","")))))</f>
        <v/>
      </c>
      <c r="Z102" s="19" t="n">
        <f aca="false">I102</f>
        <v>288</v>
      </c>
      <c r="AA102" s="19" t="n">
        <f aca="false">SMALL($Z$20:$Z$199,83)</f>
        <v>189</v>
      </c>
      <c r="AB102" s="19" t="str">
        <f aca="false">IF(83-COUNTIF($Z$20:$Z$199,"&lt;"&amp;AA102)=1,IF(COUNTIF($I$20:$I$109,AA102)&gt;0,"FT","PT"),"PT")</f>
        <v>FT</v>
      </c>
      <c r="AC102" s="19" t="n">
        <f aca="false">IF(AB102="FT",INDEX($N$20:$N$109,MATCH(AA102,$I$20:$I$109,0)),1)</f>
        <v>1</v>
      </c>
    </row>
    <row r="103" customFormat="false" ht="15" hidden="false" customHeight="false" outlineLevel="0" collapsed="false">
      <c r="H103" s="16" t="n">
        <v>84</v>
      </c>
      <c r="I103" s="16" t="n">
        <f aca="false">IF(83&lt;FT_PreY5,FT_First+FT_Int1*83,FT_Y5+FT_Int2*(83-FT_PreY5))</f>
        <v>291</v>
      </c>
      <c r="J103" s="16" t="str">
        <f aca="false">INT(I103/12)&amp;"y "&amp;MOD(I103,12)&amp;"m"</f>
        <v>24y 3m</v>
      </c>
      <c r="K103" s="14" t="str">
        <f aca="false">IF(OR($C$6&lt;&gt;"Yes",$C$8=""),"",EDATE($C$8,I103))</f>
        <v/>
      </c>
      <c r="L103" s="16" t="str">
        <f aca="false">IF(K103="","",IF($C$16=0,$C$9,IF(AND($C$14&lt;&gt;"",K103&gt;=$C$14),$C$15,IF(AND($C$12&lt;&gt;"",K103&gt;=$C$12),$C$13,$C$11))))</f>
        <v/>
      </c>
      <c r="M103" s="16" t="str">
        <f aca="false">IF(K103="","",IF(OR(ISNUMBER(SEARCH("full",L103)),UPPER(TRIM(L103))="FT",UPPER(TRIM(L103))="FTE"),"FT",IF(AND(OR(ISNUMBER(SEARCH("part",L103)),UPPER(TRIM(L103))="PT",UPPER(TRIM(L103))="PTE"),Apply2026="Yes",OR($C$10="",N($C$10)&gt;=PT_MinHours)),"PT","None")))</f>
        <v/>
      </c>
      <c r="N103" s="16" t="n">
        <f aca="false">IF(I103&lt;FT_Y5,1,IF(MOD(I103-FT_Y5,12)=0,FT_AnnivDays,1))</f>
        <v>1</v>
      </c>
      <c r="O103" s="16" t="str">
        <f aca="false">IF(K103="","",IF(AND(M103="FT",K103&lt;=AsOfDate,K103&gt;=SchemeStart),IF(AND("FT"="FT",I103=FT_Y5,K103&lt;PolicyEff),1,N103),0))</f>
        <v/>
      </c>
      <c r="P103" s="16" t="str">
        <f aca="false">IF(K103="","",IF(N(O103)&gt;0,"",IF(K103&lt;SchemeStart,"before scheme start",IF(K103&gt;AsOfDate,"future",IF(M103&lt;&gt;"FT","not " &amp; IF("FT"="FT","full-time","eligible part-time") &amp; " on that date","")))))</f>
        <v/>
      </c>
      <c r="Q103" s="16" t="n">
        <v>84</v>
      </c>
      <c r="R103" s="16" t="n">
        <f aca="false">PT_First+PT_Int*83</f>
        <v>392</v>
      </c>
      <c r="S103" s="16" t="str">
        <f aca="false">INT(R103/12)&amp;"y "&amp;MOD(R103,12)&amp;"m"</f>
        <v>32y 8m</v>
      </c>
      <c r="T103" s="14" t="str">
        <f aca="false">IF(OR($C$6&lt;&gt;"Yes",$C$8=""),"",EDATE($C$8,R103))</f>
        <v/>
      </c>
      <c r="U103" s="16" t="str">
        <f aca="false">IF(T103="","",IF($C$16=0,$C$9,IF(AND($C$14&lt;&gt;"",T103&gt;=$C$14),$C$15,IF(AND($C$12&lt;&gt;"",T103&gt;=$C$12),$C$13,$C$11))))</f>
        <v/>
      </c>
      <c r="V103" s="16" t="str">
        <f aca="false">IF(T103="","",IF(OR(ISNUMBER(SEARCH("full",U103)),UPPER(TRIM(U103))="FT",UPPER(TRIM(U103))="FTE"),"FT",IF(AND(OR(ISNUMBER(SEARCH("part",U103)),UPPER(TRIM(U103))="PT",UPPER(TRIM(U103))="PTE"),Apply2026="Yes",OR($C$10="",N($C$10)&gt;=PT_MinHours)),"PT","None")))</f>
        <v/>
      </c>
      <c r="W103" s="16" t="n">
        <v>1</v>
      </c>
      <c r="X103" s="16" t="str">
        <f aca="false">IF(T103="","",IF(AND(V103="PT",T103&lt;=AsOfDate,T103&gt;=SchemeStart),IF(AND("PT"="FT",R103=FT_Y5,T103&lt;PolicyEff),1,W103),0))</f>
        <v/>
      </c>
      <c r="Y103" s="16" t="str">
        <f aca="false">IF(T103="","",IF(N(X103)&gt;0,"",IF(T103&lt;SchemeStart,"before scheme start",IF(T103&gt;AsOfDate,"future",IF(V103&lt;&gt;"PT","not " &amp; IF("PT"="FT","full-time","eligible part-time") &amp; " on that date","")))))</f>
        <v/>
      </c>
      <c r="Z103" s="19" t="n">
        <f aca="false">I103</f>
        <v>291</v>
      </c>
      <c r="AA103" s="19" t="n">
        <f aca="false">SMALL($Z$20:$Z$199,84)</f>
        <v>192</v>
      </c>
      <c r="AB103" s="19" t="str">
        <f aca="false">IF(84-COUNTIF($Z$20:$Z$199,"&lt;"&amp;AA103)=1,IF(COUNTIF($I$20:$I$109,AA103)&gt;0,"FT","PT"),"PT")</f>
        <v>FT</v>
      </c>
      <c r="AC103" s="19" t="n">
        <f aca="false">IF(AB103="FT",INDEX($N$20:$N$109,MATCH(AA103,$I$20:$I$109,0)),1)</f>
        <v>2</v>
      </c>
    </row>
    <row r="104" customFormat="false" ht="15" hidden="false" customHeight="false" outlineLevel="0" collapsed="false">
      <c r="H104" s="16" t="n">
        <v>85</v>
      </c>
      <c r="I104" s="16" t="n">
        <f aca="false">IF(84&lt;FT_PreY5,FT_First+FT_Int1*84,FT_Y5+FT_Int2*(84-FT_PreY5))</f>
        <v>294</v>
      </c>
      <c r="J104" s="16" t="str">
        <f aca="false">INT(I104/12)&amp;"y "&amp;MOD(I104,12)&amp;"m"</f>
        <v>24y 6m</v>
      </c>
      <c r="K104" s="14" t="str">
        <f aca="false">IF(OR($C$6&lt;&gt;"Yes",$C$8=""),"",EDATE($C$8,I104))</f>
        <v/>
      </c>
      <c r="L104" s="16" t="str">
        <f aca="false">IF(K104="","",IF($C$16=0,$C$9,IF(AND($C$14&lt;&gt;"",K104&gt;=$C$14),$C$15,IF(AND($C$12&lt;&gt;"",K104&gt;=$C$12),$C$13,$C$11))))</f>
        <v/>
      </c>
      <c r="M104" s="16" t="str">
        <f aca="false">IF(K104="","",IF(OR(ISNUMBER(SEARCH("full",L104)),UPPER(TRIM(L104))="FT",UPPER(TRIM(L104))="FTE"),"FT",IF(AND(OR(ISNUMBER(SEARCH("part",L104)),UPPER(TRIM(L104))="PT",UPPER(TRIM(L104))="PTE"),Apply2026="Yes",OR($C$10="",N($C$10)&gt;=PT_MinHours)),"PT","None")))</f>
        <v/>
      </c>
      <c r="N104" s="16" t="n">
        <f aca="false">IF(I104&lt;FT_Y5,1,IF(MOD(I104-FT_Y5,12)=0,FT_AnnivDays,1))</f>
        <v>1</v>
      </c>
      <c r="O104" s="16" t="str">
        <f aca="false">IF(K104="","",IF(AND(M104="FT",K104&lt;=AsOfDate,K104&gt;=SchemeStart),IF(AND("FT"="FT",I104=FT_Y5,K104&lt;PolicyEff),1,N104),0))</f>
        <v/>
      </c>
      <c r="P104" s="16" t="str">
        <f aca="false">IF(K104="","",IF(N(O104)&gt;0,"",IF(K104&lt;SchemeStart,"before scheme start",IF(K104&gt;AsOfDate,"future",IF(M104&lt;&gt;"FT","not " &amp; IF("FT"="FT","full-time","eligible part-time") &amp; " on that date","")))))</f>
        <v/>
      </c>
      <c r="Q104" s="16" t="n">
        <v>85</v>
      </c>
      <c r="R104" s="16" t="n">
        <f aca="false">PT_First+PT_Int*84</f>
        <v>396</v>
      </c>
      <c r="S104" s="16" t="str">
        <f aca="false">INT(R104/12)&amp;"y "&amp;MOD(R104,12)&amp;"m"</f>
        <v>33y 0m</v>
      </c>
      <c r="T104" s="14" t="str">
        <f aca="false">IF(OR($C$6&lt;&gt;"Yes",$C$8=""),"",EDATE($C$8,R104))</f>
        <v/>
      </c>
      <c r="U104" s="16" t="str">
        <f aca="false">IF(T104="","",IF($C$16=0,$C$9,IF(AND($C$14&lt;&gt;"",T104&gt;=$C$14),$C$15,IF(AND($C$12&lt;&gt;"",T104&gt;=$C$12),$C$13,$C$11))))</f>
        <v/>
      </c>
      <c r="V104" s="16" t="str">
        <f aca="false">IF(T104="","",IF(OR(ISNUMBER(SEARCH("full",U104)),UPPER(TRIM(U104))="FT",UPPER(TRIM(U104))="FTE"),"FT",IF(AND(OR(ISNUMBER(SEARCH("part",U104)),UPPER(TRIM(U104))="PT",UPPER(TRIM(U104))="PTE"),Apply2026="Yes",OR($C$10="",N($C$10)&gt;=PT_MinHours)),"PT","None")))</f>
        <v/>
      </c>
      <c r="W104" s="16" t="n">
        <v>1</v>
      </c>
      <c r="X104" s="16" t="str">
        <f aca="false">IF(T104="","",IF(AND(V104="PT",T104&lt;=AsOfDate,T104&gt;=SchemeStart),IF(AND("PT"="FT",R104=FT_Y5,T104&lt;PolicyEff),1,W104),0))</f>
        <v/>
      </c>
      <c r="Y104" s="16" t="str">
        <f aca="false">IF(T104="","",IF(N(X104)&gt;0,"",IF(T104&lt;SchemeStart,"before scheme start",IF(T104&gt;AsOfDate,"future",IF(V104&lt;&gt;"PT","not " &amp; IF("PT"="FT","full-time","eligible part-time") &amp; " on that date","")))))</f>
        <v/>
      </c>
      <c r="Z104" s="19" t="n">
        <f aca="false">I104</f>
        <v>294</v>
      </c>
      <c r="AA104" s="19" t="n">
        <f aca="false">SMALL($Z$20:$Z$199,85)</f>
        <v>192</v>
      </c>
      <c r="AB104" s="19" t="str">
        <f aca="false">IF(85-COUNTIF($Z$20:$Z$199,"&lt;"&amp;AA104)=1,IF(COUNTIF($I$20:$I$109,AA104)&gt;0,"FT","PT"),"PT")</f>
        <v>PT</v>
      </c>
      <c r="AC104" s="19" t="n">
        <f aca="false">IF(AB104="FT",INDEX($N$20:$N$109,MATCH(AA104,$I$20:$I$109,0)),1)</f>
        <v>1</v>
      </c>
    </row>
    <row r="105" customFormat="false" ht="15" hidden="false" customHeight="false" outlineLevel="0" collapsed="false">
      <c r="H105" s="16" t="n">
        <v>86</v>
      </c>
      <c r="I105" s="16" t="n">
        <f aca="false">IF(85&lt;FT_PreY5,FT_First+FT_Int1*85,FT_Y5+FT_Int2*(85-FT_PreY5))</f>
        <v>297</v>
      </c>
      <c r="J105" s="16" t="str">
        <f aca="false">INT(I105/12)&amp;"y "&amp;MOD(I105,12)&amp;"m"</f>
        <v>24y 9m</v>
      </c>
      <c r="K105" s="14" t="str">
        <f aca="false">IF(OR($C$6&lt;&gt;"Yes",$C$8=""),"",EDATE($C$8,I105))</f>
        <v/>
      </c>
      <c r="L105" s="16" t="str">
        <f aca="false">IF(K105="","",IF($C$16=0,$C$9,IF(AND($C$14&lt;&gt;"",K105&gt;=$C$14),$C$15,IF(AND($C$12&lt;&gt;"",K105&gt;=$C$12),$C$13,$C$11))))</f>
        <v/>
      </c>
      <c r="M105" s="16" t="str">
        <f aca="false">IF(K105="","",IF(OR(ISNUMBER(SEARCH("full",L105)),UPPER(TRIM(L105))="FT",UPPER(TRIM(L105))="FTE"),"FT",IF(AND(OR(ISNUMBER(SEARCH("part",L105)),UPPER(TRIM(L105))="PT",UPPER(TRIM(L105))="PTE"),Apply2026="Yes",OR($C$10="",N($C$10)&gt;=PT_MinHours)),"PT","None")))</f>
        <v/>
      </c>
      <c r="N105" s="16" t="n">
        <f aca="false">IF(I105&lt;FT_Y5,1,IF(MOD(I105-FT_Y5,12)=0,FT_AnnivDays,1))</f>
        <v>1</v>
      </c>
      <c r="O105" s="16" t="str">
        <f aca="false">IF(K105="","",IF(AND(M105="FT",K105&lt;=AsOfDate,K105&gt;=SchemeStart),IF(AND("FT"="FT",I105=FT_Y5,K105&lt;PolicyEff),1,N105),0))</f>
        <v/>
      </c>
      <c r="P105" s="16" t="str">
        <f aca="false">IF(K105="","",IF(N(O105)&gt;0,"",IF(K105&lt;SchemeStart,"before scheme start",IF(K105&gt;AsOfDate,"future",IF(M105&lt;&gt;"FT","not " &amp; IF("FT"="FT","full-time","eligible part-time") &amp; " on that date","")))))</f>
        <v/>
      </c>
      <c r="Q105" s="16" t="n">
        <v>86</v>
      </c>
      <c r="R105" s="16" t="n">
        <f aca="false">PT_First+PT_Int*85</f>
        <v>400</v>
      </c>
      <c r="S105" s="16" t="str">
        <f aca="false">INT(R105/12)&amp;"y "&amp;MOD(R105,12)&amp;"m"</f>
        <v>33y 4m</v>
      </c>
      <c r="T105" s="14" t="str">
        <f aca="false">IF(OR($C$6&lt;&gt;"Yes",$C$8=""),"",EDATE($C$8,R105))</f>
        <v/>
      </c>
      <c r="U105" s="16" t="str">
        <f aca="false">IF(T105="","",IF($C$16=0,$C$9,IF(AND($C$14&lt;&gt;"",T105&gt;=$C$14),$C$15,IF(AND($C$12&lt;&gt;"",T105&gt;=$C$12),$C$13,$C$11))))</f>
        <v/>
      </c>
      <c r="V105" s="16" t="str">
        <f aca="false">IF(T105="","",IF(OR(ISNUMBER(SEARCH("full",U105)),UPPER(TRIM(U105))="FT",UPPER(TRIM(U105))="FTE"),"FT",IF(AND(OR(ISNUMBER(SEARCH("part",U105)),UPPER(TRIM(U105))="PT",UPPER(TRIM(U105))="PTE"),Apply2026="Yes",OR($C$10="",N($C$10)&gt;=PT_MinHours)),"PT","None")))</f>
        <v/>
      </c>
      <c r="W105" s="16" t="n">
        <v>1</v>
      </c>
      <c r="X105" s="16" t="str">
        <f aca="false">IF(T105="","",IF(AND(V105="PT",T105&lt;=AsOfDate,T105&gt;=SchemeStart),IF(AND("PT"="FT",R105=FT_Y5,T105&lt;PolicyEff),1,W105),0))</f>
        <v/>
      </c>
      <c r="Y105" s="16" t="str">
        <f aca="false">IF(T105="","",IF(N(X105)&gt;0,"",IF(T105&lt;SchemeStart,"before scheme start",IF(T105&gt;AsOfDate,"future",IF(V105&lt;&gt;"PT","not " &amp; IF("PT"="FT","full-time","eligible part-time") &amp; " on that date","")))))</f>
        <v/>
      </c>
      <c r="Z105" s="19" t="n">
        <f aca="false">I105</f>
        <v>297</v>
      </c>
      <c r="AA105" s="19" t="n">
        <f aca="false">SMALL($Z$20:$Z$199,86)</f>
        <v>195</v>
      </c>
      <c r="AB105" s="19" t="str">
        <f aca="false">IF(86-COUNTIF($Z$20:$Z$199,"&lt;"&amp;AA105)=1,IF(COUNTIF($I$20:$I$109,AA105)&gt;0,"FT","PT"),"PT")</f>
        <v>FT</v>
      </c>
      <c r="AC105" s="19" t="n">
        <f aca="false">IF(AB105="FT",INDEX($N$20:$N$109,MATCH(AA105,$I$20:$I$109,0)),1)</f>
        <v>1</v>
      </c>
    </row>
    <row r="106" customFormat="false" ht="15" hidden="false" customHeight="false" outlineLevel="0" collapsed="false">
      <c r="H106" s="16" t="n">
        <v>87</v>
      </c>
      <c r="I106" s="16" t="n">
        <f aca="false">IF(86&lt;FT_PreY5,FT_First+FT_Int1*86,FT_Y5+FT_Int2*(86-FT_PreY5))</f>
        <v>300</v>
      </c>
      <c r="J106" s="16" t="str">
        <f aca="false">INT(I106/12)&amp;"y "&amp;MOD(I106,12)&amp;"m"</f>
        <v>25y 0m</v>
      </c>
      <c r="K106" s="14" t="str">
        <f aca="false">IF(OR($C$6&lt;&gt;"Yes",$C$8=""),"",EDATE($C$8,I106))</f>
        <v/>
      </c>
      <c r="L106" s="16" t="str">
        <f aca="false">IF(K106="","",IF($C$16=0,$C$9,IF(AND($C$14&lt;&gt;"",K106&gt;=$C$14),$C$15,IF(AND($C$12&lt;&gt;"",K106&gt;=$C$12),$C$13,$C$11))))</f>
        <v/>
      </c>
      <c r="M106" s="16" t="str">
        <f aca="false">IF(K106="","",IF(OR(ISNUMBER(SEARCH("full",L106)),UPPER(TRIM(L106))="FT",UPPER(TRIM(L106))="FTE"),"FT",IF(AND(OR(ISNUMBER(SEARCH("part",L106)),UPPER(TRIM(L106))="PT",UPPER(TRIM(L106))="PTE"),Apply2026="Yes",OR($C$10="",N($C$10)&gt;=PT_MinHours)),"PT","None")))</f>
        <v/>
      </c>
      <c r="N106" s="16" t="n">
        <f aca="false">IF(I106&lt;FT_Y5,1,IF(MOD(I106-FT_Y5,12)=0,FT_AnnivDays,1))</f>
        <v>2</v>
      </c>
      <c r="O106" s="16" t="str">
        <f aca="false">IF(K106="","",IF(AND(M106="FT",K106&lt;=AsOfDate,K106&gt;=SchemeStart),IF(AND("FT"="FT",I106=FT_Y5,K106&lt;PolicyEff),1,N106),0))</f>
        <v/>
      </c>
      <c r="P106" s="16" t="str">
        <f aca="false">IF(K106="","",IF(N(O106)&gt;0,"",IF(K106&lt;SchemeStart,"before scheme start",IF(K106&gt;AsOfDate,"future",IF(M106&lt;&gt;"FT","not " &amp; IF("FT"="FT","full-time","eligible part-time") &amp; " on that date","")))))</f>
        <v/>
      </c>
      <c r="Q106" s="16" t="n">
        <v>87</v>
      </c>
      <c r="R106" s="16" t="n">
        <f aca="false">PT_First+PT_Int*86</f>
        <v>404</v>
      </c>
      <c r="S106" s="16" t="str">
        <f aca="false">INT(R106/12)&amp;"y "&amp;MOD(R106,12)&amp;"m"</f>
        <v>33y 8m</v>
      </c>
      <c r="T106" s="14" t="str">
        <f aca="false">IF(OR($C$6&lt;&gt;"Yes",$C$8=""),"",EDATE($C$8,R106))</f>
        <v/>
      </c>
      <c r="U106" s="16" t="str">
        <f aca="false">IF(T106="","",IF($C$16=0,$C$9,IF(AND($C$14&lt;&gt;"",T106&gt;=$C$14),$C$15,IF(AND($C$12&lt;&gt;"",T106&gt;=$C$12),$C$13,$C$11))))</f>
        <v/>
      </c>
      <c r="V106" s="16" t="str">
        <f aca="false">IF(T106="","",IF(OR(ISNUMBER(SEARCH("full",U106)),UPPER(TRIM(U106))="FT",UPPER(TRIM(U106))="FTE"),"FT",IF(AND(OR(ISNUMBER(SEARCH("part",U106)),UPPER(TRIM(U106))="PT",UPPER(TRIM(U106))="PTE"),Apply2026="Yes",OR($C$10="",N($C$10)&gt;=PT_MinHours)),"PT","None")))</f>
        <v/>
      </c>
      <c r="W106" s="16" t="n">
        <v>1</v>
      </c>
      <c r="X106" s="16" t="str">
        <f aca="false">IF(T106="","",IF(AND(V106="PT",T106&lt;=AsOfDate,T106&gt;=SchemeStart),IF(AND("PT"="FT",R106=FT_Y5,T106&lt;PolicyEff),1,W106),0))</f>
        <v/>
      </c>
      <c r="Y106" s="16" t="str">
        <f aca="false">IF(T106="","",IF(N(X106)&gt;0,"",IF(T106&lt;SchemeStart,"before scheme start",IF(T106&gt;AsOfDate,"future",IF(V106&lt;&gt;"PT","not " &amp; IF("PT"="FT","full-time","eligible part-time") &amp; " on that date","")))))</f>
        <v/>
      </c>
      <c r="Z106" s="19" t="n">
        <f aca="false">I106</f>
        <v>300</v>
      </c>
      <c r="AA106" s="19" t="n">
        <f aca="false">SMALL($Z$20:$Z$199,87)</f>
        <v>196</v>
      </c>
      <c r="AB106" s="19" t="str">
        <f aca="false">IF(87-COUNTIF($Z$20:$Z$199,"&lt;"&amp;AA106)=1,IF(COUNTIF($I$20:$I$109,AA106)&gt;0,"FT","PT"),"PT")</f>
        <v>PT</v>
      </c>
      <c r="AC106" s="19" t="n">
        <f aca="false">IF(AB106="FT",INDEX($N$20:$N$109,MATCH(AA106,$I$20:$I$109,0)),1)</f>
        <v>1</v>
      </c>
    </row>
    <row r="107" customFormat="false" ht="15" hidden="false" customHeight="false" outlineLevel="0" collapsed="false">
      <c r="H107" s="16" t="n">
        <v>88</v>
      </c>
      <c r="I107" s="16" t="n">
        <f aca="false">IF(87&lt;FT_PreY5,FT_First+FT_Int1*87,FT_Y5+FT_Int2*(87-FT_PreY5))</f>
        <v>303</v>
      </c>
      <c r="J107" s="16" t="str">
        <f aca="false">INT(I107/12)&amp;"y "&amp;MOD(I107,12)&amp;"m"</f>
        <v>25y 3m</v>
      </c>
      <c r="K107" s="14" t="str">
        <f aca="false">IF(OR($C$6&lt;&gt;"Yes",$C$8=""),"",EDATE($C$8,I107))</f>
        <v/>
      </c>
      <c r="L107" s="16" t="str">
        <f aca="false">IF(K107="","",IF($C$16=0,$C$9,IF(AND($C$14&lt;&gt;"",K107&gt;=$C$14),$C$15,IF(AND($C$12&lt;&gt;"",K107&gt;=$C$12),$C$13,$C$11))))</f>
        <v/>
      </c>
      <c r="M107" s="16" t="str">
        <f aca="false">IF(K107="","",IF(OR(ISNUMBER(SEARCH("full",L107)),UPPER(TRIM(L107))="FT",UPPER(TRIM(L107))="FTE"),"FT",IF(AND(OR(ISNUMBER(SEARCH("part",L107)),UPPER(TRIM(L107))="PT",UPPER(TRIM(L107))="PTE"),Apply2026="Yes",OR($C$10="",N($C$10)&gt;=PT_MinHours)),"PT","None")))</f>
        <v/>
      </c>
      <c r="N107" s="16" t="n">
        <f aca="false">IF(I107&lt;FT_Y5,1,IF(MOD(I107-FT_Y5,12)=0,FT_AnnivDays,1))</f>
        <v>1</v>
      </c>
      <c r="O107" s="16" t="str">
        <f aca="false">IF(K107="","",IF(AND(M107="FT",K107&lt;=AsOfDate,K107&gt;=SchemeStart),IF(AND("FT"="FT",I107=FT_Y5,K107&lt;PolicyEff),1,N107),0))</f>
        <v/>
      </c>
      <c r="P107" s="16" t="str">
        <f aca="false">IF(K107="","",IF(N(O107)&gt;0,"",IF(K107&lt;SchemeStart,"before scheme start",IF(K107&gt;AsOfDate,"future",IF(M107&lt;&gt;"FT","not " &amp; IF("FT"="FT","full-time","eligible part-time") &amp; " on that date","")))))</f>
        <v/>
      </c>
      <c r="Q107" s="16" t="n">
        <v>88</v>
      </c>
      <c r="R107" s="16" t="n">
        <f aca="false">PT_First+PT_Int*87</f>
        <v>408</v>
      </c>
      <c r="S107" s="16" t="str">
        <f aca="false">INT(R107/12)&amp;"y "&amp;MOD(R107,12)&amp;"m"</f>
        <v>34y 0m</v>
      </c>
      <c r="T107" s="14" t="str">
        <f aca="false">IF(OR($C$6&lt;&gt;"Yes",$C$8=""),"",EDATE($C$8,R107))</f>
        <v/>
      </c>
      <c r="U107" s="16" t="str">
        <f aca="false">IF(T107="","",IF($C$16=0,$C$9,IF(AND($C$14&lt;&gt;"",T107&gt;=$C$14),$C$15,IF(AND($C$12&lt;&gt;"",T107&gt;=$C$12),$C$13,$C$11))))</f>
        <v/>
      </c>
      <c r="V107" s="16" t="str">
        <f aca="false">IF(T107="","",IF(OR(ISNUMBER(SEARCH("full",U107)),UPPER(TRIM(U107))="FT",UPPER(TRIM(U107))="FTE"),"FT",IF(AND(OR(ISNUMBER(SEARCH("part",U107)),UPPER(TRIM(U107))="PT",UPPER(TRIM(U107))="PTE"),Apply2026="Yes",OR($C$10="",N($C$10)&gt;=PT_MinHours)),"PT","None")))</f>
        <v/>
      </c>
      <c r="W107" s="16" t="n">
        <v>1</v>
      </c>
      <c r="X107" s="16" t="str">
        <f aca="false">IF(T107="","",IF(AND(V107="PT",T107&lt;=AsOfDate,T107&gt;=SchemeStart),IF(AND("PT"="FT",R107=FT_Y5,T107&lt;PolicyEff),1,W107),0))</f>
        <v/>
      </c>
      <c r="Y107" s="16" t="str">
        <f aca="false">IF(T107="","",IF(N(X107)&gt;0,"",IF(T107&lt;SchemeStart,"before scheme start",IF(T107&gt;AsOfDate,"future",IF(V107&lt;&gt;"PT","not " &amp; IF("PT"="FT","full-time","eligible part-time") &amp; " on that date","")))))</f>
        <v/>
      </c>
      <c r="Z107" s="19" t="n">
        <f aca="false">I107</f>
        <v>303</v>
      </c>
      <c r="AA107" s="19" t="n">
        <f aca="false">SMALL($Z$20:$Z$199,88)</f>
        <v>198</v>
      </c>
      <c r="AB107" s="19" t="str">
        <f aca="false">IF(88-COUNTIF($Z$20:$Z$199,"&lt;"&amp;AA107)=1,IF(COUNTIF($I$20:$I$109,AA107)&gt;0,"FT","PT"),"PT")</f>
        <v>FT</v>
      </c>
      <c r="AC107" s="19" t="n">
        <f aca="false">IF(AB107="FT",INDEX($N$20:$N$109,MATCH(AA107,$I$20:$I$109,0)),1)</f>
        <v>1</v>
      </c>
    </row>
    <row r="108" customFormat="false" ht="15" hidden="false" customHeight="false" outlineLevel="0" collapsed="false">
      <c r="H108" s="16" t="n">
        <v>89</v>
      </c>
      <c r="I108" s="16" t="n">
        <f aca="false">IF(88&lt;FT_PreY5,FT_First+FT_Int1*88,FT_Y5+FT_Int2*(88-FT_PreY5))</f>
        <v>306</v>
      </c>
      <c r="J108" s="16" t="str">
        <f aca="false">INT(I108/12)&amp;"y "&amp;MOD(I108,12)&amp;"m"</f>
        <v>25y 6m</v>
      </c>
      <c r="K108" s="14" t="str">
        <f aca="false">IF(OR($C$6&lt;&gt;"Yes",$C$8=""),"",EDATE($C$8,I108))</f>
        <v/>
      </c>
      <c r="L108" s="16" t="str">
        <f aca="false">IF(K108="","",IF($C$16=0,$C$9,IF(AND($C$14&lt;&gt;"",K108&gt;=$C$14),$C$15,IF(AND($C$12&lt;&gt;"",K108&gt;=$C$12),$C$13,$C$11))))</f>
        <v/>
      </c>
      <c r="M108" s="16" t="str">
        <f aca="false">IF(K108="","",IF(OR(ISNUMBER(SEARCH("full",L108)),UPPER(TRIM(L108))="FT",UPPER(TRIM(L108))="FTE"),"FT",IF(AND(OR(ISNUMBER(SEARCH("part",L108)),UPPER(TRIM(L108))="PT",UPPER(TRIM(L108))="PTE"),Apply2026="Yes",OR($C$10="",N($C$10)&gt;=PT_MinHours)),"PT","None")))</f>
        <v/>
      </c>
      <c r="N108" s="16" t="n">
        <f aca="false">IF(I108&lt;FT_Y5,1,IF(MOD(I108-FT_Y5,12)=0,FT_AnnivDays,1))</f>
        <v>1</v>
      </c>
      <c r="O108" s="16" t="str">
        <f aca="false">IF(K108="","",IF(AND(M108="FT",K108&lt;=AsOfDate,K108&gt;=SchemeStart),IF(AND("FT"="FT",I108=FT_Y5,K108&lt;PolicyEff),1,N108),0))</f>
        <v/>
      </c>
      <c r="P108" s="16" t="str">
        <f aca="false">IF(K108="","",IF(N(O108)&gt;0,"",IF(K108&lt;SchemeStart,"before scheme start",IF(K108&gt;AsOfDate,"future",IF(M108&lt;&gt;"FT","not " &amp; IF("FT"="FT","full-time","eligible part-time") &amp; " on that date","")))))</f>
        <v/>
      </c>
      <c r="Q108" s="16" t="n">
        <v>89</v>
      </c>
      <c r="R108" s="16" t="n">
        <f aca="false">PT_First+PT_Int*88</f>
        <v>412</v>
      </c>
      <c r="S108" s="16" t="str">
        <f aca="false">INT(R108/12)&amp;"y "&amp;MOD(R108,12)&amp;"m"</f>
        <v>34y 4m</v>
      </c>
      <c r="T108" s="14" t="str">
        <f aca="false">IF(OR($C$6&lt;&gt;"Yes",$C$8=""),"",EDATE($C$8,R108))</f>
        <v/>
      </c>
      <c r="U108" s="16" t="str">
        <f aca="false">IF(T108="","",IF($C$16=0,$C$9,IF(AND($C$14&lt;&gt;"",T108&gt;=$C$14),$C$15,IF(AND($C$12&lt;&gt;"",T108&gt;=$C$12),$C$13,$C$11))))</f>
        <v/>
      </c>
      <c r="V108" s="16" t="str">
        <f aca="false">IF(T108="","",IF(OR(ISNUMBER(SEARCH("full",U108)),UPPER(TRIM(U108))="FT",UPPER(TRIM(U108))="FTE"),"FT",IF(AND(OR(ISNUMBER(SEARCH("part",U108)),UPPER(TRIM(U108))="PT",UPPER(TRIM(U108))="PTE"),Apply2026="Yes",OR($C$10="",N($C$10)&gt;=PT_MinHours)),"PT","None")))</f>
        <v/>
      </c>
      <c r="W108" s="16" t="n">
        <v>1</v>
      </c>
      <c r="X108" s="16" t="str">
        <f aca="false">IF(T108="","",IF(AND(V108="PT",T108&lt;=AsOfDate,T108&gt;=SchemeStart),IF(AND("PT"="FT",R108=FT_Y5,T108&lt;PolicyEff),1,W108),0))</f>
        <v/>
      </c>
      <c r="Y108" s="16" t="str">
        <f aca="false">IF(T108="","",IF(N(X108)&gt;0,"",IF(T108&lt;SchemeStart,"before scheme start",IF(T108&gt;AsOfDate,"future",IF(V108&lt;&gt;"PT","not " &amp; IF("PT"="FT","full-time","eligible part-time") &amp; " on that date","")))))</f>
        <v/>
      </c>
      <c r="Z108" s="19" t="n">
        <f aca="false">I108</f>
        <v>306</v>
      </c>
      <c r="AA108" s="19" t="n">
        <f aca="false">SMALL($Z$20:$Z$199,89)</f>
        <v>200</v>
      </c>
      <c r="AB108" s="19" t="str">
        <f aca="false">IF(89-COUNTIF($Z$20:$Z$199,"&lt;"&amp;AA108)=1,IF(COUNTIF($I$20:$I$109,AA108)&gt;0,"FT","PT"),"PT")</f>
        <v>PT</v>
      </c>
      <c r="AC108" s="19" t="n">
        <f aca="false">IF(AB108="FT",INDEX($N$20:$N$109,MATCH(AA108,$I$20:$I$109,0)),1)</f>
        <v>1</v>
      </c>
    </row>
    <row r="109" customFormat="false" ht="15" hidden="false" customHeight="false" outlineLevel="0" collapsed="false">
      <c r="H109" s="16" t="n">
        <v>90</v>
      </c>
      <c r="I109" s="16" t="n">
        <f aca="false">IF(89&lt;FT_PreY5,FT_First+FT_Int1*89,FT_Y5+FT_Int2*(89-FT_PreY5))</f>
        <v>309</v>
      </c>
      <c r="J109" s="16" t="str">
        <f aca="false">INT(I109/12)&amp;"y "&amp;MOD(I109,12)&amp;"m"</f>
        <v>25y 9m</v>
      </c>
      <c r="K109" s="14" t="str">
        <f aca="false">IF(OR($C$6&lt;&gt;"Yes",$C$8=""),"",EDATE($C$8,I109))</f>
        <v/>
      </c>
      <c r="L109" s="16" t="str">
        <f aca="false">IF(K109="","",IF($C$16=0,$C$9,IF(AND($C$14&lt;&gt;"",K109&gt;=$C$14),$C$15,IF(AND($C$12&lt;&gt;"",K109&gt;=$C$12),$C$13,$C$11))))</f>
        <v/>
      </c>
      <c r="M109" s="16" t="str">
        <f aca="false">IF(K109="","",IF(OR(ISNUMBER(SEARCH("full",L109)),UPPER(TRIM(L109))="FT",UPPER(TRIM(L109))="FTE"),"FT",IF(AND(OR(ISNUMBER(SEARCH("part",L109)),UPPER(TRIM(L109))="PT",UPPER(TRIM(L109))="PTE"),Apply2026="Yes",OR($C$10="",N($C$10)&gt;=PT_MinHours)),"PT","None")))</f>
        <v/>
      </c>
      <c r="N109" s="16" t="n">
        <f aca="false">IF(I109&lt;FT_Y5,1,IF(MOD(I109-FT_Y5,12)=0,FT_AnnivDays,1))</f>
        <v>1</v>
      </c>
      <c r="O109" s="16" t="str">
        <f aca="false">IF(K109="","",IF(AND(M109="FT",K109&lt;=AsOfDate,K109&gt;=SchemeStart),IF(AND("FT"="FT",I109=FT_Y5,K109&lt;PolicyEff),1,N109),0))</f>
        <v/>
      </c>
      <c r="P109" s="16" t="str">
        <f aca="false">IF(K109="","",IF(N(O109)&gt;0,"",IF(K109&lt;SchemeStart,"before scheme start",IF(K109&gt;AsOfDate,"future",IF(M109&lt;&gt;"FT","not " &amp; IF("FT"="FT","full-time","eligible part-time") &amp; " on that date","")))))</f>
        <v/>
      </c>
      <c r="Q109" s="16" t="n">
        <v>90</v>
      </c>
      <c r="R109" s="16" t="n">
        <f aca="false">PT_First+PT_Int*89</f>
        <v>416</v>
      </c>
      <c r="S109" s="16" t="str">
        <f aca="false">INT(R109/12)&amp;"y "&amp;MOD(R109,12)&amp;"m"</f>
        <v>34y 8m</v>
      </c>
      <c r="T109" s="14" t="str">
        <f aca="false">IF(OR($C$6&lt;&gt;"Yes",$C$8=""),"",EDATE($C$8,R109))</f>
        <v/>
      </c>
      <c r="U109" s="16" t="str">
        <f aca="false">IF(T109="","",IF($C$16=0,$C$9,IF(AND($C$14&lt;&gt;"",T109&gt;=$C$14),$C$15,IF(AND($C$12&lt;&gt;"",T109&gt;=$C$12),$C$13,$C$11))))</f>
        <v/>
      </c>
      <c r="V109" s="16" t="str">
        <f aca="false">IF(T109="","",IF(OR(ISNUMBER(SEARCH("full",U109)),UPPER(TRIM(U109))="FT",UPPER(TRIM(U109))="FTE"),"FT",IF(AND(OR(ISNUMBER(SEARCH("part",U109)),UPPER(TRIM(U109))="PT",UPPER(TRIM(U109))="PTE"),Apply2026="Yes",OR($C$10="",N($C$10)&gt;=PT_MinHours)),"PT","None")))</f>
        <v/>
      </c>
      <c r="W109" s="16" t="n">
        <v>1</v>
      </c>
      <c r="X109" s="16" t="str">
        <f aca="false">IF(T109="","",IF(AND(V109="PT",T109&lt;=AsOfDate,T109&gt;=SchemeStart),IF(AND("PT"="FT",R109=FT_Y5,T109&lt;PolicyEff),1,W109),0))</f>
        <v/>
      </c>
      <c r="Y109" s="16" t="str">
        <f aca="false">IF(T109="","",IF(N(X109)&gt;0,"",IF(T109&lt;SchemeStart,"before scheme start",IF(T109&gt;AsOfDate,"future",IF(V109&lt;&gt;"PT","not " &amp; IF("PT"="FT","full-time","eligible part-time") &amp; " on that date","")))))</f>
        <v/>
      </c>
      <c r="Z109" s="19" t="n">
        <f aca="false">I109</f>
        <v>309</v>
      </c>
      <c r="AA109" s="19" t="n">
        <f aca="false">SMALL($Z$20:$Z$199,90)</f>
        <v>201</v>
      </c>
      <c r="AB109" s="19" t="str">
        <f aca="false">IF(90-COUNTIF($Z$20:$Z$199,"&lt;"&amp;AA109)=1,IF(COUNTIF($I$20:$I$109,AA109)&gt;0,"FT","PT"),"PT")</f>
        <v>FT</v>
      </c>
      <c r="AC109" s="19" t="n">
        <f aca="false">IF(AB109="FT",INDEX($N$20:$N$109,MATCH(AA109,$I$20:$I$109,0)),1)</f>
        <v>1</v>
      </c>
    </row>
    <row r="110" customFormat="false" ht="15" hidden="false" customHeight="false" outlineLevel="0" collapsed="false">
      <c r="Z110" s="19" t="n">
        <f aca="false">R20</f>
        <v>60</v>
      </c>
      <c r="AA110" s="19" t="n">
        <f aca="false">SMALL($Z$20:$Z$199,91)</f>
        <v>204</v>
      </c>
      <c r="AB110" s="19" t="str">
        <f aca="false">IF(91-COUNTIF($Z$20:$Z$199,"&lt;"&amp;AA110)=1,IF(COUNTIF($I$20:$I$109,AA110)&gt;0,"FT","PT"),"PT")</f>
        <v>FT</v>
      </c>
      <c r="AC110" s="19" t="n">
        <f aca="false">IF(AB110="FT",INDEX($N$20:$N$109,MATCH(AA110,$I$20:$I$109,0)),1)</f>
        <v>2</v>
      </c>
    </row>
    <row r="111" customFormat="false" ht="15" hidden="false" customHeight="false" outlineLevel="0" collapsed="false">
      <c r="Z111" s="19" t="n">
        <f aca="false">R21</f>
        <v>64</v>
      </c>
      <c r="AA111" s="19" t="n">
        <f aca="false">SMALL($Z$20:$Z$199,92)</f>
        <v>204</v>
      </c>
      <c r="AB111" s="19" t="str">
        <f aca="false">IF(92-COUNTIF($Z$20:$Z$199,"&lt;"&amp;AA111)=1,IF(COUNTIF($I$20:$I$109,AA111)&gt;0,"FT","PT"),"PT")</f>
        <v>PT</v>
      </c>
      <c r="AC111" s="19" t="n">
        <f aca="false">IF(AB111="FT",INDEX($N$20:$N$109,MATCH(AA111,$I$20:$I$109,0)),1)</f>
        <v>1</v>
      </c>
    </row>
    <row r="112" customFormat="false" ht="15" hidden="false" customHeight="false" outlineLevel="0" collapsed="false">
      <c r="Z112" s="19" t="n">
        <f aca="false">R22</f>
        <v>68</v>
      </c>
      <c r="AA112" s="19" t="n">
        <f aca="false">SMALL($Z$20:$Z$199,93)</f>
        <v>207</v>
      </c>
      <c r="AB112" s="19" t="str">
        <f aca="false">IF(93-COUNTIF($Z$20:$Z$199,"&lt;"&amp;AA112)=1,IF(COUNTIF($I$20:$I$109,AA112)&gt;0,"FT","PT"),"PT")</f>
        <v>FT</v>
      </c>
      <c r="AC112" s="19" t="n">
        <f aca="false">IF(AB112="FT",INDEX($N$20:$N$109,MATCH(AA112,$I$20:$I$109,0)),1)</f>
        <v>1</v>
      </c>
    </row>
    <row r="113" customFormat="false" ht="15" hidden="false" customHeight="false" outlineLevel="0" collapsed="false">
      <c r="Z113" s="19" t="n">
        <f aca="false">R23</f>
        <v>72</v>
      </c>
      <c r="AA113" s="19" t="n">
        <f aca="false">SMALL($Z$20:$Z$199,94)</f>
        <v>208</v>
      </c>
      <c r="AB113" s="19" t="str">
        <f aca="false">IF(94-COUNTIF($Z$20:$Z$199,"&lt;"&amp;AA113)=1,IF(COUNTIF($I$20:$I$109,AA113)&gt;0,"FT","PT"),"PT")</f>
        <v>PT</v>
      </c>
      <c r="AC113" s="19" t="n">
        <f aca="false">IF(AB113="FT",INDEX($N$20:$N$109,MATCH(AA113,$I$20:$I$109,0)),1)</f>
        <v>1</v>
      </c>
    </row>
    <row r="114" customFormat="false" ht="15" hidden="false" customHeight="false" outlineLevel="0" collapsed="false">
      <c r="Z114" s="19" t="n">
        <f aca="false">R24</f>
        <v>76</v>
      </c>
      <c r="AA114" s="19" t="n">
        <f aca="false">SMALL($Z$20:$Z$199,95)</f>
        <v>210</v>
      </c>
      <c r="AB114" s="19" t="str">
        <f aca="false">IF(95-COUNTIF($Z$20:$Z$199,"&lt;"&amp;AA114)=1,IF(COUNTIF($I$20:$I$109,AA114)&gt;0,"FT","PT"),"PT")</f>
        <v>FT</v>
      </c>
      <c r="AC114" s="19" t="n">
        <f aca="false">IF(AB114="FT",INDEX($N$20:$N$109,MATCH(AA114,$I$20:$I$109,0)),1)</f>
        <v>1</v>
      </c>
    </row>
    <row r="115" customFormat="false" ht="15" hidden="false" customHeight="false" outlineLevel="0" collapsed="false">
      <c r="Z115" s="19" t="n">
        <f aca="false">R25</f>
        <v>80</v>
      </c>
      <c r="AA115" s="19" t="n">
        <f aca="false">SMALL($Z$20:$Z$199,96)</f>
        <v>212</v>
      </c>
      <c r="AB115" s="19" t="str">
        <f aca="false">IF(96-COUNTIF($Z$20:$Z$199,"&lt;"&amp;AA115)=1,IF(COUNTIF($I$20:$I$109,AA115)&gt;0,"FT","PT"),"PT")</f>
        <v>PT</v>
      </c>
      <c r="AC115" s="19" t="n">
        <f aca="false">IF(AB115="FT",INDEX($N$20:$N$109,MATCH(AA115,$I$20:$I$109,0)),1)</f>
        <v>1</v>
      </c>
    </row>
    <row r="116" customFormat="false" ht="15" hidden="false" customHeight="false" outlineLevel="0" collapsed="false">
      <c r="Z116" s="19" t="n">
        <f aca="false">R26</f>
        <v>84</v>
      </c>
      <c r="AA116" s="19" t="n">
        <f aca="false">SMALL($Z$20:$Z$199,97)</f>
        <v>213</v>
      </c>
      <c r="AB116" s="19" t="str">
        <f aca="false">IF(97-COUNTIF($Z$20:$Z$199,"&lt;"&amp;AA116)=1,IF(COUNTIF($I$20:$I$109,AA116)&gt;0,"FT","PT"),"PT")</f>
        <v>FT</v>
      </c>
      <c r="AC116" s="19" t="n">
        <f aca="false">IF(AB116="FT",INDEX($N$20:$N$109,MATCH(AA116,$I$20:$I$109,0)),1)</f>
        <v>1</v>
      </c>
    </row>
    <row r="117" customFormat="false" ht="15" hidden="false" customHeight="false" outlineLevel="0" collapsed="false">
      <c r="Z117" s="19" t="n">
        <f aca="false">R27</f>
        <v>88</v>
      </c>
      <c r="AA117" s="19" t="n">
        <f aca="false">SMALL($Z$20:$Z$199,98)</f>
        <v>216</v>
      </c>
      <c r="AB117" s="19" t="str">
        <f aca="false">IF(98-COUNTIF($Z$20:$Z$199,"&lt;"&amp;AA117)=1,IF(COUNTIF($I$20:$I$109,AA117)&gt;0,"FT","PT"),"PT")</f>
        <v>FT</v>
      </c>
      <c r="AC117" s="19" t="n">
        <f aca="false">IF(AB117="FT",INDEX($N$20:$N$109,MATCH(AA117,$I$20:$I$109,0)),1)</f>
        <v>2</v>
      </c>
    </row>
    <row r="118" customFormat="false" ht="15" hidden="false" customHeight="false" outlineLevel="0" collapsed="false">
      <c r="Z118" s="19" t="n">
        <f aca="false">R28</f>
        <v>92</v>
      </c>
      <c r="AA118" s="19" t="n">
        <f aca="false">SMALL($Z$20:$Z$199,99)</f>
        <v>216</v>
      </c>
      <c r="AB118" s="19" t="str">
        <f aca="false">IF(99-COUNTIF($Z$20:$Z$199,"&lt;"&amp;AA118)=1,IF(COUNTIF($I$20:$I$109,AA118)&gt;0,"FT","PT"),"PT")</f>
        <v>PT</v>
      </c>
      <c r="AC118" s="19" t="n">
        <f aca="false">IF(AB118="FT",INDEX($N$20:$N$109,MATCH(AA118,$I$20:$I$109,0)),1)</f>
        <v>1</v>
      </c>
    </row>
    <row r="119" customFormat="false" ht="15" hidden="false" customHeight="false" outlineLevel="0" collapsed="false">
      <c r="Z119" s="19" t="n">
        <f aca="false">R29</f>
        <v>96</v>
      </c>
      <c r="AA119" s="19" t="n">
        <f aca="false">SMALL($Z$20:$Z$199,100)</f>
        <v>219</v>
      </c>
      <c r="AB119" s="19" t="str">
        <f aca="false">IF(100-COUNTIF($Z$20:$Z$199,"&lt;"&amp;AA119)=1,IF(COUNTIF($I$20:$I$109,AA119)&gt;0,"FT","PT"),"PT")</f>
        <v>FT</v>
      </c>
      <c r="AC119" s="19" t="n">
        <f aca="false">IF(AB119="FT",INDEX($N$20:$N$109,MATCH(AA119,$I$20:$I$109,0)),1)</f>
        <v>1</v>
      </c>
    </row>
    <row r="120" customFormat="false" ht="15" hidden="false" customHeight="false" outlineLevel="0" collapsed="false">
      <c r="Z120" s="19" t="n">
        <f aca="false">R30</f>
        <v>100</v>
      </c>
      <c r="AA120" s="19" t="n">
        <f aca="false">SMALL($Z$20:$Z$199,101)</f>
        <v>220</v>
      </c>
      <c r="AB120" s="19" t="str">
        <f aca="false">IF(101-COUNTIF($Z$20:$Z$199,"&lt;"&amp;AA120)=1,IF(COUNTIF($I$20:$I$109,AA120)&gt;0,"FT","PT"),"PT")</f>
        <v>PT</v>
      </c>
      <c r="AC120" s="19" t="n">
        <f aca="false">IF(AB120="FT",INDEX($N$20:$N$109,MATCH(AA120,$I$20:$I$109,0)),1)</f>
        <v>1</v>
      </c>
    </row>
    <row r="121" customFormat="false" ht="15" hidden="false" customHeight="false" outlineLevel="0" collapsed="false">
      <c r="Z121" s="19" t="n">
        <f aca="false">R31</f>
        <v>104</v>
      </c>
      <c r="AA121" s="19" t="n">
        <f aca="false">SMALL($Z$20:$Z$199,102)</f>
        <v>222</v>
      </c>
      <c r="AB121" s="19" t="str">
        <f aca="false">IF(102-COUNTIF($Z$20:$Z$199,"&lt;"&amp;AA121)=1,IF(COUNTIF($I$20:$I$109,AA121)&gt;0,"FT","PT"),"PT")</f>
        <v>FT</v>
      </c>
      <c r="AC121" s="19" t="n">
        <f aca="false">IF(AB121="FT",INDEX($N$20:$N$109,MATCH(AA121,$I$20:$I$109,0)),1)</f>
        <v>1</v>
      </c>
    </row>
    <row r="122" customFormat="false" ht="15" hidden="false" customHeight="false" outlineLevel="0" collapsed="false">
      <c r="Z122" s="19" t="n">
        <f aca="false">R32</f>
        <v>108</v>
      </c>
      <c r="AA122" s="19" t="n">
        <f aca="false">SMALL($Z$20:$Z$199,103)</f>
        <v>224</v>
      </c>
      <c r="AB122" s="19" t="str">
        <f aca="false">IF(103-COUNTIF($Z$20:$Z$199,"&lt;"&amp;AA122)=1,IF(COUNTIF($I$20:$I$109,AA122)&gt;0,"FT","PT"),"PT")</f>
        <v>PT</v>
      </c>
      <c r="AC122" s="19" t="n">
        <f aca="false">IF(AB122="FT",INDEX($N$20:$N$109,MATCH(AA122,$I$20:$I$109,0)),1)</f>
        <v>1</v>
      </c>
    </row>
    <row r="123" customFormat="false" ht="15" hidden="false" customHeight="false" outlineLevel="0" collapsed="false">
      <c r="Z123" s="19" t="n">
        <f aca="false">R33</f>
        <v>112</v>
      </c>
      <c r="AA123" s="19" t="n">
        <f aca="false">SMALL($Z$20:$Z$199,104)</f>
        <v>225</v>
      </c>
      <c r="AB123" s="19" t="str">
        <f aca="false">IF(104-COUNTIF($Z$20:$Z$199,"&lt;"&amp;AA123)=1,IF(COUNTIF($I$20:$I$109,AA123)&gt;0,"FT","PT"),"PT")</f>
        <v>FT</v>
      </c>
      <c r="AC123" s="19" t="n">
        <f aca="false">IF(AB123="FT",INDEX($N$20:$N$109,MATCH(AA123,$I$20:$I$109,0)),1)</f>
        <v>1</v>
      </c>
    </row>
    <row r="124" customFormat="false" ht="15" hidden="false" customHeight="false" outlineLevel="0" collapsed="false">
      <c r="Z124" s="19" t="n">
        <f aca="false">R34</f>
        <v>116</v>
      </c>
      <c r="AA124" s="19" t="n">
        <f aca="false">SMALL($Z$20:$Z$199,105)</f>
        <v>228</v>
      </c>
      <c r="AB124" s="19" t="str">
        <f aca="false">IF(105-COUNTIF($Z$20:$Z$199,"&lt;"&amp;AA124)=1,IF(COUNTIF($I$20:$I$109,AA124)&gt;0,"FT","PT"),"PT")</f>
        <v>FT</v>
      </c>
      <c r="AC124" s="19" t="n">
        <f aca="false">IF(AB124="FT",INDEX($N$20:$N$109,MATCH(AA124,$I$20:$I$109,0)),1)</f>
        <v>2</v>
      </c>
    </row>
    <row r="125" customFormat="false" ht="15" hidden="false" customHeight="false" outlineLevel="0" collapsed="false">
      <c r="Z125" s="19" t="n">
        <f aca="false">R35</f>
        <v>120</v>
      </c>
      <c r="AA125" s="19" t="n">
        <f aca="false">SMALL($Z$20:$Z$199,106)</f>
        <v>228</v>
      </c>
      <c r="AB125" s="19" t="str">
        <f aca="false">IF(106-COUNTIF($Z$20:$Z$199,"&lt;"&amp;AA125)=1,IF(COUNTIF($I$20:$I$109,AA125)&gt;0,"FT","PT"),"PT")</f>
        <v>PT</v>
      </c>
      <c r="AC125" s="19" t="n">
        <f aca="false">IF(AB125="FT",INDEX($N$20:$N$109,MATCH(AA125,$I$20:$I$109,0)),1)</f>
        <v>1</v>
      </c>
    </row>
    <row r="126" customFormat="false" ht="15" hidden="false" customHeight="false" outlineLevel="0" collapsed="false">
      <c r="Z126" s="19" t="n">
        <f aca="false">R36</f>
        <v>124</v>
      </c>
      <c r="AA126" s="19" t="n">
        <f aca="false">SMALL($Z$20:$Z$199,107)</f>
        <v>231</v>
      </c>
      <c r="AB126" s="19" t="str">
        <f aca="false">IF(107-COUNTIF($Z$20:$Z$199,"&lt;"&amp;AA126)=1,IF(COUNTIF($I$20:$I$109,AA126)&gt;0,"FT","PT"),"PT")</f>
        <v>FT</v>
      </c>
      <c r="AC126" s="19" t="n">
        <f aca="false">IF(AB126="FT",INDEX($N$20:$N$109,MATCH(AA126,$I$20:$I$109,0)),1)</f>
        <v>1</v>
      </c>
    </row>
    <row r="127" customFormat="false" ht="15" hidden="false" customHeight="false" outlineLevel="0" collapsed="false">
      <c r="Z127" s="19" t="n">
        <f aca="false">R37</f>
        <v>128</v>
      </c>
      <c r="AA127" s="19" t="n">
        <f aca="false">SMALL($Z$20:$Z$199,108)</f>
        <v>232</v>
      </c>
      <c r="AB127" s="19" t="str">
        <f aca="false">IF(108-COUNTIF($Z$20:$Z$199,"&lt;"&amp;AA127)=1,IF(COUNTIF($I$20:$I$109,AA127)&gt;0,"FT","PT"),"PT")</f>
        <v>PT</v>
      </c>
      <c r="AC127" s="19" t="n">
        <f aca="false">IF(AB127="FT",INDEX($N$20:$N$109,MATCH(AA127,$I$20:$I$109,0)),1)</f>
        <v>1</v>
      </c>
    </row>
    <row r="128" customFormat="false" ht="15" hidden="false" customHeight="false" outlineLevel="0" collapsed="false">
      <c r="Z128" s="19" t="n">
        <f aca="false">R38</f>
        <v>132</v>
      </c>
      <c r="AA128" s="19" t="n">
        <f aca="false">SMALL($Z$20:$Z$199,109)</f>
        <v>234</v>
      </c>
      <c r="AB128" s="19" t="str">
        <f aca="false">IF(109-COUNTIF($Z$20:$Z$199,"&lt;"&amp;AA128)=1,IF(COUNTIF($I$20:$I$109,AA128)&gt;0,"FT","PT"),"PT")</f>
        <v>FT</v>
      </c>
      <c r="AC128" s="19" t="n">
        <f aca="false">IF(AB128="FT",INDEX($N$20:$N$109,MATCH(AA128,$I$20:$I$109,0)),1)</f>
        <v>1</v>
      </c>
    </row>
    <row r="129" customFormat="false" ht="15" hidden="false" customHeight="false" outlineLevel="0" collapsed="false">
      <c r="Z129" s="19" t="n">
        <f aca="false">R39</f>
        <v>136</v>
      </c>
      <c r="AA129" s="19" t="n">
        <f aca="false">SMALL($Z$20:$Z$199,110)</f>
        <v>236</v>
      </c>
      <c r="AB129" s="19" t="str">
        <f aca="false">IF(110-COUNTIF($Z$20:$Z$199,"&lt;"&amp;AA129)=1,IF(COUNTIF($I$20:$I$109,AA129)&gt;0,"FT","PT"),"PT")</f>
        <v>PT</v>
      </c>
      <c r="AC129" s="19" t="n">
        <f aca="false">IF(AB129="FT",INDEX($N$20:$N$109,MATCH(AA129,$I$20:$I$109,0)),1)</f>
        <v>1</v>
      </c>
    </row>
    <row r="130" customFormat="false" ht="15" hidden="false" customHeight="false" outlineLevel="0" collapsed="false">
      <c r="Z130" s="19" t="n">
        <f aca="false">R40</f>
        <v>140</v>
      </c>
      <c r="AA130" s="19" t="n">
        <f aca="false">SMALL($Z$20:$Z$199,111)</f>
        <v>237</v>
      </c>
      <c r="AB130" s="19" t="str">
        <f aca="false">IF(111-COUNTIF($Z$20:$Z$199,"&lt;"&amp;AA130)=1,IF(COUNTIF($I$20:$I$109,AA130)&gt;0,"FT","PT"),"PT")</f>
        <v>FT</v>
      </c>
      <c r="AC130" s="19" t="n">
        <f aca="false">IF(AB130="FT",INDEX($N$20:$N$109,MATCH(AA130,$I$20:$I$109,0)),1)</f>
        <v>1</v>
      </c>
    </row>
    <row r="131" customFormat="false" ht="15" hidden="false" customHeight="false" outlineLevel="0" collapsed="false">
      <c r="Z131" s="19" t="n">
        <f aca="false">R41</f>
        <v>144</v>
      </c>
      <c r="AA131" s="19" t="n">
        <f aca="false">SMALL($Z$20:$Z$199,112)</f>
        <v>240</v>
      </c>
      <c r="AB131" s="19" t="str">
        <f aca="false">IF(112-COUNTIF($Z$20:$Z$199,"&lt;"&amp;AA131)=1,IF(COUNTIF($I$20:$I$109,AA131)&gt;0,"FT","PT"),"PT")</f>
        <v>FT</v>
      </c>
      <c r="AC131" s="19" t="n">
        <f aca="false">IF(AB131="FT",INDEX($N$20:$N$109,MATCH(AA131,$I$20:$I$109,0)),1)</f>
        <v>2</v>
      </c>
    </row>
    <row r="132" customFormat="false" ht="15" hidden="false" customHeight="false" outlineLevel="0" collapsed="false">
      <c r="Z132" s="19" t="n">
        <f aca="false">R42</f>
        <v>148</v>
      </c>
      <c r="AA132" s="19" t="n">
        <f aca="false">SMALL($Z$20:$Z$199,113)</f>
        <v>240</v>
      </c>
      <c r="AB132" s="19" t="str">
        <f aca="false">IF(113-COUNTIF($Z$20:$Z$199,"&lt;"&amp;AA132)=1,IF(COUNTIF($I$20:$I$109,AA132)&gt;0,"FT","PT"),"PT")</f>
        <v>PT</v>
      </c>
      <c r="AC132" s="19" t="n">
        <f aca="false">IF(AB132="FT",INDEX($N$20:$N$109,MATCH(AA132,$I$20:$I$109,0)),1)</f>
        <v>1</v>
      </c>
    </row>
    <row r="133" customFormat="false" ht="15" hidden="false" customHeight="false" outlineLevel="0" collapsed="false">
      <c r="Z133" s="19" t="n">
        <f aca="false">R43</f>
        <v>152</v>
      </c>
      <c r="AA133" s="19" t="n">
        <f aca="false">SMALL($Z$20:$Z$199,114)</f>
        <v>243</v>
      </c>
      <c r="AB133" s="19" t="str">
        <f aca="false">IF(114-COUNTIF($Z$20:$Z$199,"&lt;"&amp;AA133)=1,IF(COUNTIF($I$20:$I$109,AA133)&gt;0,"FT","PT"),"PT")</f>
        <v>FT</v>
      </c>
      <c r="AC133" s="19" t="n">
        <f aca="false">IF(AB133="FT",INDEX($N$20:$N$109,MATCH(AA133,$I$20:$I$109,0)),1)</f>
        <v>1</v>
      </c>
    </row>
    <row r="134" customFormat="false" ht="15" hidden="false" customHeight="false" outlineLevel="0" collapsed="false">
      <c r="Z134" s="19" t="n">
        <f aca="false">R44</f>
        <v>156</v>
      </c>
      <c r="AA134" s="19" t="n">
        <f aca="false">SMALL($Z$20:$Z$199,115)</f>
        <v>244</v>
      </c>
      <c r="AB134" s="19" t="str">
        <f aca="false">IF(115-COUNTIF($Z$20:$Z$199,"&lt;"&amp;AA134)=1,IF(COUNTIF($I$20:$I$109,AA134)&gt;0,"FT","PT"),"PT")</f>
        <v>PT</v>
      </c>
      <c r="AC134" s="19" t="n">
        <f aca="false">IF(AB134="FT",INDEX($N$20:$N$109,MATCH(AA134,$I$20:$I$109,0)),1)</f>
        <v>1</v>
      </c>
    </row>
    <row r="135" customFormat="false" ht="15" hidden="false" customHeight="false" outlineLevel="0" collapsed="false">
      <c r="Z135" s="19" t="n">
        <f aca="false">R45</f>
        <v>160</v>
      </c>
      <c r="AA135" s="19" t="n">
        <f aca="false">SMALL($Z$20:$Z$199,116)</f>
        <v>246</v>
      </c>
      <c r="AB135" s="19" t="str">
        <f aca="false">IF(116-COUNTIF($Z$20:$Z$199,"&lt;"&amp;AA135)=1,IF(COUNTIF($I$20:$I$109,AA135)&gt;0,"FT","PT"),"PT")</f>
        <v>FT</v>
      </c>
      <c r="AC135" s="19" t="n">
        <f aca="false">IF(AB135="FT",INDEX($N$20:$N$109,MATCH(AA135,$I$20:$I$109,0)),1)</f>
        <v>1</v>
      </c>
    </row>
    <row r="136" customFormat="false" ht="15" hidden="false" customHeight="false" outlineLevel="0" collapsed="false">
      <c r="Z136" s="19" t="n">
        <f aca="false">R46</f>
        <v>164</v>
      </c>
      <c r="AA136" s="19" t="n">
        <f aca="false">SMALL($Z$20:$Z$199,117)</f>
        <v>248</v>
      </c>
      <c r="AB136" s="19" t="str">
        <f aca="false">IF(117-COUNTIF($Z$20:$Z$199,"&lt;"&amp;AA136)=1,IF(COUNTIF($I$20:$I$109,AA136)&gt;0,"FT","PT"),"PT")</f>
        <v>PT</v>
      </c>
      <c r="AC136" s="19" t="n">
        <f aca="false">IF(AB136="FT",INDEX($N$20:$N$109,MATCH(AA136,$I$20:$I$109,0)),1)</f>
        <v>1</v>
      </c>
    </row>
    <row r="137" customFormat="false" ht="15" hidden="false" customHeight="false" outlineLevel="0" collapsed="false">
      <c r="Z137" s="19" t="n">
        <f aca="false">R47</f>
        <v>168</v>
      </c>
      <c r="AA137" s="19" t="n">
        <f aca="false">SMALL($Z$20:$Z$199,118)</f>
        <v>249</v>
      </c>
      <c r="AB137" s="19" t="str">
        <f aca="false">IF(118-COUNTIF($Z$20:$Z$199,"&lt;"&amp;AA137)=1,IF(COUNTIF($I$20:$I$109,AA137)&gt;0,"FT","PT"),"PT")</f>
        <v>FT</v>
      </c>
      <c r="AC137" s="19" t="n">
        <f aca="false">IF(AB137="FT",INDEX($N$20:$N$109,MATCH(AA137,$I$20:$I$109,0)),1)</f>
        <v>1</v>
      </c>
    </row>
    <row r="138" customFormat="false" ht="15" hidden="false" customHeight="false" outlineLevel="0" collapsed="false">
      <c r="Z138" s="19" t="n">
        <f aca="false">R48</f>
        <v>172</v>
      </c>
      <c r="AA138" s="19" t="n">
        <f aca="false">SMALL($Z$20:$Z$199,119)</f>
        <v>252</v>
      </c>
      <c r="AB138" s="19" t="str">
        <f aca="false">IF(119-COUNTIF($Z$20:$Z$199,"&lt;"&amp;AA138)=1,IF(COUNTIF($I$20:$I$109,AA138)&gt;0,"FT","PT"),"PT")</f>
        <v>FT</v>
      </c>
      <c r="AC138" s="19" t="n">
        <f aca="false">IF(AB138="FT",INDEX($N$20:$N$109,MATCH(AA138,$I$20:$I$109,0)),1)</f>
        <v>2</v>
      </c>
    </row>
    <row r="139" customFormat="false" ht="15" hidden="false" customHeight="false" outlineLevel="0" collapsed="false">
      <c r="Z139" s="19" t="n">
        <f aca="false">R49</f>
        <v>176</v>
      </c>
      <c r="AA139" s="19" t="n">
        <f aca="false">SMALL($Z$20:$Z$199,120)</f>
        <v>252</v>
      </c>
      <c r="AB139" s="19" t="str">
        <f aca="false">IF(120-COUNTIF($Z$20:$Z$199,"&lt;"&amp;AA139)=1,IF(COUNTIF($I$20:$I$109,AA139)&gt;0,"FT","PT"),"PT")</f>
        <v>PT</v>
      </c>
      <c r="AC139" s="19" t="n">
        <f aca="false">IF(AB139="FT",INDEX($N$20:$N$109,MATCH(AA139,$I$20:$I$109,0)),1)</f>
        <v>1</v>
      </c>
    </row>
    <row r="140" customFormat="false" ht="15" hidden="false" customHeight="false" outlineLevel="0" collapsed="false">
      <c r="Z140" s="19" t="n">
        <f aca="false">R50</f>
        <v>180</v>
      </c>
      <c r="AA140" s="19" t="n">
        <f aca="false">SMALL($Z$20:$Z$199,121)</f>
        <v>255</v>
      </c>
      <c r="AB140" s="19" t="str">
        <f aca="false">IF(121-COUNTIF($Z$20:$Z$199,"&lt;"&amp;AA140)=1,IF(COUNTIF($I$20:$I$109,AA140)&gt;0,"FT","PT"),"PT")</f>
        <v>FT</v>
      </c>
      <c r="AC140" s="19" t="n">
        <f aca="false">IF(AB140="FT",INDEX($N$20:$N$109,MATCH(AA140,$I$20:$I$109,0)),1)</f>
        <v>1</v>
      </c>
    </row>
    <row r="141" customFormat="false" ht="15" hidden="false" customHeight="false" outlineLevel="0" collapsed="false">
      <c r="Z141" s="19" t="n">
        <f aca="false">R51</f>
        <v>184</v>
      </c>
      <c r="AA141" s="19" t="n">
        <f aca="false">SMALL($Z$20:$Z$199,122)</f>
        <v>256</v>
      </c>
      <c r="AB141" s="19" t="str">
        <f aca="false">IF(122-COUNTIF($Z$20:$Z$199,"&lt;"&amp;AA141)=1,IF(COUNTIF($I$20:$I$109,AA141)&gt;0,"FT","PT"),"PT")</f>
        <v>PT</v>
      </c>
      <c r="AC141" s="19" t="n">
        <f aca="false">IF(AB141="FT",INDEX($N$20:$N$109,MATCH(AA141,$I$20:$I$109,0)),1)</f>
        <v>1</v>
      </c>
    </row>
    <row r="142" customFormat="false" ht="15" hidden="false" customHeight="false" outlineLevel="0" collapsed="false">
      <c r="Z142" s="19" t="n">
        <f aca="false">R52</f>
        <v>188</v>
      </c>
      <c r="AA142" s="19" t="n">
        <f aca="false">SMALL($Z$20:$Z$199,123)</f>
        <v>258</v>
      </c>
      <c r="AB142" s="19" t="str">
        <f aca="false">IF(123-COUNTIF($Z$20:$Z$199,"&lt;"&amp;AA142)=1,IF(COUNTIF($I$20:$I$109,AA142)&gt;0,"FT","PT"),"PT")</f>
        <v>FT</v>
      </c>
      <c r="AC142" s="19" t="n">
        <f aca="false">IF(AB142="FT",INDEX($N$20:$N$109,MATCH(AA142,$I$20:$I$109,0)),1)</f>
        <v>1</v>
      </c>
    </row>
    <row r="143" customFormat="false" ht="15" hidden="false" customHeight="false" outlineLevel="0" collapsed="false">
      <c r="Z143" s="19" t="n">
        <f aca="false">R53</f>
        <v>192</v>
      </c>
      <c r="AA143" s="19" t="n">
        <f aca="false">SMALL($Z$20:$Z$199,124)</f>
        <v>260</v>
      </c>
      <c r="AB143" s="19" t="str">
        <f aca="false">IF(124-COUNTIF($Z$20:$Z$199,"&lt;"&amp;AA143)=1,IF(COUNTIF($I$20:$I$109,AA143)&gt;0,"FT","PT"),"PT")</f>
        <v>PT</v>
      </c>
      <c r="AC143" s="19" t="n">
        <f aca="false">IF(AB143="FT",INDEX($N$20:$N$109,MATCH(AA143,$I$20:$I$109,0)),1)</f>
        <v>1</v>
      </c>
    </row>
    <row r="144" customFormat="false" ht="15" hidden="false" customHeight="false" outlineLevel="0" collapsed="false">
      <c r="Z144" s="19" t="n">
        <f aca="false">R54</f>
        <v>196</v>
      </c>
      <c r="AA144" s="19" t="n">
        <f aca="false">SMALL($Z$20:$Z$199,125)</f>
        <v>261</v>
      </c>
      <c r="AB144" s="19" t="str">
        <f aca="false">IF(125-COUNTIF($Z$20:$Z$199,"&lt;"&amp;AA144)=1,IF(COUNTIF($I$20:$I$109,AA144)&gt;0,"FT","PT"),"PT")</f>
        <v>FT</v>
      </c>
      <c r="AC144" s="19" t="n">
        <f aca="false">IF(AB144="FT",INDEX($N$20:$N$109,MATCH(AA144,$I$20:$I$109,0)),1)</f>
        <v>1</v>
      </c>
    </row>
    <row r="145" customFormat="false" ht="15" hidden="false" customHeight="false" outlineLevel="0" collapsed="false">
      <c r="Z145" s="19" t="n">
        <f aca="false">R55</f>
        <v>200</v>
      </c>
      <c r="AA145" s="19" t="n">
        <f aca="false">SMALL($Z$20:$Z$199,126)</f>
        <v>264</v>
      </c>
      <c r="AB145" s="19" t="str">
        <f aca="false">IF(126-COUNTIF($Z$20:$Z$199,"&lt;"&amp;AA145)=1,IF(COUNTIF($I$20:$I$109,AA145)&gt;0,"FT","PT"),"PT")</f>
        <v>FT</v>
      </c>
      <c r="AC145" s="19" t="n">
        <f aca="false">IF(AB145="FT",INDEX($N$20:$N$109,MATCH(AA145,$I$20:$I$109,0)),1)</f>
        <v>2</v>
      </c>
    </row>
    <row r="146" customFormat="false" ht="15" hidden="false" customHeight="false" outlineLevel="0" collapsed="false">
      <c r="Z146" s="19" t="n">
        <f aca="false">R56</f>
        <v>204</v>
      </c>
      <c r="AA146" s="19" t="n">
        <f aca="false">SMALL($Z$20:$Z$199,127)</f>
        <v>264</v>
      </c>
      <c r="AB146" s="19" t="str">
        <f aca="false">IF(127-COUNTIF($Z$20:$Z$199,"&lt;"&amp;AA146)=1,IF(COUNTIF($I$20:$I$109,AA146)&gt;0,"FT","PT"),"PT")</f>
        <v>PT</v>
      </c>
      <c r="AC146" s="19" t="n">
        <f aca="false">IF(AB146="FT",INDEX($N$20:$N$109,MATCH(AA146,$I$20:$I$109,0)),1)</f>
        <v>1</v>
      </c>
    </row>
    <row r="147" customFormat="false" ht="15" hidden="false" customHeight="false" outlineLevel="0" collapsed="false">
      <c r="Z147" s="19" t="n">
        <f aca="false">R57</f>
        <v>208</v>
      </c>
      <c r="AA147" s="19" t="n">
        <f aca="false">SMALL($Z$20:$Z$199,128)</f>
        <v>267</v>
      </c>
      <c r="AB147" s="19" t="str">
        <f aca="false">IF(128-COUNTIF($Z$20:$Z$199,"&lt;"&amp;AA147)=1,IF(COUNTIF($I$20:$I$109,AA147)&gt;0,"FT","PT"),"PT")</f>
        <v>FT</v>
      </c>
      <c r="AC147" s="19" t="n">
        <f aca="false">IF(AB147="FT",INDEX($N$20:$N$109,MATCH(AA147,$I$20:$I$109,0)),1)</f>
        <v>1</v>
      </c>
    </row>
    <row r="148" customFormat="false" ht="15" hidden="false" customHeight="false" outlineLevel="0" collapsed="false">
      <c r="Z148" s="19" t="n">
        <f aca="false">R58</f>
        <v>212</v>
      </c>
      <c r="AA148" s="19" t="n">
        <f aca="false">SMALL($Z$20:$Z$199,129)</f>
        <v>268</v>
      </c>
      <c r="AB148" s="19" t="str">
        <f aca="false">IF(129-COUNTIF($Z$20:$Z$199,"&lt;"&amp;AA148)=1,IF(COUNTIF($I$20:$I$109,AA148)&gt;0,"FT","PT"),"PT")</f>
        <v>PT</v>
      </c>
      <c r="AC148" s="19" t="n">
        <f aca="false">IF(AB148="FT",INDEX($N$20:$N$109,MATCH(AA148,$I$20:$I$109,0)),1)</f>
        <v>1</v>
      </c>
    </row>
    <row r="149" customFormat="false" ht="15" hidden="false" customHeight="false" outlineLevel="0" collapsed="false">
      <c r="Z149" s="19" t="n">
        <f aca="false">R59</f>
        <v>216</v>
      </c>
      <c r="AA149" s="19" t="n">
        <f aca="false">SMALL($Z$20:$Z$199,130)</f>
        <v>270</v>
      </c>
      <c r="AB149" s="19" t="str">
        <f aca="false">IF(130-COUNTIF($Z$20:$Z$199,"&lt;"&amp;AA149)=1,IF(COUNTIF($I$20:$I$109,AA149)&gt;0,"FT","PT"),"PT")</f>
        <v>FT</v>
      </c>
      <c r="AC149" s="19" t="n">
        <f aca="false">IF(AB149="FT",INDEX($N$20:$N$109,MATCH(AA149,$I$20:$I$109,0)),1)</f>
        <v>1</v>
      </c>
    </row>
    <row r="150" customFormat="false" ht="15" hidden="false" customHeight="false" outlineLevel="0" collapsed="false">
      <c r="Z150" s="19" t="n">
        <f aca="false">R60</f>
        <v>220</v>
      </c>
      <c r="AA150" s="19" t="n">
        <f aca="false">SMALL($Z$20:$Z$199,131)</f>
        <v>272</v>
      </c>
      <c r="AB150" s="19" t="str">
        <f aca="false">IF(131-COUNTIF($Z$20:$Z$199,"&lt;"&amp;AA150)=1,IF(COUNTIF($I$20:$I$109,AA150)&gt;0,"FT","PT"),"PT")</f>
        <v>PT</v>
      </c>
      <c r="AC150" s="19" t="n">
        <f aca="false">IF(AB150="FT",INDEX($N$20:$N$109,MATCH(AA150,$I$20:$I$109,0)),1)</f>
        <v>1</v>
      </c>
    </row>
    <row r="151" customFormat="false" ht="15" hidden="false" customHeight="false" outlineLevel="0" collapsed="false">
      <c r="Z151" s="19" t="n">
        <f aca="false">R61</f>
        <v>224</v>
      </c>
      <c r="AA151" s="19" t="n">
        <f aca="false">SMALL($Z$20:$Z$199,132)</f>
        <v>273</v>
      </c>
      <c r="AB151" s="19" t="str">
        <f aca="false">IF(132-COUNTIF($Z$20:$Z$199,"&lt;"&amp;AA151)=1,IF(COUNTIF($I$20:$I$109,AA151)&gt;0,"FT","PT"),"PT")</f>
        <v>FT</v>
      </c>
      <c r="AC151" s="19" t="n">
        <f aca="false">IF(AB151="FT",INDEX($N$20:$N$109,MATCH(AA151,$I$20:$I$109,0)),1)</f>
        <v>1</v>
      </c>
    </row>
    <row r="152" customFormat="false" ht="15" hidden="false" customHeight="false" outlineLevel="0" collapsed="false">
      <c r="Z152" s="19" t="n">
        <f aca="false">R62</f>
        <v>228</v>
      </c>
      <c r="AA152" s="19" t="n">
        <f aca="false">SMALL($Z$20:$Z$199,133)</f>
        <v>276</v>
      </c>
      <c r="AB152" s="19" t="str">
        <f aca="false">IF(133-COUNTIF($Z$20:$Z$199,"&lt;"&amp;AA152)=1,IF(COUNTIF($I$20:$I$109,AA152)&gt;0,"FT","PT"),"PT")</f>
        <v>FT</v>
      </c>
      <c r="AC152" s="19" t="n">
        <f aca="false">IF(AB152="FT",INDEX($N$20:$N$109,MATCH(AA152,$I$20:$I$109,0)),1)</f>
        <v>2</v>
      </c>
    </row>
    <row r="153" customFormat="false" ht="15" hidden="false" customHeight="false" outlineLevel="0" collapsed="false">
      <c r="Z153" s="19" t="n">
        <f aca="false">R63</f>
        <v>232</v>
      </c>
      <c r="AA153" s="19" t="n">
        <f aca="false">SMALL($Z$20:$Z$199,134)</f>
        <v>276</v>
      </c>
      <c r="AB153" s="19" t="str">
        <f aca="false">IF(134-COUNTIF($Z$20:$Z$199,"&lt;"&amp;AA153)=1,IF(COUNTIF($I$20:$I$109,AA153)&gt;0,"FT","PT"),"PT")</f>
        <v>PT</v>
      </c>
      <c r="AC153" s="19" t="n">
        <f aca="false">IF(AB153="FT",INDEX($N$20:$N$109,MATCH(AA153,$I$20:$I$109,0)),1)</f>
        <v>1</v>
      </c>
    </row>
    <row r="154" customFormat="false" ht="15" hidden="false" customHeight="false" outlineLevel="0" collapsed="false">
      <c r="Z154" s="19" t="n">
        <f aca="false">R64</f>
        <v>236</v>
      </c>
      <c r="AA154" s="19" t="n">
        <f aca="false">SMALL($Z$20:$Z$199,135)</f>
        <v>279</v>
      </c>
      <c r="AB154" s="19" t="str">
        <f aca="false">IF(135-COUNTIF($Z$20:$Z$199,"&lt;"&amp;AA154)=1,IF(COUNTIF($I$20:$I$109,AA154)&gt;0,"FT","PT"),"PT")</f>
        <v>FT</v>
      </c>
      <c r="AC154" s="19" t="n">
        <f aca="false">IF(AB154="FT",INDEX($N$20:$N$109,MATCH(AA154,$I$20:$I$109,0)),1)</f>
        <v>1</v>
      </c>
    </row>
    <row r="155" customFormat="false" ht="15" hidden="false" customHeight="false" outlineLevel="0" collapsed="false">
      <c r="Z155" s="19" t="n">
        <f aca="false">R65</f>
        <v>240</v>
      </c>
      <c r="AA155" s="19" t="n">
        <f aca="false">SMALL($Z$20:$Z$199,136)</f>
        <v>280</v>
      </c>
      <c r="AB155" s="19" t="str">
        <f aca="false">IF(136-COUNTIF($Z$20:$Z$199,"&lt;"&amp;AA155)=1,IF(COUNTIF($I$20:$I$109,AA155)&gt;0,"FT","PT"),"PT")</f>
        <v>PT</v>
      </c>
      <c r="AC155" s="19" t="n">
        <f aca="false">IF(AB155="FT",INDEX($N$20:$N$109,MATCH(AA155,$I$20:$I$109,0)),1)</f>
        <v>1</v>
      </c>
    </row>
    <row r="156" customFormat="false" ht="15" hidden="false" customHeight="false" outlineLevel="0" collapsed="false">
      <c r="Z156" s="19" t="n">
        <f aca="false">R66</f>
        <v>244</v>
      </c>
      <c r="AA156" s="19" t="n">
        <f aca="false">SMALL($Z$20:$Z$199,137)</f>
        <v>282</v>
      </c>
      <c r="AB156" s="19" t="str">
        <f aca="false">IF(137-COUNTIF($Z$20:$Z$199,"&lt;"&amp;AA156)=1,IF(COUNTIF($I$20:$I$109,AA156)&gt;0,"FT","PT"),"PT")</f>
        <v>FT</v>
      </c>
      <c r="AC156" s="19" t="n">
        <f aca="false">IF(AB156="FT",INDEX($N$20:$N$109,MATCH(AA156,$I$20:$I$109,0)),1)</f>
        <v>1</v>
      </c>
    </row>
    <row r="157" customFormat="false" ht="15" hidden="false" customHeight="false" outlineLevel="0" collapsed="false">
      <c r="Z157" s="19" t="n">
        <f aca="false">R67</f>
        <v>248</v>
      </c>
      <c r="AA157" s="19" t="n">
        <f aca="false">SMALL($Z$20:$Z$199,138)</f>
        <v>284</v>
      </c>
      <c r="AB157" s="19" t="str">
        <f aca="false">IF(138-COUNTIF($Z$20:$Z$199,"&lt;"&amp;AA157)=1,IF(COUNTIF($I$20:$I$109,AA157)&gt;0,"FT","PT"),"PT")</f>
        <v>PT</v>
      </c>
      <c r="AC157" s="19" t="n">
        <f aca="false">IF(AB157="FT",INDEX($N$20:$N$109,MATCH(AA157,$I$20:$I$109,0)),1)</f>
        <v>1</v>
      </c>
    </row>
    <row r="158" customFormat="false" ht="15" hidden="false" customHeight="false" outlineLevel="0" collapsed="false">
      <c r="Z158" s="19" t="n">
        <f aca="false">R68</f>
        <v>252</v>
      </c>
      <c r="AA158" s="19" t="n">
        <f aca="false">SMALL($Z$20:$Z$199,139)</f>
        <v>285</v>
      </c>
      <c r="AB158" s="19" t="str">
        <f aca="false">IF(139-COUNTIF($Z$20:$Z$199,"&lt;"&amp;AA158)=1,IF(COUNTIF($I$20:$I$109,AA158)&gt;0,"FT","PT"),"PT")</f>
        <v>FT</v>
      </c>
      <c r="AC158" s="19" t="n">
        <f aca="false">IF(AB158="FT",INDEX($N$20:$N$109,MATCH(AA158,$I$20:$I$109,0)),1)</f>
        <v>1</v>
      </c>
    </row>
    <row r="159" customFormat="false" ht="15" hidden="false" customHeight="false" outlineLevel="0" collapsed="false">
      <c r="Z159" s="19" t="n">
        <f aca="false">R69</f>
        <v>256</v>
      </c>
      <c r="AA159" s="19" t="n">
        <f aca="false">SMALL($Z$20:$Z$199,140)</f>
        <v>288</v>
      </c>
      <c r="AB159" s="19" t="str">
        <f aca="false">IF(140-COUNTIF($Z$20:$Z$199,"&lt;"&amp;AA159)=1,IF(COUNTIF($I$20:$I$109,AA159)&gt;0,"FT","PT"),"PT")</f>
        <v>FT</v>
      </c>
      <c r="AC159" s="19" t="n">
        <f aca="false">IF(AB159="FT",INDEX($N$20:$N$109,MATCH(AA159,$I$20:$I$109,0)),1)</f>
        <v>2</v>
      </c>
    </row>
    <row r="160" customFormat="false" ht="15" hidden="false" customHeight="false" outlineLevel="0" collapsed="false">
      <c r="Z160" s="19" t="n">
        <f aca="false">R70</f>
        <v>260</v>
      </c>
      <c r="AA160" s="19" t="n">
        <f aca="false">SMALL($Z$20:$Z$199,141)</f>
        <v>288</v>
      </c>
      <c r="AB160" s="19" t="str">
        <f aca="false">IF(141-COUNTIF($Z$20:$Z$199,"&lt;"&amp;AA160)=1,IF(COUNTIF($I$20:$I$109,AA160)&gt;0,"FT","PT"),"PT")</f>
        <v>PT</v>
      </c>
      <c r="AC160" s="19" t="n">
        <f aca="false">IF(AB160="FT",INDEX($N$20:$N$109,MATCH(AA160,$I$20:$I$109,0)),1)</f>
        <v>1</v>
      </c>
    </row>
    <row r="161" customFormat="false" ht="15" hidden="false" customHeight="false" outlineLevel="0" collapsed="false">
      <c r="Z161" s="19" t="n">
        <f aca="false">R71</f>
        <v>264</v>
      </c>
      <c r="AA161" s="19" t="n">
        <f aca="false">SMALL($Z$20:$Z$199,142)</f>
        <v>291</v>
      </c>
      <c r="AB161" s="19" t="str">
        <f aca="false">IF(142-COUNTIF($Z$20:$Z$199,"&lt;"&amp;AA161)=1,IF(COUNTIF($I$20:$I$109,AA161)&gt;0,"FT","PT"),"PT")</f>
        <v>FT</v>
      </c>
      <c r="AC161" s="19" t="n">
        <f aca="false">IF(AB161="FT",INDEX($N$20:$N$109,MATCH(AA161,$I$20:$I$109,0)),1)</f>
        <v>1</v>
      </c>
    </row>
    <row r="162" customFormat="false" ht="15" hidden="false" customHeight="false" outlineLevel="0" collapsed="false">
      <c r="Z162" s="19" t="n">
        <f aca="false">R72</f>
        <v>268</v>
      </c>
      <c r="AA162" s="19" t="n">
        <f aca="false">SMALL($Z$20:$Z$199,143)</f>
        <v>292</v>
      </c>
      <c r="AB162" s="19" t="str">
        <f aca="false">IF(143-COUNTIF($Z$20:$Z$199,"&lt;"&amp;AA162)=1,IF(COUNTIF($I$20:$I$109,AA162)&gt;0,"FT","PT"),"PT")</f>
        <v>PT</v>
      </c>
      <c r="AC162" s="19" t="n">
        <f aca="false">IF(AB162="FT",INDEX($N$20:$N$109,MATCH(AA162,$I$20:$I$109,0)),1)</f>
        <v>1</v>
      </c>
    </row>
    <row r="163" customFormat="false" ht="15" hidden="false" customHeight="false" outlineLevel="0" collapsed="false">
      <c r="Z163" s="19" t="n">
        <f aca="false">R73</f>
        <v>272</v>
      </c>
      <c r="AA163" s="19" t="n">
        <f aca="false">SMALL($Z$20:$Z$199,144)</f>
        <v>294</v>
      </c>
      <c r="AB163" s="19" t="str">
        <f aca="false">IF(144-COUNTIF($Z$20:$Z$199,"&lt;"&amp;AA163)=1,IF(COUNTIF($I$20:$I$109,AA163)&gt;0,"FT","PT"),"PT")</f>
        <v>FT</v>
      </c>
      <c r="AC163" s="19" t="n">
        <f aca="false">IF(AB163="FT",INDEX($N$20:$N$109,MATCH(AA163,$I$20:$I$109,0)),1)</f>
        <v>1</v>
      </c>
    </row>
    <row r="164" customFormat="false" ht="15" hidden="false" customHeight="false" outlineLevel="0" collapsed="false">
      <c r="Z164" s="19" t="n">
        <f aca="false">R74</f>
        <v>276</v>
      </c>
      <c r="AA164" s="19" t="n">
        <f aca="false">SMALL($Z$20:$Z$199,145)</f>
        <v>296</v>
      </c>
      <c r="AB164" s="19" t="str">
        <f aca="false">IF(145-COUNTIF($Z$20:$Z$199,"&lt;"&amp;AA164)=1,IF(COUNTIF($I$20:$I$109,AA164)&gt;0,"FT","PT"),"PT")</f>
        <v>PT</v>
      </c>
      <c r="AC164" s="19" t="n">
        <f aca="false">IF(AB164="FT",INDEX($N$20:$N$109,MATCH(AA164,$I$20:$I$109,0)),1)</f>
        <v>1</v>
      </c>
    </row>
    <row r="165" customFormat="false" ht="15" hidden="false" customHeight="false" outlineLevel="0" collapsed="false">
      <c r="Z165" s="19" t="n">
        <f aca="false">R75</f>
        <v>280</v>
      </c>
      <c r="AA165" s="19" t="n">
        <f aca="false">SMALL($Z$20:$Z$199,146)</f>
        <v>297</v>
      </c>
      <c r="AB165" s="19" t="str">
        <f aca="false">IF(146-COUNTIF($Z$20:$Z$199,"&lt;"&amp;AA165)=1,IF(COUNTIF($I$20:$I$109,AA165)&gt;0,"FT","PT"),"PT")</f>
        <v>FT</v>
      </c>
      <c r="AC165" s="19" t="n">
        <f aca="false">IF(AB165="FT",INDEX($N$20:$N$109,MATCH(AA165,$I$20:$I$109,0)),1)</f>
        <v>1</v>
      </c>
    </row>
    <row r="166" customFormat="false" ht="15" hidden="false" customHeight="false" outlineLevel="0" collapsed="false">
      <c r="Z166" s="19" t="n">
        <f aca="false">R76</f>
        <v>284</v>
      </c>
      <c r="AA166" s="19" t="n">
        <f aca="false">SMALL($Z$20:$Z$199,147)</f>
        <v>300</v>
      </c>
      <c r="AB166" s="19" t="str">
        <f aca="false">IF(147-COUNTIF($Z$20:$Z$199,"&lt;"&amp;AA166)=1,IF(COUNTIF($I$20:$I$109,AA166)&gt;0,"FT","PT"),"PT")</f>
        <v>FT</v>
      </c>
      <c r="AC166" s="19" t="n">
        <f aca="false">IF(AB166="FT",INDEX($N$20:$N$109,MATCH(AA166,$I$20:$I$109,0)),1)</f>
        <v>2</v>
      </c>
    </row>
    <row r="167" customFormat="false" ht="15" hidden="false" customHeight="false" outlineLevel="0" collapsed="false">
      <c r="Z167" s="19" t="n">
        <f aca="false">R77</f>
        <v>288</v>
      </c>
      <c r="AA167" s="19" t="n">
        <f aca="false">SMALL($Z$20:$Z$199,148)</f>
        <v>300</v>
      </c>
      <c r="AB167" s="19" t="str">
        <f aca="false">IF(148-COUNTIF($Z$20:$Z$199,"&lt;"&amp;AA167)=1,IF(COUNTIF($I$20:$I$109,AA167)&gt;0,"FT","PT"),"PT")</f>
        <v>PT</v>
      </c>
      <c r="AC167" s="19" t="n">
        <f aca="false">IF(AB167="FT",INDEX($N$20:$N$109,MATCH(AA167,$I$20:$I$109,0)),1)</f>
        <v>1</v>
      </c>
    </row>
    <row r="168" customFormat="false" ht="15" hidden="false" customHeight="false" outlineLevel="0" collapsed="false">
      <c r="Z168" s="19" t="n">
        <f aca="false">R78</f>
        <v>292</v>
      </c>
      <c r="AA168" s="19" t="n">
        <f aca="false">SMALL($Z$20:$Z$199,149)</f>
        <v>303</v>
      </c>
      <c r="AB168" s="19" t="str">
        <f aca="false">IF(149-COUNTIF($Z$20:$Z$199,"&lt;"&amp;AA168)=1,IF(COUNTIF($I$20:$I$109,AA168)&gt;0,"FT","PT"),"PT")</f>
        <v>FT</v>
      </c>
      <c r="AC168" s="19" t="n">
        <f aca="false">IF(AB168="FT",INDEX($N$20:$N$109,MATCH(AA168,$I$20:$I$109,0)),1)</f>
        <v>1</v>
      </c>
    </row>
    <row r="169" customFormat="false" ht="15" hidden="false" customHeight="false" outlineLevel="0" collapsed="false">
      <c r="Z169" s="19" t="n">
        <f aca="false">R79</f>
        <v>296</v>
      </c>
      <c r="AA169" s="19" t="n">
        <f aca="false">SMALL($Z$20:$Z$199,150)</f>
        <v>304</v>
      </c>
      <c r="AB169" s="19" t="str">
        <f aca="false">IF(150-COUNTIF($Z$20:$Z$199,"&lt;"&amp;AA169)=1,IF(COUNTIF($I$20:$I$109,AA169)&gt;0,"FT","PT"),"PT")</f>
        <v>PT</v>
      </c>
      <c r="AC169" s="19" t="n">
        <f aca="false">IF(AB169="FT",INDEX($N$20:$N$109,MATCH(AA169,$I$20:$I$109,0)),1)</f>
        <v>1</v>
      </c>
    </row>
    <row r="170" customFormat="false" ht="15" hidden="false" customHeight="false" outlineLevel="0" collapsed="false">
      <c r="Z170" s="19" t="n">
        <f aca="false">R80</f>
        <v>300</v>
      </c>
      <c r="AA170" s="19" t="n">
        <f aca="false">SMALL($Z$20:$Z$199,151)</f>
        <v>306</v>
      </c>
      <c r="AB170" s="19" t="str">
        <f aca="false">IF(151-COUNTIF($Z$20:$Z$199,"&lt;"&amp;AA170)=1,IF(COUNTIF($I$20:$I$109,AA170)&gt;0,"FT","PT"),"PT")</f>
        <v>FT</v>
      </c>
      <c r="AC170" s="19" t="n">
        <f aca="false">IF(AB170="FT",INDEX($N$20:$N$109,MATCH(AA170,$I$20:$I$109,0)),1)</f>
        <v>1</v>
      </c>
    </row>
    <row r="171" customFormat="false" ht="15" hidden="false" customHeight="false" outlineLevel="0" collapsed="false">
      <c r="Z171" s="19" t="n">
        <f aca="false">R81</f>
        <v>304</v>
      </c>
      <c r="AA171" s="19" t="n">
        <f aca="false">SMALL($Z$20:$Z$199,152)</f>
        <v>308</v>
      </c>
      <c r="AB171" s="19" t="str">
        <f aca="false">IF(152-COUNTIF($Z$20:$Z$199,"&lt;"&amp;AA171)=1,IF(COUNTIF($I$20:$I$109,AA171)&gt;0,"FT","PT"),"PT")</f>
        <v>PT</v>
      </c>
      <c r="AC171" s="19" t="n">
        <f aca="false">IF(AB171="FT",INDEX($N$20:$N$109,MATCH(AA171,$I$20:$I$109,0)),1)</f>
        <v>1</v>
      </c>
    </row>
    <row r="172" customFormat="false" ht="15" hidden="false" customHeight="false" outlineLevel="0" collapsed="false">
      <c r="Z172" s="19" t="n">
        <f aca="false">R82</f>
        <v>308</v>
      </c>
      <c r="AA172" s="19" t="n">
        <f aca="false">SMALL($Z$20:$Z$199,153)</f>
        <v>309</v>
      </c>
      <c r="AB172" s="19" t="str">
        <f aca="false">IF(153-COUNTIF($Z$20:$Z$199,"&lt;"&amp;AA172)=1,IF(COUNTIF($I$20:$I$109,AA172)&gt;0,"FT","PT"),"PT")</f>
        <v>FT</v>
      </c>
      <c r="AC172" s="19" t="n">
        <f aca="false">IF(AB172="FT",INDEX($N$20:$N$109,MATCH(AA172,$I$20:$I$109,0)),1)</f>
        <v>1</v>
      </c>
    </row>
    <row r="173" customFormat="false" ht="15" hidden="false" customHeight="false" outlineLevel="0" collapsed="false">
      <c r="Z173" s="19" t="n">
        <f aca="false">R83</f>
        <v>312</v>
      </c>
      <c r="AA173" s="19" t="n">
        <f aca="false">SMALL($Z$20:$Z$199,154)</f>
        <v>312</v>
      </c>
      <c r="AB173" s="19" t="str">
        <f aca="false">IF(154-COUNTIF($Z$20:$Z$199,"&lt;"&amp;AA173)=1,IF(COUNTIF($I$20:$I$109,AA173)&gt;0,"FT","PT"),"PT")</f>
        <v>PT</v>
      </c>
      <c r="AC173" s="19" t="n">
        <f aca="false">IF(AB173="FT",INDEX($N$20:$N$109,MATCH(AA173,$I$20:$I$109,0)),1)</f>
        <v>1</v>
      </c>
    </row>
    <row r="174" customFormat="false" ht="15" hidden="false" customHeight="false" outlineLevel="0" collapsed="false">
      <c r="Z174" s="19" t="n">
        <f aca="false">R84</f>
        <v>316</v>
      </c>
      <c r="AA174" s="19" t="n">
        <f aca="false">SMALL($Z$20:$Z$199,155)</f>
        <v>316</v>
      </c>
      <c r="AB174" s="19" t="str">
        <f aca="false">IF(155-COUNTIF($Z$20:$Z$199,"&lt;"&amp;AA174)=1,IF(COUNTIF($I$20:$I$109,AA174)&gt;0,"FT","PT"),"PT")</f>
        <v>PT</v>
      </c>
      <c r="AC174" s="19" t="n">
        <f aca="false">IF(AB174="FT",INDEX($N$20:$N$109,MATCH(AA174,$I$20:$I$109,0)),1)</f>
        <v>1</v>
      </c>
    </row>
    <row r="175" customFormat="false" ht="15" hidden="false" customHeight="false" outlineLevel="0" collapsed="false">
      <c r="Z175" s="19" t="n">
        <f aca="false">R85</f>
        <v>320</v>
      </c>
      <c r="AA175" s="19" t="n">
        <f aca="false">SMALL($Z$20:$Z$199,156)</f>
        <v>320</v>
      </c>
      <c r="AB175" s="19" t="str">
        <f aca="false">IF(156-COUNTIF($Z$20:$Z$199,"&lt;"&amp;AA175)=1,IF(COUNTIF($I$20:$I$109,AA175)&gt;0,"FT","PT"),"PT")</f>
        <v>PT</v>
      </c>
      <c r="AC175" s="19" t="n">
        <f aca="false">IF(AB175="FT",INDEX($N$20:$N$109,MATCH(AA175,$I$20:$I$109,0)),1)</f>
        <v>1</v>
      </c>
    </row>
    <row r="176" customFormat="false" ht="15" hidden="false" customHeight="false" outlineLevel="0" collapsed="false">
      <c r="Z176" s="19" t="n">
        <f aca="false">R86</f>
        <v>324</v>
      </c>
      <c r="AA176" s="19" t="n">
        <f aca="false">SMALL($Z$20:$Z$199,157)</f>
        <v>324</v>
      </c>
      <c r="AB176" s="19" t="str">
        <f aca="false">IF(157-COUNTIF($Z$20:$Z$199,"&lt;"&amp;AA176)=1,IF(COUNTIF($I$20:$I$109,AA176)&gt;0,"FT","PT"),"PT")</f>
        <v>PT</v>
      </c>
      <c r="AC176" s="19" t="n">
        <f aca="false">IF(AB176="FT",INDEX($N$20:$N$109,MATCH(AA176,$I$20:$I$109,0)),1)</f>
        <v>1</v>
      </c>
    </row>
    <row r="177" customFormat="false" ht="15" hidden="false" customHeight="false" outlineLevel="0" collapsed="false">
      <c r="Z177" s="19" t="n">
        <f aca="false">R87</f>
        <v>328</v>
      </c>
      <c r="AA177" s="19" t="n">
        <f aca="false">SMALL($Z$20:$Z$199,158)</f>
        <v>328</v>
      </c>
      <c r="AB177" s="19" t="str">
        <f aca="false">IF(158-COUNTIF($Z$20:$Z$199,"&lt;"&amp;AA177)=1,IF(COUNTIF($I$20:$I$109,AA177)&gt;0,"FT","PT"),"PT")</f>
        <v>PT</v>
      </c>
      <c r="AC177" s="19" t="n">
        <f aca="false">IF(AB177="FT",INDEX($N$20:$N$109,MATCH(AA177,$I$20:$I$109,0)),1)</f>
        <v>1</v>
      </c>
    </row>
    <row r="178" customFormat="false" ht="15" hidden="false" customHeight="false" outlineLevel="0" collapsed="false">
      <c r="Z178" s="19" t="n">
        <f aca="false">R88</f>
        <v>332</v>
      </c>
      <c r="AA178" s="19" t="n">
        <f aca="false">SMALL($Z$20:$Z$199,159)</f>
        <v>332</v>
      </c>
      <c r="AB178" s="19" t="str">
        <f aca="false">IF(159-COUNTIF($Z$20:$Z$199,"&lt;"&amp;AA178)=1,IF(COUNTIF($I$20:$I$109,AA178)&gt;0,"FT","PT"),"PT")</f>
        <v>PT</v>
      </c>
      <c r="AC178" s="19" t="n">
        <f aca="false">IF(AB178="FT",INDEX($N$20:$N$109,MATCH(AA178,$I$20:$I$109,0)),1)</f>
        <v>1</v>
      </c>
    </row>
    <row r="179" customFormat="false" ht="15" hidden="false" customHeight="false" outlineLevel="0" collapsed="false">
      <c r="Z179" s="19" t="n">
        <f aca="false">R89</f>
        <v>336</v>
      </c>
      <c r="AA179" s="19" t="n">
        <f aca="false">SMALL($Z$20:$Z$199,160)</f>
        <v>336</v>
      </c>
      <c r="AB179" s="19" t="str">
        <f aca="false">IF(160-COUNTIF($Z$20:$Z$199,"&lt;"&amp;AA179)=1,IF(COUNTIF($I$20:$I$109,AA179)&gt;0,"FT","PT"),"PT")</f>
        <v>PT</v>
      </c>
      <c r="AC179" s="19" t="n">
        <f aca="false">IF(AB179="FT",INDEX($N$20:$N$109,MATCH(AA179,$I$20:$I$109,0)),1)</f>
        <v>1</v>
      </c>
    </row>
    <row r="180" customFormat="false" ht="15" hidden="false" customHeight="false" outlineLevel="0" collapsed="false">
      <c r="Z180" s="19" t="n">
        <f aca="false">R90</f>
        <v>340</v>
      </c>
      <c r="AA180" s="19" t="n">
        <f aca="false">SMALL($Z$20:$Z$199,161)</f>
        <v>340</v>
      </c>
      <c r="AB180" s="19" t="str">
        <f aca="false">IF(161-COUNTIF($Z$20:$Z$199,"&lt;"&amp;AA180)=1,IF(COUNTIF($I$20:$I$109,AA180)&gt;0,"FT","PT"),"PT")</f>
        <v>PT</v>
      </c>
      <c r="AC180" s="19" t="n">
        <f aca="false">IF(AB180="FT",INDEX($N$20:$N$109,MATCH(AA180,$I$20:$I$109,0)),1)</f>
        <v>1</v>
      </c>
    </row>
    <row r="181" customFormat="false" ht="15" hidden="false" customHeight="false" outlineLevel="0" collapsed="false">
      <c r="Z181" s="19" t="n">
        <f aca="false">R91</f>
        <v>344</v>
      </c>
      <c r="AA181" s="19" t="n">
        <f aca="false">SMALL($Z$20:$Z$199,162)</f>
        <v>344</v>
      </c>
      <c r="AB181" s="19" t="str">
        <f aca="false">IF(162-COUNTIF($Z$20:$Z$199,"&lt;"&amp;AA181)=1,IF(COUNTIF($I$20:$I$109,AA181)&gt;0,"FT","PT"),"PT")</f>
        <v>PT</v>
      </c>
      <c r="AC181" s="19" t="n">
        <f aca="false">IF(AB181="FT",INDEX($N$20:$N$109,MATCH(AA181,$I$20:$I$109,0)),1)</f>
        <v>1</v>
      </c>
    </row>
    <row r="182" customFormat="false" ht="15" hidden="false" customHeight="false" outlineLevel="0" collapsed="false">
      <c r="Z182" s="19" t="n">
        <f aca="false">R92</f>
        <v>348</v>
      </c>
      <c r="AA182" s="19" t="n">
        <f aca="false">SMALL($Z$20:$Z$199,163)</f>
        <v>348</v>
      </c>
      <c r="AB182" s="19" t="str">
        <f aca="false">IF(163-COUNTIF($Z$20:$Z$199,"&lt;"&amp;AA182)=1,IF(COUNTIF($I$20:$I$109,AA182)&gt;0,"FT","PT"),"PT")</f>
        <v>PT</v>
      </c>
      <c r="AC182" s="19" t="n">
        <f aca="false">IF(AB182="FT",INDEX($N$20:$N$109,MATCH(AA182,$I$20:$I$109,0)),1)</f>
        <v>1</v>
      </c>
    </row>
    <row r="183" customFormat="false" ht="15" hidden="false" customHeight="false" outlineLevel="0" collapsed="false">
      <c r="Z183" s="19" t="n">
        <f aca="false">R93</f>
        <v>352</v>
      </c>
      <c r="AA183" s="19" t="n">
        <f aca="false">SMALL($Z$20:$Z$199,164)</f>
        <v>352</v>
      </c>
      <c r="AB183" s="19" t="str">
        <f aca="false">IF(164-COUNTIF($Z$20:$Z$199,"&lt;"&amp;AA183)=1,IF(COUNTIF($I$20:$I$109,AA183)&gt;0,"FT","PT"),"PT")</f>
        <v>PT</v>
      </c>
      <c r="AC183" s="19" t="n">
        <f aca="false">IF(AB183="FT",INDEX($N$20:$N$109,MATCH(AA183,$I$20:$I$109,0)),1)</f>
        <v>1</v>
      </c>
    </row>
    <row r="184" customFormat="false" ht="15" hidden="false" customHeight="false" outlineLevel="0" collapsed="false">
      <c r="Z184" s="19" t="n">
        <f aca="false">R94</f>
        <v>356</v>
      </c>
      <c r="AA184" s="19" t="n">
        <f aca="false">SMALL($Z$20:$Z$199,165)</f>
        <v>356</v>
      </c>
      <c r="AB184" s="19" t="str">
        <f aca="false">IF(165-COUNTIF($Z$20:$Z$199,"&lt;"&amp;AA184)=1,IF(COUNTIF($I$20:$I$109,AA184)&gt;0,"FT","PT"),"PT")</f>
        <v>PT</v>
      </c>
      <c r="AC184" s="19" t="n">
        <f aca="false">IF(AB184="FT",INDEX($N$20:$N$109,MATCH(AA184,$I$20:$I$109,0)),1)</f>
        <v>1</v>
      </c>
    </row>
    <row r="185" customFormat="false" ht="15" hidden="false" customHeight="false" outlineLevel="0" collapsed="false">
      <c r="Z185" s="19" t="n">
        <f aca="false">R95</f>
        <v>360</v>
      </c>
      <c r="AA185" s="19" t="n">
        <f aca="false">SMALL($Z$20:$Z$199,166)</f>
        <v>360</v>
      </c>
      <c r="AB185" s="19" t="str">
        <f aca="false">IF(166-COUNTIF($Z$20:$Z$199,"&lt;"&amp;AA185)=1,IF(COUNTIF($I$20:$I$109,AA185)&gt;0,"FT","PT"),"PT")</f>
        <v>PT</v>
      </c>
      <c r="AC185" s="19" t="n">
        <f aca="false">IF(AB185="FT",INDEX($N$20:$N$109,MATCH(AA185,$I$20:$I$109,0)),1)</f>
        <v>1</v>
      </c>
    </row>
    <row r="186" customFormat="false" ht="15" hidden="false" customHeight="false" outlineLevel="0" collapsed="false">
      <c r="Z186" s="19" t="n">
        <f aca="false">R96</f>
        <v>364</v>
      </c>
      <c r="AA186" s="19" t="n">
        <f aca="false">SMALL($Z$20:$Z$199,167)</f>
        <v>364</v>
      </c>
      <c r="AB186" s="19" t="str">
        <f aca="false">IF(167-COUNTIF($Z$20:$Z$199,"&lt;"&amp;AA186)=1,IF(COUNTIF($I$20:$I$109,AA186)&gt;0,"FT","PT"),"PT")</f>
        <v>PT</v>
      </c>
      <c r="AC186" s="19" t="n">
        <f aca="false">IF(AB186="FT",INDEX($N$20:$N$109,MATCH(AA186,$I$20:$I$109,0)),1)</f>
        <v>1</v>
      </c>
    </row>
    <row r="187" customFormat="false" ht="15" hidden="false" customHeight="false" outlineLevel="0" collapsed="false">
      <c r="Z187" s="19" t="n">
        <f aca="false">R97</f>
        <v>368</v>
      </c>
      <c r="AA187" s="19" t="n">
        <f aca="false">SMALL($Z$20:$Z$199,168)</f>
        <v>368</v>
      </c>
      <c r="AB187" s="19" t="str">
        <f aca="false">IF(168-COUNTIF($Z$20:$Z$199,"&lt;"&amp;AA187)=1,IF(COUNTIF($I$20:$I$109,AA187)&gt;0,"FT","PT"),"PT")</f>
        <v>PT</v>
      </c>
      <c r="AC187" s="19" t="n">
        <f aca="false">IF(AB187="FT",INDEX($N$20:$N$109,MATCH(AA187,$I$20:$I$109,0)),1)</f>
        <v>1</v>
      </c>
    </row>
    <row r="188" customFormat="false" ht="15" hidden="false" customHeight="false" outlineLevel="0" collapsed="false">
      <c r="Z188" s="19" t="n">
        <f aca="false">R98</f>
        <v>372</v>
      </c>
      <c r="AA188" s="19" t="n">
        <f aca="false">SMALL($Z$20:$Z$199,169)</f>
        <v>372</v>
      </c>
      <c r="AB188" s="19" t="str">
        <f aca="false">IF(169-COUNTIF($Z$20:$Z$199,"&lt;"&amp;AA188)=1,IF(COUNTIF($I$20:$I$109,AA188)&gt;0,"FT","PT"),"PT")</f>
        <v>PT</v>
      </c>
      <c r="AC188" s="19" t="n">
        <f aca="false">IF(AB188="FT",INDEX($N$20:$N$109,MATCH(AA188,$I$20:$I$109,0)),1)</f>
        <v>1</v>
      </c>
    </row>
    <row r="189" customFormat="false" ht="15" hidden="false" customHeight="false" outlineLevel="0" collapsed="false">
      <c r="Z189" s="19" t="n">
        <f aca="false">R99</f>
        <v>376</v>
      </c>
      <c r="AA189" s="19" t="n">
        <f aca="false">SMALL($Z$20:$Z$199,170)</f>
        <v>376</v>
      </c>
      <c r="AB189" s="19" t="str">
        <f aca="false">IF(170-COUNTIF($Z$20:$Z$199,"&lt;"&amp;AA189)=1,IF(COUNTIF($I$20:$I$109,AA189)&gt;0,"FT","PT"),"PT")</f>
        <v>PT</v>
      </c>
      <c r="AC189" s="19" t="n">
        <f aca="false">IF(AB189="FT",INDEX($N$20:$N$109,MATCH(AA189,$I$20:$I$109,0)),1)</f>
        <v>1</v>
      </c>
    </row>
    <row r="190" customFormat="false" ht="15" hidden="false" customHeight="false" outlineLevel="0" collapsed="false">
      <c r="Z190" s="19" t="n">
        <f aca="false">R100</f>
        <v>380</v>
      </c>
      <c r="AA190" s="19" t="n">
        <f aca="false">SMALL($Z$20:$Z$199,171)</f>
        <v>380</v>
      </c>
      <c r="AB190" s="19" t="str">
        <f aca="false">IF(171-COUNTIF($Z$20:$Z$199,"&lt;"&amp;AA190)=1,IF(COUNTIF($I$20:$I$109,AA190)&gt;0,"FT","PT"),"PT")</f>
        <v>PT</v>
      </c>
      <c r="AC190" s="19" t="n">
        <f aca="false">IF(AB190="FT",INDEX($N$20:$N$109,MATCH(AA190,$I$20:$I$109,0)),1)</f>
        <v>1</v>
      </c>
    </row>
    <row r="191" customFormat="false" ht="15" hidden="false" customHeight="false" outlineLevel="0" collapsed="false">
      <c r="Z191" s="19" t="n">
        <f aca="false">R101</f>
        <v>384</v>
      </c>
      <c r="AA191" s="19" t="n">
        <f aca="false">SMALL($Z$20:$Z$199,172)</f>
        <v>384</v>
      </c>
      <c r="AB191" s="19" t="str">
        <f aca="false">IF(172-COUNTIF($Z$20:$Z$199,"&lt;"&amp;AA191)=1,IF(COUNTIF($I$20:$I$109,AA191)&gt;0,"FT","PT"),"PT")</f>
        <v>PT</v>
      </c>
      <c r="AC191" s="19" t="n">
        <f aca="false">IF(AB191="FT",INDEX($N$20:$N$109,MATCH(AA191,$I$20:$I$109,0)),1)</f>
        <v>1</v>
      </c>
    </row>
    <row r="192" customFormat="false" ht="15" hidden="false" customHeight="false" outlineLevel="0" collapsed="false">
      <c r="Z192" s="19" t="n">
        <f aca="false">R102</f>
        <v>388</v>
      </c>
      <c r="AA192" s="19" t="n">
        <f aca="false">SMALL($Z$20:$Z$199,173)</f>
        <v>388</v>
      </c>
      <c r="AB192" s="19" t="str">
        <f aca="false">IF(173-COUNTIF($Z$20:$Z$199,"&lt;"&amp;AA192)=1,IF(COUNTIF($I$20:$I$109,AA192)&gt;0,"FT","PT"),"PT")</f>
        <v>PT</v>
      </c>
      <c r="AC192" s="19" t="n">
        <f aca="false">IF(AB192="FT",INDEX($N$20:$N$109,MATCH(AA192,$I$20:$I$109,0)),1)</f>
        <v>1</v>
      </c>
    </row>
    <row r="193" customFormat="false" ht="15" hidden="false" customHeight="false" outlineLevel="0" collapsed="false">
      <c r="Z193" s="19" t="n">
        <f aca="false">R103</f>
        <v>392</v>
      </c>
      <c r="AA193" s="19" t="n">
        <f aca="false">SMALL($Z$20:$Z$199,174)</f>
        <v>392</v>
      </c>
      <c r="AB193" s="19" t="str">
        <f aca="false">IF(174-COUNTIF($Z$20:$Z$199,"&lt;"&amp;AA193)=1,IF(COUNTIF($I$20:$I$109,AA193)&gt;0,"FT","PT"),"PT")</f>
        <v>PT</v>
      </c>
      <c r="AC193" s="19" t="n">
        <f aca="false">IF(AB193="FT",INDEX($N$20:$N$109,MATCH(AA193,$I$20:$I$109,0)),1)</f>
        <v>1</v>
      </c>
    </row>
    <row r="194" customFormat="false" ht="15" hidden="false" customHeight="false" outlineLevel="0" collapsed="false">
      <c r="Z194" s="19" t="n">
        <f aca="false">R104</f>
        <v>396</v>
      </c>
      <c r="AA194" s="19" t="n">
        <f aca="false">SMALL($Z$20:$Z$199,175)</f>
        <v>396</v>
      </c>
      <c r="AB194" s="19" t="str">
        <f aca="false">IF(175-COUNTIF($Z$20:$Z$199,"&lt;"&amp;AA194)=1,IF(COUNTIF($I$20:$I$109,AA194)&gt;0,"FT","PT"),"PT")</f>
        <v>PT</v>
      </c>
      <c r="AC194" s="19" t="n">
        <f aca="false">IF(AB194="FT",INDEX($N$20:$N$109,MATCH(AA194,$I$20:$I$109,0)),1)</f>
        <v>1</v>
      </c>
    </row>
    <row r="195" customFormat="false" ht="15" hidden="false" customHeight="false" outlineLevel="0" collapsed="false">
      <c r="Z195" s="19" t="n">
        <f aca="false">R105</f>
        <v>400</v>
      </c>
      <c r="AA195" s="19" t="n">
        <f aca="false">SMALL($Z$20:$Z$199,176)</f>
        <v>400</v>
      </c>
      <c r="AB195" s="19" t="str">
        <f aca="false">IF(176-COUNTIF($Z$20:$Z$199,"&lt;"&amp;AA195)=1,IF(COUNTIF($I$20:$I$109,AA195)&gt;0,"FT","PT"),"PT")</f>
        <v>PT</v>
      </c>
      <c r="AC195" s="19" t="n">
        <f aca="false">IF(AB195="FT",INDEX($N$20:$N$109,MATCH(AA195,$I$20:$I$109,0)),1)</f>
        <v>1</v>
      </c>
    </row>
    <row r="196" customFormat="false" ht="15" hidden="false" customHeight="false" outlineLevel="0" collapsed="false">
      <c r="Z196" s="19" t="n">
        <f aca="false">R106</f>
        <v>404</v>
      </c>
      <c r="AA196" s="19" t="n">
        <f aca="false">SMALL($Z$20:$Z$199,177)</f>
        <v>404</v>
      </c>
      <c r="AB196" s="19" t="str">
        <f aca="false">IF(177-COUNTIF($Z$20:$Z$199,"&lt;"&amp;AA196)=1,IF(COUNTIF($I$20:$I$109,AA196)&gt;0,"FT","PT"),"PT")</f>
        <v>PT</v>
      </c>
      <c r="AC196" s="19" t="n">
        <f aca="false">IF(AB196="FT",INDEX($N$20:$N$109,MATCH(AA196,$I$20:$I$109,0)),1)</f>
        <v>1</v>
      </c>
    </row>
    <row r="197" customFormat="false" ht="15" hidden="false" customHeight="false" outlineLevel="0" collapsed="false">
      <c r="Z197" s="19" t="n">
        <f aca="false">R107</f>
        <v>408</v>
      </c>
      <c r="AA197" s="19" t="n">
        <f aca="false">SMALL($Z$20:$Z$199,178)</f>
        <v>408</v>
      </c>
      <c r="AB197" s="19" t="str">
        <f aca="false">IF(178-COUNTIF($Z$20:$Z$199,"&lt;"&amp;AA197)=1,IF(COUNTIF($I$20:$I$109,AA197)&gt;0,"FT","PT"),"PT")</f>
        <v>PT</v>
      </c>
      <c r="AC197" s="19" t="n">
        <f aca="false">IF(AB197="FT",INDEX($N$20:$N$109,MATCH(AA197,$I$20:$I$109,0)),1)</f>
        <v>1</v>
      </c>
    </row>
    <row r="198" customFormat="false" ht="15" hidden="false" customHeight="false" outlineLevel="0" collapsed="false">
      <c r="Z198" s="19" t="n">
        <f aca="false">R108</f>
        <v>412</v>
      </c>
      <c r="AA198" s="19" t="n">
        <f aca="false">SMALL($Z$20:$Z$199,179)</f>
        <v>412</v>
      </c>
      <c r="AB198" s="19" t="str">
        <f aca="false">IF(179-COUNTIF($Z$20:$Z$199,"&lt;"&amp;AA198)=1,IF(COUNTIF($I$20:$I$109,AA198)&gt;0,"FT","PT"),"PT")</f>
        <v>PT</v>
      </c>
      <c r="AC198" s="19" t="n">
        <f aca="false">IF(AB198="FT",INDEX($N$20:$N$109,MATCH(AA198,$I$20:$I$109,0)),1)</f>
        <v>1</v>
      </c>
    </row>
    <row r="199" customFormat="false" ht="15" hidden="false" customHeight="false" outlineLevel="0" collapsed="false">
      <c r="Z199" s="19" t="n">
        <f aca="false">R109</f>
        <v>416</v>
      </c>
      <c r="AA199" s="19" t="n">
        <f aca="false">SMALL($Z$20:$Z$199,180)</f>
        <v>416</v>
      </c>
      <c r="AB199" s="19" t="str">
        <f aca="false">IF(180-COUNTIF($Z$20:$Z$199,"&lt;"&amp;AA199)=1,IF(COUNTIF($I$20:$I$109,AA199)&gt;0,"FT","PT"),"PT")</f>
        <v>PT</v>
      </c>
      <c r="AC199" s="19" t="n">
        <f aca="false">IF(AB199="FT",INDEX($N$20:$N$109,MATCH(AA199,$I$20:$I$109,0)),1)</f>
        <v>1</v>
      </c>
    </row>
  </sheetData>
  <mergeCells count="2">
    <mergeCell ref="H18:P18"/>
    <mergeCell ref="Q18:Y18"/>
  </mergeCells>
  <conditionalFormatting sqref="H20:P109">
    <cfRule type="expression" priority="2" aboveAverage="0" equalAverage="0" bottom="0" percent="0" rank="0" text="" dxfId="12">
      <formula>N($O20)&gt;0</formula>
    </cfRule>
    <cfRule type="expression" priority="3" aboveAverage="0" equalAverage="0" bottom="0" percent="0" rank="0" text="" dxfId="14">
      <formula>$P20="before scheme start"</formula>
    </cfRule>
    <cfRule type="expression" priority="4" aboveAverage="0" equalAverage="0" bottom="0" percent="0" rank="0" text="" dxfId="15">
      <formula>AND($K20&lt;&gt;"",$K20&gt;AsOfDate)</formula>
    </cfRule>
  </conditionalFormatting>
  <conditionalFormatting sqref="Q20:Y109">
    <cfRule type="expression" priority="5" aboveAverage="0" equalAverage="0" bottom="0" percent="0" rank="0" text="" dxfId="12">
      <formula>N($X20)&gt;0</formula>
    </cfRule>
    <cfRule type="expression" priority="6" aboveAverage="0" equalAverage="0" bottom="0" percent="0" rank="0" text="" dxfId="14">
      <formula>$Y20="before scheme start"</formula>
    </cfRule>
    <cfRule type="expression" priority="7" aboveAverage="0" equalAverage="0" bottom="0" percent="0" rank="0" text="" dxfId="15">
      <formula>AND($T20&lt;&gt;"",$T20&gt;AsOfDate)</formula>
    </cfRule>
  </conditionalFormatting>
  <dataValidations count="1">
    <dataValidation allowBlank="true" errorStyle="stop" operator="between" showDropDown="false" showErrorMessage="false" showInputMessage="false" sqref="C5" type="list">
      <formula1>Staff!$BR$5:$BR$154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D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1"/>
  <cols>
    <col collapsed="false" customWidth="true" hidden="false" outlineLevel="0" max="1" min="1" style="0" width="12"/>
    <col collapsed="false" customWidth="true" hidden="false" outlineLevel="0" max="2" min="2" style="0" width="13"/>
    <col collapsed="false" customWidth="true" hidden="false" outlineLevel="0" max="3" min="3" style="0" width="11"/>
    <col collapsed="false" customWidth="true" hidden="false" outlineLevel="0" max="4" min="4" style="0" width="12"/>
    <col collapsed="false" customWidth="true" hidden="false" outlineLevel="0" max="6" min="5" style="0" width="7"/>
    <col collapsed="false" customWidth="true" hidden="false" outlineLevel="0" max="7" min="7" style="0" width="10"/>
    <col collapsed="false" customWidth="true" hidden="false" outlineLevel="0" max="8" min="8" style="0" width="120"/>
    <col collapsed="false" customWidth="true" hidden="true" outlineLevel="1" max="30" min="9" style="0" width="13"/>
  </cols>
  <sheetData>
    <row r="1" customFormat="false" ht="17.35" hidden="false" customHeight="false" outlineLevel="0" collapsed="false">
      <c r="A1" s="1" t="s">
        <v>154</v>
      </c>
    </row>
    <row r="2" customFormat="false" ht="15" hidden="false" customHeight="false" outlineLevel="0" collapsed="false">
      <c r="A2" s="4" t="str">
        <f aca="false">"Accruing for "&amp;UPPER(TEXT(AsOfDate,"mmmm yyyy"))&amp;" (as at "&amp;TEXT(AsOfDate,"dd/mm/yyyy")&amp;"). Each entry is: milestone date, pathway on that date (FT or PT), days earned. Only milestones already reached are listed."</f>
        <v>Accruing for SEPTEMBER 2026 (as at 30/09/2026). Each entry is: milestone date, pathway on that date (FT or PT), days earned. Only milestones already reached are listed.</v>
      </c>
    </row>
    <row r="4" customFormat="false" ht="35.05" hidden="false" customHeight="false" outlineLevel="0" collapsed="false">
      <c r="A4" s="8" t="s">
        <v>33</v>
      </c>
      <c r="B4" s="8" t="s">
        <v>34</v>
      </c>
      <c r="C4" s="8" t="s">
        <v>155</v>
      </c>
      <c r="D4" s="8" t="s">
        <v>156</v>
      </c>
      <c r="E4" s="8" t="s">
        <v>47</v>
      </c>
      <c r="F4" s="8" t="s">
        <v>157</v>
      </c>
      <c r="G4" s="8" t="s">
        <v>63</v>
      </c>
      <c r="H4" s="8" t="s">
        <v>158</v>
      </c>
      <c r="I4" s="11" t="s">
        <v>159</v>
      </c>
      <c r="J4" s="11" t="s">
        <v>159</v>
      </c>
      <c r="K4" s="11" t="s">
        <v>159</v>
      </c>
      <c r="L4" s="11" t="s">
        <v>159</v>
      </c>
      <c r="M4" s="11" t="s">
        <v>159</v>
      </c>
      <c r="N4" s="11" t="s">
        <v>159</v>
      </c>
      <c r="O4" s="11" t="s">
        <v>159</v>
      </c>
      <c r="P4" s="11" t="s">
        <v>159</v>
      </c>
      <c r="Q4" s="11" t="s">
        <v>159</v>
      </c>
      <c r="R4" s="11" t="s">
        <v>159</v>
      </c>
      <c r="S4" s="11" t="s">
        <v>159</v>
      </c>
      <c r="T4" s="11" t="s">
        <v>159</v>
      </c>
      <c r="U4" s="11" t="s">
        <v>159</v>
      </c>
      <c r="V4" s="11" t="s">
        <v>159</v>
      </c>
      <c r="W4" s="11" t="s">
        <v>159</v>
      </c>
      <c r="X4" s="11" t="s">
        <v>71</v>
      </c>
      <c r="Y4" s="11" t="s">
        <v>73</v>
      </c>
      <c r="Z4" s="11" t="s">
        <v>74</v>
      </c>
      <c r="AA4" s="11" t="s">
        <v>78</v>
      </c>
      <c r="AB4" s="11" t="s">
        <v>79</v>
      </c>
      <c r="AC4" s="11" t="s">
        <v>80</v>
      </c>
      <c r="AD4" s="11" t="s">
        <v>81</v>
      </c>
    </row>
    <row r="5" customFormat="false" ht="15" hidden="false" customHeight="false" outlineLevel="0" collapsed="false">
      <c r="A5" s="16" t="str">
        <f aca="false">IF(Staff!$A5="","",Staff!$A5)</f>
        <v/>
      </c>
      <c r="B5" s="16" t="str">
        <f aca="false">IF(Staff!$A5="","",Staff!$B5)</f>
        <v/>
      </c>
      <c r="C5" s="16" t="str">
        <f aca="false">IF(Staff!$A5="","",Staff!$C5)</f>
        <v/>
      </c>
      <c r="D5" s="14" t="str">
        <f aca="false">IF(Staff!$A5="","",Staff!$AL5)</f>
        <v/>
      </c>
      <c r="E5" s="16" t="str">
        <f aca="false">IF(Staff!$A5="","",Staff!$O5)</f>
        <v/>
      </c>
      <c r="F5" s="16" t="str">
        <f aca="false">IF(E5="","",E5*HoursPerDay)</f>
        <v/>
      </c>
      <c r="G5" s="16" t="str">
        <f aca="false">IF(Staff!$A5="","",Staff!$AE5)</f>
        <v/>
      </c>
      <c r="H5" s="28" t="str">
        <f aca="false">IF($A5="","",I5&amp;J5&amp;K5&amp;L5&amp;M5&amp;N5&amp;O5&amp;P5&amp;Q5&amp;R5&amp;S5&amp;T5&amp;U5&amp;V5&amp;W5)</f>
        <v/>
      </c>
      <c r="I5" s="0" t="str">
        <f aca="false">IF(OR($A5="",$D5=""),"",IF(AND(EDATE($D5,Milestones!$AA$20)&lt;=AsOfDate,EDATE($D5,Milestones!$AA$20)&gt;=SchemeStart,IF($X5=0,$AD5,IF(AND($Z5&lt;&gt;"",EDATE($D5,Milestones!$AA$20)&gt;=$Z5),$AC5,IF(AND($Y5&lt;&gt;"",EDATE($D5,Milestones!$AA$20)&gt;=$Y5),$AB5,$AA5)))=Milestones!$AB$20),UPPER(TEXT(EDATE($D5,Milestones!$AA$20),"dd mmm yy"))&amp;" "&amp;Milestones!$AB$20&amp;" "&amp;IF(AND(Milestones!$AB$20="FT",Milestones!$AA$20=FT_Y5,EDATE($D5,Milestones!$AA$20)&lt;PolicyEff),1,Milestones!$AC$20)&amp;";  ","")&amp;IF(AND(EDATE($D5,Milestones!$AA$21)&lt;=AsOfDate,EDATE($D5,Milestones!$AA$21)&gt;=SchemeStart,IF($X5=0,$AD5,IF(AND($Z5&lt;&gt;"",EDATE($D5,Milestones!$AA$21)&gt;=$Z5),$AC5,IF(AND($Y5&lt;&gt;"",EDATE($D5,Milestones!$AA$21)&gt;=$Y5),$AB5,$AA5)))=Milestones!$AB$21),UPPER(TEXT(EDATE($D5,Milestones!$AA$21),"dd mmm yy"))&amp;" "&amp;Milestones!$AB$21&amp;" "&amp;IF(AND(Milestones!$AB$21="FT",Milestones!$AA$21=FT_Y5,EDATE($D5,Milestones!$AA$21)&lt;PolicyEff),1,Milestones!$AC$21)&amp;";  ","")&amp;IF(AND(EDATE($D5,Milestones!$AA$22)&lt;=AsOfDate,EDATE($D5,Milestones!$AA$22)&gt;=SchemeStart,IF($X5=0,$AD5,IF(AND($Z5&lt;&gt;"",EDATE($D5,Milestones!$AA$22)&gt;=$Z5),$AC5,IF(AND($Y5&lt;&gt;"",EDATE($D5,Milestones!$AA$22)&gt;=$Y5),$AB5,$AA5)))=Milestones!$AB$22),UPPER(TEXT(EDATE($D5,Milestones!$AA$22),"dd mmm yy"))&amp;" "&amp;Milestones!$AB$22&amp;" "&amp;IF(AND(Milestones!$AB$22="FT",Milestones!$AA$22=FT_Y5,EDATE($D5,Milestones!$AA$22)&lt;PolicyEff),1,Milestones!$AC$22)&amp;";  ","")&amp;IF(AND(EDATE($D5,Milestones!$AA$23)&lt;=AsOfDate,EDATE($D5,Milestones!$AA$23)&gt;=SchemeStart,IF($X5=0,$AD5,IF(AND($Z5&lt;&gt;"",EDATE($D5,Milestones!$AA$23)&gt;=$Z5),$AC5,IF(AND($Y5&lt;&gt;"",EDATE($D5,Milestones!$AA$23)&gt;=$Y5),$AB5,$AA5)))=Milestones!$AB$23),UPPER(TEXT(EDATE($D5,Milestones!$AA$23),"dd mmm yy"))&amp;" "&amp;Milestones!$AB$23&amp;" "&amp;IF(AND(Milestones!$AB$23="FT",Milestones!$AA$23=FT_Y5,EDATE($D5,Milestones!$AA$23)&lt;PolicyEff),1,Milestones!$AC$23)&amp;";  ","")&amp;IF(AND(EDATE($D5,Milestones!$AA$24)&lt;=AsOfDate,EDATE($D5,Milestones!$AA$24)&gt;=SchemeStart,IF($X5=0,$AD5,IF(AND($Z5&lt;&gt;"",EDATE($D5,Milestones!$AA$24)&gt;=$Z5),$AC5,IF(AND($Y5&lt;&gt;"",EDATE($D5,Milestones!$AA$24)&gt;=$Y5),$AB5,$AA5)))=Milestones!$AB$24),UPPER(TEXT(EDATE($D5,Milestones!$AA$24),"dd mmm yy"))&amp;" "&amp;Milestones!$AB$24&amp;" "&amp;IF(AND(Milestones!$AB$24="FT",Milestones!$AA$24=FT_Y5,EDATE($D5,Milestones!$AA$24)&lt;PolicyEff),1,Milestones!$AC$24)&amp;";  ","")&amp;IF(AND(EDATE($D5,Milestones!$AA$25)&lt;=AsOfDate,EDATE($D5,Milestones!$AA$25)&gt;=SchemeStart,IF($X5=0,$AD5,IF(AND($Z5&lt;&gt;"",EDATE($D5,Milestones!$AA$25)&gt;=$Z5),$AC5,IF(AND($Y5&lt;&gt;"",EDATE($D5,Milestones!$AA$25)&gt;=$Y5),$AB5,$AA5)))=Milestones!$AB$25),UPPER(TEXT(EDATE($D5,Milestones!$AA$25),"dd mmm yy"))&amp;" "&amp;Milestones!$AB$25&amp;" "&amp;IF(AND(Milestones!$AB$25="FT",Milestones!$AA$25=FT_Y5,EDATE($D5,Milestones!$AA$25)&lt;PolicyEff),1,Milestones!$AC$25)&amp;";  ","")&amp;IF(AND(EDATE($D5,Milestones!$AA$26)&lt;=AsOfDate,EDATE($D5,Milestones!$AA$26)&gt;=SchemeStart,IF($X5=0,$AD5,IF(AND($Z5&lt;&gt;"",EDATE($D5,Milestones!$AA$26)&gt;=$Z5),$AC5,IF(AND($Y5&lt;&gt;"",EDATE($D5,Milestones!$AA$26)&gt;=$Y5),$AB5,$AA5)))=Milestones!$AB$26),UPPER(TEXT(EDATE($D5,Milestones!$AA$26),"dd mmm yy"))&amp;" "&amp;Milestones!$AB$26&amp;" "&amp;IF(AND(Milestones!$AB$26="FT",Milestones!$AA$26=FT_Y5,EDATE($D5,Milestones!$AA$26)&lt;PolicyEff),1,Milestones!$AC$26)&amp;";  ","")&amp;IF(AND(EDATE($D5,Milestones!$AA$27)&lt;=AsOfDate,EDATE($D5,Milestones!$AA$27)&gt;=SchemeStart,IF($X5=0,$AD5,IF(AND($Z5&lt;&gt;"",EDATE($D5,Milestones!$AA$27)&gt;=$Z5),$AC5,IF(AND($Y5&lt;&gt;"",EDATE($D5,Milestones!$AA$27)&gt;=$Y5),$AB5,$AA5)))=Milestones!$AB$27),UPPER(TEXT(EDATE($D5,Milestones!$AA$27),"dd mmm yy"))&amp;" "&amp;Milestones!$AB$27&amp;" "&amp;IF(AND(Milestones!$AB$27="FT",Milestones!$AA$27=FT_Y5,EDATE($D5,Milestones!$AA$27)&lt;PolicyEff),1,Milestones!$AC$27)&amp;";  ","")&amp;IF(AND(EDATE($D5,Milestones!$AA$28)&lt;=AsOfDate,EDATE($D5,Milestones!$AA$28)&gt;=SchemeStart,IF($X5=0,$AD5,IF(AND($Z5&lt;&gt;"",EDATE($D5,Milestones!$AA$28)&gt;=$Z5),$AC5,IF(AND($Y5&lt;&gt;"",EDATE($D5,Milestones!$AA$28)&gt;=$Y5),$AB5,$AA5)))=Milestones!$AB$28),UPPER(TEXT(EDATE($D5,Milestones!$AA$28),"dd mmm yy"))&amp;" "&amp;Milestones!$AB$28&amp;" "&amp;IF(AND(Milestones!$AB$28="FT",Milestones!$AA$28=FT_Y5,EDATE($D5,Milestones!$AA$28)&lt;PolicyEff),1,Milestones!$AC$28)&amp;";  ","")&amp;IF(AND(EDATE($D5,Milestones!$AA$29)&lt;=AsOfDate,EDATE($D5,Milestones!$AA$29)&gt;=SchemeStart,IF($X5=0,$AD5,IF(AND($Z5&lt;&gt;"",EDATE($D5,Milestones!$AA$29)&gt;=$Z5),$AC5,IF(AND($Y5&lt;&gt;"",EDATE($D5,Milestones!$AA$29)&gt;=$Y5),$AB5,$AA5)))=Milestones!$AB$29),UPPER(TEXT(EDATE($D5,Milestones!$AA$29),"dd mmm yy"))&amp;" "&amp;Milestones!$AB$29&amp;" "&amp;IF(AND(Milestones!$AB$29="FT",Milestones!$AA$29=FT_Y5,EDATE($D5,Milestones!$AA$29)&lt;PolicyEff),1,Milestones!$AC$29)&amp;";  ","")&amp;IF(AND(EDATE($D5,Milestones!$AA$30)&lt;=AsOfDate,EDATE($D5,Milestones!$AA$30)&gt;=SchemeStart,IF($X5=0,$AD5,IF(AND($Z5&lt;&gt;"",EDATE($D5,Milestones!$AA$30)&gt;=$Z5),$AC5,IF(AND($Y5&lt;&gt;"",EDATE($D5,Milestones!$AA$30)&gt;=$Y5),$AB5,$AA5)))=Milestones!$AB$30),UPPER(TEXT(EDATE($D5,Milestones!$AA$30),"dd mmm yy"))&amp;" "&amp;Milestones!$AB$30&amp;" "&amp;IF(AND(Milestones!$AB$30="FT",Milestones!$AA$30=FT_Y5,EDATE($D5,Milestones!$AA$30)&lt;PolicyEff),1,Milestones!$AC$30)&amp;";  ","")&amp;IF(AND(EDATE($D5,Milestones!$AA$31)&lt;=AsOfDate,EDATE($D5,Milestones!$AA$31)&gt;=SchemeStart,IF($X5=0,$AD5,IF(AND($Z5&lt;&gt;"",EDATE($D5,Milestones!$AA$31)&gt;=$Z5),$AC5,IF(AND($Y5&lt;&gt;"",EDATE($D5,Milestones!$AA$31)&gt;=$Y5),$AB5,$AA5)))=Milestones!$AB$31),UPPER(TEXT(EDATE($D5,Milestones!$AA$31),"dd mmm yy"))&amp;" "&amp;Milestones!$AB$31&amp;" "&amp;IF(AND(Milestones!$AB$31="FT",Milestones!$AA$31=FT_Y5,EDATE($D5,Milestones!$AA$31)&lt;PolicyEff),1,Milestones!$AC$31)&amp;";  ",""))</f>
        <v/>
      </c>
      <c r="J5" s="0" t="str">
        <f aca="false">IF(OR($A5="",$D5=""),"",IF(AND(EDATE($D5,Milestones!$AA$32)&lt;=AsOfDate,EDATE($D5,Milestones!$AA$32)&gt;=SchemeStart,IF($X5=0,$AD5,IF(AND($Z5&lt;&gt;"",EDATE($D5,Milestones!$AA$32)&gt;=$Z5),$AC5,IF(AND($Y5&lt;&gt;"",EDATE($D5,Milestones!$AA$32)&gt;=$Y5),$AB5,$AA5)))=Milestones!$AB$32),UPPER(TEXT(EDATE($D5,Milestones!$AA$32),"dd mmm yy"))&amp;" "&amp;Milestones!$AB$32&amp;" "&amp;IF(AND(Milestones!$AB$32="FT",Milestones!$AA$32=FT_Y5,EDATE($D5,Milestones!$AA$32)&lt;PolicyEff),1,Milestones!$AC$32)&amp;";  ","")&amp;IF(AND(EDATE($D5,Milestones!$AA$33)&lt;=AsOfDate,EDATE($D5,Milestones!$AA$33)&gt;=SchemeStart,IF($X5=0,$AD5,IF(AND($Z5&lt;&gt;"",EDATE($D5,Milestones!$AA$33)&gt;=$Z5),$AC5,IF(AND($Y5&lt;&gt;"",EDATE($D5,Milestones!$AA$33)&gt;=$Y5),$AB5,$AA5)))=Milestones!$AB$33),UPPER(TEXT(EDATE($D5,Milestones!$AA$33),"dd mmm yy"))&amp;" "&amp;Milestones!$AB$33&amp;" "&amp;IF(AND(Milestones!$AB$33="FT",Milestones!$AA$33=FT_Y5,EDATE($D5,Milestones!$AA$33)&lt;PolicyEff),1,Milestones!$AC$33)&amp;";  ","")&amp;IF(AND(EDATE($D5,Milestones!$AA$34)&lt;=AsOfDate,EDATE($D5,Milestones!$AA$34)&gt;=SchemeStart,IF($X5=0,$AD5,IF(AND($Z5&lt;&gt;"",EDATE($D5,Milestones!$AA$34)&gt;=$Z5),$AC5,IF(AND($Y5&lt;&gt;"",EDATE($D5,Milestones!$AA$34)&gt;=$Y5),$AB5,$AA5)))=Milestones!$AB$34),UPPER(TEXT(EDATE($D5,Milestones!$AA$34),"dd mmm yy"))&amp;" "&amp;Milestones!$AB$34&amp;" "&amp;IF(AND(Milestones!$AB$34="FT",Milestones!$AA$34=FT_Y5,EDATE($D5,Milestones!$AA$34)&lt;PolicyEff),1,Milestones!$AC$34)&amp;";  ","")&amp;IF(AND(EDATE($D5,Milestones!$AA$35)&lt;=AsOfDate,EDATE($D5,Milestones!$AA$35)&gt;=SchemeStart,IF($X5=0,$AD5,IF(AND($Z5&lt;&gt;"",EDATE($D5,Milestones!$AA$35)&gt;=$Z5),$AC5,IF(AND($Y5&lt;&gt;"",EDATE($D5,Milestones!$AA$35)&gt;=$Y5),$AB5,$AA5)))=Milestones!$AB$35),UPPER(TEXT(EDATE($D5,Milestones!$AA$35),"dd mmm yy"))&amp;" "&amp;Milestones!$AB$35&amp;" "&amp;IF(AND(Milestones!$AB$35="FT",Milestones!$AA$35=FT_Y5,EDATE($D5,Milestones!$AA$35)&lt;PolicyEff),1,Milestones!$AC$35)&amp;";  ","")&amp;IF(AND(EDATE($D5,Milestones!$AA$36)&lt;=AsOfDate,EDATE($D5,Milestones!$AA$36)&gt;=SchemeStart,IF($X5=0,$AD5,IF(AND($Z5&lt;&gt;"",EDATE($D5,Milestones!$AA$36)&gt;=$Z5),$AC5,IF(AND($Y5&lt;&gt;"",EDATE($D5,Milestones!$AA$36)&gt;=$Y5),$AB5,$AA5)))=Milestones!$AB$36),UPPER(TEXT(EDATE($D5,Milestones!$AA$36),"dd mmm yy"))&amp;" "&amp;Milestones!$AB$36&amp;" "&amp;IF(AND(Milestones!$AB$36="FT",Milestones!$AA$36=FT_Y5,EDATE($D5,Milestones!$AA$36)&lt;PolicyEff),1,Milestones!$AC$36)&amp;";  ","")&amp;IF(AND(EDATE($D5,Milestones!$AA$37)&lt;=AsOfDate,EDATE($D5,Milestones!$AA$37)&gt;=SchemeStart,IF($X5=0,$AD5,IF(AND($Z5&lt;&gt;"",EDATE($D5,Milestones!$AA$37)&gt;=$Z5),$AC5,IF(AND($Y5&lt;&gt;"",EDATE($D5,Milestones!$AA$37)&gt;=$Y5),$AB5,$AA5)))=Milestones!$AB$37),UPPER(TEXT(EDATE($D5,Milestones!$AA$37),"dd mmm yy"))&amp;" "&amp;Milestones!$AB$37&amp;" "&amp;IF(AND(Milestones!$AB$37="FT",Milestones!$AA$37=FT_Y5,EDATE($D5,Milestones!$AA$37)&lt;PolicyEff),1,Milestones!$AC$37)&amp;";  ","")&amp;IF(AND(EDATE($D5,Milestones!$AA$38)&lt;=AsOfDate,EDATE($D5,Milestones!$AA$38)&gt;=SchemeStart,IF($X5=0,$AD5,IF(AND($Z5&lt;&gt;"",EDATE($D5,Milestones!$AA$38)&gt;=$Z5),$AC5,IF(AND($Y5&lt;&gt;"",EDATE($D5,Milestones!$AA$38)&gt;=$Y5),$AB5,$AA5)))=Milestones!$AB$38),UPPER(TEXT(EDATE($D5,Milestones!$AA$38),"dd mmm yy"))&amp;" "&amp;Milestones!$AB$38&amp;" "&amp;IF(AND(Milestones!$AB$38="FT",Milestones!$AA$38=FT_Y5,EDATE($D5,Milestones!$AA$38)&lt;PolicyEff),1,Milestones!$AC$38)&amp;";  ","")&amp;IF(AND(EDATE($D5,Milestones!$AA$39)&lt;=AsOfDate,EDATE($D5,Milestones!$AA$39)&gt;=SchemeStart,IF($X5=0,$AD5,IF(AND($Z5&lt;&gt;"",EDATE($D5,Milestones!$AA$39)&gt;=$Z5),$AC5,IF(AND($Y5&lt;&gt;"",EDATE($D5,Milestones!$AA$39)&gt;=$Y5),$AB5,$AA5)))=Milestones!$AB$39),UPPER(TEXT(EDATE($D5,Milestones!$AA$39),"dd mmm yy"))&amp;" "&amp;Milestones!$AB$39&amp;" "&amp;IF(AND(Milestones!$AB$39="FT",Milestones!$AA$39=FT_Y5,EDATE($D5,Milestones!$AA$39)&lt;PolicyEff),1,Milestones!$AC$39)&amp;";  ","")&amp;IF(AND(EDATE($D5,Milestones!$AA$40)&lt;=AsOfDate,EDATE($D5,Milestones!$AA$40)&gt;=SchemeStart,IF($X5=0,$AD5,IF(AND($Z5&lt;&gt;"",EDATE($D5,Milestones!$AA$40)&gt;=$Z5),$AC5,IF(AND($Y5&lt;&gt;"",EDATE($D5,Milestones!$AA$40)&gt;=$Y5),$AB5,$AA5)))=Milestones!$AB$40),UPPER(TEXT(EDATE($D5,Milestones!$AA$40),"dd mmm yy"))&amp;" "&amp;Milestones!$AB$40&amp;" "&amp;IF(AND(Milestones!$AB$40="FT",Milestones!$AA$40=FT_Y5,EDATE($D5,Milestones!$AA$40)&lt;PolicyEff),1,Milestones!$AC$40)&amp;";  ","")&amp;IF(AND(EDATE($D5,Milestones!$AA$41)&lt;=AsOfDate,EDATE($D5,Milestones!$AA$41)&gt;=SchemeStart,IF($X5=0,$AD5,IF(AND($Z5&lt;&gt;"",EDATE($D5,Milestones!$AA$41)&gt;=$Z5),$AC5,IF(AND($Y5&lt;&gt;"",EDATE($D5,Milestones!$AA$41)&gt;=$Y5),$AB5,$AA5)))=Milestones!$AB$41),UPPER(TEXT(EDATE($D5,Milestones!$AA$41),"dd mmm yy"))&amp;" "&amp;Milestones!$AB$41&amp;" "&amp;IF(AND(Milestones!$AB$41="FT",Milestones!$AA$41=FT_Y5,EDATE($D5,Milestones!$AA$41)&lt;PolicyEff),1,Milestones!$AC$41)&amp;";  ","")&amp;IF(AND(EDATE($D5,Milestones!$AA$42)&lt;=AsOfDate,EDATE($D5,Milestones!$AA$42)&gt;=SchemeStart,IF($X5=0,$AD5,IF(AND($Z5&lt;&gt;"",EDATE($D5,Milestones!$AA$42)&gt;=$Z5),$AC5,IF(AND($Y5&lt;&gt;"",EDATE($D5,Milestones!$AA$42)&gt;=$Y5),$AB5,$AA5)))=Milestones!$AB$42),UPPER(TEXT(EDATE($D5,Milestones!$AA$42),"dd mmm yy"))&amp;" "&amp;Milestones!$AB$42&amp;" "&amp;IF(AND(Milestones!$AB$42="FT",Milestones!$AA$42=FT_Y5,EDATE($D5,Milestones!$AA$42)&lt;PolicyEff),1,Milestones!$AC$42)&amp;";  ","")&amp;IF(AND(EDATE($D5,Milestones!$AA$43)&lt;=AsOfDate,EDATE($D5,Milestones!$AA$43)&gt;=SchemeStart,IF($X5=0,$AD5,IF(AND($Z5&lt;&gt;"",EDATE($D5,Milestones!$AA$43)&gt;=$Z5),$AC5,IF(AND($Y5&lt;&gt;"",EDATE($D5,Milestones!$AA$43)&gt;=$Y5),$AB5,$AA5)))=Milestones!$AB$43),UPPER(TEXT(EDATE($D5,Milestones!$AA$43),"dd mmm yy"))&amp;" "&amp;Milestones!$AB$43&amp;" "&amp;IF(AND(Milestones!$AB$43="FT",Milestones!$AA$43=FT_Y5,EDATE($D5,Milestones!$AA$43)&lt;PolicyEff),1,Milestones!$AC$43)&amp;";  ",""))</f>
        <v/>
      </c>
      <c r="K5" s="0" t="str">
        <f aca="false">IF(OR($A5="",$D5=""),"",IF(AND(EDATE($D5,Milestones!$AA$44)&lt;=AsOfDate,EDATE($D5,Milestones!$AA$44)&gt;=SchemeStart,IF($X5=0,$AD5,IF(AND($Z5&lt;&gt;"",EDATE($D5,Milestones!$AA$44)&gt;=$Z5),$AC5,IF(AND($Y5&lt;&gt;"",EDATE($D5,Milestones!$AA$44)&gt;=$Y5),$AB5,$AA5)))=Milestones!$AB$44),UPPER(TEXT(EDATE($D5,Milestones!$AA$44),"dd mmm yy"))&amp;" "&amp;Milestones!$AB$44&amp;" "&amp;IF(AND(Milestones!$AB$44="FT",Milestones!$AA$44=FT_Y5,EDATE($D5,Milestones!$AA$44)&lt;PolicyEff),1,Milestones!$AC$44)&amp;";  ","")&amp;IF(AND(EDATE($D5,Milestones!$AA$45)&lt;=AsOfDate,EDATE($D5,Milestones!$AA$45)&gt;=SchemeStart,IF($X5=0,$AD5,IF(AND($Z5&lt;&gt;"",EDATE($D5,Milestones!$AA$45)&gt;=$Z5),$AC5,IF(AND($Y5&lt;&gt;"",EDATE($D5,Milestones!$AA$45)&gt;=$Y5),$AB5,$AA5)))=Milestones!$AB$45),UPPER(TEXT(EDATE($D5,Milestones!$AA$45),"dd mmm yy"))&amp;" "&amp;Milestones!$AB$45&amp;" "&amp;IF(AND(Milestones!$AB$45="FT",Milestones!$AA$45=FT_Y5,EDATE($D5,Milestones!$AA$45)&lt;PolicyEff),1,Milestones!$AC$45)&amp;";  ","")&amp;IF(AND(EDATE($D5,Milestones!$AA$46)&lt;=AsOfDate,EDATE($D5,Milestones!$AA$46)&gt;=SchemeStart,IF($X5=0,$AD5,IF(AND($Z5&lt;&gt;"",EDATE($D5,Milestones!$AA$46)&gt;=$Z5),$AC5,IF(AND($Y5&lt;&gt;"",EDATE($D5,Milestones!$AA$46)&gt;=$Y5),$AB5,$AA5)))=Milestones!$AB$46),UPPER(TEXT(EDATE($D5,Milestones!$AA$46),"dd mmm yy"))&amp;" "&amp;Milestones!$AB$46&amp;" "&amp;IF(AND(Milestones!$AB$46="FT",Milestones!$AA$46=FT_Y5,EDATE($D5,Milestones!$AA$46)&lt;PolicyEff),1,Milestones!$AC$46)&amp;";  ","")&amp;IF(AND(EDATE($D5,Milestones!$AA$47)&lt;=AsOfDate,EDATE($D5,Milestones!$AA$47)&gt;=SchemeStart,IF($X5=0,$AD5,IF(AND($Z5&lt;&gt;"",EDATE($D5,Milestones!$AA$47)&gt;=$Z5),$AC5,IF(AND($Y5&lt;&gt;"",EDATE($D5,Milestones!$AA$47)&gt;=$Y5),$AB5,$AA5)))=Milestones!$AB$47),UPPER(TEXT(EDATE($D5,Milestones!$AA$47),"dd mmm yy"))&amp;" "&amp;Milestones!$AB$47&amp;" "&amp;IF(AND(Milestones!$AB$47="FT",Milestones!$AA$47=FT_Y5,EDATE($D5,Milestones!$AA$47)&lt;PolicyEff),1,Milestones!$AC$47)&amp;";  ","")&amp;IF(AND(EDATE($D5,Milestones!$AA$48)&lt;=AsOfDate,EDATE($D5,Milestones!$AA$48)&gt;=SchemeStart,IF($X5=0,$AD5,IF(AND($Z5&lt;&gt;"",EDATE($D5,Milestones!$AA$48)&gt;=$Z5),$AC5,IF(AND($Y5&lt;&gt;"",EDATE($D5,Milestones!$AA$48)&gt;=$Y5),$AB5,$AA5)))=Milestones!$AB$48),UPPER(TEXT(EDATE($D5,Milestones!$AA$48),"dd mmm yy"))&amp;" "&amp;Milestones!$AB$48&amp;" "&amp;IF(AND(Milestones!$AB$48="FT",Milestones!$AA$48=FT_Y5,EDATE($D5,Milestones!$AA$48)&lt;PolicyEff),1,Milestones!$AC$48)&amp;";  ","")&amp;IF(AND(EDATE($D5,Milestones!$AA$49)&lt;=AsOfDate,EDATE($D5,Milestones!$AA$49)&gt;=SchemeStart,IF($X5=0,$AD5,IF(AND($Z5&lt;&gt;"",EDATE($D5,Milestones!$AA$49)&gt;=$Z5),$AC5,IF(AND($Y5&lt;&gt;"",EDATE($D5,Milestones!$AA$49)&gt;=$Y5),$AB5,$AA5)))=Milestones!$AB$49),UPPER(TEXT(EDATE($D5,Milestones!$AA$49),"dd mmm yy"))&amp;" "&amp;Milestones!$AB$49&amp;" "&amp;IF(AND(Milestones!$AB$49="FT",Milestones!$AA$49=FT_Y5,EDATE($D5,Milestones!$AA$49)&lt;PolicyEff),1,Milestones!$AC$49)&amp;";  ","")&amp;IF(AND(EDATE($D5,Milestones!$AA$50)&lt;=AsOfDate,EDATE($D5,Milestones!$AA$50)&gt;=SchemeStart,IF($X5=0,$AD5,IF(AND($Z5&lt;&gt;"",EDATE($D5,Milestones!$AA$50)&gt;=$Z5),$AC5,IF(AND($Y5&lt;&gt;"",EDATE($D5,Milestones!$AA$50)&gt;=$Y5),$AB5,$AA5)))=Milestones!$AB$50),UPPER(TEXT(EDATE($D5,Milestones!$AA$50),"dd mmm yy"))&amp;" "&amp;Milestones!$AB$50&amp;" "&amp;IF(AND(Milestones!$AB$50="FT",Milestones!$AA$50=FT_Y5,EDATE($D5,Milestones!$AA$50)&lt;PolicyEff),1,Milestones!$AC$50)&amp;";  ","")&amp;IF(AND(EDATE($D5,Milestones!$AA$51)&lt;=AsOfDate,EDATE($D5,Milestones!$AA$51)&gt;=SchemeStart,IF($X5=0,$AD5,IF(AND($Z5&lt;&gt;"",EDATE($D5,Milestones!$AA$51)&gt;=$Z5),$AC5,IF(AND($Y5&lt;&gt;"",EDATE($D5,Milestones!$AA$51)&gt;=$Y5),$AB5,$AA5)))=Milestones!$AB$51),UPPER(TEXT(EDATE($D5,Milestones!$AA$51),"dd mmm yy"))&amp;" "&amp;Milestones!$AB$51&amp;" "&amp;IF(AND(Milestones!$AB$51="FT",Milestones!$AA$51=FT_Y5,EDATE($D5,Milestones!$AA$51)&lt;PolicyEff),1,Milestones!$AC$51)&amp;";  ","")&amp;IF(AND(EDATE($D5,Milestones!$AA$52)&lt;=AsOfDate,EDATE($D5,Milestones!$AA$52)&gt;=SchemeStart,IF($X5=0,$AD5,IF(AND($Z5&lt;&gt;"",EDATE($D5,Milestones!$AA$52)&gt;=$Z5),$AC5,IF(AND($Y5&lt;&gt;"",EDATE($D5,Milestones!$AA$52)&gt;=$Y5),$AB5,$AA5)))=Milestones!$AB$52),UPPER(TEXT(EDATE($D5,Milestones!$AA$52),"dd mmm yy"))&amp;" "&amp;Milestones!$AB$52&amp;" "&amp;IF(AND(Milestones!$AB$52="FT",Milestones!$AA$52=FT_Y5,EDATE($D5,Milestones!$AA$52)&lt;PolicyEff),1,Milestones!$AC$52)&amp;";  ","")&amp;IF(AND(EDATE($D5,Milestones!$AA$53)&lt;=AsOfDate,EDATE($D5,Milestones!$AA$53)&gt;=SchemeStart,IF($X5=0,$AD5,IF(AND($Z5&lt;&gt;"",EDATE($D5,Milestones!$AA$53)&gt;=$Z5),$AC5,IF(AND($Y5&lt;&gt;"",EDATE($D5,Milestones!$AA$53)&gt;=$Y5),$AB5,$AA5)))=Milestones!$AB$53),UPPER(TEXT(EDATE($D5,Milestones!$AA$53),"dd mmm yy"))&amp;" "&amp;Milestones!$AB$53&amp;" "&amp;IF(AND(Milestones!$AB$53="FT",Milestones!$AA$53=FT_Y5,EDATE($D5,Milestones!$AA$53)&lt;PolicyEff),1,Milestones!$AC$53)&amp;";  ","")&amp;IF(AND(EDATE($D5,Milestones!$AA$54)&lt;=AsOfDate,EDATE($D5,Milestones!$AA$54)&gt;=SchemeStart,IF($X5=0,$AD5,IF(AND($Z5&lt;&gt;"",EDATE($D5,Milestones!$AA$54)&gt;=$Z5),$AC5,IF(AND($Y5&lt;&gt;"",EDATE($D5,Milestones!$AA$54)&gt;=$Y5),$AB5,$AA5)))=Milestones!$AB$54),UPPER(TEXT(EDATE($D5,Milestones!$AA$54),"dd mmm yy"))&amp;" "&amp;Milestones!$AB$54&amp;" "&amp;IF(AND(Milestones!$AB$54="FT",Milestones!$AA$54=FT_Y5,EDATE($D5,Milestones!$AA$54)&lt;PolicyEff),1,Milestones!$AC$54)&amp;";  ","")&amp;IF(AND(EDATE($D5,Milestones!$AA$55)&lt;=AsOfDate,EDATE($D5,Milestones!$AA$55)&gt;=SchemeStart,IF($X5=0,$AD5,IF(AND($Z5&lt;&gt;"",EDATE($D5,Milestones!$AA$55)&gt;=$Z5),$AC5,IF(AND($Y5&lt;&gt;"",EDATE($D5,Milestones!$AA$55)&gt;=$Y5),$AB5,$AA5)))=Milestones!$AB$55),UPPER(TEXT(EDATE($D5,Milestones!$AA$55),"dd mmm yy"))&amp;" "&amp;Milestones!$AB$55&amp;" "&amp;IF(AND(Milestones!$AB$55="FT",Milestones!$AA$55=FT_Y5,EDATE($D5,Milestones!$AA$55)&lt;PolicyEff),1,Milestones!$AC$55)&amp;";  ",""))</f>
        <v/>
      </c>
      <c r="L5" s="0" t="str">
        <f aca="false">IF(OR($A5="",$D5=""),"",IF(AND(EDATE($D5,Milestones!$AA$56)&lt;=AsOfDate,EDATE($D5,Milestones!$AA$56)&gt;=SchemeStart,IF($X5=0,$AD5,IF(AND($Z5&lt;&gt;"",EDATE($D5,Milestones!$AA$56)&gt;=$Z5),$AC5,IF(AND($Y5&lt;&gt;"",EDATE($D5,Milestones!$AA$56)&gt;=$Y5),$AB5,$AA5)))=Milestones!$AB$56),UPPER(TEXT(EDATE($D5,Milestones!$AA$56),"dd mmm yy"))&amp;" "&amp;Milestones!$AB$56&amp;" "&amp;IF(AND(Milestones!$AB$56="FT",Milestones!$AA$56=FT_Y5,EDATE($D5,Milestones!$AA$56)&lt;PolicyEff),1,Milestones!$AC$56)&amp;";  ","")&amp;IF(AND(EDATE($D5,Milestones!$AA$57)&lt;=AsOfDate,EDATE($D5,Milestones!$AA$57)&gt;=SchemeStart,IF($X5=0,$AD5,IF(AND($Z5&lt;&gt;"",EDATE($D5,Milestones!$AA$57)&gt;=$Z5),$AC5,IF(AND($Y5&lt;&gt;"",EDATE($D5,Milestones!$AA$57)&gt;=$Y5),$AB5,$AA5)))=Milestones!$AB$57),UPPER(TEXT(EDATE($D5,Milestones!$AA$57),"dd mmm yy"))&amp;" "&amp;Milestones!$AB$57&amp;" "&amp;IF(AND(Milestones!$AB$57="FT",Milestones!$AA$57=FT_Y5,EDATE($D5,Milestones!$AA$57)&lt;PolicyEff),1,Milestones!$AC$57)&amp;";  ","")&amp;IF(AND(EDATE($D5,Milestones!$AA$58)&lt;=AsOfDate,EDATE($D5,Milestones!$AA$58)&gt;=SchemeStart,IF($X5=0,$AD5,IF(AND($Z5&lt;&gt;"",EDATE($D5,Milestones!$AA$58)&gt;=$Z5),$AC5,IF(AND($Y5&lt;&gt;"",EDATE($D5,Milestones!$AA$58)&gt;=$Y5),$AB5,$AA5)))=Milestones!$AB$58),UPPER(TEXT(EDATE($D5,Milestones!$AA$58),"dd mmm yy"))&amp;" "&amp;Milestones!$AB$58&amp;" "&amp;IF(AND(Milestones!$AB$58="FT",Milestones!$AA$58=FT_Y5,EDATE($D5,Milestones!$AA$58)&lt;PolicyEff),1,Milestones!$AC$58)&amp;";  ","")&amp;IF(AND(EDATE($D5,Milestones!$AA$59)&lt;=AsOfDate,EDATE($D5,Milestones!$AA$59)&gt;=SchemeStart,IF($X5=0,$AD5,IF(AND($Z5&lt;&gt;"",EDATE($D5,Milestones!$AA$59)&gt;=$Z5),$AC5,IF(AND($Y5&lt;&gt;"",EDATE($D5,Milestones!$AA$59)&gt;=$Y5),$AB5,$AA5)))=Milestones!$AB$59),UPPER(TEXT(EDATE($D5,Milestones!$AA$59),"dd mmm yy"))&amp;" "&amp;Milestones!$AB$59&amp;" "&amp;IF(AND(Milestones!$AB$59="FT",Milestones!$AA$59=FT_Y5,EDATE($D5,Milestones!$AA$59)&lt;PolicyEff),1,Milestones!$AC$59)&amp;";  ","")&amp;IF(AND(EDATE($D5,Milestones!$AA$60)&lt;=AsOfDate,EDATE($D5,Milestones!$AA$60)&gt;=SchemeStart,IF($X5=0,$AD5,IF(AND($Z5&lt;&gt;"",EDATE($D5,Milestones!$AA$60)&gt;=$Z5),$AC5,IF(AND($Y5&lt;&gt;"",EDATE($D5,Milestones!$AA$60)&gt;=$Y5),$AB5,$AA5)))=Milestones!$AB$60),UPPER(TEXT(EDATE($D5,Milestones!$AA$60),"dd mmm yy"))&amp;" "&amp;Milestones!$AB$60&amp;" "&amp;IF(AND(Milestones!$AB$60="FT",Milestones!$AA$60=FT_Y5,EDATE($D5,Milestones!$AA$60)&lt;PolicyEff),1,Milestones!$AC$60)&amp;";  ","")&amp;IF(AND(EDATE($D5,Milestones!$AA$61)&lt;=AsOfDate,EDATE($D5,Milestones!$AA$61)&gt;=SchemeStart,IF($X5=0,$AD5,IF(AND($Z5&lt;&gt;"",EDATE($D5,Milestones!$AA$61)&gt;=$Z5),$AC5,IF(AND($Y5&lt;&gt;"",EDATE($D5,Milestones!$AA$61)&gt;=$Y5),$AB5,$AA5)))=Milestones!$AB$61),UPPER(TEXT(EDATE($D5,Milestones!$AA$61),"dd mmm yy"))&amp;" "&amp;Milestones!$AB$61&amp;" "&amp;IF(AND(Milestones!$AB$61="FT",Milestones!$AA$61=FT_Y5,EDATE($D5,Milestones!$AA$61)&lt;PolicyEff),1,Milestones!$AC$61)&amp;";  ","")&amp;IF(AND(EDATE($D5,Milestones!$AA$62)&lt;=AsOfDate,EDATE($D5,Milestones!$AA$62)&gt;=SchemeStart,IF($X5=0,$AD5,IF(AND($Z5&lt;&gt;"",EDATE($D5,Milestones!$AA$62)&gt;=$Z5),$AC5,IF(AND($Y5&lt;&gt;"",EDATE($D5,Milestones!$AA$62)&gt;=$Y5),$AB5,$AA5)))=Milestones!$AB$62),UPPER(TEXT(EDATE($D5,Milestones!$AA$62),"dd mmm yy"))&amp;" "&amp;Milestones!$AB$62&amp;" "&amp;IF(AND(Milestones!$AB$62="FT",Milestones!$AA$62=FT_Y5,EDATE($D5,Milestones!$AA$62)&lt;PolicyEff),1,Milestones!$AC$62)&amp;";  ","")&amp;IF(AND(EDATE($D5,Milestones!$AA$63)&lt;=AsOfDate,EDATE($D5,Milestones!$AA$63)&gt;=SchemeStart,IF($X5=0,$AD5,IF(AND($Z5&lt;&gt;"",EDATE($D5,Milestones!$AA$63)&gt;=$Z5),$AC5,IF(AND($Y5&lt;&gt;"",EDATE($D5,Milestones!$AA$63)&gt;=$Y5),$AB5,$AA5)))=Milestones!$AB$63),UPPER(TEXT(EDATE($D5,Milestones!$AA$63),"dd mmm yy"))&amp;" "&amp;Milestones!$AB$63&amp;" "&amp;IF(AND(Milestones!$AB$63="FT",Milestones!$AA$63=FT_Y5,EDATE($D5,Milestones!$AA$63)&lt;PolicyEff),1,Milestones!$AC$63)&amp;";  ","")&amp;IF(AND(EDATE($D5,Milestones!$AA$64)&lt;=AsOfDate,EDATE($D5,Milestones!$AA$64)&gt;=SchemeStart,IF($X5=0,$AD5,IF(AND($Z5&lt;&gt;"",EDATE($D5,Milestones!$AA$64)&gt;=$Z5),$AC5,IF(AND($Y5&lt;&gt;"",EDATE($D5,Milestones!$AA$64)&gt;=$Y5),$AB5,$AA5)))=Milestones!$AB$64),UPPER(TEXT(EDATE($D5,Milestones!$AA$64),"dd mmm yy"))&amp;" "&amp;Milestones!$AB$64&amp;" "&amp;IF(AND(Milestones!$AB$64="FT",Milestones!$AA$64=FT_Y5,EDATE($D5,Milestones!$AA$64)&lt;PolicyEff),1,Milestones!$AC$64)&amp;";  ","")&amp;IF(AND(EDATE($D5,Milestones!$AA$65)&lt;=AsOfDate,EDATE($D5,Milestones!$AA$65)&gt;=SchemeStart,IF($X5=0,$AD5,IF(AND($Z5&lt;&gt;"",EDATE($D5,Milestones!$AA$65)&gt;=$Z5),$AC5,IF(AND($Y5&lt;&gt;"",EDATE($D5,Milestones!$AA$65)&gt;=$Y5),$AB5,$AA5)))=Milestones!$AB$65),UPPER(TEXT(EDATE($D5,Milestones!$AA$65),"dd mmm yy"))&amp;" "&amp;Milestones!$AB$65&amp;" "&amp;IF(AND(Milestones!$AB$65="FT",Milestones!$AA$65=FT_Y5,EDATE($D5,Milestones!$AA$65)&lt;PolicyEff),1,Milestones!$AC$65)&amp;";  ","")&amp;IF(AND(EDATE($D5,Milestones!$AA$66)&lt;=AsOfDate,EDATE($D5,Milestones!$AA$66)&gt;=SchemeStart,IF($X5=0,$AD5,IF(AND($Z5&lt;&gt;"",EDATE($D5,Milestones!$AA$66)&gt;=$Z5),$AC5,IF(AND($Y5&lt;&gt;"",EDATE($D5,Milestones!$AA$66)&gt;=$Y5),$AB5,$AA5)))=Milestones!$AB$66),UPPER(TEXT(EDATE($D5,Milestones!$AA$66),"dd mmm yy"))&amp;" "&amp;Milestones!$AB$66&amp;" "&amp;IF(AND(Milestones!$AB$66="FT",Milestones!$AA$66=FT_Y5,EDATE($D5,Milestones!$AA$66)&lt;PolicyEff),1,Milestones!$AC$66)&amp;";  ","")&amp;IF(AND(EDATE($D5,Milestones!$AA$67)&lt;=AsOfDate,EDATE($D5,Milestones!$AA$67)&gt;=SchemeStart,IF($X5=0,$AD5,IF(AND($Z5&lt;&gt;"",EDATE($D5,Milestones!$AA$67)&gt;=$Z5),$AC5,IF(AND($Y5&lt;&gt;"",EDATE($D5,Milestones!$AA$67)&gt;=$Y5),$AB5,$AA5)))=Milestones!$AB$67),UPPER(TEXT(EDATE($D5,Milestones!$AA$67),"dd mmm yy"))&amp;" "&amp;Milestones!$AB$67&amp;" "&amp;IF(AND(Milestones!$AB$67="FT",Milestones!$AA$67=FT_Y5,EDATE($D5,Milestones!$AA$67)&lt;PolicyEff),1,Milestones!$AC$67)&amp;";  ",""))</f>
        <v/>
      </c>
      <c r="M5" s="0" t="str">
        <f aca="false">IF(OR($A5="",$D5=""),"",IF(AND(EDATE($D5,Milestones!$AA$68)&lt;=AsOfDate,EDATE($D5,Milestones!$AA$68)&gt;=SchemeStart,IF($X5=0,$AD5,IF(AND($Z5&lt;&gt;"",EDATE($D5,Milestones!$AA$68)&gt;=$Z5),$AC5,IF(AND($Y5&lt;&gt;"",EDATE($D5,Milestones!$AA$68)&gt;=$Y5),$AB5,$AA5)))=Milestones!$AB$68),UPPER(TEXT(EDATE($D5,Milestones!$AA$68),"dd mmm yy"))&amp;" "&amp;Milestones!$AB$68&amp;" "&amp;IF(AND(Milestones!$AB$68="FT",Milestones!$AA$68=FT_Y5,EDATE($D5,Milestones!$AA$68)&lt;PolicyEff),1,Milestones!$AC$68)&amp;";  ","")&amp;IF(AND(EDATE($D5,Milestones!$AA$69)&lt;=AsOfDate,EDATE($D5,Milestones!$AA$69)&gt;=SchemeStart,IF($X5=0,$AD5,IF(AND($Z5&lt;&gt;"",EDATE($D5,Milestones!$AA$69)&gt;=$Z5),$AC5,IF(AND($Y5&lt;&gt;"",EDATE($D5,Milestones!$AA$69)&gt;=$Y5),$AB5,$AA5)))=Milestones!$AB$69),UPPER(TEXT(EDATE($D5,Milestones!$AA$69),"dd mmm yy"))&amp;" "&amp;Milestones!$AB$69&amp;" "&amp;IF(AND(Milestones!$AB$69="FT",Milestones!$AA$69=FT_Y5,EDATE($D5,Milestones!$AA$69)&lt;PolicyEff),1,Milestones!$AC$69)&amp;";  ","")&amp;IF(AND(EDATE($D5,Milestones!$AA$70)&lt;=AsOfDate,EDATE($D5,Milestones!$AA$70)&gt;=SchemeStart,IF($X5=0,$AD5,IF(AND($Z5&lt;&gt;"",EDATE($D5,Milestones!$AA$70)&gt;=$Z5),$AC5,IF(AND($Y5&lt;&gt;"",EDATE($D5,Milestones!$AA$70)&gt;=$Y5),$AB5,$AA5)))=Milestones!$AB$70),UPPER(TEXT(EDATE($D5,Milestones!$AA$70),"dd mmm yy"))&amp;" "&amp;Milestones!$AB$70&amp;" "&amp;IF(AND(Milestones!$AB$70="FT",Milestones!$AA$70=FT_Y5,EDATE($D5,Milestones!$AA$70)&lt;PolicyEff),1,Milestones!$AC$70)&amp;";  ","")&amp;IF(AND(EDATE($D5,Milestones!$AA$71)&lt;=AsOfDate,EDATE($D5,Milestones!$AA$71)&gt;=SchemeStart,IF($X5=0,$AD5,IF(AND($Z5&lt;&gt;"",EDATE($D5,Milestones!$AA$71)&gt;=$Z5),$AC5,IF(AND($Y5&lt;&gt;"",EDATE($D5,Milestones!$AA$71)&gt;=$Y5),$AB5,$AA5)))=Milestones!$AB$71),UPPER(TEXT(EDATE($D5,Milestones!$AA$71),"dd mmm yy"))&amp;" "&amp;Milestones!$AB$71&amp;" "&amp;IF(AND(Milestones!$AB$71="FT",Milestones!$AA$71=FT_Y5,EDATE($D5,Milestones!$AA$71)&lt;PolicyEff),1,Milestones!$AC$71)&amp;";  ","")&amp;IF(AND(EDATE($D5,Milestones!$AA$72)&lt;=AsOfDate,EDATE($D5,Milestones!$AA$72)&gt;=SchemeStart,IF($X5=0,$AD5,IF(AND($Z5&lt;&gt;"",EDATE($D5,Milestones!$AA$72)&gt;=$Z5),$AC5,IF(AND($Y5&lt;&gt;"",EDATE($D5,Milestones!$AA$72)&gt;=$Y5),$AB5,$AA5)))=Milestones!$AB$72),UPPER(TEXT(EDATE($D5,Milestones!$AA$72),"dd mmm yy"))&amp;" "&amp;Milestones!$AB$72&amp;" "&amp;IF(AND(Milestones!$AB$72="FT",Milestones!$AA$72=FT_Y5,EDATE($D5,Milestones!$AA$72)&lt;PolicyEff),1,Milestones!$AC$72)&amp;";  ","")&amp;IF(AND(EDATE($D5,Milestones!$AA$73)&lt;=AsOfDate,EDATE($D5,Milestones!$AA$73)&gt;=SchemeStart,IF($X5=0,$AD5,IF(AND($Z5&lt;&gt;"",EDATE($D5,Milestones!$AA$73)&gt;=$Z5),$AC5,IF(AND($Y5&lt;&gt;"",EDATE($D5,Milestones!$AA$73)&gt;=$Y5),$AB5,$AA5)))=Milestones!$AB$73),UPPER(TEXT(EDATE($D5,Milestones!$AA$73),"dd mmm yy"))&amp;" "&amp;Milestones!$AB$73&amp;" "&amp;IF(AND(Milestones!$AB$73="FT",Milestones!$AA$73=FT_Y5,EDATE($D5,Milestones!$AA$73)&lt;PolicyEff),1,Milestones!$AC$73)&amp;";  ","")&amp;IF(AND(EDATE($D5,Milestones!$AA$74)&lt;=AsOfDate,EDATE($D5,Milestones!$AA$74)&gt;=SchemeStart,IF($X5=0,$AD5,IF(AND($Z5&lt;&gt;"",EDATE($D5,Milestones!$AA$74)&gt;=$Z5),$AC5,IF(AND($Y5&lt;&gt;"",EDATE($D5,Milestones!$AA$74)&gt;=$Y5),$AB5,$AA5)))=Milestones!$AB$74),UPPER(TEXT(EDATE($D5,Milestones!$AA$74),"dd mmm yy"))&amp;" "&amp;Milestones!$AB$74&amp;" "&amp;IF(AND(Milestones!$AB$74="FT",Milestones!$AA$74=FT_Y5,EDATE($D5,Milestones!$AA$74)&lt;PolicyEff),1,Milestones!$AC$74)&amp;";  ","")&amp;IF(AND(EDATE($D5,Milestones!$AA$75)&lt;=AsOfDate,EDATE($D5,Milestones!$AA$75)&gt;=SchemeStart,IF($X5=0,$AD5,IF(AND($Z5&lt;&gt;"",EDATE($D5,Milestones!$AA$75)&gt;=$Z5),$AC5,IF(AND($Y5&lt;&gt;"",EDATE($D5,Milestones!$AA$75)&gt;=$Y5),$AB5,$AA5)))=Milestones!$AB$75),UPPER(TEXT(EDATE($D5,Milestones!$AA$75),"dd mmm yy"))&amp;" "&amp;Milestones!$AB$75&amp;" "&amp;IF(AND(Milestones!$AB$75="FT",Milestones!$AA$75=FT_Y5,EDATE($D5,Milestones!$AA$75)&lt;PolicyEff),1,Milestones!$AC$75)&amp;";  ","")&amp;IF(AND(EDATE($D5,Milestones!$AA$76)&lt;=AsOfDate,EDATE($D5,Milestones!$AA$76)&gt;=SchemeStart,IF($X5=0,$AD5,IF(AND($Z5&lt;&gt;"",EDATE($D5,Milestones!$AA$76)&gt;=$Z5),$AC5,IF(AND($Y5&lt;&gt;"",EDATE($D5,Milestones!$AA$76)&gt;=$Y5),$AB5,$AA5)))=Milestones!$AB$76),UPPER(TEXT(EDATE($D5,Milestones!$AA$76),"dd mmm yy"))&amp;" "&amp;Milestones!$AB$76&amp;" "&amp;IF(AND(Milestones!$AB$76="FT",Milestones!$AA$76=FT_Y5,EDATE($D5,Milestones!$AA$76)&lt;PolicyEff),1,Milestones!$AC$76)&amp;";  ","")&amp;IF(AND(EDATE($D5,Milestones!$AA$77)&lt;=AsOfDate,EDATE($D5,Milestones!$AA$77)&gt;=SchemeStart,IF($X5=0,$AD5,IF(AND($Z5&lt;&gt;"",EDATE($D5,Milestones!$AA$77)&gt;=$Z5),$AC5,IF(AND($Y5&lt;&gt;"",EDATE($D5,Milestones!$AA$77)&gt;=$Y5),$AB5,$AA5)))=Milestones!$AB$77),UPPER(TEXT(EDATE($D5,Milestones!$AA$77),"dd mmm yy"))&amp;" "&amp;Milestones!$AB$77&amp;" "&amp;IF(AND(Milestones!$AB$77="FT",Milestones!$AA$77=FT_Y5,EDATE($D5,Milestones!$AA$77)&lt;PolicyEff),1,Milestones!$AC$77)&amp;";  ","")&amp;IF(AND(EDATE($D5,Milestones!$AA$78)&lt;=AsOfDate,EDATE($D5,Milestones!$AA$78)&gt;=SchemeStart,IF($X5=0,$AD5,IF(AND($Z5&lt;&gt;"",EDATE($D5,Milestones!$AA$78)&gt;=$Z5),$AC5,IF(AND($Y5&lt;&gt;"",EDATE($D5,Milestones!$AA$78)&gt;=$Y5),$AB5,$AA5)))=Milestones!$AB$78),UPPER(TEXT(EDATE($D5,Milestones!$AA$78),"dd mmm yy"))&amp;" "&amp;Milestones!$AB$78&amp;" "&amp;IF(AND(Milestones!$AB$78="FT",Milestones!$AA$78=FT_Y5,EDATE($D5,Milestones!$AA$78)&lt;PolicyEff),1,Milestones!$AC$78)&amp;";  ","")&amp;IF(AND(EDATE($D5,Milestones!$AA$79)&lt;=AsOfDate,EDATE($D5,Milestones!$AA$79)&gt;=SchemeStart,IF($X5=0,$AD5,IF(AND($Z5&lt;&gt;"",EDATE($D5,Milestones!$AA$79)&gt;=$Z5),$AC5,IF(AND($Y5&lt;&gt;"",EDATE($D5,Milestones!$AA$79)&gt;=$Y5),$AB5,$AA5)))=Milestones!$AB$79),UPPER(TEXT(EDATE($D5,Milestones!$AA$79),"dd mmm yy"))&amp;" "&amp;Milestones!$AB$79&amp;" "&amp;IF(AND(Milestones!$AB$79="FT",Milestones!$AA$79=FT_Y5,EDATE($D5,Milestones!$AA$79)&lt;PolicyEff),1,Milestones!$AC$79)&amp;";  ",""))</f>
        <v/>
      </c>
      <c r="N5" s="0" t="str">
        <f aca="false">IF(OR($A5="",$D5=""),"",IF(AND(EDATE($D5,Milestones!$AA$80)&lt;=AsOfDate,EDATE($D5,Milestones!$AA$80)&gt;=SchemeStart,IF($X5=0,$AD5,IF(AND($Z5&lt;&gt;"",EDATE($D5,Milestones!$AA$80)&gt;=$Z5),$AC5,IF(AND($Y5&lt;&gt;"",EDATE($D5,Milestones!$AA$80)&gt;=$Y5),$AB5,$AA5)))=Milestones!$AB$80),UPPER(TEXT(EDATE($D5,Milestones!$AA$80),"dd mmm yy"))&amp;" "&amp;Milestones!$AB$80&amp;" "&amp;IF(AND(Milestones!$AB$80="FT",Milestones!$AA$80=FT_Y5,EDATE($D5,Milestones!$AA$80)&lt;PolicyEff),1,Milestones!$AC$80)&amp;";  ","")&amp;IF(AND(EDATE($D5,Milestones!$AA$81)&lt;=AsOfDate,EDATE($D5,Milestones!$AA$81)&gt;=SchemeStart,IF($X5=0,$AD5,IF(AND($Z5&lt;&gt;"",EDATE($D5,Milestones!$AA$81)&gt;=$Z5),$AC5,IF(AND($Y5&lt;&gt;"",EDATE($D5,Milestones!$AA$81)&gt;=$Y5),$AB5,$AA5)))=Milestones!$AB$81),UPPER(TEXT(EDATE($D5,Milestones!$AA$81),"dd mmm yy"))&amp;" "&amp;Milestones!$AB$81&amp;" "&amp;IF(AND(Milestones!$AB$81="FT",Milestones!$AA$81=FT_Y5,EDATE($D5,Milestones!$AA$81)&lt;PolicyEff),1,Milestones!$AC$81)&amp;";  ","")&amp;IF(AND(EDATE($D5,Milestones!$AA$82)&lt;=AsOfDate,EDATE($D5,Milestones!$AA$82)&gt;=SchemeStart,IF($X5=0,$AD5,IF(AND($Z5&lt;&gt;"",EDATE($D5,Milestones!$AA$82)&gt;=$Z5),$AC5,IF(AND($Y5&lt;&gt;"",EDATE($D5,Milestones!$AA$82)&gt;=$Y5),$AB5,$AA5)))=Milestones!$AB$82),UPPER(TEXT(EDATE($D5,Milestones!$AA$82),"dd mmm yy"))&amp;" "&amp;Milestones!$AB$82&amp;" "&amp;IF(AND(Milestones!$AB$82="FT",Milestones!$AA$82=FT_Y5,EDATE($D5,Milestones!$AA$82)&lt;PolicyEff),1,Milestones!$AC$82)&amp;";  ","")&amp;IF(AND(EDATE($D5,Milestones!$AA$83)&lt;=AsOfDate,EDATE($D5,Milestones!$AA$83)&gt;=SchemeStart,IF($X5=0,$AD5,IF(AND($Z5&lt;&gt;"",EDATE($D5,Milestones!$AA$83)&gt;=$Z5),$AC5,IF(AND($Y5&lt;&gt;"",EDATE($D5,Milestones!$AA$83)&gt;=$Y5),$AB5,$AA5)))=Milestones!$AB$83),UPPER(TEXT(EDATE($D5,Milestones!$AA$83),"dd mmm yy"))&amp;" "&amp;Milestones!$AB$83&amp;" "&amp;IF(AND(Milestones!$AB$83="FT",Milestones!$AA$83=FT_Y5,EDATE($D5,Milestones!$AA$83)&lt;PolicyEff),1,Milestones!$AC$83)&amp;";  ","")&amp;IF(AND(EDATE($D5,Milestones!$AA$84)&lt;=AsOfDate,EDATE($D5,Milestones!$AA$84)&gt;=SchemeStart,IF($X5=0,$AD5,IF(AND($Z5&lt;&gt;"",EDATE($D5,Milestones!$AA$84)&gt;=$Z5),$AC5,IF(AND($Y5&lt;&gt;"",EDATE($D5,Milestones!$AA$84)&gt;=$Y5),$AB5,$AA5)))=Milestones!$AB$84),UPPER(TEXT(EDATE($D5,Milestones!$AA$84),"dd mmm yy"))&amp;" "&amp;Milestones!$AB$84&amp;" "&amp;IF(AND(Milestones!$AB$84="FT",Milestones!$AA$84=FT_Y5,EDATE($D5,Milestones!$AA$84)&lt;PolicyEff),1,Milestones!$AC$84)&amp;";  ","")&amp;IF(AND(EDATE($D5,Milestones!$AA$85)&lt;=AsOfDate,EDATE($D5,Milestones!$AA$85)&gt;=SchemeStart,IF($X5=0,$AD5,IF(AND($Z5&lt;&gt;"",EDATE($D5,Milestones!$AA$85)&gt;=$Z5),$AC5,IF(AND($Y5&lt;&gt;"",EDATE($D5,Milestones!$AA$85)&gt;=$Y5),$AB5,$AA5)))=Milestones!$AB$85),UPPER(TEXT(EDATE($D5,Milestones!$AA$85),"dd mmm yy"))&amp;" "&amp;Milestones!$AB$85&amp;" "&amp;IF(AND(Milestones!$AB$85="FT",Milestones!$AA$85=FT_Y5,EDATE($D5,Milestones!$AA$85)&lt;PolicyEff),1,Milestones!$AC$85)&amp;";  ","")&amp;IF(AND(EDATE($D5,Milestones!$AA$86)&lt;=AsOfDate,EDATE($D5,Milestones!$AA$86)&gt;=SchemeStart,IF($X5=0,$AD5,IF(AND($Z5&lt;&gt;"",EDATE($D5,Milestones!$AA$86)&gt;=$Z5),$AC5,IF(AND($Y5&lt;&gt;"",EDATE($D5,Milestones!$AA$86)&gt;=$Y5),$AB5,$AA5)))=Milestones!$AB$86),UPPER(TEXT(EDATE($D5,Milestones!$AA$86),"dd mmm yy"))&amp;" "&amp;Milestones!$AB$86&amp;" "&amp;IF(AND(Milestones!$AB$86="FT",Milestones!$AA$86=FT_Y5,EDATE($D5,Milestones!$AA$86)&lt;PolicyEff),1,Milestones!$AC$86)&amp;";  ","")&amp;IF(AND(EDATE($D5,Milestones!$AA$87)&lt;=AsOfDate,EDATE($D5,Milestones!$AA$87)&gt;=SchemeStart,IF($X5=0,$AD5,IF(AND($Z5&lt;&gt;"",EDATE($D5,Milestones!$AA$87)&gt;=$Z5),$AC5,IF(AND($Y5&lt;&gt;"",EDATE($D5,Milestones!$AA$87)&gt;=$Y5),$AB5,$AA5)))=Milestones!$AB$87),UPPER(TEXT(EDATE($D5,Milestones!$AA$87),"dd mmm yy"))&amp;" "&amp;Milestones!$AB$87&amp;" "&amp;IF(AND(Milestones!$AB$87="FT",Milestones!$AA$87=FT_Y5,EDATE($D5,Milestones!$AA$87)&lt;PolicyEff),1,Milestones!$AC$87)&amp;";  ","")&amp;IF(AND(EDATE($D5,Milestones!$AA$88)&lt;=AsOfDate,EDATE($D5,Milestones!$AA$88)&gt;=SchemeStart,IF($X5=0,$AD5,IF(AND($Z5&lt;&gt;"",EDATE($D5,Milestones!$AA$88)&gt;=$Z5),$AC5,IF(AND($Y5&lt;&gt;"",EDATE($D5,Milestones!$AA$88)&gt;=$Y5),$AB5,$AA5)))=Milestones!$AB$88),UPPER(TEXT(EDATE($D5,Milestones!$AA$88),"dd mmm yy"))&amp;" "&amp;Milestones!$AB$88&amp;" "&amp;IF(AND(Milestones!$AB$88="FT",Milestones!$AA$88=FT_Y5,EDATE($D5,Milestones!$AA$88)&lt;PolicyEff),1,Milestones!$AC$88)&amp;";  ","")&amp;IF(AND(EDATE($D5,Milestones!$AA$89)&lt;=AsOfDate,EDATE($D5,Milestones!$AA$89)&gt;=SchemeStart,IF($X5=0,$AD5,IF(AND($Z5&lt;&gt;"",EDATE($D5,Milestones!$AA$89)&gt;=$Z5),$AC5,IF(AND($Y5&lt;&gt;"",EDATE($D5,Milestones!$AA$89)&gt;=$Y5),$AB5,$AA5)))=Milestones!$AB$89),UPPER(TEXT(EDATE($D5,Milestones!$AA$89),"dd mmm yy"))&amp;" "&amp;Milestones!$AB$89&amp;" "&amp;IF(AND(Milestones!$AB$89="FT",Milestones!$AA$89=FT_Y5,EDATE($D5,Milestones!$AA$89)&lt;PolicyEff),1,Milestones!$AC$89)&amp;";  ","")&amp;IF(AND(EDATE($D5,Milestones!$AA$90)&lt;=AsOfDate,EDATE($D5,Milestones!$AA$90)&gt;=SchemeStart,IF($X5=0,$AD5,IF(AND($Z5&lt;&gt;"",EDATE($D5,Milestones!$AA$90)&gt;=$Z5),$AC5,IF(AND($Y5&lt;&gt;"",EDATE($D5,Milestones!$AA$90)&gt;=$Y5),$AB5,$AA5)))=Milestones!$AB$90),UPPER(TEXT(EDATE($D5,Milestones!$AA$90),"dd mmm yy"))&amp;" "&amp;Milestones!$AB$90&amp;" "&amp;IF(AND(Milestones!$AB$90="FT",Milestones!$AA$90=FT_Y5,EDATE($D5,Milestones!$AA$90)&lt;PolicyEff),1,Milestones!$AC$90)&amp;";  ","")&amp;IF(AND(EDATE($D5,Milestones!$AA$91)&lt;=AsOfDate,EDATE($D5,Milestones!$AA$91)&gt;=SchemeStart,IF($X5=0,$AD5,IF(AND($Z5&lt;&gt;"",EDATE($D5,Milestones!$AA$91)&gt;=$Z5),$AC5,IF(AND($Y5&lt;&gt;"",EDATE($D5,Milestones!$AA$91)&gt;=$Y5),$AB5,$AA5)))=Milestones!$AB$91),UPPER(TEXT(EDATE($D5,Milestones!$AA$91),"dd mmm yy"))&amp;" "&amp;Milestones!$AB$91&amp;" "&amp;IF(AND(Milestones!$AB$91="FT",Milestones!$AA$91=FT_Y5,EDATE($D5,Milestones!$AA$91)&lt;PolicyEff),1,Milestones!$AC$91)&amp;";  ",""))</f>
        <v/>
      </c>
      <c r="O5" s="0" t="str">
        <f aca="false">IF(OR($A5="",$D5=""),"",IF(AND(EDATE($D5,Milestones!$AA$92)&lt;=AsOfDate,EDATE($D5,Milestones!$AA$92)&gt;=SchemeStart,IF($X5=0,$AD5,IF(AND($Z5&lt;&gt;"",EDATE($D5,Milestones!$AA$92)&gt;=$Z5),$AC5,IF(AND($Y5&lt;&gt;"",EDATE($D5,Milestones!$AA$92)&gt;=$Y5),$AB5,$AA5)))=Milestones!$AB$92),UPPER(TEXT(EDATE($D5,Milestones!$AA$92),"dd mmm yy"))&amp;" "&amp;Milestones!$AB$92&amp;" "&amp;IF(AND(Milestones!$AB$92="FT",Milestones!$AA$92=FT_Y5,EDATE($D5,Milestones!$AA$92)&lt;PolicyEff),1,Milestones!$AC$92)&amp;";  ","")&amp;IF(AND(EDATE($D5,Milestones!$AA$93)&lt;=AsOfDate,EDATE($D5,Milestones!$AA$93)&gt;=SchemeStart,IF($X5=0,$AD5,IF(AND($Z5&lt;&gt;"",EDATE($D5,Milestones!$AA$93)&gt;=$Z5),$AC5,IF(AND($Y5&lt;&gt;"",EDATE($D5,Milestones!$AA$93)&gt;=$Y5),$AB5,$AA5)))=Milestones!$AB$93),UPPER(TEXT(EDATE($D5,Milestones!$AA$93),"dd mmm yy"))&amp;" "&amp;Milestones!$AB$93&amp;" "&amp;IF(AND(Milestones!$AB$93="FT",Milestones!$AA$93=FT_Y5,EDATE($D5,Milestones!$AA$93)&lt;PolicyEff),1,Milestones!$AC$93)&amp;";  ","")&amp;IF(AND(EDATE($D5,Milestones!$AA$94)&lt;=AsOfDate,EDATE($D5,Milestones!$AA$94)&gt;=SchemeStart,IF($X5=0,$AD5,IF(AND($Z5&lt;&gt;"",EDATE($D5,Milestones!$AA$94)&gt;=$Z5),$AC5,IF(AND($Y5&lt;&gt;"",EDATE($D5,Milestones!$AA$94)&gt;=$Y5),$AB5,$AA5)))=Milestones!$AB$94),UPPER(TEXT(EDATE($D5,Milestones!$AA$94),"dd mmm yy"))&amp;" "&amp;Milestones!$AB$94&amp;" "&amp;IF(AND(Milestones!$AB$94="FT",Milestones!$AA$94=FT_Y5,EDATE($D5,Milestones!$AA$94)&lt;PolicyEff),1,Milestones!$AC$94)&amp;";  ","")&amp;IF(AND(EDATE($D5,Milestones!$AA$95)&lt;=AsOfDate,EDATE($D5,Milestones!$AA$95)&gt;=SchemeStart,IF($X5=0,$AD5,IF(AND($Z5&lt;&gt;"",EDATE($D5,Milestones!$AA$95)&gt;=$Z5),$AC5,IF(AND($Y5&lt;&gt;"",EDATE($D5,Milestones!$AA$95)&gt;=$Y5),$AB5,$AA5)))=Milestones!$AB$95),UPPER(TEXT(EDATE($D5,Milestones!$AA$95),"dd mmm yy"))&amp;" "&amp;Milestones!$AB$95&amp;" "&amp;IF(AND(Milestones!$AB$95="FT",Milestones!$AA$95=FT_Y5,EDATE($D5,Milestones!$AA$95)&lt;PolicyEff),1,Milestones!$AC$95)&amp;";  ","")&amp;IF(AND(EDATE($D5,Milestones!$AA$96)&lt;=AsOfDate,EDATE($D5,Milestones!$AA$96)&gt;=SchemeStart,IF($X5=0,$AD5,IF(AND($Z5&lt;&gt;"",EDATE($D5,Milestones!$AA$96)&gt;=$Z5),$AC5,IF(AND($Y5&lt;&gt;"",EDATE($D5,Milestones!$AA$96)&gt;=$Y5),$AB5,$AA5)))=Milestones!$AB$96),UPPER(TEXT(EDATE($D5,Milestones!$AA$96),"dd mmm yy"))&amp;" "&amp;Milestones!$AB$96&amp;" "&amp;IF(AND(Milestones!$AB$96="FT",Milestones!$AA$96=FT_Y5,EDATE($D5,Milestones!$AA$96)&lt;PolicyEff),1,Milestones!$AC$96)&amp;";  ","")&amp;IF(AND(EDATE($D5,Milestones!$AA$97)&lt;=AsOfDate,EDATE($D5,Milestones!$AA$97)&gt;=SchemeStart,IF($X5=0,$AD5,IF(AND($Z5&lt;&gt;"",EDATE($D5,Milestones!$AA$97)&gt;=$Z5),$AC5,IF(AND($Y5&lt;&gt;"",EDATE($D5,Milestones!$AA$97)&gt;=$Y5),$AB5,$AA5)))=Milestones!$AB$97),UPPER(TEXT(EDATE($D5,Milestones!$AA$97),"dd mmm yy"))&amp;" "&amp;Milestones!$AB$97&amp;" "&amp;IF(AND(Milestones!$AB$97="FT",Milestones!$AA$97=FT_Y5,EDATE($D5,Milestones!$AA$97)&lt;PolicyEff),1,Milestones!$AC$97)&amp;";  ","")&amp;IF(AND(EDATE($D5,Milestones!$AA$98)&lt;=AsOfDate,EDATE($D5,Milestones!$AA$98)&gt;=SchemeStart,IF($X5=0,$AD5,IF(AND($Z5&lt;&gt;"",EDATE($D5,Milestones!$AA$98)&gt;=$Z5),$AC5,IF(AND($Y5&lt;&gt;"",EDATE($D5,Milestones!$AA$98)&gt;=$Y5),$AB5,$AA5)))=Milestones!$AB$98),UPPER(TEXT(EDATE($D5,Milestones!$AA$98),"dd mmm yy"))&amp;" "&amp;Milestones!$AB$98&amp;" "&amp;IF(AND(Milestones!$AB$98="FT",Milestones!$AA$98=FT_Y5,EDATE($D5,Milestones!$AA$98)&lt;PolicyEff),1,Milestones!$AC$98)&amp;";  ","")&amp;IF(AND(EDATE($D5,Milestones!$AA$99)&lt;=AsOfDate,EDATE($D5,Milestones!$AA$99)&gt;=SchemeStart,IF($X5=0,$AD5,IF(AND($Z5&lt;&gt;"",EDATE($D5,Milestones!$AA$99)&gt;=$Z5),$AC5,IF(AND($Y5&lt;&gt;"",EDATE($D5,Milestones!$AA$99)&gt;=$Y5),$AB5,$AA5)))=Milestones!$AB$99),UPPER(TEXT(EDATE($D5,Milestones!$AA$99),"dd mmm yy"))&amp;" "&amp;Milestones!$AB$99&amp;" "&amp;IF(AND(Milestones!$AB$99="FT",Milestones!$AA$99=FT_Y5,EDATE($D5,Milestones!$AA$99)&lt;PolicyEff),1,Milestones!$AC$99)&amp;";  ","")&amp;IF(AND(EDATE($D5,Milestones!$AA$100)&lt;=AsOfDate,EDATE($D5,Milestones!$AA$100)&gt;=SchemeStart,IF($X5=0,$AD5,IF(AND($Z5&lt;&gt;"",EDATE($D5,Milestones!$AA$100)&gt;=$Z5),$AC5,IF(AND($Y5&lt;&gt;"",EDATE($D5,Milestones!$AA$100)&gt;=$Y5),$AB5,$AA5)))=Milestones!$AB$100),UPPER(TEXT(EDATE($D5,Milestones!$AA$100),"dd mmm yy"))&amp;" "&amp;Milestones!$AB$100&amp;" "&amp;IF(AND(Milestones!$AB$100="FT",Milestones!$AA$100=FT_Y5,EDATE($D5,Milestones!$AA$100)&lt;PolicyEff),1,Milestones!$AC$100)&amp;";  ","")&amp;IF(AND(EDATE($D5,Milestones!$AA$101)&lt;=AsOfDate,EDATE($D5,Milestones!$AA$101)&gt;=SchemeStart,IF($X5=0,$AD5,IF(AND($Z5&lt;&gt;"",EDATE($D5,Milestones!$AA$101)&gt;=$Z5),$AC5,IF(AND($Y5&lt;&gt;"",EDATE($D5,Milestones!$AA$101)&gt;=$Y5),$AB5,$AA5)))=Milestones!$AB$101),UPPER(TEXT(EDATE($D5,Milestones!$AA$101),"dd mmm yy"))&amp;" "&amp;Milestones!$AB$101&amp;" "&amp;IF(AND(Milestones!$AB$101="FT",Milestones!$AA$101=FT_Y5,EDATE($D5,Milestones!$AA$101)&lt;PolicyEff),1,Milestones!$AC$101)&amp;";  ","")&amp;IF(AND(EDATE($D5,Milestones!$AA$102)&lt;=AsOfDate,EDATE($D5,Milestones!$AA$102)&gt;=SchemeStart,IF($X5=0,$AD5,IF(AND($Z5&lt;&gt;"",EDATE($D5,Milestones!$AA$102)&gt;=$Z5),$AC5,IF(AND($Y5&lt;&gt;"",EDATE($D5,Milestones!$AA$102)&gt;=$Y5),$AB5,$AA5)))=Milestones!$AB$102),UPPER(TEXT(EDATE($D5,Milestones!$AA$102),"dd mmm yy"))&amp;" "&amp;Milestones!$AB$102&amp;" "&amp;IF(AND(Milestones!$AB$102="FT",Milestones!$AA$102=FT_Y5,EDATE($D5,Milestones!$AA$102)&lt;PolicyEff),1,Milestones!$AC$102)&amp;";  ","")&amp;IF(AND(EDATE($D5,Milestones!$AA$103)&lt;=AsOfDate,EDATE($D5,Milestones!$AA$103)&gt;=SchemeStart,IF($X5=0,$AD5,IF(AND($Z5&lt;&gt;"",EDATE($D5,Milestones!$AA$103)&gt;=$Z5),$AC5,IF(AND($Y5&lt;&gt;"",EDATE($D5,Milestones!$AA$103)&gt;=$Y5),$AB5,$AA5)))=Milestones!$AB$103),UPPER(TEXT(EDATE($D5,Milestones!$AA$103),"dd mmm yy"))&amp;" "&amp;Milestones!$AB$103&amp;" "&amp;IF(AND(Milestones!$AB$103="FT",Milestones!$AA$103=FT_Y5,EDATE($D5,Milestones!$AA$103)&lt;PolicyEff),1,Milestones!$AC$103)&amp;";  ",""))</f>
        <v/>
      </c>
      <c r="P5" s="0" t="str">
        <f aca="false">IF(OR($A5="",$D5=""),"",IF(AND(EDATE($D5,Milestones!$AA$104)&lt;=AsOfDate,EDATE($D5,Milestones!$AA$104)&gt;=SchemeStart,IF($X5=0,$AD5,IF(AND($Z5&lt;&gt;"",EDATE($D5,Milestones!$AA$104)&gt;=$Z5),$AC5,IF(AND($Y5&lt;&gt;"",EDATE($D5,Milestones!$AA$104)&gt;=$Y5),$AB5,$AA5)))=Milestones!$AB$104),UPPER(TEXT(EDATE($D5,Milestones!$AA$104),"dd mmm yy"))&amp;" "&amp;Milestones!$AB$104&amp;" "&amp;IF(AND(Milestones!$AB$104="FT",Milestones!$AA$104=FT_Y5,EDATE($D5,Milestones!$AA$104)&lt;PolicyEff),1,Milestones!$AC$104)&amp;";  ","")&amp;IF(AND(EDATE($D5,Milestones!$AA$105)&lt;=AsOfDate,EDATE($D5,Milestones!$AA$105)&gt;=SchemeStart,IF($X5=0,$AD5,IF(AND($Z5&lt;&gt;"",EDATE($D5,Milestones!$AA$105)&gt;=$Z5),$AC5,IF(AND($Y5&lt;&gt;"",EDATE($D5,Milestones!$AA$105)&gt;=$Y5),$AB5,$AA5)))=Milestones!$AB$105),UPPER(TEXT(EDATE($D5,Milestones!$AA$105),"dd mmm yy"))&amp;" "&amp;Milestones!$AB$105&amp;" "&amp;IF(AND(Milestones!$AB$105="FT",Milestones!$AA$105=FT_Y5,EDATE($D5,Milestones!$AA$105)&lt;PolicyEff),1,Milestones!$AC$105)&amp;";  ","")&amp;IF(AND(EDATE($D5,Milestones!$AA$106)&lt;=AsOfDate,EDATE($D5,Milestones!$AA$106)&gt;=SchemeStart,IF($X5=0,$AD5,IF(AND($Z5&lt;&gt;"",EDATE($D5,Milestones!$AA$106)&gt;=$Z5),$AC5,IF(AND($Y5&lt;&gt;"",EDATE($D5,Milestones!$AA$106)&gt;=$Y5),$AB5,$AA5)))=Milestones!$AB$106),UPPER(TEXT(EDATE($D5,Milestones!$AA$106),"dd mmm yy"))&amp;" "&amp;Milestones!$AB$106&amp;" "&amp;IF(AND(Milestones!$AB$106="FT",Milestones!$AA$106=FT_Y5,EDATE($D5,Milestones!$AA$106)&lt;PolicyEff),1,Milestones!$AC$106)&amp;";  ","")&amp;IF(AND(EDATE($D5,Milestones!$AA$107)&lt;=AsOfDate,EDATE($D5,Milestones!$AA$107)&gt;=SchemeStart,IF($X5=0,$AD5,IF(AND($Z5&lt;&gt;"",EDATE($D5,Milestones!$AA$107)&gt;=$Z5),$AC5,IF(AND($Y5&lt;&gt;"",EDATE($D5,Milestones!$AA$107)&gt;=$Y5),$AB5,$AA5)))=Milestones!$AB$107),UPPER(TEXT(EDATE($D5,Milestones!$AA$107),"dd mmm yy"))&amp;" "&amp;Milestones!$AB$107&amp;" "&amp;IF(AND(Milestones!$AB$107="FT",Milestones!$AA$107=FT_Y5,EDATE($D5,Milestones!$AA$107)&lt;PolicyEff),1,Milestones!$AC$107)&amp;";  ","")&amp;IF(AND(EDATE($D5,Milestones!$AA$108)&lt;=AsOfDate,EDATE($D5,Milestones!$AA$108)&gt;=SchemeStart,IF($X5=0,$AD5,IF(AND($Z5&lt;&gt;"",EDATE($D5,Milestones!$AA$108)&gt;=$Z5),$AC5,IF(AND($Y5&lt;&gt;"",EDATE($D5,Milestones!$AA$108)&gt;=$Y5),$AB5,$AA5)))=Milestones!$AB$108),UPPER(TEXT(EDATE($D5,Milestones!$AA$108),"dd mmm yy"))&amp;" "&amp;Milestones!$AB$108&amp;" "&amp;IF(AND(Milestones!$AB$108="FT",Milestones!$AA$108=FT_Y5,EDATE($D5,Milestones!$AA$108)&lt;PolicyEff),1,Milestones!$AC$108)&amp;";  ","")&amp;IF(AND(EDATE($D5,Milestones!$AA$109)&lt;=AsOfDate,EDATE($D5,Milestones!$AA$109)&gt;=SchemeStart,IF($X5=0,$AD5,IF(AND($Z5&lt;&gt;"",EDATE($D5,Milestones!$AA$109)&gt;=$Z5),$AC5,IF(AND($Y5&lt;&gt;"",EDATE($D5,Milestones!$AA$109)&gt;=$Y5),$AB5,$AA5)))=Milestones!$AB$109),UPPER(TEXT(EDATE($D5,Milestones!$AA$109),"dd mmm yy"))&amp;" "&amp;Milestones!$AB$109&amp;" "&amp;IF(AND(Milestones!$AB$109="FT",Milestones!$AA$109=FT_Y5,EDATE($D5,Milestones!$AA$109)&lt;PolicyEff),1,Milestones!$AC$109)&amp;";  ","")&amp;IF(AND(EDATE($D5,Milestones!$AA$110)&lt;=AsOfDate,EDATE($D5,Milestones!$AA$110)&gt;=SchemeStart,IF($X5=0,$AD5,IF(AND($Z5&lt;&gt;"",EDATE($D5,Milestones!$AA$110)&gt;=$Z5),$AC5,IF(AND($Y5&lt;&gt;"",EDATE($D5,Milestones!$AA$110)&gt;=$Y5),$AB5,$AA5)))=Milestones!$AB$110),UPPER(TEXT(EDATE($D5,Milestones!$AA$110),"dd mmm yy"))&amp;" "&amp;Milestones!$AB$110&amp;" "&amp;IF(AND(Milestones!$AB$110="FT",Milestones!$AA$110=FT_Y5,EDATE($D5,Milestones!$AA$110)&lt;PolicyEff),1,Milestones!$AC$110)&amp;";  ","")&amp;IF(AND(EDATE($D5,Milestones!$AA$111)&lt;=AsOfDate,EDATE($D5,Milestones!$AA$111)&gt;=SchemeStart,IF($X5=0,$AD5,IF(AND($Z5&lt;&gt;"",EDATE($D5,Milestones!$AA$111)&gt;=$Z5),$AC5,IF(AND($Y5&lt;&gt;"",EDATE($D5,Milestones!$AA$111)&gt;=$Y5),$AB5,$AA5)))=Milestones!$AB$111),UPPER(TEXT(EDATE($D5,Milestones!$AA$111),"dd mmm yy"))&amp;" "&amp;Milestones!$AB$111&amp;" "&amp;IF(AND(Milestones!$AB$111="FT",Milestones!$AA$111=FT_Y5,EDATE($D5,Milestones!$AA$111)&lt;PolicyEff),1,Milestones!$AC$111)&amp;";  ","")&amp;IF(AND(EDATE($D5,Milestones!$AA$112)&lt;=AsOfDate,EDATE($D5,Milestones!$AA$112)&gt;=SchemeStart,IF($X5=0,$AD5,IF(AND($Z5&lt;&gt;"",EDATE($D5,Milestones!$AA$112)&gt;=$Z5),$AC5,IF(AND($Y5&lt;&gt;"",EDATE($D5,Milestones!$AA$112)&gt;=$Y5),$AB5,$AA5)))=Milestones!$AB$112),UPPER(TEXT(EDATE($D5,Milestones!$AA$112),"dd mmm yy"))&amp;" "&amp;Milestones!$AB$112&amp;" "&amp;IF(AND(Milestones!$AB$112="FT",Milestones!$AA$112=FT_Y5,EDATE($D5,Milestones!$AA$112)&lt;PolicyEff),1,Milestones!$AC$112)&amp;";  ","")&amp;IF(AND(EDATE($D5,Milestones!$AA$113)&lt;=AsOfDate,EDATE($D5,Milestones!$AA$113)&gt;=SchemeStart,IF($X5=0,$AD5,IF(AND($Z5&lt;&gt;"",EDATE($D5,Milestones!$AA$113)&gt;=$Z5),$AC5,IF(AND($Y5&lt;&gt;"",EDATE($D5,Milestones!$AA$113)&gt;=$Y5),$AB5,$AA5)))=Milestones!$AB$113),UPPER(TEXT(EDATE($D5,Milestones!$AA$113),"dd mmm yy"))&amp;" "&amp;Milestones!$AB$113&amp;" "&amp;IF(AND(Milestones!$AB$113="FT",Milestones!$AA$113=FT_Y5,EDATE($D5,Milestones!$AA$113)&lt;PolicyEff),1,Milestones!$AC$113)&amp;";  ","")&amp;IF(AND(EDATE($D5,Milestones!$AA$114)&lt;=AsOfDate,EDATE($D5,Milestones!$AA$114)&gt;=SchemeStart,IF($X5=0,$AD5,IF(AND($Z5&lt;&gt;"",EDATE($D5,Milestones!$AA$114)&gt;=$Z5),$AC5,IF(AND($Y5&lt;&gt;"",EDATE($D5,Milestones!$AA$114)&gt;=$Y5),$AB5,$AA5)))=Milestones!$AB$114),UPPER(TEXT(EDATE($D5,Milestones!$AA$114),"dd mmm yy"))&amp;" "&amp;Milestones!$AB$114&amp;" "&amp;IF(AND(Milestones!$AB$114="FT",Milestones!$AA$114=FT_Y5,EDATE($D5,Milestones!$AA$114)&lt;PolicyEff),1,Milestones!$AC$114)&amp;";  ","")&amp;IF(AND(EDATE($D5,Milestones!$AA$115)&lt;=AsOfDate,EDATE($D5,Milestones!$AA$115)&gt;=SchemeStart,IF($X5=0,$AD5,IF(AND($Z5&lt;&gt;"",EDATE($D5,Milestones!$AA$115)&gt;=$Z5),$AC5,IF(AND($Y5&lt;&gt;"",EDATE($D5,Milestones!$AA$115)&gt;=$Y5),$AB5,$AA5)))=Milestones!$AB$115),UPPER(TEXT(EDATE($D5,Milestones!$AA$115),"dd mmm yy"))&amp;" "&amp;Milestones!$AB$115&amp;" "&amp;IF(AND(Milestones!$AB$115="FT",Milestones!$AA$115=FT_Y5,EDATE($D5,Milestones!$AA$115)&lt;PolicyEff),1,Milestones!$AC$115)&amp;";  ",""))</f>
        <v/>
      </c>
      <c r="Q5" s="0" t="str">
        <f aca="false">IF(OR($A5="",$D5=""),"",IF(AND(EDATE($D5,Milestones!$AA$116)&lt;=AsOfDate,EDATE($D5,Milestones!$AA$116)&gt;=SchemeStart,IF($X5=0,$AD5,IF(AND($Z5&lt;&gt;"",EDATE($D5,Milestones!$AA$116)&gt;=$Z5),$AC5,IF(AND($Y5&lt;&gt;"",EDATE($D5,Milestones!$AA$116)&gt;=$Y5),$AB5,$AA5)))=Milestones!$AB$116),UPPER(TEXT(EDATE($D5,Milestones!$AA$116),"dd mmm yy"))&amp;" "&amp;Milestones!$AB$116&amp;" "&amp;IF(AND(Milestones!$AB$116="FT",Milestones!$AA$116=FT_Y5,EDATE($D5,Milestones!$AA$116)&lt;PolicyEff),1,Milestones!$AC$116)&amp;";  ","")&amp;IF(AND(EDATE($D5,Milestones!$AA$117)&lt;=AsOfDate,EDATE($D5,Milestones!$AA$117)&gt;=SchemeStart,IF($X5=0,$AD5,IF(AND($Z5&lt;&gt;"",EDATE($D5,Milestones!$AA$117)&gt;=$Z5),$AC5,IF(AND($Y5&lt;&gt;"",EDATE($D5,Milestones!$AA$117)&gt;=$Y5),$AB5,$AA5)))=Milestones!$AB$117),UPPER(TEXT(EDATE($D5,Milestones!$AA$117),"dd mmm yy"))&amp;" "&amp;Milestones!$AB$117&amp;" "&amp;IF(AND(Milestones!$AB$117="FT",Milestones!$AA$117=FT_Y5,EDATE($D5,Milestones!$AA$117)&lt;PolicyEff),1,Milestones!$AC$117)&amp;";  ","")&amp;IF(AND(EDATE($D5,Milestones!$AA$118)&lt;=AsOfDate,EDATE($D5,Milestones!$AA$118)&gt;=SchemeStart,IF($X5=0,$AD5,IF(AND($Z5&lt;&gt;"",EDATE($D5,Milestones!$AA$118)&gt;=$Z5),$AC5,IF(AND($Y5&lt;&gt;"",EDATE($D5,Milestones!$AA$118)&gt;=$Y5),$AB5,$AA5)))=Milestones!$AB$118),UPPER(TEXT(EDATE($D5,Milestones!$AA$118),"dd mmm yy"))&amp;" "&amp;Milestones!$AB$118&amp;" "&amp;IF(AND(Milestones!$AB$118="FT",Milestones!$AA$118=FT_Y5,EDATE($D5,Milestones!$AA$118)&lt;PolicyEff),1,Milestones!$AC$118)&amp;";  ","")&amp;IF(AND(EDATE($D5,Milestones!$AA$119)&lt;=AsOfDate,EDATE($D5,Milestones!$AA$119)&gt;=SchemeStart,IF($X5=0,$AD5,IF(AND($Z5&lt;&gt;"",EDATE($D5,Milestones!$AA$119)&gt;=$Z5),$AC5,IF(AND($Y5&lt;&gt;"",EDATE($D5,Milestones!$AA$119)&gt;=$Y5),$AB5,$AA5)))=Milestones!$AB$119),UPPER(TEXT(EDATE($D5,Milestones!$AA$119),"dd mmm yy"))&amp;" "&amp;Milestones!$AB$119&amp;" "&amp;IF(AND(Milestones!$AB$119="FT",Milestones!$AA$119=FT_Y5,EDATE($D5,Milestones!$AA$119)&lt;PolicyEff),1,Milestones!$AC$119)&amp;";  ","")&amp;IF(AND(EDATE($D5,Milestones!$AA$120)&lt;=AsOfDate,EDATE($D5,Milestones!$AA$120)&gt;=SchemeStart,IF($X5=0,$AD5,IF(AND($Z5&lt;&gt;"",EDATE($D5,Milestones!$AA$120)&gt;=$Z5),$AC5,IF(AND($Y5&lt;&gt;"",EDATE($D5,Milestones!$AA$120)&gt;=$Y5),$AB5,$AA5)))=Milestones!$AB$120),UPPER(TEXT(EDATE($D5,Milestones!$AA$120),"dd mmm yy"))&amp;" "&amp;Milestones!$AB$120&amp;" "&amp;IF(AND(Milestones!$AB$120="FT",Milestones!$AA$120=FT_Y5,EDATE($D5,Milestones!$AA$120)&lt;PolicyEff),1,Milestones!$AC$120)&amp;";  ","")&amp;IF(AND(EDATE($D5,Milestones!$AA$121)&lt;=AsOfDate,EDATE($D5,Milestones!$AA$121)&gt;=SchemeStart,IF($X5=0,$AD5,IF(AND($Z5&lt;&gt;"",EDATE($D5,Milestones!$AA$121)&gt;=$Z5),$AC5,IF(AND($Y5&lt;&gt;"",EDATE($D5,Milestones!$AA$121)&gt;=$Y5),$AB5,$AA5)))=Milestones!$AB$121),UPPER(TEXT(EDATE($D5,Milestones!$AA$121),"dd mmm yy"))&amp;" "&amp;Milestones!$AB$121&amp;" "&amp;IF(AND(Milestones!$AB$121="FT",Milestones!$AA$121=FT_Y5,EDATE($D5,Milestones!$AA$121)&lt;PolicyEff),1,Milestones!$AC$121)&amp;";  ","")&amp;IF(AND(EDATE($D5,Milestones!$AA$122)&lt;=AsOfDate,EDATE($D5,Milestones!$AA$122)&gt;=SchemeStart,IF($X5=0,$AD5,IF(AND($Z5&lt;&gt;"",EDATE($D5,Milestones!$AA$122)&gt;=$Z5),$AC5,IF(AND($Y5&lt;&gt;"",EDATE($D5,Milestones!$AA$122)&gt;=$Y5),$AB5,$AA5)))=Milestones!$AB$122),UPPER(TEXT(EDATE($D5,Milestones!$AA$122),"dd mmm yy"))&amp;" "&amp;Milestones!$AB$122&amp;" "&amp;IF(AND(Milestones!$AB$122="FT",Milestones!$AA$122=FT_Y5,EDATE($D5,Milestones!$AA$122)&lt;PolicyEff),1,Milestones!$AC$122)&amp;";  ","")&amp;IF(AND(EDATE($D5,Milestones!$AA$123)&lt;=AsOfDate,EDATE($D5,Milestones!$AA$123)&gt;=SchemeStart,IF($X5=0,$AD5,IF(AND($Z5&lt;&gt;"",EDATE($D5,Milestones!$AA$123)&gt;=$Z5),$AC5,IF(AND($Y5&lt;&gt;"",EDATE($D5,Milestones!$AA$123)&gt;=$Y5),$AB5,$AA5)))=Milestones!$AB$123),UPPER(TEXT(EDATE($D5,Milestones!$AA$123),"dd mmm yy"))&amp;" "&amp;Milestones!$AB$123&amp;" "&amp;IF(AND(Milestones!$AB$123="FT",Milestones!$AA$123=FT_Y5,EDATE($D5,Milestones!$AA$123)&lt;PolicyEff),1,Milestones!$AC$123)&amp;";  ","")&amp;IF(AND(EDATE($D5,Milestones!$AA$124)&lt;=AsOfDate,EDATE($D5,Milestones!$AA$124)&gt;=SchemeStart,IF($X5=0,$AD5,IF(AND($Z5&lt;&gt;"",EDATE($D5,Milestones!$AA$124)&gt;=$Z5),$AC5,IF(AND($Y5&lt;&gt;"",EDATE($D5,Milestones!$AA$124)&gt;=$Y5),$AB5,$AA5)))=Milestones!$AB$124),UPPER(TEXT(EDATE($D5,Milestones!$AA$124),"dd mmm yy"))&amp;" "&amp;Milestones!$AB$124&amp;" "&amp;IF(AND(Milestones!$AB$124="FT",Milestones!$AA$124=FT_Y5,EDATE($D5,Milestones!$AA$124)&lt;PolicyEff),1,Milestones!$AC$124)&amp;";  ","")&amp;IF(AND(EDATE($D5,Milestones!$AA$125)&lt;=AsOfDate,EDATE($D5,Milestones!$AA$125)&gt;=SchemeStart,IF($X5=0,$AD5,IF(AND($Z5&lt;&gt;"",EDATE($D5,Milestones!$AA$125)&gt;=$Z5),$AC5,IF(AND($Y5&lt;&gt;"",EDATE($D5,Milestones!$AA$125)&gt;=$Y5),$AB5,$AA5)))=Milestones!$AB$125),UPPER(TEXT(EDATE($D5,Milestones!$AA$125),"dd mmm yy"))&amp;" "&amp;Milestones!$AB$125&amp;" "&amp;IF(AND(Milestones!$AB$125="FT",Milestones!$AA$125=FT_Y5,EDATE($D5,Milestones!$AA$125)&lt;PolicyEff),1,Milestones!$AC$125)&amp;";  ","")&amp;IF(AND(EDATE($D5,Milestones!$AA$126)&lt;=AsOfDate,EDATE($D5,Milestones!$AA$126)&gt;=SchemeStart,IF($X5=0,$AD5,IF(AND($Z5&lt;&gt;"",EDATE($D5,Milestones!$AA$126)&gt;=$Z5),$AC5,IF(AND($Y5&lt;&gt;"",EDATE($D5,Milestones!$AA$126)&gt;=$Y5),$AB5,$AA5)))=Milestones!$AB$126),UPPER(TEXT(EDATE($D5,Milestones!$AA$126),"dd mmm yy"))&amp;" "&amp;Milestones!$AB$126&amp;" "&amp;IF(AND(Milestones!$AB$126="FT",Milestones!$AA$126=FT_Y5,EDATE($D5,Milestones!$AA$126)&lt;PolicyEff),1,Milestones!$AC$126)&amp;";  ","")&amp;IF(AND(EDATE($D5,Milestones!$AA$127)&lt;=AsOfDate,EDATE($D5,Milestones!$AA$127)&gt;=SchemeStart,IF($X5=0,$AD5,IF(AND($Z5&lt;&gt;"",EDATE($D5,Milestones!$AA$127)&gt;=$Z5),$AC5,IF(AND($Y5&lt;&gt;"",EDATE($D5,Milestones!$AA$127)&gt;=$Y5),$AB5,$AA5)))=Milestones!$AB$127),UPPER(TEXT(EDATE($D5,Milestones!$AA$127),"dd mmm yy"))&amp;" "&amp;Milestones!$AB$127&amp;" "&amp;IF(AND(Milestones!$AB$127="FT",Milestones!$AA$127=FT_Y5,EDATE($D5,Milestones!$AA$127)&lt;PolicyEff),1,Milestones!$AC$127)&amp;";  ",""))</f>
        <v/>
      </c>
      <c r="R5" s="0" t="str">
        <f aca="false">IF(OR($A5="",$D5=""),"",IF(AND(EDATE($D5,Milestones!$AA$128)&lt;=AsOfDate,EDATE($D5,Milestones!$AA$128)&gt;=SchemeStart,IF($X5=0,$AD5,IF(AND($Z5&lt;&gt;"",EDATE($D5,Milestones!$AA$128)&gt;=$Z5),$AC5,IF(AND($Y5&lt;&gt;"",EDATE($D5,Milestones!$AA$128)&gt;=$Y5),$AB5,$AA5)))=Milestones!$AB$128),UPPER(TEXT(EDATE($D5,Milestones!$AA$128),"dd mmm yy"))&amp;" "&amp;Milestones!$AB$128&amp;" "&amp;IF(AND(Milestones!$AB$128="FT",Milestones!$AA$128=FT_Y5,EDATE($D5,Milestones!$AA$128)&lt;PolicyEff),1,Milestones!$AC$128)&amp;";  ","")&amp;IF(AND(EDATE($D5,Milestones!$AA$129)&lt;=AsOfDate,EDATE($D5,Milestones!$AA$129)&gt;=SchemeStart,IF($X5=0,$AD5,IF(AND($Z5&lt;&gt;"",EDATE($D5,Milestones!$AA$129)&gt;=$Z5),$AC5,IF(AND($Y5&lt;&gt;"",EDATE($D5,Milestones!$AA$129)&gt;=$Y5),$AB5,$AA5)))=Milestones!$AB$129),UPPER(TEXT(EDATE($D5,Milestones!$AA$129),"dd mmm yy"))&amp;" "&amp;Milestones!$AB$129&amp;" "&amp;IF(AND(Milestones!$AB$129="FT",Milestones!$AA$129=FT_Y5,EDATE($D5,Milestones!$AA$129)&lt;PolicyEff),1,Milestones!$AC$129)&amp;";  ","")&amp;IF(AND(EDATE($D5,Milestones!$AA$130)&lt;=AsOfDate,EDATE($D5,Milestones!$AA$130)&gt;=SchemeStart,IF($X5=0,$AD5,IF(AND($Z5&lt;&gt;"",EDATE($D5,Milestones!$AA$130)&gt;=$Z5),$AC5,IF(AND($Y5&lt;&gt;"",EDATE($D5,Milestones!$AA$130)&gt;=$Y5),$AB5,$AA5)))=Milestones!$AB$130),UPPER(TEXT(EDATE($D5,Milestones!$AA$130),"dd mmm yy"))&amp;" "&amp;Milestones!$AB$130&amp;" "&amp;IF(AND(Milestones!$AB$130="FT",Milestones!$AA$130=FT_Y5,EDATE($D5,Milestones!$AA$130)&lt;PolicyEff),1,Milestones!$AC$130)&amp;";  ","")&amp;IF(AND(EDATE($D5,Milestones!$AA$131)&lt;=AsOfDate,EDATE($D5,Milestones!$AA$131)&gt;=SchemeStart,IF($X5=0,$AD5,IF(AND($Z5&lt;&gt;"",EDATE($D5,Milestones!$AA$131)&gt;=$Z5),$AC5,IF(AND($Y5&lt;&gt;"",EDATE($D5,Milestones!$AA$131)&gt;=$Y5),$AB5,$AA5)))=Milestones!$AB$131),UPPER(TEXT(EDATE($D5,Milestones!$AA$131),"dd mmm yy"))&amp;" "&amp;Milestones!$AB$131&amp;" "&amp;IF(AND(Milestones!$AB$131="FT",Milestones!$AA$131=FT_Y5,EDATE($D5,Milestones!$AA$131)&lt;PolicyEff),1,Milestones!$AC$131)&amp;";  ","")&amp;IF(AND(EDATE($D5,Milestones!$AA$132)&lt;=AsOfDate,EDATE($D5,Milestones!$AA$132)&gt;=SchemeStart,IF($X5=0,$AD5,IF(AND($Z5&lt;&gt;"",EDATE($D5,Milestones!$AA$132)&gt;=$Z5),$AC5,IF(AND($Y5&lt;&gt;"",EDATE($D5,Milestones!$AA$132)&gt;=$Y5),$AB5,$AA5)))=Milestones!$AB$132),UPPER(TEXT(EDATE($D5,Milestones!$AA$132),"dd mmm yy"))&amp;" "&amp;Milestones!$AB$132&amp;" "&amp;IF(AND(Milestones!$AB$132="FT",Milestones!$AA$132=FT_Y5,EDATE($D5,Milestones!$AA$132)&lt;PolicyEff),1,Milestones!$AC$132)&amp;";  ","")&amp;IF(AND(EDATE($D5,Milestones!$AA$133)&lt;=AsOfDate,EDATE($D5,Milestones!$AA$133)&gt;=SchemeStart,IF($X5=0,$AD5,IF(AND($Z5&lt;&gt;"",EDATE($D5,Milestones!$AA$133)&gt;=$Z5),$AC5,IF(AND($Y5&lt;&gt;"",EDATE($D5,Milestones!$AA$133)&gt;=$Y5),$AB5,$AA5)))=Milestones!$AB$133),UPPER(TEXT(EDATE($D5,Milestones!$AA$133),"dd mmm yy"))&amp;" "&amp;Milestones!$AB$133&amp;" "&amp;IF(AND(Milestones!$AB$133="FT",Milestones!$AA$133=FT_Y5,EDATE($D5,Milestones!$AA$133)&lt;PolicyEff),1,Milestones!$AC$133)&amp;";  ","")&amp;IF(AND(EDATE($D5,Milestones!$AA$134)&lt;=AsOfDate,EDATE($D5,Milestones!$AA$134)&gt;=SchemeStart,IF($X5=0,$AD5,IF(AND($Z5&lt;&gt;"",EDATE($D5,Milestones!$AA$134)&gt;=$Z5),$AC5,IF(AND($Y5&lt;&gt;"",EDATE($D5,Milestones!$AA$134)&gt;=$Y5),$AB5,$AA5)))=Milestones!$AB$134),UPPER(TEXT(EDATE($D5,Milestones!$AA$134),"dd mmm yy"))&amp;" "&amp;Milestones!$AB$134&amp;" "&amp;IF(AND(Milestones!$AB$134="FT",Milestones!$AA$134=FT_Y5,EDATE($D5,Milestones!$AA$134)&lt;PolicyEff),1,Milestones!$AC$134)&amp;";  ","")&amp;IF(AND(EDATE($D5,Milestones!$AA$135)&lt;=AsOfDate,EDATE($D5,Milestones!$AA$135)&gt;=SchemeStart,IF($X5=0,$AD5,IF(AND($Z5&lt;&gt;"",EDATE($D5,Milestones!$AA$135)&gt;=$Z5),$AC5,IF(AND($Y5&lt;&gt;"",EDATE($D5,Milestones!$AA$135)&gt;=$Y5),$AB5,$AA5)))=Milestones!$AB$135),UPPER(TEXT(EDATE($D5,Milestones!$AA$135),"dd mmm yy"))&amp;" "&amp;Milestones!$AB$135&amp;" "&amp;IF(AND(Milestones!$AB$135="FT",Milestones!$AA$135=FT_Y5,EDATE($D5,Milestones!$AA$135)&lt;PolicyEff),1,Milestones!$AC$135)&amp;";  ","")&amp;IF(AND(EDATE($D5,Milestones!$AA$136)&lt;=AsOfDate,EDATE($D5,Milestones!$AA$136)&gt;=SchemeStart,IF($X5=0,$AD5,IF(AND($Z5&lt;&gt;"",EDATE($D5,Milestones!$AA$136)&gt;=$Z5),$AC5,IF(AND($Y5&lt;&gt;"",EDATE($D5,Milestones!$AA$136)&gt;=$Y5),$AB5,$AA5)))=Milestones!$AB$136),UPPER(TEXT(EDATE($D5,Milestones!$AA$136),"dd mmm yy"))&amp;" "&amp;Milestones!$AB$136&amp;" "&amp;IF(AND(Milestones!$AB$136="FT",Milestones!$AA$136=FT_Y5,EDATE($D5,Milestones!$AA$136)&lt;PolicyEff),1,Milestones!$AC$136)&amp;";  ","")&amp;IF(AND(EDATE($D5,Milestones!$AA$137)&lt;=AsOfDate,EDATE($D5,Milestones!$AA$137)&gt;=SchemeStart,IF($X5=0,$AD5,IF(AND($Z5&lt;&gt;"",EDATE($D5,Milestones!$AA$137)&gt;=$Z5),$AC5,IF(AND($Y5&lt;&gt;"",EDATE($D5,Milestones!$AA$137)&gt;=$Y5),$AB5,$AA5)))=Milestones!$AB$137),UPPER(TEXT(EDATE($D5,Milestones!$AA$137),"dd mmm yy"))&amp;" "&amp;Milestones!$AB$137&amp;" "&amp;IF(AND(Milestones!$AB$137="FT",Milestones!$AA$137=FT_Y5,EDATE($D5,Milestones!$AA$137)&lt;PolicyEff),1,Milestones!$AC$137)&amp;";  ","")&amp;IF(AND(EDATE($D5,Milestones!$AA$138)&lt;=AsOfDate,EDATE($D5,Milestones!$AA$138)&gt;=SchemeStart,IF($X5=0,$AD5,IF(AND($Z5&lt;&gt;"",EDATE($D5,Milestones!$AA$138)&gt;=$Z5),$AC5,IF(AND($Y5&lt;&gt;"",EDATE($D5,Milestones!$AA$138)&gt;=$Y5),$AB5,$AA5)))=Milestones!$AB$138),UPPER(TEXT(EDATE($D5,Milestones!$AA$138),"dd mmm yy"))&amp;" "&amp;Milestones!$AB$138&amp;" "&amp;IF(AND(Milestones!$AB$138="FT",Milestones!$AA$138=FT_Y5,EDATE($D5,Milestones!$AA$138)&lt;PolicyEff),1,Milestones!$AC$138)&amp;";  ","")&amp;IF(AND(EDATE($D5,Milestones!$AA$139)&lt;=AsOfDate,EDATE($D5,Milestones!$AA$139)&gt;=SchemeStart,IF($X5=0,$AD5,IF(AND($Z5&lt;&gt;"",EDATE($D5,Milestones!$AA$139)&gt;=$Z5),$AC5,IF(AND($Y5&lt;&gt;"",EDATE($D5,Milestones!$AA$139)&gt;=$Y5),$AB5,$AA5)))=Milestones!$AB$139),UPPER(TEXT(EDATE($D5,Milestones!$AA$139),"dd mmm yy"))&amp;" "&amp;Milestones!$AB$139&amp;" "&amp;IF(AND(Milestones!$AB$139="FT",Milestones!$AA$139=FT_Y5,EDATE($D5,Milestones!$AA$139)&lt;PolicyEff),1,Milestones!$AC$139)&amp;";  ",""))</f>
        <v/>
      </c>
      <c r="S5" s="0" t="str">
        <f aca="false">IF(OR($A5="",$D5=""),"",IF(AND(EDATE($D5,Milestones!$AA$140)&lt;=AsOfDate,EDATE($D5,Milestones!$AA$140)&gt;=SchemeStart,IF($X5=0,$AD5,IF(AND($Z5&lt;&gt;"",EDATE($D5,Milestones!$AA$140)&gt;=$Z5),$AC5,IF(AND($Y5&lt;&gt;"",EDATE($D5,Milestones!$AA$140)&gt;=$Y5),$AB5,$AA5)))=Milestones!$AB$140),UPPER(TEXT(EDATE($D5,Milestones!$AA$140),"dd mmm yy"))&amp;" "&amp;Milestones!$AB$140&amp;" "&amp;IF(AND(Milestones!$AB$140="FT",Milestones!$AA$140=FT_Y5,EDATE($D5,Milestones!$AA$140)&lt;PolicyEff),1,Milestones!$AC$140)&amp;";  ","")&amp;IF(AND(EDATE($D5,Milestones!$AA$141)&lt;=AsOfDate,EDATE($D5,Milestones!$AA$141)&gt;=SchemeStart,IF($X5=0,$AD5,IF(AND($Z5&lt;&gt;"",EDATE($D5,Milestones!$AA$141)&gt;=$Z5),$AC5,IF(AND($Y5&lt;&gt;"",EDATE($D5,Milestones!$AA$141)&gt;=$Y5),$AB5,$AA5)))=Milestones!$AB$141),UPPER(TEXT(EDATE($D5,Milestones!$AA$141),"dd mmm yy"))&amp;" "&amp;Milestones!$AB$141&amp;" "&amp;IF(AND(Milestones!$AB$141="FT",Milestones!$AA$141=FT_Y5,EDATE($D5,Milestones!$AA$141)&lt;PolicyEff),1,Milestones!$AC$141)&amp;";  ","")&amp;IF(AND(EDATE($D5,Milestones!$AA$142)&lt;=AsOfDate,EDATE($D5,Milestones!$AA$142)&gt;=SchemeStart,IF($X5=0,$AD5,IF(AND($Z5&lt;&gt;"",EDATE($D5,Milestones!$AA$142)&gt;=$Z5),$AC5,IF(AND($Y5&lt;&gt;"",EDATE($D5,Milestones!$AA$142)&gt;=$Y5),$AB5,$AA5)))=Milestones!$AB$142),UPPER(TEXT(EDATE($D5,Milestones!$AA$142),"dd mmm yy"))&amp;" "&amp;Milestones!$AB$142&amp;" "&amp;IF(AND(Milestones!$AB$142="FT",Milestones!$AA$142=FT_Y5,EDATE($D5,Milestones!$AA$142)&lt;PolicyEff),1,Milestones!$AC$142)&amp;";  ","")&amp;IF(AND(EDATE($D5,Milestones!$AA$143)&lt;=AsOfDate,EDATE($D5,Milestones!$AA$143)&gt;=SchemeStart,IF($X5=0,$AD5,IF(AND($Z5&lt;&gt;"",EDATE($D5,Milestones!$AA$143)&gt;=$Z5),$AC5,IF(AND($Y5&lt;&gt;"",EDATE($D5,Milestones!$AA$143)&gt;=$Y5),$AB5,$AA5)))=Milestones!$AB$143),UPPER(TEXT(EDATE($D5,Milestones!$AA$143),"dd mmm yy"))&amp;" "&amp;Milestones!$AB$143&amp;" "&amp;IF(AND(Milestones!$AB$143="FT",Milestones!$AA$143=FT_Y5,EDATE($D5,Milestones!$AA$143)&lt;PolicyEff),1,Milestones!$AC$143)&amp;";  ","")&amp;IF(AND(EDATE($D5,Milestones!$AA$144)&lt;=AsOfDate,EDATE($D5,Milestones!$AA$144)&gt;=SchemeStart,IF($X5=0,$AD5,IF(AND($Z5&lt;&gt;"",EDATE($D5,Milestones!$AA$144)&gt;=$Z5),$AC5,IF(AND($Y5&lt;&gt;"",EDATE($D5,Milestones!$AA$144)&gt;=$Y5),$AB5,$AA5)))=Milestones!$AB$144),UPPER(TEXT(EDATE($D5,Milestones!$AA$144),"dd mmm yy"))&amp;" "&amp;Milestones!$AB$144&amp;" "&amp;IF(AND(Milestones!$AB$144="FT",Milestones!$AA$144=FT_Y5,EDATE($D5,Milestones!$AA$144)&lt;PolicyEff),1,Milestones!$AC$144)&amp;";  ","")&amp;IF(AND(EDATE($D5,Milestones!$AA$145)&lt;=AsOfDate,EDATE($D5,Milestones!$AA$145)&gt;=SchemeStart,IF($X5=0,$AD5,IF(AND($Z5&lt;&gt;"",EDATE($D5,Milestones!$AA$145)&gt;=$Z5),$AC5,IF(AND($Y5&lt;&gt;"",EDATE($D5,Milestones!$AA$145)&gt;=$Y5),$AB5,$AA5)))=Milestones!$AB$145),UPPER(TEXT(EDATE($D5,Milestones!$AA$145),"dd mmm yy"))&amp;" "&amp;Milestones!$AB$145&amp;" "&amp;IF(AND(Milestones!$AB$145="FT",Milestones!$AA$145=FT_Y5,EDATE($D5,Milestones!$AA$145)&lt;PolicyEff),1,Milestones!$AC$145)&amp;";  ","")&amp;IF(AND(EDATE($D5,Milestones!$AA$146)&lt;=AsOfDate,EDATE($D5,Milestones!$AA$146)&gt;=SchemeStart,IF($X5=0,$AD5,IF(AND($Z5&lt;&gt;"",EDATE($D5,Milestones!$AA$146)&gt;=$Z5),$AC5,IF(AND($Y5&lt;&gt;"",EDATE($D5,Milestones!$AA$146)&gt;=$Y5),$AB5,$AA5)))=Milestones!$AB$146),UPPER(TEXT(EDATE($D5,Milestones!$AA$146),"dd mmm yy"))&amp;" "&amp;Milestones!$AB$146&amp;" "&amp;IF(AND(Milestones!$AB$146="FT",Milestones!$AA$146=FT_Y5,EDATE($D5,Milestones!$AA$146)&lt;PolicyEff),1,Milestones!$AC$146)&amp;";  ","")&amp;IF(AND(EDATE($D5,Milestones!$AA$147)&lt;=AsOfDate,EDATE($D5,Milestones!$AA$147)&gt;=SchemeStart,IF($X5=0,$AD5,IF(AND($Z5&lt;&gt;"",EDATE($D5,Milestones!$AA$147)&gt;=$Z5),$AC5,IF(AND($Y5&lt;&gt;"",EDATE($D5,Milestones!$AA$147)&gt;=$Y5),$AB5,$AA5)))=Milestones!$AB$147),UPPER(TEXT(EDATE($D5,Milestones!$AA$147),"dd mmm yy"))&amp;" "&amp;Milestones!$AB$147&amp;" "&amp;IF(AND(Milestones!$AB$147="FT",Milestones!$AA$147=FT_Y5,EDATE($D5,Milestones!$AA$147)&lt;PolicyEff),1,Milestones!$AC$147)&amp;";  ","")&amp;IF(AND(EDATE($D5,Milestones!$AA$148)&lt;=AsOfDate,EDATE($D5,Milestones!$AA$148)&gt;=SchemeStart,IF($X5=0,$AD5,IF(AND($Z5&lt;&gt;"",EDATE($D5,Milestones!$AA$148)&gt;=$Z5),$AC5,IF(AND($Y5&lt;&gt;"",EDATE($D5,Milestones!$AA$148)&gt;=$Y5),$AB5,$AA5)))=Milestones!$AB$148),UPPER(TEXT(EDATE($D5,Milestones!$AA$148),"dd mmm yy"))&amp;" "&amp;Milestones!$AB$148&amp;" "&amp;IF(AND(Milestones!$AB$148="FT",Milestones!$AA$148=FT_Y5,EDATE($D5,Milestones!$AA$148)&lt;PolicyEff),1,Milestones!$AC$148)&amp;";  ","")&amp;IF(AND(EDATE($D5,Milestones!$AA$149)&lt;=AsOfDate,EDATE($D5,Milestones!$AA$149)&gt;=SchemeStart,IF($X5=0,$AD5,IF(AND($Z5&lt;&gt;"",EDATE($D5,Milestones!$AA$149)&gt;=$Z5),$AC5,IF(AND($Y5&lt;&gt;"",EDATE($D5,Milestones!$AA$149)&gt;=$Y5),$AB5,$AA5)))=Milestones!$AB$149),UPPER(TEXT(EDATE($D5,Milestones!$AA$149),"dd mmm yy"))&amp;" "&amp;Milestones!$AB$149&amp;" "&amp;IF(AND(Milestones!$AB$149="FT",Milestones!$AA$149=FT_Y5,EDATE($D5,Milestones!$AA$149)&lt;PolicyEff),1,Milestones!$AC$149)&amp;";  ","")&amp;IF(AND(EDATE($D5,Milestones!$AA$150)&lt;=AsOfDate,EDATE($D5,Milestones!$AA$150)&gt;=SchemeStart,IF($X5=0,$AD5,IF(AND($Z5&lt;&gt;"",EDATE($D5,Milestones!$AA$150)&gt;=$Z5),$AC5,IF(AND($Y5&lt;&gt;"",EDATE($D5,Milestones!$AA$150)&gt;=$Y5),$AB5,$AA5)))=Milestones!$AB$150),UPPER(TEXT(EDATE($D5,Milestones!$AA$150),"dd mmm yy"))&amp;" "&amp;Milestones!$AB$150&amp;" "&amp;IF(AND(Milestones!$AB$150="FT",Milestones!$AA$150=FT_Y5,EDATE($D5,Milestones!$AA$150)&lt;PolicyEff),1,Milestones!$AC$150)&amp;";  ","")&amp;IF(AND(EDATE($D5,Milestones!$AA$151)&lt;=AsOfDate,EDATE($D5,Milestones!$AA$151)&gt;=SchemeStart,IF($X5=0,$AD5,IF(AND($Z5&lt;&gt;"",EDATE($D5,Milestones!$AA$151)&gt;=$Z5),$AC5,IF(AND($Y5&lt;&gt;"",EDATE($D5,Milestones!$AA$151)&gt;=$Y5),$AB5,$AA5)))=Milestones!$AB$151),UPPER(TEXT(EDATE($D5,Milestones!$AA$151),"dd mmm yy"))&amp;" "&amp;Milestones!$AB$151&amp;" "&amp;IF(AND(Milestones!$AB$151="FT",Milestones!$AA$151=FT_Y5,EDATE($D5,Milestones!$AA$151)&lt;PolicyEff),1,Milestones!$AC$151)&amp;";  ",""))</f>
        <v/>
      </c>
      <c r="T5" s="0" t="str">
        <f aca="false">IF(OR($A5="",$D5=""),"",IF(AND(EDATE($D5,Milestones!$AA$152)&lt;=AsOfDate,EDATE($D5,Milestones!$AA$152)&gt;=SchemeStart,IF($X5=0,$AD5,IF(AND($Z5&lt;&gt;"",EDATE($D5,Milestones!$AA$152)&gt;=$Z5),$AC5,IF(AND($Y5&lt;&gt;"",EDATE($D5,Milestones!$AA$152)&gt;=$Y5),$AB5,$AA5)))=Milestones!$AB$152),UPPER(TEXT(EDATE($D5,Milestones!$AA$152),"dd mmm yy"))&amp;" "&amp;Milestones!$AB$152&amp;" "&amp;IF(AND(Milestones!$AB$152="FT",Milestones!$AA$152=FT_Y5,EDATE($D5,Milestones!$AA$152)&lt;PolicyEff),1,Milestones!$AC$152)&amp;";  ","")&amp;IF(AND(EDATE($D5,Milestones!$AA$153)&lt;=AsOfDate,EDATE($D5,Milestones!$AA$153)&gt;=SchemeStart,IF($X5=0,$AD5,IF(AND($Z5&lt;&gt;"",EDATE($D5,Milestones!$AA$153)&gt;=$Z5),$AC5,IF(AND($Y5&lt;&gt;"",EDATE($D5,Milestones!$AA$153)&gt;=$Y5),$AB5,$AA5)))=Milestones!$AB$153),UPPER(TEXT(EDATE($D5,Milestones!$AA$153),"dd mmm yy"))&amp;" "&amp;Milestones!$AB$153&amp;" "&amp;IF(AND(Milestones!$AB$153="FT",Milestones!$AA$153=FT_Y5,EDATE($D5,Milestones!$AA$153)&lt;PolicyEff),1,Milestones!$AC$153)&amp;";  ","")&amp;IF(AND(EDATE($D5,Milestones!$AA$154)&lt;=AsOfDate,EDATE($D5,Milestones!$AA$154)&gt;=SchemeStart,IF($X5=0,$AD5,IF(AND($Z5&lt;&gt;"",EDATE($D5,Milestones!$AA$154)&gt;=$Z5),$AC5,IF(AND($Y5&lt;&gt;"",EDATE($D5,Milestones!$AA$154)&gt;=$Y5),$AB5,$AA5)))=Milestones!$AB$154),UPPER(TEXT(EDATE($D5,Milestones!$AA$154),"dd mmm yy"))&amp;" "&amp;Milestones!$AB$154&amp;" "&amp;IF(AND(Milestones!$AB$154="FT",Milestones!$AA$154=FT_Y5,EDATE($D5,Milestones!$AA$154)&lt;PolicyEff),1,Milestones!$AC$154)&amp;";  ","")&amp;IF(AND(EDATE($D5,Milestones!$AA$155)&lt;=AsOfDate,EDATE($D5,Milestones!$AA$155)&gt;=SchemeStart,IF($X5=0,$AD5,IF(AND($Z5&lt;&gt;"",EDATE($D5,Milestones!$AA$155)&gt;=$Z5),$AC5,IF(AND($Y5&lt;&gt;"",EDATE($D5,Milestones!$AA$155)&gt;=$Y5),$AB5,$AA5)))=Milestones!$AB$155),UPPER(TEXT(EDATE($D5,Milestones!$AA$155),"dd mmm yy"))&amp;" "&amp;Milestones!$AB$155&amp;" "&amp;IF(AND(Milestones!$AB$155="FT",Milestones!$AA$155=FT_Y5,EDATE($D5,Milestones!$AA$155)&lt;PolicyEff),1,Milestones!$AC$155)&amp;";  ","")&amp;IF(AND(EDATE($D5,Milestones!$AA$156)&lt;=AsOfDate,EDATE($D5,Milestones!$AA$156)&gt;=SchemeStart,IF($X5=0,$AD5,IF(AND($Z5&lt;&gt;"",EDATE($D5,Milestones!$AA$156)&gt;=$Z5),$AC5,IF(AND($Y5&lt;&gt;"",EDATE($D5,Milestones!$AA$156)&gt;=$Y5),$AB5,$AA5)))=Milestones!$AB$156),UPPER(TEXT(EDATE($D5,Milestones!$AA$156),"dd mmm yy"))&amp;" "&amp;Milestones!$AB$156&amp;" "&amp;IF(AND(Milestones!$AB$156="FT",Milestones!$AA$156=FT_Y5,EDATE($D5,Milestones!$AA$156)&lt;PolicyEff),1,Milestones!$AC$156)&amp;";  ","")&amp;IF(AND(EDATE($D5,Milestones!$AA$157)&lt;=AsOfDate,EDATE($D5,Milestones!$AA$157)&gt;=SchemeStart,IF($X5=0,$AD5,IF(AND($Z5&lt;&gt;"",EDATE($D5,Milestones!$AA$157)&gt;=$Z5),$AC5,IF(AND($Y5&lt;&gt;"",EDATE($D5,Milestones!$AA$157)&gt;=$Y5),$AB5,$AA5)))=Milestones!$AB$157),UPPER(TEXT(EDATE($D5,Milestones!$AA$157),"dd mmm yy"))&amp;" "&amp;Milestones!$AB$157&amp;" "&amp;IF(AND(Milestones!$AB$157="FT",Milestones!$AA$157=FT_Y5,EDATE($D5,Milestones!$AA$157)&lt;PolicyEff),1,Milestones!$AC$157)&amp;";  ","")&amp;IF(AND(EDATE($D5,Milestones!$AA$158)&lt;=AsOfDate,EDATE($D5,Milestones!$AA$158)&gt;=SchemeStart,IF($X5=0,$AD5,IF(AND($Z5&lt;&gt;"",EDATE($D5,Milestones!$AA$158)&gt;=$Z5),$AC5,IF(AND($Y5&lt;&gt;"",EDATE($D5,Milestones!$AA$158)&gt;=$Y5),$AB5,$AA5)))=Milestones!$AB$158),UPPER(TEXT(EDATE($D5,Milestones!$AA$158),"dd mmm yy"))&amp;" "&amp;Milestones!$AB$158&amp;" "&amp;IF(AND(Milestones!$AB$158="FT",Milestones!$AA$158=FT_Y5,EDATE($D5,Milestones!$AA$158)&lt;PolicyEff),1,Milestones!$AC$158)&amp;";  ","")&amp;IF(AND(EDATE($D5,Milestones!$AA$159)&lt;=AsOfDate,EDATE($D5,Milestones!$AA$159)&gt;=SchemeStart,IF($X5=0,$AD5,IF(AND($Z5&lt;&gt;"",EDATE($D5,Milestones!$AA$159)&gt;=$Z5),$AC5,IF(AND($Y5&lt;&gt;"",EDATE($D5,Milestones!$AA$159)&gt;=$Y5),$AB5,$AA5)))=Milestones!$AB$159),UPPER(TEXT(EDATE($D5,Milestones!$AA$159),"dd mmm yy"))&amp;" "&amp;Milestones!$AB$159&amp;" "&amp;IF(AND(Milestones!$AB$159="FT",Milestones!$AA$159=FT_Y5,EDATE($D5,Milestones!$AA$159)&lt;PolicyEff),1,Milestones!$AC$159)&amp;";  ","")&amp;IF(AND(EDATE($D5,Milestones!$AA$160)&lt;=AsOfDate,EDATE($D5,Milestones!$AA$160)&gt;=SchemeStart,IF($X5=0,$AD5,IF(AND($Z5&lt;&gt;"",EDATE($D5,Milestones!$AA$160)&gt;=$Z5),$AC5,IF(AND($Y5&lt;&gt;"",EDATE($D5,Milestones!$AA$160)&gt;=$Y5),$AB5,$AA5)))=Milestones!$AB$160),UPPER(TEXT(EDATE($D5,Milestones!$AA$160),"dd mmm yy"))&amp;" "&amp;Milestones!$AB$160&amp;" "&amp;IF(AND(Milestones!$AB$160="FT",Milestones!$AA$160=FT_Y5,EDATE($D5,Milestones!$AA$160)&lt;PolicyEff),1,Milestones!$AC$160)&amp;";  ","")&amp;IF(AND(EDATE($D5,Milestones!$AA$161)&lt;=AsOfDate,EDATE($D5,Milestones!$AA$161)&gt;=SchemeStart,IF($X5=0,$AD5,IF(AND($Z5&lt;&gt;"",EDATE($D5,Milestones!$AA$161)&gt;=$Z5),$AC5,IF(AND($Y5&lt;&gt;"",EDATE($D5,Milestones!$AA$161)&gt;=$Y5),$AB5,$AA5)))=Milestones!$AB$161),UPPER(TEXT(EDATE($D5,Milestones!$AA$161),"dd mmm yy"))&amp;" "&amp;Milestones!$AB$161&amp;" "&amp;IF(AND(Milestones!$AB$161="FT",Milestones!$AA$161=FT_Y5,EDATE($D5,Milestones!$AA$161)&lt;PolicyEff),1,Milestones!$AC$161)&amp;";  ","")&amp;IF(AND(EDATE($D5,Milestones!$AA$162)&lt;=AsOfDate,EDATE($D5,Milestones!$AA$162)&gt;=SchemeStart,IF($X5=0,$AD5,IF(AND($Z5&lt;&gt;"",EDATE($D5,Milestones!$AA$162)&gt;=$Z5),$AC5,IF(AND($Y5&lt;&gt;"",EDATE($D5,Milestones!$AA$162)&gt;=$Y5),$AB5,$AA5)))=Milestones!$AB$162),UPPER(TEXT(EDATE($D5,Milestones!$AA$162),"dd mmm yy"))&amp;" "&amp;Milestones!$AB$162&amp;" "&amp;IF(AND(Milestones!$AB$162="FT",Milestones!$AA$162=FT_Y5,EDATE($D5,Milestones!$AA$162)&lt;PolicyEff),1,Milestones!$AC$162)&amp;";  ","")&amp;IF(AND(EDATE($D5,Milestones!$AA$163)&lt;=AsOfDate,EDATE($D5,Milestones!$AA$163)&gt;=SchemeStart,IF($X5=0,$AD5,IF(AND($Z5&lt;&gt;"",EDATE($D5,Milestones!$AA$163)&gt;=$Z5),$AC5,IF(AND($Y5&lt;&gt;"",EDATE($D5,Milestones!$AA$163)&gt;=$Y5),$AB5,$AA5)))=Milestones!$AB$163),UPPER(TEXT(EDATE($D5,Milestones!$AA$163),"dd mmm yy"))&amp;" "&amp;Milestones!$AB$163&amp;" "&amp;IF(AND(Milestones!$AB$163="FT",Milestones!$AA$163=FT_Y5,EDATE($D5,Milestones!$AA$163)&lt;PolicyEff),1,Milestones!$AC$163)&amp;";  ",""))</f>
        <v/>
      </c>
      <c r="U5" s="0" t="str">
        <f aca="false">IF(OR($A5="",$D5=""),"",IF(AND(EDATE($D5,Milestones!$AA$164)&lt;=AsOfDate,EDATE($D5,Milestones!$AA$164)&gt;=SchemeStart,IF($X5=0,$AD5,IF(AND($Z5&lt;&gt;"",EDATE($D5,Milestones!$AA$164)&gt;=$Z5),$AC5,IF(AND($Y5&lt;&gt;"",EDATE($D5,Milestones!$AA$164)&gt;=$Y5),$AB5,$AA5)))=Milestones!$AB$164),UPPER(TEXT(EDATE($D5,Milestones!$AA$164),"dd mmm yy"))&amp;" "&amp;Milestones!$AB$164&amp;" "&amp;IF(AND(Milestones!$AB$164="FT",Milestones!$AA$164=FT_Y5,EDATE($D5,Milestones!$AA$164)&lt;PolicyEff),1,Milestones!$AC$164)&amp;";  ","")&amp;IF(AND(EDATE($D5,Milestones!$AA$165)&lt;=AsOfDate,EDATE($D5,Milestones!$AA$165)&gt;=SchemeStart,IF($X5=0,$AD5,IF(AND($Z5&lt;&gt;"",EDATE($D5,Milestones!$AA$165)&gt;=$Z5),$AC5,IF(AND($Y5&lt;&gt;"",EDATE($D5,Milestones!$AA$165)&gt;=$Y5),$AB5,$AA5)))=Milestones!$AB$165),UPPER(TEXT(EDATE($D5,Milestones!$AA$165),"dd mmm yy"))&amp;" "&amp;Milestones!$AB$165&amp;" "&amp;IF(AND(Milestones!$AB$165="FT",Milestones!$AA$165=FT_Y5,EDATE($D5,Milestones!$AA$165)&lt;PolicyEff),1,Milestones!$AC$165)&amp;";  ","")&amp;IF(AND(EDATE($D5,Milestones!$AA$166)&lt;=AsOfDate,EDATE($D5,Milestones!$AA$166)&gt;=SchemeStart,IF($X5=0,$AD5,IF(AND($Z5&lt;&gt;"",EDATE($D5,Milestones!$AA$166)&gt;=$Z5),$AC5,IF(AND($Y5&lt;&gt;"",EDATE($D5,Milestones!$AA$166)&gt;=$Y5),$AB5,$AA5)))=Milestones!$AB$166),UPPER(TEXT(EDATE($D5,Milestones!$AA$166),"dd mmm yy"))&amp;" "&amp;Milestones!$AB$166&amp;" "&amp;IF(AND(Milestones!$AB$166="FT",Milestones!$AA$166=FT_Y5,EDATE($D5,Milestones!$AA$166)&lt;PolicyEff),1,Milestones!$AC$166)&amp;";  ","")&amp;IF(AND(EDATE($D5,Milestones!$AA$167)&lt;=AsOfDate,EDATE($D5,Milestones!$AA$167)&gt;=SchemeStart,IF($X5=0,$AD5,IF(AND($Z5&lt;&gt;"",EDATE($D5,Milestones!$AA$167)&gt;=$Z5),$AC5,IF(AND($Y5&lt;&gt;"",EDATE($D5,Milestones!$AA$167)&gt;=$Y5),$AB5,$AA5)))=Milestones!$AB$167),UPPER(TEXT(EDATE($D5,Milestones!$AA$167),"dd mmm yy"))&amp;" "&amp;Milestones!$AB$167&amp;" "&amp;IF(AND(Milestones!$AB$167="FT",Milestones!$AA$167=FT_Y5,EDATE($D5,Milestones!$AA$167)&lt;PolicyEff),1,Milestones!$AC$167)&amp;";  ","")&amp;IF(AND(EDATE($D5,Milestones!$AA$168)&lt;=AsOfDate,EDATE($D5,Milestones!$AA$168)&gt;=SchemeStart,IF($X5=0,$AD5,IF(AND($Z5&lt;&gt;"",EDATE($D5,Milestones!$AA$168)&gt;=$Z5),$AC5,IF(AND($Y5&lt;&gt;"",EDATE($D5,Milestones!$AA$168)&gt;=$Y5),$AB5,$AA5)))=Milestones!$AB$168),UPPER(TEXT(EDATE($D5,Milestones!$AA$168),"dd mmm yy"))&amp;" "&amp;Milestones!$AB$168&amp;" "&amp;IF(AND(Milestones!$AB$168="FT",Milestones!$AA$168=FT_Y5,EDATE($D5,Milestones!$AA$168)&lt;PolicyEff),1,Milestones!$AC$168)&amp;";  ","")&amp;IF(AND(EDATE($D5,Milestones!$AA$169)&lt;=AsOfDate,EDATE($D5,Milestones!$AA$169)&gt;=SchemeStart,IF($X5=0,$AD5,IF(AND($Z5&lt;&gt;"",EDATE($D5,Milestones!$AA$169)&gt;=$Z5),$AC5,IF(AND($Y5&lt;&gt;"",EDATE($D5,Milestones!$AA$169)&gt;=$Y5),$AB5,$AA5)))=Milestones!$AB$169),UPPER(TEXT(EDATE($D5,Milestones!$AA$169),"dd mmm yy"))&amp;" "&amp;Milestones!$AB$169&amp;" "&amp;IF(AND(Milestones!$AB$169="FT",Milestones!$AA$169=FT_Y5,EDATE($D5,Milestones!$AA$169)&lt;PolicyEff),1,Milestones!$AC$169)&amp;";  ","")&amp;IF(AND(EDATE($D5,Milestones!$AA$170)&lt;=AsOfDate,EDATE($D5,Milestones!$AA$170)&gt;=SchemeStart,IF($X5=0,$AD5,IF(AND($Z5&lt;&gt;"",EDATE($D5,Milestones!$AA$170)&gt;=$Z5),$AC5,IF(AND($Y5&lt;&gt;"",EDATE($D5,Milestones!$AA$170)&gt;=$Y5),$AB5,$AA5)))=Milestones!$AB$170),UPPER(TEXT(EDATE($D5,Milestones!$AA$170),"dd mmm yy"))&amp;" "&amp;Milestones!$AB$170&amp;" "&amp;IF(AND(Milestones!$AB$170="FT",Milestones!$AA$170=FT_Y5,EDATE($D5,Milestones!$AA$170)&lt;PolicyEff),1,Milestones!$AC$170)&amp;";  ","")&amp;IF(AND(EDATE($D5,Milestones!$AA$171)&lt;=AsOfDate,EDATE($D5,Milestones!$AA$171)&gt;=SchemeStart,IF($X5=0,$AD5,IF(AND($Z5&lt;&gt;"",EDATE($D5,Milestones!$AA$171)&gt;=$Z5),$AC5,IF(AND($Y5&lt;&gt;"",EDATE($D5,Milestones!$AA$171)&gt;=$Y5),$AB5,$AA5)))=Milestones!$AB$171),UPPER(TEXT(EDATE($D5,Milestones!$AA$171),"dd mmm yy"))&amp;" "&amp;Milestones!$AB$171&amp;" "&amp;IF(AND(Milestones!$AB$171="FT",Milestones!$AA$171=FT_Y5,EDATE($D5,Milestones!$AA$171)&lt;PolicyEff),1,Milestones!$AC$171)&amp;";  ","")&amp;IF(AND(EDATE($D5,Milestones!$AA$172)&lt;=AsOfDate,EDATE($D5,Milestones!$AA$172)&gt;=SchemeStart,IF($X5=0,$AD5,IF(AND($Z5&lt;&gt;"",EDATE($D5,Milestones!$AA$172)&gt;=$Z5),$AC5,IF(AND($Y5&lt;&gt;"",EDATE($D5,Milestones!$AA$172)&gt;=$Y5),$AB5,$AA5)))=Milestones!$AB$172),UPPER(TEXT(EDATE($D5,Milestones!$AA$172),"dd mmm yy"))&amp;" "&amp;Milestones!$AB$172&amp;" "&amp;IF(AND(Milestones!$AB$172="FT",Milestones!$AA$172=FT_Y5,EDATE($D5,Milestones!$AA$172)&lt;PolicyEff),1,Milestones!$AC$172)&amp;";  ","")&amp;IF(AND(EDATE($D5,Milestones!$AA$173)&lt;=AsOfDate,EDATE($D5,Milestones!$AA$173)&gt;=SchemeStart,IF($X5=0,$AD5,IF(AND($Z5&lt;&gt;"",EDATE($D5,Milestones!$AA$173)&gt;=$Z5),$AC5,IF(AND($Y5&lt;&gt;"",EDATE($D5,Milestones!$AA$173)&gt;=$Y5),$AB5,$AA5)))=Milestones!$AB$173),UPPER(TEXT(EDATE($D5,Milestones!$AA$173),"dd mmm yy"))&amp;" "&amp;Milestones!$AB$173&amp;" "&amp;IF(AND(Milestones!$AB$173="FT",Milestones!$AA$173=FT_Y5,EDATE($D5,Milestones!$AA$173)&lt;PolicyEff),1,Milestones!$AC$173)&amp;";  ","")&amp;IF(AND(EDATE($D5,Milestones!$AA$174)&lt;=AsOfDate,EDATE($D5,Milestones!$AA$174)&gt;=SchemeStart,IF($X5=0,$AD5,IF(AND($Z5&lt;&gt;"",EDATE($D5,Milestones!$AA$174)&gt;=$Z5),$AC5,IF(AND($Y5&lt;&gt;"",EDATE($D5,Milestones!$AA$174)&gt;=$Y5),$AB5,$AA5)))=Milestones!$AB$174),UPPER(TEXT(EDATE($D5,Milestones!$AA$174),"dd mmm yy"))&amp;" "&amp;Milestones!$AB$174&amp;" "&amp;IF(AND(Milestones!$AB$174="FT",Milestones!$AA$174=FT_Y5,EDATE($D5,Milestones!$AA$174)&lt;PolicyEff),1,Milestones!$AC$174)&amp;";  ","")&amp;IF(AND(EDATE($D5,Milestones!$AA$175)&lt;=AsOfDate,EDATE($D5,Milestones!$AA$175)&gt;=SchemeStart,IF($X5=0,$AD5,IF(AND($Z5&lt;&gt;"",EDATE($D5,Milestones!$AA$175)&gt;=$Z5),$AC5,IF(AND($Y5&lt;&gt;"",EDATE($D5,Milestones!$AA$175)&gt;=$Y5),$AB5,$AA5)))=Milestones!$AB$175),UPPER(TEXT(EDATE($D5,Milestones!$AA$175),"dd mmm yy"))&amp;" "&amp;Milestones!$AB$175&amp;" "&amp;IF(AND(Milestones!$AB$175="FT",Milestones!$AA$175=FT_Y5,EDATE($D5,Milestones!$AA$175)&lt;PolicyEff),1,Milestones!$AC$175)&amp;";  ",""))</f>
        <v/>
      </c>
      <c r="V5" s="0" t="str">
        <f aca="false">IF(OR($A5="",$D5=""),"",IF(AND(EDATE($D5,Milestones!$AA$176)&lt;=AsOfDate,EDATE($D5,Milestones!$AA$176)&gt;=SchemeStart,IF($X5=0,$AD5,IF(AND($Z5&lt;&gt;"",EDATE($D5,Milestones!$AA$176)&gt;=$Z5),$AC5,IF(AND($Y5&lt;&gt;"",EDATE($D5,Milestones!$AA$176)&gt;=$Y5),$AB5,$AA5)))=Milestones!$AB$176),UPPER(TEXT(EDATE($D5,Milestones!$AA$176),"dd mmm yy"))&amp;" "&amp;Milestones!$AB$176&amp;" "&amp;IF(AND(Milestones!$AB$176="FT",Milestones!$AA$176=FT_Y5,EDATE($D5,Milestones!$AA$176)&lt;PolicyEff),1,Milestones!$AC$176)&amp;";  ","")&amp;IF(AND(EDATE($D5,Milestones!$AA$177)&lt;=AsOfDate,EDATE($D5,Milestones!$AA$177)&gt;=SchemeStart,IF($X5=0,$AD5,IF(AND($Z5&lt;&gt;"",EDATE($D5,Milestones!$AA$177)&gt;=$Z5),$AC5,IF(AND($Y5&lt;&gt;"",EDATE($D5,Milestones!$AA$177)&gt;=$Y5),$AB5,$AA5)))=Milestones!$AB$177),UPPER(TEXT(EDATE($D5,Milestones!$AA$177),"dd mmm yy"))&amp;" "&amp;Milestones!$AB$177&amp;" "&amp;IF(AND(Milestones!$AB$177="FT",Milestones!$AA$177=FT_Y5,EDATE($D5,Milestones!$AA$177)&lt;PolicyEff),1,Milestones!$AC$177)&amp;";  ","")&amp;IF(AND(EDATE($D5,Milestones!$AA$178)&lt;=AsOfDate,EDATE($D5,Milestones!$AA$178)&gt;=SchemeStart,IF($X5=0,$AD5,IF(AND($Z5&lt;&gt;"",EDATE($D5,Milestones!$AA$178)&gt;=$Z5),$AC5,IF(AND($Y5&lt;&gt;"",EDATE($D5,Milestones!$AA$178)&gt;=$Y5),$AB5,$AA5)))=Milestones!$AB$178),UPPER(TEXT(EDATE($D5,Milestones!$AA$178),"dd mmm yy"))&amp;" "&amp;Milestones!$AB$178&amp;" "&amp;IF(AND(Milestones!$AB$178="FT",Milestones!$AA$178=FT_Y5,EDATE($D5,Milestones!$AA$178)&lt;PolicyEff),1,Milestones!$AC$178)&amp;";  ","")&amp;IF(AND(EDATE($D5,Milestones!$AA$179)&lt;=AsOfDate,EDATE($D5,Milestones!$AA$179)&gt;=SchemeStart,IF($X5=0,$AD5,IF(AND($Z5&lt;&gt;"",EDATE($D5,Milestones!$AA$179)&gt;=$Z5),$AC5,IF(AND($Y5&lt;&gt;"",EDATE($D5,Milestones!$AA$179)&gt;=$Y5),$AB5,$AA5)))=Milestones!$AB$179),UPPER(TEXT(EDATE($D5,Milestones!$AA$179),"dd mmm yy"))&amp;" "&amp;Milestones!$AB$179&amp;" "&amp;IF(AND(Milestones!$AB$179="FT",Milestones!$AA$179=FT_Y5,EDATE($D5,Milestones!$AA$179)&lt;PolicyEff),1,Milestones!$AC$179)&amp;";  ","")&amp;IF(AND(EDATE($D5,Milestones!$AA$180)&lt;=AsOfDate,EDATE($D5,Milestones!$AA$180)&gt;=SchemeStart,IF($X5=0,$AD5,IF(AND($Z5&lt;&gt;"",EDATE($D5,Milestones!$AA$180)&gt;=$Z5),$AC5,IF(AND($Y5&lt;&gt;"",EDATE($D5,Milestones!$AA$180)&gt;=$Y5),$AB5,$AA5)))=Milestones!$AB$180),UPPER(TEXT(EDATE($D5,Milestones!$AA$180),"dd mmm yy"))&amp;" "&amp;Milestones!$AB$180&amp;" "&amp;IF(AND(Milestones!$AB$180="FT",Milestones!$AA$180=FT_Y5,EDATE($D5,Milestones!$AA$180)&lt;PolicyEff),1,Milestones!$AC$180)&amp;";  ","")&amp;IF(AND(EDATE($D5,Milestones!$AA$181)&lt;=AsOfDate,EDATE($D5,Milestones!$AA$181)&gt;=SchemeStart,IF($X5=0,$AD5,IF(AND($Z5&lt;&gt;"",EDATE($D5,Milestones!$AA$181)&gt;=$Z5),$AC5,IF(AND($Y5&lt;&gt;"",EDATE($D5,Milestones!$AA$181)&gt;=$Y5),$AB5,$AA5)))=Milestones!$AB$181),UPPER(TEXT(EDATE($D5,Milestones!$AA$181),"dd mmm yy"))&amp;" "&amp;Milestones!$AB$181&amp;" "&amp;IF(AND(Milestones!$AB$181="FT",Milestones!$AA$181=FT_Y5,EDATE($D5,Milestones!$AA$181)&lt;PolicyEff),1,Milestones!$AC$181)&amp;";  ","")&amp;IF(AND(EDATE($D5,Milestones!$AA$182)&lt;=AsOfDate,EDATE($D5,Milestones!$AA$182)&gt;=SchemeStart,IF($X5=0,$AD5,IF(AND($Z5&lt;&gt;"",EDATE($D5,Milestones!$AA$182)&gt;=$Z5),$AC5,IF(AND($Y5&lt;&gt;"",EDATE($D5,Milestones!$AA$182)&gt;=$Y5),$AB5,$AA5)))=Milestones!$AB$182),UPPER(TEXT(EDATE($D5,Milestones!$AA$182),"dd mmm yy"))&amp;" "&amp;Milestones!$AB$182&amp;" "&amp;IF(AND(Milestones!$AB$182="FT",Milestones!$AA$182=FT_Y5,EDATE($D5,Milestones!$AA$182)&lt;PolicyEff),1,Milestones!$AC$182)&amp;";  ","")&amp;IF(AND(EDATE($D5,Milestones!$AA$183)&lt;=AsOfDate,EDATE($D5,Milestones!$AA$183)&gt;=SchemeStart,IF($X5=0,$AD5,IF(AND($Z5&lt;&gt;"",EDATE($D5,Milestones!$AA$183)&gt;=$Z5),$AC5,IF(AND($Y5&lt;&gt;"",EDATE($D5,Milestones!$AA$183)&gt;=$Y5),$AB5,$AA5)))=Milestones!$AB$183),UPPER(TEXT(EDATE($D5,Milestones!$AA$183),"dd mmm yy"))&amp;" "&amp;Milestones!$AB$183&amp;" "&amp;IF(AND(Milestones!$AB$183="FT",Milestones!$AA$183=FT_Y5,EDATE($D5,Milestones!$AA$183)&lt;PolicyEff),1,Milestones!$AC$183)&amp;";  ","")&amp;IF(AND(EDATE($D5,Milestones!$AA$184)&lt;=AsOfDate,EDATE($D5,Milestones!$AA$184)&gt;=SchemeStart,IF($X5=0,$AD5,IF(AND($Z5&lt;&gt;"",EDATE($D5,Milestones!$AA$184)&gt;=$Z5),$AC5,IF(AND($Y5&lt;&gt;"",EDATE($D5,Milestones!$AA$184)&gt;=$Y5),$AB5,$AA5)))=Milestones!$AB$184),UPPER(TEXT(EDATE($D5,Milestones!$AA$184),"dd mmm yy"))&amp;" "&amp;Milestones!$AB$184&amp;" "&amp;IF(AND(Milestones!$AB$184="FT",Milestones!$AA$184=FT_Y5,EDATE($D5,Milestones!$AA$184)&lt;PolicyEff),1,Milestones!$AC$184)&amp;";  ","")&amp;IF(AND(EDATE($D5,Milestones!$AA$185)&lt;=AsOfDate,EDATE($D5,Milestones!$AA$185)&gt;=SchemeStart,IF($X5=0,$AD5,IF(AND($Z5&lt;&gt;"",EDATE($D5,Milestones!$AA$185)&gt;=$Z5),$AC5,IF(AND($Y5&lt;&gt;"",EDATE($D5,Milestones!$AA$185)&gt;=$Y5),$AB5,$AA5)))=Milestones!$AB$185),UPPER(TEXT(EDATE($D5,Milestones!$AA$185),"dd mmm yy"))&amp;" "&amp;Milestones!$AB$185&amp;" "&amp;IF(AND(Milestones!$AB$185="FT",Milestones!$AA$185=FT_Y5,EDATE($D5,Milestones!$AA$185)&lt;PolicyEff),1,Milestones!$AC$185)&amp;";  ","")&amp;IF(AND(EDATE($D5,Milestones!$AA$186)&lt;=AsOfDate,EDATE($D5,Milestones!$AA$186)&gt;=SchemeStart,IF($X5=0,$AD5,IF(AND($Z5&lt;&gt;"",EDATE($D5,Milestones!$AA$186)&gt;=$Z5),$AC5,IF(AND($Y5&lt;&gt;"",EDATE($D5,Milestones!$AA$186)&gt;=$Y5),$AB5,$AA5)))=Milestones!$AB$186),UPPER(TEXT(EDATE($D5,Milestones!$AA$186),"dd mmm yy"))&amp;" "&amp;Milestones!$AB$186&amp;" "&amp;IF(AND(Milestones!$AB$186="FT",Milestones!$AA$186=FT_Y5,EDATE($D5,Milestones!$AA$186)&lt;PolicyEff),1,Milestones!$AC$186)&amp;";  ","")&amp;IF(AND(EDATE($D5,Milestones!$AA$187)&lt;=AsOfDate,EDATE($D5,Milestones!$AA$187)&gt;=SchemeStart,IF($X5=0,$AD5,IF(AND($Z5&lt;&gt;"",EDATE($D5,Milestones!$AA$187)&gt;=$Z5),$AC5,IF(AND($Y5&lt;&gt;"",EDATE($D5,Milestones!$AA$187)&gt;=$Y5),$AB5,$AA5)))=Milestones!$AB$187),UPPER(TEXT(EDATE($D5,Milestones!$AA$187),"dd mmm yy"))&amp;" "&amp;Milestones!$AB$187&amp;" "&amp;IF(AND(Milestones!$AB$187="FT",Milestones!$AA$187=FT_Y5,EDATE($D5,Milestones!$AA$187)&lt;PolicyEff),1,Milestones!$AC$187)&amp;";  ",""))</f>
        <v/>
      </c>
      <c r="W5" s="0" t="str">
        <f aca="false">IF(OR($A5="",$D5=""),"",IF(AND(EDATE($D5,Milestones!$AA$188)&lt;=AsOfDate,EDATE($D5,Milestones!$AA$188)&gt;=SchemeStart,IF($X5=0,$AD5,IF(AND($Z5&lt;&gt;"",EDATE($D5,Milestones!$AA$188)&gt;=$Z5),$AC5,IF(AND($Y5&lt;&gt;"",EDATE($D5,Milestones!$AA$188)&gt;=$Y5),$AB5,$AA5)))=Milestones!$AB$188),UPPER(TEXT(EDATE($D5,Milestones!$AA$188),"dd mmm yy"))&amp;" "&amp;Milestones!$AB$188&amp;" "&amp;IF(AND(Milestones!$AB$188="FT",Milestones!$AA$188=FT_Y5,EDATE($D5,Milestones!$AA$188)&lt;PolicyEff),1,Milestones!$AC$188)&amp;";  ","")&amp;IF(AND(EDATE($D5,Milestones!$AA$189)&lt;=AsOfDate,EDATE($D5,Milestones!$AA$189)&gt;=SchemeStart,IF($X5=0,$AD5,IF(AND($Z5&lt;&gt;"",EDATE($D5,Milestones!$AA$189)&gt;=$Z5),$AC5,IF(AND($Y5&lt;&gt;"",EDATE($D5,Milestones!$AA$189)&gt;=$Y5),$AB5,$AA5)))=Milestones!$AB$189),UPPER(TEXT(EDATE($D5,Milestones!$AA$189),"dd mmm yy"))&amp;" "&amp;Milestones!$AB$189&amp;" "&amp;IF(AND(Milestones!$AB$189="FT",Milestones!$AA$189=FT_Y5,EDATE($D5,Milestones!$AA$189)&lt;PolicyEff),1,Milestones!$AC$189)&amp;";  ","")&amp;IF(AND(EDATE($D5,Milestones!$AA$190)&lt;=AsOfDate,EDATE($D5,Milestones!$AA$190)&gt;=SchemeStart,IF($X5=0,$AD5,IF(AND($Z5&lt;&gt;"",EDATE($D5,Milestones!$AA$190)&gt;=$Z5),$AC5,IF(AND($Y5&lt;&gt;"",EDATE($D5,Milestones!$AA$190)&gt;=$Y5),$AB5,$AA5)))=Milestones!$AB$190),UPPER(TEXT(EDATE($D5,Milestones!$AA$190),"dd mmm yy"))&amp;" "&amp;Milestones!$AB$190&amp;" "&amp;IF(AND(Milestones!$AB$190="FT",Milestones!$AA$190=FT_Y5,EDATE($D5,Milestones!$AA$190)&lt;PolicyEff),1,Milestones!$AC$190)&amp;";  ","")&amp;IF(AND(EDATE($D5,Milestones!$AA$191)&lt;=AsOfDate,EDATE($D5,Milestones!$AA$191)&gt;=SchemeStart,IF($X5=0,$AD5,IF(AND($Z5&lt;&gt;"",EDATE($D5,Milestones!$AA$191)&gt;=$Z5),$AC5,IF(AND($Y5&lt;&gt;"",EDATE($D5,Milestones!$AA$191)&gt;=$Y5),$AB5,$AA5)))=Milestones!$AB$191),UPPER(TEXT(EDATE($D5,Milestones!$AA$191),"dd mmm yy"))&amp;" "&amp;Milestones!$AB$191&amp;" "&amp;IF(AND(Milestones!$AB$191="FT",Milestones!$AA$191=FT_Y5,EDATE($D5,Milestones!$AA$191)&lt;PolicyEff),1,Milestones!$AC$191)&amp;";  ","")&amp;IF(AND(EDATE($D5,Milestones!$AA$192)&lt;=AsOfDate,EDATE($D5,Milestones!$AA$192)&gt;=SchemeStart,IF($X5=0,$AD5,IF(AND($Z5&lt;&gt;"",EDATE($D5,Milestones!$AA$192)&gt;=$Z5),$AC5,IF(AND($Y5&lt;&gt;"",EDATE($D5,Milestones!$AA$192)&gt;=$Y5),$AB5,$AA5)))=Milestones!$AB$192),UPPER(TEXT(EDATE($D5,Milestones!$AA$192),"dd mmm yy"))&amp;" "&amp;Milestones!$AB$192&amp;" "&amp;IF(AND(Milestones!$AB$192="FT",Milestones!$AA$192=FT_Y5,EDATE($D5,Milestones!$AA$192)&lt;PolicyEff),1,Milestones!$AC$192)&amp;";  ","")&amp;IF(AND(EDATE($D5,Milestones!$AA$193)&lt;=AsOfDate,EDATE($D5,Milestones!$AA$193)&gt;=SchemeStart,IF($X5=0,$AD5,IF(AND($Z5&lt;&gt;"",EDATE($D5,Milestones!$AA$193)&gt;=$Z5),$AC5,IF(AND($Y5&lt;&gt;"",EDATE($D5,Milestones!$AA$193)&gt;=$Y5),$AB5,$AA5)))=Milestones!$AB$193),UPPER(TEXT(EDATE($D5,Milestones!$AA$193),"dd mmm yy"))&amp;" "&amp;Milestones!$AB$193&amp;" "&amp;IF(AND(Milestones!$AB$193="FT",Milestones!$AA$193=FT_Y5,EDATE($D5,Milestones!$AA$193)&lt;PolicyEff),1,Milestones!$AC$193)&amp;";  ","")&amp;IF(AND(EDATE($D5,Milestones!$AA$194)&lt;=AsOfDate,EDATE($D5,Milestones!$AA$194)&gt;=SchemeStart,IF($X5=0,$AD5,IF(AND($Z5&lt;&gt;"",EDATE($D5,Milestones!$AA$194)&gt;=$Z5),$AC5,IF(AND($Y5&lt;&gt;"",EDATE($D5,Milestones!$AA$194)&gt;=$Y5),$AB5,$AA5)))=Milestones!$AB$194),UPPER(TEXT(EDATE($D5,Milestones!$AA$194),"dd mmm yy"))&amp;" "&amp;Milestones!$AB$194&amp;" "&amp;IF(AND(Milestones!$AB$194="FT",Milestones!$AA$194=FT_Y5,EDATE($D5,Milestones!$AA$194)&lt;PolicyEff),1,Milestones!$AC$194)&amp;";  ","")&amp;IF(AND(EDATE($D5,Milestones!$AA$195)&lt;=AsOfDate,EDATE($D5,Milestones!$AA$195)&gt;=SchemeStart,IF($X5=0,$AD5,IF(AND($Z5&lt;&gt;"",EDATE($D5,Milestones!$AA$195)&gt;=$Z5),$AC5,IF(AND($Y5&lt;&gt;"",EDATE($D5,Milestones!$AA$195)&gt;=$Y5),$AB5,$AA5)))=Milestones!$AB$195),UPPER(TEXT(EDATE($D5,Milestones!$AA$195),"dd mmm yy"))&amp;" "&amp;Milestones!$AB$195&amp;" "&amp;IF(AND(Milestones!$AB$195="FT",Milestones!$AA$195=FT_Y5,EDATE($D5,Milestones!$AA$195)&lt;PolicyEff),1,Milestones!$AC$195)&amp;";  ","")&amp;IF(AND(EDATE($D5,Milestones!$AA$196)&lt;=AsOfDate,EDATE($D5,Milestones!$AA$196)&gt;=SchemeStart,IF($X5=0,$AD5,IF(AND($Z5&lt;&gt;"",EDATE($D5,Milestones!$AA$196)&gt;=$Z5),$AC5,IF(AND($Y5&lt;&gt;"",EDATE($D5,Milestones!$AA$196)&gt;=$Y5),$AB5,$AA5)))=Milestones!$AB$196),UPPER(TEXT(EDATE($D5,Milestones!$AA$196),"dd mmm yy"))&amp;" "&amp;Milestones!$AB$196&amp;" "&amp;IF(AND(Milestones!$AB$196="FT",Milestones!$AA$196=FT_Y5,EDATE($D5,Milestones!$AA$196)&lt;PolicyEff),1,Milestones!$AC$196)&amp;";  ","")&amp;IF(AND(EDATE($D5,Milestones!$AA$197)&lt;=AsOfDate,EDATE($D5,Milestones!$AA$197)&gt;=SchemeStart,IF($X5=0,$AD5,IF(AND($Z5&lt;&gt;"",EDATE($D5,Milestones!$AA$197)&gt;=$Z5),$AC5,IF(AND($Y5&lt;&gt;"",EDATE($D5,Milestones!$AA$197)&gt;=$Y5),$AB5,$AA5)))=Milestones!$AB$197),UPPER(TEXT(EDATE($D5,Milestones!$AA$197),"dd mmm yy"))&amp;" "&amp;Milestones!$AB$197&amp;" "&amp;IF(AND(Milestones!$AB$197="FT",Milestones!$AA$197=FT_Y5,EDATE($D5,Milestones!$AA$197)&lt;PolicyEff),1,Milestones!$AC$197)&amp;";  ","")&amp;IF(AND(EDATE($D5,Milestones!$AA$198)&lt;=AsOfDate,EDATE($D5,Milestones!$AA$198)&gt;=SchemeStart,IF($X5=0,$AD5,IF(AND($Z5&lt;&gt;"",EDATE($D5,Milestones!$AA$198)&gt;=$Z5),$AC5,IF(AND($Y5&lt;&gt;"",EDATE($D5,Milestones!$AA$198)&gt;=$Y5),$AB5,$AA5)))=Milestones!$AB$198),UPPER(TEXT(EDATE($D5,Milestones!$AA$198),"dd mmm yy"))&amp;" "&amp;Milestones!$AB$198&amp;" "&amp;IF(AND(Milestones!$AB$198="FT",Milestones!$AA$198=FT_Y5,EDATE($D5,Milestones!$AA$198)&lt;PolicyEff),1,Milestones!$AC$198)&amp;";  ","")&amp;IF(AND(EDATE($D5,Milestones!$AA$199)&lt;=AsOfDate,EDATE($D5,Milestones!$AA$199)&gt;=SchemeStart,IF($X5=0,$AD5,IF(AND($Z5&lt;&gt;"",EDATE($D5,Milestones!$AA$199)&gt;=$Z5),$AC5,IF(AND($Y5&lt;&gt;"",EDATE($D5,Milestones!$AA$199)&gt;=$Y5),$AB5,$AA5)))=Milestones!$AB$199),UPPER(TEXT(EDATE($D5,Milestones!$AA$199),"dd mmm yy"))&amp;" "&amp;Milestones!$AB$199&amp;" "&amp;IF(AND(Milestones!$AB$199="FT",Milestones!$AA$199=FT_Y5,EDATE($D5,Milestones!$AA$199)&lt;PolicyEff),1,Milestones!$AC$199)&amp;";  ",""))</f>
        <v/>
      </c>
      <c r="X5" s="0" t="str">
        <f aca="false">IF(Staff!$A5="","",Staff!$AM5)</f>
        <v/>
      </c>
      <c r="Y5" s="0" t="str">
        <f aca="false">IF(Staff!$A5="","",Staff!$AO5)</f>
        <v/>
      </c>
      <c r="Z5" s="0" t="str">
        <f aca="false">IF(Staff!$A5="","",Staff!$AP5)</f>
        <v/>
      </c>
      <c r="AA5" s="0" t="str">
        <f aca="false">IF(Staff!$A5="","",Staff!$AT5)</f>
        <v/>
      </c>
      <c r="AB5" s="0" t="str">
        <f aca="false">IF(Staff!$A5="","",Staff!$AU5)</f>
        <v/>
      </c>
      <c r="AC5" s="0" t="str">
        <f aca="false">IF(Staff!$A5="","",Staff!$AV5)</f>
        <v/>
      </c>
      <c r="AD5" s="0" t="str">
        <f aca="false">IF(Staff!$A5="","",Staff!$AW5)</f>
        <v/>
      </c>
    </row>
    <row r="6" customFormat="false" ht="15" hidden="false" customHeight="false" outlineLevel="0" collapsed="false">
      <c r="A6" s="16" t="str">
        <f aca="false">IF(Staff!$A6="","",Staff!$A6)</f>
        <v/>
      </c>
      <c r="B6" s="16" t="str">
        <f aca="false">IF(Staff!$A6="","",Staff!$B6)</f>
        <v/>
      </c>
      <c r="C6" s="16" t="str">
        <f aca="false">IF(Staff!$A6="","",Staff!$C6)</f>
        <v/>
      </c>
      <c r="D6" s="14" t="str">
        <f aca="false">IF(Staff!$A6="","",Staff!$AL6)</f>
        <v/>
      </c>
      <c r="E6" s="16" t="str">
        <f aca="false">IF(Staff!$A6="","",Staff!$O6)</f>
        <v/>
      </c>
      <c r="F6" s="16" t="str">
        <f aca="false">IF(E6="","",E6*HoursPerDay)</f>
        <v/>
      </c>
      <c r="G6" s="16" t="str">
        <f aca="false">IF(Staff!$A6="","",Staff!$AE6)</f>
        <v/>
      </c>
      <c r="H6" s="28" t="str">
        <f aca="false">IF($A6="","",I6&amp;J6&amp;K6&amp;L6&amp;M6&amp;N6&amp;O6&amp;P6&amp;Q6&amp;R6&amp;S6&amp;T6&amp;U6&amp;V6&amp;W6)</f>
        <v/>
      </c>
      <c r="I6" s="0" t="str">
        <f aca="false">IF(OR($A6="",$D6=""),"",IF(AND(EDATE($D6,Milestones!$AA$20)&lt;=AsOfDate,EDATE($D6,Milestones!$AA$20)&gt;=SchemeStart,IF($X6=0,$AD6,IF(AND($Z6&lt;&gt;"",EDATE($D6,Milestones!$AA$20)&gt;=$Z6),$AC6,IF(AND($Y6&lt;&gt;"",EDATE($D6,Milestones!$AA$20)&gt;=$Y6),$AB6,$AA6)))=Milestones!$AB$20),UPPER(TEXT(EDATE($D6,Milestones!$AA$20),"dd mmm yy"))&amp;" "&amp;Milestones!$AB$20&amp;" "&amp;IF(AND(Milestones!$AB$20="FT",Milestones!$AA$20=FT_Y5,EDATE($D6,Milestones!$AA$20)&lt;PolicyEff),1,Milestones!$AC$20)&amp;";  ","")&amp;IF(AND(EDATE($D6,Milestones!$AA$21)&lt;=AsOfDate,EDATE($D6,Milestones!$AA$21)&gt;=SchemeStart,IF($X6=0,$AD6,IF(AND($Z6&lt;&gt;"",EDATE($D6,Milestones!$AA$21)&gt;=$Z6),$AC6,IF(AND($Y6&lt;&gt;"",EDATE($D6,Milestones!$AA$21)&gt;=$Y6),$AB6,$AA6)))=Milestones!$AB$21),UPPER(TEXT(EDATE($D6,Milestones!$AA$21),"dd mmm yy"))&amp;" "&amp;Milestones!$AB$21&amp;" "&amp;IF(AND(Milestones!$AB$21="FT",Milestones!$AA$21=FT_Y5,EDATE($D6,Milestones!$AA$21)&lt;PolicyEff),1,Milestones!$AC$21)&amp;";  ","")&amp;IF(AND(EDATE($D6,Milestones!$AA$22)&lt;=AsOfDate,EDATE($D6,Milestones!$AA$22)&gt;=SchemeStart,IF($X6=0,$AD6,IF(AND($Z6&lt;&gt;"",EDATE($D6,Milestones!$AA$22)&gt;=$Z6),$AC6,IF(AND($Y6&lt;&gt;"",EDATE($D6,Milestones!$AA$22)&gt;=$Y6),$AB6,$AA6)))=Milestones!$AB$22),UPPER(TEXT(EDATE($D6,Milestones!$AA$22),"dd mmm yy"))&amp;" "&amp;Milestones!$AB$22&amp;" "&amp;IF(AND(Milestones!$AB$22="FT",Milestones!$AA$22=FT_Y5,EDATE($D6,Milestones!$AA$22)&lt;PolicyEff),1,Milestones!$AC$22)&amp;";  ","")&amp;IF(AND(EDATE($D6,Milestones!$AA$23)&lt;=AsOfDate,EDATE($D6,Milestones!$AA$23)&gt;=SchemeStart,IF($X6=0,$AD6,IF(AND($Z6&lt;&gt;"",EDATE($D6,Milestones!$AA$23)&gt;=$Z6),$AC6,IF(AND($Y6&lt;&gt;"",EDATE($D6,Milestones!$AA$23)&gt;=$Y6),$AB6,$AA6)))=Milestones!$AB$23),UPPER(TEXT(EDATE($D6,Milestones!$AA$23),"dd mmm yy"))&amp;" "&amp;Milestones!$AB$23&amp;" "&amp;IF(AND(Milestones!$AB$23="FT",Milestones!$AA$23=FT_Y5,EDATE($D6,Milestones!$AA$23)&lt;PolicyEff),1,Milestones!$AC$23)&amp;";  ","")&amp;IF(AND(EDATE($D6,Milestones!$AA$24)&lt;=AsOfDate,EDATE($D6,Milestones!$AA$24)&gt;=SchemeStart,IF($X6=0,$AD6,IF(AND($Z6&lt;&gt;"",EDATE($D6,Milestones!$AA$24)&gt;=$Z6),$AC6,IF(AND($Y6&lt;&gt;"",EDATE($D6,Milestones!$AA$24)&gt;=$Y6),$AB6,$AA6)))=Milestones!$AB$24),UPPER(TEXT(EDATE($D6,Milestones!$AA$24),"dd mmm yy"))&amp;" "&amp;Milestones!$AB$24&amp;" "&amp;IF(AND(Milestones!$AB$24="FT",Milestones!$AA$24=FT_Y5,EDATE($D6,Milestones!$AA$24)&lt;PolicyEff),1,Milestones!$AC$24)&amp;";  ","")&amp;IF(AND(EDATE($D6,Milestones!$AA$25)&lt;=AsOfDate,EDATE($D6,Milestones!$AA$25)&gt;=SchemeStart,IF($X6=0,$AD6,IF(AND($Z6&lt;&gt;"",EDATE($D6,Milestones!$AA$25)&gt;=$Z6),$AC6,IF(AND($Y6&lt;&gt;"",EDATE($D6,Milestones!$AA$25)&gt;=$Y6),$AB6,$AA6)))=Milestones!$AB$25),UPPER(TEXT(EDATE($D6,Milestones!$AA$25),"dd mmm yy"))&amp;" "&amp;Milestones!$AB$25&amp;" "&amp;IF(AND(Milestones!$AB$25="FT",Milestones!$AA$25=FT_Y5,EDATE($D6,Milestones!$AA$25)&lt;PolicyEff),1,Milestones!$AC$25)&amp;";  ","")&amp;IF(AND(EDATE($D6,Milestones!$AA$26)&lt;=AsOfDate,EDATE($D6,Milestones!$AA$26)&gt;=SchemeStart,IF($X6=0,$AD6,IF(AND($Z6&lt;&gt;"",EDATE($D6,Milestones!$AA$26)&gt;=$Z6),$AC6,IF(AND($Y6&lt;&gt;"",EDATE($D6,Milestones!$AA$26)&gt;=$Y6),$AB6,$AA6)))=Milestones!$AB$26),UPPER(TEXT(EDATE($D6,Milestones!$AA$26),"dd mmm yy"))&amp;" "&amp;Milestones!$AB$26&amp;" "&amp;IF(AND(Milestones!$AB$26="FT",Milestones!$AA$26=FT_Y5,EDATE($D6,Milestones!$AA$26)&lt;PolicyEff),1,Milestones!$AC$26)&amp;";  ","")&amp;IF(AND(EDATE($D6,Milestones!$AA$27)&lt;=AsOfDate,EDATE($D6,Milestones!$AA$27)&gt;=SchemeStart,IF($X6=0,$AD6,IF(AND($Z6&lt;&gt;"",EDATE($D6,Milestones!$AA$27)&gt;=$Z6),$AC6,IF(AND($Y6&lt;&gt;"",EDATE($D6,Milestones!$AA$27)&gt;=$Y6),$AB6,$AA6)))=Milestones!$AB$27),UPPER(TEXT(EDATE($D6,Milestones!$AA$27),"dd mmm yy"))&amp;" "&amp;Milestones!$AB$27&amp;" "&amp;IF(AND(Milestones!$AB$27="FT",Milestones!$AA$27=FT_Y5,EDATE($D6,Milestones!$AA$27)&lt;PolicyEff),1,Milestones!$AC$27)&amp;";  ","")&amp;IF(AND(EDATE($D6,Milestones!$AA$28)&lt;=AsOfDate,EDATE($D6,Milestones!$AA$28)&gt;=SchemeStart,IF($X6=0,$AD6,IF(AND($Z6&lt;&gt;"",EDATE($D6,Milestones!$AA$28)&gt;=$Z6),$AC6,IF(AND($Y6&lt;&gt;"",EDATE($D6,Milestones!$AA$28)&gt;=$Y6),$AB6,$AA6)))=Milestones!$AB$28),UPPER(TEXT(EDATE($D6,Milestones!$AA$28),"dd mmm yy"))&amp;" "&amp;Milestones!$AB$28&amp;" "&amp;IF(AND(Milestones!$AB$28="FT",Milestones!$AA$28=FT_Y5,EDATE($D6,Milestones!$AA$28)&lt;PolicyEff),1,Milestones!$AC$28)&amp;";  ","")&amp;IF(AND(EDATE($D6,Milestones!$AA$29)&lt;=AsOfDate,EDATE($D6,Milestones!$AA$29)&gt;=SchemeStart,IF($X6=0,$AD6,IF(AND($Z6&lt;&gt;"",EDATE($D6,Milestones!$AA$29)&gt;=$Z6),$AC6,IF(AND($Y6&lt;&gt;"",EDATE($D6,Milestones!$AA$29)&gt;=$Y6),$AB6,$AA6)))=Milestones!$AB$29),UPPER(TEXT(EDATE($D6,Milestones!$AA$29),"dd mmm yy"))&amp;" "&amp;Milestones!$AB$29&amp;" "&amp;IF(AND(Milestones!$AB$29="FT",Milestones!$AA$29=FT_Y5,EDATE($D6,Milestones!$AA$29)&lt;PolicyEff),1,Milestones!$AC$29)&amp;";  ","")&amp;IF(AND(EDATE($D6,Milestones!$AA$30)&lt;=AsOfDate,EDATE($D6,Milestones!$AA$30)&gt;=SchemeStart,IF($X6=0,$AD6,IF(AND($Z6&lt;&gt;"",EDATE($D6,Milestones!$AA$30)&gt;=$Z6),$AC6,IF(AND($Y6&lt;&gt;"",EDATE($D6,Milestones!$AA$30)&gt;=$Y6),$AB6,$AA6)))=Milestones!$AB$30),UPPER(TEXT(EDATE($D6,Milestones!$AA$30),"dd mmm yy"))&amp;" "&amp;Milestones!$AB$30&amp;" "&amp;IF(AND(Milestones!$AB$30="FT",Milestones!$AA$30=FT_Y5,EDATE($D6,Milestones!$AA$30)&lt;PolicyEff),1,Milestones!$AC$30)&amp;";  ","")&amp;IF(AND(EDATE($D6,Milestones!$AA$31)&lt;=AsOfDate,EDATE($D6,Milestones!$AA$31)&gt;=SchemeStart,IF($X6=0,$AD6,IF(AND($Z6&lt;&gt;"",EDATE($D6,Milestones!$AA$31)&gt;=$Z6),$AC6,IF(AND($Y6&lt;&gt;"",EDATE($D6,Milestones!$AA$31)&gt;=$Y6),$AB6,$AA6)))=Milestones!$AB$31),UPPER(TEXT(EDATE($D6,Milestones!$AA$31),"dd mmm yy"))&amp;" "&amp;Milestones!$AB$31&amp;" "&amp;IF(AND(Milestones!$AB$31="FT",Milestones!$AA$31=FT_Y5,EDATE($D6,Milestones!$AA$31)&lt;PolicyEff),1,Milestones!$AC$31)&amp;";  ",""))</f>
        <v/>
      </c>
      <c r="J6" s="0" t="str">
        <f aca="false">IF(OR($A6="",$D6=""),"",IF(AND(EDATE($D6,Milestones!$AA$32)&lt;=AsOfDate,EDATE($D6,Milestones!$AA$32)&gt;=SchemeStart,IF($X6=0,$AD6,IF(AND($Z6&lt;&gt;"",EDATE($D6,Milestones!$AA$32)&gt;=$Z6),$AC6,IF(AND($Y6&lt;&gt;"",EDATE($D6,Milestones!$AA$32)&gt;=$Y6),$AB6,$AA6)))=Milestones!$AB$32),UPPER(TEXT(EDATE($D6,Milestones!$AA$32),"dd mmm yy"))&amp;" "&amp;Milestones!$AB$32&amp;" "&amp;IF(AND(Milestones!$AB$32="FT",Milestones!$AA$32=FT_Y5,EDATE($D6,Milestones!$AA$32)&lt;PolicyEff),1,Milestones!$AC$32)&amp;";  ","")&amp;IF(AND(EDATE($D6,Milestones!$AA$33)&lt;=AsOfDate,EDATE($D6,Milestones!$AA$33)&gt;=SchemeStart,IF($X6=0,$AD6,IF(AND($Z6&lt;&gt;"",EDATE($D6,Milestones!$AA$33)&gt;=$Z6),$AC6,IF(AND($Y6&lt;&gt;"",EDATE($D6,Milestones!$AA$33)&gt;=$Y6),$AB6,$AA6)))=Milestones!$AB$33),UPPER(TEXT(EDATE($D6,Milestones!$AA$33),"dd mmm yy"))&amp;" "&amp;Milestones!$AB$33&amp;" "&amp;IF(AND(Milestones!$AB$33="FT",Milestones!$AA$33=FT_Y5,EDATE($D6,Milestones!$AA$33)&lt;PolicyEff),1,Milestones!$AC$33)&amp;";  ","")&amp;IF(AND(EDATE($D6,Milestones!$AA$34)&lt;=AsOfDate,EDATE($D6,Milestones!$AA$34)&gt;=SchemeStart,IF($X6=0,$AD6,IF(AND($Z6&lt;&gt;"",EDATE($D6,Milestones!$AA$34)&gt;=$Z6),$AC6,IF(AND($Y6&lt;&gt;"",EDATE($D6,Milestones!$AA$34)&gt;=$Y6),$AB6,$AA6)))=Milestones!$AB$34),UPPER(TEXT(EDATE($D6,Milestones!$AA$34),"dd mmm yy"))&amp;" "&amp;Milestones!$AB$34&amp;" "&amp;IF(AND(Milestones!$AB$34="FT",Milestones!$AA$34=FT_Y5,EDATE($D6,Milestones!$AA$34)&lt;PolicyEff),1,Milestones!$AC$34)&amp;";  ","")&amp;IF(AND(EDATE($D6,Milestones!$AA$35)&lt;=AsOfDate,EDATE($D6,Milestones!$AA$35)&gt;=SchemeStart,IF($X6=0,$AD6,IF(AND($Z6&lt;&gt;"",EDATE($D6,Milestones!$AA$35)&gt;=$Z6),$AC6,IF(AND($Y6&lt;&gt;"",EDATE($D6,Milestones!$AA$35)&gt;=$Y6),$AB6,$AA6)))=Milestones!$AB$35),UPPER(TEXT(EDATE($D6,Milestones!$AA$35),"dd mmm yy"))&amp;" "&amp;Milestones!$AB$35&amp;" "&amp;IF(AND(Milestones!$AB$35="FT",Milestones!$AA$35=FT_Y5,EDATE($D6,Milestones!$AA$35)&lt;PolicyEff),1,Milestones!$AC$35)&amp;";  ","")&amp;IF(AND(EDATE($D6,Milestones!$AA$36)&lt;=AsOfDate,EDATE($D6,Milestones!$AA$36)&gt;=SchemeStart,IF($X6=0,$AD6,IF(AND($Z6&lt;&gt;"",EDATE($D6,Milestones!$AA$36)&gt;=$Z6),$AC6,IF(AND($Y6&lt;&gt;"",EDATE($D6,Milestones!$AA$36)&gt;=$Y6),$AB6,$AA6)))=Milestones!$AB$36),UPPER(TEXT(EDATE($D6,Milestones!$AA$36),"dd mmm yy"))&amp;" "&amp;Milestones!$AB$36&amp;" "&amp;IF(AND(Milestones!$AB$36="FT",Milestones!$AA$36=FT_Y5,EDATE($D6,Milestones!$AA$36)&lt;PolicyEff),1,Milestones!$AC$36)&amp;";  ","")&amp;IF(AND(EDATE($D6,Milestones!$AA$37)&lt;=AsOfDate,EDATE($D6,Milestones!$AA$37)&gt;=SchemeStart,IF($X6=0,$AD6,IF(AND($Z6&lt;&gt;"",EDATE($D6,Milestones!$AA$37)&gt;=$Z6),$AC6,IF(AND($Y6&lt;&gt;"",EDATE($D6,Milestones!$AA$37)&gt;=$Y6),$AB6,$AA6)))=Milestones!$AB$37),UPPER(TEXT(EDATE($D6,Milestones!$AA$37),"dd mmm yy"))&amp;" "&amp;Milestones!$AB$37&amp;" "&amp;IF(AND(Milestones!$AB$37="FT",Milestones!$AA$37=FT_Y5,EDATE($D6,Milestones!$AA$37)&lt;PolicyEff),1,Milestones!$AC$37)&amp;";  ","")&amp;IF(AND(EDATE($D6,Milestones!$AA$38)&lt;=AsOfDate,EDATE($D6,Milestones!$AA$38)&gt;=SchemeStart,IF($X6=0,$AD6,IF(AND($Z6&lt;&gt;"",EDATE($D6,Milestones!$AA$38)&gt;=$Z6),$AC6,IF(AND($Y6&lt;&gt;"",EDATE($D6,Milestones!$AA$38)&gt;=$Y6),$AB6,$AA6)))=Milestones!$AB$38),UPPER(TEXT(EDATE($D6,Milestones!$AA$38),"dd mmm yy"))&amp;" "&amp;Milestones!$AB$38&amp;" "&amp;IF(AND(Milestones!$AB$38="FT",Milestones!$AA$38=FT_Y5,EDATE($D6,Milestones!$AA$38)&lt;PolicyEff),1,Milestones!$AC$38)&amp;";  ","")&amp;IF(AND(EDATE($D6,Milestones!$AA$39)&lt;=AsOfDate,EDATE($D6,Milestones!$AA$39)&gt;=SchemeStart,IF($X6=0,$AD6,IF(AND($Z6&lt;&gt;"",EDATE($D6,Milestones!$AA$39)&gt;=$Z6),$AC6,IF(AND($Y6&lt;&gt;"",EDATE($D6,Milestones!$AA$39)&gt;=$Y6),$AB6,$AA6)))=Milestones!$AB$39),UPPER(TEXT(EDATE($D6,Milestones!$AA$39),"dd mmm yy"))&amp;" "&amp;Milestones!$AB$39&amp;" "&amp;IF(AND(Milestones!$AB$39="FT",Milestones!$AA$39=FT_Y5,EDATE($D6,Milestones!$AA$39)&lt;PolicyEff),1,Milestones!$AC$39)&amp;";  ","")&amp;IF(AND(EDATE($D6,Milestones!$AA$40)&lt;=AsOfDate,EDATE($D6,Milestones!$AA$40)&gt;=SchemeStart,IF($X6=0,$AD6,IF(AND($Z6&lt;&gt;"",EDATE($D6,Milestones!$AA$40)&gt;=$Z6),$AC6,IF(AND($Y6&lt;&gt;"",EDATE($D6,Milestones!$AA$40)&gt;=$Y6),$AB6,$AA6)))=Milestones!$AB$40),UPPER(TEXT(EDATE($D6,Milestones!$AA$40),"dd mmm yy"))&amp;" "&amp;Milestones!$AB$40&amp;" "&amp;IF(AND(Milestones!$AB$40="FT",Milestones!$AA$40=FT_Y5,EDATE($D6,Milestones!$AA$40)&lt;PolicyEff),1,Milestones!$AC$40)&amp;";  ","")&amp;IF(AND(EDATE($D6,Milestones!$AA$41)&lt;=AsOfDate,EDATE($D6,Milestones!$AA$41)&gt;=SchemeStart,IF($X6=0,$AD6,IF(AND($Z6&lt;&gt;"",EDATE($D6,Milestones!$AA$41)&gt;=$Z6),$AC6,IF(AND($Y6&lt;&gt;"",EDATE($D6,Milestones!$AA$41)&gt;=$Y6),$AB6,$AA6)))=Milestones!$AB$41),UPPER(TEXT(EDATE($D6,Milestones!$AA$41),"dd mmm yy"))&amp;" "&amp;Milestones!$AB$41&amp;" "&amp;IF(AND(Milestones!$AB$41="FT",Milestones!$AA$41=FT_Y5,EDATE($D6,Milestones!$AA$41)&lt;PolicyEff),1,Milestones!$AC$41)&amp;";  ","")&amp;IF(AND(EDATE($D6,Milestones!$AA$42)&lt;=AsOfDate,EDATE($D6,Milestones!$AA$42)&gt;=SchemeStart,IF($X6=0,$AD6,IF(AND($Z6&lt;&gt;"",EDATE($D6,Milestones!$AA$42)&gt;=$Z6),$AC6,IF(AND($Y6&lt;&gt;"",EDATE($D6,Milestones!$AA$42)&gt;=$Y6),$AB6,$AA6)))=Milestones!$AB$42),UPPER(TEXT(EDATE($D6,Milestones!$AA$42),"dd mmm yy"))&amp;" "&amp;Milestones!$AB$42&amp;" "&amp;IF(AND(Milestones!$AB$42="FT",Milestones!$AA$42=FT_Y5,EDATE($D6,Milestones!$AA$42)&lt;PolicyEff),1,Milestones!$AC$42)&amp;";  ","")&amp;IF(AND(EDATE($D6,Milestones!$AA$43)&lt;=AsOfDate,EDATE($D6,Milestones!$AA$43)&gt;=SchemeStart,IF($X6=0,$AD6,IF(AND($Z6&lt;&gt;"",EDATE($D6,Milestones!$AA$43)&gt;=$Z6),$AC6,IF(AND($Y6&lt;&gt;"",EDATE($D6,Milestones!$AA$43)&gt;=$Y6),$AB6,$AA6)))=Milestones!$AB$43),UPPER(TEXT(EDATE($D6,Milestones!$AA$43),"dd mmm yy"))&amp;" "&amp;Milestones!$AB$43&amp;" "&amp;IF(AND(Milestones!$AB$43="FT",Milestones!$AA$43=FT_Y5,EDATE($D6,Milestones!$AA$43)&lt;PolicyEff),1,Milestones!$AC$43)&amp;";  ",""))</f>
        <v/>
      </c>
      <c r="K6" s="0" t="str">
        <f aca="false">IF(OR($A6="",$D6=""),"",IF(AND(EDATE($D6,Milestones!$AA$44)&lt;=AsOfDate,EDATE($D6,Milestones!$AA$44)&gt;=SchemeStart,IF($X6=0,$AD6,IF(AND($Z6&lt;&gt;"",EDATE($D6,Milestones!$AA$44)&gt;=$Z6),$AC6,IF(AND($Y6&lt;&gt;"",EDATE($D6,Milestones!$AA$44)&gt;=$Y6),$AB6,$AA6)))=Milestones!$AB$44),UPPER(TEXT(EDATE($D6,Milestones!$AA$44),"dd mmm yy"))&amp;" "&amp;Milestones!$AB$44&amp;" "&amp;IF(AND(Milestones!$AB$44="FT",Milestones!$AA$44=FT_Y5,EDATE($D6,Milestones!$AA$44)&lt;PolicyEff),1,Milestones!$AC$44)&amp;";  ","")&amp;IF(AND(EDATE($D6,Milestones!$AA$45)&lt;=AsOfDate,EDATE($D6,Milestones!$AA$45)&gt;=SchemeStart,IF($X6=0,$AD6,IF(AND($Z6&lt;&gt;"",EDATE($D6,Milestones!$AA$45)&gt;=$Z6),$AC6,IF(AND($Y6&lt;&gt;"",EDATE($D6,Milestones!$AA$45)&gt;=$Y6),$AB6,$AA6)))=Milestones!$AB$45),UPPER(TEXT(EDATE($D6,Milestones!$AA$45),"dd mmm yy"))&amp;" "&amp;Milestones!$AB$45&amp;" "&amp;IF(AND(Milestones!$AB$45="FT",Milestones!$AA$45=FT_Y5,EDATE($D6,Milestones!$AA$45)&lt;PolicyEff),1,Milestones!$AC$45)&amp;";  ","")&amp;IF(AND(EDATE($D6,Milestones!$AA$46)&lt;=AsOfDate,EDATE($D6,Milestones!$AA$46)&gt;=SchemeStart,IF($X6=0,$AD6,IF(AND($Z6&lt;&gt;"",EDATE($D6,Milestones!$AA$46)&gt;=$Z6),$AC6,IF(AND($Y6&lt;&gt;"",EDATE($D6,Milestones!$AA$46)&gt;=$Y6),$AB6,$AA6)))=Milestones!$AB$46),UPPER(TEXT(EDATE($D6,Milestones!$AA$46),"dd mmm yy"))&amp;" "&amp;Milestones!$AB$46&amp;" "&amp;IF(AND(Milestones!$AB$46="FT",Milestones!$AA$46=FT_Y5,EDATE($D6,Milestones!$AA$46)&lt;PolicyEff),1,Milestones!$AC$46)&amp;";  ","")&amp;IF(AND(EDATE($D6,Milestones!$AA$47)&lt;=AsOfDate,EDATE($D6,Milestones!$AA$47)&gt;=SchemeStart,IF($X6=0,$AD6,IF(AND($Z6&lt;&gt;"",EDATE($D6,Milestones!$AA$47)&gt;=$Z6),$AC6,IF(AND($Y6&lt;&gt;"",EDATE($D6,Milestones!$AA$47)&gt;=$Y6),$AB6,$AA6)))=Milestones!$AB$47),UPPER(TEXT(EDATE($D6,Milestones!$AA$47),"dd mmm yy"))&amp;" "&amp;Milestones!$AB$47&amp;" "&amp;IF(AND(Milestones!$AB$47="FT",Milestones!$AA$47=FT_Y5,EDATE($D6,Milestones!$AA$47)&lt;PolicyEff),1,Milestones!$AC$47)&amp;";  ","")&amp;IF(AND(EDATE($D6,Milestones!$AA$48)&lt;=AsOfDate,EDATE($D6,Milestones!$AA$48)&gt;=SchemeStart,IF($X6=0,$AD6,IF(AND($Z6&lt;&gt;"",EDATE($D6,Milestones!$AA$48)&gt;=$Z6),$AC6,IF(AND($Y6&lt;&gt;"",EDATE($D6,Milestones!$AA$48)&gt;=$Y6),$AB6,$AA6)))=Milestones!$AB$48),UPPER(TEXT(EDATE($D6,Milestones!$AA$48),"dd mmm yy"))&amp;" "&amp;Milestones!$AB$48&amp;" "&amp;IF(AND(Milestones!$AB$48="FT",Milestones!$AA$48=FT_Y5,EDATE($D6,Milestones!$AA$48)&lt;PolicyEff),1,Milestones!$AC$48)&amp;";  ","")&amp;IF(AND(EDATE($D6,Milestones!$AA$49)&lt;=AsOfDate,EDATE($D6,Milestones!$AA$49)&gt;=SchemeStart,IF($X6=0,$AD6,IF(AND($Z6&lt;&gt;"",EDATE($D6,Milestones!$AA$49)&gt;=$Z6),$AC6,IF(AND($Y6&lt;&gt;"",EDATE($D6,Milestones!$AA$49)&gt;=$Y6),$AB6,$AA6)))=Milestones!$AB$49),UPPER(TEXT(EDATE($D6,Milestones!$AA$49),"dd mmm yy"))&amp;" "&amp;Milestones!$AB$49&amp;" "&amp;IF(AND(Milestones!$AB$49="FT",Milestones!$AA$49=FT_Y5,EDATE($D6,Milestones!$AA$49)&lt;PolicyEff),1,Milestones!$AC$49)&amp;";  ","")&amp;IF(AND(EDATE($D6,Milestones!$AA$50)&lt;=AsOfDate,EDATE($D6,Milestones!$AA$50)&gt;=SchemeStart,IF($X6=0,$AD6,IF(AND($Z6&lt;&gt;"",EDATE($D6,Milestones!$AA$50)&gt;=$Z6),$AC6,IF(AND($Y6&lt;&gt;"",EDATE($D6,Milestones!$AA$50)&gt;=$Y6),$AB6,$AA6)))=Milestones!$AB$50),UPPER(TEXT(EDATE($D6,Milestones!$AA$50),"dd mmm yy"))&amp;" "&amp;Milestones!$AB$50&amp;" "&amp;IF(AND(Milestones!$AB$50="FT",Milestones!$AA$50=FT_Y5,EDATE($D6,Milestones!$AA$50)&lt;PolicyEff),1,Milestones!$AC$50)&amp;";  ","")&amp;IF(AND(EDATE($D6,Milestones!$AA$51)&lt;=AsOfDate,EDATE($D6,Milestones!$AA$51)&gt;=SchemeStart,IF($X6=0,$AD6,IF(AND($Z6&lt;&gt;"",EDATE($D6,Milestones!$AA$51)&gt;=$Z6),$AC6,IF(AND($Y6&lt;&gt;"",EDATE($D6,Milestones!$AA$51)&gt;=$Y6),$AB6,$AA6)))=Milestones!$AB$51),UPPER(TEXT(EDATE($D6,Milestones!$AA$51),"dd mmm yy"))&amp;" "&amp;Milestones!$AB$51&amp;" "&amp;IF(AND(Milestones!$AB$51="FT",Milestones!$AA$51=FT_Y5,EDATE($D6,Milestones!$AA$51)&lt;PolicyEff),1,Milestones!$AC$51)&amp;";  ","")&amp;IF(AND(EDATE($D6,Milestones!$AA$52)&lt;=AsOfDate,EDATE($D6,Milestones!$AA$52)&gt;=SchemeStart,IF($X6=0,$AD6,IF(AND($Z6&lt;&gt;"",EDATE($D6,Milestones!$AA$52)&gt;=$Z6),$AC6,IF(AND($Y6&lt;&gt;"",EDATE($D6,Milestones!$AA$52)&gt;=$Y6),$AB6,$AA6)))=Milestones!$AB$52),UPPER(TEXT(EDATE($D6,Milestones!$AA$52),"dd mmm yy"))&amp;" "&amp;Milestones!$AB$52&amp;" "&amp;IF(AND(Milestones!$AB$52="FT",Milestones!$AA$52=FT_Y5,EDATE($D6,Milestones!$AA$52)&lt;PolicyEff),1,Milestones!$AC$52)&amp;";  ","")&amp;IF(AND(EDATE($D6,Milestones!$AA$53)&lt;=AsOfDate,EDATE($D6,Milestones!$AA$53)&gt;=SchemeStart,IF($X6=0,$AD6,IF(AND($Z6&lt;&gt;"",EDATE($D6,Milestones!$AA$53)&gt;=$Z6),$AC6,IF(AND($Y6&lt;&gt;"",EDATE($D6,Milestones!$AA$53)&gt;=$Y6),$AB6,$AA6)))=Milestones!$AB$53),UPPER(TEXT(EDATE($D6,Milestones!$AA$53),"dd mmm yy"))&amp;" "&amp;Milestones!$AB$53&amp;" "&amp;IF(AND(Milestones!$AB$53="FT",Milestones!$AA$53=FT_Y5,EDATE($D6,Milestones!$AA$53)&lt;PolicyEff),1,Milestones!$AC$53)&amp;";  ","")&amp;IF(AND(EDATE($D6,Milestones!$AA$54)&lt;=AsOfDate,EDATE($D6,Milestones!$AA$54)&gt;=SchemeStart,IF($X6=0,$AD6,IF(AND($Z6&lt;&gt;"",EDATE($D6,Milestones!$AA$54)&gt;=$Z6),$AC6,IF(AND($Y6&lt;&gt;"",EDATE($D6,Milestones!$AA$54)&gt;=$Y6),$AB6,$AA6)))=Milestones!$AB$54),UPPER(TEXT(EDATE($D6,Milestones!$AA$54),"dd mmm yy"))&amp;" "&amp;Milestones!$AB$54&amp;" "&amp;IF(AND(Milestones!$AB$54="FT",Milestones!$AA$54=FT_Y5,EDATE($D6,Milestones!$AA$54)&lt;PolicyEff),1,Milestones!$AC$54)&amp;";  ","")&amp;IF(AND(EDATE($D6,Milestones!$AA$55)&lt;=AsOfDate,EDATE($D6,Milestones!$AA$55)&gt;=SchemeStart,IF($X6=0,$AD6,IF(AND($Z6&lt;&gt;"",EDATE($D6,Milestones!$AA$55)&gt;=$Z6),$AC6,IF(AND($Y6&lt;&gt;"",EDATE($D6,Milestones!$AA$55)&gt;=$Y6),$AB6,$AA6)))=Milestones!$AB$55),UPPER(TEXT(EDATE($D6,Milestones!$AA$55),"dd mmm yy"))&amp;" "&amp;Milestones!$AB$55&amp;" "&amp;IF(AND(Milestones!$AB$55="FT",Milestones!$AA$55=FT_Y5,EDATE($D6,Milestones!$AA$55)&lt;PolicyEff),1,Milestones!$AC$55)&amp;";  ",""))</f>
        <v/>
      </c>
      <c r="L6" s="0" t="str">
        <f aca="false">IF(OR($A6="",$D6=""),"",IF(AND(EDATE($D6,Milestones!$AA$56)&lt;=AsOfDate,EDATE($D6,Milestones!$AA$56)&gt;=SchemeStart,IF($X6=0,$AD6,IF(AND($Z6&lt;&gt;"",EDATE($D6,Milestones!$AA$56)&gt;=$Z6),$AC6,IF(AND($Y6&lt;&gt;"",EDATE($D6,Milestones!$AA$56)&gt;=$Y6),$AB6,$AA6)))=Milestones!$AB$56),UPPER(TEXT(EDATE($D6,Milestones!$AA$56),"dd mmm yy"))&amp;" "&amp;Milestones!$AB$56&amp;" "&amp;IF(AND(Milestones!$AB$56="FT",Milestones!$AA$56=FT_Y5,EDATE($D6,Milestones!$AA$56)&lt;PolicyEff),1,Milestones!$AC$56)&amp;";  ","")&amp;IF(AND(EDATE($D6,Milestones!$AA$57)&lt;=AsOfDate,EDATE($D6,Milestones!$AA$57)&gt;=SchemeStart,IF($X6=0,$AD6,IF(AND($Z6&lt;&gt;"",EDATE($D6,Milestones!$AA$57)&gt;=$Z6),$AC6,IF(AND($Y6&lt;&gt;"",EDATE($D6,Milestones!$AA$57)&gt;=$Y6),$AB6,$AA6)))=Milestones!$AB$57),UPPER(TEXT(EDATE($D6,Milestones!$AA$57),"dd mmm yy"))&amp;" "&amp;Milestones!$AB$57&amp;" "&amp;IF(AND(Milestones!$AB$57="FT",Milestones!$AA$57=FT_Y5,EDATE($D6,Milestones!$AA$57)&lt;PolicyEff),1,Milestones!$AC$57)&amp;";  ","")&amp;IF(AND(EDATE($D6,Milestones!$AA$58)&lt;=AsOfDate,EDATE($D6,Milestones!$AA$58)&gt;=SchemeStart,IF($X6=0,$AD6,IF(AND($Z6&lt;&gt;"",EDATE($D6,Milestones!$AA$58)&gt;=$Z6),$AC6,IF(AND($Y6&lt;&gt;"",EDATE($D6,Milestones!$AA$58)&gt;=$Y6),$AB6,$AA6)))=Milestones!$AB$58),UPPER(TEXT(EDATE($D6,Milestones!$AA$58),"dd mmm yy"))&amp;" "&amp;Milestones!$AB$58&amp;" "&amp;IF(AND(Milestones!$AB$58="FT",Milestones!$AA$58=FT_Y5,EDATE($D6,Milestones!$AA$58)&lt;PolicyEff),1,Milestones!$AC$58)&amp;";  ","")&amp;IF(AND(EDATE($D6,Milestones!$AA$59)&lt;=AsOfDate,EDATE($D6,Milestones!$AA$59)&gt;=SchemeStart,IF($X6=0,$AD6,IF(AND($Z6&lt;&gt;"",EDATE($D6,Milestones!$AA$59)&gt;=$Z6),$AC6,IF(AND($Y6&lt;&gt;"",EDATE($D6,Milestones!$AA$59)&gt;=$Y6),$AB6,$AA6)))=Milestones!$AB$59),UPPER(TEXT(EDATE($D6,Milestones!$AA$59),"dd mmm yy"))&amp;" "&amp;Milestones!$AB$59&amp;" "&amp;IF(AND(Milestones!$AB$59="FT",Milestones!$AA$59=FT_Y5,EDATE($D6,Milestones!$AA$59)&lt;PolicyEff),1,Milestones!$AC$59)&amp;";  ","")&amp;IF(AND(EDATE($D6,Milestones!$AA$60)&lt;=AsOfDate,EDATE($D6,Milestones!$AA$60)&gt;=SchemeStart,IF($X6=0,$AD6,IF(AND($Z6&lt;&gt;"",EDATE($D6,Milestones!$AA$60)&gt;=$Z6),$AC6,IF(AND($Y6&lt;&gt;"",EDATE($D6,Milestones!$AA$60)&gt;=$Y6),$AB6,$AA6)))=Milestones!$AB$60),UPPER(TEXT(EDATE($D6,Milestones!$AA$60),"dd mmm yy"))&amp;" "&amp;Milestones!$AB$60&amp;" "&amp;IF(AND(Milestones!$AB$60="FT",Milestones!$AA$60=FT_Y5,EDATE($D6,Milestones!$AA$60)&lt;PolicyEff),1,Milestones!$AC$60)&amp;";  ","")&amp;IF(AND(EDATE($D6,Milestones!$AA$61)&lt;=AsOfDate,EDATE($D6,Milestones!$AA$61)&gt;=SchemeStart,IF($X6=0,$AD6,IF(AND($Z6&lt;&gt;"",EDATE($D6,Milestones!$AA$61)&gt;=$Z6),$AC6,IF(AND($Y6&lt;&gt;"",EDATE($D6,Milestones!$AA$61)&gt;=$Y6),$AB6,$AA6)))=Milestones!$AB$61),UPPER(TEXT(EDATE($D6,Milestones!$AA$61),"dd mmm yy"))&amp;" "&amp;Milestones!$AB$61&amp;" "&amp;IF(AND(Milestones!$AB$61="FT",Milestones!$AA$61=FT_Y5,EDATE($D6,Milestones!$AA$61)&lt;PolicyEff),1,Milestones!$AC$61)&amp;";  ","")&amp;IF(AND(EDATE($D6,Milestones!$AA$62)&lt;=AsOfDate,EDATE($D6,Milestones!$AA$62)&gt;=SchemeStart,IF($X6=0,$AD6,IF(AND($Z6&lt;&gt;"",EDATE($D6,Milestones!$AA$62)&gt;=$Z6),$AC6,IF(AND($Y6&lt;&gt;"",EDATE($D6,Milestones!$AA$62)&gt;=$Y6),$AB6,$AA6)))=Milestones!$AB$62),UPPER(TEXT(EDATE($D6,Milestones!$AA$62),"dd mmm yy"))&amp;" "&amp;Milestones!$AB$62&amp;" "&amp;IF(AND(Milestones!$AB$62="FT",Milestones!$AA$62=FT_Y5,EDATE($D6,Milestones!$AA$62)&lt;PolicyEff),1,Milestones!$AC$62)&amp;";  ","")&amp;IF(AND(EDATE($D6,Milestones!$AA$63)&lt;=AsOfDate,EDATE($D6,Milestones!$AA$63)&gt;=SchemeStart,IF($X6=0,$AD6,IF(AND($Z6&lt;&gt;"",EDATE($D6,Milestones!$AA$63)&gt;=$Z6),$AC6,IF(AND($Y6&lt;&gt;"",EDATE($D6,Milestones!$AA$63)&gt;=$Y6),$AB6,$AA6)))=Milestones!$AB$63),UPPER(TEXT(EDATE($D6,Milestones!$AA$63),"dd mmm yy"))&amp;" "&amp;Milestones!$AB$63&amp;" "&amp;IF(AND(Milestones!$AB$63="FT",Milestones!$AA$63=FT_Y5,EDATE($D6,Milestones!$AA$63)&lt;PolicyEff),1,Milestones!$AC$63)&amp;";  ","")&amp;IF(AND(EDATE($D6,Milestones!$AA$64)&lt;=AsOfDate,EDATE($D6,Milestones!$AA$64)&gt;=SchemeStart,IF($X6=0,$AD6,IF(AND($Z6&lt;&gt;"",EDATE($D6,Milestones!$AA$64)&gt;=$Z6),$AC6,IF(AND($Y6&lt;&gt;"",EDATE($D6,Milestones!$AA$64)&gt;=$Y6),$AB6,$AA6)))=Milestones!$AB$64),UPPER(TEXT(EDATE($D6,Milestones!$AA$64),"dd mmm yy"))&amp;" "&amp;Milestones!$AB$64&amp;" "&amp;IF(AND(Milestones!$AB$64="FT",Milestones!$AA$64=FT_Y5,EDATE($D6,Milestones!$AA$64)&lt;PolicyEff),1,Milestones!$AC$64)&amp;";  ","")&amp;IF(AND(EDATE($D6,Milestones!$AA$65)&lt;=AsOfDate,EDATE($D6,Milestones!$AA$65)&gt;=SchemeStart,IF($X6=0,$AD6,IF(AND($Z6&lt;&gt;"",EDATE($D6,Milestones!$AA$65)&gt;=$Z6),$AC6,IF(AND($Y6&lt;&gt;"",EDATE($D6,Milestones!$AA$65)&gt;=$Y6),$AB6,$AA6)))=Milestones!$AB$65),UPPER(TEXT(EDATE($D6,Milestones!$AA$65),"dd mmm yy"))&amp;" "&amp;Milestones!$AB$65&amp;" "&amp;IF(AND(Milestones!$AB$65="FT",Milestones!$AA$65=FT_Y5,EDATE($D6,Milestones!$AA$65)&lt;PolicyEff),1,Milestones!$AC$65)&amp;";  ","")&amp;IF(AND(EDATE($D6,Milestones!$AA$66)&lt;=AsOfDate,EDATE($D6,Milestones!$AA$66)&gt;=SchemeStart,IF($X6=0,$AD6,IF(AND($Z6&lt;&gt;"",EDATE($D6,Milestones!$AA$66)&gt;=$Z6),$AC6,IF(AND($Y6&lt;&gt;"",EDATE($D6,Milestones!$AA$66)&gt;=$Y6),$AB6,$AA6)))=Milestones!$AB$66),UPPER(TEXT(EDATE($D6,Milestones!$AA$66),"dd mmm yy"))&amp;" "&amp;Milestones!$AB$66&amp;" "&amp;IF(AND(Milestones!$AB$66="FT",Milestones!$AA$66=FT_Y5,EDATE($D6,Milestones!$AA$66)&lt;PolicyEff),1,Milestones!$AC$66)&amp;";  ","")&amp;IF(AND(EDATE($D6,Milestones!$AA$67)&lt;=AsOfDate,EDATE($D6,Milestones!$AA$67)&gt;=SchemeStart,IF($X6=0,$AD6,IF(AND($Z6&lt;&gt;"",EDATE($D6,Milestones!$AA$67)&gt;=$Z6),$AC6,IF(AND($Y6&lt;&gt;"",EDATE($D6,Milestones!$AA$67)&gt;=$Y6),$AB6,$AA6)))=Milestones!$AB$67),UPPER(TEXT(EDATE($D6,Milestones!$AA$67),"dd mmm yy"))&amp;" "&amp;Milestones!$AB$67&amp;" "&amp;IF(AND(Milestones!$AB$67="FT",Milestones!$AA$67=FT_Y5,EDATE($D6,Milestones!$AA$67)&lt;PolicyEff),1,Milestones!$AC$67)&amp;";  ",""))</f>
        <v/>
      </c>
      <c r="M6" s="0" t="str">
        <f aca="false">IF(OR($A6="",$D6=""),"",IF(AND(EDATE($D6,Milestones!$AA$68)&lt;=AsOfDate,EDATE($D6,Milestones!$AA$68)&gt;=SchemeStart,IF($X6=0,$AD6,IF(AND($Z6&lt;&gt;"",EDATE($D6,Milestones!$AA$68)&gt;=$Z6),$AC6,IF(AND($Y6&lt;&gt;"",EDATE($D6,Milestones!$AA$68)&gt;=$Y6),$AB6,$AA6)))=Milestones!$AB$68),UPPER(TEXT(EDATE($D6,Milestones!$AA$68),"dd mmm yy"))&amp;" "&amp;Milestones!$AB$68&amp;" "&amp;IF(AND(Milestones!$AB$68="FT",Milestones!$AA$68=FT_Y5,EDATE($D6,Milestones!$AA$68)&lt;PolicyEff),1,Milestones!$AC$68)&amp;";  ","")&amp;IF(AND(EDATE($D6,Milestones!$AA$69)&lt;=AsOfDate,EDATE($D6,Milestones!$AA$69)&gt;=SchemeStart,IF($X6=0,$AD6,IF(AND($Z6&lt;&gt;"",EDATE($D6,Milestones!$AA$69)&gt;=$Z6),$AC6,IF(AND($Y6&lt;&gt;"",EDATE($D6,Milestones!$AA$69)&gt;=$Y6),$AB6,$AA6)))=Milestones!$AB$69),UPPER(TEXT(EDATE($D6,Milestones!$AA$69),"dd mmm yy"))&amp;" "&amp;Milestones!$AB$69&amp;" "&amp;IF(AND(Milestones!$AB$69="FT",Milestones!$AA$69=FT_Y5,EDATE($D6,Milestones!$AA$69)&lt;PolicyEff),1,Milestones!$AC$69)&amp;";  ","")&amp;IF(AND(EDATE($D6,Milestones!$AA$70)&lt;=AsOfDate,EDATE($D6,Milestones!$AA$70)&gt;=SchemeStart,IF($X6=0,$AD6,IF(AND($Z6&lt;&gt;"",EDATE($D6,Milestones!$AA$70)&gt;=$Z6),$AC6,IF(AND($Y6&lt;&gt;"",EDATE($D6,Milestones!$AA$70)&gt;=$Y6),$AB6,$AA6)))=Milestones!$AB$70),UPPER(TEXT(EDATE($D6,Milestones!$AA$70),"dd mmm yy"))&amp;" "&amp;Milestones!$AB$70&amp;" "&amp;IF(AND(Milestones!$AB$70="FT",Milestones!$AA$70=FT_Y5,EDATE($D6,Milestones!$AA$70)&lt;PolicyEff),1,Milestones!$AC$70)&amp;";  ","")&amp;IF(AND(EDATE($D6,Milestones!$AA$71)&lt;=AsOfDate,EDATE($D6,Milestones!$AA$71)&gt;=SchemeStart,IF($X6=0,$AD6,IF(AND($Z6&lt;&gt;"",EDATE($D6,Milestones!$AA$71)&gt;=$Z6),$AC6,IF(AND($Y6&lt;&gt;"",EDATE($D6,Milestones!$AA$71)&gt;=$Y6),$AB6,$AA6)))=Milestones!$AB$71),UPPER(TEXT(EDATE($D6,Milestones!$AA$71),"dd mmm yy"))&amp;" "&amp;Milestones!$AB$71&amp;" "&amp;IF(AND(Milestones!$AB$71="FT",Milestones!$AA$71=FT_Y5,EDATE($D6,Milestones!$AA$71)&lt;PolicyEff),1,Milestones!$AC$71)&amp;";  ","")&amp;IF(AND(EDATE($D6,Milestones!$AA$72)&lt;=AsOfDate,EDATE($D6,Milestones!$AA$72)&gt;=SchemeStart,IF($X6=0,$AD6,IF(AND($Z6&lt;&gt;"",EDATE($D6,Milestones!$AA$72)&gt;=$Z6),$AC6,IF(AND($Y6&lt;&gt;"",EDATE($D6,Milestones!$AA$72)&gt;=$Y6),$AB6,$AA6)))=Milestones!$AB$72),UPPER(TEXT(EDATE($D6,Milestones!$AA$72),"dd mmm yy"))&amp;" "&amp;Milestones!$AB$72&amp;" "&amp;IF(AND(Milestones!$AB$72="FT",Milestones!$AA$72=FT_Y5,EDATE($D6,Milestones!$AA$72)&lt;PolicyEff),1,Milestones!$AC$72)&amp;";  ","")&amp;IF(AND(EDATE($D6,Milestones!$AA$73)&lt;=AsOfDate,EDATE($D6,Milestones!$AA$73)&gt;=SchemeStart,IF($X6=0,$AD6,IF(AND($Z6&lt;&gt;"",EDATE($D6,Milestones!$AA$73)&gt;=$Z6),$AC6,IF(AND($Y6&lt;&gt;"",EDATE($D6,Milestones!$AA$73)&gt;=$Y6),$AB6,$AA6)))=Milestones!$AB$73),UPPER(TEXT(EDATE($D6,Milestones!$AA$73),"dd mmm yy"))&amp;" "&amp;Milestones!$AB$73&amp;" "&amp;IF(AND(Milestones!$AB$73="FT",Milestones!$AA$73=FT_Y5,EDATE($D6,Milestones!$AA$73)&lt;PolicyEff),1,Milestones!$AC$73)&amp;";  ","")&amp;IF(AND(EDATE($D6,Milestones!$AA$74)&lt;=AsOfDate,EDATE($D6,Milestones!$AA$74)&gt;=SchemeStart,IF($X6=0,$AD6,IF(AND($Z6&lt;&gt;"",EDATE($D6,Milestones!$AA$74)&gt;=$Z6),$AC6,IF(AND($Y6&lt;&gt;"",EDATE($D6,Milestones!$AA$74)&gt;=$Y6),$AB6,$AA6)))=Milestones!$AB$74),UPPER(TEXT(EDATE($D6,Milestones!$AA$74),"dd mmm yy"))&amp;" "&amp;Milestones!$AB$74&amp;" "&amp;IF(AND(Milestones!$AB$74="FT",Milestones!$AA$74=FT_Y5,EDATE($D6,Milestones!$AA$74)&lt;PolicyEff),1,Milestones!$AC$74)&amp;";  ","")&amp;IF(AND(EDATE($D6,Milestones!$AA$75)&lt;=AsOfDate,EDATE($D6,Milestones!$AA$75)&gt;=SchemeStart,IF($X6=0,$AD6,IF(AND($Z6&lt;&gt;"",EDATE($D6,Milestones!$AA$75)&gt;=$Z6),$AC6,IF(AND($Y6&lt;&gt;"",EDATE($D6,Milestones!$AA$75)&gt;=$Y6),$AB6,$AA6)))=Milestones!$AB$75),UPPER(TEXT(EDATE($D6,Milestones!$AA$75),"dd mmm yy"))&amp;" "&amp;Milestones!$AB$75&amp;" "&amp;IF(AND(Milestones!$AB$75="FT",Milestones!$AA$75=FT_Y5,EDATE($D6,Milestones!$AA$75)&lt;PolicyEff),1,Milestones!$AC$75)&amp;";  ","")&amp;IF(AND(EDATE($D6,Milestones!$AA$76)&lt;=AsOfDate,EDATE($D6,Milestones!$AA$76)&gt;=SchemeStart,IF($X6=0,$AD6,IF(AND($Z6&lt;&gt;"",EDATE($D6,Milestones!$AA$76)&gt;=$Z6),$AC6,IF(AND($Y6&lt;&gt;"",EDATE($D6,Milestones!$AA$76)&gt;=$Y6),$AB6,$AA6)))=Milestones!$AB$76),UPPER(TEXT(EDATE($D6,Milestones!$AA$76),"dd mmm yy"))&amp;" "&amp;Milestones!$AB$76&amp;" "&amp;IF(AND(Milestones!$AB$76="FT",Milestones!$AA$76=FT_Y5,EDATE($D6,Milestones!$AA$76)&lt;PolicyEff),1,Milestones!$AC$76)&amp;";  ","")&amp;IF(AND(EDATE($D6,Milestones!$AA$77)&lt;=AsOfDate,EDATE($D6,Milestones!$AA$77)&gt;=SchemeStart,IF($X6=0,$AD6,IF(AND($Z6&lt;&gt;"",EDATE($D6,Milestones!$AA$77)&gt;=$Z6),$AC6,IF(AND($Y6&lt;&gt;"",EDATE($D6,Milestones!$AA$77)&gt;=$Y6),$AB6,$AA6)))=Milestones!$AB$77),UPPER(TEXT(EDATE($D6,Milestones!$AA$77),"dd mmm yy"))&amp;" "&amp;Milestones!$AB$77&amp;" "&amp;IF(AND(Milestones!$AB$77="FT",Milestones!$AA$77=FT_Y5,EDATE($D6,Milestones!$AA$77)&lt;PolicyEff),1,Milestones!$AC$77)&amp;";  ","")&amp;IF(AND(EDATE($D6,Milestones!$AA$78)&lt;=AsOfDate,EDATE($D6,Milestones!$AA$78)&gt;=SchemeStart,IF($X6=0,$AD6,IF(AND($Z6&lt;&gt;"",EDATE($D6,Milestones!$AA$78)&gt;=$Z6),$AC6,IF(AND($Y6&lt;&gt;"",EDATE($D6,Milestones!$AA$78)&gt;=$Y6),$AB6,$AA6)))=Milestones!$AB$78),UPPER(TEXT(EDATE($D6,Milestones!$AA$78),"dd mmm yy"))&amp;" "&amp;Milestones!$AB$78&amp;" "&amp;IF(AND(Milestones!$AB$78="FT",Milestones!$AA$78=FT_Y5,EDATE($D6,Milestones!$AA$78)&lt;PolicyEff),1,Milestones!$AC$78)&amp;";  ","")&amp;IF(AND(EDATE($D6,Milestones!$AA$79)&lt;=AsOfDate,EDATE($D6,Milestones!$AA$79)&gt;=SchemeStart,IF($X6=0,$AD6,IF(AND($Z6&lt;&gt;"",EDATE($D6,Milestones!$AA$79)&gt;=$Z6),$AC6,IF(AND($Y6&lt;&gt;"",EDATE($D6,Milestones!$AA$79)&gt;=$Y6),$AB6,$AA6)))=Milestones!$AB$79),UPPER(TEXT(EDATE($D6,Milestones!$AA$79),"dd mmm yy"))&amp;" "&amp;Milestones!$AB$79&amp;" "&amp;IF(AND(Milestones!$AB$79="FT",Milestones!$AA$79=FT_Y5,EDATE($D6,Milestones!$AA$79)&lt;PolicyEff),1,Milestones!$AC$79)&amp;";  ",""))</f>
        <v/>
      </c>
      <c r="N6" s="0" t="str">
        <f aca="false">IF(OR($A6="",$D6=""),"",IF(AND(EDATE($D6,Milestones!$AA$80)&lt;=AsOfDate,EDATE($D6,Milestones!$AA$80)&gt;=SchemeStart,IF($X6=0,$AD6,IF(AND($Z6&lt;&gt;"",EDATE($D6,Milestones!$AA$80)&gt;=$Z6),$AC6,IF(AND($Y6&lt;&gt;"",EDATE($D6,Milestones!$AA$80)&gt;=$Y6),$AB6,$AA6)))=Milestones!$AB$80),UPPER(TEXT(EDATE($D6,Milestones!$AA$80),"dd mmm yy"))&amp;" "&amp;Milestones!$AB$80&amp;" "&amp;IF(AND(Milestones!$AB$80="FT",Milestones!$AA$80=FT_Y5,EDATE($D6,Milestones!$AA$80)&lt;PolicyEff),1,Milestones!$AC$80)&amp;";  ","")&amp;IF(AND(EDATE($D6,Milestones!$AA$81)&lt;=AsOfDate,EDATE($D6,Milestones!$AA$81)&gt;=SchemeStart,IF($X6=0,$AD6,IF(AND($Z6&lt;&gt;"",EDATE($D6,Milestones!$AA$81)&gt;=$Z6),$AC6,IF(AND($Y6&lt;&gt;"",EDATE($D6,Milestones!$AA$81)&gt;=$Y6),$AB6,$AA6)))=Milestones!$AB$81),UPPER(TEXT(EDATE($D6,Milestones!$AA$81),"dd mmm yy"))&amp;" "&amp;Milestones!$AB$81&amp;" "&amp;IF(AND(Milestones!$AB$81="FT",Milestones!$AA$81=FT_Y5,EDATE($D6,Milestones!$AA$81)&lt;PolicyEff),1,Milestones!$AC$81)&amp;";  ","")&amp;IF(AND(EDATE($D6,Milestones!$AA$82)&lt;=AsOfDate,EDATE($D6,Milestones!$AA$82)&gt;=SchemeStart,IF($X6=0,$AD6,IF(AND($Z6&lt;&gt;"",EDATE($D6,Milestones!$AA$82)&gt;=$Z6),$AC6,IF(AND($Y6&lt;&gt;"",EDATE($D6,Milestones!$AA$82)&gt;=$Y6),$AB6,$AA6)))=Milestones!$AB$82),UPPER(TEXT(EDATE($D6,Milestones!$AA$82),"dd mmm yy"))&amp;" "&amp;Milestones!$AB$82&amp;" "&amp;IF(AND(Milestones!$AB$82="FT",Milestones!$AA$82=FT_Y5,EDATE($D6,Milestones!$AA$82)&lt;PolicyEff),1,Milestones!$AC$82)&amp;";  ","")&amp;IF(AND(EDATE($D6,Milestones!$AA$83)&lt;=AsOfDate,EDATE($D6,Milestones!$AA$83)&gt;=SchemeStart,IF($X6=0,$AD6,IF(AND($Z6&lt;&gt;"",EDATE($D6,Milestones!$AA$83)&gt;=$Z6),$AC6,IF(AND($Y6&lt;&gt;"",EDATE($D6,Milestones!$AA$83)&gt;=$Y6),$AB6,$AA6)))=Milestones!$AB$83),UPPER(TEXT(EDATE($D6,Milestones!$AA$83),"dd mmm yy"))&amp;" "&amp;Milestones!$AB$83&amp;" "&amp;IF(AND(Milestones!$AB$83="FT",Milestones!$AA$83=FT_Y5,EDATE($D6,Milestones!$AA$83)&lt;PolicyEff),1,Milestones!$AC$83)&amp;";  ","")&amp;IF(AND(EDATE($D6,Milestones!$AA$84)&lt;=AsOfDate,EDATE($D6,Milestones!$AA$84)&gt;=SchemeStart,IF($X6=0,$AD6,IF(AND($Z6&lt;&gt;"",EDATE($D6,Milestones!$AA$84)&gt;=$Z6),$AC6,IF(AND($Y6&lt;&gt;"",EDATE($D6,Milestones!$AA$84)&gt;=$Y6),$AB6,$AA6)))=Milestones!$AB$84),UPPER(TEXT(EDATE($D6,Milestones!$AA$84),"dd mmm yy"))&amp;" "&amp;Milestones!$AB$84&amp;" "&amp;IF(AND(Milestones!$AB$84="FT",Milestones!$AA$84=FT_Y5,EDATE($D6,Milestones!$AA$84)&lt;PolicyEff),1,Milestones!$AC$84)&amp;";  ","")&amp;IF(AND(EDATE($D6,Milestones!$AA$85)&lt;=AsOfDate,EDATE($D6,Milestones!$AA$85)&gt;=SchemeStart,IF($X6=0,$AD6,IF(AND($Z6&lt;&gt;"",EDATE($D6,Milestones!$AA$85)&gt;=$Z6),$AC6,IF(AND($Y6&lt;&gt;"",EDATE($D6,Milestones!$AA$85)&gt;=$Y6),$AB6,$AA6)))=Milestones!$AB$85),UPPER(TEXT(EDATE($D6,Milestones!$AA$85),"dd mmm yy"))&amp;" "&amp;Milestones!$AB$85&amp;" "&amp;IF(AND(Milestones!$AB$85="FT",Milestones!$AA$85=FT_Y5,EDATE($D6,Milestones!$AA$85)&lt;PolicyEff),1,Milestones!$AC$85)&amp;";  ","")&amp;IF(AND(EDATE($D6,Milestones!$AA$86)&lt;=AsOfDate,EDATE($D6,Milestones!$AA$86)&gt;=SchemeStart,IF($X6=0,$AD6,IF(AND($Z6&lt;&gt;"",EDATE($D6,Milestones!$AA$86)&gt;=$Z6),$AC6,IF(AND($Y6&lt;&gt;"",EDATE($D6,Milestones!$AA$86)&gt;=$Y6),$AB6,$AA6)))=Milestones!$AB$86),UPPER(TEXT(EDATE($D6,Milestones!$AA$86),"dd mmm yy"))&amp;" "&amp;Milestones!$AB$86&amp;" "&amp;IF(AND(Milestones!$AB$86="FT",Milestones!$AA$86=FT_Y5,EDATE($D6,Milestones!$AA$86)&lt;PolicyEff),1,Milestones!$AC$86)&amp;";  ","")&amp;IF(AND(EDATE($D6,Milestones!$AA$87)&lt;=AsOfDate,EDATE($D6,Milestones!$AA$87)&gt;=SchemeStart,IF($X6=0,$AD6,IF(AND($Z6&lt;&gt;"",EDATE($D6,Milestones!$AA$87)&gt;=$Z6),$AC6,IF(AND($Y6&lt;&gt;"",EDATE($D6,Milestones!$AA$87)&gt;=$Y6),$AB6,$AA6)))=Milestones!$AB$87),UPPER(TEXT(EDATE($D6,Milestones!$AA$87),"dd mmm yy"))&amp;" "&amp;Milestones!$AB$87&amp;" "&amp;IF(AND(Milestones!$AB$87="FT",Milestones!$AA$87=FT_Y5,EDATE($D6,Milestones!$AA$87)&lt;PolicyEff),1,Milestones!$AC$87)&amp;";  ","")&amp;IF(AND(EDATE($D6,Milestones!$AA$88)&lt;=AsOfDate,EDATE($D6,Milestones!$AA$88)&gt;=SchemeStart,IF($X6=0,$AD6,IF(AND($Z6&lt;&gt;"",EDATE($D6,Milestones!$AA$88)&gt;=$Z6),$AC6,IF(AND($Y6&lt;&gt;"",EDATE($D6,Milestones!$AA$88)&gt;=$Y6),$AB6,$AA6)))=Milestones!$AB$88),UPPER(TEXT(EDATE($D6,Milestones!$AA$88),"dd mmm yy"))&amp;" "&amp;Milestones!$AB$88&amp;" "&amp;IF(AND(Milestones!$AB$88="FT",Milestones!$AA$88=FT_Y5,EDATE($D6,Milestones!$AA$88)&lt;PolicyEff),1,Milestones!$AC$88)&amp;";  ","")&amp;IF(AND(EDATE($D6,Milestones!$AA$89)&lt;=AsOfDate,EDATE($D6,Milestones!$AA$89)&gt;=SchemeStart,IF($X6=0,$AD6,IF(AND($Z6&lt;&gt;"",EDATE($D6,Milestones!$AA$89)&gt;=$Z6),$AC6,IF(AND($Y6&lt;&gt;"",EDATE($D6,Milestones!$AA$89)&gt;=$Y6),$AB6,$AA6)))=Milestones!$AB$89),UPPER(TEXT(EDATE($D6,Milestones!$AA$89),"dd mmm yy"))&amp;" "&amp;Milestones!$AB$89&amp;" "&amp;IF(AND(Milestones!$AB$89="FT",Milestones!$AA$89=FT_Y5,EDATE($D6,Milestones!$AA$89)&lt;PolicyEff),1,Milestones!$AC$89)&amp;";  ","")&amp;IF(AND(EDATE($D6,Milestones!$AA$90)&lt;=AsOfDate,EDATE($D6,Milestones!$AA$90)&gt;=SchemeStart,IF($X6=0,$AD6,IF(AND($Z6&lt;&gt;"",EDATE($D6,Milestones!$AA$90)&gt;=$Z6),$AC6,IF(AND($Y6&lt;&gt;"",EDATE($D6,Milestones!$AA$90)&gt;=$Y6),$AB6,$AA6)))=Milestones!$AB$90),UPPER(TEXT(EDATE($D6,Milestones!$AA$90),"dd mmm yy"))&amp;" "&amp;Milestones!$AB$90&amp;" "&amp;IF(AND(Milestones!$AB$90="FT",Milestones!$AA$90=FT_Y5,EDATE($D6,Milestones!$AA$90)&lt;PolicyEff),1,Milestones!$AC$90)&amp;";  ","")&amp;IF(AND(EDATE($D6,Milestones!$AA$91)&lt;=AsOfDate,EDATE($D6,Milestones!$AA$91)&gt;=SchemeStart,IF($X6=0,$AD6,IF(AND($Z6&lt;&gt;"",EDATE($D6,Milestones!$AA$91)&gt;=$Z6),$AC6,IF(AND($Y6&lt;&gt;"",EDATE($D6,Milestones!$AA$91)&gt;=$Y6),$AB6,$AA6)))=Milestones!$AB$91),UPPER(TEXT(EDATE($D6,Milestones!$AA$91),"dd mmm yy"))&amp;" "&amp;Milestones!$AB$91&amp;" "&amp;IF(AND(Milestones!$AB$91="FT",Milestones!$AA$91=FT_Y5,EDATE($D6,Milestones!$AA$91)&lt;PolicyEff),1,Milestones!$AC$91)&amp;";  ",""))</f>
        <v/>
      </c>
      <c r="O6" s="0" t="str">
        <f aca="false">IF(OR($A6="",$D6=""),"",IF(AND(EDATE($D6,Milestones!$AA$92)&lt;=AsOfDate,EDATE($D6,Milestones!$AA$92)&gt;=SchemeStart,IF($X6=0,$AD6,IF(AND($Z6&lt;&gt;"",EDATE($D6,Milestones!$AA$92)&gt;=$Z6),$AC6,IF(AND($Y6&lt;&gt;"",EDATE($D6,Milestones!$AA$92)&gt;=$Y6),$AB6,$AA6)))=Milestones!$AB$92),UPPER(TEXT(EDATE($D6,Milestones!$AA$92),"dd mmm yy"))&amp;" "&amp;Milestones!$AB$92&amp;" "&amp;IF(AND(Milestones!$AB$92="FT",Milestones!$AA$92=FT_Y5,EDATE($D6,Milestones!$AA$92)&lt;PolicyEff),1,Milestones!$AC$92)&amp;";  ","")&amp;IF(AND(EDATE($D6,Milestones!$AA$93)&lt;=AsOfDate,EDATE($D6,Milestones!$AA$93)&gt;=SchemeStart,IF($X6=0,$AD6,IF(AND($Z6&lt;&gt;"",EDATE($D6,Milestones!$AA$93)&gt;=$Z6),$AC6,IF(AND($Y6&lt;&gt;"",EDATE($D6,Milestones!$AA$93)&gt;=$Y6),$AB6,$AA6)))=Milestones!$AB$93),UPPER(TEXT(EDATE($D6,Milestones!$AA$93),"dd mmm yy"))&amp;" "&amp;Milestones!$AB$93&amp;" "&amp;IF(AND(Milestones!$AB$93="FT",Milestones!$AA$93=FT_Y5,EDATE($D6,Milestones!$AA$93)&lt;PolicyEff),1,Milestones!$AC$93)&amp;";  ","")&amp;IF(AND(EDATE($D6,Milestones!$AA$94)&lt;=AsOfDate,EDATE($D6,Milestones!$AA$94)&gt;=SchemeStart,IF($X6=0,$AD6,IF(AND($Z6&lt;&gt;"",EDATE($D6,Milestones!$AA$94)&gt;=$Z6),$AC6,IF(AND($Y6&lt;&gt;"",EDATE($D6,Milestones!$AA$94)&gt;=$Y6),$AB6,$AA6)))=Milestones!$AB$94),UPPER(TEXT(EDATE($D6,Milestones!$AA$94),"dd mmm yy"))&amp;" "&amp;Milestones!$AB$94&amp;" "&amp;IF(AND(Milestones!$AB$94="FT",Milestones!$AA$94=FT_Y5,EDATE($D6,Milestones!$AA$94)&lt;PolicyEff),1,Milestones!$AC$94)&amp;";  ","")&amp;IF(AND(EDATE($D6,Milestones!$AA$95)&lt;=AsOfDate,EDATE($D6,Milestones!$AA$95)&gt;=SchemeStart,IF($X6=0,$AD6,IF(AND($Z6&lt;&gt;"",EDATE($D6,Milestones!$AA$95)&gt;=$Z6),$AC6,IF(AND($Y6&lt;&gt;"",EDATE($D6,Milestones!$AA$95)&gt;=$Y6),$AB6,$AA6)))=Milestones!$AB$95),UPPER(TEXT(EDATE($D6,Milestones!$AA$95),"dd mmm yy"))&amp;" "&amp;Milestones!$AB$95&amp;" "&amp;IF(AND(Milestones!$AB$95="FT",Milestones!$AA$95=FT_Y5,EDATE($D6,Milestones!$AA$95)&lt;PolicyEff),1,Milestones!$AC$95)&amp;";  ","")&amp;IF(AND(EDATE($D6,Milestones!$AA$96)&lt;=AsOfDate,EDATE($D6,Milestones!$AA$96)&gt;=SchemeStart,IF($X6=0,$AD6,IF(AND($Z6&lt;&gt;"",EDATE($D6,Milestones!$AA$96)&gt;=$Z6),$AC6,IF(AND($Y6&lt;&gt;"",EDATE($D6,Milestones!$AA$96)&gt;=$Y6),$AB6,$AA6)))=Milestones!$AB$96),UPPER(TEXT(EDATE($D6,Milestones!$AA$96),"dd mmm yy"))&amp;" "&amp;Milestones!$AB$96&amp;" "&amp;IF(AND(Milestones!$AB$96="FT",Milestones!$AA$96=FT_Y5,EDATE($D6,Milestones!$AA$96)&lt;PolicyEff),1,Milestones!$AC$96)&amp;";  ","")&amp;IF(AND(EDATE($D6,Milestones!$AA$97)&lt;=AsOfDate,EDATE($D6,Milestones!$AA$97)&gt;=SchemeStart,IF($X6=0,$AD6,IF(AND($Z6&lt;&gt;"",EDATE($D6,Milestones!$AA$97)&gt;=$Z6),$AC6,IF(AND($Y6&lt;&gt;"",EDATE($D6,Milestones!$AA$97)&gt;=$Y6),$AB6,$AA6)))=Milestones!$AB$97),UPPER(TEXT(EDATE($D6,Milestones!$AA$97),"dd mmm yy"))&amp;" "&amp;Milestones!$AB$97&amp;" "&amp;IF(AND(Milestones!$AB$97="FT",Milestones!$AA$97=FT_Y5,EDATE($D6,Milestones!$AA$97)&lt;PolicyEff),1,Milestones!$AC$97)&amp;";  ","")&amp;IF(AND(EDATE($D6,Milestones!$AA$98)&lt;=AsOfDate,EDATE($D6,Milestones!$AA$98)&gt;=SchemeStart,IF($X6=0,$AD6,IF(AND($Z6&lt;&gt;"",EDATE($D6,Milestones!$AA$98)&gt;=$Z6),$AC6,IF(AND($Y6&lt;&gt;"",EDATE($D6,Milestones!$AA$98)&gt;=$Y6),$AB6,$AA6)))=Milestones!$AB$98),UPPER(TEXT(EDATE($D6,Milestones!$AA$98),"dd mmm yy"))&amp;" "&amp;Milestones!$AB$98&amp;" "&amp;IF(AND(Milestones!$AB$98="FT",Milestones!$AA$98=FT_Y5,EDATE($D6,Milestones!$AA$98)&lt;PolicyEff),1,Milestones!$AC$98)&amp;";  ","")&amp;IF(AND(EDATE($D6,Milestones!$AA$99)&lt;=AsOfDate,EDATE($D6,Milestones!$AA$99)&gt;=SchemeStart,IF($X6=0,$AD6,IF(AND($Z6&lt;&gt;"",EDATE($D6,Milestones!$AA$99)&gt;=$Z6),$AC6,IF(AND($Y6&lt;&gt;"",EDATE($D6,Milestones!$AA$99)&gt;=$Y6),$AB6,$AA6)))=Milestones!$AB$99),UPPER(TEXT(EDATE($D6,Milestones!$AA$99),"dd mmm yy"))&amp;" "&amp;Milestones!$AB$99&amp;" "&amp;IF(AND(Milestones!$AB$99="FT",Milestones!$AA$99=FT_Y5,EDATE($D6,Milestones!$AA$99)&lt;PolicyEff),1,Milestones!$AC$99)&amp;";  ","")&amp;IF(AND(EDATE($D6,Milestones!$AA$100)&lt;=AsOfDate,EDATE($D6,Milestones!$AA$100)&gt;=SchemeStart,IF($X6=0,$AD6,IF(AND($Z6&lt;&gt;"",EDATE($D6,Milestones!$AA$100)&gt;=$Z6),$AC6,IF(AND($Y6&lt;&gt;"",EDATE($D6,Milestones!$AA$100)&gt;=$Y6),$AB6,$AA6)))=Milestones!$AB$100),UPPER(TEXT(EDATE($D6,Milestones!$AA$100),"dd mmm yy"))&amp;" "&amp;Milestones!$AB$100&amp;" "&amp;IF(AND(Milestones!$AB$100="FT",Milestones!$AA$100=FT_Y5,EDATE($D6,Milestones!$AA$100)&lt;PolicyEff),1,Milestones!$AC$100)&amp;";  ","")&amp;IF(AND(EDATE($D6,Milestones!$AA$101)&lt;=AsOfDate,EDATE($D6,Milestones!$AA$101)&gt;=SchemeStart,IF($X6=0,$AD6,IF(AND($Z6&lt;&gt;"",EDATE($D6,Milestones!$AA$101)&gt;=$Z6),$AC6,IF(AND($Y6&lt;&gt;"",EDATE($D6,Milestones!$AA$101)&gt;=$Y6),$AB6,$AA6)))=Milestones!$AB$101),UPPER(TEXT(EDATE($D6,Milestones!$AA$101),"dd mmm yy"))&amp;" "&amp;Milestones!$AB$101&amp;" "&amp;IF(AND(Milestones!$AB$101="FT",Milestones!$AA$101=FT_Y5,EDATE($D6,Milestones!$AA$101)&lt;PolicyEff),1,Milestones!$AC$101)&amp;";  ","")&amp;IF(AND(EDATE($D6,Milestones!$AA$102)&lt;=AsOfDate,EDATE($D6,Milestones!$AA$102)&gt;=SchemeStart,IF($X6=0,$AD6,IF(AND($Z6&lt;&gt;"",EDATE($D6,Milestones!$AA$102)&gt;=$Z6),$AC6,IF(AND($Y6&lt;&gt;"",EDATE($D6,Milestones!$AA$102)&gt;=$Y6),$AB6,$AA6)))=Milestones!$AB$102),UPPER(TEXT(EDATE($D6,Milestones!$AA$102),"dd mmm yy"))&amp;" "&amp;Milestones!$AB$102&amp;" "&amp;IF(AND(Milestones!$AB$102="FT",Milestones!$AA$102=FT_Y5,EDATE($D6,Milestones!$AA$102)&lt;PolicyEff),1,Milestones!$AC$102)&amp;";  ","")&amp;IF(AND(EDATE($D6,Milestones!$AA$103)&lt;=AsOfDate,EDATE($D6,Milestones!$AA$103)&gt;=SchemeStart,IF($X6=0,$AD6,IF(AND($Z6&lt;&gt;"",EDATE($D6,Milestones!$AA$103)&gt;=$Z6),$AC6,IF(AND($Y6&lt;&gt;"",EDATE($D6,Milestones!$AA$103)&gt;=$Y6),$AB6,$AA6)))=Milestones!$AB$103),UPPER(TEXT(EDATE($D6,Milestones!$AA$103),"dd mmm yy"))&amp;" "&amp;Milestones!$AB$103&amp;" "&amp;IF(AND(Milestones!$AB$103="FT",Milestones!$AA$103=FT_Y5,EDATE($D6,Milestones!$AA$103)&lt;PolicyEff),1,Milestones!$AC$103)&amp;";  ",""))</f>
        <v/>
      </c>
      <c r="P6" s="0" t="str">
        <f aca="false">IF(OR($A6="",$D6=""),"",IF(AND(EDATE($D6,Milestones!$AA$104)&lt;=AsOfDate,EDATE($D6,Milestones!$AA$104)&gt;=SchemeStart,IF($X6=0,$AD6,IF(AND($Z6&lt;&gt;"",EDATE($D6,Milestones!$AA$104)&gt;=$Z6),$AC6,IF(AND($Y6&lt;&gt;"",EDATE($D6,Milestones!$AA$104)&gt;=$Y6),$AB6,$AA6)))=Milestones!$AB$104),UPPER(TEXT(EDATE($D6,Milestones!$AA$104),"dd mmm yy"))&amp;" "&amp;Milestones!$AB$104&amp;" "&amp;IF(AND(Milestones!$AB$104="FT",Milestones!$AA$104=FT_Y5,EDATE($D6,Milestones!$AA$104)&lt;PolicyEff),1,Milestones!$AC$104)&amp;";  ","")&amp;IF(AND(EDATE($D6,Milestones!$AA$105)&lt;=AsOfDate,EDATE($D6,Milestones!$AA$105)&gt;=SchemeStart,IF($X6=0,$AD6,IF(AND($Z6&lt;&gt;"",EDATE($D6,Milestones!$AA$105)&gt;=$Z6),$AC6,IF(AND($Y6&lt;&gt;"",EDATE($D6,Milestones!$AA$105)&gt;=$Y6),$AB6,$AA6)))=Milestones!$AB$105),UPPER(TEXT(EDATE($D6,Milestones!$AA$105),"dd mmm yy"))&amp;" "&amp;Milestones!$AB$105&amp;" "&amp;IF(AND(Milestones!$AB$105="FT",Milestones!$AA$105=FT_Y5,EDATE($D6,Milestones!$AA$105)&lt;PolicyEff),1,Milestones!$AC$105)&amp;";  ","")&amp;IF(AND(EDATE($D6,Milestones!$AA$106)&lt;=AsOfDate,EDATE($D6,Milestones!$AA$106)&gt;=SchemeStart,IF($X6=0,$AD6,IF(AND($Z6&lt;&gt;"",EDATE($D6,Milestones!$AA$106)&gt;=$Z6),$AC6,IF(AND($Y6&lt;&gt;"",EDATE($D6,Milestones!$AA$106)&gt;=$Y6),$AB6,$AA6)))=Milestones!$AB$106),UPPER(TEXT(EDATE($D6,Milestones!$AA$106),"dd mmm yy"))&amp;" "&amp;Milestones!$AB$106&amp;" "&amp;IF(AND(Milestones!$AB$106="FT",Milestones!$AA$106=FT_Y5,EDATE($D6,Milestones!$AA$106)&lt;PolicyEff),1,Milestones!$AC$106)&amp;";  ","")&amp;IF(AND(EDATE($D6,Milestones!$AA$107)&lt;=AsOfDate,EDATE($D6,Milestones!$AA$107)&gt;=SchemeStart,IF($X6=0,$AD6,IF(AND($Z6&lt;&gt;"",EDATE($D6,Milestones!$AA$107)&gt;=$Z6),$AC6,IF(AND($Y6&lt;&gt;"",EDATE($D6,Milestones!$AA$107)&gt;=$Y6),$AB6,$AA6)))=Milestones!$AB$107),UPPER(TEXT(EDATE($D6,Milestones!$AA$107),"dd mmm yy"))&amp;" "&amp;Milestones!$AB$107&amp;" "&amp;IF(AND(Milestones!$AB$107="FT",Milestones!$AA$107=FT_Y5,EDATE($D6,Milestones!$AA$107)&lt;PolicyEff),1,Milestones!$AC$107)&amp;";  ","")&amp;IF(AND(EDATE($D6,Milestones!$AA$108)&lt;=AsOfDate,EDATE($D6,Milestones!$AA$108)&gt;=SchemeStart,IF($X6=0,$AD6,IF(AND($Z6&lt;&gt;"",EDATE($D6,Milestones!$AA$108)&gt;=$Z6),$AC6,IF(AND($Y6&lt;&gt;"",EDATE($D6,Milestones!$AA$108)&gt;=$Y6),$AB6,$AA6)))=Milestones!$AB$108),UPPER(TEXT(EDATE($D6,Milestones!$AA$108),"dd mmm yy"))&amp;" "&amp;Milestones!$AB$108&amp;" "&amp;IF(AND(Milestones!$AB$108="FT",Milestones!$AA$108=FT_Y5,EDATE($D6,Milestones!$AA$108)&lt;PolicyEff),1,Milestones!$AC$108)&amp;";  ","")&amp;IF(AND(EDATE($D6,Milestones!$AA$109)&lt;=AsOfDate,EDATE($D6,Milestones!$AA$109)&gt;=SchemeStart,IF($X6=0,$AD6,IF(AND($Z6&lt;&gt;"",EDATE($D6,Milestones!$AA$109)&gt;=$Z6),$AC6,IF(AND($Y6&lt;&gt;"",EDATE($D6,Milestones!$AA$109)&gt;=$Y6),$AB6,$AA6)))=Milestones!$AB$109),UPPER(TEXT(EDATE($D6,Milestones!$AA$109),"dd mmm yy"))&amp;" "&amp;Milestones!$AB$109&amp;" "&amp;IF(AND(Milestones!$AB$109="FT",Milestones!$AA$109=FT_Y5,EDATE($D6,Milestones!$AA$109)&lt;PolicyEff),1,Milestones!$AC$109)&amp;";  ","")&amp;IF(AND(EDATE($D6,Milestones!$AA$110)&lt;=AsOfDate,EDATE($D6,Milestones!$AA$110)&gt;=SchemeStart,IF($X6=0,$AD6,IF(AND($Z6&lt;&gt;"",EDATE($D6,Milestones!$AA$110)&gt;=$Z6),$AC6,IF(AND($Y6&lt;&gt;"",EDATE($D6,Milestones!$AA$110)&gt;=$Y6),$AB6,$AA6)))=Milestones!$AB$110),UPPER(TEXT(EDATE($D6,Milestones!$AA$110),"dd mmm yy"))&amp;" "&amp;Milestones!$AB$110&amp;" "&amp;IF(AND(Milestones!$AB$110="FT",Milestones!$AA$110=FT_Y5,EDATE($D6,Milestones!$AA$110)&lt;PolicyEff),1,Milestones!$AC$110)&amp;";  ","")&amp;IF(AND(EDATE($D6,Milestones!$AA$111)&lt;=AsOfDate,EDATE($D6,Milestones!$AA$111)&gt;=SchemeStart,IF($X6=0,$AD6,IF(AND($Z6&lt;&gt;"",EDATE($D6,Milestones!$AA$111)&gt;=$Z6),$AC6,IF(AND($Y6&lt;&gt;"",EDATE($D6,Milestones!$AA$111)&gt;=$Y6),$AB6,$AA6)))=Milestones!$AB$111),UPPER(TEXT(EDATE($D6,Milestones!$AA$111),"dd mmm yy"))&amp;" "&amp;Milestones!$AB$111&amp;" "&amp;IF(AND(Milestones!$AB$111="FT",Milestones!$AA$111=FT_Y5,EDATE($D6,Milestones!$AA$111)&lt;PolicyEff),1,Milestones!$AC$111)&amp;";  ","")&amp;IF(AND(EDATE($D6,Milestones!$AA$112)&lt;=AsOfDate,EDATE($D6,Milestones!$AA$112)&gt;=SchemeStart,IF($X6=0,$AD6,IF(AND($Z6&lt;&gt;"",EDATE($D6,Milestones!$AA$112)&gt;=$Z6),$AC6,IF(AND($Y6&lt;&gt;"",EDATE($D6,Milestones!$AA$112)&gt;=$Y6),$AB6,$AA6)))=Milestones!$AB$112),UPPER(TEXT(EDATE($D6,Milestones!$AA$112),"dd mmm yy"))&amp;" "&amp;Milestones!$AB$112&amp;" "&amp;IF(AND(Milestones!$AB$112="FT",Milestones!$AA$112=FT_Y5,EDATE($D6,Milestones!$AA$112)&lt;PolicyEff),1,Milestones!$AC$112)&amp;";  ","")&amp;IF(AND(EDATE($D6,Milestones!$AA$113)&lt;=AsOfDate,EDATE($D6,Milestones!$AA$113)&gt;=SchemeStart,IF($X6=0,$AD6,IF(AND($Z6&lt;&gt;"",EDATE($D6,Milestones!$AA$113)&gt;=$Z6),$AC6,IF(AND($Y6&lt;&gt;"",EDATE($D6,Milestones!$AA$113)&gt;=$Y6),$AB6,$AA6)))=Milestones!$AB$113),UPPER(TEXT(EDATE($D6,Milestones!$AA$113),"dd mmm yy"))&amp;" "&amp;Milestones!$AB$113&amp;" "&amp;IF(AND(Milestones!$AB$113="FT",Milestones!$AA$113=FT_Y5,EDATE($D6,Milestones!$AA$113)&lt;PolicyEff),1,Milestones!$AC$113)&amp;";  ","")&amp;IF(AND(EDATE($D6,Milestones!$AA$114)&lt;=AsOfDate,EDATE($D6,Milestones!$AA$114)&gt;=SchemeStart,IF($X6=0,$AD6,IF(AND($Z6&lt;&gt;"",EDATE($D6,Milestones!$AA$114)&gt;=$Z6),$AC6,IF(AND($Y6&lt;&gt;"",EDATE($D6,Milestones!$AA$114)&gt;=$Y6),$AB6,$AA6)))=Milestones!$AB$114),UPPER(TEXT(EDATE($D6,Milestones!$AA$114),"dd mmm yy"))&amp;" "&amp;Milestones!$AB$114&amp;" "&amp;IF(AND(Milestones!$AB$114="FT",Milestones!$AA$114=FT_Y5,EDATE($D6,Milestones!$AA$114)&lt;PolicyEff),1,Milestones!$AC$114)&amp;";  ","")&amp;IF(AND(EDATE($D6,Milestones!$AA$115)&lt;=AsOfDate,EDATE($D6,Milestones!$AA$115)&gt;=SchemeStart,IF($X6=0,$AD6,IF(AND($Z6&lt;&gt;"",EDATE($D6,Milestones!$AA$115)&gt;=$Z6),$AC6,IF(AND($Y6&lt;&gt;"",EDATE($D6,Milestones!$AA$115)&gt;=$Y6),$AB6,$AA6)))=Milestones!$AB$115),UPPER(TEXT(EDATE($D6,Milestones!$AA$115),"dd mmm yy"))&amp;" "&amp;Milestones!$AB$115&amp;" "&amp;IF(AND(Milestones!$AB$115="FT",Milestones!$AA$115=FT_Y5,EDATE($D6,Milestones!$AA$115)&lt;PolicyEff),1,Milestones!$AC$115)&amp;";  ",""))</f>
        <v/>
      </c>
      <c r="Q6" s="0" t="str">
        <f aca="false">IF(OR($A6="",$D6=""),"",IF(AND(EDATE($D6,Milestones!$AA$116)&lt;=AsOfDate,EDATE($D6,Milestones!$AA$116)&gt;=SchemeStart,IF($X6=0,$AD6,IF(AND($Z6&lt;&gt;"",EDATE($D6,Milestones!$AA$116)&gt;=$Z6),$AC6,IF(AND($Y6&lt;&gt;"",EDATE($D6,Milestones!$AA$116)&gt;=$Y6),$AB6,$AA6)))=Milestones!$AB$116),UPPER(TEXT(EDATE($D6,Milestones!$AA$116),"dd mmm yy"))&amp;" "&amp;Milestones!$AB$116&amp;" "&amp;IF(AND(Milestones!$AB$116="FT",Milestones!$AA$116=FT_Y5,EDATE($D6,Milestones!$AA$116)&lt;PolicyEff),1,Milestones!$AC$116)&amp;";  ","")&amp;IF(AND(EDATE($D6,Milestones!$AA$117)&lt;=AsOfDate,EDATE($D6,Milestones!$AA$117)&gt;=SchemeStart,IF($X6=0,$AD6,IF(AND($Z6&lt;&gt;"",EDATE($D6,Milestones!$AA$117)&gt;=$Z6),$AC6,IF(AND($Y6&lt;&gt;"",EDATE($D6,Milestones!$AA$117)&gt;=$Y6),$AB6,$AA6)))=Milestones!$AB$117),UPPER(TEXT(EDATE($D6,Milestones!$AA$117),"dd mmm yy"))&amp;" "&amp;Milestones!$AB$117&amp;" "&amp;IF(AND(Milestones!$AB$117="FT",Milestones!$AA$117=FT_Y5,EDATE($D6,Milestones!$AA$117)&lt;PolicyEff),1,Milestones!$AC$117)&amp;";  ","")&amp;IF(AND(EDATE($D6,Milestones!$AA$118)&lt;=AsOfDate,EDATE($D6,Milestones!$AA$118)&gt;=SchemeStart,IF($X6=0,$AD6,IF(AND($Z6&lt;&gt;"",EDATE($D6,Milestones!$AA$118)&gt;=$Z6),$AC6,IF(AND($Y6&lt;&gt;"",EDATE($D6,Milestones!$AA$118)&gt;=$Y6),$AB6,$AA6)))=Milestones!$AB$118),UPPER(TEXT(EDATE($D6,Milestones!$AA$118),"dd mmm yy"))&amp;" "&amp;Milestones!$AB$118&amp;" "&amp;IF(AND(Milestones!$AB$118="FT",Milestones!$AA$118=FT_Y5,EDATE($D6,Milestones!$AA$118)&lt;PolicyEff),1,Milestones!$AC$118)&amp;";  ","")&amp;IF(AND(EDATE($D6,Milestones!$AA$119)&lt;=AsOfDate,EDATE($D6,Milestones!$AA$119)&gt;=SchemeStart,IF($X6=0,$AD6,IF(AND($Z6&lt;&gt;"",EDATE($D6,Milestones!$AA$119)&gt;=$Z6),$AC6,IF(AND($Y6&lt;&gt;"",EDATE($D6,Milestones!$AA$119)&gt;=$Y6),$AB6,$AA6)))=Milestones!$AB$119),UPPER(TEXT(EDATE($D6,Milestones!$AA$119),"dd mmm yy"))&amp;" "&amp;Milestones!$AB$119&amp;" "&amp;IF(AND(Milestones!$AB$119="FT",Milestones!$AA$119=FT_Y5,EDATE($D6,Milestones!$AA$119)&lt;PolicyEff),1,Milestones!$AC$119)&amp;";  ","")&amp;IF(AND(EDATE($D6,Milestones!$AA$120)&lt;=AsOfDate,EDATE($D6,Milestones!$AA$120)&gt;=SchemeStart,IF($X6=0,$AD6,IF(AND($Z6&lt;&gt;"",EDATE($D6,Milestones!$AA$120)&gt;=$Z6),$AC6,IF(AND($Y6&lt;&gt;"",EDATE($D6,Milestones!$AA$120)&gt;=$Y6),$AB6,$AA6)))=Milestones!$AB$120),UPPER(TEXT(EDATE($D6,Milestones!$AA$120),"dd mmm yy"))&amp;" "&amp;Milestones!$AB$120&amp;" "&amp;IF(AND(Milestones!$AB$120="FT",Milestones!$AA$120=FT_Y5,EDATE($D6,Milestones!$AA$120)&lt;PolicyEff),1,Milestones!$AC$120)&amp;";  ","")&amp;IF(AND(EDATE($D6,Milestones!$AA$121)&lt;=AsOfDate,EDATE($D6,Milestones!$AA$121)&gt;=SchemeStart,IF($X6=0,$AD6,IF(AND($Z6&lt;&gt;"",EDATE($D6,Milestones!$AA$121)&gt;=$Z6),$AC6,IF(AND($Y6&lt;&gt;"",EDATE($D6,Milestones!$AA$121)&gt;=$Y6),$AB6,$AA6)))=Milestones!$AB$121),UPPER(TEXT(EDATE($D6,Milestones!$AA$121),"dd mmm yy"))&amp;" "&amp;Milestones!$AB$121&amp;" "&amp;IF(AND(Milestones!$AB$121="FT",Milestones!$AA$121=FT_Y5,EDATE($D6,Milestones!$AA$121)&lt;PolicyEff),1,Milestones!$AC$121)&amp;";  ","")&amp;IF(AND(EDATE($D6,Milestones!$AA$122)&lt;=AsOfDate,EDATE($D6,Milestones!$AA$122)&gt;=SchemeStart,IF($X6=0,$AD6,IF(AND($Z6&lt;&gt;"",EDATE($D6,Milestones!$AA$122)&gt;=$Z6),$AC6,IF(AND($Y6&lt;&gt;"",EDATE($D6,Milestones!$AA$122)&gt;=$Y6),$AB6,$AA6)))=Milestones!$AB$122),UPPER(TEXT(EDATE($D6,Milestones!$AA$122),"dd mmm yy"))&amp;" "&amp;Milestones!$AB$122&amp;" "&amp;IF(AND(Milestones!$AB$122="FT",Milestones!$AA$122=FT_Y5,EDATE($D6,Milestones!$AA$122)&lt;PolicyEff),1,Milestones!$AC$122)&amp;";  ","")&amp;IF(AND(EDATE($D6,Milestones!$AA$123)&lt;=AsOfDate,EDATE($D6,Milestones!$AA$123)&gt;=SchemeStart,IF($X6=0,$AD6,IF(AND($Z6&lt;&gt;"",EDATE($D6,Milestones!$AA$123)&gt;=$Z6),$AC6,IF(AND($Y6&lt;&gt;"",EDATE($D6,Milestones!$AA$123)&gt;=$Y6),$AB6,$AA6)))=Milestones!$AB$123),UPPER(TEXT(EDATE($D6,Milestones!$AA$123),"dd mmm yy"))&amp;" "&amp;Milestones!$AB$123&amp;" "&amp;IF(AND(Milestones!$AB$123="FT",Milestones!$AA$123=FT_Y5,EDATE($D6,Milestones!$AA$123)&lt;PolicyEff),1,Milestones!$AC$123)&amp;";  ","")&amp;IF(AND(EDATE($D6,Milestones!$AA$124)&lt;=AsOfDate,EDATE($D6,Milestones!$AA$124)&gt;=SchemeStart,IF($X6=0,$AD6,IF(AND($Z6&lt;&gt;"",EDATE($D6,Milestones!$AA$124)&gt;=$Z6),$AC6,IF(AND($Y6&lt;&gt;"",EDATE($D6,Milestones!$AA$124)&gt;=$Y6),$AB6,$AA6)))=Milestones!$AB$124),UPPER(TEXT(EDATE($D6,Milestones!$AA$124),"dd mmm yy"))&amp;" "&amp;Milestones!$AB$124&amp;" "&amp;IF(AND(Milestones!$AB$124="FT",Milestones!$AA$124=FT_Y5,EDATE($D6,Milestones!$AA$124)&lt;PolicyEff),1,Milestones!$AC$124)&amp;";  ","")&amp;IF(AND(EDATE($D6,Milestones!$AA$125)&lt;=AsOfDate,EDATE($D6,Milestones!$AA$125)&gt;=SchemeStart,IF($X6=0,$AD6,IF(AND($Z6&lt;&gt;"",EDATE($D6,Milestones!$AA$125)&gt;=$Z6),$AC6,IF(AND($Y6&lt;&gt;"",EDATE($D6,Milestones!$AA$125)&gt;=$Y6),$AB6,$AA6)))=Milestones!$AB$125),UPPER(TEXT(EDATE($D6,Milestones!$AA$125),"dd mmm yy"))&amp;" "&amp;Milestones!$AB$125&amp;" "&amp;IF(AND(Milestones!$AB$125="FT",Milestones!$AA$125=FT_Y5,EDATE($D6,Milestones!$AA$125)&lt;PolicyEff),1,Milestones!$AC$125)&amp;";  ","")&amp;IF(AND(EDATE($D6,Milestones!$AA$126)&lt;=AsOfDate,EDATE($D6,Milestones!$AA$126)&gt;=SchemeStart,IF($X6=0,$AD6,IF(AND($Z6&lt;&gt;"",EDATE($D6,Milestones!$AA$126)&gt;=$Z6),$AC6,IF(AND($Y6&lt;&gt;"",EDATE($D6,Milestones!$AA$126)&gt;=$Y6),$AB6,$AA6)))=Milestones!$AB$126),UPPER(TEXT(EDATE($D6,Milestones!$AA$126),"dd mmm yy"))&amp;" "&amp;Milestones!$AB$126&amp;" "&amp;IF(AND(Milestones!$AB$126="FT",Milestones!$AA$126=FT_Y5,EDATE($D6,Milestones!$AA$126)&lt;PolicyEff),1,Milestones!$AC$126)&amp;";  ","")&amp;IF(AND(EDATE($D6,Milestones!$AA$127)&lt;=AsOfDate,EDATE($D6,Milestones!$AA$127)&gt;=SchemeStart,IF($X6=0,$AD6,IF(AND($Z6&lt;&gt;"",EDATE($D6,Milestones!$AA$127)&gt;=$Z6),$AC6,IF(AND($Y6&lt;&gt;"",EDATE($D6,Milestones!$AA$127)&gt;=$Y6),$AB6,$AA6)))=Milestones!$AB$127),UPPER(TEXT(EDATE($D6,Milestones!$AA$127),"dd mmm yy"))&amp;" "&amp;Milestones!$AB$127&amp;" "&amp;IF(AND(Milestones!$AB$127="FT",Milestones!$AA$127=FT_Y5,EDATE($D6,Milestones!$AA$127)&lt;PolicyEff),1,Milestones!$AC$127)&amp;";  ",""))</f>
        <v/>
      </c>
      <c r="R6" s="0" t="str">
        <f aca="false">IF(OR($A6="",$D6=""),"",IF(AND(EDATE($D6,Milestones!$AA$128)&lt;=AsOfDate,EDATE($D6,Milestones!$AA$128)&gt;=SchemeStart,IF($X6=0,$AD6,IF(AND($Z6&lt;&gt;"",EDATE($D6,Milestones!$AA$128)&gt;=$Z6),$AC6,IF(AND($Y6&lt;&gt;"",EDATE($D6,Milestones!$AA$128)&gt;=$Y6),$AB6,$AA6)))=Milestones!$AB$128),UPPER(TEXT(EDATE($D6,Milestones!$AA$128),"dd mmm yy"))&amp;" "&amp;Milestones!$AB$128&amp;" "&amp;IF(AND(Milestones!$AB$128="FT",Milestones!$AA$128=FT_Y5,EDATE($D6,Milestones!$AA$128)&lt;PolicyEff),1,Milestones!$AC$128)&amp;";  ","")&amp;IF(AND(EDATE($D6,Milestones!$AA$129)&lt;=AsOfDate,EDATE($D6,Milestones!$AA$129)&gt;=SchemeStart,IF($X6=0,$AD6,IF(AND($Z6&lt;&gt;"",EDATE($D6,Milestones!$AA$129)&gt;=$Z6),$AC6,IF(AND($Y6&lt;&gt;"",EDATE($D6,Milestones!$AA$129)&gt;=$Y6),$AB6,$AA6)))=Milestones!$AB$129),UPPER(TEXT(EDATE($D6,Milestones!$AA$129),"dd mmm yy"))&amp;" "&amp;Milestones!$AB$129&amp;" "&amp;IF(AND(Milestones!$AB$129="FT",Milestones!$AA$129=FT_Y5,EDATE($D6,Milestones!$AA$129)&lt;PolicyEff),1,Milestones!$AC$129)&amp;";  ","")&amp;IF(AND(EDATE($D6,Milestones!$AA$130)&lt;=AsOfDate,EDATE($D6,Milestones!$AA$130)&gt;=SchemeStart,IF($X6=0,$AD6,IF(AND($Z6&lt;&gt;"",EDATE($D6,Milestones!$AA$130)&gt;=$Z6),$AC6,IF(AND($Y6&lt;&gt;"",EDATE($D6,Milestones!$AA$130)&gt;=$Y6),$AB6,$AA6)))=Milestones!$AB$130),UPPER(TEXT(EDATE($D6,Milestones!$AA$130),"dd mmm yy"))&amp;" "&amp;Milestones!$AB$130&amp;" "&amp;IF(AND(Milestones!$AB$130="FT",Milestones!$AA$130=FT_Y5,EDATE($D6,Milestones!$AA$130)&lt;PolicyEff),1,Milestones!$AC$130)&amp;";  ","")&amp;IF(AND(EDATE($D6,Milestones!$AA$131)&lt;=AsOfDate,EDATE($D6,Milestones!$AA$131)&gt;=SchemeStart,IF($X6=0,$AD6,IF(AND($Z6&lt;&gt;"",EDATE($D6,Milestones!$AA$131)&gt;=$Z6),$AC6,IF(AND($Y6&lt;&gt;"",EDATE($D6,Milestones!$AA$131)&gt;=$Y6),$AB6,$AA6)))=Milestones!$AB$131),UPPER(TEXT(EDATE($D6,Milestones!$AA$131),"dd mmm yy"))&amp;" "&amp;Milestones!$AB$131&amp;" "&amp;IF(AND(Milestones!$AB$131="FT",Milestones!$AA$131=FT_Y5,EDATE($D6,Milestones!$AA$131)&lt;PolicyEff),1,Milestones!$AC$131)&amp;";  ","")&amp;IF(AND(EDATE($D6,Milestones!$AA$132)&lt;=AsOfDate,EDATE($D6,Milestones!$AA$132)&gt;=SchemeStart,IF($X6=0,$AD6,IF(AND($Z6&lt;&gt;"",EDATE($D6,Milestones!$AA$132)&gt;=$Z6),$AC6,IF(AND($Y6&lt;&gt;"",EDATE($D6,Milestones!$AA$132)&gt;=$Y6),$AB6,$AA6)))=Milestones!$AB$132),UPPER(TEXT(EDATE($D6,Milestones!$AA$132),"dd mmm yy"))&amp;" "&amp;Milestones!$AB$132&amp;" "&amp;IF(AND(Milestones!$AB$132="FT",Milestones!$AA$132=FT_Y5,EDATE($D6,Milestones!$AA$132)&lt;PolicyEff),1,Milestones!$AC$132)&amp;";  ","")&amp;IF(AND(EDATE($D6,Milestones!$AA$133)&lt;=AsOfDate,EDATE($D6,Milestones!$AA$133)&gt;=SchemeStart,IF($X6=0,$AD6,IF(AND($Z6&lt;&gt;"",EDATE($D6,Milestones!$AA$133)&gt;=$Z6),$AC6,IF(AND($Y6&lt;&gt;"",EDATE($D6,Milestones!$AA$133)&gt;=$Y6),$AB6,$AA6)))=Milestones!$AB$133),UPPER(TEXT(EDATE($D6,Milestones!$AA$133),"dd mmm yy"))&amp;" "&amp;Milestones!$AB$133&amp;" "&amp;IF(AND(Milestones!$AB$133="FT",Milestones!$AA$133=FT_Y5,EDATE($D6,Milestones!$AA$133)&lt;PolicyEff),1,Milestones!$AC$133)&amp;";  ","")&amp;IF(AND(EDATE($D6,Milestones!$AA$134)&lt;=AsOfDate,EDATE($D6,Milestones!$AA$134)&gt;=SchemeStart,IF($X6=0,$AD6,IF(AND($Z6&lt;&gt;"",EDATE($D6,Milestones!$AA$134)&gt;=$Z6),$AC6,IF(AND($Y6&lt;&gt;"",EDATE($D6,Milestones!$AA$134)&gt;=$Y6),$AB6,$AA6)))=Milestones!$AB$134),UPPER(TEXT(EDATE($D6,Milestones!$AA$134),"dd mmm yy"))&amp;" "&amp;Milestones!$AB$134&amp;" "&amp;IF(AND(Milestones!$AB$134="FT",Milestones!$AA$134=FT_Y5,EDATE($D6,Milestones!$AA$134)&lt;PolicyEff),1,Milestones!$AC$134)&amp;";  ","")&amp;IF(AND(EDATE($D6,Milestones!$AA$135)&lt;=AsOfDate,EDATE($D6,Milestones!$AA$135)&gt;=SchemeStart,IF($X6=0,$AD6,IF(AND($Z6&lt;&gt;"",EDATE($D6,Milestones!$AA$135)&gt;=$Z6),$AC6,IF(AND($Y6&lt;&gt;"",EDATE($D6,Milestones!$AA$135)&gt;=$Y6),$AB6,$AA6)))=Milestones!$AB$135),UPPER(TEXT(EDATE($D6,Milestones!$AA$135),"dd mmm yy"))&amp;" "&amp;Milestones!$AB$135&amp;" "&amp;IF(AND(Milestones!$AB$135="FT",Milestones!$AA$135=FT_Y5,EDATE($D6,Milestones!$AA$135)&lt;PolicyEff),1,Milestones!$AC$135)&amp;";  ","")&amp;IF(AND(EDATE($D6,Milestones!$AA$136)&lt;=AsOfDate,EDATE($D6,Milestones!$AA$136)&gt;=SchemeStart,IF($X6=0,$AD6,IF(AND($Z6&lt;&gt;"",EDATE($D6,Milestones!$AA$136)&gt;=$Z6),$AC6,IF(AND($Y6&lt;&gt;"",EDATE($D6,Milestones!$AA$136)&gt;=$Y6),$AB6,$AA6)))=Milestones!$AB$136),UPPER(TEXT(EDATE($D6,Milestones!$AA$136),"dd mmm yy"))&amp;" "&amp;Milestones!$AB$136&amp;" "&amp;IF(AND(Milestones!$AB$136="FT",Milestones!$AA$136=FT_Y5,EDATE($D6,Milestones!$AA$136)&lt;PolicyEff),1,Milestones!$AC$136)&amp;";  ","")&amp;IF(AND(EDATE($D6,Milestones!$AA$137)&lt;=AsOfDate,EDATE($D6,Milestones!$AA$137)&gt;=SchemeStart,IF($X6=0,$AD6,IF(AND($Z6&lt;&gt;"",EDATE($D6,Milestones!$AA$137)&gt;=$Z6),$AC6,IF(AND($Y6&lt;&gt;"",EDATE($D6,Milestones!$AA$137)&gt;=$Y6),$AB6,$AA6)))=Milestones!$AB$137),UPPER(TEXT(EDATE($D6,Milestones!$AA$137),"dd mmm yy"))&amp;" "&amp;Milestones!$AB$137&amp;" "&amp;IF(AND(Milestones!$AB$137="FT",Milestones!$AA$137=FT_Y5,EDATE($D6,Milestones!$AA$137)&lt;PolicyEff),1,Milestones!$AC$137)&amp;";  ","")&amp;IF(AND(EDATE($D6,Milestones!$AA$138)&lt;=AsOfDate,EDATE($D6,Milestones!$AA$138)&gt;=SchemeStart,IF($X6=0,$AD6,IF(AND($Z6&lt;&gt;"",EDATE($D6,Milestones!$AA$138)&gt;=$Z6),$AC6,IF(AND($Y6&lt;&gt;"",EDATE($D6,Milestones!$AA$138)&gt;=$Y6),$AB6,$AA6)))=Milestones!$AB$138),UPPER(TEXT(EDATE($D6,Milestones!$AA$138),"dd mmm yy"))&amp;" "&amp;Milestones!$AB$138&amp;" "&amp;IF(AND(Milestones!$AB$138="FT",Milestones!$AA$138=FT_Y5,EDATE($D6,Milestones!$AA$138)&lt;PolicyEff),1,Milestones!$AC$138)&amp;";  ","")&amp;IF(AND(EDATE($D6,Milestones!$AA$139)&lt;=AsOfDate,EDATE($D6,Milestones!$AA$139)&gt;=SchemeStart,IF($X6=0,$AD6,IF(AND($Z6&lt;&gt;"",EDATE($D6,Milestones!$AA$139)&gt;=$Z6),$AC6,IF(AND($Y6&lt;&gt;"",EDATE($D6,Milestones!$AA$139)&gt;=$Y6),$AB6,$AA6)))=Milestones!$AB$139),UPPER(TEXT(EDATE($D6,Milestones!$AA$139),"dd mmm yy"))&amp;" "&amp;Milestones!$AB$139&amp;" "&amp;IF(AND(Milestones!$AB$139="FT",Milestones!$AA$139=FT_Y5,EDATE($D6,Milestones!$AA$139)&lt;PolicyEff),1,Milestones!$AC$139)&amp;";  ",""))</f>
        <v/>
      </c>
      <c r="S6" s="0" t="str">
        <f aca="false">IF(OR($A6="",$D6=""),"",IF(AND(EDATE($D6,Milestones!$AA$140)&lt;=AsOfDate,EDATE($D6,Milestones!$AA$140)&gt;=SchemeStart,IF($X6=0,$AD6,IF(AND($Z6&lt;&gt;"",EDATE($D6,Milestones!$AA$140)&gt;=$Z6),$AC6,IF(AND($Y6&lt;&gt;"",EDATE($D6,Milestones!$AA$140)&gt;=$Y6),$AB6,$AA6)))=Milestones!$AB$140),UPPER(TEXT(EDATE($D6,Milestones!$AA$140),"dd mmm yy"))&amp;" "&amp;Milestones!$AB$140&amp;" "&amp;IF(AND(Milestones!$AB$140="FT",Milestones!$AA$140=FT_Y5,EDATE($D6,Milestones!$AA$140)&lt;PolicyEff),1,Milestones!$AC$140)&amp;";  ","")&amp;IF(AND(EDATE($D6,Milestones!$AA$141)&lt;=AsOfDate,EDATE($D6,Milestones!$AA$141)&gt;=SchemeStart,IF($X6=0,$AD6,IF(AND($Z6&lt;&gt;"",EDATE($D6,Milestones!$AA$141)&gt;=$Z6),$AC6,IF(AND($Y6&lt;&gt;"",EDATE($D6,Milestones!$AA$141)&gt;=$Y6),$AB6,$AA6)))=Milestones!$AB$141),UPPER(TEXT(EDATE($D6,Milestones!$AA$141),"dd mmm yy"))&amp;" "&amp;Milestones!$AB$141&amp;" "&amp;IF(AND(Milestones!$AB$141="FT",Milestones!$AA$141=FT_Y5,EDATE($D6,Milestones!$AA$141)&lt;PolicyEff),1,Milestones!$AC$141)&amp;";  ","")&amp;IF(AND(EDATE($D6,Milestones!$AA$142)&lt;=AsOfDate,EDATE($D6,Milestones!$AA$142)&gt;=SchemeStart,IF($X6=0,$AD6,IF(AND($Z6&lt;&gt;"",EDATE($D6,Milestones!$AA$142)&gt;=$Z6),$AC6,IF(AND($Y6&lt;&gt;"",EDATE($D6,Milestones!$AA$142)&gt;=$Y6),$AB6,$AA6)))=Milestones!$AB$142),UPPER(TEXT(EDATE($D6,Milestones!$AA$142),"dd mmm yy"))&amp;" "&amp;Milestones!$AB$142&amp;" "&amp;IF(AND(Milestones!$AB$142="FT",Milestones!$AA$142=FT_Y5,EDATE($D6,Milestones!$AA$142)&lt;PolicyEff),1,Milestones!$AC$142)&amp;";  ","")&amp;IF(AND(EDATE($D6,Milestones!$AA$143)&lt;=AsOfDate,EDATE($D6,Milestones!$AA$143)&gt;=SchemeStart,IF($X6=0,$AD6,IF(AND($Z6&lt;&gt;"",EDATE($D6,Milestones!$AA$143)&gt;=$Z6),$AC6,IF(AND($Y6&lt;&gt;"",EDATE($D6,Milestones!$AA$143)&gt;=$Y6),$AB6,$AA6)))=Milestones!$AB$143),UPPER(TEXT(EDATE($D6,Milestones!$AA$143),"dd mmm yy"))&amp;" "&amp;Milestones!$AB$143&amp;" "&amp;IF(AND(Milestones!$AB$143="FT",Milestones!$AA$143=FT_Y5,EDATE($D6,Milestones!$AA$143)&lt;PolicyEff),1,Milestones!$AC$143)&amp;";  ","")&amp;IF(AND(EDATE($D6,Milestones!$AA$144)&lt;=AsOfDate,EDATE($D6,Milestones!$AA$144)&gt;=SchemeStart,IF($X6=0,$AD6,IF(AND($Z6&lt;&gt;"",EDATE($D6,Milestones!$AA$144)&gt;=$Z6),$AC6,IF(AND($Y6&lt;&gt;"",EDATE($D6,Milestones!$AA$144)&gt;=$Y6),$AB6,$AA6)))=Milestones!$AB$144),UPPER(TEXT(EDATE($D6,Milestones!$AA$144),"dd mmm yy"))&amp;" "&amp;Milestones!$AB$144&amp;" "&amp;IF(AND(Milestones!$AB$144="FT",Milestones!$AA$144=FT_Y5,EDATE($D6,Milestones!$AA$144)&lt;PolicyEff),1,Milestones!$AC$144)&amp;";  ","")&amp;IF(AND(EDATE($D6,Milestones!$AA$145)&lt;=AsOfDate,EDATE($D6,Milestones!$AA$145)&gt;=SchemeStart,IF($X6=0,$AD6,IF(AND($Z6&lt;&gt;"",EDATE($D6,Milestones!$AA$145)&gt;=$Z6),$AC6,IF(AND($Y6&lt;&gt;"",EDATE($D6,Milestones!$AA$145)&gt;=$Y6),$AB6,$AA6)))=Milestones!$AB$145),UPPER(TEXT(EDATE($D6,Milestones!$AA$145),"dd mmm yy"))&amp;" "&amp;Milestones!$AB$145&amp;" "&amp;IF(AND(Milestones!$AB$145="FT",Milestones!$AA$145=FT_Y5,EDATE($D6,Milestones!$AA$145)&lt;PolicyEff),1,Milestones!$AC$145)&amp;";  ","")&amp;IF(AND(EDATE($D6,Milestones!$AA$146)&lt;=AsOfDate,EDATE($D6,Milestones!$AA$146)&gt;=SchemeStart,IF($X6=0,$AD6,IF(AND($Z6&lt;&gt;"",EDATE($D6,Milestones!$AA$146)&gt;=$Z6),$AC6,IF(AND($Y6&lt;&gt;"",EDATE($D6,Milestones!$AA$146)&gt;=$Y6),$AB6,$AA6)))=Milestones!$AB$146),UPPER(TEXT(EDATE($D6,Milestones!$AA$146),"dd mmm yy"))&amp;" "&amp;Milestones!$AB$146&amp;" "&amp;IF(AND(Milestones!$AB$146="FT",Milestones!$AA$146=FT_Y5,EDATE($D6,Milestones!$AA$146)&lt;PolicyEff),1,Milestones!$AC$146)&amp;";  ","")&amp;IF(AND(EDATE($D6,Milestones!$AA$147)&lt;=AsOfDate,EDATE($D6,Milestones!$AA$147)&gt;=SchemeStart,IF($X6=0,$AD6,IF(AND($Z6&lt;&gt;"",EDATE($D6,Milestones!$AA$147)&gt;=$Z6),$AC6,IF(AND($Y6&lt;&gt;"",EDATE($D6,Milestones!$AA$147)&gt;=$Y6),$AB6,$AA6)))=Milestones!$AB$147),UPPER(TEXT(EDATE($D6,Milestones!$AA$147),"dd mmm yy"))&amp;" "&amp;Milestones!$AB$147&amp;" "&amp;IF(AND(Milestones!$AB$147="FT",Milestones!$AA$147=FT_Y5,EDATE($D6,Milestones!$AA$147)&lt;PolicyEff),1,Milestones!$AC$147)&amp;";  ","")&amp;IF(AND(EDATE($D6,Milestones!$AA$148)&lt;=AsOfDate,EDATE($D6,Milestones!$AA$148)&gt;=SchemeStart,IF($X6=0,$AD6,IF(AND($Z6&lt;&gt;"",EDATE($D6,Milestones!$AA$148)&gt;=$Z6),$AC6,IF(AND($Y6&lt;&gt;"",EDATE($D6,Milestones!$AA$148)&gt;=$Y6),$AB6,$AA6)))=Milestones!$AB$148),UPPER(TEXT(EDATE($D6,Milestones!$AA$148),"dd mmm yy"))&amp;" "&amp;Milestones!$AB$148&amp;" "&amp;IF(AND(Milestones!$AB$148="FT",Milestones!$AA$148=FT_Y5,EDATE($D6,Milestones!$AA$148)&lt;PolicyEff),1,Milestones!$AC$148)&amp;";  ","")&amp;IF(AND(EDATE($D6,Milestones!$AA$149)&lt;=AsOfDate,EDATE($D6,Milestones!$AA$149)&gt;=SchemeStart,IF($X6=0,$AD6,IF(AND($Z6&lt;&gt;"",EDATE($D6,Milestones!$AA$149)&gt;=$Z6),$AC6,IF(AND($Y6&lt;&gt;"",EDATE($D6,Milestones!$AA$149)&gt;=$Y6),$AB6,$AA6)))=Milestones!$AB$149),UPPER(TEXT(EDATE($D6,Milestones!$AA$149),"dd mmm yy"))&amp;" "&amp;Milestones!$AB$149&amp;" "&amp;IF(AND(Milestones!$AB$149="FT",Milestones!$AA$149=FT_Y5,EDATE($D6,Milestones!$AA$149)&lt;PolicyEff),1,Milestones!$AC$149)&amp;";  ","")&amp;IF(AND(EDATE($D6,Milestones!$AA$150)&lt;=AsOfDate,EDATE($D6,Milestones!$AA$150)&gt;=SchemeStart,IF($X6=0,$AD6,IF(AND($Z6&lt;&gt;"",EDATE($D6,Milestones!$AA$150)&gt;=$Z6),$AC6,IF(AND($Y6&lt;&gt;"",EDATE($D6,Milestones!$AA$150)&gt;=$Y6),$AB6,$AA6)))=Milestones!$AB$150),UPPER(TEXT(EDATE($D6,Milestones!$AA$150),"dd mmm yy"))&amp;" "&amp;Milestones!$AB$150&amp;" "&amp;IF(AND(Milestones!$AB$150="FT",Milestones!$AA$150=FT_Y5,EDATE($D6,Milestones!$AA$150)&lt;PolicyEff),1,Milestones!$AC$150)&amp;";  ","")&amp;IF(AND(EDATE($D6,Milestones!$AA$151)&lt;=AsOfDate,EDATE($D6,Milestones!$AA$151)&gt;=SchemeStart,IF($X6=0,$AD6,IF(AND($Z6&lt;&gt;"",EDATE($D6,Milestones!$AA$151)&gt;=$Z6),$AC6,IF(AND($Y6&lt;&gt;"",EDATE($D6,Milestones!$AA$151)&gt;=$Y6),$AB6,$AA6)))=Milestones!$AB$151),UPPER(TEXT(EDATE($D6,Milestones!$AA$151),"dd mmm yy"))&amp;" "&amp;Milestones!$AB$151&amp;" "&amp;IF(AND(Milestones!$AB$151="FT",Milestones!$AA$151=FT_Y5,EDATE($D6,Milestones!$AA$151)&lt;PolicyEff),1,Milestones!$AC$151)&amp;";  ",""))</f>
        <v/>
      </c>
      <c r="T6" s="0" t="str">
        <f aca="false">IF(OR($A6="",$D6=""),"",IF(AND(EDATE($D6,Milestones!$AA$152)&lt;=AsOfDate,EDATE($D6,Milestones!$AA$152)&gt;=SchemeStart,IF($X6=0,$AD6,IF(AND($Z6&lt;&gt;"",EDATE($D6,Milestones!$AA$152)&gt;=$Z6),$AC6,IF(AND($Y6&lt;&gt;"",EDATE($D6,Milestones!$AA$152)&gt;=$Y6),$AB6,$AA6)))=Milestones!$AB$152),UPPER(TEXT(EDATE($D6,Milestones!$AA$152),"dd mmm yy"))&amp;" "&amp;Milestones!$AB$152&amp;" "&amp;IF(AND(Milestones!$AB$152="FT",Milestones!$AA$152=FT_Y5,EDATE($D6,Milestones!$AA$152)&lt;PolicyEff),1,Milestones!$AC$152)&amp;";  ","")&amp;IF(AND(EDATE($D6,Milestones!$AA$153)&lt;=AsOfDate,EDATE($D6,Milestones!$AA$153)&gt;=SchemeStart,IF($X6=0,$AD6,IF(AND($Z6&lt;&gt;"",EDATE($D6,Milestones!$AA$153)&gt;=$Z6),$AC6,IF(AND($Y6&lt;&gt;"",EDATE($D6,Milestones!$AA$153)&gt;=$Y6),$AB6,$AA6)))=Milestones!$AB$153),UPPER(TEXT(EDATE($D6,Milestones!$AA$153),"dd mmm yy"))&amp;" "&amp;Milestones!$AB$153&amp;" "&amp;IF(AND(Milestones!$AB$153="FT",Milestones!$AA$153=FT_Y5,EDATE($D6,Milestones!$AA$153)&lt;PolicyEff),1,Milestones!$AC$153)&amp;";  ","")&amp;IF(AND(EDATE($D6,Milestones!$AA$154)&lt;=AsOfDate,EDATE($D6,Milestones!$AA$154)&gt;=SchemeStart,IF($X6=0,$AD6,IF(AND($Z6&lt;&gt;"",EDATE($D6,Milestones!$AA$154)&gt;=$Z6),$AC6,IF(AND($Y6&lt;&gt;"",EDATE($D6,Milestones!$AA$154)&gt;=$Y6),$AB6,$AA6)))=Milestones!$AB$154),UPPER(TEXT(EDATE($D6,Milestones!$AA$154),"dd mmm yy"))&amp;" "&amp;Milestones!$AB$154&amp;" "&amp;IF(AND(Milestones!$AB$154="FT",Milestones!$AA$154=FT_Y5,EDATE($D6,Milestones!$AA$154)&lt;PolicyEff),1,Milestones!$AC$154)&amp;";  ","")&amp;IF(AND(EDATE($D6,Milestones!$AA$155)&lt;=AsOfDate,EDATE($D6,Milestones!$AA$155)&gt;=SchemeStart,IF($X6=0,$AD6,IF(AND($Z6&lt;&gt;"",EDATE($D6,Milestones!$AA$155)&gt;=$Z6),$AC6,IF(AND($Y6&lt;&gt;"",EDATE($D6,Milestones!$AA$155)&gt;=$Y6),$AB6,$AA6)))=Milestones!$AB$155),UPPER(TEXT(EDATE($D6,Milestones!$AA$155),"dd mmm yy"))&amp;" "&amp;Milestones!$AB$155&amp;" "&amp;IF(AND(Milestones!$AB$155="FT",Milestones!$AA$155=FT_Y5,EDATE($D6,Milestones!$AA$155)&lt;PolicyEff),1,Milestones!$AC$155)&amp;";  ","")&amp;IF(AND(EDATE($D6,Milestones!$AA$156)&lt;=AsOfDate,EDATE($D6,Milestones!$AA$156)&gt;=SchemeStart,IF($X6=0,$AD6,IF(AND($Z6&lt;&gt;"",EDATE($D6,Milestones!$AA$156)&gt;=$Z6),$AC6,IF(AND($Y6&lt;&gt;"",EDATE($D6,Milestones!$AA$156)&gt;=$Y6),$AB6,$AA6)))=Milestones!$AB$156),UPPER(TEXT(EDATE($D6,Milestones!$AA$156),"dd mmm yy"))&amp;" "&amp;Milestones!$AB$156&amp;" "&amp;IF(AND(Milestones!$AB$156="FT",Milestones!$AA$156=FT_Y5,EDATE($D6,Milestones!$AA$156)&lt;PolicyEff),1,Milestones!$AC$156)&amp;";  ","")&amp;IF(AND(EDATE($D6,Milestones!$AA$157)&lt;=AsOfDate,EDATE($D6,Milestones!$AA$157)&gt;=SchemeStart,IF($X6=0,$AD6,IF(AND($Z6&lt;&gt;"",EDATE($D6,Milestones!$AA$157)&gt;=$Z6),$AC6,IF(AND($Y6&lt;&gt;"",EDATE($D6,Milestones!$AA$157)&gt;=$Y6),$AB6,$AA6)))=Milestones!$AB$157),UPPER(TEXT(EDATE($D6,Milestones!$AA$157),"dd mmm yy"))&amp;" "&amp;Milestones!$AB$157&amp;" "&amp;IF(AND(Milestones!$AB$157="FT",Milestones!$AA$157=FT_Y5,EDATE($D6,Milestones!$AA$157)&lt;PolicyEff),1,Milestones!$AC$157)&amp;";  ","")&amp;IF(AND(EDATE($D6,Milestones!$AA$158)&lt;=AsOfDate,EDATE($D6,Milestones!$AA$158)&gt;=SchemeStart,IF($X6=0,$AD6,IF(AND($Z6&lt;&gt;"",EDATE($D6,Milestones!$AA$158)&gt;=$Z6),$AC6,IF(AND($Y6&lt;&gt;"",EDATE($D6,Milestones!$AA$158)&gt;=$Y6),$AB6,$AA6)))=Milestones!$AB$158),UPPER(TEXT(EDATE($D6,Milestones!$AA$158),"dd mmm yy"))&amp;" "&amp;Milestones!$AB$158&amp;" "&amp;IF(AND(Milestones!$AB$158="FT",Milestones!$AA$158=FT_Y5,EDATE($D6,Milestones!$AA$158)&lt;PolicyEff),1,Milestones!$AC$158)&amp;";  ","")&amp;IF(AND(EDATE($D6,Milestones!$AA$159)&lt;=AsOfDate,EDATE($D6,Milestones!$AA$159)&gt;=SchemeStart,IF($X6=0,$AD6,IF(AND($Z6&lt;&gt;"",EDATE($D6,Milestones!$AA$159)&gt;=$Z6),$AC6,IF(AND($Y6&lt;&gt;"",EDATE($D6,Milestones!$AA$159)&gt;=$Y6),$AB6,$AA6)))=Milestones!$AB$159),UPPER(TEXT(EDATE($D6,Milestones!$AA$159),"dd mmm yy"))&amp;" "&amp;Milestones!$AB$159&amp;" "&amp;IF(AND(Milestones!$AB$159="FT",Milestones!$AA$159=FT_Y5,EDATE($D6,Milestones!$AA$159)&lt;PolicyEff),1,Milestones!$AC$159)&amp;";  ","")&amp;IF(AND(EDATE($D6,Milestones!$AA$160)&lt;=AsOfDate,EDATE($D6,Milestones!$AA$160)&gt;=SchemeStart,IF($X6=0,$AD6,IF(AND($Z6&lt;&gt;"",EDATE($D6,Milestones!$AA$160)&gt;=$Z6),$AC6,IF(AND($Y6&lt;&gt;"",EDATE($D6,Milestones!$AA$160)&gt;=$Y6),$AB6,$AA6)))=Milestones!$AB$160),UPPER(TEXT(EDATE($D6,Milestones!$AA$160),"dd mmm yy"))&amp;" "&amp;Milestones!$AB$160&amp;" "&amp;IF(AND(Milestones!$AB$160="FT",Milestones!$AA$160=FT_Y5,EDATE($D6,Milestones!$AA$160)&lt;PolicyEff),1,Milestones!$AC$160)&amp;";  ","")&amp;IF(AND(EDATE($D6,Milestones!$AA$161)&lt;=AsOfDate,EDATE($D6,Milestones!$AA$161)&gt;=SchemeStart,IF($X6=0,$AD6,IF(AND($Z6&lt;&gt;"",EDATE($D6,Milestones!$AA$161)&gt;=$Z6),$AC6,IF(AND($Y6&lt;&gt;"",EDATE($D6,Milestones!$AA$161)&gt;=$Y6),$AB6,$AA6)))=Milestones!$AB$161),UPPER(TEXT(EDATE($D6,Milestones!$AA$161),"dd mmm yy"))&amp;" "&amp;Milestones!$AB$161&amp;" "&amp;IF(AND(Milestones!$AB$161="FT",Milestones!$AA$161=FT_Y5,EDATE($D6,Milestones!$AA$161)&lt;PolicyEff),1,Milestones!$AC$161)&amp;";  ","")&amp;IF(AND(EDATE($D6,Milestones!$AA$162)&lt;=AsOfDate,EDATE($D6,Milestones!$AA$162)&gt;=SchemeStart,IF($X6=0,$AD6,IF(AND($Z6&lt;&gt;"",EDATE($D6,Milestones!$AA$162)&gt;=$Z6),$AC6,IF(AND($Y6&lt;&gt;"",EDATE($D6,Milestones!$AA$162)&gt;=$Y6),$AB6,$AA6)))=Milestones!$AB$162),UPPER(TEXT(EDATE($D6,Milestones!$AA$162),"dd mmm yy"))&amp;" "&amp;Milestones!$AB$162&amp;" "&amp;IF(AND(Milestones!$AB$162="FT",Milestones!$AA$162=FT_Y5,EDATE($D6,Milestones!$AA$162)&lt;PolicyEff),1,Milestones!$AC$162)&amp;";  ","")&amp;IF(AND(EDATE($D6,Milestones!$AA$163)&lt;=AsOfDate,EDATE($D6,Milestones!$AA$163)&gt;=SchemeStart,IF($X6=0,$AD6,IF(AND($Z6&lt;&gt;"",EDATE($D6,Milestones!$AA$163)&gt;=$Z6),$AC6,IF(AND($Y6&lt;&gt;"",EDATE($D6,Milestones!$AA$163)&gt;=$Y6),$AB6,$AA6)))=Milestones!$AB$163),UPPER(TEXT(EDATE($D6,Milestones!$AA$163),"dd mmm yy"))&amp;" "&amp;Milestones!$AB$163&amp;" "&amp;IF(AND(Milestones!$AB$163="FT",Milestones!$AA$163=FT_Y5,EDATE($D6,Milestones!$AA$163)&lt;PolicyEff),1,Milestones!$AC$163)&amp;";  ",""))</f>
        <v/>
      </c>
      <c r="U6" s="0" t="str">
        <f aca="false">IF(OR($A6="",$D6=""),"",IF(AND(EDATE($D6,Milestones!$AA$164)&lt;=AsOfDate,EDATE($D6,Milestones!$AA$164)&gt;=SchemeStart,IF($X6=0,$AD6,IF(AND($Z6&lt;&gt;"",EDATE($D6,Milestones!$AA$164)&gt;=$Z6),$AC6,IF(AND($Y6&lt;&gt;"",EDATE($D6,Milestones!$AA$164)&gt;=$Y6),$AB6,$AA6)))=Milestones!$AB$164),UPPER(TEXT(EDATE($D6,Milestones!$AA$164),"dd mmm yy"))&amp;" "&amp;Milestones!$AB$164&amp;" "&amp;IF(AND(Milestones!$AB$164="FT",Milestones!$AA$164=FT_Y5,EDATE($D6,Milestones!$AA$164)&lt;PolicyEff),1,Milestones!$AC$164)&amp;";  ","")&amp;IF(AND(EDATE($D6,Milestones!$AA$165)&lt;=AsOfDate,EDATE($D6,Milestones!$AA$165)&gt;=SchemeStart,IF($X6=0,$AD6,IF(AND($Z6&lt;&gt;"",EDATE($D6,Milestones!$AA$165)&gt;=$Z6),$AC6,IF(AND($Y6&lt;&gt;"",EDATE($D6,Milestones!$AA$165)&gt;=$Y6),$AB6,$AA6)))=Milestones!$AB$165),UPPER(TEXT(EDATE($D6,Milestones!$AA$165),"dd mmm yy"))&amp;" "&amp;Milestones!$AB$165&amp;" "&amp;IF(AND(Milestones!$AB$165="FT",Milestones!$AA$165=FT_Y5,EDATE($D6,Milestones!$AA$165)&lt;PolicyEff),1,Milestones!$AC$165)&amp;";  ","")&amp;IF(AND(EDATE($D6,Milestones!$AA$166)&lt;=AsOfDate,EDATE($D6,Milestones!$AA$166)&gt;=SchemeStart,IF($X6=0,$AD6,IF(AND($Z6&lt;&gt;"",EDATE($D6,Milestones!$AA$166)&gt;=$Z6),$AC6,IF(AND($Y6&lt;&gt;"",EDATE($D6,Milestones!$AA$166)&gt;=$Y6),$AB6,$AA6)))=Milestones!$AB$166),UPPER(TEXT(EDATE($D6,Milestones!$AA$166),"dd mmm yy"))&amp;" "&amp;Milestones!$AB$166&amp;" "&amp;IF(AND(Milestones!$AB$166="FT",Milestones!$AA$166=FT_Y5,EDATE($D6,Milestones!$AA$166)&lt;PolicyEff),1,Milestones!$AC$166)&amp;";  ","")&amp;IF(AND(EDATE($D6,Milestones!$AA$167)&lt;=AsOfDate,EDATE($D6,Milestones!$AA$167)&gt;=SchemeStart,IF($X6=0,$AD6,IF(AND($Z6&lt;&gt;"",EDATE($D6,Milestones!$AA$167)&gt;=$Z6),$AC6,IF(AND($Y6&lt;&gt;"",EDATE($D6,Milestones!$AA$167)&gt;=$Y6),$AB6,$AA6)))=Milestones!$AB$167),UPPER(TEXT(EDATE($D6,Milestones!$AA$167),"dd mmm yy"))&amp;" "&amp;Milestones!$AB$167&amp;" "&amp;IF(AND(Milestones!$AB$167="FT",Milestones!$AA$167=FT_Y5,EDATE($D6,Milestones!$AA$167)&lt;PolicyEff),1,Milestones!$AC$167)&amp;";  ","")&amp;IF(AND(EDATE($D6,Milestones!$AA$168)&lt;=AsOfDate,EDATE($D6,Milestones!$AA$168)&gt;=SchemeStart,IF($X6=0,$AD6,IF(AND($Z6&lt;&gt;"",EDATE($D6,Milestones!$AA$168)&gt;=$Z6),$AC6,IF(AND($Y6&lt;&gt;"",EDATE($D6,Milestones!$AA$168)&gt;=$Y6),$AB6,$AA6)))=Milestones!$AB$168),UPPER(TEXT(EDATE($D6,Milestones!$AA$168),"dd mmm yy"))&amp;" "&amp;Milestones!$AB$168&amp;" "&amp;IF(AND(Milestones!$AB$168="FT",Milestones!$AA$168=FT_Y5,EDATE($D6,Milestones!$AA$168)&lt;PolicyEff),1,Milestones!$AC$168)&amp;";  ","")&amp;IF(AND(EDATE($D6,Milestones!$AA$169)&lt;=AsOfDate,EDATE($D6,Milestones!$AA$169)&gt;=SchemeStart,IF($X6=0,$AD6,IF(AND($Z6&lt;&gt;"",EDATE($D6,Milestones!$AA$169)&gt;=$Z6),$AC6,IF(AND($Y6&lt;&gt;"",EDATE($D6,Milestones!$AA$169)&gt;=$Y6),$AB6,$AA6)))=Milestones!$AB$169),UPPER(TEXT(EDATE($D6,Milestones!$AA$169),"dd mmm yy"))&amp;" "&amp;Milestones!$AB$169&amp;" "&amp;IF(AND(Milestones!$AB$169="FT",Milestones!$AA$169=FT_Y5,EDATE($D6,Milestones!$AA$169)&lt;PolicyEff),1,Milestones!$AC$169)&amp;";  ","")&amp;IF(AND(EDATE($D6,Milestones!$AA$170)&lt;=AsOfDate,EDATE($D6,Milestones!$AA$170)&gt;=SchemeStart,IF($X6=0,$AD6,IF(AND($Z6&lt;&gt;"",EDATE($D6,Milestones!$AA$170)&gt;=$Z6),$AC6,IF(AND($Y6&lt;&gt;"",EDATE($D6,Milestones!$AA$170)&gt;=$Y6),$AB6,$AA6)))=Milestones!$AB$170),UPPER(TEXT(EDATE($D6,Milestones!$AA$170),"dd mmm yy"))&amp;" "&amp;Milestones!$AB$170&amp;" "&amp;IF(AND(Milestones!$AB$170="FT",Milestones!$AA$170=FT_Y5,EDATE($D6,Milestones!$AA$170)&lt;PolicyEff),1,Milestones!$AC$170)&amp;";  ","")&amp;IF(AND(EDATE($D6,Milestones!$AA$171)&lt;=AsOfDate,EDATE($D6,Milestones!$AA$171)&gt;=SchemeStart,IF($X6=0,$AD6,IF(AND($Z6&lt;&gt;"",EDATE($D6,Milestones!$AA$171)&gt;=$Z6),$AC6,IF(AND($Y6&lt;&gt;"",EDATE($D6,Milestones!$AA$171)&gt;=$Y6),$AB6,$AA6)))=Milestones!$AB$171),UPPER(TEXT(EDATE($D6,Milestones!$AA$171),"dd mmm yy"))&amp;" "&amp;Milestones!$AB$171&amp;" "&amp;IF(AND(Milestones!$AB$171="FT",Milestones!$AA$171=FT_Y5,EDATE($D6,Milestones!$AA$171)&lt;PolicyEff),1,Milestones!$AC$171)&amp;";  ","")&amp;IF(AND(EDATE($D6,Milestones!$AA$172)&lt;=AsOfDate,EDATE($D6,Milestones!$AA$172)&gt;=SchemeStart,IF($X6=0,$AD6,IF(AND($Z6&lt;&gt;"",EDATE($D6,Milestones!$AA$172)&gt;=$Z6),$AC6,IF(AND($Y6&lt;&gt;"",EDATE($D6,Milestones!$AA$172)&gt;=$Y6),$AB6,$AA6)))=Milestones!$AB$172),UPPER(TEXT(EDATE($D6,Milestones!$AA$172),"dd mmm yy"))&amp;" "&amp;Milestones!$AB$172&amp;" "&amp;IF(AND(Milestones!$AB$172="FT",Milestones!$AA$172=FT_Y5,EDATE($D6,Milestones!$AA$172)&lt;PolicyEff),1,Milestones!$AC$172)&amp;";  ","")&amp;IF(AND(EDATE($D6,Milestones!$AA$173)&lt;=AsOfDate,EDATE($D6,Milestones!$AA$173)&gt;=SchemeStart,IF($X6=0,$AD6,IF(AND($Z6&lt;&gt;"",EDATE($D6,Milestones!$AA$173)&gt;=$Z6),$AC6,IF(AND($Y6&lt;&gt;"",EDATE($D6,Milestones!$AA$173)&gt;=$Y6),$AB6,$AA6)))=Milestones!$AB$173),UPPER(TEXT(EDATE($D6,Milestones!$AA$173),"dd mmm yy"))&amp;" "&amp;Milestones!$AB$173&amp;" "&amp;IF(AND(Milestones!$AB$173="FT",Milestones!$AA$173=FT_Y5,EDATE($D6,Milestones!$AA$173)&lt;PolicyEff),1,Milestones!$AC$173)&amp;";  ","")&amp;IF(AND(EDATE($D6,Milestones!$AA$174)&lt;=AsOfDate,EDATE($D6,Milestones!$AA$174)&gt;=SchemeStart,IF($X6=0,$AD6,IF(AND($Z6&lt;&gt;"",EDATE($D6,Milestones!$AA$174)&gt;=$Z6),$AC6,IF(AND($Y6&lt;&gt;"",EDATE($D6,Milestones!$AA$174)&gt;=$Y6),$AB6,$AA6)))=Milestones!$AB$174),UPPER(TEXT(EDATE($D6,Milestones!$AA$174),"dd mmm yy"))&amp;" "&amp;Milestones!$AB$174&amp;" "&amp;IF(AND(Milestones!$AB$174="FT",Milestones!$AA$174=FT_Y5,EDATE($D6,Milestones!$AA$174)&lt;PolicyEff),1,Milestones!$AC$174)&amp;";  ","")&amp;IF(AND(EDATE($D6,Milestones!$AA$175)&lt;=AsOfDate,EDATE($D6,Milestones!$AA$175)&gt;=SchemeStart,IF($X6=0,$AD6,IF(AND($Z6&lt;&gt;"",EDATE($D6,Milestones!$AA$175)&gt;=$Z6),$AC6,IF(AND($Y6&lt;&gt;"",EDATE($D6,Milestones!$AA$175)&gt;=$Y6),$AB6,$AA6)))=Milestones!$AB$175),UPPER(TEXT(EDATE($D6,Milestones!$AA$175),"dd mmm yy"))&amp;" "&amp;Milestones!$AB$175&amp;" "&amp;IF(AND(Milestones!$AB$175="FT",Milestones!$AA$175=FT_Y5,EDATE($D6,Milestones!$AA$175)&lt;PolicyEff),1,Milestones!$AC$175)&amp;";  ",""))</f>
        <v/>
      </c>
      <c r="V6" s="0" t="str">
        <f aca="false">IF(OR($A6="",$D6=""),"",IF(AND(EDATE($D6,Milestones!$AA$176)&lt;=AsOfDate,EDATE($D6,Milestones!$AA$176)&gt;=SchemeStart,IF($X6=0,$AD6,IF(AND($Z6&lt;&gt;"",EDATE($D6,Milestones!$AA$176)&gt;=$Z6),$AC6,IF(AND($Y6&lt;&gt;"",EDATE($D6,Milestones!$AA$176)&gt;=$Y6),$AB6,$AA6)))=Milestones!$AB$176),UPPER(TEXT(EDATE($D6,Milestones!$AA$176),"dd mmm yy"))&amp;" "&amp;Milestones!$AB$176&amp;" "&amp;IF(AND(Milestones!$AB$176="FT",Milestones!$AA$176=FT_Y5,EDATE($D6,Milestones!$AA$176)&lt;PolicyEff),1,Milestones!$AC$176)&amp;";  ","")&amp;IF(AND(EDATE($D6,Milestones!$AA$177)&lt;=AsOfDate,EDATE($D6,Milestones!$AA$177)&gt;=SchemeStart,IF($X6=0,$AD6,IF(AND($Z6&lt;&gt;"",EDATE($D6,Milestones!$AA$177)&gt;=$Z6),$AC6,IF(AND($Y6&lt;&gt;"",EDATE($D6,Milestones!$AA$177)&gt;=$Y6),$AB6,$AA6)))=Milestones!$AB$177),UPPER(TEXT(EDATE($D6,Milestones!$AA$177),"dd mmm yy"))&amp;" "&amp;Milestones!$AB$177&amp;" "&amp;IF(AND(Milestones!$AB$177="FT",Milestones!$AA$177=FT_Y5,EDATE($D6,Milestones!$AA$177)&lt;PolicyEff),1,Milestones!$AC$177)&amp;";  ","")&amp;IF(AND(EDATE($D6,Milestones!$AA$178)&lt;=AsOfDate,EDATE($D6,Milestones!$AA$178)&gt;=SchemeStart,IF($X6=0,$AD6,IF(AND($Z6&lt;&gt;"",EDATE($D6,Milestones!$AA$178)&gt;=$Z6),$AC6,IF(AND($Y6&lt;&gt;"",EDATE($D6,Milestones!$AA$178)&gt;=$Y6),$AB6,$AA6)))=Milestones!$AB$178),UPPER(TEXT(EDATE($D6,Milestones!$AA$178),"dd mmm yy"))&amp;" "&amp;Milestones!$AB$178&amp;" "&amp;IF(AND(Milestones!$AB$178="FT",Milestones!$AA$178=FT_Y5,EDATE($D6,Milestones!$AA$178)&lt;PolicyEff),1,Milestones!$AC$178)&amp;";  ","")&amp;IF(AND(EDATE($D6,Milestones!$AA$179)&lt;=AsOfDate,EDATE($D6,Milestones!$AA$179)&gt;=SchemeStart,IF($X6=0,$AD6,IF(AND($Z6&lt;&gt;"",EDATE($D6,Milestones!$AA$179)&gt;=$Z6),$AC6,IF(AND($Y6&lt;&gt;"",EDATE($D6,Milestones!$AA$179)&gt;=$Y6),$AB6,$AA6)))=Milestones!$AB$179),UPPER(TEXT(EDATE($D6,Milestones!$AA$179),"dd mmm yy"))&amp;" "&amp;Milestones!$AB$179&amp;" "&amp;IF(AND(Milestones!$AB$179="FT",Milestones!$AA$179=FT_Y5,EDATE($D6,Milestones!$AA$179)&lt;PolicyEff),1,Milestones!$AC$179)&amp;";  ","")&amp;IF(AND(EDATE($D6,Milestones!$AA$180)&lt;=AsOfDate,EDATE($D6,Milestones!$AA$180)&gt;=SchemeStart,IF($X6=0,$AD6,IF(AND($Z6&lt;&gt;"",EDATE($D6,Milestones!$AA$180)&gt;=$Z6),$AC6,IF(AND($Y6&lt;&gt;"",EDATE($D6,Milestones!$AA$180)&gt;=$Y6),$AB6,$AA6)))=Milestones!$AB$180),UPPER(TEXT(EDATE($D6,Milestones!$AA$180),"dd mmm yy"))&amp;" "&amp;Milestones!$AB$180&amp;" "&amp;IF(AND(Milestones!$AB$180="FT",Milestones!$AA$180=FT_Y5,EDATE($D6,Milestones!$AA$180)&lt;PolicyEff),1,Milestones!$AC$180)&amp;";  ","")&amp;IF(AND(EDATE($D6,Milestones!$AA$181)&lt;=AsOfDate,EDATE($D6,Milestones!$AA$181)&gt;=SchemeStart,IF($X6=0,$AD6,IF(AND($Z6&lt;&gt;"",EDATE($D6,Milestones!$AA$181)&gt;=$Z6),$AC6,IF(AND($Y6&lt;&gt;"",EDATE($D6,Milestones!$AA$181)&gt;=$Y6),$AB6,$AA6)))=Milestones!$AB$181),UPPER(TEXT(EDATE($D6,Milestones!$AA$181),"dd mmm yy"))&amp;" "&amp;Milestones!$AB$181&amp;" "&amp;IF(AND(Milestones!$AB$181="FT",Milestones!$AA$181=FT_Y5,EDATE($D6,Milestones!$AA$181)&lt;PolicyEff),1,Milestones!$AC$181)&amp;";  ","")&amp;IF(AND(EDATE($D6,Milestones!$AA$182)&lt;=AsOfDate,EDATE($D6,Milestones!$AA$182)&gt;=SchemeStart,IF($X6=0,$AD6,IF(AND($Z6&lt;&gt;"",EDATE($D6,Milestones!$AA$182)&gt;=$Z6),$AC6,IF(AND($Y6&lt;&gt;"",EDATE($D6,Milestones!$AA$182)&gt;=$Y6),$AB6,$AA6)))=Milestones!$AB$182),UPPER(TEXT(EDATE($D6,Milestones!$AA$182),"dd mmm yy"))&amp;" "&amp;Milestones!$AB$182&amp;" "&amp;IF(AND(Milestones!$AB$182="FT",Milestones!$AA$182=FT_Y5,EDATE($D6,Milestones!$AA$182)&lt;PolicyEff),1,Milestones!$AC$182)&amp;";  ","")&amp;IF(AND(EDATE($D6,Milestones!$AA$183)&lt;=AsOfDate,EDATE($D6,Milestones!$AA$183)&gt;=SchemeStart,IF($X6=0,$AD6,IF(AND($Z6&lt;&gt;"",EDATE($D6,Milestones!$AA$183)&gt;=$Z6),$AC6,IF(AND($Y6&lt;&gt;"",EDATE($D6,Milestones!$AA$183)&gt;=$Y6),$AB6,$AA6)))=Milestones!$AB$183),UPPER(TEXT(EDATE($D6,Milestones!$AA$183),"dd mmm yy"))&amp;" "&amp;Milestones!$AB$183&amp;" "&amp;IF(AND(Milestones!$AB$183="FT",Milestones!$AA$183=FT_Y5,EDATE($D6,Milestones!$AA$183)&lt;PolicyEff),1,Milestones!$AC$183)&amp;";  ","")&amp;IF(AND(EDATE($D6,Milestones!$AA$184)&lt;=AsOfDate,EDATE($D6,Milestones!$AA$184)&gt;=SchemeStart,IF($X6=0,$AD6,IF(AND($Z6&lt;&gt;"",EDATE($D6,Milestones!$AA$184)&gt;=$Z6),$AC6,IF(AND($Y6&lt;&gt;"",EDATE($D6,Milestones!$AA$184)&gt;=$Y6),$AB6,$AA6)))=Milestones!$AB$184),UPPER(TEXT(EDATE($D6,Milestones!$AA$184),"dd mmm yy"))&amp;" "&amp;Milestones!$AB$184&amp;" "&amp;IF(AND(Milestones!$AB$184="FT",Milestones!$AA$184=FT_Y5,EDATE($D6,Milestones!$AA$184)&lt;PolicyEff),1,Milestones!$AC$184)&amp;";  ","")&amp;IF(AND(EDATE($D6,Milestones!$AA$185)&lt;=AsOfDate,EDATE($D6,Milestones!$AA$185)&gt;=SchemeStart,IF($X6=0,$AD6,IF(AND($Z6&lt;&gt;"",EDATE($D6,Milestones!$AA$185)&gt;=$Z6),$AC6,IF(AND($Y6&lt;&gt;"",EDATE($D6,Milestones!$AA$185)&gt;=$Y6),$AB6,$AA6)))=Milestones!$AB$185),UPPER(TEXT(EDATE($D6,Milestones!$AA$185),"dd mmm yy"))&amp;" "&amp;Milestones!$AB$185&amp;" "&amp;IF(AND(Milestones!$AB$185="FT",Milestones!$AA$185=FT_Y5,EDATE($D6,Milestones!$AA$185)&lt;PolicyEff),1,Milestones!$AC$185)&amp;";  ","")&amp;IF(AND(EDATE($D6,Milestones!$AA$186)&lt;=AsOfDate,EDATE($D6,Milestones!$AA$186)&gt;=SchemeStart,IF($X6=0,$AD6,IF(AND($Z6&lt;&gt;"",EDATE($D6,Milestones!$AA$186)&gt;=$Z6),$AC6,IF(AND($Y6&lt;&gt;"",EDATE($D6,Milestones!$AA$186)&gt;=$Y6),$AB6,$AA6)))=Milestones!$AB$186),UPPER(TEXT(EDATE($D6,Milestones!$AA$186),"dd mmm yy"))&amp;" "&amp;Milestones!$AB$186&amp;" "&amp;IF(AND(Milestones!$AB$186="FT",Milestones!$AA$186=FT_Y5,EDATE($D6,Milestones!$AA$186)&lt;PolicyEff),1,Milestones!$AC$186)&amp;";  ","")&amp;IF(AND(EDATE($D6,Milestones!$AA$187)&lt;=AsOfDate,EDATE($D6,Milestones!$AA$187)&gt;=SchemeStart,IF($X6=0,$AD6,IF(AND($Z6&lt;&gt;"",EDATE($D6,Milestones!$AA$187)&gt;=$Z6),$AC6,IF(AND($Y6&lt;&gt;"",EDATE($D6,Milestones!$AA$187)&gt;=$Y6),$AB6,$AA6)))=Milestones!$AB$187),UPPER(TEXT(EDATE($D6,Milestones!$AA$187),"dd mmm yy"))&amp;" "&amp;Milestones!$AB$187&amp;" "&amp;IF(AND(Milestones!$AB$187="FT",Milestones!$AA$187=FT_Y5,EDATE($D6,Milestones!$AA$187)&lt;PolicyEff),1,Milestones!$AC$187)&amp;";  ",""))</f>
        <v/>
      </c>
      <c r="W6" s="0" t="str">
        <f aca="false">IF(OR($A6="",$D6=""),"",IF(AND(EDATE($D6,Milestones!$AA$188)&lt;=AsOfDate,EDATE($D6,Milestones!$AA$188)&gt;=SchemeStart,IF($X6=0,$AD6,IF(AND($Z6&lt;&gt;"",EDATE($D6,Milestones!$AA$188)&gt;=$Z6),$AC6,IF(AND($Y6&lt;&gt;"",EDATE($D6,Milestones!$AA$188)&gt;=$Y6),$AB6,$AA6)))=Milestones!$AB$188),UPPER(TEXT(EDATE($D6,Milestones!$AA$188),"dd mmm yy"))&amp;" "&amp;Milestones!$AB$188&amp;" "&amp;IF(AND(Milestones!$AB$188="FT",Milestones!$AA$188=FT_Y5,EDATE($D6,Milestones!$AA$188)&lt;PolicyEff),1,Milestones!$AC$188)&amp;";  ","")&amp;IF(AND(EDATE($D6,Milestones!$AA$189)&lt;=AsOfDate,EDATE($D6,Milestones!$AA$189)&gt;=SchemeStart,IF($X6=0,$AD6,IF(AND($Z6&lt;&gt;"",EDATE($D6,Milestones!$AA$189)&gt;=$Z6),$AC6,IF(AND($Y6&lt;&gt;"",EDATE($D6,Milestones!$AA$189)&gt;=$Y6),$AB6,$AA6)))=Milestones!$AB$189),UPPER(TEXT(EDATE($D6,Milestones!$AA$189),"dd mmm yy"))&amp;" "&amp;Milestones!$AB$189&amp;" "&amp;IF(AND(Milestones!$AB$189="FT",Milestones!$AA$189=FT_Y5,EDATE($D6,Milestones!$AA$189)&lt;PolicyEff),1,Milestones!$AC$189)&amp;";  ","")&amp;IF(AND(EDATE($D6,Milestones!$AA$190)&lt;=AsOfDate,EDATE($D6,Milestones!$AA$190)&gt;=SchemeStart,IF($X6=0,$AD6,IF(AND($Z6&lt;&gt;"",EDATE($D6,Milestones!$AA$190)&gt;=$Z6),$AC6,IF(AND($Y6&lt;&gt;"",EDATE($D6,Milestones!$AA$190)&gt;=$Y6),$AB6,$AA6)))=Milestones!$AB$190),UPPER(TEXT(EDATE($D6,Milestones!$AA$190),"dd mmm yy"))&amp;" "&amp;Milestones!$AB$190&amp;" "&amp;IF(AND(Milestones!$AB$190="FT",Milestones!$AA$190=FT_Y5,EDATE($D6,Milestones!$AA$190)&lt;PolicyEff),1,Milestones!$AC$190)&amp;";  ","")&amp;IF(AND(EDATE($D6,Milestones!$AA$191)&lt;=AsOfDate,EDATE($D6,Milestones!$AA$191)&gt;=SchemeStart,IF($X6=0,$AD6,IF(AND($Z6&lt;&gt;"",EDATE($D6,Milestones!$AA$191)&gt;=$Z6),$AC6,IF(AND($Y6&lt;&gt;"",EDATE($D6,Milestones!$AA$191)&gt;=$Y6),$AB6,$AA6)))=Milestones!$AB$191),UPPER(TEXT(EDATE($D6,Milestones!$AA$191),"dd mmm yy"))&amp;" "&amp;Milestones!$AB$191&amp;" "&amp;IF(AND(Milestones!$AB$191="FT",Milestones!$AA$191=FT_Y5,EDATE($D6,Milestones!$AA$191)&lt;PolicyEff),1,Milestones!$AC$191)&amp;";  ","")&amp;IF(AND(EDATE($D6,Milestones!$AA$192)&lt;=AsOfDate,EDATE($D6,Milestones!$AA$192)&gt;=SchemeStart,IF($X6=0,$AD6,IF(AND($Z6&lt;&gt;"",EDATE($D6,Milestones!$AA$192)&gt;=$Z6),$AC6,IF(AND($Y6&lt;&gt;"",EDATE($D6,Milestones!$AA$192)&gt;=$Y6),$AB6,$AA6)))=Milestones!$AB$192),UPPER(TEXT(EDATE($D6,Milestones!$AA$192),"dd mmm yy"))&amp;" "&amp;Milestones!$AB$192&amp;" "&amp;IF(AND(Milestones!$AB$192="FT",Milestones!$AA$192=FT_Y5,EDATE($D6,Milestones!$AA$192)&lt;PolicyEff),1,Milestones!$AC$192)&amp;";  ","")&amp;IF(AND(EDATE($D6,Milestones!$AA$193)&lt;=AsOfDate,EDATE($D6,Milestones!$AA$193)&gt;=SchemeStart,IF($X6=0,$AD6,IF(AND($Z6&lt;&gt;"",EDATE($D6,Milestones!$AA$193)&gt;=$Z6),$AC6,IF(AND($Y6&lt;&gt;"",EDATE($D6,Milestones!$AA$193)&gt;=$Y6),$AB6,$AA6)))=Milestones!$AB$193),UPPER(TEXT(EDATE($D6,Milestones!$AA$193),"dd mmm yy"))&amp;" "&amp;Milestones!$AB$193&amp;" "&amp;IF(AND(Milestones!$AB$193="FT",Milestones!$AA$193=FT_Y5,EDATE($D6,Milestones!$AA$193)&lt;PolicyEff),1,Milestones!$AC$193)&amp;";  ","")&amp;IF(AND(EDATE($D6,Milestones!$AA$194)&lt;=AsOfDate,EDATE($D6,Milestones!$AA$194)&gt;=SchemeStart,IF($X6=0,$AD6,IF(AND($Z6&lt;&gt;"",EDATE($D6,Milestones!$AA$194)&gt;=$Z6),$AC6,IF(AND($Y6&lt;&gt;"",EDATE($D6,Milestones!$AA$194)&gt;=$Y6),$AB6,$AA6)))=Milestones!$AB$194),UPPER(TEXT(EDATE($D6,Milestones!$AA$194),"dd mmm yy"))&amp;" "&amp;Milestones!$AB$194&amp;" "&amp;IF(AND(Milestones!$AB$194="FT",Milestones!$AA$194=FT_Y5,EDATE($D6,Milestones!$AA$194)&lt;PolicyEff),1,Milestones!$AC$194)&amp;";  ","")&amp;IF(AND(EDATE($D6,Milestones!$AA$195)&lt;=AsOfDate,EDATE($D6,Milestones!$AA$195)&gt;=SchemeStart,IF($X6=0,$AD6,IF(AND($Z6&lt;&gt;"",EDATE($D6,Milestones!$AA$195)&gt;=$Z6),$AC6,IF(AND($Y6&lt;&gt;"",EDATE($D6,Milestones!$AA$195)&gt;=$Y6),$AB6,$AA6)))=Milestones!$AB$195),UPPER(TEXT(EDATE($D6,Milestones!$AA$195),"dd mmm yy"))&amp;" "&amp;Milestones!$AB$195&amp;" "&amp;IF(AND(Milestones!$AB$195="FT",Milestones!$AA$195=FT_Y5,EDATE($D6,Milestones!$AA$195)&lt;PolicyEff),1,Milestones!$AC$195)&amp;";  ","")&amp;IF(AND(EDATE($D6,Milestones!$AA$196)&lt;=AsOfDate,EDATE($D6,Milestones!$AA$196)&gt;=SchemeStart,IF($X6=0,$AD6,IF(AND($Z6&lt;&gt;"",EDATE($D6,Milestones!$AA$196)&gt;=$Z6),$AC6,IF(AND($Y6&lt;&gt;"",EDATE($D6,Milestones!$AA$196)&gt;=$Y6),$AB6,$AA6)))=Milestones!$AB$196),UPPER(TEXT(EDATE($D6,Milestones!$AA$196),"dd mmm yy"))&amp;" "&amp;Milestones!$AB$196&amp;" "&amp;IF(AND(Milestones!$AB$196="FT",Milestones!$AA$196=FT_Y5,EDATE($D6,Milestones!$AA$196)&lt;PolicyEff),1,Milestones!$AC$196)&amp;";  ","")&amp;IF(AND(EDATE($D6,Milestones!$AA$197)&lt;=AsOfDate,EDATE($D6,Milestones!$AA$197)&gt;=SchemeStart,IF($X6=0,$AD6,IF(AND($Z6&lt;&gt;"",EDATE($D6,Milestones!$AA$197)&gt;=$Z6),$AC6,IF(AND($Y6&lt;&gt;"",EDATE($D6,Milestones!$AA$197)&gt;=$Y6),$AB6,$AA6)))=Milestones!$AB$197),UPPER(TEXT(EDATE($D6,Milestones!$AA$197),"dd mmm yy"))&amp;" "&amp;Milestones!$AB$197&amp;" "&amp;IF(AND(Milestones!$AB$197="FT",Milestones!$AA$197=FT_Y5,EDATE($D6,Milestones!$AA$197)&lt;PolicyEff),1,Milestones!$AC$197)&amp;";  ","")&amp;IF(AND(EDATE($D6,Milestones!$AA$198)&lt;=AsOfDate,EDATE($D6,Milestones!$AA$198)&gt;=SchemeStart,IF($X6=0,$AD6,IF(AND($Z6&lt;&gt;"",EDATE($D6,Milestones!$AA$198)&gt;=$Z6),$AC6,IF(AND($Y6&lt;&gt;"",EDATE($D6,Milestones!$AA$198)&gt;=$Y6),$AB6,$AA6)))=Milestones!$AB$198),UPPER(TEXT(EDATE($D6,Milestones!$AA$198),"dd mmm yy"))&amp;" "&amp;Milestones!$AB$198&amp;" "&amp;IF(AND(Milestones!$AB$198="FT",Milestones!$AA$198=FT_Y5,EDATE($D6,Milestones!$AA$198)&lt;PolicyEff),1,Milestones!$AC$198)&amp;";  ","")&amp;IF(AND(EDATE($D6,Milestones!$AA$199)&lt;=AsOfDate,EDATE($D6,Milestones!$AA$199)&gt;=SchemeStart,IF($X6=0,$AD6,IF(AND($Z6&lt;&gt;"",EDATE($D6,Milestones!$AA$199)&gt;=$Z6),$AC6,IF(AND($Y6&lt;&gt;"",EDATE($D6,Milestones!$AA$199)&gt;=$Y6),$AB6,$AA6)))=Milestones!$AB$199),UPPER(TEXT(EDATE($D6,Milestones!$AA$199),"dd mmm yy"))&amp;" "&amp;Milestones!$AB$199&amp;" "&amp;IF(AND(Milestones!$AB$199="FT",Milestones!$AA$199=FT_Y5,EDATE($D6,Milestones!$AA$199)&lt;PolicyEff),1,Milestones!$AC$199)&amp;";  ",""))</f>
        <v/>
      </c>
      <c r="X6" s="0" t="str">
        <f aca="false">IF(Staff!$A6="","",Staff!$AM6)</f>
        <v/>
      </c>
      <c r="Y6" s="0" t="str">
        <f aca="false">IF(Staff!$A6="","",Staff!$AO6)</f>
        <v/>
      </c>
      <c r="Z6" s="0" t="str">
        <f aca="false">IF(Staff!$A6="","",Staff!$AP6)</f>
        <v/>
      </c>
      <c r="AA6" s="0" t="str">
        <f aca="false">IF(Staff!$A6="","",Staff!$AT6)</f>
        <v/>
      </c>
      <c r="AB6" s="0" t="str">
        <f aca="false">IF(Staff!$A6="","",Staff!$AU6)</f>
        <v/>
      </c>
      <c r="AC6" s="0" t="str">
        <f aca="false">IF(Staff!$A6="","",Staff!$AV6)</f>
        <v/>
      </c>
      <c r="AD6" s="0" t="str">
        <f aca="false">IF(Staff!$A6="","",Staff!$AW6)</f>
        <v/>
      </c>
    </row>
    <row r="7" customFormat="false" ht="15" hidden="false" customHeight="false" outlineLevel="0" collapsed="false">
      <c r="A7" s="16" t="str">
        <f aca="false">IF(Staff!$A7="","",Staff!$A7)</f>
        <v/>
      </c>
      <c r="B7" s="16" t="str">
        <f aca="false">IF(Staff!$A7="","",Staff!$B7)</f>
        <v/>
      </c>
      <c r="C7" s="16" t="str">
        <f aca="false">IF(Staff!$A7="","",Staff!$C7)</f>
        <v/>
      </c>
      <c r="D7" s="14" t="str">
        <f aca="false">IF(Staff!$A7="","",Staff!$AL7)</f>
        <v/>
      </c>
      <c r="E7" s="16" t="str">
        <f aca="false">IF(Staff!$A7="","",Staff!$O7)</f>
        <v/>
      </c>
      <c r="F7" s="16" t="str">
        <f aca="false">IF(E7="","",E7*HoursPerDay)</f>
        <v/>
      </c>
      <c r="G7" s="16" t="str">
        <f aca="false">IF(Staff!$A7="","",Staff!$AE7)</f>
        <v/>
      </c>
      <c r="H7" s="28" t="str">
        <f aca="false">IF($A7="","",I7&amp;J7&amp;K7&amp;L7&amp;M7&amp;N7&amp;O7&amp;P7&amp;Q7&amp;R7&amp;S7&amp;T7&amp;U7&amp;V7&amp;W7)</f>
        <v/>
      </c>
      <c r="I7" s="0" t="str">
        <f aca="false">IF(OR($A7="",$D7=""),"",IF(AND(EDATE($D7,Milestones!$AA$20)&lt;=AsOfDate,EDATE($D7,Milestones!$AA$20)&gt;=SchemeStart,IF($X7=0,$AD7,IF(AND($Z7&lt;&gt;"",EDATE($D7,Milestones!$AA$20)&gt;=$Z7),$AC7,IF(AND($Y7&lt;&gt;"",EDATE($D7,Milestones!$AA$20)&gt;=$Y7),$AB7,$AA7)))=Milestones!$AB$20),UPPER(TEXT(EDATE($D7,Milestones!$AA$20),"dd mmm yy"))&amp;" "&amp;Milestones!$AB$20&amp;" "&amp;IF(AND(Milestones!$AB$20="FT",Milestones!$AA$20=FT_Y5,EDATE($D7,Milestones!$AA$20)&lt;PolicyEff),1,Milestones!$AC$20)&amp;";  ","")&amp;IF(AND(EDATE($D7,Milestones!$AA$21)&lt;=AsOfDate,EDATE($D7,Milestones!$AA$21)&gt;=SchemeStart,IF($X7=0,$AD7,IF(AND($Z7&lt;&gt;"",EDATE($D7,Milestones!$AA$21)&gt;=$Z7),$AC7,IF(AND($Y7&lt;&gt;"",EDATE($D7,Milestones!$AA$21)&gt;=$Y7),$AB7,$AA7)))=Milestones!$AB$21),UPPER(TEXT(EDATE($D7,Milestones!$AA$21),"dd mmm yy"))&amp;" "&amp;Milestones!$AB$21&amp;" "&amp;IF(AND(Milestones!$AB$21="FT",Milestones!$AA$21=FT_Y5,EDATE($D7,Milestones!$AA$21)&lt;PolicyEff),1,Milestones!$AC$21)&amp;";  ","")&amp;IF(AND(EDATE($D7,Milestones!$AA$22)&lt;=AsOfDate,EDATE($D7,Milestones!$AA$22)&gt;=SchemeStart,IF($X7=0,$AD7,IF(AND($Z7&lt;&gt;"",EDATE($D7,Milestones!$AA$22)&gt;=$Z7),$AC7,IF(AND($Y7&lt;&gt;"",EDATE($D7,Milestones!$AA$22)&gt;=$Y7),$AB7,$AA7)))=Milestones!$AB$22),UPPER(TEXT(EDATE($D7,Milestones!$AA$22),"dd mmm yy"))&amp;" "&amp;Milestones!$AB$22&amp;" "&amp;IF(AND(Milestones!$AB$22="FT",Milestones!$AA$22=FT_Y5,EDATE($D7,Milestones!$AA$22)&lt;PolicyEff),1,Milestones!$AC$22)&amp;";  ","")&amp;IF(AND(EDATE($D7,Milestones!$AA$23)&lt;=AsOfDate,EDATE($D7,Milestones!$AA$23)&gt;=SchemeStart,IF($X7=0,$AD7,IF(AND($Z7&lt;&gt;"",EDATE($D7,Milestones!$AA$23)&gt;=$Z7),$AC7,IF(AND($Y7&lt;&gt;"",EDATE($D7,Milestones!$AA$23)&gt;=$Y7),$AB7,$AA7)))=Milestones!$AB$23),UPPER(TEXT(EDATE($D7,Milestones!$AA$23),"dd mmm yy"))&amp;" "&amp;Milestones!$AB$23&amp;" "&amp;IF(AND(Milestones!$AB$23="FT",Milestones!$AA$23=FT_Y5,EDATE($D7,Milestones!$AA$23)&lt;PolicyEff),1,Milestones!$AC$23)&amp;";  ","")&amp;IF(AND(EDATE($D7,Milestones!$AA$24)&lt;=AsOfDate,EDATE($D7,Milestones!$AA$24)&gt;=SchemeStart,IF($X7=0,$AD7,IF(AND($Z7&lt;&gt;"",EDATE($D7,Milestones!$AA$24)&gt;=$Z7),$AC7,IF(AND($Y7&lt;&gt;"",EDATE($D7,Milestones!$AA$24)&gt;=$Y7),$AB7,$AA7)))=Milestones!$AB$24),UPPER(TEXT(EDATE($D7,Milestones!$AA$24),"dd mmm yy"))&amp;" "&amp;Milestones!$AB$24&amp;" "&amp;IF(AND(Milestones!$AB$24="FT",Milestones!$AA$24=FT_Y5,EDATE($D7,Milestones!$AA$24)&lt;PolicyEff),1,Milestones!$AC$24)&amp;";  ","")&amp;IF(AND(EDATE($D7,Milestones!$AA$25)&lt;=AsOfDate,EDATE($D7,Milestones!$AA$25)&gt;=SchemeStart,IF($X7=0,$AD7,IF(AND($Z7&lt;&gt;"",EDATE($D7,Milestones!$AA$25)&gt;=$Z7),$AC7,IF(AND($Y7&lt;&gt;"",EDATE($D7,Milestones!$AA$25)&gt;=$Y7),$AB7,$AA7)))=Milestones!$AB$25),UPPER(TEXT(EDATE($D7,Milestones!$AA$25),"dd mmm yy"))&amp;" "&amp;Milestones!$AB$25&amp;" "&amp;IF(AND(Milestones!$AB$25="FT",Milestones!$AA$25=FT_Y5,EDATE($D7,Milestones!$AA$25)&lt;PolicyEff),1,Milestones!$AC$25)&amp;";  ","")&amp;IF(AND(EDATE($D7,Milestones!$AA$26)&lt;=AsOfDate,EDATE($D7,Milestones!$AA$26)&gt;=SchemeStart,IF($X7=0,$AD7,IF(AND($Z7&lt;&gt;"",EDATE($D7,Milestones!$AA$26)&gt;=$Z7),$AC7,IF(AND($Y7&lt;&gt;"",EDATE($D7,Milestones!$AA$26)&gt;=$Y7),$AB7,$AA7)))=Milestones!$AB$26),UPPER(TEXT(EDATE($D7,Milestones!$AA$26),"dd mmm yy"))&amp;" "&amp;Milestones!$AB$26&amp;" "&amp;IF(AND(Milestones!$AB$26="FT",Milestones!$AA$26=FT_Y5,EDATE($D7,Milestones!$AA$26)&lt;PolicyEff),1,Milestones!$AC$26)&amp;";  ","")&amp;IF(AND(EDATE($D7,Milestones!$AA$27)&lt;=AsOfDate,EDATE($D7,Milestones!$AA$27)&gt;=SchemeStart,IF($X7=0,$AD7,IF(AND($Z7&lt;&gt;"",EDATE($D7,Milestones!$AA$27)&gt;=$Z7),$AC7,IF(AND($Y7&lt;&gt;"",EDATE($D7,Milestones!$AA$27)&gt;=$Y7),$AB7,$AA7)))=Milestones!$AB$27),UPPER(TEXT(EDATE($D7,Milestones!$AA$27),"dd mmm yy"))&amp;" "&amp;Milestones!$AB$27&amp;" "&amp;IF(AND(Milestones!$AB$27="FT",Milestones!$AA$27=FT_Y5,EDATE($D7,Milestones!$AA$27)&lt;PolicyEff),1,Milestones!$AC$27)&amp;";  ","")&amp;IF(AND(EDATE($D7,Milestones!$AA$28)&lt;=AsOfDate,EDATE($D7,Milestones!$AA$28)&gt;=SchemeStart,IF($X7=0,$AD7,IF(AND($Z7&lt;&gt;"",EDATE($D7,Milestones!$AA$28)&gt;=$Z7),$AC7,IF(AND($Y7&lt;&gt;"",EDATE($D7,Milestones!$AA$28)&gt;=$Y7),$AB7,$AA7)))=Milestones!$AB$28),UPPER(TEXT(EDATE($D7,Milestones!$AA$28),"dd mmm yy"))&amp;" "&amp;Milestones!$AB$28&amp;" "&amp;IF(AND(Milestones!$AB$28="FT",Milestones!$AA$28=FT_Y5,EDATE($D7,Milestones!$AA$28)&lt;PolicyEff),1,Milestones!$AC$28)&amp;";  ","")&amp;IF(AND(EDATE($D7,Milestones!$AA$29)&lt;=AsOfDate,EDATE($D7,Milestones!$AA$29)&gt;=SchemeStart,IF($X7=0,$AD7,IF(AND($Z7&lt;&gt;"",EDATE($D7,Milestones!$AA$29)&gt;=$Z7),$AC7,IF(AND($Y7&lt;&gt;"",EDATE($D7,Milestones!$AA$29)&gt;=$Y7),$AB7,$AA7)))=Milestones!$AB$29),UPPER(TEXT(EDATE($D7,Milestones!$AA$29),"dd mmm yy"))&amp;" "&amp;Milestones!$AB$29&amp;" "&amp;IF(AND(Milestones!$AB$29="FT",Milestones!$AA$29=FT_Y5,EDATE($D7,Milestones!$AA$29)&lt;PolicyEff),1,Milestones!$AC$29)&amp;";  ","")&amp;IF(AND(EDATE($D7,Milestones!$AA$30)&lt;=AsOfDate,EDATE($D7,Milestones!$AA$30)&gt;=SchemeStart,IF($X7=0,$AD7,IF(AND($Z7&lt;&gt;"",EDATE($D7,Milestones!$AA$30)&gt;=$Z7),$AC7,IF(AND($Y7&lt;&gt;"",EDATE($D7,Milestones!$AA$30)&gt;=$Y7),$AB7,$AA7)))=Milestones!$AB$30),UPPER(TEXT(EDATE($D7,Milestones!$AA$30),"dd mmm yy"))&amp;" "&amp;Milestones!$AB$30&amp;" "&amp;IF(AND(Milestones!$AB$30="FT",Milestones!$AA$30=FT_Y5,EDATE($D7,Milestones!$AA$30)&lt;PolicyEff),1,Milestones!$AC$30)&amp;";  ","")&amp;IF(AND(EDATE($D7,Milestones!$AA$31)&lt;=AsOfDate,EDATE($D7,Milestones!$AA$31)&gt;=SchemeStart,IF($X7=0,$AD7,IF(AND($Z7&lt;&gt;"",EDATE($D7,Milestones!$AA$31)&gt;=$Z7),$AC7,IF(AND($Y7&lt;&gt;"",EDATE($D7,Milestones!$AA$31)&gt;=$Y7),$AB7,$AA7)))=Milestones!$AB$31),UPPER(TEXT(EDATE($D7,Milestones!$AA$31),"dd mmm yy"))&amp;" "&amp;Milestones!$AB$31&amp;" "&amp;IF(AND(Milestones!$AB$31="FT",Milestones!$AA$31=FT_Y5,EDATE($D7,Milestones!$AA$31)&lt;PolicyEff),1,Milestones!$AC$31)&amp;";  ",""))</f>
        <v/>
      </c>
      <c r="J7" s="0" t="str">
        <f aca="false">IF(OR($A7="",$D7=""),"",IF(AND(EDATE($D7,Milestones!$AA$32)&lt;=AsOfDate,EDATE($D7,Milestones!$AA$32)&gt;=SchemeStart,IF($X7=0,$AD7,IF(AND($Z7&lt;&gt;"",EDATE($D7,Milestones!$AA$32)&gt;=$Z7),$AC7,IF(AND($Y7&lt;&gt;"",EDATE($D7,Milestones!$AA$32)&gt;=$Y7),$AB7,$AA7)))=Milestones!$AB$32),UPPER(TEXT(EDATE($D7,Milestones!$AA$32),"dd mmm yy"))&amp;" "&amp;Milestones!$AB$32&amp;" "&amp;IF(AND(Milestones!$AB$32="FT",Milestones!$AA$32=FT_Y5,EDATE($D7,Milestones!$AA$32)&lt;PolicyEff),1,Milestones!$AC$32)&amp;";  ","")&amp;IF(AND(EDATE($D7,Milestones!$AA$33)&lt;=AsOfDate,EDATE($D7,Milestones!$AA$33)&gt;=SchemeStart,IF($X7=0,$AD7,IF(AND($Z7&lt;&gt;"",EDATE($D7,Milestones!$AA$33)&gt;=$Z7),$AC7,IF(AND($Y7&lt;&gt;"",EDATE($D7,Milestones!$AA$33)&gt;=$Y7),$AB7,$AA7)))=Milestones!$AB$33),UPPER(TEXT(EDATE($D7,Milestones!$AA$33),"dd mmm yy"))&amp;" "&amp;Milestones!$AB$33&amp;" "&amp;IF(AND(Milestones!$AB$33="FT",Milestones!$AA$33=FT_Y5,EDATE($D7,Milestones!$AA$33)&lt;PolicyEff),1,Milestones!$AC$33)&amp;";  ","")&amp;IF(AND(EDATE($D7,Milestones!$AA$34)&lt;=AsOfDate,EDATE($D7,Milestones!$AA$34)&gt;=SchemeStart,IF($X7=0,$AD7,IF(AND($Z7&lt;&gt;"",EDATE($D7,Milestones!$AA$34)&gt;=$Z7),$AC7,IF(AND($Y7&lt;&gt;"",EDATE($D7,Milestones!$AA$34)&gt;=$Y7),$AB7,$AA7)))=Milestones!$AB$34),UPPER(TEXT(EDATE($D7,Milestones!$AA$34),"dd mmm yy"))&amp;" "&amp;Milestones!$AB$34&amp;" "&amp;IF(AND(Milestones!$AB$34="FT",Milestones!$AA$34=FT_Y5,EDATE($D7,Milestones!$AA$34)&lt;PolicyEff),1,Milestones!$AC$34)&amp;";  ","")&amp;IF(AND(EDATE($D7,Milestones!$AA$35)&lt;=AsOfDate,EDATE($D7,Milestones!$AA$35)&gt;=SchemeStart,IF($X7=0,$AD7,IF(AND($Z7&lt;&gt;"",EDATE($D7,Milestones!$AA$35)&gt;=$Z7),$AC7,IF(AND($Y7&lt;&gt;"",EDATE($D7,Milestones!$AA$35)&gt;=$Y7),$AB7,$AA7)))=Milestones!$AB$35),UPPER(TEXT(EDATE($D7,Milestones!$AA$35),"dd mmm yy"))&amp;" "&amp;Milestones!$AB$35&amp;" "&amp;IF(AND(Milestones!$AB$35="FT",Milestones!$AA$35=FT_Y5,EDATE($D7,Milestones!$AA$35)&lt;PolicyEff),1,Milestones!$AC$35)&amp;";  ","")&amp;IF(AND(EDATE($D7,Milestones!$AA$36)&lt;=AsOfDate,EDATE($D7,Milestones!$AA$36)&gt;=SchemeStart,IF($X7=0,$AD7,IF(AND($Z7&lt;&gt;"",EDATE($D7,Milestones!$AA$36)&gt;=$Z7),$AC7,IF(AND($Y7&lt;&gt;"",EDATE($D7,Milestones!$AA$36)&gt;=$Y7),$AB7,$AA7)))=Milestones!$AB$36),UPPER(TEXT(EDATE($D7,Milestones!$AA$36),"dd mmm yy"))&amp;" "&amp;Milestones!$AB$36&amp;" "&amp;IF(AND(Milestones!$AB$36="FT",Milestones!$AA$36=FT_Y5,EDATE($D7,Milestones!$AA$36)&lt;PolicyEff),1,Milestones!$AC$36)&amp;";  ","")&amp;IF(AND(EDATE($D7,Milestones!$AA$37)&lt;=AsOfDate,EDATE($D7,Milestones!$AA$37)&gt;=SchemeStart,IF($X7=0,$AD7,IF(AND($Z7&lt;&gt;"",EDATE($D7,Milestones!$AA$37)&gt;=$Z7),$AC7,IF(AND($Y7&lt;&gt;"",EDATE($D7,Milestones!$AA$37)&gt;=$Y7),$AB7,$AA7)))=Milestones!$AB$37),UPPER(TEXT(EDATE($D7,Milestones!$AA$37),"dd mmm yy"))&amp;" "&amp;Milestones!$AB$37&amp;" "&amp;IF(AND(Milestones!$AB$37="FT",Milestones!$AA$37=FT_Y5,EDATE($D7,Milestones!$AA$37)&lt;PolicyEff),1,Milestones!$AC$37)&amp;";  ","")&amp;IF(AND(EDATE($D7,Milestones!$AA$38)&lt;=AsOfDate,EDATE($D7,Milestones!$AA$38)&gt;=SchemeStart,IF($X7=0,$AD7,IF(AND($Z7&lt;&gt;"",EDATE($D7,Milestones!$AA$38)&gt;=$Z7),$AC7,IF(AND($Y7&lt;&gt;"",EDATE($D7,Milestones!$AA$38)&gt;=$Y7),$AB7,$AA7)))=Milestones!$AB$38),UPPER(TEXT(EDATE($D7,Milestones!$AA$38),"dd mmm yy"))&amp;" "&amp;Milestones!$AB$38&amp;" "&amp;IF(AND(Milestones!$AB$38="FT",Milestones!$AA$38=FT_Y5,EDATE($D7,Milestones!$AA$38)&lt;PolicyEff),1,Milestones!$AC$38)&amp;";  ","")&amp;IF(AND(EDATE($D7,Milestones!$AA$39)&lt;=AsOfDate,EDATE($D7,Milestones!$AA$39)&gt;=SchemeStart,IF($X7=0,$AD7,IF(AND($Z7&lt;&gt;"",EDATE($D7,Milestones!$AA$39)&gt;=$Z7),$AC7,IF(AND($Y7&lt;&gt;"",EDATE($D7,Milestones!$AA$39)&gt;=$Y7),$AB7,$AA7)))=Milestones!$AB$39),UPPER(TEXT(EDATE($D7,Milestones!$AA$39),"dd mmm yy"))&amp;" "&amp;Milestones!$AB$39&amp;" "&amp;IF(AND(Milestones!$AB$39="FT",Milestones!$AA$39=FT_Y5,EDATE($D7,Milestones!$AA$39)&lt;PolicyEff),1,Milestones!$AC$39)&amp;";  ","")&amp;IF(AND(EDATE($D7,Milestones!$AA$40)&lt;=AsOfDate,EDATE($D7,Milestones!$AA$40)&gt;=SchemeStart,IF($X7=0,$AD7,IF(AND($Z7&lt;&gt;"",EDATE($D7,Milestones!$AA$40)&gt;=$Z7),$AC7,IF(AND($Y7&lt;&gt;"",EDATE($D7,Milestones!$AA$40)&gt;=$Y7),$AB7,$AA7)))=Milestones!$AB$40),UPPER(TEXT(EDATE($D7,Milestones!$AA$40),"dd mmm yy"))&amp;" "&amp;Milestones!$AB$40&amp;" "&amp;IF(AND(Milestones!$AB$40="FT",Milestones!$AA$40=FT_Y5,EDATE($D7,Milestones!$AA$40)&lt;PolicyEff),1,Milestones!$AC$40)&amp;";  ","")&amp;IF(AND(EDATE($D7,Milestones!$AA$41)&lt;=AsOfDate,EDATE($D7,Milestones!$AA$41)&gt;=SchemeStart,IF($X7=0,$AD7,IF(AND($Z7&lt;&gt;"",EDATE($D7,Milestones!$AA$41)&gt;=$Z7),$AC7,IF(AND($Y7&lt;&gt;"",EDATE($D7,Milestones!$AA$41)&gt;=$Y7),$AB7,$AA7)))=Milestones!$AB$41),UPPER(TEXT(EDATE($D7,Milestones!$AA$41),"dd mmm yy"))&amp;" "&amp;Milestones!$AB$41&amp;" "&amp;IF(AND(Milestones!$AB$41="FT",Milestones!$AA$41=FT_Y5,EDATE($D7,Milestones!$AA$41)&lt;PolicyEff),1,Milestones!$AC$41)&amp;";  ","")&amp;IF(AND(EDATE($D7,Milestones!$AA$42)&lt;=AsOfDate,EDATE($D7,Milestones!$AA$42)&gt;=SchemeStart,IF($X7=0,$AD7,IF(AND($Z7&lt;&gt;"",EDATE($D7,Milestones!$AA$42)&gt;=$Z7),$AC7,IF(AND($Y7&lt;&gt;"",EDATE($D7,Milestones!$AA$42)&gt;=$Y7),$AB7,$AA7)))=Milestones!$AB$42),UPPER(TEXT(EDATE($D7,Milestones!$AA$42),"dd mmm yy"))&amp;" "&amp;Milestones!$AB$42&amp;" "&amp;IF(AND(Milestones!$AB$42="FT",Milestones!$AA$42=FT_Y5,EDATE($D7,Milestones!$AA$42)&lt;PolicyEff),1,Milestones!$AC$42)&amp;";  ","")&amp;IF(AND(EDATE($D7,Milestones!$AA$43)&lt;=AsOfDate,EDATE($D7,Milestones!$AA$43)&gt;=SchemeStart,IF($X7=0,$AD7,IF(AND($Z7&lt;&gt;"",EDATE($D7,Milestones!$AA$43)&gt;=$Z7),$AC7,IF(AND($Y7&lt;&gt;"",EDATE($D7,Milestones!$AA$43)&gt;=$Y7),$AB7,$AA7)))=Milestones!$AB$43),UPPER(TEXT(EDATE($D7,Milestones!$AA$43),"dd mmm yy"))&amp;" "&amp;Milestones!$AB$43&amp;" "&amp;IF(AND(Milestones!$AB$43="FT",Milestones!$AA$43=FT_Y5,EDATE($D7,Milestones!$AA$43)&lt;PolicyEff),1,Milestones!$AC$43)&amp;";  ",""))</f>
        <v/>
      </c>
      <c r="K7" s="0" t="str">
        <f aca="false">IF(OR($A7="",$D7=""),"",IF(AND(EDATE($D7,Milestones!$AA$44)&lt;=AsOfDate,EDATE($D7,Milestones!$AA$44)&gt;=SchemeStart,IF($X7=0,$AD7,IF(AND($Z7&lt;&gt;"",EDATE($D7,Milestones!$AA$44)&gt;=$Z7),$AC7,IF(AND($Y7&lt;&gt;"",EDATE($D7,Milestones!$AA$44)&gt;=$Y7),$AB7,$AA7)))=Milestones!$AB$44),UPPER(TEXT(EDATE($D7,Milestones!$AA$44),"dd mmm yy"))&amp;" "&amp;Milestones!$AB$44&amp;" "&amp;IF(AND(Milestones!$AB$44="FT",Milestones!$AA$44=FT_Y5,EDATE($D7,Milestones!$AA$44)&lt;PolicyEff),1,Milestones!$AC$44)&amp;";  ","")&amp;IF(AND(EDATE($D7,Milestones!$AA$45)&lt;=AsOfDate,EDATE($D7,Milestones!$AA$45)&gt;=SchemeStart,IF($X7=0,$AD7,IF(AND($Z7&lt;&gt;"",EDATE($D7,Milestones!$AA$45)&gt;=$Z7),$AC7,IF(AND($Y7&lt;&gt;"",EDATE($D7,Milestones!$AA$45)&gt;=$Y7),$AB7,$AA7)))=Milestones!$AB$45),UPPER(TEXT(EDATE($D7,Milestones!$AA$45),"dd mmm yy"))&amp;" "&amp;Milestones!$AB$45&amp;" "&amp;IF(AND(Milestones!$AB$45="FT",Milestones!$AA$45=FT_Y5,EDATE($D7,Milestones!$AA$45)&lt;PolicyEff),1,Milestones!$AC$45)&amp;";  ","")&amp;IF(AND(EDATE($D7,Milestones!$AA$46)&lt;=AsOfDate,EDATE($D7,Milestones!$AA$46)&gt;=SchemeStart,IF($X7=0,$AD7,IF(AND($Z7&lt;&gt;"",EDATE($D7,Milestones!$AA$46)&gt;=$Z7),$AC7,IF(AND($Y7&lt;&gt;"",EDATE($D7,Milestones!$AA$46)&gt;=$Y7),$AB7,$AA7)))=Milestones!$AB$46),UPPER(TEXT(EDATE($D7,Milestones!$AA$46),"dd mmm yy"))&amp;" "&amp;Milestones!$AB$46&amp;" "&amp;IF(AND(Milestones!$AB$46="FT",Milestones!$AA$46=FT_Y5,EDATE($D7,Milestones!$AA$46)&lt;PolicyEff),1,Milestones!$AC$46)&amp;";  ","")&amp;IF(AND(EDATE($D7,Milestones!$AA$47)&lt;=AsOfDate,EDATE($D7,Milestones!$AA$47)&gt;=SchemeStart,IF($X7=0,$AD7,IF(AND($Z7&lt;&gt;"",EDATE($D7,Milestones!$AA$47)&gt;=$Z7),$AC7,IF(AND($Y7&lt;&gt;"",EDATE($D7,Milestones!$AA$47)&gt;=$Y7),$AB7,$AA7)))=Milestones!$AB$47),UPPER(TEXT(EDATE($D7,Milestones!$AA$47),"dd mmm yy"))&amp;" "&amp;Milestones!$AB$47&amp;" "&amp;IF(AND(Milestones!$AB$47="FT",Milestones!$AA$47=FT_Y5,EDATE($D7,Milestones!$AA$47)&lt;PolicyEff),1,Milestones!$AC$47)&amp;";  ","")&amp;IF(AND(EDATE($D7,Milestones!$AA$48)&lt;=AsOfDate,EDATE($D7,Milestones!$AA$48)&gt;=SchemeStart,IF($X7=0,$AD7,IF(AND($Z7&lt;&gt;"",EDATE($D7,Milestones!$AA$48)&gt;=$Z7),$AC7,IF(AND($Y7&lt;&gt;"",EDATE($D7,Milestones!$AA$48)&gt;=$Y7),$AB7,$AA7)))=Milestones!$AB$48),UPPER(TEXT(EDATE($D7,Milestones!$AA$48),"dd mmm yy"))&amp;" "&amp;Milestones!$AB$48&amp;" "&amp;IF(AND(Milestones!$AB$48="FT",Milestones!$AA$48=FT_Y5,EDATE($D7,Milestones!$AA$48)&lt;PolicyEff),1,Milestones!$AC$48)&amp;";  ","")&amp;IF(AND(EDATE($D7,Milestones!$AA$49)&lt;=AsOfDate,EDATE($D7,Milestones!$AA$49)&gt;=SchemeStart,IF($X7=0,$AD7,IF(AND($Z7&lt;&gt;"",EDATE($D7,Milestones!$AA$49)&gt;=$Z7),$AC7,IF(AND($Y7&lt;&gt;"",EDATE($D7,Milestones!$AA$49)&gt;=$Y7),$AB7,$AA7)))=Milestones!$AB$49),UPPER(TEXT(EDATE($D7,Milestones!$AA$49),"dd mmm yy"))&amp;" "&amp;Milestones!$AB$49&amp;" "&amp;IF(AND(Milestones!$AB$49="FT",Milestones!$AA$49=FT_Y5,EDATE($D7,Milestones!$AA$49)&lt;PolicyEff),1,Milestones!$AC$49)&amp;";  ","")&amp;IF(AND(EDATE($D7,Milestones!$AA$50)&lt;=AsOfDate,EDATE($D7,Milestones!$AA$50)&gt;=SchemeStart,IF($X7=0,$AD7,IF(AND($Z7&lt;&gt;"",EDATE($D7,Milestones!$AA$50)&gt;=$Z7),$AC7,IF(AND($Y7&lt;&gt;"",EDATE($D7,Milestones!$AA$50)&gt;=$Y7),$AB7,$AA7)))=Milestones!$AB$50),UPPER(TEXT(EDATE($D7,Milestones!$AA$50),"dd mmm yy"))&amp;" "&amp;Milestones!$AB$50&amp;" "&amp;IF(AND(Milestones!$AB$50="FT",Milestones!$AA$50=FT_Y5,EDATE($D7,Milestones!$AA$50)&lt;PolicyEff),1,Milestones!$AC$50)&amp;";  ","")&amp;IF(AND(EDATE($D7,Milestones!$AA$51)&lt;=AsOfDate,EDATE($D7,Milestones!$AA$51)&gt;=SchemeStart,IF($X7=0,$AD7,IF(AND($Z7&lt;&gt;"",EDATE($D7,Milestones!$AA$51)&gt;=$Z7),$AC7,IF(AND($Y7&lt;&gt;"",EDATE($D7,Milestones!$AA$51)&gt;=$Y7),$AB7,$AA7)))=Milestones!$AB$51),UPPER(TEXT(EDATE($D7,Milestones!$AA$51),"dd mmm yy"))&amp;" "&amp;Milestones!$AB$51&amp;" "&amp;IF(AND(Milestones!$AB$51="FT",Milestones!$AA$51=FT_Y5,EDATE($D7,Milestones!$AA$51)&lt;PolicyEff),1,Milestones!$AC$51)&amp;";  ","")&amp;IF(AND(EDATE($D7,Milestones!$AA$52)&lt;=AsOfDate,EDATE($D7,Milestones!$AA$52)&gt;=SchemeStart,IF($X7=0,$AD7,IF(AND($Z7&lt;&gt;"",EDATE($D7,Milestones!$AA$52)&gt;=$Z7),$AC7,IF(AND($Y7&lt;&gt;"",EDATE($D7,Milestones!$AA$52)&gt;=$Y7),$AB7,$AA7)))=Milestones!$AB$52),UPPER(TEXT(EDATE($D7,Milestones!$AA$52),"dd mmm yy"))&amp;" "&amp;Milestones!$AB$52&amp;" "&amp;IF(AND(Milestones!$AB$52="FT",Milestones!$AA$52=FT_Y5,EDATE($D7,Milestones!$AA$52)&lt;PolicyEff),1,Milestones!$AC$52)&amp;";  ","")&amp;IF(AND(EDATE($D7,Milestones!$AA$53)&lt;=AsOfDate,EDATE($D7,Milestones!$AA$53)&gt;=SchemeStart,IF($X7=0,$AD7,IF(AND($Z7&lt;&gt;"",EDATE($D7,Milestones!$AA$53)&gt;=$Z7),$AC7,IF(AND($Y7&lt;&gt;"",EDATE($D7,Milestones!$AA$53)&gt;=$Y7),$AB7,$AA7)))=Milestones!$AB$53),UPPER(TEXT(EDATE($D7,Milestones!$AA$53),"dd mmm yy"))&amp;" "&amp;Milestones!$AB$53&amp;" "&amp;IF(AND(Milestones!$AB$53="FT",Milestones!$AA$53=FT_Y5,EDATE($D7,Milestones!$AA$53)&lt;PolicyEff),1,Milestones!$AC$53)&amp;";  ","")&amp;IF(AND(EDATE($D7,Milestones!$AA$54)&lt;=AsOfDate,EDATE($D7,Milestones!$AA$54)&gt;=SchemeStart,IF($X7=0,$AD7,IF(AND($Z7&lt;&gt;"",EDATE($D7,Milestones!$AA$54)&gt;=$Z7),$AC7,IF(AND($Y7&lt;&gt;"",EDATE($D7,Milestones!$AA$54)&gt;=$Y7),$AB7,$AA7)))=Milestones!$AB$54),UPPER(TEXT(EDATE($D7,Milestones!$AA$54),"dd mmm yy"))&amp;" "&amp;Milestones!$AB$54&amp;" "&amp;IF(AND(Milestones!$AB$54="FT",Milestones!$AA$54=FT_Y5,EDATE($D7,Milestones!$AA$54)&lt;PolicyEff),1,Milestones!$AC$54)&amp;";  ","")&amp;IF(AND(EDATE($D7,Milestones!$AA$55)&lt;=AsOfDate,EDATE($D7,Milestones!$AA$55)&gt;=SchemeStart,IF($X7=0,$AD7,IF(AND($Z7&lt;&gt;"",EDATE($D7,Milestones!$AA$55)&gt;=$Z7),$AC7,IF(AND($Y7&lt;&gt;"",EDATE($D7,Milestones!$AA$55)&gt;=$Y7),$AB7,$AA7)))=Milestones!$AB$55),UPPER(TEXT(EDATE($D7,Milestones!$AA$55),"dd mmm yy"))&amp;" "&amp;Milestones!$AB$55&amp;" "&amp;IF(AND(Milestones!$AB$55="FT",Milestones!$AA$55=FT_Y5,EDATE($D7,Milestones!$AA$55)&lt;PolicyEff),1,Milestones!$AC$55)&amp;";  ",""))</f>
        <v/>
      </c>
      <c r="L7" s="0" t="str">
        <f aca="false">IF(OR($A7="",$D7=""),"",IF(AND(EDATE($D7,Milestones!$AA$56)&lt;=AsOfDate,EDATE($D7,Milestones!$AA$56)&gt;=SchemeStart,IF($X7=0,$AD7,IF(AND($Z7&lt;&gt;"",EDATE($D7,Milestones!$AA$56)&gt;=$Z7),$AC7,IF(AND($Y7&lt;&gt;"",EDATE($D7,Milestones!$AA$56)&gt;=$Y7),$AB7,$AA7)))=Milestones!$AB$56),UPPER(TEXT(EDATE($D7,Milestones!$AA$56),"dd mmm yy"))&amp;" "&amp;Milestones!$AB$56&amp;" "&amp;IF(AND(Milestones!$AB$56="FT",Milestones!$AA$56=FT_Y5,EDATE($D7,Milestones!$AA$56)&lt;PolicyEff),1,Milestones!$AC$56)&amp;";  ","")&amp;IF(AND(EDATE($D7,Milestones!$AA$57)&lt;=AsOfDate,EDATE($D7,Milestones!$AA$57)&gt;=SchemeStart,IF($X7=0,$AD7,IF(AND($Z7&lt;&gt;"",EDATE($D7,Milestones!$AA$57)&gt;=$Z7),$AC7,IF(AND($Y7&lt;&gt;"",EDATE($D7,Milestones!$AA$57)&gt;=$Y7),$AB7,$AA7)))=Milestones!$AB$57),UPPER(TEXT(EDATE($D7,Milestones!$AA$57),"dd mmm yy"))&amp;" "&amp;Milestones!$AB$57&amp;" "&amp;IF(AND(Milestones!$AB$57="FT",Milestones!$AA$57=FT_Y5,EDATE($D7,Milestones!$AA$57)&lt;PolicyEff),1,Milestones!$AC$57)&amp;";  ","")&amp;IF(AND(EDATE($D7,Milestones!$AA$58)&lt;=AsOfDate,EDATE($D7,Milestones!$AA$58)&gt;=SchemeStart,IF($X7=0,$AD7,IF(AND($Z7&lt;&gt;"",EDATE($D7,Milestones!$AA$58)&gt;=$Z7),$AC7,IF(AND($Y7&lt;&gt;"",EDATE($D7,Milestones!$AA$58)&gt;=$Y7),$AB7,$AA7)))=Milestones!$AB$58),UPPER(TEXT(EDATE($D7,Milestones!$AA$58),"dd mmm yy"))&amp;" "&amp;Milestones!$AB$58&amp;" "&amp;IF(AND(Milestones!$AB$58="FT",Milestones!$AA$58=FT_Y5,EDATE($D7,Milestones!$AA$58)&lt;PolicyEff),1,Milestones!$AC$58)&amp;";  ","")&amp;IF(AND(EDATE($D7,Milestones!$AA$59)&lt;=AsOfDate,EDATE($D7,Milestones!$AA$59)&gt;=SchemeStart,IF($X7=0,$AD7,IF(AND($Z7&lt;&gt;"",EDATE($D7,Milestones!$AA$59)&gt;=$Z7),$AC7,IF(AND($Y7&lt;&gt;"",EDATE($D7,Milestones!$AA$59)&gt;=$Y7),$AB7,$AA7)))=Milestones!$AB$59),UPPER(TEXT(EDATE($D7,Milestones!$AA$59),"dd mmm yy"))&amp;" "&amp;Milestones!$AB$59&amp;" "&amp;IF(AND(Milestones!$AB$59="FT",Milestones!$AA$59=FT_Y5,EDATE($D7,Milestones!$AA$59)&lt;PolicyEff),1,Milestones!$AC$59)&amp;";  ","")&amp;IF(AND(EDATE($D7,Milestones!$AA$60)&lt;=AsOfDate,EDATE($D7,Milestones!$AA$60)&gt;=SchemeStart,IF($X7=0,$AD7,IF(AND($Z7&lt;&gt;"",EDATE($D7,Milestones!$AA$60)&gt;=$Z7),$AC7,IF(AND($Y7&lt;&gt;"",EDATE($D7,Milestones!$AA$60)&gt;=$Y7),$AB7,$AA7)))=Milestones!$AB$60),UPPER(TEXT(EDATE($D7,Milestones!$AA$60),"dd mmm yy"))&amp;" "&amp;Milestones!$AB$60&amp;" "&amp;IF(AND(Milestones!$AB$60="FT",Milestones!$AA$60=FT_Y5,EDATE($D7,Milestones!$AA$60)&lt;PolicyEff),1,Milestones!$AC$60)&amp;";  ","")&amp;IF(AND(EDATE($D7,Milestones!$AA$61)&lt;=AsOfDate,EDATE($D7,Milestones!$AA$61)&gt;=SchemeStart,IF($X7=0,$AD7,IF(AND($Z7&lt;&gt;"",EDATE($D7,Milestones!$AA$61)&gt;=$Z7),$AC7,IF(AND($Y7&lt;&gt;"",EDATE($D7,Milestones!$AA$61)&gt;=$Y7),$AB7,$AA7)))=Milestones!$AB$61),UPPER(TEXT(EDATE($D7,Milestones!$AA$61),"dd mmm yy"))&amp;" "&amp;Milestones!$AB$61&amp;" "&amp;IF(AND(Milestones!$AB$61="FT",Milestones!$AA$61=FT_Y5,EDATE($D7,Milestones!$AA$61)&lt;PolicyEff),1,Milestones!$AC$61)&amp;";  ","")&amp;IF(AND(EDATE($D7,Milestones!$AA$62)&lt;=AsOfDate,EDATE($D7,Milestones!$AA$62)&gt;=SchemeStart,IF($X7=0,$AD7,IF(AND($Z7&lt;&gt;"",EDATE($D7,Milestones!$AA$62)&gt;=$Z7),$AC7,IF(AND($Y7&lt;&gt;"",EDATE($D7,Milestones!$AA$62)&gt;=$Y7),$AB7,$AA7)))=Milestones!$AB$62),UPPER(TEXT(EDATE($D7,Milestones!$AA$62),"dd mmm yy"))&amp;" "&amp;Milestones!$AB$62&amp;" "&amp;IF(AND(Milestones!$AB$62="FT",Milestones!$AA$62=FT_Y5,EDATE($D7,Milestones!$AA$62)&lt;PolicyEff),1,Milestones!$AC$62)&amp;";  ","")&amp;IF(AND(EDATE($D7,Milestones!$AA$63)&lt;=AsOfDate,EDATE($D7,Milestones!$AA$63)&gt;=SchemeStart,IF($X7=0,$AD7,IF(AND($Z7&lt;&gt;"",EDATE($D7,Milestones!$AA$63)&gt;=$Z7),$AC7,IF(AND($Y7&lt;&gt;"",EDATE($D7,Milestones!$AA$63)&gt;=$Y7),$AB7,$AA7)))=Milestones!$AB$63),UPPER(TEXT(EDATE($D7,Milestones!$AA$63),"dd mmm yy"))&amp;" "&amp;Milestones!$AB$63&amp;" "&amp;IF(AND(Milestones!$AB$63="FT",Milestones!$AA$63=FT_Y5,EDATE($D7,Milestones!$AA$63)&lt;PolicyEff),1,Milestones!$AC$63)&amp;";  ","")&amp;IF(AND(EDATE($D7,Milestones!$AA$64)&lt;=AsOfDate,EDATE($D7,Milestones!$AA$64)&gt;=SchemeStart,IF($X7=0,$AD7,IF(AND($Z7&lt;&gt;"",EDATE($D7,Milestones!$AA$64)&gt;=$Z7),$AC7,IF(AND($Y7&lt;&gt;"",EDATE($D7,Milestones!$AA$64)&gt;=$Y7),$AB7,$AA7)))=Milestones!$AB$64),UPPER(TEXT(EDATE($D7,Milestones!$AA$64),"dd mmm yy"))&amp;" "&amp;Milestones!$AB$64&amp;" "&amp;IF(AND(Milestones!$AB$64="FT",Milestones!$AA$64=FT_Y5,EDATE($D7,Milestones!$AA$64)&lt;PolicyEff),1,Milestones!$AC$64)&amp;";  ","")&amp;IF(AND(EDATE($D7,Milestones!$AA$65)&lt;=AsOfDate,EDATE($D7,Milestones!$AA$65)&gt;=SchemeStart,IF($X7=0,$AD7,IF(AND($Z7&lt;&gt;"",EDATE($D7,Milestones!$AA$65)&gt;=$Z7),$AC7,IF(AND($Y7&lt;&gt;"",EDATE($D7,Milestones!$AA$65)&gt;=$Y7),$AB7,$AA7)))=Milestones!$AB$65),UPPER(TEXT(EDATE($D7,Milestones!$AA$65),"dd mmm yy"))&amp;" "&amp;Milestones!$AB$65&amp;" "&amp;IF(AND(Milestones!$AB$65="FT",Milestones!$AA$65=FT_Y5,EDATE($D7,Milestones!$AA$65)&lt;PolicyEff),1,Milestones!$AC$65)&amp;";  ","")&amp;IF(AND(EDATE($D7,Milestones!$AA$66)&lt;=AsOfDate,EDATE($D7,Milestones!$AA$66)&gt;=SchemeStart,IF($X7=0,$AD7,IF(AND($Z7&lt;&gt;"",EDATE($D7,Milestones!$AA$66)&gt;=$Z7),$AC7,IF(AND($Y7&lt;&gt;"",EDATE($D7,Milestones!$AA$66)&gt;=$Y7),$AB7,$AA7)))=Milestones!$AB$66),UPPER(TEXT(EDATE($D7,Milestones!$AA$66),"dd mmm yy"))&amp;" "&amp;Milestones!$AB$66&amp;" "&amp;IF(AND(Milestones!$AB$66="FT",Milestones!$AA$66=FT_Y5,EDATE($D7,Milestones!$AA$66)&lt;PolicyEff),1,Milestones!$AC$66)&amp;";  ","")&amp;IF(AND(EDATE($D7,Milestones!$AA$67)&lt;=AsOfDate,EDATE($D7,Milestones!$AA$67)&gt;=SchemeStart,IF($X7=0,$AD7,IF(AND($Z7&lt;&gt;"",EDATE($D7,Milestones!$AA$67)&gt;=$Z7),$AC7,IF(AND($Y7&lt;&gt;"",EDATE($D7,Milestones!$AA$67)&gt;=$Y7),$AB7,$AA7)))=Milestones!$AB$67),UPPER(TEXT(EDATE($D7,Milestones!$AA$67),"dd mmm yy"))&amp;" "&amp;Milestones!$AB$67&amp;" "&amp;IF(AND(Milestones!$AB$67="FT",Milestones!$AA$67=FT_Y5,EDATE($D7,Milestones!$AA$67)&lt;PolicyEff),1,Milestones!$AC$67)&amp;";  ",""))</f>
        <v/>
      </c>
      <c r="M7" s="0" t="str">
        <f aca="false">IF(OR($A7="",$D7=""),"",IF(AND(EDATE($D7,Milestones!$AA$68)&lt;=AsOfDate,EDATE($D7,Milestones!$AA$68)&gt;=SchemeStart,IF($X7=0,$AD7,IF(AND($Z7&lt;&gt;"",EDATE($D7,Milestones!$AA$68)&gt;=$Z7),$AC7,IF(AND($Y7&lt;&gt;"",EDATE($D7,Milestones!$AA$68)&gt;=$Y7),$AB7,$AA7)))=Milestones!$AB$68),UPPER(TEXT(EDATE($D7,Milestones!$AA$68),"dd mmm yy"))&amp;" "&amp;Milestones!$AB$68&amp;" "&amp;IF(AND(Milestones!$AB$68="FT",Milestones!$AA$68=FT_Y5,EDATE($D7,Milestones!$AA$68)&lt;PolicyEff),1,Milestones!$AC$68)&amp;";  ","")&amp;IF(AND(EDATE($D7,Milestones!$AA$69)&lt;=AsOfDate,EDATE($D7,Milestones!$AA$69)&gt;=SchemeStart,IF($X7=0,$AD7,IF(AND($Z7&lt;&gt;"",EDATE($D7,Milestones!$AA$69)&gt;=$Z7),$AC7,IF(AND($Y7&lt;&gt;"",EDATE($D7,Milestones!$AA$69)&gt;=$Y7),$AB7,$AA7)))=Milestones!$AB$69),UPPER(TEXT(EDATE($D7,Milestones!$AA$69),"dd mmm yy"))&amp;" "&amp;Milestones!$AB$69&amp;" "&amp;IF(AND(Milestones!$AB$69="FT",Milestones!$AA$69=FT_Y5,EDATE($D7,Milestones!$AA$69)&lt;PolicyEff),1,Milestones!$AC$69)&amp;";  ","")&amp;IF(AND(EDATE($D7,Milestones!$AA$70)&lt;=AsOfDate,EDATE($D7,Milestones!$AA$70)&gt;=SchemeStart,IF($X7=0,$AD7,IF(AND($Z7&lt;&gt;"",EDATE($D7,Milestones!$AA$70)&gt;=$Z7),$AC7,IF(AND($Y7&lt;&gt;"",EDATE($D7,Milestones!$AA$70)&gt;=$Y7),$AB7,$AA7)))=Milestones!$AB$70),UPPER(TEXT(EDATE($D7,Milestones!$AA$70),"dd mmm yy"))&amp;" "&amp;Milestones!$AB$70&amp;" "&amp;IF(AND(Milestones!$AB$70="FT",Milestones!$AA$70=FT_Y5,EDATE($D7,Milestones!$AA$70)&lt;PolicyEff),1,Milestones!$AC$70)&amp;";  ","")&amp;IF(AND(EDATE($D7,Milestones!$AA$71)&lt;=AsOfDate,EDATE($D7,Milestones!$AA$71)&gt;=SchemeStart,IF($X7=0,$AD7,IF(AND($Z7&lt;&gt;"",EDATE($D7,Milestones!$AA$71)&gt;=$Z7),$AC7,IF(AND($Y7&lt;&gt;"",EDATE($D7,Milestones!$AA$71)&gt;=$Y7),$AB7,$AA7)))=Milestones!$AB$71),UPPER(TEXT(EDATE($D7,Milestones!$AA$71),"dd mmm yy"))&amp;" "&amp;Milestones!$AB$71&amp;" "&amp;IF(AND(Milestones!$AB$71="FT",Milestones!$AA$71=FT_Y5,EDATE($D7,Milestones!$AA$71)&lt;PolicyEff),1,Milestones!$AC$71)&amp;";  ","")&amp;IF(AND(EDATE($D7,Milestones!$AA$72)&lt;=AsOfDate,EDATE($D7,Milestones!$AA$72)&gt;=SchemeStart,IF($X7=0,$AD7,IF(AND($Z7&lt;&gt;"",EDATE($D7,Milestones!$AA$72)&gt;=$Z7),$AC7,IF(AND($Y7&lt;&gt;"",EDATE($D7,Milestones!$AA$72)&gt;=$Y7),$AB7,$AA7)))=Milestones!$AB$72),UPPER(TEXT(EDATE($D7,Milestones!$AA$72),"dd mmm yy"))&amp;" "&amp;Milestones!$AB$72&amp;" "&amp;IF(AND(Milestones!$AB$72="FT",Milestones!$AA$72=FT_Y5,EDATE($D7,Milestones!$AA$72)&lt;PolicyEff),1,Milestones!$AC$72)&amp;";  ","")&amp;IF(AND(EDATE($D7,Milestones!$AA$73)&lt;=AsOfDate,EDATE($D7,Milestones!$AA$73)&gt;=SchemeStart,IF($X7=0,$AD7,IF(AND($Z7&lt;&gt;"",EDATE($D7,Milestones!$AA$73)&gt;=$Z7),$AC7,IF(AND($Y7&lt;&gt;"",EDATE($D7,Milestones!$AA$73)&gt;=$Y7),$AB7,$AA7)))=Milestones!$AB$73),UPPER(TEXT(EDATE($D7,Milestones!$AA$73),"dd mmm yy"))&amp;" "&amp;Milestones!$AB$73&amp;" "&amp;IF(AND(Milestones!$AB$73="FT",Milestones!$AA$73=FT_Y5,EDATE($D7,Milestones!$AA$73)&lt;PolicyEff),1,Milestones!$AC$73)&amp;";  ","")&amp;IF(AND(EDATE($D7,Milestones!$AA$74)&lt;=AsOfDate,EDATE($D7,Milestones!$AA$74)&gt;=SchemeStart,IF($X7=0,$AD7,IF(AND($Z7&lt;&gt;"",EDATE($D7,Milestones!$AA$74)&gt;=$Z7),$AC7,IF(AND($Y7&lt;&gt;"",EDATE($D7,Milestones!$AA$74)&gt;=$Y7),$AB7,$AA7)))=Milestones!$AB$74),UPPER(TEXT(EDATE($D7,Milestones!$AA$74),"dd mmm yy"))&amp;" "&amp;Milestones!$AB$74&amp;" "&amp;IF(AND(Milestones!$AB$74="FT",Milestones!$AA$74=FT_Y5,EDATE($D7,Milestones!$AA$74)&lt;PolicyEff),1,Milestones!$AC$74)&amp;";  ","")&amp;IF(AND(EDATE($D7,Milestones!$AA$75)&lt;=AsOfDate,EDATE($D7,Milestones!$AA$75)&gt;=SchemeStart,IF($X7=0,$AD7,IF(AND($Z7&lt;&gt;"",EDATE($D7,Milestones!$AA$75)&gt;=$Z7),$AC7,IF(AND($Y7&lt;&gt;"",EDATE($D7,Milestones!$AA$75)&gt;=$Y7),$AB7,$AA7)))=Milestones!$AB$75),UPPER(TEXT(EDATE($D7,Milestones!$AA$75),"dd mmm yy"))&amp;" "&amp;Milestones!$AB$75&amp;" "&amp;IF(AND(Milestones!$AB$75="FT",Milestones!$AA$75=FT_Y5,EDATE($D7,Milestones!$AA$75)&lt;PolicyEff),1,Milestones!$AC$75)&amp;";  ","")&amp;IF(AND(EDATE($D7,Milestones!$AA$76)&lt;=AsOfDate,EDATE($D7,Milestones!$AA$76)&gt;=SchemeStart,IF($X7=0,$AD7,IF(AND($Z7&lt;&gt;"",EDATE($D7,Milestones!$AA$76)&gt;=$Z7),$AC7,IF(AND($Y7&lt;&gt;"",EDATE($D7,Milestones!$AA$76)&gt;=$Y7),$AB7,$AA7)))=Milestones!$AB$76),UPPER(TEXT(EDATE($D7,Milestones!$AA$76),"dd mmm yy"))&amp;" "&amp;Milestones!$AB$76&amp;" "&amp;IF(AND(Milestones!$AB$76="FT",Milestones!$AA$76=FT_Y5,EDATE($D7,Milestones!$AA$76)&lt;PolicyEff),1,Milestones!$AC$76)&amp;";  ","")&amp;IF(AND(EDATE($D7,Milestones!$AA$77)&lt;=AsOfDate,EDATE($D7,Milestones!$AA$77)&gt;=SchemeStart,IF($X7=0,$AD7,IF(AND($Z7&lt;&gt;"",EDATE($D7,Milestones!$AA$77)&gt;=$Z7),$AC7,IF(AND($Y7&lt;&gt;"",EDATE($D7,Milestones!$AA$77)&gt;=$Y7),$AB7,$AA7)))=Milestones!$AB$77),UPPER(TEXT(EDATE($D7,Milestones!$AA$77),"dd mmm yy"))&amp;" "&amp;Milestones!$AB$77&amp;" "&amp;IF(AND(Milestones!$AB$77="FT",Milestones!$AA$77=FT_Y5,EDATE($D7,Milestones!$AA$77)&lt;PolicyEff),1,Milestones!$AC$77)&amp;";  ","")&amp;IF(AND(EDATE($D7,Milestones!$AA$78)&lt;=AsOfDate,EDATE($D7,Milestones!$AA$78)&gt;=SchemeStart,IF($X7=0,$AD7,IF(AND($Z7&lt;&gt;"",EDATE($D7,Milestones!$AA$78)&gt;=$Z7),$AC7,IF(AND($Y7&lt;&gt;"",EDATE($D7,Milestones!$AA$78)&gt;=$Y7),$AB7,$AA7)))=Milestones!$AB$78),UPPER(TEXT(EDATE($D7,Milestones!$AA$78),"dd mmm yy"))&amp;" "&amp;Milestones!$AB$78&amp;" "&amp;IF(AND(Milestones!$AB$78="FT",Milestones!$AA$78=FT_Y5,EDATE($D7,Milestones!$AA$78)&lt;PolicyEff),1,Milestones!$AC$78)&amp;";  ","")&amp;IF(AND(EDATE($D7,Milestones!$AA$79)&lt;=AsOfDate,EDATE($D7,Milestones!$AA$79)&gt;=SchemeStart,IF($X7=0,$AD7,IF(AND($Z7&lt;&gt;"",EDATE($D7,Milestones!$AA$79)&gt;=$Z7),$AC7,IF(AND($Y7&lt;&gt;"",EDATE($D7,Milestones!$AA$79)&gt;=$Y7),$AB7,$AA7)))=Milestones!$AB$79),UPPER(TEXT(EDATE($D7,Milestones!$AA$79),"dd mmm yy"))&amp;" "&amp;Milestones!$AB$79&amp;" "&amp;IF(AND(Milestones!$AB$79="FT",Milestones!$AA$79=FT_Y5,EDATE($D7,Milestones!$AA$79)&lt;PolicyEff),1,Milestones!$AC$79)&amp;";  ",""))</f>
        <v/>
      </c>
      <c r="N7" s="0" t="str">
        <f aca="false">IF(OR($A7="",$D7=""),"",IF(AND(EDATE($D7,Milestones!$AA$80)&lt;=AsOfDate,EDATE($D7,Milestones!$AA$80)&gt;=SchemeStart,IF($X7=0,$AD7,IF(AND($Z7&lt;&gt;"",EDATE($D7,Milestones!$AA$80)&gt;=$Z7),$AC7,IF(AND($Y7&lt;&gt;"",EDATE($D7,Milestones!$AA$80)&gt;=$Y7),$AB7,$AA7)))=Milestones!$AB$80),UPPER(TEXT(EDATE($D7,Milestones!$AA$80),"dd mmm yy"))&amp;" "&amp;Milestones!$AB$80&amp;" "&amp;IF(AND(Milestones!$AB$80="FT",Milestones!$AA$80=FT_Y5,EDATE($D7,Milestones!$AA$80)&lt;PolicyEff),1,Milestones!$AC$80)&amp;";  ","")&amp;IF(AND(EDATE($D7,Milestones!$AA$81)&lt;=AsOfDate,EDATE($D7,Milestones!$AA$81)&gt;=SchemeStart,IF($X7=0,$AD7,IF(AND($Z7&lt;&gt;"",EDATE($D7,Milestones!$AA$81)&gt;=$Z7),$AC7,IF(AND($Y7&lt;&gt;"",EDATE($D7,Milestones!$AA$81)&gt;=$Y7),$AB7,$AA7)))=Milestones!$AB$81),UPPER(TEXT(EDATE($D7,Milestones!$AA$81),"dd mmm yy"))&amp;" "&amp;Milestones!$AB$81&amp;" "&amp;IF(AND(Milestones!$AB$81="FT",Milestones!$AA$81=FT_Y5,EDATE($D7,Milestones!$AA$81)&lt;PolicyEff),1,Milestones!$AC$81)&amp;";  ","")&amp;IF(AND(EDATE($D7,Milestones!$AA$82)&lt;=AsOfDate,EDATE($D7,Milestones!$AA$82)&gt;=SchemeStart,IF($X7=0,$AD7,IF(AND($Z7&lt;&gt;"",EDATE($D7,Milestones!$AA$82)&gt;=$Z7),$AC7,IF(AND($Y7&lt;&gt;"",EDATE($D7,Milestones!$AA$82)&gt;=$Y7),$AB7,$AA7)))=Milestones!$AB$82),UPPER(TEXT(EDATE($D7,Milestones!$AA$82),"dd mmm yy"))&amp;" "&amp;Milestones!$AB$82&amp;" "&amp;IF(AND(Milestones!$AB$82="FT",Milestones!$AA$82=FT_Y5,EDATE($D7,Milestones!$AA$82)&lt;PolicyEff),1,Milestones!$AC$82)&amp;";  ","")&amp;IF(AND(EDATE($D7,Milestones!$AA$83)&lt;=AsOfDate,EDATE($D7,Milestones!$AA$83)&gt;=SchemeStart,IF($X7=0,$AD7,IF(AND($Z7&lt;&gt;"",EDATE($D7,Milestones!$AA$83)&gt;=$Z7),$AC7,IF(AND($Y7&lt;&gt;"",EDATE($D7,Milestones!$AA$83)&gt;=$Y7),$AB7,$AA7)))=Milestones!$AB$83),UPPER(TEXT(EDATE($D7,Milestones!$AA$83),"dd mmm yy"))&amp;" "&amp;Milestones!$AB$83&amp;" "&amp;IF(AND(Milestones!$AB$83="FT",Milestones!$AA$83=FT_Y5,EDATE($D7,Milestones!$AA$83)&lt;PolicyEff),1,Milestones!$AC$83)&amp;";  ","")&amp;IF(AND(EDATE($D7,Milestones!$AA$84)&lt;=AsOfDate,EDATE($D7,Milestones!$AA$84)&gt;=SchemeStart,IF($X7=0,$AD7,IF(AND($Z7&lt;&gt;"",EDATE($D7,Milestones!$AA$84)&gt;=$Z7),$AC7,IF(AND($Y7&lt;&gt;"",EDATE($D7,Milestones!$AA$84)&gt;=$Y7),$AB7,$AA7)))=Milestones!$AB$84),UPPER(TEXT(EDATE($D7,Milestones!$AA$84),"dd mmm yy"))&amp;" "&amp;Milestones!$AB$84&amp;" "&amp;IF(AND(Milestones!$AB$84="FT",Milestones!$AA$84=FT_Y5,EDATE($D7,Milestones!$AA$84)&lt;PolicyEff),1,Milestones!$AC$84)&amp;";  ","")&amp;IF(AND(EDATE($D7,Milestones!$AA$85)&lt;=AsOfDate,EDATE($D7,Milestones!$AA$85)&gt;=SchemeStart,IF($X7=0,$AD7,IF(AND($Z7&lt;&gt;"",EDATE($D7,Milestones!$AA$85)&gt;=$Z7),$AC7,IF(AND($Y7&lt;&gt;"",EDATE($D7,Milestones!$AA$85)&gt;=$Y7),$AB7,$AA7)))=Milestones!$AB$85),UPPER(TEXT(EDATE($D7,Milestones!$AA$85),"dd mmm yy"))&amp;" "&amp;Milestones!$AB$85&amp;" "&amp;IF(AND(Milestones!$AB$85="FT",Milestones!$AA$85=FT_Y5,EDATE($D7,Milestones!$AA$85)&lt;PolicyEff),1,Milestones!$AC$85)&amp;";  ","")&amp;IF(AND(EDATE($D7,Milestones!$AA$86)&lt;=AsOfDate,EDATE($D7,Milestones!$AA$86)&gt;=SchemeStart,IF($X7=0,$AD7,IF(AND($Z7&lt;&gt;"",EDATE($D7,Milestones!$AA$86)&gt;=$Z7),$AC7,IF(AND($Y7&lt;&gt;"",EDATE($D7,Milestones!$AA$86)&gt;=$Y7),$AB7,$AA7)))=Milestones!$AB$86),UPPER(TEXT(EDATE($D7,Milestones!$AA$86),"dd mmm yy"))&amp;" "&amp;Milestones!$AB$86&amp;" "&amp;IF(AND(Milestones!$AB$86="FT",Milestones!$AA$86=FT_Y5,EDATE($D7,Milestones!$AA$86)&lt;PolicyEff),1,Milestones!$AC$86)&amp;";  ","")&amp;IF(AND(EDATE($D7,Milestones!$AA$87)&lt;=AsOfDate,EDATE($D7,Milestones!$AA$87)&gt;=SchemeStart,IF($X7=0,$AD7,IF(AND($Z7&lt;&gt;"",EDATE($D7,Milestones!$AA$87)&gt;=$Z7),$AC7,IF(AND($Y7&lt;&gt;"",EDATE($D7,Milestones!$AA$87)&gt;=$Y7),$AB7,$AA7)))=Milestones!$AB$87),UPPER(TEXT(EDATE($D7,Milestones!$AA$87),"dd mmm yy"))&amp;" "&amp;Milestones!$AB$87&amp;" "&amp;IF(AND(Milestones!$AB$87="FT",Milestones!$AA$87=FT_Y5,EDATE($D7,Milestones!$AA$87)&lt;PolicyEff),1,Milestones!$AC$87)&amp;";  ","")&amp;IF(AND(EDATE($D7,Milestones!$AA$88)&lt;=AsOfDate,EDATE($D7,Milestones!$AA$88)&gt;=SchemeStart,IF($X7=0,$AD7,IF(AND($Z7&lt;&gt;"",EDATE($D7,Milestones!$AA$88)&gt;=$Z7),$AC7,IF(AND($Y7&lt;&gt;"",EDATE($D7,Milestones!$AA$88)&gt;=$Y7),$AB7,$AA7)))=Milestones!$AB$88),UPPER(TEXT(EDATE($D7,Milestones!$AA$88),"dd mmm yy"))&amp;" "&amp;Milestones!$AB$88&amp;" "&amp;IF(AND(Milestones!$AB$88="FT",Milestones!$AA$88=FT_Y5,EDATE($D7,Milestones!$AA$88)&lt;PolicyEff),1,Milestones!$AC$88)&amp;";  ","")&amp;IF(AND(EDATE($D7,Milestones!$AA$89)&lt;=AsOfDate,EDATE($D7,Milestones!$AA$89)&gt;=SchemeStart,IF($X7=0,$AD7,IF(AND($Z7&lt;&gt;"",EDATE($D7,Milestones!$AA$89)&gt;=$Z7),$AC7,IF(AND($Y7&lt;&gt;"",EDATE($D7,Milestones!$AA$89)&gt;=$Y7),$AB7,$AA7)))=Milestones!$AB$89),UPPER(TEXT(EDATE($D7,Milestones!$AA$89),"dd mmm yy"))&amp;" "&amp;Milestones!$AB$89&amp;" "&amp;IF(AND(Milestones!$AB$89="FT",Milestones!$AA$89=FT_Y5,EDATE($D7,Milestones!$AA$89)&lt;PolicyEff),1,Milestones!$AC$89)&amp;";  ","")&amp;IF(AND(EDATE($D7,Milestones!$AA$90)&lt;=AsOfDate,EDATE($D7,Milestones!$AA$90)&gt;=SchemeStart,IF($X7=0,$AD7,IF(AND($Z7&lt;&gt;"",EDATE($D7,Milestones!$AA$90)&gt;=$Z7),$AC7,IF(AND($Y7&lt;&gt;"",EDATE($D7,Milestones!$AA$90)&gt;=$Y7),$AB7,$AA7)))=Milestones!$AB$90),UPPER(TEXT(EDATE($D7,Milestones!$AA$90),"dd mmm yy"))&amp;" "&amp;Milestones!$AB$90&amp;" "&amp;IF(AND(Milestones!$AB$90="FT",Milestones!$AA$90=FT_Y5,EDATE($D7,Milestones!$AA$90)&lt;PolicyEff),1,Milestones!$AC$90)&amp;";  ","")&amp;IF(AND(EDATE($D7,Milestones!$AA$91)&lt;=AsOfDate,EDATE($D7,Milestones!$AA$91)&gt;=SchemeStart,IF($X7=0,$AD7,IF(AND($Z7&lt;&gt;"",EDATE($D7,Milestones!$AA$91)&gt;=$Z7),$AC7,IF(AND($Y7&lt;&gt;"",EDATE($D7,Milestones!$AA$91)&gt;=$Y7),$AB7,$AA7)))=Milestones!$AB$91),UPPER(TEXT(EDATE($D7,Milestones!$AA$91),"dd mmm yy"))&amp;" "&amp;Milestones!$AB$91&amp;" "&amp;IF(AND(Milestones!$AB$91="FT",Milestones!$AA$91=FT_Y5,EDATE($D7,Milestones!$AA$91)&lt;PolicyEff),1,Milestones!$AC$91)&amp;";  ",""))</f>
        <v/>
      </c>
      <c r="O7" s="0" t="str">
        <f aca="false">IF(OR($A7="",$D7=""),"",IF(AND(EDATE($D7,Milestones!$AA$92)&lt;=AsOfDate,EDATE($D7,Milestones!$AA$92)&gt;=SchemeStart,IF($X7=0,$AD7,IF(AND($Z7&lt;&gt;"",EDATE($D7,Milestones!$AA$92)&gt;=$Z7),$AC7,IF(AND($Y7&lt;&gt;"",EDATE($D7,Milestones!$AA$92)&gt;=$Y7),$AB7,$AA7)))=Milestones!$AB$92),UPPER(TEXT(EDATE($D7,Milestones!$AA$92),"dd mmm yy"))&amp;" "&amp;Milestones!$AB$92&amp;" "&amp;IF(AND(Milestones!$AB$92="FT",Milestones!$AA$92=FT_Y5,EDATE($D7,Milestones!$AA$92)&lt;PolicyEff),1,Milestones!$AC$92)&amp;";  ","")&amp;IF(AND(EDATE($D7,Milestones!$AA$93)&lt;=AsOfDate,EDATE($D7,Milestones!$AA$93)&gt;=SchemeStart,IF($X7=0,$AD7,IF(AND($Z7&lt;&gt;"",EDATE($D7,Milestones!$AA$93)&gt;=$Z7),$AC7,IF(AND($Y7&lt;&gt;"",EDATE($D7,Milestones!$AA$93)&gt;=$Y7),$AB7,$AA7)))=Milestones!$AB$93),UPPER(TEXT(EDATE($D7,Milestones!$AA$93),"dd mmm yy"))&amp;" "&amp;Milestones!$AB$93&amp;" "&amp;IF(AND(Milestones!$AB$93="FT",Milestones!$AA$93=FT_Y5,EDATE($D7,Milestones!$AA$93)&lt;PolicyEff),1,Milestones!$AC$93)&amp;";  ","")&amp;IF(AND(EDATE($D7,Milestones!$AA$94)&lt;=AsOfDate,EDATE($D7,Milestones!$AA$94)&gt;=SchemeStart,IF($X7=0,$AD7,IF(AND($Z7&lt;&gt;"",EDATE($D7,Milestones!$AA$94)&gt;=$Z7),$AC7,IF(AND($Y7&lt;&gt;"",EDATE($D7,Milestones!$AA$94)&gt;=$Y7),$AB7,$AA7)))=Milestones!$AB$94),UPPER(TEXT(EDATE($D7,Milestones!$AA$94),"dd mmm yy"))&amp;" "&amp;Milestones!$AB$94&amp;" "&amp;IF(AND(Milestones!$AB$94="FT",Milestones!$AA$94=FT_Y5,EDATE($D7,Milestones!$AA$94)&lt;PolicyEff),1,Milestones!$AC$94)&amp;";  ","")&amp;IF(AND(EDATE($D7,Milestones!$AA$95)&lt;=AsOfDate,EDATE($D7,Milestones!$AA$95)&gt;=SchemeStart,IF($X7=0,$AD7,IF(AND($Z7&lt;&gt;"",EDATE($D7,Milestones!$AA$95)&gt;=$Z7),$AC7,IF(AND($Y7&lt;&gt;"",EDATE($D7,Milestones!$AA$95)&gt;=$Y7),$AB7,$AA7)))=Milestones!$AB$95),UPPER(TEXT(EDATE($D7,Milestones!$AA$95),"dd mmm yy"))&amp;" "&amp;Milestones!$AB$95&amp;" "&amp;IF(AND(Milestones!$AB$95="FT",Milestones!$AA$95=FT_Y5,EDATE($D7,Milestones!$AA$95)&lt;PolicyEff),1,Milestones!$AC$95)&amp;";  ","")&amp;IF(AND(EDATE($D7,Milestones!$AA$96)&lt;=AsOfDate,EDATE($D7,Milestones!$AA$96)&gt;=SchemeStart,IF($X7=0,$AD7,IF(AND($Z7&lt;&gt;"",EDATE($D7,Milestones!$AA$96)&gt;=$Z7),$AC7,IF(AND($Y7&lt;&gt;"",EDATE($D7,Milestones!$AA$96)&gt;=$Y7),$AB7,$AA7)))=Milestones!$AB$96),UPPER(TEXT(EDATE($D7,Milestones!$AA$96),"dd mmm yy"))&amp;" "&amp;Milestones!$AB$96&amp;" "&amp;IF(AND(Milestones!$AB$96="FT",Milestones!$AA$96=FT_Y5,EDATE($D7,Milestones!$AA$96)&lt;PolicyEff),1,Milestones!$AC$96)&amp;";  ","")&amp;IF(AND(EDATE($D7,Milestones!$AA$97)&lt;=AsOfDate,EDATE($D7,Milestones!$AA$97)&gt;=SchemeStart,IF($X7=0,$AD7,IF(AND($Z7&lt;&gt;"",EDATE($D7,Milestones!$AA$97)&gt;=$Z7),$AC7,IF(AND($Y7&lt;&gt;"",EDATE($D7,Milestones!$AA$97)&gt;=$Y7),$AB7,$AA7)))=Milestones!$AB$97),UPPER(TEXT(EDATE($D7,Milestones!$AA$97),"dd mmm yy"))&amp;" "&amp;Milestones!$AB$97&amp;" "&amp;IF(AND(Milestones!$AB$97="FT",Milestones!$AA$97=FT_Y5,EDATE($D7,Milestones!$AA$97)&lt;PolicyEff),1,Milestones!$AC$97)&amp;";  ","")&amp;IF(AND(EDATE($D7,Milestones!$AA$98)&lt;=AsOfDate,EDATE($D7,Milestones!$AA$98)&gt;=SchemeStart,IF($X7=0,$AD7,IF(AND($Z7&lt;&gt;"",EDATE($D7,Milestones!$AA$98)&gt;=$Z7),$AC7,IF(AND($Y7&lt;&gt;"",EDATE($D7,Milestones!$AA$98)&gt;=$Y7),$AB7,$AA7)))=Milestones!$AB$98),UPPER(TEXT(EDATE($D7,Milestones!$AA$98),"dd mmm yy"))&amp;" "&amp;Milestones!$AB$98&amp;" "&amp;IF(AND(Milestones!$AB$98="FT",Milestones!$AA$98=FT_Y5,EDATE($D7,Milestones!$AA$98)&lt;PolicyEff),1,Milestones!$AC$98)&amp;";  ","")&amp;IF(AND(EDATE($D7,Milestones!$AA$99)&lt;=AsOfDate,EDATE($D7,Milestones!$AA$99)&gt;=SchemeStart,IF($X7=0,$AD7,IF(AND($Z7&lt;&gt;"",EDATE($D7,Milestones!$AA$99)&gt;=$Z7),$AC7,IF(AND($Y7&lt;&gt;"",EDATE($D7,Milestones!$AA$99)&gt;=$Y7),$AB7,$AA7)))=Milestones!$AB$99),UPPER(TEXT(EDATE($D7,Milestones!$AA$99),"dd mmm yy"))&amp;" "&amp;Milestones!$AB$99&amp;" "&amp;IF(AND(Milestones!$AB$99="FT",Milestones!$AA$99=FT_Y5,EDATE($D7,Milestones!$AA$99)&lt;PolicyEff),1,Milestones!$AC$99)&amp;";  ","")&amp;IF(AND(EDATE($D7,Milestones!$AA$100)&lt;=AsOfDate,EDATE($D7,Milestones!$AA$100)&gt;=SchemeStart,IF($X7=0,$AD7,IF(AND($Z7&lt;&gt;"",EDATE($D7,Milestones!$AA$100)&gt;=$Z7),$AC7,IF(AND($Y7&lt;&gt;"",EDATE($D7,Milestones!$AA$100)&gt;=$Y7),$AB7,$AA7)))=Milestones!$AB$100),UPPER(TEXT(EDATE($D7,Milestones!$AA$100),"dd mmm yy"))&amp;" "&amp;Milestones!$AB$100&amp;" "&amp;IF(AND(Milestones!$AB$100="FT",Milestones!$AA$100=FT_Y5,EDATE($D7,Milestones!$AA$100)&lt;PolicyEff),1,Milestones!$AC$100)&amp;";  ","")&amp;IF(AND(EDATE($D7,Milestones!$AA$101)&lt;=AsOfDate,EDATE($D7,Milestones!$AA$101)&gt;=SchemeStart,IF($X7=0,$AD7,IF(AND($Z7&lt;&gt;"",EDATE($D7,Milestones!$AA$101)&gt;=$Z7),$AC7,IF(AND($Y7&lt;&gt;"",EDATE($D7,Milestones!$AA$101)&gt;=$Y7),$AB7,$AA7)))=Milestones!$AB$101),UPPER(TEXT(EDATE($D7,Milestones!$AA$101),"dd mmm yy"))&amp;" "&amp;Milestones!$AB$101&amp;" "&amp;IF(AND(Milestones!$AB$101="FT",Milestones!$AA$101=FT_Y5,EDATE($D7,Milestones!$AA$101)&lt;PolicyEff),1,Milestones!$AC$101)&amp;";  ","")&amp;IF(AND(EDATE($D7,Milestones!$AA$102)&lt;=AsOfDate,EDATE($D7,Milestones!$AA$102)&gt;=SchemeStart,IF($X7=0,$AD7,IF(AND($Z7&lt;&gt;"",EDATE($D7,Milestones!$AA$102)&gt;=$Z7),$AC7,IF(AND($Y7&lt;&gt;"",EDATE($D7,Milestones!$AA$102)&gt;=$Y7),$AB7,$AA7)))=Milestones!$AB$102),UPPER(TEXT(EDATE($D7,Milestones!$AA$102),"dd mmm yy"))&amp;" "&amp;Milestones!$AB$102&amp;" "&amp;IF(AND(Milestones!$AB$102="FT",Milestones!$AA$102=FT_Y5,EDATE($D7,Milestones!$AA$102)&lt;PolicyEff),1,Milestones!$AC$102)&amp;";  ","")&amp;IF(AND(EDATE($D7,Milestones!$AA$103)&lt;=AsOfDate,EDATE($D7,Milestones!$AA$103)&gt;=SchemeStart,IF($X7=0,$AD7,IF(AND($Z7&lt;&gt;"",EDATE($D7,Milestones!$AA$103)&gt;=$Z7),$AC7,IF(AND($Y7&lt;&gt;"",EDATE($D7,Milestones!$AA$103)&gt;=$Y7),$AB7,$AA7)))=Milestones!$AB$103),UPPER(TEXT(EDATE($D7,Milestones!$AA$103),"dd mmm yy"))&amp;" "&amp;Milestones!$AB$103&amp;" "&amp;IF(AND(Milestones!$AB$103="FT",Milestones!$AA$103=FT_Y5,EDATE($D7,Milestones!$AA$103)&lt;PolicyEff),1,Milestones!$AC$103)&amp;";  ",""))</f>
        <v/>
      </c>
      <c r="P7" s="0" t="str">
        <f aca="false">IF(OR($A7="",$D7=""),"",IF(AND(EDATE($D7,Milestones!$AA$104)&lt;=AsOfDate,EDATE($D7,Milestones!$AA$104)&gt;=SchemeStart,IF($X7=0,$AD7,IF(AND($Z7&lt;&gt;"",EDATE($D7,Milestones!$AA$104)&gt;=$Z7),$AC7,IF(AND($Y7&lt;&gt;"",EDATE($D7,Milestones!$AA$104)&gt;=$Y7),$AB7,$AA7)))=Milestones!$AB$104),UPPER(TEXT(EDATE($D7,Milestones!$AA$104),"dd mmm yy"))&amp;" "&amp;Milestones!$AB$104&amp;" "&amp;IF(AND(Milestones!$AB$104="FT",Milestones!$AA$104=FT_Y5,EDATE($D7,Milestones!$AA$104)&lt;PolicyEff),1,Milestones!$AC$104)&amp;";  ","")&amp;IF(AND(EDATE($D7,Milestones!$AA$105)&lt;=AsOfDate,EDATE($D7,Milestones!$AA$105)&gt;=SchemeStart,IF($X7=0,$AD7,IF(AND($Z7&lt;&gt;"",EDATE($D7,Milestones!$AA$105)&gt;=$Z7),$AC7,IF(AND($Y7&lt;&gt;"",EDATE($D7,Milestones!$AA$105)&gt;=$Y7),$AB7,$AA7)))=Milestones!$AB$105),UPPER(TEXT(EDATE($D7,Milestones!$AA$105),"dd mmm yy"))&amp;" "&amp;Milestones!$AB$105&amp;" "&amp;IF(AND(Milestones!$AB$105="FT",Milestones!$AA$105=FT_Y5,EDATE($D7,Milestones!$AA$105)&lt;PolicyEff),1,Milestones!$AC$105)&amp;";  ","")&amp;IF(AND(EDATE($D7,Milestones!$AA$106)&lt;=AsOfDate,EDATE($D7,Milestones!$AA$106)&gt;=SchemeStart,IF($X7=0,$AD7,IF(AND($Z7&lt;&gt;"",EDATE($D7,Milestones!$AA$106)&gt;=$Z7),$AC7,IF(AND($Y7&lt;&gt;"",EDATE($D7,Milestones!$AA$106)&gt;=$Y7),$AB7,$AA7)))=Milestones!$AB$106),UPPER(TEXT(EDATE($D7,Milestones!$AA$106),"dd mmm yy"))&amp;" "&amp;Milestones!$AB$106&amp;" "&amp;IF(AND(Milestones!$AB$106="FT",Milestones!$AA$106=FT_Y5,EDATE($D7,Milestones!$AA$106)&lt;PolicyEff),1,Milestones!$AC$106)&amp;";  ","")&amp;IF(AND(EDATE($D7,Milestones!$AA$107)&lt;=AsOfDate,EDATE($D7,Milestones!$AA$107)&gt;=SchemeStart,IF($X7=0,$AD7,IF(AND($Z7&lt;&gt;"",EDATE($D7,Milestones!$AA$107)&gt;=$Z7),$AC7,IF(AND($Y7&lt;&gt;"",EDATE($D7,Milestones!$AA$107)&gt;=$Y7),$AB7,$AA7)))=Milestones!$AB$107),UPPER(TEXT(EDATE($D7,Milestones!$AA$107),"dd mmm yy"))&amp;" "&amp;Milestones!$AB$107&amp;" "&amp;IF(AND(Milestones!$AB$107="FT",Milestones!$AA$107=FT_Y5,EDATE($D7,Milestones!$AA$107)&lt;PolicyEff),1,Milestones!$AC$107)&amp;";  ","")&amp;IF(AND(EDATE($D7,Milestones!$AA$108)&lt;=AsOfDate,EDATE($D7,Milestones!$AA$108)&gt;=SchemeStart,IF($X7=0,$AD7,IF(AND($Z7&lt;&gt;"",EDATE($D7,Milestones!$AA$108)&gt;=$Z7),$AC7,IF(AND($Y7&lt;&gt;"",EDATE($D7,Milestones!$AA$108)&gt;=$Y7),$AB7,$AA7)))=Milestones!$AB$108),UPPER(TEXT(EDATE($D7,Milestones!$AA$108),"dd mmm yy"))&amp;" "&amp;Milestones!$AB$108&amp;" "&amp;IF(AND(Milestones!$AB$108="FT",Milestones!$AA$108=FT_Y5,EDATE($D7,Milestones!$AA$108)&lt;PolicyEff),1,Milestones!$AC$108)&amp;";  ","")&amp;IF(AND(EDATE($D7,Milestones!$AA$109)&lt;=AsOfDate,EDATE($D7,Milestones!$AA$109)&gt;=SchemeStart,IF($X7=0,$AD7,IF(AND($Z7&lt;&gt;"",EDATE($D7,Milestones!$AA$109)&gt;=$Z7),$AC7,IF(AND($Y7&lt;&gt;"",EDATE($D7,Milestones!$AA$109)&gt;=$Y7),$AB7,$AA7)))=Milestones!$AB$109),UPPER(TEXT(EDATE($D7,Milestones!$AA$109),"dd mmm yy"))&amp;" "&amp;Milestones!$AB$109&amp;" "&amp;IF(AND(Milestones!$AB$109="FT",Milestones!$AA$109=FT_Y5,EDATE($D7,Milestones!$AA$109)&lt;PolicyEff),1,Milestones!$AC$109)&amp;";  ","")&amp;IF(AND(EDATE($D7,Milestones!$AA$110)&lt;=AsOfDate,EDATE($D7,Milestones!$AA$110)&gt;=SchemeStart,IF($X7=0,$AD7,IF(AND($Z7&lt;&gt;"",EDATE($D7,Milestones!$AA$110)&gt;=$Z7),$AC7,IF(AND($Y7&lt;&gt;"",EDATE($D7,Milestones!$AA$110)&gt;=$Y7),$AB7,$AA7)))=Milestones!$AB$110),UPPER(TEXT(EDATE($D7,Milestones!$AA$110),"dd mmm yy"))&amp;" "&amp;Milestones!$AB$110&amp;" "&amp;IF(AND(Milestones!$AB$110="FT",Milestones!$AA$110=FT_Y5,EDATE($D7,Milestones!$AA$110)&lt;PolicyEff),1,Milestones!$AC$110)&amp;";  ","")&amp;IF(AND(EDATE($D7,Milestones!$AA$111)&lt;=AsOfDate,EDATE($D7,Milestones!$AA$111)&gt;=SchemeStart,IF($X7=0,$AD7,IF(AND($Z7&lt;&gt;"",EDATE($D7,Milestones!$AA$111)&gt;=$Z7),$AC7,IF(AND($Y7&lt;&gt;"",EDATE($D7,Milestones!$AA$111)&gt;=$Y7),$AB7,$AA7)))=Milestones!$AB$111),UPPER(TEXT(EDATE($D7,Milestones!$AA$111),"dd mmm yy"))&amp;" "&amp;Milestones!$AB$111&amp;" "&amp;IF(AND(Milestones!$AB$111="FT",Milestones!$AA$111=FT_Y5,EDATE($D7,Milestones!$AA$111)&lt;PolicyEff),1,Milestones!$AC$111)&amp;";  ","")&amp;IF(AND(EDATE($D7,Milestones!$AA$112)&lt;=AsOfDate,EDATE($D7,Milestones!$AA$112)&gt;=SchemeStart,IF($X7=0,$AD7,IF(AND($Z7&lt;&gt;"",EDATE($D7,Milestones!$AA$112)&gt;=$Z7),$AC7,IF(AND($Y7&lt;&gt;"",EDATE($D7,Milestones!$AA$112)&gt;=$Y7),$AB7,$AA7)))=Milestones!$AB$112),UPPER(TEXT(EDATE($D7,Milestones!$AA$112),"dd mmm yy"))&amp;" "&amp;Milestones!$AB$112&amp;" "&amp;IF(AND(Milestones!$AB$112="FT",Milestones!$AA$112=FT_Y5,EDATE($D7,Milestones!$AA$112)&lt;PolicyEff),1,Milestones!$AC$112)&amp;";  ","")&amp;IF(AND(EDATE($D7,Milestones!$AA$113)&lt;=AsOfDate,EDATE($D7,Milestones!$AA$113)&gt;=SchemeStart,IF($X7=0,$AD7,IF(AND($Z7&lt;&gt;"",EDATE($D7,Milestones!$AA$113)&gt;=$Z7),$AC7,IF(AND($Y7&lt;&gt;"",EDATE($D7,Milestones!$AA$113)&gt;=$Y7),$AB7,$AA7)))=Milestones!$AB$113),UPPER(TEXT(EDATE($D7,Milestones!$AA$113),"dd mmm yy"))&amp;" "&amp;Milestones!$AB$113&amp;" "&amp;IF(AND(Milestones!$AB$113="FT",Milestones!$AA$113=FT_Y5,EDATE($D7,Milestones!$AA$113)&lt;PolicyEff),1,Milestones!$AC$113)&amp;";  ","")&amp;IF(AND(EDATE($D7,Milestones!$AA$114)&lt;=AsOfDate,EDATE($D7,Milestones!$AA$114)&gt;=SchemeStart,IF($X7=0,$AD7,IF(AND($Z7&lt;&gt;"",EDATE($D7,Milestones!$AA$114)&gt;=$Z7),$AC7,IF(AND($Y7&lt;&gt;"",EDATE($D7,Milestones!$AA$114)&gt;=$Y7),$AB7,$AA7)))=Milestones!$AB$114),UPPER(TEXT(EDATE($D7,Milestones!$AA$114),"dd mmm yy"))&amp;" "&amp;Milestones!$AB$114&amp;" "&amp;IF(AND(Milestones!$AB$114="FT",Milestones!$AA$114=FT_Y5,EDATE($D7,Milestones!$AA$114)&lt;PolicyEff),1,Milestones!$AC$114)&amp;";  ","")&amp;IF(AND(EDATE($D7,Milestones!$AA$115)&lt;=AsOfDate,EDATE($D7,Milestones!$AA$115)&gt;=SchemeStart,IF($X7=0,$AD7,IF(AND($Z7&lt;&gt;"",EDATE($D7,Milestones!$AA$115)&gt;=$Z7),$AC7,IF(AND($Y7&lt;&gt;"",EDATE($D7,Milestones!$AA$115)&gt;=$Y7),$AB7,$AA7)))=Milestones!$AB$115),UPPER(TEXT(EDATE($D7,Milestones!$AA$115),"dd mmm yy"))&amp;" "&amp;Milestones!$AB$115&amp;" "&amp;IF(AND(Milestones!$AB$115="FT",Milestones!$AA$115=FT_Y5,EDATE($D7,Milestones!$AA$115)&lt;PolicyEff),1,Milestones!$AC$115)&amp;";  ",""))</f>
        <v/>
      </c>
      <c r="Q7" s="0" t="str">
        <f aca="false">IF(OR($A7="",$D7=""),"",IF(AND(EDATE($D7,Milestones!$AA$116)&lt;=AsOfDate,EDATE($D7,Milestones!$AA$116)&gt;=SchemeStart,IF($X7=0,$AD7,IF(AND($Z7&lt;&gt;"",EDATE($D7,Milestones!$AA$116)&gt;=$Z7),$AC7,IF(AND($Y7&lt;&gt;"",EDATE($D7,Milestones!$AA$116)&gt;=$Y7),$AB7,$AA7)))=Milestones!$AB$116),UPPER(TEXT(EDATE($D7,Milestones!$AA$116),"dd mmm yy"))&amp;" "&amp;Milestones!$AB$116&amp;" "&amp;IF(AND(Milestones!$AB$116="FT",Milestones!$AA$116=FT_Y5,EDATE($D7,Milestones!$AA$116)&lt;PolicyEff),1,Milestones!$AC$116)&amp;";  ","")&amp;IF(AND(EDATE($D7,Milestones!$AA$117)&lt;=AsOfDate,EDATE($D7,Milestones!$AA$117)&gt;=SchemeStart,IF($X7=0,$AD7,IF(AND($Z7&lt;&gt;"",EDATE($D7,Milestones!$AA$117)&gt;=$Z7),$AC7,IF(AND($Y7&lt;&gt;"",EDATE($D7,Milestones!$AA$117)&gt;=$Y7),$AB7,$AA7)))=Milestones!$AB$117),UPPER(TEXT(EDATE($D7,Milestones!$AA$117),"dd mmm yy"))&amp;" "&amp;Milestones!$AB$117&amp;" "&amp;IF(AND(Milestones!$AB$117="FT",Milestones!$AA$117=FT_Y5,EDATE($D7,Milestones!$AA$117)&lt;PolicyEff),1,Milestones!$AC$117)&amp;";  ","")&amp;IF(AND(EDATE($D7,Milestones!$AA$118)&lt;=AsOfDate,EDATE($D7,Milestones!$AA$118)&gt;=SchemeStart,IF($X7=0,$AD7,IF(AND($Z7&lt;&gt;"",EDATE($D7,Milestones!$AA$118)&gt;=$Z7),$AC7,IF(AND($Y7&lt;&gt;"",EDATE($D7,Milestones!$AA$118)&gt;=$Y7),$AB7,$AA7)))=Milestones!$AB$118),UPPER(TEXT(EDATE($D7,Milestones!$AA$118),"dd mmm yy"))&amp;" "&amp;Milestones!$AB$118&amp;" "&amp;IF(AND(Milestones!$AB$118="FT",Milestones!$AA$118=FT_Y5,EDATE($D7,Milestones!$AA$118)&lt;PolicyEff),1,Milestones!$AC$118)&amp;";  ","")&amp;IF(AND(EDATE($D7,Milestones!$AA$119)&lt;=AsOfDate,EDATE($D7,Milestones!$AA$119)&gt;=SchemeStart,IF($X7=0,$AD7,IF(AND($Z7&lt;&gt;"",EDATE($D7,Milestones!$AA$119)&gt;=$Z7),$AC7,IF(AND($Y7&lt;&gt;"",EDATE($D7,Milestones!$AA$119)&gt;=$Y7),$AB7,$AA7)))=Milestones!$AB$119),UPPER(TEXT(EDATE($D7,Milestones!$AA$119),"dd mmm yy"))&amp;" "&amp;Milestones!$AB$119&amp;" "&amp;IF(AND(Milestones!$AB$119="FT",Milestones!$AA$119=FT_Y5,EDATE($D7,Milestones!$AA$119)&lt;PolicyEff),1,Milestones!$AC$119)&amp;";  ","")&amp;IF(AND(EDATE($D7,Milestones!$AA$120)&lt;=AsOfDate,EDATE($D7,Milestones!$AA$120)&gt;=SchemeStart,IF($X7=0,$AD7,IF(AND($Z7&lt;&gt;"",EDATE($D7,Milestones!$AA$120)&gt;=$Z7),$AC7,IF(AND($Y7&lt;&gt;"",EDATE($D7,Milestones!$AA$120)&gt;=$Y7),$AB7,$AA7)))=Milestones!$AB$120),UPPER(TEXT(EDATE($D7,Milestones!$AA$120),"dd mmm yy"))&amp;" "&amp;Milestones!$AB$120&amp;" "&amp;IF(AND(Milestones!$AB$120="FT",Milestones!$AA$120=FT_Y5,EDATE($D7,Milestones!$AA$120)&lt;PolicyEff),1,Milestones!$AC$120)&amp;";  ","")&amp;IF(AND(EDATE($D7,Milestones!$AA$121)&lt;=AsOfDate,EDATE($D7,Milestones!$AA$121)&gt;=SchemeStart,IF($X7=0,$AD7,IF(AND($Z7&lt;&gt;"",EDATE($D7,Milestones!$AA$121)&gt;=$Z7),$AC7,IF(AND($Y7&lt;&gt;"",EDATE($D7,Milestones!$AA$121)&gt;=$Y7),$AB7,$AA7)))=Milestones!$AB$121),UPPER(TEXT(EDATE($D7,Milestones!$AA$121),"dd mmm yy"))&amp;" "&amp;Milestones!$AB$121&amp;" "&amp;IF(AND(Milestones!$AB$121="FT",Milestones!$AA$121=FT_Y5,EDATE($D7,Milestones!$AA$121)&lt;PolicyEff),1,Milestones!$AC$121)&amp;";  ","")&amp;IF(AND(EDATE($D7,Milestones!$AA$122)&lt;=AsOfDate,EDATE($D7,Milestones!$AA$122)&gt;=SchemeStart,IF($X7=0,$AD7,IF(AND($Z7&lt;&gt;"",EDATE($D7,Milestones!$AA$122)&gt;=$Z7),$AC7,IF(AND($Y7&lt;&gt;"",EDATE($D7,Milestones!$AA$122)&gt;=$Y7),$AB7,$AA7)))=Milestones!$AB$122),UPPER(TEXT(EDATE($D7,Milestones!$AA$122),"dd mmm yy"))&amp;" "&amp;Milestones!$AB$122&amp;" "&amp;IF(AND(Milestones!$AB$122="FT",Milestones!$AA$122=FT_Y5,EDATE($D7,Milestones!$AA$122)&lt;PolicyEff),1,Milestones!$AC$122)&amp;";  ","")&amp;IF(AND(EDATE($D7,Milestones!$AA$123)&lt;=AsOfDate,EDATE($D7,Milestones!$AA$123)&gt;=SchemeStart,IF($X7=0,$AD7,IF(AND($Z7&lt;&gt;"",EDATE($D7,Milestones!$AA$123)&gt;=$Z7),$AC7,IF(AND($Y7&lt;&gt;"",EDATE($D7,Milestones!$AA$123)&gt;=$Y7),$AB7,$AA7)))=Milestones!$AB$123),UPPER(TEXT(EDATE($D7,Milestones!$AA$123),"dd mmm yy"))&amp;" "&amp;Milestones!$AB$123&amp;" "&amp;IF(AND(Milestones!$AB$123="FT",Milestones!$AA$123=FT_Y5,EDATE($D7,Milestones!$AA$123)&lt;PolicyEff),1,Milestones!$AC$123)&amp;";  ","")&amp;IF(AND(EDATE($D7,Milestones!$AA$124)&lt;=AsOfDate,EDATE($D7,Milestones!$AA$124)&gt;=SchemeStart,IF($X7=0,$AD7,IF(AND($Z7&lt;&gt;"",EDATE($D7,Milestones!$AA$124)&gt;=$Z7),$AC7,IF(AND($Y7&lt;&gt;"",EDATE($D7,Milestones!$AA$124)&gt;=$Y7),$AB7,$AA7)))=Milestones!$AB$124),UPPER(TEXT(EDATE($D7,Milestones!$AA$124),"dd mmm yy"))&amp;" "&amp;Milestones!$AB$124&amp;" "&amp;IF(AND(Milestones!$AB$124="FT",Milestones!$AA$124=FT_Y5,EDATE($D7,Milestones!$AA$124)&lt;PolicyEff),1,Milestones!$AC$124)&amp;";  ","")&amp;IF(AND(EDATE($D7,Milestones!$AA$125)&lt;=AsOfDate,EDATE($D7,Milestones!$AA$125)&gt;=SchemeStart,IF($X7=0,$AD7,IF(AND($Z7&lt;&gt;"",EDATE($D7,Milestones!$AA$125)&gt;=$Z7),$AC7,IF(AND($Y7&lt;&gt;"",EDATE($D7,Milestones!$AA$125)&gt;=$Y7),$AB7,$AA7)))=Milestones!$AB$125),UPPER(TEXT(EDATE($D7,Milestones!$AA$125),"dd mmm yy"))&amp;" "&amp;Milestones!$AB$125&amp;" "&amp;IF(AND(Milestones!$AB$125="FT",Milestones!$AA$125=FT_Y5,EDATE($D7,Milestones!$AA$125)&lt;PolicyEff),1,Milestones!$AC$125)&amp;";  ","")&amp;IF(AND(EDATE($D7,Milestones!$AA$126)&lt;=AsOfDate,EDATE($D7,Milestones!$AA$126)&gt;=SchemeStart,IF($X7=0,$AD7,IF(AND($Z7&lt;&gt;"",EDATE($D7,Milestones!$AA$126)&gt;=$Z7),$AC7,IF(AND($Y7&lt;&gt;"",EDATE($D7,Milestones!$AA$126)&gt;=$Y7),$AB7,$AA7)))=Milestones!$AB$126),UPPER(TEXT(EDATE($D7,Milestones!$AA$126),"dd mmm yy"))&amp;" "&amp;Milestones!$AB$126&amp;" "&amp;IF(AND(Milestones!$AB$126="FT",Milestones!$AA$126=FT_Y5,EDATE($D7,Milestones!$AA$126)&lt;PolicyEff),1,Milestones!$AC$126)&amp;";  ","")&amp;IF(AND(EDATE($D7,Milestones!$AA$127)&lt;=AsOfDate,EDATE($D7,Milestones!$AA$127)&gt;=SchemeStart,IF($X7=0,$AD7,IF(AND($Z7&lt;&gt;"",EDATE($D7,Milestones!$AA$127)&gt;=$Z7),$AC7,IF(AND($Y7&lt;&gt;"",EDATE($D7,Milestones!$AA$127)&gt;=$Y7),$AB7,$AA7)))=Milestones!$AB$127),UPPER(TEXT(EDATE($D7,Milestones!$AA$127),"dd mmm yy"))&amp;" "&amp;Milestones!$AB$127&amp;" "&amp;IF(AND(Milestones!$AB$127="FT",Milestones!$AA$127=FT_Y5,EDATE($D7,Milestones!$AA$127)&lt;PolicyEff),1,Milestones!$AC$127)&amp;";  ",""))</f>
        <v/>
      </c>
      <c r="R7" s="0" t="str">
        <f aca="false">IF(OR($A7="",$D7=""),"",IF(AND(EDATE($D7,Milestones!$AA$128)&lt;=AsOfDate,EDATE($D7,Milestones!$AA$128)&gt;=SchemeStart,IF($X7=0,$AD7,IF(AND($Z7&lt;&gt;"",EDATE($D7,Milestones!$AA$128)&gt;=$Z7),$AC7,IF(AND($Y7&lt;&gt;"",EDATE($D7,Milestones!$AA$128)&gt;=$Y7),$AB7,$AA7)))=Milestones!$AB$128),UPPER(TEXT(EDATE($D7,Milestones!$AA$128),"dd mmm yy"))&amp;" "&amp;Milestones!$AB$128&amp;" "&amp;IF(AND(Milestones!$AB$128="FT",Milestones!$AA$128=FT_Y5,EDATE($D7,Milestones!$AA$128)&lt;PolicyEff),1,Milestones!$AC$128)&amp;";  ","")&amp;IF(AND(EDATE($D7,Milestones!$AA$129)&lt;=AsOfDate,EDATE($D7,Milestones!$AA$129)&gt;=SchemeStart,IF($X7=0,$AD7,IF(AND($Z7&lt;&gt;"",EDATE($D7,Milestones!$AA$129)&gt;=$Z7),$AC7,IF(AND($Y7&lt;&gt;"",EDATE($D7,Milestones!$AA$129)&gt;=$Y7),$AB7,$AA7)))=Milestones!$AB$129),UPPER(TEXT(EDATE($D7,Milestones!$AA$129),"dd mmm yy"))&amp;" "&amp;Milestones!$AB$129&amp;" "&amp;IF(AND(Milestones!$AB$129="FT",Milestones!$AA$129=FT_Y5,EDATE($D7,Milestones!$AA$129)&lt;PolicyEff),1,Milestones!$AC$129)&amp;";  ","")&amp;IF(AND(EDATE($D7,Milestones!$AA$130)&lt;=AsOfDate,EDATE($D7,Milestones!$AA$130)&gt;=SchemeStart,IF($X7=0,$AD7,IF(AND($Z7&lt;&gt;"",EDATE($D7,Milestones!$AA$130)&gt;=$Z7),$AC7,IF(AND($Y7&lt;&gt;"",EDATE($D7,Milestones!$AA$130)&gt;=$Y7),$AB7,$AA7)))=Milestones!$AB$130),UPPER(TEXT(EDATE($D7,Milestones!$AA$130),"dd mmm yy"))&amp;" "&amp;Milestones!$AB$130&amp;" "&amp;IF(AND(Milestones!$AB$130="FT",Milestones!$AA$130=FT_Y5,EDATE($D7,Milestones!$AA$130)&lt;PolicyEff),1,Milestones!$AC$130)&amp;";  ","")&amp;IF(AND(EDATE($D7,Milestones!$AA$131)&lt;=AsOfDate,EDATE($D7,Milestones!$AA$131)&gt;=SchemeStart,IF($X7=0,$AD7,IF(AND($Z7&lt;&gt;"",EDATE($D7,Milestones!$AA$131)&gt;=$Z7),$AC7,IF(AND($Y7&lt;&gt;"",EDATE($D7,Milestones!$AA$131)&gt;=$Y7),$AB7,$AA7)))=Milestones!$AB$131),UPPER(TEXT(EDATE($D7,Milestones!$AA$131),"dd mmm yy"))&amp;" "&amp;Milestones!$AB$131&amp;" "&amp;IF(AND(Milestones!$AB$131="FT",Milestones!$AA$131=FT_Y5,EDATE($D7,Milestones!$AA$131)&lt;PolicyEff),1,Milestones!$AC$131)&amp;";  ","")&amp;IF(AND(EDATE($D7,Milestones!$AA$132)&lt;=AsOfDate,EDATE($D7,Milestones!$AA$132)&gt;=SchemeStart,IF($X7=0,$AD7,IF(AND($Z7&lt;&gt;"",EDATE($D7,Milestones!$AA$132)&gt;=$Z7),$AC7,IF(AND($Y7&lt;&gt;"",EDATE($D7,Milestones!$AA$132)&gt;=$Y7),$AB7,$AA7)))=Milestones!$AB$132),UPPER(TEXT(EDATE($D7,Milestones!$AA$132),"dd mmm yy"))&amp;" "&amp;Milestones!$AB$132&amp;" "&amp;IF(AND(Milestones!$AB$132="FT",Milestones!$AA$132=FT_Y5,EDATE($D7,Milestones!$AA$132)&lt;PolicyEff),1,Milestones!$AC$132)&amp;";  ","")&amp;IF(AND(EDATE($D7,Milestones!$AA$133)&lt;=AsOfDate,EDATE($D7,Milestones!$AA$133)&gt;=SchemeStart,IF($X7=0,$AD7,IF(AND($Z7&lt;&gt;"",EDATE($D7,Milestones!$AA$133)&gt;=$Z7),$AC7,IF(AND($Y7&lt;&gt;"",EDATE($D7,Milestones!$AA$133)&gt;=$Y7),$AB7,$AA7)))=Milestones!$AB$133),UPPER(TEXT(EDATE($D7,Milestones!$AA$133),"dd mmm yy"))&amp;" "&amp;Milestones!$AB$133&amp;" "&amp;IF(AND(Milestones!$AB$133="FT",Milestones!$AA$133=FT_Y5,EDATE($D7,Milestones!$AA$133)&lt;PolicyEff),1,Milestones!$AC$133)&amp;";  ","")&amp;IF(AND(EDATE($D7,Milestones!$AA$134)&lt;=AsOfDate,EDATE($D7,Milestones!$AA$134)&gt;=SchemeStart,IF($X7=0,$AD7,IF(AND($Z7&lt;&gt;"",EDATE($D7,Milestones!$AA$134)&gt;=$Z7),$AC7,IF(AND($Y7&lt;&gt;"",EDATE($D7,Milestones!$AA$134)&gt;=$Y7),$AB7,$AA7)))=Milestones!$AB$134),UPPER(TEXT(EDATE($D7,Milestones!$AA$134),"dd mmm yy"))&amp;" "&amp;Milestones!$AB$134&amp;" "&amp;IF(AND(Milestones!$AB$134="FT",Milestones!$AA$134=FT_Y5,EDATE($D7,Milestones!$AA$134)&lt;PolicyEff),1,Milestones!$AC$134)&amp;";  ","")&amp;IF(AND(EDATE($D7,Milestones!$AA$135)&lt;=AsOfDate,EDATE($D7,Milestones!$AA$135)&gt;=SchemeStart,IF($X7=0,$AD7,IF(AND($Z7&lt;&gt;"",EDATE($D7,Milestones!$AA$135)&gt;=$Z7),$AC7,IF(AND($Y7&lt;&gt;"",EDATE($D7,Milestones!$AA$135)&gt;=$Y7),$AB7,$AA7)))=Milestones!$AB$135),UPPER(TEXT(EDATE($D7,Milestones!$AA$135),"dd mmm yy"))&amp;" "&amp;Milestones!$AB$135&amp;" "&amp;IF(AND(Milestones!$AB$135="FT",Milestones!$AA$135=FT_Y5,EDATE($D7,Milestones!$AA$135)&lt;PolicyEff),1,Milestones!$AC$135)&amp;";  ","")&amp;IF(AND(EDATE($D7,Milestones!$AA$136)&lt;=AsOfDate,EDATE($D7,Milestones!$AA$136)&gt;=SchemeStart,IF($X7=0,$AD7,IF(AND($Z7&lt;&gt;"",EDATE($D7,Milestones!$AA$136)&gt;=$Z7),$AC7,IF(AND($Y7&lt;&gt;"",EDATE($D7,Milestones!$AA$136)&gt;=$Y7),$AB7,$AA7)))=Milestones!$AB$136),UPPER(TEXT(EDATE($D7,Milestones!$AA$136),"dd mmm yy"))&amp;" "&amp;Milestones!$AB$136&amp;" "&amp;IF(AND(Milestones!$AB$136="FT",Milestones!$AA$136=FT_Y5,EDATE($D7,Milestones!$AA$136)&lt;PolicyEff),1,Milestones!$AC$136)&amp;";  ","")&amp;IF(AND(EDATE($D7,Milestones!$AA$137)&lt;=AsOfDate,EDATE($D7,Milestones!$AA$137)&gt;=SchemeStart,IF($X7=0,$AD7,IF(AND($Z7&lt;&gt;"",EDATE($D7,Milestones!$AA$137)&gt;=$Z7),$AC7,IF(AND($Y7&lt;&gt;"",EDATE($D7,Milestones!$AA$137)&gt;=$Y7),$AB7,$AA7)))=Milestones!$AB$137),UPPER(TEXT(EDATE($D7,Milestones!$AA$137),"dd mmm yy"))&amp;" "&amp;Milestones!$AB$137&amp;" "&amp;IF(AND(Milestones!$AB$137="FT",Milestones!$AA$137=FT_Y5,EDATE($D7,Milestones!$AA$137)&lt;PolicyEff),1,Milestones!$AC$137)&amp;";  ","")&amp;IF(AND(EDATE($D7,Milestones!$AA$138)&lt;=AsOfDate,EDATE($D7,Milestones!$AA$138)&gt;=SchemeStart,IF($X7=0,$AD7,IF(AND($Z7&lt;&gt;"",EDATE($D7,Milestones!$AA$138)&gt;=$Z7),$AC7,IF(AND($Y7&lt;&gt;"",EDATE($D7,Milestones!$AA$138)&gt;=$Y7),$AB7,$AA7)))=Milestones!$AB$138),UPPER(TEXT(EDATE($D7,Milestones!$AA$138),"dd mmm yy"))&amp;" "&amp;Milestones!$AB$138&amp;" "&amp;IF(AND(Milestones!$AB$138="FT",Milestones!$AA$138=FT_Y5,EDATE($D7,Milestones!$AA$138)&lt;PolicyEff),1,Milestones!$AC$138)&amp;";  ","")&amp;IF(AND(EDATE($D7,Milestones!$AA$139)&lt;=AsOfDate,EDATE($D7,Milestones!$AA$139)&gt;=SchemeStart,IF($X7=0,$AD7,IF(AND($Z7&lt;&gt;"",EDATE($D7,Milestones!$AA$139)&gt;=$Z7),$AC7,IF(AND($Y7&lt;&gt;"",EDATE($D7,Milestones!$AA$139)&gt;=$Y7),$AB7,$AA7)))=Milestones!$AB$139),UPPER(TEXT(EDATE($D7,Milestones!$AA$139),"dd mmm yy"))&amp;" "&amp;Milestones!$AB$139&amp;" "&amp;IF(AND(Milestones!$AB$139="FT",Milestones!$AA$139=FT_Y5,EDATE($D7,Milestones!$AA$139)&lt;PolicyEff),1,Milestones!$AC$139)&amp;";  ",""))</f>
        <v/>
      </c>
      <c r="S7" s="0" t="str">
        <f aca="false">IF(OR($A7="",$D7=""),"",IF(AND(EDATE($D7,Milestones!$AA$140)&lt;=AsOfDate,EDATE($D7,Milestones!$AA$140)&gt;=SchemeStart,IF($X7=0,$AD7,IF(AND($Z7&lt;&gt;"",EDATE($D7,Milestones!$AA$140)&gt;=$Z7),$AC7,IF(AND($Y7&lt;&gt;"",EDATE($D7,Milestones!$AA$140)&gt;=$Y7),$AB7,$AA7)))=Milestones!$AB$140),UPPER(TEXT(EDATE($D7,Milestones!$AA$140),"dd mmm yy"))&amp;" "&amp;Milestones!$AB$140&amp;" "&amp;IF(AND(Milestones!$AB$140="FT",Milestones!$AA$140=FT_Y5,EDATE($D7,Milestones!$AA$140)&lt;PolicyEff),1,Milestones!$AC$140)&amp;";  ","")&amp;IF(AND(EDATE($D7,Milestones!$AA$141)&lt;=AsOfDate,EDATE($D7,Milestones!$AA$141)&gt;=SchemeStart,IF($X7=0,$AD7,IF(AND($Z7&lt;&gt;"",EDATE($D7,Milestones!$AA$141)&gt;=$Z7),$AC7,IF(AND($Y7&lt;&gt;"",EDATE($D7,Milestones!$AA$141)&gt;=$Y7),$AB7,$AA7)))=Milestones!$AB$141),UPPER(TEXT(EDATE($D7,Milestones!$AA$141),"dd mmm yy"))&amp;" "&amp;Milestones!$AB$141&amp;" "&amp;IF(AND(Milestones!$AB$141="FT",Milestones!$AA$141=FT_Y5,EDATE($D7,Milestones!$AA$141)&lt;PolicyEff),1,Milestones!$AC$141)&amp;";  ","")&amp;IF(AND(EDATE($D7,Milestones!$AA$142)&lt;=AsOfDate,EDATE($D7,Milestones!$AA$142)&gt;=SchemeStart,IF($X7=0,$AD7,IF(AND($Z7&lt;&gt;"",EDATE($D7,Milestones!$AA$142)&gt;=$Z7),$AC7,IF(AND($Y7&lt;&gt;"",EDATE($D7,Milestones!$AA$142)&gt;=$Y7),$AB7,$AA7)))=Milestones!$AB$142),UPPER(TEXT(EDATE($D7,Milestones!$AA$142),"dd mmm yy"))&amp;" "&amp;Milestones!$AB$142&amp;" "&amp;IF(AND(Milestones!$AB$142="FT",Milestones!$AA$142=FT_Y5,EDATE($D7,Milestones!$AA$142)&lt;PolicyEff),1,Milestones!$AC$142)&amp;";  ","")&amp;IF(AND(EDATE($D7,Milestones!$AA$143)&lt;=AsOfDate,EDATE($D7,Milestones!$AA$143)&gt;=SchemeStart,IF($X7=0,$AD7,IF(AND($Z7&lt;&gt;"",EDATE($D7,Milestones!$AA$143)&gt;=$Z7),$AC7,IF(AND($Y7&lt;&gt;"",EDATE($D7,Milestones!$AA$143)&gt;=$Y7),$AB7,$AA7)))=Milestones!$AB$143),UPPER(TEXT(EDATE($D7,Milestones!$AA$143),"dd mmm yy"))&amp;" "&amp;Milestones!$AB$143&amp;" "&amp;IF(AND(Milestones!$AB$143="FT",Milestones!$AA$143=FT_Y5,EDATE($D7,Milestones!$AA$143)&lt;PolicyEff),1,Milestones!$AC$143)&amp;";  ","")&amp;IF(AND(EDATE($D7,Milestones!$AA$144)&lt;=AsOfDate,EDATE($D7,Milestones!$AA$144)&gt;=SchemeStart,IF($X7=0,$AD7,IF(AND($Z7&lt;&gt;"",EDATE($D7,Milestones!$AA$144)&gt;=$Z7),$AC7,IF(AND($Y7&lt;&gt;"",EDATE($D7,Milestones!$AA$144)&gt;=$Y7),$AB7,$AA7)))=Milestones!$AB$144),UPPER(TEXT(EDATE($D7,Milestones!$AA$144),"dd mmm yy"))&amp;" "&amp;Milestones!$AB$144&amp;" "&amp;IF(AND(Milestones!$AB$144="FT",Milestones!$AA$144=FT_Y5,EDATE($D7,Milestones!$AA$144)&lt;PolicyEff),1,Milestones!$AC$144)&amp;";  ","")&amp;IF(AND(EDATE($D7,Milestones!$AA$145)&lt;=AsOfDate,EDATE($D7,Milestones!$AA$145)&gt;=SchemeStart,IF($X7=0,$AD7,IF(AND($Z7&lt;&gt;"",EDATE($D7,Milestones!$AA$145)&gt;=$Z7),$AC7,IF(AND($Y7&lt;&gt;"",EDATE($D7,Milestones!$AA$145)&gt;=$Y7),$AB7,$AA7)))=Milestones!$AB$145),UPPER(TEXT(EDATE($D7,Milestones!$AA$145),"dd mmm yy"))&amp;" "&amp;Milestones!$AB$145&amp;" "&amp;IF(AND(Milestones!$AB$145="FT",Milestones!$AA$145=FT_Y5,EDATE($D7,Milestones!$AA$145)&lt;PolicyEff),1,Milestones!$AC$145)&amp;";  ","")&amp;IF(AND(EDATE($D7,Milestones!$AA$146)&lt;=AsOfDate,EDATE($D7,Milestones!$AA$146)&gt;=SchemeStart,IF($X7=0,$AD7,IF(AND($Z7&lt;&gt;"",EDATE($D7,Milestones!$AA$146)&gt;=$Z7),$AC7,IF(AND($Y7&lt;&gt;"",EDATE($D7,Milestones!$AA$146)&gt;=$Y7),$AB7,$AA7)))=Milestones!$AB$146),UPPER(TEXT(EDATE($D7,Milestones!$AA$146),"dd mmm yy"))&amp;" "&amp;Milestones!$AB$146&amp;" "&amp;IF(AND(Milestones!$AB$146="FT",Milestones!$AA$146=FT_Y5,EDATE($D7,Milestones!$AA$146)&lt;PolicyEff),1,Milestones!$AC$146)&amp;";  ","")&amp;IF(AND(EDATE($D7,Milestones!$AA$147)&lt;=AsOfDate,EDATE($D7,Milestones!$AA$147)&gt;=SchemeStart,IF($X7=0,$AD7,IF(AND($Z7&lt;&gt;"",EDATE($D7,Milestones!$AA$147)&gt;=$Z7),$AC7,IF(AND($Y7&lt;&gt;"",EDATE($D7,Milestones!$AA$147)&gt;=$Y7),$AB7,$AA7)))=Milestones!$AB$147),UPPER(TEXT(EDATE($D7,Milestones!$AA$147),"dd mmm yy"))&amp;" "&amp;Milestones!$AB$147&amp;" "&amp;IF(AND(Milestones!$AB$147="FT",Milestones!$AA$147=FT_Y5,EDATE($D7,Milestones!$AA$147)&lt;PolicyEff),1,Milestones!$AC$147)&amp;";  ","")&amp;IF(AND(EDATE($D7,Milestones!$AA$148)&lt;=AsOfDate,EDATE($D7,Milestones!$AA$148)&gt;=SchemeStart,IF($X7=0,$AD7,IF(AND($Z7&lt;&gt;"",EDATE($D7,Milestones!$AA$148)&gt;=$Z7),$AC7,IF(AND($Y7&lt;&gt;"",EDATE($D7,Milestones!$AA$148)&gt;=$Y7),$AB7,$AA7)))=Milestones!$AB$148),UPPER(TEXT(EDATE($D7,Milestones!$AA$148),"dd mmm yy"))&amp;" "&amp;Milestones!$AB$148&amp;" "&amp;IF(AND(Milestones!$AB$148="FT",Milestones!$AA$148=FT_Y5,EDATE($D7,Milestones!$AA$148)&lt;PolicyEff),1,Milestones!$AC$148)&amp;";  ","")&amp;IF(AND(EDATE($D7,Milestones!$AA$149)&lt;=AsOfDate,EDATE($D7,Milestones!$AA$149)&gt;=SchemeStart,IF($X7=0,$AD7,IF(AND($Z7&lt;&gt;"",EDATE($D7,Milestones!$AA$149)&gt;=$Z7),$AC7,IF(AND($Y7&lt;&gt;"",EDATE($D7,Milestones!$AA$149)&gt;=$Y7),$AB7,$AA7)))=Milestones!$AB$149),UPPER(TEXT(EDATE($D7,Milestones!$AA$149),"dd mmm yy"))&amp;" "&amp;Milestones!$AB$149&amp;" "&amp;IF(AND(Milestones!$AB$149="FT",Milestones!$AA$149=FT_Y5,EDATE($D7,Milestones!$AA$149)&lt;PolicyEff),1,Milestones!$AC$149)&amp;";  ","")&amp;IF(AND(EDATE($D7,Milestones!$AA$150)&lt;=AsOfDate,EDATE($D7,Milestones!$AA$150)&gt;=SchemeStart,IF($X7=0,$AD7,IF(AND($Z7&lt;&gt;"",EDATE($D7,Milestones!$AA$150)&gt;=$Z7),$AC7,IF(AND($Y7&lt;&gt;"",EDATE($D7,Milestones!$AA$150)&gt;=$Y7),$AB7,$AA7)))=Milestones!$AB$150),UPPER(TEXT(EDATE($D7,Milestones!$AA$150),"dd mmm yy"))&amp;" "&amp;Milestones!$AB$150&amp;" "&amp;IF(AND(Milestones!$AB$150="FT",Milestones!$AA$150=FT_Y5,EDATE($D7,Milestones!$AA$150)&lt;PolicyEff),1,Milestones!$AC$150)&amp;";  ","")&amp;IF(AND(EDATE($D7,Milestones!$AA$151)&lt;=AsOfDate,EDATE($D7,Milestones!$AA$151)&gt;=SchemeStart,IF($X7=0,$AD7,IF(AND($Z7&lt;&gt;"",EDATE($D7,Milestones!$AA$151)&gt;=$Z7),$AC7,IF(AND($Y7&lt;&gt;"",EDATE($D7,Milestones!$AA$151)&gt;=$Y7),$AB7,$AA7)))=Milestones!$AB$151),UPPER(TEXT(EDATE($D7,Milestones!$AA$151),"dd mmm yy"))&amp;" "&amp;Milestones!$AB$151&amp;" "&amp;IF(AND(Milestones!$AB$151="FT",Milestones!$AA$151=FT_Y5,EDATE($D7,Milestones!$AA$151)&lt;PolicyEff),1,Milestones!$AC$151)&amp;";  ",""))</f>
        <v/>
      </c>
      <c r="T7" s="0" t="str">
        <f aca="false">IF(OR($A7="",$D7=""),"",IF(AND(EDATE($D7,Milestones!$AA$152)&lt;=AsOfDate,EDATE($D7,Milestones!$AA$152)&gt;=SchemeStart,IF($X7=0,$AD7,IF(AND($Z7&lt;&gt;"",EDATE($D7,Milestones!$AA$152)&gt;=$Z7),$AC7,IF(AND($Y7&lt;&gt;"",EDATE($D7,Milestones!$AA$152)&gt;=$Y7),$AB7,$AA7)))=Milestones!$AB$152),UPPER(TEXT(EDATE($D7,Milestones!$AA$152),"dd mmm yy"))&amp;" "&amp;Milestones!$AB$152&amp;" "&amp;IF(AND(Milestones!$AB$152="FT",Milestones!$AA$152=FT_Y5,EDATE($D7,Milestones!$AA$152)&lt;PolicyEff),1,Milestones!$AC$152)&amp;";  ","")&amp;IF(AND(EDATE($D7,Milestones!$AA$153)&lt;=AsOfDate,EDATE($D7,Milestones!$AA$153)&gt;=SchemeStart,IF($X7=0,$AD7,IF(AND($Z7&lt;&gt;"",EDATE($D7,Milestones!$AA$153)&gt;=$Z7),$AC7,IF(AND($Y7&lt;&gt;"",EDATE($D7,Milestones!$AA$153)&gt;=$Y7),$AB7,$AA7)))=Milestones!$AB$153),UPPER(TEXT(EDATE($D7,Milestones!$AA$153),"dd mmm yy"))&amp;" "&amp;Milestones!$AB$153&amp;" "&amp;IF(AND(Milestones!$AB$153="FT",Milestones!$AA$153=FT_Y5,EDATE($D7,Milestones!$AA$153)&lt;PolicyEff),1,Milestones!$AC$153)&amp;";  ","")&amp;IF(AND(EDATE($D7,Milestones!$AA$154)&lt;=AsOfDate,EDATE($D7,Milestones!$AA$154)&gt;=SchemeStart,IF($X7=0,$AD7,IF(AND($Z7&lt;&gt;"",EDATE($D7,Milestones!$AA$154)&gt;=$Z7),$AC7,IF(AND($Y7&lt;&gt;"",EDATE($D7,Milestones!$AA$154)&gt;=$Y7),$AB7,$AA7)))=Milestones!$AB$154),UPPER(TEXT(EDATE($D7,Milestones!$AA$154),"dd mmm yy"))&amp;" "&amp;Milestones!$AB$154&amp;" "&amp;IF(AND(Milestones!$AB$154="FT",Milestones!$AA$154=FT_Y5,EDATE($D7,Milestones!$AA$154)&lt;PolicyEff),1,Milestones!$AC$154)&amp;";  ","")&amp;IF(AND(EDATE($D7,Milestones!$AA$155)&lt;=AsOfDate,EDATE($D7,Milestones!$AA$155)&gt;=SchemeStart,IF($X7=0,$AD7,IF(AND($Z7&lt;&gt;"",EDATE($D7,Milestones!$AA$155)&gt;=$Z7),$AC7,IF(AND($Y7&lt;&gt;"",EDATE($D7,Milestones!$AA$155)&gt;=$Y7),$AB7,$AA7)))=Milestones!$AB$155),UPPER(TEXT(EDATE($D7,Milestones!$AA$155),"dd mmm yy"))&amp;" "&amp;Milestones!$AB$155&amp;" "&amp;IF(AND(Milestones!$AB$155="FT",Milestones!$AA$155=FT_Y5,EDATE($D7,Milestones!$AA$155)&lt;PolicyEff),1,Milestones!$AC$155)&amp;";  ","")&amp;IF(AND(EDATE($D7,Milestones!$AA$156)&lt;=AsOfDate,EDATE($D7,Milestones!$AA$156)&gt;=SchemeStart,IF($X7=0,$AD7,IF(AND($Z7&lt;&gt;"",EDATE($D7,Milestones!$AA$156)&gt;=$Z7),$AC7,IF(AND($Y7&lt;&gt;"",EDATE($D7,Milestones!$AA$156)&gt;=$Y7),$AB7,$AA7)))=Milestones!$AB$156),UPPER(TEXT(EDATE($D7,Milestones!$AA$156),"dd mmm yy"))&amp;" "&amp;Milestones!$AB$156&amp;" "&amp;IF(AND(Milestones!$AB$156="FT",Milestones!$AA$156=FT_Y5,EDATE($D7,Milestones!$AA$156)&lt;PolicyEff),1,Milestones!$AC$156)&amp;";  ","")&amp;IF(AND(EDATE($D7,Milestones!$AA$157)&lt;=AsOfDate,EDATE($D7,Milestones!$AA$157)&gt;=SchemeStart,IF($X7=0,$AD7,IF(AND($Z7&lt;&gt;"",EDATE($D7,Milestones!$AA$157)&gt;=$Z7),$AC7,IF(AND($Y7&lt;&gt;"",EDATE($D7,Milestones!$AA$157)&gt;=$Y7),$AB7,$AA7)))=Milestones!$AB$157),UPPER(TEXT(EDATE($D7,Milestones!$AA$157),"dd mmm yy"))&amp;" "&amp;Milestones!$AB$157&amp;" "&amp;IF(AND(Milestones!$AB$157="FT",Milestones!$AA$157=FT_Y5,EDATE($D7,Milestones!$AA$157)&lt;PolicyEff),1,Milestones!$AC$157)&amp;";  ","")&amp;IF(AND(EDATE($D7,Milestones!$AA$158)&lt;=AsOfDate,EDATE($D7,Milestones!$AA$158)&gt;=SchemeStart,IF($X7=0,$AD7,IF(AND($Z7&lt;&gt;"",EDATE($D7,Milestones!$AA$158)&gt;=$Z7),$AC7,IF(AND($Y7&lt;&gt;"",EDATE($D7,Milestones!$AA$158)&gt;=$Y7),$AB7,$AA7)))=Milestones!$AB$158),UPPER(TEXT(EDATE($D7,Milestones!$AA$158),"dd mmm yy"))&amp;" "&amp;Milestones!$AB$158&amp;" "&amp;IF(AND(Milestones!$AB$158="FT",Milestones!$AA$158=FT_Y5,EDATE($D7,Milestones!$AA$158)&lt;PolicyEff),1,Milestones!$AC$158)&amp;";  ","")&amp;IF(AND(EDATE($D7,Milestones!$AA$159)&lt;=AsOfDate,EDATE($D7,Milestones!$AA$159)&gt;=SchemeStart,IF($X7=0,$AD7,IF(AND($Z7&lt;&gt;"",EDATE($D7,Milestones!$AA$159)&gt;=$Z7),$AC7,IF(AND($Y7&lt;&gt;"",EDATE($D7,Milestones!$AA$159)&gt;=$Y7),$AB7,$AA7)))=Milestones!$AB$159),UPPER(TEXT(EDATE($D7,Milestones!$AA$159),"dd mmm yy"))&amp;" "&amp;Milestones!$AB$159&amp;" "&amp;IF(AND(Milestones!$AB$159="FT",Milestones!$AA$159=FT_Y5,EDATE($D7,Milestones!$AA$159)&lt;PolicyEff),1,Milestones!$AC$159)&amp;";  ","")&amp;IF(AND(EDATE($D7,Milestones!$AA$160)&lt;=AsOfDate,EDATE($D7,Milestones!$AA$160)&gt;=SchemeStart,IF($X7=0,$AD7,IF(AND($Z7&lt;&gt;"",EDATE($D7,Milestones!$AA$160)&gt;=$Z7),$AC7,IF(AND($Y7&lt;&gt;"",EDATE($D7,Milestones!$AA$160)&gt;=$Y7),$AB7,$AA7)))=Milestones!$AB$160),UPPER(TEXT(EDATE($D7,Milestones!$AA$160),"dd mmm yy"))&amp;" "&amp;Milestones!$AB$160&amp;" "&amp;IF(AND(Milestones!$AB$160="FT",Milestones!$AA$160=FT_Y5,EDATE($D7,Milestones!$AA$160)&lt;PolicyEff),1,Milestones!$AC$160)&amp;";  ","")&amp;IF(AND(EDATE($D7,Milestones!$AA$161)&lt;=AsOfDate,EDATE($D7,Milestones!$AA$161)&gt;=SchemeStart,IF($X7=0,$AD7,IF(AND($Z7&lt;&gt;"",EDATE($D7,Milestones!$AA$161)&gt;=$Z7),$AC7,IF(AND($Y7&lt;&gt;"",EDATE($D7,Milestones!$AA$161)&gt;=$Y7),$AB7,$AA7)))=Milestones!$AB$161),UPPER(TEXT(EDATE($D7,Milestones!$AA$161),"dd mmm yy"))&amp;" "&amp;Milestones!$AB$161&amp;" "&amp;IF(AND(Milestones!$AB$161="FT",Milestones!$AA$161=FT_Y5,EDATE($D7,Milestones!$AA$161)&lt;PolicyEff),1,Milestones!$AC$161)&amp;";  ","")&amp;IF(AND(EDATE($D7,Milestones!$AA$162)&lt;=AsOfDate,EDATE($D7,Milestones!$AA$162)&gt;=SchemeStart,IF($X7=0,$AD7,IF(AND($Z7&lt;&gt;"",EDATE($D7,Milestones!$AA$162)&gt;=$Z7),$AC7,IF(AND($Y7&lt;&gt;"",EDATE($D7,Milestones!$AA$162)&gt;=$Y7),$AB7,$AA7)))=Milestones!$AB$162),UPPER(TEXT(EDATE($D7,Milestones!$AA$162),"dd mmm yy"))&amp;" "&amp;Milestones!$AB$162&amp;" "&amp;IF(AND(Milestones!$AB$162="FT",Milestones!$AA$162=FT_Y5,EDATE($D7,Milestones!$AA$162)&lt;PolicyEff),1,Milestones!$AC$162)&amp;";  ","")&amp;IF(AND(EDATE($D7,Milestones!$AA$163)&lt;=AsOfDate,EDATE($D7,Milestones!$AA$163)&gt;=SchemeStart,IF($X7=0,$AD7,IF(AND($Z7&lt;&gt;"",EDATE($D7,Milestones!$AA$163)&gt;=$Z7),$AC7,IF(AND($Y7&lt;&gt;"",EDATE($D7,Milestones!$AA$163)&gt;=$Y7),$AB7,$AA7)))=Milestones!$AB$163),UPPER(TEXT(EDATE($D7,Milestones!$AA$163),"dd mmm yy"))&amp;" "&amp;Milestones!$AB$163&amp;" "&amp;IF(AND(Milestones!$AB$163="FT",Milestones!$AA$163=FT_Y5,EDATE($D7,Milestones!$AA$163)&lt;PolicyEff),1,Milestones!$AC$163)&amp;";  ",""))</f>
        <v/>
      </c>
      <c r="U7" s="0" t="str">
        <f aca="false">IF(OR($A7="",$D7=""),"",IF(AND(EDATE($D7,Milestones!$AA$164)&lt;=AsOfDate,EDATE($D7,Milestones!$AA$164)&gt;=SchemeStart,IF($X7=0,$AD7,IF(AND($Z7&lt;&gt;"",EDATE($D7,Milestones!$AA$164)&gt;=$Z7),$AC7,IF(AND($Y7&lt;&gt;"",EDATE($D7,Milestones!$AA$164)&gt;=$Y7),$AB7,$AA7)))=Milestones!$AB$164),UPPER(TEXT(EDATE($D7,Milestones!$AA$164),"dd mmm yy"))&amp;" "&amp;Milestones!$AB$164&amp;" "&amp;IF(AND(Milestones!$AB$164="FT",Milestones!$AA$164=FT_Y5,EDATE($D7,Milestones!$AA$164)&lt;PolicyEff),1,Milestones!$AC$164)&amp;";  ","")&amp;IF(AND(EDATE($D7,Milestones!$AA$165)&lt;=AsOfDate,EDATE($D7,Milestones!$AA$165)&gt;=SchemeStart,IF($X7=0,$AD7,IF(AND($Z7&lt;&gt;"",EDATE($D7,Milestones!$AA$165)&gt;=$Z7),$AC7,IF(AND($Y7&lt;&gt;"",EDATE($D7,Milestones!$AA$165)&gt;=$Y7),$AB7,$AA7)))=Milestones!$AB$165),UPPER(TEXT(EDATE($D7,Milestones!$AA$165),"dd mmm yy"))&amp;" "&amp;Milestones!$AB$165&amp;" "&amp;IF(AND(Milestones!$AB$165="FT",Milestones!$AA$165=FT_Y5,EDATE($D7,Milestones!$AA$165)&lt;PolicyEff),1,Milestones!$AC$165)&amp;";  ","")&amp;IF(AND(EDATE($D7,Milestones!$AA$166)&lt;=AsOfDate,EDATE($D7,Milestones!$AA$166)&gt;=SchemeStart,IF($X7=0,$AD7,IF(AND($Z7&lt;&gt;"",EDATE($D7,Milestones!$AA$166)&gt;=$Z7),$AC7,IF(AND($Y7&lt;&gt;"",EDATE($D7,Milestones!$AA$166)&gt;=$Y7),$AB7,$AA7)))=Milestones!$AB$166),UPPER(TEXT(EDATE($D7,Milestones!$AA$166),"dd mmm yy"))&amp;" "&amp;Milestones!$AB$166&amp;" "&amp;IF(AND(Milestones!$AB$166="FT",Milestones!$AA$166=FT_Y5,EDATE($D7,Milestones!$AA$166)&lt;PolicyEff),1,Milestones!$AC$166)&amp;";  ","")&amp;IF(AND(EDATE($D7,Milestones!$AA$167)&lt;=AsOfDate,EDATE($D7,Milestones!$AA$167)&gt;=SchemeStart,IF($X7=0,$AD7,IF(AND($Z7&lt;&gt;"",EDATE($D7,Milestones!$AA$167)&gt;=$Z7),$AC7,IF(AND($Y7&lt;&gt;"",EDATE($D7,Milestones!$AA$167)&gt;=$Y7),$AB7,$AA7)))=Milestones!$AB$167),UPPER(TEXT(EDATE($D7,Milestones!$AA$167),"dd mmm yy"))&amp;" "&amp;Milestones!$AB$167&amp;" "&amp;IF(AND(Milestones!$AB$167="FT",Milestones!$AA$167=FT_Y5,EDATE($D7,Milestones!$AA$167)&lt;PolicyEff),1,Milestones!$AC$167)&amp;";  ","")&amp;IF(AND(EDATE($D7,Milestones!$AA$168)&lt;=AsOfDate,EDATE($D7,Milestones!$AA$168)&gt;=SchemeStart,IF($X7=0,$AD7,IF(AND($Z7&lt;&gt;"",EDATE($D7,Milestones!$AA$168)&gt;=$Z7),$AC7,IF(AND($Y7&lt;&gt;"",EDATE($D7,Milestones!$AA$168)&gt;=$Y7),$AB7,$AA7)))=Milestones!$AB$168),UPPER(TEXT(EDATE($D7,Milestones!$AA$168),"dd mmm yy"))&amp;" "&amp;Milestones!$AB$168&amp;" "&amp;IF(AND(Milestones!$AB$168="FT",Milestones!$AA$168=FT_Y5,EDATE($D7,Milestones!$AA$168)&lt;PolicyEff),1,Milestones!$AC$168)&amp;";  ","")&amp;IF(AND(EDATE($D7,Milestones!$AA$169)&lt;=AsOfDate,EDATE($D7,Milestones!$AA$169)&gt;=SchemeStart,IF($X7=0,$AD7,IF(AND($Z7&lt;&gt;"",EDATE($D7,Milestones!$AA$169)&gt;=$Z7),$AC7,IF(AND($Y7&lt;&gt;"",EDATE($D7,Milestones!$AA$169)&gt;=$Y7),$AB7,$AA7)))=Milestones!$AB$169),UPPER(TEXT(EDATE($D7,Milestones!$AA$169),"dd mmm yy"))&amp;" "&amp;Milestones!$AB$169&amp;" "&amp;IF(AND(Milestones!$AB$169="FT",Milestones!$AA$169=FT_Y5,EDATE($D7,Milestones!$AA$169)&lt;PolicyEff),1,Milestones!$AC$169)&amp;";  ","")&amp;IF(AND(EDATE($D7,Milestones!$AA$170)&lt;=AsOfDate,EDATE($D7,Milestones!$AA$170)&gt;=SchemeStart,IF($X7=0,$AD7,IF(AND($Z7&lt;&gt;"",EDATE($D7,Milestones!$AA$170)&gt;=$Z7),$AC7,IF(AND($Y7&lt;&gt;"",EDATE($D7,Milestones!$AA$170)&gt;=$Y7),$AB7,$AA7)))=Milestones!$AB$170),UPPER(TEXT(EDATE($D7,Milestones!$AA$170),"dd mmm yy"))&amp;" "&amp;Milestones!$AB$170&amp;" "&amp;IF(AND(Milestones!$AB$170="FT",Milestones!$AA$170=FT_Y5,EDATE($D7,Milestones!$AA$170)&lt;PolicyEff),1,Milestones!$AC$170)&amp;";  ","")&amp;IF(AND(EDATE($D7,Milestones!$AA$171)&lt;=AsOfDate,EDATE($D7,Milestones!$AA$171)&gt;=SchemeStart,IF($X7=0,$AD7,IF(AND($Z7&lt;&gt;"",EDATE($D7,Milestones!$AA$171)&gt;=$Z7),$AC7,IF(AND($Y7&lt;&gt;"",EDATE($D7,Milestones!$AA$171)&gt;=$Y7),$AB7,$AA7)))=Milestones!$AB$171),UPPER(TEXT(EDATE($D7,Milestones!$AA$171),"dd mmm yy"))&amp;" "&amp;Milestones!$AB$171&amp;" "&amp;IF(AND(Milestones!$AB$171="FT",Milestones!$AA$171=FT_Y5,EDATE($D7,Milestones!$AA$171)&lt;PolicyEff),1,Milestones!$AC$171)&amp;";  ","")&amp;IF(AND(EDATE($D7,Milestones!$AA$172)&lt;=AsOfDate,EDATE($D7,Milestones!$AA$172)&gt;=SchemeStart,IF($X7=0,$AD7,IF(AND($Z7&lt;&gt;"",EDATE($D7,Milestones!$AA$172)&gt;=$Z7),$AC7,IF(AND($Y7&lt;&gt;"",EDATE($D7,Milestones!$AA$172)&gt;=$Y7),$AB7,$AA7)))=Milestones!$AB$172),UPPER(TEXT(EDATE($D7,Milestones!$AA$172),"dd mmm yy"))&amp;" "&amp;Milestones!$AB$172&amp;" "&amp;IF(AND(Milestones!$AB$172="FT",Milestones!$AA$172=FT_Y5,EDATE($D7,Milestones!$AA$172)&lt;PolicyEff),1,Milestones!$AC$172)&amp;";  ","")&amp;IF(AND(EDATE($D7,Milestones!$AA$173)&lt;=AsOfDate,EDATE($D7,Milestones!$AA$173)&gt;=SchemeStart,IF($X7=0,$AD7,IF(AND($Z7&lt;&gt;"",EDATE($D7,Milestones!$AA$173)&gt;=$Z7),$AC7,IF(AND($Y7&lt;&gt;"",EDATE($D7,Milestones!$AA$173)&gt;=$Y7),$AB7,$AA7)))=Milestones!$AB$173),UPPER(TEXT(EDATE($D7,Milestones!$AA$173),"dd mmm yy"))&amp;" "&amp;Milestones!$AB$173&amp;" "&amp;IF(AND(Milestones!$AB$173="FT",Milestones!$AA$173=FT_Y5,EDATE($D7,Milestones!$AA$173)&lt;PolicyEff),1,Milestones!$AC$173)&amp;";  ","")&amp;IF(AND(EDATE($D7,Milestones!$AA$174)&lt;=AsOfDate,EDATE($D7,Milestones!$AA$174)&gt;=SchemeStart,IF($X7=0,$AD7,IF(AND($Z7&lt;&gt;"",EDATE($D7,Milestones!$AA$174)&gt;=$Z7),$AC7,IF(AND($Y7&lt;&gt;"",EDATE($D7,Milestones!$AA$174)&gt;=$Y7),$AB7,$AA7)))=Milestones!$AB$174),UPPER(TEXT(EDATE($D7,Milestones!$AA$174),"dd mmm yy"))&amp;" "&amp;Milestones!$AB$174&amp;" "&amp;IF(AND(Milestones!$AB$174="FT",Milestones!$AA$174=FT_Y5,EDATE($D7,Milestones!$AA$174)&lt;PolicyEff),1,Milestones!$AC$174)&amp;";  ","")&amp;IF(AND(EDATE($D7,Milestones!$AA$175)&lt;=AsOfDate,EDATE($D7,Milestones!$AA$175)&gt;=SchemeStart,IF($X7=0,$AD7,IF(AND($Z7&lt;&gt;"",EDATE($D7,Milestones!$AA$175)&gt;=$Z7),$AC7,IF(AND($Y7&lt;&gt;"",EDATE($D7,Milestones!$AA$175)&gt;=$Y7),$AB7,$AA7)))=Milestones!$AB$175),UPPER(TEXT(EDATE($D7,Milestones!$AA$175),"dd mmm yy"))&amp;" "&amp;Milestones!$AB$175&amp;" "&amp;IF(AND(Milestones!$AB$175="FT",Milestones!$AA$175=FT_Y5,EDATE($D7,Milestones!$AA$175)&lt;PolicyEff),1,Milestones!$AC$175)&amp;";  ",""))</f>
        <v/>
      </c>
      <c r="V7" s="0" t="str">
        <f aca="false">IF(OR($A7="",$D7=""),"",IF(AND(EDATE($D7,Milestones!$AA$176)&lt;=AsOfDate,EDATE($D7,Milestones!$AA$176)&gt;=SchemeStart,IF($X7=0,$AD7,IF(AND($Z7&lt;&gt;"",EDATE($D7,Milestones!$AA$176)&gt;=$Z7),$AC7,IF(AND($Y7&lt;&gt;"",EDATE($D7,Milestones!$AA$176)&gt;=$Y7),$AB7,$AA7)))=Milestones!$AB$176),UPPER(TEXT(EDATE($D7,Milestones!$AA$176),"dd mmm yy"))&amp;" "&amp;Milestones!$AB$176&amp;" "&amp;IF(AND(Milestones!$AB$176="FT",Milestones!$AA$176=FT_Y5,EDATE($D7,Milestones!$AA$176)&lt;PolicyEff),1,Milestones!$AC$176)&amp;";  ","")&amp;IF(AND(EDATE($D7,Milestones!$AA$177)&lt;=AsOfDate,EDATE($D7,Milestones!$AA$177)&gt;=SchemeStart,IF($X7=0,$AD7,IF(AND($Z7&lt;&gt;"",EDATE($D7,Milestones!$AA$177)&gt;=$Z7),$AC7,IF(AND($Y7&lt;&gt;"",EDATE($D7,Milestones!$AA$177)&gt;=$Y7),$AB7,$AA7)))=Milestones!$AB$177),UPPER(TEXT(EDATE($D7,Milestones!$AA$177),"dd mmm yy"))&amp;" "&amp;Milestones!$AB$177&amp;" "&amp;IF(AND(Milestones!$AB$177="FT",Milestones!$AA$177=FT_Y5,EDATE($D7,Milestones!$AA$177)&lt;PolicyEff),1,Milestones!$AC$177)&amp;";  ","")&amp;IF(AND(EDATE($D7,Milestones!$AA$178)&lt;=AsOfDate,EDATE($D7,Milestones!$AA$178)&gt;=SchemeStart,IF($X7=0,$AD7,IF(AND($Z7&lt;&gt;"",EDATE($D7,Milestones!$AA$178)&gt;=$Z7),$AC7,IF(AND($Y7&lt;&gt;"",EDATE($D7,Milestones!$AA$178)&gt;=$Y7),$AB7,$AA7)))=Milestones!$AB$178),UPPER(TEXT(EDATE($D7,Milestones!$AA$178),"dd mmm yy"))&amp;" "&amp;Milestones!$AB$178&amp;" "&amp;IF(AND(Milestones!$AB$178="FT",Milestones!$AA$178=FT_Y5,EDATE($D7,Milestones!$AA$178)&lt;PolicyEff),1,Milestones!$AC$178)&amp;";  ","")&amp;IF(AND(EDATE($D7,Milestones!$AA$179)&lt;=AsOfDate,EDATE($D7,Milestones!$AA$179)&gt;=SchemeStart,IF($X7=0,$AD7,IF(AND($Z7&lt;&gt;"",EDATE($D7,Milestones!$AA$179)&gt;=$Z7),$AC7,IF(AND($Y7&lt;&gt;"",EDATE($D7,Milestones!$AA$179)&gt;=$Y7),$AB7,$AA7)))=Milestones!$AB$179),UPPER(TEXT(EDATE($D7,Milestones!$AA$179),"dd mmm yy"))&amp;" "&amp;Milestones!$AB$179&amp;" "&amp;IF(AND(Milestones!$AB$179="FT",Milestones!$AA$179=FT_Y5,EDATE($D7,Milestones!$AA$179)&lt;PolicyEff),1,Milestones!$AC$179)&amp;";  ","")&amp;IF(AND(EDATE($D7,Milestones!$AA$180)&lt;=AsOfDate,EDATE($D7,Milestones!$AA$180)&gt;=SchemeStart,IF($X7=0,$AD7,IF(AND($Z7&lt;&gt;"",EDATE($D7,Milestones!$AA$180)&gt;=$Z7),$AC7,IF(AND($Y7&lt;&gt;"",EDATE($D7,Milestones!$AA$180)&gt;=$Y7),$AB7,$AA7)))=Milestones!$AB$180),UPPER(TEXT(EDATE($D7,Milestones!$AA$180),"dd mmm yy"))&amp;" "&amp;Milestones!$AB$180&amp;" "&amp;IF(AND(Milestones!$AB$180="FT",Milestones!$AA$180=FT_Y5,EDATE($D7,Milestones!$AA$180)&lt;PolicyEff),1,Milestones!$AC$180)&amp;";  ","")&amp;IF(AND(EDATE($D7,Milestones!$AA$181)&lt;=AsOfDate,EDATE($D7,Milestones!$AA$181)&gt;=SchemeStart,IF($X7=0,$AD7,IF(AND($Z7&lt;&gt;"",EDATE($D7,Milestones!$AA$181)&gt;=$Z7),$AC7,IF(AND($Y7&lt;&gt;"",EDATE($D7,Milestones!$AA$181)&gt;=$Y7),$AB7,$AA7)))=Milestones!$AB$181),UPPER(TEXT(EDATE($D7,Milestones!$AA$181),"dd mmm yy"))&amp;" "&amp;Milestones!$AB$181&amp;" "&amp;IF(AND(Milestones!$AB$181="FT",Milestones!$AA$181=FT_Y5,EDATE($D7,Milestones!$AA$181)&lt;PolicyEff),1,Milestones!$AC$181)&amp;";  ","")&amp;IF(AND(EDATE($D7,Milestones!$AA$182)&lt;=AsOfDate,EDATE($D7,Milestones!$AA$182)&gt;=SchemeStart,IF($X7=0,$AD7,IF(AND($Z7&lt;&gt;"",EDATE($D7,Milestones!$AA$182)&gt;=$Z7),$AC7,IF(AND($Y7&lt;&gt;"",EDATE($D7,Milestones!$AA$182)&gt;=$Y7),$AB7,$AA7)))=Milestones!$AB$182),UPPER(TEXT(EDATE($D7,Milestones!$AA$182),"dd mmm yy"))&amp;" "&amp;Milestones!$AB$182&amp;" "&amp;IF(AND(Milestones!$AB$182="FT",Milestones!$AA$182=FT_Y5,EDATE($D7,Milestones!$AA$182)&lt;PolicyEff),1,Milestones!$AC$182)&amp;";  ","")&amp;IF(AND(EDATE($D7,Milestones!$AA$183)&lt;=AsOfDate,EDATE($D7,Milestones!$AA$183)&gt;=SchemeStart,IF($X7=0,$AD7,IF(AND($Z7&lt;&gt;"",EDATE($D7,Milestones!$AA$183)&gt;=$Z7),$AC7,IF(AND($Y7&lt;&gt;"",EDATE($D7,Milestones!$AA$183)&gt;=$Y7),$AB7,$AA7)))=Milestones!$AB$183),UPPER(TEXT(EDATE($D7,Milestones!$AA$183),"dd mmm yy"))&amp;" "&amp;Milestones!$AB$183&amp;" "&amp;IF(AND(Milestones!$AB$183="FT",Milestones!$AA$183=FT_Y5,EDATE($D7,Milestones!$AA$183)&lt;PolicyEff),1,Milestones!$AC$183)&amp;";  ","")&amp;IF(AND(EDATE($D7,Milestones!$AA$184)&lt;=AsOfDate,EDATE($D7,Milestones!$AA$184)&gt;=SchemeStart,IF($X7=0,$AD7,IF(AND($Z7&lt;&gt;"",EDATE($D7,Milestones!$AA$184)&gt;=$Z7),$AC7,IF(AND($Y7&lt;&gt;"",EDATE($D7,Milestones!$AA$184)&gt;=$Y7),$AB7,$AA7)))=Milestones!$AB$184),UPPER(TEXT(EDATE($D7,Milestones!$AA$184),"dd mmm yy"))&amp;" "&amp;Milestones!$AB$184&amp;" "&amp;IF(AND(Milestones!$AB$184="FT",Milestones!$AA$184=FT_Y5,EDATE($D7,Milestones!$AA$184)&lt;PolicyEff),1,Milestones!$AC$184)&amp;";  ","")&amp;IF(AND(EDATE($D7,Milestones!$AA$185)&lt;=AsOfDate,EDATE($D7,Milestones!$AA$185)&gt;=SchemeStart,IF($X7=0,$AD7,IF(AND($Z7&lt;&gt;"",EDATE($D7,Milestones!$AA$185)&gt;=$Z7),$AC7,IF(AND($Y7&lt;&gt;"",EDATE($D7,Milestones!$AA$185)&gt;=$Y7),$AB7,$AA7)))=Milestones!$AB$185),UPPER(TEXT(EDATE($D7,Milestones!$AA$185),"dd mmm yy"))&amp;" "&amp;Milestones!$AB$185&amp;" "&amp;IF(AND(Milestones!$AB$185="FT",Milestones!$AA$185=FT_Y5,EDATE($D7,Milestones!$AA$185)&lt;PolicyEff),1,Milestones!$AC$185)&amp;";  ","")&amp;IF(AND(EDATE($D7,Milestones!$AA$186)&lt;=AsOfDate,EDATE($D7,Milestones!$AA$186)&gt;=SchemeStart,IF($X7=0,$AD7,IF(AND($Z7&lt;&gt;"",EDATE($D7,Milestones!$AA$186)&gt;=$Z7),$AC7,IF(AND($Y7&lt;&gt;"",EDATE($D7,Milestones!$AA$186)&gt;=$Y7),$AB7,$AA7)))=Milestones!$AB$186),UPPER(TEXT(EDATE($D7,Milestones!$AA$186),"dd mmm yy"))&amp;" "&amp;Milestones!$AB$186&amp;" "&amp;IF(AND(Milestones!$AB$186="FT",Milestones!$AA$186=FT_Y5,EDATE($D7,Milestones!$AA$186)&lt;PolicyEff),1,Milestones!$AC$186)&amp;";  ","")&amp;IF(AND(EDATE($D7,Milestones!$AA$187)&lt;=AsOfDate,EDATE($D7,Milestones!$AA$187)&gt;=SchemeStart,IF($X7=0,$AD7,IF(AND($Z7&lt;&gt;"",EDATE($D7,Milestones!$AA$187)&gt;=$Z7),$AC7,IF(AND($Y7&lt;&gt;"",EDATE($D7,Milestones!$AA$187)&gt;=$Y7),$AB7,$AA7)))=Milestones!$AB$187),UPPER(TEXT(EDATE($D7,Milestones!$AA$187),"dd mmm yy"))&amp;" "&amp;Milestones!$AB$187&amp;" "&amp;IF(AND(Milestones!$AB$187="FT",Milestones!$AA$187=FT_Y5,EDATE($D7,Milestones!$AA$187)&lt;PolicyEff),1,Milestones!$AC$187)&amp;";  ",""))</f>
        <v/>
      </c>
      <c r="W7" s="0" t="str">
        <f aca="false">IF(OR($A7="",$D7=""),"",IF(AND(EDATE($D7,Milestones!$AA$188)&lt;=AsOfDate,EDATE($D7,Milestones!$AA$188)&gt;=SchemeStart,IF($X7=0,$AD7,IF(AND($Z7&lt;&gt;"",EDATE($D7,Milestones!$AA$188)&gt;=$Z7),$AC7,IF(AND($Y7&lt;&gt;"",EDATE($D7,Milestones!$AA$188)&gt;=$Y7),$AB7,$AA7)))=Milestones!$AB$188),UPPER(TEXT(EDATE($D7,Milestones!$AA$188),"dd mmm yy"))&amp;" "&amp;Milestones!$AB$188&amp;" "&amp;IF(AND(Milestones!$AB$188="FT",Milestones!$AA$188=FT_Y5,EDATE($D7,Milestones!$AA$188)&lt;PolicyEff),1,Milestones!$AC$188)&amp;";  ","")&amp;IF(AND(EDATE($D7,Milestones!$AA$189)&lt;=AsOfDate,EDATE($D7,Milestones!$AA$189)&gt;=SchemeStart,IF($X7=0,$AD7,IF(AND($Z7&lt;&gt;"",EDATE($D7,Milestones!$AA$189)&gt;=$Z7),$AC7,IF(AND($Y7&lt;&gt;"",EDATE($D7,Milestones!$AA$189)&gt;=$Y7),$AB7,$AA7)))=Milestones!$AB$189),UPPER(TEXT(EDATE($D7,Milestones!$AA$189),"dd mmm yy"))&amp;" "&amp;Milestones!$AB$189&amp;" "&amp;IF(AND(Milestones!$AB$189="FT",Milestones!$AA$189=FT_Y5,EDATE($D7,Milestones!$AA$189)&lt;PolicyEff),1,Milestones!$AC$189)&amp;";  ","")&amp;IF(AND(EDATE($D7,Milestones!$AA$190)&lt;=AsOfDate,EDATE($D7,Milestones!$AA$190)&gt;=SchemeStart,IF($X7=0,$AD7,IF(AND($Z7&lt;&gt;"",EDATE($D7,Milestones!$AA$190)&gt;=$Z7),$AC7,IF(AND($Y7&lt;&gt;"",EDATE($D7,Milestones!$AA$190)&gt;=$Y7),$AB7,$AA7)))=Milestones!$AB$190),UPPER(TEXT(EDATE($D7,Milestones!$AA$190),"dd mmm yy"))&amp;" "&amp;Milestones!$AB$190&amp;" "&amp;IF(AND(Milestones!$AB$190="FT",Milestones!$AA$190=FT_Y5,EDATE($D7,Milestones!$AA$190)&lt;PolicyEff),1,Milestones!$AC$190)&amp;";  ","")&amp;IF(AND(EDATE($D7,Milestones!$AA$191)&lt;=AsOfDate,EDATE($D7,Milestones!$AA$191)&gt;=SchemeStart,IF($X7=0,$AD7,IF(AND($Z7&lt;&gt;"",EDATE($D7,Milestones!$AA$191)&gt;=$Z7),$AC7,IF(AND($Y7&lt;&gt;"",EDATE($D7,Milestones!$AA$191)&gt;=$Y7),$AB7,$AA7)))=Milestones!$AB$191),UPPER(TEXT(EDATE($D7,Milestones!$AA$191),"dd mmm yy"))&amp;" "&amp;Milestones!$AB$191&amp;" "&amp;IF(AND(Milestones!$AB$191="FT",Milestones!$AA$191=FT_Y5,EDATE($D7,Milestones!$AA$191)&lt;PolicyEff),1,Milestones!$AC$191)&amp;";  ","")&amp;IF(AND(EDATE($D7,Milestones!$AA$192)&lt;=AsOfDate,EDATE($D7,Milestones!$AA$192)&gt;=SchemeStart,IF($X7=0,$AD7,IF(AND($Z7&lt;&gt;"",EDATE($D7,Milestones!$AA$192)&gt;=$Z7),$AC7,IF(AND($Y7&lt;&gt;"",EDATE($D7,Milestones!$AA$192)&gt;=$Y7),$AB7,$AA7)))=Milestones!$AB$192),UPPER(TEXT(EDATE($D7,Milestones!$AA$192),"dd mmm yy"))&amp;" "&amp;Milestones!$AB$192&amp;" "&amp;IF(AND(Milestones!$AB$192="FT",Milestones!$AA$192=FT_Y5,EDATE($D7,Milestones!$AA$192)&lt;PolicyEff),1,Milestones!$AC$192)&amp;";  ","")&amp;IF(AND(EDATE($D7,Milestones!$AA$193)&lt;=AsOfDate,EDATE($D7,Milestones!$AA$193)&gt;=SchemeStart,IF($X7=0,$AD7,IF(AND($Z7&lt;&gt;"",EDATE($D7,Milestones!$AA$193)&gt;=$Z7),$AC7,IF(AND($Y7&lt;&gt;"",EDATE($D7,Milestones!$AA$193)&gt;=$Y7),$AB7,$AA7)))=Milestones!$AB$193),UPPER(TEXT(EDATE($D7,Milestones!$AA$193),"dd mmm yy"))&amp;" "&amp;Milestones!$AB$193&amp;" "&amp;IF(AND(Milestones!$AB$193="FT",Milestones!$AA$193=FT_Y5,EDATE($D7,Milestones!$AA$193)&lt;PolicyEff),1,Milestones!$AC$193)&amp;";  ","")&amp;IF(AND(EDATE($D7,Milestones!$AA$194)&lt;=AsOfDate,EDATE($D7,Milestones!$AA$194)&gt;=SchemeStart,IF($X7=0,$AD7,IF(AND($Z7&lt;&gt;"",EDATE($D7,Milestones!$AA$194)&gt;=$Z7),$AC7,IF(AND($Y7&lt;&gt;"",EDATE($D7,Milestones!$AA$194)&gt;=$Y7),$AB7,$AA7)))=Milestones!$AB$194),UPPER(TEXT(EDATE($D7,Milestones!$AA$194),"dd mmm yy"))&amp;" "&amp;Milestones!$AB$194&amp;" "&amp;IF(AND(Milestones!$AB$194="FT",Milestones!$AA$194=FT_Y5,EDATE($D7,Milestones!$AA$194)&lt;PolicyEff),1,Milestones!$AC$194)&amp;";  ","")&amp;IF(AND(EDATE($D7,Milestones!$AA$195)&lt;=AsOfDate,EDATE($D7,Milestones!$AA$195)&gt;=SchemeStart,IF($X7=0,$AD7,IF(AND($Z7&lt;&gt;"",EDATE($D7,Milestones!$AA$195)&gt;=$Z7),$AC7,IF(AND($Y7&lt;&gt;"",EDATE($D7,Milestones!$AA$195)&gt;=$Y7),$AB7,$AA7)))=Milestones!$AB$195),UPPER(TEXT(EDATE($D7,Milestones!$AA$195),"dd mmm yy"))&amp;" "&amp;Milestones!$AB$195&amp;" "&amp;IF(AND(Milestones!$AB$195="FT",Milestones!$AA$195=FT_Y5,EDATE($D7,Milestones!$AA$195)&lt;PolicyEff),1,Milestones!$AC$195)&amp;";  ","")&amp;IF(AND(EDATE($D7,Milestones!$AA$196)&lt;=AsOfDate,EDATE($D7,Milestones!$AA$196)&gt;=SchemeStart,IF($X7=0,$AD7,IF(AND($Z7&lt;&gt;"",EDATE($D7,Milestones!$AA$196)&gt;=$Z7),$AC7,IF(AND($Y7&lt;&gt;"",EDATE($D7,Milestones!$AA$196)&gt;=$Y7),$AB7,$AA7)))=Milestones!$AB$196),UPPER(TEXT(EDATE($D7,Milestones!$AA$196),"dd mmm yy"))&amp;" "&amp;Milestones!$AB$196&amp;" "&amp;IF(AND(Milestones!$AB$196="FT",Milestones!$AA$196=FT_Y5,EDATE($D7,Milestones!$AA$196)&lt;PolicyEff),1,Milestones!$AC$196)&amp;";  ","")&amp;IF(AND(EDATE($D7,Milestones!$AA$197)&lt;=AsOfDate,EDATE($D7,Milestones!$AA$197)&gt;=SchemeStart,IF($X7=0,$AD7,IF(AND($Z7&lt;&gt;"",EDATE($D7,Milestones!$AA$197)&gt;=$Z7),$AC7,IF(AND($Y7&lt;&gt;"",EDATE($D7,Milestones!$AA$197)&gt;=$Y7),$AB7,$AA7)))=Milestones!$AB$197),UPPER(TEXT(EDATE($D7,Milestones!$AA$197),"dd mmm yy"))&amp;" "&amp;Milestones!$AB$197&amp;" "&amp;IF(AND(Milestones!$AB$197="FT",Milestones!$AA$197=FT_Y5,EDATE($D7,Milestones!$AA$197)&lt;PolicyEff),1,Milestones!$AC$197)&amp;";  ","")&amp;IF(AND(EDATE($D7,Milestones!$AA$198)&lt;=AsOfDate,EDATE($D7,Milestones!$AA$198)&gt;=SchemeStart,IF($X7=0,$AD7,IF(AND($Z7&lt;&gt;"",EDATE($D7,Milestones!$AA$198)&gt;=$Z7),$AC7,IF(AND($Y7&lt;&gt;"",EDATE($D7,Milestones!$AA$198)&gt;=$Y7),$AB7,$AA7)))=Milestones!$AB$198),UPPER(TEXT(EDATE($D7,Milestones!$AA$198),"dd mmm yy"))&amp;" "&amp;Milestones!$AB$198&amp;" "&amp;IF(AND(Milestones!$AB$198="FT",Milestones!$AA$198=FT_Y5,EDATE($D7,Milestones!$AA$198)&lt;PolicyEff),1,Milestones!$AC$198)&amp;";  ","")&amp;IF(AND(EDATE($D7,Milestones!$AA$199)&lt;=AsOfDate,EDATE($D7,Milestones!$AA$199)&gt;=SchemeStart,IF($X7=0,$AD7,IF(AND($Z7&lt;&gt;"",EDATE($D7,Milestones!$AA$199)&gt;=$Z7),$AC7,IF(AND($Y7&lt;&gt;"",EDATE($D7,Milestones!$AA$199)&gt;=$Y7),$AB7,$AA7)))=Milestones!$AB$199),UPPER(TEXT(EDATE($D7,Milestones!$AA$199),"dd mmm yy"))&amp;" "&amp;Milestones!$AB$199&amp;" "&amp;IF(AND(Milestones!$AB$199="FT",Milestones!$AA$199=FT_Y5,EDATE($D7,Milestones!$AA$199)&lt;PolicyEff),1,Milestones!$AC$199)&amp;";  ",""))</f>
        <v/>
      </c>
      <c r="X7" s="0" t="str">
        <f aca="false">IF(Staff!$A7="","",Staff!$AM7)</f>
        <v/>
      </c>
      <c r="Y7" s="0" t="str">
        <f aca="false">IF(Staff!$A7="","",Staff!$AO7)</f>
        <v/>
      </c>
      <c r="Z7" s="0" t="str">
        <f aca="false">IF(Staff!$A7="","",Staff!$AP7)</f>
        <v/>
      </c>
      <c r="AA7" s="0" t="str">
        <f aca="false">IF(Staff!$A7="","",Staff!$AT7)</f>
        <v/>
      </c>
      <c r="AB7" s="0" t="str">
        <f aca="false">IF(Staff!$A7="","",Staff!$AU7)</f>
        <v/>
      </c>
      <c r="AC7" s="0" t="str">
        <f aca="false">IF(Staff!$A7="","",Staff!$AV7)</f>
        <v/>
      </c>
      <c r="AD7" s="0" t="str">
        <f aca="false">IF(Staff!$A7="","",Staff!$AW7)</f>
        <v/>
      </c>
    </row>
    <row r="8" customFormat="false" ht="15" hidden="false" customHeight="false" outlineLevel="0" collapsed="false">
      <c r="A8" s="16" t="str">
        <f aca="false">IF(Staff!$A8="","",Staff!$A8)</f>
        <v/>
      </c>
      <c r="B8" s="16" t="str">
        <f aca="false">IF(Staff!$A8="","",Staff!$B8)</f>
        <v/>
      </c>
      <c r="C8" s="16" t="str">
        <f aca="false">IF(Staff!$A8="","",Staff!$C8)</f>
        <v/>
      </c>
      <c r="D8" s="14" t="str">
        <f aca="false">IF(Staff!$A8="","",Staff!$AL8)</f>
        <v/>
      </c>
      <c r="E8" s="16" t="str">
        <f aca="false">IF(Staff!$A8="","",Staff!$O8)</f>
        <v/>
      </c>
      <c r="F8" s="16" t="str">
        <f aca="false">IF(E8="","",E8*HoursPerDay)</f>
        <v/>
      </c>
      <c r="G8" s="16" t="str">
        <f aca="false">IF(Staff!$A8="","",Staff!$AE8)</f>
        <v/>
      </c>
      <c r="H8" s="28" t="str">
        <f aca="false">IF($A8="","",I8&amp;J8&amp;K8&amp;L8&amp;M8&amp;N8&amp;O8&amp;P8&amp;Q8&amp;R8&amp;S8&amp;T8&amp;U8&amp;V8&amp;W8)</f>
        <v/>
      </c>
      <c r="I8" s="0" t="str">
        <f aca="false">IF(OR($A8="",$D8=""),"",IF(AND(EDATE($D8,Milestones!$AA$20)&lt;=AsOfDate,EDATE($D8,Milestones!$AA$20)&gt;=SchemeStart,IF($X8=0,$AD8,IF(AND($Z8&lt;&gt;"",EDATE($D8,Milestones!$AA$20)&gt;=$Z8),$AC8,IF(AND($Y8&lt;&gt;"",EDATE($D8,Milestones!$AA$20)&gt;=$Y8),$AB8,$AA8)))=Milestones!$AB$20),UPPER(TEXT(EDATE($D8,Milestones!$AA$20),"dd mmm yy"))&amp;" "&amp;Milestones!$AB$20&amp;" "&amp;IF(AND(Milestones!$AB$20="FT",Milestones!$AA$20=FT_Y5,EDATE($D8,Milestones!$AA$20)&lt;PolicyEff),1,Milestones!$AC$20)&amp;";  ","")&amp;IF(AND(EDATE($D8,Milestones!$AA$21)&lt;=AsOfDate,EDATE($D8,Milestones!$AA$21)&gt;=SchemeStart,IF($X8=0,$AD8,IF(AND($Z8&lt;&gt;"",EDATE($D8,Milestones!$AA$21)&gt;=$Z8),$AC8,IF(AND($Y8&lt;&gt;"",EDATE($D8,Milestones!$AA$21)&gt;=$Y8),$AB8,$AA8)))=Milestones!$AB$21),UPPER(TEXT(EDATE($D8,Milestones!$AA$21),"dd mmm yy"))&amp;" "&amp;Milestones!$AB$21&amp;" "&amp;IF(AND(Milestones!$AB$21="FT",Milestones!$AA$21=FT_Y5,EDATE($D8,Milestones!$AA$21)&lt;PolicyEff),1,Milestones!$AC$21)&amp;";  ","")&amp;IF(AND(EDATE($D8,Milestones!$AA$22)&lt;=AsOfDate,EDATE($D8,Milestones!$AA$22)&gt;=SchemeStart,IF($X8=0,$AD8,IF(AND($Z8&lt;&gt;"",EDATE($D8,Milestones!$AA$22)&gt;=$Z8),$AC8,IF(AND($Y8&lt;&gt;"",EDATE($D8,Milestones!$AA$22)&gt;=$Y8),$AB8,$AA8)))=Milestones!$AB$22),UPPER(TEXT(EDATE($D8,Milestones!$AA$22),"dd mmm yy"))&amp;" "&amp;Milestones!$AB$22&amp;" "&amp;IF(AND(Milestones!$AB$22="FT",Milestones!$AA$22=FT_Y5,EDATE($D8,Milestones!$AA$22)&lt;PolicyEff),1,Milestones!$AC$22)&amp;";  ","")&amp;IF(AND(EDATE($D8,Milestones!$AA$23)&lt;=AsOfDate,EDATE($D8,Milestones!$AA$23)&gt;=SchemeStart,IF($X8=0,$AD8,IF(AND($Z8&lt;&gt;"",EDATE($D8,Milestones!$AA$23)&gt;=$Z8),$AC8,IF(AND($Y8&lt;&gt;"",EDATE($D8,Milestones!$AA$23)&gt;=$Y8),$AB8,$AA8)))=Milestones!$AB$23),UPPER(TEXT(EDATE($D8,Milestones!$AA$23),"dd mmm yy"))&amp;" "&amp;Milestones!$AB$23&amp;" "&amp;IF(AND(Milestones!$AB$23="FT",Milestones!$AA$23=FT_Y5,EDATE($D8,Milestones!$AA$23)&lt;PolicyEff),1,Milestones!$AC$23)&amp;";  ","")&amp;IF(AND(EDATE($D8,Milestones!$AA$24)&lt;=AsOfDate,EDATE($D8,Milestones!$AA$24)&gt;=SchemeStart,IF($X8=0,$AD8,IF(AND($Z8&lt;&gt;"",EDATE($D8,Milestones!$AA$24)&gt;=$Z8),$AC8,IF(AND($Y8&lt;&gt;"",EDATE($D8,Milestones!$AA$24)&gt;=$Y8),$AB8,$AA8)))=Milestones!$AB$24),UPPER(TEXT(EDATE($D8,Milestones!$AA$24),"dd mmm yy"))&amp;" "&amp;Milestones!$AB$24&amp;" "&amp;IF(AND(Milestones!$AB$24="FT",Milestones!$AA$24=FT_Y5,EDATE($D8,Milestones!$AA$24)&lt;PolicyEff),1,Milestones!$AC$24)&amp;";  ","")&amp;IF(AND(EDATE($D8,Milestones!$AA$25)&lt;=AsOfDate,EDATE($D8,Milestones!$AA$25)&gt;=SchemeStart,IF($X8=0,$AD8,IF(AND($Z8&lt;&gt;"",EDATE($D8,Milestones!$AA$25)&gt;=$Z8),$AC8,IF(AND($Y8&lt;&gt;"",EDATE($D8,Milestones!$AA$25)&gt;=$Y8),$AB8,$AA8)))=Milestones!$AB$25),UPPER(TEXT(EDATE($D8,Milestones!$AA$25),"dd mmm yy"))&amp;" "&amp;Milestones!$AB$25&amp;" "&amp;IF(AND(Milestones!$AB$25="FT",Milestones!$AA$25=FT_Y5,EDATE($D8,Milestones!$AA$25)&lt;PolicyEff),1,Milestones!$AC$25)&amp;";  ","")&amp;IF(AND(EDATE($D8,Milestones!$AA$26)&lt;=AsOfDate,EDATE($D8,Milestones!$AA$26)&gt;=SchemeStart,IF($X8=0,$AD8,IF(AND($Z8&lt;&gt;"",EDATE($D8,Milestones!$AA$26)&gt;=$Z8),$AC8,IF(AND($Y8&lt;&gt;"",EDATE($D8,Milestones!$AA$26)&gt;=$Y8),$AB8,$AA8)))=Milestones!$AB$26),UPPER(TEXT(EDATE($D8,Milestones!$AA$26),"dd mmm yy"))&amp;" "&amp;Milestones!$AB$26&amp;" "&amp;IF(AND(Milestones!$AB$26="FT",Milestones!$AA$26=FT_Y5,EDATE($D8,Milestones!$AA$26)&lt;PolicyEff),1,Milestones!$AC$26)&amp;";  ","")&amp;IF(AND(EDATE($D8,Milestones!$AA$27)&lt;=AsOfDate,EDATE($D8,Milestones!$AA$27)&gt;=SchemeStart,IF($X8=0,$AD8,IF(AND($Z8&lt;&gt;"",EDATE($D8,Milestones!$AA$27)&gt;=$Z8),$AC8,IF(AND($Y8&lt;&gt;"",EDATE($D8,Milestones!$AA$27)&gt;=$Y8),$AB8,$AA8)))=Milestones!$AB$27),UPPER(TEXT(EDATE($D8,Milestones!$AA$27),"dd mmm yy"))&amp;" "&amp;Milestones!$AB$27&amp;" "&amp;IF(AND(Milestones!$AB$27="FT",Milestones!$AA$27=FT_Y5,EDATE($D8,Milestones!$AA$27)&lt;PolicyEff),1,Milestones!$AC$27)&amp;";  ","")&amp;IF(AND(EDATE($D8,Milestones!$AA$28)&lt;=AsOfDate,EDATE($D8,Milestones!$AA$28)&gt;=SchemeStart,IF($X8=0,$AD8,IF(AND($Z8&lt;&gt;"",EDATE($D8,Milestones!$AA$28)&gt;=$Z8),$AC8,IF(AND($Y8&lt;&gt;"",EDATE($D8,Milestones!$AA$28)&gt;=$Y8),$AB8,$AA8)))=Milestones!$AB$28),UPPER(TEXT(EDATE($D8,Milestones!$AA$28),"dd mmm yy"))&amp;" "&amp;Milestones!$AB$28&amp;" "&amp;IF(AND(Milestones!$AB$28="FT",Milestones!$AA$28=FT_Y5,EDATE($D8,Milestones!$AA$28)&lt;PolicyEff),1,Milestones!$AC$28)&amp;";  ","")&amp;IF(AND(EDATE($D8,Milestones!$AA$29)&lt;=AsOfDate,EDATE($D8,Milestones!$AA$29)&gt;=SchemeStart,IF($X8=0,$AD8,IF(AND($Z8&lt;&gt;"",EDATE($D8,Milestones!$AA$29)&gt;=$Z8),$AC8,IF(AND($Y8&lt;&gt;"",EDATE($D8,Milestones!$AA$29)&gt;=$Y8),$AB8,$AA8)))=Milestones!$AB$29),UPPER(TEXT(EDATE($D8,Milestones!$AA$29),"dd mmm yy"))&amp;" "&amp;Milestones!$AB$29&amp;" "&amp;IF(AND(Milestones!$AB$29="FT",Milestones!$AA$29=FT_Y5,EDATE($D8,Milestones!$AA$29)&lt;PolicyEff),1,Milestones!$AC$29)&amp;";  ","")&amp;IF(AND(EDATE($D8,Milestones!$AA$30)&lt;=AsOfDate,EDATE($D8,Milestones!$AA$30)&gt;=SchemeStart,IF($X8=0,$AD8,IF(AND($Z8&lt;&gt;"",EDATE($D8,Milestones!$AA$30)&gt;=$Z8),$AC8,IF(AND($Y8&lt;&gt;"",EDATE($D8,Milestones!$AA$30)&gt;=$Y8),$AB8,$AA8)))=Milestones!$AB$30),UPPER(TEXT(EDATE($D8,Milestones!$AA$30),"dd mmm yy"))&amp;" "&amp;Milestones!$AB$30&amp;" "&amp;IF(AND(Milestones!$AB$30="FT",Milestones!$AA$30=FT_Y5,EDATE($D8,Milestones!$AA$30)&lt;PolicyEff),1,Milestones!$AC$30)&amp;";  ","")&amp;IF(AND(EDATE($D8,Milestones!$AA$31)&lt;=AsOfDate,EDATE($D8,Milestones!$AA$31)&gt;=SchemeStart,IF($X8=0,$AD8,IF(AND($Z8&lt;&gt;"",EDATE($D8,Milestones!$AA$31)&gt;=$Z8),$AC8,IF(AND($Y8&lt;&gt;"",EDATE($D8,Milestones!$AA$31)&gt;=$Y8),$AB8,$AA8)))=Milestones!$AB$31),UPPER(TEXT(EDATE($D8,Milestones!$AA$31),"dd mmm yy"))&amp;" "&amp;Milestones!$AB$31&amp;" "&amp;IF(AND(Milestones!$AB$31="FT",Milestones!$AA$31=FT_Y5,EDATE($D8,Milestones!$AA$31)&lt;PolicyEff),1,Milestones!$AC$31)&amp;";  ",""))</f>
        <v/>
      </c>
      <c r="J8" s="0" t="str">
        <f aca="false">IF(OR($A8="",$D8=""),"",IF(AND(EDATE($D8,Milestones!$AA$32)&lt;=AsOfDate,EDATE($D8,Milestones!$AA$32)&gt;=SchemeStart,IF($X8=0,$AD8,IF(AND($Z8&lt;&gt;"",EDATE($D8,Milestones!$AA$32)&gt;=$Z8),$AC8,IF(AND($Y8&lt;&gt;"",EDATE($D8,Milestones!$AA$32)&gt;=$Y8),$AB8,$AA8)))=Milestones!$AB$32),UPPER(TEXT(EDATE($D8,Milestones!$AA$32),"dd mmm yy"))&amp;" "&amp;Milestones!$AB$32&amp;" "&amp;IF(AND(Milestones!$AB$32="FT",Milestones!$AA$32=FT_Y5,EDATE($D8,Milestones!$AA$32)&lt;PolicyEff),1,Milestones!$AC$32)&amp;";  ","")&amp;IF(AND(EDATE($D8,Milestones!$AA$33)&lt;=AsOfDate,EDATE($D8,Milestones!$AA$33)&gt;=SchemeStart,IF($X8=0,$AD8,IF(AND($Z8&lt;&gt;"",EDATE($D8,Milestones!$AA$33)&gt;=$Z8),$AC8,IF(AND($Y8&lt;&gt;"",EDATE($D8,Milestones!$AA$33)&gt;=$Y8),$AB8,$AA8)))=Milestones!$AB$33),UPPER(TEXT(EDATE($D8,Milestones!$AA$33),"dd mmm yy"))&amp;" "&amp;Milestones!$AB$33&amp;" "&amp;IF(AND(Milestones!$AB$33="FT",Milestones!$AA$33=FT_Y5,EDATE($D8,Milestones!$AA$33)&lt;PolicyEff),1,Milestones!$AC$33)&amp;";  ","")&amp;IF(AND(EDATE($D8,Milestones!$AA$34)&lt;=AsOfDate,EDATE($D8,Milestones!$AA$34)&gt;=SchemeStart,IF($X8=0,$AD8,IF(AND($Z8&lt;&gt;"",EDATE($D8,Milestones!$AA$34)&gt;=$Z8),$AC8,IF(AND($Y8&lt;&gt;"",EDATE($D8,Milestones!$AA$34)&gt;=$Y8),$AB8,$AA8)))=Milestones!$AB$34),UPPER(TEXT(EDATE($D8,Milestones!$AA$34),"dd mmm yy"))&amp;" "&amp;Milestones!$AB$34&amp;" "&amp;IF(AND(Milestones!$AB$34="FT",Milestones!$AA$34=FT_Y5,EDATE($D8,Milestones!$AA$34)&lt;PolicyEff),1,Milestones!$AC$34)&amp;";  ","")&amp;IF(AND(EDATE($D8,Milestones!$AA$35)&lt;=AsOfDate,EDATE($D8,Milestones!$AA$35)&gt;=SchemeStart,IF($X8=0,$AD8,IF(AND($Z8&lt;&gt;"",EDATE($D8,Milestones!$AA$35)&gt;=$Z8),$AC8,IF(AND($Y8&lt;&gt;"",EDATE($D8,Milestones!$AA$35)&gt;=$Y8),$AB8,$AA8)))=Milestones!$AB$35),UPPER(TEXT(EDATE($D8,Milestones!$AA$35),"dd mmm yy"))&amp;" "&amp;Milestones!$AB$35&amp;" "&amp;IF(AND(Milestones!$AB$35="FT",Milestones!$AA$35=FT_Y5,EDATE($D8,Milestones!$AA$35)&lt;PolicyEff),1,Milestones!$AC$35)&amp;";  ","")&amp;IF(AND(EDATE($D8,Milestones!$AA$36)&lt;=AsOfDate,EDATE($D8,Milestones!$AA$36)&gt;=SchemeStart,IF($X8=0,$AD8,IF(AND($Z8&lt;&gt;"",EDATE($D8,Milestones!$AA$36)&gt;=$Z8),$AC8,IF(AND($Y8&lt;&gt;"",EDATE($D8,Milestones!$AA$36)&gt;=$Y8),$AB8,$AA8)))=Milestones!$AB$36),UPPER(TEXT(EDATE($D8,Milestones!$AA$36),"dd mmm yy"))&amp;" "&amp;Milestones!$AB$36&amp;" "&amp;IF(AND(Milestones!$AB$36="FT",Milestones!$AA$36=FT_Y5,EDATE($D8,Milestones!$AA$36)&lt;PolicyEff),1,Milestones!$AC$36)&amp;";  ","")&amp;IF(AND(EDATE($D8,Milestones!$AA$37)&lt;=AsOfDate,EDATE($D8,Milestones!$AA$37)&gt;=SchemeStart,IF($X8=0,$AD8,IF(AND($Z8&lt;&gt;"",EDATE($D8,Milestones!$AA$37)&gt;=$Z8),$AC8,IF(AND($Y8&lt;&gt;"",EDATE($D8,Milestones!$AA$37)&gt;=$Y8),$AB8,$AA8)))=Milestones!$AB$37),UPPER(TEXT(EDATE($D8,Milestones!$AA$37),"dd mmm yy"))&amp;" "&amp;Milestones!$AB$37&amp;" "&amp;IF(AND(Milestones!$AB$37="FT",Milestones!$AA$37=FT_Y5,EDATE($D8,Milestones!$AA$37)&lt;PolicyEff),1,Milestones!$AC$37)&amp;";  ","")&amp;IF(AND(EDATE($D8,Milestones!$AA$38)&lt;=AsOfDate,EDATE($D8,Milestones!$AA$38)&gt;=SchemeStart,IF($X8=0,$AD8,IF(AND($Z8&lt;&gt;"",EDATE($D8,Milestones!$AA$38)&gt;=$Z8),$AC8,IF(AND($Y8&lt;&gt;"",EDATE($D8,Milestones!$AA$38)&gt;=$Y8),$AB8,$AA8)))=Milestones!$AB$38),UPPER(TEXT(EDATE($D8,Milestones!$AA$38),"dd mmm yy"))&amp;" "&amp;Milestones!$AB$38&amp;" "&amp;IF(AND(Milestones!$AB$38="FT",Milestones!$AA$38=FT_Y5,EDATE($D8,Milestones!$AA$38)&lt;PolicyEff),1,Milestones!$AC$38)&amp;";  ","")&amp;IF(AND(EDATE($D8,Milestones!$AA$39)&lt;=AsOfDate,EDATE($D8,Milestones!$AA$39)&gt;=SchemeStart,IF($X8=0,$AD8,IF(AND($Z8&lt;&gt;"",EDATE($D8,Milestones!$AA$39)&gt;=$Z8),$AC8,IF(AND($Y8&lt;&gt;"",EDATE($D8,Milestones!$AA$39)&gt;=$Y8),$AB8,$AA8)))=Milestones!$AB$39),UPPER(TEXT(EDATE($D8,Milestones!$AA$39),"dd mmm yy"))&amp;" "&amp;Milestones!$AB$39&amp;" "&amp;IF(AND(Milestones!$AB$39="FT",Milestones!$AA$39=FT_Y5,EDATE($D8,Milestones!$AA$39)&lt;PolicyEff),1,Milestones!$AC$39)&amp;";  ","")&amp;IF(AND(EDATE($D8,Milestones!$AA$40)&lt;=AsOfDate,EDATE($D8,Milestones!$AA$40)&gt;=SchemeStart,IF($X8=0,$AD8,IF(AND($Z8&lt;&gt;"",EDATE($D8,Milestones!$AA$40)&gt;=$Z8),$AC8,IF(AND($Y8&lt;&gt;"",EDATE($D8,Milestones!$AA$40)&gt;=$Y8),$AB8,$AA8)))=Milestones!$AB$40),UPPER(TEXT(EDATE($D8,Milestones!$AA$40),"dd mmm yy"))&amp;" "&amp;Milestones!$AB$40&amp;" "&amp;IF(AND(Milestones!$AB$40="FT",Milestones!$AA$40=FT_Y5,EDATE($D8,Milestones!$AA$40)&lt;PolicyEff),1,Milestones!$AC$40)&amp;";  ","")&amp;IF(AND(EDATE($D8,Milestones!$AA$41)&lt;=AsOfDate,EDATE($D8,Milestones!$AA$41)&gt;=SchemeStart,IF($X8=0,$AD8,IF(AND($Z8&lt;&gt;"",EDATE($D8,Milestones!$AA$41)&gt;=$Z8),$AC8,IF(AND($Y8&lt;&gt;"",EDATE($D8,Milestones!$AA$41)&gt;=$Y8),$AB8,$AA8)))=Milestones!$AB$41),UPPER(TEXT(EDATE($D8,Milestones!$AA$41),"dd mmm yy"))&amp;" "&amp;Milestones!$AB$41&amp;" "&amp;IF(AND(Milestones!$AB$41="FT",Milestones!$AA$41=FT_Y5,EDATE($D8,Milestones!$AA$41)&lt;PolicyEff),1,Milestones!$AC$41)&amp;";  ","")&amp;IF(AND(EDATE($D8,Milestones!$AA$42)&lt;=AsOfDate,EDATE($D8,Milestones!$AA$42)&gt;=SchemeStart,IF($X8=0,$AD8,IF(AND($Z8&lt;&gt;"",EDATE($D8,Milestones!$AA$42)&gt;=$Z8),$AC8,IF(AND($Y8&lt;&gt;"",EDATE($D8,Milestones!$AA$42)&gt;=$Y8),$AB8,$AA8)))=Milestones!$AB$42),UPPER(TEXT(EDATE($D8,Milestones!$AA$42),"dd mmm yy"))&amp;" "&amp;Milestones!$AB$42&amp;" "&amp;IF(AND(Milestones!$AB$42="FT",Milestones!$AA$42=FT_Y5,EDATE($D8,Milestones!$AA$42)&lt;PolicyEff),1,Milestones!$AC$42)&amp;";  ","")&amp;IF(AND(EDATE($D8,Milestones!$AA$43)&lt;=AsOfDate,EDATE($D8,Milestones!$AA$43)&gt;=SchemeStart,IF($X8=0,$AD8,IF(AND($Z8&lt;&gt;"",EDATE($D8,Milestones!$AA$43)&gt;=$Z8),$AC8,IF(AND($Y8&lt;&gt;"",EDATE($D8,Milestones!$AA$43)&gt;=$Y8),$AB8,$AA8)))=Milestones!$AB$43),UPPER(TEXT(EDATE($D8,Milestones!$AA$43),"dd mmm yy"))&amp;" "&amp;Milestones!$AB$43&amp;" "&amp;IF(AND(Milestones!$AB$43="FT",Milestones!$AA$43=FT_Y5,EDATE($D8,Milestones!$AA$43)&lt;PolicyEff),1,Milestones!$AC$43)&amp;";  ",""))</f>
        <v/>
      </c>
      <c r="K8" s="0" t="str">
        <f aca="false">IF(OR($A8="",$D8=""),"",IF(AND(EDATE($D8,Milestones!$AA$44)&lt;=AsOfDate,EDATE($D8,Milestones!$AA$44)&gt;=SchemeStart,IF($X8=0,$AD8,IF(AND($Z8&lt;&gt;"",EDATE($D8,Milestones!$AA$44)&gt;=$Z8),$AC8,IF(AND($Y8&lt;&gt;"",EDATE($D8,Milestones!$AA$44)&gt;=$Y8),$AB8,$AA8)))=Milestones!$AB$44),UPPER(TEXT(EDATE($D8,Milestones!$AA$44),"dd mmm yy"))&amp;" "&amp;Milestones!$AB$44&amp;" "&amp;IF(AND(Milestones!$AB$44="FT",Milestones!$AA$44=FT_Y5,EDATE($D8,Milestones!$AA$44)&lt;PolicyEff),1,Milestones!$AC$44)&amp;";  ","")&amp;IF(AND(EDATE($D8,Milestones!$AA$45)&lt;=AsOfDate,EDATE($D8,Milestones!$AA$45)&gt;=SchemeStart,IF($X8=0,$AD8,IF(AND($Z8&lt;&gt;"",EDATE($D8,Milestones!$AA$45)&gt;=$Z8),$AC8,IF(AND($Y8&lt;&gt;"",EDATE($D8,Milestones!$AA$45)&gt;=$Y8),$AB8,$AA8)))=Milestones!$AB$45),UPPER(TEXT(EDATE($D8,Milestones!$AA$45),"dd mmm yy"))&amp;" "&amp;Milestones!$AB$45&amp;" "&amp;IF(AND(Milestones!$AB$45="FT",Milestones!$AA$45=FT_Y5,EDATE($D8,Milestones!$AA$45)&lt;PolicyEff),1,Milestones!$AC$45)&amp;";  ","")&amp;IF(AND(EDATE($D8,Milestones!$AA$46)&lt;=AsOfDate,EDATE($D8,Milestones!$AA$46)&gt;=SchemeStart,IF($X8=0,$AD8,IF(AND($Z8&lt;&gt;"",EDATE($D8,Milestones!$AA$46)&gt;=$Z8),$AC8,IF(AND($Y8&lt;&gt;"",EDATE($D8,Milestones!$AA$46)&gt;=$Y8),$AB8,$AA8)))=Milestones!$AB$46),UPPER(TEXT(EDATE($D8,Milestones!$AA$46),"dd mmm yy"))&amp;" "&amp;Milestones!$AB$46&amp;" "&amp;IF(AND(Milestones!$AB$46="FT",Milestones!$AA$46=FT_Y5,EDATE($D8,Milestones!$AA$46)&lt;PolicyEff),1,Milestones!$AC$46)&amp;";  ","")&amp;IF(AND(EDATE($D8,Milestones!$AA$47)&lt;=AsOfDate,EDATE($D8,Milestones!$AA$47)&gt;=SchemeStart,IF($X8=0,$AD8,IF(AND($Z8&lt;&gt;"",EDATE($D8,Milestones!$AA$47)&gt;=$Z8),$AC8,IF(AND($Y8&lt;&gt;"",EDATE($D8,Milestones!$AA$47)&gt;=$Y8),$AB8,$AA8)))=Milestones!$AB$47),UPPER(TEXT(EDATE($D8,Milestones!$AA$47),"dd mmm yy"))&amp;" "&amp;Milestones!$AB$47&amp;" "&amp;IF(AND(Milestones!$AB$47="FT",Milestones!$AA$47=FT_Y5,EDATE($D8,Milestones!$AA$47)&lt;PolicyEff),1,Milestones!$AC$47)&amp;";  ","")&amp;IF(AND(EDATE($D8,Milestones!$AA$48)&lt;=AsOfDate,EDATE($D8,Milestones!$AA$48)&gt;=SchemeStart,IF($X8=0,$AD8,IF(AND($Z8&lt;&gt;"",EDATE($D8,Milestones!$AA$48)&gt;=$Z8),$AC8,IF(AND($Y8&lt;&gt;"",EDATE($D8,Milestones!$AA$48)&gt;=$Y8),$AB8,$AA8)))=Milestones!$AB$48),UPPER(TEXT(EDATE($D8,Milestones!$AA$48),"dd mmm yy"))&amp;" "&amp;Milestones!$AB$48&amp;" "&amp;IF(AND(Milestones!$AB$48="FT",Milestones!$AA$48=FT_Y5,EDATE($D8,Milestones!$AA$48)&lt;PolicyEff),1,Milestones!$AC$48)&amp;";  ","")&amp;IF(AND(EDATE($D8,Milestones!$AA$49)&lt;=AsOfDate,EDATE($D8,Milestones!$AA$49)&gt;=SchemeStart,IF($X8=0,$AD8,IF(AND($Z8&lt;&gt;"",EDATE($D8,Milestones!$AA$49)&gt;=$Z8),$AC8,IF(AND($Y8&lt;&gt;"",EDATE($D8,Milestones!$AA$49)&gt;=$Y8),$AB8,$AA8)))=Milestones!$AB$49),UPPER(TEXT(EDATE($D8,Milestones!$AA$49),"dd mmm yy"))&amp;" "&amp;Milestones!$AB$49&amp;" "&amp;IF(AND(Milestones!$AB$49="FT",Milestones!$AA$49=FT_Y5,EDATE($D8,Milestones!$AA$49)&lt;PolicyEff),1,Milestones!$AC$49)&amp;";  ","")&amp;IF(AND(EDATE($D8,Milestones!$AA$50)&lt;=AsOfDate,EDATE($D8,Milestones!$AA$50)&gt;=SchemeStart,IF($X8=0,$AD8,IF(AND($Z8&lt;&gt;"",EDATE($D8,Milestones!$AA$50)&gt;=$Z8),$AC8,IF(AND($Y8&lt;&gt;"",EDATE($D8,Milestones!$AA$50)&gt;=$Y8),$AB8,$AA8)))=Milestones!$AB$50),UPPER(TEXT(EDATE($D8,Milestones!$AA$50),"dd mmm yy"))&amp;" "&amp;Milestones!$AB$50&amp;" "&amp;IF(AND(Milestones!$AB$50="FT",Milestones!$AA$50=FT_Y5,EDATE($D8,Milestones!$AA$50)&lt;PolicyEff),1,Milestones!$AC$50)&amp;";  ","")&amp;IF(AND(EDATE($D8,Milestones!$AA$51)&lt;=AsOfDate,EDATE($D8,Milestones!$AA$51)&gt;=SchemeStart,IF($X8=0,$AD8,IF(AND($Z8&lt;&gt;"",EDATE($D8,Milestones!$AA$51)&gt;=$Z8),$AC8,IF(AND($Y8&lt;&gt;"",EDATE($D8,Milestones!$AA$51)&gt;=$Y8),$AB8,$AA8)))=Milestones!$AB$51),UPPER(TEXT(EDATE($D8,Milestones!$AA$51),"dd mmm yy"))&amp;" "&amp;Milestones!$AB$51&amp;" "&amp;IF(AND(Milestones!$AB$51="FT",Milestones!$AA$51=FT_Y5,EDATE($D8,Milestones!$AA$51)&lt;PolicyEff),1,Milestones!$AC$51)&amp;";  ","")&amp;IF(AND(EDATE($D8,Milestones!$AA$52)&lt;=AsOfDate,EDATE($D8,Milestones!$AA$52)&gt;=SchemeStart,IF($X8=0,$AD8,IF(AND($Z8&lt;&gt;"",EDATE($D8,Milestones!$AA$52)&gt;=$Z8),$AC8,IF(AND($Y8&lt;&gt;"",EDATE($D8,Milestones!$AA$52)&gt;=$Y8),$AB8,$AA8)))=Milestones!$AB$52),UPPER(TEXT(EDATE($D8,Milestones!$AA$52),"dd mmm yy"))&amp;" "&amp;Milestones!$AB$52&amp;" "&amp;IF(AND(Milestones!$AB$52="FT",Milestones!$AA$52=FT_Y5,EDATE($D8,Milestones!$AA$52)&lt;PolicyEff),1,Milestones!$AC$52)&amp;";  ","")&amp;IF(AND(EDATE($D8,Milestones!$AA$53)&lt;=AsOfDate,EDATE($D8,Milestones!$AA$53)&gt;=SchemeStart,IF($X8=0,$AD8,IF(AND($Z8&lt;&gt;"",EDATE($D8,Milestones!$AA$53)&gt;=$Z8),$AC8,IF(AND($Y8&lt;&gt;"",EDATE($D8,Milestones!$AA$53)&gt;=$Y8),$AB8,$AA8)))=Milestones!$AB$53),UPPER(TEXT(EDATE($D8,Milestones!$AA$53),"dd mmm yy"))&amp;" "&amp;Milestones!$AB$53&amp;" "&amp;IF(AND(Milestones!$AB$53="FT",Milestones!$AA$53=FT_Y5,EDATE($D8,Milestones!$AA$53)&lt;PolicyEff),1,Milestones!$AC$53)&amp;";  ","")&amp;IF(AND(EDATE($D8,Milestones!$AA$54)&lt;=AsOfDate,EDATE($D8,Milestones!$AA$54)&gt;=SchemeStart,IF($X8=0,$AD8,IF(AND($Z8&lt;&gt;"",EDATE($D8,Milestones!$AA$54)&gt;=$Z8),$AC8,IF(AND($Y8&lt;&gt;"",EDATE($D8,Milestones!$AA$54)&gt;=$Y8),$AB8,$AA8)))=Milestones!$AB$54),UPPER(TEXT(EDATE($D8,Milestones!$AA$54),"dd mmm yy"))&amp;" "&amp;Milestones!$AB$54&amp;" "&amp;IF(AND(Milestones!$AB$54="FT",Milestones!$AA$54=FT_Y5,EDATE($D8,Milestones!$AA$54)&lt;PolicyEff),1,Milestones!$AC$54)&amp;";  ","")&amp;IF(AND(EDATE($D8,Milestones!$AA$55)&lt;=AsOfDate,EDATE($D8,Milestones!$AA$55)&gt;=SchemeStart,IF($X8=0,$AD8,IF(AND($Z8&lt;&gt;"",EDATE($D8,Milestones!$AA$55)&gt;=$Z8),$AC8,IF(AND($Y8&lt;&gt;"",EDATE($D8,Milestones!$AA$55)&gt;=$Y8),$AB8,$AA8)))=Milestones!$AB$55),UPPER(TEXT(EDATE($D8,Milestones!$AA$55),"dd mmm yy"))&amp;" "&amp;Milestones!$AB$55&amp;" "&amp;IF(AND(Milestones!$AB$55="FT",Milestones!$AA$55=FT_Y5,EDATE($D8,Milestones!$AA$55)&lt;PolicyEff),1,Milestones!$AC$55)&amp;";  ",""))</f>
        <v/>
      </c>
      <c r="L8" s="0" t="str">
        <f aca="false">IF(OR($A8="",$D8=""),"",IF(AND(EDATE($D8,Milestones!$AA$56)&lt;=AsOfDate,EDATE($D8,Milestones!$AA$56)&gt;=SchemeStart,IF($X8=0,$AD8,IF(AND($Z8&lt;&gt;"",EDATE($D8,Milestones!$AA$56)&gt;=$Z8),$AC8,IF(AND($Y8&lt;&gt;"",EDATE($D8,Milestones!$AA$56)&gt;=$Y8),$AB8,$AA8)))=Milestones!$AB$56),UPPER(TEXT(EDATE($D8,Milestones!$AA$56),"dd mmm yy"))&amp;" "&amp;Milestones!$AB$56&amp;" "&amp;IF(AND(Milestones!$AB$56="FT",Milestones!$AA$56=FT_Y5,EDATE($D8,Milestones!$AA$56)&lt;PolicyEff),1,Milestones!$AC$56)&amp;";  ","")&amp;IF(AND(EDATE($D8,Milestones!$AA$57)&lt;=AsOfDate,EDATE($D8,Milestones!$AA$57)&gt;=SchemeStart,IF($X8=0,$AD8,IF(AND($Z8&lt;&gt;"",EDATE($D8,Milestones!$AA$57)&gt;=$Z8),$AC8,IF(AND($Y8&lt;&gt;"",EDATE($D8,Milestones!$AA$57)&gt;=$Y8),$AB8,$AA8)))=Milestones!$AB$57),UPPER(TEXT(EDATE($D8,Milestones!$AA$57),"dd mmm yy"))&amp;" "&amp;Milestones!$AB$57&amp;" "&amp;IF(AND(Milestones!$AB$57="FT",Milestones!$AA$57=FT_Y5,EDATE($D8,Milestones!$AA$57)&lt;PolicyEff),1,Milestones!$AC$57)&amp;";  ","")&amp;IF(AND(EDATE($D8,Milestones!$AA$58)&lt;=AsOfDate,EDATE($D8,Milestones!$AA$58)&gt;=SchemeStart,IF($X8=0,$AD8,IF(AND($Z8&lt;&gt;"",EDATE($D8,Milestones!$AA$58)&gt;=$Z8),$AC8,IF(AND($Y8&lt;&gt;"",EDATE($D8,Milestones!$AA$58)&gt;=$Y8),$AB8,$AA8)))=Milestones!$AB$58),UPPER(TEXT(EDATE($D8,Milestones!$AA$58),"dd mmm yy"))&amp;" "&amp;Milestones!$AB$58&amp;" "&amp;IF(AND(Milestones!$AB$58="FT",Milestones!$AA$58=FT_Y5,EDATE($D8,Milestones!$AA$58)&lt;PolicyEff),1,Milestones!$AC$58)&amp;";  ","")&amp;IF(AND(EDATE($D8,Milestones!$AA$59)&lt;=AsOfDate,EDATE($D8,Milestones!$AA$59)&gt;=SchemeStart,IF($X8=0,$AD8,IF(AND($Z8&lt;&gt;"",EDATE($D8,Milestones!$AA$59)&gt;=$Z8),$AC8,IF(AND($Y8&lt;&gt;"",EDATE($D8,Milestones!$AA$59)&gt;=$Y8),$AB8,$AA8)))=Milestones!$AB$59),UPPER(TEXT(EDATE($D8,Milestones!$AA$59),"dd mmm yy"))&amp;" "&amp;Milestones!$AB$59&amp;" "&amp;IF(AND(Milestones!$AB$59="FT",Milestones!$AA$59=FT_Y5,EDATE($D8,Milestones!$AA$59)&lt;PolicyEff),1,Milestones!$AC$59)&amp;";  ","")&amp;IF(AND(EDATE($D8,Milestones!$AA$60)&lt;=AsOfDate,EDATE($D8,Milestones!$AA$60)&gt;=SchemeStart,IF($X8=0,$AD8,IF(AND($Z8&lt;&gt;"",EDATE($D8,Milestones!$AA$60)&gt;=$Z8),$AC8,IF(AND($Y8&lt;&gt;"",EDATE($D8,Milestones!$AA$60)&gt;=$Y8),$AB8,$AA8)))=Milestones!$AB$60),UPPER(TEXT(EDATE($D8,Milestones!$AA$60),"dd mmm yy"))&amp;" "&amp;Milestones!$AB$60&amp;" "&amp;IF(AND(Milestones!$AB$60="FT",Milestones!$AA$60=FT_Y5,EDATE($D8,Milestones!$AA$60)&lt;PolicyEff),1,Milestones!$AC$60)&amp;";  ","")&amp;IF(AND(EDATE($D8,Milestones!$AA$61)&lt;=AsOfDate,EDATE($D8,Milestones!$AA$61)&gt;=SchemeStart,IF($X8=0,$AD8,IF(AND($Z8&lt;&gt;"",EDATE($D8,Milestones!$AA$61)&gt;=$Z8),$AC8,IF(AND($Y8&lt;&gt;"",EDATE($D8,Milestones!$AA$61)&gt;=$Y8),$AB8,$AA8)))=Milestones!$AB$61),UPPER(TEXT(EDATE($D8,Milestones!$AA$61),"dd mmm yy"))&amp;" "&amp;Milestones!$AB$61&amp;" "&amp;IF(AND(Milestones!$AB$61="FT",Milestones!$AA$61=FT_Y5,EDATE($D8,Milestones!$AA$61)&lt;PolicyEff),1,Milestones!$AC$61)&amp;";  ","")&amp;IF(AND(EDATE($D8,Milestones!$AA$62)&lt;=AsOfDate,EDATE($D8,Milestones!$AA$62)&gt;=SchemeStart,IF($X8=0,$AD8,IF(AND($Z8&lt;&gt;"",EDATE($D8,Milestones!$AA$62)&gt;=$Z8),$AC8,IF(AND($Y8&lt;&gt;"",EDATE($D8,Milestones!$AA$62)&gt;=$Y8),$AB8,$AA8)))=Milestones!$AB$62),UPPER(TEXT(EDATE($D8,Milestones!$AA$62),"dd mmm yy"))&amp;" "&amp;Milestones!$AB$62&amp;" "&amp;IF(AND(Milestones!$AB$62="FT",Milestones!$AA$62=FT_Y5,EDATE($D8,Milestones!$AA$62)&lt;PolicyEff),1,Milestones!$AC$62)&amp;";  ","")&amp;IF(AND(EDATE($D8,Milestones!$AA$63)&lt;=AsOfDate,EDATE($D8,Milestones!$AA$63)&gt;=SchemeStart,IF($X8=0,$AD8,IF(AND($Z8&lt;&gt;"",EDATE($D8,Milestones!$AA$63)&gt;=$Z8),$AC8,IF(AND($Y8&lt;&gt;"",EDATE($D8,Milestones!$AA$63)&gt;=$Y8),$AB8,$AA8)))=Milestones!$AB$63),UPPER(TEXT(EDATE($D8,Milestones!$AA$63),"dd mmm yy"))&amp;" "&amp;Milestones!$AB$63&amp;" "&amp;IF(AND(Milestones!$AB$63="FT",Milestones!$AA$63=FT_Y5,EDATE($D8,Milestones!$AA$63)&lt;PolicyEff),1,Milestones!$AC$63)&amp;";  ","")&amp;IF(AND(EDATE($D8,Milestones!$AA$64)&lt;=AsOfDate,EDATE($D8,Milestones!$AA$64)&gt;=SchemeStart,IF($X8=0,$AD8,IF(AND($Z8&lt;&gt;"",EDATE($D8,Milestones!$AA$64)&gt;=$Z8),$AC8,IF(AND($Y8&lt;&gt;"",EDATE($D8,Milestones!$AA$64)&gt;=$Y8),$AB8,$AA8)))=Milestones!$AB$64),UPPER(TEXT(EDATE($D8,Milestones!$AA$64),"dd mmm yy"))&amp;" "&amp;Milestones!$AB$64&amp;" "&amp;IF(AND(Milestones!$AB$64="FT",Milestones!$AA$64=FT_Y5,EDATE($D8,Milestones!$AA$64)&lt;PolicyEff),1,Milestones!$AC$64)&amp;";  ","")&amp;IF(AND(EDATE($D8,Milestones!$AA$65)&lt;=AsOfDate,EDATE($D8,Milestones!$AA$65)&gt;=SchemeStart,IF($X8=0,$AD8,IF(AND($Z8&lt;&gt;"",EDATE($D8,Milestones!$AA$65)&gt;=$Z8),$AC8,IF(AND($Y8&lt;&gt;"",EDATE($D8,Milestones!$AA$65)&gt;=$Y8),$AB8,$AA8)))=Milestones!$AB$65),UPPER(TEXT(EDATE($D8,Milestones!$AA$65),"dd mmm yy"))&amp;" "&amp;Milestones!$AB$65&amp;" "&amp;IF(AND(Milestones!$AB$65="FT",Milestones!$AA$65=FT_Y5,EDATE($D8,Milestones!$AA$65)&lt;PolicyEff),1,Milestones!$AC$65)&amp;";  ","")&amp;IF(AND(EDATE($D8,Milestones!$AA$66)&lt;=AsOfDate,EDATE($D8,Milestones!$AA$66)&gt;=SchemeStart,IF($X8=0,$AD8,IF(AND($Z8&lt;&gt;"",EDATE($D8,Milestones!$AA$66)&gt;=$Z8),$AC8,IF(AND($Y8&lt;&gt;"",EDATE($D8,Milestones!$AA$66)&gt;=$Y8),$AB8,$AA8)))=Milestones!$AB$66),UPPER(TEXT(EDATE($D8,Milestones!$AA$66),"dd mmm yy"))&amp;" "&amp;Milestones!$AB$66&amp;" "&amp;IF(AND(Milestones!$AB$66="FT",Milestones!$AA$66=FT_Y5,EDATE($D8,Milestones!$AA$66)&lt;PolicyEff),1,Milestones!$AC$66)&amp;";  ","")&amp;IF(AND(EDATE($D8,Milestones!$AA$67)&lt;=AsOfDate,EDATE($D8,Milestones!$AA$67)&gt;=SchemeStart,IF($X8=0,$AD8,IF(AND($Z8&lt;&gt;"",EDATE($D8,Milestones!$AA$67)&gt;=$Z8),$AC8,IF(AND($Y8&lt;&gt;"",EDATE($D8,Milestones!$AA$67)&gt;=$Y8),$AB8,$AA8)))=Milestones!$AB$67),UPPER(TEXT(EDATE($D8,Milestones!$AA$67),"dd mmm yy"))&amp;" "&amp;Milestones!$AB$67&amp;" "&amp;IF(AND(Milestones!$AB$67="FT",Milestones!$AA$67=FT_Y5,EDATE($D8,Milestones!$AA$67)&lt;PolicyEff),1,Milestones!$AC$67)&amp;";  ",""))</f>
        <v/>
      </c>
      <c r="M8" s="0" t="str">
        <f aca="false">IF(OR($A8="",$D8=""),"",IF(AND(EDATE($D8,Milestones!$AA$68)&lt;=AsOfDate,EDATE($D8,Milestones!$AA$68)&gt;=SchemeStart,IF($X8=0,$AD8,IF(AND($Z8&lt;&gt;"",EDATE($D8,Milestones!$AA$68)&gt;=$Z8),$AC8,IF(AND($Y8&lt;&gt;"",EDATE($D8,Milestones!$AA$68)&gt;=$Y8),$AB8,$AA8)))=Milestones!$AB$68),UPPER(TEXT(EDATE($D8,Milestones!$AA$68),"dd mmm yy"))&amp;" "&amp;Milestones!$AB$68&amp;" "&amp;IF(AND(Milestones!$AB$68="FT",Milestones!$AA$68=FT_Y5,EDATE($D8,Milestones!$AA$68)&lt;PolicyEff),1,Milestones!$AC$68)&amp;";  ","")&amp;IF(AND(EDATE($D8,Milestones!$AA$69)&lt;=AsOfDate,EDATE($D8,Milestones!$AA$69)&gt;=SchemeStart,IF($X8=0,$AD8,IF(AND($Z8&lt;&gt;"",EDATE($D8,Milestones!$AA$69)&gt;=$Z8),$AC8,IF(AND($Y8&lt;&gt;"",EDATE($D8,Milestones!$AA$69)&gt;=$Y8),$AB8,$AA8)))=Milestones!$AB$69),UPPER(TEXT(EDATE($D8,Milestones!$AA$69),"dd mmm yy"))&amp;" "&amp;Milestones!$AB$69&amp;" "&amp;IF(AND(Milestones!$AB$69="FT",Milestones!$AA$69=FT_Y5,EDATE($D8,Milestones!$AA$69)&lt;PolicyEff),1,Milestones!$AC$69)&amp;";  ","")&amp;IF(AND(EDATE($D8,Milestones!$AA$70)&lt;=AsOfDate,EDATE($D8,Milestones!$AA$70)&gt;=SchemeStart,IF($X8=0,$AD8,IF(AND($Z8&lt;&gt;"",EDATE($D8,Milestones!$AA$70)&gt;=$Z8),$AC8,IF(AND($Y8&lt;&gt;"",EDATE($D8,Milestones!$AA$70)&gt;=$Y8),$AB8,$AA8)))=Milestones!$AB$70),UPPER(TEXT(EDATE($D8,Milestones!$AA$70),"dd mmm yy"))&amp;" "&amp;Milestones!$AB$70&amp;" "&amp;IF(AND(Milestones!$AB$70="FT",Milestones!$AA$70=FT_Y5,EDATE($D8,Milestones!$AA$70)&lt;PolicyEff),1,Milestones!$AC$70)&amp;";  ","")&amp;IF(AND(EDATE($D8,Milestones!$AA$71)&lt;=AsOfDate,EDATE($D8,Milestones!$AA$71)&gt;=SchemeStart,IF($X8=0,$AD8,IF(AND($Z8&lt;&gt;"",EDATE($D8,Milestones!$AA$71)&gt;=$Z8),$AC8,IF(AND($Y8&lt;&gt;"",EDATE($D8,Milestones!$AA$71)&gt;=$Y8),$AB8,$AA8)))=Milestones!$AB$71),UPPER(TEXT(EDATE($D8,Milestones!$AA$71),"dd mmm yy"))&amp;" "&amp;Milestones!$AB$71&amp;" "&amp;IF(AND(Milestones!$AB$71="FT",Milestones!$AA$71=FT_Y5,EDATE($D8,Milestones!$AA$71)&lt;PolicyEff),1,Milestones!$AC$71)&amp;";  ","")&amp;IF(AND(EDATE($D8,Milestones!$AA$72)&lt;=AsOfDate,EDATE($D8,Milestones!$AA$72)&gt;=SchemeStart,IF($X8=0,$AD8,IF(AND($Z8&lt;&gt;"",EDATE($D8,Milestones!$AA$72)&gt;=$Z8),$AC8,IF(AND($Y8&lt;&gt;"",EDATE($D8,Milestones!$AA$72)&gt;=$Y8),$AB8,$AA8)))=Milestones!$AB$72),UPPER(TEXT(EDATE($D8,Milestones!$AA$72),"dd mmm yy"))&amp;" "&amp;Milestones!$AB$72&amp;" "&amp;IF(AND(Milestones!$AB$72="FT",Milestones!$AA$72=FT_Y5,EDATE($D8,Milestones!$AA$72)&lt;PolicyEff),1,Milestones!$AC$72)&amp;";  ","")&amp;IF(AND(EDATE($D8,Milestones!$AA$73)&lt;=AsOfDate,EDATE($D8,Milestones!$AA$73)&gt;=SchemeStart,IF($X8=0,$AD8,IF(AND($Z8&lt;&gt;"",EDATE($D8,Milestones!$AA$73)&gt;=$Z8),$AC8,IF(AND($Y8&lt;&gt;"",EDATE($D8,Milestones!$AA$73)&gt;=$Y8),$AB8,$AA8)))=Milestones!$AB$73),UPPER(TEXT(EDATE($D8,Milestones!$AA$73),"dd mmm yy"))&amp;" "&amp;Milestones!$AB$73&amp;" "&amp;IF(AND(Milestones!$AB$73="FT",Milestones!$AA$73=FT_Y5,EDATE($D8,Milestones!$AA$73)&lt;PolicyEff),1,Milestones!$AC$73)&amp;";  ","")&amp;IF(AND(EDATE($D8,Milestones!$AA$74)&lt;=AsOfDate,EDATE($D8,Milestones!$AA$74)&gt;=SchemeStart,IF($X8=0,$AD8,IF(AND($Z8&lt;&gt;"",EDATE($D8,Milestones!$AA$74)&gt;=$Z8),$AC8,IF(AND($Y8&lt;&gt;"",EDATE($D8,Milestones!$AA$74)&gt;=$Y8),$AB8,$AA8)))=Milestones!$AB$74),UPPER(TEXT(EDATE($D8,Milestones!$AA$74),"dd mmm yy"))&amp;" "&amp;Milestones!$AB$74&amp;" "&amp;IF(AND(Milestones!$AB$74="FT",Milestones!$AA$74=FT_Y5,EDATE($D8,Milestones!$AA$74)&lt;PolicyEff),1,Milestones!$AC$74)&amp;";  ","")&amp;IF(AND(EDATE($D8,Milestones!$AA$75)&lt;=AsOfDate,EDATE($D8,Milestones!$AA$75)&gt;=SchemeStart,IF($X8=0,$AD8,IF(AND($Z8&lt;&gt;"",EDATE($D8,Milestones!$AA$75)&gt;=$Z8),$AC8,IF(AND($Y8&lt;&gt;"",EDATE($D8,Milestones!$AA$75)&gt;=$Y8),$AB8,$AA8)))=Milestones!$AB$75),UPPER(TEXT(EDATE($D8,Milestones!$AA$75),"dd mmm yy"))&amp;" "&amp;Milestones!$AB$75&amp;" "&amp;IF(AND(Milestones!$AB$75="FT",Milestones!$AA$75=FT_Y5,EDATE($D8,Milestones!$AA$75)&lt;PolicyEff),1,Milestones!$AC$75)&amp;";  ","")&amp;IF(AND(EDATE($D8,Milestones!$AA$76)&lt;=AsOfDate,EDATE($D8,Milestones!$AA$76)&gt;=SchemeStart,IF($X8=0,$AD8,IF(AND($Z8&lt;&gt;"",EDATE($D8,Milestones!$AA$76)&gt;=$Z8),$AC8,IF(AND($Y8&lt;&gt;"",EDATE($D8,Milestones!$AA$76)&gt;=$Y8),$AB8,$AA8)))=Milestones!$AB$76),UPPER(TEXT(EDATE($D8,Milestones!$AA$76),"dd mmm yy"))&amp;" "&amp;Milestones!$AB$76&amp;" "&amp;IF(AND(Milestones!$AB$76="FT",Milestones!$AA$76=FT_Y5,EDATE($D8,Milestones!$AA$76)&lt;PolicyEff),1,Milestones!$AC$76)&amp;";  ","")&amp;IF(AND(EDATE($D8,Milestones!$AA$77)&lt;=AsOfDate,EDATE($D8,Milestones!$AA$77)&gt;=SchemeStart,IF($X8=0,$AD8,IF(AND($Z8&lt;&gt;"",EDATE($D8,Milestones!$AA$77)&gt;=$Z8),$AC8,IF(AND($Y8&lt;&gt;"",EDATE($D8,Milestones!$AA$77)&gt;=$Y8),$AB8,$AA8)))=Milestones!$AB$77),UPPER(TEXT(EDATE($D8,Milestones!$AA$77),"dd mmm yy"))&amp;" "&amp;Milestones!$AB$77&amp;" "&amp;IF(AND(Milestones!$AB$77="FT",Milestones!$AA$77=FT_Y5,EDATE($D8,Milestones!$AA$77)&lt;PolicyEff),1,Milestones!$AC$77)&amp;";  ","")&amp;IF(AND(EDATE($D8,Milestones!$AA$78)&lt;=AsOfDate,EDATE($D8,Milestones!$AA$78)&gt;=SchemeStart,IF($X8=0,$AD8,IF(AND($Z8&lt;&gt;"",EDATE($D8,Milestones!$AA$78)&gt;=$Z8),$AC8,IF(AND($Y8&lt;&gt;"",EDATE($D8,Milestones!$AA$78)&gt;=$Y8),$AB8,$AA8)))=Milestones!$AB$78),UPPER(TEXT(EDATE($D8,Milestones!$AA$78),"dd mmm yy"))&amp;" "&amp;Milestones!$AB$78&amp;" "&amp;IF(AND(Milestones!$AB$78="FT",Milestones!$AA$78=FT_Y5,EDATE($D8,Milestones!$AA$78)&lt;PolicyEff),1,Milestones!$AC$78)&amp;";  ","")&amp;IF(AND(EDATE($D8,Milestones!$AA$79)&lt;=AsOfDate,EDATE($D8,Milestones!$AA$79)&gt;=SchemeStart,IF($X8=0,$AD8,IF(AND($Z8&lt;&gt;"",EDATE($D8,Milestones!$AA$79)&gt;=$Z8),$AC8,IF(AND($Y8&lt;&gt;"",EDATE($D8,Milestones!$AA$79)&gt;=$Y8),$AB8,$AA8)))=Milestones!$AB$79),UPPER(TEXT(EDATE($D8,Milestones!$AA$79),"dd mmm yy"))&amp;" "&amp;Milestones!$AB$79&amp;" "&amp;IF(AND(Milestones!$AB$79="FT",Milestones!$AA$79=FT_Y5,EDATE($D8,Milestones!$AA$79)&lt;PolicyEff),1,Milestones!$AC$79)&amp;";  ",""))</f>
        <v/>
      </c>
      <c r="N8" s="0" t="str">
        <f aca="false">IF(OR($A8="",$D8=""),"",IF(AND(EDATE($D8,Milestones!$AA$80)&lt;=AsOfDate,EDATE($D8,Milestones!$AA$80)&gt;=SchemeStart,IF($X8=0,$AD8,IF(AND($Z8&lt;&gt;"",EDATE($D8,Milestones!$AA$80)&gt;=$Z8),$AC8,IF(AND($Y8&lt;&gt;"",EDATE($D8,Milestones!$AA$80)&gt;=$Y8),$AB8,$AA8)))=Milestones!$AB$80),UPPER(TEXT(EDATE($D8,Milestones!$AA$80),"dd mmm yy"))&amp;" "&amp;Milestones!$AB$80&amp;" "&amp;IF(AND(Milestones!$AB$80="FT",Milestones!$AA$80=FT_Y5,EDATE($D8,Milestones!$AA$80)&lt;PolicyEff),1,Milestones!$AC$80)&amp;";  ","")&amp;IF(AND(EDATE($D8,Milestones!$AA$81)&lt;=AsOfDate,EDATE($D8,Milestones!$AA$81)&gt;=SchemeStart,IF($X8=0,$AD8,IF(AND($Z8&lt;&gt;"",EDATE($D8,Milestones!$AA$81)&gt;=$Z8),$AC8,IF(AND($Y8&lt;&gt;"",EDATE($D8,Milestones!$AA$81)&gt;=$Y8),$AB8,$AA8)))=Milestones!$AB$81),UPPER(TEXT(EDATE($D8,Milestones!$AA$81),"dd mmm yy"))&amp;" "&amp;Milestones!$AB$81&amp;" "&amp;IF(AND(Milestones!$AB$81="FT",Milestones!$AA$81=FT_Y5,EDATE($D8,Milestones!$AA$81)&lt;PolicyEff),1,Milestones!$AC$81)&amp;";  ","")&amp;IF(AND(EDATE($D8,Milestones!$AA$82)&lt;=AsOfDate,EDATE($D8,Milestones!$AA$82)&gt;=SchemeStart,IF($X8=0,$AD8,IF(AND($Z8&lt;&gt;"",EDATE($D8,Milestones!$AA$82)&gt;=$Z8),$AC8,IF(AND($Y8&lt;&gt;"",EDATE($D8,Milestones!$AA$82)&gt;=$Y8),$AB8,$AA8)))=Milestones!$AB$82),UPPER(TEXT(EDATE($D8,Milestones!$AA$82),"dd mmm yy"))&amp;" "&amp;Milestones!$AB$82&amp;" "&amp;IF(AND(Milestones!$AB$82="FT",Milestones!$AA$82=FT_Y5,EDATE($D8,Milestones!$AA$82)&lt;PolicyEff),1,Milestones!$AC$82)&amp;";  ","")&amp;IF(AND(EDATE($D8,Milestones!$AA$83)&lt;=AsOfDate,EDATE($D8,Milestones!$AA$83)&gt;=SchemeStart,IF($X8=0,$AD8,IF(AND($Z8&lt;&gt;"",EDATE($D8,Milestones!$AA$83)&gt;=$Z8),$AC8,IF(AND($Y8&lt;&gt;"",EDATE($D8,Milestones!$AA$83)&gt;=$Y8),$AB8,$AA8)))=Milestones!$AB$83),UPPER(TEXT(EDATE($D8,Milestones!$AA$83),"dd mmm yy"))&amp;" "&amp;Milestones!$AB$83&amp;" "&amp;IF(AND(Milestones!$AB$83="FT",Milestones!$AA$83=FT_Y5,EDATE($D8,Milestones!$AA$83)&lt;PolicyEff),1,Milestones!$AC$83)&amp;";  ","")&amp;IF(AND(EDATE($D8,Milestones!$AA$84)&lt;=AsOfDate,EDATE($D8,Milestones!$AA$84)&gt;=SchemeStart,IF($X8=0,$AD8,IF(AND($Z8&lt;&gt;"",EDATE($D8,Milestones!$AA$84)&gt;=$Z8),$AC8,IF(AND($Y8&lt;&gt;"",EDATE($D8,Milestones!$AA$84)&gt;=$Y8),$AB8,$AA8)))=Milestones!$AB$84),UPPER(TEXT(EDATE($D8,Milestones!$AA$84),"dd mmm yy"))&amp;" "&amp;Milestones!$AB$84&amp;" "&amp;IF(AND(Milestones!$AB$84="FT",Milestones!$AA$84=FT_Y5,EDATE($D8,Milestones!$AA$84)&lt;PolicyEff),1,Milestones!$AC$84)&amp;";  ","")&amp;IF(AND(EDATE($D8,Milestones!$AA$85)&lt;=AsOfDate,EDATE($D8,Milestones!$AA$85)&gt;=SchemeStart,IF($X8=0,$AD8,IF(AND($Z8&lt;&gt;"",EDATE($D8,Milestones!$AA$85)&gt;=$Z8),$AC8,IF(AND($Y8&lt;&gt;"",EDATE($D8,Milestones!$AA$85)&gt;=$Y8),$AB8,$AA8)))=Milestones!$AB$85),UPPER(TEXT(EDATE($D8,Milestones!$AA$85),"dd mmm yy"))&amp;" "&amp;Milestones!$AB$85&amp;" "&amp;IF(AND(Milestones!$AB$85="FT",Milestones!$AA$85=FT_Y5,EDATE($D8,Milestones!$AA$85)&lt;PolicyEff),1,Milestones!$AC$85)&amp;";  ","")&amp;IF(AND(EDATE($D8,Milestones!$AA$86)&lt;=AsOfDate,EDATE($D8,Milestones!$AA$86)&gt;=SchemeStart,IF($X8=0,$AD8,IF(AND($Z8&lt;&gt;"",EDATE($D8,Milestones!$AA$86)&gt;=$Z8),$AC8,IF(AND($Y8&lt;&gt;"",EDATE($D8,Milestones!$AA$86)&gt;=$Y8),$AB8,$AA8)))=Milestones!$AB$86),UPPER(TEXT(EDATE($D8,Milestones!$AA$86),"dd mmm yy"))&amp;" "&amp;Milestones!$AB$86&amp;" "&amp;IF(AND(Milestones!$AB$86="FT",Milestones!$AA$86=FT_Y5,EDATE($D8,Milestones!$AA$86)&lt;PolicyEff),1,Milestones!$AC$86)&amp;";  ","")&amp;IF(AND(EDATE($D8,Milestones!$AA$87)&lt;=AsOfDate,EDATE($D8,Milestones!$AA$87)&gt;=SchemeStart,IF($X8=0,$AD8,IF(AND($Z8&lt;&gt;"",EDATE($D8,Milestones!$AA$87)&gt;=$Z8),$AC8,IF(AND($Y8&lt;&gt;"",EDATE($D8,Milestones!$AA$87)&gt;=$Y8),$AB8,$AA8)))=Milestones!$AB$87),UPPER(TEXT(EDATE($D8,Milestones!$AA$87),"dd mmm yy"))&amp;" "&amp;Milestones!$AB$87&amp;" "&amp;IF(AND(Milestones!$AB$87="FT",Milestones!$AA$87=FT_Y5,EDATE($D8,Milestones!$AA$87)&lt;PolicyEff),1,Milestones!$AC$87)&amp;";  ","")&amp;IF(AND(EDATE($D8,Milestones!$AA$88)&lt;=AsOfDate,EDATE($D8,Milestones!$AA$88)&gt;=SchemeStart,IF($X8=0,$AD8,IF(AND($Z8&lt;&gt;"",EDATE($D8,Milestones!$AA$88)&gt;=$Z8),$AC8,IF(AND($Y8&lt;&gt;"",EDATE($D8,Milestones!$AA$88)&gt;=$Y8),$AB8,$AA8)))=Milestones!$AB$88),UPPER(TEXT(EDATE($D8,Milestones!$AA$88),"dd mmm yy"))&amp;" "&amp;Milestones!$AB$88&amp;" "&amp;IF(AND(Milestones!$AB$88="FT",Milestones!$AA$88=FT_Y5,EDATE($D8,Milestones!$AA$88)&lt;PolicyEff),1,Milestones!$AC$88)&amp;";  ","")&amp;IF(AND(EDATE($D8,Milestones!$AA$89)&lt;=AsOfDate,EDATE($D8,Milestones!$AA$89)&gt;=SchemeStart,IF($X8=0,$AD8,IF(AND($Z8&lt;&gt;"",EDATE($D8,Milestones!$AA$89)&gt;=$Z8),$AC8,IF(AND($Y8&lt;&gt;"",EDATE($D8,Milestones!$AA$89)&gt;=$Y8),$AB8,$AA8)))=Milestones!$AB$89),UPPER(TEXT(EDATE($D8,Milestones!$AA$89),"dd mmm yy"))&amp;" "&amp;Milestones!$AB$89&amp;" "&amp;IF(AND(Milestones!$AB$89="FT",Milestones!$AA$89=FT_Y5,EDATE($D8,Milestones!$AA$89)&lt;PolicyEff),1,Milestones!$AC$89)&amp;";  ","")&amp;IF(AND(EDATE($D8,Milestones!$AA$90)&lt;=AsOfDate,EDATE($D8,Milestones!$AA$90)&gt;=SchemeStart,IF($X8=0,$AD8,IF(AND($Z8&lt;&gt;"",EDATE($D8,Milestones!$AA$90)&gt;=$Z8),$AC8,IF(AND($Y8&lt;&gt;"",EDATE($D8,Milestones!$AA$90)&gt;=$Y8),$AB8,$AA8)))=Milestones!$AB$90),UPPER(TEXT(EDATE($D8,Milestones!$AA$90),"dd mmm yy"))&amp;" "&amp;Milestones!$AB$90&amp;" "&amp;IF(AND(Milestones!$AB$90="FT",Milestones!$AA$90=FT_Y5,EDATE($D8,Milestones!$AA$90)&lt;PolicyEff),1,Milestones!$AC$90)&amp;";  ","")&amp;IF(AND(EDATE($D8,Milestones!$AA$91)&lt;=AsOfDate,EDATE($D8,Milestones!$AA$91)&gt;=SchemeStart,IF($X8=0,$AD8,IF(AND($Z8&lt;&gt;"",EDATE($D8,Milestones!$AA$91)&gt;=$Z8),$AC8,IF(AND($Y8&lt;&gt;"",EDATE($D8,Milestones!$AA$91)&gt;=$Y8),$AB8,$AA8)))=Milestones!$AB$91),UPPER(TEXT(EDATE($D8,Milestones!$AA$91),"dd mmm yy"))&amp;" "&amp;Milestones!$AB$91&amp;" "&amp;IF(AND(Milestones!$AB$91="FT",Milestones!$AA$91=FT_Y5,EDATE($D8,Milestones!$AA$91)&lt;PolicyEff),1,Milestones!$AC$91)&amp;";  ",""))</f>
        <v/>
      </c>
      <c r="O8" s="0" t="str">
        <f aca="false">IF(OR($A8="",$D8=""),"",IF(AND(EDATE($D8,Milestones!$AA$92)&lt;=AsOfDate,EDATE($D8,Milestones!$AA$92)&gt;=SchemeStart,IF($X8=0,$AD8,IF(AND($Z8&lt;&gt;"",EDATE($D8,Milestones!$AA$92)&gt;=$Z8),$AC8,IF(AND($Y8&lt;&gt;"",EDATE($D8,Milestones!$AA$92)&gt;=$Y8),$AB8,$AA8)))=Milestones!$AB$92),UPPER(TEXT(EDATE($D8,Milestones!$AA$92),"dd mmm yy"))&amp;" "&amp;Milestones!$AB$92&amp;" "&amp;IF(AND(Milestones!$AB$92="FT",Milestones!$AA$92=FT_Y5,EDATE($D8,Milestones!$AA$92)&lt;PolicyEff),1,Milestones!$AC$92)&amp;";  ","")&amp;IF(AND(EDATE($D8,Milestones!$AA$93)&lt;=AsOfDate,EDATE($D8,Milestones!$AA$93)&gt;=SchemeStart,IF($X8=0,$AD8,IF(AND($Z8&lt;&gt;"",EDATE($D8,Milestones!$AA$93)&gt;=$Z8),$AC8,IF(AND($Y8&lt;&gt;"",EDATE($D8,Milestones!$AA$93)&gt;=$Y8),$AB8,$AA8)))=Milestones!$AB$93),UPPER(TEXT(EDATE($D8,Milestones!$AA$93),"dd mmm yy"))&amp;" "&amp;Milestones!$AB$93&amp;" "&amp;IF(AND(Milestones!$AB$93="FT",Milestones!$AA$93=FT_Y5,EDATE($D8,Milestones!$AA$93)&lt;PolicyEff),1,Milestones!$AC$93)&amp;";  ","")&amp;IF(AND(EDATE($D8,Milestones!$AA$94)&lt;=AsOfDate,EDATE($D8,Milestones!$AA$94)&gt;=SchemeStart,IF($X8=0,$AD8,IF(AND($Z8&lt;&gt;"",EDATE($D8,Milestones!$AA$94)&gt;=$Z8),$AC8,IF(AND($Y8&lt;&gt;"",EDATE($D8,Milestones!$AA$94)&gt;=$Y8),$AB8,$AA8)))=Milestones!$AB$94),UPPER(TEXT(EDATE($D8,Milestones!$AA$94),"dd mmm yy"))&amp;" "&amp;Milestones!$AB$94&amp;" "&amp;IF(AND(Milestones!$AB$94="FT",Milestones!$AA$94=FT_Y5,EDATE($D8,Milestones!$AA$94)&lt;PolicyEff),1,Milestones!$AC$94)&amp;";  ","")&amp;IF(AND(EDATE($D8,Milestones!$AA$95)&lt;=AsOfDate,EDATE($D8,Milestones!$AA$95)&gt;=SchemeStart,IF($X8=0,$AD8,IF(AND($Z8&lt;&gt;"",EDATE($D8,Milestones!$AA$95)&gt;=$Z8),$AC8,IF(AND($Y8&lt;&gt;"",EDATE($D8,Milestones!$AA$95)&gt;=$Y8),$AB8,$AA8)))=Milestones!$AB$95),UPPER(TEXT(EDATE($D8,Milestones!$AA$95),"dd mmm yy"))&amp;" "&amp;Milestones!$AB$95&amp;" "&amp;IF(AND(Milestones!$AB$95="FT",Milestones!$AA$95=FT_Y5,EDATE($D8,Milestones!$AA$95)&lt;PolicyEff),1,Milestones!$AC$95)&amp;";  ","")&amp;IF(AND(EDATE($D8,Milestones!$AA$96)&lt;=AsOfDate,EDATE($D8,Milestones!$AA$96)&gt;=SchemeStart,IF($X8=0,$AD8,IF(AND($Z8&lt;&gt;"",EDATE($D8,Milestones!$AA$96)&gt;=$Z8),$AC8,IF(AND($Y8&lt;&gt;"",EDATE($D8,Milestones!$AA$96)&gt;=$Y8),$AB8,$AA8)))=Milestones!$AB$96),UPPER(TEXT(EDATE($D8,Milestones!$AA$96),"dd mmm yy"))&amp;" "&amp;Milestones!$AB$96&amp;" "&amp;IF(AND(Milestones!$AB$96="FT",Milestones!$AA$96=FT_Y5,EDATE($D8,Milestones!$AA$96)&lt;PolicyEff),1,Milestones!$AC$96)&amp;";  ","")&amp;IF(AND(EDATE($D8,Milestones!$AA$97)&lt;=AsOfDate,EDATE($D8,Milestones!$AA$97)&gt;=SchemeStart,IF($X8=0,$AD8,IF(AND($Z8&lt;&gt;"",EDATE($D8,Milestones!$AA$97)&gt;=$Z8),$AC8,IF(AND($Y8&lt;&gt;"",EDATE($D8,Milestones!$AA$97)&gt;=$Y8),$AB8,$AA8)))=Milestones!$AB$97),UPPER(TEXT(EDATE($D8,Milestones!$AA$97),"dd mmm yy"))&amp;" "&amp;Milestones!$AB$97&amp;" "&amp;IF(AND(Milestones!$AB$97="FT",Milestones!$AA$97=FT_Y5,EDATE($D8,Milestones!$AA$97)&lt;PolicyEff),1,Milestones!$AC$97)&amp;";  ","")&amp;IF(AND(EDATE($D8,Milestones!$AA$98)&lt;=AsOfDate,EDATE($D8,Milestones!$AA$98)&gt;=SchemeStart,IF($X8=0,$AD8,IF(AND($Z8&lt;&gt;"",EDATE($D8,Milestones!$AA$98)&gt;=$Z8),$AC8,IF(AND($Y8&lt;&gt;"",EDATE($D8,Milestones!$AA$98)&gt;=$Y8),$AB8,$AA8)))=Milestones!$AB$98),UPPER(TEXT(EDATE($D8,Milestones!$AA$98),"dd mmm yy"))&amp;" "&amp;Milestones!$AB$98&amp;" "&amp;IF(AND(Milestones!$AB$98="FT",Milestones!$AA$98=FT_Y5,EDATE($D8,Milestones!$AA$98)&lt;PolicyEff),1,Milestones!$AC$98)&amp;";  ","")&amp;IF(AND(EDATE($D8,Milestones!$AA$99)&lt;=AsOfDate,EDATE($D8,Milestones!$AA$99)&gt;=SchemeStart,IF($X8=0,$AD8,IF(AND($Z8&lt;&gt;"",EDATE($D8,Milestones!$AA$99)&gt;=$Z8),$AC8,IF(AND($Y8&lt;&gt;"",EDATE($D8,Milestones!$AA$99)&gt;=$Y8),$AB8,$AA8)))=Milestones!$AB$99),UPPER(TEXT(EDATE($D8,Milestones!$AA$99),"dd mmm yy"))&amp;" "&amp;Milestones!$AB$99&amp;" "&amp;IF(AND(Milestones!$AB$99="FT",Milestones!$AA$99=FT_Y5,EDATE($D8,Milestones!$AA$99)&lt;PolicyEff),1,Milestones!$AC$99)&amp;";  ","")&amp;IF(AND(EDATE($D8,Milestones!$AA$100)&lt;=AsOfDate,EDATE($D8,Milestones!$AA$100)&gt;=SchemeStart,IF($X8=0,$AD8,IF(AND($Z8&lt;&gt;"",EDATE($D8,Milestones!$AA$100)&gt;=$Z8),$AC8,IF(AND($Y8&lt;&gt;"",EDATE($D8,Milestones!$AA$100)&gt;=$Y8),$AB8,$AA8)))=Milestones!$AB$100),UPPER(TEXT(EDATE($D8,Milestones!$AA$100),"dd mmm yy"))&amp;" "&amp;Milestones!$AB$100&amp;" "&amp;IF(AND(Milestones!$AB$100="FT",Milestones!$AA$100=FT_Y5,EDATE($D8,Milestones!$AA$100)&lt;PolicyEff),1,Milestones!$AC$100)&amp;";  ","")&amp;IF(AND(EDATE($D8,Milestones!$AA$101)&lt;=AsOfDate,EDATE($D8,Milestones!$AA$101)&gt;=SchemeStart,IF($X8=0,$AD8,IF(AND($Z8&lt;&gt;"",EDATE($D8,Milestones!$AA$101)&gt;=$Z8),$AC8,IF(AND($Y8&lt;&gt;"",EDATE($D8,Milestones!$AA$101)&gt;=$Y8),$AB8,$AA8)))=Milestones!$AB$101),UPPER(TEXT(EDATE($D8,Milestones!$AA$101),"dd mmm yy"))&amp;" "&amp;Milestones!$AB$101&amp;" "&amp;IF(AND(Milestones!$AB$101="FT",Milestones!$AA$101=FT_Y5,EDATE($D8,Milestones!$AA$101)&lt;PolicyEff),1,Milestones!$AC$101)&amp;";  ","")&amp;IF(AND(EDATE($D8,Milestones!$AA$102)&lt;=AsOfDate,EDATE($D8,Milestones!$AA$102)&gt;=SchemeStart,IF($X8=0,$AD8,IF(AND($Z8&lt;&gt;"",EDATE($D8,Milestones!$AA$102)&gt;=$Z8),$AC8,IF(AND($Y8&lt;&gt;"",EDATE($D8,Milestones!$AA$102)&gt;=$Y8),$AB8,$AA8)))=Milestones!$AB$102),UPPER(TEXT(EDATE($D8,Milestones!$AA$102),"dd mmm yy"))&amp;" "&amp;Milestones!$AB$102&amp;" "&amp;IF(AND(Milestones!$AB$102="FT",Milestones!$AA$102=FT_Y5,EDATE($D8,Milestones!$AA$102)&lt;PolicyEff),1,Milestones!$AC$102)&amp;";  ","")&amp;IF(AND(EDATE($D8,Milestones!$AA$103)&lt;=AsOfDate,EDATE($D8,Milestones!$AA$103)&gt;=SchemeStart,IF($X8=0,$AD8,IF(AND($Z8&lt;&gt;"",EDATE($D8,Milestones!$AA$103)&gt;=$Z8),$AC8,IF(AND($Y8&lt;&gt;"",EDATE($D8,Milestones!$AA$103)&gt;=$Y8),$AB8,$AA8)))=Milestones!$AB$103),UPPER(TEXT(EDATE($D8,Milestones!$AA$103),"dd mmm yy"))&amp;" "&amp;Milestones!$AB$103&amp;" "&amp;IF(AND(Milestones!$AB$103="FT",Milestones!$AA$103=FT_Y5,EDATE($D8,Milestones!$AA$103)&lt;PolicyEff),1,Milestones!$AC$103)&amp;";  ",""))</f>
        <v/>
      </c>
      <c r="P8" s="0" t="str">
        <f aca="false">IF(OR($A8="",$D8=""),"",IF(AND(EDATE($D8,Milestones!$AA$104)&lt;=AsOfDate,EDATE($D8,Milestones!$AA$104)&gt;=SchemeStart,IF($X8=0,$AD8,IF(AND($Z8&lt;&gt;"",EDATE($D8,Milestones!$AA$104)&gt;=$Z8),$AC8,IF(AND($Y8&lt;&gt;"",EDATE($D8,Milestones!$AA$104)&gt;=$Y8),$AB8,$AA8)))=Milestones!$AB$104),UPPER(TEXT(EDATE($D8,Milestones!$AA$104),"dd mmm yy"))&amp;" "&amp;Milestones!$AB$104&amp;" "&amp;IF(AND(Milestones!$AB$104="FT",Milestones!$AA$104=FT_Y5,EDATE($D8,Milestones!$AA$104)&lt;PolicyEff),1,Milestones!$AC$104)&amp;";  ","")&amp;IF(AND(EDATE($D8,Milestones!$AA$105)&lt;=AsOfDate,EDATE($D8,Milestones!$AA$105)&gt;=SchemeStart,IF($X8=0,$AD8,IF(AND($Z8&lt;&gt;"",EDATE($D8,Milestones!$AA$105)&gt;=$Z8),$AC8,IF(AND($Y8&lt;&gt;"",EDATE($D8,Milestones!$AA$105)&gt;=$Y8),$AB8,$AA8)))=Milestones!$AB$105),UPPER(TEXT(EDATE($D8,Milestones!$AA$105),"dd mmm yy"))&amp;" "&amp;Milestones!$AB$105&amp;" "&amp;IF(AND(Milestones!$AB$105="FT",Milestones!$AA$105=FT_Y5,EDATE($D8,Milestones!$AA$105)&lt;PolicyEff),1,Milestones!$AC$105)&amp;";  ","")&amp;IF(AND(EDATE($D8,Milestones!$AA$106)&lt;=AsOfDate,EDATE($D8,Milestones!$AA$106)&gt;=SchemeStart,IF($X8=0,$AD8,IF(AND($Z8&lt;&gt;"",EDATE($D8,Milestones!$AA$106)&gt;=$Z8),$AC8,IF(AND($Y8&lt;&gt;"",EDATE($D8,Milestones!$AA$106)&gt;=$Y8),$AB8,$AA8)))=Milestones!$AB$106),UPPER(TEXT(EDATE($D8,Milestones!$AA$106),"dd mmm yy"))&amp;" "&amp;Milestones!$AB$106&amp;" "&amp;IF(AND(Milestones!$AB$106="FT",Milestones!$AA$106=FT_Y5,EDATE($D8,Milestones!$AA$106)&lt;PolicyEff),1,Milestones!$AC$106)&amp;";  ","")&amp;IF(AND(EDATE($D8,Milestones!$AA$107)&lt;=AsOfDate,EDATE($D8,Milestones!$AA$107)&gt;=SchemeStart,IF($X8=0,$AD8,IF(AND($Z8&lt;&gt;"",EDATE($D8,Milestones!$AA$107)&gt;=$Z8),$AC8,IF(AND($Y8&lt;&gt;"",EDATE($D8,Milestones!$AA$107)&gt;=$Y8),$AB8,$AA8)))=Milestones!$AB$107),UPPER(TEXT(EDATE($D8,Milestones!$AA$107),"dd mmm yy"))&amp;" "&amp;Milestones!$AB$107&amp;" "&amp;IF(AND(Milestones!$AB$107="FT",Milestones!$AA$107=FT_Y5,EDATE($D8,Milestones!$AA$107)&lt;PolicyEff),1,Milestones!$AC$107)&amp;";  ","")&amp;IF(AND(EDATE($D8,Milestones!$AA$108)&lt;=AsOfDate,EDATE($D8,Milestones!$AA$108)&gt;=SchemeStart,IF($X8=0,$AD8,IF(AND($Z8&lt;&gt;"",EDATE($D8,Milestones!$AA$108)&gt;=$Z8),$AC8,IF(AND($Y8&lt;&gt;"",EDATE($D8,Milestones!$AA$108)&gt;=$Y8),$AB8,$AA8)))=Milestones!$AB$108),UPPER(TEXT(EDATE($D8,Milestones!$AA$108),"dd mmm yy"))&amp;" "&amp;Milestones!$AB$108&amp;" "&amp;IF(AND(Milestones!$AB$108="FT",Milestones!$AA$108=FT_Y5,EDATE($D8,Milestones!$AA$108)&lt;PolicyEff),1,Milestones!$AC$108)&amp;";  ","")&amp;IF(AND(EDATE($D8,Milestones!$AA$109)&lt;=AsOfDate,EDATE($D8,Milestones!$AA$109)&gt;=SchemeStart,IF($X8=0,$AD8,IF(AND($Z8&lt;&gt;"",EDATE($D8,Milestones!$AA$109)&gt;=$Z8),$AC8,IF(AND($Y8&lt;&gt;"",EDATE($D8,Milestones!$AA$109)&gt;=$Y8),$AB8,$AA8)))=Milestones!$AB$109),UPPER(TEXT(EDATE($D8,Milestones!$AA$109),"dd mmm yy"))&amp;" "&amp;Milestones!$AB$109&amp;" "&amp;IF(AND(Milestones!$AB$109="FT",Milestones!$AA$109=FT_Y5,EDATE($D8,Milestones!$AA$109)&lt;PolicyEff),1,Milestones!$AC$109)&amp;";  ","")&amp;IF(AND(EDATE($D8,Milestones!$AA$110)&lt;=AsOfDate,EDATE($D8,Milestones!$AA$110)&gt;=SchemeStart,IF($X8=0,$AD8,IF(AND($Z8&lt;&gt;"",EDATE($D8,Milestones!$AA$110)&gt;=$Z8),$AC8,IF(AND($Y8&lt;&gt;"",EDATE($D8,Milestones!$AA$110)&gt;=$Y8),$AB8,$AA8)))=Milestones!$AB$110),UPPER(TEXT(EDATE($D8,Milestones!$AA$110),"dd mmm yy"))&amp;" "&amp;Milestones!$AB$110&amp;" "&amp;IF(AND(Milestones!$AB$110="FT",Milestones!$AA$110=FT_Y5,EDATE($D8,Milestones!$AA$110)&lt;PolicyEff),1,Milestones!$AC$110)&amp;";  ","")&amp;IF(AND(EDATE($D8,Milestones!$AA$111)&lt;=AsOfDate,EDATE($D8,Milestones!$AA$111)&gt;=SchemeStart,IF($X8=0,$AD8,IF(AND($Z8&lt;&gt;"",EDATE($D8,Milestones!$AA$111)&gt;=$Z8),$AC8,IF(AND($Y8&lt;&gt;"",EDATE($D8,Milestones!$AA$111)&gt;=$Y8),$AB8,$AA8)))=Milestones!$AB$111),UPPER(TEXT(EDATE($D8,Milestones!$AA$111),"dd mmm yy"))&amp;" "&amp;Milestones!$AB$111&amp;" "&amp;IF(AND(Milestones!$AB$111="FT",Milestones!$AA$111=FT_Y5,EDATE($D8,Milestones!$AA$111)&lt;PolicyEff),1,Milestones!$AC$111)&amp;";  ","")&amp;IF(AND(EDATE($D8,Milestones!$AA$112)&lt;=AsOfDate,EDATE($D8,Milestones!$AA$112)&gt;=SchemeStart,IF($X8=0,$AD8,IF(AND($Z8&lt;&gt;"",EDATE($D8,Milestones!$AA$112)&gt;=$Z8),$AC8,IF(AND($Y8&lt;&gt;"",EDATE($D8,Milestones!$AA$112)&gt;=$Y8),$AB8,$AA8)))=Milestones!$AB$112),UPPER(TEXT(EDATE($D8,Milestones!$AA$112),"dd mmm yy"))&amp;" "&amp;Milestones!$AB$112&amp;" "&amp;IF(AND(Milestones!$AB$112="FT",Milestones!$AA$112=FT_Y5,EDATE($D8,Milestones!$AA$112)&lt;PolicyEff),1,Milestones!$AC$112)&amp;";  ","")&amp;IF(AND(EDATE($D8,Milestones!$AA$113)&lt;=AsOfDate,EDATE($D8,Milestones!$AA$113)&gt;=SchemeStart,IF($X8=0,$AD8,IF(AND($Z8&lt;&gt;"",EDATE($D8,Milestones!$AA$113)&gt;=$Z8),$AC8,IF(AND($Y8&lt;&gt;"",EDATE($D8,Milestones!$AA$113)&gt;=$Y8),$AB8,$AA8)))=Milestones!$AB$113),UPPER(TEXT(EDATE($D8,Milestones!$AA$113),"dd mmm yy"))&amp;" "&amp;Milestones!$AB$113&amp;" "&amp;IF(AND(Milestones!$AB$113="FT",Milestones!$AA$113=FT_Y5,EDATE($D8,Milestones!$AA$113)&lt;PolicyEff),1,Milestones!$AC$113)&amp;";  ","")&amp;IF(AND(EDATE($D8,Milestones!$AA$114)&lt;=AsOfDate,EDATE($D8,Milestones!$AA$114)&gt;=SchemeStart,IF($X8=0,$AD8,IF(AND($Z8&lt;&gt;"",EDATE($D8,Milestones!$AA$114)&gt;=$Z8),$AC8,IF(AND($Y8&lt;&gt;"",EDATE($D8,Milestones!$AA$114)&gt;=$Y8),$AB8,$AA8)))=Milestones!$AB$114),UPPER(TEXT(EDATE($D8,Milestones!$AA$114),"dd mmm yy"))&amp;" "&amp;Milestones!$AB$114&amp;" "&amp;IF(AND(Milestones!$AB$114="FT",Milestones!$AA$114=FT_Y5,EDATE($D8,Milestones!$AA$114)&lt;PolicyEff),1,Milestones!$AC$114)&amp;";  ","")&amp;IF(AND(EDATE($D8,Milestones!$AA$115)&lt;=AsOfDate,EDATE($D8,Milestones!$AA$115)&gt;=SchemeStart,IF($X8=0,$AD8,IF(AND($Z8&lt;&gt;"",EDATE($D8,Milestones!$AA$115)&gt;=$Z8),$AC8,IF(AND($Y8&lt;&gt;"",EDATE($D8,Milestones!$AA$115)&gt;=$Y8),$AB8,$AA8)))=Milestones!$AB$115),UPPER(TEXT(EDATE($D8,Milestones!$AA$115),"dd mmm yy"))&amp;" "&amp;Milestones!$AB$115&amp;" "&amp;IF(AND(Milestones!$AB$115="FT",Milestones!$AA$115=FT_Y5,EDATE($D8,Milestones!$AA$115)&lt;PolicyEff),1,Milestones!$AC$115)&amp;";  ",""))</f>
        <v/>
      </c>
      <c r="Q8" s="0" t="str">
        <f aca="false">IF(OR($A8="",$D8=""),"",IF(AND(EDATE($D8,Milestones!$AA$116)&lt;=AsOfDate,EDATE($D8,Milestones!$AA$116)&gt;=SchemeStart,IF($X8=0,$AD8,IF(AND($Z8&lt;&gt;"",EDATE($D8,Milestones!$AA$116)&gt;=$Z8),$AC8,IF(AND($Y8&lt;&gt;"",EDATE($D8,Milestones!$AA$116)&gt;=$Y8),$AB8,$AA8)))=Milestones!$AB$116),UPPER(TEXT(EDATE($D8,Milestones!$AA$116),"dd mmm yy"))&amp;" "&amp;Milestones!$AB$116&amp;" "&amp;IF(AND(Milestones!$AB$116="FT",Milestones!$AA$116=FT_Y5,EDATE($D8,Milestones!$AA$116)&lt;PolicyEff),1,Milestones!$AC$116)&amp;";  ","")&amp;IF(AND(EDATE($D8,Milestones!$AA$117)&lt;=AsOfDate,EDATE($D8,Milestones!$AA$117)&gt;=SchemeStart,IF($X8=0,$AD8,IF(AND($Z8&lt;&gt;"",EDATE($D8,Milestones!$AA$117)&gt;=$Z8),$AC8,IF(AND($Y8&lt;&gt;"",EDATE($D8,Milestones!$AA$117)&gt;=$Y8),$AB8,$AA8)))=Milestones!$AB$117),UPPER(TEXT(EDATE($D8,Milestones!$AA$117),"dd mmm yy"))&amp;" "&amp;Milestones!$AB$117&amp;" "&amp;IF(AND(Milestones!$AB$117="FT",Milestones!$AA$117=FT_Y5,EDATE($D8,Milestones!$AA$117)&lt;PolicyEff),1,Milestones!$AC$117)&amp;";  ","")&amp;IF(AND(EDATE($D8,Milestones!$AA$118)&lt;=AsOfDate,EDATE($D8,Milestones!$AA$118)&gt;=SchemeStart,IF($X8=0,$AD8,IF(AND($Z8&lt;&gt;"",EDATE($D8,Milestones!$AA$118)&gt;=$Z8),$AC8,IF(AND($Y8&lt;&gt;"",EDATE($D8,Milestones!$AA$118)&gt;=$Y8),$AB8,$AA8)))=Milestones!$AB$118),UPPER(TEXT(EDATE($D8,Milestones!$AA$118),"dd mmm yy"))&amp;" "&amp;Milestones!$AB$118&amp;" "&amp;IF(AND(Milestones!$AB$118="FT",Milestones!$AA$118=FT_Y5,EDATE($D8,Milestones!$AA$118)&lt;PolicyEff),1,Milestones!$AC$118)&amp;";  ","")&amp;IF(AND(EDATE($D8,Milestones!$AA$119)&lt;=AsOfDate,EDATE($D8,Milestones!$AA$119)&gt;=SchemeStart,IF($X8=0,$AD8,IF(AND($Z8&lt;&gt;"",EDATE($D8,Milestones!$AA$119)&gt;=$Z8),$AC8,IF(AND($Y8&lt;&gt;"",EDATE($D8,Milestones!$AA$119)&gt;=$Y8),$AB8,$AA8)))=Milestones!$AB$119),UPPER(TEXT(EDATE($D8,Milestones!$AA$119),"dd mmm yy"))&amp;" "&amp;Milestones!$AB$119&amp;" "&amp;IF(AND(Milestones!$AB$119="FT",Milestones!$AA$119=FT_Y5,EDATE($D8,Milestones!$AA$119)&lt;PolicyEff),1,Milestones!$AC$119)&amp;";  ","")&amp;IF(AND(EDATE($D8,Milestones!$AA$120)&lt;=AsOfDate,EDATE($D8,Milestones!$AA$120)&gt;=SchemeStart,IF($X8=0,$AD8,IF(AND($Z8&lt;&gt;"",EDATE($D8,Milestones!$AA$120)&gt;=$Z8),$AC8,IF(AND($Y8&lt;&gt;"",EDATE($D8,Milestones!$AA$120)&gt;=$Y8),$AB8,$AA8)))=Milestones!$AB$120),UPPER(TEXT(EDATE($D8,Milestones!$AA$120),"dd mmm yy"))&amp;" "&amp;Milestones!$AB$120&amp;" "&amp;IF(AND(Milestones!$AB$120="FT",Milestones!$AA$120=FT_Y5,EDATE($D8,Milestones!$AA$120)&lt;PolicyEff),1,Milestones!$AC$120)&amp;";  ","")&amp;IF(AND(EDATE($D8,Milestones!$AA$121)&lt;=AsOfDate,EDATE($D8,Milestones!$AA$121)&gt;=SchemeStart,IF($X8=0,$AD8,IF(AND($Z8&lt;&gt;"",EDATE($D8,Milestones!$AA$121)&gt;=$Z8),$AC8,IF(AND($Y8&lt;&gt;"",EDATE($D8,Milestones!$AA$121)&gt;=$Y8),$AB8,$AA8)))=Milestones!$AB$121),UPPER(TEXT(EDATE($D8,Milestones!$AA$121),"dd mmm yy"))&amp;" "&amp;Milestones!$AB$121&amp;" "&amp;IF(AND(Milestones!$AB$121="FT",Milestones!$AA$121=FT_Y5,EDATE($D8,Milestones!$AA$121)&lt;PolicyEff),1,Milestones!$AC$121)&amp;";  ","")&amp;IF(AND(EDATE($D8,Milestones!$AA$122)&lt;=AsOfDate,EDATE($D8,Milestones!$AA$122)&gt;=SchemeStart,IF($X8=0,$AD8,IF(AND($Z8&lt;&gt;"",EDATE($D8,Milestones!$AA$122)&gt;=$Z8),$AC8,IF(AND($Y8&lt;&gt;"",EDATE($D8,Milestones!$AA$122)&gt;=$Y8),$AB8,$AA8)))=Milestones!$AB$122),UPPER(TEXT(EDATE($D8,Milestones!$AA$122),"dd mmm yy"))&amp;" "&amp;Milestones!$AB$122&amp;" "&amp;IF(AND(Milestones!$AB$122="FT",Milestones!$AA$122=FT_Y5,EDATE($D8,Milestones!$AA$122)&lt;PolicyEff),1,Milestones!$AC$122)&amp;";  ","")&amp;IF(AND(EDATE($D8,Milestones!$AA$123)&lt;=AsOfDate,EDATE($D8,Milestones!$AA$123)&gt;=SchemeStart,IF($X8=0,$AD8,IF(AND($Z8&lt;&gt;"",EDATE($D8,Milestones!$AA$123)&gt;=$Z8),$AC8,IF(AND($Y8&lt;&gt;"",EDATE($D8,Milestones!$AA$123)&gt;=$Y8),$AB8,$AA8)))=Milestones!$AB$123),UPPER(TEXT(EDATE($D8,Milestones!$AA$123),"dd mmm yy"))&amp;" "&amp;Milestones!$AB$123&amp;" "&amp;IF(AND(Milestones!$AB$123="FT",Milestones!$AA$123=FT_Y5,EDATE($D8,Milestones!$AA$123)&lt;PolicyEff),1,Milestones!$AC$123)&amp;";  ","")&amp;IF(AND(EDATE($D8,Milestones!$AA$124)&lt;=AsOfDate,EDATE($D8,Milestones!$AA$124)&gt;=SchemeStart,IF($X8=0,$AD8,IF(AND($Z8&lt;&gt;"",EDATE($D8,Milestones!$AA$124)&gt;=$Z8),$AC8,IF(AND($Y8&lt;&gt;"",EDATE($D8,Milestones!$AA$124)&gt;=$Y8),$AB8,$AA8)))=Milestones!$AB$124),UPPER(TEXT(EDATE($D8,Milestones!$AA$124),"dd mmm yy"))&amp;" "&amp;Milestones!$AB$124&amp;" "&amp;IF(AND(Milestones!$AB$124="FT",Milestones!$AA$124=FT_Y5,EDATE($D8,Milestones!$AA$124)&lt;PolicyEff),1,Milestones!$AC$124)&amp;";  ","")&amp;IF(AND(EDATE($D8,Milestones!$AA$125)&lt;=AsOfDate,EDATE($D8,Milestones!$AA$125)&gt;=SchemeStart,IF($X8=0,$AD8,IF(AND($Z8&lt;&gt;"",EDATE($D8,Milestones!$AA$125)&gt;=$Z8),$AC8,IF(AND($Y8&lt;&gt;"",EDATE($D8,Milestones!$AA$125)&gt;=$Y8),$AB8,$AA8)))=Milestones!$AB$125),UPPER(TEXT(EDATE($D8,Milestones!$AA$125),"dd mmm yy"))&amp;" "&amp;Milestones!$AB$125&amp;" "&amp;IF(AND(Milestones!$AB$125="FT",Milestones!$AA$125=FT_Y5,EDATE($D8,Milestones!$AA$125)&lt;PolicyEff),1,Milestones!$AC$125)&amp;";  ","")&amp;IF(AND(EDATE($D8,Milestones!$AA$126)&lt;=AsOfDate,EDATE($D8,Milestones!$AA$126)&gt;=SchemeStart,IF($X8=0,$AD8,IF(AND($Z8&lt;&gt;"",EDATE($D8,Milestones!$AA$126)&gt;=$Z8),$AC8,IF(AND($Y8&lt;&gt;"",EDATE($D8,Milestones!$AA$126)&gt;=$Y8),$AB8,$AA8)))=Milestones!$AB$126),UPPER(TEXT(EDATE($D8,Milestones!$AA$126),"dd mmm yy"))&amp;" "&amp;Milestones!$AB$126&amp;" "&amp;IF(AND(Milestones!$AB$126="FT",Milestones!$AA$126=FT_Y5,EDATE($D8,Milestones!$AA$126)&lt;PolicyEff),1,Milestones!$AC$126)&amp;";  ","")&amp;IF(AND(EDATE($D8,Milestones!$AA$127)&lt;=AsOfDate,EDATE($D8,Milestones!$AA$127)&gt;=SchemeStart,IF($X8=0,$AD8,IF(AND($Z8&lt;&gt;"",EDATE($D8,Milestones!$AA$127)&gt;=$Z8),$AC8,IF(AND($Y8&lt;&gt;"",EDATE($D8,Milestones!$AA$127)&gt;=$Y8),$AB8,$AA8)))=Milestones!$AB$127),UPPER(TEXT(EDATE($D8,Milestones!$AA$127),"dd mmm yy"))&amp;" "&amp;Milestones!$AB$127&amp;" "&amp;IF(AND(Milestones!$AB$127="FT",Milestones!$AA$127=FT_Y5,EDATE($D8,Milestones!$AA$127)&lt;PolicyEff),1,Milestones!$AC$127)&amp;";  ",""))</f>
        <v/>
      </c>
      <c r="R8" s="0" t="str">
        <f aca="false">IF(OR($A8="",$D8=""),"",IF(AND(EDATE($D8,Milestones!$AA$128)&lt;=AsOfDate,EDATE($D8,Milestones!$AA$128)&gt;=SchemeStart,IF($X8=0,$AD8,IF(AND($Z8&lt;&gt;"",EDATE($D8,Milestones!$AA$128)&gt;=$Z8),$AC8,IF(AND($Y8&lt;&gt;"",EDATE($D8,Milestones!$AA$128)&gt;=$Y8),$AB8,$AA8)))=Milestones!$AB$128),UPPER(TEXT(EDATE($D8,Milestones!$AA$128),"dd mmm yy"))&amp;" "&amp;Milestones!$AB$128&amp;" "&amp;IF(AND(Milestones!$AB$128="FT",Milestones!$AA$128=FT_Y5,EDATE($D8,Milestones!$AA$128)&lt;PolicyEff),1,Milestones!$AC$128)&amp;";  ","")&amp;IF(AND(EDATE($D8,Milestones!$AA$129)&lt;=AsOfDate,EDATE($D8,Milestones!$AA$129)&gt;=SchemeStart,IF($X8=0,$AD8,IF(AND($Z8&lt;&gt;"",EDATE($D8,Milestones!$AA$129)&gt;=$Z8),$AC8,IF(AND($Y8&lt;&gt;"",EDATE($D8,Milestones!$AA$129)&gt;=$Y8),$AB8,$AA8)))=Milestones!$AB$129),UPPER(TEXT(EDATE($D8,Milestones!$AA$129),"dd mmm yy"))&amp;" "&amp;Milestones!$AB$129&amp;" "&amp;IF(AND(Milestones!$AB$129="FT",Milestones!$AA$129=FT_Y5,EDATE($D8,Milestones!$AA$129)&lt;PolicyEff),1,Milestones!$AC$129)&amp;";  ","")&amp;IF(AND(EDATE($D8,Milestones!$AA$130)&lt;=AsOfDate,EDATE($D8,Milestones!$AA$130)&gt;=SchemeStart,IF($X8=0,$AD8,IF(AND($Z8&lt;&gt;"",EDATE($D8,Milestones!$AA$130)&gt;=$Z8),$AC8,IF(AND($Y8&lt;&gt;"",EDATE($D8,Milestones!$AA$130)&gt;=$Y8),$AB8,$AA8)))=Milestones!$AB$130),UPPER(TEXT(EDATE($D8,Milestones!$AA$130),"dd mmm yy"))&amp;" "&amp;Milestones!$AB$130&amp;" "&amp;IF(AND(Milestones!$AB$130="FT",Milestones!$AA$130=FT_Y5,EDATE($D8,Milestones!$AA$130)&lt;PolicyEff),1,Milestones!$AC$130)&amp;";  ","")&amp;IF(AND(EDATE($D8,Milestones!$AA$131)&lt;=AsOfDate,EDATE($D8,Milestones!$AA$131)&gt;=SchemeStart,IF($X8=0,$AD8,IF(AND($Z8&lt;&gt;"",EDATE($D8,Milestones!$AA$131)&gt;=$Z8),$AC8,IF(AND($Y8&lt;&gt;"",EDATE($D8,Milestones!$AA$131)&gt;=$Y8),$AB8,$AA8)))=Milestones!$AB$131),UPPER(TEXT(EDATE($D8,Milestones!$AA$131),"dd mmm yy"))&amp;" "&amp;Milestones!$AB$131&amp;" "&amp;IF(AND(Milestones!$AB$131="FT",Milestones!$AA$131=FT_Y5,EDATE($D8,Milestones!$AA$131)&lt;PolicyEff),1,Milestones!$AC$131)&amp;";  ","")&amp;IF(AND(EDATE($D8,Milestones!$AA$132)&lt;=AsOfDate,EDATE($D8,Milestones!$AA$132)&gt;=SchemeStart,IF($X8=0,$AD8,IF(AND($Z8&lt;&gt;"",EDATE($D8,Milestones!$AA$132)&gt;=$Z8),$AC8,IF(AND($Y8&lt;&gt;"",EDATE($D8,Milestones!$AA$132)&gt;=$Y8),$AB8,$AA8)))=Milestones!$AB$132),UPPER(TEXT(EDATE($D8,Milestones!$AA$132),"dd mmm yy"))&amp;" "&amp;Milestones!$AB$132&amp;" "&amp;IF(AND(Milestones!$AB$132="FT",Milestones!$AA$132=FT_Y5,EDATE($D8,Milestones!$AA$132)&lt;PolicyEff),1,Milestones!$AC$132)&amp;";  ","")&amp;IF(AND(EDATE($D8,Milestones!$AA$133)&lt;=AsOfDate,EDATE($D8,Milestones!$AA$133)&gt;=SchemeStart,IF($X8=0,$AD8,IF(AND($Z8&lt;&gt;"",EDATE($D8,Milestones!$AA$133)&gt;=$Z8),$AC8,IF(AND($Y8&lt;&gt;"",EDATE($D8,Milestones!$AA$133)&gt;=$Y8),$AB8,$AA8)))=Milestones!$AB$133),UPPER(TEXT(EDATE($D8,Milestones!$AA$133),"dd mmm yy"))&amp;" "&amp;Milestones!$AB$133&amp;" "&amp;IF(AND(Milestones!$AB$133="FT",Milestones!$AA$133=FT_Y5,EDATE($D8,Milestones!$AA$133)&lt;PolicyEff),1,Milestones!$AC$133)&amp;";  ","")&amp;IF(AND(EDATE($D8,Milestones!$AA$134)&lt;=AsOfDate,EDATE($D8,Milestones!$AA$134)&gt;=SchemeStart,IF($X8=0,$AD8,IF(AND($Z8&lt;&gt;"",EDATE($D8,Milestones!$AA$134)&gt;=$Z8),$AC8,IF(AND($Y8&lt;&gt;"",EDATE($D8,Milestones!$AA$134)&gt;=$Y8),$AB8,$AA8)))=Milestones!$AB$134),UPPER(TEXT(EDATE($D8,Milestones!$AA$134),"dd mmm yy"))&amp;" "&amp;Milestones!$AB$134&amp;" "&amp;IF(AND(Milestones!$AB$134="FT",Milestones!$AA$134=FT_Y5,EDATE($D8,Milestones!$AA$134)&lt;PolicyEff),1,Milestones!$AC$134)&amp;";  ","")&amp;IF(AND(EDATE($D8,Milestones!$AA$135)&lt;=AsOfDate,EDATE($D8,Milestones!$AA$135)&gt;=SchemeStart,IF($X8=0,$AD8,IF(AND($Z8&lt;&gt;"",EDATE($D8,Milestones!$AA$135)&gt;=$Z8),$AC8,IF(AND($Y8&lt;&gt;"",EDATE($D8,Milestones!$AA$135)&gt;=$Y8),$AB8,$AA8)))=Milestones!$AB$135),UPPER(TEXT(EDATE($D8,Milestones!$AA$135),"dd mmm yy"))&amp;" "&amp;Milestones!$AB$135&amp;" "&amp;IF(AND(Milestones!$AB$135="FT",Milestones!$AA$135=FT_Y5,EDATE($D8,Milestones!$AA$135)&lt;PolicyEff),1,Milestones!$AC$135)&amp;";  ","")&amp;IF(AND(EDATE($D8,Milestones!$AA$136)&lt;=AsOfDate,EDATE($D8,Milestones!$AA$136)&gt;=SchemeStart,IF($X8=0,$AD8,IF(AND($Z8&lt;&gt;"",EDATE($D8,Milestones!$AA$136)&gt;=$Z8),$AC8,IF(AND($Y8&lt;&gt;"",EDATE($D8,Milestones!$AA$136)&gt;=$Y8),$AB8,$AA8)))=Milestones!$AB$136),UPPER(TEXT(EDATE($D8,Milestones!$AA$136),"dd mmm yy"))&amp;" "&amp;Milestones!$AB$136&amp;" "&amp;IF(AND(Milestones!$AB$136="FT",Milestones!$AA$136=FT_Y5,EDATE($D8,Milestones!$AA$136)&lt;PolicyEff),1,Milestones!$AC$136)&amp;";  ","")&amp;IF(AND(EDATE($D8,Milestones!$AA$137)&lt;=AsOfDate,EDATE($D8,Milestones!$AA$137)&gt;=SchemeStart,IF($X8=0,$AD8,IF(AND($Z8&lt;&gt;"",EDATE($D8,Milestones!$AA$137)&gt;=$Z8),$AC8,IF(AND($Y8&lt;&gt;"",EDATE($D8,Milestones!$AA$137)&gt;=$Y8),$AB8,$AA8)))=Milestones!$AB$137),UPPER(TEXT(EDATE($D8,Milestones!$AA$137),"dd mmm yy"))&amp;" "&amp;Milestones!$AB$137&amp;" "&amp;IF(AND(Milestones!$AB$137="FT",Milestones!$AA$137=FT_Y5,EDATE($D8,Milestones!$AA$137)&lt;PolicyEff),1,Milestones!$AC$137)&amp;";  ","")&amp;IF(AND(EDATE($D8,Milestones!$AA$138)&lt;=AsOfDate,EDATE($D8,Milestones!$AA$138)&gt;=SchemeStart,IF($X8=0,$AD8,IF(AND($Z8&lt;&gt;"",EDATE($D8,Milestones!$AA$138)&gt;=$Z8),$AC8,IF(AND($Y8&lt;&gt;"",EDATE($D8,Milestones!$AA$138)&gt;=$Y8),$AB8,$AA8)))=Milestones!$AB$138),UPPER(TEXT(EDATE($D8,Milestones!$AA$138),"dd mmm yy"))&amp;" "&amp;Milestones!$AB$138&amp;" "&amp;IF(AND(Milestones!$AB$138="FT",Milestones!$AA$138=FT_Y5,EDATE($D8,Milestones!$AA$138)&lt;PolicyEff),1,Milestones!$AC$138)&amp;";  ","")&amp;IF(AND(EDATE($D8,Milestones!$AA$139)&lt;=AsOfDate,EDATE($D8,Milestones!$AA$139)&gt;=SchemeStart,IF($X8=0,$AD8,IF(AND($Z8&lt;&gt;"",EDATE($D8,Milestones!$AA$139)&gt;=$Z8),$AC8,IF(AND($Y8&lt;&gt;"",EDATE($D8,Milestones!$AA$139)&gt;=$Y8),$AB8,$AA8)))=Milestones!$AB$139),UPPER(TEXT(EDATE($D8,Milestones!$AA$139),"dd mmm yy"))&amp;" "&amp;Milestones!$AB$139&amp;" "&amp;IF(AND(Milestones!$AB$139="FT",Milestones!$AA$139=FT_Y5,EDATE($D8,Milestones!$AA$139)&lt;PolicyEff),1,Milestones!$AC$139)&amp;";  ",""))</f>
        <v/>
      </c>
      <c r="S8" s="0" t="str">
        <f aca="false">IF(OR($A8="",$D8=""),"",IF(AND(EDATE($D8,Milestones!$AA$140)&lt;=AsOfDate,EDATE($D8,Milestones!$AA$140)&gt;=SchemeStart,IF($X8=0,$AD8,IF(AND($Z8&lt;&gt;"",EDATE($D8,Milestones!$AA$140)&gt;=$Z8),$AC8,IF(AND($Y8&lt;&gt;"",EDATE($D8,Milestones!$AA$140)&gt;=$Y8),$AB8,$AA8)))=Milestones!$AB$140),UPPER(TEXT(EDATE($D8,Milestones!$AA$140),"dd mmm yy"))&amp;" "&amp;Milestones!$AB$140&amp;" "&amp;IF(AND(Milestones!$AB$140="FT",Milestones!$AA$140=FT_Y5,EDATE($D8,Milestones!$AA$140)&lt;PolicyEff),1,Milestones!$AC$140)&amp;";  ","")&amp;IF(AND(EDATE($D8,Milestones!$AA$141)&lt;=AsOfDate,EDATE($D8,Milestones!$AA$141)&gt;=SchemeStart,IF($X8=0,$AD8,IF(AND($Z8&lt;&gt;"",EDATE($D8,Milestones!$AA$141)&gt;=$Z8),$AC8,IF(AND($Y8&lt;&gt;"",EDATE($D8,Milestones!$AA$141)&gt;=$Y8),$AB8,$AA8)))=Milestones!$AB$141),UPPER(TEXT(EDATE($D8,Milestones!$AA$141),"dd mmm yy"))&amp;" "&amp;Milestones!$AB$141&amp;" "&amp;IF(AND(Milestones!$AB$141="FT",Milestones!$AA$141=FT_Y5,EDATE($D8,Milestones!$AA$141)&lt;PolicyEff),1,Milestones!$AC$141)&amp;";  ","")&amp;IF(AND(EDATE($D8,Milestones!$AA$142)&lt;=AsOfDate,EDATE($D8,Milestones!$AA$142)&gt;=SchemeStart,IF($X8=0,$AD8,IF(AND($Z8&lt;&gt;"",EDATE($D8,Milestones!$AA$142)&gt;=$Z8),$AC8,IF(AND($Y8&lt;&gt;"",EDATE($D8,Milestones!$AA$142)&gt;=$Y8),$AB8,$AA8)))=Milestones!$AB$142),UPPER(TEXT(EDATE($D8,Milestones!$AA$142),"dd mmm yy"))&amp;" "&amp;Milestones!$AB$142&amp;" "&amp;IF(AND(Milestones!$AB$142="FT",Milestones!$AA$142=FT_Y5,EDATE($D8,Milestones!$AA$142)&lt;PolicyEff),1,Milestones!$AC$142)&amp;";  ","")&amp;IF(AND(EDATE($D8,Milestones!$AA$143)&lt;=AsOfDate,EDATE($D8,Milestones!$AA$143)&gt;=SchemeStart,IF($X8=0,$AD8,IF(AND($Z8&lt;&gt;"",EDATE($D8,Milestones!$AA$143)&gt;=$Z8),$AC8,IF(AND($Y8&lt;&gt;"",EDATE($D8,Milestones!$AA$143)&gt;=$Y8),$AB8,$AA8)))=Milestones!$AB$143),UPPER(TEXT(EDATE($D8,Milestones!$AA$143),"dd mmm yy"))&amp;" "&amp;Milestones!$AB$143&amp;" "&amp;IF(AND(Milestones!$AB$143="FT",Milestones!$AA$143=FT_Y5,EDATE($D8,Milestones!$AA$143)&lt;PolicyEff),1,Milestones!$AC$143)&amp;";  ","")&amp;IF(AND(EDATE($D8,Milestones!$AA$144)&lt;=AsOfDate,EDATE($D8,Milestones!$AA$144)&gt;=SchemeStart,IF($X8=0,$AD8,IF(AND($Z8&lt;&gt;"",EDATE($D8,Milestones!$AA$144)&gt;=$Z8),$AC8,IF(AND($Y8&lt;&gt;"",EDATE($D8,Milestones!$AA$144)&gt;=$Y8),$AB8,$AA8)))=Milestones!$AB$144),UPPER(TEXT(EDATE($D8,Milestones!$AA$144),"dd mmm yy"))&amp;" "&amp;Milestones!$AB$144&amp;" "&amp;IF(AND(Milestones!$AB$144="FT",Milestones!$AA$144=FT_Y5,EDATE($D8,Milestones!$AA$144)&lt;PolicyEff),1,Milestones!$AC$144)&amp;";  ","")&amp;IF(AND(EDATE($D8,Milestones!$AA$145)&lt;=AsOfDate,EDATE($D8,Milestones!$AA$145)&gt;=SchemeStart,IF($X8=0,$AD8,IF(AND($Z8&lt;&gt;"",EDATE($D8,Milestones!$AA$145)&gt;=$Z8),$AC8,IF(AND($Y8&lt;&gt;"",EDATE($D8,Milestones!$AA$145)&gt;=$Y8),$AB8,$AA8)))=Milestones!$AB$145),UPPER(TEXT(EDATE($D8,Milestones!$AA$145),"dd mmm yy"))&amp;" "&amp;Milestones!$AB$145&amp;" "&amp;IF(AND(Milestones!$AB$145="FT",Milestones!$AA$145=FT_Y5,EDATE($D8,Milestones!$AA$145)&lt;PolicyEff),1,Milestones!$AC$145)&amp;";  ","")&amp;IF(AND(EDATE($D8,Milestones!$AA$146)&lt;=AsOfDate,EDATE($D8,Milestones!$AA$146)&gt;=SchemeStart,IF($X8=0,$AD8,IF(AND($Z8&lt;&gt;"",EDATE($D8,Milestones!$AA$146)&gt;=$Z8),$AC8,IF(AND($Y8&lt;&gt;"",EDATE($D8,Milestones!$AA$146)&gt;=$Y8),$AB8,$AA8)))=Milestones!$AB$146),UPPER(TEXT(EDATE($D8,Milestones!$AA$146),"dd mmm yy"))&amp;" "&amp;Milestones!$AB$146&amp;" "&amp;IF(AND(Milestones!$AB$146="FT",Milestones!$AA$146=FT_Y5,EDATE($D8,Milestones!$AA$146)&lt;PolicyEff),1,Milestones!$AC$146)&amp;";  ","")&amp;IF(AND(EDATE($D8,Milestones!$AA$147)&lt;=AsOfDate,EDATE($D8,Milestones!$AA$147)&gt;=SchemeStart,IF($X8=0,$AD8,IF(AND($Z8&lt;&gt;"",EDATE($D8,Milestones!$AA$147)&gt;=$Z8),$AC8,IF(AND($Y8&lt;&gt;"",EDATE($D8,Milestones!$AA$147)&gt;=$Y8),$AB8,$AA8)))=Milestones!$AB$147),UPPER(TEXT(EDATE($D8,Milestones!$AA$147),"dd mmm yy"))&amp;" "&amp;Milestones!$AB$147&amp;" "&amp;IF(AND(Milestones!$AB$147="FT",Milestones!$AA$147=FT_Y5,EDATE($D8,Milestones!$AA$147)&lt;PolicyEff),1,Milestones!$AC$147)&amp;";  ","")&amp;IF(AND(EDATE($D8,Milestones!$AA$148)&lt;=AsOfDate,EDATE($D8,Milestones!$AA$148)&gt;=SchemeStart,IF($X8=0,$AD8,IF(AND($Z8&lt;&gt;"",EDATE($D8,Milestones!$AA$148)&gt;=$Z8),$AC8,IF(AND($Y8&lt;&gt;"",EDATE($D8,Milestones!$AA$148)&gt;=$Y8),$AB8,$AA8)))=Milestones!$AB$148),UPPER(TEXT(EDATE($D8,Milestones!$AA$148),"dd mmm yy"))&amp;" "&amp;Milestones!$AB$148&amp;" "&amp;IF(AND(Milestones!$AB$148="FT",Milestones!$AA$148=FT_Y5,EDATE($D8,Milestones!$AA$148)&lt;PolicyEff),1,Milestones!$AC$148)&amp;";  ","")&amp;IF(AND(EDATE($D8,Milestones!$AA$149)&lt;=AsOfDate,EDATE($D8,Milestones!$AA$149)&gt;=SchemeStart,IF($X8=0,$AD8,IF(AND($Z8&lt;&gt;"",EDATE($D8,Milestones!$AA$149)&gt;=$Z8),$AC8,IF(AND($Y8&lt;&gt;"",EDATE($D8,Milestones!$AA$149)&gt;=$Y8),$AB8,$AA8)))=Milestones!$AB$149),UPPER(TEXT(EDATE($D8,Milestones!$AA$149),"dd mmm yy"))&amp;" "&amp;Milestones!$AB$149&amp;" "&amp;IF(AND(Milestones!$AB$149="FT",Milestones!$AA$149=FT_Y5,EDATE($D8,Milestones!$AA$149)&lt;PolicyEff),1,Milestones!$AC$149)&amp;";  ","")&amp;IF(AND(EDATE($D8,Milestones!$AA$150)&lt;=AsOfDate,EDATE($D8,Milestones!$AA$150)&gt;=SchemeStart,IF($X8=0,$AD8,IF(AND($Z8&lt;&gt;"",EDATE($D8,Milestones!$AA$150)&gt;=$Z8),$AC8,IF(AND($Y8&lt;&gt;"",EDATE($D8,Milestones!$AA$150)&gt;=$Y8),$AB8,$AA8)))=Milestones!$AB$150),UPPER(TEXT(EDATE($D8,Milestones!$AA$150),"dd mmm yy"))&amp;" "&amp;Milestones!$AB$150&amp;" "&amp;IF(AND(Milestones!$AB$150="FT",Milestones!$AA$150=FT_Y5,EDATE($D8,Milestones!$AA$150)&lt;PolicyEff),1,Milestones!$AC$150)&amp;";  ","")&amp;IF(AND(EDATE($D8,Milestones!$AA$151)&lt;=AsOfDate,EDATE($D8,Milestones!$AA$151)&gt;=SchemeStart,IF($X8=0,$AD8,IF(AND($Z8&lt;&gt;"",EDATE($D8,Milestones!$AA$151)&gt;=$Z8),$AC8,IF(AND($Y8&lt;&gt;"",EDATE($D8,Milestones!$AA$151)&gt;=$Y8),$AB8,$AA8)))=Milestones!$AB$151),UPPER(TEXT(EDATE($D8,Milestones!$AA$151),"dd mmm yy"))&amp;" "&amp;Milestones!$AB$151&amp;" "&amp;IF(AND(Milestones!$AB$151="FT",Milestones!$AA$151=FT_Y5,EDATE($D8,Milestones!$AA$151)&lt;PolicyEff),1,Milestones!$AC$151)&amp;";  ",""))</f>
        <v/>
      </c>
      <c r="T8" s="0" t="str">
        <f aca="false">IF(OR($A8="",$D8=""),"",IF(AND(EDATE($D8,Milestones!$AA$152)&lt;=AsOfDate,EDATE($D8,Milestones!$AA$152)&gt;=SchemeStart,IF($X8=0,$AD8,IF(AND($Z8&lt;&gt;"",EDATE($D8,Milestones!$AA$152)&gt;=$Z8),$AC8,IF(AND($Y8&lt;&gt;"",EDATE($D8,Milestones!$AA$152)&gt;=$Y8),$AB8,$AA8)))=Milestones!$AB$152),UPPER(TEXT(EDATE($D8,Milestones!$AA$152),"dd mmm yy"))&amp;" "&amp;Milestones!$AB$152&amp;" "&amp;IF(AND(Milestones!$AB$152="FT",Milestones!$AA$152=FT_Y5,EDATE($D8,Milestones!$AA$152)&lt;PolicyEff),1,Milestones!$AC$152)&amp;";  ","")&amp;IF(AND(EDATE($D8,Milestones!$AA$153)&lt;=AsOfDate,EDATE($D8,Milestones!$AA$153)&gt;=SchemeStart,IF($X8=0,$AD8,IF(AND($Z8&lt;&gt;"",EDATE($D8,Milestones!$AA$153)&gt;=$Z8),$AC8,IF(AND($Y8&lt;&gt;"",EDATE($D8,Milestones!$AA$153)&gt;=$Y8),$AB8,$AA8)))=Milestones!$AB$153),UPPER(TEXT(EDATE($D8,Milestones!$AA$153),"dd mmm yy"))&amp;" "&amp;Milestones!$AB$153&amp;" "&amp;IF(AND(Milestones!$AB$153="FT",Milestones!$AA$153=FT_Y5,EDATE($D8,Milestones!$AA$153)&lt;PolicyEff),1,Milestones!$AC$153)&amp;";  ","")&amp;IF(AND(EDATE($D8,Milestones!$AA$154)&lt;=AsOfDate,EDATE($D8,Milestones!$AA$154)&gt;=SchemeStart,IF($X8=0,$AD8,IF(AND($Z8&lt;&gt;"",EDATE($D8,Milestones!$AA$154)&gt;=$Z8),$AC8,IF(AND($Y8&lt;&gt;"",EDATE($D8,Milestones!$AA$154)&gt;=$Y8),$AB8,$AA8)))=Milestones!$AB$154),UPPER(TEXT(EDATE($D8,Milestones!$AA$154),"dd mmm yy"))&amp;" "&amp;Milestones!$AB$154&amp;" "&amp;IF(AND(Milestones!$AB$154="FT",Milestones!$AA$154=FT_Y5,EDATE($D8,Milestones!$AA$154)&lt;PolicyEff),1,Milestones!$AC$154)&amp;";  ","")&amp;IF(AND(EDATE($D8,Milestones!$AA$155)&lt;=AsOfDate,EDATE($D8,Milestones!$AA$155)&gt;=SchemeStart,IF($X8=0,$AD8,IF(AND($Z8&lt;&gt;"",EDATE($D8,Milestones!$AA$155)&gt;=$Z8),$AC8,IF(AND($Y8&lt;&gt;"",EDATE($D8,Milestones!$AA$155)&gt;=$Y8),$AB8,$AA8)))=Milestones!$AB$155),UPPER(TEXT(EDATE($D8,Milestones!$AA$155),"dd mmm yy"))&amp;" "&amp;Milestones!$AB$155&amp;" "&amp;IF(AND(Milestones!$AB$155="FT",Milestones!$AA$155=FT_Y5,EDATE($D8,Milestones!$AA$155)&lt;PolicyEff),1,Milestones!$AC$155)&amp;";  ","")&amp;IF(AND(EDATE($D8,Milestones!$AA$156)&lt;=AsOfDate,EDATE($D8,Milestones!$AA$156)&gt;=SchemeStart,IF($X8=0,$AD8,IF(AND($Z8&lt;&gt;"",EDATE($D8,Milestones!$AA$156)&gt;=$Z8),$AC8,IF(AND($Y8&lt;&gt;"",EDATE($D8,Milestones!$AA$156)&gt;=$Y8),$AB8,$AA8)))=Milestones!$AB$156),UPPER(TEXT(EDATE($D8,Milestones!$AA$156),"dd mmm yy"))&amp;" "&amp;Milestones!$AB$156&amp;" "&amp;IF(AND(Milestones!$AB$156="FT",Milestones!$AA$156=FT_Y5,EDATE($D8,Milestones!$AA$156)&lt;PolicyEff),1,Milestones!$AC$156)&amp;";  ","")&amp;IF(AND(EDATE($D8,Milestones!$AA$157)&lt;=AsOfDate,EDATE($D8,Milestones!$AA$157)&gt;=SchemeStart,IF($X8=0,$AD8,IF(AND($Z8&lt;&gt;"",EDATE($D8,Milestones!$AA$157)&gt;=$Z8),$AC8,IF(AND($Y8&lt;&gt;"",EDATE($D8,Milestones!$AA$157)&gt;=$Y8),$AB8,$AA8)))=Milestones!$AB$157),UPPER(TEXT(EDATE($D8,Milestones!$AA$157),"dd mmm yy"))&amp;" "&amp;Milestones!$AB$157&amp;" "&amp;IF(AND(Milestones!$AB$157="FT",Milestones!$AA$157=FT_Y5,EDATE($D8,Milestones!$AA$157)&lt;PolicyEff),1,Milestones!$AC$157)&amp;";  ","")&amp;IF(AND(EDATE($D8,Milestones!$AA$158)&lt;=AsOfDate,EDATE($D8,Milestones!$AA$158)&gt;=SchemeStart,IF($X8=0,$AD8,IF(AND($Z8&lt;&gt;"",EDATE($D8,Milestones!$AA$158)&gt;=$Z8),$AC8,IF(AND($Y8&lt;&gt;"",EDATE($D8,Milestones!$AA$158)&gt;=$Y8),$AB8,$AA8)))=Milestones!$AB$158),UPPER(TEXT(EDATE($D8,Milestones!$AA$158),"dd mmm yy"))&amp;" "&amp;Milestones!$AB$158&amp;" "&amp;IF(AND(Milestones!$AB$158="FT",Milestones!$AA$158=FT_Y5,EDATE($D8,Milestones!$AA$158)&lt;PolicyEff),1,Milestones!$AC$158)&amp;";  ","")&amp;IF(AND(EDATE($D8,Milestones!$AA$159)&lt;=AsOfDate,EDATE($D8,Milestones!$AA$159)&gt;=SchemeStart,IF($X8=0,$AD8,IF(AND($Z8&lt;&gt;"",EDATE($D8,Milestones!$AA$159)&gt;=$Z8),$AC8,IF(AND($Y8&lt;&gt;"",EDATE($D8,Milestones!$AA$159)&gt;=$Y8),$AB8,$AA8)))=Milestones!$AB$159),UPPER(TEXT(EDATE($D8,Milestones!$AA$159),"dd mmm yy"))&amp;" "&amp;Milestones!$AB$159&amp;" "&amp;IF(AND(Milestones!$AB$159="FT",Milestones!$AA$159=FT_Y5,EDATE($D8,Milestones!$AA$159)&lt;PolicyEff),1,Milestones!$AC$159)&amp;";  ","")&amp;IF(AND(EDATE($D8,Milestones!$AA$160)&lt;=AsOfDate,EDATE($D8,Milestones!$AA$160)&gt;=SchemeStart,IF($X8=0,$AD8,IF(AND($Z8&lt;&gt;"",EDATE($D8,Milestones!$AA$160)&gt;=$Z8),$AC8,IF(AND($Y8&lt;&gt;"",EDATE($D8,Milestones!$AA$160)&gt;=$Y8),$AB8,$AA8)))=Milestones!$AB$160),UPPER(TEXT(EDATE($D8,Milestones!$AA$160),"dd mmm yy"))&amp;" "&amp;Milestones!$AB$160&amp;" "&amp;IF(AND(Milestones!$AB$160="FT",Milestones!$AA$160=FT_Y5,EDATE($D8,Milestones!$AA$160)&lt;PolicyEff),1,Milestones!$AC$160)&amp;";  ","")&amp;IF(AND(EDATE($D8,Milestones!$AA$161)&lt;=AsOfDate,EDATE($D8,Milestones!$AA$161)&gt;=SchemeStart,IF($X8=0,$AD8,IF(AND($Z8&lt;&gt;"",EDATE($D8,Milestones!$AA$161)&gt;=$Z8),$AC8,IF(AND($Y8&lt;&gt;"",EDATE($D8,Milestones!$AA$161)&gt;=$Y8),$AB8,$AA8)))=Milestones!$AB$161),UPPER(TEXT(EDATE($D8,Milestones!$AA$161),"dd mmm yy"))&amp;" "&amp;Milestones!$AB$161&amp;" "&amp;IF(AND(Milestones!$AB$161="FT",Milestones!$AA$161=FT_Y5,EDATE($D8,Milestones!$AA$161)&lt;PolicyEff),1,Milestones!$AC$161)&amp;";  ","")&amp;IF(AND(EDATE($D8,Milestones!$AA$162)&lt;=AsOfDate,EDATE($D8,Milestones!$AA$162)&gt;=SchemeStart,IF($X8=0,$AD8,IF(AND($Z8&lt;&gt;"",EDATE($D8,Milestones!$AA$162)&gt;=$Z8),$AC8,IF(AND($Y8&lt;&gt;"",EDATE($D8,Milestones!$AA$162)&gt;=$Y8),$AB8,$AA8)))=Milestones!$AB$162),UPPER(TEXT(EDATE($D8,Milestones!$AA$162),"dd mmm yy"))&amp;" "&amp;Milestones!$AB$162&amp;" "&amp;IF(AND(Milestones!$AB$162="FT",Milestones!$AA$162=FT_Y5,EDATE($D8,Milestones!$AA$162)&lt;PolicyEff),1,Milestones!$AC$162)&amp;";  ","")&amp;IF(AND(EDATE($D8,Milestones!$AA$163)&lt;=AsOfDate,EDATE($D8,Milestones!$AA$163)&gt;=SchemeStart,IF($X8=0,$AD8,IF(AND($Z8&lt;&gt;"",EDATE($D8,Milestones!$AA$163)&gt;=$Z8),$AC8,IF(AND($Y8&lt;&gt;"",EDATE($D8,Milestones!$AA$163)&gt;=$Y8),$AB8,$AA8)))=Milestones!$AB$163),UPPER(TEXT(EDATE($D8,Milestones!$AA$163),"dd mmm yy"))&amp;" "&amp;Milestones!$AB$163&amp;" "&amp;IF(AND(Milestones!$AB$163="FT",Milestones!$AA$163=FT_Y5,EDATE($D8,Milestones!$AA$163)&lt;PolicyEff),1,Milestones!$AC$163)&amp;";  ",""))</f>
        <v/>
      </c>
      <c r="U8" s="0" t="str">
        <f aca="false">IF(OR($A8="",$D8=""),"",IF(AND(EDATE($D8,Milestones!$AA$164)&lt;=AsOfDate,EDATE($D8,Milestones!$AA$164)&gt;=SchemeStart,IF($X8=0,$AD8,IF(AND($Z8&lt;&gt;"",EDATE($D8,Milestones!$AA$164)&gt;=$Z8),$AC8,IF(AND($Y8&lt;&gt;"",EDATE($D8,Milestones!$AA$164)&gt;=$Y8),$AB8,$AA8)))=Milestones!$AB$164),UPPER(TEXT(EDATE($D8,Milestones!$AA$164),"dd mmm yy"))&amp;" "&amp;Milestones!$AB$164&amp;" "&amp;IF(AND(Milestones!$AB$164="FT",Milestones!$AA$164=FT_Y5,EDATE($D8,Milestones!$AA$164)&lt;PolicyEff),1,Milestones!$AC$164)&amp;";  ","")&amp;IF(AND(EDATE($D8,Milestones!$AA$165)&lt;=AsOfDate,EDATE($D8,Milestones!$AA$165)&gt;=SchemeStart,IF($X8=0,$AD8,IF(AND($Z8&lt;&gt;"",EDATE($D8,Milestones!$AA$165)&gt;=$Z8),$AC8,IF(AND($Y8&lt;&gt;"",EDATE($D8,Milestones!$AA$165)&gt;=$Y8),$AB8,$AA8)))=Milestones!$AB$165),UPPER(TEXT(EDATE($D8,Milestones!$AA$165),"dd mmm yy"))&amp;" "&amp;Milestones!$AB$165&amp;" "&amp;IF(AND(Milestones!$AB$165="FT",Milestones!$AA$165=FT_Y5,EDATE($D8,Milestones!$AA$165)&lt;PolicyEff),1,Milestones!$AC$165)&amp;";  ","")&amp;IF(AND(EDATE($D8,Milestones!$AA$166)&lt;=AsOfDate,EDATE($D8,Milestones!$AA$166)&gt;=SchemeStart,IF($X8=0,$AD8,IF(AND($Z8&lt;&gt;"",EDATE($D8,Milestones!$AA$166)&gt;=$Z8),$AC8,IF(AND($Y8&lt;&gt;"",EDATE($D8,Milestones!$AA$166)&gt;=$Y8),$AB8,$AA8)))=Milestones!$AB$166),UPPER(TEXT(EDATE($D8,Milestones!$AA$166),"dd mmm yy"))&amp;" "&amp;Milestones!$AB$166&amp;" "&amp;IF(AND(Milestones!$AB$166="FT",Milestones!$AA$166=FT_Y5,EDATE($D8,Milestones!$AA$166)&lt;PolicyEff),1,Milestones!$AC$166)&amp;";  ","")&amp;IF(AND(EDATE($D8,Milestones!$AA$167)&lt;=AsOfDate,EDATE($D8,Milestones!$AA$167)&gt;=SchemeStart,IF($X8=0,$AD8,IF(AND($Z8&lt;&gt;"",EDATE($D8,Milestones!$AA$167)&gt;=$Z8),$AC8,IF(AND($Y8&lt;&gt;"",EDATE($D8,Milestones!$AA$167)&gt;=$Y8),$AB8,$AA8)))=Milestones!$AB$167),UPPER(TEXT(EDATE($D8,Milestones!$AA$167),"dd mmm yy"))&amp;" "&amp;Milestones!$AB$167&amp;" "&amp;IF(AND(Milestones!$AB$167="FT",Milestones!$AA$167=FT_Y5,EDATE($D8,Milestones!$AA$167)&lt;PolicyEff),1,Milestones!$AC$167)&amp;";  ","")&amp;IF(AND(EDATE($D8,Milestones!$AA$168)&lt;=AsOfDate,EDATE($D8,Milestones!$AA$168)&gt;=SchemeStart,IF($X8=0,$AD8,IF(AND($Z8&lt;&gt;"",EDATE($D8,Milestones!$AA$168)&gt;=$Z8),$AC8,IF(AND($Y8&lt;&gt;"",EDATE($D8,Milestones!$AA$168)&gt;=$Y8),$AB8,$AA8)))=Milestones!$AB$168),UPPER(TEXT(EDATE($D8,Milestones!$AA$168),"dd mmm yy"))&amp;" "&amp;Milestones!$AB$168&amp;" "&amp;IF(AND(Milestones!$AB$168="FT",Milestones!$AA$168=FT_Y5,EDATE($D8,Milestones!$AA$168)&lt;PolicyEff),1,Milestones!$AC$168)&amp;";  ","")&amp;IF(AND(EDATE($D8,Milestones!$AA$169)&lt;=AsOfDate,EDATE($D8,Milestones!$AA$169)&gt;=SchemeStart,IF($X8=0,$AD8,IF(AND($Z8&lt;&gt;"",EDATE($D8,Milestones!$AA$169)&gt;=$Z8),$AC8,IF(AND($Y8&lt;&gt;"",EDATE($D8,Milestones!$AA$169)&gt;=$Y8),$AB8,$AA8)))=Milestones!$AB$169),UPPER(TEXT(EDATE($D8,Milestones!$AA$169),"dd mmm yy"))&amp;" "&amp;Milestones!$AB$169&amp;" "&amp;IF(AND(Milestones!$AB$169="FT",Milestones!$AA$169=FT_Y5,EDATE($D8,Milestones!$AA$169)&lt;PolicyEff),1,Milestones!$AC$169)&amp;";  ","")&amp;IF(AND(EDATE($D8,Milestones!$AA$170)&lt;=AsOfDate,EDATE($D8,Milestones!$AA$170)&gt;=SchemeStart,IF($X8=0,$AD8,IF(AND($Z8&lt;&gt;"",EDATE($D8,Milestones!$AA$170)&gt;=$Z8),$AC8,IF(AND($Y8&lt;&gt;"",EDATE($D8,Milestones!$AA$170)&gt;=$Y8),$AB8,$AA8)))=Milestones!$AB$170),UPPER(TEXT(EDATE($D8,Milestones!$AA$170),"dd mmm yy"))&amp;" "&amp;Milestones!$AB$170&amp;" "&amp;IF(AND(Milestones!$AB$170="FT",Milestones!$AA$170=FT_Y5,EDATE($D8,Milestones!$AA$170)&lt;PolicyEff),1,Milestones!$AC$170)&amp;";  ","")&amp;IF(AND(EDATE($D8,Milestones!$AA$171)&lt;=AsOfDate,EDATE($D8,Milestones!$AA$171)&gt;=SchemeStart,IF($X8=0,$AD8,IF(AND($Z8&lt;&gt;"",EDATE($D8,Milestones!$AA$171)&gt;=$Z8),$AC8,IF(AND($Y8&lt;&gt;"",EDATE($D8,Milestones!$AA$171)&gt;=$Y8),$AB8,$AA8)))=Milestones!$AB$171),UPPER(TEXT(EDATE($D8,Milestones!$AA$171),"dd mmm yy"))&amp;" "&amp;Milestones!$AB$171&amp;" "&amp;IF(AND(Milestones!$AB$171="FT",Milestones!$AA$171=FT_Y5,EDATE($D8,Milestones!$AA$171)&lt;PolicyEff),1,Milestones!$AC$171)&amp;";  ","")&amp;IF(AND(EDATE($D8,Milestones!$AA$172)&lt;=AsOfDate,EDATE($D8,Milestones!$AA$172)&gt;=SchemeStart,IF($X8=0,$AD8,IF(AND($Z8&lt;&gt;"",EDATE($D8,Milestones!$AA$172)&gt;=$Z8),$AC8,IF(AND($Y8&lt;&gt;"",EDATE($D8,Milestones!$AA$172)&gt;=$Y8),$AB8,$AA8)))=Milestones!$AB$172),UPPER(TEXT(EDATE($D8,Milestones!$AA$172),"dd mmm yy"))&amp;" "&amp;Milestones!$AB$172&amp;" "&amp;IF(AND(Milestones!$AB$172="FT",Milestones!$AA$172=FT_Y5,EDATE($D8,Milestones!$AA$172)&lt;PolicyEff),1,Milestones!$AC$172)&amp;";  ","")&amp;IF(AND(EDATE($D8,Milestones!$AA$173)&lt;=AsOfDate,EDATE($D8,Milestones!$AA$173)&gt;=SchemeStart,IF($X8=0,$AD8,IF(AND($Z8&lt;&gt;"",EDATE($D8,Milestones!$AA$173)&gt;=$Z8),$AC8,IF(AND($Y8&lt;&gt;"",EDATE($D8,Milestones!$AA$173)&gt;=$Y8),$AB8,$AA8)))=Milestones!$AB$173),UPPER(TEXT(EDATE($D8,Milestones!$AA$173),"dd mmm yy"))&amp;" "&amp;Milestones!$AB$173&amp;" "&amp;IF(AND(Milestones!$AB$173="FT",Milestones!$AA$173=FT_Y5,EDATE($D8,Milestones!$AA$173)&lt;PolicyEff),1,Milestones!$AC$173)&amp;";  ","")&amp;IF(AND(EDATE($D8,Milestones!$AA$174)&lt;=AsOfDate,EDATE($D8,Milestones!$AA$174)&gt;=SchemeStart,IF($X8=0,$AD8,IF(AND($Z8&lt;&gt;"",EDATE($D8,Milestones!$AA$174)&gt;=$Z8),$AC8,IF(AND($Y8&lt;&gt;"",EDATE($D8,Milestones!$AA$174)&gt;=$Y8),$AB8,$AA8)))=Milestones!$AB$174),UPPER(TEXT(EDATE($D8,Milestones!$AA$174),"dd mmm yy"))&amp;" "&amp;Milestones!$AB$174&amp;" "&amp;IF(AND(Milestones!$AB$174="FT",Milestones!$AA$174=FT_Y5,EDATE($D8,Milestones!$AA$174)&lt;PolicyEff),1,Milestones!$AC$174)&amp;";  ","")&amp;IF(AND(EDATE($D8,Milestones!$AA$175)&lt;=AsOfDate,EDATE($D8,Milestones!$AA$175)&gt;=SchemeStart,IF($X8=0,$AD8,IF(AND($Z8&lt;&gt;"",EDATE($D8,Milestones!$AA$175)&gt;=$Z8),$AC8,IF(AND($Y8&lt;&gt;"",EDATE($D8,Milestones!$AA$175)&gt;=$Y8),$AB8,$AA8)))=Milestones!$AB$175),UPPER(TEXT(EDATE($D8,Milestones!$AA$175),"dd mmm yy"))&amp;" "&amp;Milestones!$AB$175&amp;" "&amp;IF(AND(Milestones!$AB$175="FT",Milestones!$AA$175=FT_Y5,EDATE($D8,Milestones!$AA$175)&lt;PolicyEff),1,Milestones!$AC$175)&amp;";  ",""))</f>
        <v/>
      </c>
      <c r="V8" s="0" t="str">
        <f aca="false">IF(OR($A8="",$D8=""),"",IF(AND(EDATE($D8,Milestones!$AA$176)&lt;=AsOfDate,EDATE($D8,Milestones!$AA$176)&gt;=SchemeStart,IF($X8=0,$AD8,IF(AND($Z8&lt;&gt;"",EDATE($D8,Milestones!$AA$176)&gt;=$Z8),$AC8,IF(AND($Y8&lt;&gt;"",EDATE($D8,Milestones!$AA$176)&gt;=$Y8),$AB8,$AA8)))=Milestones!$AB$176),UPPER(TEXT(EDATE($D8,Milestones!$AA$176),"dd mmm yy"))&amp;" "&amp;Milestones!$AB$176&amp;" "&amp;IF(AND(Milestones!$AB$176="FT",Milestones!$AA$176=FT_Y5,EDATE($D8,Milestones!$AA$176)&lt;PolicyEff),1,Milestones!$AC$176)&amp;";  ","")&amp;IF(AND(EDATE($D8,Milestones!$AA$177)&lt;=AsOfDate,EDATE($D8,Milestones!$AA$177)&gt;=SchemeStart,IF($X8=0,$AD8,IF(AND($Z8&lt;&gt;"",EDATE($D8,Milestones!$AA$177)&gt;=$Z8),$AC8,IF(AND($Y8&lt;&gt;"",EDATE($D8,Milestones!$AA$177)&gt;=$Y8),$AB8,$AA8)))=Milestones!$AB$177),UPPER(TEXT(EDATE($D8,Milestones!$AA$177),"dd mmm yy"))&amp;" "&amp;Milestones!$AB$177&amp;" "&amp;IF(AND(Milestones!$AB$177="FT",Milestones!$AA$177=FT_Y5,EDATE($D8,Milestones!$AA$177)&lt;PolicyEff),1,Milestones!$AC$177)&amp;";  ","")&amp;IF(AND(EDATE($D8,Milestones!$AA$178)&lt;=AsOfDate,EDATE($D8,Milestones!$AA$178)&gt;=SchemeStart,IF($X8=0,$AD8,IF(AND($Z8&lt;&gt;"",EDATE($D8,Milestones!$AA$178)&gt;=$Z8),$AC8,IF(AND($Y8&lt;&gt;"",EDATE($D8,Milestones!$AA$178)&gt;=$Y8),$AB8,$AA8)))=Milestones!$AB$178),UPPER(TEXT(EDATE($D8,Milestones!$AA$178),"dd mmm yy"))&amp;" "&amp;Milestones!$AB$178&amp;" "&amp;IF(AND(Milestones!$AB$178="FT",Milestones!$AA$178=FT_Y5,EDATE($D8,Milestones!$AA$178)&lt;PolicyEff),1,Milestones!$AC$178)&amp;";  ","")&amp;IF(AND(EDATE($D8,Milestones!$AA$179)&lt;=AsOfDate,EDATE($D8,Milestones!$AA$179)&gt;=SchemeStart,IF($X8=0,$AD8,IF(AND($Z8&lt;&gt;"",EDATE($D8,Milestones!$AA$179)&gt;=$Z8),$AC8,IF(AND($Y8&lt;&gt;"",EDATE($D8,Milestones!$AA$179)&gt;=$Y8),$AB8,$AA8)))=Milestones!$AB$179),UPPER(TEXT(EDATE($D8,Milestones!$AA$179),"dd mmm yy"))&amp;" "&amp;Milestones!$AB$179&amp;" "&amp;IF(AND(Milestones!$AB$179="FT",Milestones!$AA$179=FT_Y5,EDATE($D8,Milestones!$AA$179)&lt;PolicyEff),1,Milestones!$AC$179)&amp;";  ","")&amp;IF(AND(EDATE($D8,Milestones!$AA$180)&lt;=AsOfDate,EDATE($D8,Milestones!$AA$180)&gt;=SchemeStart,IF($X8=0,$AD8,IF(AND($Z8&lt;&gt;"",EDATE($D8,Milestones!$AA$180)&gt;=$Z8),$AC8,IF(AND($Y8&lt;&gt;"",EDATE($D8,Milestones!$AA$180)&gt;=$Y8),$AB8,$AA8)))=Milestones!$AB$180),UPPER(TEXT(EDATE($D8,Milestones!$AA$180),"dd mmm yy"))&amp;" "&amp;Milestones!$AB$180&amp;" "&amp;IF(AND(Milestones!$AB$180="FT",Milestones!$AA$180=FT_Y5,EDATE($D8,Milestones!$AA$180)&lt;PolicyEff),1,Milestones!$AC$180)&amp;";  ","")&amp;IF(AND(EDATE($D8,Milestones!$AA$181)&lt;=AsOfDate,EDATE($D8,Milestones!$AA$181)&gt;=SchemeStart,IF($X8=0,$AD8,IF(AND($Z8&lt;&gt;"",EDATE($D8,Milestones!$AA$181)&gt;=$Z8),$AC8,IF(AND($Y8&lt;&gt;"",EDATE($D8,Milestones!$AA$181)&gt;=$Y8),$AB8,$AA8)))=Milestones!$AB$181),UPPER(TEXT(EDATE($D8,Milestones!$AA$181),"dd mmm yy"))&amp;" "&amp;Milestones!$AB$181&amp;" "&amp;IF(AND(Milestones!$AB$181="FT",Milestones!$AA$181=FT_Y5,EDATE($D8,Milestones!$AA$181)&lt;PolicyEff),1,Milestones!$AC$181)&amp;";  ","")&amp;IF(AND(EDATE($D8,Milestones!$AA$182)&lt;=AsOfDate,EDATE($D8,Milestones!$AA$182)&gt;=SchemeStart,IF($X8=0,$AD8,IF(AND($Z8&lt;&gt;"",EDATE($D8,Milestones!$AA$182)&gt;=$Z8),$AC8,IF(AND($Y8&lt;&gt;"",EDATE($D8,Milestones!$AA$182)&gt;=$Y8),$AB8,$AA8)))=Milestones!$AB$182),UPPER(TEXT(EDATE($D8,Milestones!$AA$182),"dd mmm yy"))&amp;" "&amp;Milestones!$AB$182&amp;" "&amp;IF(AND(Milestones!$AB$182="FT",Milestones!$AA$182=FT_Y5,EDATE($D8,Milestones!$AA$182)&lt;PolicyEff),1,Milestones!$AC$182)&amp;";  ","")&amp;IF(AND(EDATE($D8,Milestones!$AA$183)&lt;=AsOfDate,EDATE($D8,Milestones!$AA$183)&gt;=SchemeStart,IF($X8=0,$AD8,IF(AND($Z8&lt;&gt;"",EDATE($D8,Milestones!$AA$183)&gt;=$Z8),$AC8,IF(AND($Y8&lt;&gt;"",EDATE($D8,Milestones!$AA$183)&gt;=$Y8),$AB8,$AA8)))=Milestones!$AB$183),UPPER(TEXT(EDATE($D8,Milestones!$AA$183),"dd mmm yy"))&amp;" "&amp;Milestones!$AB$183&amp;" "&amp;IF(AND(Milestones!$AB$183="FT",Milestones!$AA$183=FT_Y5,EDATE($D8,Milestones!$AA$183)&lt;PolicyEff),1,Milestones!$AC$183)&amp;";  ","")&amp;IF(AND(EDATE($D8,Milestones!$AA$184)&lt;=AsOfDate,EDATE($D8,Milestones!$AA$184)&gt;=SchemeStart,IF($X8=0,$AD8,IF(AND($Z8&lt;&gt;"",EDATE($D8,Milestones!$AA$184)&gt;=$Z8),$AC8,IF(AND($Y8&lt;&gt;"",EDATE($D8,Milestones!$AA$184)&gt;=$Y8),$AB8,$AA8)))=Milestones!$AB$184),UPPER(TEXT(EDATE($D8,Milestones!$AA$184),"dd mmm yy"))&amp;" "&amp;Milestones!$AB$184&amp;" "&amp;IF(AND(Milestones!$AB$184="FT",Milestones!$AA$184=FT_Y5,EDATE($D8,Milestones!$AA$184)&lt;PolicyEff),1,Milestones!$AC$184)&amp;";  ","")&amp;IF(AND(EDATE($D8,Milestones!$AA$185)&lt;=AsOfDate,EDATE($D8,Milestones!$AA$185)&gt;=SchemeStart,IF($X8=0,$AD8,IF(AND($Z8&lt;&gt;"",EDATE($D8,Milestones!$AA$185)&gt;=$Z8),$AC8,IF(AND($Y8&lt;&gt;"",EDATE($D8,Milestones!$AA$185)&gt;=$Y8),$AB8,$AA8)))=Milestones!$AB$185),UPPER(TEXT(EDATE($D8,Milestones!$AA$185),"dd mmm yy"))&amp;" "&amp;Milestones!$AB$185&amp;" "&amp;IF(AND(Milestones!$AB$185="FT",Milestones!$AA$185=FT_Y5,EDATE($D8,Milestones!$AA$185)&lt;PolicyEff),1,Milestones!$AC$185)&amp;";  ","")&amp;IF(AND(EDATE($D8,Milestones!$AA$186)&lt;=AsOfDate,EDATE($D8,Milestones!$AA$186)&gt;=SchemeStart,IF($X8=0,$AD8,IF(AND($Z8&lt;&gt;"",EDATE($D8,Milestones!$AA$186)&gt;=$Z8),$AC8,IF(AND($Y8&lt;&gt;"",EDATE($D8,Milestones!$AA$186)&gt;=$Y8),$AB8,$AA8)))=Milestones!$AB$186),UPPER(TEXT(EDATE($D8,Milestones!$AA$186),"dd mmm yy"))&amp;" "&amp;Milestones!$AB$186&amp;" "&amp;IF(AND(Milestones!$AB$186="FT",Milestones!$AA$186=FT_Y5,EDATE($D8,Milestones!$AA$186)&lt;PolicyEff),1,Milestones!$AC$186)&amp;";  ","")&amp;IF(AND(EDATE($D8,Milestones!$AA$187)&lt;=AsOfDate,EDATE($D8,Milestones!$AA$187)&gt;=SchemeStart,IF($X8=0,$AD8,IF(AND($Z8&lt;&gt;"",EDATE($D8,Milestones!$AA$187)&gt;=$Z8),$AC8,IF(AND($Y8&lt;&gt;"",EDATE($D8,Milestones!$AA$187)&gt;=$Y8),$AB8,$AA8)))=Milestones!$AB$187),UPPER(TEXT(EDATE($D8,Milestones!$AA$187),"dd mmm yy"))&amp;" "&amp;Milestones!$AB$187&amp;" "&amp;IF(AND(Milestones!$AB$187="FT",Milestones!$AA$187=FT_Y5,EDATE($D8,Milestones!$AA$187)&lt;PolicyEff),1,Milestones!$AC$187)&amp;";  ",""))</f>
        <v/>
      </c>
      <c r="W8" s="0" t="str">
        <f aca="false">IF(OR($A8="",$D8=""),"",IF(AND(EDATE($D8,Milestones!$AA$188)&lt;=AsOfDate,EDATE($D8,Milestones!$AA$188)&gt;=SchemeStart,IF($X8=0,$AD8,IF(AND($Z8&lt;&gt;"",EDATE($D8,Milestones!$AA$188)&gt;=$Z8),$AC8,IF(AND($Y8&lt;&gt;"",EDATE($D8,Milestones!$AA$188)&gt;=$Y8),$AB8,$AA8)))=Milestones!$AB$188),UPPER(TEXT(EDATE($D8,Milestones!$AA$188),"dd mmm yy"))&amp;" "&amp;Milestones!$AB$188&amp;" "&amp;IF(AND(Milestones!$AB$188="FT",Milestones!$AA$188=FT_Y5,EDATE($D8,Milestones!$AA$188)&lt;PolicyEff),1,Milestones!$AC$188)&amp;";  ","")&amp;IF(AND(EDATE($D8,Milestones!$AA$189)&lt;=AsOfDate,EDATE($D8,Milestones!$AA$189)&gt;=SchemeStart,IF($X8=0,$AD8,IF(AND($Z8&lt;&gt;"",EDATE($D8,Milestones!$AA$189)&gt;=$Z8),$AC8,IF(AND($Y8&lt;&gt;"",EDATE($D8,Milestones!$AA$189)&gt;=$Y8),$AB8,$AA8)))=Milestones!$AB$189),UPPER(TEXT(EDATE($D8,Milestones!$AA$189),"dd mmm yy"))&amp;" "&amp;Milestones!$AB$189&amp;" "&amp;IF(AND(Milestones!$AB$189="FT",Milestones!$AA$189=FT_Y5,EDATE($D8,Milestones!$AA$189)&lt;PolicyEff),1,Milestones!$AC$189)&amp;";  ","")&amp;IF(AND(EDATE($D8,Milestones!$AA$190)&lt;=AsOfDate,EDATE($D8,Milestones!$AA$190)&gt;=SchemeStart,IF($X8=0,$AD8,IF(AND($Z8&lt;&gt;"",EDATE($D8,Milestones!$AA$190)&gt;=$Z8),$AC8,IF(AND($Y8&lt;&gt;"",EDATE($D8,Milestones!$AA$190)&gt;=$Y8),$AB8,$AA8)))=Milestones!$AB$190),UPPER(TEXT(EDATE($D8,Milestones!$AA$190),"dd mmm yy"))&amp;" "&amp;Milestones!$AB$190&amp;" "&amp;IF(AND(Milestones!$AB$190="FT",Milestones!$AA$190=FT_Y5,EDATE($D8,Milestones!$AA$190)&lt;PolicyEff),1,Milestones!$AC$190)&amp;";  ","")&amp;IF(AND(EDATE($D8,Milestones!$AA$191)&lt;=AsOfDate,EDATE($D8,Milestones!$AA$191)&gt;=SchemeStart,IF($X8=0,$AD8,IF(AND($Z8&lt;&gt;"",EDATE($D8,Milestones!$AA$191)&gt;=$Z8),$AC8,IF(AND($Y8&lt;&gt;"",EDATE($D8,Milestones!$AA$191)&gt;=$Y8),$AB8,$AA8)))=Milestones!$AB$191),UPPER(TEXT(EDATE($D8,Milestones!$AA$191),"dd mmm yy"))&amp;" "&amp;Milestones!$AB$191&amp;" "&amp;IF(AND(Milestones!$AB$191="FT",Milestones!$AA$191=FT_Y5,EDATE($D8,Milestones!$AA$191)&lt;PolicyEff),1,Milestones!$AC$191)&amp;";  ","")&amp;IF(AND(EDATE($D8,Milestones!$AA$192)&lt;=AsOfDate,EDATE($D8,Milestones!$AA$192)&gt;=SchemeStart,IF($X8=0,$AD8,IF(AND($Z8&lt;&gt;"",EDATE($D8,Milestones!$AA$192)&gt;=$Z8),$AC8,IF(AND($Y8&lt;&gt;"",EDATE($D8,Milestones!$AA$192)&gt;=$Y8),$AB8,$AA8)))=Milestones!$AB$192),UPPER(TEXT(EDATE($D8,Milestones!$AA$192),"dd mmm yy"))&amp;" "&amp;Milestones!$AB$192&amp;" "&amp;IF(AND(Milestones!$AB$192="FT",Milestones!$AA$192=FT_Y5,EDATE($D8,Milestones!$AA$192)&lt;PolicyEff),1,Milestones!$AC$192)&amp;";  ","")&amp;IF(AND(EDATE($D8,Milestones!$AA$193)&lt;=AsOfDate,EDATE($D8,Milestones!$AA$193)&gt;=SchemeStart,IF($X8=0,$AD8,IF(AND($Z8&lt;&gt;"",EDATE($D8,Milestones!$AA$193)&gt;=$Z8),$AC8,IF(AND($Y8&lt;&gt;"",EDATE($D8,Milestones!$AA$193)&gt;=$Y8),$AB8,$AA8)))=Milestones!$AB$193),UPPER(TEXT(EDATE($D8,Milestones!$AA$193),"dd mmm yy"))&amp;" "&amp;Milestones!$AB$193&amp;" "&amp;IF(AND(Milestones!$AB$193="FT",Milestones!$AA$193=FT_Y5,EDATE($D8,Milestones!$AA$193)&lt;PolicyEff),1,Milestones!$AC$193)&amp;";  ","")&amp;IF(AND(EDATE($D8,Milestones!$AA$194)&lt;=AsOfDate,EDATE($D8,Milestones!$AA$194)&gt;=SchemeStart,IF($X8=0,$AD8,IF(AND($Z8&lt;&gt;"",EDATE($D8,Milestones!$AA$194)&gt;=$Z8),$AC8,IF(AND($Y8&lt;&gt;"",EDATE($D8,Milestones!$AA$194)&gt;=$Y8),$AB8,$AA8)))=Milestones!$AB$194),UPPER(TEXT(EDATE($D8,Milestones!$AA$194),"dd mmm yy"))&amp;" "&amp;Milestones!$AB$194&amp;" "&amp;IF(AND(Milestones!$AB$194="FT",Milestones!$AA$194=FT_Y5,EDATE($D8,Milestones!$AA$194)&lt;PolicyEff),1,Milestones!$AC$194)&amp;";  ","")&amp;IF(AND(EDATE($D8,Milestones!$AA$195)&lt;=AsOfDate,EDATE($D8,Milestones!$AA$195)&gt;=SchemeStart,IF($X8=0,$AD8,IF(AND($Z8&lt;&gt;"",EDATE($D8,Milestones!$AA$195)&gt;=$Z8),$AC8,IF(AND($Y8&lt;&gt;"",EDATE($D8,Milestones!$AA$195)&gt;=$Y8),$AB8,$AA8)))=Milestones!$AB$195),UPPER(TEXT(EDATE($D8,Milestones!$AA$195),"dd mmm yy"))&amp;" "&amp;Milestones!$AB$195&amp;" "&amp;IF(AND(Milestones!$AB$195="FT",Milestones!$AA$195=FT_Y5,EDATE($D8,Milestones!$AA$195)&lt;PolicyEff),1,Milestones!$AC$195)&amp;";  ","")&amp;IF(AND(EDATE($D8,Milestones!$AA$196)&lt;=AsOfDate,EDATE($D8,Milestones!$AA$196)&gt;=SchemeStart,IF($X8=0,$AD8,IF(AND($Z8&lt;&gt;"",EDATE($D8,Milestones!$AA$196)&gt;=$Z8),$AC8,IF(AND($Y8&lt;&gt;"",EDATE($D8,Milestones!$AA$196)&gt;=$Y8),$AB8,$AA8)))=Milestones!$AB$196),UPPER(TEXT(EDATE($D8,Milestones!$AA$196),"dd mmm yy"))&amp;" "&amp;Milestones!$AB$196&amp;" "&amp;IF(AND(Milestones!$AB$196="FT",Milestones!$AA$196=FT_Y5,EDATE($D8,Milestones!$AA$196)&lt;PolicyEff),1,Milestones!$AC$196)&amp;";  ","")&amp;IF(AND(EDATE($D8,Milestones!$AA$197)&lt;=AsOfDate,EDATE($D8,Milestones!$AA$197)&gt;=SchemeStart,IF($X8=0,$AD8,IF(AND($Z8&lt;&gt;"",EDATE($D8,Milestones!$AA$197)&gt;=$Z8),$AC8,IF(AND($Y8&lt;&gt;"",EDATE($D8,Milestones!$AA$197)&gt;=$Y8),$AB8,$AA8)))=Milestones!$AB$197),UPPER(TEXT(EDATE($D8,Milestones!$AA$197),"dd mmm yy"))&amp;" "&amp;Milestones!$AB$197&amp;" "&amp;IF(AND(Milestones!$AB$197="FT",Milestones!$AA$197=FT_Y5,EDATE($D8,Milestones!$AA$197)&lt;PolicyEff),1,Milestones!$AC$197)&amp;";  ","")&amp;IF(AND(EDATE($D8,Milestones!$AA$198)&lt;=AsOfDate,EDATE($D8,Milestones!$AA$198)&gt;=SchemeStart,IF($X8=0,$AD8,IF(AND($Z8&lt;&gt;"",EDATE($D8,Milestones!$AA$198)&gt;=$Z8),$AC8,IF(AND($Y8&lt;&gt;"",EDATE($D8,Milestones!$AA$198)&gt;=$Y8),$AB8,$AA8)))=Milestones!$AB$198),UPPER(TEXT(EDATE($D8,Milestones!$AA$198),"dd mmm yy"))&amp;" "&amp;Milestones!$AB$198&amp;" "&amp;IF(AND(Milestones!$AB$198="FT",Milestones!$AA$198=FT_Y5,EDATE($D8,Milestones!$AA$198)&lt;PolicyEff),1,Milestones!$AC$198)&amp;";  ","")&amp;IF(AND(EDATE($D8,Milestones!$AA$199)&lt;=AsOfDate,EDATE($D8,Milestones!$AA$199)&gt;=SchemeStart,IF($X8=0,$AD8,IF(AND($Z8&lt;&gt;"",EDATE($D8,Milestones!$AA$199)&gt;=$Z8),$AC8,IF(AND($Y8&lt;&gt;"",EDATE($D8,Milestones!$AA$199)&gt;=$Y8),$AB8,$AA8)))=Milestones!$AB$199),UPPER(TEXT(EDATE($D8,Milestones!$AA$199),"dd mmm yy"))&amp;" "&amp;Milestones!$AB$199&amp;" "&amp;IF(AND(Milestones!$AB$199="FT",Milestones!$AA$199=FT_Y5,EDATE($D8,Milestones!$AA$199)&lt;PolicyEff),1,Milestones!$AC$199)&amp;";  ",""))</f>
        <v/>
      </c>
      <c r="X8" s="0" t="str">
        <f aca="false">IF(Staff!$A8="","",Staff!$AM8)</f>
        <v/>
      </c>
      <c r="Y8" s="0" t="str">
        <f aca="false">IF(Staff!$A8="","",Staff!$AO8)</f>
        <v/>
      </c>
      <c r="Z8" s="0" t="str">
        <f aca="false">IF(Staff!$A8="","",Staff!$AP8)</f>
        <v/>
      </c>
      <c r="AA8" s="0" t="str">
        <f aca="false">IF(Staff!$A8="","",Staff!$AT8)</f>
        <v/>
      </c>
      <c r="AB8" s="0" t="str">
        <f aca="false">IF(Staff!$A8="","",Staff!$AU8)</f>
        <v/>
      </c>
      <c r="AC8" s="0" t="str">
        <f aca="false">IF(Staff!$A8="","",Staff!$AV8)</f>
        <v/>
      </c>
      <c r="AD8" s="0" t="str">
        <f aca="false">IF(Staff!$A8="","",Staff!$AW8)</f>
        <v/>
      </c>
    </row>
    <row r="9" customFormat="false" ht="15" hidden="false" customHeight="false" outlineLevel="0" collapsed="false">
      <c r="A9" s="16" t="str">
        <f aca="false">IF(Staff!$A9="","",Staff!$A9)</f>
        <v/>
      </c>
      <c r="B9" s="16" t="str">
        <f aca="false">IF(Staff!$A9="","",Staff!$B9)</f>
        <v/>
      </c>
      <c r="C9" s="16" t="str">
        <f aca="false">IF(Staff!$A9="","",Staff!$C9)</f>
        <v/>
      </c>
      <c r="D9" s="14" t="str">
        <f aca="false">IF(Staff!$A9="","",Staff!$AL9)</f>
        <v/>
      </c>
      <c r="E9" s="16" t="str">
        <f aca="false">IF(Staff!$A9="","",Staff!$O9)</f>
        <v/>
      </c>
      <c r="F9" s="16" t="str">
        <f aca="false">IF(E9="","",E9*HoursPerDay)</f>
        <v/>
      </c>
      <c r="G9" s="16" t="str">
        <f aca="false">IF(Staff!$A9="","",Staff!$AE9)</f>
        <v/>
      </c>
      <c r="H9" s="28" t="str">
        <f aca="false">IF($A9="","",I9&amp;J9&amp;K9&amp;L9&amp;M9&amp;N9&amp;O9&amp;P9&amp;Q9&amp;R9&amp;S9&amp;T9&amp;U9&amp;V9&amp;W9)</f>
        <v/>
      </c>
      <c r="I9" s="0" t="str">
        <f aca="false">IF(OR($A9="",$D9=""),"",IF(AND(EDATE($D9,Milestones!$AA$20)&lt;=AsOfDate,EDATE($D9,Milestones!$AA$20)&gt;=SchemeStart,IF($X9=0,$AD9,IF(AND($Z9&lt;&gt;"",EDATE($D9,Milestones!$AA$20)&gt;=$Z9),$AC9,IF(AND($Y9&lt;&gt;"",EDATE($D9,Milestones!$AA$20)&gt;=$Y9),$AB9,$AA9)))=Milestones!$AB$20),UPPER(TEXT(EDATE($D9,Milestones!$AA$20),"dd mmm yy"))&amp;" "&amp;Milestones!$AB$20&amp;" "&amp;IF(AND(Milestones!$AB$20="FT",Milestones!$AA$20=FT_Y5,EDATE($D9,Milestones!$AA$20)&lt;PolicyEff),1,Milestones!$AC$20)&amp;";  ","")&amp;IF(AND(EDATE($D9,Milestones!$AA$21)&lt;=AsOfDate,EDATE($D9,Milestones!$AA$21)&gt;=SchemeStart,IF($X9=0,$AD9,IF(AND($Z9&lt;&gt;"",EDATE($D9,Milestones!$AA$21)&gt;=$Z9),$AC9,IF(AND($Y9&lt;&gt;"",EDATE($D9,Milestones!$AA$21)&gt;=$Y9),$AB9,$AA9)))=Milestones!$AB$21),UPPER(TEXT(EDATE($D9,Milestones!$AA$21),"dd mmm yy"))&amp;" "&amp;Milestones!$AB$21&amp;" "&amp;IF(AND(Milestones!$AB$21="FT",Milestones!$AA$21=FT_Y5,EDATE($D9,Milestones!$AA$21)&lt;PolicyEff),1,Milestones!$AC$21)&amp;";  ","")&amp;IF(AND(EDATE($D9,Milestones!$AA$22)&lt;=AsOfDate,EDATE($D9,Milestones!$AA$22)&gt;=SchemeStart,IF($X9=0,$AD9,IF(AND($Z9&lt;&gt;"",EDATE($D9,Milestones!$AA$22)&gt;=$Z9),$AC9,IF(AND($Y9&lt;&gt;"",EDATE($D9,Milestones!$AA$22)&gt;=$Y9),$AB9,$AA9)))=Milestones!$AB$22),UPPER(TEXT(EDATE($D9,Milestones!$AA$22),"dd mmm yy"))&amp;" "&amp;Milestones!$AB$22&amp;" "&amp;IF(AND(Milestones!$AB$22="FT",Milestones!$AA$22=FT_Y5,EDATE($D9,Milestones!$AA$22)&lt;PolicyEff),1,Milestones!$AC$22)&amp;";  ","")&amp;IF(AND(EDATE($D9,Milestones!$AA$23)&lt;=AsOfDate,EDATE($D9,Milestones!$AA$23)&gt;=SchemeStart,IF($X9=0,$AD9,IF(AND($Z9&lt;&gt;"",EDATE($D9,Milestones!$AA$23)&gt;=$Z9),$AC9,IF(AND($Y9&lt;&gt;"",EDATE($D9,Milestones!$AA$23)&gt;=$Y9),$AB9,$AA9)))=Milestones!$AB$23),UPPER(TEXT(EDATE($D9,Milestones!$AA$23),"dd mmm yy"))&amp;" "&amp;Milestones!$AB$23&amp;" "&amp;IF(AND(Milestones!$AB$23="FT",Milestones!$AA$23=FT_Y5,EDATE($D9,Milestones!$AA$23)&lt;PolicyEff),1,Milestones!$AC$23)&amp;";  ","")&amp;IF(AND(EDATE($D9,Milestones!$AA$24)&lt;=AsOfDate,EDATE($D9,Milestones!$AA$24)&gt;=SchemeStart,IF($X9=0,$AD9,IF(AND($Z9&lt;&gt;"",EDATE($D9,Milestones!$AA$24)&gt;=$Z9),$AC9,IF(AND($Y9&lt;&gt;"",EDATE($D9,Milestones!$AA$24)&gt;=$Y9),$AB9,$AA9)))=Milestones!$AB$24),UPPER(TEXT(EDATE($D9,Milestones!$AA$24),"dd mmm yy"))&amp;" "&amp;Milestones!$AB$24&amp;" "&amp;IF(AND(Milestones!$AB$24="FT",Milestones!$AA$24=FT_Y5,EDATE($D9,Milestones!$AA$24)&lt;PolicyEff),1,Milestones!$AC$24)&amp;";  ","")&amp;IF(AND(EDATE($D9,Milestones!$AA$25)&lt;=AsOfDate,EDATE($D9,Milestones!$AA$25)&gt;=SchemeStart,IF($X9=0,$AD9,IF(AND($Z9&lt;&gt;"",EDATE($D9,Milestones!$AA$25)&gt;=$Z9),$AC9,IF(AND($Y9&lt;&gt;"",EDATE($D9,Milestones!$AA$25)&gt;=$Y9),$AB9,$AA9)))=Milestones!$AB$25),UPPER(TEXT(EDATE($D9,Milestones!$AA$25),"dd mmm yy"))&amp;" "&amp;Milestones!$AB$25&amp;" "&amp;IF(AND(Milestones!$AB$25="FT",Milestones!$AA$25=FT_Y5,EDATE($D9,Milestones!$AA$25)&lt;PolicyEff),1,Milestones!$AC$25)&amp;";  ","")&amp;IF(AND(EDATE($D9,Milestones!$AA$26)&lt;=AsOfDate,EDATE($D9,Milestones!$AA$26)&gt;=SchemeStart,IF($X9=0,$AD9,IF(AND($Z9&lt;&gt;"",EDATE($D9,Milestones!$AA$26)&gt;=$Z9),$AC9,IF(AND($Y9&lt;&gt;"",EDATE($D9,Milestones!$AA$26)&gt;=$Y9),$AB9,$AA9)))=Milestones!$AB$26),UPPER(TEXT(EDATE($D9,Milestones!$AA$26),"dd mmm yy"))&amp;" "&amp;Milestones!$AB$26&amp;" "&amp;IF(AND(Milestones!$AB$26="FT",Milestones!$AA$26=FT_Y5,EDATE($D9,Milestones!$AA$26)&lt;PolicyEff),1,Milestones!$AC$26)&amp;";  ","")&amp;IF(AND(EDATE($D9,Milestones!$AA$27)&lt;=AsOfDate,EDATE($D9,Milestones!$AA$27)&gt;=SchemeStart,IF($X9=0,$AD9,IF(AND($Z9&lt;&gt;"",EDATE($D9,Milestones!$AA$27)&gt;=$Z9),$AC9,IF(AND($Y9&lt;&gt;"",EDATE($D9,Milestones!$AA$27)&gt;=$Y9),$AB9,$AA9)))=Milestones!$AB$27),UPPER(TEXT(EDATE($D9,Milestones!$AA$27),"dd mmm yy"))&amp;" "&amp;Milestones!$AB$27&amp;" "&amp;IF(AND(Milestones!$AB$27="FT",Milestones!$AA$27=FT_Y5,EDATE($D9,Milestones!$AA$27)&lt;PolicyEff),1,Milestones!$AC$27)&amp;";  ","")&amp;IF(AND(EDATE($D9,Milestones!$AA$28)&lt;=AsOfDate,EDATE($D9,Milestones!$AA$28)&gt;=SchemeStart,IF($X9=0,$AD9,IF(AND($Z9&lt;&gt;"",EDATE($D9,Milestones!$AA$28)&gt;=$Z9),$AC9,IF(AND($Y9&lt;&gt;"",EDATE($D9,Milestones!$AA$28)&gt;=$Y9),$AB9,$AA9)))=Milestones!$AB$28),UPPER(TEXT(EDATE($D9,Milestones!$AA$28),"dd mmm yy"))&amp;" "&amp;Milestones!$AB$28&amp;" "&amp;IF(AND(Milestones!$AB$28="FT",Milestones!$AA$28=FT_Y5,EDATE($D9,Milestones!$AA$28)&lt;PolicyEff),1,Milestones!$AC$28)&amp;";  ","")&amp;IF(AND(EDATE($D9,Milestones!$AA$29)&lt;=AsOfDate,EDATE($D9,Milestones!$AA$29)&gt;=SchemeStart,IF($X9=0,$AD9,IF(AND($Z9&lt;&gt;"",EDATE($D9,Milestones!$AA$29)&gt;=$Z9),$AC9,IF(AND($Y9&lt;&gt;"",EDATE($D9,Milestones!$AA$29)&gt;=$Y9),$AB9,$AA9)))=Milestones!$AB$29),UPPER(TEXT(EDATE($D9,Milestones!$AA$29),"dd mmm yy"))&amp;" "&amp;Milestones!$AB$29&amp;" "&amp;IF(AND(Milestones!$AB$29="FT",Milestones!$AA$29=FT_Y5,EDATE($D9,Milestones!$AA$29)&lt;PolicyEff),1,Milestones!$AC$29)&amp;";  ","")&amp;IF(AND(EDATE($D9,Milestones!$AA$30)&lt;=AsOfDate,EDATE($D9,Milestones!$AA$30)&gt;=SchemeStart,IF($X9=0,$AD9,IF(AND($Z9&lt;&gt;"",EDATE($D9,Milestones!$AA$30)&gt;=$Z9),$AC9,IF(AND($Y9&lt;&gt;"",EDATE($D9,Milestones!$AA$30)&gt;=$Y9),$AB9,$AA9)))=Milestones!$AB$30),UPPER(TEXT(EDATE($D9,Milestones!$AA$30),"dd mmm yy"))&amp;" "&amp;Milestones!$AB$30&amp;" "&amp;IF(AND(Milestones!$AB$30="FT",Milestones!$AA$30=FT_Y5,EDATE($D9,Milestones!$AA$30)&lt;PolicyEff),1,Milestones!$AC$30)&amp;";  ","")&amp;IF(AND(EDATE($D9,Milestones!$AA$31)&lt;=AsOfDate,EDATE($D9,Milestones!$AA$31)&gt;=SchemeStart,IF($X9=0,$AD9,IF(AND($Z9&lt;&gt;"",EDATE($D9,Milestones!$AA$31)&gt;=$Z9),$AC9,IF(AND($Y9&lt;&gt;"",EDATE($D9,Milestones!$AA$31)&gt;=$Y9),$AB9,$AA9)))=Milestones!$AB$31),UPPER(TEXT(EDATE($D9,Milestones!$AA$31),"dd mmm yy"))&amp;" "&amp;Milestones!$AB$31&amp;" "&amp;IF(AND(Milestones!$AB$31="FT",Milestones!$AA$31=FT_Y5,EDATE($D9,Milestones!$AA$31)&lt;PolicyEff),1,Milestones!$AC$31)&amp;";  ",""))</f>
        <v/>
      </c>
      <c r="J9" s="0" t="str">
        <f aca="false">IF(OR($A9="",$D9=""),"",IF(AND(EDATE($D9,Milestones!$AA$32)&lt;=AsOfDate,EDATE($D9,Milestones!$AA$32)&gt;=SchemeStart,IF($X9=0,$AD9,IF(AND($Z9&lt;&gt;"",EDATE($D9,Milestones!$AA$32)&gt;=$Z9),$AC9,IF(AND($Y9&lt;&gt;"",EDATE($D9,Milestones!$AA$32)&gt;=$Y9),$AB9,$AA9)))=Milestones!$AB$32),UPPER(TEXT(EDATE($D9,Milestones!$AA$32),"dd mmm yy"))&amp;" "&amp;Milestones!$AB$32&amp;" "&amp;IF(AND(Milestones!$AB$32="FT",Milestones!$AA$32=FT_Y5,EDATE($D9,Milestones!$AA$32)&lt;PolicyEff),1,Milestones!$AC$32)&amp;";  ","")&amp;IF(AND(EDATE($D9,Milestones!$AA$33)&lt;=AsOfDate,EDATE($D9,Milestones!$AA$33)&gt;=SchemeStart,IF($X9=0,$AD9,IF(AND($Z9&lt;&gt;"",EDATE($D9,Milestones!$AA$33)&gt;=$Z9),$AC9,IF(AND($Y9&lt;&gt;"",EDATE($D9,Milestones!$AA$33)&gt;=$Y9),$AB9,$AA9)))=Milestones!$AB$33),UPPER(TEXT(EDATE($D9,Milestones!$AA$33),"dd mmm yy"))&amp;" "&amp;Milestones!$AB$33&amp;" "&amp;IF(AND(Milestones!$AB$33="FT",Milestones!$AA$33=FT_Y5,EDATE($D9,Milestones!$AA$33)&lt;PolicyEff),1,Milestones!$AC$33)&amp;";  ","")&amp;IF(AND(EDATE($D9,Milestones!$AA$34)&lt;=AsOfDate,EDATE($D9,Milestones!$AA$34)&gt;=SchemeStart,IF($X9=0,$AD9,IF(AND($Z9&lt;&gt;"",EDATE($D9,Milestones!$AA$34)&gt;=$Z9),$AC9,IF(AND($Y9&lt;&gt;"",EDATE($D9,Milestones!$AA$34)&gt;=$Y9),$AB9,$AA9)))=Milestones!$AB$34),UPPER(TEXT(EDATE($D9,Milestones!$AA$34),"dd mmm yy"))&amp;" "&amp;Milestones!$AB$34&amp;" "&amp;IF(AND(Milestones!$AB$34="FT",Milestones!$AA$34=FT_Y5,EDATE($D9,Milestones!$AA$34)&lt;PolicyEff),1,Milestones!$AC$34)&amp;";  ","")&amp;IF(AND(EDATE($D9,Milestones!$AA$35)&lt;=AsOfDate,EDATE($D9,Milestones!$AA$35)&gt;=SchemeStart,IF($X9=0,$AD9,IF(AND($Z9&lt;&gt;"",EDATE($D9,Milestones!$AA$35)&gt;=$Z9),$AC9,IF(AND($Y9&lt;&gt;"",EDATE($D9,Milestones!$AA$35)&gt;=$Y9),$AB9,$AA9)))=Milestones!$AB$35),UPPER(TEXT(EDATE($D9,Milestones!$AA$35),"dd mmm yy"))&amp;" "&amp;Milestones!$AB$35&amp;" "&amp;IF(AND(Milestones!$AB$35="FT",Milestones!$AA$35=FT_Y5,EDATE($D9,Milestones!$AA$35)&lt;PolicyEff),1,Milestones!$AC$35)&amp;";  ","")&amp;IF(AND(EDATE($D9,Milestones!$AA$36)&lt;=AsOfDate,EDATE($D9,Milestones!$AA$36)&gt;=SchemeStart,IF($X9=0,$AD9,IF(AND($Z9&lt;&gt;"",EDATE($D9,Milestones!$AA$36)&gt;=$Z9),$AC9,IF(AND($Y9&lt;&gt;"",EDATE($D9,Milestones!$AA$36)&gt;=$Y9),$AB9,$AA9)))=Milestones!$AB$36),UPPER(TEXT(EDATE($D9,Milestones!$AA$36),"dd mmm yy"))&amp;" "&amp;Milestones!$AB$36&amp;" "&amp;IF(AND(Milestones!$AB$36="FT",Milestones!$AA$36=FT_Y5,EDATE($D9,Milestones!$AA$36)&lt;PolicyEff),1,Milestones!$AC$36)&amp;";  ","")&amp;IF(AND(EDATE($D9,Milestones!$AA$37)&lt;=AsOfDate,EDATE($D9,Milestones!$AA$37)&gt;=SchemeStart,IF($X9=0,$AD9,IF(AND($Z9&lt;&gt;"",EDATE($D9,Milestones!$AA$37)&gt;=$Z9),$AC9,IF(AND($Y9&lt;&gt;"",EDATE($D9,Milestones!$AA$37)&gt;=$Y9),$AB9,$AA9)))=Milestones!$AB$37),UPPER(TEXT(EDATE($D9,Milestones!$AA$37),"dd mmm yy"))&amp;" "&amp;Milestones!$AB$37&amp;" "&amp;IF(AND(Milestones!$AB$37="FT",Milestones!$AA$37=FT_Y5,EDATE($D9,Milestones!$AA$37)&lt;PolicyEff),1,Milestones!$AC$37)&amp;";  ","")&amp;IF(AND(EDATE($D9,Milestones!$AA$38)&lt;=AsOfDate,EDATE($D9,Milestones!$AA$38)&gt;=SchemeStart,IF($X9=0,$AD9,IF(AND($Z9&lt;&gt;"",EDATE($D9,Milestones!$AA$38)&gt;=$Z9),$AC9,IF(AND($Y9&lt;&gt;"",EDATE($D9,Milestones!$AA$38)&gt;=$Y9),$AB9,$AA9)))=Milestones!$AB$38),UPPER(TEXT(EDATE($D9,Milestones!$AA$38),"dd mmm yy"))&amp;" "&amp;Milestones!$AB$38&amp;" "&amp;IF(AND(Milestones!$AB$38="FT",Milestones!$AA$38=FT_Y5,EDATE($D9,Milestones!$AA$38)&lt;PolicyEff),1,Milestones!$AC$38)&amp;";  ","")&amp;IF(AND(EDATE($D9,Milestones!$AA$39)&lt;=AsOfDate,EDATE($D9,Milestones!$AA$39)&gt;=SchemeStart,IF($X9=0,$AD9,IF(AND($Z9&lt;&gt;"",EDATE($D9,Milestones!$AA$39)&gt;=$Z9),$AC9,IF(AND($Y9&lt;&gt;"",EDATE($D9,Milestones!$AA$39)&gt;=$Y9),$AB9,$AA9)))=Milestones!$AB$39),UPPER(TEXT(EDATE($D9,Milestones!$AA$39),"dd mmm yy"))&amp;" "&amp;Milestones!$AB$39&amp;" "&amp;IF(AND(Milestones!$AB$39="FT",Milestones!$AA$39=FT_Y5,EDATE($D9,Milestones!$AA$39)&lt;PolicyEff),1,Milestones!$AC$39)&amp;";  ","")&amp;IF(AND(EDATE($D9,Milestones!$AA$40)&lt;=AsOfDate,EDATE($D9,Milestones!$AA$40)&gt;=SchemeStart,IF($X9=0,$AD9,IF(AND($Z9&lt;&gt;"",EDATE($D9,Milestones!$AA$40)&gt;=$Z9),$AC9,IF(AND($Y9&lt;&gt;"",EDATE($D9,Milestones!$AA$40)&gt;=$Y9),$AB9,$AA9)))=Milestones!$AB$40),UPPER(TEXT(EDATE($D9,Milestones!$AA$40),"dd mmm yy"))&amp;" "&amp;Milestones!$AB$40&amp;" "&amp;IF(AND(Milestones!$AB$40="FT",Milestones!$AA$40=FT_Y5,EDATE($D9,Milestones!$AA$40)&lt;PolicyEff),1,Milestones!$AC$40)&amp;";  ","")&amp;IF(AND(EDATE($D9,Milestones!$AA$41)&lt;=AsOfDate,EDATE($D9,Milestones!$AA$41)&gt;=SchemeStart,IF($X9=0,$AD9,IF(AND($Z9&lt;&gt;"",EDATE($D9,Milestones!$AA$41)&gt;=$Z9),$AC9,IF(AND($Y9&lt;&gt;"",EDATE($D9,Milestones!$AA$41)&gt;=$Y9),$AB9,$AA9)))=Milestones!$AB$41),UPPER(TEXT(EDATE($D9,Milestones!$AA$41),"dd mmm yy"))&amp;" "&amp;Milestones!$AB$41&amp;" "&amp;IF(AND(Milestones!$AB$41="FT",Milestones!$AA$41=FT_Y5,EDATE($D9,Milestones!$AA$41)&lt;PolicyEff),1,Milestones!$AC$41)&amp;";  ","")&amp;IF(AND(EDATE($D9,Milestones!$AA$42)&lt;=AsOfDate,EDATE($D9,Milestones!$AA$42)&gt;=SchemeStart,IF($X9=0,$AD9,IF(AND($Z9&lt;&gt;"",EDATE($D9,Milestones!$AA$42)&gt;=$Z9),$AC9,IF(AND($Y9&lt;&gt;"",EDATE($D9,Milestones!$AA$42)&gt;=$Y9),$AB9,$AA9)))=Milestones!$AB$42),UPPER(TEXT(EDATE($D9,Milestones!$AA$42),"dd mmm yy"))&amp;" "&amp;Milestones!$AB$42&amp;" "&amp;IF(AND(Milestones!$AB$42="FT",Milestones!$AA$42=FT_Y5,EDATE($D9,Milestones!$AA$42)&lt;PolicyEff),1,Milestones!$AC$42)&amp;";  ","")&amp;IF(AND(EDATE($D9,Milestones!$AA$43)&lt;=AsOfDate,EDATE($D9,Milestones!$AA$43)&gt;=SchemeStart,IF($X9=0,$AD9,IF(AND($Z9&lt;&gt;"",EDATE($D9,Milestones!$AA$43)&gt;=$Z9),$AC9,IF(AND($Y9&lt;&gt;"",EDATE($D9,Milestones!$AA$43)&gt;=$Y9),$AB9,$AA9)))=Milestones!$AB$43),UPPER(TEXT(EDATE($D9,Milestones!$AA$43),"dd mmm yy"))&amp;" "&amp;Milestones!$AB$43&amp;" "&amp;IF(AND(Milestones!$AB$43="FT",Milestones!$AA$43=FT_Y5,EDATE($D9,Milestones!$AA$43)&lt;PolicyEff),1,Milestones!$AC$43)&amp;";  ",""))</f>
        <v/>
      </c>
      <c r="K9" s="0" t="str">
        <f aca="false">IF(OR($A9="",$D9=""),"",IF(AND(EDATE($D9,Milestones!$AA$44)&lt;=AsOfDate,EDATE($D9,Milestones!$AA$44)&gt;=SchemeStart,IF($X9=0,$AD9,IF(AND($Z9&lt;&gt;"",EDATE($D9,Milestones!$AA$44)&gt;=$Z9),$AC9,IF(AND($Y9&lt;&gt;"",EDATE($D9,Milestones!$AA$44)&gt;=$Y9),$AB9,$AA9)))=Milestones!$AB$44),UPPER(TEXT(EDATE($D9,Milestones!$AA$44),"dd mmm yy"))&amp;" "&amp;Milestones!$AB$44&amp;" "&amp;IF(AND(Milestones!$AB$44="FT",Milestones!$AA$44=FT_Y5,EDATE($D9,Milestones!$AA$44)&lt;PolicyEff),1,Milestones!$AC$44)&amp;";  ","")&amp;IF(AND(EDATE($D9,Milestones!$AA$45)&lt;=AsOfDate,EDATE($D9,Milestones!$AA$45)&gt;=SchemeStart,IF($X9=0,$AD9,IF(AND($Z9&lt;&gt;"",EDATE($D9,Milestones!$AA$45)&gt;=$Z9),$AC9,IF(AND($Y9&lt;&gt;"",EDATE($D9,Milestones!$AA$45)&gt;=$Y9),$AB9,$AA9)))=Milestones!$AB$45),UPPER(TEXT(EDATE($D9,Milestones!$AA$45),"dd mmm yy"))&amp;" "&amp;Milestones!$AB$45&amp;" "&amp;IF(AND(Milestones!$AB$45="FT",Milestones!$AA$45=FT_Y5,EDATE($D9,Milestones!$AA$45)&lt;PolicyEff),1,Milestones!$AC$45)&amp;";  ","")&amp;IF(AND(EDATE($D9,Milestones!$AA$46)&lt;=AsOfDate,EDATE($D9,Milestones!$AA$46)&gt;=SchemeStart,IF($X9=0,$AD9,IF(AND($Z9&lt;&gt;"",EDATE($D9,Milestones!$AA$46)&gt;=$Z9),$AC9,IF(AND($Y9&lt;&gt;"",EDATE($D9,Milestones!$AA$46)&gt;=$Y9),$AB9,$AA9)))=Milestones!$AB$46),UPPER(TEXT(EDATE($D9,Milestones!$AA$46),"dd mmm yy"))&amp;" "&amp;Milestones!$AB$46&amp;" "&amp;IF(AND(Milestones!$AB$46="FT",Milestones!$AA$46=FT_Y5,EDATE($D9,Milestones!$AA$46)&lt;PolicyEff),1,Milestones!$AC$46)&amp;";  ","")&amp;IF(AND(EDATE($D9,Milestones!$AA$47)&lt;=AsOfDate,EDATE($D9,Milestones!$AA$47)&gt;=SchemeStart,IF($X9=0,$AD9,IF(AND($Z9&lt;&gt;"",EDATE($D9,Milestones!$AA$47)&gt;=$Z9),$AC9,IF(AND($Y9&lt;&gt;"",EDATE($D9,Milestones!$AA$47)&gt;=$Y9),$AB9,$AA9)))=Milestones!$AB$47),UPPER(TEXT(EDATE($D9,Milestones!$AA$47),"dd mmm yy"))&amp;" "&amp;Milestones!$AB$47&amp;" "&amp;IF(AND(Milestones!$AB$47="FT",Milestones!$AA$47=FT_Y5,EDATE($D9,Milestones!$AA$47)&lt;PolicyEff),1,Milestones!$AC$47)&amp;";  ","")&amp;IF(AND(EDATE($D9,Milestones!$AA$48)&lt;=AsOfDate,EDATE($D9,Milestones!$AA$48)&gt;=SchemeStart,IF($X9=0,$AD9,IF(AND($Z9&lt;&gt;"",EDATE($D9,Milestones!$AA$48)&gt;=$Z9),$AC9,IF(AND($Y9&lt;&gt;"",EDATE($D9,Milestones!$AA$48)&gt;=$Y9),$AB9,$AA9)))=Milestones!$AB$48),UPPER(TEXT(EDATE($D9,Milestones!$AA$48),"dd mmm yy"))&amp;" "&amp;Milestones!$AB$48&amp;" "&amp;IF(AND(Milestones!$AB$48="FT",Milestones!$AA$48=FT_Y5,EDATE($D9,Milestones!$AA$48)&lt;PolicyEff),1,Milestones!$AC$48)&amp;";  ","")&amp;IF(AND(EDATE($D9,Milestones!$AA$49)&lt;=AsOfDate,EDATE($D9,Milestones!$AA$49)&gt;=SchemeStart,IF($X9=0,$AD9,IF(AND($Z9&lt;&gt;"",EDATE($D9,Milestones!$AA$49)&gt;=$Z9),$AC9,IF(AND($Y9&lt;&gt;"",EDATE($D9,Milestones!$AA$49)&gt;=$Y9),$AB9,$AA9)))=Milestones!$AB$49),UPPER(TEXT(EDATE($D9,Milestones!$AA$49),"dd mmm yy"))&amp;" "&amp;Milestones!$AB$49&amp;" "&amp;IF(AND(Milestones!$AB$49="FT",Milestones!$AA$49=FT_Y5,EDATE($D9,Milestones!$AA$49)&lt;PolicyEff),1,Milestones!$AC$49)&amp;";  ","")&amp;IF(AND(EDATE($D9,Milestones!$AA$50)&lt;=AsOfDate,EDATE($D9,Milestones!$AA$50)&gt;=SchemeStart,IF($X9=0,$AD9,IF(AND($Z9&lt;&gt;"",EDATE($D9,Milestones!$AA$50)&gt;=$Z9),$AC9,IF(AND($Y9&lt;&gt;"",EDATE($D9,Milestones!$AA$50)&gt;=$Y9),$AB9,$AA9)))=Milestones!$AB$50),UPPER(TEXT(EDATE($D9,Milestones!$AA$50),"dd mmm yy"))&amp;" "&amp;Milestones!$AB$50&amp;" "&amp;IF(AND(Milestones!$AB$50="FT",Milestones!$AA$50=FT_Y5,EDATE($D9,Milestones!$AA$50)&lt;PolicyEff),1,Milestones!$AC$50)&amp;";  ","")&amp;IF(AND(EDATE($D9,Milestones!$AA$51)&lt;=AsOfDate,EDATE($D9,Milestones!$AA$51)&gt;=SchemeStart,IF($X9=0,$AD9,IF(AND($Z9&lt;&gt;"",EDATE($D9,Milestones!$AA$51)&gt;=$Z9),$AC9,IF(AND($Y9&lt;&gt;"",EDATE($D9,Milestones!$AA$51)&gt;=$Y9),$AB9,$AA9)))=Milestones!$AB$51),UPPER(TEXT(EDATE($D9,Milestones!$AA$51),"dd mmm yy"))&amp;" "&amp;Milestones!$AB$51&amp;" "&amp;IF(AND(Milestones!$AB$51="FT",Milestones!$AA$51=FT_Y5,EDATE($D9,Milestones!$AA$51)&lt;PolicyEff),1,Milestones!$AC$51)&amp;";  ","")&amp;IF(AND(EDATE($D9,Milestones!$AA$52)&lt;=AsOfDate,EDATE($D9,Milestones!$AA$52)&gt;=SchemeStart,IF($X9=0,$AD9,IF(AND($Z9&lt;&gt;"",EDATE($D9,Milestones!$AA$52)&gt;=$Z9),$AC9,IF(AND($Y9&lt;&gt;"",EDATE($D9,Milestones!$AA$52)&gt;=$Y9),$AB9,$AA9)))=Milestones!$AB$52),UPPER(TEXT(EDATE($D9,Milestones!$AA$52),"dd mmm yy"))&amp;" "&amp;Milestones!$AB$52&amp;" "&amp;IF(AND(Milestones!$AB$52="FT",Milestones!$AA$52=FT_Y5,EDATE($D9,Milestones!$AA$52)&lt;PolicyEff),1,Milestones!$AC$52)&amp;";  ","")&amp;IF(AND(EDATE($D9,Milestones!$AA$53)&lt;=AsOfDate,EDATE($D9,Milestones!$AA$53)&gt;=SchemeStart,IF($X9=0,$AD9,IF(AND($Z9&lt;&gt;"",EDATE($D9,Milestones!$AA$53)&gt;=$Z9),$AC9,IF(AND($Y9&lt;&gt;"",EDATE($D9,Milestones!$AA$53)&gt;=$Y9),$AB9,$AA9)))=Milestones!$AB$53),UPPER(TEXT(EDATE($D9,Milestones!$AA$53),"dd mmm yy"))&amp;" "&amp;Milestones!$AB$53&amp;" "&amp;IF(AND(Milestones!$AB$53="FT",Milestones!$AA$53=FT_Y5,EDATE($D9,Milestones!$AA$53)&lt;PolicyEff),1,Milestones!$AC$53)&amp;";  ","")&amp;IF(AND(EDATE($D9,Milestones!$AA$54)&lt;=AsOfDate,EDATE($D9,Milestones!$AA$54)&gt;=SchemeStart,IF($X9=0,$AD9,IF(AND($Z9&lt;&gt;"",EDATE($D9,Milestones!$AA$54)&gt;=$Z9),$AC9,IF(AND($Y9&lt;&gt;"",EDATE($D9,Milestones!$AA$54)&gt;=$Y9),$AB9,$AA9)))=Milestones!$AB$54),UPPER(TEXT(EDATE($D9,Milestones!$AA$54),"dd mmm yy"))&amp;" "&amp;Milestones!$AB$54&amp;" "&amp;IF(AND(Milestones!$AB$54="FT",Milestones!$AA$54=FT_Y5,EDATE($D9,Milestones!$AA$54)&lt;PolicyEff),1,Milestones!$AC$54)&amp;";  ","")&amp;IF(AND(EDATE($D9,Milestones!$AA$55)&lt;=AsOfDate,EDATE($D9,Milestones!$AA$55)&gt;=SchemeStart,IF($X9=0,$AD9,IF(AND($Z9&lt;&gt;"",EDATE($D9,Milestones!$AA$55)&gt;=$Z9),$AC9,IF(AND($Y9&lt;&gt;"",EDATE($D9,Milestones!$AA$55)&gt;=$Y9),$AB9,$AA9)))=Milestones!$AB$55),UPPER(TEXT(EDATE($D9,Milestones!$AA$55),"dd mmm yy"))&amp;" "&amp;Milestones!$AB$55&amp;" "&amp;IF(AND(Milestones!$AB$55="FT",Milestones!$AA$55=FT_Y5,EDATE($D9,Milestones!$AA$55)&lt;PolicyEff),1,Milestones!$AC$55)&amp;";  ",""))</f>
        <v/>
      </c>
      <c r="L9" s="0" t="str">
        <f aca="false">IF(OR($A9="",$D9=""),"",IF(AND(EDATE($D9,Milestones!$AA$56)&lt;=AsOfDate,EDATE($D9,Milestones!$AA$56)&gt;=SchemeStart,IF($X9=0,$AD9,IF(AND($Z9&lt;&gt;"",EDATE($D9,Milestones!$AA$56)&gt;=$Z9),$AC9,IF(AND($Y9&lt;&gt;"",EDATE($D9,Milestones!$AA$56)&gt;=$Y9),$AB9,$AA9)))=Milestones!$AB$56),UPPER(TEXT(EDATE($D9,Milestones!$AA$56),"dd mmm yy"))&amp;" "&amp;Milestones!$AB$56&amp;" "&amp;IF(AND(Milestones!$AB$56="FT",Milestones!$AA$56=FT_Y5,EDATE($D9,Milestones!$AA$56)&lt;PolicyEff),1,Milestones!$AC$56)&amp;";  ","")&amp;IF(AND(EDATE($D9,Milestones!$AA$57)&lt;=AsOfDate,EDATE($D9,Milestones!$AA$57)&gt;=SchemeStart,IF($X9=0,$AD9,IF(AND($Z9&lt;&gt;"",EDATE($D9,Milestones!$AA$57)&gt;=$Z9),$AC9,IF(AND($Y9&lt;&gt;"",EDATE($D9,Milestones!$AA$57)&gt;=$Y9),$AB9,$AA9)))=Milestones!$AB$57),UPPER(TEXT(EDATE($D9,Milestones!$AA$57),"dd mmm yy"))&amp;" "&amp;Milestones!$AB$57&amp;" "&amp;IF(AND(Milestones!$AB$57="FT",Milestones!$AA$57=FT_Y5,EDATE($D9,Milestones!$AA$57)&lt;PolicyEff),1,Milestones!$AC$57)&amp;";  ","")&amp;IF(AND(EDATE($D9,Milestones!$AA$58)&lt;=AsOfDate,EDATE($D9,Milestones!$AA$58)&gt;=SchemeStart,IF($X9=0,$AD9,IF(AND($Z9&lt;&gt;"",EDATE($D9,Milestones!$AA$58)&gt;=$Z9),$AC9,IF(AND($Y9&lt;&gt;"",EDATE($D9,Milestones!$AA$58)&gt;=$Y9),$AB9,$AA9)))=Milestones!$AB$58),UPPER(TEXT(EDATE($D9,Milestones!$AA$58),"dd mmm yy"))&amp;" "&amp;Milestones!$AB$58&amp;" "&amp;IF(AND(Milestones!$AB$58="FT",Milestones!$AA$58=FT_Y5,EDATE($D9,Milestones!$AA$58)&lt;PolicyEff),1,Milestones!$AC$58)&amp;";  ","")&amp;IF(AND(EDATE($D9,Milestones!$AA$59)&lt;=AsOfDate,EDATE($D9,Milestones!$AA$59)&gt;=SchemeStart,IF($X9=0,$AD9,IF(AND($Z9&lt;&gt;"",EDATE($D9,Milestones!$AA$59)&gt;=$Z9),$AC9,IF(AND($Y9&lt;&gt;"",EDATE($D9,Milestones!$AA$59)&gt;=$Y9),$AB9,$AA9)))=Milestones!$AB$59),UPPER(TEXT(EDATE($D9,Milestones!$AA$59),"dd mmm yy"))&amp;" "&amp;Milestones!$AB$59&amp;" "&amp;IF(AND(Milestones!$AB$59="FT",Milestones!$AA$59=FT_Y5,EDATE($D9,Milestones!$AA$59)&lt;PolicyEff),1,Milestones!$AC$59)&amp;";  ","")&amp;IF(AND(EDATE($D9,Milestones!$AA$60)&lt;=AsOfDate,EDATE($D9,Milestones!$AA$60)&gt;=SchemeStart,IF($X9=0,$AD9,IF(AND($Z9&lt;&gt;"",EDATE($D9,Milestones!$AA$60)&gt;=$Z9),$AC9,IF(AND($Y9&lt;&gt;"",EDATE($D9,Milestones!$AA$60)&gt;=$Y9),$AB9,$AA9)))=Milestones!$AB$60),UPPER(TEXT(EDATE($D9,Milestones!$AA$60),"dd mmm yy"))&amp;" "&amp;Milestones!$AB$60&amp;" "&amp;IF(AND(Milestones!$AB$60="FT",Milestones!$AA$60=FT_Y5,EDATE($D9,Milestones!$AA$60)&lt;PolicyEff),1,Milestones!$AC$60)&amp;";  ","")&amp;IF(AND(EDATE($D9,Milestones!$AA$61)&lt;=AsOfDate,EDATE($D9,Milestones!$AA$61)&gt;=SchemeStart,IF($X9=0,$AD9,IF(AND($Z9&lt;&gt;"",EDATE($D9,Milestones!$AA$61)&gt;=$Z9),$AC9,IF(AND($Y9&lt;&gt;"",EDATE($D9,Milestones!$AA$61)&gt;=$Y9),$AB9,$AA9)))=Milestones!$AB$61),UPPER(TEXT(EDATE($D9,Milestones!$AA$61),"dd mmm yy"))&amp;" "&amp;Milestones!$AB$61&amp;" "&amp;IF(AND(Milestones!$AB$61="FT",Milestones!$AA$61=FT_Y5,EDATE($D9,Milestones!$AA$61)&lt;PolicyEff),1,Milestones!$AC$61)&amp;";  ","")&amp;IF(AND(EDATE($D9,Milestones!$AA$62)&lt;=AsOfDate,EDATE($D9,Milestones!$AA$62)&gt;=SchemeStart,IF($X9=0,$AD9,IF(AND($Z9&lt;&gt;"",EDATE($D9,Milestones!$AA$62)&gt;=$Z9),$AC9,IF(AND($Y9&lt;&gt;"",EDATE($D9,Milestones!$AA$62)&gt;=$Y9),$AB9,$AA9)))=Milestones!$AB$62),UPPER(TEXT(EDATE($D9,Milestones!$AA$62),"dd mmm yy"))&amp;" "&amp;Milestones!$AB$62&amp;" "&amp;IF(AND(Milestones!$AB$62="FT",Milestones!$AA$62=FT_Y5,EDATE($D9,Milestones!$AA$62)&lt;PolicyEff),1,Milestones!$AC$62)&amp;";  ","")&amp;IF(AND(EDATE($D9,Milestones!$AA$63)&lt;=AsOfDate,EDATE($D9,Milestones!$AA$63)&gt;=SchemeStart,IF($X9=0,$AD9,IF(AND($Z9&lt;&gt;"",EDATE($D9,Milestones!$AA$63)&gt;=$Z9),$AC9,IF(AND($Y9&lt;&gt;"",EDATE($D9,Milestones!$AA$63)&gt;=$Y9),$AB9,$AA9)))=Milestones!$AB$63),UPPER(TEXT(EDATE($D9,Milestones!$AA$63),"dd mmm yy"))&amp;" "&amp;Milestones!$AB$63&amp;" "&amp;IF(AND(Milestones!$AB$63="FT",Milestones!$AA$63=FT_Y5,EDATE($D9,Milestones!$AA$63)&lt;PolicyEff),1,Milestones!$AC$63)&amp;";  ","")&amp;IF(AND(EDATE($D9,Milestones!$AA$64)&lt;=AsOfDate,EDATE($D9,Milestones!$AA$64)&gt;=SchemeStart,IF($X9=0,$AD9,IF(AND($Z9&lt;&gt;"",EDATE($D9,Milestones!$AA$64)&gt;=$Z9),$AC9,IF(AND($Y9&lt;&gt;"",EDATE($D9,Milestones!$AA$64)&gt;=$Y9),$AB9,$AA9)))=Milestones!$AB$64),UPPER(TEXT(EDATE($D9,Milestones!$AA$64),"dd mmm yy"))&amp;" "&amp;Milestones!$AB$64&amp;" "&amp;IF(AND(Milestones!$AB$64="FT",Milestones!$AA$64=FT_Y5,EDATE($D9,Milestones!$AA$64)&lt;PolicyEff),1,Milestones!$AC$64)&amp;";  ","")&amp;IF(AND(EDATE($D9,Milestones!$AA$65)&lt;=AsOfDate,EDATE($D9,Milestones!$AA$65)&gt;=SchemeStart,IF($X9=0,$AD9,IF(AND($Z9&lt;&gt;"",EDATE($D9,Milestones!$AA$65)&gt;=$Z9),$AC9,IF(AND($Y9&lt;&gt;"",EDATE($D9,Milestones!$AA$65)&gt;=$Y9),$AB9,$AA9)))=Milestones!$AB$65),UPPER(TEXT(EDATE($D9,Milestones!$AA$65),"dd mmm yy"))&amp;" "&amp;Milestones!$AB$65&amp;" "&amp;IF(AND(Milestones!$AB$65="FT",Milestones!$AA$65=FT_Y5,EDATE($D9,Milestones!$AA$65)&lt;PolicyEff),1,Milestones!$AC$65)&amp;";  ","")&amp;IF(AND(EDATE($D9,Milestones!$AA$66)&lt;=AsOfDate,EDATE($D9,Milestones!$AA$66)&gt;=SchemeStart,IF($X9=0,$AD9,IF(AND($Z9&lt;&gt;"",EDATE($D9,Milestones!$AA$66)&gt;=$Z9),$AC9,IF(AND($Y9&lt;&gt;"",EDATE($D9,Milestones!$AA$66)&gt;=$Y9),$AB9,$AA9)))=Milestones!$AB$66),UPPER(TEXT(EDATE($D9,Milestones!$AA$66),"dd mmm yy"))&amp;" "&amp;Milestones!$AB$66&amp;" "&amp;IF(AND(Milestones!$AB$66="FT",Milestones!$AA$66=FT_Y5,EDATE($D9,Milestones!$AA$66)&lt;PolicyEff),1,Milestones!$AC$66)&amp;";  ","")&amp;IF(AND(EDATE($D9,Milestones!$AA$67)&lt;=AsOfDate,EDATE($D9,Milestones!$AA$67)&gt;=SchemeStart,IF($X9=0,$AD9,IF(AND($Z9&lt;&gt;"",EDATE($D9,Milestones!$AA$67)&gt;=$Z9),$AC9,IF(AND($Y9&lt;&gt;"",EDATE($D9,Milestones!$AA$67)&gt;=$Y9),$AB9,$AA9)))=Milestones!$AB$67),UPPER(TEXT(EDATE($D9,Milestones!$AA$67),"dd mmm yy"))&amp;" "&amp;Milestones!$AB$67&amp;" "&amp;IF(AND(Milestones!$AB$67="FT",Milestones!$AA$67=FT_Y5,EDATE($D9,Milestones!$AA$67)&lt;PolicyEff),1,Milestones!$AC$67)&amp;";  ",""))</f>
        <v/>
      </c>
      <c r="M9" s="0" t="str">
        <f aca="false">IF(OR($A9="",$D9=""),"",IF(AND(EDATE($D9,Milestones!$AA$68)&lt;=AsOfDate,EDATE($D9,Milestones!$AA$68)&gt;=SchemeStart,IF($X9=0,$AD9,IF(AND($Z9&lt;&gt;"",EDATE($D9,Milestones!$AA$68)&gt;=$Z9),$AC9,IF(AND($Y9&lt;&gt;"",EDATE($D9,Milestones!$AA$68)&gt;=$Y9),$AB9,$AA9)))=Milestones!$AB$68),UPPER(TEXT(EDATE($D9,Milestones!$AA$68),"dd mmm yy"))&amp;" "&amp;Milestones!$AB$68&amp;" "&amp;IF(AND(Milestones!$AB$68="FT",Milestones!$AA$68=FT_Y5,EDATE($D9,Milestones!$AA$68)&lt;PolicyEff),1,Milestones!$AC$68)&amp;";  ","")&amp;IF(AND(EDATE($D9,Milestones!$AA$69)&lt;=AsOfDate,EDATE($D9,Milestones!$AA$69)&gt;=SchemeStart,IF($X9=0,$AD9,IF(AND($Z9&lt;&gt;"",EDATE($D9,Milestones!$AA$69)&gt;=$Z9),$AC9,IF(AND($Y9&lt;&gt;"",EDATE($D9,Milestones!$AA$69)&gt;=$Y9),$AB9,$AA9)))=Milestones!$AB$69),UPPER(TEXT(EDATE($D9,Milestones!$AA$69),"dd mmm yy"))&amp;" "&amp;Milestones!$AB$69&amp;" "&amp;IF(AND(Milestones!$AB$69="FT",Milestones!$AA$69=FT_Y5,EDATE($D9,Milestones!$AA$69)&lt;PolicyEff),1,Milestones!$AC$69)&amp;";  ","")&amp;IF(AND(EDATE($D9,Milestones!$AA$70)&lt;=AsOfDate,EDATE($D9,Milestones!$AA$70)&gt;=SchemeStart,IF($X9=0,$AD9,IF(AND($Z9&lt;&gt;"",EDATE($D9,Milestones!$AA$70)&gt;=$Z9),$AC9,IF(AND($Y9&lt;&gt;"",EDATE($D9,Milestones!$AA$70)&gt;=$Y9),$AB9,$AA9)))=Milestones!$AB$70),UPPER(TEXT(EDATE($D9,Milestones!$AA$70),"dd mmm yy"))&amp;" "&amp;Milestones!$AB$70&amp;" "&amp;IF(AND(Milestones!$AB$70="FT",Milestones!$AA$70=FT_Y5,EDATE($D9,Milestones!$AA$70)&lt;PolicyEff),1,Milestones!$AC$70)&amp;";  ","")&amp;IF(AND(EDATE($D9,Milestones!$AA$71)&lt;=AsOfDate,EDATE($D9,Milestones!$AA$71)&gt;=SchemeStart,IF($X9=0,$AD9,IF(AND($Z9&lt;&gt;"",EDATE($D9,Milestones!$AA$71)&gt;=$Z9),$AC9,IF(AND($Y9&lt;&gt;"",EDATE($D9,Milestones!$AA$71)&gt;=$Y9),$AB9,$AA9)))=Milestones!$AB$71),UPPER(TEXT(EDATE($D9,Milestones!$AA$71),"dd mmm yy"))&amp;" "&amp;Milestones!$AB$71&amp;" "&amp;IF(AND(Milestones!$AB$71="FT",Milestones!$AA$71=FT_Y5,EDATE($D9,Milestones!$AA$71)&lt;PolicyEff),1,Milestones!$AC$71)&amp;";  ","")&amp;IF(AND(EDATE($D9,Milestones!$AA$72)&lt;=AsOfDate,EDATE($D9,Milestones!$AA$72)&gt;=SchemeStart,IF($X9=0,$AD9,IF(AND($Z9&lt;&gt;"",EDATE($D9,Milestones!$AA$72)&gt;=$Z9),$AC9,IF(AND($Y9&lt;&gt;"",EDATE($D9,Milestones!$AA$72)&gt;=$Y9),$AB9,$AA9)))=Milestones!$AB$72),UPPER(TEXT(EDATE($D9,Milestones!$AA$72),"dd mmm yy"))&amp;" "&amp;Milestones!$AB$72&amp;" "&amp;IF(AND(Milestones!$AB$72="FT",Milestones!$AA$72=FT_Y5,EDATE($D9,Milestones!$AA$72)&lt;PolicyEff),1,Milestones!$AC$72)&amp;";  ","")&amp;IF(AND(EDATE($D9,Milestones!$AA$73)&lt;=AsOfDate,EDATE($D9,Milestones!$AA$73)&gt;=SchemeStart,IF($X9=0,$AD9,IF(AND($Z9&lt;&gt;"",EDATE($D9,Milestones!$AA$73)&gt;=$Z9),$AC9,IF(AND($Y9&lt;&gt;"",EDATE($D9,Milestones!$AA$73)&gt;=$Y9),$AB9,$AA9)))=Milestones!$AB$73),UPPER(TEXT(EDATE($D9,Milestones!$AA$73),"dd mmm yy"))&amp;" "&amp;Milestones!$AB$73&amp;" "&amp;IF(AND(Milestones!$AB$73="FT",Milestones!$AA$73=FT_Y5,EDATE($D9,Milestones!$AA$73)&lt;PolicyEff),1,Milestones!$AC$73)&amp;";  ","")&amp;IF(AND(EDATE($D9,Milestones!$AA$74)&lt;=AsOfDate,EDATE($D9,Milestones!$AA$74)&gt;=SchemeStart,IF($X9=0,$AD9,IF(AND($Z9&lt;&gt;"",EDATE($D9,Milestones!$AA$74)&gt;=$Z9),$AC9,IF(AND($Y9&lt;&gt;"",EDATE($D9,Milestones!$AA$74)&gt;=$Y9),$AB9,$AA9)))=Milestones!$AB$74),UPPER(TEXT(EDATE($D9,Milestones!$AA$74),"dd mmm yy"))&amp;" "&amp;Milestones!$AB$74&amp;" "&amp;IF(AND(Milestones!$AB$74="FT",Milestones!$AA$74=FT_Y5,EDATE($D9,Milestones!$AA$74)&lt;PolicyEff),1,Milestones!$AC$74)&amp;";  ","")&amp;IF(AND(EDATE($D9,Milestones!$AA$75)&lt;=AsOfDate,EDATE($D9,Milestones!$AA$75)&gt;=SchemeStart,IF($X9=0,$AD9,IF(AND($Z9&lt;&gt;"",EDATE($D9,Milestones!$AA$75)&gt;=$Z9),$AC9,IF(AND($Y9&lt;&gt;"",EDATE($D9,Milestones!$AA$75)&gt;=$Y9),$AB9,$AA9)))=Milestones!$AB$75),UPPER(TEXT(EDATE($D9,Milestones!$AA$75),"dd mmm yy"))&amp;" "&amp;Milestones!$AB$75&amp;" "&amp;IF(AND(Milestones!$AB$75="FT",Milestones!$AA$75=FT_Y5,EDATE($D9,Milestones!$AA$75)&lt;PolicyEff),1,Milestones!$AC$75)&amp;";  ","")&amp;IF(AND(EDATE($D9,Milestones!$AA$76)&lt;=AsOfDate,EDATE($D9,Milestones!$AA$76)&gt;=SchemeStart,IF($X9=0,$AD9,IF(AND($Z9&lt;&gt;"",EDATE($D9,Milestones!$AA$76)&gt;=$Z9),$AC9,IF(AND($Y9&lt;&gt;"",EDATE($D9,Milestones!$AA$76)&gt;=$Y9),$AB9,$AA9)))=Milestones!$AB$76),UPPER(TEXT(EDATE($D9,Milestones!$AA$76),"dd mmm yy"))&amp;" "&amp;Milestones!$AB$76&amp;" "&amp;IF(AND(Milestones!$AB$76="FT",Milestones!$AA$76=FT_Y5,EDATE($D9,Milestones!$AA$76)&lt;PolicyEff),1,Milestones!$AC$76)&amp;";  ","")&amp;IF(AND(EDATE($D9,Milestones!$AA$77)&lt;=AsOfDate,EDATE($D9,Milestones!$AA$77)&gt;=SchemeStart,IF($X9=0,$AD9,IF(AND($Z9&lt;&gt;"",EDATE($D9,Milestones!$AA$77)&gt;=$Z9),$AC9,IF(AND($Y9&lt;&gt;"",EDATE($D9,Milestones!$AA$77)&gt;=$Y9),$AB9,$AA9)))=Milestones!$AB$77),UPPER(TEXT(EDATE($D9,Milestones!$AA$77),"dd mmm yy"))&amp;" "&amp;Milestones!$AB$77&amp;" "&amp;IF(AND(Milestones!$AB$77="FT",Milestones!$AA$77=FT_Y5,EDATE($D9,Milestones!$AA$77)&lt;PolicyEff),1,Milestones!$AC$77)&amp;";  ","")&amp;IF(AND(EDATE($D9,Milestones!$AA$78)&lt;=AsOfDate,EDATE($D9,Milestones!$AA$78)&gt;=SchemeStart,IF($X9=0,$AD9,IF(AND($Z9&lt;&gt;"",EDATE($D9,Milestones!$AA$78)&gt;=$Z9),$AC9,IF(AND($Y9&lt;&gt;"",EDATE($D9,Milestones!$AA$78)&gt;=$Y9),$AB9,$AA9)))=Milestones!$AB$78),UPPER(TEXT(EDATE($D9,Milestones!$AA$78),"dd mmm yy"))&amp;" "&amp;Milestones!$AB$78&amp;" "&amp;IF(AND(Milestones!$AB$78="FT",Milestones!$AA$78=FT_Y5,EDATE($D9,Milestones!$AA$78)&lt;PolicyEff),1,Milestones!$AC$78)&amp;";  ","")&amp;IF(AND(EDATE($D9,Milestones!$AA$79)&lt;=AsOfDate,EDATE($D9,Milestones!$AA$79)&gt;=SchemeStart,IF($X9=0,$AD9,IF(AND($Z9&lt;&gt;"",EDATE($D9,Milestones!$AA$79)&gt;=$Z9),$AC9,IF(AND($Y9&lt;&gt;"",EDATE($D9,Milestones!$AA$79)&gt;=$Y9),$AB9,$AA9)))=Milestones!$AB$79),UPPER(TEXT(EDATE($D9,Milestones!$AA$79),"dd mmm yy"))&amp;" "&amp;Milestones!$AB$79&amp;" "&amp;IF(AND(Milestones!$AB$79="FT",Milestones!$AA$79=FT_Y5,EDATE($D9,Milestones!$AA$79)&lt;PolicyEff),1,Milestones!$AC$79)&amp;";  ",""))</f>
        <v/>
      </c>
      <c r="N9" s="0" t="str">
        <f aca="false">IF(OR($A9="",$D9=""),"",IF(AND(EDATE($D9,Milestones!$AA$80)&lt;=AsOfDate,EDATE($D9,Milestones!$AA$80)&gt;=SchemeStart,IF($X9=0,$AD9,IF(AND($Z9&lt;&gt;"",EDATE($D9,Milestones!$AA$80)&gt;=$Z9),$AC9,IF(AND($Y9&lt;&gt;"",EDATE($D9,Milestones!$AA$80)&gt;=$Y9),$AB9,$AA9)))=Milestones!$AB$80),UPPER(TEXT(EDATE($D9,Milestones!$AA$80),"dd mmm yy"))&amp;" "&amp;Milestones!$AB$80&amp;" "&amp;IF(AND(Milestones!$AB$80="FT",Milestones!$AA$80=FT_Y5,EDATE($D9,Milestones!$AA$80)&lt;PolicyEff),1,Milestones!$AC$80)&amp;";  ","")&amp;IF(AND(EDATE($D9,Milestones!$AA$81)&lt;=AsOfDate,EDATE($D9,Milestones!$AA$81)&gt;=SchemeStart,IF($X9=0,$AD9,IF(AND($Z9&lt;&gt;"",EDATE($D9,Milestones!$AA$81)&gt;=$Z9),$AC9,IF(AND($Y9&lt;&gt;"",EDATE($D9,Milestones!$AA$81)&gt;=$Y9),$AB9,$AA9)))=Milestones!$AB$81),UPPER(TEXT(EDATE($D9,Milestones!$AA$81),"dd mmm yy"))&amp;" "&amp;Milestones!$AB$81&amp;" "&amp;IF(AND(Milestones!$AB$81="FT",Milestones!$AA$81=FT_Y5,EDATE($D9,Milestones!$AA$81)&lt;PolicyEff),1,Milestones!$AC$81)&amp;";  ","")&amp;IF(AND(EDATE($D9,Milestones!$AA$82)&lt;=AsOfDate,EDATE($D9,Milestones!$AA$82)&gt;=SchemeStart,IF($X9=0,$AD9,IF(AND($Z9&lt;&gt;"",EDATE($D9,Milestones!$AA$82)&gt;=$Z9),$AC9,IF(AND($Y9&lt;&gt;"",EDATE($D9,Milestones!$AA$82)&gt;=$Y9),$AB9,$AA9)))=Milestones!$AB$82),UPPER(TEXT(EDATE($D9,Milestones!$AA$82),"dd mmm yy"))&amp;" "&amp;Milestones!$AB$82&amp;" "&amp;IF(AND(Milestones!$AB$82="FT",Milestones!$AA$82=FT_Y5,EDATE($D9,Milestones!$AA$82)&lt;PolicyEff),1,Milestones!$AC$82)&amp;";  ","")&amp;IF(AND(EDATE($D9,Milestones!$AA$83)&lt;=AsOfDate,EDATE($D9,Milestones!$AA$83)&gt;=SchemeStart,IF($X9=0,$AD9,IF(AND($Z9&lt;&gt;"",EDATE($D9,Milestones!$AA$83)&gt;=$Z9),$AC9,IF(AND($Y9&lt;&gt;"",EDATE($D9,Milestones!$AA$83)&gt;=$Y9),$AB9,$AA9)))=Milestones!$AB$83),UPPER(TEXT(EDATE($D9,Milestones!$AA$83),"dd mmm yy"))&amp;" "&amp;Milestones!$AB$83&amp;" "&amp;IF(AND(Milestones!$AB$83="FT",Milestones!$AA$83=FT_Y5,EDATE($D9,Milestones!$AA$83)&lt;PolicyEff),1,Milestones!$AC$83)&amp;";  ","")&amp;IF(AND(EDATE($D9,Milestones!$AA$84)&lt;=AsOfDate,EDATE($D9,Milestones!$AA$84)&gt;=SchemeStart,IF($X9=0,$AD9,IF(AND($Z9&lt;&gt;"",EDATE($D9,Milestones!$AA$84)&gt;=$Z9),$AC9,IF(AND($Y9&lt;&gt;"",EDATE($D9,Milestones!$AA$84)&gt;=$Y9),$AB9,$AA9)))=Milestones!$AB$84),UPPER(TEXT(EDATE($D9,Milestones!$AA$84),"dd mmm yy"))&amp;" "&amp;Milestones!$AB$84&amp;" "&amp;IF(AND(Milestones!$AB$84="FT",Milestones!$AA$84=FT_Y5,EDATE($D9,Milestones!$AA$84)&lt;PolicyEff),1,Milestones!$AC$84)&amp;";  ","")&amp;IF(AND(EDATE($D9,Milestones!$AA$85)&lt;=AsOfDate,EDATE($D9,Milestones!$AA$85)&gt;=SchemeStart,IF($X9=0,$AD9,IF(AND($Z9&lt;&gt;"",EDATE($D9,Milestones!$AA$85)&gt;=$Z9),$AC9,IF(AND($Y9&lt;&gt;"",EDATE($D9,Milestones!$AA$85)&gt;=$Y9),$AB9,$AA9)))=Milestones!$AB$85),UPPER(TEXT(EDATE($D9,Milestones!$AA$85),"dd mmm yy"))&amp;" "&amp;Milestones!$AB$85&amp;" "&amp;IF(AND(Milestones!$AB$85="FT",Milestones!$AA$85=FT_Y5,EDATE($D9,Milestones!$AA$85)&lt;PolicyEff),1,Milestones!$AC$85)&amp;";  ","")&amp;IF(AND(EDATE($D9,Milestones!$AA$86)&lt;=AsOfDate,EDATE($D9,Milestones!$AA$86)&gt;=SchemeStart,IF($X9=0,$AD9,IF(AND($Z9&lt;&gt;"",EDATE($D9,Milestones!$AA$86)&gt;=$Z9),$AC9,IF(AND($Y9&lt;&gt;"",EDATE($D9,Milestones!$AA$86)&gt;=$Y9),$AB9,$AA9)))=Milestones!$AB$86),UPPER(TEXT(EDATE($D9,Milestones!$AA$86),"dd mmm yy"))&amp;" "&amp;Milestones!$AB$86&amp;" "&amp;IF(AND(Milestones!$AB$86="FT",Milestones!$AA$86=FT_Y5,EDATE($D9,Milestones!$AA$86)&lt;PolicyEff),1,Milestones!$AC$86)&amp;";  ","")&amp;IF(AND(EDATE($D9,Milestones!$AA$87)&lt;=AsOfDate,EDATE($D9,Milestones!$AA$87)&gt;=SchemeStart,IF($X9=0,$AD9,IF(AND($Z9&lt;&gt;"",EDATE($D9,Milestones!$AA$87)&gt;=$Z9),$AC9,IF(AND($Y9&lt;&gt;"",EDATE($D9,Milestones!$AA$87)&gt;=$Y9),$AB9,$AA9)))=Milestones!$AB$87),UPPER(TEXT(EDATE($D9,Milestones!$AA$87),"dd mmm yy"))&amp;" "&amp;Milestones!$AB$87&amp;" "&amp;IF(AND(Milestones!$AB$87="FT",Milestones!$AA$87=FT_Y5,EDATE($D9,Milestones!$AA$87)&lt;PolicyEff),1,Milestones!$AC$87)&amp;";  ","")&amp;IF(AND(EDATE($D9,Milestones!$AA$88)&lt;=AsOfDate,EDATE($D9,Milestones!$AA$88)&gt;=SchemeStart,IF($X9=0,$AD9,IF(AND($Z9&lt;&gt;"",EDATE($D9,Milestones!$AA$88)&gt;=$Z9),$AC9,IF(AND($Y9&lt;&gt;"",EDATE($D9,Milestones!$AA$88)&gt;=$Y9),$AB9,$AA9)))=Milestones!$AB$88),UPPER(TEXT(EDATE($D9,Milestones!$AA$88),"dd mmm yy"))&amp;" "&amp;Milestones!$AB$88&amp;" "&amp;IF(AND(Milestones!$AB$88="FT",Milestones!$AA$88=FT_Y5,EDATE($D9,Milestones!$AA$88)&lt;PolicyEff),1,Milestones!$AC$88)&amp;";  ","")&amp;IF(AND(EDATE($D9,Milestones!$AA$89)&lt;=AsOfDate,EDATE($D9,Milestones!$AA$89)&gt;=SchemeStart,IF($X9=0,$AD9,IF(AND($Z9&lt;&gt;"",EDATE($D9,Milestones!$AA$89)&gt;=$Z9),$AC9,IF(AND($Y9&lt;&gt;"",EDATE($D9,Milestones!$AA$89)&gt;=$Y9),$AB9,$AA9)))=Milestones!$AB$89),UPPER(TEXT(EDATE($D9,Milestones!$AA$89),"dd mmm yy"))&amp;" "&amp;Milestones!$AB$89&amp;" "&amp;IF(AND(Milestones!$AB$89="FT",Milestones!$AA$89=FT_Y5,EDATE($D9,Milestones!$AA$89)&lt;PolicyEff),1,Milestones!$AC$89)&amp;";  ","")&amp;IF(AND(EDATE($D9,Milestones!$AA$90)&lt;=AsOfDate,EDATE($D9,Milestones!$AA$90)&gt;=SchemeStart,IF($X9=0,$AD9,IF(AND($Z9&lt;&gt;"",EDATE($D9,Milestones!$AA$90)&gt;=$Z9),$AC9,IF(AND($Y9&lt;&gt;"",EDATE($D9,Milestones!$AA$90)&gt;=$Y9),$AB9,$AA9)))=Milestones!$AB$90),UPPER(TEXT(EDATE($D9,Milestones!$AA$90),"dd mmm yy"))&amp;" "&amp;Milestones!$AB$90&amp;" "&amp;IF(AND(Milestones!$AB$90="FT",Milestones!$AA$90=FT_Y5,EDATE($D9,Milestones!$AA$90)&lt;PolicyEff),1,Milestones!$AC$90)&amp;";  ","")&amp;IF(AND(EDATE($D9,Milestones!$AA$91)&lt;=AsOfDate,EDATE($D9,Milestones!$AA$91)&gt;=SchemeStart,IF($X9=0,$AD9,IF(AND($Z9&lt;&gt;"",EDATE($D9,Milestones!$AA$91)&gt;=$Z9),$AC9,IF(AND($Y9&lt;&gt;"",EDATE($D9,Milestones!$AA$91)&gt;=$Y9),$AB9,$AA9)))=Milestones!$AB$91),UPPER(TEXT(EDATE($D9,Milestones!$AA$91),"dd mmm yy"))&amp;" "&amp;Milestones!$AB$91&amp;" "&amp;IF(AND(Milestones!$AB$91="FT",Milestones!$AA$91=FT_Y5,EDATE($D9,Milestones!$AA$91)&lt;PolicyEff),1,Milestones!$AC$91)&amp;";  ",""))</f>
        <v/>
      </c>
      <c r="O9" s="0" t="str">
        <f aca="false">IF(OR($A9="",$D9=""),"",IF(AND(EDATE($D9,Milestones!$AA$92)&lt;=AsOfDate,EDATE($D9,Milestones!$AA$92)&gt;=SchemeStart,IF($X9=0,$AD9,IF(AND($Z9&lt;&gt;"",EDATE($D9,Milestones!$AA$92)&gt;=$Z9),$AC9,IF(AND($Y9&lt;&gt;"",EDATE($D9,Milestones!$AA$92)&gt;=$Y9),$AB9,$AA9)))=Milestones!$AB$92),UPPER(TEXT(EDATE($D9,Milestones!$AA$92),"dd mmm yy"))&amp;" "&amp;Milestones!$AB$92&amp;" "&amp;IF(AND(Milestones!$AB$92="FT",Milestones!$AA$92=FT_Y5,EDATE($D9,Milestones!$AA$92)&lt;PolicyEff),1,Milestones!$AC$92)&amp;";  ","")&amp;IF(AND(EDATE($D9,Milestones!$AA$93)&lt;=AsOfDate,EDATE($D9,Milestones!$AA$93)&gt;=SchemeStart,IF($X9=0,$AD9,IF(AND($Z9&lt;&gt;"",EDATE($D9,Milestones!$AA$93)&gt;=$Z9),$AC9,IF(AND($Y9&lt;&gt;"",EDATE($D9,Milestones!$AA$93)&gt;=$Y9),$AB9,$AA9)))=Milestones!$AB$93),UPPER(TEXT(EDATE($D9,Milestones!$AA$93),"dd mmm yy"))&amp;" "&amp;Milestones!$AB$93&amp;" "&amp;IF(AND(Milestones!$AB$93="FT",Milestones!$AA$93=FT_Y5,EDATE($D9,Milestones!$AA$93)&lt;PolicyEff),1,Milestones!$AC$93)&amp;";  ","")&amp;IF(AND(EDATE($D9,Milestones!$AA$94)&lt;=AsOfDate,EDATE($D9,Milestones!$AA$94)&gt;=SchemeStart,IF($X9=0,$AD9,IF(AND($Z9&lt;&gt;"",EDATE($D9,Milestones!$AA$94)&gt;=$Z9),$AC9,IF(AND($Y9&lt;&gt;"",EDATE($D9,Milestones!$AA$94)&gt;=$Y9),$AB9,$AA9)))=Milestones!$AB$94),UPPER(TEXT(EDATE($D9,Milestones!$AA$94),"dd mmm yy"))&amp;" "&amp;Milestones!$AB$94&amp;" "&amp;IF(AND(Milestones!$AB$94="FT",Milestones!$AA$94=FT_Y5,EDATE($D9,Milestones!$AA$94)&lt;PolicyEff),1,Milestones!$AC$94)&amp;";  ","")&amp;IF(AND(EDATE($D9,Milestones!$AA$95)&lt;=AsOfDate,EDATE($D9,Milestones!$AA$95)&gt;=SchemeStart,IF($X9=0,$AD9,IF(AND($Z9&lt;&gt;"",EDATE($D9,Milestones!$AA$95)&gt;=$Z9),$AC9,IF(AND($Y9&lt;&gt;"",EDATE($D9,Milestones!$AA$95)&gt;=$Y9),$AB9,$AA9)))=Milestones!$AB$95),UPPER(TEXT(EDATE($D9,Milestones!$AA$95),"dd mmm yy"))&amp;" "&amp;Milestones!$AB$95&amp;" "&amp;IF(AND(Milestones!$AB$95="FT",Milestones!$AA$95=FT_Y5,EDATE($D9,Milestones!$AA$95)&lt;PolicyEff),1,Milestones!$AC$95)&amp;";  ","")&amp;IF(AND(EDATE($D9,Milestones!$AA$96)&lt;=AsOfDate,EDATE($D9,Milestones!$AA$96)&gt;=SchemeStart,IF($X9=0,$AD9,IF(AND($Z9&lt;&gt;"",EDATE($D9,Milestones!$AA$96)&gt;=$Z9),$AC9,IF(AND($Y9&lt;&gt;"",EDATE($D9,Milestones!$AA$96)&gt;=$Y9),$AB9,$AA9)))=Milestones!$AB$96),UPPER(TEXT(EDATE($D9,Milestones!$AA$96),"dd mmm yy"))&amp;" "&amp;Milestones!$AB$96&amp;" "&amp;IF(AND(Milestones!$AB$96="FT",Milestones!$AA$96=FT_Y5,EDATE($D9,Milestones!$AA$96)&lt;PolicyEff),1,Milestones!$AC$96)&amp;";  ","")&amp;IF(AND(EDATE($D9,Milestones!$AA$97)&lt;=AsOfDate,EDATE($D9,Milestones!$AA$97)&gt;=SchemeStart,IF($X9=0,$AD9,IF(AND($Z9&lt;&gt;"",EDATE($D9,Milestones!$AA$97)&gt;=$Z9),$AC9,IF(AND($Y9&lt;&gt;"",EDATE($D9,Milestones!$AA$97)&gt;=$Y9),$AB9,$AA9)))=Milestones!$AB$97),UPPER(TEXT(EDATE($D9,Milestones!$AA$97),"dd mmm yy"))&amp;" "&amp;Milestones!$AB$97&amp;" "&amp;IF(AND(Milestones!$AB$97="FT",Milestones!$AA$97=FT_Y5,EDATE($D9,Milestones!$AA$97)&lt;PolicyEff),1,Milestones!$AC$97)&amp;";  ","")&amp;IF(AND(EDATE($D9,Milestones!$AA$98)&lt;=AsOfDate,EDATE($D9,Milestones!$AA$98)&gt;=SchemeStart,IF($X9=0,$AD9,IF(AND($Z9&lt;&gt;"",EDATE($D9,Milestones!$AA$98)&gt;=$Z9),$AC9,IF(AND($Y9&lt;&gt;"",EDATE($D9,Milestones!$AA$98)&gt;=$Y9),$AB9,$AA9)))=Milestones!$AB$98),UPPER(TEXT(EDATE($D9,Milestones!$AA$98),"dd mmm yy"))&amp;" "&amp;Milestones!$AB$98&amp;" "&amp;IF(AND(Milestones!$AB$98="FT",Milestones!$AA$98=FT_Y5,EDATE($D9,Milestones!$AA$98)&lt;PolicyEff),1,Milestones!$AC$98)&amp;";  ","")&amp;IF(AND(EDATE($D9,Milestones!$AA$99)&lt;=AsOfDate,EDATE($D9,Milestones!$AA$99)&gt;=SchemeStart,IF($X9=0,$AD9,IF(AND($Z9&lt;&gt;"",EDATE($D9,Milestones!$AA$99)&gt;=$Z9),$AC9,IF(AND($Y9&lt;&gt;"",EDATE($D9,Milestones!$AA$99)&gt;=$Y9),$AB9,$AA9)))=Milestones!$AB$99),UPPER(TEXT(EDATE($D9,Milestones!$AA$99),"dd mmm yy"))&amp;" "&amp;Milestones!$AB$99&amp;" "&amp;IF(AND(Milestones!$AB$99="FT",Milestones!$AA$99=FT_Y5,EDATE($D9,Milestones!$AA$99)&lt;PolicyEff),1,Milestones!$AC$99)&amp;";  ","")&amp;IF(AND(EDATE($D9,Milestones!$AA$100)&lt;=AsOfDate,EDATE($D9,Milestones!$AA$100)&gt;=SchemeStart,IF($X9=0,$AD9,IF(AND($Z9&lt;&gt;"",EDATE($D9,Milestones!$AA$100)&gt;=$Z9),$AC9,IF(AND($Y9&lt;&gt;"",EDATE($D9,Milestones!$AA$100)&gt;=$Y9),$AB9,$AA9)))=Milestones!$AB$100),UPPER(TEXT(EDATE($D9,Milestones!$AA$100),"dd mmm yy"))&amp;" "&amp;Milestones!$AB$100&amp;" "&amp;IF(AND(Milestones!$AB$100="FT",Milestones!$AA$100=FT_Y5,EDATE($D9,Milestones!$AA$100)&lt;PolicyEff),1,Milestones!$AC$100)&amp;";  ","")&amp;IF(AND(EDATE($D9,Milestones!$AA$101)&lt;=AsOfDate,EDATE($D9,Milestones!$AA$101)&gt;=SchemeStart,IF($X9=0,$AD9,IF(AND($Z9&lt;&gt;"",EDATE($D9,Milestones!$AA$101)&gt;=$Z9),$AC9,IF(AND($Y9&lt;&gt;"",EDATE($D9,Milestones!$AA$101)&gt;=$Y9),$AB9,$AA9)))=Milestones!$AB$101),UPPER(TEXT(EDATE($D9,Milestones!$AA$101),"dd mmm yy"))&amp;" "&amp;Milestones!$AB$101&amp;" "&amp;IF(AND(Milestones!$AB$101="FT",Milestones!$AA$101=FT_Y5,EDATE($D9,Milestones!$AA$101)&lt;PolicyEff),1,Milestones!$AC$101)&amp;";  ","")&amp;IF(AND(EDATE($D9,Milestones!$AA$102)&lt;=AsOfDate,EDATE($D9,Milestones!$AA$102)&gt;=SchemeStart,IF($X9=0,$AD9,IF(AND($Z9&lt;&gt;"",EDATE($D9,Milestones!$AA$102)&gt;=$Z9),$AC9,IF(AND($Y9&lt;&gt;"",EDATE($D9,Milestones!$AA$102)&gt;=$Y9),$AB9,$AA9)))=Milestones!$AB$102),UPPER(TEXT(EDATE($D9,Milestones!$AA$102),"dd mmm yy"))&amp;" "&amp;Milestones!$AB$102&amp;" "&amp;IF(AND(Milestones!$AB$102="FT",Milestones!$AA$102=FT_Y5,EDATE($D9,Milestones!$AA$102)&lt;PolicyEff),1,Milestones!$AC$102)&amp;";  ","")&amp;IF(AND(EDATE($D9,Milestones!$AA$103)&lt;=AsOfDate,EDATE($D9,Milestones!$AA$103)&gt;=SchemeStart,IF($X9=0,$AD9,IF(AND($Z9&lt;&gt;"",EDATE($D9,Milestones!$AA$103)&gt;=$Z9),$AC9,IF(AND($Y9&lt;&gt;"",EDATE($D9,Milestones!$AA$103)&gt;=$Y9),$AB9,$AA9)))=Milestones!$AB$103),UPPER(TEXT(EDATE($D9,Milestones!$AA$103),"dd mmm yy"))&amp;" "&amp;Milestones!$AB$103&amp;" "&amp;IF(AND(Milestones!$AB$103="FT",Milestones!$AA$103=FT_Y5,EDATE($D9,Milestones!$AA$103)&lt;PolicyEff),1,Milestones!$AC$103)&amp;";  ",""))</f>
        <v/>
      </c>
      <c r="P9" s="0" t="str">
        <f aca="false">IF(OR($A9="",$D9=""),"",IF(AND(EDATE($D9,Milestones!$AA$104)&lt;=AsOfDate,EDATE($D9,Milestones!$AA$104)&gt;=SchemeStart,IF($X9=0,$AD9,IF(AND($Z9&lt;&gt;"",EDATE($D9,Milestones!$AA$104)&gt;=$Z9),$AC9,IF(AND($Y9&lt;&gt;"",EDATE($D9,Milestones!$AA$104)&gt;=$Y9),$AB9,$AA9)))=Milestones!$AB$104),UPPER(TEXT(EDATE($D9,Milestones!$AA$104),"dd mmm yy"))&amp;" "&amp;Milestones!$AB$104&amp;" "&amp;IF(AND(Milestones!$AB$104="FT",Milestones!$AA$104=FT_Y5,EDATE($D9,Milestones!$AA$104)&lt;PolicyEff),1,Milestones!$AC$104)&amp;";  ","")&amp;IF(AND(EDATE($D9,Milestones!$AA$105)&lt;=AsOfDate,EDATE($D9,Milestones!$AA$105)&gt;=SchemeStart,IF($X9=0,$AD9,IF(AND($Z9&lt;&gt;"",EDATE($D9,Milestones!$AA$105)&gt;=$Z9),$AC9,IF(AND($Y9&lt;&gt;"",EDATE($D9,Milestones!$AA$105)&gt;=$Y9),$AB9,$AA9)))=Milestones!$AB$105),UPPER(TEXT(EDATE($D9,Milestones!$AA$105),"dd mmm yy"))&amp;" "&amp;Milestones!$AB$105&amp;" "&amp;IF(AND(Milestones!$AB$105="FT",Milestones!$AA$105=FT_Y5,EDATE($D9,Milestones!$AA$105)&lt;PolicyEff),1,Milestones!$AC$105)&amp;";  ","")&amp;IF(AND(EDATE($D9,Milestones!$AA$106)&lt;=AsOfDate,EDATE($D9,Milestones!$AA$106)&gt;=SchemeStart,IF($X9=0,$AD9,IF(AND($Z9&lt;&gt;"",EDATE($D9,Milestones!$AA$106)&gt;=$Z9),$AC9,IF(AND($Y9&lt;&gt;"",EDATE($D9,Milestones!$AA$106)&gt;=$Y9),$AB9,$AA9)))=Milestones!$AB$106),UPPER(TEXT(EDATE($D9,Milestones!$AA$106),"dd mmm yy"))&amp;" "&amp;Milestones!$AB$106&amp;" "&amp;IF(AND(Milestones!$AB$106="FT",Milestones!$AA$106=FT_Y5,EDATE($D9,Milestones!$AA$106)&lt;PolicyEff),1,Milestones!$AC$106)&amp;";  ","")&amp;IF(AND(EDATE($D9,Milestones!$AA$107)&lt;=AsOfDate,EDATE($D9,Milestones!$AA$107)&gt;=SchemeStart,IF($X9=0,$AD9,IF(AND($Z9&lt;&gt;"",EDATE($D9,Milestones!$AA$107)&gt;=$Z9),$AC9,IF(AND($Y9&lt;&gt;"",EDATE($D9,Milestones!$AA$107)&gt;=$Y9),$AB9,$AA9)))=Milestones!$AB$107),UPPER(TEXT(EDATE($D9,Milestones!$AA$107),"dd mmm yy"))&amp;" "&amp;Milestones!$AB$107&amp;" "&amp;IF(AND(Milestones!$AB$107="FT",Milestones!$AA$107=FT_Y5,EDATE($D9,Milestones!$AA$107)&lt;PolicyEff),1,Milestones!$AC$107)&amp;";  ","")&amp;IF(AND(EDATE($D9,Milestones!$AA$108)&lt;=AsOfDate,EDATE($D9,Milestones!$AA$108)&gt;=SchemeStart,IF($X9=0,$AD9,IF(AND($Z9&lt;&gt;"",EDATE($D9,Milestones!$AA$108)&gt;=$Z9),$AC9,IF(AND($Y9&lt;&gt;"",EDATE($D9,Milestones!$AA$108)&gt;=$Y9),$AB9,$AA9)))=Milestones!$AB$108),UPPER(TEXT(EDATE($D9,Milestones!$AA$108),"dd mmm yy"))&amp;" "&amp;Milestones!$AB$108&amp;" "&amp;IF(AND(Milestones!$AB$108="FT",Milestones!$AA$108=FT_Y5,EDATE($D9,Milestones!$AA$108)&lt;PolicyEff),1,Milestones!$AC$108)&amp;";  ","")&amp;IF(AND(EDATE($D9,Milestones!$AA$109)&lt;=AsOfDate,EDATE($D9,Milestones!$AA$109)&gt;=SchemeStart,IF($X9=0,$AD9,IF(AND($Z9&lt;&gt;"",EDATE($D9,Milestones!$AA$109)&gt;=$Z9),$AC9,IF(AND($Y9&lt;&gt;"",EDATE($D9,Milestones!$AA$109)&gt;=$Y9),$AB9,$AA9)))=Milestones!$AB$109),UPPER(TEXT(EDATE($D9,Milestones!$AA$109),"dd mmm yy"))&amp;" "&amp;Milestones!$AB$109&amp;" "&amp;IF(AND(Milestones!$AB$109="FT",Milestones!$AA$109=FT_Y5,EDATE($D9,Milestones!$AA$109)&lt;PolicyEff),1,Milestones!$AC$109)&amp;";  ","")&amp;IF(AND(EDATE($D9,Milestones!$AA$110)&lt;=AsOfDate,EDATE($D9,Milestones!$AA$110)&gt;=SchemeStart,IF($X9=0,$AD9,IF(AND($Z9&lt;&gt;"",EDATE($D9,Milestones!$AA$110)&gt;=$Z9),$AC9,IF(AND($Y9&lt;&gt;"",EDATE($D9,Milestones!$AA$110)&gt;=$Y9),$AB9,$AA9)))=Milestones!$AB$110),UPPER(TEXT(EDATE($D9,Milestones!$AA$110),"dd mmm yy"))&amp;" "&amp;Milestones!$AB$110&amp;" "&amp;IF(AND(Milestones!$AB$110="FT",Milestones!$AA$110=FT_Y5,EDATE($D9,Milestones!$AA$110)&lt;PolicyEff),1,Milestones!$AC$110)&amp;";  ","")&amp;IF(AND(EDATE($D9,Milestones!$AA$111)&lt;=AsOfDate,EDATE($D9,Milestones!$AA$111)&gt;=SchemeStart,IF($X9=0,$AD9,IF(AND($Z9&lt;&gt;"",EDATE($D9,Milestones!$AA$111)&gt;=$Z9),$AC9,IF(AND($Y9&lt;&gt;"",EDATE($D9,Milestones!$AA$111)&gt;=$Y9),$AB9,$AA9)))=Milestones!$AB$111),UPPER(TEXT(EDATE($D9,Milestones!$AA$111),"dd mmm yy"))&amp;" "&amp;Milestones!$AB$111&amp;" "&amp;IF(AND(Milestones!$AB$111="FT",Milestones!$AA$111=FT_Y5,EDATE($D9,Milestones!$AA$111)&lt;PolicyEff),1,Milestones!$AC$111)&amp;";  ","")&amp;IF(AND(EDATE($D9,Milestones!$AA$112)&lt;=AsOfDate,EDATE($D9,Milestones!$AA$112)&gt;=SchemeStart,IF($X9=0,$AD9,IF(AND($Z9&lt;&gt;"",EDATE($D9,Milestones!$AA$112)&gt;=$Z9),$AC9,IF(AND($Y9&lt;&gt;"",EDATE($D9,Milestones!$AA$112)&gt;=$Y9),$AB9,$AA9)))=Milestones!$AB$112),UPPER(TEXT(EDATE($D9,Milestones!$AA$112),"dd mmm yy"))&amp;" "&amp;Milestones!$AB$112&amp;" "&amp;IF(AND(Milestones!$AB$112="FT",Milestones!$AA$112=FT_Y5,EDATE($D9,Milestones!$AA$112)&lt;PolicyEff),1,Milestones!$AC$112)&amp;";  ","")&amp;IF(AND(EDATE($D9,Milestones!$AA$113)&lt;=AsOfDate,EDATE($D9,Milestones!$AA$113)&gt;=SchemeStart,IF($X9=0,$AD9,IF(AND($Z9&lt;&gt;"",EDATE($D9,Milestones!$AA$113)&gt;=$Z9),$AC9,IF(AND($Y9&lt;&gt;"",EDATE($D9,Milestones!$AA$113)&gt;=$Y9),$AB9,$AA9)))=Milestones!$AB$113),UPPER(TEXT(EDATE($D9,Milestones!$AA$113),"dd mmm yy"))&amp;" "&amp;Milestones!$AB$113&amp;" "&amp;IF(AND(Milestones!$AB$113="FT",Milestones!$AA$113=FT_Y5,EDATE($D9,Milestones!$AA$113)&lt;PolicyEff),1,Milestones!$AC$113)&amp;";  ","")&amp;IF(AND(EDATE($D9,Milestones!$AA$114)&lt;=AsOfDate,EDATE($D9,Milestones!$AA$114)&gt;=SchemeStart,IF($X9=0,$AD9,IF(AND($Z9&lt;&gt;"",EDATE($D9,Milestones!$AA$114)&gt;=$Z9),$AC9,IF(AND($Y9&lt;&gt;"",EDATE($D9,Milestones!$AA$114)&gt;=$Y9),$AB9,$AA9)))=Milestones!$AB$114),UPPER(TEXT(EDATE($D9,Milestones!$AA$114),"dd mmm yy"))&amp;" "&amp;Milestones!$AB$114&amp;" "&amp;IF(AND(Milestones!$AB$114="FT",Milestones!$AA$114=FT_Y5,EDATE($D9,Milestones!$AA$114)&lt;PolicyEff),1,Milestones!$AC$114)&amp;";  ","")&amp;IF(AND(EDATE($D9,Milestones!$AA$115)&lt;=AsOfDate,EDATE($D9,Milestones!$AA$115)&gt;=SchemeStart,IF($X9=0,$AD9,IF(AND($Z9&lt;&gt;"",EDATE($D9,Milestones!$AA$115)&gt;=$Z9),$AC9,IF(AND($Y9&lt;&gt;"",EDATE($D9,Milestones!$AA$115)&gt;=$Y9),$AB9,$AA9)))=Milestones!$AB$115),UPPER(TEXT(EDATE($D9,Milestones!$AA$115),"dd mmm yy"))&amp;" "&amp;Milestones!$AB$115&amp;" "&amp;IF(AND(Milestones!$AB$115="FT",Milestones!$AA$115=FT_Y5,EDATE($D9,Milestones!$AA$115)&lt;PolicyEff),1,Milestones!$AC$115)&amp;";  ",""))</f>
        <v/>
      </c>
      <c r="Q9" s="0" t="str">
        <f aca="false">IF(OR($A9="",$D9=""),"",IF(AND(EDATE($D9,Milestones!$AA$116)&lt;=AsOfDate,EDATE($D9,Milestones!$AA$116)&gt;=SchemeStart,IF($X9=0,$AD9,IF(AND($Z9&lt;&gt;"",EDATE($D9,Milestones!$AA$116)&gt;=$Z9),$AC9,IF(AND($Y9&lt;&gt;"",EDATE($D9,Milestones!$AA$116)&gt;=$Y9),$AB9,$AA9)))=Milestones!$AB$116),UPPER(TEXT(EDATE($D9,Milestones!$AA$116),"dd mmm yy"))&amp;" "&amp;Milestones!$AB$116&amp;" "&amp;IF(AND(Milestones!$AB$116="FT",Milestones!$AA$116=FT_Y5,EDATE($D9,Milestones!$AA$116)&lt;PolicyEff),1,Milestones!$AC$116)&amp;";  ","")&amp;IF(AND(EDATE($D9,Milestones!$AA$117)&lt;=AsOfDate,EDATE($D9,Milestones!$AA$117)&gt;=SchemeStart,IF($X9=0,$AD9,IF(AND($Z9&lt;&gt;"",EDATE($D9,Milestones!$AA$117)&gt;=$Z9),$AC9,IF(AND($Y9&lt;&gt;"",EDATE($D9,Milestones!$AA$117)&gt;=$Y9),$AB9,$AA9)))=Milestones!$AB$117),UPPER(TEXT(EDATE($D9,Milestones!$AA$117),"dd mmm yy"))&amp;" "&amp;Milestones!$AB$117&amp;" "&amp;IF(AND(Milestones!$AB$117="FT",Milestones!$AA$117=FT_Y5,EDATE($D9,Milestones!$AA$117)&lt;PolicyEff),1,Milestones!$AC$117)&amp;";  ","")&amp;IF(AND(EDATE($D9,Milestones!$AA$118)&lt;=AsOfDate,EDATE($D9,Milestones!$AA$118)&gt;=SchemeStart,IF($X9=0,$AD9,IF(AND($Z9&lt;&gt;"",EDATE($D9,Milestones!$AA$118)&gt;=$Z9),$AC9,IF(AND($Y9&lt;&gt;"",EDATE($D9,Milestones!$AA$118)&gt;=$Y9),$AB9,$AA9)))=Milestones!$AB$118),UPPER(TEXT(EDATE($D9,Milestones!$AA$118),"dd mmm yy"))&amp;" "&amp;Milestones!$AB$118&amp;" "&amp;IF(AND(Milestones!$AB$118="FT",Milestones!$AA$118=FT_Y5,EDATE($D9,Milestones!$AA$118)&lt;PolicyEff),1,Milestones!$AC$118)&amp;";  ","")&amp;IF(AND(EDATE($D9,Milestones!$AA$119)&lt;=AsOfDate,EDATE($D9,Milestones!$AA$119)&gt;=SchemeStart,IF($X9=0,$AD9,IF(AND($Z9&lt;&gt;"",EDATE($D9,Milestones!$AA$119)&gt;=$Z9),$AC9,IF(AND($Y9&lt;&gt;"",EDATE($D9,Milestones!$AA$119)&gt;=$Y9),$AB9,$AA9)))=Milestones!$AB$119),UPPER(TEXT(EDATE($D9,Milestones!$AA$119),"dd mmm yy"))&amp;" "&amp;Milestones!$AB$119&amp;" "&amp;IF(AND(Milestones!$AB$119="FT",Milestones!$AA$119=FT_Y5,EDATE($D9,Milestones!$AA$119)&lt;PolicyEff),1,Milestones!$AC$119)&amp;";  ","")&amp;IF(AND(EDATE($D9,Milestones!$AA$120)&lt;=AsOfDate,EDATE($D9,Milestones!$AA$120)&gt;=SchemeStart,IF($X9=0,$AD9,IF(AND($Z9&lt;&gt;"",EDATE($D9,Milestones!$AA$120)&gt;=$Z9),$AC9,IF(AND($Y9&lt;&gt;"",EDATE($D9,Milestones!$AA$120)&gt;=$Y9),$AB9,$AA9)))=Milestones!$AB$120),UPPER(TEXT(EDATE($D9,Milestones!$AA$120),"dd mmm yy"))&amp;" "&amp;Milestones!$AB$120&amp;" "&amp;IF(AND(Milestones!$AB$120="FT",Milestones!$AA$120=FT_Y5,EDATE($D9,Milestones!$AA$120)&lt;PolicyEff),1,Milestones!$AC$120)&amp;";  ","")&amp;IF(AND(EDATE($D9,Milestones!$AA$121)&lt;=AsOfDate,EDATE($D9,Milestones!$AA$121)&gt;=SchemeStart,IF($X9=0,$AD9,IF(AND($Z9&lt;&gt;"",EDATE($D9,Milestones!$AA$121)&gt;=$Z9),$AC9,IF(AND($Y9&lt;&gt;"",EDATE($D9,Milestones!$AA$121)&gt;=$Y9),$AB9,$AA9)))=Milestones!$AB$121),UPPER(TEXT(EDATE($D9,Milestones!$AA$121),"dd mmm yy"))&amp;" "&amp;Milestones!$AB$121&amp;" "&amp;IF(AND(Milestones!$AB$121="FT",Milestones!$AA$121=FT_Y5,EDATE($D9,Milestones!$AA$121)&lt;PolicyEff),1,Milestones!$AC$121)&amp;";  ","")&amp;IF(AND(EDATE($D9,Milestones!$AA$122)&lt;=AsOfDate,EDATE($D9,Milestones!$AA$122)&gt;=SchemeStart,IF($X9=0,$AD9,IF(AND($Z9&lt;&gt;"",EDATE($D9,Milestones!$AA$122)&gt;=$Z9),$AC9,IF(AND($Y9&lt;&gt;"",EDATE($D9,Milestones!$AA$122)&gt;=$Y9),$AB9,$AA9)))=Milestones!$AB$122),UPPER(TEXT(EDATE($D9,Milestones!$AA$122),"dd mmm yy"))&amp;" "&amp;Milestones!$AB$122&amp;" "&amp;IF(AND(Milestones!$AB$122="FT",Milestones!$AA$122=FT_Y5,EDATE($D9,Milestones!$AA$122)&lt;PolicyEff),1,Milestones!$AC$122)&amp;";  ","")&amp;IF(AND(EDATE($D9,Milestones!$AA$123)&lt;=AsOfDate,EDATE($D9,Milestones!$AA$123)&gt;=SchemeStart,IF($X9=0,$AD9,IF(AND($Z9&lt;&gt;"",EDATE($D9,Milestones!$AA$123)&gt;=$Z9),$AC9,IF(AND($Y9&lt;&gt;"",EDATE($D9,Milestones!$AA$123)&gt;=$Y9),$AB9,$AA9)))=Milestones!$AB$123),UPPER(TEXT(EDATE($D9,Milestones!$AA$123),"dd mmm yy"))&amp;" "&amp;Milestones!$AB$123&amp;" "&amp;IF(AND(Milestones!$AB$123="FT",Milestones!$AA$123=FT_Y5,EDATE($D9,Milestones!$AA$123)&lt;PolicyEff),1,Milestones!$AC$123)&amp;";  ","")&amp;IF(AND(EDATE($D9,Milestones!$AA$124)&lt;=AsOfDate,EDATE($D9,Milestones!$AA$124)&gt;=SchemeStart,IF($X9=0,$AD9,IF(AND($Z9&lt;&gt;"",EDATE($D9,Milestones!$AA$124)&gt;=$Z9),$AC9,IF(AND($Y9&lt;&gt;"",EDATE($D9,Milestones!$AA$124)&gt;=$Y9),$AB9,$AA9)))=Milestones!$AB$124),UPPER(TEXT(EDATE($D9,Milestones!$AA$124),"dd mmm yy"))&amp;" "&amp;Milestones!$AB$124&amp;" "&amp;IF(AND(Milestones!$AB$124="FT",Milestones!$AA$124=FT_Y5,EDATE($D9,Milestones!$AA$124)&lt;PolicyEff),1,Milestones!$AC$124)&amp;";  ","")&amp;IF(AND(EDATE($D9,Milestones!$AA$125)&lt;=AsOfDate,EDATE($D9,Milestones!$AA$125)&gt;=SchemeStart,IF($X9=0,$AD9,IF(AND($Z9&lt;&gt;"",EDATE($D9,Milestones!$AA$125)&gt;=$Z9),$AC9,IF(AND($Y9&lt;&gt;"",EDATE($D9,Milestones!$AA$125)&gt;=$Y9),$AB9,$AA9)))=Milestones!$AB$125),UPPER(TEXT(EDATE($D9,Milestones!$AA$125),"dd mmm yy"))&amp;" "&amp;Milestones!$AB$125&amp;" "&amp;IF(AND(Milestones!$AB$125="FT",Milestones!$AA$125=FT_Y5,EDATE($D9,Milestones!$AA$125)&lt;PolicyEff),1,Milestones!$AC$125)&amp;";  ","")&amp;IF(AND(EDATE($D9,Milestones!$AA$126)&lt;=AsOfDate,EDATE($D9,Milestones!$AA$126)&gt;=SchemeStart,IF($X9=0,$AD9,IF(AND($Z9&lt;&gt;"",EDATE($D9,Milestones!$AA$126)&gt;=$Z9),$AC9,IF(AND($Y9&lt;&gt;"",EDATE($D9,Milestones!$AA$126)&gt;=$Y9),$AB9,$AA9)))=Milestones!$AB$126),UPPER(TEXT(EDATE($D9,Milestones!$AA$126),"dd mmm yy"))&amp;" "&amp;Milestones!$AB$126&amp;" "&amp;IF(AND(Milestones!$AB$126="FT",Milestones!$AA$126=FT_Y5,EDATE($D9,Milestones!$AA$126)&lt;PolicyEff),1,Milestones!$AC$126)&amp;";  ","")&amp;IF(AND(EDATE($D9,Milestones!$AA$127)&lt;=AsOfDate,EDATE($D9,Milestones!$AA$127)&gt;=SchemeStart,IF($X9=0,$AD9,IF(AND($Z9&lt;&gt;"",EDATE($D9,Milestones!$AA$127)&gt;=$Z9),$AC9,IF(AND($Y9&lt;&gt;"",EDATE($D9,Milestones!$AA$127)&gt;=$Y9),$AB9,$AA9)))=Milestones!$AB$127),UPPER(TEXT(EDATE($D9,Milestones!$AA$127),"dd mmm yy"))&amp;" "&amp;Milestones!$AB$127&amp;" "&amp;IF(AND(Milestones!$AB$127="FT",Milestones!$AA$127=FT_Y5,EDATE($D9,Milestones!$AA$127)&lt;PolicyEff),1,Milestones!$AC$127)&amp;";  ",""))</f>
        <v/>
      </c>
      <c r="R9" s="0" t="str">
        <f aca="false">IF(OR($A9="",$D9=""),"",IF(AND(EDATE($D9,Milestones!$AA$128)&lt;=AsOfDate,EDATE($D9,Milestones!$AA$128)&gt;=SchemeStart,IF($X9=0,$AD9,IF(AND($Z9&lt;&gt;"",EDATE($D9,Milestones!$AA$128)&gt;=$Z9),$AC9,IF(AND($Y9&lt;&gt;"",EDATE($D9,Milestones!$AA$128)&gt;=$Y9),$AB9,$AA9)))=Milestones!$AB$128),UPPER(TEXT(EDATE($D9,Milestones!$AA$128),"dd mmm yy"))&amp;" "&amp;Milestones!$AB$128&amp;" "&amp;IF(AND(Milestones!$AB$128="FT",Milestones!$AA$128=FT_Y5,EDATE($D9,Milestones!$AA$128)&lt;PolicyEff),1,Milestones!$AC$128)&amp;";  ","")&amp;IF(AND(EDATE($D9,Milestones!$AA$129)&lt;=AsOfDate,EDATE($D9,Milestones!$AA$129)&gt;=SchemeStart,IF($X9=0,$AD9,IF(AND($Z9&lt;&gt;"",EDATE($D9,Milestones!$AA$129)&gt;=$Z9),$AC9,IF(AND($Y9&lt;&gt;"",EDATE($D9,Milestones!$AA$129)&gt;=$Y9),$AB9,$AA9)))=Milestones!$AB$129),UPPER(TEXT(EDATE($D9,Milestones!$AA$129),"dd mmm yy"))&amp;" "&amp;Milestones!$AB$129&amp;" "&amp;IF(AND(Milestones!$AB$129="FT",Milestones!$AA$129=FT_Y5,EDATE($D9,Milestones!$AA$129)&lt;PolicyEff),1,Milestones!$AC$129)&amp;";  ","")&amp;IF(AND(EDATE($D9,Milestones!$AA$130)&lt;=AsOfDate,EDATE($D9,Milestones!$AA$130)&gt;=SchemeStart,IF($X9=0,$AD9,IF(AND($Z9&lt;&gt;"",EDATE($D9,Milestones!$AA$130)&gt;=$Z9),$AC9,IF(AND($Y9&lt;&gt;"",EDATE($D9,Milestones!$AA$130)&gt;=$Y9),$AB9,$AA9)))=Milestones!$AB$130),UPPER(TEXT(EDATE($D9,Milestones!$AA$130),"dd mmm yy"))&amp;" "&amp;Milestones!$AB$130&amp;" "&amp;IF(AND(Milestones!$AB$130="FT",Milestones!$AA$130=FT_Y5,EDATE($D9,Milestones!$AA$130)&lt;PolicyEff),1,Milestones!$AC$130)&amp;";  ","")&amp;IF(AND(EDATE($D9,Milestones!$AA$131)&lt;=AsOfDate,EDATE($D9,Milestones!$AA$131)&gt;=SchemeStart,IF($X9=0,$AD9,IF(AND($Z9&lt;&gt;"",EDATE($D9,Milestones!$AA$131)&gt;=$Z9),$AC9,IF(AND($Y9&lt;&gt;"",EDATE($D9,Milestones!$AA$131)&gt;=$Y9),$AB9,$AA9)))=Milestones!$AB$131),UPPER(TEXT(EDATE($D9,Milestones!$AA$131),"dd mmm yy"))&amp;" "&amp;Milestones!$AB$131&amp;" "&amp;IF(AND(Milestones!$AB$131="FT",Milestones!$AA$131=FT_Y5,EDATE($D9,Milestones!$AA$131)&lt;PolicyEff),1,Milestones!$AC$131)&amp;";  ","")&amp;IF(AND(EDATE($D9,Milestones!$AA$132)&lt;=AsOfDate,EDATE($D9,Milestones!$AA$132)&gt;=SchemeStart,IF($X9=0,$AD9,IF(AND($Z9&lt;&gt;"",EDATE($D9,Milestones!$AA$132)&gt;=$Z9),$AC9,IF(AND($Y9&lt;&gt;"",EDATE($D9,Milestones!$AA$132)&gt;=$Y9),$AB9,$AA9)))=Milestones!$AB$132),UPPER(TEXT(EDATE($D9,Milestones!$AA$132),"dd mmm yy"))&amp;" "&amp;Milestones!$AB$132&amp;" "&amp;IF(AND(Milestones!$AB$132="FT",Milestones!$AA$132=FT_Y5,EDATE($D9,Milestones!$AA$132)&lt;PolicyEff),1,Milestones!$AC$132)&amp;";  ","")&amp;IF(AND(EDATE($D9,Milestones!$AA$133)&lt;=AsOfDate,EDATE($D9,Milestones!$AA$133)&gt;=SchemeStart,IF($X9=0,$AD9,IF(AND($Z9&lt;&gt;"",EDATE($D9,Milestones!$AA$133)&gt;=$Z9),$AC9,IF(AND($Y9&lt;&gt;"",EDATE($D9,Milestones!$AA$133)&gt;=$Y9),$AB9,$AA9)))=Milestones!$AB$133),UPPER(TEXT(EDATE($D9,Milestones!$AA$133),"dd mmm yy"))&amp;" "&amp;Milestones!$AB$133&amp;" "&amp;IF(AND(Milestones!$AB$133="FT",Milestones!$AA$133=FT_Y5,EDATE($D9,Milestones!$AA$133)&lt;PolicyEff),1,Milestones!$AC$133)&amp;";  ","")&amp;IF(AND(EDATE($D9,Milestones!$AA$134)&lt;=AsOfDate,EDATE($D9,Milestones!$AA$134)&gt;=SchemeStart,IF($X9=0,$AD9,IF(AND($Z9&lt;&gt;"",EDATE($D9,Milestones!$AA$134)&gt;=$Z9),$AC9,IF(AND($Y9&lt;&gt;"",EDATE($D9,Milestones!$AA$134)&gt;=$Y9),$AB9,$AA9)))=Milestones!$AB$134),UPPER(TEXT(EDATE($D9,Milestones!$AA$134),"dd mmm yy"))&amp;" "&amp;Milestones!$AB$134&amp;" "&amp;IF(AND(Milestones!$AB$134="FT",Milestones!$AA$134=FT_Y5,EDATE($D9,Milestones!$AA$134)&lt;PolicyEff),1,Milestones!$AC$134)&amp;";  ","")&amp;IF(AND(EDATE($D9,Milestones!$AA$135)&lt;=AsOfDate,EDATE($D9,Milestones!$AA$135)&gt;=SchemeStart,IF($X9=0,$AD9,IF(AND($Z9&lt;&gt;"",EDATE($D9,Milestones!$AA$135)&gt;=$Z9),$AC9,IF(AND($Y9&lt;&gt;"",EDATE($D9,Milestones!$AA$135)&gt;=$Y9),$AB9,$AA9)))=Milestones!$AB$135),UPPER(TEXT(EDATE($D9,Milestones!$AA$135),"dd mmm yy"))&amp;" "&amp;Milestones!$AB$135&amp;" "&amp;IF(AND(Milestones!$AB$135="FT",Milestones!$AA$135=FT_Y5,EDATE($D9,Milestones!$AA$135)&lt;PolicyEff),1,Milestones!$AC$135)&amp;";  ","")&amp;IF(AND(EDATE($D9,Milestones!$AA$136)&lt;=AsOfDate,EDATE($D9,Milestones!$AA$136)&gt;=SchemeStart,IF($X9=0,$AD9,IF(AND($Z9&lt;&gt;"",EDATE($D9,Milestones!$AA$136)&gt;=$Z9),$AC9,IF(AND($Y9&lt;&gt;"",EDATE($D9,Milestones!$AA$136)&gt;=$Y9),$AB9,$AA9)))=Milestones!$AB$136),UPPER(TEXT(EDATE($D9,Milestones!$AA$136),"dd mmm yy"))&amp;" "&amp;Milestones!$AB$136&amp;" "&amp;IF(AND(Milestones!$AB$136="FT",Milestones!$AA$136=FT_Y5,EDATE($D9,Milestones!$AA$136)&lt;PolicyEff),1,Milestones!$AC$136)&amp;";  ","")&amp;IF(AND(EDATE($D9,Milestones!$AA$137)&lt;=AsOfDate,EDATE($D9,Milestones!$AA$137)&gt;=SchemeStart,IF($X9=0,$AD9,IF(AND($Z9&lt;&gt;"",EDATE($D9,Milestones!$AA$137)&gt;=$Z9),$AC9,IF(AND($Y9&lt;&gt;"",EDATE($D9,Milestones!$AA$137)&gt;=$Y9),$AB9,$AA9)))=Milestones!$AB$137),UPPER(TEXT(EDATE($D9,Milestones!$AA$137),"dd mmm yy"))&amp;" "&amp;Milestones!$AB$137&amp;" "&amp;IF(AND(Milestones!$AB$137="FT",Milestones!$AA$137=FT_Y5,EDATE($D9,Milestones!$AA$137)&lt;PolicyEff),1,Milestones!$AC$137)&amp;";  ","")&amp;IF(AND(EDATE($D9,Milestones!$AA$138)&lt;=AsOfDate,EDATE($D9,Milestones!$AA$138)&gt;=SchemeStart,IF($X9=0,$AD9,IF(AND($Z9&lt;&gt;"",EDATE($D9,Milestones!$AA$138)&gt;=$Z9),$AC9,IF(AND($Y9&lt;&gt;"",EDATE($D9,Milestones!$AA$138)&gt;=$Y9),$AB9,$AA9)))=Milestones!$AB$138),UPPER(TEXT(EDATE($D9,Milestones!$AA$138),"dd mmm yy"))&amp;" "&amp;Milestones!$AB$138&amp;" "&amp;IF(AND(Milestones!$AB$138="FT",Milestones!$AA$138=FT_Y5,EDATE($D9,Milestones!$AA$138)&lt;PolicyEff),1,Milestones!$AC$138)&amp;";  ","")&amp;IF(AND(EDATE($D9,Milestones!$AA$139)&lt;=AsOfDate,EDATE($D9,Milestones!$AA$139)&gt;=SchemeStart,IF($X9=0,$AD9,IF(AND($Z9&lt;&gt;"",EDATE($D9,Milestones!$AA$139)&gt;=$Z9),$AC9,IF(AND($Y9&lt;&gt;"",EDATE($D9,Milestones!$AA$139)&gt;=$Y9),$AB9,$AA9)))=Milestones!$AB$139),UPPER(TEXT(EDATE($D9,Milestones!$AA$139),"dd mmm yy"))&amp;" "&amp;Milestones!$AB$139&amp;" "&amp;IF(AND(Milestones!$AB$139="FT",Milestones!$AA$139=FT_Y5,EDATE($D9,Milestones!$AA$139)&lt;PolicyEff),1,Milestones!$AC$139)&amp;";  ",""))</f>
        <v/>
      </c>
      <c r="S9" s="0" t="str">
        <f aca="false">IF(OR($A9="",$D9=""),"",IF(AND(EDATE($D9,Milestones!$AA$140)&lt;=AsOfDate,EDATE($D9,Milestones!$AA$140)&gt;=SchemeStart,IF($X9=0,$AD9,IF(AND($Z9&lt;&gt;"",EDATE($D9,Milestones!$AA$140)&gt;=$Z9),$AC9,IF(AND($Y9&lt;&gt;"",EDATE($D9,Milestones!$AA$140)&gt;=$Y9),$AB9,$AA9)))=Milestones!$AB$140),UPPER(TEXT(EDATE($D9,Milestones!$AA$140),"dd mmm yy"))&amp;" "&amp;Milestones!$AB$140&amp;" "&amp;IF(AND(Milestones!$AB$140="FT",Milestones!$AA$140=FT_Y5,EDATE($D9,Milestones!$AA$140)&lt;PolicyEff),1,Milestones!$AC$140)&amp;";  ","")&amp;IF(AND(EDATE($D9,Milestones!$AA$141)&lt;=AsOfDate,EDATE($D9,Milestones!$AA$141)&gt;=SchemeStart,IF($X9=0,$AD9,IF(AND($Z9&lt;&gt;"",EDATE($D9,Milestones!$AA$141)&gt;=$Z9),$AC9,IF(AND($Y9&lt;&gt;"",EDATE($D9,Milestones!$AA$141)&gt;=$Y9),$AB9,$AA9)))=Milestones!$AB$141),UPPER(TEXT(EDATE($D9,Milestones!$AA$141),"dd mmm yy"))&amp;" "&amp;Milestones!$AB$141&amp;" "&amp;IF(AND(Milestones!$AB$141="FT",Milestones!$AA$141=FT_Y5,EDATE($D9,Milestones!$AA$141)&lt;PolicyEff),1,Milestones!$AC$141)&amp;";  ","")&amp;IF(AND(EDATE($D9,Milestones!$AA$142)&lt;=AsOfDate,EDATE($D9,Milestones!$AA$142)&gt;=SchemeStart,IF($X9=0,$AD9,IF(AND($Z9&lt;&gt;"",EDATE($D9,Milestones!$AA$142)&gt;=$Z9),$AC9,IF(AND($Y9&lt;&gt;"",EDATE($D9,Milestones!$AA$142)&gt;=$Y9),$AB9,$AA9)))=Milestones!$AB$142),UPPER(TEXT(EDATE($D9,Milestones!$AA$142),"dd mmm yy"))&amp;" "&amp;Milestones!$AB$142&amp;" "&amp;IF(AND(Milestones!$AB$142="FT",Milestones!$AA$142=FT_Y5,EDATE($D9,Milestones!$AA$142)&lt;PolicyEff),1,Milestones!$AC$142)&amp;";  ","")&amp;IF(AND(EDATE($D9,Milestones!$AA$143)&lt;=AsOfDate,EDATE($D9,Milestones!$AA$143)&gt;=SchemeStart,IF($X9=0,$AD9,IF(AND($Z9&lt;&gt;"",EDATE($D9,Milestones!$AA$143)&gt;=$Z9),$AC9,IF(AND($Y9&lt;&gt;"",EDATE($D9,Milestones!$AA$143)&gt;=$Y9),$AB9,$AA9)))=Milestones!$AB$143),UPPER(TEXT(EDATE($D9,Milestones!$AA$143),"dd mmm yy"))&amp;" "&amp;Milestones!$AB$143&amp;" "&amp;IF(AND(Milestones!$AB$143="FT",Milestones!$AA$143=FT_Y5,EDATE($D9,Milestones!$AA$143)&lt;PolicyEff),1,Milestones!$AC$143)&amp;";  ","")&amp;IF(AND(EDATE($D9,Milestones!$AA$144)&lt;=AsOfDate,EDATE($D9,Milestones!$AA$144)&gt;=SchemeStart,IF($X9=0,$AD9,IF(AND($Z9&lt;&gt;"",EDATE($D9,Milestones!$AA$144)&gt;=$Z9),$AC9,IF(AND($Y9&lt;&gt;"",EDATE($D9,Milestones!$AA$144)&gt;=$Y9),$AB9,$AA9)))=Milestones!$AB$144),UPPER(TEXT(EDATE($D9,Milestones!$AA$144),"dd mmm yy"))&amp;" "&amp;Milestones!$AB$144&amp;" "&amp;IF(AND(Milestones!$AB$144="FT",Milestones!$AA$144=FT_Y5,EDATE($D9,Milestones!$AA$144)&lt;PolicyEff),1,Milestones!$AC$144)&amp;";  ","")&amp;IF(AND(EDATE($D9,Milestones!$AA$145)&lt;=AsOfDate,EDATE($D9,Milestones!$AA$145)&gt;=SchemeStart,IF($X9=0,$AD9,IF(AND($Z9&lt;&gt;"",EDATE($D9,Milestones!$AA$145)&gt;=$Z9),$AC9,IF(AND($Y9&lt;&gt;"",EDATE($D9,Milestones!$AA$145)&gt;=$Y9),$AB9,$AA9)))=Milestones!$AB$145),UPPER(TEXT(EDATE($D9,Milestones!$AA$145),"dd mmm yy"))&amp;" "&amp;Milestones!$AB$145&amp;" "&amp;IF(AND(Milestones!$AB$145="FT",Milestones!$AA$145=FT_Y5,EDATE($D9,Milestones!$AA$145)&lt;PolicyEff),1,Milestones!$AC$145)&amp;";  ","")&amp;IF(AND(EDATE($D9,Milestones!$AA$146)&lt;=AsOfDate,EDATE($D9,Milestones!$AA$146)&gt;=SchemeStart,IF($X9=0,$AD9,IF(AND($Z9&lt;&gt;"",EDATE($D9,Milestones!$AA$146)&gt;=$Z9),$AC9,IF(AND($Y9&lt;&gt;"",EDATE($D9,Milestones!$AA$146)&gt;=$Y9),$AB9,$AA9)))=Milestones!$AB$146),UPPER(TEXT(EDATE($D9,Milestones!$AA$146),"dd mmm yy"))&amp;" "&amp;Milestones!$AB$146&amp;" "&amp;IF(AND(Milestones!$AB$146="FT",Milestones!$AA$146=FT_Y5,EDATE($D9,Milestones!$AA$146)&lt;PolicyEff),1,Milestones!$AC$146)&amp;";  ","")&amp;IF(AND(EDATE($D9,Milestones!$AA$147)&lt;=AsOfDate,EDATE($D9,Milestones!$AA$147)&gt;=SchemeStart,IF($X9=0,$AD9,IF(AND($Z9&lt;&gt;"",EDATE($D9,Milestones!$AA$147)&gt;=$Z9),$AC9,IF(AND($Y9&lt;&gt;"",EDATE($D9,Milestones!$AA$147)&gt;=$Y9),$AB9,$AA9)))=Milestones!$AB$147),UPPER(TEXT(EDATE($D9,Milestones!$AA$147),"dd mmm yy"))&amp;" "&amp;Milestones!$AB$147&amp;" "&amp;IF(AND(Milestones!$AB$147="FT",Milestones!$AA$147=FT_Y5,EDATE($D9,Milestones!$AA$147)&lt;PolicyEff),1,Milestones!$AC$147)&amp;";  ","")&amp;IF(AND(EDATE($D9,Milestones!$AA$148)&lt;=AsOfDate,EDATE($D9,Milestones!$AA$148)&gt;=SchemeStart,IF($X9=0,$AD9,IF(AND($Z9&lt;&gt;"",EDATE($D9,Milestones!$AA$148)&gt;=$Z9),$AC9,IF(AND($Y9&lt;&gt;"",EDATE($D9,Milestones!$AA$148)&gt;=$Y9),$AB9,$AA9)))=Milestones!$AB$148),UPPER(TEXT(EDATE($D9,Milestones!$AA$148),"dd mmm yy"))&amp;" "&amp;Milestones!$AB$148&amp;" "&amp;IF(AND(Milestones!$AB$148="FT",Milestones!$AA$148=FT_Y5,EDATE($D9,Milestones!$AA$148)&lt;PolicyEff),1,Milestones!$AC$148)&amp;";  ","")&amp;IF(AND(EDATE($D9,Milestones!$AA$149)&lt;=AsOfDate,EDATE($D9,Milestones!$AA$149)&gt;=SchemeStart,IF($X9=0,$AD9,IF(AND($Z9&lt;&gt;"",EDATE($D9,Milestones!$AA$149)&gt;=$Z9),$AC9,IF(AND($Y9&lt;&gt;"",EDATE($D9,Milestones!$AA$149)&gt;=$Y9),$AB9,$AA9)))=Milestones!$AB$149),UPPER(TEXT(EDATE($D9,Milestones!$AA$149),"dd mmm yy"))&amp;" "&amp;Milestones!$AB$149&amp;" "&amp;IF(AND(Milestones!$AB$149="FT",Milestones!$AA$149=FT_Y5,EDATE($D9,Milestones!$AA$149)&lt;PolicyEff),1,Milestones!$AC$149)&amp;";  ","")&amp;IF(AND(EDATE($D9,Milestones!$AA$150)&lt;=AsOfDate,EDATE($D9,Milestones!$AA$150)&gt;=SchemeStart,IF($X9=0,$AD9,IF(AND($Z9&lt;&gt;"",EDATE($D9,Milestones!$AA$150)&gt;=$Z9),$AC9,IF(AND($Y9&lt;&gt;"",EDATE($D9,Milestones!$AA$150)&gt;=$Y9),$AB9,$AA9)))=Milestones!$AB$150),UPPER(TEXT(EDATE($D9,Milestones!$AA$150),"dd mmm yy"))&amp;" "&amp;Milestones!$AB$150&amp;" "&amp;IF(AND(Milestones!$AB$150="FT",Milestones!$AA$150=FT_Y5,EDATE($D9,Milestones!$AA$150)&lt;PolicyEff),1,Milestones!$AC$150)&amp;";  ","")&amp;IF(AND(EDATE($D9,Milestones!$AA$151)&lt;=AsOfDate,EDATE($D9,Milestones!$AA$151)&gt;=SchemeStart,IF($X9=0,$AD9,IF(AND($Z9&lt;&gt;"",EDATE($D9,Milestones!$AA$151)&gt;=$Z9),$AC9,IF(AND($Y9&lt;&gt;"",EDATE($D9,Milestones!$AA$151)&gt;=$Y9),$AB9,$AA9)))=Milestones!$AB$151),UPPER(TEXT(EDATE($D9,Milestones!$AA$151),"dd mmm yy"))&amp;" "&amp;Milestones!$AB$151&amp;" "&amp;IF(AND(Milestones!$AB$151="FT",Milestones!$AA$151=FT_Y5,EDATE($D9,Milestones!$AA$151)&lt;PolicyEff),1,Milestones!$AC$151)&amp;";  ",""))</f>
        <v/>
      </c>
      <c r="T9" s="0" t="str">
        <f aca="false">IF(OR($A9="",$D9=""),"",IF(AND(EDATE($D9,Milestones!$AA$152)&lt;=AsOfDate,EDATE($D9,Milestones!$AA$152)&gt;=SchemeStart,IF($X9=0,$AD9,IF(AND($Z9&lt;&gt;"",EDATE($D9,Milestones!$AA$152)&gt;=$Z9),$AC9,IF(AND($Y9&lt;&gt;"",EDATE($D9,Milestones!$AA$152)&gt;=$Y9),$AB9,$AA9)))=Milestones!$AB$152),UPPER(TEXT(EDATE($D9,Milestones!$AA$152),"dd mmm yy"))&amp;" "&amp;Milestones!$AB$152&amp;" "&amp;IF(AND(Milestones!$AB$152="FT",Milestones!$AA$152=FT_Y5,EDATE($D9,Milestones!$AA$152)&lt;PolicyEff),1,Milestones!$AC$152)&amp;";  ","")&amp;IF(AND(EDATE($D9,Milestones!$AA$153)&lt;=AsOfDate,EDATE($D9,Milestones!$AA$153)&gt;=SchemeStart,IF($X9=0,$AD9,IF(AND($Z9&lt;&gt;"",EDATE($D9,Milestones!$AA$153)&gt;=$Z9),$AC9,IF(AND($Y9&lt;&gt;"",EDATE($D9,Milestones!$AA$153)&gt;=$Y9),$AB9,$AA9)))=Milestones!$AB$153),UPPER(TEXT(EDATE($D9,Milestones!$AA$153),"dd mmm yy"))&amp;" "&amp;Milestones!$AB$153&amp;" "&amp;IF(AND(Milestones!$AB$153="FT",Milestones!$AA$153=FT_Y5,EDATE($D9,Milestones!$AA$153)&lt;PolicyEff),1,Milestones!$AC$153)&amp;";  ","")&amp;IF(AND(EDATE($D9,Milestones!$AA$154)&lt;=AsOfDate,EDATE($D9,Milestones!$AA$154)&gt;=SchemeStart,IF($X9=0,$AD9,IF(AND($Z9&lt;&gt;"",EDATE($D9,Milestones!$AA$154)&gt;=$Z9),$AC9,IF(AND($Y9&lt;&gt;"",EDATE($D9,Milestones!$AA$154)&gt;=$Y9),$AB9,$AA9)))=Milestones!$AB$154),UPPER(TEXT(EDATE($D9,Milestones!$AA$154),"dd mmm yy"))&amp;" "&amp;Milestones!$AB$154&amp;" "&amp;IF(AND(Milestones!$AB$154="FT",Milestones!$AA$154=FT_Y5,EDATE($D9,Milestones!$AA$154)&lt;PolicyEff),1,Milestones!$AC$154)&amp;";  ","")&amp;IF(AND(EDATE($D9,Milestones!$AA$155)&lt;=AsOfDate,EDATE($D9,Milestones!$AA$155)&gt;=SchemeStart,IF($X9=0,$AD9,IF(AND($Z9&lt;&gt;"",EDATE($D9,Milestones!$AA$155)&gt;=$Z9),$AC9,IF(AND($Y9&lt;&gt;"",EDATE($D9,Milestones!$AA$155)&gt;=$Y9),$AB9,$AA9)))=Milestones!$AB$155),UPPER(TEXT(EDATE($D9,Milestones!$AA$155),"dd mmm yy"))&amp;" "&amp;Milestones!$AB$155&amp;" "&amp;IF(AND(Milestones!$AB$155="FT",Milestones!$AA$155=FT_Y5,EDATE($D9,Milestones!$AA$155)&lt;PolicyEff),1,Milestones!$AC$155)&amp;";  ","")&amp;IF(AND(EDATE($D9,Milestones!$AA$156)&lt;=AsOfDate,EDATE($D9,Milestones!$AA$156)&gt;=SchemeStart,IF($X9=0,$AD9,IF(AND($Z9&lt;&gt;"",EDATE($D9,Milestones!$AA$156)&gt;=$Z9),$AC9,IF(AND($Y9&lt;&gt;"",EDATE($D9,Milestones!$AA$156)&gt;=$Y9),$AB9,$AA9)))=Milestones!$AB$156),UPPER(TEXT(EDATE($D9,Milestones!$AA$156),"dd mmm yy"))&amp;" "&amp;Milestones!$AB$156&amp;" "&amp;IF(AND(Milestones!$AB$156="FT",Milestones!$AA$156=FT_Y5,EDATE($D9,Milestones!$AA$156)&lt;PolicyEff),1,Milestones!$AC$156)&amp;";  ","")&amp;IF(AND(EDATE($D9,Milestones!$AA$157)&lt;=AsOfDate,EDATE($D9,Milestones!$AA$157)&gt;=SchemeStart,IF($X9=0,$AD9,IF(AND($Z9&lt;&gt;"",EDATE($D9,Milestones!$AA$157)&gt;=$Z9),$AC9,IF(AND($Y9&lt;&gt;"",EDATE($D9,Milestones!$AA$157)&gt;=$Y9),$AB9,$AA9)))=Milestones!$AB$157),UPPER(TEXT(EDATE($D9,Milestones!$AA$157),"dd mmm yy"))&amp;" "&amp;Milestones!$AB$157&amp;" "&amp;IF(AND(Milestones!$AB$157="FT",Milestones!$AA$157=FT_Y5,EDATE($D9,Milestones!$AA$157)&lt;PolicyEff),1,Milestones!$AC$157)&amp;";  ","")&amp;IF(AND(EDATE($D9,Milestones!$AA$158)&lt;=AsOfDate,EDATE($D9,Milestones!$AA$158)&gt;=SchemeStart,IF($X9=0,$AD9,IF(AND($Z9&lt;&gt;"",EDATE($D9,Milestones!$AA$158)&gt;=$Z9),$AC9,IF(AND($Y9&lt;&gt;"",EDATE($D9,Milestones!$AA$158)&gt;=$Y9),$AB9,$AA9)))=Milestones!$AB$158),UPPER(TEXT(EDATE($D9,Milestones!$AA$158),"dd mmm yy"))&amp;" "&amp;Milestones!$AB$158&amp;" "&amp;IF(AND(Milestones!$AB$158="FT",Milestones!$AA$158=FT_Y5,EDATE($D9,Milestones!$AA$158)&lt;PolicyEff),1,Milestones!$AC$158)&amp;";  ","")&amp;IF(AND(EDATE($D9,Milestones!$AA$159)&lt;=AsOfDate,EDATE($D9,Milestones!$AA$159)&gt;=SchemeStart,IF($X9=0,$AD9,IF(AND($Z9&lt;&gt;"",EDATE($D9,Milestones!$AA$159)&gt;=$Z9),$AC9,IF(AND($Y9&lt;&gt;"",EDATE($D9,Milestones!$AA$159)&gt;=$Y9),$AB9,$AA9)))=Milestones!$AB$159),UPPER(TEXT(EDATE($D9,Milestones!$AA$159),"dd mmm yy"))&amp;" "&amp;Milestones!$AB$159&amp;" "&amp;IF(AND(Milestones!$AB$159="FT",Milestones!$AA$159=FT_Y5,EDATE($D9,Milestones!$AA$159)&lt;PolicyEff),1,Milestones!$AC$159)&amp;";  ","")&amp;IF(AND(EDATE($D9,Milestones!$AA$160)&lt;=AsOfDate,EDATE($D9,Milestones!$AA$160)&gt;=SchemeStart,IF($X9=0,$AD9,IF(AND($Z9&lt;&gt;"",EDATE($D9,Milestones!$AA$160)&gt;=$Z9),$AC9,IF(AND($Y9&lt;&gt;"",EDATE($D9,Milestones!$AA$160)&gt;=$Y9),$AB9,$AA9)))=Milestones!$AB$160),UPPER(TEXT(EDATE($D9,Milestones!$AA$160),"dd mmm yy"))&amp;" "&amp;Milestones!$AB$160&amp;" "&amp;IF(AND(Milestones!$AB$160="FT",Milestones!$AA$160=FT_Y5,EDATE($D9,Milestones!$AA$160)&lt;PolicyEff),1,Milestones!$AC$160)&amp;";  ","")&amp;IF(AND(EDATE($D9,Milestones!$AA$161)&lt;=AsOfDate,EDATE($D9,Milestones!$AA$161)&gt;=SchemeStart,IF($X9=0,$AD9,IF(AND($Z9&lt;&gt;"",EDATE($D9,Milestones!$AA$161)&gt;=$Z9),$AC9,IF(AND($Y9&lt;&gt;"",EDATE($D9,Milestones!$AA$161)&gt;=$Y9),$AB9,$AA9)))=Milestones!$AB$161),UPPER(TEXT(EDATE($D9,Milestones!$AA$161),"dd mmm yy"))&amp;" "&amp;Milestones!$AB$161&amp;" "&amp;IF(AND(Milestones!$AB$161="FT",Milestones!$AA$161=FT_Y5,EDATE($D9,Milestones!$AA$161)&lt;PolicyEff),1,Milestones!$AC$161)&amp;";  ","")&amp;IF(AND(EDATE($D9,Milestones!$AA$162)&lt;=AsOfDate,EDATE($D9,Milestones!$AA$162)&gt;=SchemeStart,IF($X9=0,$AD9,IF(AND($Z9&lt;&gt;"",EDATE($D9,Milestones!$AA$162)&gt;=$Z9),$AC9,IF(AND($Y9&lt;&gt;"",EDATE($D9,Milestones!$AA$162)&gt;=$Y9),$AB9,$AA9)))=Milestones!$AB$162),UPPER(TEXT(EDATE($D9,Milestones!$AA$162),"dd mmm yy"))&amp;" "&amp;Milestones!$AB$162&amp;" "&amp;IF(AND(Milestones!$AB$162="FT",Milestones!$AA$162=FT_Y5,EDATE($D9,Milestones!$AA$162)&lt;PolicyEff),1,Milestones!$AC$162)&amp;";  ","")&amp;IF(AND(EDATE($D9,Milestones!$AA$163)&lt;=AsOfDate,EDATE($D9,Milestones!$AA$163)&gt;=SchemeStart,IF($X9=0,$AD9,IF(AND($Z9&lt;&gt;"",EDATE($D9,Milestones!$AA$163)&gt;=$Z9),$AC9,IF(AND($Y9&lt;&gt;"",EDATE($D9,Milestones!$AA$163)&gt;=$Y9),$AB9,$AA9)))=Milestones!$AB$163),UPPER(TEXT(EDATE($D9,Milestones!$AA$163),"dd mmm yy"))&amp;" "&amp;Milestones!$AB$163&amp;" "&amp;IF(AND(Milestones!$AB$163="FT",Milestones!$AA$163=FT_Y5,EDATE($D9,Milestones!$AA$163)&lt;PolicyEff),1,Milestones!$AC$163)&amp;";  ",""))</f>
        <v/>
      </c>
      <c r="U9" s="0" t="str">
        <f aca="false">IF(OR($A9="",$D9=""),"",IF(AND(EDATE($D9,Milestones!$AA$164)&lt;=AsOfDate,EDATE($D9,Milestones!$AA$164)&gt;=SchemeStart,IF($X9=0,$AD9,IF(AND($Z9&lt;&gt;"",EDATE($D9,Milestones!$AA$164)&gt;=$Z9),$AC9,IF(AND($Y9&lt;&gt;"",EDATE($D9,Milestones!$AA$164)&gt;=$Y9),$AB9,$AA9)))=Milestones!$AB$164),UPPER(TEXT(EDATE($D9,Milestones!$AA$164),"dd mmm yy"))&amp;" "&amp;Milestones!$AB$164&amp;" "&amp;IF(AND(Milestones!$AB$164="FT",Milestones!$AA$164=FT_Y5,EDATE($D9,Milestones!$AA$164)&lt;PolicyEff),1,Milestones!$AC$164)&amp;";  ","")&amp;IF(AND(EDATE($D9,Milestones!$AA$165)&lt;=AsOfDate,EDATE($D9,Milestones!$AA$165)&gt;=SchemeStart,IF($X9=0,$AD9,IF(AND($Z9&lt;&gt;"",EDATE($D9,Milestones!$AA$165)&gt;=$Z9),$AC9,IF(AND($Y9&lt;&gt;"",EDATE($D9,Milestones!$AA$165)&gt;=$Y9),$AB9,$AA9)))=Milestones!$AB$165),UPPER(TEXT(EDATE($D9,Milestones!$AA$165),"dd mmm yy"))&amp;" "&amp;Milestones!$AB$165&amp;" "&amp;IF(AND(Milestones!$AB$165="FT",Milestones!$AA$165=FT_Y5,EDATE($D9,Milestones!$AA$165)&lt;PolicyEff),1,Milestones!$AC$165)&amp;";  ","")&amp;IF(AND(EDATE($D9,Milestones!$AA$166)&lt;=AsOfDate,EDATE($D9,Milestones!$AA$166)&gt;=SchemeStart,IF($X9=0,$AD9,IF(AND($Z9&lt;&gt;"",EDATE($D9,Milestones!$AA$166)&gt;=$Z9),$AC9,IF(AND($Y9&lt;&gt;"",EDATE($D9,Milestones!$AA$166)&gt;=$Y9),$AB9,$AA9)))=Milestones!$AB$166),UPPER(TEXT(EDATE($D9,Milestones!$AA$166),"dd mmm yy"))&amp;" "&amp;Milestones!$AB$166&amp;" "&amp;IF(AND(Milestones!$AB$166="FT",Milestones!$AA$166=FT_Y5,EDATE($D9,Milestones!$AA$166)&lt;PolicyEff),1,Milestones!$AC$166)&amp;";  ","")&amp;IF(AND(EDATE($D9,Milestones!$AA$167)&lt;=AsOfDate,EDATE($D9,Milestones!$AA$167)&gt;=SchemeStart,IF($X9=0,$AD9,IF(AND($Z9&lt;&gt;"",EDATE($D9,Milestones!$AA$167)&gt;=$Z9),$AC9,IF(AND($Y9&lt;&gt;"",EDATE($D9,Milestones!$AA$167)&gt;=$Y9),$AB9,$AA9)))=Milestones!$AB$167),UPPER(TEXT(EDATE($D9,Milestones!$AA$167),"dd mmm yy"))&amp;" "&amp;Milestones!$AB$167&amp;" "&amp;IF(AND(Milestones!$AB$167="FT",Milestones!$AA$167=FT_Y5,EDATE($D9,Milestones!$AA$167)&lt;PolicyEff),1,Milestones!$AC$167)&amp;";  ","")&amp;IF(AND(EDATE($D9,Milestones!$AA$168)&lt;=AsOfDate,EDATE($D9,Milestones!$AA$168)&gt;=SchemeStart,IF($X9=0,$AD9,IF(AND($Z9&lt;&gt;"",EDATE($D9,Milestones!$AA$168)&gt;=$Z9),$AC9,IF(AND($Y9&lt;&gt;"",EDATE($D9,Milestones!$AA$168)&gt;=$Y9),$AB9,$AA9)))=Milestones!$AB$168),UPPER(TEXT(EDATE($D9,Milestones!$AA$168),"dd mmm yy"))&amp;" "&amp;Milestones!$AB$168&amp;" "&amp;IF(AND(Milestones!$AB$168="FT",Milestones!$AA$168=FT_Y5,EDATE($D9,Milestones!$AA$168)&lt;PolicyEff),1,Milestones!$AC$168)&amp;";  ","")&amp;IF(AND(EDATE($D9,Milestones!$AA$169)&lt;=AsOfDate,EDATE($D9,Milestones!$AA$169)&gt;=SchemeStart,IF($X9=0,$AD9,IF(AND($Z9&lt;&gt;"",EDATE($D9,Milestones!$AA$169)&gt;=$Z9),$AC9,IF(AND($Y9&lt;&gt;"",EDATE($D9,Milestones!$AA$169)&gt;=$Y9),$AB9,$AA9)))=Milestones!$AB$169),UPPER(TEXT(EDATE($D9,Milestones!$AA$169),"dd mmm yy"))&amp;" "&amp;Milestones!$AB$169&amp;" "&amp;IF(AND(Milestones!$AB$169="FT",Milestones!$AA$169=FT_Y5,EDATE($D9,Milestones!$AA$169)&lt;PolicyEff),1,Milestones!$AC$169)&amp;";  ","")&amp;IF(AND(EDATE($D9,Milestones!$AA$170)&lt;=AsOfDate,EDATE($D9,Milestones!$AA$170)&gt;=SchemeStart,IF($X9=0,$AD9,IF(AND($Z9&lt;&gt;"",EDATE($D9,Milestones!$AA$170)&gt;=$Z9),$AC9,IF(AND($Y9&lt;&gt;"",EDATE($D9,Milestones!$AA$170)&gt;=$Y9),$AB9,$AA9)))=Milestones!$AB$170),UPPER(TEXT(EDATE($D9,Milestones!$AA$170),"dd mmm yy"))&amp;" "&amp;Milestones!$AB$170&amp;" "&amp;IF(AND(Milestones!$AB$170="FT",Milestones!$AA$170=FT_Y5,EDATE($D9,Milestones!$AA$170)&lt;PolicyEff),1,Milestones!$AC$170)&amp;";  ","")&amp;IF(AND(EDATE($D9,Milestones!$AA$171)&lt;=AsOfDate,EDATE($D9,Milestones!$AA$171)&gt;=SchemeStart,IF($X9=0,$AD9,IF(AND($Z9&lt;&gt;"",EDATE($D9,Milestones!$AA$171)&gt;=$Z9),$AC9,IF(AND($Y9&lt;&gt;"",EDATE($D9,Milestones!$AA$171)&gt;=$Y9),$AB9,$AA9)))=Milestones!$AB$171),UPPER(TEXT(EDATE($D9,Milestones!$AA$171),"dd mmm yy"))&amp;" "&amp;Milestones!$AB$171&amp;" "&amp;IF(AND(Milestones!$AB$171="FT",Milestones!$AA$171=FT_Y5,EDATE($D9,Milestones!$AA$171)&lt;PolicyEff),1,Milestones!$AC$171)&amp;";  ","")&amp;IF(AND(EDATE($D9,Milestones!$AA$172)&lt;=AsOfDate,EDATE($D9,Milestones!$AA$172)&gt;=SchemeStart,IF($X9=0,$AD9,IF(AND($Z9&lt;&gt;"",EDATE($D9,Milestones!$AA$172)&gt;=$Z9),$AC9,IF(AND($Y9&lt;&gt;"",EDATE($D9,Milestones!$AA$172)&gt;=$Y9),$AB9,$AA9)))=Milestones!$AB$172),UPPER(TEXT(EDATE($D9,Milestones!$AA$172),"dd mmm yy"))&amp;" "&amp;Milestones!$AB$172&amp;" "&amp;IF(AND(Milestones!$AB$172="FT",Milestones!$AA$172=FT_Y5,EDATE($D9,Milestones!$AA$172)&lt;PolicyEff),1,Milestones!$AC$172)&amp;";  ","")&amp;IF(AND(EDATE($D9,Milestones!$AA$173)&lt;=AsOfDate,EDATE($D9,Milestones!$AA$173)&gt;=SchemeStart,IF($X9=0,$AD9,IF(AND($Z9&lt;&gt;"",EDATE($D9,Milestones!$AA$173)&gt;=$Z9),$AC9,IF(AND($Y9&lt;&gt;"",EDATE($D9,Milestones!$AA$173)&gt;=$Y9),$AB9,$AA9)))=Milestones!$AB$173),UPPER(TEXT(EDATE($D9,Milestones!$AA$173),"dd mmm yy"))&amp;" "&amp;Milestones!$AB$173&amp;" "&amp;IF(AND(Milestones!$AB$173="FT",Milestones!$AA$173=FT_Y5,EDATE($D9,Milestones!$AA$173)&lt;PolicyEff),1,Milestones!$AC$173)&amp;";  ","")&amp;IF(AND(EDATE($D9,Milestones!$AA$174)&lt;=AsOfDate,EDATE($D9,Milestones!$AA$174)&gt;=SchemeStart,IF($X9=0,$AD9,IF(AND($Z9&lt;&gt;"",EDATE($D9,Milestones!$AA$174)&gt;=$Z9),$AC9,IF(AND($Y9&lt;&gt;"",EDATE($D9,Milestones!$AA$174)&gt;=$Y9),$AB9,$AA9)))=Milestones!$AB$174),UPPER(TEXT(EDATE($D9,Milestones!$AA$174),"dd mmm yy"))&amp;" "&amp;Milestones!$AB$174&amp;" "&amp;IF(AND(Milestones!$AB$174="FT",Milestones!$AA$174=FT_Y5,EDATE($D9,Milestones!$AA$174)&lt;PolicyEff),1,Milestones!$AC$174)&amp;";  ","")&amp;IF(AND(EDATE($D9,Milestones!$AA$175)&lt;=AsOfDate,EDATE($D9,Milestones!$AA$175)&gt;=SchemeStart,IF($X9=0,$AD9,IF(AND($Z9&lt;&gt;"",EDATE($D9,Milestones!$AA$175)&gt;=$Z9),$AC9,IF(AND($Y9&lt;&gt;"",EDATE($D9,Milestones!$AA$175)&gt;=$Y9),$AB9,$AA9)))=Milestones!$AB$175),UPPER(TEXT(EDATE($D9,Milestones!$AA$175),"dd mmm yy"))&amp;" "&amp;Milestones!$AB$175&amp;" "&amp;IF(AND(Milestones!$AB$175="FT",Milestones!$AA$175=FT_Y5,EDATE($D9,Milestones!$AA$175)&lt;PolicyEff),1,Milestones!$AC$175)&amp;";  ",""))</f>
        <v/>
      </c>
      <c r="V9" s="0" t="str">
        <f aca="false">IF(OR($A9="",$D9=""),"",IF(AND(EDATE($D9,Milestones!$AA$176)&lt;=AsOfDate,EDATE($D9,Milestones!$AA$176)&gt;=SchemeStart,IF($X9=0,$AD9,IF(AND($Z9&lt;&gt;"",EDATE($D9,Milestones!$AA$176)&gt;=$Z9),$AC9,IF(AND($Y9&lt;&gt;"",EDATE($D9,Milestones!$AA$176)&gt;=$Y9),$AB9,$AA9)))=Milestones!$AB$176),UPPER(TEXT(EDATE($D9,Milestones!$AA$176),"dd mmm yy"))&amp;" "&amp;Milestones!$AB$176&amp;" "&amp;IF(AND(Milestones!$AB$176="FT",Milestones!$AA$176=FT_Y5,EDATE($D9,Milestones!$AA$176)&lt;PolicyEff),1,Milestones!$AC$176)&amp;";  ","")&amp;IF(AND(EDATE($D9,Milestones!$AA$177)&lt;=AsOfDate,EDATE($D9,Milestones!$AA$177)&gt;=SchemeStart,IF($X9=0,$AD9,IF(AND($Z9&lt;&gt;"",EDATE($D9,Milestones!$AA$177)&gt;=$Z9),$AC9,IF(AND($Y9&lt;&gt;"",EDATE($D9,Milestones!$AA$177)&gt;=$Y9),$AB9,$AA9)))=Milestones!$AB$177),UPPER(TEXT(EDATE($D9,Milestones!$AA$177),"dd mmm yy"))&amp;" "&amp;Milestones!$AB$177&amp;" "&amp;IF(AND(Milestones!$AB$177="FT",Milestones!$AA$177=FT_Y5,EDATE($D9,Milestones!$AA$177)&lt;PolicyEff),1,Milestones!$AC$177)&amp;";  ","")&amp;IF(AND(EDATE($D9,Milestones!$AA$178)&lt;=AsOfDate,EDATE($D9,Milestones!$AA$178)&gt;=SchemeStart,IF($X9=0,$AD9,IF(AND($Z9&lt;&gt;"",EDATE($D9,Milestones!$AA$178)&gt;=$Z9),$AC9,IF(AND($Y9&lt;&gt;"",EDATE($D9,Milestones!$AA$178)&gt;=$Y9),$AB9,$AA9)))=Milestones!$AB$178),UPPER(TEXT(EDATE($D9,Milestones!$AA$178),"dd mmm yy"))&amp;" "&amp;Milestones!$AB$178&amp;" "&amp;IF(AND(Milestones!$AB$178="FT",Milestones!$AA$178=FT_Y5,EDATE($D9,Milestones!$AA$178)&lt;PolicyEff),1,Milestones!$AC$178)&amp;";  ","")&amp;IF(AND(EDATE($D9,Milestones!$AA$179)&lt;=AsOfDate,EDATE($D9,Milestones!$AA$179)&gt;=SchemeStart,IF($X9=0,$AD9,IF(AND($Z9&lt;&gt;"",EDATE($D9,Milestones!$AA$179)&gt;=$Z9),$AC9,IF(AND($Y9&lt;&gt;"",EDATE($D9,Milestones!$AA$179)&gt;=$Y9),$AB9,$AA9)))=Milestones!$AB$179),UPPER(TEXT(EDATE($D9,Milestones!$AA$179),"dd mmm yy"))&amp;" "&amp;Milestones!$AB$179&amp;" "&amp;IF(AND(Milestones!$AB$179="FT",Milestones!$AA$179=FT_Y5,EDATE($D9,Milestones!$AA$179)&lt;PolicyEff),1,Milestones!$AC$179)&amp;";  ","")&amp;IF(AND(EDATE($D9,Milestones!$AA$180)&lt;=AsOfDate,EDATE($D9,Milestones!$AA$180)&gt;=SchemeStart,IF($X9=0,$AD9,IF(AND($Z9&lt;&gt;"",EDATE($D9,Milestones!$AA$180)&gt;=$Z9),$AC9,IF(AND($Y9&lt;&gt;"",EDATE($D9,Milestones!$AA$180)&gt;=$Y9),$AB9,$AA9)))=Milestones!$AB$180),UPPER(TEXT(EDATE($D9,Milestones!$AA$180),"dd mmm yy"))&amp;" "&amp;Milestones!$AB$180&amp;" "&amp;IF(AND(Milestones!$AB$180="FT",Milestones!$AA$180=FT_Y5,EDATE($D9,Milestones!$AA$180)&lt;PolicyEff),1,Milestones!$AC$180)&amp;";  ","")&amp;IF(AND(EDATE($D9,Milestones!$AA$181)&lt;=AsOfDate,EDATE($D9,Milestones!$AA$181)&gt;=SchemeStart,IF($X9=0,$AD9,IF(AND($Z9&lt;&gt;"",EDATE($D9,Milestones!$AA$181)&gt;=$Z9),$AC9,IF(AND($Y9&lt;&gt;"",EDATE($D9,Milestones!$AA$181)&gt;=$Y9),$AB9,$AA9)))=Milestones!$AB$181),UPPER(TEXT(EDATE($D9,Milestones!$AA$181),"dd mmm yy"))&amp;" "&amp;Milestones!$AB$181&amp;" "&amp;IF(AND(Milestones!$AB$181="FT",Milestones!$AA$181=FT_Y5,EDATE($D9,Milestones!$AA$181)&lt;PolicyEff),1,Milestones!$AC$181)&amp;";  ","")&amp;IF(AND(EDATE($D9,Milestones!$AA$182)&lt;=AsOfDate,EDATE($D9,Milestones!$AA$182)&gt;=SchemeStart,IF($X9=0,$AD9,IF(AND($Z9&lt;&gt;"",EDATE($D9,Milestones!$AA$182)&gt;=$Z9),$AC9,IF(AND($Y9&lt;&gt;"",EDATE($D9,Milestones!$AA$182)&gt;=$Y9),$AB9,$AA9)))=Milestones!$AB$182),UPPER(TEXT(EDATE($D9,Milestones!$AA$182),"dd mmm yy"))&amp;" "&amp;Milestones!$AB$182&amp;" "&amp;IF(AND(Milestones!$AB$182="FT",Milestones!$AA$182=FT_Y5,EDATE($D9,Milestones!$AA$182)&lt;PolicyEff),1,Milestones!$AC$182)&amp;";  ","")&amp;IF(AND(EDATE($D9,Milestones!$AA$183)&lt;=AsOfDate,EDATE($D9,Milestones!$AA$183)&gt;=SchemeStart,IF($X9=0,$AD9,IF(AND($Z9&lt;&gt;"",EDATE($D9,Milestones!$AA$183)&gt;=$Z9),$AC9,IF(AND($Y9&lt;&gt;"",EDATE($D9,Milestones!$AA$183)&gt;=$Y9),$AB9,$AA9)))=Milestones!$AB$183),UPPER(TEXT(EDATE($D9,Milestones!$AA$183),"dd mmm yy"))&amp;" "&amp;Milestones!$AB$183&amp;" "&amp;IF(AND(Milestones!$AB$183="FT",Milestones!$AA$183=FT_Y5,EDATE($D9,Milestones!$AA$183)&lt;PolicyEff),1,Milestones!$AC$183)&amp;";  ","")&amp;IF(AND(EDATE($D9,Milestones!$AA$184)&lt;=AsOfDate,EDATE($D9,Milestones!$AA$184)&gt;=SchemeStart,IF($X9=0,$AD9,IF(AND($Z9&lt;&gt;"",EDATE($D9,Milestones!$AA$184)&gt;=$Z9),$AC9,IF(AND($Y9&lt;&gt;"",EDATE($D9,Milestones!$AA$184)&gt;=$Y9),$AB9,$AA9)))=Milestones!$AB$184),UPPER(TEXT(EDATE($D9,Milestones!$AA$184),"dd mmm yy"))&amp;" "&amp;Milestones!$AB$184&amp;" "&amp;IF(AND(Milestones!$AB$184="FT",Milestones!$AA$184=FT_Y5,EDATE($D9,Milestones!$AA$184)&lt;PolicyEff),1,Milestones!$AC$184)&amp;";  ","")&amp;IF(AND(EDATE($D9,Milestones!$AA$185)&lt;=AsOfDate,EDATE($D9,Milestones!$AA$185)&gt;=SchemeStart,IF($X9=0,$AD9,IF(AND($Z9&lt;&gt;"",EDATE($D9,Milestones!$AA$185)&gt;=$Z9),$AC9,IF(AND($Y9&lt;&gt;"",EDATE($D9,Milestones!$AA$185)&gt;=$Y9),$AB9,$AA9)))=Milestones!$AB$185),UPPER(TEXT(EDATE($D9,Milestones!$AA$185),"dd mmm yy"))&amp;" "&amp;Milestones!$AB$185&amp;" "&amp;IF(AND(Milestones!$AB$185="FT",Milestones!$AA$185=FT_Y5,EDATE($D9,Milestones!$AA$185)&lt;PolicyEff),1,Milestones!$AC$185)&amp;";  ","")&amp;IF(AND(EDATE($D9,Milestones!$AA$186)&lt;=AsOfDate,EDATE($D9,Milestones!$AA$186)&gt;=SchemeStart,IF($X9=0,$AD9,IF(AND($Z9&lt;&gt;"",EDATE($D9,Milestones!$AA$186)&gt;=$Z9),$AC9,IF(AND($Y9&lt;&gt;"",EDATE($D9,Milestones!$AA$186)&gt;=$Y9),$AB9,$AA9)))=Milestones!$AB$186),UPPER(TEXT(EDATE($D9,Milestones!$AA$186),"dd mmm yy"))&amp;" "&amp;Milestones!$AB$186&amp;" "&amp;IF(AND(Milestones!$AB$186="FT",Milestones!$AA$186=FT_Y5,EDATE($D9,Milestones!$AA$186)&lt;PolicyEff),1,Milestones!$AC$186)&amp;";  ","")&amp;IF(AND(EDATE($D9,Milestones!$AA$187)&lt;=AsOfDate,EDATE($D9,Milestones!$AA$187)&gt;=SchemeStart,IF($X9=0,$AD9,IF(AND($Z9&lt;&gt;"",EDATE($D9,Milestones!$AA$187)&gt;=$Z9),$AC9,IF(AND($Y9&lt;&gt;"",EDATE($D9,Milestones!$AA$187)&gt;=$Y9),$AB9,$AA9)))=Milestones!$AB$187),UPPER(TEXT(EDATE($D9,Milestones!$AA$187),"dd mmm yy"))&amp;" "&amp;Milestones!$AB$187&amp;" "&amp;IF(AND(Milestones!$AB$187="FT",Milestones!$AA$187=FT_Y5,EDATE($D9,Milestones!$AA$187)&lt;PolicyEff),1,Milestones!$AC$187)&amp;";  ",""))</f>
        <v/>
      </c>
      <c r="W9" s="0" t="str">
        <f aca="false">IF(OR($A9="",$D9=""),"",IF(AND(EDATE($D9,Milestones!$AA$188)&lt;=AsOfDate,EDATE($D9,Milestones!$AA$188)&gt;=SchemeStart,IF($X9=0,$AD9,IF(AND($Z9&lt;&gt;"",EDATE($D9,Milestones!$AA$188)&gt;=$Z9),$AC9,IF(AND($Y9&lt;&gt;"",EDATE($D9,Milestones!$AA$188)&gt;=$Y9),$AB9,$AA9)))=Milestones!$AB$188),UPPER(TEXT(EDATE($D9,Milestones!$AA$188),"dd mmm yy"))&amp;" "&amp;Milestones!$AB$188&amp;" "&amp;IF(AND(Milestones!$AB$188="FT",Milestones!$AA$188=FT_Y5,EDATE($D9,Milestones!$AA$188)&lt;PolicyEff),1,Milestones!$AC$188)&amp;";  ","")&amp;IF(AND(EDATE($D9,Milestones!$AA$189)&lt;=AsOfDate,EDATE($D9,Milestones!$AA$189)&gt;=SchemeStart,IF($X9=0,$AD9,IF(AND($Z9&lt;&gt;"",EDATE($D9,Milestones!$AA$189)&gt;=$Z9),$AC9,IF(AND($Y9&lt;&gt;"",EDATE($D9,Milestones!$AA$189)&gt;=$Y9),$AB9,$AA9)))=Milestones!$AB$189),UPPER(TEXT(EDATE($D9,Milestones!$AA$189),"dd mmm yy"))&amp;" "&amp;Milestones!$AB$189&amp;" "&amp;IF(AND(Milestones!$AB$189="FT",Milestones!$AA$189=FT_Y5,EDATE($D9,Milestones!$AA$189)&lt;PolicyEff),1,Milestones!$AC$189)&amp;";  ","")&amp;IF(AND(EDATE($D9,Milestones!$AA$190)&lt;=AsOfDate,EDATE($D9,Milestones!$AA$190)&gt;=SchemeStart,IF($X9=0,$AD9,IF(AND($Z9&lt;&gt;"",EDATE($D9,Milestones!$AA$190)&gt;=$Z9),$AC9,IF(AND($Y9&lt;&gt;"",EDATE($D9,Milestones!$AA$190)&gt;=$Y9),$AB9,$AA9)))=Milestones!$AB$190),UPPER(TEXT(EDATE($D9,Milestones!$AA$190),"dd mmm yy"))&amp;" "&amp;Milestones!$AB$190&amp;" "&amp;IF(AND(Milestones!$AB$190="FT",Milestones!$AA$190=FT_Y5,EDATE($D9,Milestones!$AA$190)&lt;PolicyEff),1,Milestones!$AC$190)&amp;";  ","")&amp;IF(AND(EDATE($D9,Milestones!$AA$191)&lt;=AsOfDate,EDATE($D9,Milestones!$AA$191)&gt;=SchemeStart,IF($X9=0,$AD9,IF(AND($Z9&lt;&gt;"",EDATE($D9,Milestones!$AA$191)&gt;=$Z9),$AC9,IF(AND($Y9&lt;&gt;"",EDATE($D9,Milestones!$AA$191)&gt;=$Y9),$AB9,$AA9)))=Milestones!$AB$191),UPPER(TEXT(EDATE($D9,Milestones!$AA$191),"dd mmm yy"))&amp;" "&amp;Milestones!$AB$191&amp;" "&amp;IF(AND(Milestones!$AB$191="FT",Milestones!$AA$191=FT_Y5,EDATE($D9,Milestones!$AA$191)&lt;PolicyEff),1,Milestones!$AC$191)&amp;";  ","")&amp;IF(AND(EDATE($D9,Milestones!$AA$192)&lt;=AsOfDate,EDATE($D9,Milestones!$AA$192)&gt;=SchemeStart,IF($X9=0,$AD9,IF(AND($Z9&lt;&gt;"",EDATE($D9,Milestones!$AA$192)&gt;=$Z9),$AC9,IF(AND($Y9&lt;&gt;"",EDATE($D9,Milestones!$AA$192)&gt;=$Y9),$AB9,$AA9)))=Milestones!$AB$192),UPPER(TEXT(EDATE($D9,Milestones!$AA$192),"dd mmm yy"))&amp;" "&amp;Milestones!$AB$192&amp;" "&amp;IF(AND(Milestones!$AB$192="FT",Milestones!$AA$192=FT_Y5,EDATE($D9,Milestones!$AA$192)&lt;PolicyEff),1,Milestones!$AC$192)&amp;";  ","")&amp;IF(AND(EDATE($D9,Milestones!$AA$193)&lt;=AsOfDate,EDATE($D9,Milestones!$AA$193)&gt;=SchemeStart,IF($X9=0,$AD9,IF(AND($Z9&lt;&gt;"",EDATE($D9,Milestones!$AA$193)&gt;=$Z9),$AC9,IF(AND($Y9&lt;&gt;"",EDATE($D9,Milestones!$AA$193)&gt;=$Y9),$AB9,$AA9)))=Milestones!$AB$193),UPPER(TEXT(EDATE($D9,Milestones!$AA$193),"dd mmm yy"))&amp;" "&amp;Milestones!$AB$193&amp;" "&amp;IF(AND(Milestones!$AB$193="FT",Milestones!$AA$193=FT_Y5,EDATE($D9,Milestones!$AA$193)&lt;PolicyEff),1,Milestones!$AC$193)&amp;";  ","")&amp;IF(AND(EDATE($D9,Milestones!$AA$194)&lt;=AsOfDate,EDATE($D9,Milestones!$AA$194)&gt;=SchemeStart,IF($X9=0,$AD9,IF(AND($Z9&lt;&gt;"",EDATE($D9,Milestones!$AA$194)&gt;=$Z9),$AC9,IF(AND($Y9&lt;&gt;"",EDATE($D9,Milestones!$AA$194)&gt;=$Y9),$AB9,$AA9)))=Milestones!$AB$194),UPPER(TEXT(EDATE($D9,Milestones!$AA$194),"dd mmm yy"))&amp;" "&amp;Milestones!$AB$194&amp;" "&amp;IF(AND(Milestones!$AB$194="FT",Milestones!$AA$194=FT_Y5,EDATE($D9,Milestones!$AA$194)&lt;PolicyEff),1,Milestones!$AC$194)&amp;";  ","")&amp;IF(AND(EDATE($D9,Milestones!$AA$195)&lt;=AsOfDate,EDATE($D9,Milestones!$AA$195)&gt;=SchemeStart,IF($X9=0,$AD9,IF(AND($Z9&lt;&gt;"",EDATE($D9,Milestones!$AA$195)&gt;=$Z9),$AC9,IF(AND($Y9&lt;&gt;"",EDATE($D9,Milestones!$AA$195)&gt;=$Y9),$AB9,$AA9)))=Milestones!$AB$195),UPPER(TEXT(EDATE($D9,Milestones!$AA$195),"dd mmm yy"))&amp;" "&amp;Milestones!$AB$195&amp;" "&amp;IF(AND(Milestones!$AB$195="FT",Milestones!$AA$195=FT_Y5,EDATE($D9,Milestones!$AA$195)&lt;PolicyEff),1,Milestones!$AC$195)&amp;";  ","")&amp;IF(AND(EDATE($D9,Milestones!$AA$196)&lt;=AsOfDate,EDATE($D9,Milestones!$AA$196)&gt;=SchemeStart,IF($X9=0,$AD9,IF(AND($Z9&lt;&gt;"",EDATE($D9,Milestones!$AA$196)&gt;=$Z9),$AC9,IF(AND($Y9&lt;&gt;"",EDATE($D9,Milestones!$AA$196)&gt;=$Y9),$AB9,$AA9)))=Milestones!$AB$196),UPPER(TEXT(EDATE($D9,Milestones!$AA$196),"dd mmm yy"))&amp;" "&amp;Milestones!$AB$196&amp;" "&amp;IF(AND(Milestones!$AB$196="FT",Milestones!$AA$196=FT_Y5,EDATE($D9,Milestones!$AA$196)&lt;PolicyEff),1,Milestones!$AC$196)&amp;";  ","")&amp;IF(AND(EDATE($D9,Milestones!$AA$197)&lt;=AsOfDate,EDATE($D9,Milestones!$AA$197)&gt;=SchemeStart,IF($X9=0,$AD9,IF(AND($Z9&lt;&gt;"",EDATE($D9,Milestones!$AA$197)&gt;=$Z9),$AC9,IF(AND($Y9&lt;&gt;"",EDATE($D9,Milestones!$AA$197)&gt;=$Y9),$AB9,$AA9)))=Milestones!$AB$197),UPPER(TEXT(EDATE($D9,Milestones!$AA$197),"dd mmm yy"))&amp;" "&amp;Milestones!$AB$197&amp;" "&amp;IF(AND(Milestones!$AB$197="FT",Milestones!$AA$197=FT_Y5,EDATE($D9,Milestones!$AA$197)&lt;PolicyEff),1,Milestones!$AC$197)&amp;";  ","")&amp;IF(AND(EDATE($D9,Milestones!$AA$198)&lt;=AsOfDate,EDATE($D9,Milestones!$AA$198)&gt;=SchemeStart,IF($X9=0,$AD9,IF(AND($Z9&lt;&gt;"",EDATE($D9,Milestones!$AA$198)&gt;=$Z9),$AC9,IF(AND($Y9&lt;&gt;"",EDATE($D9,Milestones!$AA$198)&gt;=$Y9),$AB9,$AA9)))=Milestones!$AB$198),UPPER(TEXT(EDATE($D9,Milestones!$AA$198),"dd mmm yy"))&amp;" "&amp;Milestones!$AB$198&amp;" "&amp;IF(AND(Milestones!$AB$198="FT",Milestones!$AA$198=FT_Y5,EDATE($D9,Milestones!$AA$198)&lt;PolicyEff),1,Milestones!$AC$198)&amp;";  ","")&amp;IF(AND(EDATE($D9,Milestones!$AA$199)&lt;=AsOfDate,EDATE($D9,Milestones!$AA$199)&gt;=SchemeStart,IF($X9=0,$AD9,IF(AND($Z9&lt;&gt;"",EDATE($D9,Milestones!$AA$199)&gt;=$Z9),$AC9,IF(AND($Y9&lt;&gt;"",EDATE($D9,Milestones!$AA$199)&gt;=$Y9),$AB9,$AA9)))=Milestones!$AB$199),UPPER(TEXT(EDATE($D9,Milestones!$AA$199),"dd mmm yy"))&amp;" "&amp;Milestones!$AB$199&amp;" "&amp;IF(AND(Milestones!$AB$199="FT",Milestones!$AA$199=FT_Y5,EDATE($D9,Milestones!$AA$199)&lt;PolicyEff),1,Milestones!$AC$199)&amp;";  ",""))</f>
        <v/>
      </c>
      <c r="X9" s="0" t="str">
        <f aca="false">IF(Staff!$A9="","",Staff!$AM9)</f>
        <v/>
      </c>
      <c r="Y9" s="0" t="str">
        <f aca="false">IF(Staff!$A9="","",Staff!$AO9)</f>
        <v/>
      </c>
      <c r="Z9" s="0" t="str">
        <f aca="false">IF(Staff!$A9="","",Staff!$AP9)</f>
        <v/>
      </c>
      <c r="AA9" s="0" t="str">
        <f aca="false">IF(Staff!$A9="","",Staff!$AT9)</f>
        <v/>
      </c>
      <c r="AB9" s="0" t="str">
        <f aca="false">IF(Staff!$A9="","",Staff!$AU9)</f>
        <v/>
      </c>
      <c r="AC9" s="0" t="str">
        <f aca="false">IF(Staff!$A9="","",Staff!$AV9)</f>
        <v/>
      </c>
      <c r="AD9" s="0" t="str">
        <f aca="false">IF(Staff!$A9="","",Staff!$AW9)</f>
        <v/>
      </c>
    </row>
    <row r="10" customFormat="false" ht="15" hidden="false" customHeight="false" outlineLevel="0" collapsed="false">
      <c r="A10" s="16" t="str">
        <f aca="false">IF(Staff!$A10="","",Staff!$A10)</f>
        <v/>
      </c>
      <c r="B10" s="16" t="str">
        <f aca="false">IF(Staff!$A10="","",Staff!$B10)</f>
        <v/>
      </c>
      <c r="C10" s="16" t="str">
        <f aca="false">IF(Staff!$A10="","",Staff!$C10)</f>
        <v/>
      </c>
      <c r="D10" s="14" t="str">
        <f aca="false">IF(Staff!$A10="","",Staff!$AL10)</f>
        <v/>
      </c>
      <c r="E10" s="16" t="str">
        <f aca="false">IF(Staff!$A10="","",Staff!$O10)</f>
        <v/>
      </c>
      <c r="F10" s="16" t="str">
        <f aca="false">IF(E10="","",E10*HoursPerDay)</f>
        <v/>
      </c>
      <c r="G10" s="16" t="str">
        <f aca="false">IF(Staff!$A10="","",Staff!$AE10)</f>
        <v/>
      </c>
      <c r="H10" s="28" t="str">
        <f aca="false">IF($A10="","",I10&amp;J10&amp;K10&amp;L10&amp;M10&amp;N10&amp;O10&amp;P10&amp;Q10&amp;R10&amp;S10&amp;T10&amp;U10&amp;V10&amp;W10)</f>
        <v/>
      </c>
      <c r="I10" s="0" t="str">
        <f aca="false">IF(OR($A10="",$D10=""),"",IF(AND(EDATE($D10,Milestones!$AA$20)&lt;=AsOfDate,EDATE($D10,Milestones!$AA$20)&gt;=SchemeStart,IF($X10=0,$AD10,IF(AND($Z10&lt;&gt;"",EDATE($D10,Milestones!$AA$20)&gt;=$Z10),$AC10,IF(AND($Y10&lt;&gt;"",EDATE($D10,Milestones!$AA$20)&gt;=$Y10),$AB10,$AA10)))=Milestones!$AB$20),UPPER(TEXT(EDATE($D10,Milestones!$AA$20),"dd mmm yy"))&amp;" "&amp;Milestones!$AB$20&amp;" "&amp;IF(AND(Milestones!$AB$20="FT",Milestones!$AA$20=FT_Y5,EDATE($D10,Milestones!$AA$20)&lt;PolicyEff),1,Milestones!$AC$20)&amp;";  ","")&amp;IF(AND(EDATE($D10,Milestones!$AA$21)&lt;=AsOfDate,EDATE($D10,Milestones!$AA$21)&gt;=SchemeStart,IF($X10=0,$AD10,IF(AND($Z10&lt;&gt;"",EDATE($D10,Milestones!$AA$21)&gt;=$Z10),$AC10,IF(AND($Y10&lt;&gt;"",EDATE($D10,Milestones!$AA$21)&gt;=$Y10),$AB10,$AA10)))=Milestones!$AB$21),UPPER(TEXT(EDATE($D10,Milestones!$AA$21),"dd mmm yy"))&amp;" "&amp;Milestones!$AB$21&amp;" "&amp;IF(AND(Milestones!$AB$21="FT",Milestones!$AA$21=FT_Y5,EDATE($D10,Milestones!$AA$21)&lt;PolicyEff),1,Milestones!$AC$21)&amp;";  ","")&amp;IF(AND(EDATE($D10,Milestones!$AA$22)&lt;=AsOfDate,EDATE($D10,Milestones!$AA$22)&gt;=SchemeStart,IF($X10=0,$AD10,IF(AND($Z10&lt;&gt;"",EDATE($D10,Milestones!$AA$22)&gt;=$Z10),$AC10,IF(AND($Y10&lt;&gt;"",EDATE($D10,Milestones!$AA$22)&gt;=$Y10),$AB10,$AA10)))=Milestones!$AB$22),UPPER(TEXT(EDATE($D10,Milestones!$AA$22),"dd mmm yy"))&amp;" "&amp;Milestones!$AB$22&amp;" "&amp;IF(AND(Milestones!$AB$22="FT",Milestones!$AA$22=FT_Y5,EDATE($D10,Milestones!$AA$22)&lt;PolicyEff),1,Milestones!$AC$22)&amp;";  ","")&amp;IF(AND(EDATE($D10,Milestones!$AA$23)&lt;=AsOfDate,EDATE($D10,Milestones!$AA$23)&gt;=SchemeStart,IF($X10=0,$AD10,IF(AND($Z10&lt;&gt;"",EDATE($D10,Milestones!$AA$23)&gt;=$Z10),$AC10,IF(AND($Y10&lt;&gt;"",EDATE($D10,Milestones!$AA$23)&gt;=$Y10),$AB10,$AA10)))=Milestones!$AB$23),UPPER(TEXT(EDATE($D10,Milestones!$AA$23),"dd mmm yy"))&amp;" "&amp;Milestones!$AB$23&amp;" "&amp;IF(AND(Milestones!$AB$23="FT",Milestones!$AA$23=FT_Y5,EDATE($D10,Milestones!$AA$23)&lt;PolicyEff),1,Milestones!$AC$23)&amp;";  ","")&amp;IF(AND(EDATE($D10,Milestones!$AA$24)&lt;=AsOfDate,EDATE($D10,Milestones!$AA$24)&gt;=SchemeStart,IF($X10=0,$AD10,IF(AND($Z10&lt;&gt;"",EDATE($D10,Milestones!$AA$24)&gt;=$Z10),$AC10,IF(AND($Y10&lt;&gt;"",EDATE($D10,Milestones!$AA$24)&gt;=$Y10),$AB10,$AA10)))=Milestones!$AB$24),UPPER(TEXT(EDATE($D10,Milestones!$AA$24),"dd mmm yy"))&amp;" "&amp;Milestones!$AB$24&amp;" "&amp;IF(AND(Milestones!$AB$24="FT",Milestones!$AA$24=FT_Y5,EDATE($D10,Milestones!$AA$24)&lt;PolicyEff),1,Milestones!$AC$24)&amp;";  ","")&amp;IF(AND(EDATE($D10,Milestones!$AA$25)&lt;=AsOfDate,EDATE($D10,Milestones!$AA$25)&gt;=SchemeStart,IF($X10=0,$AD10,IF(AND($Z10&lt;&gt;"",EDATE($D10,Milestones!$AA$25)&gt;=$Z10),$AC10,IF(AND($Y10&lt;&gt;"",EDATE($D10,Milestones!$AA$25)&gt;=$Y10),$AB10,$AA10)))=Milestones!$AB$25),UPPER(TEXT(EDATE($D10,Milestones!$AA$25),"dd mmm yy"))&amp;" "&amp;Milestones!$AB$25&amp;" "&amp;IF(AND(Milestones!$AB$25="FT",Milestones!$AA$25=FT_Y5,EDATE($D10,Milestones!$AA$25)&lt;PolicyEff),1,Milestones!$AC$25)&amp;";  ","")&amp;IF(AND(EDATE($D10,Milestones!$AA$26)&lt;=AsOfDate,EDATE($D10,Milestones!$AA$26)&gt;=SchemeStart,IF($X10=0,$AD10,IF(AND($Z10&lt;&gt;"",EDATE($D10,Milestones!$AA$26)&gt;=$Z10),$AC10,IF(AND($Y10&lt;&gt;"",EDATE($D10,Milestones!$AA$26)&gt;=$Y10),$AB10,$AA10)))=Milestones!$AB$26),UPPER(TEXT(EDATE($D10,Milestones!$AA$26),"dd mmm yy"))&amp;" "&amp;Milestones!$AB$26&amp;" "&amp;IF(AND(Milestones!$AB$26="FT",Milestones!$AA$26=FT_Y5,EDATE($D10,Milestones!$AA$26)&lt;PolicyEff),1,Milestones!$AC$26)&amp;";  ","")&amp;IF(AND(EDATE($D10,Milestones!$AA$27)&lt;=AsOfDate,EDATE($D10,Milestones!$AA$27)&gt;=SchemeStart,IF($X10=0,$AD10,IF(AND($Z10&lt;&gt;"",EDATE($D10,Milestones!$AA$27)&gt;=$Z10),$AC10,IF(AND($Y10&lt;&gt;"",EDATE($D10,Milestones!$AA$27)&gt;=$Y10),$AB10,$AA10)))=Milestones!$AB$27),UPPER(TEXT(EDATE($D10,Milestones!$AA$27),"dd mmm yy"))&amp;" "&amp;Milestones!$AB$27&amp;" "&amp;IF(AND(Milestones!$AB$27="FT",Milestones!$AA$27=FT_Y5,EDATE($D10,Milestones!$AA$27)&lt;PolicyEff),1,Milestones!$AC$27)&amp;";  ","")&amp;IF(AND(EDATE($D10,Milestones!$AA$28)&lt;=AsOfDate,EDATE($D10,Milestones!$AA$28)&gt;=SchemeStart,IF($X10=0,$AD10,IF(AND($Z10&lt;&gt;"",EDATE($D10,Milestones!$AA$28)&gt;=$Z10),$AC10,IF(AND($Y10&lt;&gt;"",EDATE($D10,Milestones!$AA$28)&gt;=$Y10),$AB10,$AA10)))=Milestones!$AB$28),UPPER(TEXT(EDATE($D10,Milestones!$AA$28),"dd mmm yy"))&amp;" "&amp;Milestones!$AB$28&amp;" "&amp;IF(AND(Milestones!$AB$28="FT",Milestones!$AA$28=FT_Y5,EDATE($D10,Milestones!$AA$28)&lt;PolicyEff),1,Milestones!$AC$28)&amp;";  ","")&amp;IF(AND(EDATE($D10,Milestones!$AA$29)&lt;=AsOfDate,EDATE($D10,Milestones!$AA$29)&gt;=SchemeStart,IF($X10=0,$AD10,IF(AND($Z10&lt;&gt;"",EDATE($D10,Milestones!$AA$29)&gt;=$Z10),$AC10,IF(AND($Y10&lt;&gt;"",EDATE($D10,Milestones!$AA$29)&gt;=$Y10),$AB10,$AA10)))=Milestones!$AB$29),UPPER(TEXT(EDATE($D10,Milestones!$AA$29),"dd mmm yy"))&amp;" "&amp;Milestones!$AB$29&amp;" "&amp;IF(AND(Milestones!$AB$29="FT",Milestones!$AA$29=FT_Y5,EDATE($D10,Milestones!$AA$29)&lt;PolicyEff),1,Milestones!$AC$29)&amp;";  ","")&amp;IF(AND(EDATE($D10,Milestones!$AA$30)&lt;=AsOfDate,EDATE($D10,Milestones!$AA$30)&gt;=SchemeStart,IF($X10=0,$AD10,IF(AND($Z10&lt;&gt;"",EDATE($D10,Milestones!$AA$30)&gt;=$Z10),$AC10,IF(AND($Y10&lt;&gt;"",EDATE($D10,Milestones!$AA$30)&gt;=$Y10),$AB10,$AA10)))=Milestones!$AB$30),UPPER(TEXT(EDATE($D10,Milestones!$AA$30),"dd mmm yy"))&amp;" "&amp;Milestones!$AB$30&amp;" "&amp;IF(AND(Milestones!$AB$30="FT",Milestones!$AA$30=FT_Y5,EDATE($D10,Milestones!$AA$30)&lt;PolicyEff),1,Milestones!$AC$30)&amp;";  ","")&amp;IF(AND(EDATE($D10,Milestones!$AA$31)&lt;=AsOfDate,EDATE($D10,Milestones!$AA$31)&gt;=SchemeStart,IF($X10=0,$AD10,IF(AND($Z10&lt;&gt;"",EDATE($D10,Milestones!$AA$31)&gt;=$Z10),$AC10,IF(AND($Y10&lt;&gt;"",EDATE($D10,Milestones!$AA$31)&gt;=$Y10),$AB10,$AA10)))=Milestones!$AB$31),UPPER(TEXT(EDATE($D10,Milestones!$AA$31),"dd mmm yy"))&amp;" "&amp;Milestones!$AB$31&amp;" "&amp;IF(AND(Milestones!$AB$31="FT",Milestones!$AA$31=FT_Y5,EDATE($D10,Milestones!$AA$31)&lt;PolicyEff),1,Milestones!$AC$31)&amp;";  ",""))</f>
        <v/>
      </c>
      <c r="J10" s="0" t="str">
        <f aca="false">IF(OR($A10="",$D10=""),"",IF(AND(EDATE($D10,Milestones!$AA$32)&lt;=AsOfDate,EDATE($D10,Milestones!$AA$32)&gt;=SchemeStart,IF($X10=0,$AD10,IF(AND($Z10&lt;&gt;"",EDATE($D10,Milestones!$AA$32)&gt;=$Z10),$AC10,IF(AND($Y10&lt;&gt;"",EDATE($D10,Milestones!$AA$32)&gt;=$Y10),$AB10,$AA10)))=Milestones!$AB$32),UPPER(TEXT(EDATE($D10,Milestones!$AA$32),"dd mmm yy"))&amp;" "&amp;Milestones!$AB$32&amp;" "&amp;IF(AND(Milestones!$AB$32="FT",Milestones!$AA$32=FT_Y5,EDATE($D10,Milestones!$AA$32)&lt;PolicyEff),1,Milestones!$AC$32)&amp;";  ","")&amp;IF(AND(EDATE($D10,Milestones!$AA$33)&lt;=AsOfDate,EDATE($D10,Milestones!$AA$33)&gt;=SchemeStart,IF($X10=0,$AD10,IF(AND($Z10&lt;&gt;"",EDATE($D10,Milestones!$AA$33)&gt;=$Z10),$AC10,IF(AND($Y10&lt;&gt;"",EDATE($D10,Milestones!$AA$33)&gt;=$Y10),$AB10,$AA10)))=Milestones!$AB$33),UPPER(TEXT(EDATE($D10,Milestones!$AA$33),"dd mmm yy"))&amp;" "&amp;Milestones!$AB$33&amp;" "&amp;IF(AND(Milestones!$AB$33="FT",Milestones!$AA$33=FT_Y5,EDATE($D10,Milestones!$AA$33)&lt;PolicyEff),1,Milestones!$AC$33)&amp;";  ","")&amp;IF(AND(EDATE($D10,Milestones!$AA$34)&lt;=AsOfDate,EDATE($D10,Milestones!$AA$34)&gt;=SchemeStart,IF($X10=0,$AD10,IF(AND($Z10&lt;&gt;"",EDATE($D10,Milestones!$AA$34)&gt;=$Z10),$AC10,IF(AND($Y10&lt;&gt;"",EDATE($D10,Milestones!$AA$34)&gt;=$Y10),$AB10,$AA10)))=Milestones!$AB$34),UPPER(TEXT(EDATE($D10,Milestones!$AA$34),"dd mmm yy"))&amp;" "&amp;Milestones!$AB$34&amp;" "&amp;IF(AND(Milestones!$AB$34="FT",Milestones!$AA$34=FT_Y5,EDATE($D10,Milestones!$AA$34)&lt;PolicyEff),1,Milestones!$AC$34)&amp;";  ","")&amp;IF(AND(EDATE($D10,Milestones!$AA$35)&lt;=AsOfDate,EDATE($D10,Milestones!$AA$35)&gt;=SchemeStart,IF($X10=0,$AD10,IF(AND($Z10&lt;&gt;"",EDATE($D10,Milestones!$AA$35)&gt;=$Z10),$AC10,IF(AND($Y10&lt;&gt;"",EDATE($D10,Milestones!$AA$35)&gt;=$Y10),$AB10,$AA10)))=Milestones!$AB$35),UPPER(TEXT(EDATE($D10,Milestones!$AA$35),"dd mmm yy"))&amp;" "&amp;Milestones!$AB$35&amp;" "&amp;IF(AND(Milestones!$AB$35="FT",Milestones!$AA$35=FT_Y5,EDATE($D10,Milestones!$AA$35)&lt;PolicyEff),1,Milestones!$AC$35)&amp;";  ","")&amp;IF(AND(EDATE($D10,Milestones!$AA$36)&lt;=AsOfDate,EDATE($D10,Milestones!$AA$36)&gt;=SchemeStart,IF($X10=0,$AD10,IF(AND($Z10&lt;&gt;"",EDATE($D10,Milestones!$AA$36)&gt;=$Z10),$AC10,IF(AND($Y10&lt;&gt;"",EDATE($D10,Milestones!$AA$36)&gt;=$Y10),$AB10,$AA10)))=Milestones!$AB$36),UPPER(TEXT(EDATE($D10,Milestones!$AA$36),"dd mmm yy"))&amp;" "&amp;Milestones!$AB$36&amp;" "&amp;IF(AND(Milestones!$AB$36="FT",Milestones!$AA$36=FT_Y5,EDATE($D10,Milestones!$AA$36)&lt;PolicyEff),1,Milestones!$AC$36)&amp;";  ","")&amp;IF(AND(EDATE($D10,Milestones!$AA$37)&lt;=AsOfDate,EDATE($D10,Milestones!$AA$37)&gt;=SchemeStart,IF($X10=0,$AD10,IF(AND($Z10&lt;&gt;"",EDATE($D10,Milestones!$AA$37)&gt;=$Z10),$AC10,IF(AND($Y10&lt;&gt;"",EDATE($D10,Milestones!$AA$37)&gt;=$Y10),$AB10,$AA10)))=Milestones!$AB$37),UPPER(TEXT(EDATE($D10,Milestones!$AA$37),"dd mmm yy"))&amp;" "&amp;Milestones!$AB$37&amp;" "&amp;IF(AND(Milestones!$AB$37="FT",Milestones!$AA$37=FT_Y5,EDATE($D10,Milestones!$AA$37)&lt;PolicyEff),1,Milestones!$AC$37)&amp;";  ","")&amp;IF(AND(EDATE($D10,Milestones!$AA$38)&lt;=AsOfDate,EDATE($D10,Milestones!$AA$38)&gt;=SchemeStart,IF($X10=0,$AD10,IF(AND($Z10&lt;&gt;"",EDATE($D10,Milestones!$AA$38)&gt;=$Z10),$AC10,IF(AND($Y10&lt;&gt;"",EDATE($D10,Milestones!$AA$38)&gt;=$Y10),$AB10,$AA10)))=Milestones!$AB$38),UPPER(TEXT(EDATE($D10,Milestones!$AA$38),"dd mmm yy"))&amp;" "&amp;Milestones!$AB$38&amp;" "&amp;IF(AND(Milestones!$AB$38="FT",Milestones!$AA$38=FT_Y5,EDATE($D10,Milestones!$AA$38)&lt;PolicyEff),1,Milestones!$AC$38)&amp;";  ","")&amp;IF(AND(EDATE($D10,Milestones!$AA$39)&lt;=AsOfDate,EDATE($D10,Milestones!$AA$39)&gt;=SchemeStart,IF($X10=0,$AD10,IF(AND($Z10&lt;&gt;"",EDATE($D10,Milestones!$AA$39)&gt;=$Z10),$AC10,IF(AND($Y10&lt;&gt;"",EDATE($D10,Milestones!$AA$39)&gt;=$Y10),$AB10,$AA10)))=Milestones!$AB$39),UPPER(TEXT(EDATE($D10,Milestones!$AA$39),"dd mmm yy"))&amp;" "&amp;Milestones!$AB$39&amp;" "&amp;IF(AND(Milestones!$AB$39="FT",Milestones!$AA$39=FT_Y5,EDATE($D10,Milestones!$AA$39)&lt;PolicyEff),1,Milestones!$AC$39)&amp;";  ","")&amp;IF(AND(EDATE($D10,Milestones!$AA$40)&lt;=AsOfDate,EDATE($D10,Milestones!$AA$40)&gt;=SchemeStart,IF($X10=0,$AD10,IF(AND($Z10&lt;&gt;"",EDATE($D10,Milestones!$AA$40)&gt;=$Z10),$AC10,IF(AND($Y10&lt;&gt;"",EDATE($D10,Milestones!$AA$40)&gt;=$Y10),$AB10,$AA10)))=Milestones!$AB$40),UPPER(TEXT(EDATE($D10,Milestones!$AA$40),"dd mmm yy"))&amp;" "&amp;Milestones!$AB$40&amp;" "&amp;IF(AND(Milestones!$AB$40="FT",Milestones!$AA$40=FT_Y5,EDATE($D10,Milestones!$AA$40)&lt;PolicyEff),1,Milestones!$AC$40)&amp;";  ","")&amp;IF(AND(EDATE($D10,Milestones!$AA$41)&lt;=AsOfDate,EDATE($D10,Milestones!$AA$41)&gt;=SchemeStart,IF($X10=0,$AD10,IF(AND($Z10&lt;&gt;"",EDATE($D10,Milestones!$AA$41)&gt;=$Z10),$AC10,IF(AND($Y10&lt;&gt;"",EDATE($D10,Milestones!$AA$41)&gt;=$Y10),$AB10,$AA10)))=Milestones!$AB$41),UPPER(TEXT(EDATE($D10,Milestones!$AA$41),"dd mmm yy"))&amp;" "&amp;Milestones!$AB$41&amp;" "&amp;IF(AND(Milestones!$AB$41="FT",Milestones!$AA$41=FT_Y5,EDATE($D10,Milestones!$AA$41)&lt;PolicyEff),1,Milestones!$AC$41)&amp;";  ","")&amp;IF(AND(EDATE($D10,Milestones!$AA$42)&lt;=AsOfDate,EDATE($D10,Milestones!$AA$42)&gt;=SchemeStart,IF($X10=0,$AD10,IF(AND($Z10&lt;&gt;"",EDATE($D10,Milestones!$AA$42)&gt;=$Z10),$AC10,IF(AND($Y10&lt;&gt;"",EDATE($D10,Milestones!$AA$42)&gt;=$Y10),$AB10,$AA10)))=Milestones!$AB$42),UPPER(TEXT(EDATE($D10,Milestones!$AA$42),"dd mmm yy"))&amp;" "&amp;Milestones!$AB$42&amp;" "&amp;IF(AND(Milestones!$AB$42="FT",Milestones!$AA$42=FT_Y5,EDATE($D10,Milestones!$AA$42)&lt;PolicyEff),1,Milestones!$AC$42)&amp;";  ","")&amp;IF(AND(EDATE($D10,Milestones!$AA$43)&lt;=AsOfDate,EDATE($D10,Milestones!$AA$43)&gt;=SchemeStart,IF($X10=0,$AD10,IF(AND($Z10&lt;&gt;"",EDATE($D10,Milestones!$AA$43)&gt;=$Z10),$AC10,IF(AND($Y10&lt;&gt;"",EDATE($D10,Milestones!$AA$43)&gt;=$Y10),$AB10,$AA10)))=Milestones!$AB$43),UPPER(TEXT(EDATE($D10,Milestones!$AA$43),"dd mmm yy"))&amp;" "&amp;Milestones!$AB$43&amp;" "&amp;IF(AND(Milestones!$AB$43="FT",Milestones!$AA$43=FT_Y5,EDATE($D10,Milestones!$AA$43)&lt;PolicyEff),1,Milestones!$AC$43)&amp;";  ",""))</f>
        <v/>
      </c>
      <c r="K10" s="0" t="str">
        <f aca="false">IF(OR($A10="",$D10=""),"",IF(AND(EDATE($D10,Milestones!$AA$44)&lt;=AsOfDate,EDATE($D10,Milestones!$AA$44)&gt;=SchemeStart,IF($X10=0,$AD10,IF(AND($Z10&lt;&gt;"",EDATE($D10,Milestones!$AA$44)&gt;=$Z10),$AC10,IF(AND($Y10&lt;&gt;"",EDATE($D10,Milestones!$AA$44)&gt;=$Y10),$AB10,$AA10)))=Milestones!$AB$44),UPPER(TEXT(EDATE($D10,Milestones!$AA$44),"dd mmm yy"))&amp;" "&amp;Milestones!$AB$44&amp;" "&amp;IF(AND(Milestones!$AB$44="FT",Milestones!$AA$44=FT_Y5,EDATE($D10,Milestones!$AA$44)&lt;PolicyEff),1,Milestones!$AC$44)&amp;";  ","")&amp;IF(AND(EDATE($D10,Milestones!$AA$45)&lt;=AsOfDate,EDATE($D10,Milestones!$AA$45)&gt;=SchemeStart,IF($X10=0,$AD10,IF(AND($Z10&lt;&gt;"",EDATE($D10,Milestones!$AA$45)&gt;=$Z10),$AC10,IF(AND($Y10&lt;&gt;"",EDATE($D10,Milestones!$AA$45)&gt;=$Y10),$AB10,$AA10)))=Milestones!$AB$45),UPPER(TEXT(EDATE($D10,Milestones!$AA$45),"dd mmm yy"))&amp;" "&amp;Milestones!$AB$45&amp;" "&amp;IF(AND(Milestones!$AB$45="FT",Milestones!$AA$45=FT_Y5,EDATE($D10,Milestones!$AA$45)&lt;PolicyEff),1,Milestones!$AC$45)&amp;";  ","")&amp;IF(AND(EDATE($D10,Milestones!$AA$46)&lt;=AsOfDate,EDATE($D10,Milestones!$AA$46)&gt;=SchemeStart,IF($X10=0,$AD10,IF(AND($Z10&lt;&gt;"",EDATE($D10,Milestones!$AA$46)&gt;=$Z10),$AC10,IF(AND($Y10&lt;&gt;"",EDATE($D10,Milestones!$AA$46)&gt;=$Y10),$AB10,$AA10)))=Milestones!$AB$46),UPPER(TEXT(EDATE($D10,Milestones!$AA$46),"dd mmm yy"))&amp;" "&amp;Milestones!$AB$46&amp;" "&amp;IF(AND(Milestones!$AB$46="FT",Milestones!$AA$46=FT_Y5,EDATE($D10,Milestones!$AA$46)&lt;PolicyEff),1,Milestones!$AC$46)&amp;";  ","")&amp;IF(AND(EDATE($D10,Milestones!$AA$47)&lt;=AsOfDate,EDATE($D10,Milestones!$AA$47)&gt;=SchemeStart,IF($X10=0,$AD10,IF(AND($Z10&lt;&gt;"",EDATE($D10,Milestones!$AA$47)&gt;=$Z10),$AC10,IF(AND($Y10&lt;&gt;"",EDATE($D10,Milestones!$AA$47)&gt;=$Y10),$AB10,$AA10)))=Milestones!$AB$47),UPPER(TEXT(EDATE($D10,Milestones!$AA$47),"dd mmm yy"))&amp;" "&amp;Milestones!$AB$47&amp;" "&amp;IF(AND(Milestones!$AB$47="FT",Milestones!$AA$47=FT_Y5,EDATE($D10,Milestones!$AA$47)&lt;PolicyEff),1,Milestones!$AC$47)&amp;";  ","")&amp;IF(AND(EDATE($D10,Milestones!$AA$48)&lt;=AsOfDate,EDATE($D10,Milestones!$AA$48)&gt;=SchemeStart,IF($X10=0,$AD10,IF(AND($Z10&lt;&gt;"",EDATE($D10,Milestones!$AA$48)&gt;=$Z10),$AC10,IF(AND($Y10&lt;&gt;"",EDATE($D10,Milestones!$AA$48)&gt;=$Y10),$AB10,$AA10)))=Milestones!$AB$48),UPPER(TEXT(EDATE($D10,Milestones!$AA$48),"dd mmm yy"))&amp;" "&amp;Milestones!$AB$48&amp;" "&amp;IF(AND(Milestones!$AB$48="FT",Milestones!$AA$48=FT_Y5,EDATE($D10,Milestones!$AA$48)&lt;PolicyEff),1,Milestones!$AC$48)&amp;";  ","")&amp;IF(AND(EDATE($D10,Milestones!$AA$49)&lt;=AsOfDate,EDATE($D10,Milestones!$AA$49)&gt;=SchemeStart,IF($X10=0,$AD10,IF(AND($Z10&lt;&gt;"",EDATE($D10,Milestones!$AA$49)&gt;=$Z10),$AC10,IF(AND($Y10&lt;&gt;"",EDATE($D10,Milestones!$AA$49)&gt;=$Y10),$AB10,$AA10)))=Milestones!$AB$49),UPPER(TEXT(EDATE($D10,Milestones!$AA$49),"dd mmm yy"))&amp;" "&amp;Milestones!$AB$49&amp;" "&amp;IF(AND(Milestones!$AB$49="FT",Milestones!$AA$49=FT_Y5,EDATE($D10,Milestones!$AA$49)&lt;PolicyEff),1,Milestones!$AC$49)&amp;";  ","")&amp;IF(AND(EDATE($D10,Milestones!$AA$50)&lt;=AsOfDate,EDATE($D10,Milestones!$AA$50)&gt;=SchemeStart,IF($X10=0,$AD10,IF(AND($Z10&lt;&gt;"",EDATE($D10,Milestones!$AA$50)&gt;=$Z10),$AC10,IF(AND($Y10&lt;&gt;"",EDATE($D10,Milestones!$AA$50)&gt;=$Y10),$AB10,$AA10)))=Milestones!$AB$50),UPPER(TEXT(EDATE($D10,Milestones!$AA$50),"dd mmm yy"))&amp;" "&amp;Milestones!$AB$50&amp;" "&amp;IF(AND(Milestones!$AB$50="FT",Milestones!$AA$50=FT_Y5,EDATE($D10,Milestones!$AA$50)&lt;PolicyEff),1,Milestones!$AC$50)&amp;";  ","")&amp;IF(AND(EDATE($D10,Milestones!$AA$51)&lt;=AsOfDate,EDATE($D10,Milestones!$AA$51)&gt;=SchemeStart,IF($X10=0,$AD10,IF(AND($Z10&lt;&gt;"",EDATE($D10,Milestones!$AA$51)&gt;=$Z10),$AC10,IF(AND($Y10&lt;&gt;"",EDATE($D10,Milestones!$AA$51)&gt;=$Y10),$AB10,$AA10)))=Milestones!$AB$51),UPPER(TEXT(EDATE($D10,Milestones!$AA$51),"dd mmm yy"))&amp;" "&amp;Milestones!$AB$51&amp;" "&amp;IF(AND(Milestones!$AB$51="FT",Milestones!$AA$51=FT_Y5,EDATE($D10,Milestones!$AA$51)&lt;PolicyEff),1,Milestones!$AC$51)&amp;";  ","")&amp;IF(AND(EDATE($D10,Milestones!$AA$52)&lt;=AsOfDate,EDATE($D10,Milestones!$AA$52)&gt;=SchemeStart,IF($X10=0,$AD10,IF(AND($Z10&lt;&gt;"",EDATE($D10,Milestones!$AA$52)&gt;=$Z10),$AC10,IF(AND($Y10&lt;&gt;"",EDATE($D10,Milestones!$AA$52)&gt;=$Y10),$AB10,$AA10)))=Milestones!$AB$52),UPPER(TEXT(EDATE($D10,Milestones!$AA$52),"dd mmm yy"))&amp;" "&amp;Milestones!$AB$52&amp;" "&amp;IF(AND(Milestones!$AB$52="FT",Milestones!$AA$52=FT_Y5,EDATE($D10,Milestones!$AA$52)&lt;PolicyEff),1,Milestones!$AC$52)&amp;";  ","")&amp;IF(AND(EDATE($D10,Milestones!$AA$53)&lt;=AsOfDate,EDATE($D10,Milestones!$AA$53)&gt;=SchemeStart,IF($X10=0,$AD10,IF(AND($Z10&lt;&gt;"",EDATE($D10,Milestones!$AA$53)&gt;=$Z10),$AC10,IF(AND($Y10&lt;&gt;"",EDATE($D10,Milestones!$AA$53)&gt;=$Y10),$AB10,$AA10)))=Milestones!$AB$53),UPPER(TEXT(EDATE($D10,Milestones!$AA$53),"dd mmm yy"))&amp;" "&amp;Milestones!$AB$53&amp;" "&amp;IF(AND(Milestones!$AB$53="FT",Milestones!$AA$53=FT_Y5,EDATE($D10,Milestones!$AA$53)&lt;PolicyEff),1,Milestones!$AC$53)&amp;";  ","")&amp;IF(AND(EDATE($D10,Milestones!$AA$54)&lt;=AsOfDate,EDATE($D10,Milestones!$AA$54)&gt;=SchemeStart,IF($X10=0,$AD10,IF(AND($Z10&lt;&gt;"",EDATE($D10,Milestones!$AA$54)&gt;=$Z10),$AC10,IF(AND($Y10&lt;&gt;"",EDATE($D10,Milestones!$AA$54)&gt;=$Y10),$AB10,$AA10)))=Milestones!$AB$54),UPPER(TEXT(EDATE($D10,Milestones!$AA$54),"dd mmm yy"))&amp;" "&amp;Milestones!$AB$54&amp;" "&amp;IF(AND(Milestones!$AB$54="FT",Milestones!$AA$54=FT_Y5,EDATE($D10,Milestones!$AA$54)&lt;PolicyEff),1,Milestones!$AC$54)&amp;";  ","")&amp;IF(AND(EDATE($D10,Milestones!$AA$55)&lt;=AsOfDate,EDATE($D10,Milestones!$AA$55)&gt;=SchemeStart,IF($X10=0,$AD10,IF(AND($Z10&lt;&gt;"",EDATE($D10,Milestones!$AA$55)&gt;=$Z10),$AC10,IF(AND($Y10&lt;&gt;"",EDATE($D10,Milestones!$AA$55)&gt;=$Y10),$AB10,$AA10)))=Milestones!$AB$55),UPPER(TEXT(EDATE($D10,Milestones!$AA$55),"dd mmm yy"))&amp;" "&amp;Milestones!$AB$55&amp;" "&amp;IF(AND(Milestones!$AB$55="FT",Milestones!$AA$55=FT_Y5,EDATE($D10,Milestones!$AA$55)&lt;PolicyEff),1,Milestones!$AC$55)&amp;";  ",""))</f>
        <v/>
      </c>
      <c r="L10" s="0" t="str">
        <f aca="false">IF(OR($A10="",$D10=""),"",IF(AND(EDATE($D10,Milestones!$AA$56)&lt;=AsOfDate,EDATE($D10,Milestones!$AA$56)&gt;=SchemeStart,IF($X10=0,$AD10,IF(AND($Z10&lt;&gt;"",EDATE($D10,Milestones!$AA$56)&gt;=$Z10),$AC10,IF(AND($Y10&lt;&gt;"",EDATE($D10,Milestones!$AA$56)&gt;=$Y10),$AB10,$AA10)))=Milestones!$AB$56),UPPER(TEXT(EDATE($D10,Milestones!$AA$56),"dd mmm yy"))&amp;" "&amp;Milestones!$AB$56&amp;" "&amp;IF(AND(Milestones!$AB$56="FT",Milestones!$AA$56=FT_Y5,EDATE($D10,Milestones!$AA$56)&lt;PolicyEff),1,Milestones!$AC$56)&amp;";  ","")&amp;IF(AND(EDATE($D10,Milestones!$AA$57)&lt;=AsOfDate,EDATE($D10,Milestones!$AA$57)&gt;=SchemeStart,IF($X10=0,$AD10,IF(AND($Z10&lt;&gt;"",EDATE($D10,Milestones!$AA$57)&gt;=$Z10),$AC10,IF(AND($Y10&lt;&gt;"",EDATE($D10,Milestones!$AA$57)&gt;=$Y10),$AB10,$AA10)))=Milestones!$AB$57),UPPER(TEXT(EDATE($D10,Milestones!$AA$57),"dd mmm yy"))&amp;" "&amp;Milestones!$AB$57&amp;" "&amp;IF(AND(Milestones!$AB$57="FT",Milestones!$AA$57=FT_Y5,EDATE($D10,Milestones!$AA$57)&lt;PolicyEff),1,Milestones!$AC$57)&amp;";  ","")&amp;IF(AND(EDATE($D10,Milestones!$AA$58)&lt;=AsOfDate,EDATE($D10,Milestones!$AA$58)&gt;=SchemeStart,IF($X10=0,$AD10,IF(AND($Z10&lt;&gt;"",EDATE($D10,Milestones!$AA$58)&gt;=$Z10),$AC10,IF(AND($Y10&lt;&gt;"",EDATE($D10,Milestones!$AA$58)&gt;=$Y10),$AB10,$AA10)))=Milestones!$AB$58),UPPER(TEXT(EDATE($D10,Milestones!$AA$58),"dd mmm yy"))&amp;" "&amp;Milestones!$AB$58&amp;" "&amp;IF(AND(Milestones!$AB$58="FT",Milestones!$AA$58=FT_Y5,EDATE($D10,Milestones!$AA$58)&lt;PolicyEff),1,Milestones!$AC$58)&amp;";  ","")&amp;IF(AND(EDATE($D10,Milestones!$AA$59)&lt;=AsOfDate,EDATE($D10,Milestones!$AA$59)&gt;=SchemeStart,IF($X10=0,$AD10,IF(AND($Z10&lt;&gt;"",EDATE($D10,Milestones!$AA$59)&gt;=$Z10),$AC10,IF(AND($Y10&lt;&gt;"",EDATE($D10,Milestones!$AA$59)&gt;=$Y10),$AB10,$AA10)))=Milestones!$AB$59),UPPER(TEXT(EDATE($D10,Milestones!$AA$59),"dd mmm yy"))&amp;" "&amp;Milestones!$AB$59&amp;" "&amp;IF(AND(Milestones!$AB$59="FT",Milestones!$AA$59=FT_Y5,EDATE($D10,Milestones!$AA$59)&lt;PolicyEff),1,Milestones!$AC$59)&amp;";  ","")&amp;IF(AND(EDATE($D10,Milestones!$AA$60)&lt;=AsOfDate,EDATE($D10,Milestones!$AA$60)&gt;=SchemeStart,IF($X10=0,$AD10,IF(AND($Z10&lt;&gt;"",EDATE($D10,Milestones!$AA$60)&gt;=$Z10),$AC10,IF(AND($Y10&lt;&gt;"",EDATE($D10,Milestones!$AA$60)&gt;=$Y10),$AB10,$AA10)))=Milestones!$AB$60),UPPER(TEXT(EDATE($D10,Milestones!$AA$60),"dd mmm yy"))&amp;" "&amp;Milestones!$AB$60&amp;" "&amp;IF(AND(Milestones!$AB$60="FT",Milestones!$AA$60=FT_Y5,EDATE($D10,Milestones!$AA$60)&lt;PolicyEff),1,Milestones!$AC$60)&amp;";  ","")&amp;IF(AND(EDATE($D10,Milestones!$AA$61)&lt;=AsOfDate,EDATE($D10,Milestones!$AA$61)&gt;=SchemeStart,IF($X10=0,$AD10,IF(AND($Z10&lt;&gt;"",EDATE($D10,Milestones!$AA$61)&gt;=$Z10),$AC10,IF(AND($Y10&lt;&gt;"",EDATE($D10,Milestones!$AA$61)&gt;=$Y10),$AB10,$AA10)))=Milestones!$AB$61),UPPER(TEXT(EDATE($D10,Milestones!$AA$61),"dd mmm yy"))&amp;" "&amp;Milestones!$AB$61&amp;" "&amp;IF(AND(Milestones!$AB$61="FT",Milestones!$AA$61=FT_Y5,EDATE($D10,Milestones!$AA$61)&lt;PolicyEff),1,Milestones!$AC$61)&amp;";  ","")&amp;IF(AND(EDATE($D10,Milestones!$AA$62)&lt;=AsOfDate,EDATE($D10,Milestones!$AA$62)&gt;=SchemeStart,IF($X10=0,$AD10,IF(AND($Z10&lt;&gt;"",EDATE($D10,Milestones!$AA$62)&gt;=$Z10),$AC10,IF(AND($Y10&lt;&gt;"",EDATE($D10,Milestones!$AA$62)&gt;=$Y10),$AB10,$AA10)))=Milestones!$AB$62),UPPER(TEXT(EDATE($D10,Milestones!$AA$62),"dd mmm yy"))&amp;" "&amp;Milestones!$AB$62&amp;" "&amp;IF(AND(Milestones!$AB$62="FT",Milestones!$AA$62=FT_Y5,EDATE($D10,Milestones!$AA$62)&lt;PolicyEff),1,Milestones!$AC$62)&amp;";  ","")&amp;IF(AND(EDATE($D10,Milestones!$AA$63)&lt;=AsOfDate,EDATE($D10,Milestones!$AA$63)&gt;=SchemeStart,IF($X10=0,$AD10,IF(AND($Z10&lt;&gt;"",EDATE($D10,Milestones!$AA$63)&gt;=$Z10),$AC10,IF(AND($Y10&lt;&gt;"",EDATE($D10,Milestones!$AA$63)&gt;=$Y10),$AB10,$AA10)))=Milestones!$AB$63),UPPER(TEXT(EDATE($D10,Milestones!$AA$63),"dd mmm yy"))&amp;" "&amp;Milestones!$AB$63&amp;" "&amp;IF(AND(Milestones!$AB$63="FT",Milestones!$AA$63=FT_Y5,EDATE($D10,Milestones!$AA$63)&lt;PolicyEff),1,Milestones!$AC$63)&amp;";  ","")&amp;IF(AND(EDATE($D10,Milestones!$AA$64)&lt;=AsOfDate,EDATE($D10,Milestones!$AA$64)&gt;=SchemeStart,IF($X10=0,$AD10,IF(AND($Z10&lt;&gt;"",EDATE($D10,Milestones!$AA$64)&gt;=$Z10),$AC10,IF(AND($Y10&lt;&gt;"",EDATE($D10,Milestones!$AA$64)&gt;=$Y10),$AB10,$AA10)))=Milestones!$AB$64),UPPER(TEXT(EDATE($D10,Milestones!$AA$64),"dd mmm yy"))&amp;" "&amp;Milestones!$AB$64&amp;" "&amp;IF(AND(Milestones!$AB$64="FT",Milestones!$AA$64=FT_Y5,EDATE($D10,Milestones!$AA$64)&lt;PolicyEff),1,Milestones!$AC$64)&amp;";  ","")&amp;IF(AND(EDATE($D10,Milestones!$AA$65)&lt;=AsOfDate,EDATE($D10,Milestones!$AA$65)&gt;=SchemeStart,IF($X10=0,$AD10,IF(AND($Z10&lt;&gt;"",EDATE($D10,Milestones!$AA$65)&gt;=$Z10),$AC10,IF(AND($Y10&lt;&gt;"",EDATE($D10,Milestones!$AA$65)&gt;=$Y10),$AB10,$AA10)))=Milestones!$AB$65),UPPER(TEXT(EDATE($D10,Milestones!$AA$65),"dd mmm yy"))&amp;" "&amp;Milestones!$AB$65&amp;" "&amp;IF(AND(Milestones!$AB$65="FT",Milestones!$AA$65=FT_Y5,EDATE($D10,Milestones!$AA$65)&lt;PolicyEff),1,Milestones!$AC$65)&amp;";  ","")&amp;IF(AND(EDATE($D10,Milestones!$AA$66)&lt;=AsOfDate,EDATE($D10,Milestones!$AA$66)&gt;=SchemeStart,IF($X10=0,$AD10,IF(AND($Z10&lt;&gt;"",EDATE($D10,Milestones!$AA$66)&gt;=$Z10),$AC10,IF(AND($Y10&lt;&gt;"",EDATE($D10,Milestones!$AA$66)&gt;=$Y10),$AB10,$AA10)))=Milestones!$AB$66),UPPER(TEXT(EDATE($D10,Milestones!$AA$66),"dd mmm yy"))&amp;" "&amp;Milestones!$AB$66&amp;" "&amp;IF(AND(Milestones!$AB$66="FT",Milestones!$AA$66=FT_Y5,EDATE($D10,Milestones!$AA$66)&lt;PolicyEff),1,Milestones!$AC$66)&amp;";  ","")&amp;IF(AND(EDATE($D10,Milestones!$AA$67)&lt;=AsOfDate,EDATE($D10,Milestones!$AA$67)&gt;=SchemeStart,IF($X10=0,$AD10,IF(AND($Z10&lt;&gt;"",EDATE($D10,Milestones!$AA$67)&gt;=$Z10),$AC10,IF(AND($Y10&lt;&gt;"",EDATE($D10,Milestones!$AA$67)&gt;=$Y10),$AB10,$AA10)))=Milestones!$AB$67),UPPER(TEXT(EDATE($D10,Milestones!$AA$67),"dd mmm yy"))&amp;" "&amp;Milestones!$AB$67&amp;" "&amp;IF(AND(Milestones!$AB$67="FT",Milestones!$AA$67=FT_Y5,EDATE($D10,Milestones!$AA$67)&lt;PolicyEff),1,Milestones!$AC$67)&amp;";  ",""))</f>
        <v/>
      </c>
      <c r="M10" s="0" t="str">
        <f aca="false">IF(OR($A10="",$D10=""),"",IF(AND(EDATE($D10,Milestones!$AA$68)&lt;=AsOfDate,EDATE($D10,Milestones!$AA$68)&gt;=SchemeStart,IF($X10=0,$AD10,IF(AND($Z10&lt;&gt;"",EDATE($D10,Milestones!$AA$68)&gt;=$Z10),$AC10,IF(AND($Y10&lt;&gt;"",EDATE($D10,Milestones!$AA$68)&gt;=$Y10),$AB10,$AA10)))=Milestones!$AB$68),UPPER(TEXT(EDATE($D10,Milestones!$AA$68),"dd mmm yy"))&amp;" "&amp;Milestones!$AB$68&amp;" "&amp;IF(AND(Milestones!$AB$68="FT",Milestones!$AA$68=FT_Y5,EDATE($D10,Milestones!$AA$68)&lt;PolicyEff),1,Milestones!$AC$68)&amp;";  ","")&amp;IF(AND(EDATE($D10,Milestones!$AA$69)&lt;=AsOfDate,EDATE($D10,Milestones!$AA$69)&gt;=SchemeStart,IF($X10=0,$AD10,IF(AND($Z10&lt;&gt;"",EDATE($D10,Milestones!$AA$69)&gt;=$Z10),$AC10,IF(AND($Y10&lt;&gt;"",EDATE($D10,Milestones!$AA$69)&gt;=$Y10),$AB10,$AA10)))=Milestones!$AB$69),UPPER(TEXT(EDATE($D10,Milestones!$AA$69),"dd mmm yy"))&amp;" "&amp;Milestones!$AB$69&amp;" "&amp;IF(AND(Milestones!$AB$69="FT",Milestones!$AA$69=FT_Y5,EDATE($D10,Milestones!$AA$69)&lt;PolicyEff),1,Milestones!$AC$69)&amp;";  ","")&amp;IF(AND(EDATE($D10,Milestones!$AA$70)&lt;=AsOfDate,EDATE($D10,Milestones!$AA$70)&gt;=SchemeStart,IF($X10=0,$AD10,IF(AND($Z10&lt;&gt;"",EDATE($D10,Milestones!$AA$70)&gt;=$Z10),$AC10,IF(AND($Y10&lt;&gt;"",EDATE($D10,Milestones!$AA$70)&gt;=$Y10),$AB10,$AA10)))=Milestones!$AB$70),UPPER(TEXT(EDATE($D10,Milestones!$AA$70),"dd mmm yy"))&amp;" "&amp;Milestones!$AB$70&amp;" "&amp;IF(AND(Milestones!$AB$70="FT",Milestones!$AA$70=FT_Y5,EDATE($D10,Milestones!$AA$70)&lt;PolicyEff),1,Milestones!$AC$70)&amp;";  ","")&amp;IF(AND(EDATE($D10,Milestones!$AA$71)&lt;=AsOfDate,EDATE($D10,Milestones!$AA$71)&gt;=SchemeStart,IF($X10=0,$AD10,IF(AND($Z10&lt;&gt;"",EDATE($D10,Milestones!$AA$71)&gt;=$Z10),$AC10,IF(AND($Y10&lt;&gt;"",EDATE($D10,Milestones!$AA$71)&gt;=$Y10),$AB10,$AA10)))=Milestones!$AB$71),UPPER(TEXT(EDATE($D10,Milestones!$AA$71),"dd mmm yy"))&amp;" "&amp;Milestones!$AB$71&amp;" "&amp;IF(AND(Milestones!$AB$71="FT",Milestones!$AA$71=FT_Y5,EDATE($D10,Milestones!$AA$71)&lt;PolicyEff),1,Milestones!$AC$71)&amp;";  ","")&amp;IF(AND(EDATE($D10,Milestones!$AA$72)&lt;=AsOfDate,EDATE($D10,Milestones!$AA$72)&gt;=SchemeStart,IF($X10=0,$AD10,IF(AND($Z10&lt;&gt;"",EDATE($D10,Milestones!$AA$72)&gt;=$Z10),$AC10,IF(AND($Y10&lt;&gt;"",EDATE($D10,Milestones!$AA$72)&gt;=$Y10),$AB10,$AA10)))=Milestones!$AB$72),UPPER(TEXT(EDATE($D10,Milestones!$AA$72),"dd mmm yy"))&amp;" "&amp;Milestones!$AB$72&amp;" "&amp;IF(AND(Milestones!$AB$72="FT",Milestones!$AA$72=FT_Y5,EDATE($D10,Milestones!$AA$72)&lt;PolicyEff),1,Milestones!$AC$72)&amp;";  ","")&amp;IF(AND(EDATE($D10,Milestones!$AA$73)&lt;=AsOfDate,EDATE($D10,Milestones!$AA$73)&gt;=SchemeStart,IF($X10=0,$AD10,IF(AND($Z10&lt;&gt;"",EDATE($D10,Milestones!$AA$73)&gt;=$Z10),$AC10,IF(AND($Y10&lt;&gt;"",EDATE($D10,Milestones!$AA$73)&gt;=$Y10),$AB10,$AA10)))=Milestones!$AB$73),UPPER(TEXT(EDATE($D10,Milestones!$AA$73),"dd mmm yy"))&amp;" "&amp;Milestones!$AB$73&amp;" "&amp;IF(AND(Milestones!$AB$73="FT",Milestones!$AA$73=FT_Y5,EDATE($D10,Milestones!$AA$73)&lt;PolicyEff),1,Milestones!$AC$73)&amp;";  ","")&amp;IF(AND(EDATE($D10,Milestones!$AA$74)&lt;=AsOfDate,EDATE($D10,Milestones!$AA$74)&gt;=SchemeStart,IF($X10=0,$AD10,IF(AND($Z10&lt;&gt;"",EDATE($D10,Milestones!$AA$74)&gt;=$Z10),$AC10,IF(AND($Y10&lt;&gt;"",EDATE($D10,Milestones!$AA$74)&gt;=$Y10),$AB10,$AA10)))=Milestones!$AB$74),UPPER(TEXT(EDATE($D10,Milestones!$AA$74),"dd mmm yy"))&amp;" "&amp;Milestones!$AB$74&amp;" "&amp;IF(AND(Milestones!$AB$74="FT",Milestones!$AA$74=FT_Y5,EDATE($D10,Milestones!$AA$74)&lt;PolicyEff),1,Milestones!$AC$74)&amp;";  ","")&amp;IF(AND(EDATE($D10,Milestones!$AA$75)&lt;=AsOfDate,EDATE($D10,Milestones!$AA$75)&gt;=SchemeStart,IF($X10=0,$AD10,IF(AND($Z10&lt;&gt;"",EDATE($D10,Milestones!$AA$75)&gt;=$Z10),$AC10,IF(AND($Y10&lt;&gt;"",EDATE($D10,Milestones!$AA$75)&gt;=$Y10),$AB10,$AA10)))=Milestones!$AB$75),UPPER(TEXT(EDATE($D10,Milestones!$AA$75),"dd mmm yy"))&amp;" "&amp;Milestones!$AB$75&amp;" "&amp;IF(AND(Milestones!$AB$75="FT",Milestones!$AA$75=FT_Y5,EDATE($D10,Milestones!$AA$75)&lt;PolicyEff),1,Milestones!$AC$75)&amp;";  ","")&amp;IF(AND(EDATE($D10,Milestones!$AA$76)&lt;=AsOfDate,EDATE($D10,Milestones!$AA$76)&gt;=SchemeStart,IF($X10=0,$AD10,IF(AND($Z10&lt;&gt;"",EDATE($D10,Milestones!$AA$76)&gt;=$Z10),$AC10,IF(AND($Y10&lt;&gt;"",EDATE($D10,Milestones!$AA$76)&gt;=$Y10),$AB10,$AA10)))=Milestones!$AB$76),UPPER(TEXT(EDATE($D10,Milestones!$AA$76),"dd mmm yy"))&amp;" "&amp;Milestones!$AB$76&amp;" "&amp;IF(AND(Milestones!$AB$76="FT",Milestones!$AA$76=FT_Y5,EDATE($D10,Milestones!$AA$76)&lt;PolicyEff),1,Milestones!$AC$76)&amp;";  ","")&amp;IF(AND(EDATE($D10,Milestones!$AA$77)&lt;=AsOfDate,EDATE($D10,Milestones!$AA$77)&gt;=SchemeStart,IF($X10=0,$AD10,IF(AND($Z10&lt;&gt;"",EDATE($D10,Milestones!$AA$77)&gt;=$Z10),$AC10,IF(AND($Y10&lt;&gt;"",EDATE($D10,Milestones!$AA$77)&gt;=$Y10),$AB10,$AA10)))=Milestones!$AB$77),UPPER(TEXT(EDATE($D10,Milestones!$AA$77),"dd mmm yy"))&amp;" "&amp;Milestones!$AB$77&amp;" "&amp;IF(AND(Milestones!$AB$77="FT",Milestones!$AA$77=FT_Y5,EDATE($D10,Milestones!$AA$77)&lt;PolicyEff),1,Milestones!$AC$77)&amp;";  ","")&amp;IF(AND(EDATE($D10,Milestones!$AA$78)&lt;=AsOfDate,EDATE($D10,Milestones!$AA$78)&gt;=SchemeStart,IF($X10=0,$AD10,IF(AND($Z10&lt;&gt;"",EDATE($D10,Milestones!$AA$78)&gt;=$Z10),$AC10,IF(AND($Y10&lt;&gt;"",EDATE($D10,Milestones!$AA$78)&gt;=$Y10),$AB10,$AA10)))=Milestones!$AB$78),UPPER(TEXT(EDATE($D10,Milestones!$AA$78),"dd mmm yy"))&amp;" "&amp;Milestones!$AB$78&amp;" "&amp;IF(AND(Milestones!$AB$78="FT",Milestones!$AA$78=FT_Y5,EDATE($D10,Milestones!$AA$78)&lt;PolicyEff),1,Milestones!$AC$78)&amp;";  ","")&amp;IF(AND(EDATE($D10,Milestones!$AA$79)&lt;=AsOfDate,EDATE($D10,Milestones!$AA$79)&gt;=SchemeStart,IF($X10=0,$AD10,IF(AND($Z10&lt;&gt;"",EDATE($D10,Milestones!$AA$79)&gt;=$Z10),$AC10,IF(AND($Y10&lt;&gt;"",EDATE($D10,Milestones!$AA$79)&gt;=$Y10),$AB10,$AA10)))=Milestones!$AB$79),UPPER(TEXT(EDATE($D10,Milestones!$AA$79),"dd mmm yy"))&amp;" "&amp;Milestones!$AB$79&amp;" "&amp;IF(AND(Milestones!$AB$79="FT",Milestones!$AA$79=FT_Y5,EDATE($D10,Milestones!$AA$79)&lt;PolicyEff),1,Milestones!$AC$79)&amp;";  ",""))</f>
        <v/>
      </c>
      <c r="N10" s="0" t="str">
        <f aca="false">IF(OR($A10="",$D10=""),"",IF(AND(EDATE($D10,Milestones!$AA$80)&lt;=AsOfDate,EDATE($D10,Milestones!$AA$80)&gt;=SchemeStart,IF($X10=0,$AD10,IF(AND($Z10&lt;&gt;"",EDATE($D10,Milestones!$AA$80)&gt;=$Z10),$AC10,IF(AND($Y10&lt;&gt;"",EDATE($D10,Milestones!$AA$80)&gt;=$Y10),$AB10,$AA10)))=Milestones!$AB$80),UPPER(TEXT(EDATE($D10,Milestones!$AA$80),"dd mmm yy"))&amp;" "&amp;Milestones!$AB$80&amp;" "&amp;IF(AND(Milestones!$AB$80="FT",Milestones!$AA$80=FT_Y5,EDATE($D10,Milestones!$AA$80)&lt;PolicyEff),1,Milestones!$AC$80)&amp;";  ","")&amp;IF(AND(EDATE($D10,Milestones!$AA$81)&lt;=AsOfDate,EDATE($D10,Milestones!$AA$81)&gt;=SchemeStart,IF($X10=0,$AD10,IF(AND($Z10&lt;&gt;"",EDATE($D10,Milestones!$AA$81)&gt;=$Z10),$AC10,IF(AND($Y10&lt;&gt;"",EDATE($D10,Milestones!$AA$81)&gt;=$Y10),$AB10,$AA10)))=Milestones!$AB$81),UPPER(TEXT(EDATE($D10,Milestones!$AA$81),"dd mmm yy"))&amp;" "&amp;Milestones!$AB$81&amp;" "&amp;IF(AND(Milestones!$AB$81="FT",Milestones!$AA$81=FT_Y5,EDATE($D10,Milestones!$AA$81)&lt;PolicyEff),1,Milestones!$AC$81)&amp;";  ","")&amp;IF(AND(EDATE($D10,Milestones!$AA$82)&lt;=AsOfDate,EDATE($D10,Milestones!$AA$82)&gt;=SchemeStart,IF($X10=0,$AD10,IF(AND($Z10&lt;&gt;"",EDATE($D10,Milestones!$AA$82)&gt;=$Z10),$AC10,IF(AND($Y10&lt;&gt;"",EDATE($D10,Milestones!$AA$82)&gt;=$Y10),$AB10,$AA10)))=Milestones!$AB$82),UPPER(TEXT(EDATE($D10,Milestones!$AA$82),"dd mmm yy"))&amp;" "&amp;Milestones!$AB$82&amp;" "&amp;IF(AND(Milestones!$AB$82="FT",Milestones!$AA$82=FT_Y5,EDATE($D10,Milestones!$AA$82)&lt;PolicyEff),1,Milestones!$AC$82)&amp;";  ","")&amp;IF(AND(EDATE($D10,Milestones!$AA$83)&lt;=AsOfDate,EDATE($D10,Milestones!$AA$83)&gt;=SchemeStart,IF($X10=0,$AD10,IF(AND($Z10&lt;&gt;"",EDATE($D10,Milestones!$AA$83)&gt;=$Z10),$AC10,IF(AND($Y10&lt;&gt;"",EDATE($D10,Milestones!$AA$83)&gt;=$Y10),$AB10,$AA10)))=Milestones!$AB$83),UPPER(TEXT(EDATE($D10,Milestones!$AA$83),"dd mmm yy"))&amp;" "&amp;Milestones!$AB$83&amp;" "&amp;IF(AND(Milestones!$AB$83="FT",Milestones!$AA$83=FT_Y5,EDATE($D10,Milestones!$AA$83)&lt;PolicyEff),1,Milestones!$AC$83)&amp;";  ","")&amp;IF(AND(EDATE($D10,Milestones!$AA$84)&lt;=AsOfDate,EDATE($D10,Milestones!$AA$84)&gt;=SchemeStart,IF($X10=0,$AD10,IF(AND($Z10&lt;&gt;"",EDATE($D10,Milestones!$AA$84)&gt;=$Z10),$AC10,IF(AND($Y10&lt;&gt;"",EDATE($D10,Milestones!$AA$84)&gt;=$Y10),$AB10,$AA10)))=Milestones!$AB$84),UPPER(TEXT(EDATE($D10,Milestones!$AA$84),"dd mmm yy"))&amp;" "&amp;Milestones!$AB$84&amp;" "&amp;IF(AND(Milestones!$AB$84="FT",Milestones!$AA$84=FT_Y5,EDATE($D10,Milestones!$AA$84)&lt;PolicyEff),1,Milestones!$AC$84)&amp;";  ","")&amp;IF(AND(EDATE($D10,Milestones!$AA$85)&lt;=AsOfDate,EDATE($D10,Milestones!$AA$85)&gt;=SchemeStart,IF($X10=0,$AD10,IF(AND($Z10&lt;&gt;"",EDATE($D10,Milestones!$AA$85)&gt;=$Z10),$AC10,IF(AND($Y10&lt;&gt;"",EDATE($D10,Milestones!$AA$85)&gt;=$Y10),$AB10,$AA10)))=Milestones!$AB$85),UPPER(TEXT(EDATE($D10,Milestones!$AA$85),"dd mmm yy"))&amp;" "&amp;Milestones!$AB$85&amp;" "&amp;IF(AND(Milestones!$AB$85="FT",Milestones!$AA$85=FT_Y5,EDATE($D10,Milestones!$AA$85)&lt;PolicyEff),1,Milestones!$AC$85)&amp;";  ","")&amp;IF(AND(EDATE($D10,Milestones!$AA$86)&lt;=AsOfDate,EDATE($D10,Milestones!$AA$86)&gt;=SchemeStart,IF($X10=0,$AD10,IF(AND($Z10&lt;&gt;"",EDATE($D10,Milestones!$AA$86)&gt;=$Z10),$AC10,IF(AND($Y10&lt;&gt;"",EDATE($D10,Milestones!$AA$86)&gt;=$Y10),$AB10,$AA10)))=Milestones!$AB$86),UPPER(TEXT(EDATE($D10,Milestones!$AA$86),"dd mmm yy"))&amp;" "&amp;Milestones!$AB$86&amp;" "&amp;IF(AND(Milestones!$AB$86="FT",Milestones!$AA$86=FT_Y5,EDATE($D10,Milestones!$AA$86)&lt;PolicyEff),1,Milestones!$AC$86)&amp;";  ","")&amp;IF(AND(EDATE($D10,Milestones!$AA$87)&lt;=AsOfDate,EDATE($D10,Milestones!$AA$87)&gt;=SchemeStart,IF($X10=0,$AD10,IF(AND($Z10&lt;&gt;"",EDATE($D10,Milestones!$AA$87)&gt;=$Z10),$AC10,IF(AND($Y10&lt;&gt;"",EDATE($D10,Milestones!$AA$87)&gt;=$Y10),$AB10,$AA10)))=Milestones!$AB$87),UPPER(TEXT(EDATE($D10,Milestones!$AA$87),"dd mmm yy"))&amp;" "&amp;Milestones!$AB$87&amp;" "&amp;IF(AND(Milestones!$AB$87="FT",Milestones!$AA$87=FT_Y5,EDATE($D10,Milestones!$AA$87)&lt;PolicyEff),1,Milestones!$AC$87)&amp;";  ","")&amp;IF(AND(EDATE($D10,Milestones!$AA$88)&lt;=AsOfDate,EDATE($D10,Milestones!$AA$88)&gt;=SchemeStart,IF($X10=0,$AD10,IF(AND($Z10&lt;&gt;"",EDATE($D10,Milestones!$AA$88)&gt;=$Z10),$AC10,IF(AND($Y10&lt;&gt;"",EDATE($D10,Milestones!$AA$88)&gt;=$Y10),$AB10,$AA10)))=Milestones!$AB$88),UPPER(TEXT(EDATE($D10,Milestones!$AA$88),"dd mmm yy"))&amp;" "&amp;Milestones!$AB$88&amp;" "&amp;IF(AND(Milestones!$AB$88="FT",Milestones!$AA$88=FT_Y5,EDATE($D10,Milestones!$AA$88)&lt;PolicyEff),1,Milestones!$AC$88)&amp;";  ","")&amp;IF(AND(EDATE($D10,Milestones!$AA$89)&lt;=AsOfDate,EDATE($D10,Milestones!$AA$89)&gt;=SchemeStart,IF($X10=0,$AD10,IF(AND($Z10&lt;&gt;"",EDATE($D10,Milestones!$AA$89)&gt;=$Z10),$AC10,IF(AND($Y10&lt;&gt;"",EDATE($D10,Milestones!$AA$89)&gt;=$Y10),$AB10,$AA10)))=Milestones!$AB$89),UPPER(TEXT(EDATE($D10,Milestones!$AA$89),"dd mmm yy"))&amp;" "&amp;Milestones!$AB$89&amp;" "&amp;IF(AND(Milestones!$AB$89="FT",Milestones!$AA$89=FT_Y5,EDATE($D10,Milestones!$AA$89)&lt;PolicyEff),1,Milestones!$AC$89)&amp;";  ","")&amp;IF(AND(EDATE($D10,Milestones!$AA$90)&lt;=AsOfDate,EDATE($D10,Milestones!$AA$90)&gt;=SchemeStart,IF($X10=0,$AD10,IF(AND($Z10&lt;&gt;"",EDATE($D10,Milestones!$AA$90)&gt;=$Z10),$AC10,IF(AND($Y10&lt;&gt;"",EDATE($D10,Milestones!$AA$90)&gt;=$Y10),$AB10,$AA10)))=Milestones!$AB$90),UPPER(TEXT(EDATE($D10,Milestones!$AA$90),"dd mmm yy"))&amp;" "&amp;Milestones!$AB$90&amp;" "&amp;IF(AND(Milestones!$AB$90="FT",Milestones!$AA$90=FT_Y5,EDATE($D10,Milestones!$AA$90)&lt;PolicyEff),1,Milestones!$AC$90)&amp;";  ","")&amp;IF(AND(EDATE($D10,Milestones!$AA$91)&lt;=AsOfDate,EDATE($D10,Milestones!$AA$91)&gt;=SchemeStart,IF($X10=0,$AD10,IF(AND($Z10&lt;&gt;"",EDATE($D10,Milestones!$AA$91)&gt;=$Z10),$AC10,IF(AND($Y10&lt;&gt;"",EDATE($D10,Milestones!$AA$91)&gt;=$Y10),$AB10,$AA10)))=Milestones!$AB$91),UPPER(TEXT(EDATE($D10,Milestones!$AA$91),"dd mmm yy"))&amp;" "&amp;Milestones!$AB$91&amp;" "&amp;IF(AND(Milestones!$AB$91="FT",Milestones!$AA$91=FT_Y5,EDATE($D10,Milestones!$AA$91)&lt;PolicyEff),1,Milestones!$AC$91)&amp;";  ",""))</f>
        <v/>
      </c>
      <c r="O10" s="0" t="str">
        <f aca="false">IF(OR($A10="",$D10=""),"",IF(AND(EDATE($D10,Milestones!$AA$92)&lt;=AsOfDate,EDATE($D10,Milestones!$AA$92)&gt;=SchemeStart,IF($X10=0,$AD10,IF(AND($Z10&lt;&gt;"",EDATE($D10,Milestones!$AA$92)&gt;=$Z10),$AC10,IF(AND($Y10&lt;&gt;"",EDATE($D10,Milestones!$AA$92)&gt;=$Y10),$AB10,$AA10)))=Milestones!$AB$92),UPPER(TEXT(EDATE($D10,Milestones!$AA$92),"dd mmm yy"))&amp;" "&amp;Milestones!$AB$92&amp;" "&amp;IF(AND(Milestones!$AB$92="FT",Milestones!$AA$92=FT_Y5,EDATE($D10,Milestones!$AA$92)&lt;PolicyEff),1,Milestones!$AC$92)&amp;";  ","")&amp;IF(AND(EDATE($D10,Milestones!$AA$93)&lt;=AsOfDate,EDATE($D10,Milestones!$AA$93)&gt;=SchemeStart,IF($X10=0,$AD10,IF(AND($Z10&lt;&gt;"",EDATE($D10,Milestones!$AA$93)&gt;=$Z10),$AC10,IF(AND($Y10&lt;&gt;"",EDATE($D10,Milestones!$AA$93)&gt;=$Y10),$AB10,$AA10)))=Milestones!$AB$93),UPPER(TEXT(EDATE($D10,Milestones!$AA$93),"dd mmm yy"))&amp;" "&amp;Milestones!$AB$93&amp;" "&amp;IF(AND(Milestones!$AB$93="FT",Milestones!$AA$93=FT_Y5,EDATE($D10,Milestones!$AA$93)&lt;PolicyEff),1,Milestones!$AC$93)&amp;";  ","")&amp;IF(AND(EDATE($D10,Milestones!$AA$94)&lt;=AsOfDate,EDATE($D10,Milestones!$AA$94)&gt;=SchemeStart,IF($X10=0,$AD10,IF(AND($Z10&lt;&gt;"",EDATE($D10,Milestones!$AA$94)&gt;=$Z10),$AC10,IF(AND($Y10&lt;&gt;"",EDATE($D10,Milestones!$AA$94)&gt;=$Y10),$AB10,$AA10)))=Milestones!$AB$94),UPPER(TEXT(EDATE($D10,Milestones!$AA$94),"dd mmm yy"))&amp;" "&amp;Milestones!$AB$94&amp;" "&amp;IF(AND(Milestones!$AB$94="FT",Milestones!$AA$94=FT_Y5,EDATE($D10,Milestones!$AA$94)&lt;PolicyEff),1,Milestones!$AC$94)&amp;";  ","")&amp;IF(AND(EDATE($D10,Milestones!$AA$95)&lt;=AsOfDate,EDATE($D10,Milestones!$AA$95)&gt;=SchemeStart,IF($X10=0,$AD10,IF(AND($Z10&lt;&gt;"",EDATE($D10,Milestones!$AA$95)&gt;=$Z10),$AC10,IF(AND($Y10&lt;&gt;"",EDATE($D10,Milestones!$AA$95)&gt;=$Y10),$AB10,$AA10)))=Milestones!$AB$95),UPPER(TEXT(EDATE($D10,Milestones!$AA$95),"dd mmm yy"))&amp;" "&amp;Milestones!$AB$95&amp;" "&amp;IF(AND(Milestones!$AB$95="FT",Milestones!$AA$95=FT_Y5,EDATE($D10,Milestones!$AA$95)&lt;PolicyEff),1,Milestones!$AC$95)&amp;";  ","")&amp;IF(AND(EDATE($D10,Milestones!$AA$96)&lt;=AsOfDate,EDATE($D10,Milestones!$AA$96)&gt;=SchemeStart,IF($X10=0,$AD10,IF(AND($Z10&lt;&gt;"",EDATE($D10,Milestones!$AA$96)&gt;=$Z10),$AC10,IF(AND($Y10&lt;&gt;"",EDATE($D10,Milestones!$AA$96)&gt;=$Y10),$AB10,$AA10)))=Milestones!$AB$96),UPPER(TEXT(EDATE($D10,Milestones!$AA$96),"dd mmm yy"))&amp;" "&amp;Milestones!$AB$96&amp;" "&amp;IF(AND(Milestones!$AB$96="FT",Milestones!$AA$96=FT_Y5,EDATE($D10,Milestones!$AA$96)&lt;PolicyEff),1,Milestones!$AC$96)&amp;";  ","")&amp;IF(AND(EDATE($D10,Milestones!$AA$97)&lt;=AsOfDate,EDATE($D10,Milestones!$AA$97)&gt;=SchemeStart,IF($X10=0,$AD10,IF(AND($Z10&lt;&gt;"",EDATE($D10,Milestones!$AA$97)&gt;=$Z10),$AC10,IF(AND($Y10&lt;&gt;"",EDATE($D10,Milestones!$AA$97)&gt;=$Y10),$AB10,$AA10)))=Milestones!$AB$97),UPPER(TEXT(EDATE($D10,Milestones!$AA$97),"dd mmm yy"))&amp;" "&amp;Milestones!$AB$97&amp;" "&amp;IF(AND(Milestones!$AB$97="FT",Milestones!$AA$97=FT_Y5,EDATE($D10,Milestones!$AA$97)&lt;PolicyEff),1,Milestones!$AC$97)&amp;";  ","")&amp;IF(AND(EDATE($D10,Milestones!$AA$98)&lt;=AsOfDate,EDATE($D10,Milestones!$AA$98)&gt;=SchemeStart,IF($X10=0,$AD10,IF(AND($Z10&lt;&gt;"",EDATE($D10,Milestones!$AA$98)&gt;=$Z10),$AC10,IF(AND($Y10&lt;&gt;"",EDATE($D10,Milestones!$AA$98)&gt;=$Y10),$AB10,$AA10)))=Milestones!$AB$98),UPPER(TEXT(EDATE($D10,Milestones!$AA$98),"dd mmm yy"))&amp;" "&amp;Milestones!$AB$98&amp;" "&amp;IF(AND(Milestones!$AB$98="FT",Milestones!$AA$98=FT_Y5,EDATE($D10,Milestones!$AA$98)&lt;PolicyEff),1,Milestones!$AC$98)&amp;";  ","")&amp;IF(AND(EDATE($D10,Milestones!$AA$99)&lt;=AsOfDate,EDATE($D10,Milestones!$AA$99)&gt;=SchemeStart,IF($X10=0,$AD10,IF(AND($Z10&lt;&gt;"",EDATE($D10,Milestones!$AA$99)&gt;=$Z10),$AC10,IF(AND($Y10&lt;&gt;"",EDATE($D10,Milestones!$AA$99)&gt;=$Y10),$AB10,$AA10)))=Milestones!$AB$99),UPPER(TEXT(EDATE($D10,Milestones!$AA$99),"dd mmm yy"))&amp;" "&amp;Milestones!$AB$99&amp;" "&amp;IF(AND(Milestones!$AB$99="FT",Milestones!$AA$99=FT_Y5,EDATE($D10,Milestones!$AA$99)&lt;PolicyEff),1,Milestones!$AC$99)&amp;";  ","")&amp;IF(AND(EDATE($D10,Milestones!$AA$100)&lt;=AsOfDate,EDATE($D10,Milestones!$AA$100)&gt;=SchemeStart,IF($X10=0,$AD10,IF(AND($Z10&lt;&gt;"",EDATE($D10,Milestones!$AA$100)&gt;=$Z10),$AC10,IF(AND($Y10&lt;&gt;"",EDATE($D10,Milestones!$AA$100)&gt;=$Y10),$AB10,$AA10)))=Milestones!$AB$100),UPPER(TEXT(EDATE($D10,Milestones!$AA$100),"dd mmm yy"))&amp;" "&amp;Milestones!$AB$100&amp;" "&amp;IF(AND(Milestones!$AB$100="FT",Milestones!$AA$100=FT_Y5,EDATE($D10,Milestones!$AA$100)&lt;PolicyEff),1,Milestones!$AC$100)&amp;";  ","")&amp;IF(AND(EDATE($D10,Milestones!$AA$101)&lt;=AsOfDate,EDATE($D10,Milestones!$AA$101)&gt;=SchemeStart,IF($X10=0,$AD10,IF(AND($Z10&lt;&gt;"",EDATE($D10,Milestones!$AA$101)&gt;=$Z10),$AC10,IF(AND($Y10&lt;&gt;"",EDATE($D10,Milestones!$AA$101)&gt;=$Y10),$AB10,$AA10)))=Milestones!$AB$101),UPPER(TEXT(EDATE($D10,Milestones!$AA$101),"dd mmm yy"))&amp;" "&amp;Milestones!$AB$101&amp;" "&amp;IF(AND(Milestones!$AB$101="FT",Milestones!$AA$101=FT_Y5,EDATE($D10,Milestones!$AA$101)&lt;PolicyEff),1,Milestones!$AC$101)&amp;";  ","")&amp;IF(AND(EDATE($D10,Milestones!$AA$102)&lt;=AsOfDate,EDATE($D10,Milestones!$AA$102)&gt;=SchemeStart,IF($X10=0,$AD10,IF(AND($Z10&lt;&gt;"",EDATE($D10,Milestones!$AA$102)&gt;=$Z10),$AC10,IF(AND($Y10&lt;&gt;"",EDATE($D10,Milestones!$AA$102)&gt;=$Y10),$AB10,$AA10)))=Milestones!$AB$102),UPPER(TEXT(EDATE($D10,Milestones!$AA$102),"dd mmm yy"))&amp;" "&amp;Milestones!$AB$102&amp;" "&amp;IF(AND(Milestones!$AB$102="FT",Milestones!$AA$102=FT_Y5,EDATE($D10,Milestones!$AA$102)&lt;PolicyEff),1,Milestones!$AC$102)&amp;";  ","")&amp;IF(AND(EDATE($D10,Milestones!$AA$103)&lt;=AsOfDate,EDATE($D10,Milestones!$AA$103)&gt;=SchemeStart,IF($X10=0,$AD10,IF(AND($Z10&lt;&gt;"",EDATE($D10,Milestones!$AA$103)&gt;=$Z10),$AC10,IF(AND($Y10&lt;&gt;"",EDATE($D10,Milestones!$AA$103)&gt;=$Y10),$AB10,$AA10)))=Milestones!$AB$103),UPPER(TEXT(EDATE($D10,Milestones!$AA$103),"dd mmm yy"))&amp;" "&amp;Milestones!$AB$103&amp;" "&amp;IF(AND(Milestones!$AB$103="FT",Milestones!$AA$103=FT_Y5,EDATE($D10,Milestones!$AA$103)&lt;PolicyEff),1,Milestones!$AC$103)&amp;";  ",""))</f>
        <v/>
      </c>
      <c r="P10" s="0" t="str">
        <f aca="false">IF(OR($A10="",$D10=""),"",IF(AND(EDATE($D10,Milestones!$AA$104)&lt;=AsOfDate,EDATE($D10,Milestones!$AA$104)&gt;=SchemeStart,IF($X10=0,$AD10,IF(AND($Z10&lt;&gt;"",EDATE($D10,Milestones!$AA$104)&gt;=$Z10),$AC10,IF(AND($Y10&lt;&gt;"",EDATE($D10,Milestones!$AA$104)&gt;=$Y10),$AB10,$AA10)))=Milestones!$AB$104),UPPER(TEXT(EDATE($D10,Milestones!$AA$104),"dd mmm yy"))&amp;" "&amp;Milestones!$AB$104&amp;" "&amp;IF(AND(Milestones!$AB$104="FT",Milestones!$AA$104=FT_Y5,EDATE($D10,Milestones!$AA$104)&lt;PolicyEff),1,Milestones!$AC$104)&amp;";  ","")&amp;IF(AND(EDATE($D10,Milestones!$AA$105)&lt;=AsOfDate,EDATE($D10,Milestones!$AA$105)&gt;=SchemeStart,IF($X10=0,$AD10,IF(AND($Z10&lt;&gt;"",EDATE($D10,Milestones!$AA$105)&gt;=$Z10),$AC10,IF(AND($Y10&lt;&gt;"",EDATE($D10,Milestones!$AA$105)&gt;=$Y10),$AB10,$AA10)))=Milestones!$AB$105),UPPER(TEXT(EDATE($D10,Milestones!$AA$105),"dd mmm yy"))&amp;" "&amp;Milestones!$AB$105&amp;" "&amp;IF(AND(Milestones!$AB$105="FT",Milestones!$AA$105=FT_Y5,EDATE($D10,Milestones!$AA$105)&lt;PolicyEff),1,Milestones!$AC$105)&amp;";  ","")&amp;IF(AND(EDATE($D10,Milestones!$AA$106)&lt;=AsOfDate,EDATE($D10,Milestones!$AA$106)&gt;=SchemeStart,IF($X10=0,$AD10,IF(AND($Z10&lt;&gt;"",EDATE($D10,Milestones!$AA$106)&gt;=$Z10),$AC10,IF(AND($Y10&lt;&gt;"",EDATE($D10,Milestones!$AA$106)&gt;=$Y10),$AB10,$AA10)))=Milestones!$AB$106),UPPER(TEXT(EDATE($D10,Milestones!$AA$106),"dd mmm yy"))&amp;" "&amp;Milestones!$AB$106&amp;" "&amp;IF(AND(Milestones!$AB$106="FT",Milestones!$AA$106=FT_Y5,EDATE($D10,Milestones!$AA$106)&lt;PolicyEff),1,Milestones!$AC$106)&amp;";  ","")&amp;IF(AND(EDATE($D10,Milestones!$AA$107)&lt;=AsOfDate,EDATE($D10,Milestones!$AA$107)&gt;=SchemeStart,IF($X10=0,$AD10,IF(AND($Z10&lt;&gt;"",EDATE($D10,Milestones!$AA$107)&gt;=$Z10),$AC10,IF(AND($Y10&lt;&gt;"",EDATE($D10,Milestones!$AA$107)&gt;=$Y10),$AB10,$AA10)))=Milestones!$AB$107),UPPER(TEXT(EDATE($D10,Milestones!$AA$107),"dd mmm yy"))&amp;" "&amp;Milestones!$AB$107&amp;" "&amp;IF(AND(Milestones!$AB$107="FT",Milestones!$AA$107=FT_Y5,EDATE($D10,Milestones!$AA$107)&lt;PolicyEff),1,Milestones!$AC$107)&amp;";  ","")&amp;IF(AND(EDATE($D10,Milestones!$AA$108)&lt;=AsOfDate,EDATE($D10,Milestones!$AA$108)&gt;=SchemeStart,IF($X10=0,$AD10,IF(AND($Z10&lt;&gt;"",EDATE($D10,Milestones!$AA$108)&gt;=$Z10),$AC10,IF(AND($Y10&lt;&gt;"",EDATE($D10,Milestones!$AA$108)&gt;=$Y10),$AB10,$AA10)))=Milestones!$AB$108),UPPER(TEXT(EDATE($D10,Milestones!$AA$108),"dd mmm yy"))&amp;" "&amp;Milestones!$AB$108&amp;" "&amp;IF(AND(Milestones!$AB$108="FT",Milestones!$AA$108=FT_Y5,EDATE($D10,Milestones!$AA$108)&lt;PolicyEff),1,Milestones!$AC$108)&amp;";  ","")&amp;IF(AND(EDATE($D10,Milestones!$AA$109)&lt;=AsOfDate,EDATE($D10,Milestones!$AA$109)&gt;=SchemeStart,IF($X10=0,$AD10,IF(AND($Z10&lt;&gt;"",EDATE($D10,Milestones!$AA$109)&gt;=$Z10),$AC10,IF(AND($Y10&lt;&gt;"",EDATE($D10,Milestones!$AA$109)&gt;=$Y10),$AB10,$AA10)))=Milestones!$AB$109),UPPER(TEXT(EDATE($D10,Milestones!$AA$109),"dd mmm yy"))&amp;" "&amp;Milestones!$AB$109&amp;" "&amp;IF(AND(Milestones!$AB$109="FT",Milestones!$AA$109=FT_Y5,EDATE($D10,Milestones!$AA$109)&lt;PolicyEff),1,Milestones!$AC$109)&amp;";  ","")&amp;IF(AND(EDATE($D10,Milestones!$AA$110)&lt;=AsOfDate,EDATE($D10,Milestones!$AA$110)&gt;=SchemeStart,IF($X10=0,$AD10,IF(AND($Z10&lt;&gt;"",EDATE($D10,Milestones!$AA$110)&gt;=$Z10),$AC10,IF(AND($Y10&lt;&gt;"",EDATE($D10,Milestones!$AA$110)&gt;=$Y10),$AB10,$AA10)))=Milestones!$AB$110),UPPER(TEXT(EDATE($D10,Milestones!$AA$110),"dd mmm yy"))&amp;" "&amp;Milestones!$AB$110&amp;" "&amp;IF(AND(Milestones!$AB$110="FT",Milestones!$AA$110=FT_Y5,EDATE($D10,Milestones!$AA$110)&lt;PolicyEff),1,Milestones!$AC$110)&amp;";  ","")&amp;IF(AND(EDATE($D10,Milestones!$AA$111)&lt;=AsOfDate,EDATE($D10,Milestones!$AA$111)&gt;=SchemeStart,IF($X10=0,$AD10,IF(AND($Z10&lt;&gt;"",EDATE($D10,Milestones!$AA$111)&gt;=$Z10),$AC10,IF(AND($Y10&lt;&gt;"",EDATE($D10,Milestones!$AA$111)&gt;=$Y10),$AB10,$AA10)))=Milestones!$AB$111),UPPER(TEXT(EDATE($D10,Milestones!$AA$111),"dd mmm yy"))&amp;" "&amp;Milestones!$AB$111&amp;" "&amp;IF(AND(Milestones!$AB$111="FT",Milestones!$AA$111=FT_Y5,EDATE($D10,Milestones!$AA$111)&lt;PolicyEff),1,Milestones!$AC$111)&amp;";  ","")&amp;IF(AND(EDATE($D10,Milestones!$AA$112)&lt;=AsOfDate,EDATE($D10,Milestones!$AA$112)&gt;=SchemeStart,IF($X10=0,$AD10,IF(AND($Z10&lt;&gt;"",EDATE($D10,Milestones!$AA$112)&gt;=$Z10),$AC10,IF(AND($Y10&lt;&gt;"",EDATE($D10,Milestones!$AA$112)&gt;=$Y10),$AB10,$AA10)))=Milestones!$AB$112),UPPER(TEXT(EDATE($D10,Milestones!$AA$112),"dd mmm yy"))&amp;" "&amp;Milestones!$AB$112&amp;" "&amp;IF(AND(Milestones!$AB$112="FT",Milestones!$AA$112=FT_Y5,EDATE($D10,Milestones!$AA$112)&lt;PolicyEff),1,Milestones!$AC$112)&amp;";  ","")&amp;IF(AND(EDATE($D10,Milestones!$AA$113)&lt;=AsOfDate,EDATE($D10,Milestones!$AA$113)&gt;=SchemeStart,IF($X10=0,$AD10,IF(AND($Z10&lt;&gt;"",EDATE($D10,Milestones!$AA$113)&gt;=$Z10),$AC10,IF(AND($Y10&lt;&gt;"",EDATE($D10,Milestones!$AA$113)&gt;=$Y10),$AB10,$AA10)))=Milestones!$AB$113),UPPER(TEXT(EDATE($D10,Milestones!$AA$113),"dd mmm yy"))&amp;" "&amp;Milestones!$AB$113&amp;" "&amp;IF(AND(Milestones!$AB$113="FT",Milestones!$AA$113=FT_Y5,EDATE($D10,Milestones!$AA$113)&lt;PolicyEff),1,Milestones!$AC$113)&amp;";  ","")&amp;IF(AND(EDATE($D10,Milestones!$AA$114)&lt;=AsOfDate,EDATE($D10,Milestones!$AA$114)&gt;=SchemeStart,IF($X10=0,$AD10,IF(AND($Z10&lt;&gt;"",EDATE($D10,Milestones!$AA$114)&gt;=$Z10),$AC10,IF(AND($Y10&lt;&gt;"",EDATE($D10,Milestones!$AA$114)&gt;=$Y10),$AB10,$AA10)))=Milestones!$AB$114),UPPER(TEXT(EDATE($D10,Milestones!$AA$114),"dd mmm yy"))&amp;" "&amp;Milestones!$AB$114&amp;" "&amp;IF(AND(Milestones!$AB$114="FT",Milestones!$AA$114=FT_Y5,EDATE($D10,Milestones!$AA$114)&lt;PolicyEff),1,Milestones!$AC$114)&amp;";  ","")&amp;IF(AND(EDATE($D10,Milestones!$AA$115)&lt;=AsOfDate,EDATE($D10,Milestones!$AA$115)&gt;=SchemeStart,IF($X10=0,$AD10,IF(AND($Z10&lt;&gt;"",EDATE($D10,Milestones!$AA$115)&gt;=$Z10),$AC10,IF(AND($Y10&lt;&gt;"",EDATE($D10,Milestones!$AA$115)&gt;=$Y10),$AB10,$AA10)))=Milestones!$AB$115),UPPER(TEXT(EDATE($D10,Milestones!$AA$115),"dd mmm yy"))&amp;" "&amp;Milestones!$AB$115&amp;" "&amp;IF(AND(Milestones!$AB$115="FT",Milestones!$AA$115=FT_Y5,EDATE($D10,Milestones!$AA$115)&lt;PolicyEff),1,Milestones!$AC$115)&amp;";  ",""))</f>
        <v/>
      </c>
      <c r="Q10" s="0" t="str">
        <f aca="false">IF(OR($A10="",$D10=""),"",IF(AND(EDATE($D10,Milestones!$AA$116)&lt;=AsOfDate,EDATE($D10,Milestones!$AA$116)&gt;=SchemeStart,IF($X10=0,$AD10,IF(AND($Z10&lt;&gt;"",EDATE($D10,Milestones!$AA$116)&gt;=$Z10),$AC10,IF(AND($Y10&lt;&gt;"",EDATE($D10,Milestones!$AA$116)&gt;=$Y10),$AB10,$AA10)))=Milestones!$AB$116),UPPER(TEXT(EDATE($D10,Milestones!$AA$116),"dd mmm yy"))&amp;" "&amp;Milestones!$AB$116&amp;" "&amp;IF(AND(Milestones!$AB$116="FT",Milestones!$AA$116=FT_Y5,EDATE($D10,Milestones!$AA$116)&lt;PolicyEff),1,Milestones!$AC$116)&amp;";  ","")&amp;IF(AND(EDATE($D10,Milestones!$AA$117)&lt;=AsOfDate,EDATE($D10,Milestones!$AA$117)&gt;=SchemeStart,IF($X10=0,$AD10,IF(AND($Z10&lt;&gt;"",EDATE($D10,Milestones!$AA$117)&gt;=$Z10),$AC10,IF(AND($Y10&lt;&gt;"",EDATE($D10,Milestones!$AA$117)&gt;=$Y10),$AB10,$AA10)))=Milestones!$AB$117),UPPER(TEXT(EDATE($D10,Milestones!$AA$117),"dd mmm yy"))&amp;" "&amp;Milestones!$AB$117&amp;" "&amp;IF(AND(Milestones!$AB$117="FT",Milestones!$AA$117=FT_Y5,EDATE($D10,Milestones!$AA$117)&lt;PolicyEff),1,Milestones!$AC$117)&amp;";  ","")&amp;IF(AND(EDATE($D10,Milestones!$AA$118)&lt;=AsOfDate,EDATE($D10,Milestones!$AA$118)&gt;=SchemeStart,IF($X10=0,$AD10,IF(AND($Z10&lt;&gt;"",EDATE($D10,Milestones!$AA$118)&gt;=$Z10),$AC10,IF(AND($Y10&lt;&gt;"",EDATE($D10,Milestones!$AA$118)&gt;=$Y10),$AB10,$AA10)))=Milestones!$AB$118),UPPER(TEXT(EDATE($D10,Milestones!$AA$118),"dd mmm yy"))&amp;" "&amp;Milestones!$AB$118&amp;" "&amp;IF(AND(Milestones!$AB$118="FT",Milestones!$AA$118=FT_Y5,EDATE($D10,Milestones!$AA$118)&lt;PolicyEff),1,Milestones!$AC$118)&amp;";  ","")&amp;IF(AND(EDATE($D10,Milestones!$AA$119)&lt;=AsOfDate,EDATE($D10,Milestones!$AA$119)&gt;=SchemeStart,IF($X10=0,$AD10,IF(AND($Z10&lt;&gt;"",EDATE($D10,Milestones!$AA$119)&gt;=$Z10),$AC10,IF(AND($Y10&lt;&gt;"",EDATE($D10,Milestones!$AA$119)&gt;=$Y10),$AB10,$AA10)))=Milestones!$AB$119),UPPER(TEXT(EDATE($D10,Milestones!$AA$119),"dd mmm yy"))&amp;" "&amp;Milestones!$AB$119&amp;" "&amp;IF(AND(Milestones!$AB$119="FT",Milestones!$AA$119=FT_Y5,EDATE($D10,Milestones!$AA$119)&lt;PolicyEff),1,Milestones!$AC$119)&amp;";  ","")&amp;IF(AND(EDATE($D10,Milestones!$AA$120)&lt;=AsOfDate,EDATE($D10,Milestones!$AA$120)&gt;=SchemeStart,IF($X10=0,$AD10,IF(AND($Z10&lt;&gt;"",EDATE($D10,Milestones!$AA$120)&gt;=$Z10),$AC10,IF(AND($Y10&lt;&gt;"",EDATE($D10,Milestones!$AA$120)&gt;=$Y10),$AB10,$AA10)))=Milestones!$AB$120),UPPER(TEXT(EDATE($D10,Milestones!$AA$120),"dd mmm yy"))&amp;" "&amp;Milestones!$AB$120&amp;" "&amp;IF(AND(Milestones!$AB$120="FT",Milestones!$AA$120=FT_Y5,EDATE($D10,Milestones!$AA$120)&lt;PolicyEff),1,Milestones!$AC$120)&amp;";  ","")&amp;IF(AND(EDATE($D10,Milestones!$AA$121)&lt;=AsOfDate,EDATE($D10,Milestones!$AA$121)&gt;=SchemeStart,IF($X10=0,$AD10,IF(AND($Z10&lt;&gt;"",EDATE($D10,Milestones!$AA$121)&gt;=$Z10),$AC10,IF(AND($Y10&lt;&gt;"",EDATE($D10,Milestones!$AA$121)&gt;=$Y10),$AB10,$AA10)))=Milestones!$AB$121),UPPER(TEXT(EDATE($D10,Milestones!$AA$121),"dd mmm yy"))&amp;" "&amp;Milestones!$AB$121&amp;" "&amp;IF(AND(Milestones!$AB$121="FT",Milestones!$AA$121=FT_Y5,EDATE($D10,Milestones!$AA$121)&lt;PolicyEff),1,Milestones!$AC$121)&amp;";  ","")&amp;IF(AND(EDATE($D10,Milestones!$AA$122)&lt;=AsOfDate,EDATE($D10,Milestones!$AA$122)&gt;=SchemeStart,IF($X10=0,$AD10,IF(AND($Z10&lt;&gt;"",EDATE($D10,Milestones!$AA$122)&gt;=$Z10),$AC10,IF(AND($Y10&lt;&gt;"",EDATE($D10,Milestones!$AA$122)&gt;=$Y10),$AB10,$AA10)))=Milestones!$AB$122),UPPER(TEXT(EDATE($D10,Milestones!$AA$122),"dd mmm yy"))&amp;" "&amp;Milestones!$AB$122&amp;" "&amp;IF(AND(Milestones!$AB$122="FT",Milestones!$AA$122=FT_Y5,EDATE($D10,Milestones!$AA$122)&lt;PolicyEff),1,Milestones!$AC$122)&amp;";  ","")&amp;IF(AND(EDATE($D10,Milestones!$AA$123)&lt;=AsOfDate,EDATE($D10,Milestones!$AA$123)&gt;=SchemeStart,IF($X10=0,$AD10,IF(AND($Z10&lt;&gt;"",EDATE($D10,Milestones!$AA$123)&gt;=$Z10),$AC10,IF(AND($Y10&lt;&gt;"",EDATE($D10,Milestones!$AA$123)&gt;=$Y10),$AB10,$AA10)))=Milestones!$AB$123),UPPER(TEXT(EDATE($D10,Milestones!$AA$123),"dd mmm yy"))&amp;" "&amp;Milestones!$AB$123&amp;" "&amp;IF(AND(Milestones!$AB$123="FT",Milestones!$AA$123=FT_Y5,EDATE($D10,Milestones!$AA$123)&lt;PolicyEff),1,Milestones!$AC$123)&amp;";  ","")&amp;IF(AND(EDATE($D10,Milestones!$AA$124)&lt;=AsOfDate,EDATE($D10,Milestones!$AA$124)&gt;=SchemeStart,IF($X10=0,$AD10,IF(AND($Z10&lt;&gt;"",EDATE($D10,Milestones!$AA$124)&gt;=$Z10),$AC10,IF(AND($Y10&lt;&gt;"",EDATE($D10,Milestones!$AA$124)&gt;=$Y10),$AB10,$AA10)))=Milestones!$AB$124),UPPER(TEXT(EDATE($D10,Milestones!$AA$124),"dd mmm yy"))&amp;" "&amp;Milestones!$AB$124&amp;" "&amp;IF(AND(Milestones!$AB$124="FT",Milestones!$AA$124=FT_Y5,EDATE($D10,Milestones!$AA$124)&lt;PolicyEff),1,Milestones!$AC$124)&amp;";  ","")&amp;IF(AND(EDATE($D10,Milestones!$AA$125)&lt;=AsOfDate,EDATE($D10,Milestones!$AA$125)&gt;=SchemeStart,IF($X10=0,$AD10,IF(AND($Z10&lt;&gt;"",EDATE($D10,Milestones!$AA$125)&gt;=$Z10),$AC10,IF(AND($Y10&lt;&gt;"",EDATE($D10,Milestones!$AA$125)&gt;=$Y10),$AB10,$AA10)))=Milestones!$AB$125),UPPER(TEXT(EDATE($D10,Milestones!$AA$125),"dd mmm yy"))&amp;" "&amp;Milestones!$AB$125&amp;" "&amp;IF(AND(Milestones!$AB$125="FT",Milestones!$AA$125=FT_Y5,EDATE($D10,Milestones!$AA$125)&lt;PolicyEff),1,Milestones!$AC$125)&amp;";  ","")&amp;IF(AND(EDATE($D10,Milestones!$AA$126)&lt;=AsOfDate,EDATE($D10,Milestones!$AA$126)&gt;=SchemeStart,IF($X10=0,$AD10,IF(AND($Z10&lt;&gt;"",EDATE($D10,Milestones!$AA$126)&gt;=$Z10),$AC10,IF(AND($Y10&lt;&gt;"",EDATE($D10,Milestones!$AA$126)&gt;=$Y10),$AB10,$AA10)))=Milestones!$AB$126),UPPER(TEXT(EDATE($D10,Milestones!$AA$126),"dd mmm yy"))&amp;" "&amp;Milestones!$AB$126&amp;" "&amp;IF(AND(Milestones!$AB$126="FT",Milestones!$AA$126=FT_Y5,EDATE($D10,Milestones!$AA$126)&lt;PolicyEff),1,Milestones!$AC$126)&amp;";  ","")&amp;IF(AND(EDATE($D10,Milestones!$AA$127)&lt;=AsOfDate,EDATE($D10,Milestones!$AA$127)&gt;=SchemeStart,IF($X10=0,$AD10,IF(AND($Z10&lt;&gt;"",EDATE($D10,Milestones!$AA$127)&gt;=$Z10),$AC10,IF(AND($Y10&lt;&gt;"",EDATE($D10,Milestones!$AA$127)&gt;=$Y10),$AB10,$AA10)))=Milestones!$AB$127),UPPER(TEXT(EDATE($D10,Milestones!$AA$127),"dd mmm yy"))&amp;" "&amp;Milestones!$AB$127&amp;" "&amp;IF(AND(Milestones!$AB$127="FT",Milestones!$AA$127=FT_Y5,EDATE($D10,Milestones!$AA$127)&lt;PolicyEff),1,Milestones!$AC$127)&amp;";  ",""))</f>
        <v/>
      </c>
      <c r="R10" s="0" t="str">
        <f aca="false">IF(OR($A10="",$D10=""),"",IF(AND(EDATE($D10,Milestones!$AA$128)&lt;=AsOfDate,EDATE($D10,Milestones!$AA$128)&gt;=SchemeStart,IF($X10=0,$AD10,IF(AND($Z10&lt;&gt;"",EDATE($D10,Milestones!$AA$128)&gt;=$Z10),$AC10,IF(AND($Y10&lt;&gt;"",EDATE($D10,Milestones!$AA$128)&gt;=$Y10),$AB10,$AA10)))=Milestones!$AB$128),UPPER(TEXT(EDATE($D10,Milestones!$AA$128),"dd mmm yy"))&amp;" "&amp;Milestones!$AB$128&amp;" "&amp;IF(AND(Milestones!$AB$128="FT",Milestones!$AA$128=FT_Y5,EDATE($D10,Milestones!$AA$128)&lt;PolicyEff),1,Milestones!$AC$128)&amp;";  ","")&amp;IF(AND(EDATE($D10,Milestones!$AA$129)&lt;=AsOfDate,EDATE($D10,Milestones!$AA$129)&gt;=SchemeStart,IF($X10=0,$AD10,IF(AND($Z10&lt;&gt;"",EDATE($D10,Milestones!$AA$129)&gt;=$Z10),$AC10,IF(AND($Y10&lt;&gt;"",EDATE($D10,Milestones!$AA$129)&gt;=$Y10),$AB10,$AA10)))=Milestones!$AB$129),UPPER(TEXT(EDATE($D10,Milestones!$AA$129),"dd mmm yy"))&amp;" "&amp;Milestones!$AB$129&amp;" "&amp;IF(AND(Milestones!$AB$129="FT",Milestones!$AA$129=FT_Y5,EDATE($D10,Milestones!$AA$129)&lt;PolicyEff),1,Milestones!$AC$129)&amp;";  ","")&amp;IF(AND(EDATE($D10,Milestones!$AA$130)&lt;=AsOfDate,EDATE($D10,Milestones!$AA$130)&gt;=SchemeStart,IF($X10=0,$AD10,IF(AND($Z10&lt;&gt;"",EDATE($D10,Milestones!$AA$130)&gt;=$Z10),$AC10,IF(AND($Y10&lt;&gt;"",EDATE($D10,Milestones!$AA$130)&gt;=$Y10),$AB10,$AA10)))=Milestones!$AB$130),UPPER(TEXT(EDATE($D10,Milestones!$AA$130),"dd mmm yy"))&amp;" "&amp;Milestones!$AB$130&amp;" "&amp;IF(AND(Milestones!$AB$130="FT",Milestones!$AA$130=FT_Y5,EDATE($D10,Milestones!$AA$130)&lt;PolicyEff),1,Milestones!$AC$130)&amp;";  ","")&amp;IF(AND(EDATE($D10,Milestones!$AA$131)&lt;=AsOfDate,EDATE($D10,Milestones!$AA$131)&gt;=SchemeStart,IF($X10=0,$AD10,IF(AND($Z10&lt;&gt;"",EDATE($D10,Milestones!$AA$131)&gt;=$Z10),$AC10,IF(AND($Y10&lt;&gt;"",EDATE($D10,Milestones!$AA$131)&gt;=$Y10),$AB10,$AA10)))=Milestones!$AB$131),UPPER(TEXT(EDATE($D10,Milestones!$AA$131),"dd mmm yy"))&amp;" "&amp;Milestones!$AB$131&amp;" "&amp;IF(AND(Milestones!$AB$131="FT",Milestones!$AA$131=FT_Y5,EDATE($D10,Milestones!$AA$131)&lt;PolicyEff),1,Milestones!$AC$131)&amp;";  ","")&amp;IF(AND(EDATE($D10,Milestones!$AA$132)&lt;=AsOfDate,EDATE($D10,Milestones!$AA$132)&gt;=SchemeStart,IF($X10=0,$AD10,IF(AND($Z10&lt;&gt;"",EDATE($D10,Milestones!$AA$132)&gt;=$Z10),$AC10,IF(AND($Y10&lt;&gt;"",EDATE($D10,Milestones!$AA$132)&gt;=$Y10),$AB10,$AA10)))=Milestones!$AB$132),UPPER(TEXT(EDATE($D10,Milestones!$AA$132),"dd mmm yy"))&amp;" "&amp;Milestones!$AB$132&amp;" "&amp;IF(AND(Milestones!$AB$132="FT",Milestones!$AA$132=FT_Y5,EDATE($D10,Milestones!$AA$132)&lt;PolicyEff),1,Milestones!$AC$132)&amp;";  ","")&amp;IF(AND(EDATE($D10,Milestones!$AA$133)&lt;=AsOfDate,EDATE($D10,Milestones!$AA$133)&gt;=SchemeStart,IF($X10=0,$AD10,IF(AND($Z10&lt;&gt;"",EDATE($D10,Milestones!$AA$133)&gt;=$Z10),$AC10,IF(AND($Y10&lt;&gt;"",EDATE($D10,Milestones!$AA$133)&gt;=$Y10),$AB10,$AA10)))=Milestones!$AB$133),UPPER(TEXT(EDATE($D10,Milestones!$AA$133),"dd mmm yy"))&amp;" "&amp;Milestones!$AB$133&amp;" "&amp;IF(AND(Milestones!$AB$133="FT",Milestones!$AA$133=FT_Y5,EDATE($D10,Milestones!$AA$133)&lt;PolicyEff),1,Milestones!$AC$133)&amp;";  ","")&amp;IF(AND(EDATE($D10,Milestones!$AA$134)&lt;=AsOfDate,EDATE($D10,Milestones!$AA$134)&gt;=SchemeStart,IF($X10=0,$AD10,IF(AND($Z10&lt;&gt;"",EDATE($D10,Milestones!$AA$134)&gt;=$Z10),$AC10,IF(AND($Y10&lt;&gt;"",EDATE($D10,Milestones!$AA$134)&gt;=$Y10),$AB10,$AA10)))=Milestones!$AB$134),UPPER(TEXT(EDATE($D10,Milestones!$AA$134),"dd mmm yy"))&amp;" "&amp;Milestones!$AB$134&amp;" "&amp;IF(AND(Milestones!$AB$134="FT",Milestones!$AA$134=FT_Y5,EDATE($D10,Milestones!$AA$134)&lt;PolicyEff),1,Milestones!$AC$134)&amp;";  ","")&amp;IF(AND(EDATE($D10,Milestones!$AA$135)&lt;=AsOfDate,EDATE($D10,Milestones!$AA$135)&gt;=SchemeStart,IF($X10=0,$AD10,IF(AND($Z10&lt;&gt;"",EDATE($D10,Milestones!$AA$135)&gt;=$Z10),$AC10,IF(AND($Y10&lt;&gt;"",EDATE($D10,Milestones!$AA$135)&gt;=$Y10),$AB10,$AA10)))=Milestones!$AB$135),UPPER(TEXT(EDATE($D10,Milestones!$AA$135),"dd mmm yy"))&amp;" "&amp;Milestones!$AB$135&amp;" "&amp;IF(AND(Milestones!$AB$135="FT",Milestones!$AA$135=FT_Y5,EDATE($D10,Milestones!$AA$135)&lt;PolicyEff),1,Milestones!$AC$135)&amp;";  ","")&amp;IF(AND(EDATE($D10,Milestones!$AA$136)&lt;=AsOfDate,EDATE($D10,Milestones!$AA$136)&gt;=SchemeStart,IF($X10=0,$AD10,IF(AND($Z10&lt;&gt;"",EDATE($D10,Milestones!$AA$136)&gt;=$Z10),$AC10,IF(AND($Y10&lt;&gt;"",EDATE($D10,Milestones!$AA$136)&gt;=$Y10),$AB10,$AA10)))=Milestones!$AB$136),UPPER(TEXT(EDATE($D10,Milestones!$AA$136),"dd mmm yy"))&amp;" "&amp;Milestones!$AB$136&amp;" "&amp;IF(AND(Milestones!$AB$136="FT",Milestones!$AA$136=FT_Y5,EDATE($D10,Milestones!$AA$136)&lt;PolicyEff),1,Milestones!$AC$136)&amp;";  ","")&amp;IF(AND(EDATE($D10,Milestones!$AA$137)&lt;=AsOfDate,EDATE($D10,Milestones!$AA$137)&gt;=SchemeStart,IF($X10=0,$AD10,IF(AND($Z10&lt;&gt;"",EDATE($D10,Milestones!$AA$137)&gt;=$Z10),$AC10,IF(AND($Y10&lt;&gt;"",EDATE($D10,Milestones!$AA$137)&gt;=$Y10),$AB10,$AA10)))=Milestones!$AB$137),UPPER(TEXT(EDATE($D10,Milestones!$AA$137),"dd mmm yy"))&amp;" "&amp;Milestones!$AB$137&amp;" "&amp;IF(AND(Milestones!$AB$137="FT",Milestones!$AA$137=FT_Y5,EDATE($D10,Milestones!$AA$137)&lt;PolicyEff),1,Milestones!$AC$137)&amp;";  ","")&amp;IF(AND(EDATE($D10,Milestones!$AA$138)&lt;=AsOfDate,EDATE($D10,Milestones!$AA$138)&gt;=SchemeStart,IF($X10=0,$AD10,IF(AND($Z10&lt;&gt;"",EDATE($D10,Milestones!$AA$138)&gt;=$Z10),$AC10,IF(AND($Y10&lt;&gt;"",EDATE($D10,Milestones!$AA$138)&gt;=$Y10),$AB10,$AA10)))=Milestones!$AB$138),UPPER(TEXT(EDATE($D10,Milestones!$AA$138),"dd mmm yy"))&amp;" "&amp;Milestones!$AB$138&amp;" "&amp;IF(AND(Milestones!$AB$138="FT",Milestones!$AA$138=FT_Y5,EDATE($D10,Milestones!$AA$138)&lt;PolicyEff),1,Milestones!$AC$138)&amp;";  ","")&amp;IF(AND(EDATE($D10,Milestones!$AA$139)&lt;=AsOfDate,EDATE($D10,Milestones!$AA$139)&gt;=SchemeStart,IF($X10=0,$AD10,IF(AND($Z10&lt;&gt;"",EDATE($D10,Milestones!$AA$139)&gt;=$Z10),$AC10,IF(AND($Y10&lt;&gt;"",EDATE($D10,Milestones!$AA$139)&gt;=$Y10),$AB10,$AA10)))=Milestones!$AB$139),UPPER(TEXT(EDATE($D10,Milestones!$AA$139),"dd mmm yy"))&amp;" "&amp;Milestones!$AB$139&amp;" "&amp;IF(AND(Milestones!$AB$139="FT",Milestones!$AA$139=FT_Y5,EDATE($D10,Milestones!$AA$139)&lt;PolicyEff),1,Milestones!$AC$139)&amp;";  ",""))</f>
        <v/>
      </c>
      <c r="S10" s="0" t="str">
        <f aca="false">IF(OR($A10="",$D10=""),"",IF(AND(EDATE($D10,Milestones!$AA$140)&lt;=AsOfDate,EDATE($D10,Milestones!$AA$140)&gt;=SchemeStart,IF($X10=0,$AD10,IF(AND($Z10&lt;&gt;"",EDATE($D10,Milestones!$AA$140)&gt;=$Z10),$AC10,IF(AND($Y10&lt;&gt;"",EDATE($D10,Milestones!$AA$140)&gt;=$Y10),$AB10,$AA10)))=Milestones!$AB$140),UPPER(TEXT(EDATE($D10,Milestones!$AA$140),"dd mmm yy"))&amp;" "&amp;Milestones!$AB$140&amp;" "&amp;IF(AND(Milestones!$AB$140="FT",Milestones!$AA$140=FT_Y5,EDATE($D10,Milestones!$AA$140)&lt;PolicyEff),1,Milestones!$AC$140)&amp;";  ","")&amp;IF(AND(EDATE($D10,Milestones!$AA$141)&lt;=AsOfDate,EDATE($D10,Milestones!$AA$141)&gt;=SchemeStart,IF($X10=0,$AD10,IF(AND($Z10&lt;&gt;"",EDATE($D10,Milestones!$AA$141)&gt;=$Z10),$AC10,IF(AND($Y10&lt;&gt;"",EDATE($D10,Milestones!$AA$141)&gt;=$Y10),$AB10,$AA10)))=Milestones!$AB$141),UPPER(TEXT(EDATE($D10,Milestones!$AA$141),"dd mmm yy"))&amp;" "&amp;Milestones!$AB$141&amp;" "&amp;IF(AND(Milestones!$AB$141="FT",Milestones!$AA$141=FT_Y5,EDATE($D10,Milestones!$AA$141)&lt;PolicyEff),1,Milestones!$AC$141)&amp;";  ","")&amp;IF(AND(EDATE($D10,Milestones!$AA$142)&lt;=AsOfDate,EDATE($D10,Milestones!$AA$142)&gt;=SchemeStart,IF($X10=0,$AD10,IF(AND($Z10&lt;&gt;"",EDATE($D10,Milestones!$AA$142)&gt;=$Z10),$AC10,IF(AND($Y10&lt;&gt;"",EDATE($D10,Milestones!$AA$142)&gt;=$Y10),$AB10,$AA10)))=Milestones!$AB$142),UPPER(TEXT(EDATE($D10,Milestones!$AA$142),"dd mmm yy"))&amp;" "&amp;Milestones!$AB$142&amp;" "&amp;IF(AND(Milestones!$AB$142="FT",Milestones!$AA$142=FT_Y5,EDATE($D10,Milestones!$AA$142)&lt;PolicyEff),1,Milestones!$AC$142)&amp;";  ","")&amp;IF(AND(EDATE($D10,Milestones!$AA$143)&lt;=AsOfDate,EDATE($D10,Milestones!$AA$143)&gt;=SchemeStart,IF($X10=0,$AD10,IF(AND($Z10&lt;&gt;"",EDATE($D10,Milestones!$AA$143)&gt;=$Z10),$AC10,IF(AND($Y10&lt;&gt;"",EDATE($D10,Milestones!$AA$143)&gt;=$Y10),$AB10,$AA10)))=Milestones!$AB$143),UPPER(TEXT(EDATE($D10,Milestones!$AA$143),"dd mmm yy"))&amp;" "&amp;Milestones!$AB$143&amp;" "&amp;IF(AND(Milestones!$AB$143="FT",Milestones!$AA$143=FT_Y5,EDATE($D10,Milestones!$AA$143)&lt;PolicyEff),1,Milestones!$AC$143)&amp;";  ","")&amp;IF(AND(EDATE($D10,Milestones!$AA$144)&lt;=AsOfDate,EDATE($D10,Milestones!$AA$144)&gt;=SchemeStart,IF($X10=0,$AD10,IF(AND($Z10&lt;&gt;"",EDATE($D10,Milestones!$AA$144)&gt;=$Z10),$AC10,IF(AND($Y10&lt;&gt;"",EDATE($D10,Milestones!$AA$144)&gt;=$Y10),$AB10,$AA10)))=Milestones!$AB$144),UPPER(TEXT(EDATE($D10,Milestones!$AA$144),"dd mmm yy"))&amp;" "&amp;Milestones!$AB$144&amp;" "&amp;IF(AND(Milestones!$AB$144="FT",Milestones!$AA$144=FT_Y5,EDATE($D10,Milestones!$AA$144)&lt;PolicyEff),1,Milestones!$AC$144)&amp;";  ","")&amp;IF(AND(EDATE($D10,Milestones!$AA$145)&lt;=AsOfDate,EDATE($D10,Milestones!$AA$145)&gt;=SchemeStart,IF($X10=0,$AD10,IF(AND($Z10&lt;&gt;"",EDATE($D10,Milestones!$AA$145)&gt;=$Z10),$AC10,IF(AND($Y10&lt;&gt;"",EDATE($D10,Milestones!$AA$145)&gt;=$Y10),$AB10,$AA10)))=Milestones!$AB$145),UPPER(TEXT(EDATE($D10,Milestones!$AA$145),"dd mmm yy"))&amp;" "&amp;Milestones!$AB$145&amp;" "&amp;IF(AND(Milestones!$AB$145="FT",Milestones!$AA$145=FT_Y5,EDATE($D10,Milestones!$AA$145)&lt;PolicyEff),1,Milestones!$AC$145)&amp;";  ","")&amp;IF(AND(EDATE($D10,Milestones!$AA$146)&lt;=AsOfDate,EDATE($D10,Milestones!$AA$146)&gt;=SchemeStart,IF($X10=0,$AD10,IF(AND($Z10&lt;&gt;"",EDATE($D10,Milestones!$AA$146)&gt;=$Z10),$AC10,IF(AND($Y10&lt;&gt;"",EDATE($D10,Milestones!$AA$146)&gt;=$Y10),$AB10,$AA10)))=Milestones!$AB$146),UPPER(TEXT(EDATE($D10,Milestones!$AA$146),"dd mmm yy"))&amp;" "&amp;Milestones!$AB$146&amp;" "&amp;IF(AND(Milestones!$AB$146="FT",Milestones!$AA$146=FT_Y5,EDATE($D10,Milestones!$AA$146)&lt;PolicyEff),1,Milestones!$AC$146)&amp;";  ","")&amp;IF(AND(EDATE($D10,Milestones!$AA$147)&lt;=AsOfDate,EDATE($D10,Milestones!$AA$147)&gt;=SchemeStart,IF($X10=0,$AD10,IF(AND($Z10&lt;&gt;"",EDATE($D10,Milestones!$AA$147)&gt;=$Z10),$AC10,IF(AND($Y10&lt;&gt;"",EDATE($D10,Milestones!$AA$147)&gt;=$Y10),$AB10,$AA10)))=Milestones!$AB$147),UPPER(TEXT(EDATE($D10,Milestones!$AA$147),"dd mmm yy"))&amp;" "&amp;Milestones!$AB$147&amp;" "&amp;IF(AND(Milestones!$AB$147="FT",Milestones!$AA$147=FT_Y5,EDATE($D10,Milestones!$AA$147)&lt;PolicyEff),1,Milestones!$AC$147)&amp;";  ","")&amp;IF(AND(EDATE($D10,Milestones!$AA$148)&lt;=AsOfDate,EDATE($D10,Milestones!$AA$148)&gt;=SchemeStart,IF($X10=0,$AD10,IF(AND($Z10&lt;&gt;"",EDATE($D10,Milestones!$AA$148)&gt;=$Z10),$AC10,IF(AND($Y10&lt;&gt;"",EDATE($D10,Milestones!$AA$148)&gt;=$Y10),$AB10,$AA10)))=Milestones!$AB$148),UPPER(TEXT(EDATE($D10,Milestones!$AA$148),"dd mmm yy"))&amp;" "&amp;Milestones!$AB$148&amp;" "&amp;IF(AND(Milestones!$AB$148="FT",Milestones!$AA$148=FT_Y5,EDATE($D10,Milestones!$AA$148)&lt;PolicyEff),1,Milestones!$AC$148)&amp;";  ","")&amp;IF(AND(EDATE($D10,Milestones!$AA$149)&lt;=AsOfDate,EDATE($D10,Milestones!$AA$149)&gt;=SchemeStart,IF($X10=0,$AD10,IF(AND($Z10&lt;&gt;"",EDATE($D10,Milestones!$AA$149)&gt;=$Z10),$AC10,IF(AND($Y10&lt;&gt;"",EDATE($D10,Milestones!$AA$149)&gt;=$Y10),$AB10,$AA10)))=Milestones!$AB$149),UPPER(TEXT(EDATE($D10,Milestones!$AA$149),"dd mmm yy"))&amp;" "&amp;Milestones!$AB$149&amp;" "&amp;IF(AND(Milestones!$AB$149="FT",Milestones!$AA$149=FT_Y5,EDATE($D10,Milestones!$AA$149)&lt;PolicyEff),1,Milestones!$AC$149)&amp;";  ","")&amp;IF(AND(EDATE($D10,Milestones!$AA$150)&lt;=AsOfDate,EDATE($D10,Milestones!$AA$150)&gt;=SchemeStart,IF($X10=0,$AD10,IF(AND($Z10&lt;&gt;"",EDATE($D10,Milestones!$AA$150)&gt;=$Z10),$AC10,IF(AND($Y10&lt;&gt;"",EDATE($D10,Milestones!$AA$150)&gt;=$Y10),$AB10,$AA10)))=Milestones!$AB$150),UPPER(TEXT(EDATE($D10,Milestones!$AA$150),"dd mmm yy"))&amp;" "&amp;Milestones!$AB$150&amp;" "&amp;IF(AND(Milestones!$AB$150="FT",Milestones!$AA$150=FT_Y5,EDATE($D10,Milestones!$AA$150)&lt;PolicyEff),1,Milestones!$AC$150)&amp;";  ","")&amp;IF(AND(EDATE($D10,Milestones!$AA$151)&lt;=AsOfDate,EDATE($D10,Milestones!$AA$151)&gt;=SchemeStart,IF($X10=0,$AD10,IF(AND($Z10&lt;&gt;"",EDATE($D10,Milestones!$AA$151)&gt;=$Z10),$AC10,IF(AND($Y10&lt;&gt;"",EDATE($D10,Milestones!$AA$151)&gt;=$Y10),$AB10,$AA10)))=Milestones!$AB$151),UPPER(TEXT(EDATE($D10,Milestones!$AA$151),"dd mmm yy"))&amp;" "&amp;Milestones!$AB$151&amp;" "&amp;IF(AND(Milestones!$AB$151="FT",Milestones!$AA$151=FT_Y5,EDATE($D10,Milestones!$AA$151)&lt;PolicyEff),1,Milestones!$AC$151)&amp;";  ",""))</f>
        <v/>
      </c>
      <c r="T10" s="0" t="str">
        <f aca="false">IF(OR($A10="",$D10=""),"",IF(AND(EDATE($D10,Milestones!$AA$152)&lt;=AsOfDate,EDATE($D10,Milestones!$AA$152)&gt;=SchemeStart,IF($X10=0,$AD10,IF(AND($Z10&lt;&gt;"",EDATE($D10,Milestones!$AA$152)&gt;=$Z10),$AC10,IF(AND($Y10&lt;&gt;"",EDATE($D10,Milestones!$AA$152)&gt;=$Y10),$AB10,$AA10)))=Milestones!$AB$152),UPPER(TEXT(EDATE($D10,Milestones!$AA$152),"dd mmm yy"))&amp;" "&amp;Milestones!$AB$152&amp;" "&amp;IF(AND(Milestones!$AB$152="FT",Milestones!$AA$152=FT_Y5,EDATE($D10,Milestones!$AA$152)&lt;PolicyEff),1,Milestones!$AC$152)&amp;";  ","")&amp;IF(AND(EDATE($D10,Milestones!$AA$153)&lt;=AsOfDate,EDATE($D10,Milestones!$AA$153)&gt;=SchemeStart,IF($X10=0,$AD10,IF(AND($Z10&lt;&gt;"",EDATE($D10,Milestones!$AA$153)&gt;=$Z10),$AC10,IF(AND($Y10&lt;&gt;"",EDATE($D10,Milestones!$AA$153)&gt;=$Y10),$AB10,$AA10)))=Milestones!$AB$153),UPPER(TEXT(EDATE($D10,Milestones!$AA$153),"dd mmm yy"))&amp;" "&amp;Milestones!$AB$153&amp;" "&amp;IF(AND(Milestones!$AB$153="FT",Milestones!$AA$153=FT_Y5,EDATE($D10,Milestones!$AA$153)&lt;PolicyEff),1,Milestones!$AC$153)&amp;";  ","")&amp;IF(AND(EDATE($D10,Milestones!$AA$154)&lt;=AsOfDate,EDATE($D10,Milestones!$AA$154)&gt;=SchemeStart,IF($X10=0,$AD10,IF(AND($Z10&lt;&gt;"",EDATE($D10,Milestones!$AA$154)&gt;=$Z10),$AC10,IF(AND($Y10&lt;&gt;"",EDATE($D10,Milestones!$AA$154)&gt;=$Y10),$AB10,$AA10)))=Milestones!$AB$154),UPPER(TEXT(EDATE($D10,Milestones!$AA$154),"dd mmm yy"))&amp;" "&amp;Milestones!$AB$154&amp;" "&amp;IF(AND(Milestones!$AB$154="FT",Milestones!$AA$154=FT_Y5,EDATE($D10,Milestones!$AA$154)&lt;PolicyEff),1,Milestones!$AC$154)&amp;";  ","")&amp;IF(AND(EDATE($D10,Milestones!$AA$155)&lt;=AsOfDate,EDATE($D10,Milestones!$AA$155)&gt;=SchemeStart,IF($X10=0,$AD10,IF(AND($Z10&lt;&gt;"",EDATE($D10,Milestones!$AA$155)&gt;=$Z10),$AC10,IF(AND($Y10&lt;&gt;"",EDATE($D10,Milestones!$AA$155)&gt;=$Y10),$AB10,$AA10)))=Milestones!$AB$155),UPPER(TEXT(EDATE($D10,Milestones!$AA$155),"dd mmm yy"))&amp;" "&amp;Milestones!$AB$155&amp;" "&amp;IF(AND(Milestones!$AB$155="FT",Milestones!$AA$155=FT_Y5,EDATE($D10,Milestones!$AA$155)&lt;PolicyEff),1,Milestones!$AC$155)&amp;";  ","")&amp;IF(AND(EDATE($D10,Milestones!$AA$156)&lt;=AsOfDate,EDATE($D10,Milestones!$AA$156)&gt;=SchemeStart,IF($X10=0,$AD10,IF(AND($Z10&lt;&gt;"",EDATE($D10,Milestones!$AA$156)&gt;=$Z10),$AC10,IF(AND($Y10&lt;&gt;"",EDATE($D10,Milestones!$AA$156)&gt;=$Y10),$AB10,$AA10)))=Milestones!$AB$156),UPPER(TEXT(EDATE($D10,Milestones!$AA$156),"dd mmm yy"))&amp;" "&amp;Milestones!$AB$156&amp;" "&amp;IF(AND(Milestones!$AB$156="FT",Milestones!$AA$156=FT_Y5,EDATE($D10,Milestones!$AA$156)&lt;PolicyEff),1,Milestones!$AC$156)&amp;";  ","")&amp;IF(AND(EDATE($D10,Milestones!$AA$157)&lt;=AsOfDate,EDATE($D10,Milestones!$AA$157)&gt;=SchemeStart,IF($X10=0,$AD10,IF(AND($Z10&lt;&gt;"",EDATE($D10,Milestones!$AA$157)&gt;=$Z10),$AC10,IF(AND($Y10&lt;&gt;"",EDATE($D10,Milestones!$AA$157)&gt;=$Y10),$AB10,$AA10)))=Milestones!$AB$157),UPPER(TEXT(EDATE($D10,Milestones!$AA$157),"dd mmm yy"))&amp;" "&amp;Milestones!$AB$157&amp;" "&amp;IF(AND(Milestones!$AB$157="FT",Milestones!$AA$157=FT_Y5,EDATE($D10,Milestones!$AA$157)&lt;PolicyEff),1,Milestones!$AC$157)&amp;";  ","")&amp;IF(AND(EDATE($D10,Milestones!$AA$158)&lt;=AsOfDate,EDATE($D10,Milestones!$AA$158)&gt;=SchemeStart,IF($X10=0,$AD10,IF(AND($Z10&lt;&gt;"",EDATE($D10,Milestones!$AA$158)&gt;=$Z10),$AC10,IF(AND($Y10&lt;&gt;"",EDATE($D10,Milestones!$AA$158)&gt;=$Y10),$AB10,$AA10)))=Milestones!$AB$158),UPPER(TEXT(EDATE($D10,Milestones!$AA$158),"dd mmm yy"))&amp;" "&amp;Milestones!$AB$158&amp;" "&amp;IF(AND(Milestones!$AB$158="FT",Milestones!$AA$158=FT_Y5,EDATE($D10,Milestones!$AA$158)&lt;PolicyEff),1,Milestones!$AC$158)&amp;";  ","")&amp;IF(AND(EDATE($D10,Milestones!$AA$159)&lt;=AsOfDate,EDATE($D10,Milestones!$AA$159)&gt;=SchemeStart,IF($X10=0,$AD10,IF(AND($Z10&lt;&gt;"",EDATE($D10,Milestones!$AA$159)&gt;=$Z10),$AC10,IF(AND($Y10&lt;&gt;"",EDATE($D10,Milestones!$AA$159)&gt;=$Y10),$AB10,$AA10)))=Milestones!$AB$159),UPPER(TEXT(EDATE($D10,Milestones!$AA$159),"dd mmm yy"))&amp;" "&amp;Milestones!$AB$159&amp;" "&amp;IF(AND(Milestones!$AB$159="FT",Milestones!$AA$159=FT_Y5,EDATE($D10,Milestones!$AA$159)&lt;PolicyEff),1,Milestones!$AC$159)&amp;";  ","")&amp;IF(AND(EDATE($D10,Milestones!$AA$160)&lt;=AsOfDate,EDATE($D10,Milestones!$AA$160)&gt;=SchemeStart,IF($X10=0,$AD10,IF(AND($Z10&lt;&gt;"",EDATE($D10,Milestones!$AA$160)&gt;=$Z10),$AC10,IF(AND($Y10&lt;&gt;"",EDATE($D10,Milestones!$AA$160)&gt;=$Y10),$AB10,$AA10)))=Milestones!$AB$160),UPPER(TEXT(EDATE($D10,Milestones!$AA$160),"dd mmm yy"))&amp;" "&amp;Milestones!$AB$160&amp;" "&amp;IF(AND(Milestones!$AB$160="FT",Milestones!$AA$160=FT_Y5,EDATE($D10,Milestones!$AA$160)&lt;PolicyEff),1,Milestones!$AC$160)&amp;";  ","")&amp;IF(AND(EDATE($D10,Milestones!$AA$161)&lt;=AsOfDate,EDATE($D10,Milestones!$AA$161)&gt;=SchemeStart,IF($X10=0,$AD10,IF(AND($Z10&lt;&gt;"",EDATE($D10,Milestones!$AA$161)&gt;=$Z10),$AC10,IF(AND($Y10&lt;&gt;"",EDATE($D10,Milestones!$AA$161)&gt;=$Y10),$AB10,$AA10)))=Milestones!$AB$161),UPPER(TEXT(EDATE($D10,Milestones!$AA$161),"dd mmm yy"))&amp;" "&amp;Milestones!$AB$161&amp;" "&amp;IF(AND(Milestones!$AB$161="FT",Milestones!$AA$161=FT_Y5,EDATE($D10,Milestones!$AA$161)&lt;PolicyEff),1,Milestones!$AC$161)&amp;";  ","")&amp;IF(AND(EDATE($D10,Milestones!$AA$162)&lt;=AsOfDate,EDATE($D10,Milestones!$AA$162)&gt;=SchemeStart,IF($X10=0,$AD10,IF(AND($Z10&lt;&gt;"",EDATE($D10,Milestones!$AA$162)&gt;=$Z10),$AC10,IF(AND($Y10&lt;&gt;"",EDATE($D10,Milestones!$AA$162)&gt;=$Y10),$AB10,$AA10)))=Milestones!$AB$162),UPPER(TEXT(EDATE($D10,Milestones!$AA$162),"dd mmm yy"))&amp;" "&amp;Milestones!$AB$162&amp;" "&amp;IF(AND(Milestones!$AB$162="FT",Milestones!$AA$162=FT_Y5,EDATE($D10,Milestones!$AA$162)&lt;PolicyEff),1,Milestones!$AC$162)&amp;";  ","")&amp;IF(AND(EDATE($D10,Milestones!$AA$163)&lt;=AsOfDate,EDATE($D10,Milestones!$AA$163)&gt;=SchemeStart,IF($X10=0,$AD10,IF(AND($Z10&lt;&gt;"",EDATE($D10,Milestones!$AA$163)&gt;=$Z10),$AC10,IF(AND($Y10&lt;&gt;"",EDATE($D10,Milestones!$AA$163)&gt;=$Y10),$AB10,$AA10)))=Milestones!$AB$163),UPPER(TEXT(EDATE($D10,Milestones!$AA$163),"dd mmm yy"))&amp;" "&amp;Milestones!$AB$163&amp;" "&amp;IF(AND(Milestones!$AB$163="FT",Milestones!$AA$163=FT_Y5,EDATE($D10,Milestones!$AA$163)&lt;PolicyEff),1,Milestones!$AC$163)&amp;";  ",""))</f>
        <v/>
      </c>
      <c r="U10" s="0" t="str">
        <f aca="false">IF(OR($A10="",$D10=""),"",IF(AND(EDATE($D10,Milestones!$AA$164)&lt;=AsOfDate,EDATE($D10,Milestones!$AA$164)&gt;=SchemeStart,IF($X10=0,$AD10,IF(AND($Z10&lt;&gt;"",EDATE($D10,Milestones!$AA$164)&gt;=$Z10),$AC10,IF(AND($Y10&lt;&gt;"",EDATE($D10,Milestones!$AA$164)&gt;=$Y10),$AB10,$AA10)))=Milestones!$AB$164),UPPER(TEXT(EDATE($D10,Milestones!$AA$164),"dd mmm yy"))&amp;" "&amp;Milestones!$AB$164&amp;" "&amp;IF(AND(Milestones!$AB$164="FT",Milestones!$AA$164=FT_Y5,EDATE($D10,Milestones!$AA$164)&lt;PolicyEff),1,Milestones!$AC$164)&amp;";  ","")&amp;IF(AND(EDATE($D10,Milestones!$AA$165)&lt;=AsOfDate,EDATE($D10,Milestones!$AA$165)&gt;=SchemeStart,IF($X10=0,$AD10,IF(AND($Z10&lt;&gt;"",EDATE($D10,Milestones!$AA$165)&gt;=$Z10),$AC10,IF(AND($Y10&lt;&gt;"",EDATE($D10,Milestones!$AA$165)&gt;=$Y10),$AB10,$AA10)))=Milestones!$AB$165),UPPER(TEXT(EDATE($D10,Milestones!$AA$165),"dd mmm yy"))&amp;" "&amp;Milestones!$AB$165&amp;" "&amp;IF(AND(Milestones!$AB$165="FT",Milestones!$AA$165=FT_Y5,EDATE($D10,Milestones!$AA$165)&lt;PolicyEff),1,Milestones!$AC$165)&amp;";  ","")&amp;IF(AND(EDATE($D10,Milestones!$AA$166)&lt;=AsOfDate,EDATE($D10,Milestones!$AA$166)&gt;=SchemeStart,IF($X10=0,$AD10,IF(AND($Z10&lt;&gt;"",EDATE($D10,Milestones!$AA$166)&gt;=$Z10),$AC10,IF(AND($Y10&lt;&gt;"",EDATE($D10,Milestones!$AA$166)&gt;=$Y10),$AB10,$AA10)))=Milestones!$AB$166),UPPER(TEXT(EDATE($D10,Milestones!$AA$166),"dd mmm yy"))&amp;" "&amp;Milestones!$AB$166&amp;" "&amp;IF(AND(Milestones!$AB$166="FT",Milestones!$AA$166=FT_Y5,EDATE($D10,Milestones!$AA$166)&lt;PolicyEff),1,Milestones!$AC$166)&amp;";  ","")&amp;IF(AND(EDATE($D10,Milestones!$AA$167)&lt;=AsOfDate,EDATE($D10,Milestones!$AA$167)&gt;=SchemeStart,IF($X10=0,$AD10,IF(AND($Z10&lt;&gt;"",EDATE($D10,Milestones!$AA$167)&gt;=$Z10),$AC10,IF(AND($Y10&lt;&gt;"",EDATE($D10,Milestones!$AA$167)&gt;=$Y10),$AB10,$AA10)))=Milestones!$AB$167),UPPER(TEXT(EDATE($D10,Milestones!$AA$167),"dd mmm yy"))&amp;" "&amp;Milestones!$AB$167&amp;" "&amp;IF(AND(Milestones!$AB$167="FT",Milestones!$AA$167=FT_Y5,EDATE($D10,Milestones!$AA$167)&lt;PolicyEff),1,Milestones!$AC$167)&amp;";  ","")&amp;IF(AND(EDATE($D10,Milestones!$AA$168)&lt;=AsOfDate,EDATE($D10,Milestones!$AA$168)&gt;=SchemeStart,IF($X10=0,$AD10,IF(AND($Z10&lt;&gt;"",EDATE($D10,Milestones!$AA$168)&gt;=$Z10),$AC10,IF(AND($Y10&lt;&gt;"",EDATE($D10,Milestones!$AA$168)&gt;=$Y10),$AB10,$AA10)))=Milestones!$AB$168),UPPER(TEXT(EDATE($D10,Milestones!$AA$168),"dd mmm yy"))&amp;" "&amp;Milestones!$AB$168&amp;" "&amp;IF(AND(Milestones!$AB$168="FT",Milestones!$AA$168=FT_Y5,EDATE($D10,Milestones!$AA$168)&lt;PolicyEff),1,Milestones!$AC$168)&amp;";  ","")&amp;IF(AND(EDATE($D10,Milestones!$AA$169)&lt;=AsOfDate,EDATE($D10,Milestones!$AA$169)&gt;=SchemeStart,IF($X10=0,$AD10,IF(AND($Z10&lt;&gt;"",EDATE($D10,Milestones!$AA$169)&gt;=$Z10),$AC10,IF(AND($Y10&lt;&gt;"",EDATE($D10,Milestones!$AA$169)&gt;=$Y10),$AB10,$AA10)))=Milestones!$AB$169),UPPER(TEXT(EDATE($D10,Milestones!$AA$169),"dd mmm yy"))&amp;" "&amp;Milestones!$AB$169&amp;" "&amp;IF(AND(Milestones!$AB$169="FT",Milestones!$AA$169=FT_Y5,EDATE($D10,Milestones!$AA$169)&lt;PolicyEff),1,Milestones!$AC$169)&amp;";  ","")&amp;IF(AND(EDATE($D10,Milestones!$AA$170)&lt;=AsOfDate,EDATE($D10,Milestones!$AA$170)&gt;=SchemeStart,IF($X10=0,$AD10,IF(AND($Z10&lt;&gt;"",EDATE($D10,Milestones!$AA$170)&gt;=$Z10),$AC10,IF(AND($Y10&lt;&gt;"",EDATE($D10,Milestones!$AA$170)&gt;=$Y10),$AB10,$AA10)))=Milestones!$AB$170),UPPER(TEXT(EDATE($D10,Milestones!$AA$170),"dd mmm yy"))&amp;" "&amp;Milestones!$AB$170&amp;" "&amp;IF(AND(Milestones!$AB$170="FT",Milestones!$AA$170=FT_Y5,EDATE($D10,Milestones!$AA$170)&lt;PolicyEff),1,Milestones!$AC$170)&amp;";  ","")&amp;IF(AND(EDATE($D10,Milestones!$AA$171)&lt;=AsOfDate,EDATE($D10,Milestones!$AA$171)&gt;=SchemeStart,IF($X10=0,$AD10,IF(AND($Z10&lt;&gt;"",EDATE($D10,Milestones!$AA$171)&gt;=$Z10),$AC10,IF(AND($Y10&lt;&gt;"",EDATE($D10,Milestones!$AA$171)&gt;=$Y10),$AB10,$AA10)))=Milestones!$AB$171),UPPER(TEXT(EDATE($D10,Milestones!$AA$171),"dd mmm yy"))&amp;" "&amp;Milestones!$AB$171&amp;" "&amp;IF(AND(Milestones!$AB$171="FT",Milestones!$AA$171=FT_Y5,EDATE($D10,Milestones!$AA$171)&lt;PolicyEff),1,Milestones!$AC$171)&amp;";  ","")&amp;IF(AND(EDATE($D10,Milestones!$AA$172)&lt;=AsOfDate,EDATE($D10,Milestones!$AA$172)&gt;=SchemeStart,IF($X10=0,$AD10,IF(AND($Z10&lt;&gt;"",EDATE($D10,Milestones!$AA$172)&gt;=$Z10),$AC10,IF(AND($Y10&lt;&gt;"",EDATE($D10,Milestones!$AA$172)&gt;=$Y10),$AB10,$AA10)))=Milestones!$AB$172),UPPER(TEXT(EDATE($D10,Milestones!$AA$172),"dd mmm yy"))&amp;" "&amp;Milestones!$AB$172&amp;" "&amp;IF(AND(Milestones!$AB$172="FT",Milestones!$AA$172=FT_Y5,EDATE($D10,Milestones!$AA$172)&lt;PolicyEff),1,Milestones!$AC$172)&amp;";  ","")&amp;IF(AND(EDATE($D10,Milestones!$AA$173)&lt;=AsOfDate,EDATE($D10,Milestones!$AA$173)&gt;=SchemeStart,IF($X10=0,$AD10,IF(AND($Z10&lt;&gt;"",EDATE($D10,Milestones!$AA$173)&gt;=$Z10),$AC10,IF(AND($Y10&lt;&gt;"",EDATE($D10,Milestones!$AA$173)&gt;=$Y10),$AB10,$AA10)))=Milestones!$AB$173),UPPER(TEXT(EDATE($D10,Milestones!$AA$173),"dd mmm yy"))&amp;" "&amp;Milestones!$AB$173&amp;" "&amp;IF(AND(Milestones!$AB$173="FT",Milestones!$AA$173=FT_Y5,EDATE($D10,Milestones!$AA$173)&lt;PolicyEff),1,Milestones!$AC$173)&amp;";  ","")&amp;IF(AND(EDATE($D10,Milestones!$AA$174)&lt;=AsOfDate,EDATE($D10,Milestones!$AA$174)&gt;=SchemeStart,IF($X10=0,$AD10,IF(AND($Z10&lt;&gt;"",EDATE($D10,Milestones!$AA$174)&gt;=$Z10),$AC10,IF(AND($Y10&lt;&gt;"",EDATE($D10,Milestones!$AA$174)&gt;=$Y10),$AB10,$AA10)))=Milestones!$AB$174),UPPER(TEXT(EDATE($D10,Milestones!$AA$174),"dd mmm yy"))&amp;" "&amp;Milestones!$AB$174&amp;" "&amp;IF(AND(Milestones!$AB$174="FT",Milestones!$AA$174=FT_Y5,EDATE($D10,Milestones!$AA$174)&lt;PolicyEff),1,Milestones!$AC$174)&amp;";  ","")&amp;IF(AND(EDATE($D10,Milestones!$AA$175)&lt;=AsOfDate,EDATE($D10,Milestones!$AA$175)&gt;=SchemeStart,IF($X10=0,$AD10,IF(AND($Z10&lt;&gt;"",EDATE($D10,Milestones!$AA$175)&gt;=$Z10),$AC10,IF(AND($Y10&lt;&gt;"",EDATE($D10,Milestones!$AA$175)&gt;=$Y10),$AB10,$AA10)))=Milestones!$AB$175),UPPER(TEXT(EDATE($D10,Milestones!$AA$175),"dd mmm yy"))&amp;" "&amp;Milestones!$AB$175&amp;" "&amp;IF(AND(Milestones!$AB$175="FT",Milestones!$AA$175=FT_Y5,EDATE($D10,Milestones!$AA$175)&lt;PolicyEff),1,Milestones!$AC$175)&amp;";  ",""))</f>
        <v/>
      </c>
      <c r="V10" s="0" t="str">
        <f aca="false">IF(OR($A10="",$D10=""),"",IF(AND(EDATE($D10,Milestones!$AA$176)&lt;=AsOfDate,EDATE($D10,Milestones!$AA$176)&gt;=SchemeStart,IF($X10=0,$AD10,IF(AND($Z10&lt;&gt;"",EDATE($D10,Milestones!$AA$176)&gt;=$Z10),$AC10,IF(AND($Y10&lt;&gt;"",EDATE($D10,Milestones!$AA$176)&gt;=$Y10),$AB10,$AA10)))=Milestones!$AB$176),UPPER(TEXT(EDATE($D10,Milestones!$AA$176),"dd mmm yy"))&amp;" "&amp;Milestones!$AB$176&amp;" "&amp;IF(AND(Milestones!$AB$176="FT",Milestones!$AA$176=FT_Y5,EDATE($D10,Milestones!$AA$176)&lt;PolicyEff),1,Milestones!$AC$176)&amp;";  ","")&amp;IF(AND(EDATE($D10,Milestones!$AA$177)&lt;=AsOfDate,EDATE($D10,Milestones!$AA$177)&gt;=SchemeStart,IF($X10=0,$AD10,IF(AND($Z10&lt;&gt;"",EDATE($D10,Milestones!$AA$177)&gt;=$Z10),$AC10,IF(AND($Y10&lt;&gt;"",EDATE($D10,Milestones!$AA$177)&gt;=$Y10),$AB10,$AA10)))=Milestones!$AB$177),UPPER(TEXT(EDATE($D10,Milestones!$AA$177),"dd mmm yy"))&amp;" "&amp;Milestones!$AB$177&amp;" "&amp;IF(AND(Milestones!$AB$177="FT",Milestones!$AA$177=FT_Y5,EDATE($D10,Milestones!$AA$177)&lt;PolicyEff),1,Milestones!$AC$177)&amp;";  ","")&amp;IF(AND(EDATE($D10,Milestones!$AA$178)&lt;=AsOfDate,EDATE($D10,Milestones!$AA$178)&gt;=SchemeStart,IF($X10=0,$AD10,IF(AND($Z10&lt;&gt;"",EDATE($D10,Milestones!$AA$178)&gt;=$Z10),$AC10,IF(AND($Y10&lt;&gt;"",EDATE($D10,Milestones!$AA$178)&gt;=$Y10),$AB10,$AA10)))=Milestones!$AB$178),UPPER(TEXT(EDATE($D10,Milestones!$AA$178),"dd mmm yy"))&amp;" "&amp;Milestones!$AB$178&amp;" "&amp;IF(AND(Milestones!$AB$178="FT",Milestones!$AA$178=FT_Y5,EDATE($D10,Milestones!$AA$178)&lt;PolicyEff),1,Milestones!$AC$178)&amp;";  ","")&amp;IF(AND(EDATE($D10,Milestones!$AA$179)&lt;=AsOfDate,EDATE($D10,Milestones!$AA$179)&gt;=SchemeStart,IF($X10=0,$AD10,IF(AND($Z10&lt;&gt;"",EDATE($D10,Milestones!$AA$179)&gt;=$Z10),$AC10,IF(AND($Y10&lt;&gt;"",EDATE($D10,Milestones!$AA$179)&gt;=$Y10),$AB10,$AA10)))=Milestones!$AB$179),UPPER(TEXT(EDATE($D10,Milestones!$AA$179),"dd mmm yy"))&amp;" "&amp;Milestones!$AB$179&amp;" "&amp;IF(AND(Milestones!$AB$179="FT",Milestones!$AA$179=FT_Y5,EDATE($D10,Milestones!$AA$179)&lt;PolicyEff),1,Milestones!$AC$179)&amp;";  ","")&amp;IF(AND(EDATE($D10,Milestones!$AA$180)&lt;=AsOfDate,EDATE($D10,Milestones!$AA$180)&gt;=SchemeStart,IF($X10=0,$AD10,IF(AND($Z10&lt;&gt;"",EDATE($D10,Milestones!$AA$180)&gt;=$Z10),$AC10,IF(AND($Y10&lt;&gt;"",EDATE($D10,Milestones!$AA$180)&gt;=$Y10),$AB10,$AA10)))=Milestones!$AB$180),UPPER(TEXT(EDATE($D10,Milestones!$AA$180),"dd mmm yy"))&amp;" "&amp;Milestones!$AB$180&amp;" "&amp;IF(AND(Milestones!$AB$180="FT",Milestones!$AA$180=FT_Y5,EDATE($D10,Milestones!$AA$180)&lt;PolicyEff),1,Milestones!$AC$180)&amp;";  ","")&amp;IF(AND(EDATE($D10,Milestones!$AA$181)&lt;=AsOfDate,EDATE($D10,Milestones!$AA$181)&gt;=SchemeStart,IF($X10=0,$AD10,IF(AND($Z10&lt;&gt;"",EDATE($D10,Milestones!$AA$181)&gt;=$Z10),$AC10,IF(AND($Y10&lt;&gt;"",EDATE($D10,Milestones!$AA$181)&gt;=$Y10),$AB10,$AA10)))=Milestones!$AB$181),UPPER(TEXT(EDATE($D10,Milestones!$AA$181),"dd mmm yy"))&amp;" "&amp;Milestones!$AB$181&amp;" "&amp;IF(AND(Milestones!$AB$181="FT",Milestones!$AA$181=FT_Y5,EDATE($D10,Milestones!$AA$181)&lt;PolicyEff),1,Milestones!$AC$181)&amp;";  ","")&amp;IF(AND(EDATE($D10,Milestones!$AA$182)&lt;=AsOfDate,EDATE($D10,Milestones!$AA$182)&gt;=SchemeStart,IF($X10=0,$AD10,IF(AND($Z10&lt;&gt;"",EDATE($D10,Milestones!$AA$182)&gt;=$Z10),$AC10,IF(AND($Y10&lt;&gt;"",EDATE($D10,Milestones!$AA$182)&gt;=$Y10),$AB10,$AA10)))=Milestones!$AB$182),UPPER(TEXT(EDATE($D10,Milestones!$AA$182),"dd mmm yy"))&amp;" "&amp;Milestones!$AB$182&amp;" "&amp;IF(AND(Milestones!$AB$182="FT",Milestones!$AA$182=FT_Y5,EDATE($D10,Milestones!$AA$182)&lt;PolicyEff),1,Milestones!$AC$182)&amp;";  ","")&amp;IF(AND(EDATE($D10,Milestones!$AA$183)&lt;=AsOfDate,EDATE($D10,Milestones!$AA$183)&gt;=SchemeStart,IF($X10=0,$AD10,IF(AND($Z10&lt;&gt;"",EDATE($D10,Milestones!$AA$183)&gt;=$Z10),$AC10,IF(AND($Y10&lt;&gt;"",EDATE($D10,Milestones!$AA$183)&gt;=$Y10),$AB10,$AA10)))=Milestones!$AB$183),UPPER(TEXT(EDATE($D10,Milestones!$AA$183),"dd mmm yy"))&amp;" "&amp;Milestones!$AB$183&amp;" "&amp;IF(AND(Milestones!$AB$183="FT",Milestones!$AA$183=FT_Y5,EDATE($D10,Milestones!$AA$183)&lt;PolicyEff),1,Milestones!$AC$183)&amp;";  ","")&amp;IF(AND(EDATE($D10,Milestones!$AA$184)&lt;=AsOfDate,EDATE($D10,Milestones!$AA$184)&gt;=SchemeStart,IF($X10=0,$AD10,IF(AND($Z10&lt;&gt;"",EDATE($D10,Milestones!$AA$184)&gt;=$Z10),$AC10,IF(AND($Y10&lt;&gt;"",EDATE($D10,Milestones!$AA$184)&gt;=$Y10),$AB10,$AA10)))=Milestones!$AB$184),UPPER(TEXT(EDATE($D10,Milestones!$AA$184),"dd mmm yy"))&amp;" "&amp;Milestones!$AB$184&amp;" "&amp;IF(AND(Milestones!$AB$184="FT",Milestones!$AA$184=FT_Y5,EDATE($D10,Milestones!$AA$184)&lt;PolicyEff),1,Milestones!$AC$184)&amp;";  ","")&amp;IF(AND(EDATE($D10,Milestones!$AA$185)&lt;=AsOfDate,EDATE($D10,Milestones!$AA$185)&gt;=SchemeStart,IF($X10=0,$AD10,IF(AND($Z10&lt;&gt;"",EDATE($D10,Milestones!$AA$185)&gt;=$Z10),$AC10,IF(AND($Y10&lt;&gt;"",EDATE($D10,Milestones!$AA$185)&gt;=$Y10),$AB10,$AA10)))=Milestones!$AB$185),UPPER(TEXT(EDATE($D10,Milestones!$AA$185),"dd mmm yy"))&amp;" "&amp;Milestones!$AB$185&amp;" "&amp;IF(AND(Milestones!$AB$185="FT",Milestones!$AA$185=FT_Y5,EDATE($D10,Milestones!$AA$185)&lt;PolicyEff),1,Milestones!$AC$185)&amp;";  ","")&amp;IF(AND(EDATE($D10,Milestones!$AA$186)&lt;=AsOfDate,EDATE($D10,Milestones!$AA$186)&gt;=SchemeStart,IF($X10=0,$AD10,IF(AND($Z10&lt;&gt;"",EDATE($D10,Milestones!$AA$186)&gt;=$Z10),$AC10,IF(AND($Y10&lt;&gt;"",EDATE($D10,Milestones!$AA$186)&gt;=$Y10),$AB10,$AA10)))=Milestones!$AB$186),UPPER(TEXT(EDATE($D10,Milestones!$AA$186),"dd mmm yy"))&amp;" "&amp;Milestones!$AB$186&amp;" "&amp;IF(AND(Milestones!$AB$186="FT",Milestones!$AA$186=FT_Y5,EDATE($D10,Milestones!$AA$186)&lt;PolicyEff),1,Milestones!$AC$186)&amp;";  ","")&amp;IF(AND(EDATE($D10,Milestones!$AA$187)&lt;=AsOfDate,EDATE($D10,Milestones!$AA$187)&gt;=SchemeStart,IF($X10=0,$AD10,IF(AND($Z10&lt;&gt;"",EDATE($D10,Milestones!$AA$187)&gt;=$Z10),$AC10,IF(AND($Y10&lt;&gt;"",EDATE($D10,Milestones!$AA$187)&gt;=$Y10),$AB10,$AA10)))=Milestones!$AB$187),UPPER(TEXT(EDATE($D10,Milestones!$AA$187),"dd mmm yy"))&amp;" "&amp;Milestones!$AB$187&amp;" "&amp;IF(AND(Milestones!$AB$187="FT",Milestones!$AA$187=FT_Y5,EDATE($D10,Milestones!$AA$187)&lt;PolicyEff),1,Milestones!$AC$187)&amp;";  ",""))</f>
        <v/>
      </c>
      <c r="W10" s="0" t="str">
        <f aca="false">IF(OR($A10="",$D10=""),"",IF(AND(EDATE($D10,Milestones!$AA$188)&lt;=AsOfDate,EDATE($D10,Milestones!$AA$188)&gt;=SchemeStart,IF($X10=0,$AD10,IF(AND($Z10&lt;&gt;"",EDATE($D10,Milestones!$AA$188)&gt;=$Z10),$AC10,IF(AND($Y10&lt;&gt;"",EDATE($D10,Milestones!$AA$188)&gt;=$Y10),$AB10,$AA10)))=Milestones!$AB$188),UPPER(TEXT(EDATE($D10,Milestones!$AA$188),"dd mmm yy"))&amp;" "&amp;Milestones!$AB$188&amp;" "&amp;IF(AND(Milestones!$AB$188="FT",Milestones!$AA$188=FT_Y5,EDATE($D10,Milestones!$AA$188)&lt;PolicyEff),1,Milestones!$AC$188)&amp;";  ","")&amp;IF(AND(EDATE($D10,Milestones!$AA$189)&lt;=AsOfDate,EDATE($D10,Milestones!$AA$189)&gt;=SchemeStart,IF($X10=0,$AD10,IF(AND($Z10&lt;&gt;"",EDATE($D10,Milestones!$AA$189)&gt;=$Z10),$AC10,IF(AND($Y10&lt;&gt;"",EDATE($D10,Milestones!$AA$189)&gt;=$Y10),$AB10,$AA10)))=Milestones!$AB$189),UPPER(TEXT(EDATE($D10,Milestones!$AA$189),"dd mmm yy"))&amp;" "&amp;Milestones!$AB$189&amp;" "&amp;IF(AND(Milestones!$AB$189="FT",Milestones!$AA$189=FT_Y5,EDATE($D10,Milestones!$AA$189)&lt;PolicyEff),1,Milestones!$AC$189)&amp;";  ","")&amp;IF(AND(EDATE($D10,Milestones!$AA$190)&lt;=AsOfDate,EDATE($D10,Milestones!$AA$190)&gt;=SchemeStart,IF($X10=0,$AD10,IF(AND($Z10&lt;&gt;"",EDATE($D10,Milestones!$AA$190)&gt;=$Z10),$AC10,IF(AND($Y10&lt;&gt;"",EDATE($D10,Milestones!$AA$190)&gt;=$Y10),$AB10,$AA10)))=Milestones!$AB$190),UPPER(TEXT(EDATE($D10,Milestones!$AA$190),"dd mmm yy"))&amp;" "&amp;Milestones!$AB$190&amp;" "&amp;IF(AND(Milestones!$AB$190="FT",Milestones!$AA$190=FT_Y5,EDATE($D10,Milestones!$AA$190)&lt;PolicyEff),1,Milestones!$AC$190)&amp;";  ","")&amp;IF(AND(EDATE($D10,Milestones!$AA$191)&lt;=AsOfDate,EDATE($D10,Milestones!$AA$191)&gt;=SchemeStart,IF($X10=0,$AD10,IF(AND($Z10&lt;&gt;"",EDATE($D10,Milestones!$AA$191)&gt;=$Z10),$AC10,IF(AND($Y10&lt;&gt;"",EDATE($D10,Milestones!$AA$191)&gt;=$Y10),$AB10,$AA10)))=Milestones!$AB$191),UPPER(TEXT(EDATE($D10,Milestones!$AA$191),"dd mmm yy"))&amp;" "&amp;Milestones!$AB$191&amp;" "&amp;IF(AND(Milestones!$AB$191="FT",Milestones!$AA$191=FT_Y5,EDATE($D10,Milestones!$AA$191)&lt;PolicyEff),1,Milestones!$AC$191)&amp;";  ","")&amp;IF(AND(EDATE($D10,Milestones!$AA$192)&lt;=AsOfDate,EDATE($D10,Milestones!$AA$192)&gt;=SchemeStart,IF($X10=0,$AD10,IF(AND($Z10&lt;&gt;"",EDATE($D10,Milestones!$AA$192)&gt;=$Z10),$AC10,IF(AND($Y10&lt;&gt;"",EDATE($D10,Milestones!$AA$192)&gt;=$Y10),$AB10,$AA10)))=Milestones!$AB$192),UPPER(TEXT(EDATE($D10,Milestones!$AA$192),"dd mmm yy"))&amp;" "&amp;Milestones!$AB$192&amp;" "&amp;IF(AND(Milestones!$AB$192="FT",Milestones!$AA$192=FT_Y5,EDATE($D10,Milestones!$AA$192)&lt;PolicyEff),1,Milestones!$AC$192)&amp;";  ","")&amp;IF(AND(EDATE($D10,Milestones!$AA$193)&lt;=AsOfDate,EDATE($D10,Milestones!$AA$193)&gt;=SchemeStart,IF($X10=0,$AD10,IF(AND($Z10&lt;&gt;"",EDATE($D10,Milestones!$AA$193)&gt;=$Z10),$AC10,IF(AND($Y10&lt;&gt;"",EDATE($D10,Milestones!$AA$193)&gt;=$Y10),$AB10,$AA10)))=Milestones!$AB$193),UPPER(TEXT(EDATE($D10,Milestones!$AA$193),"dd mmm yy"))&amp;" "&amp;Milestones!$AB$193&amp;" "&amp;IF(AND(Milestones!$AB$193="FT",Milestones!$AA$193=FT_Y5,EDATE($D10,Milestones!$AA$193)&lt;PolicyEff),1,Milestones!$AC$193)&amp;";  ","")&amp;IF(AND(EDATE($D10,Milestones!$AA$194)&lt;=AsOfDate,EDATE($D10,Milestones!$AA$194)&gt;=SchemeStart,IF($X10=0,$AD10,IF(AND($Z10&lt;&gt;"",EDATE($D10,Milestones!$AA$194)&gt;=$Z10),$AC10,IF(AND($Y10&lt;&gt;"",EDATE($D10,Milestones!$AA$194)&gt;=$Y10),$AB10,$AA10)))=Milestones!$AB$194),UPPER(TEXT(EDATE($D10,Milestones!$AA$194),"dd mmm yy"))&amp;" "&amp;Milestones!$AB$194&amp;" "&amp;IF(AND(Milestones!$AB$194="FT",Milestones!$AA$194=FT_Y5,EDATE($D10,Milestones!$AA$194)&lt;PolicyEff),1,Milestones!$AC$194)&amp;";  ","")&amp;IF(AND(EDATE($D10,Milestones!$AA$195)&lt;=AsOfDate,EDATE($D10,Milestones!$AA$195)&gt;=SchemeStart,IF($X10=0,$AD10,IF(AND($Z10&lt;&gt;"",EDATE($D10,Milestones!$AA$195)&gt;=$Z10),$AC10,IF(AND($Y10&lt;&gt;"",EDATE($D10,Milestones!$AA$195)&gt;=$Y10),$AB10,$AA10)))=Milestones!$AB$195),UPPER(TEXT(EDATE($D10,Milestones!$AA$195),"dd mmm yy"))&amp;" "&amp;Milestones!$AB$195&amp;" "&amp;IF(AND(Milestones!$AB$195="FT",Milestones!$AA$195=FT_Y5,EDATE($D10,Milestones!$AA$195)&lt;PolicyEff),1,Milestones!$AC$195)&amp;";  ","")&amp;IF(AND(EDATE($D10,Milestones!$AA$196)&lt;=AsOfDate,EDATE($D10,Milestones!$AA$196)&gt;=SchemeStart,IF($X10=0,$AD10,IF(AND($Z10&lt;&gt;"",EDATE($D10,Milestones!$AA$196)&gt;=$Z10),$AC10,IF(AND($Y10&lt;&gt;"",EDATE($D10,Milestones!$AA$196)&gt;=$Y10),$AB10,$AA10)))=Milestones!$AB$196),UPPER(TEXT(EDATE($D10,Milestones!$AA$196),"dd mmm yy"))&amp;" "&amp;Milestones!$AB$196&amp;" "&amp;IF(AND(Milestones!$AB$196="FT",Milestones!$AA$196=FT_Y5,EDATE($D10,Milestones!$AA$196)&lt;PolicyEff),1,Milestones!$AC$196)&amp;";  ","")&amp;IF(AND(EDATE($D10,Milestones!$AA$197)&lt;=AsOfDate,EDATE($D10,Milestones!$AA$197)&gt;=SchemeStart,IF($X10=0,$AD10,IF(AND($Z10&lt;&gt;"",EDATE($D10,Milestones!$AA$197)&gt;=$Z10),$AC10,IF(AND($Y10&lt;&gt;"",EDATE($D10,Milestones!$AA$197)&gt;=$Y10),$AB10,$AA10)))=Milestones!$AB$197),UPPER(TEXT(EDATE($D10,Milestones!$AA$197),"dd mmm yy"))&amp;" "&amp;Milestones!$AB$197&amp;" "&amp;IF(AND(Milestones!$AB$197="FT",Milestones!$AA$197=FT_Y5,EDATE($D10,Milestones!$AA$197)&lt;PolicyEff),1,Milestones!$AC$197)&amp;";  ","")&amp;IF(AND(EDATE($D10,Milestones!$AA$198)&lt;=AsOfDate,EDATE($D10,Milestones!$AA$198)&gt;=SchemeStart,IF($X10=0,$AD10,IF(AND($Z10&lt;&gt;"",EDATE($D10,Milestones!$AA$198)&gt;=$Z10),$AC10,IF(AND($Y10&lt;&gt;"",EDATE($D10,Milestones!$AA$198)&gt;=$Y10),$AB10,$AA10)))=Milestones!$AB$198),UPPER(TEXT(EDATE($D10,Milestones!$AA$198),"dd mmm yy"))&amp;" "&amp;Milestones!$AB$198&amp;" "&amp;IF(AND(Milestones!$AB$198="FT",Milestones!$AA$198=FT_Y5,EDATE($D10,Milestones!$AA$198)&lt;PolicyEff),1,Milestones!$AC$198)&amp;";  ","")&amp;IF(AND(EDATE($D10,Milestones!$AA$199)&lt;=AsOfDate,EDATE($D10,Milestones!$AA$199)&gt;=SchemeStart,IF($X10=0,$AD10,IF(AND($Z10&lt;&gt;"",EDATE($D10,Milestones!$AA$199)&gt;=$Z10),$AC10,IF(AND($Y10&lt;&gt;"",EDATE($D10,Milestones!$AA$199)&gt;=$Y10),$AB10,$AA10)))=Milestones!$AB$199),UPPER(TEXT(EDATE($D10,Milestones!$AA$199),"dd mmm yy"))&amp;" "&amp;Milestones!$AB$199&amp;" "&amp;IF(AND(Milestones!$AB$199="FT",Milestones!$AA$199=FT_Y5,EDATE($D10,Milestones!$AA$199)&lt;PolicyEff),1,Milestones!$AC$199)&amp;";  ",""))</f>
        <v/>
      </c>
      <c r="X10" s="0" t="str">
        <f aca="false">IF(Staff!$A10="","",Staff!$AM10)</f>
        <v/>
      </c>
      <c r="Y10" s="0" t="str">
        <f aca="false">IF(Staff!$A10="","",Staff!$AO10)</f>
        <v/>
      </c>
      <c r="Z10" s="0" t="str">
        <f aca="false">IF(Staff!$A10="","",Staff!$AP10)</f>
        <v/>
      </c>
      <c r="AA10" s="0" t="str">
        <f aca="false">IF(Staff!$A10="","",Staff!$AT10)</f>
        <v/>
      </c>
      <c r="AB10" s="0" t="str">
        <f aca="false">IF(Staff!$A10="","",Staff!$AU10)</f>
        <v/>
      </c>
      <c r="AC10" s="0" t="str">
        <f aca="false">IF(Staff!$A10="","",Staff!$AV10)</f>
        <v/>
      </c>
      <c r="AD10" s="0" t="str">
        <f aca="false">IF(Staff!$A10="","",Staff!$AW10)</f>
        <v/>
      </c>
    </row>
    <row r="11" customFormat="false" ht="15" hidden="false" customHeight="false" outlineLevel="0" collapsed="false">
      <c r="A11" s="16" t="str">
        <f aca="false">IF(Staff!$A11="","",Staff!$A11)</f>
        <v/>
      </c>
      <c r="B11" s="16" t="str">
        <f aca="false">IF(Staff!$A11="","",Staff!$B11)</f>
        <v/>
      </c>
      <c r="C11" s="16" t="str">
        <f aca="false">IF(Staff!$A11="","",Staff!$C11)</f>
        <v/>
      </c>
      <c r="D11" s="14" t="str">
        <f aca="false">IF(Staff!$A11="","",Staff!$AL11)</f>
        <v/>
      </c>
      <c r="E11" s="16" t="str">
        <f aca="false">IF(Staff!$A11="","",Staff!$O11)</f>
        <v/>
      </c>
      <c r="F11" s="16" t="str">
        <f aca="false">IF(E11="","",E11*HoursPerDay)</f>
        <v/>
      </c>
      <c r="G11" s="16" t="str">
        <f aca="false">IF(Staff!$A11="","",Staff!$AE11)</f>
        <v/>
      </c>
      <c r="H11" s="28" t="str">
        <f aca="false">IF($A11="","",I11&amp;J11&amp;K11&amp;L11&amp;M11&amp;N11&amp;O11&amp;P11&amp;Q11&amp;R11&amp;S11&amp;T11&amp;U11&amp;V11&amp;W11)</f>
        <v/>
      </c>
      <c r="I11" s="0" t="str">
        <f aca="false">IF(OR($A11="",$D11=""),"",IF(AND(EDATE($D11,Milestones!$AA$20)&lt;=AsOfDate,EDATE($D11,Milestones!$AA$20)&gt;=SchemeStart,IF($X11=0,$AD11,IF(AND($Z11&lt;&gt;"",EDATE($D11,Milestones!$AA$20)&gt;=$Z11),$AC11,IF(AND($Y11&lt;&gt;"",EDATE($D11,Milestones!$AA$20)&gt;=$Y11),$AB11,$AA11)))=Milestones!$AB$20),UPPER(TEXT(EDATE($D11,Milestones!$AA$20),"dd mmm yy"))&amp;" "&amp;Milestones!$AB$20&amp;" "&amp;IF(AND(Milestones!$AB$20="FT",Milestones!$AA$20=FT_Y5,EDATE($D11,Milestones!$AA$20)&lt;PolicyEff),1,Milestones!$AC$20)&amp;";  ","")&amp;IF(AND(EDATE($D11,Milestones!$AA$21)&lt;=AsOfDate,EDATE($D11,Milestones!$AA$21)&gt;=SchemeStart,IF($X11=0,$AD11,IF(AND($Z11&lt;&gt;"",EDATE($D11,Milestones!$AA$21)&gt;=$Z11),$AC11,IF(AND($Y11&lt;&gt;"",EDATE($D11,Milestones!$AA$21)&gt;=$Y11),$AB11,$AA11)))=Milestones!$AB$21),UPPER(TEXT(EDATE($D11,Milestones!$AA$21),"dd mmm yy"))&amp;" "&amp;Milestones!$AB$21&amp;" "&amp;IF(AND(Milestones!$AB$21="FT",Milestones!$AA$21=FT_Y5,EDATE($D11,Milestones!$AA$21)&lt;PolicyEff),1,Milestones!$AC$21)&amp;";  ","")&amp;IF(AND(EDATE($D11,Milestones!$AA$22)&lt;=AsOfDate,EDATE($D11,Milestones!$AA$22)&gt;=SchemeStart,IF($X11=0,$AD11,IF(AND($Z11&lt;&gt;"",EDATE($D11,Milestones!$AA$22)&gt;=$Z11),$AC11,IF(AND($Y11&lt;&gt;"",EDATE($D11,Milestones!$AA$22)&gt;=$Y11),$AB11,$AA11)))=Milestones!$AB$22),UPPER(TEXT(EDATE($D11,Milestones!$AA$22),"dd mmm yy"))&amp;" "&amp;Milestones!$AB$22&amp;" "&amp;IF(AND(Milestones!$AB$22="FT",Milestones!$AA$22=FT_Y5,EDATE($D11,Milestones!$AA$22)&lt;PolicyEff),1,Milestones!$AC$22)&amp;";  ","")&amp;IF(AND(EDATE($D11,Milestones!$AA$23)&lt;=AsOfDate,EDATE($D11,Milestones!$AA$23)&gt;=SchemeStart,IF($X11=0,$AD11,IF(AND($Z11&lt;&gt;"",EDATE($D11,Milestones!$AA$23)&gt;=$Z11),$AC11,IF(AND($Y11&lt;&gt;"",EDATE($D11,Milestones!$AA$23)&gt;=$Y11),$AB11,$AA11)))=Milestones!$AB$23),UPPER(TEXT(EDATE($D11,Milestones!$AA$23),"dd mmm yy"))&amp;" "&amp;Milestones!$AB$23&amp;" "&amp;IF(AND(Milestones!$AB$23="FT",Milestones!$AA$23=FT_Y5,EDATE($D11,Milestones!$AA$23)&lt;PolicyEff),1,Milestones!$AC$23)&amp;";  ","")&amp;IF(AND(EDATE($D11,Milestones!$AA$24)&lt;=AsOfDate,EDATE($D11,Milestones!$AA$24)&gt;=SchemeStart,IF($X11=0,$AD11,IF(AND($Z11&lt;&gt;"",EDATE($D11,Milestones!$AA$24)&gt;=$Z11),$AC11,IF(AND($Y11&lt;&gt;"",EDATE($D11,Milestones!$AA$24)&gt;=$Y11),$AB11,$AA11)))=Milestones!$AB$24),UPPER(TEXT(EDATE($D11,Milestones!$AA$24),"dd mmm yy"))&amp;" "&amp;Milestones!$AB$24&amp;" "&amp;IF(AND(Milestones!$AB$24="FT",Milestones!$AA$24=FT_Y5,EDATE($D11,Milestones!$AA$24)&lt;PolicyEff),1,Milestones!$AC$24)&amp;";  ","")&amp;IF(AND(EDATE($D11,Milestones!$AA$25)&lt;=AsOfDate,EDATE($D11,Milestones!$AA$25)&gt;=SchemeStart,IF($X11=0,$AD11,IF(AND($Z11&lt;&gt;"",EDATE($D11,Milestones!$AA$25)&gt;=$Z11),$AC11,IF(AND($Y11&lt;&gt;"",EDATE($D11,Milestones!$AA$25)&gt;=$Y11),$AB11,$AA11)))=Milestones!$AB$25),UPPER(TEXT(EDATE($D11,Milestones!$AA$25),"dd mmm yy"))&amp;" "&amp;Milestones!$AB$25&amp;" "&amp;IF(AND(Milestones!$AB$25="FT",Milestones!$AA$25=FT_Y5,EDATE($D11,Milestones!$AA$25)&lt;PolicyEff),1,Milestones!$AC$25)&amp;";  ","")&amp;IF(AND(EDATE($D11,Milestones!$AA$26)&lt;=AsOfDate,EDATE($D11,Milestones!$AA$26)&gt;=SchemeStart,IF($X11=0,$AD11,IF(AND($Z11&lt;&gt;"",EDATE($D11,Milestones!$AA$26)&gt;=$Z11),$AC11,IF(AND($Y11&lt;&gt;"",EDATE($D11,Milestones!$AA$26)&gt;=$Y11),$AB11,$AA11)))=Milestones!$AB$26),UPPER(TEXT(EDATE($D11,Milestones!$AA$26),"dd mmm yy"))&amp;" "&amp;Milestones!$AB$26&amp;" "&amp;IF(AND(Milestones!$AB$26="FT",Milestones!$AA$26=FT_Y5,EDATE($D11,Milestones!$AA$26)&lt;PolicyEff),1,Milestones!$AC$26)&amp;";  ","")&amp;IF(AND(EDATE($D11,Milestones!$AA$27)&lt;=AsOfDate,EDATE($D11,Milestones!$AA$27)&gt;=SchemeStart,IF($X11=0,$AD11,IF(AND($Z11&lt;&gt;"",EDATE($D11,Milestones!$AA$27)&gt;=$Z11),$AC11,IF(AND($Y11&lt;&gt;"",EDATE($D11,Milestones!$AA$27)&gt;=$Y11),$AB11,$AA11)))=Milestones!$AB$27),UPPER(TEXT(EDATE($D11,Milestones!$AA$27),"dd mmm yy"))&amp;" "&amp;Milestones!$AB$27&amp;" "&amp;IF(AND(Milestones!$AB$27="FT",Milestones!$AA$27=FT_Y5,EDATE($D11,Milestones!$AA$27)&lt;PolicyEff),1,Milestones!$AC$27)&amp;";  ","")&amp;IF(AND(EDATE($D11,Milestones!$AA$28)&lt;=AsOfDate,EDATE($D11,Milestones!$AA$28)&gt;=SchemeStart,IF($X11=0,$AD11,IF(AND($Z11&lt;&gt;"",EDATE($D11,Milestones!$AA$28)&gt;=$Z11),$AC11,IF(AND($Y11&lt;&gt;"",EDATE($D11,Milestones!$AA$28)&gt;=$Y11),$AB11,$AA11)))=Milestones!$AB$28),UPPER(TEXT(EDATE($D11,Milestones!$AA$28),"dd mmm yy"))&amp;" "&amp;Milestones!$AB$28&amp;" "&amp;IF(AND(Milestones!$AB$28="FT",Milestones!$AA$28=FT_Y5,EDATE($D11,Milestones!$AA$28)&lt;PolicyEff),1,Milestones!$AC$28)&amp;";  ","")&amp;IF(AND(EDATE($D11,Milestones!$AA$29)&lt;=AsOfDate,EDATE($D11,Milestones!$AA$29)&gt;=SchemeStart,IF($X11=0,$AD11,IF(AND($Z11&lt;&gt;"",EDATE($D11,Milestones!$AA$29)&gt;=$Z11),$AC11,IF(AND($Y11&lt;&gt;"",EDATE($D11,Milestones!$AA$29)&gt;=$Y11),$AB11,$AA11)))=Milestones!$AB$29),UPPER(TEXT(EDATE($D11,Milestones!$AA$29),"dd mmm yy"))&amp;" "&amp;Milestones!$AB$29&amp;" "&amp;IF(AND(Milestones!$AB$29="FT",Milestones!$AA$29=FT_Y5,EDATE($D11,Milestones!$AA$29)&lt;PolicyEff),1,Milestones!$AC$29)&amp;";  ","")&amp;IF(AND(EDATE($D11,Milestones!$AA$30)&lt;=AsOfDate,EDATE($D11,Milestones!$AA$30)&gt;=SchemeStart,IF($X11=0,$AD11,IF(AND($Z11&lt;&gt;"",EDATE($D11,Milestones!$AA$30)&gt;=$Z11),$AC11,IF(AND($Y11&lt;&gt;"",EDATE($D11,Milestones!$AA$30)&gt;=$Y11),$AB11,$AA11)))=Milestones!$AB$30),UPPER(TEXT(EDATE($D11,Milestones!$AA$30),"dd mmm yy"))&amp;" "&amp;Milestones!$AB$30&amp;" "&amp;IF(AND(Milestones!$AB$30="FT",Milestones!$AA$30=FT_Y5,EDATE($D11,Milestones!$AA$30)&lt;PolicyEff),1,Milestones!$AC$30)&amp;";  ","")&amp;IF(AND(EDATE($D11,Milestones!$AA$31)&lt;=AsOfDate,EDATE($D11,Milestones!$AA$31)&gt;=SchemeStart,IF($X11=0,$AD11,IF(AND($Z11&lt;&gt;"",EDATE($D11,Milestones!$AA$31)&gt;=$Z11),$AC11,IF(AND($Y11&lt;&gt;"",EDATE($D11,Milestones!$AA$31)&gt;=$Y11),$AB11,$AA11)))=Milestones!$AB$31),UPPER(TEXT(EDATE($D11,Milestones!$AA$31),"dd mmm yy"))&amp;" "&amp;Milestones!$AB$31&amp;" "&amp;IF(AND(Milestones!$AB$31="FT",Milestones!$AA$31=FT_Y5,EDATE($D11,Milestones!$AA$31)&lt;PolicyEff),1,Milestones!$AC$31)&amp;";  ",""))</f>
        <v/>
      </c>
      <c r="J11" s="0" t="str">
        <f aca="false">IF(OR($A11="",$D11=""),"",IF(AND(EDATE($D11,Milestones!$AA$32)&lt;=AsOfDate,EDATE($D11,Milestones!$AA$32)&gt;=SchemeStart,IF($X11=0,$AD11,IF(AND($Z11&lt;&gt;"",EDATE($D11,Milestones!$AA$32)&gt;=$Z11),$AC11,IF(AND($Y11&lt;&gt;"",EDATE($D11,Milestones!$AA$32)&gt;=$Y11),$AB11,$AA11)))=Milestones!$AB$32),UPPER(TEXT(EDATE($D11,Milestones!$AA$32),"dd mmm yy"))&amp;" "&amp;Milestones!$AB$32&amp;" "&amp;IF(AND(Milestones!$AB$32="FT",Milestones!$AA$32=FT_Y5,EDATE($D11,Milestones!$AA$32)&lt;PolicyEff),1,Milestones!$AC$32)&amp;";  ","")&amp;IF(AND(EDATE($D11,Milestones!$AA$33)&lt;=AsOfDate,EDATE($D11,Milestones!$AA$33)&gt;=SchemeStart,IF($X11=0,$AD11,IF(AND($Z11&lt;&gt;"",EDATE($D11,Milestones!$AA$33)&gt;=$Z11),$AC11,IF(AND($Y11&lt;&gt;"",EDATE($D11,Milestones!$AA$33)&gt;=$Y11),$AB11,$AA11)))=Milestones!$AB$33),UPPER(TEXT(EDATE($D11,Milestones!$AA$33),"dd mmm yy"))&amp;" "&amp;Milestones!$AB$33&amp;" "&amp;IF(AND(Milestones!$AB$33="FT",Milestones!$AA$33=FT_Y5,EDATE($D11,Milestones!$AA$33)&lt;PolicyEff),1,Milestones!$AC$33)&amp;";  ","")&amp;IF(AND(EDATE($D11,Milestones!$AA$34)&lt;=AsOfDate,EDATE($D11,Milestones!$AA$34)&gt;=SchemeStart,IF($X11=0,$AD11,IF(AND($Z11&lt;&gt;"",EDATE($D11,Milestones!$AA$34)&gt;=$Z11),$AC11,IF(AND($Y11&lt;&gt;"",EDATE($D11,Milestones!$AA$34)&gt;=$Y11),$AB11,$AA11)))=Milestones!$AB$34),UPPER(TEXT(EDATE($D11,Milestones!$AA$34),"dd mmm yy"))&amp;" "&amp;Milestones!$AB$34&amp;" "&amp;IF(AND(Milestones!$AB$34="FT",Milestones!$AA$34=FT_Y5,EDATE($D11,Milestones!$AA$34)&lt;PolicyEff),1,Milestones!$AC$34)&amp;";  ","")&amp;IF(AND(EDATE($D11,Milestones!$AA$35)&lt;=AsOfDate,EDATE($D11,Milestones!$AA$35)&gt;=SchemeStart,IF($X11=0,$AD11,IF(AND($Z11&lt;&gt;"",EDATE($D11,Milestones!$AA$35)&gt;=$Z11),$AC11,IF(AND($Y11&lt;&gt;"",EDATE($D11,Milestones!$AA$35)&gt;=$Y11),$AB11,$AA11)))=Milestones!$AB$35),UPPER(TEXT(EDATE($D11,Milestones!$AA$35),"dd mmm yy"))&amp;" "&amp;Milestones!$AB$35&amp;" "&amp;IF(AND(Milestones!$AB$35="FT",Milestones!$AA$35=FT_Y5,EDATE($D11,Milestones!$AA$35)&lt;PolicyEff),1,Milestones!$AC$35)&amp;";  ","")&amp;IF(AND(EDATE($D11,Milestones!$AA$36)&lt;=AsOfDate,EDATE($D11,Milestones!$AA$36)&gt;=SchemeStart,IF($X11=0,$AD11,IF(AND($Z11&lt;&gt;"",EDATE($D11,Milestones!$AA$36)&gt;=$Z11),$AC11,IF(AND($Y11&lt;&gt;"",EDATE($D11,Milestones!$AA$36)&gt;=$Y11),$AB11,$AA11)))=Milestones!$AB$36),UPPER(TEXT(EDATE($D11,Milestones!$AA$36),"dd mmm yy"))&amp;" "&amp;Milestones!$AB$36&amp;" "&amp;IF(AND(Milestones!$AB$36="FT",Milestones!$AA$36=FT_Y5,EDATE($D11,Milestones!$AA$36)&lt;PolicyEff),1,Milestones!$AC$36)&amp;";  ","")&amp;IF(AND(EDATE($D11,Milestones!$AA$37)&lt;=AsOfDate,EDATE($D11,Milestones!$AA$37)&gt;=SchemeStart,IF($X11=0,$AD11,IF(AND($Z11&lt;&gt;"",EDATE($D11,Milestones!$AA$37)&gt;=$Z11),$AC11,IF(AND($Y11&lt;&gt;"",EDATE($D11,Milestones!$AA$37)&gt;=$Y11),$AB11,$AA11)))=Milestones!$AB$37),UPPER(TEXT(EDATE($D11,Milestones!$AA$37),"dd mmm yy"))&amp;" "&amp;Milestones!$AB$37&amp;" "&amp;IF(AND(Milestones!$AB$37="FT",Milestones!$AA$37=FT_Y5,EDATE($D11,Milestones!$AA$37)&lt;PolicyEff),1,Milestones!$AC$37)&amp;";  ","")&amp;IF(AND(EDATE($D11,Milestones!$AA$38)&lt;=AsOfDate,EDATE($D11,Milestones!$AA$38)&gt;=SchemeStart,IF($X11=0,$AD11,IF(AND($Z11&lt;&gt;"",EDATE($D11,Milestones!$AA$38)&gt;=$Z11),$AC11,IF(AND($Y11&lt;&gt;"",EDATE($D11,Milestones!$AA$38)&gt;=$Y11),$AB11,$AA11)))=Milestones!$AB$38),UPPER(TEXT(EDATE($D11,Milestones!$AA$38),"dd mmm yy"))&amp;" "&amp;Milestones!$AB$38&amp;" "&amp;IF(AND(Milestones!$AB$38="FT",Milestones!$AA$38=FT_Y5,EDATE($D11,Milestones!$AA$38)&lt;PolicyEff),1,Milestones!$AC$38)&amp;";  ","")&amp;IF(AND(EDATE($D11,Milestones!$AA$39)&lt;=AsOfDate,EDATE($D11,Milestones!$AA$39)&gt;=SchemeStart,IF($X11=0,$AD11,IF(AND($Z11&lt;&gt;"",EDATE($D11,Milestones!$AA$39)&gt;=$Z11),$AC11,IF(AND($Y11&lt;&gt;"",EDATE($D11,Milestones!$AA$39)&gt;=$Y11),$AB11,$AA11)))=Milestones!$AB$39),UPPER(TEXT(EDATE($D11,Milestones!$AA$39),"dd mmm yy"))&amp;" "&amp;Milestones!$AB$39&amp;" "&amp;IF(AND(Milestones!$AB$39="FT",Milestones!$AA$39=FT_Y5,EDATE($D11,Milestones!$AA$39)&lt;PolicyEff),1,Milestones!$AC$39)&amp;";  ","")&amp;IF(AND(EDATE($D11,Milestones!$AA$40)&lt;=AsOfDate,EDATE($D11,Milestones!$AA$40)&gt;=SchemeStart,IF($X11=0,$AD11,IF(AND($Z11&lt;&gt;"",EDATE($D11,Milestones!$AA$40)&gt;=$Z11),$AC11,IF(AND($Y11&lt;&gt;"",EDATE($D11,Milestones!$AA$40)&gt;=$Y11),$AB11,$AA11)))=Milestones!$AB$40),UPPER(TEXT(EDATE($D11,Milestones!$AA$40),"dd mmm yy"))&amp;" "&amp;Milestones!$AB$40&amp;" "&amp;IF(AND(Milestones!$AB$40="FT",Milestones!$AA$40=FT_Y5,EDATE($D11,Milestones!$AA$40)&lt;PolicyEff),1,Milestones!$AC$40)&amp;";  ","")&amp;IF(AND(EDATE($D11,Milestones!$AA$41)&lt;=AsOfDate,EDATE($D11,Milestones!$AA$41)&gt;=SchemeStart,IF($X11=0,$AD11,IF(AND($Z11&lt;&gt;"",EDATE($D11,Milestones!$AA$41)&gt;=$Z11),$AC11,IF(AND($Y11&lt;&gt;"",EDATE($D11,Milestones!$AA$41)&gt;=$Y11),$AB11,$AA11)))=Milestones!$AB$41),UPPER(TEXT(EDATE($D11,Milestones!$AA$41),"dd mmm yy"))&amp;" "&amp;Milestones!$AB$41&amp;" "&amp;IF(AND(Milestones!$AB$41="FT",Milestones!$AA$41=FT_Y5,EDATE($D11,Milestones!$AA$41)&lt;PolicyEff),1,Milestones!$AC$41)&amp;";  ","")&amp;IF(AND(EDATE($D11,Milestones!$AA$42)&lt;=AsOfDate,EDATE($D11,Milestones!$AA$42)&gt;=SchemeStart,IF($X11=0,$AD11,IF(AND($Z11&lt;&gt;"",EDATE($D11,Milestones!$AA$42)&gt;=$Z11),$AC11,IF(AND($Y11&lt;&gt;"",EDATE($D11,Milestones!$AA$42)&gt;=$Y11),$AB11,$AA11)))=Milestones!$AB$42),UPPER(TEXT(EDATE($D11,Milestones!$AA$42),"dd mmm yy"))&amp;" "&amp;Milestones!$AB$42&amp;" "&amp;IF(AND(Milestones!$AB$42="FT",Milestones!$AA$42=FT_Y5,EDATE($D11,Milestones!$AA$42)&lt;PolicyEff),1,Milestones!$AC$42)&amp;";  ","")&amp;IF(AND(EDATE($D11,Milestones!$AA$43)&lt;=AsOfDate,EDATE($D11,Milestones!$AA$43)&gt;=SchemeStart,IF($X11=0,$AD11,IF(AND($Z11&lt;&gt;"",EDATE($D11,Milestones!$AA$43)&gt;=$Z11),$AC11,IF(AND($Y11&lt;&gt;"",EDATE($D11,Milestones!$AA$43)&gt;=$Y11),$AB11,$AA11)))=Milestones!$AB$43),UPPER(TEXT(EDATE($D11,Milestones!$AA$43),"dd mmm yy"))&amp;" "&amp;Milestones!$AB$43&amp;" "&amp;IF(AND(Milestones!$AB$43="FT",Milestones!$AA$43=FT_Y5,EDATE($D11,Milestones!$AA$43)&lt;PolicyEff),1,Milestones!$AC$43)&amp;";  ",""))</f>
        <v/>
      </c>
      <c r="K11" s="0" t="str">
        <f aca="false">IF(OR($A11="",$D11=""),"",IF(AND(EDATE($D11,Milestones!$AA$44)&lt;=AsOfDate,EDATE($D11,Milestones!$AA$44)&gt;=SchemeStart,IF($X11=0,$AD11,IF(AND($Z11&lt;&gt;"",EDATE($D11,Milestones!$AA$44)&gt;=$Z11),$AC11,IF(AND($Y11&lt;&gt;"",EDATE($D11,Milestones!$AA$44)&gt;=$Y11),$AB11,$AA11)))=Milestones!$AB$44),UPPER(TEXT(EDATE($D11,Milestones!$AA$44),"dd mmm yy"))&amp;" "&amp;Milestones!$AB$44&amp;" "&amp;IF(AND(Milestones!$AB$44="FT",Milestones!$AA$44=FT_Y5,EDATE($D11,Milestones!$AA$44)&lt;PolicyEff),1,Milestones!$AC$44)&amp;";  ","")&amp;IF(AND(EDATE($D11,Milestones!$AA$45)&lt;=AsOfDate,EDATE($D11,Milestones!$AA$45)&gt;=SchemeStart,IF($X11=0,$AD11,IF(AND($Z11&lt;&gt;"",EDATE($D11,Milestones!$AA$45)&gt;=$Z11),$AC11,IF(AND($Y11&lt;&gt;"",EDATE($D11,Milestones!$AA$45)&gt;=$Y11),$AB11,$AA11)))=Milestones!$AB$45),UPPER(TEXT(EDATE($D11,Milestones!$AA$45),"dd mmm yy"))&amp;" "&amp;Milestones!$AB$45&amp;" "&amp;IF(AND(Milestones!$AB$45="FT",Milestones!$AA$45=FT_Y5,EDATE($D11,Milestones!$AA$45)&lt;PolicyEff),1,Milestones!$AC$45)&amp;";  ","")&amp;IF(AND(EDATE($D11,Milestones!$AA$46)&lt;=AsOfDate,EDATE($D11,Milestones!$AA$46)&gt;=SchemeStart,IF($X11=0,$AD11,IF(AND($Z11&lt;&gt;"",EDATE($D11,Milestones!$AA$46)&gt;=$Z11),$AC11,IF(AND($Y11&lt;&gt;"",EDATE($D11,Milestones!$AA$46)&gt;=$Y11),$AB11,$AA11)))=Milestones!$AB$46),UPPER(TEXT(EDATE($D11,Milestones!$AA$46),"dd mmm yy"))&amp;" "&amp;Milestones!$AB$46&amp;" "&amp;IF(AND(Milestones!$AB$46="FT",Milestones!$AA$46=FT_Y5,EDATE($D11,Milestones!$AA$46)&lt;PolicyEff),1,Milestones!$AC$46)&amp;";  ","")&amp;IF(AND(EDATE($D11,Milestones!$AA$47)&lt;=AsOfDate,EDATE($D11,Milestones!$AA$47)&gt;=SchemeStart,IF($X11=0,$AD11,IF(AND($Z11&lt;&gt;"",EDATE($D11,Milestones!$AA$47)&gt;=$Z11),$AC11,IF(AND($Y11&lt;&gt;"",EDATE($D11,Milestones!$AA$47)&gt;=$Y11),$AB11,$AA11)))=Milestones!$AB$47),UPPER(TEXT(EDATE($D11,Milestones!$AA$47),"dd mmm yy"))&amp;" "&amp;Milestones!$AB$47&amp;" "&amp;IF(AND(Milestones!$AB$47="FT",Milestones!$AA$47=FT_Y5,EDATE($D11,Milestones!$AA$47)&lt;PolicyEff),1,Milestones!$AC$47)&amp;";  ","")&amp;IF(AND(EDATE($D11,Milestones!$AA$48)&lt;=AsOfDate,EDATE($D11,Milestones!$AA$48)&gt;=SchemeStart,IF($X11=0,$AD11,IF(AND($Z11&lt;&gt;"",EDATE($D11,Milestones!$AA$48)&gt;=$Z11),$AC11,IF(AND($Y11&lt;&gt;"",EDATE($D11,Milestones!$AA$48)&gt;=$Y11),$AB11,$AA11)))=Milestones!$AB$48),UPPER(TEXT(EDATE($D11,Milestones!$AA$48),"dd mmm yy"))&amp;" "&amp;Milestones!$AB$48&amp;" "&amp;IF(AND(Milestones!$AB$48="FT",Milestones!$AA$48=FT_Y5,EDATE($D11,Milestones!$AA$48)&lt;PolicyEff),1,Milestones!$AC$48)&amp;";  ","")&amp;IF(AND(EDATE($D11,Milestones!$AA$49)&lt;=AsOfDate,EDATE($D11,Milestones!$AA$49)&gt;=SchemeStart,IF($X11=0,$AD11,IF(AND($Z11&lt;&gt;"",EDATE($D11,Milestones!$AA$49)&gt;=$Z11),$AC11,IF(AND($Y11&lt;&gt;"",EDATE($D11,Milestones!$AA$49)&gt;=$Y11),$AB11,$AA11)))=Milestones!$AB$49),UPPER(TEXT(EDATE($D11,Milestones!$AA$49),"dd mmm yy"))&amp;" "&amp;Milestones!$AB$49&amp;" "&amp;IF(AND(Milestones!$AB$49="FT",Milestones!$AA$49=FT_Y5,EDATE($D11,Milestones!$AA$49)&lt;PolicyEff),1,Milestones!$AC$49)&amp;";  ","")&amp;IF(AND(EDATE($D11,Milestones!$AA$50)&lt;=AsOfDate,EDATE($D11,Milestones!$AA$50)&gt;=SchemeStart,IF($X11=0,$AD11,IF(AND($Z11&lt;&gt;"",EDATE($D11,Milestones!$AA$50)&gt;=$Z11),$AC11,IF(AND($Y11&lt;&gt;"",EDATE($D11,Milestones!$AA$50)&gt;=$Y11),$AB11,$AA11)))=Milestones!$AB$50),UPPER(TEXT(EDATE($D11,Milestones!$AA$50),"dd mmm yy"))&amp;" "&amp;Milestones!$AB$50&amp;" "&amp;IF(AND(Milestones!$AB$50="FT",Milestones!$AA$50=FT_Y5,EDATE($D11,Milestones!$AA$50)&lt;PolicyEff),1,Milestones!$AC$50)&amp;";  ","")&amp;IF(AND(EDATE($D11,Milestones!$AA$51)&lt;=AsOfDate,EDATE($D11,Milestones!$AA$51)&gt;=SchemeStart,IF($X11=0,$AD11,IF(AND($Z11&lt;&gt;"",EDATE($D11,Milestones!$AA$51)&gt;=$Z11),$AC11,IF(AND($Y11&lt;&gt;"",EDATE($D11,Milestones!$AA$51)&gt;=$Y11),$AB11,$AA11)))=Milestones!$AB$51),UPPER(TEXT(EDATE($D11,Milestones!$AA$51),"dd mmm yy"))&amp;" "&amp;Milestones!$AB$51&amp;" "&amp;IF(AND(Milestones!$AB$51="FT",Milestones!$AA$51=FT_Y5,EDATE($D11,Milestones!$AA$51)&lt;PolicyEff),1,Milestones!$AC$51)&amp;";  ","")&amp;IF(AND(EDATE($D11,Milestones!$AA$52)&lt;=AsOfDate,EDATE($D11,Milestones!$AA$52)&gt;=SchemeStart,IF($X11=0,$AD11,IF(AND($Z11&lt;&gt;"",EDATE($D11,Milestones!$AA$52)&gt;=$Z11),$AC11,IF(AND($Y11&lt;&gt;"",EDATE($D11,Milestones!$AA$52)&gt;=$Y11),$AB11,$AA11)))=Milestones!$AB$52),UPPER(TEXT(EDATE($D11,Milestones!$AA$52),"dd mmm yy"))&amp;" "&amp;Milestones!$AB$52&amp;" "&amp;IF(AND(Milestones!$AB$52="FT",Milestones!$AA$52=FT_Y5,EDATE($D11,Milestones!$AA$52)&lt;PolicyEff),1,Milestones!$AC$52)&amp;";  ","")&amp;IF(AND(EDATE($D11,Milestones!$AA$53)&lt;=AsOfDate,EDATE($D11,Milestones!$AA$53)&gt;=SchemeStart,IF($X11=0,$AD11,IF(AND($Z11&lt;&gt;"",EDATE($D11,Milestones!$AA$53)&gt;=$Z11),$AC11,IF(AND($Y11&lt;&gt;"",EDATE($D11,Milestones!$AA$53)&gt;=$Y11),$AB11,$AA11)))=Milestones!$AB$53),UPPER(TEXT(EDATE($D11,Milestones!$AA$53),"dd mmm yy"))&amp;" "&amp;Milestones!$AB$53&amp;" "&amp;IF(AND(Milestones!$AB$53="FT",Milestones!$AA$53=FT_Y5,EDATE($D11,Milestones!$AA$53)&lt;PolicyEff),1,Milestones!$AC$53)&amp;";  ","")&amp;IF(AND(EDATE($D11,Milestones!$AA$54)&lt;=AsOfDate,EDATE($D11,Milestones!$AA$54)&gt;=SchemeStart,IF($X11=0,$AD11,IF(AND($Z11&lt;&gt;"",EDATE($D11,Milestones!$AA$54)&gt;=$Z11),$AC11,IF(AND($Y11&lt;&gt;"",EDATE($D11,Milestones!$AA$54)&gt;=$Y11),$AB11,$AA11)))=Milestones!$AB$54),UPPER(TEXT(EDATE($D11,Milestones!$AA$54),"dd mmm yy"))&amp;" "&amp;Milestones!$AB$54&amp;" "&amp;IF(AND(Milestones!$AB$54="FT",Milestones!$AA$54=FT_Y5,EDATE($D11,Milestones!$AA$54)&lt;PolicyEff),1,Milestones!$AC$54)&amp;";  ","")&amp;IF(AND(EDATE($D11,Milestones!$AA$55)&lt;=AsOfDate,EDATE($D11,Milestones!$AA$55)&gt;=SchemeStart,IF($X11=0,$AD11,IF(AND($Z11&lt;&gt;"",EDATE($D11,Milestones!$AA$55)&gt;=$Z11),$AC11,IF(AND($Y11&lt;&gt;"",EDATE($D11,Milestones!$AA$55)&gt;=$Y11),$AB11,$AA11)))=Milestones!$AB$55),UPPER(TEXT(EDATE($D11,Milestones!$AA$55),"dd mmm yy"))&amp;" "&amp;Milestones!$AB$55&amp;" "&amp;IF(AND(Milestones!$AB$55="FT",Milestones!$AA$55=FT_Y5,EDATE($D11,Milestones!$AA$55)&lt;PolicyEff),1,Milestones!$AC$55)&amp;";  ",""))</f>
        <v/>
      </c>
      <c r="L11" s="0" t="str">
        <f aca="false">IF(OR($A11="",$D11=""),"",IF(AND(EDATE($D11,Milestones!$AA$56)&lt;=AsOfDate,EDATE($D11,Milestones!$AA$56)&gt;=SchemeStart,IF($X11=0,$AD11,IF(AND($Z11&lt;&gt;"",EDATE($D11,Milestones!$AA$56)&gt;=$Z11),$AC11,IF(AND($Y11&lt;&gt;"",EDATE($D11,Milestones!$AA$56)&gt;=$Y11),$AB11,$AA11)))=Milestones!$AB$56),UPPER(TEXT(EDATE($D11,Milestones!$AA$56),"dd mmm yy"))&amp;" "&amp;Milestones!$AB$56&amp;" "&amp;IF(AND(Milestones!$AB$56="FT",Milestones!$AA$56=FT_Y5,EDATE($D11,Milestones!$AA$56)&lt;PolicyEff),1,Milestones!$AC$56)&amp;";  ","")&amp;IF(AND(EDATE($D11,Milestones!$AA$57)&lt;=AsOfDate,EDATE($D11,Milestones!$AA$57)&gt;=SchemeStart,IF($X11=0,$AD11,IF(AND($Z11&lt;&gt;"",EDATE($D11,Milestones!$AA$57)&gt;=$Z11),$AC11,IF(AND($Y11&lt;&gt;"",EDATE($D11,Milestones!$AA$57)&gt;=$Y11),$AB11,$AA11)))=Milestones!$AB$57),UPPER(TEXT(EDATE($D11,Milestones!$AA$57),"dd mmm yy"))&amp;" "&amp;Milestones!$AB$57&amp;" "&amp;IF(AND(Milestones!$AB$57="FT",Milestones!$AA$57=FT_Y5,EDATE($D11,Milestones!$AA$57)&lt;PolicyEff),1,Milestones!$AC$57)&amp;";  ","")&amp;IF(AND(EDATE($D11,Milestones!$AA$58)&lt;=AsOfDate,EDATE($D11,Milestones!$AA$58)&gt;=SchemeStart,IF($X11=0,$AD11,IF(AND($Z11&lt;&gt;"",EDATE($D11,Milestones!$AA$58)&gt;=$Z11),$AC11,IF(AND($Y11&lt;&gt;"",EDATE($D11,Milestones!$AA$58)&gt;=$Y11),$AB11,$AA11)))=Milestones!$AB$58),UPPER(TEXT(EDATE($D11,Milestones!$AA$58),"dd mmm yy"))&amp;" "&amp;Milestones!$AB$58&amp;" "&amp;IF(AND(Milestones!$AB$58="FT",Milestones!$AA$58=FT_Y5,EDATE($D11,Milestones!$AA$58)&lt;PolicyEff),1,Milestones!$AC$58)&amp;";  ","")&amp;IF(AND(EDATE($D11,Milestones!$AA$59)&lt;=AsOfDate,EDATE($D11,Milestones!$AA$59)&gt;=SchemeStart,IF($X11=0,$AD11,IF(AND($Z11&lt;&gt;"",EDATE($D11,Milestones!$AA$59)&gt;=$Z11),$AC11,IF(AND($Y11&lt;&gt;"",EDATE($D11,Milestones!$AA$59)&gt;=$Y11),$AB11,$AA11)))=Milestones!$AB$59),UPPER(TEXT(EDATE($D11,Milestones!$AA$59),"dd mmm yy"))&amp;" "&amp;Milestones!$AB$59&amp;" "&amp;IF(AND(Milestones!$AB$59="FT",Milestones!$AA$59=FT_Y5,EDATE($D11,Milestones!$AA$59)&lt;PolicyEff),1,Milestones!$AC$59)&amp;";  ","")&amp;IF(AND(EDATE($D11,Milestones!$AA$60)&lt;=AsOfDate,EDATE($D11,Milestones!$AA$60)&gt;=SchemeStart,IF($X11=0,$AD11,IF(AND($Z11&lt;&gt;"",EDATE($D11,Milestones!$AA$60)&gt;=$Z11),$AC11,IF(AND($Y11&lt;&gt;"",EDATE($D11,Milestones!$AA$60)&gt;=$Y11),$AB11,$AA11)))=Milestones!$AB$60),UPPER(TEXT(EDATE($D11,Milestones!$AA$60),"dd mmm yy"))&amp;" "&amp;Milestones!$AB$60&amp;" "&amp;IF(AND(Milestones!$AB$60="FT",Milestones!$AA$60=FT_Y5,EDATE($D11,Milestones!$AA$60)&lt;PolicyEff),1,Milestones!$AC$60)&amp;";  ","")&amp;IF(AND(EDATE($D11,Milestones!$AA$61)&lt;=AsOfDate,EDATE($D11,Milestones!$AA$61)&gt;=SchemeStart,IF($X11=0,$AD11,IF(AND($Z11&lt;&gt;"",EDATE($D11,Milestones!$AA$61)&gt;=$Z11),$AC11,IF(AND($Y11&lt;&gt;"",EDATE($D11,Milestones!$AA$61)&gt;=$Y11),$AB11,$AA11)))=Milestones!$AB$61),UPPER(TEXT(EDATE($D11,Milestones!$AA$61),"dd mmm yy"))&amp;" "&amp;Milestones!$AB$61&amp;" "&amp;IF(AND(Milestones!$AB$61="FT",Milestones!$AA$61=FT_Y5,EDATE($D11,Milestones!$AA$61)&lt;PolicyEff),1,Milestones!$AC$61)&amp;";  ","")&amp;IF(AND(EDATE($D11,Milestones!$AA$62)&lt;=AsOfDate,EDATE($D11,Milestones!$AA$62)&gt;=SchemeStart,IF($X11=0,$AD11,IF(AND($Z11&lt;&gt;"",EDATE($D11,Milestones!$AA$62)&gt;=$Z11),$AC11,IF(AND($Y11&lt;&gt;"",EDATE($D11,Milestones!$AA$62)&gt;=$Y11),$AB11,$AA11)))=Milestones!$AB$62),UPPER(TEXT(EDATE($D11,Milestones!$AA$62),"dd mmm yy"))&amp;" "&amp;Milestones!$AB$62&amp;" "&amp;IF(AND(Milestones!$AB$62="FT",Milestones!$AA$62=FT_Y5,EDATE($D11,Milestones!$AA$62)&lt;PolicyEff),1,Milestones!$AC$62)&amp;";  ","")&amp;IF(AND(EDATE($D11,Milestones!$AA$63)&lt;=AsOfDate,EDATE($D11,Milestones!$AA$63)&gt;=SchemeStart,IF($X11=0,$AD11,IF(AND($Z11&lt;&gt;"",EDATE($D11,Milestones!$AA$63)&gt;=$Z11),$AC11,IF(AND($Y11&lt;&gt;"",EDATE($D11,Milestones!$AA$63)&gt;=$Y11),$AB11,$AA11)))=Milestones!$AB$63),UPPER(TEXT(EDATE($D11,Milestones!$AA$63),"dd mmm yy"))&amp;" "&amp;Milestones!$AB$63&amp;" "&amp;IF(AND(Milestones!$AB$63="FT",Milestones!$AA$63=FT_Y5,EDATE($D11,Milestones!$AA$63)&lt;PolicyEff),1,Milestones!$AC$63)&amp;";  ","")&amp;IF(AND(EDATE($D11,Milestones!$AA$64)&lt;=AsOfDate,EDATE($D11,Milestones!$AA$64)&gt;=SchemeStart,IF($X11=0,$AD11,IF(AND($Z11&lt;&gt;"",EDATE($D11,Milestones!$AA$64)&gt;=$Z11),$AC11,IF(AND($Y11&lt;&gt;"",EDATE($D11,Milestones!$AA$64)&gt;=$Y11),$AB11,$AA11)))=Milestones!$AB$64),UPPER(TEXT(EDATE($D11,Milestones!$AA$64),"dd mmm yy"))&amp;" "&amp;Milestones!$AB$64&amp;" "&amp;IF(AND(Milestones!$AB$64="FT",Milestones!$AA$64=FT_Y5,EDATE($D11,Milestones!$AA$64)&lt;PolicyEff),1,Milestones!$AC$64)&amp;";  ","")&amp;IF(AND(EDATE($D11,Milestones!$AA$65)&lt;=AsOfDate,EDATE($D11,Milestones!$AA$65)&gt;=SchemeStart,IF($X11=0,$AD11,IF(AND($Z11&lt;&gt;"",EDATE($D11,Milestones!$AA$65)&gt;=$Z11),$AC11,IF(AND($Y11&lt;&gt;"",EDATE($D11,Milestones!$AA$65)&gt;=$Y11),$AB11,$AA11)))=Milestones!$AB$65),UPPER(TEXT(EDATE($D11,Milestones!$AA$65),"dd mmm yy"))&amp;" "&amp;Milestones!$AB$65&amp;" "&amp;IF(AND(Milestones!$AB$65="FT",Milestones!$AA$65=FT_Y5,EDATE($D11,Milestones!$AA$65)&lt;PolicyEff),1,Milestones!$AC$65)&amp;";  ","")&amp;IF(AND(EDATE($D11,Milestones!$AA$66)&lt;=AsOfDate,EDATE($D11,Milestones!$AA$66)&gt;=SchemeStart,IF($X11=0,$AD11,IF(AND($Z11&lt;&gt;"",EDATE($D11,Milestones!$AA$66)&gt;=$Z11),$AC11,IF(AND($Y11&lt;&gt;"",EDATE($D11,Milestones!$AA$66)&gt;=$Y11),$AB11,$AA11)))=Milestones!$AB$66),UPPER(TEXT(EDATE($D11,Milestones!$AA$66),"dd mmm yy"))&amp;" "&amp;Milestones!$AB$66&amp;" "&amp;IF(AND(Milestones!$AB$66="FT",Milestones!$AA$66=FT_Y5,EDATE($D11,Milestones!$AA$66)&lt;PolicyEff),1,Milestones!$AC$66)&amp;";  ","")&amp;IF(AND(EDATE($D11,Milestones!$AA$67)&lt;=AsOfDate,EDATE($D11,Milestones!$AA$67)&gt;=SchemeStart,IF($X11=0,$AD11,IF(AND($Z11&lt;&gt;"",EDATE($D11,Milestones!$AA$67)&gt;=$Z11),$AC11,IF(AND($Y11&lt;&gt;"",EDATE($D11,Milestones!$AA$67)&gt;=$Y11),$AB11,$AA11)))=Milestones!$AB$67),UPPER(TEXT(EDATE($D11,Milestones!$AA$67),"dd mmm yy"))&amp;" "&amp;Milestones!$AB$67&amp;" "&amp;IF(AND(Milestones!$AB$67="FT",Milestones!$AA$67=FT_Y5,EDATE($D11,Milestones!$AA$67)&lt;PolicyEff),1,Milestones!$AC$67)&amp;";  ",""))</f>
        <v/>
      </c>
      <c r="M11" s="0" t="str">
        <f aca="false">IF(OR($A11="",$D11=""),"",IF(AND(EDATE($D11,Milestones!$AA$68)&lt;=AsOfDate,EDATE($D11,Milestones!$AA$68)&gt;=SchemeStart,IF($X11=0,$AD11,IF(AND($Z11&lt;&gt;"",EDATE($D11,Milestones!$AA$68)&gt;=$Z11),$AC11,IF(AND($Y11&lt;&gt;"",EDATE($D11,Milestones!$AA$68)&gt;=$Y11),$AB11,$AA11)))=Milestones!$AB$68),UPPER(TEXT(EDATE($D11,Milestones!$AA$68),"dd mmm yy"))&amp;" "&amp;Milestones!$AB$68&amp;" "&amp;IF(AND(Milestones!$AB$68="FT",Milestones!$AA$68=FT_Y5,EDATE($D11,Milestones!$AA$68)&lt;PolicyEff),1,Milestones!$AC$68)&amp;";  ","")&amp;IF(AND(EDATE($D11,Milestones!$AA$69)&lt;=AsOfDate,EDATE($D11,Milestones!$AA$69)&gt;=SchemeStart,IF($X11=0,$AD11,IF(AND($Z11&lt;&gt;"",EDATE($D11,Milestones!$AA$69)&gt;=$Z11),$AC11,IF(AND($Y11&lt;&gt;"",EDATE($D11,Milestones!$AA$69)&gt;=$Y11),$AB11,$AA11)))=Milestones!$AB$69),UPPER(TEXT(EDATE($D11,Milestones!$AA$69),"dd mmm yy"))&amp;" "&amp;Milestones!$AB$69&amp;" "&amp;IF(AND(Milestones!$AB$69="FT",Milestones!$AA$69=FT_Y5,EDATE($D11,Milestones!$AA$69)&lt;PolicyEff),1,Milestones!$AC$69)&amp;";  ","")&amp;IF(AND(EDATE($D11,Milestones!$AA$70)&lt;=AsOfDate,EDATE($D11,Milestones!$AA$70)&gt;=SchemeStart,IF($X11=0,$AD11,IF(AND($Z11&lt;&gt;"",EDATE($D11,Milestones!$AA$70)&gt;=$Z11),$AC11,IF(AND($Y11&lt;&gt;"",EDATE($D11,Milestones!$AA$70)&gt;=$Y11),$AB11,$AA11)))=Milestones!$AB$70),UPPER(TEXT(EDATE($D11,Milestones!$AA$70),"dd mmm yy"))&amp;" "&amp;Milestones!$AB$70&amp;" "&amp;IF(AND(Milestones!$AB$70="FT",Milestones!$AA$70=FT_Y5,EDATE($D11,Milestones!$AA$70)&lt;PolicyEff),1,Milestones!$AC$70)&amp;";  ","")&amp;IF(AND(EDATE($D11,Milestones!$AA$71)&lt;=AsOfDate,EDATE($D11,Milestones!$AA$71)&gt;=SchemeStart,IF($X11=0,$AD11,IF(AND($Z11&lt;&gt;"",EDATE($D11,Milestones!$AA$71)&gt;=$Z11),$AC11,IF(AND($Y11&lt;&gt;"",EDATE($D11,Milestones!$AA$71)&gt;=$Y11),$AB11,$AA11)))=Milestones!$AB$71),UPPER(TEXT(EDATE($D11,Milestones!$AA$71),"dd mmm yy"))&amp;" "&amp;Milestones!$AB$71&amp;" "&amp;IF(AND(Milestones!$AB$71="FT",Milestones!$AA$71=FT_Y5,EDATE($D11,Milestones!$AA$71)&lt;PolicyEff),1,Milestones!$AC$71)&amp;";  ","")&amp;IF(AND(EDATE($D11,Milestones!$AA$72)&lt;=AsOfDate,EDATE($D11,Milestones!$AA$72)&gt;=SchemeStart,IF($X11=0,$AD11,IF(AND($Z11&lt;&gt;"",EDATE($D11,Milestones!$AA$72)&gt;=$Z11),$AC11,IF(AND($Y11&lt;&gt;"",EDATE($D11,Milestones!$AA$72)&gt;=$Y11),$AB11,$AA11)))=Milestones!$AB$72),UPPER(TEXT(EDATE($D11,Milestones!$AA$72),"dd mmm yy"))&amp;" "&amp;Milestones!$AB$72&amp;" "&amp;IF(AND(Milestones!$AB$72="FT",Milestones!$AA$72=FT_Y5,EDATE($D11,Milestones!$AA$72)&lt;PolicyEff),1,Milestones!$AC$72)&amp;";  ","")&amp;IF(AND(EDATE($D11,Milestones!$AA$73)&lt;=AsOfDate,EDATE($D11,Milestones!$AA$73)&gt;=SchemeStart,IF($X11=0,$AD11,IF(AND($Z11&lt;&gt;"",EDATE($D11,Milestones!$AA$73)&gt;=$Z11),$AC11,IF(AND($Y11&lt;&gt;"",EDATE($D11,Milestones!$AA$73)&gt;=$Y11),$AB11,$AA11)))=Milestones!$AB$73),UPPER(TEXT(EDATE($D11,Milestones!$AA$73),"dd mmm yy"))&amp;" "&amp;Milestones!$AB$73&amp;" "&amp;IF(AND(Milestones!$AB$73="FT",Milestones!$AA$73=FT_Y5,EDATE($D11,Milestones!$AA$73)&lt;PolicyEff),1,Milestones!$AC$73)&amp;";  ","")&amp;IF(AND(EDATE($D11,Milestones!$AA$74)&lt;=AsOfDate,EDATE($D11,Milestones!$AA$74)&gt;=SchemeStart,IF($X11=0,$AD11,IF(AND($Z11&lt;&gt;"",EDATE($D11,Milestones!$AA$74)&gt;=$Z11),$AC11,IF(AND($Y11&lt;&gt;"",EDATE($D11,Milestones!$AA$74)&gt;=$Y11),$AB11,$AA11)))=Milestones!$AB$74),UPPER(TEXT(EDATE($D11,Milestones!$AA$74),"dd mmm yy"))&amp;" "&amp;Milestones!$AB$74&amp;" "&amp;IF(AND(Milestones!$AB$74="FT",Milestones!$AA$74=FT_Y5,EDATE($D11,Milestones!$AA$74)&lt;PolicyEff),1,Milestones!$AC$74)&amp;";  ","")&amp;IF(AND(EDATE($D11,Milestones!$AA$75)&lt;=AsOfDate,EDATE($D11,Milestones!$AA$75)&gt;=SchemeStart,IF($X11=0,$AD11,IF(AND($Z11&lt;&gt;"",EDATE($D11,Milestones!$AA$75)&gt;=$Z11),$AC11,IF(AND($Y11&lt;&gt;"",EDATE($D11,Milestones!$AA$75)&gt;=$Y11),$AB11,$AA11)))=Milestones!$AB$75),UPPER(TEXT(EDATE($D11,Milestones!$AA$75),"dd mmm yy"))&amp;" "&amp;Milestones!$AB$75&amp;" "&amp;IF(AND(Milestones!$AB$75="FT",Milestones!$AA$75=FT_Y5,EDATE($D11,Milestones!$AA$75)&lt;PolicyEff),1,Milestones!$AC$75)&amp;";  ","")&amp;IF(AND(EDATE($D11,Milestones!$AA$76)&lt;=AsOfDate,EDATE($D11,Milestones!$AA$76)&gt;=SchemeStart,IF($X11=0,$AD11,IF(AND($Z11&lt;&gt;"",EDATE($D11,Milestones!$AA$76)&gt;=$Z11),$AC11,IF(AND($Y11&lt;&gt;"",EDATE($D11,Milestones!$AA$76)&gt;=$Y11),$AB11,$AA11)))=Milestones!$AB$76),UPPER(TEXT(EDATE($D11,Milestones!$AA$76),"dd mmm yy"))&amp;" "&amp;Milestones!$AB$76&amp;" "&amp;IF(AND(Milestones!$AB$76="FT",Milestones!$AA$76=FT_Y5,EDATE($D11,Milestones!$AA$76)&lt;PolicyEff),1,Milestones!$AC$76)&amp;";  ","")&amp;IF(AND(EDATE($D11,Milestones!$AA$77)&lt;=AsOfDate,EDATE($D11,Milestones!$AA$77)&gt;=SchemeStart,IF($X11=0,$AD11,IF(AND($Z11&lt;&gt;"",EDATE($D11,Milestones!$AA$77)&gt;=$Z11),$AC11,IF(AND($Y11&lt;&gt;"",EDATE($D11,Milestones!$AA$77)&gt;=$Y11),$AB11,$AA11)))=Milestones!$AB$77),UPPER(TEXT(EDATE($D11,Milestones!$AA$77),"dd mmm yy"))&amp;" "&amp;Milestones!$AB$77&amp;" "&amp;IF(AND(Milestones!$AB$77="FT",Milestones!$AA$77=FT_Y5,EDATE($D11,Milestones!$AA$77)&lt;PolicyEff),1,Milestones!$AC$77)&amp;";  ","")&amp;IF(AND(EDATE($D11,Milestones!$AA$78)&lt;=AsOfDate,EDATE($D11,Milestones!$AA$78)&gt;=SchemeStart,IF($X11=0,$AD11,IF(AND($Z11&lt;&gt;"",EDATE($D11,Milestones!$AA$78)&gt;=$Z11),$AC11,IF(AND($Y11&lt;&gt;"",EDATE($D11,Milestones!$AA$78)&gt;=$Y11),$AB11,$AA11)))=Milestones!$AB$78),UPPER(TEXT(EDATE($D11,Milestones!$AA$78),"dd mmm yy"))&amp;" "&amp;Milestones!$AB$78&amp;" "&amp;IF(AND(Milestones!$AB$78="FT",Milestones!$AA$78=FT_Y5,EDATE($D11,Milestones!$AA$78)&lt;PolicyEff),1,Milestones!$AC$78)&amp;";  ","")&amp;IF(AND(EDATE($D11,Milestones!$AA$79)&lt;=AsOfDate,EDATE($D11,Milestones!$AA$79)&gt;=SchemeStart,IF($X11=0,$AD11,IF(AND($Z11&lt;&gt;"",EDATE($D11,Milestones!$AA$79)&gt;=$Z11),$AC11,IF(AND($Y11&lt;&gt;"",EDATE($D11,Milestones!$AA$79)&gt;=$Y11),$AB11,$AA11)))=Milestones!$AB$79),UPPER(TEXT(EDATE($D11,Milestones!$AA$79),"dd mmm yy"))&amp;" "&amp;Milestones!$AB$79&amp;" "&amp;IF(AND(Milestones!$AB$79="FT",Milestones!$AA$79=FT_Y5,EDATE($D11,Milestones!$AA$79)&lt;PolicyEff),1,Milestones!$AC$79)&amp;";  ",""))</f>
        <v/>
      </c>
      <c r="N11" s="0" t="str">
        <f aca="false">IF(OR($A11="",$D11=""),"",IF(AND(EDATE($D11,Milestones!$AA$80)&lt;=AsOfDate,EDATE($D11,Milestones!$AA$80)&gt;=SchemeStart,IF($X11=0,$AD11,IF(AND($Z11&lt;&gt;"",EDATE($D11,Milestones!$AA$80)&gt;=$Z11),$AC11,IF(AND($Y11&lt;&gt;"",EDATE($D11,Milestones!$AA$80)&gt;=$Y11),$AB11,$AA11)))=Milestones!$AB$80),UPPER(TEXT(EDATE($D11,Milestones!$AA$80),"dd mmm yy"))&amp;" "&amp;Milestones!$AB$80&amp;" "&amp;IF(AND(Milestones!$AB$80="FT",Milestones!$AA$80=FT_Y5,EDATE($D11,Milestones!$AA$80)&lt;PolicyEff),1,Milestones!$AC$80)&amp;";  ","")&amp;IF(AND(EDATE($D11,Milestones!$AA$81)&lt;=AsOfDate,EDATE($D11,Milestones!$AA$81)&gt;=SchemeStart,IF($X11=0,$AD11,IF(AND($Z11&lt;&gt;"",EDATE($D11,Milestones!$AA$81)&gt;=$Z11),$AC11,IF(AND($Y11&lt;&gt;"",EDATE($D11,Milestones!$AA$81)&gt;=$Y11),$AB11,$AA11)))=Milestones!$AB$81),UPPER(TEXT(EDATE($D11,Milestones!$AA$81),"dd mmm yy"))&amp;" "&amp;Milestones!$AB$81&amp;" "&amp;IF(AND(Milestones!$AB$81="FT",Milestones!$AA$81=FT_Y5,EDATE($D11,Milestones!$AA$81)&lt;PolicyEff),1,Milestones!$AC$81)&amp;";  ","")&amp;IF(AND(EDATE($D11,Milestones!$AA$82)&lt;=AsOfDate,EDATE($D11,Milestones!$AA$82)&gt;=SchemeStart,IF($X11=0,$AD11,IF(AND($Z11&lt;&gt;"",EDATE($D11,Milestones!$AA$82)&gt;=$Z11),$AC11,IF(AND($Y11&lt;&gt;"",EDATE($D11,Milestones!$AA$82)&gt;=$Y11),$AB11,$AA11)))=Milestones!$AB$82),UPPER(TEXT(EDATE($D11,Milestones!$AA$82),"dd mmm yy"))&amp;" "&amp;Milestones!$AB$82&amp;" "&amp;IF(AND(Milestones!$AB$82="FT",Milestones!$AA$82=FT_Y5,EDATE($D11,Milestones!$AA$82)&lt;PolicyEff),1,Milestones!$AC$82)&amp;";  ","")&amp;IF(AND(EDATE($D11,Milestones!$AA$83)&lt;=AsOfDate,EDATE($D11,Milestones!$AA$83)&gt;=SchemeStart,IF($X11=0,$AD11,IF(AND($Z11&lt;&gt;"",EDATE($D11,Milestones!$AA$83)&gt;=$Z11),$AC11,IF(AND($Y11&lt;&gt;"",EDATE($D11,Milestones!$AA$83)&gt;=$Y11),$AB11,$AA11)))=Milestones!$AB$83),UPPER(TEXT(EDATE($D11,Milestones!$AA$83),"dd mmm yy"))&amp;" "&amp;Milestones!$AB$83&amp;" "&amp;IF(AND(Milestones!$AB$83="FT",Milestones!$AA$83=FT_Y5,EDATE($D11,Milestones!$AA$83)&lt;PolicyEff),1,Milestones!$AC$83)&amp;";  ","")&amp;IF(AND(EDATE($D11,Milestones!$AA$84)&lt;=AsOfDate,EDATE($D11,Milestones!$AA$84)&gt;=SchemeStart,IF($X11=0,$AD11,IF(AND($Z11&lt;&gt;"",EDATE($D11,Milestones!$AA$84)&gt;=$Z11),$AC11,IF(AND($Y11&lt;&gt;"",EDATE($D11,Milestones!$AA$84)&gt;=$Y11),$AB11,$AA11)))=Milestones!$AB$84),UPPER(TEXT(EDATE($D11,Milestones!$AA$84),"dd mmm yy"))&amp;" "&amp;Milestones!$AB$84&amp;" "&amp;IF(AND(Milestones!$AB$84="FT",Milestones!$AA$84=FT_Y5,EDATE($D11,Milestones!$AA$84)&lt;PolicyEff),1,Milestones!$AC$84)&amp;";  ","")&amp;IF(AND(EDATE($D11,Milestones!$AA$85)&lt;=AsOfDate,EDATE($D11,Milestones!$AA$85)&gt;=SchemeStart,IF($X11=0,$AD11,IF(AND($Z11&lt;&gt;"",EDATE($D11,Milestones!$AA$85)&gt;=$Z11),$AC11,IF(AND($Y11&lt;&gt;"",EDATE($D11,Milestones!$AA$85)&gt;=$Y11),$AB11,$AA11)))=Milestones!$AB$85),UPPER(TEXT(EDATE($D11,Milestones!$AA$85),"dd mmm yy"))&amp;" "&amp;Milestones!$AB$85&amp;" "&amp;IF(AND(Milestones!$AB$85="FT",Milestones!$AA$85=FT_Y5,EDATE($D11,Milestones!$AA$85)&lt;PolicyEff),1,Milestones!$AC$85)&amp;";  ","")&amp;IF(AND(EDATE($D11,Milestones!$AA$86)&lt;=AsOfDate,EDATE($D11,Milestones!$AA$86)&gt;=SchemeStart,IF($X11=0,$AD11,IF(AND($Z11&lt;&gt;"",EDATE($D11,Milestones!$AA$86)&gt;=$Z11),$AC11,IF(AND($Y11&lt;&gt;"",EDATE($D11,Milestones!$AA$86)&gt;=$Y11),$AB11,$AA11)))=Milestones!$AB$86),UPPER(TEXT(EDATE($D11,Milestones!$AA$86),"dd mmm yy"))&amp;" "&amp;Milestones!$AB$86&amp;" "&amp;IF(AND(Milestones!$AB$86="FT",Milestones!$AA$86=FT_Y5,EDATE($D11,Milestones!$AA$86)&lt;PolicyEff),1,Milestones!$AC$86)&amp;";  ","")&amp;IF(AND(EDATE($D11,Milestones!$AA$87)&lt;=AsOfDate,EDATE($D11,Milestones!$AA$87)&gt;=SchemeStart,IF($X11=0,$AD11,IF(AND($Z11&lt;&gt;"",EDATE($D11,Milestones!$AA$87)&gt;=$Z11),$AC11,IF(AND($Y11&lt;&gt;"",EDATE($D11,Milestones!$AA$87)&gt;=$Y11),$AB11,$AA11)))=Milestones!$AB$87),UPPER(TEXT(EDATE($D11,Milestones!$AA$87),"dd mmm yy"))&amp;" "&amp;Milestones!$AB$87&amp;" "&amp;IF(AND(Milestones!$AB$87="FT",Milestones!$AA$87=FT_Y5,EDATE($D11,Milestones!$AA$87)&lt;PolicyEff),1,Milestones!$AC$87)&amp;";  ","")&amp;IF(AND(EDATE($D11,Milestones!$AA$88)&lt;=AsOfDate,EDATE($D11,Milestones!$AA$88)&gt;=SchemeStart,IF($X11=0,$AD11,IF(AND($Z11&lt;&gt;"",EDATE($D11,Milestones!$AA$88)&gt;=$Z11),$AC11,IF(AND($Y11&lt;&gt;"",EDATE($D11,Milestones!$AA$88)&gt;=$Y11),$AB11,$AA11)))=Milestones!$AB$88),UPPER(TEXT(EDATE($D11,Milestones!$AA$88),"dd mmm yy"))&amp;" "&amp;Milestones!$AB$88&amp;" "&amp;IF(AND(Milestones!$AB$88="FT",Milestones!$AA$88=FT_Y5,EDATE($D11,Milestones!$AA$88)&lt;PolicyEff),1,Milestones!$AC$88)&amp;";  ","")&amp;IF(AND(EDATE($D11,Milestones!$AA$89)&lt;=AsOfDate,EDATE($D11,Milestones!$AA$89)&gt;=SchemeStart,IF($X11=0,$AD11,IF(AND($Z11&lt;&gt;"",EDATE($D11,Milestones!$AA$89)&gt;=$Z11),$AC11,IF(AND($Y11&lt;&gt;"",EDATE($D11,Milestones!$AA$89)&gt;=$Y11),$AB11,$AA11)))=Milestones!$AB$89),UPPER(TEXT(EDATE($D11,Milestones!$AA$89),"dd mmm yy"))&amp;" "&amp;Milestones!$AB$89&amp;" "&amp;IF(AND(Milestones!$AB$89="FT",Milestones!$AA$89=FT_Y5,EDATE($D11,Milestones!$AA$89)&lt;PolicyEff),1,Milestones!$AC$89)&amp;";  ","")&amp;IF(AND(EDATE($D11,Milestones!$AA$90)&lt;=AsOfDate,EDATE($D11,Milestones!$AA$90)&gt;=SchemeStart,IF($X11=0,$AD11,IF(AND($Z11&lt;&gt;"",EDATE($D11,Milestones!$AA$90)&gt;=$Z11),$AC11,IF(AND($Y11&lt;&gt;"",EDATE($D11,Milestones!$AA$90)&gt;=$Y11),$AB11,$AA11)))=Milestones!$AB$90),UPPER(TEXT(EDATE($D11,Milestones!$AA$90),"dd mmm yy"))&amp;" "&amp;Milestones!$AB$90&amp;" "&amp;IF(AND(Milestones!$AB$90="FT",Milestones!$AA$90=FT_Y5,EDATE($D11,Milestones!$AA$90)&lt;PolicyEff),1,Milestones!$AC$90)&amp;";  ","")&amp;IF(AND(EDATE($D11,Milestones!$AA$91)&lt;=AsOfDate,EDATE($D11,Milestones!$AA$91)&gt;=SchemeStart,IF($X11=0,$AD11,IF(AND($Z11&lt;&gt;"",EDATE($D11,Milestones!$AA$91)&gt;=$Z11),$AC11,IF(AND($Y11&lt;&gt;"",EDATE($D11,Milestones!$AA$91)&gt;=$Y11),$AB11,$AA11)))=Milestones!$AB$91),UPPER(TEXT(EDATE($D11,Milestones!$AA$91),"dd mmm yy"))&amp;" "&amp;Milestones!$AB$91&amp;" "&amp;IF(AND(Milestones!$AB$91="FT",Milestones!$AA$91=FT_Y5,EDATE($D11,Milestones!$AA$91)&lt;PolicyEff),1,Milestones!$AC$91)&amp;";  ",""))</f>
        <v/>
      </c>
      <c r="O11" s="0" t="str">
        <f aca="false">IF(OR($A11="",$D11=""),"",IF(AND(EDATE($D11,Milestones!$AA$92)&lt;=AsOfDate,EDATE($D11,Milestones!$AA$92)&gt;=SchemeStart,IF($X11=0,$AD11,IF(AND($Z11&lt;&gt;"",EDATE($D11,Milestones!$AA$92)&gt;=$Z11),$AC11,IF(AND($Y11&lt;&gt;"",EDATE($D11,Milestones!$AA$92)&gt;=$Y11),$AB11,$AA11)))=Milestones!$AB$92),UPPER(TEXT(EDATE($D11,Milestones!$AA$92),"dd mmm yy"))&amp;" "&amp;Milestones!$AB$92&amp;" "&amp;IF(AND(Milestones!$AB$92="FT",Milestones!$AA$92=FT_Y5,EDATE($D11,Milestones!$AA$92)&lt;PolicyEff),1,Milestones!$AC$92)&amp;";  ","")&amp;IF(AND(EDATE($D11,Milestones!$AA$93)&lt;=AsOfDate,EDATE($D11,Milestones!$AA$93)&gt;=SchemeStart,IF($X11=0,$AD11,IF(AND($Z11&lt;&gt;"",EDATE($D11,Milestones!$AA$93)&gt;=$Z11),$AC11,IF(AND($Y11&lt;&gt;"",EDATE($D11,Milestones!$AA$93)&gt;=$Y11),$AB11,$AA11)))=Milestones!$AB$93),UPPER(TEXT(EDATE($D11,Milestones!$AA$93),"dd mmm yy"))&amp;" "&amp;Milestones!$AB$93&amp;" "&amp;IF(AND(Milestones!$AB$93="FT",Milestones!$AA$93=FT_Y5,EDATE($D11,Milestones!$AA$93)&lt;PolicyEff),1,Milestones!$AC$93)&amp;";  ","")&amp;IF(AND(EDATE($D11,Milestones!$AA$94)&lt;=AsOfDate,EDATE($D11,Milestones!$AA$94)&gt;=SchemeStart,IF($X11=0,$AD11,IF(AND($Z11&lt;&gt;"",EDATE($D11,Milestones!$AA$94)&gt;=$Z11),$AC11,IF(AND($Y11&lt;&gt;"",EDATE($D11,Milestones!$AA$94)&gt;=$Y11),$AB11,$AA11)))=Milestones!$AB$94),UPPER(TEXT(EDATE($D11,Milestones!$AA$94),"dd mmm yy"))&amp;" "&amp;Milestones!$AB$94&amp;" "&amp;IF(AND(Milestones!$AB$94="FT",Milestones!$AA$94=FT_Y5,EDATE($D11,Milestones!$AA$94)&lt;PolicyEff),1,Milestones!$AC$94)&amp;";  ","")&amp;IF(AND(EDATE($D11,Milestones!$AA$95)&lt;=AsOfDate,EDATE($D11,Milestones!$AA$95)&gt;=SchemeStart,IF($X11=0,$AD11,IF(AND($Z11&lt;&gt;"",EDATE($D11,Milestones!$AA$95)&gt;=$Z11),$AC11,IF(AND($Y11&lt;&gt;"",EDATE($D11,Milestones!$AA$95)&gt;=$Y11),$AB11,$AA11)))=Milestones!$AB$95),UPPER(TEXT(EDATE($D11,Milestones!$AA$95),"dd mmm yy"))&amp;" "&amp;Milestones!$AB$95&amp;" "&amp;IF(AND(Milestones!$AB$95="FT",Milestones!$AA$95=FT_Y5,EDATE($D11,Milestones!$AA$95)&lt;PolicyEff),1,Milestones!$AC$95)&amp;";  ","")&amp;IF(AND(EDATE($D11,Milestones!$AA$96)&lt;=AsOfDate,EDATE($D11,Milestones!$AA$96)&gt;=SchemeStart,IF($X11=0,$AD11,IF(AND($Z11&lt;&gt;"",EDATE($D11,Milestones!$AA$96)&gt;=$Z11),$AC11,IF(AND($Y11&lt;&gt;"",EDATE($D11,Milestones!$AA$96)&gt;=$Y11),$AB11,$AA11)))=Milestones!$AB$96),UPPER(TEXT(EDATE($D11,Milestones!$AA$96),"dd mmm yy"))&amp;" "&amp;Milestones!$AB$96&amp;" "&amp;IF(AND(Milestones!$AB$96="FT",Milestones!$AA$96=FT_Y5,EDATE($D11,Milestones!$AA$96)&lt;PolicyEff),1,Milestones!$AC$96)&amp;";  ","")&amp;IF(AND(EDATE($D11,Milestones!$AA$97)&lt;=AsOfDate,EDATE($D11,Milestones!$AA$97)&gt;=SchemeStart,IF($X11=0,$AD11,IF(AND($Z11&lt;&gt;"",EDATE($D11,Milestones!$AA$97)&gt;=$Z11),$AC11,IF(AND($Y11&lt;&gt;"",EDATE($D11,Milestones!$AA$97)&gt;=$Y11),$AB11,$AA11)))=Milestones!$AB$97),UPPER(TEXT(EDATE($D11,Milestones!$AA$97),"dd mmm yy"))&amp;" "&amp;Milestones!$AB$97&amp;" "&amp;IF(AND(Milestones!$AB$97="FT",Milestones!$AA$97=FT_Y5,EDATE($D11,Milestones!$AA$97)&lt;PolicyEff),1,Milestones!$AC$97)&amp;";  ","")&amp;IF(AND(EDATE($D11,Milestones!$AA$98)&lt;=AsOfDate,EDATE($D11,Milestones!$AA$98)&gt;=SchemeStart,IF($X11=0,$AD11,IF(AND($Z11&lt;&gt;"",EDATE($D11,Milestones!$AA$98)&gt;=$Z11),$AC11,IF(AND($Y11&lt;&gt;"",EDATE($D11,Milestones!$AA$98)&gt;=$Y11),$AB11,$AA11)))=Milestones!$AB$98),UPPER(TEXT(EDATE($D11,Milestones!$AA$98),"dd mmm yy"))&amp;" "&amp;Milestones!$AB$98&amp;" "&amp;IF(AND(Milestones!$AB$98="FT",Milestones!$AA$98=FT_Y5,EDATE($D11,Milestones!$AA$98)&lt;PolicyEff),1,Milestones!$AC$98)&amp;";  ","")&amp;IF(AND(EDATE($D11,Milestones!$AA$99)&lt;=AsOfDate,EDATE($D11,Milestones!$AA$99)&gt;=SchemeStart,IF($X11=0,$AD11,IF(AND($Z11&lt;&gt;"",EDATE($D11,Milestones!$AA$99)&gt;=$Z11),$AC11,IF(AND($Y11&lt;&gt;"",EDATE($D11,Milestones!$AA$99)&gt;=$Y11),$AB11,$AA11)))=Milestones!$AB$99),UPPER(TEXT(EDATE($D11,Milestones!$AA$99),"dd mmm yy"))&amp;" "&amp;Milestones!$AB$99&amp;" "&amp;IF(AND(Milestones!$AB$99="FT",Milestones!$AA$99=FT_Y5,EDATE($D11,Milestones!$AA$99)&lt;PolicyEff),1,Milestones!$AC$99)&amp;";  ","")&amp;IF(AND(EDATE($D11,Milestones!$AA$100)&lt;=AsOfDate,EDATE($D11,Milestones!$AA$100)&gt;=SchemeStart,IF($X11=0,$AD11,IF(AND($Z11&lt;&gt;"",EDATE($D11,Milestones!$AA$100)&gt;=$Z11),$AC11,IF(AND($Y11&lt;&gt;"",EDATE($D11,Milestones!$AA$100)&gt;=$Y11),$AB11,$AA11)))=Milestones!$AB$100),UPPER(TEXT(EDATE($D11,Milestones!$AA$100),"dd mmm yy"))&amp;" "&amp;Milestones!$AB$100&amp;" "&amp;IF(AND(Milestones!$AB$100="FT",Milestones!$AA$100=FT_Y5,EDATE($D11,Milestones!$AA$100)&lt;PolicyEff),1,Milestones!$AC$100)&amp;";  ","")&amp;IF(AND(EDATE($D11,Milestones!$AA$101)&lt;=AsOfDate,EDATE($D11,Milestones!$AA$101)&gt;=SchemeStart,IF($X11=0,$AD11,IF(AND($Z11&lt;&gt;"",EDATE($D11,Milestones!$AA$101)&gt;=$Z11),$AC11,IF(AND($Y11&lt;&gt;"",EDATE($D11,Milestones!$AA$101)&gt;=$Y11),$AB11,$AA11)))=Milestones!$AB$101),UPPER(TEXT(EDATE($D11,Milestones!$AA$101),"dd mmm yy"))&amp;" "&amp;Milestones!$AB$101&amp;" "&amp;IF(AND(Milestones!$AB$101="FT",Milestones!$AA$101=FT_Y5,EDATE($D11,Milestones!$AA$101)&lt;PolicyEff),1,Milestones!$AC$101)&amp;";  ","")&amp;IF(AND(EDATE($D11,Milestones!$AA$102)&lt;=AsOfDate,EDATE($D11,Milestones!$AA$102)&gt;=SchemeStart,IF($X11=0,$AD11,IF(AND($Z11&lt;&gt;"",EDATE($D11,Milestones!$AA$102)&gt;=$Z11),$AC11,IF(AND($Y11&lt;&gt;"",EDATE($D11,Milestones!$AA$102)&gt;=$Y11),$AB11,$AA11)))=Milestones!$AB$102),UPPER(TEXT(EDATE($D11,Milestones!$AA$102),"dd mmm yy"))&amp;" "&amp;Milestones!$AB$102&amp;" "&amp;IF(AND(Milestones!$AB$102="FT",Milestones!$AA$102=FT_Y5,EDATE($D11,Milestones!$AA$102)&lt;PolicyEff),1,Milestones!$AC$102)&amp;";  ","")&amp;IF(AND(EDATE($D11,Milestones!$AA$103)&lt;=AsOfDate,EDATE($D11,Milestones!$AA$103)&gt;=SchemeStart,IF($X11=0,$AD11,IF(AND($Z11&lt;&gt;"",EDATE($D11,Milestones!$AA$103)&gt;=$Z11),$AC11,IF(AND($Y11&lt;&gt;"",EDATE($D11,Milestones!$AA$103)&gt;=$Y11),$AB11,$AA11)))=Milestones!$AB$103),UPPER(TEXT(EDATE($D11,Milestones!$AA$103),"dd mmm yy"))&amp;" "&amp;Milestones!$AB$103&amp;" "&amp;IF(AND(Milestones!$AB$103="FT",Milestones!$AA$103=FT_Y5,EDATE($D11,Milestones!$AA$103)&lt;PolicyEff),1,Milestones!$AC$103)&amp;";  ",""))</f>
        <v/>
      </c>
      <c r="P11" s="0" t="str">
        <f aca="false">IF(OR($A11="",$D11=""),"",IF(AND(EDATE($D11,Milestones!$AA$104)&lt;=AsOfDate,EDATE($D11,Milestones!$AA$104)&gt;=SchemeStart,IF($X11=0,$AD11,IF(AND($Z11&lt;&gt;"",EDATE($D11,Milestones!$AA$104)&gt;=$Z11),$AC11,IF(AND($Y11&lt;&gt;"",EDATE($D11,Milestones!$AA$104)&gt;=$Y11),$AB11,$AA11)))=Milestones!$AB$104),UPPER(TEXT(EDATE($D11,Milestones!$AA$104),"dd mmm yy"))&amp;" "&amp;Milestones!$AB$104&amp;" "&amp;IF(AND(Milestones!$AB$104="FT",Milestones!$AA$104=FT_Y5,EDATE($D11,Milestones!$AA$104)&lt;PolicyEff),1,Milestones!$AC$104)&amp;";  ","")&amp;IF(AND(EDATE($D11,Milestones!$AA$105)&lt;=AsOfDate,EDATE($D11,Milestones!$AA$105)&gt;=SchemeStart,IF($X11=0,$AD11,IF(AND($Z11&lt;&gt;"",EDATE($D11,Milestones!$AA$105)&gt;=$Z11),$AC11,IF(AND($Y11&lt;&gt;"",EDATE($D11,Milestones!$AA$105)&gt;=$Y11),$AB11,$AA11)))=Milestones!$AB$105),UPPER(TEXT(EDATE($D11,Milestones!$AA$105),"dd mmm yy"))&amp;" "&amp;Milestones!$AB$105&amp;" "&amp;IF(AND(Milestones!$AB$105="FT",Milestones!$AA$105=FT_Y5,EDATE($D11,Milestones!$AA$105)&lt;PolicyEff),1,Milestones!$AC$105)&amp;";  ","")&amp;IF(AND(EDATE($D11,Milestones!$AA$106)&lt;=AsOfDate,EDATE($D11,Milestones!$AA$106)&gt;=SchemeStart,IF($X11=0,$AD11,IF(AND($Z11&lt;&gt;"",EDATE($D11,Milestones!$AA$106)&gt;=$Z11),$AC11,IF(AND($Y11&lt;&gt;"",EDATE($D11,Milestones!$AA$106)&gt;=$Y11),$AB11,$AA11)))=Milestones!$AB$106),UPPER(TEXT(EDATE($D11,Milestones!$AA$106),"dd mmm yy"))&amp;" "&amp;Milestones!$AB$106&amp;" "&amp;IF(AND(Milestones!$AB$106="FT",Milestones!$AA$106=FT_Y5,EDATE($D11,Milestones!$AA$106)&lt;PolicyEff),1,Milestones!$AC$106)&amp;";  ","")&amp;IF(AND(EDATE($D11,Milestones!$AA$107)&lt;=AsOfDate,EDATE($D11,Milestones!$AA$107)&gt;=SchemeStart,IF($X11=0,$AD11,IF(AND($Z11&lt;&gt;"",EDATE($D11,Milestones!$AA$107)&gt;=$Z11),$AC11,IF(AND($Y11&lt;&gt;"",EDATE($D11,Milestones!$AA$107)&gt;=$Y11),$AB11,$AA11)))=Milestones!$AB$107),UPPER(TEXT(EDATE($D11,Milestones!$AA$107),"dd mmm yy"))&amp;" "&amp;Milestones!$AB$107&amp;" "&amp;IF(AND(Milestones!$AB$107="FT",Milestones!$AA$107=FT_Y5,EDATE($D11,Milestones!$AA$107)&lt;PolicyEff),1,Milestones!$AC$107)&amp;";  ","")&amp;IF(AND(EDATE($D11,Milestones!$AA$108)&lt;=AsOfDate,EDATE($D11,Milestones!$AA$108)&gt;=SchemeStart,IF($X11=0,$AD11,IF(AND($Z11&lt;&gt;"",EDATE($D11,Milestones!$AA$108)&gt;=$Z11),$AC11,IF(AND($Y11&lt;&gt;"",EDATE($D11,Milestones!$AA$108)&gt;=$Y11),$AB11,$AA11)))=Milestones!$AB$108),UPPER(TEXT(EDATE($D11,Milestones!$AA$108),"dd mmm yy"))&amp;" "&amp;Milestones!$AB$108&amp;" "&amp;IF(AND(Milestones!$AB$108="FT",Milestones!$AA$108=FT_Y5,EDATE($D11,Milestones!$AA$108)&lt;PolicyEff),1,Milestones!$AC$108)&amp;";  ","")&amp;IF(AND(EDATE($D11,Milestones!$AA$109)&lt;=AsOfDate,EDATE($D11,Milestones!$AA$109)&gt;=SchemeStart,IF($X11=0,$AD11,IF(AND($Z11&lt;&gt;"",EDATE($D11,Milestones!$AA$109)&gt;=$Z11),$AC11,IF(AND($Y11&lt;&gt;"",EDATE($D11,Milestones!$AA$109)&gt;=$Y11),$AB11,$AA11)))=Milestones!$AB$109),UPPER(TEXT(EDATE($D11,Milestones!$AA$109),"dd mmm yy"))&amp;" "&amp;Milestones!$AB$109&amp;" "&amp;IF(AND(Milestones!$AB$109="FT",Milestones!$AA$109=FT_Y5,EDATE($D11,Milestones!$AA$109)&lt;PolicyEff),1,Milestones!$AC$109)&amp;";  ","")&amp;IF(AND(EDATE($D11,Milestones!$AA$110)&lt;=AsOfDate,EDATE($D11,Milestones!$AA$110)&gt;=SchemeStart,IF($X11=0,$AD11,IF(AND($Z11&lt;&gt;"",EDATE($D11,Milestones!$AA$110)&gt;=$Z11),$AC11,IF(AND($Y11&lt;&gt;"",EDATE($D11,Milestones!$AA$110)&gt;=$Y11),$AB11,$AA11)))=Milestones!$AB$110),UPPER(TEXT(EDATE($D11,Milestones!$AA$110),"dd mmm yy"))&amp;" "&amp;Milestones!$AB$110&amp;" "&amp;IF(AND(Milestones!$AB$110="FT",Milestones!$AA$110=FT_Y5,EDATE($D11,Milestones!$AA$110)&lt;PolicyEff),1,Milestones!$AC$110)&amp;";  ","")&amp;IF(AND(EDATE($D11,Milestones!$AA$111)&lt;=AsOfDate,EDATE($D11,Milestones!$AA$111)&gt;=SchemeStart,IF($X11=0,$AD11,IF(AND($Z11&lt;&gt;"",EDATE($D11,Milestones!$AA$111)&gt;=$Z11),$AC11,IF(AND($Y11&lt;&gt;"",EDATE($D11,Milestones!$AA$111)&gt;=$Y11),$AB11,$AA11)))=Milestones!$AB$111),UPPER(TEXT(EDATE($D11,Milestones!$AA$111),"dd mmm yy"))&amp;" "&amp;Milestones!$AB$111&amp;" "&amp;IF(AND(Milestones!$AB$111="FT",Milestones!$AA$111=FT_Y5,EDATE($D11,Milestones!$AA$111)&lt;PolicyEff),1,Milestones!$AC$111)&amp;";  ","")&amp;IF(AND(EDATE($D11,Milestones!$AA$112)&lt;=AsOfDate,EDATE($D11,Milestones!$AA$112)&gt;=SchemeStart,IF($X11=0,$AD11,IF(AND($Z11&lt;&gt;"",EDATE($D11,Milestones!$AA$112)&gt;=$Z11),$AC11,IF(AND($Y11&lt;&gt;"",EDATE($D11,Milestones!$AA$112)&gt;=$Y11),$AB11,$AA11)))=Milestones!$AB$112),UPPER(TEXT(EDATE($D11,Milestones!$AA$112),"dd mmm yy"))&amp;" "&amp;Milestones!$AB$112&amp;" "&amp;IF(AND(Milestones!$AB$112="FT",Milestones!$AA$112=FT_Y5,EDATE($D11,Milestones!$AA$112)&lt;PolicyEff),1,Milestones!$AC$112)&amp;";  ","")&amp;IF(AND(EDATE($D11,Milestones!$AA$113)&lt;=AsOfDate,EDATE($D11,Milestones!$AA$113)&gt;=SchemeStart,IF($X11=0,$AD11,IF(AND($Z11&lt;&gt;"",EDATE($D11,Milestones!$AA$113)&gt;=$Z11),$AC11,IF(AND($Y11&lt;&gt;"",EDATE($D11,Milestones!$AA$113)&gt;=$Y11),$AB11,$AA11)))=Milestones!$AB$113),UPPER(TEXT(EDATE($D11,Milestones!$AA$113),"dd mmm yy"))&amp;" "&amp;Milestones!$AB$113&amp;" "&amp;IF(AND(Milestones!$AB$113="FT",Milestones!$AA$113=FT_Y5,EDATE($D11,Milestones!$AA$113)&lt;PolicyEff),1,Milestones!$AC$113)&amp;";  ","")&amp;IF(AND(EDATE($D11,Milestones!$AA$114)&lt;=AsOfDate,EDATE($D11,Milestones!$AA$114)&gt;=SchemeStart,IF($X11=0,$AD11,IF(AND($Z11&lt;&gt;"",EDATE($D11,Milestones!$AA$114)&gt;=$Z11),$AC11,IF(AND($Y11&lt;&gt;"",EDATE($D11,Milestones!$AA$114)&gt;=$Y11),$AB11,$AA11)))=Milestones!$AB$114),UPPER(TEXT(EDATE($D11,Milestones!$AA$114),"dd mmm yy"))&amp;" "&amp;Milestones!$AB$114&amp;" "&amp;IF(AND(Milestones!$AB$114="FT",Milestones!$AA$114=FT_Y5,EDATE($D11,Milestones!$AA$114)&lt;PolicyEff),1,Milestones!$AC$114)&amp;";  ","")&amp;IF(AND(EDATE($D11,Milestones!$AA$115)&lt;=AsOfDate,EDATE($D11,Milestones!$AA$115)&gt;=SchemeStart,IF($X11=0,$AD11,IF(AND($Z11&lt;&gt;"",EDATE($D11,Milestones!$AA$115)&gt;=$Z11),$AC11,IF(AND($Y11&lt;&gt;"",EDATE($D11,Milestones!$AA$115)&gt;=$Y11),$AB11,$AA11)))=Milestones!$AB$115),UPPER(TEXT(EDATE($D11,Milestones!$AA$115),"dd mmm yy"))&amp;" "&amp;Milestones!$AB$115&amp;" "&amp;IF(AND(Milestones!$AB$115="FT",Milestones!$AA$115=FT_Y5,EDATE($D11,Milestones!$AA$115)&lt;PolicyEff),1,Milestones!$AC$115)&amp;";  ",""))</f>
        <v/>
      </c>
      <c r="Q11" s="0" t="str">
        <f aca="false">IF(OR($A11="",$D11=""),"",IF(AND(EDATE($D11,Milestones!$AA$116)&lt;=AsOfDate,EDATE($D11,Milestones!$AA$116)&gt;=SchemeStart,IF($X11=0,$AD11,IF(AND($Z11&lt;&gt;"",EDATE($D11,Milestones!$AA$116)&gt;=$Z11),$AC11,IF(AND($Y11&lt;&gt;"",EDATE($D11,Milestones!$AA$116)&gt;=$Y11),$AB11,$AA11)))=Milestones!$AB$116),UPPER(TEXT(EDATE($D11,Milestones!$AA$116),"dd mmm yy"))&amp;" "&amp;Milestones!$AB$116&amp;" "&amp;IF(AND(Milestones!$AB$116="FT",Milestones!$AA$116=FT_Y5,EDATE($D11,Milestones!$AA$116)&lt;PolicyEff),1,Milestones!$AC$116)&amp;";  ","")&amp;IF(AND(EDATE($D11,Milestones!$AA$117)&lt;=AsOfDate,EDATE($D11,Milestones!$AA$117)&gt;=SchemeStart,IF($X11=0,$AD11,IF(AND($Z11&lt;&gt;"",EDATE($D11,Milestones!$AA$117)&gt;=$Z11),$AC11,IF(AND($Y11&lt;&gt;"",EDATE($D11,Milestones!$AA$117)&gt;=$Y11),$AB11,$AA11)))=Milestones!$AB$117),UPPER(TEXT(EDATE($D11,Milestones!$AA$117),"dd mmm yy"))&amp;" "&amp;Milestones!$AB$117&amp;" "&amp;IF(AND(Milestones!$AB$117="FT",Milestones!$AA$117=FT_Y5,EDATE($D11,Milestones!$AA$117)&lt;PolicyEff),1,Milestones!$AC$117)&amp;";  ","")&amp;IF(AND(EDATE($D11,Milestones!$AA$118)&lt;=AsOfDate,EDATE($D11,Milestones!$AA$118)&gt;=SchemeStart,IF($X11=0,$AD11,IF(AND($Z11&lt;&gt;"",EDATE($D11,Milestones!$AA$118)&gt;=$Z11),$AC11,IF(AND($Y11&lt;&gt;"",EDATE($D11,Milestones!$AA$118)&gt;=$Y11),$AB11,$AA11)))=Milestones!$AB$118),UPPER(TEXT(EDATE($D11,Milestones!$AA$118),"dd mmm yy"))&amp;" "&amp;Milestones!$AB$118&amp;" "&amp;IF(AND(Milestones!$AB$118="FT",Milestones!$AA$118=FT_Y5,EDATE($D11,Milestones!$AA$118)&lt;PolicyEff),1,Milestones!$AC$118)&amp;";  ","")&amp;IF(AND(EDATE($D11,Milestones!$AA$119)&lt;=AsOfDate,EDATE($D11,Milestones!$AA$119)&gt;=SchemeStart,IF($X11=0,$AD11,IF(AND($Z11&lt;&gt;"",EDATE($D11,Milestones!$AA$119)&gt;=$Z11),$AC11,IF(AND($Y11&lt;&gt;"",EDATE($D11,Milestones!$AA$119)&gt;=$Y11),$AB11,$AA11)))=Milestones!$AB$119),UPPER(TEXT(EDATE($D11,Milestones!$AA$119),"dd mmm yy"))&amp;" "&amp;Milestones!$AB$119&amp;" "&amp;IF(AND(Milestones!$AB$119="FT",Milestones!$AA$119=FT_Y5,EDATE($D11,Milestones!$AA$119)&lt;PolicyEff),1,Milestones!$AC$119)&amp;";  ","")&amp;IF(AND(EDATE($D11,Milestones!$AA$120)&lt;=AsOfDate,EDATE($D11,Milestones!$AA$120)&gt;=SchemeStart,IF($X11=0,$AD11,IF(AND($Z11&lt;&gt;"",EDATE($D11,Milestones!$AA$120)&gt;=$Z11),$AC11,IF(AND($Y11&lt;&gt;"",EDATE($D11,Milestones!$AA$120)&gt;=$Y11),$AB11,$AA11)))=Milestones!$AB$120),UPPER(TEXT(EDATE($D11,Milestones!$AA$120),"dd mmm yy"))&amp;" "&amp;Milestones!$AB$120&amp;" "&amp;IF(AND(Milestones!$AB$120="FT",Milestones!$AA$120=FT_Y5,EDATE($D11,Milestones!$AA$120)&lt;PolicyEff),1,Milestones!$AC$120)&amp;";  ","")&amp;IF(AND(EDATE($D11,Milestones!$AA$121)&lt;=AsOfDate,EDATE($D11,Milestones!$AA$121)&gt;=SchemeStart,IF($X11=0,$AD11,IF(AND($Z11&lt;&gt;"",EDATE($D11,Milestones!$AA$121)&gt;=$Z11),$AC11,IF(AND($Y11&lt;&gt;"",EDATE($D11,Milestones!$AA$121)&gt;=$Y11),$AB11,$AA11)))=Milestones!$AB$121),UPPER(TEXT(EDATE($D11,Milestones!$AA$121),"dd mmm yy"))&amp;" "&amp;Milestones!$AB$121&amp;" "&amp;IF(AND(Milestones!$AB$121="FT",Milestones!$AA$121=FT_Y5,EDATE($D11,Milestones!$AA$121)&lt;PolicyEff),1,Milestones!$AC$121)&amp;";  ","")&amp;IF(AND(EDATE($D11,Milestones!$AA$122)&lt;=AsOfDate,EDATE($D11,Milestones!$AA$122)&gt;=SchemeStart,IF($X11=0,$AD11,IF(AND($Z11&lt;&gt;"",EDATE($D11,Milestones!$AA$122)&gt;=$Z11),$AC11,IF(AND($Y11&lt;&gt;"",EDATE($D11,Milestones!$AA$122)&gt;=$Y11),$AB11,$AA11)))=Milestones!$AB$122),UPPER(TEXT(EDATE($D11,Milestones!$AA$122),"dd mmm yy"))&amp;" "&amp;Milestones!$AB$122&amp;" "&amp;IF(AND(Milestones!$AB$122="FT",Milestones!$AA$122=FT_Y5,EDATE($D11,Milestones!$AA$122)&lt;PolicyEff),1,Milestones!$AC$122)&amp;";  ","")&amp;IF(AND(EDATE($D11,Milestones!$AA$123)&lt;=AsOfDate,EDATE($D11,Milestones!$AA$123)&gt;=SchemeStart,IF($X11=0,$AD11,IF(AND($Z11&lt;&gt;"",EDATE($D11,Milestones!$AA$123)&gt;=$Z11),$AC11,IF(AND($Y11&lt;&gt;"",EDATE($D11,Milestones!$AA$123)&gt;=$Y11),$AB11,$AA11)))=Milestones!$AB$123),UPPER(TEXT(EDATE($D11,Milestones!$AA$123),"dd mmm yy"))&amp;" "&amp;Milestones!$AB$123&amp;" "&amp;IF(AND(Milestones!$AB$123="FT",Milestones!$AA$123=FT_Y5,EDATE($D11,Milestones!$AA$123)&lt;PolicyEff),1,Milestones!$AC$123)&amp;";  ","")&amp;IF(AND(EDATE($D11,Milestones!$AA$124)&lt;=AsOfDate,EDATE($D11,Milestones!$AA$124)&gt;=SchemeStart,IF($X11=0,$AD11,IF(AND($Z11&lt;&gt;"",EDATE($D11,Milestones!$AA$124)&gt;=$Z11),$AC11,IF(AND($Y11&lt;&gt;"",EDATE($D11,Milestones!$AA$124)&gt;=$Y11),$AB11,$AA11)))=Milestones!$AB$124),UPPER(TEXT(EDATE($D11,Milestones!$AA$124),"dd mmm yy"))&amp;" "&amp;Milestones!$AB$124&amp;" "&amp;IF(AND(Milestones!$AB$124="FT",Milestones!$AA$124=FT_Y5,EDATE($D11,Milestones!$AA$124)&lt;PolicyEff),1,Milestones!$AC$124)&amp;";  ","")&amp;IF(AND(EDATE($D11,Milestones!$AA$125)&lt;=AsOfDate,EDATE($D11,Milestones!$AA$125)&gt;=SchemeStart,IF($X11=0,$AD11,IF(AND($Z11&lt;&gt;"",EDATE($D11,Milestones!$AA$125)&gt;=$Z11),$AC11,IF(AND($Y11&lt;&gt;"",EDATE($D11,Milestones!$AA$125)&gt;=$Y11),$AB11,$AA11)))=Milestones!$AB$125),UPPER(TEXT(EDATE($D11,Milestones!$AA$125),"dd mmm yy"))&amp;" "&amp;Milestones!$AB$125&amp;" "&amp;IF(AND(Milestones!$AB$125="FT",Milestones!$AA$125=FT_Y5,EDATE($D11,Milestones!$AA$125)&lt;PolicyEff),1,Milestones!$AC$125)&amp;";  ","")&amp;IF(AND(EDATE($D11,Milestones!$AA$126)&lt;=AsOfDate,EDATE($D11,Milestones!$AA$126)&gt;=SchemeStart,IF($X11=0,$AD11,IF(AND($Z11&lt;&gt;"",EDATE($D11,Milestones!$AA$126)&gt;=$Z11),$AC11,IF(AND($Y11&lt;&gt;"",EDATE($D11,Milestones!$AA$126)&gt;=$Y11),$AB11,$AA11)))=Milestones!$AB$126),UPPER(TEXT(EDATE($D11,Milestones!$AA$126),"dd mmm yy"))&amp;" "&amp;Milestones!$AB$126&amp;" "&amp;IF(AND(Milestones!$AB$126="FT",Milestones!$AA$126=FT_Y5,EDATE($D11,Milestones!$AA$126)&lt;PolicyEff),1,Milestones!$AC$126)&amp;";  ","")&amp;IF(AND(EDATE($D11,Milestones!$AA$127)&lt;=AsOfDate,EDATE($D11,Milestones!$AA$127)&gt;=SchemeStart,IF($X11=0,$AD11,IF(AND($Z11&lt;&gt;"",EDATE($D11,Milestones!$AA$127)&gt;=$Z11),$AC11,IF(AND($Y11&lt;&gt;"",EDATE($D11,Milestones!$AA$127)&gt;=$Y11),$AB11,$AA11)))=Milestones!$AB$127),UPPER(TEXT(EDATE($D11,Milestones!$AA$127),"dd mmm yy"))&amp;" "&amp;Milestones!$AB$127&amp;" "&amp;IF(AND(Milestones!$AB$127="FT",Milestones!$AA$127=FT_Y5,EDATE($D11,Milestones!$AA$127)&lt;PolicyEff),1,Milestones!$AC$127)&amp;";  ",""))</f>
        <v/>
      </c>
      <c r="R11" s="0" t="str">
        <f aca="false">IF(OR($A11="",$D11=""),"",IF(AND(EDATE($D11,Milestones!$AA$128)&lt;=AsOfDate,EDATE($D11,Milestones!$AA$128)&gt;=SchemeStart,IF($X11=0,$AD11,IF(AND($Z11&lt;&gt;"",EDATE($D11,Milestones!$AA$128)&gt;=$Z11),$AC11,IF(AND($Y11&lt;&gt;"",EDATE($D11,Milestones!$AA$128)&gt;=$Y11),$AB11,$AA11)))=Milestones!$AB$128),UPPER(TEXT(EDATE($D11,Milestones!$AA$128),"dd mmm yy"))&amp;" "&amp;Milestones!$AB$128&amp;" "&amp;IF(AND(Milestones!$AB$128="FT",Milestones!$AA$128=FT_Y5,EDATE($D11,Milestones!$AA$128)&lt;PolicyEff),1,Milestones!$AC$128)&amp;";  ","")&amp;IF(AND(EDATE($D11,Milestones!$AA$129)&lt;=AsOfDate,EDATE($D11,Milestones!$AA$129)&gt;=SchemeStart,IF($X11=0,$AD11,IF(AND($Z11&lt;&gt;"",EDATE($D11,Milestones!$AA$129)&gt;=$Z11),$AC11,IF(AND($Y11&lt;&gt;"",EDATE($D11,Milestones!$AA$129)&gt;=$Y11),$AB11,$AA11)))=Milestones!$AB$129),UPPER(TEXT(EDATE($D11,Milestones!$AA$129),"dd mmm yy"))&amp;" "&amp;Milestones!$AB$129&amp;" "&amp;IF(AND(Milestones!$AB$129="FT",Milestones!$AA$129=FT_Y5,EDATE($D11,Milestones!$AA$129)&lt;PolicyEff),1,Milestones!$AC$129)&amp;";  ","")&amp;IF(AND(EDATE($D11,Milestones!$AA$130)&lt;=AsOfDate,EDATE($D11,Milestones!$AA$130)&gt;=SchemeStart,IF($X11=0,$AD11,IF(AND($Z11&lt;&gt;"",EDATE($D11,Milestones!$AA$130)&gt;=$Z11),$AC11,IF(AND($Y11&lt;&gt;"",EDATE($D11,Milestones!$AA$130)&gt;=$Y11),$AB11,$AA11)))=Milestones!$AB$130),UPPER(TEXT(EDATE($D11,Milestones!$AA$130),"dd mmm yy"))&amp;" "&amp;Milestones!$AB$130&amp;" "&amp;IF(AND(Milestones!$AB$130="FT",Milestones!$AA$130=FT_Y5,EDATE($D11,Milestones!$AA$130)&lt;PolicyEff),1,Milestones!$AC$130)&amp;";  ","")&amp;IF(AND(EDATE($D11,Milestones!$AA$131)&lt;=AsOfDate,EDATE($D11,Milestones!$AA$131)&gt;=SchemeStart,IF($X11=0,$AD11,IF(AND($Z11&lt;&gt;"",EDATE($D11,Milestones!$AA$131)&gt;=$Z11),$AC11,IF(AND($Y11&lt;&gt;"",EDATE($D11,Milestones!$AA$131)&gt;=$Y11),$AB11,$AA11)))=Milestones!$AB$131),UPPER(TEXT(EDATE($D11,Milestones!$AA$131),"dd mmm yy"))&amp;" "&amp;Milestones!$AB$131&amp;" "&amp;IF(AND(Milestones!$AB$131="FT",Milestones!$AA$131=FT_Y5,EDATE($D11,Milestones!$AA$131)&lt;PolicyEff),1,Milestones!$AC$131)&amp;";  ","")&amp;IF(AND(EDATE($D11,Milestones!$AA$132)&lt;=AsOfDate,EDATE($D11,Milestones!$AA$132)&gt;=SchemeStart,IF($X11=0,$AD11,IF(AND($Z11&lt;&gt;"",EDATE($D11,Milestones!$AA$132)&gt;=$Z11),$AC11,IF(AND($Y11&lt;&gt;"",EDATE($D11,Milestones!$AA$132)&gt;=$Y11),$AB11,$AA11)))=Milestones!$AB$132),UPPER(TEXT(EDATE($D11,Milestones!$AA$132),"dd mmm yy"))&amp;" "&amp;Milestones!$AB$132&amp;" "&amp;IF(AND(Milestones!$AB$132="FT",Milestones!$AA$132=FT_Y5,EDATE($D11,Milestones!$AA$132)&lt;PolicyEff),1,Milestones!$AC$132)&amp;";  ","")&amp;IF(AND(EDATE($D11,Milestones!$AA$133)&lt;=AsOfDate,EDATE($D11,Milestones!$AA$133)&gt;=SchemeStart,IF($X11=0,$AD11,IF(AND($Z11&lt;&gt;"",EDATE($D11,Milestones!$AA$133)&gt;=$Z11),$AC11,IF(AND($Y11&lt;&gt;"",EDATE($D11,Milestones!$AA$133)&gt;=$Y11),$AB11,$AA11)))=Milestones!$AB$133),UPPER(TEXT(EDATE($D11,Milestones!$AA$133),"dd mmm yy"))&amp;" "&amp;Milestones!$AB$133&amp;" "&amp;IF(AND(Milestones!$AB$133="FT",Milestones!$AA$133=FT_Y5,EDATE($D11,Milestones!$AA$133)&lt;PolicyEff),1,Milestones!$AC$133)&amp;";  ","")&amp;IF(AND(EDATE($D11,Milestones!$AA$134)&lt;=AsOfDate,EDATE($D11,Milestones!$AA$134)&gt;=SchemeStart,IF($X11=0,$AD11,IF(AND($Z11&lt;&gt;"",EDATE($D11,Milestones!$AA$134)&gt;=$Z11),$AC11,IF(AND($Y11&lt;&gt;"",EDATE($D11,Milestones!$AA$134)&gt;=$Y11),$AB11,$AA11)))=Milestones!$AB$134),UPPER(TEXT(EDATE($D11,Milestones!$AA$134),"dd mmm yy"))&amp;" "&amp;Milestones!$AB$134&amp;" "&amp;IF(AND(Milestones!$AB$134="FT",Milestones!$AA$134=FT_Y5,EDATE($D11,Milestones!$AA$134)&lt;PolicyEff),1,Milestones!$AC$134)&amp;";  ","")&amp;IF(AND(EDATE($D11,Milestones!$AA$135)&lt;=AsOfDate,EDATE($D11,Milestones!$AA$135)&gt;=SchemeStart,IF($X11=0,$AD11,IF(AND($Z11&lt;&gt;"",EDATE($D11,Milestones!$AA$135)&gt;=$Z11),$AC11,IF(AND($Y11&lt;&gt;"",EDATE($D11,Milestones!$AA$135)&gt;=$Y11),$AB11,$AA11)))=Milestones!$AB$135),UPPER(TEXT(EDATE($D11,Milestones!$AA$135),"dd mmm yy"))&amp;" "&amp;Milestones!$AB$135&amp;" "&amp;IF(AND(Milestones!$AB$135="FT",Milestones!$AA$135=FT_Y5,EDATE($D11,Milestones!$AA$135)&lt;PolicyEff),1,Milestones!$AC$135)&amp;";  ","")&amp;IF(AND(EDATE($D11,Milestones!$AA$136)&lt;=AsOfDate,EDATE($D11,Milestones!$AA$136)&gt;=SchemeStart,IF($X11=0,$AD11,IF(AND($Z11&lt;&gt;"",EDATE($D11,Milestones!$AA$136)&gt;=$Z11),$AC11,IF(AND($Y11&lt;&gt;"",EDATE($D11,Milestones!$AA$136)&gt;=$Y11),$AB11,$AA11)))=Milestones!$AB$136),UPPER(TEXT(EDATE($D11,Milestones!$AA$136),"dd mmm yy"))&amp;" "&amp;Milestones!$AB$136&amp;" "&amp;IF(AND(Milestones!$AB$136="FT",Milestones!$AA$136=FT_Y5,EDATE($D11,Milestones!$AA$136)&lt;PolicyEff),1,Milestones!$AC$136)&amp;";  ","")&amp;IF(AND(EDATE($D11,Milestones!$AA$137)&lt;=AsOfDate,EDATE($D11,Milestones!$AA$137)&gt;=SchemeStart,IF($X11=0,$AD11,IF(AND($Z11&lt;&gt;"",EDATE($D11,Milestones!$AA$137)&gt;=$Z11),$AC11,IF(AND($Y11&lt;&gt;"",EDATE($D11,Milestones!$AA$137)&gt;=$Y11),$AB11,$AA11)))=Milestones!$AB$137),UPPER(TEXT(EDATE($D11,Milestones!$AA$137),"dd mmm yy"))&amp;" "&amp;Milestones!$AB$137&amp;" "&amp;IF(AND(Milestones!$AB$137="FT",Milestones!$AA$137=FT_Y5,EDATE($D11,Milestones!$AA$137)&lt;PolicyEff),1,Milestones!$AC$137)&amp;";  ","")&amp;IF(AND(EDATE($D11,Milestones!$AA$138)&lt;=AsOfDate,EDATE($D11,Milestones!$AA$138)&gt;=SchemeStart,IF($X11=0,$AD11,IF(AND($Z11&lt;&gt;"",EDATE($D11,Milestones!$AA$138)&gt;=$Z11),$AC11,IF(AND($Y11&lt;&gt;"",EDATE($D11,Milestones!$AA$138)&gt;=$Y11),$AB11,$AA11)))=Milestones!$AB$138),UPPER(TEXT(EDATE($D11,Milestones!$AA$138),"dd mmm yy"))&amp;" "&amp;Milestones!$AB$138&amp;" "&amp;IF(AND(Milestones!$AB$138="FT",Milestones!$AA$138=FT_Y5,EDATE($D11,Milestones!$AA$138)&lt;PolicyEff),1,Milestones!$AC$138)&amp;";  ","")&amp;IF(AND(EDATE($D11,Milestones!$AA$139)&lt;=AsOfDate,EDATE($D11,Milestones!$AA$139)&gt;=SchemeStart,IF($X11=0,$AD11,IF(AND($Z11&lt;&gt;"",EDATE($D11,Milestones!$AA$139)&gt;=$Z11),$AC11,IF(AND($Y11&lt;&gt;"",EDATE($D11,Milestones!$AA$139)&gt;=$Y11),$AB11,$AA11)))=Milestones!$AB$139),UPPER(TEXT(EDATE($D11,Milestones!$AA$139),"dd mmm yy"))&amp;" "&amp;Milestones!$AB$139&amp;" "&amp;IF(AND(Milestones!$AB$139="FT",Milestones!$AA$139=FT_Y5,EDATE($D11,Milestones!$AA$139)&lt;PolicyEff),1,Milestones!$AC$139)&amp;";  ",""))</f>
        <v/>
      </c>
      <c r="S11" s="0" t="str">
        <f aca="false">IF(OR($A11="",$D11=""),"",IF(AND(EDATE($D11,Milestones!$AA$140)&lt;=AsOfDate,EDATE($D11,Milestones!$AA$140)&gt;=SchemeStart,IF($X11=0,$AD11,IF(AND($Z11&lt;&gt;"",EDATE($D11,Milestones!$AA$140)&gt;=$Z11),$AC11,IF(AND($Y11&lt;&gt;"",EDATE($D11,Milestones!$AA$140)&gt;=$Y11),$AB11,$AA11)))=Milestones!$AB$140),UPPER(TEXT(EDATE($D11,Milestones!$AA$140),"dd mmm yy"))&amp;" "&amp;Milestones!$AB$140&amp;" "&amp;IF(AND(Milestones!$AB$140="FT",Milestones!$AA$140=FT_Y5,EDATE($D11,Milestones!$AA$140)&lt;PolicyEff),1,Milestones!$AC$140)&amp;";  ","")&amp;IF(AND(EDATE($D11,Milestones!$AA$141)&lt;=AsOfDate,EDATE($D11,Milestones!$AA$141)&gt;=SchemeStart,IF($X11=0,$AD11,IF(AND($Z11&lt;&gt;"",EDATE($D11,Milestones!$AA$141)&gt;=$Z11),$AC11,IF(AND($Y11&lt;&gt;"",EDATE($D11,Milestones!$AA$141)&gt;=$Y11),$AB11,$AA11)))=Milestones!$AB$141),UPPER(TEXT(EDATE($D11,Milestones!$AA$141),"dd mmm yy"))&amp;" "&amp;Milestones!$AB$141&amp;" "&amp;IF(AND(Milestones!$AB$141="FT",Milestones!$AA$141=FT_Y5,EDATE($D11,Milestones!$AA$141)&lt;PolicyEff),1,Milestones!$AC$141)&amp;";  ","")&amp;IF(AND(EDATE($D11,Milestones!$AA$142)&lt;=AsOfDate,EDATE($D11,Milestones!$AA$142)&gt;=SchemeStart,IF($X11=0,$AD11,IF(AND($Z11&lt;&gt;"",EDATE($D11,Milestones!$AA$142)&gt;=$Z11),$AC11,IF(AND($Y11&lt;&gt;"",EDATE($D11,Milestones!$AA$142)&gt;=$Y11),$AB11,$AA11)))=Milestones!$AB$142),UPPER(TEXT(EDATE($D11,Milestones!$AA$142),"dd mmm yy"))&amp;" "&amp;Milestones!$AB$142&amp;" "&amp;IF(AND(Milestones!$AB$142="FT",Milestones!$AA$142=FT_Y5,EDATE($D11,Milestones!$AA$142)&lt;PolicyEff),1,Milestones!$AC$142)&amp;";  ","")&amp;IF(AND(EDATE($D11,Milestones!$AA$143)&lt;=AsOfDate,EDATE($D11,Milestones!$AA$143)&gt;=SchemeStart,IF($X11=0,$AD11,IF(AND($Z11&lt;&gt;"",EDATE($D11,Milestones!$AA$143)&gt;=$Z11),$AC11,IF(AND($Y11&lt;&gt;"",EDATE($D11,Milestones!$AA$143)&gt;=$Y11),$AB11,$AA11)))=Milestones!$AB$143),UPPER(TEXT(EDATE($D11,Milestones!$AA$143),"dd mmm yy"))&amp;" "&amp;Milestones!$AB$143&amp;" "&amp;IF(AND(Milestones!$AB$143="FT",Milestones!$AA$143=FT_Y5,EDATE($D11,Milestones!$AA$143)&lt;PolicyEff),1,Milestones!$AC$143)&amp;";  ","")&amp;IF(AND(EDATE($D11,Milestones!$AA$144)&lt;=AsOfDate,EDATE($D11,Milestones!$AA$144)&gt;=SchemeStart,IF($X11=0,$AD11,IF(AND($Z11&lt;&gt;"",EDATE($D11,Milestones!$AA$144)&gt;=$Z11),$AC11,IF(AND($Y11&lt;&gt;"",EDATE($D11,Milestones!$AA$144)&gt;=$Y11),$AB11,$AA11)))=Milestones!$AB$144),UPPER(TEXT(EDATE($D11,Milestones!$AA$144),"dd mmm yy"))&amp;" "&amp;Milestones!$AB$144&amp;" "&amp;IF(AND(Milestones!$AB$144="FT",Milestones!$AA$144=FT_Y5,EDATE($D11,Milestones!$AA$144)&lt;PolicyEff),1,Milestones!$AC$144)&amp;";  ","")&amp;IF(AND(EDATE($D11,Milestones!$AA$145)&lt;=AsOfDate,EDATE($D11,Milestones!$AA$145)&gt;=SchemeStart,IF($X11=0,$AD11,IF(AND($Z11&lt;&gt;"",EDATE($D11,Milestones!$AA$145)&gt;=$Z11),$AC11,IF(AND($Y11&lt;&gt;"",EDATE($D11,Milestones!$AA$145)&gt;=$Y11),$AB11,$AA11)))=Milestones!$AB$145),UPPER(TEXT(EDATE($D11,Milestones!$AA$145),"dd mmm yy"))&amp;" "&amp;Milestones!$AB$145&amp;" "&amp;IF(AND(Milestones!$AB$145="FT",Milestones!$AA$145=FT_Y5,EDATE($D11,Milestones!$AA$145)&lt;PolicyEff),1,Milestones!$AC$145)&amp;";  ","")&amp;IF(AND(EDATE($D11,Milestones!$AA$146)&lt;=AsOfDate,EDATE($D11,Milestones!$AA$146)&gt;=SchemeStart,IF($X11=0,$AD11,IF(AND($Z11&lt;&gt;"",EDATE($D11,Milestones!$AA$146)&gt;=$Z11),$AC11,IF(AND($Y11&lt;&gt;"",EDATE($D11,Milestones!$AA$146)&gt;=$Y11),$AB11,$AA11)))=Milestones!$AB$146),UPPER(TEXT(EDATE($D11,Milestones!$AA$146),"dd mmm yy"))&amp;" "&amp;Milestones!$AB$146&amp;" "&amp;IF(AND(Milestones!$AB$146="FT",Milestones!$AA$146=FT_Y5,EDATE($D11,Milestones!$AA$146)&lt;PolicyEff),1,Milestones!$AC$146)&amp;";  ","")&amp;IF(AND(EDATE($D11,Milestones!$AA$147)&lt;=AsOfDate,EDATE($D11,Milestones!$AA$147)&gt;=SchemeStart,IF($X11=0,$AD11,IF(AND($Z11&lt;&gt;"",EDATE($D11,Milestones!$AA$147)&gt;=$Z11),$AC11,IF(AND($Y11&lt;&gt;"",EDATE($D11,Milestones!$AA$147)&gt;=$Y11),$AB11,$AA11)))=Milestones!$AB$147),UPPER(TEXT(EDATE($D11,Milestones!$AA$147),"dd mmm yy"))&amp;" "&amp;Milestones!$AB$147&amp;" "&amp;IF(AND(Milestones!$AB$147="FT",Milestones!$AA$147=FT_Y5,EDATE($D11,Milestones!$AA$147)&lt;PolicyEff),1,Milestones!$AC$147)&amp;";  ","")&amp;IF(AND(EDATE($D11,Milestones!$AA$148)&lt;=AsOfDate,EDATE($D11,Milestones!$AA$148)&gt;=SchemeStart,IF($X11=0,$AD11,IF(AND($Z11&lt;&gt;"",EDATE($D11,Milestones!$AA$148)&gt;=$Z11),$AC11,IF(AND($Y11&lt;&gt;"",EDATE($D11,Milestones!$AA$148)&gt;=$Y11),$AB11,$AA11)))=Milestones!$AB$148),UPPER(TEXT(EDATE($D11,Milestones!$AA$148),"dd mmm yy"))&amp;" "&amp;Milestones!$AB$148&amp;" "&amp;IF(AND(Milestones!$AB$148="FT",Milestones!$AA$148=FT_Y5,EDATE($D11,Milestones!$AA$148)&lt;PolicyEff),1,Milestones!$AC$148)&amp;";  ","")&amp;IF(AND(EDATE($D11,Milestones!$AA$149)&lt;=AsOfDate,EDATE($D11,Milestones!$AA$149)&gt;=SchemeStart,IF($X11=0,$AD11,IF(AND($Z11&lt;&gt;"",EDATE($D11,Milestones!$AA$149)&gt;=$Z11),$AC11,IF(AND($Y11&lt;&gt;"",EDATE($D11,Milestones!$AA$149)&gt;=$Y11),$AB11,$AA11)))=Milestones!$AB$149),UPPER(TEXT(EDATE($D11,Milestones!$AA$149),"dd mmm yy"))&amp;" "&amp;Milestones!$AB$149&amp;" "&amp;IF(AND(Milestones!$AB$149="FT",Milestones!$AA$149=FT_Y5,EDATE($D11,Milestones!$AA$149)&lt;PolicyEff),1,Milestones!$AC$149)&amp;";  ","")&amp;IF(AND(EDATE($D11,Milestones!$AA$150)&lt;=AsOfDate,EDATE($D11,Milestones!$AA$150)&gt;=SchemeStart,IF($X11=0,$AD11,IF(AND($Z11&lt;&gt;"",EDATE($D11,Milestones!$AA$150)&gt;=$Z11),$AC11,IF(AND($Y11&lt;&gt;"",EDATE($D11,Milestones!$AA$150)&gt;=$Y11),$AB11,$AA11)))=Milestones!$AB$150),UPPER(TEXT(EDATE($D11,Milestones!$AA$150),"dd mmm yy"))&amp;" "&amp;Milestones!$AB$150&amp;" "&amp;IF(AND(Milestones!$AB$150="FT",Milestones!$AA$150=FT_Y5,EDATE($D11,Milestones!$AA$150)&lt;PolicyEff),1,Milestones!$AC$150)&amp;";  ","")&amp;IF(AND(EDATE($D11,Milestones!$AA$151)&lt;=AsOfDate,EDATE($D11,Milestones!$AA$151)&gt;=SchemeStart,IF($X11=0,$AD11,IF(AND($Z11&lt;&gt;"",EDATE($D11,Milestones!$AA$151)&gt;=$Z11),$AC11,IF(AND($Y11&lt;&gt;"",EDATE($D11,Milestones!$AA$151)&gt;=$Y11),$AB11,$AA11)))=Milestones!$AB$151),UPPER(TEXT(EDATE($D11,Milestones!$AA$151),"dd mmm yy"))&amp;" "&amp;Milestones!$AB$151&amp;" "&amp;IF(AND(Milestones!$AB$151="FT",Milestones!$AA$151=FT_Y5,EDATE($D11,Milestones!$AA$151)&lt;PolicyEff),1,Milestones!$AC$151)&amp;";  ",""))</f>
        <v/>
      </c>
      <c r="T11" s="0" t="str">
        <f aca="false">IF(OR($A11="",$D11=""),"",IF(AND(EDATE($D11,Milestones!$AA$152)&lt;=AsOfDate,EDATE($D11,Milestones!$AA$152)&gt;=SchemeStart,IF($X11=0,$AD11,IF(AND($Z11&lt;&gt;"",EDATE($D11,Milestones!$AA$152)&gt;=$Z11),$AC11,IF(AND($Y11&lt;&gt;"",EDATE($D11,Milestones!$AA$152)&gt;=$Y11),$AB11,$AA11)))=Milestones!$AB$152),UPPER(TEXT(EDATE($D11,Milestones!$AA$152),"dd mmm yy"))&amp;" "&amp;Milestones!$AB$152&amp;" "&amp;IF(AND(Milestones!$AB$152="FT",Milestones!$AA$152=FT_Y5,EDATE($D11,Milestones!$AA$152)&lt;PolicyEff),1,Milestones!$AC$152)&amp;";  ","")&amp;IF(AND(EDATE($D11,Milestones!$AA$153)&lt;=AsOfDate,EDATE($D11,Milestones!$AA$153)&gt;=SchemeStart,IF($X11=0,$AD11,IF(AND($Z11&lt;&gt;"",EDATE($D11,Milestones!$AA$153)&gt;=$Z11),$AC11,IF(AND($Y11&lt;&gt;"",EDATE($D11,Milestones!$AA$153)&gt;=$Y11),$AB11,$AA11)))=Milestones!$AB$153),UPPER(TEXT(EDATE($D11,Milestones!$AA$153),"dd mmm yy"))&amp;" "&amp;Milestones!$AB$153&amp;" "&amp;IF(AND(Milestones!$AB$153="FT",Milestones!$AA$153=FT_Y5,EDATE($D11,Milestones!$AA$153)&lt;PolicyEff),1,Milestones!$AC$153)&amp;";  ","")&amp;IF(AND(EDATE($D11,Milestones!$AA$154)&lt;=AsOfDate,EDATE($D11,Milestones!$AA$154)&gt;=SchemeStart,IF($X11=0,$AD11,IF(AND($Z11&lt;&gt;"",EDATE($D11,Milestones!$AA$154)&gt;=$Z11),$AC11,IF(AND($Y11&lt;&gt;"",EDATE($D11,Milestones!$AA$154)&gt;=$Y11),$AB11,$AA11)))=Milestones!$AB$154),UPPER(TEXT(EDATE($D11,Milestones!$AA$154),"dd mmm yy"))&amp;" "&amp;Milestones!$AB$154&amp;" "&amp;IF(AND(Milestones!$AB$154="FT",Milestones!$AA$154=FT_Y5,EDATE($D11,Milestones!$AA$154)&lt;PolicyEff),1,Milestones!$AC$154)&amp;";  ","")&amp;IF(AND(EDATE($D11,Milestones!$AA$155)&lt;=AsOfDate,EDATE($D11,Milestones!$AA$155)&gt;=SchemeStart,IF($X11=0,$AD11,IF(AND($Z11&lt;&gt;"",EDATE($D11,Milestones!$AA$155)&gt;=$Z11),$AC11,IF(AND($Y11&lt;&gt;"",EDATE($D11,Milestones!$AA$155)&gt;=$Y11),$AB11,$AA11)))=Milestones!$AB$155),UPPER(TEXT(EDATE($D11,Milestones!$AA$155),"dd mmm yy"))&amp;" "&amp;Milestones!$AB$155&amp;" "&amp;IF(AND(Milestones!$AB$155="FT",Milestones!$AA$155=FT_Y5,EDATE($D11,Milestones!$AA$155)&lt;PolicyEff),1,Milestones!$AC$155)&amp;";  ","")&amp;IF(AND(EDATE($D11,Milestones!$AA$156)&lt;=AsOfDate,EDATE($D11,Milestones!$AA$156)&gt;=SchemeStart,IF($X11=0,$AD11,IF(AND($Z11&lt;&gt;"",EDATE($D11,Milestones!$AA$156)&gt;=$Z11),$AC11,IF(AND($Y11&lt;&gt;"",EDATE($D11,Milestones!$AA$156)&gt;=$Y11),$AB11,$AA11)))=Milestones!$AB$156),UPPER(TEXT(EDATE($D11,Milestones!$AA$156),"dd mmm yy"))&amp;" "&amp;Milestones!$AB$156&amp;" "&amp;IF(AND(Milestones!$AB$156="FT",Milestones!$AA$156=FT_Y5,EDATE($D11,Milestones!$AA$156)&lt;PolicyEff),1,Milestones!$AC$156)&amp;";  ","")&amp;IF(AND(EDATE($D11,Milestones!$AA$157)&lt;=AsOfDate,EDATE($D11,Milestones!$AA$157)&gt;=SchemeStart,IF($X11=0,$AD11,IF(AND($Z11&lt;&gt;"",EDATE($D11,Milestones!$AA$157)&gt;=$Z11),$AC11,IF(AND($Y11&lt;&gt;"",EDATE($D11,Milestones!$AA$157)&gt;=$Y11),$AB11,$AA11)))=Milestones!$AB$157),UPPER(TEXT(EDATE($D11,Milestones!$AA$157),"dd mmm yy"))&amp;" "&amp;Milestones!$AB$157&amp;" "&amp;IF(AND(Milestones!$AB$157="FT",Milestones!$AA$157=FT_Y5,EDATE($D11,Milestones!$AA$157)&lt;PolicyEff),1,Milestones!$AC$157)&amp;";  ","")&amp;IF(AND(EDATE($D11,Milestones!$AA$158)&lt;=AsOfDate,EDATE($D11,Milestones!$AA$158)&gt;=SchemeStart,IF($X11=0,$AD11,IF(AND($Z11&lt;&gt;"",EDATE($D11,Milestones!$AA$158)&gt;=$Z11),$AC11,IF(AND($Y11&lt;&gt;"",EDATE($D11,Milestones!$AA$158)&gt;=$Y11),$AB11,$AA11)))=Milestones!$AB$158),UPPER(TEXT(EDATE($D11,Milestones!$AA$158),"dd mmm yy"))&amp;" "&amp;Milestones!$AB$158&amp;" "&amp;IF(AND(Milestones!$AB$158="FT",Milestones!$AA$158=FT_Y5,EDATE($D11,Milestones!$AA$158)&lt;PolicyEff),1,Milestones!$AC$158)&amp;";  ","")&amp;IF(AND(EDATE($D11,Milestones!$AA$159)&lt;=AsOfDate,EDATE($D11,Milestones!$AA$159)&gt;=SchemeStart,IF($X11=0,$AD11,IF(AND($Z11&lt;&gt;"",EDATE($D11,Milestones!$AA$159)&gt;=$Z11),$AC11,IF(AND($Y11&lt;&gt;"",EDATE($D11,Milestones!$AA$159)&gt;=$Y11),$AB11,$AA11)))=Milestones!$AB$159),UPPER(TEXT(EDATE($D11,Milestones!$AA$159),"dd mmm yy"))&amp;" "&amp;Milestones!$AB$159&amp;" "&amp;IF(AND(Milestones!$AB$159="FT",Milestones!$AA$159=FT_Y5,EDATE($D11,Milestones!$AA$159)&lt;PolicyEff),1,Milestones!$AC$159)&amp;";  ","")&amp;IF(AND(EDATE($D11,Milestones!$AA$160)&lt;=AsOfDate,EDATE($D11,Milestones!$AA$160)&gt;=SchemeStart,IF($X11=0,$AD11,IF(AND($Z11&lt;&gt;"",EDATE($D11,Milestones!$AA$160)&gt;=$Z11),$AC11,IF(AND($Y11&lt;&gt;"",EDATE($D11,Milestones!$AA$160)&gt;=$Y11),$AB11,$AA11)))=Milestones!$AB$160),UPPER(TEXT(EDATE($D11,Milestones!$AA$160),"dd mmm yy"))&amp;" "&amp;Milestones!$AB$160&amp;" "&amp;IF(AND(Milestones!$AB$160="FT",Milestones!$AA$160=FT_Y5,EDATE($D11,Milestones!$AA$160)&lt;PolicyEff),1,Milestones!$AC$160)&amp;";  ","")&amp;IF(AND(EDATE($D11,Milestones!$AA$161)&lt;=AsOfDate,EDATE($D11,Milestones!$AA$161)&gt;=SchemeStart,IF($X11=0,$AD11,IF(AND($Z11&lt;&gt;"",EDATE($D11,Milestones!$AA$161)&gt;=$Z11),$AC11,IF(AND($Y11&lt;&gt;"",EDATE($D11,Milestones!$AA$161)&gt;=$Y11),$AB11,$AA11)))=Milestones!$AB$161),UPPER(TEXT(EDATE($D11,Milestones!$AA$161),"dd mmm yy"))&amp;" "&amp;Milestones!$AB$161&amp;" "&amp;IF(AND(Milestones!$AB$161="FT",Milestones!$AA$161=FT_Y5,EDATE($D11,Milestones!$AA$161)&lt;PolicyEff),1,Milestones!$AC$161)&amp;";  ","")&amp;IF(AND(EDATE($D11,Milestones!$AA$162)&lt;=AsOfDate,EDATE($D11,Milestones!$AA$162)&gt;=SchemeStart,IF($X11=0,$AD11,IF(AND($Z11&lt;&gt;"",EDATE($D11,Milestones!$AA$162)&gt;=$Z11),$AC11,IF(AND($Y11&lt;&gt;"",EDATE($D11,Milestones!$AA$162)&gt;=$Y11),$AB11,$AA11)))=Milestones!$AB$162),UPPER(TEXT(EDATE($D11,Milestones!$AA$162),"dd mmm yy"))&amp;" "&amp;Milestones!$AB$162&amp;" "&amp;IF(AND(Milestones!$AB$162="FT",Milestones!$AA$162=FT_Y5,EDATE($D11,Milestones!$AA$162)&lt;PolicyEff),1,Milestones!$AC$162)&amp;";  ","")&amp;IF(AND(EDATE($D11,Milestones!$AA$163)&lt;=AsOfDate,EDATE($D11,Milestones!$AA$163)&gt;=SchemeStart,IF($X11=0,$AD11,IF(AND($Z11&lt;&gt;"",EDATE($D11,Milestones!$AA$163)&gt;=$Z11),$AC11,IF(AND($Y11&lt;&gt;"",EDATE($D11,Milestones!$AA$163)&gt;=$Y11),$AB11,$AA11)))=Milestones!$AB$163),UPPER(TEXT(EDATE($D11,Milestones!$AA$163),"dd mmm yy"))&amp;" "&amp;Milestones!$AB$163&amp;" "&amp;IF(AND(Milestones!$AB$163="FT",Milestones!$AA$163=FT_Y5,EDATE($D11,Milestones!$AA$163)&lt;PolicyEff),1,Milestones!$AC$163)&amp;";  ",""))</f>
        <v/>
      </c>
      <c r="U11" s="0" t="str">
        <f aca="false">IF(OR($A11="",$D11=""),"",IF(AND(EDATE($D11,Milestones!$AA$164)&lt;=AsOfDate,EDATE($D11,Milestones!$AA$164)&gt;=SchemeStart,IF($X11=0,$AD11,IF(AND($Z11&lt;&gt;"",EDATE($D11,Milestones!$AA$164)&gt;=$Z11),$AC11,IF(AND($Y11&lt;&gt;"",EDATE($D11,Milestones!$AA$164)&gt;=$Y11),$AB11,$AA11)))=Milestones!$AB$164),UPPER(TEXT(EDATE($D11,Milestones!$AA$164),"dd mmm yy"))&amp;" "&amp;Milestones!$AB$164&amp;" "&amp;IF(AND(Milestones!$AB$164="FT",Milestones!$AA$164=FT_Y5,EDATE($D11,Milestones!$AA$164)&lt;PolicyEff),1,Milestones!$AC$164)&amp;";  ","")&amp;IF(AND(EDATE($D11,Milestones!$AA$165)&lt;=AsOfDate,EDATE($D11,Milestones!$AA$165)&gt;=SchemeStart,IF($X11=0,$AD11,IF(AND($Z11&lt;&gt;"",EDATE($D11,Milestones!$AA$165)&gt;=$Z11),$AC11,IF(AND($Y11&lt;&gt;"",EDATE($D11,Milestones!$AA$165)&gt;=$Y11),$AB11,$AA11)))=Milestones!$AB$165),UPPER(TEXT(EDATE($D11,Milestones!$AA$165),"dd mmm yy"))&amp;" "&amp;Milestones!$AB$165&amp;" "&amp;IF(AND(Milestones!$AB$165="FT",Milestones!$AA$165=FT_Y5,EDATE($D11,Milestones!$AA$165)&lt;PolicyEff),1,Milestones!$AC$165)&amp;";  ","")&amp;IF(AND(EDATE($D11,Milestones!$AA$166)&lt;=AsOfDate,EDATE($D11,Milestones!$AA$166)&gt;=SchemeStart,IF($X11=0,$AD11,IF(AND($Z11&lt;&gt;"",EDATE($D11,Milestones!$AA$166)&gt;=$Z11),$AC11,IF(AND($Y11&lt;&gt;"",EDATE($D11,Milestones!$AA$166)&gt;=$Y11),$AB11,$AA11)))=Milestones!$AB$166),UPPER(TEXT(EDATE($D11,Milestones!$AA$166),"dd mmm yy"))&amp;" "&amp;Milestones!$AB$166&amp;" "&amp;IF(AND(Milestones!$AB$166="FT",Milestones!$AA$166=FT_Y5,EDATE($D11,Milestones!$AA$166)&lt;PolicyEff),1,Milestones!$AC$166)&amp;";  ","")&amp;IF(AND(EDATE($D11,Milestones!$AA$167)&lt;=AsOfDate,EDATE($D11,Milestones!$AA$167)&gt;=SchemeStart,IF($X11=0,$AD11,IF(AND($Z11&lt;&gt;"",EDATE($D11,Milestones!$AA$167)&gt;=$Z11),$AC11,IF(AND($Y11&lt;&gt;"",EDATE($D11,Milestones!$AA$167)&gt;=$Y11),$AB11,$AA11)))=Milestones!$AB$167),UPPER(TEXT(EDATE($D11,Milestones!$AA$167),"dd mmm yy"))&amp;" "&amp;Milestones!$AB$167&amp;" "&amp;IF(AND(Milestones!$AB$167="FT",Milestones!$AA$167=FT_Y5,EDATE($D11,Milestones!$AA$167)&lt;PolicyEff),1,Milestones!$AC$167)&amp;";  ","")&amp;IF(AND(EDATE($D11,Milestones!$AA$168)&lt;=AsOfDate,EDATE($D11,Milestones!$AA$168)&gt;=SchemeStart,IF($X11=0,$AD11,IF(AND($Z11&lt;&gt;"",EDATE($D11,Milestones!$AA$168)&gt;=$Z11),$AC11,IF(AND($Y11&lt;&gt;"",EDATE($D11,Milestones!$AA$168)&gt;=$Y11),$AB11,$AA11)))=Milestones!$AB$168),UPPER(TEXT(EDATE($D11,Milestones!$AA$168),"dd mmm yy"))&amp;" "&amp;Milestones!$AB$168&amp;" "&amp;IF(AND(Milestones!$AB$168="FT",Milestones!$AA$168=FT_Y5,EDATE($D11,Milestones!$AA$168)&lt;PolicyEff),1,Milestones!$AC$168)&amp;";  ","")&amp;IF(AND(EDATE($D11,Milestones!$AA$169)&lt;=AsOfDate,EDATE($D11,Milestones!$AA$169)&gt;=SchemeStart,IF($X11=0,$AD11,IF(AND($Z11&lt;&gt;"",EDATE($D11,Milestones!$AA$169)&gt;=$Z11),$AC11,IF(AND($Y11&lt;&gt;"",EDATE($D11,Milestones!$AA$169)&gt;=$Y11),$AB11,$AA11)))=Milestones!$AB$169),UPPER(TEXT(EDATE($D11,Milestones!$AA$169),"dd mmm yy"))&amp;" "&amp;Milestones!$AB$169&amp;" "&amp;IF(AND(Milestones!$AB$169="FT",Milestones!$AA$169=FT_Y5,EDATE($D11,Milestones!$AA$169)&lt;PolicyEff),1,Milestones!$AC$169)&amp;";  ","")&amp;IF(AND(EDATE($D11,Milestones!$AA$170)&lt;=AsOfDate,EDATE($D11,Milestones!$AA$170)&gt;=SchemeStart,IF($X11=0,$AD11,IF(AND($Z11&lt;&gt;"",EDATE($D11,Milestones!$AA$170)&gt;=$Z11),$AC11,IF(AND($Y11&lt;&gt;"",EDATE($D11,Milestones!$AA$170)&gt;=$Y11),$AB11,$AA11)))=Milestones!$AB$170),UPPER(TEXT(EDATE($D11,Milestones!$AA$170),"dd mmm yy"))&amp;" "&amp;Milestones!$AB$170&amp;" "&amp;IF(AND(Milestones!$AB$170="FT",Milestones!$AA$170=FT_Y5,EDATE($D11,Milestones!$AA$170)&lt;PolicyEff),1,Milestones!$AC$170)&amp;";  ","")&amp;IF(AND(EDATE($D11,Milestones!$AA$171)&lt;=AsOfDate,EDATE($D11,Milestones!$AA$171)&gt;=SchemeStart,IF($X11=0,$AD11,IF(AND($Z11&lt;&gt;"",EDATE($D11,Milestones!$AA$171)&gt;=$Z11),$AC11,IF(AND($Y11&lt;&gt;"",EDATE($D11,Milestones!$AA$171)&gt;=$Y11),$AB11,$AA11)))=Milestones!$AB$171),UPPER(TEXT(EDATE($D11,Milestones!$AA$171),"dd mmm yy"))&amp;" "&amp;Milestones!$AB$171&amp;" "&amp;IF(AND(Milestones!$AB$171="FT",Milestones!$AA$171=FT_Y5,EDATE($D11,Milestones!$AA$171)&lt;PolicyEff),1,Milestones!$AC$171)&amp;";  ","")&amp;IF(AND(EDATE($D11,Milestones!$AA$172)&lt;=AsOfDate,EDATE($D11,Milestones!$AA$172)&gt;=SchemeStart,IF($X11=0,$AD11,IF(AND($Z11&lt;&gt;"",EDATE($D11,Milestones!$AA$172)&gt;=$Z11),$AC11,IF(AND($Y11&lt;&gt;"",EDATE($D11,Milestones!$AA$172)&gt;=$Y11),$AB11,$AA11)))=Milestones!$AB$172),UPPER(TEXT(EDATE($D11,Milestones!$AA$172),"dd mmm yy"))&amp;" "&amp;Milestones!$AB$172&amp;" "&amp;IF(AND(Milestones!$AB$172="FT",Milestones!$AA$172=FT_Y5,EDATE($D11,Milestones!$AA$172)&lt;PolicyEff),1,Milestones!$AC$172)&amp;";  ","")&amp;IF(AND(EDATE($D11,Milestones!$AA$173)&lt;=AsOfDate,EDATE($D11,Milestones!$AA$173)&gt;=SchemeStart,IF($X11=0,$AD11,IF(AND($Z11&lt;&gt;"",EDATE($D11,Milestones!$AA$173)&gt;=$Z11),$AC11,IF(AND($Y11&lt;&gt;"",EDATE($D11,Milestones!$AA$173)&gt;=$Y11),$AB11,$AA11)))=Milestones!$AB$173),UPPER(TEXT(EDATE($D11,Milestones!$AA$173),"dd mmm yy"))&amp;" "&amp;Milestones!$AB$173&amp;" "&amp;IF(AND(Milestones!$AB$173="FT",Milestones!$AA$173=FT_Y5,EDATE($D11,Milestones!$AA$173)&lt;PolicyEff),1,Milestones!$AC$173)&amp;";  ","")&amp;IF(AND(EDATE($D11,Milestones!$AA$174)&lt;=AsOfDate,EDATE($D11,Milestones!$AA$174)&gt;=SchemeStart,IF($X11=0,$AD11,IF(AND($Z11&lt;&gt;"",EDATE($D11,Milestones!$AA$174)&gt;=$Z11),$AC11,IF(AND($Y11&lt;&gt;"",EDATE($D11,Milestones!$AA$174)&gt;=$Y11),$AB11,$AA11)))=Milestones!$AB$174),UPPER(TEXT(EDATE($D11,Milestones!$AA$174),"dd mmm yy"))&amp;" "&amp;Milestones!$AB$174&amp;" "&amp;IF(AND(Milestones!$AB$174="FT",Milestones!$AA$174=FT_Y5,EDATE($D11,Milestones!$AA$174)&lt;PolicyEff),1,Milestones!$AC$174)&amp;";  ","")&amp;IF(AND(EDATE($D11,Milestones!$AA$175)&lt;=AsOfDate,EDATE($D11,Milestones!$AA$175)&gt;=SchemeStart,IF($X11=0,$AD11,IF(AND($Z11&lt;&gt;"",EDATE($D11,Milestones!$AA$175)&gt;=$Z11),$AC11,IF(AND($Y11&lt;&gt;"",EDATE($D11,Milestones!$AA$175)&gt;=$Y11),$AB11,$AA11)))=Milestones!$AB$175),UPPER(TEXT(EDATE($D11,Milestones!$AA$175),"dd mmm yy"))&amp;" "&amp;Milestones!$AB$175&amp;" "&amp;IF(AND(Milestones!$AB$175="FT",Milestones!$AA$175=FT_Y5,EDATE($D11,Milestones!$AA$175)&lt;PolicyEff),1,Milestones!$AC$175)&amp;";  ",""))</f>
        <v/>
      </c>
      <c r="V11" s="0" t="str">
        <f aca="false">IF(OR($A11="",$D11=""),"",IF(AND(EDATE($D11,Milestones!$AA$176)&lt;=AsOfDate,EDATE($D11,Milestones!$AA$176)&gt;=SchemeStart,IF($X11=0,$AD11,IF(AND($Z11&lt;&gt;"",EDATE($D11,Milestones!$AA$176)&gt;=$Z11),$AC11,IF(AND($Y11&lt;&gt;"",EDATE($D11,Milestones!$AA$176)&gt;=$Y11),$AB11,$AA11)))=Milestones!$AB$176),UPPER(TEXT(EDATE($D11,Milestones!$AA$176),"dd mmm yy"))&amp;" "&amp;Milestones!$AB$176&amp;" "&amp;IF(AND(Milestones!$AB$176="FT",Milestones!$AA$176=FT_Y5,EDATE($D11,Milestones!$AA$176)&lt;PolicyEff),1,Milestones!$AC$176)&amp;";  ","")&amp;IF(AND(EDATE($D11,Milestones!$AA$177)&lt;=AsOfDate,EDATE($D11,Milestones!$AA$177)&gt;=SchemeStart,IF($X11=0,$AD11,IF(AND($Z11&lt;&gt;"",EDATE($D11,Milestones!$AA$177)&gt;=$Z11),$AC11,IF(AND($Y11&lt;&gt;"",EDATE($D11,Milestones!$AA$177)&gt;=$Y11),$AB11,$AA11)))=Milestones!$AB$177),UPPER(TEXT(EDATE($D11,Milestones!$AA$177),"dd mmm yy"))&amp;" "&amp;Milestones!$AB$177&amp;" "&amp;IF(AND(Milestones!$AB$177="FT",Milestones!$AA$177=FT_Y5,EDATE($D11,Milestones!$AA$177)&lt;PolicyEff),1,Milestones!$AC$177)&amp;";  ","")&amp;IF(AND(EDATE($D11,Milestones!$AA$178)&lt;=AsOfDate,EDATE($D11,Milestones!$AA$178)&gt;=SchemeStart,IF($X11=0,$AD11,IF(AND($Z11&lt;&gt;"",EDATE($D11,Milestones!$AA$178)&gt;=$Z11),$AC11,IF(AND($Y11&lt;&gt;"",EDATE($D11,Milestones!$AA$178)&gt;=$Y11),$AB11,$AA11)))=Milestones!$AB$178),UPPER(TEXT(EDATE($D11,Milestones!$AA$178),"dd mmm yy"))&amp;" "&amp;Milestones!$AB$178&amp;" "&amp;IF(AND(Milestones!$AB$178="FT",Milestones!$AA$178=FT_Y5,EDATE($D11,Milestones!$AA$178)&lt;PolicyEff),1,Milestones!$AC$178)&amp;";  ","")&amp;IF(AND(EDATE($D11,Milestones!$AA$179)&lt;=AsOfDate,EDATE($D11,Milestones!$AA$179)&gt;=SchemeStart,IF($X11=0,$AD11,IF(AND($Z11&lt;&gt;"",EDATE($D11,Milestones!$AA$179)&gt;=$Z11),$AC11,IF(AND($Y11&lt;&gt;"",EDATE($D11,Milestones!$AA$179)&gt;=$Y11),$AB11,$AA11)))=Milestones!$AB$179),UPPER(TEXT(EDATE($D11,Milestones!$AA$179),"dd mmm yy"))&amp;" "&amp;Milestones!$AB$179&amp;" "&amp;IF(AND(Milestones!$AB$179="FT",Milestones!$AA$179=FT_Y5,EDATE($D11,Milestones!$AA$179)&lt;PolicyEff),1,Milestones!$AC$179)&amp;";  ","")&amp;IF(AND(EDATE($D11,Milestones!$AA$180)&lt;=AsOfDate,EDATE($D11,Milestones!$AA$180)&gt;=SchemeStart,IF($X11=0,$AD11,IF(AND($Z11&lt;&gt;"",EDATE($D11,Milestones!$AA$180)&gt;=$Z11),$AC11,IF(AND($Y11&lt;&gt;"",EDATE($D11,Milestones!$AA$180)&gt;=$Y11),$AB11,$AA11)))=Milestones!$AB$180),UPPER(TEXT(EDATE($D11,Milestones!$AA$180),"dd mmm yy"))&amp;" "&amp;Milestones!$AB$180&amp;" "&amp;IF(AND(Milestones!$AB$180="FT",Milestones!$AA$180=FT_Y5,EDATE($D11,Milestones!$AA$180)&lt;PolicyEff),1,Milestones!$AC$180)&amp;";  ","")&amp;IF(AND(EDATE($D11,Milestones!$AA$181)&lt;=AsOfDate,EDATE($D11,Milestones!$AA$181)&gt;=SchemeStart,IF($X11=0,$AD11,IF(AND($Z11&lt;&gt;"",EDATE($D11,Milestones!$AA$181)&gt;=$Z11),$AC11,IF(AND($Y11&lt;&gt;"",EDATE($D11,Milestones!$AA$181)&gt;=$Y11),$AB11,$AA11)))=Milestones!$AB$181),UPPER(TEXT(EDATE($D11,Milestones!$AA$181),"dd mmm yy"))&amp;" "&amp;Milestones!$AB$181&amp;" "&amp;IF(AND(Milestones!$AB$181="FT",Milestones!$AA$181=FT_Y5,EDATE($D11,Milestones!$AA$181)&lt;PolicyEff),1,Milestones!$AC$181)&amp;";  ","")&amp;IF(AND(EDATE($D11,Milestones!$AA$182)&lt;=AsOfDate,EDATE($D11,Milestones!$AA$182)&gt;=SchemeStart,IF($X11=0,$AD11,IF(AND($Z11&lt;&gt;"",EDATE($D11,Milestones!$AA$182)&gt;=$Z11),$AC11,IF(AND($Y11&lt;&gt;"",EDATE($D11,Milestones!$AA$182)&gt;=$Y11),$AB11,$AA11)))=Milestones!$AB$182),UPPER(TEXT(EDATE($D11,Milestones!$AA$182),"dd mmm yy"))&amp;" "&amp;Milestones!$AB$182&amp;" "&amp;IF(AND(Milestones!$AB$182="FT",Milestones!$AA$182=FT_Y5,EDATE($D11,Milestones!$AA$182)&lt;PolicyEff),1,Milestones!$AC$182)&amp;";  ","")&amp;IF(AND(EDATE($D11,Milestones!$AA$183)&lt;=AsOfDate,EDATE($D11,Milestones!$AA$183)&gt;=SchemeStart,IF($X11=0,$AD11,IF(AND($Z11&lt;&gt;"",EDATE($D11,Milestones!$AA$183)&gt;=$Z11),$AC11,IF(AND($Y11&lt;&gt;"",EDATE($D11,Milestones!$AA$183)&gt;=$Y11),$AB11,$AA11)))=Milestones!$AB$183),UPPER(TEXT(EDATE($D11,Milestones!$AA$183),"dd mmm yy"))&amp;" "&amp;Milestones!$AB$183&amp;" "&amp;IF(AND(Milestones!$AB$183="FT",Milestones!$AA$183=FT_Y5,EDATE($D11,Milestones!$AA$183)&lt;PolicyEff),1,Milestones!$AC$183)&amp;";  ","")&amp;IF(AND(EDATE($D11,Milestones!$AA$184)&lt;=AsOfDate,EDATE($D11,Milestones!$AA$184)&gt;=SchemeStart,IF($X11=0,$AD11,IF(AND($Z11&lt;&gt;"",EDATE($D11,Milestones!$AA$184)&gt;=$Z11),$AC11,IF(AND($Y11&lt;&gt;"",EDATE($D11,Milestones!$AA$184)&gt;=$Y11),$AB11,$AA11)))=Milestones!$AB$184),UPPER(TEXT(EDATE($D11,Milestones!$AA$184),"dd mmm yy"))&amp;" "&amp;Milestones!$AB$184&amp;" "&amp;IF(AND(Milestones!$AB$184="FT",Milestones!$AA$184=FT_Y5,EDATE($D11,Milestones!$AA$184)&lt;PolicyEff),1,Milestones!$AC$184)&amp;";  ","")&amp;IF(AND(EDATE($D11,Milestones!$AA$185)&lt;=AsOfDate,EDATE($D11,Milestones!$AA$185)&gt;=SchemeStart,IF($X11=0,$AD11,IF(AND($Z11&lt;&gt;"",EDATE($D11,Milestones!$AA$185)&gt;=$Z11),$AC11,IF(AND($Y11&lt;&gt;"",EDATE($D11,Milestones!$AA$185)&gt;=$Y11),$AB11,$AA11)))=Milestones!$AB$185),UPPER(TEXT(EDATE($D11,Milestones!$AA$185),"dd mmm yy"))&amp;" "&amp;Milestones!$AB$185&amp;" "&amp;IF(AND(Milestones!$AB$185="FT",Milestones!$AA$185=FT_Y5,EDATE($D11,Milestones!$AA$185)&lt;PolicyEff),1,Milestones!$AC$185)&amp;";  ","")&amp;IF(AND(EDATE($D11,Milestones!$AA$186)&lt;=AsOfDate,EDATE($D11,Milestones!$AA$186)&gt;=SchemeStart,IF($X11=0,$AD11,IF(AND($Z11&lt;&gt;"",EDATE($D11,Milestones!$AA$186)&gt;=$Z11),$AC11,IF(AND($Y11&lt;&gt;"",EDATE($D11,Milestones!$AA$186)&gt;=$Y11),$AB11,$AA11)))=Milestones!$AB$186),UPPER(TEXT(EDATE($D11,Milestones!$AA$186),"dd mmm yy"))&amp;" "&amp;Milestones!$AB$186&amp;" "&amp;IF(AND(Milestones!$AB$186="FT",Milestones!$AA$186=FT_Y5,EDATE($D11,Milestones!$AA$186)&lt;PolicyEff),1,Milestones!$AC$186)&amp;";  ","")&amp;IF(AND(EDATE($D11,Milestones!$AA$187)&lt;=AsOfDate,EDATE($D11,Milestones!$AA$187)&gt;=SchemeStart,IF($X11=0,$AD11,IF(AND($Z11&lt;&gt;"",EDATE($D11,Milestones!$AA$187)&gt;=$Z11),$AC11,IF(AND($Y11&lt;&gt;"",EDATE($D11,Milestones!$AA$187)&gt;=$Y11),$AB11,$AA11)))=Milestones!$AB$187),UPPER(TEXT(EDATE($D11,Milestones!$AA$187),"dd mmm yy"))&amp;" "&amp;Milestones!$AB$187&amp;" "&amp;IF(AND(Milestones!$AB$187="FT",Milestones!$AA$187=FT_Y5,EDATE($D11,Milestones!$AA$187)&lt;PolicyEff),1,Milestones!$AC$187)&amp;";  ",""))</f>
        <v/>
      </c>
      <c r="W11" s="0" t="str">
        <f aca="false">IF(OR($A11="",$D11=""),"",IF(AND(EDATE($D11,Milestones!$AA$188)&lt;=AsOfDate,EDATE($D11,Milestones!$AA$188)&gt;=SchemeStart,IF($X11=0,$AD11,IF(AND($Z11&lt;&gt;"",EDATE($D11,Milestones!$AA$188)&gt;=$Z11),$AC11,IF(AND($Y11&lt;&gt;"",EDATE($D11,Milestones!$AA$188)&gt;=$Y11),$AB11,$AA11)))=Milestones!$AB$188),UPPER(TEXT(EDATE($D11,Milestones!$AA$188),"dd mmm yy"))&amp;" "&amp;Milestones!$AB$188&amp;" "&amp;IF(AND(Milestones!$AB$188="FT",Milestones!$AA$188=FT_Y5,EDATE($D11,Milestones!$AA$188)&lt;PolicyEff),1,Milestones!$AC$188)&amp;";  ","")&amp;IF(AND(EDATE($D11,Milestones!$AA$189)&lt;=AsOfDate,EDATE($D11,Milestones!$AA$189)&gt;=SchemeStart,IF($X11=0,$AD11,IF(AND($Z11&lt;&gt;"",EDATE($D11,Milestones!$AA$189)&gt;=$Z11),$AC11,IF(AND($Y11&lt;&gt;"",EDATE($D11,Milestones!$AA$189)&gt;=$Y11),$AB11,$AA11)))=Milestones!$AB$189),UPPER(TEXT(EDATE($D11,Milestones!$AA$189),"dd mmm yy"))&amp;" "&amp;Milestones!$AB$189&amp;" "&amp;IF(AND(Milestones!$AB$189="FT",Milestones!$AA$189=FT_Y5,EDATE($D11,Milestones!$AA$189)&lt;PolicyEff),1,Milestones!$AC$189)&amp;";  ","")&amp;IF(AND(EDATE($D11,Milestones!$AA$190)&lt;=AsOfDate,EDATE($D11,Milestones!$AA$190)&gt;=SchemeStart,IF($X11=0,$AD11,IF(AND($Z11&lt;&gt;"",EDATE($D11,Milestones!$AA$190)&gt;=$Z11),$AC11,IF(AND($Y11&lt;&gt;"",EDATE($D11,Milestones!$AA$190)&gt;=$Y11),$AB11,$AA11)))=Milestones!$AB$190),UPPER(TEXT(EDATE($D11,Milestones!$AA$190),"dd mmm yy"))&amp;" "&amp;Milestones!$AB$190&amp;" "&amp;IF(AND(Milestones!$AB$190="FT",Milestones!$AA$190=FT_Y5,EDATE($D11,Milestones!$AA$190)&lt;PolicyEff),1,Milestones!$AC$190)&amp;";  ","")&amp;IF(AND(EDATE($D11,Milestones!$AA$191)&lt;=AsOfDate,EDATE($D11,Milestones!$AA$191)&gt;=SchemeStart,IF($X11=0,$AD11,IF(AND($Z11&lt;&gt;"",EDATE($D11,Milestones!$AA$191)&gt;=$Z11),$AC11,IF(AND($Y11&lt;&gt;"",EDATE($D11,Milestones!$AA$191)&gt;=$Y11),$AB11,$AA11)))=Milestones!$AB$191),UPPER(TEXT(EDATE($D11,Milestones!$AA$191),"dd mmm yy"))&amp;" "&amp;Milestones!$AB$191&amp;" "&amp;IF(AND(Milestones!$AB$191="FT",Milestones!$AA$191=FT_Y5,EDATE($D11,Milestones!$AA$191)&lt;PolicyEff),1,Milestones!$AC$191)&amp;";  ","")&amp;IF(AND(EDATE($D11,Milestones!$AA$192)&lt;=AsOfDate,EDATE($D11,Milestones!$AA$192)&gt;=SchemeStart,IF($X11=0,$AD11,IF(AND($Z11&lt;&gt;"",EDATE($D11,Milestones!$AA$192)&gt;=$Z11),$AC11,IF(AND($Y11&lt;&gt;"",EDATE($D11,Milestones!$AA$192)&gt;=$Y11),$AB11,$AA11)))=Milestones!$AB$192),UPPER(TEXT(EDATE($D11,Milestones!$AA$192),"dd mmm yy"))&amp;" "&amp;Milestones!$AB$192&amp;" "&amp;IF(AND(Milestones!$AB$192="FT",Milestones!$AA$192=FT_Y5,EDATE($D11,Milestones!$AA$192)&lt;PolicyEff),1,Milestones!$AC$192)&amp;";  ","")&amp;IF(AND(EDATE($D11,Milestones!$AA$193)&lt;=AsOfDate,EDATE($D11,Milestones!$AA$193)&gt;=SchemeStart,IF($X11=0,$AD11,IF(AND($Z11&lt;&gt;"",EDATE($D11,Milestones!$AA$193)&gt;=$Z11),$AC11,IF(AND($Y11&lt;&gt;"",EDATE($D11,Milestones!$AA$193)&gt;=$Y11),$AB11,$AA11)))=Milestones!$AB$193),UPPER(TEXT(EDATE($D11,Milestones!$AA$193),"dd mmm yy"))&amp;" "&amp;Milestones!$AB$193&amp;" "&amp;IF(AND(Milestones!$AB$193="FT",Milestones!$AA$193=FT_Y5,EDATE($D11,Milestones!$AA$193)&lt;PolicyEff),1,Milestones!$AC$193)&amp;";  ","")&amp;IF(AND(EDATE($D11,Milestones!$AA$194)&lt;=AsOfDate,EDATE($D11,Milestones!$AA$194)&gt;=SchemeStart,IF($X11=0,$AD11,IF(AND($Z11&lt;&gt;"",EDATE($D11,Milestones!$AA$194)&gt;=$Z11),$AC11,IF(AND($Y11&lt;&gt;"",EDATE($D11,Milestones!$AA$194)&gt;=$Y11),$AB11,$AA11)))=Milestones!$AB$194),UPPER(TEXT(EDATE($D11,Milestones!$AA$194),"dd mmm yy"))&amp;" "&amp;Milestones!$AB$194&amp;" "&amp;IF(AND(Milestones!$AB$194="FT",Milestones!$AA$194=FT_Y5,EDATE($D11,Milestones!$AA$194)&lt;PolicyEff),1,Milestones!$AC$194)&amp;";  ","")&amp;IF(AND(EDATE($D11,Milestones!$AA$195)&lt;=AsOfDate,EDATE($D11,Milestones!$AA$195)&gt;=SchemeStart,IF($X11=0,$AD11,IF(AND($Z11&lt;&gt;"",EDATE($D11,Milestones!$AA$195)&gt;=$Z11),$AC11,IF(AND($Y11&lt;&gt;"",EDATE($D11,Milestones!$AA$195)&gt;=$Y11),$AB11,$AA11)))=Milestones!$AB$195),UPPER(TEXT(EDATE($D11,Milestones!$AA$195),"dd mmm yy"))&amp;" "&amp;Milestones!$AB$195&amp;" "&amp;IF(AND(Milestones!$AB$195="FT",Milestones!$AA$195=FT_Y5,EDATE($D11,Milestones!$AA$195)&lt;PolicyEff),1,Milestones!$AC$195)&amp;";  ","")&amp;IF(AND(EDATE($D11,Milestones!$AA$196)&lt;=AsOfDate,EDATE($D11,Milestones!$AA$196)&gt;=SchemeStart,IF($X11=0,$AD11,IF(AND($Z11&lt;&gt;"",EDATE($D11,Milestones!$AA$196)&gt;=$Z11),$AC11,IF(AND($Y11&lt;&gt;"",EDATE($D11,Milestones!$AA$196)&gt;=$Y11),$AB11,$AA11)))=Milestones!$AB$196),UPPER(TEXT(EDATE($D11,Milestones!$AA$196),"dd mmm yy"))&amp;" "&amp;Milestones!$AB$196&amp;" "&amp;IF(AND(Milestones!$AB$196="FT",Milestones!$AA$196=FT_Y5,EDATE($D11,Milestones!$AA$196)&lt;PolicyEff),1,Milestones!$AC$196)&amp;";  ","")&amp;IF(AND(EDATE($D11,Milestones!$AA$197)&lt;=AsOfDate,EDATE($D11,Milestones!$AA$197)&gt;=SchemeStart,IF($X11=0,$AD11,IF(AND($Z11&lt;&gt;"",EDATE($D11,Milestones!$AA$197)&gt;=$Z11),$AC11,IF(AND($Y11&lt;&gt;"",EDATE($D11,Milestones!$AA$197)&gt;=$Y11),$AB11,$AA11)))=Milestones!$AB$197),UPPER(TEXT(EDATE($D11,Milestones!$AA$197),"dd mmm yy"))&amp;" "&amp;Milestones!$AB$197&amp;" "&amp;IF(AND(Milestones!$AB$197="FT",Milestones!$AA$197=FT_Y5,EDATE($D11,Milestones!$AA$197)&lt;PolicyEff),1,Milestones!$AC$197)&amp;";  ","")&amp;IF(AND(EDATE($D11,Milestones!$AA$198)&lt;=AsOfDate,EDATE($D11,Milestones!$AA$198)&gt;=SchemeStart,IF($X11=0,$AD11,IF(AND($Z11&lt;&gt;"",EDATE($D11,Milestones!$AA$198)&gt;=$Z11),$AC11,IF(AND($Y11&lt;&gt;"",EDATE($D11,Milestones!$AA$198)&gt;=$Y11),$AB11,$AA11)))=Milestones!$AB$198),UPPER(TEXT(EDATE($D11,Milestones!$AA$198),"dd mmm yy"))&amp;" "&amp;Milestones!$AB$198&amp;" "&amp;IF(AND(Milestones!$AB$198="FT",Milestones!$AA$198=FT_Y5,EDATE($D11,Milestones!$AA$198)&lt;PolicyEff),1,Milestones!$AC$198)&amp;";  ","")&amp;IF(AND(EDATE($D11,Milestones!$AA$199)&lt;=AsOfDate,EDATE($D11,Milestones!$AA$199)&gt;=SchemeStart,IF($X11=0,$AD11,IF(AND($Z11&lt;&gt;"",EDATE($D11,Milestones!$AA$199)&gt;=$Z11),$AC11,IF(AND($Y11&lt;&gt;"",EDATE($D11,Milestones!$AA$199)&gt;=$Y11),$AB11,$AA11)))=Milestones!$AB$199),UPPER(TEXT(EDATE($D11,Milestones!$AA$199),"dd mmm yy"))&amp;" "&amp;Milestones!$AB$199&amp;" "&amp;IF(AND(Milestones!$AB$199="FT",Milestones!$AA$199=FT_Y5,EDATE($D11,Milestones!$AA$199)&lt;PolicyEff),1,Milestones!$AC$199)&amp;";  ",""))</f>
        <v/>
      </c>
      <c r="X11" s="0" t="str">
        <f aca="false">IF(Staff!$A11="","",Staff!$AM11)</f>
        <v/>
      </c>
      <c r="Y11" s="0" t="str">
        <f aca="false">IF(Staff!$A11="","",Staff!$AO11)</f>
        <v/>
      </c>
      <c r="Z11" s="0" t="str">
        <f aca="false">IF(Staff!$A11="","",Staff!$AP11)</f>
        <v/>
      </c>
      <c r="AA11" s="0" t="str">
        <f aca="false">IF(Staff!$A11="","",Staff!$AT11)</f>
        <v/>
      </c>
      <c r="AB11" s="0" t="str">
        <f aca="false">IF(Staff!$A11="","",Staff!$AU11)</f>
        <v/>
      </c>
      <c r="AC11" s="0" t="str">
        <f aca="false">IF(Staff!$A11="","",Staff!$AV11)</f>
        <v/>
      </c>
      <c r="AD11" s="0" t="str">
        <f aca="false">IF(Staff!$A11="","",Staff!$AW11)</f>
        <v/>
      </c>
    </row>
    <row r="12" customFormat="false" ht="15" hidden="false" customHeight="false" outlineLevel="0" collapsed="false">
      <c r="A12" s="16" t="str">
        <f aca="false">IF(Staff!$A12="","",Staff!$A12)</f>
        <v/>
      </c>
      <c r="B12" s="16" t="str">
        <f aca="false">IF(Staff!$A12="","",Staff!$B12)</f>
        <v/>
      </c>
      <c r="C12" s="16" t="str">
        <f aca="false">IF(Staff!$A12="","",Staff!$C12)</f>
        <v/>
      </c>
      <c r="D12" s="14" t="str">
        <f aca="false">IF(Staff!$A12="","",Staff!$AL12)</f>
        <v/>
      </c>
      <c r="E12" s="16" t="str">
        <f aca="false">IF(Staff!$A12="","",Staff!$O12)</f>
        <v/>
      </c>
      <c r="F12" s="16" t="str">
        <f aca="false">IF(E12="","",E12*HoursPerDay)</f>
        <v/>
      </c>
      <c r="G12" s="16" t="str">
        <f aca="false">IF(Staff!$A12="","",Staff!$AE12)</f>
        <v/>
      </c>
      <c r="H12" s="28" t="str">
        <f aca="false">IF($A12="","",I12&amp;J12&amp;K12&amp;L12&amp;M12&amp;N12&amp;O12&amp;P12&amp;Q12&amp;R12&amp;S12&amp;T12&amp;U12&amp;V12&amp;W12)</f>
        <v/>
      </c>
      <c r="I12" s="0" t="str">
        <f aca="false">IF(OR($A12="",$D12=""),"",IF(AND(EDATE($D12,Milestones!$AA$20)&lt;=AsOfDate,EDATE($D12,Milestones!$AA$20)&gt;=SchemeStart,IF($X12=0,$AD12,IF(AND($Z12&lt;&gt;"",EDATE($D12,Milestones!$AA$20)&gt;=$Z12),$AC12,IF(AND($Y12&lt;&gt;"",EDATE($D12,Milestones!$AA$20)&gt;=$Y12),$AB12,$AA12)))=Milestones!$AB$20),UPPER(TEXT(EDATE($D12,Milestones!$AA$20),"dd mmm yy"))&amp;" "&amp;Milestones!$AB$20&amp;" "&amp;IF(AND(Milestones!$AB$20="FT",Milestones!$AA$20=FT_Y5,EDATE($D12,Milestones!$AA$20)&lt;PolicyEff),1,Milestones!$AC$20)&amp;";  ","")&amp;IF(AND(EDATE($D12,Milestones!$AA$21)&lt;=AsOfDate,EDATE($D12,Milestones!$AA$21)&gt;=SchemeStart,IF($X12=0,$AD12,IF(AND($Z12&lt;&gt;"",EDATE($D12,Milestones!$AA$21)&gt;=$Z12),$AC12,IF(AND($Y12&lt;&gt;"",EDATE($D12,Milestones!$AA$21)&gt;=$Y12),$AB12,$AA12)))=Milestones!$AB$21),UPPER(TEXT(EDATE($D12,Milestones!$AA$21),"dd mmm yy"))&amp;" "&amp;Milestones!$AB$21&amp;" "&amp;IF(AND(Milestones!$AB$21="FT",Milestones!$AA$21=FT_Y5,EDATE($D12,Milestones!$AA$21)&lt;PolicyEff),1,Milestones!$AC$21)&amp;";  ","")&amp;IF(AND(EDATE($D12,Milestones!$AA$22)&lt;=AsOfDate,EDATE($D12,Milestones!$AA$22)&gt;=SchemeStart,IF($X12=0,$AD12,IF(AND($Z12&lt;&gt;"",EDATE($D12,Milestones!$AA$22)&gt;=$Z12),$AC12,IF(AND($Y12&lt;&gt;"",EDATE($D12,Milestones!$AA$22)&gt;=$Y12),$AB12,$AA12)))=Milestones!$AB$22),UPPER(TEXT(EDATE($D12,Milestones!$AA$22),"dd mmm yy"))&amp;" "&amp;Milestones!$AB$22&amp;" "&amp;IF(AND(Milestones!$AB$22="FT",Milestones!$AA$22=FT_Y5,EDATE($D12,Milestones!$AA$22)&lt;PolicyEff),1,Milestones!$AC$22)&amp;";  ","")&amp;IF(AND(EDATE($D12,Milestones!$AA$23)&lt;=AsOfDate,EDATE($D12,Milestones!$AA$23)&gt;=SchemeStart,IF($X12=0,$AD12,IF(AND($Z12&lt;&gt;"",EDATE($D12,Milestones!$AA$23)&gt;=$Z12),$AC12,IF(AND($Y12&lt;&gt;"",EDATE($D12,Milestones!$AA$23)&gt;=$Y12),$AB12,$AA12)))=Milestones!$AB$23),UPPER(TEXT(EDATE($D12,Milestones!$AA$23),"dd mmm yy"))&amp;" "&amp;Milestones!$AB$23&amp;" "&amp;IF(AND(Milestones!$AB$23="FT",Milestones!$AA$23=FT_Y5,EDATE($D12,Milestones!$AA$23)&lt;PolicyEff),1,Milestones!$AC$23)&amp;";  ","")&amp;IF(AND(EDATE($D12,Milestones!$AA$24)&lt;=AsOfDate,EDATE($D12,Milestones!$AA$24)&gt;=SchemeStart,IF($X12=0,$AD12,IF(AND($Z12&lt;&gt;"",EDATE($D12,Milestones!$AA$24)&gt;=$Z12),$AC12,IF(AND($Y12&lt;&gt;"",EDATE($D12,Milestones!$AA$24)&gt;=$Y12),$AB12,$AA12)))=Milestones!$AB$24),UPPER(TEXT(EDATE($D12,Milestones!$AA$24),"dd mmm yy"))&amp;" "&amp;Milestones!$AB$24&amp;" "&amp;IF(AND(Milestones!$AB$24="FT",Milestones!$AA$24=FT_Y5,EDATE($D12,Milestones!$AA$24)&lt;PolicyEff),1,Milestones!$AC$24)&amp;";  ","")&amp;IF(AND(EDATE($D12,Milestones!$AA$25)&lt;=AsOfDate,EDATE($D12,Milestones!$AA$25)&gt;=SchemeStart,IF($X12=0,$AD12,IF(AND($Z12&lt;&gt;"",EDATE($D12,Milestones!$AA$25)&gt;=$Z12),$AC12,IF(AND($Y12&lt;&gt;"",EDATE($D12,Milestones!$AA$25)&gt;=$Y12),$AB12,$AA12)))=Milestones!$AB$25),UPPER(TEXT(EDATE($D12,Milestones!$AA$25),"dd mmm yy"))&amp;" "&amp;Milestones!$AB$25&amp;" "&amp;IF(AND(Milestones!$AB$25="FT",Milestones!$AA$25=FT_Y5,EDATE($D12,Milestones!$AA$25)&lt;PolicyEff),1,Milestones!$AC$25)&amp;";  ","")&amp;IF(AND(EDATE($D12,Milestones!$AA$26)&lt;=AsOfDate,EDATE($D12,Milestones!$AA$26)&gt;=SchemeStart,IF($X12=0,$AD12,IF(AND($Z12&lt;&gt;"",EDATE($D12,Milestones!$AA$26)&gt;=$Z12),$AC12,IF(AND($Y12&lt;&gt;"",EDATE($D12,Milestones!$AA$26)&gt;=$Y12),$AB12,$AA12)))=Milestones!$AB$26),UPPER(TEXT(EDATE($D12,Milestones!$AA$26),"dd mmm yy"))&amp;" "&amp;Milestones!$AB$26&amp;" "&amp;IF(AND(Milestones!$AB$26="FT",Milestones!$AA$26=FT_Y5,EDATE($D12,Milestones!$AA$26)&lt;PolicyEff),1,Milestones!$AC$26)&amp;";  ","")&amp;IF(AND(EDATE($D12,Milestones!$AA$27)&lt;=AsOfDate,EDATE($D12,Milestones!$AA$27)&gt;=SchemeStart,IF($X12=0,$AD12,IF(AND($Z12&lt;&gt;"",EDATE($D12,Milestones!$AA$27)&gt;=$Z12),$AC12,IF(AND($Y12&lt;&gt;"",EDATE($D12,Milestones!$AA$27)&gt;=$Y12),$AB12,$AA12)))=Milestones!$AB$27),UPPER(TEXT(EDATE($D12,Milestones!$AA$27),"dd mmm yy"))&amp;" "&amp;Milestones!$AB$27&amp;" "&amp;IF(AND(Milestones!$AB$27="FT",Milestones!$AA$27=FT_Y5,EDATE($D12,Milestones!$AA$27)&lt;PolicyEff),1,Milestones!$AC$27)&amp;";  ","")&amp;IF(AND(EDATE($D12,Milestones!$AA$28)&lt;=AsOfDate,EDATE($D12,Milestones!$AA$28)&gt;=SchemeStart,IF($X12=0,$AD12,IF(AND($Z12&lt;&gt;"",EDATE($D12,Milestones!$AA$28)&gt;=$Z12),$AC12,IF(AND($Y12&lt;&gt;"",EDATE($D12,Milestones!$AA$28)&gt;=$Y12),$AB12,$AA12)))=Milestones!$AB$28),UPPER(TEXT(EDATE($D12,Milestones!$AA$28),"dd mmm yy"))&amp;" "&amp;Milestones!$AB$28&amp;" "&amp;IF(AND(Milestones!$AB$28="FT",Milestones!$AA$28=FT_Y5,EDATE($D12,Milestones!$AA$28)&lt;PolicyEff),1,Milestones!$AC$28)&amp;";  ","")&amp;IF(AND(EDATE($D12,Milestones!$AA$29)&lt;=AsOfDate,EDATE($D12,Milestones!$AA$29)&gt;=SchemeStart,IF($X12=0,$AD12,IF(AND($Z12&lt;&gt;"",EDATE($D12,Milestones!$AA$29)&gt;=$Z12),$AC12,IF(AND($Y12&lt;&gt;"",EDATE($D12,Milestones!$AA$29)&gt;=$Y12),$AB12,$AA12)))=Milestones!$AB$29),UPPER(TEXT(EDATE($D12,Milestones!$AA$29),"dd mmm yy"))&amp;" "&amp;Milestones!$AB$29&amp;" "&amp;IF(AND(Milestones!$AB$29="FT",Milestones!$AA$29=FT_Y5,EDATE($D12,Milestones!$AA$29)&lt;PolicyEff),1,Milestones!$AC$29)&amp;";  ","")&amp;IF(AND(EDATE($D12,Milestones!$AA$30)&lt;=AsOfDate,EDATE($D12,Milestones!$AA$30)&gt;=SchemeStart,IF($X12=0,$AD12,IF(AND($Z12&lt;&gt;"",EDATE($D12,Milestones!$AA$30)&gt;=$Z12),$AC12,IF(AND($Y12&lt;&gt;"",EDATE($D12,Milestones!$AA$30)&gt;=$Y12),$AB12,$AA12)))=Milestones!$AB$30),UPPER(TEXT(EDATE($D12,Milestones!$AA$30),"dd mmm yy"))&amp;" "&amp;Milestones!$AB$30&amp;" "&amp;IF(AND(Milestones!$AB$30="FT",Milestones!$AA$30=FT_Y5,EDATE($D12,Milestones!$AA$30)&lt;PolicyEff),1,Milestones!$AC$30)&amp;";  ","")&amp;IF(AND(EDATE($D12,Milestones!$AA$31)&lt;=AsOfDate,EDATE($D12,Milestones!$AA$31)&gt;=SchemeStart,IF($X12=0,$AD12,IF(AND($Z12&lt;&gt;"",EDATE($D12,Milestones!$AA$31)&gt;=$Z12),$AC12,IF(AND($Y12&lt;&gt;"",EDATE($D12,Milestones!$AA$31)&gt;=$Y12),$AB12,$AA12)))=Milestones!$AB$31),UPPER(TEXT(EDATE($D12,Milestones!$AA$31),"dd mmm yy"))&amp;" "&amp;Milestones!$AB$31&amp;" "&amp;IF(AND(Milestones!$AB$31="FT",Milestones!$AA$31=FT_Y5,EDATE($D12,Milestones!$AA$31)&lt;PolicyEff),1,Milestones!$AC$31)&amp;";  ",""))</f>
        <v/>
      </c>
      <c r="J12" s="0" t="str">
        <f aca="false">IF(OR($A12="",$D12=""),"",IF(AND(EDATE($D12,Milestones!$AA$32)&lt;=AsOfDate,EDATE($D12,Milestones!$AA$32)&gt;=SchemeStart,IF($X12=0,$AD12,IF(AND($Z12&lt;&gt;"",EDATE($D12,Milestones!$AA$32)&gt;=$Z12),$AC12,IF(AND($Y12&lt;&gt;"",EDATE($D12,Milestones!$AA$32)&gt;=$Y12),$AB12,$AA12)))=Milestones!$AB$32),UPPER(TEXT(EDATE($D12,Milestones!$AA$32),"dd mmm yy"))&amp;" "&amp;Milestones!$AB$32&amp;" "&amp;IF(AND(Milestones!$AB$32="FT",Milestones!$AA$32=FT_Y5,EDATE($D12,Milestones!$AA$32)&lt;PolicyEff),1,Milestones!$AC$32)&amp;";  ","")&amp;IF(AND(EDATE($D12,Milestones!$AA$33)&lt;=AsOfDate,EDATE($D12,Milestones!$AA$33)&gt;=SchemeStart,IF($X12=0,$AD12,IF(AND($Z12&lt;&gt;"",EDATE($D12,Milestones!$AA$33)&gt;=$Z12),$AC12,IF(AND($Y12&lt;&gt;"",EDATE($D12,Milestones!$AA$33)&gt;=$Y12),$AB12,$AA12)))=Milestones!$AB$33),UPPER(TEXT(EDATE($D12,Milestones!$AA$33),"dd mmm yy"))&amp;" "&amp;Milestones!$AB$33&amp;" "&amp;IF(AND(Milestones!$AB$33="FT",Milestones!$AA$33=FT_Y5,EDATE($D12,Milestones!$AA$33)&lt;PolicyEff),1,Milestones!$AC$33)&amp;";  ","")&amp;IF(AND(EDATE($D12,Milestones!$AA$34)&lt;=AsOfDate,EDATE($D12,Milestones!$AA$34)&gt;=SchemeStart,IF($X12=0,$AD12,IF(AND($Z12&lt;&gt;"",EDATE($D12,Milestones!$AA$34)&gt;=$Z12),$AC12,IF(AND($Y12&lt;&gt;"",EDATE($D12,Milestones!$AA$34)&gt;=$Y12),$AB12,$AA12)))=Milestones!$AB$34),UPPER(TEXT(EDATE($D12,Milestones!$AA$34),"dd mmm yy"))&amp;" "&amp;Milestones!$AB$34&amp;" "&amp;IF(AND(Milestones!$AB$34="FT",Milestones!$AA$34=FT_Y5,EDATE($D12,Milestones!$AA$34)&lt;PolicyEff),1,Milestones!$AC$34)&amp;";  ","")&amp;IF(AND(EDATE($D12,Milestones!$AA$35)&lt;=AsOfDate,EDATE($D12,Milestones!$AA$35)&gt;=SchemeStart,IF($X12=0,$AD12,IF(AND($Z12&lt;&gt;"",EDATE($D12,Milestones!$AA$35)&gt;=$Z12),$AC12,IF(AND($Y12&lt;&gt;"",EDATE($D12,Milestones!$AA$35)&gt;=$Y12),$AB12,$AA12)))=Milestones!$AB$35),UPPER(TEXT(EDATE($D12,Milestones!$AA$35),"dd mmm yy"))&amp;" "&amp;Milestones!$AB$35&amp;" "&amp;IF(AND(Milestones!$AB$35="FT",Milestones!$AA$35=FT_Y5,EDATE($D12,Milestones!$AA$35)&lt;PolicyEff),1,Milestones!$AC$35)&amp;";  ","")&amp;IF(AND(EDATE($D12,Milestones!$AA$36)&lt;=AsOfDate,EDATE($D12,Milestones!$AA$36)&gt;=SchemeStart,IF($X12=0,$AD12,IF(AND($Z12&lt;&gt;"",EDATE($D12,Milestones!$AA$36)&gt;=$Z12),$AC12,IF(AND($Y12&lt;&gt;"",EDATE($D12,Milestones!$AA$36)&gt;=$Y12),$AB12,$AA12)))=Milestones!$AB$36),UPPER(TEXT(EDATE($D12,Milestones!$AA$36),"dd mmm yy"))&amp;" "&amp;Milestones!$AB$36&amp;" "&amp;IF(AND(Milestones!$AB$36="FT",Milestones!$AA$36=FT_Y5,EDATE($D12,Milestones!$AA$36)&lt;PolicyEff),1,Milestones!$AC$36)&amp;";  ","")&amp;IF(AND(EDATE($D12,Milestones!$AA$37)&lt;=AsOfDate,EDATE($D12,Milestones!$AA$37)&gt;=SchemeStart,IF($X12=0,$AD12,IF(AND($Z12&lt;&gt;"",EDATE($D12,Milestones!$AA$37)&gt;=$Z12),$AC12,IF(AND($Y12&lt;&gt;"",EDATE($D12,Milestones!$AA$37)&gt;=$Y12),$AB12,$AA12)))=Milestones!$AB$37),UPPER(TEXT(EDATE($D12,Milestones!$AA$37),"dd mmm yy"))&amp;" "&amp;Milestones!$AB$37&amp;" "&amp;IF(AND(Milestones!$AB$37="FT",Milestones!$AA$37=FT_Y5,EDATE($D12,Milestones!$AA$37)&lt;PolicyEff),1,Milestones!$AC$37)&amp;";  ","")&amp;IF(AND(EDATE($D12,Milestones!$AA$38)&lt;=AsOfDate,EDATE($D12,Milestones!$AA$38)&gt;=SchemeStart,IF($X12=0,$AD12,IF(AND($Z12&lt;&gt;"",EDATE($D12,Milestones!$AA$38)&gt;=$Z12),$AC12,IF(AND($Y12&lt;&gt;"",EDATE($D12,Milestones!$AA$38)&gt;=$Y12),$AB12,$AA12)))=Milestones!$AB$38),UPPER(TEXT(EDATE($D12,Milestones!$AA$38),"dd mmm yy"))&amp;" "&amp;Milestones!$AB$38&amp;" "&amp;IF(AND(Milestones!$AB$38="FT",Milestones!$AA$38=FT_Y5,EDATE($D12,Milestones!$AA$38)&lt;PolicyEff),1,Milestones!$AC$38)&amp;";  ","")&amp;IF(AND(EDATE($D12,Milestones!$AA$39)&lt;=AsOfDate,EDATE($D12,Milestones!$AA$39)&gt;=SchemeStart,IF($X12=0,$AD12,IF(AND($Z12&lt;&gt;"",EDATE($D12,Milestones!$AA$39)&gt;=$Z12),$AC12,IF(AND($Y12&lt;&gt;"",EDATE($D12,Milestones!$AA$39)&gt;=$Y12),$AB12,$AA12)))=Milestones!$AB$39),UPPER(TEXT(EDATE($D12,Milestones!$AA$39),"dd mmm yy"))&amp;" "&amp;Milestones!$AB$39&amp;" "&amp;IF(AND(Milestones!$AB$39="FT",Milestones!$AA$39=FT_Y5,EDATE($D12,Milestones!$AA$39)&lt;PolicyEff),1,Milestones!$AC$39)&amp;";  ","")&amp;IF(AND(EDATE($D12,Milestones!$AA$40)&lt;=AsOfDate,EDATE($D12,Milestones!$AA$40)&gt;=SchemeStart,IF($X12=0,$AD12,IF(AND($Z12&lt;&gt;"",EDATE($D12,Milestones!$AA$40)&gt;=$Z12),$AC12,IF(AND($Y12&lt;&gt;"",EDATE($D12,Milestones!$AA$40)&gt;=$Y12),$AB12,$AA12)))=Milestones!$AB$40),UPPER(TEXT(EDATE($D12,Milestones!$AA$40),"dd mmm yy"))&amp;" "&amp;Milestones!$AB$40&amp;" "&amp;IF(AND(Milestones!$AB$40="FT",Milestones!$AA$40=FT_Y5,EDATE($D12,Milestones!$AA$40)&lt;PolicyEff),1,Milestones!$AC$40)&amp;";  ","")&amp;IF(AND(EDATE($D12,Milestones!$AA$41)&lt;=AsOfDate,EDATE($D12,Milestones!$AA$41)&gt;=SchemeStart,IF($X12=0,$AD12,IF(AND($Z12&lt;&gt;"",EDATE($D12,Milestones!$AA$41)&gt;=$Z12),$AC12,IF(AND($Y12&lt;&gt;"",EDATE($D12,Milestones!$AA$41)&gt;=$Y12),$AB12,$AA12)))=Milestones!$AB$41),UPPER(TEXT(EDATE($D12,Milestones!$AA$41),"dd mmm yy"))&amp;" "&amp;Milestones!$AB$41&amp;" "&amp;IF(AND(Milestones!$AB$41="FT",Milestones!$AA$41=FT_Y5,EDATE($D12,Milestones!$AA$41)&lt;PolicyEff),1,Milestones!$AC$41)&amp;";  ","")&amp;IF(AND(EDATE($D12,Milestones!$AA$42)&lt;=AsOfDate,EDATE($D12,Milestones!$AA$42)&gt;=SchemeStart,IF($X12=0,$AD12,IF(AND($Z12&lt;&gt;"",EDATE($D12,Milestones!$AA$42)&gt;=$Z12),$AC12,IF(AND($Y12&lt;&gt;"",EDATE($D12,Milestones!$AA$42)&gt;=$Y12),$AB12,$AA12)))=Milestones!$AB$42),UPPER(TEXT(EDATE($D12,Milestones!$AA$42),"dd mmm yy"))&amp;" "&amp;Milestones!$AB$42&amp;" "&amp;IF(AND(Milestones!$AB$42="FT",Milestones!$AA$42=FT_Y5,EDATE($D12,Milestones!$AA$42)&lt;PolicyEff),1,Milestones!$AC$42)&amp;";  ","")&amp;IF(AND(EDATE($D12,Milestones!$AA$43)&lt;=AsOfDate,EDATE($D12,Milestones!$AA$43)&gt;=SchemeStart,IF($X12=0,$AD12,IF(AND($Z12&lt;&gt;"",EDATE($D12,Milestones!$AA$43)&gt;=$Z12),$AC12,IF(AND($Y12&lt;&gt;"",EDATE($D12,Milestones!$AA$43)&gt;=$Y12),$AB12,$AA12)))=Milestones!$AB$43),UPPER(TEXT(EDATE($D12,Milestones!$AA$43),"dd mmm yy"))&amp;" "&amp;Milestones!$AB$43&amp;" "&amp;IF(AND(Milestones!$AB$43="FT",Milestones!$AA$43=FT_Y5,EDATE($D12,Milestones!$AA$43)&lt;PolicyEff),1,Milestones!$AC$43)&amp;";  ",""))</f>
        <v/>
      </c>
      <c r="K12" s="0" t="str">
        <f aca="false">IF(OR($A12="",$D12=""),"",IF(AND(EDATE($D12,Milestones!$AA$44)&lt;=AsOfDate,EDATE($D12,Milestones!$AA$44)&gt;=SchemeStart,IF($X12=0,$AD12,IF(AND($Z12&lt;&gt;"",EDATE($D12,Milestones!$AA$44)&gt;=$Z12),$AC12,IF(AND($Y12&lt;&gt;"",EDATE($D12,Milestones!$AA$44)&gt;=$Y12),$AB12,$AA12)))=Milestones!$AB$44),UPPER(TEXT(EDATE($D12,Milestones!$AA$44),"dd mmm yy"))&amp;" "&amp;Milestones!$AB$44&amp;" "&amp;IF(AND(Milestones!$AB$44="FT",Milestones!$AA$44=FT_Y5,EDATE($D12,Milestones!$AA$44)&lt;PolicyEff),1,Milestones!$AC$44)&amp;";  ","")&amp;IF(AND(EDATE($D12,Milestones!$AA$45)&lt;=AsOfDate,EDATE($D12,Milestones!$AA$45)&gt;=SchemeStart,IF($X12=0,$AD12,IF(AND($Z12&lt;&gt;"",EDATE($D12,Milestones!$AA$45)&gt;=$Z12),$AC12,IF(AND($Y12&lt;&gt;"",EDATE($D12,Milestones!$AA$45)&gt;=$Y12),$AB12,$AA12)))=Milestones!$AB$45),UPPER(TEXT(EDATE($D12,Milestones!$AA$45),"dd mmm yy"))&amp;" "&amp;Milestones!$AB$45&amp;" "&amp;IF(AND(Milestones!$AB$45="FT",Milestones!$AA$45=FT_Y5,EDATE($D12,Milestones!$AA$45)&lt;PolicyEff),1,Milestones!$AC$45)&amp;";  ","")&amp;IF(AND(EDATE($D12,Milestones!$AA$46)&lt;=AsOfDate,EDATE($D12,Milestones!$AA$46)&gt;=SchemeStart,IF($X12=0,$AD12,IF(AND($Z12&lt;&gt;"",EDATE($D12,Milestones!$AA$46)&gt;=$Z12),$AC12,IF(AND($Y12&lt;&gt;"",EDATE($D12,Milestones!$AA$46)&gt;=$Y12),$AB12,$AA12)))=Milestones!$AB$46),UPPER(TEXT(EDATE($D12,Milestones!$AA$46),"dd mmm yy"))&amp;" "&amp;Milestones!$AB$46&amp;" "&amp;IF(AND(Milestones!$AB$46="FT",Milestones!$AA$46=FT_Y5,EDATE($D12,Milestones!$AA$46)&lt;PolicyEff),1,Milestones!$AC$46)&amp;";  ","")&amp;IF(AND(EDATE($D12,Milestones!$AA$47)&lt;=AsOfDate,EDATE($D12,Milestones!$AA$47)&gt;=SchemeStart,IF($X12=0,$AD12,IF(AND($Z12&lt;&gt;"",EDATE($D12,Milestones!$AA$47)&gt;=$Z12),$AC12,IF(AND($Y12&lt;&gt;"",EDATE($D12,Milestones!$AA$47)&gt;=$Y12),$AB12,$AA12)))=Milestones!$AB$47),UPPER(TEXT(EDATE($D12,Milestones!$AA$47),"dd mmm yy"))&amp;" "&amp;Milestones!$AB$47&amp;" "&amp;IF(AND(Milestones!$AB$47="FT",Milestones!$AA$47=FT_Y5,EDATE($D12,Milestones!$AA$47)&lt;PolicyEff),1,Milestones!$AC$47)&amp;";  ","")&amp;IF(AND(EDATE($D12,Milestones!$AA$48)&lt;=AsOfDate,EDATE($D12,Milestones!$AA$48)&gt;=SchemeStart,IF($X12=0,$AD12,IF(AND($Z12&lt;&gt;"",EDATE($D12,Milestones!$AA$48)&gt;=$Z12),$AC12,IF(AND($Y12&lt;&gt;"",EDATE($D12,Milestones!$AA$48)&gt;=$Y12),$AB12,$AA12)))=Milestones!$AB$48),UPPER(TEXT(EDATE($D12,Milestones!$AA$48),"dd mmm yy"))&amp;" "&amp;Milestones!$AB$48&amp;" "&amp;IF(AND(Milestones!$AB$48="FT",Milestones!$AA$48=FT_Y5,EDATE($D12,Milestones!$AA$48)&lt;PolicyEff),1,Milestones!$AC$48)&amp;";  ","")&amp;IF(AND(EDATE($D12,Milestones!$AA$49)&lt;=AsOfDate,EDATE($D12,Milestones!$AA$49)&gt;=SchemeStart,IF($X12=0,$AD12,IF(AND($Z12&lt;&gt;"",EDATE($D12,Milestones!$AA$49)&gt;=$Z12),$AC12,IF(AND($Y12&lt;&gt;"",EDATE($D12,Milestones!$AA$49)&gt;=$Y12),$AB12,$AA12)))=Milestones!$AB$49),UPPER(TEXT(EDATE($D12,Milestones!$AA$49),"dd mmm yy"))&amp;" "&amp;Milestones!$AB$49&amp;" "&amp;IF(AND(Milestones!$AB$49="FT",Milestones!$AA$49=FT_Y5,EDATE($D12,Milestones!$AA$49)&lt;PolicyEff),1,Milestones!$AC$49)&amp;";  ","")&amp;IF(AND(EDATE($D12,Milestones!$AA$50)&lt;=AsOfDate,EDATE($D12,Milestones!$AA$50)&gt;=SchemeStart,IF($X12=0,$AD12,IF(AND($Z12&lt;&gt;"",EDATE($D12,Milestones!$AA$50)&gt;=$Z12),$AC12,IF(AND($Y12&lt;&gt;"",EDATE($D12,Milestones!$AA$50)&gt;=$Y12),$AB12,$AA12)))=Milestones!$AB$50),UPPER(TEXT(EDATE($D12,Milestones!$AA$50),"dd mmm yy"))&amp;" "&amp;Milestones!$AB$50&amp;" "&amp;IF(AND(Milestones!$AB$50="FT",Milestones!$AA$50=FT_Y5,EDATE($D12,Milestones!$AA$50)&lt;PolicyEff),1,Milestones!$AC$50)&amp;";  ","")&amp;IF(AND(EDATE($D12,Milestones!$AA$51)&lt;=AsOfDate,EDATE($D12,Milestones!$AA$51)&gt;=SchemeStart,IF($X12=0,$AD12,IF(AND($Z12&lt;&gt;"",EDATE($D12,Milestones!$AA$51)&gt;=$Z12),$AC12,IF(AND($Y12&lt;&gt;"",EDATE($D12,Milestones!$AA$51)&gt;=$Y12),$AB12,$AA12)))=Milestones!$AB$51),UPPER(TEXT(EDATE($D12,Milestones!$AA$51),"dd mmm yy"))&amp;" "&amp;Milestones!$AB$51&amp;" "&amp;IF(AND(Milestones!$AB$51="FT",Milestones!$AA$51=FT_Y5,EDATE($D12,Milestones!$AA$51)&lt;PolicyEff),1,Milestones!$AC$51)&amp;";  ","")&amp;IF(AND(EDATE($D12,Milestones!$AA$52)&lt;=AsOfDate,EDATE($D12,Milestones!$AA$52)&gt;=SchemeStart,IF($X12=0,$AD12,IF(AND($Z12&lt;&gt;"",EDATE($D12,Milestones!$AA$52)&gt;=$Z12),$AC12,IF(AND($Y12&lt;&gt;"",EDATE($D12,Milestones!$AA$52)&gt;=$Y12),$AB12,$AA12)))=Milestones!$AB$52),UPPER(TEXT(EDATE($D12,Milestones!$AA$52),"dd mmm yy"))&amp;" "&amp;Milestones!$AB$52&amp;" "&amp;IF(AND(Milestones!$AB$52="FT",Milestones!$AA$52=FT_Y5,EDATE($D12,Milestones!$AA$52)&lt;PolicyEff),1,Milestones!$AC$52)&amp;";  ","")&amp;IF(AND(EDATE($D12,Milestones!$AA$53)&lt;=AsOfDate,EDATE($D12,Milestones!$AA$53)&gt;=SchemeStart,IF($X12=0,$AD12,IF(AND($Z12&lt;&gt;"",EDATE($D12,Milestones!$AA$53)&gt;=$Z12),$AC12,IF(AND($Y12&lt;&gt;"",EDATE($D12,Milestones!$AA$53)&gt;=$Y12),$AB12,$AA12)))=Milestones!$AB$53),UPPER(TEXT(EDATE($D12,Milestones!$AA$53),"dd mmm yy"))&amp;" "&amp;Milestones!$AB$53&amp;" "&amp;IF(AND(Milestones!$AB$53="FT",Milestones!$AA$53=FT_Y5,EDATE($D12,Milestones!$AA$53)&lt;PolicyEff),1,Milestones!$AC$53)&amp;";  ","")&amp;IF(AND(EDATE($D12,Milestones!$AA$54)&lt;=AsOfDate,EDATE($D12,Milestones!$AA$54)&gt;=SchemeStart,IF($X12=0,$AD12,IF(AND($Z12&lt;&gt;"",EDATE($D12,Milestones!$AA$54)&gt;=$Z12),$AC12,IF(AND($Y12&lt;&gt;"",EDATE($D12,Milestones!$AA$54)&gt;=$Y12),$AB12,$AA12)))=Milestones!$AB$54),UPPER(TEXT(EDATE($D12,Milestones!$AA$54),"dd mmm yy"))&amp;" "&amp;Milestones!$AB$54&amp;" "&amp;IF(AND(Milestones!$AB$54="FT",Milestones!$AA$54=FT_Y5,EDATE($D12,Milestones!$AA$54)&lt;PolicyEff),1,Milestones!$AC$54)&amp;";  ","")&amp;IF(AND(EDATE($D12,Milestones!$AA$55)&lt;=AsOfDate,EDATE($D12,Milestones!$AA$55)&gt;=SchemeStart,IF($X12=0,$AD12,IF(AND($Z12&lt;&gt;"",EDATE($D12,Milestones!$AA$55)&gt;=$Z12),$AC12,IF(AND($Y12&lt;&gt;"",EDATE($D12,Milestones!$AA$55)&gt;=$Y12),$AB12,$AA12)))=Milestones!$AB$55),UPPER(TEXT(EDATE($D12,Milestones!$AA$55),"dd mmm yy"))&amp;" "&amp;Milestones!$AB$55&amp;" "&amp;IF(AND(Milestones!$AB$55="FT",Milestones!$AA$55=FT_Y5,EDATE($D12,Milestones!$AA$55)&lt;PolicyEff),1,Milestones!$AC$55)&amp;";  ",""))</f>
        <v/>
      </c>
      <c r="L12" s="0" t="str">
        <f aca="false">IF(OR($A12="",$D12=""),"",IF(AND(EDATE($D12,Milestones!$AA$56)&lt;=AsOfDate,EDATE($D12,Milestones!$AA$56)&gt;=SchemeStart,IF($X12=0,$AD12,IF(AND($Z12&lt;&gt;"",EDATE($D12,Milestones!$AA$56)&gt;=$Z12),$AC12,IF(AND($Y12&lt;&gt;"",EDATE($D12,Milestones!$AA$56)&gt;=$Y12),$AB12,$AA12)))=Milestones!$AB$56),UPPER(TEXT(EDATE($D12,Milestones!$AA$56),"dd mmm yy"))&amp;" "&amp;Milestones!$AB$56&amp;" "&amp;IF(AND(Milestones!$AB$56="FT",Milestones!$AA$56=FT_Y5,EDATE($D12,Milestones!$AA$56)&lt;PolicyEff),1,Milestones!$AC$56)&amp;";  ","")&amp;IF(AND(EDATE($D12,Milestones!$AA$57)&lt;=AsOfDate,EDATE($D12,Milestones!$AA$57)&gt;=SchemeStart,IF($X12=0,$AD12,IF(AND($Z12&lt;&gt;"",EDATE($D12,Milestones!$AA$57)&gt;=$Z12),$AC12,IF(AND($Y12&lt;&gt;"",EDATE($D12,Milestones!$AA$57)&gt;=$Y12),$AB12,$AA12)))=Milestones!$AB$57),UPPER(TEXT(EDATE($D12,Milestones!$AA$57),"dd mmm yy"))&amp;" "&amp;Milestones!$AB$57&amp;" "&amp;IF(AND(Milestones!$AB$57="FT",Milestones!$AA$57=FT_Y5,EDATE($D12,Milestones!$AA$57)&lt;PolicyEff),1,Milestones!$AC$57)&amp;";  ","")&amp;IF(AND(EDATE($D12,Milestones!$AA$58)&lt;=AsOfDate,EDATE($D12,Milestones!$AA$58)&gt;=SchemeStart,IF($X12=0,$AD12,IF(AND($Z12&lt;&gt;"",EDATE($D12,Milestones!$AA$58)&gt;=$Z12),$AC12,IF(AND($Y12&lt;&gt;"",EDATE($D12,Milestones!$AA$58)&gt;=$Y12),$AB12,$AA12)))=Milestones!$AB$58),UPPER(TEXT(EDATE($D12,Milestones!$AA$58),"dd mmm yy"))&amp;" "&amp;Milestones!$AB$58&amp;" "&amp;IF(AND(Milestones!$AB$58="FT",Milestones!$AA$58=FT_Y5,EDATE($D12,Milestones!$AA$58)&lt;PolicyEff),1,Milestones!$AC$58)&amp;";  ","")&amp;IF(AND(EDATE($D12,Milestones!$AA$59)&lt;=AsOfDate,EDATE($D12,Milestones!$AA$59)&gt;=SchemeStart,IF($X12=0,$AD12,IF(AND($Z12&lt;&gt;"",EDATE($D12,Milestones!$AA$59)&gt;=$Z12),$AC12,IF(AND($Y12&lt;&gt;"",EDATE($D12,Milestones!$AA$59)&gt;=$Y12),$AB12,$AA12)))=Milestones!$AB$59),UPPER(TEXT(EDATE($D12,Milestones!$AA$59),"dd mmm yy"))&amp;" "&amp;Milestones!$AB$59&amp;" "&amp;IF(AND(Milestones!$AB$59="FT",Milestones!$AA$59=FT_Y5,EDATE($D12,Milestones!$AA$59)&lt;PolicyEff),1,Milestones!$AC$59)&amp;";  ","")&amp;IF(AND(EDATE($D12,Milestones!$AA$60)&lt;=AsOfDate,EDATE($D12,Milestones!$AA$60)&gt;=SchemeStart,IF($X12=0,$AD12,IF(AND($Z12&lt;&gt;"",EDATE($D12,Milestones!$AA$60)&gt;=$Z12),$AC12,IF(AND($Y12&lt;&gt;"",EDATE($D12,Milestones!$AA$60)&gt;=$Y12),$AB12,$AA12)))=Milestones!$AB$60),UPPER(TEXT(EDATE($D12,Milestones!$AA$60),"dd mmm yy"))&amp;" "&amp;Milestones!$AB$60&amp;" "&amp;IF(AND(Milestones!$AB$60="FT",Milestones!$AA$60=FT_Y5,EDATE($D12,Milestones!$AA$60)&lt;PolicyEff),1,Milestones!$AC$60)&amp;";  ","")&amp;IF(AND(EDATE($D12,Milestones!$AA$61)&lt;=AsOfDate,EDATE($D12,Milestones!$AA$61)&gt;=SchemeStart,IF($X12=0,$AD12,IF(AND($Z12&lt;&gt;"",EDATE($D12,Milestones!$AA$61)&gt;=$Z12),$AC12,IF(AND($Y12&lt;&gt;"",EDATE($D12,Milestones!$AA$61)&gt;=$Y12),$AB12,$AA12)))=Milestones!$AB$61),UPPER(TEXT(EDATE($D12,Milestones!$AA$61),"dd mmm yy"))&amp;" "&amp;Milestones!$AB$61&amp;" "&amp;IF(AND(Milestones!$AB$61="FT",Milestones!$AA$61=FT_Y5,EDATE($D12,Milestones!$AA$61)&lt;PolicyEff),1,Milestones!$AC$61)&amp;";  ","")&amp;IF(AND(EDATE($D12,Milestones!$AA$62)&lt;=AsOfDate,EDATE($D12,Milestones!$AA$62)&gt;=SchemeStart,IF($X12=0,$AD12,IF(AND($Z12&lt;&gt;"",EDATE($D12,Milestones!$AA$62)&gt;=$Z12),$AC12,IF(AND($Y12&lt;&gt;"",EDATE($D12,Milestones!$AA$62)&gt;=$Y12),$AB12,$AA12)))=Milestones!$AB$62),UPPER(TEXT(EDATE($D12,Milestones!$AA$62),"dd mmm yy"))&amp;" "&amp;Milestones!$AB$62&amp;" "&amp;IF(AND(Milestones!$AB$62="FT",Milestones!$AA$62=FT_Y5,EDATE($D12,Milestones!$AA$62)&lt;PolicyEff),1,Milestones!$AC$62)&amp;";  ","")&amp;IF(AND(EDATE($D12,Milestones!$AA$63)&lt;=AsOfDate,EDATE($D12,Milestones!$AA$63)&gt;=SchemeStart,IF($X12=0,$AD12,IF(AND($Z12&lt;&gt;"",EDATE($D12,Milestones!$AA$63)&gt;=$Z12),$AC12,IF(AND($Y12&lt;&gt;"",EDATE($D12,Milestones!$AA$63)&gt;=$Y12),$AB12,$AA12)))=Milestones!$AB$63),UPPER(TEXT(EDATE($D12,Milestones!$AA$63),"dd mmm yy"))&amp;" "&amp;Milestones!$AB$63&amp;" "&amp;IF(AND(Milestones!$AB$63="FT",Milestones!$AA$63=FT_Y5,EDATE($D12,Milestones!$AA$63)&lt;PolicyEff),1,Milestones!$AC$63)&amp;";  ","")&amp;IF(AND(EDATE($D12,Milestones!$AA$64)&lt;=AsOfDate,EDATE($D12,Milestones!$AA$64)&gt;=SchemeStart,IF($X12=0,$AD12,IF(AND($Z12&lt;&gt;"",EDATE($D12,Milestones!$AA$64)&gt;=$Z12),$AC12,IF(AND($Y12&lt;&gt;"",EDATE($D12,Milestones!$AA$64)&gt;=$Y12),$AB12,$AA12)))=Milestones!$AB$64),UPPER(TEXT(EDATE($D12,Milestones!$AA$64),"dd mmm yy"))&amp;" "&amp;Milestones!$AB$64&amp;" "&amp;IF(AND(Milestones!$AB$64="FT",Milestones!$AA$64=FT_Y5,EDATE($D12,Milestones!$AA$64)&lt;PolicyEff),1,Milestones!$AC$64)&amp;";  ","")&amp;IF(AND(EDATE($D12,Milestones!$AA$65)&lt;=AsOfDate,EDATE($D12,Milestones!$AA$65)&gt;=SchemeStart,IF($X12=0,$AD12,IF(AND($Z12&lt;&gt;"",EDATE($D12,Milestones!$AA$65)&gt;=$Z12),$AC12,IF(AND($Y12&lt;&gt;"",EDATE($D12,Milestones!$AA$65)&gt;=$Y12),$AB12,$AA12)))=Milestones!$AB$65),UPPER(TEXT(EDATE($D12,Milestones!$AA$65),"dd mmm yy"))&amp;" "&amp;Milestones!$AB$65&amp;" "&amp;IF(AND(Milestones!$AB$65="FT",Milestones!$AA$65=FT_Y5,EDATE($D12,Milestones!$AA$65)&lt;PolicyEff),1,Milestones!$AC$65)&amp;";  ","")&amp;IF(AND(EDATE($D12,Milestones!$AA$66)&lt;=AsOfDate,EDATE($D12,Milestones!$AA$66)&gt;=SchemeStart,IF($X12=0,$AD12,IF(AND($Z12&lt;&gt;"",EDATE($D12,Milestones!$AA$66)&gt;=$Z12),$AC12,IF(AND($Y12&lt;&gt;"",EDATE($D12,Milestones!$AA$66)&gt;=$Y12),$AB12,$AA12)))=Milestones!$AB$66),UPPER(TEXT(EDATE($D12,Milestones!$AA$66),"dd mmm yy"))&amp;" "&amp;Milestones!$AB$66&amp;" "&amp;IF(AND(Milestones!$AB$66="FT",Milestones!$AA$66=FT_Y5,EDATE($D12,Milestones!$AA$66)&lt;PolicyEff),1,Milestones!$AC$66)&amp;";  ","")&amp;IF(AND(EDATE($D12,Milestones!$AA$67)&lt;=AsOfDate,EDATE($D12,Milestones!$AA$67)&gt;=SchemeStart,IF($X12=0,$AD12,IF(AND($Z12&lt;&gt;"",EDATE($D12,Milestones!$AA$67)&gt;=$Z12),$AC12,IF(AND($Y12&lt;&gt;"",EDATE($D12,Milestones!$AA$67)&gt;=$Y12),$AB12,$AA12)))=Milestones!$AB$67),UPPER(TEXT(EDATE($D12,Milestones!$AA$67),"dd mmm yy"))&amp;" "&amp;Milestones!$AB$67&amp;" "&amp;IF(AND(Milestones!$AB$67="FT",Milestones!$AA$67=FT_Y5,EDATE($D12,Milestones!$AA$67)&lt;PolicyEff),1,Milestones!$AC$67)&amp;";  ",""))</f>
        <v/>
      </c>
      <c r="M12" s="0" t="str">
        <f aca="false">IF(OR($A12="",$D12=""),"",IF(AND(EDATE($D12,Milestones!$AA$68)&lt;=AsOfDate,EDATE($D12,Milestones!$AA$68)&gt;=SchemeStart,IF($X12=0,$AD12,IF(AND($Z12&lt;&gt;"",EDATE($D12,Milestones!$AA$68)&gt;=$Z12),$AC12,IF(AND($Y12&lt;&gt;"",EDATE($D12,Milestones!$AA$68)&gt;=$Y12),$AB12,$AA12)))=Milestones!$AB$68),UPPER(TEXT(EDATE($D12,Milestones!$AA$68),"dd mmm yy"))&amp;" "&amp;Milestones!$AB$68&amp;" "&amp;IF(AND(Milestones!$AB$68="FT",Milestones!$AA$68=FT_Y5,EDATE($D12,Milestones!$AA$68)&lt;PolicyEff),1,Milestones!$AC$68)&amp;";  ","")&amp;IF(AND(EDATE($D12,Milestones!$AA$69)&lt;=AsOfDate,EDATE($D12,Milestones!$AA$69)&gt;=SchemeStart,IF($X12=0,$AD12,IF(AND($Z12&lt;&gt;"",EDATE($D12,Milestones!$AA$69)&gt;=$Z12),$AC12,IF(AND($Y12&lt;&gt;"",EDATE($D12,Milestones!$AA$69)&gt;=$Y12),$AB12,$AA12)))=Milestones!$AB$69),UPPER(TEXT(EDATE($D12,Milestones!$AA$69),"dd mmm yy"))&amp;" "&amp;Milestones!$AB$69&amp;" "&amp;IF(AND(Milestones!$AB$69="FT",Milestones!$AA$69=FT_Y5,EDATE($D12,Milestones!$AA$69)&lt;PolicyEff),1,Milestones!$AC$69)&amp;";  ","")&amp;IF(AND(EDATE($D12,Milestones!$AA$70)&lt;=AsOfDate,EDATE($D12,Milestones!$AA$70)&gt;=SchemeStart,IF($X12=0,$AD12,IF(AND($Z12&lt;&gt;"",EDATE($D12,Milestones!$AA$70)&gt;=$Z12),$AC12,IF(AND($Y12&lt;&gt;"",EDATE($D12,Milestones!$AA$70)&gt;=$Y12),$AB12,$AA12)))=Milestones!$AB$70),UPPER(TEXT(EDATE($D12,Milestones!$AA$70),"dd mmm yy"))&amp;" "&amp;Milestones!$AB$70&amp;" "&amp;IF(AND(Milestones!$AB$70="FT",Milestones!$AA$70=FT_Y5,EDATE($D12,Milestones!$AA$70)&lt;PolicyEff),1,Milestones!$AC$70)&amp;";  ","")&amp;IF(AND(EDATE($D12,Milestones!$AA$71)&lt;=AsOfDate,EDATE($D12,Milestones!$AA$71)&gt;=SchemeStart,IF($X12=0,$AD12,IF(AND($Z12&lt;&gt;"",EDATE($D12,Milestones!$AA$71)&gt;=$Z12),$AC12,IF(AND($Y12&lt;&gt;"",EDATE($D12,Milestones!$AA$71)&gt;=$Y12),$AB12,$AA12)))=Milestones!$AB$71),UPPER(TEXT(EDATE($D12,Milestones!$AA$71),"dd mmm yy"))&amp;" "&amp;Milestones!$AB$71&amp;" "&amp;IF(AND(Milestones!$AB$71="FT",Milestones!$AA$71=FT_Y5,EDATE($D12,Milestones!$AA$71)&lt;PolicyEff),1,Milestones!$AC$71)&amp;";  ","")&amp;IF(AND(EDATE($D12,Milestones!$AA$72)&lt;=AsOfDate,EDATE($D12,Milestones!$AA$72)&gt;=SchemeStart,IF($X12=0,$AD12,IF(AND($Z12&lt;&gt;"",EDATE($D12,Milestones!$AA$72)&gt;=$Z12),$AC12,IF(AND($Y12&lt;&gt;"",EDATE($D12,Milestones!$AA$72)&gt;=$Y12),$AB12,$AA12)))=Milestones!$AB$72),UPPER(TEXT(EDATE($D12,Milestones!$AA$72),"dd mmm yy"))&amp;" "&amp;Milestones!$AB$72&amp;" "&amp;IF(AND(Milestones!$AB$72="FT",Milestones!$AA$72=FT_Y5,EDATE($D12,Milestones!$AA$72)&lt;PolicyEff),1,Milestones!$AC$72)&amp;";  ","")&amp;IF(AND(EDATE($D12,Milestones!$AA$73)&lt;=AsOfDate,EDATE($D12,Milestones!$AA$73)&gt;=SchemeStart,IF($X12=0,$AD12,IF(AND($Z12&lt;&gt;"",EDATE($D12,Milestones!$AA$73)&gt;=$Z12),$AC12,IF(AND($Y12&lt;&gt;"",EDATE($D12,Milestones!$AA$73)&gt;=$Y12),$AB12,$AA12)))=Milestones!$AB$73),UPPER(TEXT(EDATE($D12,Milestones!$AA$73),"dd mmm yy"))&amp;" "&amp;Milestones!$AB$73&amp;" "&amp;IF(AND(Milestones!$AB$73="FT",Milestones!$AA$73=FT_Y5,EDATE($D12,Milestones!$AA$73)&lt;PolicyEff),1,Milestones!$AC$73)&amp;";  ","")&amp;IF(AND(EDATE($D12,Milestones!$AA$74)&lt;=AsOfDate,EDATE($D12,Milestones!$AA$74)&gt;=SchemeStart,IF($X12=0,$AD12,IF(AND($Z12&lt;&gt;"",EDATE($D12,Milestones!$AA$74)&gt;=$Z12),$AC12,IF(AND($Y12&lt;&gt;"",EDATE($D12,Milestones!$AA$74)&gt;=$Y12),$AB12,$AA12)))=Milestones!$AB$74),UPPER(TEXT(EDATE($D12,Milestones!$AA$74),"dd mmm yy"))&amp;" "&amp;Milestones!$AB$74&amp;" "&amp;IF(AND(Milestones!$AB$74="FT",Milestones!$AA$74=FT_Y5,EDATE($D12,Milestones!$AA$74)&lt;PolicyEff),1,Milestones!$AC$74)&amp;";  ","")&amp;IF(AND(EDATE($D12,Milestones!$AA$75)&lt;=AsOfDate,EDATE($D12,Milestones!$AA$75)&gt;=SchemeStart,IF($X12=0,$AD12,IF(AND($Z12&lt;&gt;"",EDATE($D12,Milestones!$AA$75)&gt;=$Z12),$AC12,IF(AND($Y12&lt;&gt;"",EDATE($D12,Milestones!$AA$75)&gt;=$Y12),$AB12,$AA12)))=Milestones!$AB$75),UPPER(TEXT(EDATE($D12,Milestones!$AA$75),"dd mmm yy"))&amp;" "&amp;Milestones!$AB$75&amp;" "&amp;IF(AND(Milestones!$AB$75="FT",Milestones!$AA$75=FT_Y5,EDATE($D12,Milestones!$AA$75)&lt;PolicyEff),1,Milestones!$AC$75)&amp;";  ","")&amp;IF(AND(EDATE($D12,Milestones!$AA$76)&lt;=AsOfDate,EDATE($D12,Milestones!$AA$76)&gt;=SchemeStart,IF($X12=0,$AD12,IF(AND($Z12&lt;&gt;"",EDATE($D12,Milestones!$AA$76)&gt;=$Z12),$AC12,IF(AND($Y12&lt;&gt;"",EDATE($D12,Milestones!$AA$76)&gt;=$Y12),$AB12,$AA12)))=Milestones!$AB$76),UPPER(TEXT(EDATE($D12,Milestones!$AA$76),"dd mmm yy"))&amp;" "&amp;Milestones!$AB$76&amp;" "&amp;IF(AND(Milestones!$AB$76="FT",Milestones!$AA$76=FT_Y5,EDATE($D12,Milestones!$AA$76)&lt;PolicyEff),1,Milestones!$AC$76)&amp;";  ","")&amp;IF(AND(EDATE($D12,Milestones!$AA$77)&lt;=AsOfDate,EDATE($D12,Milestones!$AA$77)&gt;=SchemeStart,IF($X12=0,$AD12,IF(AND($Z12&lt;&gt;"",EDATE($D12,Milestones!$AA$77)&gt;=$Z12),$AC12,IF(AND($Y12&lt;&gt;"",EDATE($D12,Milestones!$AA$77)&gt;=$Y12),$AB12,$AA12)))=Milestones!$AB$77),UPPER(TEXT(EDATE($D12,Milestones!$AA$77),"dd mmm yy"))&amp;" "&amp;Milestones!$AB$77&amp;" "&amp;IF(AND(Milestones!$AB$77="FT",Milestones!$AA$77=FT_Y5,EDATE($D12,Milestones!$AA$77)&lt;PolicyEff),1,Milestones!$AC$77)&amp;";  ","")&amp;IF(AND(EDATE($D12,Milestones!$AA$78)&lt;=AsOfDate,EDATE($D12,Milestones!$AA$78)&gt;=SchemeStart,IF($X12=0,$AD12,IF(AND($Z12&lt;&gt;"",EDATE($D12,Milestones!$AA$78)&gt;=$Z12),$AC12,IF(AND($Y12&lt;&gt;"",EDATE($D12,Milestones!$AA$78)&gt;=$Y12),$AB12,$AA12)))=Milestones!$AB$78),UPPER(TEXT(EDATE($D12,Milestones!$AA$78),"dd mmm yy"))&amp;" "&amp;Milestones!$AB$78&amp;" "&amp;IF(AND(Milestones!$AB$78="FT",Milestones!$AA$78=FT_Y5,EDATE($D12,Milestones!$AA$78)&lt;PolicyEff),1,Milestones!$AC$78)&amp;";  ","")&amp;IF(AND(EDATE($D12,Milestones!$AA$79)&lt;=AsOfDate,EDATE($D12,Milestones!$AA$79)&gt;=SchemeStart,IF($X12=0,$AD12,IF(AND($Z12&lt;&gt;"",EDATE($D12,Milestones!$AA$79)&gt;=$Z12),$AC12,IF(AND($Y12&lt;&gt;"",EDATE($D12,Milestones!$AA$79)&gt;=$Y12),$AB12,$AA12)))=Milestones!$AB$79),UPPER(TEXT(EDATE($D12,Milestones!$AA$79),"dd mmm yy"))&amp;" "&amp;Milestones!$AB$79&amp;" "&amp;IF(AND(Milestones!$AB$79="FT",Milestones!$AA$79=FT_Y5,EDATE($D12,Milestones!$AA$79)&lt;PolicyEff),1,Milestones!$AC$79)&amp;";  ",""))</f>
        <v/>
      </c>
      <c r="N12" s="0" t="str">
        <f aca="false">IF(OR($A12="",$D12=""),"",IF(AND(EDATE($D12,Milestones!$AA$80)&lt;=AsOfDate,EDATE($D12,Milestones!$AA$80)&gt;=SchemeStart,IF($X12=0,$AD12,IF(AND($Z12&lt;&gt;"",EDATE($D12,Milestones!$AA$80)&gt;=$Z12),$AC12,IF(AND($Y12&lt;&gt;"",EDATE($D12,Milestones!$AA$80)&gt;=$Y12),$AB12,$AA12)))=Milestones!$AB$80),UPPER(TEXT(EDATE($D12,Milestones!$AA$80),"dd mmm yy"))&amp;" "&amp;Milestones!$AB$80&amp;" "&amp;IF(AND(Milestones!$AB$80="FT",Milestones!$AA$80=FT_Y5,EDATE($D12,Milestones!$AA$80)&lt;PolicyEff),1,Milestones!$AC$80)&amp;";  ","")&amp;IF(AND(EDATE($D12,Milestones!$AA$81)&lt;=AsOfDate,EDATE($D12,Milestones!$AA$81)&gt;=SchemeStart,IF($X12=0,$AD12,IF(AND($Z12&lt;&gt;"",EDATE($D12,Milestones!$AA$81)&gt;=$Z12),$AC12,IF(AND($Y12&lt;&gt;"",EDATE($D12,Milestones!$AA$81)&gt;=$Y12),$AB12,$AA12)))=Milestones!$AB$81),UPPER(TEXT(EDATE($D12,Milestones!$AA$81),"dd mmm yy"))&amp;" "&amp;Milestones!$AB$81&amp;" "&amp;IF(AND(Milestones!$AB$81="FT",Milestones!$AA$81=FT_Y5,EDATE($D12,Milestones!$AA$81)&lt;PolicyEff),1,Milestones!$AC$81)&amp;";  ","")&amp;IF(AND(EDATE($D12,Milestones!$AA$82)&lt;=AsOfDate,EDATE($D12,Milestones!$AA$82)&gt;=SchemeStart,IF($X12=0,$AD12,IF(AND($Z12&lt;&gt;"",EDATE($D12,Milestones!$AA$82)&gt;=$Z12),$AC12,IF(AND($Y12&lt;&gt;"",EDATE($D12,Milestones!$AA$82)&gt;=$Y12),$AB12,$AA12)))=Milestones!$AB$82),UPPER(TEXT(EDATE($D12,Milestones!$AA$82),"dd mmm yy"))&amp;" "&amp;Milestones!$AB$82&amp;" "&amp;IF(AND(Milestones!$AB$82="FT",Milestones!$AA$82=FT_Y5,EDATE($D12,Milestones!$AA$82)&lt;PolicyEff),1,Milestones!$AC$82)&amp;";  ","")&amp;IF(AND(EDATE($D12,Milestones!$AA$83)&lt;=AsOfDate,EDATE($D12,Milestones!$AA$83)&gt;=SchemeStart,IF($X12=0,$AD12,IF(AND($Z12&lt;&gt;"",EDATE($D12,Milestones!$AA$83)&gt;=$Z12),$AC12,IF(AND($Y12&lt;&gt;"",EDATE($D12,Milestones!$AA$83)&gt;=$Y12),$AB12,$AA12)))=Milestones!$AB$83),UPPER(TEXT(EDATE($D12,Milestones!$AA$83),"dd mmm yy"))&amp;" "&amp;Milestones!$AB$83&amp;" "&amp;IF(AND(Milestones!$AB$83="FT",Milestones!$AA$83=FT_Y5,EDATE($D12,Milestones!$AA$83)&lt;PolicyEff),1,Milestones!$AC$83)&amp;";  ","")&amp;IF(AND(EDATE($D12,Milestones!$AA$84)&lt;=AsOfDate,EDATE($D12,Milestones!$AA$84)&gt;=SchemeStart,IF($X12=0,$AD12,IF(AND($Z12&lt;&gt;"",EDATE($D12,Milestones!$AA$84)&gt;=$Z12),$AC12,IF(AND($Y12&lt;&gt;"",EDATE($D12,Milestones!$AA$84)&gt;=$Y12),$AB12,$AA12)))=Milestones!$AB$84),UPPER(TEXT(EDATE($D12,Milestones!$AA$84),"dd mmm yy"))&amp;" "&amp;Milestones!$AB$84&amp;" "&amp;IF(AND(Milestones!$AB$84="FT",Milestones!$AA$84=FT_Y5,EDATE($D12,Milestones!$AA$84)&lt;PolicyEff),1,Milestones!$AC$84)&amp;";  ","")&amp;IF(AND(EDATE($D12,Milestones!$AA$85)&lt;=AsOfDate,EDATE($D12,Milestones!$AA$85)&gt;=SchemeStart,IF($X12=0,$AD12,IF(AND($Z12&lt;&gt;"",EDATE($D12,Milestones!$AA$85)&gt;=$Z12),$AC12,IF(AND($Y12&lt;&gt;"",EDATE($D12,Milestones!$AA$85)&gt;=$Y12),$AB12,$AA12)))=Milestones!$AB$85),UPPER(TEXT(EDATE($D12,Milestones!$AA$85),"dd mmm yy"))&amp;" "&amp;Milestones!$AB$85&amp;" "&amp;IF(AND(Milestones!$AB$85="FT",Milestones!$AA$85=FT_Y5,EDATE($D12,Milestones!$AA$85)&lt;PolicyEff),1,Milestones!$AC$85)&amp;";  ","")&amp;IF(AND(EDATE($D12,Milestones!$AA$86)&lt;=AsOfDate,EDATE($D12,Milestones!$AA$86)&gt;=SchemeStart,IF($X12=0,$AD12,IF(AND($Z12&lt;&gt;"",EDATE($D12,Milestones!$AA$86)&gt;=$Z12),$AC12,IF(AND($Y12&lt;&gt;"",EDATE($D12,Milestones!$AA$86)&gt;=$Y12),$AB12,$AA12)))=Milestones!$AB$86),UPPER(TEXT(EDATE($D12,Milestones!$AA$86),"dd mmm yy"))&amp;" "&amp;Milestones!$AB$86&amp;" "&amp;IF(AND(Milestones!$AB$86="FT",Milestones!$AA$86=FT_Y5,EDATE($D12,Milestones!$AA$86)&lt;PolicyEff),1,Milestones!$AC$86)&amp;";  ","")&amp;IF(AND(EDATE($D12,Milestones!$AA$87)&lt;=AsOfDate,EDATE($D12,Milestones!$AA$87)&gt;=SchemeStart,IF($X12=0,$AD12,IF(AND($Z12&lt;&gt;"",EDATE($D12,Milestones!$AA$87)&gt;=$Z12),$AC12,IF(AND($Y12&lt;&gt;"",EDATE($D12,Milestones!$AA$87)&gt;=$Y12),$AB12,$AA12)))=Milestones!$AB$87),UPPER(TEXT(EDATE($D12,Milestones!$AA$87),"dd mmm yy"))&amp;" "&amp;Milestones!$AB$87&amp;" "&amp;IF(AND(Milestones!$AB$87="FT",Milestones!$AA$87=FT_Y5,EDATE($D12,Milestones!$AA$87)&lt;PolicyEff),1,Milestones!$AC$87)&amp;";  ","")&amp;IF(AND(EDATE($D12,Milestones!$AA$88)&lt;=AsOfDate,EDATE($D12,Milestones!$AA$88)&gt;=SchemeStart,IF($X12=0,$AD12,IF(AND($Z12&lt;&gt;"",EDATE($D12,Milestones!$AA$88)&gt;=$Z12),$AC12,IF(AND($Y12&lt;&gt;"",EDATE($D12,Milestones!$AA$88)&gt;=$Y12),$AB12,$AA12)))=Milestones!$AB$88),UPPER(TEXT(EDATE($D12,Milestones!$AA$88),"dd mmm yy"))&amp;" "&amp;Milestones!$AB$88&amp;" "&amp;IF(AND(Milestones!$AB$88="FT",Milestones!$AA$88=FT_Y5,EDATE($D12,Milestones!$AA$88)&lt;PolicyEff),1,Milestones!$AC$88)&amp;";  ","")&amp;IF(AND(EDATE($D12,Milestones!$AA$89)&lt;=AsOfDate,EDATE($D12,Milestones!$AA$89)&gt;=SchemeStart,IF($X12=0,$AD12,IF(AND($Z12&lt;&gt;"",EDATE($D12,Milestones!$AA$89)&gt;=$Z12),$AC12,IF(AND($Y12&lt;&gt;"",EDATE($D12,Milestones!$AA$89)&gt;=$Y12),$AB12,$AA12)))=Milestones!$AB$89),UPPER(TEXT(EDATE($D12,Milestones!$AA$89),"dd mmm yy"))&amp;" "&amp;Milestones!$AB$89&amp;" "&amp;IF(AND(Milestones!$AB$89="FT",Milestones!$AA$89=FT_Y5,EDATE($D12,Milestones!$AA$89)&lt;PolicyEff),1,Milestones!$AC$89)&amp;";  ","")&amp;IF(AND(EDATE($D12,Milestones!$AA$90)&lt;=AsOfDate,EDATE($D12,Milestones!$AA$90)&gt;=SchemeStart,IF($X12=0,$AD12,IF(AND($Z12&lt;&gt;"",EDATE($D12,Milestones!$AA$90)&gt;=$Z12),$AC12,IF(AND($Y12&lt;&gt;"",EDATE($D12,Milestones!$AA$90)&gt;=$Y12),$AB12,$AA12)))=Milestones!$AB$90),UPPER(TEXT(EDATE($D12,Milestones!$AA$90),"dd mmm yy"))&amp;" "&amp;Milestones!$AB$90&amp;" "&amp;IF(AND(Milestones!$AB$90="FT",Milestones!$AA$90=FT_Y5,EDATE($D12,Milestones!$AA$90)&lt;PolicyEff),1,Milestones!$AC$90)&amp;";  ","")&amp;IF(AND(EDATE($D12,Milestones!$AA$91)&lt;=AsOfDate,EDATE($D12,Milestones!$AA$91)&gt;=SchemeStart,IF($X12=0,$AD12,IF(AND($Z12&lt;&gt;"",EDATE($D12,Milestones!$AA$91)&gt;=$Z12),$AC12,IF(AND($Y12&lt;&gt;"",EDATE($D12,Milestones!$AA$91)&gt;=$Y12),$AB12,$AA12)))=Milestones!$AB$91),UPPER(TEXT(EDATE($D12,Milestones!$AA$91),"dd mmm yy"))&amp;" "&amp;Milestones!$AB$91&amp;" "&amp;IF(AND(Milestones!$AB$91="FT",Milestones!$AA$91=FT_Y5,EDATE($D12,Milestones!$AA$91)&lt;PolicyEff),1,Milestones!$AC$91)&amp;";  ",""))</f>
        <v/>
      </c>
      <c r="O12" s="0" t="str">
        <f aca="false">IF(OR($A12="",$D12=""),"",IF(AND(EDATE($D12,Milestones!$AA$92)&lt;=AsOfDate,EDATE($D12,Milestones!$AA$92)&gt;=SchemeStart,IF($X12=0,$AD12,IF(AND($Z12&lt;&gt;"",EDATE($D12,Milestones!$AA$92)&gt;=$Z12),$AC12,IF(AND($Y12&lt;&gt;"",EDATE($D12,Milestones!$AA$92)&gt;=$Y12),$AB12,$AA12)))=Milestones!$AB$92),UPPER(TEXT(EDATE($D12,Milestones!$AA$92),"dd mmm yy"))&amp;" "&amp;Milestones!$AB$92&amp;" "&amp;IF(AND(Milestones!$AB$92="FT",Milestones!$AA$92=FT_Y5,EDATE($D12,Milestones!$AA$92)&lt;PolicyEff),1,Milestones!$AC$92)&amp;";  ","")&amp;IF(AND(EDATE($D12,Milestones!$AA$93)&lt;=AsOfDate,EDATE($D12,Milestones!$AA$93)&gt;=SchemeStart,IF($X12=0,$AD12,IF(AND($Z12&lt;&gt;"",EDATE($D12,Milestones!$AA$93)&gt;=$Z12),$AC12,IF(AND($Y12&lt;&gt;"",EDATE($D12,Milestones!$AA$93)&gt;=$Y12),$AB12,$AA12)))=Milestones!$AB$93),UPPER(TEXT(EDATE($D12,Milestones!$AA$93),"dd mmm yy"))&amp;" "&amp;Milestones!$AB$93&amp;" "&amp;IF(AND(Milestones!$AB$93="FT",Milestones!$AA$93=FT_Y5,EDATE($D12,Milestones!$AA$93)&lt;PolicyEff),1,Milestones!$AC$93)&amp;";  ","")&amp;IF(AND(EDATE($D12,Milestones!$AA$94)&lt;=AsOfDate,EDATE($D12,Milestones!$AA$94)&gt;=SchemeStart,IF($X12=0,$AD12,IF(AND($Z12&lt;&gt;"",EDATE($D12,Milestones!$AA$94)&gt;=$Z12),$AC12,IF(AND($Y12&lt;&gt;"",EDATE($D12,Milestones!$AA$94)&gt;=$Y12),$AB12,$AA12)))=Milestones!$AB$94),UPPER(TEXT(EDATE($D12,Milestones!$AA$94),"dd mmm yy"))&amp;" "&amp;Milestones!$AB$94&amp;" "&amp;IF(AND(Milestones!$AB$94="FT",Milestones!$AA$94=FT_Y5,EDATE($D12,Milestones!$AA$94)&lt;PolicyEff),1,Milestones!$AC$94)&amp;";  ","")&amp;IF(AND(EDATE($D12,Milestones!$AA$95)&lt;=AsOfDate,EDATE($D12,Milestones!$AA$95)&gt;=SchemeStart,IF($X12=0,$AD12,IF(AND($Z12&lt;&gt;"",EDATE($D12,Milestones!$AA$95)&gt;=$Z12),$AC12,IF(AND($Y12&lt;&gt;"",EDATE($D12,Milestones!$AA$95)&gt;=$Y12),$AB12,$AA12)))=Milestones!$AB$95),UPPER(TEXT(EDATE($D12,Milestones!$AA$95),"dd mmm yy"))&amp;" "&amp;Milestones!$AB$95&amp;" "&amp;IF(AND(Milestones!$AB$95="FT",Milestones!$AA$95=FT_Y5,EDATE($D12,Milestones!$AA$95)&lt;PolicyEff),1,Milestones!$AC$95)&amp;";  ","")&amp;IF(AND(EDATE($D12,Milestones!$AA$96)&lt;=AsOfDate,EDATE($D12,Milestones!$AA$96)&gt;=SchemeStart,IF($X12=0,$AD12,IF(AND($Z12&lt;&gt;"",EDATE($D12,Milestones!$AA$96)&gt;=$Z12),$AC12,IF(AND($Y12&lt;&gt;"",EDATE($D12,Milestones!$AA$96)&gt;=$Y12),$AB12,$AA12)))=Milestones!$AB$96),UPPER(TEXT(EDATE($D12,Milestones!$AA$96),"dd mmm yy"))&amp;" "&amp;Milestones!$AB$96&amp;" "&amp;IF(AND(Milestones!$AB$96="FT",Milestones!$AA$96=FT_Y5,EDATE($D12,Milestones!$AA$96)&lt;PolicyEff),1,Milestones!$AC$96)&amp;";  ","")&amp;IF(AND(EDATE($D12,Milestones!$AA$97)&lt;=AsOfDate,EDATE($D12,Milestones!$AA$97)&gt;=SchemeStart,IF($X12=0,$AD12,IF(AND($Z12&lt;&gt;"",EDATE($D12,Milestones!$AA$97)&gt;=$Z12),$AC12,IF(AND($Y12&lt;&gt;"",EDATE($D12,Milestones!$AA$97)&gt;=$Y12),$AB12,$AA12)))=Milestones!$AB$97),UPPER(TEXT(EDATE($D12,Milestones!$AA$97),"dd mmm yy"))&amp;" "&amp;Milestones!$AB$97&amp;" "&amp;IF(AND(Milestones!$AB$97="FT",Milestones!$AA$97=FT_Y5,EDATE($D12,Milestones!$AA$97)&lt;PolicyEff),1,Milestones!$AC$97)&amp;";  ","")&amp;IF(AND(EDATE($D12,Milestones!$AA$98)&lt;=AsOfDate,EDATE($D12,Milestones!$AA$98)&gt;=SchemeStart,IF($X12=0,$AD12,IF(AND($Z12&lt;&gt;"",EDATE($D12,Milestones!$AA$98)&gt;=$Z12),$AC12,IF(AND($Y12&lt;&gt;"",EDATE($D12,Milestones!$AA$98)&gt;=$Y12),$AB12,$AA12)))=Milestones!$AB$98),UPPER(TEXT(EDATE($D12,Milestones!$AA$98),"dd mmm yy"))&amp;" "&amp;Milestones!$AB$98&amp;" "&amp;IF(AND(Milestones!$AB$98="FT",Milestones!$AA$98=FT_Y5,EDATE($D12,Milestones!$AA$98)&lt;PolicyEff),1,Milestones!$AC$98)&amp;";  ","")&amp;IF(AND(EDATE($D12,Milestones!$AA$99)&lt;=AsOfDate,EDATE($D12,Milestones!$AA$99)&gt;=SchemeStart,IF($X12=0,$AD12,IF(AND($Z12&lt;&gt;"",EDATE($D12,Milestones!$AA$99)&gt;=$Z12),$AC12,IF(AND($Y12&lt;&gt;"",EDATE($D12,Milestones!$AA$99)&gt;=$Y12),$AB12,$AA12)))=Milestones!$AB$99),UPPER(TEXT(EDATE($D12,Milestones!$AA$99),"dd mmm yy"))&amp;" "&amp;Milestones!$AB$99&amp;" "&amp;IF(AND(Milestones!$AB$99="FT",Milestones!$AA$99=FT_Y5,EDATE($D12,Milestones!$AA$99)&lt;PolicyEff),1,Milestones!$AC$99)&amp;";  ","")&amp;IF(AND(EDATE($D12,Milestones!$AA$100)&lt;=AsOfDate,EDATE($D12,Milestones!$AA$100)&gt;=SchemeStart,IF($X12=0,$AD12,IF(AND($Z12&lt;&gt;"",EDATE($D12,Milestones!$AA$100)&gt;=$Z12),$AC12,IF(AND($Y12&lt;&gt;"",EDATE($D12,Milestones!$AA$100)&gt;=$Y12),$AB12,$AA12)))=Milestones!$AB$100),UPPER(TEXT(EDATE($D12,Milestones!$AA$100),"dd mmm yy"))&amp;" "&amp;Milestones!$AB$100&amp;" "&amp;IF(AND(Milestones!$AB$100="FT",Milestones!$AA$100=FT_Y5,EDATE($D12,Milestones!$AA$100)&lt;PolicyEff),1,Milestones!$AC$100)&amp;";  ","")&amp;IF(AND(EDATE($D12,Milestones!$AA$101)&lt;=AsOfDate,EDATE($D12,Milestones!$AA$101)&gt;=SchemeStart,IF($X12=0,$AD12,IF(AND($Z12&lt;&gt;"",EDATE($D12,Milestones!$AA$101)&gt;=$Z12),$AC12,IF(AND($Y12&lt;&gt;"",EDATE($D12,Milestones!$AA$101)&gt;=$Y12),$AB12,$AA12)))=Milestones!$AB$101),UPPER(TEXT(EDATE($D12,Milestones!$AA$101),"dd mmm yy"))&amp;" "&amp;Milestones!$AB$101&amp;" "&amp;IF(AND(Milestones!$AB$101="FT",Milestones!$AA$101=FT_Y5,EDATE($D12,Milestones!$AA$101)&lt;PolicyEff),1,Milestones!$AC$101)&amp;";  ","")&amp;IF(AND(EDATE($D12,Milestones!$AA$102)&lt;=AsOfDate,EDATE($D12,Milestones!$AA$102)&gt;=SchemeStart,IF($X12=0,$AD12,IF(AND($Z12&lt;&gt;"",EDATE($D12,Milestones!$AA$102)&gt;=$Z12),$AC12,IF(AND($Y12&lt;&gt;"",EDATE($D12,Milestones!$AA$102)&gt;=$Y12),$AB12,$AA12)))=Milestones!$AB$102),UPPER(TEXT(EDATE($D12,Milestones!$AA$102),"dd mmm yy"))&amp;" "&amp;Milestones!$AB$102&amp;" "&amp;IF(AND(Milestones!$AB$102="FT",Milestones!$AA$102=FT_Y5,EDATE($D12,Milestones!$AA$102)&lt;PolicyEff),1,Milestones!$AC$102)&amp;";  ","")&amp;IF(AND(EDATE($D12,Milestones!$AA$103)&lt;=AsOfDate,EDATE($D12,Milestones!$AA$103)&gt;=SchemeStart,IF($X12=0,$AD12,IF(AND($Z12&lt;&gt;"",EDATE($D12,Milestones!$AA$103)&gt;=$Z12),$AC12,IF(AND($Y12&lt;&gt;"",EDATE($D12,Milestones!$AA$103)&gt;=$Y12),$AB12,$AA12)))=Milestones!$AB$103),UPPER(TEXT(EDATE($D12,Milestones!$AA$103),"dd mmm yy"))&amp;" "&amp;Milestones!$AB$103&amp;" "&amp;IF(AND(Milestones!$AB$103="FT",Milestones!$AA$103=FT_Y5,EDATE($D12,Milestones!$AA$103)&lt;PolicyEff),1,Milestones!$AC$103)&amp;";  ",""))</f>
        <v/>
      </c>
      <c r="P12" s="0" t="str">
        <f aca="false">IF(OR($A12="",$D12=""),"",IF(AND(EDATE($D12,Milestones!$AA$104)&lt;=AsOfDate,EDATE($D12,Milestones!$AA$104)&gt;=SchemeStart,IF($X12=0,$AD12,IF(AND($Z12&lt;&gt;"",EDATE($D12,Milestones!$AA$104)&gt;=$Z12),$AC12,IF(AND($Y12&lt;&gt;"",EDATE($D12,Milestones!$AA$104)&gt;=$Y12),$AB12,$AA12)))=Milestones!$AB$104),UPPER(TEXT(EDATE($D12,Milestones!$AA$104),"dd mmm yy"))&amp;" "&amp;Milestones!$AB$104&amp;" "&amp;IF(AND(Milestones!$AB$104="FT",Milestones!$AA$104=FT_Y5,EDATE($D12,Milestones!$AA$104)&lt;PolicyEff),1,Milestones!$AC$104)&amp;";  ","")&amp;IF(AND(EDATE($D12,Milestones!$AA$105)&lt;=AsOfDate,EDATE($D12,Milestones!$AA$105)&gt;=SchemeStart,IF($X12=0,$AD12,IF(AND($Z12&lt;&gt;"",EDATE($D12,Milestones!$AA$105)&gt;=$Z12),$AC12,IF(AND($Y12&lt;&gt;"",EDATE($D12,Milestones!$AA$105)&gt;=$Y12),$AB12,$AA12)))=Milestones!$AB$105),UPPER(TEXT(EDATE($D12,Milestones!$AA$105),"dd mmm yy"))&amp;" "&amp;Milestones!$AB$105&amp;" "&amp;IF(AND(Milestones!$AB$105="FT",Milestones!$AA$105=FT_Y5,EDATE($D12,Milestones!$AA$105)&lt;PolicyEff),1,Milestones!$AC$105)&amp;";  ","")&amp;IF(AND(EDATE($D12,Milestones!$AA$106)&lt;=AsOfDate,EDATE($D12,Milestones!$AA$106)&gt;=SchemeStart,IF($X12=0,$AD12,IF(AND($Z12&lt;&gt;"",EDATE($D12,Milestones!$AA$106)&gt;=$Z12),$AC12,IF(AND($Y12&lt;&gt;"",EDATE($D12,Milestones!$AA$106)&gt;=$Y12),$AB12,$AA12)))=Milestones!$AB$106),UPPER(TEXT(EDATE($D12,Milestones!$AA$106),"dd mmm yy"))&amp;" "&amp;Milestones!$AB$106&amp;" "&amp;IF(AND(Milestones!$AB$106="FT",Milestones!$AA$106=FT_Y5,EDATE($D12,Milestones!$AA$106)&lt;PolicyEff),1,Milestones!$AC$106)&amp;";  ","")&amp;IF(AND(EDATE($D12,Milestones!$AA$107)&lt;=AsOfDate,EDATE($D12,Milestones!$AA$107)&gt;=SchemeStart,IF($X12=0,$AD12,IF(AND($Z12&lt;&gt;"",EDATE($D12,Milestones!$AA$107)&gt;=$Z12),$AC12,IF(AND($Y12&lt;&gt;"",EDATE($D12,Milestones!$AA$107)&gt;=$Y12),$AB12,$AA12)))=Milestones!$AB$107),UPPER(TEXT(EDATE($D12,Milestones!$AA$107),"dd mmm yy"))&amp;" "&amp;Milestones!$AB$107&amp;" "&amp;IF(AND(Milestones!$AB$107="FT",Milestones!$AA$107=FT_Y5,EDATE($D12,Milestones!$AA$107)&lt;PolicyEff),1,Milestones!$AC$107)&amp;";  ","")&amp;IF(AND(EDATE($D12,Milestones!$AA$108)&lt;=AsOfDate,EDATE($D12,Milestones!$AA$108)&gt;=SchemeStart,IF($X12=0,$AD12,IF(AND($Z12&lt;&gt;"",EDATE($D12,Milestones!$AA$108)&gt;=$Z12),$AC12,IF(AND($Y12&lt;&gt;"",EDATE($D12,Milestones!$AA$108)&gt;=$Y12),$AB12,$AA12)))=Milestones!$AB$108),UPPER(TEXT(EDATE($D12,Milestones!$AA$108),"dd mmm yy"))&amp;" "&amp;Milestones!$AB$108&amp;" "&amp;IF(AND(Milestones!$AB$108="FT",Milestones!$AA$108=FT_Y5,EDATE($D12,Milestones!$AA$108)&lt;PolicyEff),1,Milestones!$AC$108)&amp;";  ","")&amp;IF(AND(EDATE($D12,Milestones!$AA$109)&lt;=AsOfDate,EDATE($D12,Milestones!$AA$109)&gt;=SchemeStart,IF($X12=0,$AD12,IF(AND($Z12&lt;&gt;"",EDATE($D12,Milestones!$AA$109)&gt;=$Z12),$AC12,IF(AND($Y12&lt;&gt;"",EDATE($D12,Milestones!$AA$109)&gt;=$Y12),$AB12,$AA12)))=Milestones!$AB$109),UPPER(TEXT(EDATE($D12,Milestones!$AA$109),"dd mmm yy"))&amp;" "&amp;Milestones!$AB$109&amp;" "&amp;IF(AND(Milestones!$AB$109="FT",Milestones!$AA$109=FT_Y5,EDATE($D12,Milestones!$AA$109)&lt;PolicyEff),1,Milestones!$AC$109)&amp;";  ","")&amp;IF(AND(EDATE($D12,Milestones!$AA$110)&lt;=AsOfDate,EDATE($D12,Milestones!$AA$110)&gt;=SchemeStart,IF($X12=0,$AD12,IF(AND($Z12&lt;&gt;"",EDATE($D12,Milestones!$AA$110)&gt;=$Z12),$AC12,IF(AND($Y12&lt;&gt;"",EDATE($D12,Milestones!$AA$110)&gt;=$Y12),$AB12,$AA12)))=Milestones!$AB$110),UPPER(TEXT(EDATE($D12,Milestones!$AA$110),"dd mmm yy"))&amp;" "&amp;Milestones!$AB$110&amp;" "&amp;IF(AND(Milestones!$AB$110="FT",Milestones!$AA$110=FT_Y5,EDATE($D12,Milestones!$AA$110)&lt;PolicyEff),1,Milestones!$AC$110)&amp;";  ","")&amp;IF(AND(EDATE($D12,Milestones!$AA$111)&lt;=AsOfDate,EDATE($D12,Milestones!$AA$111)&gt;=SchemeStart,IF($X12=0,$AD12,IF(AND($Z12&lt;&gt;"",EDATE($D12,Milestones!$AA$111)&gt;=$Z12),$AC12,IF(AND($Y12&lt;&gt;"",EDATE($D12,Milestones!$AA$111)&gt;=$Y12),$AB12,$AA12)))=Milestones!$AB$111),UPPER(TEXT(EDATE($D12,Milestones!$AA$111),"dd mmm yy"))&amp;" "&amp;Milestones!$AB$111&amp;" "&amp;IF(AND(Milestones!$AB$111="FT",Milestones!$AA$111=FT_Y5,EDATE($D12,Milestones!$AA$111)&lt;PolicyEff),1,Milestones!$AC$111)&amp;";  ","")&amp;IF(AND(EDATE($D12,Milestones!$AA$112)&lt;=AsOfDate,EDATE($D12,Milestones!$AA$112)&gt;=SchemeStart,IF($X12=0,$AD12,IF(AND($Z12&lt;&gt;"",EDATE($D12,Milestones!$AA$112)&gt;=$Z12),$AC12,IF(AND($Y12&lt;&gt;"",EDATE($D12,Milestones!$AA$112)&gt;=$Y12),$AB12,$AA12)))=Milestones!$AB$112),UPPER(TEXT(EDATE($D12,Milestones!$AA$112),"dd mmm yy"))&amp;" "&amp;Milestones!$AB$112&amp;" "&amp;IF(AND(Milestones!$AB$112="FT",Milestones!$AA$112=FT_Y5,EDATE($D12,Milestones!$AA$112)&lt;PolicyEff),1,Milestones!$AC$112)&amp;";  ","")&amp;IF(AND(EDATE($D12,Milestones!$AA$113)&lt;=AsOfDate,EDATE($D12,Milestones!$AA$113)&gt;=SchemeStart,IF($X12=0,$AD12,IF(AND($Z12&lt;&gt;"",EDATE($D12,Milestones!$AA$113)&gt;=$Z12),$AC12,IF(AND($Y12&lt;&gt;"",EDATE($D12,Milestones!$AA$113)&gt;=$Y12),$AB12,$AA12)))=Milestones!$AB$113),UPPER(TEXT(EDATE($D12,Milestones!$AA$113),"dd mmm yy"))&amp;" "&amp;Milestones!$AB$113&amp;" "&amp;IF(AND(Milestones!$AB$113="FT",Milestones!$AA$113=FT_Y5,EDATE($D12,Milestones!$AA$113)&lt;PolicyEff),1,Milestones!$AC$113)&amp;";  ","")&amp;IF(AND(EDATE($D12,Milestones!$AA$114)&lt;=AsOfDate,EDATE($D12,Milestones!$AA$114)&gt;=SchemeStart,IF($X12=0,$AD12,IF(AND($Z12&lt;&gt;"",EDATE($D12,Milestones!$AA$114)&gt;=$Z12),$AC12,IF(AND($Y12&lt;&gt;"",EDATE($D12,Milestones!$AA$114)&gt;=$Y12),$AB12,$AA12)))=Milestones!$AB$114),UPPER(TEXT(EDATE($D12,Milestones!$AA$114),"dd mmm yy"))&amp;" "&amp;Milestones!$AB$114&amp;" "&amp;IF(AND(Milestones!$AB$114="FT",Milestones!$AA$114=FT_Y5,EDATE($D12,Milestones!$AA$114)&lt;PolicyEff),1,Milestones!$AC$114)&amp;";  ","")&amp;IF(AND(EDATE($D12,Milestones!$AA$115)&lt;=AsOfDate,EDATE($D12,Milestones!$AA$115)&gt;=SchemeStart,IF($X12=0,$AD12,IF(AND($Z12&lt;&gt;"",EDATE($D12,Milestones!$AA$115)&gt;=$Z12),$AC12,IF(AND($Y12&lt;&gt;"",EDATE($D12,Milestones!$AA$115)&gt;=$Y12),$AB12,$AA12)))=Milestones!$AB$115),UPPER(TEXT(EDATE($D12,Milestones!$AA$115),"dd mmm yy"))&amp;" "&amp;Milestones!$AB$115&amp;" "&amp;IF(AND(Milestones!$AB$115="FT",Milestones!$AA$115=FT_Y5,EDATE($D12,Milestones!$AA$115)&lt;PolicyEff),1,Milestones!$AC$115)&amp;";  ",""))</f>
        <v/>
      </c>
      <c r="Q12" s="0" t="str">
        <f aca="false">IF(OR($A12="",$D12=""),"",IF(AND(EDATE($D12,Milestones!$AA$116)&lt;=AsOfDate,EDATE($D12,Milestones!$AA$116)&gt;=SchemeStart,IF($X12=0,$AD12,IF(AND($Z12&lt;&gt;"",EDATE($D12,Milestones!$AA$116)&gt;=$Z12),$AC12,IF(AND($Y12&lt;&gt;"",EDATE($D12,Milestones!$AA$116)&gt;=$Y12),$AB12,$AA12)))=Milestones!$AB$116),UPPER(TEXT(EDATE($D12,Milestones!$AA$116),"dd mmm yy"))&amp;" "&amp;Milestones!$AB$116&amp;" "&amp;IF(AND(Milestones!$AB$116="FT",Milestones!$AA$116=FT_Y5,EDATE($D12,Milestones!$AA$116)&lt;PolicyEff),1,Milestones!$AC$116)&amp;";  ","")&amp;IF(AND(EDATE($D12,Milestones!$AA$117)&lt;=AsOfDate,EDATE($D12,Milestones!$AA$117)&gt;=SchemeStart,IF($X12=0,$AD12,IF(AND($Z12&lt;&gt;"",EDATE($D12,Milestones!$AA$117)&gt;=$Z12),$AC12,IF(AND($Y12&lt;&gt;"",EDATE($D12,Milestones!$AA$117)&gt;=$Y12),$AB12,$AA12)))=Milestones!$AB$117),UPPER(TEXT(EDATE($D12,Milestones!$AA$117),"dd mmm yy"))&amp;" "&amp;Milestones!$AB$117&amp;" "&amp;IF(AND(Milestones!$AB$117="FT",Milestones!$AA$117=FT_Y5,EDATE($D12,Milestones!$AA$117)&lt;PolicyEff),1,Milestones!$AC$117)&amp;";  ","")&amp;IF(AND(EDATE($D12,Milestones!$AA$118)&lt;=AsOfDate,EDATE($D12,Milestones!$AA$118)&gt;=SchemeStart,IF($X12=0,$AD12,IF(AND($Z12&lt;&gt;"",EDATE($D12,Milestones!$AA$118)&gt;=$Z12),$AC12,IF(AND($Y12&lt;&gt;"",EDATE($D12,Milestones!$AA$118)&gt;=$Y12),$AB12,$AA12)))=Milestones!$AB$118),UPPER(TEXT(EDATE($D12,Milestones!$AA$118),"dd mmm yy"))&amp;" "&amp;Milestones!$AB$118&amp;" "&amp;IF(AND(Milestones!$AB$118="FT",Milestones!$AA$118=FT_Y5,EDATE($D12,Milestones!$AA$118)&lt;PolicyEff),1,Milestones!$AC$118)&amp;";  ","")&amp;IF(AND(EDATE($D12,Milestones!$AA$119)&lt;=AsOfDate,EDATE($D12,Milestones!$AA$119)&gt;=SchemeStart,IF($X12=0,$AD12,IF(AND($Z12&lt;&gt;"",EDATE($D12,Milestones!$AA$119)&gt;=$Z12),$AC12,IF(AND($Y12&lt;&gt;"",EDATE($D12,Milestones!$AA$119)&gt;=$Y12),$AB12,$AA12)))=Milestones!$AB$119),UPPER(TEXT(EDATE($D12,Milestones!$AA$119),"dd mmm yy"))&amp;" "&amp;Milestones!$AB$119&amp;" "&amp;IF(AND(Milestones!$AB$119="FT",Milestones!$AA$119=FT_Y5,EDATE($D12,Milestones!$AA$119)&lt;PolicyEff),1,Milestones!$AC$119)&amp;";  ","")&amp;IF(AND(EDATE($D12,Milestones!$AA$120)&lt;=AsOfDate,EDATE($D12,Milestones!$AA$120)&gt;=SchemeStart,IF($X12=0,$AD12,IF(AND($Z12&lt;&gt;"",EDATE($D12,Milestones!$AA$120)&gt;=$Z12),$AC12,IF(AND($Y12&lt;&gt;"",EDATE($D12,Milestones!$AA$120)&gt;=$Y12),$AB12,$AA12)))=Milestones!$AB$120),UPPER(TEXT(EDATE($D12,Milestones!$AA$120),"dd mmm yy"))&amp;" "&amp;Milestones!$AB$120&amp;" "&amp;IF(AND(Milestones!$AB$120="FT",Milestones!$AA$120=FT_Y5,EDATE($D12,Milestones!$AA$120)&lt;PolicyEff),1,Milestones!$AC$120)&amp;";  ","")&amp;IF(AND(EDATE($D12,Milestones!$AA$121)&lt;=AsOfDate,EDATE($D12,Milestones!$AA$121)&gt;=SchemeStart,IF($X12=0,$AD12,IF(AND($Z12&lt;&gt;"",EDATE($D12,Milestones!$AA$121)&gt;=$Z12),$AC12,IF(AND($Y12&lt;&gt;"",EDATE($D12,Milestones!$AA$121)&gt;=$Y12),$AB12,$AA12)))=Milestones!$AB$121),UPPER(TEXT(EDATE($D12,Milestones!$AA$121),"dd mmm yy"))&amp;" "&amp;Milestones!$AB$121&amp;" "&amp;IF(AND(Milestones!$AB$121="FT",Milestones!$AA$121=FT_Y5,EDATE($D12,Milestones!$AA$121)&lt;PolicyEff),1,Milestones!$AC$121)&amp;";  ","")&amp;IF(AND(EDATE($D12,Milestones!$AA$122)&lt;=AsOfDate,EDATE($D12,Milestones!$AA$122)&gt;=SchemeStart,IF($X12=0,$AD12,IF(AND($Z12&lt;&gt;"",EDATE($D12,Milestones!$AA$122)&gt;=$Z12),$AC12,IF(AND($Y12&lt;&gt;"",EDATE($D12,Milestones!$AA$122)&gt;=$Y12),$AB12,$AA12)))=Milestones!$AB$122),UPPER(TEXT(EDATE($D12,Milestones!$AA$122),"dd mmm yy"))&amp;" "&amp;Milestones!$AB$122&amp;" "&amp;IF(AND(Milestones!$AB$122="FT",Milestones!$AA$122=FT_Y5,EDATE($D12,Milestones!$AA$122)&lt;PolicyEff),1,Milestones!$AC$122)&amp;";  ","")&amp;IF(AND(EDATE($D12,Milestones!$AA$123)&lt;=AsOfDate,EDATE($D12,Milestones!$AA$123)&gt;=SchemeStart,IF($X12=0,$AD12,IF(AND($Z12&lt;&gt;"",EDATE($D12,Milestones!$AA$123)&gt;=$Z12),$AC12,IF(AND($Y12&lt;&gt;"",EDATE($D12,Milestones!$AA$123)&gt;=$Y12),$AB12,$AA12)))=Milestones!$AB$123),UPPER(TEXT(EDATE($D12,Milestones!$AA$123),"dd mmm yy"))&amp;" "&amp;Milestones!$AB$123&amp;" "&amp;IF(AND(Milestones!$AB$123="FT",Milestones!$AA$123=FT_Y5,EDATE($D12,Milestones!$AA$123)&lt;PolicyEff),1,Milestones!$AC$123)&amp;";  ","")&amp;IF(AND(EDATE($D12,Milestones!$AA$124)&lt;=AsOfDate,EDATE($D12,Milestones!$AA$124)&gt;=SchemeStart,IF($X12=0,$AD12,IF(AND($Z12&lt;&gt;"",EDATE($D12,Milestones!$AA$124)&gt;=$Z12),$AC12,IF(AND($Y12&lt;&gt;"",EDATE($D12,Milestones!$AA$124)&gt;=$Y12),$AB12,$AA12)))=Milestones!$AB$124),UPPER(TEXT(EDATE($D12,Milestones!$AA$124),"dd mmm yy"))&amp;" "&amp;Milestones!$AB$124&amp;" "&amp;IF(AND(Milestones!$AB$124="FT",Milestones!$AA$124=FT_Y5,EDATE($D12,Milestones!$AA$124)&lt;PolicyEff),1,Milestones!$AC$124)&amp;";  ","")&amp;IF(AND(EDATE($D12,Milestones!$AA$125)&lt;=AsOfDate,EDATE($D12,Milestones!$AA$125)&gt;=SchemeStart,IF($X12=0,$AD12,IF(AND($Z12&lt;&gt;"",EDATE($D12,Milestones!$AA$125)&gt;=$Z12),$AC12,IF(AND($Y12&lt;&gt;"",EDATE($D12,Milestones!$AA$125)&gt;=$Y12),$AB12,$AA12)))=Milestones!$AB$125),UPPER(TEXT(EDATE($D12,Milestones!$AA$125),"dd mmm yy"))&amp;" "&amp;Milestones!$AB$125&amp;" "&amp;IF(AND(Milestones!$AB$125="FT",Milestones!$AA$125=FT_Y5,EDATE($D12,Milestones!$AA$125)&lt;PolicyEff),1,Milestones!$AC$125)&amp;";  ","")&amp;IF(AND(EDATE($D12,Milestones!$AA$126)&lt;=AsOfDate,EDATE($D12,Milestones!$AA$126)&gt;=SchemeStart,IF($X12=0,$AD12,IF(AND($Z12&lt;&gt;"",EDATE($D12,Milestones!$AA$126)&gt;=$Z12),$AC12,IF(AND($Y12&lt;&gt;"",EDATE($D12,Milestones!$AA$126)&gt;=$Y12),$AB12,$AA12)))=Milestones!$AB$126),UPPER(TEXT(EDATE($D12,Milestones!$AA$126),"dd mmm yy"))&amp;" "&amp;Milestones!$AB$126&amp;" "&amp;IF(AND(Milestones!$AB$126="FT",Milestones!$AA$126=FT_Y5,EDATE($D12,Milestones!$AA$126)&lt;PolicyEff),1,Milestones!$AC$126)&amp;";  ","")&amp;IF(AND(EDATE($D12,Milestones!$AA$127)&lt;=AsOfDate,EDATE($D12,Milestones!$AA$127)&gt;=SchemeStart,IF($X12=0,$AD12,IF(AND($Z12&lt;&gt;"",EDATE($D12,Milestones!$AA$127)&gt;=$Z12),$AC12,IF(AND($Y12&lt;&gt;"",EDATE($D12,Milestones!$AA$127)&gt;=$Y12),$AB12,$AA12)))=Milestones!$AB$127),UPPER(TEXT(EDATE($D12,Milestones!$AA$127),"dd mmm yy"))&amp;" "&amp;Milestones!$AB$127&amp;" "&amp;IF(AND(Milestones!$AB$127="FT",Milestones!$AA$127=FT_Y5,EDATE($D12,Milestones!$AA$127)&lt;PolicyEff),1,Milestones!$AC$127)&amp;";  ",""))</f>
        <v/>
      </c>
      <c r="R12" s="0" t="str">
        <f aca="false">IF(OR($A12="",$D12=""),"",IF(AND(EDATE($D12,Milestones!$AA$128)&lt;=AsOfDate,EDATE($D12,Milestones!$AA$128)&gt;=SchemeStart,IF($X12=0,$AD12,IF(AND($Z12&lt;&gt;"",EDATE($D12,Milestones!$AA$128)&gt;=$Z12),$AC12,IF(AND($Y12&lt;&gt;"",EDATE($D12,Milestones!$AA$128)&gt;=$Y12),$AB12,$AA12)))=Milestones!$AB$128),UPPER(TEXT(EDATE($D12,Milestones!$AA$128),"dd mmm yy"))&amp;" "&amp;Milestones!$AB$128&amp;" "&amp;IF(AND(Milestones!$AB$128="FT",Milestones!$AA$128=FT_Y5,EDATE($D12,Milestones!$AA$128)&lt;PolicyEff),1,Milestones!$AC$128)&amp;";  ","")&amp;IF(AND(EDATE($D12,Milestones!$AA$129)&lt;=AsOfDate,EDATE($D12,Milestones!$AA$129)&gt;=SchemeStart,IF($X12=0,$AD12,IF(AND($Z12&lt;&gt;"",EDATE($D12,Milestones!$AA$129)&gt;=$Z12),$AC12,IF(AND($Y12&lt;&gt;"",EDATE($D12,Milestones!$AA$129)&gt;=$Y12),$AB12,$AA12)))=Milestones!$AB$129),UPPER(TEXT(EDATE($D12,Milestones!$AA$129),"dd mmm yy"))&amp;" "&amp;Milestones!$AB$129&amp;" "&amp;IF(AND(Milestones!$AB$129="FT",Milestones!$AA$129=FT_Y5,EDATE($D12,Milestones!$AA$129)&lt;PolicyEff),1,Milestones!$AC$129)&amp;";  ","")&amp;IF(AND(EDATE($D12,Milestones!$AA$130)&lt;=AsOfDate,EDATE($D12,Milestones!$AA$130)&gt;=SchemeStart,IF($X12=0,$AD12,IF(AND($Z12&lt;&gt;"",EDATE($D12,Milestones!$AA$130)&gt;=$Z12),$AC12,IF(AND($Y12&lt;&gt;"",EDATE($D12,Milestones!$AA$130)&gt;=$Y12),$AB12,$AA12)))=Milestones!$AB$130),UPPER(TEXT(EDATE($D12,Milestones!$AA$130),"dd mmm yy"))&amp;" "&amp;Milestones!$AB$130&amp;" "&amp;IF(AND(Milestones!$AB$130="FT",Milestones!$AA$130=FT_Y5,EDATE($D12,Milestones!$AA$130)&lt;PolicyEff),1,Milestones!$AC$130)&amp;";  ","")&amp;IF(AND(EDATE($D12,Milestones!$AA$131)&lt;=AsOfDate,EDATE($D12,Milestones!$AA$131)&gt;=SchemeStart,IF($X12=0,$AD12,IF(AND($Z12&lt;&gt;"",EDATE($D12,Milestones!$AA$131)&gt;=$Z12),$AC12,IF(AND($Y12&lt;&gt;"",EDATE($D12,Milestones!$AA$131)&gt;=$Y12),$AB12,$AA12)))=Milestones!$AB$131),UPPER(TEXT(EDATE($D12,Milestones!$AA$131),"dd mmm yy"))&amp;" "&amp;Milestones!$AB$131&amp;" "&amp;IF(AND(Milestones!$AB$131="FT",Milestones!$AA$131=FT_Y5,EDATE($D12,Milestones!$AA$131)&lt;PolicyEff),1,Milestones!$AC$131)&amp;";  ","")&amp;IF(AND(EDATE($D12,Milestones!$AA$132)&lt;=AsOfDate,EDATE($D12,Milestones!$AA$132)&gt;=SchemeStart,IF($X12=0,$AD12,IF(AND($Z12&lt;&gt;"",EDATE($D12,Milestones!$AA$132)&gt;=$Z12),$AC12,IF(AND($Y12&lt;&gt;"",EDATE($D12,Milestones!$AA$132)&gt;=$Y12),$AB12,$AA12)))=Milestones!$AB$132),UPPER(TEXT(EDATE($D12,Milestones!$AA$132),"dd mmm yy"))&amp;" "&amp;Milestones!$AB$132&amp;" "&amp;IF(AND(Milestones!$AB$132="FT",Milestones!$AA$132=FT_Y5,EDATE($D12,Milestones!$AA$132)&lt;PolicyEff),1,Milestones!$AC$132)&amp;";  ","")&amp;IF(AND(EDATE($D12,Milestones!$AA$133)&lt;=AsOfDate,EDATE($D12,Milestones!$AA$133)&gt;=SchemeStart,IF($X12=0,$AD12,IF(AND($Z12&lt;&gt;"",EDATE($D12,Milestones!$AA$133)&gt;=$Z12),$AC12,IF(AND($Y12&lt;&gt;"",EDATE($D12,Milestones!$AA$133)&gt;=$Y12),$AB12,$AA12)))=Milestones!$AB$133),UPPER(TEXT(EDATE($D12,Milestones!$AA$133),"dd mmm yy"))&amp;" "&amp;Milestones!$AB$133&amp;" "&amp;IF(AND(Milestones!$AB$133="FT",Milestones!$AA$133=FT_Y5,EDATE($D12,Milestones!$AA$133)&lt;PolicyEff),1,Milestones!$AC$133)&amp;";  ","")&amp;IF(AND(EDATE($D12,Milestones!$AA$134)&lt;=AsOfDate,EDATE($D12,Milestones!$AA$134)&gt;=SchemeStart,IF($X12=0,$AD12,IF(AND($Z12&lt;&gt;"",EDATE($D12,Milestones!$AA$134)&gt;=$Z12),$AC12,IF(AND($Y12&lt;&gt;"",EDATE($D12,Milestones!$AA$134)&gt;=$Y12),$AB12,$AA12)))=Milestones!$AB$134),UPPER(TEXT(EDATE($D12,Milestones!$AA$134),"dd mmm yy"))&amp;" "&amp;Milestones!$AB$134&amp;" "&amp;IF(AND(Milestones!$AB$134="FT",Milestones!$AA$134=FT_Y5,EDATE($D12,Milestones!$AA$134)&lt;PolicyEff),1,Milestones!$AC$134)&amp;";  ","")&amp;IF(AND(EDATE($D12,Milestones!$AA$135)&lt;=AsOfDate,EDATE($D12,Milestones!$AA$135)&gt;=SchemeStart,IF($X12=0,$AD12,IF(AND($Z12&lt;&gt;"",EDATE($D12,Milestones!$AA$135)&gt;=$Z12),$AC12,IF(AND($Y12&lt;&gt;"",EDATE($D12,Milestones!$AA$135)&gt;=$Y12),$AB12,$AA12)))=Milestones!$AB$135),UPPER(TEXT(EDATE($D12,Milestones!$AA$135),"dd mmm yy"))&amp;" "&amp;Milestones!$AB$135&amp;" "&amp;IF(AND(Milestones!$AB$135="FT",Milestones!$AA$135=FT_Y5,EDATE($D12,Milestones!$AA$135)&lt;PolicyEff),1,Milestones!$AC$135)&amp;";  ","")&amp;IF(AND(EDATE($D12,Milestones!$AA$136)&lt;=AsOfDate,EDATE($D12,Milestones!$AA$136)&gt;=SchemeStart,IF($X12=0,$AD12,IF(AND($Z12&lt;&gt;"",EDATE($D12,Milestones!$AA$136)&gt;=$Z12),$AC12,IF(AND($Y12&lt;&gt;"",EDATE($D12,Milestones!$AA$136)&gt;=$Y12),$AB12,$AA12)))=Milestones!$AB$136),UPPER(TEXT(EDATE($D12,Milestones!$AA$136),"dd mmm yy"))&amp;" "&amp;Milestones!$AB$136&amp;" "&amp;IF(AND(Milestones!$AB$136="FT",Milestones!$AA$136=FT_Y5,EDATE($D12,Milestones!$AA$136)&lt;PolicyEff),1,Milestones!$AC$136)&amp;";  ","")&amp;IF(AND(EDATE($D12,Milestones!$AA$137)&lt;=AsOfDate,EDATE($D12,Milestones!$AA$137)&gt;=SchemeStart,IF($X12=0,$AD12,IF(AND($Z12&lt;&gt;"",EDATE($D12,Milestones!$AA$137)&gt;=$Z12),$AC12,IF(AND($Y12&lt;&gt;"",EDATE($D12,Milestones!$AA$137)&gt;=$Y12),$AB12,$AA12)))=Milestones!$AB$137),UPPER(TEXT(EDATE($D12,Milestones!$AA$137),"dd mmm yy"))&amp;" "&amp;Milestones!$AB$137&amp;" "&amp;IF(AND(Milestones!$AB$137="FT",Milestones!$AA$137=FT_Y5,EDATE($D12,Milestones!$AA$137)&lt;PolicyEff),1,Milestones!$AC$137)&amp;";  ","")&amp;IF(AND(EDATE($D12,Milestones!$AA$138)&lt;=AsOfDate,EDATE($D12,Milestones!$AA$138)&gt;=SchemeStart,IF($X12=0,$AD12,IF(AND($Z12&lt;&gt;"",EDATE($D12,Milestones!$AA$138)&gt;=$Z12),$AC12,IF(AND($Y12&lt;&gt;"",EDATE($D12,Milestones!$AA$138)&gt;=$Y12),$AB12,$AA12)))=Milestones!$AB$138),UPPER(TEXT(EDATE($D12,Milestones!$AA$138),"dd mmm yy"))&amp;" "&amp;Milestones!$AB$138&amp;" "&amp;IF(AND(Milestones!$AB$138="FT",Milestones!$AA$138=FT_Y5,EDATE($D12,Milestones!$AA$138)&lt;PolicyEff),1,Milestones!$AC$138)&amp;";  ","")&amp;IF(AND(EDATE($D12,Milestones!$AA$139)&lt;=AsOfDate,EDATE($D12,Milestones!$AA$139)&gt;=SchemeStart,IF($X12=0,$AD12,IF(AND($Z12&lt;&gt;"",EDATE($D12,Milestones!$AA$139)&gt;=$Z12),$AC12,IF(AND($Y12&lt;&gt;"",EDATE($D12,Milestones!$AA$139)&gt;=$Y12),$AB12,$AA12)))=Milestones!$AB$139),UPPER(TEXT(EDATE($D12,Milestones!$AA$139),"dd mmm yy"))&amp;" "&amp;Milestones!$AB$139&amp;" "&amp;IF(AND(Milestones!$AB$139="FT",Milestones!$AA$139=FT_Y5,EDATE($D12,Milestones!$AA$139)&lt;PolicyEff),1,Milestones!$AC$139)&amp;";  ",""))</f>
        <v/>
      </c>
      <c r="S12" s="0" t="str">
        <f aca="false">IF(OR($A12="",$D12=""),"",IF(AND(EDATE($D12,Milestones!$AA$140)&lt;=AsOfDate,EDATE($D12,Milestones!$AA$140)&gt;=SchemeStart,IF($X12=0,$AD12,IF(AND($Z12&lt;&gt;"",EDATE($D12,Milestones!$AA$140)&gt;=$Z12),$AC12,IF(AND($Y12&lt;&gt;"",EDATE($D12,Milestones!$AA$140)&gt;=$Y12),$AB12,$AA12)))=Milestones!$AB$140),UPPER(TEXT(EDATE($D12,Milestones!$AA$140),"dd mmm yy"))&amp;" "&amp;Milestones!$AB$140&amp;" "&amp;IF(AND(Milestones!$AB$140="FT",Milestones!$AA$140=FT_Y5,EDATE($D12,Milestones!$AA$140)&lt;PolicyEff),1,Milestones!$AC$140)&amp;";  ","")&amp;IF(AND(EDATE($D12,Milestones!$AA$141)&lt;=AsOfDate,EDATE($D12,Milestones!$AA$141)&gt;=SchemeStart,IF($X12=0,$AD12,IF(AND($Z12&lt;&gt;"",EDATE($D12,Milestones!$AA$141)&gt;=$Z12),$AC12,IF(AND($Y12&lt;&gt;"",EDATE($D12,Milestones!$AA$141)&gt;=$Y12),$AB12,$AA12)))=Milestones!$AB$141),UPPER(TEXT(EDATE($D12,Milestones!$AA$141),"dd mmm yy"))&amp;" "&amp;Milestones!$AB$141&amp;" "&amp;IF(AND(Milestones!$AB$141="FT",Milestones!$AA$141=FT_Y5,EDATE($D12,Milestones!$AA$141)&lt;PolicyEff),1,Milestones!$AC$141)&amp;";  ","")&amp;IF(AND(EDATE($D12,Milestones!$AA$142)&lt;=AsOfDate,EDATE($D12,Milestones!$AA$142)&gt;=SchemeStart,IF($X12=0,$AD12,IF(AND($Z12&lt;&gt;"",EDATE($D12,Milestones!$AA$142)&gt;=$Z12),$AC12,IF(AND($Y12&lt;&gt;"",EDATE($D12,Milestones!$AA$142)&gt;=$Y12),$AB12,$AA12)))=Milestones!$AB$142),UPPER(TEXT(EDATE($D12,Milestones!$AA$142),"dd mmm yy"))&amp;" "&amp;Milestones!$AB$142&amp;" "&amp;IF(AND(Milestones!$AB$142="FT",Milestones!$AA$142=FT_Y5,EDATE($D12,Milestones!$AA$142)&lt;PolicyEff),1,Milestones!$AC$142)&amp;";  ","")&amp;IF(AND(EDATE($D12,Milestones!$AA$143)&lt;=AsOfDate,EDATE($D12,Milestones!$AA$143)&gt;=SchemeStart,IF($X12=0,$AD12,IF(AND($Z12&lt;&gt;"",EDATE($D12,Milestones!$AA$143)&gt;=$Z12),$AC12,IF(AND($Y12&lt;&gt;"",EDATE($D12,Milestones!$AA$143)&gt;=$Y12),$AB12,$AA12)))=Milestones!$AB$143),UPPER(TEXT(EDATE($D12,Milestones!$AA$143),"dd mmm yy"))&amp;" "&amp;Milestones!$AB$143&amp;" "&amp;IF(AND(Milestones!$AB$143="FT",Milestones!$AA$143=FT_Y5,EDATE($D12,Milestones!$AA$143)&lt;PolicyEff),1,Milestones!$AC$143)&amp;";  ","")&amp;IF(AND(EDATE($D12,Milestones!$AA$144)&lt;=AsOfDate,EDATE($D12,Milestones!$AA$144)&gt;=SchemeStart,IF($X12=0,$AD12,IF(AND($Z12&lt;&gt;"",EDATE($D12,Milestones!$AA$144)&gt;=$Z12),$AC12,IF(AND($Y12&lt;&gt;"",EDATE($D12,Milestones!$AA$144)&gt;=$Y12),$AB12,$AA12)))=Milestones!$AB$144),UPPER(TEXT(EDATE($D12,Milestones!$AA$144),"dd mmm yy"))&amp;" "&amp;Milestones!$AB$144&amp;" "&amp;IF(AND(Milestones!$AB$144="FT",Milestones!$AA$144=FT_Y5,EDATE($D12,Milestones!$AA$144)&lt;PolicyEff),1,Milestones!$AC$144)&amp;";  ","")&amp;IF(AND(EDATE($D12,Milestones!$AA$145)&lt;=AsOfDate,EDATE($D12,Milestones!$AA$145)&gt;=SchemeStart,IF($X12=0,$AD12,IF(AND($Z12&lt;&gt;"",EDATE($D12,Milestones!$AA$145)&gt;=$Z12),$AC12,IF(AND($Y12&lt;&gt;"",EDATE($D12,Milestones!$AA$145)&gt;=$Y12),$AB12,$AA12)))=Milestones!$AB$145),UPPER(TEXT(EDATE($D12,Milestones!$AA$145),"dd mmm yy"))&amp;" "&amp;Milestones!$AB$145&amp;" "&amp;IF(AND(Milestones!$AB$145="FT",Milestones!$AA$145=FT_Y5,EDATE($D12,Milestones!$AA$145)&lt;PolicyEff),1,Milestones!$AC$145)&amp;";  ","")&amp;IF(AND(EDATE($D12,Milestones!$AA$146)&lt;=AsOfDate,EDATE($D12,Milestones!$AA$146)&gt;=SchemeStart,IF($X12=0,$AD12,IF(AND($Z12&lt;&gt;"",EDATE($D12,Milestones!$AA$146)&gt;=$Z12),$AC12,IF(AND($Y12&lt;&gt;"",EDATE($D12,Milestones!$AA$146)&gt;=$Y12),$AB12,$AA12)))=Milestones!$AB$146),UPPER(TEXT(EDATE($D12,Milestones!$AA$146),"dd mmm yy"))&amp;" "&amp;Milestones!$AB$146&amp;" "&amp;IF(AND(Milestones!$AB$146="FT",Milestones!$AA$146=FT_Y5,EDATE($D12,Milestones!$AA$146)&lt;PolicyEff),1,Milestones!$AC$146)&amp;";  ","")&amp;IF(AND(EDATE($D12,Milestones!$AA$147)&lt;=AsOfDate,EDATE($D12,Milestones!$AA$147)&gt;=SchemeStart,IF($X12=0,$AD12,IF(AND($Z12&lt;&gt;"",EDATE($D12,Milestones!$AA$147)&gt;=$Z12),$AC12,IF(AND($Y12&lt;&gt;"",EDATE($D12,Milestones!$AA$147)&gt;=$Y12),$AB12,$AA12)))=Milestones!$AB$147),UPPER(TEXT(EDATE($D12,Milestones!$AA$147),"dd mmm yy"))&amp;" "&amp;Milestones!$AB$147&amp;" "&amp;IF(AND(Milestones!$AB$147="FT",Milestones!$AA$147=FT_Y5,EDATE($D12,Milestones!$AA$147)&lt;PolicyEff),1,Milestones!$AC$147)&amp;";  ","")&amp;IF(AND(EDATE($D12,Milestones!$AA$148)&lt;=AsOfDate,EDATE($D12,Milestones!$AA$148)&gt;=SchemeStart,IF($X12=0,$AD12,IF(AND($Z12&lt;&gt;"",EDATE($D12,Milestones!$AA$148)&gt;=$Z12),$AC12,IF(AND($Y12&lt;&gt;"",EDATE($D12,Milestones!$AA$148)&gt;=$Y12),$AB12,$AA12)))=Milestones!$AB$148),UPPER(TEXT(EDATE($D12,Milestones!$AA$148),"dd mmm yy"))&amp;" "&amp;Milestones!$AB$148&amp;" "&amp;IF(AND(Milestones!$AB$148="FT",Milestones!$AA$148=FT_Y5,EDATE($D12,Milestones!$AA$148)&lt;PolicyEff),1,Milestones!$AC$148)&amp;";  ","")&amp;IF(AND(EDATE($D12,Milestones!$AA$149)&lt;=AsOfDate,EDATE($D12,Milestones!$AA$149)&gt;=SchemeStart,IF($X12=0,$AD12,IF(AND($Z12&lt;&gt;"",EDATE($D12,Milestones!$AA$149)&gt;=$Z12),$AC12,IF(AND($Y12&lt;&gt;"",EDATE($D12,Milestones!$AA$149)&gt;=$Y12),$AB12,$AA12)))=Milestones!$AB$149),UPPER(TEXT(EDATE($D12,Milestones!$AA$149),"dd mmm yy"))&amp;" "&amp;Milestones!$AB$149&amp;" "&amp;IF(AND(Milestones!$AB$149="FT",Milestones!$AA$149=FT_Y5,EDATE($D12,Milestones!$AA$149)&lt;PolicyEff),1,Milestones!$AC$149)&amp;";  ","")&amp;IF(AND(EDATE($D12,Milestones!$AA$150)&lt;=AsOfDate,EDATE($D12,Milestones!$AA$150)&gt;=SchemeStart,IF($X12=0,$AD12,IF(AND($Z12&lt;&gt;"",EDATE($D12,Milestones!$AA$150)&gt;=$Z12),$AC12,IF(AND($Y12&lt;&gt;"",EDATE($D12,Milestones!$AA$150)&gt;=$Y12),$AB12,$AA12)))=Milestones!$AB$150),UPPER(TEXT(EDATE($D12,Milestones!$AA$150),"dd mmm yy"))&amp;" "&amp;Milestones!$AB$150&amp;" "&amp;IF(AND(Milestones!$AB$150="FT",Milestones!$AA$150=FT_Y5,EDATE($D12,Milestones!$AA$150)&lt;PolicyEff),1,Milestones!$AC$150)&amp;";  ","")&amp;IF(AND(EDATE($D12,Milestones!$AA$151)&lt;=AsOfDate,EDATE($D12,Milestones!$AA$151)&gt;=SchemeStart,IF($X12=0,$AD12,IF(AND($Z12&lt;&gt;"",EDATE($D12,Milestones!$AA$151)&gt;=$Z12),$AC12,IF(AND($Y12&lt;&gt;"",EDATE($D12,Milestones!$AA$151)&gt;=$Y12),$AB12,$AA12)))=Milestones!$AB$151),UPPER(TEXT(EDATE($D12,Milestones!$AA$151),"dd mmm yy"))&amp;" "&amp;Milestones!$AB$151&amp;" "&amp;IF(AND(Milestones!$AB$151="FT",Milestones!$AA$151=FT_Y5,EDATE($D12,Milestones!$AA$151)&lt;PolicyEff),1,Milestones!$AC$151)&amp;";  ",""))</f>
        <v/>
      </c>
      <c r="T12" s="0" t="str">
        <f aca="false">IF(OR($A12="",$D12=""),"",IF(AND(EDATE($D12,Milestones!$AA$152)&lt;=AsOfDate,EDATE($D12,Milestones!$AA$152)&gt;=SchemeStart,IF($X12=0,$AD12,IF(AND($Z12&lt;&gt;"",EDATE($D12,Milestones!$AA$152)&gt;=$Z12),$AC12,IF(AND($Y12&lt;&gt;"",EDATE($D12,Milestones!$AA$152)&gt;=$Y12),$AB12,$AA12)))=Milestones!$AB$152),UPPER(TEXT(EDATE($D12,Milestones!$AA$152),"dd mmm yy"))&amp;" "&amp;Milestones!$AB$152&amp;" "&amp;IF(AND(Milestones!$AB$152="FT",Milestones!$AA$152=FT_Y5,EDATE($D12,Milestones!$AA$152)&lt;PolicyEff),1,Milestones!$AC$152)&amp;";  ","")&amp;IF(AND(EDATE($D12,Milestones!$AA$153)&lt;=AsOfDate,EDATE($D12,Milestones!$AA$153)&gt;=SchemeStart,IF($X12=0,$AD12,IF(AND($Z12&lt;&gt;"",EDATE($D12,Milestones!$AA$153)&gt;=$Z12),$AC12,IF(AND($Y12&lt;&gt;"",EDATE($D12,Milestones!$AA$153)&gt;=$Y12),$AB12,$AA12)))=Milestones!$AB$153),UPPER(TEXT(EDATE($D12,Milestones!$AA$153),"dd mmm yy"))&amp;" "&amp;Milestones!$AB$153&amp;" "&amp;IF(AND(Milestones!$AB$153="FT",Milestones!$AA$153=FT_Y5,EDATE($D12,Milestones!$AA$153)&lt;PolicyEff),1,Milestones!$AC$153)&amp;";  ","")&amp;IF(AND(EDATE($D12,Milestones!$AA$154)&lt;=AsOfDate,EDATE($D12,Milestones!$AA$154)&gt;=SchemeStart,IF($X12=0,$AD12,IF(AND($Z12&lt;&gt;"",EDATE($D12,Milestones!$AA$154)&gt;=$Z12),$AC12,IF(AND($Y12&lt;&gt;"",EDATE($D12,Milestones!$AA$154)&gt;=$Y12),$AB12,$AA12)))=Milestones!$AB$154),UPPER(TEXT(EDATE($D12,Milestones!$AA$154),"dd mmm yy"))&amp;" "&amp;Milestones!$AB$154&amp;" "&amp;IF(AND(Milestones!$AB$154="FT",Milestones!$AA$154=FT_Y5,EDATE($D12,Milestones!$AA$154)&lt;PolicyEff),1,Milestones!$AC$154)&amp;";  ","")&amp;IF(AND(EDATE($D12,Milestones!$AA$155)&lt;=AsOfDate,EDATE($D12,Milestones!$AA$155)&gt;=SchemeStart,IF($X12=0,$AD12,IF(AND($Z12&lt;&gt;"",EDATE($D12,Milestones!$AA$155)&gt;=$Z12),$AC12,IF(AND($Y12&lt;&gt;"",EDATE($D12,Milestones!$AA$155)&gt;=$Y12),$AB12,$AA12)))=Milestones!$AB$155),UPPER(TEXT(EDATE($D12,Milestones!$AA$155),"dd mmm yy"))&amp;" "&amp;Milestones!$AB$155&amp;" "&amp;IF(AND(Milestones!$AB$155="FT",Milestones!$AA$155=FT_Y5,EDATE($D12,Milestones!$AA$155)&lt;PolicyEff),1,Milestones!$AC$155)&amp;";  ","")&amp;IF(AND(EDATE($D12,Milestones!$AA$156)&lt;=AsOfDate,EDATE($D12,Milestones!$AA$156)&gt;=SchemeStart,IF($X12=0,$AD12,IF(AND($Z12&lt;&gt;"",EDATE($D12,Milestones!$AA$156)&gt;=$Z12),$AC12,IF(AND($Y12&lt;&gt;"",EDATE($D12,Milestones!$AA$156)&gt;=$Y12),$AB12,$AA12)))=Milestones!$AB$156),UPPER(TEXT(EDATE($D12,Milestones!$AA$156),"dd mmm yy"))&amp;" "&amp;Milestones!$AB$156&amp;" "&amp;IF(AND(Milestones!$AB$156="FT",Milestones!$AA$156=FT_Y5,EDATE($D12,Milestones!$AA$156)&lt;PolicyEff),1,Milestones!$AC$156)&amp;";  ","")&amp;IF(AND(EDATE($D12,Milestones!$AA$157)&lt;=AsOfDate,EDATE($D12,Milestones!$AA$157)&gt;=SchemeStart,IF($X12=0,$AD12,IF(AND($Z12&lt;&gt;"",EDATE($D12,Milestones!$AA$157)&gt;=$Z12),$AC12,IF(AND($Y12&lt;&gt;"",EDATE($D12,Milestones!$AA$157)&gt;=$Y12),$AB12,$AA12)))=Milestones!$AB$157),UPPER(TEXT(EDATE($D12,Milestones!$AA$157),"dd mmm yy"))&amp;" "&amp;Milestones!$AB$157&amp;" "&amp;IF(AND(Milestones!$AB$157="FT",Milestones!$AA$157=FT_Y5,EDATE($D12,Milestones!$AA$157)&lt;PolicyEff),1,Milestones!$AC$157)&amp;";  ","")&amp;IF(AND(EDATE($D12,Milestones!$AA$158)&lt;=AsOfDate,EDATE($D12,Milestones!$AA$158)&gt;=SchemeStart,IF($X12=0,$AD12,IF(AND($Z12&lt;&gt;"",EDATE($D12,Milestones!$AA$158)&gt;=$Z12),$AC12,IF(AND($Y12&lt;&gt;"",EDATE($D12,Milestones!$AA$158)&gt;=$Y12),$AB12,$AA12)))=Milestones!$AB$158),UPPER(TEXT(EDATE($D12,Milestones!$AA$158),"dd mmm yy"))&amp;" "&amp;Milestones!$AB$158&amp;" "&amp;IF(AND(Milestones!$AB$158="FT",Milestones!$AA$158=FT_Y5,EDATE($D12,Milestones!$AA$158)&lt;PolicyEff),1,Milestones!$AC$158)&amp;";  ","")&amp;IF(AND(EDATE($D12,Milestones!$AA$159)&lt;=AsOfDate,EDATE($D12,Milestones!$AA$159)&gt;=SchemeStart,IF($X12=0,$AD12,IF(AND($Z12&lt;&gt;"",EDATE($D12,Milestones!$AA$159)&gt;=$Z12),$AC12,IF(AND($Y12&lt;&gt;"",EDATE($D12,Milestones!$AA$159)&gt;=$Y12),$AB12,$AA12)))=Milestones!$AB$159),UPPER(TEXT(EDATE($D12,Milestones!$AA$159),"dd mmm yy"))&amp;" "&amp;Milestones!$AB$159&amp;" "&amp;IF(AND(Milestones!$AB$159="FT",Milestones!$AA$159=FT_Y5,EDATE($D12,Milestones!$AA$159)&lt;PolicyEff),1,Milestones!$AC$159)&amp;";  ","")&amp;IF(AND(EDATE($D12,Milestones!$AA$160)&lt;=AsOfDate,EDATE($D12,Milestones!$AA$160)&gt;=SchemeStart,IF($X12=0,$AD12,IF(AND($Z12&lt;&gt;"",EDATE($D12,Milestones!$AA$160)&gt;=$Z12),$AC12,IF(AND($Y12&lt;&gt;"",EDATE($D12,Milestones!$AA$160)&gt;=$Y12),$AB12,$AA12)))=Milestones!$AB$160),UPPER(TEXT(EDATE($D12,Milestones!$AA$160),"dd mmm yy"))&amp;" "&amp;Milestones!$AB$160&amp;" "&amp;IF(AND(Milestones!$AB$160="FT",Milestones!$AA$160=FT_Y5,EDATE($D12,Milestones!$AA$160)&lt;PolicyEff),1,Milestones!$AC$160)&amp;";  ","")&amp;IF(AND(EDATE($D12,Milestones!$AA$161)&lt;=AsOfDate,EDATE($D12,Milestones!$AA$161)&gt;=SchemeStart,IF($X12=0,$AD12,IF(AND($Z12&lt;&gt;"",EDATE($D12,Milestones!$AA$161)&gt;=$Z12),$AC12,IF(AND($Y12&lt;&gt;"",EDATE($D12,Milestones!$AA$161)&gt;=$Y12),$AB12,$AA12)))=Milestones!$AB$161),UPPER(TEXT(EDATE($D12,Milestones!$AA$161),"dd mmm yy"))&amp;" "&amp;Milestones!$AB$161&amp;" "&amp;IF(AND(Milestones!$AB$161="FT",Milestones!$AA$161=FT_Y5,EDATE($D12,Milestones!$AA$161)&lt;PolicyEff),1,Milestones!$AC$161)&amp;";  ","")&amp;IF(AND(EDATE($D12,Milestones!$AA$162)&lt;=AsOfDate,EDATE($D12,Milestones!$AA$162)&gt;=SchemeStart,IF($X12=0,$AD12,IF(AND($Z12&lt;&gt;"",EDATE($D12,Milestones!$AA$162)&gt;=$Z12),$AC12,IF(AND($Y12&lt;&gt;"",EDATE($D12,Milestones!$AA$162)&gt;=$Y12),$AB12,$AA12)))=Milestones!$AB$162),UPPER(TEXT(EDATE($D12,Milestones!$AA$162),"dd mmm yy"))&amp;" "&amp;Milestones!$AB$162&amp;" "&amp;IF(AND(Milestones!$AB$162="FT",Milestones!$AA$162=FT_Y5,EDATE($D12,Milestones!$AA$162)&lt;PolicyEff),1,Milestones!$AC$162)&amp;";  ","")&amp;IF(AND(EDATE($D12,Milestones!$AA$163)&lt;=AsOfDate,EDATE($D12,Milestones!$AA$163)&gt;=SchemeStart,IF($X12=0,$AD12,IF(AND($Z12&lt;&gt;"",EDATE($D12,Milestones!$AA$163)&gt;=$Z12),$AC12,IF(AND($Y12&lt;&gt;"",EDATE($D12,Milestones!$AA$163)&gt;=$Y12),$AB12,$AA12)))=Milestones!$AB$163),UPPER(TEXT(EDATE($D12,Milestones!$AA$163),"dd mmm yy"))&amp;" "&amp;Milestones!$AB$163&amp;" "&amp;IF(AND(Milestones!$AB$163="FT",Milestones!$AA$163=FT_Y5,EDATE($D12,Milestones!$AA$163)&lt;PolicyEff),1,Milestones!$AC$163)&amp;";  ",""))</f>
        <v/>
      </c>
      <c r="U12" s="0" t="str">
        <f aca="false">IF(OR($A12="",$D12=""),"",IF(AND(EDATE($D12,Milestones!$AA$164)&lt;=AsOfDate,EDATE($D12,Milestones!$AA$164)&gt;=SchemeStart,IF($X12=0,$AD12,IF(AND($Z12&lt;&gt;"",EDATE($D12,Milestones!$AA$164)&gt;=$Z12),$AC12,IF(AND($Y12&lt;&gt;"",EDATE($D12,Milestones!$AA$164)&gt;=$Y12),$AB12,$AA12)))=Milestones!$AB$164),UPPER(TEXT(EDATE($D12,Milestones!$AA$164),"dd mmm yy"))&amp;" "&amp;Milestones!$AB$164&amp;" "&amp;IF(AND(Milestones!$AB$164="FT",Milestones!$AA$164=FT_Y5,EDATE($D12,Milestones!$AA$164)&lt;PolicyEff),1,Milestones!$AC$164)&amp;";  ","")&amp;IF(AND(EDATE($D12,Milestones!$AA$165)&lt;=AsOfDate,EDATE($D12,Milestones!$AA$165)&gt;=SchemeStart,IF($X12=0,$AD12,IF(AND($Z12&lt;&gt;"",EDATE($D12,Milestones!$AA$165)&gt;=$Z12),$AC12,IF(AND($Y12&lt;&gt;"",EDATE($D12,Milestones!$AA$165)&gt;=$Y12),$AB12,$AA12)))=Milestones!$AB$165),UPPER(TEXT(EDATE($D12,Milestones!$AA$165),"dd mmm yy"))&amp;" "&amp;Milestones!$AB$165&amp;" "&amp;IF(AND(Milestones!$AB$165="FT",Milestones!$AA$165=FT_Y5,EDATE($D12,Milestones!$AA$165)&lt;PolicyEff),1,Milestones!$AC$165)&amp;";  ","")&amp;IF(AND(EDATE($D12,Milestones!$AA$166)&lt;=AsOfDate,EDATE($D12,Milestones!$AA$166)&gt;=SchemeStart,IF($X12=0,$AD12,IF(AND($Z12&lt;&gt;"",EDATE($D12,Milestones!$AA$166)&gt;=$Z12),$AC12,IF(AND($Y12&lt;&gt;"",EDATE($D12,Milestones!$AA$166)&gt;=$Y12),$AB12,$AA12)))=Milestones!$AB$166),UPPER(TEXT(EDATE($D12,Milestones!$AA$166),"dd mmm yy"))&amp;" "&amp;Milestones!$AB$166&amp;" "&amp;IF(AND(Milestones!$AB$166="FT",Milestones!$AA$166=FT_Y5,EDATE($D12,Milestones!$AA$166)&lt;PolicyEff),1,Milestones!$AC$166)&amp;";  ","")&amp;IF(AND(EDATE($D12,Milestones!$AA$167)&lt;=AsOfDate,EDATE($D12,Milestones!$AA$167)&gt;=SchemeStart,IF($X12=0,$AD12,IF(AND($Z12&lt;&gt;"",EDATE($D12,Milestones!$AA$167)&gt;=$Z12),$AC12,IF(AND($Y12&lt;&gt;"",EDATE($D12,Milestones!$AA$167)&gt;=$Y12),$AB12,$AA12)))=Milestones!$AB$167),UPPER(TEXT(EDATE($D12,Milestones!$AA$167),"dd mmm yy"))&amp;" "&amp;Milestones!$AB$167&amp;" "&amp;IF(AND(Milestones!$AB$167="FT",Milestones!$AA$167=FT_Y5,EDATE($D12,Milestones!$AA$167)&lt;PolicyEff),1,Milestones!$AC$167)&amp;";  ","")&amp;IF(AND(EDATE($D12,Milestones!$AA$168)&lt;=AsOfDate,EDATE($D12,Milestones!$AA$168)&gt;=SchemeStart,IF($X12=0,$AD12,IF(AND($Z12&lt;&gt;"",EDATE($D12,Milestones!$AA$168)&gt;=$Z12),$AC12,IF(AND($Y12&lt;&gt;"",EDATE($D12,Milestones!$AA$168)&gt;=$Y12),$AB12,$AA12)))=Milestones!$AB$168),UPPER(TEXT(EDATE($D12,Milestones!$AA$168),"dd mmm yy"))&amp;" "&amp;Milestones!$AB$168&amp;" "&amp;IF(AND(Milestones!$AB$168="FT",Milestones!$AA$168=FT_Y5,EDATE($D12,Milestones!$AA$168)&lt;PolicyEff),1,Milestones!$AC$168)&amp;";  ","")&amp;IF(AND(EDATE($D12,Milestones!$AA$169)&lt;=AsOfDate,EDATE($D12,Milestones!$AA$169)&gt;=SchemeStart,IF($X12=0,$AD12,IF(AND($Z12&lt;&gt;"",EDATE($D12,Milestones!$AA$169)&gt;=$Z12),$AC12,IF(AND($Y12&lt;&gt;"",EDATE($D12,Milestones!$AA$169)&gt;=$Y12),$AB12,$AA12)))=Milestones!$AB$169),UPPER(TEXT(EDATE($D12,Milestones!$AA$169),"dd mmm yy"))&amp;" "&amp;Milestones!$AB$169&amp;" "&amp;IF(AND(Milestones!$AB$169="FT",Milestones!$AA$169=FT_Y5,EDATE($D12,Milestones!$AA$169)&lt;PolicyEff),1,Milestones!$AC$169)&amp;";  ","")&amp;IF(AND(EDATE($D12,Milestones!$AA$170)&lt;=AsOfDate,EDATE($D12,Milestones!$AA$170)&gt;=SchemeStart,IF($X12=0,$AD12,IF(AND($Z12&lt;&gt;"",EDATE($D12,Milestones!$AA$170)&gt;=$Z12),$AC12,IF(AND($Y12&lt;&gt;"",EDATE($D12,Milestones!$AA$170)&gt;=$Y12),$AB12,$AA12)))=Milestones!$AB$170),UPPER(TEXT(EDATE($D12,Milestones!$AA$170),"dd mmm yy"))&amp;" "&amp;Milestones!$AB$170&amp;" "&amp;IF(AND(Milestones!$AB$170="FT",Milestones!$AA$170=FT_Y5,EDATE($D12,Milestones!$AA$170)&lt;PolicyEff),1,Milestones!$AC$170)&amp;";  ","")&amp;IF(AND(EDATE($D12,Milestones!$AA$171)&lt;=AsOfDate,EDATE($D12,Milestones!$AA$171)&gt;=SchemeStart,IF($X12=0,$AD12,IF(AND($Z12&lt;&gt;"",EDATE($D12,Milestones!$AA$171)&gt;=$Z12),$AC12,IF(AND($Y12&lt;&gt;"",EDATE($D12,Milestones!$AA$171)&gt;=$Y12),$AB12,$AA12)))=Milestones!$AB$171),UPPER(TEXT(EDATE($D12,Milestones!$AA$171),"dd mmm yy"))&amp;" "&amp;Milestones!$AB$171&amp;" "&amp;IF(AND(Milestones!$AB$171="FT",Milestones!$AA$171=FT_Y5,EDATE($D12,Milestones!$AA$171)&lt;PolicyEff),1,Milestones!$AC$171)&amp;";  ","")&amp;IF(AND(EDATE($D12,Milestones!$AA$172)&lt;=AsOfDate,EDATE($D12,Milestones!$AA$172)&gt;=SchemeStart,IF($X12=0,$AD12,IF(AND($Z12&lt;&gt;"",EDATE($D12,Milestones!$AA$172)&gt;=$Z12),$AC12,IF(AND($Y12&lt;&gt;"",EDATE($D12,Milestones!$AA$172)&gt;=$Y12),$AB12,$AA12)))=Milestones!$AB$172),UPPER(TEXT(EDATE($D12,Milestones!$AA$172),"dd mmm yy"))&amp;" "&amp;Milestones!$AB$172&amp;" "&amp;IF(AND(Milestones!$AB$172="FT",Milestones!$AA$172=FT_Y5,EDATE($D12,Milestones!$AA$172)&lt;PolicyEff),1,Milestones!$AC$172)&amp;";  ","")&amp;IF(AND(EDATE($D12,Milestones!$AA$173)&lt;=AsOfDate,EDATE($D12,Milestones!$AA$173)&gt;=SchemeStart,IF($X12=0,$AD12,IF(AND($Z12&lt;&gt;"",EDATE($D12,Milestones!$AA$173)&gt;=$Z12),$AC12,IF(AND($Y12&lt;&gt;"",EDATE($D12,Milestones!$AA$173)&gt;=$Y12),$AB12,$AA12)))=Milestones!$AB$173),UPPER(TEXT(EDATE($D12,Milestones!$AA$173),"dd mmm yy"))&amp;" "&amp;Milestones!$AB$173&amp;" "&amp;IF(AND(Milestones!$AB$173="FT",Milestones!$AA$173=FT_Y5,EDATE($D12,Milestones!$AA$173)&lt;PolicyEff),1,Milestones!$AC$173)&amp;";  ","")&amp;IF(AND(EDATE($D12,Milestones!$AA$174)&lt;=AsOfDate,EDATE($D12,Milestones!$AA$174)&gt;=SchemeStart,IF($X12=0,$AD12,IF(AND($Z12&lt;&gt;"",EDATE($D12,Milestones!$AA$174)&gt;=$Z12),$AC12,IF(AND($Y12&lt;&gt;"",EDATE($D12,Milestones!$AA$174)&gt;=$Y12),$AB12,$AA12)))=Milestones!$AB$174),UPPER(TEXT(EDATE($D12,Milestones!$AA$174),"dd mmm yy"))&amp;" "&amp;Milestones!$AB$174&amp;" "&amp;IF(AND(Milestones!$AB$174="FT",Milestones!$AA$174=FT_Y5,EDATE($D12,Milestones!$AA$174)&lt;PolicyEff),1,Milestones!$AC$174)&amp;";  ","")&amp;IF(AND(EDATE($D12,Milestones!$AA$175)&lt;=AsOfDate,EDATE($D12,Milestones!$AA$175)&gt;=SchemeStart,IF($X12=0,$AD12,IF(AND($Z12&lt;&gt;"",EDATE($D12,Milestones!$AA$175)&gt;=$Z12),$AC12,IF(AND($Y12&lt;&gt;"",EDATE($D12,Milestones!$AA$175)&gt;=$Y12),$AB12,$AA12)))=Milestones!$AB$175),UPPER(TEXT(EDATE($D12,Milestones!$AA$175),"dd mmm yy"))&amp;" "&amp;Milestones!$AB$175&amp;" "&amp;IF(AND(Milestones!$AB$175="FT",Milestones!$AA$175=FT_Y5,EDATE($D12,Milestones!$AA$175)&lt;PolicyEff),1,Milestones!$AC$175)&amp;";  ",""))</f>
        <v/>
      </c>
      <c r="V12" s="0" t="str">
        <f aca="false">IF(OR($A12="",$D12=""),"",IF(AND(EDATE($D12,Milestones!$AA$176)&lt;=AsOfDate,EDATE($D12,Milestones!$AA$176)&gt;=SchemeStart,IF($X12=0,$AD12,IF(AND($Z12&lt;&gt;"",EDATE($D12,Milestones!$AA$176)&gt;=$Z12),$AC12,IF(AND($Y12&lt;&gt;"",EDATE($D12,Milestones!$AA$176)&gt;=$Y12),$AB12,$AA12)))=Milestones!$AB$176),UPPER(TEXT(EDATE($D12,Milestones!$AA$176),"dd mmm yy"))&amp;" "&amp;Milestones!$AB$176&amp;" "&amp;IF(AND(Milestones!$AB$176="FT",Milestones!$AA$176=FT_Y5,EDATE($D12,Milestones!$AA$176)&lt;PolicyEff),1,Milestones!$AC$176)&amp;";  ","")&amp;IF(AND(EDATE($D12,Milestones!$AA$177)&lt;=AsOfDate,EDATE($D12,Milestones!$AA$177)&gt;=SchemeStart,IF($X12=0,$AD12,IF(AND($Z12&lt;&gt;"",EDATE($D12,Milestones!$AA$177)&gt;=$Z12),$AC12,IF(AND($Y12&lt;&gt;"",EDATE($D12,Milestones!$AA$177)&gt;=$Y12),$AB12,$AA12)))=Milestones!$AB$177),UPPER(TEXT(EDATE($D12,Milestones!$AA$177),"dd mmm yy"))&amp;" "&amp;Milestones!$AB$177&amp;" "&amp;IF(AND(Milestones!$AB$177="FT",Milestones!$AA$177=FT_Y5,EDATE($D12,Milestones!$AA$177)&lt;PolicyEff),1,Milestones!$AC$177)&amp;";  ","")&amp;IF(AND(EDATE($D12,Milestones!$AA$178)&lt;=AsOfDate,EDATE($D12,Milestones!$AA$178)&gt;=SchemeStart,IF($X12=0,$AD12,IF(AND($Z12&lt;&gt;"",EDATE($D12,Milestones!$AA$178)&gt;=$Z12),$AC12,IF(AND($Y12&lt;&gt;"",EDATE($D12,Milestones!$AA$178)&gt;=$Y12),$AB12,$AA12)))=Milestones!$AB$178),UPPER(TEXT(EDATE($D12,Milestones!$AA$178),"dd mmm yy"))&amp;" "&amp;Milestones!$AB$178&amp;" "&amp;IF(AND(Milestones!$AB$178="FT",Milestones!$AA$178=FT_Y5,EDATE($D12,Milestones!$AA$178)&lt;PolicyEff),1,Milestones!$AC$178)&amp;";  ","")&amp;IF(AND(EDATE($D12,Milestones!$AA$179)&lt;=AsOfDate,EDATE($D12,Milestones!$AA$179)&gt;=SchemeStart,IF($X12=0,$AD12,IF(AND($Z12&lt;&gt;"",EDATE($D12,Milestones!$AA$179)&gt;=$Z12),$AC12,IF(AND($Y12&lt;&gt;"",EDATE($D12,Milestones!$AA$179)&gt;=$Y12),$AB12,$AA12)))=Milestones!$AB$179),UPPER(TEXT(EDATE($D12,Milestones!$AA$179),"dd mmm yy"))&amp;" "&amp;Milestones!$AB$179&amp;" "&amp;IF(AND(Milestones!$AB$179="FT",Milestones!$AA$179=FT_Y5,EDATE($D12,Milestones!$AA$179)&lt;PolicyEff),1,Milestones!$AC$179)&amp;";  ","")&amp;IF(AND(EDATE($D12,Milestones!$AA$180)&lt;=AsOfDate,EDATE($D12,Milestones!$AA$180)&gt;=SchemeStart,IF($X12=0,$AD12,IF(AND($Z12&lt;&gt;"",EDATE($D12,Milestones!$AA$180)&gt;=$Z12),$AC12,IF(AND($Y12&lt;&gt;"",EDATE($D12,Milestones!$AA$180)&gt;=$Y12),$AB12,$AA12)))=Milestones!$AB$180),UPPER(TEXT(EDATE($D12,Milestones!$AA$180),"dd mmm yy"))&amp;" "&amp;Milestones!$AB$180&amp;" "&amp;IF(AND(Milestones!$AB$180="FT",Milestones!$AA$180=FT_Y5,EDATE($D12,Milestones!$AA$180)&lt;PolicyEff),1,Milestones!$AC$180)&amp;";  ","")&amp;IF(AND(EDATE($D12,Milestones!$AA$181)&lt;=AsOfDate,EDATE($D12,Milestones!$AA$181)&gt;=SchemeStart,IF($X12=0,$AD12,IF(AND($Z12&lt;&gt;"",EDATE($D12,Milestones!$AA$181)&gt;=$Z12),$AC12,IF(AND($Y12&lt;&gt;"",EDATE($D12,Milestones!$AA$181)&gt;=$Y12),$AB12,$AA12)))=Milestones!$AB$181),UPPER(TEXT(EDATE($D12,Milestones!$AA$181),"dd mmm yy"))&amp;" "&amp;Milestones!$AB$181&amp;" "&amp;IF(AND(Milestones!$AB$181="FT",Milestones!$AA$181=FT_Y5,EDATE($D12,Milestones!$AA$181)&lt;PolicyEff),1,Milestones!$AC$181)&amp;";  ","")&amp;IF(AND(EDATE($D12,Milestones!$AA$182)&lt;=AsOfDate,EDATE($D12,Milestones!$AA$182)&gt;=SchemeStart,IF($X12=0,$AD12,IF(AND($Z12&lt;&gt;"",EDATE($D12,Milestones!$AA$182)&gt;=$Z12),$AC12,IF(AND($Y12&lt;&gt;"",EDATE($D12,Milestones!$AA$182)&gt;=$Y12),$AB12,$AA12)))=Milestones!$AB$182),UPPER(TEXT(EDATE($D12,Milestones!$AA$182),"dd mmm yy"))&amp;" "&amp;Milestones!$AB$182&amp;" "&amp;IF(AND(Milestones!$AB$182="FT",Milestones!$AA$182=FT_Y5,EDATE($D12,Milestones!$AA$182)&lt;PolicyEff),1,Milestones!$AC$182)&amp;";  ","")&amp;IF(AND(EDATE($D12,Milestones!$AA$183)&lt;=AsOfDate,EDATE($D12,Milestones!$AA$183)&gt;=SchemeStart,IF($X12=0,$AD12,IF(AND($Z12&lt;&gt;"",EDATE($D12,Milestones!$AA$183)&gt;=$Z12),$AC12,IF(AND($Y12&lt;&gt;"",EDATE($D12,Milestones!$AA$183)&gt;=$Y12),$AB12,$AA12)))=Milestones!$AB$183),UPPER(TEXT(EDATE($D12,Milestones!$AA$183),"dd mmm yy"))&amp;" "&amp;Milestones!$AB$183&amp;" "&amp;IF(AND(Milestones!$AB$183="FT",Milestones!$AA$183=FT_Y5,EDATE($D12,Milestones!$AA$183)&lt;PolicyEff),1,Milestones!$AC$183)&amp;";  ","")&amp;IF(AND(EDATE($D12,Milestones!$AA$184)&lt;=AsOfDate,EDATE($D12,Milestones!$AA$184)&gt;=SchemeStart,IF($X12=0,$AD12,IF(AND($Z12&lt;&gt;"",EDATE($D12,Milestones!$AA$184)&gt;=$Z12),$AC12,IF(AND($Y12&lt;&gt;"",EDATE($D12,Milestones!$AA$184)&gt;=$Y12),$AB12,$AA12)))=Milestones!$AB$184),UPPER(TEXT(EDATE($D12,Milestones!$AA$184),"dd mmm yy"))&amp;" "&amp;Milestones!$AB$184&amp;" "&amp;IF(AND(Milestones!$AB$184="FT",Milestones!$AA$184=FT_Y5,EDATE($D12,Milestones!$AA$184)&lt;PolicyEff),1,Milestones!$AC$184)&amp;";  ","")&amp;IF(AND(EDATE($D12,Milestones!$AA$185)&lt;=AsOfDate,EDATE($D12,Milestones!$AA$185)&gt;=SchemeStart,IF($X12=0,$AD12,IF(AND($Z12&lt;&gt;"",EDATE($D12,Milestones!$AA$185)&gt;=$Z12),$AC12,IF(AND($Y12&lt;&gt;"",EDATE($D12,Milestones!$AA$185)&gt;=$Y12),$AB12,$AA12)))=Milestones!$AB$185),UPPER(TEXT(EDATE($D12,Milestones!$AA$185),"dd mmm yy"))&amp;" "&amp;Milestones!$AB$185&amp;" "&amp;IF(AND(Milestones!$AB$185="FT",Milestones!$AA$185=FT_Y5,EDATE($D12,Milestones!$AA$185)&lt;PolicyEff),1,Milestones!$AC$185)&amp;";  ","")&amp;IF(AND(EDATE($D12,Milestones!$AA$186)&lt;=AsOfDate,EDATE($D12,Milestones!$AA$186)&gt;=SchemeStart,IF($X12=0,$AD12,IF(AND($Z12&lt;&gt;"",EDATE($D12,Milestones!$AA$186)&gt;=$Z12),$AC12,IF(AND($Y12&lt;&gt;"",EDATE($D12,Milestones!$AA$186)&gt;=$Y12),$AB12,$AA12)))=Milestones!$AB$186),UPPER(TEXT(EDATE($D12,Milestones!$AA$186),"dd mmm yy"))&amp;" "&amp;Milestones!$AB$186&amp;" "&amp;IF(AND(Milestones!$AB$186="FT",Milestones!$AA$186=FT_Y5,EDATE($D12,Milestones!$AA$186)&lt;PolicyEff),1,Milestones!$AC$186)&amp;";  ","")&amp;IF(AND(EDATE($D12,Milestones!$AA$187)&lt;=AsOfDate,EDATE($D12,Milestones!$AA$187)&gt;=SchemeStart,IF($X12=0,$AD12,IF(AND($Z12&lt;&gt;"",EDATE($D12,Milestones!$AA$187)&gt;=$Z12),$AC12,IF(AND($Y12&lt;&gt;"",EDATE($D12,Milestones!$AA$187)&gt;=$Y12),$AB12,$AA12)))=Milestones!$AB$187),UPPER(TEXT(EDATE($D12,Milestones!$AA$187),"dd mmm yy"))&amp;" "&amp;Milestones!$AB$187&amp;" "&amp;IF(AND(Milestones!$AB$187="FT",Milestones!$AA$187=FT_Y5,EDATE($D12,Milestones!$AA$187)&lt;PolicyEff),1,Milestones!$AC$187)&amp;";  ",""))</f>
        <v/>
      </c>
      <c r="W12" s="0" t="str">
        <f aca="false">IF(OR($A12="",$D12=""),"",IF(AND(EDATE($D12,Milestones!$AA$188)&lt;=AsOfDate,EDATE($D12,Milestones!$AA$188)&gt;=SchemeStart,IF($X12=0,$AD12,IF(AND($Z12&lt;&gt;"",EDATE($D12,Milestones!$AA$188)&gt;=$Z12),$AC12,IF(AND($Y12&lt;&gt;"",EDATE($D12,Milestones!$AA$188)&gt;=$Y12),$AB12,$AA12)))=Milestones!$AB$188),UPPER(TEXT(EDATE($D12,Milestones!$AA$188),"dd mmm yy"))&amp;" "&amp;Milestones!$AB$188&amp;" "&amp;IF(AND(Milestones!$AB$188="FT",Milestones!$AA$188=FT_Y5,EDATE($D12,Milestones!$AA$188)&lt;PolicyEff),1,Milestones!$AC$188)&amp;";  ","")&amp;IF(AND(EDATE($D12,Milestones!$AA$189)&lt;=AsOfDate,EDATE($D12,Milestones!$AA$189)&gt;=SchemeStart,IF($X12=0,$AD12,IF(AND($Z12&lt;&gt;"",EDATE($D12,Milestones!$AA$189)&gt;=$Z12),$AC12,IF(AND($Y12&lt;&gt;"",EDATE($D12,Milestones!$AA$189)&gt;=$Y12),$AB12,$AA12)))=Milestones!$AB$189),UPPER(TEXT(EDATE($D12,Milestones!$AA$189),"dd mmm yy"))&amp;" "&amp;Milestones!$AB$189&amp;" "&amp;IF(AND(Milestones!$AB$189="FT",Milestones!$AA$189=FT_Y5,EDATE($D12,Milestones!$AA$189)&lt;PolicyEff),1,Milestones!$AC$189)&amp;";  ","")&amp;IF(AND(EDATE($D12,Milestones!$AA$190)&lt;=AsOfDate,EDATE($D12,Milestones!$AA$190)&gt;=SchemeStart,IF($X12=0,$AD12,IF(AND($Z12&lt;&gt;"",EDATE($D12,Milestones!$AA$190)&gt;=$Z12),$AC12,IF(AND($Y12&lt;&gt;"",EDATE($D12,Milestones!$AA$190)&gt;=$Y12),$AB12,$AA12)))=Milestones!$AB$190),UPPER(TEXT(EDATE($D12,Milestones!$AA$190),"dd mmm yy"))&amp;" "&amp;Milestones!$AB$190&amp;" "&amp;IF(AND(Milestones!$AB$190="FT",Milestones!$AA$190=FT_Y5,EDATE($D12,Milestones!$AA$190)&lt;PolicyEff),1,Milestones!$AC$190)&amp;";  ","")&amp;IF(AND(EDATE($D12,Milestones!$AA$191)&lt;=AsOfDate,EDATE($D12,Milestones!$AA$191)&gt;=SchemeStart,IF($X12=0,$AD12,IF(AND($Z12&lt;&gt;"",EDATE($D12,Milestones!$AA$191)&gt;=$Z12),$AC12,IF(AND($Y12&lt;&gt;"",EDATE($D12,Milestones!$AA$191)&gt;=$Y12),$AB12,$AA12)))=Milestones!$AB$191),UPPER(TEXT(EDATE($D12,Milestones!$AA$191),"dd mmm yy"))&amp;" "&amp;Milestones!$AB$191&amp;" "&amp;IF(AND(Milestones!$AB$191="FT",Milestones!$AA$191=FT_Y5,EDATE($D12,Milestones!$AA$191)&lt;PolicyEff),1,Milestones!$AC$191)&amp;";  ","")&amp;IF(AND(EDATE($D12,Milestones!$AA$192)&lt;=AsOfDate,EDATE($D12,Milestones!$AA$192)&gt;=SchemeStart,IF($X12=0,$AD12,IF(AND($Z12&lt;&gt;"",EDATE($D12,Milestones!$AA$192)&gt;=$Z12),$AC12,IF(AND($Y12&lt;&gt;"",EDATE($D12,Milestones!$AA$192)&gt;=$Y12),$AB12,$AA12)))=Milestones!$AB$192),UPPER(TEXT(EDATE($D12,Milestones!$AA$192),"dd mmm yy"))&amp;" "&amp;Milestones!$AB$192&amp;" "&amp;IF(AND(Milestones!$AB$192="FT",Milestones!$AA$192=FT_Y5,EDATE($D12,Milestones!$AA$192)&lt;PolicyEff),1,Milestones!$AC$192)&amp;";  ","")&amp;IF(AND(EDATE($D12,Milestones!$AA$193)&lt;=AsOfDate,EDATE($D12,Milestones!$AA$193)&gt;=SchemeStart,IF($X12=0,$AD12,IF(AND($Z12&lt;&gt;"",EDATE($D12,Milestones!$AA$193)&gt;=$Z12),$AC12,IF(AND($Y12&lt;&gt;"",EDATE($D12,Milestones!$AA$193)&gt;=$Y12),$AB12,$AA12)))=Milestones!$AB$193),UPPER(TEXT(EDATE($D12,Milestones!$AA$193),"dd mmm yy"))&amp;" "&amp;Milestones!$AB$193&amp;" "&amp;IF(AND(Milestones!$AB$193="FT",Milestones!$AA$193=FT_Y5,EDATE($D12,Milestones!$AA$193)&lt;PolicyEff),1,Milestones!$AC$193)&amp;";  ","")&amp;IF(AND(EDATE($D12,Milestones!$AA$194)&lt;=AsOfDate,EDATE($D12,Milestones!$AA$194)&gt;=SchemeStart,IF($X12=0,$AD12,IF(AND($Z12&lt;&gt;"",EDATE($D12,Milestones!$AA$194)&gt;=$Z12),$AC12,IF(AND($Y12&lt;&gt;"",EDATE($D12,Milestones!$AA$194)&gt;=$Y12),$AB12,$AA12)))=Milestones!$AB$194),UPPER(TEXT(EDATE($D12,Milestones!$AA$194),"dd mmm yy"))&amp;" "&amp;Milestones!$AB$194&amp;" "&amp;IF(AND(Milestones!$AB$194="FT",Milestones!$AA$194=FT_Y5,EDATE($D12,Milestones!$AA$194)&lt;PolicyEff),1,Milestones!$AC$194)&amp;";  ","")&amp;IF(AND(EDATE($D12,Milestones!$AA$195)&lt;=AsOfDate,EDATE($D12,Milestones!$AA$195)&gt;=SchemeStart,IF($X12=0,$AD12,IF(AND($Z12&lt;&gt;"",EDATE($D12,Milestones!$AA$195)&gt;=$Z12),$AC12,IF(AND($Y12&lt;&gt;"",EDATE($D12,Milestones!$AA$195)&gt;=$Y12),$AB12,$AA12)))=Milestones!$AB$195),UPPER(TEXT(EDATE($D12,Milestones!$AA$195),"dd mmm yy"))&amp;" "&amp;Milestones!$AB$195&amp;" "&amp;IF(AND(Milestones!$AB$195="FT",Milestones!$AA$195=FT_Y5,EDATE($D12,Milestones!$AA$195)&lt;PolicyEff),1,Milestones!$AC$195)&amp;";  ","")&amp;IF(AND(EDATE($D12,Milestones!$AA$196)&lt;=AsOfDate,EDATE($D12,Milestones!$AA$196)&gt;=SchemeStart,IF($X12=0,$AD12,IF(AND($Z12&lt;&gt;"",EDATE($D12,Milestones!$AA$196)&gt;=$Z12),$AC12,IF(AND($Y12&lt;&gt;"",EDATE($D12,Milestones!$AA$196)&gt;=$Y12),$AB12,$AA12)))=Milestones!$AB$196),UPPER(TEXT(EDATE($D12,Milestones!$AA$196),"dd mmm yy"))&amp;" "&amp;Milestones!$AB$196&amp;" "&amp;IF(AND(Milestones!$AB$196="FT",Milestones!$AA$196=FT_Y5,EDATE($D12,Milestones!$AA$196)&lt;PolicyEff),1,Milestones!$AC$196)&amp;";  ","")&amp;IF(AND(EDATE($D12,Milestones!$AA$197)&lt;=AsOfDate,EDATE($D12,Milestones!$AA$197)&gt;=SchemeStart,IF($X12=0,$AD12,IF(AND($Z12&lt;&gt;"",EDATE($D12,Milestones!$AA$197)&gt;=$Z12),$AC12,IF(AND($Y12&lt;&gt;"",EDATE($D12,Milestones!$AA$197)&gt;=$Y12),$AB12,$AA12)))=Milestones!$AB$197),UPPER(TEXT(EDATE($D12,Milestones!$AA$197),"dd mmm yy"))&amp;" "&amp;Milestones!$AB$197&amp;" "&amp;IF(AND(Milestones!$AB$197="FT",Milestones!$AA$197=FT_Y5,EDATE($D12,Milestones!$AA$197)&lt;PolicyEff),1,Milestones!$AC$197)&amp;";  ","")&amp;IF(AND(EDATE($D12,Milestones!$AA$198)&lt;=AsOfDate,EDATE($D12,Milestones!$AA$198)&gt;=SchemeStart,IF($X12=0,$AD12,IF(AND($Z12&lt;&gt;"",EDATE($D12,Milestones!$AA$198)&gt;=$Z12),$AC12,IF(AND($Y12&lt;&gt;"",EDATE($D12,Milestones!$AA$198)&gt;=$Y12),$AB12,$AA12)))=Milestones!$AB$198),UPPER(TEXT(EDATE($D12,Milestones!$AA$198),"dd mmm yy"))&amp;" "&amp;Milestones!$AB$198&amp;" "&amp;IF(AND(Milestones!$AB$198="FT",Milestones!$AA$198=FT_Y5,EDATE($D12,Milestones!$AA$198)&lt;PolicyEff),1,Milestones!$AC$198)&amp;";  ","")&amp;IF(AND(EDATE($D12,Milestones!$AA$199)&lt;=AsOfDate,EDATE($D12,Milestones!$AA$199)&gt;=SchemeStart,IF($X12=0,$AD12,IF(AND($Z12&lt;&gt;"",EDATE($D12,Milestones!$AA$199)&gt;=$Z12),$AC12,IF(AND($Y12&lt;&gt;"",EDATE($D12,Milestones!$AA$199)&gt;=$Y12),$AB12,$AA12)))=Milestones!$AB$199),UPPER(TEXT(EDATE($D12,Milestones!$AA$199),"dd mmm yy"))&amp;" "&amp;Milestones!$AB$199&amp;" "&amp;IF(AND(Milestones!$AB$199="FT",Milestones!$AA$199=FT_Y5,EDATE($D12,Milestones!$AA$199)&lt;PolicyEff),1,Milestones!$AC$199)&amp;";  ",""))</f>
        <v/>
      </c>
      <c r="X12" s="0" t="str">
        <f aca="false">IF(Staff!$A12="","",Staff!$AM12)</f>
        <v/>
      </c>
      <c r="Y12" s="0" t="str">
        <f aca="false">IF(Staff!$A12="","",Staff!$AO12)</f>
        <v/>
      </c>
      <c r="Z12" s="0" t="str">
        <f aca="false">IF(Staff!$A12="","",Staff!$AP12)</f>
        <v/>
      </c>
      <c r="AA12" s="0" t="str">
        <f aca="false">IF(Staff!$A12="","",Staff!$AT12)</f>
        <v/>
      </c>
      <c r="AB12" s="0" t="str">
        <f aca="false">IF(Staff!$A12="","",Staff!$AU12)</f>
        <v/>
      </c>
      <c r="AC12" s="0" t="str">
        <f aca="false">IF(Staff!$A12="","",Staff!$AV12)</f>
        <v/>
      </c>
      <c r="AD12" s="0" t="str">
        <f aca="false">IF(Staff!$A12="","",Staff!$AW12)</f>
        <v/>
      </c>
    </row>
    <row r="13" customFormat="false" ht="15" hidden="false" customHeight="false" outlineLevel="0" collapsed="false">
      <c r="A13" s="16" t="str">
        <f aca="false">IF(Staff!$A13="","",Staff!$A13)</f>
        <v/>
      </c>
      <c r="B13" s="16" t="str">
        <f aca="false">IF(Staff!$A13="","",Staff!$B13)</f>
        <v/>
      </c>
      <c r="C13" s="16" t="str">
        <f aca="false">IF(Staff!$A13="","",Staff!$C13)</f>
        <v/>
      </c>
      <c r="D13" s="14" t="str">
        <f aca="false">IF(Staff!$A13="","",Staff!$AL13)</f>
        <v/>
      </c>
      <c r="E13" s="16" t="str">
        <f aca="false">IF(Staff!$A13="","",Staff!$O13)</f>
        <v/>
      </c>
      <c r="F13" s="16" t="str">
        <f aca="false">IF(E13="","",E13*HoursPerDay)</f>
        <v/>
      </c>
      <c r="G13" s="16" t="str">
        <f aca="false">IF(Staff!$A13="","",Staff!$AE13)</f>
        <v/>
      </c>
      <c r="H13" s="28" t="str">
        <f aca="false">IF($A13="","",I13&amp;J13&amp;K13&amp;L13&amp;M13&amp;N13&amp;O13&amp;P13&amp;Q13&amp;R13&amp;S13&amp;T13&amp;U13&amp;V13&amp;W13)</f>
        <v/>
      </c>
      <c r="I13" s="0" t="str">
        <f aca="false">IF(OR($A13="",$D13=""),"",IF(AND(EDATE($D13,Milestones!$AA$20)&lt;=AsOfDate,EDATE($D13,Milestones!$AA$20)&gt;=SchemeStart,IF($X13=0,$AD13,IF(AND($Z13&lt;&gt;"",EDATE($D13,Milestones!$AA$20)&gt;=$Z13),$AC13,IF(AND($Y13&lt;&gt;"",EDATE($D13,Milestones!$AA$20)&gt;=$Y13),$AB13,$AA13)))=Milestones!$AB$20),UPPER(TEXT(EDATE($D13,Milestones!$AA$20),"dd mmm yy"))&amp;" "&amp;Milestones!$AB$20&amp;" "&amp;IF(AND(Milestones!$AB$20="FT",Milestones!$AA$20=FT_Y5,EDATE($D13,Milestones!$AA$20)&lt;PolicyEff),1,Milestones!$AC$20)&amp;";  ","")&amp;IF(AND(EDATE($D13,Milestones!$AA$21)&lt;=AsOfDate,EDATE($D13,Milestones!$AA$21)&gt;=SchemeStart,IF($X13=0,$AD13,IF(AND($Z13&lt;&gt;"",EDATE($D13,Milestones!$AA$21)&gt;=$Z13),$AC13,IF(AND($Y13&lt;&gt;"",EDATE($D13,Milestones!$AA$21)&gt;=$Y13),$AB13,$AA13)))=Milestones!$AB$21),UPPER(TEXT(EDATE($D13,Milestones!$AA$21),"dd mmm yy"))&amp;" "&amp;Milestones!$AB$21&amp;" "&amp;IF(AND(Milestones!$AB$21="FT",Milestones!$AA$21=FT_Y5,EDATE($D13,Milestones!$AA$21)&lt;PolicyEff),1,Milestones!$AC$21)&amp;";  ","")&amp;IF(AND(EDATE($D13,Milestones!$AA$22)&lt;=AsOfDate,EDATE($D13,Milestones!$AA$22)&gt;=SchemeStart,IF($X13=0,$AD13,IF(AND($Z13&lt;&gt;"",EDATE($D13,Milestones!$AA$22)&gt;=$Z13),$AC13,IF(AND($Y13&lt;&gt;"",EDATE($D13,Milestones!$AA$22)&gt;=$Y13),$AB13,$AA13)))=Milestones!$AB$22),UPPER(TEXT(EDATE($D13,Milestones!$AA$22),"dd mmm yy"))&amp;" "&amp;Milestones!$AB$22&amp;" "&amp;IF(AND(Milestones!$AB$22="FT",Milestones!$AA$22=FT_Y5,EDATE($D13,Milestones!$AA$22)&lt;PolicyEff),1,Milestones!$AC$22)&amp;";  ","")&amp;IF(AND(EDATE($D13,Milestones!$AA$23)&lt;=AsOfDate,EDATE($D13,Milestones!$AA$23)&gt;=SchemeStart,IF($X13=0,$AD13,IF(AND($Z13&lt;&gt;"",EDATE($D13,Milestones!$AA$23)&gt;=$Z13),$AC13,IF(AND($Y13&lt;&gt;"",EDATE($D13,Milestones!$AA$23)&gt;=$Y13),$AB13,$AA13)))=Milestones!$AB$23),UPPER(TEXT(EDATE($D13,Milestones!$AA$23),"dd mmm yy"))&amp;" "&amp;Milestones!$AB$23&amp;" "&amp;IF(AND(Milestones!$AB$23="FT",Milestones!$AA$23=FT_Y5,EDATE($D13,Milestones!$AA$23)&lt;PolicyEff),1,Milestones!$AC$23)&amp;";  ","")&amp;IF(AND(EDATE($D13,Milestones!$AA$24)&lt;=AsOfDate,EDATE($D13,Milestones!$AA$24)&gt;=SchemeStart,IF($X13=0,$AD13,IF(AND($Z13&lt;&gt;"",EDATE($D13,Milestones!$AA$24)&gt;=$Z13),$AC13,IF(AND($Y13&lt;&gt;"",EDATE($D13,Milestones!$AA$24)&gt;=$Y13),$AB13,$AA13)))=Milestones!$AB$24),UPPER(TEXT(EDATE($D13,Milestones!$AA$24),"dd mmm yy"))&amp;" "&amp;Milestones!$AB$24&amp;" "&amp;IF(AND(Milestones!$AB$24="FT",Milestones!$AA$24=FT_Y5,EDATE($D13,Milestones!$AA$24)&lt;PolicyEff),1,Milestones!$AC$24)&amp;";  ","")&amp;IF(AND(EDATE($D13,Milestones!$AA$25)&lt;=AsOfDate,EDATE($D13,Milestones!$AA$25)&gt;=SchemeStart,IF($X13=0,$AD13,IF(AND($Z13&lt;&gt;"",EDATE($D13,Milestones!$AA$25)&gt;=$Z13),$AC13,IF(AND($Y13&lt;&gt;"",EDATE($D13,Milestones!$AA$25)&gt;=$Y13),$AB13,$AA13)))=Milestones!$AB$25),UPPER(TEXT(EDATE($D13,Milestones!$AA$25),"dd mmm yy"))&amp;" "&amp;Milestones!$AB$25&amp;" "&amp;IF(AND(Milestones!$AB$25="FT",Milestones!$AA$25=FT_Y5,EDATE($D13,Milestones!$AA$25)&lt;PolicyEff),1,Milestones!$AC$25)&amp;";  ","")&amp;IF(AND(EDATE($D13,Milestones!$AA$26)&lt;=AsOfDate,EDATE($D13,Milestones!$AA$26)&gt;=SchemeStart,IF($X13=0,$AD13,IF(AND($Z13&lt;&gt;"",EDATE($D13,Milestones!$AA$26)&gt;=$Z13),$AC13,IF(AND($Y13&lt;&gt;"",EDATE($D13,Milestones!$AA$26)&gt;=$Y13),$AB13,$AA13)))=Milestones!$AB$26),UPPER(TEXT(EDATE($D13,Milestones!$AA$26),"dd mmm yy"))&amp;" "&amp;Milestones!$AB$26&amp;" "&amp;IF(AND(Milestones!$AB$26="FT",Milestones!$AA$26=FT_Y5,EDATE($D13,Milestones!$AA$26)&lt;PolicyEff),1,Milestones!$AC$26)&amp;";  ","")&amp;IF(AND(EDATE($D13,Milestones!$AA$27)&lt;=AsOfDate,EDATE($D13,Milestones!$AA$27)&gt;=SchemeStart,IF($X13=0,$AD13,IF(AND($Z13&lt;&gt;"",EDATE($D13,Milestones!$AA$27)&gt;=$Z13),$AC13,IF(AND($Y13&lt;&gt;"",EDATE($D13,Milestones!$AA$27)&gt;=$Y13),$AB13,$AA13)))=Milestones!$AB$27),UPPER(TEXT(EDATE($D13,Milestones!$AA$27),"dd mmm yy"))&amp;" "&amp;Milestones!$AB$27&amp;" "&amp;IF(AND(Milestones!$AB$27="FT",Milestones!$AA$27=FT_Y5,EDATE($D13,Milestones!$AA$27)&lt;PolicyEff),1,Milestones!$AC$27)&amp;";  ","")&amp;IF(AND(EDATE($D13,Milestones!$AA$28)&lt;=AsOfDate,EDATE($D13,Milestones!$AA$28)&gt;=SchemeStart,IF($X13=0,$AD13,IF(AND($Z13&lt;&gt;"",EDATE($D13,Milestones!$AA$28)&gt;=$Z13),$AC13,IF(AND($Y13&lt;&gt;"",EDATE($D13,Milestones!$AA$28)&gt;=$Y13),$AB13,$AA13)))=Milestones!$AB$28),UPPER(TEXT(EDATE($D13,Milestones!$AA$28),"dd mmm yy"))&amp;" "&amp;Milestones!$AB$28&amp;" "&amp;IF(AND(Milestones!$AB$28="FT",Milestones!$AA$28=FT_Y5,EDATE($D13,Milestones!$AA$28)&lt;PolicyEff),1,Milestones!$AC$28)&amp;";  ","")&amp;IF(AND(EDATE($D13,Milestones!$AA$29)&lt;=AsOfDate,EDATE($D13,Milestones!$AA$29)&gt;=SchemeStart,IF($X13=0,$AD13,IF(AND($Z13&lt;&gt;"",EDATE($D13,Milestones!$AA$29)&gt;=$Z13),$AC13,IF(AND($Y13&lt;&gt;"",EDATE($D13,Milestones!$AA$29)&gt;=$Y13),$AB13,$AA13)))=Milestones!$AB$29),UPPER(TEXT(EDATE($D13,Milestones!$AA$29),"dd mmm yy"))&amp;" "&amp;Milestones!$AB$29&amp;" "&amp;IF(AND(Milestones!$AB$29="FT",Milestones!$AA$29=FT_Y5,EDATE($D13,Milestones!$AA$29)&lt;PolicyEff),1,Milestones!$AC$29)&amp;";  ","")&amp;IF(AND(EDATE($D13,Milestones!$AA$30)&lt;=AsOfDate,EDATE($D13,Milestones!$AA$30)&gt;=SchemeStart,IF($X13=0,$AD13,IF(AND($Z13&lt;&gt;"",EDATE($D13,Milestones!$AA$30)&gt;=$Z13),$AC13,IF(AND($Y13&lt;&gt;"",EDATE($D13,Milestones!$AA$30)&gt;=$Y13),$AB13,$AA13)))=Milestones!$AB$30),UPPER(TEXT(EDATE($D13,Milestones!$AA$30),"dd mmm yy"))&amp;" "&amp;Milestones!$AB$30&amp;" "&amp;IF(AND(Milestones!$AB$30="FT",Milestones!$AA$30=FT_Y5,EDATE($D13,Milestones!$AA$30)&lt;PolicyEff),1,Milestones!$AC$30)&amp;";  ","")&amp;IF(AND(EDATE($D13,Milestones!$AA$31)&lt;=AsOfDate,EDATE($D13,Milestones!$AA$31)&gt;=SchemeStart,IF($X13=0,$AD13,IF(AND($Z13&lt;&gt;"",EDATE($D13,Milestones!$AA$31)&gt;=$Z13),$AC13,IF(AND($Y13&lt;&gt;"",EDATE($D13,Milestones!$AA$31)&gt;=$Y13),$AB13,$AA13)))=Milestones!$AB$31),UPPER(TEXT(EDATE($D13,Milestones!$AA$31),"dd mmm yy"))&amp;" "&amp;Milestones!$AB$31&amp;" "&amp;IF(AND(Milestones!$AB$31="FT",Milestones!$AA$31=FT_Y5,EDATE($D13,Milestones!$AA$31)&lt;PolicyEff),1,Milestones!$AC$31)&amp;";  ",""))</f>
        <v/>
      </c>
      <c r="J13" s="0" t="str">
        <f aca="false">IF(OR($A13="",$D13=""),"",IF(AND(EDATE($D13,Milestones!$AA$32)&lt;=AsOfDate,EDATE($D13,Milestones!$AA$32)&gt;=SchemeStart,IF($X13=0,$AD13,IF(AND($Z13&lt;&gt;"",EDATE($D13,Milestones!$AA$32)&gt;=$Z13),$AC13,IF(AND($Y13&lt;&gt;"",EDATE($D13,Milestones!$AA$32)&gt;=$Y13),$AB13,$AA13)))=Milestones!$AB$32),UPPER(TEXT(EDATE($D13,Milestones!$AA$32),"dd mmm yy"))&amp;" "&amp;Milestones!$AB$32&amp;" "&amp;IF(AND(Milestones!$AB$32="FT",Milestones!$AA$32=FT_Y5,EDATE($D13,Milestones!$AA$32)&lt;PolicyEff),1,Milestones!$AC$32)&amp;";  ","")&amp;IF(AND(EDATE($D13,Milestones!$AA$33)&lt;=AsOfDate,EDATE($D13,Milestones!$AA$33)&gt;=SchemeStart,IF($X13=0,$AD13,IF(AND($Z13&lt;&gt;"",EDATE($D13,Milestones!$AA$33)&gt;=$Z13),$AC13,IF(AND($Y13&lt;&gt;"",EDATE($D13,Milestones!$AA$33)&gt;=$Y13),$AB13,$AA13)))=Milestones!$AB$33),UPPER(TEXT(EDATE($D13,Milestones!$AA$33),"dd mmm yy"))&amp;" "&amp;Milestones!$AB$33&amp;" "&amp;IF(AND(Milestones!$AB$33="FT",Milestones!$AA$33=FT_Y5,EDATE($D13,Milestones!$AA$33)&lt;PolicyEff),1,Milestones!$AC$33)&amp;";  ","")&amp;IF(AND(EDATE($D13,Milestones!$AA$34)&lt;=AsOfDate,EDATE($D13,Milestones!$AA$34)&gt;=SchemeStart,IF($X13=0,$AD13,IF(AND($Z13&lt;&gt;"",EDATE($D13,Milestones!$AA$34)&gt;=$Z13),$AC13,IF(AND($Y13&lt;&gt;"",EDATE($D13,Milestones!$AA$34)&gt;=$Y13),$AB13,$AA13)))=Milestones!$AB$34),UPPER(TEXT(EDATE($D13,Milestones!$AA$34),"dd mmm yy"))&amp;" "&amp;Milestones!$AB$34&amp;" "&amp;IF(AND(Milestones!$AB$34="FT",Milestones!$AA$34=FT_Y5,EDATE($D13,Milestones!$AA$34)&lt;PolicyEff),1,Milestones!$AC$34)&amp;";  ","")&amp;IF(AND(EDATE($D13,Milestones!$AA$35)&lt;=AsOfDate,EDATE($D13,Milestones!$AA$35)&gt;=SchemeStart,IF($X13=0,$AD13,IF(AND($Z13&lt;&gt;"",EDATE($D13,Milestones!$AA$35)&gt;=$Z13),$AC13,IF(AND($Y13&lt;&gt;"",EDATE($D13,Milestones!$AA$35)&gt;=$Y13),$AB13,$AA13)))=Milestones!$AB$35),UPPER(TEXT(EDATE($D13,Milestones!$AA$35),"dd mmm yy"))&amp;" "&amp;Milestones!$AB$35&amp;" "&amp;IF(AND(Milestones!$AB$35="FT",Milestones!$AA$35=FT_Y5,EDATE($D13,Milestones!$AA$35)&lt;PolicyEff),1,Milestones!$AC$35)&amp;";  ","")&amp;IF(AND(EDATE($D13,Milestones!$AA$36)&lt;=AsOfDate,EDATE($D13,Milestones!$AA$36)&gt;=SchemeStart,IF($X13=0,$AD13,IF(AND($Z13&lt;&gt;"",EDATE($D13,Milestones!$AA$36)&gt;=$Z13),$AC13,IF(AND($Y13&lt;&gt;"",EDATE($D13,Milestones!$AA$36)&gt;=$Y13),$AB13,$AA13)))=Milestones!$AB$36),UPPER(TEXT(EDATE($D13,Milestones!$AA$36),"dd mmm yy"))&amp;" "&amp;Milestones!$AB$36&amp;" "&amp;IF(AND(Milestones!$AB$36="FT",Milestones!$AA$36=FT_Y5,EDATE($D13,Milestones!$AA$36)&lt;PolicyEff),1,Milestones!$AC$36)&amp;";  ","")&amp;IF(AND(EDATE($D13,Milestones!$AA$37)&lt;=AsOfDate,EDATE($D13,Milestones!$AA$37)&gt;=SchemeStart,IF($X13=0,$AD13,IF(AND($Z13&lt;&gt;"",EDATE($D13,Milestones!$AA$37)&gt;=$Z13),$AC13,IF(AND($Y13&lt;&gt;"",EDATE($D13,Milestones!$AA$37)&gt;=$Y13),$AB13,$AA13)))=Milestones!$AB$37),UPPER(TEXT(EDATE($D13,Milestones!$AA$37),"dd mmm yy"))&amp;" "&amp;Milestones!$AB$37&amp;" "&amp;IF(AND(Milestones!$AB$37="FT",Milestones!$AA$37=FT_Y5,EDATE($D13,Milestones!$AA$37)&lt;PolicyEff),1,Milestones!$AC$37)&amp;";  ","")&amp;IF(AND(EDATE($D13,Milestones!$AA$38)&lt;=AsOfDate,EDATE($D13,Milestones!$AA$38)&gt;=SchemeStart,IF($X13=0,$AD13,IF(AND($Z13&lt;&gt;"",EDATE($D13,Milestones!$AA$38)&gt;=$Z13),$AC13,IF(AND($Y13&lt;&gt;"",EDATE($D13,Milestones!$AA$38)&gt;=$Y13),$AB13,$AA13)))=Milestones!$AB$38),UPPER(TEXT(EDATE($D13,Milestones!$AA$38),"dd mmm yy"))&amp;" "&amp;Milestones!$AB$38&amp;" "&amp;IF(AND(Milestones!$AB$38="FT",Milestones!$AA$38=FT_Y5,EDATE($D13,Milestones!$AA$38)&lt;PolicyEff),1,Milestones!$AC$38)&amp;";  ","")&amp;IF(AND(EDATE($D13,Milestones!$AA$39)&lt;=AsOfDate,EDATE($D13,Milestones!$AA$39)&gt;=SchemeStart,IF($X13=0,$AD13,IF(AND($Z13&lt;&gt;"",EDATE($D13,Milestones!$AA$39)&gt;=$Z13),$AC13,IF(AND($Y13&lt;&gt;"",EDATE($D13,Milestones!$AA$39)&gt;=$Y13),$AB13,$AA13)))=Milestones!$AB$39),UPPER(TEXT(EDATE($D13,Milestones!$AA$39),"dd mmm yy"))&amp;" "&amp;Milestones!$AB$39&amp;" "&amp;IF(AND(Milestones!$AB$39="FT",Milestones!$AA$39=FT_Y5,EDATE($D13,Milestones!$AA$39)&lt;PolicyEff),1,Milestones!$AC$39)&amp;";  ","")&amp;IF(AND(EDATE($D13,Milestones!$AA$40)&lt;=AsOfDate,EDATE($D13,Milestones!$AA$40)&gt;=SchemeStart,IF($X13=0,$AD13,IF(AND($Z13&lt;&gt;"",EDATE($D13,Milestones!$AA$40)&gt;=$Z13),$AC13,IF(AND($Y13&lt;&gt;"",EDATE($D13,Milestones!$AA$40)&gt;=$Y13),$AB13,$AA13)))=Milestones!$AB$40),UPPER(TEXT(EDATE($D13,Milestones!$AA$40),"dd mmm yy"))&amp;" "&amp;Milestones!$AB$40&amp;" "&amp;IF(AND(Milestones!$AB$40="FT",Milestones!$AA$40=FT_Y5,EDATE($D13,Milestones!$AA$40)&lt;PolicyEff),1,Milestones!$AC$40)&amp;";  ","")&amp;IF(AND(EDATE($D13,Milestones!$AA$41)&lt;=AsOfDate,EDATE($D13,Milestones!$AA$41)&gt;=SchemeStart,IF($X13=0,$AD13,IF(AND($Z13&lt;&gt;"",EDATE($D13,Milestones!$AA$41)&gt;=$Z13),$AC13,IF(AND($Y13&lt;&gt;"",EDATE($D13,Milestones!$AA$41)&gt;=$Y13),$AB13,$AA13)))=Milestones!$AB$41),UPPER(TEXT(EDATE($D13,Milestones!$AA$41),"dd mmm yy"))&amp;" "&amp;Milestones!$AB$41&amp;" "&amp;IF(AND(Milestones!$AB$41="FT",Milestones!$AA$41=FT_Y5,EDATE($D13,Milestones!$AA$41)&lt;PolicyEff),1,Milestones!$AC$41)&amp;";  ","")&amp;IF(AND(EDATE($D13,Milestones!$AA$42)&lt;=AsOfDate,EDATE($D13,Milestones!$AA$42)&gt;=SchemeStart,IF($X13=0,$AD13,IF(AND($Z13&lt;&gt;"",EDATE($D13,Milestones!$AA$42)&gt;=$Z13),$AC13,IF(AND($Y13&lt;&gt;"",EDATE($D13,Milestones!$AA$42)&gt;=$Y13),$AB13,$AA13)))=Milestones!$AB$42),UPPER(TEXT(EDATE($D13,Milestones!$AA$42),"dd mmm yy"))&amp;" "&amp;Milestones!$AB$42&amp;" "&amp;IF(AND(Milestones!$AB$42="FT",Milestones!$AA$42=FT_Y5,EDATE($D13,Milestones!$AA$42)&lt;PolicyEff),1,Milestones!$AC$42)&amp;";  ","")&amp;IF(AND(EDATE($D13,Milestones!$AA$43)&lt;=AsOfDate,EDATE($D13,Milestones!$AA$43)&gt;=SchemeStart,IF($X13=0,$AD13,IF(AND($Z13&lt;&gt;"",EDATE($D13,Milestones!$AA$43)&gt;=$Z13),$AC13,IF(AND($Y13&lt;&gt;"",EDATE($D13,Milestones!$AA$43)&gt;=$Y13),$AB13,$AA13)))=Milestones!$AB$43),UPPER(TEXT(EDATE($D13,Milestones!$AA$43),"dd mmm yy"))&amp;" "&amp;Milestones!$AB$43&amp;" "&amp;IF(AND(Milestones!$AB$43="FT",Milestones!$AA$43=FT_Y5,EDATE($D13,Milestones!$AA$43)&lt;PolicyEff),1,Milestones!$AC$43)&amp;";  ",""))</f>
        <v/>
      </c>
      <c r="K13" s="0" t="str">
        <f aca="false">IF(OR($A13="",$D13=""),"",IF(AND(EDATE($D13,Milestones!$AA$44)&lt;=AsOfDate,EDATE($D13,Milestones!$AA$44)&gt;=SchemeStart,IF($X13=0,$AD13,IF(AND($Z13&lt;&gt;"",EDATE($D13,Milestones!$AA$44)&gt;=$Z13),$AC13,IF(AND($Y13&lt;&gt;"",EDATE($D13,Milestones!$AA$44)&gt;=$Y13),$AB13,$AA13)))=Milestones!$AB$44),UPPER(TEXT(EDATE($D13,Milestones!$AA$44),"dd mmm yy"))&amp;" "&amp;Milestones!$AB$44&amp;" "&amp;IF(AND(Milestones!$AB$44="FT",Milestones!$AA$44=FT_Y5,EDATE($D13,Milestones!$AA$44)&lt;PolicyEff),1,Milestones!$AC$44)&amp;";  ","")&amp;IF(AND(EDATE($D13,Milestones!$AA$45)&lt;=AsOfDate,EDATE($D13,Milestones!$AA$45)&gt;=SchemeStart,IF($X13=0,$AD13,IF(AND($Z13&lt;&gt;"",EDATE($D13,Milestones!$AA$45)&gt;=$Z13),$AC13,IF(AND($Y13&lt;&gt;"",EDATE($D13,Milestones!$AA$45)&gt;=$Y13),$AB13,$AA13)))=Milestones!$AB$45),UPPER(TEXT(EDATE($D13,Milestones!$AA$45),"dd mmm yy"))&amp;" "&amp;Milestones!$AB$45&amp;" "&amp;IF(AND(Milestones!$AB$45="FT",Milestones!$AA$45=FT_Y5,EDATE($D13,Milestones!$AA$45)&lt;PolicyEff),1,Milestones!$AC$45)&amp;";  ","")&amp;IF(AND(EDATE($D13,Milestones!$AA$46)&lt;=AsOfDate,EDATE($D13,Milestones!$AA$46)&gt;=SchemeStart,IF($X13=0,$AD13,IF(AND($Z13&lt;&gt;"",EDATE($D13,Milestones!$AA$46)&gt;=$Z13),$AC13,IF(AND($Y13&lt;&gt;"",EDATE($D13,Milestones!$AA$46)&gt;=$Y13),$AB13,$AA13)))=Milestones!$AB$46),UPPER(TEXT(EDATE($D13,Milestones!$AA$46),"dd mmm yy"))&amp;" "&amp;Milestones!$AB$46&amp;" "&amp;IF(AND(Milestones!$AB$46="FT",Milestones!$AA$46=FT_Y5,EDATE($D13,Milestones!$AA$46)&lt;PolicyEff),1,Milestones!$AC$46)&amp;";  ","")&amp;IF(AND(EDATE($D13,Milestones!$AA$47)&lt;=AsOfDate,EDATE($D13,Milestones!$AA$47)&gt;=SchemeStart,IF($X13=0,$AD13,IF(AND($Z13&lt;&gt;"",EDATE($D13,Milestones!$AA$47)&gt;=$Z13),$AC13,IF(AND($Y13&lt;&gt;"",EDATE($D13,Milestones!$AA$47)&gt;=$Y13),$AB13,$AA13)))=Milestones!$AB$47),UPPER(TEXT(EDATE($D13,Milestones!$AA$47),"dd mmm yy"))&amp;" "&amp;Milestones!$AB$47&amp;" "&amp;IF(AND(Milestones!$AB$47="FT",Milestones!$AA$47=FT_Y5,EDATE($D13,Milestones!$AA$47)&lt;PolicyEff),1,Milestones!$AC$47)&amp;";  ","")&amp;IF(AND(EDATE($D13,Milestones!$AA$48)&lt;=AsOfDate,EDATE($D13,Milestones!$AA$48)&gt;=SchemeStart,IF($X13=0,$AD13,IF(AND($Z13&lt;&gt;"",EDATE($D13,Milestones!$AA$48)&gt;=$Z13),$AC13,IF(AND($Y13&lt;&gt;"",EDATE($D13,Milestones!$AA$48)&gt;=$Y13),$AB13,$AA13)))=Milestones!$AB$48),UPPER(TEXT(EDATE($D13,Milestones!$AA$48),"dd mmm yy"))&amp;" "&amp;Milestones!$AB$48&amp;" "&amp;IF(AND(Milestones!$AB$48="FT",Milestones!$AA$48=FT_Y5,EDATE($D13,Milestones!$AA$48)&lt;PolicyEff),1,Milestones!$AC$48)&amp;";  ","")&amp;IF(AND(EDATE($D13,Milestones!$AA$49)&lt;=AsOfDate,EDATE($D13,Milestones!$AA$49)&gt;=SchemeStart,IF($X13=0,$AD13,IF(AND($Z13&lt;&gt;"",EDATE($D13,Milestones!$AA$49)&gt;=$Z13),$AC13,IF(AND($Y13&lt;&gt;"",EDATE($D13,Milestones!$AA$49)&gt;=$Y13),$AB13,$AA13)))=Milestones!$AB$49),UPPER(TEXT(EDATE($D13,Milestones!$AA$49),"dd mmm yy"))&amp;" "&amp;Milestones!$AB$49&amp;" "&amp;IF(AND(Milestones!$AB$49="FT",Milestones!$AA$49=FT_Y5,EDATE($D13,Milestones!$AA$49)&lt;PolicyEff),1,Milestones!$AC$49)&amp;";  ","")&amp;IF(AND(EDATE($D13,Milestones!$AA$50)&lt;=AsOfDate,EDATE($D13,Milestones!$AA$50)&gt;=SchemeStart,IF($X13=0,$AD13,IF(AND($Z13&lt;&gt;"",EDATE($D13,Milestones!$AA$50)&gt;=$Z13),$AC13,IF(AND($Y13&lt;&gt;"",EDATE($D13,Milestones!$AA$50)&gt;=$Y13),$AB13,$AA13)))=Milestones!$AB$50),UPPER(TEXT(EDATE($D13,Milestones!$AA$50),"dd mmm yy"))&amp;" "&amp;Milestones!$AB$50&amp;" "&amp;IF(AND(Milestones!$AB$50="FT",Milestones!$AA$50=FT_Y5,EDATE($D13,Milestones!$AA$50)&lt;PolicyEff),1,Milestones!$AC$50)&amp;";  ","")&amp;IF(AND(EDATE($D13,Milestones!$AA$51)&lt;=AsOfDate,EDATE($D13,Milestones!$AA$51)&gt;=SchemeStart,IF($X13=0,$AD13,IF(AND($Z13&lt;&gt;"",EDATE($D13,Milestones!$AA$51)&gt;=$Z13),$AC13,IF(AND($Y13&lt;&gt;"",EDATE($D13,Milestones!$AA$51)&gt;=$Y13),$AB13,$AA13)))=Milestones!$AB$51),UPPER(TEXT(EDATE($D13,Milestones!$AA$51),"dd mmm yy"))&amp;" "&amp;Milestones!$AB$51&amp;" "&amp;IF(AND(Milestones!$AB$51="FT",Milestones!$AA$51=FT_Y5,EDATE($D13,Milestones!$AA$51)&lt;PolicyEff),1,Milestones!$AC$51)&amp;";  ","")&amp;IF(AND(EDATE($D13,Milestones!$AA$52)&lt;=AsOfDate,EDATE($D13,Milestones!$AA$52)&gt;=SchemeStart,IF($X13=0,$AD13,IF(AND($Z13&lt;&gt;"",EDATE($D13,Milestones!$AA$52)&gt;=$Z13),$AC13,IF(AND($Y13&lt;&gt;"",EDATE($D13,Milestones!$AA$52)&gt;=$Y13),$AB13,$AA13)))=Milestones!$AB$52),UPPER(TEXT(EDATE($D13,Milestones!$AA$52),"dd mmm yy"))&amp;" "&amp;Milestones!$AB$52&amp;" "&amp;IF(AND(Milestones!$AB$52="FT",Milestones!$AA$52=FT_Y5,EDATE($D13,Milestones!$AA$52)&lt;PolicyEff),1,Milestones!$AC$52)&amp;";  ","")&amp;IF(AND(EDATE($D13,Milestones!$AA$53)&lt;=AsOfDate,EDATE($D13,Milestones!$AA$53)&gt;=SchemeStart,IF($X13=0,$AD13,IF(AND($Z13&lt;&gt;"",EDATE($D13,Milestones!$AA$53)&gt;=$Z13),$AC13,IF(AND($Y13&lt;&gt;"",EDATE($D13,Milestones!$AA$53)&gt;=$Y13),$AB13,$AA13)))=Milestones!$AB$53),UPPER(TEXT(EDATE($D13,Milestones!$AA$53),"dd mmm yy"))&amp;" "&amp;Milestones!$AB$53&amp;" "&amp;IF(AND(Milestones!$AB$53="FT",Milestones!$AA$53=FT_Y5,EDATE($D13,Milestones!$AA$53)&lt;PolicyEff),1,Milestones!$AC$53)&amp;";  ","")&amp;IF(AND(EDATE($D13,Milestones!$AA$54)&lt;=AsOfDate,EDATE($D13,Milestones!$AA$54)&gt;=SchemeStart,IF($X13=0,$AD13,IF(AND($Z13&lt;&gt;"",EDATE($D13,Milestones!$AA$54)&gt;=$Z13),$AC13,IF(AND($Y13&lt;&gt;"",EDATE($D13,Milestones!$AA$54)&gt;=$Y13),$AB13,$AA13)))=Milestones!$AB$54),UPPER(TEXT(EDATE($D13,Milestones!$AA$54),"dd mmm yy"))&amp;" "&amp;Milestones!$AB$54&amp;" "&amp;IF(AND(Milestones!$AB$54="FT",Milestones!$AA$54=FT_Y5,EDATE($D13,Milestones!$AA$54)&lt;PolicyEff),1,Milestones!$AC$54)&amp;";  ","")&amp;IF(AND(EDATE($D13,Milestones!$AA$55)&lt;=AsOfDate,EDATE($D13,Milestones!$AA$55)&gt;=SchemeStart,IF($X13=0,$AD13,IF(AND($Z13&lt;&gt;"",EDATE($D13,Milestones!$AA$55)&gt;=$Z13),$AC13,IF(AND($Y13&lt;&gt;"",EDATE($D13,Milestones!$AA$55)&gt;=$Y13),$AB13,$AA13)))=Milestones!$AB$55),UPPER(TEXT(EDATE($D13,Milestones!$AA$55),"dd mmm yy"))&amp;" "&amp;Milestones!$AB$55&amp;" "&amp;IF(AND(Milestones!$AB$55="FT",Milestones!$AA$55=FT_Y5,EDATE($D13,Milestones!$AA$55)&lt;PolicyEff),1,Milestones!$AC$55)&amp;";  ",""))</f>
        <v/>
      </c>
      <c r="L13" s="0" t="str">
        <f aca="false">IF(OR($A13="",$D13=""),"",IF(AND(EDATE($D13,Milestones!$AA$56)&lt;=AsOfDate,EDATE($D13,Milestones!$AA$56)&gt;=SchemeStart,IF($X13=0,$AD13,IF(AND($Z13&lt;&gt;"",EDATE($D13,Milestones!$AA$56)&gt;=$Z13),$AC13,IF(AND($Y13&lt;&gt;"",EDATE($D13,Milestones!$AA$56)&gt;=$Y13),$AB13,$AA13)))=Milestones!$AB$56),UPPER(TEXT(EDATE($D13,Milestones!$AA$56),"dd mmm yy"))&amp;" "&amp;Milestones!$AB$56&amp;" "&amp;IF(AND(Milestones!$AB$56="FT",Milestones!$AA$56=FT_Y5,EDATE($D13,Milestones!$AA$56)&lt;PolicyEff),1,Milestones!$AC$56)&amp;";  ","")&amp;IF(AND(EDATE($D13,Milestones!$AA$57)&lt;=AsOfDate,EDATE($D13,Milestones!$AA$57)&gt;=SchemeStart,IF($X13=0,$AD13,IF(AND($Z13&lt;&gt;"",EDATE($D13,Milestones!$AA$57)&gt;=$Z13),$AC13,IF(AND($Y13&lt;&gt;"",EDATE($D13,Milestones!$AA$57)&gt;=$Y13),$AB13,$AA13)))=Milestones!$AB$57),UPPER(TEXT(EDATE($D13,Milestones!$AA$57),"dd mmm yy"))&amp;" "&amp;Milestones!$AB$57&amp;" "&amp;IF(AND(Milestones!$AB$57="FT",Milestones!$AA$57=FT_Y5,EDATE($D13,Milestones!$AA$57)&lt;PolicyEff),1,Milestones!$AC$57)&amp;";  ","")&amp;IF(AND(EDATE($D13,Milestones!$AA$58)&lt;=AsOfDate,EDATE($D13,Milestones!$AA$58)&gt;=SchemeStart,IF($X13=0,$AD13,IF(AND($Z13&lt;&gt;"",EDATE($D13,Milestones!$AA$58)&gt;=$Z13),$AC13,IF(AND($Y13&lt;&gt;"",EDATE($D13,Milestones!$AA$58)&gt;=$Y13),$AB13,$AA13)))=Milestones!$AB$58),UPPER(TEXT(EDATE($D13,Milestones!$AA$58),"dd mmm yy"))&amp;" "&amp;Milestones!$AB$58&amp;" "&amp;IF(AND(Milestones!$AB$58="FT",Milestones!$AA$58=FT_Y5,EDATE($D13,Milestones!$AA$58)&lt;PolicyEff),1,Milestones!$AC$58)&amp;";  ","")&amp;IF(AND(EDATE($D13,Milestones!$AA$59)&lt;=AsOfDate,EDATE($D13,Milestones!$AA$59)&gt;=SchemeStart,IF($X13=0,$AD13,IF(AND($Z13&lt;&gt;"",EDATE($D13,Milestones!$AA$59)&gt;=$Z13),$AC13,IF(AND($Y13&lt;&gt;"",EDATE($D13,Milestones!$AA$59)&gt;=$Y13),$AB13,$AA13)))=Milestones!$AB$59),UPPER(TEXT(EDATE($D13,Milestones!$AA$59),"dd mmm yy"))&amp;" "&amp;Milestones!$AB$59&amp;" "&amp;IF(AND(Milestones!$AB$59="FT",Milestones!$AA$59=FT_Y5,EDATE($D13,Milestones!$AA$59)&lt;PolicyEff),1,Milestones!$AC$59)&amp;";  ","")&amp;IF(AND(EDATE($D13,Milestones!$AA$60)&lt;=AsOfDate,EDATE($D13,Milestones!$AA$60)&gt;=SchemeStart,IF($X13=0,$AD13,IF(AND($Z13&lt;&gt;"",EDATE($D13,Milestones!$AA$60)&gt;=$Z13),$AC13,IF(AND($Y13&lt;&gt;"",EDATE($D13,Milestones!$AA$60)&gt;=$Y13),$AB13,$AA13)))=Milestones!$AB$60),UPPER(TEXT(EDATE($D13,Milestones!$AA$60),"dd mmm yy"))&amp;" "&amp;Milestones!$AB$60&amp;" "&amp;IF(AND(Milestones!$AB$60="FT",Milestones!$AA$60=FT_Y5,EDATE($D13,Milestones!$AA$60)&lt;PolicyEff),1,Milestones!$AC$60)&amp;";  ","")&amp;IF(AND(EDATE($D13,Milestones!$AA$61)&lt;=AsOfDate,EDATE($D13,Milestones!$AA$61)&gt;=SchemeStart,IF($X13=0,$AD13,IF(AND($Z13&lt;&gt;"",EDATE($D13,Milestones!$AA$61)&gt;=$Z13),$AC13,IF(AND($Y13&lt;&gt;"",EDATE($D13,Milestones!$AA$61)&gt;=$Y13),$AB13,$AA13)))=Milestones!$AB$61),UPPER(TEXT(EDATE($D13,Milestones!$AA$61),"dd mmm yy"))&amp;" "&amp;Milestones!$AB$61&amp;" "&amp;IF(AND(Milestones!$AB$61="FT",Milestones!$AA$61=FT_Y5,EDATE($D13,Milestones!$AA$61)&lt;PolicyEff),1,Milestones!$AC$61)&amp;";  ","")&amp;IF(AND(EDATE($D13,Milestones!$AA$62)&lt;=AsOfDate,EDATE($D13,Milestones!$AA$62)&gt;=SchemeStart,IF($X13=0,$AD13,IF(AND($Z13&lt;&gt;"",EDATE($D13,Milestones!$AA$62)&gt;=$Z13),$AC13,IF(AND($Y13&lt;&gt;"",EDATE($D13,Milestones!$AA$62)&gt;=$Y13),$AB13,$AA13)))=Milestones!$AB$62),UPPER(TEXT(EDATE($D13,Milestones!$AA$62),"dd mmm yy"))&amp;" "&amp;Milestones!$AB$62&amp;" "&amp;IF(AND(Milestones!$AB$62="FT",Milestones!$AA$62=FT_Y5,EDATE($D13,Milestones!$AA$62)&lt;PolicyEff),1,Milestones!$AC$62)&amp;";  ","")&amp;IF(AND(EDATE($D13,Milestones!$AA$63)&lt;=AsOfDate,EDATE($D13,Milestones!$AA$63)&gt;=SchemeStart,IF($X13=0,$AD13,IF(AND($Z13&lt;&gt;"",EDATE($D13,Milestones!$AA$63)&gt;=$Z13),$AC13,IF(AND($Y13&lt;&gt;"",EDATE($D13,Milestones!$AA$63)&gt;=$Y13),$AB13,$AA13)))=Milestones!$AB$63),UPPER(TEXT(EDATE($D13,Milestones!$AA$63),"dd mmm yy"))&amp;" "&amp;Milestones!$AB$63&amp;" "&amp;IF(AND(Milestones!$AB$63="FT",Milestones!$AA$63=FT_Y5,EDATE($D13,Milestones!$AA$63)&lt;PolicyEff),1,Milestones!$AC$63)&amp;";  ","")&amp;IF(AND(EDATE($D13,Milestones!$AA$64)&lt;=AsOfDate,EDATE($D13,Milestones!$AA$64)&gt;=SchemeStart,IF($X13=0,$AD13,IF(AND($Z13&lt;&gt;"",EDATE($D13,Milestones!$AA$64)&gt;=$Z13),$AC13,IF(AND($Y13&lt;&gt;"",EDATE($D13,Milestones!$AA$64)&gt;=$Y13),$AB13,$AA13)))=Milestones!$AB$64),UPPER(TEXT(EDATE($D13,Milestones!$AA$64),"dd mmm yy"))&amp;" "&amp;Milestones!$AB$64&amp;" "&amp;IF(AND(Milestones!$AB$64="FT",Milestones!$AA$64=FT_Y5,EDATE($D13,Milestones!$AA$64)&lt;PolicyEff),1,Milestones!$AC$64)&amp;";  ","")&amp;IF(AND(EDATE($D13,Milestones!$AA$65)&lt;=AsOfDate,EDATE($D13,Milestones!$AA$65)&gt;=SchemeStart,IF($X13=0,$AD13,IF(AND($Z13&lt;&gt;"",EDATE($D13,Milestones!$AA$65)&gt;=$Z13),$AC13,IF(AND($Y13&lt;&gt;"",EDATE($D13,Milestones!$AA$65)&gt;=$Y13),$AB13,$AA13)))=Milestones!$AB$65),UPPER(TEXT(EDATE($D13,Milestones!$AA$65),"dd mmm yy"))&amp;" "&amp;Milestones!$AB$65&amp;" "&amp;IF(AND(Milestones!$AB$65="FT",Milestones!$AA$65=FT_Y5,EDATE($D13,Milestones!$AA$65)&lt;PolicyEff),1,Milestones!$AC$65)&amp;";  ","")&amp;IF(AND(EDATE($D13,Milestones!$AA$66)&lt;=AsOfDate,EDATE($D13,Milestones!$AA$66)&gt;=SchemeStart,IF($X13=0,$AD13,IF(AND($Z13&lt;&gt;"",EDATE($D13,Milestones!$AA$66)&gt;=$Z13),$AC13,IF(AND($Y13&lt;&gt;"",EDATE($D13,Milestones!$AA$66)&gt;=$Y13),$AB13,$AA13)))=Milestones!$AB$66),UPPER(TEXT(EDATE($D13,Milestones!$AA$66),"dd mmm yy"))&amp;" "&amp;Milestones!$AB$66&amp;" "&amp;IF(AND(Milestones!$AB$66="FT",Milestones!$AA$66=FT_Y5,EDATE($D13,Milestones!$AA$66)&lt;PolicyEff),1,Milestones!$AC$66)&amp;";  ","")&amp;IF(AND(EDATE($D13,Milestones!$AA$67)&lt;=AsOfDate,EDATE($D13,Milestones!$AA$67)&gt;=SchemeStart,IF($X13=0,$AD13,IF(AND($Z13&lt;&gt;"",EDATE($D13,Milestones!$AA$67)&gt;=$Z13),$AC13,IF(AND($Y13&lt;&gt;"",EDATE($D13,Milestones!$AA$67)&gt;=$Y13),$AB13,$AA13)))=Milestones!$AB$67),UPPER(TEXT(EDATE($D13,Milestones!$AA$67),"dd mmm yy"))&amp;" "&amp;Milestones!$AB$67&amp;" "&amp;IF(AND(Milestones!$AB$67="FT",Milestones!$AA$67=FT_Y5,EDATE($D13,Milestones!$AA$67)&lt;PolicyEff),1,Milestones!$AC$67)&amp;";  ",""))</f>
        <v/>
      </c>
      <c r="M13" s="0" t="str">
        <f aca="false">IF(OR($A13="",$D13=""),"",IF(AND(EDATE($D13,Milestones!$AA$68)&lt;=AsOfDate,EDATE($D13,Milestones!$AA$68)&gt;=SchemeStart,IF($X13=0,$AD13,IF(AND($Z13&lt;&gt;"",EDATE($D13,Milestones!$AA$68)&gt;=$Z13),$AC13,IF(AND($Y13&lt;&gt;"",EDATE($D13,Milestones!$AA$68)&gt;=$Y13),$AB13,$AA13)))=Milestones!$AB$68),UPPER(TEXT(EDATE($D13,Milestones!$AA$68),"dd mmm yy"))&amp;" "&amp;Milestones!$AB$68&amp;" "&amp;IF(AND(Milestones!$AB$68="FT",Milestones!$AA$68=FT_Y5,EDATE($D13,Milestones!$AA$68)&lt;PolicyEff),1,Milestones!$AC$68)&amp;";  ","")&amp;IF(AND(EDATE($D13,Milestones!$AA$69)&lt;=AsOfDate,EDATE($D13,Milestones!$AA$69)&gt;=SchemeStart,IF($X13=0,$AD13,IF(AND($Z13&lt;&gt;"",EDATE($D13,Milestones!$AA$69)&gt;=$Z13),$AC13,IF(AND($Y13&lt;&gt;"",EDATE($D13,Milestones!$AA$69)&gt;=$Y13),$AB13,$AA13)))=Milestones!$AB$69),UPPER(TEXT(EDATE($D13,Milestones!$AA$69),"dd mmm yy"))&amp;" "&amp;Milestones!$AB$69&amp;" "&amp;IF(AND(Milestones!$AB$69="FT",Milestones!$AA$69=FT_Y5,EDATE($D13,Milestones!$AA$69)&lt;PolicyEff),1,Milestones!$AC$69)&amp;";  ","")&amp;IF(AND(EDATE($D13,Milestones!$AA$70)&lt;=AsOfDate,EDATE($D13,Milestones!$AA$70)&gt;=SchemeStart,IF($X13=0,$AD13,IF(AND($Z13&lt;&gt;"",EDATE($D13,Milestones!$AA$70)&gt;=$Z13),$AC13,IF(AND($Y13&lt;&gt;"",EDATE($D13,Milestones!$AA$70)&gt;=$Y13),$AB13,$AA13)))=Milestones!$AB$70),UPPER(TEXT(EDATE($D13,Milestones!$AA$70),"dd mmm yy"))&amp;" "&amp;Milestones!$AB$70&amp;" "&amp;IF(AND(Milestones!$AB$70="FT",Milestones!$AA$70=FT_Y5,EDATE($D13,Milestones!$AA$70)&lt;PolicyEff),1,Milestones!$AC$70)&amp;";  ","")&amp;IF(AND(EDATE($D13,Milestones!$AA$71)&lt;=AsOfDate,EDATE($D13,Milestones!$AA$71)&gt;=SchemeStart,IF($X13=0,$AD13,IF(AND($Z13&lt;&gt;"",EDATE($D13,Milestones!$AA$71)&gt;=$Z13),$AC13,IF(AND($Y13&lt;&gt;"",EDATE($D13,Milestones!$AA$71)&gt;=$Y13),$AB13,$AA13)))=Milestones!$AB$71),UPPER(TEXT(EDATE($D13,Milestones!$AA$71),"dd mmm yy"))&amp;" "&amp;Milestones!$AB$71&amp;" "&amp;IF(AND(Milestones!$AB$71="FT",Milestones!$AA$71=FT_Y5,EDATE($D13,Milestones!$AA$71)&lt;PolicyEff),1,Milestones!$AC$71)&amp;";  ","")&amp;IF(AND(EDATE($D13,Milestones!$AA$72)&lt;=AsOfDate,EDATE($D13,Milestones!$AA$72)&gt;=SchemeStart,IF($X13=0,$AD13,IF(AND($Z13&lt;&gt;"",EDATE($D13,Milestones!$AA$72)&gt;=$Z13),$AC13,IF(AND($Y13&lt;&gt;"",EDATE($D13,Milestones!$AA$72)&gt;=$Y13),$AB13,$AA13)))=Milestones!$AB$72),UPPER(TEXT(EDATE($D13,Milestones!$AA$72),"dd mmm yy"))&amp;" "&amp;Milestones!$AB$72&amp;" "&amp;IF(AND(Milestones!$AB$72="FT",Milestones!$AA$72=FT_Y5,EDATE($D13,Milestones!$AA$72)&lt;PolicyEff),1,Milestones!$AC$72)&amp;";  ","")&amp;IF(AND(EDATE($D13,Milestones!$AA$73)&lt;=AsOfDate,EDATE($D13,Milestones!$AA$73)&gt;=SchemeStart,IF($X13=0,$AD13,IF(AND($Z13&lt;&gt;"",EDATE($D13,Milestones!$AA$73)&gt;=$Z13),$AC13,IF(AND($Y13&lt;&gt;"",EDATE($D13,Milestones!$AA$73)&gt;=$Y13),$AB13,$AA13)))=Milestones!$AB$73),UPPER(TEXT(EDATE($D13,Milestones!$AA$73),"dd mmm yy"))&amp;" "&amp;Milestones!$AB$73&amp;" "&amp;IF(AND(Milestones!$AB$73="FT",Milestones!$AA$73=FT_Y5,EDATE($D13,Milestones!$AA$73)&lt;PolicyEff),1,Milestones!$AC$73)&amp;";  ","")&amp;IF(AND(EDATE($D13,Milestones!$AA$74)&lt;=AsOfDate,EDATE($D13,Milestones!$AA$74)&gt;=SchemeStart,IF($X13=0,$AD13,IF(AND($Z13&lt;&gt;"",EDATE($D13,Milestones!$AA$74)&gt;=$Z13),$AC13,IF(AND($Y13&lt;&gt;"",EDATE($D13,Milestones!$AA$74)&gt;=$Y13),$AB13,$AA13)))=Milestones!$AB$74),UPPER(TEXT(EDATE($D13,Milestones!$AA$74),"dd mmm yy"))&amp;" "&amp;Milestones!$AB$74&amp;" "&amp;IF(AND(Milestones!$AB$74="FT",Milestones!$AA$74=FT_Y5,EDATE($D13,Milestones!$AA$74)&lt;PolicyEff),1,Milestones!$AC$74)&amp;";  ","")&amp;IF(AND(EDATE($D13,Milestones!$AA$75)&lt;=AsOfDate,EDATE($D13,Milestones!$AA$75)&gt;=SchemeStart,IF($X13=0,$AD13,IF(AND($Z13&lt;&gt;"",EDATE($D13,Milestones!$AA$75)&gt;=$Z13),$AC13,IF(AND($Y13&lt;&gt;"",EDATE($D13,Milestones!$AA$75)&gt;=$Y13),$AB13,$AA13)))=Milestones!$AB$75),UPPER(TEXT(EDATE($D13,Milestones!$AA$75),"dd mmm yy"))&amp;" "&amp;Milestones!$AB$75&amp;" "&amp;IF(AND(Milestones!$AB$75="FT",Milestones!$AA$75=FT_Y5,EDATE($D13,Milestones!$AA$75)&lt;PolicyEff),1,Milestones!$AC$75)&amp;";  ","")&amp;IF(AND(EDATE($D13,Milestones!$AA$76)&lt;=AsOfDate,EDATE($D13,Milestones!$AA$76)&gt;=SchemeStart,IF($X13=0,$AD13,IF(AND($Z13&lt;&gt;"",EDATE($D13,Milestones!$AA$76)&gt;=$Z13),$AC13,IF(AND($Y13&lt;&gt;"",EDATE($D13,Milestones!$AA$76)&gt;=$Y13),$AB13,$AA13)))=Milestones!$AB$76),UPPER(TEXT(EDATE($D13,Milestones!$AA$76),"dd mmm yy"))&amp;" "&amp;Milestones!$AB$76&amp;" "&amp;IF(AND(Milestones!$AB$76="FT",Milestones!$AA$76=FT_Y5,EDATE($D13,Milestones!$AA$76)&lt;PolicyEff),1,Milestones!$AC$76)&amp;";  ","")&amp;IF(AND(EDATE($D13,Milestones!$AA$77)&lt;=AsOfDate,EDATE($D13,Milestones!$AA$77)&gt;=SchemeStart,IF($X13=0,$AD13,IF(AND($Z13&lt;&gt;"",EDATE($D13,Milestones!$AA$77)&gt;=$Z13),$AC13,IF(AND($Y13&lt;&gt;"",EDATE($D13,Milestones!$AA$77)&gt;=$Y13),$AB13,$AA13)))=Milestones!$AB$77),UPPER(TEXT(EDATE($D13,Milestones!$AA$77),"dd mmm yy"))&amp;" "&amp;Milestones!$AB$77&amp;" "&amp;IF(AND(Milestones!$AB$77="FT",Milestones!$AA$77=FT_Y5,EDATE($D13,Milestones!$AA$77)&lt;PolicyEff),1,Milestones!$AC$77)&amp;";  ","")&amp;IF(AND(EDATE($D13,Milestones!$AA$78)&lt;=AsOfDate,EDATE($D13,Milestones!$AA$78)&gt;=SchemeStart,IF($X13=0,$AD13,IF(AND($Z13&lt;&gt;"",EDATE($D13,Milestones!$AA$78)&gt;=$Z13),$AC13,IF(AND($Y13&lt;&gt;"",EDATE($D13,Milestones!$AA$78)&gt;=$Y13),$AB13,$AA13)))=Milestones!$AB$78),UPPER(TEXT(EDATE($D13,Milestones!$AA$78),"dd mmm yy"))&amp;" "&amp;Milestones!$AB$78&amp;" "&amp;IF(AND(Milestones!$AB$78="FT",Milestones!$AA$78=FT_Y5,EDATE($D13,Milestones!$AA$78)&lt;PolicyEff),1,Milestones!$AC$78)&amp;";  ","")&amp;IF(AND(EDATE($D13,Milestones!$AA$79)&lt;=AsOfDate,EDATE($D13,Milestones!$AA$79)&gt;=SchemeStart,IF($X13=0,$AD13,IF(AND($Z13&lt;&gt;"",EDATE($D13,Milestones!$AA$79)&gt;=$Z13),$AC13,IF(AND($Y13&lt;&gt;"",EDATE($D13,Milestones!$AA$79)&gt;=$Y13),$AB13,$AA13)))=Milestones!$AB$79),UPPER(TEXT(EDATE($D13,Milestones!$AA$79),"dd mmm yy"))&amp;" "&amp;Milestones!$AB$79&amp;" "&amp;IF(AND(Milestones!$AB$79="FT",Milestones!$AA$79=FT_Y5,EDATE($D13,Milestones!$AA$79)&lt;PolicyEff),1,Milestones!$AC$79)&amp;";  ",""))</f>
        <v/>
      </c>
      <c r="N13" s="0" t="str">
        <f aca="false">IF(OR($A13="",$D13=""),"",IF(AND(EDATE($D13,Milestones!$AA$80)&lt;=AsOfDate,EDATE($D13,Milestones!$AA$80)&gt;=SchemeStart,IF($X13=0,$AD13,IF(AND($Z13&lt;&gt;"",EDATE($D13,Milestones!$AA$80)&gt;=$Z13),$AC13,IF(AND($Y13&lt;&gt;"",EDATE($D13,Milestones!$AA$80)&gt;=$Y13),$AB13,$AA13)))=Milestones!$AB$80),UPPER(TEXT(EDATE($D13,Milestones!$AA$80),"dd mmm yy"))&amp;" "&amp;Milestones!$AB$80&amp;" "&amp;IF(AND(Milestones!$AB$80="FT",Milestones!$AA$80=FT_Y5,EDATE($D13,Milestones!$AA$80)&lt;PolicyEff),1,Milestones!$AC$80)&amp;";  ","")&amp;IF(AND(EDATE($D13,Milestones!$AA$81)&lt;=AsOfDate,EDATE($D13,Milestones!$AA$81)&gt;=SchemeStart,IF($X13=0,$AD13,IF(AND($Z13&lt;&gt;"",EDATE($D13,Milestones!$AA$81)&gt;=$Z13),$AC13,IF(AND($Y13&lt;&gt;"",EDATE($D13,Milestones!$AA$81)&gt;=$Y13),$AB13,$AA13)))=Milestones!$AB$81),UPPER(TEXT(EDATE($D13,Milestones!$AA$81),"dd mmm yy"))&amp;" "&amp;Milestones!$AB$81&amp;" "&amp;IF(AND(Milestones!$AB$81="FT",Milestones!$AA$81=FT_Y5,EDATE($D13,Milestones!$AA$81)&lt;PolicyEff),1,Milestones!$AC$81)&amp;";  ","")&amp;IF(AND(EDATE($D13,Milestones!$AA$82)&lt;=AsOfDate,EDATE($D13,Milestones!$AA$82)&gt;=SchemeStart,IF($X13=0,$AD13,IF(AND($Z13&lt;&gt;"",EDATE($D13,Milestones!$AA$82)&gt;=$Z13),$AC13,IF(AND($Y13&lt;&gt;"",EDATE($D13,Milestones!$AA$82)&gt;=$Y13),$AB13,$AA13)))=Milestones!$AB$82),UPPER(TEXT(EDATE($D13,Milestones!$AA$82),"dd mmm yy"))&amp;" "&amp;Milestones!$AB$82&amp;" "&amp;IF(AND(Milestones!$AB$82="FT",Milestones!$AA$82=FT_Y5,EDATE($D13,Milestones!$AA$82)&lt;PolicyEff),1,Milestones!$AC$82)&amp;";  ","")&amp;IF(AND(EDATE($D13,Milestones!$AA$83)&lt;=AsOfDate,EDATE($D13,Milestones!$AA$83)&gt;=SchemeStart,IF($X13=0,$AD13,IF(AND($Z13&lt;&gt;"",EDATE($D13,Milestones!$AA$83)&gt;=$Z13),$AC13,IF(AND($Y13&lt;&gt;"",EDATE($D13,Milestones!$AA$83)&gt;=$Y13),$AB13,$AA13)))=Milestones!$AB$83),UPPER(TEXT(EDATE($D13,Milestones!$AA$83),"dd mmm yy"))&amp;" "&amp;Milestones!$AB$83&amp;" "&amp;IF(AND(Milestones!$AB$83="FT",Milestones!$AA$83=FT_Y5,EDATE($D13,Milestones!$AA$83)&lt;PolicyEff),1,Milestones!$AC$83)&amp;";  ","")&amp;IF(AND(EDATE($D13,Milestones!$AA$84)&lt;=AsOfDate,EDATE($D13,Milestones!$AA$84)&gt;=SchemeStart,IF($X13=0,$AD13,IF(AND($Z13&lt;&gt;"",EDATE($D13,Milestones!$AA$84)&gt;=$Z13),$AC13,IF(AND($Y13&lt;&gt;"",EDATE($D13,Milestones!$AA$84)&gt;=$Y13),$AB13,$AA13)))=Milestones!$AB$84),UPPER(TEXT(EDATE($D13,Milestones!$AA$84),"dd mmm yy"))&amp;" "&amp;Milestones!$AB$84&amp;" "&amp;IF(AND(Milestones!$AB$84="FT",Milestones!$AA$84=FT_Y5,EDATE($D13,Milestones!$AA$84)&lt;PolicyEff),1,Milestones!$AC$84)&amp;";  ","")&amp;IF(AND(EDATE($D13,Milestones!$AA$85)&lt;=AsOfDate,EDATE($D13,Milestones!$AA$85)&gt;=SchemeStart,IF($X13=0,$AD13,IF(AND($Z13&lt;&gt;"",EDATE($D13,Milestones!$AA$85)&gt;=$Z13),$AC13,IF(AND($Y13&lt;&gt;"",EDATE($D13,Milestones!$AA$85)&gt;=$Y13),$AB13,$AA13)))=Milestones!$AB$85),UPPER(TEXT(EDATE($D13,Milestones!$AA$85),"dd mmm yy"))&amp;" "&amp;Milestones!$AB$85&amp;" "&amp;IF(AND(Milestones!$AB$85="FT",Milestones!$AA$85=FT_Y5,EDATE($D13,Milestones!$AA$85)&lt;PolicyEff),1,Milestones!$AC$85)&amp;";  ","")&amp;IF(AND(EDATE($D13,Milestones!$AA$86)&lt;=AsOfDate,EDATE($D13,Milestones!$AA$86)&gt;=SchemeStart,IF($X13=0,$AD13,IF(AND($Z13&lt;&gt;"",EDATE($D13,Milestones!$AA$86)&gt;=$Z13),$AC13,IF(AND($Y13&lt;&gt;"",EDATE($D13,Milestones!$AA$86)&gt;=$Y13),$AB13,$AA13)))=Milestones!$AB$86),UPPER(TEXT(EDATE($D13,Milestones!$AA$86),"dd mmm yy"))&amp;" "&amp;Milestones!$AB$86&amp;" "&amp;IF(AND(Milestones!$AB$86="FT",Milestones!$AA$86=FT_Y5,EDATE($D13,Milestones!$AA$86)&lt;PolicyEff),1,Milestones!$AC$86)&amp;";  ","")&amp;IF(AND(EDATE($D13,Milestones!$AA$87)&lt;=AsOfDate,EDATE($D13,Milestones!$AA$87)&gt;=SchemeStart,IF($X13=0,$AD13,IF(AND($Z13&lt;&gt;"",EDATE($D13,Milestones!$AA$87)&gt;=$Z13),$AC13,IF(AND($Y13&lt;&gt;"",EDATE($D13,Milestones!$AA$87)&gt;=$Y13),$AB13,$AA13)))=Milestones!$AB$87),UPPER(TEXT(EDATE($D13,Milestones!$AA$87),"dd mmm yy"))&amp;" "&amp;Milestones!$AB$87&amp;" "&amp;IF(AND(Milestones!$AB$87="FT",Milestones!$AA$87=FT_Y5,EDATE($D13,Milestones!$AA$87)&lt;PolicyEff),1,Milestones!$AC$87)&amp;";  ","")&amp;IF(AND(EDATE($D13,Milestones!$AA$88)&lt;=AsOfDate,EDATE($D13,Milestones!$AA$88)&gt;=SchemeStart,IF($X13=0,$AD13,IF(AND($Z13&lt;&gt;"",EDATE($D13,Milestones!$AA$88)&gt;=$Z13),$AC13,IF(AND($Y13&lt;&gt;"",EDATE($D13,Milestones!$AA$88)&gt;=$Y13),$AB13,$AA13)))=Milestones!$AB$88),UPPER(TEXT(EDATE($D13,Milestones!$AA$88),"dd mmm yy"))&amp;" "&amp;Milestones!$AB$88&amp;" "&amp;IF(AND(Milestones!$AB$88="FT",Milestones!$AA$88=FT_Y5,EDATE($D13,Milestones!$AA$88)&lt;PolicyEff),1,Milestones!$AC$88)&amp;";  ","")&amp;IF(AND(EDATE($D13,Milestones!$AA$89)&lt;=AsOfDate,EDATE($D13,Milestones!$AA$89)&gt;=SchemeStart,IF($X13=0,$AD13,IF(AND($Z13&lt;&gt;"",EDATE($D13,Milestones!$AA$89)&gt;=$Z13),$AC13,IF(AND($Y13&lt;&gt;"",EDATE($D13,Milestones!$AA$89)&gt;=$Y13),$AB13,$AA13)))=Milestones!$AB$89),UPPER(TEXT(EDATE($D13,Milestones!$AA$89),"dd mmm yy"))&amp;" "&amp;Milestones!$AB$89&amp;" "&amp;IF(AND(Milestones!$AB$89="FT",Milestones!$AA$89=FT_Y5,EDATE($D13,Milestones!$AA$89)&lt;PolicyEff),1,Milestones!$AC$89)&amp;";  ","")&amp;IF(AND(EDATE($D13,Milestones!$AA$90)&lt;=AsOfDate,EDATE($D13,Milestones!$AA$90)&gt;=SchemeStart,IF($X13=0,$AD13,IF(AND($Z13&lt;&gt;"",EDATE($D13,Milestones!$AA$90)&gt;=$Z13),$AC13,IF(AND($Y13&lt;&gt;"",EDATE($D13,Milestones!$AA$90)&gt;=$Y13),$AB13,$AA13)))=Milestones!$AB$90),UPPER(TEXT(EDATE($D13,Milestones!$AA$90),"dd mmm yy"))&amp;" "&amp;Milestones!$AB$90&amp;" "&amp;IF(AND(Milestones!$AB$90="FT",Milestones!$AA$90=FT_Y5,EDATE($D13,Milestones!$AA$90)&lt;PolicyEff),1,Milestones!$AC$90)&amp;";  ","")&amp;IF(AND(EDATE($D13,Milestones!$AA$91)&lt;=AsOfDate,EDATE($D13,Milestones!$AA$91)&gt;=SchemeStart,IF($X13=0,$AD13,IF(AND($Z13&lt;&gt;"",EDATE($D13,Milestones!$AA$91)&gt;=$Z13),$AC13,IF(AND($Y13&lt;&gt;"",EDATE($D13,Milestones!$AA$91)&gt;=$Y13),$AB13,$AA13)))=Milestones!$AB$91),UPPER(TEXT(EDATE($D13,Milestones!$AA$91),"dd mmm yy"))&amp;" "&amp;Milestones!$AB$91&amp;" "&amp;IF(AND(Milestones!$AB$91="FT",Milestones!$AA$91=FT_Y5,EDATE($D13,Milestones!$AA$91)&lt;PolicyEff),1,Milestones!$AC$91)&amp;";  ",""))</f>
        <v/>
      </c>
      <c r="O13" s="0" t="str">
        <f aca="false">IF(OR($A13="",$D13=""),"",IF(AND(EDATE($D13,Milestones!$AA$92)&lt;=AsOfDate,EDATE($D13,Milestones!$AA$92)&gt;=SchemeStart,IF($X13=0,$AD13,IF(AND($Z13&lt;&gt;"",EDATE($D13,Milestones!$AA$92)&gt;=$Z13),$AC13,IF(AND($Y13&lt;&gt;"",EDATE($D13,Milestones!$AA$92)&gt;=$Y13),$AB13,$AA13)))=Milestones!$AB$92),UPPER(TEXT(EDATE($D13,Milestones!$AA$92),"dd mmm yy"))&amp;" "&amp;Milestones!$AB$92&amp;" "&amp;IF(AND(Milestones!$AB$92="FT",Milestones!$AA$92=FT_Y5,EDATE($D13,Milestones!$AA$92)&lt;PolicyEff),1,Milestones!$AC$92)&amp;";  ","")&amp;IF(AND(EDATE($D13,Milestones!$AA$93)&lt;=AsOfDate,EDATE($D13,Milestones!$AA$93)&gt;=SchemeStart,IF($X13=0,$AD13,IF(AND($Z13&lt;&gt;"",EDATE($D13,Milestones!$AA$93)&gt;=$Z13),$AC13,IF(AND($Y13&lt;&gt;"",EDATE($D13,Milestones!$AA$93)&gt;=$Y13),$AB13,$AA13)))=Milestones!$AB$93),UPPER(TEXT(EDATE($D13,Milestones!$AA$93),"dd mmm yy"))&amp;" "&amp;Milestones!$AB$93&amp;" "&amp;IF(AND(Milestones!$AB$93="FT",Milestones!$AA$93=FT_Y5,EDATE($D13,Milestones!$AA$93)&lt;PolicyEff),1,Milestones!$AC$93)&amp;";  ","")&amp;IF(AND(EDATE($D13,Milestones!$AA$94)&lt;=AsOfDate,EDATE($D13,Milestones!$AA$94)&gt;=SchemeStart,IF($X13=0,$AD13,IF(AND($Z13&lt;&gt;"",EDATE($D13,Milestones!$AA$94)&gt;=$Z13),$AC13,IF(AND($Y13&lt;&gt;"",EDATE($D13,Milestones!$AA$94)&gt;=$Y13),$AB13,$AA13)))=Milestones!$AB$94),UPPER(TEXT(EDATE($D13,Milestones!$AA$94),"dd mmm yy"))&amp;" "&amp;Milestones!$AB$94&amp;" "&amp;IF(AND(Milestones!$AB$94="FT",Milestones!$AA$94=FT_Y5,EDATE($D13,Milestones!$AA$94)&lt;PolicyEff),1,Milestones!$AC$94)&amp;";  ","")&amp;IF(AND(EDATE($D13,Milestones!$AA$95)&lt;=AsOfDate,EDATE($D13,Milestones!$AA$95)&gt;=SchemeStart,IF($X13=0,$AD13,IF(AND($Z13&lt;&gt;"",EDATE($D13,Milestones!$AA$95)&gt;=$Z13),$AC13,IF(AND($Y13&lt;&gt;"",EDATE($D13,Milestones!$AA$95)&gt;=$Y13),$AB13,$AA13)))=Milestones!$AB$95),UPPER(TEXT(EDATE($D13,Milestones!$AA$95),"dd mmm yy"))&amp;" "&amp;Milestones!$AB$95&amp;" "&amp;IF(AND(Milestones!$AB$95="FT",Milestones!$AA$95=FT_Y5,EDATE($D13,Milestones!$AA$95)&lt;PolicyEff),1,Milestones!$AC$95)&amp;";  ","")&amp;IF(AND(EDATE($D13,Milestones!$AA$96)&lt;=AsOfDate,EDATE($D13,Milestones!$AA$96)&gt;=SchemeStart,IF($X13=0,$AD13,IF(AND($Z13&lt;&gt;"",EDATE($D13,Milestones!$AA$96)&gt;=$Z13),$AC13,IF(AND($Y13&lt;&gt;"",EDATE($D13,Milestones!$AA$96)&gt;=$Y13),$AB13,$AA13)))=Milestones!$AB$96),UPPER(TEXT(EDATE($D13,Milestones!$AA$96),"dd mmm yy"))&amp;" "&amp;Milestones!$AB$96&amp;" "&amp;IF(AND(Milestones!$AB$96="FT",Milestones!$AA$96=FT_Y5,EDATE($D13,Milestones!$AA$96)&lt;PolicyEff),1,Milestones!$AC$96)&amp;";  ","")&amp;IF(AND(EDATE($D13,Milestones!$AA$97)&lt;=AsOfDate,EDATE($D13,Milestones!$AA$97)&gt;=SchemeStart,IF($X13=0,$AD13,IF(AND($Z13&lt;&gt;"",EDATE($D13,Milestones!$AA$97)&gt;=$Z13),$AC13,IF(AND($Y13&lt;&gt;"",EDATE($D13,Milestones!$AA$97)&gt;=$Y13),$AB13,$AA13)))=Milestones!$AB$97),UPPER(TEXT(EDATE($D13,Milestones!$AA$97),"dd mmm yy"))&amp;" "&amp;Milestones!$AB$97&amp;" "&amp;IF(AND(Milestones!$AB$97="FT",Milestones!$AA$97=FT_Y5,EDATE($D13,Milestones!$AA$97)&lt;PolicyEff),1,Milestones!$AC$97)&amp;";  ","")&amp;IF(AND(EDATE($D13,Milestones!$AA$98)&lt;=AsOfDate,EDATE($D13,Milestones!$AA$98)&gt;=SchemeStart,IF($X13=0,$AD13,IF(AND($Z13&lt;&gt;"",EDATE($D13,Milestones!$AA$98)&gt;=$Z13),$AC13,IF(AND($Y13&lt;&gt;"",EDATE($D13,Milestones!$AA$98)&gt;=$Y13),$AB13,$AA13)))=Milestones!$AB$98),UPPER(TEXT(EDATE($D13,Milestones!$AA$98),"dd mmm yy"))&amp;" "&amp;Milestones!$AB$98&amp;" "&amp;IF(AND(Milestones!$AB$98="FT",Milestones!$AA$98=FT_Y5,EDATE($D13,Milestones!$AA$98)&lt;PolicyEff),1,Milestones!$AC$98)&amp;";  ","")&amp;IF(AND(EDATE($D13,Milestones!$AA$99)&lt;=AsOfDate,EDATE($D13,Milestones!$AA$99)&gt;=SchemeStart,IF($X13=0,$AD13,IF(AND($Z13&lt;&gt;"",EDATE($D13,Milestones!$AA$99)&gt;=$Z13),$AC13,IF(AND($Y13&lt;&gt;"",EDATE($D13,Milestones!$AA$99)&gt;=$Y13),$AB13,$AA13)))=Milestones!$AB$99),UPPER(TEXT(EDATE($D13,Milestones!$AA$99),"dd mmm yy"))&amp;" "&amp;Milestones!$AB$99&amp;" "&amp;IF(AND(Milestones!$AB$99="FT",Milestones!$AA$99=FT_Y5,EDATE($D13,Milestones!$AA$99)&lt;PolicyEff),1,Milestones!$AC$99)&amp;";  ","")&amp;IF(AND(EDATE($D13,Milestones!$AA$100)&lt;=AsOfDate,EDATE($D13,Milestones!$AA$100)&gt;=SchemeStart,IF($X13=0,$AD13,IF(AND($Z13&lt;&gt;"",EDATE($D13,Milestones!$AA$100)&gt;=$Z13),$AC13,IF(AND($Y13&lt;&gt;"",EDATE($D13,Milestones!$AA$100)&gt;=$Y13),$AB13,$AA13)))=Milestones!$AB$100),UPPER(TEXT(EDATE($D13,Milestones!$AA$100),"dd mmm yy"))&amp;" "&amp;Milestones!$AB$100&amp;" "&amp;IF(AND(Milestones!$AB$100="FT",Milestones!$AA$100=FT_Y5,EDATE($D13,Milestones!$AA$100)&lt;PolicyEff),1,Milestones!$AC$100)&amp;";  ","")&amp;IF(AND(EDATE($D13,Milestones!$AA$101)&lt;=AsOfDate,EDATE($D13,Milestones!$AA$101)&gt;=SchemeStart,IF($X13=0,$AD13,IF(AND($Z13&lt;&gt;"",EDATE($D13,Milestones!$AA$101)&gt;=$Z13),$AC13,IF(AND($Y13&lt;&gt;"",EDATE($D13,Milestones!$AA$101)&gt;=$Y13),$AB13,$AA13)))=Milestones!$AB$101),UPPER(TEXT(EDATE($D13,Milestones!$AA$101),"dd mmm yy"))&amp;" "&amp;Milestones!$AB$101&amp;" "&amp;IF(AND(Milestones!$AB$101="FT",Milestones!$AA$101=FT_Y5,EDATE($D13,Milestones!$AA$101)&lt;PolicyEff),1,Milestones!$AC$101)&amp;";  ","")&amp;IF(AND(EDATE($D13,Milestones!$AA$102)&lt;=AsOfDate,EDATE($D13,Milestones!$AA$102)&gt;=SchemeStart,IF($X13=0,$AD13,IF(AND($Z13&lt;&gt;"",EDATE($D13,Milestones!$AA$102)&gt;=$Z13),$AC13,IF(AND($Y13&lt;&gt;"",EDATE($D13,Milestones!$AA$102)&gt;=$Y13),$AB13,$AA13)))=Milestones!$AB$102),UPPER(TEXT(EDATE($D13,Milestones!$AA$102),"dd mmm yy"))&amp;" "&amp;Milestones!$AB$102&amp;" "&amp;IF(AND(Milestones!$AB$102="FT",Milestones!$AA$102=FT_Y5,EDATE($D13,Milestones!$AA$102)&lt;PolicyEff),1,Milestones!$AC$102)&amp;";  ","")&amp;IF(AND(EDATE($D13,Milestones!$AA$103)&lt;=AsOfDate,EDATE($D13,Milestones!$AA$103)&gt;=SchemeStart,IF($X13=0,$AD13,IF(AND($Z13&lt;&gt;"",EDATE($D13,Milestones!$AA$103)&gt;=$Z13),$AC13,IF(AND($Y13&lt;&gt;"",EDATE($D13,Milestones!$AA$103)&gt;=$Y13),$AB13,$AA13)))=Milestones!$AB$103),UPPER(TEXT(EDATE($D13,Milestones!$AA$103),"dd mmm yy"))&amp;" "&amp;Milestones!$AB$103&amp;" "&amp;IF(AND(Milestones!$AB$103="FT",Milestones!$AA$103=FT_Y5,EDATE($D13,Milestones!$AA$103)&lt;PolicyEff),1,Milestones!$AC$103)&amp;";  ",""))</f>
        <v/>
      </c>
      <c r="P13" s="0" t="str">
        <f aca="false">IF(OR($A13="",$D13=""),"",IF(AND(EDATE($D13,Milestones!$AA$104)&lt;=AsOfDate,EDATE($D13,Milestones!$AA$104)&gt;=SchemeStart,IF($X13=0,$AD13,IF(AND($Z13&lt;&gt;"",EDATE($D13,Milestones!$AA$104)&gt;=$Z13),$AC13,IF(AND($Y13&lt;&gt;"",EDATE($D13,Milestones!$AA$104)&gt;=$Y13),$AB13,$AA13)))=Milestones!$AB$104),UPPER(TEXT(EDATE($D13,Milestones!$AA$104),"dd mmm yy"))&amp;" "&amp;Milestones!$AB$104&amp;" "&amp;IF(AND(Milestones!$AB$104="FT",Milestones!$AA$104=FT_Y5,EDATE($D13,Milestones!$AA$104)&lt;PolicyEff),1,Milestones!$AC$104)&amp;";  ","")&amp;IF(AND(EDATE($D13,Milestones!$AA$105)&lt;=AsOfDate,EDATE($D13,Milestones!$AA$105)&gt;=SchemeStart,IF($X13=0,$AD13,IF(AND($Z13&lt;&gt;"",EDATE($D13,Milestones!$AA$105)&gt;=$Z13),$AC13,IF(AND($Y13&lt;&gt;"",EDATE($D13,Milestones!$AA$105)&gt;=$Y13),$AB13,$AA13)))=Milestones!$AB$105),UPPER(TEXT(EDATE($D13,Milestones!$AA$105),"dd mmm yy"))&amp;" "&amp;Milestones!$AB$105&amp;" "&amp;IF(AND(Milestones!$AB$105="FT",Milestones!$AA$105=FT_Y5,EDATE($D13,Milestones!$AA$105)&lt;PolicyEff),1,Milestones!$AC$105)&amp;";  ","")&amp;IF(AND(EDATE($D13,Milestones!$AA$106)&lt;=AsOfDate,EDATE($D13,Milestones!$AA$106)&gt;=SchemeStart,IF($X13=0,$AD13,IF(AND($Z13&lt;&gt;"",EDATE($D13,Milestones!$AA$106)&gt;=$Z13),$AC13,IF(AND($Y13&lt;&gt;"",EDATE($D13,Milestones!$AA$106)&gt;=$Y13),$AB13,$AA13)))=Milestones!$AB$106),UPPER(TEXT(EDATE($D13,Milestones!$AA$106),"dd mmm yy"))&amp;" "&amp;Milestones!$AB$106&amp;" "&amp;IF(AND(Milestones!$AB$106="FT",Milestones!$AA$106=FT_Y5,EDATE($D13,Milestones!$AA$106)&lt;PolicyEff),1,Milestones!$AC$106)&amp;";  ","")&amp;IF(AND(EDATE($D13,Milestones!$AA$107)&lt;=AsOfDate,EDATE($D13,Milestones!$AA$107)&gt;=SchemeStart,IF($X13=0,$AD13,IF(AND($Z13&lt;&gt;"",EDATE($D13,Milestones!$AA$107)&gt;=$Z13),$AC13,IF(AND($Y13&lt;&gt;"",EDATE($D13,Milestones!$AA$107)&gt;=$Y13),$AB13,$AA13)))=Milestones!$AB$107),UPPER(TEXT(EDATE($D13,Milestones!$AA$107),"dd mmm yy"))&amp;" "&amp;Milestones!$AB$107&amp;" "&amp;IF(AND(Milestones!$AB$107="FT",Milestones!$AA$107=FT_Y5,EDATE($D13,Milestones!$AA$107)&lt;PolicyEff),1,Milestones!$AC$107)&amp;";  ","")&amp;IF(AND(EDATE($D13,Milestones!$AA$108)&lt;=AsOfDate,EDATE($D13,Milestones!$AA$108)&gt;=SchemeStart,IF($X13=0,$AD13,IF(AND($Z13&lt;&gt;"",EDATE($D13,Milestones!$AA$108)&gt;=$Z13),$AC13,IF(AND($Y13&lt;&gt;"",EDATE($D13,Milestones!$AA$108)&gt;=$Y13),$AB13,$AA13)))=Milestones!$AB$108),UPPER(TEXT(EDATE($D13,Milestones!$AA$108),"dd mmm yy"))&amp;" "&amp;Milestones!$AB$108&amp;" "&amp;IF(AND(Milestones!$AB$108="FT",Milestones!$AA$108=FT_Y5,EDATE($D13,Milestones!$AA$108)&lt;PolicyEff),1,Milestones!$AC$108)&amp;";  ","")&amp;IF(AND(EDATE($D13,Milestones!$AA$109)&lt;=AsOfDate,EDATE($D13,Milestones!$AA$109)&gt;=SchemeStart,IF($X13=0,$AD13,IF(AND($Z13&lt;&gt;"",EDATE($D13,Milestones!$AA$109)&gt;=$Z13),$AC13,IF(AND($Y13&lt;&gt;"",EDATE($D13,Milestones!$AA$109)&gt;=$Y13),$AB13,$AA13)))=Milestones!$AB$109),UPPER(TEXT(EDATE($D13,Milestones!$AA$109),"dd mmm yy"))&amp;" "&amp;Milestones!$AB$109&amp;" "&amp;IF(AND(Milestones!$AB$109="FT",Milestones!$AA$109=FT_Y5,EDATE($D13,Milestones!$AA$109)&lt;PolicyEff),1,Milestones!$AC$109)&amp;";  ","")&amp;IF(AND(EDATE($D13,Milestones!$AA$110)&lt;=AsOfDate,EDATE($D13,Milestones!$AA$110)&gt;=SchemeStart,IF($X13=0,$AD13,IF(AND($Z13&lt;&gt;"",EDATE($D13,Milestones!$AA$110)&gt;=$Z13),$AC13,IF(AND($Y13&lt;&gt;"",EDATE($D13,Milestones!$AA$110)&gt;=$Y13),$AB13,$AA13)))=Milestones!$AB$110),UPPER(TEXT(EDATE($D13,Milestones!$AA$110),"dd mmm yy"))&amp;" "&amp;Milestones!$AB$110&amp;" "&amp;IF(AND(Milestones!$AB$110="FT",Milestones!$AA$110=FT_Y5,EDATE($D13,Milestones!$AA$110)&lt;PolicyEff),1,Milestones!$AC$110)&amp;";  ","")&amp;IF(AND(EDATE($D13,Milestones!$AA$111)&lt;=AsOfDate,EDATE($D13,Milestones!$AA$111)&gt;=SchemeStart,IF($X13=0,$AD13,IF(AND($Z13&lt;&gt;"",EDATE($D13,Milestones!$AA$111)&gt;=$Z13),$AC13,IF(AND($Y13&lt;&gt;"",EDATE($D13,Milestones!$AA$111)&gt;=$Y13),$AB13,$AA13)))=Milestones!$AB$111),UPPER(TEXT(EDATE($D13,Milestones!$AA$111),"dd mmm yy"))&amp;" "&amp;Milestones!$AB$111&amp;" "&amp;IF(AND(Milestones!$AB$111="FT",Milestones!$AA$111=FT_Y5,EDATE($D13,Milestones!$AA$111)&lt;PolicyEff),1,Milestones!$AC$111)&amp;";  ","")&amp;IF(AND(EDATE($D13,Milestones!$AA$112)&lt;=AsOfDate,EDATE($D13,Milestones!$AA$112)&gt;=SchemeStart,IF($X13=0,$AD13,IF(AND($Z13&lt;&gt;"",EDATE($D13,Milestones!$AA$112)&gt;=$Z13),$AC13,IF(AND($Y13&lt;&gt;"",EDATE($D13,Milestones!$AA$112)&gt;=$Y13),$AB13,$AA13)))=Milestones!$AB$112),UPPER(TEXT(EDATE($D13,Milestones!$AA$112),"dd mmm yy"))&amp;" "&amp;Milestones!$AB$112&amp;" "&amp;IF(AND(Milestones!$AB$112="FT",Milestones!$AA$112=FT_Y5,EDATE($D13,Milestones!$AA$112)&lt;PolicyEff),1,Milestones!$AC$112)&amp;";  ","")&amp;IF(AND(EDATE($D13,Milestones!$AA$113)&lt;=AsOfDate,EDATE($D13,Milestones!$AA$113)&gt;=SchemeStart,IF($X13=0,$AD13,IF(AND($Z13&lt;&gt;"",EDATE($D13,Milestones!$AA$113)&gt;=$Z13),$AC13,IF(AND($Y13&lt;&gt;"",EDATE($D13,Milestones!$AA$113)&gt;=$Y13),$AB13,$AA13)))=Milestones!$AB$113),UPPER(TEXT(EDATE($D13,Milestones!$AA$113),"dd mmm yy"))&amp;" "&amp;Milestones!$AB$113&amp;" "&amp;IF(AND(Milestones!$AB$113="FT",Milestones!$AA$113=FT_Y5,EDATE($D13,Milestones!$AA$113)&lt;PolicyEff),1,Milestones!$AC$113)&amp;";  ","")&amp;IF(AND(EDATE($D13,Milestones!$AA$114)&lt;=AsOfDate,EDATE($D13,Milestones!$AA$114)&gt;=SchemeStart,IF($X13=0,$AD13,IF(AND($Z13&lt;&gt;"",EDATE($D13,Milestones!$AA$114)&gt;=$Z13),$AC13,IF(AND($Y13&lt;&gt;"",EDATE($D13,Milestones!$AA$114)&gt;=$Y13),$AB13,$AA13)))=Milestones!$AB$114),UPPER(TEXT(EDATE($D13,Milestones!$AA$114),"dd mmm yy"))&amp;" "&amp;Milestones!$AB$114&amp;" "&amp;IF(AND(Milestones!$AB$114="FT",Milestones!$AA$114=FT_Y5,EDATE($D13,Milestones!$AA$114)&lt;PolicyEff),1,Milestones!$AC$114)&amp;";  ","")&amp;IF(AND(EDATE($D13,Milestones!$AA$115)&lt;=AsOfDate,EDATE($D13,Milestones!$AA$115)&gt;=SchemeStart,IF($X13=0,$AD13,IF(AND($Z13&lt;&gt;"",EDATE($D13,Milestones!$AA$115)&gt;=$Z13),$AC13,IF(AND($Y13&lt;&gt;"",EDATE($D13,Milestones!$AA$115)&gt;=$Y13),$AB13,$AA13)))=Milestones!$AB$115),UPPER(TEXT(EDATE($D13,Milestones!$AA$115),"dd mmm yy"))&amp;" "&amp;Milestones!$AB$115&amp;" "&amp;IF(AND(Milestones!$AB$115="FT",Milestones!$AA$115=FT_Y5,EDATE($D13,Milestones!$AA$115)&lt;PolicyEff),1,Milestones!$AC$115)&amp;";  ",""))</f>
        <v/>
      </c>
      <c r="Q13" s="0" t="str">
        <f aca="false">IF(OR($A13="",$D13=""),"",IF(AND(EDATE($D13,Milestones!$AA$116)&lt;=AsOfDate,EDATE($D13,Milestones!$AA$116)&gt;=SchemeStart,IF($X13=0,$AD13,IF(AND($Z13&lt;&gt;"",EDATE($D13,Milestones!$AA$116)&gt;=$Z13),$AC13,IF(AND($Y13&lt;&gt;"",EDATE($D13,Milestones!$AA$116)&gt;=$Y13),$AB13,$AA13)))=Milestones!$AB$116),UPPER(TEXT(EDATE($D13,Milestones!$AA$116),"dd mmm yy"))&amp;" "&amp;Milestones!$AB$116&amp;" "&amp;IF(AND(Milestones!$AB$116="FT",Milestones!$AA$116=FT_Y5,EDATE($D13,Milestones!$AA$116)&lt;PolicyEff),1,Milestones!$AC$116)&amp;";  ","")&amp;IF(AND(EDATE($D13,Milestones!$AA$117)&lt;=AsOfDate,EDATE($D13,Milestones!$AA$117)&gt;=SchemeStart,IF($X13=0,$AD13,IF(AND($Z13&lt;&gt;"",EDATE($D13,Milestones!$AA$117)&gt;=$Z13),$AC13,IF(AND($Y13&lt;&gt;"",EDATE($D13,Milestones!$AA$117)&gt;=$Y13),$AB13,$AA13)))=Milestones!$AB$117),UPPER(TEXT(EDATE($D13,Milestones!$AA$117),"dd mmm yy"))&amp;" "&amp;Milestones!$AB$117&amp;" "&amp;IF(AND(Milestones!$AB$117="FT",Milestones!$AA$117=FT_Y5,EDATE($D13,Milestones!$AA$117)&lt;PolicyEff),1,Milestones!$AC$117)&amp;";  ","")&amp;IF(AND(EDATE($D13,Milestones!$AA$118)&lt;=AsOfDate,EDATE($D13,Milestones!$AA$118)&gt;=SchemeStart,IF($X13=0,$AD13,IF(AND($Z13&lt;&gt;"",EDATE($D13,Milestones!$AA$118)&gt;=$Z13),$AC13,IF(AND($Y13&lt;&gt;"",EDATE($D13,Milestones!$AA$118)&gt;=$Y13),$AB13,$AA13)))=Milestones!$AB$118),UPPER(TEXT(EDATE($D13,Milestones!$AA$118),"dd mmm yy"))&amp;" "&amp;Milestones!$AB$118&amp;" "&amp;IF(AND(Milestones!$AB$118="FT",Milestones!$AA$118=FT_Y5,EDATE($D13,Milestones!$AA$118)&lt;PolicyEff),1,Milestones!$AC$118)&amp;";  ","")&amp;IF(AND(EDATE($D13,Milestones!$AA$119)&lt;=AsOfDate,EDATE($D13,Milestones!$AA$119)&gt;=SchemeStart,IF($X13=0,$AD13,IF(AND($Z13&lt;&gt;"",EDATE($D13,Milestones!$AA$119)&gt;=$Z13),$AC13,IF(AND($Y13&lt;&gt;"",EDATE($D13,Milestones!$AA$119)&gt;=$Y13),$AB13,$AA13)))=Milestones!$AB$119),UPPER(TEXT(EDATE($D13,Milestones!$AA$119),"dd mmm yy"))&amp;" "&amp;Milestones!$AB$119&amp;" "&amp;IF(AND(Milestones!$AB$119="FT",Milestones!$AA$119=FT_Y5,EDATE($D13,Milestones!$AA$119)&lt;PolicyEff),1,Milestones!$AC$119)&amp;";  ","")&amp;IF(AND(EDATE($D13,Milestones!$AA$120)&lt;=AsOfDate,EDATE($D13,Milestones!$AA$120)&gt;=SchemeStart,IF($X13=0,$AD13,IF(AND($Z13&lt;&gt;"",EDATE($D13,Milestones!$AA$120)&gt;=$Z13),$AC13,IF(AND($Y13&lt;&gt;"",EDATE($D13,Milestones!$AA$120)&gt;=$Y13),$AB13,$AA13)))=Milestones!$AB$120),UPPER(TEXT(EDATE($D13,Milestones!$AA$120),"dd mmm yy"))&amp;" "&amp;Milestones!$AB$120&amp;" "&amp;IF(AND(Milestones!$AB$120="FT",Milestones!$AA$120=FT_Y5,EDATE($D13,Milestones!$AA$120)&lt;PolicyEff),1,Milestones!$AC$120)&amp;";  ","")&amp;IF(AND(EDATE($D13,Milestones!$AA$121)&lt;=AsOfDate,EDATE($D13,Milestones!$AA$121)&gt;=SchemeStart,IF($X13=0,$AD13,IF(AND($Z13&lt;&gt;"",EDATE($D13,Milestones!$AA$121)&gt;=$Z13),$AC13,IF(AND($Y13&lt;&gt;"",EDATE($D13,Milestones!$AA$121)&gt;=$Y13),$AB13,$AA13)))=Milestones!$AB$121),UPPER(TEXT(EDATE($D13,Milestones!$AA$121),"dd mmm yy"))&amp;" "&amp;Milestones!$AB$121&amp;" "&amp;IF(AND(Milestones!$AB$121="FT",Milestones!$AA$121=FT_Y5,EDATE($D13,Milestones!$AA$121)&lt;PolicyEff),1,Milestones!$AC$121)&amp;";  ","")&amp;IF(AND(EDATE($D13,Milestones!$AA$122)&lt;=AsOfDate,EDATE($D13,Milestones!$AA$122)&gt;=SchemeStart,IF($X13=0,$AD13,IF(AND($Z13&lt;&gt;"",EDATE($D13,Milestones!$AA$122)&gt;=$Z13),$AC13,IF(AND($Y13&lt;&gt;"",EDATE($D13,Milestones!$AA$122)&gt;=$Y13),$AB13,$AA13)))=Milestones!$AB$122),UPPER(TEXT(EDATE($D13,Milestones!$AA$122),"dd mmm yy"))&amp;" "&amp;Milestones!$AB$122&amp;" "&amp;IF(AND(Milestones!$AB$122="FT",Milestones!$AA$122=FT_Y5,EDATE($D13,Milestones!$AA$122)&lt;PolicyEff),1,Milestones!$AC$122)&amp;";  ","")&amp;IF(AND(EDATE($D13,Milestones!$AA$123)&lt;=AsOfDate,EDATE($D13,Milestones!$AA$123)&gt;=SchemeStart,IF($X13=0,$AD13,IF(AND($Z13&lt;&gt;"",EDATE($D13,Milestones!$AA$123)&gt;=$Z13),$AC13,IF(AND($Y13&lt;&gt;"",EDATE($D13,Milestones!$AA$123)&gt;=$Y13),$AB13,$AA13)))=Milestones!$AB$123),UPPER(TEXT(EDATE($D13,Milestones!$AA$123),"dd mmm yy"))&amp;" "&amp;Milestones!$AB$123&amp;" "&amp;IF(AND(Milestones!$AB$123="FT",Milestones!$AA$123=FT_Y5,EDATE($D13,Milestones!$AA$123)&lt;PolicyEff),1,Milestones!$AC$123)&amp;";  ","")&amp;IF(AND(EDATE($D13,Milestones!$AA$124)&lt;=AsOfDate,EDATE($D13,Milestones!$AA$124)&gt;=SchemeStart,IF($X13=0,$AD13,IF(AND($Z13&lt;&gt;"",EDATE($D13,Milestones!$AA$124)&gt;=$Z13),$AC13,IF(AND($Y13&lt;&gt;"",EDATE($D13,Milestones!$AA$124)&gt;=$Y13),$AB13,$AA13)))=Milestones!$AB$124),UPPER(TEXT(EDATE($D13,Milestones!$AA$124),"dd mmm yy"))&amp;" "&amp;Milestones!$AB$124&amp;" "&amp;IF(AND(Milestones!$AB$124="FT",Milestones!$AA$124=FT_Y5,EDATE($D13,Milestones!$AA$124)&lt;PolicyEff),1,Milestones!$AC$124)&amp;";  ","")&amp;IF(AND(EDATE($D13,Milestones!$AA$125)&lt;=AsOfDate,EDATE($D13,Milestones!$AA$125)&gt;=SchemeStart,IF($X13=0,$AD13,IF(AND($Z13&lt;&gt;"",EDATE($D13,Milestones!$AA$125)&gt;=$Z13),$AC13,IF(AND($Y13&lt;&gt;"",EDATE($D13,Milestones!$AA$125)&gt;=$Y13),$AB13,$AA13)))=Milestones!$AB$125),UPPER(TEXT(EDATE($D13,Milestones!$AA$125),"dd mmm yy"))&amp;" "&amp;Milestones!$AB$125&amp;" "&amp;IF(AND(Milestones!$AB$125="FT",Milestones!$AA$125=FT_Y5,EDATE($D13,Milestones!$AA$125)&lt;PolicyEff),1,Milestones!$AC$125)&amp;";  ","")&amp;IF(AND(EDATE($D13,Milestones!$AA$126)&lt;=AsOfDate,EDATE($D13,Milestones!$AA$126)&gt;=SchemeStart,IF($X13=0,$AD13,IF(AND($Z13&lt;&gt;"",EDATE($D13,Milestones!$AA$126)&gt;=$Z13),$AC13,IF(AND($Y13&lt;&gt;"",EDATE($D13,Milestones!$AA$126)&gt;=$Y13),$AB13,$AA13)))=Milestones!$AB$126),UPPER(TEXT(EDATE($D13,Milestones!$AA$126),"dd mmm yy"))&amp;" "&amp;Milestones!$AB$126&amp;" "&amp;IF(AND(Milestones!$AB$126="FT",Milestones!$AA$126=FT_Y5,EDATE($D13,Milestones!$AA$126)&lt;PolicyEff),1,Milestones!$AC$126)&amp;";  ","")&amp;IF(AND(EDATE($D13,Milestones!$AA$127)&lt;=AsOfDate,EDATE($D13,Milestones!$AA$127)&gt;=SchemeStart,IF($X13=0,$AD13,IF(AND($Z13&lt;&gt;"",EDATE($D13,Milestones!$AA$127)&gt;=$Z13),$AC13,IF(AND($Y13&lt;&gt;"",EDATE($D13,Milestones!$AA$127)&gt;=$Y13),$AB13,$AA13)))=Milestones!$AB$127),UPPER(TEXT(EDATE($D13,Milestones!$AA$127),"dd mmm yy"))&amp;" "&amp;Milestones!$AB$127&amp;" "&amp;IF(AND(Milestones!$AB$127="FT",Milestones!$AA$127=FT_Y5,EDATE($D13,Milestones!$AA$127)&lt;PolicyEff),1,Milestones!$AC$127)&amp;";  ",""))</f>
        <v/>
      </c>
      <c r="R13" s="0" t="str">
        <f aca="false">IF(OR($A13="",$D13=""),"",IF(AND(EDATE($D13,Milestones!$AA$128)&lt;=AsOfDate,EDATE($D13,Milestones!$AA$128)&gt;=SchemeStart,IF($X13=0,$AD13,IF(AND($Z13&lt;&gt;"",EDATE($D13,Milestones!$AA$128)&gt;=$Z13),$AC13,IF(AND($Y13&lt;&gt;"",EDATE($D13,Milestones!$AA$128)&gt;=$Y13),$AB13,$AA13)))=Milestones!$AB$128),UPPER(TEXT(EDATE($D13,Milestones!$AA$128),"dd mmm yy"))&amp;" "&amp;Milestones!$AB$128&amp;" "&amp;IF(AND(Milestones!$AB$128="FT",Milestones!$AA$128=FT_Y5,EDATE($D13,Milestones!$AA$128)&lt;PolicyEff),1,Milestones!$AC$128)&amp;";  ","")&amp;IF(AND(EDATE($D13,Milestones!$AA$129)&lt;=AsOfDate,EDATE($D13,Milestones!$AA$129)&gt;=SchemeStart,IF($X13=0,$AD13,IF(AND($Z13&lt;&gt;"",EDATE($D13,Milestones!$AA$129)&gt;=$Z13),$AC13,IF(AND($Y13&lt;&gt;"",EDATE($D13,Milestones!$AA$129)&gt;=$Y13),$AB13,$AA13)))=Milestones!$AB$129),UPPER(TEXT(EDATE($D13,Milestones!$AA$129),"dd mmm yy"))&amp;" "&amp;Milestones!$AB$129&amp;" "&amp;IF(AND(Milestones!$AB$129="FT",Milestones!$AA$129=FT_Y5,EDATE($D13,Milestones!$AA$129)&lt;PolicyEff),1,Milestones!$AC$129)&amp;";  ","")&amp;IF(AND(EDATE($D13,Milestones!$AA$130)&lt;=AsOfDate,EDATE($D13,Milestones!$AA$130)&gt;=SchemeStart,IF($X13=0,$AD13,IF(AND($Z13&lt;&gt;"",EDATE($D13,Milestones!$AA$130)&gt;=$Z13),$AC13,IF(AND($Y13&lt;&gt;"",EDATE($D13,Milestones!$AA$130)&gt;=$Y13),$AB13,$AA13)))=Milestones!$AB$130),UPPER(TEXT(EDATE($D13,Milestones!$AA$130),"dd mmm yy"))&amp;" "&amp;Milestones!$AB$130&amp;" "&amp;IF(AND(Milestones!$AB$130="FT",Milestones!$AA$130=FT_Y5,EDATE($D13,Milestones!$AA$130)&lt;PolicyEff),1,Milestones!$AC$130)&amp;";  ","")&amp;IF(AND(EDATE($D13,Milestones!$AA$131)&lt;=AsOfDate,EDATE($D13,Milestones!$AA$131)&gt;=SchemeStart,IF($X13=0,$AD13,IF(AND($Z13&lt;&gt;"",EDATE($D13,Milestones!$AA$131)&gt;=$Z13),$AC13,IF(AND($Y13&lt;&gt;"",EDATE($D13,Milestones!$AA$131)&gt;=$Y13),$AB13,$AA13)))=Milestones!$AB$131),UPPER(TEXT(EDATE($D13,Milestones!$AA$131),"dd mmm yy"))&amp;" "&amp;Milestones!$AB$131&amp;" "&amp;IF(AND(Milestones!$AB$131="FT",Milestones!$AA$131=FT_Y5,EDATE($D13,Milestones!$AA$131)&lt;PolicyEff),1,Milestones!$AC$131)&amp;";  ","")&amp;IF(AND(EDATE($D13,Milestones!$AA$132)&lt;=AsOfDate,EDATE($D13,Milestones!$AA$132)&gt;=SchemeStart,IF($X13=0,$AD13,IF(AND($Z13&lt;&gt;"",EDATE($D13,Milestones!$AA$132)&gt;=$Z13),$AC13,IF(AND($Y13&lt;&gt;"",EDATE($D13,Milestones!$AA$132)&gt;=$Y13),$AB13,$AA13)))=Milestones!$AB$132),UPPER(TEXT(EDATE($D13,Milestones!$AA$132),"dd mmm yy"))&amp;" "&amp;Milestones!$AB$132&amp;" "&amp;IF(AND(Milestones!$AB$132="FT",Milestones!$AA$132=FT_Y5,EDATE($D13,Milestones!$AA$132)&lt;PolicyEff),1,Milestones!$AC$132)&amp;";  ","")&amp;IF(AND(EDATE($D13,Milestones!$AA$133)&lt;=AsOfDate,EDATE($D13,Milestones!$AA$133)&gt;=SchemeStart,IF($X13=0,$AD13,IF(AND($Z13&lt;&gt;"",EDATE($D13,Milestones!$AA$133)&gt;=$Z13),$AC13,IF(AND($Y13&lt;&gt;"",EDATE($D13,Milestones!$AA$133)&gt;=$Y13),$AB13,$AA13)))=Milestones!$AB$133),UPPER(TEXT(EDATE($D13,Milestones!$AA$133),"dd mmm yy"))&amp;" "&amp;Milestones!$AB$133&amp;" "&amp;IF(AND(Milestones!$AB$133="FT",Milestones!$AA$133=FT_Y5,EDATE($D13,Milestones!$AA$133)&lt;PolicyEff),1,Milestones!$AC$133)&amp;";  ","")&amp;IF(AND(EDATE($D13,Milestones!$AA$134)&lt;=AsOfDate,EDATE($D13,Milestones!$AA$134)&gt;=SchemeStart,IF($X13=0,$AD13,IF(AND($Z13&lt;&gt;"",EDATE($D13,Milestones!$AA$134)&gt;=$Z13),$AC13,IF(AND($Y13&lt;&gt;"",EDATE($D13,Milestones!$AA$134)&gt;=$Y13),$AB13,$AA13)))=Milestones!$AB$134),UPPER(TEXT(EDATE($D13,Milestones!$AA$134),"dd mmm yy"))&amp;" "&amp;Milestones!$AB$134&amp;" "&amp;IF(AND(Milestones!$AB$134="FT",Milestones!$AA$134=FT_Y5,EDATE($D13,Milestones!$AA$134)&lt;PolicyEff),1,Milestones!$AC$134)&amp;";  ","")&amp;IF(AND(EDATE($D13,Milestones!$AA$135)&lt;=AsOfDate,EDATE($D13,Milestones!$AA$135)&gt;=SchemeStart,IF($X13=0,$AD13,IF(AND($Z13&lt;&gt;"",EDATE($D13,Milestones!$AA$135)&gt;=$Z13),$AC13,IF(AND($Y13&lt;&gt;"",EDATE($D13,Milestones!$AA$135)&gt;=$Y13),$AB13,$AA13)))=Milestones!$AB$135),UPPER(TEXT(EDATE($D13,Milestones!$AA$135),"dd mmm yy"))&amp;" "&amp;Milestones!$AB$135&amp;" "&amp;IF(AND(Milestones!$AB$135="FT",Milestones!$AA$135=FT_Y5,EDATE($D13,Milestones!$AA$135)&lt;PolicyEff),1,Milestones!$AC$135)&amp;";  ","")&amp;IF(AND(EDATE($D13,Milestones!$AA$136)&lt;=AsOfDate,EDATE($D13,Milestones!$AA$136)&gt;=SchemeStart,IF($X13=0,$AD13,IF(AND($Z13&lt;&gt;"",EDATE($D13,Milestones!$AA$136)&gt;=$Z13),$AC13,IF(AND($Y13&lt;&gt;"",EDATE($D13,Milestones!$AA$136)&gt;=$Y13),$AB13,$AA13)))=Milestones!$AB$136),UPPER(TEXT(EDATE($D13,Milestones!$AA$136),"dd mmm yy"))&amp;" "&amp;Milestones!$AB$136&amp;" "&amp;IF(AND(Milestones!$AB$136="FT",Milestones!$AA$136=FT_Y5,EDATE($D13,Milestones!$AA$136)&lt;PolicyEff),1,Milestones!$AC$136)&amp;";  ","")&amp;IF(AND(EDATE($D13,Milestones!$AA$137)&lt;=AsOfDate,EDATE($D13,Milestones!$AA$137)&gt;=SchemeStart,IF($X13=0,$AD13,IF(AND($Z13&lt;&gt;"",EDATE($D13,Milestones!$AA$137)&gt;=$Z13),$AC13,IF(AND($Y13&lt;&gt;"",EDATE($D13,Milestones!$AA$137)&gt;=$Y13),$AB13,$AA13)))=Milestones!$AB$137),UPPER(TEXT(EDATE($D13,Milestones!$AA$137),"dd mmm yy"))&amp;" "&amp;Milestones!$AB$137&amp;" "&amp;IF(AND(Milestones!$AB$137="FT",Milestones!$AA$137=FT_Y5,EDATE($D13,Milestones!$AA$137)&lt;PolicyEff),1,Milestones!$AC$137)&amp;";  ","")&amp;IF(AND(EDATE($D13,Milestones!$AA$138)&lt;=AsOfDate,EDATE($D13,Milestones!$AA$138)&gt;=SchemeStart,IF($X13=0,$AD13,IF(AND($Z13&lt;&gt;"",EDATE($D13,Milestones!$AA$138)&gt;=$Z13),$AC13,IF(AND($Y13&lt;&gt;"",EDATE($D13,Milestones!$AA$138)&gt;=$Y13),$AB13,$AA13)))=Milestones!$AB$138),UPPER(TEXT(EDATE($D13,Milestones!$AA$138),"dd mmm yy"))&amp;" "&amp;Milestones!$AB$138&amp;" "&amp;IF(AND(Milestones!$AB$138="FT",Milestones!$AA$138=FT_Y5,EDATE($D13,Milestones!$AA$138)&lt;PolicyEff),1,Milestones!$AC$138)&amp;";  ","")&amp;IF(AND(EDATE($D13,Milestones!$AA$139)&lt;=AsOfDate,EDATE($D13,Milestones!$AA$139)&gt;=SchemeStart,IF($X13=0,$AD13,IF(AND($Z13&lt;&gt;"",EDATE($D13,Milestones!$AA$139)&gt;=$Z13),$AC13,IF(AND($Y13&lt;&gt;"",EDATE($D13,Milestones!$AA$139)&gt;=$Y13),$AB13,$AA13)))=Milestones!$AB$139),UPPER(TEXT(EDATE($D13,Milestones!$AA$139),"dd mmm yy"))&amp;" "&amp;Milestones!$AB$139&amp;" "&amp;IF(AND(Milestones!$AB$139="FT",Milestones!$AA$139=FT_Y5,EDATE($D13,Milestones!$AA$139)&lt;PolicyEff),1,Milestones!$AC$139)&amp;";  ",""))</f>
        <v/>
      </c>
      <c r="S13" s="0" t="str">
        <f aca="false">IF(OR($A13="",$D13=""),"",IF(AND(EDATE($D13,Milestones!$AA$140)&lt;=AsOfDate,EDATE($D13,Milestones!$AA$140)&gt;=SchemeStart,IF($X13=0,$AD13,IF(AND($Z13&lt;&gt;"",EDATE($D13,Milestones!$AA$140)&gt;=$Z13),$AC13,IF(AND($Y13&lt;&gt;"",EDATE($D13,Milestones!$AA$140)&gt;=$Y13),$AB13,$AA13)))=Milestones!$AB$140),UPPER(TEXT(EDATE($D13,Milestones!$AA$140),"dd mmm yy"))&amp;" "&amp;Milestones!$AB$140&amp;" "&amp;IF(AND(Milestones!$AB$140="FT",Milestones!$AA$140=FT_Y5,EDATE($D13,Milestones!$AA$140)&lt;PolicyEff),1,Milestones!$AC$140)&amp;";  ","")&amp;IF(AND(EDATE($D13,Milestones!$AA$141)&lt;=AsOfDate,EDATE($D13,Milestones!$AA$141)&gt;=SchemeStart,IF($X13=0,$AD13,IF(AND($Z13&lt;&gt;"",EDATE($D13,Milestones!$AA$141)&gt;=$Z13),$AC13,IF(AND($Y13&lt;&gt;"",EDATE($D13,Milestones!$AA$141)&gt;=$Y13),$AB13,$AA13)))=Milestones!$AB$141),UPPER(TEXT(EDATE($D13,Milestones!$AA$141),"dd mmm yy"))&amp;" "&amp;Milestones!$AB$141&amp;" "&amp;IF(AND(Milestones!$AB$141="FT",Milestones!$AA$141=FT_Y5,EDATE($D13,Milestones!$AA$141)&lt;PolicyEff),1,Milestones!$AC$141)&amp;";  ","")&amp;IF(AND(EDATE($D13,Milestones!$AA$142)&lt;=AsOfDate,EDATE($D13,Milestones!$AA$142)&gt;=SchemeStart,IF($X13=0,$AD13,IF(AND($Z13&lt;&gt;"",EDATE($D13,Milestones!$AA$142)&gt;=$Z13),$AC13,IF(AND($Y13&lt;&gt;"",EDATE($D13,Milestones!$AA$142)&gt;=$Y13),$AB13,$AA13)))=Milestones!$AB$142),UPPER(TEXT(EDATE($D13,Milestones!$AA$142),"dd mmm yy"))&amp;" "&amp;Milestones!$AB$142&amp;" "&amp;IF(AND(Milestones!$AB$142="FT",Milestones!$AA$142=FT_Y5,EDATE($D13,Milestones!$AA$142)&lt;PolicyEff),1,Milestones!$AC$142)&amp;";  ","")&amp;IF(AND(EDATE($D13,Milestones!$AA$143)&lt;=AsOfDate,EDATE($D13,Milestones!$AA$143)&gt;=SchemeStart,IF($X13=0,$AD13,IF(AND($Z13&lt;&gt;"",EDATE($D13,Milestones!$AA$143)&gt;=$Z13),$AC13,IF(AND($Y13&lt;&gt;"",EDATE($D13,Milestones!$AA$143)&gt;=$Y13),$AB13,$AA13)))=Milestones!$AB$143),UPPER(TEXT(EDATE($D13,Milestones!$AA$143),"dd mmm yy"))&amp;" "&amp;Milestones!$AB$143&amp;" "&amp;IF(AND(Milestones!$AB$143="FT",Milestones!$AA$143=FT_Y5,EDATE($D13,Milestones!$AA$143)&lt;PolicyEff),1,Milestones!$AC$143)&amp;";  ","")&amp;IF(AND(EDATE($D13,Milestones!$AA$144)&lt;=AsOfDate,EDATE($D13,Milestones!$AA$144)&gt;=SchemeStart,IF($X13=0,$AD13,IF(AND($Z13&lt;&gt;"",EDATE($D13,Milestones!$AA$144)&gt;=$Z13),$AC13,IF(AND($Y13&lt;&gt;"",EDATE($D13,Milestones!$AA$144)&gt;=$Y13),$AB13,$AA13)))=Milestones!$AB$144),UPPER(TEXT(EDATE($D13,Milestones!$AA$144),"dd mmm yy"))&amp;" "&amp;Milestones!$AB$144&amp;" "&amp;IF(AND(Milestones!$AB$144="FT",Milestones!$AA$144=FT_Y5,EDATE($D13,Milestones!$AA$144)&lt;PolicyEff),1,Milestones!$AC$144)&amp;";  ","")&amp;IF(AND(EDATE($D13,Milestones!$AA$145)&lt;=AsOfDate,EDATE($D13,Milestones!$AA$145)&gt;=SchemeStart,IF($X13=0,$AD13,IF(AND($Z13&lt;&gt;"",EDATE($D13,Milestones!$AA$145)&gt;=$Z13),$AC13,IF(AND($Y13&lt;&gt;"",EDATE($D13,Milestones!$AA$145)&gt;=$Y13),$AB13,$AA13)))=Milestones!$AB$145),UPPER(TEXT(EDATE($D13,Milestones!$AA$145),"dd mmm yy"))&amp;" "&amp;Milestones!$AB$145&amp;" "&amp;IF(AND(Milestones!$AB$145="FT",Milestones!$AA$145=FT_Y5,EDATE($D13,Milestones!$AA$145)&lt;PolicyEff),1,Milestones!$AC$145)&amp;";  ","")&amp;IF(AND(EDATE($D13,Milestones!$AA$146)&lt;=AsOfDate,EDATE($D13,Milestones!$AA$146)&gt;=SchemeStart,IF($X13=0,$AD13,IF(AND($Z13&lt;&gt;"",EDATE($D13,Milestones!$AA$146)&gt;=$Z13),$AC13,IF(AND($Y13&lt;&gt;"",EDATE($D13,Milestones!$AA$146)&gt;=$Y13),$AB13,$AA13)))=Milestones!$AB$146),UPPER(TEXT(EDATE($D13,Milestones!$AA$146),"dd mmm yy"))&amp;" "&amp;Milestones!$AB$146&amp;" "&amp;IF(AND(Milestones!$AB$146="FT",Milestones!$AA$146=FT_Y5,EDATE($D13,Milestones!$AA$146)&lt;PolicyEff),1,Milestones!$AC$146)&amp;";  ","")&amp;IF(AND(EDATE($D13,Milestones!$AA$147)&lt;=AsOfDate,EDATE($D13,Milestones!$AA$147)&gt;=SchemeStart,IF($X13=0,$AD13,IF(AND($Z13&lt;&gt;"",EDATE($D13,Milestones!$AA$147)&gt;=$Z13),$AC13,IF(AND($Y13&lt;&gt;"",EDATE($D13,Milestones!$AA$147)&gt;=$Y13),$AB13,$AA13)))=Milestones!$AB$147),UPPER(TEXT(EDATE($D13,Milestones!$AA$147),"dd mmm yy"))&amp;" "&amp;Milestones!$AB$147&amp;" "&amp;IF(AND(Milestones!$AB$147="FT",Milestones!$AA$147=FT_Y5,EDATE($D13,Milestones!$AA$147)&lt;PolicyEff),1,Milestones!$AC$147)&amp;";  ","")&amp;IF(AND(EDATE($D13,Milestones!$AA$148)&lt;=AsOfDate,EDATE($D13,Milestones!$AA$148)&gt;=SchemeStart,IF($X13=0,$AD13,IF(AND($Z13&lt;&gt;"",EDATE($D13,Milestones!$AA$148)&gt;=$Z13),$AC13,IF(AND($Y13&lt;&gt;"",EDATE($D13,Milestones!$AA$148)&gt;=$Y13),$AB13,$AA13)))=Milestones!$AB$148),UPPER(TEXT(EDATE($D13,Milestones!$AA$148),"dd mmm yy"))&amp;" "&amp;Milestones!$AB$148&amp;" "&amp;IF(AND(Milestones!$AB$148="FT",Milestones!$AA$148=FT_Y5,EDATE($D13,Milestones!$AA$148)&lt;PolicyEff),1,Milestones!$AC$148)&amp;";  ","")&amp;IF(AND(EDATE($D13,Milestones!$AA$149)&lt;=AsOfDate,EDATE($D13,Milestones!$AA$149)&gt;=SchemeStart,IF($X13=0,$AD13,IF(AND($Z13&lt;&gt;"",EDATE($D13,Milestones!$AA$149)&gt;=$Z13),$AC13,IF(AND($Y13&lt;&gt;"",EDATE($D13,Milestones!$AA$149)&gt;=$Y13),$AB13,$AA13)))=Milestones!$AB$149),UPPER(TEXT(EDATE($D13,Milestones!$AA$149),"dd mmm yy"))&amp;" "&amp;Milestones!$AB$149&amp;" "&amp;IF(AND(Milestones!$AB$149="FT",Milestones!$AA$149=FT_Y5,EDATE($D13,Milestones!$AA$149)&lt;PolicyEff),1,Milestones!$AC$149)&amp;";  ","")&amp;IF(AND(EDATE($D13,Milestones!$AA$150)&lt;=AsOfDate,EDATE($D13,Milestones!$AA$150)&gt;=SchemeStart,IF($X13=0,$AD13,IF(AND($Z13&lt;&gt;"",EDATE($D13,Milestones!$AA$150)&gt;=$Z13),$AC13,IF(AND($Y13&lt;&gt;"",EDATE($D13,Milestones!$AA$150)&gt;=$Y13),$AB13,$AA13)))=Milestones!$AB$150),UPPER(TEXT(EDATE($D13,Milestones!$AA$150),"dd mmm yy"))&amp;" "&amp;Milestones!$AB$150&amp;" "&amp;IF(AND(Milestones!$AB$150="FT",Milestones!$AA$150=FT_Y5,EDATE($D13,Milestones!$AA$150)&lt;PolicyEff),1,Milestones!$AC$150)&amp;";  ","")&amp;IF(AND(EDATE($D13,Milestones!$AA$151)&lt;=AsOfDate,EDATE($D13,Milestones!$AA$151)&gt;=SchemeStart,IF($X13=0,$AD13,IF(AND($Z13&lt;&gt;"",EDATE($D13,Milestones!$AA$151)&gt;=$Z13),$AC13,IF(AND($Y13&lt;&gt;"",EDATE($D13,Milestones!$AA$151)&gt;=$Y13),$AB13,$AA13)))=Milestones!$AB$151),UPPER(TEXT(EDATE($D13,Milestones!$AA$151),"dd mmm yy"))&amp;" "&amp;Milestones!$AB$151&amp;" "&amp;IF(AND(Milestones!$AB$151="FT",Milestones!$AA$151=FT_Y5,EDATE($D13,Milestones!$AA$151)&lt;PolicyEff),1,Milestones!$AC$151)&amp;";  ",""))</f>
        <v/>
      </c>
      <c r="T13" s="0" t="str">
        <f aca="false">IF(OR($A13="",$D13=""),"",IF(AND(EDATE($D13,Milestones!$AA$152)&lt;=AsOfDate,EDATE($D13,Milestones!$AA$152)&gt;=SchemeStart,IF($X13=0,$AD13,IF(AND($Z13&lt;&gt;"",EDATE($D13,Milestones!$AA$152)&gt;=$Z13),$AC13,IF(AND($Y13&lt;&gt;"",EDATE($D13,Milestones!$AA$152)&gt;=$Y13),$AB13,$AA13)))=Milestones!$AB$152),UPPER(TEXT(EDATE($D13,Milestones!$AA$152),"dd mmm yy"))&amp;" "&amp;Milestones!$AB$152&amp;" "&amp;IF(AND(Milestones!$AB$152="FT",Milestones!$AA$152=FT_Y5,EDATE($D13,Milestones!$AA$152)&lt;PolicyEff),1,Milestones!$AC$152)&amp;";  ","")&amp;IF(AND(EDATE($D13,Milestones!$AA$153)&lt;=AsOfDate,EDATE($D13,Milestones!$AA$153)&gt;=SchemeStart,IF($X13=0,$AD13,IF(AND($Z13&lt;&gt;"",EDATE($D13,Milestones!$AA$153)&gt;=$Z13),$AC13,IF(AND($Y13&lt;&gt;"",EDATE($D13,Milestones!$AA$153)&gt;=$Y13),$AB13,$AA13)))=Milestones!$AB$153),UPPER(TEXT(EDATE($D13,Milestones!$AA$153),"dd mmm yy"))&amp;" "&amp;Milestones!$AB$153&amp;" "&amp;IF(AND(Milestones!$AB$153="FT",Milestones!$AA$153=FT_Y5,EDATE($D13,Milestones!$AA$153)&lt;PolicyEff),1,Milestones!$AC$153)&amp;";  ","")&amp;IF(AND(EDATE($D13,Milestones!$AA$154)&lt;=AsOfDate,EDATE($D13,Milestones!$AA$154)&gt;=SchemeStart,IF($X13=0,$AD13,IF(AND($Z13&lt;&gt;"",EDATE($D13,Milestones!$AA$154)&gt;=$Z13),$AC13,IF(AND($Y13&lt;&gt;"",EDATE($D13,Milestones!$AA$154)&gt;=$Y13),$AB13,$AA13)))=Milestones!$AB$154),UPPER(TEXT(EDATE($D13,Milestones!$AA$154),"dd mmm yy"))&amp;" "&amp;Milestones!$AB$154&amp;" "&amp;IF(AND(Milestones!$AB$154="FT",Milestones!$AA$154=FT_Y5,EDATE($D13,Milestones!$AA$154)&lt;PolicyEff),1,Milestones!$AC$154)&amp;";  ","")&amp;IF(AND(EDATE($D13,Milestones!$AA$155)&lt;=AsOfDate,EDATE($D13,Milestones!$AA$155)&gt;=SchemeStart,IF($X13=0,$AD13,IF(AND($Z13&lt;&gt;"",EDATE($D13,Milestones!$AA$155)&gt;=$Z13),$AC13,IF(AND($Y13&lt;&gt;"",EDATE($D13,Milestones!$AA$155)&gt;=$Y13),$AB13,$AA13)))=Milestones!$AB$155),UPPER(TEXT(EDATE($D13,Milestones!$AA$155),"dd mmm yy"))&amp;" "&amp;Milestones!$AB$155&amp;" "&amp;IF(AND(Milestones!$AB$155="FT",Milestones!$AA$155=FT_Y5,EDATE($D13,Milestones!$AA$155)&lt;PolicyEff),1,Milestones!$AC$155)&amp;";  ","")&amp;IF(AND(EDATE($D13,Milestones!$AA$156)&lt;=AsOfDate,EDATE($D13,Milestones!$AA$156)&gt;=SchemeStart,IF($X13=0,$AD13,IF(AND($Z13&lt;&gt;"",EDATE($D13,Milestones!$AA$156)&gt;=$Z13),$AC13,IF(AND($Y13&lt;&gt;"",EDATE($D13,Milestones!$AA$156)&gt;=$Y13),$AB13,$AA13)))=Milestones!$AB$156),UPPER(TEXT(EDATE($D13,Milestones!$AA$156),"dd mmm yy"))&amp;" "&amp;Milestones!$AB$156&amp;" "&amp;IF(AND(Milestones!$AB$156="FT",Milestones!$AA$156=FT_Y5,EDATE($D13,Milestones!$AA$156)&lt;PolicyEff),1,Milestones!$AC$156)&amp;";  ","")&amp;IF(AND(EDATE($D13,Milestones!$AA$157)&lt;=AsOfDate,EDATE($D13,Milestones!$AA$157)&gt;=SchemeStart,IF($X13=0,$AD13,IF(AND($Z13&lt;&gt;"",EDATE($D13,Milestones!$AA$157)&gt;=$Z13),$AC13,IF(AND($Y13&lt;&gt;"",EDATE($D13,Milestones!$AA$157)&gt;=$Y13),$AB13,$AA13)))=Milestones!$AB$157),UPPER(TEXT(EDATE($D13,Milestones!$AA$157),"dd mmm yy"))&amp;" "&amp;Milestones!$AB$157&amp;" "&amp;IF(AND(Milestones!$AB$157="FT",Milestones!$AA$157=FT_Y5,EDATE($D13,Milestones!$AA$157)&lt;PolicyEff),1,Milestones!$AC$157)&amp;";  ","")&amp;IF(AND(EDATE($D13,Milestones!$AA$158)&lt;=AsOfDate,EDATE($D13,Milestones!$AA$158)&gt;=SchemeStart,IF($X13=0,$AD13,IF(AND($Z13&lt;&gt;"",EDATE($D13,Milestones!$AA$158)&gt;=$Z13),$AC13,IF(AND($Y13&lt;&gt;"",EDATE($D13,Milestones!$AA$158)&gt;=$Y13),$AB13,$AA13)))=Milestones!$AB$158),UPPER(TEXT(EDATE($D13,Milestones!$AA$158),"dd mmm yy"))&amp;" "&amp;Milestones!$AB$158&amp;" "&amp;IF(AND(Milestones!$AB$158="FT",Milestones!$AA$158=FT_Y5,EDATE($D13,Milestones!$AA$158)&lt;PolicyEff),1,Milestones!$AC$158)&amp;";  ","")&amp;IF(AND(EDATE($D13,Milestones!$AA$159)&lt;=AsOfDate,EDATE($D13,Milestones!$AA$159)&gt;=SchemeStart,IF($X13=0,$AD13,IF(AND($Z13&lt;&gt;"",EDATE($D13,Milestones!$AA$159)&gt;=$Z13),$AC13,IF(AND($Y13&lt;&gt;"",EDATE($D13,Milestones!$AA$159)&gt;=$Y13),$AB13,$AA13)))=Milestones!$AB$159),UPPER(TEXT(EDATE($D13,Milestones!$AA$159),"dd mmm yy"))&amp;" "&amp;Milestones!$AB$159&amp;" "&amp;IF(AND(Milestones!$AB$159="FT",Milestones!$AA$159=FT_Y5,EDATE($D13,Milestones!$AA$159)&lt;PolicyEff),1,Milestones!$AC$159)&amp;";  ","")&amp;IF(AND(EDATE($D13,Milestones!$AA$160)&lt;=AsOfDate,EDATE($D13,Milestones!$AA$160)&gt;=SchemeStart,IF($X13=0,$AD13,IF(AND($Z13&lt;&gt;"",EDATE($D13,Milestones!$AA$160)&gt;=$Z13),$AC13,IF(AND($Y13&lt;&gt;"",EDATE($D13,Milestones!$AA$160)&gt;=$Y13),$AB13,$AA13)))=Milestones!$AB$160),UPPER(TEXT(EDATE($D13,Milestones!$AA$160),"dd mmm yy"))&amp;" "&amp;Milestones!$AB$160&amp;" "&amp;IF(AND(Milestones!$AB$160="FT",Milestones!$AA$160=FT_Y5,EDATE($D13,Milestones!$AA$160)&lt;PolicyEff),1,Milestones!$AC$160)&amp;";  ","")&amp;IF(AND(EDATE($D13,Milestones!$AA$161)&lt;=AsOfDate,EDATE($D13,Milestones!$AA$161)&gt;=SchemeStart,IF($X13=0,$AD13,IF(AND($Z13&lt;&gt;"",EDATE($D13,Milestones!$AA$161)&gt;=$Z13),$AC13,IF(AND($Y13&lt;&gt;"",EDATE($D13,Milestones!$AA$161)&gt;=$Y13),$AB13,$AA13)))=Milestones!$AB$161),UPPER(TEXT(EDATE($D13,Milestones!$AA$161),"dd mmm yy"))&amp;" "&amp;Milestones!$AB$161&amp;" "&amp;IF(AND(Milestones!$AB$161="FT",Milestones!$AA$161=FT_Y5,EDATE($D13,Milestones!$AA$161)&lt;PolicyEff),1,Milestones!$AC$161)&amp;";  ","")&amp;IF(AND(EDATE($D13,Milestones!$AA$162)&lt;=AsOfDate,EDATE($D13,Milestones!$AA$162)&gt;=SchemeStart,IF($X13=0,$AD13,IF(AND($Z13&lt;&gt;"",EDATE($D13,Milestones!$AA$162)&gt;=$Z13),$AC13,IF(AND($Y13&lt;&gt;"",EDATE($D13,Milestones!$AA$162)&gt;=$Y13),$AB13,$AA13)))=Milestones!$AB$162),UPPER(TEXT(EDATE($D13,Milestones!$AA$162),"dd mmm yy"))&amp;" "&amp;Milestones!$AB$162&amp;" "&amp;IF(AND(Milestones!$AB$162="FT",Milestones!$AA$162=FT_Y5,EDATE($D13,Milestones!$AA$162)&lt;PolicyEff),1,Milestones!$AC$162)&amp;";  ","")&amp;IF(AND(EDATE($D13,Milestones!$AA$163)&lt;=AsOfDate,EDATE($D13,Milestones!$AA$163)&gt;=SchemeStart,IF($X13=0,$AD13,IF(AND($Z13&lt;&gt;"",EDATE($D13,Milestones!$AA$163)&gt;=$Z13),$AC13,IF(AND($Y13&lt;&gt;"",EDATE($D13,Milestones!$AA$163)&gt;=$Y13),$AB13,$AA13)))=Milestones!$AB$163),UPPER(TEXT(EDATE($D13,Milestones!$AA$163),"dd mmm yy"))&amp;" "&amp;Milestones!$AB$163&amp;" "&amp;IF(AND(Milestones!$AB$163="FT",Milestones!$AA$163=FT_Y5,EDATE($D13,Milestones!$AA$163)&lt;PolicyEff),1,Milestones!$AC$163)&amp;";  ",""))</f>
        <v/>
      </c>
      <c r="U13" s="0" t="str">
        <f aca="false">IF(OR($A13="",$D13=""),"",IF(AND(EDATE($D13,Milestones!$AA$164)&lt;=AsOfDate,EDATE($D13,Milestones!$AA$164)&gt;=SchemeStart,IF($X13=0,$AD13,IF(AND($Z13&lt;&gt;"",EDATE($D13,Milestones!$AA$164)&gt;=$Z13),$AC13,IF(AND($Y13&lt;&gt;"",EDATE($D13,Milestones!$AA$164)&gt;=$Y13),$AB13,$AA13)))=Milestones!$AB$164),UPPER(TEXT(EDATE($D13,Milestones!$AA$164),"dd mmm yy"))&amp;" "&amp;Milestones!$AB$164&amp;" "&amp;IF(AND(Milestones!$AB$164="FT",Milestones!$AA$164=FT_Y5,EDATE($D13,Milestones!$AA$164)&lt;PolicyEff),1,Milestones!$AC$164)&amp;";  ","")&amp;IF(AND(EDATE($D13,Milestones!$AA$165)&lt;=AsOfDate,EDATE($D13,Milestones!$AA$165)&gt;=SchemeStart,IF($X13=0,$AD13,IF(AND($Z13&lt;&gt;"",EDATE($D13,Milestones!$AA$165)&gt;=$Z13),$AC13,IF(AND($Y13&lt;&gt;"",EDATE($D13,Milestones!$AA$165)&gt;=$Y13),$AB13,$AA13)))=Milestones!$AB$165),UPPER(TEXT(EDATE($D13,Milestones!$AA$165),"dd mmm yy"))&amp;" "&amp;Milestones!$AB$165&amp;" "&amp;IF(AND(Milestones!$AB$165="FT",Milestones!$AA$165=FT_Y5,EDATE($D13,Milestones!$AA$165)&lt;PolicyEff),1,Milestones!$AC$165)&amp;";  ","")&amp;IF(AND(EDATE($D13,Milestones!$AA$166)&lt;=AsOfDate,EDATE($D13,Milestones!$AA$166)&gt;=SchemeStart,IF($X13=0,$AD13,IF(AND($Z13&lt;&gt;"",EDATE($D13,Milestones!$AA$166)&gt;=$Z13),$AC13,IF(AND($Y13&lt;&gt;"",EDATE($D13,Milestones!$AA$166)&gt;=$Y13),$AB13,$AA13)))=Milestones!$AB$166),UPPER(TEXT(EDATE($D13,Milestones!$AA$166),"dd mmm yy"))&amp;" "&amp;Milestones!$AB$166&amp;" "&amp;IF(AND(Milestones!$AB$166="FT",Milestones!$AA$166=FT_Y5,EDATE($D13,Milestones!$AA$166)&lt;PolicyEff),1,Milestones!$AC$166)&amp;";  ","")&amp;IF(AND(EDATE($D13,Milestones!$AA$167)&lt;=AsOfDate,EDATE($D13,Milestones!$AA$167)&gt;=SchemeStart,IF($X13=0,$AD13,IF(AND($Z13&lt;&gt;"",EDATE($D13,Milestones!$AA$167)&gt;=$Z13),$AC13,IF(AND($Y13&lt;&gt;"",EDATE($D13,Milestones!$AA$167)&gt;=$Y13),$AB13,$AA13)))=Milestones!$AB$167),UPPER(TEXT(EDATE($D13,Milestones!$AA$167),"dd mmm yy"))&amp;" "&amp;Milestones!$AB$167&amp;" "&amp;IF(AND(Milestones!$AB$167="FT",Milestones!$AA$167=FT_Y5,EDATE($D13,Milestones!$AA$167)&lt;PolicyEff),1,Milestones!$AC$167)&amp;";  ","")&amp;IF(AND(EDATE($D13,Milestones!$AA$168)&lt;=AsOfDate,EDATE($D13,Milestones!$AA$168)&gt;=SchemeStart,IF($X13=0,$AD13,IF(AND($Z13&lt;&gt;"",EDATE($D13,Milestones!$AA$168)&gt;=$Z13),$AC13,IF(AND($Y13&lt;&gt;"",EDATE($D13,Milestones!$AA$168)&gt;=$Y13),$AB13,$AA13)))=Milestones!$AB$168),UPPER(TEXT(EDATE($D13,Milestones!$AA$168),"dd mmm yy"))&amp;" "&amp;Milestones!$AB$168&amp;" "&amp;IF(AND(Milestones!$AB$168="FT",Milestones!$AA$168=FT_Y5,EDATE($D13,Milestones!$AA$168)&lt;PolicyEff),1,Milestones!$AC$168)&amp;";  ","")&amp;IF(AND(EDATE($D13,Milestones!$AA$169)&lt;=AsOfDate,EDATE($D13,Milestones!$AA$169)&gt;=SchemeStart,IF($X13=0,$AD13,IF(AND($Z13&lt;&gt;"",EDATE($D13,Milestones!$AA$169)&gt;=$Z13),$AC13,IF(AND($Y13&lt;&gt;"",EDATE($D13,Milestones!$AA$169)&gt;=$Y13),$AB13,$AA13)))=Milestones!$AB$169),UPPER(TEXT(EDATE($D13,Milestones!$AA$169),"dd mmm yy"))&amp;" "&amp;Milestones!$AB$169&amp;" "&amp;IF(AND(Milestones!$AB$169="FT",Milestones!$AA$169=FT_Y5,EDATE($D13,Milestones!$AA$169)&lt;PolicyEff),1,Milestones!$AC$169)&amp;";  ","")&amp;IF(AND(EDATE($D13,Milestones!$AA$170)&lt;=AsOfDate,EDATE($D13,Milestones!$AA$170)&gt;=SchemeStart,IF($X13=0,$AD13,IF(AND($Z13&lt;&gt;"",EDATE($D13,Milestones!$AA$170)&gt;=$Z13),$AC13,IF(AND($Y13&lt;&gt;"",EDATE($D13,Milestones!$AA$170)&gt;=$Y13),$AB13,$AA13)))=Milestones!$AB$170),UPPER(TEXT(EDATE($D13,Milestones!$AA$170),"dd mmm yy"))&amp;" "&amp;Milestones!$AB$170&amp;" "&amp;IF(AND(Milestones!$AB$170="FT",Milestones!$AA$170=FT_Y5,EDATE($D13,Milestones!$AA$170)&lt;PolicyEff),1,Milestones!$AC$170)&amp;";  ","")&amp;IF(AND(EDATE($D13,Milestones!$AA$171)&lt;=AsOfDate,EDATE($D13,Milestones!$AA$171)&gt;=SchemeStart,IF($X13=0,$AD13,IF(AND($Z13&lt;&gt;"",EDATE($D13,Milestones!$AA$171)&gt;=$Z13),$AC13,IF(AND($Y13&lt;&gt;"",EDATE($D13,Milestones!$AA$171)&gt;=$Y13),$AB13,$AA13)))=Milestones!$AB$171),UPPER(TEXT(EDATE($D13,Milestones!$AA$171),"dd mmm yy"))&amp;" "&amp;Milestones!$AB$171&amp;" "&amp;IF(AND(Milestones!$AB$171="FT",Milestones!$AA$171=FT_Y5,EDATE($D13,Milestones!$AA$171)&lt;PolicyEff),1,Milestones!$AC$171)&amp;";  ","")&amp;IF(AND(EDATE($D13,Milestones!$AA$172)&lt;=AsOfDate,EDATE($D13,Milestones!$AA$172)&gt;=SchemeStart,IF($X13=0,$AD13,IF(AND($Z13&lt;&gt;"",EDATE($D13,Milestones!$AA$172)&gt;=$Z13),$AC13,IF(AND($Y13&lt;&gt;"",EDATE($D13,Milestones!$AA$172)&gt;=$Y13),$AB13,$AA13)))=Milestones!$AB$172),UPPER(TEXT(EDATE($D13,Milestones!$AA$172),"dd mmm yy"))&amp;" "&amp;Milestones!$AB$172&amp;" "&amp;IF(AND(Milestones!$AB$172="FT",Milestones!$AA$172=FT_Y5,EDATE($D13,Milestones!$AA$172)&lt;PolicyEff),1,Milestones!$AC$172)&amp;";  ","")&amp;IF(AND(EDATE($D13,Milestones!$AA$173)&lt;=AsOfDate,EDATE($D13,Milestones!$AA$173)&gt;=SchemeStart,IF($X13=0,$AD13,IF(AND($Z13&lt;&gt;"",EDATE($D13,Milestones!$AA$173)&gt;=$Z13),$AC13,IF(AND($Y13&lt;&gt;"",EDATE($D13,Milestones!$AA$173)&gt;=$Y13),$AB13,$AA13)))=Milestones!$AB$173),UPPER(TEXT(EDATE($D13,Milestones!$AA$173),"dd mmm yy"))&amp;" "&amp;Milestones!$AB$173&amp;" "&amp;IF(AND(Milestones!$AB$173="FT",Milestones!$AA$173=FT_Y5,EDATE($D13,Milestones!$AA$173)&lt;PolicyEff),1,Milestones!$AC$173)&amp;";  ","")&amp;IF(AND(EDATE($D13,Milestones!$AA$174)&lt;=AsOfDate,EDATE($D13,Milestones!$AA$174)&gt;=SchemeStart,IF($X13=0,$AD13,IF(AND($Z13&lt;&gt;"",EDATE($D13,Milestones!$AA$174)&gt;=$Z13),$AC13,IF(AND($Y13&lt;&gt;"",EDATE($D13,Milestones!$AA$174)&gt;=$Y13),$AB13,$AA13)))=Milestones!$AB$174),UPPER(TEXT(EDATE($D13,Milestones!$AA$174),"dd mmm yy"))&amp;" "&amp;Milestones!$AB$174&amp;" "&amp;IF(AND(Milestones!$AB$174="FT",Milestones!$AA$174=FT_Y5,EDATE($D13,Milestones!$AA$174)&lt;PolicyEff),1,Milestones!$AC$174)&amp;";  ","")&amp;IF(AND(EDATE($D13,Milestones!$AA$175)&lt;=AsOfDate,EDATE($D13,Milestones!$AA$175)&gt;=SchemeStart,IF($X13=0,$AD13,IF(AND($Z13&lt;&gt;"",EDATE($D13,Milestones!$AA$175)&gt;=$Z13),$AC13,IF(AND($Y13&lt;&gt;"",EDATE($D13,Milestones!$AA$175)&gt;=$Y13),$AB13,$AA13)))=Milestones!$AB$175),UPPER(TEXT(EDATE($D13,Milestones!$AA$175),"dd mmm yy"))&amp;" "&amp;Milestones!$AB$175&amp;" "&amp;IF(AND(Milestones!$AB$175="FT",Milestones!$AA$175=FT_Y5,EDATE($D13,Milestones!$AA$175)&lt;PolicyEff),1,Milestones!$AC$175)&amp;";  ",""))</f>
        <v/>
      </c>
      <c r="V13" s="0" t="str">
        <f aca="false">IF(OR($A13="",$D13=""),"",IF(AND(EDATE($D13,Milestones!$AA$176)&lt;=AsOfDate,EDATE($D13,Milestones!$AA$176)&gt;=SchemeStart,IF($X13=0,$AD13,IF(AND($Z13&lt;&gt;"",EDATE($D13,Milestones!$AA$176)&gt;=$Z13),$AC13,IF(AND($Y13&lt;&gt;"",EDATE($D13,Milestones!$AA$176)&gt;=$Y13),$AB13,$AA13)))=Milestones!$AB$176),UPPER(TEXT(EDATE($D13,Milestones!$AA$176),"dd mmm yy"))&amp;" "&amp;Milestones!$AB$176&amp;" "&amp;IF(AND(Milestones!$AB$176="FT",Milestones!$AA$176=FT_Y5,EDATE($D13,Milestones!$AA$176)&lt;PolicyEff),1,Milestones!$AC$176)&amp;";  ","")&amp;IF(AND(EDATE($D13,Milestones!$AA$177)&lt;=AsOfDate,EDATE($D13,Milestones!$AA$177)&gt;=SchemeStart,IF($X13=0,$AD13,IF(AND($Z13&lt;&gt;"",EDATE($D13,Milestones!$AA$177)&gt;=$Z13),$AC13,IF(AND($Y13&lt;&gt;"",EDATE($D13,Milestones!$AA$177)&gt;=$Y13),$AB13,$AA13)))=Milestones!$AB$177),UPPER(TEXT(EDATE($D13,Milestones!$AA$177),"dd mmm yy"))&amp;" "&amp;Milestones!$AB$177&amp;" "&amp;IF(AND(Milestones!$AB$177="FT",Milestones!$AA$177=FT_Y5,EDATE($D13,Milestones!$AA$177)&lt;PolicyEff),1,Milestones!$AC$177)&amp;";  ","")&amp;IF(AND(EDATE($D13,Milestones!$AA$178)&lt;=AsOfDate,EDATE($D13,Milestones!$AA$178)&gt;=SchemeStart,IF($X13=0,$AD13,IF(AND($Z13&lt;&gt;"",EDATE($D13,Milestones!$AA$178)&gt;=$Z13),$AC13,IF(AND($Y13&lt;&gt;"",EDATE($D13,Milestones!$AA$178)&gt;=$Y13),$AB13,$AA13)))=Milestones!$AB$178),UPPER(TEXT(EDATE($D13,Milestones!$AA$178),"dd mmm yy"))&amp;" "&amp;Milestones!$AB$178&amp;" "&amp;IF(AND(Milestones!$AB$178="FT",Milestones!$AA$178=FT_Y5,EDATE($D13,Milestones!$AA$178)&lt;PolicyEff),1,Milestones!$AC$178)&amp;";  ","")&amp;IF(AND(EDATE($D13,Milestones!$AA$179)&lt;=AsOfDate,EDATE($D13,Milestones!$AA$179)&gt;=SchemeStart,IF($X13=0,$AD13,IF(AND($Z13&lt;&gt;"",EDATE($D13,Milestones!$AA$179)&gt;=$Z13),$AC13,IF(AND($Y13&lt;&gt;"",EDATE($D13,Milestones!$AA$179)&gt;=$Y13),$AB13,$AA13)))=Milestones!$AB$179),UPPER(TEXT(EDATE($D13,Milestones!$AA$179),"dd mmm yy"))&amp;" "&amp;Milestones!$AB$179&amp;" "&amp;IF(AND(Milestones!$AB$179="FT",Milestones!$AA$179=FT_Y5,EDATE($D13,Milestones!$AA$179)&lt;PolicyEff),1,Milestones!$AC$179)&amp;";  ","")&amp;IF(AND(EDATE($D13,Milestones!$AA$180)&lt;=AsOfDate,EDATE($D13,Milestones!$AA$180)&gt;=SchemeStart,IF($X13=0,$AD13,IF(AND($Z13&lt;&gt;"",EDATE($D13,Milestones!$AA$180)&gt;=$Z13),$AC13,IF(AND($Y13&lt;&gt;"",EDATE($D13,Milestones!$AA$180)&gt;=$Y13),$AB13,$AA13)))=Milestones!$AB$180),UPPER(TEXT(EDATE($D13,Milestones!$AA$180),"dd mmm yy"))&amp;" "&amp;Milestones!$AB$180&amp;" "&amp;IF(AND(Milestones!$AB$180="FT",Milestones!$AA$180=FT_Y5,EDATE($D13,Milestones!$AA$180)&lt;PolicyEff),1,Milestones!$AC$180)&amp;";  ","")&amp;IF(AND(EDATE($D13,Milestones!$AA$181)&lt;=AsOfDate,EDATE($D13,Milestones!$AA$181)&gt;=SchemeStart,IF($X13=0,$AD13,IF(AND($Z13&lt;&gt;"",EDATE($D13,Milestones!$AA$181)&gt;=$Z13),$AC13,IF(AND($Y13&lt;&gt;"",EDATE($D13,Milestones!$AA$181)&gt;=$Y13),$AB13,$AA13)))=Milestones!$AB$181),UPPER(TEXT(EDATE($D13,Milestones!$AA$181),"dd mmm yy"))&amp;" "&amp;Milestones!$AB$181&amp;" "&amp;IF(AND(Milestones!$AB$181="FT",Milestones!$AA$181=FT_Y5,EDATE($D13,Milestones!$AA$181)&lt;PolicyEff),1,Milestones!$AC$181)&amp;";  ","")&amp;IF(AND(EDATE($D13,Milestones!$AA$182)&lt;=AsOfDate,EDATE($D13,Milestones!$AA$182)&gt;=SchemeStart,IF($X13=0,$AD13,IF(AND($Z13&lt;&gt;"",EDATE($D13,Milestones!$AA$182)&gt;=$Z13),$AC13,IF(AND($Y13&lt;&gt;"",EDATE($D13,Milestones!$AA$182)&gt;=$Y13),$AB13,$AA13)))=Milestones!$AB$182),UPPER(TEXT(EDATE($D13,Milestones!$AA$182),"dd mmm yy"))&amp;" "&amp;Milestones!$AB$182&amp;" "&amp;IF(AND(Milestones!$AB$182="FT",Milestones!$AA$182=FT_Y5,EDATE($D13,Milestones!$AA$182)&lt;PolicyEff),1,Milestones!$AC$182)&amp;";  ","")&amp;IF(AND(EDATE($D13,Milestones!$AA$183)&lt;=AsOfDate,EDATE($D13,Milestones!$AA$183)&gt;=SchemeStart,IF($X13=0,$AD13,IF(AND($Z13&lt;&gt;"",EDATE($D13,Milestones!$AA$183)&gt;=$Z13),$AC13,IF(AND($Y13&lt;&gt;"",EDATE($D13,Milestones!$AA$183)&gt;=$Y13),$AB13,$AA13)))=Milestones!$AB$183),UPPER(TEXT(EDATE($D13,Milestones!$AA$183),"dd mmm yy"))&amp;" "&amp;Milestones!$AB$183&amp;" "&amp;IF(AND(Milestones!$AB$183="FT",Milestones!$AA$183=FT_Y5,EDATE($D13,Milestones!$AA$183)&lt;PolicyEff),1,Milestones!$AC$183)&amp;";  ","")&amp;IF(AND(EDATE($D13,Milestones!$AA$184)&lt;=AsOfDate,EDATE($D13,Milestones!$AA$184)&gt;=SchemeStart,IF($X13=0,$AD13,IF(AND($Z13&lt;&gt;"",EDATE($D13,Milestones!$AA$184)&gt;=$Z13),$AC13,IF(AND($Y13&lt;&gt;"",EDATE($D13,Milestones!$AA$184)&gt;=$Y13),$AB13,$AA13)))=Milestones!$AB$184),UPPER(TEXT(EDATE($D13,Milestones!$AA$184),"dd mmm yy"))&amp;" "&amp;Milestones!$AB$184&amp;" "&amp;IF(AND(Milestones!$AB$184="FT",Milestones!$AA$184=FT_Y5,EDATE($D13,Milestones!$AA$184)&lt;PolicyEff),1,Milestones!$AC$184)&amp;";  ","")&amp;IF(AND(EDATE($D13,Milestones!$AA$185)&lt;=AsOfDate,EDATE($D13,Milestones!$AA$185)&gt;=SchemeStart,IF($X13=0,$AD13,IF(AND($Z13&lt;&gt;"",EDATE($D13,Milestones!$AA$185)&gt;=$Z13),$AC13,IF(AND($Y13&lt;&gt;"",EDATE($D13,Milestones!$AA$185)&gt;=$Y13),$AB13,$AA13)))=Milestones!$AB$185),UPPER(TEXT(EDATE($D13,Milestones!$AA$185),"dd mmm yy"))&amp;" "&amp;Milestones!$AB$185&amp;" "&amp;IF(AND(Milestones!$AB$185="FT",Milestones!$AA$185=FT_Y5,EDATE($D13,Milestones!$AA$185)&lt;PolicyEff),1,Milestones!$AC$185)&amp;";  ","")&amp;IF(AND(EDATE($D13,Milestones!$AA$186)&lt;=AsOfDate,EDATE($D13,Milestones!$AA$186)&gt;=SchemeStart,IF($X13=0,$AD13,IF(AND($Z13&lt;&gt;"",EDATE($D13,Milestones!$AA$186)&gt;=$Z13),$AC13,IF(AND($Y13&lt;&gt;"",EDATE($D13,Milestones!$AA$186)&gt;=$Y13),$AB13,$AA13)))=Milestones!$AB$186),UPPER(TEXT(EDATE($D13,Milestones!$AA$186),"dd mmm yy"))&amp;" "&amp;Milestones!$AB$186&amp;" "&amp;IF(AND(Milestones!$AB$186="FT",Milestones!$AA$186=FT_Y5,EDATE($D13,Milestones!$AA$186)&lt;PolicyEff),1,Milestones!$AC$186)&amp;";  ","")&amp;IF(AND(EDATE($D13,Milestones!$AA$187)&lt;=AsOfDate,EDATE($D13,Milestones!$AA$187)&gt;=SchemeStart,IF($X13=0,$AD13,IF(AND($Z13&lt;&gt;"",EDATE($D13,Milestones!$AA$187)&gt;=$Z13),$AC13,IF(AND($Y13&lt;&gt;"",EDATE($D13,Milestones!$AA$187)&gt;=$Y13),$AB13,$AA13)))=Milestones!$AB$187),UPPER(TEXT(EDATE($D13,Milestones!$AA$187),"dd mmm yy"))&amp;" "&amp;Milestones!$AB$187&amp;" "&amp;IF(AND(Milestones!$AB$187="FT",Milestones!$AA$187=FT_Y5,EDATE($D13,Milestones!$AA$187)&lt;PolicyEff),1,Milestones!$AC$187)&amp;";  ",""))</f>
        <v/>
      </c>
      <c r="W13" s="0" t="str">
        <f aca="false">IF(OR($A13="",$D13=""),"",IF(AND(EDATE($D13,Milestones!$AA$188)&lt;=AsOfDate,EDATE($D13,Milestones!$AA$188)&gt;=SchemeStart,IF($X13=0,$AD13,IF(AND($Z13&lt;&gt;"",EDATE($D13,Milestones!$AA$188)&gt;=$Z13),$AC13,IF(AND($Y13&lt;&gt;"",EDATE($D13,Milestones!$AA$188)&gt;=$Y13),$AB13,$AA13)))=Milestones!$AB$188),UPPER(TEXT(EDATE($D13,Milestones!$AA$188),"dd mmm yy"))&amp;" "&amp;Milestones!$AB$188&amp;" "&amp;IF(AND(Milestones!$AB$188="FT",Milestones!$AA$188=FT_Y5,EDATE($D13,Milestones!$AA$188)&lt;PolicyEff),1,Milestones!$AC$188)&amp;";  ","")&amp;IF(AND(EDATE($D13,Milestones!$AA$189)&lt;=AsOfDate,EDATE($D13,Milestones!$AA$189)&gt;=SchemeStart,IF($X13=0,$AD13,IF(AND($Z13&lt;&gt;"",EDATE($D13,Milestones!$AA$189)&gt;=$Z13),$AC13,IF(AND($Y13&lt;&gt;"",EDATE($D13,Milestones!$AA$189)&gt;=$Y13),$AB13,$AA13)))=Milestones!$AB$189),UPPER(TEXT(EDATE($D13,Milestones!$AA$189),"dd mmm yy"))&amp;" "&amp;Milestones!$AB$189&amp;" "&amp;IF(AND(Milestones!$AB$189="FT",Milestones!$AA$189=FT_Y5,EDATE($D13,Milestones!$AA$189)&lt;PolicyEff),1,Milestones!$AC$189)&amp;";  ","")&amp;IF(AND(EDATE($D13,Milestones!$AA$190)&lt;=AsOfDate,EDATE($D13,Milestones!$AA$190)&gt;=SchemeStart,IF($X13=0,$AD13,IF(AND($Z13&lt;&gt;"",EDATE($D13,Milestones!$AA$190)&gt;=$Z13),$AC13,IF(AND($Y13&lt;&gt;"",EDATE($D13,Milestones!$AA$190)&gt;=$Y13),$AB13,$AA13)))=Milestones!$AB$190),UPPER(TEXT(EDATE($D13,Milestones!$AA$190),"dd mmm yy"))&amp;" "&amp;Milestones!$AB$190&amp;" "&amp;IF(AND(Milestones!$AB$190="FT",Milestones!$AA$190=FT_Y5,EDATE($D13,Milestones!$AA$190)&lt;PolicyEff),1,Milestones!$AC$190)&amp;";  ","")&amp;IF(AND(EDATE($D13,Milestones!$AA$191)&lt;=AsOfDate,EDATE($D13,Milestones!$AA$191)&gt;=SchemeStart,IF($X13=0,$AD13,IF(AND($Z13&lt;&gt;"",EDATE($D13,Milestones!$AA$191)&gt;=$Z13),$AC13,IF(AND($Y13&lt;&gt;"",EDATE($D13,Milestones!$AA$191)&gt;=$Y13),$AB13,$AA13)))=Milestones!$AB$191),UPPER(TEXT(EDATE($D13,Milestones!$AA$191),"dd mmm yy"))&amp;" "&amp;Milestones!$AB$191&amp;" "&amp;IF(AND(Milestones!$AB$191="FT",Milestones!$AA$191=FT_Y5,EDATE($D13,Milestones!$AA$191)&lt;PolicyEff),1,Milestones!$AC$191)&amp;";  ","")&amp;IF(AND(EDATE($D13,Milestones!$AA$192)&lt;=AsOfDate,EDATE($D13,Milestones!$AA$192)&gt;=SchemeStart,IF($X13=0,$AD13,IF(AND($Z13&lt;&gt;"",EDATE($D13,Milestones!$AA$192)&gt;=$Z13),$AC13,IF(AND($Y13&lt;&gt;"",EDATE($D13,Milestones!$AA$192)&gt;=$Y13),$AB13,$AA13)))=Milestones!$AB$192),UPPER(TEXT(EDATE($D13,Milestones!$AA$192),"dd mmm yy"))&amp;" "&amp;Milestones!$AB$192&amp;" "&amp;IF(AND(Milestones!$AB$192="FT",Milestones!$AA$192=FT_Y5,EDATE($D13,Milestones!$AA$192)&lt;PolicyEff),1,Milestones!$AC$192)&amp;";  ","")&amp;IF(AND(EDATE($D13,Milestones!$AA$193)&lt;=AsOfDate,EDATE($D13,Milestones!$AA$193)&gt;=SchemeStart,IF($X13=0,$AD13,IF(AND($Z13&lt;&gt;"",EDATE($D13,Milestones!$AA$193)&gt;=$Z13),$AC13,IF(AND($Y13&lt;&gt;"",EDATE($D13,Milestones!$AA$193)&gt;=$Y13),$AB13,$AA13)))=Milestones!$AB$193),UPPER(TEXT(EDATE($D13,Milestones!$AA$193),"dd mmm yy"))&amp;" "&amp;Milestones!$AB$193&amp;" "&amp;IF(AND(Milestones!$AB$193="FT",Milestones!$AA$193=FT_Y5,EDATE($D13,Milestones!$AA$193)&lt;PolicyEff),1,Milestones!$AC$193)&amp;";  ","")&amp;IF(AND(EDATE($D13,Milestones!$AA$194)&lt;=AsOfDate,EDATE($D13,Milestones!$AA$194)&gt;=SchemeStart,IF($X13=0,$AD13,IF(AND($Z13&lt;&gt;"",EDATE($D13,Milestones!$AA$194)&gt;=$Z13),$AC13,IF(AND($Y13&lt;&gt;"",EDATE($D13,Milestones!$AA$194)&gt;=$Y13),$AB13,$AA13)))=Milestones!$AB$194),UPPER(TEXT(EDATE($D13,Milestones!$AA$194),"dd mmm yy"))&amp;" "&amp;Milestones!$AB$194&amp;" "&amp;IF(AND(Milestones!$AB$194="FT",Milestones!$AA$194=FT_Y5,EDATE($D13,Milestones!$AA$194)&lt;PolicyEff),1,Milestones!$AC$194)&amp;";  ","")&amp;IF(AND(EDATE($D13,Milestones!$AA$195)&lt;=AsOfDate,EDATE($D13,Milestones!$AA$195)&gt;=SchemeStart,IF($X13=0,$AD13,IF(AND($Z13&lt;&gt;"",EDATE($D13,Milestones!$AA$195)&gt;=$Z13),$AC13,IF(AND($Y13&lt;&gt;"",EDATE($D13,Milestones!$AA$195)&gt;=$Y13),$AB13,$AA13)))=Milestones!$AB$195),UPPER(TEXT(EDATE($D13,Milestones!$AA$195),"dd mmm yy"))&amp;" "&amp;Milestones!$AB$195&amp;" "&amp;IF(AND(Milestones!$AB$195="FT",Milestones!$AA$195=FT_Y5,EDATE($D13,Milestones!$AA$195)&lt;PolicyEff),1,Milestones!$AC$195)&amp;";  ","")&amp;IF(AND(EDATE($D13,Milestones!$AA$196)&lt;=AsOfDate,EDATE($D13,Milestones!$AA$196)&gt;=SchemeStart,IF($X13=0,$AD13,IF(AND($Z13&lt;&gt;"",EDATE($D13,Milestones!$AA$196)&gt;=$Z13),$AC13,IF(AND($Y13&lt;&gt;"",EDATE($D13,Milestones!$AA$196)&gt;=$Y13),$AB13,$AA13)))=Milestones!$AB$196),UPPER(TEXT(EDATE($D13,Milestones!$AA$196),"dd mmm yy"))&amp;" "&amp;Milestones!$AB$196&amp;" "&amp;IF(AND(Milestones!$AB$196="FT",Milestones!$AA$196=FT_Y5,EDATE($D13,Milestones!$AA$196)&lt;PolicyEff),1,Milestones!$AC$196)&amp;";  ","")&amp;IF(AND(EDATE($D13,Milestones!$AA$197)&lt;=AsOfDate,EDATE($D13,Milestones!$AA$197)&gt;=SchemeStart,IF($X13=0,$AD13,IF(AND($Z13&lt;&gt;"",EDATE($D13,Milestones!$AA$197)&gt;=$Z13),$AC13,IF(AND($Y13&lt;&gt;"",EDATE($D13,Milestones!$AA$197)&gt;=$Y13),$AB13,$AA13)))=Milestones!$AB$197),UPPER(TEXT(EDATE($D13,Milestones!$AA$197),"dd mmm yy"))&amp;" "&amp;Milestones!$AB$197&amp;" "&amp;IF(AND(Milestones!$AB$197="FT",Milestones!$AA$197=FT_Y5,EDATE($D13,Milestones!$AA$197)&lt;PolicyEff),1,Milestones!$AC$197)&amp;";  ","")&amp;IF(AND(EDATE($D13,Milestones!$AA$198)&lt;=AsOfDate,EDATE($D13,Milestones!$AA$198)&gt;=SchemeStart,IF($X13=0,$AD13,IF(AND($Z13&lt;&gt;"",EDATE($D13,Milestones!$AA$198)&gt;=$Z13),$AC13,IF(AND($Y13&lt;&gt;"",EDATE($D13,Milestones!$AA$198)&gt;=$Y13),$AB13,$AA13)))=Milestones!$AB$198),UPPER(TEXT(EDATE($D13,Milestones!$AA$198),"dd mmm yy"))&amp;" "&amp;Milestones!$AB$198&amp;" "&amp;IF(AND(Milestones!$AB$198="FT",Milestones!$AA$198=FT_Y5,EDATE($D13,Milestones!$AA$198)&lt;PolicyEff),1,Milestones!$AC$198)&amp;";  ","")&amp;IF(AND(EDATE($D13,Milestones!$AA$199)&lt;=AsOfDate,EDATE($D13,Milestones!$AA$199)&gt;=SchemeStart,IF($X13=0,$AD13,IF(AND($Z13&lt;&gt;"",EDATE($D13,Milestones!$AA$199)&gt;=$Z13),$AC13,IF(AND($Y13&lt;&gt;"",EDATE($D13,Milestones!$AA$199)&gt;=$Y13),$AB13,$AA13)))=Milestones!$AB$199),UPPER(TEXT(EDATE($D13,Milestones!$AA$199),"dd mmm yy"))&amp;" "&amp;Milestones!$AB$199&amp;" "&amp;IF(AND(Milestones!$AB$199="FT",Milestones!$AA$199=FT_Y5,EDATE($D13,Milestones!$AA$199)&lt;PolicyEff),1,Milestones!$AC$199)&amp;";  ",""))</f>
        <v/>
      </c>
      <c r="X13" s="0" t="str">
        <f aca="false">IF(Staff!$A13="","",Staff!$AM13)</f>
        <v/>
      </c>
      <c r="Y13" s="0" t="str">
        <f aca="false">IF(Staff!$A13="","",Staff!$AO13)</f>
        <v/>
      </c>
      <c r="Z13" s="0" t="str">
        <f aca="false">IF(Staff!$A13="","",Staff!$AP13)</f>
        <v/>
      </c>
      <c r="AA13" s="0" t="str">
        <f aca="false">IF(Staff!$A13="","",Staff!$AT13)</f>
        <v/>
      </c>
      <c r="AB13" s="0" t="str">
        <f aca="false">IF(Staff!$A13="","",Staff!$AU13)</f>
        <v/>
      </c>
      <c r="AC13" s="0" t="str">
        <f aca="false">IF(Staff!$A13="","",Staff!$AV13)</f>
        <v/>
      </c>
      <c r="AD13" s="0" t="str">
        <f aca="false">IF(Staff!$A13="","",Staff!$AW13)</f>
        <v/>
      </c>
    </row>
    <row r="14" customFormat="false" ht="15" hidden="false" customHeight="false" outlineLevel="0" collapsed="false">
      <c r="A14" s="16" t="str">
        <f aca="false">IF(Staff!$A14="","",Staff!$A14)</f>
        <v/>
      </c>
      <c r="B14" s="16" t="str">
        <f aca="false">IF(Staff!$A14="","",Staff!$B14)</f>
        <v/>
      </c>
      <c r="C14" s="16" t="str">
        <f aca="false">IF(Staff!$A14="","",Staff!$C14)</f>
        <v/>
      </c>
      <c r="D14" s="14" t="str">
        <f aca="false">IF(Staff!$A14="","",Staff!$AL14)</f>
        <v/>
      </c>
      <c r="E14" s="16" t="str">
        <f aca="false">IF(Staff!$A14="","",Staff!$O14)</f>
        <v/>
      </c>
      <c r="F14" s="16" t="str">
        <f aca="false">IF(E14="","",E14*HoursPerDay)</f>
        <v/>
      </c>
      <c r="G14" s="16" t="str">
        <f aca="false">IF(Staff!$A14="","",Staff!$AE14)</f>
        <v/>
      </c>
      <c r="H14" s="28" t="str">
        <f aca="false">IF($A14="","",I14&amp;J14&amp;K14&amp;L14&amp;M14&amp;N14&amp;O14&amp;P14&amp;Q14&amp;R14&amp;S14&amp;T14&amp;U14&amp;V14&amp;W14)</f>
        <v/>
      </c>
      <c r="I14" s="0" t="str">
        <f aca="false">IF(OR($A14="",$D14=""),"",IF(AND(EDATE($D14,Milestones!$AA$20)&lt;=AsOfDate,EDATE($D14,Milestones!$AA$20)&gt;=SchemeStart,IF($X14=0,$AD14,IF(AND($Z14&lt;&gt;"",EDATE($D14,Milestones!$AA$20)&gt;=$Z14),$AC14,IF(AND($Y14&lt;&gt;"",EDATE($D14,Milestones!$AA$20)&gt;=$Y14),$AB14,$AA14)))=Milestones!$AB$20),UPPER(TEXT(EDATE($D14,Milestones!$AA$20),"dd mmm yy"))&amp;" "&amp;Milestones!$AB$20&amp;" "&amp;IF(AND(Milestones!$AB$20="FT",Milestones!$AA$20=FT_Y5,EDATE($D14,Milestones!$AA$20)&lt;PolicyEff),1,Milestones!$AC$20)&amp;";  ","")&amp;IF(AND(EDATE($D14,Milestones!$AA$21)&lt;=AsOfDate,EDATE($D14,Milestones!$AA$21)&gt;=SchemeStart,IF($X14=0,$AD14,IF(AND($Z14&lt;&gt;"",EDATE($D14,Milestones!$AA$21)&gt;=$Z14),$AC14,IF(AND($Y14&lt;&gt;"",EDATE($D14,Milestones!$AA$21)&gt;=$Y14),$AB14,$AA14)))=Milestones!$AB$21),UPPER(TEXT(EDATE($D14,Milestones!$AA$21),"dd mmm yy"))&amp;" "&amp;Milestones!$AB$21&amp;" "&amp;IF(AND(Milestones!$AB$21="FT",Milestones!$AA$21=FT_Y5,EDATE($D14,Milestones!$AA$21)&lt;PolicyEff),1,Milestones!$AC$21)&amp;";  ","")&amp;IF(AND(EDATE($D14,Milestones!$AA$22)&lt;=AsOfDate,EDATE($D14,Milestones!$AA$22)&gt;=SchemeStart,IF($X14=0,$AD14,IF(AND($Z14&lt;&gt;"",EDATE($D14,Milestones!$AA$22)&gt;=$Z14),$AC14,IF(AND($Y14&lt;&gt;"",EDATE($D14,Milestones!$AA$22)&gt;=$Y14),$AB14,$AA14)))=Milestones!$AB$22),UPPER(TEXT(EDATE($D14,Milestones!$AA$22),"dd mmm yy"))&amp;" "&amp;Milestones!$AB$22&amp;" "&amp;IF(AND(Milestones!$AB$22="FT",Milestones!$AA$22=FT_Y5,EDATE($D14,Milestones!$AA$22)&lt;PolicyEff),1,Milestones!$AC$22)&amp;";  ","")&amp;IF(AND(EDATE($D14,Milestones!$AA$23)&lt;=AsOfDate,EDATE($D14,Milestones!$AA$23)&gt;=SchemeStart,IF($X14=0,$AD14,IF(AND($Z14&lt;&gt;"",EDATE($D14,Milestones!$AA$23)&gt;=$Z14),$AC14,IF(AND($Y14&lt;&gt;"",EDATE($D14,Milestones!$AA$23)&gt;=$Y14),$AB14,$AA14)))=Milestones!$AB$23),UPPER(TEXT(EDATE($D14,Milestones!$AA$23),"dd mmm yy"))&amp;" "&amp;Milestones!$AB$23&amp;" "&amp;IF(AND(Milestones!$AB$23="FT",Milestones!$AA$23=FT_Y5,EDATE($D14,Milestones!$AA$23)&lt;PolicyEff),1,Milestones!$AC$23)&amp;";  ","")&amp;IF(AND(EDATE($D14,Milestones!$AA$24)&lt;=AsOfDate,EDATE($D14,Milestones!$AA$24)&gt;=SchemeStart,IF($X14=0,$AD14,IF(AND($Z14&lt;&gt;"",EDATE($D14,Milestones!$AA$24)&gt;=$Z14),$AC14,IF(AND($Y14&lt;&gt;"",EDATE($D14,Milestones!$AA$24)&gt;=$Y14),$AB14,$AA14)))=Milestones!$AB$24),UPPER(TEXT(EDATE($D14,Milestones!$AA$24),"dd mmm yy"))&amp;" "&amp;Milestones!$AB$24&amp;" "&amp;IF(AND(Milestones!$AB$24="FT",Milestones!$AA$24=FT_Y5,EDATE($D14,Milestones!$AA$24)&lt;PolicyEff),1,Milestones!$AC$24)&amp;";  ","")&amp;IF(AND(EDATE($D14,Milestones!$AA$25)&lt;=AsOfDate,EDATE($D14,Milestones!$AA$25)&gt;=SchemeStart,IF($X14=0,$AD14,IF(AND($Z14&lt;&gt;"",EDATE($D14,Milestones!$AA$25)&gt;=$Z14),$AC14,IF(AND($Y14&lt;&gt;"",EDATE($D14,Milestones!$AA$25)&gt;=$Y14),$AB14,$AA14)))=Milestones!$AB$25),UPPER(TEXT(EDATE($D14,Milestones!$AA$25),"dd mmm yy"))&amp;" "&amp;Milestones!$AB$25&amp;" "&amp;IF(AND(Milestones!$AB$25="FT",Milestones!$AA$25=FT_Y5,EDATE($D14,Milestones!$AA$25)&lt;PolicyEff),1,Milestones!$AC$25)&amp;";  ","")&amp;IF(AND(EDATE($D14,Milestones!$AA$26)&lt;=AsOfDate,EDATE($D14,Milestones!$AA$26)&gt;=SchemeStart,IF($X14=0,$AD14,IF(AND($Z14&lt;&gt;"",EDATE($D14,Milestones!$AA$26)&gt;=$Z14),$AC14,IF(AND($Y14&lt;&gt;"",EDATE($D14,Milestones!$AA$26)&gt;=$Y14),$AB14,$AA14)))=Milestones!$AB$26),UPPER(TEXT(EDATE($D14,Milestones!$AA$26),"dd mmm yy"))&amp;" "&amp;Milestones!$AB$26&amp;" "&amp;IF(AND(Milestones!$AB$26="FT",Milestones!$AA$26=FT_Y5,EDATE($D14,Milestones!$AA$26)&lt;PolicyEff),1,Milestones!$AC$26)&amp;";  ","")&amp;IF(AND(EDATE($D14,Milestones!$AA$27)&lt;=AsOfDate,EDATE($D14,Milestones!$AA$27)&gt;=SchemeStart,IF($X14=0,$AD14,IF(AND($Z14&lt;&gt;"",EDATE($D14,Milestones!$AA$27)&gt;=$Z14),$AC14,IF(AND($Y14&lt;&gt;"",EDATE($D14,Milestones!$AA$27)&gt;=$Y14),$AB14,$AA14)))=Milestones!$AB$27),UPPER(TEXT(EDATE($D14,Milestones!$AA$27),"dd mmm yy"))&amp;" "&amp;Milestones!$AB$27&amp;" "&amp;IF(AND(Milestones!$AB$27="FT",Milestones!$AA$27=FT_Y5,EDATE($D14,Milestones!$AA$27)&lt;PolicyEff),1,Milestones!$AC$27)&amp;";  ","")&amp;IF(AND(EDATE($D14,Milestones!$AA$28)&lt;=AsOfDate,EDATE($D14,Milestones!$AA$28)&gt;=SchemeStart,IF($X14=0,$AD14,IF(AND($Z14&lt;&gt;"",EDATE($D14,Milestones!$AA$28)&gt;=$Z14),$AC14,IF(AND($Y14&lt;&gt;"",EDATE($D14,Milestones!$AA$28)&gt;=$Y14),$AB14,$AA14)))=Milestones!$AB$28),UPPER(TEXT(EDATE($D14,Milestones!$AA$28),"dd mmm yy"))&amp;" "&amp;Milestones!$AB$28&amp;" "&amp;IF(AND(Milestones!$AB$28="FT",Milestones!$AA$28=FT_Y5,EDATE($D14,Milestones!$AA$28)&lt;PolicyEff),1,Milestones!$AC$28)&amp;";  ","")&amp;IF(AND(EDATE($D14,Milestones!$AA$29)&lt;=AsOfDate,EDATE($D14,Milestones!$AA$29)&gt;=SchemeStart,IF($X14=0,$AD14,IF(AND($Z14&lt;&gt;"",EDATE($D14,Milestones!$AA$29)&gt;=$Z14),$AC14,IF(AND($Y14&lt;&gt;"",EDATE($D14,Milestones!$AA$29)&gt;=$Y14),$AB14,$AA14)))=Milestones!$AB$29),UPPER(TEXT(EDATE($D14,Milestones!$AA$29),"dd mmm yy"))&amp;" "&amp;Milestones!$AB$29&amp;" "&amp;IF(AND(Milestones!$AB$29="FT",Milestones!$AA$29=FT_Y5,EDATE($D14,Milestones!$AA$29)&lt;PolicyEff),1,Milestones!$AC$29)&amp;";  ","")&amp;IF(AND(EDATE($D14,Milestones!$AA$30)&lt;=AsOfDate,EDATE($D14,Milestones!$AA$30)&gt;=SchemeStart,IF($X14=0,$AD14,IF(AND($Z14&lt;&gt;"",EDATE($D14,Milestones!$AA$30)&gt;=$Z14),$AC14,IF(AND($Y14&lt;&gt;"",EDATE($D14,Milestones!$AA$30)&gt;=$Y14),$AB14,$AA14)))=Milestones!$AB$30),UPPER(TEXT(EDATE($D14,Milestones!$AA$30),"dd mmm yy"))&amp;" "&amp;Milestones!$AB$30&amp;" "&amp;IF(AND(Milestones!$AB$30="FT",Milestones!$AA$30=FT_Y5,EDATE($D14,Milestones!$AA$30)&lt;PolicyEff),1,Milestones!$AC$30)&amp;";  ","")&amp;IF(AND(EDATE($D14,Milestones!$AA$31)&lt;=AsOfDate,EDATE($D14,Milestones!$AA$31)&gt;=SchemeStart,IF($X14=0,$AD14,IF(AND($Z14&lt;&gt;"",EDATE($D14,Milestones!$AA$31)&gt;=$Z14),$AC14,IF(AND($Y14&lt;&gt;"",EDATE($D14,Milestones!$AA$31)&gt;=$Y14),$AB14,$AA14)))=Milestones!$AB$31),UPPER(TEXT(EDATE($D14,Milestones!$AA$31),"dd mmm yy"))&amp;" "&amp;Milestones!$AB$31&amp;" "&amp;IF(AND(Milestones!$AB$31="FT",Milestones!$AA$31=FT_Y5,EDATE($D14,Milestones!$AA$31)&lt;PolicyEff),1,Milestones!$AC$31)&amp;";  ",""))</f>
        <v/>
      </c>
      <c r="J14" s="0" t="str">
        <f aca="false">IF(OR($A14="",$D14=""),"",IF(AND(EDATE($D14,Milestones!$AA$32)&lt;=AsOfDate,EDATE($D14,Milestones!$AA$32)&gt;=SchemeStart,IF($X14=0,$AD14,IF(AND($Z14&lt;&gt;"",EDATE($D14,Milestones!$AA$32)&gt;=$Z14),$AC14,IF(AND($Y14&lt;&gt;"",EDATE($D14,Milestones!$AA$32)&gt;=$Y14),$AB14,$AA14)))=Milestones!$AB$32),UPPER(TEXT(EDATE($D14,Milestones!$AA$32),"dd mmm yy"))&amp;" "&amp;Milestones!$AB$32&amp;" "&amp;IF(AND(Milestones!$AB$32="FT",Milestones!$AA$32=FT_Y5,EDATE($D14,Milestones!$AA$32)&lt;PolicyEff),1,Milestones!$AC$32)&amp;";  ","")&amp;IF(AND(EDATE($D14,Milestones!$AA$33)&lt;=AsOfDate,EDATE($D14,Milestones!$AA$33)&gt;=SchemeStart,IF($X14=0,$AD14,IF(AND($Z14&lt;&gt;"",EDATE($D14,Milestones!$AA$33)&gt;=$Z14),$AC14,IF(AND($Y14&lt;&gt;"",EDATE($D14,Milestones!$AA$33)&gt;=$Y14),$AB14,$AA14)))=Milestones!$AB$33),UPPER(TEXT(EDATE($D14,Milestones!$AA$33),"dd mmm yy"))&amp;" "&amp;Milestones!$AB$33&amp;" "&amp;IF(AND(Milestones!$AB$33="FT",Milestones!$AA$33=FT_Y5,EDATE($D14,Milestones!$AA$33)&lt;PolicyEff),1,Milestones!$AC$33)&amp;";  ","")&amp;IF(AND(EDATE($D14,Milestones!$AA$34)&lt;=AsOfDate,EDATE($D14,Milestones!$AA$34)&gt;=SchemeStart,IF($X14=0,$AD14,IF(AND($Z14&lt;&gt;"",EDATE($D14,Milestones!$AA$34)&gt;=$Z14),$AC14,IF(AND($Y14&lt;&gt;"",EDATE($D14,Milestones!$AA$34)&gt;=$Y14),$AB14,$AA14)))=Milestones!$AB$34),UPPER(TEXT(EDATE($D14,Milestones!$AA$34),"dd mmm yy"))&amp;" "&amp;Milestones!$AB$34&amp;" "&amp;IF(AND(Milestones!$AB$34="FT",Milestones!$AA$34=FT_Y5,EDATE($D14,Milestones!$AA$34)&lt;PolicyEff),1,Milestones!$AC$34)&amp;";  ","")&amp;IF(AND(EDATE($D14,Milestones!$AA$35)&lt;=AsOfDate,EDATE($D14,Milestones!$AA$35)&gt;=SchemeStart,IF($X14=0,$AD14,IF(AND($Z14&lt;&gt;"",EDATE($D14,Milestones!$AA$35)&gt;=$Z14),$AC14,IF(AND($Y14&lt;&gt;"",EDATE($D14,Milestones!$AA$35)&gt;=$Y14),$AB14,$AA14)))=Milestones!$AB$35),UPPER(TEXT(EDATE($D14,Milestones!$AA$35),"dd mmm yy"))&amp;" "&amp;Milestones!$AB$35&amp;" "&amp;IF(AND(Milestones!$AB$35="FT",Milestones!$AA$35=FT_Y5,EDATE($D14,Milestones!$AA$35)&lt;PolicyEff),1,Milestones!$AC$35)&amp;";  ","")&amp;IF(AND(EDATE($D14,Milestones!$AA$36)&lt;=AsOfDate,EDATE($D14,Milestones!$AA$36)&gt;=SchemeStart,IF($X14=0,$AD14,IF(AND($Z14&lt;&gt;"",EDATE($D14,Milestones!$AA$36)&gt;=$Z14),$AC14,IF(AND($Y14&lt;&gt;"",EDATE($D14,Milestones!$AA$36)&gt;=$Y14),$AB14,$AA14)))=Milestones!$AB$36),UPPER(TEXT(EDATE($D14,Milestones!$AA$36),"dd mmm yy"))&amp;" "&amp;Milestones!$AB$36&amp;" "&amp;IF(AND(Milestones!$AB$36="FT",Milestones!$AA$36=FT_Y5,EDATE($D14,Milestones!$AA$36)&lt;PolicyEff),1,Milestones!$AC$36)&amp;";  ","")&amp;IF(AND(EDATE($D14,Milestones!$AA$37)&lt;=AsOfDate,EDATE($D14,Milestones!$AA$37)&gt;=SchemeStart,IF($X14=0,$AD14,IF(AND($Z14&lt;&gt;"",EDATE($D14,Milestones!$AA$37)&gt;=$Z14),$AC14,IF(AND($Y14&lt;&gt;"",EDATE($D14,Milestones!$AA$37)&gt;=$Y14),$AB14,$AA14)))=Milestones!$AB$37),UPPER(TEXT(EDATE($D14,Milestones!$AA$37),"dd mmm yy"))&amp;" "&amp;Milestones!$AB$37&amp;" "&amp;IF(AND(Milestones!$AB$37="FT",Milestones!$AA$37=FT_Y5,EDATE($D14,Milestones!$AA$37)&lt;PolicyEff),1,Milestones!$AC$37)&amp;";  ","")&amp;IF(AND(EDATE($D14,Milestones!$AA$38)&lt;=AsOfDate,EDATE($D14,Milestones!$AA$38)&gt;=SchemeStart,IF($X14=0,$AD14,IF(AND($Z14&lt;&gt;"",EDATE($D14,Milestones!$AA$38)&gt;=$Z14),$AC14,IF(AND($Y14&lt;&gt;"",EDATE($D14,Milestones!$AA$38)&gt;=$Y14),$AB14,$AA14)))=Milestones!$AB$38),UPPER(TEXT(EDATE($D14,Milestones!$AA$38),"dd mmm yy"))&amp;" "&amp;Milestones!$AB$38&amp;" "&amp;IF(AND(Milestones!$AB$38="FT",Milestones!$AA$38=FT_Y5,EDATE($D14,Milestones!$AA$38)&lt;PolicyEff),1,Milestones!$AC$38)&amp;";  ","")&amp;IF(AND(EDATE($D14,Milestones!$AA$39)&lt;=AsOfDate,EDATE($D14,Milestones!$AA$39)&gt;=SchemeStart,IF($X14=0,$AD14,IF(AND($Z14&lt;&gt;"",EDATE($D14,Milestones!$AA$39)&gt;=$Z14),$AC14,IF(AND($Y14&lt;&gt;"",EDATE($D14,Milestones!$AA$39)&gt;=$Y14),$AB14,$AA14)))=Milestones!$AB$39),UPPER(TEXT(EDATE($D14,Milestones!$AA$39),"dd mmm yy"))&amp;" "&amp;Milestones!$AB$39&amp;" "&amp;IF(AND(Milestones!$AB$39="FT",Milestones!$AA$39=FT_Y5,EDATE($D14,Milestones!$AA$39)&lt;PolicyEff),1,Milestones!$AC$39)&amp;";  ","")&amp;IF(AND(EDATE($D14,Milestones!$AA$40)&lt;=AsOfDate,EDATE($D14,Milestones!$AA$40)&gt;=SchemeStart,IF($X14=0,$AD14,IF(AND($Z14&lt;&gt;"",EDATE($D14,Milestones!$AA$40)&gt;=$Z14),$AC14,IF(AND($Y14&lt;&gt;"",EDATE($D14,Milestones!$AA$40)&gt;=$Y14),$AB14,$AA14)))=Milestones!$AB$40),UPPER(TEXT(EDATE($D14,Milestones!$AA$40),"dd mmm yy"))&amp;" "&amp;Milestones!$AB$40&amp;" "&amp;IF(AND(Milestones!$AB$40="FT",Milestones!$AA$40=FT_Y5,EDATE($D14,Milestones!$AA$40)&lt;PolicyEff),1,Milestones!$AC$40)&amp;";  ","")&amp;IF(AND(EDATE($D14,Milestones!$AA$41)&lt;=AsOfDate,EDATE($D14,Milestones!$AA$41)&gt;=SchemeStart,IF($X14=0,$AD14,IF(AND($Z14&lt;&gt;"",EDATE($D14,Milestones!$AA$41)&gt;=$Z14),$AC14,IF(AND($Y14&lt;&gt;"",EDATE($D14,Milestones!$AA$41)&gt;=$Y14),$AB14,$AA14)))=Milestones!$AB$41),UPPER(TEXT(EDATE($D14,Milestones!$AA$41),"dd mmm yy"))&amp;" "&amp;Milestones!$AB$41&amp;" "&amp;IF(AND(Milestones!$AB$41="FT",Milestones!$AA$41=FT_Y5,EDATE($D14,Milestones!$AA$41)&lt;PolicyEff),1,Milestones!$AC$41)&amp;";  ","")&amp;IF(AND(EDATE($D14,Milestones!$AA$42)&lt;=AsOfDate,EDATE($D14,Milestones!$AA$42)&gt;=SchemeStart,IF($X14=0,$AD14,IF(AND($Z14&lt;&gt;"",EDATE($D14,Milestones!$AA$42)&gt;=$Z14),$AC14,IF(AND($Y14&lt;&gt;"",EDATE($D14,Milestones!$AA$42)&gt;=$Y14),$AB14,$AA14)))=Milestones!$AB$42),UPPER(TEXT(EDATE($D14,Milestones!$AA$42),"dd mmm yy"))&amp;" "&amp;Milestones!$AB$42&amp;" "&amp;IF(AND(Milestones!$AB$42="FT",Milestones!$AA$42=FT_Y5,EDATE($D14,Milestones!$AA$42)&lt;PolicyEff),1,Milestones!$AC$42)&amp;";  ","")&amp;IF(AND(EDATE($D14,Milestones!$AA$43)&lt;=AsOfDate,EDATE($D14,Milestones!$AA$43)&gt;=SchemeStart,IF($X14=0,$AD14,IF(AND($Z14&lt;&gt;"",EDATE($D14,Milestones!$AA$43)&gt;=$Z14),$AC14,IF(AND($Y14&lt;&gt;"",EDATE($D14,Milestones!$AA$43)&gt;=$Y14),$AB14,$AA14)))=Milestones!$AB$43),UPPER(TEXT(EDATE($D14,Milestones!$AA$43),"dd mmm yy"))&amp;" "&amp;Milestones!$AB$43&amp;" "&amp;IF(AND(Milestones!$AB$43="FT",Milestones!$AA$43=FT_Y5,EDATE($D14,Milestones!$AA$43)&lt;PolicyEff),1,Milestones!$AC$43)&amp;";  ",""))</f>
        <v/>
      </c>
      <c r="K14" s="0" t="str">
        <f aca="false">IF(OR($A14="",$D14=""),"",IF(AND(EDATE($D14,Milestones!$AA$44)&lt;=AsOfDate,EDATE($D14,Milestones!$AA$44)&gt;=SchemeStart,IF($X14=0,$AD14,IF(AND($Z14&lt;&gt;"",EDATE($D14,Milestones!$AA$44)&gt;=$Z14),$AC14,IF(AND($Y14&lt;&gt;"",EDATE($D14,Milestones!$AA$44)&gt;=$Y14),$AB14,$AA14)))=Milestones!$AB$44),UPPER(TEXT(EDATE($D14,Milestones!$AA$44),"dd mmm yy"))&amp;" "&amp;Milestones!$AB$44&amp;" "&amp;IF(AND(Milestones!$AB$44="FT",Milestones!$AA$44=FT_Y5,EDATE($D14,Milestones!$AA$44)&lt;PolicyEff),1,Milestones!$AC$44)&amp;";  ","")&amp;IF(AND(EDATE($D14,Milestones!$AA$45)&lt;=AsOfDate,EDATE($D14,Milestones!$AA$45)&gt;=SchemeStart,IF($X14=0,$AD14,IF(AND($Z14&lt;&gt;"",EDATE($D14,Milestones!$AA$45)&gt;=$Z14),$AC14,IF(AND($Y14&lt;&gt;"",EDATE($D14,Milestones!$AA$45)&gt;=$Y14),$AB14,$AA14)))=Milestones!$AB$45),UPPER(TEXT(EDATE($D14,Milestones!$AA$45),"dd mmm yy"))&amp;" "&amp;Milestones!$AB$45&amp;" "&amp;IF(AND(Milestones!$AB$45="FT",Milestones!$AA$45=FT_Y5,EDATE($D14,Milestones!$AA$45)&lt;PolicyEff),1,Milestones!$AC$45)&amp;";  ","")&amp;IF(AND(EDATE($D14,Milestones!$AA$46)&lt;=AsOfDate,EDATE($D14,Milestones!$AA$46)&gt;=SchemeStart,IF($X14=0,$AD14,IF(AND($Z14&lt;&gt;"",EDATE($D14,Milestones!$AA$46)&gt;=$Z14),$AC14,IF(AND($Y14&lt;&gt;"",EDATE($D14,Milestones!$AA$46)&gt;=$Y14),$AB14,$AA14)))=Milestones!$AB$46),UPPER(TEXT(EDATE($D14,Milestones!$AA$46),"dd mmm yy"))&amp;" "&amp;Milestones!$AB$46&amp;" "&amp;IF(AND(Milestones!$AB$46="FT",Milestones!$AA$46=FT_Y5,EDATE($D14,Milestones!$AA$46)&lt;PolicyEff),1,Milestones!$AC$46)&amp;";  ","")&amp;IF(AND(EDATE($D14,Milestones!$AA$47)&lt;=AsOfDate,EDATE($D14,Milestones!$AA$47)&gt;=SchemeStart,IF($X14=0,$AD14,IF(AND($Z14&lt;&gt;"",EDATE($D14,Milestones!$AA$47)&gt;=$Z14),$AC14,IF(AND($Y14&lt;&gt;"",EDATE($D14,Milestones!$AA$47)&gt;=$Y14),$AB14,$AA14)))=Milestones!$AB$47),UPPER(TEXT(EDATE($D14,Milestones!$AA$47),"dd mmm yy"))&amp;" "&amp;Milestones!$AB$47&amp;" "&amp;IF(AND(Milestones!$AB$47="FT",Milestones!$AA$47=FT_Y5,EDATE($D14,Milestones!$AA$47)&lt;PolicyEff),1,Milestones!$AC$47)&amp;";  ","")&amp;IF(AND(EDATE($D14,Milestones!$AA$48)&lt;=AsOfDate,EDATE($D14,Milestones!$AA$48)&gt;=SchemeStart,IF($X14=0,$AD14,IF(AND($Z14&lt;&gt;"",EDATE($D14,Milestones!$AA$48)&gt;=$Z14),$AC14,IF(AND($Y14&lt;&gt;"",EDATE($D14,Milestones!$AA$48)&gt;=$Y14),$AB14,$AA14)))=Milestones!$AB$48),UPPER(TEXT(EDATE($D14,Milestones!$AA$48),"dd mmm yy"))&amp;" "&amp;Milestones!$AB$48&amp;" "&amp;IF(AND(Milestones!$AB$48="FT",Milestones!$AA$48=FT_Y5,EDATE($D14,Milestones!$AA$48)&lt;PolicyEff),1,Milestones!$AC$48)&amp;";  ","")&amp;IF(AND(EDATE($D14,Milestones!$AA$49)&lt;=AsOfDate,EDATE($D14,Milestones!$AA$49)&gt;=SchemeStart,IF($X14=0,$AD14,IF(AND($Z14&lt;&gt;"",EDATE($D14,Milestones!$AA$49)&gt;=$Z14),$AC14,IF(AND($Y14&lt;&gt;"",EDATE($D14,Milestones!$AA$49)&gt;=$Y14),$AB14,$AA14)))=Milestones!$AB$49),UPPER(TEXT(EDATE($D14,Milestones!$AA$49),"dd mmm yy"))&amp;" "&amp;Milestones!$AB$49&amp;" "&amp;IF(AND(Milestones!$AB$49="FT",Milestones!$AA$49=FT_Y5,EDATE($D14,Milestones!$AA$49)&lt;PolicyEff),1,Milestones!$AC$49)&amp;";  ","")&amp;IF(AND(EDATE($D14,Milestones!$AA$50)&lt;=AsOfDate,EDATE($D14,Milestones!$AA$50)&gt;=SchemeStart,IF($X14=0,$AD14,IF(AND($Z14&lt;&gt;"",EDATE($D14,Milestones!$AA$50)&gt;=$Z14),$AC14,IF(AND($Y14&lt;&gt;"",EDATE($D14,Milestones!$AA$50)&gt;=$Y14),$AB14,$AA14)))=Milestones!$AB$50),UPPER(TEXT(EDATE($D14,Milestones!$AA$50),"dd mmm yy"))&amp;" "&amp;Milestones!$AB$50&amp;" "&amp;IF(AND(Milestones!$AB$50="FT",Milestones!$AA$50=FT_Y5,EDATE($D14,Milestones!$AA$50)&lt;PolicyEff),1,Milestones!$AC$50)&amp;";  ","")&amp;IF(AND(EDATE($D14,Milestones!$AA$51)&lt;=AsOfDate,EDATE($D14,Milestones!$AA$51)&gt;=SchemeStart,IF($X14=0,$AD14,IF(AND($Z14&lt;&gt;"",EDATE($D14,Milestones!$AA$51)&gt;=$Z14),$AC14,IF(AND($Y14&lt;&gt;"",EDATE($D14,Milestones!$AA$51)&gt;=$Y14),$AB14,$AA14)))=Milestones!$AB$51),UPPER(TEXT(EDATE($D14,Milestones!$AA$51),"dd mmm yy"))&amp;" "&amp;Milestones!$AB$51&amp;" "&amp;IF(AND(Milestones!$AB$51="FT",Milestones!$AA$51=FT_Y5,EDATE($D14,Milestones!$AA$51)&lt;PolicyEff),1,Milestones!$AC$51)&amp;";  ","")&amp;IF(AND(EDATE($D14,Milestones!$AA$52)&lt;=AsOfDate,EDATE($D14,Milestones!$AA$52)&gt;=SchemeStart,IF($X14=0,$AD14,IF(AND($Z14&lt;&gt;"",EDATE($D14,Milestones!$AA$52)&gt;=$Z14),$AC14,IF(AND($Y14&lt;&gt;"",EDATE($D14,Milestones!$AA$52)&gt;=$Y14),$AB14,$AA14)))=Milestones!$AB$52),UPPER(TEXT(EDATE($D14,Milestones!$AA$52),"dd mmm yy"))&amp;" "&amp;Milestones!$AB$52&amp;" "&amp;IF(AND(Milestones!$AB$52="FT",Milestones!$AA$52=FT_Y5,EDATE($D14,Milestones!$AA$52)&lt;PolicyEff),1,Milestones!$AC$52)&amp;";  ","")&amp;IF(AND(EDATE($D14,Milestones!$AA$53)&lt;=AsOfDate,EDATE($D14,Milestones!$AA$53)&gt;=SchemeStart,IF($X14=0,$AD14,IF(AND($Z14&lt;&gt;"",EDATE($D14,Milestones!$AA$53)&gt;=$Z14),$AC14,IF(AND($Y14&lt;&gt;"",EDATE($D14,Milestones!$AA$53)&gt;=$Y14),$AB14,$AA14)))=Milestones!$AB$53),UPPER(TEXT(EDATE($D14,Milestones!$AA$53),"dd mmm yy"))&amp;" "&amp;Milestones!$AB$53&amp;" "&amp;IF(AND(Milestones!$AB$53="FT",Milestones!$AA$53=FT_Y5,EDATE($D14,Milestones!$AA$53)&lt;PolicyEff),1,Milestones!$AC$53)&amp;";  ","")&amp;IF(AND(EDATE($D14,Milestones!$AA$54)&lt;=AsOfDate,EDATE($D14,Milestones!$AA$54)&gt;=SchemeStart,IF($X14=0,$AD14,IF(AND($Z14&lt;&gt;"",EDATE($D14,Milestones!$AA$54)&gt;=$Z14),$AC14,IF(AND($Y14&lt;&gt;"",EDATE($D14,Milestones!$AA$54)&gt;=$Y14),$AB14,$AA14)))=Milestones!$AB$54),UPPER(TEXT(EDATE($D14,Milestones!$AA$54),"dd mmm yy"))&amp;" "&amp;Milestones!$AB$54&amp;" "&amp;IF(AND(Milestones!$AB$54="FT",Milestones!$AA$54=FT_Y5,EDATE($D14,Milestones!$AA$54)&lt;PolicyEff),1,Milestones!$AC$54)&amp;";  ","")&amp;IF(AND(EDATE($D14,Milestones!$AA$55)&lt;=AsOfDate,EDATE($D14,Milestones!$AA$55)&gt;=SchemeStart,IF($X14=0,$AD14,IF(AND($Z14&lt;&gt;"",EDATE($D14,Milestones!$AA$55)&gt;=$Z14),$AC14,IF(AND($Y14&lt;&gt;"",EDATE($D14,Milestones!$AA$55)&gt;=$Y14),$AB14,$AA14)))=Milestones!$AB$55),UPPER(TEXT(EDATE($D14,Milestones!$AA$55),"dd mmm yy"))&amp;" "&amp;Milestones!$AB$55&amp;" "&amp;IF(AND(Milestones!$AB$55="FT",Milestones!$AA$55=FT_Y5,EDATE($D14,Milestones!$AA$55)&lt;PolicyEff),1,Milestones!$AC$55)&amp;";  ",""))</f>
        <v/>
      </c>
      <c r="L14" s="0" t="str">
        <f aca="false">IF(OR($A14="",$D14=""),"",IF(AND(EDATE($D14,Milestones!$AA$56)&lt;=AsOfDate,EDATE($D14,Milestones!$AA$56)&gt;=SchemeStart,IF($X14=0,$AD14,IF(AND($Z14&lt;&gt;"",EDATE($D14,Milestones!$AA$56)&gt;=$Z14),$AC14,IF(AND($Y14&lt;&gt;"",EDATE($D14,Milestones!$AA$56)&gt;=$Y14),$AB14,$AA14)))=Milestones!$AB$56),UPPER(TEXT(EDATE($D14,Milestones!$AA$56),"dd mmm yy"))&amp;" "&amp;Milestones!$AB$56&amp;" "&amp;IF(AND(Milestones!$AB$56="FT",Milestones!$AA$56=FT_Y5,EDATE($D14,Milestones!$AA$56)&lt;PolicyEff),1,Milestones!$AC$56)&amp;";  ","")&amp;IF(AND(EDATE($D14,Milestones!$AA$57)&lt;=AsOfDate,EDATE($D14,Milestones!$AA$57)&gt;=SchemeStart,IF($X14=0,$AD14,IF(AND($Z14&lt;&gt;"",EDATE($D14,Milestones!$AA$57)&gt;=$Z14),$AC14,IF(AND($Y14&lt;&gt;"",EDATE($D14,Milestones!$AA$57)&gt;=$Y14),$AB14,$AA14)))=Milestones!$AB$57),UPPER(TEXT(EDATE($D14,Milestones!$AA$57),"dd mmm yy"))&amp;" "&amp;Milestones!$AB$57&amp;" "&amp;IF(AND(Milestones!$AB$57="FT",Milestones!$AA$57=FT_Y5,EDATE($D14,Milestones!$AA$57)&lt;PolicyEff),1,Milestones!$AC$57)&amp;";  ","")&amp;IF(AND(EDATE($D14,Milestones!$AA$58)&lt;=AsOfDate,EDATE($D14,Milestones!$AA$58)&gt;=SchemeStart,IF($X14=0,$AD14,IF(AND($Z14&lt;&gt;"",EDATE($D14,Milestones!$AA$58)&gt;=$Z14),$AC14,IF(AND($Y14&lt;&gt;"",EDATE($D14,Milestones!$AA$58)&gt;=$Y14),$AB14,$AA14)))=Milestones!$AB$58),UPPER(TEXT(EDATE($D14,Milestones!$AA$58),"dd mmm yy"))&amp;" "&amp;Milestones!$AB$58&amp;" "&amp;IF(AND(Milestones!$AB$58="FT",Milestones!$AA$58=FT_Y5,EDATE($D14,Milestones!$AA$58)&lt;PolicyEff),1,Milestones!$AC$58)&amp;";  ","")&amp;IF(AND(EDATE($D14,Milestones!$AA$59)&lt;=AsOfDate,EDATE($D14,Milestones!$AA$59)&gt;=SchemeStart,IF($X14=0,$AD14,IF(AND($Z14&lt;&gt;"",EDATE($D14,Milestones!$AA$59)&gt;=$Z14),$AC14,IF(AND($Y14&lt;&gt;"",EDATE($D14,Milestones!$AA$59)&gt;=$Y14),$AB14,$AA14)))=Milestones!$AB$59),UPPER(TEXT(EDATE($D14,Milestones!$AA$59),"dd mmm yy"))&amp;" "&amp;Milestones!$AB$59&amp;" "&amp;IF(AND(Milestones!$AB$59="FT",Milestones!$AA$59=FT_Y5,EDATE($D14,Milestones!$AA$59)&lt;PolicyEff),1,Milestones!$AC$59)&amp;";  ","")&amp;IF(AND(EDATE($D14,Milestones!$AA$60)&lt;=AsOfDate,EDATE($D14,Milestones!$AA$60)&gt;=SchemeStart,IF($X14=0,$AD14,IF(AND($Z14&lt;&gt;"",EDATE($D14,Milestones!$AA$60)&gt;=$Z14),$AC14,IF(AND($Y14&lt;&gt;"",EDATE($D14,Milestones!$AA$60)&gt;=$Y14),$AB14,$AA14)))=Milestones!$AB$60),UPPER(TEXT(EDATE($D14,Milestones!$AA$60),"dd mmm yy"))&amp;" "&amp;Milestones!$AB$60&amp;" "&amp;IF(AND(Milestones!$AB$60="FT",Milestones!$AA$60=FT_Y5,EDATE($D14,Milestones!$AA$60)&lt;PolicyEff),1,Milestones!$AC$60)&amp;";  ","")&amp;IF(AND(EDATE($D14,Milestones!$AA$61)&lt;=AsOfDate,EDATE($D14,Milestones!$AA$61)&gt;=SchemeStart,IF($X14=0,$AD14,IF(AND($Z14&lt;&gt;"",EDATE($D14,Milestones!$AA$61)&gt;=$Z14),$AC14,IF(AND($Y14&lt;&gt;"",EDATE($D14,Milestones!$AA$61)&gt;=$Y14),$AB14,$AA14)))=Milestones!$AB$61),UPPER(TEXT(EDATE($D14,Milestones!$AA$61),"dd mmm yy"))&amp;" "&amp;Milestones!$AB$61&amp;" "&amp;IF(AND(Milestones!$AB$61="FT",Milestones!$AA$61=FT_Y5,EDATE($D14,Milestones!$AA$61)&lt;PolicyEff),1,Milestones!$AC$61)&amp;";  ","")&amp;IF(AND(EDATE($D14,Milestones!$AA$62)&lt;=AsOfDate,EDATE($D14,Milestones!$AA$62)&gt;=SchemeStart,IF($X14=0,$AD14,IF(AND($Z14&lt;&gt;"",EDATE($D14,Milestones!$AA$62)&gt;=$Z14),$AC14,IF(AND($Y14&lt;&gt;"",EDATE($D14,Milestones!$AA$62)&gt;=$Y14),$AB14,$AA14)))=Milestones!$AB$62),UPPER(TEXT(EDATE($D14,Milestones!$AA$62),"dd mmm yy"))&amp;" "&amp;Milestones!$AB$62&amp;" "&amp;IF(AND(Milestones!$AB$62="FT",Milestones!$AA$62=FT_Y5,EDATE($D14,Milestones!$AA$62)&lt;PolicyEff),1,Milestones!$AC$62)&amp;";  ","")&amp;IF(AND(EDATE($D14,Milestones!$AA$63)&lt;=AsOfDate,EDATE($D14,Milestones!$AA$63)&gt;=SchemeStart,IF($X14=0,$AD14,IF(AND($Z14&lt;&gt;"",EDATE($D14,Milestones!$AA$63)&gt;=$Z14),$AC14,IF(AND($Y14&lt;&gt;"",EDATE($D14,Milestones!$AA$63)&gt;=$Y14),$AB14,$AA14)))=Milestones!$AB$63),UPPER(TEXT(EDATE($D14,Milestones!$AA$63),"dd mmm yy"))&amp;" "&amp;Milestones!$AB$63&amp;" "&amp;IF(AND(Milestones!$AB$63="FT",Milestones!$AA$63=FT_Y5,EDATE($D14,Milestones!$AA$63)&lt;PolicyEff),1,Milestones!$AC$63)&amp;";  ","")&amp;IF(AND(EDATE($D14,Milestones!$AA$64)&lt;=AsOfDate,EDATE($D14,Milestones!$AA$64)&gt;=SchemeStart,IF($X14=0,$AD14,IF(AND($Z14&lt;&gt;"",EDATE($D14,Milestones!$AA$64)&gt;=$Z14),$AC14,IF(AND($Y14&lt;&gt;"",EDATE($D14,Milestones!$AA$64)&gt;=$Y14),$AB14,$AA14)))=Milestones!$AB$64),UPPER(TEXT(EDATE($D14,Milestones!$AA$64),"dd mmm yy"))&amp;" "&amp;Milestones!$AB$64&amp;" "&amp;IF(AND(Milestones!$AB$64="FT",Milestones!$AA$64=FT_Y5,EDATE($D14,Milestones!$AA$64)&lt;PolicyEff),1,Milestones!$AC$64)&amp;";  ","")&amp;IF(AND(EDATE($D14,Milestones!$AA$65)&lt;=AsOfDate,EDATE($D14,Milestones!$AA$65)&gt;=SchemeStart,IF($X14=0,$AD14,IF(AND($Z14&lt;&gt;"",EDATE($D14,Milestones!$AA$65)&gt;=$Z14),$AC14,IF(AND($Y14&lt;&gt;"",EDATE($D14,Milestones!$AA$65)&gt;=$Y14),$AB14,$AA14)))=Milestones!$AB$65),UPPER(TEXT(EDATE($D14,Milestones!$AA$65),"dd mmm yy"))&amp;" "&amp;Milestones!$AB$65&amp;" "&amp;IF(AND(Milestones!$AB$65="FT",Milestones!$AA$65=FT_Y5,EDATE($D14,Milestones!$AA$65)&lt;PolicyEff),1,Milestones!$AC$65)&amp;";  ","")&amp;IF(AND(EDATE($D14,Milestones!$AA$66)&lt;=AsOfDate,EDATE($D14,Milestones!$AA$66)&gt;=SchemeStart,IF($X14=0,$AD14,IF(AND($Z14&lt;&gt;"",EDATE($D14,Milestones!$AA$66)&gt;=$Z14),$AC14,IF(AND($Y14&lt;&gt;"",EDATE($D14,Milestones!$AA$66)&gt;=$Y14),$AB14,$AA14)))=Milestones!$AB$66),UPPER(TEXT(EDATE($D14,Milestones!$AA$66),"dd mmm yy"))&amp;" "&amp;Milestones!$AB$66&amp;" "&amp;IF(AND(Milestones!$AB$66="FT",Milestones!$AA$66=FT_Y5,EDATE($D14,Milestones!$AA$66)&lt;PolicyEff),1,Milestones!$AC$66)&amp;";  ","")&amp;IF(AND(EDATE($D14,Milestones!$AA$67)&lt;=AsOfDate,EDATE($D14,Milestones!$AA$67)&gt;=SchemeStart,IF($X14=0,$AD14,IF(AND($Z14&lt;&gt;"",EDATE($D14,Milestones!$AA$67)&gt;=$Z14),$AC14,IF(AND($Y14&lt;&gt;"",EDATE($D14,Milestones!$AA$67)&gt;=$Y14),$AB14,$AA14)))=Milestones!$AB$67),UPPER(TEXT(EDATE($D14,Milestones!$AA$67),"dd mmm yy"))&amp;" "&amp;Milestones!$AB$67&amp;" "&amp;IF(AND(Milestones!$AB$67="FT",Milestones!$AA$67=FT_Y5,EDATE($D14,Milestones!$AA$67)&lt;PolicyEff),1,Milestones!$AC$67)&amp;";  ",""))</f>
        <v/>
      </c>
      <c r="M14" s="0" t="str">
        <f aca="false">IF(OR($A14="",$D14=""),"",IF(AND(EDATE($D14,Milestones!$AA$68)&lt;=AsOfDate,EDATE($D14,Milestones!$AA$68)&gt;=SchemeStart,IF($X14=0,$AD14,IF(AND($Z14&lt;&gt;"",EDATE($D14,Milestones!$AA$68)&gt;=$Z14),$AC14,IF(AND($Y14&lt;&gt;"",EDATE($D14,Milestones!$AA$68)&gt;=$Y14),$AB14,$AA14)))=Milestones!$AB$68),UPPER(TEXT(EDATE($D14,Milestones!$AA$68),"dd mmm yy"))&amp;" "&amp;Milestones!$AB$68&amp;" "&amp;IF(AND(Milestones!$AB$68="FT",Milestones!$AA$68=FT_Y5,EDATE($D14,Milestones!$AA$68)&lt;PolicyEff),1,Milestones!$AC$68)&amp;";  ","")&amp;IF(AND(EDATE($D14,Milestones!$AA$69)&lt;=AsOfDate,EDATE($D14,Milestones!$AA$69)&gt;=SchemeStart,IF($X14=0,$AD14,IF(AND($Z14&lt;&gt;"",EDATE($D14,Milestones!$AA$69)&gt;=$Z14),$AC14,IF(AND($Y14&lt;&gt;"",EDATE($D14,Milestones!$AA$69)&gt;=$Y14),$AB14,$AA14)))=Milestones!$AB$69),UPPER(TEXT(EDATE($D14,Milestones!$AA$69),"dd mmm yy"))&amp;" "&amp;Milestones!$AB$69&amp;" "&amp;IF(AND(Milestones!$AB$69="FT",Milestones!$AA$69=FT_Y5,EDATE($D14,Milestones!$AA$69)&lt;PolicyEff),1,Milestones!$AC$69)&amp;";  ","")&amp;IF(AND(EDATE($D14,Milestones!$AA$70)&lt;=AsOfDate,EDATE($D14,Milestones!$AA$70)&gt;=SchemeStart,IF($X14=0,$AD14,IF(AND($Z14&lt;&gt;"",EDATE($D14,Milestones!$AA$70)&gt;=$Z14),$AC14,IF(AND($Y14&lt;&gt;"",EDATE($D14,Milestones!$AA$70)&gt;=$Y14),$AB14,$AA14)))=Milestones!$AB$70),UPPER(TEXT(EDATE($D14,Milestones!$AA$70),"dd mmm yy"))&amp;" "&amp;Milestones!$AB$70&amp;" "&amp;IF(AND(Milestones!$AB$70="FT",Milestones!$AA$70=FT_Y5,EDATE($D14,Milestones!$AA$70)&lt;PolicyEff),1,Milestones!$AC$70)&amp;";  ","")&amp;IF(AND(EDATE($D14,Milestones!$AA$71)&lt;=AsOfDate,EDATE($D14,Milestones!$AA$71)&gt;=SchemeStart,IF($X14=0,$AD14,IF(AND($Z14&lt;&gt;"",EDATE($D14,Milestones!$AA$71)&gt;=$Z14),$AC14,IF(AND($Y14&lt;&gt;"",EDATE($D14,Milestones!$AA$71)&gt;=$Y14),$AB14,$AA14)))=Milestones!$AB$71),UPPER(TEXT(EDATE($D14,Milestones!$AA$71),"dd mmm yy"))&amp;" "&amp;Milestones!$AB$71&amp;" "&amp;IF(AND(Milestones!$AB$71="FT",Milestones!$AA$71=FT_Y5,EDATE($D14,Milestones!$AA$71)&lt;PolicyEff),1,Milestones!$AC$71)&amp;";  ","")&amp;IF(AND(EDATE($D14,Milestones!$AA$72)&lt;=AsOfDate,EDATE($D14,Milestones!$AA$72)&gt;=SchemeStart,IF($X14=0,$AD14,IF(AND($Z14&lt;&gt;"",EDATE($D14,Milestones!$AA$72)&gt;=$Z14),$AC14,IF(AND($Y14&lt;&gt;"",EDATE($D14,Milestones!$AA$72)&gt;=$Y14),$AB14,$AA14)))=Milestones!$AB$72),UPPER(TEXT(EDATE($D14,Milestones!$AA$72),"dd mmm yy"))&amp;" "&amp;Milestones!$AB$72&amp;" "&amp;IF(AND(Milestones!$AB$72="FT",Milestones!$AA$72=FT_Y5,EDATE($D14,Milestones!$AA$72)&lt;PolicyEff),1,Milestones!$AC$72)&amp;";  ","")&amp;IF(AND(EDATE($D14,Milestones!$AA$73)&lt;=AsOfDate,EDATE($D14,Milestones!$AA$73)&gt;=SchemeStart,IF($X14=0,$AD14,IF(AND($Z14&lt;&gt;"",EDATE($D14,Milestones!$AA$73)&gt;=$Z14),$AC14,IF(AND($Y14&lt;&gt;"",EDATE($D14,Milestones!$AA$73)&gt;=$Y14),$AB14,$AA14)))=Milestones!$AB$73),UPPER(TEXT(EDATE($D14,Milestones!$AA$73),"dd mmm yy"))&amp;" "&amp;Milestones!$AB$73&amp;" "&amp;IF(AND(Milestones!$AB$73="FT",Milestones!$AA$73=FT_Y5,EDATE($D14,Milestones!$AA$73)&lt;PolicyEff),1,Milestones!$AC$73)&amp;";  ","")&amp;IF(AND(EDATE($D14,Milestones!$AA$74)&lt;=AsOfDate,EDATE($D14,Milestones!$AA$74)&gt;=SchemeStart,IF($X14=0,$AD14,IF(AND($Z14&lt;&gt;"",EDATE($D14,Milestones!$AA$74)&gt;=$Z14),$AC14,IF(AND($Y14&lt;&gt;"",EDATE($D14,Milestones!$AA$74)&gt;=$Y14),$AB14,$AA14)))=Milestones!$AB$74),UPPER(TEXT(EDATE($D14,Milestones!$AA$74),"dd mmm yy"))&amp;" "&amp;Milestones!$AB$74&amp;" "&amp;IF(AND(Milestones!$AB$74="FT",Milestones!$AA$74=FT_Y5,EDATE($D14,Milestones!$AA$74)&lt;PolicyEff),1,Milestones!$AC$74)&amp;";  ","")&amp;IF(AND(EDATE($D14,Milestones!$AA$75)&lt;=AsOfDate,EDATE($D14,Milestones!$AA$75)&gt;=SchemeStart,IF($X14=0,$AD14,IF(AND($Z14&lt;&gt;"",EDATE($D14,Milestones!$AA$75)&gt;=$Z14),$AC14,IF(AND($Y14&lt;&gt;"",EDATE($D14,Milestones!$AA$75)&gt;=$Y14),$AB14,$AA14)))=Milestones!$AB$75),UPPER(TEXT(EDATE($D14,Milestones!$AA$75),"dd mmm yy"))&amp;" "&amp;Milestones!$AB$75&amp;" "&amp;IF(AND(Milestones!$AB$75="FT",Milestones!$AA$75=FT_Y5,EDATE($D14,Milestones!$AA$75)&lt;PolicyEff),1,Milestones!$AC$75)&amp;";  ","")&amp;IF(AND(EDATE($D14,Milestones!$AA$76)&lt;=AsOfDate,EDATE($D14,Milestones!$AA$76)&gt;=SchemeStart,IF($X14=0,$AD14,IF(AND($Z14&lt;&gt;"",EDATE($D14,Milestones!$AA$76)&gt;=$Z14),$AC14,IF(AND($Y14&lt;&gt;"",EDATE($D14,Milestones!$AA$76)&gt;=$Y14),$AB14,$AA14)))=Milestones!$AB$76),UPPER(TEXT(EDATE($D14,Milestones!$AA$76),"dd mmm yy"))&amp;" "&amp;Milestones!$AB$76&amp;" "&amp;IF(AND(Milestones!$AB$76="FT",Milestones!$AA$76=FT_Y5,EDATE($D14,Milestones!$AA$76)&lt;PolicyEff),1,Milestones!$AC$76)&amp;";  ","")&amp;IF(AND(EDATE($D14,Milestones!$AA$77)&lt;=AsOfDate,EDATE($D14,Milestones!$AA$77)&gt;=SchemeStart,IF($X14=0,$AD14,IF(AND($Z14&lt;&gt;"",EDATE($D14,Milestones!$AA$77)&gt;=$Z14),$AC14,IF(AND($Y14&lt;&gt;"",EDATE($D14,Milestones!$AA$77)&gt;=$Y14),$AB14,$AA14)))=Milestones!$AB$77),UPPER(TEXT(EDATE($D14,Milestones!$AA$77),"dd mmm yy"))&amp;" "&amp;Milestones!$AB$77&amp;" "&amp;IF(AND(Milestones!$AB$77="FT",Milestones!$AA$77=FT_Y5,EDATE($D14,Milestones!$AA$77)&lt;PolicyEff),1,Milestones!$AC$77)&amp;";  ","")&amp;IF(AND(EDATE($D14,Milestones!$AA$78)&lt;=AsOfDate,EDATE($D14,Milestones!$AA$78)&gt;=SchemeStart,IF($X14=0,$AD14,IF(AND($Z14&lt;&gt;"",EDATE($D14,Milestones!$AA$78)&gt;=$Z14),$AC14,IF(AND($Y14&lt;&gt;"",EDATE($D14,Milestones!$AA$78)&gt;=$Y14),$AB14,$AA14)))=Milestones!$AB$78),UPPER(TEXT(EDATE($D14,Milestones!$AA$78),"dd mmm yy"))&amp;" "&amp;Milestones!$AB$78&amp;" "&amp;IF(AND(Milestones!$AB$78="FT",Milestones!$AA$78=FT_Y5,EDATE($D14,Milestones!$AA$78)&lt;PolicyEff),1,Milestones!$AC$78)&amp;";  ","")&amp;IF(AND(EDATE($D14,Milestones!$AA$79)&lt;=AsOfDate,EDATE($D14,Milestones!$AA$79)&gt;=SchemeStart,IF($X14=0,$AD14,IF(AND($Z14&lt;&gt;"",EDATE($D14,Milestones!$AA$79)&gt;=$Z14),$AC14,IF(AND($Y14&lt;&gt;"",EDATE($D14,Milestones!$AA$79)&gt;=$Y14),$AB14,$AA14)))=Milestones!$AB$79),UPPER(TEXT(EDATE($D14,Milestones!$AA$79),"dd mmm yy"))&amp;" "&amp;Milestones!$AB$79&amp;" "&amp;IF(AND(Milestones!$AB$79="FT",Milestones!$AA$79=FT_Y5,EDATE($D14,Milestones!$AA$79)&lt;PolicyEff),1,Milestones!$AC$79)&amp;";  ",""))</f>
        <v/>
      </c>
      <c r="N14" s="0" t="str">
        <f aca="false">IF(OR($A14="",$D14=""),"",IF(AND(EDATE($D14,Milestones!$AA$80)&lt;=AsOfDate,EDATE($D14,Milestones!$AA$80)&gt;=SchemeStart,IF($X14=0,$AD14,IF(AND($Z14&lt;&gt;"",EDATE($D14,Milestones!$AA$80)&gt;=$Z14),$AC14,IF(AND($Y14&lt;&gt;"",EDATE($D14,Milestones!$AA$80)&gt;=$Y14),$AB14,$AA14)))=Milestones!$AB$80),UPPER(TEXT(EDATE($D14,Milestones!$AA$80),"dd mmm yy"))&amp;" "&amp;Milestones!$AB$80&amp;" "&amp;IF(AND(Milestones!$AB$80="FT",Milestones!$AA$80=FT_Y5,EDATE($D14,Milestones!$AA$80)&lt;PolicyEff),1,Milestones!$AC$80)&amp;";  ","")&amp;IF(AND(EDATE($D14,Milestones!$AA$81)&lt;=AsOfDate,EDATE($D14,Milestones!$AA$81)&gt;=SchemeStart,IF($X14=0,$AD14,IF(AND($Z14&lt;&gt;"",EDATE($D14,Milestones!$AA$81)&gt;=$Z14),$AC14,IF(AND($Y14&lt;&gt;"",EDATE($D14,Milestones!$AA$81)&gt;=$Y14),$AB14,$AA14)))=Milestones!$AB$81),UPPER(TEXT(EDATE($D14,Milestones!$AA$81),"dd mmm yy"))&amp;" "&amp;Milestones!$AB$81&amp;" "&amp;IF(AND(Milestones!$AB$81="FT",Milestones!$AA$81=FT_Y5,EDATE($D14,Milestones!$AA$81)&lt;PolicyEff),1,Milestones!$AC$81)&amp;";  ","")&amp;IF(AND(EDATE($D14,Milestones!$AA$82)&lt;=AsOfDate,EDATE($D14,Milestones!$AA$82)&gt;=SchemeStart,IF($X14=0,$AD14,IF(AND($Z14&lt;&gt;"",EDATE($D14,Milestones!$AA$82)&gt;=$Z14),$AC14,IF(AND($Y14&lt;&gt;"",EDATE($D14,Milestones!$AA$82)&gt;=$Y14),$AB14,$AA14)))=Milestones!$AB$82),UPPER(TEXT(EDATE($D14,Milestones!$AA$82),"dd mmm yy"))&amp;" "&amp;Milestones!$AB$82&amp;" "&amp;IF(AND(Milestones!$AB$82="FT",Milestones!$AA$82=FT_Y5,EDATE($D14,Milestones!$AA$82)&lt;PolicyEff),1,Milestones!$AC$82)&amp;";  ","")&amp;IF(AND(EDATE($D14,Milestones!$AA$83)&lt;=AsOfDate,EDATE($D14,Milestones!$AA$83)&gt;=SchemeStart,IF($X14=0,$AD14,IF(AND($Z14&lt;&gt;"",EDATE($D14,Milestones!$AA$83)&gt;=$Z14),$AC14,IF(AND($Y14&lt;&gt;"",EDATE($D14,Milestones!$AA$83)&gt;=$Y14),$AB14,$AA14)))=Milestones!$AB$83),UPPER(TEXT(EDATE($D14,Milestones!$AA$83),"dd mmm yy"))&amp;" "&amp;Milestones!$AB$83&amp;" "&amp;IF(AND(Milestones!$AB$83="FT",Milestones!$AA$83=FT_Y5,EDATE($D14,Milestones!$AA$83)&lt;PolicyEff),1,Milestones!$AC$83)&amp;";  ","")&amp;IF(AND(EDATE($D14,Milestones!$AA$84)&lt;=AsOfDate,EDATE($D14,Milestones!$AA$84)&gt;=SchemeStart,IF($X14=0,$AD14,IF(AND($Z14&lt;&gt;"",EDATE($D14,Milestones!$AA$84)&gt;=$Z14),$AC14,IF(AND($Y14&lt;&gt;"",EDATE($D14,Milestones!$AA$84)&gt;=$Y14),$AB14,$AA14)))=Milestones!$AB$84),UPPER(TEXT(EDATE($D14,Milestones!$AA$84),"dd mmm yy"))&amp;" "&amp;Milestones!$AB$84&amp;" "&amp;IF(AND(Milestones!$AB$84="FT",Milestones!$AA$84=FT_Y5,EDATE($D14,Milestones!$AA$84)&lt;PolicyEff),1,Milestones!$AC$84)&amp;";  ","")&amp;IF(AND(EDATE($D14,Milestones!$AA$85)&lt;=AsOfDate,EDATE($D14,Milestones!$AA$85)&gt;=SchemeStart,IF($X14=0,$AD14,IF(AND($Z14&lt;&gt;"",EDATE($D14,Milestones!$AA$85)&gt;=$Z14),$AC14,IF(AND($Y14&lt;&gt;"",EDATE($D14,Milestones!$AA$85)&gt;=$Y14),$AB14,$AA14)))=Milestones!$AB$85),UPPER(TEXT(EDATE($D14,Milestones!$AA$85),"dd mmm yy"))&amp;" "&amp;Milestones!$AB$85&amp;" "&amp;IF(AND(Milestones!$AB$85="FT",Milestones!$AA$85=FT_Y5,EDATE($D14,Milestones!$AA$85)&lt;PolicyEff),1,Milestones!$AC$85)&amp;";  ","")&amp;IF(AND(EDATE($D14,Milestones!$AA$86)&lt;=AsOfDate,EDATE($D14,Milestones!$AA$86)&gt;=SchemeStart,IF($X14=0,$AD14,IF(AND($Z14&lt;&gt;"",EDATE($D14,Milestones!$AA$86)&gt;=$Z14),$AC14,IF(AND($Y14&lt;&gt;"",EDATE($D14,Milestones!$AA$86)&gt;=$Y14),$AB14,$AA14)))=Milestones!$AB$86),UPPER(TEXT(EDATE($D14,Milestones!$AA$86),"dd mmm yy"))&amp;" "&amp;Milestones!$AB$86&amp;" "&amp;IF(AND(Milestones!$AB$86="FT",Milestones!$AA$86=FT_Y5,EDATE($D14,Milestones!$AA$86)&lt;PolicyEff),1,Milestones!$AC$86)&amp;";  ","")&amp;IF(AND(EDATE($D14,Milestones!$AA$87)&lt;=AsOfDate,EDATE($D14,Milestones!$AA$87)&gt;=SchemeStart,IF($X14=0,$AD14,IF(AND($Z14&lt;&gt;"",EDATE($D14,Milestones!$AA$87)&gt;=$Z14),$AC14,IF(AND($Y14&lt;&gt;"",EDATE($D14,Milestones!$AA$87)&gt;=$Y14),$AB14,$AA14)))=Milestones!$AB$87),UPPER(TEXT(EDATE($D14,Milestones!$AA$87),"dd mmm yy"))&amp;" "&amp;Milestones!$AB$87&amp;" "&amp;IF(AND(Milestones!$AB$87="FT",Milestones!$AA$87=FT_Y5,EDATE($D14,Milestones!$AA$87)&lt;PolicyEff),1,Milestones!$AC$87)&amp;";  ","")&amp;IF(AND(EDATE($D14,Milestones!$AA$88)&lt;=AsOfDate,EDATE($D14,Milestones!$AA$88)&gt;=SchemeStart,IF($X14=0,$AD14,IF(AND($Z14&lt;&gt;"",EDATE($D14,Milestones!$AA$88)&gt;=$Z14),$AC14,IF(AND($Y14&lt;&gt;"",EDATE($D14,Milestones!$AA$88)&gt;=$Y14),$AB14,$AA14)))=Milestones!$AB$88),UPPER(TEXT(EDATE($D14,Milestones!$AA$88),"dd mmm yy"))&amp;" "&amp;Milestones!$AB$88&amp;" "&amp;IF(AND(Milestones!$AB$88="FT",Milestones!$AA$88=FT_Y5,EDATE($D14,Milestones!$AA$88)&lt;PolicyEff),1,Milestones!$AC$88)&amp;";  ","")&amp;IF(AND(EDATE($D14,Milestones!$AA$89)&lt;=AsOfDate,EDATE($D14,Milestones!$AA$89)&gt;=SchemeStart,IF($X14=0,$AD14,IF(AND($Z14&lt;&gt;"",EDATE($D14,Milestones!$AA$89)&gt;=$Z14),$AC14,IF(AND($Y14&lt;&gt;"",EDATE($D14,Milestones!$AA$89)&gt;=$Y14),$AB14,$AA14)))=Milestones!$AB$89),UPPER(TEXT(EDATE($D14,Milestones!$AA$89),"dd mmm yy"))&amp;" "&amp;Milestones!$AB$89&amp;" "&amp;IF(AND(Milestones!$AB$89="FT",Milestones!$AA$89=FT_Y5,EDATE($D14,Milestones!$AA$89)&lt;PolicyEff),1,Milestones!$AC$89)&amp;";  ","")&amp;IF(AND(EDATE($D14,Milestones!$AA$90)&lt;=AsOfDate,EDATE($D14,Milestones!$AA$90)&gt;=SchemeStart,IF($X14=0,$AD14,IF(AND($Z14&lt;&gt;"",EDATE($D14,Milestones!$AA$90)&gt;=$Z14),$AC14,IF(AND($Y14&lt;&gt;"",EDATE($D14,Milestones!$AA$90)&gt;=$Y14),$AB14,$AA14)))=Milestones!$AB$90),UPPER(TEXT(EDATE($D14,Milestones!$AA$90),"dd mmm yy"))&amp;" "&amp;Milestones!$AB$90&amp;" "&amp;IF(AND(Milestones!$AB$90="FT",Milestones!$AA$90=FT_Y5,EDATE($D14,Milestones!$AA$90)&lt;PolicyEff),1,Milestones!$AC$90)&amp;";  ","")&amp;IF(AND(EDATE($D14,Milestones!$AA$91)&lt;=AsOfDate,EDATE($D14,Milestones!$AA$91)&gt;=SchemeStart,IF($X14=0,$AD14,IF(AND($Z14&lt;&gt;"",EDATE($D14,Milestones!$AA$91)&gt;=$Z14),$AC14,IF(AND($Y14&lt;&gt;"",EDATE($D14,Milestones!$AA$91)&gt;=$Y14),$AB14,$AA14)))=Milestones!$AB$91),UPPER(TEXT(EDATE($D14,Milestones!$AA$91),"dd mmm yy"))&amp;" "&amp;Milestones!$AB$91&amp;" "&amp;IF(AND(Milestones!$AB$91="FT",Milestones!$AA$91=FT_Y5,EDATE($D14,Milestones!$AA$91)&lt;PolicyEff),1,Milestones!$AC$91)&amp;";  ",""))</f>
        <v/>
      </c>
      <c r="O14" s="0" t="str">
        <f aca="false">IF(OR($A14="",$D14=""),"",IF(AND(EDATE($D14,Milestones!$AA$92)&lt;=AsOfDate,EDATE($D14,Milestones!$AA$92)&gt;=SchemeStart,IF($X14=0,$AD14,IF(AND($Z14&lt;&gt;"",EDATE($D14,Milestones!$AA$92)&gt;=$Z14),$AC14,IF(AND($Y14&lt;&gt;"",EDATE($D14,Milestones!$AA$92)&gt;=$Y14),$AB14,$AA14)))=Milestones!$AB$92),UPPER(TEXT(EDATE($D14,Milestones!$AA$92),"dd mmm yy"))&amp;" "&amp;Milestones!$AB$92&amp;" "&amp;IF(AND(Milestones!$AB$92="FT",Milestones!$AA$92=FT_Y5,EDATE($D14,Milestones!$AA$92)&lt;PolicyEff),1,Milestones!$AC$92)&amp;";  ","")&amp;IF(AND(EDATE($D14,Milestones!$AA$93)&lt;=AsOfDate,EDATE($D14,Milestones!$AA$93)&gt;=SchemeStart,IF($X14=0,$AD14,IF(AND($Z14&lt;&gt;"",EDATE($D14,Milestones!$AA$93)&gt;=$Z14),$AC14,IF(AND($Y14&lt;&gt;"",EDATE($D14,Milestones!$AA$93)&gt;=$Y14),$AB14,$AA14)))=Milestones!$AB$93),UPPER(TEXT(EDATE($D14,Milestones!$AA$93),"dd mmm yy"))&amp;" "&amp;Milestones!$AB$93&amp;" "&amp;IF(AND(Milestones!$AB$93="FT",Milestones!$AA$93=FT_Y5,EDATE($D14,Milestones!$AA$93)&lt;PolicyEff),1,Milestones!$AC$93)&amp;";  ","")&amp;IF(AND(EDATE($D14,Milestones!$AA$94)&lt;=AsOfDate,EDATE($D14,Milestones!$AA$94)&gt;=SchemeStart,IF($X14=0,$AD14,IF(AND($Z14&lt;&gt;"",EDATE($D14,Milestones!$AA$94)&gt;=$Z14),$AC14,IF(AND($Y14&lt;&gt;"",EDATE($D14,Milestones!$AA$94)&gt;=$Y14),$AB14,$AA14)))=Milestones!$AB$94),UPPER(TEXT(EDATE($D14,Milestones!$AA$94),"dd mmm yy"))&amp;" "&amp;Milestones!$AB$94&amp;" "&amp;IF(AND(Milestones!$AB$94="FT",Milestones!$AA$94=FT_Y5,EDATE($D14,Milestones!$AA$94)&lt;PolicyEff),1,Milestones!$AC$94)&amp;";  ","")&amp;IF(AND(EDATE($D14,Milestones!$AA$95)&lt;=AsOfDate,EDATE($D14,Milestones!$AA$95)&gt;=SchemeStart,IF($X14=0,$AD14,IF(AND($Z14&lt;&gt;"",EDATE($D14,Milestones!$AA$95)&gt;=$Z14),$AC14,IF(AND($Y14&lt;&gt;"",EDATE($D14,Milestones!$AA$95)&gt;=$Y14),$AB14,$AA14)))=Milestones!$AB$95),UPPER(TEXT(EDATE($D14,Milestones!$AA$95),"dd mmm yy"))&amp;" "&amp;Milestones!$AB$95&amp;" "&amp;IF(AND(Milestones!$AB$95="FT",Milestones!$AA$95=FT_Y5,EDATE($D14,Milestones!$AA$95)&lt;PolicyEff),1,Milestones!$AC$95)&amp;";  ","")&amp;IF(AND(EDATE($D14,Milestones!$AA$96)&lt;=AsOfDate,EDATE($D14,Milestones!$AA$96)&gt;=SchemeStart,IF($X14=0,$AD14,IF(AND($Z14&lt;&gt;"",EDATE($D14,Milestones!$AA$96)&gt;=$Z14),$AC14,IF(AND($Y14&lt;&gt;"",EDATE($D14,Milestones!$AA$96)&gt;=$Y14),$AB14,$AA14)))=Milestones!$AB$96),UPPER(TEXT(EDATE($D14,Milestones!$AA$96),"dd mmm yy"))&amp;" "&amp;Milestones!$AB$96&amp;" "&amp;IF(AND(Milestones!$AB$96="FT",Milestones!$AA$96=FT_Y5,EDATE($D14,Milestones!$AA$96)&lt;PolicyEff),1,Milestones!$AC$96)&amp;";  ","")&amp;IF(AND(EDATE($D14,Milestones!$AA$97)&lt;=AsOfDate,EDATE($D14,Milestones!$AA$97)&gt;=SchemeStart,IF($X14=0,$AD14,IF(AND($Z14&lt;&gt;"",EDATE($D14,Milestones!$AA$97)&gt;=$Z14),$AC14,IF(AND($Y14&lt;&gt;"",EDATE($D14,Milestones!$AA$97)&gt;=$Y14),$AB14,$AA14)))=Milestones!$AB$97),UPPER(TEXT(EDATE($D14,Milestones!$AA$97),"dd mmm yy"))&amp;" "&amp;Milestones!$AB$97&amp;" "&amp;IF(AND(Milestones!$AB$97="FT",Milestones!$AA$97=FT_Y5,EDATE($D14,Milestones!$AA$97)&lt;PolicyEff),1,Milestones!$AC$97)&amp;";  ","")&amp;IF(AND(EDATE($D14,Milestones!$AA$98)&lt;=AsOfDate,EDATE($D14,Milestones!$AA$98)&gt;=SchemeStart,IF($X14=0,$AD14,IF(AND($Z14&lt;&gt;"",EDATE($D14,Milestones!$AA$98)&gt;=$Z14),$AC14,IF(AND($Y14&lt;&gt;"",EDATE($D14,Milestones!$AA$98)&gt;=$Y14),$AB14,$AA14)))=Milestones!$AB$98),UPPER(TEXT(EDATE($D14,Milestones!$AA$98),"dd mmm yy"))&amp;" "&amp;Milestones!$AB$98&amp;" "&amp;IF(AND(Milestones!$AB$98="FT",Milestones!$AA$98=FT_Y5,EDATE($D14,Milestones!$AA$98)&lt;PolicyEff),1,Milestones!$AC$98)&amp;";  ","")&amp;IF(AND(EDATE($D14,Milestones!$AA$99)&lt;=AsOfDate,EDATE($D14,Milestones!$AA$99)&gt;=SchemeStart,IF($X14=0,$AD14,IF(AND($Z14&lt;&gt;"",EDATE($D14,Milestones!$AA$99)&gt;=$Z14),$AC14,IF(AND($Y14&lt;&gt;"",EDATE($D14,Milestones!$AA$99)&gt;=$Y14),$AB14,$AA14)))=Milestones!$AB$99),UPPER(TEXT(EDATE($D14,Milestones!$AA$99),"dd mmm yy"))&amp;" "&amp;Milestones!$AB$99&amp;" "&amp;IF(AND(Milestones!$AB$99="FT",Milestones!$AA$99=FT_Y5,EDATE($D14,Milestones!$AA$99)&lt;PolicyEff),1,Milestones!$AC$99)&amp;";  ","")&amp;IF(AND(EDATE($D14,Milestones!$AA$100)&lt;=AsOfDate,EDATE($D14,Milestones!$AA$100)&gt;=SchemeStart,IF($X14=0,$AD14,IF(AND($Z14&lt;&gt;"",EDATE($D14,Milestones!$AA$100)&gt;=$Z14),$AC14,IF(AND($Y14&lt;&gt;"",EDATE($D14,Milestones!$AA$100)&gt;=$Y14),$AB14,$AA14)))=Milestones!$AB$100),UPPER(TEXT(EDATE($D14,Milestones!$AA$100),"dd mmm yy"))&amp;" "&amp;Milestones!$AB$100&amp;" "&amp;IF(AND(Milestones!$AB$100="FT",Milestones!$AA$100=FT_Y5,EDATE($D14,Milestones!$AA$100)&lt;PolicyEff),1,Milestones!$AC$100)&amp;";  ","")&amp;IF(AND(EDATE($D14,Milestones!$AA$101)&lt;=AsOfDate,EDATE($D14,Milestones!$AA$101)&gt;=SchemeStart,IF($X14=0,$AD14,IF(AND($Z14&lt;&gt;"",EDATE($D14,Milestones!$AA$101)&gt;=$Z14),$AC14,IF(AND($Y14&lt;&gt;"",EDATE($D14,Milestones!$AA$101)&gt;=$Y14),$AB14,$AA14)))=Milestones!$AB$101),UPPER(TEXT(EDATE($D14,Milestones!$AA$101),"dd mmm yy"))&amp;" "&amp;Milestones!$AB$101&amp;" "&amp;IF(AND(Milestones!$AB$101="FT",Milestones!$AA$101=FT_Y5,EDATE($D14,Milestones!$AA$101)&lt;PolicyEff),1,Milestones!$AC$101)&amp;";  ","")&amp;IF(AND(EDATE($D14,Milestones!$AA$102)&lt;=AsOfDate,EDATE($D14,Milestones!$AA$102)&gt;=SchemeStart,IF($X14=0,$AD14,IF(AND($Z14&lt;&gt;"",EDATE($D14,Milestones!$AA$102)&gt;=$Z14),$AC14,IF(AND($Y14&lt;&gt;"",EDATE($D14,Milestones!$AA$102)&gt;=$Y14),$AB14,$AA14)))=Milestones!$AB$102),UPPER(TEXT(EDATE($D14,Milestones!$AA$102),"dd mmm yy"))&amp;" "&amp;Milestones!$AB$102&amp;" "&amp;IF(AND(Milestones!$AB$102="FT",Milestones!$AA$102=FT_Y5,EDATE($D14,Milestones!$AA$102)&lt;PolicyEff),1,Milestones!$AC$102)&amp;";  ","")&amp;IF(AND(EDATE($D14,Milestones!$AA$103)&lt;=AsOfDate,EDATE($D14,Milestones!$AA$103)&gt;=SchemeStart,IF($X14=0,$AD14,IF(AND($Z14&lt;&gt;"",EDATE($D14,Milestones!$AA$103)&gt;=$Z14),$AC14,IF(AND($Y14&lt;&gt;"",EDATE($D14,Milestones!$AA$103)&gt;=$Y14),$AB14,$AA14)))=Milestones!$AB$103),UPPER(TEXT(EDATE($D14,Milestones!$AA$103),"dd mmm yy"))&amp;" "&amp;Milestones!$AB$103&amp;" "&amp;IF(AND(Milestones!$AB$103="FT",Milestones!$AA$103=FT_Y5,EDATE($D14,Milestones!$AA$103)&lt;PolicyEff),1,Milestones!$AC$103)&amp;";  ",""))</f>
        <v/>
      </c>
      <c r="P14" s="0" t="str">
        <f aca="false">IF(OR($A14="",$D14=""),"",IF(AND(EDATE($D14,Milestones!$AA$104)&lt;=AsOfDate,EDATE($D14,Milestones!$AA$104)&gt;=SchemeStart,IF($X14=0,$AD14,IF(AND($Z14&lt;&gt;"",EDATE($D14,Milestones!$AA$104)&gt;=$Z14),$AC14,IF(AND($Y14&lt;&gt;"",EDATE($D14,Milestones!$AA$104)&gt;=$Y14),$AB14,$AA14)))=Milestones!$AB$104),UPPER(TEXT(EDATE($D14,Milestones!$AA$104),"dd mmm yy"))&amp;" "&amp;Milestones!$AB$104&amp;" "&amp;IF(AND(Milestones!$AB$104="FT",Milestones!$AA$104=FT_Y5,EDATE($D14,Milestones!$AA$104)&lt;PolicyEff),1,Milestones!$AC$104)&amp;";  ","")&amp;IF(AND(EDATE($D14,Milestones!$AA$105)&lt;=AsOfDate,EDATE($D14,Milestones!$AA$105)&gt;=SchemeStart,IF($X14=0,$AD14,IF(AND($Z14&lt;&gt;"",EDATE($D14,Milestones!$AA$105)&gt;=$Z14),$AC14,IF(AND($Y14&lt;&gt;"",EDATE($D14,Milestones!$AA$105)&gt;=$Y14),$AB14,$AA14)))=Milestones!$AB$105),UPPER(TEXT(EDATE($D14,Milestones!$AA$105),"dd mmm yy"))&amp;" "&amp;Milestones!$AB$105&amp;" "&amp;IF(AND(Milestones!$AB$105="FT",Milestones!$AA$105=FT_Y5,EDATE($D14,Milestones!$AA$105)&lt;PolicyEff),1,Milestones!$AC$105)&amp;";  ","")&amp;IF(AND(EDATE($D14,Milestones!$AA$106)&lt;=AsOfDate,EDATE($D14,Milestones!$AA$106)&gt;=SchemeStart,IF($X14=0,$AD14,IF(AND($Z14&lt;&gt;"",EDATE($D14,Milestones!$AA$106)&gt;=$Z14),$AC14,IF(AND($Y14&lt;&gt;"",EDATE($D14,Milestones!$AA$106)&gt;=$Y14),$AB14,$AA14)))=Milestones!$AB$106),UPPER(TEXT(EDATE($D14,Milestones!$AA$106),"dd mmm yy"))&amp;" "&amp;Milestones!$AB$106&amp;" "&amp;IF(AND(Milestones!$AB$106="FT",Milestones!$AA$106=FT_Y5,EDATE($D14,Milestones!$AA$106)&lt;PolicyEff),1,Milestones!$AC$106)&amp;";  ","")&amp;IF(AND(EDATE($D14,Milestones!$AA$107)&lt;=AsOfDate,EDATE($D14,Milestones!$AA$107)&gt;=SchemeStart,IF($X14=0,$AD14,IF(AND($Z14&lt;&gt;"",EDATE($D14,Milestones!$AA$107)&gt;=$Z14),$AC14,IF(AND($Y14&lt;&gt;"",EDATE($D14,Milestones!$AA$107)&gt;=$Y14),$AB14,$AA14)))=Milestones!$AB$107),UPPER(TEXT(EDATE($D14,Milestones!$AA$107),"dd mmm yy"))&amp;" "&amp;Milestones!$AB$107&amp;" "&amp;IF(AND(Milestones!$AB$107="FT",Milestones!$AA$107=FT_Y5,EDATE($D14,Milestones!$AA$107)&lt;PolicyEff),1,Milestones!$AC$107)&amp;";  ","")&amp;IF(AND(EDATE($D14,Milestones!$AA$108)&lt;=AsOfDate,EDATE($D14,Milestones!$AA$108)&gt;=SchemeStart,IF($X14=0,$AD14,IF(AND($Z14&lt;&gt;"",EDATE($D14,Milestones!$AA$108)&gt;=$Z14),$AC14,IF(AND($Y14&lt;&gt;"",EDATE($D14,Milestones!$AA$108)&gt;=$Y14),$AB14,$AA14)))=Milestones!$AB$108),UPPER(TEXT(EDATE($D14,Milestones!$AA$108),"dd mmm yy"))&amp;" "&amp;Milestones!$AB$108&amp;" "&amp;IF(AND(Milestones!$AB$108="FT",Milestones!$AA$108=FT_Y5,EDATE($D14,Milestones!$AA$108)&lt;PolicyEff),1,Milestones!$AC$108)&amp;";  ","")&amp;IF(AND(EDATE($D14,Milestones!$AA$109)&lt;=AsOfDate,EDATE($D14,Milestones!$AA$109)&gt;=SchemeStart,IF($X14=0,$AD14,IF(AND($Z14&lt;&gt;"",EDATE($D14,Milestones!$AA$109)&gt;=$Z14),$AC14,IF(AND($Y14&lt;&gt;"",EDATE($D14,Milestones!$AA$109)&gt;=$Y14),$AB14,$AA14)))=Milestones!$AB$109),UPPER(TEXT(EDATE($D14,Milestones!$AA$109),"dd mmm yy"))&amp;" "&amp;Milestones!$AB$109&amp;" "&amp;IF(AND(Milestones!$AB$109="FT",Milestones!$AA$109=FT_Y5,EDATE($D14,Milestones!$AA$109)&lt;PolicyEff),1,Milestones!$AC$109)&amp;";  ","")&amp;IF(AND(EDATE($D14,Milestones!$AA$110)&lt;=AsOfDate,EDATE($D14,Milestones!$AA$110)&gt;=SchemeStart,IF($X14=0,$AD14,IF(AND($Z14&lt;&gt;"",EDATE($D14,Milestones!$AA$110)&gt;=$Z14),$AC14,IF(AND($Y14&lt;&gt;"",EDATE($D14,Milestones!$AA$110)&gt;=$Y14),$AB14,$AA14)))=Milestones!$AB$110),UPPER(TEXT(EDATE($D14,Milestones!$AA$110),"dd mmm yy"))&amp;" "&amp;Milestones!$AB$110&amp;" "&amp;IF(AND(Milestones!$AB$110="FT",Milestones!$AA$110=FT_Y5,EDATE($D14,Milestones!$AA$110)&lt;PolicyEff),1,Milestones!$AC$110)&amp;";  ","")&amp;IF(AND(EDATE($D14,Milestones!$AA$111)&lt;=AsOfDate,EDATE($D14,Milestones!$AA$111)&gt;=SchemeStart,IF($X14=0,$AD14,IF(AND($Z14&lt;&gt;"",EDATE($D14,Milestones!$AA$111)&gt;=$Z14),$AC14,IF(AND($Y14&lt;&gt;"",EDATE($D14,Milestones!$AA$111)&gt;=$Y14),$AB14,$AA14)))=Milestones!$AB$111),UPPER(TEXT(EDATE($D14,Milestones!$AA$111),"dd mmm yy"))&amp;" "&amp;Milestones!$AB$111&amp;" "&amp;IF(AND(Milestones!$AB$111="FT",Milestones!$AA$111=FT_Y5,EDATE($D14,Milestones!$AA$111)&lt;PolicyEff),1,Milestones!$AC$111)&amp;";  ","")&amp;IF(AND(EDATE($D14,Milestones!$AA$112)&lt;=AsOfDate,EDATE($D14,Milestones!$AA$112)&gt;=SchemeStart,IF($X14=0,$AD14,IF(AND($Z14&lt;&gt;"",EDATE($D14,Milestones!$AA$112)&gt;=$Z14),$AC14,IF(AND($Y14&lt;&gt;"",EDATE($D14,Milestones!$AA$112)&gt;=$Y14),$AB14,$AA14)))=Milestones!$AB$112),UPPER(TEXT(EDATE($D14,Milestones!$AA$112),"dd mmm yy"))&amp;" "&amp;Milestones!$AB$112&amp;" "&amp;IF(AND(Milestones!$AB$112="FT",Milestones!$AA$112=FT_Y5,EDATE($D14,Milestones!$AA$112)&lt;PolicyEff),1,Milestones!$AC$112)&amp;";  ","")&amp;IF(AND(EDATE($D14,Milestones!$AA$113)&lt;=AsOfDate,EDATE($D14,Milestones!$AA$113)&gt;=SchemeStart,IF($X14=0,$AD14,IF(AND($Z14&lt;&gt;"",EDATE($D14,Milestones!$AA$113)&gt;=$Z14),$AC14,IF(AND($Y14&lt;&gt;"",EDATE($D14,Milestones!$AA$113)&gt;=$Y14),$AB14,$AA14)))=Milestones!$AB$113),UPPER(TEXT(EDATE($D14,Milestones!$AA$113),"dd mmm yy"))&amp;" "&amp;Milestones!$AB$113&amp;" "&amp;IF(AND(Milestones!$AB$113="FT",Milestones!$AA$113=FT_Y5,EDATE($D14,Milestones!$AA$113)&lt;PolicyEff),1,Milestones!$AC$113)&amp;";  ","")&amp;IF(AND(EDATE($D14,Milestones!$AA$114)&lt;=AsOfDate,EDATE($D14,Milestones!$AA$114)&gt;=SchemeStart,IF($X14=0,$AD14,IF(AND($Z14&lt;&gt;"",EDATE($D14,Milestones!$AA$114)&gt;=$Z14),$AC14,IF(AND($Y14&lt;&gt;"",EDATE($D14,Milestones!$AA$114)&gt;=$Y14),$AB14,$AA14)))=Milestones!$AB$114),UPPER(TEXT(EDATE($D14,Milestones!$AA$114),"dd mmm yy"))&amp;" "&amp;Milestones!$AB$114&amp;" "&amp;IF(AND(Milestones!$AB$114="FT",Milestones!$AA$114=FT_Y5,EDATE($D14,Milestones!$AA$114)&lt;PolicyEff),1,Milestones!$AC$114)&amp;";  ","")&amp;IF(AND(EDATE($D14,Milestones!$AA$115)&lt;=AsOfDate,EDATE($D14,Milestones!$AA$115)&gt;=SchemeStart,IF($X14=0,$AD14,IF(AND($Z14&lt;&gt;"",EDATE($D14,Milestones!$AA$115)&gt;=$Z14),$AC14,IF(AND($Y14&lt;&gt;"",EDATE($D14,Milestones!$AA$115)&gt;=$Y14),$AB14,$AA14)))=Milestones!$AB$115),UPPER(TEXT(EDATE($D14,Milestones!$AA$115),"dd mmm yy"))&amp;" "&amp;Milestones!$AB$115&amp;" "&amp;IF(AND(Milestones!$AB$115="FT",Milestones!$AA$115=FT_Y5,EDATE($D14,Milestones!$AA$115)&lt;PolicyEff),1,Milestones!$AC$115)&amp;";  ",""))</f>
        <v/>
      </c>
      <c r="Q14" s="0" t="str">
        <f aca="false">IF(OR($A14="",$D14=""),"",IF(AND(EDATE($D14,Milestones!$AA$116)&lt;=AsOfDate,EDATE($D14,Milestones!$AA$116)&gt;=SchemeStart,IF($X14=0,$AD14,IF(AND($Z14&lt;&gt;"",EDATE($D14,Milestones!$AA$116)&gt;=$Z14),$AC14,IF(AND($Y14&lt;&gt;"",EDATE($D14,Milestones!$AA$116)&gt;=$Y14),$AB14,$AA14)))=Milestones!$AB$116),UPPER(TEXT(EDATE($D14,Milestones!$AA$116),"dd mmm yy"))&amp;" "&amp;Milestones!$AB$116&amp;" "&amp;IF(AND(Milestones!$AB$116="FT",Milestones!$AA$116=FT_Y5,EDATE($D14,Milestones!$AA$116)&lt;PolicyEff),1,Milestones!$AC$116)&amp;";  ","")&amp;IF(AND(EDATE($D14,Milestones!$AA$117)&lt;=AsOfDate,EDATE($D14,Milestones!$AA$117)&gt;=SchemeStart,IF($X14=0,$AD14,IF(AND($Z14&lt;&gt;"",EDATE($D14,Milestones!$AA$117)&gt;=$Z14),$AC14,IF(AND($Y14&lt;&gt;"",EDATE($D14,Milestones!$AA$117)&gt;=$Y14),$AB14,$AA14)))=Milestones!$AB$117),UPPER(TEXT(EDATE($D14,Milestones!$AA$117),"dd mmm yy"))&amp;" "&amp;Milestones!$AB$117&amp;" "&amp;IF(AND(Milestones!$AB$117="FT",Milestones!$AA$117=FT_Y5,EDATE($D14,Milestones!$AA$117)&lt;PolicyEff),1,Milestones!$AC$117)&amp;";  ","")&amp;IF(AND(EDATE($D14,Milestones!$AA$118)&lt;=AsOfDate,EDATE($D14,Milestones!$AA$118)&gt;=SchemeStart,IF($X14=0,$AD14,IF(AND($Z14&lt;&gt;"",EDATE($D14,Milestones!$AA$118)&gt;=$Z14),$AC14,IF(AND($Y14&lt;&gt;"",EDATE($D14,Milestones!$AA$118)&gt;=$Y14),$AB14,$AA14)))=Milestones!$AB$118),UPPER(TEXT(EDATE($D14,Milestones!$AA$118),"dd mmm yy"))&amp;" "&amp;Milestones!$AB$118&amp;" "&amp;IF(AND(Milestones!$AB$118="FT",Milestones!$AA$118=FT_Y5,EDATE($D14,Milestones!$AA$118)&lt;PolicyEff),1,Milestones!$AC$118)&amp;";  ","")&amp;IF(AND(EDATE($D14,Milestones!$AA$119)&lt;=AsOfDate,EDATE($D14,Milestones!$AA$119)&gt;=SchemeStart,IF($X14=0,$AD14,IF(AND($Z14&lt;&gt;"",EDATE($D14,Milestones!$AA$119)&gt;=$Z14),$AC14,IF(AND($Y14&lt;&gt;"",EDATE($D14,Milestones!$AA$119)&gt;=$Y14),$AB14,$AA14)))=Milestones!$AB$119),UPPER(TEXT(EDATE($D14,Milestones!$AA$119),"dd mmm yy"))&amp;" "&amp;Milestones!$AB$119&amp;" "&amp;IF(AND(Milestones!$AB$119="FT",Milestones!$AA$119=FT_Y5,EDATE($D14,Milestones!$AA$119)&lt;PolicyEff),1,Milestones!$AC$119)&amp;";  ","")&amp;IF(AND(EDATE($D14,Milestones!$AA$120)&lt;=AsOfDate,EDATE($D14,Milestones!$AA$120)&gt;=SchemeStart,IF($X14=0,$AD14,IF(AND($Z14&lt;&gt;"",EDATE($D14,Milestones!$AA$120)&gt;=$Z14),$AC14,IF(AND($Y14&lt;&gt;"",EDATE($D14,Milestones!$AA$120)&gt;=$Y14),$AB14,$AA14)))=Milestones!$AB$120),UPPER(TEXT(EDATE($D14,Milestones!$AA$120),"dd mmm yy"))&amp;" "&amp;Milestones!$AB$120&amp;" "&amp;IF(AND(Milestones!$AB$120="FT",Milestones!$AA$120=FT_Y5,EDATE($D14,Milestones!$AA$120)&lt;PolicyEff),1,Milestones!$AC$120)&amp;";  ","")&amp;IF(AND(EDATE($D14,Milestones!$AA$121)&lt;=AsOfDate,EDATE($D14,Milestones!$AA$121)&gt;=SchemeStart,IF($X14=0,$AD14,IF(AND($Z14&lt;&gt;"",EDATE($D14,Milestones!$AA$121)&gt;=$Z14),$AC14,IF(AND($Y14&lt;&gt;"",EDATE($D14,Milestones!$AA$121)&gt;=$Y14),$AB14,$AA14)))=Milestones!$AB$121),UPPER(TEXT(EDATE($D14,Milestones!$AA$121),"dd mmm yy"))&amp;" "&amp;Milestones!$AB$121&amp;" "&amp;IF(AND(Milestones!$AB$121="FT",Milestones!$AA$121=FT_Y5,EDATE($D14,Milestones!$AA$121)&lt;PolicyEff),1,Milestones!$AC$121)&amp;";  ","")&amp;IF(AND(EDATE($D14,Milestones!$AA$122)&lt;=AsOfDate,EDATE($D14,Milestones!$AA$122)&gt;=SchemeStart,IF($X14=0,$AD14,IF(AND($Z14&lt;&gt;"",EDATE($D14,Milestones!$AA$122)&gt;=$Z14),$AC14,IF(AND($Y14&lt;&gt;"",EDATE($D14,Milestones!$AA$122)&gt;=$Y14),$AB14,$AA14)))=Milestones!$AB$122),UPPER(TEXT(EDATE($D14,Milestones!$AA$122),"dd mmm yy"))&amp;" "&amp;Milestones!$AB$122&amp;" "&amp;IF(AND(Milestones!$AB$122="FT",Milestones!$AA$122=FT_Y5,EDATE($D14,Milestones!$AA$122)&lt;PolicyEff),1,Milestones!$AC$122)&amp;";  ","")&amp;IF(AND(EDATE($D14,Milestones!$AA$123)&lt;=AsOfDate,EDATE($D14,Milestones!$AA$123)&gt;=SchemeStart,IF($X14=0,$AD14,IF(AND($Z14&lt;&gt;"",EDATE($D14,Milestones!$AA$123)&gt;=$Z14),$AC14,IF(AND($Y14&lt;&gt;"",EDATE($D14,Milestones!$AA$123)&gt;=$Y14),$AB14,$AA14)))=Milestones!$AB$123),UPPER(TEXT(EDATE($D14,Milestones!$AA$123),"dd mmm yy"))&amp;" "&amp;Milestones!$AB$123&amp;" "&amp;IF(AND(Milestones!$AB$123="FT",Milestones!$AA$123=FT_Y5,EDATE($D14,Milestones!$AA$123)&lt;PolicyEff),1,Milestones!$AC$123)&amp;";  ","")&amp;IF(AND(EDATE($D14,Milestones!$AA$124)&lt;=AsOfDate,EDATE($D14,Milestones!$AA$124)&gt;=SchemeStart,IF($X14=0,$AD14,IF(AND($Z14&lt;&gt;"",EDATE($D14,Milestones!$AA$124)&gt;=$Z14),$AC14,IF(AND($Y14&lt;&gt;"",EDATE($D14,Milestones!$AA$124)&gt;=$Y14),$AB14,$AA14)))=Milestones!$AB$124),UPPER(TEXT(EDATE($D14,Milestones!$AA$124),"dd mmm yy"))&amp;" "&amp;Milestones!$AB$124&amp;" "&amp;IF(AND(Milestones!$AB$124="FT",Milestones!$AA$124=FT_Y5,EDATE($D14,Milestones!$AA$124)&lt;PolicyEff),1,Milestones!$AC$124)&amp;";  ","")&amp;IF(AND(EDATE($D14,Milestones!$AA$125)&lt;=AsOfDate,EDATE($D14,Milestones!$AA$125)&gt;=SchemeStart,IF($X14=0,$AD14,IF(AND($Z14&lt;&gt;"",EDATE($D14,Milestones!$AA$125)&gt;=$Z14),$AC14,IF(AND($Y14&lt;&gt;"",EDATE($D14,Milestones!$AA$125)&gt;=$Y14),$AB14,$AA14)))=Milestones!$AB$125),UPPER(TEXT(EDATE($D14,Milestones!$AA$125),"dd mmm yy"))&amp;" "&amp;Milestones!$AB$125&amp;" "&amp;IF(AND(Milestones!$AB$125="FT",Milestones!$AA$125=FT_Y5,EDATE($D14,Milestones!$AA$125)&lt;PolicyEff),1,Milestones!$AC$125)&amp;";  ","")&amp;IF(AND(EDATE($D14,Milestones!$AA$126)&lt;=AsOfDate,EDATE($D14,Milestones!$AA$126)&gt;=SchemeStart,IF($X14=0,$AD14,IF(AND($Z14&lt;&gt;"",EDATE($D14,Milestones!$AA$126)&gt;=$Z14),$AC14,IF(AND($Y14&lt;&gt;"",EDATE($D14,Milestones!$AA$126)&gt;=$Y14),$AB14,$AA14)))=Milestones!$AB$126),UPPER(TEXT(EDATE($D14,Milestones!$AA$126),"dd mmm yy"))&amp;" "&amp;Milestones!$AB$126&amp;" "&amp;IF(AND(Milestones!$AB$126="FT",Milestones!$AA$126=FT_Y5,EDATE($D14,Milestones!$AA$126)&lt;PolicyEff),1,Milestones!$AC$126)&amp;";  ","")&amp;IF(AND(EDATE($D14,Milestones!$AA$127)&lt;=AsOfDate,EDATE($D14,Milestones!$AA$127)&gt;=SchemeStart,IF($X14=0,$AD14,IF(AND($Z14&lt;&gt;"",EDATE($D14,Milestones!$AA$127)&gt;=$Z14),$AC14,IF(AND($Y14&lt;&gt;"",EDATE($D14,Milestones!$AA$127)&gt;=$Y14),$AB14,$AA14)))=Milestones!$AB$127),UPPER(TEXT(EDATE($D14,Milestones!$AA$127),"dd mmm yy"))&amp;" "&amp;Milestones!$AB$127&amp;" "&amp;IF(AND(Milestones!$AB$127="FT",Milestones!$AA$127=FT_Y5,EDATE($D14,Milestones!$AA$127)&lt;PolicyEff),1,Milestones!$AC$127)&amp;";  ",""))</f>
        <v/>
      </c>
      <c r="R14" s="0" t="str">
        <f aca="false">IF(OR($A14="",$D14=""),"",IF(AND(EDATE($D14,Milestones!$AA$128)&lt;=AsOfDate,EDATE($D14,Milestones!$AA$128)&gt;=SchemeStart,IF($X14=0,$AD14,IF(AND($Z14&lt;&gt;"",EDATE($D14,Milestones!$AA$128)&gt;=$Z14),$AC14,IF(AND($Y14&lt;&gt;"",EDATE($D14,Milestones!$AA$128)&gt;=$Y14),$AB14,$AA14)))=Milestones!$AB$128),UPPER(TEXT(EDATE($D14,Milestones!$AA$128),"dd mmm yy"))&amp;" "&amp;Milestones!$AB$128&amp;" "&amp;IF(AND(Milestones!$AB$128="FT",Milestones!$AA$128=FT_Y5,EDATE($D14,Milestones!$AA$128)&lt;PolicyEff),1,Milestones!$AC$128)&amp;";  ","")&amp;IF(AND(EDATE($D14,Milestones!$AA$129)&lt;=AsOfDate,EDATE($D14,Milestones!$AA$129)&gt;=SchemeStart,IF($X14=0,$AD14,IF(AND($Z14&lt;&gt;"",EDATE($D14,Milestones!$AA$129)&gt;=$Z14),$AC14,IF(AND($Y14&lt;&gt;"",EDATE($D14,Milestones!$AA$129)&gt;=$Y14),$AB14,$AA14)))=Milestones!$AB$129),UPPER(TEXT(EDATE($D14,Milestones!$AA$129),"dd mmm yy"))&amp;" "&amp;Milestones!$AB$129&amp;" "&amp;IF(AND(Milestones!$AB$129="FT",Milestones!$AA$129=FT_Y5,EDATE($D14,Milestones!$AA$129)&lt;PolicyEff),1,Milestones!$AC$129)&amp;";  ","")&amp;IF(AND(EDATE($D14,Milestones!$AA$130)&lt;=AsOfDate,EDATE($D14,Milestones!$AA$130)&gt;=SchemeStart,IF($X14=0,$AD14,IF(AND($Z14&lt;&gt;"",EDATE($D14,Milestones!$AA$130)&gt;=$Z14),$AC14,IF(AND($Y14&lt;&gt;"",EDATE($D14,Milestones!$AA$130)&gt;=$Y14),$AB14,$AA14)))=Milestones!$AB$130),UPPER(TEXT(EDATE($D14,Milestones!$AA$130),"dd mmm yy"))&amp;" "&amp;Milestones!$AB$130&amp;" "&amp;IF(AND(Milestones!$AB$130="FT",Milestones!$AA$130=FT_Y5,EDATE($D14,Milestones!$AA$130)&lt;PolicyEff),1,Milestones!$AC$130)&amp;";  ","")&amp;IF(AND(EDATE($D14,Milestones!$AA$131)&lt;=AsOfDate,EDATE($D14,Milestones!$AA$131)&gt;=SchemeStart,IF($X14=0,$AD14,IF(AND($Z14&lt;&gt;"",EDATE($D14,Milestones!$AA$131)&gt;=$Z14),$AC14,IF(AND($Y14&lt;&gt;"",EDATE($D14,Milestones!$AA$131)&gt;=$Y14),$AB14,$AA14)))=Milestones!$AB$131),UPPER(TEXT(EDATE($D14,Milestones!$AA$131),"dd mmm yy"))&amp;" "&amp;Milestones!$AB$131&amp;" "&amp;IF(AND(Milestones!$AB$131="FT",Milestones!$AA$131=FT_Y5,EDATE($D14,Milestones!$AA$131)&lt;PolicyEff),1,Milestones!$AC$131)&amp;";  ","")&amp;IF(AND(EDATE($D14,Milestones!$AA$132)&lt;=AsOfDate,EDATE($D14,Milestones!$AA$132)&gt;=SchemeStart,IF($X14=0,$AD14,IF(AND($Z14&lt;&gt;"",EDATE($D14,Milestones!$AA$132)&gt;=$Z14),$AC14,IF(AND($Y14&lt;&gt;"",EDATE($D14,Milestones!$AA$132)&gt;=$Y14),$AB14,$AA14)))=Milestones!$AB$132),UPPER(TEXT(EDATE($D14,Milestones!$AA$132),"dd mmm yy"))&amp;" "&amp;Milestones!$AB$132&amp;" "&amp;IF(AND(Milestones!$AB$132="FT",Milestones!$AA$132=FT_Y5,EDATE($D14,Milestones!$AA$132)&lt;PolicyEff),1,Milestones!$AC$132)&amp;";  ","")&amp;IF(AND(EDATE($D14,Milestones!$AA$133)&lt;=AsOfDate,EDATE($D14,Milestones!$AA$133)&gt;=SchemeStart,IF($X14=0,$AD14,IF(AND($Z14&lt;&gt;"",EDATE($D14,Milestones!$AA$133)&gt;=$Z14),$AC14,IF(AND($Y14&lt;&gt;"",EDATE($D14,Milestones!$AA$133)&gt;=$Y14),$AB14,$AA14)))=Milestones!$AB$133),UPPER(TEXT(EDATE($D14,Milestones!$AA$133),"dd mmm yy"))&amp;" "&amp;Milestones!$AB$133&amp;" "&amp;IF(AND(Milestones!$AB$133="FT",Milestones!$AA$133=FT_Y5,EDATE($D14,Milestones!$AA$133)&lt;PolicyEff),1,Milestones!$AC$133)&amp;";  ","")&amp;IF(AND(EDATE($D14,Milestones!$AA$134)&lt;=AsOfDate,EDATE($D14,Milestones!$AA$134)&gt;=SchemeStart,IF($X14=0,$AD14,IF(AND($Z14&lt;&gt;"",EDATE($D14,Milestones!$AA$134)&gt;=$Z14),$AC14,IF(AND($Y14&lt;&gt;"",EDATE($D14,Milestones!$AA$134)&gt;=$Y14),$AB14,$AA14)))=Milestones!$AB$134),UPPER(TEXT(EDATE($D14,Milestones!$AA$134),"dd mmm yy"))&amp;" "&amp;Milestones!$AB$134&amp;" "&amp;IF(AND(Milestones!$AB$134="FT",Milestones!$AA$134=FT_Y5,EDATE($D14,Milestones!$AA$134)&lt;PolicyEff),1,Milestones!$AC$134)&amp;";  ","")&amp;IF(AND(EDATE($D14,Milestones!$AA$135)&lt;=AsOfDate,EDATE($D14,Milestones!$AA$135)&gt;=SchemeStart,IF($X14=0,$AD14,IF(AND($Z14&lt;&gt;"",EDATE($D14,Milestones!$AA$135)&gt;=$Z14),$AC14,IF(AND($Y14&lt;&gt;"",EDATE($D14,Milestones!$AA$135)&gt;=$Y14),$AB14,$AA14)))=Milestones!$AB$135),UPPER(TEXT(EDATE($D14,Milestones!$AA$135),"dd mmm yy"))&amp;" "&amp;Milestones!$AB$135&amp;" "&amp;IF(AND(Milestones!$AB$135="FT",Milestones!$AA$135=FT_Y5,EDATE($D14,Milestones!$AA$135)&lt;PolicyEff),1,Milestones!$AC$135)&amp;";  ","")&amp;IF(AND(EDATE($D14,Milestones!$AA$136)&lt;=AsOfDate,EDATE($D14,Milestones!$AA$136)&gt;=SchemeStart,IF($X14=0,$AD14,IF(AND($Z14&lt;&gt;"",EDATE($D14,Milestones!$AA$136)&gt;=$Z14),$AC14,IF(AND($Y14&lt;&gt;"",EDATE($D14,Milestones!$AA$136)&gt;=$Y14),$AB14,$AA14)))=Milestones!$AB$136),UPPER(TEXT(EDATE($D14,Milestones!$AA$136),"dd mmm yy"))&amp;" "&amp;Milestones!$AB$136&amp;" "&amp;IF(AND(Milestones!$AB$136="FT",Milestones!$AA$136=FT_Y5,EDATE($D14,Milestones!$AA$136)&lt;PolicyEff),1,Milestones!$AC$136)&amp;";  ","")&amp;IF(AND(EDATE($D14,Milestones!$AA$137)&lt;=AsOfDate,EDATE($D14,Milestones!$AA$137)&gt;=SchemeStart,IF($X14=0,$AD14,IF(AND($Z14&lt;&gt;"",EDATE($D14,Milestones!$AA$137)&gt;=$Z14),$AC14,IF(AND($Y14&lt;&gt;"",EDATE($D14,Milestones!$AA$137)&gt;=$Y14),$AB14,$AA14)))=Milestones!$AB$137),UPPER(TEXT(EDATE($D14,Milestones!$AA$137),"dd mmm yy"))&amp;" "&amp;Milestones!$AB$137&amp;" "&amp;IF(AND(Milestones!$AB$137="FT",Milestones!$AA$137=FT_Y5,EDATE($D14,Milestones!$AA$137)&lt;PolicyEff),1,Milestones!$AC$137)&amp;";  ","")&amp;IF(AND(EDATE($D14,Milestones!$AA$138)&lt;=AsOfDate,EDATE($D14,Milestones!$AA$138)&gt;=SchemeStart,IF($X14=0,$AD14,IF(AND($Z14&lt;&gt;"",EDATE($D14,Milestones!$AA$138)&gt;=$Z14),$AC14,IF(AND($Y14&lt;&gt;"",EDATE($D14,Milestones!$AA$138)&gt;=$Y14),$AB14,$AA14)))=Milestones!$AB$138),UPPER(TEXT(EDATE($D14,Milestones!$AA$138),"dd mmm yy"))&amp;" "&amp;Milestones!$AB$138&amp;" "&amp;IF(AND(Milestones!$AB$138="FT",Milestones!$AA$138=FT_Y5,EDATE($D14,Milestones!$AA$138)&lt;PolicyEff),1,Milestones!$AC$138)&amp;";  ","")&amp;IF(AND(EDATE($D14,Milestones!$AA$139)&lt;=AsOfDate,EDATE($D14,Milestones!$AA$139)&gt;=SchemeStart,IF($X14=0,$AD14,IF(AND($Z14&lt;&gt;"",EDATE($D14,Milestones!$AA$139)&gt;=$Z14),$AC14,IF(AND($Y14&lt;&gt;"",EDATE($D14,Milestones!$AA$139)&gt;=$Y14),$AB14,$AA14)))=Milestones!$AB$139),UPPER(TEXT(EDATE($D14,Milestones!$AA$139),"dd mmm yy"))&amp;" "&amp;Milestones!$AB$139&amp;" "&amp;IF(AND(Milestones!$AB$139="FT",Milestones!$AA$139=FT_Y5,EDATE($D14,Milestones!$AA$139)&lt;PolicyEff),1,Milestones!$AC$139)&amp;";  ",""))</f>
        <v/>
      </c>
      <c r="S14" s="0" t="str">
        <f aca="false">IF(OR($A14="",$D14=""),"",IF(AND(EDATE($D14,Milestones!$AA$140)&lt;=AsOfDate,EDATE($D14,Milestones!$AA$140)&gt;=SchemeStart,IF($X14=0,$AD14,IF(AND($Z14&lt;&gt;"",EDATE($D14,Milestones!$AA$140)&gt;=$Z14),$AC14,IF(AND($Y14&lt;&gt;"",EDATE($D14,Milestones!$AA$140)&gt;=$Y14),$AB14,$AA14)))=Milestones!$AB$140),UPPER(TEXT(EDATE($D14,Milestones!$AA$140),"dd mmm yy"))&amp;" "&amp;Milestones!$AB$140&amp;" "&amp;IF(AND(Milestones!$AB$140="FT",Milestones!$AA$140=FT_Y5,EDATE($D14,Milestones!$AA$140)&lt;PolicyEff),1,Milestones!$AC$140)&amp;";  ","")&amp;IF(AND(EDATE($D14,Milestones!$AA$141)&lt;=AsOfDate,EDATE($D14,Milestones!$AA$141)&gt;=SchemeStart,IF($X14=0,$AD14,IF(AND($Z14&lt;&gt;"",EDATE($D14,Milestones!$AA$141)&gt;=$Z14),$AC14,IF(AND($Y14&lt;&gt;"",EDATE($D14,Milestones!$AA$141)&gt;=$Y14),$AB14,$AA14)))=Milestones!$AB$141),UPPER(TEXT(EDATE($D14,Milestones!$AA$141),"dd mmm yy"))&amp;" "&amp;Milestones!$AB$141&amp;" "&amp;IF(AND(Milestones!$AB$141="FT",Milestones!$AA$141=FT_Y5,EDATE($D14,Milestones!$AA$141)&lt;PolicyEff),1,Milestones!$AC$141)&amp;";  ","")&amp;IF(AND(EDATE($D14,Milestones!$AA$142)&lt;=AsOfDate,EDATE($D14,Milestones!$AA$142)&gt;=SchemeStart,IF($X14=0,$AD14,IF(AND($Z14&lt;&gt;"",EDATE($D14,Milestones!$AA$142)&gt;=$Z14),$AC14,IF(AND($Y14&lt;&gt;"",EDATE($D14,Milestones!$AA$142)&gt;=$Y14),$AB14,$AA14)))=Milestones!$AB$142),UPPER(TEXT(EDATE($D14,Milestones!$AA$142),"dd mmm yy"))&amp;" "&amp;Milestones!$AB$142&amp;" "&amp;IF(AND(Milestones!$AB$142="FT",Milestones!$AA$142=FT_Y5,EDATE($D14,Milestones!$AA$142)&lt;PolicyEff),1,Milestones!$AC$142)&amp;";  ","")&amp;IF(AND(EDATE($D14,Milestones!$AA$143)&lt;=AsOfDate,EDATE($D14,Milestones!$AA$143)&gt;=SchemeStart,IF($X14=0,$AD14,IF(AND($Z14&lt;&gt;"",EDATE($D14,Milestones!$AA$143)&gt;=$Z14),$AC14,IF(AND($Y14&lt;&gt;"",EDATE($D14,Milestones!$AA$143)&gt;=$Y14),$AB14,$AA14)))=Milestones!$AB$143),UPPER(TEXT(EDATE($D14,Milestones!$AA$143),"dd mmm yy"))&amp;" "&amp;Milestones!$AB$143&amp;" "&amp;IF(AND(Milestones!$AB$143="FT",Milestones!$AA$143=FT_Y5,EDATE($D14,Milestones!$AA$143)&lt;PolicyEff),1,Milestones!$AC$143)&amp;";  ","")&amp;IF(AND(EDATE($D14,Milestones!$AA$144)&lt;=AsOfDate,EDATE($D14,Milestones!$AA$144)&gt;=SchemeStart,IF($X14=0,$AD14,IF(AND($Z14&lt;&gt;"",EDATE($D14,Milestones!$AA$144)&gt;=$Z14),$AC14,IF(AND($Y14&lt;&gt;"",EDATE($D14,Milestones!$AA$144)&gt;=$Y14),$AB14,$AA14)))=Milestones!$AB$144),UPPER(TEXT(EDATE($D14,Milestones!$AA$144),"dd mmm yy"))&amp;" "&amp;Milestones!$AB$144&amp;" "&amp;IF(AND(Milestones!$AB$144="FT",Milestones!$AA$144=FT_Y5,EDATE($D14,Milestones!$AA$144)&lt;PolicyEff),1,Milestones!$AC$144)&amp;";  ","")&amp;IF(AND(EDATE($D14,Milestones!$AA$145)&lt;=AsOfDate,EDATE($D14,Milestones!$AA$145)&gt;=SchemeStart,IF($X14=0,$AD14,IF(AND($Z14&lt;&gt;"",EDATE($D14,Milestones!$AA$145)&gt;=$Z14),$AC14,IF(AND($Y14&lt;&gt;"",EDATE($D14,Milestones!$AA$145)&gt;=$Y14),$AB14,$AA14)))=Milestones!$AB$145),UPPER(TEXT(EDATE($D14,Milestones!$AA$145),"dd mmm yy"))&amp;" "&amp;Milestones!$AB$145&amp;" "&amp;IF(AND(Milestones!$AB$145="FT",Milestones!$AA$145=FT_Y5,EDATE($D14,Milestones!$AA$145)&lt;PolicyEff),1,Milestones!$AC$145)&amp;";  ","")&amp;IF(AND(EDATE($D14,Milestones!$AA$146)&lt;=AsOfDate,EDATE($D14,Milestones!$AA$146)&gt;=SchemeStart,IF($X14=0,$AD14,IF(AND($Z14&lt;&gt;"",EDATE($D14,Milestones!$AA$146)&gt;=$Z14),$AC14,IF(AND($Y14&lt;&gt;"",EDATE($D14,Milestones!$AA$146)&gt;=$Y14),$AB14,$AA14)))=Milestones!$AB$146),UPPER(TEXT(EDATE($D14,Milestones!$AA$146),"dd mmm yy"))&amp;" "&amp;Milestones!$AB$146&amp;" "&amp;IF(AND(Milestones!$AB$146="FT",Milestones!$AA$146=FT_Y5,EDATE($D14,Milestones!$AA$146)&lt;PolicyEff),1,Milestones!$AC$146)&amp;";  ","")&amp;IF(AND(EDATE($D14,Milestones!$AA$147)&lt;=AsOfDate,EDATE($D14,Milestones!$AA$147)&gt;=SchemeStart,IF($X14=0,$AD14,IF(AND($Z14&lt;&gt;"",EDATE($D14,Milestones!$AA$147)&gt;=$Z14),$AC14,IF(AND($Y14&lt;&gt;"",EDATE($D14,Milestones!$AA$147)&gt;=$Y14),$AB14,$AA14)))=Milestones!$AB$147),UPPER(TEXT(EDATE($D14,Milestones!$AA$147),"dd mmm yy"))&amp;" "&amp;Milestones!$AB$147&amp;" "&amp;IF(AND(Milestones!$AB$147="FT",Milestones!$AA$147=FT_Y5,EDATE($D14,Milestones!$AA$147)&lt;PolicyEff),1,Milestones!$AC$147)&amp;";  ","")&amp;IF(AND(EDATE($D14,Milestones!$AA$148)&lt;=AsOfDate,EDATE($D14,Milestones!$AA$148)&gt;=SchemeStart,IF($X14=0,$AD14,IF(AND($Z14&lt;&gt;"",EDATE($D14,Milestones!$AA$148)&gt;=$Z14),$AC14,IF(AND($Y14&lt;&gt;"",EDATE($D14,Milestones!$AA$148)&gt;=$Y14),$AB14,$AA14)))=Milestones!$AB$148),UPPER(TEXT(EDATE($D14,Milestones!$AA$148),"dd mmm yy"))&amp;" "&amp;Milestones!$AB$148&amp;" "&amp;IF(AND(Milestones!$AB$148="FT",Milestones!$AA$148=FT_Y5,EDATE($D14,Milestones!$AA$148)&lt;PolicyEff),1,Milestones!$AC$148)&amp;";  ","")&amp;IF(AND(EDATE($D14,Milestones!$AA$149)&lt;=AsOfDate,EDATE($D14,Milestones!$AA$149)&gt;=SchemeStart,IF($X14=0,$AD14,IF(AND($Z14&lt;&gt;"",EDATE($D14,Milestones!$AA$149)&gt;=$Z14),$AC14,IF(AND($Y14&lt;&gt;"",EDATE($D14,Milestones!$AA$149)&gt;=$Y14),$AB14,$AA14)))=Milestones!$AB$149),UPPER(TEXT(EDATE($D14,Milestones!$AA$149),"dd mmm yy"))&amp;" "&amp;Milestones!$AB$149&amp;" "&amp;IF(AND(Milestones!$AB$149="FT",Milestones!$AA$149=FT_Y5,EDATE($D14,Milestones!$AA$149)&lt;PolicyEff),1,Milestones!$AC$149)&amp;";  ","")&amp;IF(AND(EDATE($D14,Milestones!$AA$150)&lt;=AsOfDate,EDATE($D14,Milestones!$AA$150)&gt;=SchemeStart,IF($X14=0,$AD14,IF(AND($Z14&lt;&gt;"",EDATE($D14,Milestones!$AA$150)&gt;=$Z14),$AC14,IF(AND($Y14&lt;&gt;"",EDATE($D14,Milestones!$AA$150)&gt;=$Y14),$AB14,$AA14)))=Milestones!$AB$150),UPPER(TEXT(EDATE($D14,Milestones!$AA$150),"dd mmm yy"))&amp;" "&amp;Milestones!$AB$150&amp;" "&amp;IF(AND(Milestones!$AB$150="FT",Milestones!$AA$150=FT_Y5,EDATE($D14,Milestones!$AA$150)&lt;PolicyEff),1,Milestones!$AC$150)&amp;";  ","")&amp;IF(AND(EDATE($D14,Milestones!$AA$151)&lt;=AsOfDate,EDATE($D14,Milestones!$AA$151)&gt;=SchemeStart,IF($X14=0,$AD14,IF(AND($Z14&lt;&gt;"",EDATE($D14,Milestones!$AA$151)&gt;=$Z14),$AC14,IF(AND($Y14&lt;&gt;"",EDATE($D14,Milestones!$AA$151)&gt;=$Y14),$AB14,$AA14)))=Milestones!$AB$151),UPPER(TEXT(EDATE($D14,Milestones!$AA$151),"dd mmm yy"))&amp;" "&amp;Milestones!$AB$151&amp;" "&amp;IF(AND(Milestones!$AB$151="FT",Milestones!$AA$151=FT_Y5,EDATE($D14,Milestones!$AA$151)&lt;PolicyEff),1,Milestones!$AC$151)&amp;";  ",""))</f>
        <v/>
      </c>
      <c r="T14" s="0" t="str">
        <f aca="false">IF(OR($A14="",$D14=""),"",IF(AND(EDATE($D14,Milestones!$AA$152)&lt;=AsOfDate,EDATE($D14,Milestones!$AA$152)&gt;=SchemeStart,IF($X14=0,$AD14,IF(AND($Z14&lt;&gt;"",EDATE($D14,Milestones!$AA$152)&gt;=$Z14),$AC14,IF(AND($Y14&lt;&gt;"",EDATE($D14,Milestones!$AA$152)&gt;=$Y14),$AB14,$AA14)))=Milestones!$AB$152),UPPER(TEXT(EDATE($D14,Milestones!$AA$152),"dd mmm yy"))&amp;" "&amp;Milestones!$AB$152&amp;" "&amp;IF(AND(Milestones!$AB$152="FT",Milestones!$AA$152=FT_Y5,EDATE($D14,Milestones!$AA$152)&lt;PolicyEff),1,Milestones!$AC$152)&amp;";  ","")&amp;IF(AND(EDATE($D14,Milestones!$AA$153)&lt;=AsOfDate,EDATE($D14,Milestones!$AA$153)&gt;=SchemeStart,IF($X14=0,$AD14,IF(AND($Z14&lt;&gt;"",EDATE($D14,Milestones!$AA$153)&gt;=$Z14),$AC14,IF(AND($Y14&lt;&gt;"",EDATE($D14,Milestones!$AA$153)&gt;=$Y14),$AB14,$AA14)))=Milestones!$AB$153),UPPER(TEXT(EDATE($D14,Milestones!$AA$153),"dd mmm yy"))&amp;" "&amp;Milestones!$AB$153&amp;" "&amp;IF(AND(Milestones!$AB$153="FT",Milestones!$AA$153=FT_Y5,EDATE($D14,Milestones!$AA$153)&lt;PolicyEff),1,Milestones!$AC$153)&amp;";  ","")&amp;IF(AND(EDATE($D14,Milestones!$AA$154)&lt;=AsOfDate,EDATE($D14,Milestones!$AA$154)&gt;=SchemeStart,IF($X14=0,$AD14,IF(AND($Z14&lt;&gt;"",EDATE($D14,Milestones!$AA$154)&gt;=$Z14),$AC14,IF(AND($Y14&lt;&gt;"",EDATE($D14,Milestones!$AA$154)&gt;=$Y14),$AB14,$AA14)))=Milestones!$AB$154),UPPER(TEXT(EDATE($D14,Milestones!$AA$154),"dd mmm yy"))&amp;" "&amp;Milestones!$AB$154&amp;" "&amp;IF(AND(Milestones!$AB$154="FT",Milestones!$AA$154=FT_Y5,EDATE($D14,Milestones!$AA$154)&lt;PolicyEff),1,Milestones!$AC$154)&amp;";  ","")&amp;IF(AND(EDATE($D14,Milestones!$AA$155)&lt;=AsOfDate,EDATE($D14,Milestones!$AA$155)&gt;=SchemeStart,IF($X14=0,$AD14,IF(AND($Z14&lt;&gt;"",EDATE($D14,Milestones!$AA$155)&gt;=$Z14),$AC14,IF(AND($Y14&lt;&gt;"",EDATE($D14,Milestones!$AA$155)&gt;=$Y14),$AB14,$AA14)))=Milestones!$AB$155),UPPER(TEXT(EDATE($D14,Milestones!$AA$155),"dd mmm yy"))&amp;" "&amp;Milestones!$AB$155&amp;" "&amp;IF(AND(Milestones!$AB$155="FT",Milestones!$AA$155=FT_Y5,EDATE($D14,Milestones!$AA$155)&lt;PolicyEff),1,Milestones!$AC$155)&amp;";  ","")&amp;IF(AND(EDATE($D14,Milestones!$AA$156)&lt;=AsOfDate,EDATE($D14,Milestones!$AA$156)&gt;=SchemeStart,IF($X14=0,$AD14,IF(AND($Z14&lt;&gt;"",EDATE($D14,Milestones!$AA$156)&gt;=$Z14),$AC14,IF(AND($Y14&lt;&gt;"",EDATE($D14,Milestones!$AA$156)&gt;=$Y14),$AB14,$AA14)))=Milestones!$AB$156),UPPER(TEXT(EDATE($D14,Milestones!$AA$156),"dd mmm yy"))&amp;" "&amp;Milestones!$AB$156&amp;" "&amp;IF(AND(Milestones!$AB$156="FT",Milestones!$AA$156=FT_Y5,EDATE($D14,Milestones!$AA$156)&lt;PolicyEff),1,Milestones!$AC$156)&amp;";  ","")&amp;IF(AND(EDATE($D14,Milestones!$AA$157)&lt;=AsOfDate,EDATE($D14,Milestones!$AA$157)&gt;=SchemeStart,IF($X14=0,$AD14,IF(AND($Z14&lt;&gt;"",EDATE($D14,Milestones!$AA$157)&gt;=$Z14),$AC14,IF(AND($Y14&lt;&gt;"",EDATE($D14,Milestones!$AA$157)&gt;=$Y14),$AB14,$AA14)))=Milestones!$AB$157),UPPER(TEXT(EDATE($D14,Milestones!$AA$157),"dd mmm yy"))&amp;" "&amp;Milestones!$AB$157&amp;" "&amp;IF(AND(Milestones!$AB$157="FT",Milestones!$AA$157=FT_Y5,EDATE($D14,Milestones!$AA$157)&lt;PolicyEff),1,Milestones!$AC$157)&amp;";  ","")&amp;IF(AND(EDATE($D14,Milestones!$AA$158)&lt;=AsOfDate,EDATE($D14,Milestones!$AA$158)&gt;=SchemeStart,IF($X14=0,$AD14,IF(AND($Z14&lt;&gt;"",EDATE($D14,Milestones!$AA$158)&gt;=$Z14),$AC14,IF(AND($Y14&lt;&gt;"",EDATE($D14,Milestones!$AA$158)&gt;=$Y14),$AB14,$AA14)))=Milestones!$AB$158),UPPER(TEXT(EDATE($D14,Milestones!$AA$158),"dd mmm yy"))&amp;" "&amp;Milestones!$AB$158&amp;" "&amp;IF(AND(Milestones!$AB$158="FT",Milestones!$AA$158=FT_Y5,EDATE($D14,Milestones!$AA$158)&lt;PolicyEff),1,Milestones!$AC$158)&amp;";  ","")&amp;IF(AND(EDATE($D14,Milestones!$AA$159)&lt;=AsOfDate,EDATE($D14,Milestones!$AA$159)&gt;=SchemeStart,IF($X14=0,$AD14,IF(AND($Z14&lt;&gt;"",EDATE($D14,Milestones!$AA$159)&gt;=$Z14),$AC14,IF(AND($Y14&lt;&gt;"",EDATE($D14,Milestones!$AA$159)&gt;=$Y14),$AB14,$AA14)))=Milestones!$AB$159),UPPER(TEXT(EDATE($D14,Milestones!$AA$159),"dd mmm yy"))&amp;" "&amp;Milestones!$AB$159&amp;" "&amp;IF(AND(Milestones!$AB$159="FT",Milestones!$AA$159=FT_Y5,EDATE($D14,Milestones!$AA$159)&lt;PolicyEff),1,Milestones!$AC$159)&amp;";  ","")&amp;IF(AND(EDATE($D14,Milestones!$AA$160)&lt;=AsOfDate,EDATE($D14,Milestones!$AA$160)&gt;=SchemeStart,IF($X14=0,$AD14,IF(AND($Z14&lt;&gt;"",EDATE($D14,Milestones!$AA$160)&gt;=$Z14),$AC14,IF(AND($Y14&lt;&gt;"",EDATE($D14,Milestones!$AA$160)&gt;=$Y14),$AB14,$AA14)))=Milestones!$AB$160),UPPER(TEXT(EDATE($D14,Milestones!$AA$160),"dd mmm yy"))&amp;" "&amp;Milestones!$AB$160&amp;" "&amp;IF(AND(Milestones!$AB$160="FT",Milestones!$AA$160=FT_Y5,EDATE($D14,Milestones!$AA$160)&lt;PolicyEff),1,Milestones!$AC$160)&amp;";  ","")&amp;IF(AND(EDATE($D14,Milestones!$AA$161)&lt;=AsOfDate,EDATE($D14,Milestones!$AA$161)&gt;=SchemeStart,IF($X14=0,$AD14,IF(AND($Z14&lt;&gt;"",EDATE($D14,Milestones!$AA$161)&gt;=$Z14),$AC14,IF(AND($Y14&lt;&gt;"",EDATE($D14,Milestones!$AA$161)&gt;=$Y14),$AB14,$AA14)))=Milestones!$AB$161),UPPER(TEXT(EDATE($D14,Milestones!$AA$161),"dd mmm yy"))&amp;" "&amp;Milestones!$AB$161&amp;" "&amp;IF(AND(Milestones!$AB$161="FT",Milestones!$AA$161=FT_Y5,EDATE($D14,Milestones!$AA$161)&lt;PolicyEff),1,Milestones!$AC$161)&amp;";  ","")&amp;IF(AND(EDATE($D14,Milestones!$AA$162)&lt;=AsOfDate,EDATE($D14,Milestones!$AA$162)&gt;=SchemeStart,IF($X14=0,$AD14,IF(AND($Z14&lt;&gt;"",EDATE($D14,Milestones!$AA$162)&gt;=$Z14),$AC14,IF(AND($Y14&lt;&gt;"",EDATE($D14,Milestones!$AA$162)&gt;=$Y14),$AB14,$AA14)))=Milestones!$AB$162),UPPER(TEXT(EDATE($D14,Milestones!$AA$162),"dd mmm yy"))&amp;" "&amp;Milestones!$AB$162&amp;" "&amp;IF(AND(Milestones!$AB$162="FT",Milestones!$AA$162=FT_Y5,EDATE($D14,Milestones!$AA$162)&lt;PolicyEff),1,Milestones!$AC$162)&amp;";  ","")&amp;IF(AND(EDATE($D14,Milestones!$AA$163)&lt;=AsOfDate,EDATE($D14,Milestones!$AA$163)&gt;=SchemeStart,IF($X14=0,$AD14,IF(AND($Z14&lt;&gt;"",EDATE($D14,Milestones!$AA$163)&gt;=$Z14),$AC14,IF(AND($Y14&lt;&gt;"",EDATE($D14,Milestones!$AA$163)&gt;=$Y14),$AB14,$AA14)))=Milestones!$AB$163),UPPER(TEXT(EDATE($D14,Milestones!$AA$163),"dd mmm yy"))&amp;" "&amp;Milestones!$AB$163&amp;" "&amp;IF(AND(Milestones!$AB$163="FT",Milestones!$AA$163=FT_Y5,EDATE($D14,Milestones!$AA$163)&lt;PolicyEff),1,Milestones!$AC$163)&amp;";  ",""))</f>
        <v/>
      </c>
      <c r="U14" s="0" t="str">
        <f aca="false">IF(OR($A14="",$D14=""),"",IF(AND(EDATE($D14,Milestones!$AA$164)&lt;=AsOfDate,EDATE($D14,Milestones!$AA$164)&gt;=SchemeStart,IF($X14=0,$AD14,IF(AND($Z14&lt;&gt;"",EDATE($D14,Milestones!$AA$164)&gt;=$Z14),$AC14,IF(AND($Y14&lt;&gt;"",EDATE($D14,Milestones!$AA$164)&gt;=$Y14),$AB14,$AA14)))=Milestones!$AB$164),UPPER(TEXT(EDATE($D14,Milestones!$AA$164),"dd mmm yy"))&amp;" "&amp;Milestones!$AB$164&amp;" "&amp;IF(AND(Milestones!$AB$164="FT",Milestones!$AA$164=FT_Y5,EDATE($D14,Milestones!$AA$164)&lt;PolicyEff),1,Milestones!$AC$164)&amp;";  ","")&amp;IF(AND(EDATE($D14,Milestones!$AA$165)&lt;=AsOfDate,EDATE($D14,Milestones!$AA$165)&gt;=SchemeStart,IF($X14=0,$AD14,IF(AND($Z14&lt;&gt;"",EDATE($D14,Milestones!$AA$165)&gt;=$Z14),$AC14,IF(AND($Y14&lt;&gt;"",EDATE($D14,Milestones!$AA$165)&gt;=$Y14),$AB14,$AA14)))=Milestones!$AB$165),UPPER(TEXT(EDATE($D14,Milestones!$AA$165),"dd mmm yy"))&amp;" "&amp;Milestones!$AB$165&amp;" "&amp;IF(AND(Milestones!$AB$165="FT",Milestones!$AA$165=FT_Y5,EDATE($D14,Milestones!$AA$165)&lt;PolicyEff),1,Milestones!$AC$165)&amp;";  ","")&amp;IF(AND(EDATE($D14,Milestones!$AA$166)&lt;=AsOfDate,EDATE($D14,Milestones!$AA$166)&gt;=SchemeStart,IF($X14=0,$AD14,IF(AND($Z14&lt;&gt;"",EDATE($D14,Milestones!$AA$166)&gt;=$Z14),$AC14,IF(AND($Y14&lt;&gt;"",EDATE($D14,Milestones!$AA$166)&gt;=$Y14),$AB14,$AA14)))=Milestones!$AB$166),UPPER(TEXT(EDATE($D14,Milestones!$AA$166),"dd mmm yy"))&amp;" "&amp;Milestones!$AB$166&amp;" "&amp;IF(AND(Milestones!$AB$166="FT",Milestones!$AA$166=FT_Y5,EDATE($D14,Milestones!$AA$166)&lt;PolicyEff),1,Milestones!$AC$166)&amp;";  ","")&amp;IF(AND(EDATE($D14,Milestones!$AA$167)&lt;=AsOfDate,EDATE($D14,Milestones!$AA$167)&gt;=SchemeStart,IF($X14=0,$AD14,IF(AND($Z14&lt;&gt;"",EDATE($D14,Milestones!$AA$167)&gt;=$Z14),$AC14,IF(AND($Y14&lt;&gt;"",EDATE($D14,Milestones!$AA$167)&gt;=$Y14),$AB14,$AA14)))=Milestones!$AB$167),UPPER(TEXT(EDATE($D14,Milestones!$AA$167),"dd mmm yy"))&amp;" "&amp;Milestones!$AB$167&amp;" "&amp;IF(AND(Milestones!$AB$167="FT",Milestones!$AA$167=FT_Y5,EDATE($D14,Milestones!$AA$167)&lt;PolicyEff),1,Milestones!$AC$167)&amp;";  ","")&amp;IF(AND(EDATE($D14,Milestones!$AA$168)&lt;=AsOfDate,EDATE($D14,Milestones!$AA$168)&gt;=SchemeStart,IF($X14=0,$AD14,IF(AND($Z14&lt;&gt;"",EDATE($D14,Milestones!$AA$168)&gt;=$Z14),$AC14,IF(AND($Y14&lt;&gt;"",EDATE($D14,Milestones!$AA$168)&gt;=$Y14),$AB14,$AA14)))=Milestones!$AB$168),UPPER(TEXT(EDATE($D14,Milestones!$AA$168),"dd mmm yy"))&amp;" "&amp;Milestones!$AB$168&amp;" "&amp;IF(AND(Milestones!$AB$168="FT",Milestones!$AA$168=FT_Y5,EDATE($D14,Milestones!$AA$168)&lt;PolicyEff),1,Milestones!$AC$168)&amp;";  ","")&amp;IF(AND(EDATE($D14,Milestones!$AA$169)&lt;=AsOfDate,EDATE($D14,Milestones!$AA$169)&gt;=SchemeStart,IF($X14=0,$AD14,IF(AND($Z14&lt;&gt;"",EDATE($D14,Milestones!$AA$169)&gt;=$Z14),$AC14,IF(AND($Y14&lt;&gt;"",EDATE($D14,Milestones!$AA$169)&gt;=$Y14),$AB14,$AA14)))=Milestones!$AB$169),UPPER(TEXT(EDATE($D14,Milestones!$AA$169),"dd mmm yy"))&amp;" "&amp;Milestones!$AB$169&amp;" "&amp;IF(AND(Milestones!$AB$169="FT",Milestones!$AA$169=FT_Y5,EDATE($D14,Milestones!$AA$169)&lt;PolicyEff),1,Milestones!$AC$169)&amp;";  ","")&amp;IF(AND(EDATE($D14,Milestones!$AA$170)&lt;=AsOfDate,EDATE($D14,Milestones!$AA$170)&gt;=SchemeStart,IF($X14=0,$AD14,IF(AND($Z14&lt;&gt;"",EDATE($D14,Milestones!$AA$170)&gt;=$Z14),$AC14,IF(AND($Y14&lt;&gt;"",EDATE($D14,Milestones!$AA$170)&gt;=$Y14),$AB14,$AA14)))=Milestones!$AB$170),UPPER(TEXT(EDATE($D14,Milestones!$AA$170),"dd mmm yy"))&amp;" "&amp;Milestones!$AB$170&amp;" "&amp;IF(AND(Milestones!$AB$170="FT",Milestones!$AA$170=FT_Y5,EDATE($D14,Milestones!$AA$170)&lt;PolicyEff),1,Milestones!$AC$170)&amp;";  ","")&amp;IF(AND(EDATE($D14,Milestones!$AA$171)&lt;=AsOfDate,EDATE($D14,Milestones!$AA$171)&gt;=SchemeStart,IF($X14=0,$AD14,IF(AND($Z14&lt;&gt;"",EDATE($D14,Milestones!$AA$171)&gt;=$Z14),$AC14,IF(AND($Y14&lt;&gt;"",EDATE($D14,Milestones!$AA$171)&gt;=$Y14),$AB14,$AA14)))=Milestones!$AB$171),UPPER(TEXT(EDATE($D14,Milestones!$AA$171),"dd mmm yy"))&amp;" "&amp;Milestones!$AB$171&amp;" "&amp;IF(AND(Milestones!$AB$171="FT",Milestones!$AA$171=FT_Y5,EDATE($D14,Milestones!$AA$171)&lt;PolicyEff),1,Milestones!$AC$171)&amp;";  ","")&amp;IF(AND(EDATE($D14,Milestones!$AA$172)&lt;=AsOfDate,EDATE($D14,Milestones!$AA$172)&gt;=SchemeStart,IF($X14=0,$AD14,IF(AND($Z14&lt;&gt;"",EDATE($D14,Milestones!$AA$172)&gt;=$Z14),$AC14,IF(AND($Y14&lt;&gt;"",EDATE($D14,Milestones!$AA$172)&gt;=$Y14),$AB14,$AA14)))=Milestones!$AB$172),UPPER(TEXT(EDATE($D14,Milestones!$AA$172),"dd mmm yy"))&amp;" "&amp;Milestones!$AB$172&amp;" "&amp;IF(AND(Milestones!$AB$172="FT",Milestones!$AA$172=FT_Y5,EDATE($D14,Milestones!$AA$172)&lt;PolicyEff),1,Milestones!$AC$172)&amp;";  ","")&amp;IF(AND(EDATE($D14,Milestones!$AA$173)&lt;=AsOfDate,EDATE($D14,Milestones!$AA$173)&gt;=SchemeStart,IF($X14=0,$AD14,IF(AND($Z14&lt;&gt;"",EDATE($D14,Milestones!$AA$173)&gt;=$Z14),$AC14,IF(AND($Y14&lt;&gt;"",EDATE($D14,Milestones!$AA$173)&gt;=$Y14),$AB14,$AA14)))=Milestones!$AB$173),UPPER(TEXT(EDATE($D14,Milestones!$AA$173),"dd mmm yy"))&amp;" "&amp;Milestones!$AB$173&amp;" "&amp;IF(AND(Milestones!$AB$173="FT",Milestones!$AA$173=FT_Y5,EDATE($D14,Milestones!$AA$173)&lt;PolicyEff),1,Milestones!$AC$173)&amp;";  ","")&amp;IF(AND(EDATE($D14,Milestones!$AA$174)&lt;=AsOfDate,EDATE($D14,Milestones!$AA$174)&gt;=SchemeStart,IF($X14=0,$AD14,IF(AND($Z14&lt;&gt;"",EDATE($D14,Milestones!$AA$174)&gt;=$Z14),$AC14,IF(AND($Y14&lt;&gt;"",EDATE($D14,Milestones!$AA$174)&gt;=$Y14),$AB14,$AA14)))=Milestones!$AB$174),UPPER(TEXT(EDATE($D14,Milestones!$AA$174),"dd mmm yy"))&amp;" "&amp;Milestones!$AB$174&amp;" "&amp;IF(AND(Milestones!$AB$174="FT",Milestones!$AA$174=FT_Y5,EDATE($D14,Milestones!$AA$174)&lt;PolicyEff),1,Milestones!$AC$174)&amp;";  ","")&amp;IF(AND(EDATE($D14,Milestones!$AA$175)&lt;=AsOfDate,EDATE($D14,Milestones!$AA$175)&gt;=SchemeStart,IF($X14=0,$AD14,IF(AND($Z14&lt;&gt;"",EDATE($D14,Milestones!$AA$175)&gt;=$Z14),$AC14,IF(AND($Y14&lt;&gt;"",EDATE($D14,Milestones!$AA$175)&gt;=$Y14),$AB14,$AA14)))=Milestones!$AB$175),UPPER(TEXT(EDATE($D14,Milestones!$AA$175),"dd mmm yy"))&amp;" "&amp;Milestones!$AB$175&amp;" "&amp;IF(AND(Milestones!$AB$175="FT",Milestones!$AA$175=FT_Y5,EDATE($D14,Milestones!$AA$175)&lt;PolicyEff),1,Milestones!$AC$175)&amp;";  ",""))</f>
        <v/>
      </c>
      <c r="V14" s="0" t="str">
        <f aca="false">IF(OR($A14="",$D14=""),"",IF(AND(EDATE($D14,Milestones!$AA$176)&lt;=AsOfDate,EDATE($D14,Milestones!$AA$176)&gt;=SchemeStart,IF($X14=0,$AD14,IF(AND($Z14&lt;&gt;"",EDATE($D14,Milestones!$AA$176)&gt;=$Z14),$AC14,IF(AND($Y14&lt;&gt;"",EDATE($D14,Milestones!$AA$176)&gt;=$Y14),$AB14,$AA14)))=Milestones!$AB$176),UPPER(TEXT(EDATE($D14,Milestones!$AA$176),"dd mmm yy"))&amp;" "&amp;Milestones!$AB$176&amp;" "&amp;IF(AND(Milestones!$AB$176="FT",Milestones!$AA$176=FT_Y5,EDATE($D14,Milestones!$AA$176)&lt;PolicyEff),1,Milestones!$AC$176)&amp;";  ","")&amp;IF(AND(EDATE($D14,Milestones!$AA$177)&lt;=AsOfDate,EDATE($D14,Milestones!$AA$177)&gt;=SchemeStart,IF($X14=0,$AD14,IF(AND($Z14&lt;&gt;"",EDATE($D14,Milestones!$AA$177)&gt;=$Z14),$AC14,IF(AND($Y14&lt;&gt;"",EDATE($D14,Milestones!$AA$177)&gt;=$Y14),$AB14,$AA14)))=Milestones!$AB$177),UPPER(TEXT(EDATE($D14,Milestones!$AA$177),"dd mmm yy"))&amp;" "&amp;Milestones!$AB$177&amp;" "&amp;IF(AND(Milestones!$AB$177="FT",Milestones!$AA$177=FT_Y5,EDATE($D14,Milestones!$AA$177)&lt;PolicyEff),1,Milestones!$AC$177)&amp;";  ","")&amp;IF(AND(EDATE($D14,Milestones!$AA$178)&lt;=AsOfDate,EDATE($D14,Milestones!$AA$178)&gt;=SchemeStart,IF($X14=0,$AD14,IF(AND($Z14&lt;&gt;"",EDATE($D14,Milestones!$AA$178)&gt;=$Z14),$AC14,IF(AND($Y14&lt;&gt;"",EDATE($D14,Milestones!$AA$178)&gt;=$Y14),$AB14,$AA14)))=Milestones!$AB$178),UPPER(TEXT(EDATE($D14,Milestones!$AA$178),"dd mmm yy"))&amp;" "&amp;Milestones!$AB$178&amp;" "&amp;IF(AND(Milestones!$AB$178="FT",Milestones!$AA$178=FT_Y5,EDATE($D14,Milestones!$AA$178)&lt;PolicyEff),1,Milestones!$AC$178)&amp;";  ","")&amp;IF(AND(EDATE($D14,Milestones!$AA$179)&lt;=AsOfDate,EDATE($D14,Milestones!$AA$179)&gt;=SchemeStart,IF($X14=0,$AD14,IF(AND($Z14&lt;&gt;"",EDATE($D14,Milestones!$AA$179)&gt;=$Z14),$AC14,IF(AND($Y14&lt;&gt;"",EDATE($D14,Milestones!$AA$179)&gt;=$Y14),$AB14,$AA14)))=Milestones!$AB$179),UPPER(TEXT(EDATE($D14,Milestones!$AA$179),"dd mmm yy"))&amp;" "&amp;Milestones!$AB$179&amp;" "&amp;IF(AND(Milestones!$AB$179="FT",Milestones!$AA$179=FT_Y5,EDATE($D14,Milestones!$AA$179)&lt;PolicyEff),1,Milestones!$AC$179)&amp;";  ","")&amp;IF(AND(EDATE($D14,Milestones!$AA$180)&lt;=AsOfDate,EDATE($D14,Milestones!$AA$180)&gt;=SchemeStart,IF($X14=0,$AD14,IF(AND($Z14&lt;&gt;"",EDATE($D14,Milestones!$AA$180)&gt;=$Z14),$AC14,IF(AND($Y14&lt;&gt;"",EDATE($D14,Milestones!$AA$180)&gt;=$Y14),$AB14,$AA14)))=Milestones!$AB$180),UPPER(TEXT(EDATE($D14,Milestones!$AA$180),"dd mmm yy"))&amp;" "&amp;Milestones!$AB$180&amp;" "&amp;IF(AND(Milestones!$AB$180="FT",Milestones!$AA$180=FT_Y5,EDATE($D14,Milestones!$AA$180)&lt;PolicyEff),1,Milestones!$AC$180)&amp;";  ","")&amp;IF(AND(EDATE($D14,Milestones!$AA$181)&lt;=AsOfDate,EDATE($D14,Milestones!$AA$181)&gt;=SchemeStart,IF($X14=0,$AD14,IF(AND($Z14&lt;&gt;"",EDATE($D14,Milestones!$AA$181)&gt;=$Z14),$AC14,IF(AND($Y14&lt;&gt;"",EDATE($D14,Milestones!$AA$181)&gt;=$Y14),$AB14,$AA14)))=Milestones!$AB$181),UPPER(TEXT(EDATE($D14,Milestones!$AA$181),"dd mmm yy"))&amp;" "&amp;Milestones!$AB$181&amp;" "&amp;IF(AND(Milestones!$AB$181="FT",Milestones!$AA$181=FT_Y5,EDATE($D14,Milestones!$AA$181)&lt;PolicyEff),1,Milestones!$AC$181)&amp;";  ","")&amp;IF(AND(EDATE($D14,Milestones!$AA$182)&lt;=AsOfDate,EDATE($D14,Milestones!$AA$182)&gt;=SchemeStart,IF($X14=0,$AD14,IF(AND($Z14&lt;&gt;"",EDATE($D14,Milestones!$AA$182)&gt;=$Z14),$AC14,IF(AND($Y14&lt;&gt;"",EDATE($D14,Milestones!$AA$182)&gt;=$Y14),$AB14,$AA14)))=Milestones!$AB$182),UPPER(TEXT(EDATE($D14,Milestones!$AA$182),"dd mmm yy"))&amp;" "&amp;Milestones!$AB$182&amp;" "&amp;IF(AND(Milestones!$AB$182="FT",Milestones!$AA$182=FT_Y5,EDATE($D14,Milestones!$AA$182)&lt;PolicyEff),1,Milestones!$AC$182)&amp;";  ","")&amp;IF(AND(EDATE($D14,Milestones!$AA$183)&lt;=AsOfDate,EDATE($D14,Milestones!$AA$183)&gt;=SchemeStart,IF($X14=0,$AD14,IF(AND($Z14&lt;&gt;"",EDATE($D14,Milestones!$AA$183)&gt;=$Z14),$AC14,IF(AND($Y14&lt;&gt;"",EDATE($D14,Milestones!$AA$183)&gt;=$Y14),$AB14,$AA14)))=Milestones!$AB$183),UPPER(TEXT(EDATE($D14,Milestones!$AA$183),"dd mmm yy"))&amp;" "&amp;Milestones!$AB$183&amp;" "&amp;IF(AND(Milestones!$AB$183="FT",Milestones!$AA$183=FT_Y5,EDATE($D14,Milestones!$AA$183)&lt;PolicyEff),1,Milestones!$AC$183)&amp;";  ","")&amp;IF(AND(EDATE($D14,Milestones!$AA$184)&lt;=AsOfDate,EDATE($D14,Milestones!$AA$184)&gt;=SchemeStart,IF($X14=0,$AD14,IF(AND($Z14&lt;&gt;"",EDATE($D14,Milestones!$AA$184)&gt;=$Z14),$AC14,IF(AND($Y14&lt;&gt;"",EDATE($D14,Milestones!$AA$184)&gt;=$Y14),$AB14,$AA14)))=Milestones!$AB$184),UPPER(TEXT(EDATE($D14,Milestones!$AA$184),"dd mmm yy"))&amp;" "&amp;Milestones!$AB$184&amp;" "&amp;IF(AND(Milestones!$AB$184="FT",Milestones!$AA$184=FT_Y5,EDATE($D14,Milestones!$AA$184)&lt;PolicyEff),1,Milestones!$AC$184)&amp;";  ","")&amp;IF(AND(EDATE($D14,Milestones!$AA$185)&lt;=AsOfDate,EDATE($D14,Milestones!$AA$185)&gt;=SchemeStart,IF($X14=0,$AD14,IF(AND($Z14&lt;&gt;"",EDATE($D14,Milestones!$AA$185)&gt;=$Z14),$AC14,IF(AND($Y14&lt;&gt;"",EDATE($D14,Milestones!$AA$185)&gt;=$Y14),$AB14,$AA14)))=Milestones!$AB$185),UPPER(TEXT(EDATE($D14,Milestones!$AA$185),"dd mmm yy"))&amp;" "&amp;Milestones!$AB$185&amp;" "&amp;IF(AND(Milestones!$AB$185="FT",Milestones!$AA$185=FT_Y5,EDATE($D14,Milestones!$AA$185)&lt;PolicyEff),1,Milestones!$AC$185)&amp;";  ","")&amp;IF(AND(EDATE($D14,Milestones!$AA$186)&lt;=AsOfDate,EDATE($D14,Milestones!$AA$186)&gt;=SchemeStart,IF($X14=0,$AD14,IF(AND($Z14&lt;&gt;"",EDATE($D14,Milestones!$AA$186)&gt;=$Z14),$AC14,IF(AND($Y14&lt;&gt;"",EDATE($D14,Milestones!$AA$186)&gt;=$Y14),$AB14,$AA14)))=Milestones!$AB$186),UPPER(TEXT(EDATE($D14,Milestones!$AA$186),"dd mmm yy"))&amp;" "&amp;Milestones!$AB$186&amp;" "&amp;IF(AND(Milestones!$AB$186="FT",Milestones!$AA$186=FT_Y5,EDATE($D14,Milestones!$AA$186)&lt;PolicyEff),1,Milestones!$AC$186)&amp;";  ","")&amp;IF(AND(EDATE($D14,Milestones!$AA$187)&lt;=AsOfDate,EDATE($D14,Milestones!$AA$187)&gt;=SchemeStart,IF($X14=0,$AD14,IF(AND($Z14&lt;&gt;"",EDATE($D14,Milestones!$AA$187)&gt;=$Z14),$AC14,IF(AND($Y14&lt;&gt;"",EDATE($D14,Milestones!$AA$187)&gt;=$Y14),$AB14,$AA14)))=Milestones!$AB$187),UPPER(TEXT(EDATE($D14,Milestones!$AA$187),"dd mmm yy"))&amp;" "&amp;Milestones!$AB$187&amp;" "&amp;IF(AND(Milestones!$AB$187="FT",Milestones!$AA$187=FT_Y5,EDATE($D14,Milestones!$AA$187)&lt;PolicyEff),1,Milestones!$AC$187)&amp;";  ",""))</f>
        <v/>
      </c>
      <c r="W14" s="0" t="str">
        <f aca="false">IF(OR($A14="",$D14=""),"",IF(AND(EDATE($D14,Milestones!$AA$188)&lt;=AsOfDate,EDATE($D14,Milestones!$AA$188)&gt;=SchemeStart,IF($X14=0,$AD14,IF(AND($Z14&lt;&gt;"",EDATE($D14,Milestones!$AA$188)&gt;=$Z14),$AC14,IF(AND($Y14&lt;&gt;"",EDATE($D14,Milestones!$AA$188)&gt;=$Y14),$AB14,$AA14)))=Milestones!$AB$188),UPPER(TEXT(EDATE($D14,Milestones!$AA$188),"dd mmm yy"))&amp;" "&amp;Milestones!$AB$188&amp;" "&amp;IF(AND(Milestones!$AB$188="FT",Milestones!$AA$188=FT_Y5,EDATE($D14,Milestones!$AA$188)&lt;PolicyEff),1,Milestones!$AC$188)&amp;";  ","")&amp;IF(AND(EDATE($D14,Milestones!$AA$189)&lt;=AsOfDate,EDATE($D14,Milestones!$AA$189)&gt;=SchemeStart,IF($X14=0,$AD14,IF(AND($Z14&lt;&gt;"",EDATE($D14,Milestones!$AA$189)&gt;=$Z14),$AC14,IF(AND($Y14&lt;&gt;"",EDATE($D14,Milestones!$AA$189)&gt;=$Y14),$AB14,$AA14)))=Milestones!$AB$189),UPPER(TEXT(EDATE($D14,Milestones!$AA$189),"dd mmm yy"))&amp;" "&amp;Milestones!$AB$189&amp;" "&amp;IF(AND(Milestones!$AB$189="FT",Milestones!$AA$189=FT_Y5,EDATE($D14,Milestones!$AA$189)&lt;PolicyEff),1,Milestones!$AC$189)&amp;";  ","")&amp;IF(AND(EDATE($D14,Milestones!$AA$190)&lt;=AsOfDate,EDATE($D14,Milestones!$AA$190)&gt;=SchemeStart,IF($X14=0,$AD14,IF(AND($Z14&lt;&gt;"",EDATE($D14,Milestones!$AA$190)&gt;=$Z14),$AC14,IF(AND($Y14&lt;&gt;"",EDATE($D14,Milestones!$AA$190)&gt;=$Y14),$AB14,$AA14)))=Milestones!$AB$190),UPPER(TEXT(EDATE($D14,Milestones!$AA$190),"dd mmm yy"))&amp;" "&amp;Milestones!$AB$190&amp;" "&amp;IF(AND(Milestones!$AB$190="FT",Milestones!$AA$190=FT_Y5,EDATE($D14,Milestones!$AA$190)&lt;PolicyEff),1,Milestones!$AC$190)&amp;";  ","")&amp;IF(AND(EDATE($D14,Milestones!$AA$191)&lt;=AsOfDate,EDATE($D14,Milestones!$AA$191)&gt;=SchemeStart,IF($X14=0,$AD14,IF(AND($Z14&lt;&gt;"",EDATE($D14,Milestones!$AA$191)&gt;=$Z14),$AC14,IF(AND($Y14&lt;&gt;"",EDATE($D14,Milestones!$AA$191)&gt;=$Y14),$AB14,$AA14)))=Milestones!$AB$191),UPPER(TEXT(EDATE($D14,Milestones!$AA$191),"dd mmm yy"))&amp;" "&amp;Milestones!$AB$191&amp;" "&amp;IF(AND(Milestones!$AB$191="FT",Milestones!$AA$191=FT_Y5,EDATE($D14,Milestones!$AA$191)&lt;PolicyEff),1,Milestones!$AC$191)&amp;";  ","")&amp;IF(AND(EDATE($D14,Milestones!$AA$192)&lt;=AsOfDate,EDATE($D14,Milestones!$AA$192)&gt;=SchemeStart,IF($X14=0,$AD14,IF(AND($Z14&lt;&gt;"",EDATE($D14,Milestones!$AA$192)&gt;=$Z14),$AC14,IF(AND($Y14&lt;&gt;"",EDATE($D14,Milestones!$AA$192)&gt;=$Y14),$AB14,$AA14)))=Milestones!$AB$192),UPPER(TEXT(EDATE($D14,Milestones!$AA$192),"dd mmm yy"))&amp;" "&amp;Milestones!$AB$192&amp;" "&amp;IF(AND(Milestones!$AB$192="FT",Milestones!$AA$192=FT_Y5,EDATE($D14,Milestones!$AA$192)&lt;PolicyEff),1,Milestones!$AC$192)&amp;";  ","")&amp;IF(AND(EDATE($D14,Milestones!$AA$193)&lt;=AsOfDate,EDATE($D14,Milestones!$AA$193)&gt;=SchemeStart,IF($X14=0,$AD14,IF(AND($Z14&lt;&gt;"",EDATE($D14,Milestones!$AA$193)&gt;=$Z14),$AC14,IF(AND($Y14&lt;&gt;"",EDATE($D14,Milestones!$AA$193)&gt;=$Y14),$AB14,$AA14)))=Milestones!$AB$193),UPPER(TEXT(EDATE($D14,Milestones!$AA$193),"dd mmm yy"))&amp;" "&amp;Milestones!$AB$193&amp;" "&amp;IF(AND(Milestones!$AB$193="FT",Milestones!$AA$193=FT_Y5,EDATE($D14,Milestones!$AA$193)&lt;PolicyEff),1,Milestones!$AC$193)&amp;";  ","")&amp;IF(AND(EDATE($D14,Milestones!$AA$194)&lt;=AsOfDate,EDATE($D14,Milestones!$AA$194)&gt;=SchemeStart,IF($X14=0,$AD14,IF(AND($Z14&lt;&gt;"",EDATE($D14,Milestones!$AA$194)&gt;=$Z14),$AC14,IF(AND($Y14&lt;&gt;"",EDATE($D14,Milestones!$AA$194)&gt;=$Y14),$AB14,$AA14)))=Milestones!$AB$194),UPPER(TEXT(EDATE($D14,Milestones!$AA$194),"dd mmm yy"))&amp;" "&amp;Milestones!$AB$194&amp;" "&amp;IF(AND(Milestones!$AB$194="FT",Milestones!$AA$194=FT_Y5,EDATE($D14,Milestones!$AA$194)&lt;PolicyEff),1,Milestones!$AC$194)&amp;";  ","")&amp;IF(AND(EDATE($D14,Milestones!$AA$195)&lt;=AsOfDate,EDATE($D14,Milestones!$AA$195)&gt;=SchemeStart,IF($X14=0,$AD14,IF(AND($Z14&lt;&gt;"",EDATE($D14,Milestones!$AA$195)&gt;=$Z14),$AC14,IF(AND($Y14&lt;&gt;"",EDATE($D14,Milestones!$AA$195)&gt;=$Y14),$AB14,$AA14)))=Milestones!$AB$195),UPPER(TEXT(EDATE($D14,Milestones!$AA$195),"dd mmm yy"))&amp;" "&amp;Milestones!$AB$195&amp;" "&amp;IF(AND(Milestones!$AB$195="FT",Milestones!$AA$195=FT_Y5,EDATE($D14,Milestones!$AA$195)&lt;PolicyEff),1,Milestones!$AC$195)&amp;";  ","")&amp;IF(AND(EDATE($D14,Milestones!$AA$196)&lt;=AsOfDate,EDATE($D14,Milestones!$AA$196)&gt;=SchemeStart,IF($X14=0,$AD14,IF(AND($Z14&lt;&gt;"",EDATE($D14,Milestones!$AA$196)&gt;=$Z14),$AC14,IF(AND($Y14&lt;&gt;"",EDATE($D14,Milestones!$AA$196)&gt;=$Y14),$AB14,$AA14)))=Milestones!$AB$196),UPPER(TEXT(EDATE($D14,Milestones!$AA$196),"dd mmm yy"))&amp;" "&amp;Milestones!$AB$196&amp;" "&amp;IF(AND(Milestones!$AB$196="FT",Milestones!$AA$196=FT_Y5,EDATE($D14,Milestones!$AA$196)&lt;PolicyEff),1,Milestones!$AC$196)&amp;";  ","")&amp;IF(AND(EDATE($D14,Milestones!$AA$197)&lt;=AsOfDate,EDATE($D14,Milestones!$AA$197)&gt;=SchemeStart,IF($X14=0,$AD14,IF(AND($Z14&lt;&gt;"",EDATE($D14,Milestones!$AA$197)&gt;=$Z14),$AC14,IF(AND($Y14&lt;&gt;"",EDATE($D14,Milestones!$AA$197)&gt;=$Y14),$AB14,$AA14)))=Milestones!$AB$197),UPPER(TEXT(EDATE($D14,Milestones!$AA$197),"dd mmm yy"))&amp;" "&amp;Milestones!$AB$197&amp;" "&amp;IF(AND(Milestones!$AB$197="FT",Milestones!$AA$197=FT_Y5,EDATE($D14,Milestones!$AA$197)&lt;PolicyEff),1,Milestones!$AC$197)&amp;";  ","")&amp;IF(AND(EDATE($D14,Milestones!$AA$198)&lt;=AsOfDate,EDATE($D14,Milestones!$AA$198)&gt;=SchemeStart,IF($X14=0,$AD14,IF(AND($Z14&lt;&gt;"",EDATE($D14,Milestones!$AA$198)&gt;=$Z14),$AC14,IF(AND($Y14&lt;&gt;"",EDATE($D14,Milestones!$AA$198)&gt;=$Y14),$AB14,$AA14)))=Milestones!$AB$198),UPPER(TEXT(EDATE($D14,Milestones!$AA$198),"dd mmm yy"))&amp;" "&amp;Milestones!$AB$198&amp;" "&amp;IF(AND(Milestones!$AB$198="FT",Milestones!$AA$198=FT_Y5,EDATE($D14,Milestones!$AA$198)&lt;PolicyEff),1,Milestones!$AC$198)&amp;";  ","")&amp;IF(AND(EDATE($D14,Milestones!$AA$199)&lt;=AsOfDate,EDATE($D14,Milestones!$AA$199)&gt;=SchemeStart,IF($X14=0,$AD14,IF(AND($Z14&lt;&gt;"",EDATE($D14,Milestones!$AA$199)&gt;=$Z14),$AC14,IF(AND($Y14&lt;&gt;"",EDATE($D14,Milestones!$AA$199)&gt;=$Y14),$AB14,$AA14)))=Milestones!$AB$199),UPPER(TEXT(EDATE($D14,Milestones!$AA$199),"dd mmm yy"))&amp;" "&amp;Milestones!$AB$199&amp;" "&amp;IF(AND(Milestones!$AB$199="FT",Milestones!$AA$199=FT_Y5,EDATE($D14,Milestones!$AA$199)&lt;PolicyEff),1,Milestones!$AC$199)&amp;";  ",""))</f>
        <v/>
      </c>
      <c r="X14" s="0" t="str">
        <f aca="false">IF(Staff!$A14="","",Staff!$AM14)</f>
        <v/>
      </c>
      <c r="Y14" s="0" t="str">
        <f aca="false">IF(Staff!$A14="","",Staff!$AO14)</f>
        <v/>
      </c>
      <c r="Z14" s="0" t="str">
        <f aca="false">IF(Staff!$A14="","",Staff!$AP14)</f>
        <v/>
      </c>
      <c r="AA14" s="0" t="str">
        <f aca="false">IF(Staff!$A14="","",Staff!$AT14)</f>
        <v/>
      </c>
      <c r="AB14" s="0" t="str">
        <f aca="false">IF(Staff!$A14="","",Staff!$AU14)</f>
        <v/>
      </c>
      <c r="AC14" s="0" t="str">
        <f aca="false">IF(Staff!$A14="","",Staff!$AV14)</f>
        <v/>
      </c>
      <c r="AD14" s="0" t="str">
        <f aca="false">IF(Staff!$A14="","",Staff!$AW14)</f>
        <v/>
      </c>
    </row>
    <row r="15" customFormat="false" ht="15" hidden="false" customHeight="false" outlineLevel="0" collapsed="false">
      <c r="A15" s="16" t="str">
        <f aca="false">IF(Staff!$A15="","",Staff!$A15)</f>
        <v/>
      </c>
      <c r="B15" s="16" t="str">
        <f aca="false">IF(Staff!$A15="","",Staff!$B15)</f>
        <v/>
      </c>
      <c r="C15" s="16" t="str">
        <f aca="false">IF(Staff!$A15="","",Staff!$C15)</f>
        <v/>
      </c>
      <c r="D15" s="14" t="str">
        <f aca="false">IF(Staff!$A15="","",Staff!$AL15)</f>
        <v/>
      </c>
      <c r="E15" s="16" t="str">
        <f aca="false">IF(Staff!$A15="","",Staff!$O15)</f>
        <v/>
      </c>
      <c r="F15" s="16" t="str">
        <f aca="false">IF(E15="","",E15*HoursPerDay)</f>
        <v/>
      </c>
      <c r="G15" s="16" t="str">
        <f aca="false">IF(Staff!$A15="","",Staff!$AE15)</f>
        <v/>
      </c>
      <c r="H15" s="28" t="str">
        <f aca="false">IF($A15="","",I15&amp;J15&amp;K15&amp;L15&amp;M15&amp;N15&amp;O15&amp;P15&amp;Q15&amp;R15&amp;S15&amp;T15&amp;U15&amp;V15&amp;W15)</f>
        <v/>
      </c>
      <c r="I15" s="0" t="str">
        <f aca="false">IF(OR($A15="",$D15=""),"",IF(AND(EDATE($D15,Milestones!$AA$20)&lt;=AsOfDate,EDATE($D15,Milestones!$AA$20)&gt;=SchemeStart,IF($X15=0,$AD15,IF(AND($Z15&lt;&gt;"",EDATE($D15,Milestones!$AA$20)&gt;=$Z15),$AC15,IF(AND($Y15&lt;&gt;"",EDATE($D15,Milestones!$AA$20)&gt;=$Y15),$AB15,$AA15)))=Milestones!$AB$20),UPPER(TEXT(EDATE($D15,Milestones!$AA$20),"dd mmm yy"))&amp;" "&amp;Milestones!$AB$20&amp;" "&amp;IF(AND(Milestones!$AB$20="FT",Milestones!$AA$20=FT_Y5,EDATE($D15,Milestones!$AA$20)&lt;PolicyEff),1,Milestones!$AC$20)&amp;";  ","")&amp;IF(AND(EDATE($D15,Milestones!$AA$21)&lt;=AsOfDate,EDATE($D15,Milestones!$AA$21)&gt;=SchemeStart,IF($X15=0,$AD15,IF(AND($Z15&lt;&gt;"",EDATE($D15,Milestones!$AA$21)&gt;=$Z15),$AC15,IF(AND($Y15&lt;&gt;"",EDATE($D15,Milestones!$AA$21)&gt;=$Y15),$AB15,$AA15)))=Milestones!$AB$21),UPPER(TEXT(EDATE($D15,Milestones!$AA$21),"dd mmm yy"))&amp;" "&amp;Milestones!$AB$21&amp;" "&amp;IF(AND(Milestones!$AB$21="FT",Milestones!$AA$21=FT_Y5,EDATE($D15,Milestones!$AA$21)&lt;PolicyEff),1,Milestones!$AC$21)&amp;";  ","")&amp;IF(AND(EDATE($D15,Milestones!$AA$22)&lt;=AsOfDate,EDATE($D15,Milestones!$AA$22)&gt;=SchemeStart,IF($X15=0,$AD15,IF(AND($Z15&lt;&gt;"",EDATE($D15,Milestones!$AA$22)&gt;=$Z15),$AC15,IF(AND($Y15&lt;&gt;"",EDATE($D15,Milestones!$AA$22)&gt;=$Y15),$AB15,$AA15)))=Milestones!$AB$22),UPPER(TEXT(EDATE($D15,Milestones!$AA$22),"dd mmm yy"))&amp;" "&amp;Milestones!$AB$22&amp;" "&amp;IF(AND(Milestones!$AB$22="FT",Milestones!$AA$22=FT_Y5,EDATE($D15,Milestones!$AA$22)&lt;PolicyEff),1,Milestones!$AC$22)&amp;";  ","")&amp;IF(AND(EDATE($D15,Milestones!$AA$23)&lt;=AsOfDate,EDATE($D15,Milestones!$AA$23)&gt;=SchemeStart,IF($X15=0,$AD15,IF(AND($Z15&lt;&gt;"",EDATE($D15,Milestones!$AA$23)&gt;=$Z15),$AC15,IF(AND($Y15&lt;&gt;"",EDATE($D15,Milestones!$AA$23)&gt;=$Y15),$AB15,$AA15)))=Milestones!$AB$23),UPPER(TEXT(EDATE($D15,Milestones!$AA$23),"dd mmm yy"))&amp;" "&amp;Milestones!$AB$23&amp;" "&amp;IF(AND(Milestones!$AB$23="FT",Milestones!$AA$23=FT_Y5,EDATE($D15,Milestones!$AA$23)&lt;PolicyEff),1,Milestones!$AC$23)&amp;";  ","")&amp;IF(AND(EDATE($D15,Milestones!$AA$24)&lt;=AsOfDate,EDATE($D15,Milestones!$AA$24)&gt;=SchemeStart,IF($X15=0,$AD15,IF(AND($Z15&lt;&gt;"",EDATE($D15,Milestones!$AA$24)&gt;=$Z15),$AC15,IF(AND($Y15&lt;&gt;"",EDATE($D15,Milestones!$AA$24)&gt;=$Y15),$AB15,$AA15)))=Milestones!$AB$24),UPPER(TEXT(EDATE($D15,Milestones!$AA$24),"dd mmm yy"))&amp;" "&amp;Milestones!$AB$24&amp;" "&amp;IF(AND(Milestones!$AB$24="FT",Milestones!$AA$24=FT_Y5,EDATE($D15,Milestones!$AA$24)&lt;PolicyEff),1,Milestones!$AC$24)&amp;";  ","")&amp;IF(AND(EDATE($D15,Milestones!$AA$25)&lt;=AsOfDate,EDATE($D15,Milestones!$AA$25)&gt;=SchemeStart,IF($X15=0,$AD15,IF(AND($Z15&lt;&gt;"",EDATE($D15,Milestones!$AA$25)&gt;=$Z15),$AC15,IF(AND($Y15&lt;&gt;"",EDATE($D15,Milestones!$AA$25)&gt;=$Y15),$AB15,$AA15)))=Milestones!$AB$25),UPPER(TEXT(EDATE($D15,Milestones!$AA$25),"dd mmm yy"))&amp;" "&amp;Milestones!$AB$25&amp;" "&amp;IF(AND(Milestones!$AB$25="FT",Milestones!$AA$25=FT_Y5,EDATE($D15,Milestones!$AA$25)&lt;PolicyEff),1,Milestones!$AC$25)&amp;";  ","")&amp;IF(AND(EDATE($D15,Milestones!$AA$26)&lt;=AsOfDate,EDATE($D15,Milestones!$AA$26)&gt;=SchemeStart,IF($X15=0,$AD15,IF(AND($Z15&lt;&gt;"",EDATE($D15,Milestones!$AA$26)&gt;=$Z15),$AC15,IF(AND($Y15&lt;&gt;"",EDATE($D15,Milestones!$AA$26)&gt;=$Y15),$AB15,$AA15)))=Milestones!$AB$26),UPPER(TEXT(EDATE($D15,Milestones!$AA$26),"dd mmm yy"))&amp;" "&amp;Milestones!$AB$26&amp;" "&amp;IF(AND(Milestones!$AB$26="FT",Milestones!$AA$26=FT_Y5,EDATE($D15,Milestones!$AA$26)&lt;PolicyEff),1,Milestones!$AC$26)&amp;";  ","")&amp;IF(AND(EDATE($D15,Milestones!$AA$27)&lt;=AsOfDate,EDATE($D15,Milestones!$AA$27)&gt;=SchemeStart,IF($X15=0,$AD15,IF(AND($Z15&lt;&gt;"",EDATE($D15,Milestones!$AA$27)&gt;=$Z15),$AC15,IF(AND($Y15&lt;&gt;"",EDATE($D15,Milestones!$AA$27)&gt;=$Y15),$AB15,$AA15)))=Milestones!$AB$27),UPPER(TEXT(EDATE($D15,Milestones!$AA$27),"dd mmm yy"))&amp;" "&amp;Milestones!$AB$27&amp;" "&amp;IF(AND(Milestones!$AB$27="FT",Milestones!$AA$27=FT_Y5,EDATE($D15,Milestones!$AA$27)&lt;PolicyEff),1,Milestones!$AC$27)&amp;";  ","")&amp;IF(AND(EDATE($D15,Milestones!$AA$28)&lt;=AsOfDate,EDATE($D15,Milestones!$AA$28)&gt;=SchemeStart,IF($X15=0,$AD15,IF(AND($Z15&lt;&gt;"",EDATE($D15,Milestones!$AA$28)&gt;=$Z15),$AC15,IF(AND($Y15&lt;&gt;"",EDATE($D15,Milestones!$AA$28)&gt;=$Y15),$AB15,$AA15)))=Milestones!$AB$28),UPPER(TEXT(EDATE($D15,Milestones!$AA$28),"dd mmm yy"))&amp;" "&amp;Milestones!$AB$28&amp;" "&amp;IF(AND(Milestones!$AB$28="FT",Milestones!$AA$28=FT_Y5,EDATE($D15,Milestones!$AA$28)&lt;PolicyEff),1,Milestones!$AC$28)&amp;";  ","")&amp;IF(AND(EDATE($D15,Milestones!$AA$29)&lt;=AsOfDate,EDATE($D15,Milestones!$AA$29)&gt;=SchemeStart,IF($X15=0,$AD15,IF(AND($Z15&lt;&gt;"",EDATE($D15,Milestones!$AA$29)&gt;=$Z15),$AC15,IF(AND($Y15&lt;&gt;"",EDATE($D15,Milestones!$AA$29)&gt;=$Y15),$AB15,$AA15)))=Milestones!$AB$29),UPPER(TEXT(EDATE($D15,Milestones!$AA$29),"dd mmm yy"))&amp;" "&amp;Milestones!$AB$29&amp;" "&amp;IF(AND(Milestones!$AB$29="FT",Milestones!$AA$29=FT_Y5,EDATE($D15,Milestones!$AA$29)&lt;PolicyEff),1,Milestones!$AC$29)&amp;";  ","")&amp;IF(AND(EDATE($D15,Milestones!$AA$30)&lt;=AsOfDate,EDATE($D15,Milestones!$AA$30)&gt;=SchemeStart,IF($X15=0,$AD15,IF(AND($Z15&lt;&gt;"",EDATE($D15,Milestones!$AA$30)&gt;=$Z15),$AC15,IF(AND($Y15&lt;&gt;"",EDATE($D15,Milestones!$AA$30)&gt;=$Y15),$AB15,$AA15)))=Milestones!$AB$30),UPPER(TEXT(EDATE($D15,Milestones!$AA$30),"dd mmm yy"))&amp;" "&amp;Milestones!$AB$30&amp;" "&amp;IF(AND(Milestones!$AB$30="FT",Milestones!$AA$30=FT_Y5,EDATE($D15,Milestones!$AA$30)&lt;PolicyEff),1,Milestones!$AC$30)&amp;";  ","")&amp;IF(AND(EDATE($D15,Milestones!$AA$31)&lt;=AsOfDate,EDATE($D15,Milestones!$AA$31)&gt;=SchemeStart,IF($X15=0,$AD15,IF(AND($Z15&lt;&gt;"",EDATE($D15,Milestones!$AA$31)&gt;=$Z15),$AC15,IF(AND($Y15&lt;&gt;"",EDATE($D15,Milestones!$AA$31)&gt;=$Y15),$AB15,$AA15)))=Milestones!$AB$31),UPPER(TEXT(EDATE($D15,Milestones!$AA$31),"dd mmm yy"))&amp;" "&amp;Milestones!$AB$31&amp;" "&amp;IF(AND(Milestones!$AB$31="FT",Milestones!$AA$31=FT_Y5,EDATE($D15,Milestones!$AA$31)&lt;PolicyEff),1,Milestones!$AC$31)&amp;";  ",""))</f>
        <v/>
      </c>
      <c r="J15" s="0" t="str">
        <f aca="false">IF(OR($A15="",$D15=""),"",IF(AND(EDATE($D15,Milestones!$AA$32)&lt;=AsOfDate,EDATE($D15,Milestones!$AA$32)&gt;=SchemeStart,IF($X15=0,$AD15,IF(AND($Z15&lt;&gt;"",EDATE($D15,Milestones!$AA$32)&gt;=$Z15),$AC15,IF(AND($Y15&lt;&gt;"",EDATE($D15,Milestones!$AA$32)&gt;=$Y15),$AB15,$AA15)))=Milestones!$AB$32),UPPER(TEXT(EDATE($D15,Milestones!$AA$32),"dd mmm yy"))&amp;" "&amp;Milestones!$AB$32&amp;" "&amp;IF(AND(Milestones!$AB$32="FT",Milestones!$AA$32=FT_Y5,EDATE($D15,Milestones!$AA$32)&lt;PolicyEff),1,Milestones!$AC$32)&amp;";  ","")&amp;IF(AND(EDATE($D15,Milestones!$AA$33)&lt;=AsOfDate,EDATE($D15,Milestones!$AA$33)&gt;=SchemeStart,IF($X15=0,$AD15,IF(AND($Z15&lt;&gt;"",EDATE($D15,Milestones!$AA$33)&gt;=$Z15),$AC15,IF(AND($Y15&lt;&gt;"",EDATE($D15,Milestones!$AA$33)&gt;=$Y15),$AB15,$AA15)))=Milestones!$AB$33),UPPER(TEXT(EDATE($D15,Milestones!$AA$33),"dd mmm yy"))&amp;" "&amp;Milestones!$AB$33&amp;" "&amp;IF(AND(Milestones!$AB$33="FT",Milestones!$AA$33=FT_Y5,EDATE($D15,Milestones!$AA$33)&lt;PolicyEff),1,Milestones!$AC$33)&amp;";  ","")&amp;IF(AND(EDATE($D15,Milestones!$AA$34)&lt;=AsOfDate,EDATE($D15,Milestones!$AA$34)&gt;=SchemeStart,IF($X15=0,$AD15,IF(AND($Z15&lt;&gt;"",EDATE($D15,Milestones!$AA$34)&gt;=$Z15),$AC15,IF(AND($Y15&lt;&gt;"",EDATE($D15,Milestones!$AA$34)&gt;=$Y15),$AB15,$AA15)))=Milestones!$AB$34),UPPER(TEXT(EDATE($D15,Milestones!$AA$34),"dd mmm yy"))&amp;" "&amp;Milestones!$AB$34&amp;" "&amp;IF(AND(Milestones!$AB$34="FT",Milestones!$AA$34=FT_Y5,EDATE($D15,Milestones!$AA$34)&lt;PolicyEff),1,Milestones!$AC$34)&amp;";  ","")&amp;IF(AND(EDATE($D15,Milestones!$AA$35)&lt;=AsOfDate,EDATE($D15,Milestones!$AA$35)&gt;=SchemeStart,IF($X15=0,$AD15,IF(AND($Z15&lt;&gt;"",EDATE($D15,Milestones!$AA$35)&gt;=$Z15),$AC15,IF(AND($Y15&lt;&gt;"",EDATE($D15,Milestones!$AA$35)&gt;=$Y15),$AB15,$AA15)))=Milestones!$AB$35),UPPER(TEXT(EDATE($D15,Milestones!$AA$35),"dd mmm yy"))&amp;" "&amp;Milestones!$AB$35&amp;" "&amp;IF(AND(Milestones!$AB$35="FT",Milestones!$AA$35=FT_Y5,EDATE($D15,Milestones!$AA$35)&lt;PolicyEff),1,Milestones!$AC$35)&amp;";  ","")&amp;IF(AND(EDATE($D15,Milestones!$AA$36)&lt;=AsOfDate,EDATE($D15,Milestones!$AA$36)&gt;=SchemeStart,IF($X15=0,$AD15,IF(AND($Z15&lt;&gt;"",EDATE($D15,Milestones!$AA$36)&gt;=$Z15),$AC15,IF(AND($Y15&lt;&gt;"",EDATE($D15,Milestones!$AA$36)&gt;=$Y15),$AB15,$AA15)))=Milestones!$AB$36),UPPER(TEXT(EDATE($D15,Milestones!$AA$36),"dd mmm yy"))&amp;" "&amp;Milestones!$AB$36&amp;" "&amp;IF(AND(Milestones!$AB$36="FT",Milestones!$AA$36=FT_Y5,EDATE($D15,Milestones!$AA$36)&lt;PolicyEff),1,Milestones!$AC$36)&amp;";  ","")&amp;IF(AND(EDATE($D15,Milestones!$AA$37)&lt;=AsOfDate,EDATE($D15,Milestones!$AA$37)&gt;=SchemeStart,IF($X15=0,$AD15,IF(AND($Z15&lt;&gt;"",EDATE($D15,Milestones!$AA$37)&gt;=$Z15),$AC15,IF(AND($Y15&lt;&gt;"",EDATE($D15,Milestones!$AA$37)&gt;=$Y15),$AB15,$AA15)))=Milestones!$AB$37),UPPER(TEXT(EDATE($D15,Milestones!$AA$37),"dd mmm yy"))&amp;" "&amp;Milestones!$AB$37&amp;" "&amp;IF(AND(Milestones!$AB$37="FT",Milestones!$AA$37=FT_Y5,EDATE($D15,Milestones!$AA$37)&lt;PolicyEff),1,Milestones!$AC$37)&amp;";  ","")&amp;IF(AND(EDATE($D15,Milestones!$AA$38)&lt;=AsOfDate,EDATE($D15,Milestones!$AA$38)&gt;=SchemeStart,IF($X15=0,$AD15,IF(AND($Z15&lt;&gt;"",EDATE($D15,Milestones!$AA$38)&gt;=$Z15),$AC15,IF(AND($Y15&lt;&gt;"",EDATE($D15,Milestones!$AA$38)&gt;=$Y15),$AB15,$AA15)))=Milestones!$AB$38),UPPER(TEXT(EDATE($D15,Milestones!$AA$38),"dd mmm yy"))&amp;" "&amp;Milestones!$AB$38&amp;" "&amp;IF(AND(Milestones!$AB$38="FT",Milestones!$AA$38=FT_Y5,EDATE($D15,Milestones!$AA$38)&lt;PolicyEff),1,Milestones!$AC$38)&amp;";  ","")&amp;IF(AND(EDATE($D15,Milestones!$AA$39)&lt;=AsOfDate,EDATE($D15,Milestones!$AA$39)&gt;=SchemeStart,IF($X15=0,$AD15,IF(AND($Z15&lt;&gt;"",EDATE($D15,Milestones!$AA$39)&gt;=$Z15),$AC15,IF(AND($Y15&lt;&gt;"",EDATE($D15,Milestones!$AA$39)&gt;=$Y15),$AB15,$AA15)))=Milestones!$AB$39),UPPER(TEXT(EDATE($D15,Milestones!$AA$39),"dd mmm yy"))&amp;" "&amp;Milestones!$AB$39&amp;" "&amp;IF(AND(Milestones!$AB$39="FT",Milestones!$AA$39=FT_Y5,EDATE($D15,Milestones!$AA$39)&lt;PolicyEff),1,Milestones!$AC$39)&amp;";  ","")&amp;IF(AND(EDATE($D15,Milestones!$AA$40)&lt;=AsOfDate,EDATE($D15,Milestones!$AA$40)&gt;=SchemeStart,IF($X15=0,$AD15,IF(AND($Z15&lt;&gt;"",EDATE($D15,Milestones!$AA$40)&gt;=$Z15),$AC15,IF(AND($Y15&lt;&gt;"",EDATE($D15,Milestones!$AA$40)&gt;=$Y15),$AB15,$AA15)))=Milestones!$AB$40),UPPER(TEXT(EDATE($D15,Milestones!$AA$40),"dd mmm yy"))&amp;" "&amp;Milestones!$AB$40&amp;" "&amp;IF(AND(Milestones!$AB$40="FT",Milestones!$AA$40=FT_Y5,EDATE($D15,Milestones!$AA$40)&lt;PolicyEff),1,Milestones!$AC$40)&amp;";  ","")&amp;IF(AND(EDATE($D15,Milestones!$AA$41)&lt;=AsOfDate,EDATE($D15,Milestones!$AA$41)&gt;=SchemeStart,IF($X15=0,$AD15,IF(AND($Z15&lt;&gt;"",EDATE($D15,Milestones!$AA$41)&gt;=$Z15),$AC15,IF(AND($Y15&lt;&gt;"",EDATE($D15,Milestones!$AA$41)&gt;=$Y15),$AB15,$AA15)))=Milestones!$AB$41),UPPER(TEXT(EDATE($D15,Milestones!$AA$41),"dd mmm yy"))&amp;" "&amp;Milestones!$AB$41&amp;" "&amp;IF(AND(Milestones!$AB$41="FT",Milestones!$AA$41=FT_Y5,EDATE($D15,Milestones!$AA$41)&lt;PolicyEff),1,Milestones!$AC$41)&amp;";  ","")&amp;IF(AND(EDATE($D15,Milestones!$AA$42)&lt;=AsOfDate,EDATE($D15,Milestones!$AA$42)&gt;=SchemeStart,IF($X15=0,$AD15,IF(AND($Z15&lt;&gt;"",EDATE($D15,Milestones!$AA$42)&gt;=$Z15),$AC15,IF(AND($Y15&lt;&gt;"",EDATE($D15,Milestones!$AA$42)&gt;=$Y15),$AB15,$AA15)))=Milestones!$AB$42),UPPER(TEXT(EDATE($D15,Milestones!$AA$42),"dd mmm yy"))&amp;" "&amp;Milestones!$AB$42&amp;" "&amp;IF(AND(Milestones!$AB$42="FT",Milestones!$AA$42=FT_Y5,EDATE($D15,Milestones!$AA$42)&lt;PolicyEff),1,Milestones!$AC$42)&amp;";  ","")&amp;IF(AND(EDATE($D15,Milestones!$AA$43)&lt;=AsOfDate,EDATE($D15,Milestones!$AA$43)&gt;=SchemeStart,IF($X15=0,$AD15,IF(AND($Z15&lt;&gt;"",EDATE($D15,Milestones!$AA$43)&gt;=$Z15),$AC15,IF(AND($Y15&lt;&gt;"",EDATE($D15,Milestones!$AA$43)&gt;=$Y15),$AB15,$AA15)))=Milestones!$AB$43),UPPER(TEXT(EDATE($D15,Milestones!$AA$43),"dd mmm yy"))&amp;" "&amp;Milestones!$AB$43&amp;" "&amp;IF(AND(Milestones!$AB$43="FT",Milestones!$AA$43=FT_Y5,EDATE($D15,Milestones!$AA$43)&lt;PolicyEff),1,Milestones!$AC$43)&amp;";  ",""))</f>
        <v/>
      </c>
      <c r="K15" s="0" t="str">
        <f aca="false">IF(OR($A15="",$D15=""),"",IF(AND(EDATE($D15,Milestones!$AA$44)&lt;=AsOfDate,EDATE($D15,Milestones!$AA$44)&gt;=SchemeStart,IF($X15=0,$AD15,IF(AND($Z15&lt;&gt;"",EDATE($D15,Milestones!$AA$44)&gt;=$Z15),$AC15,IF(AND($Y15&lt;&gt;"",EDATE($D15,Milestones!$AA$44)&gt;=$Y15),$AB15,$AA15)))=Milestones!$AB$44),UPPER(TEXT(EDATE($D15,Milestones!$AA$44),"dd mmm yy"))&amp;" "&amp;Milestones!$AB$44&amp;" "&amp;IF(AND(Milestones!$AB$44="FT",Milestones!$AA$44=FT_Y5,EDATE($D15,Milestones!$AA$44)&lt;PolicyEff),1,Milestones!$AC$44)&amp;";  ","")&amp;IF(AND(EDATE($D15,Milestones!$AA$45)&lt;=AsOfDate,EDATE($D15,Milestones!$AA$45)&gt;=SchemeStart,IF($X15=0,$AD15,IF(AND($Z15&lt;&gt;"",EDATE($D15,Milestones!$AA$45)&gt;=$Z15),$AC15,IF(AND($Y15&lt;&gt;"",EDATE($D15,Milestones!$AA$45)&gt;=$Y15),$AB15,$AA15)))=Milestones!$AB$45),UPPER(TEXT(EDATE($D15,Milestones!$AA$45),"dd mmm yy"))&amp;" "&amp;Milestones!$AB$45&amp;" "&amp;IF(AND(Milestones!$AB$45="FT",Milestones!$AA$45=FT_Y5,EDATE($D15,Milestones!$AA$45)&lt;PolicyEff),1,Milestones!$AC$45)&amp;";  ","")&amp;IF(AND(EDATE($D15,Milestones!$AA$46)&lt;=AsOfDate,EDATE($D15,Milestones!$AA$46)&gt;=SchemeStart,IF($X15=0,$AD15,IF(AND($Z15&lt;&gt;"",EDATE($D15,Milestones!$AA$46)&gt;=$Z15),$AC15,IF(AND($Y15&lt;&gt;"",EDATE($D15,Milestones!$AA$46)&gt;=$Y15),$AB15,$AA15)))=Milestones!$AB$46),UPPER(TEXT(EDATE($D15,Milestones!$AA$46),"dd mmm yy"))&amp;" "&amp;Milestones!$AB$46&amp;" "&amp;IF(AND(Milestones!$AB$46="FT",Milestones!$AA$46=FT_Y5,EDATE($D15,Milestones!$AA$46)&lt;PolicyEff),1,Milestones!$AC$46)&amp;";  ","")&amp;IF(AND(EDATE($D15,Milestones!$AA$47)&lt;=AsOfDate,EDATE($D15,Milestones!$AA$47)&gt;=SchemeStart,IF($X15=0,$AD15,IF(AND($Z15&lt;&gt;"",EDATE($D15,Milestones!$AA$47)&gt;=$Z15),$AC15,IF(AND($Y15&lt;&gt;"",EDATE($D15,Milestones!$AA$47)&gt;=$Y15),$AB15,$AA15)))=Milestones!$AB$47),UPPER(TEXT(EDATE($D15,Milestones!$AA$47),"dd mmm yy"))&amp;" "&amp;Milestones!$AB$47&amp;" "&amp;IF(AND(Milestones!$AB$47="FT",Milestones!$AA$47=FT_Y5,EDATE($D15,Milestones!$AA$47)&lt;PolicyEff),1,Milestones!$AC$47)&amp;";  ","")&amp;IF(AND(EDATE($D15,Milestones!$AA$48)&lt;=AsOfDate,EDATE($D15,Milestones!$AA$48)&gt;=SchemeStart,IF($X15=0,$AD15,IF(AND($Z15&lt;&gt;"",EDATE($D15,Milestones!$AA$48)&gt;=$Z15),$AC15,IF(AND($Y15&lt;&gt;"",EDATE($D15,Milestones!$AA$48)&gt;=$Y15),$AB15,$AA15)))=Milestones!$AB$48),UPPER(TEXT(EDATE($D15,Milestones!$AA$48),"dd mmm yy"))&amp;" "&amp;Milestones!$AB$48&amp;" "&amp;IF(AND(Milestones!$AB$48="FT",Milestones!$AA$48=FT_Y5,EDATE($D15,Milestones!$AA$48)&lt;PolicyEff),1,Milestones!$AC$48)&amp;";  ","")&amp;IF(AND(EDATE($D15,Milestones!$AA$49)&lt;=AsOfDate,EDATE($D15,Milestones!$AA$49)&gt;=SchemeStart,IF($X15=0,$AD15,IF(AND($Z15&lt;&gt;"",EDATE($D15,Milestones!$AA$49)&gt;=$Z15),$AC15,IF(AND($Y15&lt;&gt;"",EDATE($D15,Milestones!$AA$49)&gt;=$Y15),$AB15,$AA15)))=Milestones!$AB$49),UPPER(TEXT(EDATE($D15,Milestones!$AA$49),"dd mmm yy"))&amp;" "&amp;Milestones!$AB$49&amp;" "&amp;IF(AND(Milestones!$AB$49="FT",Milestones!$AA$49=FT_Y5,EDATE($D15,Milestones!$AA$49)&lt;PolicyEff),1,Milestones!$AC$49)&amp;";  ","")&amp;IF(AND(EDATE($D15,Milestones!$AA$50)&lt;=AsOfDate,EDATE($D15,Milestones!$AA$50)&gt;=SchemeStart,IF($X15=0,$AD15,IF(AND($Z15&lt;&gt;"",EDATE($D15,Milestones!$AA$50)&gt;=$Z15),$AC15,IF(AND($Y15&lt;&gt;"",EDATE($D15,Milestones!$AA$50)&gt;=$Y15),$AB15,$AA15)))=Milestones!$AB$50),UPPER(TEXT(EDATE($D15,Milestones!$AA$50),"dd mmm yy"))&amp;" "&amp;Milestones!$AB$50&amp;" "&amp;IF(AND(Milestones!$AB$50="FT",Milestones!$AA$50=FT_Y5,EDATE($D15,Milestones!$AA$50)&lt;PolicyEff),1,Milestones!$AC$50)&amp;";  ","")&amp;IF(AND(EDATE($D15,Milestones!$AA$51)&lt;=AsOfDate,EDATE($D15,Milestones!$AA$51)&gt;=SchemeStart,IF($X15=0,$AD15,IF(AND($Z15&lt;&gt;"",EDATE($D15,Milestones!$AA$51)&gt;=$Z15),$AC15,IF(AND($Y15&lt;&gt;"",EDATE($D15,Milestones!$AA$51)&gt;=$Y15),$AB15,$AA15)))=Milestones!$AB$51),UPPER(TEXT(EDATE($D15,Milestones!$AA$51),"dd mmm yy"))&amp;" "&amp;Milestones!$AB$51&amp;" "&amp;IF(AND(Milestones!$AB$51="FT",Milestones!$AA$51=FT_Y5,EDATE($D15,Milestones!$AA$51)&lt;PolicyEff),1,Milestones!$AC$51)&amp;";  ","")&amp;IF(AND(EDATE($D15,Milestones!$AA$52)&lt;=AsOfDate,EDATE($D15,Milestones!$AA$52)&gt;=SchemeStart,IF($X15=0,$AD15,IF(AND($Z15&lt;&gt;"",EDATE($D15,Milestones!$AA$52)&gt;=$Z15),$AC15,IF(AND($Y15&lt;&gt;"",EDATE($D15,Milestones!$AA$52)&gt;=$Y15),$AB15,$AA15)))=Milestones!$AB$52),UPPER(TEXT(EDATE($D15,Milestones!$AA$52),"dd mmm yy"))&amp;" "&amp;Milestones!$AB$52&amp;" "&amp;IF(AND(Milestones!$AB$52="FT",Milestones!$AA$52=FT_Y5,EDATE($D15,Milestones!$AA$52)&lt;PolicyEff),1,Milestones!$AC$52)&amp;";  ","")&amp;IF(AND(EDATE($D15,Milestones!$AA$53)&lt;=AsOfDate,EDATE($D15,Milestones!$AA$53)&gt;=SchemeStart,IF($X15=0,$AD15,IF(AND($Z15&lt;&gt;"",EDATE($D15,Milestones!$AA$53)&gt;=$Z15),$AC15,IF(AND($Y15&lt;&gt;"",EDATE($D15,Milestones!$AA$53)&gt;=$Y15),$AB15,$AA15)))=Milestones!$AB$53),UPPER(TEXT(EDATE($D15,Milestones!$AA$53),"dd mmm yy"))&amp;" "&amp;Milestones!$AB$53&amp;" "&amp;IF(AND(Milestones!$AB$53="FT",Milestones!$AA$53=FT_Y5,EDATE($D15,Milestones!$AA$53)&lt;PolicyEff),1,Milestones!$AC$53)&amp;";  ","")&amp;IF(AND(EDATE($D15,Milestones!$AA$54)&lt;=AsOfDate,EDATE($D15,Milestones!$AA$54)&gt;=SchemeStart,IF($X15=0,$AD15,IF(AND($Z15&lt;&gt;"",EDATE($D15,Milestones!$AA$54)&gt;=$Z15),$AC15,IF(AND($Y15&lt;&gt;"",EDATE($D15,Milestones!$AA$54)&gt;=$Y15),$AB15,$AA15)))=Milestones!$AB$54),UPPER(TEXT(EDATE($D15,Milestones!$AA$54),"dd mmm yy"))&amp;" "&amp;Milestones!$AB$54&amp;" "&amp;IF(AND(Milestones!$AB$54="FT",Milestones!$AA$54=FT_Y5,EDATE($D15,Milestones!$AA$54)&lt;PolicyEff),1,Milestones!$AC$54)&amp;";  ","")&amp;IF(AND(EDATE($D15,Milestones!$AA$55)&lt;=AsOfDate,EDATE($D15,Milestones!$AA$55)&gt;=SchemeStart,IF($X15=0,$AD15,IF(AND($Z15&lt;&gt;"",EDATE($D15,Milestones!$AA$55)&gt;=$Z15),$AC15,IF(AND($Y15&lt;&gt;"",EDATE($D15,Milestones!$AA$55)&gt;=$Y15),$AB15,$AA15)))=Milestones!$AB$55),UPPER(TEXT(EDATE($D15,Milestones!$AA$55),"dd mmm yy"))&amp;" "&amp;Milestones!$AB$55&amp;" "&amp;IF(AND(Milestones!$AB$55="FT",Milestones!$AA$55=FT_Y5,EDATE($D15,Milestones!$AA$55)&lt;PolicyEff),1,Milestones!$AC$55)&amp;";  ",""))</f>
        <v/>
      </c>
      <c r="L15" s="0" t="str">
        <f aca="false">IF(OR($A15="",$D15=""),"",IF(AND(EDATE($D15,Milestones!$AA$56)&lt;=AsOfDate,EDATE($D15,Milestones!$AA$56)&gt;=SchemeStart,IF($X15=0,$AD15,IF(AND($Z15&lt;&gt;"",EDATE($D15,Milestones!$AA$56)&gt;=$Z15),$AC15,IF(AND($Y15&lt;&gt;"",EDATE($D15,Milestones!$AA$56)&gt;=$Y15),$AB15,$AA15)))=Milestones!$AB$56),UPPER(TEXT(EDATE($D15,Milestones!$AA$56),"dd mmm yy"))&amp;" "&amp;Milestones!$AB$56&amp;" "&amp;IF(AND(Milestones!$AB$56="FT",Milestones!$AA$56=FT_Y5,EDATE($D15,Milestones!$AA$56)&lt;PolicyEff),1,Milestones!$AC$56)&amp;";  ","")&amp;IF(AND(EDATE($D15,Milestones!$AA$57)&lt;=AsOfDate,EDATE($D15,Milestones!$AA$57)&gt;=SchemeStart,IF($X15=0,$AD15,IF(AND($Z15&lt;&gt;"",EDATE($D15,Milestones!$AA$57)&gt;=$Z15),$AC15,IF(AND($Y15&lt;&gt;"",EDATE($D15,Milestones!$AA$57)&gt;=$Y15),$AB15,$AA15)))=Milestones!$AB$57),UPPER(TEXT(EDATE($D15,Milestones!$AA$57),"dd mmm yy"))&amp;" "&amp;Milestones!$AB$57&amp;" "&amp;IF(AND(Milestones!$AB$57="FT",Milestones!$AA$57=FT_Y5,EDATE($D15,Milestones!$AA$57)&lt;PolicyEff),1,Milestones!$AC$57)&amp;";  ","")&amp;IF(AND(EDATE($D15,Milestones!$AA$58)&lt;=AsOfDate,EDATE($D15,Milestones!$AA$58)&gt;=SchemeStart,IF($X15=0,$AD15,IF(AND($Z15&lt;&gt;"",EDATE($D15,Milestones!$AA$58)&gt;=$Z15),$AC15,IF(AND($Y15&lt;&gt;"",EDATE($D15,Milestones!$AA$58)&gt;=$Y15),$AB15,$AA15)))=Milestones!$AB$58),UPPER(TEXT(EDATE($D15,Milestones!$AA$58),"dd mmm yy"))&amp;" "&amp;Milestones!$AB$58&amp;" "&amp;IF(AND(Milestones!$AB$58="FT",Milestones!$AA$58=FT_Y5,EDATE($D15,Milestones!$AA$58)&lt;PolicyEff),1,Milestones!$AC$58)&amp;";  ","")&amp;IF(AND(EDATE($D15,Milestones!$AA$59)&lt;=AsOfDate,EDATE($D15,Milestones!$AA$59)&gt;=SchemeStart,IF($X15=0,$AD15,IF(AND($Z15&lt;&gt;"",EDATE($D15,Milestones!$AA$59)&gt;=$Z15),$AC15,IF(AND($Y15&lt;&gt;"",EDATE($D15,Milestones!$AA$59)&gt;=$Y15),$AB15,$AA15)))=Milestones!$AB$59),UPPER(TEXT(EDATE($D15,Milestones!$AA$59),"dd mmm yy"))&amp;" "&amp;Milestones!$AB$59&amp;" "&amp;IF(AND(Milestones!$AB$59="FT",Milestones!$AA$59=FT_Y5,EDATE($D15,Milestones!$AA$59)&lt;PolicyEff),1,Milestones!$AC$59)&amp;";  ","")&amp;IF(AND(EDATE($D15,Milestones!$AA$60)&lt;=AsOfDate,EDATE($D15,Milestones!$AA$60)&gt;=SchemeStart,IF($X15=0,$AD15,IF(AND($Z15&lt;&gt;"",EDATE($D15,Milestones!$AA$60)&gt;=$Z15),$AC15,IF(AND($Y15&lt;&gt;"",EDATE($D15,Milestones!$AA$60)&gt;=$Y15),$AB15,$AA15)))=Milestones!$AB$60),UPPER(TEXT(EDATE($D15,Milestones!$AA$60),"dd mmm yy"))&amp;" "&amp;Milestones!$AB$60&amp;" "&amp;IF(AND(Milestones!$AB$60="FT",Milestones!$AA$60=FT_Y5,EDATE($D15,Milestones!$AA$60)&lt;PolicyEff),1,Milestones!$AC$60)&amp;";  ","")&amp;IF(AND(EDATE($D15,Milestones!$AA$61)&lt;=AsOfDate,EDATE($D15,Milestones!$AA$61)&gt;=SchemeStart,IF($X15=0,$AD15,IF(AND($Z15&lt;&gt;"",EDATE($D15,Milestones!$AA$61)&gt;=$Z15),$AC15,IF(AND($Y15&lt;&gt;"",EDATE($D15,Milestones!$AA$61)&gt;=$Y15),$AB15,$AA15)))=Milestones!$AB$61),UPPER(TEXT(EDATE($D15,Milestones!$AA$61),"dd mmm yy"))&amp;" "&amp;Milestones!$AB$61&amp;" "&amp;IF(AND(Milestones!$AB$61="FT",Milestones!$AA$61=FT_Y5,EDATE($D15,Milestones!$AA$61)&lt;PolicyEff),1,Milestones!$AC$61)&amp;";  ","")&amp;IF(AND(EDATE($D15,Milestones!$AA$62)&lt;=AsOfDate,EDATE($D15,Milestones!$AA$62)&gt;=SchemeStart,IF($X15=0,$AD15,IF(AND($Z15&lt;&gt;"",EDATE($D15,Milestones!$AA$62)&gt;=$Z15),$AC15,IF(AND($Y15&lt;&gt;"",EDATE($D15,Milestones!$AA$62)&gt;=$Y15),$AB15,$AA15)))=Milestones!$AB$62),UPPER(TEXT(EDATE($D15,Milestones!$AA$62),"dd mmm yy"))&amp;" "&amp;Milestones!$AB$62&amp;" "&amp;IF(AND(Milestones!$AB$62="FT",Milestones!$AA$62=FT_Y5,EDATE($D15,Milestones!$AA$62)&lt;PolicyEff),1,Milestones!$AC$62)&amp;";  ","")&amp;IF(AND(EDATE($D15,Milestones!$AA$63)&lt;=AsOfDate,EDATE($D15,Milestones!$AA$63)&gt;=SchemeStart,IF($X15=0,$AD15,IF(AND($Z15&lt;&gt;"",EDATE($D15,Milestones!$AA$63)&gt;=$Z15),$AC15,IF(AND($Y15&lt;&gt;"",EDATE($D15,Milestones!$AA$63)&gt;=$Y15),$AB15,$AA15)))=Milestones!$AB$63),UPPER(TEXT(EDATE($D15,Milestones!$AA$63),"dd mmm yy"))&amp;" "&amp;Milestones!$AB$63&amp;" "&amp;IF(AND(Milestones!$AB$63="FT",Milestones!$AA$63=FT_Y5,EDATE($D15,Milestones!$AA$63)&lt;PolicyEff),1,Milestones!$AC$63)&amp;";  ","")&amp;IF(AND(EDATE($D15,Milestones!$AA$64)&lt;=AsOfDate,EDATE($D15,Milestones!$AA$64)&gt;=SchemeStart,IF($X15=0,$AD15,IF(AND($Z15&lt;&gt;"",EDATE($D15,Milestones!$AA$64)&gt;=$Z15),$AC15,IF(AND($Y15&lt;&gt;"",EDATE($D15,Milestones!$AA$64)&gt;=$Y15),$AB15,$AA15)))=Milestones!$AB$64),UPPER(TEXT(EDATE($D15,Milestones!$AA$64),"dd mmm yy"))&amp;" "&amp;Milestones!$AB$64&amp;" "&amp;IF(AND(Milestones!$AB$64="FT",Milestones!$AA$64=FT_Y5,EDATE($D15,Milestones!$AA$64)&lt;PolicyEff),1,Milestones!$AC$64)&amp;";  ","")&amp;IF(AND(EDATE($D15,Milestones!$AA$65)&lt;=AsOfDate,EDATE($D15,Milestones!$AA$65)&gt;=SchemeStart,IF($X15=0,$AD15,IF(AND($Z15&lt;&gt;"",EDATE($D15,Milestones!$AA$65)&gt;=$Z15),$AC15,IF(AND($Y15&lt;&gt;"",EDATE($D15,Milestones!$AA$65)&gt;=$Y15),$AB15,$AA15)))=Milestones!$AB$65),UPPER(TEXT(EDATE($D15,Milestones!$AA$65),"dd mmm yy"))&amp;" "&amp;Milestones!$AB$65&amp;" "&amp;IF(AND(Milestones!$AB$65="FT",Milestones!$AA$65=FT_Y5,EDATE($D15,Milestones!$AA$65)&lt;PolicyEff),1,Milestones!$AC$65)&amp;";  ","")&amp;IF(AND(EDATE($D15,Milestones!$AA$66)&lt;=AsOfDate,EDATE($D15,Milestones!$AA$66)&gt;=SchemeStart,IF($X15=0,$AD15,IF(AND($Z15&lt;&gt;"",EDATE($D15,Milestones!$AA$66)&gt;=$Z15),$AC15,IF(AND($Y15&lt;&gt;"",EDATE($D15,Milestones!$AA$66)&gt;=$Y15),$AB15,$AA15)))=Milestones!$AB$66),UPPER(TEXT(EDATE($D15,Milestones!$AA$66),"dd mmm yy"))&amp;" "&amp;Milestones!$AB$66&amp;" "&amp;IF(AND(Milestones!$AB$66="FT",Milestones!$AA$66=FT_Y5,EDATE($D15,Milestones!$AA$66)&lt;PolicyEff),1,Milestones!$AC$66)&amp;";  ","")&amp;IF(AND(EDATE($D15,Milestones!$AA$67)&lt;=AsOfDate,EDATE($D15,Milestones!$AA$67)&gt;=SchemeStart,IF($X15=0,$AD15,IF(AND($Z15&lt;&gt;"",EDATE($D15,Milestones!$AA$67)&gt;=$Z15),$AC15,IF(AND($Y15&lt;&gt;"",EDATE($D15,Milestones!$AA$67)&gt;=$Y15),$AB15,$AA15)))=Milestones!$AB$67),UPPER(TEXT(EDATE($D15,Milestones!$AA$67),"dd mmm yy"))&amp;" "&amp;Milestones!$AB$67&amp;" "&amp;IF(AND(Milestones!$AB$67="FT",Milestones!$AA$67=FT_Y5,EDATE($D15,Milestones!$AA$67)&lt;PolicyEff),1,Milestones!$AC$67)&amp;";  ",""))</f>
        <v/>
      </c>
      <c r="M15" s="0" t="str">
        <f aca="false">IF(OR($A15="",$D15=""),"",IF(AND(EDATE($D15,Milestones!$AA$68)&lt;=AsOfDate,EDATE($D15,Milestones!$AA$68)&gt;=SchemeStart,IF($X15=0,$AD15,IF(AND($Z15&lt;&gt;"",EDATE($D15,Milestones!$AA$68)&gt;=$Z15),$AC15,IF(AND($Y15&lt;&gt;"",EDATE($D15,Milestones!$AA$68)&gt;=$Y15),$AB15,$AA15)))=Milestones!$AB$68),UPPER(TEXT(EDATE($D15,Milestones!$AA$68),"dd mmm yy"))&amp;" "&amp;Milestones!$AB$68&amp;" "&amp;IF(AND(Milestones!$AB$68="FT",Milestones!$AA$68=FT_Y5,EDATE($D15,Milestones!$AA$68)&lt;PolicyEff),1,Milestones!$AC$68)&amp;";  ","")&amp;IF(AND(EDATE($D15,Milestones!$AA$69)&lt;=AsOfDate,EDATE($D15,Milestones!$AA$69)&gt;=SchemeStart,IF($X15=0,$AD15,IF(AND($Z15&lt;&gt;"",EDATE($D15,Milestones!$AA$69)&gt;=$Z15),$AC15,IF(AND($Y15&lt;&gt;"",EDATE($D15,Milestones!$AA$69)&gt;=$Y15),$AB15,$AA15)))=Milestones!$AB$69),UPPER(TEXT(EDATE($D15,Milestones!$AA$69),"dd mmm yy"))&amp;" "&amp;Milestones!$AB$69&amp;" "&amp;IF(AND(Milestones!$AB$69="FT",Milestones!$AA$69=FT_Y5,EDATE($D15,Milestones!$AA$69)&lt;PolicyEff),1,Milestones!$AC$69)&amp;";  ","")&amp;IF(AND(EDATE($D15,Milestones!$AA$70)&lt;=AsOfDate,EDATE($D15,Milestones!$AA$70)&gt;=SchemeStart,IF($X15=0,$AD15,IF(AND($Z15&lt;&gt;"",EDATE($D15,Milestones!$AA$70)&gt;=$Z15),$AC15,IF(AND($Y15&lt;&gt;"",EDATE($D15,Milestones!$AA$70)&gt;=$Y15),$AB15,$AA15)))=Milestones!$AB$70),UPPER(TEXT(EDATE($D15,Milestones!$AA$70),"dd mmm yy"))&amp;" "&amp;Milestones!$AB$70&amp;" "&amp;IF(AND(Milestones!$AB$70="FT",Milestones!$AA$70=FT_Y5,EDATE($D15,Milestones!$AA$70)&lt;PolicyEff),1,Milestones!$AC$70)&amp;";  ","")&amp;IF(AND(EDATE($D15,Milestones!$AA$71)&lt;=AsOfDate,EDATE($D15,Milestones!$AA$71)&gt;=SchemeStart,IF($X15=0,$AD15,IF(AND($Z15&lt;&gt;"",EDATE($D15,Milestones!$AA$71)&gt;=$Z15),$AC15,IF(AND($Y15&lt;&gt;"",EDATE($D15,Milestones!$AA$71)&gt;=$Y15),$AB15,$AA15)))=Milestones!$AB$71),UPPER(TEXT(EDATE($D15,Milestones!$AA$71),"dd mmm yy"))&amp;" "&amp;Milestones!$AB$71&amp;" "&amp;IF(AND(Milestones!$AB$71="FT",Milestones!$AA$71=FT_Y5,EDATE($D15,Milestones!$AA$71)&lt;PolicyEff),1,Milestones!$AC$71)&amp;";  ","")&amp;IF(AND(EDATE($D15,Milestones!$AA$72)&lt;=AsOfDate,EDATE($D15,Milestones!$AA$72)&gt;=SchemeStart,IF($X15=0,$AD15,IF(AND($Z15&lt;&gt;"",EDATE($D15,Milestones!$AA$72)&gt;=$Z15),$AC15,IF(AND($Y15&lt;&gt;"",EDATE($D15,Milestones!$AA$72)&gt;=$Y15),$AB15,$AA15)))=Milestones!$AB$72),UPPER(TEXT(EDATE($D15,Milestones!$AA$72),"dd mmm yy"))&amp;" "&amp;Milestones!$AB$72&amp;" "&amp;IF(AND(Milestones!$AB$72="FT",Milestones!$AA$72=FT_Y5,EDATE($D15,Milestones!$AA$72)&lt;PolicyEff),1,Milestones!$AC$72)&amp;";  ","")&amp;IF(AND(EDATE($D15,Milestones!$AA$73)&lt;=AsOfDate,EDATE($D15,Milestones!$AA$73)&gt;=SchemeStart,IF($X15=0,$AD15,IF(AND($Z15&lt;&gt;"",EDATE($D15,Milestones!$AA$73)&gt;=$Z15),$AC15,IF(AND($Y15&lt;&gt;"",EDATE($D15,Milestones!$AA$73)&gt;=$Y15),$AB15,$AA15)))=Milestones!$AB$73),UPPER(TEXT(EDATE($D15,Milestones!$AA$73),"dd mmm yy"))&amp;" "&amp;Milestones!$AB$73&amp;" "&amp;IF(AND(Milestones!$AB$73="FT",Milestones!$AA$73=FT_Y5,EDATE($D15,Milestones!$AA$73)&lt;PolicyEff),1,Milestones!$AC$73)&amp;";  ","")&amp;IF(AND(EDATE($D15,Milestones!$AA$74)&lt;=AsOfDate,EDATE($D15,Milestones!$AA$74)&gt;=SchemeStart,IF($X15=0,$AD15,IF(AND($Z15&lt;&gt;"",EDATE($D15,Milestones!$AA$74)&gt;=$Z15),$AC15,IF(AND($Y15&lt;&gt;"",EDATE($D15,Milestones!$AA$74)&gt;=$Y15),$AB15,$AA15)))=Milestones!$AB$74),UPPER(TEXT(EDATE($D15,Milestones!$AA$74),"dd mmm yy"))&amp;" "&amp;Milestones!$AB$74&amp;" "&amp;IF(AND(Milestones!$AB$74="FT",Milestones!$AA$74=FT_Y5,EDATE($D15,Milestones!$AA$74)&lt;PolicyEff),1,Milestones!$AC$74)&amp;";  ","")&amp;IF(AND(EDATE($D15,Milestones!$AA$75)&lt;=AsOfDate,EDATE($D15,Milestones!$AA$75)&gt;=SchemeStart,IF($X15=0,$AD15,IF(AND($Z15&lt;&gt;"",EDATE($D15,Milestones!$AA$75)&gt;=$Z15),$AC15,IF(AND($Y15&lt;&gt;"",EDATE($D15,Milestones!$AA$75)&gt;=$Y15),$AB15,$AA15)))=Milestones!$AB$75),UPPER(TEXT(EDATE($D15,Milestones!$AA$75),"dd mmm yy"))&amp;" "&amp;Milestones!$AB$75&amp;" "&amp;IF(AND(Milestones!$AB$75="FT",Milestones!$AA$75=FT_Y5,EDATE($D15,Milestones!$AA$75)&lt;PolicyEff),1,Milestones!$AC$75)&amp;";  ","")&amp;IF(AND(EDATE($D15,Milestones!$AA$76)&lt;=AsOfDate,EDATE($D15,Milestones!$AA$76)&gt;=SchemeStart,IF($X15=0,$AD15,IF(AND($Z15&lt;&gt;"",EDATE($D15,Milestones!$AA$76)&gt;=$Z15),$AC15,IF(AND($Y15&lt;&gt;"",EDATE($D15,Milestones!$AA$76)&gt;=$Y15),$AB15,$AA15)))=Milestones!$AB$76),UPPER(TEXT(EDATE($D15,Milestones!$AA$76),"dd mmm yy"))&amp;" "&amp;Milestones!$AB$76&amp;" "&amp;IF(AND(Milestones!$AB$76="FT",Milestones!$AA$76=FT_Y5,EDATE($D15,Milestones!$AA$76)&lt;PolicyEff),1,Milestones!$AC$76)&amp;";  ","")&amp;IF(AND(EDATE($D15,Milestones!$AA$77)&lt;=AsOfDate,EDATE($D15,Milestones!$AA$77)&gt;=SchemeStart,IF($X15=0,$AD15,IF(AND($Z15&lt;&gt;"",EDATE($D15,Milestones!$AA$77)&gt;=$Z15),$AC15,IF(AND($Y15&lt;&gt;"",EDATE($D15,Milestones!$AA$77)&gt;=$Y15),$AB15,$AA15)))=Milestones!$AB$77),UPPER(TEXT(EDATE($D15,Milestones!$AA$77),"dd mmm yy"))&amp;" "&amp;Milestones!$AB$77&amp;" "&amp;IF(AND(Milestones!$AB$77="FT",Milestones!$AA$77=FT_Y5,EDATE($D15,Milestones!$AA$77)&lt;PolicyEff),1,Milestones!$AC$77)&amp;";  ","")&amp;IF(AND(EDATE($D15,Milestones!$AA$78)&lt;=AsOfDate,EDATE($D15,Milestones!$AA$78)&gt;=SchemeStart,IF($X15=0,$AD15,IF(AND($Z15&lt;&gt;"",EDATE($D15,Milestones!$AA$78)&gt;=$Z15),$AC15,IF(AND($Y15&lt;&gt;"",EDATE($D15,Milestones!$AA$78)&gt;=$Y15),$AB15,$AA15)))=Milestones!$AB$78),UPPER(TEXT(EDATE($D15,Milestones!$AA$78),"dd mmm yy"))&amp;" "&amp;Milestones!$AB$78&amp;" "&amp;IF(AND(Milestones!$AB$78="FT",Milestones!$AA$78=FT_Y5,EDATE($D15,Milestones!$AA$78)&lt;PolicyEff),1,Milestones!$AC$78)&amp;";  ","")&amp;IF(AND(EDATE($D15,Milestones!$AA$79)&lt;=AsOfDate,EDATE($D15,Milestones!$AA$79)&gt;=SchemeStart,IF($X15=0,$AD15,IF(AND($Z15&lt;&gt;"",EDATE($D15,Milestones!$AA$79)&gt;=$Z15),$AC15,IF(AND($Y15&lt;&gt;"",EDATE($D15,Milestones!$AA$79)&gt;=$Y15),$AB15,$AA15)))=Milestones!$AB$79),UPPER(TEXT(EDATE($D15,Milestones!$AA$79),"dd mmm yy"))&amp;" "&amp;Milestones!$AB$79&amp;" "&amp;IF(AND(Milestones!$AB$79="FT",Milestones!$AA$79=FT_Y5,EDATE($D15,Milestones!$AA$79)&lt;PolicyEff),1,Milestones!$AC$79)&amp;";  ",""))</f>
        <v/>
      </c>
      <c r="N15" s="0" t="str">
        <f aca="false">IF(OR($A15="",$D15=""),"",IF(AND(EDATE($D15,Milestones!$AA$80)&lt;=AsOfDate,EDATE($D15,Milestones!$AA$80)&gt;=SchemeStart,IF($X15=0,$AD15,IF(AND($Z15&lt;&gt;"",EDATE($D15,Milestones!$AA$80)&gt;=$Z15),$AC15,IF(AND($Y15&lt;&gt;"",EDATE($D15,Milestones!$AA$80)&gt;=$Y15),$AB15,$AA15)))=Milestones!$AB$80),UPPER(TEXT(EDATE($D15,Milestones!$AA$80),"dd mmm yy"))&amp;" "&amp;Milestones!$AB$80&amp;" "&amp;IF(AND(Milestones!$AB$80="FT",Milestones!$AA$80=FT_Y5,EDATE($D15,Milestones!$AA$80)&lt;PolicyEff),1,Milestones!$AC$80)&amp;";  ","")&amp;IF(AND(EDATE($D15,Milestones!$AA$81)&lt;=AsOfDate,EDATE($D15,Milestones!$AA$81)&gt;=SchemeStart,IF($X15=0,$AD15,IF(AND($Z15&lt;&gt;"",EDATE($D15,Milestones!$AA$81)&gt;=$Z15),$AC15,IF(AND($Y15&lt;&gt;"",EDATE($D15,Milestones!$AA$81)&gt;=$Y15),$AB15,$AA15)))=Milestones!$AB$81),UPPER(TEXT(EDATE($D15,Milestones!$AA$81),"dd mmm yy"))&amp;" "&amp;Milestones!$AB$81&amp;" "&amp;IF(AND(Milestones!$AB$81="FT",Milestones!$AA$81=FT_Y5,EDATE($D15,Milestones!$AA$81)&lt;PolicyEff),1,Milestones!$AC$81)&amp;";  ","")&amp;IF(AND(EDATE($D15,Milestones!$AA$82)&lt;=AsOfDate,EDATE($D15,Milestones!$AA$82)&gt;=SchemeStart,IF($X15=0,$AD15,IF(AND($Z15&lt;&gt;"",EDATE($D15,Milestones!$AA$82)&gt;=$Z15),$AC15,IF(AND($Y15&lt;&gt;"",EDATE($D15,Milestones!$AA$82)&gt;=$Y15),$AB15,$AA15)))=Milestones!$AB$82),UPPER(TEXT(EDATE($D15,Milestones!$AA$82),"dd mmm yy"))&amp;" "&amp;Milestones!$AB$82&amp;" "&amp;IF(AND(Milestones!$AB$82="FT",Milestones!$AA$82=FT_Y5,EDATE($D15,Milestones!$AA$82)&lt;PolicyEff),1,Milestones!$AC$82)&amp;";  ","")&amp;IF(AND(EDATE($D15,Milestones!$AA$83)&lt;=AsOfDate,EDATE($D15,Milestones!$AA$83)&gt;=SchemeStart,IF($X15=0,$AD15,IF(AND($Z15&lt;&gt;"",EDATE($D15,Milestones!$AA$83)&gt;=$Z15),$AC15,IF(AND($Y15&lt;&gt;"",EDATE($D15,Milestones!$AA$83)&gt;=$Y15),$AB15,$AA15)))=Milestones!$AB$83),UPPER(TEXT(EDATE($D15,Milestones!$AA$83),"dd mmm yy"))&amp;" "&amp;Milestones!$AB$83&amp;" "&amp;IF(AND(Milestones!$AB$83="FT",Milestones!$AA$83=FT_Y5,EDATE($D15,Milestones!$AA$83)&lt;PolicyEff),1,Milestones!$AC$83)&amp;";  ","")&amp;IF(AND(EDATE($D15,Milestones!$AA$84)&lt;=AsOfDate,EDATE($D15,Milestones!$AA$84)&gt;=SchemeStart,IF($X15=0,$AD15,IF(AND($Z15&lt;&gt;"",EDATE($D15,Milestones!$AA$84)&gt;=$Z15),$AC15,IF(AND($Y15&lt;&gt;"",EDATE($D15,Milestones!$AA$84)&gt;=$Y15),$AB15,$AA15)))=Milestones!$AB$84),UPPER(TEXT(EDATE($D15,Milestones!$AA$84),"dd mmm yy"))&amp;" "&amp;Milestones!$AB$84&amp;" "&amp;IF(AND(Milestones!$AB$84="FT",Milestones!$AA$84=FT_Y5,EDATE($D15,Milestones!$AA$84)&lt;PolicyEff),1,Milestones!$AC$84)&amp;";  ","")&amp;IF(AND(EDATE($D15,Milestones!$AA$85)&lt;=AsOfDate,EDATE($D15,Milestones!$AA$85)&gt;=SchemeStart,IF($X15=0,$AD15,IF(AND($Z15&lt;&gt;"",EDATE($D15,Milestones!$AA$85)&gt;=$Z15),$AC15,IF(AND($Y15&lt;&gt;"",EDATE($D15,Milestones!$AA$85)&gt;=$Y15),$AB15,$AA15)))=Milestones!$AB$85),UPPER(TEXT(EDATE($D15,Milestones!$AA$85),"dd mmm yy"))&amp;" "&amp;Milestones!$AB$85&amp;" "&amp;IF(AND(Milestones!$AB$85="FT",Milestones!$AA$85=FT_Y5,EDATE($D15,Milestones!$AA$85)&lt;PolicyEff),1,Milestones!$AC$85)&amp;";  ","")&amp;IF(AND(EDATE($D15,Milestones!$AA$86)&lt;=AsOfDate,EDATE($D15,Milestones!$AA$86)&gt;=SchemeStart,IF($X15=0,$AD15,IF(AND($Z15&lt;&gt;"",EDATE($D15,Milestones!$AA$86)&gt;=$Z15),$AC15,IF(AND($Y15&lt;&gt;"",EDATE($D15,Milestones!$AA$86)&gt;=$Y15),$AB15,$AA15)))=Milestones!$AB$86),UPPER(TEXT(EDATE($D15,Milestones!$AA$86),"dd mmm yy"))&amp;" "&amp;Milestones!$AB$86&amp;" "&amp;IF(AND(Milestones!$AB$86="FT",Milestones!$AA$86=FT_Y5,EDATE($D15,Milestones!$AA$86)&lt;PolicyEff),1,Milestones!$AC$86)&amp;";  ","")&amp;IF(AND(EDATE($D15,Milestones!$AA$87)&lt;=AsOfDate,EDATE($D15,Milestones!$AA$87)&gt;=SchemeStart,IF($X15=0,$AD15,IF(AND($Z15&lt;&gt;"",EDATE($D15,Milestones!$AA$87)&gt;=$Z15),$AC15,IF(AND($Y15&lt;&gt;"",EDATE($D15,Milestones!$AA$87)&gt;=$Y15),$AB15,$AA15)))=Milestones!$AB$87),UPPER(TEXT(EDATE($D15,Milestones!$AA$87),"dd mmm yy"))&amp;" "&amp;Milestones!$AB$87&amp;" "&amp;IF(AND(Milestones!$AB$87="FT",Milestones!$AA$87=FT_Y5,EDATE($D15,Milestones!$AA$87)&lt;PolicyEff),1,Milestones!$AC$87)&amp;";  ","")&amp;IF(AND(EDATE($D15,Milestones!$AA$88)&lt;=AsOfDate,EDATE($D15,Milestones!$AA$88)&gt;=SchemeStart,IF($X15=0,$AD15,IF(AND($Z15&lt;&gt;"",EDATE($D15,Milestones!$AA$88)&gt;=$Z15),$AC15,IF(AND($Y15&lt;&gt;"",EDATE($D15,Milestones!$AA$88)&gt;=$Y15),$AB15,$AA15)))=Milestones!$AB$88),UPPER(TEXT(EDATE($D15,Milestones!$AA$88),"dd mmm yy"))&amp;" "&amp;Milestones!$AB$88&amp;" "&amp;IF(AND(Milestones!$AB$88="FT",Milestones!$AA$88=FT_Y5,EDATE($D15,Milestones!$AA$88)&lt;PolicyEff),1,Milestones!$AC$88)&amp;";  ","")&amp;IF(AND(EDATE($D15,Milestones!$AA$89)&lt;=AsOfDate,EDATE($D15,Milestones!$AA$89)&gt;=SchemeStart,IF($X15=0,$AD15,IF(AND($Z15&lt;&gt;"",EDATE($D15,Milestones!$AA$89)&gt;=$Z15),$AC15,IF(AND($Y15&lt;&gt;"",EDATE($D15,Milestones!$AA$89)&gt;=$Y15),$AB15,$AA15)))=Milestones!$AB$89),UPPER(TEXT(EDATE($D15,Milestones!$AA$89),"dd mmm yy"))&amp;" "&amp;Milestones!$AB$89&amp;" "&amp;IF(AND(Milestones!$AB$89="FT",Milestones!$AA$89=FT_Y5,EDATE($D15,Milestones!$AA$89)&lt;PolicyEff),1,Milestones!$AC$89)&amp;";  ","")&amp;IF(AND(EDATE($D15,Milestones!$AA$90)&lt;=AsOfDate,EDATE($D15,Milestones!$AA$90)&gt;=SchemeStart,IF($X15=0,$AD15,IF(AND($Z15&lt;&gt;"",EDATE($D15,Milestones!$AA$90)&gt;=$Z15),$AC15,IF(AND($Y15&lt;&gt;"",EDATE($D15,Milestones!$AA$90)&gt;=$Y15),$AB15,$AA15)))=Milestones!$AB$90),UPPER(TEXT(EDATE($D15,Milestones!$AA$90),"dd mmm yy"))&amp;" "&amp;Milestones!$AB$90&amp;" "&amp;IF(AND(Milestones!$AB$90="FT",Milestones!$AA$90=FT_Y5,EDATE($D15,Milestones!$AA$90)&lt;PolicyEff),1,Milestones!$AC$90)&amp;";  ","")&amp;IF(AND(EDATE($D15,Milestones!$AA$91)&lt;=AsOfDate,EDATE($D15,Milestones!$AA$91)&gt;=SchemeStart,IF($X15=0,$AD15,IF(AND($Z15&lt;&gt;"",EDATE($D15,Milestones!$AA$91)&gt;=$Z15),$AC15,IF(AND($Y15&lt;&gt;"",EDATE($D15,Milestones!$AA$91)&gt;=$Y15),$AB15,$AA15)))=Milestones!$AB$91),UPPER(TEXT(EDATE($D15,Milestones!$AA$91),"dd mmm yy"))&amp;" "&amp;Milestones!$AB$91&amp;" "&amp;IF(AND(Milestones!$AB$91="FT",Milestones!$AA$91=FT_Y5,EDATE($D15,Milestones!$AA$91)&lt;PolicyEff),1,Milestones!$AC$91)&amp;";  ",""))</f>
        <v/>
      </c>
      <c r="O15" s="0" t="str">
        <f aca="false">IF(OR($A15="",$D15=""),"",IF(AND(EDATE($D15,Milestones!$AA$92)&lt;=AsOfDate,EDATE($D15,Milestones!$AA$92)&gt;=SchemeStart,IF($X15=0,$AD15,IF(AND($Z15&lt;&gt;"",EDATE($D15,Milestones!$AA$92)&gt;=$Z15),$AC15,IF(AND($Y15&lt;&gt;"",EDATE($D15,Milestones!$AA$92)&gt;=$Y15),$AB15,$AA15)))=Milestones!$AB$92),UPPER(TEXT(EDATE($D15,Milestones!$AA$92),"dd mmm yy"))&amp;" "&amp;Milestones!$AB$92&amp;" "&amp;IF(AND(Milestones!$AB$92="FT",Milestones!$AA$92=FT_Y5,EDATE($D15,Milestones!$AA$92)&lt;PolicyEff),1,Milestones!$AC$92)&amp;";  ","")&amp;IF(AND(EDATE($D15,Milestones!$AA$93)&lt;=AsOfDate,EDATE($D15,Milestones!$AA$93)&gt;=SchemeStart,IF($X15=0,$AD15,IF(AND($Z15&lt;&gt;"",EDATE($D15,Milestones!$AA$93)&gt;=$Z15),$AC15,IF(AND($Y15&lt;&gt;"",EDATE($D15,Milestones!$AA$93)&gt;=$Y15),$AB15,$AA15)))=Milestones!$AB$93),UPPER(TEXT(EDATE($D15,Milestones!$AA$93),"dd mmm yy"))&amp;" "&amp;Milestones!$AB$93&amp;" "&amp;IF(AND(Milestones!$AB$93="FT",Milestones!$AA$93=FT_Y5,EDATE($D15,Milestones!$AA$93)&lt;PolicyEff),1,Milestones!$AC$93)&amp;";  ","")&amp;IF(AND(EDATE($D15,Milestones!$AA$94)&lt;=AsOfDate,EDATE($D15,Milestones!$AA$94)&gt;=SchemeStart,IF($X15=0,$AD15,IF(AND($Z15&lt;&gt;"",EDATE($D15,Milestones!$AA$94)&gt;=$Z15),$AC15,IF(AND($Y15&lt;&gt;"",EDATE($D15,Milestones!$AA$94)&gt;=$Y15),$AB15,$AA15)))=Milestones!$AB$94),UPPER(TEXT(EDATE($D15,Milestones!$AA$94),"dd mmm yy"))&amp;" "&amp;Milestones!$AB$94&amp;" "&amp;IF(AND(Milestones!$AB$94="FT",Milestones!$AA$94=FT_Y5,EDATE($D15,Milestones!$AA$94)&lt;PolicyEff),1,Milestones!$AC$94)&amp;";  ","")&amp;IF(AND(EDATE($D15,Milestones!$AA$95)&lt;=AsOfDate,EDATE($D15,Milestones!$AA$95)&gt;=SchemeStart,IF($X15=0,$AD15,IF(AND($Z15&lt;&gt;"",EDATE($D15,Milestones!$AA$95)&gt;=$Z15),$AC15,IF(AND($Y15&lt;&gt;"",EDATE($D15,Milestones!$AA$95)&gt;=$Y15),$AB15,$AA15)))=Milestones!$AB$95),UPPER(TEXT(EDATE($D15,Milestones!$AA$95),"dd mmm yy"))&amp;" "&amp;Milestones!$AB$95&amp;" "&amp;IF(AND(Milestones!$AB$95="FT",Milestones!$AA$95=FT_Y5,EDATE($D15,Milestones!$AA$95)&lt;PolicyEff),1,Milestones!$AC$95)&amp;";  ","")&amp;IF(AND(EDATE($D15,Milestones!$AA$96)&lt;=AsOfDate,EDATE($D15,Milestones!$AA$96)&gt;=SchemeStart,IF($X15=0,$AD15,IF(AND($Z15&lt;&gt;"",EDATE($D15,Milestones!$AA$96)&gt;=$Z15),$AC15,IF(AND($Y15&lt;&gt;"",EDATE($D15,Milestones!$AA$96)&gt;=$Y15),$AB15,$AA15)))=Milestones!$AB$96),UPPER(TEXT(EDATE($D15,Milestones!$AA$96),"dd mmm yy"))&amp;" "&amp;Milestones!$AB$96&amp;" "&amp;IF(AND(Milestones!$AB$96="FT",Milestones!$AA$96=FT_Y5,EDATE($D15,Milestones!$AA$96)&lt;PolicyEff),1,Milestones!$AC$96)&amp;";  ","")&amp;IF(AND(EDATE($D15,Milestones!$AA$97)&lt;=AsOfDate,EDATE($D15,Milestones!$AA$97)&gt;=SchemeStart,IF($X15=0,$AD15,IF(AND($Z15&lt;&gt;"",EDATE($D15,Milestones!$AA$97)&gt;=$Z15),$AC15,IF(AND($Y15&lt;&gt;"",EDATE($D15,Milestones!$AA$97)&gt;=$Y15),$AB15,$AA15)))=Milestones!$AB$97),UPPER(TEXT(EDATE($D15,Milestones!$AA$97),"dd mmm yy"))&amp;" "&amp;Milestones!$AB$97&amp;" "&amp;IF(AND(Milestones!$AB$97="FT",Milestones!$AA$97=FT_Y5,EDATE($D15,Milestones!$AA$97)&lt;PolicyEff),1,Milestones!$AC$97)&amp;";  ","")&amp;IF(AND(EDATE($D15,Milestones!$AA$98)&lt;=AsOfDate,EDATE($D15,Milestones!$AA$98)&gt;=SchemeStart,IF($X15=0,$AD15,IF(AND($Z15&lt;&gt;"",EDATE($D15,Milestones!$AA$98)&gt;=$Z15),$AC15,IF(AND($Y15&lt;&gt;"",EDATE($D15,Milestones!$AA$98)&gt;=$Y15),$AB15,$AA15)))=Milestones!$AB$98),UPPER(TEXT(EDATE($D15,Milestones!$AA$98),"dd mmm yy"))&amp;" "&amp;Milestones!$AB$98&amp;" "&amp;IF(AND(Milestones!$AB$98="FT",Milestones!$AA$98=FT_Y5,EDATE($D15,Milestones!$AA$98)&lt;PolicyEff),1,Milestones!$AC$98)&amp;";  ","")&amp;IF(AND(EDATE($D15,Milestones!$AA$99)&lt;=AsOfDate,EDATE($D15,Milestones!$AA$99)&gt;=SchemeStart,IF($X15=0,$AD15,IF(AND($Z15&lt;&gt;"",EDATE($D15,Milestones!$AA$99)&gt;=$Z15),$AC15,IF(AND($Y15&lt;&gt;"",EDATE($D15,Milestones!$AA$99)&gt;=$Y15),$AB15,$AA15)))=Milestones!$AB$99),UPPER(TEXT(EDATE($D15,Milestones!$AA$99),"dd mmm yy"))&amp;" "&amp;Milestones!$AB$99&amp;" "&amp;IF(AND(Milestones!$AB$99="FT",Milestones!$AA$99=FT_Y5,EDATE($D15,Milestones!$AA$99)&lt;PolicyEff),1,Milestones!$AC$99)&amp;";  ","")&amp;IF(AND(EDATE($D15,Milestones!$AA$100)&lt;=AsOfDate,EDATE($D15,Milestones!$AA$100)&gt;=SchemeStart,IF($X15=0,$AD15,IF(AND($Z15&lt;&gt;"",EDATE($D15,Milestones!$AA$100)&gt;=$Z15),$AC15,IF(AND($Y15&lt;&gt;"",EDATE($D15,Milestones!$AA$100)&gt;=$Y15),$AB15,$AA15)))=Milestones!$AB$100),UPPER(TEXT(EDATE($D15,Milestones!$AA$100),"dd mmm yy"))&amp;" "&amp;Milestones!$AB$100&amp;" "&amp;IF(AND(Milestones!$AB$100="FT",Milestones!$AA$100=FT_Y5,EDATE($D15,Milestones!$AA$100)&lt;PolicyEff),1,Milestones!$AC$100)&amp;";  ","")&amp;IF(AND(EDATE($D15,Milestones!$AA$101)&lt;=AsOfDate,EDATE($D15,Milestones!$AA$101)&gt;=SchemeStart,IF($X15=0,$AD15,IF(AND($Z15&lt;&gt;"",EDATE($D15,Milestones!$AA$101)&gt;=$Z15),$AC15,IF(AND($Y15&lt;&gt;"",EDATE($D15,Milestones!$AA$101)&gt;=$Y15),$AB15,$AA15)))=Milestones!$AB$101),UPPER(TEXT(EDATE($D15,Milestones!$AA$101),"dd mmm yy"))&amp;" "&amp;Milestones!$AB$101&amp;" "&amp;IF(AND(Milestones!$AB$101="FT",Milestones!$AA$101=FT_Y5,EDATE($D15,Milestones!$AA$101)&lt;PolicyEff),1,Milestones!$AC$101)&amp;";  ","")&amp;IF(AND(EDATE($D15,Milestones!$AA$102)&lt;=AsOfDate,EDATE($D15,Milestones!$AA$102)&gt;=SchemeStart,IF($X15=0,$AD15,IF(AND($Z15&lt;&gt;"",EDATE($D15,Milestones!$AA$102)&gt;=$Z15),$AC15,IF(AND($Y15&lt;&gt;"",EDATE($D15,Milestones!$AA$102)&gt;=$Y15),$AB15,$AA15)))=Milestones!$AB$102),UPPER(TEXT(EDATE($D15,Milestones!$AA$102),"dd mmm yy"))&amp;" "&amp;Milestones!$AB$102&amp;" "&amp;IF(AND(Milestones!$AB$102="FT",Milestones!$AA$102=FT_Y5,EDATE($D15,Milestones!$AA$102)&lt;PolicyEff),1,Milestones!$AC$102)&amp;";  ","")&amp;IF(AND(EDATE($D15,Milestones!$AA$103)&lt;=AsOfDate,EDATE($D15,Milestones!$AA$103)&gt;=SchemeStart,IF($X15=0,$AD15,IF(AND($Z15&lt;&gt;"",EDATE($D15,Milestones!$AA$103)&gt;=$Z15),$AC15,IF(AND($Y15&lt;&gt;"",EDATE($D15,Milestones!$AA$103)&gt;=$Y15),$AB15,$AA15)))=Milestones!$AB$103),UPPER(TEXT(EDATE($D15,Milestones!$AA$103),"dd mmm yy"))&amp;" "&amp;Milestones!$AB$103&amp;" "&amp;IF(AND(Milestones!$AB$103="FT",Milestones!$AA$103=FT_Y5,EDATE($D15,Milestones!$AA$103)&lt;PolicyEff),1,Milestones!$AC$103)&amp;";  ",""))</f>
        <v/>
      </c>
      <c r="P15" s="0" t="str">
        <f aca="false">IF(OR($A15="",$D15=""),"",IF(AND(EDATE($D15,Milestones!$AA$104)&lt;=AsOfDate,EDATE($D15,Milestones!$AA$104)&gt;=SchemeStart,IF($X15=0,$AD15,IF(AND($Z15&lt;&gt;"",EDATE($D15,Milestones!$AA$104)&gt;=$Z15),$AC15,IF(AND($Y15&lt;&gt;"",EDATE($D15,Milestones!$AA$104)&gt;=$Y15),$AB15,$AA15)))=Milestones!$AB$104),UPPER(TEXT(EDATE($D15,Milestones!$AA$104),"dd mmm yy"))&amp;" "&amp;Milestones!$AB$104&amp;" "&amp;IF(AND(Milestones!$AB$104="FT",Milestones!$AA$104=FT_Y5,EDATE($D15,Milestones!$AA$104)&lt;PolicyEff),1,Milestones!$AC$104)&amp;";  ","")&amp;IF(AND(EDATE($D15,Milestones!$AA$105)&lt;=AsOfDate,EDATE($D15,Milestones!$AA$105)&gt;=SchemeStart,IF($X15=0,$AD15,IF(AND($Z15&lt;&gt;"",EDATE($D15,Milestones!$AA$105)&gt;=$Z15),$AC15,IF(AND($Y15&lt;&gt;"",EDATE($D15,Milestones!$AA$105)&gt;=$Y15),$AB15,$AA15)))=Milestones!$AB$105),UPPER(TEXT(EDATE($D15,Milestones!$AA$105),"dd mmm yy"))&amp;" "&amp;Milestones!$AB$105&amp;" "&amp;IF(AND(Milestones!$AB$105="FT",Milestones!$AA$105=FT_Y5,EDATE($D15,Milestones!$AA$105)&lt;PolicyEff),1,Milestones!$AC$105)&amp;";  ","")&amp;IF(AND(EDATE($D15,Milestones!$AA$106)&lt;=AsOfDate,EDATE($D15,Milestones!$AA$106)&gt;=SchemeStart,IF($X15=0,$AD15,IF(AND($Z15&lt;&gt;"",EDATE($D15,Milestones!$AA$106)&gt;=$Z15),$AC15,IF(AND($Y15&lt;&gt;"",EDATE($D15,Milestones!$AA$106)&gt;=$Y15),$AB15,$AA15)))=Milestones!$AB$106),UPPER(TEXT(EDATE($D15,Milestones!$AA$106),"dd mmm yy"))&amp;" "&amp;Milestones!$AB$106&amp;" "&amp;IF(AND(Milestones!$AB$106="FT",Milestones!$AA$106=FT_Y5,EDATE($D15,Milestones!$AA$106)&lt;PolicyEff),1,Milestones!$AC$106)&amp;";  ","")&amp;IF(AND(EDATE($D15,Milestones!$AA$107)&lt;=AsOfDate,EDATE($D15,Milestones!$AA$107)&gt;=SchemeStart,IF($X15=0,$AD15,IF(AND($Z15&lt;&gt;"",EDATE($D15,Milestones!$AA$107)&gt;=$Z15),$AC15,IF(AND($Y15&lt;&gt;"",EDATE($D15,Milestones!$AA$107)&gt;=$Y15),$AB15,$AA15)))=Milestones!$AB$107),UPPER(TEXT(EDATE($D15,Milestones!$AA$107),"dd mmm yy"))&amp;" "&amp;Milestones!$AB$107&amp;" "&amp;IF(AND(Milestones!$AB$107="FT",Milestones!$AA$107=FT_Y5,EDATE($D15,Milestones!$AA$107)&lt;PolicyEff),1,Milestones!$AC$107)&amp;";  ","")&amp;IF(AND(EDATE($D15,Milestones!$AA$108)&lt;=AsOfDate,EDATE($D15,Milestones!$AA$108)&gt;=SchemeStart,IF($X15=0,$AD15,IF(AND($Z15&lt;&gt;"",EDATE($D15,Milestones!$AA$108)&gt;=$Z15),$AC15,IF(AND($Y15&lt;&gt;"",EDATE($D15,Milestones!$AA$108)&gt;=$Y15),$AB15,$AA15)))=Milestones!$AB$108),UPPER(TEXT(EDATE($D15,Milestones!$AA$108),"dd mmm yy"))&amp;" "&amp;Milestones!$AB$108&amp;" "&amp;IF(AND(Milestones!$AB$108="FT",Milestones!$AA$108=FT_Y5,EDATE($D15,Milestones!$AA$108)&lt;PolicyEff),1,Milestones!$AC$108)&amp;";  ","")&amp;IF(AND(EDATE($D15,Milestones!$AA$109)&lt;=AsOfDate,EDATE($D15,Milestones!$AA$109)&gt;=SchemeStart,IF($X15=0,$AD15,IF(AND($Z15&lt;&gt;"",EDATE($D15,Milestones!$AA$109)&gt;=$Z15),$AC15,IF(AND($Y15&lt;&gt;"",EDATE($D15,Milestones!$AA$109)&gt;=$Y15),$AB15,$AA15)))=Milestones!$AB$109),UPPER(TEXT(EDATE($D15,Milestones!$AA$109),"dd mmm yy"))&amp;" "&amp;Milestones!$AB$109&amp;" "&amp;IF(AND(Milestones!$AB$109="FT",Milestones!$AA$109=FT_Y5,EDATE($D15,Milestones!$AA$109)&lt;PolicyEff),1,Milestones!$AC$109)&amp;";  ","")&amp;IF(AND(EDATE($D15,Milestones!$AA$110)&lt;=AsOfDate,EDATE($D15,Milestones!$AA$110)&gt;=SchemeStart,IF($X15=0,$AD15,IF(AND($Z15&lt;&gt;"",EDATE($D15,Milestones!$AA$110)&gt;=$Z15),$AC15,IF(AND($Y15&lt;&gt;"",EDATE($D15,Milestones!$AA$110)&gt;=$Y15),$AB15,$AA15)))=Milestones!$AB$110),UPPER(TEXT(EDATE($D15,Milestones!$AA$110),"dd mmm yy"))&amp;" "&amp;Milestones!$AB$110&amp;" "&amp;IF(AND(Milestones!$AB$110="FT",Milestones!$AA$110=FT_Y5,EDATE($D15,Milestones!$AA$110)&lt;PolicyEff),1,Milestones!$AC$110)&amp;";  ","")&amp;IF(AND(EDATE($D15,Milestones!$AA$111)&lt;=AsOfDate,EDATE($D15,Milestones!$AA$111)&gt;=SchemeStart,IF($X15=0,$AD15,IF(AND($Z15&lt;&gt;"",EDATE($D15,Milestones!$AA$111)&gt;=$Z15),$AC15,IF(AND($Y15&lt;&gt;"",EDATE($D15,Milestones!$AA$111)&gt;=$Y15),$AB15,$AA15)))=Milestones!$AB$111),UPPER(TEXT(EDATE($D15,Milestones!$AA$111),"dd mmm yy"))&amp;" "&amp;Milestones!$AB$111&amp;" "&amp;IF(AND(Milestones!$AB$111="FT",Milestones!$AA$111=FT_Y5,EDATE($D15,Milestones!$AA$111)&lt;PolicyEff),1,Milestones!$AC$111)&amp;";  ","")&amp;IF(AND(EDATE($D15,Milestones!$AA$112)&lt;=AsOfDate,EDATE($D15,Milestones!$AA$112)&gt;=SchemeStart,IF($X15=0,$AD15,IF(AND($Z15&lt;&gt;"",EDATE($D15,Milestones!$AA$112)&gt;=$Z15),$AC15,IF(AND($Y15&lt;&gt;"",EDATE($D15,Milestones!$AA$112)&gt;=$Y15),$AB15,$AA15)))=Milestones!$AB$112),UPPER(TEXT(EDATE($D15,Milestones!$AA$112),"dd mmm yy"))&amp;" "&amp;Milestones!$AB$112&amp;" "&amp;IF(AND(Milestones!$AB$112="FT",Milestones!$AA$112=FT_Y5,EDATE($D15,Milestones!$AA$112)&lt;PolicyEff),1,Milestones!$AC$112)&amp;";  ","")&amp;IF(AND(EDATE($D15,Milestones!$AA$113)&lt;=AsOfDate,EDATE($D15,Milestones!$AA$113)&gt;=SchemeStart,IF($X15=0,$AD15,IF(AND($Z15&lt;&gt;"",EDATE($D15,Milestones!$AA$113)&gt;=$Z15),$AC15,IF(AND($Y15&lt;&gt;"",EDATE($D15,Milestones!$AA$113)&gt;=$Y15),$AB15,$AA15)))=Milestones!$AB$113),UPPER(TEXT(EDATE($D15,Milestones!$AA$113),"dd mmm yy"))&amp;" "&amp;Milestones!$AB$113&amp;" "&amp;IF(AND(Milestones!$AB$113="FT",Milestones!$AA$113=FT_Y5,EDATE($D15,Milestones!$AA$113)&lt;PolicyEff),1,Milestones!$AC$113)&amp;";  ","")&amp;IF(AND(EDATE($D15,Milestones!$AA$114)&lt;=AsOfDate,EDATE($D15,Milestones!$AA$114)&gt;=SchemeStart,IF($X15=0,$AD15,IF(AND($Z15&lt;&gt;"",EDATE($D15,Milestones!$AA$114)&gt;=$Z15),$AC15,IF(AND($Y15&lt;&gt;"",EDATE($D15,Milestones!$AA$114)&gt;=$Y15),$AB15,$AA15)))=Milestones!$AB$114),UPPER(TEXT(EDATE($D15,Milestones!$AA$114),"dd mmm yy"))&amp;" "&amp;Milestones!$AB$114&amp;" "&amp;IF(AND(Milestones!$AB$114="FT",Milestones!$AA$114=FT_Y5,EDATE($D15,Milestones!$AA$114)&lt;PolicyEff),1,Milestones!$AC$114)&amp;";  ","")&amp;IF(AND(EDATE($D15,Milestones!$AA$115)&lt;=AsOfDate,EDATE($D15,Milestones!$AA$115)&gt;=SchemeStart,IF($X15=0,$AD15,IF(AND($Z15&lt;&gt;"",EDATE($D15,Milestones!$AA$115)&gt;=$Z15),$AC15,IF(AND($Y15&lt;&gt;"",EDATE($D15,Milestones!$AA$115)&gt;=$Y15),$AB15,$AA15)))=Milestones!$AB$115),UPPER(TEXT(EDATE($D15,Milestones!$AA$115),"dd mmm yy"))&amp;" "&amp;Milestones!$AB$115&amp;" "&amp;IF(AND(Milestones!$AB$115="FT",Milestones!$AA$115=FT_Y5,EDATE($D15,Milestones!$AA$115)&lt;PolicyEff),1,Milestones!$AC$115)&amp;";  ",""))</f>
        <v/>
      </c>
      <c r="Q15" s="0" t="str">
        <f aca="false">IF(OR($A15="",$D15=""),"",IF(AND(EDATE($D15,Milestones!$AA$116)&lt;=AsOfDate,EDATE($D15,Milestones!$AA$116)&gt;=SchemeStart,IF($X15=0,$AD15,IF(AND($Z15&lt;&gt;"",EDATE($D15,Milestones!$AA$116)&gt;=$Z15),$AC15,IF(AND($Y15&lt;&gt;"",EDATE($D15,Milestones!$AA$116)&gt;=$Y15),$AB15,$AA15)))=Milestones!$AB$116),UPPER(TEXT(EDATE($D15,Milestones!$AA$116),"dd mmm yy"))&amp;" "&amp;Milestones!$AB$116&amp;" "&amp;IF(AND(Milestones!$AB$116="FT",Milestones!$AA$116=FT_Y5,EDATE($D15,Milestones!$AA$116)&lt;PolicyEff),1,Milestones!$AC$116)&amp;";  ","")&amp;IF(AND(EDATE($D15,Milestones!$AA$117)&lt;=AsOfDate,EDATE($D15,Milestones!$AA$117)&gt;=SchemeStart,IF($X15=0,$AD15,IF(AND($Z15&lt;&gt;"",EDATE($D15,Milestones!$AA$117)&gt;=$Z15),$AC15,IF(AND($Y15&lt;&gt;"",EDATE($D15,Milestones!$AA$117)&gt;=$Y15),$AB15,$AA15)))=Milestones!$AB$117),UPPER(TEXT(EDATE($D15,Milestones!$AA$117),"dd mmm yy"))&amp;" "&amp;Milestones!$AB$117&amp;" "&amp;IF(AND(Milestones!$AB$117="FT",Milestones!$AA$117=FT_Y5,EDATE($D15,Milestones!$AA$117)&lt;PolicyEff),1,Milestones!$AC$117)&amp;";  ","")&amp;IF(AND(EDATE($D15,Milestones!$AA$118)&lt;=AsOfDate,EDATE($D15,Milestones!$AA$118)&gt;=SchemeStart,IF($X15=0,$AD15,IF(AND($Z15&lt;&gt;"",EDATE($D15,Milestones!$AA$118)&gt;=$Z15),$AC15,IF(AND($Y15&lt;&gt;"",EDATE($D15,Milestones!$AA$118)&gt;=$Y15),$AB15,$AA15)))=Milestones!$AB$118),UPPER(TEXT(EDATE($D15,Milestones!$AA$118),"dd mmm yy"))&amp;" "&amp;Milestones!$AB$118&amp;" "&amp;IF(AND(Milestones!$AB$118="FT",Milestones!$AA$118=FT_Y5,EDATE($D15,Milestones!$AA$118)&lt;PolicyEff),1,Milestones!$AC$118)&amp;";  ","")&amp;IF(AND(EDATE($D15,Milestones!$AA$119)&lt;=AsOfDate,EDATE($D15,Milestones!$AA$119)&gt;=SchemeStart,IF($X15=0,$AD15,IF(AND($Z15&lt;&gt;"",EDATE($D15,Milestones!$AA$119)&gt;=$Z15),$AC15,IF(AND($Y15&lt;&gt;"",EDATE($D15,Milestones!$AA$119)&gt;=$Y15),$AB15,$AA15)))=Milestones!$AB$119),UPPER(TEXT(EDATE($D15,Milestones!$AA$119),"dd mmm yy"))&amp;" "&amp;Milestones!$AB$119&amp;" "&amp;IF(AND(Milestones!$AB$119="FT",Milestones!$AA$119=FT_Y5,EDATE($D15,Milestones!$AA$119)&lt;PolicyEff),1,Milestones!$AC$119)&amp;";  ","")&amp;IF(AND(EDATE($D15,Milestones!$AA$120)&lt;=AsOfDate,EDATE($D15,Milestones!$AA$120)&gt;=SchemeStart,IF($X15=0,$AD15,IF(AND($Z15&lt;&gt;"",EDATE($D15,Milestones!$AA$120)&gt;=$Z15),$AC15,IF(AND($Y15&lt;&gt;"",EDATE($D15,Milestones!$AA$120)&gt;=$Y15),$AB15,$AA15)))=Milestones!$AB$120),UPPER(TEXT(EDATE($D15,Milestones!$AA$120),"dd mmm yy"))&amp;" "&amp;Milestones!$AB$120&amp;" "&amp;IF(AND(Milestones!$AB$120="FT",Milestones!$AA$120=FT_Y5,EDATE($D15,Milestones!$AA$120)&lt;PolicyEff),1,Milestones!$AC$120)&amp;";  ","")&amp;IF(AND(EDATE($D15,Milestones!$AA$121)&lt;=AsOfDate,EDATE($D15,Milestones!$AA$121)&gt;=SchemeStart,IF($X15=0,$AD15,IF(AND($Z15&lt;&gt;"",EDATE($D15,Milestones!$AA$121)&gt;=$Z15),$AC15,IF(AND($Y15&lt;&gt;"",EDATE($D15,Milestones!$AA$121)&gt;=$Y15),$AB15,$AA15)))=Milestones!$AB$121),UPPER(TEXT(EDATE($D15,Milestones!$AA$121),"dd mmm yy"))&amp;" "&amp;Milestones!$AB$121&amp;" "&amp;IF(AND(Milestones!$AB$121="FT",Milestones!$AA$121=FT_Y5,EDATE($D15,Milestones!$AA$121)&lt;PolicyEff),1,Milestones!$AC$121)&amp;";  ","")&amp;IF(AND(EDATE($D15,Milestones!$AA$122)&lt;=AsOfDate,EDATE($D15,Milestones!$AA$122)&gt;=SchemeStart,IF($X15=0,$AD15,IF(AND($Z15&lt;&gt;"",EDATE($D15,Milestones!$AA$122)&gt;=$Z15),$AC15,IF(AND($Y15&lt;&gt;"",EDATE($D15,Milestones!$AA$122)&gt;=$Y15),$AB15,$AA15)))=Milestones!$AB$122),UPPER(TEXT(EDATE($D15,Milestones!$AA$122),"dd mmm yy"))&amp;" "&amp;Milestones!$AB$122&amp;" "&amp;IF(AND(Milestones!$AB$122="FT",Milestones!$AA$122=FT_Y5,EDATE($D15,Milestones!$AA$122)&lt;PolicyEff),1,Milestones!$AC$122)&amp;";  ","")&amp;IF(AND(EDATE($D15,Milestones!$AA$123)&lt;=AsOfDate,EDATE($D15,Milestones!$AA$123)&gt;=SchemeStart,IF($X15=0,$AD15,IF(AND($Z15&lt;&gt;"",EDATE($D15,Milestones!$AA$123)&gt;=$Z15),$AC15,IF(AND($Y15&lt;&gt;"",EDATE($D15,Milestones!$AA$123)&gt;=$Y15),$AB15,$AA15)))=Milestones!$AB$123),UPPER(TEXT(EDATE($D15,Milestones!$AA$123),"dd mmm yy"))&amp;" "&amp;Milestones!$AB$123&amp;" "&amp;IF(AND(Milestones!$AB$123="FT",Milestones!$AA$123=FT_Y5,EDATE($D15,Milestones!$AA$123)&lt;PolicyEff),1,Milestones!$AC$123)&amp;";  ","")&amp;IF(AND(EDATE($D15,Milestones!$AA$124)&lt;=AsOfDate,EDATE($D15,Milestones!$AA$124)&gt;=SchemeStart,IF($X15=0,$AD15,IF(AND($Z15&lt;&gt;"",EDATE($D15,Milestones!$AA$124)&gt;=$Z15),$AC15,IF(AND($Y15&lt;&gt;"",EDATE($D15,Milestones!$AA$124)&gt;=$Y15),$AB15,$AA15)))=Milestones!$AB$124),UPPER(TEXT(EDATE($D15,Milestones!$AA$124),"dd mmm yy"))&amp;" "&amp;Milestones!$AB$124&amp;" "&amp;IF(AND(Milestones!$AB$124="FT",Milestones!$AA$124=FT_Y5,EDATE($D15,Milestones!$AA$124)&lt;PolicyEff),1,Milestones!$AC$124)&amp;";  ","")&amp;IF(AND(EDATE($D15,Milestones!$AA$125)&lt;=AsOfDate,EDATE($D15,Milestones!$AA$125)&gt;=SchemeStart,IF($X15=0,$AD15,IF(AND($Z15&lt;&gt;"",EDATE($D15,Milestones!$AA$125)&gt;=$Z15),$AC15,IF(AND($Y15&lt;&gt;"",EDATE($D15,Milestones!$AA$125)&gt;=$Y15),$AB15,$AA15)))=Milestones!$AB$125),UPPER(TEXT(EDATE($D15,Milestones!$AA$125),"dd mmm yy"))&amp;" "&amp;Milestones!$AB$125&amp;" "&amp;IF(AND(Milestones!$AB$125="FT",Milestones!$AA$125=FT_Y5,EDATE($D15,Milestones!$AA$125)&lt;PolicyEff),1,Milestones!$AC$125)&amp;";  ","")&amp;IF(AND(EDATE($D15,Milestones!$AA$126)&lt;=AsOfDate,EDATE($D15,Milestones!$AA$126)&gt;=SchemeStart,IF($X15=0,$AD15,IF(AND($Z15&lt;&gt;"",EDATE($D15,Milestones!$AA$126)&gt;=$Z15),$AC15,IF(AND($Y15&lt;&gt;"",EDATE($D15,Milestones!$AA$126)&gt;=$Y15),$AB15,$AA15)))=Milestones!$AB$126),UPPER(TEXT(EDATE($D15,Milestones!$AA$126),"dd mmm yy"))&amp;" "&amp;Milestones!$AB$126&amp;" "&amp;IF(AND(Milestones!$AB$126="FT",Milestones!$AA$126=FT_Y5,EDATE($D15,Milestones!$AA$126)&lt;PolicyEff),1,Milestones!$AC$126)&amp;";  ","")&amp;IF(AND(EDATE($D15,Milestones!$AA$127)&lt;=AsOfDate,EDATE($D15,Milestones!$AA$127)&gt;=SchemeStart,IF($X15=0,$AD15,IF(AND($Z15&lt;&gt;"",EDATE($D15,Milestones!$AA$127)&gt;=$Z15),$AC15,IF(AND($Y15&lt;&gt;"",EDATE($D15,Milestones!$AA$127)&gt;=$Y15),$AB15,$AA15)))=Milestones!$AB$127),UPPER(TEXT(EDATE($D15,Milestones!$AA$127),"dd mmm yy"))&amp;" "&amp;Milestones!$AB$127&amp;" "&amp;IF(AND(Milestones!$AB$127="FT",Milestones!$AA$127=FT_Y5,EDATE($D15,Milestones!$AA$127)&lt;PolicyEff),1,Milestones!$AC$127)&amp;";  ",""))</f>
        <v/>
      </c>
      <c r="R15" s="0" t="str">
        <f aca="false">IF(OR($A15="",$D15=""),"",IF(AND(EDATE($D15,Milestones!$AA$128)&lt;=AsOfDate,EDATE($D15,Milestones!$AA$128)&gt;=SchemeStart,IF($X15=0,$AD15,IF(AND($Z15&lt;&gt;"",EDATE($D15,Milestones!$AA$128)&gt;=$Z15),$AC15,IF(AND($Y15&lt;&gt;"",EDATE($D15,Milestones!$AA$128)&gt;=$Y15),$AB15,$AA15)))=Milestones!$AB$128),UPPER(TEXT(EDATE($D15,Milestones!$AA$128),"dd mmm yy"))&amp;" "&amp;Milestones!$AB$128&amp;" "&amp;IF(AND(Milestones!$AB$128="FT",Milestones!$AA$128=FT_Y5,EDATE($D15,Milestones!$AA$128)&lt;PolicyEff),1,Milestones!$AC$128)&amp;";  ","")&amp;IF(AND(EDATE($D15,Milestones!$AA$129)&lt;=AsOfDate,EDATE($D15,Milestones!$AA$129)&gt;=SchemeStart,IF($X15=0,$AD15,IF(AND($Z15&lt;&gt;"",EDATE($D15,Milestones!$AA$129)&gt;=$Z15),$AC15,IF(AND($Y15&lt;&gt;"",EDATE($D15,Milestones!$AA$129)&gt;=$Y15),$AB15,$AA15)))=Milestones!$AB$129),UPPER(TEXT(EDATE($D15,Milestones!$AA$129),"dd mmm yy"))&amp;" "&amp;Milestones!$AB$129&amp;" "&amp;IF(AND(Milestones!$AB$129="FT",Milestones!$AA$129=FT_Y5,EDATE($D15,Milestones!$AA$129)&lt;PolicyEff),1,Milestones!$AC$129)&amp;";  ","")&amp;IF(AND(EDATE($D15,Milestones!$AA$130)&lt;=AsOfDate,EDATE($D15,Milestones!$AA$130)&gt;=SchemeStart,IF($X15=0,$AD15,IF(AND($Z15&lt;&gt;"",EDATE($D15,Milestones!$AA$130)&gt;=$Z15),$AC15,IF(AND($Y15&lt;&gt;"",EDATE($D15,Milestones!$AA$130)&gt;=$Y15),$AB15,$AA15)))=Milestones!$AB$130),UPPER(TEXT(EDATE($D15,Milestones!$AA$130),"dd mmm yy"))&amp;" "&amp;Milestones!$AB$130&amp;" "&amp;IF(AND(Milestones!$AB$130="FT",Milestones!$AA$130=FT_Y5,EDATE($D15,Milestones!$AA$130)&lt;PolicyEff),1,Milestones!$AC$130)&amp;";  ","")&amp;IF(AND(EDATE($D15,Milestones!$AA$131)&lt;=AsOfDate,EDATE($D15,Milestones!$AA$131)&gt;=SchemeStart,IF($X15=0,$AD15,IF(AND($Z15&lt;&gt;"",EDATE($D15,Milestones!$AA$131)&gt;=$Z15),$AC15,IF(AND($Y15&lt;&gt;"",EDATE($D15,Milestones!$AA$131)&gt;=$Y15),$AB15,$AA15)))=Milestones!$AB$131),UPPER(TEXT(EDATE($D15,Milestones!$AA$131),"dd mmm yy"))&amp;" "&amp;Milestones!$AB$131&amp;" "&amp;IF(AND(Milestones!$AB$131="FT",Milestones!$AA$131=FT_Y5,EDATE($D15,Milestones!$AA$131)&lt;PolicyEff),1,Milestones!$AC$131)&amp;";  ","")&amp;IF(AND(EDATE($D15,Milestones!$AA$132)&lt;=AsOfDate,EDATE($D15,Milestones!$AA$132)&gt;=SchemeStart,IF($X15=0,$AD15,IF(AND($Z15&lt;&gt;"",EDATE($D15,Milestones!$AA$132)&gt;=$Z15),$AC15,IF(AND($Y15&lt;&gt;"",EDATE($D15,Milestones!$AA$132)&gt;=$Y15),$AB15,$AA15)))=Milestones!$AB$132),UPPER(TEXT(EDATE($D15,Milestones!$AA$132),"dd mmm yy"))&amp;" "&amp;Milestones!$AB$132&amp;" "&amp;IF(AND(Milestones!$AB$132="FT",Milestones!$AA$132=FT_Y5,EDATE($D15,Milestones!$AA$132)&lt;PolicyEff),1,Milestones!$AC$132)&amp;";  ","")&amp;IF(AND(EDATE($D15,Milestones!$AA$133)&lt;=AsOfDate,EDATE($D15,Milestones!$AA$133)&gt;=SchemeStart,IF($X15=0,$AD15,IF(AND($Z15&lt;&gt;"",EDATE($D15,Milestones!$AA$133)&gt;=$Z15),$AC15,IF(AND($Y15&lt;&gt;"",EDATE($D15,Milestones!$AA$133)&gt;=$Y15),$AB15,$AA15)))=Milestones!$AB$133),UPPER(TEXT(EDATE($D15,Milestones!$AA$133),"dd mmm yy"))&amp;" "&amp;Milestones!$AB$133&amp;" "&amp;IF(AND(Milestones!$AB$133="FT",Milestones!$AA$133=FT_Y5,EDATE($D15,Milestones!$AA$133)&lt;PolicyEff),1,Milestones!$AC$133)&amp;";  ","")&amp;IF(AND(EDATE($D15,Milestones!$AA$134)&lt;=AsOfDate,EDATE($D15,Milestones!$AA$134)&gt;=SchemeStart,IF($X15=0,$AD15,IF(AND($Z15&lt;&gt;"",EDATE($D15,Milestones!$AA$134)&gt;=$Z15),$AC15,IF(AND($Y15&lt;&gt;"",EDATE($D15,Milestones!$AA$134)&gt;=$Y15),$AB15,$AA15)))=Milestones!$AB$134),UPPER(TEXT(EDATE($D15,Milestones!$AA$134),"dd mmm yy"))&amp;" "&amp;Milestones!$AB$134&amp;" "&amp;IF(AND(Milestones!$AB$134="FT",Milestones!$AA$134=FT_Y5,EDATE($D15,Milestones!$AA$134)&lt;PolicyEff),1,Milestones!$AC$134)&amp;";  ","")&amp;IF(AND(EDATE($D15,Milestones!$AA$135)&lt;=AsOfDate,EDATE($D15,Milestones!$AA$135)&gt;=SchemeStart,IF($X15=0,$AD15,IF(AND($Z15&lt;&gt;"",EDATE($D15,Milestones!$AA$135)&gt;=$Z15),$AC15,IF(AND($Y15&lt;&gt;"",EDATE($D15,Milestones!$AA$135)&gt;=$Y15),$AB15,$AA15)))=Milestones!$AB$135),UPPER(TEXT(EDATE($D15,Milestones!$AA$135),"dd mmm yy"))&amp;" "&amp;Milestones!$AB$135&amp;" "&amp;IF(AND(Milestones!$AB$135="FT",Milestones!$AA$135=FT_Y5,EDATE($D15,Milestones!$AA$135)&lt;PolicyEff),1,Milestones!$AC$135)&amp;";  ","")&amp;IF(AND(EDATE($D15,Milestones!$AA$136)&lt;=AsOfDate,EDATE($D15,Milestones!$AA$136)&gt;=SchemeStart,IF($X15=0,$AD15,IF(AND($Z15&lt;&gt;"",EDATE($D15,Milestones!$AA$136)&gt;=$Z15),$AC15,IF(AND($Y15&lt;&gt;"",EDATE($D15,Milestones!$AA$136)&gt;=$Y15),$AB15,$AA15)))=Milestones!$AB$136),UPPER(TEXT(EDATE($D15,Milestones!$AA$136),"dd mmm yy"))&amp;" "&amp;Milestones!$AB$136&amp;" "&amp;IF(AND(Milestones!$AB$136="FT",Milestones!$AA$136=FT_Y5,EDATE($D15,Milestones!$AA$136)&lt;PolicyEff),1,Milestones!$AC$136)&amp;";  ","")&amp;IF(AND(EDATE($D15,Milestones!$AA$137)&lt;=AsOfDate,EDATE($D15,Milestones!$AA$137)&gt;=SchemeStart,IF($X15=0,$AD15,IF(AND($Z15&lt;&gt;"",EDATE($D15,Milestones!$AA$137)&gt;=$Z15),$AC15,IF(AND($Y15&lt;&gt;"",EDATE($D15,Milestones!$AA$137)&gt;=$Y15),$AB15,$AA15)))=Milestones!$AB$137),UPPER(TEXT(EDATE($D15,Milestones!$AA$137),"dd mmm yy"))&amp;" "&amp;Milestones!$AB$137&amp;" "&amp;IF(AND(Milestones!$AB$137="FT",Milestones!$AA$137=FT_Y5,EDATE($D15,Milestones!$AA$137)&lt;PolicyEff),1,Milestones!$AC$137)&amp;";  ","")&amp;IF(AND(EDATE($D15,Milestones!$AA$138)&lt;=AsOfDate,EDATE($D15,Milestones!$AA$138)&gt;=SchemeStart,IF($X15=0,$AD15,IF(AND($Z15&lt;&gt;"",EDATE($D15,Milestones!$AA$138)&gt;=$Z15),$AC15,IF(AND($Y15&lt;&gt;"",EDATE($D15,Milestones!$AA$138)&gt;=$Y15),$AB15,$AA15)))=Milestones!$AB$138),UPPER(TEXT(EDATE($D15,Milestones!$AA$138),"dd mmm yy"))&amp;" "&amp;Milestones!$AB$138&amp;" "&amp;IF(AND(Milestones!$AB$138="FT",Milestones!$AA$138=FT_Y5,EDATE($D15,Milestones!$AA$138)&lt;PolicyEff),1,Milestones!$AC$138)&amp;";  ","")&amp;IF(AND(EDATE($D15,Milestones!$AA$139)&lt;=AsOfDate,EDATE($D15,Milestones!$AA$139)&gt;=SchemeStart,IF($X15=0,$AD15,IF(AND($Z15&lt;&gt;"",EDATE($D15,Milestones!$AA$139)&gt;=$Z15),$AC15,IF(AND($Y15&lt;&gt;"",EDATE($D15,Milestones!$AA$139)&gt;=$Y15),$AB15,$AA15)))=Milestones!$AB$139),UPPER(TEXT(EDATE($D15,Milestones!$AA$139),"dd mmm yy"))&amp;" "&amp;Milestones!$AB$139&amp;" "&amp;IF(AND(Milestones!$AB$139="FT",Milestones!$AA$139=FT_Y5,EDATE($D15,Milestones!$AA$139)&lt;PolicyEff),1,Milestones!$AC$139)&amp;";  ",""))</f>
        <v/>
      </c>
      <c r="S15" s="0" t="str">
        <f aca="false">IF(OR($A15="",$D15=""),"",IF(AND(EDATE($D15,Milestones!$AA$140)&lt;=AsOfDate,EDATE($D15,Milestones!$AA$140)&gt;=SchemeStart,IF($X15=0,$AD15,IF(AND($Z15&lt;&gt;"",EDATE($D15,Milestones!$AA$140)&gt;=$Z15),$AC15,IF(AND($Y15&lt;&gt;"",EDATE($D15,Milestones!$AA$140)&gt;=$Y15),$AB15,$AA15)))=Milestones!$AB$140),UPPER(TEXT(EDATE($D15,Milestones!$AA$140),"dd mmm yy"))&amp;" "&amp;Milestones!$AB$140&amp;" "&amp;IF(AND(Milestones!$AB$140="FT",Milestones!$AA$140=FT_Y5,EDATE($D15,Milestones!$AA$140)&lt;PolicyEff),1,Milestones!$AC$140)&amp;";  ","")&amp;IF(AND(EDATE($D15,Milestones!$AA$141)&lt;=AsOfDate,EDATE($D15,Milestones!$AA$141)&gt;=SchemeStart,IF($X15=0,$AD15,IF(AND($Z15&lt;&gt;"",EDATE($D15,Milestones!$AA$141)&gt;=$Z15),$AC15,IF(AND($Y15&lt;&gt;"",EDATE($D15,Milestones!$AA$141)&gt;=$Y15),$AB15,$AA15)))=Milestones!$AB$141),UPPER(TEXT(EDATE($D15,Milestones!$AA$141),"dd mmm yy"))&amp;" "&amp;Milestones!$AB$141&amp;" "&amp;IF(AND(Milestones!$AB$141="FT",Milestones!$AA$141=FT_Y5,EDATE($D15,Milestones!$AA$141)&lt;PolicyEff),1,Milestones!$AC$141)&amp;";  ","")&amp;IF(AND(EDATE($D15,Milestones!$AA$142)&lt;=AsOfDate,EDATE($D15,Milestones!$AA$142)&gt;=SchemeStart,IF($X15=0,$AD15,IF(AND($Z15&lt;&gt;"",EDATE($D15,Milestones!$AA$142)&gt;=$Z15),$AC15,IF(AND($Y15&lt;&gt;"",EDATE($D15,Milestones!$AA$142)&gt;=$Y15),$AB15,$AA15)))=Milestones!$AB$142),UPPER(TEXT(EDATE($D15,Milestones!$AA$142),"dd mmm yy"))&amp;" "&amp;Milestones!$AB$142&amp;" "&amp;IF(AND(Milestones!$AB$142="FT",Milestones!$AA$142=FT_Y5,EDATE($D15,Milestones!$AA$142)&lt;PolicyEff),1,Milestones!$AC$142)&amp;";  ","")&amp;IF(AND(EDATE($D15,Milestones!$AA$143)&lt;=AsOfDate,EDATE($D15,Milestones!$AA$143)&gt;=SchemeStart,IF($X15=0,$AD15,IF(AND($Z15&lt;&gt;"",EDATE($D15,Milestones!$AA$143)&gt;=$Z15),$AC15,IF(AND($Y15&lt;&gt;"",EDATE($D15,Milestones!$AA$143)&gt;=$Y15),$AB15,$AA15)))=Milestones!$AB$143),UPPER(TEXT(EDATE($D15,Milestones!$AA$143),"dd mmm yy"))&amp;" "&amp;Milestones!$AB$143&amp;" "&amp;IF(AND(Milestones!$AB$143="FT",Milestones!$AA$143=FT_Y5,EDATE($D15,Milestones!$AA$143)&lt;PolicyEff),1,Milestones!$AC$143)&amp;";  ","")&amp;IF(AND(EDATE($D15,Milestones!$AA$144)&lt;=AsOfDate,EDATE($D15,Milestones!$AA$144)&gt;=SchemeStart,IF($X15=0,$AD15,IF(AND($Z15&lt;&gt;"",EDATE($D15,Milestones!$AA$144)&gt;=$Z15),$AC15,IF(AND($Y15&lt;&gt;"",EDATE($D15,Milestones!$AA$144)&gt;=$Y15),$AB15,$AA15)))=Milestones!$AB$144),UPPER(TEXT(EDATE($D15,Milestones!$AA$144),"dd mmm yy"))&amp;" "&amp;Milestones!$AB$144&amp;" "&amp;IF(AND(Milestones!$AB$144="FT",Milestones!$AA$144=FT_Y5,EDATE($D15,Milestones!$AA$144)&lt;PolicyEff),1,Milestones!$AC$144)&amp;";  ","")&amp;IF(AND(EDATE($D15,Milestones!$AA$145)&lt;=AsOfDate,EDATE($D15,Milestones!$AA$145)&gt;=SchemeStart,IF($X15=0,$AD15,IF(AND($Z15&lt;&gt;"",EDATE($D15,Milestones!$AA$145)&gt;=$Z15),$AC15,IF(AND($Y15&lt;&gt;"",EDATE($D15,Milestones!$AA$145)&gt;=$Y15),$AB15,$AA15)))=Milestones!$AB$145),UPPER(TEXT(EDATE($D15,Milestones!$AA$145),"dd mmm yy"))&amp;" "&amp;Milestones!$AB$145&amp;" "&amp;IF(AND(Milestones!$AB$145="FT",Milestones!$AA$145=FT_Y5,EDATE($D15,Milestones!$AA$145)&lt;PolicyEff),1,Milestones!$AC$145)&amp;";  ","")&amp;IF(AND(EDATE($D15,Milestones!$AA$146)&lt;=AsOfDate,EDATE($D15,Milestones!$AA$146)&gt;=SchemeStart,IF($X15=0,$AD15,IF(AND($Z15&lt;&gt;"",EDATE($D15,Milestones!$AA$146)&gt;=$Z15),$AC15,IF(AND($Y15&lt;&gt;"",EDATE($D15,Milestones!$AA$146)&gt;=$Y15),$AB15,$AA15)))=Milestones!$AB$146),UPPER(TEXT(EDATE($D15,Milestones!$AA$146),"dd mmm yy"))&amp;" "&amp;Milestones!$AB$146&amp;" "&amp;IF(AND(Milestones!$AB$146="FT",Milestones!$AA$146=FT_Y5,EDATE($D15,Milestones!$AA$146)&lt;PolicyEff),1,Milestones!$AC$146)&amp;";  ","")&amp;IF(AND(EDATE($D15,Milestones!$AA$147)&lt;=AsOfDate,EDATE($D15,Milestones!$AA$147)&gt;=SchemeStart,IF($X15=0,$AD15,IF(AND($Z15&lt;&gt;"",EDATE($D15,Milestones!$AA$147)&gt;=$Z15),$AC15,IF(AND($Y15&lt;&gt;"",EDATE($D15,Milestones!$AA$147)&gt;=$Y15),$AB15,$AA15)))=Milestones!$AB$147),UPPER(TEXT(EDATE($D15,Milestones!$AA$147),"dd mmm yy"))&amp;" "&amp;Milestones!$AB$147&amp;" "&amp;IF(AND(Milestones!$AB$147="FT",Milestones!$AA$147=FT_Y5,EDATE($D15,Milestones!$AA$147)&lt;PolicyEff),1,Milestones!$AC$147)&amp;";  ","")&amp;IF(AND(EDATE($D15,Milestones!$AA$148)&lt;=AsOfDate,EDATE($D15,Milestones!$AA$148)&gt;=SchemeStart,IF($X15=0,$AD15,IF(AND($Z15&lt;&gt;"",EDATE($D15,Milestones!$AA$148)&gt;=$Z15),$AC15,IF(AND($Y15&lt;&gt;"",EDATE($D15,Milestones!$AA$148)&gt;=$Y15),$AB15,$AA15)))=Milestones!$AB$148),UPPER(TEXT(EDATE($D15,Milestones!$AA$148),"dd mmm yy"))&amp;" "&amp;Milestones!$AB$148&amp;" "&amp;IF(AND(Milestones!$AB$148="FT",Milestones!$AA$148=FT_Y5,EDATE($D15,Milestones!$AA$148)&lt;PolicyEff),1,Milestones!$AC$148)&amp;";  ","")&amp;IF(AND(EDATE($D15,Milestones!$AA$149)&lt;=AsOfDate,EDATE($D15,Milestones!$AA$149)&gt;=SchemeStart,IF($X15=0,$AD15,IF(AND($Z15&lt;&gt;"",EDATE($D15,Milestones!$AA$149)&gt;=$Z15),$AC15,IF(AND($Y15&lt;&gt;"",EDATE($D15,Milestones!$AA$149)&gt;=$Y15),$AB15,$AA15)))=Milestones!$AB$149),UPPER(TEXT(EDATE($D15,Milestones!$AA$149),"dd mmm yy"))&amp;" "&amp;Milestones!$AB$149&amp;" "&amp;IF(AND(Milestones!$AB$149="FT",Milestones!$AA$149=FT_Y5,EDATE($D15,Milestones!$AA$149)&lt;PolicyEff),1,Milestones!$AC$149)&amp;";  ","")&amp;IF(AND(EDATE($D15,Milestones!$AA$150)&lt;=AsOfDate,EDATE($D15,Milestones!$AA$150)&gt;=SchemeStart,IF($X15=0,$AD15,IF(AND($Z15&lt;&gt;"",EDATE($D15,Milestones!$AA$150)&gt;=$Z15),$AC15,IF(AND($Y15&lt;&gt;"",EDATE($D15,Milestones!$AA$150)&gt;=$Y15),$AB15,$AA15)))=Milestones!$AB$150),UPPER(TEXT(EDATE($D15,Milestones!$AA$150),"dd mmm yy"))&amp;" "&amp;Milestones!$AB$150&amp;" "&amp;IF(AND(Milestones!$AB$150="FT",Milestones!$AA$150=FT_Y5,EDATE($D15,Milestones!$AA$150)&lt;PolicyEff),1,Milestones!$AC$150)&amp;";  ","")&amp;IF(AND(EDATE($D15,Milestones!$AA$151)&lt;=AsOfDate,EDATE($D15,Milestones!$AA$151)&gt;=SchemeStart,IF($X15=0,$AD15,IF(AND($Z15&lt;&gt;"",EDATE($D15,Milestones!$AA$151)&gt;=$Z15),$AC15,IF(AND($Y15&lt;&gt;"",EDATE($D15,Milestones!$AA$151)&gt;=$Y15),$AB15,$AA15)))=Milestones!$AB$151),UPPER(TEXT(EDATE($D15,Milestones!$AA$151),"dd mmm yy"))&amp;" "&amp;Milestones!$AB$151&amp;" "&amp;IF(AND(Milestones!$AB$151="FT",Milestones!$AA$151=FT_Y5,EDATE($D15,Milestones!$AA$151)&lt;PolicyEff),1,Milestones!$AC$151)&amp;";  ",""))</f>
        <v/>
      </c>
      <c r="T15" s="0" t="str">
        <f aca="false">IF(OR($A15="",$D15=""),"",IF(AND(EDATE($D15,Milestones!$AA$152)&lt;=AsOfDate,EDATE($D15,Milestones!$AA$152)&gt;=SchemeStart,IF($X15=0,$AD15,IF(AND($Z15&lt;&gt;"",EDATE($D15,Milestones!$AA$152)&gt;=$Z15),$AC15,IF(AND($Y15&lt;&gt;"",EDATE($D15,Milestones!$AA$152)&gt;=$Y15),$AB15,$AA15)))=Milestones!$AB$152),UPPER(TEXT(EDATE($D15,Milestones!$AA$152),"dd mmm yy"))&amp;" "&amp;Milestones!$AB$152&amp;" "&amp;IF(AND(Milestones!$AB$152="FT",Milestones!$AA$152=FT_Y5,EDATE($D15,Milestones!$AA$152)&lt;PolicyEff),1,Milestones!$AC$152)&amp;";  ","")&amp;IF(AND(EDATE($D15,Milestones!$AA$153)&lt;=AsOfDate,EDATE($D15,Milestones!$AA$153)&gt;=SchemeStart,IF($X15=0,$AD15,IF(AND($Z15&lt;&gt;"",EDATE($D15,Milestones!$AA$153)&gt;=$Z15),$AC15,IF(AND($Y15&lt;&gt;"",EDATE($D15,Milestones!$AA$153)&gt;=$Y15),$AB15,$AA15)))=Milestones!$AB$153),UPPER(TEXT(EDATE($D15,Milestones!$AA$153),"dd mmm yy"))&amp;" "&amp;Milestones!$AB$153&amp;" "&amp;IF(AND(Milestones!$AB$153="FT",Milestones!$AA$153=FT_Y5,EDATE($D15,Milestones!$AA$153)&lt;PolicyEff),1,Milestones!$AC$153)&amp;";  ","")&amp;IF(AND(EDATE($D15,Milestones!$AA$154)&lt;=AsOfDate,EDATE($D15,Milestones!$AA$154)&gt;=SchemeStart,IF($X15=0,$AD15,IF(AND($Z15&lt;&gt;"",EDATE($D15,Milestones!$AA$154)&gt;=$Z15),$AC15,IF(AND($Y15&lt;&gt;"",EDATE($D15,Milestones!$AA$154)&gt;=$Y15),$AB15,$AA15)))=Milestones!$AB$154),UPPER(TEXT(EDATE($D15,Milestones!$AA$154),"dd mmm yy"))&amp;" "&amp;Milestones!$AB$154&amp;" "&amp;IF(AND(Milestones!$AB$154="FT",Milestones!$AA$154=FT_Y5,EDATE($D15,Milestones!$AA$154)&lt;PolicyEff),1,Milestones!$AC$154)&amp;";  ","")&amp;IF(AND(EDATE($D15,Milestones!$AA$155)&lt;=AsOfDate,EDATE($D15,Milestones!$AA$155)&gt;=SchemeStart,IF($X15=0,$AD15,IF(AND($Z15&lt;&gt;"",EDATE($D15,Milestones!$AA$155)&gt;=$Z15),$AC15,IF(AND($Y15&lt;&gt;"",EDATE($D15,Milestones!$AA$155)&gt;=$Y15),$AB15,$AA15)))=Milestones!$AB$155),UPPER(TEXT(EDATE($D15,Milestones!$AA$155),"dd mmm yy"))&amp;" "&amp;Milestones!$AB$155&amp;" "&amp;IF(AND(Milestones!$AB$155="FT",Milestones!$AA$155=FT_Y5,EDATE($D15,Milestones!$AA$155)&lt;PolicyEff),1,Milestones!$AC$155)&amp;";  ","")&amp;IF(AND(EDATE($D15,Milestones!$AA$156)&lt;=AsOfDate,EDATE($D15,Milestones!$AA$156)&gt;=SchemeStart,IF($X15=0,$AD15,IF(AND($Z15&lt;&gt;"",EDATE($D15,Milestones!$AA$156)&gt;=$Z15),$AC15,IF(AND($Y15&lt;&gt;"",EDATE($D15,Milestones!$AA$156)&gt;=$Y15),$AB15,$AA15)))=Milestones!$AB$156),UPPER(TEXT(EDATE($D15,Milestones!$AA$156),"dd mmm yy"))&amp;" "&amp;Milestones!$AB$156&amp;" "&amp;IF(AND(Milestones!$AB$156="FT",Milestones!$AA$156=FT_Y5,EDATE($D15,Milestones!$AA$156)&lt;PolicyEff),1,Milestones!$AC$156)&amp;";  ","")&amp;IF(AND(EDATE($D15,Milestones!$AA$157)&lt;=AsOfDate,EDATE($D15,Milestones!$AA$157)&gt;=SchemeStart,IF($X15=0,$AD15,IF(AND($Z15&lt;&gt;"",EDATE($D15,Milestones!$AA$157)&gt;=$Z15),$AC15,IF(AND($Y15&lt;&gt;"",EDATE($D15,Milestones!$AA$157)&gt;=$Y15),$AB15,$AA15)))=Milestones!$AB$157),UPPER(TEXT(EDATE($D15,Milestones!$AA$157),"dd mmm yy"))&amp;" "&amp;Milestones!$AB$157&amp;" "&amp;IF(AND(Milestones!$AB$157="FT",Milestones!$AA$157=FT_Y5,EDATE($D15,Milestones!$AA$157)&lt;PolicyEff),1,Milestones!$AC$157)&amp;";  ","")&amp;IF(AND(EDATE($D15,Milestones!$AA$158)&lt;=AsOfDate,EDATE($D15,Milestones!$AA$158)&gt;=SchemeStart,IF($X15=0,$AD15,IF(AND($Z15&lt;&gt;"",EDATE($D15,Milestones!$AA$158)&gt;=$Z15),$AC15,IF(AND($Y15&lt;&gt;"",EDATE($D15,Milestones!$AA$158)&gt;=$Y15),$AB15,$AA15)))=Milestones!$AB$158),UPPER(TEXT(EDATE($D15,Milestones!$AA$158),"dd mmm yy"))&amp;" "&amp;Milestones!$AB$158&amp;" "&amp;IF(AND(Milestones!$AB$158="FT",Milestones!$AA$158=FT_Y5,EDATE($D15,Milestones!$AA$158)&lt;PolicyEff),1,Milestones!$AC$158)&amp;";  ","")&amp;IF(AND(EDATE($D15,Milestones!$AA$159)&lt;=AsOfDate,EDATE($D15,Milestones!$AA$159)&gt;=SchemeStart,IF($X15=0,$AD15,IF(AND($Z15&lt;&gt;"",EDATE($D15,Milestones!$AA$159)&gt;=$Z15),$AC15,IF(AND($Y15&lt;&gt;"",EDATE($D15,Milestones!$AA$159)&gt;=$Y15),$AB15,$AA15)))=Milestones!$AB$159),UPPER(TEXT(EDATE($D15,Milestones!$AA$159),"dd mmm yy"))&amp;" "&amp;Milestones!$AB$159&amp;" "&amp;IF(AND(Milestones!$AB$159="FT",Milestones!$AA$159=FT_Y5,EDATE($D15,Milestones!$AA$159)&lt;PolicyEff),1,Milestones!$AC$159)&amp;";  ","")&amp;IF(AND(EDATE($D15,Milestones!$AA$160)&lt;=AsOfDate,EDATE($D15,Milestones!$AA$160)&gt;=SchemeStart,IF($X15=0,$AD15,IF(AND($Z15&lt;&gt;"",EDATE($D15,Milestones!$AA$160)&gt;=$Z15),$AC15,IF(AND($Y15&lt;&gt;"",EDATE($D15,Milestones!$AA$160)&gt;=$Y15),$AB15,$AA15)))=Milestones!$AB$160),UPPER(TEXT(EDATE($D15,Milestones!$AA$160),"dd mmm yy"))&amp;" "&amp;Milestones!$AB$160&amp;" "&amp;IF(AND(Milestones!$AB$160="FT",Milestones!$AA$160=FT_Y5,EDATE($D15,Milestones!$AA$160)&lt;PolicyEff),1,Milestones!$AC$160)&amp;";  ","")&amp;IF(AND(EDATE($D15,Milestones!$AA$161)&lt;=AsOfDate,EDATE($D15,Milestones!$AA$161)&gt;=SchemeStart,IF($X15=0,$AD15,IF(AND($Z15&lt;&gt;"",EDATE($D15,Milestones!$AA$161)&gt;=$Z15),$AC15,IF(AND($Y15&lt;&gt;"",EDATE($D15,Milestones!$AA$161)&gt;=$Y15),$AB15,$AA15)))=Milestones!$AB$161),UPPER(TEXT(EDATE($D15,Milestones!$AA$161),"dd mmm yy"))&amp;" "&amp;Milestones!$AB$161&amp;" "&amp;IF(AND(Milestones!$AB$161="FT",Milestones!$AA$161=FT_Y5,EDATE($D15,Milestones!$AA$161)&lt;PolicyEff),1,Milestones!$AC$161)&amp;";  ","")&amp;IF(AND(EDATE($D15,Milestones!$AA$162)&lt;=AsOfDate,EDATE($D15,Milestones!$AA$162)&gt;=SchemeStart,IF($X15=0,$AD15,IF(AND($Z15&lt;&gt;"",EDATE($D15,Milestones!$AA$162)&gt;=$Z15),$AC15,IF(AND($Y15&lt;&gt;"",EDATE($D15,Milestones!$AA$162)&gt;=$Y15),$AB15,$AA15)))=Milestones!$AB$162),UPPER(TEXT(EDATE($D15,Milestones!$AA$162),"dd mmm yy"))&amp;" "&amp;Milestones!$AB$162&amp;" "&amp;IF(AND(Milestones!$AB$162="FT",Milestones!$AA$162=FT_Y5,EDATE($D15,Milestones!$AA$162)&lt;PolicyEff),1,Milestones!$AC$162)&amp;";  ","")&amp;IF(AND(EDATE($D15,Milestones!$AA$163)&lt;=AsOfDate,EDATE($D15,Milestones!$AA$163)&gt;=SchemeStart,IF($X15=0,$AD15,IF(AND($Z15&lt;&gt;"",EDATE($D15,Milestones!$AA$163)&gt;=$Z15),$AC15,IF(AND($Y15&lt;&gt;"",EDATE($D15,Milestones!$AA$163)&gt;=$Y15),$AB15,$AA15)))=Milestones!$AB$163),UPPER(TEXT(EDATE($D15,Milestones!$AA$163),"dd mmm yy"))&amp;" "&amp;Milestones!$AB$163&amp;" "&amp;IF(AND(Milestones!$AB$163="FT",Milestones!$AA$163=FT_Y5,EDATE($D15,Milestones!$AA$163)&lt;PolicyEff),1,Milestones!$AC$163)&amp;";  ",""))</f>
        <v/>
      </c>
      <c r="U15" s="0" t="str">
        <f aca="false">IF(OR($A15="",$D15=""),"",IF(AND(EDATE($D15,Milestones!$AA$164)&lt;=AsOfDate,EDATE($D15,Milestones!$AA$164)&gt;=SchemeStart,IF($X15=0,$AD15,IF(AND($Z15&lt;&gt;"",EDATE($D15,Milestones!$AA$164)&gt;=$Z15),$AC15,IF(AND($Y15&lt;&gt;"",EDATE($D15,Milestones!$AA$164)&gt;=$Y15),$AB15,$AA15)))=Milestones!$AB$164),UPPER(TEXT(EDATE($D15,Milestones!$AA$164),"dd mmm yy"))&amp;" "&amp;Milestones!$AB$164&amp;" "&amp;IF(AND(Milestones!$AB$164="FT",Milestones!$AA$164=FT_Y5,EDATE($D15,Milestones!$AA$164)&lt;PolicyEff),1,Milestones!$AC$164)&amp;";  ","")&amp;IF(AND(EDATE($D15,Milestones!$AA$165)&lt;=AsOfDate,EDATE($D15,Milestones!$AA$165)&gt;=SchemeStart,IF($X15=0,$AD15,IF(AND($Z15&lt;&gt;"",EDATE($D15,Milestones!$AA$165)&gt;=$Z15),$AC15,IF(AND($Y15&lt;&gt;"",EDATE($D15,Milestones!$AA$165)&gt;=$Y15),$AB15,$AA15)))=Milestones!$AB$165),UPPER(TEXT(EDATE($D15,Milestones!$AA$165),"dd mmm yy"))&amp;" "&amp;Milestones!$AB$165&amp;" "&amp;IF(AND(Milestones!$AB$165="FT",Milestones!$AA$165=FT_Y5,EDATE($D15,Milestones!$AA$165)&lt;PolicyEff),1,Milestones!$AC$165)&amp;";  ","")&amp;IF(AND(EDATE($D15,Milestones!$AA$166)&lt;=AsOfDate,EDATE($D15,Milestones!$AA$166)&gt;=SchemeStart,IF($X15=0,$AD15,IF(AND($Z15&lt;&gt;"",EDATE($D15,Milestones!$AA$166)&gt;=$Z15),$AC15,IF(AND($Y15&lt;&gt;"",EDATE($D15,Milestones!$AA$166)&gt;=$Y15),$AB15,$AA15)))=Milestones!$AB$166),UPPER(TEXT(EDATE($D15,Milestones!$AA$166),"dd mmm yy"))&amp;" "&amp;Milestones!$AB$166&amp;" "&amp;IF(AND(Milestones!$AB$166="FT",Milestones!$AA$166=FT_Y5,EDATE($D15,Milestones!$AA$166)&lt;PolicyEff),1,Milestones!$AC$166)&amp;";  ","")&amp;IF(AND(EDATE($D15,Milestones!$AA$167)&lt;=AsOfDate,EDATE($D15,Milestones!$AA$167)&gt;=SchemeStart,IF($X15=0,$AD15,IF(AND($Z15&lt;&gt;"",EDATE($D15,Milestones!$AA$167)&gt;=$Z15),$AC15,IF(AND($Y15&lt;&gt;"",EDATE($D15,Milestones!$AA$167)&gt;=$Y15),$AB15,$AA15)))=Milestones!$AB$167),UPPER(TEXT(EDATE($D15,Milestones!$AA$167),"dd mmm yy"))&amp;" "&amp;Milestones!$AB$167&amp;" "&amp;IF(AND(Milestones!$AB$167="FT",Milestones!$AA$167=FT_Y5,EDATE($D15,Milestones!$AA$167)&lt;PolicyEff),1,Milestones!$AC$167)&amp;";  ","")&amp;IF(AND(EDATE($D15,Milestones!$AA$168)&lt;=AsOfDate,EDATE($D15,Milestones!$AA$168)&gt;=SchemeStart,IF($X15=0,$AD15,IF(AND($Z15&lt;&gt;"",EDATE($D15,Milestones!$AA$168)&gt;=$Z15),$AC15,IF(AND($Y15&lt;&gt;"",EDATE($D15,Milestones!$AA$168)&gt;=$Y15),$AB15,$AA15)))=Milestones!$AB$168),UPPER(TEXT(EDATE($D15,Milestones!$AA$168),"dd mmm yy"))&amp;" "&amp;Milestones!$AB$168&amp;" "&amp;IF(AND(Milestones!$AB$168="FT",Milestones!$AA$168=FT_Y5,EDATE($D15,Milestones!$AA$168)&lt;PolicyEff),1,Milestones!$AC$168)&amp;";  ","")&amp;IF(AND(EDATE($D15,Milestones!$AA$169)&lt;=AsOfDate,EDATE($D15,Milestones!$AA$169)&gt;=SchemeStart,IF($X15=0,$AD15,IF(AND($Z15&lt;&gt;"",EDATE($D15,Milestones!$AA$169)&gt;=$Z15),$AC15,IF(AND($Y15&lt;&gt;"",EDATE($D15,Milestones!$AA$169)&gt;=$Y15),$AB15,$AA15)))=Milestones!$AB$169),UPPER(TEXT(EDATE($D15,Milestones!$AA$169),"dd mmm yy"))&amp;" "&amp;Milestones!$AB$169&amp;" "&amp;IF(AND(Milestones!$AB$169="FT",Milestones!$AA$169=FT_Y5,EDATE($D15,Milestones!$AA$169)&lt;PolicyEff),1,Milestones!$AC$169)&amp;";  ","")&amp;IF(AND(EDATE($D15,Milestones!$AA$170)&lt;=AsOfDate,EDATE($D15,Milestones!$AA$170)&gt;=SchemeStart,IF($X15=0,$AD15,IF(AND($Z15&lt;&gt;"",EDATE($D15,Milestones!$AA$170)&gt;=$Z15),$AC15,IF(AND($Y15&lt;&gt;"",EDATE($D15,Milestones!$AA$170)&gt;=$Y15),$AB15,$AA15)))=Milestones!$AB$170),UPPER(TEXT(EDATE($D15,Milestones!$AA$170),"dd mmm yy"))&amp;" "&amp;Milestones!$AB$170&amp;" "&amp;IF(AND(Milestones!$AB$170="FT",Milestones!$AA$170=FT_Y5,EDATE($D15,Milestones!$AA$170)&lt;PolicyEff),1,Milestones!$AC$170)&amp;";  ","")&amp;IF(AND(EDATE($D15,Milestones!$AA$171)&lt;=AsOfDate,EDATE($D15,Milestones!$AA$171)&gt;=SchemeStart,IF($X15=0,$AD15,IF(AND($Z15&lt;&gt;"",EDATE($D15,Milestones!$AA$171)&gt;=$Z15),$AC15,IF(AND($Y15&lt;&gt;"",EDATE($D15,Milestones!$AA$171)&gt;=$Y15),$AB15,$AA15)))=Milestones!$AB$171),UPPER(TEXT(EDATE($D15,Milestones!$AA$171),"dd mmm yy"))&amp;" "&amp;Milestones!$AB$171&amp;" "&amp;IF(AND(Milestones!$AB$171="FT",Milestones!$AA$171=FT_Y5,EDATE($D15,Milestones!$AA$171)&lt;PolicyEff),1,Milestones!$AC$171)&amp;";  ","")&amp;IF(AND(EDATE($D15,Milestones!$AA$172)&lt;=AsOfDate,EDATE($D15,Milestones!$AA$172)&gt;=SchemeStart,IF($X15=0,$AD15,IF(AND($Z15&lt;&gt;"",EDATE($D15,Milestones!$AA$172)&gt;=$Z15),$AC15,IF(AND($Y15&lt;&gt;"",EDATE($D15,Milestones!$AA$172)&gt;=$Y15),$AB15,$AA15)))=Milestones!$AB$172),UPPER(TEXT(EDATE($D15,Milestones!$AA$172),"dd mmm yy"))&amp;" "&amp;Milestones!$AB$172&amp;" "&amp;IF(AND(Milestones!$AB$172="FT",Milestones!$AA$172=FT_Y5,EDATE($D15,Milestones!$AA$172)&lt;PolicyEff),1,Milestones!$AC$172)&amp;";  ","")&amp;IF(AND(EDATE($D15,Milestones!$AA$173)&lt;=AsOfDate,EDATE($D15,Milestones!$AA$173)&gt;=SchemeStart,IF($X15=0,$AD15,IF(AND($Z15&lt;&gt;"",EDATE($D15,Milestones!$AA$173)&gt;=$Z15),$AC15,IF(AND($Y15&lt;&gt;"",EDATE($D15,Milestones!$AA$173)&gt;=$Y15),$AB15,$AA15)))=Milestones!$AB$173),UPPER(TEXT(EDATE($D15,Milestones!$AA$173),"dd mmm yy"))&amp;" "&amp;Milestones!$AB$173&amp;" "&amp;IF(AND(Milestones!$AB$173="FT",Milestones!$AA$173=FT_Y5,EDATE($D15,Milestones!$AA$173)&lt;PolicyEff),1,Milestones!$AC$173)&amp;";  ","")&amp;IF(AND(EDATE($D15,Milestones!$AA$174)&lt;=AsOfDate,EDATE($D15,Milestones!$AA$174)&gt;=SchemeStart,IF($X15=0,$AD15,IF(AND($Z15&lt;&gt;"",EDATE($D15,Milestones!$AA$174)&gt;=$Z15),$AC15,IF(AND($Y15&lt;&gt;"",EDATE($D15,Milestones!$AA$174)&gt;=$Y15),$AB15,$AA15)))=Milestones!$AB$174),UPPER(TEXT(EDATE($D15,Milestones!$AA$174),"dd mmm yy"))&amp;" "&amp;Milestones!$AB$174&amp;" "&amp;IF(AND(Milestones!$AB$174="FT",Milestones!$AA$174=FT_Y5,EDATE($D15,Milestones!$AA$174)&lt;PolicyEff),1,Milestones!$AC$174)&amp;";  ","")&amp;IF(AND(EDATE($D15,Milestones!$AA$175)&lt;=AsOfDate,EDATE($D15,Milestones!$AA$175)&gt;=SchemeStart,IF($X15=0,$AD15,IF(AND($Z15&lt;&gt;"",EDATE($D15,Milestones!$AA$175)&gt;=$Z15),$AC15,IF(AND($Y15&lt;&gt;"",EDATE($D15,Milestones!$AA$175)&gt;=$Y15),$AB15,$AA15)))=Milestones!$AB$175),UPPER(TEXT(EDATE($D15,Milestones!$AA$175),"dd mmm yy"))&amp;" "&amp;Milestones!$AB$175&amp;" "&amp;IF(AND(Milestones!$AB$175="FT",Milestones!$AA$175=FT_Y5,EDATE($D15,Milestones!$AA$175)&lt;PolicyEff),1,Milestones!$AC$175)&amp;";  ",""))</f>
        <v/>
      </c>
      <c r="V15" s="0" t="str">
        <f aca="false">IF(OR($A15="",$D15=""),"",IF(AND(EDATE($D15,Milestones!$AA$176)&lt;=AsOfDate,EDATE($D15,Milestones!$AA$176)&gt;=SchemeStart,IF($X15=0,$AD15,IF(AND($Z15&lt;&gt;"",EDATE($D15,Milestones!$AA$176)&gt;=$Z15),$AC15,IF(AND($Y15&lt;&gt;"",EDATE($D15,Milestones!$AA$176)&gt;=$Y15),$AB15,$AA15)))=Milestones!$AB$176),UPPER(TEXT(EDATE($D15,Milestones!$AA$176),"dd mmm yy"))&amp;" "&amp;Milestones!$AB$176&amp;" "&amp;IF(AND(Milestones!$AB$176="FT",Milestones!$AA$176=FT_Y5,EDATE($D15,Milestones!$AA$176)&lt;PolicyEff),1,Milestones!$AC$176)&amp;";  ","")&amp;IF(AND(EDATE($D15,Milestones!$AA$177)&lt;=AsOfDate,EDATE($D15,Milestones!$AA$177)&gt;=SchemeStart,IF($X15=0,$AD15,IF(AND($Z15&lt;&gt;"",EDATE($D15,Milestones!$AA$177)&gt;=$Z15),$AC15,IF(AND($Y15&lt;&gt;"",EDATE($D15,Milestones!$AA$177)&gt;=$Y15),$AB15,$AA15)))=Milestones!$AB$177),UPPER(TEXT(EDATE($D15,Milestones!$AA$177),"dd mmm yy"))&amp;" "&amp;Milestones!$AB$177&amp;" "&amp;IF(AND(Milestones!$AB$177="FT",Milestones!$AA$177=FT_Y5,EDATE($D15,Milestones!$AA$177)&lt;PolicyEff),1,Milestones!$AC$177)&amp;";  ","")&amp;IF(AND(EDATE($D15,Milestones!$AA$178)&lt;=AsOfDate,EDATE($D15,Milestones!$AA$178)&gt;=SchemeStart,IF($X15=0,$AD15,IF(AND($Z15&lt;&gt;"",EDATE($D15,Milestones!$AA$178)&gt;=$Z15),$AC15,IF(AND($Y15&lt;&gt;"",EDATE($D15,Milestones!$AA$178)&gt;=$Y15),$AB15,$AA15)))=Milestones!$AB$178),UPPER(TEXT(EDATE($D15,Milestones!$AA$178),"dd mmm yy"))&amp;" "&amp;Milestones!$AB$178&amp;" "&amp;IF(AND(Milestones!$AB$178="FT",Milestones!$AA$178=FT_Y5,EDATE($D15,Milestones!$AA$178)&lt;PolicyEff),1,Milestones!$AC$178)&amp;";  ","")&amp;IF(AND(EDATE($D15,Milestones!$AA$179)&lt;=AsOfDate,EDATE($D15,Milestones!$AA$179)&gt;=SchemeStart,IF($X15=0,$AD15,IF(AND($Z15&lt;&gt;"",EDATE($D15,Milestones!$AA$179)&gt;=$Z15),$AC15,IF(AND($Y15&lt;&gt;"",EDATE($D15,Milestones!$AA$179)&gt;=$Y15),$AB15,$AA15)))=Milestones!$AB$179),UPPER(TEXT(EDATE($D15,Milestones!$AA$179),"dd mmm yy"))&amp;" "&amp;Milestones!$AB$179&amp;" "&amp;IF(AND(Milestones!$AB$179="FT",Milestones!$AA$179=FT_Y5,EDATE($D15,Milestones!$AA$179)&lt;PolicyEff),1,Milestones!$AC$179)&amp;";  ","")&amp;IF(AND(EDATE($D15,Milestones!$AA$180)&lt;=AsOfDate,EDATE($D15,Milestones!$AA$180)&gt;=SchemeStart,IF($X15=0,$AD15,IF(AND($Z15&lt;&gt;"",EDATE($D15,Milestones!$AA$180)&gt;=$Z15),$AC15,IF(AND($Y15&lt;&gt;"",EDATE($D15,Milestones!$AA$180)&gt;=$Y15),$AB15,$AA15)))=Milestones!$AB$180),UPPER(TEXT(EDATE($D15,Milestones!$AA$180),"dd mmm yy"))&amp;" "&amp;Milestones!$AB$180&amp;" "&amp;IF(AND(Milestones!$AB$180="FT",Milestones!$AA$180=FT_Y5,EDATE($D15,Milestones!$AA$180)&lt;PolicyEff),1,Milestones!$AC$180)&amp;";  ","")&amp;IF(AND(EDATE($D15,Milestones!$AA$181)&lt;=AsOfDate,EDATE($D15,Milestones!$AA$181)&gt;=SchemeStart,IF($X15=0,$AD15,IF(AND($Z15&lt;&gt;"",EDATE($D15,Milestones!$AA$181)&gt;=$Z15),$AC15,IF(AND($Y15&lt;&gt;"",EDATE($D15,Milestones!$AA$181)&gt;=$Y15),$AB15,$AA15)))=Milestones!$AB$181),UPPER(TEXT(EDATE($D15,Milestones!$AA$181),"dd mmm yy"))&amp;" "&amp;Milestones!$AB$181&amp;" "&amp;IF(AND(Milestones!$AB$181="FT",Milestones!$AA$181=FT_Y5,EDATE($D15,Milestones!$AA$181)&lt;PolicyEff),1,Milestones!$AC$181)&amp;";  ","")&amp;IF(AND(EDATE($D15,Milestones!$AA$182)&lt;=AsOfDate,EDATE($D15,Milestones!$AA$182)&gt;=SchemeStart,IF($X15=0,$AD15,IF(AND($Z15&lt;&gt;"",EDATE($D15,Milestones!$AA$182)&gt;=$Z15),$AC15,IF(AND($Y15&lt;&gt;"",EDATE($D15,Milestones!$AA$182)&gt;=$Y15),$AB15,$AA15)))=Milestones!$AB$182),UPPER(TEXT(EDATE($D15,Milestones!$AA$182),"dd mmm yy"))&amp;" "&amp;Milestones!$AB$182&amp;" "&amp;IF(AND(Milestones!$AB$182="FT",Milestones!$AA$182=FT_Y5,EDATE($D15,Milestones!$AA$182)&lt;PolicyEff),1,Milestones!$AC$182)&amp;";  ","")&amp;IF(AND(EDATE($D15,Milestones!$AA$183)&lt;=AsOfDate,EDATE($D15,Milestones!$AA$183)&gt;=SchemeStart,IF($X15=0,$AD15,IF(AND($Z15&lt;&gt;"",EDATE($D15,Milestones!$AA$183)&gt;=$Z15),$AC15,IF(AND($Y15&lt;&gt;"",EDATE($D15,Milestones!$AA$183)&gt;=$Y15),$AB15,$AA15)))=Milestones!$AB$183),UPPER(TEXT(EDATE($D15,Milestones!$AA$183),"dd mmm yy"))&amp;" "&amp;Milestones!$AB$183&amp;" "&amp;IF(AND(Milestones!$AB$183="FT",Milestones!$AA$183=FT_Y5,EDATE($D15,Milestones!$AA$183)&lt;PolicyEff),1,Milestones!$AC$183)&amp;";  ","")&amp;IF(AND(EDATE($D15,Milestones!$AA$184)&lt;=AsOfDate,EDATE($D15,Milestones!$AA$184)&gt;=SchemeStart,IF($X15=0,$AD15,IF(AND($Z15&lt;&gt;"",EDATE($D15,Milestones!$AA$184)&gt;=$Z15),$AC15,IF(AND($Y15&lt;&gt;"",EDATE($D15,Milestones!$AA$184)&gt;=$Y15),$AB15,$AA15)))=Milestones!$AB$184),UPPER(TEXT(EDATE($D15,Milestones!$AA$184),"dd mmm yy"))&amp;" "&amp;Milestones!$AB$184&amp;" "&amp;IF(AND(Milestones!$AB$184="FT",Milestones!$AA$184=FT_Y5,EDATE($D15,Milestones!$AA$184)&lt;PolicyEff),1,Milestones!$AC$184)&amp;";  ","")&amp;IF(AND(EDATE($D15,Milestones!$AA$185)&lt;=AsOfDate,EDATE($D15,Milestones!$AA$185)&gt;=SchemeStart,IF($X15=0,$AD15,IF(AND($Z15&lt;&gt;"",EDATE($D15,Milestones!$AA$185)&gt;=$Z15),$AC15,IF(AND($Y15&lt;&gt;"",EDATE($D15,Milestones!$AA$185)&gt;=$Y15),$AB15,$AA15)))=Milestones!$AB$185),UPPER(TEXT(EDATE($D15,Milestones!$AA$185),"dd mmm yy"))&amp;" "&amp;Milestones!$AB$185&amp;" "&amp;IF(AND(Milestones!$AB$185="FT",Milestones!$AA$185=FT_Y5,EDATE($D15,Milestones!$AA$185)&lt;PolicyEff),1,Milestones!$AC$185)&amp;";  ","")&amp;IF(AND(EDATE($D15,Milestones!$AA$186)&lt;=AsOfDate,EDATE($D15,Milestones!$AA$186)&gt;=SchemeStart,IF($X15=0,$AD15,IF(AND($Z15&lt;&gt;"",EDATE($D15,Milestones!$AA$186)&gt;=$Z15),$AC15,IF(AND($Y15&lt;&gt;"",EDATE($D15,Milestones!$AA$186)&gt;=$Y15),$AB15,$AA15)))=Milestones!$AB$186),UPPER(TEXT(EDATE($D15,Milestones!$AA$186),"dd mmm yy"))&amp;" "&amp;Milestones!$AB$186&amp;" "&amp;IF(AND(Milestones!$AB$186="FT",Milestones!$AA$186=FT_Y5,EDATE($D15,Milestones!$AA$186)&lt;PolicyEff),1,Milestones!$AC$186)&amp;";  ","")&amp;IF(AND(EDATE($D15,Milestones!$AA$187)&lt;=AsOfDate,EDATE($D15,Milestones!$AA$187)&gt;=SchemeStart,IF($X15=0,$AD15,IF(AND($Z15&lt;&gt;"",EDATE($D15,Milestones!$AA$187)&gt;=$Z15),$AC15,IF(AND($Y15&lt;&gt;"",EDATE($D15,Milestones!$AA$187)&gt;=$Y15),$AB15,$AA15)))=Milestones!$AB$187),UPPER(TEXT(EDATE($D15,Milestones!$AA$187),"dd mmm yy"))&amp;" "&amp;Milestones!$AB$187&amp;" "&amp;IF(AND(Milestones!$AB$187="FT",Milestones!$AA$187=FT_Y5,EDATE($D15,Milestones!$AA$187)&lt;PolicyEff),1,Milestones!$AC$187)&amp;";  ",""))</f>
        <v/>
      </c>
      <c r="W15" s="0" t="str">
        <f aca="false">IF(OR($A15="",$D15=""),"",IF(AND(EDATE($D15,Milestones!$AA$188)&lt;=AsOfDate,EDATE($D15,Milestones!$AA$188)&gt;=SchemeStart,IF($X15=0,$AD15,IF(AND($Z15&lt;&gt;"",EDATE($D15,Milestones!$AA$188)&gt;=$Z15),$AC15,IF(AND($Y15&lt;&gt;"",EDATE($D15,Milestones!$AA$188)&gt;=$Y15),$AB15,$AA15)))=Milestones!$AB$188),UPPER(TEXT(EDATE($D15,Milestones!$AA$188),"dd mmm yy"))&amp;" "&amp;Milestones!$AB$188&amp;" "&amp;IF(AND(Milestones!$AB$188="FT",Milestones!$AA$188=FT_Y5,EDATE($D15,Milestones!$AA$188)&lt;PolicyEff),1,Milestones!$AC$188)&amp;";  ","")&amp;IF(AND(EDATE($D15,Milestones!$AA$189)&lt;=AsOfDate,EDATE($D15,Milestones!$AA$189)&gt;=SchemeStart,IF($X15=0,$AD15,IF(AND($Z15&lt;&gt;"",EDATE($D15,Milestones!$AA$189)&gt;=$Z15),$AC15,IF(AND($Y15&lt;&gt;"",EDATE($D15,Milestones!$AA$189)&gt;=$Y15),$AB15,$AA15)))=Milestones!$AB$189),UPPER(TEXT(EDATE($D15,Milestones!$AA$189),"dd mmm yy"))&amp;" "&amp;Milestones!$AB$189&amp;" "&amp;IF(AND(Milestones!$AB$189="FT",Milestones!$AA$189=FT_Y5,EDATE($D15,Milestones!$AA$189)&lt;PolicyEff),1,Milestones!$AC$189)&amp;";  ","")&amp;IF(AND(EDATE($D15,Milestones!$AA$190)&lt;=AsOfDate,EDATE($D15,Milestones!$AA$190)&gt;=SchemeStart,IF($X15=0,$AD15,IF(AND($Z15&lt;&gt;"",EDATE($D15,Milestones!$AA$190)&gt;=$Z15),$AC15,IF(AND($Y15&lt;&gt;"",EDATE($D15,Milestones!$AA$190)&gt;=$Y15),$AB15,$AA15)))=Milestones!$AB$190),UPPER(TEXT(EDATE($D15,Milestones!$AA$190),"dd mmm yy"))&amp;" "&amp;Milestones!$AB$190&amp;" "&amp;IF(AND(Milestones!$AB$190="FT",Milestones!$AA$190=FT_Y5,EDATE($D15,Milestones!$AA$190)&lt;PolicyEff),1,Milestones!$AC$190)&amp;";  ","")&amp;IF(AND(EDATE($D15,Milestones!$AA$191)&lt;=AsOfDate,EDATE($D15,Milestones!$AA$191)&gt;=SchemeStart,IF($X15=0,$AD15,IF(AND($Z15&lt;&gt;"",EDATE($D15,Milestones!$AA$191)&gt;=$Z15),$AC15,IF(AND($Y15&lt;&gt;"",EDATE($D15,Milestones!$AA$191)&gt;=$Y15),$AB15,$AA15)))=Milestones!$AB$191),UPPER(TEXT(EDATE($D15,Milestones!$AA$191),"dd mmm yy"))&amp;" "&amp;Milestones!$AB$191&amp;" "&amp;IF(AND(Milestones!$AB$191="FT",Milestones!$AA$191=FT_Y5,EDATE($D15,Milestones!$AA$191)&lt;PolicyEff),1,Milestones!$AC$191)&amp;";  ","")&amp;IF(AND(EDATE($D15,Milestones!$AA$192)&lt;=AsOfDate,EDATE($D15,Milestones!$AA$192)&gt;=SchemeStart,IF($X15=0,$AD15,IF(AND($Z15&lt;&gt;"",EDATE($D15,Milestones!$AA$192)&gt;=$Z15),$AC15,IF(AND($Y15&lt;&gt;"",EDATE($D15,Milestones!$AA$192)&gt;=$Y15),$AB15,$AA15)))=Milestones!$AB$192),UPPER(TEXT(EDATE($D15,Milestones!$AA$192),"dd mmm yy"))&amp;" "&amp;Milestones!$AB$192&amp;" "&amp;IF(AND(Milestones!$AB$192="FT",Milestones!$AA$192=FT_Y5,EDATE($D15,Milestones!$AA$192)&lt;PolicyEff),1,Milestones!$AC$192)&amp;";  ","")&amp;IF(AND(EDATE($D15,Milestones!$AA$193)&lt;=AsOfDate,EDATE($D15,Milestones!$AA$193)&gt;=SchemeStart,IF($X15=0,$AD15,IF(AND($Z15&lt;&gt;"",EDATE($D15,Milestones!$AA$193)&gt;=$Z15),$AC15,IF(AND($Y15&lt;&gt;"",EDATE($D15,Milestones!$AA$193)&gt;=$Y15),$AB15,$AA15)))=Milestones!$AB$193),UPPER(TEXT(EDATE($D15,Milestones!$AA$193),"dd mmm yy"))&amp;" "&amp;Milestones!$AB$193&amp;" "&amp;IF(AND(Milestones!$AB$193="FT",Milestones!$AA$193=FT_Y5,EDATE($D15,Milestones!$AA$193)&lt;PolicyEff),1,Milestones!$AC$193)&amp;";  ","")&amp;IF(AND(EDATE($D15,Milestones!$AA$194)&lt;=AsOfDate,EDATE($D15,Milestones!$AA$194)&gt;=SchemeStart,IF($X15=0,$AD15,IF(AND($Z15&lt;&gt;"",EDATE($D15,Milestones!$AA$194)&gt;=$Z15),$AC15,IF(AND($Y15&lt;&gt;"",EDATE($D15,Milestones!$AA$194)&gt;=$Y15),$AB15,$AA15)))=Milestones!$AB$194),UPPER(TEXT(EDATE($D15,Milestones!$AA$194),"dd mmm yy"))&amp;" "&amp;Milestones!$AB$194&amp;" "&amp;IF(AND(Milestones!$AB$194="FT",Milestones!$AA$194=FT_Y5,EDATE($D15,Milestones!$AA$194)&lt;PolicyEff),1,Milestones!$AC$194)&amp;";  ","")&amp;IF(AND(EDATE($D15,Milestones!$AA$195)&lt;=AsOfDate,EDATE($D15,Milestones!$AA$195)&gt;=SchemeStart,IF($X15=0,$AD15,IF(AND($Z15&lt;&gt;"",EDATE($D15,Milestones!$AA$195)&gt;=$Z15),$AC15,IF(AND($Y15&lt;&gt;"",EDATE($D15,Milestones!$AA$195)&gt;=$Y15),$AB15,$AA15)))=Milestones!$AB$195),UPPER(TEXT(EDATE($D15,Milestones!$AA$195),"dd mmm yy"))&amp;" "&amp;Milestones!$AB$195&amp;" "&amp;IF(AND(Milestones!$AB$195="FT",Milestones!$AA$195=FT_Y5,EDATE($D15,Milestones!$AA$195)&lt;PolicyEff),1,Milestones!$AC$195)&amp;";  ","")&amp;IF(AND(EDATE($D15,Milestones!$AA$196)&lt;=AsOfDate,EDATE($D15,Milestones!$AA$196)&gt;=SchemeStart,IF($X15=0,$AD15,IF(AND($Z15&lt;&gt;"",EDATE($D15,Milestones!$AA$196)&gt;=$Z15),$AC15,IF(AND($Y15&lt;&gt;"",EDATE($D15,Milestones!$AA$196)&gt;=$Y15),$AB15,$AA15)))=Milestones!$AB$196),UPPER(TEXT(EDATE($D15,Milestones!$AA$196),"dd mmm yy"))&amp;" "&amp;Milestones!$AB$196&amp;" "&amp;IF(AND(Milestones!$AB$196="FT",Milestones!$AA$196=FT_Y5,EDATE($D15,Milestones!$AA$196)&lt;PolicyEff),1,Milestones!$AC$196)&amp;";  ","")&amp;IF(AND(EDATE($D15,Milestones!$AA$197)&lt;=AsOfDate,EDATE($D15,Milestones!$AA$197)&gt;=SchemeStart,IF($X15=0,$AD15,IF(AND($Z15&lt;&gt;"",EDATE($D15,Milestones!$AA$197)&gt;=$Z15),$AC15,IF(AND($Y15&lt;&gt;"",EDATE($D15,Milestones!$AA$197)&gt;=$Y15),$AB15,$AA15)))=Milestones!$AB$197),UPPER(TEXT(EDATE($D15,Milestones!$AA$197),"dd mmm yy"))&amp;" "&amp;Milestones!$AB$197&amp;" "&amp;IF(AND(Milestones!$AB$197="FT",Milestones!$AA$197=FT_Y5,EDATE($D15,Milestones!$AA$197)&lt;PolicyEff),1,Milestones!$AC$197)&amp;";  ","")&amp;IF(AND(EDATE($D15,Milestones!$AA$198)&lt;=AsOfDate,EDATE($D15,Milestones!$AA$198)&gt;=SchemeStart,IF($X15=0,$AD15,IF(AND($Z15&lt;&gt;"",EDATE($D15,Milestones!$AA$198)&gt;=$Z15),$AC15,IF(AND($Y15&lt;&gt;"",EDATE($D15,Milestones!$AA$198)&gt;=$Y15),$AB15,$AA15)))=Milestones!$AB$198),UPPER(TEXT(EDATE($D15,Milestones!$AA$198),"dd mmm yy"))&amp;" "&amp;Milestones!$AB$198&amp;" "&amp;IF(AND(Milestones!$AB$198="FT",Milestones!$AA$198=FT_Y5,EDATE($D15,Milestones!$AA$198)&lt;PolicyEff),1,Milestones!$AC$198)&amp;";  ","")&amp;IF(AND(EDATE($D15,Milestones!$AA$199)&lt;=AsOfDate,EDATE($D15,Milestones!$AA$199)&gt;=SchemeStart,IF($X15=0,$AD15,IF(AND($Z15&lt;&gt;"",EDATE($D15,Milestones!$AA$199)&gt;=$Z15),$AC15,IF(AND($Y15&lt;&gt;"",EDATE($D15,Milestones!$AA$199)&gt;=$Y15),$AB15,$AA15)))=Milestones!$AB$199),UPPER(TEXT(EDATE($D15,Milestones!$AA$199),"dd mmm yy"))&amp;" "&amp;Milestones!$AB$199&amp;" "&amp;IF(AND(Milestones!$AB$199="FT",Milestones!$AA$199=FT_Y5,EDATE($D15,Milestones!$AA$199)&lt;PolicyEff),1,Milestones!$AC$199)&amp;";  ",""))</f>
        <v/>
      </c>
      <c r="X15" s="0" t="str">
        <f aca="false">IF(Staff!$A15="","",Staff!$AM15)</f>
        <v/>
      </c>
      <c r="Y15" s="0" t="str">
        <f aca="false">IF(Staff!$A15="","",Staff!$AO15)</f>
        <v/>
      </c>
      <c r="Z15" s="0" t="str">
        <f aca="false">IF(Staff!$A15="","",Staff!$AP15)</f>
        <v/>
      </c>
      <c r="AA15" s="0" t="str">
        <f aca="false">IF(Staff!$A15="","",Staff!$AT15)</f>
        <v/>
      </c>
      <c r="AB15" s="0" t="str">
        <f aca="false">IF(Staff!$A15="","",Staff!$AU15)</f>
        <v/>
      </c>
      <c r="AC15" s="0" t="str">
        <f aca="false">IF(Staff!$A15="","",Staff!$AV15)</f>
        <v/>
      </c>
      <c r="AD15" s="0" t="str">
        <f aca="false">IF(Staff!$A15="","",Staff!$AW15)</f>
        <v/>
      </c>
    </row>
    <row r="16" customFormat="false" ht="15" hidden="false" customHeight="false" outlineLevel="0" collapsed="false">
      <c r="A16" s="16" t="str">
        <f aca="false">IF(Staff!$A16="","",Staff!$A16)</f>
        <v/>
      </c>
      <c r="B16" s="16" t="str">
        <f aca="false">IF(Staff!$A16="","",Staff!$B16)</f>
        <v/>
      </c>
      <c r="C16" s="16" t="str">
        <f aca="false">IF(Staff!$A16="","",Staff!$C16)</f>
        <v/>
      </c>
      <c r="D16" s="14" t="str">
        <f aca="false">IF(Staff!$A16="","",Staff!$AL16)</f>
        <v/>
      </c>
      <c r="E16" s="16" t="str">
        <f aca="false">IF(Staff!$A16="","",Staff!$O16)</f>
        <v/>
      </c>
      <c r="F16" s="16" t="str">
        <f aca="false">IF(E16="","",E16*HoursPerDay)</f>
        <v/>
      </c>
      <c r="G16" s="16" t="str">
        <f aca="false">IF(Staff!$A16="","",Staff!$AE16)</f>
        <v/>
      </c>
      <c r="H16" s="28" t="str">
        <f aca="false">IF($A16="","",I16&amp;J16&amp;K16&amp;L16&amp;M16&amp;N16&amp;O16&amp;P16&amp;Q16&amp;R16&amp;S16&amp;T16&amp;U16&amp;V16&amp;W16)</f>
        <v/>
      </c>
      <c r="I16" s="0" t="str">
        <f aca="false">IF(OR($A16="",$D16=""),"",IF(AND(EDATE($D16,Milestones!$AA$20)&lt;=AsOfDate,EDATE($D16,Milestones!$AA$20)&gt;=SchemeStart,IF($X16=0,$AD16,IF(AND($Z16&lt;&gt;"",EDATE($D16,Milestones!$AA$20)&gt;=$Z16),$AC16,IF(AND($Y16&lt;&gt;"",EDATE($D16,Milestones!$AA$20)&gt;=$Y16),$AB16,$AA16)))=Milestones!$AB$20),UPPER(TEXT(EDATE($D16,Milestones!$AA$20),"dd mmm yy"))&amp;" "&amp;Milestones!$AB$20&amp;" "&amp;IF(AND(Milestones!$AB$20="FT",Milestones!$AA$20=FT_Y5,EDATE($D16,Milestones!$AA$20)&lt;PolicyEff),1,Milestones!$AC$20)&amp;";  ","")&amp;IF(AND(EDATE($D16,Milestones!$AA$21)&lt;=AsOfDate,EDATE($D16,Milestones!$AA$21)&gt;=SchemeStart,IF($X16=0,$AD16,IF(AND($Z16&lt;&gt;"",EDATE($D16,Milestones!$AA$21)&gt;=$Z16),$AC16,IF(AND($Y16&lt;&gt;"",EDATE($D16,Milestones!$AA$21)&gt;=$Y16),$AB16,$AA16)))=Milestones!$AB$21),UPPER(TEXT(EDATE($D16,Milestones!$AA$21),"dd mmm yy"))&amp;" "&amp;Milestones!$AB$21&amp;" "&amp;IF(AND(Milestones!$AB$21="FT",Milestones!$AA$21=FT_Y5,EDATE($D16,Milestones!$AA$21)&lt;PolicyEff),1,Milestones!$AC$21)&amp;";  ","")&amp;IF(AND(EDATE($D16,Milestones!$AA$22)&lt;=AsOfDate,EDATE($D16,Milestones!$AA$22)&gt;=SchemeStart,IF($X16=0,$AD16,IF(AND($Z16&lt;&gt;"",EDATE($D16,Milestones!$AA$22)&gt;=$Z16),$AC16,IF(AND($Y16&lt;&gt;"",EDATE($D16,Milestones!$AA$22)&gt;=$Y16),$AB16,$AA16)))=Milestones!$AB$22),UPPER(TEXT(EDATE($D16,Milestones!$AA$22),"dd mmm yy"))&amp;" "&amp;Milestones!$AB$22&amp;" "&amp;IF(AND(Milestones!$AB$22="FT",Milestones!$AA$22=FT_Y5,EDATE($D16,Milestones!$AA$22)&lt;PolicyEff),1,Milestones!$AC$22)&amp;";  ","")&amp;IF(AND(EDATE($D16,Milestones!$AA$23)&lt;=AsOfDate,EDATE($D16,Milestones!$AA$23)&gt;=SchemeStart,IF($X16=0,$AD16,IF(AND($Z16&lt;&gt;"",EDATE($D16,Milestones!$AA$23)&gt;=$Z16),$AC16,IF(AND($Y16&lt;&gt;"",EDATE($D16,Milestones!$AA$23)&gt;=$Y16),$AB16,$AA16)))=Milestones!$AB$23),UPPER(TEXT(EDATE($D16,Milestones!$AA$23),"dd mmm yy"))&amp;" "&amp;Milestones!$AB$23&amp;" "&amp;IF(AND(Milestones!$AB$23="FT",Milestones!$AA$23=FT_Y5,EDATE($D16,Milestones!$AA$23)&lt;PolicyEff),1,Milestones!$AC$23)&amp;";  ","")&amp;IF(AND(EDATE($D16,Milestones!$AA$24)&lt;=AsOfDate,EDATE($D16,Milestones!$AA$24)&gt;=SchemeStart,IF($X16=0,$AD16,IF(AND($Z16&lt;&gt;"",EDATE($D16,Milestones!$AA$24)&gt;=$Z16),$AC16,IF(AND($Y16&lt;&gt;"",EDATE($D16,Milestones!$AA$24)&gt;=$Y16),$AB16,$AA16)))=Milestones!$AB$24),UPPER(TEXT(EDATE($D16,Milestones!$AA$24),"dd mmm yy"))&amp;" "&amp;Milestones!$AB$24&amp;" "&amp;IF(AND(Milestones!$AB$24="FT",Milestones!$AA$24=FT_Y5,EDATE($D16,Milestones!$AA$24)&lt;PolicyEff),1,Milestones!$AC$24)&amp;";  ","")&amp;IF(AND(EDATE($D16,Milestones!$AA$25)&lt;=AsOfDate,EDATE($D16,Milestones!$AA$25)&gt;=SchemeStart,IF($X16=0,$AD16,IF(AND($Z16&lt;&gt;"",EDATE($D16,Milestones!$AA$25)&gt;=$Z16),$AC16,IF(AND($Y16&lt;&gt;"",EDATE($D16,Milestones!$AA$25)&gt;=$Y16),$AB16,$AA16)))=Milestones!$AB$25),UPPER(TEXT(EDATE($D16,Milestones!$AA$25),"dd mmm yy"))&amp;" "&amp;Milestones!$AB$25&amp;" "&amp;IF(AND(Milestones!$AB$25="FT",Milestones!$AA$25=FT_Y5,EDATE($D16,Milestones!$AA$25)&lt;PolicyEff),1,Milestones!$AC$25)&amp;";  ","")&amp;IF(AND(EDATE($D16,Milestones!$AA$26)&lt;=AsOfDate,EDATE($D16,Milestones!$AA$26)&gt;=SchemeStart,IF($X16=0,$AD16,IF(AND($Z16&lt;&gt;"",EDATE($D16,Milestones!$AA$26)&gt;=$Z16),$AC16,IF(AND($Y16&lt;&gt;"",EDATE($D16,Milestones!$AA$26)&gt;=$Y16),$AB16,$AA16)))=Milestones!$AB$26),UPPER(TEXT(EDATE($D16,Milestones!$AA$26),"dd mmm yy"))&amp;" "&amp;Milestones!$AB$26&amp;" "&amp;IF(AND(Milestones!$AB$26="FT",Milestones!$AA$26=FT_Y5,EDATE($D16,Milestones!$AA$26)&lt;PolicyEff),1,Milestones!$AC$26)&amp;";  ","")&amp;IF(AND(EDATE($D16,Milestones!$AA$27)&lt;=AsOfDate,EDATE($D16,Milestones!$AA$27)&gt;=SchemeStart,IF($X16=0,$AD16,IF(AND($Z16&lt;&gt;"",EDATE($D16,Milestones!$AA$27)&gt;=$Z16),$AC16,IF(AND($Y16&lt;&gt;"",EDATE($D16,Milestones!$AA$27)&gt;=$Y16),$AB16,$AA16)))=Milestones!$AB$27),UPPER(TEXT(EDATE($D16,Milestones!$AA$27),"dd mmm yy"))&amp;" "&amp;Milestones!$AB$27&amp;" "&amp;IF(AND(Milestones!$AB$27="FT",Milestones!$AA$27=FT_Y5,EDATE($D16,Milestones!$AA$27)&lt;PolicyEff),1,Milestones!$AC$27)&amp;";  ","")&amp;IF(AND(EDATE($D16,Milestones!$AA$28)&lt;=AsOfDate,EDATE($D16,Milestones!$AA$28)&gt;=SchemeStart,IF($X16=0,$AD16,IF(AND($Z16&lt;&gt;"",EDATE($D16,Milestones!$AA$28)&gt;=$Z16),$AC16,IF(AND($Y16&lt;&gt;"",EDATE($D16,Milestones!$AA$28)&gt;=$Y16),$AB16,$AA16)))=Milestones!$AB$28),UPPER(TEXT(EDATE($D16,Milestones!$AA$28),"dd mmm yy"))&amp;" "&amp;Milestones!$AB$28&amp;" "&amp;IF(AND(Milestones!$AB$28="FT",Milestones!$AA$28=FT_Y5,EDATE($D16,Milestones!$AA$28)&lt;PolicyEff),1,Milestones!$AC$28)&amp;";  ","")&amp;IF(AND(EDATE($D16,Milestones!$AA$29)&lt;=AsOfDate,EDATE($D16,Milestones!$AA$29)&gt;=SchemeStart,IF($X16=0,$AD16,IF(AND($Z16&lt;&gt;"",EDATE($D16,Milestones!$AA$29)&gt;=$Z16),$AC16,IF(AND($Y16&lt;&gt;"",EDATE($D16,Milestones!$AA$29)&gt;=$Y16),$AB16,$AA16)))=Milestones!$AB$29),UPPER(TEXT(EDATE($D16,Milestones!$AA$29),"dd mmm yy"))&amp;" "&amp;Milestones!$AB$29&amp;" "&amp;IF(AND(Milestones!$AB$29="FT",Milestones!$AA$29=FT_Y5,EDATE($D16,Milestones!$AA$29)&lt;PolicyEff),1,Milestones!$AC$29)&amp;";  ","")&amp;IF(AND(EDATE($D16,Milestones!$AA$30)&lt;=AsOfDate,EDATE($D16,Milestones!$AA$30)&gt;=SchemeStart,IF($X16=0,$AD16,IF(AND($Z16&lt;&gt;"",EDATE($D16,Milestones!$AA$30)&gt;=$Z16),$AC16,IF(AND($Y16&lt;&gt;"",EDATE($D16,Milestones!$AA$30)&gt;=$Y16),$AB16,$AA16)))=Milestones!$AB$30),UPPER(TEXT(EDATE($D16,Milestones!$AA$30),"dd mmm yy"))&amp;" "&amp;Milestones!$AB$30&amp;" "&amp;IF(AND(Milestones!$AB$30="FT",Milestones!$AA$30=FT_Y5,EDATE($D16,Milestones!$AA$30)&lt;PolicyEff),1,Milestones!$AC$30)&amp;";  ","")&amp;IF(AND(EDATE($D16,Milestones!$AA$31)&lt;=AsOfDate,EDATE($D16,Milestones!$AA$31)&gt;=SchemeStart,IF($X16=0,$AD16,IF(AND($Z16&lt;&gt;"",EDATE($D16,Milestones!$AA$31)&gt;=$Z16),$AC16,IF(AND($Y16&lt;&gt;"",EDATE($D16,Milestones!$AA$31)&gt;=$Y16),$AB16,$AA16)))=Milestones!$AB$31),UPPER(TEXT(EDATE($D16,Milestones!$AA$31),"dd mmm yy"))&amp;" "&amp;Milestones!$AB$31&amp;" "&amp;IF(AND(Milestones!$AB$31="FT",Milestones!$AA$31=FT_Y5,EDATE($D16,Milestones!$AA$31)&lt;PolicyEff),1,Milestones!$AC$31)&amp;";  ",""))</f>
        <v/>
      </c>
      <c r="J16" s="0" t="str">
        <f aca="false">IF(OR($A16="",$D16=""),"",IF(AND(EDATE($D16,Milestones!$AA$32)&lt;=AsOfDate,EDATE($D16,Milestones!$AA$32)&gt;=SchemeStart,IF($X16=0,$AD16,IF(AND($Z16&lt;&gt;"",EDATE($D16,Milestones!$AA$32)&gt;=$Z16),$AC16,IF(AND($Y16&lt;&gt;"",EDATE($D16,Milestones!$AA$32)&gt;=$Y16),$AB16,$AA16)))=Milestones!$AB$32),UPPER(TEXT(EDATE($D16,Milestones!$AA$32),"dd mmm yy"))&amp;" "&amp;Milestones!$AB$32&amp;" "&amp;IF(AND(Milestones!$AB$32="FT",Milestones!$AA$32=FT_Y5,EDATE($D16,Milestones!$AA$32)&lt;PolicyEff),1,Milestones!$AC$32)&amp;";  ","")&amp;IF(AND(EDATE($D16,Milestones!$AA$33)&lt;=AsOfDate,EDATE($D16,Milestones!$AA$33)&gt;=SchemeStart,IF($X16=0,$AD16,IF(AND($Z16&lt;&gt;"",EDATE($D16,Milestones!$AA$33)&gt;=$Z16),$AC16,IF(AND($Y16&lt;&gt;"",EDATE($D16,Milestones!$AA$33)&gt;=$Y16),$AB16,$AA16)))=Milestones!$AB$33),UPPER(TEXT(EDATE($D16,Milestones!$AA$33),"dd mmm yy"))&amp;" "&amp;Milestones!$AB$33&amp;" "&amp;IF(AND(Milestones!$AB$33="FT",Milestones!$AA$33=FT_Y5,EDATE($D16,Milestones!$AA$33)&lt;PolicyEff),1,Milestones!$AC$33)&amp;";  ","")&amp;IF(AND(EDATE($D16,Milestones!$AA$34)&lt;=AsOfDate,EDATE($D16,Milestones!$AA$34)&gt;=SchemeStart,IF($X16=0,$AD16,IF(AND($Z16&lt;&gt;"",EDATE($D16,Milestones!$AA$34)&gt;=$Z16),$AC16,IF(AND($Y16&lt;&gt;"",EDATE($D16,Milestones!$AA$34)&gt;=$Y16),$AB16,$AA16)))=Milestones!$AB$34),UPPER(TEXT(EDATE($D16,Milestones!$AA$34),"dd mmm yy"))&amp;" "&amp;Milestones!$AB$34&amp;" "&amp;IF(AND(Milestones!$AB$34="FT",Milestones!$AA$34=FT_Y5,EDATE($D16,Milestones!$AA$34)&lt;PolicyEff),1,Milestones!$AC$34)&amp;";  ","")&amp;IF(AND(EDATE($D16,Milestones!$AA$35)&lt;=AsOfDate,EDATE($D16,Milestones!$AA$35)&gt;=SchemeStart,IF($X16=0,$AD16,IF(AND($Z16&lt;&gt;"",EDATE($D16,Milestones!$AA$35)&gt;=$Z16),$AC16,IF(AND($Y16&lt;&gt;"",EDATE($D16,Milestones!$AA$35)&gt;=$Y16),$AB16,$AA16)))=Milestones!$AB$35),UPPER(TEXT(EDATE($D16,Milestones!$AA$35),"dd mmm yy"))&amp;" "&amp;Milestones!$AB$35&amp;" "&amp;IF(AND(Milestones!$AB$35="FT",Milestones!$AA$35=FT_Y5,EDATE($D16,Milestones!$AA$35)&lt;PolicyEff),1,Milestones!$AC$35)&amp;";  ","")&amp;IF(AND(EDATE($D16,Milestones!$AA$36)&lt;=AsOfDate,EDATE($D16,Milestones!$AA$36)&gt;=SchemeStart,IF($X16=0,$AD16,IF(AND($Z16&lt;&gt;"",EDATE($D16,Milestones!$AA$36)&gt;=$Z16),$AC16,IF(AND($Y16&lt;&gt;"",EDATE($D16,Milestones!$AA$36)&gt;=$Y16),$AB16,$AA16)))=Milestones!$AB$36),UPPER(TEXT(EDATE($D16,Milestones!$AA$36),"dd mmm yy"))&amp;" "&amp;Milestones!$AB$36&amp;" "&amp;IF(AND(Milestones!$AB$36="FT",Milestones!$AA$36=FT_Y5,EDATE($D16,Milestones!$AA$36)&lt;PolicyEff),1,Milestones!$AC$36)&amp;";  ","")&amp;IF(AND(EDATE($D16,Milestones!$AA$37)&lt;=AsOfDate,EDATE($D16,Milestones!$AA$37)&gt;=SchemeStart,IF($X16=0,$AD16,IF(AND($Z16&lt;&gt;"",EDATE($D16,Milestones!$AA$37)&gt;=$Z16),$AC16,IF(AND($Y16&lt;&gt;"",EDATE($D16,Milestones!$AA$37)&gt;=$Y16),$AB16,$AA16)))=Milestones!$AB$37),UPPER(TEXT(EDATE($D16,Milestones!$AA$37),"dd mmm yy"))&amp;" "&amp;Milestones!$AB$37&amp;" "&amp;IF(AND(Milestones!$AB$37="FT",Milestones!$AA$37=FT_Y5,EDATE($D16,Milestones!$AA$37)&lt;PolicyEff),1,Milestones!$AC$37)&amp;";  ","")&amp;IF(AND(EDATE($D16,Milestones!$AA$38)&lt;=AsOfDate,EDATE($D16,Milestones!$AA$38)&gt;=SchemeStart,IF($X16=0,$AD16,IF(AND($Z16&lt;&gt;"",EDATE($D16,Milestones!$AA$38)&gt;=$Z16),$AC16,IF(AND($Y16&lt;&gt;"",EDATE($D16,Milestones!$AA$38)&gt;=$Y16),$AB16,$AA16)))=Milestones!$AB$38),UPPER(TEXT(EDATE($D16,Milestones!$AA$38),"dd mmm yy"))&amp;" "&amp;Milestones!$AB$38&amp;" "&amp;IF(AND(Milestones!$AB$38="FT",Milestones!$AA$38=FT_Y5,EDATE($D16,Milestones!$AA$38)&lt;PolicyEff),1,Milestones!$AC$38)&amp;";  ","")&amp;IF(AND(EDATE($D16,Milestones!$AA$39)&lt;=AsOfDate,EDATE($D16,Milestones!$AA$39)&gt;=SchemeStart,IF($X16=0,$AD16,IF(AND($Z16&lt;&gt;"",EDATE($D16,Milestones!$AA$39)&gt;=$Z16),$AC16,IF(AND($Y16&lt;&gt;"",EDATE($D16,Milestones!$AA$39)&gt;=$Y16),$AB16,$AA16)))=Milestones!$AB$39),UPPER(TEXT(EDATE($D16,Milestones!$AA$39),"dd mmm yy"))&amp;" "&amp;Milestones!$AB$39&amp;" "&amp;IF(AND(Milestones!$AB$39="FT",Milestones!$AA$39=FT_Y5,EDATE($D16,Milestones!$AA$39)&lt;PolicyEff),1,Milestones!$AC$39)&amp;";  ","")&amp;IF(AND(EDATE($D16,Milestones!$AA$40)&lt;=AsOfDate,EDATE($D16,Milestones!$AA$40)&gt;=SchemeStart,IF($X16=0,$AD16,IF(AND($Z16&lt;&gt;"",EDATE($D16,Milestones!$AA$40)&gt;=$Z16),$AC16,IF(AND($Y16&lt;&gt;"",EDATE($D16,Milestones!$AA$40)&gt;=$Y16),$AB16,$AA16)))=Milestones!$AB$40),UPPER(TEXT(EDATE($D16,Milestones!$AA$40),"dd mmm yy"))&amp;" "&amp;Milestones!$AB$40&amp;" "&amp;IF(AND(Milestones!$AB$40="FT",Milestones!$AA$40=FT_Y5,EDATE($D16,Milestones!$AA$40)&lt;PolicyEff),1,Milestones!$AC$40)&amp;";  ","")&amp;IF(AND(EDATE($D16,Milestones!$AA$41)&lt;=AsOfDate,EDATE($D16,Milestones!$AA$41)&gt;=SchemeStart,IF($X16=0,$AD16,IF(AND($Z16&lt;&gt;"",EDATE($D16,Milestones!$AA$41)&gt;=$Z16),$AC16,IF(AND($Y16&lt;&gt;"",EDATE($D16,Milestones!$AA$41)&gt;=$Y16),$AB16,$AA16)))=Milestones!$AB$41),UPPER(TEXT(EDATE($D16,Milestones!$AA$41),"dd mmm yy"))&amp;" "&amp;Milestones!$AB$41&amp;" "&amp;IF(AND(Milestones!$AB$41="FT",Milestones!$AA$41=FT_Y5,EDATE($D16,Milestones!$AA$41)&lt;PolicyEff),1,Milestones!$AC$41)&amp;";  ","")&amp;IF(AND(EDATE($D16,Milestones!$AA$42)&lt;=AsOfDate,EDATE($D16,Milestones!$AA$42)&gt;=SchemeStart,IF($X16=0,$AD16,IF(AND($Z16&lt;&gt;"",EDATE($D16,Milestones!$AA$42)&gt;=$Z16),$AC16,IF(AND($Y16&lt;&gt;"",EDATE($D16,Milestones!$AA$42)&gt;=$Y16),$AB16,$AA16)))=Milestones!$AB$42),UPPER(TEXT(EDATE($D16,Milestones!$AA$42),"dd mmm yy"))&amp;" "&amp;Milestones!$AB$42&amp;" "&amp;IF(AND(Milestones!$AB$42="FT",Milestones!$AA$42=FT_Y5,EDATE($D16,Milestones!$AA$42)&lt;PolicyEff),1,Milestones!$AC$42)&amp;";  ","")&amp;IF(AND(EDATE($D16,Milestones!$AA$43)&lt;=AsOfDate,EDATE($D16,Milestones!$AA$43)&gt;=SchemeStart,IF($X16=0,$AD16,IF(AND($Z16&lt;&gt;"",EDATE($D16,Milestones!$AA$43)&gt;=$Z16),$AC16,IF(AND($Y16&lt;&gt;"",EDATE($D16,Milestones!$AA$43)&gt;=$Y16),$AB16,$AA16)))=Milestones!$AB$43),UPPER(TEXT(EDATE($D16,Milestones!$AA$43),"dd mmm yy"))&amp;" "&amp;Milestones!$AB$43&amp;" "&amp;IF(AND(Milestones!$AB$43="FT",Milestones!$AA$43=FT_Y5,EDATE($D16,Milestones!$AA$43)&lt;PolicyEff),1,Milestones!$AC$43)&amp;";  ",""))</f>
        <v/>
      </c>
      <c r="K16" s="0" t="str">
        <f aca="false">IF(OR($A16="",$D16=""),"",IF(AND(EDATE($D16,Milestones!$AA$44)&lt;=AsOfDate,EDATE($D16,Milestones!$AA$44)&gt;=SchemeStart,IF($X16=0,$AD16,IF(AND($Z16&lt;&gt;"",EDATE($D16,Milestones!$AA$44)&gt;=$Z16),$AC16,IF(AND($Y16&lt;&gt;"",EDATE($D16,Milestones!$AA$44)&gt;=$Y16),$AB16,$AA16)))=Milestones!$AB$44),UPPER(TEXT(EDATE($D16,Milestones!$AA$44),"dd mmm yy"))&amp;" "&amp;Milestones!$AB$44&amp;" "&amp;IF(AND(Milestones!$AB$44="FT",Milestones!$AA$44=FT_Y5,EDATE($D16,Milestones!$AA$44)&lt;PolicyEff),1,Milestones!$AC$44)&amp;";  ","")&amp;IF(AND(EDATE($D16,Milestones!$AA$45)&lt;=AsOfDate,EDATE($D16,Milestones!$AA$45)&gt;=SchemeStart,IF($X16=0,$AD16,IF(AND($Z16&lt;&gt;"",EDATE($D16,Milestones!$AA$45)&gt;=$Z16),$AC16,IF(AND($Y16&lt;&gt;"",EDATE($D16,Milestones!$AA$45)&gt;=$Y16),$AB16,$AA16)))=Milestones!$AB$45),UPPER(TEXT(EDATE($D16,Milestones!$AA$45),"dd mmm yy"))&amp;" "&amp;Milestones!$AB$45&amp;" "&amp;IF(AND(Milestones!$AB$45="FT",Milestones!$AA$45=FT_Y5,EDATE($D16,Milestones!$AA$45)&lt;PolicyEff),1,Milestones!$AC$45)&amp;";  ","")&amp;IF(AND(EDATE($D16,Milestones!$AA$46)&lt;=AsOfDate,EDATE($D16,Milestones!$AA$46)&gt;=SchemeStart,IF($X16=0,$AD16,IF(AND($Z16&lt;&gt;"",EDATE($D16,Milestones!$AA$46)&gt;=$Z16),$AC16,IF(AND($Y16&lt;&gt;"",EDATE($D16,Milestones!$AA$46)&gt;=$Y16),$AB16,$AA16)))=Milestones!$AB$46),UPPER(TEXT(EDATE($D16,Milestones!$AA$46),"dd mmm yy"))&amp;" "&amp;Milestones!$AB$46&amp;" "&amp;IF(AND(Milestones!$AB$46="FT",Milestones!$AA$46=FT_Y5,EDATE($D16,Milestones!$AA$46)&lt;PolicyEff),1,Milestones!$AC$46)&amp;";  ","")&amp;IF(AND(EDATE($D16,Milestones!$AA$47)&lt;=AsOfDate,EDATE($D16,Milestones!$AA$47)&gt;=SchemeStart,IF($X16=0,$AD16,IF(AND($Z16&lt;&gt;"",EDATE($D16,Milestones!$AA$47)&gt;=$Z16),$AC16,IF(AND($Y16&lt;&gt;"",EDATE($D16,Milestones!$AA$47)&gt;=$Y16),$AB16,$AA16)))=Milestones!$AB$47),UPPER(TEXT(EDATE($D16,Milestones!$AA$47),"dd mmm yy"))&amp;" "&amp;Milestones!$AB$47&amp;" "&amp;IF(AND(Milestones!$AB$47="FT",Milestones!$AA$47=FT_Y5,EDATE($D16,Milestones!$AA$47)&lt;PolicyEff),1,Milestones!$AC$47)&amp;";  ","")&amp;IF(AND(EDATE($D16,Milestones!$AA$48)&lt;=AsOfDate,EDATE($D16,Milestones!$AA$48)&gt;=SchemeStart,IF($X16=0,$AD16,IF(AND($Z16&lt;&gt;"",EDATE($D16,Milestones!$AA$48)&gt;=$Z16),$AC16,IF(AND($Y16&lt;&gt;"",EDATE($D16,Milestones!$AA$48)&gt;=$Y16),$AB16,$AA16)))=Milestones!$AB$48),UPPER(TEXT(EDATE($D16,Milestones!$AA$48),"dd mmm yy"))&amp;" "&amp;Milestones!$AB$48&amp;" "&amp;IF(AND(Milestones!$AB$48="FT",Milestones!$AA$48=FT_Y5,EDATE($D16,Milestones!$AA$48)&lt;PolicyEff),1,Milestones!$AC$48)&amp;";  ","")&amp;IF(AND(EDATE($D16,Milestones!$AA$49)&lt;=AsOfDate,EDATE($D16,Milestones!$AA$49)&gt;=SchemeStart,IF($X16=0,$AD16,IF(AND($Z16&lt;&gt;"",EDATE($D16,Milestones!$AA$49)&gt;=$Z16),$AC16,IF(AND($Y16&lt;&gt;"",EDATE($D16,Milestones!$AA$49)&gt;=$Y16),$AB16,$AA16)))=Milestones!$AB$49),UPPER(TEXT(EDATE($D16,Milestones!$AA$49),"dd mmm yy"))&amp;" "&amp;Milestones!$AB$49&amp;" "&amp;IF(AND(Milestones!$AB$49="FT",Milestones!$AA$49=FT_Y5,EDATE($D16,Milestones!$AA$49)&lt;PolicyEff),1,Milestones!$AC$49)&amp;";  ","")&amp;IF(AND(EDATE($D16,Milestones!$AA$50)&lt;=AsOfDate,EDATE($D16,Milestones!$AA$50)&gt;=SchemeStart,IF($X16=0,$AD16,IF(AND($Z16&lt;&gt;"",EDATE($D16,Milestones!$AA$50)&gt;=$Z16),$AC16,IF(AND($Y16&lt;&gt;"",EDATE($D16,Milestones!$AA$50)&gt;=$Y16),$AB16,$AA16)))=Milestones!$AB$50),UPPER(TEXT(EDATE($D16,Milestones!$AA$50),"dd mmm yy"))&amp;" "&amp;Milestones!$AB$50&amp;" "&amp;IF(AND(Milestones!$AB$50="FT",Milestones!$AA$50=FT_Y5,EDATE($D16,Milestones!$AA$50)&lt;PolicyEff),1,Milestones!$AC$50)&amp;";  ","")&amp;IF(AND(EDATE($D16,Milestones!$AA$51)&lt;=AsOfDate,EDATE($D16,Milestones!$AA$51)&gt;=SchemeStart,IF($X16=0,$AD16,IF(AND($Z16&lt;&gt;"",EDATE($D16,Milestones!$AA$51)&gt;=$Z16),$AC16,IF(AND($Y16&lt;&gt;"",EDATE($D16,Milestones!$AA$51)&gt;=$Y16),$AB16,$AA16)))=Milestones!$AB$51),UPPER(TEXT(EDATE($D16,Milestones!$AA$51),"dd mmm yy"))&amp;" "&amp;Milestones!$AB$51&amp;" "&amp;IF(AND(Milestones!$AB$51="FT",Milestones!$AA$51=FT_Y5,EDATE($D16,Milestones!$AA$51)&lt;PolicyEff),1,Milestones!$AC$51)&amp;";  ","")&amp;IF(AND(EDATE($D16,Milestones!$AA$52)&lt;=AsOfDate,EDATE($D16,Milestones!$AA$52)&gt;=SchemeStart,IF($X16=0,$AD16,IF(AND($Z16&lt;&gt;"",EDATE($D16,Milestones!$AA$52)&gt;=$Z16),$AC16,IF(AND($Y16&lt;&gt;"",EDATE($D16,Milestones!$AA$52)&gt;=$Y16),$AB16,$AA16)))=Milestones!$AB$52),UPPER(TEXT(EDATE($D16,Milestones!$AA$52),"dd mmm yy"))&amp;" "&amp;Milestones!$AB$52&amp;" "&amp;IF(AND(Milestones!$AB$52="FT",Milestones!$AA$52=FT_Y5,EDATE($D16,Milestones!$AA$52)&lt;PolicyEff),1,Milestones!$AC$52)&amp;";  ","")&amp;IF(AND(EDATE($D16,Milestones!$AA$53)&lt;=AsOfDate,EDATE($D16,Milestones!$AA$53)&gt;=SchemeStart,IF($X16=0,$AD16,IF(AND($Z16&lt;&gt;"",EDATE($D16,Milestones!$AA$53)&gt;=$Z16),$AC16,IF(AND($Y16&lt;&gt;"",EDATE($D16,Milestones!$AA$53)&gt;=$Y16),$AB16,$AA16)))=Milestones!$AB$53),UPPER(TEXT(EDATE($D16,Milestones!$AA$53),"dd mmm yy"))&amp;" "&amp;Milestones!$AB$53&amp;" "&amp;IF(AND(Milestones!$AB$53="FT",Milestones!$AA$53=FT_Y5,EDATE($D16,Milestones!$AA$53)&lt;PolicyEff),1,Milestones!$AC$53)&amp;";  ","")&amp;IF(AND(EDATE($D16,Milestones!$AA$54)&lt;=AsOfDate,EDATE($D16,Milestones!$AA$54)&gt;=SchemeStart,IF($X16=0,$AD16,IF(AND($Z16&lt;&gt;"",EDATE($D16,Milestones!$AA$54)&gt;=$Z16),$AC16,IF(AND($Y16&lt;&gt;"",EDATE($D16,Milestones!$AA$54)&gt;=$Y16),$AB16,$AA16)))=Milestones!$AB$54),UPPER(TEXT(EDATE($D16,Milestones!$AA$54),"dd mmm yy"))&amp;" "&amp;Milestones!$AB$54&amp;" "&amp;IF(AND(Milestones!$AB$54="FT",Milestones!$AA$54=FT_Y5,EDATE($D16,Milestones!$AA$54)&lt;PolicyEff),1,Milestones!$AC$54)&amp;";  ","")&amp;IF(AND(EDATE($D16,Milestones!$AA$55)&lt;=AsOfDate,EDATE($D16,Milestones!$AA$55)&gt;=SchemeStart,IF($X16=0,$AD16,IF(AND($Z16&lt;&gt;"",EDATE($D16,Milestones!$AA$55)&gt;=$Z16),$AC16,IF(AND($Y16&lt;&gt;"",EDATE($D16,Milestones!$AA$55)&gt;=$Y16),$AB16,$AA16)))=Milestones!$AB$55),UPPER(TEXT(EDATE($D16,Milestones!$AA$55),"dd mmm yy"))&amp;" "&amp;Milestones!$AB$55&amp;" "&amp;IF(AND(Milestones!$AB$55="FT",Milestones!$AA$55=FT_Y5,EDATE($D16,Milestones!$AA$55)&lt;PolicyEff),1,Milestones!$AC$55)&amp;";  ",""))</f>
        <v/>
      </c>
      <c r="L16" s="0" t="str">
        <f aca="false">IF(OR($A16="",$D16=""),"",IF(AND(EDATE($D16,Milestones!$AA$56)&lt;=AsOfDate,EDATE($D16,Milestones!$AA$56)&gt;=SchemeStart,IF($X16=0,$AD16,IF(AND($Z16&lt;&gt;"",EDATE($D16,Milestones!$AA$56)&gt;=$Z16),$AC16,IF(AND($Y16&lt;&gt;"",EDATE($D16,Milestones!$AA$56)&gt;=$Y16),$AB16,$AA16)))=Milestones!$AB$56),UPPER(TEXT(EDATE($D16,Milestones!$AA$56),"dd mmm yy"))&amp;" "&amp;Milestones!$AB$56&amp;" "&amp;IF(AND(Milestones!$AB$56="FT",Milestones!$AA$56=FT_Y5,EDATE($D16,Milestones!$AA$56)&lt;PolicyEff),1,Milestones!$AC$56)&amp;";  ","")&amp;IF(AND(EDATE($D16,Milestones!$AA$57)&lt;=AsOfDate,EDATE($D16,Milestones!$AA$57)&gt;=SchemeStart,IF($X16=0,$AD16,IF(AND($Z16&lt;&gt;"",EDATE($D16,Milestones!$AA$57)&gt;=$Z16),$AC16,IF(AND($Y16&lt;&gt;"",EDATE($D16,Milestones!$AA$57)&gt;=$Y16),$AB16,$AA16)))=Milestones!$AB$57),UPPER(TEXT(EDATE($D16,Milestones!$AA$57),"dd mmm yy"))&amp;" "&amp;Milestones!$AB$57&amp;" "&amp;IF(AND(Milestones!$AB$57="FT",Milestones!$AA$57=FT_Y5,EDATE($D16,Milestones!$AA$57)&lt;PolicyEff),1,Milestones!$AC$57)&amp;";  ","")&amp;IF(AND(EDATE($D16,Milestones!$AA$58)&lt;=AsOfDate,EDATE($D16,Milestones!$AA$58)&gt;=SchemeStart,IF($X16=0,$AD16,IF(AND($Z16&lt;&gt;"",EDATE($D16,Milestones!$AA$58)&gt;=$Z16),$AC16,IF(AND($Y16&lt;&gt;"",EDATE($D16,Milestones!$AA$58)&gt;=$Y16),$AB16,$AA16)))=Milestones!$AB$58),UPPER(TEXT(EDATE($D16,Milestones!$AA$58),"dd mmm yy"))&amp;" "&amp;Milestones!$AB$58&amp;" "&amp;IF(AND(Milestones!$AB$58="FT",Milestones!$AA$58=FT_Y5,EDATE($D16,Milestones!$AA$58)&lt;PolicyEff),1,Milestones!$AC$58)&amp;";  ","")&amp;IF(AND(EDATE($D16,Milestones!$AA$59)&lt;=AsOfDate,EDATE($D16,Milestones!$AA$59)&gt;=SchemeStart,IF($X16=0,$AD16,IF(AND($Z16&lt;&gt;"",EDATE($D16,Milestones!$AA$59)&gt;=$Z16),$AC16,IF(AND($Y16&lt;&gt;"",EDATE($D16,Milestones!$AA$59)&gt;=$Y16),$AB16,$AA16)))=Milestones!$AB$59),UPPER(TEXT(EDATE($D16,Milestones!$AA$59),"dd mmm yy"))&amp;" "&amp;Milestones!$AB$59&amp;" "&amp;IF(AND(Milestones!$AB$59="FT",Milestones!$AA$59=FT_Y5,EDATE($D16,Milestones!$AA$59)&lt;PolicyEff),1,Milestones!$AC$59)&amp;";  ","")&amp;IF(AND(EDATE($D16,Milestones!$AA$60)&lt;=AsOfDate,EDATE($D16,Milestones!$AA$60)&gt;=SchemeStart,IF($X16=0,$AD16,IF(AND($Z16&lt;&gt;"",EDATE($D16,Milestones!$AA$60)&gt;=$Z16),$AC16,IF(AND($Y16&lt;&gt;"",EDATE($D16,Milestones!$AA$60)&gt;=$Y16),$AB16,$AA16)))=Milestones!$AB$60),UPPER(TEXT(EDATE($D16,Milestones!$AA$60),"dd mmm yy"))&amp;" "&amp;Milestones!$AB$60&amp;" "&amp;IF(AND(Milestones!$AB$60="FT",Milestones!$AA$60=FT_Y5,EDATE($D16,Milestones!$AA$60)&lt;PolicyEff),1,Milestones!$AC$60)&amp;";  ","")&amp;IF(AND(EDATE($D16,Milestones!$AA$61)&lt;=AsOfDate,EDATE($D16,Milestones!$AA$61)&gt;=SchemeStart,IF($X16=0,$AD16,IF(AND($Z16&lt;&gt;"",EDATE($D16,Milestones!$AA$61)&gt;=$Z16),$AC16,IF(AND($Y16&lt;&gt;"",EDATE($D16,Milestones!$AA$61)&gt;=$Y16),$AB16,$AA16)))=Milestones!$AB$61),UPPER(TEXT(EDATE($D16,Milestones!$AA$61),"dd mmm yy"))&amp;" "&amp;Milestones!$AB$61&amp;" "&amp;IF(AND(Milestones!$AB$61="FT",Milestones!$AA$61=FT_Y5,EDATE($D16,Milestones!$AA$61)&lt;PolicyEff),1,Milestones!$AC$61)&amp;";  ","")&amp;IF(AND(EDATE($D16,Milestones!$AA$62)&lt;=AsOfDate,EDATE($D16,Milestones!$AA$62)&gt;=SchemeStart,IF($X16=0,$AD16,IF(AND($Z16&lt;&gt;"",EDATE($D16,Milestones!$AA$62)&gt;=$Z16),$AC16,IF(AND($Y16&lt;&gt;"",EDATE($D16,Milestones!$AA$62)&gt;=$Y16),$AB16,$AA16)))=Milestones!$AB$62),UPPER(TEXT(EDATE($D16,Milestones!$AA$62),"dd mmm yy"))&amp;" "&amp;Milestones!$AB$62&amp;" "&amp;IF(AND(Milestones!$AB$62="FT",Milestones!$AA$62=FT_Y5,EDATE($D16,Milestones!$AA$62)&lt;PolicyEff),1,Milestones!$AC$62)&amp;";  ","")&amp;IF(AND(EDATE($D16,Milestones!$AA$63)&lt;=AsOfDate,EDATE($D16,Milestones!$AA$63)&gt;=SchemeStart,IF($X16=0,$AD16,IF(AND($Z16&lt;&gt;"",EDATE($D16,Milestones!$AA$63)&gt;=$Z16),$AC16,IF(AND($Y16&lt;&gt;"",EDATE($D16,Milestones!$AA$63)&gt;=$Y16),$AB16,$AA16)))=Milestones!$AB$63),UPPER(TEXT(EDATE($D16,Milestones!$AA$63),"dd mmm yy"))&amp;" "&amp;Milestones!$AB$63&amp;" "&amp;IF(AND(Milestones!$AB$63="FT",Milestones!$AA$63=FT_Y5,EDATE($D16,Milestones!$AA$63)&lt;PolicyEff),1,Milestones!$AC$63)&amp;";  ","")&amp;IF(AND(EDATE($D16,Milestones!$AA$64)&lt;=AsOfDate,EDATE($D16,Milestones!$AA$64)&gt;=SchemeStart,IF($X16=0,$AD16,IF(AND($Z16&lt;&gt;"",EDATE($D16,Milestones!$AA$64)&gt;=$Z16),$AC16,IF(AND($Y16&lt;&gt;"",EDATE($D16,Milestones!$AA$64)&gt;=$Y16),$AB16,$AA16)))=Milestones!$AB$64),UPPER(TEXT(EDATE($D16,Milestones!$AA$64),"dd mmm yy"))&amp;" "&amp;Milestones!$AB$64&amp;" "&amp;IF(AND(Milestones!$AB$64="FT",Milestones!$AA$64=FT_Y5,EDATE($D16,Milestones!$AA$64)&lt;PolicyEff),1,Milestones!$AC$64)&amp;";  ","")&amp;IF(AND(EDATE($D16,Milestones!$AA$65)&lt;=AsOfDate,EDATE($D16,Milestones!$AA$65)&gt;=SchemeStart,IF($X16=0,$AD16,IF(AND($Z16&lt;&gt;"",EDATE($D16,Milestones!$AA$65)&gt;=$Z16),$AC16,IF(AND($Y16&lt;&gt;"",EDATE($D16,Milestones!$AA$65)&gt;=$Y16),$AB16,$AA16)))=Milestones!$AB$65),UPPER(TEXT(EDATE($D16,Milestones!$AA$65),"dd mmm yy"))&amp;" "&amp;Milestones!$AB$65&amp;" "&amp;IF(AND(Milestones!$AB$65="FT",Milestones!$AA$65=FT_Y5,EDATE($D16,Milestones!$AA$65)&lt;PolicyEff),1,Milestones!$AC$65)&amp;";  ","")&amp;IF(AND(EDATE($D16,Milestones!$AA$66)&lt;=AsOfDate,EDATE($D16,Milestones!$AA$66)&gt;=SchemeStart,IF($X16=0,$AD16,IF(AND($Z16&lt;&gt;"",EDATE($D16,Milestones!$AA$66)&gt;=$Z16),$AC16,IF(AND($Y16&lt;&gt;"",EDATE($D16,Milestones!$AA$66)&gt;=$Y16),$AB16,$AA16)))=Milestones!$AB$66),UPPER(TEXT(EDATE($D16,Milestones!$AA$66),"dd mmm yy"))&amp;" "&amp;Milestones!$AB$66&amp;" "&amp;IF(AND(Milestones!$AB$66="FT",Milestones!$AA$66=FT_Y5,EDATE($D16,Milestones!$AA$66)&lt;PolicyEff),1,Milestones!$AC$66)&amp;";  ","")&amp;IF(AND(EDATE($D16,Milestones!$AA$67)&lt;=AsOfDate,EDATE($D16,Milestones!$AA$67)&gt;=SchemeStart,IF($X16=0,$AD16,IF(AND($Z16&lt;&gt;"",EDATE($D16,Milestones!$AA$67)&gt;=$Z16),$AC16,IF(AND($Y16&lt;&gt;"",EDATE($D16,Milestones!$AA$67)&gt;=$Y16),$AB16,$AA16)))=Milestones!$AB$67),UPPER(TEXT(EDATE($D16,Milestones!$AA$67),"dd mmm yy"))&amp;" "&amp;Milestones!$AB$67&amp;" "&amp;IF(AND(Milestones!$AB$67="FT",Milestones!$AA$67=FT_Y5,EDATE($D16,Milestones!$AA$67)&lt;PolicyEff),1,Milestones!$AC$67)&amp;";  ",""))</f>
        <v/>
      </c>
      <c r="M16" s="0" t="str">
        <f aca="false">IF(OR($A16="",$D16=""),"",IF(AND(EDATE($D16,Milestones!$AA$68)&lt;=AsOfDate,EDATE($D16,Milestones!$AA$68)&gt;=SchemeStart,IF($X16=0,$AD16,IF(AND($Z16&lt;&gt;"",EDATE($D16,Milestones!$AA$68)&gt;=$Z16),$AC16,IF(AND($Y16&lt;&gt;"",EDATE($D16,Milestones!$AA$68)&gt;=$Y16),$AB16,$AA16)))=Milestones!$AB$68),UPPER(TEXT(EDATE($D16,Milestones!$AA$68),"dd mmm yy"))&amp;" "&amp;Milestones!$AB$68&amp;" "&amp;IF(AND(Milestones!$AB$68="FT",Milestones!$AA$68=FT_Y5,EDATE($D16,Milestones!$AA$68)&lt;PolicyEff),1,Milestones!$AC$68)&amp;";  ","")&amp;IF(AND(EDATE($D16,Milestones!$AA$69)&lt;=AsOfDate,EDATE($D16,Milestones!$AA$69)&gt;=SchemeStart,IF($X16=0,$AD16,IF(AND($Z16&lt;&gt;"",EDATE($D16,Milestones!$AA$69)&gt;=$Z16),$AC16,IF(AND($Y16&lt;&gt;"",EDATE($D16,Milestones!$AA$69)&gt;=$Y16),$AB16,$AA16)))=Milestones!$AB$69),UPPER(TEXT(EDATE($D16,Milestones!$AA$69),"dd mmm yy"))&amp;" "&amp;Milestones!$AB$69&amp;" "&amp;IF(AND(Milestones!$AB$69="FT",Milestones!$AA$69=FT_Y5,EDATE($D16,Milestones!$AA$69)&lt;PolicyEff),1,Milestones!$AC$69)&amp;";  ","")&amp;IF(AND(EDATE($D16,Milestones!$AA$70)&lt;=AsOfDate,EDATE($D16,Milestones!$AA$70)&gt;=SchemeStart,IF($X16=0,$AD16,IF(AND($Z16&lt;&gt;"",EDATE($D16,Milestones!$AA$70)&gt;=$Z16),$AC16,IF(AND($Y16&lt;&gt;"",EDATE($D16,Milestones!$AA$70)&gt;=$Y16),$AB16,$AA16)))=Milestones!$AB$70),UPPER(TEXT(EDATE($D16,Milestones!$AA$70),"dd mmm yy"))&amp;" "&amp;Milestones!$AB$70&amp;" "&amp;IF(AND(Milestones!$AB$70="FT",Milestones!$AA$70=FT_Y5,EDATE($D16,Milestones!$AA$70)&lt;PolicyEff),1,Milestones!$AC$70)&amp;";  ","")&amp;IF(AND(EDATE($D16,Milestones!$AA$71)&lt;=AsOfDate,EDATE($D16,Milestones!$AA$71)&gt;=SchemeStart,IF($X16=0,$AD16,IF(AND($Z16&lt;&gt;"",EDATE($D16,Milestones!$AA$71)&gt;=$Z16),$AC16,IF(AND($Y16&lt;&gt;"",EDATE($D16,Milestones!$AA$71)&gt;=$Y16),$AB16,$AA16)))=Milestones!$AB$71),UPPER(TEXT(EDATE($D16,Milestones!$AA$71),"dd mmm yy"))&amp;" "&amp;Milestones!$AB$71&amp;" "&amp;IF(AND(Milestones!$AB$71="FT",Milestones!$AA$71=FT_Y5,EDATE($D16,Milestones!$AA$71)&lt;PolicyEff),1,Milestones!$AC$71)&amp;";  ","")&amp;IF(AND(EDATE($D16,Milestones!$AA$72)&lt;=AsOfDate,EDATE($D16,Milestones!$AA$72)&gt;=SchemeStart,IF($X16=0,$AD16,IF(AND($Z16&lt;&gt;"",EDATE($D16,Milestones!$AA$72)&gt;=$Z16),$AC16,IF(AND($Y16&lt;&gt;"",EDATE($D16,Milestones!$AA$72)&gt;=$Y16),$AB16,$AA16)))=Milestones!$AB$72),UPPER(TEXT(EDATE($D16,Milestones!$AA$72),"dd mmm yy"))&amp;" "&amp;Milestones!$AB$72&amp;" "&amp;IF(AND(Milestones!$AB$72="FT",Milestones!$AA$72=FT_Y5,EDATE($D16,Milestones!$AA$72)&lt;PolicyEff),1,Milestones!$AC$72)&amp;";  ","")&amp;IF(AND(EDATE($D16,Milestones!$AA$73)&lt;=AsOfDate,EDATE($D16,Milestones!$AA$73)&gt;=SchemeStart,IF($X16=0,$AD16,IF(AND($Z16&lt;&gt;"",EDATE($D16,Milestones!$AA$73)&gt;=$Z16),$AC16,IF(AND($Y16&lt;&gt;"",EDATE($D16,Milestones!$AA$73)&gt;=$Y16),$AB16,$AA16)))=Milestones!$AB$73),UPPER(TEXT(EDATE($D16,Milestones!$AA$73),"dd mmm yy"))&amp;" "&amp;Milestones!$AB$73&amp;" "&amp;IF(AND(Milestones!$AB$73="FT",Milestones!$AA$73=FT_Y5,EDATE($D16,Milestones!$AA$73)&lt;PolicyEff),1,Milestones!$AC$73)&amp;";  ","")&amp;IF(AND(EDATE($D16,Milestones!$AA$74)&lt;=AsOfDate,EDATE($D16,Milestones!$AA$74)&gt;=SchemeStart,IF($X16=0,$AD16,IF(AND($Z16&lt;&gt;"",EDATE($D16,Milestones!$AA$74)&gt;=$Z16),$AC16,IF(AND($Y16&lt;&gt;"",EDATE($D16,Milestones!$AA$74)&gt;=$Y16),$AB16,$AA16)))=Milestones!$AB$74),UPPER(TEXT(EDATE($D16,Milestones!$AA$74),"dd mmm yy"))&amp;" "&amp;Milestones!$AB$74&amp;" "&amp;IF(AND(Milestones!$AB$74="FT",Milestones!$AA$74=FT_Y5,EDATE($D16,Milestones!$AA$74)&lt;PolicyEff),1,Milestones!$AC$74)&amp;";  ","")&amp;IF(AND(EDATE($D16,Milestones!$AA$75)&lt;=AsOfDate,EDATE($D16,Milestones!$AA$75)&gt;=SchemeStart,IF($X16=0,$AD16,IF(AND($Z16&lt;&gt;"",EDATE($D16,Milestones!$AA$75)&gt;=$Z16),$AC16,IF(AND($Y16&lt;&gt;"",EDATE($D16,Milestones!$AA$75)&gt;=$Y16),$AB16,$AA16)))=Milestones!$AB$75),UPPER(TEXT(EDATE($D16,Milestones!$AA$75),"dd mmm yy"))&amp;" "&amp;Milestones!$AB$75&amp;" "&amp;IF(AND(Milestones!$AB$75="FT",Milestones!$AA$75=FT_Y5,EDATE($D16,Milestones!$AA$75)&lt;PolicyEff),1,Milestones!$AC$75)&amp;";  ","")&amp;IF(AND(EDATE($D16,Milestones!$AA$76)&lt;=AsOfDate,EDATE($D16,Milestones!$AA$76)&gt;=SchemeStart,IF($X16=0,$AD16,IF(AND($Z16&lt;&gt;"",EDATE($D16,Milestones!$AA$76)&gt;=$Z16),$AC16,IF(AND($Y16&lt;&gt;"",EDATE($D16,Milestones!$AA$76)&gt;=$Y16),$AB16,$AA16)))=Milestones!$AB$76),UPPER(TEXT(EDATE($D16,Milestones!$AA$76),"dd mmm yy"))&amp;" "&amp;Milestones!$AB$76&amp;" "&amp;IF(AND(Milestones!$AB$76="FT",Milestones!$AA$76=FT_Y5,EDATE($D16,Milestones!$AA$76)&lt;PolicyEff),1,Milestones!$AC$76)&amp;";  ","")&amp;IF(AND(EDATE($D16,Milestones!$AA$77)&lt;=AsOfDate,EDATE($D16,Milestones!$AA$77)&gt;=SchemeStart,IF($X16=0,$AD16,IF(AND($Z16&lt;&gt;"",EDATE($D16,Milestones!$AA$77)&gt;=$Z16),$AC16,IF(AND($Y16&lt;&gt;"",EDATE($D16,Milestones!$AA$77)&gt;=$Y16),$AB16,$AA16)))=Milestones!$AB$77),UPPER(TEXT(EDATE($D16,Milestones!$AA$77),"dd mmm yy"))&amp;" "&amp;Milestones!$AB$77&amp;" "&amp;IF(AND(Milestones!$AB$77="FT",Milestones!$AA$77=FT_Y5,EDATE($D16,Milestones!$AA$77)&lt;PolicyEff),1,Milestones!$AC$77)&amp;";  ","")&amp;IF(AND(EDATE($D16,Milestones!$AA$78)&lt;=AsOfDate,EDATE($D16,Milestones!$AA$78)&gt;=SchemeStart,IF($X16=0,$AD16,IF(AND($Z16&lt;&gt;"",EDATE($D16,Milestones!$AA$78)&gt;=$Z16),$AC16,IF(AND($Y16&lt;&gt;"",EDATE($D16,Milestones!$AA$78)&gt;=$Y16),$AB16,$AA16)))=Milestones!$AB$78),UPPER(TEXT(EDATE($D16,Milestones!$AA$78),"dd mmm yy"))&amp;" "&amp;Milestones!$AB$78&amp;" "&amp;IF(AND(Milestones!$AB$78="FT",Milestones!$AA$78=FT_Y5,EDATE($D16,Milestones!$AA$78)&lt;PolicyEff),1,Milestones!$AC$78)&amp;";  ","")&amp;IF(AND(EDATE($D16,Milestones!$AA$79)&lt;=AsOfDate,EDATE($D16,Milestones!$AA$79)&gt;=SchemeStart,IF($X16=0,$AD16,IF(AND($Z16&lt;&gt;"",EDATE($D16,Milestones!$AA$79)&gt;=$Z16),$AC16,IF(AND($Y16&lt;&gt;"",EDATE($D16,Milestones!$AA$79)&gt;=$Y16),$AB16,$AA16)))=Milestones!$AB$79),UPPER(TEXT(EDATE($D16,Milestones!$AA$79),"dd mmm yy"))&amp;" "&amp;Milestones!$AB$79&amp;" "&amp;IF(AND(Milestones!$AB$79="FT",Milestones!$AA$79=FT_Y5,EDATE($D16,Milestones!$AA$79)&lt;PolicyEff),1,Milestones!$AC$79)&amp;";  ",""))</f>
        <v/>
      </c>
      <c r="N16" s="0" t="str">
        <f aca="false">IF(OR($A16="",$D16=""),"",IF(AND(EDATE($D16,Milestones!$AA$80)&lt;=AsOfDate,EDATE($D16,Milestones!$AA$80)&gt;=SchemeStart,IF($X16=0,$AD16,IF(AND($Z16&lt;&gt;"",EDATE($D16,Milestones!$AA$80)&gt;=$Z16),$AC16,IF(AND($Y16&lt;&gt;"",EDATE($D16,Milestones!$AA$80)&gt;=$Y16),$AB16,$AA16)))=Milestones!$AB$80),UPPER(TEXT(EDATE($D16,Milestones!$AA$80),"dd mmm yy"))&amp;" "&amp;Milestones!$AB$80&amp;" "&amp;IF(AND(Milestones!$AB$80="FT",Milestones!$AA$80=FT_Y5,EDATE($D16,Milestones!$AA$80)&lt;PolicyEff),1,Milestones!$AC$80)&amp;";  ","")&amp;IF(AND(EDATE($D16,Milestones!$AA$81)&lt;=AsOfDate,EDATE($D16,Milestones!$AA$81)&gt;=SchemeStart,IF($X16=0,$AD16,IF(AND($Z16&lt;&gt;"",EDATE($D16,Milestones!$AA$81)&gt;=$Z16),$AC16,IF(AND($Y16&lt;&gt;"",EDATE($D16,Milestones!$AA$81)&gt;=$Y16),$AB16,$AA16)))=Milestones!$AB$81),UPPER(TEXT(EDATE($D16,Milestones!$AA$81),"dd mmm yy"))&amp;" "&amp;Milestones!$AB$81&amp;" "&amp;IF(AND(Milestones!$AB$81="FT",Milestones!$AA$81=FT_Y5,EDATE($D16,Milestones!$AA$81)&lt;PolicyEff),1,Milestones!$AC$81)&amp;";  ","")&amp;IF(AND(EDATE($D16,Milestones!$AA$82)&lt;=AsOfDate,EDATE($D16,Milestones!$AA$82)&gt;=SchemeStart,IF($X16=0,$AD16,IF(AND($Z16&lt;&gt;"",EDATE($D16,Milestones!$AA$82)&gt;=$Z16),$AC16,IF(AND($Y16&lt;&gt;"",EDATE($D16,Milestones!$AA$82)&gt;=$Y16),$AB16,$AA16)))=Milestones!$AB$82),UPPER(TEXT(EDATE($D16,Milestones!$AA$82),"dd mmm yy"))&amp;" "&amp;Milestones!$AB$82&amp;" "&amp;IF(AND(Milestones!$AB$82="FT",Milestones!$AA$82=FT_Y5,EDATE($D16,Milestones!$AA$82)&lt;PolicyEff),1,Milestones!$AC$82)&amp;";  ","")&amp;IF(AND(EDATE($D16,Milestones!$AA$83)&lt;=AsOfDate,EDATE($D16,Milestones!$AA$83)&gt;=SchemeStart,IF($X16=0,$AD16,IF(AND($Z16&lt;&gt;"",EDATE($D16,Milestones!$AA$83)&gt;=$Z16),$AC16,IF(AND($Y16&lt;&gt;"",EDATE($D16,Milestones!$AA$83)&gt;=$Y16),$AB16,$AA16)))=Milestones!$AB$83),UPPER(TEXT(EDATE($D16,Milestones!$AA$83),"dd mmm yy"))&amp;" "&amp;Milestones!$AB$83&amp;" "&amp;IF(AND(Milestones!$AB$83="FT",Milestones!$AA$83=FT_Y5,EDATE($D16,Milestones!$AA$83)&lt;PolicyEff),1,Milestones!$AC$83)&amp;";  ","")&amp;IF(AND(EDATE($D16,Milestones!$AA$84)&lt;=AsOfDate,EDATE($D16,Milestones!$AA$84)&gt;=SchemeStart,IF($X16=0,$AD16,IF(AND($Z16&lt;&gt;"",EDATE($D16,Milestones!$AA$84)&gt;=$Z16),$AC16,IF(AND($Y16&lt;&gt;"",EDATE($D16,Milestones!$AA$84)&gt;=$Y16),$AB16,$AA16)))=Milestones!$AB$84),UPPER(TEXT(EDATE($D16,Milestones!$AA$84),"dd mmm yy"))&amp;" "&amp;Milestones!$AB$84&amp;" "&amp;IF(AND(Milestones!$AB$84="FT",Milestones!$AA$84=FT_Y5,EDATE($D16,Milestones!$AA$84)&lt;PolicyEff),1,Milestones!$AC$84)&amp;";  ","")&amp;IF(AND(EDATE($D16,Milestones!$AA$85)&lt;=AsOfDate,EDATE($D16,Milestones!$AA$85)&gt;=SchemeStart,IF($X16=0,$AD16,IF(AND($Z16&lt;&gt;"",EDATE($D16,Milestones!$AA$85)&gt;=$Z16),$AC16,IF(AND($Y16&lt;&gt;"",EDATE($D16,Milestones!$AA$85)&gt;=$Y16),$AB16,$AA16)))=Milestones!$AB$85),UPPER(TEXT(EDATE($D16,Milestones!$AA$85),"dd mmm yy"))&amp;" "&amp;Milestones!$AB$85&amp;" "&amp;IF(AND(Milestones!$AB$85="FT",Milestones!$AA$85=FT_Y5,EDATE($D16,Milestones!$AA$85)&lt;PolicyEff),1,Milestones!$AC$85)&amp;";  ","")&amp;IF(AND(EDATE($D16,Milestones!$AA$86)&lt;=AsOfDate,EDATE($D16,Milestones!$AA$86)&gt;=SchemeStart,IF($X16=0,$AD16,IF(AND($Z16&lt;&gt;"",EDATE($D16,Milestones!$AA$86)&gt;=$Z16),$AC16,IF(AND($Y16&lt;&gt;"",EDATE($D16,Milestones!$AA$86)&gt;=$Y16),$AB16,$AA16)))=Milestones!$AB$86),UPPER(TEXT(EDATE($D16,Milestones!$AA$86),"dd mmm yy"))&amp;" "&amp;Milestones!$AB$86&amp;" "&amp;IF(AND(Milestones!$AB$86="FT",Milestones!$AA$86=FT_Y5,EDATE($D16,Milestones!$AA$86)&lt;PolicyEff),1,Milestones!$AC$86)&amp;";  ","")&amp;IF(AND(EDATE($D16,Milestones!$AA$87)&lt;=AsOfDate,EDATE($D16,Milestones!$AA$87)&gt;=SchemeStart,IF($X16=0,$AD16,IF(AND($Z16&lt;&gt;"",EDATE($D16,Milestones!$AA$87)&gt;=$Z16),$AC16,IF(AND($Y16&lt;&gt;"",EDATE($D16,Milestones!$AA$87)&gt;=$Y16),$AB16,$AA16)))=Milestones!$AB$87),UPPER(TEXT(EDATE($D16,Milestones!$AA$87),"dd mmm yy"))&amp;" "&amp;Milestones!$AB$87&amp;" "&amp;IF(AND(Milestones!$AB$87="FT",Milestones!$AA$87=FT_Y5,EDATE($D16,Milestones!$AA$87)&lt;PolicyEff),1,Milestones!$AC$87)&amp;";  ","")&amp;IF(AND(EDATE($D16,Milestones!$AA$88)&lt;=AsOfDate,EDATE($D16,Milestones!$AA$88)&gt;=SchemeStart,IF($X16=0,$AD16,IF(AND($Z16&lt;&gt;"",EDATE($D16,Milestones!$AA$88)&gt;=$Z16),$AC16,IF(AND($Y16&lt;&gt;"",EDATE($D16,Milestones!$AA$88)&gt;=$Y16),$AB16,$AA16)))=Milestones!$AB$88),UPPER(TEXT(EDATE($D16,Milestones!$AA$88),"dd mmm yy"))&amp;" "&amp;Milestones!$AB$88&amp;" "&amp;IF(AND(Milestones!$AB$88="FT",Milestones!$AA$88=FT_Y5,EDATE($D16,Milestones!$AA$88)&lt;PolicyEff),1,Milestones!$AC$88)&amp;";  ","")&amp;IF(AND(EDATE($D16,Milestones!$AA$89)&lt;=AsOfDate,EDATE($D16,Milestones!$AA$89)&gt;=SchemeStart,IF($X16=0,$AD16,IF(AND($Z16&lt;&gt;"",EDATE($D16,Milestones!$AA$89)&gt;=$Z16),$AC16,IF(AND($Y16&lt;&gt;"",EDATE($D16,Milestones!$AA$89)&gt;=$Y16),$AB16,$AA16)))=Milestones!$AB$89),UPPER(TEXT(EDATE($D16,Milestones!$AA$89),"dd mmm yy"))&amp;" "&amp;Milestones!$AB$89&amp;" "&amp;IF(AND(Milestones!$AB$89="FT",Milestones!$AA$89=FT_Y5,EDATE($D16,Milestones!$AA$89)&lt;PolicyEff),1,Milestones!$AC$89)&amp;";  ","")&amp;IF(AND(EDATE($D16,Milestones!$AA$90)&lt;=AsOfDate,EDATE($D16,Milestones!$AA$90)&gt;=SchemeStart,IF($X16=0,$AD16,IF(AND($Z16&lt;&gt;"",EDATE($D16,Milestones!$AA$90)&gt;=$Z16),$AC16,IF(AND($Y16&lt;&gt;"",EDATE($D16,Milestones!$AA$90)&gt;=$Y16),$AB16,$AA16)))=Milestones!$AB$90),UPPER(TEXT(EDATE($D16,Milestones!$AA$90),"dd mmm yy"))&amp;" "&amp;Milestones!$AB$90&amp;" "&amp;IF(AND(Milestones!$AB$90="FT",Milestones!$AA$90=FT_Y5,EDATE($D16,Milestones!$AA$90)&lt;PolicyEff),1,Milestones!$AC$90)&amp;";  ","")&amp;IF(AND(EDATE($D16,Milestones!$AA$91)&lt;=AsOfDate,EDATE($D16,Milestones!$AA$91)&gt;=SchemeStart,IF($X16=0,$AD16,IF(AND($Z16&lt;&gt;"",EDATE($D16,Milestones!$AA$91)&gt;=$Z16),$AC16,IF(AND($Y16&lt;&gt;"",EDATE($D16,Milestones!$AA$91)&gt;=$Y16),$AB16,$AA16)))=Milestones!$AB$91),UPPER(TEXT(EDATE($D16,Milestones!$AA$91),"dd mmm yy"))&amp;" "&amp;Milestones!$AB$91&amp;" "&amp;IF(AND(Milestones!$AB$91="FT",Milestones!$AA$91=FT_Y5,EDATE($D16,Milestones!$AA$91)&lt;PolicyEff),1,Milestones!$AC$91)&amp;";  ",""))</f>
        <v/>
      </c>
      <c r="O16" s="0" t="str">
        <f aca="false">IF(OR($A16="",$D16=""),"",IF(AND(EDATE($D16,Milestones!$AA$92)&lt;=AsOfDate,EDATE($D16,Milestones!$AA$92)&gt;=SchemeStart,IF($X16=0,$AD16,IF(AND($Z16&lt;&gt;"",EDATE($D16,Milestones!$AA$92)&gt;=$Z16),$AC16,IF(AND($Y16&lt;&gt;"",EDATE($D16,Milestones!$AA$92)&gt;=$Y16),$AB16,$AA16)))=Milestones!$AB$92),UPPER(TEXT(EDATE($D16,Milestones!$AA$92),"dd mmm yy"))&amp;" "&amp;Milestones!$AB$92&amp;" "&amp;IF(AND(Milestones!$AB$92="FT",Milestones!$AA$92=FT_Y5,EDATE($D16,Milestones!$AA$92)&lt;PolicyEff),1,Milestones!$AC$92)&amp;";  ","")&amp;IF(AND(EDATE($D16,Milestones!$AA$93)&lt;=AsOfDate,EDATE($D16,Milestones!$AA$93)&gt;=SchemeStart,IF($X16=0,$AD16,IF(AND($Z16&lt;&gt;"",EDATE($D16,Milestones!$AA$93)&gt;=$Z16),$AC16,IF(AND($Y16&lt;&gt;"",EDATE($D16,Milestones!$AA$93)&gt;=$Y16),$AB16,$AA16)))=Milestones!$AB$93),UPPER(TEXT(EDATE($D16,Milestones!$AA$93),"dd mmm yy"))&amp;" "&amp;Milestones!$AB$93&amp;" "&amp;IF(AND(Milestones!$AB$93="FT",Milestones!$AA$93=FT_Y5,EDATE($D16,Milestones!$AA$93)&lt;PolicyEff),1,Milestones!$AC$93)&amp;";  ","")&amp;IF(AND(EDATE($D16,Milestones!$AA$94)&lt;=AsOfDate,EDATE($D16,Milestones!$AA$94)&gt;=SchemeStart,IF($X16=0,$AD16,IF(AND($Z16&lt;&gt;"",EDATE($D16,Milestones!$AA$94)&gt;=$Z16),$AC16,IF(AND($Y16&lt;&gt;"",EDATE($D16,Milestones!$AA$94)&gt;=$Y16),$AB16,$AA16)))=Milestones!$AB$94),UPPER(TEXT(EDATE($D16,Milestones!$AA$94),"dd mmm yy"))&amp;" "&amp;Milestones!$AB$94&amp;" "&amp;IF(AND(Milestones!$AB$94="FT",Milestones!$AA$94=FT_Y5,EDATE($D16,Milestones!$AA$94)&lt;PolicyEff),1,Milestones!$AC$94)&amp;";  ","")&amp;IF(AND(EDATE($D16,Milestones!$AA$95)&lt;=AsOfDate,EDATE($D16,Milestones!$AA$95)&gt;=SchemeStart,IF($X16=0,$AD16,IF(AND($Z16&lt;&gt;"",EDATE($D16,Milestones!$AA$95)&gt;=$Z16),$AC16,IF(AND($Y16&lt;&gt;"",EDATE($D16,Milestones!$AA$95)&gt;=$Y16),$AB16,$AA16)))=Milestones!$AB$95),UPPER(TEXT(EDATE($D16,Milestones!$AA$95),"dd mmm yy"))&amp;" "&amp;Milestones!$AB$95&amp;" "&amp;IF(AND(Milestones!$AB$95="FT",Milestones!$AA$95=FT_Y5,EDATE($D16,Milestones!$AA$95)&lt;PolicyEff),1,Milestones!$AC$95)&amp;";  ","")&amp;IF(AND(EDATE($D16,Milestones!$AA$96)&lt;=AsOfDate,EDATE($D16,Milestones!$AA$96)&gt;=SchemeStart,IF($X16=0,$AD16,IF(AND($Z16&lt;&gt;"",EDATE($D16,Milestones!$AA$96)&gt;=$Z16),$AC16,IF(AND($Y16&lt;&gt;"",EDATE($D16,Milestones!$AA$96)&gt;=$Y16),$AB16,$AA16)))=Milestones!$AB$96),UPPER(TEXT(EDATE($D16,Milestones!$AA$96),"dd mmm yy"))&amp;" "&amp;Milestones!$AB$96&amp;" "&amp;IF(AND(Milestones!$AB$96="FT",Milestones!$AA$96=FT_Y5,EDATE($D16,Milestones!$AA$96)&lt;PolicyEff),1,Milestones!$AC$96)&amp;";  ","")&amp;IF(AND(EDATE($D16,Milestones!$AA$97)&lt;=AsOfDate,EDATE($D16,Milestones!$AA$97)&gt;=SchemeStart,IF($X16=0,$AD16,IF(AND($Z16&lt;&gt;"",EDATE($D16,Milestones!$AA$97)&gt;=$Z16),$AC16,IF(AND($Y16&lt;&gt;"",EDATE($D16,Milestones!$AA$97)&gt;=$Y16),$AB16,$AA16)))=Milestones!$AB$97),UPPER(TEXT(EDATE($D16,Milestones!$AA$97),"dd mmm yy"))&amp;" "&amp;Milestones!$AB$97&amp;" "&amp;IF(AND(Milestones!$AB$97="FT",Milestones!$AA$97=FT_Y5,EDATE($D16,Milestones!$AA$97)&lt;PolicyEff),1,Milestones!$AC$97)&amp;";  ","")&amp;IF(AND(EDATE($D16,Milestones!$AA$98)&lt;=AsOfDate,EDATE($D16,Milestones!$AA$98)&gt;=SchemeStart,IF($X16=0,$AD16,IF(AND($Z16&lt;&gt;"",EDATE($D16,Milestones!$AA$98)&gt;=$Z16),$AC16,IF(AND($Y16&lt;&gt;"",EDATE($D16,Milestones!$AA$98)&gt;=$Y16),$AB16,$AA16)))=Milestones!$AB$98),UPPER(TEXT(EDATE($D16,Milestones!$AA$98),"dd mmm yy"))&amp;" "&amp;Milestones!$AB$98&amp;" "&amp;IF(AND(Milestones!$AB$98="FT",Milestones!$AA$98=FT_Y5,EDATE($D16,Milestones!$AA$98)&lt;PolicyEff),1,Milestones!$AC$98)&amp;";  ","")&amp;IF(AND(EDATE($D16,Milestones!$AA$99)&lt;=AsOfDate,EDATE($D16,Milestones!$AA$99)&gt;=SchemeStart,IF($X16=0,$AD16,IF(AND($Z16&lt;&gt;"",EDATE($D16,Milestones!$AA$99)&gt;=$Z16),$AC16,IF(AND($Y16&lt;&gt;"",EDATE($D16,Milestones!$AA$99)&gt;=$Y16),$AB16,$AA16)))=Milestones!$AB$99),UPPER(TEXT(EDATE($D16,Milestones!$AA$99),"dd mmm yy"))&amp;" "&amp;Milestones!$AB$99&amp;" "&amp;IF(AND(Milestones!$AB$99="FT",Milestones!$AA$99=FT_Y5,EDATE($D16,Milestones!$AA$99)&lt;PolicyEff),1,Milestones!$AC$99)&amp;";  ","")&amp;IF(AND(EDATE($D16,Milestones!$AA$100)&lt;=AsOfDate,EDATE($D16,Milestones!$AA$100)&gt;=SchemeStart,IF($X16=0,$AD16,IF(AND($Z16&lt;&gt;"",EDATE($D16,Milestones!$AA$100)&gt;=$Z16),$AC16,IF(AND($Y16&lt;&gt;"",EDATE($D16,Milestones!$AA$100)&gt;=$Y16),$AB16,$AA16)))=Milestones!$AB$100),UPPER(TEXT(EDATE($D16,Milestones!$AA$100),"dd mmm yy"))&amp;" "&amp;Milestones!$AB$100&amp;" "&amp;IF(AND(Milestones!$AB$100="FT",Milestones!$AA$100=FT_Y5,EDATE($D16,Milestones!$AA$100)&lt;PolicyEff),1,Milestones!$AC$100)&amp;";  ","")&amp;IF(AND(EDATE($D16,Milestones!$AA$101)&lt;=AsOfDate,EDATE($D16,Milestones!$AA$101)&gt;=SchemeStart,IF($X16=0,$AD16,IF(AND($Z16&lt;&gt;"",EDATE($D16,Milestones!$AA$101)&gt;=$Z16),$AC16,IF(AND($Y16&lt;&gt;"",EDATE($D16,Milestones!$AA$101)&gt;=$Y16),$AB16,$AA16)))=Milestones!$AB$101),UPPER(TEXT(EDATE($D16,Milestones!$AA$101),"dd mmm yy"))&amp;" "&amp;Milestones!$AB$101&amp;" "&amp;IF(AND(Milestones!$AB$101="FT",Milestones!$AA$101=FT_Y5,EDATE($D16,Milestones!$AA$101)&lt;PolicyEff),1,Milestones!$AC$101)&amp;";  ","")&amp;IF(AND(EDATE($D16,Milestones!$AA$102)&lt;=AsOfDate,EDATE($D16,Milestones!$AA$102)&gt;=SchemeStart,IF($X16=0,$AD16,IF(AND($Z16&lt;&gt;"",EDATE($D16,Milestones!$AA$102)&gt;=$Z16),$AC16,IF(AND($Y16&lt;&gt;"",EDATE($D16,Milestones!$AA$102)&gt;=$Y16),$AB16,$AA16)))=Milestones!$AB$102),UPPER(TEXT(EDATE($D16,Milestones!$AA$102),"dd mmm yy"))&amp;" "&amp;Milestones!$AB$102&amp;" "&amp;IF(AND(Milestones!$AB$102="FT",Milestones!$AA$102=FT_Y5,EDATE($D16,Milestones!$AA$102)&lt;PolicyEff),1,Milestones!$AC$102)&amp;";  ","")&amp;IF(AND(EDATE($D16,Milestones!$AA$103)&lt;=AsOfDate,EDATE($D16,Milestones!$AA$103)&gt;=SchemeStart,IF($X16=0,$AD16,IF(AND($Z16&lt;&gt;"",EDATE($D16,Milestones!$AA$103)&gt;=$Z16),$AC16,IF(AND($Y16&lt;&gt;"",EDATE($D16,Milestones!$AA$103)&gt;=$Y16),$AB16,$AA16)))=Milestones!$AB$103),UPPER(TEXT(EDATE($D16,Milestones!$AA$103),"dd mmm yy"))&amp;" "&amp;Milestones!$AB$103&amp;" "&amp;IF(AND(Milestones!$AB$103="FT",Milestones!$AA$103=FT_Y5,EDATE($D16,Milestones!$AA$103)&lt;PolicyEff),1,Milestones!$AC$103)&amp;";  ",""))</f>
        <v/>
      </c>
      <c r="P16" s="0" t="str">
        <f aca="false">IF(OR($A16="",$D16=""),"",IF(AND(EDATE($D16,Milestones!$AA$104)&lt;=AsOfDate,EDATE($D16,Milestones!$AA$104)&gt;=SchemeStart,IF($X16=0,$AD16,IF(AND($Z16&lt;&gt;"",EDATE($D16,Milestones!$AA$104)&gt;=$Z16),$AC16,IF(AND($Y16&lt;&gt;"",EDATE($D16,Milestones!$AA$104)&gt;=$Y16),$AB16,$AA16)))=Milestones!$AB$104),UPPER(TEXT(EDATE($D16,Milestones!$AA$104),"dd mmm yy"))&amp;" "&amp;Milestones!$AB$104&amp;" "&amp;IF(AND(Milestones!$AB$104="FT",Milestones!$AA$104=FT_Y5,EDATE($D16,Milestones!$AA$104)&lt;PolicyEff),1,Milestones!$AC$104)&amp;";  ","")&amp;IF(AND(EDATE($D16,Milestones!$AA$105)&lt;=AsOfDate,EDATE($D16,Milestones!$AA$105)&gt;=SchemeStart,IF($X16=0,$AD16,IF(AND($Z16&lt;&gt;"",EDATE($D16,Milestones!$AA$105)&gt;=$Z16),$AC16,IF(AND($Y16&lt;&gt;"",EDATE($D16,Milestones!$AA$105)&gt;=$Y16),$AB16,$AA16)))=Milestones!$AB$105),UPPER(TEXT(EDATE($D16,Milestones!$AA$105),"dd mmm yy"))&amp;" "&amp;Milestones!$AB$105&amp;" "&amp;IF(AND(Milestones!$AB$105="FT",Milestones!$AA$105=FT_Y5,EDATE($D16,Milestones!$AA$105)&lt;PolicyEff),1,Milestones!$AC$105)&amp;";  ","")&amp;IF(AND(EDATE($D16,Milestones!$AA$106)&lt;=AsOfDate,EDATE($D16,Milestones!$AA$106)&gt;=SchemeStart,IF($X16=0,$AD16,IF(AND($Z16&lt;&gt;"",EDATE($D16,Milestones!$AA$106)&gt;=$Z16),$AC16,IF(AND($Y16&lt;&gt;"",EDATE($D16,Milestones!$AA$106)&gt;=$Y16),$AB16,$AA16)))=Milestones!$AB$106),UPPER(TEXT(EDATE($D16,Milestones!$AA$106),"dd mmm yy"))&amp;" "&amp;Milestones!$AB$106&amp;" "&amp;IF(AND(Milestones!$AB$106="FT",Milestones!$AA$106=FT_Y5,EDATE($D16,Milestones!$AA$106)&lt;PolicyEff),1,Milestones!$AC$106)&amp;";  ","")&amp;IF(AND(EDATE($D16,Milestones!$AA$107)&lt;=AsOfDate,EDATE($D16,Milestones!$AA$107)&gt;=SchemeStart,IF($X16=0,$AD16,IF(AND($Z16&lt;&gt;"",EDATE($D16,Milestones!$AA$107)&gt;=$Z16),$AC16,IF(AND($Y16&lt;&gt;"",EDATE($D16,Milestones!$AA$107)&gt;=$Y16),$AB16,$AA16)))=Milestones!$AB$107),UPPER(TEXT(EDATE($D16,Milestones!$AA$107),"dd mmm yy"))&amp;" "&amp;Milestones!$AB$107&amp;" "&amp;IF(AND(Milestones!$AB$107="FT",Milestones!$AA$107=FT_Y5,EDATE($D16,Milestones!$AA$107)&lt;PolicyEff),1,Milestones!$AC$107)&amp;";  ","")&amp;IF(AND(EDATE($D16,Milestones!$AA$108)&lt;=AsOfDate,EDATE($D16,Milestones!$AA$108)&gt;=SchemeStart,IF($X16=0,$AD16,IF(AND($Z16&lt;&gt;"",EDATE($D16,Milestones!$AA$108)&gt;=$Z16),$AC16,IF(AND($Y16&lt;&gt;"",EDATE($D16,Milestones!$AA$108)&gt;=$Y16),$AB16,$AA16)))=Milestones!$AB$108),UPPER(TEXT(EDATE($D16,Milestones!$AA$108),"dd mmm yy"))&amp;" "&amp;Milestones!$AB$108&amp;" "&amp;IF(AND(Milestones!$AB$108="FT",Milestones!$AA$108=FT_Y5,EDATE($D16,Milestones!$AA$108)&lt;PolicyEff),1,Milestones!$AC$108)&amp;";  ","")&amp;IF(AND(EDATE($D16,Milestones!$AA$109)&lt;=AsOfDate,EDATE($D16,Milestones!$AA$109)&gt;=SchemeStart,IF($X16=0,$AD16,IF(AND($Z16&lt;&gt;"",EDATE($D16,Milestones!$AA$109)&gt;=$Z16),$AC16,IF(AND($Y16&lt;&gt;"",EDATE($D16,Milestones!$AA$109)&gt;=$Y16),$AB16,$AA16)))=Milestones!$AB$109),UPPER(TEXT(EDATE($D16,Milestones!$AA$109),"dd mmm yy"))&amp;" "&amp;Milestones!$AB$109&amp;" "&amp;IF(AND(Milestones!$AB$109="FT",Milestones!$AA$109=FT_Y5,EDATE($D16,Milestones!$AA$109)&lt;PolicyEff),1,Milestones!$AC$109)&amp;";  ","")&amp;IF(AND(EDATE($D16,Milestones!$AA$110)&lt;=AsOfDate,EDATE($D16,Milestones!$AA$110)&gt;=SchemeStart,IF($X16=0,$AD16,IF(AND($Z16&lt;&gt;"",EDATE($D16,Milestones!$AA$110)&gt;=$Z16),$AC16,IF(AND($Y16&lt;&gt;"",EDATE($D16,Milestones!$AA$110)&gt;=$Y16),$AB16,$AA16)))=Milestones!$AB$110),UPPER(TEXT(EDATE($D16,Milestones!$AA$110),"dd mmm yy"))&amp;" "&amp;Milestones!$AB$110&amp;" "&amp;IF(AND(Milestones!$AB$110="FT",Milestones!$AA$110=FT_Y5,EDATE($D16,Milestones!$AA$110)&lt;PolicyEff),1,Milestones!$AC$110)&amp;";  ","")&amp;IF(AND(EDATE($D16,Milestones!$AA$111)&lt;=AsOfDate,EDATE($D16,Milestones!$AA$111)&gt;=SchemeStart,IF($X16=0,$AD16,IF(AND($Z16&lt;&gt;"",EDATE($D16,Milestones!$AA$111)&gt;=$Z16),$AC16,IF(AND($Y16&lt;&gt;"",EDATE($D16,Milestones!$AA$111)&gt;=$Y16),$AB16,$AA16)))=Milestones!$AB$111),UPPER(TEXT(EDATE($D16,Milestones!$AA$111),"dd mmm yy"))&amp;" "&amp;Milestones!$AB$111&amp;" "&amp;IF(AND(Milestones!$AB$111="FT",Milestones!$AA$111=FT_Y5,EDATE($D16,Milestones!$AA$111)&lt;PolicyEff),1,Milestones!$AC$111)&amp;";  ","")&amp;IF(AND(EDATE($D16,Milestones!$AA$112)&lt;=AsOfDate,EDATE($D16,Milestones!$AA$112)&gt;=SchemeStart,IF($X16=0,$AD16,IF(AND($Z16&lt;&gt;"",EDATE($D16,Milestones!$AA$112)&gt;=$Z16),$AC16,IF(AND($Y16&lt;&gt;"",EDATE($D16,Milestones!$AA$112)&gt;=$Y16),$AB16,$AA16)))=Milestones!$AB$112),UPPER(TEXT(EDATE($D16,Milestones!$AA$112),"dd mmm yy"))&amp;" "&amp;Milestones!$AB$112&amp;" "&amp;IF(AND(Milestones!$AB$112="FT",Milestones!$AA$112=FT_Y5,EDATE($D16,Milestones!$AA$112)&lt;PolicyEff),1,Milestones!$AC$112)&amp;";  ","")&amp;IF(AND(EDATE($D16,Milestones!$AA$113)&lt;=AsOfDate,EDATE($D16,Milestones!$AA$113)&gt;=SchemeStart,IF($X16=0,$AD16,IF(AND($Z16&lt;&gt;"",EDATE($D16,Milestones!$AA$113)&gt;=$Z16),$AC16,IF(AND($Y16&lt;&gt;"",EDATE($D16,Milestones!$AA$113)&gt;=$Y16),$AB16,$AA16)))=Milestones!$AB$113),UPPER(TEXT(EDATE($D16,Milestones!$AA$113),"dd mmm yy"))&amp;" "&amp;Milestones!$AB$113&amp;" "&amp;IF(AND(Milestones!$AB$113="FT",Milestones!$AA$113=FT_Y5,EDATE($D16,Milestones!$AA$113)&lt;PolicyEff),1,Milestones!$AC$113)&amp;";  ","")&amp;IF(AND(EDATE($D16,Milestones!$AA$114)&lt;=AsOfDate,EDATE($D16,Milestones!$AA$114)&gt;=SchemeStart,IF($X16=0,$AD16,IF(AND($Z16&lt;&gt;"",EDATE($D16,Milestones!$AA$114)&gt;=$Z16),$AC16,IF(AND($Y16&lt;&gt;"",EDATE($D16,Milestones!$AA$114)&gt;=$Y16),$AB16,$AA16)))=Milestones!$AB$114),UPPER(TEXT(EDATE($D16,Milestones!$AA$114),"dd mmm yy"))&amp;" "&amp;Milestones!$AB$114&amp;" "&amp;IF(AND(Milestones!$AB$114="FT",Milestones!$AA$114=FT_Y5,EDATE($D16,Milestones!$AA$114)&lt;PolicyEff),1,Milestones!$AC$114)&amp;";  ","")&amp;IF(AND(EDATE($D16,Milestones!$AA$115)&lt;=AsOfDate,EDATE($D16,Milestones!$AA$115)&gt;=SchemeStart,IF($X16=0,$AD16,IF(AND($Z16&lt;&gt;"",EDATE($D16,Milestones!$AA$115)&gt;=$Z16),$AC16,IF(AND($Y16&lt;&gt;"",EDATE($D16,Milestones!$AA$115)&gt;=$Y16),$AB16,$AA16)))=Milestones!$AB$115),UPPER(TEXT(EDATE($D16,Milestones!$AA$115),"dd mmm yy"))&amp;" "&amp;Milestones!$AB$115&amp;" "&amp;IF(AND(Milestones!$AB$115="FT",Milestones!$AA$115=FT_Y5,EDATE($D16,Milestones!$AA$115)&lt;PolicyEff),1,Milestones!$AC$115)&amp;";  ",""))</f>
        <v/>
      </c>
      <c r="Q16" s="0" t="str">
        <f aca="false">IF(OR($A16="",$D16=""),"",IF(AND(EDATE($D16,Milestones!$AA$116)&lt;=AsOfDate,EDATE($D16,Milestones!$AA$116)&gt;=SchemeStart,IF($X16=0,$AD16,IF(AND($Z16&lt;&gt;"",EDATE($D16,Milestones!$AA$116)&gt;=$Z16),$AC16,IF(AND($Y16&lt;&gt;"",EDATE($D16,Milestones!$AA$116)&gt;=$Y16),$AB16,$AA16)))=Milestones!$AB$116),UPPER(TEXT(EDATE($D16,Milestones!$AA$116),"dd mmm yy"))&amp;" "&amp;Milestones!$AB$116&amp;" "&amp;IF(AND(Milestones!$AB$116="FT",Milestones!$AA$116=FT_Y5,EDATE($D16,Milestones!$AA$116)&lt;PolicyEff),1,Milestones!$AC$116)&amp;";  ","")&amp;IF(AND(EDATE($D16,Milestones!$AA$117)&lt;=AsOfDate,EDATE($D16,Milestones!$AA$117)&gt;=SchemeStart,IF($X16=0,$AD16,IF(AND($Z16&lt;&gt;"",EDATE($D16,Milestones!$AA$117)&gt;=$Z16),$AC16,IF(AND($Y16&lt;&gt;"",EDATE($D16,Milestones!$AA$117)&gt;=$Y16),$AB16,$AA16)))=Milestones!$AB$117),UPPER(TEXT(EDATE($D16,Milestones!$AA$117),"dd mmm yy"))&amp;" "&amp;Milestones!$AB$117&amp;" "&amp;IF(AND(Milestones!$AB$117="FT",Milestones!$AA$117=FT_Y5,EDATE($D16,Milestones!$AA$117)&lt;PolicyEff),1,Milestones!$AC$117)&amp;";  ","")&amp;IF(AND(EDATE($D16,Milestones!$AA$118)&lt;=AsOfDate,EDATE($D16,Milestones!$AA$118)&gt;=SchemeStart,IF($X16=0,$AD16,IF(AND($Z16&lt;&gt;"",EDATE($D16,Milestones!$AA$118)&gt;=$Z16),$AC16,IF(AND($Y16&lt;&gt;"",EDATE($D16,Milestones!$AA$118)&gt;=$Y16),$AB16,$AA16)))=Milestones!$AB$118),UPPER(TEXT(EDATE($D16,Milestones!$AA$118),"dd mmm yy"))&amp;" "&amp;Milestones!$AB$118&amp;" "&amp;IF(AND(Milestones!$AB$118="FT",Milestones!$AA$118=FT_Y5,EDATE($D16,Milestones!$AA$118)&lt;PolicyEff),1,Milestones!$AC$118)&amp;";  ","")&amp;IF(AND(EDATE($D16,Milestones!$AA$119)&lt;=AsOfDate,EDATE($D16,Milestones!$AA$119)&gt;=SchemeStart,IF($X16=0,$AD16,IF(AND($Z16&lt;&gt;"",EDATE($D16,Milestones!$AA$119)&gt;=$Z16),$AC16,IF(AND($Y16&lt;&gt;"",EDATE($D16,Milestones!$AA$119)&gt;=$Y16),$AB16,$AA16)))=Milestones!$AB$119),UPPER(TEXT(EDATE($D16,Milestones!$AA$119),"dd mmm yy"))&amp;" "&amp;Milestones!$AB$119&amp;" "&amp;IF(AND(Milestones!$AB$119="FT",Milestones!$AA$119=FT_Y5,EDATE($D16,Milestones!$AA$119)&lt;PolicyEff),1,Milestones!$AC$119)&amp;";  ","")&amp;IF(AND(EDATE($D16,Milestones!$AA$120)&lt;=AsOfDate,EDATE($D16,Milestones!$AA$120)&gt;=SchemeStart,IF($X16=0,$AD16,IF(AND($Z16&lt;&gt;"",EDATE($D16,Milestones!$AA$120)&gt;=$Z16),$AC16,IF(AND($Y16&lt;&gt;"",EDATE($D16,Milestones!$AA$120)&gt;=$Y16),$AB16,$AA16)))=Milestones!$AB$120),UPPER(TEXT(EDATE($D16,Milestones!$AA$120),"dd mmm yy"))&amp;" "&amp;Milestones!$AB$120&amp;" "&amp;IF(AND(Milestones!$AB$120="FT",Milestones!$AA$120=FT_Y5,EDATE($D16,Milestones!$AA$120)&lt;PolicyEff),1,Milestones!$AC$120)&amp;";  ","")&amp;IF(AND(EDATE($D16,Milestones!$AA$121)&lt;=AsOfDate,EDATE($D16,Milestones!$AA$121)&gt;=SchemeStart,IF($X16=0,$AD16,IF(AND($Z16&lt;&gt;"",EDATE($D16,Milestones!$AA$121)&gt;=$Z16),$AC16,IF(AND($Y16&lt;&gt;"",EDATE($D16,Milestones!$AA$121)&gt;=$Y16),$AB16,$AA16)))=Milestones!$AB$121),UPPER(TEXT(EDATE($D16,Milestones!$AA$121),"dd mmm yy"))&amp;" "&amp;Milestones!$AB$121&amp;" "&amp;IF(AND(Milestones!$AB$121="FT",Milestones!$AA$121=FT_Y5,EDATE($D16,Milestones!$AA$121)&lt;PolicyEff),1,Milestones!$AC$121)&amp;";  ","")&amp;IF(AND(EDATE($D16,Milestones!$AA$122)&lt;=AsOfDate,EDATE($D16,Milestones!$AA$122)&gt;=SchemeStart,IF($X16=0,$AD16,IF(AND($Z16&lt;&gt;"",EDATE($D16,Milestones!$AA$122)&gt;=$Z16),$AC16,IF(AND($Y16&lt;&gt;"",EDATE($D16,Milestones!$AA$122)&gt;=$Y16),$AB16,$AA16)))=Milestones!$AB$122),UPPER(TEXT(EDATE($D16,Milestones!$AA$122),"dd mmm yy"))&amp;" "&amp;Milestones!$AB$122&amp;" "&amp;IF(AND(Milestones!$AB$122="FT",Milestones!$AA$122=FT_Y5,EDATE($D16,Milestones!$AA$122)&lt;PolicyEff),1,Milestones!$AC$122)&amp;";  ","")&amp;IF(AND(EDATE($D16,Milestones!$AA$123)&lt;=AsOfDate,EDATE($D16,Milestones!$AA$123)&gt;=SchemeStart,IF($X16=0,$AD16,IF(AND($Z16&lt;&gt;"",EDATE($D16,Milestones!$AA$123)&gt;=$Z16),$AC16,IF(AND($Y16&lt;&gt;"",EDATE($D16,Milestones!$AA$123)&gt;=$Y16),$AB16,$AA16)))=Milestones!$AB$123),UPPER(TEXT(EDATE($D16,Milestones!$AA$123),"dd mmm yy"))&amp;" "&amp;Milestones!$AB$123&amp;" "&amp;IF(AND(Milestones!$AB$123="FT",Milestones!$AA$123=FT_Y5,EDATE($D16,Milestones!$AA$123)&lt;PolicyEff),1,Milestones!$AC$123)&amp;";  ","")&amp;IF(AND(EDATE($D16,Milestones!$AA$124)&lt;=AsOfDate,EDATE($D16,Milestones!$AA$124)&gt;=SchemeStart,IF($X16=0,$AD16,IF(AND($Z16&lt;&gt;"",EDATE($D16,Milestones!$AA$124)&gt;=$Z16),$AC16,IF(AND($Y16&lt;&gt;"",EDATE($D16,Milestones!$AA$124)&gt;=$Y16),$AB16,$AA16)))=Milestones!$AB$124),UPPER(TEXT(EDATE($D16,Milestones!$AA$124),"dd mmm yy"))&amp;" "&amp;Milestones!$AB$124&amp;" "&amp;IF(AND(Milestones!$AB$124="FT",Milestones!$AA$124=FT_Y5,EDATE($D16,Milestones!$AA$124)&lt;PolicyEff),1,Milestones!$AC$124)&amp;";  ","")&amp;IF(AND(EDATE($D16,Milestones!$AA$125)&lt;=AsOfDate,EDATE($D16,Milestones!$AA$125)&gt;=SchemeStart,IF($X16=0,$AD16,IF(AND($Z16&lt;&gt;"",EDATE($D16,Milestones!$AA$125)&gt;=$Z16),$AC16,IF(AND($Y16&lt;&gt;"",EDATE($D16,Milestones!$AA$125)&gt;=$Y16),$AB16,$AA16)))=Milestones!$AB$125),UPPER(TEXT(EDATE($D16,Milestones!$AA$125),"dd mmm yy"))&amp;" "&amp;Milestones!$AB$125&amp;" "&amp;IF(AND(Milestones!$AB$125="FT",Milestones!$AA$125=FT_Y5,EDATE($D16,Milestones!$AA$125)&lt;PolicyEff),1,Milestones!$AC$125)&amp;";  ","")&amp;IF(AND(EDATE($D16,Milestones!$AA$126)&lt;=AsOfDate,EDATE($D16,Milestones!$AA$126)&gt;=SchemeStart,IF($X16=0,$AD16,IF(AND($Z16&lt;&gt;"",EDATE($D16,Milestones!$AA$126)&gt;=$Z16),$AC16,IF(AND($Y16&lt;&gt;"",EDATE($D16,Milestones!$AA$126)&gt;=$Y16),$AB16,$AA16)))=Milestones!$AB$126),UPPER(TEXT(EDATE($D16,Milestones!$AA$126),"dd mmm yy"))&amp;" "&amp;Milestones!$AB$126&amp;" "&amp;IF(AND(Milestones!$AB$126="FT",Milestones!$AA$126=FT_Y5,EDATE($D16,Milestones!$AA$126)&lt;PolicyEff),1,Milestones!$AC$126)&amp;";  ","")&amp;IF(AND(EDATE($D16,Milestones!$AA$127)&lt;=AsOfDate,EDATE($D16,Milestones!$AA$127)&gt;=SchemeStart,IF($X16=0,$AD16,IF(AND($Z16&lt;&gt;"",EDATE($D16,Milestones!$AA$127)&gt;=$Z16),$AC16,IF(AND($Y16&lt;&gt;"",EDATE($D16,Milestones!$AA$127)&gt;=$Y16),$AB16,$AA16)))=Milestones!$AB$127),UPPER(TEXT(EDATE($D16,Milestones!$AA$127),"dd mmm yy"))&amp;" "&amp;Milestones!$AB$127&amp;" "&amp;IF(AND(Milestones!$AB$127="FT",Milestones!$AA$127=FT_Y5,EDATE($D16,Milestones!$AA$127)&lt;PolicyEff),1,Milestones!$AC$127)&amp;";  ",""))</f>
        <v/>
      </c>
      <c r="R16" s="0" t="str">
        <f aca="false">IF(OR($A16="",$D16=""),"",IF(AND(EDATE($D16,Milestones!$AA$128)&lt;=AsOfDate,EDATE($D16,Milestones!$AA$128)&gt;=SchemeStart,IF($X16=0,$AD16,IF(AND($Z16&lt;&gt;"",EDATE($D16,Milestones!$AA$128)&gt;=$Z16),$AC16,IF(AND($Y16&lt;&gt;"",EDATE($D16,Milestones!$AA$128)&gt;=$Y16),$AB16,$AA16)))=Milestones!$AB$128),UPPER(TEXT(EDATE($D16,Milestones!$AA$128),"dd mmm yy"))&amp;" "&amp;Milestones!$AB$128&amp;" "&amp;IF(AND(Milestones!$AB$128="FT",Milestones!$AA$128=FT_Y5,EDATE($D16,Milestones!$AA$128)&lt;PolicyEff),1,Milestones!$AC$128)&amp;";  ","")&amp;IF(AND(EDATE($D16,Milestones!$AA$129)&lt;=AsOfDate,EDATE($D16,Milestones!$AA$129)&gt;=SchemeStart,IF($X16=0,$AD16,IF(AND($Z16&lt;&gt;"",EDATE($D16,Milestones!$AA$129)&gt;=$Z16),$AC16,IF(AND($Y16&lt;&gt;"",EDATE($D16,Milestones!$AA$129)&gt;=$Y16),$AB16,$AA16)))=Milestones!$AB$129),UPPER(TEXT(EDATE($D16,Milestones!$AA$129),"dd mmm yy"))&amp;" "&amp;Milestones!$AB$129&amp;" "&amp;IF(AND(Milestones!$AB$129="FT",Milestones!$AA$129=FT_Y5,EDATE($D16,Milestones!$AA$129)&lt;PolicyEff),1,Milestones!$AC$129)&amp;";  ","")&amp;IF(AND(EDATE($D16,Milestones!$AA$130)&lt;=AsOfDate,EDATE($D16,Milestones!$AA$130)&gt;=SchemeStart,IF($X16=0,$AD16,IF(AND($Z16&lt;&gt;"",EDATE($D16,Milestones!$AA$130)&gt;=$Z16),$AC16,IF(AND($Y16&lt;&gt;"",EDATE($D16,Milestones!$AA$130)&gt;=$Y16),$AB16,$AA16)))=Milestones!$AB$130),UPPER(TEXT(EDATE($D16,Milestones!$AA$130),"dd mmm yy"))&amp;" "&amp;Milestones!$AB$130&amp;" "&amp;IF(AND(Milestones!$AB$130="FT",Milestones!$AA$130=FT_Y5,EDATE($D16,Milestones!$AA$130)&lt;PolicyEff),1,Milestones!$AC$130)&amp;";  ","")&amp;IF(AND(EDATE($D16,Milestones!$AA$131)&lt;=AsOfDate,EDATE($D16,Milestones!$AA$131)&gt;=SchemeStart,IF($X16=0,$AD16,IF(AND($Z16&lt;&gt;"",EDATE($D16,Milestones!$AA$131)&gt;=$Z16),$AC16,IF(AND($Y16&lt;&gt;"",EDATE($D16,Milestones!$AA$131)&gt;=$Y16),$AB16,$AA16)))=Milestones!$AB$131),UPPER(TEXT(EDATE($D16,Milestones!$AA$131),"dd mmm yy"))&amp;" "&amp;Milestones!$AB$131&amp;" "&amp;IF(AND(Milestones!$AB$131="FT",Milestones!$AA$131=FT_Y5,EDATE($D16,Milestones!$AA$131)&lt;PolicyEff),1,Milestones!$AC$131)&amp;";  ","")&amp;IF(AND(EDATE($D16,Milestones!$AA$132)&lt;=AsOfDate,EDATE($D16,Milestones!$AA$132)&gt;=SchemeStart,IF($X16=0,$AD16,IF(AND($Z16&lt;&gt;"",EDATE($D16,Milestones!$AA$132)&gt;=$Z16),$AC16,IF(AND($Y16&lt;&gt;"",EDATE($D16,Milestones!$AA$132)&gt;=$Y16),$AB16,$AA16)))=Milestones!$AB$132),UPPER(TEXT(EDATE($D16,Milestones!$AA$132),"dd mmm yy"))&amp;" "&amp;Milestones!$AB$132&amp;" "&amp;IF(AND(Milestones!$AB$132="FT",Milestones!$AA$132=FT_Y5,EDATE($D16,Milestones!$AA$132)&lt;PolicyEff),1,Milestones!$AC$132)&amp;";  ","")&amp;IF(AND(EDATE($D16,Milestones!$AA$133)&lt;=AsOfDate,EDATE($D16,Milestones!$AA$133)&gt;=SchemeStart,IF($X16=0,$AD16,IF(AND($Z16&lt;&gt;"",EDATE($D16,Milestones!$AA$133)&gt;=$Z16),$AC16,IF(AND($Y16&lt;&gt;"",EDATE($D16,Milestones!$AA$133)&gt;=$Y16),$AB16,$AA16)))=Milestones!$AB$133),UPPER(TEXT(EDATE($D16,Milestones!$AA$133),"dd mmm yy"))&amp;" "&amp;Milestones!$AB$133&amp;" "&amp;IF(AND(Milestones!$AB$133="FT",Milestones!$AA$133=FT_Y5,EDATE($D16,Milestones!$AA$133)&lt;PolicyEff),1,Milestones!$AC$133)&amp;";  ","")&amp;IF(AND(EDATE($D16,Milestones!$AA$134)&lt;=AsOfDate,EDATE($D16,Milestones!$AA$134)&gt;=SchemeStart,IF($X16=0,$AD16,IF(AND($Z16&lt;&gt;"",EDATE($D16,Milestones!$AA$134)&gt;=$Z16),$AC16,IF(AND($Y16&lt;&gt;"",EDATE($D16,Milestones!$AA$134)&gt;=$Y16),$AB16,$AA16)))=Milestones!$AB$134),UPPER(TEXT(EDATE($D16,Milestones!$AA$134),"dd mmm yy"))&amp;" "&amp;Milestones!$AB$134&amp;" "&amp;IF(AND(Milestones!$AB$134="FT",Milestones!$AA$134=FT_Y5,EDATE($D16,Milestones!$AA$134)&lt;PolicyEff),1,Milestones!$AC$134)&amp;";  ","")&amp;IF(AND(EDATE($D16,Milestones!$AA$135)&lt;=AsOfDate,EDATE($D16,Milestones!$AA$135)&gt;=SchemeStart,IF($X16=0,$AD16,IF(AND($Z16&lt;&gt;"",EDATE($D16,Milestones!$AA$135)&gt;=$Z16),$AC16,IF(AND($Y16&lt;&gt;"",EDATE($D16,Milestones!$AA$135)&gt;=$Y16),$AB16,$AA16)))=Milestones!$AB$135),UPPER(TEXT(EDATE($D16,Milestones!$AA$135),"dd mmm yy"))&amp;" "&amp;Milestones!$AB$135&amp;" "&amp;IF(AND(Milestones!$AB$135="FT",Milestones!$AA$135=FT_Y5,EDATE($D16,Milestones!$AA$135)&lt;PolicyEff),1,Milestones!$AC$135)&amp;";  ","")&amp;IF(AND(EDATE($D16,Milestones!$AA$136)&lt;=AsOfDate,EDATE($D16,Milestones!$AA$136)&gt;=SchemeStart,IF($X16=0,$AD16,IF(AND($Z16&lt;&gt;"",EDATE($D16,Milestones!$AA$136)&gt;=$Z16),$AC16,IF(AND($Y16&lt;&gt;"",EDATE($D16,Milestones!$AA$136)&gt;=$Y16),$AB16,$AA16)))=Milestones!$AB$136),UPPER(TEXT(EDATE($D16,Milestones!$AA$136),"dd mmm yy"))&amp;" "&amp;Milestones!$AB$136&amp;" "&amp;IF(AND(Milestones!$AB$136="FT",Milestones!$AA$136=FT_Y5,EDATE($D16,Milestones!$AA$136)&lt;PolicyEff),1,Milestones!$AC$136)&amp;";  ","")&amp;IF(AND(EDATE($D16,Milestones!$AA$137)&lt;=AsOfDate,EDATE($D16,Milestones!$AA$137)&gt;=SchemeStart,IF($X16=0,$AD16,IF(AND($Z16&lt;&gt;"",EDATE($D16,Milestones!$AA$137)&gt;=$Z16),$AC16,IF(AND($Y16&lt;&gt;"",EDATE($D16,Milestones!$AA$137)&gt;=$Y16),$AB16,$AA16)))=Milestones!$AB$137),UPPER(TEXT(EDATE($D16,Milestones!$AA$137),"dd mmm yy"))&amp;" "&amp;Milestones!$AB$137&amp;" "&amp;IF(AND(Milestones!$AB$137="FT",Milestones!$AA$137=FT_Y5,EDATE($D16,Milestones!$AA$137)&lt;PolicyEff),1,Milestones!$AC$137)&amp;";  ","")&amp;IF(AND(EDATE($D16,Milestones!$AA$138)&lt;=AsOfDate,EDATE($D16,Milestones!$AA$138)&gt;=SchemeStart,IF($X16=0,$AD16,IF(AND($Z16&lt;&gt;"",EDATE($D16,Milestones!$AA$138)&gt;=$Z16),$AC16,IF(AND($Y16&lt;&gt;"",EDATE($D16,Milestones!$AA$138)&gt;=$Y16),$AB16,$AA16)))=Milestones!$AB$138),UPPER(TEXT(EDATE($D16,Milestones!$AA$138),"dd mmm yy"))&amp;" "&amp;Milestones!$AB$138&amp;" "&amp;IF(AND(Milestones!$AB$138="FT",Milestones!$AA$138=FT_Y5,EDATE($D16,Milestones!$AA$138)&lt;PolicyEff),1,Milestones!$AC$138)&amp;";  ","")&amp;IF(AND(EDATE($D16,Milestones!$AA$139)&lt;=AsOfDate,EDATE($D16,Milestones!$AA$139)&gt;=SchemeStart,IF($X16=0,$AD16,IF(AND($Z16&lt;&gt;"",EDATE($D16,Milestones!$AA$139)&gt;=$Z16),$AC16,IF(AND($Y16&lt;&gt;"",EDATE($D16,Milestones!$AA$139)&gt;=$Y16),$AB16,$AA16)))=Milestones!$AB$139),UPPER(TEXT(EDATE($D16,Milestones!$AA$139),"dd mmm yy"))&amp;" "&amp;Milestones!$AB$139&amp;" "&amp;IF(AND(Milestones!$AB$139="FT",Milestones!$AA$139=FT_Y5,EDATE($D16,Milestones!$AA$139)&lt;PolicyEff),1,Milestones!$AC$139)&amp;";  ",""))</f>
        <v/>
      </c>
      <c r="S16" s="0" t="str">
        <f aca="false">IF(OR($A16="",$D16=""),"",IF(AND(EDATE($D16,Milestones!$AA$140)&lt;=AsOfDate,EDATE($D16,Milestones!$AA$140)&gt;=SchemeStart,IF($X16=0,$AD16,IF(AND($Z16&lt;&gt;"",EDATE($D16,Milestones!$AA$140)&gt;=$Z16),$AC16,IF(AND($Y16&lt;&gt;"",EDATE($D16,Milestones!$AA$140)&gt;=$Y16),$AB16,$AA16)))=Milestones!$AB$140),UPPER(TEXT(EDATE($D16,Milestones!$AA$140),"dd mmm yy"))&amp;" "&amp;Milestones!$AB$140&amp;" "&amp;IF(AND(Milestones!$AB$140="FT",Milestones!$AA$140=FT_Y5,EDATE($D16,Milestones!$AA$140)&lt;PolicyEff),1,Milestones!$AC$140)&amp;";  ","")&amp;IF(AND(EDATE($D16,Milestones!$AA$141)&lt;=AsOfDate,EDATE($D16,Milestones!$AA$141)&gt;=SchemeStart,IF($X16=0,$AD16,IF(AND($Z16&lt;&gt;"",EDATE($D16,Milestones!$AA$141)&gt;=$Z16),$AC16,IF(AND($Y16&lt;&gt;"",EDATE($D16,Milestones!$AA$141)&gt;=$Y16),$AB16,$AA16)))=Milestones!$AB$141),UPPER(TEXT(EDATE($D16,Milestones!$AA$141),"dd mmm yy"))&amp;" "&amp;Milestones!$AB$141&amp;" "&amp;IF(AND(Milestones!$AB$141="FT",Milestones!$AA$141=FT_Y5,EDATE($D16,Milestones!$AA$141)&lt;PolicyEff),1,Milestones!$AC$141)&amp;";  ","")&amp;IF(AND(EDATE($D16,Milestones!$AA$142)&lt;=AsOfDate,EDATE($D16,Milestones!$AA$142)&gt;=SchemeStart,IF($X16=0,$AD16,IF(AND($Z16&lt;&gt;"",EDATE($D16,Milestones!$AA$142)&gt;=$Z16),$AC16,IF(AND($Y16&lt;&gt;"",EDATE($D16,Milestones!$AA$142)&gt;=$Y16),$AB16,$AA16)))=Milestones!$AB$142),UPPER(TEXT(EDATE($D16,Milestones!$AA$142),"dd mmm yy"))&amp;" "&amp;Milestones!$AB$142&amp;" "&amp;IF(AND(Milestones!$AB$142="FT",Milestones!$AA$142=FT_Y5,EDATE($D16,Milestones!$AA$142)&lt;PolicyEff),1,Milestones!$AC$142)&amp;";  ","")&amp;IF(AND(EDATE($D16,Milestones!$AA$143)&lt;=AsOfDate,EDATE($D16,Milestones!$AA$143)&gt;=SchemeStart,IF($X16=0,$AD16,IF(AND($Z16&lt;&gt;"",EDATE($D16,Milestones!$AA$143)&gt;=$Z16),$AC16,IF(AND($Y16&lt;&gt;"",EDATE($D16,Milestones!$AA$143)&gt;=$Y16),$AB16,$AA16)))=Milestones!$AB$143),UPPER(TEXT(EDATE($D16,Milestones!$AA$143),"dd mmm yy"))&amp;" "&amp;Milestones!$AB$143&amp;" "&amp;IF(AND(Milestones!$AB$143="FT",Milestones!$AA$143=FT_Y5,EDATE($D16,Milestones!$AA$143)&lt;PolicyEff),1,Milestones!$AC$143)&amp;";  ","")&amp;IF(AND(EDATE($D16,Milestones!$AA$144)&lt;=AsOfDate,EDATE($D16,Milestones!$AA$144)&gt;=SchemeStart,IF($X16=0,$AD16,IF(AND($Z16&lt;&gt;"",EDATE($D16,Milestones!$AA$144)&gt;=$Z16),$AC16,IF(AND($Y16&lt;&gt;"",EDATE($D16,Milestones!$AA$144)&gt;=$Y16),$AB16,$AA16)))=Milestones!$AB$144),UPPER(TEXT(EDATE($D16,Milestones!$AA$144),"dd mmm yy"))&amp;" "&amp;Milestones!$AB$144&amp;" "&amp;IF(AND(Milestones!$AB$144="FT",Milestones!$AA$144=FT_Y5,EDATE($D16,Milestones!$AA$144)&lt;PolicyEff),1,Milestones!$AC$144)&amp;";  ","")&amp;IF(AND(EDATE($D16,Milestones!$AA$145)&lt;=AsOfDate,EDATE($D16,Milestones!$AA$145)&gt;=SchemeStart,IF($X16=0,$AD16,IF(AND($Z16&lt;&gt;"",EDATE($D16,Milestones!$AA$145)&gt;=$Z16),$AC16,IF(AND($Y16&lt;&gt;"",EDATE($D16,Milestones!$AA$145)&gt;=$Y16),$AB16,$AA16)))=Milestones!$AB$145),UPPER(TEXT(EDATE($D16,Milestones!$AA$145),"dd mmm yy"))&amp;" "&amp;Milestones!$AB$145&amp;" "&amp;IF(AND(Milestones!$AB$145="FT",Milestones!$AA$145=FT_Y5,EDATE($D16,Milestones!$AA$145)&lt;PolicyEff),1,Milestones!$AC$145)&amp;";  ","")&amp;IF(AND(EDATE($D16,Milestones!$AA$146)&lt;=AsOfDate,EDATE($D16,Milestones!$AA$146)&gt;=SchemeStart,IF($X16=0,$AD16,IF(AND($Z16&lt;&gt;"",EDATE($D16,Milestones!$AA$146)&gt;=$Z16),$AC16,IF(AND($Y16&lt;&gt;"",EDATE($D16,Milestones!$AA$146)&gt;=$Y16),$AB16,$AA16)))=Milestones!$AB$146),UPPER(TEXT(EDATE($D16,Milestones!$AA$146),"dd mmm yy"))&amp;" "&amp;Milestones!$AB$146&amp;" "&amp;IF(AND(Milestones!$AB$146="FT",Milestones!$AA$146=FT_Y5,EDATE($D16,Milestones!$AA$146)&lt;PolicyEff),1,Milestones!$AC$146)&amp;";  ","")&amp;IF(AND(EDATE($D16,Milestones!$AA$147)&lt;=AsOfDate,EDATE($D16,Milestones!$AA$147)&gt;=SchemeStart,IF($X16=0,$AD16,IF(AND($Z16&lt;&gt;"",EDATE($D16,Milestones!$AA$147)&gt;=$Z16),$AC16,IF(AND($Y16&lt;&gt;"",EDATE($D16,Milestones!$AA$147)&gt;=$Y16),$AB16,$AA16)))=Milestones!$AB$147),UPPER(TEXT(EDATE($D16,Milestones!$AA$147),"dd mmm yy"))&amp;" "&amp;Milestones!$AB$147&amp;" "&amp;IF(AND(Milestones!$AB$147="FT",Milestones!$AA$147=FT_Y5,EDATE($D16,Milestones!$AA$147)&lt;PolicyEff),1,Milestones!$AC$147)&amp;";  ","")&amp;IF(AND(EDATE($D16,Milestones!$AA$148)&lt;=AsOfDate,EDATE($D16,Milestones!$AA$148)&gt;=SchemeStart,IF($X16=0,$AD16,IF(AND($Z16&lt;&gt;"",EDATE($D16,Milestones!$AA$148)&gt;=$Z16),$AC16,IF(AND($Y16&lt;&gt;"",EDATE($D16,Milestones!$AA$148)&gt;=$Y16),$AB16,$AA16)))=Milestones!$AB$148),UPPER(TEXT(EDATE($D16,Milestones!$AA$148),"dd mmm yy"))&amp;" "&amp;Milestones!$AB$148&amp;" "&amp;IF(AND(Milestones!$AB$148="FT",Milestones!$AA$148=FT_Y5,EDATE($D16,Milestones!$AA$148)&lt;PolicyEff),1,Milestones!$AC$148)&amp;";  ","")&amp;IF(AND(EDATE($D16,Milestones!$AA$149)&lt;=AsOfDate,EDATE($D16,Milestones!$AA$149)&gt;=SchemeStart,IF($X16=0,$AD16,IF(AND($Z16&lt;&gt;"",EDATE($D16,Milestones!$AA$149)&gt;=$Z16),$AC16,IF(AND($Y16&lt;&gt;"",EDATE($D16,Milestones!$AA$149)&gt;=$Y16),$AB16,$AA16)))=Milestones!$AB$149),UPPER(TEXT(EDATE($D16,Milestones!$AA$149),"dd mmm yy"))&amp;" "&amp;Milestones!$AB$149&amp;" "&amp;IF(AND(Milestones!$AB$149="FT",Milestones!$AA$149=FT_Y5,EDATE($D16,Milestones!$AA$149)&lt;PolicyEff),1,Milestones!$AC$149)&amp;";  ","")&amp;IF(AND(EDATE($D16,Milestones!$AA$150)&lt;=AsOfDate,EDATE($D16,Milestones!$AA$150)&gt;=SchemeStart,IF($X16=0,$AD16,IF(AND($Z16&lt;&gt;"",EDATE($D16,Milestones!$AA$150)&gt;=$Z16),$AC16,IF(AND($Y16&lt;&gt;"",EDATE($D16,Milestones!$AA$150)&gt;=$Y16),$AB16,$AA16)))=Milestones!$AB$150),UPPER(TEXT(EDATE($D16,Milestones!$AA$150),"dd mmm yy"))&amp;" "&amp;Milestones!$AB$150&amp;" "&amp;IF(AND(Milestones!$AB$150="FT",Milestones!$AA$150=FT_Y5,EDATE($D16,Milestones!$AA$150)&lt;PolicyEff),1,Milestones!$AC$150)&amp;";  ","")&amp;IF(AND(EDATE($D16,Milestones!$AA$151)&lt;=AsOfDate,EDATE($D16,Milestones!$AA$151)&gt;=SchemeStart,IF($X16=0,$AD16,IF(AND($Z16&lt;&gt;"",EDATE($D16,Milestones!$AA$151)&gt;=$Z16),$AC16,IF(AND($Y16&lt;&gt;"",EDATE($D16,Milestones!$AA$151)&gt;=$Y16),$AB16,$AA16)))=Milestones!$AB$151),UPPER(TEXT(EDATE($D16,Milestones!$AA$151),"dd mmm yy"))&amp;" "&amp;Milestones!$AB$151&amp;" "&amp;IF(AND(Milestones!$AB$151="FT",Milestones!$AA$151=FT_Y5,EDATE($D16,Milestones!$AA$151)&lt;PolicyEff),1,Milestones!$AC$151)&amp;";  ",""))</f>
        <v/>
      </c>
      <c r="T16" s="0" t="str">
        <f aca="false">IF(OR($A16="",$D16=""),"",IF(AND(EDATE($D16,Milestones!$AA$152)&lt;=AsOfDate,EDATE($D16,Milestones!$AA$152)&gt;=SchemeStart,IF($X16=0,$AD16,IF(AND($Z16&lt;&gt;"",EDATE($D16,Milestones!$AA$152)&gt;=$Z16),$AC16,IF(AND($Y16&lt;&gt;"",EDATE($D16,Milestones!$AA$152)&gt;=$Y16),$AB16,$AA16)))=Milestones!$AB$152),UPPER(TEXT(EDATE($D16,Milestones!$AA$152),"dd mmm yy"))&amp;" "&amp;Milestones!$AB$152&amp;" "&amp;IF(AND(Milestones!$AB$152="FT",Milestones!$AA$152=FT_Y5,EDATE($D16,Milestones!$AA$152)&lt;PolicyEff),1,Milestones!$AC$152)&amp;";  ","")&amp;IF(AND(EDATE($D16,Milestones!$AA$153)&lt;=AsOfDate,EDATE($D16,Milestones!$AA$153)&gt;=SchemeStart,IF($X16=0,$AD16,IF(AND($Z16&lt;&gt;"",EDATE($D16,Milestones!$AA$153)&gt;=$Z16),$AC16,IF(AND($Y16&lt;&gt;"",EDATE($D16,Milestones!$AA$153)&gt;=$Y16),$AB16,$AA16)))=Milestones!$AB$153),UPPER(TEXT(EDATE($D16,Milestones!$AA$153),"dd mmm yy"))&amp;" "&amp;Milestones!$AB$153&amp;" "&amp;IF(AND(Milestones!$AB$153="FT",Milestones!$AA$153=FT_Y5,EDATE($D16,Milestones!$AA$153)&lt;PolicyEff),1,Milestones!$AC$153)&amp;";  ","")&amp;IF(AND(EDATE($D16,Milestones!$AA$154)&lt;=AsOfDate,EDATE($D16,Milestones!$AA$154)&gt;=SchemeStart,IF($X16=0,$AD16,IF(AND($Z16&lt;&gt;"",EDATE($D16,Milestones!$AA$154)&gt;=$Z16),$AC16,IF(AND($Y16&lt;&gt;"",EDATE($D16,Milestones!$AA$154)&gt;=$Y16),$AB16,$AA16)))=Milestones!$AB$154),UPPER(TEXT(EDATE($D16,Milestones!$AA$154),"dd mmm yy"))&amp;" "&amp;Milestones!$AB$154&amp;" "&amp;IF(AND(Milestones!$AB$154="FT",Milestones!$AA$154=FT_Y5,EDATE($D16,Milestones!$AA$154)&lt;PolicyEff),1,Milestones!$AC$154)&amp;";  ","")&amp;IF(AND(EDATE($D16,Milestones!$AA$155)&lt;=AsOfDate,EDATE($D16,Milestones!$AA$155)&gt;=SchemeStart,IF($X16=0,$AD16,IF(AND($Z16&lt;&gt;"",EDATE($D16,Milestones!$AA$155)&gt;=$Z16),$AC16,IF(AND($Y16&lt;&gt;"",EDATE($D16,Milestones!$AA$155)&gt;=$Y16),$AB16,$AA16)))=Milestones!$AB$155),UPPER(TEXT(EDATE($D16,Milestones!$AA$155),"dd mmm yy"))&amp;" "&amp;Milestones!$AB$155&amp;" "&amp;IF(AND(Milestones!$AB$155="FT",Milestones!$AA$155=FT_Y5,EDATE($D16,Milestones!$AA$155)&lt;PolicyEff),1,Milestones!$AC$155)&amp;";  ","")&amp;IF(AND(EDATE($D16,Milestones!$AA$156)&lt;=AsOfDate,EDATE($D16,Milestones!$AA$156)&gt;=SchemeStart,IF($X16=0,$AD16,IF(AND($Z16&lt;&gt;"",EDATE($D16,Milestones!$AA$156)&gt;=$Z16),$AC16,IF(AND($Y16&lt;&gt;"",EDATE($D16,Milestones!$AA$156)&gt;=$Y16),$AB16,$AA16)))=Milestones!$AB$156),UPPER(TEXT(EDATE($D16,Milestones!$AA$156),"dd mmm yy"))&amp;" "&amp;Milestones!$AB$156&amp;" "&amp;IF(AND(Milestones!$AB$156="FT",Milestones!$AA$156=FT_Y5,EDATE($D16,Milestones!$AA$156)&lt;PolicyEff),1,Milestones!$AC$156)&amp;";  ","")&amp;IF(AND(EDATE($D16,Milestones!$AA$157)&lt;=AsOfDate,EDATE($D16,Milestones!$AA$157)&gt;=SchemeStart,IF($X16=0,$AD16,IF(AND($Z16&lt;&gt;"",EDATE($D16,Milestones!$AA$157)&gt;=$Z16),$AC16,IF(AND($Y16&lt;&gt;"",EDATE($D16,Milestones!$AA$157)&gt;=$Y16),$AB16,$AA16)))=Milestones!$AB$157),UPPER(TEXT(EDATE($D16,Milestones!$AA$157),"dd mmm yy"))&amp;" "&amp;Milestones!$AB$157&amp;" "&amp;IF(AND(Milestones!$AB$157="FT",Milestones!$AA$157=FT_Y5,EDATE($D16,Milestones!$AA$157)&lt;PolicyEff),1,Milestones!$AC$157)&amp;";  ","")&amp;IF(AND(EDATE($D16,Milestones!$AA$158)&lt;=AsOfDate,EDATE($D16,Milestones!$AA$158)&gt;=SchemeStart,IF($X16=0,$AD16,IF(AND($Z16&lt;&gt;"",EDATE($D16,Milestones!$AA$158)&gt;=$Z16),$AC16,IF(AND($Y16&lt;&gt;"",EDATE($D16,Milestones!$AA$158)&gt;=$Y16),$AB16,$AA16)))=Milestones!$AB$158),UPPER(TEXT(EDATE($D16,Milestones!$AA$158),"dd mmm yy"))&amp;" "&amp;Milestones!$AB$158&amp;" "&amp;IF(AND(Milestones!$AB$158="FT",Milestones!$AA$158=FT_Y5,EDATE($D16,Milestones!$AA$158)&lt;PolicyEff),1,Milestones!$AC$158)&amp;";  ","")&amp;IF(AND(EDATE($D16,Milestones!$AA$159)&lt;=AsOfDate,EDATE($D16,Milestones!$AA$159)&gt;=SchemeStart,IF($X16=0,$AD16,IF(AND($Z16&lt;&gt;"",EDATE($D16,Milestones!$AA$159)&gt;=$Z16),$AC16,IF(AND($Y16&lt;&gt;"",EDATE($D16,Milestones!$AA$159)&gt;=$Y16),$AB16,$AA16)))=Milestones!$AB$159),UPPER(TEXT(EDATE($D16,Milestones!$AA$159),"dd mmm yy"))&amp;" "&amp;Milestones!$AB$159&amp;" "&amp;IF(AND(Milestones!$AB$159="FT",Milestones!$AA$159=FT_Y5,EDATE($D16,Milestones!$AA$159)&lt;PolicyEff),1,Milestones!$AC$159)&amp;";  ","")&amp;IF(AND(EDATE($D16,Milestones!$AA$160)&lt;=AsOfDate,EDATE($D16,Milestones!$AA$160)&gt;=SchemeStart,IF($X16=0,$AD16,IF(AND($Z16&lt;&gt;"",EDATE($D16,Milestones!$AA$160)&gt;=$Z16),$AC16,IF(AND($Y16&lt;&gt;"",EDATE($D16,Milestones!$AA$160)&gt;=$Y16),$AB16,$AA16)))=Milestones!$AB$160),UPPER(TEXT(EDATE($D16,Milestones!$AA$160),"dd mmm yy"))&amp;" "&amp;Milestones!$AB$160&amp;" "&amp;IF(AND(Milestones!$AB$160="FT",Milestones!$AA$160=FT_Y5,EDATE($D16,Milestones!$AA$160)&lt;PolicyEff),1,Milestones!$AC$160)&amp;";  ","")&amp;IF(AND(EDATE($D16,Milestones!$AA$161)&lt;=AsOfDate,EDATE($D16,Milestones!$AA$161)&gt;=SchemeStart,IF($X16=0,$AD16,IF(AND($Z16&lt;&gt;"",EDATE($D16,Milestones!$AA$161)&gt;=$Z16),$AC16,IF(AND($Y16&lt;&gt;"",EDATE($D16,Milestones!$AA$161)&gt;=$Y16),$AB16,$AA16)))=Milestones!$AB$161),UPPER(TEXT(EDATE($D16,Milestones!$AA$161),"dd mmm yy"))&amp;" "&amp;Milestones!$AB$161&amp;" "&amp;IF(AND(Milestones!$AB$161="FT",Milestones!$AA$161=FT_Y5,EDATE($D16,Milestones!$AA$161)&lt;PolicyEff),1,Milestones!$AC$161)&amp;";  ","")&amp;IF(AND(EDATE($D16,Milestones!$AA$162)&lt;=AsOfDate,EDATE($D16,Milestones!$AA$162)&gt;=SchemeStart,IF($X16=0,$AD16,IF(AND($Z16&lt;&gt;"",EDATE($D16,Milestones!$AA$162)&gt;=$Z16),$AC16,IF(AND($Y16&lt;&gt;"",EDATE($D16,Milestones!$AA$162)&gt;=$Y16),$AB16,$AA16)))=Milestones!$AB$162),UPPER(TEXT(EDATE($D16,Milestones!$AA$162),"dd mmm yy"))&amp;" "&amp;Milestones!$AB$162&amp;" "&amp;IF(AND(Milestones!$AB$162="FT",Milestones!$AA$162=FT_Y5,EDATE($D16,Milestones!$AA$162)&lt;PolicyEff),1,Milestones!$AC$162)&amp;";  ","")&amp;IF(AND(EDATE($D16,Milestones!$AA$163)&lt;=AsOfDate,EDATE($D16,Milestones!$AA$163)&gt;=SchemeStart,IF($X16=0,$AD16,IF(AND($Z16&lt;&gt;"",EDATE($D16,Milestones!$AA$163)&gt;=$Z16),$AC16,IF(AND($Y16&lt;&gt;"",EDATE($D16,Milestones!$AA$163)&gt;=$Y16),$AB16,$AA16)))=Milestones!$AB$163),UPPER(TEXT(EDATE($D16,Milestones!$AA$163),"dd mmm yy"))&amp;" "&amp;Milestones!$AB$163&amp;" "&amp;IF(AND(Milestones!$AB$163="FT",Milestones!$AA$163=FT_Y5,EDATE($D16,Milestones!$AA$163)&lt;PolicyEff),1,Milestones!$AC$163)&amp;";  ",""))</f>
        <v/>
      </c>
      <c r="U16" s="0" t="str">
        <f aca="false">IF(OR($A16="",$D16=""),"",IF(AND(EDATE($D16,Milestones!$AA$164)&lt;=AsOfDate,EDATE($D16,Milestones!$AA$164)&gt;=SchemeStart,IF($X16=0,$AD16,IF(AND($Z16&lt;&gt;"",EDATE($D16,Milestones!$AA$164)&gt;=$Z16),$AC16,IF(AND($Y16&lt;&gt;"",EDATE($D16,Milestones!$AA$164)&gt;=$Y16),$AB16,$AA16)))=Milestones!$AB$164),UPPER(TEXT(EDATE($D16,Milestones!$AA$164),"dd mmm yy"))&amp;" "&amp;Milestones!$AB$164&amp;" "&amp;IF(AND(Milestones!$AB$164="FT",Milestones!$AA$164=FT_Y5,EDATE($D16,Milestones!$AA$164)&lt;PolicyEff),1,Milestones!$AC$164)&amp;";  ","")&amp;IF(AND(EDATE($D16,Milestones!$AA$165)&lt;=AsOfDate,EDATE($D16,Milestones!$AA$165)&gt;=SchemeStart,IF($X16=0,$AD16,IF(AND($Z16&lt;&gt;"",EDATE($D16,Milestones!$AA$165)&gt;=$Z16),$AC16,IF(AND($Y16&lt;&gt;"",EDATE($D16,Milestones!$AA$165)&gt;=$Y16),$AB16,$AA16)))=Milestones!$AB$165),UPPER(TEXT(EDATE($D16,Milestones!$AA$165),"dd mmm yy"))&amp;" "&amp;Milestones!$AB$165&amp;" "&amp;IF(AND(Milestones!$AB$165="FT",Milestones!$AA$165=FT_Y5,EDATE($D16,Milestones!$AA$165)&lt;PolicyEff),1,Milestones!$AC$165)&amp;";  ","")&amp;IF(AND(EDATE($D16,Milestones!$AA$166)&lt;=AsOfDate,EDATE($D16,Milestones!$AA$166)&gt;=SchemeStart,IF($X16=0,$AD16,IF(AND($Z16&lt;&gt;"",EDATE($D16,Milestones!$AA$166)&gt;=$Z16),$AC16,IF(AND($Y16&lt;&gt;"",EDATE($D16,Milestones!$AA$166)&gt;=$Y16),$AB16,$AA16)))=Milestones!$AB$166),UPPER(TEXT(EDATE($D16,Milestones!$AA$166),"dd mmm yy"))&amp;" "&amp;Milestones!$AB$166&amp;" "&amp;IF(AND(Milestones!$AB$166="FT",Milestones!$AA$166=FT_Y5,EDATE($D16,Milestones!$AA$166)&lt;PolicyEff),1,Milestones!$AC$166)&amp;";  ","")&amp;IF(AND(EDATE($D16,Milestones!$AA$167)&lt;=AsOfDate,EDATE($D16,Milestones!$AA$167)&gt;=SchemeStart,IF($X16=0,$AD16,IF(AND($Z16&lt;&gt;"",EDATE($D16,Milestones!$AA$167)&gt;=$Z16),$AC16,IF(AND($Y16&lt;&gt;"",EDATE($D16,Milestones!$AA$167)&gt;=$Y16),$AB16,$AA16)))=Milestones!$AB$167),UPPER(TEXT(EDATE($D16,Milestones!$AA$167),"dd mmm yy"))&amp;" "&amp;Milestones!$AB$167&amp;" "&amp;IF(AND(Milestones!$AB$167="FT",Milestones!$AA$167=FT_Y5,EDATE($D16,Milestones!$AA$167)&lt;PolicyEff),1,Milestones!$AC$167)&amp;";  ","")&amp;IF(AND(EDATE($D16,Milestones!$AA$168)&lt;=AsOfDate,EDATE($D16,Milestones!$AA$168)&gt;=SchemeStart,IF($X16=0,$AD16,IF(AND($Z16&lt;&gt;"",EDATE($D16,Milestones!$AA$168)&gt;=$Z16),$AC16,IF(AND($Y16&lt;&gt;"",EDATE($D16,Milestones!$AA$168)&gt;=$Y16),$AB16,$AA16)))=Milestones!$AB$168),UPPER(TEXT(EDATE($D16,Milestones!$AA$168),"dd mmm yy"))&amp;" "&amp;Milestones!$AB$168&amp;" "&amp;IF(AND(Milestones!$AB$168="FT",Milestones!$AA$168=FT_Y5,EDATE($D16,Milestones!$AA$168)&lt;PolicyEff),1,Milestones!$AC$168)&amp;";  ","")&amp;IF(AND(EDATE($D16,Milestones!$AA$169)&lt;=AsOfDate,EDATE($D16,Milestones!$AA$169)&gt;=SchemeStart,IF($X16=0,$AD16,IF(AND($Z16&lt;&gt;"",EDATE($D16,Milestones!$AA$169)&gt;=$Z16),$AC16,IF(AND($Y16&lt;&gt;"",EDATE($D16,Milestones!$AA$169)&gt;=$Y16),$AB16,$AA16)))=Milestones!$AB$169),UPPER(TEXT(EDATE($D16,Milestones!$AA$169),"dd mmm yy"))&amp;" "&amp;Milestones!$AB$169&amp;" "&amp;IF(AND(Milestones!$AB$169="FT",Milestones!$AA$169=FT_Y5,EDATE($D16,Milestones!$AA$169)&lt;PolicyEff),1,Milestones!$AC$169)&amp;";  ","")&amp;IF(AND(EDATE($D16,Milestones!$AA$170)&lt;=AsOfDate,EDATE($D16,Milestones!$AA$170)&gt;=SchemeStart,IF($X16=0,$AD16,IF(AND($Z16&lt;&gt;"",EDATE($D16,Milestones!$AA$170)&gt;=$Z16),$AC16,IF(AND($Y16&lt;&gt;"",EDATE($D16,Milestones!$AA$170)&gt;=$Y16),$AB16,$AA16)))=Milestones!$AB$170),UPPER(TEXT(EDATE($D16,Milestones!$AA$170),"dd mmm yy"))&amp;" "&amp;Milestones!$AB$170&amp;" "&amp;IF(AND(Milestones!$AB$170="FT",Milestones!$AA$170=FT_Y5,EDATE($D16,Milestones!$AA$170)&lt;PolicyEff),1,Milestones!$AC$170)&amp;";  ","")&amp;IF(AND(EDATE($D16,Milestones!$AA$171)&lt;=AsOfDate,EDATE($D16,Milestones!$AA$171)&gt;=SchemeStart,IF($X16=0,$AD16,IF(AND($Z16&lt;&gt;"",EDATE($D16,Milestones!$AA$171)&gt;=$Z16),$AC16,IF(AND($Y16&lt;&gt;"",EDATE($D16,Milestones!$AA$171)&gt;=$Y16),$AB16,$AA16)))=Milestones!$AB$171),UPPER(TEXT(EDATE($D16,Milestones!$AA$171),"dd mmm yy"))&amp;" "&amp;Milestones!$AB$171&amp;" "&amp;IF(AND(Milestones!$AB$171="FT",Milestones!$AA$171=FT_Y5,EDATE($D16,Milestones!$AA$171)&lt;PolicyEff),1,Milestones!$AC$171)&amp;";  ","")&amp;IF(AND(EDATE($D16,Milestones!$AA$172)&lt;=AsOfDate,EDATE($D16,Milestones!$AA$172)&gt;=SchemeStart,IF($X16=0,$AD16,IF(AND($Z16&lt;&gt;"",EDATE($D16,Milestones!$AA$172)&gt;=$Z16),$AC16,IF(AND($Y16&lt;&gt;"",EDATE($D16,Milestones!$AA$172)&gt;=$Y16),$AB16,$AA16)))=Milestones!$AB$172),UPPER(TEXT(EDATE($D16,Milestones!$AA$172),"dd mmm yy"))&amp;" "&amp;Milestones!$AB$172&amp;" "&amp;IF(AND(Milestones!$AB$172="FT",Milestones!$AA$172=FT_Y5,EDATE($D16,Milestones!$AA$172)&lt;PolicyEff),1,Milestones!$AC$172)&amp;";  ","")&amp;IF(AND(EDATE($D16,Milestones!$AA$173)&lt;=AsOfDate,EDATE($D16,Milestones!$AA$173)&gt;=SchemeStart,IF($X16=0,$AD16,IF(AND($Z16&lt;&gt;"",EDATE($D16,Milestones!$AA$173)&gt;=$Z16),$AC16,IF(AND($Y16&lt;&gt;"",EDATE($D16,Milestones!$AA$173)&gt;=$Y16),$AB16,$AA16)))=Milestones!$AB$173),UPPER(TEXT(EDATE($D16,Milestones!$AA$173),"dd mmm yy"))&amp;" "&amp;Milestones!$AB$173&amp;" "&amp;IF(AND(Milestones!$AB$173="FT",Milestones!$AA$173=FT_Y5,EDATE($D16,Milestones!$AA$173)&lt;PolicyEff),1,Milestones!$AC$173)&amp;";  ","")&amp;IF(AND(EDATE($D16,Milestones!$AA$174)&lt;=AsOfDate,EDATE($D16,Milestones!$AA$174)&gt;=SchemeStart,IF($X16=0,$AD16,IF(AND($Z16&lt;&gt;"",EDATE($D16,Milestones!$AA$174)&gt;=$Z16),$AC16,IF(AND($Y16&lt;&gt;"",EDATE($D16,Milestones!$AA$174)&gt;=$Y16),$AB16,$AA16)))=Milestones!$AB$174),UPPER(TEXT(EDATE($D16,Milestones!$AA$174),"dd mmm yy"))&amp;" "&amp;Milestones!$AB$174&amp;" "&amp;IF(AND(Milestones!$AB$174="FT",Milestones!$AA$174=FT_Y5,EDATE($D16,Milestones!$AA$174)&lt;PolicyEff),1,Milestones!$AC$174)&amp;";  ","")&amp;IF(AND(EDATE($D16,Milestones!$AA$175)&lt;=AsOfDate,EDATE($D16,Milestones!$AA$175)&gt;=SchemeStart,IF($X16=0,$AD16,IF(AND($Z16&lt;&gt;"",EDATE($D16,Milestones!$AA$175)&gt;=$Z16),$AC16,IF(AND($Y16&lt;&gt;"",EDATE($D16,Milestones!$AA$175)&gt;=$Y16),$AB16,$AA16)))=Milestones!$AB$175),UPPER(TEXT(EDATE($D16,Milestones!$AA$175),"dd mmm yy"))&amp;" "&amp;Milestones!$AB$175&amp;" "&amp;IF(AND(Milestones!$AB$175="FT",Milestones!$AA$175=FT_Y5,EDATE($D16,Milestones!$AA$175)&lt;PolicyEff),1,Milestones!$AC$175)&amp;";  ",""))</f>
        <v/>
      </c>
      <c r="V16" s="0" t="str">
        <f aca="false">IF(OR($A16="",$D16=""),"",IF(AND(EDATE($D16,Milestones!$AA$176)&lt;=AsOfDate,EDATE($D16,Milestones!$AA$176)&gt;=SchemeStart,IF($X16=0,$AD16,IF(AND($Z16&lt;&gt;"",EDATE($D16,Milestones!$AA$176)&gt;=$Z16),$AC16,IF(AND($Y16&lt;&gt;"",EDATE($D16,Milestones!$AA$176)&gt;=$Y16),$AB16,$AA16)))=Milestones!$AB$176),UPPER(TEXT(EDATE($D16,Milestones!$AA$176),"dd mmm yy"))&amp;" "&amp;Milestones!$AB$176&amp;" "&amp;IF(AND(Milestones!$AB$176="FT",Milestones!$AA$176=FT_Y5,EDATE($D16,Milestones!$AA$176)&lt;PolicyEff),1,Milestones!$AC$176)&amp;";  ","")&amp;IF(AND(EDATE($D16,Milestones!$AA$177)&lt;=AsOfDate,EDATE($D16,Milestones!$AA$177)&gt;=SchemeStart,IF($X16=0,$AD16,IF(AND($Z16&lt;&gt;"",EDATE($D16,Milestones!$AA$177)&gt;=$Z16),$AC16,IF(AND($Y16&lt;&gt;"",EDATE($D16,Milestones!$AA$177)&gt;=$Y16),$AB16,$AA16)))=Milestones!$AB$177),UPPER(TEXT(EDATE($D16,Milestones!$AA$177),"dd mmm yy"))&amp;" "&amp;Milestones!$AB$177&amp;" "&amp;IF(AND(Milestones!$AB$177="FT",Milestones!$AA$177=FT_Y5,EDATE($D16,Milestones!$AA$177)&lt;PolicyEff),1,Milestones!$AC$177)&amp;";  ","")&amp;IF(AND(EDATE($D16,Milestones!$AA$178)&lt;=AsOfDate,EDATE($D16,Milestones!$AA$178)&gt;=SchemeStart,IF($X16=0,$AD16,IF(AND($Z16&lt;&gt;"",EDATE($D16,Milestones!$AA$178)&gt;=$Z16),$AC16,IF(AND($Y16&lt;&gt;"",EDATE($D16,Milestones!$AA$178)&gt;=$Y16),$AB16,$AA16)))=Milestones!$AB$178),UPPER(TEXT(EDATE($D16,Milestones!$AA$178),"dd mmm yy"))&amp;" "&amp;Milestones!$AB$178&amp;" "&amp;IF(AND(Milestones!$AB$178="FT",Milestones!$AA$178=FT_Y5,EDATE($D16,Milestones!$AA$178)&lt;PolicyEff),1,Milestones!$AC$178)&amp;";  ","")&amp;IF(AND(EDATE($D16,Milestones!$AA$179)&lt;=AsOfDate,EDATE($D16,Milestones!$AA$179)&gt;=SchemeStart,IF($X16=0,$AD16,IF(AND($Z16&lt;&gt;"",EDATE($D16,Milestones!$AA$179)&gt;=$Z16),$AC16,IF(AND($Y16&lt;&gt;"",EDATE($D16,Milestones!$AA$179)&gt;=$Y16),$AB16,$AA16)))=Milestones!$AB$179),UPPER(TEXT(EDATE($D16,Milestones!$AA$179),"dd mmm yy"))&amp;" "&amp;Milestones!$AB$179&amp;" "&amp;IF(AND(Milestones!$AB$179="FT",Milestones!$AA$179=FT_Y5,EDATE($D16,Milestones!$AA$179)&lt;PolicyEff),1,Milestones!$AC$179)&amp;";  ","")&amp;IF(AND(EDATE($D16,Milestones!$AA$180)&lt;=AsOfDate,EDATE($D16,Milestones!$AA$180)&gt;=SchemeStart,IF($X16=0,$AD16,IF(AND($Z16&lt;&gt;"",EDATE($D16,Milestones!$AA$180)&gt;=$Z16),$AC16,IF(AND($Y16&lt;&gt;"",EDATE($D16,Milestones!$AA$180)&gt;=$Y16),$AB16,$AA16)))=Milestones!$AB$180),UPPER(TEXT(EDATE($D16,Milestones!$AA$180),"dd mmm yy"))&amp;" "&amp;Milestones!$AB$180&amp;" "&amp;IF(AND(Milestones!$AB$180="FT",Milestones!$AA$180=FT_Y5,EDATE($D16,Milestones!$AA$180)&lt;PolicyEff),1,Milestones!$AC$180)&amp;";  ","")&amp;IF(AND(EDATE($D16,Milestones!$AA$181)&lt;=AsOfDate,EDATE($D16,Milestones!$AA$181)&gt;=SchemeStart,IF($X16=0,$AD16,IF(AND($Z16&lt;&gt;"",EDATE($D16,Milestones!$AA$181)&gt;=$Z16),$AC16,IF(AND($Y16&lt;&gt;"",EDATE($D16,Milestones!$AA$181)&gt;=$Y16),$AB16,$AA16)))=Milestones!$AB$181),UPPER(TEXT(EDATE($D16,Milestones!$AA$181),"dd mmm yy"))&amp;" "&amp;Milestones!$AB$181&amp;" "&amp;IF(AND(Milestones!$AB$181="FT",Milestones!$AA$181=FT_Y5,EDATE($D16,Milestones!$AA$181)&lt;PolicyEff),1,Milestones!$AC$181)&amp;";  ","")&amp;IF(AND(EDATE($D16,Milestones!$AA$182)&lt;=AsOfDate,EDATE($D16,Milestones!$AA$182)&gt;=SchemeStart,IF($X16=0,$AD16,IF(AND($Z16&lt;&gt;"",EDATE($D16,Milestones!$AA$182)&gt;=$Z16),$AC16,IF(AND($Y16&lt;&gt;"",EDATE($D16,Milestones!$AA$182)&gt;=$Y16),$AB16,$AA16)))=Milestones!$AB$182),UPPER(TEXT(EDATE($D16,Milestones!$AA$182),"dd mmm yy"))&amp;" "&amp;Milestones!$AB$182&amp;" "&amp;IF(AND(Milestones!$AB$182="FT",Milestones!$AA$182=FT_Y5,EDATE($D16,Milestones!$AA$182)&lt;PolicyEff),1,Milestones!$AC$182)&amp;";  ","")&amp;IF(AND(EDATE($D16,Milestones!$AA$183)&lt;=AsOfDate,EDATE($D16,Milestones!$AA$183)&gt;=SchemeStart,IF($X16=0,$AD16,IF(AND($Z16&lt;&gt;"",EDATE($D16,Milestones!$AA$183)&gt;=$Z16),$AC16,IF(AND($Y16&lt;&gt;"",EDATE($D16,Milestones!$AA$183)&gt;=$Y16),$AB16,$AA16)))=Milestones!$AB$183),UPPER(TEXT(EDATE($D16,Milestones!$AA$183),"dd mmm yy"))&amp;" "&amp;Milestones!$AB$183&amp;" "&amp;IF(AND(Milestones!$AB$183="FT",Milestones!$AA$183=FT_Y5,EDATE($D16,Milestones!$AA$183)&lt;PolicyEff),1,Milestones!$AC$183)&amp;";  ","")&amp;IF(AND(EDATE($D16,Milestones!$AA$184)&lt;=AsOfDate,EDATE($D16,Milestones!$AA$184)&gt;=SchemeStart,IF($X16=0,$AD16,IF(AND($Z16&lt;&gt;"",EDATE($D16,Milestones!$AA$184)&gt;=$Z16),$AC16,IF(AND($Y16&lt;&gt;"",EDATE($D16,Milestones!$AA$184)&gt;=$Y16),$AB16,$AA16)))=Milestones!$AB$184),UPPER(TEXT(EDATE($D16,Milestones!$AA$184),"dd mmm yy"))&amp;" "&amp;Milestones!$AB$184&amp;" "&amp;IF(AND(Milestones!$AB$184="FT",Milestones!$AA$184=FT_Y5,EDATE($D16,Milestones!$AA$184)&lt;PolicyEff),1,Milestones!$AC$184)&amp;";  ","")&amp;IF(AND(EDATE($D16,Milestones!$AA$185)&lt;=AsOfDate,EDATE($D16,Milestones!$AA$185)&gt;=SchemeStart,IF($X16=0,$AD16,IF(AND($Z16&lt;&gt;"",EDATE($D16,Milestones!$AA$185)&gt;=$Z16),$AC16,IF(AND($Y16&lt;&gt;"",EDATE($D16,Milestones!$AA$185)&gt;=$Y16),$AB16,$AA16)))=Milestones!$AB$185),UPPER(TEXT(EDATE($D16,Milestones!$AA$185),"dd mmm yy"))&amp;" "&amp;Milestones!$AB$185&amp;" "&amp;IF(AND(Milestones!$AB$185="FT",Milestones!$AA$185=FT_Y5,EDATE($D16,Milestones!$AA$185)&lt;PolicyEff),1,Milestones!$AC$185)&amp;";  ","")&amp;IF(AND(EDATE($D16,Milestones!$AA$186)&lt;=AsOfDate,EDATE($D16,Milestones!$AA$186)&gt;=SchemeStart,IF($X16=0,$AD16,IF(AND($Z16&lt;&gt;"",EDATE($D16,Milestones!$AA$186)&gt;=$Z16),$AC16,IF(AND($Y16&lt;&gt;"",EDATE($D16,Milestones!$AA$186)&gt;=$Y16),$AB16,$AA16)))=Milestones!$AB$186),UPPER(TEXT(EDATE($D16,Milestones!$AA$186),"dd mmm yy"))&amp;" "&amp;Milestones!$AB$186&amp;" "&amp;IF(AND(Milestones!$AB$186="FT",Milestones!$AA$186=FT_Y5,EDATE($D16,Milestones!$AA$186)&lt;PolicyEff),1,Milestones!$AC$186)&amp;";  ","")&amp;IF(AND(EDATE($D16,Milestones!$AA$187)&lt;=AsOfDate,EDATE($D16,Milestones!$AA$187)&gt;=SchemeStart,IF($X16=0,$AD16,IF(AND($Z16&lt;&gt;"",EDATE($D16,Milestones!$AA$187)&gt;=$Z16),$AC16,IF(AND($Y16&lt;&gt;"",EDATE($D16,Milestones!$AA$187)&gt;=$Y16),$AB16,$AA16)))=Milestones!$AB$187),UPPER(TEXT(EDATE($D16,Milestones!$AA$187),"dd mmm yy"))&amp;" "&amp;Milestones!$AB$187&amp;" "&amp;IF(AND(Milestones!$AB$187="FT",Milestones!$AA$187=FT_Y5,EDATE($D16,Milestones!$AA$187)&lt;PolicyEff),1,Milestones!$AC$187)&amp;";  ",""))</f>
        <v/>
      </c>
      <c r="W16" s="0" t="str">
        <f aca="false">IF(OR($A16="",$D16=""),"",IF(AND(EDATE($D16,Milestones!$AA$188)&lt;=AsOfDate,EDATE($D16,Milestones!$AA$188)&gt;=SchemeStart,IF($X16=0,$AD16,IF(AND($Z16&lt;&gt;"",EDATE($D16,Milestones!$AA$188)&gt;=$Z16),$AC16,IF(AND($Y16&lt;&gt;"",EDATE($D16,Milestones!$AA$188)&gt;=$Y16),$AB16,$AA16)))=Milestones!$AB$188),UPPER(TEXT(EDATE($D16,Milestones!$AA$188),"dd mmm yy"))&amp;" "&amp;Milestones!$AB$188&amp;" "&amp;IF(AND(Milestones!$AB$188="FT",Milestones!$AA$188=FT_Y5,EDATE($D16,Milestones!$AA$188)&lt;PolicyEff),1,Milestones!$AC$188)&amp;";  ","")&amp;IF(AND(EDATE($D16,Milestones!$AA$189)&lt;=AsOfDate,EDATE($D16,Milestones!$AA$189)&gt;=SchemeStart,IF($X16=0,$AD16,IF(AND($Z16&lt;&gt;"",EDATE($D16,Milestones!$AA$189)&gt;=$Z16),$AC16,IF(AND($Y16&lt;&gt;"",EDATE($D16,Milestones!$AA$189)&gt;=$Y16),$AB16,$AA16)))=Milestones!$AB$189),UPPER(TEXT(EDATE($D16,Milestones!$AA$189),"dd mmm yy"))&amp;" "&amp;Milestones!$AB$189&amp;" "&amp;IF(AND(Milestones!$AB$189="FT",Milestones!$AA$189=FT_Y5,EDATE($D16,Milestones!$AA$189)&lt;PolicyEff),1,Milestones!$AC$189)&amp;";  ","")&amp;IF(AND(EDATE($D16,Milestones!$AA$190)&lt;=AsOfDate,EDATE($D16,Milestones!$AA$190)&gt;=SchemeStart,IF($X16=0,$AD16,IF(AND($Z16&lt;&gt;"",EDATE($D16,Milestones!$AA$190)&gt;=$Z16),$AC16,IF(AND($Y16&lt;&gt;"",EDATE($D16,Milestones!$AA$190)&gt;=$Y16),$AB16,$AA16)))=Milestones!$AB$190),UPPER(TEXT(EDATE($D16,Milestones!$AA$190),"dd mmm yy"))&amp;" "&amp;Milestones!$AB$190&amp;" "&amp;IF(AND(Milestones!$AB$190="FT",Milestones!$AA$190=FT_Y5,EDATE($D16,Milestones!$AA$190)&lt;PolicyEff),1,Milestones!$AC$190)&amp;";  ","")&amp;IF(AND(EDATE($D16,Milestones!$AA$191)&lt;=AsOfDate,EDATE($D16,Milestones!$AA$191)&gt;=SchemeStart,IF($X16=0,$AD16,IF(AND($Z16&lt;&gt;"",EDATE($D16,Milestones!$AA$191)&gt;=$Z16),$AC16,IF(AND($Y16&lt;&gt;"",EDATE($D16,Milestones!$AA$191)&gt;=$Y16),$AB16,$AA16)))=Milestones!$AB$191),UPPER(TEXT(EDATE($D16,Milestones!$AA$191),"dd mmm yy"))&amp;" "&amp;Milestones!$AB$191&amp;" "&amp;IF(AND(Milestones!$AB$191="FT",Milestones!$AA$191=FT_Y5,EDATE($D16,Milestones!$AA$191)&lt;PolicyEff),1,Milestones!$AC$191)&amp;";  ","")&amp;IF(AND(EDATE($D16,Milestones!$AA$192)&lt;=AsOfDate,EDATE($D16,Milestones!$AA$192)&gt;=SchemeStart,IF($X16=0,$AD16,IF(AND($Z16&lt;&gt;"",EDATE($D16,Milestones!$AA$192)&gt;=$Z16),$AC16,IF(AND($Y16&lt;&gt;"",EDATE($D16,Milestones!$AA$192)&gt;=$Y16),$AB16,$AA16)))=Milestones!$AB$192),UPPER(TEXT(EDATE($D16,Milestones!$AA$192),"dd mmm yy"))&amp;" "&amp;Milestones!$AB$192&amp;" "&amp;IF(AND(Milestones!$AB$192="FT",Milestones!$AA$192=FT_Y5,EDATE($D16,Milestones!$AA$192)&lt;PolicyEff),1,Milestones!$AC$192)&amp;";  ","")&amp;IF(AND(EDATE($D16,Milestones!$AA$193)&lt;=AsOfDate,EDATE($D16,Milestones!$AA$193)&gt;=SchemeStart,IF($X16=0,$AD16,IF(AND($Z16&lt;&gt;"",EDATE($D16,Milestones!$AA$193)&gt;=$Z16),$AC16,IF(AND($Y16&lt;&gt;"",EDATE($D16,Milestones!$AA$193)&gt;=$Y16),$AB16,$AA16)))=Milestones!$AB$193),UPPER(TEXT(EDATE($D16,Milestones!$AA$193),"dd mmm yy"))&amp;" "&amp;Milestones!$AB$193&amp;" "&amp;IF(AND(Milestones!$AB$193="FT",Milestones!$AA$193=FT_Y5,EDATE($D16,Milestones!$AA$193)&lt;PolicyEff),1,Milestones!$AC$193)&amp;";  ","")&amp;IF(AND(EDATE($D16,Milestones!$AA$194)&lt;=AsOfDate,EDATE($D16,Milestones!$AA$194)&gt;=SchemeStart,IF($X16=0,$AD16,IF(AND($Z16&lt;&gt;"",EDATE($D16,Milestones!$AA$194)&gt;=$Z16),$AC16,IF(AND($Y16&lt;&gt;"",EDATE($D16,Milestones!$AA$194)&gt;=$Y16),$AB16,$AA16)))=Milestones!$AB$194),UPPER(TEXT(EDATE($D16,Milestones!$AA$194),"dd mmm yy"))&amp;" "&amp;Milestones!$AB$194&amp;" "&amp;IF(AND(Milestones!$AB$194="FT",Milestones!$AA$194=FT_Y5,EDATE($D16,Milestones!$AA$194)&lt;PolicyEff),1,Milestones!$AC$194)&amp;";  ","")&amp;IF(AND(EDATE($D16,Milestones!$AA$195)&lt;=AsOfDate,EDATE($D16,Milestones!$AA$195)&gt;=SchemeStart,IF($X16=0,$AD16,IF(AND($Z16&lt;&gt;"",EDATE($D16,Milestones!$AA$195)&gt;=$Z16),$AC16,IF(AND($Y16&lt;&gt;"",EDATE($D16,Milestones!$AA$195)&gt;=$Y16),$AB16,$AA16)))=Milestones!$AB$195),UPPER(TEXT(EDATE($D16,Milestones!$AA$195),"dd mmm yy"))&amp;" "&amp;Milestones!$AB$195&amp;" "&amp;IF(AND(Milestones!$AB$195="FT",Milestones!$AA$195=FT_Y5,EDATE($D16,Milestones!$AA$195)&lt;PolicyEff),1,Milestones!$AC$195)&amp;";  ","")&amp;IF(AND(EDATE($D16,Milestones!$AA$196)&lt;=AsOfDate,EDATE($D16,Milestones!$AA$196)&gt;=SchemeStart,IF($X16=0,$AD16,IF(AND($Z16&lt;&gt;"",EDATE($D16,Milestones!$AA$196)&gt;=$Z16),$AC16,IF(AND($Y16&lt;&gt;"",EDATE($D16,Milestones!$AA$196)&gt;=$Y16),$AB16,$AA16)))=Milestones!$AB$196),UPPER(TEXT(EDATE($D16,Milestones!$AA$196),"dd mmm yy"))&amp;" "&amp;Milestones!$AB$196&amp;" "&amp;IF(AND(Milestones!$AB$196="FT",Milestones!$AA$196=FT_Y5,EDATE($D16,Milestones!$AA$196)&lt;PolicyEff),1,Milestones!$AC$196)&amp;";  ","")&amp;IF(AND(EDATE($D16,Milestones!$AA$197)&lt;=AsOfDate,EDATE($D16,Milestones!$AA$197)&gt;=SchemeStart,IF($X16=0,$AD16,IF(AND($Z16&lt;&gt;"",EDATE($D16,Milestones!$AA$197)&gt;=$Z16),$AC16,IF(AND($Y16&lt;&gt;"",EDATE($D16,Milestones!$AA$197)&gt;=$Y16),$AB16,$AA16)))=Milestones!$AB$197),UPPER(TEXT(EDATE($D16,Milestones!$AA$197),"dd mmm yy"))&amp;" "&amp;Milestones!$AB$197&amp;" "&amp;IF(AND(Milestones!$AB$197="FT",Milestones!$AA$197=FT_Y5,EDATE($D16,Milestones!$AA$197)&lt;PolicyEff),1,Milestones!$AC$197)&amp;";  ","")&amp;IF(AND(EDATE($D16,Milestones!$AA$198)&lt;=AsOfDate,EDATE($D16,Milestones!$AA$198)&gt;=SchemeStart,IF($X16=0,$AD16,IF(AND($Z16&lt;&gt;"",EDATE($D16,Milestones!$AA$198)&gt;=$Z16),$AC16,IF(AND($Y16&lt;&gt;"",EDATE($D16,Milestones!$AA$198)&gt;=$Y16),$AB16,$AA16)))=Milestones!$AB$198),UPPER(TEXT(EDATE($D16,Milestones!$AA$198),"dd mmm yy"))&amp;" "&amp;Milestones!$AB$198&amp;" "&amp;IF(AND(Milestones!$AB$198="FT",Milestones!$AA$198=FT_Y5,EDATE($D16,Milestones!$AA$198)&lt;PolicyEff),1,Milestones!$AC$198)&amp;";  ","")&amp;IF(AND(EDATE($D16,Milestones!$AA$199)&lt;=AsOfDate,EDATE($D16,Milestones!$AA$199)&gt;=SchemeStart,IF($X16=0,$AD16,IF(AND($Z16&lt;&gt;"",EDATE($D16,Milestones!$AA$199)&gt;=$Z16),$AC16,IF(AND($Y16&lt;&gt;"",EDATE($D16,Milestones!$AA$199)&gt;=$Y16),$AB16,$AA16)))=Milestones!$AB$199),UPPER(TEXT(EDATE($D16,Milestones!$AA$199),"dd mmm yy"))&amp;" "&amp;Milestones!$AB$199&amp;" "&amp;IF(AND(Milestones!$AB$199="FT",Milestones!$AA$199=FT_Y5,EDATE($D16,Milestones!$AA$199)&lt;PolicyEff),1,Milestones!$AC$199)&amp;";  ",""))</f>
        <v/>
      </c>
      <c r="X16" s="0" t="str">
        <f aca="false">IF(Staff!$A16="","",Staff!$AM16)</f>
        <v/>
      </c>
      <c r="Y16" s="0" t="str">
        <f aca="false">IF(Staff!$A16="","",Staff!$AO16)</f>
        <v/>
      </c>
      <c r="Z16" s="0" t="str">
        <f aca="false">IF(Staff!$A16="","",Staff!$AP16)</f>
        <v/>
      </c>
      <c r="AA16" s="0" t="str">
        <f aca="false">IF(Staff!$A16="","",Staff!$AT16)</f>
        <v/>
      </c>
      <c r="AB16" s="0" t="str">
        <f aca="false">IF(Staff!$A16="","",Staff!$AU16)</f>
        <v/>
      </c>
      <c r="AC16" s="0" t="str">
        <f aca="false">IF(Staff!$A16="","",Staff!$AV16)</f>
        <v/>
      </c>
      <c r="AD16" s="0" t="str">
        <f aca="false">IF(Staff!$A16="","",Staff!$AW16)</f>
        <v/>
      </c>
    </row>
    <row r="17" customFormat="false" ht="15" hidden="false" customHeight="false" outlineLevel="0" collapsed="false">
      <c r="A17" s="16" t="str">
        <f aca="false">IF(Staff!$A17="","",Staff!$A17)</f>
        <v/>
      </c>
      <c r="B17" s="16" t="str">
        <f aca="false">IF(Staff!$A17="","",Staff!$B17)</f>
        <v/>
      </c>
      <c r="C17" s="16" t="str">
        <f aca="false">IF(Staff!$A17="","",Staff!$C17)</f>
        <v/>
      </c>
      <c r="D17" s="14" t="str">
        <f aca="false">IF(Staff!$A17="","",Staff!$AL17)</f>
        <v/>
      </c>
      <c r="E17" s="16" t="str">
        <f aca="false">IF(Staff!$A17="","",Staff!$O17)</f>
        <v/>
      </c>
      <c r="F17" s="16" t="str">
        <f aca="false">IF(E17="","",E17*HoursPerDay)</f>
        <v/>
      </c>
      <c r="G17" s="16" t="str">
        <f aca="false">IF(Staff!$A17="","",Staff!$AE17)</f>
        <v/>
      </c>
      <c r="H17" s="28" t="str">
        <f aca="false">IF($A17="","",I17&amp;J17&amp;K17&amp;L17&amp;M17&amp;N17&amp;O17&amp;P17&amp;Q17&amp;R17&amp;S17&amp;T17&amp;U17&amp;V17&amp;W17)</f>
        <v/>
      </c>
      <c r="I17" s="0" t="str">
        <f aca="false">IF(OR($A17="",$D17=""),"",IF(AND(EDATE($D17,Milestones!$AA$20)&lt;=AsOfDate,EDATE($D17,Milestones!$AA$20)&gt;=SchemeStart,IF($X17=0,$AD17,IF(AND($Z17&lt;&gt;"",EDATE($D17,Milestones!$AA$20)&gt;=$Z17),$AC17,IF(AND($Y17&lt;&gt;"",EDATE($D17,Milestones!$AA$20)&gt;=$Y17),$AB17,$AA17)))=Milestones!$AB$20),UPPER(TEXT(EDATE($D17,Milestones!$AA$20),"dd mmm yy"))&amp;" "&amp;Milestones!$AB$20&amp;" "&amp;IF(AND(Milestones!$AB$20="FT",Milestones!$AA$20=FT_Y5,EDATE($D17,Milestones!$AA$20)&lt;PolicyEff),1,Milestones!$AC$20)&amp;";  ","")&amp;IF(AND(EDATE($D17,Milestones!$AA$21)&lt;=AsOfDate,EDATE($D17,Milestones!$AA$21)&gt;=SchemeStart,IF($X17=0,$AD17,IF(AND($Z17&lt;&gt;"",EDATE($D17,Milestones!$AA$21)&gt;=$Z17),$AC17,IF(AND($Y17&lt;&gt;"",EDATE($D17,Milestones!$AA$21)&gt;=$Y17),$AB17,$AA17)))=Milestones!$AB$21),UPPER(TEXT(EDATE($D17,Milestones!$AA$21),"dd mmm yy"))&amp;" "&amp;Milestones!$AB$21&amp;" "&amp;IF(AND(Milestones!$AB$21="FT",Milestones!$AA$21=FT_Y5,EDATE($D17,Milestones!$AA$21)&lt;PolicyEff),1,Milestones!$AC$21)&amp;";  ","")&amp;IF(AND(EDATE($D17,Milestones!$AA$22)&lt;=AsOfDate,EDATE($D17,Milestones!$AA$22)&gt;=SchemeStart,IF($X17=0,$AD17,IF(AND($Z17&lt;&gt;"",EDATE($D17,Milestones!$AA$22)&gt;=$Z17),$AC17,IF(AND($Y17&lt;&gt;"",EDATE($D17,Milestones!$AA$22)&gt;=$Y17),$AB17,$AA17)))=Milestones!$AB$22),UPPER(TEXT(EDATE($D17,Milestones!$AA$22),"dd mmm yy"))&amp;" "&amp;Milestones!$AB$22&amp;" "&amp;IF(AND(Milestones!$AB$22="FT",Milestones!$AA$22=FT_Y5,EDATE($D17,Milestones!$AA$22)&lt;PolicyEff),1,Milestones!$AC$22)&amp;";  ","")&amp;IF(AND(EDATE($D17,Milestones!$AA$23)&lt;=AsOfDate,EDATE($D17,Milestones!$AA$23)&gt;=SchemeStart,IF($X17=0,$AD17,IF(AND($Z17&lt;&gt;"",EDATE($D17,Milestones!$AA$23)&gt;=$Z17),$AC17,IF(AND($Y17&lt;&gt;"",EDATE($D17,Milestones!$AA$23)&gt;=$Y17),$AB17,$AA17)))=Milestones!$AB$23),UPPER(TEXT(EDATE($D17,Milestones!$AA$23),"dd mmm yy"))&amp;" "&amp;Milestones!$AB$23&amp;" "&amp;IF(AND(Milestones!$AB$23="FT",Milestones!$AA$23=FT_Y5,EDATE($D17,Milestones!$AA$23)&lt;PolicyEff),1,Milestones!$AC$23)&amp;";  ","")&amp;IF(AND(EDATE($D17,Milestones!$AA$24)&lt;=AsOfDate,EDATE($D17,Milestones!$AA$24)&gt;=SchemeStart,IF($X17=0,$AD17,IF(AND($Z17&lt;&gt;"",EDATE($D17,Milestones!$AA$24)&gt;=$Z17),$AC17,IF(AND($Y17&lt;&gt;"",EDATE($D17,Milestones!$AA$24)&gt;=$Y17),$AB17,$AA17)))=Milestones!$AB$24),UPPER(TEXT(EDATE($D17,Milestones!$AA$24),"dd mmm yy"))&amp;" "&amp;Milestones!$AB$24&amp;" "&amp;IF(AND(Milestones!$AB$24="FT",Milestones!$AA$24=FT_Y5,EDATE($D17,Milestones!$AA$24)&lt;PolicyEff),1,Milestones!$AC$24)&amp;";  ","")&amp;IF(AND(EDATE($D17,Milestones!$AA$25)&lt;=AsOfDate,EDATE($D17,Milestones!$AA$25)&gt;=SchemeStart,IF($X17=0,$AD17,IF(AND($Z17&lt;&gt;"",EDATE($D17,Milestones!$AA$25)&gt;=$Z17),$AC17,IF(AND($Y17&lt;&gt;"",EDATE($D17,Milestones!$AA$25)&gt;=$Y17),$AB17,$AA17)))=Milestones!$AB$25),UPPER(TEXT(EDATE($D17,Milestones!$AA$25),"dd mmm yy"))&amp;" "&amp;Milestones!$AB$25&amp;" "&amp;IF(AND(Milestones!$AB$25="FT",Milestones!$AA$25=FT_Y5,EDATE($D17,Milestones!$AA$25)&lt;PolicyEff),1,Milestones!$AC$25)&amp;";  ","")&amp;IF(AND(EDATE($D17,Milestones!$AA$26)&lt;=AsOfDate,EDATE($D17,Milestones!$AA$26)&gt;=SchemeStart,IF($X17=0,$AD17,IF(AND($Z17&lt;&gt;"",EDATE($D17,Milestones!$AA$26)&gt;=$Z17),$AC17,IF(AND($Y17&lt;&gt;"",EDATE($D17,Milestones!$AA$26)&gt;=$Y17),$AB17,$AA17)))=Milestones!$AB$26),UPPER(TEXT(EDATE($D17,Milestones!$AA$26),"dd mmm yy"))&amp;" "&amp;Milestones!$AB$26&amp;" "&amp;IF(AND(Milestones!$AB$26="FT",Milestones!$AA$26=FT_Y5,EDATE($D17,Milestones!$AA$26)&lt;PolicyEff),1,Milestones!$AC$26)&amp;";  ","")&amp;IF(AND(EDATE($D17,Milestones!$AA$27)&lt;=AsOfDate,EDATE($D17,Milestones!$AA$27)&gt;=SchemeStart,IF($X17=0,$AD17,IF(AND($Z17&lt;&gt;"",EDATE($D17,Milestones!$AA$27)&gt;=$Z17),$AC17,IF(AND($Y17&lt;&gt;"",EDATE($D17,Milestones!$AA$27)&gt;=$Y17),$AB17,$AA17)))=Milestones!$AB$27),UPPER(TEXT(EDATE($D17,Milestones!$AA$27),"dd mmm yy"))&amp;" "&amp;Milestones!$AB$27&amp;" "&amp;IF(AND(Milestones!$AB$27="FT",Milestones!$AA$27=FT_Y5,EDATE($D17,Milestones!$AA$27)&lt;PolicyEff),1,Milestones!$AC$27)&amp;";  ","")&amp;IF(AND(EDATE($D17,Milestones!$AA$28)&lt;=AsOfDate,EDATE($D17,Milestones!$AA$28)&gt;=SchemeStart,IF($X17=0,$AD17,IF(AND($Z17&lt;&gt;"",EDATE($D17,Milestones!$AA$28)&gt;=$Z17),$AC17,IF(AND($Y17&lt;&gt;"",EDATE($D17,Milestones!$AA$28)&gt;=$Y17),$AB17,$AA17)))=Milestones!$AB$28),UPPER(TEXT(EDATE($D17,Milestones!$AA$28),"dd mmm yy"))&amp;" "&amp;Milestones!$AB$28&amp;" "&amp;IF(AND(Milestones!$AB$28="FT",Milestones!$AA$28=FT_Y5,EDATE($D17,Milestones!$AA$28)&lt;PolicyEff),1,Milestones!$AC$28)&amp;";  ","")&amp;IF(AND(EDATE($D17,Milestones!$AA$29)&lt;=AsOfDate,EDATE($D17,Milestones!$AA$29)&gt;=SchemeStart,IF($X17=0,$AD17,IF(AND($Z17&lt;&gt;"",EDATE($D17,Milestones!$AA$29)&gt;=$Z17),$AC17,IF(AND($Y17&lt;&gt;"",EDATE($D17,Milestones!$AA$29)&gt;=$Y17),$AB17,$AA17)))=Milestones!$AB$29),UPPER(TEXT(EDATE($D17,Milestones!$AA$29),"dd mmm yy"))&amp;" "&amp;Milestones!$AB$29&amp;" "&amp;IF(AND(Milestones!$AB$29="FT",Milestones!$AA$29=FT_Y5,EDATE($D17,Milestones!$AA$29)&lt;PolicyEff),1,Milestones!$AC$29)&amp;";  ","")&amp;IF(AND(EDATE($D17,Milestones!$AA$30)&lt;=AsOfDate,EDATE($D17,Milestones!$AA$30)&gt;=SchemeStart,IF($X17=0,$AD17,IF(AND($Z17&lt;&gt;"",EDATE($D17,Milestones!$AA$30)&gt;=$Z17),$AC17,IF(AND($Y17&lt;&gt;"",EDATE($D17,Milestones!$AA$30)&gt;=$Y17),$AB17,$AA17)))=Milestones!$AB$30),UPPER(TEXT(EDATE($D17,Milestones!$AA$30),"dd mmm yy"))&amp;" "&amp;Milestones!$AB$30&amp;" "&amp;IF(AND(Milestones!$AB$30="FT",Milestones!$AA$30=FT_Y5,EDATE($D17,Milestones!$AA$30)&lt;PolicyEff),1,Milestones!$AC$30)&amp;";  ","")&amp;IF(AND(EDATE($D17,Milestones!$AA$31)&lt;=AsOfDate,EDATE($D17,Milestones!$AA$31)&gt;=SchemeStart,IF($X17=0,$AD17,IF(AND($Z17&lt;&gt;"",EDATE($D17,Milestones!$AA$31)&gt;=$Z17),$AC17,IF(AND($Y17&lt;&gt;"",EDATE($D17,Milestones!$AA$31)&gt;=$Y17),$AB17,$AA17)))=Milestones!$AB$31),UPPER(TEXT(EDATE($D17,Milestones!$AA$31),"dd mmm yy"))&amp;" "&amp;Milestones!$AB$31&amp;" "&amp;IF(AND(Milestones!$AB$31="FT",Milestones!$AA$31=FT_Y5,EDATE($D17,Milestones!$AA$31)&lt;PolicyEff),1,Milestones!$AC$31)&amp;";  ",""))</f>
        <v/>
      </c>
      <c r="J17" s="0" t="str">
        <f aca="false">IF(OR($A17="",$D17=""),"",IF(AND(EDATE($D17,Milestones!$AA$32)&lt;=AsOfDate,EDATE($D17,Milestones!$AA$32)&gt;=SchemeStart,IF($X17=0,$AD17,IF(AND($Z17&lt;&gt;"",EDATE($D17,Milestones!$AA$32)&gt;=$Z17),$AC17,IF(AND($Y17&lt;&gt;"",EDATE($D17,Milestones!$AA$32)&gt;=$Y17),$AB17,$AA17)))=Milestones!$AB$32),UPPER(TEXT(EDATE($D17,Milestones!$AA$32),"dd mmm yy"))&amp;" "&amp;Milestones!$AB$32&amp;" "&amp;IF(AND(Milestones!$AB$32="FT",Milestones!$AA$32=FT_Y5,EDATE($D17,Milestones!$AA$32)&lt;PolicyEff),1,Milestones!$AC$32)&amp;";  ","")&amp;IF(AND(EDATE($D17,Milestones!$AA$33)&lt;=AsOfDate,EDATE($D17,Milestones!$AA$33)&gt;=SchemeStart,IF($X17=0,$AD17,IF(AND($Z17&lt;&gt;"",EDATE($D17,Milestones!$AA$33)&gt;=$Z17),$AC17,IF(AND($Y17&lt;&gt;"",EDATE($D17,Milestones!$AA$33)&gt;=$Y17),$AB17,$AA17)))=Milestones!$AB$33),UPPER(TEXT(EDATE($D17,Milestones!$AA$33),"dd mmm yy"))&amp;" "&amp;Milestones!$AB$33&amp;" "&amp;IF(AND(Milestones!$AB$33="FT",Milestones!$AA$33=FT_Y5,EDATE($D17,Milestones!$AA$33)&lt;PolicyEff),1,Milestones!$AC$33)&amp;";  ","")&amp;IF(AND(EDATE($D17,Milestones!$AA$34)&lt;=AsOfDate,EDATE($D17,Milestones!$AA$34)&gt;=SchemeStart,IF($X17=0,$AD17,IF(AND($Z17&lt;&gt;"",EDATE($D17,Milestones!$AA$34)&gt;=$Z17),$AC17,IF(AND($Y17&lt;&gt;"",EDATE($D17,Milestones!$AA$34)&gt;=$Y17),$AB17,$AA17)))=Milestones!$AB$34),UPPER(TEXT(EDATE($D17,Milestones!$AA$34),"dd mmm yy"))&amp;" "&amp;Milestones!$AB$34&amp;" "&amp;IF(AND(Milestones!$AB$34="FT",Milestones!$AA$34=FT_Y5,EDATE($D17,Milestones!$AA$34)&lt;PolicyEff),1,Milestones!$AC$34)&amp;";  ","")&amp;IF(AND(EDATE($D17,Milestones!$AA$35)&lt;=AsOfDate,EDATE($D17,Milestones!$AA$35)&gt;=SchemeStart,IF($X17=0,$AD17,IF(AND($Z17&lt;&gt;"",EDATE($D17,Milestones!$AA$35)&gt;=$Z17),$AC17,IF(AND($Y17&lt;&gt;"",EDATE($D17,Milestones!$AA$35)&gt;=$Y17),$AB17,$AA17)))=Milestones!$AB$35),UPPER(TEXT(EDATE($D17,Milestones!$AA$35),"dd mmm yy"))&amp;" "&amp;Milestones!$AB$35&amp;" "&amp;IF(AND(Milestones!$AB$35="FT",Milestones!$AA$35=FT_Y5,EDATE($D17,Milestones!$AA$35)&lt;PolicyEff),1,Milestones!$AC$35)&amp;";  ","")&amp;IF(AND(EDATE($D17,Milestones!$AA$36)&lt;=AsOfDate,EDATE($D17,Milestones!$AA$36)&gt;=SchemeStart,IF($X17=0,$AD17,IF(AND($Z17&lt;&gt;"",EDATE($D17,Milestones!$AA$36)&gt;=$Z17),$AC17,IF(AND($Y17&lt;&gt;"",EDATE($D17,Milestones!$AA$36)&gt;=$Y17),$AB17,$AA17)))=Milestones!$AB$36),UPPER(TEXT(EDATE($D17,Milestones!$AA$36),"dd mmm yy"))&amp;" "&amp;Milestones!$AB$36&amp;" "&amp;IF(AND(Milestones!$AB$36="FT",Milestones!$AA$36=FT_Y5,EDATE($D17,Milestones!$AA$36)&lt;PolicyEff),1,Milestones!$AC$36)&amp;";  ","")&amp;IF(AND(EDATE($D17,Milestones!$AA$37)&lt;=AsOfDate,EDATE($D17,Milestones!$AA$37)&gt;=SchemeStart,IF($X17=0,$AD17,IF(AND($Z17&lt;&gt;"",EDATE($D17,Milestones!$AA$37)&gt;=$Z17),$AC17,IF(AND($Y17&lt;&gt;"",EDATE($D17,Milestones!$AA$37)&gt;=$Y17),$AB17,$AA17)))=Milestones!$AB$37),UPPER(TEXT(EDATE($D17,Milestones!$AA$37),"dd mmm yy"))&amp;" "&amp;Milestones!$AB$37&amp;" "&amp;IF(AND(Milestones!$AB$37="FT",Milestones!$AA$37=FT_Y5,EDATE($D17,Milestones!$AA$37)&lt;PolicyEff),1,Milestones!$AC$37)&amp;";  ","")&amp;IF(AND(EDATE($D17,Milestones!$AA$38)&lt;=AsOfDate,EDATE($D17,Milestones!$AA$38)&gt;=SchemeStart,IF($X17=0,$AD17,IF(AND($Z17&lt;&gt;"",EDATE($D17,Milestones!$AA$38)&gt;=$Z17),$AC17,IF(AND($Y17&lt;&gt;"",EDATE($D17,Milestones!$AA$38)&gt;=$Y17),$AB17,$AA17)))=Milestones!$AB$38),UPPER(TEXT(EDATE($D17,Milestones!$AA$38),"dd mmm yy"))&amp;" "&amp;Milestones!$AB$38&amp;" "&amp;IF(AND(Milestones!$AB$38="FT",Milestones!$AA$38=FT_Y5,EDATE($D17,Milestones!$AA$38)&lt;PolicyEff),1,Milestones!$AC$38)&amp;";  ","")&amp;IF(AND(EDATE($D17,Milestones!$AA$39)&lt;=AsOfDate,EDATE($D17,Milestones!$AA$39)&gt;=SchemeStart,IF($X17=0,$AD17,IF(AND($Z17&lt;&gt;"",EDATE($D17,Milestones!$AA$39)&gt;=$Z17),$AC17,IF(AND($Y17&lt;&gt;"",EDATE($D17,Milestones!$AA$39)&gt;=$Y17),$AB17,$AA17)))=Milestones!$AB$39),UPPER(TEXT(EDATE($D17,Milestones!$AA$39),"dd mmm yy"))&amp;" "&amp;Milestones!$AB$39&amp;" "&amp;IF(AND(Milestones!$AB$39="FT",Milestones!$AA$39=FT_Y5,EDATE($D17,Milestones!$AA$39)&lt;PolicyEff),1,Milestones!$AC$39)&amp;";  ","")&amp;IF(AND(EDATE($D17,Milestones!$AA$40)&lt;=AsOfDate,EDATE($D17,Milestones!$AA$40)&gt;=SchemeStart,IF($X17=0,$AD17,IF(AND($Z17&lt;&gt;"",EDATE($D17,Milestones!$AA$40)&gt;=$Z17),$AC17,IF(AND($Y17&lt;&gt;"",EDATE($D17,Milestones!$AA$40)&gt;=$Y17),$AB17,$AA17)))=Milestones!$AB$40),UPPER(TEXT(EDATE($D17,Milestones!$AA$40),"dd mmm yy"))&amp;" "&amp;Milestones!$AB$40&amp;" "&amp;IF(AND(Milestones!$AB$40="FT",Milestones!$AA$40=FT_Y5,EDATE($D17,Milestones!$AA$40)&lt;PolicyEff),1,Milestones!$AC$40)&amp;";  ","")&amp;IF(AND(EDATE($D17,Milestones!$AA$41)&lt;=AsOfDate,EDATE($D17,Milestones!$AA$41)&gt;=SchemeStart,IF($X17=0,$AD17,IF(AND($Z17&lt;&gt;"",EDATE($D17,Milestones!$AA$41)&gt;=$Z17),$AC17,IF(AND($Y17&lt;&gt;"",EDATE($D17,Milestones!$AA$41)&gt;=$Y17),$AB17,$AA17)))=Milestones!$AB$41),UPPER(TEXT(EDATE($D17,Milestones!$AA$41),"dd mmm yy"))&amp;" "&amp;Milestones!$AB$41&amp;" "&amp;IF(AND(Milestones!$AB$41="FT",Milestones!$AA$41=FT_Y5,EDATE($D17,Milestones!$AA$41)&lt;PolicyEff),1,Milestones!$AC$41)&amp;";  ","")&amp;IF(AND(EDATE($D17,Milestones!$AA$42)&lt;=AsOfDate,EDATE($D17,Milestones!$AA$42)&gt;=SchemeStart,IF($X17=0,$AD17,IF(AND($Z17&lt;&gt;"",EDATE($D17,Milestones!$AA$42)&gt;=$Z17),$AC17,IF(AND($Y17&lt;&gt;"",EDATE($D17,Milestones!$AA$42)&gt;=$Y17),$AB17,$AA17)))=Milestones!$AB$42),UPPER(TEXT(EDATE($D17,Milestones!$AA$42),"dd mmm yy"))&amp;" "&amp;Milestones!$AB$42&amp;" "&amp;IF(AND(Milestones!$AB$42="FT",Milestones!$AA$42=FT_Y5,EDATE($D17,Milestones!$AA$42)&lt;PolicyEff),1,Milestones!$AC$42)&amp;";  ","")&amp;IF(AND(EDATE($D17,Milestones!$AA$43)&lt;=AsOfDate,EDATE($D17,Milestones!$AA$43)&gt;=SchemeStart,IF($X17=0,$AD17,IF(AND($Z17&lt;&gt;"",EDATE($D17,Milestones!$AA$43)&gt;=$Z17),$AC17,IF(AND($Y17&lt;&gt;"",EDATE($D17,Milestones!$AA$43)&gt;=$Y17),$AB17,$AA17)))=Milestones!$AB$43),UPPER(TEXT(EDATE($D17,Milestones!$AA$43),"dd mmm yy"))&amp;" "&amp;Milestones!$AB$43&amp;" "&amp;IF(AND(Milestones!$AB$43="FT",Milestones!$AA$43=FT_Y5,EDATE($D17,Milestones!$AA$43)&lt;PolicyEff),1,Milestones!$AC$43)&amp;";  ",""))</f>
        <v/>
      </c>
      <c r="K17" s="0" t="str">
        <f aca="false">IF(OR($A17="",$D17=""),"",IF(AND(EDATE($D17,Milestones!$AA$44)&lt;=AsOfDate,EDATE($D17,Milestones!$AA$44)&gt;=SchemeStart,IF($X17=0,$AD17,IF(AND($Z17&lt;&gt;"",EDATE($D17,Milestones!$AA$44)&gt;=$Z17),$AC17,IF(AND($Y17&lt;&gt;"",EDATE($D17,Milestones!$AA$44)&gt;=$Y17),$AB17,$AA17)))=Milestones!$AB$44),UPPER(TEXT(EDATE($D17,Milestones!$AA$44),"dd mmm yy"))&amp;" "&amp;Milestones!$AB$44&amp;" "&amp;IF(AND(Milestones!$AB$44="FT",Milestones!$AA$44=FT_Y5,EDATE($D17,Milestones!$AA$44)&lt;PolicyEff),1,Milestones!$AC$44)&amp;";  ","")&amp;IF(AND(EDATE($D17,Milestones!$AA$45)&lt;=AsOfDate,EDATE($D17,Milestones!$AA$45)&gt;=SchemeStart,IF($X17=0,$AD17,IF(AND($Z17&lt;&gt;"",EDATE($D17,Milestones!$AA$45)&gt;=$Z17),$AC17,IF(AND($Y17&lt;&gt;"",EDATE($D17,Milestones!$AA$45)&gt;=$Y17),$AB17,$AA17)))=Milestones!$AB$45),UPPER(TEXT(EDATE($D17,Milestones!$AA$45),"dd mmm yy"))&amp;" "&amp;Milestones!$AB$45&amp;" "&amp;IF(AND(Milestones!$AB$45="FT",Milestones!$AA$45=FT_Y5,EDATE($D17,Milestones!$AA$45)&lt;PolicyEff),1,Milestones!$AC$45)&amp;";  ","")&amp;IF(AND(EDATE($D17,Milestones!$AA$46)&lt;=AsOfDate,EDATE($D17,Milestones!$AA$46)&gt;=SchemeStart,IF($X17=0,$AD17,IF(AND($Z17&lt;&gt;"",EDATE($D17,Milestones!$AA$46)&gt;=$Z17),$AC17,IF(AND($Y17&lt;&gt;"",EDATE($D17,Milestones!$AA$46)&gt;=$Y17),$AB17,$AA17)))=Milestones!$AB$46),UPPER(TEXT(EDATE($D17,Milestones!$AA$46),"dd mmm yy"))&amp;" "&amp;Milestones!$AB$46&amp;" "&amp;IF(AND(Milestones!$AB$46="FT",Milestones!$AA$46=FT_Y5,EDATE($D17,Milestones!$AA$46)&lt;PolicyEff),1,Milestones!$AC$46)&amp;";  ","")&amp;IF(AND(EDATE($D17,Milestones!$AA$47)&lt;=AsOfDate,EDATE($D17,Milestones!$AA$47)&gt;=SchemeStart,IF($X17=0,$AD17,IF(AND($Z17&lt;&gt;"",EDATE($D17,Milestones!$AA$47)&gt;=$Z17),$AC17,IF(AND($Y17&lt;&gt;"",EDATE($D17,Milestones!$AA$47)&gt;=$Y17),$AB17,$AA17)))=Milestones!$AB$47),UPPER(TEXT(EDATE($D17,Milestones!$AA$47),"dd mmm yy"))&amp;" "&amp;Milestones!$AB$47&amp;" "&amp;IF(AND(Milestones!$AB$47="FT",Milestones!$AA$47=FT_Y5,EDATE($D17,Milestones!$AA$47)&lt;PolicyEff),1,Milestones!$AC$47)&amp;";  ","")&amp;IF(AND(EDATE($D17,Milestones!$AA$48)&lt;=AsOfDate,EDATE($D17,Milestones!$AA$48)&gt;=SchemeStart,IF($X17=0,$AD17,IF(AND($Z17&lt;&gt;"",EDATE($D17,Milestones!$AA$48)&gt;=$Z17),$AC17,IF(AND($Y17&lt;&gt;"",EDATE($D17,Milestones!$AA$48)&gt;=$Y17),$AB17,$AA17)))=Milestones!$AB$48),UPPER(TEXT(EDATE($D17,Milestones!$AA$48),"dd mmm yy"))&amp;" "&amp;Milestones!$AB$48&amp;" "&amp;IF(AND(Milestones!$AB$48="FT",Milestones!$AA$48=FT_Y5,EDATE($D17,Milestones!$AA$48)&lt;PolicyEff),1,Milestones!$AC$48)&amp;";  ","")&amp;IF(AND(EDATE($D17,Milestones!$AA$49)&lt;=AsOfDate,EDATE($D17,Milestones!$AA$49)&gt;=SchemeStart,IF($X17=0,$AD17,IF(AND($Z17&lt;&gt;"",EDATE($D17,Milestones!$AA$49)&gt;=$Z17),$AC17,IF(AND($Y17&lt;&gt;"",EDATE($D17,Milestones!$AA$49)&gt;=$Y17),$AB17,$AA17)))=Milestones!$AB$49),UPPER(TEXT(EDATE($D17,Milestones!$AA$49),"dd mmm yy"))&amp;" "&amp;Milestones!$AB$49&amp;" "&amp;IF(AND(Milestones!$AB$49="FT",Milestones!$AA$49=FT_Y5,EDATE($D17,Milestones!$AA$49)&lt;PolicyEff),1,Milestones!$AC$49)&amp;";  ","")&amp;IF(AND(EDATE($D17,Milestones!$AA$50)&lt;=AsOfDate,EDATE($D17,Milestones!$AA$50)&gt;=SchemeStart,IF($X17=0,$AD17,IF(AND($Z17&lt;&gt;"",EDATE($D17,Milestones!$AA$50)&gt;=$Z17),$AC17,IF(AND($Y17&lt;&gt;"",EDATE($D17,Milestones!$AA$50)&gt;=$Y17),$AB17,$AA17)))=Milestones!$AB$50),UPPER(TEXT(EDATE($D17,Milestones!$AA$50),"dd mmm yy"))&amp;" "&amp;Milestones!$AB$50&amp;" "&amp;IF(AND(Milestones!$AB$50="FT",Milestones!$AA$50=FT_Y5,EDATE($D17,Milestones!$AA$50)&lt;PolicyEff),1,Milestones!$AC$50)&amp;";  ","")&amp;IF(AND(EDATE($D17,Milestones!$AA$51)&lt;=AsOfDate,EDATE($D17,Milestones!$AA$51)&gt;=SchemeStart,IF($X17=0,$AD17,IF(AND($Z17&lt;&gt;"",EDATE($D17,Milestones!$AA$51)&gt;=$Z17),$AC17,IF(AND($Y17&lt;&gt;"",EDATE($D17,Milestones!$AA$51)&gt;=$Y17),$AB17,$AA17)))=Milestones!$AB$51),UPPER(TEXT(EDATE($D17,Milestones!$AA$51),"dd mmm yy"))&amp;" "&amp;Milestones!$AB$51&amp;" "&amp;IF(AND(Milestones!$AB$51="FT",Milestones!$AA$51=FT_Y5,EDATE($D17,Milestones!$AA$51)&lt;PolicyEff),1,Milestones!$AC$51)&amp;";  ","")&amp;IF(AND(EDATE($D17,Milestones!$AA$52)&lt;=AsOfDate,EDATE($D17,Milestones!$AA$52)&gt;=SchemeStart,IF($X17=0,$AD17,IF(AND($Z17&lt;&gt;"",EDATE($D17,Milestones!$AA$52)&gt;=$Z17),$AC17,IF(AND($Y17&lt;&gt;"",EDATE($D17,Milestones!$AA$52)&gt;=$Y17),$AB17,$AA17)))=Milestones!$AB$52),UPPER(TEXT(EDATE($D17,Milestones!$AA$52),"dd mmm yy"))&amp;" "&amp;Milestones!$AB$52&amp;" "&amp;IF(AND(Milestones!$AB$52="FT",Milestones!$AA$52=FT_Y5,EDATE($D17,Milestones!$AA$52)&lt;PolicyEff),1,Milestones!$AC$52)&amp;";  ","")&amp;IF(AND(EDATE($D17,Milestones!$AA$53)&lt;=AsOfDate,EDATE($D17,Milestones!$AA$53)&gt;=SchemeStart,IF($X17=0,$AD17,IF(AND($Z17&lt;&gt;"",EDATE($D17,Milestones!$AA$53)&gt;=$Z17),$AC17,IF(AND($Y17&lt;&gt;"",EDATE($D17,Milestones!$AA$53)&gt;=$Y17),$AB17,$AA17)))=Milestones!$AB$53),UPPER(TEXT(EDATE($D17,Milestones!$AA$53),"dd mmm yy"))&amp;" "&amp;Milestones!$AB$53&amp;" "&amp;IF(AND(Milestones!$AB$53="FT",Milestones!$AA$53=FT_Y5,EDATE($D17,Milestones!$AA$53)&lt;PolicyEff),1,Milestones!$AC$53)&amp;";  ","")&amp;IF(AND(EDATE($D17,Milestones!$AA$54)&lt;=AsOfDate,EDATE($D17,Milestones!$AA$54)&gt;=SchemeStart,IF($X17=0,$AD17,IF(AND($Z17&lt;&gt;"",EDATE($D17,Milestones!$AA$54)&gt;=$Z17),$AC17,IF(AND($Y17&lt;&gt;"",EDATE($D17,Milestones!$AA$54)&gt;=$Y17),$AB17,$AA17)))=Milestones!$AB$54),UPPER(TEXT(EDATE($D17,Milestones!$AA$54),"dd mmm yy"))&amp;" "&amp;Milestones!$AB$54&amp;" "&amp;IF(AND(Milestones!$AB$54="FT",Milestones!$AA$54=FT_Y5,EDATE($D17,Milestones!$AA$54)&lt;PolicyEff),1,Milestones!$AC$54)&amp;";  ","")&amp;IF(AND(EDATE($D17,Milestones!$AA$55)&lt;=AsOfDate,EDATE($D17,Milestones!$AA$55)&gt;=SchemeStart,IF($X17=0,$AD17,IF(AND($Z17&lt;&gt;"",EDATE($D17,Milestones!$AA$55)&gt;=$Z17),$AC17,IF(AND($Y17&lt;&gt;"",EDATE($D17,Milestones!$AA$55)&gt;=$Y17),$AB17,$AA17)))=Milestones!$AB$55),UPPER(TEXT(EDATE($D17,Milestones!$AA$55),"dd mmm yy"))&amp;" "&amp;Milestones!$AB$55&amp;" "&amp;IF(AND(Milestones!$AB$55="FT",Milestones!$AA$55=FT_Y5,EDATE($D17,Milestones!$AA$55)&lt;PolicyEff),1,Milestones!$AC$55)&amp;";  ",""))</f>
        <v/>
      </c>
      <c r="L17" s="0" t="str">
        <f aca="false">IF(OR($A17="",$D17=""),"",IF(AND(EDATE($D17,Milestones!$AA$56)&lt;=AsOfDate,EDATE($D17,Milestones!$AA$56)&gt;=SchemeStart,IF($X17=0,$AD17,IF(AND($Z17&lt;&gt;"",EDATE($D17,Milestones!$AA$56)&gt;=$Z17),$AC17,IF(AND($Y17&lt;&gt;"",EDATE($D17,Milestones!$AA$56)&gt;=$Y17),$AB17,$AA17)))=Milestones!$AB$56),UPPER(TEXT(EDATE($D17,Milestones!$AA$56),"dd mmm yy"))&amp;" "&amp;Milestones!$AB$56&amp;" "&amp;IF(AND(Milestones!$AB$56="FT",Milestones!$AA$56=FT_Y5,EDATE($D17,Milestones!$AA$56)&lt;PolicyEff),1,Milestones!$AC$56)&amp;";  ","")&amp;IF(AND(EDATE($D17,Milestones!$AA$57)&lt;=AsOfDate,EDATE($D17,Milestones!$AA$57)&gt;=SchemeStart,IF($X17=0,$AD17,IF(AND($Z17&lt;&gt;"",EDATE($D17,Milestones!$AA$57)&gt;=$Z17),$AC17,IF(AND($Y17&lt;&gt;"",EDATE($D17,Milestones!$AA$57)&gt;=$Y17),$AB17,$AA17)))=Milestones!$AB$57),UPPER(TEXT(EDATE($D17,Milestones!$AA$57),"dd mmm yy"))&amp;" "&amp;Milestones!$AB$57&amp;" "&amp;IF(AND(Milestones!$AB$57="FT",Milestones!$AA$57=FT_Y5,EDATE($D17,Milestones!$AA$57)&lt;PolicyEff),1,Milestones!$AC$57)&amp;";  ","")&amp;IF(AND(EDATE($D17,Milestones!$AA$58)&lt;=AsOfDate,EDATE($D17,Milestones!$AA$58)&gt;=SchemeStart,IF($X17=0,$AD17,IF(AND($Z17&lt;&gt;"",EDATE($D17,Milestones!$AA$58)&gt;=$Z17),$AC17,IF(AND($Y17&lt;&gt;"",EDATE($D17,Milestones!$AA$58)&gt;=$Y17),$AB17,$AA17)))=Milestones!$AB$58),UPPER(TEXT(EDATE($D17,Milestones!$AA$58),"dd mmm yy"))&amp;" "&amp;Milestones!$AB$58&amp;" "&amp;IF(AND(Milestones!$AB$58="FT",Milestones!$AA$58=FT_Y5,EDATE($D17,Milestones!$AA$58)&lt;PolicyEff),1,Milestones!$AC$58)&amp;";  ","")&amp;IF(AND(EDATE($D17,Milestones!$AA$59)&lt;=AsOfDate,EDATE($D17,Milestones!$AA$59)&gt;=SchemeStart,IF($X17=0,$AD17,IF(AND($Z17&lt;&gt;"",EDATE($D17,Milestones!$AA$59)&gt;=$Z17),$AC17,IF(AND($Y17&lt;&gt;"",EDATE($D17,Milestones!$AA$59)&gt;=$Y17),$AB17,$AA17)))=Milestones!$AB$59),UPPER(TEXT(EDATE($D17,Milestones!$AA$59),"dd mmm yy"))&amp;" "&amp;Milestones!$AB$59&amp;" "&amp;IF(AND(Milestones!$AB$59="FT",Milestones!$AA$59=FT_Y5,EDATE($D17,Milestones!$AA$59)&lt;PolicyEff),1,Milestones!$AC$59)&amp;";  ","")&amp;IF(AND(EDATE($D17,Milestones!$AA$60)&lt;=AsOfDate,EDATE($D17,Milestones!$AA$60)&gt;=SchemeStart,IF($X17=0,$AD17,IF(AND($Z17&lt;&gt;"",EDATE($D17,Milestones!$AA$60)&gt;=$Z17),$AC17,IF(AND($Y17&lt;&gt;"",EDATE($D17,Milestones!$AA$60)&gt;=$Y17),$AB17,$AA17)))=Milestones!$AB$60),UPPER(TEXT(EDATE($D17,Milestones!$AA$60),"dd mmm yy"))&amp;" "&amp;Milestones!$AB$60&amp;" "&amp;IF(AND(Milestones!$AB$60="FT",Milestones!$AA$60=FT_Y5,EDATE($D17,Milestones!$AA$60)&lt;PolicyEff),1,Milestones!$AC$60)&amp;";  ","")&amp;IF(AND(EDATE($D17,Milestones!$AA$61)&lt;=AsOfDate,EDATE($D17,Milestones!$AA$61)&gt;=SchemeStart,IF($X17=0,$AD17,IF(AND($Z17&lt;&gt;"",EDATE($D17,Milestones!$AA$61)&gt;=$Z17),$AC17,IF(AND($Y17&lt;&gt;"",EDATE($D17,Milestones!$AA$61)&gt;=$Y17),$AB17,$AA17)))=Milestones!$AB$61),UPPER(TEXT(EDATE($D17,Milestones!$AA$61),"dd mmm yy"))&amp;" "&amp;Milestones!$AB$61&amp;" "&amp;IF(AND(Milestones!$AB$61="FT",Milestones!$AA$61=FT_Y5,EDATE($D17,Milestones!$AA$61)&lt;PolicyEff),1,Milestones!$AC$61)&amp;";  ","")&amp;IF(AND(EDATE($D17,Milestones!$AA$62)&lt;=AsOfDate,EDATE($D17,Milestones!$AA$62)&gt;=SchemeStart,IF($X17=0,$AD17,IF(AND($Z17&lt;&gt;"",EDATE($D17,Milestones!$AA$62)&gt;=$Z17),$AC17,IF(AND($Y17&lt;&gt;"",EDATE($D17,Milestones!$AA$62)&gt;=$Y17),$AB17,$AA17)))=Milestones!$AB$62),UPPER(TEXT(EDATE($D17,Milestones!$AA$62),"dd mmm yy"))&amp;" "&amp;Milestones!$AB$62&amp;" "&amp;IF(AND(Milestones!$AB$62="FT",Milestones!$AA$62=FT_Y5,EDATE($D17,Milestones!$AA$62)&lt;PolicyEff),1,Milestones!$AC$62)&amp;";  ","")&amp;IF(AND(EDATE($D17,Milestones!$AA$63)&lt;=AsOfDate,EDATE($D17,Milestones!$AA$63)&gt;=SchemeStart,IF($X17=0,$AD17,IF(AND($Z17&lt;&gt;"",EDATE($D17,Milestones!$AA$63)&gt;=$Z17),$AC17,IF(AND($Y17&lt;&gt;"",EDATE($D17,Milestones!$AA$63)&gt;=$Y17),$AB17,$AA17)))=Milestones!$AB$63),UPPER(TEXT(EDATE($D17,Milestones!$AA$63),"dd mmm yy"))&amp;" "&amp;Milestones!$AB$63&amp;" "&amp;IF(AND(Milestones!$AB$63="FT",Milestones!$AA$63=FT_Y5,EDATE($D17,Milestones!$AA$63)&lt;PolicyEff),1,Milestones!$AC$63)&amp;";  ","")&amp;IF(AND(EDATE($D17,Milestones!$AA$64)&lt;=AsOfDate,EDATE($D17,Milestones!$AA$64)&gt;=SchemeStart,IF($X17=0,$AD17,IF(AND($Z17&lt;&gt;"",EDATE($D17,Milestones!$AA$64)&gt;=$Z17),$AC17,IF(AND($Y17&lt;&gt;"",EDATE($D17,Milestones!$AA$64)&gt;=$Y17),$AB17,$AA17)))=Milestones!$AB$64),UPPER(TEXT(EDATE($D17,Milestones!$AA$64),"dd mmm yy"))&amp;" "&amp;Milestones!$AB$64&amp;" "&amp;IF(AND(Milestones!$AB$64="FT",Milestones!$AA$64=FT_Y5,EDATE($D17,Milestones!$AA$64)&lt;PolicyEff),1,Milestones!$AC$64)&amp;";  ","")&amp;IF(AND(EDATE($D17,Milestones!$AA$65)&lt;=AsOfDate,EDATE($D17,Milestones!$AA$65)&gt;=SchemeStart,IF($X17=0,$AD17,IF(AND($Z17&lt;&gt;"",EDATE($D17,Milestones!$AA$65)&gt;=$Z17),$AC17,IF(AND($Y17&lt;&gt;"",EDATE($D17,Milestones!$AA$65)&gt;=$Y17),$AB17,$AA17)))=Milestones!$AB$65),UPPER(TEXT(EDATE($D17,Milestones!$AA$65),"dd mmm yy"))&amp;" "&amp;Milestones!$AB$65&amp;" "&amp;IF(AND(Milestones!$AB$65="FT",Milestones!$AA$65=FT_Y5,EDATE($D17,Milestones!$AA$65)&lt;PolicyEff),1,Milestones!$AC$65)&amp;";  ","")&amp;IF(AND(EDATE($D17,Milestones!$AA$66)&lt;=AsOfDate,EDATE($D17,Milestones!$AA$66)&gt;=SchemeStart,IF($X17=0,$AD17,IF(AND($Z17&lt;&gt;"",EDATE($D17,Milestones!$AA$66)&gt;=$Z17),$AC17,IF(AND($Y17&lt;&gt;"",EDATE($D17,Milestones!$AA$66)&gt;=$Y17),$AB17,$AA17)))=Milestones!$AB$66),UPPER(TEXT(EDATE($D17,Milestones!$AA$66),"dd mmm yy"))&amp;" "&amp;Milestones!$AB$66&amp;" "&amp;IF(AND(Milestones!$AB$66="FT",Milestones!$AA$66=FT_Y5,EDATE($D17,Milestones!$AA$66)&lt;PolicyEff),1,Milestones!$AC$66)&amp;";  ","")&amp;IF(AND(EDATE($D17,Milestones!$AA$67)&lt;=AsOfDate,EDATE($D17,Milestones!$AA$67)&gt;=SchemeStart,IF($X17=0,$AD17,IF(AND($Z17&lt;&gt;"",EDATE($D17,Milestones!$AA$67)&gt;=$Z17),$AC17,IF(AND($Y17&lt;&gt;"",EDATE($D17,Milestones!$AA$67)&gt;=$Y17),$AB17,$AA17)))=Milestones!$AB$67),UPPER(TEXT(EDATE($D17,Milestones!$AA$67),"dd mmm yy"))&amp;" "&amp;Milestones!$AB$67&amp;" "&amp;IF(AND(Milestones!$AB$67="FT",Milestones!$AA$67=FT_Y5,EDATE($D17,Milestones!$AA$67)&lt;PolicyEff),1,Milestones!$AC$67)&amp;";  ",""))</f>
        <v/>
      </c>
      <c r="M17" s="0" t="str">
        <f aca="false">IF(OR($A17="",$D17=""),"",IF(AND(EDATE($D17,Milestones!$AA$68)&lt;=AsOfDate,EDATE($D17,Milestones!$AA$68)&gt;=SchemeStart,IF($X17=0,$AD17,IF(AND($Z17&lt;&gt;"",EDATE($D17,Milestones!$AA$68)&gt;=$Z17),$AC17,IF(AND($Y17&lt;&gt;"",EDATE($D17,Milestones!$AA$68)&gt;=$Y17),$AB17,$AA17)))=Milestones!$AB$68),UPPER(TEXT(EDATE($D17,Milestones!$AA$68),"dd mmm yy"))&amp;" "&amp;Milestones!$AB$68&amp;" "&amp;IF(AND(Milestones!$AB$68="FT",Milestones!$AA$68=FT_Y5,EDATE($D17,Milestones!$AA$68)&lt;PolicyEff),1,Milestones!$AC$68)&amp;";  ","")&amp;IF(AND(EDATE($D17,Milestones!$AA$69)&lt;=AsOfDate,EDATE($D17,Milestones!$AA$69)&gt;=SchemeStart,IF($X17=0,$AD17,IF(AND($Z17&lt;&gt;"",EDATE($D17,Milestones!$AA$69)&gt;=$Z17),$AC17,IF(AND($Y17&lt;&gt;"",EDATE($D17,Milestones!$AA$69)&gt;=$Y17),$AB17,$AA17)))=Milestones!$AB$69),UPPER(TEXT(EDATE($D17,Milestones!$AA$69),"dd mmm yy"))&amp;" "&amp;Milestones!$AB$69&amp;" "&amp;IF(AND(Milestones!$AB$69="FT",Milestones!$AA$69=FT_Y5,EDATE($D17,Milestones!$AA$69)&lt;PolicyEff),1,Milestones!$AC$69)&amp;";  ","")&amp;IF(AND(EDATE($D17,Milestones!$AA$70)&lt;=AsOfDate,EDATE($D17,Milestones!$AA$70)&gt;=SchemeStart,IF($X17=0,$AD17,IF(AND($Z17&lt;&gt;"",EDATE($D17,Milestones!$AA$70)&gt;=$Z17),$AC17,IF(AND($Y17&lt;&gt;"",EDATE($D17,Milestones!$AA$70)&gt;=$Y17),$AB17,$AA17)))=Milestones!$AB$70),UPPER(TEXT(EDATE($D17,Milestones!$AA$70),"dd mmm yy"))&amp;" "&amp;Milestones!$AB$70&amp;" "&amp;IF(AND(Milestones!$AB$70="FT",Milestones!$AA$70=FT_Y5,EDATE($D17,Milestones!$AA$70)&lt;PolicyEff),1,Milestones!$AC$70)&amp;";  ","")&amp;IF(AND(EDATE($D17,Milestones!$AA$71)&lt;=AsOfDate,EDATE($D17,Milestones!$AA$71)&gt;=SchemeStart,IF($X17=0,$AD17,IF(AND($Z17&lt;&gt;"",EDATE($D17,Milestones!$AA$71)&gt;=$Z17),$AC17,IF(AND($Y17&lt;&gt;"",EDATE($D17,Milestones!$AA$71)&gt;=$Y17),$AB17,$AA17)))=Milestones!$AB$71),UPPER(TEXT(EDATE($D17,Milestones!$AA$71),"dd mmm yy"))&amp;" "&amp;Milestones!$AB$71&amp;" "&amp;IF(AND(Milestones!$AB$71="FT",Milestones!$AA$71=FT_Y5,EDATE($D17,Milestones!$AA$71)&lt;PolicyEff),1,Milestones!$AC$71)&amp;";  ","")&amp;IF(AND(EDATE($D17,Milestones!$AA$72)&lt;=AsOfDate,EDATE($D17,Milestones!$AA$72)&gt;=SchemeStart,IF($X17=0,$AD17,IF(AND($Z17&lt;&gt;"",EDATE($D17,Milestones!$AA$72)&gt;=$Z17),$AC17,IF(AND($Y17&lt;&gt;"",EDATE($D17,Milestones!$AA$72)&gt;=$Y17),$AB17,$AA17)))=Milestones!$AB$72),UPPER(TEXT(EDATE($D17,Milestones!$AA$72),"dd mmm yy"))&amp;" "&amp;Milestones!$AB$72&amp;" "&amp;IF(AND(Milestones!$AB$72="FT",Milestones!$AA$72=FT_Y5,EDATE($D17,Milestones!$AA$72)&lt;PolicyEff),1,Milestones!$AC$72)&amp;";  ","")&amp;IF(AND(EDATE($D17,Milestones!$AA$73)&lt;=AsOfDate,EDATE($D17,Milestones!$AA$73)&gt;=SchemeStart,IF($X17=0,$AD17,IF(AND($Z17&lt;&gt;"",EDATE($D17,Milestones!$AA$73)&gt;=$Z17),$AC17,IF(AND($Y17&lt;&gt;"",EDATE($D17,Milestones!$AA$73)&gt;=$Y17),$AB17,$AA17)))=Milestones!$AB$73),UPPER(TEXT(EDATE($D17,Milestones!$AA$73),"dd mmm yy"))&amp;" "&amp;Milestones!$AB$73&amp;" "&amp;IF(AND(Milestones!$AB$73="FT",Milestones!$AA$73=FT_Y5,EDATE($D17,Milestones!$AA$73)&lt;PolicyEff),1,Milestones!$AC$73)&amp;";  ","")&amp;IF(AND(EDATE($D17,Milestones!$AA$74)&lt;=AsOfDate,EDATE($D17,Milestones!$AA$74)&gt;=SchemeStart,IF($X17=0,$AD17,IF(AND($Z17&lt;&gt;"",EDATE($D17,Milestones!$AA$74)&gt;=$Z17),$AC17,IF(AND($Y17&lt;&gt;"",EDATE($D17,Milestones!$AA$74)&gt;=$Y17),$AB17,$AA17)))=Milestones!$AB$74),UPPER(TEXT(EDATE($D17,Milestones!$AA$74),"dd mmm yy"))&amp;" "&amp;Milestones!$AB$74&amp;" "&amp;IF(AND(Milestones!$AB$74="FT",Milestones!$AA$74=FT_Y5,EDATE($D17,Milestones!$AA$74)&lt;PolicyEff),1,Milestones!$AC$74)&amp;";  ","")&amp;IF(AND(EDATE($D17,Milestones!$AA$75)&lt;=AsOfDate,EDATE($D17,Milestones!$AA$75)&gt;=SchemeStart,IF($X17=0,$AD17,IF(AND($Z17&lt;&gt;"",EDATE($D17,Milestones!$AA$75)&gt;=$Z17),$AC17,IF(AND($Y17&lt;&gt;"",EDATE($D17,Milestones!$AA$75)&gt;=$Y17),$AB17,$AA17)))=Milestones!$AB$75),UPPER(TEXT(EDATE($D17,Milestones!$AA$75),"dd mmm yy"))&amp;" "&amp;Milestones!$AB$75&amp;" "&amp;IF(AND(Milestones!$AB$75="FT",Milestones!$AA$75=FT_Y5,EDATE($D17,Milestones!$AA$75)&lt;PolicyEff),1,Milestones!$AC$75)&amp;";  ","")&amp;IF(AND(EDATE($D17,Milestones!$AA$76)&lt;=AsOfDate,EDATE($D17,Milestones!$AA$76)&gt;=SchemeStart,IF($X17=0,$AD17,IF(AND($Z17&lt;&gt;"",EDATE($D17,Milestones!$AA$76)&gt;=$Z17),$AC17,IF(AND($Y17&lt;&gt;"",EDATE($D17,Milestones!$AA$76)&gt;=$Y17),$AB17,$AA17)))=Milestones!$AB$76),UPPER(TEXT(EDATE($D17,Milestones!$AA$76),"dd mmm yy"))&amp;" "&amp;Milestones!$AB$76&amp;" "&amp;IF(AND(Milestones!$AB$76="FT",Milestones!$AA$76=FT_Y5,EDATE($D17,Milestones!$AA$76)&lt;PolicyEff),1,Milestones!$AC$76)&amp;";  ","")&amp;IF(AND(EDATE($D17,Milestones!$AA$77)&lt;=AsOfDate,EDATE($D17,Milestones!$AA$77)&gt;=SchemeStart,IF($X17=0,$AD17,IF(AND($Z17&lt;&gt;"",EDATE($D17,Milestones!$AA$77)&gt;=$Z17),$AC17,IF(AND($Y17&lt;&gt;"",EDATE($D17,Milestones!$AA$77)&gt;=$Y17),$AB17,$AA17)))=Milestones!$AB$77),UPPER(TEXT(EDATE($D17,Milestones!$AA$77),"dd mmm yy"))&amp;" "&amp;Milestones!$AB$77&amp;" "&amp;IF(AND(Milestones!$AB$77="FT",Milestones!$AA$77=FT_Y5,EDATE($D17,Milestones!$AA$77)&lt;PolicyEff),1,Milestones!$AC$77)&amp;";  ","")&amp;IF(AND(EDATE($D17,Milestones!$AA$78)&lt;=AsOfDate,EDATE($D17,Milestones!$AA$78)&gt;=SchemeStart,IF($X17=0,$AD17,IF(AND($Z17&lt;&gt;"",EDATE($D17,Milestones!$AA$78)&gt;=$Z17),$AC17,IF(AND($Y17&lt;&gt;"",EDATE($D17,Milestones!$AA$78)&gt;=$Y17),$AB17,$AA17)))=Milestones!$AB$78),UPPER(TEXT(EDATE($D17,Milestones!$AA$78),"dd mmm yy"))&amp;" "&amp;Milestones!$AB$78&amp;" "&amp;IF(AND(Milestones!$AB$78="FT",Milestones!$AA$78=FT_Y5,EDATE($D17,Milestones!$AA$78)&lt;PolicyEff),1,Milestones!$AC$78)&amp;";  ","")&amp;IF(AND(EDATE($D17,Milestones!$AA$79)&lt;=AsOfDate,EDATE($D17,Milestones!$AA$79)&gt;=SchemeStart,IF($X17=0,$AD17,IF(AND($Z17&lt;&gt;"",EDATE($D17,Milestones!$AA$79)&gt;=$Z17),$AC17,IF(AND($Y17&lt;&gt;"",EDATE($D17,Milestones!$AA$79)&gt;=$Y17),$AB17,$AA17)))=Milestones!$AB$79),UPPER(TEXT(EDATE($D17,Milestones!$AA$79),"dd mmm yy"))&amp;" "&amp;Milestones!$AB$79&amp;" "&amp;IF(AND(Milestones!$AB$79="FT",Milestones!$AA$79=FT_Y5,EDATE($D17,Milestones!$AA$79)&lt;PolicyEff),1,Milestones!$AC$79)&amp;";  ",""))</f>
        <v/>
      </c>
      <c r="N17" s="0" t="str">
        <f aca="false">IF(OR($A17="",$D17=""),"",IF(AND(EDATE($D17,Milestones!$AA$80)&lt;=AsOfDate,EDATE($D17,Milestones!$AA$80)&gt;=SchemeStart,IF($X17=0,$AD17,IF(AND($Z17&lt;&gt;"",EDATE($D17,Milestones!$AA$80)&gt;=$Z17),$AC17,IF(AND($Y17&lt;&gt;"",EDATE($D17,Milestones!$AA$80)&gt;=$Y17),$AB17,$AA17)))=Milestones!$AB$80),UPPER(TEXT(EDATE($D17,Milestones!$AA$80),"dd mmm yy"))&amp;" "&amp;Milestones!$AB$80&amp;" "&amp;IF(AND(Milestones!$AB$80="FT",Milestones!$AA$80=FT_Y5,EDATE($D17,Milestones!$AA$80)&lt;PolicyEff),1,Milestones!$AC$80)&amp;";  ","")&amp;IF(AND(EDATE($D17,Milestones!$AA$81)&lt;=AsOfDate,EDATE($D17,Milestones!$AA$81)&gt;=SchemeStart,IF($X17=0,$AD17,IF(AND($Z17&lt;&gt;"",EDATE($D17,Milestones!$AA$81)&gt;=$Z17),$AC17,IF(AND($Y17&lt;&gt;"",EDATE($D17,Milestones!$AA$81)&gt;=$Y17),$AB17,$AA17)))=Milestones!$AB$81),UPPER(TEXT(EDATE($D17,Milestones!$AA$81),"dd mmm yy"))&amp;" "&amp;Milestones!$AB$81&amp;" "&amp;IF(AND(Milestones!$AB$81="FT",Milestones!$AA$81=FT_Y5,EDATE($D17,Milestones!$AA$81)&lt;PolicyEff),1,Milestones!$AC$81)&amp;";  ","")&amp;IF(AND(EDATE($D17,Milestones!$AA$82)&lt;=AsOfDate,EDATE($D17,Milestones!$AA$82)&gt;=SchemeStart,IF($X17=0,$AD17,IF(AND($Z17&lt;&gt;"",EDATE($D17,Milestones!$AA$82)&gt;=$Z17),$AC17,IF(AND($Y17&lt;&gt;"",EDATE($D17,Milestones!$AA$82)&gt;=$Y17),$AB17,$AA17)))=Milestones!$AB$82),UPPER(TEXT(EDATE($D17,Milestones!$AA$82),"dd mmm yy"))&amp;" "&amp;Milestones!$AB$82&amp;" "&amp;IF(AND(Milestones!$AB$82="FT",Milestones!$AA$82=FT_Y5,EDATE($D17,Milestones!$AA$82)&lt;PolicyEff),1,Milestones!$AC$82)&amp;";  ","")&amp;IF(AND(EDATE($D17,Milestones!$AA$83)&lt;=AsOfDate,EDATE($D17,Milestones!$AA$83)&gt;=SchemeStart,IF($X17=0,$AD17,IF(AND($Z17&lt;&gt;"",EDATE($D17,Milestones!$AA$83)&gt;=$Z17),$AC17,IF(AND($Y17&lt;&gt;"",EDATE($D17,Milestones!$AA$83)&gt;=$Y17),$AB17,$AA17)))=Milestones!$AB$83),UPPER(TEXT(EDATE($D17,Milestones!$AA$83),"dd mmm yy"))&amp;" "&amp;Milestones!$AB$83&amp;" "&amp;IF(AND(Milestones!$AB$83="FT",Milestones!$AA$83=FT_Y5,EDATE($D17,Milestones!$AA$83)&lt;PolicyEff),1,Milestones!$AC$83)&amp;";  ","")&amp;IF(AND(EDATE($D17,Milestones!$AA$84)&lt;=AsOfDate,EDATE($D17,Milestones!$AA$84)&gt;=SchemeStart,IF($X17=0,$AD17,IF(AND($Z17&lt;&gt;"",EDATE($D17,Milestones!$AA$84)&gt;=$Z17),$AC17,IF(AND($Y17&lt;&gt;"",EDATE($D17,Milestones!$AA$84)&gt;=$Y17),$AB17,$AA17)))=Milestones!$AB$84),UPPER(TEXT(EDATE($D17,Milestones!$AA$84),"dd mmm yy"))&amp;" "&amp;Milestones!$AB$84&amp;" "&amp;IF(AND(Milestones!$AB$84="FT",Milestones!$AA$84=FT_Y5,EDATE($D17,Milestones!$AA$84)&lt;PolicyEff),1,Milestones!$AC$84)&amp;";  ","")&amp;IF(AND(EDATE($D17,Milestones!$AA$85)&lt;=AsOfDate,EDATE($D17,Milestones!$AA$85)&gt;=SchemeStart,IF($X17=0,$AD17,IF(AND($Z17&lt;&gt;"",EDATE($D17,Milestones!$AA$85)&gt;=$Z17),$AC17,IF(AND($Y17&lt;&gt;"",EDATE($D17,Milestones!$AA$85)&gt;=$Y17),$AB17,$AA17)))=Milestones!$AB$85),UPPER(TEXT(EDATE($D17,Milestones!$AA$85),"dd mmm yy"))&amp;" "&amp;Milestones!$AB$85&amp;" "&amp;IF(AND(Milestones!$AB$85="FT",Milestones!$AA$85=FT_Y5,EDATE($D17,Milestones!$AA$85)&lt;PolicyEff),1,Milestones!$AC$85)&amp;";  ","")&amp;IF(AND(EDATE($D17,Milestones!$AA$86)&lt;=AsOfDate,EDATE($D17,Milestones!$AA$86)&gt;=SchemeStart,IF($X17=0,$AD17,IF(AND($Z17&lt;&gt;"",EDATE($D17,Milestones!$AA$86)&gt;=$Z17),$AC17,IF(AND($Y17&lt;&gt;"",EDATE($D17,Milestones!$AA$86)&gt;=$Y17),$AB17,$AA17)))=Milestones!$AB$86),UPPER(TEXT(EDATE($D17,Milestones!$AA$86),"dd mmm yy"))&amp;" "&amp;Milestones!$AB$86&amp;" "&amp;IF(AND(Milestones!$AB$86="FT",Milestones!$AA$86=FT_Y5,EDATE($D17,Milestones!$AA$86)&lt;PolicyEff),1,Milestones!$AC$86)&amp;";  ","")&amp;IF(AND(EDATE($D17,Milestones!$AA$87)&lt;=AsOfDate,EDATE($D17,Milestones!$AA$87)&gt;=SchemeStart,IF($X17=0,$AD17,IF(AND($Z17&lt;&gt;"",EDATE($D17,Milestones!$AA$87)&gt;=$Z17),$AC17,IF(AND($Y17&lt;&gt;"",EDATE($D17,Milestones!$AA$87)&gt;=$Y17),$AB17,$AA17)))=Milestones!$AB$87),UPPER(TEXT(EDATE($D17,Milestones!$AA$87),"dd mmm yy"))&amp;" "&amp;Milestones!$AB$87&amp;" "&amp;IF(AND(Milestones!$AB$87="FT",Milestones!$AA$87=FT_Y5,EDATE($D17,Milestones!$AA$87)&lt;PolicyEff),1,Milestones!$AC$87)&amp;";  ","")&amp;IF(AND(EDATE($D17,Milestones!$AA$88)&lt;=AsOfDate,EDATE($D17,Milestones!$AA$88)&gt;=SchemeStart,IF($X17=0,$AD17,IF(AND($Z17&lt;&gt;"",EDATE($D17,Milestones!$AA$88)&gt;=$Z17),$AC17,IF(AND($Y17&lt;&gt;"",EDATE($D17,Milestones!$AA$88)&gt;=$Y17),$AB17,$AA17)))=Milestones!$AB$88),UPPER(TEXT(EDATE($D17,Milestones!$AA$88),"dd mmm yy"))&amp;" "&amp;Milestones!$AB$88&amp;" "&amp;IF(AND(Milestones!$AB$88="FT",Milestones!$AA$88=FT_Y5,EDATE($D17,Milestones!$AA$88)&lt;PolicyEff),1,Milestones!$AC$88)&amp;";  ","")&amp;IF(AND(EDATE($D17,Milestones!$AA$89)&lt;=AsOfDate,EDATE($D17,Milestones!$AA$89)&gt;=SchemeStart,IF($X17=0,$AD17,IF(AND($Z17&lt;&gt;"",EDATE($D17,Milestones!$AA$89)&gt;=$Z17),$AC17,IF(AND($Y17&lt;&gt;"",EDATE($D17,Milestones!$AA$89)&gt;=$Y17),$AB17,$AA17)))=Milestones!$AB$89),UPPER(TEXT(EDATE($D17,Milestones!$AA$89),"dd mmm yy"))&amp;" "&amp;Milestones!$AB$89&amp;" "&amp;IF(AND(Milestones!$AB$89="FT",Milestones!$AA$89=FT_Y5,EDATE($D17,Milestones!$AA$89)&lt;PolicyEff),1,Milestones!$AC$89)&amp;";  ","")&amp;IF(AND(EDATE($D17,Milestones!$AA$90)&lt;=AsOfDate,EDATE($D17,Milestones!$AA$90)&gt;=SchemeStart,IF($X17=0,$AD17,IF(AND($Z17&lt;&gt;"",EDATE($D17,Milestones!$AA$90)&gt;=$Z17),$AC17,IF(AND($Y17&lt;&gt;"",EDATE($D17,Milestones!$AA$90)&gt;=$Y17),$AB17,$AA17)))=Milestones!$AB$90),UPPER(TEXT(EDATE($D17,Milestones!$AA$90),"dd mmm yy"))&amp;" "&amp;Milestones!$AB$90&amp;" "&amp;IF(AND(Milestones!$AB$90="FT",Milestones!$AA$90=FT_Y5,EDATE($D17,Milestones!$AA$90)&lt;PolicyEff),1,Milestones!$AC$90)&amp;";  ","")&amp;IF(AND(EDATE($D17,Milestones!$AA$91)&lt;=AsOfDate,EDATE($D17,Milestones!$AA$91)&gt;=SchemeStart,IF($X17=0,$AD17,IF(AND($Z17&lt;&gt;"",EDATE($D17,Milestones!$AA$91)&gt;=$Z17),$AC17,IF(AND($Y17&lt;&gt;"",EDATE($D17,Milestones!$AA$91)&gt;=$Y17),$AB17,$AA17)))=Milestones!$AB$91),UPPER(TEXT(EDATE($D17,Milestones!$AA$91),"dd mmm yy"))&amp;" "&amp;Milestones!$AB$91&amp;" "&amp;IF(AND(Milestones!$AB$91="FT",Milestones!$AA$91=FT_Y5,EDATE($D17,Milestones!$AA$91)&lt;PolicyEff),1,Milestones!$AC$91)&amp;";  ",""))</f>
        <v/>
      </c>
      <c r="O17" s="0" t="str">
        <f aca="false">IF(OR($A17="",$D17=""),"",IF(AND(EDATE($D17,Milestones!$AA$92)&lt;=AsOfDate,EDATE($D17,Milestones!$AA$92)&gt;=SchemeStart,IF($X17=0,$AD17,IF(AND($Z17&lt;&gt;"",EDATE($D17,Milestones!$AA$92)&gt;=$Z17),$AC17,IF(AND($Y17&lt;&gt;"",EDATE($D17,Milestones!$AA$92)&gt;=$Y17),$AB17,$AA17)))=Milestones!$AB$92),UPPER(TEXT(EDATE($D17,Milestones!$AA$92),"dd mmm yy"))&amp;" "&amp;Milestones!$AB$92&amp;" "&amp;IF(AND(Milestones!$AB$92="FT",Milestones!$AA$92=FT_Y5,EDATE($D17,Milestones!$AA$92)&lt;PolicyEff),1,Milestones!$AC$92)&amp;";  ","")&amp;IF(AND(EDATE($D17,Milestones!$AA$93)&lt;=AsOfDate,EDATE($D17,Milestones!$AA$93)&gt;=SchemeStart,IF($X17=0,$AD17,IF(AND($Z17&lt;&gt;"",EDATE($D17,Milestones!$AA$93)&gt;=$Z17),$AC17,IF(AND($Y17&lt;&gt;"",EDATE($D17,Milestones!$AA$93)&gt;=$Y17),$AB17,$AA17)))=Milestones!$AB$93),UPPER(TEXT(EDATE($D17,Milestones!$AA$93),"dd mmm yy"))&amp;" "&amp;Milestones!$AB$93&amp;" "&amp;IF(AND(Milestones!$AB$93="FT",Milestones!$AA$93=FT_Y5,EDATE($D17,Milestones!$AA$93)&lt;PolicyEff),1,Milestones!$AC$93)&amp;";  ","")&amp;IF(AND(EDATE($D17,Milestones!$AA$94)&lt;=AsOfDate,EDATE($D17,Milestones!$AA$94)&gt;=SchemeStart,IF($X17=0,$AD17,IF(AND($Z17&lt;&gt;"",EDATE($D17,Milestones!$AA$94)&gt;=$Z17),$AC17,IF(AND($Y17&lt;&gt;"",EDATE($D17,Milestones!$AA$94)&gt;=$Y17),$AB17,$AA17)))=Milestones!$AB$94),UPPER(TEXT(EDATE($D17,Milestones!$AA$94),"dd mmm yy"))&amp;" "&amp;Milestones!$AB$94&amp;" "&amp;IF(AND(Milestones!$AB$94="FT",Milestones!$AA$94=FT_Y5,EDATE($D17,Milestones!$AA$94)&lt;PolicyEff),1,Milestones!$AC$94)&amp;";  ","")&amp;IF(AND(EDATE($D17,Milestones!$AA$95)&lt;=AsOfDate,EDATE($D17,Milestones!$AA$95)&gt;=SchemeStart,IF($X17=0,$AD17,IF(AND($Z17&lt;&gt;"",EDATE($D17,Milestones!$AA$95)&gt;=$Z17),$AC17,IF(AND($Y17&lt;&gt;"",EDATE($D17,Milestones!$AA$95)&gt;=$Y17),$AB17,$AA17)))=Milestones!$AB$95),UPPER(TEXT(EDATE($D17,Milestones!$AA$95),"dd mmm yy"))&amp;" "&amp;Milestones!$AB$95&amp;" "&amp;IF(AND(Milestones!$AB$95="FT",Milestones!$AA$95=FT_Y5,EDATE($D17,Milestones!$AA$95)&lt;PolicyEff),1,Milestones!$AC$95)&amp;";  ","")&amp;IF(AND(EDATE($D17,Milestones!$AA$96)&lt;=AsOfDate,EDATE($D17,Milestones!$AA$96)&gt;=SchemeStart,IF($X17=0,$AD17,IF(AND($Z17&lt;&gt;"",EDATE($D17,Milestones!$AA$96)&gt;=$Z17),$AC17,IF(AND($Y17&lt;&gt;"",EDATE($D17,Milestones!$AA$96)&gt;=$Y17),$AB17,$AA17)))=Milestones!$AB$96),UPPER(TEXT(EDATE($D17,Milestones!$AA$96),"dd mmm yy"))&amp;" "&amp;Milestones!$AB$96&amp;" "&amp;IF(AND(Milestones!$AB$96="FT",Milestones!$AA$96=FT_Y5,EDATE($D17,Milestones!$AA$96)&lt;PolicyEff),1,Milestones!$AC$96)&amp;";  ","")&amp;IF(AND(EDATE($D17,Milestones!$AA$97)&lt;=AsOfDate,EDATE($D17,Milestones!$AA$97)&gt;=SchemeStart,IF($X17=0,$AD17,IF(AND($Z17&lt;&gt;"",EDATE($D17,Milestones!$AA$97)&gt;=$Z17),$AC17,IF(AND($Y17&lt;&gt;"",EDATE($D17,Milestones!$AA$97)&gt;=$Y17),$AB17,$AA17)))=Milestones!$AB$97),UPPER(TEXT(EDATE($D17,Milestones!$AA$97),"dd mmm yy"))&amp;" "&amp;Milestones!$AB$97&amp;" "&amp;IF(AND(Milestones!$AB$97="FT",Milestones!$AA$97=FT_Y5,EDATE($D17,Milestones!$AA$97)&lt;PolicyEff),1,Milestones!$AC$97)&amp;";  ","")&amp;IF(AND(EDATE($D17,Milestones!$AA$98)&lt;=AsOfDate,EDATE($D17,Milestones!$AA$98)&gt;=SchemeStart,IF($X17=0,$AD17,IF(AND($Z17&lt;&gt;"",EDATE($D17,Milestones!$AA$98)&gt;=$Z17),$AC17,IF(AND($Y17&lt;&gt;"",EDATE($D17,Milestones!$AA$98)&gt;=$Y17),$AB17,$AA17)))=Milestones!$AB$98),UPPER(TEXT(EDATE($D17,Milestones!$AA$98),"dd mmm yy"))&amp;" "&amp;Milestones!$AB$98&amp;" "&amp;IF(AND(Milestones!$AB$98="FT",Milestones!$AA$98=FT_Y5,EDATE($D17,Milestones!$AA$98)&lt;PolicyEff),1,Milestones!$AC$98)&amp;";  ","")&amp;IF(AND(EDATE($D17,Milestones!$AA$99)&lt;=AsOfDate,EDATE($D17,Milestones!$AA$99)&gt;=SchemeStart,IF($X17=0,$AD17,IF(AND($Z17&lt;&gt;"",EDATE($D17,Milestones!$AA$99)&gt;=$Z17),$AC17,IF(AND($Y17&lt;&gt;"",EDATE($D17,Milestones!$AA$99)&gt;=$Y17),$AB17,$AA17)))=Milestones!$AB$99),UPPER(TEXT(EDATE($D17,Milestones!$AA$99),"dd mmm yy"))&amp;" "&amp;Milestones!$AB$99&amp;" "&amp;IF(AND(Milestones!$AB$99="FT",Milestones!$AA$99=FT_Y5,EDATE($D17,Milestones!$AA$99)&lt;PolicyEff),1,Milestones!$AC$99)&amp;";  ","")&amp;IF(AND(EDATE($D17,Milestones!$AA$100)&lt;=AsOfDate,EDATE($D17,Milestones!$AA$100)&gt;=SchemeStart,IF($X17=0,$AD17,IF(AND($Z17&lt;&gt;"",EDATE($D17,Milestones!$AA$100)&gt;=$Z17),$AC17,IF(AND($Y17&lt;&gt;"",EDATE($D17,Milestones!$AA$100)&gt;=$Y17),$AB17,$AA17)))=Milestones!$AB$100),UPPER(TEXT(EDATE($D17,Milestones!$AA$100),"dd mmm yy"))&amp;" "&amp;Milestones!$AB$100&amp;" "&amp;IF(AND(Milestones!$AB$100="FT",Milestones!$AA$100=FT_Y5,EDATE($D17,Milestones!$AA$100)&lt;PolicyEff),1,Milestones!$AC$100)&amp;";  ","")&amp;IF(AND(EDATE($D17,Milestones!$AA$101)&lt;=AsOfDate,EDATE($D17,Milestones!$AA$101)&gt;=SchemeStart,IF($X17=0,$AD17,IF(AND($Z17&lt;&gt;"",EDATE($D17,Milestones!$AA$101)&gt;=$Z17),$AC17,IF(AND($Y17&lt;&gt;"",EDATE($D17,Milestones!$AA$101)&gt;=$Y17),$AB17,$AA17)))=Milestones!$AB$101),UPPER(TEXT(EDATE($D17,Milestones!$AA$101),"dd mmm yy"))&amp;" "&amp;Milestones!$AB$101&amp;" "&amp;IF(AND(Milestones!$AB$101="FT",Milestones!$AA$101=FT_Y5,EDATE($D17,Milestones!$AA$101)&lt;PolicyEff),1,Milestones!$AC$101)&amp;";  ","")&amp;IF(AND(EDATE($D17,Milestones!$AA$102)&lt;=AsOfDate,EDATE($D17,Milestones!$AA$102)&gt;=SchemeStart,IF($X17=0,$AD17,IF(AND($Z17&lt;&gt;"",EDATE($D17,Milestones!$AA$102)&gt;=$Z17),$AC17,IF(AND($Y17&lt;&gt;"",EDATE($D17,Milestones!$AA$102)&gt;=$Y17),$AB17,$AA17)))=Milestones!$AB$102),UPPER(TEXT(EDATE($D17,Milestones!$AA$102),"dd mmm yy"))&amp;" "&amp;Milestones!$AB$102&amp;" "&amp;IF(AND(Milestones!$AB$102="FT",Milestones!$AA$102=FT_Y5,EDATE($D17,Milestones!$AA$102)&lt;PolicyEff),1,Milestones!$AC$102)&amp;";  ","")&amp;IF(AND(EDATE($D17,Milestones!$AA$103)&lt;=AsOfDate,EDATE($D17,Milestones!$AA$103)&gt;=SchemeStart,IF($X17=0,$AD17,IF(AND($Z17&lt;&gt;"",EDATE($D17,Milestones!$AA$103)&gt;=$Z17),$AC17,IF(AND($Y17&lt;&gt;"",EDATE($D17,Milestones!$AA$103)&gt;=$Y17),$AB17,$AA17)))=Milestones!$AB$103),UPPER(TEXT(EDATE($D17,Milestones!$AA$103),"dd mmm yy"))&amp;" "&amp;Milestones!$AB$103&amp;" "&amp;IF(AND(Milestones!$AB$103="FT",Milestones!$AA$103=FT_Y5,EDATE($D17,Milestones!$AA$103)&lt;PolicyEff),1,Milestones!$AC$103)&amp;";  ",""))</f>
        <v/>
      </c>
      <c r="P17" s="0" t="str">
        <f aca="false">IF(OR($A17="",$D17=""),"",IF(AND(EDATE($D17,Milestones!$AA$104)&lt;=AsOfDate,EDATE($D17,Milestones!$AA$104)&gt;=SchemeStart,IF($X17=0,$AD17,IF(AND($Z17&lt;&gt;"",EDATE($D17,Milestones!$AA$104)&gt;=$Z17),$AC17,IF(AND($Y17&lt;&gt;"",EDATE($D17,Milestones!$AA$104)&gt;=$Y17),$AB17,$AA17)))=Milestones!$AB$104),UPPER(TEXT(EDATE($D17,Milestones!$AA$104),"dd mmm yy"))&amp;" "&amp;Milestones!$AB$104&amp;" "&amp;IF(AND(Milestones!$AB$104="FT",Milestones!$AA$104=FT_Y5,EDATE($D17,Milestones!$AA$104)&lt;PolicyEff),1,Milestones!$AC$104)&amp;";  ","")&amp;IF(AND(EDATE($D17,Milestones!$AA$105)&lt;=AsOfDate,EDATE($D17,Milestones!$AA$105)&gt;=SchemeStart,IF($X17=0,$AD17,IF(AND($Z17&lt;&gt;"",EDATE($D17,Milestones!$AA$105)&gt;=$Z17),$AC17,IF(AND($Y17&lt;&gt;"",EDATE($D17,Milestones!$AA$105)&gt;=$Y17),$AB17,$AA17)))=Milestones!$AB$105),UPPER(TEXT(EDATE($D17,Milestones!$AA$105),"dd mmm yy"))&amp;" "&amp;Milestones!$AB$105&amp;" "&amp;IF(AND(Milestones!$AB$105="FT",Milestones!$AA$105=FT_Y5,EDATE($D17,Milestones!$AA$105)&lt;PolicyEff),1,Milestones!$AC$105)&amp;";  ","")&amp;IF(AND(EDATE($D17,Milestones!$AA$106)&lt;=AsOfDate,EDATE($D17,Milestones!$AA$106)&gt;=SchemeStart,IF($X17=0,$AD17,IF(AND($Z17&lt;&gt;"",EDATE($D17,Milestones!$AA$106)&gt;=$Z17),$AC17,IF(AND($Y17&lt;&gt;"",EDATE($D17,Milestones!$AA$106)&gt;=$Y17),$AB17,$AA17)))=Milestones!$AB$106),UPPER(TEXT(EDATE($D17,Milestones!$AA$106),"dd mmm yy"))&amp;" "&amp;Milestones!$AB$106&amp;" "&amp;IF(AND(Milestones!$AB$106="FT",Milestones!$AA$106=FT_Y5,EDATE($D17,Milestones!$AA$106)&lt;PolicyEff),1,Milestones!$AC$106)&amp;";  ","")&amp;IF(AND(EDATE($D17,Milestones!$AA$107)&lt;=AsOfDate,EDATE($D17,Milestones!$AA$107)&gt;=SchemeStart,IF($X17=0,$AD17,IF(AND($Z17&lt;&gt;"",EDATE($D17,Milestones!$AA$107)&gt;=$Z17),$AC17,IF(AND($Y17&lt;&gt;"",EDATE($D17,Milestones!$AA$107)&gt;=$Y17),$AB17,$AA17)))=Milestones!$AB$107),UPPER(TEXT(EDATE($D17,Milestones!$AA$107),"dd mmm yy"))&amp;" "&amp;Milestones!$AB$107&amp;" "&amp;IF(AND(Milestones!$AB$107="FT",Milestones!$AA$107=FT_Y5,EDATE($D17,Milestones!$AA$107)&lt;PolicyEff),1,Milestones!$AC$107)&amp;";  ","")&amp;IF(AND(EDATE($D17,Milestones!$AA$108)&lt;=AsOfDate,EDATE($D17,Milestones!$AA$108)&gt;=SchemeStart,IF($X17=0,$AD17,IF(AND($Z17&lt;&gt;"",EDATE($D17,Milestones!$AA$108)&gt;=$Z17),$AC17,IF(AND($Y17&lt;&gt;"",EDATE($D17,Milestones!$AA$108)&gt;=$Y17),$AB17,$AA17)))=Milestones!$AB$108),UPPER(TEXT(EDATE($D17,Milestones!$AA$108),"dd mmm yy"))&amp;" "&amp;Milestones!$AB$108&amp;" "&amp;IF(AND(Milestones!$AB$108="FT",Milestones!$AA$108=FT_Y5,EDATE($D17,Milestones!$AA$108)&lt;PolicyEff),1,Milestones!$AC$108)&amp;";  ","")&amp;IF(AND(EDATE($D17,Milestones!$AA$109)&lt;=AsOfDate,EDATE($D17,Milestones!$AA$109)&gt;=SchemeStart,IF($X17=0,$AD17,IF(AND($Z17&lt;&gt;"",EDATE($D17,Milestones!$AA$109)&gt;=$Z17),$AC17,IF(AND($Y17&lt;&gt;"",EDATE($D17,Milestones!$AA$109)&gt;=$Y17),$AB17,$AA17)))=Milestones!$AB$109),UPPER(TEXT(EDATE($D17,Milestones!$AA$109),"dd mmm yy"))&amp;" "&amp;Milestones!$AB$109&amp;" "&amp;IF(AND(Milestones!$AB$109="FT",Milestones!$AA$109=FT_Y5,EDATE($D17,Milestones!$AA$109)&lt;PolicyEff),1,Milestones!$AC$109)&amp;";  ","")&amp;IF(AND(EDATE($D17,Milestones!$AA$110)&lt;=AsOfDate,EDATE($D17,Milestones!$AA$110)&gt;=SchemeStart,IF($X17=0,$AD17,IF(AND($Z17&lt;&gt;"",EDATE($D17,Milestones!$AA$110)&gt;=$Z17),$AC17,IF(AND($Y17&lt;&gt;"",EDATE($D17,Milestones!$AA$110)&gt;=$Y17),$AB17,$AA17)))=Milestones!$AB$110),UPPER(TEXT(EDATE($D17,Milestones!$AA$110),"dd mmm yy"))&amp;" "&amp;Milestones!$AB$110&amp;" "&amp;IF(AND(Milestones!$AB$110="FT",Milestones!$AA$110=FT_Y5,EDATE($D17,Milestones!$AA$110)&lt;PolicyEff),1,Milestones!$AC$110)&amp;";  ","")&amp;IF(AND(EDATE($D17,Milestones!$AA$111)&lt;=AsOfDate,EDATE($D17,Milestones!$AA$111)&gt;=SchemeStart,IF($X17=0,$AD17,IF(AND($Z17&lt;&gt;"",EDATE($D17,Milestones!$AA$111)&gt;=$Z17),$AC17,IF(AND($Y17&lt;&gt;"",EDATE($D17,Milestones!$AA$111)&gt;=$Y17),$AB17,$AA17)))=Milestones!$AB$111),UPPER(TEXT(EDATE($D17,Milestones!$AA$111),"dd mmm yy"))&amp;" "&amp;Milestones!$AB$111&amp;" "&amp;IF(AND(Milestones!$AB$111="FT",Milestones!$AA$111=FT_Y5,EDATE($D17,Milestones!$AA$111)&lt;PolicyEff),1,Milestones!$AC$111)&amp;";  ","")&amp;IF(AND(EDATE($D17,Milestones!$AA$112)&lt;=AsOfDate,EDATE($D17,Milestones!$AA$112)&gt;=SchemeStart,IF($X17=0,$AD17,IF(AND($Z17&lt;&gt;"",EDATE($D17,Milestones!$AA$112)&gt;=$Z17),$AC17,IF(AND($Y17&lt;&gt;"",EDATE($D17,Milestones!$AA$112)&gt;=$Y17),$AB17,$AA17)))=Milestones!$AB$112),UPPER(TEXT(EDATE($D17,Milestones!$AA$112),"dd mmm yy"))&amp;" "&amp;Milestones!$AB$112&amp;" "&amp;IF(AND(Milestones!$AB$112="FT",Milestones!$AA$112=FT_Y5,EDATE($D17,Milestones!$AA$112)&lt;PolicyEff),1,Milestones!$AC$112)&amp;";  ","")&amp;IF(AND(EDATE($D17,Milestones!$AA$113)&lt;=AsOfDate,EDATE($D17,Milestones!$AA$113)&gt;=SchemeStart,IF($X17=0,$AD17,IF(AND($Z17&lt;&gt;"",EDATE($D17,Milestones!$AA$113)&gt;=$Z17),$AC17,IF(AND($Y17&lt;&gt;"",EDATE($D17,Milestones!$AA$113)&gt;=$Y17),$AB17,$AA17)))=Milestones!$AB$113),UPPER(TEXT(EDATE($D17,Milestones!$AA$113),"dd mmm yy"))&amp;" "&amp;Milestones!$AB$113&amp;" "&amp;IF(AND(Milestones!$AB$113="FT",Milestones!$AA$113=FT_Y5,EDATE($D17,Milestones!$AA$113)&lt;PolicyEff),1,Milestones!$AC$113)&amp;";  ","")&amp;IF(AND(EDATE($D17,Milestones!$AA$114)&lt;=AsOfDate,EDATE($D17,Milestones!$AA$114)&gt;=SchemeStart,IF($X17=0,$AD17,IF(AND($Z17&lt;&gt;"",EDATE($D17,Milestones!$AA$114)&gt;=$Z17),$AC17,IF(AND($Y17&lt;&gt;"",EDATE($D17,Milestones!$AA$114)&gt;=$Y17),$AB17,$AA17)))=Milestones!$AB$114),UPPER(TEXT(EDATE($D17,Milestones!$AA$114),"dd mmm yy"))&amp;" "&amp;Milestones!$AB$114&amp;" "&amp;IF(AND(Milestones!$AB$114="FT",Milestones!$AA$114=FT_Y5,EDATE($D17,Milestones!$AA$114)&lt;PolicyEff),1,Milestones!$AC$114)&amp;";  ","")&amp;IF(AND(EDATE($D17,Milestones!$AA$115)&lt;=AsOfDate,EDATE($D17,Milestones!$AA$115)&gt;=SchemeStart,IF($X17=0,$AD17,IF(AND($Z17&lt;&gt;"",EDATE($D17,Milestones!$AA$115)&gt;=$Z17),$AC17,IF(AND($Y17&lt;&gt;"",EDATE($D17,Milestones!$AA$115)&gt;=$Y17),$AB17,$AA17)))=Milestones!$AB$115),UPPER(TEXT(EDATE($D17,Milestones!$AA$115),"dd mmm yy"))&amp;" "&amp;Milestones!$AB$115&amp;" "&amp;IF(AND(Milestones!$AB$115="FT",Milestones!$AA$115=FT_Y5,EDATE($D17,Milestones!$AA$115)&lt;PolicyEff),1,Milestones!$AC$115)&amp;";  ",""))</f>
        <v/>
      </c>
      <c r="Q17" s="0" t="str">
        <f aca="false">IF(OR($A17="",$D17=""),"",IF(AND(EDATE($D17,Milestones!$AA$116)&lt;=AsOfDate,EDATE($D17,Milestones!$AA$116)&gt;=SchemeStart,IF($X17=0,$AD17,IF(AND($Z17&lt;&gt;"",EDATE($D17,Milestones!$AA$116)&gt;=$Z17),$AC17,IF(AND($Y17&lt;&gt;"",EDATE($D17,Milestones!$AA$116)&gt;=$Y17),$AB17,$AA17)))=Milestones!$AB$116),UPPER(TEXT(EDATE($D17,Milestones!$AA$116),"dd mmm yy"))&amp;" "&amp;Milestones!$AB$116&amp;" "&amp;IF(AND(Milestones!$AB$116="FT",Milestones!$AA$116=FT_Y5,EDATE($D17,Milestones!$AA$116)&lt;PolicyEff),1,Milestones!$AC$116)&amp;";  ","")&amp;IF(AND(EDATE($D17,Milestones!$AA$117)&lt;=AsOfDate,EDATE($D17,Milestones!$AA$117)&gt;=SchemeStart,IF($X17=0,$AD17,IF(AND($Z17&lt;&gt;"",EDATE($D17,Milestones!$AA$117)&gt;=$Z17),$AC17,IF(AND($Y17&lt;&gt;"",EDATE($D17,Milestones!$AA$117)&gt;=$Y17),$AB17,$AA17)))=Milestones!$AB$117),UPPER(TEXT(EDATE($D17,Milestones!$AA$117),"dd mmm yy"))&amp;" "&amp;Milestones!$AB$117&amp;" "&amp;IF(AND(Milestones!$AB$117="FT",Milestones!$AA$117=FT_Y5,EDATE($D17,Milestones!$AA$117)&lt;PolicyEff),1,Milestones!$AC$117)&amp;";  ","")&amp;IF(AND(EDATE($D17,Milestones!$AA$118)&lt;=AsOfDate,EDATE($D17,Milestones!$AA$118)&gt;=SchemeStart,IF($X17=0,$AD17,IF(AND($Z17&lt;&gt;"",EDATE($D17,Milestones!$AA$118)&gt;=$Z17),$AC17,IF(AND($Y17&lt;&gt;"",EDATE($D17,Milestones!$AA$118)&gt;=$Y17),$AB17,$AA17)))=Milestones!$AB$118),UPPER(TEXT(EDATE($D17,Milestones!$AA$118),"dd mmm yy"))&amp;" "&amp;Milestones!$AB$118&amp;" "&amp;IF(AND(Milestones!$AB$118="FT",Milestones!$AA$118=FT_Y5,EDATE($D17,Milestones!$AA$118)&lt;PolicyEff),1,Milestones!$AC$118)&amp;";  ","")&amp;IF(AND(EDATE($D17,Milestones!$AA$119)&lt;=AsOfDate,EDATE($D17,Milestones!$AA$119)&gt;=SchemeStart,IF($X17=0,$AD17,IF(AND($Z17&lt;&gt;"",EDATE($D17,Milestones!$AA$119)&gt;=$Z17),$AC17,IF(AND($Y17&lt;&gt;"",EDATE($D17,Milestones!$AA$119)&gt;=$Y17),$AB17,$AA17)))=Milestones!$AB$119),UPPER(TEXT(EDATE($D17,Milestones!$AA$119),"dd mmm yy"))&amp;" "&amp;Milestones!$AB$119&amp;" "&amp;IF(AND(Milestones!$AB$119="FT",Milestones!$AA$119=FT_Y5,EDATE($D17,Milestones!$AA$119)&lt;PolicyEff),1,Milestones!$AC$119)&amp;";  ","")&amp;IF(AND(EDATE($D17,Milestones!$AA$120)&lt;=AsOfDate,EDATE($D17,Milestones!$AA$120)&gt;=SchemeStart,IF($X17=0,$AD17,IF(AND($Z17&lt;&gt;"",EDATE($D17,Milestones!$AA$120)&gt;=$Z17),$AC17,IF(AND($Y17&lt;&gt;"",EDATE($D17,Milestones!$AA$120)&gt;=$Y17),$AB17,$AA17)))=Milestones!$AB$120),UPPER(TEXT(EDATE($D17,Milestones!$AA$120),"dd mmm yy"))&amp;" "&amp;Milestones!$AB$120&amp;" "&amp;IF(AND(Milestones!$AB$120="FT",Milestones!$AA$120=FT_Y5,EDATE($D17,Milestones!$AA$120)&lt;PolicyEff),1,Milestones!$AC$120)&amp;";  ","")&amp;IF(AND(EDATE($D17,Milestones!$AA$121)&lt;=AsOfDate,EDATE($D17,Milestones!$AA$121)&gt;=SchemeStart,IF($X17=0,$AD17,IF(AND($Z17&lt;&gt;"",EDATE($D17,Milestones!$AA$121)&gt;=$Z17),$AC17,IF(AND($Y17&lt;&gt;"",EDATE($D17,Milestones!$AA$121)&gt;=$Y17),$AB17,$AA17)))=Milestones!$AB$121),UPPER(TEXT(EDATE($D17,Milestones!$AA$121),"dd mmm yy"))&amp;" "&amp;Milestones!$AB$121&amp;" "&amp;IF(AND(Milestones!$AB$121="FT",Milestones!$AA$121=FT_Y5,EDATE($D17,Milestones!$AA$121)&lt;PolicyEff),1,Milestones!$AC$121)&amp;";  ","")&amp;IF(AND(EDATE($D17,Milestones!$AA$122)&lt;=AsOfDate,EDATE($D17,Milestones!$AA$122)&gt;=SchemeStart,IF($X17=0,$AD17,IF(AND($Z17&lt;&gt;"",EDATE($D17,Milestones!$AA$122)&gt;=$Z17),$AC17,IF(AND($Y17&lt;&gt;"",EDATE($D17,Milestones!$AA$122)&gt;=$Y17),$AB17,$AA17)))=Milestones!$AB$122),UPPER(TEXT(EDATE($D17,Milestones!$AA$122),"dd mmm yy"))&amp;" "&amp;Milestones!$AB$122&amp;" "&amp;IF(AND(Milestones!$AB$122="FT",Milestones!$AA$122=FT_Y5,EDATE($D17,Milestones!$AA$122)&lt;PolicyEff),1,Milestones!$AC$122)&amp;";  ","")&amp;IF(AND(EDATE($D17,Milestones!$AA$123)&lt;=AsOfDate,EDATE($D17,Milestones!$AA$123)&gt;=SchemeStart,IF($X17=0,$AD17,IF(AND($Z17&lt;&gt;"",EDATE($D17,Milestones!$AA$123)&gt;=$Z17),$AC17,IF(AND($Y17&lt;&gt;"",EDATE($D17,Milestones!$AA$123)&gt;=$Y17),$AB17,$AA17)))=Milestones!$AB$123),UPPER(TEXT(EDATE($D17,Milestones!$AA$123),"dd mmm yy"))&amp;" "&amp;Milestones!$AB$123&amp;" "&amp;IF(AND(Milestones!$AB$123="FT",Milestones!$AA$123=FT_Y5,EDATE($D17,Milestones!$AA$123)&lt;PolicyEff),1,Milestones!$AC$123)&amp;";  ","")&amp;IF(AND(EDATE($D17,Milestones!$AA$124)&lt;=AsOfDate,EDATE($D17,Milestones!$AA$124)&gt;=SchemeStart,IF($X17=0,$AD17,IF(AND($Z17&lt;&gt;"",EDATE($D17,Milestones!$AA$124)&gt;=$Z17),$AC17,IF(AND($Y17&lt;&gt;"",EDATE($D17,Milestones!$AA$124)&gt;=$Y17),$AB17,$AA17)))=Milestones!$AB$124),UPPER(TEXT(EDATE($D17,Milestones!$AA$124),"dd mmm yy"))&amp;" "&amp;Milestones!$AB$124&amp;" "&amp;IF(AND(Milestones!$AB$124="FT",Milestones!$AA$124=FT_Y5,EDATE($D17,Milestones!$AA$124)&lt;PolicyEff),1,Milestones!$AC$124)&amp;";  ","")&amp;IF(AND(EDATE($D17,Milestones!$AA$125)&lt;=AsOfDate,EDATE($D17,Milestones!$AA$125)&gt;=SchemeStart,IF($X17=0,$AD17,IF(AND($Z17&lt;&gt;"",EDATE($D17,Milestones!$AA$125)&gt;=$Z17),$AC17,IF(AND($Y17&lt;&gt;"",EDATE($D17,Milestones!$AA$125)&gt;=$Y17),$AB17,$AA17)))=Milestones!$AB$125),UPPER(TEXT(EDATE($D17,Milestones!$AA$125),"dd mmm yy"))&amp;" "&amp;Milestones!$AB$125&amp;" "&amp;IF(AND(Milestones!$AB$125="FT",Milestones!$AA$125=FT_Y5,EDATE($D17,Milestones!$AA$125)&lt;PolicyEff),1,Milestones!$AC$125)&amp;";  ","")&amp;IF(AND(EDATE($D17,Milestones!$AA$126)&lt;=AsOfDate,EDATE($D17,Milestones!$AA$126)&gt;=SchemeStart,IF($X17=0,$AD17,IF(AND($Z17&lt;&gt;"",EDATE($D17,Milestones!$AA$126)&gt;=$Z17),$AC17,IF(AND($Y17&lt;&gt;"",EDATE($D17,Milestones!$AA$126)&gt;=$Y17),$AB17,$AA17)))=Milestones!$AB$126),UPPER(TEXT(EDATE($D17,Milestones!$AA$126),"dd mmm yy"))&amp;" "&amp;Milestones!$AB$126&amp;" "&amp;IF(AND(Milestones!$AB$126="FT",Milestones!$AA$126=FT_Y5,EDATE($D17,Milestones!$AA$126)&lt;PolicyEff),1,Milestones!$AC$126)&amp;";  ","")&amp;IF(AND(EDATE($D17,Milestones!$AA$127)&lt;=AsOfDate,EDATE($D17,Milestones!$AA$127)&gt;=SchemeStart,IF($X17=0,$AD17,IF(AND($Z17&lt;&gt;"",EDATE($D17,Milestones!$AA$127)&gt;=$Z17),$AC17,IF(AND($Y17&lt;&gt;"",EDATE($D17,Milestones!$AA$127)&gt;=$Y17),$AB17,$AA17)))=Milestones!$AB$127),UPPER(TEXT(EDATE($D17,Milestones!$AA$127),"dd mmm yy"))&amp;" "&amp;Milestones!$AB$127&amp;" "&amp;IF(AND(Milestones!$AB$127="FT",Milestones!$AA$127=FT_Y5,EDATE($D17,Milestones!$AA$127)&lt;PolicyEff),1,Milestones!$AC$127)&amp;";  ",""))</f>
        <v/>
      </c>
      <c r="R17" s="0" t="str">
        <f aca="false">IF(OR($A17="",$D17=""),"",IF(AND(EDATE($D17,Milestones!$AA$128)&lt;=AsOfDate,EDATE($D17,Milestones!$AA$128)&gt;=SchemeStart,IF($X17=0,$AD17,IF(AND($Z17&lt;&gt;"",EDATE($D17,Milestones!$AA$128)&gt;=$Z17),$AC17,IF(AND($Y17&lt;&gt;"",EDATE($D17,Milestones!$AA$128)&gt;=$Y17),$AB17,$AA17)))=Milestones!$AB$128),UPPER(TEXT(EDATE($D17,Milestones!$AA$128),"dd mmm yy"))&amp;" "&amp;Milestones!$AB$128&amp;" "&amp;IF(AND(Milestones!$AB$128="FT",Milestones!$AA$128=FT_Y5,EDATE($D17,Milestones!$AA$128)&lt;PolicyEff),1,Milestones!$AC$128)&amp;";  ","")&amp;IF(AND(EDATE($D17,Milestones!$AA$129)&lt;=AsOfDate,EDATE($D17,Milestones!$AA$129)&gt;=SchemeStart,IF($X17=0,$AD17,IF(AND($Z17&lt;&gt;"",EDATE($D17,Milestones!$AA$129)&gt;=$Z17),$AC17,IF(AND($Y17&lt;&gt;"",EDATE($D17,Milestones!$AA$129)&gt;=$Y17),$AB17,$AA17)))=Milestones!$AB$129),UPPER(TEXT(EDATE($D17,Milestones!$AA$129),"dd mmm yy"))&amp;" "&amp;Milestones!$AB$129&amp;" "&amp;IF(AND(Milestones!$AB$129="FT",Milestones!$AA$129=FT_Y5,EDATE($D17,Milestones!$AA$129)&lt;PolicyEff),1,Milestones!$AC$129)&amp;";  ","")&amp;IF(AND(EDATE($D17,Milestones!$AA$130)&lt;=AsOfDate,EDATE($D17,Milestones!$AA$130)&gt;=SchemeStart,IF($X17=0,$AD17,IF(AND($Z17&lt;&gt;"",EDATE($D17,Milestones!$AA$130)&gt;=$Z17),$AC17,IF(AND($Y17&lt;&gt;"",EDATE($D17,Milestones!$AA$130)&gt;=$Y17),$AB17,$AA17)))=Milestones!$AB$130),UPPER(TEXT(EDATE($D17,Milestones!$AA$130),"dd mmm yy"))&amp;" "&amp;Milestones!$AB$130&amp;" "&amp;IF(AND(Milestones!$AB$130="FT",Milestones!$AA$130=FT_Y5,EDATE($D17,Milestones!$AA$130)&lt;PolicyEff),1,Milestones!$AC$130)&amp;";  ","")&amp;IF(AND(EDATE($D17,Milestones!$AA$131)&lt;=AsOfDate,EDATE($D17,Milestones!$AA$131)&gt;=SchemeStart,IF($X17=0,$AD17,IF(AND($Z17&lt;&gt;"",EDATE($D17,Milestones!$AA$131)&gt;=$Z17),$AC17,IF(AND($Y17&lt;&gt;"",EDATE($D17,Milestones!$AA$131)&gt;=$Y17),$AB17,$AA17)))=Milestones!$AB$131),UPPER(TEXT(EDATE($D17,Milestones!$AA$131),"dd mmm yy"))&amp;" "&amp;Milestones!$AB$131&amp;" "&amp;IF(AND(Milestones!$AB$131="FT",Milestones!$AA$131=FT_Y5,EDATE($D17,Milestones!$AA$131)&lt;PolicyEff),1,Milestones!$AC$131)&amp;";  ","")&amp;IF(AND(EDATE($D17,Milestones!$AA$132)&lt;=AsOfDate,EDATE($D17,Milestones!$AA$132)&gt;=SchemeStart,IF($X17=0,$AD17,IF(AND($Z17&lt;&gt;"",EDATE($D17,Milestones!$AA$132)&gt;=$Z17),$AC17,IF(AND($Y17&lt;&gt;"",EDATE($D17,Milestones!$AA$132)&gt;=$Y17),$AB17,$AA17)))=Milestones!$AB$132),UPPER(TEXT(EDATE($D17,Milestones!$AA$132),"dd mmm yy"))&amp;" "&amp;Milestones!$AB$132&amp;" "&amp;IF(AND(Milestones!$AB$132="FT",Milestones!$AA$132=FT_Y5,EDATE($D17,Milestones!$AA$132)&lt;PolicyEff),1,Milestones!$AC$132)&amp;";  ","")&amp;IF(AND(EDATE($D17,Milestones!$AA$133)&lt;=AsOfDate,EDATE($D17,Milestones!$AA$133)&gt;=SchemeStart,IF($X17=0,$AD17,IF(AND($Z17&lt;&gt;"",EDATE($D17,Milestones!$AA$133)&gt;=$Z17),$AC17,IF(AND($Y17&lt;&gt;"",EDATE($D17,Milestones!$AA$133)&gt;=$Y17),$AB17,$AA17)))=Milestones!$AB$133),UPPER(TEXT(EDATE($D17,Milestones!$AA$133),"dd mmm yy"))&amp;" "&amp;Milestones!$AB$133&amp;" "&amp;IF(AND(Milestones!$AB$133="FT",Milestones!$AA$133=FT_Y5,EDATE($D17,Milestones!$AA$133)&lt;PolicyEff),1,Milestones!$AC$133)&amp;";  ","")&amp;IF(AND(EDATE($D17,Milestones!$AA$134)&lt;=AsOfDate,EDATE($D17,Milestones!$AA$134)&gt;=SchemeStart,IF($X17=0,$AD17,IF(AND($Z17&lt;&gt;"",EDATE($D17,Milestones!$AA$134)&gt;=$Z17),$AC17,IF(AND($Y17&lt;&gt;"",EDATE($D17,Milestones!$AA$134)&gt;=$Y17),$AB17,$AA17)))=Milestones!$AB$134),UPPER(TEXT(EDATE($D17,Milestones!$AA$134),"dd mmm yy"))&amp;" "&amp;Milestones!$AB$134&amp;" "&amp;IF(AND(Milestones!$AB$134="FT",Milestones!$AA$134=FT_Y5,EDATE($D17,Milestones!$AA$134)&lt;PolicyEff),1,Milestones!$AC$134)&amp;";  ","")&amp;IF(AND(EDATE($D17,Milestones!$AA$135)&lt;=AsOfDate,EDATE($D17,Milestones!$AA$135)&gt;=SchemeStart,IF($X17=0,$AD17,IF(AND($Z17&lt;&gt;"",EDATE($D17,Milestones!$AA$135)&gt;=$Z17),$AC17,IF(AND($Y17&lt;&gt;"",EDATE($D17,Milestones!$AA$135)&gt;=$Y17),$AB17,$AA17)))=Milestones!$AB$135),UPPER(TEXT(EDATE($D17,Milestones!$AA$135),"dd mmm yy"))&amp;" "&amp;Milestones!$AB$135&amp;" "&amp;IF(AND(Milestones!$AB$135="FT",Milestones!$AA$135=FT_Y5,EDATE($D17,Milestones!$AA$135)&lt;PolicyEff),1,Milestones!$AC$135)&amp;";  ","")&amp;IF(AND(EDATE($D17,Milestones!$AA$136)&lt;=AsOfDate,EDATE($D17,Milestones!$AA$136)&gt;=SchemeStart,IF($X17=0,$AD17,IF(AND($Z17&lt;&gt;"",EDATE($D17,Milestones!$AA$136)&gt;=$Z17),$AC17,IF(AND($Y17&lt;&gt;"",EDATE($D17,Milestones!$AA$136)&gt;=$Y17),$AB17,$AA17)))=Milestones!$AB$136),UPPER(TEXT(EDATE($D17,Milestones!$AA$136),"dd mmm yy"))&amp;" "&amp;Milestones!$AB$136&amp;" "&amp;IF(AND(Milestones!$AB$136="FT",Milestones!$AA$136=FT_Y5,EDATE($D17,Milestones!$AA$136)&lt;PolicyEff),1,Milestones!$AC$136)&amp;";  ","")&amp;IF(AND(EDATE($D17,Milestones!$AA$137)&lt;=AsOfDate,EDATE($D17,Milestones!$AA$137)&gt;=SchemeStart,IF($X17=0,$AD17,IF(AND($Z17&lt;&gt;"",EDATE($D17,Milestones!$AA$137)&gt;=$Z17),$AC17,IF(AND($Y17&lt;&gt;"",EDATE($D17,Milestones!$AA$137)&gt;=$Y17),$AB17,$AA17)))=Milestones!$AB$137),UPPER(TEXT(EDATE($D17,Milestones!$AA$137),"dd mmm yy"))&amp;" "&amp;Milestones!$AB$137&amp;" "&amp;IF(AND(Milestones!$AB$137="FT",Milestones!$AA$137=FT_Y5,EDATE($D17,Milestones!$AA$137)&lt;PolicyEff),1,Milestones!$AC$137)&amp;";  ","")&amp;IF(AND(EDATE($D17,Milestones!$AA$138)&lt;=AsOfDate,EDATE($D17,Milestones!$AA$138)&gt;=SchemeStart,IF($X17=0,$AD17,IF(AND($Z17&lt;&gt;"",EDATE($D17,Milestones!$AA$138)&gt;=$Z17),$AC17,IF(AND($Y17&lt;&gt;"",EDATE($D17,Milestones!$AA$138)&gt;=$Y17),$AB17,$AA17)))=Milestones!$AB$138),UPPER(TEXT(EDATE($D17,Milestones!$AA$138),"dd mmm yy"))&amp;" "&amp;Milestones!$AB$138&amp;" "&amp;IF(AND(Milestones!$AB$138="FT",Milestones!$AA$138=FT_Y5,EDATE($D17,Milestones!$AA$138)&lt;PolicyEff),1,Milestones!$AC$138)&amp;";  ","")&amp;IF(AND(EDATE($D17,Milestones!$AA$139)&lt;=AsOfDate,EDATE($D17,Milestones!$AA$139)&gt;=SchemeStart,IF($X17=0,$AD17,IF(AND($Z17&lt;&gt;"",EDATE($D17,Milestones!$AA$139)&gt;=$Z17),$AC17,IF(AND($Y17&lt;&gt;"",EDATE($D17,Milestones!$AA$139)&gt;=$Y17),$AB17,$AA17)))=Milestones!$AB$139),UPPER(TEXT(EDATE($D17,Milestones!$AA$139),"dd mmm yy"))&amp;" "&amp;Milestones!$AB$139&amp;" "&amp;IF(AND(Milestones!$AB$139="FT",Milestones!$AA$139=FT_Y5,EDATE($D17,Milestones!$AA$139)&lt;PolicyEff),1,Milestones!$AC$139)&amp;";  ",""))</f>
        <v/>
      </c>
      <c r="S17" s="0" t="str">
        <f aca="false">IF(OR($A17="",$D17=""),"",IF(AND(EDATE($D17,Milestones!$AA$140)&lt;=AsOfDate,EDATE($D17,Milestones!$AA$140)&gt;=SchemeStart,IF($X17=0,$AD17,IF(AND($Z17&lt;&gt;"",EDATE($D17,Milestones!$AA$140)&gt;=$Z17),$AC17,IF(AND($Y17&lt;&gt;"",EDATE($D17,Milestones!$AA$140)&gt;=$Y17),$AB17,$AA17)))=Milestones!$AB$140),UPPER(TEXT(EDATE($D17,Milestones!$AA$140),"dd mmm yy"))&amp;" "&amp;Milestones!$AB$140&amp;" "&amp;IF(AND(Milestones!$AB$140="FT",Milestones!$AA$140=FT_Y5,EDATE($D17,Milestones!$AA$140)&lt;PolicyEff),1,Milestones!$AC$140)&amp;";  ","")&amp;IF(AND(EDATE($D17,Milestones!$AA$141)&lt;=AsOfDate,EDATE($D17,Milestones!$AA$141)&gt;=SchemeStart,IF($X17=0,$AD17,IF(AND($Z17&lt;&gt;"",EDATE($D17,Milestones!$AA$141)&gt;=$Z17),$AC17,IF(AND($Y17&lt;&gt;"",EDATE($D17,Milestones!$AA$141)&gt;=$Y17),$AB17,$AA17)))=Milestones!$AB$141),UPPER(TEXT(EDATE($D17,Milestones!$AA$141),"dd mmm yy"))&amp;" "&amp;Milestones!$AB$141&amp;" "&amp;IF(AND(Milestones!$AB$141="FT",Milestones!$AA$141=FT_Y5,EDATE($D17,Milestones!$AA$141)&lt;PolicyEff),1,Milestones!$AC$141)&amp;";  ","")&amp;IF(AND(EDATE($D17,Milestones!$AA$142)&lt;=AsOfDate,EDATE($D17,Milestones!$AA$142)&gt;=SchemeStart,IF($X17=0,$AD17,IF(AND($Z17&lt;&gt;"",EDATE($D17,Milestones!$AA$142)&gt;=$Z17),$AC17,IF(AND($Y17&lt;&gt;"",EDATE($D17,Milestones!$AA$142)&gt;=$Y17),$AB17,$AA17)))=Milestones!$AB$142),UPPER(TEXT(EDATE($D17,Milestones!$AA$142),"dd mmm yy"))&amp;" "&amp;Milestones!$AB$142&amp;" "&amp;IF(AND(Milestones!$AB$142="FT",Milestones!$AA$142=FT_Y5,EDATE($D17,Milestones!$AA$142)&lt;PolicyEff),1,Milestones!$AC$142)&amp;";  ","")&amp;IF(AND(EDATE($D17,Milestones!$AA$143)&lt;=AsOfDate,EDATE($D17,Milestones!$AA$143)&gt;=SchemeStart,IF($X17=0,$AD17,IF(AND($Z17&lt;&gt;"",EDATE($D17,Milestones!$AA$143)&gt;=$Z17),$AC17,IF(AND($Y17&lt;&gt;"",EDATE($D17,Milestones!$AA$143)&gt;=$Y17),$AB17,$AA17)))=Milestones!$AB$143),UPPER(TEXT(EDATE($D17,Milestones!$AA$143),"dd mmm yy"))&amp;" "&amp;Milestones!$AB$143&amp;" "&amp;IF(AND(Milestones!$AB$143="FT",Milestones!$AA$143=FT_Y5,EDATE($D17,Milestones!$AA$143)&lt;PolicyEff),1,Milestones!$AC$143)&amp;";  ","")&amp;IF(AND(EDATE($D17,Milestones!$AA$144)&lt;=AsOfDate,EDATE($D17,Milestones!$AA$144)&gt;=SchemeStart,IF($X17=0,$AD17,IF(AND($Z17&lt;&gt;"",EDATE($D17,Milestones!$AA$144)&gt;=$Z17),$AC17,IF(AND($Y17&lt;&gt;"",EDATE($D17,Milestones!$AA$144)&gt;=$Y17),$AB17,$AA17)))=Milestones!$AB$144),UPPER(TEXT(EDATE($D17,Milestones!$AA$144),"dd mmm yy"))&amp;" "&amp;Milestones!$AB$144&amp;" "&amp;IF(AND(Milestones!$AB$144="FT",Milestones!$AA$144=FT_Y5,EDATE($D17,Milestones!$AA$144)&lt;PolicyEff),1,Milestones!$AC$144)&amp;";  ","")&amp;IF(AND(EDATE($D17,Milestones!$AA$145)&lt;=AsOfDate,EDATE($D17,Milestones!$AA$145)&gt;=SchemeStart,IF($X17=0,$AD17,IF(AND($Z17&lt;&gt;"",EDATE($D17,Milestones!$AA$145)&gt;=$Z17),$AC17,IF(AND($Y17&lt;&gt;"",EDATE($D17,Milestones!$AA$145)&gt;=$Y17),$AB17,$AA17)))=Milestones!$AB$145),UPPER(TEXT(EDATE($D17,Milestones!$AA$145),"dd mmm yy"))&amp;" "&amp;Milestones!$AB$145&amp;" "&amp;IF(AND(Milestones!$AB$145="FT",Milestones!$AA$145=FT_Y5,EDATE($D17,Milestones!$AA$145)&lt;PolicyEff),1,Milestones!$AC$145)&amp;";  ","")&amp;IF(AND(EDATE($D17,Milestones!$AA$146)&lt;=AsOfDate,EDATE($D17,Milestones!$AA$146)&gt;=SchemeStart,IF($X17=0,$AD17,IF(AND($Z17&lt;&gt;"",EDATE($D17,Milestones!$AA$146)&gt;=$Z17),$AC17,IF(AND($Y17&lt;&gt;"",EDATE($D17,Milestones!$AA$146)&gt;=$Y17),$AB17,$AA17)))=Milestones!$AB$146),UPPER(TEXT(EDATE($D17,Milestones!$AA$146),"dd mmm yy"))&amp;" "&amp;Milestones!$AB$146&amp;" "&amp;IF(AND(Milestones!$AB$146="FT",Milestones!$AA$146=FT_Y5,EDATE($D17,Milestones!$AA$146)&lt;PolicyEff),1,Milestones!$AC$146)&amp;";  ","")&amp;IF(AND(EDATE($D17,Milestones!$AA$147)&lt;=AsOfDate,EDATE($D17,Milestones!$AA$147)&gt;=SchemeStart,IF($X17=0,$AD17,IF(AND($Z17&lt;&gt;"",EDATE($D17,Milestones!$AA$147)&gt;=$Z17),$AC17,IF(AND($Y17&lt;&gt;"",EDATE($D17,Milestones!$AA$147)&gt;=$Y17),$AB17,$AA17)))=Milestones!$AB$147),UPPER(TEXT(EDATE($D17,Milestones!$AA$147),"dd mmm yy"))&amp;" "&amp;Milestones!$AB$147&amp;" "&amp;IF(AND(Milestones!$AB$147="FT",Milestones!$AA$147=FT_Y5,EDATE($D17,Milestones!$AA$147)&lt;PolicyEff),1,Milestones!$AC$147)&amp;";  ","")&amp;IF(AND(EDATE($D17,Milestones!$AA$148)&lt;=AsOfDate,EDATE($D17,Milestones!$AA$148)&gt;=SchemeStart,IF($X17=0,$AD17,IF(AND($Z17&lt;&gt;"",EDATE($D17,Milestones!$AA$148)&gt;=$Z17),$AC17,IF(AND($Y17&lt;&gt;"",EDATE($D17,Milestones!$AA$148)&gt;=$Y17),$AB17,$AA17)))=Milestones!$AB$148),UPPER(TEXT(EDATE($D17,Milestones!$AA$148),"dd mmm yy"))&amp;" "&amp;Milestones!$AB$148&amp;" "&amp;IF(AND(Milestones!$AB$148="FT",Milestones!$AA$148=FT_Y5,EDATE($D17,Milestones!$AA$148)&lt;PolicyEff),1,Milestones!$AC$148)&amp;";  ","")&amp;IF(AND(EDATE($D17,Milestones!$AA$149)&lt;=AsOfDate,EDATE($D17,Milestones!$AA$149)&gt;=SchemeStart,IF($X17=0,$AD17,IF(AND($Z17&lt;&gt;"",EDATE($D17,Milestones!$AA$149)&gt;=$Z17),$AC17,IF(AND($Y17&lt;&gt;"",EDATE($D17,Milestones!$AA$149)&gt;=$Y17),$AB17,$AA17)))=Milestones!$AB$149),UPPER(TEXT(EDATE($D17,Milestones!$AA$149),"dd mmm yy"))&amp;" "&amp;Milestones!$AB$149&amp;" "&amp;IF(AND(Milestones!$AB$149="FT",Milestones!$AA$149=FT_Y5,EDATE($D17,Milestones!$AA$149)&lt;PolicyEff),1,Milestones!$AC$149)&amp;";  ","")&amp;IF(AND(EDATE($D17,Milestones!$AA$150)&lt;=AsOfDate,EDATE($D17,Milestones!$AA$150)&gt;=SchemeStart,IF($X17=0,$AD17,IF(AND($Z17&lt;&gt;"",EDATE($D17,Milestones!$AA$150)&gt;=$Z17),$AC17,IF(AND($Y17&lt;&gt;"",EDATE($D17,Milestones!$AA$150)&gt;=$Y17),$AB17,$AA17)))=Milestones!$AB$150),UPPER(TEXT(EDATE($D17,Milestones!$AA$150),"dd mmm yy"))&amp;" "&amp;Milestones!$AB$150&amp;" "&amp;IF(AND(Milestones!$AB$150="FT",Milestones!$AA$150=FT_Y5,EDATE($D17,Milestones!$AA$150)&lt;PolicyEff),1,Milestones!$AC$150)&amp;";  ","")&amp;IF(AND(EDATE($D17,Milestones!$AA$151)&lt;=AsOfDate,EDATE($D17,Milestones!$AA$151)&gt;=SchemeStart,IF($X17=0,$AD17,IF(AND($Z17&lt;&gt;"",EDATE($D17,Milestones!$AA$151)&gt;=$Z17),$AC17,IF(AND($Y17&lt;&gt;"",EDATE($D17,Milestones!$AA$151)&gt;=$Y17),$AB17,$AA17)))=Milestones!$AB$151),UPPER(TEXT(EDATE($D17,Milestones!$AA$151),"dd mmm yy"))&amp;" "&amp;Milestones!$AB$151&amp;" "&amp;IF(AND(Milestones!$AB$151="FT",Milestones!$AA$151=FT_Y5,EDATE($D17,Milestones!$AA$151)&lt;PolicyEff),1,Milestones!$AC$151)&amp;";  ",""))</f>
        <v/>
      </c>
      <c r="T17" s="0" t="str">
        <f aca="false">IF(OR($A17="",$D17=""),"",IF(AND(EDATE($D17,Milestones!$AA$152)&lt;=AsOfDate,EDATE($D17,Milestones!$AA$152)&gt;=SchemeStart,IF($X17=0,$AD17,IF(AND($Z17&lt;&gt;"",EDATE($D17,Milestones!$AA$152)&gt;=$Z17),$AC17,IF(AND($Y17&lt;&gt;"",EDATE($D17,Milestones!$AA$152)&gt;=$Y17),$AB17,$AA17)))=Milestones!$AB$152),UPPER(TEXT(EDATE($D17,Milestones!$AA$152),"dd mmm yy"))&amp;" "&amp;Milestones!$AB$152&amp;" "&amp;IF(AND(Milestones!$AB$152="FT",Milestones!$AA$152=FT_Y5,EDATE($D17,Milestones!$AA$152)&lt;PolicyEff),1,Milestones!$AC$152)&amp;";  ","")&amp;IF(AND(EDATE($D17,Milestones!$AA$153)&lt;=AsOfDate,EDATE($D17,Milestones!$AA$153)&gt;=SchemeStart,IF($X17=0,$AD17,IF(AND($Z17&lt;&gt;"",EDATE($D17,Milestones!$AA$153)&gt;=$Z17),$AC17,IF(AND($Y17&lt;&gt;"",EDATE($D17,Milestones!$AA$153)&gt;=$Y17),$AB17,$AA17)))=Milestones!$AB$153),UPPER(TEXT(EDATE($D17,Milestones!$AA$153),"dd mmm yy"))&amp;" "&amp;Milestones!$AB$153&amp;" "&amp;IF(AND(Milestones!$AB$153="FT",Milestones!$AA$153=FT_Y5,EDATE($D17,Milestones!$AA$153)&lt;PolicyEff),1,Milestones!$AC$153)&amp;";  ","")&amp;IF(AND(EDATE($D17,Milestones!$AA$154)&lt;=AsOfDate,EDATE($D17,Milestones!$AA$154)&gt;=SchemeStart,IF($X17=0,$AD17,IF(AND($Z17&lt;&gt;"",EDATE($D17,Milestones!$AA$154)&gt;=$Z17),$AC17,IF(AND($Y17&lt;&gt;"",EDATE($D17,Milestones!$AA$154)&gt;=$Y17),$AB17,$AA17)))=Milestones!$AB$154),UPPER(TEXT(EDATE($D17,Milestones!$AA$154),"dd mmm yy"))&amp;" "&amp;Milestones!$AB$154&amp;" "&amp;IF(AND(Milestones!$AB$154="FT",Milestones!$AA$154=FT_Y5,EDATE($D17,Milestones!$AA$154)&lt;PolicyEff),1,Milestones!$AC$154)&amp;";  ","")&amp;IF(AND(EDATE($D17,Milestones!$AA$155)&lt;=AsOfDate,EDATE($D17,Milestones!$AA$155)&gt;=SchemeStart,IF($X17=0,$AD17,IF(AND($Z17&lt;&gt;"",EDATE($D17,Milestones!$AA$155)&gt;=$Z17),$AC17,IF(AND($Y17&lt;&gt;"",EDATE($D17,Milestones!$AA$155)&gt;=$Y17),$AB17,$AA17)))=Milestones!$AB$155),UPPER(TEXT(EDATE($D17,Milestones!$AA$155),"dd mmm yy"))&amp;" "&amp;Milestones!$AB$155&amp;" "&amp;IF(AND(Milestones!$AB$155="FT",Milestones!$AA$155=FT_Y5,EDATE($D17,Milestones!$AA$155)&lt;PolicyEff),1,Milestones!$AC$155)&amp;";  ","")&amp;IF(AND(EDATE($D17,Milestones!$AA$156)&lt;=AsOfDate,EDATE($D17,Milestones!$AA$156)&gt;=SchemeStart,IF($X17=0,$AD17,IF(AND($Z17&lt;&gt;"",EDATE($D17,Milestones!$AA$156)&gt;=$Z17),$AC17,IF(AND($Y17&lt;&gt;"",EDATE($D17,Milestones!$AA$156)&gt;=$Y17),$AB17,$AA17)))=Milestones!$AB$156),UPPER(TEXT(EDATE($D17,Milestones!$AA$156),"dd mmm yy"))&amp;" "&amp;Milestones!$AB$156&amp;" "&amp;IF(AND(Milestones!$AB$156="FT",Milestones!$AA$156=FT_Y5,EDATE($D17,Milestones!$AA$156)&lt;PolicyEff),1,Milestones!$AC$156)&amp;";  ","")&amp;IF(AND(EDATE($D17,Milestones!$AA$157)&lt;=AsOfDate,EDATE($D17,Milestones!$AA$157)&gt;=SchemeStart,IF($X17=0,$AD17,IF(AND($Z17&lt;&gt;"",EDATE($D17,Milestones!$AA$157)&gt;=$Z17),$AC17,IF(AND($Y17&lt;&gt;"",EDATE($D17,Milestones!$AA$157)&gt;=$Y17),$AB17,$AA17)))=Milestones!$AB$157),UPPER(TEXT(EDATE($D17,Milestones!$AA$157),"dd mmm yy"))&amp;" "&amp;Milestones!$AB$157&amp;" "&amp;IF(AND(Milestones!$AB$157="FT",Milestones!$AA$157=FT_Y5,EDATE($D17,Milestones!$AA$157)&lt;PolicyEff),1,Milestones!$AC$157)&amp;";  ","")&amp;IF(AND(EDATE($D17,Milestones!$AA$158)&lt;=AsOfDate,EDATE($D17,Milestones!$AA$158)&gt;=SchemeStart,IF($X17=0,$AD17,IF(AND($Z17&lt;&gt;"",EDATE($D17,Milestones!$AA$158)&gt;=$Z17),$AC17,IF(AND($Y17&lt;&gt;"",EDATE($D17,Milestones!$AA$158)&gt;=$Y17),$AB17,$AA17)))=Milestones!$AB$158),UPPER(TEXT(EDATE($D17,Milestones!$AA$158),"dd mmm yy"))&amp;" "&amp;Milestones!$AB$158&amp;" "&amp;IF(AND(Milestones!$AB$158="FT",Milestones!$AA$158=FT_Y5,EDATE($D17,Milestones!$AA$158)&lt;PolicyEff),1,Milestones!$AC$158)&amp;";  ","")&amp;IF(AND(EDATE($D17,Milestones!$AA$159)&lt;=AsOfDate,EDATE($D17,Milestones!$AA$159)&gt;=SchemeStart,IF($X17=0,$AD17,IF(AND($Z17&lt;&gt;"",EDATE($D17,Milestones!$AA$159)&gt;=$Z17),$AC17,IF(AND($Y17&lt;&gt;"",EDATE($D17,Milestones!$AA$159)&gt;=$Y17),$AB17,$AA17)))=Milestones!$AB$159),UPPER(TEXT(EDATE($D17,Milestones!$AA$159),"dd mmm yy"))&amp;" "&amp;Milestones!$AB$159&amp;" "&amp;IF(AND(Milestones!$AB$159="FT",Milestones!$AA$159=FT_Y5,EDATE($D17,Milestones!$AA$159)&lt;PolicyEff),1,Milestones!$AC$159)&amp;";  ","")&amp;IF(AND(EDATE($D17,Milestones!$AA$160)&lt;=AsOfDate,EDATE($D17,Milestones!$AA$160)&gt;=SchemeStart,IF($X17=0,$AD17,IF(AND($Z17&lt;&gt;"",EDATE($D17,Milestones!$AA$160)&gt;=$Z17),$AC17,IF(AND($Y17&lt;&gt;"",EDATE($D17,Milestones!$AA$160)&gt;=$Y17),$AB17,$AA17)))=Milestones!$AB$160),UPPER(TEXT(EDATE($D17,Milestones!$AA$160),"dd mmm yy"))&amp;" "&amp;Milestones!$AB$160&amp;" "&amp;IF(AND(Milestones!$AB$160="FT",Milestones!$AA$160=FT_Y5,EDATE($D17,Milestones!$AA$160)&lt;PolicyEff),1,Milestones!$AC$160)&amp;";  ","")&amp;IF(AND(EDATE($D17,Milestones!$AA$161)&lt;=AsOfDate,EDATE($D17,Milestones!$AA$161)&gt;=SchemeStart,IF($X17=0,$AD17,IF(AND($Z17&lt;&gt;"",EDATE($D17,Milestones!$AA$161)&gt;=$Z17),$AC17,IF(AND($Y17&lt;&gt;"",EDATE($D17,Milestones!$AA$161)&gt;=$Y17),$AB17,$AA17)))=Milestones!$AB$161),UPPER(TEXT(EDATE($D17,Milestones!$AA$161),"dd mmm yy"))&amp;" "&amp;Milestones!$AB$161&amp;" "&amp;IF(AND(Milestones!$AB$161="FT",Milestones!$AA$161=FT_Y5,EDATE($D17,Milestones!$AA$161)&lt;PolicyEff),1,Milestones!$AC$161)&amp;";  ","")&amp;IF(AND(EDATE($D17,Milestones!$AA$162)&lt;=AsOfDate,EDATE($D17,Milestones!$AA$162)&gt;=SchemeStart,IF($X17=0,$AD17,IF(AND($Z17&lt;&gt;"",EDATE($D17,Milestones!$AA$162)&gt;=$Z17),$AC17,IF(AND($Y17&lt;&gt;"",EDATE($D17,Milestones!$AA$162)&gt;=$Y17),$AB17,$AA17)))=Milestones!$AB$162),UPPER(TEXT(EDATE($D17,Milestones!$AA$162),"dd mmm yy"))&amp;" "&amp;Milestones!$AB$162&amp;" "&amp;IF(AND(Milestones!$AB$162="FT",Milestones!$AA$162=FT_Y5,EDATE($D17,Milestones!$AA$162)&lt;PolicyEff),1,Milestones!$AC$162)&amp;";  ","")&amp;IF(AND(EDATE($D17,Milestones!$AA$163)&lt;=AsOfDate,EDATE($D17,Milestones!$AA$163)&gt;=SchemeStart,IF($X17=0,$AD17,IF(AND($Z17&lt;&gt;"",EDATE($D17,Milestones!$AA$163)&gt;=$Z17),$AC17,IF(AND($Y17&lt;&gt;"",EDATE($D17,Milestones!$AA$163)&gt;=$Y17),$AB17,$AA17)))=Milestones!$AB$163),UPPER(TEXT(EDATE($D17,Milestones!$AA$163),"dd mmm yy"))&amp;" "&amp;Milestones!$AB$163&amp;" "&amp;IF(AND(Milestones!$AB$163="FT",Milestones!$AA$163=FT_Y5,EDATE($D17,Milestones!$AA$163)&lt;PolicyEff),1,Milestones!$AC$163)&amp;";  ",""))</f>
        <v/>
      </c>
      <c r="U17" s="0" t="str">
        <f aca="false">IF(OR($A17="",$D17=""),"",IF(AND(EDATE($D17,Milestones!$AA$164)&lt;=AsOfDate,EDATE($D17,Milestones!$AA$164)&gt;=SchemeStart,IF($X17=0,$AD17,IF(AND($Z17&lt;&gt;"",EDATE($D17,Milestones!$AA$164)&gt;=$Z17),$AC17,IF(AND($Y17&lt;&gt;"",EDATE($D17,Milestones!$AA$164)&gt;=$Y17),$AB17,$AA17)))=Milestones!$AB$164),UPPER(TEXT(EDATE($D17,Milestones!$AA$164),"dd mmm yy"))&amp;" "&amp;Milestones!$AB$164&amp;" "&amp;IF(AND(Milestones!$AB$164="FT",Milestones!$AA$164=FT_Y5,EDATE($D17,Milestones!$AA$164)&lt;PolicyEff),1,Milestones!$AC$164)&amp;";  ","")&amp;IF(AND(EDATE($D17,Milestones!$AA$165)&lt;=AsOfDate,EDATE($D17,Milestones!$AA$165)&gt;=SchemeStart,IF($X17=0,$AD17,IF(AND($Z17&lt;&gt;"",EDATE($D17,Milestones!$AA$165)&gt;=$Z17),$AC17,IF(AND($Y17&lt;&gt;"",EDATE($D17,Milestones!$AA$165)&gt;=$Y17),$AB17,$AA17)))=Milestones!$AB$165),UPPER(TEXT(EDATE($D17,Milestones!$AA$165),"dd mmm yy"))&amp;" "&amp;Milestones!$AB$165&amp;" "&amp;IF(AND(Milestones!$AB$165="FT",Milestones!$AA$165=FT_Y5,EDATE($D17,Milestones!$AA$165)&lt;PolicyEff),1,Milestones!$AC$165)&amp;";  ","")&amp;IF(AND(EDATE($D17,Milestones!$AA$166)&lt;=AsOfDate,EDATE($D17,Milestones!$AA$166)&gt;=SchemeStart,IF($X17=0,$AD17,IF(AND($Z17&lt;&gt;"",EDATE($D17,Milestones!$AA$166)&gt;=$Z17),$AC17,IF(AND($Y17&lt;&gt;"",EDATE($D17,Milestones!$AA$166)&gt;=$Y17),$AB17,$AA17)))=Milestones!$AB$166),UPPER(TEXT(EDATE($D17,Milestones!$AA$166),"dd mmm yy"))&amp;" "&amp;Milestones!$AB$166&amp;" "&amp;IF(AND(Milestones!$AB$166="FT",Milestones!$AA$166=FT_Y5,EDATE($D17,Milestones!$AA$166)&lt;PolicyEff),1,Milestones!$AC$166)&amp;";  ","")&amp;IF(AND(EDATE($D17,Milestones!$AA$167)&lt;=AsOfDate,EDATE($D17,Milestones!$AA$167)&gt;=SchemeStart,IF($X17=0,$AD17,IF(AND($Z17&lt;&gt;"",EDATE($D17,Milestones!$AA$167)&gt;=$Z17),$AC17,IF(AND($Y17&lt;&gt;"",EDATE($D17,Milestones!$AA$167)&gt;=$Y17),$AB17,$AA17)))=Milestones!$AB$167),UPPER(TEXT(EDATE($D17,Milestones!$AA$167),"dd mmm yy"))&amp;" "&amp;Milestones!$AB$167&amp;" "&amp;IF(AND(Milestones!$AB$167="FT",Milestones!$AA$167=FT_Y5,EDATE($D17,Milestones!$AA$167)&lt;PolicyEff),1,Milestones!$AC$167)&amp;";  ","")&amp;IF(AND(EDATE($D17,Milestones!$AA$168)&lt;=AsOfDate,EDATE($D17,Milestones!$AA$168)&gt;=SchemeStart,IF($X17=0,$AD17,IF(AND($Z17&lt;&gt;"",EDATE($D17,Milestones!$AA$168)&gt;=$Z17),$AC17,IF(AND($Y17&lt;&gt;"",EDATE($D17,Milestones!$AA$168)&gt;=$Y17),$AB17,$AA17)))=Milestones!$AB$168),UPPER(TEXT(EDATE($D17,Milestones!$AA$168),"dd mmm yy"))&amp;" "&amp;Milestones!$AB$168&amp;" "&amp;IF(AND(Milestones!$AB$168="FT",Milestones!$AA$168=FT_Y5,EDATE($D17,Milestones!$AA$168)&lt;PolicyEff),1,Milestones!$AC$168)&amp;";  ","")&amp;IF(AND(EDATE($D17,Milestones!$AA$169)&lt;=AsOfDate,EDATE($D17,Milestones!$AA$169)&gt;=SchemeStart,IF($X17=0,$AD17,IF(AND($Z17&lt;&gt;"",EDATE($D17,Milestones!$AA$169)&gt;=$Z17),$AC17,IF(AND($Y17&lt;&gt;"",EDATE($D17,Milestones!$AA$169)&gt;=$Y17),$AB17,$AA17)))=Milestones!$AB$169),UPPER(TEXT(EDATE($D17,Milestones!$AA$169),"dd mmm yy"))&amp;" "&amp;Milestones!$AB$169&amp;" "&amp;IF(AND(Milestones!$AB$169="FT",Milestones!$AA$169=FT_Y5,EDATE($D17,Milestones!$AA$169)&lt;PolicyEff),1,Milestones!$AC$169)&amp;";  ","")&amp;IF(AND(EDATE($D17,Milestones!$AA$170)&lt;=AsOfDate,EDATE($D17,Milestones!$AA$170)&gt;=SchemeStart,IF($X17=0,$AD17,IF(AND($Z17&lt;&gt;"",EDATE($D17,Milestones!$AA$170)&gt;=$Z17),$AC17,IF(AND($Y17&lt;&gt;"",EDATE($D17,Milestones!$AA$170)&gt;=$Y17),$AB17,$AA17)))=Milestones!$AB$170),UPPER(TEXT(EDATE($D17,Milestones!$AA$170),"dd mmm yy"))&amp;" "&amp;Milestones!$AB$170&amp;" "&amp;IF(AND(Milestones!$AB$170="FT",Milestones!$AA$170=FT_Y5,EDATE($D17,Milestones!$AA$170)&lt;PolicyEff),1,Milestones!$AC$170)&amp;";  ","")&amp;IF(AND(EDATE($D17,Milestones!$AA$171)&lt;=AsOfDate,EDATE($D17,Milestones!$AA$171)&gt;=SchemeStart,IF($X17=0,$AD17,IF(AND($Z17&lt;&gt;"",EDATE($D17,Milestones!$AA$171)&gt;=$Z17),$AC17,IF(AND($Y17&lt;&gt;"",EDATE($D17,Milestones!$AA$171)&gt;=$Y17),$AB17,$AA17)))=Milestones!$AB$171),UPPER(TEXT(EDATE($D17,Milestones!$AA$171),"dd mmm yy"))&amp;" "&amp;Milestones!$AB$171&amp;" "&amp;IF(AND(Milestones!$AB$171="FT",Milestones!$AA$171=FT_Y5,EDATE($D17,Milestones!$AA$171)&lt;PolicyEff),1,Milestones!$AC$171)&amp;";  ","")&amp;IF(AND(EDATE($D17,Milestones!$AA$172)&lt;=AsOfDate,EDATE($D17,Milestones!$AA$172)&gt;=SchemeStart,IF($X17=0,$AD17,IF(AND($Z17&lt;&gt;"",EDATE($D17,Milestones!$AA$172)&gt;=$Z17),$AC17,IF(AND($Y17&lt;&gt;"",EDATE($D17,Milestones!$AA$172)&gt;=$Y17),$AB17,$AA17)))=Milestones!$AB$172),UPPER(TEXT(EDATE($D17,Milestones!$AA$172),"dd mmm yy"))&amp;" "&amp;Milestones!$AB$172&amp;" "&amp;IF(AND(Milestones!$AB$172="FT",Milestones!$AA$172=FT_Y5,EDATE($D17,Milestones!$AA$172)&lt;PolicyEff),1,Milestones!$AC$172)&amp;";  ","")&amp;IF(AND(EDATE($D17,Milestones!$AA$173)&lt;=AsOfDate,EDATE($D17,Milestones!$AA$173)&gt;=SchemeStart,IF($X17=0,$AD17,IF(AND($Z17&lt;&gt;"",EDATE($D17,Milestones!$AA$173)&gt;=$Z17),$AC17,IF(AND($Y17&lt;&gt;"",EDATE($D17,Milestones!$AA$173)&gt;=$Y17),$AB17,$AA17)))=Milestones!$AB$173),UPPER(TEXT(EDATE($D17,Milestones!$AA$173),"dd mmm yy"))&amp;" "&amp;Milestones!$AB$173&amp;" "&amp;IF(AND(Milestones!$AB$173="FT",Milestones!$AA$173=FT_Y5,EDATE($D17,Milestones!$AA$173)&lt;PolicyEff),1,Milestones!$AC$173)&amp;";  ","")&amp;IF(AND(EDATE($D17,Milestones!$AA$174)&lt;=AsOfDate,EDATE($D17,Milestones!$AA$174)&gt;=SchemeStart,IF($X17=0,$AD17,IF(AND($Z17&lt;&gt;"",EDATE($D17,Milestones!$AA$174)&gt;=$Z17),$AC17,IF(AND($Y17&lt;&gt;"",EDATE($D17,Milestones!$AA$174)&gt;=$Y17),$AB17,$AA17)))=Milestones!$AB$174),UPPER(TEXT(EDATE($D17,Milestones!$AA$174),"dd mmm yy"))&amp;" "&amp;Milestones!$AB$174&amp;" "&amp;IF(AND(Milestones!$AB$174="FT",Milestones!$AA$174=FT_Y5,EDATE($D17,Milestones!$AA$174)&lt;PolicyEff),1,Milestones!$AC$174)&amp;";  ","")&amp;IF(AND(EDATE($D17,Milestones!$AA$175)&lt;=AsOfDate,EDATE($D17,Milestones!$AA$175)&gt;=SchemeStart,IF($X17=0,$AD17,IF(AND($Z17&lt;&gt;"",EDATE($D17,Milestones!$AA$175)&gt;=$Z17),$AC17,IF(AND($Y17&lt;&gt;"",EDATE($D17,Milestones!$AA$175)&gt;=$Y17),$AB17,$AA17)))=Milestones!$AB$175),UPPER(TEXT(EDATE($D17,Milestones!$AA$175),"dd mmm yy"))&amp;" "&amp;Milestones!$AB$175&amp;" "&amp;IF(AND(Milestones!$AB$175="FT",Milestones!$AA$175=FT_Y5,EDATE($D17,Milestones!$AA$175)&lt;PolicyEff),1,Milestones!$AC$175)&amp;";  ",""))</f>
        <v/>
      </c>
      <c r="V17" s="0" t="str">
        <f aca="false">IF(OR($A17="",$D17=""),"",IF(AND(EDATE($D17,Milestones!$AA$176)&lt;=AsOfDate,EDATE($D17,Milestones!$AA$176)&gt;=SchemeStart,IF($X17=0,$AD17,IF(AND($Z17&lt;&gt;"",EDATE($D17,Milestones!$AA$176)&gt;=$Z17),$AC17,IF(AND($Y17&lt;&gt;"",EDATE($D17,Milestones!$AA$176)&gt;=$Y17),$AB17,$AA17)))=Milestones!$AB$176),UPPER(TEXT(EDATE($D17,Milestones!$AA$176),"dd mmm yy"))&amp;" "&amp;Milestones!$AB$176&amp;" "&amp;IF(AND(Milestones!$AB$176="FT",Milestones!$AA$176=FT_Y5,EDATE($D17,Milestones!$AA$176)&lt;PolicyEff),1,Milestones!$AC$176)&amp;";  ","")&amp;IF(AND(EDATE($D17,Milestones!$AA$177)&lt;=AsOfDate,EDATE($D17,Milestones!$AA$177)&gt;=SchemeStart,IF($X17=0,$AD17,IF(AND($Z17&lt;&gt;"",EDATE($D17,Milestones!$AA$177)&gt;=$Z17),$AC17,IF(AND($Y17&lt;&gt;"",EDATE($D17,Milestones!$AA$177)&gt;=$Y17),$AB17,$AA17)))=Milestones!$AB$177),UPPER(TEXT(EDATE($D17,Milestones!$AA$177),"dd mmm yy"))&amp;" "&amp;Milestones!$AB$177&amp;" "&amp;IF(AND(Milestones!$AB$177="FT",Milestones!$AA$177=FT_Y5,EDATE($D17,Milestones!$AA$177)&lt;PolicyEff),1,Milestones!$AC$177)&amp;";  ","")&amp;IF(AND(EDATE($D17,Milestones!$AA$178)&lt;=AsOfDate,EDATE($D17,Milestones!$AA$178)&gt;=SchemeStart,IF($X17=0,$AD17,IF(AND($Z17&lt;&gt;"",EDATE($D17,Milestones!$AA$178)&gt;=$Z17),$AC17,IF(AND($Y17&lt;&gt;"",EDATE($D17,Milestones!$AA$178)&gt;=$Y17),$AB17,$AA17)))=Milestones!$AB$178),UPPER(TEXT(EDATE($D17,Milestones!$AA$178),"dd mmm yy"))&amp;" "&amp;Milestones!$AB$178&amp;" "&amp;IF(AND(Milestones!$AB$178="FT",Milestones!$AA$178=FT_Y5,EDATE($D17,Milestones!$AA$178)&lt;PolicyEff),1,Milestones!$AC$178)&amp;";  ","")&amp;IF(AND(EDATE($D17,Milestones!$AA$179)&lt;=AsOfDate,EDATE($D17,Milestones!$AA$179)&gt;=SchemeStart,IF($X17=0,$AD17,IF(AND($Z17&lt;&gt;"",EDATE($D17,Milestones!$AA$179)&gt;=$Z17),$AC17,IF(AND($Y17&lt;&gt;"",EDATE($D17,Milestones!$AA$179)&gt;=$Y17),$AB17,$AA17)))=Milestones!$AB$179),UPPER(TEXT(EDATE($D17,Milestones!$AA$179),"dd mmm yy"))&amp;" "&amp;Milestones!$AB$179&amp;" "&amp;IF(AND(Milestones!$AB$179="FT",Milestones!$AA$179=FT_Y5,EDATE($D17,Milestones!$AA$179)&lt;PolicyEff),1,Milestones!$AC$179)&amp;";  ","")&amp;IF(AND(EDATE($D17,Milestones!$AA$180)&lt;=AsOfDate,EDATE($D17,Milestones!$AA$180)&gt;=SchemeStart,IF($X17=0,$AD17,IF(AND($Z17&lt;&gt;"",EDATE($D17,Milestones!$AA$180)&gt;=$Z17),$AC17,IF(AND($Y17&lt;&gt;"",EDATE($D17,Milestones!$AA$180)&gt;=$Y17),$AB17,$AA17)))=Milestones!$AB$180),UPPER(TEXT(EDATE($D17,Milestones!$AA$180),"dd mmm yy"))&amp;" "&amp;Milestones!$AB$180&amp;" "&amp;IF(AND(Milestones!$AB$180="FT",Milestones!$AA$180=FT_Y5,EDATE($D17,Milestones!$AA$180)&lt;PolicyEff),1,Milestones!$AC$180)&amp;";  ","")&amp;IF(AND(EDATE($D17,Milestones!$AA$181)&lt;=AsOfDate,EDATE($D17,Milestones!$AA$181)&gt;=SchemeStart,IF($X17=0,$AD17,IF(AND($Z17&lt;&gt;"",EDATE($D17,Milestones!$AA$181)&gt;=$Z17),$AC17,IF(AND($Y17&lt;&gt;"",EDATE($D17,Milestones!$AA$181)&gt;=$Y17),$AB17,$AA17)))=Milestones!$AB$181),UPPER(TEXT(EDATE($D17,Milestones!$AA$181),"dd mmm yy"))&amp;" "&amp;Milestones!$AB$181&amp;" "&amp;IF(AND(Milestones!$AB$181="FT",Milestones!$AA$181=FT_Y5,EDATE($D17,Milestones!$AA$181)&lt;PolicyEff),1,Milestones!$AC$181)&amp;";  ","")&amp;IF(AND(EDATE($D17,Milestones!$AA$182)&lt;=AsOfDate,EDATE($D17,Milestones!$AA$182)&gt;=SchemeStart,IF($X17=0,$AD17,IF(AND($Z17&lt;&gt;"",EDATE($D17,Milestones!$AA$182)&gt;=$Z17),$AC17,IF(AND($Y17&lt;&gt;"",EDATE($D17,Milestones!$AA$182)&gt;=$Y17),$AB17,$AA17)))=Milestones!$AB$182),UPPER(TEXT(EDATE($D17,Milestones!$AA$182),"dd mmm yy"))&amp;" "&amp;Milestones!$AB$182&amp;" "&amp;IF(AND(Milestones!$AB$182="FT",Milestones!$AA$182=FT_Y5,EDATE($D17,Milestones!$AA$182)&lt;PolicyEff),1,Milestones!$AC$182)&amp;";  ","")&amp;IF(AND(EDATE($D17,Milestones!$AA$183)&lt;=AsOfDate,EDATE($D17,Milestones!$AA$183)&gt;=SchemeStart,IF($X17=0,$AD17,IF(AND($Z17&lt;&gt;"",EDATE($D17,Milestones!$AA$183)&gt;=$Z17),$AC17,IF(AND($Y17&lt;&gt;"",EDATE($D17,Milestones!$AA$183)&gt;=$Y17),$AB17,$AA17)))=Milestones!$AB$183),UPPER(TEXT(EDATE($D17,Milestones!$AA$183),"dd mmm yy"))&amp;" "&amp;Milestones!$AB$183&amp;" "&amp;IF(AND(Milestones!$AB$183="FT",Milestones!$AA$183=FT_Y5,EDATE($D17,Milestones!$AA$183)&lt;PolicyEff),1,Milestones!$AC$183)&amp;";  ","")&amp;IF(AND(EDATE($D17,Milestones!$AA$184)&lt;=AsOfDate,EDATE($D17,Milestones!$AA$184)&gt;=SchemeStart,IF($X17=0,$AD17,IF(AND($Z17&lt;&gt;"",EDATE($D17,Milestones!$AA$184)&gt;=$Z17),$AC17,IF(AND($Y17&lt;&gt;"",EDATE($D17,Milestones!$AA$184)&gt;=$Y17),$AB17,$AA17)))=Milestones!$AB$184),UPPER(TEXT(EDATE($D17,Milestones!$AA$184),"dd mmm yy"))&amp;" "&amp;Milestones!$AB$184&amp;" "&amp;IF(AND(Milestones!$AB$184="FT",Milestones!$AA$184=FT_Y5,EDATE($D17,Milestones!$AA$184)&lt;PolicyEff),1,Milestones!$AC$184)&amp;";  ","")&amp;IF(AND(EDATE($D17,Milestones!$AA$185)&lt;=AsOfDate,EDATE($D17,Milestones!$AA$185)&gt;=SchemeStart,IF($X17=0,$AD17,IF(AND($Z17&lt;&gt;"",EDATE($D17,Milestones!$AA$185)&gt;=$Z17),$AC17,IF(AND($Y17&lt;&gt;"",EDATE($D17,Milestones!$AA$185)&gt;=$Y17),$AB17,$AA17)))=Milestones!$AB$185),UPPER(TEXT(EDATE($D17,Milestones!$AA$185),"dd mmm yy"))&amp;" "&amp;Milestones!$AB$185&amp;" "&amp;IF(AND(Milestones!$AB$185="FT",Milestones!$AA$185=FT_Y5,EDATE($D17,Milestones!$AA$185)&lt;PolicyEff),1,Milestones!$AC$185)&amp;";  ","")&amp;IF(AND(EDATE($D17,Milestones!$AA$186)&lt;=AsOfDate,EDATE($D17,Milestones!$AA$186)&gt;=SchemeStart,IF($X17=0,$AD17,IF(AND($Z17&lt;&gt;"",EDATE($D17,Milestones!$AA$186)&gt;=$Z17),$AC17,IF(AND($Y17&lt;&gt;"",EDATE($D17,Milestones!$AA$186)&gt;=$Y17),$AB17,$AA17)))=Milestones!$AB$186),UPPER(TEXT(EDATE($D17,Milestones!$AA$186),"dd mmm yy"))&amp;" "&amp;Milestones!$AB$186&amp;" "&amp;IF(AND(Milestones!$AB$186="FT",Milestones!$AA$186=FT_Y5,EDATE($D17,Milestones!$AA$186)&lt;PolicyEff),1,Milestones!$AC$186)&amp;";  ","")&amp;IF(AND(EDATE($D17,Milestones!$AA$187)&lt;=AsOfDate,EDATE($D17,Milestones!$AA$187)&gt;=SchemeStart,IF($X17=0,$AD17,IF(AND($Z17&lt;&gt;"",EDATE($D17,Milestones!$AA$187)&gt;=$Z17),$AC17,IF(AND($Y17&lt;&gt;"",EDATE($D17,Milestones!$AA$187)&gt;=$Y17),$AB17,$AA17)))=Milestones!$AB$187),UPPER(TEXT(EDATE($D17,Milestones!$AA$187),"dd mmm yy"))&amp;" "&amp;Milestones!$AB$187&amp;" "&amp;IF(AND(Milestones!$AB$187="FT",Milestones!$AA$187=FT_Y5,EDATE($D17,Milestones!$AA$187)&lt;PolicyEff),1,Milestones!$AC$187)&amp;";  ",""))</f>
        <v/>
      </c>
      <c r="W17" s="0" t="str">
        <f aca="false">IF(OR($A17="",$D17=""),"",IF(AND(EDATE($D17,Milestones!$AA$188)&lt;=AsOfDate,EDATE($D17,Milestones!$AA$188)&gt;=SchemeStart,IF($X17=0,$AD17,IF(AND($Z17&lt;&gt;"",EDATE($D17,Milestones!$AA$188)&gt;=$Z17),$AC17,IF(AND($Y17&lt;&gt;"",EDATE($D17,Milestones!$AA$188)&gt;=$Y17),$AB17,$AA17)))=Milestones!$AB$188),UPPER(TEXT(EDATE($D17,Milestones!$AA$188),"dd mmm yy"))&amp;" "&amp;Milestones!$AB$188&amp;" "&amp;IF(AND(Milestones!$AB$188="FT",Milestones!$AA$188=FT_Y5,EDATE($D17,Milestones!$AA$188)&lt;PolicyEff),1,Milestones!$AC$188)&amp;";  ","")&amp;IF(AND(EDATE($D17,Milestones!$AA$189)&lt;=AsOfDate,EDATE($D17,Milestones!$AA$189)&gt;=SchemeStart,IF($X17=0,$AD17,IF(AND($Z17&lt;&gt;"",EDATE($D17,Milestones!$AA$189)&gt;=$Z17),$AC17,IF(AND($Y17&lt;&gt;"",EDATE($D17,Milestones!$AA$189)&gt;=$Y17),$AB17,$AA17)))=Milestones!$AB$189),UPPER(TEXT(EDATE($D17,Milestones!$AA$189),"dd mmm yy"))&amp;" "&amp;Milestones!$AB$189&amp;" "&amp;IF(AND(Milestones!$AB$189="FT",Milestones!$AA$189=FT_Y5,EDATE($D17,Milestones!$AA$189)&lt;PolicyEff),1,Milestones!$AC$189)&amp;";  ","")&amp;IF(AND(EDATE($D17,Milestones!$AA$190)&lt;=AsOfDate,EDATE($D17,Milestones!$AA$190)&gt;=SchemeStart,IF($X17=0,$AD17,IF(AND($Z17&lt;&gt;"",EDATE($D17,Milestones!$AA$190)&gt;=$Z17),$AC17,IF(AND($Y17&lt;&gt;"",EDATE($D17,Milestones!$AA$190)&gt;=$Y17),$AB17,$AA17)))=Milestones!$AB$190),UPPER(TEXT(EDATE($D17,Milestones!$AA$190),"dd mmm yy"))&amp;" "&amp;Milestones!$AB$190&amp;" "&amp;IF(AND(Milestones!$AB$190="FT",Milestones!$AA$190=FT_Y5,EDATE($D17,Milestones!$AA$190)&lt;PolicyEff),1,Milestones!$AC$190)&amp;";  ","")&amp;IF(AND(EDATE($D17,Milestones!$AA$191)&lt;=AsOfDate,EDATE($D17,Milestones!$AA$191)&gt;=SchemeStart,IF($X17=0,$AD17,IF(AND($Z17&lt;&gt;"",EDATE($D17,Milestones!$AA$191)&gt;=$Z17),$AC17,IF(AND($Y17&lt;&gt;"",EDATE($D17,Milestones!$AA$191)&gt;=$Y17),$AB17,$AA17)))=Milestones!$AB$191),UPPER(TEXT(EDATE($D17,Milestones!$AA$191),"dd mmm yy"))&amp;" "&amp;Milestones!$AB$191&amp;" "&amp;IF(AND(Milestones!$AB$191="FT",Milestones!$AA$191=FT_Y5,EDATE($D17,Milestones!$AA$191)&lt;PolicyEff),1,Milestones!$AC$191)&amp;";  ","")&amp;IF(AND(EDATE($D17,Milestones!$AA$192)&lt;=AsOfDate,EDATE($D17,Milestones!$AA$192)&gt;=SchemeStart,IF($X17=0,$AD17,IF(AND($Z17&lt;&gt;"",EDATE($D17,Milestones!$AA$192)&gt;=$Z17),$AC17,IF(AND($Y17&lt;&gt;"",EDATE($D17,Milestones!$AA$192)&gt;=$Y17),$AB17,$AA17)))=Milestones!$AB$192),UPPER(TEXT(EDATE($D17,Milestones!$AA$192),"dd mmm yy"))&amp;" "&amp;Milestones!$AB$192&amp;" "&amp;IF(AND(Milestones!$AB$192="FT",Milestones!$AA$192=FT_Y5,EDATE($D17,Milestones!$AA$192)&lt;PolicyEff),1,Milestones!$AC$192)&amp;";  ","")&amp;IF(AND(EDATE($D17,Milestones!$AA$193)&lt;=AsOfDate,EDATE($D17,Milestones!$AA$193)&gt;=SchemeStart,IF($X17=0,$AD17,IF(AND($Z17&lt;&gt;"",EDATE($D17,Milestones!$AA$193)&gt;=$Z17),$AC17,IF(AND($Y17&lt;&gt;"",EDATE($D17,Milestones!$AA$193)&gt;=$Y17),$AB17,$AA17)))=Milestones!$AB$193),UPPER(TEXT(EDATE($D17,Milestones!$AA$193),"dd mmm yy"))&amp;" "&amp;Milestones!$AB$193&amp;" "&amp;IF(AND(Milestones!$AB$193="FT",Milestones!$AA$193=FT_Y5,EDATE($D17,Milestones!$AA$193)&lt;PolicyEff),1,Milestones!$AC$193)&amp;";  ","")&amp;IF(AND(EDATE($D17,Milestones!$AA$194)&lt;=AsOfDate,EDATE($D17,Milestones!$AA$194)&gt;=SchemeStart,IF($X17=0,$AD17,IF(AND($Z17&lt;&gt;"",EDATE($D17,Milestones!$AA$194)&gt;=$Z17),$AC17,IF(AND($Y17&lt;&gt;"",EDATE($D17,Milestones!$AA$194)&gt;=$Y17),$AB17,$AA17)))=Milestones!$AB$194),UPPER(TEXT(EDATE($D17,Milestones!$AA$194),"dd mmm yy"))&amp;" "&amp;Milestones!$AB$194&amp;" "&amp;IF(AND(Milestones!$AB$194="FT",Milestones!$AA$194=FT_Y5,EDATE($D17,Milestones!$AA$194)&lt;PolicyEff),1,Milestones!$AC$194)&amp;";  ","")&amp;IF(AND(EDATE($D17,Milestones!$AA$195)&lt;=AsOfDate,EDATE($D17,Milestones!$AA$195)&gt;=SchemeStart,IF($X17=0,$AD17,IF(AND($Z17&lt;&gt;"",EDATE($D17,Milestones!$AA$195)&gt;=$Z17),$AC17,IF(AND($Y17&lt;&gt;"",EDATE($D17,Milestones!$AA$195)&gt;=$Y17),$AB17,$AA17)))=Milestones!$AB$195),UPPER(TEXT(EDATE($D17,Milestones!$AA$195),"dd mmm yy"))&amp;" "&amp;Milestones!$AB$195&amp;" "&amp;IF(AND(Milestones!$AB$195="FT",Milestones!$AA$195=FT_Y5,EDATE($D17,Milestones!$AA$195)&lt;PolicyEff),1,Milestones!$AC$195)&amp;";  ","")&amp;IF(AND(EDATE($D17,Milestones!$AA$196)&lt;=AsOfDate,EDATE($D17,Milestones!$AA$196)&gt;=SchemeStart,IF($X17=0,$AD17,IF(AND($Z17&lt;&gt;"",EDATE($D17,Milestones!$AA$196)&gt;=$Z17),$AC17,IF(AND($Y17&lt;&gt;"",EDATE($D17,Milestones!$AA$196)&gt;=$Y17),$AB17,$AA17)))=Milestones!$AB$196),UPPER(TEXT(EDATE($D17,Milestones!$AA$196),"dd mmm yy"))&amp;" "&amp;Milestones!$AB$196&amp;" "&amp;IF(AND(Milestones!$AB$196="FT",Milestones!$AA$196=FT_Y5,EDATE($D17,Milestones!$AA$196)&lt;PolicyEff),1,Milestones!$AC$196)&amp;";  ","")&amp;IF(AND(EDATE($D17,Milestones!$AA$197)&lt;=AsOfDate,EDATE($D17,Milestones!$AA$197)&gt;=SchemeStart,IF($X17=0,$AD17,IF(AND($Z17&lt;&gt;"",EDATE($D17,Milestones!$AA$197)&gt;=$Z17),$AC17,IF(AND($Y17&lt;&gt;"",EDATE($D17,Milestones!$AA$197)&gt;=$Y17),$AB17,$AA17)))=Milestones!$AB$197),UPPER(TEXT(EDATE($D17,Milestones!$AA$197),"dd mmm yy"))&amp;" "&amp;Milestones!$AB$197&amp;" "&amp;IF(AND(Milestones!$AB$197="FT",Milestones!$AA$197=FT_Y5,EDATE($D17,Milestones!$AA$197)&lt;PolicyEff),1,Milestones!$AC$197)&amp;";  ","")&amp;IF(AND(EDATE($D17,Milestones!$AA$198)&lt;=AsOfDate,EDATE($D17,Milestones!$AA$198)&gt;=SchemeStart,IF($X17=0,$AD17,IF(AND($Z17&lt;&gt;"",EDATE($D17,Milestones!$AA$198)&gt;=$Z17),$AC17,IF(AND($Y17&lt;&gt;"",EDATE($D17,Milestones!$AA$198)&gt;=$Y17),$AB17,$AA17)))=Milestones!$AB$198),UPPER(TEXT(EDATE($D17,Milestones!$AA$198),"dd mmm yy"))&amp;" "&amp;Milestones!$AB$198&amp;" "&amp;IF(AND(Milestones!$AB$198="FT",Milestones!$AA$198=FT_Y5,EDATE($D17,Milestones!$AA$198)&lt;PolicyEff),1,Milestones!$AC$198)&amp;";  ","")&amp;IF(AND(EDATE($D17,Milestones!$AA$199)&lt;=AsOfDate,EDATE($D17,Milestones!$AA$199)&gt;=SchemeStart,IF($X17=0,$AD17,IF(AND($Z17&lt;&gt;"",EDATE($D17,Milestones!$AA$199)&gt;=$Z17),$AC17,IF(AND($Y17&lt;&gt;"",EDATE($D17,Milestones!$AA$199)&gt;=$Y17),$AB17,$AA17)))=Milestones!$AB$199),UPPER(TEXT(EDATE($D17,Milestones!$AA$199),"dd mmm yy"))&amp;" "&amp;Milestones!$AB$199&amp;" "&amp;IF(AND(Milestones!$AB$199="FT",Milestones!$AA$199=FT_Y5,EDATE($D17,Milestones!$AA$199)&lt;PolicyEff),1,Milestones!$AC$199)&amp;";  ",""))</f>
        <v/>
      </c>
      <c r="X17" s="0" t="str">
        <f aca="false">IF(Staff!$A17="","",Staff!$AM17)</f>
        <v/>
      </c>
      <c r="Y17" s="0" t="str">
        <f aca="false">IF(Staff!$A17="","",Staff!$AO17)</f>
        <v/>
      </c>
      <c r="Z17" s="0" t="str">
        <f aca="false">IF(Staff!$A17="","",Staff!$AP17)</f>
        <v/>
      </c>
      <c r="AA17" s="0" t="str">
        <f aca="false">IF(Staff!$A17="","",Staff!$AT17)</f>
        <v/>
      </c>
      <c r="AB17" s="0" t="str">
        <f aca="false">IF(Staff!$A17="","",Staff!$AU17)</f>
        <v/>
      </c>
      <c r="AC17" s="0" t="str">
        <f aca="false">IF(Staff!$A17="","",Staff!$AV17)</f>
        <v/>
      </c>
      <c r="AD17" s="0" t="str">
        <f aca="false">IF(Staff!$A17="","",Staff!$AW17)</f>
        <v/>
      </c>
    </row>
    <row r="18" customFormat="false" ht="15" hidden="false" customHeight="false" outlineLevel="0" collapsed="false">
      <c r="A18" s="16" t="str">
        <f aca="false">IF(Staff!$A18="","",Staff!$A18)</f>
        <v/>
      </c>
      <c r="B18" s="16" t="str">
        <f aca="false">IF(Staff!$A18="","",Staff!$B18)</f>
        <v/>
      </c>
      <c r="C18" s="16" t="str">
        <f aca="false">IF(Staff!$A18="","",Staff!$C18)</f>
        <v/>
      </c>
      <c r="D18" s="14" t="str">
        <f aca="false">IF(Staff!$A18="","",Staff!$AL18)</f>
        <v/>
      </c>
      <c r="E18" s="16" t="str">
        <f aca="false">IF(Staff!$A18="","",Staff!$O18)</f>
        <v/>
      </c>
      <c r="F18" s="16" t="str">
        <f aca="false">IF(E18="","",E18*HoursPerDay)</f>
        <v/>
      </c>
      <c r="G18" s="16" t="str">
        <f aca="false">IF(Staff!$A18="","",Staff!$AE18)</f>
        <v/>
      </c>
      <c r="H18" s="28" t="str">
        <f aca="false">IF($A18="","",I18&amp;J18&amp;K18&amp;L18&amp;M18&amp;N18&amp;O18&amp;P18&amp;Q18&amp;R18&amp;S18&amp;T18&amp;U18&amp;V18&amp;W18)</f>
        <v/>
      </c>
      <c r="I18" s="0" t="str">
        <f aca="false">IF(OR($A18="",$D18=""),"",IF(AND(EDATE($D18,Milestones!$AA$20)&lt;=AsOfDate,EDATE($D18,Milestones!$AA$20)&gt;=SchemeStart,IF($X18=0,$AD18,IF(AND($Z18&lt;&gt;"",EDATE($D18,Milestones!$AA$20)&gt;=$Z18),$AC18,IF(AND($Y18&lt;&gt;"",EDATE($D18,Milestones!$AA$20)&gt;=$Y18),$AB18,$AA18)))=Milestones!$AB$20),UPPER(TEXT(EDATE($D18,Milestones!$AA$20),"dd mmm yy"))&amp;" "&amp;Milestones!$AB$20&amp;" "&amp;IF(AND(Milestones!$AB$20="FT",Milestones!$AA$20=FT_Y5,EDATE($D18,Milestones!$AA$20)&lt;PolicyEff),1,Milestones!$AC$20)&amp;";  ","")&amp;IF(AND(EDATE($D18,Milestones!$AA$21)&lt;=AsOfDate,EDATE($D18,Milestones!$AA$21)&gt;=SchemeStart,IF($X18=0,$AD18,IF(AND($Z18&lt;&gt;"",EDATE($D18,Milestones!$AA$21)&gt;=$Z18),$AC18,IF(AND($Y18&lt;&gt;"",EDATE($D18,Milestones!$AA$21)&gt;=$Y18),$AB18,$AA18)))=Milestones!$AB$21),UPPER(TEXT(EDATE($D18,Milestones!$AA$21),"dd mmm yy"))&amp;" "&amp;Milestones!$AB$21&amp;" "&amp;IF(AND(Milestones!$AB$21="FT",Milestones!$AA$21=FT_Y5,EDATE($D18,Milestones!$AA$21)&lt;PolicyEff),1,Milestones!$AC$21)&amp;";  ","")&amp;IF(AND(EDATE($D18,Milestones!$AA$22)&lt;=AsOfDate,EDATE($D18,Milestones!$AA$22)&gt;=SchemeStart,IF($X18=0,$AD18,IF(AND($Z18&lt;&gt;"",EDATE($D18,Milestones!$AA$22)&gt;=$Z18),$AC18,IF(AND($Y18&lt;&gt;"",EDATE($D18,Milestones!$AA$22)&gt;=$Y18),$AB18,$AA18)))=Milestones!$AB$22),UPPER(TEXT(EDATE($D18,Milestones!$AA$22),"dd mmm yy"))&amp;" "&amp;Milestones!$AB$22&amp;" "&amp;IF(AND(Milestones!$AB$22="FT",Milestones!$AA$22=FT_Y5,EDATE($D18,Milestones!$AA$22)&lt;PolicyEff),1,Milestones!$AC$22)&amp;";  ","")&amp;IF(AND(EDATE($D18,Milestones!$AA$23)&lt;=AsOfDate,EDATE($D18,Milestones!$AA$23)&gt;=SchemeStart,IF($X18=0,$AD18,IF(AND($Z18&lt;&gt;"",EDATE($D18,Milestones!$AA$23)&gt;=$Z18),$AC18,IF(AND($Y18&lt;&gt;"",EDATE($D18,Milestones!$AA$23)&gt;=$Y18),$AB18,$AA18)))=Milestones!$AB$23),UPPER(TEXT(EDATE($D18,Milestones!$AA$23),"dd mmm yy"))&amp;" "&amp;Milestones!$AB$23&amp;" "&amp;IF(AND(Milestones!$AB$23="FT",Milestones!$AA$23=FT_Y5,EDATE($D18,Milestones!$AA$23)&lt;PolicyEff),1,Milestones!$AC$23)&amp;";  ","")&amp;IF(AND(EDATE($D18,Milestones!$AA$24)&lt;=AsOfDate,EDATE($D18,Milestones!$AA$24)&gt;=SchemeStart,IF($X18=0,$AD18,IF(AND($Z18&lt;&gt;"",EDATE($D18,Milestones!$AA$24)&gt;=$Z18),$AC18,IF(AND($Y18&lt;&gt;"",EDATE($D18,Milestones!$AA$24)&gt;=$Y18),$AB18,$AA18)))=Milestones!$AB$24),UPPER(TEXT(EDATE($D18,Milestones!$AA$24),"dd mmm yy"))&amp;" "&amp;Milestones!$AB$24&amp;" "&amp;IF(AND(Milestones!$AB$24="FT",Milestones!$AA$24=FT_Y5,EDATE($D18,Milestones!$AA$24)&lt;PolicyEff),1,Milestones!$AC$24)&amp;";  ","")&amp;IF(AND(EDATE($D18,Milestones!$AA$25)&lt;=AsOfDate,EDATE($D18,Milestones!$AA$25)&gt;=SchemeStart,IF($X18=0,$AD18,IF(AND($Z18&lt;&gt;"",EDATE($D18,Milestones!$AA$25)&gt;=$Z18),$AC18,IF(AND($Y18&lt;&gt;"",EDATE($D18,Milestones!$AA$25)&gt;=$Y18),$AB18,$AA18)))=Milestones!$AB$25),UPPER(TEXT(EDATE($D18,Milestones!$AA$25),"dd mmm yy"))&amp;" "&amp;Milestones!$AB$25&amp;" "&amp;IF(AND(Milestones!$AB$25="FT",Milestones!$AA$25=FT_Y5,EDATE($D18,Milestones!$AA$25)&lt;PolicyEff),1,Milestones!$AC$25)&amp;";  ","")&amp;IF(AND(EDATE($D18,Milestones!$AA$26)&lt;=AsOfDate,EDATE($D18,Milestones!$AA$26)&gt;=SchemeStart,IF($X18=0,$AD18,IF(AND($Z18&lt;&gt;"",EDATE($D18,Milestones!$AA$26)&gt;=$Z18),$AC18,IF(AND($Y18&lt;&gt;"",EDATE($D18,Milestones!$AA$26)&gt;=$Y18),$AB18,$AA18)))=Milestones!$AB$26),UPPER(TEXT(EDATE($D18,Milestones!$AA$26),"dd mmm yy"))&amp;" "&amp;Milestones!$AB$26&amp;" "&amp;IF(AND(Milestones!$AB$26="FT",Milestones!$AA$26=FT_Y5,EDATE($D18,Milestones!$AA$26)&lt;PolicyEff),1,Milestones!$AC$26)&amp;";  ","")&amp;IF(AND(EDATE($D18,Milestones!$AA$27)&lt;=AsOfDate,EDATE($D18,Milestones!$AA$27)&gt;=SchemeStart,IF($X18=0,$AD18,IF(AND($Z18&lt;&gt;"",EDATE($D18,Milestones!$AA$27)&gt;=$Z18),$AC18,IF(AND($Y18&lt;&gt;"",EDATE($D18,Milestones!$AA$27)&gt;=$Y18),$AB18,$AA18)))=Milestones!$AB$27),UPPER(TEXT(EDATE($D18,Milestones!$AA$27),"dd mmm yy"))&amp;" "&amp;Milestones!$AB$27&amp;" "&amp;IF(AND(Milestones!$AB$27="FT",Milestones!$AA$27=FT_Y5,EDATE($D18,Milestones!$AA$27)&lt;PolicyEff),1,Milestones!$AC$27)&amp;";  ","")&amp;IF(AND(EDATE($D18,Milestones!$AA$28)&lt;=AsOfDate,EDATE($D18,Milestones!$AA$28)&gt;=SchemeStart,IF($X18=0,$AD18,IF(AND($Z18&lt;&gt;"",EDATE($D18,Milestones!$AA$28)&gt;=$Z18),$AC18,IF(AND($Y18&lt;&gt;"",EDATE($D18,Milestones!$AA$28)&gt;=$Y18),$AB18,$AA18)))=Milestones!$AB$28),UPPER(TEXT(EDATE($D18,Milestones!$AA$28),"dd mmm yy"))&amp;" "&amp;Milestones!$AB$28&amp;" "&amp;IF(AND(Milestones!$AB$28="FT",Milestones!$AA$28=FT_Y5,EDATE($D18,Milestones!$AA$28)&lt;PolicyEff),1,Milestones!$AC$28)&amp;";  ","")&amp;IF(AND(EDATE($D18,Milestones!$AA$29)&lt;=AsOfDate,EDATE($D18,Milestones!$AA$29)&gt;=SchemeStart,IF($X18=0,$AD18,IF(AND($Z18&lt;&gt;"",EDATE($D18,Milestones!$AA$29)&gt;=$Z18),$AC18,IF(AND($Y18&lt;&gt;"",EDATE($D18,Milestones!$AA$29)&gt;=$Y18),$AB18,$AA18)))=Milestones!$AB$29),UPPER(TEXT(EDATE($D18,Milestones!$AA$29),"dd mmm yy"))&amp;" "&amp;Milestones!$AB$29&amp;" "&amp;IF(AND(Milestones!$AB$29="FT",Milestones!$AA$29=FT_Y5,EDATE($D18,Milestones!$AA$29)&lt;PolicyEff),1,Milestones!$AC$29)&amp;";  ","")&amp;IF(AND(EDATE($D18,Milestones!$AA$30)&lt;=AsOfDate,EDATE($D18,Milestones!$AA$30)&gt;=SchemeStart,IF($X18=0,$AD18,IF(AND($Z18&lt;&gt;"",EDATE($D18,Milestones!$AA$30)&gt;=$Z18),$AC18,IF(AND($Y18&lt;&gt;"",EDATE($D18,Milestones!$AA$30)&gt;=$Y18),$AB18,$AA18)))=Milestones!$AB$30),UPPER(TEXT(EDATE($D18,Milestones!$AA$30),"dd mmm yy"))&amp;" "&amp;Milestones!$AB$30&amp;" "&amp;IF(AND(Milestones!$AB$30="FT",Milestones!$AA$30=FT_Y5,EDATE($D18,Milestones!$AA$30)&lt;PolicyEff),1,Milestones!$AC$30)&amp;";  ","")&amp;IF(AND(EDATE($D18,Milestones!$AA$31)&lt;=AsOfDate,EDATE($D18,Milestones!$AA$31)&gt;=SchemeStart,IF($X18=0,$AD18,IF(AND($Z18&lt;&gt;"",EDATE($D18,Milestones!$AA$31)&gt;=$Z18),$AC18,IF(AND($Y18&lt;&gt;"",EDATE($D18,Milestones!$AA$31)&gt;=$Y18),$AB18,$AA18)))=Milestones!$AB$31),UPPER(TEXT(EDATE($D18,Milestones!$AA$31),"dd mmm yy"))&amp;" "&amp;Milestones!$AB$31&amp;" "&amp;IF(AND(Milestones!$AB$31="FT",Milestones!$AA$31=FT_Y5,EDATE($D18,Milestones!$AA$31)&lt;PolicyEff),1,Milestones!$AC$31)&amp;";  ",""))</f>
        <v/>
      </c>
      <c r="J18" s="0" t="str">
        <f aca="false">IF(OR($A18="",$D18=""),"",IF(AND(EDATE($D18,Milestones!$AA$32)&lt;=AsOfDate,EDATE($D18,Milestones!$AA$32)&gt;=SchemeStart,IF($X18=0,$AD18,IF(AND($Z18&lt;&gt;"",EDATE($D18,Milestones!$AA$32)&gt;=$Z18),$AC18,IF(AND($Y18&lt;&gt;"",EDATE($D18,Milestones!$AA$32)&gt;=$Y18),$AB18,$AA18)))=Milestones!$AB$32),UPPER(TEXT(EDATE($D18,Milestones!$AA$32),"dd mmm yy"))&amp;" "&amp;Milestones!$AB$32&amp;" "&amp;IF(AND(Milestones!$AB$32="FT",Milestones!$AA$32=FT_Y5,EDATE($D18,Milestones!$AA$32)&lt;PolicyEff),1,Milestones!$AC$32)&amp;";  ","")&amp;IF(AND(EDATE($D18,Milestones!$AA$33)&lt;=AsOfDate,EDATE($D18,Milestones!$AA$33)&gt;=SchemeStart,IF($X18=0,$AD18,IF(AND($Z18&lt;&gt;"",EDATE($D18,Milestones!$AA$33)&gt;=$Z18),$AC18,IF(AND($Y18&lt;&gt;"",EDATE($D18,Milestones!$AA$33)&gt;=$Y18),$AB18,$AA18)))=Milestones!$AB$33),UPPER(TEXT(EDATE($D18,Milestones!$AA$33),"dd mmm yy"))&amp;" "&amp;Milestones!$AB$33&amp;" "&amp;IF(AND(Milestones!$AB$33="FT",Milestones!$AA$33=FT_Y5,EDATE($D18,Milestones!$AA$33)&lt;PolicyEff),1,Milestones!$AC$33)&amp;";  ","")&amp;IF(AND(EDATE($D18,Milestones!$AA$34)&lt;=AsOfDate,EDATE($D18,Milestones!$AA$34)&gt;=SchemeStart,IF($X18=0,$AD18,IF(AND($Z18&lt;&gt;"",EDATE($D18,Milestones!$AA$34)&gt;=$Z18),$AC18,IF(AND($Y18&lt;&gt;"",EDATE($D18,Milestones!$AA$34)&gt;=$Y18),$AB18,$AA18)))=Milestones!$AB$34),UPPER(TEXT(EDATE($D18,Milestones!$AA$34),"dd mmm yy"))&amp;" "&amp;Milestones!$AB$34&amp;" "&amp;IF(AND(Milestones!$AB$34="FT",Milestones!$AA$34=FT_Y5,EDATE($D18,Milestones!$AA$34)&lt;PolicyEff),1,Milestones!$AC$34)&amp;";  ","")&amp;IF(AND(EDATE($D18,Milestones!$AA$35)&lt;=AsOfDate,EDATE($D18,Milestones!$AA$35)&gt;=SchemeStart,IF($X18=0,$AD18,IF(AND($Z18&lt;&gt;"",EDATE($D18,Milestones!$AA$35)&gt;=$Z18),$AC18,IF(AND($Y18&lt;&gt;"",EDATE($D18,Milestones!$AA$35)&gt;=$Y18),$AB18,$AA18)))=Milestones!$AB$35),UPPER(TEXT(EDATE($D18,Milestones!$AA$35),"dd mmm yy"))&amp;" "&amp;Milestones!$AB$35&amp;" "&amp;IF(AND(Milestones!$AB$35="FT",Milestones!$AA$35=FT_Y5,EDATE($D18,Milestones!$AA$35)&lt;PolicyEff),1,Milestones!$AC$35)&amp;";  ","")&amp;IF(AND(EDATE($D18,Milestones!$AA$36)&lt;=AsOfDate,EDATE($D18,Milestones!$AA$36)&gt;=SchemeStart,IF($X18=0,$AD18,IF(AND($Z18&lt;&gt;"",EDATE($D18,Milestones!$AA$36)&gt;=$Z18),$AC18,IF(AND($Y18&lt;&gt;"",EDATE($D18,Milestones!$AA$36)&gt;=$Y18),$AB18,$AA18)))=Milestones!$AB$36),UPPER(TEXT(EDATE($D18,Milestones!$AA$36),"dd mmm yy"))&amp;" "&amp;Milestones!$AB$36&amp;" "&amp;IF(AND(Milestones!$AB$36="FT",Milestones!$AA$36=FT_Y5,EDATE($D18,Milestones!$AA$36)&lt;PolicyEff),1,Milestones!$AC$36)&amp;";  ","")&amp;IF(AND(EDATE($D18,Milestones!$AA$37)&lt;=AsOfDate,EDATE($D18,Milestones!$AA$37)&gt;=SchemeStart,IF($X18=0,$AD18,IF(AND($Z18&lt;&gt;"",EDATE($D18,Milestones!$AA$37)&gt;=$Z18),$AC18,IF(AND($Y18&lt;&gt;"",EDATE($D18,Milestones!$AA$37)&gt;=$Y18),$AB18,$AA18)))=Milestones!$AB$37),UPPER(TEXT(EDATE($D18,Milestones!$AA$37),"dd mmm yy"))&amp;" "&amp;Milestones!$AB$37&amp;" "&amp;IF(AND(Milestones!$AB$37="FT",Milestones!$AA$37=FT_Y5,EDATE($D18,Milestones!$AA$37)&lt;PolicyEff),1,Milestones!$AC$37)&amp;";  ","")&amp;IF(AND(EDATE($D18,Milestones!$AA$38)&lt;=AsOfDate,EDATE($D18,Milestones!$AA$38)&gt;=SchemeStart,IF($X18=0,$AD18,IF(AND($Z18&lt;&gt;"",EDATE($D18,Milestones!$AA$38)&gt;=$Z18),$AC18,IF(AND($Y18&lt;&gt;"",EDATE($D18,Milestones!$AA$38)&gt;=$Y18),$AB18,$AA18)))=Milestones!$AB$38),UPPER(TEXT(EDATE($D18,Milestones!$AA$38),"dd mmm yy"))&amp;" "&amp;Milestones!$AB$38&amp;" "&amp;IF(AND(Milestones!$AB$38="FT",Milestones!$AA$38=FT_Y5,EDATE($D18,Milestones!$AA$38)&lt;PolicyEff),1,Milestones!$AC$38)&amp;";  ","")&amp;IF(AND(EDATE($D18,Milestones!$AA$39)&lt;=AsOfDate,EDATE($D18,Milestones!$AA$39)&gt;=SchemeStart,IF($X18=0,$AD18,IF(AND($Z18&lt;&gt;"",EDATE($D18,Milestones!$AA$39)&gt;=$Z18),$AC18,IF(AND($Y18&lt;&gt;"",EDATE($D18,Milestones!$AA$39)&gt;=$Y18),$AB18,$AA18)))=Milestones!$AB$39),UPPER(TEXT(EDATE($D18,Milestones!$AA$39),"dd mmm yy"))&amp;" "&amp;Milestones!$AB$39&amp;" "&amp;IF(AND(Milestones!$AB$39="FT",Milestones!$AA$39=FT_Y5,EDATE($D18,Milestones!$AA$39)&lt;PolicyEff),1,Milestones!$AC$39)&amp;";  ","")&amp;IF(AND(EDATE($D18,Milestones!$AA$40)&lt;=AsOfDate,EDATE($D18,Milestones!$AA$40)&gt;=SchemeStart,IF($X18=0,$AD18,IF(AND($Z18&lt;&gt;"",EDATE($D18,Milestones!$AA$40)&gt;=$Z18),$AC18,IF(AND($Y18&lt;&gt;"",EDATE($D18,Milestones!$AA$40)&gt;=$Y18),$AB18,$AA18)))=Milestones!$AB$40),UPPER(TEXT(EDATE($D18,Milestones!$AA$40),"dd mmm yy"))&amp;" "&amp;Milestones!$AB$40&amp;" "&amp;IF(AND(Milestones!$AB$40="FT",Milestones!$AA$40=FT_Y5,EDATE($D18,Milestones!$AA$40)&lt;PolicyEff),1,Milestones!$AC$40)&amp;";  ","")&amp;IF(AND(EDATE($D18,Milestones!$AA$41)&lt;=AsOfDate,EDATE($D18,Milestones!$AA$41)&gt;=SchemeStart,IF($X18=0,$AD18,IF(AND($Z18&lt;&gt;"",EDATE($D18,Milestones!$AA$41)&gt;=$Z18),$AC18,IF(AND($Y18&lt;&gt;"",EDATE($D18,Milestones!$AA$41)&gt;=$Y18),$AB18,$AA18)))=Milestones!$AB$41),UPPER(TEXT(EDATE($D18,Milestones!$AA$41),"dd mmm yy"))&amp;" "&amp;Milestones!$AB$41&amp;" "&amp;IF(AND(Milestones!$AB$41="FT",Milestones!$AA$41=FT_Y5,EDATE($D18,Milestones!$AA$41)&lt;PolicyEff),1,Milestones!$AC$41)&amp;";  ","")&amp;IF(AND(EDATE($D18,Milestones!$AA$42)&lt;=AsOfDate,EDATE($D18,Milestones!$AA$42)&gt;=SchemeStart,IF($X18=0,$AD18,IF(AND($Z18&lt;&gt;"",EDATE($D18,Milestones!$AA$42)&gt;=$Z18),$AC18,IF(AND($Y18&lt;&gt;"",EDATE($D18,Milestones!$AA$42)&gt;=$Y18),$AB18,$AA18)))=Milestones!$AB$42),UPPER(TEXT(EDATE($D18,Milestones!$AA$42),"dd mmm yy"))&amp;" "&amp;Milestones!$AB$42&amp;" "&amp;IF(AND(Milestones!$AB$42="FT",Milestones!$AA$42=FT_Y5,EDATE($D18,Milestones!$AA$42)&lt;PolicyEff),1,Milestones!$AC$42)&amp;";  ","")&amp;IF(AND(EDATE($D18,Milestones!$AA$43)&lt;=AsOfDate,EDATE($D18,Milestones!$AA$43)&gt;=SchemeStart,IF($X18=0,$AD18,IF(AND($Z18&lt;&gt;"",EDATE($D18,Milestones!$AA$43)&gt;=$Z18),$AC18,IF(AND($Y18&lt;&gt;"",EDATE($D18,Milestones!$AA$43)&gt;=$Y18),$AB18,$AA18)))=Milestones!$AB$43),UPPER(TEXT(EDATE($D18,Milestones!$AA$43),"dd mmm yy"))&amp;" "&amp;Milestones!$AB$43&amp;" "&amp;IF(AND(Milestones!$AB$43="FT",Milestones!$AA$43=FT_Y5,EDATE($D18,Milestones!$AA$43)&lt;PolicyEff),1,Milestones!$AC$43)&amp;";  ",""))</f>
        <v/>
      </c>
      <c r="K18" s="0" t="str">
        <f aca="false">IF(OR($A18="",$D18=""),"",IF(AND(EDATE($D18,Milestones!$AA$44)&lt;=AsOfDate,EDATE($D18,Milestones!$AA$44)&gt;=SchemeStart,IF($X18=0,$AD18,IF(AND($Z18&lt;&gt;"",EDATE($D18,Milestones!$AA$44)&gt;=$Z18),$AC18,IF(AND($Y18&lt;&gt;"",EDATE($D18,Milestones!$AA$44)&gt;=$Y18),$AB18,$AA18)))=Milestones!$AB$44),UPPER(TEXT(EDATE($D18,Milestones!$AA$44),"dd mmm yy"))&amp;" "&amp;Milestones!$AB$44&amp;" "&amp;IF(AND(Milestones!$AB$44="FT",Milestones!$AA$44=FT_Y5,EDATE($D18,Milestones!$AA$44)&lt;PolicyEff),1,Milestones!$AC$44)&amp;";  ","")&amp;IF(AND(EDATE($D18,Milestones!$AA$45)&lt;=AsOfDate,EDATE($D18,Milestones!$AA$45)&gt;=SchemeStart,IF($X18=0,$AD18,IF(AND($Z18&lt;&gt;"",EDATE($D18,Milestones!$AA$45)&gt;=$Z18),$AC18,IF(AND($Y18&lt;&gt;"",EDATE($D18,Milestones!$AA$45)&gt;=$Y18),$AB18,$AA18)))=Milestones!$AB$45),UPPER(TEXT(EDATE($D18,Milestones!$AA$45),"dd mmm yy"))&amp;" "&amp;Milestones!$AB$45&amp;" "&amp;IF(AND(Milestones!$AB$45="FT",Milestones!$AA$45=FT_Y5,EDATE($D18,Milestones!$AA$45)&lt;PolicyEff),1,Milestones!$AC$45)&amp;";  ","")&amp;IF(AND(EDATE($D18,Milestones!$AA$46)&lt;=AsOfDate,EDATE($D18,Milestones!$AA$46)&gt;=SchemeStart,IF($X18=0,$AD18,IF(AND($Z18&lt;&gt;"",EDATE($D18,Milestones!$AA$46)&gt;=$Z18),$AC18,IF(AND($Y18&lt;&gt;"",EDATE($D18,Milestones!$AA$46)&gt;=$Y18),$AB18,$AA18)))=Milestones!$AB$46),UPPER(TEXT(EDATE($D18,Milestones!$AA$46),"dd mmm yy"))&amp;" "&amp;Milestones!$AB$46&amp;" "&amp;IF(AND(Milestones!$AB$46="FT",Milestones!$AA$46=FT_Y5,EDATE($D18,Milestones!$AA$46)&lt;PolicyEff),1,Milestones!$AC$46)&amp;";  ","")&amp;IF(AND(EDATE($D18,Milestones!$AA$47)&lt;=AsOfDate,EDATE($D18,Milestones!$AA$47)&gt;=SchemeStart,IF($X18=0,$AD18,IF(AND($Z18&lt;&gt;"",EDATE($D18,Milestones!$AA$47)&gt;=$Z18),$AC18,IF(AND($Y18&lt;&gt;"",EDATE($D18,Milestones!$AA$47)&gt;=$Y18),$AB18,$AA18)))=Milestones!$AB$47),UPPER(TEXT(EDATE($D18,Milestones!$AA$47),"dd mmm yy"))&amp;" "&amp;Milestones!$AB$47&amp;" "&amp;IF(AND(Milestones!$AB$47="FT",Milestones!$AA$47=FT_Y5,EDATE($D18,Milestones!$AA$47)&lt;PolicyEff),1,Milestones!$AC$47)&amp;";  ","")&amp;IF(AND(EDATE($D18,Milestones!$AA$48)&lt;=AsOfDate,EDATE($D18,Milestones!$AA$48)&gt;=SchemeStart,IF($X18=0,$AD18,IF(AND($Z18&lt;&gt;"",EDATE($D18,Milestones!$AA$48)&gt;=$Z18),$AC18,IF(AND($Y18&lt;&gt;"",EDATE($D18,Milestones!$AA$48)&gt;=$Y18),$AB18,$AA18)))=Milestones!$AB$48),UPPER(TEXT(EDATE($D18,Milestones!$AA$48),"dd mmm yy"))&amp;" "&amp;Milestones!$AB$48&amp;" "&amp;IF(AND(Milestones!$AB$48="FT",Milestones!$AA$48=FT_Y5,EDATE($D18,Milestones!$AA$48)&lt;PolicyEff),1,Milestones!$AC$48)&amp;";  ","")&amp;IF(AND(EDATE($D18,Milestones!$AA$49)&lt;=AsOfDate,EDATE($D18,Milestones!$AA$49)&gt;=SchemeStart,IF($X18=0,$AD18,IF(AND($Z18&lt;&gt;"",EDATE($D18,Milestones!$AA$49)&gt;=$Z18),$AC18,IF(AND($Y18&lt;&gt;"",EDATE($D18,Milestones!$AA$49)&gt;=$Y18),$AB18,$AA18)))=Milestones!$AB$49),UPPER(TEXT(EDATE($D18,Milestones!$AA$49),"dd mmm yy"))&amp;" "&amp;Milestones!$AB$49&amp;" "&amp;IF(AND(Milestones!$AB$49="FT",Milestones!$AA$49=FT_Y5,EDATE($D18,Milestones!$AA$49)&lt;PolicyEff),1,Milestones!$AC$49)&amp;";  ","")&amp;IF(AND(EDATE($D18,Milestones!$AA$50)&lt;=AsOfDate,EDATE($D18,Milestones!$AA$50)&gt;=SchemeStart,IF($X18=0,$AD18,IF(AND($Z18&lt;&gt;"",EDATE($D18,Milestones!$AA$50)&gt;=$Z18),$AC18,IF(AND($Y18&lt;&gt;"",EDATE($D18,Milestones!$AA$50)&gt;=$Y18),$AB18,$AA18)))=Milestones!$AB$50),UPPER(TEXT(EDATE($D18,Milestones!$AA$50),"dd mmm yy"))&amp;" "&amp;Milestones!$AB$50&amp;" "&amp;IF(AND(Milestones!$AB$50="FT",Milestones!$AA$50=FT_Y5,EDATE($D18,Milestones!$AA$50)&lt;PolicyEff),1,Milestones!$AC$50)&amp;";  ","")&amp;IF(AND(EDATE($D18,Milestones!$AA$51)&lt;=AsOfDate,EDATE($D18,Milestones!$AA$51)&gt;=SchemeStart,IF($X18=0,$AD18,IF(AND($Z18&lt;&gt;"",EDATE($D18,Milestones!$AA$51)&gt;=$Z18),$AC18,IF(AND($Y18&lt;&gt;"",EDATE($D18,Milestones!$AA$51)&gt;=$Y18),$AB18,$AA18)))=Milestones!$AB$51),UPPER(TEXT(EDATE($D18,Milestones!$AA$51),"dd mmm yy"))&amp;" "&amp;Milestones!$AB$51&amp;" "&amp;IF(AND(Milestones!$AB$51="FT",Milestones!$AA$51=FT_Y5,EDATE($D18,Milestones!$AA$51)&lt;PolicyEff),1,Milestones!$AC$51)&amp;";  ","")&amp;IF(AND(EDATE($D18,Milestones!$AA$52)&lt;=AsOfDate,EDATE($D18,Milestones!$AA$52)&gt;=SchemeStart,IF($X18=0,$AD18,IF(AND($Z18&lt;&gt;"",EDATE($D18,Milestones!$AA$52)&gt;=$Z18),$AC18,IF(AND($Y18&lt;&gt;"",EDATE($D18,Milestones!$AA$52)&gt;=$Y18),$AB18,$AA18)))=Milestones!$AB$52),UPPER(TEXT(EDATE($D18,Milestones!$AA$52),"dd mmm yy"))&amp;" "&amp;Milestones!$AB$52&amp;" "&amp;IF(AND(Milestones!$AB$52="FT",Milestones!$AA$52=FT_Y5,EDATE($D18,Milestones!$AA$52)&lt;PolicyEff),1,Milestones!$AC$52)&amp;";  ","")&amp;IF(AND(EDATE($D18,Milestones!$AA$53)&lt;=AsOfDate,EDATE($D18,Milestones!$AA$53)&gt;=SchemeStart,IF($X18=0,$AD18,IF(AND($Z18&lt;&gt;"",EDATE($D18,Milestones!$AA$53)&gt;=$Z18),$AC18,IF(AND($Y18&lt;&gt;"",EDATE($D18,Milestones!$AA$53)&gt;=$Y18),$AB18,$AA18)))=Milestones!$AB$53),UPPER(TEXT(EDATE($D18,Milestones!$AA$53),"dd mmm yy"))&amp;" "&amp;Milestones!$AB$53&amp;" "&amp;IF(AND(Milestones!$AB$53="FT",Milestones!$AA$53=FT_Y5,EDATE($D18,Milestones!$AA$53)&lt;PolicyEff),1,Milestones!$AC$53)&amp;";  ","")&amp;IF(AND(EDATE($D18,Milestones!$AA$54)&lt;=AsOfDate,EDATE($D18,Milestones!$AA$54)&gt;=SchemeStart,IF($X18=0,$AD18,IF(AND($Z18&lt;&gt;"",EDATE($D18,Milestones!$AA$54)&gt;=$Z18),$AC18,IF(AND($Y18&lt;&gt;"",EDATE($D18,Milestones!$AA$54)&gt;=$Y18),$AB18,$AA18)))=Milestones!$AB$54),UPPER(TEXT(EDATE($D18,Milestones!$AA$54),"dd mmm yy"))&amp;" "&amp;Milestones!$AB$54&amp;" "&amp;IF(AND(Milestones!$AB$54="FT",Milestones!$AA$54=FT_Y5,EDATE($D18,Milestones!$AA$54)&lt;PolicyEff),1,Milestones!$AC$54)&amp;";  ","")&amp;IF(AND(EDATE($D18,Milestones!$AA$55)&lt;=AsOfDate,EDATE($D18,Milestones!$AA$55)&gt;=SchemeStart,IF($X18=0,$AD18,IF(AND($Z18&lt;&gt;"",EDATE($D18,Milestones!$AA$55)&gt;=$Z18),$AC18,IF(AND($Y18&lt;&gt;"",EDATE($D18,Milestones!$AA$55)&gt;=$Y18),$AB18,$AA18)))=Milestones!$AB$55),UPPER(TEXT(EDATE($D18,Milestones!$AA$55),"dd mmm yy"))&amp;" "&amp;Milestones!$AB$55&amp;" "&amp;IF(AND(Milestones!$AB$55="FT",Milestones!$AA$55=FT_Y5,EDATE($D18,Milestones!$AA$55)&lt;PolicyEff),1,Milestones!$AC$55)&amp;";  ",""))</f>
        <v/>
      </c>
      <c r="L18" s="0" t="str">
        <f aca="false">IF(OR($A18="",$D18=""),"",IF(AND(EDATE($D18,Milestones!$AA$56)&lt;=AsOfDate,EDATE($D18,Milestones!$AA$56)&gt;=SchemeStart,IF($X18=0,$AD18,IF(AND($Z18&lt;&gt;"",EDATE($D18,Milestones!$AA$56)&gt;=$Z18),$AC18,IF(AND($Y18&lt;&gt;"",EDATE($D18,Milestones!$AA$56)&gt;=$Y18),$AB18,$AA18)))=Milestones!$AB$56),UPPER(TEXT(EDATE($D18,Milestones!$AA$56),"dd mmm yy"))&amp;" "&amp;Milestones!$AB$56&amp;" "&amp;IF(AND(Milestones!$AB$56="FT",Milestones!$AA$56=FT_Y5,EDATE($D18,Milestones!$AA$56)&lt;PolicyEff),1,Milestones!$AC$56)&amp;";  ","")&amp;IF(AND(EDATE($D18,Milestones!$AA$57)&lt;=AsOfDate,EDATE($D18,Milestones!$AA$57)&gt;=SchemeStart,IF($X18=0,$AD18,IF(AND($Z18&lt;&gt;"",EDATE($D18,Milestones!$AA$57)&gt;=$Z18),$AC18,IF(AND($Y18&lt;&gt;"",EDATE($D18,Milestones!$AA$57)&gt;=$Y18),$AB18,$AA18)))=Milestones!$AB$57),UPPER(TEXT(EDATE($D18,Milestones!$AA$57),"dd mmm yy"))&amp;" "&amp;Milestones!$AB$57&amp;" "&amp;IF(AND(Milestones!$AB$57="FT",Milestones!$AA$57=FT_Y5,EDATE($D18,Milestones!$AA$57)&lt;PolicyEff),1,Milestones!$AC$57)&amp;";  ","")&amp;IF(AND(EDATE($D18,Milestones!$AA$58)&lt;=AsOfDate,EDATE($D18,Milestones!$AA$58)&gt;=SchemeStart,IF($X18=0,$AD18,IF(AND($Z18&lt;&gt;"",EDATE($D18,Milestones!$AA$58)&gt;=$Z18),$AC18,IF(AND($Y18&lt;&gt;"",EDATE($D18,Milestones!$AA$58)&gt;=$Y18),$AB18,$AA18)))=Milestones!$AB$58),UPPER(TEXT(EDATE($D18,Milestones!$AA$58),"dd mmm yy"))&amp;" "&amp;Milestones!$AB$58&amp;" "&amp;IF(AND(Milestones!$AB$58="FT",Milestones!$AA$58=FT_Y5,EDATE($D18,Milestones!$AA$58)&lt;PolicyEff),1,Milestones!$AC$58)&amp;";  ","")&amp;IF(AND(EDATE($D18,Milestones!$AA$59)&lt;=AsOfDate,EDATE($D18,Milestones!$AA$59)&gt;=SchemeStart,IF($X18=0,$AD18,IF(AND($Z18&lt;&gt;"",EDATE($D18,Milestones!$AA$59)&gt;=$Z18),$AC18,IF(AND($Y18&lt;&gt;"",EDATE($D18,Milestones!$AA$59)&gt;=$Y18),$AB18,$AA18)))=Milestones!$AB$59),UPPER(TEXT(EDATE($D18,Milestones!$AA$59),"dd mmm yy"))&amp;" "&amp;Milestones!$AB$59&amp;" "&amp;IF(AND(Milestones!$AB$59="FT",Milestones!$AA$59=FT_Y5,EDATE($D18,Milestones!$AA$59)&lt;PolicyEff),1,Milestones!$AC$59)&amp;";  ","")&amp;IF(AND(EDATE($D18,Milestones!$AA$60)&lt;=AsOfDate,EDATE($D18,Milestones!$AA$60)&gt;=SchemeStart,IF($X18=0,$AD18,IF(AND($Z18&lt;&gt;"",EDATE($D18,Milestones!$AA$60)&gt;=$Z18),$AC18,IF(AND($Y18&lt;&gt;"",EDATE($D18,Milestones!$AA$60)&gt;=$Y18),$AB18,$AA18)))=Milestones!$AB$60),UPPER(TEXT(EDATE($D18,Milestones!$AA$60),"dd mmm yy"))&amp;" "&amp;Milestones!$AB$60&amp;" "&amp;IF(AND(Milestones!$AB$60="FT",Milestones!$AA$60=FT_Y5,EDATE($D18,Milestones!$AA$60)&lt;PolicyEff),1,Milestones!$AC$60)&amp;";  ","")&amp;IF(AND(EDATE($D18,Milestones!$AA$61)&lt;=AsOfDate,EDATE($D18,Milestones!$AA$61)&gt;=SchemeStart,IF($X18=0,$AD18,IF(AND($Z18&lt;&gt;"",EDATE($D18,Milestones!$AA$61)&gt;=$Z18),$AC18,IF(AND($Y18&lt;&gt;"",EDATE($D18,Milestones!$AA$61)&gt;=$Y18),$AB18,$AA18)))=Milestones!$AB$61),UPPER(TEXT(EDATE($D18,Milestones!$AA$61),"dd mmm yy"))&amp;" "&amp;Milestones!$AB$61&amp;" "&amp;IF(AND(Milestones!$AB$61="FT",Milestones!$AA$61=FT_Y5,EDATE($D18,Milestones!$AA$61)&lt;PolicyEff),1,Milestones!$AC$61)&amp;";  ","")&amp;IF(AND(EDATE($D18,Milestones!$AA$62)&lt;=AsOfDate,EDATE($D18,Milestones!$AA$62)&gt;=SchemeStart,IF($X18=0,$AD18,IF(AND($Z18&lt;&gt;"",EDATE($D18,Milestones!$AA$62)&gt;=$Z18),$AC18,IF(AND($Y18&lt;&gt;"",EDATE($D18,Milestones!$AA$62)&gt;=$Y18),$AB18,$AA18)))=Milestones!$AB$62),UPPER(TEXT(EDATE($D18,Milestones!$AA$62),"dd mmm yy"))&amp;" "&amp;Milestones!$AB$62&amp;" "&amp;IF(AND(Milestones!$AB$62="FT",Milestones!$AA$62=FT_Y5,EDATE($D18,Milestones!$AA$62)&lt;PolicyEff),1,Milestones!$AC$62)&amp;";  ","")&amp;IF(AND(EDATE($D18,Milestones!$AA$63)&lt;=AsOfDate,EDATE($D18,Milestones!$AA$63)&gt;=SchemeStart,IF($X18=0,$AD18,IF(AND($Z18&lt;&gt;"",EDATE($D18,Milestones!$AA$63)&gt;=$Z18),$AC18,IF(AND($Y18&lt;&gt;"",EDATE($D18,Milestones!$AA$63)&gt;=$Y18),$AB18,$AA18)))=Milestones!$AB$63),UPPER(TEXT(EDATE($D18,Milestones!$AA$63),"dd mmm yy"))&amp;" "&amp;Milestones!$AB$63&amp;" "&amp;IF(AND(Milestones!$AB$63="FT",Milestones!$AA$63=FT_Y5,EDATE($D18,Milestones!$AA$63)&lt;PolicyEff),1,Milestones!$AC$63)&amp;";  ","")&amp;IF(AND(EDATE($D18,Milestones!$AA$64)&lt;=AsOfDate,EDATE($D18,Milestones!$AA$64)&gt;=SchemeStart,IF($X18=0,$AD18,IF(AND($Z18&lt;&gt;"",EDATE($D18,Milestones!$AA$64)&gt;=$Z18),$AC18,IF(AND($Y18&lt;&gt;"",EDATE($D18,Milestones!$AA$64)&gt;=$Y18),$AB18,$AA18)))=Milestones!$AB$64),UPPER(TEXT(EDATE($D18,Milestones!$AA$64),"dd mmm yy"))&amp;" "&amp;Milestones!$AB$64&amp;" "&amp;IF(AND(Milestones!$AB$64="FT",Milestones!$AA$64=FT_Y5,EDATE($D18,Milestones!$AA$64)&lt;PolicyEff),1,Milestones!$AC$64)&amp;";  ","")&amp;IF(AND(EDATE($D18,Milestones!$AA$65)&lt;=AsOfDate,EDATE($D18,Milestones!$AA$65)&gt;=SchemeStart,IF($X18=0,$AD18,IF(AND($Z18&lt;&gt;"",EDATE($D18,Milestones!$AA$65)&gt;=$Z18),$AC18,IF(AND($Y18&lt;&gt;"",EDATE($D18,Milestones!$AA$65)&gt;=$Y18),$AB18,$AA18)))=Milestones!$AB$65),UPPER(TEXT(EDATE($D18,Milestones!$AA$65),"dd mmm yy"))&amp;" "&amp;Milestones!$AB$65&amp;" "&amp;IF(AND(Milestones!$AB$65="FT",Milestones!$AA$65=FT_Y5,EDATE($D18,Milestones!$AA$65)&lt;PolicyEff),1,Milestones!$AC$65)&amp;";  ","")&amp;IF(AND(EDATE($D18,Milestones!$AA$66)&lt;=AsOfDate,EDATE($D18,Milestones!$AA$66)&gt;=SchemeStart,IF($X18=0,$AD18,IF(AND($Z18&lt;&gt;"",EDATE($D18,Milestones!$AA$66)&gt;=$Z18),$AC18,IF(AND($Y18&lt;&gt;"",EDATE($D18,Milestones!$AA$66)&gt;=$Y18),$AB18,$AA18)))=Milestones!$AB$66),UPPER(TEXT(EDATE($D18,Milestones!$AA$66),"dd mmm yy"))&amp;" "&amp;Milestones!$AB$66&amp;" "&amp;IF(AND(Milestones!$AB$66="FT",Milestones!$AA$66=FT_Y5,EDATE($D18,Milestones!$AA$66)&lt;PolicyEff),1,Milestones!$AC$66)&amp;";  ","")&amp;IF(AND(EDATE($D18,Milestones!$AA$67)&lt;=AsOfDate,EDATE($D18,Milestones!$AA$67)&gt;=SchemeStart,IF($X18=0,$AD18,IF(AND($Z18&lt;&gt;"",EDATE($D18,Milestones!$AA$67)&gt;=$Z18),$AC18,IF(AND($Y18&lt;&gt;"",EDATE($D18,Milestones!$AA$67)&gt;=$Y18),$AB18,$AA18)))=Milestones!$AB$67),UPPER(TEXT(EDATE($D18,Milestones!$AA$67),"dd mmm yy"))&amp;" "&amp;Milestones!$AB$67&amp;" "&amp;IF(AND(Milestones!$AB$67="FT",Milestones!$AA$67=FT_Y5,EDATE($D18,Milestones!$AA$67)&lt;PolicyEff),1,Milestones!$AC$67)&amp;";  ",""))</f>
        <v/>
      </c>
      <c r="M18" s="0" t="str">
        <f aca="false">IF(OR($A18="",$D18=""),"",IF(AND(EDATE($D18,Milestones!$AA$68)&lt;=AsOfDate,EDATE($D18,Milestones!$AA$68)&gt;=SchemeStart,IF($X18=0,$AD18,IF(AND($Z18&lt;&gt;"",EDATE($D18,Milestones!$AA$68)&gt;=$Z18),$AC18,IF(AND($Y18&lt;&gt;"",EDATE($D18,Milestones!$AA$68)&gt;=$Y18),$AB18,$AA18)))=Milestones!$AB$68),UPPER(TEXT(EDATE($D18,Milestones!$AA$68),"dd mmm yy"))&amp;" "&amp;Milestones!$AB$68&amp;" "&amp;IF(AND(Milestones!$AB$68="FT",Milestones!$AA$68=FT_Y5,EDATE($D18,Milestones!$AA$68)&lt;PolicyEff),1,Milestones!$AC$68)&amp;";  ","")&amp;IF(AND(EDATE($D18,Milestones!$AA$69)&lt;=AsOfDate,EDATE($D18,Milestones!$AA$69)&gt;=SchemeStart,IF($X18=0,$AD18,IF(AND($Z18&lt;&gt;"",EDATE($D18,Milestones!$AA$69)&gt;=$Z18),$AC18,IF(AND($Y18&lt;&gt;"",EDATE($D18,Milestones!$AA$69)&gt;=$Y18),$AB18,$AA18)))=Milestones!$AB$69),UPPER(TEXT(EDATE($D18,Milestones!$AA$69),"dd mmm yy"))&amp;" "&amp;Milestones!$AB$69&amp;" "&amp;IF(AND(Milestones!$AB$69="FT",Milestones!$AA$69=FT_Y5,EDATE($D18,Milestones!$AA$69)&lt;PolicyEff),1,Milestones!$AC$69)&amp;";  ","")&amp;IF(AND(EDATE($D18,Milestones!$AA$70)&lt;=AsOfDate,EDATE($D18,Milestones!$AA$70)&gt;=SchemeStart,IF($X18=0,$AD18,IF(AND($Z18&lt;&gt;"",EDATE($D18,Milestones!$AA$70)&gt;=$Z18),$AC18,IF(AND($Y18&lt;&gt;"",EDATE($D18,Milestones!$AA$70)&gt;=$Y18),$AB18,$AA18)))=Milestones!$AB$70),UPPER(TEXT(EDATE($D18,Milestones!$AA$70),"dd mmm yy"))&amp;" "&amp;Milestones!$AB$70&amp;" "&amp;IF(AND(Milestones!$AB$70="FT",Milestones!$AA$70=FT_Y5,EDATE($D18,Milestones!$AA$70)&lt;PolicyEff),1,Milestones!$AC$70)&amp;";  ","")&amp;IF(AND(EDATE($D18,Milestones!$AA$71)&lt;=AsOfDate,EDATE($D18,Milestones!$AA$71)&gt;=SchemeStart,IF($X18=0,$AD18,IF(AND($Z18&lt;&gt;"",EDATE($D18,Milestones!$AA$71)&gt;=$Z18),$AC18,IF(AND($Y18&lt;&gt;"",EDATE($D18,Milestones!$AA$71)&gt;=$Y18),$AB18,$AA18)))=Milestones!$AB$71),UPPER(TEXT(EDATE($D18,Milestones!$AA$71),"dd mmm yy"))&amp;" "&amp;Milestones!$AB$71&amp;" "&amp;IF(AND(Milestones!$AB$71="FT",Milestones!$AA$71=FT_Y5,EDATE($D18,Milestones!$AA$71)&lt;PolicyEff),1,Milestones!$AC$71)&amp;";  ","")&amp;IF(AND(EDATE($D18,Milestones!$AA$72)&lt;=AsOfDate,EDATE($D18,Milestones!$AA$72)&gt;=SchemeStart,IF($X18=0,$AD18,IF(AND($Z18&lt;&gt;"",EDATE($D18,Milestones!$AA$72)&gt;=$Z18),$AC18,IF(AND($Y18&lt;&gt;"",EDATE($D18,Milestones!$AA$72)&gt;=$Y18),$AB18,$AA18)))=Milestones!$AB$72),UPPER(TEXT(EDATE($D18,Milestones!$AA$72),"dd mmm yy"))&amp;" "&amp;Milestones!$AB$72&amp;" "&amp;IF(AND(Milestones!$AB$72="FT",Milestones!$AA$72=FT_Y5,EDATE($D18,Milestones!$AA$72)&lt;PolicyEff),1,Milestones!$AC$72)&amp;";  ","")&amp;IF(AND(EDATE($D18,Milestones!$AA$73)&lt;=AsOfDate,EDATE($D18,Milestones!$AA$73)&gt;=SchemeStart,IF($X18=0,$AD18,IF(AND($Z18&lt;&gt;"",EDATE($D18,Milestones!$AA$73)&gt;=$Z18),$AC18,IF(AND($Y18&lt;&gt;"",EDATE($D18,Milestones!$AA$73)&gt;=$Y18),$AB18,$AA18)))=Milestones!$AB$73),UPPER(TEXT(EDATE($D18,Milestones!$AA$73),"dd mmm yy"))&amp;" "&amp;Milestones!$AB$73&amp;" "&amp;IF(AND(Milestones!$AB$73="FT",Milestones!$AA$73=FT_Y5,EDATE($D18,Milestones!$AA$73)&lt;PolicyEff),1,Milestones!$AC$73)&amp;";  ","")&amp;IF(AND(EDATE($D18,Milestones!$AA$74)&lt;=AsOfDate,EDATE($D18,Milestones!$AA$74)&gt;=SchemeStart,IF($X18=0,$AD18,IF(AND($Z18&lt;&gt;"",EDATE($D18,Milestones!$AA$74)&gt;=$Z18),$AC18,IF(AND($Y18&lt;&gt;"",EDATE($D18,Milestones!$AA$74)&gt;=$Y18),$AB18,$AA18)))=Milestones!$AB$74),UPPER(TEXT(EDATE($D18,Milestones!$AA$74),"dd mmm yy"))&amp;" "&amp;Milestones!$AB$74&amp;" "&amp;IF(AND(Milestones!$AB$74="FT",Milestones!$AA$74=FT_Y5,EDATE($D18,Milestones!$AA$74)&lt;PolicyEff),1,Milestones!$AC$74)&amp;";  ","")&amp;IF(AND(EDATE($D18,Milestones!$AA$75)&lt;=AsOfDate,EDATE($D18,Milestones!$AA$75)&gt;=SchemeStart,IF($X18=0,$AD18,IF(AND($Z18&lt;&gt;"",EDATE($D18,Milestones!$AA$75)&gt;=$Z18),$AC18,IF(AND($Y18&lt;&gt;"",EDATE($D18,Milestones!$AA$75)&gt;=$Y18),$AB18,$AA18)))=Milestones!$AB$75),UPPER(TEXT(EDATE($D18,Milestones!$AA$75),"dd mmm yy"))&amp;" "&amp;Milestones!$AB$75&amp;" "&amp;IF(AND(Milestones!$AB$75="FT",Milestones!$AA$75=FT_Y5,EDATE($D18,Milestones!$AA$75)&lt;PolicyEff),1,Milestones!$AC$75)&amp;";  ","")&amp;IF(AND(EDATE($D18,Milestones!$AA$76)&lt;=AsOfDate,EDATE($D18,Milestones!$AA$76)&gt;=SchemeStart,IF($X18=0,$AD18,IF(AND($Z18&lt;&gt;"",EDATE($D18,Milestones!$AA$76)&gt;=$Z18),$AC18,IF(AND($Y18&lt;&gt;"",EDATE($D18,Milestones!$AA$76)&gt;=$Y18),$AB18,$AA18)))=Milestones!$AB$76),UPPER(TEXT(EDATE($D18,Milestones!$AA$76),"dd mmm yy"))&amp;" "&amp;Milestones!$AB$76&amp;" "&amp;IF(AND(Milestones!$AB$76="FT",Milestones!$AA$76=FT_Y5,EDATE($D18,Milestones!$AA$76)&lt;PolicyEff),1,Milestones!$AC$76)&amp;";  ","")&amp;IF(AND(EDATE($D18,Milestones!$AA$77)&lt;=AsOfDate,EDATE($D18,Milestones!$AA$77)&gt;=SchemeStart,IF($X18=0,$AD18,IF(AND($Z18&lt;&gt;"",EDATE($D18,Milestones!$AA$77)&gt;=$Z18),$AC18,IF(AND($Y18&lt;&gt;"",EDATE($D18,Milestones!$AA$77)&gt;=$Y18),$AB18,$AA18)))=Milestones!$AB$77),UPPER(TEXT(EDATE($D18,Milestones!$AA$77),"dd mmm yy"))&amp;" "&amp;Milestones!$AB$77&amp;" "&amp;IF(AND(Milestones!$AB$77="FT",Milestones!$AA$77=FT_Y5,EDATE($D18,Milestones!$AA$77)&lt;PolicyEff),1,Milestones!$AC$77)&amp;";  ","")&amp;IF(AND(EDATE($D18,Milestones!$AA$78)&lt;=AsOfDate,EDATE($D18,Milestones!$AA$78)&gt;=SchemeStart,IF($X18=0,$AD18,IF(AND($Z18&lt;&gt;"",EDATE($D18,Milestones!$AA$78)&gt;=$Z18),$AC18,IF(AND($Y18&lt;&gt;"",EDATE($D18,Milestones!$AA$78)&gt;=$Y18),$AB18,$AA18)))=Milestones!$AB$78),UPPER(TEXT(EDATE($D18,Milestones!$AA$78),"dd mmm yy"))&amp;" "&amp;Milestones!$AB$78&amp;" "&amp;IF(AND(Milestones!$AB$78="FT",Milestones!$AA$78=FT_Y5,EDATE($D18,Milestones!$AA$78)&lt;PolicyEff),1,Milestones!$AC$78)&amp;";  ","")&amp;IF(AND(EDATE($D18,Milestones!$AA$79)&lt;=AsOfDate,EDATE($D18,Milestones!$AA$79)&gt;=SchemeStart,IF($X18=0,$AD18,IF(AND($Z18&lt;&gt;"",EDATE($D18,Milestones!$AA$79)&gt;=$Z18),$AC18,IF(AND($Y18&lt;&gt;"",EDATE($D18,Milestones!$AA$79)&gt;=$Y18),$AB18,$AA18)))=Milestones!$AB$79),UPPER(TEXT(EDATE($D18,Milestones!$AA$79),"dd mmm yy"))&amp;" "&amp;Milestones!$AB$79&amp;" "&amp;IF(AND(Milestones!$AB$79="FT",Milestones!$AA$79=FT_Y5,EDATE($D18,Milestones!$AA$79)&lt;PolicyEff),1,Milestones!$AC$79)&amp;";  ",""))</f>
        <v/>
      </c>
      <c r="N18" s="0" t="str">
        <f aca="false">IF(OR($A18="",$D18=""),"",IF(AND(EDATE($D18,Milestones!$AA$80)&lt;=AsOfDate,EDATE($D18,Milestones!$AA$80)&gt;=SchemeStart,IF($X18=0,$AD18,IF(AND($Z18&lt;&gt;"",EDATE($D18,Milestones!$AA$80)&gt;=$Z18),$AC18,IF(AND($Y18&lt;&gt;"",EDATE($D18,Milestones!$AA$80)&gt;=$Y18),$AB18,$AA18)))=Milestones!$AB$80),UPPER(TEXT(EDATE($D18,Milestones!$AA$80),"dd mmm yy"))&amp;" "&amp;Milestones!$AB$80&amp;" "&amp;IF(AND(Milestones!$AB$80="FT",Milestones!$AA$80=FT_Y5,EDATE($D18,Milestones!$AA$80)&lt;PolicyEff),1,Milestones!$AC$80)&amp;";  ","")&amp;IF(AND(EDATE($D18,Milestones!$AA$81)&lt;=AsOfDate,EDATE($D18,Milestones!$AA$81)&gt;=SchemeStart,IF($X18=0,$AD18,IF(AND($Z18&lt;&gt;"",EDATE($D18,Milestones!$AA$81)&gt;=$Z18),$AC18,IF(AND($Y18&lt;&gt;"",EDATE($D18,Milestones!$AA$81)&gt;=$Y18),$AB18,$AA18)))=Milestones!$AB$81),UPPER(TEXT(EDATE($D18,Milestones!$AA$81),"dd mmm yy"))&amp;" "&amp;Milestones!$AB$81&amp;" "&amp;IF(AND(Milestones!$AB$81="FT",Milestones!$AA$81=FT_Y5,EDATE($D18,Milestones!$AA$81)&lt;PolicyEff),1,Milestones!$AC$81)&amp;";  ","")&amp;IF(AND(EDATE($D18,Milestones!$AA$82)&lt;=AsOfDate,EDATE($D18,Milestones!$AA$82)&gt;=SchemeStart,IF($X18=0,$AD18,IF(AND($Z18&lt;&gt;"",EDATE($D18,Milestones!$AA$82)&gt;=$Z18),$AC18,IF(AND($Y18&lt;&gt;"",EDATE($D18,Milestones!$AA$82)&gt;=$Y18),$AB18,$AA18)))=Milestones!$AB$82),UPPER(TEXT(EDATE($D18,Milestones!$AA$82),"dd mmm yy"))&amp;" "&amp;Milestones!$AB$82&amp;" "&amp;IF(AND(Milestones!$AB$82="FT",Milestones!$AA$82=FT_Y5,EDATE($D18,Milestones!$AA$82)&lt;PolicyEff),1,Milestones!$AC$82)&amp;";  ","")&amp;IF(AND(EDATE($D18,Milestones!$AA$83)&lt;=AsOfDate,EDATE($D18,Milestones!$AA$83)&gt;=SchemeStart,IF($X18=0,$AD18,IF(AND($Z18&lt;&gt;"",EDATE($D18,Milestones!$AA$83)&gt;=$Z18),$AC18,IF(AND($Y18&lt;&gt;"",EDATE($D18,Milestones!$AA$83)&gt;=$Y18),$AB18,$AA18)))=Milestones!$AB$83),UPPER(TEXT(EDATE($D18,Milestones!$AA$83),"dd mmm yy"))&amp;" "&amp;Milestones!$AB$83&amp;" "&amp;IF(AND(Milestones!$AB$83="FT",Milestones!$AA$83=FT_Y5,EDATE($D18,Milestones!$AA$83)&lt;PolicyEff),1,Milestones!$AC$83)&amp;";  ","")&amp;IF(AND(EDATE($D18,Milestones!$AA$84)&lt;=AsOfDate,EDATE($D18,Milestones!$AA$84)&gt;=SchemeStart,IF($X18=0,$AD18,IF(AND($Z18&lt;&gt;"",EDATE($D18,Milestones!$AA$84)&gt;=$Z18),$AC18,IF(AND($Y18&lt;&gt;"",EDATE($D18,Milestones!$AA$84)&gt;=$Y18),$AB18,$AA18)))=Milestones!$AB$84),UPPER(TEXT(EDATE($D18,Milestones!$AA$84),"dd mmm yy"))&amp;" "&amp;Milestones!$AB$84&amp;" "&amp;IF(AND(Milestones!$AB$84="FT",Milestones!$AA$84=FT_Y5,EDATE($D18,Milestones!$AA$84)&lt;PolicyEff),1,Milestones!$AC$84)&amp;";  ","")&amp;IF(AND(EDATE($D18,Milestones!$AA$85)&lt;=AsOfDate,EDATE($D18,Milestones!$AA$85)&gt;=SchemeStart,IF($X18=0,$AD18,IF(AND($Z18&lt;&gt;"",EDATE($D18,Milestones!$AA$85)&gt;=$Z18),$AC18,IF(AND($Y18&lt;&gt;"",EDATE($D18,Milestones!$AA$85)&gt;=$Y18),$AB18,$AA18)))=Milestones!$AB$85),UPPER(TEXT(EDATE($D18,Milestones!$AA$85),"dd mmm yy"))&amp;" "&amp;Milestones!$AB$85&amp;" "&amp;IF(AND(Milestones!$AB$85="FT",Milestones!$AA$85=FT_Y5,EDATE($D18,Milestones!$AA$85)&lt;PolicyEff),1,Milestones!$AC$85)&amp;";  ","")&amp;IF(AND(EDATE($D18,Milestones!$AA$86)&lt;=AsOfDate,EDATE($D18,Milestones!$AA$86)&gt;=SchemeStart,IF($X18=0,$AD18,IF(AND($Z18&lt;&gt;"",EDATE($D18,Milestones!$AA$86)&gt;=$Z18),$AC18,IF(AND($Y18&lt;&gt;"",EDATE($D18,Milestones!$AA$86)&gt;=$Y18),$AB18,$AA18)))=Milestones!$AB$86),UPPER(TEXT(EDATE($D18,Milestones!$AA$86),"dd mmm yy"))&amp;" "&amp;Milestones!$AB$86&amp;" "&amp;IF(AND(Milestones!$AB$86="FT",Milestones!$AA$86=FT_Y5,EDATE($D18,Milestones!$AA$86)&lt;PolicyEff),1,Milestones!$AC$86)&amp;";  ","")&amp;IF(AND(EDATE($D18,Milestones!$AA$87)&lt;=AsOfDate,EDATE($D18,Milestones!$AA$87)&gt;=SchemeStart,IF($X18=0,$AD18,IF(AND($Z18&lt;&gt;"",EDATE($D18,Milestones!$AA$87)&gt;=$Z18),$AC18,IF(AND($Y18&lt;&gt;"",EDATE($D18,Milestones!$AA$87)&gt;=$Y18),$AB18,$AA18)))=Milestones!$AB$87),UPPER(TEXT(EDATE($D18,Milestones!$AA$87),"dd mmm yy"))&amp;" "&amp;Milestones!$AB$87&amp;" "&amp;IF(AND(Milestones!$AB$87="FT",Milestones!$AA$87=FT_Y5,EDATE($D18,Milestones!$AA$87)&lt;PolicyEff),1,Milestones!$AC$87)&amp;";  ","")&amp;IF(AND(EDATE($D18,Milestones!$AA$88)&lt;=AsOfDate,EDATE($D18,Milestones!$AA$88)&gt;=SchemeStart,IF($X18=0,$AD18,IF(AND($Z18&lt;&gt;"",EDATE($D18,Milestones!$AA$88)&gt;=$Z18),$AC18,IF(AND($Y18&lt;&gt;"",EDATE($D18,Milestones!$AA$88)&gt;=$Y18),$AB18,$AA18)))=Milestones!$AB$88),UPPER(TEXT(EDATE($D18,Milestones!$AA$88),"dd mmm yy"))&amp;" "&amp;Milestones!$AB$88&amp;" "&amp;IF(AND(Milestones!$AB$88="FT",Milestones!$AA$88=FT_Y5,EDATE($D18,Milestones!$AA$88)&lt;PolicyEff),1,Milestones!$AC$88)&amp;";  ","")&amp;IF(AND(EDATE($D18,Milestones!$AA$89)&lt;=AsOfDate,EDATE($D18,Milestones!$AA$89)&gt;=SchemeStart,IF($X18=0,$AD18,IF(AND($Z18&lt;&gt;"",EDATE($D18,Milestones!$AA$89)&gt;=$Z18),$AC18,IF(AND($Y18&lt;&gt;"",EDATE($D18,Milestones!$AA$89)&gt;=$Y18),$AB18,$AA18)))=Milestones!$AB$89),UPPER(TEXT(EDATE($D18,Milestones!$AA$89),"dd mmm yy"))&amp;" "&amp;Milestones!$AB$89&amp;" "&amp;IF(AND(Milestones!$AB$89="FT",Milestones!$AA$89=FT_Y5,EDATE($D18,Milestones!$AA$89)&lt;PolicyEff),1,Milestones!$AC$89)&amp;";  ","")&amp;IF(AND(EDATE($D18,Milestones!$AA$90)&lt;=AsOfDate,EDATE($D18,Milestones!$AA$90)&gt;=SchemeStart,IF($X18=0,$AD18,IF(AND($Z18&lt;&gt;"",EDATE($D18,Milestones!$AA$90)&gt;=$Z18),$AC18,IF(AND($Y18&lt;&gt;"",EDATE($D18,Milestones!$AA$90)&gt;=$Y18),$AB18,$AA18)))=Milestones!$AB$90),UPPER(TEXT(EDATE($D18,Milestones!$AA$90),"dd mmm yy"))&amp;" "&amp;Milestones!$AB$90&amp;" "&amp;IF(AND(Milestones!$AB$90="FT",Milestones!$AA$90=FT_Y5,EDATE($D18,Milestones!$AA$90)&lt;PolicyEff),1,Milestones!$AC$90)&amp;";  ","")&amp;IF(AND(EDATE($D18,Milestones!$AA$91)&lt;=AsOfDate,EDATE($D18,Milestones!$AA$91)&gt;=SchemeStart,IF($X18=0,$AD18,IF(AND($Z18&lt;&gt;"",EDATE($D18,Milestones!$AA$91)&gt;=$Z18),$AC18,IF(AND($Y18&lt;&gt;"",EDATE($D18,Milestones!$AA$91)&gt;=$Y18),$AB18,$AA18)))=Milestones!$AB$91),UPPER(TEXT(EDATE($D18,Milestones!$AA$91),"dd mmm yy"))&amp;" "&amp;Milestones!$AB$91&amp;" "&amp;IF(AND(Milestones!$AB$91="FT",Milestones!$AA$91=FT_Y5,EDATE($D18,Milestones!$AA$91)&lt;PolicyEff),1,Milestones!$AC$91)&amp;";  ",""))</f>
        <v/>
      </c>
      <c r="O18" s="0" t="str">
        <f aca="false">IF(OR($A18="",$D18=""),"",IF(AND(EDATE($D18,Milestones!$AA$92)&lt;=AsOfDate,EDATE($D18,Milestones!$AA$92)&gt;=SchemeStart,IF($X18=0,$AD18,IF(AND($Z18&lt;&gt;"",EDATE($D18,Milestones!$AA$92)&gt;=$Z18),$AC18,IF(AND($Y18&lt;&gt;"",EDATE($D18,Milestones!$AA$92)&gt;=$Y18),$AB18,$AA18)))=Milestones!$AB$92),UPPER(TEXT(EDATE($D18,Milestones!$AA$92),"dd mmm yy"))&amp;" "&amp;Milestones!$AB$92&amp;" "&amp;IF(AND(Milestones!$AB$92="FT",Milestones!$AA$92=FT_Y5,EDATE($D18,Milestones!$AA$92)&lt;PolicyEff),1,Milestones!$AC$92)&amp;";  ","")&amp;IF(AND(EDATE($D18,Milestones!$AA$93)&lt;=AsOfDate,EDATE($D18,Milestones!$AA$93)&gt;=SchemeStart,IF($X18=0,$AD18,IF(AND($Z18&lt;&gt;"",EDATE($D18,Milestones!$AA$93)&gt;=$Z18),$AC18,IF(AND($Y18&lt;&gt;"",EDATE($D18,Milestones!$AA$93)&gt;=$Y18),$AB18,$AA18)))=Milestones!$AB$93),UPPER(TEXT(EDATE($D18,Milestones!$AA$93),"dd mmm yy"))&amp;" "&amp;Milestones!$AB$93&amp;" "&amp;IF(AND(Milestones!$AB$93="FT",Milestones!$AA$93=FT_Y5,EDATE($D18,Milestones!$AA$93)&lt;PolicyEff),1,Milestones!$AC$93)&amp;";  ","")&amp;IF(AND(EDATE($D18,Milestones!$AA$94)&lt;=AsOfDate,EDATE($D18,Milestones!$AA$94)&gt;=SchemeStart,IF($X18=0,$AD18,IF(AND($Z18&lt;&gt;"",EDATE($D18,Milestones!$AA$94)&gt;=$Z18),$AC18,IF(AND($Y18&lt;&gt;"",EDATE($D18,Milestones!$AA$94)&gt;=$Y18),$AB18,$AA18)))=Milestones!$AB$94),UPPER(TEXT(EDATE($D18,Milestones!$AA$94),"dd mmm yy"))&amp;" "&amp;Milestones!$AB$94&amp;" "&amp;IF(AND(Milestones!$AB$94="FT",Milestones!$AA$94=FT_Y5,EDATE($D18,Milestones!$AA$94)&lt;PolicyEff),1,Milestones!$AC$94)&amp;";  ","")&amp;IF(AND(EDATE($D18,Milestones!$AA$95)&lt;=AsOfDate,EDATE($D18,Milestones!$AA$95)&gt;=SchemeStart,IF($X18=0,$AD18,IF(AND($Z18&lt;&gt;"",EDATE($D18,Milestones!$AA$95)&gt;=$Z18),$AC18,IF(AND($Y18&lt;&gt;"",EDATE($D18,Milestones!$AA$95)&gt;=$Y18),$AB18,$AA18)))=Milestones!$AB$95),UPPER(TEXT(EDATE($D18,Milestones!$AA$95),"dd mmm yy"))&amp;" "&amp;Milestones!$AB$95&amp;" "&amp;IF(AND(Milestones!$AB$95="FT",Milestones!$AA$95=FT_Y5,EDATE($D18,Milestones!$AA$95)&lt;PolicyEff),1,Milestones!$AC$95)&amp;";  ","")&amp;IF(AND(EDATE($D18,Milestones!$AA$96)&lt;=AsOfDate,EDATE($D18,Milestones!$AA$96)&gt;=SchemeStart,IF($X18=0,$AD18,IF(AND($Z18&lt;&gt;"",EDATE($D18,Milestones!$AA$96)&gt;=$Z18),$AC18,IF(AND($Y18&lt;&gt;"",EDATE($D18,Milestones!$AA$96)&gt;=$Y18),$AB18,$AA18)))=Milestones!$AB$96),UPPER(TEXT(EDATE($D18,Milestones!$AA$96),"dd mmm yy"))&amp;" "&amp;Milestones!$AB$96&amp;" "&amp;IF(AND(Milestones!$AB$96="FT",Milestones!$AA$96=FT_Y5,EDATE($D18,Milestones!$AA$96)&lt;PolicyEff),1,Milestones!$AC$96)&amp;";  ","")&amp;IF(AND(EDATE($D18,Milestones!$AA$97)&lt;=AsOfDate,EDATE($D18,Milestones!$AA$97)&gt;=SchemeStart,IF($X18=0,$AD18,IF(AND($Z18&lt;&gt;"",EDATE($D18,Milestones!$AA$97)&gt;=$Z18),$AC18,IF(AND($Y18&lt;&gt;"",EDATE($D18,Milestones!$AA$97)&gt;=$Y18),$AB18,$AA18)))=Milestones!$AB$97),UPPER(TEXT(EDATE($D18,Milestones!$AA$97),"dd mmm yy"))&amp;" "&amp;Milestones!$AB$97&amp;" "&amp;IF(AND(Milestones!$AB$97="FT",Milestones!$AA$97=FT_Y5,EDATE($D18,Milestones!$AA$97)&lt;PolicyEff),1,Milestones!$AC$97)&amp;";  ","")&amp;IF(AND(EDATE($D18,Milestones!$AA$98)&lt;=AsOfDate,EDATE($D18,Milestones!$AA$98)&gt;=SchemeStart,IF($X18=0,$AD18,IF(AND($Z18&lt;&gt;"",EDATE($D18,Milestones!$AA$98)&gt;=$Z18),$AC18,IF(AND($Y18&lt;&gt;"",EDATE($D18,Milestones!$AA$98)&gt;=$Y18),$AB18,$AA18)))=Milestones!$AB$98),UPPER(TEXT(EDATE($D18,Milestones!$AA$98),"dd mmm yy"))&amp;" "&amp;Milestones!$AB$98&amp;" "&amp;IF(AND(Milestones!$AB$98="FT",Milestones!$AA$98=FT_Y5,EDATE($D18,Milestones!$AA$98)&lt;PolicyEff),1,Milestones!$AC$98)&amp;";  ","")&amp;IF(AND(EDATE($D18,Milestones!$AA$99)&lt;=AsOfDate,EDATE($D18,Milestones!$AA$99)&gt;=SchemeStart,IF($X18=0,$AD18,IF(AND($Z18&lt;&gt;"",EDATE($D18,Milestones!$AA$99)&gt;=$Z18),$AC18,IF(AND($Y18&lt;&gt;"",EDATE($D18,Milestones!$AA$99)&gt;=$Y18),$AB18,$AA18)))=Milestones!$AB$99),UPPER(TEXT(EDATE($D18,Milestones!$AA$99),"dd mmm yy"))&amp;" "&amp;Milestones!$AB$99&amp;" "&amp;IF(AND(Milestones!$AB$99="FT",Milestones!$AA$99=FT_Y5,EDATE($D18,Milestones!$AA$99)&lt;PolicyEff),1,Milestones!$AC$99)&amp;";  ","")&amp;IF(AND(EDATE($D18,Milestones!$AA$100)&lt;=AsOfDate,EDATE($D18,Milestones!$AA$100)&gt;=SchemeStart,IF($X18=0,$AD18,IF(AND($Z18&lt;&gt;"",EDATE($D18,Milestones!$AA$100)&gt;=$Z18),$AC18,IF(AND($Y18&lt;&gt;"",EDATE($D18,Milestones!$AA$100)&gt;=$Y18),$AB18,$AA18)))=Milestones!$AB$100),UPPER(TEXT(EDATE($D18,Milestones!$AA$100),"dd mmm yy"))&amp;" "&amp;Milestones!$AB$100&amp;" "&amp;IF(AND(Milestones!$AB$100="FT",Milestones!$AA$100=FT_Y5,EDATE($D18,Milestones!$AA$100)&lt;PolicyEff),1,Milestones!$AC$100)&amp;";  ","")&amp;IF(AND(EDATE($D18,Milestones!$AA$101)&lt;=AsOfDate,EDATE($D18,Milestones!$AA$101)&gt;=SchemeStart,IF($X18=0,$AD18,IF(AND($Z18&lt;&gt;"",EDATE($D18,Milestones!$AA$101)&gt;=$Z18),$AC18,IF(AND($Y18&lt;&gt;"",EDATE($D18,Milestones!$AA$101)&gt;=$Y18),$AB18,$AA18)))=Milestones!$AB$101),UPPER(TEXT(EDATE($D18,Milestones!$AA$101),"dd mmm yy"))&amp;" "&amp;Milestones!$AB$101&amp;" "&amp;IF(AND(Milestones!$AB$101="FT",Milestones!$AA$101=FT_Y5,EDATE($D18,Milestones!$AA$101)&lt;PolicyEff),1,Milestones!$AC$101)&amp;";  ","")&amp;IF(AND(EDATE($D18,Milestones!$AA$102)&lt;=AsOfDate,EDATE($D18,Milestones!$AA$102)&gt;=SchemeStart,IF($X18=0,$AD18,IF(AND($Z18&lt;&gt;"",EDATE($D18,Milestones!$AA$102)&gt;=$Z18),$AC18,IF(AND($Y18&lt;&gt;"",EDATE($D18,Milestones!$AA$102)&gt;=$Y18),$AB18,$AA18)))=Milestones!$AB$102),UPPER(TEXT(EDATE($D18,Milestones!$AA$102),"dd mmm yy"))&amp;" "&amp;Milestones!$AB$102&amp;" "&amp;IF(AND(Milestones!$AB$102="FT",Milestones!$AA$102=FT_Y5,EDATE($D18,Milestones!$AA$102)&lt;PolicyEff),1,Milestones!$AC$102)&amp;";  ","")&amp;IF(AND(EDATE($D18,Milestones!$AA$103)&lt;=AsOfDate,EDATE($D18,Milestones!$AA$103)&gt;=SchemeStart,IF($X18=0,$AD18,IF(AND($Z18&lt;&gt;"",EDATE($D18,Milestones!$AA$103)&gt;=$Z18),$AC18,IF(AND($Y18&lt;&gt;"",EDATE($D18,Milestones!$AA$103)&gt;=$Y18),$AB18,$AA18)))=Milestones!$AB$103),UPPER(TEXT(EDATE($D18,Milestones!$AA$103),"dd mmm yy"))&amp;" "&amp;Milestones!$AB$103&amp;" "&amp;IF(AND(Milestones!$AB$103="FT",Milestones!$AA$103=FT_Y5,EDATE($D18,Milestones!$AA$103)&lt;PolicyEff),1,Milestones!$AC$103)&amp;";  ",""))</f>
        <v/>
      </c>
      <c r="P18" s="0" t="str">
        <f aca="false">IF(OR($A18="",$D18=""),"",IF(AND(EDATE($D18,Milestones!$AA$104)&lt;=AsOfDate,EDATE($D18,Milestones!$AA$104)&gt;=SchemeStart,IF($X18=0,$AD18,IF(AND($Z18&lt;&gt;"",EDATE($D18,Milestones!$AA$104)&gt;=$Z18),$AC18,IF(AND($Y18&lt;&gt;"",EDATE($D18,Milestones!$AA$104)&gt;=$Y18),$AB18,$AA18)))=Milestones!$AB$104),UPPER(TEXT(EDATE($D18,Milestones!$AA$104),"dd mmm yy"))&amp;" "&amp;Milestones!$AB$104&amp;" "&amp;IF(AND(Milestones!$AB$104="FT",Milestones!$AA$104=FT_Y5,EDATE($D18,Milestones!$AA$104)&lt;PolicyEff),1,Milestones!$AC$104)&amp;";  ","")&amp;IF(AND(EDATE($D18,Milestones!$AA$105)&lt;=AsOfDate,EDATE($D18,Milestones!$AA$105)&gt;=SchemeStart,IF($X18=0,$AD18,IF(AND($Z18&lt;&gt;"",EDATE($D18,Milestones!$AA$105)&gt;=$Z18),$AC18,IF(AND($Y18&lt;&gt;"",EDATE($D18,Milestones!$AA$105)&gt;=$Y18),$AB18,$AA18)))=Milestones!$AB$105),UPPER(TEXT(EDATE($D18,Milestones!$AA$105),"dd mmm yy"))&amp;" "&amp;Milestones!$AB$105&amp;" "&amp;IF(AND(Milestones!$AB$105="FT",Milestones!$AA$105=FT_Y5,EDATE($D18,Milestones!$AA$105)&lt;PolicyEff),1,Milestones!$AC$105)&amp;";  ","")&amp;IF(AND(EDATE($D18,Milestones!$AA$106)&lt;=AsOfDate,EDATE($D18,Milestones!$AA$106)&gt;=SchemeStart,IF($X18=0,$AD18,IF(AND($Z18&lt;&gt;"",EDATE($D18,Milestones!$AA$106)&gt;=$Z18),$AC18,IF(AND($Y18&lt;&gt;"",EDATE($D18,Milestones!$AA$106)&gt;=$Y18),$AB18,$AA18)))=Milestones!$AB$106),UPPER(TEXT(EDATE($D18,Milestones!$AA$106),"dd mmm yy"))&amp;" "&amp;Milestones!$AB$106&amp;" "&amp;IF(AND(Milestones!$AB$106="FT",Milestones!$AA$106=FT_Y5,EDATE($D18,Milestones!$AA$106)&lt;PolicyEff),1,Milestones!$AC$106)&amp;";  ","")&amp;IF(AND(EDATE($D18,Milestones!$AA$107)&lt;=AsOfDate,EDATE($D18,Milestones!$AA$107)&gt;=SchemeStart,IF($X18=0,$AD18,IF(AND($Z18&lt;&gt;"",EDATE($D18,Milestones!$AA$107)&gt;=$Z18),$AC18,IF(AND($Y18&lt;&gt;"",EDATE($D18,Milestones!$AA$107)&gt;=$Y18),$AB18,$AA18)))=Milestones!$AB$107),UPPER(TEXT(EDATE($D18,Milestones!$AA$107),"dd mmm yy"))&amp;" "&amp;Milestones!$AB$107&amp;" "&amp;IF(AND(Milestones!$AB$107="FT",Milestones!$AA$107=FT_Y5,EDATE($D18,Milestones!$AA$107)&lt;PolicyEff),1,Milestones!$AC$107)&amp;";  ","")&amp;IF(AND(EDATE($D18,Milestones!$AA$108)&lt;=AsOfDate,EDATE($D18,Milestones!$AA$108)&gt;=SchemeStart,IF($X18=0,$AD18,IF(AND($Z18&lt;&gt;"",EDATE($D18,Milestones!$AA$108)&gt;=$Z18),$AC18,IF(AND($Y18&lt;&gt;"",EDATE($D18,Milestones!$AA$108)&gt;=$Y18),$AB18,$AA18)))=Milestones!$AB$108),UPPER(TEXT(EDATE($D18,Milestones!$AA$108),"dd mmm yy"))&amp;" "&amp;Milestones!$AB$108&amp;" "&amp;IF(AND(Milestones!$AB$108="FT",Milestones!$AA$108=FT_Y5,EDATE($D18,Milestones!$AA$108)&lt;PolicyEff),1,Milestones!$AC$108)&amp;";  ","")&amp;IF(AND(EDATE($D18,Milestones!$AA$109)&lt;=AsOfDate,EDATE($D18,Milestones!$AA$109)&gt;=SchemeStart,IF($X18=0,$AD18,IF(AND($Z18&lt;&gt;"",EDATE($D18,Milestones!$AA$109)&gt;=$Z18),$AC18,IF(AND($Y18&lt;&gt;"",EDATE($D18,Milestones!$AA$109)&gt;=$Y18),$AB18,$AA18)))=Milestones!$AB$109),UPPER(TEXT(EDATE($D18,Milestones!$AA$109),"dd mmm yy"))&amp;" "&amp;Milestones!$AB$109&amp;" "&amp;IF(AND(Milestones!$AB$109="FT",Milestones!$AA$109=FT_Y5,EDATE($D18,Milestones!$AA$109)&lt;PolicyEff),1,Milestones!$AC$109)&amp;";  ","")&amp;IF(AND(EDATE($D18,Milestones!$AA$110)&lt;=AsOfDate,EDATE($D18,Milestones!$AA$110)&gt;=SchemeStart,IF($X18=0,$AD18,IF(AND($Z18&lt;&gt;"",EDATE($D18,Milestones!$AA$110)&gt;=$Z18),$AC18,IF(AND($Y18&lt;&gt;"",EDATE($D18,Milestones!$AA$110)&gt;=$Y18),$AB18,$AA18)))=Milestones!$AB$110),UPPER(TEXT(EDATE($D18,Milestones!$AA$110),"dd mmm yy"))&amp;" "&amp;Milestones!$AB$110&amp;" "&amp;IF(AND(Milestones!$AB$110="FT",Milestones!$AA$110=FT_Y5,EDATE($D18,Milestones!$AA$110)&lt;PolicyEff),1,Milestones!$AC$110)&amp;";  ","")&amp;IF(AND(EDATE($D18,Milestones!$AA$111)&lt;=AsOfDate,EDATE($D18,Milestones!$AA$111)&gt;=SchemeStart,IF($X18=0,$AD18,IF(AND($Z18&lt;&gt;"",EDATE($D18,Milestones!$AA$111)&gt;=$Z18),$AC18,IF(AND($Y18&lt;&gt;"",EDATE($D18,Milestones!$AA$111)&gt;=$Y18),$AB18,$AA18)))=Milestones!$AB$111),UPPER(TEXT(EDATE($D18,Milestones!$AA$111),"dd mmm yy"))&amp;" "&amp;Milestones!$AB$111&amp;" "&amp;IF(AND(Milestones!$AB$111="FT",Milestones!$AA$111=FT_Y5,EDATE($D18,Milestones!$AA$111)&lt;PolicyEff),1,Milestones!$AC$111)&amp;";  ","")&amp;IF(AND(EDATE($D18,Milestones!$AA$112)&lt;=AsOfDate,EDATE($D18,Milestones!$AA$112)&gt;=SchemeStart,IF($X18=0,$AD18,IF(AND($Z18&lt;&gt;"",EDATE($D18,Milestones!$AA$112)&gt;=$Z18),$AC18,IF(AND($Y18&lt;&gt;"",EDATE($D18,Milestones!$AA$112)&gt;=$Y18),$AB18,$AA18)))=Milestones!$AB$112),UPPER(TEXT(EDATE($D18,Milestones!$AA$112),"dd mmm yy"))&amp;" "&amp;Milestones!$AB$112&amp;" "&amp;IF(AND(Milestones!$AB$112="FT",Milestones!$AA$112=FT_Y5,EDATE($D18,Milestones!$AA$112)&lt;PolicyEff),1,Milestones!$AC$112)&amp;";  ","")&amp;IF(AND(EDATE($D18,Milestones!$AA$113)&lt;=AsOfDate,EDATE($D18,Milestones!$AA$113)&gt;=SchemeStart,IF($X18=0,$AD18,IF(AND($Z18&lt;&gt;"",EDATE($D18,Milestones!$AA$113)&gt;=$Z18),$AC18,IF(AND($Y18&lt;&gt;"",EDATE($D18,Milestones!$AA$113)&gt;=$Y18),$AB18,$AA18)))=Milestones!$AB$113),UPPER(TEXT(EDATE($D18,Milestones!$AA$113),"dd mmm yy"))&amp;" "&amp;Milestones!$AB$113&amp;" "&amp;IF(AND(Milestones!$AB$113="FT",Milestones!$AA$113=FT_Y5,EDATE($D18,Milestones!$AA$113)&lt;PolicyEff),1,Milestones!$AC$113)&amp;";  ","")&amp;IF(AND(EDATE($D18,Milestones!$AA$114)&lt;=AsOfDate,EDATE($D18,Milestones!$AA$114)&gt;=SchemeStart,IF($X18=0,$AD18,IF(AND($Z18&lt;&gt;"",EDATE($D18,Milestones!$AA$114)&gt;=$Z18),$AC18,IF(AND($Y18&lt;&gt;"",EDATE($D18,Milestones!$AA$114)&gt;=$Y18),$AB18,$AA18)))=Milestones!$AB$114),UPPER(TEXT(EDATE($D18,Milestones!$AA$114),"dd mmm yy"))&amp;" "&amp;Milestones!$AB$114&amp;" "&amp;IF(AND(Milestones!$AB$114="FT",Milestones!$AA$114=FT_Y5,EDATE($D18,Milestones!$AA$114)&lt;PolicyEff),1,Milestones!$AC$114)&amp;";  ","")&amp;IF(AND(EDATE($D18,Milestones!$AA$115)&lt;=AsOfDate,EDATE($D18,Milestones!$AA$115)&gt;=SchemeStart,IF($X18=0,$AD18,IF(AND($Z18&lt;&gt;"",EDATE($D18,Milestones!$AA$115)&gt;=$Z18),$AC18,IF(AND($Y18&lt;&gt;"",EDATE($D18,Milestones!$AA$115)&gt;=$Y18),$AB18,$AA18)))=Milestones!$AB$115),UPPER(TEXT(EDATE($D18,Milestones!$AA$115),"dd mmm yy"))&amp;" "&amp;Milestones!$AB$115&amp;" "&amp;IF(AND(Milestones!$AB$115="FT",Milestones!$AA$115=FT_Y5,EDATE($D18,Milestones!$AA$115)&lt;PolicyEff),1,Milestones!$AC$115)&amp;";  ",""))</f>
        <v/>
      </c>
      <c r="Q18" s="0" t="str">
        <f aca="false">IF(OR($A18="",$D18=""),"",IF(AND(EDATE($D18,Milestones!$AA$116)&lt;=AsOfDate,EDATE($D18,Milestones!$AA$116)&gt;=SchemeStart,IF($X18=0,$AD18,IF(AND($Z18&lt;&gt;"",EDATE($D18,Milestones!$AA$116)&gt;=$Z18),$AC18,IF(AND($Y18&lt;&gt;"",EDATE($D18,Milestones!$AA$116)&gt;=$Y18),$AB18,$AA18)))=Milestones!$AB$116),UPPER(TEXT(EDATE($D18,Milestones!$AA$116),"dd mmm yy"))&amp;" "&amp;Milestones!$AB$116&amp;" "&amp;IF(AND(Milestones!$AB$116="FT",Milestones!$AA$116=FT_Y5,EDATE($D18,Milestones!$AA$116)&lt;PolicyEff),1,Milestones!$AC$116)&amp;";  ","")&amp;IF(AND(EDATE($D18,Milestones!$AA$117)&lt;=AsOfDate,EDATE($D18,Milestones!$AA$117)&gt;=SchemeStart,IF($X18=0,$AD18,IF(AND($Z18&lt;&gt;"",EDATE($D18,Milestones!$AA$117)&gt;=$Z18),$AC18,IF(AND($Y18&lt;&gt;"",EDATE($D18,Milestones!$AA$117)&gt;=$Y18),$AB18,$AA18)))=Milestones!$AB$117),UPPER(TEXT(EDATE($D18,Milestones!$AA$117),"dd mmm yy"))&amp;" "&amp;Milestones!$AB$117&amp;" "&amp;IF(AND(Milestones!$AB$117="FT",Milestones!$AA$117=FT_Y5,EDATE($D18,Milestones!$AA$117)&lt;PolicyEff),1,Milestones!$AC$117)&amp;";  ","")&amp;IF(AND(EDATE($D18,Milestones!$AA$118)&lt;=AsOfDate,EDATE($D18,Milestones!$AA$118)&gt;=SchemeStart,IF($X18=0,$AD18,IF(AND($Z18&lt;&gt;"",EDATE($D18,Milestones!$AA$118)&gt;=$Z18),$AC18,IF(AND($Y18&lt;&gt;"",EDATE($D18,Milestones!$AA$118)&gt;=$Y18),$AB18,$AA18)))=Milestones!$AB$118),UPPER(TEXT(EDATE($D18,Milestones!$AA$118),"dd mmm yy"))&amp;" "&amp;Milestones!$AB$118&amp;" "&amp;IF(AND(Milestones!$AB$118="FT",Milestones!$AA$118=FT_Y5,EDATE($D18,Milestones!$AA$118)&lt;PolicyEff),1,Milestones!$AC$118)&amp;";  ","")&amp;IF(AND(EDATE($D18,Milestones!$AA$119)&lt;=AsOfDate,EDATE($D18,Milestones!$AA$119)&gt;=SchemeStart,IF($X18=0,$AD18,IF(AND($Z18&lt;&gt;"",EDATE($D18,Milestones!$AA$119)&gt;=$Z18),$AC18,IF(AND($Y18&lt;&gt;"",EDATE($D18,Milestones!$AA$119)&gt;=$Y18),$AB18,$AA18)))=Milestones!$AB$119),UPPER(TEXT(EDATE($D18,Milestones!$AA$119),"dd mmm yy"))&amp;" "&amp;Milestones!$AB$119&amp;" "&amp;IF(AND(Milestones!$AB$119="FT",Milestones!$AA$119=FT_Y5,EDATE($D18,Milestones!$AA$119)&lt;PolicyEff),1,Milestones!$AC$119)&amp;";  ","")&amp;IF(AND(EDATE($D18,Milestones!$AA$120)&lt;=AsOfDate,EDATE($D18,Milestones!$AA$120)&gt;=SchemeStart,IF($X18=0,$AD18,IF(AND($Z18&lt;&gt;"",EDATE($D18,Milestones!$AA$120)&gt;=$Z18),$AC18,IF(AND($Y18&lt;&gt;"",EDATE($D18,Milestones!$AA$120)&gt;=$Y18),$AB18,$AA18)))=Milestones!$AB$120),UPPER(TEXT(EDATE($D18,Milestones!$AA$120),"dd mmm yy"))&amp;" "&amp;Milestones!$AB$120&amp;" "&amp;IF(AND(Milestones!$AB$120="FT",Milestones!$AA$120=FT_Y5,EDATE($D18,Milestones!$AA$120)&lt;PolicyEff),1,Milestones!$AC$120)&amp;";  ","")&amp;IF(AND(EDATE($D18,Milestones!$AA$121)&lt;=AsOfDate,EDATE($D18,Milestones!$AA$121)&gt;=SchemeStart,IF($X18=0,$AD18,IF(AND($Z18&lt;&gt;"",EDATE($D18,Milestones!$AA$121)&gt;=$Z18),$AC18,IF(AND($Y18&lt;&gt;"",EDATE($D18,Milestones!$AA$121)&gt;=$Y18),$AB18,$AA18)))=Milestones!$AB$121),UPPER(TEXT(EDATE($D18,Milestones!$AA$121),"dd mmm yy"))&amp;" "&amp;Milestones!$AB$121&amp;" "&amp;IF(AND(Milestones!$AB$121="FT",Milestones!$AA$121=FT_Y5,EDATE($D18,Milestones!$AA$121)&lt;PolicyEff),1,Milestones!$AC$121)&amp;";  ","")&amp;IF(AND(EDATE($D18,Milestones!$AA$122)&lt;=AsOfDate,EDATE($D18,Milestones!$AA$122)&gt;=SchemeStart,IF($X18=0,$AD18,IF(AND($Z18&lt;&gt;"",EDATE($D18,Milestones!$AA$122)&gt;=$Z18),$AC18,IF(AND($Y18&lt;&gt;"",EDATE($D18,Milestones!$AA$122)&gt;=$Y18),$AB18,$AA18)))=Milestones!$AB$122),UPPER(TEXT(EDATE($D18,Milestones!$AA$122),"dd mmm yy"))&amp;" "&amp;Milestones!$AB$122&amp;" "&amp;IF(AND(Milestones!$AB$122="FT",Milestones!$AA$122=FT_Y5,EDATE($D18,Milestones!$AA$122)&lt;PolicyEff),1,Milestones!$AC$122)&amp;";  ","")&amp;IF(AND(EDATE($D18,Milestones!$AA$123)&lt;=AsOfDate,EDATE($D18,Milestones!$AA$123)&gt;=SchemeStart,IF($X18=0,$AD18,IF(AND($Z18&lt;&gt;"",EDATE($D18,Milestones!$AA$123)&gt;=$Z18),$AC18,IF(AND($Y18&lt;&gt;"",EDATE($D18,Milestones!$AA$123)&gt;=$Y18),$AB18,$AA18)))=Milestones!$AB$123),UPPER(TEXT(EDATE($D18,Milestones!$AA$123),"dd mmm yy"))&amp;" "&amp;Milestones!$AB$123&amp;" "&amp;IF(AND(Milestones!$AB$123="FT",Milestones!$AA$123=FT_Y5,EDATE($D18,Milestones!$AA$123)&lt;PolicyEff),1,Milestones!$AC$123)&amp;";  ","")&amp;IF(AND(EDATE($D18,Milestones!$AA$124)&lt;=AsOfDate,EDATE($D18,Milestones!$AA$124)&gt;=SchemeStart,IF($X18=0,$AD18,IF(AND($Z18&lt;&gt;"",EDATE($D18,Milestones!$AA$124)&gt;=$Z18),$AC18,IF(AND($Y18&lt;&gt;"",EDATE($D18,Milestones!$AA$124)&gt;=$Y18),$AB18,$AA18)))=Milestones!$AB$124),UPPER(TEXT(EDATE($D18,Milestones!$AA$124),"dd mmm yy"))&amp;" "&amp;Milestones!$AB$124&amp;" "&amp;IF(AND(Milestones!$AB$124="FT",Milestones!$AA$124=FT_Y5,EDATE($D18,Milestones!$AA$124)&lt;PolicyEff),1,Milestones!$AC$124)&amp;";  ","")&amp;IF(AND(EDATE($D18,Milestones!$AA$125)&lt;=AsOfDate,EDATE($D18,Milestones!$AA$125)&gt;=SchemeStart,IF($X18=0,$AD18,IF(AND($Z18&lt;&gt;"",EDATE($D18,Milestones!$AA$125)&gt;=$Z18),$AC18,IF(AND($Y18&lt;&gt;"",EDATE($D18,Milestones!$AA$125)&gt;=$Y18),$AB18,$AA18)))=Milestones!$AB$125),UPPER(TEXT(EDATE($D18,Milestones!$AA$125),"dd mmm yy"))&amp;" "&amp;Milestones!$AB$125&amp;" "&amp;IF(AND(Milestones!$AB$125="FT",Milestones!$AA$125=FT_Y5,EDATE($D18,Milestones!$AA$125)&lt;PolicyEff),1,Milestones!$AC$125)&amp;";  ","")&amp;IF(AND(EDATE($D18,Milestones!$AA$126)&lt;=AsOfDate,EDATE($D18,Milestones!$AA$126)&gt;=SchemeStart,IF($X18=0,$AD18,IF(AND($Z18&lt;&gt;"",EDATE($D18,Milestones!$AA$126)&gt;=$Z18),$AC18,IF(AND($Y18&lt;&gt;"",EDATE($D18,Milestones!$AA$126)&gt;=$Y18),$AB18,$AA18)))=Milestones!$AB$126),UPPER(TEXT(EDATE($D18,Milestones!$AA$126),"dd mmm yy"))&amp;" "&amp;Milestones!$AB$126&amp;" "&amp;IF(AND(Milestones!$AB$126="FT",Milestones!$AA$126=FT_Y5,EDATE($D18,Milestones!$AA$126)&lt;PolicyEff),1,Milestones!$AC$126)&amp;";  ","")&amp;IF(AND(EDATE($D18,Milestones!$AA$127)&lt;=AsOfDate,EDATE($D18,Milestones!$AA$127)&gt;=SchemeStart,IF($X18=0,$AD18,IF(AND($Z18&lt;&gt;"",EDATE($D18,Milestones!$AA$127)&gt;=$Z18),$AC18,IF(AND($Y18&lt;&gt;"",EDATE($D18,Milestones!$AA$127)&gt;=$Y18),$AB18,$AA18)))=Milestones!$AB$127),UPPER(TEXT(EDATE($D18,Milestones!$AA$127),"dd mmm yy"))&amp;" "&amp;Milestones!$AB$127&amp;" "&amp;IF(AND(Milestones!$AB$127="FT",Milestones!$AA$127=FT_Y5,EDATE($D18,Milestones!$AA$127)&lt;PolicyEff),1,Milestones!$AC$127)&amp;";  ",""))</f>
        <v/>
      </c>
      <c r="R18" s="0" t="str">
        <f aca="false">IF(OR($A18="",$D18=""),"",IF(AND(EDATE($D18,Milestones!$AA$128)&lt;=AsOfDate,EDATE($D18,Milestones!$AA$128)&gt;=SchemeStart,IF($X18=0,$AD18,IF(AND($Z18&lt;&gt;"",EDATE($D18,Milestones!$AA$128)&gt;=$Z18),$AC18,IF(AND($Y18&lt;&gt;"",EDATE($D18,Milestones!$AA$128)&gt;=$Y18),$AB18,$AA18)))=Milestones!$AB$128),UPPER(TEXT(EDATE($D18,Milestones!$AA$128),"dd mmm yy"))&amp;" "&amp;Milestones!$AB$128&amp;" "&amp;IF(AND(Milestones!$AB$128="FT",Milestones!$AA$128=FT_Y5,EDATE($D18,Milestones!$AA$128)&lt;PolicyEff),1,Milestones!$AC$128)&amp;";  ","")&amp;IF(AND(EDATE($D18,Milestones!$AA$129)&lt;=AsOfDate,EDATE($D18,Milestones!$AA$129)&gt;=SchemeStart,IF($X18=0,$AD18,IF(AND($Z18&lt;&gt;"",EDATE($D18,Milestones!$AA$129)&gt;=$Z18),$AC18,IF(AND($Y18&lt;&gt;"",EDATE($D18,Milestones!$AA$129)&gt;=$Y18),$AB18,$AA18)))=Milestones!$AB$129),UPPER(TEXT(EDATE($D18,Milestones!$AA$129),"dd mmm yy"))&amp;" "&amp;Milestones!$AB$129&amp;" "&amp;IF(AND(Milestones!$AB$129="FT",Milestones!$AA$129=FT_Y5,EDATE($D18,Milestones!$AA$129)&lt;PolicyEff),1,Milestones!$AC$129)&amp;";  ","")&amp;IF(AND(EDATE($D18,Milestones!$AA$130)&lt;=AsOfDate,EDATE($D18,Milestones!$AA$130)&gt;=SchemeStart,IF($X18=0,$AD18,IF(AND($Z18&lt;&gt;"",EDATE($D18,Milestones!$AA$130)&gt;=$Z18),$AC18,IF(AND($Y18&lt;&gt;"",EDATE($D18,Milestones!$AA$130)&gt;=$Y18),$AB18,$AA18)))=Milestones!$AB$130),UPPER(TEXT(EDATE($D18,Milestones!$AA$130),"dd mmm yy"))&amp;" "&amp;Milestones!$AB$130&amp;" "&amp;IF(AND(Milestones!$AB$130="FT",Milestones!$AA$130=FT_Y5,EDATE($D18,Milestones!$AA$130)&lt;PolicyEff),1,Milestones!$AC$130)&amp;";  ","")&amp;IF(AND(EDATE($D18,Milestones!$AA$131)&lt;=AsOfDate,EDATE($D18,Milestones!$AA$131)&gt;=SchemeStart,IF($X18=0,$AD18,IF(AND($Z18&lt;&gt;"",EDATE($D18,Milestones!$AA$131)&gt;=$Z18),$AC18,IF(AND($Y18&lt;&gt;"",EDATE($D18,Milestones!$AA$131)&gt;=$Y18),$AB18,$AA18)))=Milestones!$AB$131),UPPER(TEXT(EDATE($D18,Milestones!$AA$131),"dd mmm yy"))&amp;" "&amp;Milestones!$AB$131&amp;" "&amp;IF(AND(Milestones!$AB$131="FT",Milestones!$AA$131=FT_Y5,EDATE($D18,Milestones!$AA$131)&lt;PolicyEff),1,Milestones!$AC$131)&amp;";  ","")&amp;IF(AND(EDATE($D18,Milestones!$AA$132)&lt;=AsOfDate,EDATE($D18,Milestones!$AA$132)&gt;=SchemeStart,IF($X18=0,$AD18,IF(AND($Z18&lt;&gt;"",EDATE($D18,Milestones!$AA$132)&gt;=$Z18),$AC18,IF(AND($Y18&lt;&gt;"",EDATE($D18,Milestones!$AA$132)&gt;=$Y18),$AB18,$AA18)))=Milestones!$AB$132),UPPER(TEXT(EDATE($D18,Milestones!$AA$132),"dd mmm yy"))&amp;" "&amp;Milestones!$AB$132&amp;" "&amp;IF(AND(Milestones!$AB$132="FT",Milestones!$AA$132=FT_Y5,EDATE($D18,Milestones!$AA$132)&lt;PolicyEff),1,Milestones!$AC$132)&amp;";  ","")&amp;IF(AND(EDATE($D18,Milestones!$AA$133)&lt;=AsOfDate,EDATE($D18,Milestones!$AA$133)&gt;=SchemeStart,IF($X18=0,$AD18,IF(AND($Z18&lt;&gt;"",EDATE($D18,Milestones!$AA$133)&gt;=$Z18),$AC18,IF(AND($Y18&lt;&gt;"",EDATE($D18,Milestones!$AA$133)&gt;=$Y18),$AB18,$AA18)))=Milestones!$AB$133),UPPER(TEXT(EDATE($D18,Milestones!$AA$133),"dd mmm yy"))&amp;" "&amp;Milestones!$AB$133&amp;" "&amp;IF(AND(Milestones!$AB$133="FT",Milestones!$AA$133=FT_Y5,EDATE($D18,Milestones!$AA$133)&lt;PolicyEff),1,Milestones!$AC$133)&amp;";  ","")&amp;IF(AND(EDATE($D18,Milestones!$AA$134)&lt;=AsOfDate,EDATE($D18,Milestones!$AA$134)&gt;=SchemeStart,IF($X18=0,$AD18,IF(AND($Z18&lt;&gt;"",EDATE($D18,Milestones!$AA$134)&gt;=$Z18),$AC18,IF(AND($Y18&lt;&gt;"",EDATE($D18,Milestones!$AA$134)&gt;=$Y18),$AB18,$AA18)))=Milestones!$AB$134),UPPER(TEXT(EDATE($D18,Milestones!$AA$134),"dd mmm yy"))&amp;" "&amp;Milestones!$AB$134&amp;" "&amp;IF(AND(Milestones!$AB$134="FT",Milestones!$AA$134=FT_Y5,EDATE($D18,Milestones!$AA$134)&lt;PolicyEff),1,Milestones!$AC$134)&amp;";  ","")&amp;IF(AND(EDATE($D18,Milestones!$AA$135)&lt;=AsOfDate,EDATE($D18,Milestones!$AA$135)&gt;=SchemeStart,IF($X18=0,$AD18,IF(AND($Z18&lt;&gt;"",EDATE($D18,Milestones!$AA$135)&gt;=$Z18),$AC18,IF(AND($Y18&lt;&gt;"",EDATE($D18,Milestones!$AA$135)&gt;=$Y18),$AB18,$AA18)))=Milestones!$AB$135),UPPER(TEXT(EDATE($D18,Milestones!$AA$135),"dd mmm yy"))&amp;" "&amp;Milestones!$AB$135&amp;" "&amp;IF(AND(Milestones!$AB$135="FT",Milestones!$AA$135=FT_Y5,EDATE($D18,Milestones!$AA$135)&lt;PolicyEff),1,Milestones!$AC$135)&amp;";  ","")&amp;IF(AND(EDATE($D18,Milestones!$AA$136)&lt;=AsOfDate,EDATE($D18,Milestones!$AA$136)&gt;=SchemeStart,IF($X18=0,$AD18,IF(AND($Z18&lt;&gt;"",EDATE($D18,Milestones!$AA$136)&gt;=$Z18),$AC18,IF(AND($Y18&lt;&gt;"",EDATE($D18,Milestones!$AA$136)&gt;=$Y18),$AB18,$AA18)))=Milestones!$AB$136),UPPER(TEXT(EDATE($D18,Milestones!$AA$136),"dd mmm yy"))&amp;" "&amp;Milestones!$AB$136&amp;" "&amp;IF(AND(Milestones!$AB$136="FT",Milestones!$AA$136=FT_Y5,EDATE($D18,Milestones!$AA$136)&lt;PolicyEff),1,Milestones!$AC$136)&amp;";  ","")&amp;IF(AND(EDATE($D18,Milestones!$AA$137)&lt;=AsOfDate,EDATE($D18,Milestones!$AA$137)&gt;=SchemeStart,IF($X18=0,$AD18,IF(AND($Z18&lt;&gt;"",EDATE($D18,Milestones!$AA$137)&gt;=$Z18),$AC18,IF(AND($Y18&lt;&gt;"",EDATE($D18,Milestones!$AA$137)&gt;=$Y18),$AB18,$AA18)))=Milestones!$AB$137),UPPER(TEXT(EDATE($D18,Milestones!$AA$137),"dd mmm yy"))&amp;" "&amp;Milestones!$AB$137&amp;" "&amp;IF(AND(Milestones!$AB$137="FT",Milestones!$AA$137=FT_Y5,EDATE($D18,Milestones!$AA$137)&lt;PolicyEff),1,Milestones!$AC$137)&amp;";  ","")&amp;IF(AND(EDATE($D18,Milestones!$AA$138)&lt;=AsOfDate,EDATE($D18,Milestones!$AA$138)&gt;=SchemeStart,IF($X18=0,$AD18,IF(AND($Z18&lt;&gt;"",EDATE($D18,Milestones!$AA$138)&gt;=$Z18),$AC18,IF(AND($Y18&lt;&gt;"",EDATE($D18,Milestones!$AA$138)&gt;=$Y18),$AB18,$AA18)))=Milestones!$AB$138),UPPER(TEXT(EDATE($D18,Milestones!$AA$138),"dd mmm yy"))&amp;" "&amp;Milestones!$AB$138&amp;" "&amp;IF(AND(Milestones!$AB$138="FT",Milestones!$AA$138=FT_Y5,EDATE($D18,Milestones!$AA$138)&lt;PolicyEff),1,Milestones!$AC$138)&amp;";  ","")&amp;IF(AND(EDATE($D18,Milestones!$AA$139)&lt;=AsOfDate,EDATE($D18,Milestones!$AA$139)&gt;=SchemeStart,IF($X18=0,$AD18,IF(AND($Z18&lt;&gt;"",EDATE($D18,Milestones!$AA$139)&gt;=$Z18),$AC18,IF(AND($Y18&lt;&gt;"",EDATE($D18,Milestones!$AA$139)&gt;=$Y18),$AB18,$AA18)))=Milestones!$AB$139),UPPER(TEXT(EDATE($D18,Milestones!$AA$139),"dd mmm yy"))&amp;" "&amp;Milestones!$AB$139&amp;" "&amp;IF(AND(Milestones!$AB$139="FT",Milestones!$AA$139=FT_Y5,EDATE($D18,Milestones!$AA$139)&lt;PolicyEff),1,Milestones!$AC$139)&amp;";  ",""))</f>
        <v/>
      </c>
      <c r="S18" s="0" t="str">
        <f aca="false">IF(OR($A18="",$D18=""),"",IF(AND(EDATE($D18,Milestones!$AA$140)&lt;=AsOfDate,EDATE($D18,Milestones!$AA$140)&gt;=SchemeStart,IF($X18=0,$AD18,IF(AND($Z18&lt;&gt;"",EDATE($D18,Milestones!$AA$140)&gt;=$Z18),$AC18,IF(AND($Y18&lt;&gt;"",EDATE($D18,Milestones!$AA$140)&gt;=$Y18),$AB18,$AA18)))=Milestones!$AB$140),UPPER(TEXT(EDATE($D18,Milestones!$AA$140),"dd mmm yy"))&amp;" "&amp;Milestones!$AB$140&amp;" "&amp;IF(AND(Milestones!$AB$140="FT",Milestones!$AA$140=FT_Y5,EDATE($D18,Milestones!$AA$140)&lt;PolicyEff),1,Milestones!$AC$140)&amp;";  ","")&amp;IF(AND(EDATE($D18,Milestones!$AA$141)&lt;=AsOfDate,EDATE($D18,Milestones!$AA$141)&gt;=SchemeStart,IF($X18=0,$AD18,IF(AND($Z18&lt;&gt;"",EDATE($D18,Milestones!$AA$141)&gt;=$Z18),$AC18,IF(AND($Y18&lt;&gt;"",EDATE($D18,Milestones!$AA$141)&gt;=$Y18),$AB18,$AA18)))=Milestones!$AB$141),UPPER(TEXT(EDATE($D18,Milestones!$AA$141),"dd mmm yy"))&amp;" "&amp;Milestones!$AB$141&amp;" "&amp;IF(AND(Milestones!$AB$141="FT",Milestones!$AA$141=FT_Y5,EDATE($D18,Milestones!$AA$141)&lt;PolicyEff),1,Milestones!$AC$141)&amp;";  ","")&amp;IF(AND(EDATE($D18,Milestones!$AA$142)&lt;=AsOfDate,EDATE($D18,Milestones!$AA$142)&gt;=SchemeStart,IF($X18=0,$AD18,IF(AND($Z18&lt;&gt;"",EDATE($D18,Milestones!$AA$142)&gt;=$Z18),$AC18,IF(AND($Y18&lt;&gt;"",EDATE($D18,Milestones!$AA$142)&gt;=$Y18),$AB18,$AA18)))=Milestones!$AB$142),UPPER(TEXT(EDATE($D18,Milestones!$AA$142),"dd mmm yy"))&amp;" "&amp;Milestones!$AB$142&amp;" "&amp;IF(AND(Milestones!$AB$142="FT",Milestones!$AA$142=FT_Y5,EDATE($D18,Milestones!$AA$142)&lt;PolicyEff),1,Milestones!$AC$142)&amp;";  ","")&amp;IF(AND(EDATE($D18,Milestones!$AA$143)&lt;=AsOfDate,EDATE($D18,Milestones!$AA$143)&gt;=SchemeStart,IF($X18=0,$AD18,IF(AND($Z18&lt;&gt;"",EDATE($D18,Milestones!$AA$143)&gt;=$Z18),$AC18,IF(AND($Y18&lt;&gt;"",EDATE($D18,Milestones!$AA$143)&gt;=$Y18),$AB18,$AA18)))=Milestones!$AB$143),UPPER(TEXT(EDATE($D18,Milestones!$AA$143),"dd mmm yy"))&amp;" "&amp;Milestones!$AB$143&amp;" "&amp;IF(AND(Milestones!$AB$143="FT",Milestones!$AA$143=FT_Y5,EDATE($D18,Milestones!$AA$143)&lt;PolicyEff),1,Milestones!$AC$143)&amp;";  ","")&amp;IF(AND(EDATE($D18,Milestones!$AA$144)&lt;=AsOfDate,EDATE($D18,Milestones!$AA$144)&gt;=SchemeStart,IF($X18=0,$AD18,IF(AND($Z18&lt;&gt;"",EDATE($D18,Milestones!$AA$144)&gt;=$Z18),$AC18,IF(AND($Y18&lt;&gt;"",EDATE($D18,Milestones!$AA$144)&gt;=$Y18),$AB18,$AA18)))=Milestones!$AB$144),UPPER(TEXT(EDATE($D18,Milestones!$AA$144),"dd mmm yy"))&amp;" "&amp;Milestones!$AB$144&amp;" "&amp;IF(AND(Milestones!$AB$144="FT",Milestones!$AA$144=FT_Y5,EDATE($D18,Milestones!$AA$144)&lt;PolicyEff),1,Milestones!$AC$144)&amp;";  ","")&amp;IF(AND(EDATE($D18,Milestones!$AA$145)&lt;=AsOfDate,EDATE($D18,Milestones!$AA$145)&gt;=SchemeStart,IF($X18=0,$AD18,IF(AND($Z18&lt;&gt;"",EDATE($D18,Milestones!$AA$145)&gt;=$Z18),$AC18,IF(AND($Y18&lt;&gt;"",EDATE($D18,Milestones!$AA$145)&gt;=$Y18),$AB18,$AA18)))=Milestones!$AB$145),UPPER(TEXT(EDATE($D18,Milestones!$AA$145),"dd mmm yy"))&amp;" "&amp;Milestones!$AB$145&amp;" "&amp;IF(AND(Milestones!$AB$145="FT",Milestones!$AA$145=FT_Y5,EDATE($D18,Milestones!$AA$145)&lt;PolicyEff),1,Milestones!$AC$145)&amp;";  ","")&amp;IF(AND(EDATE($D18,Milestones!$AA$146)&lt;=AsOfDate,EDATE($D18,Milestones!$AA$146)&gt;=SchemeStart,IF($X18=0,$AD18,IF(AND($Z18&lt;&gt;"",EDATE($D18,Milestones!$AA$146)&gt;=$Z18),$AC18,IF(AND($Y18&lt;&gt;"",EDATE($D18,Milestones!$AA$146)&gt;=$Y18),$AB18,$AA18)))=Milestones!$AB$146),UPPER(TEXT(EDATE($D18,Milestones!$AA$146),"dd mmm yy"))&amp;" "&amp;Milestones!$AB$146&amp;" "&amp;IF(AND(Milestones!$AB$146="FT",Milestones!$AA$146=FT_Y5,EDATE($D18,Milestones!$AA$146)&lt;PolicyEff),1,Milestones!$AC$146)&amp;";  ","")&amp;IF(AND(EDATE($D18,Milestones!$AA$147)&lt;=AsOfDate,EDATE($D18,Milestones!$AA$147)&gt;=SchemeStart,IF($X18=0,$AD18,IF(AND($Z18&lt;&gt;"",EDATE($D18,Milestones!$AA$147)&gt;=$Z18),$AC18,IF(AND($Y18&lt;&gt;"",EDATE($D18,Milestones!$AA$147)&gt;=$Y18),$AB18,$AA18)))=Milestones!$AB$147),UPPER(TEXT(EDATE($D18,Milestones!$AA$147),"dd mmm yy"))&amp;" "&amp;Milestones!$AB$147&amp;" "&amp;IF(AND(Milestones!$AB$147="FT",Milestones!$AA$147=FT_Y5,EDATE($D18,Milestones!$AA$147)&lt;PolicyEff),1,Milestones!$AC$147)&amp;";  ","")&amp;IF(AND(EDATE($D18,Milestones!$AA$148)&lt;=AsOfDate,EDATE($D18,Milestones!$AA$148)&gt;=SchemeStart,IF($X18=0,$AD18,IF(AND($Z18&lt;&gt;"",EDATE($D18,Milestones!$AA$148)&gt;=$Z18),$AC18,IF(AND($Y18&lt;&gt;"",EDATE($D18,Milestones!$AA$148)&gt;=$Y18),$AB18,$AA18)))=Milestones!$AB$148),UPPER(TEXT(EDATE($D18,Milestones!$AA$148),"dd mmm yy"))&amp;" "&amp;Milestones!$AB$148&amp;" "&amp;IF(AND(Milestones!$AB$148="FT",Milestones!$AA$148=FT_Y5,EDATE($D18,Milestones!$AA$148)&lt;PolicyEff),1,Milestones!$AC$148)&amp;";  ","")&amp;IF(AND(EDATE($D18,Milestones!$AA$149)&lt;=AsOfDate,EDATE($D18,Milestones!$AA$149)&gt;=SchemeStart,IF($X18=0,$AD18,IF(AND($Z18&lt;&gt;"",EDATE($D18,Milestones!$AA$149)&gt;=$Z18),$AC18,IF(AND($Y18&lt;&gt;"",EDATE($D18,Milestones!$AA$149)&gt;=$Y18),$AB18,$AA18)))=Milestones!$AB$149),UPPER(TEXT(EDATE($D18,Milestones!$AA$149),"dd mmm yy"))&amp;" "&amp;Milestones!$AB$149&amp;" "&amp;IF(AND(Milestones!$AB$149="FT",Milestones!$AA$149=FT_Y5,EDATE($D18,Milestones!$AA$149)&lt;PolicyEff),1,Milestones!$AC$149)&amp;";  ","")&amp;IF(AND(EDATE($D18,Milestones!$AA$150)&lt;=AsOfDate,EDATE($D18,Milestones!$AA$150)&gt;=SchemeStart,IF($X18=0,$AD18,IF(AND($Z18&lt;&gt;"",EDATE($D18,Milestones!$AA$150)&gt;=$Z18),$AC18,IF(AND($Y18&lt;&gt;"",EDATE($D18,Milestones!$AA$150)&gt;=$Y18),$AB18,$AA18)))=Milestones!$AB$150),UPPER(TEXT(EDATE($D18,Milestones!$AA$150),"dd mmm yy"))&amp;" "&amp;Milestones!$AB$150&amp;" "&amp;IF(AND(Milestones!$AB$150="FT",Milestones!$AA$150=FT_Y5,EDATE($D18,Milestones!$AA$150)&lt;PolicyEff),1,Milestones!$AC$150)&amp;";  ","")&amp;IF(AND(EDATE($D18,Milestones!$AA$151)&lt;=AsOfDate,EDATE($D18,Milestones!$AA$151)&gt;=SchemeStart,IF($X18=0,$AD18,IF(AND($Z18&lt;&gt;"",EDATE($D18,Milestones!$AA$151)&gt;=$Z18),$AC18,IF(AND($Y18&lt;&gt;"",EDATE($D18,Milestones!$AA$151)&gt;=$Y18),$AB18,$AA18)))=Milestones!$AB$151),UPPER(TEXT(EDATE($D18,Milestones!$AA$151),"dd mmm yy"))&amp;" "&amp;Milestones!$AB$151&amp;" "&amp;IF(AND(Milestones!$AB$151="FT",Milestones!$AA$151=FT_Y5,EDATE($D18,Milestones!$AA$151)&lt;PolicyEff),1,Milestones!$AC$151)&amp;";  ",""))</f>
        <v/>
      </c>
      <c r="T18" s="0" t="str">
        <f aca="false">IF(OR($A18="",$D18=""),"",IF(AND(EDATE($D18,Milestones!$AA$152)&lt;=AsOfDate,EDATE($D18,Milestones!$AA$152)&gt;=SchemeStart,IF($X18=0,$AD18,IF(AND($Z18&lt;&gt;"",EDATE($D18,Milestones!$AA$152)&gt;=$Z18),$AC18,IF(AND($Y18&lt;&gt;"",EDATE($D18,Milestones!$AA$152)&gt;=$Y18),$AB18,$AA18)))=Milestones!$AB$152),UPPER(TEXT(EDATE($D18,Milestones!$AA$152),"dd mmm yy"))&amp;" "&amp;Milestones!$AB$152&amp;" "&amp;IF(AND(Milestones!$AB$152="FT",Milestones!$AA$152=FT_Y5,EDATE($D18,Milestones!$AA$152)&lt;PolicyEff),1,Milestones!$AC$152)&amp;";  ","")&amp;IF(AND(EDATE($D18,Milestones!$AA$153)&lt;=AsOfDate,EDATE($D18,Milestones!$AA$153)&gt;=SchemeStart,IF($X18=0,$AD18,IF(AND($Z18&lt;&gt;"",EDATE($D18,Milestones!$AA$153)&gt;=$Z18),$AC18,IF(AND($Y18&lt;&gt;"",EDATE($D18,Milestones!$AA$153)&gt;=$Y18),$AB18,$AA18)))=Milestones!$AB$153),UPPER(TEXT(EDATE($D18,Milestones!$AA$153),"dd mmm yy"))&amp;" "&amp;Milestones!$AB$153&amp;" "&amp;IF(AND(Milestones!$AB$153="FT",Milestones!$AA$153=FT_Y5,EDATE($D18,Milestones!$AA$153)&lt;PolicyEff),1,Milestones!$AC$153)&amp;";  ","")&amp;IF(AND(EDATE($D18,Milestones!$AA$154)&lt;=AsOfDate,EDATE($D18,Milestones!$AA$154)&gt;=SchemeStart,IF($X18=0,$AD18,IF(AND($Z18&lt;&gt;"",EDATE($D18,Milestones!$AA$154)&gt;=$Z18),$AC18,IF(AND($Y18&lt;&gt;"",EDATE($D18,Milestones!$AA$154)&gt;=$Y18),$AB18,$AA18)))=Milestones!$AB$154),UPPER(TEXT(EDATE($D18,Milestones!$AA$154),"dd mmm yy"))&amp;" "&amp;Milestones!$AB$154&amp;" "&amp;IF(AND(Milestones!$AB$154="FT",Milestones!$AA$154=FT_Y5,EDATE($D18,Milestones!$AA$154)&lt;PolicyEff),1,Milestones!$AC$154)&amp;";  ","")&amp;IF(AND(EDATE($D18,Milestones!$AA$155)&lt;=AsOfDate,EDATE($D18,Milestones!$AA$155)&gt;=SchemeStart,IF($X18=0,$AD18,IF(AND($Z18&lt;&gt;"",EDATE($D18,Milestones!$AA$155)&gt;=$Z18),$AC18,IF(AND($Y18&lt;&gt;"",EDATE($D18,Milestones!$AA$155)&gt;=$Y18),$AB18,$AA18)))=Milestones!$AB$155),UPPER(TEXT(EDATE($D18,Milestones!$AA$155),"dd mmm yy"))&amp;" "&amp;Milestones!$AB$155&amp;" "&amp;IF(AND(Milestones!$AB$155="FT",Milestones!$AA$155=FT_Y5,EDATE($D18,Milestones!$AA$155)&lt;PolicyEff),1,Milestones!$AC$155)&amp;";  ","")&amp;IF(AND(EDATE($D18,Milestones!$AA$156)&lt;=AsOfDate,EDATE($D18,Milestones!$AA$156)&gt;=SchemeStart,IF($X18=0,$AD18,IF(AND($Z18&lt;&gt;"",EDATE($D18,Milestones!$AA$156)&gt;=$Z18),$AC18,IF(AND($Y18&lt;&gt;"",EDATE($D18,Milestones!$AA$156)&gt;=$Y18),$AB18,$AA18)))=Milestones!$AB$156),UPPER(TEXT(EDATE($D18,Milestones!$AA$156),"dd mmm yy"))&amp;" "&amp;Milestones!$AB$156&amp;" "&amp;IF(AND(Milestones!$AB$156="FT",Milestones!$AA$156=FT_Y5,EDATE($D18,Milestones!$AA$156)&lt;PolicyEff),1,Milestones!$AC$156)&amp;";  ","")&amp;IF(AND(EDATE($D18,Milestones!$AA$157)&lt;=AsOfDate,EDATE($D18,Milestones!$AA$157)&gt;=SchemeStart,IF($X18=0,$AD18,IF(AND($Z18&lt;&gt;"",EDATE($D18,Milestones!$AA$157)&gt;=$Z18),$AC18,IF(AND($Y18&lt;&gt;"",EDATE($D18,Milestones!$AA$157)&gt;=$Y18),$AB18,$AA18)))=Milestones!$AB$157),UPPER(TEXT(EDATE($D18,Milestones!$AA$157),"dd mmm yy"))&amp;" "&amp;Milestones!$AB$157&amp;" "&amp;IF(AND(Milestones!$AB$157="FT",Milestones!$AA$157=FT_Y5,EDATE($D18,Milestones!$AA$157)&lt;PolicyEff),1,Milestones!$AC$157)&amp;";  ","")&amp;IF(AND(EDATE($D18,Milestones!$AA$158)&lt;=AsOfDate,EDATE($D18,Milestones!$AA$158)&gt;=SchemeStart,IF($X18=0,$AD18,IF(AND($Z18&lt;&gt;"",EDATE($D18,Milestones!$AA$158)&gt;=$Z18),$AC18,IF(AND($Y18&lt;&gt;"",EDATE($D18,Milestones!$AA$158)&gt;=$Y18),$AB18,$AA18)))=Milestones!$AB$158),UPPER(TEXT(EDATE($D18,Milestones!$AA$158),"dd mmm yy"))&amp;" "&amp;Milestones!$AB$158&amp;" "&amp;IF(AND(Milestones!$AB$158="FT",Milestones!$AA$158=FT_Y5,EDATE($D18,Milestones!$AA$158)&lt;PolicyEff),1,Milestones!$AC$158)&amp;";  ","")&amp;IF(AND(EDATE($D18,Milestones!$AA$159)&lt;=AsOfDate,EDATE($D18,Milestones!$AA$159)&gt;=SchemeStart,IF($X18=0,$AD18,IF(AND($Z18&lt;&gt;"",EDATE($D18,Milestones!$AA$159)&gt;=$Z18),$AC18,IF(AND($Y18&lt;&gt;"",EDATE($D18,Milestones!$AA$159)&gt;=$Y18),$AB18,$AA18)))=Milestones!$AB$159),UPPER(TEXT(EDATE($D18,Milestones!$AA$159),"dd mmm yy"))&amp;" "&amp;Milestones!$AB$159&amp;" "&amp;IF(AND(Milestones!$AB$159="FT",Milestones!$AA$159=FT_Y5,EDATE($D18,Milestones!$AA$159)&lt;PolicyEff),1,Milestones!$AC$159)&amp;";  ","")&amp;IF(AND(EDATE($D18,Milestones!$AA$160)&lt;=AsOfDate,EDATE($D18,Milestones!$AA$160)&gt;=SchemeStart,IF($X18=0,$AD18,IF(AND($Z18&lt;&gt;"",EDATE($D18,Milestones!$AA$160)&gt;=$Z18),$AC18,IF(AND($Y18&lt;&gt;"",EDATE($D18,Milestones!$AA$160)&gt;=$Y18),$AB18,$AA18)))=Milestones!$AB$160),UPPER(TEXT(EDATE($D18,Milestones!$AA$160),"dd mmm yy"))&amp;" "&amp;Milestones!$AB$160&amp;" "&amp;IF(AND(Milestones!$AB$160="FT",Milestones!$AA$160=FT_Y5,EDATE($D18,Milestones!$AA$160)&lt;PolicyEff),1,Milestones!$AC$160)&amp;";  ","")&amp;IF(AND(EDATE($D18,Milestones!$AA$161)&lt;=AsOfDate,EDATE($D18,Milestones!$AA$161)&gt;=SchemeStart,IF($X18=0,$AD18,IF(AND($Z18&lt;&gt;"",EDATE($D18,Milestones!$AA$161)&gt;=$Z18),$AC18,IF(AND($Y18&lt;&gt;"",EDATE($D18,Milestones!$AA$161)&gt;=$Y18),$AB18,$AA18)))=Milestones!$AB$161),UPPER(TEXT(EDATE($D18,Milestones!$AA$161),"dd mmm yy"))&amp;" "&amp;Milestones!$AB$161&amp;" "&amp;IF(AND(Milestones!$AB$161="FT",Milestones!$AA$161=FT_Y5,EDATE($D18,Milestones!$AA$161)&lt;PolicyEff),1,Milestones!$AC$161)&amp;";  ","")&amp;IF(AND(EDATE($D18,Milestones!$AA$162)&lt;=AsOfDate,EDATE($D18,Milestones!$AA$162)&gt;=SchemeStart,IF($X18=0,$AD18,IF(AND($Z18&lt;&gt;"",EDATE($D18,Milestones!$AA$162)&gt;=$Z18),$AC18,IF(AND($Y18&lt;&gt;"",EDATE($D18,Milestones!$AA$162)&gt;=$Y18),$AB18,$AA18)))=Milestones!$AB$162),UPPER(TEXT(EDATE($D18,Milestones!$AA$162),"dd mmm yy"))&amp;" "&amp;Milestones!$AB$162&amp;" "&amp;IF(AND(Milestones!$AB$162="FT",Milestones!$AA$162=FT_Y5,EDATE($D18,Milestones!$AA$162)&lt;PolicyEff),1,Milestones!$AC$162)&amp;";  ","")&amp;IF(AND(EDATE($D18,Milestones!$AA$163)&lt;=AsOfDate,EDATE($D18,Milestones!$AA$163)&gt;=SchemeStart,IF($X18=0,$AD18,IF(AND($Z18&lt;&gt;"",EDATE($D18,Milestones!$AA$163)&gt;=$Z18),$AC18,IF(AND($Y18&lt;&gt;"",EDATE($D18,Milestones!$AA$163)&gt;=$Y18),$AB18,$AA18)))=Milestones!$AB$163),UPPER(TEXT(EDATE($D18,Milestones!$AA$163),"dd mmm yy"))&amp;" "&amp;Milestones!$AB$163&amp;" "&amp;IF(AND(Milestones!$AB$163="FT",Milestones!$AA$163=FT_Y5,EDATE($D18,Milestones!$AA$163)&lt;PolicyEff),1,Milestones!$AC$163)&amp;";  ",""))</f>
        <v/>
      </c>
      <c r="U18" s="0" t="str">
        <f aca="false">IF(OR($A18="",$D18=""),"",IF(AND(EDATE($D18,Milestones!$AA$164)&lt;=AsOfDate,EDATE($D18,Milestones!$AA$164)&gt;=SchemeStart,IF($X18=0,$AD18,IF(AND($Z18&lt;&gt;"",EDATE($D18,Milestones!$AA$164)&gt;=$Z18),$AC18,IF(AND($Y18&lt;&gt;"",EDATE($D18,Milestones!$AA$164)&gt;=$Y18),$AB18,$AA18)))=Milestones!$AB$164),UPPER(TEXT(EDATE($D18,Milestones!$AA$164),"dd mmm yy"))&amp;" "&amp;Milestones!$AB$164&amp;" "&amp;IF(AND(Milestones!$AB$164="FT",Milestones!$AA$164=FT_Y5,EDATE($D18,Milestones!$AA$164)&lt;PolicyEff),1,Milestones!$AC$164)&amp;";  ","")&amp;IF(AND(EDATE($D18,Milestones!$AA$165)&lt;=AsOfDate,EDATE($D18,Milestones!$AA$165)&gt;=SchemeStart,IF($X18=0,$AD18,IF(AND($Z18&lt;&gt;"",EDATE($D18,Milestones!$AA$165)&gt;=$Z18),$AC18,IF(AND($Y18&lt;&gt;"",EDATE($D18,Milestones!$AA$165)&gt;=$Y18),$AB18,$AA18)))=Milestones!$AB$165),UPPER(TEXT(EDATE($D18,Milestones!$AA$165),"dd mmm yy"))&amp;" "&amp;Milestones!$AB$165&amp;" "&amp;IF(AND(Milestones!$AB$165="FT",Milestones!$AA$165=FT_Y5,EDATE($D18,Milestones!$AA$165)&lt;PolicyEff),1,Milestones!$AC$165)&amp;";  ","")&amp;IF(AND(EDATE($D18,Milestones!$AA$166)&lt;=AsOfDate,EDATE($D18,Milestones!$AA$166)&gt;=SchemeStart,IF($X18=0,$AD18,IF(AND($Z18&lt;&gt;"",EDATE($D18,Milestones!$AA$166)&gt;=$Z18),$AC18,IF(AND($Y18&lt;&gt;"",EDATE($D18,Milestones!$AA$166)&gt;=$Y18),$AB18,$AA18)))=Milestones!$AB$166),UPPER(TEXT(EDATE($D18,Milestones!$AA$166),"dd mmm yy"))&amp;" "&amp;Milestones!$AB$166&amp;" "&amp;IF(AND(Milestones!$AB$166="FT",Milestones!$AA$166=FT_Y5,EDATE($D18,Milestones!$AA$166)&lt;PolicyEff),1,Milestones!$AC$166)&amp;";  ","")&amp;IF(AND(EDATE($D18,Milestones!$AA$167)&lt;=AsOfDate,EDATE($D18,Milestones!$AA$167)&gt;=SchemeStart,IF($X18=0,$AD18,IF(AND($Z18&lt;&gt;"",EDATE($D18,Milestones!$AA$167)&gt;=$Z18),$AC18,IF(AND($Y18&lt;&gt;"",EDATE($D18,Milestones!$AA$167)&gt;=$Y18),$AB18,$AA18)))=Milestones!$AB$167),UPPER(TEXT(EDATE($D18,Milestones!$AA$167),"dd mmm yy"))&amp;" "&amp;Milestones!$AB$167&amp;" "&amp;IF(AND(Milestones!$AB$167="FT",Milestones!$AA$167=FT_Y5,EDATE($D18,Milestones!$AA$167)&lt;PolicyEff),1,Milestones!$AC$167)&amp;";  ","")&amp;IF(AND(EDATE($D18,Milestones!$AA$168)&lt;=AsOfDate,EDATE($D18,Milestones!$AA$168)&gt;=SchemeStart,IF($X18=0,$AD18,IF(AND($Z18&lt;&gt;"",EDATE($D18,Milestones!$AA$168)&gt;=$Z18),$AC18,IF(AND($Y18&lt;&gt;"",EDATE($D18,Milestones!$AA$168)&gt;=$Y18),$AB18,$AA18)))=Milestones!$AB$168),UPPER(TEXT(EDATE($D18,Milestones!$AA$168),"dd mmm yy"))&amp;" "&amp;Milestones!$AB$168&amp;" "&amp;IF(AND(Milestones!$AB$168="FT",Milestones!$AA$168=FT_Y5,EDATE($D18,Milestones!$AA$168)&lt;PolicyEff),1,Milestones!$AC$168)&amp;";  ","")&amp;IF(AND(EDATE($D18,Milestones!$AA$169)&lt;=AsOfDate,EDATE($D18,Milestones!$AA$169)&gt;=SchemeStart,IF($X18=0,$AD18,IF(AND($Z18&lt;&gt;"",EDATE($D18,Milestones!$AA$169)&gt;=$Z18),$AC18,IF(AND($Y18&lt;&gt;"",EDATE($D18,Milestones!$AA$169)&gt;=$Y18),$AB18,$AA18)))=Milestones!$AB$169),UPPER(TEXT(EDATE($D18,Milestones!$AA$169),"dd mmm yy"))&amp;" "&amp;Milestones!$AB$169&amp;" "&amp;IF(AND(Milestones!$AB$169="FT",Milestones!$AA$169=FT_Y5,EDATE($D18,Milestones!$AA$169)&lt;PolicyEff),1,Milestones!$AC$169)&amp;";  ","")&amp;IF(AND(EDATE($D18,Milestones!$AA$170)&lt;=AsOfDate,EDATE($D18,Milestones!$AA$170)&gt;=SchemeStart,IF($X18=0,$AD18,IF(AND($Z18&lt;&gt;"",EDATE($D18,Milestones!$AA$170)&gt;=$Z18),$AC18,IF(AND($Y18&lt;&gt;"",EDATE($D18,Milestones!$AA$170)&gt;=$Y18),$AB18,$AA18)))=Milestones!$AB$170),UPPER(TEXT(EDATE($D18,Milestones!$AA$170),"dd mmm yy"))&amp;" "&amp;Milestones!$AB$170&amp;" "&amp;IF(AND(Milestones!$AB$170="FT",Milestones!$AA$170=FT_Y5,EDATE($D18,Milestones!$AA$170)&lt;PolicyEff),1,Milestones!$AC$170)&amp;";  ","")&amp;IF(AND(EDATE($D18,Milestones!$AA$171)&lt;=AsOfDate,EDATE($D18,Milestones!$AA$171)&gt;=SchemeStart,IF($X18=0,$AD18,IF(AND($Z18&lt;&gt;"",EDATE($D18,Milestones!$AA$171)&gt;=$Z18),$AC18,IF(AND($Y18&lt;&gt;"",EDATE($D18,Milestones!$AA$171)&gt;=$Y18),$AB18,$AA18)))=Milestones!$AB$171),UPPER(TEXT(EDATE($D18,Milestones!$AA$171),"dd mmm yy"))&amp;" "&amp;Milestones!$AB$171&amp;" "&amp;IF(AND(Milestones!$AB$171="FT",Milestones!$AA$171=FT_Y5,EDATE($D18,Milestones!$AA$171)&lt;PolicyEff),1,Milestones!$AC$171)&amp;";  ","")&amp;IF(AND(EDATE($D18,Milestones!$AA$172)&lt;=AsOfDate,EDATE($D18,Milestones!$AA$172)&gt;=SchemeStart,IF($X18=0,$AD18,IF(AND($Z18&lt;&gt;"",EDATE($D18,Milestones!$AA$172)&gt;=$Z18),$AC18,IF(AND($Y18&lt;&gt;"",EDATE($D18,Milestones!$AA$172)&gt;=$Y18),$AB18,$AA18)))=Milestones!$AB$172),UPPER(TEXT(EDATE($D18,Milestones!$AA$172),"dd mmm yy"))&amp;" "&amp;Milestones!$AB$172&amp;" "&amp;IF(AND(Milestones!$AB$172="FT",Milestones!$AA$172=FT_Y5,EDATE($D18,Milestones!$AA$172)&lt;PolicyEff),1,Milestones!$AC$172)&amp;";  ","")&amp;IF(AND(EDATE($D18,Milestones!$AA$173)&lt;=AsOfDate,EDATE($D18,Milestones!$AA$173)&gt;=SchemeStart,IF($X18=0,$AD18,IF(AND($Z18&lt;&gt;"",EDATE($D18,Milestones!$AA$173)&gt;=$Z18),$AC18,IF(AND($Y18&lt;&gt;"",EDATE($D18,Milestones!$AA$173)&gt;=$Y18),$AB18,$AA18)))=Milestones!$AB$173),UPPER(TEXT(EDATE($D18,Milestones!$AA$173),"dd mmm yy"))&amp;" "&amp;Milestones!$AB$173&amp;" "&amp;IF(AND(Milestones!$AB$173="FT",Milestones!$AA$173=FT_Y5,EDATE($D18,Milestones!$AA$173)&lt;PolicyEff),1,Milestones!$AC$173)&amp;";  ","")&amp;IF(AND(EDATE($D18,Milestones!$AA$174)&lt;=AsOfDate,EDATE($D18,Milestones!$AA$174)&gt;=SchemeStart,IF($X18=0,$AD18,IF(AND($Z18&lt;&gt;"",EDATE($D18,Milestones!$AA$174)&gt;=$Z18),$AC18,IF(AND($Y18&lt;&gt;"",EDATE($D18,Milestones!$AA$174)&gt;=$Y18),$AB18,$AA18)))=Milestones!$AB$174),UPPER(TEXT(EDATE($D18,Milestones!$AA$174),"dd mmm yy"))&amp;" "&amp;Milestones!$AB$174&amp;" "&amp;IF(AND(Milestones!$AB$174="FT",Milestones!$AA$174=FT_Y5,EDATE($D18,Milestones!$AA$174)&lt;PolicyEff),1,Milestones!$AC$174)&amp;";  ","")&amp;IF(AND(EDATE($D18,Milestones!$AA$175)&lt;=AsOfDate,EDATE($D18,Milestones!$AA$175)&gt;=SchemeStart,IF($X18=0,$AD18,IF(AND($Z18&lt;&gt;"",EDATE($D18,Milestones!$AA$175)&gt;=$Z18),$AC18,IF(AND($Y18&lt;&gt;"",EDATE($D18,Milestones!$AA$175)&gt;=$Y18),$AB18,$AA18)))=Milestones!$AB$175),UPPER(TEXT(EDATE($D18,Milestones!$AA$175),"dd mmm yy"))&amp;" "&amp;Milestones!$AB$175&amp;" "&amp;IF(AND(Milestones!$AB$175="FT",Milestones!$AA$175=FT_Y5,EDATE($D18,Milestones!$AA$175)&lt;PolicyEff),1,Milestones!$AC$175)&amp;";  ",""))</f>
        <v/>
      </c>
      <c r="V18" s="0" t="str">
        <f aca="false">IF(OR($A18="",$D18=""),"",IF(AND(EDATE($D18,Milestones!$AA$176)&lt;=AsOfDate,EDATE($D18,Milestones!$AA$176)&gt;=SchemeStart,IF($X18=0,$AD18,IF(AND($Z18&lt;&gt;"",EDATE($D18,Milestones!$AA$176)&gt;=$Z18),$AC18,IF(AND($Y18&lt;&gt;"",EDATE($D18,Milestones!$AA$176)&gt;=$Y18),$AB18,$AA18)))=Milestones!$AB$176),UPPER(TEXT(EDATE($D18,Milestones!$AA$176),"dd mmm yy"))&amp;" "&amp;Milestones!$AB$176&amp;" "&amp;IF(AND(Milestones!$AB$176="FT",Milestones!$AA$176=FT_Y5,EDATE($D18,Milestones!$AA$176)&lt;PolicyEff),1,Milestones!$AC$176)&amp;";  ","")&amp;IF(AND(EDATE($D18,Milestones!$AA$177)&lt;=AsOfDate,EDATE($D18,Milestones!$AA$177)&gt;=SchemeStart,IF($X18=0,$AD18,IF(AND($Z18&lt;&gt;"",EDATE($D18,Milestones!$AA$177)&gt;=$Z18),$AC18,IF(AND($Y18&lt;&gt;"",EDATE($D18,Milestones!$AA$177)&gt;=$Y18),$AB18,$AA18)))=Milestones!$AB$177),UPPER(TEXT(EDATE($D18,Milestones!$AA$177),"dd mmm yy"))&amp;" "&amp;Milestones!$AB$177&amp;" "&amp;IF(AND(Milestones!$AB$177="FT",Milestones!$AA$177=FT_Y5,EDATE($D18,Milestones!$AA$177)&lt;PolicyEff),1,Milestones!$AC$177)&amp;";  ","")&amp;IF(AND(EDATE($D18,Milestones!$AA$178)&lt;=AsOfDate,EDATE($D18,Milestones!$AA$178)&gt;=SchemeStart,IF($X18=0,$AD18,IF(AND($Z18&lt;&gt;"",EDATE($D18,Milestones!$AA$178)&gt;=$Z18),$AC18,IF(AND($Y18&lt;&gt;"",EDATE($D18,Milestones!$AA$178)&gt;=$Y18),$AB18,$AA18)))=Milestones!$AB$178),UPPER(TEXT(EDATE($D18,Milestones!$AA$178),"dd mmm yy"))&amp;" "&amp;Milestones!$AB$178&amp;" "&amp;IF(AND(Milestones!$AB$178="FT",Milestones!$AA$178=FT_Y5,EDATE($D18,Milestones!$AA$178)&lt;PolicyEff),1,Milestones!$AC$178)&amp;";  ","")&amp;IF(AND(EDATE($D18,Milestones!$AA$179)&lt;=AsOfDate,EDATE($D18,Milestones!$AA$179)&gt;=SchemeStart,IF($X18=0,$AD18,IF(AND($Z18&lt;&gt;"",EDATE($D18,Milestones!$AA$179)&gt;=$Z18),$AC18,IF(AND($Y18&lt;&gt;"",EDATE($D18,Milestones!$AA$179)&gt;=$Y18),$AB18,$AA18)))=Milestones!$AB$179),UPPER(TEXT(EDATE($D18,Milestones!$AA$179),"dd mmm yy"))&amp;" "&amp;Milestones!$AB$179&amp;" "&amp;IF(AND(Milestones!$AB$179="FT",Milestones!$AA$179=FT_Y5,EDATE($D18,Milestones!$AA$179)&lt;PolicyEff),1,Milestones!$AC$179)&amp;";  ","")&amp;IF(AND(EDATE($D18,Milestones!$AA$180)&lt;=AsOfDate,EDATE($D18,Milestones!$AA$180)&gt;=SchemeStart,IF($X18=0,$AD18,IF(AND($Z18&lt;&gt;"",EDATE($D18,Milestones!$AA$180)&gt;=$Z18),$AC18,IF(AND($Y18&lt;&gt;"",EDATE($D18,Milestones!$AA$180)&gt;=$Y18),$AB18,$AA18)))=Milestones!$AB$180),UPPER(TEXT(EDATE($D18,Milestones!$AA$180),"dd mmm yy"))&amp;" "&amp;Milestones!$AB$180&amp;" "&amp;IF(AND(Milestones!$AB$180="FT",Milestones!$AA$180=FT_Y5,EDATE($D18,Milestones!$AA$180)&lt;PolicyEff),1,Milestones!$AC$180)&amp;";  ","")&amp;IF(AND(EDATE($D18,Milestones!$AA$181)&lt;=AsOfDate,EDATE($D18,Milestones!$AA$181)&gt;=SchemeStart,IF($X18=0,$AD18,IF(AND($Z18&lt;&gt;"",EDATE($D18,Milestones!$AA$181)&gt;=$Z18),$AC18,IF(AND($Y18&lt;&gt;"",EDATE($D18,Milestones!$AA$181)&gt;=$Y18),$AB18,$AA18)))=Milestones!$AB$181),UPPER(TEXT(EDATE($D18,Milestones!$AA$181),"dd mmm yy"))&amp;" "&amp;Milestones!$AB$181&amp;" "&amp;IF(AND(Milestones!$AB$181="FT",Milestones!$AA$181=FT_Y5,EDATE($D18,Milestones!$AA$181)&lt;PolicyEff),1,Milestones!$AC$181)&amp;";  ","")&amp;IF(AND(EDATE($D18,Milestones!$AA$182)&lt;=AsOfDate,EDATE($D18,Milestones!$AA$182)&gt;=SchemeStart,IF($X18=0,$AD18,IF(AND($Z18&lt;&gt;"",EDATE($D18,Milestones!$AA$182)&gt;=$Z18),$AC18,IF(AND($Y18&lt;&gt;"",EDATE($D18,Milestones!$AA$182)&gt;=$Y18),$AB18,$AA18)))=Milestones!$AB$182),UPPER(TEXT(EDATE($D18,Milestones!$AA$182),"dd mmm yy"))&amp;" "&amp;Milestones!$AB$182&amp;" "&amp;IF(AND(Milestones!$AB$182="FT",Milestones!$AA$182=FT_Y5,EDATE($D18,Milestones!$AA$182)&lt;PolicyEff),1,Milestones!$AC$182)&amp;";  ","")&amp;IF(AND(EDATE($D18,Milestones!$AA$183)&lt;=AsOfDate,EDATE($D18,Milestones!$AA$183)&gt;=SchemeStart,IF($X18=0,$AD18,IF(AND($Z18&lt;&gt;"",EDATE($D18,Milestones!$AA$183)&gt;=$Z18),$AC18,IF(AND($Y18&lt;&gt;"",EDATE($D18,Milestones!$AA$183)&gt;=$Y18),$AB18,$AA18)))=Milestones!$AB$183),UPPER(TEXT(EDATE($D18,Milestones!$AA$183),"dd mmm yy"))&amp;" "&amp;Milestones!$AB$183&amp;" "&amp;IF(AND(Milestones!$AB$183="FT",Milestones!$AA$183=FT_Y5,EDATE($D18,Milestones!$AA$183)&lt;PolicyEff),1,Milestones!$AC$183)&amp;";  ","")&amp;IF(AND(EDATE($D18,Milestones!$AA$184)&lt;=AsOfDate,EDATE($D18,Milestones!$AA$184)&gt;=SchemeStart,IF($X18=0,$AD18,IF(AND($Z18&lt;&gt;"",EDATE($D18,Milestones!$AA$184)&gt;=$Z18),$AC18,IF(AND($Y18&lt;&gt;"",EDATE($D18,Milestones!$AA$184)&gt;=$Y18),$AB18,$AA18)))=Milestones!$AB$184),UPPER(TEXT(EDATE($D18,Milestones!$AA$184),"dd mmm yy"))&amp;" "&amp;Milestones!$AB$184&amp;" "&amp;IF(AND(Milestones!$AB$184="FT",Milestones!$AA$184=FT_Y5,EDATE($D18,Milestones!$AA$184)&lt;PolicyEff),1,Milestones!$AC$184)&amp;";  ","")&amp;IF(AND(EDATE($D18,Milestones!$AA$185)&lt;=AsOfDate,EDATE($D18,Milestones!$AA$185)&gt;=SchemeStart,IF($X18=0,$AD18,IF(AND($Z18&lt;&gt;"",EDATE($D18,Milestones!$AA$185)&gt;=$Z18),$AC18,IF(AND($Y18&lt;&gt;"",EDATE($D18,Milestones!$AA$185)&gt;=$Y18),$AB18,$AA18)))=Milestones!$AB$185),UPPER(TEXT(EDATE($D18,Milestones!$AA$185),"dd mmm yy"))&amp;" "&amp;Milestones!$AB$185&amp;" "&amp;IF(AND(Milestones!$AB$185="FT",Milestones!$AA$185=FT_Y5,EDATE($D18,Milestones!$AA$185)&lt;PolicyEff),1,Milestones!$AC$185)&amp;";  ","")&amp;IF(AND(EDATE($D18,Milestones!$AA$186)&lt;=AsOfDate,EDATE($D18,Milestones!$AA$186)&gt;=SchemeStart,IF($X18=0,$AD18,IF(AND($Z18&lt;&gt;"",EDATE($D18,Milestones!$AA$186)&gt;=$Z18),$AC18,IF(AND($Y18&lt;&gt;"",EDATE($D18,Milestones!$AA$186)&gt;=$Y18),$AB18,$AA18)))=Milestones!$AB$186),UPPER(TEXT(EDATE($D18,Milestones!$AA$186),"dd mmm yy"))&amp;" "&amp;Milestones!$AB$186&amp;" "&amp;IF(AND(Milestones!$AB$186="FT",Milestones!$AA$186=FT_Y5,EDATE($D18,Milestones!$AA$186)&lt;PolicyEff),1,Milestones!$AC$186)&amp;";  ","")&amp;IF(AND(EDATE($D18,Milestones!$AA$187)&lt;=AsOfDate,EDATE($D18,Milestones!$AA$187)&gt;=SchemeStart,IF($X18=0,$AD18,IF(AND($Z18&lt;&gt;"",EDATE($D18,Milestones!$AA$187)&gt;=$Z18),$AC18,IF(AND($Y18&lt;&gt;"",EDATE($D18,Milestones!$AA$187)&gt;=$Y18),$AB18,$AA18)))=Milestones!$AB$187),UPPER(TEXT(EDATE($D18,Milestones!$AA$187),"dd mmm yy"))&amp;" "&amp;Milestones!$AB$187&amp;" "&amp;IF(AND(Milestones!$AB$187="FT",Milestones!$AA$187=FT_Y5,EDATE($D18,Milestones!$AA$187)&lt;PolicyEff),1,Milestones!$AC$187)&amp;";  ",""))</f>
        <v/>
      </c>
      <c r="W18" s="0" t="str">
        <f aca="false">IF(OR($A18="",$D18=""),"",IF(AND(EDATE($D18,Milestones!$AA$188)&lt;=AsOfDate,EDATE($D18,Milestones!$AA$188)&gt;=SchemeStart,IF($X18=0,$AD18,IF(AND($Z18&lt;&gt;"",EDATE($D18,Milestones!$AA$188)&gt;=$Z18),$AC18,IF(AND($Y18&lt;&gt;"",EDATE($D18,Milestones!$AA$188)&gt;=$Y18),$AB18,$AA18)))=Milestones!$AB$188),UPPER(TEXT(EDATE($D18,Milestones!$AA$188),"dd mmm yy"))&amp;" "&amp;Milestones!$AB$188&amp;" "&amp;IF(AND(Milestones!$AB$188="FT",Milestones!$AA$188=FT_Y5,EDATE($D18,Milestones!$AA$188)&lt;PolicyEff),1,Milestones!$AC$188)&amp;";  ","")&amp;IF(AND(EDATE($D18,Milestones!$AA$189)&lt;=AsOfDate,EDATE($D18,Milestones!$AA$189)&gt;=SchemeStart,IF($X18=0,$AD18,IF(AND($Z18&lt;&gt;"",EDATE($D18,Milestones!$AA$189)&gt;=$Z18),$AC18,IF(AND($Y18&lt;&gt;"",EDATE($D18,Milestones!$AA$189)&gt;=$Y18),$AB18,$AA18)))=Milestones!$AB$189),UPPER(TEXT(EDATE($D18,Milestones!$AA$189),"dd mmm yy"))&amp;" "&amp;Milestones!$AB$189&amp;" "&amp;IF(AND(Milestones!$AB$189="FT",Milestones!$AA$189=FT_Y5,EDATE($D18,Milestones!$AA$189)&lt;PolicyEff),1,Milestones!$AC$189)&amp;";  ","")&amp;IF(AND(EDATE($D18,Milestones!$AA$190)&lt;=AsOfDate,EDATE($D18,Milestones!$AA$190)&gt;=SchemeStart,IF($X18=0,$AD18,IF(AND($Z18&lt;&gt;"",EDATE($D18,Milestones!$AA$190)&gt;=$Z18),$AC18,IF(AND($Y18&lt;&gt;"",EDATE($D18,Milestones!$AA$190)&gt;=$Y18),$AB18,$AA18)))=Milestones!$AB$190),UPPER(TEXT(EDATE($D18,Milestones!$AA$190),"dd mmm yy"))&amp;" "&amp;Milestones!$AB$190&amp;" "&amp;IF(AND(Milestones!$AB$190="FT",Milestones!$AA$190=FT_Y5,EDATE($D18,Milestones!$AA$190)&lt;PolicyEff),1,Milestones!$AC$190)&amp;";  ","")&amp;IF(AND(EDATE($D18,Milestones!$AA$191)&lt;=AsOfDate,EDATE($D18,Milestones!$AA$191)&gt;=SchemeStart,IF($X18=0,$AD18,IF(AND($Z18&lt;&gt;"",EDATE($D18,Milestones!$AA$191)&gt;=$Z18),$AC18,IF(AND($Y18&lt;&gt;"",EDATE($D18,Milestones!$AA$191)&gt;=$Y18),$AB18,$AA18)))=Milestones!$AB$191),UPPER(TEXT(EDATE($D18,Milestones!$AA$191),"dd mmm yy"))&amp;" "&amp;Milestones!$AB$191&amp;" "&amp;IF(AND(Milestones!$AB$191="FT",Milestones!$AA$191=FT_Y5,EDATE($D18,Milestones!$AA$191)&lt;PolicyEff),1,Milestones!$AC$191)&amp;";  ","")&amp;IF(AND(EDATE($D18,Milestones!$AA$192)&lt;=AsOfDate,EDATE($D18,Milestones!$AA$192)&gt;=SchemeStart,IF($X18=0,$AD18,IF(AND($Z18&lt;&gt;"",EDATE($D18,Milestones!$AA$192)&gt;=$Z18),$AC18,IF(AND($Y18&lt;&gt;"",EDATE($D18,Milestones!$AA$192)&gt;=$Y18),$AB18,$AA18)))=Milestones!$AB$192),UPPER(TEXT(EDATE($D18,Milestones!$AA$192),"dd mmm yy"))&amp;" "&amp;Milestones!$AB$192&amp;" "&amp;IF(AND(Milestones!$AB$192="FT",Milestones!$AA$192=FT_Y5,EDATE($D18,Milestones!$AA$192)&lt;PolicyEff),1,Milestones!$AC$192)&amp;";  ","")&amp;IF(AND(EDATE($D18,Milestones!$AA$193)&lt;=AsOfDate,EDATE($D18,Milestones!$AA$193)&gt;=SchemeStart,IF($X18=0,$AD18,IF(AND($Z18&lt;&gt;"",EDATE($D18,Milestones!$AA$193)&gt;=$Z18),$AC18,IF(AND($Y18&lt;&gt;"",EDATE($D18,Milestones!$AA$193)&gt;=$Y18),$AB18,$AA18)))=Milestones!$AB$193),UPPER(TEXT(EDATE($D18,Milestones!$AA$193),"dd mmm yy"))&amp;" "&amp;Milestones!$AB$193&amp;" "&amp;IF(AND(Milestones!$AB$193="FT",Milestones!$AA$193=FT_Y5,EDATE($D18,Milestones!$AA$193)&lt;PolicyEff),1,Milestones!$AC$193)&amp;";  ","")&amp;IF(AND(EDATE($D18,Milestones!$AA$194)&lt;=AsOfDate,EDATE($D18,Milestones!$AA$194)&gt;=SchemeStart,IF($X18=0,$AD18,IF(AND($Z18&lt;&gt;"",EDATE($D18,Milestones!$AA$194)&gt;=$Z18),$AC18,IF(AND($Y18&lt;&gt;"",EDATE($D18,Milestones!$AA$194)&gt;=$Y18),$AB18,$AA18)))=Milestones!$AB$194),UPPER(TEXT(EDATE($D18,Milestones!$AA$194),"dd mmm yy"))&amp;" "&amp;Milestones!$AB$194&amp;" "&amp;IF(AND(Milestones!$AB$194="FT",Milestones!$AA$194=FT_Y5,EDATE($D18,Milestones!$AA$194)&lt;PolicyEff),1,Milestones!$AC$194)&amp;";  ","")&amp;IF(AND(EDATE($D18,Milestones!$AA$195)&lt;=AsOfDate,EDATE($D18,Milestones!$AA$195)&gt;=SchemeStart,IF($X18=0,$AD18,IF(AND($Z18&lt;&gt;"",EDATE($D18,Milestones!$AA$195)&gt;=$Z18),$AC18,IF(AND($Y18&lt;&gt;"",EDATE($D18,Milestones!$AA$195)&gt;=$Y18),$AB18,$AA18)))=Milestones!$AB$195),UPPER(TEXT(EDATE($D18,Milestones!$AA$195),"dd mmm yy"))&amp;" "&amp;Milestones!$AB$195&amp;" "&amp;IF(AND(Milestones!$AB$195="FT",Milestones!$AA$195=FT_Y5,EDATE($D18,Milestones!$AA$195)&lt;PolicyEff),1,Milestones!$AC$195)&amp;";  ","")&amp;IF(AND(EDATE($D18,Milestones!$AA$196)&lt;=AsOfDate,EDATE($D18,Milestones!$AA$196)&gt;=SchemeStart,IF($X18=0,$AD18,IF(AND($Z18&lt;&gt;"",EDATE($D18,Milestones!$AA$196)&gt;=$Z18),$AC18,IF(AND($Y18&lt;&gt;"",EDATE($D18,Milestones!$AA$196)&gt;=$Y18),$AB18,$AA18)))=Milestones!$AB$196),UPPER(TEXT(EDATE($D18,Milestones!$AA$196),"dd mmm yy"))&amp;" "&amp;Milestones!$AB$196&amp;" "&amp;IF(AND(Milestones!$AB$196="FT",Milestones!$AA$196=FT_Y5,EDATE($D18,Milestones!$AA$196)&lt;PolicyEff),1,Milestones!$AC$196)&amp;";  ","")&amp;IF(AND(EDATE($D18,Milestones!$AA$197)&lt;=AsOfDate,EDATE($D18,Milestones!$AA$197)&gt;=SchemeStart,IF($X18=0,$AD18,IF(AND($Z18&lt;&gt;"",EDATE($D18,Milestones!$AA$197)&gt;=$Z18),$AC18,IF(AND($Y18&lt;&gt;"",EDATE($D18,Milestones!$AA$197)&gt;=$Y18),$AB18,$AA18)))=Milestones!$AB$197),UPPER(TEXT(EDATE($D18,Milestones!$AA$197),"dd mmm yy"))&amp;" "&amp;Milestones!$AB$197&amp;" "&amp;IF(AND(Milestones!$AB$197="FT",Milestones!$AA$197=FT_Y5,EDATE($D18,Milestones!$AA$197)&lt;PolicyEff),1,Milestones!$AC$197)&amp;";  ","")&amp;IF(AND(EDATE($D18,Milestones!$AA$198)&lt;=AsOfDate,EDATE($D18,Milestones!$AA$198)&gt;=SchemeStart,IF($X18=0,$AD18,IF(AND($Z18&lt;&gt;"",EDATE($D18,Milestones!$AA$198)&gt;=$Z18),$AC18,IF(AND($Y18&lt;&gt;"",EDATE($D18,Milestones!$AA$198)&gt;=$Y18),$AB18,$AA18)))=Milestones!$AB$198),UPPER(TEXT(EDATE($D18,Milestones!$AA$198),"dd mmm yy"))&amp;" "&amp;Milestones!$AB$198&amp;" "&amp;IF(AND(Milestones!$AB$198="FT",Milestones!$AA$198=FT_Y5,EDATE($D18,Milestones!$AA$198)&lt;PolicyEff),1,Milestones!$AC$198)&amp;";  ","")&amp;IF(AND(EDATE($D18,Milestones!$AA$199)&lt;=AsOfDate,EDATE($D18,Milestones!$AA$199)&gt;=SchemeStart,IF($X18=0,$AD18,IF(AND($Z18&lt;&gt;"",EDATE($D18,Milestones!$AA$199)&gt;=$Z18),$AC18,IF(AND($Y18&lt;&gt;"",EDATE($D18,Milestones!$AA$199)&gt;=$Y18),$AB18,$AA18)))=Milestones!$AB$199),UPPER(TEXT(EDATE($D18,Milestones!$AA$199),"dd mmm yy"))&amp;" "&amp;Milestones!$AB$199&amp;" "&amp;IF(AND(Milestones!$AB$199="FT",Milestones!$AA$199=FT_Y5,EDATE($D18,Milestones!$AA$199)&lt;PolicyEff),1,Milestones!$AC$199)&amp;";  ",""))</f>
        <v/>
      </c>
      <c r="X18" s="0" t="str">
        <f aca="false">IF(Staff!$A18="","",Staff!$AM18)</f>
        <v/>
      </c>
      <c r="Y18" s="0" t="str">
        <f aca="false">IF(Staff!$A18="","",Staff!$AO18)</f>
        <v/>
      </c>
      <c r="Z18" s="0" t="str">
        <f aca="false">IF(Staff!$A18="","",Staff!$AP18)</f>
        <v/>
      </c>
      <c r="AA18" s="0" t="str">
        <f aca="false">IF(Staff!$A18="","",Staff!$AT18)</f>
        <v/>
      </c>
      <c r="AB18" s="0" t="str">
        <f aca="false">IF(Staff!$A18="","",Staff!$AU18)</f>
        <v/>
      </c>
      <c r="AC18" s="0" t="str">
        <f aca="false">IF(Staff!$A18="","",Staff!$AV18)</f>
        <v/>
      </c>
      <c r="AD18" s="0" t="str">
        <f aca="false">IF(Staff!$A18="","",Staff!$AW18)</f>
        <v/>
      </c>
    </row>
    <row r="19" customFormat="false" ht="15" hidden="false" customHeight="false" outlineLevel="0" collapsed="false">
      <c r="A19" s="16" t="str">
        <f aca="false">IF(Staff!$A19="","",Staff!$A19)</f>
        <v/>
      </c>
      <c r="B19" s="16" t="str">
        <f aca="false">IF(Staff!$A19="","",Staff!$B19)</f>
        <v/>
      </c>
      <c r="C19" s="16" t="str">
        <f aca="false">IF(Staff!$A19="","",Staff!$C19)</f>
        <v/>
      </c>
      <c r="D19" s="14" t="str">
        <f aca="false">IF(Staff!$A19="","",Staff!$AL19)</f>
        <v/>
      </c>
      <c r="E19" s="16" t="str">
        <f aca="false">IF(Staff!$A19="","",Staff!$O19)</f>
        <v/>
      </c>
      <c r="F19" s="16" t="str">
        <f aca="false">IF(E19="","",E19*HoursPerDay)</f>
        <v/>
      </c>
      <c r="G19" s="16" t="str">
        <f aca="false">IF(Staff!$A19="","",Staff!$AE19)</f>
        <v/>
      </c>
      <c r="H19" s="28" t="str">
        <f aca="false">IF($A19="","",I19&amp;J19&amp;K19&amp;L19&amp;M19&amp;N19&amp;O19&amp;P19&amp;Q19&amp;R19&amp;S19&amp;T19&amp;U19&amp;V19&amp;W19)</f>
        <v/>
      </c>
      <c r="I19" s="0" t="str">
        <f aca="false">IF(OR($A19="",$D19=""),"",IF(AND(EDATE($D19,Milestones!$AA$20)&lt;=AsOfDate,EDATE($D19,Milestones!$AA$20)&gt;=SchemeStart,IF($X19=0,$AD19,IF(AND($Z19&lt;&gt;"",EDATE($D19,Milestones!$AA$20)&gt;=$Z19),$AC19,IF(AND($Y19&lt;&gt;"",EDATE($D19,Milestones!$AA$20)&gt;=$Y19),$AB19,$AA19)))=Milestones!$AB$20),UPPER(TEXT(EDATE($D19,Milestones!$AA$20),"dd mmm yy"))&amp;" "&amp;Milestones!$AB$20&amp;" "&amp;IF(AND(Milestones!$AB$20="FT",Milestones!$AA$20=FT_Y5,EDATE($D19,Milestones!$AA$20)&lt;PolicyEff),1,Milestones!$AC$20)&amp;";  ","")&amp;IF(AND(EDATE($D19,Milestones!$AA$21)&lt;=AsOfDate,EDATE($D19,Milestones!$AA$21)&gt;=SchemeStart,IF($X19=0,$AD19,IF(AND($Z19&lt;&gt;"",EDATE($D19,Milestones!$AA$21)&gt;=$Z19),$AC19,IF(AND($Y19&lt;&gt;"",EDATE($D19,Milestones!$AA$21)&gt;=$Y19),$AB19,$AA19)))=Milestones!$AB$21),UPPER(TEXT(EDATE($D19,Milestones!$AA$21),"dd mmm yy"))&amp;" "&amp;Milestones!$AB$21&amp;" "&amp;IF(AND(Milestones!$AB$21="FT",Milestones!$AA$21=FT_Y5,EDATE($D19,Milestones!$AA$21)&lt;PolicyEff),1,Milestones!$AC$21)&amp;";  ","")&amp;IF(AND(EDATE($D19,Milestones!$AA$22)&lt;=AsOfDate,EDATE($D19,Milestones!$AA$22)&gt;=SchemeStart,IF($X19=0,$AD19,IF(AND($Z19&lt;&gt;"",EDATE($D19,Milestones!$AA$22)&gt;=$Z19),$AC19,IF(AND($Y19&lt;&gt;"",EDATE($D19,Milestones!$AA$22)&gt;=$Y19),$AB19,$AA19)))=Milestones!$AB$22),UPPER(TEXT(EDATE($D19,Milestones!$AA$22),"dd mmm yy"))&amp;" "&amp;Milestones!$AB$22&amp;" "&amp;IF(AND(Milestones!$AB$22="FT",Milestones!$AA$22=FT_Y5,EDATE($D19,Milestones!$AA$22)&lt;PolicyEff),1,Milestones!$AC$22)&amp;";  ","")&amp;IF(AND(EDATE($D19,Milestones!$AA$23)&lt;=AsOfDate,EDATE($D19,Milestones!$AA$23)&gt;=SchemeStart,IF($X19=0,$AD19,IF(AND($Z19&lt;&gt;"",EDATE($D19,Milestones!$AA$23)&gt;=$Z19),$AC19,IF(AND($Y19&lt;&gt;"",EDATE($D19,Milestones!$AA$23)&gt;=$Y19),$AB19,$AA19)))=Milestones!$AB$23),UPPER(TEXT(EDATE($D19,Milestones!$AA$23),"dd mmm yy"))&amp;" "&amp;Milestones!$AB$23&amp;" "&amp;IF(AND(Milestones!$AB$23="FT",Milestones!$AA$23=FT_Y5,EDATE($D19,Milestones!$AA$23)&lt;PolicyEff),1,Milestones!$AC$23)&amp;";  ","")&amp;IF(AND(EDATE($D19,Milestones!$AA$24)&lt;=AsOfDate,EDATE($D19,Milestones!$AA$24)&gt;=SchemeStart,IF($X19=0,$AD19,IF(AND($Z19&lt;&gt;"",EDATE($D19,Milestones!$AA$24)&gt;=$Z19),$AC19,IF(AND($Y19&lt;&gt;"",EDATE($D19,Milestones!$AA$24)&gt;=$Y19),$AB19,$AA19)))=Milestones!$AB$24),UPPER(TEXT(EDATE($D19,Milestones!$AA$24),"dd mmm yy"))&amp;" "&amp;Milestones!$AB$24&amp;" "&amp;IF(AND(Milestones!$AB$24="FT",Milestones!$AA$24=FT_Y5,EDATE($D19,Milestones!$AA$24)&lt;PolicyEff),1,Milestones!$AC$24)&amp;";  ","")&amp;IF(AND(EDATE($D19,Milestones!$AA$25)&lt;=AsOfDate,EDATE($D19,Milestones!$AA$25)&gt;=SchemeStart,IF($X19=0,$AD19,IF(AND($Z19&lt;&gt;"",EDATE($D19,Milestones!$AA$25)&gt;=$Z19),$AC19,IF(AND($Y19&lt;&gt;"",EDATE($D19,Milestones!$AA$25)&gt;=$Y19),$AB19,$AA19)))=Milestones!$AB$25),UPPER(TEXT(EDATE($D19,Milestones!$AA$25),"dd mmm yy"))&amp;" "&amp;Milestones!$AB$25&amp;" "&amp;IF(AND(Milestones!$AB$25="FT",Milestones!$AA$25=FT_Y5,EDATE($D19,Milestones!$AA$25)&lt;PolicyEff),1,Milestones!$AC$25)&amp;";  ","")&amp;IF(AND(EDATE($D19,Milestones!$AA$26)&lt;=AsOfDate,EDATE($D19,Milestones!$AA$26)&gt;=SchemeStart,IF($X19=0,$AD19,IF(AND($Z19&lt;&gt;"",EDATE($D19,Milestones!$AA$26)&gt;=$Z19),$AC19,IF(AND($Y19&lt;&gt;"",EDATE($D19,Milestones!$AA$26)&gt;=$Y19),$AB19,$AA19)))=Milestones!$AB$26),UPPER(TEXT(EDATE($D19,Milestones!$AA$26),"dd mmm yy"))&amp;" "&amp;Milestones!$AB$26&amp;" "&amp;IF(AND(Milestones!$AB$26="FT",Milestones!$AA$26=FT_Y5,EDATE($D19,Milestones!$AA$26)&lt;PolicyEff),1,Milestones!$AC$26)&amp;";  ","")&amp;IF(AND(EDATE($D19,Milestones!$AA$27)&lt;=AsOfDate,EDATE($D19,Milestones!$AA$27)&gt;=SchemeStart,IF($X19=0,$AD19,IF(AND($Z19&lt;&gt;"",EDATE($D19,Milestones!$AA$27)&gt;=$Z19),$AC19,IF(AND($Y19&lt;&gt;"",EDATE($D19,Milestones!$AA$27)&gt;=$Y19),$AB19,$AA19)))=Milestones!$AB$27),UPPER(TEXT(EDATE($D19,Milestones!$AA$27),"dd mmm yy"))&amp;" "&amp;Milestones!$AB$27&amp;" "&amp;IF(AND(Milestones!$AB$27="FT",Milestones!$AA$27=FT_Y5,EDATE($D19,Milestones!$AA$27)&lt;PolicyEff),1,Milestones!$AC$27)&amp;";  ","")&amp;IF(AND(EDATE($D19,Milestones!$AA$28)&lt;=AsOfDate,EDATE($D19,Milestones!$AA$28)&gt;=SchemeStart,IF($X19=0,$AD19,IF(AND($Z19&lt;&gt;"",EDATE($D19,Milestones!$AA$28)&gt;=$Z19),$AC19,IF(AND($Y19&lt;&gt;"",EDATE($D19,Milestones!$AA$28)&gt;=$Y19),$AB19,$AA19)))=Milestones!$AB$28),UPPER(TEXT(EDATE($D19,Milestones!$AA$28),"dd mmm yy"))&amp;" "&amp;Milestones!$AB$28&amp;" "&amp;IF(AND(Milestones!$AB$28="FT",Milestones!$AA$28=FT_Y5,EDATE($D19,Milestones!$AA$28)&lt;PolicyEff),1,Milestones!$AC$28)&amp;";  ","")&amp;IF(AND(EDATE($D19,Milestones!$AA$29)&lt;=AsOfDate,EDATE($D19,Milestones!$AA$29)&gt;=SchemeStart,IF($X19=0,$AD19,IF(AND($Z19&lt;&gt;"",EDATE($D19,Milestones!$AA$29)&gt;=$Z19),$AC19,IF(AND($Y19&lt;&gt;"",EDATE($D19,Milestones!$AA$29)&gt;=$Y19),$AB19,$AA19)))=Milestones!$AB$29),UPPER(TEXT(EDATE($D19,Milestones!$AA$29),"dd mmm yy"))&amp;" "&amp;Milestones!$AB$29&amp;" "&amp;IF(AND(Milestones!$AB$29="FT",Milestones!$AA$29=FT_Y5,EDATE($D19,Milestones!$AA$29)&lt;PolicyEff),1,Milestones!$AC$29)&amp;";  ","")&amp;IF(AND(EDATE($D19,Milestones!$AA$30)&lt;=AsOfDate,EDATE($D19,Milestones!$AA$30)&gt;=SchemeStart,IF($X19=0,$AD19,IF(AND($Z19&lt;&gt;"",EDATE($D19,Milestones!$AA$30)&gt;=$Z19),$AC19,IF(AND($Y19&lt;&gt;"",EDATE($D19,Milestones!$AA$30)&gt;=$Y19),$AB19,$AA19)))=Milestones!$AB$30),UPPER(TEXT(EDATE($D19,Milestones!$AA$30),"dd mmm yy"))&amp;" "&amp;Milestones!$AB$30&amp;" "&amp;IF(AND(Milestones!$AB$30="FT",Milestones!$AA$30=FT_Y5,EDATE($D19,Milestones!$AA$30)&lt;PolicyEff),1,Milestones!$AC$30)&amp;";  ","")&amp;IF(AND(EDATE($D19,Milestones!$AA$31)&lt;=AsOfDate,EDATE($D19,Milestones!$AA$31)&gt;=SchemeStart,IF($X19=0,$AD19,IF(AND($Z19&lt;&gt;"",EDATE($D19,Milestones!$AA$31)&gt;=$Z19),$AC19,IF(AND($Y19&lt;&gt;"",EDATE($D19,Milestones!$AA$31)&gt;=$Y19),$AB19,$AA19)))=Milestones!$AB$31),UPPER(TEXT(EDATE($D19,Milestones!$AA$31),"dd mmm yy"))&amp;" "&amp;Milestones!$AB$31&amp;" "&amp;IF(AND(Milestones!$AB$31="FT",Milestones!$AA$31=FT_Y5,EDATE($D19,Milestones!$AA$31)&lt;PolicyEff),1,Milestones!$AC$31)&amp;";  ",""))</f>
        <v/>
      </c>
      <c r="J19" s="0" t="str">
        <f aca="false">IF(OR($A19="",$D19=""),"",IF(AND(EDATE($D19,Milestones!$AA$32)&lt;=AsOfDate,EDATE($D19,Milestones!$AA$32)&gt;=SchemeStart,IF($X19=0,$AD19,IF(AND($Z19&lt;&gt;"",EDATE($D19,Milestones!$AA$32)&gt;=$Z19),$AC19,IF(AND($Y19&lt;&gt;"",EDATE($D19,Milestones!$AA$32)&gt;=$Y19),$AB19,$AA19)))=Milestones!$AB$32),UPPER(TEXT(EDATE($D19,Milestones!$AA$32),"dd mmm yy"))&amp;" "&amp;Milestones!$AB$32&amp;" "&amp;IF(AND(Milestones!$AB$32="FT",Milestones!$AA$32=FT_Y5,EDATE($D19,Milestones!$AA$32)&lt;PolicyEff),1,Milestones!$AC$32)&amp;";  ","")&amp;IF(AND(EDATE($D19,Milestones!$AA$33)&lt;=AsOfDate,EDATE($D19,Milestones!$AA$33)&gt;=SchemeStart,IF($X19=0,$AD19,IF(AND($Z19&lt;&gt;"",EDATE($D19,Milestones!$AA$33)&gt;=$Z19),$AC19,IF(AND($Y19&lt;&gt;"",EDATE($D19,Milestones!$AA$33)&gt;=$Y19),$AB19,$AA19)))=Milestones!$AB$33),UPPER(TEXT(EDATE($D19,Milestones!$AA$33),"dd mmm yy"))&amp;" "&amp;Milestones!$AB$33&amp;" "&amp;IF(AND(Milestones!$AB$33="FT",Milestones!$AA$33=FT_Y5,EDATE($D19,Milestones!$AA$33)&lt;PolicyEff),1,Milestones!$AC$33)&amp;";  ","")&amp;IF(AND(EDATE($D19,Milestones!$AA$34)&lt;=AsOfDate,EDATE($D19,Milestones!$AA$34)&gt;=SchemeStart,IF($X19=0,$AD19,IF(AND($Z19&lt;&gt;"",EDATE($D19,Milestones!$AA$34)&gt;=$Z19),$AC19,IF(AND($Y19&lt;&gt;"",EDATE($D19,Milestones!$AA$34)&gt;=$Y19),$AB19,$AA19)))=Milestones!$AB$34),UPPER(TEXT(EDATE($D19,Milestones!$AA$34),"dd mmm yy"))&amp;" "&amp;Milestones!$AB$34&amp;" "&amp;IF(AND(Milestones!$AB$34="FT",Milestones!$AA$34=FT_Y5,EDATE($D19,Milestones!$AA$34)&lt;PolicyEff),1,Milestones!$AC$34)&amp;";  ","")&amp;IF(AND(EDATE($D19,Milestones!$AA$35)&lt;=AsOfDate,EDATE($D19,Milestones!$AA$35)&gt;=SchemeStart,IF($X19=0,$AD19,IF(AND($Z19&lt;&gt;"",EDATE($D19,Milestones!$AA$35)&gt;=$Z19),$AC19,IF(AND($Y19&lt;&gt;"",EDATE($D19,Milestones!$AA$35)&gt;=$Y19),$AB19,$AA19)))=Milestones!$AB$35),UPPER(TEXT(EDATE($D19,Milestones!$AA$35),"dd mmm yy"))&amp;" "&amp;Milestones!$AB$35&amp;" "&amp;IF(AND(Milestones!$AB$35="FT",Milestones!$AA$35=FT_Y5,EDATE($D19,Milestones!$AA$35)&lt;PolicyEff),1,Milestones!$AC$35)&amp;";  ","")&amp;IF(AND(EDATE($D19,Milestones!$AA$36)&lt;=AsOfDate,EDATE($D19,Milestones!$AA$36)&gt;=SchemeStart,IF($X19=0,$AD19,IF(AND($Z19&lt;&gt;"",EDATE($D19,Milestones!$AA$36)&gt;=$Z19),$AC19,IF(AND($Y19&lt;&gt;"",EDATE($D19,Milestones!$AA$36)&gt;=$Y19),$AB19,$AA19)))=Milestones!$AB$36),UPPER(TEXT(EDATE($D19,Milestones!$AA$36),"dd mmm yy"))&amp;" "&amp;Milestones!$AB$36&amp;" "&amp;IF(AND(Milestones!$AB$36="FT",Milestones!$AA$36=FT_Y5,EDATE($D19,Milestones!$AA$36)&lt;PolicyEff),1,Milestones!$AC$36)&amp;";  ","")&amp;IF(AND(EDATE($D19,Milestones!$AA$37)&lt;=AsOfDate,EDATE($D19,Milestones!$AA$37)&gt;=SchemeStart,IF($X19=0,$AD19,IF(AND($Z19&lt;&gt;"",EDATE($D19,Milestones!$AA$37)&gt;=$Z19),$AC19,IF(AND($Y19&lt;&gt;"",EDATE($D19,Milestones!$AA$37)&gt;=$Y19),$AB19,$AA19)))=Milestones!$AB$37),UPPER(TEXT(EDATE($D19,Milestones!$AA$37),"dd mmm yy"))&amp;" "&amp;Milestones!$AB$37&amp;" "&amp;IF(AND(Milestones!$AB$37="FT",Milestones!$AA$37=FT_Y5,EDATE($D19,Milestones!$AA$37)&lt;PolicyEff),1,Milestones!$AC$37)&amp;";  ","")&amp;IF(AND(EDATE($D19,Milestones!$AA$38)&lt;=AsOfDate,EDATE($D19,Milestones!$AA$38)&gt;=SchemeStart,IF($X19=0,$AD19,IF(AND($Z19&lt;&gt;"",EDATE($D19,Milestones!$AA$38)&gt;=$Z19),$AC19,IF(AND($Y19&lt;&gt;"",EDATE($D19,Milestones!$AA$38)&gt;=$Y19),$AB19,$AA19)))=Milestones!$AB$38),UPPER(TEXT(EDATE($D19,Milestones!$AA$38),"dd mmm yy"))&amp;" "&amp;Milestones!$AB$38&amp;" "&amp;IF(AND(Milestones!$AB$38="FT",Milestones!$AA$38=FT_Y5,EDATE($D19,Milestones!$AA$38)&lt;PolicyEff),1,Milestones!$AC$38)&amp;";  ","")&amp;IF(AND(EDATE($D19,Milestones!$AA$39)&lt;=AsOfDate,EDATE($D19,Milestones!$AA$39)&gt;=SchemeStart,IF($X19=0,$AD19,IF(AND($Z19&lt;&gt;"",EDATE($D19,Milestones!$AA$39)&gt;=$Z19),$AC19,IF(AND($Y19&lt;&gt;"",EDATE($D19,Milestones!$AA$39)&gt;=$Y19),$AB19,$AA19)))=Milestones!$AB$39),UPPER(TEXT(EDATE($D19,Milestones!$AA$39),"dd mmm yy"))&amp;" "&amp;Milestones!$AB$39&amp;" "&amp;IF(AND(Milestones!$AB$39="FT",Milestones!$AA$39=FT_Y5,EDATE($D19,Milestones!$AA$39)&lt;PolicyEff),1,Milestones!$AC$39)&amp;";  ","")&amp;IF(AND(EDATE($D19,Milestones!$AA$40)&lt;=AsOfDate,EDATE($D19,Milestones!$AA$40)&gt;=SchemeStart,IF($X19=0,$AD19,IF(AND($Z19&lt;&gt;"",EDATE($D19,Milestones!$AA$40)&gt;=$Z19),$AC19,IF(AND($Y19&lt;&gt;"",EDATE($D19,Milestones!$AA$40)&gt;=$Y19),$AB19,$AA19)))=Milestones!$AB$40),UPPER(TEXT(EDATE($D19,Milestones!$AA$40),"dd mmm yy"))&amp;" "&amp;Milestones!$AB$40&amp;" "&amp;IF(AND(Milestones!$AB$40="FT",Milestones!$AA$40=FT_Y5,EDATE($D19,Milestones!$AA$40)&lt;PolicyEff),1,Milestones!$AC$40)&amp;";  ","")&amp;IF(AND(EDATE($D19,Milestones!$AA$41)&lt;=AsOfDate,EDATE($D19,Milestones!$AA$41)&gt;=SchemeStart,IF($X19=0,$AD19,IF(AND($Z19&lt;&gt;"",EDATE($D19,Milestones!$AA$41)&gt;=$Z19),$AC19,IF(AND($Y19&lt;&gt;"",EDATE($D19,Milestones!$AA$41)&gt;=$Y19),$AB19,$AA19)))=Milestones!$AB$41),UPPER(TEXT(EDATE($D19,Milestones!$AA$41),"dd mmm yy"))&amp;" "&amp;Milestones!$AB$41&amp;" "&amp;IF(AND(Milestones!$AB$41="FT",Milestones!$AA$41=FT_Y5,EDATE($D19,Milestones!$AA$41)&lt;PolicyEff),1,Milestones!$AC$41)&amp;";  ","")&amp;IF(AND(EDATE($D19,Milestones!$AA$42)&lt;=AsOfDate,EDATE($D19,Milestones!$AA$42)&gt;=SchemeStart,IF($X19=0,$AD19,IF(AND($Z19&lt;&gt;"",EDATE($D19,Milestones!$AA$42)&gt;=$Z19),$AC19,IF(AND($Y19&lt;&gt;"",EDATE($D19,Milestones!$AA$42)&gt;=$Y19),$AB19,$AA19)))=Milestones!$AB$42),UPPER(TEXT(EDATE($D19,Milestones!$AA$42),"dd mmm yy"))&amp;" "&amp;Milestones!$AB$42&amp;" "&amp;IF(AND(Milestones!$AB$42="FT",Milestones!$AA$42=FT_Y5,EDATE($D19,Milestones!$AA$42)&lt;PolicyEff),1,Milestones!$AC$42)&amp;";  ","")&amp;IF(AND(EDATE($D19,Milestones!$AA$43)&lt;=AsOfDate,EDATE($D19,Milestones!$AA$43)&gt;=SchemeStart,IF($X19=0,$AD19,IF(AND($Z19&lt;&gt;"",EDATE($D19,Milestones!$AA$43)&gt;=$Z19),$AC19,IF(AND($Y19&lt;&gt;"",EDATE($D19,Milestones!$AA$43)&gt;=$Y19),$AB19,$AA19)))=Milestones!$AB$43),UPPER(TEXT(EDATE($D19,Milestones!$AA$43),"dd mmm yy"))&amp;" "&amp;Milestones!$AB$43&amp;" "&amp;IF(AND(Milestones!$AB$43="FT",Milestones!$AA$43=FT_Y5,EDATE($D19,Milestones!$AA$43)&lt;PolicyEff),1,Milestones!$AC$43)&amp;";  ",""))</f>
        <v/>
      </c>
      <c r="K19" s="0" t="str">
        <f aca="false">IF(OR($A19="",$D19=""),"",IF(AND(EDATE($D19,Milestones!$AA$44)&lt;=AsOfDate,EDATE($D19,Milestones!$AA$44)&gt;=SchemeStart,IF($X19=0,$AD19,IF(AND($Z19&lt;&gt;"",EDATE($D19,Milestones!$AA$44)&gt;=$Z19),$AC19,IF(AND($Y19&lt;&gt;"",EDATE($D19,Milestones!$AA$44)&gt;=$Y19),$AB19,$AA19)))=Milestones!$AB$44),UPPER(TEXT(EDATE($D19,Milestones!$AA$44),"dd mmm yy"))&amp;" "&amp;Milestones!$AB$44&amp;" "&amp;IF(AND(Milestones!$AB$44="FT",Milestones!$AA$44=FT_Y5,EDATE($D19,Milestones!$AA$44)&lt;PolicyEff),1,Milestones!$AC$44)&amp;";  ","")&amp;IF(AND(EDATE($D19,Milestones!$AA$45)&lt;=AsOfDate,EDATE($D19,Milestones!$AA$45)&gt;=SchemeStart,IF($X19=0,$AD19,IF(AND($Z19&lt;&gt;"",EDATE($D19,Milestones!$AA$45)&gt;=$Z19),$AC19,IF(AND($Y19&lt;&gt;"",EDATE($D19,Milestones!$AA$45)&gt;=$Y19),$AB19,$AA19)))=Milestones!$AB$45),UPPER(TEXT(EDATE($D19,Milestones!$AA$45),"dd mmm yy"))&amp;" "&amp;Milestones!$AB$45&amp;" "&amp;IF(AND(Milestones!$AB$45="FT",Milestones!$AA$45=FT_Y5,EDATE($D19,Milestones!$AA$45)&lt;PolicyEff),1,Milestones!$AC$45)&amp;";  ","")&amp;IF(AND(EDATE($D19,Milestones!$AA$46)&lt;=AsOfDate,EDATE($D19,Milestones!$AA$46)&gt;=SchemeStart,IF($X19=0,$AD19,IF(AND($Z19&lt;&gt;"",EDATE($D19,Milestones!$AA$46)&gt;=$Z19),$AC19,IF(AND($Y19&lt;&gt;"",EDATE($D19,Milestones!$AA$46)&gt;=$Y19),$AB19,$AA19)))=Milestones!$AB$46),UPPER(TEXT(EDATE($D19,Milestones!$AA$46),"dd mmm yy"))&amp;" "&amp;Milestones!$AB$46&amp;" "&amp;IF(AND(Milestones!$AB$46="FT",Milestones!$AA$46=FT_Y5,EDATE($D19,Milestones!$AA$46)&lt;PolicyEff),1,Milestones!$AC$46)&amp;";  ","")&amp;IF(AND(EDATE($D19,Milestones!$AA$47)&lt;=AsOfDate,EDATE($D19,Milestones!$AA$47)&gt;=SchemeStart,IF($X19=0,$AD19,IF(AND($Z19&lt;&gt;"",EDATE($D19,Milestones!$AA$47)&gt;=$Z19),$AC19,IF(AND($Y19&lt;&gt;"",EDATE($D19,Milestones!$AA$47)&gt;=$Y19),$AB19,$AA19)))=Milestones!$AB$47),UPPER(TEXT(EDATE($D19,Milestones!$AA$47),"dd mmm yy"))&amp;" "&amp;Milestones!$AB$47&amp;" "&amp;IF(AND(Milestones!$AB$47="FT",Milestones!$AA$47=FT_Y5,EDATE($D19,Milestones!$AA$47)&lt;PolicyEff),1,Milestones!$AC$47)&amp;";  ","")&amp;IF(AND(EDATE($D19,Milestones!$AA$48)&lt;=AsOfDate,EDATE($D19,Milestones!$AA$48)&gt;=SchemeStart,IF($X19=0,$AD19,IF(AND($Z19&lt;&gt;"",EDATE($D19,Milestones!$AA$48)&gt;=$Z19),$AC19,IF(AND($Y19&lt;&gt;"",EDATE($D19,Milestones!$AA$48)&gt;=$Y19),$AB19,$AA19)))=Milestones!$AB$48),UPPER(TEXT(EDATE($D19,Milestones!$AA$48),"dd mmm yy"))&amp;" "&amp;Milestones!$AB$48&amp;" "&amp;IF(AND(Milestones!$AB$48="FT",Milestones!$AA$48=FT_Y5,EDATE($D19,Milestones!$AA$48)&lt;PolicyEff),1,Milestones!$AC$48)&amp;";  ","")&amp;IF(AND(EDATE($D19,Milestones!$AA$49)&lt;=AsOfDate,EDATE($D19,Milestones!$AA$49)&gt;=SchemeStart,IF($X19=0,$AD19,IF(AND($Z19&lt;&gt;"",EDATE($D19,Milestones!$AA$49)&gt;=$Z19),$AC19,IF(AND($Y19&lt;&gt;"",EDATE($D19,Milestones!$AA$49)&gt;=$Y19),$AB19,$AA19)))=Milestones!$AB$49),UPPER(TEXT(EDATE($D19,Milestones!$AA$49),"dd mmm yy"))&amp;" "&amp;Milestones!$AB$49&amp;" "&amp;IF(AND(Milestones!$AB$49="FT",Milestones!$AA$49=FT_Y5,EDATE($D19,Milestones!$AA$49)&lt;PolicyEff),1,Milestones!$AC$49)&amp;";  ","")&amp;IF(AND(EDATE($D19,Milestones!$AA$50)&lt;=AsOfDate,EDATE($D19,Milestones!$AA$50)&gt;=SchemeStart,IF($X19=0,$AD19,IF(AND($Z19&lt;&gt;"",EDATE($D19,Milestones!$AA$50)&gt;=$Z19),$AC19,IF(AND($Y19&lt;&gt;"",EDATE($D19,Milestones!$AA$50)&gt;=$Y19),$AB19,$AA19)))=Milestones!$AB$50),UPPER(TEXT(EDATE($D19,Milestones!$AA$50),"dd mmm yy"))&amp;" "&amp;Milestones!$AB$50&amp;" "&amp;IF(AND(Milestones!$AB$50="FT",Milestones!$AA$50=FT_Y5,EDATE($D19,Milestones!$AA$50)&lt;PolicyEff),1,Milestones!$AC$50)&amp;";  ","")&amp;IF(AND(EDATE($D19,Milestones!$AA$51)&lt;=AsOfDate,EDATE($D19,Milestones!$AA$51)&gt;=SchemeStart,IF($X19=0,$AD19,IF(AND($Z19&lt;&gt;"",EDATE($D19,Milestones!$AA$51)&gt;=$Z19),$AC19,IF(AND($Y19&lt;&gt;"",EDATE($D19,Milestones!$AA$51)&gt;=$Y19),$AB19,$AA19)))=Milestones!$AB$51),UPPER(TEXT(EDATE($D19,Milestones!$AA$51),"dd mmm yy"))&amp;" "&amp;Milestones!$AB$51&amp;" "&amp;IF(AND(Milestones!$AB$51="FT",Milestones!$AA$51=FT_Y5,EDATE($D19,Milestones!$AA$51)&lt;PolicyEff),1,Milestones!$AC$51)&amp;";  ","")&amp;IF(AND(EDATE($D19,Milestones!$AA$52)&lt;=AsOfDate,EDATE($D19,Milestones!$AA$52)&gt;=SchemeStart,IF($X19=0,$AD19,IF(AND($Z19&lt;&gt;"",EDATE($D19,Milestones!$AA$52)&gt;=$Z19),$AC19,IF(AND($Y19&lt;&gt;"",EDATE($D19,Milestones!$AA$52)&gt;=$Y19),$AB19,$AA19)))=Milestones!$AB$52),UPPER(TEXT(EDATE($D19,Milestones!$AA$52),"dd mmm yy"))&amp;" "&amp;Milestones!$AB$52&amp;" "&amp;IF(AND(Milestones!$AB$52="FT",Milestones!$AA$52=FT_Y5,EDATE($D19,Milestones!$AA$52)&lt;PolicyEff),1,Milestones!$AC$52)&amp;";  ","")&amp;IF(AND(EDATE($D19,Milestones!$AA$53)&lt;=AsOfDate,EDATE($D19,Milestones!$AA$53)&gt;=SchemeStart,IF($X19=0,$AD19,IF(AND($Z19&lt;&gt;"",EDATE($D19,Milestones!$AA$53)&gt;=$Z19),$AC19,IF(AND($Y19&lt;&gt;"",EDATE($D19,Milestones!$AA$53)&gt;=$Y19),$AB19,$AA19)))=Milestones!$AB$53),UPPER(TEXT(EDATE($D19,Milestones!$AA$53),"dd mmm yy"))&amp;" "&amp;Milestones!$AB$53&amp;" "&amp;IF(AND(Milestones!$AB$53="FT",Milestones!$AA$53=FT_Y5,EDATE($D19,Milestones!$AA$53)&lt;PolicyEff),1,Milestones!$AC$53)&amp;";  ","")&amp;IF(AND(EDATE($D19,Milestones!$AA$54)&lt;=AsOfDate,EDATE($D19,Milestones!$AA$54)&gt;=SchemeStart,IF($X19=0,$AD19,IF(AND($Z19&lt;&gt;"",EDATE($D19,Milestones!$AA$54)&gt;=$Z19),$AC19,IF(AND($Y19&lt;&gt;"",EDATE($D19,Milestones!$AA$54)&gt;=$Y19),$AB19,$AA19)))=Milestones!$AB$54),UPPER(TEXT(EDATE($D19,Milestones!$AA$54),"dd mmm yy"))&amp;" "&amp;Milestones!$AB$54&amp;" "&amp;IF(AND(Milestones!$AB$54="FT",Milestones!$AA$54=FT_Y5,EDATE($D19,Milestones!$AA$54)&lt;PolicyEff),1,Milestones!$AC$54)&amp;";  ","")&amp;IF(AND(EDATE($D19,Milestones!$AA$55)&lt;=AsOfDate,EDATE($D19,Milestones!$AA$55)&gt;=SchemeStart,IF($X19=0,$AD19,IF(AND($Z19&lt;&gt;"",EDATE($D19,Milestones!$AA$55)&gt;=$Z19),$AC19,IF(AND($Y19&lt;&gt;"",EDATE($D19,Milestones!$AA$55)&gt;=$Y19),$AB19,$AA19)))=Milestones!$AB$55),UPPER(TEXT(EDATE($D19,Milestones!$AA$55),"dd mmm yy"))&amp;" "&amp;Milestones!$AB$55&amp;" "&amp;IF(AND(Milestones!$AB$55="FT",Milestones!$AA$55=FT_Y5,EDATE($D19,Milestones!$AA$55)&lt;PolicyEff),1,Milestones!$AC$55)&amp;";  ",""))</f>
        <v/>
      </c>
      <c r="L19" s="0" t="str">
        <f aca="false">IF(OR($A19="",$D19=""),"",IF(AND(EDATE($D19,Milestones!$AA$56)&lt;=AsOfDate,EDATE($D19,Milestones!$AA$56)&gt;=SchemeStart,IF($X19=0,$AD19,IF(AND($Z19&lt;&gt;"",EDATE($D19,Milestones!$AA$56)&gt;=$Z19),$AC19,IF(AND($Y19&lt;&gt;"",EDATE($D19,Milestones!$AA$56)&gt;=$Y19),$AB19,$AA19)))=Milestones!$AB$56),UPPER(TEXT(EDATE($D19,Milestones!$AA$56),"dd mmm yy"))&amp;" "&amp;Milestones!$AB$56&amp;" "&amp;IF(AND(Milestones!$AB$56="FT",Milestones!$AA$56=FT_Y5,EDATE($D19,Milestones!$AA$56)&lt;PolicyEff),1,Milestones!$AC$56)&amp;";  ","")&amp;IF(AND(EDATE($D19,Milestones!$AA$57)&lt;=AsOfDate,EDATE($D19,Milestones!$AA$57)&gt;=SchemeStart,IF($X19=0,$AD19,IF(AND($Z19&lt;&gt;"",EDATE($D19,Milestones!$AA$57)&gt;=$Z19),$AC19,IF(AND($Y19&lt;&gt;"",EDATE($D19,Milestones!$AA$57)&gt;=$Y19),$AB19,$AA19)))=Milestones!$AB$57),UPPER(TEXT(EDATE($D19,Milestones!$AA$57),"dd mmm yy"))&amp;" "&amp;Milestones!$AB$57&amp;" "&amp;IF(AND(Milestones!$AB$57="FT",Milestones!$AA$57=FT_Y5,EDATE($D19,Milestones!$AA$57)&lt;PolicyEff),1,Milestones!$AC$57)&amp;";  ","")&amp;IF(AND(EDATE($D19,Milestones!$AA$58)&lt;=AsOfDate,EDATE($D19,Milestones!$AA$58)&gt;=SchemeStart,IF($X19=0,$AD19,IF(AND($Z19&lt;&gt;"",EDATE($D19,Milestones!$AA$58)&gt;=$Z19),$AC19,IF(AND($Y19&lt;&gt;"",EDATE($D19,Milestones!$AA$58)&gt;=$Y19),$AB19,$AA19)))=Milestones!$AB$58),UPPER(TEXT(EDATE($D19,Milestones!$AA$58),"dd mmm yy"))&amp;" "&amp;Milestones!$AB$58&amp;" "&amp;IF(AND(Milestones!$AB$58="FT",Milestones!$AA$58=FT_Y5,EDATE($D19,Milestones!$AA$58)&lt;PolicyEff),1,Milestones!$AC$58)&amp;";  ","")&amp;IF(AND(EDATE($D19,Milestones!$AA$59)&lt;=AsOfDate,EDATE($D19,Milestones!$AA$59)&gt;=SchemeStart,IF($X19=0,$AD19,IF(AND($Z19&lt;&gt;"",EDATE($D19,Milestones!$AA$59)&gt;=$Z19),$AC19,IF(AND($Y19&lt;&gt;"",EDATE($D19,Milestones!$AA$59)&gt;=$Y19),$AB19,$AA19)))=Milestones!$AB$59),UPPER(TEXT(EDATE($D19,Milestones!$AA$59),"dd mmm yy"))&amp;" "&amp;Milestones!$AB$59&amp;" "&amp;IF(AND(Milestones!$AB$59="FT",Milestones!$AA$59=FT_Y5,EDATE($D19,Milestones!$AA$59)&lt;PolicyEff),1,Milestones!$AC$59)&amp;";  ","")&amp;IF(AND(EDATE($D19,Milestones!$AA$60)&lt;=AsOfDate,EDATE($D19,Milestones!$AA$60)&gt;=SchemeStart,IF($X19=0,$AD19,IF(AND($Z19&lt;&gt;"",EDATE($D19,Milestones!$AA$60)&gt;=$Z19),$AC19,IF(AND($Y19&lt;&gt;"",EDATE($D19,Milestones!$AA$60)&gt;=$Y19),$AB19,$AA19)))=Milestones!$AB$60),UPPER(TEXT(EDATE($D19,Milestones!$AA$60),"dd mmm yy"))&amp;" "&amp;Milestones!$AB$60&amp;" "&amp;IF(AND(Milestones!$AB$60="FT",Milestones!$AA$60=FT_Y5,EDATE($D19,Milestones!$AA$60)&lt;PolicyEff),1,Milestones!$AC$60)&amp;";  ","")&amp;IF(AND(EDATE($D19,Milestones!$AA$61)&lt;=AsOfDate,EDATE($D19,Milestones!$AA$61)&gt;=SchemeStart,IF($X19=0,$AD19,IF(AND($Z19&lt;&gt;"",EDATE($D19,Milestones!$AA$61)&gt;=$Z19),$AC19,IF(AND($Y19&lt;&gt;"",EDATE($D19,Milestones!$AA$61)&gt;=$Y19),$AB19,$AA19)))=Milestones!$AB$61),UPPER(TEXT(EDATE($D19,Milestones!$AA$61),"dd mmm yy"))&amp;" "&amp;Milestones!$AB$61&amp;" "&amp;IF(AND(Milestones!$AB$61="FT",Milestones!$AA$61=FT_Y5,EDATE($D19,Milestones!$AA$61)&lt;PolicyEff),1,Milestones!$AC$61)&amp;";  ","")&amp;IF(AND(EDATE($D19,Milestones!$AA$62)&lt;=AsOfDate,EDATE($D19,Milestones!$AA$62)&gt;=SchemeStart,IF($X19=0,$AD19,IF(AND($Z19&lt;&gt;"",EDATE($D19,Milestones!$AA$62)&gt;=$Z19),$AC19,IF(AND($Y19&lt;&gt;"",EDATE($D19,Milestones!$AA$62)&gt;=$Y19),$AB19,$AA19)))=Milestones!$AB$62),UPPER(TEXT(EDATE($D19,Milestones!$AA$62),"dd mmm yy"))&amp;" "&amp;Milestones!$AB$62&amp;" "&amp;IF(AND(Milestones!$AB$62="FT",Milestones!$AA$62=FT_Y5,EDATE($D19,Milestones!$AA$62)&lt;PolicyEff),1,Milestones!$AC$62)&amp;";  ","")&amp;IF(AND(EDATE($D19,Milestones!$AA$63)&lt;=AsOfDate,EDATE($D19,Milestones!$AA$63)&gt;=SchemeStart,IF($X19=0,$AD19,IF(AND($Z19&lt;&gt;"",EDATE($D19,Milestones!$AA$63)&gt;=$Z19),$AC19,IF(AND($Y19&lt;&gt;"",EDATE($D19,Milestones!$AA$63)&gt;=$Y19),$AB19,$AA19)))=Milestones!$AB$63),UPPER(TEXT(EDATE($D19,Milestones!$AA$63),"dd mmm yy"))&amp;" "&amp;Milestones!$AB$63&amp;" "&amp;IF(AND(Milestones!$AB$63="FT",Milestones!$AA$63=FT_Y5,EDATE($D19,Milestones!$AA$63)&lt;PolicyEff),1,Milestones!$AC$63)&amp;";  ","")&amp;IF(AND(EDATE($D19,Milestones!$AA$64)&lt;=AsOfDate,EDATE($D19,Milestones!$AA$64)&gt;=SchemeStart,IF($X19=0,$AD19,IF(AND($Z19&lt;&gt;"",EDATE($D19,Milestones!$AA$64)&gt;=$Z19),$AC19,IF(AND($Y19&lt;&gt;"",EDATE($D19,Milestones!$AA$64)&gt;=$Y19),$AB19,$AA19)))=Milestones!$AB$64),UPPER(TEXT(EDATE($D19,Milestones!$AA$64),"dd mmm yy"))&amp;" "&amp;Milestones!$AB$64&amp;" "&amp;IF(AND(Milestones!$AB$64="FT",Milestones!$AA$64=FT_Y5,EDATE($D19,Milestones!$AA$64)&lt;PolicyEff),1,Milestones!$AC$64)&amp;";  ","")&amp;IF(AND(EDATE($D19,Milestones!$AA$65)&lt;=AsOfDate,EDATE($D19,Milestones!$AA$65)&gt;=SchemeStart,IF($X19=0,$AD19,IF(AND($Z19&lt;&gt;"",EDATE($D19,Milestones!$AA$65)&gt;=$Z19),$AC19,IF(AND($Y19&lt;&gt;"",EDATE($D19,Milestones!$AA$65)&gt;=$Y19),$AB19,$AA19)))=Milestones!$AB$65),UPPER(TEXT(EDATE($D19,Milestones!$AA$65),"dd mmm yy"))&amp;" "&amp;Milestones!$AB$65&amp;" "&amp;IF(AND(Milestones!$AB$65="FT",Milestones!$AA$65=FT_Y5,EDATE($D19,Milestones!$AA$65)&lt;PolicyEff),1,Milestones!$AC$65)&amp;";  ","")&amp;IF(AND(EDATE($D19,Milestones!$AA$66)&lt;=AsOfDate,EDATE($D19,Milestones!$AA$66)&gt;=SchemeStart,IF($X19=0,$AD19,IF(AND($Z19&lt;&gt;"",EDATE($D19,Milestones!$AA$66)&gt;=$Z19),$AC19,IF(AND($Y19&lt;&gt;"",EDATE($D19,Milestones!$AA$66)&gt;=$Y19),$AB19,$AA19)))=Milestones!$AB$66),UPPER(TEXT(EDATE($D19,Milestones!$AA$66),"dd mmm yy"))&amp;" "&amp;Milestones!$AB$66&amp;" "&amp;IF(AND(Milestones!$AB$66="FT",Milestones!$AA$66=FT_Y5,EDATE($D19,Milestones!$AA$66)&lt;PolicyEff),1,Milestones!$AC$66)&amp;";  ","")&amp;IF(AND(EDATE($D19,Milestones!$AA$67)&lt;=AsOfDate,EDATE($D19,Milestones!$AA$67)&gt;=SchemeStart,IF($X19=0,$AD19,IF(AND($Z19&lt;&gt;"",EDATE($D19,Milestones!$AA$67)&gt;=$Z19),$AC19,IF(AND($Y19&lt;&gt;"",EDATE($D19,Milestones!$AA$67)&gt;=$Y19),$AB19,$AA19)))=Milestones!$AB$67),UPPER(TEXT(EDATE($D19,Milestones!$AA$67),"dd mmm yy"))&amp;" "&amp;Milestones!$AB$67&amp;" "&amp;IF(AND(Milestones!$AB$67="FT",Milestones!$AA$67=FT_Y5,EDATE($D19,Milestones!$AA$67)&lt;PolicyEff),1,Milestones!$AC$67)&amp;";  ",""))</f>
        <v/>
      </c>
      <c r="M19" s="0" t="str">
        <f aca="false">IF(OR($A19="",$D19=""),"",IF(AND(EDATE($D19,Milestones!$AA$68)&lt;=AsOfDate,EDATE($D19,Milestones!$AA$68)&gt;=SchemeStart,IF($X19=0,$AD19,IF(AND($Z19&lt;&gt;"",EDATE($D19,Milestones!$AA$68)&gt;=$Z19),$AC19,IF(AND($Y19&lt;&gt;"",EDATE($D19,Milestones!$AA$68)&gt;=$Y19),$AB19,$AA19)))=Milestones!$AB$68),UPPER(TEXT(EDATE($D19,Milestones!$AA$68),"dd mmm yy"))&amp;" "&amp;Milestones!$AB$68&amp;" "&amp;IF(AND(Milestones!$AB$68="FT",Milestones!$AA$68=FT_Y5,EDATE($D19,Milestones!$AA$68)&lt;PolicyEff),1,Milestones!$AC$68)&amp;";  ","")&amp;IF(AND(EDATE($D19,Milestones!$AA$69)&lt;=AsOfDate,EDATE($D19,Milestones!$AA$69)&gt;=SchemeStart,IF($X19=0,$AD19,IF(AND($Z19&lt;&gt;"",EDATE($D19,Milestones!$AA$69)&gt;=$Z19),$AC19,IF(AND($Y19&lt;&gt;"",EDATE($D19,Milestones!$AA$69)&gt;=$Y19),$AB19,$AA19)))=Milestones!$AB$69),UPPER(TEXT(EDATE($D19,Milestones!$AA$69),"dd mmm yy"))&amp;" "&amp;Milestones!$AB$69&amp;" "&amp;IF(AND(Milestones!$AB$69="FT",Milestones!$AA$69=FT_Y5,EDATE($D19,Milestones!$AA$69)&lt;PolicyEff),1,Milestones!$AC$69)&amp;";  ","")&amp;IF(AND(EDATE($D19,Milestones!$AA$70)&lt;=AsOfDate,EDATE($D19,Milestones!$AA$70)&gt;=SchemeStart,IF($X19=0,$AD19,IF(AND($Z19&lt;&gt;"",EDATE($D19,Milestones!$AA$70)&gt;=$Z19),$AC19,IF(AND($Y19&lt;&gt;"",EDATE($D19,Milestones!$AA$70)&gt;=$Y19),$AB19,$AA19)))=Milestones!$AB$70),UPPER(TEXT(EDATE($D19,Milestones!$AA$70),"dd mmm yy"))&amp;" "&amp;Milestones!$AB$70&amp;" "&amp;IF(AND(Milestones!$AB$70="FT",Milestones!$AA$70=FT_Y5,EDATE($D19,Milestones!$AA$70)&lt;PolicyEff),1,Milestones!$AC$70)&amp;";  ","")&amp;IF(AND(EDATE($D19,Milestones!$AA$71)&lt;=AsOfDate,EDATE($D19,Milestones!$AA$71)&gt;=SchemeStart,IF($X19=0,$AD19,IF(AND($Z19&lt;&gt;"",EDATE($D19,Milestones!$AA$71)&gt;=$Z19),$AC19,IF(AND($Y19&lt;&gt;"",EDATE($D19,Milestones!$AA$71)&gt;=$Y19),$AB19,$AA19)))=Milestones!$AB$71),UPPER(TEXT(EDATE($D19,Milestones!$AA$71),"dd mmm yy"))&amp;" "&amp;Milestones!$AB$71&amp;" "&amp;IF(AND(Milestones!$AB$71="FT",Milestones!$AA$71=FT_Y5,EDATE($D19,Milestones!$AA$71)&lt;PolicyEff),1,Milestones!$AC$71)&amp;";  ","")&amp;IF(AND(EDATE($D19,Milestones!$AA$72)&lt;=AsOfDate,EDATE($D19,Milestones!$AA$72)&gt;=SchemeStart,IF($X19=0,$AD19,IF(AND($Z19&lt;&gt;"",EDATE($D19,Milestones!$AA$72)&gt;=$Z19),$AC19,IF(AND($Y19&lt;&gt;"",EDATE($D19,Milestones!$AA$72)&gt;=$Y19),$AB19,$AA19)))=Milestones!$AB$72),UPPER(TEXT(EDATE($D19,Milestones!$AA$72),"dd mmm yy"))&amp;" "&amp;Milestones!$AB$72&amp;" "&amp;IF(AND(Milestones!$AB$72="FT",Milestones!$AA$72=FT_Y5,EDATE($D19,Milestones!$AA$72)&lt;PolicyEff),1,Milestones!$AC$72)&amp;";  ","")&amp;IF(AND(EDATE($D19,Milestones!$AA$73)&lt;=AsOfDate,EDATE($D19,Milestones!$AA$73)&gt;=SchemeStart,IF($X19=0,$AD19,IF(AND($Z19&lt;&gt;"",EDATE($D19,Milestones!$AA$73)&gt;=$Z19),$AC19,IF(AND($Y19&lt;&gt;"",EDATE($D19,Milestones!$AA$73)&gt;=$Y19),$AB19,$AA19)))=Milestones!$AB$73),UPPER(TEXT(EDATE($D19,Milestones!$AA$73),"dd mmm yy"))&amp;" "&amp;Milestones!$AB$73&amp;" "&amp;IF(AND(Milestones!$AB$73="FT",Milestones!$AA$73=FT_Y5,EDATE($D19,Milestones!$AA$73)&lt;PolicyEff),1,Milestones!$AC$73)&amp;";  ","")&amp;IF(AND(EDATE($D19,Milestones!$AA$74)&lt;=AsOfDate,EDATE($D19,Milestones!$AA$74)&gt;=SchemeStart,IF($X19=0,$AD19,IF(AND($Z19&lt;&gt;"",EDATE($D19,Milestones!$AA$74)&gt;=$Z19),$AC19,IF(AND($Y19&lt;&gt;"",EDATE($D19,Milestones!$AA$74)&gt;=$Y19),$AB19,$AA19)))=Milestones!$AB$74),UPPER(TEXT(EDATE($D19,Milestones!$AA$74),"dd mmm yy"))&amp;" "&amp;Milestones!$AB$74&amp;" "&amp;IF(AND(Milestones!$AB$74="FT",Milestones!$AA$74=FT_Y5,EDATE($D19,Milestones!$AA$74)&lt;PolicyEff),1,Milestones!$AC$74)&amp;";  ","")&amp;IF(AND(EDATE($D19,Milestones!$AA$75)&lt;=AsOfDate,EDATE($D19,Milestones!$AA$75)&gt;=SchemeStart,IF($X19=0,$AD19,IF(AND($Z19&lt;&gt;"",EDATE($D19,Milestones!$AA$75)&gt;=$Z19),$AC19,IF(AND($Y19&lt;&gt;"",EDATE($D19,Milestones!$AA$75)&gt;=$Y19),$AB19,$AA19)))=Milestones!$AB$75),UPPER(TEXT(EDATE($D19,Milestones!$AA$75),"dd mmm yy"))&amp;" "&amp;Milestones!$AB$75&amp;" "&amp;IF(AND(Milestones!$AB$75="FT",Milestones!$AA$75=FT_Y5,EDATE($D19,Milestones!$AA$75)&lt;PolicyEff),1,Milestones!$AC$75)&amp;";  ","")&amp;IF(AND(EDATE($D19,Milestones!$AA$76)&lt;=AsOfDate,EDATE($D19,Milestones!$AA$76)&gt;=SchemeStart,IF($X19=0,$AD19,IF(AND($Z19&lt;&gt;"",EDATE($D19,Milestones!$AA$76)&gt;=$Z19),$AC19,IF(AND($Y19&lt;&gt;"",EDATE($D19,Milestones!$AA$76)&gt;=$Y19),$AB19,$AA19)))=Milestones!$AB$76),UPPER(TEXT(EDATE($D19,Milestones!$AA$76),"dd mmm yy"))&amp;" "&amp;Milestones!$AB$76&amp;" "&amp;IF(AND(Milestones!$AB$76="FT",Milestones!$AA$76=FT_Y5,EDATE($D19,Milestones!$AA$76)&lt;PolicyEff),1,Milestones!$AC$76)&amp;";  ","")&amp;IF(AND(EDATE($D19,Milestones!$AA$77)&lt;=AsOfDate,EDATE($D19,Milestones!$AA$77)&gt;=SchemeStart,IF($X19=0,$AD19,IF(AND($Z19&lt;&gt;"",EDATE($D19,Milestones!$AA$77)&gt;=$Z19),$AC19,IF(AND($Y19&lt;&gt;"",EDATE($D19,Milestones!$AA$77)&gt;=$Y19),$AB19,$AA19)))=Milestones!$AB$77),UPPER(TEXT(EDATE($D19,Milestones!$AA$77),"dd mmm yy"))&amp;" "&amp;Milestones!$AB$77&amp;" "&amp;IF(AND(Milestones!$AB$77="FT",Milestones!$AA$77=FT_Y5,EDATE($D19,Milestones!$AA$77)&lt;PolicyEff),1,Milestones!$AC$77)&amp;";  ","")&amp;IF(AND(EDATE($D19,Milestones!$AA$78)&lt;=AsOfDate,EDATE($D19,Milestones!$AA$78)&gt;=SchemeStart,IF($X19=0,$AD19,IF(AND($Z19&lt;&gt;"",EDATE($D19,Milestones!$AA$78)&gt;=$Z19),$AC19,IF(AND($Y19&lt;&gt;"",EDATE($D19,Milestones!$AA$78)&gt;=$Y19),$AB19,$AA19)))=Milestones!$AB$78),UPPER(TEXT(EDATE($D19,Milestones!$AA$78),"dd mmm yy"))&amp;" "&amp;Milestones!$AB$78&amp;" "&amp;IF(AND(Milestones!$AB$78="FT",Milestones!$AA$78=FT_Y5,EDATE($D19,Milestones!$AA$78)&lt;PolicyEff),1,Milestones!$AC$78)&amp;";  ","")&amp;IF(AND(EDATE($D19,Milestones!$AA$79)&lt;=AsOfDate,EDATE($D19,Milestones!$AA$79)&gt;=SchemeStart,IF($X19=0,$AD19,IF(AND($Z19&lt;&gt;"",EDATE($D19,Milestones!$AA$79)&gt;=$Z19),$AC19,IF(AND($Y19&lt;&gt;"",EDATE($D19,Milestones!$AA$79)&gt;=$Y19),$AB19,$AA19)))=Milestones!$AB$79),UPPER(TEXT(EDATE($D19,Milestones!$AA$79),"dd mmm yy"))&amp;" "&amp;Milestones!$AB$79&amp;" "&amp;IF(AND(Milestones!$AB$79="FT",Milestones!$AA$79=FT_Y5,EDATE($D19,Milestones!$AA$79)&lt;PolicyEff),1,Milestones!$AC$79)&amp;";  ",""))</f>
        <v/>
      </c>
      <c r="N19" s="0" t="str">
        <f aca="false">IF(OR($A19="",$D19=""),"",IF(AND(EDATE($D19,Milestones!$AA$80)&lt;=AsOfDate,EDATE($D19,Milestones!$AA$80)&gt;=SchemeStart,IF($X19=0,$AD19,IF(AND($Z19&lt;&gt;"",EDATE($D19,Milestones!$AA$80)&gt;=$Z19),$AC19,IF(AND($Y19&lt;&gt;"",EDATE($D19,Milestones!$AA$80)&gt;=$Y19),$AB19,$AA19)))=Milestones!$AB$80),UPPER(TEXT(EDATE($D19,Milestones!$AA$80),"dd mmm yy"))&amp;" "&amp;Milestones!$AB$80&amp;" "&amp;IF(AND(Milestones!$AB$80="FT",Milestones!$AA$80=FT_Y5,EDATE($D19,Milestones!$AA$80)&lt;PolicyEff),1,Milestones!$AC$80)&amp;";  ","")&amp;IF(AND(EDATE($D19,Milestones!$AA$81)&lt;=AsOfDate,EDATE($D19,Milestones!$AA$81)&gt;=SchemeStart,IF($X19=0,$AD19,IF(AND($Z19&lt;&gt;"",EDATE($D19,Milestones!$AA$81)&gt;=$Z19),$AC19,IF(AND($Y19&lt;&gt;"",EDATE($D19,Milestones!$AA$81)&gt;=$Y19),$AB19,$AA19)))=Milestones!$AB$81),UPPER(TEXT(EDATE($D19,Milestones!$AA$81),"dd mmm yy"))&amp;" "&amp;Milestones!$AB$81&amp;" "&amp;IF(AND(Milestones!$AB$81="FT",Milestones!$AA$81=FT_Y5,EDATE($D19,Milestones!$AA$81)&lt;PolicyEff),1,Milestones!$AC$81)&amp;";  ","")&amp;IF(AND(EDATE($D19,Milestones!$AA$82)&lt;=AsOfDate,EDATE($D19,Milestones!$AA$82)&gt;=SchemeStart,IF($X19=0,$AD19,IF(AND($Z19&lt;&gt;"",EDATE($D19,Milestones!$AA$82)&gt;=$Z19),$AC19,IF(AND($Y19&lt;&gt;"",EDATE($D19,Milestones!$AA$82)&gt;=$Y19),$AB19,$AA19)))=Milestones!$AB$82),UPPER(TEXT(EDATE($D19,Milestones!$AA$82),"dd mmm yy"))&amp;" "&amp;Milestones!$AB$82&amp;" "&amp;IF(AND(Milestones!$AB$82="FT",Milestones!$AA$82=FT_Y5,EDATE($D19,Milestones!$AA$82)&lt;PolicyEff),1,Milestones!$AC$82)&amp;";  ","")&amp;IF(AND(EDATE($D19,Milestones!$AA$83)&lt;=AsOfDate,EDATE($D19,Milestones!$AA$83)&gt;=SchemeStart,IF($X19=0,$AD19,IF(AND($Z19&lt;&gt;"",EDATE($D19,Milestones!$AA$83)&gt;=$Z19),$AC19,IF(AND($Y19&lt;&gt;"",EDATE($D19,Milestones!$AA$83)&gt;=$Y19),$AB19,$AA19)))=Milestones!$AB$83),UPPER(TEXT(EDATE($D19,Milestones!$AA$83),"dd mmm yy"))&amp;" "&amp;Milestones!$AB$83&amp;" "&amp;IF(AND(Milestones!$AB$83="FT",Milestones!$AA$83=FT_Y5,EDATE($D19,Milestones!$AA$83)&lt;PolicyEff),1,Milestones!$AC$83)&amp;";  ","")&amp;IF(AND(EDATE($D19,Milestones!$AA$84)&lt;=AsOfDate,EDATE($D19,Milestones!$AA$84)&gt;=SchemeStart,IF($X19=0,$AD19,IF(AND($Z19&lt;&gt;"",EDATE($D19,Milestones!$AA$84)&gt;=$Z19),$AC19,IF(AND($Y19&lt;&gt;"",EDATE($D19,Milestones!$AA$84)&gt;=$Y19),$AB19,$AA19)))=Milestones!$AB$84),UPPER(TEXT(EDATE($D19,Milestones!$AA$84),"dd mmm yy"))&amp;" "&amp;Milestones!$AB$84&amp;" "&amp;IF(AND(Milestones!$AB$84="FT",Milestones!$AA$84=FT_Y5,EDATE($D19,Milestones!$AA$84)&lt;PolicyEff),1,Milestones!$AC$84)&amp;";  ","")&amp;IF(AND(EDATE($D19,Milestones!$AA$85)&lt;=AsOfDate,EDATE($D19,Milestones!$AA$85)&gt;=SchemeStart,IF($X19=0,$AD19,IF(AND($Z19&lt;&gt;"",EDATE($D19,Milestones!$AA$85)&gt;=$Z19),$AC19,IF(AND($Y19&lt;&gt;"",EDATE($D19,Milestones!$AA$85)&gt;=$Y19),$AB19,$AA19)))=Milestones!$AB$85),UPPER(TEXT(EDATE($D19,Milestones!$AA$85),"dd mmm yy"))&amp;" "&amp;Milestones!$AB$85&amp;" "&amp;IF(AND(Milestones!$AB$85="FT",Milestones!$AA$85=FT_Y5,EDATE($D19,Milestones!$AA$85)&lt;PolicyEff),1,Milestones!$AC$85)&amp;";  ","")&amp;IF(AND(EDATE($D19,Milestones!$AA$86)&lt;=AsOfDate,EDATE($D19,Milestones!$AA$86)&gt;=SchemeStart,IF($X19=0,$AD19,IF(AND($Z19&lt;&gt;"",EDATE($D19,Milestones!$AA$86)&gt;=$Z19),$AC19,IF(AND($Y19&lt;&gt;"",EDATE($D19,Milestones!$AA$86)&gt;=$Y19),$AB19,$AA19)))=Milestones!$AB$86),UPPER(TEXT(EDATE($D19,Milestones!$AA$86),"dd mmm yy"))&amp;" "&amp;Milestones!$AB$86&amp;" "&amp;IF(AND(Milestones!$AB$86="FT",Milestones!$AA$86=FT_Y5,EDATE($D19,Milestones!$AA$86)&lt;PolicyEff),1,Milestones!$AC$86)&amp;";  ","")&amp;IF(AND(EDATE($D19,Milestones!$AA$87)&lt;=AsOfDate,EDATE($D19,Milestones!$AA$87)&gt;=SchemeStart,IF($X19=0,$AD19,IF(AND($Z19&lt;&gt;"",EDATE($D19,Milestones!$AA$87)&gt;=$Z19),$AC19,IF(AND($Y19&lt;&gt;"",EDATE($D19,Milestones!$AA$87)&gt;=$Y19),$AB19,$AA19)))=Milestones!$AB$87),UPPER(TEXT(EDATE($D19,Milestones!$AA$87),"dd mmm yy"))&amp;" "&amp;Milestones!$AB$87&amp;" "&amp;IF(AND(Milestones!$AB$87="FT",Milestones!$AA$87=FT_Y5,EDATE($D19,Milestones!$AA$87)&lt;PolicyEff),1,Milestones!$AC$87)&amp;";  ","")&amp;IF(AND(EDATE($D19,Milestones!$AA$88)&lt;=AsOfDate,EDATE($D19,Milestones!$AA$88)&gt;=SchemeStart,IF($X19=0,$AD19,IF(AND($Z19&lt;&gt;"",EDATE($D19,Milestones!$AA$88)&gt;=$Z19),$AC19,IF(AND($Y19&lt;&gt;"",EDATE($D19,Milestones!$AA$88)&gt;=$Y19),$AB19,$AA19)))=Milestones!$AB$88),UPPER(TEXT(EDATE($D19,Milestones!$AA$88),"dd mmm yy"))&amp;" "&amp;Milestones!$AB$88&amp;" "&amp;IF(AND(Milestones!$AB$88="FT",Milestones!$AA$88=FT_Y5,EDATE($D19,Milestones!$AA$88)&lt;PolicyEff),1,Milestones!$AC$88)&amp;";  ","")&amp;IF(AND(EDATE($D19,Milestones!$AA$89)&lt;=AsOfDate,EDATE($D19,Milestones!$AA$89)&gt;=SchemeStart,IF($X19=0,$AD19,IF(AND($Z19&lt;&gt;"",EDATE($D19,Milestones!$AA$89)&gt;=$Z19),$AC19,IF(AND($Y19&lt;&gt;"",EDATE($D19,Milestones!$AA$89)&gt;=$Y19),$AB19,$AA19)))=Milestones!$AB$89),UPPER(TEXT(EDATE($D19,Milestones!$AA$89),"dd mmm yy"))&amp;" "&amp;Milestones!$AB$89&amp;" "&amp;IF(AND(Milestones!$AB$89="FT",Milestones!$AA$89=FT_Y5,EDATE($D19,Milestones!$AA$89)&lt;PolicyEff),1,Milestones!$AC$89)&amp;";  ","")&amp;IF(AND(EDATE($D19,Milestones!$AA$90)&lt;=AsOfDate,EDATE($D19,Milestones!$AA$90)&gt;=SchemeStart,IF($X19=0,$AD19,IF(AND($Z19&lt;&gt;"",EDATE($D19,Milestones!$AA$90)&gt;=$Z19),$AC19,IF(AND($Y19&lt;&gt;"",EDATE($D19,Milestones!$AA$90)&gt;=$Y19),$AB19,$AA19)))=Milestones!$AB$90),UPPER(TEXT(EDATE($D19,Milestones!$AA$90),"dd mmm yy"))&amp;" "&amp;Milestones!$AB$90&amp;" "&amp;IF(AND(Milestones!$AB$90="FT",Milestones!$AA$90=FT_Y5,EDATE($D19,Milestones!$AA$90)&lt;PolicyEff),1,Milestones!$AC$90)&amp;";  ","")&amp;IF(AND(EDATE($D19,Milestones!$AA$91)&lt;=AsOfDate,EDATE($D19,Milestones!$AA$91)&gt;=SchemeStart,IF($X19=0,$AD19,IF(AND($Z19&lt;&gt;"",EDATE($D19,Milestones!$AA$91)&gt;=$Z19),$AC19,IF(AND($Y19&lt;&gt;"",EDATE($D19,Milestones!$AA$91)&gt;=$Y19),$AB19,$AA19)))=Milestones!$AB$91),UPPER(TEXT(EDATE($D19,Milestones!$AA$91),"dd mmm yy"))&amp;" "&amp;Milestones!$AB$91&amp;" "&amp;IF(AND(Milestones!$AB$91="FT",Milestones!$AA$91=FT_Y5,EDATE($D19,Milestones!$AA$91)&lt;PolicyEff),1,Milestones!$AC$91)&amp;";  ",""))</f>
        <v/>
      </c>
      <c r="O19" s="0" t="str">
        <f aca="false">IF(OR($A19="",$D19=""),"",IF(AND(EDATE($D19,Milestones!$AA$92)&lt;=AsOfDate,EDATE($D19,Milestones!$AA$92)&gt;=SchemeStart,IF($X19=0,$AD19,IF(AND($Z19&lt;&gt;"",EDATE($D19,Milestones!$AA$92)&gt;=$Z19),$AC19,IF(AND($Y19&lt;&gt;"",EDATE($D19,Milestones!$AA$92)&gt;=$Y19),$AB19,$AA19)))=Milestones!$AB$92),UPPER(TEXT(EDATE($D19,Milestones!$AA$92),"dd mmm yy"))&amp;" "&amp;Milestones!$AB$92&amp;" "&amp;IF(AND(Milestones!$AB$92="FT",Milestones!$AA$92=FT_Y5,EDATE($D19,Milestones!$AA$92)&lt;PolicyEff),1,Milestones!$AC$92)&amp;";  ","")&amp;IF(AND(EDATE($D19,Milestones!$AA$93)&lt;=AsOfDate,EDATE($D19,Milestones!$AA$93)&gt;=SchemeStart,IF($X19=0,$AD19,IF(AND($Z19&lt;&gt;"",EDATE($D19,Milestones!$AA$93)&gt;=$Z19),$AC19,IF(AND($Y19&lt;&gt;"",EDATE($D19,Milestones!$AA$93)&gt;=$Y19),$AB19,$AA19)))=Milestones!$AB$93),UPPER(TEXT(EDATE($D19,Milestones!$AA$93),"dd mmm yy"))&amp;" "&amp;Milestones!$AB$93&amp;" "&amp;IF(AND(Milestones!$AB$93="FT",Milestones!$AA$93=FT_Y5,EDATE($D19,Milestones!$AA$93)&lt;PolicyEff),1,Milestones!$AC$93)&amp;";  ","")&amp;IF(AND(EDATE($D19,Milestones!$AA$94)&lt;=AsOfDate,EDATE($D19,Milestones!$AA$94)&gt;=SchemeStart,IF($X19=0,$AD19,IF(AND($Z19&lt;&gt;"",EDATE($D19,Milestones!$AA$94)&gt;=$Z19),$AC19,IF(AND($Y19&lt;&gt;"",EDATE($D19,Milestones!$AA$94)&gt;=$Y19),$AB19,$AA19)))=Milestones!$AB$94),UPPER(TEXT(EDATE($D19,Milestones!$AA$94),"dd mmm yy"))&amp;" "&amp;Milestones!$AB$94&amp;" "&amp;IF(AND(Milestones!$AB$94="FT",Milestones!$AA$94=FT_Y5,EDATE($D19,Milestones!$AA$94)&lt;PolicyEff),1,Milestones!$AC$94)&amp;";  ","")&amp;IF(AND(EDATE($D19,Milestones!$AA$95)&lt;=AsOfDate,EDATE($D19,Milestones!$AA$95)&gt;=SchemeStart,IF($X19=0,$AD19,IF(AND($Z19&lt;&gt;"",EDATE($D19,Milestones!$AA$95)&gt;=$Z19),$AC19,IF(AND($Y19&lt;&gt;"",EDATE($D19,Milestones!$AA$95)&gt;=$Y19),$AB19,$AA19)))=Milestones!$AB$95),UPPER(TEXT(EDATE($D19,Milestones!$AA$95),"dd mmm yy"))&amp;" "&amp;Milestones!$AB$95&amp;" "&amp;IF(AND(Milestones!$AB$95="FT",Milestones!$AA$95=FT_Y5,EDATE($D19,Milestones!$AA$95)&lt;PolicyEff),1,Milestones!$AC$95)&amp;";  ","")&amp;IF(AND(EDATE($D19,Milestones!$AA$96)&lt;=AsOfDate,EDATE($D19,Milestones!$AA$96)&gt;=SchemeStart,IF($X19=0,$AD19,IF(AND($Z19&lt;&gt;"",EDATE($D19,Milestones!$AA$96)&gt;=$Z19),$AC19,IF(AND($Y19&lt;&gt;"",EDATE($D19,Milestones!$AA$96)&gt;=$Y19),$AB19,$AA19)))=Milestones!$AB$96),UPPER(TEXT(EDATE($D19,Milestones!$AA$96),"dd mmm yy"))&amp;" "&amp;Milestones!$AB$96&amp;" "&amp;IF(AND(Milestones!$AB$96="FT",Milestones!$AA$96=FT_Y5,EDATE($D19,Milestones!$AA$96)&lt;PolicyEff),1,Milestones!$AC$96)&amp;";  ","")&amp;IF(AND(EDATE($D19,Milestones!$AA$97)&lt;=AsOfDate,EDATE($D19,Milestones!$AA$97)&gt;=SchemeStart,IF($X19=0,$AD19,IF(AND($Z19&lt;&gt;"",EDATE($D19,Milestones!$AA$97)&gt;=$Z19),$AC19,IF(AND($Y19&lt;&gt;"",EDATE($D19,Milestones!$AA$97)&gt;=$Y19),$AB19,$AA19)))=Milestones!$AB$97),UPPER(TEXT(EDATE($D19,Milestones!$AA$97),"dd mmm yy"))&amp;" "&amp;Milestones!$AB$97&amp;" "&amp;IF(AND(Milestones!$AB$97="FT",Milestones!$AA$97=FT_Y5,EDATE($D19,Milestones!$AA$97)&lt;PolicyEff),1,Milestones!$AC$97)&amp;";  ","")&amp;IF(AND(EDATE($D19,Milestones!$AA$98)&lt;=AsOfDate,EDATE($D19,Milestones!$AA$98)&gt;=SchemeStart,IF($X19=0,$AD19,IF(AND($Z19&lt;&gt;"",EDATE($D19,Milestones!$AA$98)&gt;=$Z19),$AC19,IF(AND($Y19&lt;&gt;"",EDATE($D19,Milestones!$AA$98)&gt;=$Y19),$AB19,$AA19)))=Milestones!$AB$98),UPPER(TEXT(EDATE($D19,Milestones!$AA$98),"dd mmm yy"))&amp;" "&amp;Milestones!$AB$98&amp;" "&amp;IF(AND(Milestones!$AB$98="FT",Milestones!$AA$98=FT_Y5,EDATE($D19,Milestones!$AA$98)&lt;PolicyEff),1,Milestones!$AC$98)&amp;";  ","")&amp;IF(AND(EDATE($D19,Milestones!$AA$99)&lt;=AsOfDate,EDATE($D19,Milestones!$AA$99)&gt;=SchemeStart,IF($X19=0,$AD19,IF(AND($Z19&lt;&gt;"",EDATE($D19,Milestones!$AA$99)&gt;=$Z19),$AC19,IF(AND($Y19&lt;&gt;"",EDATE($D19,Milestones!$AA$99)&gt;=$Y19),$AB19,$AA19)))=Milestones!$AB$99),UPPER(TEXT(EDATE($D19,Milestones!$AA$99),"dd mmm yy"))&amp;" "&amp;Milestones!$AB$99&amp;" "&amp;IF(AND(Milestones!$AB$99="FT",Milestones!$AA$99=FT_Y5,EDATE($D19,Milestones!$AA$99)&lt;PolicyEff),1,Milestones!$AC$99)&amp;";  ","")&amp;IF(AND(EDATE($D19,Milestones!$AA$100)&lt;=AsOfDate,EDATE($D19,Milestones!$AA$100)&gt;=SchemeStart,IF($X19=0,$AD19,IF(AND($Z19&lt;&gt;"",EDATE($D19,Milestones!$AA$100)&gt;=$Z19),$AC19,IF(AND($Y19&lt;&gt;"",EDATE($D19,Milestones!$AA$100)&gt;=$Y19),$AB19,$AA19)))=Milestones!$AB$100),UPPER(TEXT(EDATE($D19,Milestones!$AA$100),"dd mmm yy"))&amp;" "&amp;Milestones!$AB$100&amp;" "&amp;IF(AND(Milestones!$AB$100="FT",Milestones!$AA$100=FT_Y5,EDATE($D19,Milestones!$AA$100)&lt;PolicyEff),1,Milestones!$AC$100)&amp;";  ","")&amp;IF(AND(EDATE($D19,Milestones!$AA$101)&lt;=AsOfDate,EDATE($D19,Milestones!$AA$101)&gt;=SchemeStart,IF($X19=0,$AD19,IF(AND($Z19&lt;&gt;"",EDATE($D19,Milestones!$AA$101)&gt;=$Z19),$AC19,IF(AND($Y19&lt;&gt;"",EDATE($D19,Milestones!$AA$101)&gt;=$Y19),$AB19,$AA19)))=Milestones!$AB$101),UPPER(TEXT(EDATE($D19,Milestones!$AA$101),"dd mmm yy"))&amp;" "&amp;Milestones!$AB$101&amp;" "&amp;IF(AND(Milestones!$AB$101="FT",Milestones!$AA$101=FT_Y5,EDATE($D19,Milestones!$AA$101)&lt;PolicyEff),1,Milestones!$AC$101)&amp;";  ","")&amp;IF(AND(EDATE($D19,Milestones!$AA$102)&lt;=AsOfDate,EDATE($D19,Milestones!$AA$102)&gt;=SchemeStart,IF($X19=0,$AD19,IF(AND($Z19&lt;&gt;"",EDATE($D19,Milestones!$AA$102)&gt;=$Z19),$AC19,IF(AND($Y19&lt;&gt;"",EDATE($D19,Milestones!$AA$102)&gt;=$Y19),$AB19,$AA19)))=Milestones!$AB$102),UPPER(TEXT(EDATE($D19,Milestones!$AA$102),"dd mmm yy"))&amp;" "&amp;Milestones!$AB$102&amp;" "&amp;IF(AND(Milestones!$AB$102="FT",Milestones!$AA$102=FT_Y5,EDATE($D19,Milestones!$AA$102)&lt;PolicyEff),1,Milestones!$AC$102)&amp;";  ","")&amp;IF(AND(EDATE($D19,Milestones!$AA$103)&lt;=AsOfDate,EDATE($D19,Milestones!$AA$103)&gt;=SchemeStart,IF($X19=0,$AD19,IF(AND($Z19&lt;&gt;"",EDATE($D19,Milestones!$AA$103)&gt;=$Z19),$AC19,IF(AND($Y19&lt;&gt;"",EDATE($D19,Milestones!$AA$103)&gt;=$Y19),$AB19,$AA19)))=Milestones!$AB$103),UPPER(TEXT(EDATE($D19,Milestones!$AA$103),"dd mmm yy"))&amp;" "&amp;Milestones!$AB$103&amp;" "&amp;IF(AND(Milestones!$AB$103="FT",Milestones!$AA$103=FT_Y5,EDATE($D19,Milestones!$AA$103)&lt;PolicyEff),1,Milestones!$AC$103)&amp;";  ",""))</f>
        <v/>
      </c>
      <c r="P19" s="0" t="str">
        <f aca="false">IF(OR($A19="",$D19=""),"",IF(AND(EDATE($D19,Milestones!$AA$104)&lt;=AsOfDate,EDATE($D19,Milestones!$AA$104)&gt;=SchemeStart,IF($X19=0,$AD19,IF(AND($Z19&lt;&gt;"",EDATE($D19,Milestones!$AA$104)&gt;=$Z19),$AC19,IF(AND($Y19&lt;&gt;"",EDATE($D19,Milestones!$AA$104)&gt;=$Y19),$AB19,$AA19)))=Milestones!$AB$104),UPPER(TEXT(EDATE($D19,Milestones!$AA$104),"dd mmm yy"))&amp;" "&amp;Milestones!$AB$104&amp;" "&amp;IF(AND(Milestones!$AB$104="FT",Milestones!$AA$104=FT_Y5,EDATE($D19,Milestones!$AA$104)&lt;PolicyEff),1,Milestones!$AC$104)&amp;";  ","")&amp;IF(AND(EDATE($D19,Milestones!$AA$105)&lt;=AsOfDate,EDATE($D19,Milestones!$AA$105)&gt;=SchemeStart,IF($X19=0,$AD19,IF(AND($Z19&lt;&gt;"",EDATE($D19,Milestones!$AA$105)&gt;=$Z19),$AC19,IF(AND($Y19&lt;&gt;"",EDATE($D19,Milestones!$AA$105)&gt;=$Y19),$AB19,$AA19)))=Milestones!$AB$105),UPPER(TEXT(EDATE($D19,Milestones!$AA$105),"dd mmm yy"))&amp;" "&amp;Milestones!$AB$105&amp;" "&amp;IF(AND(Milestones!$AB$105="FT",Milestones!$AA$105=FT_Y5,EDATE($D19,Milestones!$AA$105)&lt;PolicyEff),1,Milestones!$AC$105)&amp;";  ","")&amp;IF(AND(EDATE($D19,Milestones!$AA$106)&lt;=AsOfDate,EDATE($D19,Milestones!$AA$106)&gt;=SchemeStart,IF($X19=0,$AD19,IF(AND($Z19&lt;&gt;"",EDATE($D19,Milestones!$AA$106)&gt;=$Z19),$AC19,IF(AND($Y19&lt;&gt;"",EDATE($D19,Milestones!$AA$106)&gt;=$Y19),$AB19,$AA19)))=Milestones!$AB$106),UPPER(TEXT(EDATE($D19,Milestones!$AA$106),"dd mmm yy"))&amp;" "&amp;Milestones!$AB$106&amp;" "&amp;IF(AND(Milestones!$AB$106="FT",Milestones!$AA$106=FT_Y5,EDATE($D19,Milestones!$AA$106)&lt;PolicyEff),1,Milestones!$AC$106)&amp;";  ","")&amp;IF(AND(EDATE($D19,Milestones!$AA$107)&lt;=AsOfDate,EDATE($D19,Milestones!$AA$107)&gt;=SchemeStart,IF($X19=0,$AD19,IF(AND($Z19&lt;&gt;"",EDATE($D19,Milestones!$AA$107)&gt;=$Z19),$AC19,IF(AND($Y19&lt;&gt;"",EDATE($D19,Milestones!$AA$107)&gt;=$Y19),$AB19,$AA19)))=Milestones!$AB$107),UPPER(TEXT(EDATE($D19,Milestones!$AA$107),"dd mmm yy"))&amp;" "&amp;Milestones!$AB$107&amp;" "&amp;IF(AND(Milestones!$AB$107="FT",Milestones!$AA$107=FT_Y5,EDATE($D19,Milestones!$AA$107)&lt;PolicyEff),1,Milestones!$AC$107)&amp;";  ","")&amp;IF(AND(EDATE($D19,Milestones!$AA$108)&lt;=AsOfDate,EDATE($D19,Milestones!$AA$108)&gt;=SchemeStart,IF($X19=0,$AD19,IF(AND($Z19&lt;&gt;"",EDATE($D19,Milestones!$AA$108)&gt;=$Z19),$AC19,IF(AND($Y19&lt;&gt;"",EDATE($D19,Milestones!$AA$108)&gt;=$Y19),$AB19,$AA19)))=Milestones!$AB$108),UPPER(TEXT(EDATE($D19,Milestones!$AA$108),"dd mmm yy"))&amp;" "&amp;Milestones!$AB$108&amp;" "&amp;IF(AND(Milestones!$AB$108="FT",Milestones!$AA$108=FT_Y5,EDATE($D19,Milestones!$AA$108)&lt;PolicyEff),1,Milestones!$AC$108)&amp;";  ","")&amp;IF(AND(EDATE($D19,Milestones!$AA$109)&lt;=AsOfDate,EDATE($D19,Milestones!$AA$109)&gt;=SchemeStart,IF($X19=0,$AD19,IF(AND($Z19&lt;&gt;"",EDATE($D19,Milestones!$AA$109)&gt;=$Z19),$AC19,IF(AND($Y19&lt;&gt;"",EDATE($D19,Milestones!$AA$109)&gt;=$Y19),$AB19,$AA19)))=Milestones!$AB$109),UPPER(TEXT(EDATE($D19,Milestones!$AA$109),"dd mmm yy"))&amp;" "&amp;Milestones!$AB$109&amp;" "&amp;IF(AND(Milestones!$AB$109="FT",Milestones!$AA$109=FT_Y5,EDATE($D19,Milestones!$AA$109)&lt;PolicyEff),1,Milestones!$AC$109)&amp;";  ","")&amp;IF(AND(EDATE($D19,Milestones!$AA$110)&lt;=AsOfDate,EDATE($D19,Milestones!$AA$110)&gt;=SchemeStart,IF($X19=0,$AD19,IF(AND($Z19&lt;&gt;"",EDATE($D19,Milestones!$AA$110)&gt;=$Z19),$AC19,IF(AND($Y19&lt;&gt;"",EDATE($D19,Milestones!$AA$110)&gt;=$Y19),$AB19,$AA19)))=Milestones!$AB$110),UPPER(TEXT(EDATE($D19,Milestones!$AA$110),"dd mmm yy"))&amp;" "&amp;Milestones!$AB$110&amp;" "&amp;IF(AND(Milestones!$AB$110="FT",Milestones!$AA$110=FT_Y5,EDATE($D19,Milestones!$AA$110)&lt;PolicyEff),1,Milestones!$AC$110)&amp;";  ","")&amp;IF(AND(EDATE($D19,Milestones!$AA$111)&lt;=AsOfDate,EDATE($D19,Milestones!$AA$111)&gt;=SchemeStart,IF($X19=0,$AD19,IF(AND($Z19&lt;&gt;"",EDATE($D19,Milestones!$AA$111)&gt;=$Z19),$AC19,IF(AND($Y19&lt;&gt;"",EDATE($D19,Milestones!$AA$111)&gt;=$Y19),$AB19,$AA19)))=Milestones!$AB$111),UPPER(TEXT(EDATE($D19,Milestones!$AA$111),"dd mmm yy"))&amp;" "&amp;Milestones!$AB$111&amp;" "&amp;IF(AND(Milestones!$AB$111="FT",Milestones!$AA$111=FT_Y5,EDATE($D19,Milestones!$AA$111)&lt;PolicyEff),1,Milestones!$AC$111)&amp;";  ","")&amp;IF(AND(EDATE($D19,Milestones!$AA$112)&lt;=AsOfDate,EDATE($D19,Milestones!$AA$112)&gt;=SchemeStart,IF($X19=0,$AD19,IF(AND($Z19&lt;&gt;"",EDATE($D19,Milestones!$AA$112)&gt;=$Z19),$AC19,IF(AND($Y19&lt;&gt;"",EDATE($D19,Milestones!$AA$112)&gt;=$Y19),$AB19,$AA19)))=Milestones!$AB$112),UPPER(TEXT(EDATE($D19,Milestones!$AA$112),"dd mmm yy"))&amp;" "&amp;Milestones!$AB$112&amp;" "&amp;IF(AND(Milestones!$AB$112="FT",Milestones!$AA$112=FT_Y5,EDATE($D19,Milestones!$AA$112)&lt;PolicyEff),1,Milestones!$AC$112)&amp;";  ","")&amp;IF(AND(EDATE($D19,Milestones!$AA$113)&lt;=AsOfDate,EDATE($D19,Milestones!$AA$113)&gt;=SchemeStart,IF($X19=0,$AD19,IF(AND($Z19&lt;&gt;"",EDATE($D19,Milestones!$AA$113)&gt;=$Z19),$AC19,IF(AND($Y19&lt;&gt;"",EDATE($D19,Milestones!$AA$113)&gt;=$Y19),$AB19,$AA19)))=Milestones!$AB$113),UPPER(TEXT(EDATE($D19,Milestones!$AA$113),"dd mmm yy"))&amp;" "&amp;Milestones!$AB$113&amp;" "&amp;IF(AND(Milestones!$AB$113="FT",Milestones!$AA$113=FT_Y5,EDATE($D19,Milestones!$AA$113)&lt;PolicyEff),1,Milestones!$AC$113)&amp;";  ","")&amp;IF(AND(EDATE($D19,Milestones!$AA$114)&lt;=AsOfDate,EDATE($D19,Milestones!$AA$114)&gt;=SchemeStart,IF($X19=0,$AD19,IF(AND($Z19&lt;&gt;"",EDATE($D19,Milestones!$AA$114)&gt;=$Z19),$AC19,IF(AND($Y19&lt;&gt;"",EDATE($D19,Milestones!$AA$114)&gt;=$Y19),$AB19,$AA19)))=Milestones!$AB$114),UPPER(TEXT(EDATE($D19,Milestones!$AA$114),"dd mmm yy"))&amp;" "&amp;Milestones!$AB$114&amp;" "&amp;IF(AND(Milestones!$AB$114="FT",Milestones!$AA$114=FT_Y5,EDATE($D19,Milestones!$AA$114)&lt;PolicyEff),1,Milestones!$AC$114)&amp;";  ","")&amp;IF(AND(EDATE($D19,Milestones!$AA$115)&lt;=AsOfDate,EDATE($D19,Milestones!$AA$115)&gt;=SchemeStart,IF($X19=0,$AD19,IF(AND($Z19&lt;&gt;"",EDATE($D19,Milestones!$AA$115)&gt;=$Z19),$AC19,IF(AND($Y19&lt;&gt;"",EDATE($D19,Milestones!$AA$115)&gt;=$Y19),$AB19,$AA19)))=Milestones!$AB$115),UPPER(TEXT(EDATE($D19,Milestones!$AA$115),"dd mmm yy"))&amp;" "&amp;Milestones!$AB$115&amp;" "&amp;IF(AND(Milestones!$AB$115="FT",Milestones!$AA$115=FT_Y5,EDATE($D19,Milestones!$AA$115)&lt;PolicyEff),1,Milestones!$AC$115)&amp;";  ",""))</f>
        <v/>
      </c>
      <c r="Q19" s="0" t="str">
        <f aca="false">IF(OR($A19="",$D19=""),"",IF(AND(EDATE($D19,Milestones!$AA$116)&lt;=AsOfDate,EDATE($D19,Milestones!$AA$116)&gt;=SchemeStart,IF($X19=0,$AD19,IF(AND($Z19&lt;&gt;"",EDATE($D19,Milestones!$AA$116)&gt;=$Z19),$AC19,IF(AND($Y19&lt;&gt;"",EDATE($D19,Milestones!$AA$116)&gt;=$Y19),$AB19,$AA19)))=Milestones!$AB$116),UPPER(TEXT(EDATE($D19,Milestones!$AA$116),"dd mmm yy"))&amp;" "&amp;Milestones!$AB$116&amp;" "&amp;IF(AND(Milestones!$AB$116="FT",Milestones!$AA$116=FT_Y5,EDATE($D19,Milestones!$AA$116)&lt;PolicyEff),1,Milestones!$AC$116)&amp;";  ","")&amp;IF(AND(EDATE($D19,Milestones!$AA$117)&lt;=AsOfDate,EDATE($D19,Milestones!$AA$117)&gt;=SchemeStart,IF($X19=0,$AD19,IF(AND($Z19&lt;&gt;"",EDATE($D19,Milestones!$AA$117)&gt;=$Z19),$AC19,IF(AND($Y19&lt;&gt;"",EDATE($D19,Milestones!$AA$117)&gt;=$Y19),$AB19,$AA19)))=Milestones!$AB$117),UPPER(TEXT(EDATE($D19,Milestones!$AA$117),"dd mmm yy"))&amp;" "&amp;Milestones!$AB$117&amp;" "&amp;IF(AND(Milestones!$AB$117="FT",Milestones!$AA$117=FT_Y5,EDATE($D19,Milestones!$AA$117)&lt;PolicyEff),1,Milestones!$AC$117)&amp;";  ","")&amp;IF(AND(EDATE($D19,Milestones!$AA$118)&lt;=AsOfDate,EDATE($D19,Milestones!$AA$118)&gt;=SchemeStart,IF($X19=0,$AD19,IF(AND($Z19&lt;&gt;"",EDATE($D19,Milestones!$AA$118)&gt;=$Z19),$AC19,IF(AND($Y19&lt;&gt;"",EDATE($D19,Milestones!$AA$118)&gt;=$Y19),$AB19,$AA19)))=Milestones!$AB$118),UPPER(TEXT(EDATE($D19,Milestones!$AA$118),"dd mmm yy"))&amp;" "&amp;Milestones!$AB$118&amp;" "&amp;IF(AND(Milestones!$AB$118="FT",Milestones!$AA$118=FT_Y5,EDATE($D19,Milestones!$AA$118)&lt;PolicyEff),1,Milestones!$AC$118)&amp;";  ","")&amp;IF(AND(EDATE($D19,Milestones!$AA$119)&lt;=AsOfDate,EDATE($D19,Milestones!$AA$119)&gt;=SchemeStart,IF($X19=0,$AD19,IF(AND($Z19&lt;&gt;"",EDATE($D19,Milestones!$AA$119)&gt;=$Z19),$AC19,IF(AND($Y19&lt;&gt;"",EDATE($D19,Milestones!$AA$119)&gt;=$Y19),$AB19,$AA19)))=Milestones!$AB$119),UPPER(TEXT(EDATE($D19,Milestones!$AA$119),"dd mmm yy"))&amp;" "&amp;Milestones!$AB$119&amp;" "&amp;IF(AND(Milestones!$AB$119="FT",Milestones!$AA$119=FT_Y5,EDATE($D19,Milestones!$AA$119)&lt;PolicyEff),1,Milestones!$AC$119)&amp;";  ","")&amp;IF(AND(EDATE($D19,Milestones!$AA$120)&lt;=AsOfDate,EDATE($D19,Milestones!$AA$120)&gt;=SchemeStart,IF($X19=0,$AD19,IF(AND($Z19&lt;&gt;"",EDATE($D19,Milestones!$AA$120)&gt;=$Z19),$AC19,IF(AND($Y19&lt;&gt;"",EDATE($D19,Milestones!$AA$120)&gt;=$Y19),$AB19,$AA19)))=Milestones!$AB$120),UPPER(TEXT(EDATE($D19,Milestones!$AA$120),"dd mmm yy"))&amp;" "&amp;Milestones!$AB$120&amp;" "&amp;IF(AND(Milestones!$AB$120="FT",Milestones!$AA$120=FT_Y5,EDATE($D19,Milestones!$AA$120)&lt;PolicyEff),1,Milestones!$AC$120)&amp;";  ","")&amp;IF(AND(EDATE($D19,Milestones!$AA$121)&lt;=AsOfDate,EDATE($D19,Milestones!$AA$121)&gt;=SchemeStart,IF($X19=0,$AD19,IF(AND($Z19&lt;&gt;"",EDATE($D19,Milestones!$AA$121)&gt;=$Z19),$AC19,IF(AND($Y19&lt;&gt;"",EDATE($D19,Milestones!$AA$121)&gt;=$Y19),$AB19,$AA19)))=Milestones!$AB$121),UPPER(TEXT(EDATE($D19,Milestones!$AA$121),"dd mmm yy"))&amp;" "&amp;Milestones!$AB$121&amp;" "&amp;IF(AND(Milestones!$AB$121="FT",Milestones!$AA$121=FT_Y5,EDATE($D19,Milestones!$AA$121)&lt;PolicyEff),1,Milestones!$AC$121)&amp;";  ","")&amp;IF(AND(EDATE($D19,Milestones!$AA$122)&lt;=AsOfDate,EDATE($D19,Milestones!$AA$122)&gt;=SchemeStart,IF($X19=0,$AD19,IF(AND($Z19&lt;&gt;"",EDATE($D19,Milestones!$AA$122)&gt;=$Z19),$AC19,IF(AND($Y19&lt;&gt;"",EDATE($D19,Milestones!$AA$122)&gt;=$Y19),$AB19,$AA19)))=Milestones!$AB$122),UPPER(TEXT(EDATE($D19,Milestones!$AA$122),"dd mmm yy"))&amp;" "&amp;Milestones!$AB$122&amp;" "&amp;IF(AND(Milestones!$AB$122="FT",Milestones!$AA$122=FT_Y5,EDATE($D19,Milestones!$AA$122)&lt;PolicyEff),1,Milestones!$AC$122)&amp;";  ","")&amp;IF(AND(EDATE($D19,Milestones!$AA$123)&lt;=AsOfDate,EDATE($D19,Milestones!$AA$123)&gt;=SchemeStart,IF($X19=0,$AD19,IF(AND($Z19&lt;&gt;"",EDATE($D19,Milestones!$AA$123)&gt;=$Z19),$AC19,IF(AND($Y19&lt;&gt;"",EDATE($D19,Milestones!$AA$123)&gt;=$Y19),$AB19,$AA19)))=Milestones!$AB$123),UPPER(TEXT(EDATE($D19,Milestones!$AA$123),"dd mmm yy"))&amp;" "&amp;Milestones!$AB$123&amp;" "&amp;IF(AND(Milestones!$AB$123="FT",Milestones!$AA$123=FT_Y5,EDATE($D19,Milestones!$AA$123)&lt;PolicyEff),1,Milestones!$AC$123)&amp;";  ","")&amp;IF(AND(EDATE($D19,Milestones!$AA$124)&lt;=AsOfDate,EDATE($D19,Milestones!$AA$124)&gt;=SchemeStart,IF($X19=0,$AD19,IF(AND($Z19&lt;&gt;"",EDATE($D19,Milestones!$AA$124)&gt;=$Z19),$AC19,IF(AND($Y19&lt;&gt;"",EDATE($D19,Milestones!$AA$124)&gt;=$Y19),$AB19,$AA19)))=Milestones!$AB$124),UPPER(TEXT(EDATE($D19,Milestones!$AA$124),"dd mmm yy"))&amp;" "&amp;Milestones!$AB$124&amp;" "&amp;IF(AND(Milestones!$AB$124="FT",Milestones!$AA$124=FT_Y5,EDATE($D19,Milestones!$AA$124)&lt;PolicyEff),1,Milestones!$AC$124)&amp;";  ","")&amp;IF(AND(EDATE($D19,Milestones!$AA$125)&lt;=AsOfDate,EDATE($D19,Milestones!$AA$125)&gt;=SchemeStart,IF($X19=0,$AD19,IF(AND($Z19&lt;&gt;"",EDATE($D19,Milestones!$AA$125)&gt;=$Z19),$AC19,IF(AND($Y19&lt;&gt;"",EDATE($D19,Milestones!$AA$125)&gt;=$Y19),$AB19,$AA19)))=Milestones!$AB$125),UPPER(TEXT(EDATE($D19,Milestones!$AA$125),"dd mmm yy"))&amp;" "&amp;Milestones!$AB$125&amp;" "&amp;IF(AND(Milestones!$AB$125="FT",Milestones!$AA$125=FT_Y5,EDATE($D19,Milestones!$AA$125)&lt;PolicyEff),1,Milestones!$AC$125)&amp;";  ","")&amp;IF(AND(EDATE($D19,Milestones!$AA$126)&lt;=AsOfDate,EDATE($D19,Milestones!$AA$126)&gt;=SchemeStart,IF($X19=0,$AD19,IF(AND($Z19&lt;&gt;"",EDATE($D19,Milestones!$AA$126)&gt;=$Z19),$AC19,IF(AND($Y19&lt;&gt;"",EDATE($D19,Milestones!$AA$126)&gt;=$Y19),$AB19,$AA19)))=Milestones!$AB$126),UPPER(TEXT(EDATE($D19,Milestones!$AA$126),"dd mmm yy"))&amp;" "&amp;Milestones!$AB$126&amp;" "&amp;IF(AND(Milestones!$AB$126="FT",Milestones!$AA$126=FT_Y5,EDATE($D19,Milestones!$AA$126)&lt;PolicyEff),1,Milestones!$AC$126)&amp;";  ","")&amp;IF(AND(EDATE($D19,Milestones!$AA$127)&lt;=AsOfDate,EDATE($D19,Milestones!$AA$127)&gt;=SchemeStart,IF($X19=0,$AD19,IF(AND($Z19&lt;&gt;"",EDATE($D19,Milestones!$AA$127)&gt;=$Z19),$AC19,IF(AND($Y19&lt;&gt;"",EDATE($D19,Milestones!$AA$127)&gt;=$Y19),$AB19,$AA19)))=Milestones!$AB$127),UPPER(TEXT(EDATE($D19,Milestones!$AA$127),"dd mmm yy"))&amp;" "&amp;Milestones!$AB$127&amp;" "&amp;IF(AND(Milestones!$AB$127="FT",Milestones!$AA$127=FT_Y5,EDATE($D19,Milestones!$AA$127)&lt;PolicyEff),1,Milestones!$AC$127)&amp;";  ",""))</f>
        <v/>
      </c>
      <c r="R19" s="0" t="str">
        <f aca="false">IF(OR($A19="",$D19=""),"",IF(AND(EDATE($D19,Milestones!$AA$128)&lt;=AsOfDate,EDATE($D19,Milestones!$AA$128)&gt;=SchemeStart,IF($X19=0,$AD19,IF(AND($Z19&lt;&gt;"",EDATE($D19,Milestones!$AA$128)&gt;=$Z19),$AC19,IF(AND($Y19&lt;&gt;"",EDATE($D19,Milestones!$AA$128)&gt;=$Y19),$AB19,$AA19)))=Milestones!$AB$128),UPPER(TEXT(EDATE($D19,Milestones!$AA$128),"dd mmm yy"))&amp;" "&amp;Milestones!$AB$128&amp;" "&amp;IF(AND(Milestones!$AB$128="FT",Milestones!$AA$128=FT_Y5,EDATE($D19,Milestones!$AA$128)&lt;PolicyEff),1,Milestones!$AC$128)&amp;";  ","")&amp;IF(AND(EDATE($D19,Milestones!$AA$129)&lt;=AsOfDate,EDATE($D19,Milestones!$AA$129)&gt;=SchemeStart,IF($X19=0,$AD19,IF(AND($Z19&lt;&gt;"",EDATE($D19,Milestones!$AA$129)&gt;=$Z19),$AC19,IF(AND($Y19&lt;&gt;"",EDATE($D19,Milestones!$AA$129)&gt;=$Y19),$AB19,$AA19)))=Milestones!$AB$129),UPPER(TEXT(EDATE($D19,Milestones!$AA$129),"dd mmm yy"))&amp;" "&amp;Milestones!$AB$129&amp;" "&amp;IF(AND(Milestones!$AB$129="FT",Milestones!$AA$129=FT_Y5,EDATE($D19,Milestones!$AA$129)&lt;PolicyEff),1,Milestones!$AC$129)&amp;";  ","")&amp;IF(AND(EDATE($D19,Milestones!$AA$130)&lt;=AsOfDate,EDATE($D19,Milestones!$AA$130)&gt;=SchemeStart,IF($X19=0,$AD19,IF(AND($Z19&lt;&gt;"",EDATE($D19,Milestones!$AA$130)&gt;=$Z19),$AC19,IF(AND($Y19&lt;&gt;"",EDATE($D19,Milestones!$AA$130)&gt;=$Y19),$AB19,$AA19)))=Milestones!$AB$130),UPPER(TEXT(EDATE($D19,Milestones!$AA$130),"dd mmm yy"))&amp;" "&amp;Milestones!$AB$130&amp;" "&amp;IF(AND(Milestones!$AB$130="FT",Milestones!$AA$130=FT_Y5,EDATE($D19,Milestones!$AA$130)&lt;PolicyEff),1,Milestones!$AC$130)&amp;";  ","")&amp;IF(AND(EDATE($D19,Milestones!$AA$131)&lt;=AsOfDate,EDATE($D19,Milestones!$AA$131)&gt;=SchemeStart,IF($X19=0,$AD19,IF(AND($Z19&lt;&gt;"",EDATE($D19,Milestones!$AA$131)&gt;=$Z19),$AC19,IF(AND($Y19&lt;&gt;"",EDATE($D19,Milestones!$AA$131)&gt;=$Y19),$AB19,$AA19)))=Milestones!$AB$131),UPPER(TEXT(EDATE($D19,Milestones!$AA$131),"dd mmm yy"))&amp;" "&amp;Milestones!$AB$131&amp;" "&amp;IF(AND(Milestones!$AB$131="FT",Milestones!$AA$131=FT_Y5,EDATE($D19,Milestones!$AA$131)&lt;PolicyEff),1,Milestones!$AC$131)&amp;";  ","")&amp;IF(AND(EDATE($D19,Milestones!$AA$132)&lt;=AsOfDate,EDATE($D19,Milestones!$AA$132)&gt;=SchemeStart,IF($X19=0,$AD19,IF(AND($Z19&lt;&gt;"",EDATE($D19,Milestones!$AA$132)&gt;=$Z19),$AC19,IF(AND($Y19&lt;&gt;"",EDATE($D19,Milestones!$AA$132)&gt;=$Y19),$AB19,$AA19)))=Milestones!$AB$132),UPPER(TEXT(EDATE($D19,Milestones!$AA$132),"dd mmm yy"))&amp;" "&amp;Milestones!$AB$132&amp;" "&amp;IF(AND(Milestones!$AB$132="FT",Milestones!$AA$132=FT_Y5,EDATE($D19,Milestones!$AA$132)&lt;PolicyEff),1,Milestones!$AC$132)&amp;";  ","")&amp;IF(AND(EDATE($D19,Milestones!$AA$133)&lt;=AsOfDate,EDATE($D19,Milestones!$AA$133)&gt;=SchemeStart,IF($X19=0,$AD19,IF(AND($Z19&lt;&gt;"",EDATE($D19,Milestones!$AA$133)&gt;=$Z19),$AC19,IF(AND($Y19&lt;&gt;"",EDATE($D19,Milestones!$AA$133)&gt;=$Y19),$AB19,$AA19)))=Milestones!$AB$133),UPPER(TEXT(EDATE($D19,Milestones!$AA$133),"dd mmm yy"))&amp;" "&amp;Milestones!$AB$133&amp;" "&amp;IF(AND(Milestones!$AB$133="FT",Milestones!$AA$133=FT_Y5,EDATE($D19,Milestones!$AA$133)&lt;PolicyEff),1,Milestones!$AC$133)&amp;";  ","")&amp;IF(AND(EDATE($D19,Milestones!$AA$134)&lt;=AsOfDate,EDATE($D19,Milestones!$AA$134)&gt;=SchemeStart,IF($X19=0,$AD19,IF(AND($Z19&lt;&gt;"",EDATE($D19,Milestones!$AA$134)&gt;=$Z19),$AC19,IF(AND($Y19&lt;&gt;"",EDATE($D19,Milestones!$AA$134)&gt;=$Y19),$AB19,$AA19)))=Milestones!$AB$134),UPPER(TEXT(EDATE($D19,Milestones!$AA$134),"dd mmm yy"))&amp;" "&amp;Milestones!$AB$134&amp;" "&amp;IF(AND(Milestones!$AB$134="FT",Milestones!$AA$134=FT_Y5,EDATE($D19,Milestones!$AA$134)&lt;PolicyEff),1,Milestones!$AC$134)&amp;";  ","")&amp;IF(AND(EDATE($D19,Milestones!$AA$135)&lt;=AsOfDate,EDATE($D19,Milestones!$AA$135)&gt;=SchemeStart,IF($X19=0,$AD19,IF(AND($Z19&lt;&gt;"",EDATE($D19,Milestones!$AA$135)&gt;=$Z19),$AC19,IF(AND($Y19&lt;&gt;"",EDATE($D19,Milestones!$AA$135)&gt;=$Y19),$AB19,$AA19)))=Milestones!$AB$135),UPPER(TEXT(EDATE($D19,Milestones!$AA$135),"dd mmm yy"))&amp;" "&amp;Milestones!$AB$135&amp;" "&amp;IF(AND(Milestones!$AB$135="FT",Milestones!$AA$135=FT_Y5,EDATE($D19,Milestones!$AA$135)&lt;PolicyEff),1,Milestones!$AC$135)&amp;";  ","")&amp;IF(AND(EDATE($D19,Milestones!$AA$136)&lt;=AsOfDate,EDATE($D19,Milestones!$AA$136)&gt;=SchemeStart,IF($X19=0,$AD19,IF(AND($Z19&lt;&gt;"",EDATE($D19,Milestones!$AA$136)&gt;=$Z19),$AC19,IF(AND($Y19&lt;&gt;"",EDATE($D19,Milestones!$AA$136)&gt;=$Y19),$AB19,$AA19)))=Milestones!$AB$136),UPPER(TEXT(EDATE($D19,Milestones!$AA$136),"dd mmm yy"))&amp;" "&amp;Milestones!$AB$136&amp;" "&amp;IF(AND(Milestones!$AB$136="FT",Milestones!$AA$136=FT_Y5,EDATE($D19,Milestones!$AA$136)&lt;PolicyEff),1,Milestones!$AC$136)&amp;";  ","")&amp;IF(AND(EDATE($D19,Milestones!$AA$137)&lt;=AsOfDate,EDATE($D19,Milestones!$AA$137)&gt;=SchemeStart,IF($X19=0,$AD19,IF(AND($Z19&lt;&gt;"",EDATE($D19,Milestones!$AA$137)&gt;=$Z19),$AC19,IF(AND($Y19&lt;&gt;"",EDATE($D19,Milestones!$AA$137)&gt;=$Y19),$AB19,$AA19)))=Milestones!$AB$137),UPPER(TEXT(EDATE($D19,Milestones!$AA$137),"dd mmm yy"))&amp;" "&amp;Milestones!$AB$137&amp;" "&amp;IF(AND(Milestones!$AB$137="FT",Milestones!$AA$137=FT_Y5,EDATE($D19,Milestones!$AA$137)&lt;PolicyEff),1,Milestones!$AC$137)&amp;";  ","")&amp;IF(AND(EDATE($D19,Milestones!$AA$138)&lt;=AsOfDate,EDATE($D19,Milestones!$AA$138)&gt;=SchemeStart,IF($X19=0,$AD19,IF(AND($Z19&lt;&gt;"",EDATE($D19,Milestones!$AA$138)&gt;=$Z19),$AC19,IF(AND($Y19&lt;&gt;"",EDATE($D19,Milestones!$AA$138)&gt;=$Y19),$AB19,$AA19)))=Milestones!$AB$138),UPPER(TEXT(EDATE($D19,Milestones!$AA$138),"dd mmm yy"))&amp;" "&amp;Milestones!$AB$138&amp;" "&amp;IF(AND(Milestones!$AB$138="FT",Milestones!$AA$138=FT_Y5,EDATE($D19,Milestones!$AA$138)&lt;PolicyEff),1,Milestones!$AC$138)&amp;";  ","")&amp;IF(AND(EDATE($D19,Milestones!$AA$139)&lt;=AsOfDate,EDATE($D19,Milestones!$AA$139)&gt;=SchemeStart,IF($X19=0,$AD19,IF(AND($Z19&lt;&gt;"",EDATE($D19,Milestones!$AA$139)&gt;=$Z19),$AC19,IF(AND($Y19&lt;&gt;"",EDATE($D19,Milestones!$AA$139)&gt;=$Y19),$AB19,$AA19)))=Milestones!$AB$139),UPPER(TEXT(EDATE($D19,Milestones!$AA$139),"dd mmm yy"))&amp;" "&amp;Milestones!$AB$139&amp;" "&amp;IF(AND(Milestones!$AB$139="FT",Milestones!$AA$139=FT_Y5,EDATE($D19,Milestones!$AA$139)&lt;PolicyEff),1,Milestones!$AC$139)&amp;";  ",""))</f>
        <v/>
      </c>
      <c r="S19" s="0" t="str">
        <f aca="false">IF(OR($A19="",$D19=""),"",IF(AND(EDATE($D19,Milestones!$AA$140)&lt;=AsOfDate,EDATE($D19,Milestones!$AA$140)&gt;=SchemeStart,IF($X19=0,$AD19,IF(AND($Z19&lt;&gt;"",EDATE($D19,Milestones!$AA$140)&gt;=$Z19),$AC19,IF(AND($Y19&lt;&gt;"",EDATE($D19,Milestones!$AA$140)&gt;=$Y19),$AB19,$AA19)))=Milestones!$AB$140),UPPER(TEXT(EDATE($D19,Milestones!$AA$140),"dd mmm yy"))&amp;" "&amp;Milestones!$AB$140&amp;" "&amp;IF(AND(Milestones!$AB$140="FT",Milestones!$AA$140=FT_Y5,EDATE($D19,Milestones!$AA$140)&lt;PolicyEff),1,Milestones!$AC$140)&amp;";  ","")&amp;IF(AND(EDATE($D19,Milestones!$AA$141)&lt;=AsOfDate,EDATE($D19,Milestones!$AA$141)&gt;=SchemeStart,IF($X19=0,$AD19,IF(AND($Z19&lt;&gt;"",EDATE($D19,Milestones!$AA$141)&gt;=$Z19),$AC19,IF(AND($Y19&lt;&gt;"",EDATE($D19,Milestones!$AA$141)&gt;=$Y19),$AB19,$AA19)))=Milestones!$AB$141),UPPER(TEXT(EDATE($D19,Milestones!$AA$141),"dd mmm yy"))&amp;" "&amp;Milestones!$AB$141&amp;" "&amp;IF(AND(Milestones!$AB$141="FT",Milestones!$AA$141=FT_Y5,EDATE($D19,Milestones!$AA$141)&lt;PolicyEff),1,Milestones!$AC$141)&amp;";  ","")&amp;IF(AND(EDATE($D19,Milestones!$AA$142)&lt;=AsOfDate,EDATE($D19,Milestones!$AA$142)&gt;=SchemeStart,IF($X19=0,$AD19,IF(AND($Z19&lt;&gt;"",EDATE($D19,Milestones!$AA$142)&gt;=$Z19),$AC19,IF(AND($Y19&lt;&gt;"",EDATE($D19,Milestones!$AA$142)&gt;=$Y19),$AB19,$AA19)))=Milestones!$AB$142),UPPER(TEXT(EDATE($D19,Milestones!$AA$142),"dd mmm yy"))&amp;" "&amp;Milestones!$AB$142&amp;" "&amp;IF(AND(Milestones!$AB$142="FT",Milestones!$AA$142=FT_Y5,EDATE($D19,Milestones!$AA$142)&lt;PolicyEff),1,Milestones!$AC$142)&amp;";  ","")&amp;IF(AND(EDATE($D19,Milestones!$AA$143)&lt;=AsOfDate,EDATE($D19,Milestones!$AA$143)&gt;=SchemeStart,IF($X19=0,$AD19,IF(AND($Z19&lt;&gt;"",EDATE($D19,Milestones!$AA$143)&gt;=$Z19),$AC19,IF(AND($Y19&lt;&gt;"",EDATE($D19,Milestones!$AA$143)&gt;=$Y19),$AB19,$AA19)))=Milestones!$AB$143),UPPER(TEXT(EDATE($D19,Milestones!$AA$143),"dd mmm yy"))&amp;" "&amp;Milestones!$AB$143&amp;" "&amp;IF(AND(Milestones!$AB$143="FT",Milestones!$AA$143=FT_Y5,EDATE($D19,Milestones!$AA$143)&lt;PolicyEff),1,Milestones!$AC$143)&amp;";  ","")&amp;IF(AND(EDATE($D19,Milestones!$AA$144)&lt;=AsOfDate,EDATE($D19,Milestones!$AA$144)&gt;=SchemeStart,IF($X19=0,$AD19,IF(AND($Z19&lt;&gt;"",EDATE($D19,Milestones!$AA$144)&gt;=$Z19),$AC19,IF(AND($Y19&lt;&gt;"",EDATE($D19,Milestones!$AA$144)&gt;=$Y19),$AB19,$AA19)))=Milestones!$AB$144),UPPER(TEXT(EDATE($D19,Milestones!$AA$144),"dd mmm yy"))&amp;" "&amp;Milestones!$AB$144&amp;" "&amp;IF(AND(Milestones!$AB$144="FT",Milestones!$AA$144=FT_Y5,EDATE($D19,Milestones!$AA$144)&lt;PolicyEff),1,Milestones!$AC$144)&amp;";  ","")&amp;IF(AND(EDATE($D19,Milestones!$AA$145)&lt;=AsOfDate,EDATE($D19,Milestones!$AA$145)&gt;=SchemeStart,IF($X19=0,$AD19,IF(AND($Z19&lt;&gt;"",EDATE($D19,Milestones!$AA$145)&gt;=$Z19),$AC19,IF(AND($Y19&lt;&gt;"",EDATE($D19,Milestones!$AA$145)&gt;=$Y19),$AB19,$AA19)))=Milestones!$AB$145),UPPER(TEXT(EDATE($D19,Milestones!$AA$145),"dd mmm yy"))&amp;" "&amp;Milestones!$AB$145&amp;" "&amp;IF(AND(Milestones!$AB$145="FT",Milestones!$AA$145=FT_Y5,EDATE($D19,Milestones!$AA$145)&lt;PolicyEff),1,Milestones!$AC$145)&amp;";  ","")&amp;IF(AND(EDATE($D19,Milestones!$AA$146)&lt;=AsOfDate,EDATE($D19,Milestones!$AA$146)&gt;=SchemeStart,IF($X19=0,$AD19,IF(AND($Z19&lt;&gt;"",EDATE($D19,Milestones!$AA$146)&gt;=$Z19),$AC19,IF(AND($Y19&lt;&gt;"",EDATE($D19,Milestones!$AA$146)&gt;=$Y19),$AB19,$AA19)))=Milestones!$AB$146),UPPER(TEXT(EDATE($D19,Milestones!$AA$146),"dd mmm yy"))&amp;" "&amp;Milestones!$AB$146&amp;" "&amp;IF(AND(Milestones!$AB$146="FT",Milestones!$AA$146=FT_Y5,EDATE($D19,Milestones!$AA$146)&lt;PolicyEff),1,Milestones!$AC$146)&amp;";  ","")&amp;IF(AND(EDATE($D19,Milestones!$AA$147)&lt;=AsOfDate,EDATE($D19,Milestones!$AA$147)&gt;=SchemeStart,IF($X19=0,$AD19,IF(AND($Z19&lt;&gt;"",EDATE($D19,Milestones!$AA$147)&gt;=$Z19),$AC19,IF(AND($Y19&lt;&gt;"",EDATE($D19,Milestones!$AA$147)&gt;=$Y19),$AB19,$AA19)))=Milestones!$AB$147),UPPER(TEXT(EDATE($D19,Milestones!$AA$147),"dd mmm yy"))&amp;" "&amp;Milestones!$AB$147&amp;" "&amp;IF(AND(Milestones!$AB$147="FT",Milestones!$AA$147=FT_Y5,EDATE($D19,Milestones!$AA$147)&lt;PolicyEff),1,Milestones!$AC$147)&amp;";  ","")&amp;IF(AND(EDATE($D19,Milestones!$AA$148)&lt;=AsOfDate,EDATE($D19,Milestones!$AA$148)&gt;=SchemeStart,IF($X19=0,$AD19,IF(AND($Z19&lt;&gt;"",EDATE($D19,Milestones!$AA$148)&gt;=$Z19),$AC19,IF(AND($Y19&lt;&gt;"",EDATE($D19,Milestones!$AA$148)&gt;=$Y19),$AB19,$AA19)))=Milestones!$AB$148),UPPER(TEXT(EDATE($D19,Milestones!$AA$148),"dd mmm yy"))&amp;" "&amp;Milestones!$AB$148&amp;" "&amp;IF(AND(Milestones!$AB$148="FT",Milestones!$AA$148=FT_Y5,EDATE($D19,Milestones!$AA$148)&lt;PolicyEff),1,Milestones!$AC$148)&amp;";  ","")&amp;IF(AND(EDATE($D19,Milestones!$AA$149)&lt;=AsOfDate,EDATE($D19,Milestones!$AA$149)&gt;=SchemeStart,IF($X19=0,$AD19,IF(AND($Z19&lt;&gt;"",EDATE($D19,Milestones!$AA$149)&gt;=$Z19),$AC19,IF(AND($Y19&lt;&gt;"",EDATE($D19,Milestones!$AA$149)&gt;=$Y19),$AB19,$AA19)))=Milestones!$AB$149),UPPER(TEXT(EDATE($D19,Milestones!$AA$149),"dd mmm yy"))&amp;" "&amp;Milestones!$AB$149&amp;" "&amp;IF(AND(Milestones!$AB$149="FT",Milestones!$AA$149=FT_Y5,EDATE($D19,Milestones!$AA$149)&lt;PolicyEff),1,Milestones!$AC$149)&amp;";  ","")&amp;IF(AND(EDATE($D19,Milestones!$AA$150)&lt;=AsOfDate,EDATE($D19,Milestones!$AA$150)&gt;=SchemeStart,IF($X19=0,$AD19,IF(AND($Z19&lt;&gt;"",EDATE($D19,Milestones!$AA$150)&gt;=$Z19),$AC19,IF(AND($Y19&lt;&gt;"",EDATE($D19,Milestones!$AA$150)&gt;=$Y19),$AB19,$AA19)))=Milestones!$AB$150),UPPER(TEXT(EDATE($D19,Milestones!$AA$150),"dd mmm yy"))&amp;" "&amp;Milestones!$AB$150&amp;" "&amp;IF(AND(Milestones!$AB$150="FT",Milestones!$AA$150=FT_Y5,EDATE($D19,Milestones!$AA$150)&lt;PolicyEff),1,Milestones!$AC$150)&amp;";  ","")&amp;IF(AND(EDATE($D19,Milestones!$AA$151)&lt;=AsOfDate,EDATE($D19,Milestones!$AA$151)&gt;=SchemeStart,IF($X19=0,$AD19,IF(AND($Z19&lt;&gt;"",EDATE($D19,Milestones!$AA$151)&gt;=$Z19),$AC19,IF(AND($Y19&lt;&gt;"",EDATE($D19,Milestones!$AA$151)&gt;=$Y19),$AB19,$AA19)))=Milestones!$AB$151),UPPER(TEXT(EDATE($D19,Milestones!$AA$151),"dd mmm yy"))&amp;" "&amp;Milestones!$AB$151&amp;" "&amp;IF(AND(Milestones!$AB$151="FT",Milestones!$AA$151=FT_Y5,EDATE($D19,Milestones!$AA$151)&lt;PolicyEff),1,Milestones!$AC$151)&amp;";  ",""))</f>
        <v/>
      </c>
      <c r="T19" s="0" t="str">
        <f aca="false">IF(OR($A19="",$D19=""),"",IF(AND(EDATE($D19,Milestones!$AA$152)&lt;=AsOfDate,EDATE($D19,Milestones!$AA$152)&gt;=SchemeStart,IF($X19=0,$AD19,IF(AND($Z19&lt;&gt;"",EDATE($D19,Milestones!$AA$152)&gt;=$Z19),$AC19,IF(AND($Y19&lt;&gt;"",EDATE($D19,Milestones!$AA$152)&gt;=$Y19),$AB19,$AA19)))=Milestones!$AB$152),UPPER(TEXT(EDATE($D19,Milestones!$AA$152),"dd mmm yy"))&amp;" "&amp;Milestones!$AB$152&amp;" "&amp;IF(AND(Milestones!$AB$152="FT",Milestones!$AA$152=FT_Y5,EDATE($D19,Milestones!$AA$152)&lt;PolicyEff),1,Milestones!$AC$152)&amp;";  ","")&amp;IF(AND(EDATE($D19,Milestones!$AA$153)&lt;=AsOfDate,EDATE($D19,Milestones!$AA$153)&gt;=SchemeStart,IF($X19=0,$AD19,IF(AND($Z19&lt;&gt;"",EDATE($D19,Milestones!$AA$153)&gt;=$Z19),$AC19,IF(AND($Y19&lt;&gt;"",EDATE($D19,Milestones!$AA$153)&gt;=$Y19),$AB19,$AA19)))=Milestones!$AB$153),UPPER(TEXT(EDATE($D19,Milestones!$AA$153),"dd mmm yy"))&amp;" "&amp;Milestones!$AB$153&amp;" "&amp;IF(AND(Milestones!$AB$153="FT",Milestones!$AA$153=FT_Y5,EDATE($D19,Milestones!$AA$153)&lt;PolicyEff),1,Milestones!$AC$153)&amp;";  ","")&amp;IF(AND(EDATE($D19,Milestones!$AA$154)&lt;=AsOfDate,EDATE($D19,Milestones!$AA$154)&gt;=SchemeStart,IF($X19=0,$AD19,IF(AND($Z19&lt;&gt;"",EDATE($D19,Milestones!$AA$154)&gt;=$Z19),$AC19,IF(AND($Y19&lt;&gt;"",EDATE($D19,Milestones!$AA$154)&gt;=$Y19),$AB19,$AA19)))=Milestones!$AB$154),UPPER(TEXT(EDATE($D19,Milestones!$AA$154),"dd mmm yy"))&amp;" "&amp;Milestones!$AB$154&amp;" "&amp;IF(AND(Milestones!$AB$154="FT",Milestones!$AA$154=FT_Y5,EDATE($D19,Milestones!$AA$154)&lt;PolicyEff),1,Milestones!$AC$154)&amp;";  ","")&amp;IF(AND(EDATE($D19,Milestones!$AA$155)&lt;=AsOfDate,EDATE($D19,Milestones!$AA$155)&gt;=SchemeStart,IF($X19=0,$AD19,IF(AND($Z19&lt;&gt;"",EDATE($D19,Milestones!$AA$155)&gt;=$Z19),$AC19,IF(AND($Y19&lt;&gt;"",EDATE($D19,Milestones!$AA$155)&gt;=$Y19),$AB19,$AA19)))=Milestones!$AB$155),UPPER(TEXT(EDATE($D19,Milestones!$AA$155),"dd mmm yy"))&amp;" "&amp;Milestones!$AB$155&amp;" "&amp;IF(AND(Milestones!$AB$155="FT",Milestones!$AA$155=FT_Y5,EDATE($D19,Milestones!$AA$155)&lt;PolicyEff),1,Milestones!$AC$155)&amp;";  ","")&amp;IF(AND(EDATE($D19,Milestones!$AA$156)&lt;=AsOfDate,EDATE($D19,Milestones!$AA$156)&gt;=SchemeStart,IF($X19=0,$AD19,IF(AND($Z19&lt;&gt;"",EDATE($D19,Milestones!$AA$156)&gt;=$Z19),$AC19,IF(AND($Y19&lt;&gt;"",EDATE($D19,Milestones!$AA$156)&gt;=$Y19),$AB19,$AA19)))=Milestones!$AB$156),UPPER(TEXT(EDATE($D19,Milestones!$AA$156),"dd mmm yy"))&amp;" "&amp;Milestones!$AB$156&amp;" "&amp;IF(AND(Milestones!$AB$156="FT",Milestones!$AA$156=FT_Y5,EDATE($D19,Milestones!$AA$156)&lt;PolicyEff),1,Milestones!$AC$156)&amp;";  ","")&amp;IF(AND(EDATE($D19,Milestones!$AA$157)&lt;=AsOfDate,EDATE($D19,Milestones!$AA$157)&gt;=SchemeStart,IF($X19=0,$AD19,IF(AND($Z19&lt;&gt;"",EDATE($D19,Milestones!$AA$157)&gt;=$Z19),$AC19,IF(AND($Y19&lt;&gt;"",EDATE($D19,Milestones!$AA$157)&gt;=$Y19),$AB19,$AA19)))=Milestones!$AB$157),UPPER(TEXT(EDATE($D19,Milestones!$AA$157),"dd mmm yy"))&amp;" "&amp;Milestones!$AB$157&amp;" "&amp;IF(AND(Milestones!$AB$157="FT",Milestones!$AA$157=FT_Y5,EDATE($D19,Milestones!$AA$157)&lt;PolicyEff),1,Milestones!$AC$157)&amp;";  ","")&amp;IF(AND(EDATE($D19,Milestones!$AA$158)&lt;=AsOfDate,EDATE($D19,Milestones!$AA$158)&gt;=SchemeStart,IF($X19=0,$AD19,IF(AND($Z19&lt;&gt;"",EDATE($D19,Milestones!$AA$158)&gt;=$Z19),$AC19,IF(AND($Y19&lt;&gt;"",EDATE($D19,Milestones!$AA$158)&gt;=$Y19),$AB19,$AA19)))=Milestones!$AB$158),UPPER(TEXT(EDATE($D19,Milestones!$AA$158),"dd mmm yy"))&amp;" "&amp;Milestones!$AB$158&amp;" "&amp;IF(AND(Milestones!$AB$158="FT",Milestones!$AA$158=FT_Y5,EDATE($D19,Milestones!$AA$158)&lt;PolicyEff),1,Milestones!$AC$158)&amp;";  ","")&amp;IF(AND(EDATE($D19,Milestones!$AA$159)&lt;=AsOfDate,EDATE($D19,Milestones!$AA$159)&gt;=SchemeStart,IF($X19=0,$AD19,IF(AND($Z19&lt;&gt;"",EDATE($D19,Milestones!$AA$159)&gt;=$Z19),$AC19,IF(AND($Y19&lt;&gt;"",EDATE($D19,Milestones!$AA$159)&gt;=$Y19),$AB19,$AA19)))=Milestones!$AB$159),UPPER(TEXT(EDATE($D19,Milestones!$AA$159),"dd mmm yy"))&amp;" "&amp;Milestones!$AB$159&amp;" "&amp;IF(AND(Milestones!$AB$159="FT",Milestones!$AA$159=FT_Y5,EDATE($D19,Milestones!$AA$159)&lt;PolicyEff),1,Milestones!$AC$159)&amp;";  ","")&amp;IF(AND(EDATE($D19,Milestones!$AA$160)&lt;=AsOfDate,EDATE($D19,Milestones!$AA$160)&gt;=SchemeStart,IF($X19=0,$AD19,IF(AND($Z19&lt;&gt;"",EDATE($D19,Milestones!$AA$160)&gt;=$Z19),$AC19,IF(AND($Y19&lt;&gt;"",EDATE($D19,Milestones!$AA$160)&gt;=$Y19),$AB19,$AA19)))=Milestones!$AB$160),UPPER(TEXT(EDATE($D19,Milestones!$AA$160),"dd mmm yy"))&amp;" "&amp;Milestones!$AB$160&amp;" "&amp;IF(AND(Milestones!$AB$160="FT",Milestones!$AA$160=FT_Y5,EDATE($D19,Milestones!$AA$160)&lt;PolicyEff),1,Milestones!$AC$160)&amp;";  ","")&amp;IF(AND(EDATE($D19,Milestones!$AA$161)&lt;=AsOfDate,EDATE($D19,Milestones!$AA$161)&gt;=SchemeStart,IF($X19=0,$AD19,IF(AND($Z19&lt;&gt;"",EDATE($D19,Milestones!$AA$161)&gt;=$Z19),$AC19,IF(AND($Y19&lt;&gt;"",EDATE($D19,Milestones!$AA$161)&gt;=$Y19),$AB19,$AA19)))=Milestones!$AB$161),UPPER(TEXT(EDATE($D19,Milestones!$AA$161),"dd mmm yy"))&amp;" "&amp;Milestones!$AB$161&amp;" "&amp;IF(AND(Milestones!$AB$161="FT",Milestones!$AA$161=FT_Y5,EDATE($D19,Milestones!$AA$161)&lt;PolicyEff),1,Milestones!$AC$161)&amp;";  ","")&amp;IF(AND(EDATE($D19,Milestones!$AA$162)&lt;=AsOfDate,EDATE($D19,Milestones!$AA$162)&gt;=SchemeStart,IF($X19=0,$AD19,IF(AND($Z19&lt;&gt;"",EDATE($D19,Milestones!$AA$162)&gt;=$Z19),$AC19,IF(AND($Y19&lt;&gt;"",EDATE($D19,Milestones!$AA$162)&gt;=$Y19),$AB19,$AA19)))=Milestones!$AB$162),UPPER(TEXT(EDATE($D19,Milestones!$AA$162),"dd mmm yy"))&amp;" "&amp;Milestones!$AB$162&amp;" "&amp;IF(AND(Milestones!$AB$162="FT",Milestones!$AA$162=FT_Y5,EDATE($D19,Milestones!$AA$162)&lt;PolicyEff),1,Milestones!$AC$162)&amp;";  ","")&amp;IF(AND(EDATE($D19,Milestones!$AA$163)&lt;=AsOfDate,EDATE($D19,Milestones!$AA$163)&gt;=SchemeStart,IF($X19=0,$AD19,IF(AND($Z19&lt;&gt;"",EDATE($D19,Milestones!$AA$163)&gt;=$Z19),$AC19,IF(AND($Y19&lt;&gt;"",EDATE($D19,Milestones!$AA$163)&gt;=$Y19),$AB19,$AA19)))=Milestones!$AB$163),UPPER(TEXT(EDATE($D19,Milestones!$AA$163),"dd mmm yy"))&amp;" "&amp;Milestones!$AB$163&amp;" "&amp;IF(AND(Milestones!$AB$163="FT",Milestones!$AA$163=FT_Y5,EDATE($D19,Milestones!$AA$163)&lt;PolicyEff),1,Milestones!$AC$163)&amp;";  ",""))</f>
        <v/>
      </c>
      <c r="U19" s="0" t="str">
        <f aca="false">IF(OR($A19="",$D19=""),"",IF(AND(EDATE($D19,Milestones!$AA$164)&lt;=AsOfDate,EDATE($D19,Milestones!$AA$164)&gt;=SchemeStart,IF($X19=0,$AD19,IF(AND($Z19&lt;&gt;"",EDATE($D19,Milestones!$AA$164)&gt;=$Z19),$AC19,IF(AND($Y19&lt;&gt;"",EDATE($D19,Milestones!$AA$164)&gt;=$Y19),$AB19,$AA19)))=Milestones!$AB$164),UPPER(TEXT(EDATE($D19,Milestones!$AA$164),"dd mmm yy"))&amp;" "&amp;Milestones!$AB$164&amp;" "&amp;IF(AND(Milestones!$AB$164="FT",Milestones!$AA$164=FT_Y5,EDATE($D19,Milestones!$AA$164)&lt;PolicyEff),1,Milestones!$AC$164)&amp;";  ","")&amp;IF(AND(EDATE($D19,Milestones!$AA$165)&lt;=AsOfDate,EDATE($D19,Milestones!$AA$165)&gt;=SchemeStart,IF($X19=0,$AD19,IF(AND($Z19&lt;&gt;"",EDATE($D19,Milestones!$AA$165)&gt;=$Z19),$AC19,IF(AND($Y19&lt;&gt;"",EDATE($D19,Milestones!$AA$165)&gt;=$Y19),$AB19,$AA19)))=Milestones!$AB$165),UPPER(TEXT(EDATE($D19,Milestones!$AA$165),"dd mmm yy"))&amp;" "&amp;Milestones!$AB$165&amp;" "&amp;IF(AND(Milestones!$AB$165="FT",Milestones!$AA$165=FT_Y5,EDATE($D19,Milestones!$AA$165)&lt;PolicyEff),1,Milestones!$AC$165)&amp;";  ","")&amp;IF(AND(EDATE($D19,Milestones!$AA$166)&lt;=AsOfDate,EDATE($D19,Milestones!$AA$166)&gt;=SchemeStart,IF($X19=0,$AD19,IF(AND($Z19&lt;&gt;"",EDATE($D19,Milestones!$AA$166)&gt;=$Z19),$AC19,IF(AND($Y19&lt;&gt;"",EDATE($D19,Milestones!$AA$166)&gt;=$Y19),$AB19,$AA19)))=Milestones!$AB$166),UPPER(TEXT(EDATE($D19,Milestones!$AA$166),"dd mmm yy"))&amp;" "&amp;Milestones!$AB$166&amp;" "&amp;IF(AND(Milestones!$AB$166="FT",Milestones!$AA$166=FT_Y5,EDATE($D19,Milestones!$AA$166)&lt;PolicyEff),1,Milestones!$AC$166)&amp;";  ","")&amp;IF(AND(EDATE($D19,Milestones!$AA$167)&lt;=AsOfDate,EDATE($D19,Milestones!$AA$167)&gt;=SchemeStart,IF($X19=0,$AD19,IF(AND($Z19&lt;&gt;"",EDATE($D19,Milestones!$AA$167)&gt;=$Z19),$AC19,IF(AND($Y19&lt;&gt;"",EDATE($D19,Milestones!$AA$167)&gt;=$Y19),$AB19,$AA19)))=Milestones!$AB$167),UPPER(TEXT(EDATE($D19,Milestones!$AA$167),"dd mmm yy"))&amp;" "&amp;Milestones!$AB$167&amp;" "&amp;IF(AND(Milestones!$AB$167="FT",Milestones!$AA$167=FT_Y5,EDATE($D19,Milestones!$AA$167)&lt;PolicyEff),1,Milestones!$AC$167)&amp;";  ","")&amp;IF(AND(EDATE($D19,Milestones!$AA$168)&lt;=AsOfDate,EDATE($D19,Milestones!$AA$168)&gt;=SchemeStart,IF($X19=0,$AD19,IF(AND($Z19&lt;&gt;"",EDATE($D19,Milestones!$AA$168)&gt;=$Z19),$AC19,IF(AND($Y19&lt;&gt;"",EDATE($D19,Milestones!$AA$168)&gt;=$Y19),$AB19,$AA19)))=Milestones!$AB$168),UPPER(TEXT(EDATE($D19,Milestones!$AA$168),"dd mmm yy"))&amp;" "&amp;Milestones!$AB$168&amp;" "&amp;IF(AND(Milestones!$AB$168="FT",Milestones!$AA$168=FT_Y5,EDATE($D19,Milestones!$AA$168)&lt;PolicyEff),1,Milestones!$AC$168)&amp;";  ","")&amp;IF(AND(EDATE($D19,Milestones!$AA$169)&lt;=AsOfDate,EDATE($D19,Milestones!$AA$169)&gt;=SchemeStart,IF($X19=0,$AD19,IF(AND($Z19&lt;&gt;"",EDATE($D19,Milestones!$AA$169)&gt;=$Z19),$AC19,IF(AND($Y19&lt;&gt;"",EDATE($D19,Milestones!$AA$169)&gt;=$Y19),$AB19,$AA19)))=Milestones!$AB$169),UPPER(TEXT(EDATE($D19,Milestones!$AA$169),"dd mmm yy"))&amp;" "&amp;Milestones!$AB$169&amp;" "&amp;IF(AND(Milestones!$AB$169="FT",Milestones!$AA$169=FT_Y5,EDATE($D19,Milestones!$AA$169)&lt;PolicyEff),1,Milestones!$AC$169)&amp;";  ","")&amp;IF(AND(EDATE($D19,Milestones!$AA$170)&lt;=AsOfDate,EDATE($D19,Milestones!$AA$170)&gt;=SchemeStart,IF($X19=0,$AD19,IF(AND($Z19&lt;&gt;"",EDATE($D19,Milestones!$AA$170)&gt;=$Z19),$AC19,IF(AND($Y19&lt;&gt;"",EDATE($D19,Milestones!$AA$170)&gt;=$Y19),$AB19,$AA19)))=Milestones!$AB$170),UPPER(TEXT(EDATE($D19,Milestones!$AA$170),"dd mmm yy"))&amp;" "&amp;Milestones!$AB$170&amp;" "&amp;IF(AND(Milestones!$AB$170="FT",Milestones!$AA$170=FT_Y5,EDATE($D19,Milestones!$AA$170)&lt;PolicyEff),1,Milestones!$AC$170)&amp;";  ","")&amp;IF(AND(EDATE($D19,Milestones!$AA$171)&lt;=AsOfDate,EDATE($D19,Milestones!$AA$171)&gt;=SchemeStart,IF($X19=0,$AD19,IF(AND($Z19&lt;&gt;"",EDATE($D19,Milestones!$AA$171)&gt;=$Z19),$AC19,IF(AND($Y19&lt;&gt;"",EDATE($D19,Milestones!$AA$171)&gt;=$Y19),$AB19,$AA19)))=Milestones!$AB$171),UPPER(TEXT(EDATE($D19,Milestones!$AA$171),"dd mmm yy"))&amp;" "&amp;Milestones!$AB$171&amp;" "&amp;IF(AND(Milestones!$AB$171="FT",Milestones!$AA$171=FT_Y5,EDATE($D19,Milestones!$AA$171)&lt;PolicyEff),1,Milestones!$AC$171)&amp;";  ","")&amp;IF(AND(EDATE($D19,Milestones!$AA$172)&lt;=AsOfDate,EDATE($D19,Milestones!$AA$172)&gt;=SchemeStart,IF($X19=0,$AD19,IF(AND($Z19&lt;&gt;"",EDATE($D19,Milestones!$AA$172)&gt;=$Z19),$AC19,IF(AND($Y19&lt;&gt;"",EDATE($D19,Milestones!$AA$172)&gt;=$Y19),$AB19,$AA19)))=Milestones!$AB$172),UPPER(TEXT(EDATE($D19,Milestones!$AA$172),"dd mmm yy"))&amp;" "&amp;Milestones!$AB$172&amp;" "&amp;IF(AND(Milestones!$AB$172="FT",Milestones!$AA$172=FT_Y5,EDATE($D19,Milestones!$AA$172)&lt;PolicyEff),1,Milestones!$AC$172)&amp;";  ","")&amp;IF(AND(EDATE($D19,Milestones!$AA$173)&lt;=AsOfDate,EDATE($D19,Milestones!$AA$173)&gt;=SchemeStart,IF($X19=0,$AD19,IF(AND($Z19&lt;&gt;"",EDATE($D19,Milestones!$AA$173)&gt;=$Z19),$AC19,IF(AND($Y19&lt;&gt;"",EDATE($D19,Milestones!$AA$173)&gt;=$Y19),$AB19,$AA19)))=Milestones!$AB$173),UPPER(TEXT(EDATE($D19,Milestones!$AA$173),"dd mmm yy"))&amp;" "&amp;Milestones!$AB$173&amp;" "&amp;IF(AND(Milestones!$AB$173="FT",Milestones!$AA$173=FT_Y5,EDATE($D19,Milestones!$AA$173)&lt;PolicyEff),1,Milestones!$AC$173)&amp;";  ","")&amp;IF(AND(EDATE($D19,Milestones!$AA$174)&lt;=AsOfDate,EDATE($D19,Milestones!$AA$174)&gt;=SchemeStart,IF($X19=0,$AD19,IF(AND($Z19&lt;&gt;"",EDATE($D19,Milestones!$AA$174)&gt;=$Z19),$AC19,IF(AND($Y19&lt;&gt;"",EDATE($D19,Milestones!$AA$174)&gt;=$Y19),$AB19,$AA19)))=Milestones!$AB$174),UPPER(TEXT(EDATE($D19,Milestones!$AA$174),"dd mmm yy"))&amp;" "&amp;Milestones!$AB$174&amp;" "&amp;IF(AND(Milestones!$AB$174="FT",Milestones!$AA$174=FT_Y5,EDATE($D19,Milestones!$AA$174)&lt;PolicyEff),1,Milestones!$AC$174)&amp;";  ","")&amp;IF(AND(EDATE($D19,Milestones!$AA$175)&lt;=AsOfDate,EDATE($D19,Milestones!$AA$175)&gt;=SchemeStart,IF($X19=0,$AD19,IF(AND($Z19&lt;&gt;"",EDATE($D19,Milestones!$AA$175)&gt;=$Z19),$AC19,IF(AND($Y19&lt;&gt;"",EDATE($D19,Milestones!$AA$175)&gt;=$Y19),$AB19,$AA19)))=Milestones!$AB$175),UPPER(TEXT(EDATE($D19,Milestones!$AA$175),"dd mmm yy"))&amp;" "&amp;Milestones!$AB$175&amp;" "&amp;IF(AND(Milestones!$AB$175="FT",Milestones!$AA$175=FT_Y5,EDATE($D19,Milestones!$AA$175)&lt;PolicyEff),1,Milestones!$AC$175)&amp;";  ",""))</f>
        <v/>
      </c>
      <c r="V19" s="0" t="str">
        <f aca="false">IF(OR($A19="",$D19=""),"",IF(AND(EDATE($D19,Milestones!$AA$176)&lt;=AsOfDate,EDATE($D19,Milestones!$AA$176)&gt;=SchemeStart,IF($X19=0,$AD19,IF(AND($Z19&lt;&gt;"",EDATE($D19,Milestones!$AA$176)&gt;=$Z19),$AC19,IF(AND($Y19&lt;&gt;"",EDATE($D19,Milestones!$AA$176)&gt;=$Y19),$AB19,$AA19)))=Milestones!$AB$176),UPPER(TEXT(EDATE($D19,Milestones!$AA$176),"dd mmm yy"))&amp;" "&amp;Milestones!$AB$176&amp;" "&amp;IF(AND(Milestones!$AB$176="FT",Milestones!$AA$176=FT_Y5,EDATE($D19,Milestones!$AA$176)&lt;PolicyEff),1,Milestones!$AC$176)&amp;";  ","")&amp;IF(AND(EDATE($D19,Milestones!$AA$177)&lt;=AsOfDate,EDATE($D19,Milestones!$AA$177)&gt;=SchemeStart,IF($X19=0,$AD19,IF(AND($Z19&lt;&gt;"",EDATE($D19,Milestones!$AA$177)&gt;=$Z19),$AC19,IF(AND($Y19&lt;&gt;"",EDATE($D19,Milestones!$AA$177)&gt;=$Y19),$AB19,$AA19)))=Milestones!$AB$177),UPPER(TEXT(EDATE($D19,Milestones!$AA$177),"dd mmm yy"))&amp;" "&amp;Milestones!$AB$177&amp;" "&amp;IF(AND(Milestones!$AB$177="FT",Milestones!$AA$177=FT_Y5,EDATE($D19,Milestones!$AA$177)&lt;PolicyEff),1,Milestones!$AC$177)&amp;";  ","")&amp;IF(AND(EDATE($D19,Milestones!$AA$178)&lt;=AsOfDate,EDATE($D19,Milestones!$AA$178)&gt;=SchemeStart,IF($X19=0,$AD19,IF(AND($Z19&lt;&gt;"",EDATE($D19,Milestones!$AA$178)&gt;=$Z19),$AC19,IF(AND($Y19&lt;&gt;"",EDATE($D19,Milestones!$AA$178)&gt;=$Y19),$AB19,$AA19)))=Milestones!$AB$178),UPPER(TEXT(EDATE($D19,Milestones!$AA$178),"dd mmm yy"))&amp;" "&amp;Milestones!$AB$178&amp;" "&amp;IF(AND(Milestones!$AB$178="FT",Milestones!$AA$178=FT_Y5,EDATE($D19,Milestones!$AA$178)&lt;PolicyEff),1,Milestones!$AC$178)&amp;";  ","")&amp;IF(AND(EDATE($D19,Milestones!$AA$179)&lt;=AsOfDate,EDATE($D19,Milestones!$AA$179)&gt;=SchemeStart,IF($X19=0,$AD19,IF(AND($Z19&lt;&gt;"",EDATE($D19,Milestones!$AA$179)&gt;=$Z19),$AC19,IF(AND($Y19&lt;&gt;"",EDATE($D19,Milestones!$AA$179)&gt;=$Y19),$AB19,$AA19)))=Milestones!$AB$179),UPPER(TEXT(EDATE($D19,Milestones!$AA$179),"dd mmm yy"))&amp;" "&amp;Milestones!$AB$179&amp;" "&amp;IF(AND(Milestones!$AB$179="FT",Milestones!$AA$179=FT_Y5,EDATE($D19,Milestones!$AA$179)&lt;PolicyEff),1,Milestones!$AC$179)&amp;";  ","")&amp;IF(AND(EDATE($D19,Milestones!$AA$180)&lt;=AsOfDate,EDATE($D19,Milestones!$AA$180)&gt;=SchemeStart,IF($X19=0,$AD19,IF(AND($Z19&lt;&gt;"",EDATE($D19,Milestones!$AA$180)&gt;=$Z19),$AC19,IF(AND($Y19&lt;&gt;"",EDATE($D19,Milestones!$AA$180)&gt;=$Y19),$AB19,$AA19)))=Milestones!$AB$180),UPPER(TEXT(EDATE($D19,Milestones!$AA$180),"dd mmm yy"))&amp;" "&amp;Milestones!$AB$180&amp;" "&amp;IF(AND(Milestones!$AB$180="FT",Milestones!$AA$180=FT_Y5,EDATE($D19,Milestones!$AA$180)&lt;PolicyEff),1,Milestones!$AC$180)&amp;";  ","")&amp;IF(AND(EDATE($D19,Milestones!$AA$181)&lt;=AsOfDate,EDATE($D19,Milestones!$AA$181)&gt;=SchemeStart,IF($X19=0,$AD19,IF(AND($Z19&lt;&gt;"",EDATE($D19,Milestones!$AA$181)&gt;=$Z19),$AC19,IF(AND($Y19&lt;&gt;"",EDATE($D19,Milestones!$AA$181)&gt;=$Y19),$AB19,$AA19)))=Milestones!$AB$181),UPPER(TEXT(EDATE($D19,Milestones!$AA$181),"dd mmm yy"))&amp;" "&amp;Milestones!$AB$181&amp;" "&amp;IF(AND(Milestones!$AB$181="FT",Milestones!$AA$181=FT_Y5,EDATE($D19,Milestones!$AA$181)&lt;PolicyEff),1,Milestones!$AC$181)&amp;";  ","")&amp;IF(AND(EDATE($D19,Milestones!$AA$182)&lt;=AsOfDate,EDATE($D19,Milestones!$AA$182)&gt;=SchemeStart,IF($X19=0,$AD19,IF(AND($Z19&lt;&gt;"",EDATE($D19,Milestones!$AA$182)&gt;=$Z19),$AC19,IF(AND($Y19&lt;&gt;"",EDATE($D19,Milestones!$AA$182)&gt;=$Y19),$AB19,$AA19)))=Milestones!$AB$182),UPPER(TEXT(EDATE($D19,Milestones!$AA$182),"dd mmm yy"))&amp;" "&amp;Milestones!$AB$182&amp;" "&amp;IF(AND(Milestones!$AB$182="FT",Milestones!$AA$182=FT_Y5,EDATE($D19,Milestones!$AA$182)&lt;PolicyEff),1,Milestones!$AC$182)&amp;";  ","")&amp;IF(AND(EDATE($D19,Milestones!$AA$183)&lt;=AsOfDate,EDATE($D19,Milestones!$AA$183)&gt;=SchemeStart,IF($X19=0,$AD19,IF(AND($Z19&lt;&gt;"",EDATE($D19,Milestones!$AA$183)&gt;=$Z19),$AC19,IF(AND($Y19&lt;&gt;"",EDATE($D19,Milestones!$AA$183)&gt;=$Y19),$AB19,$AA19)))=Milestones!$AB$183),UPPER(TEXT(EDATE($D19,Milestones!$AA$183),"dd mmm yy"))&amp;" "&amp;Milestones!$AB$183&amp;" "&amp;IF(AND(Milestones!$AB$183="FT",Milestones!$AA$183=FT_Y5,EDATE($D19,Milestones!$AA$183)&lt;PolicyEff),1,Milestones!$AC$183)&amp;";  ","")&amp;IF(AND(EDATE($D19,Milestones!$AA$184)&lt;=AsOfDate,EDATE($D19,Milestones!$AA$184)&gt;=SchemeStart,IF($X19=0,$AD19,IF(AND($Z19&lt;&gt;"",EDATE($D19,Milestones!$AA$184)&gt;=$Z19),$AC19,IF(AND($Y19&lt;&gt;"",EDATE($D19,Milestones!$AA$184)&gt;=$Y19),$AB19,$AA19)))=Milestones!$AB$184),UPPER(TEXT(EDATE($D19,Milestones!$AA$184),"dd mmm yy"))&amp;" "&amp;Milestones!$AB$184&amp;" "&amp;IF(AND(Milestones!$AB$184="FT",Milestones!$AA$184=FT_Y5,EDATE($D19,Milestones!$AA$184)&lt;PolicyEff),1,Milestones!$AC$184)&amp;";  ","")&amp;IF(AND(EDATE($D19,Milestones!$AA$185)&lt;=AsOfDate,EDATE($D19,Milestones!$AA$185)&gt;=SchemeStart,IF($X19=0,$AD19,IF(AND($Z19&lt;&gt;"",EDATE($D19,Milestones!$AA$185)&gt;=$Z19),$AC19,IF(AND($Y19&lt;&gt;"",EDATE($D19,Milestones!$AA$185)&gt;=$Y19),$AB19,$AA19)))=Milestones!$AB$185),UPPER(TEXT(EDATE($D19,Milestones!$AA$185),"dd mmm yy"))&amp;" "&amp;Milestones!$AB$185&amp;" "&amp;IF(AND(Milestones!$AB$185="FT",Milestones!$AA$185=FT_Y5,EDATE($D19,Milestones!$AA$185)&lt;PolicyEff),1,Milestones!$AC$185)&amp;";  ","")&amp;IF(AND(EDATE($D19,Milestones!$AA$186)&lt;=AsOfDate,EDATE($D19,Milestones!$AA$186)&gt;=SchemeStart,IF($X19=0,$AD19,IF(AND($Z19&lt;&gt;"",EDATE($D19,Milestones!$AA$186)&gt;=$Z19),$AC19,IF(AND($Y19&lt;&gt;"",EDATE($D19,Milestones!$AA$186)&gt;=$Y19),$AB19,$AA19)))=Milestones!$AB$186),UPPER(TEXT(EDATE($D19,Milestones!$AA$186),"dd mmm yy"))&amp;" "&amp;Milestones!$AB$186&amp;" "&amp;IF(AND(Milestones!$AB$186="FT",Milestones!$AA$186=FT_Y5,EDATE($D19,Milestones!$AA$186)&lt;PolicyEff),1,Milestones!$AC$186)&amp;";  ","")&amp;IF(AND(EDATE($D19,Milestones!$AA$187)&lt;=AsOfDate,EDATE($D19,Milestones!$AA$187)&gt;=SchemeStart,IF($X19=0,$AD19,IF(AND($Z19&lt;&gt;"",EDATE($D19,Milestones!$AA$187)&gt;=$Z19),$AC19,IF(AND($Y19&lt;&gt;"",EDATE($D19,Milestones!$AA$187)&gt;=$Y19),$AB19,$AA19)))=Milestones!$AB$187),UPPER(TEXT(EDATE($D19,Milestones!$AA$187),"dd mmm yy"))&amp;" "&amp;Milestones!$AB$187&amp;" "&amp;IF(AND(Milestones!$AB$187="FT",Milestones!$AA$187=FT_Y5,EDATE($D19,Milestones!$AA$187)&lt;PolicyEff),1,Milestones!$AC$187)&amp;";  ",""))</f>
        <v/>
      </c>
      <c r="W19" s="0" t="str">
        <f aca="false">IF(OR($A19="",$D19=""),"",IF(AND(EDATE($D19,Milestones!$AA$188)&lt;=AsOfDate,EDATE($D19,Milestones!$AA$188)&gt;=SchemeStart,IF($X19=0,$AD19,IF(AND($Z19&lt;&gt;"",EDATE($D19,Milestones!$AA$188)&gt;=$Z19),$AC19,IF(AND($Y19&lt;&gt;"",EDATE($D19,Milestones!$AA$188)&gt;=$Y19),$AB19,$AA19)))=Milestones!$AB$188),UPPER(TEXT(EDATE($D19,Milestones!$AA$188),"dd mmm yy"))&amp;" "&amp;Milestones!$AB$188&amp;" "&amp;IF(AND(Milestones!$AB$188="FT",Milestones!$AA$188=FT_Y5,EDATE($D19,Milestones!$AA$188)&lt;PolicyEff),1,Milestones!$AC$188)&amp;";  ","")&amp;IF(AND(EDATE($D19,Milestones!$AA$189)&lt;=AsOfDate,EDATE($D19,Milestones!$AA$189)&gt;=SchemeStart,IF($X19=0,$AD19,IF(AND($Z19&lt;&gt;"",EDATE($D19,Milestones!$AA$189)&gt;=$Z19),$AC19,IF(AND($Y19&lt;&gt;"",EDATE($D19,Milestones!$AA$189)&gt;=$Y19),$AB19,$AA19)))=Milestones!$AB$189),UPPER(TEXT(EDATE($D19,Milestones!$AA$189),"dd mmm yy"))&amp;" "&amp;Milestones!$AB$189&amp;" "&amp;IF(AND(Milestones!$AB$189="FT",Milestones!$AA$189=FT_Y5,EDATE($D19,Milestones!$AA$189)&lt;PolicyEff),1,Milestones!$AC$189)&amp;";  ","")&amp;IF(AND(EDATE($D19,Milestones!$AA$190)&lt;=AsOfDate,EDATE($D19,Milestones!$AA$190)&gt;=SchemeStart,IF($X19=0,$AD19,IF(AND($Z19&lt;&gt;"",EDATE($D19,Milestones!$AA$190)&gt;=$Z19),$AC19,IF(AND($Y19&lt;&gt;"",EDATE($D19,Milestones!$AA$190)&gt;=$Y19),$AB19,$AA19)))=Milestones!$AB$190),UPPER(TEXT(EDATE($D19,Milestones!$AA$190),"dd mmm yy"))&amp;" "&amp;Milestones!$AB$190&amp;" "&amp;IF(AND(Milestones!$AB$190="FT",Milestones!$AA$190=FT_Y5,EDATE($D19,Milestones!$AA$190)&lt;PolicyEff),1,Milestones!$AC$190)&amp;";  ","")&amp;IF(AND(EDATE($D19,Milestones!$AA$191)&lt;=AsOfDate,EDATE($D19,Milestones!$AA$191)&gt;=SchemeStart,IF($X19=0,$AD19,IF(AND($Z19&lt;&gt;"",EDATE($D19,Milestones!$AA$191)&gt;=$Z19),$AC19,IF(AND($Y19&lt;&gt;"",EDATE($D19,Milestones!$AA$191)&gt;=$Y19),$AB19,$AA19)))=Milestones!$AB$191),UPPER(TEXT(EDATE($D19,Milestones!$AA$191),"dd mmm yy"))&amp;" "&amp;Milestones!$AB$191&amp;" "&amp;IF(AND(Milestones!$AB$191="FT",Milestones!$AA$191=FT_Y5,EDATE($D19,Milestones!$AA$191)&lt;PolicyEff),1,Milestones!$AC$191)&amp;";  ","")&amp;IF(AND(EDATE($D19,Milestones!$AA$192)&lt;=AsOfDate,EDATE($D19,Milestones!$AA$192)&gt;=SchemeStart,IF($X19=0,$AD19,IF(AND($Z19&lt;&gt;"",EDATE($D19,Milestones!$AA$192)&gt;=$Z19),$AC19,IF(AND($Y19&lt;&gt;"",EDATE($D19,Milestones!$AA$192)&gt;=$Y19),$AB19,$AA19)))=Milestones!$AB$192),UPPER(TEXT(EDATE($D19,Milestones!$AA$192),"dd mmm yy"))&amp;" "&amp;Milestones!$AB$192&amp;" "&amp;IF(AND(Milestones!$AB$192="FT",Milestones!$AA$192=FT_Y5,EDATE($D19,Milestones!$AA$192)&lt;PolicyEff),1,Milestones!$AC$192)&amp;";  ","")&amp;IF(AND(EDATE($D19,Milestones!$AA$193)&lt;=AsOfDate,EDATE($D19,Milestones!$AA$193)&gt;=SchemeStart,IF($X19=0,$AD19,IF(AND($Z19&lt;&gt;"",EDATE($D19,Milestones!$AA$193)&gt;=$Z19),$AC19,IF(AND($Y19&lt;&gt;"",EDATE($D19,Milestones!$AA$193)&gt;=$Y19),$AB19,$AA19)))=Milestones!$AB$193),UPPER(TEXT(EDATE($D19,Milestones!$AA$193),"dd mmm yy"))&amp;" "&amp;Milestones!$AB$193&amp;" "&amp;IF(AND(Milestones!$AB$193="FT",Milestones!$AA$193=FT_Y5,EDATE($D19,Milestones!$AA$193)&lt;PolicyEff),1,Milestones!$AC$193)&amp;";  ","")&amp;IF(AND(EDATE($D19,Milestones!$AA$194)&lt;=AsOfDate,EDATE($D19,Milestones!$AA$194)&gt;=SchemeStart,IF($X19=0,$AD19,IF(AND($Z19&lt;&gt;"",EDATE($D19,Milestones!$AA$194)&gt;=$Z19),$AC19,IF(AND($Y19&lt;&gt;"",EDATE($D19,Milestones!$AA$194)&gt;=$Y19),$AB19,$AA19)))=Milestones!$AB$194),UPPER(TEXT(EDATE($D19,Milestones!$AA$194),"dd mmm yy"))&amp;" "&amp;Milestones!$AB$194&amp;" "&amp;IF(AND(Milestones!$AB$194="FT",Milestones!$AA$194=FT_Y5,EDATE($D19,Milestones!$AA$194)&lt;PolicyEff),1,Milestones!$AC$194)&amp;";  ","")&amp;IF(AND(EDATE($D19,Milestones!$AA$195)&lt;=AsOfDate,EDATE($D19,Milestones!$AA$195)&gt;=SchemeStart,IF($X19=0,$AD19,IF(AND($Z19&lt;&gt;"",EDATE($D19,Milestones!$AA$195)&gt;=$Z19),$AC19,IF(AND($Y19&lt;&gt;"",EDATE($D19,Milestones!$AA$195)&gt;=$Y19),$AB19,$AA19)))=Milestones!$AB$195),UPPER(TEXT(EDATE($D19,Milestones!$AA$195),"dd mmm yy"))&amp;" "&amp;Milestones!$AB$195&amp;" "&amp;IF(AND(Milestones!$AB$195="FT",Milestones!$AA$195=FT_Y5,EDATE($D19,Milestones!$AA$195)&lt;PolicyEff),1,Milestones!$AC$195)&amp;";  ","")&amp;IF(AND(EDATE($D19,Milestones!$AA$196)&lt;=AsOfDate,EDATE($D19,Milestones!$AA$196)&gt;=SchemeStart,IF($X19=0,$AD19,IF(AND($Z19&lt;&gt;"",EDATE($D19,Milestones!$AA$196)&gt;=$Z19),$AC19,IF(AND($Y19&lt;&gt;"",EDATE($D19,Milestones!$AA$196)&gt;=$Y19),$AB19,$AA19)))=Milestones!$AB$196),UPPER(TEXT(EDATE($D19,Milestones!$AA$196),"dd mmm yy"))&amp;" "&amp;Milestones!$AB$196&amp;" "&amp;IF(AND(Milestones!$AB$196="FT",Milestones!$AA$196=FT_Y5,EDATE($D19,Milestones!$AA$196)&lt;PolicyEff),1,Milestones!$AC$196)&amp;";  ","")&amp;IF(AND(EDATE($D19,Milestones!$AA$197)&lt;=AsOfDate,EDATE($D19,Milestones!$AA$197)&gt;=SchemeStart,IF($X19=0,$AD19,IF(AND($Z19&lt;&gt;"",EDATE($D19,Milestones!$AA$197)&gt;=$Z19),$AC19,IF(AND($Y19&lt;&gt;"",EDATE($D19,Milestones!$AA$197)&gt;=$Y19),$AB19,$AA19)))=Milestones!$AB$197),UPPER(TEXT(EDATE($D19,Milestones!$AA$197),"dd mmm yy"))&amp;" "&amp;Milestones!$AB$197&amp;" "&amp;IF(AND(Milestones!$AB$197="FT",Milestones!$AA$197=FT_Y5,EDATE($D19,Milestones!$AA$197)&lt;PolicyEff),1,Milestones!$AC$197)&amp;";  ","")&amp;IF(AND(EDATE($D19,Milestones!$AA$198)&lt;=AsOfDate,EDATE($D19,Milestones!$AA$198)&gt;=SchemeStart,IF($X19=0,$AD19,IF(AND($Z19&lt;&gt;"",EDATE($D19,Milestones!$AA$198)&gt;=$Z19),$AC19,IF(AND($Y19&lt;&gt;"",EDATE($D19,Milestones!$AA$198)&gt;=$Y19),$AB19,$AA19)))=Milestones!$AB$198),UPPER(TEXT(EDATE($D19,Milestones!$AA$198),"dd mmm yy"))&amp;" "&amp;Milestones!$AB$198&amp;" "&amp;IF(AND(Milestones!$AB$198="FT",Milestones!$AA$198=FT_Y5,EDATE($D19,Milestones!$AA$198)&lt;PolicyEff),1,Milestones!$AC$198)&amp;";  ","")&amp;IF(AND(EDATE($D19,Milestones!$AA$199)&lt;=AsOfDate,EDATE($D19,Milestones!$AA$199)&gt;=SchemeStart,IF($X19=0,$AD19,IF(AND($Z19&lt;&gt;"",EDATE($D19,Milestones!$AA$199)&gt;=$Z19),$AC19,IF(AND($Y19&lt;&gt;"",EDATE($D19,Milestones!$AA$199)&gt;=$Y19),$AB19,$AA19)))=Milestones!$AB$199),UPPER(TEXT(EDATE($D19,Milestones!$AA$199),"dd mmm yy"))&amp;" "&amp;Milestones!$AB$199&amp;" "&amp;IF(AND(Milestones!$AB$199="FT",Milestones!$AA$199=FT_Y5,EDATE($D19,Milestones!$AA$199)&lt;PolicyEff),1,Milestones!$AC$199)&amp;";  ",""))</f>
        <v/>
      </c>
      <c r="X19" s="0" t="str">
        <f aca="false">IF(Staff!$A19="","",Staff!$AM19)</f>
        <v/>
      </c>
      <c r="Y19" s="0" t="str">
        <f aca="false">IF(Staff!$A19="","",Staff!$AO19)</f>
        <v/>
      </c>
      <c r="Z19" s="0" t="str">
        <f aca="false">IF(Staff!$A19="","",Staff!$AP19)</f>
        <v/>
      </c>
      <c r="AA19" s="0" t="str">
        <f aca="false">IF(Staff!$A19="","",Staff!$AT19)</f>
        <v/>
      </c>
      <c r="AB19" s="0" t="str">
        <f aca="false">IF(Staff!$A19="","",Staff!$AU19)</f>
        <v/>
      </c>
      <c r="AC19" s="0" t="str">
        <f aca="false">IF(Staff!$A19="","",Staff!$AV19)</f>
        <v/>
      </c>
      <c r="AD19" s="0" t="str">
        <f aca="false">IF(Staff!$A19="","",Staff!$AW19)</f>
        <v/>
      </c>
    </row>
    <row r="20" customFormat="false" ht="15" hidden="false" customHeight="false" outlineLevel="0" collapsed="false">
      <c r="A20" s="16" t="str">
        <f aca="false">IF(Staff!$A20="","",Staff!$A20)</f>
        <v/>
      </c>
      <c r="B20" s="16" t="str">
        <f aca="false">IF(Staff!$A20="","",Staff!$B20)</f>
        <v/>
      </c>
      <c r="C20" s="16" t="str">
        <f aca="false">IF(Staff!$A20="","",Staff!$C20)</f>
        <v/>
      </c>
      <c r="D20" s="14" t="str">
        <f aca="false">IF(Staff!$A20="","",Staff!$AL20)</f>
        <v/>
      </c>
      <c r="E20" s="16" t="str">
        <f aca="false">IF(Staff!$A20="","",Staff!$O20)</f>
        <v/>
      </c>
      <c r="F20" s="16" t="str">
        <f aca="false">IF(E20="","",E20*HoursPerDay)</f>
        <v/>
      </c>
      <c r="G20" s="16" t="str">
        <f aca="false">IF(Staff!$A20="","",Staff!$AE20)</f>
        <v/>
      </c>
      <c r="H20" s="28" t="str">
        <f aca="false">IF($A20="","",I20&amp;J20&amp;K20&amp;L20&amp;M20&amp;N20&amp;O20&amp;P20&amp;Q20&amp;R20&amp;S20&amp;T20&amp;U20&amp;V20&amp;W20)</f>
        <v/>
      </c>
      <c r="I20" s="0" t="str">
        <f aca="false">IF(OR($A20="",$D20=""),"",IF(AND(EDATE($D20,Milestones!$AA$20)&lt;=AsOfDate,EDATE($D20,Milestones!$AA$20)&gt;=SchemeStart,IF($X20=0,$AD20,IF(AND($Z20&lt;&gt;"",EDATE($D20,Milestones!$AA$20)&gt;=$Z20),$AC20,IF(AND($Y20&lt;&gt;"",EDATE($D20,Milestones!$AA$20)&gt;=$Y20),$AB20,$AA20)))=Milestones!$AB$20),UPPER(TEXT(EDATE($D20,Milestones!$AA$20),"dd mmm yy"))&amp;" "&amp;Milestones!$AB$20&amp;" "&amp;IF(AND(Milestones!$AB$20="FT",Milestones!$AA$20=FT_Y5,EDATE($D20,Milestones!$AA$20)&lt;PolicyEff),1,Milestones!$AC$20)&amp;";  ","")&amp;IF(AND(EDATE($D20,Milestones!$AA$21)&lt;=AsOfDate,EDATE($D20,Milestones!$AA$21)&gt;=SchemeStart,IF($X20=0,$AD20,IF(AND($Z20&lt;&gt;"",EDATE($D20,Milestones!$AA$21)&gt;=$Z20),$AC20,IF(AND($Y20&lt;&gt;"",EDATE($D20,Milestones!$AA$21)&gt;=$Y20),$AB20,$AA20)))=Milestones!$AB$21),UPPER(TEXT(EDATE($D20,Milestones!$AA$21),"dd mmm yy"))&amp;" "&amp;Milestones!$AB$21&amp;" "&amp;IF(AND(Milestones!$AB$21="FT",Milestones!$AA$21=FT_Y5,EDATE($D20,Milestones!$AA$21)&lt;PolicyEff),1,Milestones!$AC$21)&amp;";  ","")&amp;IF(AND(EDATE($D20,Milestones!$AA$22)&lt;=AsOfDate,EDATE($D20,Milestones!$AA$22)&gt;=SchemeStart,IF($X20=0,$AD20,IF(AND($Z20&lt;&gt;"",EDATE($D20,Milestones!$AA$22)&gt;=$Z20),$AC20,IF(AND($Y20&lt;&gt;"",EDATE($D20,Milestones!$AA$22)&gt;=$Y20),$AB20,$AA20)))=Milestones!$AB$22),UPPER(TEXT(EDATE($D20,Milestones!$AA$22),"dd mmm yy"))&amp;" "&amp;Milestones!$AB$22&amp;" "&amp;IF(AND(Milestones!$AB$22="FT",Milestones!$AA$22=FT_Y5,EDATE($D20,Milestones!$AA$22)&lt;PolicyEff),1,Milestones!$AC$22)&amp;";  ","")&amp;IF(AND(EDATE($D20,Milestones!$AA$23)&lt;=AsOfDate,EDATE($D20,Milestones!$AA$23)&gt;=SchemeStart,IF($X20=0,$AD20,IF(AND($Z20&lt;&gt;"",EDATE($D20,Milestones!$AA$23)&gt;=$Z20),$AC20,IF(AND($Y20&lt;&gt;"",EDATE($D20,Milestones!$AA$23)&gt;=$Y20),$AB20,$AA20)))=Milestones!$AB$23),UPPER(TEXT(EDATE($D20,Milestones!$AA$23),"dd mmm yy"))&amp;" "&amp;Milestones!$AB$23&amp;" "&amp;IF(AND(Milestones!$AB$23="FT",Milestones!$AA$23=FT_Y5,EDATE($D20,Milestones!$AA$23)&lt;PolicyEff),1,Milestones!$AC$23)&amp;";  ","")&amp;IF(AND(EDATE($D20,Milestones!$AA$24)&lt;=AsOfDate,EDATE($D20,Milestones!$AA$24)&gt;=SchemeStart,IF($X20=0,$AD20,IF(AND($Z20&lt;&gt;"",EDATE($D20,Milestones!$AA$24)&gt;=$Z20),$AC20,IF(AND($Y20&lt;&gt;"",EDATE($D20,Milestones!$AA$24)&gt;=$Y20),$AB20,$AA20)))=Milestones!$AB$24),UPPER(TEXT(EDATE($D20,Milestones!$AA$24),"dd mmm yy"))&amp;" "&amp;Milestones!$AB$24&amp;" "&amp;IF(AND(Milestones!$AB$24="FT",Milestones!$AA$24=FT_Y5,EDATE($D20,Milestones!$AA$24)&lt;PolicyEff),1,Milestones!$AC$24)&amp;";  ","")&amp;IF(AND(EDATE($D20,Milestones!$AA$25)&lt;=AsOfDate,EDATE($D20,Milestones!$AA$25)&gt;=SchemeStart,IF($X20=0,$AD20,IF(AND($Z20&lt;&gt;"",EDATE($D20,Milestones!$AA$25)&gt;=$Z20),$AC20,IF(AND($Y20&lt;&gt;"",EDATE($D20,Milestones!$AA$25)&gt;=$Y20),$AB20,$AA20)))=Milestones!$AB$25),UPPER(TEXT(EDATE($D20,Milestones!$AA$25),"dd mmm yy"))&amp;" "&amp;Milestones!$AB$25&amp;" "&amp;IF(AND(Milestones!$AB$25="FT",Milestones!$AA$25=FT_Y5,EDATE($D20,Milestones!$AA$25)&lt;PolicyEff),1,Milestones!$AC$25)&amp;";  ","")&amp;IF(AND(EDATE($D20,Milestones!$AA$26)&lt;=AsOfDate,EDATE($D20,Milestones!$AA$26)&gt;=SchemeStart,IF($X20=0,$AD20,IF(AND($Z20&lt;&gt;"",EDATE($D20,Milestones!$AA$26)&gt;=$Z20),$AC20,IF(AND($Y20&lt;&gt;"",EDATE($D20,Milestones!$AA$26)&gt;=$Y20),$AB20,$AA20)))=Milestones!$AB$26),UPPER(TEXT(EDATE($D20,Milestones!$AA$26),"dd mmm yy"))&amp;" "&amp;Milestones!$AB$26&amp;" "&amp;IF(AND(Milestones!$AB$26="FT",Milestones!$AA$26=FT_Y5,EDATE($D20,Milestones!$AA$26)&lt;PolicyEff),1,Milestones!$AC$26)&amp;";  ","")&amp;IF(AND(EDATE($D20,Milestones!$AA$27)&lt;=AsOfDate,EDATE($D20,Milestones!$AA$27)&gt;=SchemeStart,IF($X20=0,$AD20,IF(AND($Z20&lt;&gt;"",EDATE($D20,Milestones!$AA$27)&gt;=$Z20),$AC20,IF(AND($Y20&lt;&gt;"",EDATE($D20,Milestones!$AA$27)&gt;=$Y20),$AB20,$AA20)))=Milestones!$AB$27),UPPER(TEXT(EDATE($D20,Milestones!$AA$27),"dd mmm yy"))&amp;" "&amp;Milestones!$AB$27&amp;" "&amp;IF(AND(Milestones!$AB$27="FT",Milestones!$AA$27=FT_Y5,EDATE($D20,Milestones!$AA$27)&lt;PolicyEff),1,Milestones!$AC$27)&amp;";  ","")&amp;IF(AND(EDATE($D20,Milestones!$AA$28)&lt;=AsOfDate,EDATE($D20,Milestones!$AA$28)&gt;=SchemeStart,IF($X20=0,$AD20,IF(AND($Z20&lt;&gt;"",EDATE($D20,Milestones!$AA$28)&gt;=$Z20),$AC20,IF(AND($Y20&lt;&gt;"",EDATE($D20,Milestones!$AA$28)&gt;=$Y20),$AB20,$AA20)))=Milestones!$AB$28),UPPER(TEXT(EDATE($D20,Milestones!$AA$28),"dd mmm yy"))&amp;" "&amp;Milestones!$AB$28&amp;" "&amp;IF(AND(Milestones!$AB$28="FT",Milestones!$AA$28=FT_Y5,EDATE($D20,Milestones!$AA$28)&lt;PolicyEff),1,Milestones!$AC$28)&amp;";  ","")&amp;IF(AND(EDATE($D20,Milestones!$AA$29)&lt;=AsOfDate,EDATE($D20,Milestones!$AA$29)&gt;=SchemeStart,IF($X20=0,$AD20,IF(AND($Z20&lt;&gt;"",EDATE($D20,Milestones!$AA$29)&gt;=$Z20),$AC20,IF(AND($Y20&lt;&gt;"",EDATE($D20,Milestones!$AA$29)&gt;=$Y20),$AB20,$AA20)))=Milestones!$AB$29),UPPER(TEXT(EDATE($D20,Milestones!$AA$29),"dd mmm yy"))&amp;" "&amp;Milestones!$AB$29&amp;" "&amp;IF(AND(Milestones!$AB$29="FT",Milestones!$AA$29=FT_Y5,EDATE($D20,Milestones!$AA$29)&lt;PolicyEff),1,Milestones!$AC$29)&amp;";  ","")&amp;IF(AND(EDATE($D20,Milestones!$AA$30)&lt;=AsOfDate,EDATE($D20,Milestones!$AA$30)&gt;=SchemeStart,IF($X20=0,$AD20,IF(AND($Z20&lt;&gt;"",EDATE($D20,Milestones!$AA$30)&gt;=$Z20),$AC20,IF(AND($Y20&lt;&gt;"",EDATE($D20,Milestones!$AA$30)&gt;=$Y20),$AB20,$AA20)))=Milestones!$AB$30),UPPER(TEXT(EDATE($D20,Milestones!$AA$30),"dd mmm yy"))&amp;" "&amp;Milestones!$AB$30&amp;" "&amp;IF(AND(Milestones!$AB$30="FT",Milestones!$AA$30=FT_Y5,EDATE($D20,Milestones!$AA$30)&lt;PolicyEff),1,Milestones!$AC$30)&amp;";  ","")&amp;IF(AND(EDATE($D20,Milestones!$AA$31)&lt;=AsOfDate,EDATE($D20,Milestones!$AA$31)&gt;=SchemeStart,IF($X20=0,$AD20,IF(AND($Z20&lt;&gt;"",EDATE($D20,Milestones!$AA$31)&gt;=$Z20),$AC20,IF(AND($Y20&lt;&gt;"",EDATE($D20,Milestones!$AA$31)&gt;=$Y20),$AB20,$AA20)))=Milestones!$AB$31),UPPER(TEXT(EDATE($D20,Milestones!$AA$31),"dd mmm yy"))&amp;" "&amp;Milestones!$AB$31&amp;" "&amp;IF(AND(Milestones!$AB$31="FT",Milestones!$AA$31=FT_Y5,EDATE($D20,Milestones!$AA$31)&lt;PolicyEff),1,Milestones!$AC$31)&amp;";  ",""))</f>
        <v/>
      </c>
      <c r="J20" s="0" t="str">
        <f aca="false">IF(OR($A20="",$D20=""),"",IF(AND(EDATE($D20,Milestones!$AA$32)&lt;=AsOfDate,EDATE($D20,Milestones!$AA$32)&gt;=SchemeStart,IF($X20=0,$AD20,IF(AND($Z20&lt;&gt;"",EDATE($D20,Milestones!$AA$32)&gt;=$Z20),$AC20,IF(AND($Y20&lt;&gt;"",EDATE($D20,Milestones!$AA$32)&gt;=$Y20),$AB20,$AA20)))=Milestones!$AB$32),UPPER(TEXT(EDATE($D20,Milestones!$AA$32),"dd mmm yy"))&amp;" "&amp;Milestones!$AB$32&amp;" "&amp;IF(AND(Milestones!$AB$32="FT",Milestones!$AA$32=FT_Y5,EDATE($D20,Milestones!$AA$32)&lt;PolicyEff),1,Milestones!$AC$32)&amp;";  ","")&amp;IF(AND(EDATE($D20,Milestones!$AA$33)&lt;=AsOfDate,EDATE($D20,Milestones!$AA$33)&gt;=SchemeStart,IF($X20=0,$AD20,IF(AND($Z20&lt;&gt;"",EDATE($D20,Milestones!$AA$33)&gt;=$Z20),$AC20,IF(AND($Y20&lt;&gt;"",EDATE($D20,Milestones!$AA$33)&gt;=$Y20),$AB20,$AA20)))=Milestones!$AB$33),UPPER(TEXT(EDATE($D20,Milestones!$AA$33),"dd mmm yy"))&amp;" "&amp;Milestones!$AB$33&amp;" "&amp;IF(AND(Milestones!$AB$33="FT",Milestones!$AA$33=FT_Y5,EDATE($D20,Milestones!$AA$33)&lt;PolicyEff),1,Milestones!$AC$33)&amp;";  ","")&amp;IF(AND(EDATE($D20,Milestones!$AA$34)&lt;=AsOfDate,EDATE($D20,Milestones!$AA$34)&gt;=SchemeStart,IF($X20=0,$AD20,IF(AND($Z20&lt;&gt;"",EDATE($D20,Milestones!$AA$34)&gt;=$Z20),$AC20,IF(AND($Y20&lt;&gt;"",EDATE($D20,Milestones!$AA$34)&gt;=$Y20),$AB20,$AA20)))=Milestones!$AB$34),UPPER(TEXT(EDATE($D20,Milestones!$AA$34),"dd mmm yy"))&amp;" "&amp;Milestones!$AB$34&amp;" "&amp;IF(AND(Milestones!$AB$34="FT",Milestones!$AA$34=FT_Y5,EDATE($D20,Milestones!$AA$34)&lt;PolicyEff),1,Milestones!$AC$34)&amp;";  ","")&amp;IF(AND(EDATE($D20,Milestones!$AA$35)&lt;=AsOfDate,EDATE($D20,Milestones!$AA$35)&gt;=SchemeStart,IF($X20=0,$AD20,IF(AND($Z20&lt;&gt;"",EDATE($D20,Milestones!$AA$35)&gt;=$Z20),$AC20,IF(AND($Y20&lt;&gt;"",EDATE($D20,Milestones!$AA$35)&gt;=$Y20),$AB20,$AA20)))=Milestones!$AB$35),UPPER(TEXT(EDATE($D20,Milestones!$AA$35),"dd mmm yy"))&amp;" "&amp;Milestones!$AB$35&amp;" "&amp;IF(AND(Milestones!$AB$35="FT",Milestones!$AA$35=FT_Y5,EDATE($D20,Milestones!$AA$35)&lt;PolicyEff),1,Milestones!$AC$35)&amp;";  ","")&amp;IF(AND(EDATE($D20,Milestones!$AA$36)&lt;=AsOfDate,EDATE($D20,Milestones!$AA$36)&gt;=SchemeStart,IF($X20=0,$AD20,IF(AND($Z20&lt;&gt;"",EDATE($D20,Milestones!$AA$36)&gt;=$Z20),$AC20,IF(AND($Y20&lt;&gt;"",EDATE($D20,Milestones!$AA$36)&gt;=$Y20),$AB20,$AA20)))=Milestones!$AB$36),UPPER(TEXT(EDATE($D20,Milestones!$AA$36),"dd mmm yy"))&amp;" "&amp;Milestones!$AB$36&amp;" "&amp;IF(AND(Milestones!$AB$36="FT",Milestones!$AA$36=FT_Y5,EDATE($D20,Milestones!$AA$36)&lt;PolicyEff),1,Milestones!$AC$36)&amp;";  ","")&amp;IF(AND(EDATE($D20,Milestones!$AA$37)&lt;=AsOfDate,EDATE($D20,Milestones!$AA$37)&gt;=SchemeStart,IF($X20=0,$AD20,IF(AND($Z20&lt;&gt;"",EDATE($D20,Milestones!$AA$37)&gt;=$Z20),$AC20,IF(AND($Y20&lt;&gt;"",EDATE($D20,Milestones!$AA$37)&gt;=$Y20),$AB20,$AA20)))=Milestones!$AB$37),UPPER(TEXT(EDATE($D20,Milestones!$AA$37),"dd mmm yy"))&amp;" "&amp;Milestones!$AB$37&amp;" "&amp;IF(AND(Milestones!$AB$37="FT",Milestones!$AA$37=FT_Y5,EDATE($D20,Milestones!$AA$37)&lt;PolicyEff),1,Milestones!$AC$37)&amp;";  ","")&amp;IF(AND(EDATE($D20,Milestones!$AA$38)&lt;=AsOfDate,EDATE($D20,Milestones!$AA$38)&gt;=SchemeStart,IF($X20=0,$AD20,IF(AND($Z20&lt;&gt;"",EDATE($D20,Milestones!$AA$38)&gt;=$Z20),$AC20,IF(AND($Y20&lt;&gt;"",EDATE($D20,Milestones!$AA$38)&gt;=$Y20),$AB20,$AA20)))=Milestones!$AB$38),UPPER(TEXT(EDATE($D20,Milestones!$AA$38),"dd mmm yy"))&amp;" "&amp;Milestones!$AB$38&amp;" "&amp;IF(AND(Milestones!$AB$38="FT",Milestones!$AA$38=FT_Y5,EDATE($D20,Milestones!$AA$38)&lt;PolicyEff),1,Milestones!$AC$38)&amp;";  ","")&amp;IF(AND(EDATE($D20,Milestones!$AA$39)&lt;=AsOfDate,EDATE($D20,Milestones!$AA$39)&gt;=SchemeStart,IF($X20=0,$AD20,IF(AND($Z20&lt;&gt;"",EDATE($D20,Milestones!$AA$39)&gt;=$Z20),$AC20,IF(AND($Y20&lt;&gt;"",EDATE($D20,Milestones!$AA$39)&gt;=$Y20),$AB20,$AA20)))=Milestones!$AB$39),UPPER(TEXT(EDATE($D20,Milestones!$AA$39),"dd mmm yy"))&amp;" "&amp;Milestones!$AB$39&amp;" "&amp;IF(AND(Milestones!$AB$39="FT",Milestones!$AA$39=FT_Y5,EDATE($D20,Milestones!$AA$39)&lt;PolicyEff),1,Milestones!$AC$39)&amp;";  ","")&amp;IF(AND(EDATE($D20,Milestones!$AA$40)&lt;=AsOfDate,EDATE($D20,Milestones!$AA$40)&gt;=SchemeStart,IF($X20=0,$AD20,IF(AND($Z20&lt;&gt;"",EDATE($D20,Milestones!$AA$40)&gt;=$Z20),$AC20,IF(AND($Y20&lt;&gt;"",EDATE($D20,Milestones!$AA$40)&gt;=$Y20),$AB20,$AA20)))=Milestones!$AB$40),UPPER(TEXT(EDATE($D20,Milestones!$AA$40),"dd mmm yy"))&amp;" "&amp;Milestones!$AB$40&amp;" "&amp;IF(AND(Milestones!$AB$40="FT",Milestones!$AA$40=FT_Y5,EDATE($D20,Milestones!$AA$40)&lt;PolicyEff),1,Milestones!$AC$40)&amp;";  ","")&amp;IF(AND(EDATE($D20,Milestones!$AA$41)&lt;=AsOfDate,EDATE($D20,Milestones!$AA$41)&gt;=SchemeStart,IF($X20=0,$AD20,IF(AND($Z20&lt;&gt;"",EDATE($D20,Milestones!$AA$41)&gt;=$Z20),$AC20,IF(AND($Y20&lt;&gt;"",EDATE($D20,Milestones!$AA$41)&gt;=$Y20),$AB20,$AA20)))=Milestones!$AB$41),UPPER(TEXT(EDATE($D20,Milestones!$AA$41),"dd mmm yy"))&amp;" "&amp;Milestones!$AB$41&amp;" "&amp;IF(AND(Milestones!$AB$41="FT",Milestones!$AA$41=FT_Y5,EDATE($D20,Milestones!$AA$41)&lt;PolicyEff),1,Milestones!$AC$41)&amp;";  ","")&amp;IF(AND(EDATE($D20,Milestones!$AA$42)&lt;=AsOfDate,EDATE($D20,Milestones!$AA$42)&gt;=SchemeStart,IF($X20=0,$AD20,IF(AND($Z20&lt;&gt;"",EDATE($D20,Milestones!$AA$42)&gt;=$Z20),$AC20,IF(AND($Y20&lt;&gt;"",EDATE($D20,Milestones!$AA$42)&gt;=$Y20),$AB20,$AA20)))=Milestones!$AB$42),UPPER(TEXT(EDATE($D20,Milestones!$AA$42),"dd mmm yy"))&amp;" "&amp;Milestones!$AB$42&amp;" "&amp;IF(AND(Milestones!$AB$42="FT",Milestones!$AA$42=FT_Y5,EDATE($D20,Milestones!$AA$42)&lt;PolicyEff),1,Milestones!$AC$42)&amp;";  ","")&amp;IF(AND(EDATE($D20,Milestones!$AA$43)&lt;=AsOfDate,EDATE($D20,Milestones!$AA$43)&gt;=SchemeStart,IF($X20=0,$AD20,IF(AND($Z20&lt;&gt;"",EDATE($D20,Milestones!$AA$43)&gt;=$Z20),$AC20,IF(AND($Y20&lt;&gt;"",EDATE($D20,Milestones!$AA$43)&gt;=$Y20),$AB20,$AA20)))=Milestones!$AB$43),UPPER(TEXT(EDATE($D20,Milestones!$AA$43),"dd mmm yy"))&amp;" "&amp;Milestones!$AB$43&amp;" "&amp;IF(AND(Milestones!$AB$43="FT",Milestones!$AA$43=FT_Y5,EDATE($D20,Milestones!$AA$43)&lt;PolicyEff),1,Milestones!$AC$43)&amp;";  ",""))</f>
        <v/>
      </c>
      <c r="K20" s="0" t="str">
        <f aca="false">IF(OR($A20="",$D20=""),"",IF(AND(EDATE($D20,Milestones!$AA$44)&lt;=AsOfDate,EDATE($D20,Milestones!$AA$44)&gt;=SchemeStart,IF($X20=0,$AD20,IF(AND($Z20&lt;&gt;"",EDATE($D20,Milestones!$AA$44)&gt;=$Z20),$AC20,IF(AND($Y20&lt;&gt;"",EDATE($D20,Milestones!$AA$44)&gt;=$Y20),$AB20,$AA20)))=Milestones!$AB$44),UPPER(TEXT(EDATE($D20,Milestones!$AA$44),"dd mmm yy"))&amp;" "&amp;Milestones!$AB$44&amp;" "&amp;IF(AND(Milestones!$AB$44="FT",Milestones!$AA$44=FT_Y5,EDATE($D20,Milestones!$AA$44)&lt;PolicyEff),1,Milestones!$AC$44)&amp;";  ","")&amp;IF(AND(EDATE($D20,Milestones!$AA$45)&lt;=AsOfDate,EDATE($D20,Milestones!$AA$45)&gt;=SchemeStart,IF($X20=0,$AD20,IF(AND($Z20&lt;&gt;"",EDATE($D20,Milestones!$AA$45)&gt;=$Z20),$AC20,IF(AND($Y20&lt;&gt;"",EDATE($D20,Milestones!$AA$45)&gt;=$Y20),$AB20,$AA20)))=Milestones!$AB$45),UPPER(TEXT(EDATE($D20,Milestones!$AA$45),"dd mmm yy"))&amp;" "&amp;Milestones!$AB$45&amp;" "&amp;IF(AND(Milestones!$AB$45="FT",Milestones!$AA$45=FT_Y5,EDATE($D20,Milestones!$AA$45)&lt;PolicyEff),1,Milestones!$AC$45)&amp;";  ","")&amp;IF(AND(EDATE($D20,Milestones!$AA$46)&lt;=AsOfDate,EDATE($D20,Milestones!$AA$46)&gt;=SchemeStart,IF($X20=0,$AD20,IF(AND($Z20&lt;&gt;"",EDATE($D20,Milestones!$AA$46)&gt;=$Z20),$AC20,IF(AND($Y20&lt;&gt;"",EDATE($D20,Milestones!$AA$46)&gt;=$Y20),$AB20,$AA20)))=Milestones!$AB$46),UPPER(TEXT(EDATE($D20,Milestones!$AA$46),"dd mmm yy"))&amp;" "&amp;Milestones!$AB$46&amp;" "&amp;IF(AND(Milestones!$AB$46="FT",Milestones!$AA$46=FT_Y5,EDATE($D20,Milestones!$AA$46)&lt;PolicyEff),1,Milestones!$AC$46)&amp;";  ","")&amp;IF(AND(EDATE($D20,Milestones!$AA$47)&lt;=AsOfDate,EDATE($D20,Milestones!$AA$47)&gt;=SchemeStart,IF($X20=0,$AD20,IF(AND($Z20&lt;&gt;"",EDATE($D20,Milestones!$AA$47)&gt;=$Z20),$AC20,IF(AND($Y20&lt;&gt;"",EDATE($D20,Milestones!$AA$47)&gt;=$Y20),$AB20,$AA20)))=Milestones!$AB$47),UPPER(TEXT(EDATE($D20,Milestones!$AA$47),"dd mmm yy"))&amp;" "&amp;Milestones!$AB$47&amp;" "&amp;IF(AND(Milestones!$AB$47="FT",Milestones!$AA$47=FT_Y5,EDATE($D20,Milestones!$AA$47)&lt;PolicyEff),1,Milestones!$AC$47)&amp;";  ","")&amp;IF(AND(EDATE($D20,Milestones!$AA$48)&lt;=AsOfDate,EDATE($D20,Milestones!$AA$48)&gt;=SchemeStart,IF($X20=0,$AD20,IF(AND($Z20&lt;&gt;"",EDATE($D20,Milestones!$AA$48)&gt;=$Z20),$AC20,IF(AND($Y20&lt;&gt;"",EDATE($D20,Milestones!$AA$48)&gt;=$Y20),$AB20,$AA20)))=Milestones!$AB$48),UPPER(TEXT(EDATE($D20,Milestones!$AA$48),"dd mmm yy"))&amp;" "&amp;Milestones!$AB$48&amp;" "&amp;IF(AND(Milestones!$AB$48="FT",Milestones!$AA$48=FT_Y5,EDATE($D20,Milestones!$AA$48)&lt;PolicyEff),1,Milestones!$AC$48)&amp;";  ","")&amp;IF(AND(EDATE($D20,Milestones!$AA$49)&lt;=AsOfDate,EDATE($D20,Milestones!$AA$49)&gt;=SchemeStart,IF($X20=0,$AD20,IF(AND($Z20&lt;&gt;"",EDATE($D20,Milestones!$AA$49)&gt;=$Z20),$AC20,IF(AND($Y20&lt;&gt;"",EDATE($D20,Milestones!$AA$49)&gt;=$Y20),$AB20,$AA20)))=Milestones!$AB$49),UPPER(TEXT(EDATE($D20,Milestones!$AA$49),"dd mmm yy"))&amp;" "&amp;Milestones!$AB$49&amp;" "&amp;IF(AND(Milestones!$AB$49="FT",Milestones!$AA$49=FT_Y5,EDATE($D20,Milestones!$AA$49)&lt;PolicyEff),1,Milestones!$AC$49)&amp;";  ","")&amp;IF(AND(EDATE($D20,Milestones!$AA$50)&lt;=AsOfDate,EDATE($D20,Milestones!$AA$50)&gt;=SchemeStart,IF($X20=0,$AD20,IF(AND($Z20&lt;&gt;"",EDATE($D20,Milestones!$AA$50)&gt;=$Z20),$AC20,IF(AND($Y20&lt;&gt;"",EDATE($D20,Milestones!$AA$50)&gt;=$Y20),$AB20,$AA20)))=Milestones!$AB$50),UPPER(TEXT(EDATE($D20,Milestones!$AA$50),"dd mmm yy"))&amp;" "&amp;Milestones!$AB$50&amp;" "&amp;IF(AND(Milestones!$AB$50="FT",Milestones!$AA$50=FT_Y5,EDATE($D20,Milestones!$AA$50)&lt;PolicyEff),1,Milestones!$AC$50)&amp;";  ","")&amp;IF(AND(EDATE($D20,Milestones!$AA$51)&lt;=AsOfDate,EDATE($D20,Milestones!$AA$51)&gt;=SchemeStart,IF($X20=0,$AD20,IF(AND($Z20&lt;&gt;"",EDATE($D20,Milestones!$AA$51)&gt;=$Z20),$AC20,IF(AND($Y20&lt;&gt;"",EDATE($D20,Milestones!$AA$51)&gt;=$Y20),$AB20,$AA20)))=Milestones!$AB$51),UPPER(TEXT(EDATE($D20,Milestones!$AA$51),"dd mmm yy"))&amp;" "&amp;Milestones!$AB$51&amp;" "&amp;IF(AND(Milestones!$AB$51="FT",Milestones!$AA$51=FT_Y5,EDATE($D20,Milestones!$AA$51)&lt;PolicyEff),1,Milestones!$AC$51)&amp;";  ","")&amp;IF(AND(EDATE($D20,Milestones!$AA$52)&lt;=AsOfDate,EDATE($D20,Milestones!$AA$52)&gt;=SchemeStart,IF($X20=0,$AD20,IF(AND($Z20&lt;&gt;"",EDATE($D20,Milestones!$AA$52)&gt;=$Z20),$AC20,IF(AND($Y20&lt;&gt;"",EDATE($D20,Milestones!$AA$52)&gt;=$Y20),$AB20,$AA20)))=Milestones!$AB$52),UPPER(TEXT(EDATE($D20,Milestones!$AA$52),"dd mmm yy"))&amp;" "&amp;Milestones!$AB$52&amp;" "&amp;IF(AND(Milestones!$AB$52="FT",Milestones!$AA$52=FT_Y5,EDATE($D20,Milestones!$AA$52)&lt;PolicyEff),1,Milestones!$AC$52)&amp;";  ","")&amp;IF(AND(EDATE($D20,Milestones!$AA$53)&lt;=AsOfDate,EDATE($D20,Milestones!$AA$53)&gt;=SchemeStart,IF($X20=0,$AD20,IF(AND($Z20&lt;&gt;"",EDATE($D20,Milestones!$AA$53)&gt;=$Z20),$AC20,IF(AND($Y20&lt;&gt;"",EDATE($D20,Milestones!$AA$53)&gt;=$Y20),$AB20,$AA20)))=Milestones!$AB$53),UPPER(TEXT(EDATE($D20,Milestones!$AA$53),"dd mmm yy"))&amp;" "&amp;Milestones!$AB$53&amp;" "&amp;IF(AND(Milestones!$AB$53="FT",Milestones!$AA$53=FT_Y5,EDATE($D20,Milestones!$AA$53)&lt;PolicyEff),1,Milestones!$AC$53)&amp;";  ","")&amp;IF(AND(EDATE($D20,Milestones!$AA$54)&lt;=AsOfDate,EDATE($D20,Milestones!$AA$54)&gt;=SchemeStart,IF($X20=0,$AD20,IF(AND($Z20&lt;&gt;"",EDATE($D20,Milestones!$AA$54)&gt;=$Z20),$AC20,IF(AND($Y20&lt;&gt;"",EDATE($D20,Milestones!$AA$54)&gt;=$Y20),$AB20,$AA20)))=Milestones!$AB$54),UPPER(TEXT(EDATE($D20,Milestones!$AA$54),"dd mmm yy"))&amp;" "&amp;Milestones!$AB$54&amp;" "&amp;IF(AND(Milestones!$AB$54="FT",Milestones!$AA$54=FT_Y5,EDATE($D20,Milestones!$AA$54)&lt;PolicyEff),1,Milestones!$AC$54)&amp;";  ","")&amp;IF(AND(EDATE($D20,Milestones!$AA$55)&lt;=AsOfDate,EDATE($D20,Milestones!$AA$55)&gt;=SchemeStart,IF($X20=0,$AD20,IF(AND($Z20&lt;&gt;"",EDATE($D20,Milestones!$AA$55)&gt;=$Z20),$AC20,IF(AND($Y20&lt;&gt;"",EDATE($D20,Milestones!$AA$55)&gt;=$Y20),$AB20,$AA20)))=Milestones!$AB$55),UPPER(TEXT(EDATE($D20,Milestones!$AA$55),"dd mmm yy"))&amp;" "&amp;Milestones!$AB$55&amp;" "&amp;IF(AND(Milestones!$AB$55="FT",Milestones!$AA$55=FT_Y5,EDATE($D20,Milestones!$AA$55)&lt;PolicyEff),1,Milestones!$AC$55)&amp;";  ",""))</f>
        <v/>
      </c>
      <c r="L20" s="0" t="str">
        <f aca="false">IF(OR($A20="",$D20=""),"",IF(AND(EDATE($D20,Milestones!$AA$56)&lt;=AsOfDate,EDATE($D20,Milestones!$AA$56)&gt;=SchemeStart,IF($X20=0,$AD20,IF(AND($Z20&lt;&gt;"",EDATE($D20,Milestones!$AA$56)&gt;=$Z20),$AC20,IF(AND($Y20&lt;&gt;"",EDATE($D20,Milestones!$AA$56)&gt;=$Y20),$AB20,$AA20)))=Milestones!$AB$56),UPPER(TEXT(EDATE($D20,Milestones!$AA$56),"dd mmm yy"))&amp;" "&amp;Milestones!$AB$56&amp;" "&amp;IF(AND(Milestones!$AB$56="FT",Milestones!$AA$56=FT_Y5,EDATE($D20,Milestones!$AA$56)&lt;PolicyEff),1,Milestones!$AC$56)&amp;";  ","")&amp;IF(AND(EDATE($D20,Milestones!$AA$57)&lt;=AsOfDate,EDATE($D20,Milestones!$AA$57)&gt;=SchemeStart,IF($X20=0,$AD20,IF(AND($Z20&lt;&gt;"",EDATE($D20,Milestones!$AA$57)&gt;=$Z20),$AC20,IF(AND($Y20&lt;&gt;"",EDATE($D20,Milestones!$AA$57)&gt;=$Y20),$AB20,$AA20)))=Milestones!$AB$57),UPPER(TEXT(EDATE($D20,Milestones!$AA$57),"dd mmm yy"))&amp;" "&amp;Milestones!$AB$57&amp;" "&amp;IF(AND(Milestones!$AB$57="FT",Milestones!$AA$57=FT_Y5,EDATE($D20,Milestones!$AA$57)&lt;PolicyEff),1,Milestones!$AC$57)&amp;";  ","")&amp;IF(AND(EDATE($D20,Milestones!$AA$58)&lt;=AsOfDate,EDATE($D20,Milestones!$AA$58)&gt;=SchemeStart,IF($X20=0,$AD20,IF(AND($Z20&lt;&gt;"",EDATE($D20,Milestones!$AA$58)&gt;=$Z20),$AC20,IF(AND($Y20&lt;&gt;"",EDATE($D20,Milestones!$AA$58)&gt;=$Y20),$AB20,$AA20)))=Milestones!$AB$58),UPPER(TEXT(EDATE($D20,Milestones!$AA$58),"dd mmm yy"))&amp;" "&amp;Milestones!$AB$58&amp;" "&amp;IF(AND(Milestones!$AB$58="FT",Milestones!$AA$58=FT_Y5,EDATE($D20,Milestones!$AA$58)&lt;PolicyEff),1,Milestones!$AC$58)&amp;";  ","")&amp;IF(AND(EDATE($D20,Milestones!$AA$59)&lt;=AsOfDate,EDATE($D20,Milestones!$AA$59)&gt;=SchemeStart,IF($X20=0,$AD20,IF(AND($Z20&lt;&gt;"",EDATE($D20,Milestones!$AA$59)&gt;=$Z20),$AC20,IF(AND($Y20&lt;&gt;"",EDATE($D20,Milestones!$AA$59)&gt;=$Y20),$AB20,$AA20)))=Milestones!$AB$59),UPPER(TEXT(EDATE($D20,Milestones!$AA$59),"dd mmm yy"))&amp;" "&amp;Milestones!$AB$59&amp;" "&amp;IF(AND(Milestones!$AB$59="FT",Milestones!$AA$59=FT_Y5,EDATE($D20,Milestones!$AA$59)&lt;PolicyEff),1,Milestones!$AC$59)&amp;";  ","")&amp;IF(AND(EDATE($D20,Milestones!$AA$60)&lt;=AsOfDate,EDATE($D20,Milestones!$AA$60)&gt;=SchemeStart,IF($X20=0,$AD20,IF(AND($Z20&lt;&gt;"",EDATE($D20,Milestones!$AA$60)&gt;=$Z20),$AC20,IF(AND($Y20&lt;&gt;"",EDATE($D20,Milestones!$AA$60)&gt;=$Y20),$AB20,$AA20)))=Milestones!$AB$60),UPPER(TEXT(EDATE($D20,Milestones!$AA$60),"dd mmm yy"))&amp;" "&amp;Milestones!$AB$60&amp;" "&amp;IF(AND(Milestones!$AB$60="FT",Milestones!$AA$60=FT_Y5,EDATE($D20,Milestones!$AA$60)&lt;PolicyEff),1,Milestones!$AC$60)&amp;";  ","")&amp;IF(AND(EDATE($D20,Milestones!$AA$61)&lt;=AsOfDate,EDATE($D20,Milestones!$AA$61)&gt;=SchemeStart,IF($X20=0,$AD20,IF(AND($Z20&lt;&gt;"",EDATE($D20,Milestones!$AA$61)&gt;=$Z20),$AC20,IF(AND($Y20&lt;&gt;"",EDATE($D20,Milestones!$AA$61)&gt;=$Y20),$AB20,$AA20)))=Milestones!$AB$61),UPPER(TEXT(EDATE($D20,Milestones!$AA$61),"dd mmm yy"))&amp;" "&amp;Milestones!$AB$61&amp;" "&amp;IF(AND(Milestones!$AB$61="FT",Milestones!$AA$61=FT_Y5,EDATE($D20,Milestones!$AA$61)&lt;PolicyEff),1,Milestones!$AC$61)&amp;";  ","")&amp;IF(AND(EDATE($D20,Milestones!$AA$62)&lt;=AsOfDate,EDATE($D20,Milestones!$AA$62)&gt;=SchemeStart,IF($X20=0,$AD20,IF(AND($Z20&lt;&gt;"",EDATE($D20,Milestones!$AA$62)&gt;=$Z20),$AC20,IF(AND($Y20&lt;&gt;"",EDATE($D20,Milestones!$AA$62)&gt;=$Y20),$AB20,$AA20)))=Milestones!$AB$62),UPPER(TEXT(EDATE($D20,Milestones!$AA$62),"dd mmm yy"))&amp;" "&amp;Milestones!$AB$62&amp;" "&amp;IF(AND(Milestones!$AB$62="FT",Milestones!$AA$62=FT_Y5,EDATE($D20,Milestones!$AA$62)&lt;PolicyEff),1,Milestones!$AC$62)&amp;";  ","")&amp;IF(AND(EDATE($D20,Milestones!$AA$63)&lt;=AsOfDate,EDATE($D20,Milestones!$AA$63)&gt;=SchemeStart,IF($X20=0,$AD20,IF(AND($Z20&lt;&gt;"",EDATE($D20,Milestones!$AA$63)&gt;=$Z20),$AC20,IF(AND($Y20&lt;&gt;"",EDATE($D20,Milestones!$AA$63)&gt;=$Y20),$AB20,$AA20)))=Milestones!$AB$63),UPPER(TEXT(EDATE($D20,Milestones!$AA$63),"dd mmm yy"))&amp;" "&amp;Milestones!$AB$63&amp;" "&amp;IF(AND(Milestones!$AB$63="FT",Milestones!$AA$63=FT_Y5,EDATE($D20,Milestones!$AA$63)&lt;PolicyEff),1,Milestones!$AC$63)&amp;";  ","")&amp;IF(AND(EDATE($D20,Milestones!$AA$64)&lt;=AsOfDate,EDATE($D20,Milestones!$AA$64)&gt;=SchemeStart,IF($X20=0,$AD20,IF(AND($Z20&lt;&gt;"",EDATE($D20,Milestones!$AA$64)&gt;=$Z20),$AC20,IF(AND($Y20&lt;&gt;"",EDATE($D20,Milestones!$AA$64)&gt;=$Y20),$AB20,$AA20)))=Milestones!$AB$64),UPPER(TEXT(EDATE($D20,Milestones!$AA$64),"dd mmm yy"))&amp;" "&amp;Milestones!$AB$64&amp;" "&amp;IF(AND(Milestones!$AB$64="FT",Milestones!$AA$64=FT_Y5,EDATE($D20,Milestones!$AA$64)&lt;PolicyEff),1,Milestones!$AC$64)&amp;";  ","")&amp;IF(AND(EDATE($D20,Milestones!$AA$65)&lt;=AsOfDate,EDATE($D20,Milestones!$AA$65)&gt;=SchemeStart,IF($X20=0,$AD20,IF(AND($Z20&lt;&gt;"",EDATE($D20,Milestones!$AA$65)&gt;=$Z20),$AC20,IF(AND($Y20&lt;&gt;"",EDATE($D20,Milestones!$AA$65)&gt;=$Y20),$AB20,$AA20)))=Milestones!$AB$65),UPPER(TEXT(EDATE($D20,Milestones!$AA$65),"dd mmm yy"))&amp;" "&amp;Milestones!$AB$65&amp;" "&amp;IF(AND(Milestones!$AB$65="FT",Milestones!$AA$65=FT_Y5,EDATE($D20,Milestones!$AA$65)&lt;PolicyEff),1,Milestones!$AC$65)&amp;";  ","")&amp;IF(AND(EDATE($D20,Milestones!$AA$66)&lt;=AsOfDate,EDATE($D20,Milestones!$AA$66)&gt;=SchemeStart,IF($X20=0,$AD20,IF(AND($Z20&lt;&gt;"",EDATE($D20,Milestones!$AA$66)&gt;=$Z20),$AC20,IF(AND($Y20&lt;&gt;"",EDATE($D20,Milestones!$AA$66)&gt;=$Y20),$AB20,$AA20)))=Milestones!$AB$66),UPPER(TEXT(EDATE($D20,Milestones!$AA$66),"dd mmm yy"))&amp;" "&amp;Milestones!$AB$66&amp;" "&amp;IF(AND(Milestones!$AB$66="FT",Milestones!$AA$66=FT_Y5,EDATE($D20,Milestones!$AA$66)&lt;PolicyEff),1,Milestones!$AC$66)&amp;";  ","")&amp;IF(AND(EDATE($D20,Milestones!$AA$67)&lt;=AsOfDate,EDATE($D20,Milestones!$AA$67)&gt;=SchemeStart,IF($X20=0,$AD20,IF(AND($Z20&lt;&gt;"",EDATE($D20,Milestones!$AA$67)&gt;=$Z20),$AC20,IF(AND($Y20&lt;&gt;"",EDATE($D20,Milestones!$AA$67)&gt;=$Y20),$AB20,$AA20)))=Milestones!$AB$67),UPPER(TEXT(EDATE($D20,Milestones!$AA$67),"dd mmm yy"))&amp;" "&amp;Milestones!$AB$67&amp;" "&amp;IF(AND(Milestones!$AB$67="FT",Milestones!$AA$67=FT_Y5,EDATE($D20,Milestones!$AA$67)&lt;PolicyEff),1,Milestones!$AC$67)&amp;";  ",""))</f>
        <v/>
      </c>
      <c r="M20" s="0" t="str">
        <f aca="false">IF(OR($A20="",$D20=""),"",IF(AND(EDATE($D20,Milestones!$AA$68)&lt;=AsOfDate,EDATE($D20,Milestones!$AA$68)&gt;=SchemeStart,IF($X20=0,$AD20,IF(AND($Z20&lt;&gt;"",EDATE($D20,Milestones!$AA$68)&gt;=$Z20),$AC20,IF(AND($Y20&lt;&gt;"",EDATE($D20,Milestones!$AA$68)&gt;=$Y20),$AB20,$AA20)))=Milestones!$AB$68),UPPER(TEXT(EDATE($D20,Milestones!$AA$68),"dd mmm yy"))&amp;" "&amp;Milestones!$AB$68&amp;" "&amp;IF(AND(Milestones!$AB$68="FT",Milestones!$AA$68=FT_Y5,EDATE($D20,Milestones!$AA$68)&lt;PolicyEff),1,Milestones!$AC$68)&amp;";  ","")&amp;IF(AND(EDATE($D20,Milestones!$AA$69)&lt;=AsOfDate,EDATE($D20,Milestones!$AA$69)&gt;=SchemeStart,IF($X20=0,$AD20,IF(AND($Z20&lt;&gt;"",EDATE($D20,Milestones!$AA$69)&gt;=$Z20),$AC20,IF(AND($Y20&lt;&gt;"",EDATE($D20,Milestones!$AA$69)&gt;=$Y20),$AB20,$AA20)))=Milestones!$AB$69),UPPER(TEXT(EDATE($D20,Milestones!$AA$69),"dd mmm yy"))&amp;" "&amp;Milestones!$AB$69&amp;" "&amp;IF(AND(Milestones!$AB$69="FT",Milestones!$AA$69=FT_Y5,EDATE($D20,Milestones!$AA$69)&lt;PolicyEff),1,Milestones!$AC$69)&amp;";  ","")&amp;IF(AND(EDATE($D20,Milestones!$AA$70)&lt;=AsOfDate,EDATE($D20,Milestones!$AA$70)&gt;=SchemeStart,IF($X20=0,$AD20,IF(AND($Z20&lt;&gt;"",EDATE($D20,Milestones!$AA$70)&gt;=$Z20),$AC20,IF(AND($Y20&lt;&gt;"",EDATE($D20,Milestones!$AA$70)&gt;=$Y20),$AB20,$AA20)))=Milestones!$AB$70),UPPER(TEXT(EDATE($D20,Milestones!$AA$70),"dd mmm yy"))&amp;" "&amp;Milestones!$AB$70&amp;" "&amp;IF(AND(Milestones!$AB$70="FT",Milestones!$AA$70=FT_Y5,EDATE($D20,Milestones!$AA$70)&lt;PolicyEff),1,Milestones!$AC$70)&amp;";  ","")&amp;IF(AND(EDATE($D20,Milestones!$AA$71)&lt;=AsOfDate,EDATE($D20,Milestones!$AA$71)&gt;=SchemeStart,IF($X20=0,$AD20,IF(AND($Z20&lt;&gt;"",EDATE($D20,Milestones!$AA$71)&gt;=$Z20),$AC20,IF(AND($Y20&lt;&gt;"",EDATE($D20,Milestones!$AA$71)&gt;=$Y20),$AB20,$AA20)))=Milestones!$AB$71),UPPER(TEXT(EDATE($D20,Milestones!$AA$71),"dd mmm yy"))&amp;" "&amp;Milestones!$AB$71&amp;" "&amp;IF(AND(Milestones!$AB$71="FT",Milestones!$AA$71=FT_Y5,EDATE($D20,Milestones!$AA$71)&lt;PolicyEff),1,Milestones!$AC$71)&amp;";  ","")&amp;IF(AND(EDATE($D20,Milestones!$AA$72)&lt;=AsOfDate,EDATE($D20,Milestones!$AA$72)&gt;=SchemeStart,IF($X20=0,$AD20,IF(AND($Z20&lt;&gt;"",EDATE($D20,Milestones!$AA$72)&gt;=$Z20),$AC20,IF(AND($Y20&lt;&gt;"",EDATE($D20,Milestones!$AA$72)&gt;=$Y20),$AB20,$AA20)))=Milestones!$AB$72),UPPER(TEXT(EDATE($D20,Milestones!$AA$72),"dd mmm yy"))&amp;" "&amp;Milestones!$AB$72&amp;" "&amp;IF(AND(Milestones!$AB$72="FT",Milestones!$AA$72=FT_Y5,EDATE($D20,Milestones!$AA$72)&lt;PolicyEff),1,Milestones!$AC$72)&amp;";  ","")&amp;IF(AND(EDATE($D20,Milestones!$AA$73)&lt;=AsOfDate,EDATE($D20,Milestones!$AA$73)&gt;=SchemeStart,IF($X20=0,$AD20,IF(AND($Z20&lt;&gt;"",EDATE($D20,Milestones!$AA$73)&gt;=$Z20),$AC20,IF(AND($Y20&lt;&gt;"",EDATE($D20,Milestones!$AA$73)&gt;=$Y20),$AB20,$AA20)))=Milestones!$AB$73),UPPER(TEXT(EDATE($D20,Milestones!$AA$73),"dd mmm yy"))&amp;" "&amp;Milestones!$AB$73&amp;" "&amp;IF(AND(Milestones!$AB$73="FT",Milestones!$AA$73=FT_Y5,EDATE($D20,Milestones!$AA$73)&lt;PolicyEff),1,Milestones!$AC$73)&amp;";  ","")&amp;IF(AND(EDATE($D20,Milestones!$AA$74)&lt;=AsOfDate,EDATE($D20,Milestones!$AA$74)&gt;=SchemeStart,IF($X20=0,$AD20,IF(AND($Z20&lt;&gt;"",EDATE($D20,Milestones!$AA$74)&gt;=$Z20),$AC20,IF(AND($Y20&lt;&gt;"",EDATE($D20,Milestones!$AA$74)&gt;=$Y20),$AB20,$AA20)))=Milestones!$AB$74),UPPER(TEXT(EDATE($D20,Milestones!$AA$74),"dd mmm yy"))&amp;" "&amp;Milestones!$AB$74&amp;" "&amp;IF(AND(Milestones!$AB$74="FT",Milestones!$AA$74=FT_Y5,EDATE($D20,Milestones!$AA$74)&lt;PolicyEff),1,Milestones!$AC$74)&amp;";  ","")&amp;IF(AND(EDATE($D20,Milestones!$AA$75)&lt;=AsOfDate,EDATE($D20,Milestones!$AA$75)&gt;=SchemeStart,IF($X20=0,$AD20,IF(AND($Z20&lt;&gt;"",EDATE($D20,Milestones!$AA$75)&gt;=$Z20),$AC20,IF(AND($Y20&lt;&gt;"",EDATE($D20,Milestones!$AA$75)&gt;=$Y20),$AB20,$AA20)))=Milestones!$AB$75),UPPER(TEXT(EDATE($D20,Milestones!$AA$75),"dd mmm yy"))&amp;" "&amp;Milestones!$AB$75&amp;" "&amp;IF(AND(Milestones!$AB$75="FT",Milestones!$AA$75=FT_Y5,EDATE($D20,Milestones!$AA$75)&lt;PolicyEff),1,Milestones!$AC$75)&amp;";  ","")&amp;IF(AND(EDATE($D20,Milestones!$AA$76)&lt;=AsOfDate,EDATE($D20,Milestones!$AA$76)&gt;=SchemeStart,IF($X20=0,$AD20,IF(AND($Z20&lt;&gt;"",EDATE($D20,Milestones!$AA$76)&gt;=$Z20),$AC20,IF(AND($Y20&lt;&gt;"",EDATE($D20,Milestones!$AA$76)&gt;=$Y20),$AB20,$AA20)))=Milestones!$AB$76),UPPER(TEXT(EDATE($D20,Milestones!$AA$76),"dd mmm yy"))&amp;" "&amp;Milestones!$AB$76&amp;" "&amp;IF(AND(Milestones!$AB$76="FT",Milestones!$AA$76=FT_Y5,EDATE($D20,Milestones!$AA$76)&lt;PolicyEff),1,Milestones!$AC$76)&amp;";  ","")&amp;IF(AND(EDATE($D20,Milestones!$AA$77)&lt;=AsOfDate,EDATE($D20,Milestones!$AA$77)&gt;=SchemeStart,IF($X20=0,$AD20,IF(AND($Z20&lt;&gt;"",EDATE($D20,Milestones!$AA$77)&gt;=$Z20),$AC20,IF(AND($Y20&lt;&gt;"",EDATE($D20,Milestones!$AA$77)&gt;=$Y20),$AB20,$AA20)))=Milestones!$AB$77),UPPER(TEXT(EDATE($D20,Milestones!$AA$77),"dd mmm yy"))&amp;" "&amp;Milestones!$AB$77&amp;" "&amp;IF(AND(Milestones!$AB$77="FT",Milestones!$AA$77=FT_Y5,EDATE($D20,Milestones!$AA$77)&lt;PolicyEff),1,Milestones!$AC$77)&amp;";  ","")&amp;IF(AND(EDATE($D20,Milestones!$AA$78)&lt;=AsOfDate,EDATE($D20,Milestones!$AA$78)&gt;=SchemeStart,IF($X20=0,$AD20,IF(AND($Z20&lt;&gt;"",EDATE($D20,Milestones!$AA$78)&gt;=$Z20),$AC20,IF(AND($Y20&lt;&gt;"",EDATE($D20,Milestones!$AA$78)&gt;=$Y20),$AB20,$AA20)))=Milestones!$AB$78),UPPER(TEXT(EDATE($D20,Milestones!$AA$78),"dd mmm yy"))&amp;" "&amp;Milestones!$AB$78&amp;" "&amp;IF(AND(Milestones!$AB$78="FT",Milestones!$AA$78=FT_Y5,EDATE($D20,Milestones!$AA$78)&lt;PolicyEff),1,Milestones!$AC$78)&amp;";  ","")&amp;IF(AND(EDATE($D20,Milestones!$AA$79)&lt;=AsOfDate,EDATE($D20,Milestones!$AA$79)&gt;=SchemeStart,IF($X20=0,$AD20,IF(AND($Z20&lt;&gt;"",EDATE($D20,Milestones!$AA$79)&gt;=$Z20),$AC20,IF(AND($Y20&lt;&gt;"",EDATE($D20,Milestones!$AA$79)&gt;=$Y20),$AB20,$AA20)))=Milestones!$AB$79),UPPER(TEXT(EDATE($D20,Milestones!$AA$79),"dd mmm yy"))&amp;" "&amp;Milestones!$AB$79&amp;" "&amp;IF(AND(Milestones!$AB$79="FT",Milestones!$AA$79=FT_Y5,EDATE($D20,Milestones!$AA$79)&lt;PolicyEff),1,Milestones!$AC$79)&amp;";  ",""))</f>
        <v/>
      </c>
      <c r="N20" s="0" t="str">
        <f aca="false">IF(OR($A20="",$D20=""),"",IF(AND(EDATE($D20,Milestones!$AA$80)&lt;=AsOfDate,EDATE($D20,Milestones!$AA$80)&gt;=SchemeStart,IF($X20=0,$AD20,IF(AND($Z20&lt;&gt;"",EDATE($D20,Milestones!$AA$80)&gt;=$Z20),$AC20,IF(AND($Y20&lt;&gt;"",EDATE($D20,Milestones!$AA$80)&gt;=$Y20),$AB20,$AA20)))=Milestones!$AB$80),UPPER(TEXT(EDATE($D20,Milestones!$AA$80),"dd mmm yy"))&amp;" "&amp;Milestones!$AB$80&amp;" "&amp;IF(AND(Milestones!$AB$80="FT",Milestones!$AA$80=FT_Y5,EDATE($D20,Milestones!$AA$80)&lt;PolicyEff),1,Milestones!$AC$80)&amp;";  ","")&amp;IF(AND(EDATE($D20,Milestones!$AA$81)&lt;=AsOfDate,EDATE($D20,Milestones!$AA$81)&gt;=SchemeStart,IF($X20=0,$AD20,IF(AND($Z20&lt;&gt;"",EDATE($D20,Milestones!$AA$81)&gt;=$Z20),$AC20,IF(AND($Y20&lt;&gt;"",EDATE($D20,Milestones!$AA$81)&gt;=$Y20),$AB20,$AA20)))=Milestones!$AB$81),UPPER(TEXT(EDATE($D20,Milestones!$AA$81),"dd mmm yy"))&amp;" "&amp;Milestones!$AB$81&amp;" "&amp;IF(AND(Milestones!$AB$81="FT",Milestones!$AA$81=FT_Y5,EDATE($D20,Milestones!$AA$81)&lt;PolicyEff),1,Milestones!$AC$81)&amp;";  ","")&amp;IF(AND(EDATE($D20,Milestones!$AA$82)&lt;=AsOfDate,EDATE($D20,Milestones!$AA$82)&gt;=SchemeStart,IF($X20=0,$AD20,IF(AND($Z20&lt;&gt;"",EDATE($D20,Milestones!$AA$82)&gt;=$Z20),$AC20,IF(AND($Y20&lt;&gt;"",EDATE($D20,Milestones!$AA$82)&gt;=$Y20),$AB20,$AA20)))=Milestones!$AB$82),UPPER(TEXT(EDATE($D20,Milestones!$AA$82),"dd mmm yy"))&amp;" "&amp;Milestones!$AB$82&amp;" "&amp;IF(AND(Milestones!$AB$82="FT",Milestones!$AA$82=FT_Y5,EDATE($D20,Milestones!$AA$82)&lt;PolicyEff),1,Milestones!$AC$82)&amp;";  ","")&amp;IF(AND(EDATE($D20,Milestones!$AA$83)&lt;=AsOfDate,EDATE($D20,Milestones!$AA$83)&gt;=SchemeStart,IF($X20=0,$AD20,IF(AND($Z20&lt;&gt;"",EDATE($D20,Milestones!$AA$83)&gt;=$Z20),$AC20,IF(AND($Y20&lt;&gt;"",EDATE($D20,Milestones!$AA$83)&gt;=$Y20),$AB20,$AA20)))=Milestones!$AB$83),UPPER(TEXT(EDATE($D20,Milestones!$AA$83),"dd mmm yy"))&amp;" "&amp;Milestones!$AB$83&amp;" "&amp;IF(AND(Milestones!$AB$83="FT",Milestones!$AA$83=FT_Y5,EDATE($D20,Milestones!$AA$83)&lt;PolicyEff),1,Milestones!$AC$83)&amp;";  ","")&amp;IF(AND(EDATE($D20,Milestones!$AA$84)&lt;=AsOfDate,EDATE($D20,Milestones!$AA$84)&gt;=SchemeStart,IF($X20=0,$AD20,IF(AND($Z20&lt;&gt;"",EDATE($D20,Milestones!$AA$84)&gt;=$Z20),$AC20,IF(AND($Y20&lt;&gt;"",EDATE($D20,Milestones!$AA$84)&gt;=$Y20),$AB20,$AA20)))=Milestones!$AB$84),UPPER(TEXT(EDATE($D20,Milestones!$AA$84),"dd mmm yy"))&amp;" "&amp;Milestones!$AB$84&amp;" "&amp;IF(AND(Milestones!$AB$84="FT",Milestones!$AA$84=FT_Y5,EDATE($D20,Milestones!$AA$84)&lt;PolicyEff),1,Milestones!$AC$84)&amp;";  ","")&amp;IF(AND(EDATE($D20,Milestones!$AA$85)&lt;=AsOfDate,EDATE($D20,Milestones!$AA$85)&gt;=SchemeStart,IF($X20=0,$AD20,IF(AND($Z20&lt;&gt;"",EDATE($D20,Milestones!$AA$85)&gt;=$Z20),$AC20,IF(AND($Y20&lt;&gt;"",EDATE($D20,Milestones!$AA$85)&gt;=$Y20),$AB20,$AA20)))=Milestones!$AB$85),UPPER(TEXT(EDATE($D20,Milestones!$AA$85),"dd mmm yy"))&amp;" "&amp;Milestones!$AB$85&amp;" "&amp;IF(AND(Milestones!$AB$85="FT",Milestones!$AA$85=FT_Y5,EDATE($D20,Milestones!$AA$85)&lt;PolicyEff),1,Milestones!$AC$85)&amp;";  ","")&amp;IF(AND(EDATE($D20,Milestones!$AA$86)&lt;=AsOfDate,EDATE($D20,Milestones!$AA$86)&gt;=SchemeStart,IF($X20=0,$AD20,IF(AND($Z20&lt;&gt;"",EDATE($D20,Milestones!$AA$86)&gt;=$Z20),$AC20,IF(AND($Y20&lt;&gt;"",EDATE($D20,Milestones!$AA$86)&gt;=$Y20),$AB20,$AA20)))=Milestones!$AB$86),UPPER(TEXT(EDATE($D20,Milestones!$AA$86),"dd mmm yy"))&amp;" "&amp;Milestones!$AB$86&amp;" "&amp;IF(AND(Milestones!$AB$86="FT",Milestones!$AA$86=FT_Y5,EDATE($D20,Milestones!$AA$86)&lt;PolicyEff),1,Milestones!$AC$86)&amp;";  ","")&amp;IF(AND(EDATE($D20,Milestones!$AA$87)&lt;=AsOfDate,EDATE($D20,Milestones!$AA$87)&gt;=SchemeStart,IF($X20=0,$AD20,IF(AND($Z20&lt;&gt;"",EDATE($D20,Milestones!$AA$87)&gt;=$Z20),$AC20,IF(AND($Y20&lt;&gt;"",EDATE($D20,Milestones!$AA$87)&gt;=$Y20),$AB20,$AA20)))=Milestones!$AB$87),UPPER(TEXT(EDATE($D20,Milestones!$AA$87),"dd mmm yy"))&amp;" "&amp;Milestones!$AB$87&amp;" "&amp;IF(AND(Milestones!$AB$87="FT",Milestones!$AA$87=FT_Y5,EDATE($D20,Milestones!$AA$87)&lt;PolicyEff),1,Milestones!$AC$87)&amp;";  ","")&amp;IF(AND(EDATE($D20,Milestones!$AA$88)&lt;=AsOfDate,EDATE($D20,Milestones!$AA$88)&gt;=SchemeStart,IF($X20=0,$AD20,IF(AND($Z20&lt;&gt;"",EDATE($D20,Milestones!$AA$88)&gt;=$Z20),$AC20,IF(AND($Y20&lt;&gt;"",EDATE($D20,Milestones!$AA$88)&gt;=$Y20),$AB20,$AA20)))=Milestones!$AB$88),UPPER(TEXT(EDATE($D20,Milestones!$AA$88),"dd mmm yy"))&amp;" "&amp;Milestones!$AB$88&amp;" "&amp;IF(AND(Milestones!$AB$88="FT",Milestones!$AA$88=FT_Y5,EDATE($D20,Milestones!$AA$88)&lt;PolicyEff),1,Milestones!$AC$88)&amp;";  ","")&amp;IF(AND(EDATE($D20,Milestones!$AA$89)&lt;=AsOfDate,EDATE($D20,Milestones!$AA$89)&gt;=SchemeStart,IF($X20=0,$AD20,IF(AND($Z20&lt;&gt;"",EDATE($D20,Milestones!$AA$89)&gt;=$Z20),$AC20,IF(AND($Y20&lt;&gt;"",EDATE($D20,Milestones!$AA$89)&gt;=$Y20),$AB20,$AA20)))=Milestones!$AB$89),UPPER(TEXT(EDATE($D20,Milestones!$AA$89),"dd mmm yy"))&amp;" "&amp;Milestones!$AB$89&amp;" "&amp;IF(AND(Milestones!$AB$89="FT",Milestones!$AA$89=FT_Y5,EDATE($D20,Milestones!$AA$89)&lt;PolicyEff),1,Milestones!$AC$89)&amp;";  ","")&amp;IF(AND(EDATE($D20,Milestones!$AA$90)&lt;=AsOfDate,EDATE($D20,Milestones!$AA$90)&gt;=SchemeStart,IF($X20=0,$AD20,IF(AND($Z20&lt;&gt;"",EDATE($D20,Milestones!$AA$90)&gt;=$Z20),$AC20,IF(AND($Y20&lt;&gt;"",EDATE($D20,Milestones!$AA$90)&gt;=$Y20),$AB20,$AA20)))=Milestones!$AB$90),UPPER(TEXT(EDATE($D20,Milestones!$AA$90),"dd mmm yy"))&amp;" "&amp;Milestones!$AB$90&amp;" "&amp;IF(AND(Milestones!$AB$90="FT",Milestones!$AA$90=FT_Y5,EDATE($D20,Milestones!$AA$90)&lt;PolicyEff),1,Milestones!$AC$90)&amp;";  ","")&amp;IF(AND(EDATE($D20,Milestones!$AA$91)&lt;=AsOfDate,EDATE($D20,Milestones!$AA$91)&gt;=SchemeStart,IF($X20=0,$AD20,IF(AND($Z20&lt;&gt;"",EDATE($D20,Milestones!$AA$91)&gt;=$Z20),$AC20,IF(AND($Y20&lt;&gt;"",EDATE($D20,Milestones!$AA$91)&gt;=$Y20),$AB20,$AA20)))=Milestones!$AB$91),UPPER(TEXT(EDATE($D20,Milestones!$AA$91),"dd mmm yy"))&amp;" "&amp;Milestones!$AB$91&amp;" "&amp;IF(AND(Milestones!$AB$91="FT",Milestones!$AA$91=FT_Y5,EDATE($D20,Milestones!$AA$91)&lt;PolicyEff),1,Milestones!$AC$91)&amp;";  ",""))</f>
        <v/>
      </c>
      <c r="O20" s="0" t="str">
        <f aca="false">IF(OR($A20="",$D20=""),"",IF(AND(EDATE($D20,Milestones!$AA$92)&lt;=AsOfDate,EDATE($D20,Milestones!$AA$92)&gt;=SchemeStart,IF($X20=0,$AD20,IF(AND($Z20&lt;&gt;"",EDATE($D20,Milestones!$AA$92)&gt;=$Z20),$AC20,IF(AND($Y20&lt;&gt;"",EDATE($D20,Milestones!$AA$92)&gt;=$Y20),$AB20,$AA20)))=Milestones!$AB$92),UPPER(TEXT(EDATE($D20,Milestones!$AA$92),"dd mmm yy"))&amp;" "&amp;Milestones!$AB$92&amp;" "&amp;IF(AND(Milestones!$AB$92="FT",Milestones!$AA$92=FT_Y5,EDATE($D20,Milestones!$AA$92)&lt;PolicyEff),1,Milestones!$AC$92)&amp;";  ","")&amp;IF(AND(EDATE($D20,Milestones!$AA$93)&lt;=AsOfDate,EDATE($D20,Milestones!$AA$93)&gt;=SchemeStart,IF($X20=0,$AD20,IF(AND($Z20&lt;&gt;"",EDATE($D20,Milestones!$AA$93)&gt;=$Z20),$AC20,IF(AND($Y20&lt;&gt;"",EDATE($D20,Milestones!$AA$93)&gt;=$Y20),$AB20,$AA20)))=Milestones!$AB$93),UPPER(TEXT(EDATE($D20,Milestones!$AA$93),"dd mmm yy"))&amp;" "&amp;Milestones!$AB$93&amp;" "&amp;IF(AND(Milestones!$AB$93="FT",Milestones!$AA$93=FT_Y5,EDATE($D20,Milestones!$AA$93)&lt;PolicyEff),1,Milestones!$AC$93)&amp;";  ","")&amp;IF(AND(EDATE($D20,Milestones!$AA$94)&lt;=AsOfDate,EDATE($D20,Milestones!$AA$94)&gt;=SchemeStart,IF($X20=0,$AD20,IF(AND($Z20&lt;&gt;"",EDATE($D20,Milestones!$AA$94)&gt;=$Z20),$AC20,IF(AND($Y20&lt;&gt;"",EDATE($D20,Milestones!$AA$94)&gt;=$Y20),$AB20,$AA20)))=Milestones!$AB$94),UPPER(TEXT(EDATE($D20,Milestones!$AA$94),"dd mmm yy"))&amp;" "&amp;Milestones!$AB$94&amp;" "&amp;IF(AND(Milestones!$AB$94="FT",Milestones!$AA$94=FT_Y5,EDATE($D20,Milestones!$AA$94)&lt;PolicyEff),1,Milestones!$AC$94)&amp;";  ","")&amp;IF(AND(EDATE($D20,Milestones!$AA$95)&lt;=AsOfDate,EDATE($D20,Milestones!$AA$95)&gt;=SchemeStart,IF($X20=0,$AD20,IF(AND($Z20&lt;&gt;"",EDATE($D20,Milestones!$AA$95)&gt;=$Z20),$AC20,IF(AND($Y20&lt;&gt;"",EDATE($D20,Milestones!$AA$95)&gt;=$Y20),$AB20,$AA20)))=Milestones!$AB$95),UPPER(TEXT(EDATE($D20,Milestones!$AA$95),"dd mmm yy"))&amp;" "&amp;Milestones!$AB$95&amp;" "&amp;IF(AND(Milestones!$AB$95="FT",Milestones!$AA$95=FT_Y5,EDATE($D20,Milestones!$AA$95)&lt;PolicyEff),1,Milestones!$AC$95)&amp;";  ","")&amp;IF(AND(EDATE($D20,Milestones!$AA$96)&lt;=AsOfDate,EDATE($D20,Milestones!$AA$96)&gt;=SchemeStart,IF($X20=0,$AD20,IF(AND($Z20&lt;&gt;"",EDATE($D20,Milestones!$AA$96)&gt;=$Z20),$AC20,IF(AND($Y20&lt;&gt;"",EDATE($D20,Milestones!$AA$96)&gt;=$Y20),$AB20,$AA20)))=Milestones!$AB$96),UPPER(TEXT(EDATE($D20,Milestones!$AA$96),"dd mmm yy"))&amp;" "&amp;Milestones!$AB$96&amp;" "&amp;IF(AND(Milestones!$AB$96="FT",Milestones!$AA$96=FT_Y5,EDATE($D20,Milestones!$AA$96)&lt;PolicyEff),1,Milestones!$AC$96)&amp;";  ","")&amp;IF(AND(EDATE($D20,Milestones!$AA$97)&lt;=AsOfDate,EDATE($D20,Milestones!$AA$97)&gt;=SchemeStart,IF($X20=0,$AD20,IF(AND($Z20&lt;&gt;"",EDATE($D20,Milestones!$AA$97)&gt;=$Z20),$AC20,IF(AND($Y20&lt;&gt;"",EDATE($D20,Milestones!$AA$97)&gt;=$Y20),$AB20,$AA20)))=Milestones!$AB$97),UPPER(TEXT(EDATE($D20,Milestones!$AA$97),"dd mmm yy"))&amp;" "&amp;Milestones!$AB$97&amp;" "&amp;IF(AND(Milestones!$AB$97="FT",Milestones!$AA$97=FT_Y5,EDATE($D20,Milestones!$AA$97)&lt;PolicyEff),1,Milestones!$AC$97)&amp;";  ","")&amp;IF(AND(EDATE($D20,Milestones!$AA$98)&lt;=AsOfDate,EDATE($D20,Milestones!$AA$98)&gt;=SchemeStart,IF($X20=0,$AD20,IF(AND($Z20&lt;&gt;"",EDATE($D20,Milestones!$AA$98)&gt;=$Z20),$AC20,IF(AND($Y20&lt;&gt;"",EDATE($D20,Milestones!$AA$98)&gt;=$Y20),$AB20,$AA20)))=Milestones!$AB$98),UPPER(TEXT(EDATE($D20,Milestones!$AA$98),"dd mmm yy"))&amp;" "&amp;Milestones!$AB$98&amp;" "&amp;IF(AND(Milestones!$AB$98="FT",Milestones!$AA$98=FT_Y5,EDATE($D20,Milestones!$AA$98)&lt;PolicyEff),1,Milestones!$AC$98)&amp;";  ","")&amp;IF(AND(EDATE($D20,Milestones!$AA$99)&lt;=AsOfDate,EDATE($D20,Milestones!$AA$99)&gt;=SchemeStart,IF($X20=0,$AD20,IF(AND($Z20&lt;&gt;"",EDATE($D20,Milestones!$AA$99)&gt;=$Z20),$AC20,IF(AND($Y20&lt;&gt;"",EDATE($D20,Milestones!$AA$99)&gt;=$Y20),$AB20,$AA20)))=Milestones!$AB$99),UPPER(TEXT(EDATE($D20,Milestones!$AA$99),"dd mmm yy"))&amp;" "&amp;Milestones!$AB$99&amp;" "&amp;IF(AND(Milestones!$AB$99="FT",Milestones!$AA$99=FT_Y5,EDATE($D20,Milestones!$AA$99)&lt;PolicyEff),1,Milestones!$AC$99)&amp;";  ","")&amp;IF(AND(EDATE($D20,Milestones!$AA$100)&lt;=AsOfDate,EDATE($D20,Milestones!$AA$100)&gt;=SchemeStart,IF($X20=0,$AD20,IF(AND($Z20&lt;&gt;"",EDATE($D20,Milestones!$AA$100)&gt;=$Z20),$AC20,IF(AND($Y20&lt;&gt;"",EDATE($D20,Milestones!$AA$100)&gt;=$Y20),$AB20,$AA20)))=Milestones!$AB$100),UPPER(TEXT(EDATE($D20,Milestones!$AA$100),"dd mmm yy"))&amp;" "&amp;Milestones!$AB$100&amp;" "&amp;IF(AND(Milestones!$AB$100="FT",Milestones!$AA$100=FT_Y5,EDATE($D20,Milestones!$AA$100)&lt;PolicyEff),1,Milestones!$AC$100)&amp;";  ","")&amp;IF(AND(EDATE($D20,Milestones!$AA$101)&lt;=AsOfDate,EDATE($D20,Milestones!$AA$101)&gt;=SchemeStart,IF($X20=0,$AD20,IF(AND($Z20&lt;&gt;"",EDATE($D20,Milestones!$AA$101)&gt;=$Z20),$AC20,IF(AND($Y20&lt;&gt;"",EDATE($D20,Milestones!$AA$101)&gt;=$Y20),$AB20,$AA20)))=Milestones!$AB$101),UPPER(TEXT(EDATE($D20,Milestones!$AA$101),"dd mmm yy"))&amp;" "&amp;Milestones!$AB$101&amp;" "&amp;IF(AND(Milestones!$AB$101="FT",Milestones!$AA$101=FT_Y5,EDATE($D20,Milestones!$AA$101)&lt;PolicyEff),1,Milestones!$AC$101)&amp;";  ","")&amp;IF(AND(EDATE($D20,Milestones!$AA$102)&lt;=AsOfDate,EDATE($D20,Milestones!$AA$102)&gt;=SchemeStart,IF($X20=0,$AD20,IF(AND($Z20&lt;&gt;"",EDATE($D20,Milestones!$AA$102)&gt;=$Z20),$AC20,IF(AND($Y20&lt;&gt;"",EDATE($D20,Milestones!$AA$102)&gt;=$Y20),$AB20,$AA20)))=Milestones!$AB$102),UPPER(TEXT(EDATE($D20,Milestones!$AA$102),"dd mmm yy"))&amp;" "&amp;Milestones!$AB$102&amp;" "&amp;IF(AND(Milestones!$AB$102="FT",Milestones!$AA$102=FT_Y5,EDATE($D20,Milestones!$AA$102)&lt;PolicyEff),1,Milestones!$AC$102)&amp;";  ","")&amp;IF(AND(EDATE($D20,Milestones!$AA$103)&lt;=AsOfDate,EDATE($D20,Milestones!$AA$103)&gt;=SchemeStart,IF($X20=0,$AD20,IF(AND($Z20&lt;&gt;"",EDATE($D20,Milestones!$AA$103)&gt;=$Z20),$AC20,IF(AND($Y20&lt;&gt;"",EDATE($D20,Milestones!$AA$103)&gt;=$Y20),$AB20,$AA20)))=Milestones!$AB$103),UPPER(TEXT(EDATE($D20,Milestones!$AA$103),"dd mmm yy"))&amp;" "&amp;Milestones!$AB$103&amp;" "&amp;IF(AND(Milestones!$AB$103="FT",Milestones!$AA$103=FT_Y5,EDATE($D20,Milestones!$AA$103)&lt;PolicyEff),1,Milestones!$AC$103)&amp;";  ",""))</f>
        <v/>
      </c>
      <c r="P20" s="0" t="str">
        <f aca="false">IF(OR($A20="",$D20=""),"",IF(AND(EDATE($D20,Milestones!$AA$104)&lt;=AsOfDate,EDATE($D20,Milestones!$AA$104)&gt;=SchemeStart,IF($X20=0,$AD20,IF(AND($Z20&lt;&gt;"",EDATE($D20,Milestones!$AA$104)&gt;=$Z20),$AC20,IF(AND($Y20&lt;&gt;"",EDATE($D20,Milestones!$AA$104)&gt;=$Y20),$AB20,$AA20)))=Milestones!$AB$104),UPPER(TEXT(EDATE($D20,Milestones!$AA$104),"dd mmm yy"))&amp;" "&amp;Milestones!$AB$104&amp;" "&amp;IF(AND(Milestones!$AB$104="FT",Milestones!$AA$104=FT_Y5,EDATE($D20,Milestones!$AA$104)&lt;PolicyEff),1,Milestones!$AC$104)&amp;";  ","")&amp;IF(AND(EDATE($D20,Milestones!$AA$105)&lt;=AsOfDate,EDATE($D20,Milestones!$AA$105)&gt;=SchemeStart,IF($X20=0,$AD20,IF(AND($Z20&lt;&gt;"",EDATE($D20,Milestones!$AA$105)&gt;=$Z20),$AC20,IF(AND($Y20&lt;&gt;"",EDATE($D20,Milestones!$AA$105)&gt;=$Y20),$AB20,$AA20)))=Milestones!$AB$105),UPPER(TEXT(EDATE($D20,Milestones!$AA$105),"dd mmm yy"))&amp;" "&amp;Milestones!$AB$105&amp;" "&amp;IF(AND(Milestones!$AB$105="FT",Milestones!$AA$105=FT_Y5,EDATE($D20,Milestones!$AA$105)&lt;PolicyEff),1,Milestones!$AC$105)&amp;";  ","")&amp;IF(AND(EDATE($D20,Milestones!$AA$106)&lt;=AsOfDate,EDATE($D20,Milestones!$AA$106)&gt;=SchemeStart,IF($X20=0,$AD20,IF(AND($Z20&lt;&gt;"",EDATE($D20,Milestones!$AA$106)&gt;=$Z20),$AC20,IF(AND($Y20&lt;&gt;"",EDATE($D20,Milestones!$AA$106)&gt;=$Y20),$AB20,$AA20)))=Milestones!$AB$106),UPPER(TEXT(EDATE($D20,Milestones!$AA$106),"dd mmm yy"))&amp;" "&amp;Milestones!$AB$106&amp;" "&amp;IF(AND(Milestones!$AB$106="FT",Milestones!$AA$106=FT_Y5,EDATE($D20,Milestones!$AA$106)&lt;PolicyEff),1,Milestones!$AC$106)&amp;";  ","")&amp;IF(AND(EDATE($D20,Milestones!$AA$107)&lt;=AsOfDate,EDATE($D20,Milestones!$AA$107)&gt;=SchemeStart,IF($X20=0,$AD20,IF(AND($Z20&lt;&gt;"",EDATE($D20,Milestones!$AA$107)&gt;=$Z20),$AC20,IF(AND($Y20&lt;&gt;"",EDATE($D20,Milestones!$AA$107)&gt;=$Y20),$AB20,$AA20)))=Milestones!$AB$107),UPPER(TEXT(EDATE($D20,Milestones!$AA$107),"dd mmm yy"))&amp;" "&amp;Milestones!$AB$107&amp;" "&amp;IF(AND(Milestones!$AB$107="FT",Milestones!$AA$107=FT_Y5,EDATE($D20,Milestones!$AA$107)&lt;PolicyEff),1,Milestones!$AC$107)&amp;";  ","")&amp;IF(AND(EDATE($D20,Milestones!$AA$108)&lt;=AsOfDate,EDATE($D20,Milestones!$AA$108)&gt;=SchemeStart,IF($X20=0,$AD20,IF(AND($Z20&lt;&gt;"",EDATE($D20,Milestones!$AA$108)&gt;=$Z20),$AC20,IF(AND($Y20&lt;&gt;"",EDATE($D20,Milestones!$AA$108)&gt;=$Y20),$AB20,$AA20)))=Milestones!$AB$108),UPPER(TEXT(EDATE($D20,Milestones!$AA$108),"dd mmm yy"))&amp;" "&amp;Milestones!$AB$108&amp;" "&amp;IF(AND(Milestones!$AB$108="FT",Milestones!$AA$108=FT_Y5,EDATE($D20,Milestones!$AA$108)&lt;PolicyEff),1,Milestones!$AC$108)&amp;";  ","")&amp;IF(AND(EDATE($D20,Milestones!$AA$109)&lt;=AsOfDate,EDATE($D20,Milestones!$AA$109)&gt;=SchemeStart,IF($X20=0,$AD20,IF(AND($Z20&lt;&gt;"",EDATE($D20,Milestones!$AA$109)&gt;=$Z20),$AC20,IF(AND($Y20&lt;&gt;"",EDATE($D20,Milestones!$AA$109)&gt;=$Y20),$AB20,$AA20)))=Milestones!$AB$109),UPPER(TEXT(EDATE($D20,Milestones!$AA$109),"dd mmm yy"))&amp;" "&amp;Milestones!$AB$109&amp;" "&amp;IF(AND(Milestones!$AB$109="FT",Milestones!$AA$109=FT_Y5,EDATE($D20,Milestones!$AA$109)&lt;PolicyEff),1,Milestones!$AC$109)&amp;";  ","")&amp;IF(AND(EDATE($D20,Milestones!$AA$110)&lt;=AsOfDate,EDATE($D20,Milestones!$AA$110)&gt;=SchemeStart,IF($X20=0,$AD20,IF(AND($Z20&lt;&gt;"",EDATE($D20,Milestones!$AA$110)&gt;=$Z20),$AC20,IF(AND($Y20&lt;&gt;"",EDATE($D20,Milestones!$AA$110)&gt;=$Y20),$AB20,$AA20)))=Milestones!$AB$110),UPPER(TEXT(EDATE($D20,Milestones!$AA$110),"dd mmm yy"))&amp;" "&amp;Milestones!$AB$110&amp;" "&amp;IF(AND(Milestones!$AB$110="FT",Milestones!$AA$110=FT_Y5,EDATE($D20,Milestones!$AA$110)&lt;PolicyEff),1,Milestones!$AC$110)&amp;";  ","")&amp;IF(AND(EDATE($D20,Milestones!$AA$111)&lt;=AsOfDate,EDATE($D20,Milestones!$AA$111)&gt;=SchemeStart,IF($X20=0,$AD20,IF(AND($Z20&lt;&gt;"",EDATE($D20,Milestones!$AA$111)&gt;=$Z20),$AC20,IF(AND($Y20&lt;&gt;"",EDATE($D20,Milestones!$AA$111)&gt;=$Y20),$AB20,$AA20)))=Milestones!$AB$111),UPPER(TEXT(EDATE($D20,Milestones!$AA$111),"dd mmm yy"))&amp;" "&amp;Milestones!$AB$111&amp;" "&amp;IF(AND(Milestones!$AB$111="FT",Milestones!$AA$111=FT_Y5,EDATE($D20,Milestones!$AA$111)&lt;PolicyEff),1,Milestones!$AC$111)&amp;";  ","")&amp;IF(AND(EDATE($D20,Milestones!$AA$112)&lt;=AsOfDate,EDATE($D20,Milestones!$AA$112)&gt;=SchemeStart,IF($X20=0,$AD20,IF(AND($Z20&lt;&gt;"",EDATE($D20,Milestones!$AA$112)&gt;=$Z20),$AC20,IF(AND($Y20&lt;&gt;"",EDATE($D20,Milestones!$AA$112)&gt;=$Y20),$AB20,$AA20)))=Milestones!$AB$112),UPPER(TEXT(EDATE($D20,Milestones!$AA$112),"dd mmm yy"))&amp;" "&amp;Milestones!$AB$112&amp;" "&amp;IF(AND(Milestones!$AB$112="FT",Milestones!$AA$112=FT_Y5,EDATE($D20,Milestones!$AA$112)&lt;PolicyEff),1,Milestones!$AC$112)&amp;";  ","")&amp;IF(AND(EDATE($D20,Milestones!$AA$113)&lt;=AsOfDate,EDATE($D20,Milestones!$AA$113)&gt;=SchemeStart,IF($X20=0,$AD20,IF(AND($Z20&lt;&gt;"",EDATE($D20,Milestones!$AA$113)&gt;=$Z20),$AC20,IF(AND($Y20&lt;&gt;"",EDATE($D20,Milestones!$AA$113)&gt;=$Y20),$AB20,$AA20)))=Milestones!$AB$113),UPPER(TEXT(EDATE($D20,Milestones!$AA$113),"dd mmm yy"))&amp;" "&amp;Milestones!$AB$113&amp;" "&amp;IF(AND(Milestones!$AB$113="FT",Milestones!$AA$113=FT_Y5,EDATE($D20,Milestones!$AA$113)&lt;PolicyEff),1,Milestones!$AC$113)&amp;";  ","")&amp;IF(AND(EDATE($D20,Milestones!$AA$114)&lt;=AsOfDate,EDATE($D20,Milestones!$AA$114)&gt;=SchemeStart,IF($X20=0,$AD20,IF(AND($Z20&lt;&gt;"",EDATE($D20,Milestones!$AA$114)&gt;=$Z20),$AC20,IF(AND($Y20&lt;&gt;"",EDATE($D20,Milestones!$AA$114)&gt;=$Y20),$AB20,$AA20)))=Milestones!$AB$114),UPPER(TEXT(EDATE($D20,Milestones!$AA$114),"dd mmm yy"))&amp;" "&amp;Milestones!$AB$114&amp;" "&amp;IF(AND(Milestones!$AB$114="FT",Milestones!$AA$114=FT_Y5,EDATE($D20,Milestones!$AA$114)&lt;PolicyEff),1,Milestones!$AC$114)&amp;";  ","")&amp;IF(AND(EDATE($D20,Milestones!$AA$115)&lt;=AsOfDate,EDATE($D20,Milestones!$AA$115)&gt;=SchemeStart,IF($X20=0,$AD20,IF(AND($Z20&lt;&gt;"",EDATE($D20,Milestones!$AA$115)&gt;=$Z20),$AC20,IF(AND($Y20&lt;&gt;"",EDATE($D20,Milestones!$AA$115)&gt;=$Y20),$AB20,$AA20)))=Milestones!$AB$115),UPPER(TEXT(EDATE($D20,Milestones!$AA$115),"dd mmm yy"))&amp;" "&amp;Milestones!$AB$115&amp;" "&amp;IF(AND(Milestones!$AB$115="FT",Milestones!$AA$115=FT_Y5,EDATE($D20,Milestones!$AA$115)&lt;PolicyEff),1,Milestones!$AC$115)&amp;";  ",""))</f>
        <v/>
      </c>
      <c r="Q20" s="0" t="str">
        <f aca="false">IF(OR($A20="",$D20=""),"",IF(AND(EDATE($D20,Milestones!$AA$116)&lt;=AsOfDate,EDATE($D20,Milestones!$AA$116)&gt;=SchemeStart,IF($X20=0,$AD20,IF(AND($Z20&lt;&gt;"",EDATE($D20,Milestones!$AA$116)&gt;=$Z20),$AC20,IF(AND($Y20&lt;&gt;"",EDATE($D20,Milestones!$AA$116)&gt;=$Y20),$AB20,$AA20)))=Milestones!$AB$116),UPPER(TEXT(EDATE($D20,Milestones!$AA$116),"dd mmm yy"))&amp;" "&amp;Milestones!$AB$116&amp;" "&amp;IF(AND(Milestones!$AB$116="FT",Milestones!$AA$116=FT_Y5,EDATE($D20,Milestones!$AA$116)&lt;PolicyEff),1,Milestones!$AC$116)&amp;";  ","")&amp;IF(AND(EDATE($D20,Milestones!$AA$117)&lt;=AsOfDate,EDATE($D20,Milestones!$AA$117)&gt;=SchemeStart,IF($X20=0,$AD20,IF(AND($Z20&lt;&gt;"",EDATE($D20,Milestones!$AA$117)&gt;=$Z20),$AC20,IF(AND($Y20&lt;&gt;"",EDATE($D20,Milestones!$AA$117)&gt;=$Y20),$AB20,$AA20)))=Milestones!$AB$117),UPPER(TEXT(EDATE($D20,Milestones!$AA$117),"dd mmm yy"))&amp;" "&amp;Milestones!$AB$117&amp;" "&amp;IF(AND(Milestones!$AB$117="FT",Milestones!$AA$117=FT_Y5,EDATE($D20,Milestones!$AA$117)&lt;PolicyEff),1,Milestones!$AC$117)&amp;";  ","")&amp;IF(AND(EDATE($D20,Milestones!$AA$118)&lt;=AsOfDate,EDATE($D20,Milestones!$AA$118)&gt;=SchemeStart,IF($X20=0,$AD20,IF(AND($Z20&lt;&gt;"",EDATE($D20,Milestones!$AA$118)&gt;=$Z20),$AC20,IF(AND($Y20&lt;&gt;"",EDATE($D20,Milestones!$AA$118)&gt;=$Y20),$AB20,$AA20)))=Milestones!$AB$118),UPPER(TEXT(EDATE($D20,Milestones!$AA$118),"dd mmm yy"))&amp;" "&amp;Milestones!$AB$118&amp;" "&amp;IF(AND(Milestones!$AB$118="FT",Milestones!$AA$118=FT_Y5,EDATE($D20,Milestones!$AA$118)&lt;PolicyEff),1,Milestones!$AC$118)&amp;";  ","")&amp;IF(AND(EDATE($D20,Milestones!$AA$119)&lt;=AsOfDate,EDATE($D20,Milestones!$AA$119)&gt;=SchemeStart,IF($X20=0,$AD20,IF(AND($Z20&lt;&gt;"",EDATE($D20,Milestones!$AA$119)&gt;=$Z20),$AC20,IF(AND($Y20&lt;&gt;"",EDATE($D20,Milestones!$AA$119)&gt;=$Y20),$AB20,$AA20)))=Milestones!$AB$119),UPPER(TEXT(EDATE($D20,Milestones!$AA$119),"dd mmm yy"))&amp;" "&amp;Milestones!$AB$119&amp;" "&amp;IF(AND(Milestones!$AB$119="FT",Milestones!$AA$119=FT_Y5,EDATE($D20,Milestones!$AA$119)&lt;PolicyEff),1,Milestones!$AC$119)&amp;";  ","")&amp;IF(AND(EDATE($D20,Milestones!$AA$120)&lt;=AsOfDate,EDATE($D20,Milestones!$AA$120)&gt;=SchemeStart,IF($X20=0,$AD20,IF(AND($Z20&lt;&gt;"",EDATE($D20,Milestones!$AA$120)&gt;=$Z20),$AC20,IF(AND($Y20&lt;&gt;"",EDATE($D20,Milestones!$AA$120)&gt;=$Y20),$AB20,$AA20)))=Milestones!$AB$120),UPPER(TEXT(EDATE($D20,Milestones!$AA$120),"dd mmm yy"))&amp;" "&amp;Milestones!$AB$120&amp;" "&amp;IF(AND(Milestones!$AB$120="FT",Milestones!$AA$120=FT_Y5,EDATE($D20,Milestones!$AA$120)&lt;PolicyEff),1,Milestones!$AC$120)&amp;";  ","")&amp;IF(AND(EDATE($D20,Milestones!$AA$121)&lt;=AsOfDate,EDATE($D20,Milestones!$AA$121)&gt;=SchemeStart,IF($X20=0,$AD20,IF(AND($Z20&lt;&gt;"",EDATE($D20,Milestones!$AA$121)&gt;=$Z20),$AC20,IF(AND($Y20&lt;&gt;"",EDATE($D20,Milestones!$AA$121)&gt;=$Y20),$AB20,$AA20)))=Milestones!$AB$121),UPPER(TEXT(EDATE($D20,Milestones!$AA$121),"dd mmm yy"))&amp;" "&amp;Milestones!$AB$121&amp;" "&amp;IF(AND(Milestones!$AB$121="FT",Milestones!$AA$121=FT_Y5,EDATE($D20,Milestones!$AA$121)&lt;PolicyEff),1,Milestones!$AC$121)&amp;";  ","")&amp;IF(AND(EDATE($D20,Milestones!$AA$122)&lt;=AsOfDate,EDATE($D20,Milestones!$AA$122)&gt;=SchemeStart,IF($X20=0,$AD20,IF(AND($Z20&lt;&gt;"",EDATE($D20,Milestones!$AA$122)&gt;=$Z20),$AC20,IF(AND($Y20&lt;&gt;"",EDATE($D20,Milestones!$AA$122)&gt;=$Y20),$AB20,$AA20)))=Milestones!$AB$122),UPPER(TEXT(EDATE($D20,Milestones!$AA$122),"dd mmm yy"))&amp;" "&amp;Milestones!$AB$122&amp;" "&amp;IF(AND(Milestones!$AB$122="FT",Milestones!$AA$122=FT_Y5,EDATE($D20,Milestones!$AA$122)&lt;PolicyEff),1,Milestones!$AC$122)&amp;";  ","")&amp;IF(AND(EDATE($D20,Milestones!$AA$123)&lt;=AsOfDate,EDATE($D20,Milestones!$AA$123)&gt;=SchemeStart,IF($X20=0,$AD20,IF(AND($Z20&lt;&gt;"",EDATE($D20,Milestones!$AA$123)&gt;=$Z20),$AC20,IF(AND($Y20&lt;&gt;"",EDATE($D20,Milestones!$AA$123)&gt;=$Y20),$AB20,$AA20)))=Milestones!$AB$123),UPPER(TEXT(EDATE($D20,Milestones!$AA$123),"dd mmm yy"))&amp;" "&amp;Milestones!$AB$123&amp;" "&amp;IF(AND(Milestones!$AB$123="FT",Milestones!$AA$123=FT_Y5,EDATE($D20,Milestones!$AA$123)&lt;PolicyEff),1,Milestones!$AC$123)&amp;";  ","")&amp;IF(AND(EDATE($D20,Milestones!$AA$124)&lt;=AsOfDate,EDATE($D20,Milestones!$AA$124)&gt;=SchemeStart,IF($X20=0,$AD20,IF(AND($Z20&lt;&gt;"",EDATE($D20,Milestones!$AA$124)&gt;=$Z20),$AC20,IF(AND($Y20&lt;&gt;"",EDATE($D20,Milestones!$AA$124)&gt;=$Y20),$AB20,$AA20)))=Milestones!$AB$124),UPPER(TEXT(EDATE($D20,Milestones!$AA$124),"dd mmm yy"))&amp;" "&amp;Milestones!$AB$124&amp;" "&amp;IF(AND(Milestones!$AB$124="FT",Milestones!$AA$124=FT_Y5,EDATE($D20,Milestones!$AA$124)&lt;PolicyEff),1,Milestones!$AC$124)&amp;";  ","")&amp;IF(AND(EDATE($D20,Milestones!$AA$125)&lt;=AsOfDate,EDATE($D20,Milestones!$AA$125)&gt;=SchemeStart,IF($X20=0,$AD20,IF(AND($Z20&lt;&gt;"",EDATE($D20,Milestones!$AA$125)&gt;=$Z20),$AC20,IF(AND($Y20&lt;&gt;"",EDATE($D20,Milestones!$AA$125)&gt;=$Y20),$AB20,$AA20)))=Milestones!$AB$125),UPPER(TEXT(EDATE($D20,Milestones!$AA$125),"dd mmm yy"))&amp;" "&amp;Milestones!$AB$125&amp;" "&amp;IF(AND(Milestones!$AB$125="FT",Milestones!$AA$125=FT_Y5,EDATE($D20,Milestones!$AA$125)&lt;PolicyEff),1,Milestones!$AC$125)&amp;";  ","")&amp;IF(AND(EDATE($D20,Milestones!$AA$126)&lt;=AsOfDate,EDATE($D20,Milestones!$AA$126)&gt;=SchemeStart,IF($X20=0,$AD20,IF(AND($Z20&lt;&gt;"",EDATE($D20,Milestones!$AA$126)&gt;=$Z20),$AC20,IF(AND($Y20&lt;&gt;"",EDATE($D20,Milestones!$AA$126)&gt;=$Y20),$AB20,$AA20)))=Milestones!$AB$126),UPPER(TEXT(EDATE($D20,Milestones!$AA$126),"dd mmm yy"))&amp;" "&amp;Milestones!$AB$126&amp;" "&amp;IF(AND(Milestones!$AB$126="FT",Milestones!$AA$126=FT_Y5,EDATE($D20,Milestones!$AA$126)&lt;PolicyEff),1,Milestones!$AC$126)&amp;";  ","")&amp;IF(AND(EDATE($D20,Milestones!$AA$127)&lt;=AsOfDate,EDATE($D20,Milestones!$AA$127)&gt;=SchemeStart,IF($X20=0,$AD20,IF(AND($Z20&lt;&gt;"",EDATE($D20,Milestones!$AA$127)&gt;=$Z20),$AC20,IF(AND($Y20&lt;&gt;"",EDATE($D20,Milestones!$AA$127)&gt;=$Y20),$AB20,$AA20)))=Milestones!$AB$127),UPPER(TEXT(EDATE($D20,Milestones!$AA$127),"dd mmm yy"))&amp;" "&amp;Milestones!$AB$127&amp;" "&amp;IF(AND(Milestones!$AB$127="FT",Milestones!$AA$127=FT_Y5,EDATE($D20,Milestones!$AA$127)&lt;PolicyEff),1,Milestones!$AC$127)&amp;";  ",""))</f>
        <v/>
      </c>
      <c r="R20" s="0" t="str">
        <f aca="false">IF(OR($A20="",$D20=""),"",IF(AND(EDATE($D20,Milestones!$AA$128)&lt;=AsOfDate,EDATE($D20,Milestones!$AA$128)&gt;=SchemeStart,IF($X20=0,$AD20,IF(AND($Z20&lt;&gt;"",EDATE($D20,Milestones!$AA$128)&gt;=$Z20),$AC20,IF(AND($Y20&lt;&gt;"",EDATE($D20,Milestones!$AA$128)&gt;=$Y20),$AB20,$AA20)))=Milestones!$AB$128),UPPER(TEXT(EDATE($D20,Milestones!$AA$128),"dd mmm yy"))&amp;" "&amp;Milestones!$AB$128&amp;" "&amp;IF(AND(Milestones!$AB$128="FT",Milestones!$AA$128=FT_Y5,EDATE($D20,Milestones!$AA$128)&lt;PolicyEff),1,Milestones!$AC$128)&amp;";  ","")&amp;IF(AND(EDATE($D20,Milestones!$AA$129)&lt;=AsOfDate,EDATE($D20,Milestones!$AA$129)&gt;=SchemeStart,IF($X20=0,$AD20,IF(AND($Z20&lt;&gt;"",EDATE($D20,Milestones!$AA$129)&gt;=$Z20),$AC20,IF(AND($Y20&lt;&gt;"",EDATE($D20,Milestones!$AA$129)&gt;=$Y20),$AB20,$AA20)))=Milestones!$AB$129),UPPER(TEXT(EDATE($D20,Milestones!$AA$129),"dd mmm yy"))&amp;" "&amp;Milestones!$AB$129&amp;" "&amp;IF(AND(Milestones!$AB$129="FT",Milestones!$AA$129=FT_Y5,EDATE($D20,Milestones!$AA$129)&lt;PolicyEff),1,Milestones!$AC$129)&amp;";  ","")&amp;IF(AND(EDATE($D20,Milestones!$AA$130)&lt;=AsOfDate,EDATE($D20,Milestones!$AA$130)&gt;=SchemeStart,IF($X20=0,$AD20,IF(AND($Z20&lt;&gt;"",EDATE($D20,Milestones!$AA$130)&gt;=$Z20),$AC20,IF(AND($Y20&lt;&gt;"",EDATE($D20,Milestones!$AA$130)&gt;=$Y20),$AB20,$AA20)))=Milestones!$AB$130),UPPER(TEXT(EDATE($D20,Milestones!$AA$130),"dd mmm yy"))&amp;" "&amp;Milestones!$AB$130&amp;" "&amp;IF(AND(Milestones!$AB$130="FT",Milestones!$AA$130=FT_Y5,EDATE($D20,Milestones!$AA$130)&lt;PolicyEff),1,Milestones!$AC$130)&amp;";  ","")&amp;IF(AND(EDATE($D20,Milestones!$AA$131)&lt;=AsOfDate,EDATE($D20,Milestones!$AA$131)&gt;=SchemeStart,IF($X20=0,$AD20,IF(AND($Z20&lt;&gt;"",EDATE($D20,Milestones!$AA$131)&gt;=$Z20),$AC20,IF(AND($Y20&lt;&gt;"",EDATE($D20,Milestones!$AA$131)&gt;=$Y20),$AB20,$AA20)))=Milestones!$AB$131),UPPER(TEXT(EDATE($D20,Milestones!$AA$131),"dd mmm yy"))&amp;" "&amp;Milestones!$AB$131&amp;" "&amp;IF(AND(Milestones!$AB$131="FT",Milestones!$AA$131=FT_Y5,EDATE($D20,Milestones!$AA$131)&lt;PolicyEff),1,Milestones!$AC$131)&amp;";  ","")&amp;IF(AND(EDATE($D20,Milestones!$AA$132)&lt;=AsOfDate,EDATE($D20,Milestones!$AA$132)&gt;=SchemeStart,IF($X20=0,$AD20,IF(AND($Z20&lt;&gt;"",EDATE($D20,Milestones!$AA$132)&gt;=$Z20),$AC20,IF(AND($Y20&lt;&gt;"",EDATE($D20,Milestones!$AA$132)&gt;=$Y20),$AB20,$AA20)))=Milestones!$AB$132),UPPER(TEXT(EDATE($D20,Milestones!$AA$132),"dd mmm yy"))&amp;" "&amp;Milestones!$AB$132&amp;" "&amp;IF(AND(Milestones!$AB$132="FT",Milestones!$AA$132=FT_Y5,EDATE($D20,Milestones!$AA$132)&lt;PolicyEff),1,Milestones!$AC$132)&amp;";  ","")&amp;IF(AND(EDATE($D20,Milestones!$AA$133)&lt;=AsOfDate,EDATE($D20,Milestones!$AA$133)&gt;=SchemeStart,IF($X20=0,$AD20,IF(AND($Z20&lt;&gt;"",EDATE($D20,Milestones!$AA$133)&gt;=$Z20),$AC20,IF(AND($Y20&lt;&gt;"",EDATE($D20,Milestones!$AA$133)&gt;=$Y20),$AB20,$AA20)))=Milestones!$AB$133),UPPER(TEXT(EDATE($D20,Milestones!$AA$133),"dd mmm yy"))&amp;" "&amp;Milestones!$AB$133&amp;" "&amp;IF(AND(Milestones!$AB$133="FT",Milestones!$AA$133=FT_Y5,EDATE($D20,Milestones!$AA$133)&lt;PolicyEff),1,Milestones!$AC$133)&amp;";  ","")&amp;IF(AND(EDATE($D20,Milestones!$AA$134)&lt;=AsOfDate,EDATE($D20,Milestones!$AA$134)&gt;=SchemeStart,IF($X20=0,$AD20,IF(AND($Z20&lt;&gt;"",EDATE($D20,Milestones!$AA$134)&gt;=$Z20),$AC20,IF(AND($Y20&lt;&gt;"",EDATE($D20,Milestones!$AA$134)&gt;=$Y20),$AB20,$AA20)))=Milestones!$AB$134),UPPER(TEXT(EDATE($D20,Milestones!$AA$134),"dd mmm yy"))&amp;" "&amp;Milestones!$AB$134&amp;" "&amp;IF(AND(Milestones!$AB$134="FT",Milestones!$AA$134=FT_Y5,EDATE($D20,Milestones!$AA$134)&lt;PolicyEff),1,Milestones!$AC$134)&amp;";  ","")&amp;IF(AND(EDATE($D20,Milestones!$AA$135)&lt;=AsOfDate,EDATE($D20,Milestones!$AA$135)&gt;=SchemeStart,IF($X20=0,$AD20,IF(AND($Z20&lt;&gt;"",EDATE($D20,Milestones!$AA$135)&gt;=$Z20),$AC20,IF(AND($Y20&lt;&gt;"",EDATE($D20,Milestones!$AA$135)&gt;=$Y20),$AB20,$AA20)))=Milestones!$AB$135),UPPER(TEXT(EDATE($D20,Milestones!$AA$135),"dd mmm yy"))&amp;" "&amp;Milestones!$AB$135&amp;" "&amp;IF(AND(Milestones!$AB$135="FT",Milestones!$AA$135=FT_Y5,EDATE($D20,Milestones!$AA$135)&lt;PolicyEff),1,Milestones!$AC$135)&amp;";  ","")&amp;IF(AND(EDATE($D20,Milestones!$AA$136)&lt;=AsOfDate,EDATE($D20,Milestones!$AA$136)&gt;=SchemeStart,IF($X20=0,$AD20,IF(AND($Z20&lt;&gt;"",EDATE($D20,Milestones!$AA$136)&gt;=$Z20),$AC20,IF(AND($Y20&lt;&gt;"",EDATE($D20,Milestones!$AA$136)&gt;=$Y20),$AB20,$AA20)))=Milestones!$AB$136),UPPER(TEXT(EDATE($D20,Milestones!$AA$136),"dd mmm yy"))&amp;" "&amp;Milestones!$AB$136&amp;" "&amp;IF(AND(Milestones!$AB$136="FT",Milestones!$AA$136=FT_Y5,EDATE($D20,Milestones!$AA$136)&lt;PolicyEff),1,Milestones!$AC$136)&amp;";  ","")&amp;IF(AND(EDATE($D20,Milestones!$AA$137)&lt;=AsOfDate,EDATE($D20,Milestones!$AA$137)&gt;=SchemeStart,IF($X20=0,$AD20,IF(AND($Z20&lt;&gt;"",EDATE($D20,Milestones!$AA$137)&gt;=$Z20),$AC20,IF(AND($Y20&lt;&gt;"",EDATE($D20,Milestones!$AA$137)&gt;=$Y20),$AB20,$AA20)))=Milestones!$AB$137),UPPER(TEXT(EDATE($D20,Milestones!$AA$137),"dd mmm yy"))&amp;" "&amp;Milestones!$AB$137&amp;" "&amp;IF(AND(Milestones!$AB$137="FT",Milestones!$AA$137=FT_Y5,EDATE($D20,Milestones!$AA$137)&lt;PolicyEff),1,Milestones!$AC$137)&amp;";  ","")&amp;IF(AND(EDATE($D20,Milestones!$AA$138)&lt;=AsOfDate,EDATE($D20,Milestones!$AA$138)&gt;=SchemeStart,IF($X20=0,$AD20,IF(AND($Z20&lt;&gt;"",EDATE($D20,Milestones!$AA$138)&gt;=$Z20),$AC20,IF(AND($Y20&lt;&gt;"",EDATE($D20,Milestones!$AA$138)&gt;=$Y20),$AB20,$AA20)))=Milestones!$AB$138),UPPER(TEXT(EDATE($D20,Milestones!$AA$138),"dd mmm yy"))&amp;" "&amp;Milestones!$AB$138&amp;" "&amp;IF(AND(Milestones!$AB$138="FT",Milestones!$AA$138=FT_Y5,EDATE($D20,Milestones!$AA$138)&lt;PolicyEff),1,Milestones!$AC$138)&amp;";  ","")&amp;IF(AND(EDATE($D20,Milestones!$AA$139)&lt;=AsOfDate,EDATE($D20,Milestones!$AA$139)&gt;=SchemeStart,IF($X20=0,$AD20,IF(AND($Z20&lt;&gt;"",EDATE($D20,Milestones!$AA$139)&gt;=$Z20),$AC20,IF(AND($Y20&lt;&gt;"",EDATE($D20,Milestones!$AA$139)&gt;=$Y20),$AB20,$AA20)))=Milestones!$AB$139),UPPER(TEXT(EDATE($D20,Milestones!$AA$139),"dd mmm yy"))&amp;" "&amp;Milestones!$AB$139&amp;" "&amp;IF(AND(Milestones!$AB$139="FT",Milestones!$AA$139=FT_Y5,EDATE($D20,Milestones!$AA$139)&lt;PolicyEff),1,Milestones!$AC$139)&amp;";  ",""))</f>
        <v/>
      </c>
      <c r="S20" s="0" t="str">
        <f aca="false">IF(OR($A20="",$D20=""),"",IF(AND(EDATE($D20,Milestones!$AA$140)&lt;=AsOfDate,EDATE($D20,Milestones!$AA$140)&gt;=SchemeStart,IF($X20=0,$AD20,IF(AND($Z20&lt;&gt;"",EDATE($D20,Milestones!$AA$140)&gt;=$Z20),$AC20,IF(AND($Y20&lt;&gt;"",EDATE($D20,Milestones!$AA$140)&gt;=$Y20),$AB20,$AA20)))=Milestones!$AB$140),UPPER(TEXT(EDATE($D20,Milestones!$AA$140),"dd mmm yy"))&amp;" "&amp;Milestones!$AB$140&amp;" "&amp;IF(AND(Milestones!$AB$140="FT",Milestones!$AA$140=FT_Y5,EDATE($D20,Milestones!$AA$140)&lt;PolicyEff),1,Milestones!$AC$140)&amp;";  ","")&amp;IF(AND(EDATE($D20,Milestones!$AA$141)&lt;=AsOfDate,EDATE($D20,Milestones!$AA$141)&gt;=SchemeStart,IF($X20=0,$AD20,IF(AND($Z20&lt;&gt;"",EDATE($D20,Milestones!$AA$141)&gt;=$Z20),$AC20,IF(AND($Y20&lt;&gt;"",EDATE($D20,Milestones!$AA$141)&gt;=$Y20),$AB20,$AA20)))=Milestones!$AB$141),UPPER(TEXT(EDATE($D20,Milestones!$AA$141),"dd mmm yy"))&amp;" "&amp;Milestones!$AB$141&amp;" "&amp;IF(AND(Milestones!$AB$141="FT",Milestones!$AA$141=FT_Y5,EDATE($D20,Milestones!$AA$141)&lt;PolicyEff),1,Milestones!$AC$141)&amp;";  ","")&amp;IF(AND(EDATE($D20,Milestones!$AA$142)&lt;=AsOfDate,EDATE($D20,Milestones!$AA$142)&gt;=SchemeStart,IF($X20=0,$AD20,IF(AND($Z20&lt;&gt;"",EDATE($D20,Milestones!$AA$142)&gt;=$Z20),$AC20,IF(AND($Y20&lt;&gt;"",EDATE($D20,Milestones!$AA$142)&gt;=$Y20),$AB20,$AA20)))=Milestones!$AB$142),UPPER(TEXT(EDATE($D20,Milestones!$AA$142),"dd mmm yy"))&amp;" "&amp;Milestones!$AB$142&amp;" "&amp;IF(AND(Milestones!$AB$142="FT",Milestones!$AA$142=FT_Y5,EDATE($D20,Milestones!$AA$142)&lt;PolicyEff),1,Milestones!$AC$142)&amp;";  ","")&amp;IF(AND(EDATE($D20,Milestones!$AA$143)&lt;=AsOfDate,EDATE($D20,Milestones!$AA$143)&gt;=SchemeStart,IF($X20=0,$AD20,IF(AND($Z20&lt;&gt;"",EDATE($D20,Milestones!$AA$143)&gt;=$Z20),$AC20,IF(AND($Y20&lt;&gt;"",EDATE($D20,Milestones!$AA$143)&gt;=$Y20),$AB20,$AA20)))=Milestones!$AB$143),UPPER(TEXT(EDATE($D20,Milestones!$AA$143),"dd mmm yy"))&amp;" "&amp;Milestones!$AB$143&amp;" "&amp;IF(AND(Milestones!$AB$143="FT",Milestones!$AA$143=FT_Y5,EDATE($D20,Milestones!$AA$143)&lt;PolicyEff),1,Milestones!$AC$143)&amp;";  ","")&amp;IF(AND(EDATE($D20,Milestones!$AA$144)&lt;=AsOfDate,EDATE($D20,Milestones!$AA$144)&gt;=SchemeStart,IF($X20=0,$AD20,IF(AND($Z20&lt;&gt;"",EDATE($D20,Milestones!$AA$144)&gt;=$Z20),$AC20,IF(AND($Y20&lt;&gt;"",EDATE($D20,Milestones!$AA$144)&gt;=$Y20),$AB20,$AA20)))=Milestones!$AB$144),UPPER(TEXT(EDATE($D20,Milestones!$AA$144),"dd mmm yy"))&amp;" "&amp;Milestones!$AB$144&amp;" "&amp;IF(AND(Milestones!$AB$144="FT",Milestones!$AA$144=FT_Y5,EDATE($D20,Milestones!$AA$144)&lt;PolicyEff),1,Milestones!$AC$144)&amp;";  ","")&amp;IF(AND(EDATE($D20,Milestones!$AA$145)&lt;=AsOfDate,EDATE($D20,Milestones!$AA$145)&gt;=SchemeStart,IF($X20=0,$AD20,IF(AND($Z20&lt;&gt;"",EDATE($D20,Milestones!$AA$145)&gt;=$Z20),$AC20,IF(AND($Y20&lt;&gt;"",EDATE($D20,Milestones!$AA$145)&gt;=$Y20),$AB20,$AA20)))=Milestones!$AB$145),UPPER(TEXT(EDATE($D20,Milestones!$AA$145),"dd mmm yy"))&amp;" "&amp;Milestones!$AB$145&amp;" "&amp;IF(AND(Milestones!$AB$145="FT",Milestones!$AA$145=FT_Y5,EDATE($D20,Milestones!$AA$145)&lt;PolicyEff),1,Milestones!$AC$145)&amp;";  ","")&amp;IF(AND(EDATE($D20,Milestones!$AA$146)&lt;=AsOfDate,EDATE($D20,Milestones!$AA$146)&gt;=SchemeStart,IF($X20=0,$AD20,IF(AND($Z20&lt;&gt;"",EDATE($D20,Milestones!$AA$146)&gt;=$Z20),$AC20,IF(AND($Y20&lt;&gt;"",EDATE($D20,Milestones!$AA$146)&gt;=$Y20),$AB20,$AA20)))=Milestones!$AB$146),UPPER(TEXT(EDATE($D20,Milestones!$AA$146),"dd mmm yy"))&amp;" "&amp;Milestones!$AB$146&amp;" "&amp;IF(AND(Milestones!$AB$146="FT",Milestones!$AA$146=FT_Y5,EDATE($D20,Milestones!$AA$146)&lt;PolicyEff),1,Milestones!$AC$146)&amp;";  ","")&amp;IF(AND(EDATE($D20,Milestones!$AA$147)&lt;=AsOfDate,EDATE($D20,Milestones!$AA$147)&gt;=SchemeStart,IF($X20=0,$AD20,IF(AND($Z20&lt;&gt;"",EDATE($D20,Milestones!$AA$147)&gt;=$Z20),$AC20,IF(AND($Y20&lt;&gt;"",EDATE($D20,Milestones!$AA$147)&gt;=$Y20),$AB20,$AA20)))=Milestones!$AB$147),UPPER(TEXT(EDATE($D20,Milestones!$AA$147),"dd mmm yy"))&amp;" "&amp;Milestones!$AB$147&amp;" "&amp;IF(AND(Milestones!$AB$147="FT",Milestones!$AA$147=FT_Y5,EDATE($D20,Milestones!$AA$147)&lt;PolicyEff),1,Milestones!$AC$147)&amp;";  ","")&amp;IF(AND(EDATE($D20,Milestones!$AA$148)&lt;=AsOfDate,EDATE($D20,Milestones!$AA$148)&gt;=SchemeStart,IF($X20=0,$AD20,IF(AND($Z20&lt;&gt;"",EDATE($D20,Milestones!$AA$148)&gt;=$Z20),$AC20,IF(AND($Y20&lt;&gt;"",EDATE($D20,Milestones!$AA$148)&gt;=$Y20),$AB20,$AA20)))=Milestones!$AB$148),UPPER(TEXT(EDATE($D20,Milestones!$AA$148),"dd mmm yy"))&amp;" "&amp;Milestones!$AB$148&amp;" "&amp;IF(AND(Milestones!$AB$148="FT",Milestones!$AA$148=FT_Y5,EDATE($D20,Milestones!$AA$148)&lt;PolicyEff),1,Milestones!$AC$148)&amp;";  ","")&amp;IF(AND(EDATE($D20,Milestones!$AA$149)&lt;=AsOfDate,EDATE($D20,Milestones!$AA$149)&gt;=SchemeStart,IF($X20=0,$AD20,IF(AND($Z20&lt;&gt;"",EDATE($D20,Milestones!$AA$149)&gt;=$Z20),$AC20,IF(AND($Y20&lt;&gt;"",EDATE($D20,Milestones!$AA$149)&gt;=$Y20),$AB20,$AA20)))=Milestones!$AB$149),UPPER(TEXT(EDATE($D20,Milestones!$AA$149),"dd mmm yy"))&amp;" "&amp;Milestones!$AB$149&amp;" "&amp;IF(AND(Milestones!$AB$149="FT",Milestones!$AA$149=FT_Y5,EDATE($D20,Milestones!$AA$149)&lt;PolicyEff),1,Milestones!$AC$149)&amp;";  ","")&amp;IF(AND(EDATE($D20,Milestones!$AA$150)&lt;=AsOfDate,EDATE($D20,Milestones!$AA$150)&gt;=SchemeStart,IF($X20=0,$AD20,IF(AND($Z20&lt;&gt;"",EDATE($D20,Milestones!$AA$150)&gt;=$Z20),$AC20,IF(AND($Y20&lt;&gt;"",EDATE($D20,Milestones!$AA$150)&gt;=$Y20),$AB20,$AA20)))=Milestones!$AB$150),UPPER(TEXT(EDATE($D20,Milestones!$AA$150),"dd mmm yy"))&amp;" "&amp;Milestones!$AB$150&amp;" "&amp;IF(AND(Milestones!$AB$150="FT",Milestones!$AA$150=FT_Y5,EDATE($D20,Milestones!$AA$150)&lt;PolicyEff),1,Milestones!$AC$150)&amp;";  ","")&amp;IF(AND(EDATE($D20,Milestones!$AA$151)&lt;=AsOfDate,EDATE($D20,Milestones!$AA$151)&gt;=SchemeStart,IF($X20=0,$AD20,IF(AND($Z20&lt;&gt;"",EDATE($D20,Milestones!$AA$151)&gt;=$Z20),$AC20,IF(AND($Y20&lt;&gt;"",EDATE($D20,Milestones!$AA$151)&gt;=$Y20),$AB20,$AA20)))=Milestones!$AB$151),UPPER(TEXT(EDATE($D20,Milestones!$AA$151),"dd mmm yy"))&amp;" "&amp;Milestones!$AB$151&amp;" "&amp;IF(AND(Milestones!$AB$151="FT",Milestones!$AA$151=FT_Y5,EDATE($D20,Milestones!$AA$151)&lt;PolicyEff),1,Milestones!$AC$151)&amp;";  ",""))</f>
        <v/>
      </c>
      <c r="T20" s="0" t="str">
        <f aca="false">IF(OR($A20="",$D20=""),"",IF(AND(EDATE($D20,Milestones!$AA$152)&lt;=AsOfDate,EDATE($D20,Milestones!$AA$152)&gt;=SchemeStart,IF($X20=0,$AD20,IF(AND($Z20&lt;&gt;"",EDATE($D20,Milestones!$AA$152)&gt;=$Z20),$AC20,IF(AND($Y20&lt;&gt;"",EDATE($D20,Milestones!$AA$152)&gt;=$Y20),$AB20,$AA20)))=Milestones!$AB$152),UPPER(TEXT(EDATE($D20,Milestones!$AA$152),"dd mmm yy"))&amp;" "&amp;Milestones!$AB$152&amp;" "&amp;IF(AND(Milestones!$AB$152="FT",Milestones!$AA$152=FT_Y5,EDATE($D20,Milestones!$AA$152)&lt;PolicyEff),1,Milestones!$AC$152)&amp;";  ","")&amp;IF(AND(EDATE($D20,Milestones!$AA$153)&lt;=AsOfDate,EDATE($D20,Milestones!$AA$153)&gt;=SchemeStart,IF($X20=0,$AD20,IF(AND($Z20&lt;&gt;"",EDATE($D20,Milestones!$AA$153)&gt;=$Z20),$AC20,IF(AND($Y20&lt;&gt;"",EDATE($D20,Milestones!$AA$153)&gt;=$Y20),$AB20,$AA20)))=Milestones!$AB$153),UPPER(TEXT(EDATE($D20,Milestones!$AA$153),"dd mmm yy"))&amp;" "&amp;Milestones!$AB$153&amp;" "&amp;IF(AND(Milestones!$AB$153="FT",Milestones!$AA$153=FT_Y5,EDATE($D20,Milestones!$AA$153)&lt;PolicyEff),1,Milestones!$AC$153)&amp;";  ","")&amp;IF(AND(EDATE($D20,Milestones!$AA$154)&lt;=AsOfDate,EDATE($D20,Milestones!$AA$154)&gt;=SchemeStart,IF($X20=0,$AD20,IF(AND($Z20&lt;&gt;"",EDATE($D20,Milestones!$AA$154)&gt;=$Z20),$AC20,IF(AND($Y20&lt;&gt;"",EDATE($D20,Milestones!$AA$154)&gt;=$Y20),$AB20,$AA20)))=Milestones!$AB$154),UPPER(TEXT(EDATE($D20,Milestones!$AA$154),"dd mmm yy"))&amp;" "&amp;Milestones!$AB$154&amp;" "&amp;IF(AND(Milestones!$AB$154="FT",Milestones!$AA$154=FT_Y5,EDATE($D20,Milestones!$AA$154)&lt;PolicyEff),1,Milestones!$AC$154)&amp;";  ","")&amp;IF(AND(EDATE($D20,Milestones!$AA$155)&lt;=AsOfDate,EDATE($D20,Milestones!$AA$155)&gt;=SchemeStart,IF($X20=0,$AD20,IF(AND($Z20&lt;&gt;"",EDATE($D20,Milestones!$AA$155)&gt;=$Z20),$AC20,IF(AND($Y20&lt;&gt;"",EDATE($D20,Milestones!$AA$155)&gt;=$Y20),$AB20,$AA20)))=Milestones!$AB$155),UPPER(TEXT(EDATE($D20,Milestones!$AA$155),"dd mmm yy"))&amp;" "&amp;Milestones!$AB$155&amp;" "&amp;IF(AND(Milestones!$AB$155="FT",Milestones!$AA$155=FT_Y5,EDATE($D20,Milestones!$AA$155)&lt;PolicyEff),1,Milestones!$AC$155)&amp;";  ","")&amp;IF(AND(EDATE($D20,Milestones!$AA$156)&lt;=AsOfDate,EDATE($D20,Milestones!$AA$156)&gt;=SchemeStart,IF($X20=0,$AD20,IF(AND($Z20&lt;&gt;"",EDATE($D20,Milestones!$AA$156)&gt;=$Z20),$AC20,IF(AND($Y20&lt;&gt;"",EDATE($D20,Milestones!$AA$156)&gt;=$Y20),$AB20,$AA20)))=Milestones!$AB$156),UPPER(TEXT(EDATE($D20,Milestones!$AA$156),"dd mmm yy"))&amp;" "&amp;Milestones!$AB$156&amp;" "&amp;IF(AND(Milestones!$AB$156="FT",Milestones!$AA$156=FT_Y5,EDATE($D20,Milestones!$AA$156)&lt;PolicyEff),1,Milestones!$AC$156)&amp;";  ","")&amp;IF(AND(EDATE($D20,Milestones!$AA$157)&lt;=AsOfDate,EDATE($D20,Milestones!$AA$157)&gt;=SchemeStart,IF($X20=0,$AD20,IF(AND($Z20&lt;&gt;"",EDATE($D20,Milestones!$AA$157)&gt;=$Z20),$AC20,IF(AND($Y20&lt;&gt;"",EDATE($D20,Milestones!$AA$157)&gt;=$Y20),$AB20,$AA20)))=Milestones!$AB$157),UPPER(TEXT(EDATE($D20,Milestones!$AA$157),"dd mmm yy"))&amp;" "&amp;Milestones!$AB$157&amp;" "&amp;IF(AND(Milestones!$AB$157="FT",Milestones!$AA$157=FT_Y5,EDATE($D20,Milestones!$AA$157)&lt;PolicyEff),1,Milestones!$AC$157)&amp;";  ","")&amp;IF(AND(EDATE($D20,Milestones!$AA$158)&lt;=AsOfDate,EDATE($D20,Milestones!$AA$158)&gt;=SchemeStart,IF($X20=0,$AD20,IF(AND($Z20&lt;&gt;"",EDATE($D20,Milestones!$AA$158)&gt;=$Z20),$AC20,IF(AND($Y20&lt;&gt;"",EDATE($D20,Milestones!$AA$158)&gt;=$Y20),$AB20,$AA20)))=Milestones!$AB$158),UPPER(TEXT(EDATE($D20,Milestones!$AA$158),"dd mmm yy"))&amp;" "&amp;Milestones!$AB$158&amp;" "&amp;IF(AND(Milestones!$AB$158="FT",Milestones!$AA$158=FT_Y5,EDATE($D20,Milestones!$AA$158)&lt;PolicyEff),1,Milestones!$AC$158)&amp;";  ","")&amp;IF(AND(EDATE($D20,Milestones!$AA$159)&lt;=AsOfDate,EDATE($D20,Milestones!$AA$159)&gt;=SchemeStart,IF($X20=0,$AD20,IF(AND($Z20&lt;&gt;"",EDATE($D20,Milestones!$AA$159)&gt;=$Z20),$AC20,IF(AND($Y20&lt;&gt;"",EDATE($D20,Milestones!$AA$159)&gt;=$Y20),$AB20,$AA20)))=Milestones!$AB$159),UPPER(TEXT(EDATE($D20,Milestones!$AA$159),"dd mmm yy"))&amp;" "&amp;Milestones!$AB$159&amp;" "&amp;IF(AND(Milestones!$AB$159="FT",Milestones!$AA$159=FT_Y5,EDATE($D20,Milestones!$AA$159)&lt;PolicyEff),1,Milestones!$AC$159)&amp;";  ","")&amp;IF(AND(EDATE($D20,Milestones!$AA$160)&lt;=AsOfDate,EDATE($D20,Milestones!$AA$160)&gt;=SchemeStart,IF($X20=0,$AD20,IF(AND($Z20&lt;&gt;"",EDATE($D20,Milestones!$AA$160)&gt;=$Z20),$AC20,IF(AND($Y20&lt;&gt;"",EDATE($D20,Milestones!$AA$160)&gt;=$Y20),$AB20,$AA20)))=Milestones!$AB$160),UPPER(TEXT(EDATE($D20,Milestones!$AA$160),"dd mmm yy"))&amp;" "&amp;Milestones!$AB$160&amp;" "&amp;IF(AND(Milestones!$AB$160="FT",Milestones!$AA$160=FT_Y5,EDATE($D20,Milestones!$AA$160)&lt;PolicyEff),1,Milestones!$AC$160)&amp;";  ","")&amp;IF(AND(EDATE($D20,Milestones!$AA$161)&lt;=AsOfDate,EDATE($D20,Milestones!$AA$161)&gt;=SchemeStart,IF($X20=0,$AD20,IF(AND($Z20&lt;&gt;"",EDATE($D20,Milestones!$AA$161)&gt;=$Z20),$AC20,IF(AND($Y20&lt;&gt;"",EDATE($D20,Milestones!$AA$161)&gt;=$Y20),$AB20,$AA20)))=Milestones!$AB$161),UPPER(TEXT(EDATE($D20,Milestones!$AA$161),"dd mmm yy"))&amp;" "&amp;Milestones!$AB$161&amp;" "&amp;IF(AND(Milestones!$AB$161="FT",Milestones!$AA$161=FT_Y5,EDATE($D20,Milestones!$AA$161)&lt;PolicyEff),1,Milestones!$AC$161)&amp;";  ","")&amp;IF(AND(EDATE($D20,Milestones!$AA$162)&lt;=AsOfDate,EDATE($D20,Milestones!$AA$162)&gt;=SchemeStart,IF($X20=0,$AD20,IF(AND($Z20&lt;&gt;"",EDATE($D20,Milestones!$AA$162)&gt;=$Z20),$AC20,IF(AND($Y20&lt;&gt;"",EDATE($D20,Milestones!$AA$162)&gt;=$Y20),$AB20,$AA20)))=Milestones!$AB$162),UPPER(TEXT(EDATE($D20,Milestones!$AA$162),"dd mmm yy"))&amp;" "&amp;Milestones!$AB$162&amp;" "&amp;IF(AND(Milestones!$AB$162="FT",Milestones!$AA$162=FT_Y5,EDATE($D20,Milestones!$AA$162)&lt;PolicyEff),1,Milestones!$AC$162)&amp;";  ","")&amp;IF(AND(EDATE($D20,Milestones!$AA$163)&lt;=AsOfDate,EDATE($D20,Milestones!$AA$163)&gt;=SchemeStart,IF($X20=0,$AD20,IF(AND($Z20&lt;&gt;"",EDATE($D20,Milestones!$AA$163)&gt;=$Z20),$AC20,IF(AND($Y20&lt;&gt;"",EDATE($D20,Milestones!$AA$163)&gt;=$Y20),$AB20,$AA20)))=Milestones!$AB$163),UPPER(TEXT(EDATE($D20,Milestones!$AA$163),"dd mmm yy"))&amp;" "&amp;Milestones!$AB$163&amp;" "&amp;IF(AND(Milestones!$AB$163="FT",Milestones!$AA$163=FT_Y5,EDATE($D20,Milestones!$AA$163)&lt;PolicyEff),1,Milestones!$AC$163)&amp;";  ",""))</f>
        <v/>
      </c>
      <c r="U20" s="0" t="str">
        <f aca="false">IF(OR($A20="",$D20=""),"",IF(AND(EDATE($D20,Milestones!$AA$164)&lt;=AsOfDate,EDATE($D20,Milestones!$AA$164)&gt;=SchemeStart,IF($X20=0,$AD20,IF(AND($Z20&lt;&gt;"",EDATE($D20,Milestones!$AA$164)&gt;=$Z20),$AC20,IF(AND($Y20&lt;&gt;"",EDATE($D20,Milestones!$AA$164)&gt;=$Y20),$AB20,$AA20)))=Milestones!$AB$164),UPPER(TEXT(EDATE($D20,Milestones!$AA$164),"dd mmm yy"))&amp;" "&amp;Milestones!$AB$164&amp;" "&amp;IF(AND(Milestones!$AB$164="FT",Milestones!$AA$164=FT_Y5,EDATE($D20,Milestones!$AA$164)&lt;PolicyEff),1,Milestones!$AC$164)&amp;";  ","")&amp;IF(AND(EDATE($D20,Milestones!$AA$165)&lt;=AsOfDate,EDATE($D20,Milestones!$AA$165)&gt;=SchemeStart,IF($X20=0,$AD20,IF(AND($Z20&lt;&gt;"",EDATE($D20,Milestones!$AA$165)&gt;=$Z20),$AC20,IF(AND($Y20&lt;&gt;"",EDATE($D20,Milestones!$AA$165)&gt;=$Y20),$AB20,$AA20)))=Milestones!$AB$165),UPPER(TEXT(EDATE($D20,Milestones!$AA$165),"dd mmm yy"))&amp;" "&amp;Milestones!$AB$165&amp;" "&amp;IF(AND(Milestones!$AB$165="FT",Milestones!$AA$165=FT_Y5,EDATE($D20,Milestones!$AA$165)&lt;PolicyEff),1,Milestones!$AC$165)&amp;";  ","")&amp;IF(AND(EDATE($D20,Milestones!$AA$166)&lt;=AsOfDate,EDATE($D20,Milestones!$AA$166)&gt;=SchemeStart,IF($X20=0,$AD20,IF(AND($Z20&lt;&gt;"",EDATE($D20,Milestones!$AA$166)&gt;=$Z20),$AC20,IF(AND($Y20&lt;&gt;"",EDATE($D20,Milestones!$AA$166)&gt;=$Y20),$AB20,$AA20)))=Milestones!$AB$166),UPPER(TEXT(EDATE($D20,Milestones!$AA$166),"dd mmm yy"))&amp;" "&amp;Milestones!$AB$166&amp;" "&amp;IF(AND(Milestones!$AB$166="FT",Milestones!$AA$166=FT_Y5,EDATE($D20,Milestones!$AA$166)&lt;PolicyEff),1,Milestones!$AC$166)&amp;";  ","")&amp;IF(AND(EDATE($D20,Milestones!$AA$167)&lt;=AsOfDate,EDATE($D20,Milestones!$AA$167)&gt;=SchemeStart,IF($X20=0,$AD20,IF(AND($Z20&lt;&gt;"",EDATE($D20,Milestones!$AA$167)&gt;=$Z20),$AC20,IF(AND($Y20&lt;&gt;"",EDATE($D20,Milestones!$AA$167)&gt;=$Y20),$AB20,$AA20)))=Milestones!$AB$167),UPPER(TEXT(EDATE($D20,Milestones!$AA$167),"dd mmm yy"))&amp;" "&amp;Milestones!$AB$167&amp;" "&amp;IF(AND(Milestones!$AB$167="FT",Milestones!$AA$167=FT_Y5,EDATE($D20,Milestones!$AA$167)&lt;PolicyEff),1,Milestones!$AC$167)&amp;";  ","")&amp;IF(AND(EDATE($D20,Milestones!$AA$168)&lt;=AsOfDate,EDATE($D20,Milestones!$AA$168)&gt;=SchemeStart,IF($X20=0,$AD20,IF(AND($Z20&lt;&gt;"",EDATE($D20,Milestones!$AA$168)&gt;=$Z20),$AC20,IF(AND($Y20&lt;&gt;"",EDATE($D20,Milestones!$AA$168)&gt;=$Y20),$AB20,$AA20)))=Milestones!$AB$168),UPPER(TEXT(EDATE($D20,Milestones!$AA$168),"dd mmm yy"))&amp;" "&amp;Milestones!$AB$168&amp;" "&amp;IF(AND(Milestones!$AB$168="FT",Milestones!$AA$168=FT_Y5,EDATE($D20,Milestones!$AA$168)&lt;PolicyEff),1,Milestones!$AC$168)&amp;";  ","")&amp;IF(AND(EDATE($D20,Milestones!$AA$169)&lt;=AsOfDate,EDATE($D20,Milestones!$AA$169)&gt;=SchemeStart,IF($X20=0,$AD20,IF(AND($Z20&lt;&gt;"",EDATE($D20,Milestones!$AA$169)&gt;=$Z20),$AC20,IF(AND($Y20&lt;&gt;"",EDATE($D20,Milestones!$AA$169)&gt;=$Y20),$AB20,$AA20)))=Milestones!$AB$169),UPPER(TEXT(EDATE($D20,Milestones!$AA$169),"dd mmm yy"))&amp;" "&amp;Milestones!$AB$169&amp;" "&amp;IF(AND(Milestones!$AB$169="FT",Milestones!$AA$169=FT_Y5,EDATE($D20,Milestones!$AA$169)&lt;PolicyEff),1,Milestones!$AC$169)&amp;";  ","")&amp;IF(AND(EDATE($D20,Milestones!$AA$170)&lt;=AsOfDate,EDATE($D20,Milestones!$AA$170)&gt;=SchemeStart,IF($X20=0,$AD20,IF(AND($Z20&lt;&gt;"",EDATE($D20,Milestones!$AA$170)&gt;=$Z20),$AC20,IF(AND($Y20&lt;&gt;"",EDATE($D20,Milestones!$AA$170)&gt;=$Y20),$AB20,$AA20)))=Milestones!$AB$170),UPPER(TEXT(EDATE($D20,Milestones!$AA$170),"dd mmm yy"))&amp;" "&amp;Milestones!$AB$170&amp;" "&amp;IF(AND(Milestones!$AB$170="FT",Milestones!$AA$170=FT_Y5,EDATE($D20,Milestones!$AA$170)&lt;PolicyEff),1,Milestones!$AC$170)&amp;";  ","")&amp;IF(AND(EDATE($D20,Milestones!$AA$171)&lt;=AsOfDate,EDATE($D20,Milestones!$AA$171)&gt;=SchemeStart,IF($X20=0,$AD20,IF(AND($Z20&lt;&gt;"",EDATE($D20,Milestones!$AA$171)&gt;=$Z20),$AC20,IF(AND($Y20&lt;&gt;"",EDATE($D20,Milestones!$AA$171)&gt;=$Y20),$AB20,$AA20)))=Milestones!$AB$171),UPPER(TEXT(EDATE($D20,Milestones!$AA$171),"dd mmm yy"))&amp;" "&amp;Milestones!$AB$171&amp;" "&amp;IF(AND(Milestones!$AB$171="FT",Milestones!$AA$171=FT_Y5,EDATE($D20,Milestones!$AA$171)&lt;PolicyEff),1,Milestones!$AC$171)&amp;";  ","")&amp;IF(AND(EDATE($D20,Milestones!$AA$172)&lt;=AsOfDate,EDATE($D20,Milestones!$AA$172)&gt;=SchemeStart,IF($X20=0,$AD20,IF(AND($Z20&lt;&gt;"",EDATE($D20,Milestones!$AA$172)&gt;=$Z20),$AC20,IF(AND($Y20&lt;&gt;"",EDATE($D20,Milestones!$AA$172)&gt;=$Y20),$AB20,$AA20)))=Milestones!$AB$172),UPPER(TEXT(EDATE($D20,Milestones!$AA$172),"dd mmm yy"))&amp;" "&amp;Milestones!$AB$172&amp;" "&amp;IF(AND(Milestones!$AB$172="FT",Milestones!$AA$172=FT_Y5,EDATE($D20,Milestones!$AA$172)&lt;PolicyEff),1,Milestones!$AC$172)&amp;";  ","")&amp;IF(AND(EDATE($D20,Milestones!$AA$173)&lt;=AsOfDate,EDATE($D20,Milestones!$AA$173)&gt;=SchemeStart,IF($X20=0,$AD20,IF(AND($Z20&lt;&gt;"",EDATE($D20,Milestones!$AA$173)&gt;=$Z20),$AC20,IF(AND($Y20&lt;&gt;"",EDATE($D20,Milestones!$AA$173)&gt;=$Y20),$AB20,$AA20)))=Milestones!$AB$173),UPPER(TEXT(EDATE($D20,Milestones!$AA$173),"dd mmm yy"))&amp;" "&amp;Milestones!$AB$173&amp;" "&amp;IF(AND(Milestones!$AB$173="FT",Milestones!$AA$173=FT_Y5,EDATE($D20,Milestones!$AA$173)&lt;PolicyEff),1,Milestones!$AC$173)&amp;";  ","")&amp;IF(AND(EDATE($D20,Milestones!$AA$174)&lt;=AsOfDate,EDATE($D20,Milestones!$AA$174)&gt;=SchemeStart,IF($X20=0,$AD20,IF(AND($Z20&lt;&gt;"",EDATE($D20,Milestones!$AA$174)&gt;=$Z20),$AC20,IF(AND($Y20&lt;&gt;"",EDATE($D20,Milestones!$AA$174)&gt;=$Y20),$AB20,$AA20)))=Milestones!$AB$174),UPPER(TEXT(EDATE($D20,Milestones!$AA$174),"dd mmm yy"))&amp;" "&amp;Milestones!$AB$174&amp;" "&amp;IF(AND(Milestones!$AB$174="FT",Milestones!$AA$174=FT_Y5,EDATE($D20,Milestones!$AA$174)&lt;PolicyEff),1,Milestones!$AC$174)&amp;";  ","")&amp;IF(AND(EDATE($D20,Milestones!$AA$175)&lt;=AsOfDate,EDATE($D20,Milestones!$AA$175)&gt;=SchemeStart,IF($X20=0,$AD20,IF(AND($Z20&lt;&gt;"",EDATE($D20,Milestones!$AA$175)&gt;=$Z20),$AC20,IF(AND($Y20&lt;&gt;"",EDATE($D20,Milestones!$AA$175)&gt;=$Y20),$AB20,$AA20)))=Milestones!$AB$175),UPPER(TEXT(EDATE($D20,Milestones!$AA$175),"dd mmm yy"))&amp;" "&amp;Milestones!$AB$175&amp;" "&amp;IF(AND(Milestones!$AB$175="FT",Milestones!$AA$175=FT_Y5,EDATE($D20,Milestones!$AA$175)&lt;PolicyEff),1,Milestones!$AC$175)&amp;";  ",""))</f>
        <v/>
      </c>
      <c r="V20" s="0" t="str">
        <f aca="false">IF(OR($A20="",$D20=""),"",IF(AND(EDATE($D20,Milestones!$AA$176)&lt;=AsOfDate,EDATE($D20,Milestones!$AA$176)&gt;=SchemeStart,IF($X20=0,$AD20,IF(AND($Z20&lt;&gt;"",EDATE($D20,Milestones!$AA$176)&gt;=$Z20),$AC20,IF(AND($Y20&lt;&gt;"",EDATE($D20,Milestones!$AA$176)&gt;=$Y20),$AB20,$AA20)))=Milestones!$AB$176),UPPER(TEXT(EDATE($D20,Milestones!$AA$176),"dd mmm yy"))&amp;" "&amp;Milestones!$AB$176&amp;" "&amp;IF(AND(Milestones!$AB$176="FT",Milestones!$AA$176=FT_Y5,EDATE($D20,Milestones!$AA$176)&lt;PolicyEff),1,Milestones!$AC$176)&amp;";  ","")&amp;IF(AND(EDATE($D20,Milestones!$AA$177)&lt;=AsOfDate,EDATE($D20,Milestones!$AA$177)&gt;=SchemeStart,IF($X20=0,$AD20,IF(AND($Z20&lt;&gt;"",EDATE($D20,Milestones!$AA$177)&gt;=$Z20),$AC20,IF(AND($Y20&lt;&gt;"",EDATE($D20,Milestones!$AA$177)&gt;=$Y20),$AB20,$AA20)))=Milestones!$AB$177),UPPER(TEXT(EDATE($D20,Milestones!$AA$177),"dd mmm yy"))&amp;" "&amp;Milestones!$AB$177&amp;" "&amp;IF(AND(Milestones!$AB$177="FT",Milestones!$AA$177=FT_Y5,EDATE($D20,Milestones!$AA$177)&lt;PolicyEff),1,Milestones!$AC$177)&amp;";  ","")&amp;IF(AND(EDATE($D20,Milestones!$AA$178)&lt;=AsOfDate,EDATE($D20,Milestones!$AA$178)&gt;=SchemeStart,IF($X20=0,$AD20,IF(AND($Z20&lt;&gt;"",EDATE($D20,Milestones!$AA$178)&gt;=$Z20),$AC20,IF(AND($Y20&lt;&gt;"",EDATE($D20,Milestones!$AA$178)&gt;=$Y20),$AB20,$AA20)))=Milestones!$AB$178),UPPER(TEXT(EDATE($D20,Milestones!$AA$178),"dd mmm yy"))&amp;" "&amp;Milestones!$AB$178&amp;" "&amp;IF(AND(Milestones!$AB$178="FT",Milestones!$AA$178=FT_Y5,EDATE($D20,Milestones!$AA$178)&lt;PolicyEff),1,Milestones!$AC$178)&amp;";  ","")&amp;IF(AND(EDATE($D20,Milestones!$AA$179)&lt;=AsOfDate,EDATE($D20,Milestones!$AA$179)&gt;=SchemeStart,IF($X20=0,$AD20,IF(AND($Z20&lt;&gt;"",EDATE($D20,Milestones!$AA$179)&gt;=$Z20),$AC20,IF(AND($Y20&lt;&gt;"",EDATE($D20,Milestones!$AA$179)&gt;=$Y20),$AB20,$AA20)))=Milestones!$AB$179),UPPER(TEXT(EDATE($D20,Milestones!$AA$179),"dd mmm yy"))&amp;" "&amp;Milestones!$AB$179&amp;" "&amp;IF(AND(Milestones!$AB$179="FT",Milestones!$AA$179=FT_Y5,EDATE($D20,Milestones!$AA$179)&lt;PolicyEff),1,Milestones!$AC$179)&amp;";  ","")&amp;IF(AND(EDATE($D20,Milestones!$AA$180)&lt;=AsOfDate,EDATE($D20,Milestones!$AA$180)&gt;=SchemeStart,IF($X20=0,$AD20,IF(AND($Z20&lt;&gt;"",EDATE($D20,Milestones!$AA$180)&gt;=$Z20),$AC20,IF(AND($Y20&lt;&gt;"",EDATE($D20,Milestones!$AA$180)&gt;=$Y20),$AB20,$AA20)))=Milestones!$AB$180),UPPER(TEXT(EDATE($D20,Milestones!$AA$180),"dd mmm yy"))&amp;" "&amp;Milestones!$AB$180&amp;" "&amp;IF(AND(Milestones!$AB$180="FT",Milestones!$AA$180=FT_Y5,EDATE($D20,Milestones!$AA$180)&lt;PolicyEff),1,Milestones!$AC$180)&amp;";  ","")&amp;IF(AND(EDATE($D20,Milestones!$AA$181)&lt;=AsOfDate,EDATE($D20,Milestones!$AA$181)&gt;=SchemeStart,IF($X20=0,$AD20,IF(AND($Z20&lt;&gt;"",EDATE($D20,Milestones!$AA$181)&gt;=$Z20),$AC20,IF(AND($Y20&lt;&gt;"",EDATE($D20,Milestones!$AA$181)&gt;=$Y20),$AB20,$AA20)))=Milestones!$AB$181),UPPER(TEXT(EDATE($D20,Milestones!$AA$181),"dd mmm yy"))&amp;" "&amp;Milestones!$AB$181&amp;" "&amp;IF(AND(Milestones!$AB$181="FT",Milestones!$AA$181=FT_Y5,EDATE($D20,Milestones!$AA$181)&lt;PolicyEff),1,Milestones!$AC$181)&amp;";  ","")&amp;IF(AND(EDATE($D20,Milestones!$AA$182)&lt;=AsOfDate,EDATE($D20,Milestones!$AA$182)&gt;=SchemeStart,IF($X20=0,$AD20,IF(AND($Z20&lt;&gt;"",EDATE($D20,Milestones!$AA$182)&gt;=$Z20),$AC20,IF(AND($Y20&lt;&gt;"",EDATE($D20,Milestones!$AA$182)&gt;=$Y20),$AB20,$AA20)))=Milestones!$AB$182),UPPER(TEXT(EDATE($D20,Milestones!$AA$182),"dd mmm yy"))&amp;" "&amp;Milestones!$AB$182&amp;" "&amp;IF(AND(Milestones!$AB$182="FT",Milestones!$AA$182=FT_Y5,EDATE($D20,Milestones!$AA$182)&lt;PolicyEff),1,Milestones!$AC$182)&amp;";  ","")&amp;IF(AND(EDATE($D20,Milestones!$AA$183)&lt;=AsOfDate,EDATE($D20,Milestones!$AA$183)&gt;=SchemeStart,IF($X20=0,$AD20,IF(AND($Z20&lt;&gt;"",EDATE($D20,Milestones!$AA$183)&gt;=$Z20),$AC20,IF(AND($Y20&lt;&gt;"",EDATE($D20,Milestones!$AA$183)&gt;=$Y20),$AB20,$AA20)))=Milestones!$AB$183),UPPER(TEXT(EDATE($D20,Milestones!$AA$183),"dd mmm yy"))&amp;" "&amp;Milestones!$AB$183&amp;" "&amp;IF(AND(Milestones!$AB$183="FT",Milestones!$AA$183=FT_Y5,EDATE($D20,Milestones!$AA$183)&lt;PolicyEff),1,Milestones!$AC$183)&amp;";  ","")&amp;IF(AND(EDATE($D20,Milestones!$AA$184)&lt;=AsOfDate,EDATE($D20,Milestones!$AA$184)&gt;=SchemeStart,IF($X20=0,$AD20,IF(AND($Z20&lt;&gt;"",EDATE($D20,Milestones!$AA$184)&gt;=$Z20),$AC20,IF(AND($Y20&lt;&gt;"",EDATE($D20,Milestones!$AA$184)&gt;=$Y20),$AB20,$AA20)))=Milestones!$AB$184),UPPER(TEXT(EDATE($D20,Milestones!$AA$184),"dd mmm yy"))&amp;" "&amp;Milestones!$AB$184&amp;" "&amp;IF(AND(Milestones!$AB$184="FT",Milestones!$AA$184=FT_Y5,EDATE($D20,Milestones!$AA$184)&lt;PolicyEff),1,Milestones!$AC$184)&amp;";  ","")&amp;IF(AND(EDATE($D20,Milestones!$AA$185)&lt;=AsOfDate,EDATE($D20,Milestones!$AA$185)&gt;=SchemeStart,IF($X20=0,$AD20,IF(AND($Z20&lt;&gt;"",EDATE($D20,Milestones!$AA$185)&gt;=$Z20),$AC20,IF(AND($Y20&lt;&gt;"",EDATE($D20,Milestones!$AA$185)&gt;=$Y20),$AB20,$AA20)))=Milestones!$AB$185),UPPER(TEXT(EDATE($D20,Milestones!$AA$185),"dd mmm yy"))&amp;" "&amp;Milestones!$AB$185&amp;" "&amp;IF(AND(Milestones!$AB$185="FT",Milestones!$AA$185=FT_Y5,EDATE($D20,Milestones!$AA$185)&lt;PolicyEff),1,Milestones!$AC$185)&amp;";  ","")&amp;IF(AND(EDATE($D20,Milestones!$AA$186)&lt;=AsOfDate,EDATE($D20,Milestones!$AA$186)&gt;=SchemeStart,IF($X20=0,$AD20,IF(AND($Z20&lt;&gt;"",EDATE($D20,Milestones!$AA$186)&gt;=$Z20),$AC20,IF(AND($Y20&lt;&gt;"",EDATE($D20,Milestones!$AA$186)&gt;=$Y20),$AB20,$AA20)))=Milestones!$AB$186),UPPER(TEXT(EDATE($D20,Milestones!$AA$186),"dd mmm yy"))&amp;" "&amp;Milestones!$AB$186&amp;" "&amp;IF(AND(Milestones!$AB$186="FT",Milestones!$AA$186=FT_Y5,EDATE($D20,Milestones!$AA$186)&lt;PolicyEff),1,Milestones!$AC$186)&amp;";  ","")&amp;IF(AND(EDATE($D20,Milestones!$AA$187)&lt;=AsOfDate,EDATE($D20,Milestones!$AA$187)&gt;=SchemeStart,IF($X20=0,$AD20,IF(AND($Z20&lt;&gt;"",EDATE($D20,Milestones!$AA$187)&gt;=$Z20),$AC20,IF(AND($Y20&lt;&gt;"",EDATE($D20,Milestones!$AA$187)&gt;=$Y20),$AB20,$AA20)))=Milestones!$AB$187),UPPER(TEXT(EDATE($D20,Milestones!$AA$187),"dd mmm yy"))&amp;" "&amp;Milestones!$AB$187&amp;" "&amp;IF(AND(Milestones!$AB$187="FT",Milestones!$AA$187=FT_Y5,EDATE($D20,Milestones!$AA$187)&lt;PolicyEff),1,Milestones!$AC$187)&amp;";  ",""))</f>
        <v/>
      </c>
      <c r="W20" s="0" t="str">
        <f aca="false">IF(OR($A20="",$D20=""),"",IF(AND(EDATE($D20,Milestones!$AA$188)&lt;=AsOfDate,EDATE($D20,Milestones!$AA$188)&gt;=SchemeStart,IF($X20=0,$AD20,IF(AND($Z20&lt;&gt;"",EDATE($D20,Milestones!$AA$188)&gt;=$Z20),$AC20,IF(AND($Y20&lt;&gt;"",EDATE($D20,Milestones!$AA$188)&gt;=$Y20),$AB20,$AA20)))=Milestones!$AB$188),UPPER(TEXT(EDATE($D20,Milestones!$AA$188),"dd mmm yy"))&amp;" "&amp;Milestones!$AB$188&amp;" "&amp;IF(AND(Milestones!$AB$188="FT",Milestones!$AA$188=FT_Y5,EDATE($D20,Milestones!$AA$188)&lt;PolicyEff),1,Milestones!$AC$188)&amp;";  ","")&amp;IF(AND(EDATE($D20,Milestones!$AA$189)&lt;=AsOfDate,EDATE($D20,Milestones!$AA$189)&gt;=SchemeStart,IF($X20=0,$AD20,IF(AND($Z20&lt;&gt;"",EDATE($D20,Milestones!$AA$189)&gt;=$Z20),$AC20,IF(AND($Y20&lt;&gt;"",EDATE($D20,Milestones!$AA$189)&gt;=$Y20),$AB20,$AA20)))=Milestones!$AB$189),UPPER(TEXT(EDATE($D20,Milestones!$AA$189),"dd mmm yy"))&amp;" "&amp;Milestones!$AB$189&amp;" "&amp;IF(AND(Milestones!$AB$189="FT",Milestones!$AA$189=FT_Y5,EDATE($D20,Milestones!$AA$189)&lt;PolicyEff),1,Milestones!$AC$189)&amp;";  ","")&amp;IF(AND(EDATE($D20,Milestones!$AA$190)&lt;=AsOfDate,EDATE($D20,Milestones!$AA$190)&gt;=SchemeStart,IF($X20=0,$AD20,IF(AND($Z20&lt;&gt;"",EDATE($D20,Milestones!$AA$190)&gt;=$Z20),$AC20,IF(AND($Y20&lt;&gt;"",EDATE($D20,Milestones!$AA$190)&gt;=$Y20),$AB20,$AA20)))=Milestones!$AB$190),UPPER(TEXT(EDATE($D20,Milestones!$AA$190),"dd mmm yy"))&amp;" "&amp;Milestones!$AB$190&amp;" "&amp;IF(AND(Milestones!$AB$190="FT",Milestones!$AA$190=FT_Y5,EDATE($D20,Milestones!$AA$190)&lt;PolicyEff),1,Milestones!$AC$190)&amp;";  ","")&amp;IF(AND(EDATE($D20,Milestones!$AA$191)&lt;=AsOfDate,EDATE($D20,Milestones!$AA$191)&gt;=SchemeStart,IF($X20=0,$AD20,IF(AND($Z20&lt;&gt;"",EDATE($D20,Milestones!$AA$191)&gt;=$Z20),$AC20,IF(AND($Y20&lt;&gt;"",EDATE($D20,Milestones!$AA$191)&gt;=$Y20),$AB20,$AA20)))=Milestones!$AB$191),UPPER(TEXT(EDATE($D20,Milestones!$AA$191),"dd mmm yy"))&amp;" "&amp;Milestones!$AB$191&amp;" "&amp;IF(AND(Milestones!$AB$191="FT",Milestones!$AA$191=FT_Y5,EDATE($D20,Milestones!$AA$191)&lt;PolicyEff),1,Milestones!$AC$191)&amp;";  ","")&amp;IF(AND(EDATE($D20,Milestones!$AA$192)&lt;=AsOfDate,EDATE($D20,Milestones!$AA$192)&gt;=SchemeStart,IF($X20=0,$AD20,IF(AND($Z20&lt;&gt;"",EDATE($D20,Milestones!$AA$192)&gt;=$Z20),$AC20,IF(AND($Y20&lt;&gt;"",EDATE($D20,Milestones!$AA$192)&gt;=$Y20),$AB20,$AA20)))=Milestones!$AB$192),UPPER(TEXT(EDATE($D20,Milestones!$AA$192),"dd mmm yy"))&amp;" "&amp;Milestones!$AB$192&amp;" "&amp;IF(AND(Milestones!$AB$192="FT",Milestones!$AA$192=FT_Y5,EDATE($D20,Milestones!$AA$192)&lt;PolicyEff),1,Milestones!$AC$192)&amp;";  ","")&amp;IF(AND(EDATE($D20,Milestones!$AA$193)&lt;=AsOfDate,EDATE($D20,Milestones!$AA$193)&gt;=SchemeStart,IF($X20=0,$AD20,IF(AND($Z20&lt;&gt;"",EDATE($D20,Milestones!$AA$193)&gt;=$Z20),$AC20,IF(AND($Y20&lt;&gt;"",EDATE($D20,Milestones!$AA$193)&gt;=$Y20),$AB20,$AA20)))=Milestones!$AB$193),UPPER(TEXT(EDATE($D20,Milestones!$AA$193),"dd mmm yy"))&amp;" "&amp;Milestones!$AB$193&amp;" "&amp;IF(AND(Milestones!$AB$193="FT",Milestones!$AA$193=FT_Y5,EDATE($D20,Milestones!$AA$193)&lt;PolicyEff),1,Milestones!$AC$193)&amp;";  ","")&amp;IF(AND(EDATE($D20,Milestones!$AA$194)&lt;=AsOfDate,EDATE($D20,Milestones!$AA$194)&gt;=SchemeStart,IF($X20=0,$AD20,IF(AND($Z20&lt;&gt;"",EDATE($D20,Milestones!$AA$194)&gt;=$Z20),$AC20,IF(AND($Y20&lt;&gt;"",EDATE($D20,Milestones!$AA$194)&gt;=$Y20),$AB20,$AA20)))=Milestones!$AB$194),UPPER(TEXT(EDATE($D20,Milestones!$AA$194),"dd mmm yy"))&amp;" "&amp;Milestones!$AB$194&amp;" "&amp;IF(AND(Milestones!$AB$194="FT",Milestones!$AA$194=FT_Y5,EDATE($D20,Milestones!$AA$194)&lt;PolicyEff),1,Milestones!$AC$194)&amp;";  ","")&amp;IF(AND(EDATE($D20,Milestones!$AA$195)&lt;=AsOfDate,EDATE($D20,Milestones!$AA$195)&gt;=SchemeStart,IF($X20=0,$AD20,IF(AND($Z20&lt;&gt;"",EDATE($D20,Milestones!$AA$195)&gt;=$Z20),$AC20,IF(AND($Y20&lt;&gt;"",EDATE($D20,Milestones!$AA$195)&gt;=$Y20),$AB20,$AA20)))=Milestones!$AB$195),UPPER(TEXT(EDATE($D20,Milestones!$AA$195),"dd mmm yy"))&amp;" "&amp;Milestones!$AB$195&amp;" "&amp;IF(AND(Milestones!$AB$195="FT",Milestones!$AA$195=FT_Y5,EDATE($D20,Milestones!$AA$195)&lt;PolicyEff),1,Milestones!$AC$195)&amp;";  ","")&amp;IF(AND(EDATE($D20,Milestones!$AA$196)&lt;=AsOfDate,EDATE($D20,Milestones!$AA$196)&gt;=SchemeStart,IF($X20=0,$AD20,IF(AND($Z20&lt;&gt;"",EDATE($D20,Milestones!$AA$196)&gt;=$Z20),$AC20,IF(AND($Y20&lt;&gt;"",EDATE($D20,Milestones!$AA$196)&gt;=$Y20),$AB20,$AA20)))=Milestones!$AB$196),UPPER(TEXT(EDATE($D20,Milestones!$AA$196),"dd mmm yy"))&amp;" "&amp;Milestones!$AB$196&amp;" "&amp;IF(AND(Milestones!$AB$196="FT",Milestones!$AA$196=FT_Y5,EDATE($D20,Milestones!$AA$196)&lt;PolicyEff),1,Milestones!$AC$196)&amp;";  ","")&amp;IF(AND(EDATE($D20,Milestones!$AA$197)&lt;=AsOfDate,EDATE($D20,Milestones!$AA$197)&gt;=SchemeStart,IF($X20=0,$AD20,IF(AND($Z20&lt;&gt;"",EDATE($D20,Milestones!$AA$197)&gt;=$Z20),$AC20,IF(AND($Y20&lt;&gt;"",EDATE($D20,Milestones!$AA$197)&gt;=$Y20),$AB20,$AA20)))=Milestones!$AB$197),UPPER(TEXT(EDATE($D20,Milestones!$AA$197),"dd mmm yy"))&amp;" "&amp;Milestones!$AB$197&amp;" "&amp;IF(AND(Milestones!$AB$197="FT",Milestones!$AA$197=FT_Y5,EDATE($D20,Milestones!$AA$197)&lt;PolicyEff),1,Milestones!$AC$197)&amp;";  ","")&amp;IF(AND(EDATE($D20,Milestones!$AA$198)&lt;=AsOfDate,EDATE($D20,Milestones!$AA$198)&gt;=SchemeStart,IF($X20=0,$AD20,IF(AND($Z20&lt;&gt;"",EDATE($D20,Milestones!$AA$198)&gt;=$Z20),$AC20,IF(AND($Y20&lt;&gt;"",EDATE($D20,Milestones!$AA$198)&gt;=$Y20),$AB20,$AA20)))=Milestones!$AB$198),UPPER(TEXT(EDATE($D20,Milestones!$AA$198),"dd mmm yy"))&amp;" "&amp;Milestones!$AB$198&amp;" "&amp;IF(AND(Milestones!$AB$198="FT",Milestones!$AA$198=FT_Y5,EDATE($D20,Milestones!$AA$198)&lt;PolicyEff),1,Milestones!$AC$198)&amp;";  ","")&amp;IF(AND(EDATE($D20,Milestones!$AA$199)&lt;=AsOfDate,EDATE($D20,Milestones!$AA$199)&gt;=SchemeStart,IF($X20=0,$AD20,IF(AND($Z20&lt;&gt;"",EDATE($D20,Milestones!$AA$199)&gt;=$Z20),$AC20,IF(AND($Y20&lt;&gt;"",EDATE($D20,Milestones!$AA$199)&gt;=$Y20),$AB20,$AA20)))=Milestones!$AB$199),UPPER(TEXT(EDATE($D20,Milestones!$AA$199),"dd mmm yy"))&amp;" "&amp;Milestones!$AB$199&amp;" "&amp;IF(AND(Milestones!$AB$199="FT",Milestones!$AA$199=FT_Y5,EDATE($D20,Milestones!$AA$199)&lt;PolicyEff),1,Milestones!$AC$199)&amp;";  ",""))</f>
        <v/>
      </c>
      <c r="X20" s="0" t="str">
        <f aca="false">IF(Staff!$A20="","",Staff!$AM20)</f>
        <v/>
      </c>
      <c r="Y20" s="0" t="str">
        <f aca="false">IF(Staff!$A20="","",Staff!$AO20)</f>
        <v/>
      </c>
      <c r="Z20" s="0" t="str">
        <f aca="false">IF(Staff!$A20="","",Staff!$AP20)</f>
        <v/>
      </c>
      <c r="AA20" s="0" t="str">
        <f aca="false">IF(Staff!$A20="","",Staff!$AT20)</f>
        <v/>
      </c>
      <c r="AB20" s="0" t="str">
        <f aca="false">IF(Staff!$A20="","",Staff!$AU20)</f>
        <v/>
      </c>
      <c r="AC20" s="0" t="str">
        <f aca="false">IF(Staff!$A20="","",Staff!$AV20)</f>
        <v/>
      </c>
      <c r="AD20" s="0" t="str">
        <f aca="false">IF(Staff!$A20="","",Staff!$AW20)</f>
        <v/>
      </c>
    </row>
    <row r="21" customFormat="false" ht="15" hidden="false" customHeight="false" outlineLevel="0" collapsed="false">
      <c r="A21" s="16" t="str">
        <f aca="false">IF(Staff!$A21="","",Staff!$A21)</f>
        <v/>
      </c>
      <c r="B21" s="16" t="str">
        <f aca="false">IF(Staff!$A21="","",Staff!$B21)</f>
        <v/>
      </c>
      <c r="C21" s="16" t="str">
        <f aca="false">IF(Staff!$A21="","",Staff!$C21)</f>
        <v/>
      </c>
      <c r="D21" s="14" t="str">
        <f aca="false">IF(Staff!$A21="","",Staff!$AL21)</f>
        <v/>
      </c>
      <c r="E21" s="16" t="str">
        <f aca="false">IF(Staff!$A21="","",Staff!$O21)</f>
        <v/>
      </c>
      <c r="F21" s="16" t="str">
        <f aca="false">IF(E21="","",E21*HoursPerDay)</f>
        <v/>
      </c>
      <c r="G21" s="16" t="str">
        <f aca="false">IF(Staff!$A21="","",Staff!$AE21)</f>
        <v/>
      </c>
      <c r="H21" s="28" t="str">
        <f aca="false">IF($A21="","",I21&amp;J21&amp;K21&amp;L21&amp;M21&amp;N21&amp;O21&amp;P21&amp;Q21&amp;R21&amp;S21&amp;T21&amp;U21&amp;V21&amp;W21)</f>
        <v/>
      </c>
      <c r="I21" s="0" t="str">
        <f aca="false">IF(OR($A21="",$D21=""),"",IF(AND(EDATE($D21,Milestones!$AA$20)&lt;=AsOfDate,EDATE($D21,Milestones!$AA$20)&gt;=SchemeStart,IF($X21=0,$AD21,IF(AND($Z21&lt;&gt;"",EDATE($D21,Milestones!$AA$20)&gt;=$Z21),$AC21,IF(AND($Y21&lt;&gt;"",EDATE($D21,Milestones!$AA$20)&gt;=$Y21),$AB21,$AA21)))=Milestones!$AB$20),UPPER(TEXT(EDATE($D21,Milestones!$AA$20),"dd mmm yy"))&amp;" "&amp;Milestones!$AB$20&amp;" "&amp;IF(AND(Milestones!$AB$20="FT",Milestones!$AA$20=FT_Y5,EDATE($D21,Milestones!$AA$20)&lt;PolicyEff),1,Milestones!$AC$20)&amp;";  ","")&amp;IF(AND(EDATE($D21,Milestones!$AA$21)&lt;=AsOfDate,EDATE($D21,Milestones!$AA$21)&gt;=SchemeStart,IF($X21=0,$AD21,IF(AND($Z21&lt;&gt;"",EDATE($D21,Milestones!$AA$21)&gt;=$Z21),$AC21,IF(AND($Y21&lt;&gt;"",EDATE($D21,Milestones!$AA$21)&gt;=$Y21),$AB21,$AA21)))=Milestones!$AB$21),UPPER(TEXT(EDATE($D21,Milestones!$AA$21),"dd mmm yy"))&amp;" "&amp;Milestones!$AB$21&amp;" "&amp;IF(AND(Milestones!$AB$21="FT",Milestones!$AA$21=FT_Y5,EDATE($D21,Milestones!$AA$21)&lt;PolicyEff),1,Milestones!$AC$21)&amp;";  ","")&amp;IF(AND(EDATE($D21,Milestones!$AA$22)&lt;=AsOfDate,EDATE($D21,Milestones!$AA$22)&gt;=SchemeStart,IF($X21=0,$AD21,IF(AND($Z21&lt;&gt;"",EDATE($D21,Milestones!$AA$22)&gt;=$Z21),$AC21,IF(AND($Y21&lt;&gt;"",EDATE($D21,Milestones!$AA$22)&gt;=$Y21),$AB21,$AA21)))=Milestones!$AB$22),UPPER(TEXT(EDATE($D21,Milestones!$AA$22),"dd mmm yy"))&amp;" "&amp;Milestones!$AB$22&amp;" "&amp;IF(AND(Milestones!$AB$22="FT",Milestones!$AA$22=FT_Y5,EDATE($D21,Milestones!$AA$22)&lt;PolicyEff),1,Milestones!$AC$22)&amp;";  ","")&amp;IF(AND(EDATE($D21,Milestones!$AA$23)&lt;=AsOfDate,EDATE($D21,Milestones!$AA$23)&gt;=SchemeStart,IF($X21=0,$AD21,IF(AND($Z21&lt;&gt;"",EDATE($D21,Milestones!$AA$23)&gt;=$Z21),$AC21,IF(AND($Y21&lt;&gt;"",EDATE($D21,Milestones!$AA$23)&gt;=$Y21),$AB21,$AA21)))=Milestones!$AB$23),UPPER(TEXT(EDATE($D21,Milestones!$AA$23),"dd mmm yy"))&amp;" "&amp;Milestones!$AB$23&amp;" "&amp;IF(AND(Milestones!$AB$23="FT",Milestones!$AA$23=FT_Y5,EDATE($D21,Milestones!$AA$23)&lt;PolicyEff),1,Milestones!$AC$23)&amp;";  ","")&amp;IF(AND(EDATE($D21,Milestones!$AA$24)&lt;=AsOfDate,EDATE($D21,Milestones!$AA$24)&gt;=SchemeStart,IF($X21=0,$AD21,IF(AND($Z21&lt;&gt;"",EDATE($D21,Milestones!$AA$24)&gt;=$Z21),$AC21,IF(AND($Y21&lt;&gt;"",EDATE($D21,Milestones!$AA$24)&gt;=$Y21),$AB21,$AA21)))=Milestones!$AB$24),UPPER(TEXT(EDATE($D21,Milestones!$AA$24),"dd mmm yy"))&amp;" "&amp;Milestones!$AB$24&amp;" "&amp;IF(AND(Milestones!$AB$24="FT",Milestones!$AA$24=FT_Y5,EDATE($D21,Milestones!$AA$24)&lt;PolicyEff),1,Milestones!$AC$24)&amp;";  ","")&amp;IF(AND(EDATE($D21,Milestones!$AA$25)&lt;=AsOfDate,EDATE($D21,Milestones!$AA$25)&gt;=SchemeStart,IF($X21=0,$AD21,IF(AND($Z21&lt;&gt;"",EDATE($D21,Milestones!$AA$25)&gt;=$Z21),$AC21,IF(AND($Y21&lt;&gt;"",EDATE($D21,Milestones!$AA$25)&gt;=$Y21),$AB21,$AA21)))=Milestones!$AB$25),UPPER(TEXT(EDATE($D21,Milestones!$AA$25),"dd mmm yy"))&amp;" "&amp;Milestones!$AB$25&amp;" "&amp;IF(AND(Milestones!$AB$25="FT",Milestones!$AA$25=FT_Y5,EDATE($D21,Milestones!$AA$25)&lt;PolicyEff),1,Milestones!$AC$25)&amp;";  ","")&amp;IF(AND(EDATE($D21,Milestones!$AA$26)&lt;=AsOfDate,EDATE($D21,Milestones!$AA$26)&gt;=SchemeStart,IF($X21=0,$AD21,IF(AND($Z21&lt;&gt;"",EDATE($D21,Milestones!$AA$26)&gt;=$Z21),$AC21,IF(AND($Y21&lt;&gt;"",EDATE($D21,Milestones!$AA$26)&gt;=$Y21),$AB21,$AA21)))=Milestones!$AB$26),UPPER(TEXT(EDATE($D21,Milestones!$AA$26),"dd mmm yy"))&amp;" "&amp;Milestones!$AB$26&amp;" "&amp;IF(AND(Milestones!$AB$26="FT",Milestones!$AA$26=FT_Y5,EDATE($D21,Milestones!$AA$26)&lt;PolicyEff),1,Milestones!$AC$26)&amp;";  ","")&amp;IF(AND(EDATE($D21,Milestones!$AA$27)&lt;=AsOfDate,EDATE($D21,Milestones!$AA$27)&gt;=SchemeStart,IF($X21=0,$AD21,IF(AND($Z21&lt;&gt;"",EDATE($D21,Milestones!$AA$27)&gt;=$Z21),$AC21,IF(AND($Y21&lt;&gt;"",EDATE($D21,Milestones!$AA$27)&gt;=$Y21),$AB21,$AA21)))=Milestones!$AB$27),UPPER(TEXT(EDATE($D21,Milestones!$AA$27),"dd mmm yy"))&amp;" "&amp;Milestones!$AB$27&amp;" "&amp;IF(AND(Milestones!$AB$27="FT",Milestones!$AA$27=FT_Y5,EDATE($D21,Milestones!$AA$27)&lt;PolicyEff),1,Milestones!$AC$27)&amp;";  ","")&amp;IF(AND(EDATE($D21,Milestones!$AA$28)&lt;=AsOfDate,EDATE($D21,Milestones!$AA$28)&gt;=SchemeStart,IF($X21=0,$AD21,IF(AND($Z21&lt;&gt;"",EDATE($D21,Milestones!$AA$28)&gt;=$Z21),$AC21,IF(AND($Y21&lt;&gt;"",EDATE($D21,Milestones!$AA$28)&gt;=$Y21),$AB21,$AA21)))=Milestones!$AB$28),UPPER(TEXT(EDATE($D21,Milestones!$AA$28),"dd mmm yy"))&amp;" "&amp;Milestones!$AB$28&amp;" "&amp;IF(AND(Milestones!$AB$28="FT",Milestones!$AA$28=FT_Y5,EDATE($D21,Milestones!$AA$28)&lt;PolicyEff),1,Milestones!$AC$28)&amp;";  ","")&amp;IF(AND(EDATE($D21,Milestones!$AA$29)&lt;=AsOfDate,EDATE($D21,Milestones!$AA$29)&gt;=SchemeStart,IF($X21=0,$AD21,IF(AND($Z21&lt;&gt;"",EDATE($D21,Milestones!$AA$29)&gt;=$Z21),$AC21,IF(AND($Y21&lt;&gt;"",EDATE($D21,Milestones!$AA$29)&gt;=$Y21),$AB21,$AA21)))=Milestones!$AB$29),UPPER(TEXT(EDATE($D21,Milestones!$AA$29),"dd mmm yy"))&amp;" "&amp;Milestones!$AB$29&amp;" "&amp;IF(AND(Milestones!$AB$29="FT",Milestones!$AA$29=FT_Y5,EDATE($D21,Milestones!$AA$29)&lt;PolicyEff),1,Milestones!$AC$29)&amp;";  ","")&amp;IF(AND(EDATE($D21,Milestones!$AA$30)&lt;=AsOfDate,EDATE($D21,Milestones!$AA$30)&gt;=SchemeStart,IF($X21=0,$AD21,IF(AND($Z21&lt;&gt;"",EDATE($D21,Milestones!$AA$30)&gt;=$Z21),$AC21,IF(AND($Y21&lt;&gt;"",EDATE($D21,Milestones!$AA$30)&gt;=$Y21),$AB21,$AA21)))=Milestones!$AB$30),UPPER(TEXT(EDATE($D21,Milestones!$AA$30),"dd mmm yy"))&amp;" "&amp;Milestones!$AB$30&amp;" "&amp;IF(AND(Milestones!$AB$30="FT",Milestones!$AA$30=FT_Y5,EDATE($D21,Milestones!$AA$30)&lt;PolicyEff),1,Milestones!$AC$30)&amp;";  ","")&amp;IF(AND(EDATE($D21,Milestones!$AA$31)&lt;=AsOfDate,EDATE($D21,Milestones!$AA$31)&gt;=SchemeStart,IF($X21=0,$AD21,IF(AND($Z21&lt;&gt;"",EDATE($D21,Milestones!$AA$31)&gt;=$Z21),$AC21,IF(AND($Y21&lt;&gt;"",EDATE($D21,Milestones!$AA$31)&gt;=$Y21),$AB21,$AA21)))=Milestones!$AB$31),UPPER(TEXT(EDATE($D21,Milestones!$AA$31),"dd mmm yy"))&amp;" "&amp;Milestones!$AB$31&amp;" "&amp;IF(AND(Milestones!$AB$31="FT",Milestones!$AA$31=FT_Y5,EDATE($D21,Milestones!$AA$31)&lt;PolicyEff),1,Milestones!$AC$31)&amp;";  ",""))</f>
        <v/>
      </c>
      <c r="J21" s="0" t="str">
        <f aca="false">IF(OR($A21="",$D21=""),"",IF(AND(EDATE($D21,Milestones!$AA$32)&lt;=AsOfDate,EDATE($D21,Milestones!$AA$32)&gt;=SchemeStart,IF($X21=0,$AD21,IF(AND($Z21&lt;&gt;"",EDATE($D21,Milestones!$AA$32)&gt;=$Z21),$AC21,IF(AND($Y21&lt;&gt;"",EDATE($D21,Milestones!$AA$32)&gt;=$Y21),$AB21,$AA21)))=Milestones!$AB$32),UPPER(TEXT(EDATE($D21,Milestones!$AA$32),"dd mmm yy"))&amp;" "&amp;Milestones!$AB$32&amp;" "&amp;IF(AND(Milestones!$AB$32="FT",Milestones!$AA$32=FT_Y5,EDATE($D21,Milestones!$AA$32)&lt;PolicyEff),1,Milestones!$AC$32)&amp;";  ","")&amp;IF(AND(EDATE($D21,Milestones!$AA$33)&lt;=AsOfDate,EDATE($D21,Milestones!$AA$33)&gt;=SchemeStart,IF($X21=0,$AD21,IF(AND($Z21&lt;&gt;"",EDATE($D21,Milestones!$AA$33)&gt;=$Z21),$AC21,IF(AND($Y21&lt;&gt;"",EDATE($D21,Milestones!$AA$33)&gt;=$Y21),$AB21,$AA21)))=Milestones!$AB$33),UPPER(TEXT(EDATE($D21,Milestones!$AA$33),"dd mmm yy"))&amp;" "&amp;Milestones!$AB$33&amp;" "&amp;IF(AND(Milestones!$AB$33="FT",Milestones!$AA$33=FT_Y5,EDATE($D21,Milestones!$AA$33)&lt;PolicyEff),1,Milestones!$AC$33)&amp;";  ","")&amp;IF(AND(EDATE($D21,Milestones!$AA$34)&lt;=AsOfDate,EDATE($D21,Milestones!$AA$34)&gt;=SchemeStart,IF($X21=0,$AD21,IF(AND($Z21&lt;&gt;"",EDATE($D21,Milestones!$AA$34)&gt;=$Z21),$AC21,IF(AND($Y21&lt;&gt;"",EDATE($D21,Milestones!$AA$34)&gt;=$Y21),$AB21,$AA21)))=Milestones!$AB$34),UPPER(TEXT(EDATE($D21,Milestones!$AA$34),"dd mmm yy"))&amp;" "&amp;Milestones!$AB$34&amp;" "&amp;IF(AND(Milestones!$AB$34="FT",Milestones!$AA$34=FT_Y5,EDATE($D21,Milestones!$AA$34)&lt;PolicyEff),1,Milestones!$AC$34)&amp;";  ","")&amp;IF(AND(EDATE($D21,Milestones!$AA$35)&lt;=AsOfDate,EDATE($D21,Milestones!$AA$35)&gt;=SchemeStart,IF($X21=0,$AD21,IF(AND($Z21&lt;&gt;"",EDATE($D21,Milestones!$AA$35)&gt;=$Z21),$AC21,IF(AND($Y21&lt;&gt;"",EDATE($D21,Milestones!$AA$35)&gt;=$Y21),$AB21,$AA21)))=Milestones!$AB$35),UPPER(TEXT(EDATE($D21,Milestones!$AA$35),"dd mmm yy"))&amp;" "&amp;Milestones!$AB$35&amp;" "&amp;IF(AND(Milestones!$AB$35="FT",Milestones!$AA$35=FT_Y5,EDATE($D21,Milestones!$AA$35)&lt;PolicyEff),1,Milestones!$AC$35)&amp;";  ","")&amp;IF(AND(EDATE($D21,Milestones!$AA$36)&lt;=AsOfDate,EDATE($D21,Milestones!$AA$36)&gt;=SchemeStart,IF($X21=0,$AD21,IF(AND($Z21&lt;&gt;"",EDATE($D21,Milestones!$AA$36)&gt;=$Z21),$AC21,IF(AND($Y21&lt;&gt;"",EDATE($D21,Milestones!$AA$36)&gt;=$Y21),$AB21,$AA21)))=Milestones!$AB$36),UPPER(TEXT(EDATE($D21,Milestones!$AA$36),"dd mmm yy"))&amp;" "&amp;Milestones!$AB$36&amp;" "&amp;IF(AND(Milestones!$AB$36="FT",Milestones!$AA$36=FT_Y5,EDATE($D21,Milestones!$AA$36)&lt;PolicyEff),1,Milestones!$AC$36)&amp;";  ","")&amp;IF(AND(EDATE($D21,Milestones!$AA$37)&lt;=AsOfDate,EDATE($D21,Milestones!$AA$37)&gt;=SchemeStart,IF($X21=0,$AD21,IF(AND($Z21&lt;&gt;"",EDATE($D21,Milestones!$AA$37)&gt;=$Z21),$AC21,IF(AND($Y21&lt;&gt;"",EDATE($D21,Milestones!$AA$37)&gt;=$Y21),$AB21,$AA21)))=Milestones!$AB$37),UPPER(TEXT(EDATE($D21,Milestones!$AA$37),"dd mmm yy"))&amp;" "&amp;Milestones!$AB$37&amp;" "&amp;IF(AND(Milestones!$AB$37="FT",Milestones!$AA$37=FT_Y5,EDATE($D21,Milestones!$AA$37)&lt;PolicyEff),1,Milestones!$AC$37)&amp;";  ","")&amp;IF(AND(EDATE($D21,Milestones!$AA$38)&lt;=AsOfDate,EDATE($D21,Milestones!$AA$38)&gt;=SchemeStart,IF($X21=0,$AD21,IF(AND($Z21&lt;&gt;"",EDATE($D21,Milestones!$AA$38)&gt;=$Z21),$AC21,IF(AND($Y21&lt;&gt;"",EDATE($D21,Milestones!$AA$38)&gt;=$Y21),$AB21,$AA21)))=Milestones!$AB$38),UPPER(TEXT(EDATE($D21,Milestones!$AA$38),"dd mmm yy"))&amp;" "&amp;Milestones!$AB$38&amp;" "&amp;IF(AND(Milestones!$AB$38="FT",Milestones!$AA$38=FT_Y5,EDATE($D21,Milestones!$AA$38)&lt;PolicyEff),1,Milestones!$AC$38)&amp;";  ","")&amp;IF(AND(EDATE($D21,Milestones!$AA$39)&lt;=AsOfDate,EDATE($D21,Milestones!$AA$39)&gt;=SchemeStart,IF($X21=0,$AD21,IF(AND($Z21&lt;&gt;"",EDATE($D21,Milestones!$AA$39)&gt;=$Z21),$AC21,IF(AND($Y21&lt;&gt;"",EDATE($D21,Milestones!$AA$39)&gt;=$Y21),$AB21,$AA21)))=Milestones!$AB$39),UPPER(TEXT(EDATE($D21,Milestones!$AA$39),"dd mmm yy"))&amp;" "&amp;Milestones!$AB$39&amp;" "&amp;IF(AND(Milestones!$AB$39="FT",Milestones!$AA$39=FT_Y5,EDATE($D21,Milestones!$AA$39)&lt;PolicyEff),1,Milestones!$AC$39)&amp;";  ","")&amp;IF(AND(EDATE($D21,Milestones!$AA$40)&lt;=AsOfDate,EDATE($D21,Milestones!$AA$40)&gt;=SchemeStart,IF($X21=0,$AD21,IF(AND($Z21&lt;&gt;"",EDATE($D21,Milestones!$AA$40)&gt;=$Z21),$AC21,IF(AND($Y21&lt;&gt;"",EDATE($D21,Milestones!$AA$40)&gt;=$Y21),$AB21,$AA21)))=Milestones!$AB$40),UPPER(TEXT(EDATE($D21,Milestones!$AA$40),"dd mmm yy"))&amp;" "&amp;Milestones!$AB$40&amp;" "&amp;IF(AND(Milestones!$AB$40="FT",Milestones!$AA$40=FT_Y5,EDATE($D21,Milestones!$AA$40)&lt;PolicyEff),1,Milestones!$AC$40)&amp;";  ","")&amp;IF(AND(EDATE($D21,Milestones!$AA$41)&lt;=AsOfDate,EDATE($D21,Milestones!$AA$41)&gt;=SchemeStart,IF($X21=0,$AD21,IF(AND($Z21&lt;&gt;"",EDATE($D21,Milestones!$AA$41)&gt;=$Z21),$AC21,IF(AND($Y21&lt;&gt;"",EDATE($D21,Milestones!$AA$41)&gt;=$Y21),$AB21,$AA21)))=Milestones!$AB$41),UPPER(TEXT(EDATE($D21,Milestones!$AA$41),"dd mmm yy"))&amp;" "&amp;Milestones!$AB$41&amp;" "&amp;IF(AND(Milestones!$AB$41="FT",Milestones!$AA$41=FT_Y5,EDATE($D21,Milestones!$AA$41)&lt;PolicyEff),1,Milestones!$AC$41)&amp;";  ","")&amp;IF(AND(EDATE($D21,Milestones!$AA$42)&lt;=AsOfDate,EDATE($D21,Milestones!$AA$42)&gt;=SchemeStart,IF($X21=0,$AD21,IF(AND($Z21&lt;&gt;"",EDATE($D21,Milestones!$AA$42)&gt;=$Z21),$AC21,IF(AND($Y21&lt;&gt;"",EDATE($D21,Milestones!$AA$42)&gt;=$Y21),$AB21,$AA21)))=Milestones!$AB$42),UPPER(TEXT(EDATE($D21,Milestones!$AA$42),"dd mmm yy"))&amp;" "&amp;Milestones!$AB$42&amp;" "&amp;IF(AND(Milestones!$AB$42="FT",Milestones!$AA$42=FT_Y5,EDATE($D21,Milestones!$AA$42)&lt;PolicyEff),1,Milestones!$AC$42)&amp;";  ","")&amp;IF(AND(EDATE($D21,Milestones!$AA$43)&lt;=AsOfDate,EDATE($D21,Milestones!$AA$43)&gt;=SchemeStart,IF($X21=0,$AD21,IF(AND($Z21&lt;&gt;"",EDATE($D21,Milestones!$AA$43)&gt;=$Z21),$AC21,IF(AND($Y21&lt;&gt;"",EDATE($D21,Milestones!$AA$43)&gt;=$Y21),$AB21,$AA21)))=Milestones!$AB$43),UPPER(TEXT(EDATE($D21,Milestones!$AA$43),"dd mmm yy"))&amp;" "&amp;Milestones!$AB$43&amp;" "&amp;IF(AND(Milestones!$AB$43="FT",Milestones!$AA$43=FT_Y5,EDATE($D21,Milestones!$AA$43)&lt;PolicyEff),1,Milestones!$AC$43)&amp;";  ",""))</f>
        <v/>
      </c>
      <c r="K21" s="0" t="str">
        <f aca="false">IF(OR($A21="",$D21=""),"",IF(AND(EDATE($D21,Milestones!$AA$44)&lt;=AsOfDate,EDATE($D21,Milestones!$AA$44)&gt;=SchemeStart,IF($X21=0,$AD21,IF(AND($Z21&lt;&gt;"",EDATE($D21,Milestones!$AA$44)&gt;=$Z21),$AC21,IF(AND($Y21&lt;&gt;"",EDATE($D21,Milestones!$AA$44)&gt;=$Y21),$AB21,$AA21)))=Milestones!$AB$44),UPPER(TEXT(EDATE($D21,Milestones!$AA$44),"dd mmm yy"))&amp;" "&amp;Milestones!$AB$44&amp;" "&amp;IF(AND(Milestones!$AB$44="FT",Milestones!$AA$44=FT_Y5,EDATE($D21,Milestones!$AA$44)&lt;PolicyEff),1,Milestones!$AC$44)&amp;";  ","")&amp;IF(AND(EDATE($D21,Milestones!$AA$45)&lt;=AsOfDate,EDATE($D21,Milestones!$AA$45)&gt;=SchemeStart,IF($X21=0,$AD21,IF(AND($Z21&lt;&gt;"",EDATE($D21,Milestones!$AA$45)&gt;=$Z21),$AC21,IF(AND($Y21&lt;&gt;"",EDATE($D21,Milestones!$AA$45)&gt;=$Y21),$AB21,$AA21)))=Milestones!$AB$45),UPPER(TEXT(EDATE($D21,Milestones!$AA$45),"dd mmm yy"))&amp;" "&amp;Milestones!$AB$45&amp;" "&amp;IF(AND(Milestones!$AB$45="FT",Milestones!$AA$45=FT_Y5,EDATE($D21,Milestones!$AA$45)&lt;PolicyEff),1,Milestones!$AC$45)&amp;";  ","")&amp;IF(AND(EDATE($D21,Milestones!$AA$46)&lt;=AsOfDate,EDATE($D21,Milestones!$AA$46)&gt;=SchemeStart,IF($X21=0,$AD21,IF(AND($Z21&lt;&gt;"",EDATE($D21,Milestones!$AA$46)&gt;=$Z21),$AC21,IF(AND($Y21&lt;&gt;"",EDATE($D21,Milestones!$AA$46)&gt;=$Y21),$AB21,$AA21)))=Milestones!$AB$46),UPPER(TEXT(EDATE($D21,Milestones!$AA$46),"dd mmm yy"))&amp;" "&amp;Milestones!$AB$46&amp;" "&amp;IF(AND(Milestones!$AB$46="FT",Milestones!$AA$46=FT_Y5,EDATE($D21,Milestones!$AA$46)&lt;PolicyEff),1,Milestones!$AC$46)&amp;";  ","")&amp;IF(AND(EDATE($D21,Milestones!$AA$47)&lt;=AsOfDate,EDATE($D21,Milestones!$AA$47)&gt;=SchemeStart,IF($X21=0,$AD21,IF(AND($Z21&lt;&gt;"",EDATE($D21,Milestones!$AA$47)&gt;=$Z21),$AC21,IF(AND($Y21&lt;&gt;"",EDATE($D21,Milestones!$AA$47)&gt;=$Y21),$AB21,$AA21)))=Milestones!$AB$47),UPPER(TEXT(EDATE($D21,Milestones!$AA$47),"dd mmm yy"))&amp;" "&amp;Milestones!$AB$47&amp;" "&amp;IF(AND(Milestones!$AB$47="FT",Milestones!$AA$47=FT_Y5,EDATE($D21,Milestones!$AA$47)&lt;PolicyEff),1,Milestones!$AC$47)&amp;";  ","")&amp;IF(AND(EDATE($D21,Milestones!$AA$48)&lt;=AsOfDate,EDATE($D21,Milestones!$AA$48)&gt;=SchemeStart,IF($X21=0,$AD21,IF(AND($Z21&lt;&gt;"",EDATE($D21,Milestones!$AA$48)&gt;=$Z21),$AC21,IF(AND($Y21&lt;&gt;"",EDATE($D21,Milestones!$AA$48)&gt;=$Y21),$AB21,$AA21)))=Milestones!$AB$48),UPPER(TEXT(EDATE($D21,Milestones!$AA$48),"dd mmm yy"))&amp;" "&amp;Milestones!$AB$48&amp;" "&amp;IF(AND(Milestones!$AB$48="FT",Milestones!$AA$48=FT_Y5,EDATE($D21,Milestones!$AA$48)&lt;PolicyEff),1,Milestones!$AC$48)&amp;";  ","")&amp;IF(AND(EDATE($D21,Milestones!$AA$49)&lt;=AsOfDate,EDATE($D21,Milestones!$AA$49)&gt;=SchemeStart,IF($X21=0,$AD21,IF(AND($Z21&lt;&gt;"",EDATE($D21,Milestones!$AA$49)&gt;=$Z21),$AC21,IF(AND($Y21&lt;&gt;"",EDATE($D21,Milestones!$AA$49)&gt;=$Y21),$AB21,$AA21)))=Milestones!$AB$49),UPPER(TEXT(EDATE($D21,Milestones!$AA$49),"dd mmm yy"))&amp;" "&amp;Milestones!$AB$49&amp;" "&amp;IF(AND(Milestones!$AB$49="FT",Milestones!$AA$49=FT_Y5,EDATE($D21,Milestones!$AA$49)&lt;PolicyEff),1,Milestones!$AC$49)&amp;";  ","")&amp;IF(AND(EDATE($D21,Milestones!$AA$50)&lt;=AsOfDate,EDATE($D21,Milestones!$AA$50)&gt;=SchemeStart,IF($X21=0,$AD21,IF(AND($Z21&lt;&gt;"",EDATE($D21,Milestones!$AA$50)&gt;=$Z21),$AC21,IF(AND($Y21&lt;&gt;"",EDATE($D21,Milestones!$AA$50)&gt;=$Y21),$AB21,$AA21)))=Milestones!$AB$50),UPPER(TEXT(EDATE($D21,Milestones!$AA$50),"dd mmm yy"))&amp;" "&amp;Milestones!$AB$50&amp;" "&amp;IF(AND(Milestones!$AB$50="FT",Milestones!$AA$50=FT_Y5,EDATE($D21,Milestones!$AA$50)&lt;PolicyEff),1,Milestones!$AC$50)&amp;";  ","")&amp;IF(AND(EDATE($D21,Milestones!$AA$51)&lt;=AsOfDate,EDATE($D21,Milestones!$AA$51)&gt;=SchemeStart,IF($X21=0,$AD21,IF(AND($Z21&lt;&gt;"",EDATE($D21,Milestones!$AA$51)&gt;=$Z21),$AC21,IF(AND($Y21&lt;&gt;"",EDATE($D21,Milestones!$AA$51)&gt;=$Y21),$AB21,$AA21)))=Milestones!$AB$51),UPPER(TEXT(EDATE($D21,Milestones!$AA$51),"dd mmm yy"))&amp;" "&amp;Milestones!$AB$51&amp;" "&amp;IF(AND(Milestones!$AB$51="FT",Milestones!$AA$51=FT_Y5,EDATE($D21,Milestones!$AA$51)&lt;PolicyEff),1,Milestones!$AC$51)&amp;";  ","")&amp;IF(AND(EDATE($D21,Milestones!$AA$52)&lt;=AsOfDate,EDATE($D21,Milestones!$AA$52)&gt;=SchemeStart,IF($X21=0,$AD21,IF(AND($Z21&lt;&gt;"",EDATE($D21,Milestones!$AA$52)&gt;=$Z21),$AC21,IF(AND($Y21&lt;&gt;"",EDATE($D21,Milestones!$AA$52)&gt;=$Y21),$AB21,$AA21)))=Milestones!$AB$52),UPPER(TEXT(EDATE($D21,Milestones!$AA$52),"dd mmm yy"))&amp;" "&amp;Milestones!$AB$52&amp;" "&amp;IF(AND(Milestones!$AB$52="FT",Milestones!$AA$52=FT_Y5,EDATE($D21,Milestones!$AA$52)&lt;PolicyEff),1,Milestones!$AC$52)&amp;";  ","")&amp;IF(AND(EDATE($D21,Milestones!$AA$53)&lt;=AsOfDate,EDATE($D21,Milestones!$AA$53)&gt;=SchemeStart,IF($X21=0,$AD21,IF(AND($Z21&lt;&gt;"",EDATE($D21,Milestones!$AA$53)&gt;=$Z21),$AC21,IF(AND($Y21&lt;&gt;"",EDATE($D21,Milestones!$AA$53)&gt;=$Y21),$AB21,$AA21)))=Milestones!$AB$53),UPPER(TEXT(EDATE($D21,Milestones!$AA$53),"dd mmm yy"))&amp;" "&amp;Milestones!$AB$53&amp;" "&amp;IF(AND(Milestones!$AB$53="FT",Milestones!$AA$53=FT_Y5,EDATE($D21,Milestones!$AA$53)&lt;PolicyEff),1,Milestones!$AC$53)&amp;";  ","")&amp;IF(AND(EDATE($D21,Milestones!$AA$54)&lt;=AsOfDate,EDATE($D21,Milestones!$AA$54)&gt;=SchemeStart,IF($X21=0,$AD21,IF(AND($Z21&lt;&gt;"",EDATE($D21,Milestones!$AA$54)&gt;=$Z21),$AC21,IF(AND($Y21&lt;&gt;"",EDATE($D21,Milestones!$AA$54)&gt;=$Y21),$AB21,$AA21)))=Milestones!$AB$54),UPPER(TEXT(EDATE($D21,Milestones!$AA$54),"dd mmm yy"))&amp;" "&amp;Milestones!$AB$54&amp;" "&amp;IF(AND(Milestones!$AB$54="FT",Milestones!$AA$54=FT_Y5,EDATE($D21,Milestones!$AA$54)&lt;PolicyEff),1,Milestones!$AC$54)&amp;";  ","")&amp;IF(AND(EDATE($D21,Milestones!$AA$55)&lt;=AsOfDate,EDATE($D21,Milestones!$AA$55)&gt;=SchemeStart,IF($X21=0,$AD21,IF(AND($Z21&lt;&gt;"",EDATE($D21,Milestones!$AA$55)&gt;=$Z21),$AC21,IF(AND($Y21&lt;&gt;"",EDATE($D21,Milestones!$AA$55)&gt;=$Y21),$AB21,$AA21)))=Milestones!$AB$55),UPPER(TEXT(EDATE($D21,Milestones!$AA$55),"dd mmm yy"))&amp;" "&amp;Milestones!$AB$55&amp;" "&amp;IF(AND(Milestones!$AB$55="FT",Milestones!$AA$55=FT_Y5,EDATE($D21,Milestones!$AA$55)&lt;PolicyEff),1,Milestones!$AC$55)&amp;";  ",""))</f>
        <v/>
      </c>
      <c r="L21" s="0" t="str">
        <f aca="false">IF(OR($A21="",$D21=""),"",IF(AND(EDATE($D21,Milestones!$AA$56)&lt;=AsOfDate,EDATE($D21,Milestones!$AA$56)&gt;=SchemeStart,IF($X21=0,$AD21,IF(AND($Z21&lt;&gt;"",EDATE($D21,Milestones!$AA$56)&gt;=$Z21),$AC21,IF(AND($Y21&lt;&gt;"",EDATE($D21,Milestones!$AA$56)&gt;=$Y21),$AB21,$AA21)))=Milestones!$AB$56),UPPER(TEXT(EDATE($D21,Milestones!$AA$56),"dd mmm yy"))&amp;" "&amp;Milestones!$AB$56&amp;" "&amp;IF(AND(Milestones!$AB$56="FT",Milestones!$AA$56=FT_Y5,EDATE($D21,Milestones!$AA$56)&lt;PolicyEff),1,Milestones!$AC$56)&amp;";  ","")&amp;IF(AND(EDATE($D21,Milestones!$AA$57)&lt;=AsOfDate,EDATE($D21,Milestones!$AA$57)&gt;=SchemeStart,IF($X21=0,$AD21,IF(AND($Z21&lt;&gt;"",EDATE($D21,Milestones!$AA$57)&gt;=$Z21),$AC21,IF(AND($Y21&lt;&gt;"",EDATE($D21,Milestones!$AA$57)&gt;=$Y21),$AB21,$AA21)))=Milestones!$AB$57),UPPER(TEXT(EDATE($D21,Milestones!$AA$57),"dd mmm yy"))&amp;" "&amp;Milestones!$AB$57&amp;" "&amp;IF(AND(Milestones!$AB$57="FT",Milestones!$AA$57=FT_Y5,EDATE($D21,Milestones!$AA$57)&lt;PolicyEff),1,Milestones!$AC$57)&amp;";  ","")&amp;IF(AND(EDATE($D21,Milestones!$AA$58)&lt;=AsOfDate,EDATE($D21,Milestones!$AA$58)&gt;=SchemeStart,IF($X21=0,$AD21,IF(AND($Z21&lt;&gt;"",EDATE($D21,Milestones!$AA$58)&gt;=$Z21),$AC21,IF(AND($Y21&lt;&gt;"",EDATE($D21,Milestones!$AA$58)&gt;=$Y21),$AB21,$AA21)))=Milestones!$AB$58),UPPER(TEXT(EDATE($D21,Milestones!$AA$58),"dd mmm yy"))&amp;" "&amp;Milestones!$AB$58&amp;" "&amp;IF(AND(Milestones!$AB$58="FT",Milestones!$AA$58=FT_Y5,EDATE($D21,Milestones!$AA$58)&lt;PolicyEff),1,Milestones!$AC$58)&amp;";  ","")&amp;IF(AND(EDATE($D21,Milestones!$AA$59)&lt;=AsOfDate,EDATE($D21,Milestones!$AA$59)&gt;=SchemeStart,IF($X21=0,$AD21,IF(AND($Z21&lt;&gt;"",EDATE($D21,Milestones!$AA$59)&gt;=$Z21),$AC21,IF(AND($Y21&lt;&gt;"",EDATE($D21,Milestones!$AA$59)&gt;=$Y21),$AB21,$AA21)))=Milestones!$AB$59),UPPER(TEXT(EDATE($D21,Milestones!$AA$59),"dd mmm yy"))&amp;" "&amp;Milestones!$AB$59&amp;" "&amp;IF(AND(Milestones!$AB$59="FT",Milestones!$AA$59=FT_Y5,EDATE($D21,Milestones!$AA$59)&lt;PolicyEff),1,Milestones!$AC$59)&amp;";  ","")&amp;IF(AND(EDATE($D21,Milestones!$AA$60)&lt;=AsOfDate,EDATE($D21,Milestones!$AA$60)&gt;=SchemeStart,IF($X21=0,$AD21,IF(AND($Z21&lt;&gt;"",EDATE($D21,Milestones!$AA$60)&gt;=$Z21),$AC21,IF(AND($Y21&lt;&gt;"",EDATE($D21,Milestones!$AA$60)&gt;=$Y21),$AB21,$AA21)))=Milestones!$AB$60),UPPER(TEXT(EDATE($D21,Milestones!$AA$60),"dd mmm yy"))&amp;" "&amp;Milestones!$AB$60&amp;" "&amp;IF(AND(Milestones!$AB$60="FT",Milestones!$AA$60=FT_Y5,EDATE($D21,Milestones!$AA$60)&lt;PolicyEff),1,Milestones!$AC$60)&amp;";  ","")&amp;IF(AND(EDATE($D21,Milestones!$AA$61)&lt;=AsOfDate,EDATE($D21,Milestones!$AA$61)&gt;=SchemeStart,IF($X21=0,$AD21,IF(AND($Z21&lt;&gt;"",EDATE($D21,Milestones!$AA$61)&gt;=$Z21),$AC21,IF(AND($Y21&lt;&gt;"",EDATE($D21,Milestones!$AA$61)&gt;=$Y21),$AB21,$AA21)))=Milestones!$AB$61),UPPER(TEXT(EDATE($D21,Milestones!$AA$61),"dd mmm yy"))&amp;" "&amp;Milestones!$AB$61&amp;" "&amp;IF(AND(Milestones!$AB$61="FT",Milestones!$AA$61=FT_Y5,EDATE($D21,Milestones!$AA$61)&lt;PolicyEff),1,Milestones!$AC$61)&amp;";  ","")&amp;IF(AND(EDATE($D21,Milestones!$AA$62)&lt;=AsOfDate,EDATE($D21,Milestones!$AA$62)&gt;=SchemeStart,IF($X21=0,$AD21,IF(AND($Z21&lt;&gt;"",EDATE($D21,Milestones!$AA$62)&gt;=$Z21),$AC21,IF(AND($Y21&lt;&gt;"",EDATE($D21,Milestones!$AA$62)&gt;=$Y21),$AB21,$AA21)))=Milestones!$AB$62),UPPER(TEXT(EDATE($D21,Milestones!$AA$62),"dd mmm yy"))&amp;" "&amp;Milestones!$AB$62&amp;" "&amp;IF(AND(Milestones!$AB$62="FT",Milestones!$AA$62=FT_Y5,EDATE($D21,Milestones!$AA$62)&lt;PolicyEff),1,Milestones!$AC$62)&amp;";  ","")&amp;IF(AND(EDATE($D21,Milestones!$AA$63)&lt;=AsOfDate,EDATE($D21,Milestones!$AA$63)&gt;=SchemeStart,IF($X21=0,$AD21,IF(AND($Z21&lt;&gt;"",EDATE($D21,Milestones!$AA$63)&gt;=$Z21),$AC21,IF(AND($Y21&lt;&gt;"",EDATE($D21,Milestones!$AA$63)&gt;=$Y21),$AB21,$AA21)))=Milestones!$AB$63),UPPER(TEXT(EDATE($D21,Milestones!$AA$63),"dd mmm yy"))&amp;" "&amp;Milestones!$AB$63&amp;" "&amp;IF(AND(Milestones!$AB$63="FT",Milestones!$AA$63=FT_Y5,EDATE($D21,Milestones!$AA$63)&lt;PolicyEff),1,Milestones!$AC$63)&amp;";  ","")&amp;IF(AND(EDATE($D21,Milestones!$AA$64)&lt;=AsOfDate,EDATE($D21,Milestones!$AA$64)&gt;=SchemeStart,IF($X21=0,$AD21,IF(AND($Z21&lt;&gt;"",EDATE($D21,Milestones!$AA$64)&gt;=$Z21),$AC21,IF(AND($Y21&lt;&gt;"",EDATE($D21,Milestones!$AA$64)&gt;=$Y21),$AB21,$AA21)))=Milestones!$AB$64),UPPER(TEXT(EDATE($D21,Milestones!$AA$64),"dd mmm yy"))&amp;" "&amp;Milestones!$AB$64&amp;" "&amp;IF(AND(Milestones!$AB$64="FT",Milestones!$AA$64=FT_Y5,EDATE($D21,Milestones!$AA$64)&lt;PolicyEff),1,Milestones!$AC$64)&amp;";  ","")&amp;IF(AND(EDATE($D21,Milestones!$AA$65)&lt;=AsOfDate,EDATE($D21,Milestones!$AA$65)&gt;=SchemeStart,IF($X21=0,$AD21,IF(AND($Z21&lt;&gt;"",EDATE($D21,Milestones!$AA$65)&gt;=$Z21),$AC21,IF(AND($Y21&lt;&gt;"",EDATE($D21,Milestones!$AA$65)&gt;=$Y21),$AB21,$AA21)))=Milestones!$AB$65),UPPER(TEXT(EDATE($D21,Milestones!$AA$65),"dd mmm yy"))&amp;" "&amp;Milestones!$AB$65&amp;" "&amp;IF(AND(Milestones!$AB$65="FT",Milestones!$AA$65=FT_Y5,EDATE($D21,Milestones!$AA$65)&lt;PolicyEff),1,Milestones!$AC$65)&amp;";  ","")&amp;IF(AND(EDATE($D21,Milestones!$AA$66)&lt;=AsOfDate,EDATE($D21,Milestones!$AA$66)&gt;=SchemeStart,IF($X21=0,$AD21,IF(AND($Z21&lt;&gt;"",EDATE($D21,Milestones!$AA$66)&gt;=$Z21),$AC21,IF(AND($Y21&lt;&gt;"",EDATE($D21,Milestones!$AA$66)&gt;=$Y21),$AB21,$AA21)))=Milestones!$AB$66),UPPER(TEXT(EDATE($D21,Milestones!$AA$66),"dd mmm yy"))&amp;" "&amp;Milestones!$AB$66&amp;" "&amp;IF(AND(Milestones!$AB$66="FT",Milestones!$AA$66=FT_Y5,EDATE($D21,Milestones!$AA$66)&lt;PolicyEff),1,Milestones!$AC$66)&amp;";  ","")&amp;IF(AND(EDATE($D21,Milestones!$AA$67)&lt;=AsOfDate,EDATE($D21,Milestones!$AA$67)&gt;=SchemeStart,IF($X21=0,$AD21,IF(AND($Z21&lt;&gt;"",EDATE($D21,Milestones!$AA$67)&gt;=$Z21),$AC21,IF(AND($Y21&lt;&gt;"",EDATE($D21,Milestones!$AA$67)&gt;=$Y21),$AB21,$AA21)))=Milestones!$AB$67),UPPER(TEXT(EDATE($D21,Milestones!$AA$67),"dd mmm yy"))&amp;" "&amp;Milestones!$AB$67&amp;" "&amp;IF(AND(Milestones!$AB$67="FT",Milestones!$AA$67=FT_Y5,EDATE($D21,Milestones!$AA$67)&lt;PolicyEff),1,Milestones!$AC$67)&amp;";  ",""))</f>
        <v/>
      </c>
      <c r="M21" s="0" t="str">
        <f aca="false">IF(OR($A21="",$D21=""),"",IF(AND(EDATE($D21,Milestones!$AA$68)&lt;=AsOfDate,EDATE($D21,Milestones!$AA$68)&gt;=SchemeStart,IF($X21=0,$AD21,IF(AND($Z21&lt;&gt;"",EDATE($D21,Milestones!$AA$68)&gt;=$Z21),$AC21,IF(AND($Y21&lt;&gt;"",EDATE($D21,Milestones!$AA$68)&gt;=$Y21),$AB21,$AA21)))=Milestones!$AB$68),UPPER(TEXT(EDATE($D21,Milestones!$AA$68),"dd mmm yy"))&amp;" "&amp;Milestones!$AB$68&amp;" "&amp;IF(AND(Milestones!$AB$68="FT",Milestones!$AA$68=FT_Y5,EDATE($D21,Milestones!$AA$68)&lt;PolicyEff),1,Milestones!$AC$68)&amp;";  ","")&amp;IF(AND(EDATE($D21,Milestones!$AA$69)&lt;=AsOfDate,EDATE($D21,Milestones!$AA$69)&gt;=SchemeStart,IF($X21=0,$AD21,IF(AND($Z21&lt;&gt;"",EDATE($D21,Milestones!$AA$69)&gt;=$Z21),$AC21,IF(AND($Y21&lt;&gt;"",EDATE($D21,Milestones!$AA$69)&gt;=$Y21),$AB21,$AA21)))=Milestones!$AB$69),UPPER(TEXT(EDATE($D21,Milestones!$AA$69),"dd mmm yy"))&amp;" "&amp;Milestones!$AB$69&amp;" "&amp;IF(AND(Milestones!$AB$69="FT",Milestones!$AA$69=FT_Y5,EDATE($D21,Milestones!$AA$69)&lt;PolicyEff),1,Milestones!$AC$69)&amp;";  ","")&amp;IF(AND(EDATE($D21,Milestones!$AA$70)&lt;=AsOfDate,EDATE($D21,Milestones!$AA$70)&gt;=SchemeStart,IF($X21=0,$AD21,IF(AND($Z21&lt;&gt;"",EDATE($D21,Milestones!$AA$70)&gt;=$Z21),$AC21,IF(AND($Y21&lt;&gt;"",EDATE($D21,Milestones!$AA$70)&gt;=$Y21),$AB21,$AA21)))=Milestones!$AB$70),UPPER(TEXT(EDATE($D21,Milestones!$AA$70),"dd mmm yy"))&amp;" "&amp;Milestones!$AB$70&amp;" "&amp;IF(AND(Milestones!$AB$70="FT",Milestones!$AA$70=FT_Y5,EDATE($D21,Milestones!$AA$70)&lt;PolicyEff),1,Milestones!$AC$70)&amp;";  ","")&amp;IF(AND(EDATE($D21,Milestones!$AA$71)&lt;=AsOfDate,EDATE($D21,Milestones!$AA$71)&gt;=SchemeStart,IF($X21=0,$AD21,IF(AND($Z21&lt;&gt;"",EDATE($D21,Milestones!$AA$71)&gt;=$Z21),$AC21,IF(AND($Y21&lt;&gt;"",EDATE($D21,Milestones!$AA$71)&gt;=$Y21),$AB21,$AA21)))=Milestones!$AB$71),UPPER(TEXT(EDATE($D21,Milestones!$AA$71),"dd mmm yy"))&amp;" "&amp;Milestones!$AB$71&amp;" "&amp;IF(AND(Milestones!$AB$71="FT",Milestones!$AA$71=FT_Y5,EDATE($D21,Milestones!$AA$71)&lt;PolicyEff),1,Milestones!$AC$71)&amp;";  ","")&amp;IF(AND(EDATE($D21,Milestones!$AA$72)&lt;=AsOfDate,EDATE($D21,Milestones!$AA$72)&gt;=SchemeStart,IF($X21=0,$AD21,IF(AND($Z21&lt;&gt;"",EDATE($D21,Milestones!$AA$72)&gt;=$Z21),$AC21,IF(AND($Y21&lt;&gt;"",EDATE($D21,Milestones!$AA$72)&gt;=$Y21),$AB21,$AA21)))=Milestones!$AB$72),UPPER(TEXT(EDATE($D21,Milestones!$AA$72),"dd mmm yy"))&amp;" "&amp;Milestones!$AB$72&amp;" "&amp;IF(AND(Milestones!$AB$72="FT",Milestones!$AA$72=FT_Y5,EDATE($D21,Milestones!$AA$72)&lt;PolicyEff),1,Milestones!$AC$72)&amp;";  ","")&amp;IF(AND(EDATE($D21,Milestones!$AA$73)&lt;=AsOfDate,EDATE($D21,Milestones!$AA$73)&gt;=SchemeStart,IF($X21=0,$AD21,IF(AND($Z21&lt;&gt;"",EDATE($D21,Milestones!$AA$73)&gt;=$Z21),$AC21,IF(AND($Y21&lt;&gt;"",EDATE($D21,Milestones!$AA$73)&gt;=$Y21),$AB21,$AA21)))=Milestones!$AB$73),UPPER(TEXT(EDATE($D21,Milestones!$AA$73),"dd mmm yy"))&amp;" "&amp;Milestones!$AB$73&amp;" "&amp;IF(AND(Milestones!$AB$73="FT",Milestones!$AA$73=FT_Y5,EDATE($D21,Milestones!$AA$73)&lt;PolicyEff),1,Milestones!$AC$73)&amp;";  ","")&amp;IF(AND(EDATE($D21,Milestones!$AA$74)&lt;=AsOfDate,EDATE($D21,Milestones!$AA$74)&gt;=SchemeStart,IF($X21=0,$AD21,IF(AND($Z21&lt;&gt;"",EDATE($D21,Milestones!$AA$74)&gt;=$Z21),$AC21,IF(AND($Y21&lt;&gt;"",EDATE($D21,Milestones!$AA$74)&gt;=$Y21),$AB21,$AA21)))=Milestones!$AB$74),UPPER(TEXT(EDATE($D21,Milestones!$AA$74),"dd mmm yy"))&amp;" "&amp;Milestones!$AB$74&amp;" "&amp;IF(AND(Milestones!$AB$74="FT",Milestones!$AA$74=FT_Y5,EDATE($D21,Milestones!$AA$74)&lt;PolicyEff),1,Milestones!$AC$74)&amp;";  ","")&amp;IF(AND(EDATE($D21,Milestones!$AA$75)&lt;=AsOfDate,EDATE($D21,Milestones!$AA$75)&gt;=SchemeStart,IF($X21=0,$AD21,IF(AND($Z21&lt;&gt;"",EDATE($D21,Milestones!$AA$75)&gt;=$Z21),$AC21,IF(AND($Y21&lt;&gt;"",EDATE($D21,Milestones!$AA$75)&gt;=$Y21),$AB21,$AA21)))=Milestones!$AB$75),UPPER(TEXT(EDATE($D21,Milestones!$AA$75),"dd mmm yy"))&amp;" "&amp;Milestones!$AB$75&amp;" "&amp;IF(AND(Milestones!$AB$75="FT",Milestones!$AA$75=FT_Y5,EDATE($D21,Milestones!$AA$75)&lt;PolicyEff),1,Milestones!$AC$75)&amp;";  ","")&amp;IF(AND(EDATE($D21,Milestones!$AA$76)&lt;=AsOfDate,EDATE($D21,Milestones!$AA$76)&gt;=SchemeStart,IF($X21=0,$AD21,IF(AND($Z21&lt;&gt;"",EDATE($D21,Milestones!$AA$76)&gt;=$Z21),$AC21,IF(AND($Y21&lt;&gt;"",EDATE($D21,Milestones!$AA$76)&gt;=$Y21),$AB21,$AA21)))=Milestones!$AB$76),UPPER(TEXT(EDATE($D21,Milestones!$AA$76),"dd mmm yy"))&amp;" "&amp;Milestones!$AB$76&amp;" "&amp;IF(AND(Milestones!$AB$76="FT",Milestones!$AA$76=FT_Y5,EDATE($D21,Milestones!$AA$76)&lt;PolicyEff),1,Milestones!$AC$76)&amp;";  ","")&amp;IF(AND(EDATE($D21,Milestones!$AA$77)&lt;=AsOfDate,EDATE($D21,Milestones!$AA$77)&gt;=SchemeStart,IF($X21=0,$AD21,IF(AND($Z21&lt;&gt;"",EDATE($D21,Milestones!$AA$77)&gt;=$Z21),$AC21,IF(AND($Y21&lt;&gt;"",EDATE($D21,Milestones!$AA$77)&gt;=$Y21),$AB21,$AA21)))=Milestones!$AB$77),UPPER(TEXT(EDATE($D21,Milestones!$AA$77),"dd mmm yy"))&amp;" "&amp;Milestones!$AB$77&amp;" "&amp;IF(AND(Milestones!$AB$77="FT",Milestones!$AA$77=FT_Y5,EDATE($D21,Milestones!$AA$77)&lt;PolicyEff),1,Milestones!$AC$77)&amp;";  ","")&amp;IF(AND(EDATE($D21,Milestones!$AA$78)&lt;=AsOfDate,EDATE($D21,Milestones!$AA$78)&gt;=SchemeStart,IF($X21=0,$AD21,IF(AND($Z21&lt;&gt;"",EDATE($D21,Milestones!$AA$78)&gt;=$Z21),$AC21,IF(AND($Y21&lt;&gt;"",EDATE($D21,Milestones!$AA$78)&gt;=$Y21),$AB21,$AA21)))=Milestones!$AB$78),UPPER(TEXT(EDATE($D21,Milestones!$AA$78),"dd mmm yy"))&amp;" "&amp;Milestones!$AB$78&amp;" "&amp;IF(AND(Milestones!$AB$78="FT",Milestones!$AA$78=FT_Y5,EDATE($D21,Milestones!$AA$78)&lt;PolicyEff),1,Milestones!$AC$78)&amp;";  ","")&amp;IF(AND(EDATE($D21,Milestones!$AA$79)&lt;=AsOfDate,EDATE($D21,Milestones!$AA$79)&gt;=SchemeStart,IF($X21=0,$AD21,IF(AND($Z21&lt;&gt;"",EDATE($D21,Milestones!$AA$79)&gt;=$Z21),$AC21,IF(AND($Y21&lt;&gt;"",EDATE($D21,Milestones!$AA$79)&gt;=$Y21),$AB21,$AA21)))=Milestones!$AB$79),UPPER(TEXT(EDATE($D21,Milestones!$AA$79),"dd mmm yy"))&amp;" "&amp;Milestones!$AB$79&amp;" "&amp;IF(AND(Milestones!$AB$79="FT",Milestones!$AA$79=FT_Y5,EDATE($D21,Milestones!$AA$79)&lt;PolicyEff),1,Milestones!$AC$79)&amp;";  ",""))</f>
        <v/>
      </c>
      <c r="N21" s="0" t="str">
        <f aca="false">IF(OR($A21="",$D21=""),"",IF(AND(EDATE($D21,Milestones!$AA$80)&lt;=AsOfDate,EDATE($D21,Milestones!$AA$80)&gt;=SchemeStart,IF($X21=0,$AD21,IF(AND($Z21&lt;&gt;"",EDATE($D21,Milestones!$AA$80)&gt;=$Z21),$AC21,IF(AND($Y21&lt;&gt;"",EDATE($D21,Milestones!$AA$80)&gt;=$Y21),$AB21,$AA21)))=Milestones!$AB$80),UPPER(TEXT(EDATE($D21,Milestones!$AA$80),"dd mmm yy"))&amp;" "&amp;Milestones!$AB$80&amp;" "&amp;IF(AND(Milestones!$AB$80="FT",Milestones!$AA$80=FT_Y5,EDATE($D21,Milestones!$AA$80)&lt;PolicyEff),1,Milestones!$AC$80)&amp;";  ","")&amp;IF(AND(EDATE($D21,Milestones!$AA$81)&lt;=AsOfDate,EDATE($D21,Milestones!$AA$81)&gt;=SchemeStart,IF($X21=0,$AD21,IF(AND($Z21&lt;&gt;"",EDATE($D21,Milestones!$AA$81)&gt;=$Z21),$AC21,IF(AND($Y21&lt;&gt;"",EDATE($D21,Milestones!$AA$81)&gt;=$Y21),$AB21,$AA21)))=Milestones!$AB$81),UPPER(TEXT(EDATE($D21,Milestones!$AA$81),"dd mmm yy"))&amp;" "&amp;Milestones!$AB$81&amp;" "&amp;IF(AND(Milestones!$AB$81="FT",Milestones!$AA$81=FT_Y5,EDATE($D21,Milestones!$AA$81)&lt;PolicyEff),1,Milestones!$AC$81)&amp;";  ","")&amp;IF(AND(EDATE($D21,Milestones!$AA$82)&lt;=AsOfDate,EDATE($D21,Milestones!$AA$82)&gt;=SchemeStart,IF($X21=0,$AD21,IF(AND($Z21&lt;&gt;"",EDATE($D21,Milestones!$AA$82)&gt;=$Z21),$AC21,IF(AND($Y21&lt;&gt;"",EDATE($D21,Milestones!$AA$82)&gt;=$Y21),$AB21,$AA21)))=Milestones!$AB$82),UPPER(TEXT(EDATE($D21,Milestones!$AA$82),"dd mmm yy"))&amp;" "&amp;Milestones!$AB$82&amp;" "&amp;IF(AND(Milestones!$AB$82="FT",Milestones!$AA$82=FT_Y5,EDATE($D21,Milestones!$AA$82)&lt;PolicyEff),1,Milestones!$AC$82)&amp;";  ","")&amp;IF(AND(EDATE($D21,Milestones!$AA$83)&lt;=AsOfDate,EDATE($D21,Milestones!$AA$83)&gt;=SchemeStart,IF($X21=0,$AD21,IF(AND($Z21&lt;&gt;"",EDATE($D21,Milestones!$AA$83)&gt;=$Z21),$AC21,IF(AND($Y21&lt;&gt;"",EDATE($D21,Milestones!$AA$83)&gt;=$Y21),$AB21,$AA21)))=Milestones!$AB$83),UPPER(TEXT(EDATE($D21,Milestones!$AA$83),"dd mmm yy"))&amp;" "&amp;Milestones!$AB$83&amp;" "&amp;IF(AND(Milestones!$AB$83="FT",Milestones!$AA$83=FT_Y5,EDATE($D21,Milestones!$AA$83)&lt;PolicyEff),1,Milestones!$AC$83)&amp;";  ","")&amp;IF(AND(EDATE($D21,Milestones!$AA$84)&lt;=AsOfDate,EDATE($D21,Milestones!$AA$84)&gt;=SchemeStart,IF($X21=0,$AD21,IF(AND($Z21&lt;&gt;"",EDATE($D21,Milestones!$AA$84)&gt;=$Z21),$AC21,IF(AND($Y21&lt;&gt;"",EDATE($D21,Milestones!$AA$84)&gt;=$Y21),$AB21,$AA21)))=Milestones!$AB$84),UPPER(TEXT(EDATE($D21,Milestones!$AA$84),"dd mmm yy"))&amp;" "&amp;Milestones!$AB$84&amp;" "&amp;IF(AND(Milestones!$AB$84="FT",Milestones!$AA$84=FT_Y5,EDATE($D21,Milestones!$AA$84)&lt;PolicyEff),1,Milestones!$AC$84)&amp;";  ","")&amp;IF(AND(EDATE($D21,Milestones!$AA$85)&lt;=AsOfDate,EDATE($D21,Milestones!$AA$85)&gt;=SchemeStart,IF($X21=0,$AD21,IF(AND($Z21&lt;&gt;"",EDATE($D21,Milestones!$AA$85)&gt;=$Z21),$AC21,IF(AND($Y21&lt;&gt;"",EDATE($D21,Milestones!$AA$85)&gt;=$Y21),$AB21,$AA21)))=Milestones!$AB$85),UPPER(TEXT(EDATE($D21,Milestones!$AA$85),"dd mmm yy"))&amp;" "&amp;Milestones!$AB$85&amp;" "&amp;IF(AND(Milestones!$AB$85="FT",Milestones!$AA$85=FT_Y5,EDATE($D21,Milestones!$AA$85)&lt;PolicyEff),1,Milestones!$AC$85)&amp;";  ","")&amp;IF(AND(EDATE($D21,Milestones!$AA$86)&lt;=AsOfDate,EDATE($D21,Milestones!$AA$86)&gt;=SchemeStart,IF($X21=0,$AD21,IF(AND($Z21&lt;&gt;"",EDATE($D21,Milestones!$AA$86)&gt;=$Z21),$AC21,IF(AND($Y21&lt;&gt;"",EDATE($D21,Milestones!$AA$86)&gt;=$Y21),$AB21,$AA21)))=Milestones!$AB$86),UPPER(TEXT(EDATE($D21,Milestones!$AA$86),"dd mmm yy"))&amp;" "&amp;Milestones!$AB$86&amp;" "&amp;IF(AND(Milestones!$AB$86="FT",Milestones!$AA$86=FT_Y5,EDATE($D21,Milestones!$AA$86)&lt;PolicyEff),1,Milestones!$AC$86)&amp;";  ","")&amp;IF(AND(EDATE($D21,Milestones!$AA$87)&lt;=AsOfDate,EDATE($D21,Milestones!$AA$87)&gt;=SchemeStart,IF($X21=0,$AD21,IF(AND($Z21&lt;&gt;"",EDATE($D21,Milestones!$AA$87)&gt;=$Z21),$AC21,IF(AND($Y21&lt;&gt;"",EDATE($D21,Milestones!$AA$87)&gt;=$Y21),$AB21,$AA21)))=Milestones!$AB$87),UPPER(TEXT(EDATE($D21,Milestones!$AA$87),"dd mmm yy"))&amp;" "&amp;Milestones!$AB$87&amp;" "&amp;IF(AND(Milestones!$AB$87="FT",Milestones!$AA$87=FT_Y5,EDATE($D21,Milestones!$AA$87)&lt;PolicyEff),1,Milestones!$AC$87)&amp;";  ","")&amp;IF(AND(EDATE($D21,Milestones!$AA$88)&lt;=AsOfDate,EDATE($D21,Milestones!$AA$88)&gt;=SchemeStart,IF($X21=0,$AD21,IF(AND($Z21&lt;&gt;"",EDATE($D21,Milestones!$AA$88)&gt;=$Z21),$AC21,IF(AND($Y21&lt;&gt;"",EDATE($D21,Milestones!$AA$88)&gt;=$Y21),$AB21,$AA21)))=Milestones!$AB$88),UPPER(TEXT(EDATE($D21,Milestones!$AA$88),"dd mmm yy"))&amp;" "&amp;Milestones!$AB$88&amp;" "&amp;IF(AND(Milestones!$AB$88="FT",Milestones!$AA$88=FT_Y5,EDATE($D21,Milestones!$AA$88)&lt;PolicyEff),1,Milestones!$AC$88)&amp;";  ","")&amp;IF(AND(EDATE($D21,Milestones!$AA$89)&lt;=AsOfDate,EDATE($D21,Milestones!$AA$89)&gt;=SchemeStart,IF($X21=0,$AD21,IF(AND($Z21&lt;&gt;"",EDATE($D21,Milestones!$AA$89)&gt;=$Z21),$AC21,IF(AND($Y21&lt;&gt;"",EDATE($D21,Milestones!$AA$89)&gt;=$Y21),$AB21,$AA21)))=Milestones!$AB$89),UPPER(TEXT(EDATE($D21,Milestones!$AA$89),"dd mmm yy"))&amp;" "&amp;Milestones!$AB$89&amp;" "&amp;IF(AND(Milestones!$AB$89="FT",Milestones!$AA$89=FT_Y5,EDATE($D21,Milestones!$AA$89)&lt;PolicyEff),1,Milestones!$AC$89)&amp;";  ","")&amp;IF(AND(EDATE($D21,Milestones!$AA$90)&lt;=AsOfDate,EDATE($D21,Milestones!$AA$90)&gt;=SchemeStart,IF($X21=0,$AD21,IF(AND($Z21&lt;&gt;"",EDATE($D21,Milestones!$AA$90)&gt;=$Z21),$AC21,IF(AND($Y21&lt;&gt;"",EDATE($D21,Milestones!$AA$90)&gt;=$Y21),$AB21,$AA21)))=Milestones!$AB$90),UPPER(TEXT(EDATE($D21,Milestones!$AA$90),"dd mmm yy"))&amp;" "&amp;Milestones!$AB$90&amp;" "&amp;IF(AND(Milestones!$AB$90="FT",Milestones!$AA$90=FT_Y5,EDATE($D21,Milestones!$AA$90)&lt;PolicyEff),1,Milestones!$AC$90)&amp;";  ","")&amp;IF(AND(EDATE($D21,Milestones!$AA$91)&lt;=AsOfDate,EDATE($D21,Milestones!$AA$91)&gt;=SchemeStart,IF($X21=0,$AD21,IF(AND($Z21&lt;&gt;"",EDATE($D21,Milestones!$AA$91)&gt;=$Z21),$AC21,IF(AND($Y21&lt;&gt;"",EDATE($D21,Milestones!$AA$91)&gt;=$Y21),$AB21,$AA21)))=Milestones!$AB$91),UPPER(TEXT(EDATE($D21,Milestones!$AA$91),"dd mmm yy"))&amp;" "&amp;Milestones!$AB$91&amp;" "&amp;IF(AND(Milestones!$AB$91="FT",Milestones!$AA$91=FT_Y5,EDATE($D21,Milestones!$AA$91)&lt;PolicyEff),1,Milestones!$AC$91)&amp;";  ",""))</f>
        <v/>
      </c>
      <c r="O21" s="0" t="str">
        <f aca="false">IF(OR($A21="",$D21=""),"",IF(AND(EDATE($D21,Milestones!$AA$92)&lt;=AsOfDate,EDATE($D21,Milestones!$AA$92)&gt;=SchemeStart,IF($X21=0,$AD21,IF(AND($Z21&lt;&gt;"",EDATE($D21,Milestones!$AA$92)&gt;=$Z21),$AC21,IF(AND($Y21&lt;&gt;"",EDATE($D21,Milestones!$AA$92)&gt;=$Y21),$AB21,$AA21)))=Milestones!$AB$92),UPPER(TEXT(EDATE($D21,Milestones!$AA$92),"dd mmm yy"))&amp;" "&amp;Milestones!$AB$92&amp;" "&amp;IF(AND(Milestones!$AB$92="FT",Milestones!$AA$92=FT_Y5,EDATE($D21,Milestones!$AA$92)&lt;PolicyEff),1,Milestones!$AC$92)&amp;";  ","")&amp;IF(AND(EDATE($D21,Milestones!$AA$93)&lt;=AsOfDate,EDATE($D21,Milestones!$AA$93)&gt;=SchemeStart,IF($X21=0,$AD21,IF(AND($Z21&lt;&gt;"",EDATE($D21,Milestones!$AA$93)&gt;=$Z21),$AC21,IF(AND($Y21&lt;&gt;"",EDATE($D21,Milestones!$AA$93)&gt;=$Y21),$AB21,$AA21)))=Milestones!$AB$93),UPPER(TEXT(EDATE($D21,Milestones!$AA$93),"dd mmm yy"))&amp;" "&amp;Milestones!$AB$93&amp;" "&amp;IF(AND(Milestones!$AB$93="FT",Milestones!$AA$93=FT_Y5,EDATE($D21,Milestones!$AA$93)&lt;PolicyEff),1,Milestones!$AC$93)&amp;";  ","")&amp;IF(AND(EDATE($D21,Milestones!$AA$94)&lt;=AsOfDate,EDATE($D21,Milestones!$AA$94)&gt;=SchemeStart,IF($X21=0,$AD21,IF(AND($Z21&lt;&gt;"",EDATE($D21,Milestones!$AA$94)&gt;=$Z21),$AC21,IF(AND($Y21&lt;&gt;"",EDATE($D21,Milestones!$AA$94)&gt;=$Y21),$AB21,$AA21)))=Milestones!$AB$94),UPPER(TEXT(EDATE($D21,Milestones!$AA$94),"dd mmm yy"))&amp;" "&amp;Milestones!$AB$94&amp;" "&amp;IF(AND(Milestones!$AB$94="FT",Milestones!$AA$94=FT_Y5,EDATE($D21,Milestones!$AA$94)&lt;PolicyEff),1,Milestones!$AC$94)&amp;";  ","")&amp;IF(AND(EDATE($D21,Milestones!$AA$95)&lt;=AsOfDate,EDATE($D21,Milestones!$AA$95)&gt;=SchemeStart,IF($X21=0,$AD21,IF(AND($Z21&lt;&gt;"",EDATE($D21,Milestones!$AA$95)&gt;=$Z21),$AC21,IF(AND($Y21&lt;&gt;"",EDATE($D21,Milestones!$AA$95)&gt;=$Y21),$AB21,$AA21)))=Milestones!$AB$95),UPPER(TEXT(EDATE($D21,Milestones!$AA$95),"dd mmm yy"))&amp;" "&amp;Milestones!$AB$95&amp;" "&amp;IF(AND(Milestones!$AB$95="FT",Milestones!$AA$95=FT_Y5,EDATE($D21,Milestones!$AA$95)&lt;PolicyEff),1,Milestones!$AC$95)&amp;";  ","")&amp;IF(AND(EDATE($D21,Milestones!$AA$96)&lt;=AsOfDate,EDATE($D21,Milestones!$AA$96)&gt;=SchemeStart,IF($X21=0,$AD21,IF(AND($Z21&lt;&gt;"",EDATE($D21,Milestones!$AA$96)&gt;=$Z21),$AC21,IF(AND($Y21&lt;&gt;"",EDATE($D21,Milestones!$AA$96)&gt;=$Y21),$AB21,$AA21)))=Milestones!$AB$96),UPPER(TEXT(EDATE($D21,Milestones!$AA$96),"dd mmm yy"))&amp;" "&amp;Milestones!$AB$96&amp;" "&amp;IF(AND(Milestones!$AB$96="FT",Milestones!$AA$96=FT_Y5,EDATE($D21,Milestones!$AA$96)&lt;PolicyEff),1,Milestones!$AC$96)&amp;";  ","")&amp;IF(AND(EDATE($D21,Milestones!$AA$97)&lt;=AsOfDate,EDATE($D21,Milestones!$AA$97)&gt;=SchemeStart,IF($X21=0,$AD21,IF(AND($Z21&lt;&gt;"",EDATE($D21,Milestones!$AA$97)&gt;=$Z21),$AC21,IF(AND($Y21&lt;&gt;"",EDATE($D21,Milestones!$AA$97)&gt;=$Y21),$AB21,$AA21)))=Milestones!$AB$97),UPPER(TEXT(EDATE($D21,Milestones!$AA$97),"dd mmm yy"))&amp;" "&amp;Milestones!$AB$97&amp;" "&amp;IF(AND(Milestones!$AB$97="FT",Milestones!$AA$97=FT_Y5,EDATE($D21,Milestones!$AA$97)&lt;PolicyEff),1,Milestones!$AC$97)&amp;";  ","")&amp;IF(AND(EDATE($D21,Milestones!$AA$98)&lt;=AsOfDate,EDATE($D21,Milestones!$AA$98)&gt;=SchemeStart,IF($X21=0,$AD21,IF(AND($Z21&lt;&gt;"",EDATE($D21,Milestones!$AA$98)&gt;=$Z21),$AC21,IF(AND($Y21&lt;&gt;"",EDATE($D21,Milestones!$AA$98)&gt;=$Y21),$AB21,$AA21)))=Milestones!$AB$98),UPPER(TEXT(EDATE($D21,Milestones!$AA$98),"dd mmm yy"))&amp;" "&amp;Milestones!$AB$98&amp;" "&amp;IF(AND(Milestones!$AB$98="FT",Milestones!$AA$98=FT_Y5,EDATE($D21,Milestones!$AA$98)&lt;PolicyEff),1,Milestones!$AC$98)&amp;";  ","")&amp;IF(AND(EDATE($D21,Milestones!$AA$99)&lt;=AsOfDate,EDATE($D21,Milestones!$AA$99)&gt;=SchemeStart,IF($X21=0,$AD21,IF(AND($Z21&lt;&gt;"",EDATE($D21,Milestones!$AA$99)&gt;=$Z21),$AC21,IF(AND($Y21&lt;&gt;"",EDATE($D21,Milestones!$AA$99)&gt;=$Y21),$AB21,$AA21)))=Milestones!$AB$99),UPPER(TEXT(EDATE($D21,Milestones!$AA$99),"dd mmm yy"))&amp;" "&amp;Milestones!$AB$99&amp;" "&amp;IF(AND(Milestones!$AB$99="FT",Milestones!$AA$99=FT_Y5,EDATE($D21,Milestones!$AA$99)&lt;PolicyEff),1,Milestones!$AC$99)&amp;";  ","")&amp;IF(AND(EDATE($D21,Milestones!$AA$100)&lt;=AsOfDate,EDATE($D21,Milestones!$AA$100)&gt;=SchemeStart,IF($X21=0,$AD21,IF(AND($Z21&lt;&gt;"",EDATE($D21,Milestones!$AA$100)&gt;=$Z21),$AC21,IF(AND($Y21&lt;&gt;"",EDATE($D21,Milestones!$AA$100)&gt;=$Y21),$AB21,$AA21)))=Milestones!$AB$100),UPPER(TEXT(EDATE($D21,Milestones!$AA$100),"dd mmm yy"))&amp;" "&amp;Milestones!$AB$100&amp;" "&amp;IF(AND(Milestones!$AB$100="FT",Milestones!$AA$100=FT_Y5,EDATE($D21,Milestones!$AA$100)&lt;PolicyEff),1,Milestones!$AC$100)&amp;";  ","")&amp;IF(AND(EDATE($D21,Milestones!$AA$101)&lt;=AsOfDate,EDATE($D21,Milestones!$AA$101)&gt;=SchemeStart,IF($X21=0,$AD21,IF(AND($Z21&lt;&gt;"",EDATE($D21,Milestones!$AA$101)&gt;=$Z21),$AC21,IF(AND($Y21&lt;&gt;"",EDATE($D21,Milestones!$AA$101)&gt;=$Y21),$AB21,$AA21)))=Milestones!$AB$101),UPPER(TEXT(EDATE($D21,Milestones!$AA$101),"dd mmm yy"))&amp;" "&amp;Milestones!$AB$101&amp;" "&amp;IF(AND(Milestones!$AB$101="FT",Milestones!$AA$101=FT_Y5,EDATE($D21,Milestones!$AA$101)&lt;PolicyEff),1,Milestones!$AC$101)&amp;";  ","")&amp;IF(AND(EDATE($D21,Milestones!$AA$102)&lt;=AsOfDate,EDATE($D21,Milestones!$AA$102)&gt;=SchemeStart,IF($X21=0,$AD21,IF(AND($Z21&lt;&gt;"",EDATE($D21,Milestones!$AA$102)&gt;=$Z21),$AC21,IF(AND($Y21&lt;&gt;"",EDATE($D21,Milestones!$AA$102)&gt;=$Y21),$AB21,$AA21)))=Milestones!$AB$102),UPPER(TEXT(EDATE($D21,Milestones!$AA$102),"dd mmm yy"))&amp;" "&amp;Milestones!$AB$102&amp;" "&amp;IF(AND(Milestones!$AB$102="FT",Milestones!$AA$102=FT_Y5,EDATE($D21,Milestones!$AA$102)&lt;PolicyEff),1,Milestones!$AC$102)&amp;";  ","")&amp;IF(AND(EDATE($D21,Milestones!$AA$103)&lt;=AsOfDate,EDATE($D21,Milestones!$AA$103)&gt;=SchemeStart,IF($X21=0,$AD21,IF(AND($Z21&lt;&gt;"",EDATE($D21,Milestones!$AA$103)&gt;=$Z21),$AC21,IF(AND($Y21&lt;&gt;"",EDATE($D21,Milestones!$AA$103)&gt;=$Y21),$AB21,$AA21)))=Milestones!$AB$103),UPPER(TEXT(EDATE($D21,Milestones!$AA$103),"dd mmm yy"))&amp;" "&amp;Milestones!$AB$103&amp;" "&amp;IF(AND(Milestones!$AB$103="FT",Milestones!$AA$103=FT_Y5,EDATE($D21,Milestones!$AA$103)&lt;PolicyEff),1,Milestones!$AC$103)&amp;";  ",""))</f>
        <v/>
      </c>
      <c r="P21" s="0" t="str">
        <f aca="false">IF(OR($A21="",$D21=""),"",IF(AND(EDATE($D21,Milestones!$AA$104)&lt;=AsOfDate,EDATE($D21,Milestones!$AA$104)&gt;=SchemeStart,IF($X21=0,$AD21,IF(AND($Z21&lt;&gt;"",EDATE($D21,Milestones!$AA$104)&gt;=$Z21),$AC21,IF(AND($Y21&lt;&gt;"",EDATE($D21,Milestones!$AA$104)&gt;=$Y21),$AB21,$AA21)))=Milestones!$AB$104),UPPER(TEXT(EDATE($D21,Milestones!$AA$104),"dd mmm yy"))&amp;" "&amp;Milestones!$AB$104&amp;" "&amp;IF(AND(Milestones!$AB$104="FT",Milestones!$AA$104=FT_Y5,EDATE($D21,Milestones!$AA$104)&lt;PolicyEff),1,Milestones!$AC$104)&amp;";  ","")&amp;IF(AND(EDATE($D21,Milestones!$AA$105)&lt;=AsOfDate,EDATE($D21,Milestones!$AA$105)&gt;=SchemeStart,IF($X21=0,$AD21,IF(AND($Z21&lt;&gt;"",EDATE($D21,Milestones!$AA$105)&gt;=$Z21),$AC21,IF(AND($Y21&lt;&gt;"",EDATE($D21,Milestones!$AA$105)&gt;=$Y21),$AB21,$AA21)))=Milestones!$AB$105),UPPER(TEXT(EDATE($D21,Milestones!$AA$105),"dd mmm yy"))&amp;" "&amp;Milestones!$AB$105&amp;" "&amp;IF(AND(Milestones!$AB$105="FT",Milestones!$AA$105=FT_Y5,EDATE($D21,Milestones!$AA$105)&lt;PolicyEff),1,Milestones!$AC$105)&amp;";  ","")&amp;IF(AND(EDATE($D21,Milestones!$AA$106)&lt;=AsOfDate,EDATE($D21,Milestones!$AA$106)&gt;=SchemeStart,IF($X21=0,$AD21,IF(AND($Z21&lt;&gt;"",EDATE($D21,Milestones!$AA$106)&gt;=$Z21),$AC21,IF(AND($Y21&lt;&gt;"",EDATE($D21,Milestones!$AA$106)&gt;=$Y21),$AB21,$AA21)))=Milestones!$AB$106),UPPER(TEXT(EDATE($D21,Milestones!$AA$106),"dd mmm yy"))&amp;" "&amp;Milestones!$AB$106&amp;" "&amp;IF(AND(Milestones!$AB$106="FT",Milestones!$AA$106=FT_Y5,EDATE($D21,Milestones!$AA$106)&lt;PolicyEff),1,Milestones!$AC$106)&amp;";  ","")&amp;IF(AND(EDATE($D21,Milestones!$AA$107)&lt;=AsOfDate,EDATE($D21,Milestones!$AA$107)&gt;=SchemeStart,IF($X21=0,$AD21,IF(AND($Z21&lt;&gt;"",EDATE($D21,Milestones!$AA$107)&gt;=$Z21),$AC21,IF(AND($Y21&lt;&gt;"",EDATE($D21,Milestones!$AA$107)&gt;=$Y21),$AB21,$AA21)))=Milestones!$AB$107),UPPER(TEXT(EDATE($D21,Milestones!$AA$107),"dd mmm yy"))&amp;" "&amp;Milestones!$AB$107&amp;" "&amp;IF(AND(Milestones!$AB$107="FT",Milestones!$AA$107=FT_Y5,EDATE($D21,Milestones!$AA$107)&lt;PolicyEff),1,Milestones!$AC$107)&amp;";  ","")&amp;IF(AND(EDATE($D21,Milestones!$AA$108)&lt;=AsOfDate,EDATE($D21,Milestones!$AA$108)&gt;=SchemeStart,IF($X21=0,$AD21,IF(AND($Z21&lt;&gt;"",EDATE($D21,Milestones!$AA$108)&gt;=$Z21),$AC21,IF(AND($Y21&lt;&gt;"",EDATE($D21,Milestones!$AA$108)&gt;=$Y21),$AB21,$AA21)))=Milestones!$AB$108),UPPER(TEXT(EDATE($D21,Milestones!$AA$108),"dd mmm yy"))&amp;" "&amp;Milestones!$AB$108&amp;" "&amp;IF(AND(Milestones!$AB$108="FT",Milestones!$AA$108=FT_Y5,EDATE($D21,Milestones!$AA$108)&lt;PolicyEff),1,Milestones!$AC$108)&amp;";  ","")&amp;IF(AND(EDATE($D21,Milestones!$AA$109)&lt;=AsOfDate,EDATE($D21,Milestones!$AA$109)&gt;=SchemeStart,IF($X21=0,$AD21,IF(AND($Z21&lt;&gt;"",EDATE($D21,Milestones!$AA$109)&gt;=$Z21),$AC21,IF(AND($Y21&lt;&gt;"",EDATE($D21,Milestones!$AA$109)&gt;=$Y21),$AB21,$AA21)))=Milestones!$AB$109),UPPER(TEXT(EDATE($D21,Milestones!$AA$109),"dd mmm yy"))&amp;" "&amp;Milestones!$AB$109&amp;" "&amp;IF(AND(Milestones!$AB$109="FT",Milestones!$AA$109=FT_Y5,EDATE($D21,Milestones!$AA$109)&lt;PolicyEff),1,Milestones!$AC$109)&amp;";  ","")&amp;IF(AND(EDATE($D21,Milestones!$AA$110)&lt;=AsOfDate,EDATE($D21,Milestones!$AA$110)&gt;=SchemeStart,IF($X21=0,$AD21,IF(AND($Z21&lt;&gt;"",EDATE($D21,Milestones!$AA$110)&gt;=$Z21),$AC21,IF(AND($Y21&lt;&gt;"",EDATE($D21,Milestones!$AA$110)&gt;=$Y21),$AB21,$AA21)))=Milestones!$AB$110),UPPER(TEXT(EDATE($D21,Milestones!$AA$110),"dd mmm yy"))&amp;" "&amp;Milestones!$AB$110&amp;" "&amp;IF(AND(Milestones!$AB$110="FT",Milestones!$AA$110=FT_Y5,EDATE($D21,Milestones!$AA$110)&lt;PolicyEff),1,Milestones!$AC$110)&amp;";  ","")&amp;IF(AND(EDATE($D21,Milestones!$AA$111)&lt;=AsOfDate,EDATE($D21,Milestones!$AA$111)&gt;=SchemeStart,IF($X21=0,$AD21,IF(AND($Z21&lt;&gt;"",EDATE($D21,Milestones!$AA$111)&gt;=$Z21),$AC21,IF(AND($Y21&lt;&gt;"",EDATE($D21,Milestones!$AA$111)&gt;=$Y21),$AB21,$AA21)))=Milestones!$AB$111),UPPER(TEXT(EDATE($D21,Milestones!$AA$111),"dd mmm yy"))&amp;" "&amp;Milestones!$AB$111&amp;" "&amp;IF(AND(Milestones!$AB$111="FT",Milestones!$AA$111=FT_Y5,EDATE($D21,Milestones!$AA$111)&lt;PolicyEff),1,Milestones!$AC$111)&amp;";  ","")&amp;IF(AND(EDATE($D21,Milestones!$AA$112)&lt;=AsOfDate,EDATE($D21,Milestones!$AA$112)&gt;=SchemeStart,IF($X21=0,$AD21,IF(AND($Z21&lt;&gt;"",EDATE($D21,Milestones!$AA$112)&gt;=$Z21),$AC21,IF(AND($Y21&lt;&gt;"",EDATE($D21,Milestones!$AA$112)&gt;=$Y21),$AB21,$AA21)))=Milestones!$AB$112),UPPER(TEXT(EDATE($D21,Milestones!$AA$112),"dd mmm yy"))&amp;" "&amp;Milestones!$AB$112&amp;" "&amp;IF(AND(Milestones!$AB$112="FT",Milestones!$AA$112=FT_Y5,EDATE($D21,Milestones!$AA$112)&lt;PolicyEff),1,Milestones!$AC$112)&amp;";  ","")&amp;IF(AND(EDATE($D21,Milestones!$AA$113)&lt;=AsOfDate,EDATE($D21,Milestones!$AA$113)&gt;=SchemeStart,IF($X21=0,$AD21,IF(AND($Z21&lt;&gt;"",EDATE($D21,Milestones!$AA$113)&gt;=$Z21),$AC21,IF(AND($Y21&lt;&gt;"",EDATE($D21,Milestones!$AA$113)&gt;=$Y21),$AB21,$AA21)))=Milestones!$AB$113),UPPER(TEXT(EDATE($D21,Milestones!$AA$113),"dd mmm yy"))&amp;" "&amp;Milestones!$AB$113&amp;" "&amp;IF(AND(Milestones!$AB$113="FT",Milestones!$AA$113=FT_Y5,EDATE($D21,Milestones!$AA$113)&lt;PolicyEff),1,Milestones!$AC$113)&amp;";  ","")&amp;IF(AND(EDATE($D21,Milestones!$AA$114)&lt;=AsOfDate,EDATE($D21,Milestones!$AA$114)&gt;=SchemeStart,IF($X21=0,$AD21,IF(AND($Z21&lt;&gt;"",EDATE($D21,Milestones!$AA$114)&gt;=$Z21),$AC21,IF(AND($Y21&lt;&gt;"",EDATE($D21,Milestones!$AA$114)&gt;=$Y21),$AB21,$AA21)))=Milestones!$AB$114),UPPER(TEXT(EDATE($D21,Milestones!$AA$114),"dd mmm yy"))&amp;" "&amp;Milestones!$AB$114&amp;" "&amp;IF(AND(Milestones!$AB$114="FT",Milestones!$AA$114=FT_Y5,EDATE($D21,Milestones!$AA$114)&lt;PolicyEff),1,Milestones!$AC$114)&amp;";  ","")&amp;IF(AND(EDATE($D21,Milestones!$AA$115)&lt;=AsOfDate,EDATE($D21,Milestones!$AA$115)&gt;=SchemeStart,IF($X21=0,$AD21,IF(AND($Z21&lt;&gt;"",EDATE($D21,Milestones!$AA$115)&gt;=$Z21),$AC21,IF(AND($Y21&lt;&gt;"",EDATE($D21,Milestones!$AA$115)&gt;=$Y21),$AB21,$AA21)))=Milestones!$AB$115),UPPER(TEXT(EDATE($D21,Milestones!$AA$115),"dd mmm yy"))&amp;" "&amp;Milestones!$AB$115&amp;" "&amp;IF(AND(Milestones!$AB$115="FT",Milestones!$AA$115=FT_Y5,EDATE($D21,Milestones!$AA$115)&lt;PolicyEff),1,Milestones!$AC$115)&amp;";  ",""))</f>
        <v/>
      </c>
      <c r="Q21" s="0" t="str">
        <f aca="false">IF(OR($A21="",$D21=""),"",IF(AND(EDATE($D21,Milestones!$AA$116)&lt;=AsOfDate,EDATE($D21,Milestones!$AA$116)&gt;=SchemeStart,IF($X21=0,$AD21,IF(AND($Z21&lt;&gt;"",EDATE($D21,Milestones!$AA$116)&gt;=$Z21),$AC21,IF(AND($Y21&lt;&gt;"",EDATE($D21,Milestones!$AA$116)&gt;=$Y21),$AB21,$AA21)))=Milestones!$AB$116),UPPER(TEXT(EDATE($D21,Milestones!$AA$116),"dd mmm yy"))&amp;" "&amp;Milestones!$AB$116&amp;" "&amp;IF(AND(Milestones!$AB$116="FT",Milestones!$AA$116=FT_Y5,EDATE($D21,Milestones!$AA$116)&lt;PolicyEff),1,Milestones!$AC$116)&amp;";  ","")&amp;IF(AND(EDATE($D21,Milestones!$AA$117)&lt;=AsOfDate,EDATE($D21,Milestones!$AA$117)&gt;=SchemeStart,IF($X21=0,$AD21,IF(AND($Z21&lt;&gt;"",EDATE($D21,Milestones!$AA$117)&gt;=$Z21),$AC21,IF(AND($Y21&lt;&gt;"",EDATE($D21,Milestones!$AA$117)&gt;=$Y21),$AB21,$AA21)))=Milestones!$AB$117),UPPER(TEXT(EDATE($D21,Milestones!$AA$117),"dd mmm yy"))&amp;" "&amp;Milestones!$AB$117&amp;" "&amp;IF(AND(Milestones!$AB$117="FT",Milestones!$AA$117=FT_Y5,EDATE($D21,Milestones!$AA$117)&lt;PolicyEff),1,Milestones!$AC$117)&amp;";  ","")&amp;IF(AND(EDATE($D21,Milestones!$AA$118)&lt;=AsOfDate,EDATE($D21,Milestones!$AA$118)&gt;=SchemeStart,IF($X21=0,$AD21,IF(AND($Z21&lt;&gt;"",EDATE($D21,Milestones!$AA$118)&gt;=$Z21),$AC21,IF(AND($Y21&lt;&gt;"",EDATE($D21,Milestones!$AA$118)&gt;=$Y21),$AB21,$AA21)))=Milestones!$AB$118),UPPER(TEXT(EDATE($D21,Milestones!$AA$118),"dd mmm yy"))&amp;" "&amp;Milestones!$AB$118&amp;" "&amp;IF(AND(Milestones!$AB$118="FT",Milestones!$AA$118=FT_Y5,EDATE($D21,Milestones!$AA$118)&lt;PolicyEff),1,Milestones!$AC$118)&amp;";  ","")&amp;IF(AND(EDATE($D21,Milestones!$AA$119)&lt;=AsOfDate,EDATE($D21,Milestones!$AA$119)&gt;=SchemeStart,IF($X21=0,$AD21,IF(AND($Z21&lt;&gt;"",EDATE($D21,Milestones!$AA$119)&gt;=$Z21),$AC21,IF(AND($Y21&lt;&gt;"",EDATE($D21,Milestones!$AA$119)&gt;=$Y21),$AB21,$AA21)))=Milestones!$AB$119),UPPER(TEXT(EDATE($D21,Milestones!$AA$119),"dd mmm yy"))&amp;" "&amp;Milestones!$AB$119&amp;" "&amp;IF(AND(Milestones!$AB$119="FT",Milestones!$AA$119=FT_Y5,EDATE($D21,Milestones!$AA$119)&lt;PolicyEff),1,Milestones!$AC$119)&amp;";  ","")&amp;IF(AND(EDATE($D21,Milestones!$AA$120)&lt;=AsOfDate,EDATE($D21,Milestones!$AA$120)&gt;=SchemeStart,IF($X21=0,$AD21,IF(AND($Z21&lt;&gt;"",EDATE($D21,Milestones!$AA$120)&gt;=$Z21),$AC21,IF(AND($Y21&lt;&gt;"",EDATE($D21,Milestones!$AA$120)&gt;=$Y21),$AB21,$AA21)))=Milestones!$AB$120),UPPER(TEXT(EDATE($D21,Milestones!$AA$120),"dd mmm yy"))&amp;" "&amp;Milestones!$AB$120&amp;" "&amp;IF(AND(Milestones!$AB$120="FT",Milestones!$AA$120=FT_Y5,EDATE($D21,Milestones!$AA$120)&lt;PolicyEff),1,Milestones!$AC$120)&amp;";  ","")&amp;IF(AND(EDATE($D21,Milestones!$AA$121)&lt;=AsOfDate,EDATE($D21,Milestones!$AA$121)&gt;=SchemeStart,IF($X21=0,$AD21,IF(AND($Z21&lt;&gt;"",EDATE($D21,Milestones!$AA$121)&gt;=$Z21),$AC21,IF(AND($Y21&lt;&gt;"",EDATE($D21,Milestones!$AA$121)&gt;=$Y21),$AB21,$AA21)))=Milestones!$AB$121),UPPER(TEXT(EDATE($D21,Milestones!$AA$121),"dd mmm yy"))&amp;" "&amp;Milestones!$AB$121&amp;" "&amp;IF(AND(Milestones!$AB$121="FT",Milestones!$AA$121=FT_Y5,EDATE($D21,Milestones!$AA$121)&lt;PolicyEff),1,Milestones!$AC$121)&amp;";  ","")&amp;IF(AND(EDATE($D21,Milestones!$AA$122)&lt;=AsOfDate,EDATE($D21,Milestones!$AA$122)&gt;=SchemeStart,IF($X21=0,$AD21,IF(AND($Z21&lt;&gt;"",EDATE($D21,Milestones!$AA$122)&gt;=$Z21),$AC21,IF(AND($Y21&lt;&gt;"",EDATE($D21,Milestones!$AA$122)&gt;=$Y21),$AB21,$AA21)))=Milestones!$AB$122),UPPER(TEXT(EDATE($D21,Milestones!$AA$122),"dd mmm yy"))&amp;" "&amp;Milestones!$AB$122&amp;" "&amp;IF(AND(Milestones!$AB$122="FT",Milestones!$AA$122=FT_Y5,EDATE($D21,Milestones!$AA$122)&lt;PolicyEff),1,Milestones!$AC$122)&amp;";  ","")&amp;IF(AND(EDATE($D21,Milestones!$AA$123)&lt;=AsOfDate,EDATE($D21,Milestones!$AA$123)&gt;=SchemeStart,IF($X21=0,$AD21,IF(AND($Z21&lt;&gt;"",EDATE($D21,Milestones!$AA$123)&gt;=$Z21),$AC21,IF(AND($Y21&lt;&gt;"",EDATE($D21,Milestones!$AA$123)&gt;=$Y21),$AB21,$AA21)))=Milestones!$AB$123),UPPER(TEXT(EDATE($D21,Milestones!$AA$123),"dd mmm yy"))&amp;" "&amp;Milestones!$AB$123&amp;" "&amp;IF(AND(Milestones!$AB$123="FT",Milestones!$AA$123=FT_Y5,EDATE($D21,Milestones!$AA$123)&lt;PolicyEff),1,Milestones!$AC$123)&amp;";  ","")&amp;IF(AND(EDATE($D21,Milestones!$AA$124)&lt;=AsOfDate,EDATE($D21,Milestones!$AA$124)&gt;=SchemeStart,IF($X21=0,$AD21,IF(AND($Z21&lt;&gt;"",EDATE($D21,Milestones!$AA$124)&gt;=$Z21),$AC21,IF(AND($Y21&lt;&gt;"",EDATE($D21,Milestones!$AA$124)&gt;=$Y21),$AB21,$AA21)))=Milestones!$AB$124),UPPER(TEXT(EDATE($D21,Milestones!$AA$124),"dd mmm yy"))&amp;" "&amp;Milestones!$AB$124&amp;" "&amp;IF(AND(Milestones!$AB$124="FT",Milestones!$AA$124=FT_Y5,EDATE($D21,Milestones!$AA$124)&lt;PolicyEff),1,Milestones!$AC$124)&amp;";  ","")&amp;IF(AND(EDATE($D21,Milestones!$AA$125)&lt;=AsOfDate,EDATE($D21,Milestones!$AA$125)&gt;=SchemeStart,IF($X21=0,$AD21,IF(AND($Z21&lt;&gt;"",EDATE($D21,Milestones!$AA$125)&gt;=$Z21),$AC21,IF(AND($Y21&lt;&gt;"",EDATE($D21,Milestones!$AA$125)&gt;=$Y21),$AB21,$AA21)))=Milestones!$AB$125),UPPER(TEXT(EDATE($D21,Milestones!$AA$125),"dd mmm yy"))&amp;" "&amp;Milestones!$AB$125&amp;" "&amp;IF(AND(Milestones!$AB$125="FT",Milestones!$AA$125=FT_Y5,EDATE($D21,Milestones!$AA$125)&lt;PolicyEff),1,Milestones!$AC$125)&amp;";  ","")&amp;IF(AND(EDATE($D21,Milestones!$AA$126)&lt;=AsOfDate,EDATE($D21,Milestones!$AA$126)&gt;=SchemeStart,IF($X21=0,$AD21,IF(AND($Z21&lt;&gt;"",EDATE($D21,Milestones!$AA$126)&gt;=$Z21),$AC21,IF(AND($Y21&lt;&gt;"",EDATE($D21,Milestones!$AA$126)&gt;=$Y21),$AB21,$AA21)))=Milestones!$AB$126),UPPER(TEXT(EDATE($D21,Milestones!$AA$126),"dd mmm yy"))&amp;" "&amp;Milestones!$AB$126&amp;" "&amp;IF(AND(Milestones!$AB$126="FT",Milestones!$AA$126=FT_Y5,EDATE($D21,Milestones!$AA$126)&lt;PolicyEff),1,Milestones!$AC$126)&amp;";  ","")&amp;IF(AND(EDATE($D21,Milestones!$AA$127)&lt;=AsOfDate,EDATE($D21,Milestones!$AA$127)&gt;=SchemeStart,IF($X21=0,$AD21,IF(AND($Z21&lt;&gt;"",EDATE($D21,Milestones!$AA$127)&gt;=$Z21),$AC21,IF(AND($Y21&lt;&gt;"",EDATE($D21,Milestones!$AA$127)&gt;=$Y21),$AB21,$AA21)))=Milestones!$AB$127),UPPER(TEXT(EDATE($D21,Milestones!$AA$127),"dd mmm yy"))&amp;" "&amp;Milestones!$AB$127&amp;" "&amp;IF(AND(Milestones!$AB$127="FT",Milestones!$AA$127=FT_Y5,EDATE($D21,Milestones!$AA$127)&lt;PolicyEff),1,Milestones!$AC$127)&amp;";  ",""))</f>
        <v/>
      </c>
      <c r="R21" s="0" t="str">
        <f aca="false">IF(OR($A21="",$D21=""),"",IF(AND(EDATE($D21,Milestones!$AA$128)&lt;=AsOfDate,EDATE($D21,Milestones!$AA$128)&gt;=SchemeStart,IF($X21=0,$AD21,IF(AND($Z21&lt;&gt;"",EDATE($D21,Milestones!$AA$128)&gt;=$Z21),$AC21,IF(AND($Y21&lt;&gt;"",EDATE($D21,Milestones!$AA$128)&gt;=$Y21),$AB21,$AA21)))=Milestones!$AB$128),UPPER(TEXT(EDATE($D21,Milestones!$AA$128),"dd mmm yy"))&amp;" "&amp;Milestones!$AB$128&amp;" "&amp;IF(AND(Milestones!$AB$128="FT",Milestones!$AA$128=FT_Y5,EDATE($D21,Milestones!$AA$128)&lt;PolicyEff),1,Milestones!$AC$128)&amp;";  ","")&amp;IF(AND(EDATE($D21,Milestones!$AA$129)&lt;=AsOfDate,EDATE($D21,Milestones!$AA$129)&gt;=SchemeStart,IF($X21=0,$AD21,IF(AND($Z21&lt;&gt;"",EDATE($D21,Milestones!$AA$129)&gt;=$Z21),$AC21,IF(AND($Y21&lt;&gt;"",EDATE($D21,Milestones!$AA$129)&gt;=$Y21),$AB21,$AA21)))=Milestones!$AB$129),UPPER(TEXT(EDATE($D21,Milestones!$AA$129),"dd mmm yy"))&amp;" "&amp;Milestones!$AB$129&amp;" "&amp;IF(AND(Milestones!$AB$129="FT",Milestones!$AA$129=FT_Y5,EDATE($D21,Milestones!$AA$129)&lt;PolicyEff),1,Milestones!$AC$129)&amp;";  ","")&amp;IF(AND(EDATE($D21,Milestones!$AA$130)&lt;=AsOfDate,EDATE($D21,Milestones!$AA$130)&gt;=SchemeStart,IF($X21=0,$AD21,IF(AND($Z21&lt;&gt;"",EDATE($D21,Milestones!$AA$130)&gt;=$Z21),$AC21,IF(AND($Y21&lt;&gt;"",EDATE($D21,Milestones!$AA$130)&gt;=$Y21),$AB21,$AA21)))=Milestones!$AB$130),UPPER(TEXT(EDATE($D21,Milestones!$AA$130),"dd mmm yy"))&amp;" "&amp;Milestones!$AB$130&amp;" "&amp;IF(AND(Milestones!$AB$130="FT",Milestones!$AA$130=FT_Y5,EDATE($D21,Milestones!$AA$130)&lt;PolicyEff),1,Milestones!$AC$130)&amp;";  ","")&amp;IF(AND(EDATE($D21,Milestones!$AA$131)&lt;=AsOfDate,EDATE($D21,Milestones!$AA$131)&gt;=SchemeStart,IF($X21=0,$AD21,IF(AND($Z21&lt;&gt;"",EDATE($D21,Milestones!$AA$131)&gt;=$Z21),$AC21,IF(AND($Y21&lt;&gt;"",EDATE($D21,Milestones!$AA$131)&gt;=$Y21),$AB21,$AA21)))=Milestones!$AB$131),UPPER(TEXT(EDATE($D21,Milestones!$AA$131),"dd mmm yy"))&amp;" "&amp;Milestones!$AB$131&amp;" "&amp;IF(AND(Milestones!$AB$131="FT",Milestones!$AA$131=FT_Y5,EDATE($D21,Milestones!$AA$131)&lt;PolicyEff),1,Milestones!$AC$131)&amp;";  ","")&amp;IF(AND(EDATE($D21,Milestones!$AA$132)&lt;=AsOfDate,EDATE($D21,Milestones!$AA$132)&gt;=SchemeStart,IF($X21=0,$AD21,IF(AND($Z21&lt;&gt;"",EDATE($D21,Milestones!$AA$132)&gt;=$Z21),$AC21,IF(AND($Y21&lt;&gt;"",EDATE($D21,Milestones!$AA$132)&gt;=$Y21),$AB21,$AA21)))=Milestones!$AB$132),UPPER(TEXT(EDATE($D21,Milestones!$AA$132),"dd mmm yy"))&amp;" "&amp;Milestones!$AB$132&amp;" "&amp;IF(AND(Milestones!$AB$132="FT",Milestones!$AA$132=FT_Y5,EDATE($D21,Milestones!$AA$132)&lt;PolicyEff),1,Milestones!$AC$132)&amp;";  ","")&amp;IF(AND(EDATE($D21,Milestones!$AA$133)&lt;=AsOfDate,EDATE($D21,Milestones!$AA$133)&gt;=SchemeStart,IF($X21=0,$AD21,IF(AND($Z21&lt;&gt;"",EDATE($D21,Milestones!$AA$133)&gt;=$Z21),$AC21,IF(AND($Y21&lt;&gt;"",EDATE($D21,Milestones!$AA$133)&gt;=$Y21),$AB21,$AA21)))=Milestones!$AB$133),UPPER(TEXT(EDATE($D21,Milestones!$AA$133),"dd mmm yy"))&amp;" "&amp;Milestones!$AB$133&amp;" "&amp;IF(AND(Milestones!$AB$133="FT",Milestones!$AA$133=FT_Y5,EDATE($D21,Milestones!$AA$133)&lt;PolicyEff),1,Milestones!$AC$133)&amp;";  ","")&amp;IF(AND(EDATE($D21,Milestones!$AA$134)&lt;=AsOfDate,EDATE($D21,Milestones!$AA$134)&gt;=SchemeStart,IF($X21=0,$AD21,IF(AND($Z21&lt;&gt;"",EDATE($D21,Milestones!$AA$134)&gt;=$Z21),$AC21,IF(AND($Y21&lt;&gt;"",EDATE($D21,Milestones!$AA$134)&gt;=$Y21),$AB21,$AA21)))=Milestones!$AB$134),UPPER(TEXT(EDATE($D21,Milestones!$AA$134),"dd mmm yy"))&amp;" "&amp;Milestones!$AB$134&amp;" "&amp;IF(AND(Milestones!$AB$134="FT",Milestones!$AA$134=FT_Y5,EDATE($D21,Milestones!$AA$134)&lt;PolicyEff),1,Milestones!$AC$134)&amp;";  ","")&amp;IF(AND(EDATE($D21,Milestones!$AA$135)&lt;=AsOfDate,EDATE($D21,Milestones!$AA$135)&gt;=SchemeStart,IF($X21=0,$AD21,IF(AND($Z21&lt;&gt;"",EDATE($D21,Milestones!$AA$135)&gt;=$Z21),$AC21,IF(AND($Y21&lt;&gt;"",EDATE($D21,Milestones!$AA$135)&gt;=$Y21),$AB21,$AA21)))=Milestones!$AB$135),UPPER(TEXT(EDATE($D21,Milestones!$AA$135),"dd mmm yy"))&amp;" "&amp;Milestones!$AB$135&amp;" "&amp;IF(AND(Milestones!$AB$135="FT",Milestones!$AA$135=FT_Y5,EDATE($D21,Milestones!$AA$135)&lt;PolicyEff),1,Milestones!$AC$135)&amp;";  ","")&amp;IF(AND(EDATE($D21,Milestones!$AA$136)&lt;=AsOfDate,EDATE($D21,Milestones!$AA$136)&gt;=SchemeStart,IF($X21=0,$AD21,IF(AND($Z21&lt;&gt;"",EDATE($D21,Milestones!$AA$136)&gt;=$Z21),$AC21,IF(AND($Y21&lt;&gt;"",EDATE($D21,Milestones!$AA$136)&gt;=$Y21),$AB21,$AA21)))=Milestones!$AB$136),UPPER(TEXT(EDATE($D21,Milestones!$AA$136),"dd mmm yy"))&amp;" "&amp;Milestones!$AB$136&amp;" "&amp;IF(AND(Milestones!$AB$136="FT",Milestones!$AA$136=FT_Y5,EDATE($D21,Milestones!$AA$136)&lt;PolicyEff),1,Milestones!$AC$136)&amp;";  ","")&amp;IF(AND(EDATE($D21,Milestones!$AA$137)&lt;=AsOfDate,EDATE($D21,Milestones!$AA$137)&gt;=SchemeStart,IF($X21=0,$AD21,IF(AND($Z21&lt;&gt;"",EDATE($D21,Milestones!$AA$137)&gt;=$Z21),$AC21,IF(AND($Y21&lt;&gt;"",EDATE($D21,Milestones!$AA$137)&gt;=$Y21),$AB21,$AA21)))=Milestones!$AB$137),UPPER(TEXT(EDATE($D21,Milestones!$AA$137),"dd mmm yy"))&amp;" "&amp;Milestones!$AB$137&amp;" "&amp;IF(AND(Milestones!$AB$137="FT",Milestones!$AA$137=FT_Y5,EDATE($D21,Milestones!$AA$137)&lt;PolicyEff),1,Milestones!$AC$137)&amp;";  ","")&amp;IF(AND(EDATE($D21,Milestones!$AA$138)&lt;=AsOfDate,EDATE($D21,Milestones!$AA$138)&gt;=SchemeStart,IF($X21=0,$AD21,IF(AND($Z21&lt;&gt;"",EDATE($D21,Milestones!$AA$138)&gt;=$Z21),$AC21,IF(AND($Y21&lt;&gt;"",EDATE($D21,Milestones!$AA$138)&gt;=$Y21),$AB21,$AA21)))=Milestones!$AB$138),UPPER(TEXT(EDATE($D21,Milestones!$AA$138),"dd mmm yy"))&amp;" "&amp;Milestones!$AB$138&amp;" "&amp;IF(AND(Milestones!$AB$138="FT",Milestones!$AA$138=FT_Y5,EDATE($D21,Milestones!$AA$138)&lt;PolicyEff),1,Milestones!$AC$138)&amp;";  ","")&amp;IF(AND(EDATE($D21,Milestones!$AA$139)&lt;=AsOfDate,EDATE($D21,Milestones!$AA$139)&gt;=SchemeStart,IF($X21=0,$AD21,IF(AND($Z21&lt;&gt;"",EDATE($D21,Milestones!$AA$139)&gt;=$Z21),$AC21,IF(AND($Y21&lt;&gt;"",EDATE($D21,Milestones!$AA$139)&gt;=$Y21),$AB21,$AA21)))=Milestones!$AB$139),UPPER(TEXT(EDATE($D21,Milestones!$AA$139),"dd mmm yy"))&amp;" "&amp;Milestones!$AB$139&amp;" "&amp;IF(AND(Milestones!$AB$139="FT",Milestones!$AA$139=FT_Y5,EDATE($D21,Milestones!$AA$139)&lt;PolicyEff),1,Milestones!$AC$139)&amp;";  ",""))</f>
        <v/>
      </c>
      <c r="S21" s="0" t="str">
        <f aca="false">IF(OR($A21="",$D21=""),"",IF(AND(EDATE($D21,Milestones!$AA$140)&lt;=AsOfDate,EDATE($D21,Milestones!$AA$140)&gt;=SchemeStart,IF($X21=0,$AD21,IF(AND($Z21&lt;&gt;"",EDATE($D21,Milestones!$AA$140)&gt;=$Z21),$AC21,IF(AND($Y21&lt;&gt;"",EDATE($D21,Milestones!$AA$140)&gt;=$Y21),$AB21,$AA21)))=Milestones!$AB$140),UPPER(TEXT(EDATE($D21,Milestones!$AA$140),"dd mmm yy"))&amp;" "&amp;Milestones!$AB$140&amp;" "&amp;IF(AND(Milestones!$AB$140="FT",Milestones!$AA$140=FT_Y5,EDATE($D21,Milestones!$AA$140)&lt;PolicyEff),1,Milestones!$AC$140)&amp;";  ","")&amp;IF(AND(EDATE($D21,Milestones!$AA$141)&lt;=AsOfDate,EDATE($D21,Milestones!$AA$141)&gt;=SchemeStart,IF($X21=0,$AD21,IF(AND($Z21&lt;&gt;"",EDATE($D21,Milestones!$AA$141)&gt;=$Z21),$AC21,IF(AND($Y21&lt;&gt;"",EDATE($D21,Milestones!$AA$141)&gt;=$Y21),$AB21,$AA21)))=Milestones!$AB$141),UPPER(TEXT(EDATE($D21,Milestones!$AA$141),"dd mmm yy"))&amp;" "&amp;Milestones!$AB$141&amp;" "&amp;IF(AND(Milestones!$AB$141="FT",Milestones!$AA$141=FT_Y5,EDATE($D21,Milestones!$AA$141)&lt;PolicyEff),1,Milestones!$AC$141)&amp;";  ","")&amp;IF(AND(EDATE($D21,Milestones!$AA$142)&lt;=AsOfDate,EDATE($D21,Milestones!$AA$142)&gt;=SchemeStart,IF($X21=0,$AD21,IF(AND($Z21&lt;&gt;"",EDATE($D21,Milestones!$AA$142)&gt;=$Z21),$AC21,IF(AND($Y21&lt;&gt;"",EDATE($D21,Milestones!$AA$142)&gt;=$Y21),$AB21,$AA21)))=Milestones!$AB$142),UPPER(TEXT(EDATE($D21,Milestones!$AA$142),"dd mmm yy"))&amp;" "&amp;Milestones!$AB$142&amp;" "&amp;IF(AND(Milestones!$AB$142="FT",Milestones!$AA$142=FT_Y5,EDATE($D21,Milestones!$AA$142)&lt;PolicyEff),1,Milestones!$AC$142)&amp;";  ","")&amp;IF(AND(EDATE($D21,Milestones!$AA$143)&lt;=AsOfDate,EDATE($D21,Milestones!$AA$143)&gt;=SchemeStart,IF($X21=0,$AD21,IF(AND($Z21&lt;&gt;"",EDATE($D21,Milestones!$AA$143)&gt;=$Z21),$AC21,IF(AND($Y21&lt;&gt;"",EDATE($D21,Milestones!$AA$143)&gt;=$Y21),$AB21,$AA21)))=Milestones!$AB$143),UPPER(TEXT(EDATE($D21,Milestones!$AA$143),"dd mmm yy"))&amp;" "&amp;Milestones!$AB$143&amp;" "&amp;IF(AND(Milestones!$AB$143="FT",Milestones!$AA$143=FT_Y5,EDATE($D21,Milestones!$AA$143)&lt;PolicyEff),1,Milestones!$AC$143)&amp;";  ","")&amp;IF(AND(EDATE($D21,Milestones!$AA$144)&lt;=AsOfDate,EDATE($D21,Milestones!$AA$144)&gt;=SchemeStart,IF($X21=0,$AD21,IF(AND($Z21&lt;&gt;"",EDATE($D21,Milestones!$AA$144)&gt;=$Z21),$AC21,IF(AND($Y21&lt;&gt;"",EDATE($D21,Milestones!$AA$144)&gt;=$Y21),$AB21,$AA21)))=Milestones!$AB$144),UPPER(TEXT(EDATE($D21,Milestones!$AA$144),"dd mmm yy"))&amp;" "&amp;Milestones!$AB$144&amp;" "&amp;IF(AND(Milestones!$AB$144="FT",Milestones!$AA$144=FT_Y5,EDATE($D21,Milestones!$AA$144)&lt;PolicyEff),1,Milestones!$AC$144)&amp;";  ","")&amp;IF(AND(EDATE($D21,Milestones!$AA$145)&lt;=AsOfDate,EDATE($D21,Milestones!$AA$145)&gt;=SchemeStart,IF($X21=0,$AD21,IF(AND($Z21&lt;&gt;"",EDATE($D21,Milestones!$AA$145)&gt;=$Z21),$AC21,IF(AND($Y21&lt;&gt;"",EDATE($D21,Milestones!$AA$145)&gt;=$Y21),$AB21,$AA21)))=Milestones!$AB$145),UPPER(TEXT(EDATE($D21,Milestones!$AA$145),"dd mmm yy"))&amp;" "&amp;Milestones!$AB$145&amp;" "&amp;IF(AND(Milestones!$AB$145="FT",Milestones!$AA$145=FT_Y5,EDATE($D21,Milestones!$AA$145)&lt;PolicyEff),1,Milestones!$AC$145)&amp;";  ","")&amp;IF(AND(EDATE($D21,Milestones!$AA$146)&lt;=AsOfDate,EDATE($D21,Milestones!$AA$146)&gt;=SchemeStart,IF($X21=0,$AD21,IF(AND($Z21&lt;&gt;"",EDATE($D21,Milestones!$AA$146)&gt;=$Z21),$AC21,IF(AND($Y21&lt;&gt;"",EDATE($D21,Milestones!$AA$146)&gt;=$Y21),$AB21,$AA21)))=Milestones!$AB$146),UPPER(TEXT(EDATE($D21,Milestones!$AA$146),"dd mmm yy"))&amp;" "&amp;Milestones!$AB$146&amp;" "&amp;IF(AND(Milestones!$AB$146="FT",Milestones!$AA$146=FT_Y5,EDATE($D21,Milestones!$AA$146)&lt;PolicyEff),1,Milestones!$AC$146)&amp;";  ","")&amp;IF(AND(EDATE($D21,Milestones!$AA$147)&lt;=AsOfDate,EDATE($D21,Milestones!$AA$147)&gt;=SchemeStart,IF($X21=0,$AD21,IF(AND($Z21&lt;&gt;"",EDATE($D21,Milestones!$AA$147)&gt;=$Z21),$AC21,IF(AND($Y21&lt;&gt;"",EDATE($D21,Milestones!$AA$147)&gt;=$Y21),$AB21,$AA21)))=Milestones!$AB$147),UPPER(TEXT(EDATE($D21,Milestones!$AA$147),"dd mmm yy"))&amp;" "&amp;Milestones!$AB$147&amp;" "&amp;IF(AND(Milestones!$AB$147="FT",Milestones!$AA$147=FT_Y5,EDATE($D21,Milestones!$AA$147)&lt;PolicyEff),1,Milestones!$AC$147)&amp;";  ","")&amp;IF(AND(EDATE($D21,Milestones!$AA$148)&lt;=AsOfDate,EDATE($D21,Milestones!$AA$148)&gt;=SchemeStart,IF($X21=0,$AD21,IF(AND($Z21&lt;&gt;"",EDATE($D21,Milestones!$AA$148)&gt;=$Z21),$AC21,IF(AND($Y21&lt;&gt;"",EDATE($D21,Milestones!$AA$148)&gt;=$Y21),$AB21,$AA21)))=Milestones!$AB$148),UPPER(TEXT(EDATE($D21,Milestones!$AA$148),"dd mmm yy"))&amp;" "&amp;Milestones!$AB$148&amp;" "&amp;IF(AND(Milestones!$AB$148="FT",Milestones!$AA$148=FT_Y5,EDATE($D21,Milestones!$AA$148)&lt;PolicyEff),1,Milestones!$AC$148)&amp;";  ","")&amp;IF(AND(EDATE($D21,Milestones!$AA$149)&lt;=AsOfDate,EDATE($D21,Milestones!$AA$149)&gt;=SchemeStart,IF($X21=0,$AD21,IF(AND($Z21&lt;&gt;"",EDATE($D21,Milestones!$AA$149)&gt;=$Z21),$AC21,IF(AND($Y21&lt;&gt;"",EDATE($D21,Milestones!$AA$149)&gt;=$Y21),$AB21,$AA21)))=Milestones!$AB$149),UPPER(TEXT(EDATE($D21,Milestones!$AA$149),"dd mmm yy"))&amp;" "&amp;Milestones!$AB$149&amp;" "&amp;IF(AND(Milestones!$AB$149="FT",Milestones!$AA$149=FT_Y5,EDATE($D21,Milestones!$AA$149)&lt;PolicyEff),1,Milestones!$AC$149)&amp;";  ","")&amp;IF(AND(EDATE($D21,Milestones!$AA$150)&lt;=AsOfDate,EDATE($D21,Milestones!$AA$150)&gt;=SchemeStart,IF($X21=0,$AD21,IF(AND($Z21&lt;&gt;"",EDATE($D21,Milestones!$AA$150)&gt;=$Z21),$AC21,IF(AND($Y21&lt;&gt;"",EDATE($D21,Milestones!$AA$150)&gt;=$Y21),$AB21,$AA21)))=Milestones!$AB$150),UPPER(TEXT(EDATE($D21,Milestones!$AA$150),"dd mmm yy"))&amp;" "&amp;Milestones!$AB$150&amp;" "&amp;IF(AND(Milestones!$AB$150="FT",Milestones!$AA$150=FT_Y5,EDATE($D21,Milestones!$AA$150)&lt;PolicyEff),1,Milestones!$AC$150)&amp;";  ","")&amp;IF(AND(EDATE($D21,Milestones!$AA$151)&lt;=AsOfDate,EDATE($D21,Milestones!$AA$151)&gt;=SchemeStart,IF($X21=0,$AD21,IF(AND($Z21&lt;&gt;"",EDATE($D21,Milestones!$AA$151)&gt;=$Z21),$AC21,IF(AND($Y21&lt;&gt;"",EDATE($D21,Milestones!$AA$151)&gt;=$Y21),$AB21,$AA21)))=Milestones!$AB$151),UPPER(TEXT(EDATE($D21,Milestones!$AA$151),"dd mmm yy"))&amp;" "&amp;Milestones!$AB$151&amp;" "&amp;IF(AND(Milestones!$AB$151="FT",Milestones!$AA$151=FT_Y5,EDATE($D21,Milestones!$AA$151)&lt;PolicyEff),1,Milestones!$AC$151)&amp;";  ",""))</f>
        <v/>
      </c>
      <c r="T21" s="0" t="str">
        <f aca="false">IF(OR($A21="",$D21=""),"",IF(AND(EDATE($D21,Milestones!$AA$152)&lt;=AsOfDate,EDATE($D21,Milestones!$AA$152)&gt;=SchemeStart,IF($X21=0,$AD21,IF(AND($Z21&lt;&gt;"",EDATE($D21,Milestones!$AA$152)&gt;=$Z21),$AC21,IF(AND($Y21&lt;&gt;"",EDATE($D21,Milestones!$AA$152)&gt;=$Y21),$AB21,$AA21)))=Milestones!$AB$152),UPPER(TEXT(EDATE($D21,Milestones!$AA$152),"dd mmm yy"))&amp;" "&amp;Milestones!$AB$152&amp;" "&amp;IF(AND(Milestones!$AB$152="FT",Milestones!$AA$152=FT_Y5,EDATE($D21,Milestones!$AA$152)&lt;PolicyEff),1,Milestones!$AC$152)&amp;";  ","")&amp;IF(AND(EDATE($D21,Milestones!$AA$153)&lt;=AsOfDate,EDATE($D21,Milestones!$AA$153)&gt;=SchemeStart,IF($X21=0,$AD21,IF(AND($Z21&lt;&gt;"",EDATE($D21,Milestones!$AA$153)&gt;=$Z21),$AC21,IF(AND($Y21&lt;&gt;"",EDATE($D21,Milestones!$AA$153)&gt;=$Y21),$AB21,$AA21)))=Milestones!$AB$153),UPPER(TEXT(EDATE($D21,Milestones!$AA$153),"dd mmm yy"))&amp;" "&amp;Milestones!$AB$153&amp;" "&amp;IF(AND(Milestones!$AB$153="FT",Milestones!$AA$153=FT_Y5,EDATE($D21,Milestones!$AA$153)&lt;PolicyEff),1,Milestones!$AC$153)&amp;";  ","")&amp;IF(AND(EDATE($D21,Milestones!$AA$154)&lt;=AsOfDate,EDATE($D21,Milestones!$AA$154)&gt;=SchemeStart,IF($X21=0,$AD21,IF(AND($Z21&lt;&gt;"",EDATE($D21,Milestones!$AA$154)&gt;=$Z21),$AC21,IF(AND($Y21&lt;&gt;"",EDATE($D21,Milestones!$AA$154)&gt;=$Y21),$AB21,$AA21)))=Milestones!$AB$154),UPPER(TEXT(EDATE($D21,Milestones!$AA$154),"dd mmm yy"))&amp;" "&amp;Milestones!$AB$154&amp;" "&amp;IF(AND(Milestones!$AB$154="FT",Milestones!$AA$154=FT_Y5,EDATE($D21,Milestones!$AA$154)&lt;PolicyEff),1,Milestones!$AC$154)&amp;";  ","")&amp;IF(AND(EDATE($D21,Milestones!$AA$155)&lt;=AsOfDate,EDATE($D21,Milestones!$AA$155)&gt;=SchemeStart,IF($X21=0,$AD21,IF(AND($Z21&lt;&gt;"",EDATE($D21,Milestones!$AA$155)&gt;=$Z21),$AC21,IF(AND($Y21&lt;&gt;"",EDATE($D21,Milestones!$AA$155)&gt;=$Y21),$AB21,$AA21)))=Milestones!$AB$155),UPPER(TEXT(EDATE($D21,Milestones!$AA$155),"dd mmm yy"))&amp;" "&amp;Milestones!$AB$155&amp;" "&amp;IF(AND(Milestones!$AB$155="FT",Milestones!$AA$155=FT_Y5,EDATE($D21,Milestones!$AA$155)&lt;PolicyEff),1,Milestones!$AC$155)&amp;";  ","")&amp;IF(AND(EDATE($D21,Milestones!$AA$156)&lt;=AsOfDate,EDATE($D21,Milestones!$AA$156)&gt;=SchemeStart,IF($X21=0,$AD21,IF(AND($Z21&lt;&gt;"",EDATE($D21,Milestones!$AA$156)&gt;=$Z21),$AC21,IF(AND($Y21&lt;&gt;"",EDATE($D21,Milestones!$AA$156)&gt;=$Y21),$AB21,$AA21)))=Milestones!$AB$156),UPPER(TEXT(EDATE($D21,Milestones!$AA$156),"dd mmm yy"))&amp;" "&amp;Milestones!$AB$156&amp;" "&amp;IF(AND(Milestones!$AB$156="FT",Milestones!$AA$156=FT_Y5,EDATE($D21,Milestones!$AA$156)&lt;PolicyEff),1,Milestones!$AC$156)&amp;";  ","")&amp;IF(AND(EDATE($D21,Milestones!$AA$157)&lt;=AsOfDate,EDATE($D21,Milestones!$AA$157)&gt;=SchemeStart,IF($X21=0,$AD21,IF(AND($Z21&lt;&gt;"",EDATE($D21,Milestones!$AA$157)&gt;=$Z21),$AC21,IF(AND($Y21&lt;&gt;"",EDATE($D21,Milestones!$AA$157)&gt;=$Y21),$AB21,$AA21)))=Milestones!$AB$157),UPPER(TEXT(EDATE($D21,Milestones!$AA$157),"dd mmm yy"))&amp;" "&amp;Milestones!$AB$157&amp;" "&amp;IF(AND(Milestones!$AB$157="FT",Milestones!$AA$157=FT_Y5,EDATE($D21,Milestones!$AA$157)&lt;PolicyEff),1,Milestones!$AC$157)&amp;";  ","")&amp;IF(AND(EDATE($D21,Milestones!$AA$158)&lt;=AsOfDate,EDATE($D21,Milestones!$AA$158)&gt;=SchemeStart,IF($X21=0,$AD21,IF(AND($Z21&lt;&gt;"",EDATE($D21,Milestones!$AA$158)&gt;=$Z21),$AC21,IF(AND($Y21&lt;&gt;"",EDATE($D21,Milestones!$AA$158)&gt;=$Y21),$AB21,$AA21)))=Milestones!$AB$158),UPPER(TEXT(EDATE($D21,Milestones!$AA$158),"dd mmm yy"))&amp;" "&amp;Milestones!$AB$158&amp;" "&amp;IF(AND(Milestones!$AB$158="FT",Milestones!$AA$158=FT_Y5,EDATE($D21,Milestones!$AA$158)&lt;PolicyEff),1,Milestones!$AC$158)&amp;";  ","")&amp;IF(AND(EDATE($D21,Milestones!$AA$159)&lt;=AsOfDate,EDATE($D21,Milestones!$AA$159)&gt;=SchemeStart,IF($X21=0,$AD21,IF(AND($Z21&lt;&gt;"",EDATE($D21,Milestones!$AA$159)&gt;=$Z21),$AC21,IF(AND($Y21&lt;&gt;"",EDATE($D21,Milestones!$AA$159)&gt;=$Y21),$AB21,$AA21)))=Milestones!$AB$159),UPPER(TEXT(EDATE($D21,Milestones!$AA$159),"dd mmm yy"))&amp;" "&amp;Milestones!$AB$159&amp;" "&amp;IF(AND(Milestones!$AB$159="FT",Milestones!$AA$159=FT_Y5,EDATE($D21,Milestones!$AA$159)&lt;PolicyEff),1,Milestones!$AC$159)&amp;";  ","")&amp;IF(AND(EDATE($D21,Milestones!$AA$160)&lt;=AsOfDate,EDATE($D21,Milestones!$AA$160)&gt;=SchemeStart,IF($X21=0,$AD21,IF(AND($Z21&lt;&gt;"",EDATE($D21,Milestones!$AA$160)&gt;=$Z21),$AC21,IF(AND($Y21&lt;&gt;"",EDATE($D21,Milestones!$AA$160)&gt;=$Y21),$AB21,$AA21)))=Milestones!$AB$160),UPPER(TEXT(EDATE($D21,Milestones!$AA$160),"dd mmm yy"))&amp;" "&amp;Milestones!$AB$160&amp;" "&amp;IF(AND(Milestones!$AB$160="FT",Milestones!$AA$160=FT_Y5,EDATE($D21,Milestones!$AA$160)&lt;PolicyEff),1,Milestones!$AC$160)&amp;";  ","")&amp;IF(AND(EDATE($D21,Milestones!$AA$161)&lt;=AsOfDate,EDATE($D21,Milestones!$AA$161)&gt;=SchemeStart,IF($X21=0,$AD21,IF(AND($Z21&lt;&gt;"",EDATE($D21,Milestones!$AA$161)&gt;=$Z21),$AC21,IF(AND($Y21&lt;&gt;"",EDATE($D21,Milestones!$AA$161)&gt;=$Y21),$AB21,$AA21)))=Milestones!$AB$161),UPPER(TEXT(EDATE($D21,Milestones!$AA$161),"dd mmm yy"))&amp;" "&amp;Milestones!$AB$161&amp;" "&amp;IF(AND(Milestones!$AB$161="FT",Milestones!$AA$161=FT_Y5,EDATE($D21,Milestones!$AA$161)&lt;PolicyEff),1,Milestones!$AC$161)&amp;";  ","")&amp;IF(AND(EDATE($D21,Milestones!$AA$162)&lt;=AsOfDate,EDATE($D21,Milestones!$AA$162)&gt;=SchemeStart,IF($X21=0,$AD21,IF(AND($Z21&lt;&gt;"",EDATE($D21,Milestones!$AA$162)&gt;=$Z21),$AC21,IF(AND($Y21&lt;&gt;"",EDATE($D21,Milestones!$AA$162)&gt;=$Y21),$AB21,$AA21)))=Milestones!$AB$162),UPPER(TEXT(EDATE($D21,Milestones!$AA$162),"dd mmm yy"))&amp;" "&amp;Milestones!$AB$162&amp;" "&amp;IF(AND(Milestones!$AB$162="FT",Milestones!$AA$162=FT_Y5,EDATE($D21,Milestones!$AA$162)&lt;PolicyEff),1,Milestones!$AC$162)&amp;";  ","")&amp;IF(AND(EDATE($D21,Milestones!$AA$163)&lt;=AsOfDate,EDATE($D21,Milestones!$AA$163)&gt;=SchemeStart,IF($X21=0,$AD21,IF(AND($Z21&lt;&gt;"",EDATE($D21,Milestones!$AA$163)&gt;=$Z21),$AC21,IF(AND($Y21&lt;&gt;"",EDATE($D21,Milestones!$AA$163)&gt;=$Y21),$AB21,$AA21)))=Milestones!$AB$163),UPPER(TEXT(EDATE($D21,Milestones!$AA$163),"dd mmm yy"))&amp;" "&amp;Milestones!$AB$163&amp;" "&amp;IF(AND(Milestones!$AB$163="FT",Milestones!$AA$163=FT_Y5,EDATE($D21,Milestones!$AA$163)&lt;PolicyEff),1,Milestones!$AC$163)&amp;";  ",""))</f>
        <v/>
      </c>
      <c r="U21" s="0" t="str">
        <f aca="false">IF(OR($A21="",$D21=""),"",IF(AND(EDATE($D21,Milestones!$AA$164)&lt;=AsOfDate,EDATE($D21,Milestones!$AA$164)&gt;=SchemeStart,IF($X21=0,$AD21,IF(AND($Z21&lt;&gt;"",EDATE($D21,Milestones!$AA$164)&gt;=$Z21),$AC21,IF(AND($Y21&lt;&gt;"",EDATE($D21,Milestones!$AA$164)&gt;=$Y21),$AB21,$AA21)))=Milestones!$AB$164),UPPER(TEXT(EDATE($D21,Milestones!$AA$164),"dd mmm yy"))&amp;" "&amp;Milestones!$AB$164&amp;" "&amp;IF(AND(Milestones!$AB$164="FT",Milestones!$AA$164=FT_Y5,EDATE($D21,Milestones!$AA$164)&lt;PolicyEff),1,Milestones!$AC$164)&amp;";  ","")&amp;IF(AND(EDATE($D21,Milestones!$AA$165)&lt;=AsOfDate,EDATE($D21,Milestones!$AA$165)&gt;=SchemeStart,IF($X21=0,$AD21,IF(AND($Z21&lt;&gt;"",EDATE($D21,Milestones!$AA$165)&gt;=$Z21),$AC21,IF(AND($Y21&lt;&gt;"",EDATE($D21,Milestones!$AA$165)&gt;=$Y21),$AB21,$AA21)))=Milestones!$AB$165),UPPER(TEXT(EDATE($D21,Milestones!$AA$165),"dd mmm yy"))&amp;" "&amp;Milestones!$AB$165&amp;" "&amp;IF(AND(Milestones!$AB$165="FT",Milestones!$AA$165=FT_Y5,EDATE($D21,Milestones!$AA$165)&lt;PolicyEff),1,Milestones!$AC$165)&amp;";  ","")&amp;IF(AND(EDATE($D21,Milestones!$AA$166)&lt;=AsOfDate,EDATE($D21,Milestones!$AA$166)&gt;=SchemeStart,IF($X21=0,$AD21,IF(AND($Z21&lt;&gt;"",EDATE($D21,Milestones!$AA$166)&gt;=$Z21),$AC21,IF(AND($Y21&lt;&gt;"",EDATE($D21,Milestones!$AA$166)&gt;=$Y21),$AB21,$AA21)))=Milestones!$AB$166),UPPER(TEXT(EDATE($D21,Milestones!$AA$166),"dd mmm yy"))&amp;" "&amp;Milestones!$AB$166&amp;" "&amp;IF(AND(Milestones!$AB$166="FT",Milestones!$AA$166=FT_Y5,EDATE($D21,Milestones!$AA$166)&lt;PolicyEff),1,Milestones!$AC$166)&amp;";  ","")&amp;IF(AND(EDATE($D21,Milestones!$AA$167)&lt;=AsOfDate,EDATE($D21,Milestones!$AA$167)&gt;=SchemeStart,IF($X21=0,$AD21,IF(AND($Z21&lt;&gt;"",EDATE($D21,Milestones!$AA$167)&gt;=$Z21),$AC21,IF(AND($Y21&lt;&gt;"",EDATE($D21,Milestones!$AA$167)&gt;=$Y21),$AB21,$AA21)))=Milestones!$AB$167),UPPER(TEXT(EDATE($D21,Milestones!$AA$167),"dd mmm yy"))&amp;" "&amp;Milestones!$AB$167&amp;" "&amp;IF(AND(Milestones!$AB$167="FT",Milestones!$AA$167=FT_Y5,EDATE($D21,Milestones!$AA$167)&lt;PolicyEff),1,Milestones!$AC$167)&amp;";  ","")&amp;IF(AND(EDATE($D21,Milestones!$AA$168)&lt;=AsOfDate,EDATE($D21,Milestones!$AA$168)&gt;=SchemeStart,IF($X21=0,$AD21,IF(AND($Z21&lt;&gt;"",EDATE($D21,Milestones!$AA$168)&gt;=$Z21),$AC21,IF(AND($Y21&lt;&gt;"",EDATE($D21,Milestones!$AA$168)&gt;=$Y21),$AB21,$AA21)))=Milestones!$AB$168),UPPER(TEXT(EDATE($D21,Milestones!$AA$168),"dd mmm yy"))&amp;" "&amp;Milestones!$AB$168&amp;" "&amp;IF(AND(Milestones!$AB$168="FT",Milestones!$AA$168=FT_Y5,EDATE($D21,Milestones!$AA$168)&lt;PolicyEff),1,Milestones!$AC$168)&amp;";  ","")&amp;IF(AND(EDATE($D21,Milestones!$AA$169)&lt;=AsOfDate,EDATE($D21,Milestones!$AA$169)&gt;=SchemeStart,IF($X21=0,$AD21,IF(AND($Z21&lt;&gt;"",EDATE($D21,Milestones!$AA$169)&gt;=$Z21),$AC21,IF(AND($Y21&lt;&gt;"",EDATE($D21,Milestones!$AA$169)&gt;=$Y21),$AB21,$AA21)))=Milestones!$AB$169),UPPER(TEXT(EDATE($D21,Milestones!$AA$169),"dd mmm yy"))&amp;" "&amp;Milestones!$AB$169&amp;" "&amp;IF(AND(Milestones!$AB$169="FT",Milestones!$AA$169=FT_Y5,EDATE($D21,Milestones!$AA$169)&lt;PolicyEff),1,Milestones!$AC$169)&amp;";  ","")&amp;IF(AND(EDATE($D21,Milestones!$AA$170)&lt;=AsOfDate,EDATE($D21,Milestones!$AA$170)&gt;=SchemeStart,IF($X21=0,$AD21,IF(AND($Z21&lt;&gt;"",EDATE($D21,Milestones!$AA$170)&gt;=$Z21),$AC21,IF(AND($Y21&lt;&gt;"",EDATE($D21,Milestones!$AA$170)&gt;=$Y21),$AB21,$AA21)))=Milestones!$AB$170),UPPER(TEXT(EDATE($D21,Milestones!$AA$170),"dd mmm yy"))&amp;" "&amp;Milestones!$AB$170&amp;" "&amp;IF(AND(Milestones!$AB$170="FT",Milestones!$AA$170=FT_Y5,EDATE($D21,Milestones!$AA$170)&lt;PolicyEff),1,Milestones!$AC$170)&amp;";  ","")&amp;IF(AND(EDATE($D21,Milestones!$AA$171)&lt;=AsOfDate,EDATE($D21,Milestones!$AA$171)&gt;=SchemeStart,IF($X21=0,$AD21,IF(AND($Z21&lt;&gt;"",EDATE($D21,Milestones!$AA$171)&gt;=$Z21),$AC21,IF(AND($Y21&lt;&gt;"",EDATE($D21,Milestones!$AA$171)&gt;=$Y21),$AB21,$AA21)))=Milestones!$AB$171),UPPER(TEXT(EDATE($D21,Milestones!$AA$171),"dd mmm yy"))&amp;" "&amp;Milestones!$AB$171&amp;" "&amp;IF(AND(Milestones!$AB$171="FT",Milestones!$AA$171=FT_Y5,EDATE($D21,Milestones!$AA$171)&lt;PolicyEff),1,Milestones!$AC$171)&amp;";  ","")&amp;IF(AND(EDATE($D21,Milestones!$AA$172)&lt;=AsOfDate,EDATE($D21,Milestones!$AA$172)&gt;=SchemeStart,IF($X21=0,$AD21,IF(AND($Z21&lt;&gt;"",EDATE($D21,Milestones!$AA$172)&gt;=$Z21),$AC21,IF(AND($Y21&lt;&gt;"",EDATE($D21,Milestones!$AA$172)&gt;=$Y21),$AB21,$AA21)))=Milestones!$AB$172),UPPER(TEXT(EDATE($D21,Milestones!$AA$172),"dd mmm yy"))&amp;" "&amp;Milestones!$AB$172&amp;" "&amp;IF(AND(Milestones!$AB$172="FT",Milestones!$AA$172=FT_Y5,EDATE($D21,Milestones!$AA$172)&lt;PolicyEff),1,Milestones!$AC$172)&amp;";  ","")&amp;IF(AND(EDATE($D21,Milestones!$AA$173)&lt;=AsOfDate,EDATE($D21,Milestones!$AA$173)&gt;=SchemeStart,IF($X21=0,$AD21,IF(AND($Z21&lt;&gt;"",EDATE($D21,Milestones!$AA$173)&gt;=$Z21),$AC21,IF(AND($Y21&lt;&gt;"",EDATE($D21,Milestones!$AA$173)&gt;=$Y21),$AB21,$AA21)))=Milestones!$AB$173),UPPER(TEXT(EDATE($D21,Milestones!$AA$173),"dd mmm yy"))&amp;" "&amp;Milestones!$AB$173&amp;" "&amp;IF(AND(Milestones!$AB$173="FT",Milestones!$AA$173=FT_Y5,EDATE($D21,Milestones!$AA$173)&lt;PolicyEff),1,Milestones!$AC$173)&amp;";  ","")&amp;IF(AND(EDATE($D21,Milestones!$AA$174)&lt;=AsOfDate,EDATE($D21,Milestones!$AA$174)&gt;=SchemeStart,IF($X21=0,$AD21,IF(AND($Z21&lt;&gt;"",EDATE($D21,Milestones!$AA$174)&gt;=$Z21),$AC21,IF(AND($Y21&lt;&gt;"",EDATE($D21,Milestones!$AA$174)&gt;=$Y21),$AB21,$AA21)))=Milestones!$AB$174),UPPER(TEXT(EDATE($D21,Milestones!$AA$174),"dd mmm yy"))&amp;" "&amp;Milestones!$AB$174&amp;" "&amp;IF(AND(Milestones!$AB$174="FT",Milestones!$AA$174=FT_Y5,EDATE($D21,Milestones!$AA$174)&lt;PolicyEff),1,Milestones!$AC$174)&amp;";  ","")&amp;IF(AND(EDATE($D21,Milestones!$AA$175)&lt;=AsOfDate,EDATE($D21,Milestones!$AA$175)&gt;=SchemeStart,IF($X21=0,$AD21,IF(AND($Z21&lt;&gt;"",EDATE($D21,Milestones!$AA$175)&gt;=$Z21),$AC21,IF(AND($Y21&lt;&gt;"",EDATE($D21,Milestones!$AA$175)&gt;=$Y21),$AB21,$AA21)))=Milestones!$AB$175),UPPER(TEXT(EDATE($D21,Milestones!$AA$175),"dd mmm yy"))&amp;" "&amp;Milestones!$AB$175&amp;" "&amp;IF(AND(Milestones!$AB$175="FT",Milestones!$AA$175=FT_Y5,EDATE($D21,Milestones!$AA$175)&lt;PolicyEff),1,Milestones!$AC$175)&amp;";  ",""))</f>
        <v/>
      </c>
      <c r="V21" s="0" t="str">
        <f aca="false">IF(OR($A21="",$D21=""),"",IF(AND(EDATE($D21,Milestones!$AA$176)&lt;=AsOfDate,EDATE($D21,Milestones!$AA$176)&gt;=SchemeStart,IF($X21=0,$AD21,IF(AND($Z21&lt;&gt;"",EDATE($D21,Milestones!$AA$176)&gt;=$Z21),$AC21,IF(AND($Y21&lt;&gt;"",EDATE($D21,Milestones!$AA$176)&gt;=$Y21),$AB21,$AA21)))=Milestones!$AB$176),UPPER(TEXT(EDATE($D21,Milestones!$AA$176),"dd mmm yy"))&amp;" "&amp;Milestones!$AB$176&amp;" "&amp;IF(AND(Milestones!$AB$176="FT",Milestones!$AA$176=FT_Y5,EDATE($D21,Milestones!$AA$176)&lt;PolicyEff),1,Milestones!$AC$176)&amp;";  ","")&amp;IF(AND(EDATE($D21,Milestones!$AA$177)&lt;=AsOfDate,EDATE($D21,Milestones!$AA$177)&gt;=SchemeStart,IF($X21=0,$AD21,IF(AND($Z21&lt;&gt;"",EDATE($D21,Milestones!$AA$177)&gt;=$Z21),$AC21,IF(AND($Y21&lt;&gt;"",EDATE($D21,Milestones!$AA$177)&gt;=$Y21),$AB21,$AA21)))=Milestones!$AB$177),UPPER(TEXT(EDATE($D21,Milestones!$AA$177),"dd mmm yy"))&amp;" "&amp;Milestones!$AB$177&amp;" "&amp;IF(AND(Milestones!$AB$177="FT",Milestones!$AA$177=FT_Y5,EDATE($D21,Milestones!$AA$177)&lt;PolicyEff),1,Milestones!$AC$177)&amp;";  ","")&amp;IF(AND(EDATE($D21,Milestones!$AA$178)&lt;=AsOfDate,EDATE($D21,Milestones!$AA$178)&gt;=SchemeStart,IF($X21=0,$AD21,IF(AND($Z21&lt;&gt;"",EDATE($D21,Milestones!$AA$178)&gt;=$Z21),$AC21,IF(AND($Y21&lt;&gt;"",EDATE($D21,Milestones!$AA$178)&gt;=$Y21),$AB21,$AA21)))=Milestones!$AB$178),UPPER(TEXT(EDATE($D21,Milestones!$AA$178),"dd mmm yy"))&amp;" "&amp;Milestones!$AB$178&amp;" "&amp;IF(AND(Milestones!$AB$178="FT",Milestones!$AA$178=FT_Y5,EDATE($D21,Milestones!$AA$178)&lt;PolicyEff),1,Milestones!$AC$178)&amp;";  ","")&amp;IF(AND(EDATE($D21,Milestones!$AA$179)&lt;=AsOfDate,EDATE($D21,Milestones!$AA$179)&gt;=SchemeStart,IF($X21=0,$AD21,IF(AND($Z21&lt;&gt;"",EDATE($D21,Milestones!$AA$179)&gt;=$Z21),$AC21,IF(AND($Y21&lt;&gt;"",EDATE($D21,Milestones!$AA$179)&gt;=$Y21),$AB21,$AA21)))=Milestones!$AB$179),UPPER(TEXT(EDATE($D21,Milestones!$AA$179),"dd mmm yy"))&amp;" "&amp;Milestones!$AB$179&amp;" "&amp;IF(AND(Milestones!$AB$179="FT",Milestones!$AA$179=FT_Y5,EDATE($D21,Milestones!$AA$179)&lt;PolicyEff),1,Milestones!$AC$179)&amp;";  ","")&amp;IF(AND(EDATE($D21,Milestones!$AA$180)&lt;=AsOfDate,EDATE($D21,Milestones!$AA$180)&gt;=SchemeStart,IF($X21=0,$AD21,IF(AND($Z21&lt;&gt;"",EDATE($D21,Milestones!$AA$180)&gt;=$Z21),$AC21,IF(AND($Y21&lt;&gt;"",EDATE($D21,Milestones!$AA$180)&gt;=$Y21),$AB21,$AA21)))=Milestones!$AB$180),UPPER(TEXT(EDATE($D21,Milestones!$AA$180),"dd mmm yy"))&amp;" "&amp;Milestones!$AB$180&amp;" "&amp;IF(AND(Milestones!$AB$180="FT",Milestones!$AA$180=FT_Y5,EDATE($D21,Milestones!$AA$180)&lt;PolicyEff),1,Milestones!$AC$180)&amp;";  ","")&amp;IF(AND(EDATE($D21,Milestones!$AA$181)&lt;=AsOfDate,EDATE($D21,Milestones!$AA$181)&gt;=SchemeStart,IF($X21=0,$AD21,IF(AND($Z21&lt;&gt;"",EDATE($D21,Milestones!$AA$181)&gt;=$Z21),$AC21,IF(AND($Y21&lt;&gt;"",EDATE($D21,Milestones!$AA$181)&gt;=$Y21),$AB21,$AA21)))=Milestones!$AB$181),UPPER(TEXT(EDATE($D21,Milestones!$AA$181),"dd mmm yy"))&amp;" "&amp;Milestones!$AB$181&amp;" "&amp;IF(AND(Milestones!$AB$181="FT",Milestones!$AA$181=FT_Y5,EDATE($D21,Milestones!$AA$181)&lt;PolicyEff),1,Milestones!$AC$181)&amp;";  ","")&amp;IF(AND(EDATE($D21,Milestones!$AA$182)&lt;=AsOfDate,EDATE($D21,Milestones!$AA$182)&gt;=SchemeStart,IF($X21=0,$AD21,IF(AND($Z21&lt;&gt;"",EDATE($D21,Milestones!$AA$182)&gt;=$Z21),$AC21,IF(AND($Y21&lt;&gt;"",EDATE($D21,Milestones!$AA$182)&gt;=$Y21),$AB21,$AA21)))=Milestones!$AB$182),UPPER(TEXT(EDATE($D21,Milestones!$AA$182),"dd mmm yy"))&amp;" "&amp;Milestones!$AB$182&amp;" "&amp;IF(AND(Milestones!$AB$182="FT",Milestones!$AA$182=FT_Y5,EDATE($D21,Milestones!$AA$182)&lt;PolicyEff),1,Milestones!$AC$182)&amp;";  ","")&amp;IF(AND(EDATE($D21,Milestones!$AA$183)&lt;=AsOfDate,EDATE($D21,Milestones!$AA$183)&gt;=SchemeStart,IF($X21=0,$AD21,IF(AND($Z21&lt;&gt;"",EDATE($D21,Milestones!$AA$183)&gt;=$Z21),$AC21,IF(AND($Y21&lt;&gt;"",EDATE($D21,Milestones!$AA$183)&gt;=$Y21),$AB21,$AA21)))=Milestones!$AB$183),UPPER(TEXT(EDATE($D21,Milestones!$AA$183),"dd mmm yy"))&amp;" "&amp;Milestones!$AB$183&amp;" "&amp;IF(AND(Milestones!$AB$183="FT",Milestones!$AA$183=FT_Y5,EDATE($D21,Milestones!$AA$183)&lt;PolicyEff),1,Milestones!$AC$183)&amp;";  ","")&amp;IF(AND(EDATE($D21,Milestones!$AA$184)&lt;=AsOfDate,EDATE($D21,Milestones!$AA$184)&gt;=SchemeStart,IF($X21=0,$AD21,IF(AND($Z21&lt;&gt;"",EDATE($D21,Milestones!$AA$184)&gt;=$Z21),$AC21,IF(AND($Y21&lt;&gt;"",EDATE($D21,Milestones!$AA$184)&gt;=$Y21),$AB21,$AA21)))=Milestones!$AB$184),UPPER(TEXT(EDATE($D21,Milestones!$AA$184),"dd mmm yy"))&amp;" "&amp;Milestones!$AB$184&amp;" "&amp;IF(AND(Milestones!$AB$184="FT",Milestones!$AA$184=FT_Y5,EDATE($D21,Milestones!$AA$184)&lt;PolicyEff),1,Milestones!$AC$184)&amp;";  ","")&amp;IF(AND(EDATE($D21,Milestones!$AA$185)&lt;=AsOfDate,EDATE($D21,Milestones!$AA$185)&gt;=SchemeStart,IF($X21=0,$AD21,IF(AND($Z21&lt;&gt;"",EDATE($D21,Milestones!$AA$185)&gt;=$Z21),$AC21,IF(AND($Y21&lt;&gt;"",EDATE($D21,Milestones!$AA$185)&gt;=$Y21),$AB21,$AA21)))=Milestones!$AB$185),UPPER(TEXT(EDATE($D21,Milestones!$AA$185),"dd mmm yy"))&amp;" "&amp;Milestones!$AB$185&amp;" "&amp;IF(AND(Milestones!$AB$185="FT",Milestones!$AA$185=FT_Y5,EDATE($D21,Milestones!$AA$185)&lt;PolicyEff),1,Milestones!$AC$185)&amp;";  ","")&amp;IF(AND(EDATE($D21,Milestones!$AA$186)&lt;=AsOfDate,EDATE($D21,Milestones!$AA$186)&gt;=SchemeStart,IF($X21=0,$AD21,IF(AND($Z21&lt;&gt;"",EDATE($D21,Milestones!$AA$186)&gt;=$Z21),$AC21,IF(AND($Y21&lt;&gt;"",EDATE($D21,Milestones!$AA$186)&gt;=$Y21),$AB21,$AA21)))=Milestones!$AB$186),UPPER(TEXT(EDATE($D21,Milestones!$AA$186),"dd mmm yy"))&amp;" "&amp;Milestones!$AB$186&amp;" "&amp;IF(AND(Milestones!$AB$186="FT",Milestones!$AA$186=FT_Y5,EDATE($D21,Milestones!$AA$186)&lt;PolicyEff),1,Milestones!$AC$186)&amp;";  ","")&amp;IF(AND(EDATE($D21,Milestones!$AA$187)&lt;=AsOfDate,EDATE($D21,Milestones!$AA$187)&gt;=SchemeStart,IF($X21=0,$AD21,IF(AND($Z21&lt;&gt;"",EDATE($D21,Milestones!$AA$187)&gt;=$Z21),$AC21,IF(AND($Y21&lt;&gt;"",EDATE($D21,Milestones!$AA$187)&gt;=$Y21),$AB21,$AA21)))=Milestones!$AB$187),UPPER(TEXT(EDATE($D21,Milestones!$AA$187),"dd mmm yy"))&amp;" "&amp;Milestones!$AB$187&amp;" "&amp;IF(AND(Milestones!$AB$187="FT",Milestones!$AA$187=FT_Y5,EDATE($D21,Milestones!$AA$187)&lt;PolicyEff),1,Milestones!$AC$187)&amp;";  ",""))</f>
        <v/>
      </c>
      <c r="W21" s="0" t="str">
        <f aca="false">IF(OR($A21="",$D21=""),"",IF(AND(EDATE($D21,Milestones!$AA$188)&lt;=AsOfDate,EDATE($D21,Milestones!$AA$188)&gt;=SchemeStart,IF($X21=0,$AD21,IF(AND($Z21&lt;&gt;"",EDATE($D21,Milestones!$AA$188)&gt;=$Z21),$AC21,IF(AND($Y21&lt;&gt;"",EDATE($D21,Milestones!$AA$188)&gt;=$Y21),$AB21,$AA21)))=Milestones!$AB$188),UPPER(TEXT(EDATE($D21,Milestones!$AA$188),"dd mmm yy"))&amp;" "&amp;Milestones!$AB$188&amp;" "&amp;IF(AND(Milestones!$AB$188="FT",Milestones!$AA$188=FT_Y5,EDATE($D21,Milestones!$AA$188)&lt;PolicyEff),1,Milestones!$AC$188)&amp;";  ","")&amp;IF(AND(EDATE($D21,Milestones!$AA$189)&lt;=AsOfDate,EDATE($D21,Milestones!$AA$189)&gt;=SchemeStart,IF($X21=0,$AD21,IF(AND($Z21&lt;&gt;"",EDATE($D21,Milestones!$AA$189)&gt;=$Z21),$AC21,IF(AND($Y21&lt;&gt;"",EDATE($D21,Milestones!$AA$189)&gt;=$Y21),$AB21,$AA21)))=Milestones!$AB$189),UPPER(TEXT(EDATE($D21,Milestones!$AA$189),"dd mmm yy"))&amp;" "&amp;Milestones!$AB$189&amp;" "&amp;IF(AND(Milestones!$AB$189="FT",Milestones!$AA$189=FT_Y5,EDATE($D21,Milestones!$AA$189)&lt;PolicyEff),1,Milestones!$AC$189)&amp;";  ","")&amp;IF(AND(EDATE($D21,Milestones!$AA$190)&lt;=AsOfDate,EDATE($D21,Milestones!$AA$190)&gt;=SchemeStart,IF($X21=0,$AD21,IF(AND($Z21&lt;&gt;"",EDATE($D21,Milestones!$AA$190)&gt;=$Z21),$AC21,IF(AND($Y21&lt;&gt;"",EDATE($D21,Milestones!$AA$190)&gt;=$Y21),$AB21,$AA21)))=Milestones!$AB$190),UPPER(TEXT(EDATE($D21,Milestones!$AA$190),"dd mmm yy"))&amp;" "&amp;Milestones!$AB$190&amp;" "&amp;IF(AND(Milestones!$AB$190="FT",Milestones!$AA$190=FT_Y5,EDATE($D21,Milestones!$AA$190)&lt;PolicyEff),1,Milestones!$AC$190)&amp;";  ","")&amp;IF(AND(EDATE($D21,Milestones!$AA$191)&lt;=AsOfDate,EDATE($D21,Milestones!$AA$191)&gt;=SchemeStart,IF($X21=0,$AD21,IF(AND($Z21&lt;&gt;"",EDATE($D21,Milestones!$AA$191)&gt;=$Z21),$AC21,IF(AND($Y21&lt;&gt;"",EDATE($D21,Milestones!$AA$191)&gt;=$Y21),$AB21,$AA21)))=Milestones!$AB$191),UPPER(TEXT(EDATE($D21,Milestones!$AA$191),"dd mmm yy"))&amp;" "&amp;Milestones!$AB$191&amp;" "&amp;IF(AND(Milestones!$AB$191="FT",Milestones!$AA$191=FT_Y5,EDATE($D21,Milestones!$AA$191)&lt;PolicyEff),1,Milestones!$AC$191)&amp;";  ","")&amp;IF(AND(EDATE($D21,Milestones!$AA$192)&lt;=AsOfDate,EDATE($D21,Milestones!$AA$192)&gt;=SchemeStart,IF($X21=0,$AD21,IF(AND($Z21&lt;&gt;"",EDATE($D21,Milestones!$AA$192)&gt;=$Z21),$AC21,IF(AND($Y21&lt;&gt;"",EDATE($D21,Milestones!$AA$192)&gt;=$Y21),$AB21,$AA21)))=Milestones!$AB$192),UPPER(TEXT(EDATE($D21,Milestones!$AA$192),"dd mmm yy"))&amp;" "&amp;Milestones!$AB$192&amp;" "&amp;IF(AND(Milestones!$AB$192="FT",Milestones!$AA$192=FT_Y5,EDATE($D21,Milestones!$AA$192)&lt;PolicyEff),1,Milestones!$AC$192)&amp;";  ","")&amp;IF(AND(EDATE($D21,Milestones!$AA$193)&lt;=AsOfDate,EDATE($D21,Milestones!$AA$193)&gt;=SchemeStart,IF($X21=0,$AD21,IF(AND($Z21&lt;&gt;"",EDATE($D21,Milestones!$AA$193)&gt;=$Z21),$AC21,IF(AND($Y21&lt;&gt;"",EDATE($D21,Milestones!$AA$193)&gt;=$Y21),$AB21,$AA21)))=Milestones!$AB$193),UPPER(TEXT(EDATE($D21,Milestones!$AA$193),"dd mmm yy"))&amp;" "&amp;Milestones!$AB$193&amp;" "&amp;IF(AND(Milestones!$AB$193="FT",Milestones!$AA$193=FT_Y5,EDATE($D21,Milestones!$AA$193)&lt;PolicyEff),1,Milestones!$AC$193)&amp;";  ","")&amp;IF(AND(EDATE($D21,Milestones!$AA$194)&lt;=AsOfDate,EDATE($D21,Milestones!$AA$194)&gt;=SchemeStart,IF($X21=0,$AD21,IF(AND($Z21&lt;&gt;"",EDATE($D21,Milestones!$AA$194)&gt;=$Z21),$AC21,IF(AND($Y21&lt;&gt;"",EDATE($D21,Milestones!$AA$194)&gt;=$Y21),$AB21,$AA21)))=Milestones!$AB$194),UPPER(TEXT(EDATE($D21,Milestones!$AA$194),"dd mmm yy"))&amp;" "&amp;Milestones!$AB$194&amp;" "&amp;IF(AND(Milestones!$AB$194="FT",Milestones!$AA$194=FT_Y5,EDATE($D21,Milestones!$AA$194)&lt;PolicyEff),1,Milestones!$AC$194)&amp;";  ","")&amp;IF(AND(EDATE($D21,Milestones!$AA$195)&lt;=AsOfDate,EDATE($D21,Milestones!$AA$195)&gt;=SchemeStart,IF($X21=0,$AD21,IF(AND($Z21&lt;&gt;"",EDATE($D21,Milestones!$AA$195)&gt;=$Z21),$AC21,IF(AND($Y21&lt;&gt;"",EDATE($D21,Milestones!$AA$195)&gt;=$Y21),$AB21,$AA21)))=Milestones!$AB$195),UPPER(TEXT(EDATE($D21,Milestones!$AA$195),"dd mmm yy"))&amp;" "&amp;Milestones!$AB$195&amp;" "&amp;IF(AND(Milestones!$AB$195="FT",Milestones!$AA$195=FT_Y5,EDATE($D21,Milestones!$AA$195)&lt;PolicyEff),1,Milestones!$AC$195)&amp;";  ","")&amp;IF(AND(EDATE($D21,Milestones!$AA$196)&lt;=AsOfDate,EDATE($D21,Milestones!$AA$196)&gt;=SchemeStart,IF($X21=0,$AD21,IF(AND($Z21&lt;&gt;"",EDATE($D21,Milestones!$AA$196)&gt;=$Z21),$AC21,IF(AND($Y21&lt;&gt;"",EDATE($D21,Milestones!$AA$196)&gt;=$Y21),$AB21,$AA21)))=Milestones!$AB$196),UPPER(TEXT(EDATE($D21,Milestones!$AA$196),"dd mmm yy"))&amp;" "&amp;Milestones!$AB$196&amp;" "&amp;IF(AND(Milestones!$AB$196="FT",Milestones!$AA$196=FT_Y5,EDATE($D21,Milestones!$AA$196)&lt;PolicyEff),1,Milestones!$AC$196)&amp;";  ","")&amp;IF(AND(EDATE($D21,Milestones!$AA$197)&lt;=AsOfDate,EDATE($D21,Milestones!$AA$197)&gt;=SchemeStart,IF($X21=0,$AD21,IF(AND($Z21&lt;&gt;"",EDATE($D21,Milestones!$AA$197)&gt;=$Z21),$AC21,IF(AND($Y21&lt;&gt;"",EDATE($D21,Milestones!$AA$197)&gt;=$Y21),$AB21,$AA21)))=Milestones!$AB$197),UPPER(TEXT(EDATE($D21,Milestones!$AA$197),"dd mmm yy"))&amp;" "&amp;Milestones!$AB$197&amp;" "&amp;IF(AND(Milestones!$AB$197="FT",Milestones!$AA$197=FT_Y5,EDATE($D21,Milestones!$AA$197)&lt;PolicyEff),1,Milestones!$AC$197)&amp;";  ","")&amp;IF(AND(EDATE($D21,Milestones!$AA$198)&lt;=AsOfDate,EDATE($D21,Milestones!$AA$198)&gt;=SchemeStart,IF($X21=0,$AD21,IF(AND($Z21&lt;&gt;"",EDATE($D21,Milestones!$AA$198)&gt;=$Z21),$AC21,IF(AND($Y21&lt;&gt;"",EDATE($D21,Milestones!$AA$198)&gt;=$Y21),$AB21,$AA21)))=Milestones!$AB$198),UPPER(TEXT(EDATE($D21,Milestones!$AA$198),"dd mmm yy"))&amp;" "&amp;Milestones!$AB$198&amp;" "&amp;IF(AND(Milestones!$AB$198="FT",Milestones!$AA$198=FT_Y5,EDATE($D21,Milestones!$AA$198)&lt;PolicyEff),1,Milestones!$AC$198)&amp;";  ","")&amp;IF(AND(EDATE($D21,Milestones!$AA$199)&lt;=AsOfDate,EDATE($D21,Milestones!$AA$199)&gt;=SchemeStart,IF($X21=0,$AD21,IF(AND($Z21&lt;&gt;"",EDATE($D21,Milestones!$AA$199)&gt;=$Z21),$AC21,IF(AND($Y21&lt;&gt;"",EDATE($D21,Milestones!$AA$199)&gt;=$Y21),$AB21,$AA21)))=Milestones!$AB$199),UPPER(TEXT(EDATE($D21,Milestones!$AA$199),"dd mmm yy"))&amp;" "&amp;Milestones!$AB$199&amp;" "&amp;IF(AND(Milestones!$AB$199="FT",Milestones!$AA$199=FT_Y5,EDATE($D21,Milestones!$AA$199)&lt;PolicyEff),1,Milestones!$AC$199)&amp;";  ",""))</f>
        <v/>
      </c>
      <c r="X21" s="0" t="str">
        <f aca="false">IF(Staff!$A21="","",Staff!$AM21)</f>
        <v/>
      </c>
      <c r="Y21" s="0" t="str">
        <f aca="false">IF(Staff!$A21="","",Staff!$AO21)</f>
        <v/>
      </c>
      <c r="Z21" s="0" t="str">
        <f aca="false">IF(Staff!$A21="","",Staff!$AP21)</f>
        <v/>
      </c>
      <c r="AA21" s="0" t="str">
        <f aca="false">IF(Staff!$A21="","",Staff!$AT21)</f>
        <v/>
      </c>
      <c r="AB21" s="0" t="str">
        <f aca="false">IF(Staff!$A21="","",Staff!$AU21)</f>
        <v/>
      </c>
      <c r="AC21" s="0" t="str">
        <f aca="false">IF(Staff!$A21="","",Staff!$AV21)</f>
        <v/>
      </c>
      <c r="AD21" s="0" t="str">
        <f aca="false">IF(Staff!$A21="","",Staff!$AW21)</f>
        <v/>
      </c>
    </row>
    <row r="22" customFormat="false" ht="15" hidden="false" customHeight="false" outlineLevel="0" collapsed="false">
      <c r="A22" s="16" t="str">
        <f aca="false">IF(Staff!$A22="","",Staff!$A22)</f>
        <v/>
      </c>
      <c r="B22" s="16" t="str">
        <f aca="false">IF(Staff!$A22="","",Staff!$B22)</f>
        <v/>
      </c>
      <c r="C22" s="16" t="str">
        <f aca="false">IF(Staff!$A22="","",Staff!$C22)</f>
        <v/>
      </c>
      <c r="D22" s="14" t="str">
        <f aca="false">IF(Staff!$A22="","",Staff!$AL22)</f>
        <v/>
      </c>
      <c r="E22" s="16" t="str">
        <f aca="false">IF(Staff!$A22="","",Staff!$O22)</f>
        <v/>
      </c>
      <c r="F22" s="16" t="str">
        <f aca="false">IF(E22="","",E22*HoursPerDay)</f>
        <v/>
      </c>
      <c r="G22" s="16" t="str">
        <f aca="false">IF(Staff!$A22="","",Staff!$AE22)</f>
        <v/>
      </c>
      <c r="H22" s="28" t="str">
        <f aca="false">IF($A22="","",I22&amp;J22&amp;K22&amp;L22&amp;M22&amp;N22&amp;O22&amp;P22&amp;Q22&amp;R22&amp;S22&amp;T22&amp;U22&amp;V22&amp;W22)</f>
        <v/>
      </c>
      <c r="I22" s="0" t="str">
        <f aca="false">IF(OR($A22="",$D22=""),"",IF(AND(EDATE($D22,Milestones!$AA$20)&lt;=AsOfDate,EDATE($D22,Milestones!$AA$20)&gt;=SchemeStart,IF($X22=0,$AD22,IF(AND($Z22&lt;&gt;"",EDATE($D22,Milestones!$AA$20)&gt;=$Z22),$AC22,IF(AND($Y22&lt;&gt;"",EDATE($D22,Milestones!$AA$20)&gt;=$Y22),$AB22,$AA22)))=Milestones!$AB$20),UPPER(TEXT(EDATE($D22,Milestones!$AA$20),"dd mmm yy"))&amp;" "&amp;Milestones!$AB$20&amp;" "&amp;IF(AND(Milestones!$AB$20="FT",Milestones!$AA$20=FT_Y5,EDATE($D22,Milestones!$AA$20)&lt;PolicyEff),1,Milestones!$AC$20)&amp;";  ","")&amp;IF(AND(EDATE($D22,Milestones!$AA$21)&lt;=AsOfDate,EDATE($D22,Milestones!$AA$21)&gt;=SchemeStart,IF($X22=0,$AD22,IF(AND($Z22&lt;&gt;"",EDATE($D22,Milestones!$AA$21)&gt;=$Z22),$AC22,IF(AND($Y22&lt;&gt;"",EDATE($D22,Milestones!$AA$21)&gt;=$Y22),$AB22,$AA22)))=Milestones!$AB$21),UPPER(TEXT(EDATE($D22,Milestones!$AA$21),"dd mmm yy"))&amp;" "&amp;Milestones!$AB$21&amp;" "&amp;IF(AND(Milestones!$AB$21="FT",Milestones!$AA$21=FT_Y5,EDATE($D22,Milestones!$AA$21)&lt;PolicyEff),1,Milestones!$AC$21)&amp;";  ","")&amp;IF(AND(EDATE($D22,Milestones!$AA$22)&lt;=AsOfDate,EDATE($D22,Milestones!$AA$22)&gt;=SchemeStart,IF($X22=0,$AD22,IF(AND($Z22&lt;&gt;"",EDATE($D22,Milestones!$AA$22)&gt;=$Z22),$AC22,IF(AND($Y22&lt;&gt;"",EDATE($D22,Milestones!$AA$22)&gt;=$Y22),$AB22,$AA22)))=Milestones!$AB$22),UPPER(TEXT(EDATE($D22,Milestones!$AA$22),"dd mmm yy"))&amp;" "&amp;Milestones!$AB$22&amp;" "&amp;IF(AND(Milestones!$AB$22="FT",Milestones!$AA$22=FT_Y5,EDATE($D22,Milestones!$AA$22)&lt;PolicyEff),1,Milestones!$AC$22)&amp;";  ","")&amp;IF(AND(EDATE($D22,Milestones!$AA$23)&lt;=AsOfDate,EDATE($D22,Milestones!$AA$23)&gt;=SchemeStart,IF($X22=0,$AD22,IF(AND($Z22&lt;&gt;"",EDATE($D22,Milestones!$AA$23)&gt;=$Z22),$AC22,IF(AND($Y22&lt;&gt;"",EDATE($D22,Milestones!$AA$23)&gt;=$Y22),$AB22,$AA22)))=Milestones!$AB$23),UPPER(TEXT(EDATE($D22,Milestones!$AA$23),"dd mmm yy"))&amp;" "&amp;Milestones!$AB$23&amp;" "&amp;IF(AND(Milestones!$AB$23="FT",Milestones!$AA$23=FT_Y5,EDATE($D22,Milestones!$AA$23)&lt;PolicyEff),1,Milestones!$AC$23)&amp;";  ","")&amp;IF(AND(EDATE($D22,Milestones!$AA$24)&lt;=AsOfDate,EDATE($D22,Milestones!$AA$24)&gt;=SchemeStart,IF($X22=0,$AD22,IF(AND($Z22&lt;&gt;"",EDATE($D22,Milestones!$AA$24)&gt;=$Z22),$AC22,IF(AND($Y22&lt;&gt;"",EDATE($D22,Milestones!$AA$24)&gt;=$Y22),$AB22,$AA22)))=Milestones!$AB$24),UPPER(TEXT(EDATE($D22,Milestones!$AA$24),"dd mmm yy"))&amp;" "&amp;Milestones!$AB$24&amp;" "&amp;IF(AND(Milestones!$AB$24="FT",Milestones!$AA$24=FT_Y5,EDATE($D22,Milestones!$AA$24)&lt;PolicyEff),1,Milestones!$AC$24)&amp;";  ","")&amp;IF(AND(EDATE($D22,Milestones!$AA$25)&lt;=AsOfDate,EDATE($D22,Milestones!$AA$25)&gt;=SchemeStart,IF($X22=0,$AD22,IF(AND($Z22&lt;&gt;"",EDATE($D22,Milestones!$AA$25)&gt;=$Z22),$AC22,IF(AND($Y22&lt;&gt;"",EDATE($D22,Milestones!$AA$25)&gt;=$Y22),$AB22,$AA22)))=Milestones!$AB$25),UPPER(TEXT(EDATE($D22,Milestones!$AA$25),"dd mmm yy"))&amp;" "&amp;Milestones!$AB$25&amp;" "&amp;IF(AND(Milestones!$AB$25="FT",Milestones!$AA$25=FT_Y5,EDATE($D22,Milestones!$AA$25)&lt;PolicyEff),1,Milestones!$AC$25)&amp;";  ","")&amp;IF(AND(EDATE($D22,Milestones!$AA$26)&lt;=AsOfDate,EDATE($D22,Milestones!$AA$26)&gt;=SchemeStart,IF($X22=0,$AD22,IF(AND($Z22&lt;&gt;"",EDATE($D22,Milestones!$AA$26)&gt;=$Z22),$AC22,IF(AND($Y22&lt;&gt;"",EDATE($D22,Milestones!$AA$26)&gt;=$Y22),$AB22,$AA22)))=Milestones!$AB$26),UPPER(TEXT(EDATE($D22,Milestones!$AA$26),"dd mmm yy"))&amp;" "&amp;Milestones!$AB$26&amp;" "&amp;IF(AND(Milestones!$AB$26="FT",Milestones!$AA$26=FT_Y5,EDATE($D22,Milestones!$AA$26)&lt;PolicyEff),1,Milestones!$AC$26)&amp;";  ","")&amp;IF(AND(EDATE($D22,Milestones!$AA$27)&lt;=AsOfDate,EDATE($D22,Milestones!$AA$27)&gt;=SchemeStart,IF($X22=0,$AD22,IF(AND($Z22&lt;&gt;"",EDATE($D22,Milestones!$AA$27)&gt;=$Z22),$AC22,IF(AND($Y22&lt;&gt;"",EDATE($D22,Milestones!$AA$27)&gt;=$Y22),$AB22,$AA22)))=Milestones!$AB$27),UPPER(TEXT(EDATE($D22,Milestones!$AA$27),"dd mmm yy"))&amp;" "&amp;Milestones!$AB$27&amp;" "&amp;IF(AND(Milestones!$AB$27="FT",Milestones!$AA$27=FT_Y5,EDATE($D22,Milestones!$AA$27)&lt;PolicyEff),1,Milestones!$AC$27)&amp;";  ","")&amp;IF(AND(EDATE($D22,Milestones!$AA$28)&lt;=AsOfDate,EDATE($D22,Milestones!$AA$28)&gt;=SchemeStart,IF($X22=0,$AD22,IF(AND($Z22&lt;&gt;"",EDATE($D22,Milestones!$AA$28)&gt;=$Z22),$AC22,IF(AND($Y22&lt;&gt;"",EDATE($D22,Milestones!$AA$28)&gt;=$Y22),$AB22,$AA22)))=Milestones!$AB$28),UPPER(TEXT(EDATE($D22,Milestones!$AA$28),"dd mmm yy"))&amp;" "&amp;Milestones!$AB$28&amp;" "&amp;IF(AND(Milestones!$AB$28="FT",Milestones!$AA$28=FT_Y5,EDATE($D22,Milestones!$AA$28)&lt;PolicyEff),1,Milestones!$AC$28)&amp;";  ","")&amp;IF(AND(EDATE($D22,Milestones!$AA$29)&lt;=AsOfDate,EDATE($D22,Milestones!$AA$29)&gt;=SchemeStart,IF($X22=0,$AD22,IF(AND($Z22&lt;&gt;"",EDATE($D22,Milestones!$AA$29)&gt;=$Z22),$AC22,IF(AND($Y22&lt;&gt;"",EDATE($D22,Milestones!$AA$29)&gt;=$Y22),$AB22,$AA22)))=Milestones!$AB$29),UPPER(TEXT(EDATE($D22,Milestones!$AA$29),"dd mmm yy"))&amp;" "&amp;Milestones!$AB$29&amp;" "&amp;IF(AND(Milestones!$AB$29="FT",Milestones!$AA$29=FT_Y5,EDATE($D22,Milestones!$AA$29)&lt;PolicyEff),1,Milestones!$AC$29)&amp;";  ","")&amp;IF(AND(EDATE($D22,Milestones!$AA$30)&lt;=AsOfDate,EDATE($D22,Milestones!$AA$30)&gt;=SchemeStart,IF($X22=0,$AD22,IF(AND($Z22&lt;&gt;"",EDATE($D22,Milestones!$AA$30)&gt;=$Z22),$AC22,IF(AND($Y22&lt;&gt;"",EDATE($D22,Milestones!$AA$30)&gt;=$Y22),$AB22,$AA22)))=Milestones!$AB$30),UPPER(TEXT(EDATE($D22,Milestones!$AA$30),"dd mmm yy"))&amp;" "&amp;Milestones!$AB$30&amp;" "&amp;IF(AND(Milestones!$AB$30="FT",Milestones!$AA$30=FT_Y5,EDATE($D22,Milestones!$AA$30)&lt;PolicyEff),1,Milestones!$AC$30)&amp;";  ","")&amp;IF(AND(EDATE($D22,Milestones!$AA$31)&lt;=AsOfDate,EDATE($D22,Milestones!$AA$31)&gt;=SchemeStart,IF($X22=0,$AD22,IF(AND($Z22&lt;&gt;"",EDATE($D22,Milestones!$AA$31)&gt;=$Z22),$AC22,IF(AND($Y22&lt;&gt;"",EDATE($D22,Milestones!$AA$31)&gt;=$Y22),$AB22,$AA22)))=Milestones!$AB$31),UPPER(TEXT(EDATE($D22,Milestones!$AA$31),"dd mmm yy"))&amp;" "&amp;Milestones!$AB$31&amp;" "&amp;IF(AND(Milestones!$AB$31="FT",Milestones!$AA$31=FT_Y5,EDATE($D22,Milestones!$AA$31)&lt;PolicyEff),1,Milestones!$AC$31)&amp;";  ",""))</f>
        <v/>
      </c>
      <c r="J22" s="0" t="str">
        <f aca="false">IF(OR($A22="",$D22=""),"",IF(AND(EDATE($D22,Milestones!$AA$32)&lt;=AsOfDate,EDATE($D22,Milestones!$AA$32)&gt;=SchemeStart,IF($X22=0,$AD22,IF(AND($Z22&lt;&gt;"",EDATE($D22,Milestones!$AA$32)&gt;=$Z22),$AC22,IF(AND($Y22&lt;&gt;"",EDATE($D22,Milestones!$AA$32)&gt;=$Y22),$AB22,$AA22)))=Milestones!$AB$32),UPPER(TEXT(EDATE($D22,Milestones!$AA$32),"dd mmm yy"))&amp;" "&amp;Milestones!$AB$32&amp;" "&amp;IF(AND(Milestones!$AB$32="FT",Milestones!$AA$32=FT_Y5,EDATE($D22,Milestones!$AA$32)&lt;PolicyEff),1,Milestones!$AC$32)&amp;";  ","")&amp;IF(AND(EDATE($D22,Milestones!$AA$33)&lt;=AsOfDate,EDATE($D22,Milestones!$AA$33)&gt;=SchemeStart,IF($X22=0,$AD22,IF(AND($Z22&lt;&gt;"",EDATE($D22,Milestones!$AA$33)&gt;=$Z22),$AC22,IF(AND($Y22&lt;&gt;"",EDATE($D22,Milestones!$AA$33)&gt;=$Y22),$AB22,$AA22)))=Milestones!$AB$33),UPPER(TEXT(EDATE($D22,Milestones!$AA$33),"dd mmm yy"))&amp;" "&amp;Milestones!$AB$33&amp;" "&amp;IF(AND(Milestones!$AB$33="FT",Milestones!$AA$33=FT_Y5,EDATE($D22,Milestones!$AA$33)&lt;PolicyEff),1,Milestones!$AC$33)&amp;";  ","")&amp;IF(AND(EDATE($D22,Milestones!$AA$34)&lt;=AsOfDate,EDATE($D22,Milestones!$AA$34)&gt;=SchemeStart,IF($X22=0,$AD22,IF(AND($Z22&lt;&gt;"",EDATE($D22,Milestones!$AA$34)&gt;=$Z22),$AC22,IF(AND($Y22&lt;&gt;"",EDATE($D22,Milestones!$AA$34)&gt;=$Y22),$AB22,$AA22)))=Milestones!$AB$34),UPPER(TEXT(EDATE($D22,Milestones!$AA$34),"dd mmm yy"))&amp;" "&amp;Milestones!$AB$34&amp;" "&amp;IF(AND(Milestones!$AB$34="FT",Milestones!$AA$34=FT_Y5,EDATE($D22,Milestones!$AA$34)&lt;PolicyEff),1,Milestones!$AC$34)&amp;";  ","")&amp;IF(AND(EDATE($D22,Milestones!$AA$35)&lt;=AsOfDate,EDATE($D22,Milestones!$AA$35)&gt;=SchemeStart,IF($X22=0,$AD22,IF(AND($Z22&lt;&gt;"",EDATE($D22,Milestones!$AA$35)&gt;=$Z22),$AC22,IF(AND($Y22&lt;&gt;"",EDATE($D22,Milestones!$AA$35)&gt;=$Y22),$AB22,$AA22)))=Milestones!$AB$35),UPPER(TEXT(EDATE($D22,Milestones!$AA$35),"dd mmm yy"))&amp;" "&amp;Milestones!$AB$35&amp;" "&amp;IF(AND(Milestones!$AB$35="FT",Milestones!$AA$35=FT_Y5,EDATE($D22,Milestones!$AA$35)&lt;PolicyEff),1,Milestones!$AC$35)&amp;";  ","")&amp;IF(AND(EDATE($D22,Milestones!$AA$36)&lt;=AsOfDate,EDATE($D22,Milestones!$AA$36)&gt;=SchemeStart,IF($X22=0,$AD22,IF(AND($Z22&lt;&gt;"",EDATE($D22,Milestones!$AA$36)&gt;=$Z22),$AC22,IF(AND($Y22&lt;&gt;"",EDATE($D22,Milestones!$AA$36)&gt;=$Y22),$AB22,$AA22)))=Milestones!$AB$36),UPPER(TEXT(EDATE($D22,Milestones!$AA$36),"dd mmm yy"))&amp;" "&amp;Milestones!$AB$36&amp;" "&amp;IF(AND(Milestones!$AB$36="FT",Milestones!$AA$36=FT_Y5,EDATE($D22,Milestones!$AA$36)&lt;PolicyEff),1,Milestones!$AC$36)&amp;";  ","")&amp;IF(AND(EDATE($D22,Milestones!$AA$37)&lt;=AsOfDate,EDATE($D22,Milestones!$AA$37)&gt;=SchemeStart,IF($X22=0,$AD22,IF(AND($Z22&lt;&gt;"",EDATE($D22,Milestones!$AA$37)&gt;=$Z22),$AC22,IF(AND($Y22&lt;&gt;"",EDATE($D22,Milestones!$AA$37)&gt;=$Y22),$AB22,$AA22)))=Milestones!$AB$37),UPPER(TEXT(EDATE($D22,Milestones!$AA$37),"dd mmm yy"))&amp;" "&amp;Milestones!$AB$37&amp;" "&amp;IF(AND(Milestones!$AB$37="FT",Milestones!$AA$37=FT_Y5,EDATE($D22,Milestones!$AA$37)&lt;PolicyEff),1,Milestones!$AC$37)&amp;";  ","")&amp;IF(AND(EDATE($D22,Milestones!$AA$38)&lt;=AsOfDate,EDATE($D22,Milestones!$AA$38)&gt;=SchemeStart,IF($X22=0,$AD22,IF(AND($Z22&lt;&gt;"",EDATE($D22,Milestones!$AA$38)&gt;=$Z22),$AC22,IF(AND($Y22&lt;&gt;"",EDATE($D22,Milestones!$AA$38)&gt;=$Y22),$AB22,$AA22)))=Milestones!$AB$38),UPPER(TEXT(EDATE($D22,Milestones!$AA$38),"dd mmm yy"))&amp;" "&amp;Milestones!$AB$38&amp;" "&amp;IF(AND(Milestones!$AB$38="FT",Milestones!$AA$38=FT_Y5,EDATE($D22,Milestones!$AA$38)&lt;PolicyEff),1,Milestones!$AC$38)&amp;";  ","")&amp;IF(AND(EDATE($D22,Milestones!$AA$39)&lt;=AsOfDate,EDATE($D22,Milestones!$AA$39)&gt;=SchemeStart,IF($X22=0,$AD22,IF(AND($Z22&lt;&gt;"",EDATE($D22,Milestones!$AA$39)&gt;=$Z22),$AC22,IF(AND($Y22&lt;&gt;"",EDATE($D22,Milestones!$AA$39)&gt;=$Y22),$AB22,$AA22)))=Milestones!$AB$39),UPPER(TEXT(EDATE($D22,Milestones!$AA$39),"dd mmm yy"))&amp;" "&amp;Milestones!$AB$39&amp;" "&amp;IF(AND(Milestones!$AB$39="FT",Milestones!$AA$39=FT_Y5,EDATE($D22,Milestones!$AA$39)&lt;PolicyEff),1,Milestones!$AC$39)&amp;";  ","")&amp;IF(AND(EDATE($D22,Milestones!$AA$40)&lt;=AsOfDate,EDATE($D22,Milestones!$AA$40)&gt;=SchemeStart,IF($X22=0,$AD22,IF(AND($Z22&lt;&gt;"",EDATE($D22,Milestones!$AA$40)&gt;=$Z22),$AC22,IF(AND($Y22&lt;&gt;"",EDATE($D22,Milestones!$AA$40)&gt;=$Y22),$AB22,$AA22)))=Milestones!$AB$40),UPPER(TEXT(EDATE($D22,Milestones!$AA$40),"dd mmm yy"))&amp;" "&amp;Milestones!$AB$40&amp;" "&amp;IF(AND(Milestones!$AB$40="FT",Milestones!$AA$40=FT_Y5,EDATE($D22,Milestones!$AA$40)&lt;PolicyEff),1,Milestones!$AC$40)&amp;";  ","")&amp;IF(AND(EDATE($D22,Milestones!$AA$41)&lt;=AsOfDate,EDATE($D22,Milestones!$AA$41)&gt;=SchemeStart,IF($X22=0,$AD22,IF(AND($Z22&lt;&gt;"",EDATE($D22,Milestones!$AA$41)&gt;=$Z22),$AC22,IF(AND($Y22&lt;&gt;"",EDATE($D22,Milestones!$AA$41)&gt;=$Y22),$AB22,$AA22)))=Milestones!$AB$41),UPPER(TEXT(EDATE($D22,Milestones!$AA$41),"dd mmm yy"))&amp;" "&amp;Milestones!$AB$41&amp;" "&amp;IF(AND(Milestones!$AB$41="FT",Milestones!$AA$41=FT_Y5,EDATE($D22,Milestones!$AA$41)&lt;PolicyEff),1,Milestones!$AC$41)&amp;";  ","")&amp;IF(AND(EDATE($D22,Milestones!$AA$42)&lt;=AsOfDate,EDATE($D22,Milestones!$AA$42)&gt;=SchemeStart,IF($X22=0,$AD22,IF(AND($Z22&lt;&gt;"",EDATE($D22,Milestones!$AA$42)&gt;=$Z22),$AC22,IF(AND($Y22&lt;&gt;"",EDATE($D22,Milestones!$AA$42)&gt;=$Y22),$AB22,$AA22)))=Milestones!$AB$42),UPPER(TEXT(EDATE($D22,Milestones!$AA$42),"dd mmm yy"))&amp;" "&amp;Milestones!$AB$42&amp;" "&amp;IF(AND(Milestones!$AB$42="FT",Milestones!$AA$42=FT_Y5,EDATE($D22,Milestones!$AA$42)&lt;PolicyEff),1,Milestones!$AC$42)&amp;";  ","")&amp;IF(AND(EDATE($D22,Milestones!$AA$43)&lt;=AsOfDate,EDATE($D22,Milestones!$AA$43)&gt;=SchemeStart,IF($X22=0,$AD22,IF(AND($Z22&lt;&gt;"",EDATE($D22,Milestones!$AA$43)&gt;=$Z22),$AC22,IF(AND($Y22&lt;&gt;"",EDATE($D22,Milestones!$AA$43)&gt;=$Y22),$AB22,$AA22)))=Milestones!$AB$43),UPPER(TEXT(EDATE($D22,Milestones!$AA$43),"dd mmm yy"))&amp;" "&amp;Milestones!$AB$43&amp;" "&amp;IF(AND(Milestones!$AB$43="FT",Milestones!$AA$43=FT_Y5,EDATE($D22,Milestones!$AA$43)&lt;PolicyEff),1,Milestones!$AC$43)&amp;";  ",""))</f>
        <v/>
      </c>
      <c r="K22" s="0" t="str">
        <f aca="false">IF(OR($A22="",$D22=""),"",IF(AND(EDATE($D22,Milestones!$AA$44)&lt;=AsOfDate,EDATE($D22,Milestones!$AA$44)&gt;=SchemeStart,IF($X22=0,$AD22,IF(AND($Z22&lt;&gt;"",EDATE($D22,Milestones!$AA$44)&gt;=$Z22),$AC22,IF(AND($Y22&lt;&gt;"",EDATE($D22,Milestones!$AA$44)&gt;=$Y22),$AB22,$AA22)))=Milestones!$AB$44),UPPER(TEXT(EDATE($D22,Milestones!$AA$44),"dd mmm yy"))&amp;" "&amp;Milestones!$AB$44&amp;" "&amp;IF(AND(Milestones!$AB$44="FT",Milestones!$AA$44=FT_Y5,EDATE($D22,Milestones!$AA$44)&lt;PolicyEff),1,Milestones!$AC$44)&amp;";  ","")&amp;IF(AND(EDATE($D22,Milestones!$AA$45)&lt;=AsOfDate,EDATE($D22,Milestones!$AA$45)&gt;=SchemeStart,IF($X22=0,$AD22,IF(AND($Z22&lt;&gt;"",EDATE($D22,Milestones!$AA$45)&gt;=$Z22),$AC22,IF(AND($Y22&lt;&gt;"",EDATE($D22,Milestones!$AA$45)&gt;=$Y22),$AB22,$AA22)))=Milestones!$AB$45),UPPER(TEXT(EDATE($D22,Milestones!$AA$45),"dd mmm yy"))&amp;" "&amp;Milestones!$AB$45&amp;" "&amp;IF(AND(Milestones!$AB$45="FT",Milestones!$AA$45=FT_Y5,EDATE($D22,Milestones!$AA$45)&lt;PolicyEff),1,Milestones!$AC$45)&amp;";  ","")&amp;IF(AND(EDATE($D22,Milestones!$AA$46)&lt;=AsOfDate,EDATE($D22,Milestones!$AA$46)&gt;=SchemeStart,IF($X22=0,$AD22,IF(AND($Z22&lt;&gt;"",EDATE($D22,Milestones!$AA$46)&gt;=$Z22),$AC22,IF(AND($Y22&lt;&gt;"",EDATE($D22,Milestones!$AA$46)&gt;=$Y22),$AB22,$AA22)))=Milestones!$AB$46),UPPER(TEXT(EDATE($D22,Milestones!$AA$46),"dd mmm yy"))&amp;" "&amp;Milestones!$AB$46&amp;" "&amp;IF(AND(Milestones!$AB$46="FT",Milestones!$AA$46=FT_Y5,EDATE($D22,Milestones!$AA$46)&lt;PolicyEff),1,Milestones!$AC$46)&amp;";  ","")&amp;IF(AND(EDATE($D22,Milestones!$AA$47)&lt;=AsOfDate,EDATE($D22,Milestones!$AA$47)&gt;=SchemeStart,IF($X22=0,$AD22,IF(AND($Z22&lt;&gt;"",EDATE($D22,Milestones!$AA$47)&gt;=$Z22),$AC22,IF(AND($Y22&lt;&gt;"",EDATE($D22,Milestones!$AA$47)&gt;=$Y22),$AB22,$AA22)))=Milestones!$AB$47),UPPER(TEXT(EDATE($D22,Milestones!$AA$47),"dd mmm yy"))&amp;" "&amp;Milestones!$AB$47&amp;" "&amp;IF(AND(Milestones!$AB$47="FT",Milestones!$AA$47=FT_Y5,EDATE($D22,Milestones!$AA$47)&lt;PolicyEff),1,Milestones!$AC$47)&amp;";  ","")&amp;IF(AND(EDATE($D22,Milestones!$AA$48)&lt;=AsOfDate,EDATE($D22,Milestones!$AA$48)&gt;=SchemeStart,IF($X22=0,$AD22,IF(AND($Z22&lt;&gt;"",EDATE($D22,Milestones!$AA$48)&gt;=$Z22),$AC22,IF(AND($Y22&lt;&gt;"",EDATE($D22,Milestones!$AA$48)&gt;=$Y22),$AB22,$AA22)))=Milestones!$AB$48),UPPER(TEXT(EDATE($D22,Milestones!$AA$48),"dd mmm yy"))&amp;" "&amp;Milestones!$AB$48&amp;" "&amp;IF(AND(Milestones!$AB$48="FT",Milestones!$AA$48=FT_Y5,EDATE($D22,Milestones!$AA$48)&lt;PolicyEff),1,Milestones!$AC$48)&amp;";  ","")&amp;IF(AND(EDATE($D22,Milestones!$AA$49)&lt;=AsOfDate,EDATE($D22,Milestones!$AA$49)&gt;=SchemeStart,IF($X22=0,$AD22,IF(AND($Z22&lt;&gt;"",EDATE($D22,Milestones!$AA$49)&gt;=$Z22),$AC22,IF(AND($Y22&lt;&gt;"",EDATE($D22,Milestones!$AA$49)&gt;=$Y22),$AB22,$AA22)))=Milestones!$AB$49),UPPER(TEXT(EDATE($D22,Milestones!$AA$49),"dd mmm yy"))&amp;" "&amp;Milestones!$AB$49&amp;" "&amp;IF(AND(Milestones!$AB$49="FT",Milestones!$AA$49=FT_Y5,EDATE($D22,Milestones!$AA$49)&lt;PolicyEff),1,Milestones!$AC$49)&amp;";  ","")&amp;IF(AND(EDATE($D22,Milestones!$AA$50)&lt;=AsOfDate,EDATE($D22,Milestones!$AA$50)&gt;=SchemeStart,IF($X22=0,$AD22,IF(AND($Z22&lt;&gt;"",EDATE($D22,Milestones!$AA$50)&gt;=$Z22),$AC22,IF(AND($Y22&lt;&gt;"",EDATE($D22,Milestones!$AA$50)&gt;=$Y22),$AB22,$AA22)))=Milestones!$AB$50),UPPER(TEXT(EDATE($D22,Milestones!$AA$50),"dd mmm yy"))&amp;" "&amp;Milestones!$AB$50&amp;" "&amp;IF(AND(Milestones!$AB$50="FT",Milestones!$AA$50=FT_Y5,EDATE($D22,Milestones!$AA$50)&lt;PolicyEff),1,Milestones!$AC$50)&amp;";  ","")&amp;IF(AND(EDATE($D22,Milestones!$AA$51)&lt;=AsOfDate,EDATE($D22,Milestones!$AA$51)&gt;=SchemeStart,IF($X22=0,$AD22,IF(AND($Z22&lt;&gt;"",EDATE($D22,Milestones!$AA$51)&gt;=$Z22),$AC22,IF(AND($Y22&lt;&gt;"",EDATE($D22,Milestones!$AA$51)&gt;=$Y22),$AB22,$AA22)))=Milestones!$AB$51),UPPER(TEXT(EDATE($D22,Milestones!$AA$51),"dd mmm yy"))&amp;" "&amp;Milestones!$AB$51&amp;" "&amp;IF(AND(Milestones!$AB$51="FT",Milestones!$AA$51=FT_Y5,EDATE($D22,Milestones!$AA$51)&lt;PolicyEff),1,Milestones!$AC$51)&amp;";  ","")&amp;IF(AND(EDATE($D22,Milestones!$AA$52)&lt;=AsOfDate,EDATE($D22,Milestones!$AA$52)&gt;=SchemeStart,IF($X22=0,$AD22,IF(AND($Z22&lt;&gt;"",EDATE($D22,Milestones!$AA$52)&gt;=$Z22),$AC22,IF(AND($Y22&lt;&gt;"",EDATE($D22,Milestones!$AA$52)&gt;=$Y22),$AB22,$AA22)))=Milestones!$AB$52),UPPER(TEXT(EDATE($D22,Milestones!$AA$52),"dd mmm yy"))&amp;" "&amp;Milestones!$AB$52&amp;" "&amp;IF(AND(Milestones!$AB$52="FT",Milestones!$AA$52=FT_Y5,EDATE($D22,Milestones!$AA$52)&lt;PolicyEff),1,Milestones!$AC$52)&amp;";  ","")&amp;IF(AND(EDATE($D22,Milestones!$AA$53)&lt;=AsOfDate,EDATE($D22,Milestones!$AA$53)&gt;=SchemeStart,IF($X22=0,$AD22,IF(AND($Z22&lt;&gt;"",EDATE($D22,Milestones!$AA$53)&gt;=$Z22),$AC22,IF(AND($Y22&lt;&gt;"",EDATE($D22,Milestones!$AA$53)&gt;=$Y22),$AB22,$AA22)))=Milestones!$AB$53),UPPER(TEXT(EDATE($D22,Milestones!$AA$53),"dd mmm yy"))&amp;" "&amp;Milestones!$AB$53&amp;" "&amp;IF(AND(Milestones!$AB$53="FT",Milestones!$AA$53=FT_Y5,EDATE($D22,Milestones!$AA$53)&lt;PolicyEff),1,Milestones!$AC$53)&amp;";  ","")&amp;IF(AND(EDATE($D22,Milestones!$AA$54)&lt;=AsOfDate,EDATE($D22,Milestones!$AA$54)&gt;=SchemeStart,IF($X22=0,$AD22,IF(AND($Z22&lt;&gt;"",EDATE($D22,Milestones!$AA$54)&gt;=$Z22),$AC22,IF(AND($Y22&lt;&gt;"",EDATE($D22,Milestones!$AA$54)&gt;=$Y22),$AB22,$AA22)))=Milestones!$AB$54),UPPER(TEXT(EDATE($D22,Milestones!$AA$54),"dd mmm yy"))&amp;" "&amp;Milestones!$AB$54&amp;" "&amp;IF(AND(Milestones!$AB$54="FT",Milestones!$AA$54=FT_Y5,EDATE($D22,Milestones!$AA$54)&lt;PolicyEff),1,Milestones!$AC$54)&amp;";  ","")&amp;IF(AND(EDATE($D22,Milestones!$AA$55)&lt;=AsOfDate,EDATE($D22,Milestones!$AA$55)&gt;=SchemeStart,IF($X22=0,$AD22,IF(AND($Z22&lt;&gt;"",EDATE($D22,Milestones!$AA$55)&gt;=$Z22),$AC22,IF(AND($Y22&lt;&gt;"",EDATE($D22,Milestones!$AA$55)&gt;=$Y22),$AB22,$AA22)))=Milestones!$AB$55),UPPER(TEXT(EDATE($D22,Milestones!$AA$55),"dd mmm yy"))&amp;" "&amp;Milestones!$AB$55&amp;" "&amp;IF(AND(Milestones!$AB$55="FT",Milestones!$AA$55=FT_Y5,EDATE($D22,Milestones!$AA$55)&lt;PolicyEff),1,Milestones!$AC$55)&amp;";  ",""))</f>
        <v/>
      </c>
      <c r="L22" s="0" t="str">
        <f aca="false">IF(OR($A22="",$D22=""),"",IF(AND(EDATE($D22,Milestones!$AA$56)&lt;=AsOfDate,EDATE($D22,Milestones!$AA$56)&gt;=SchemeStart,IF($X22=0,$AD22,IF(AND($Z22&lt;&gt;"",EDATE($D22,Milestones!$AA$56)&gt;=$Z22),$AC22,IF(AND($Y22&lt;&gt;"",EDATE($D22,Milestones!$AA$56)&gt;=$Y22),$AB22,$AA22)))=Milestones!$AB$56),UPPER(TEXT(EDATE($D22,Milestones!$AA$56),"dd mmm yy"))&amp;" "&amp;Milestones!$AB$56&amp;" "&amp;IF(AND(Milestones!$AB$56="FT",Milestones!$AA$56=FT_Y5,EDATE($D22,Milestones!$AA$56)&lt;PolicyEff),1,Milestones!$AC$56)&amp;";  ","")&amp;IF(AND(EDATE($D22,Milestones!$AA$57)&lt;=AsOfDate,EDATE($D22,Milestones!$AA$57)&gt;=SchemeStart,IF($X22=0,$AD22,IF(AND($Z22&lt;&gt;"",EDATE($D22,Milestones!$AA$57)&gt;=$Z22),$AC22,IF(AND($Y22&lt;&gt;"",EDATE($D22,Milestones!$AA$57)&gt;=$Y22),$AB22,$AA22)))=Milestones!$AB$57),UPPER(TEXT(EDATE($D22,Milestones!$AA$57),"dd mmm yy"))&amp;" "&amp;Milestones!$AB$57&amp;" "&amp;IF(AND(Milestones!$AB$57="FT",Milestones!$AA$57=FT_Y5,EDATE($D22,Milestones!$AA$57)&lt;PolicyEff),1,Milestones!$AC$57)&amp;";  ","")&amp;IF(AND(EDATE($D22,Milestones!$AA$58)&lt;=AsOfDate,EDATE($D22,Milestones!$AA$58)&gt;=SchemeStart,IF($X22=0,$AD22,IF(AND($Z22&lt;&gt;"",EDATE($D22,Milestones!$AA$58)&gt;=$Z22),$AC22,IF(AND($Y22&lt;&gt;"",EDATE($D22,Milestones!$AA$58)&gt;=$Y22),$AB22,$AA22)))=Milestones!$AB$58),UPPER(TEXT(EDATE($D22,Milestones!$AA$58),"dd mmm yy"))&amp;" "&amp;Milestones!$AB$58&amp;" "&amp;IF(AND(Milestones!$AB$58="FT",Milestones!$AA$58=FT_Y5,EDATE($D22,Milestones!$AA$58)&lt;PolicyEff),1,Milestones!$AC$58)&amp;";  ","")&amp;IF(AND(EDATE($D22,Milestones!$AA$59)&lt;=AsOfDate,EDATE($D22,Milestones!$AA$59)&gt;=SchemeStart,IF($X22=0,$AD22,IF(AND($Z22&lt;&gt;"",EDATE($D22,Milestones!$AA$59)&gt;=$Z22),$AC22,IF(AND($Y22&lt;&gt;"",EDATE($D22,Milestones!$AA$59)&gt;=$Y22),$AB22,$AA22)))=Milestones!$AB$59),UPPER(TEXT(EDATE($D22,Milestones!$AA$59),"dd mmm yy"))&amp;" "&amp;Milestones!$AB$59&amp;" "&amp;IF(AND(Milestones!$AB$59="FT",Milestones!$AA$59=FT_Y5,EDATE($D22,Milestones!$AA$59)&lt;PolicyEff),1,Milestones!$AC$59)&amp;";  ","")&amp;IF(AND(EDATE($D22,Milestones!$AA$60)&lt;=AsOfDate,EDATE($D22,Milestones!$AA$60)&gt;=SchemeStart,IF($X22=0,$AD22,IF(AND($Z22&lt;&gt;"",EDATE($D22,Milestones!$AA$60)&gt;=$Z22),$AC22,IF(AND($Y22&lt;&gt;"",EDATE($D22,Milestones!$AA$60)&gt;=$Y22),$AB22,$AA22)))=Milestones!$AB$60),UPPER(TEXT(EDATE($D22,Milestones!$AA$60),"dd mmm yy"))&amp;" "&amp;Milestones!$AB$60&amp;" "&amp;IF(AND(Milestones!$AB$60="FT",Milestones!$AA$60=FT_Y5,EDATE($D22,Milestones!$AA$60)&lt;PolicyEff),1,Milestones!$AC$60)&amp;";  ","")&amp;IF(AND(EDATE($D22,Milestones!$AA$61)&lt;=AsOfDate,EDATE($D22,Milestones!$AA$61)&gt;=SchemeStart,IF($X22=0,$AD22,IF(AND($Z22&lt;&gt;"",EDATE($D22,Milestones!$AA$61)&gt;=$Z22),$AC22,IF(AND($Y22&lt;&gt;"",EDATE($D22,Milestones!$AA$61)&gt;=$Y22),$AB22,$AA22)))=Milestones!$AB$61),UPPER(TEXT(EDATE($D22,Milestones!$AA$61),"dd mmm yy"))&amp;" "&amp;Milestones!$AB$61&amp;" "&amp;IF(AND(Milestones!$AB$61="FT",Milestones!$AA$61=FT_Y5,EDATE($D22,Milestones!$AA$61)&lt;PolicyEff),1,Milestones!$AC$61)&amp;";  ","")&amp;IF(AND(EDATE($D22,Milestones!$AA$62)&lt;=AsOfDate,EDATE($D22,Milestones!$AA$62)&gt;=SchemeStart,IF($X22=0,$AD22,IF(AND($Z22&lt;&gt;"",EDATE($D22,Milestones!$AA$62)&gt;=$Z22),$AC22,IF(AND($Y22&lt;&gt;"",EDATE($D22,Milestones!$AA$62)&gt;=$Y22),$AB22,$AA22)))=Milestones!$AB$62),UPPER(TEXT(EDATE($D22,Milestones!$AA$62),"dd mmm yy"))&amp;" "&amp;Milestones!$AB$62&amp;" "&amp;IF(AND(Milestones!$AB$62="FT",Milestones!$AA$62=FT_Y5,EDATE($D22,Milestones!$AA$62)&lt;PolicyEff),1,Milestones!$AC$62)&amp;";  ","")&amp;IF(AND(EDATE($D22,Milestones!$AA$63)&lt;=AsOfDate,EDATE($D22,Milestones!$AA$63)&gt;=SchemeStart,IF($X22=0,$AD22,IF(AND($Z22&lt;&gt;"",EDATE($D22,Milestones!$AA$63)&gt;=$Z22),$AC22,IF(AND($Y22&lt;&gt;"",EDATE($D22,Milestones!$AA$63)&gt;=$Y22),$AB22,$AA22)))=Milestones!$AB$63),UPPER(TEXT(EDATE($D22,Milestones!$AA$63),"dd mmm yy"))&amp;" "&amp;Milestones!$AB$63&amp;" "&amp;IF(AND(Milestones!$AB$63="FT",Milestones!$AA$63=FT_Y5,EDATE($D22,Milestones!$AA$63)&lt;PolicyEff),1,Milestones!$AC$63)&amp;";  ","")&amp;IF(AND(EDATE($D22,Milestones!$AA$64)&lt;=AsOfDate,EDATE($D22,Milestones!$AA$64)&gt;=SchemeStart,IF($X22=0,$AD22,IF(AND($Z22&lt;&gt;"",EDATE($D22,Milestones!$AA$64)&gt;=$Z22),$AC22,IF(AND($Y22&lt;&gt;"",EDATE($D22,Milestones!$AA$64)&gt;=$Y22),$AB22,$AA22)))=Milestones!$AB$64),UPPER(TEXT(EDATE($D22,Milestones!$AA$64),"dd mmm yy"))&amp;" "&amp;Milestones!$AB$64&amp;" "&amp;IF(AND(Milestones!$AB$64="FT",Milestones!$AA$64=FT_Y5,EDATE($D22,Milestones!$AA$64)&lt;PolicyEff),1,Milestones!$AC$64)&amp;";  ","")&amp;IF(AND(EDATE($D22,Milestones!$AA$65)&lt;=AsOfDate,EDATE($D22,Milestones!$AA$65)&gt;=SchemeStart,IF($X22=0,$AD22,IF(AND($Z22&lt;&gt;"",EDATE($D22,Milestones!$AA$65)&gt;=$Z22),$AC22,IF(AND($Y22&lt;&gt;"",EDATE($D22,Milestones!$AA$65)&gt;=$Y22),$AB22,$AA22)))=Milestones!$AB$65),UPPER(TEXT(EDATE($D22,Milestones!$AA$65),"dd mmm yy"))&amp;" "&amp;Milestones!$AB$65&amp;" "&amp;IF(AND(Milestones!$AB$65="FT",Milestones!$AA$65=FT_Y5,EDATE($D22,Milestones!$AA$65)&lt;PolicyEff),1,Milestones!$AC$65)&amp;";  ","")&amp;IF(AND(EDATE($D22,Milestones!$AA$66)&lt;=AsOfDate,EDATE($D22,Milestones!$AA$66)&gt;=SchemeStart,IF($X22=0,$AD22,IF(AND($Z22&lt;&gt;"",EDATE($D22,Milestones!$AA$66)&gt;=$Z22),$AC22,IF(AND($Y22&lt;&gt;"",EDATE($D22,Milestones!$AA$66)&gt;=$Y22),$AB22,$AA22)))=Milestones!$AB$66),UPPER(TEXT(EDATE($D22,Milestones!$AA$66),"dd mmm yy"))&amp;" "&amp;Milestones!$AB$66&amp;" "&amp;IF(AND(Milestones!$AB$66="FT",Milestones!$AA$66=FT_Y5,EDATE($D22,Milestones!$AA$66)&lt;PolicyEff),1,Milestones!$AC$66)&amp;";  ","")&amp;IF(AND(EDATE($D22,Milestones!$AA$67)&lt;=AsOfDate,EDATE($D22,Milestones!$AA$67)&gt;=SchemeStart,IF($X22=0,$AD22,IF(AND($Z22&lt;&gt;"",EDATE($D22,Milestones!$AA$67)&gt;=$Z22),$AC22,IF(AND($Y22&lt;&gt;"",EDATE($D22,Milestones!$AA$67)&gt;=$Y22),$AB22,$AA22)))=Milestones!$AB$67),UPPER(TEXT(EDATE($D22,Milestones!$AA$67),"dd mmm yy"))&amp;" "&amp;Milestones!$AB$67&amp;" "&amp;IF(AND(Milestones!$AB$67="FT",Milestones!$AA$67=FT_Y5,EDATE($D22,Milestones!$AA$67)&lt;PolicyEff),1,Milestones!$AC$67)&amp;";  ",""))</f>
        <v/>
      </c>
      <c r="M22" s="0" t="str">
        <f aca="false">IF(OR($A22="",$D22=""),"",IF(AND(EDATE($D22,Milestones!$AA$68)&lt;=AsOfDate,EDATE($D22,Milestones!$AA$68)&gt;=SchemeStart,IF($X22=0,$AD22,IF(AND($Z22&lt;&gt;"",EDATE($D22,Milestones!$AA$68)&gt;=$Z22),$AC22,IF(AND($Y22&lt;&gt;"",EDATE($D22,Milestones!$AA$68)&gt;=$Y22),$AB22,$AA22)))=Milestones!$AB$68),UPPER(TEXT(EDATE($D22,Milestones!$AA$68),"dd mmm yy"))&amp;" "&amp;Milestones!$AB$68&amp;" "&amp;IF(AND(Milestones!$AB$68="FT",Milestones!$AA$68=FT_Y5,EDATE($D22,Milestones!$AA$68)&lt;PolicyEff),1,Milestones!$AC$68)&amp;";  ","")&amp;IF(AND(EDATE($D22,Milestones!$AA$69)&lt;=AsOfDate,EDATE($D22,Milestones!$AA$69)&gt;=SchemeStart,IF($X22=0,$AD22,IF(AND($Z22&lt;&gt;"",EDATE($D22,Milestones!$AA$69)&gt;=$Z22),$AC22,IF(AND($Y22&lt;&gt;"",EDATE($D22,Milestones!$AA$69)&gt;=$Y22),$AB22,$AA22)))=Milestones!$AB$69),UPPER(TEXT(EDATE($D22,Milestones!$AA$69),"dd mmm yy"))&amp;" "&amp;Milestones!$AB$69&amp;" "&amp;IF(AND(Milestones!$AB$69="FT",Milestones!$AA$69=FT_Y5,EDATE($D22,Milestones!$AA$69)&lt;PolicyEff),1,Milestones!$AC$69)&amp;";  ","")&amp;IF(AND(EDATE($D22,Milestones!$AA$70)&lt;=AsOfDate,EDATE($D22,Milestones!$AA$70)&gt;=SchemeStart,IF($X22=0,$AD22,IF(AND($Z22&lt;&gt;"",EDATE($D22,Milestones!$AA$70)&gt;=$Z22),$AC22,IF(AND($Y22&lt;&gt;"",EDATE($D22,Milestones!$AA$70)&gt;=$Y22),$AB22,$AA22)))=Milestones!$AB$70),UPPER(TEXT(EDATE($D22,Milestones!$AA$70),"dd mmm yy"))&amp;" "&amp;Milestones!$AB$70&amp;" "&amp;IF(AND(Milestones!$AB$70="FT",Milestones!$AA$70=FT_Y5,EDATE($D22,Milestones!$AA$70)&lt;PolicyEff),1,Milestones!$AC$70)&amp;";  ","")&amp;IF(AND(EDATE($D22,Milestones!$AA$71)&lt;=AsOfDate,EDATE($D22,Milestones!$AA$71)&gt;=SchemeStart,IF($X22=0,$AD22,IF(AND($Z22&lt;&gt;"",EDATE($D22,Milestones!$AA$71)&gt;=$Z22),$AC22,IF(AND($Y22&lt;&gt;"",EDATE($D22,Milestones!$AA$71)&gt;=$Y22),$AB22,$AA22)))=Milestones!$AB$71),UPPER(TEXT(EDATE($D22,Milestones!$AA$71),"dd mmm yy"))&amp;" "&amp;Milestones!$AB$71&amp;" "&amp;IF(AND(Milestones!$AB$71="FT",Milestones!$AA$71=FT_Y5,EDATE($D22,Milestones!$AA$71)&lt;PolicyEff),1,Milestones!$AC$71)&amp;";  ","")&amp;IF(AND(EDATE($D22,Milestones!$AA$72)&lt;=AsOfDate,EDATE($D22,Milestones!$AA$72)&gt;=SchemeStart,IF($X22=0,$AD22,IF(AND($Z22&lt;&gt;"",EDATE($D22,Milestones!$AA$72)&gt;=$Z22),$AC22,IF(AND($Y22&lt;&gt;"",EDATE($D22,Milestones!$AA$72)&gt;=$Y22),$AB22,$AA22)))=Milestones!$AB$72),UPPER(TEXT(EDATE($D22,Milestones!$AA$72),"dd mmm yy"))&amp;" "&amp;Milestones!$AB$72&amp;" "&amp;IF(AND(Milestones!$AB$72="FT",Milestones!$AA$72=FT_Y5,EDATE($D22,Milestones!$AA$72)&lt;PolicyEff),1,Milestones!$AC$72)&amp;";  ","")&amp;IF(AND(EDATE($D22,Milestones!$AA$73)&lt;=AsOfDate,EDATE($D22,Milestones!$AA$73)&gt;=SchemeStart,IF($X22=0,$AD22,IF(AND($Z22&lt;&gt;"",EDATE($D22,Milestones!$AA$73)&gt;=$Z22),$AC22,IF(AND($Y22&lt;&gt;"",EDATE($D22,Milestones!$AA$73)&gt;=$Y22),$AB22,$AA22)))=Milestones!$AB$73),UPPER(TEXT(EDATE($D22,Milestones!$AA$73),"dd mmm yy"))&amp;" "&amp;Milestones!$AB$73&amp;" "&amp;IF(AND(Milestones!$AB$73="FT",Milestones!$AA$73=FT_Y5,EDATE($D22,Milestones!$AA$73)&lt;PolicyEff),1,Milestones!$AC$73)&amp;";  ","")&amp;IF(AND(EDATE($D22,Milestones!$AA$74)&lt;=AsOfDate,EDATE($D22,Milestones!$AA$74)&gt;=SchemeStart,IF($X22=0,$AD22,IF(AND($Z22&lt;&gt;"",EDATE($D22,Milestones!$AA$74)&gt;=$Z22),$AC22,IF(AND($Y22&lt;&gt;"",EDATE($D22,Milestones!$AA$74)&gt;=$Y22),$AB22,$AA22)))=Milestones!$AB$74),UPPER(TEXT(EDATE($D22,Milestones!$AA$74),"dd mmm yy"))&amp;" "&amp;Milestones!$AB$74&amp;" "&amp;IF(AND(Milestones!$AB$74="FT",Milestones!$AA$74=FT_Y5,EDATE($D22,Milestones!$AA$74)&lt;PolicyEff),1,Milestones!$AC$74)&amp;";  ","")&amp;IF(AND(EDATE($D22,Milestones!$AA$75)&lt;=AsOfDate,EDATE($D22,Milestones!$AA$75)&gt;=SchemeStart,IF($X22=0,$AD22,IF(AND($Z22&lt;&gt;"",EDATE($D22,Milestones!$AA$75)&gt;=$Z22),$AC22,IF(AND($Y22&lt;&gt;"",EDATE($D22,Milestones!$AA$75)&gt;=$Y22),$AB22,$AA22)))=Milestones!$AB$75),UPPER(TEXT(EDATE($D22,Milestones!$AA$75),"dd mmm yy"))&amp;" "&amp;Milestones!$AB$75&amp;" "&amp;IF(AND(Milestones!$AB$75="FT",Milestones!$AA$75=FT_Y5,EDATE($D22,Milestones!$AA$75)&lt;PolicyEff),1,Milestones!$AC$75)&amp;";  ","")&amp;IF(AND(EDATE($D22,Milestones!$AA$76)&lt;=AsOfDate,EDATE($D22,Milestones!$AA$76)&gt;=SchemeStart,IF($X22=0,$AD22,IF(AND($Z22&lt;&gt;"",EDATE($D22,Milestones!$AA$76)&gt;=$Z22),$AC22,IF(AND($Y22&lt;&gt;"",EDATE($D22,Milestones!$AA$76)&gt;=$Y22),$AB22,$AA22)))=Milestones!$AB$76),UPPER(TEXT(EDATE($D22,Milestones!$AA$76),"dd mmm yy"))&amp;" "&amp;Milestones!$AB$76&amp;" "&amp;IF(AND(Milestones!$AB$76="FT",Milestones!$AA$76=FT_Y5,EDATE($D22,Milestones!$AA$76)&lt;PolicyEff),1,Milestones!$AC$76)&amp;";  ","")&amp;IF(AND(EDATE($D22,Milestones!$AA$77)&lt;=AsOfDate,EDATE($D22,Milestones!$AA$77)&gt;=SchemeStart,IF($X22=0,$AD22,IF(AND($Z22&lt;&gt;"",EDATE($D22,Milestones!$AA$77)&gt;=$Z22),$AC22,IF(AND($Y22&lt;&gt;"",EDATE($D22,Milestones!$AA$77)&gt;=$Y22),$AB22,$AA22)))=Milestones!$AB$77),UPPER(TEXT(EDATE($D22,Milestones!$AA$77),"dd mmm yy"))&amp;" "&amp;Milestones!$AB$77&amp;" "&amp;IF(AND(Milestones!$AB$77="FT",Milestones!$AA$77=FT_Y5,EDATE($D22,Milestones!$AA$77)&lt;PolicyEff),1,Milestones!$AC$77)&amp;";  ","")&amp;IF(AND(EDATE($D22,Milestones!$AA$78)&lt;=AsOfDate,EDATE($D22,Milestones!$AA$78)&gt;=SchemeStart,IF($X22=0,$AD22,IF(AND($Z22&lt;&gt;"",EDATE($D22,Milestones!$AA$78)&gt;=$Z22),$AC22,IF(AND($Y22&lt;&gt;"",EDATE($D22,Milestones!$AA$78)&gt;=$Y22),$AB22,$AA22)))=Milestones!$AB$78),UPPER(TEXT(EDATE($D22,Milestones!$AA$78),"dd mmm yy"))&amp;" "&amp;Milestones!$AB$78&amp;" "&amp;IF(AND(Milestones!$AB$78="FT",Milestones!$AA$78=FT_Y5,EDATE($D22,Milestones!$AA$78)&lt;PolicyEff),1,Milestones!$AC$78)&amp;";  ","")&amp;IF(AND(EDATE($D22,Milestones!$AA$79)&lt;=AsOfDate,EDATE($D22,Milestones!$AA$79)&gt;=SchemeStart,IF($X22=0,$AD22,IF(AND($Z22&lt;&gt;"",EDATE($D22,Milestones!$AA$79)&gt;=$Z22),$AC22,IF(AND($Y22&lt;&gt;"",EDATE($D22,Milestones!$AA$79)&gt;=$Y22),$AB22,$AA22)))=Milestones!$AB$79),UPPER(TEXT(EDATE($D22,Milestones!$AA$79),"dd mmm yy"))&amp;" "&amp;Milestones!$AB$79&amp;" "&amp;IF(AND(Milestones!$AB$79="FT",Milestones!$AA$79=FT_Y5,EDATE($D22,Milestones!$AA$79)&lt;PolicyEff),1,Milestones!$AC$79)&amp;";  ",""))</f>
        <v/>
      </c>
      <c r="N22" s="0" t="str">
        <f aca="false">IF(OR($A22="",$D22=""),"",IF(AND(EDATE($D22,Milestones!$AA$80)&lt;=AsOfDate,EDATE($D22,Milestones!$AA$80)&gt;=SchemeStart,IF($X22=0,$AD22,IF(AND($Z22&lt;&gt;"",EDATE($D22,Milestones!$AA$80)&gt;=$Z22),$AC22,IF(AND($Y22&lt;&gt;"",EDATE($D22,Milestones!$AA$80)&gt;=$Y22),$AB22,$AA22)))=Milestones!$AB$80),UPPER(TEXT(EDATE($D22,Milestones!$AA$80),"dd mmm yy"))&amp;" "&amp;Milestones!$AB$80&amp;" "&amp;IF(AND(Milestones!$AB$80="FT",Milestones!$AA$80=FT_Y5,EDATE($D22,Milestones!$AA$80)&lt;PolicyEff),1,Milestones!$AC$80)&amp;";  ","")&amp;IF(AND(EDATE($D22,Milestones!$AA$81)&lt;=AsOfDate,EDATE($D22,Milestones!$AA$81)&gt;=SchemeStart,IF($X22=0,$AD22,IF(AND($Z22&lt;&gt;"",EDATE($D22,Milestones!$AA$81)&gt;=$Z22),$AC22,IF(AND($Y22&lt;&gt;"",EDATE($D22,Milestones!$AA$81)&gt;=$Y22),$AB22,$AA22)))=Milestones!$AB$81),UPPER(TEXT(EDATE($D22,Milestones!$AA$81),"dd mmm yy"))&amp;" "&amp;Milestones!$AB$81&amp;" "&amp;IF(AND(Milestones!$AB$81="FT",Milestones!$AA$81=FT_Y5,EDATE($D22,Milestones!$AA$81)&lt;PolicyEff),1,Milestones!$AC$81)&amp;";  ","")&amp;IF(AND(EDATE($D22,Milestones!$AA$82)&lt;=AsOfDate,EDATE($D22,Milestones!$AA$82)&gt;=SchemeStart,IF($X22=0,$AD22,IF(AND($Z22&lt;&gt;"",EDATE($D22,Milestones!$AA$82)&gt;=$Z22),$AC22,IF(AND($Y22&lt;&gt;"",EDATE($D22,Milestones!$AA$82)&gt;=$Y22),$AB22,$AA22)))=Milestones!$AB$82),UPPER(TEXT(EDATE($D22,Milestones!$AA$82),"dd mmm yy"))&amp;" "&amp;Milestones!$AB$82&amp;" "&amp;IF(AND(Milestones!$AB$82="FT",Milestones!$AA$82=FT_Y5,EDATE($D22,Milestones!$AA$82)&lt;PolicyEff),1,Milestones!$AC$82)&amp;";  ","")&amp;IF(AND(EDATE($D22,Milestones!$AA$83)&lt;=AsOfDate,EDATE($D22,Milestones!$AA$83)&gt;=SchemeStart,IF($X22=0,$AD22,IF(AND($Z22&lt;&gt;"",EDATE($D22,Milestones!$AA$83)&gt;=$Z22),$AC22,IF(AND($Y22&lt;&gt;"",EDATE($D22,Milestones!$AA$83)&gt;=$Y22),$AB22,$AA22)))=Milestones!$AB$83),UPPER(TEXT(EDATE($D22,Milestones!$AA$83),"dd mmm yy"))&amp;" "&amp;Milestones!$AB$83&amp;" "&amp;IF(AND(Milestones!$AB$83="FT",Milestones!$AA$83=FT_Y5,EDATE($D22,Milestones!$AA$83)&lt;PolicyEff),1,Milestones!$AC$83)&amp;";  ","")&amp;IF(AND(EDATE($D22,Milestones!$AA$84)&lt;=AsOfDate,EDATE($D22,Milestones!$AA$84)&gt;=SchemeStart,IF($X22=0,$AD22,IF(AND($Z22&lt;&gt;"",EDATE($D22,Milestones!$AA$84)&gt;=$Z22),$AC22,IF(AND($Y22&lt;&gt;"",EDATE($D22,Milestones!$AA$84)&gt;=$Y22),$AB22,$AA22)))=Milestones!$AB$84),UPPER(TEXT(EDATE($D22,Milestones!$AA$84),"dd mmm yy"))&amp;" "&amp;Milestones!$AB$84&amp;" "&amp;IF(AND(Milestones!$AB$84="FT",Milestones!$AA$84=FT_Y5,EDATE($D22,Milestones!$AA$84)&lt;PolicyEff),1,Milestones!$AC$84)&amp;";  ","")&amp;IF(AND(EDATE($D22,Milestones!$AA$85)&lt;=AsOfDate,EDATE($D22,Milestones!$AA$85)&gt;=SchemeStart,IF($X22=0,$AD22,IF(AND($Z22&lt;&gt;"",EDATE($D22,Milestones!$AA$85)&gt;=$Z22),$AC22,IF(AND($Y22&lt;&gt;"",EDATE($D22,Milestones!$AA$85)&gt;=$Y22),$AB22,$AA22)))=Milestones!$AB$85),UPPER(TEXT(EDATE($D22,Milestones!$AA$85),"dd mmm yy"))&amp;" "&amp;Milestones!$AB$85&amp;" "&amp;IF(AND(Milestones!$AB$85="FT",Milestones!$AA$85=FT_Y5,EDATE($D22,Milestones!$AA$85)&lt;PolicyEff),1,Milestones!$AC$85)&amp;";  ","")&amp;IF(AND(EDATE($D22,Milestones!$AA$86)&lt;=AsOfDate,EDATE($D22,Milestones!$AA$86)&gt;=SchemeStart,IF($X22=0,$AD22,IF(AND($Z22&lt;&gt;"",EDATE($D22,Milestones!$AA$86)&gt;=$Z22),$AC22,IF(AND($Y22&lt;&gt;"",EDATE($D22,Milestones!$AA$86)&gt;=$Y22),$AB22,$AA22)))=Milestones!$AB$86),UPPER(TEXT(EDATE($D22,Milestones!$AA$86),"dd mmm yy"))&amp;" "&amp;Milestones!$AB$86&amp;" "&amp;IF(AND(Milestones!$AB$86="FT",Milestones!$AA$86=FT_Y5,EDATE($D22,Milestones!$AA$86)&lt;PolicyEff),1,Milestones!$AC$86)&amp;";  ","")&amp;IF(AND(EDATE($D22,Milestones!$AA$87)&lt;=AsOfDate,EDATE($D22,Milestones!$AA$87)&gt;=SchemeStart,IF($X22=0,$AD22,IF(AND($Z22&lt;&gt;"",EDATE($D22,Milestones!$AA$87)&gt;=$Z22),$AC22,IF(AND($Y22&lt;&gt;"",EDATE($D22,Milestones!$AA$87)&gt;=$Y22),$AB22,$AA22)))=Milestones!$AB$87),UPPER(TEXT(EDATE($D22,Milestones!$AA$87),"dd mmm yy"))&amp;" "&amp;Milestones!$AB$87&amp;" "&amp;IF(AND(Milestones!$AB$87="FT",Milestones!$AA$87=FT_Y5,EDATE($D22,Milestones!$AA$87)&lt;PolicyEff),1,Milestones!$AC$87)&amp;";  ","")&amp;IF(AND(EDATE($D22,Milestones!$AA$88)&lt;=AsOfDate,EDATE($D22,Milestones!$AA$88)&gt;=SchemeStart,IF($X22=0,$AD22,IF(AND($Z22&lt;&gt;"",EDATE($D22,Milestones!$AA$88)&gt;=$Z22),$AC22,IF(AND($Y22&lt;&gt;"",EDATE($D22,Milestones!$AA$88)&gt;=$Y22),$AB22,$AA22)))=Milestones!$AB$88),UPPER(TEXT(EDATE($D22,Milestones!$AA$88),"dd mmm yy"))&amp;" "&amp;Milestones!$AB$88&amp;" "&amp;IF(AND(Milestones!$AB$88="FT",Milestones!$AA$88=FT_Y5,EDATE($D22,Milestones!$AA$88)&lt;PolicyEff),1,Milestones!$AC$88)&amp;";  ","")&amp;IF(AND(EDATE($D22,Milestones!$AA$89)&lt;=AsOfDate,EDATE($D22,Milestones!$AA$89)&gt;=SchemeStart,IF($X22=0,$AD22,IF(AND($Z22&lt;&gt;"",EDATE($D22,Milestones!$AA$89)&gt;=$Z22),$AC22,IF(AND($Y22&lt;&gt;"",EDATE($D22,Milestones!$AA$89)&gt;=$Y22),$AB22,$AA22)))=Milestones!$AB$89),UPPER(TEXT(EDATE($D22,Milestones!$AA$89),"dd mmm yy"))&amp;" "&amp;Milestones!$AB$89&amp;" "&amp;IF(AND(Milestones!$AB$89="FT",Milestones!$AA$89=FT_Y5,EDATE($D22,Milestones!$AA$89)&lt;PolicyEff),1,Milestones!$AC$89)&amp;";  ","")&amp;IF(AND(EDATE($D22,Milestones!$AA$90)&lt;=AsOfDate,EDATE($D22,Milestones!$AA$90)&gt;=SchemeStart,IF($X22=0,$AD22,IF(AND($Z22&lt;&gt;"",EDATE($D22,Milestones!$AA$90)&gt;=$Z22),$AC22,IF(AND($Y22&lt;&gt;"",EDATE($D22,Milestones!$AA$90)&gt;=$Y22),$AB22,$AA22)))=Milestones!$AB$90),UPPER(TEXT(EDATE($D22,Milestones!$AA$90),"dd mmm yy"))&amp;" "&amp;Milestones!$AB$90&amp;" "&amp;IF(AND(Milestones!$AB$90="FT",Milestones!$AA$90=FT_Y5,EDATE($D22,Milestones!$AA$90)&lt;PolicyEff),1,Milestones!$AC$90)&amp;";  ","")&amp;IF(AND(EDATE($D22,Milestones!$AA$91)&lt;=AsOfDate,EDATE($D22,Milestones!$AA$91)&gt;=SchemeStart,IF($X22=0,$AD22,IF(AND($Z22&lt;&gt;"",EDATE($D22,Milestones!$AA$91)&gt;=$Z22),$AC22,IF(AND($Y22&lt;&gt;"",EDATE($D22,Milestones!$AA$91)&gt;=$Y22),$AB22,$AA22)))=Milestones!$AB$91),UPPER(TEXT(EDATE($D22,Milestones!$AA$91),"dd mmm yy"))&amp;" "&amp;Milestones!$AB$91&amp;" "&amp;IF(AND(Milestones!$AB$91="FT",Milestones!$AA$91=FT_Y5,EDATE($D22,Milestones!$AA$91)&lt;PolicyEff),1,Milestones!$AC$91)&amp;";  ",""))</f>
        <v/>
      </c>
      <c r="O22" s="0" t="str">
        <f aca="false">IF(OR($A22="",$D22=""),"",IF(AND(EDATE($D22,Milestones!$AA$92)&lt;=AsOfDate,EDATE($D22,Milestones!$AA$92)&gt;=SchemeStart,IF($X22=0,$AD22,IF(AND($Z22&lt;&gt;"",EDATE($D22,Milestones!$AA$92)&gt;=$Z22),$AC22,IF(AND($Y22&lt;&gt;"",EDATE($D22,Milestones!$AA$92)&gt;=$Y22),$AB22,$AA22)))=Milestones!$AB$92),UPPER(TEXT(EDATE($D22,Milestones!$AA$92),"dd mmm yy"))&amp;" "&amp;Milestones!$AB$92&amp;" "&amp;IF(AND(Milestones!$AB$92="FT",Milestones!$AA$92=FT_Y5,EDATE($D22,Milestones!$AA$92)&lt;PolicyEff),1,Milestones!$AC$92)&amp;";  ","")&amp;IF(AND(EDATE($D22,Milestones!$AA$93)&lt;=AsOfDate,EDATE($D22,Milestones!$AA$93)&gt;=SchemeStart,IF($X22=0,$AD22,IF(AND($Z22&lt;&gt;"",EDATE($D22,Milestones!$AA$93)&gt;=$Z22),$AC22,IF(AND($Y22&lt;&gt;"",EDATE($D22,Milestones!$AA$93)&gt;=$Y22),$AB22,$AA22)))=Milestones!$AB$93),UPPER(TEXT(EDATE($D22,Milestones!$AA$93),"dd mmm yy"))&amp;" "&amp;Milestones!$AB$93&amp;" "&amp;IF(AND(Milestones!$AB$93="FT",Milestones!$AA$93=FT_Y5,EDATE($D22,Milestones!$AA$93)&lt;PolicyEff),1,Milestones!$AC$93)&amp;";  ","")&amp;IF(AND(EDATE($D22,Milestones!$AA$94)&lt;=AsOfDate,EDATE($D22,Milestones!$AA$94)&gt;=SchemeStart,IF($X22=0,$AD22,IF(AND($Z22&lt;&gt;"",EDATE($D22,Milestones!$AA$94)&gt;=$Z22),$AC22,IF(AND($Y22&lt;&gt;"",EDATE($D22,Milestones!$AA$94)&gt;=$Y22),$AB22,$AA22)))=Milestones!$AB$94),UPPER(TEXT(EDATE($D22,Milestones!$AA$94),"dd mmm yy"))&amp;" "&amp;Milestones!$AB$94&amp;" "&amp;IF(AND(Milestones!$AB$94="FT",Milestones!$AA$94=FT_Y5,EDATE($D22,Milestones!$AA$94)&lt;PolicyEff),1,Milestones!$AC$94)&amp;";  ","")&amp;IF(AND(EDATE($D22,Milestones!$AA$95)&lt;=AsOfDate,EDATE($D22,Milestones!$AA$95)&gt;=SchemeStart,IF($X22=0,$AD22,IF(AND($Z22&lt;&gt;"",EDATE($D22,Milestones!$AA$95)&gt;=$Z22),$AC22,IF(AND($Y22&lt;&gt;"",EDATE($D22,Milestones!$AA$95)&gt;=$Y22),$AB22,$AA22)))=Milestones!$AB$95),UPPER(TEXT(EDATE($D22,Milestones!$AA$95),"dd mmm yy"))&amp;" "&amp;Milestones!$AB$95&amp;" "&amp;IF(AND(Milestones!$AB$95="FT",Milestones!$AA$95=FT_Y5,EDATE($D22,Milestones!$AA$95)&lt;PolicyEff),1,Milestones!$AC$95)&amp;";  ","")&amp;IF(AND(EDATE($D22,Milestones!$AA$96)&lt;=AsOfDate,EDATE($D22,Milestones!$AA$96)&gt;=SchemeStart,IF($X22=0,$AD22,IF(AND($Z22&lt;&gt;"",EDATE($D22,Milestones!$AA$96)&gt;=$Z22),$AC22,IF(AND($Y22&lt;&gt;"",EDATE($D22,Milestones!$AA$96)&gt;=$Y22),$AB22,$AA22)))=Milestones!$AB$96),UPPER(TEXT(EDATE($D22,Milestones!$AA$96),"dd mmm yy"))&amp;" "&amp;Milestones!$AB$96&amp;" "&amp;IF(AND(Milestones!$AB$96="FT",Milestones!$AA$96=FT_Y5,EDATE($D22,Milestones!$AA$96)&lt;PolicyEff),1,Milestones!$AC$96)&amp;";  ","")&amp;IF(AND(EDATE($D22,Milestones!$AA$97)&lt;=AsOfDate,EDATE($D22,Milestones!$AA$97)&gt;=SchemeStart,IF($X22=0,$AD22,IF(AND($Z22&lt;&gt;"",EDATE($D22,Milestones!$AA$97)&gt;=$Z22),$AC22,IF(AND($Y22&lt;&gt;"",EDATE($D22,Milestones!$AA$97)&gt;=$Y22),$AB22,$AA22)))=Milestones!$AB$97),UPPER(TEXT(EDATE($D22,Milestones!$AA$97),"dd mmm yy"))&amp;" "&amp;Milestones!$AB$97&amp;" "&amp;IF(AND(Milestones!$AB$97="FT",Milestones!$AA$97=FT_Y5,EDATE($D22,Milestones!$AA$97)&lt;PolicyEff),1,Milestones!$AC$97)&amp;";  ","")&amp;IF(AND(EDATE($D22,Milestones!$AA$98)&lt;=AsOfDate,EDATE($D22,Milestones!$AA$98)&gt;=SchemeStart,IF($X22=0,$AD22,IF(AND($Z22&lt;&gt;"",EDATE($D22,Milestones!$AA$98)&gt;=$Z22),$AC22,IF(AND($Y22&lt;&gt;"",EDATE($D22,Milestones!$AA$98)&gt;=$Y22),$AB22,$AA22)))=Milestones!$AB$98),UPPER(TEXT(EDATE($D22,Milestones!$AA$98),"dd mmm yy"))&amp;" "&amp;Milestones!$AB$98&amp;" "&amp;IF(AND(Milestones!$AB$98="FT",Milestones!$AA$98=FT_Y5,EDATE($D22,Milestones!$AA$98)&lt;PolicyEff),1,Milestones!$AC$98)&amp;";  ","")&amp;IF(AND(EDATE($D22,Milestones!$AA$99)&lt;=AsOfDate,EDATE($D22,Milestones!$AA$99)&gt;=SchemeStart,IF($X22=0,$AD22,IF(AND($Z22&lt;&gt;"",EDATE($D22,Milestones!$AA$99)&gt;=$Z22),$AC22,IF(AND($Y22&lt;&gt;"",EDATE($D22,Milestones!$AA$99)&gt;=$Y22),$AB22,$AA22)))=Milestones!$AB$99),UPPER(TEXT(EDATE($D22,Milestones!$AA$99),"dd mmm yy"))&amp;" "&amp;Milestones!$AB$99&amp;" "&amp;IF(AND(Milestones!$AB$99="FT",Milestones!$AA$99=FT_Y5,EDATE($D22,Milestones!$AA$99)&lt;PolicyEff),1,Milestones!$AC$99)&amp;";  ","")&amp;IF(AND(EDATE($D22,Milestones!$AA$100)&lt;=AsOfDate,EDATE($D22,Milestones!$AA$100)&gt;=SchemeStart,IF($X22=0,$AD22,IF(AND($Z22&lt;&gt;"",EDATE($D22,Milestones!$AA$100)&gt;=$Z22),$AC22,IF(AND($Y22&lt;&gt;"",EDATE($D22,Milestones!$AA$100)&gt;=$Y22),$AB22,$AA22)))=Milestones!$AB$100),UPPER(TEXT(EDATE($D22,Milestones!$AA$100),"dd mmm yy"))&amp;" "&amp;Milestones!$AB$100&amp;" "&amp;IF(AND(Milestones!$AB$100="FT",Milestones!$AA$100=FT_Y5,EDATE($D22,Milestones!$AA$100)&lt;PolicyEff),1,Milestones!$AC$100)&amp;";  ","")&amp;IF(AND(EDATE($D22,Milestones!$AA$101)&lt;=AsOfDate,EDATE($D22,Milestones!$AA$101)&gt;=SchemeStart,IF($X22=0,$AD22,IF(AND($Z22&lt;&gt;"",EDATE($D22,Milestones!$AA$101)&gt;=$Z22),$AC22,IF(AND($Y22&lt;&gt;"",EDATE($D22,Milestones!$AA$101)&gt;=$Y22),$AB22,$AA22)))=Milestones!$AB$101),UPPER(TEXT(EDATE($D22,Milestones!$AA$101),"dd mmm yy"))&amp;" "&amp;Milestones!$AB$101&amp;" "&amp;IF(AND(Milestones!$AB$101="FT",Milestones!$AA$101=FT_Y5,EDATE($D22,Milestones!$AA$101)&lt;PolicyEff),1,Milestones!$AC$101)&amp;";  ","")&amp;IF(AND(EDATE($D22,Milestones!$AA$102)&lt;=AsOfDate,EDATE($D22,Milestones!$AA$102)&gt;=SchemeStart,IF($X22=0,$AD22,IF(AND($Z22&lt;&gt;"",EDATE($D22,Milestones!$AA$102)&gt;=$Z22),$AC22,IF(AND($Y22&lt;&gt;"",EDATE($D22,Milestones!$AA$102)&gt;=$Y22),$AB22,$AA22)))=Milestones!$AB$102),UPPER(TEXT(EDATE($D22,Milestones!$AA$102),"dd mmm yy"))&amp;" "&amp;Milestones!$AB$102&amp;" "&amp;IF(AND(Milestones!$AB$102="FT",Milestones!$AA$102=FT_Y5,EDATE($D22,Milestones!$AA$102)&lt;PolicyEff),1,Milestones!$AC$102)&amp;";  ","")&amp;IF(AND(EDATE($D22,Milestones!$AA$103)&lt;=AsOfDate,EDATE($D22,Milestones!$AA$103)&gt;=SchemeStart,IF($X22=0,$AD22,IF(AND($Z22&lt;&gt;"",EDATE($D22,Milestones!$AA$103)&gt;=$Z22),$AC22,IF(AND($Y22&lt;&gt;"",EDATE($D22,Milestones!$AA$103)&gt;=$Y22),$AB22,$AA22)))=Milestones!$AB$103),UPPER(TEXT(EDATE($D22,Milestones!$AA$103),"dd mmm yy"))&amp;" "&amp;Milestones!$AB$103&amp;" "&amp;IF(AND(Milestones!$AB$103="FT",Milestones!$AA$103=FT_Y5,EDATE($D22,Milestones!$AA$103)&lt;PolicyEff),1,Milestones!$AC$103)&amp;";  ",""))</f>
        <v/>
      </c>
      <c r="P22" s="0" t="str">
        <f aca="false">IF(OR($A22="",$D22=""),"",IF(AND(EDATE($D22,Milestones!$AA$104)&lt;=AsOfDate,EDATE($D22,Milestones!$AA$104)&gt;=SchemeStart,IF($X22=0,$AD22,IF(AND($Z22&lt;&gt;"",EDATE($D22,Milestones!$AA$104)&gt;=$Z22),$AC22,IF(AND($Y22&lt;&gt;"",EDATE($D22,Milestones!$AA$104)&gt;=$Y22),$AB22,$AA22)))=Milestones!$AB$104),UPPER(TEXT(EDATE($D22,Milestones!$AA$104),"dd mmm yy"))&amp;" "&amp;Milestones!$AB$104&amp;" "&amp;IF(AND(Milestones!$AB$104="FT",Milestones!$AA$104=FT_Y5,EDATE($D22,Milestones!$AA$104)&lt;PolicyEff),1,Milestones!$AC$104)&amp;";  ","")&amp;IF(AND(EDATE($D22,Milestones!$AA$105)&lt;=AsOfDate,EDATE($D22,Milestones!$AA$105)&gt;=SchemeStart,IF($X22=0,$AD22,IF(AND($Z22&lt;&gt;"",EDATE($D22,Milestones!$AA$105)&gt;=$Z22),$AC22,IF(AND($Y22&lt;&gt;"",EDATE($D22,Milestones!$AA$105)&gt;=$Y22),$AB22,$AA22)))=Milestones!$AB$105),UPPER(TEXT(EDATE($D22,Milestones!$AA$105),"dd mmm yy"))&amp;" "&amp;Milestones!$AB$105&amp;" "&amp;IF(AND(Milestones!$AB$105="FT",Milestones!$AA$105=FT_Y5,EDATE($D22,Milestones!$AA$105)&lt;PolicyEff),1,Milestones!$AC$105)&amp;";  ","")&amp;IF(AND(EDATE($D22,Milestones!$AA$106)&lt;=AsOfDate,EDATE($D22,Milestones!$AA$106)&gt;=SchemeStart,IF($X22=0,$AD22,IF(AND($Z22&lt;&gt;"",EDATE($D22,Milestones!$AA$106)&gt;=$Z22),$AC22,IF(AND($Y22&lt;&gt;"",EDATE($D22,Milestones!$AA$106)&gt;=$Y22),$AB22,$AA22)))=Milestones!$AB$106),UPPER(TEXT(EDATE($D22,Milestones!$AA$106),"dd mmm yy"))&amp;" "&amp;Milestones!$AB$106&amp;" "&amp;IF(AND(Milestones!$AB$106="FT",Milestones!$AA$106=FT_Y5,EDATE($D22,Milestones!$AA$106)&lt;PolicyEff),1,Milestones!$AC$106)&amp;";  ","")&amp;IF(AND(EDATE($D22,Milestones!$AA$107)&lt;=AsOfDate,EDATE($D22,Milestones!$AA$107)&gt;=SchemeStart,IF($X22=0,$AD22,IF(AND($Z22&lt;&gt;"",EDATE($D22,Milestones!$AA$107)&gt;=$Z22),$AC22,IF(AND($Y22&lt;&gt;"",EDATE($D22,Milestones!$AA$107)&gt;=$Y22),$AB22,$AA22)))=Milestones!$AB$107),UPPER(TEXT(EDATE($D22,Milestones!$AA$107),"dd mmm yy"))&amp;" "&amp;Milestones!$AB$107&amp;" "&amp;IF(AND(Milestones!$AB$107="FT",Milestones!$AA$107=FT_Y5,EDATE($D22,Milestones!$AA$107)&lt;PolicyEff),1,Milestones!$AC$107)&amp;";  ","")&amp;IF(AND(EDATE($D22,Milestones!$AA$108)&lt;=AsOfDate,EDATE($D22,Milestones!$AA$108)&gt;=SchemeStart,IF($X22=0,$AD22,IF(AND($Z22&lt;&gt;"",EDATE($D22,Milestones!$AA$108)&gt;=$Z22),$AC22,IF(AND($Y22&lt;&gt;"",EDATE($D22,Milestones!$AA$108)&gt;=$Y22),$AB22,$AA22)))=Milestones!$AB$108),UPPER(TEXT(EDATE($D22,Milestones!$AA$108),"dd mmm yy"))&amp;" "&amp;Milestones!$AB$108&amp;" "&amp;IF(AND(Milestones!$AB$108="FT",Milestones!$AA$108=FT_Y5,EDATE($D22,Milestones!$AA$108)&lt;PolicyEff),1,Milestones!$AC$108)&amp;";  ","")&amp;IF(AND(EDATE($D22,Milestones!$AA$109)&lt;=AsOfDate,EDATE($D22,Milestones!$AA$109)&gt;=SchemeStart,IF($X22=0,$AD22,IF(AND($Z22&lt;&gt;"",EDATE($D22,Milestones!$AA$109)&gt;=$Z22),$AC22,IF(AND($Y22&lt;&gt;"",EDATE($D22,Milestones!$AA$109)&gt;=$Y22),$AB22,$AA22)))=Milestones!$AB$109),UPPER(TEXT(EDATE($D22,Milestones!$AA$109),"dd mmm yy"))&amp;" "&amp;Milestones!$AB$109&amp;" "&amp;IF(AND(Milestones!$AB$109="FT",Milestones!$AA$109=FT_Y5,EDATE($D22,Milestones!$AA$109)&lt;PolicyEff),1,Milestones!$AC$109)&amp;";  ","")&amp;IF(AND(EDATE($D22,Milestones!$AA$110)&lt;=AsOfDate,EDATE($D22,Milestones!$AA$110)&gt;=SchemeStart,IF($X22=0,$AD22,IF(AND($Z22&lt;&gt;"",EDATE($D22,Milestones!$AA$110)&gt;=$Z22),$AC22,IF(AND($Y22&lt;&gt;"",EDATE($D22,Milestones!$AA$110)&gt;=$Y22),$AB22,$AA22)))=Milestones!$AB$110),UPPER(TEXT(EDATE($D22,Milestones!$AA$110),"dd mmm yy"))&amp;" "&amp;Milestones!$AB$110&amp;" "&amp;IF(AND(Milestones!$AB$110="FT",Milestones!$AA$110=FT_Y5,EDATE($D22,Milestones!$AA$110)&lt;PolicyEff),1,Milestones!$AC$110)&amp;";  ","")&amp;IF(AND(EDATE($D22,Milestones!$AA$111)&lt;=AsOfDate,EDATE($D22,Milestones!$AA$111)&gt;=SchemeStart,IF($X22=0,$AD22,IF(AND($Z22&lt;&gt;"",EDATE($D22,Milestones!$AA$111)&gt;=$Z22),$AC22,IF(AND($Y22&lt;&gt;"",EDATE($D22,Milestones!$AA$111)&gt;=$Y22),$AB22,$AA22)))=Milestones!$AB$111),UPPER(TEXT(EDATE($D22,Milestones!$AA$111),"dd mmm yy"))&amp;" "&amp;Milestones!$AB$111&amp;" "&amp;IF(AND(Milestones!$AB$111="FT",Milestones!$AA$111=FT_Y5,EDATE($D22,Milestones!$AA$111)&lt;PolicyEff),1,Milestones!$AC$111)&amp;";  ","")&amp;IF(AND(EDATE($D22,Milestones!$AA$112)&lt;=AsOfDate,EDATE($D22,Milestones!$AA$112)&gt;=SchemeStart,IF($X22=0,$AD22,IF(AND($Z22&lt;&gt;"",EDATE($D22,Milestones!$AA$112)&gt;=$Z22),$AC22,IF(AND($Y22&lt;&gt;"",EDATE($D22,Milestones!$AA$112)&gt;=$Y22),$AB22,$AA22)))=Milestones!$AB$112),UPPER(TEXT(EDATE($D22,Milestones!$AA$112),"dd mmm yy"))&amp;" "&amp;Milestones!$AB$112&amp;" "&amp;IF(AND(Milestones!$AB$112="FT",Milestones!$AA$112=FT_Y5,EDATE($D22,Milestones!$AA$112)&lt;PolicyEff),1,Milestones!$AC$112)&amp;";  ","")&amp;IF(AND(EDATE($D22,Milestones!$AA$113)&lt;=AsOfDate,EDATE($D22,Milestones!$AA$113)&gt;=SchemeStart,IF($X22=0,$AD22,IF(AND($Z22&lt;&gt;"",EDATE($D22,Milestones!$AA$113)&gt;=$Z22),$AC22,IF(AND($Y22&lt;&gt;"",EDATE($D22,Milestones!$AA$113)&gt;=$Y22),$AB22,$AA22)))=Milestones!$AB$113),UPPER(TEXT(EDATE($D22,Milestones!$AA$113),"dd mmm yy"))&amp;" "&amp;Milestones!$AB$113&amp;" "&amp;IF(AND(Milestones!$AB$113="FT",Milestones!$AA$113=FT_Y5,EDATE($D22,Milestones!$AA$113)&lt;PolicyEff),1,Milestones!$AC$113)&amp;";  ","")&amp;IF(AND(EDATE($D22,Milestones!$AA$114)&lt;=AsOfDate,EDATE($D22,Milestones!$AA$114)&gt;=SchemeStart,IF($X22=0,$AD22,IF(AND($Z22&lt;&gt;"",EDATE($D22,Milestones!$AA$114)&gt;=$Z22),$AC22,IF(AND($Y22&lt;&gt;"",EDATE($D22,Milestones!$AA$114)&gt;=$Y22),$AB22,$AA22)))=Milestones!$AB$114),UPPER(TEXT(EDATE($D22,Milestones!$AA$114),"dd mmm yy"))&amp;" "&amp;Milestones!$AB$114&amp;" "&amp;IF(AND(Milestones!$AB$114="FT",Milestones!$AA$114=FT_Y5,EDATE($D22,Milestones!$AA$114)&lt;PolicyEff),1,Milestones!$AC$114)&amp;";  ","")&amp;IF(AND(EDATE($D22,Milestones!$AA$115)&lt;=AsOfDate,EDATE($D22,Milestones!$AA$115)&gt;=SchemeStart,IF($X22=0,$AD22,IF(AND($Z22&lt;&gt;"",EDATE($D22,Milestones!$AA$115)&gt;=$Z22),$AC22,IF(AND($Y22&lt;&gt;"",EDATE($D22,Milestones!$AA$115)&gt;=$Y22),$AB22,$AA22)))=Milestones!$AB$115),UPPER(TEXT(EDATE($D22,Milestones!$AA$115),"dd mmm yy"))&amp;" "&amp;Milestones!$AB$115&amp;" "&amp;IF(AND(Milestones!$AB$115="FT",Milestones!$AA$115=FT_Y5,EDATE($D22,Milestones!$AA$115)&lt;PolicyEff),1,Milestones!$AC$115)&amp;";  ",""))</f>
        <v/>
      </c>
      <c r="Q22" s="0" t="str">
        <f aca="false">IF(OR($A22="",$D22=""),"",IF(AND(EDATE($D22,Milestones!$AA$116)&lt;=AsOfDate,EDATE($D22,Milestones!$AA$116)&gt;=SchemeStart,IF($X22=0,$AD22,IF(AND($Z22&lt;&gt;"",EDATE($D22,Milestones!$AA$116)&gt;=$Z22),$AC22,IF(AND($Y22&lt;&gt;"",EDATE($D22,Milestones!$AA$116)&gt;=$Y22),$AB22,$AA22)))=Milestones!$AB$116),UPPER(TEXT(EDATE($D22,Milestones!$AA$116),"dd mmm yy"))&amp;" "&amp;Milestones!$AB$116&amp;" "&amp;IF(AND(Milestones!$AB$116="FT",Milestones!$AA$116=FT_Y5,EDATE($D22,Milestones!$AA$116)&lt;PolicyEff),1,Milestones!$AC$116)&amp;";  ","")&amp;IF(AND(EDATE($D22,Milestones!$AA$117)&lt;=AsOfDate,EDATE($D22,Milestones!$AA$117)&gt;=SchemeStart,IF($X22=0,$AD22,IF(AND($Z22&lt;&gt;"",EDATE($D22,Milestones!$AA$117)&gt;=$Z22),$AC22,IF(AND($Y22&lt;&gt;"",EDATE($D22,Milestones!$AA$117)&gt;=$Y22),$AB22,$AA22)))=Milestones!$AB$117),UPPER(TEXT(EDATE($D22,Milestones!$AA$117),"dd mmm yy"))&amp;" "&amp;Milestones!$AB$117&amp;" "&amp;IF(AND(Milestones!$AB$117="FT",Milestones!$AA$117=FT_Y5,EDATE($D22,Milestones!$AA$117)&lt;PolicyEff),1,Milestones!$AC$117)&amp;";  ","")&amp;IF(AND(EDATE($D22,Milestones!$AA$118)&lt;=AsOfDate,EDATE($D22,Milestones!$AA$118)&gt;=SchemeStart,IF($X22=0,$AD22,IF(AND($Z22&lt;&gt;"",EDATE($D22,Milestones!$AA$118)&gt;=$Z22),$AC22,IF(AND($Y22&lt;&gt;"",EDATE($D22,Milestones!$AA$118)&gt;=$Y22),$AB22,$AA22)))=Milestones!$AB$118),UPPER(TEXT(EDATE($D22,Milestones!$AA$118),"dd mmm yy"))&amp;" "&amp;Milestones!$AB$118&amp;" "&amp;IF(AND(Milestones!$AB$118="FT",Milestones!$AA$118=FT_Y5,EDATE($D22,Milestones!$AA$118)&lt;PolicyEff),1,Milestones!$AC$118)&amp;";  ","")&amp;IF(AND(EDATE($D22,Milestones!$AA$119)&lt;=AsOfDate,EDATE($D22,Milestones!$AA$119)&gt;=SchemeStart,IF($X22=0,$AD22,IF(AND($Z22&lt;&gt;"",EDATE($D22,Milestones!$AA$119)&gt;=$Z22),$AC22,IF(AND($Y22&lt;&gt;"",EDATE($D22,Milestones!$AA$119)&gt;=$Y22),$AB22,$AA22)))=Milestones!$AB$119),UPPER(TEXT(EDATE($D22,Milestones!$AA$119),"dd mmm yy"))&amp;" "&amp;Milestones!$AB$119&amp;" "&amp;IF(AND(Milestones!$AB$119="FT",Milestones!$AA$119=FT_Y5,EDATE($D22,Milestones!$AA$119)&lt;PolicyEff),1,Milestones!$AC$119)&amp;";  ","")&amp;IF(AND(EDATE($D22,Milestones!$AA$120)&lt;=AsOfDate,EDATE($D22,Milestones!$AA$120)&gt;=SchemeStart,IF($X22=0,$AD22,IF(AND($Z22&lt;&gt;"",EDATE($D22,Milestones!$AA$120)&gt;=$Z22),$AC22,IF(AND($Y22&lt;&gt;"",EDATE($D22,Milestones!$AA$120)&gt;=$Y22),$AB22,$AA22)))=Milestones!$AB$120),UPPER(TEXT(EDATE($D22,Milestones!$AA$120),"dd mmm yy"))&amp;" "&amp;Milestones!$AB$120&amp;" "&amp;IF(AND(Milestones!$AB$120="FT",Milestones!$AA$120=FT_Y5,EDATE($D22,Milestones!$AA$120)&lt;PolicyEff),1,Milestones!$AC$120)&amp;";  ","")&amp;IF(AND(EDATE($D22,Milestones!$AA$121)&lt;=AsOfDate,EDATE($D22,Milestones!$AA$121)&gt;=SchemeStart,IF($X22=0,$AD22,IF(AND($Z22&lt;&gt;"",EDATE($D22,Milestones!$AA$121)&gt;=$Z22),$AC22,IF(AND($Y22&lt;&gt;"",EDATE($D22,Milestones!$AA$121)&gt;=$Y22),$AB22,$AA22)))=Milestones!$AB$121),UPPER(TEXT(EDATE($D22,Milestones!$AA$121),"dd mmm yy"))&amp;" "&amp;Milestones!$AB$121&amp;" "&amp;IF(AND(Milestones!$AB$121="FT",Milestones!$AA$121=FT_Y5,EDATE($D22,Milestones!$AA$121)&lt;PolicyEff),1,Milestones!$AC$121)&amp;";  ","")&amp;IF(AND(EDATE($D22,Milestones!$AA$122)&lt;=AsOfDate,EDATE($D22,Milestones!$AA$122)&gt;=SchemeStart,IF($X22=0,$AD22,IF(AND($Z22&lt;&gt;"",EDATE($D22,Milestones!$AA$122)&gt;=$Z22),$AC22,IF(AND($Y22&lt;&gt;"",EDATE($D22,Milestones!$AA$122)&gt;=$Y22),$AB22,$AA22)))=Milestones!$AB$122),UPPER(TEXT(EDATE($D22,Milestones!$AA$122),"dd mmm yy"))&amp;" "&amp;Milestones!$AB$122&amp;" "&amp;IF(AND(Milestones!$AB$122="FT",Milestones!$AA$122=FT_Y5,EDATE($D22,Milestones!$AA$122)&lt;PolicyEff),1,Milestones!$AC$122)&amp;";  ","")&amp;IF(AND(EDATE($D22,Milestones!$AA$123)&lt;=AsOfDate,EDATE($D22,Milestones!$AA$123)&gt;=SchemeStart,IF($X22=0,$AD22,IF(AND($Z22&lt;&gt;"",EDATE($D22,Milestones!$AA$123)&gt;=$Z22),$AC22,IF(AND($Y22&lt;&gt;"",EDATE($D22,Milestones!$AA$123)&gt;=$Y22),$AB22,$AA22)))=Milestones!$AB$123),UPPER(TEXT(EDATE($D22,Milestones!$AA$123),"dd mmm yy"))&amp;" "&amp;Milestones!$AB$123&amp;" "&amp;IF(AND(Milestones!$AB$123="FT",Milestones!$AA$123=FT_Y5,EDATE($D22,Milestones!$AA$123)&lt;PolicyEff),1,Milestones!$AC$123)&amp;";  ","")&amp;IF(AND(EDATE($D22,Milestones!$AA$124)&lt;=AsOfDate,EDATE($D22,Milestones!$AA$124)&gt;=SchemeStart,IF($X22=0,$AD22,IF(AND($Z22&lt;&gt;"",EDATE($D22,Milestones!$AA$124)&gt;=$Z22),$AC22,IF(AND($Y22&lt;&gt;"",EDATE($D22,Milestones!$AA$124)&gt;=$Y22),$AB22,$AA22)))=Milestones!$AB$124),UPPER(TEXT(EDATE($D22,Milestones!$AA$124),"dd mmm yy"))&amp;" "&amp;Milestones!$AB$124&amp;" "&amp;IF(AND(Milestones!$AB$124="FT",Milestones!$AA$124=FT_Y5,EDATE($D22,Milestones!$AA$124)&lt;PolicyEff),1,Milestones!$AC$124)&amp;";  ","")&amp;IF(AND(EDATE($D22,Milestones!$AA$125)&lt;=AsOfDate,EDATE($D22,Milestones!$AA$125)&gt;=SchemeStart,IF($X22=0,$AD22,IF(AND($Z22&lt;&gt;"",EDATE($D22,Milestones!$AA$125)&gt;=$Z22),$AC22,IF(AND($Y22&lt;&gt;"",EDATE($D22,Milestones!$AA$125)&gt;=$Y22),$AB22,$AA22)))=Milestones!$AB$125),UPPER(TEXT(EDATE($D22,Milestones!$AA$125),"dd mmm yy"))&amp;" "&amp;Milestones!$AB$125&amp;" "&amp;IF(AND(Milestones!$AB$125="FT",Milestones!$AA$125=FT_Y5,EDATE($D22,Milestones!$AA$125)&lt;PolicyEff),1,Milestones!$AC$125)&amp;";  ","")&amp;IF(AND(EDATE($D22,Milestones!$AA$126)&lt;=AsOfDate,EDATE($D22,Milestones!$AA$126)&gt;=SchemeStart,IF($X22=0,$AD22,IF(AND($Z22&lt;&gt;"",EDATE($D22,Milestones!$AA$126)&gt;=$Z22),$AC22,IF(AND($Y22&lt;&gt;"",EDATE($D22,Milestones!$AA$126)&gt;=$Y22),$AB22,$AA22)))=Milestones!$AB$126),UPPER(TEXT(EDATE($D22,Milestones!$AA$126),"dd mmm yy"))&amp;" "&amp;Milestones!$AB$126&amp;" "&amp;IF(AND(Milestones!$AB$126="FT",Milestones!$AA$126=FT_Y5,EDATE($D22,Milestones!$AA$126)&lt;PolicyEff),1,Milestones!$AC$126)&amp;";  ","")&amp;IF(AND(EDATE($D22,Milestones!$AA$127)&lt;=AsOfDate,EDATE($D22,Milestones!$AA$127)&gt;=SchemeStart,IF($X22=0,$AD22,IF(AND($Z22&lt;&gt;"",EDATE($D22,Milestones!$AA$127)&gt;=$Z22),$AC22,IF(AND($Y22&lt;&gt;"",EDATE($D22,Milestones!$AA$127)&gt;=$Y22),$AB22,$AA22)))=Milestones!$AB$127),UPPER(TEXT(EDATE($D22,Milestones!$AA$127),"dd mmm yy"))&amp;" "&amp;Milestones!$AB$127&amp;" "&amp;IF(AND(Milestones!$AB$127="FT",Milestones!$AA$127=FT_Y5,EDATE($D22,Milestones!$AA$127)&lt;PolicyEff),1,Milestones!$AC$127)&amp;";  ",""))</f>
        <v/>
      </c>
      <c r="R22" s="0" t="str">
        <f aca="false">IF(OR($A22="",$D22=""),"",IF(AND(EDATE($D22,Milestones!$AA$128)&lt;=AsOfDate,EDATE($D22,Milestones!$AA$128)&gt;=SchemeStart,IF($X22=0,$AD22,IF(AND($Z22&lt;&gt;"",EDATE($D22,Milestones!$AA$128)&gt;=$Z22),$AC22,IF(AND($Y22&lt;&gt;"",EDATE($D22,Milestones!$AA$128)&gt;=$Y22),$AB22,$AA22)))=Milestones!$AB$128),UPPER(TEXT(EDATE($D22,Milestones!$AA$128),"dd mmm yy"))&amp;" "&amp;Milestones!$AB$128&amp;" "&amp;IF(AND(Milestones!$AB$128="FT",Milestones!$AA$128=FT_Y5,EDATE($D22,Milestones!$AA$128)&lt;PolicyEff),1,Milestones!$AC$128)&amp;";  ","")&amp;IF(AND(EDATE($D22,Milestones!$AA$129)&lt;=AsOfDate,EDATE($D22,Milestones!$AA$129)&gt;=SchemeStart,IF($X22=0,$AD22,IF(AND($Z22&lt;&gt;"",EDATE($D22,Milestones!$AA$129)&gt;=$Z22),$AC22,IF(AND($Y22&lt;&gt;"",EDATE($D22,Milestones!$AA$129)&gt;=$Y22),$AB22,$AA22)))=Milestones!$AB$129),UPPER(TEXT(EDATE($D22,Milestones!$AA$129),"dd mmm yy"))&amp;" "&amp;Milestones!$AB$129&amp;" "&amp;IF(AND(Milestones!$AB$129="FT",Milestones!$AA$129=FT_Y5,EDATE($D22,Milestones!$AA$129)&lt;PolicyEff),1,Milestones!$AC$129)&amp;";  ","")&amp;IF(AND(EDATE($D22,Milestones!$AA$130)&lt;=AsOfDate,EDATE($D22,Milestones!$AA$130)&gt;=SchemeStart,IF($X22=0,$AD22,IF(AND($Z22&lt;&gt;"",EDATE($D22,Milestones!$AA$130)&gt;=$Z22),$AC22,IF(AND($Y22&lt;&gt;"",EDATE($D22,Milestones!$AA$130)&gt;=$Y22),$AB22,$AA22)))=Milestones!$AB$130),UPPER(TEXT(EDATE($D22,Milestones!$AA$130),"dd mmm yy"))&amp;" "&amp;Milestones!$AB$130&amp;" "&amp;IF(AND(Milestones!$AB$130="FT",Milestones!$AA$130=FT_Y5,EDATE($D22,Milestones!$AA$130)&lt;PolicyEff),1,Milestones!$AC$130)&amp;";  ","")&amp;IF(AND(EDATE($D22,Milestones!$AA$131)&lt;=AsOfDate,EDATE($D22,Milestones!$AA$131)&gt;=SchemeStart,IF($X22=0,$AD22,IF(AND($Z22&lt;&gt;"",EDATE($D22,Milestones!$AA$131)&gt;=$Z22),$AC22,IF(AND($Y22&lt;&gt;"",EDATE($D22,Milestones!$AA$131)&gt;=$Y22),$AB22,$AA22)))=Milestones!$AB$131),UPPER(TEXT(EDATE($D22,Milestones!$AA$131),"dd mmm yy"))&amp;" "&amp;Milestones!$AB$131&amp;" "&amp;IF(AND(Milestones!$AB$131="FT",Milestones!$AA$131=FT_Y5,EDATE($D22,Milestones!$AA$131)&lt;PolicyEff),1,Milestones!$AC$131)&amp;";  ","")&amp;IF(AND(EDATE($D22,Milestones!$AA$132)&lt;=AsOfDate,EDATE($D22,Milestones!$AA$132)&gt;=SchemeStart,IF($X22=0,$AD22,IF(AND($Z22&lt;&gt;"",EDATE($D22,Milestones!$AA$132)&gt;=$Z22),$AC22,IF(AND($Y22&lt;&gt;"",EDATE($D22,Milestones!$AA$132)&gt;=$Y22),$AB22,$AA22)))=Milestones!$AB$132),UPPER(TEXT(EDATE($D22,Milestones!$AA$132),"dd mmm yy"))&amp;" "&amp;Milestones!$AB$132&amp;" "&amp;IF(AND(Milestones!$AB$132="FT",Milestones!$AA$132=FT_Y5,EDATE($D22,Milestones!$AA$132)&lt;PolicyEff),1,Milestones!$AC$132)&amp;";  ","")&amp;IF(AND(EDATE($D22,Milestones!$AA$133)&lt;=AsOfDate,EDATE($D22,Milestones!$AA$133)&gt;=SchemeStart,IF($X22=0,$AD22,IF(AND($Z22&lt;&gt;"",EDATE($D22,Milestones!$AA$133)&gt;=$Z22),$AC22,IF(AND($Y22&lt;&gt;"",EDATE($D22,Milestones!$AA$133)&gt;=$Y22),$AB22,$AA22)))=Milestones!$AB$133),UPPER(TEXT(EDATE($D22,Milestones!$AA$133),"dd mmm yy"))&amp;" "&amp;Milestones!$AB$133&amp;" "&amp;IF(AND(Milestones!$AB$133="FT",Milestones!$AA$133=FT_Y5,EDATE($D22,Milestones!$AA$133)&lt;PolicyEff),1,Milestones!$AC$133)&amp;";  ","")&amp;IF(AND(EDATE($D22,Milestones!$AA$134)&lt;=AsOfDate,EDATE($D22,Milestones!$AA$134)&gt;=SchemeStart,IF($X22=0,$AD22,IF(AND($Z22&lt;&gt;"",EDATE($D22,Milestones!$AA$134)&gt;=$Z22),$AC22,IF(AND($Y22&lt;&gt;"",EDATE($D22,Milestones!$AA$134)&gt;=$Y22),$AB22,$AA22)))=Milestones!$AB$134),UPPER(TEXT(EDATE($D22,Milestones!$AA$134),"dd mmm yy"))&amp;" "&amp;Milestones!$AB$134&amp;" "&amp;IF(AND(Milestones!$AB$134="FT",Milestones!$AA$134=FT_Y5,EDATE($D22,Milestones!$AA$134)&lt;PolicyEff),1,Milestones!$AC$134)&amp;";  ","")&amp;IF(AND(EDATE($D22,Milestones!$AA$135)&lt;=AsOfDate,EDATE($D22,Milestones!$AA$135)&gt;=SchemeStart,IF($X22=0,$AD22,IF(AND($Z22&lt;&gt;"",EDATE($D22,Milestones!$AA$135)&gt;=$Z22),$AC22,IF(AND($Y22&lt;&gt;"",EDATE($D22,Milestones!$AA$135)&gt;=$Y22),$AB22,$AA22)))=Milestones!$AB$135),UPPER(TEXT(EDATE($D22,Milestones!$AA$135),"dd mmm yy"))&amp;" "&amp;Milestones!$AB$135&amp;" "&amp;IF(AND(Milestones!$AB$135="FT",Milestones!$AA$135=FT_Y5,EDATE($D22,Milestones!$AA$135)&lt;PolicyEff),1,Milestones!$AC$135)&amp;";  ","")&amp;IF(AND(EDATE($D22,Milestones!$AA$136)&lt;=AsOfDate,EDATE($D22,Milestones!$AA$136)&gt;=SchemeStart,IF($X22=0,$AD22,IF(AND($Z22&lt;&gt;"",EDATE($D22,Milestones!$AA$136)&gt;=$Z22),$AC22,IF(AND($Y22&lt;&gt;"",EDATE($D22,Milestones!$AA$136)&gt;=$Y22),$AB22,$AA22)))=Milestones!$AB$136),UPPER(TEXT(EDATE($D22,Milestones!$AA$136),"dd mmm yy"))&amp;" "&amp;Milestones!$AB$136&amp;" "&amp;IF(AND(Milestones!$AB$136="FT",Milestones!$AA$136=FT_Y5,EDATE($D22,Milestones!$AA$136)&lt;PolicyEff),1,Milestones!$AC$136)&amp;";  ","")&amp;IF(AND(EDATE($D22,Milestones!$AA$137)&lt;=AsOfDate,EDATE($D22,Milestones!$AA$137)&gt;=SchemeStart,IF($X22=0,$AD22,IF(AND($Z22&lt;&gt;"",EDATE($D22,Milestones!$AA$137)&gt;=$Z22),$AC22,IF(AND($Y22&lt;&gt;"",EDATE($D22,Milestones!$AA$137)&gt;=$Y22),$AB22,$AA22)))=Milestones!$AB$137),UPPER(TEXT(EDATE($D22,Milestones!$AA$137),"dd mmm yy"))&amp;" "&amp;Milestones!$AB$137&amp;" "&amp;IF(AND(Milestones!$AB$137="FT",Milestones!$AA$137=FT_Y5,EDATE($D22,Milestones!$AA$137)&lt;PolicyEff),1,Milestones!$AC$137)&amp;";  ","")&amp;IF(AND(EDATE($D22,Milestones!$AA$138)&lt;=AsOfDate,EDATE($D22,Milestones!$AA$138)&gt;=SchemeStart,IF($X22=0,$AD22,IF(AND($Z22&lt;&gt;"",EDATE($D22,Milestones!$AA$138)&gt;=$Z22),$AC22,IF(AND($Y22&lt;&gt;"",EDATE($D22,Milestones!$AA$138)&gt;=$Y22),$AB22,$AA22)))=Milestones!$AB$138),UPPER(TEXT(EDATE($D22,Milestones!$AA$138),"dd mmm yy"))&amp;" "&amp;Milestones!$AB$138&amp;" "&amp;IF(AND(Milestones!$AB$138="FT",Milestones!$AA$138=FT_Y5,EDATE($D22,Milestones!$AA$138)&lt;PolicyEff),1,Milestones!$AC$138)&amp;";  ","")&amp;IF(AND(EDATE($D22,Milestones!$AA$139)&lt;=AsOfDate,EDATE($D22,Milestones!$AA$139)&gt;=SchemeStart,IF($X22=0,$AD22,IF(AND($Z22&lt;&gt;"",EDATE($D22,Milestones!$AA$139)&gt;=$Z22),$AC22,IF(AND($Y22&lt;&gt;"",EDATE($D22,Milestones!$AA$139)&gt;=$Y22),$AB22,$AA22)))=Milestones!$AB$139),UPPER(TEXT(EDATE($D22,Milestones!$AA$139),"dd mmm yy"))&amp;" "&amp;Milestones!$AB$139&amp;" "&amp;IF(AND(Milestones!$AB$139="FT",Milestones!$AA$139=FT_Y5,EDATE($D22,Milestones!$AA$139)&lt;PolicyEff),1,Milestones!$AC$139)&amp;";  ",""))</f>
        <v/>
      </c>
      <c r="S22" s="0" t="str">
        <f aca="false">IF(OR($A22="",$D22=""),"",IF(AND(EDATE($D22,Milestones!$AA$140)&lt;=AsOfDate,EDATE($D22,Milestones!$AA$140)&gt;=SchemeStart,IF($X22=0,$AD22,IF(AND($Z22&lt;&gt;"",EDATE($D22,Milestones!$AA$140)&gt;=$Z22),$AC22,IF(AND($Y22&lt;&gt;"",EDATE($D22,Milestones!$AA$140)&gt;=$Y22),$AB22,$AA22)))=Milestones!$AB$140),UPPER(TEXT(EDATE($D22,Milestones!$AA$140),"dd mmm yy"))&amp;" "&amp;Milestones!$AB$140&amp;" "&amp;IF(AND(Milestones!$AB$140="FT",Milestones!$AA$140=FT_Y5,EDATE($D22,Milestones!$AA$140)&lt;PolicyEff),1,Milestones!$AC$140)&amp;";  ","")&amp;IF(AND(EDATE($D22,Milestones!$AA$141)&lt;=AsOfDate,EDATE($D22,Milestones!$AA$141)&gt;=SchemeStart,IF($X22=0,$AD22,IF(AND($Z22&lt;&gt;"",EDATE($D22,Milestones!$AA$141)&gt;=$Z22),$AC22,IF(AND($Y22&lt;&gt;"",EDATE($D22,Milestones!$AA$141)&gt;=$Y22),$AB22,$AA22)))=Milestones!$AB$141),UPPER(TEXT(EDATE($D22,Milestones!$AA$141),"dd mmm yy"))&amp;" "&amp;Milestones!$AB$141&amp;" "&amp;IF(AND(Milestones!$AB$141="FT",Milestones!$AA$141=FT_Y5,EDATE($D22,Milestones!$AA$141)&lt;PolicyEff),1,Milestones!$AC$141)&amp;";  ","")&amp;IF(AND(EDATE($D22,Milestones!$AA$142)&lt;=AsOfDate,EDATE($D22,Milestones!$AA$142)&gt;=SchemeStart,IF($X22=0,$AD22,IF(AND($Z22&lt;&gt;"",EDATE($D22,Milestones!$AA$142)&gt;=$Z22),$AC22,IF(AND($Y22&lt;&gt;"",EDATE($D22,Milestones!$AA$142)&gt;=$Y22),$AB22,$AA22)))=Milestones!$AB$142),UPPER(TEXT(EDATE($D22,Milestones!$AA$142),"dd mmm yy"))&amp;" "&amp;Milestones!$AB$142&amp;" "&amp;IF(AND(Milestones!$AB$142="FT",Milestones!$AA$142=FT_Y5,EDATE($D22,Milestones!$AA$142)&lt;PolicyEff),1,Milestones!$AC$142)&amp;";  ","")&amp;IF(AND(EDATE($D22,Milestones!$AA$143)&lt;=AsOfDate,EDATE($D22,Milestones!$AA$143)&gt;=SchemeStart,IF($X22=0,$AD22,IF(AND($Z22&lt;&gt;"",EDATE($D22,Milestones!$AA$143)&gt;=$Z22),$AC22,IF(AND($Y22&lt;&gt;"",EDATE($D22,Milestones!$AA$143)&gt;=$Y22),$AB22,$AA22)))=Milestones!$AB$143),UPPER(TEXT(EDATE($D22,Milestones!$AA$143),"dd mmm yy"))&amp;" "&amp;Milestones!$AB$143&amp;" "&amp;IF(AND(Milestones!$AB$143="FT",Milestones!$AA$143=FT_Y5,EDATE($D22,Milestones!$AA$143)&lt;PolicyEff),1,Milestones!$AC$143)&amp;";  ","")&amp;IF(AND(EDATE($D22,Milestones!$AA$144)&lt;=AsOfDate,EDATE($D22,Milestones!$AA$144)&gt;=SchemeStart,IF($X22=0,$AD22,IF(AND($Z22&lt;&gt;"",EDATE($D22,Milestones!$AA$144)&gt;=$Z22),$AC22,IF(AND($Y22&lt;&gt;"",EDATE($D22,Milestones!$AA$144)&gt;=$Y22),$AB22,$AA22)))=Milestones!$AB$144),UPPER(TEXT(EDATE($D22,Milestones!$AA$144),"dd mmm yy"))&amp;" "&amp;Milestones!$AB$144&amp;" "&amp;IF(AND(Milestones!$AB$144="FT",Milestones!$AA$144=FT_Y5,EDATE($D22,Milestones!$AA$144)&lt;PolicyEff),1,Milestones!$AC$144)&amp;";  ","")&amp;IF(AND(EDATE($D22,Milestones!$AA$145)&lt;=AsOfDate,EDATE($D22,Milestones!$AA$145)&gt;=SchemeStart,IF($X22=0,$AD22,IF(AND($Z22&lt;&gt;"",EDATE($D22,Milestones!$AA$145)&gt;=$Z22),$AC22,IF(AND($Y22&lt;&gt;"",EDATE($D22,Milestones!$AA$145)&gt;=$Y22),$AB22,$AA22)))=Milestones!$AB$145),UPPER(TEXT(EDATE($D22,Milestones!$AA$145),"dd mmm yy"))&amp;" "&amp;Milestones!$AB$145&amp;" "&amp;IF(AND(Milestones!$AB$145="FT",Milestones!$AA$145=FT_Y5,EDATE($D22,Milestones!$AA$145)&lt;PolicyEff),1,Milestones!$AC$145)&amp;";  ","")&amp;IF(AND(EDATE($D22,Milestones!$AA$146)&lt;=AsOfDate,EDATE($D22,Milestones!$AA$146)&gt;=SchemeStart,IF($X22=0,$AD22,IF(AND($Z22&lt;&gt;"",EDATE($D22,Milestones!$AA$146)&gt;=$Z22),$AC22,IF(AND($Y22&lt;&gt;"",EDATE($D22,Milestones!$AA$146)&gt;=$Y22),$AB22,$AA22)))=Milestones!$AB$146),UPPER(TEXT(EDATE($D22,Milestones!$AA$146),"dd mmm yy"))&amp;" "&amp;Milestones!$AB$146&amp;" "&amp;IF(AND(Milestones!$AB$146="FT",Milestones!$AA$146=FT_Y5,EDATE($D22,Milestones!$AA$146)&lt;PolicyEff),1,Milestones!$AC$146)&amp;";  ","")&amp;IF(AND(EDATE($D22,Milestones!$AA$147)&lt;=AsOfDate,EDATE($D22,Milestones!$AA$147)&gt;=SchemeStart,IF($X22=0,$AD22,IF(AND($Z22&lt;&gt;"",EDATE($D22,Milestones!$AA$147)&gt;=$Z22),$AC22,IF(AND($Y22&lt;&gt;"",EDATE($D22,Milestones!$AA$147)&gt;=$Y22),$AB22,$AA22)))=Milestones!$AB$147),UPPER(TEXT(EDATE($D22,Milestones!$AA$147),"dd mmm yy"))&amp;" "&amp;Milestones!$AB$147&amp;" "&amp;IF(AND(Milestones!$AB$147="FT",Milestones!$AA$147=FT_Y5,EDATE($D22,Milestones!$AA$147)&lt;PolicyEff),1,Milestones!$AC$147)&amp;";  ","")&amp;IF(AND(EDATE($D22,Milestones!$AA$148)&lt;=AsOfDate,EDATE($D22,Milestones!$AA$148)&gt;=SchemeStart,IF($X22=0,$AD22,IF(AND($Z22&lt;&gt;"",EDATE($D22,Milestones!$AA$148)&gt;=$Z22),$AC22,IF(AND($Y22&lt;&gt;"",EDATE($D22,Milestones!$AA$148)&gt;=$Y22),$AB22,$AA22)))=Milestones!$AB$148),UPPER(TEXT(EDATE($D22,Milestones!$AA$148),"dd mmm yy"))&amp;" "&amp;Milestones!$AB$148&amp;" "&amp;IF(AND(Milestones!$AB$148="FT",Milestones!$AA$148=FT_Y5,EDATE($D22,Milestones!$AA$148)&lt;PolicyEff),1,Milestones!$AC$148)&amp;";  ","")&amp;IF(AND(EDATE($D22,Milestones!$AA$149)&lt;=AsOfDate,EDATE($D22,Milestones!$AA$149)&gt;=SchemeStart,IF($X22=0,$AD22,IF(AND($Z22&lt;&gt;"",EDATE($D22,Milestones!$AA$149)&gt;=$Z22),$AC22,IF(AND($Y22&lt;&gt;"",EDATE($D22,Milestones!$AA$149)&gt;=$Y22),$AB22,$AA22)))=Milestones!$AB$149),UPPER(TEXT(EDATE($D22,Milestones!$AA$149),"dd mmm yy"))&amp;" "&amp;Milestones!$AB$149&amp;" "&amp;IF(AND(Milestones!$AB$149="FT",Milestones!$AA$149=FT_Y5,EDATE($D22,Milestones!$AA$149)&lt;PolicyEff),1,Milestones!$AC$149)&amp;";  ","")&amp;IF(AND(EDATE($D22,Milestones!$AA$150)&lt;=AsOfDate,EDATE($D22,Milestones!$AA$150)&gt;=SchemeStart,IF($X22=0,$AD22,IF(AND($Z22&lt;&gt;"",EDATE($D22,Milestones!$AA$150)&gt;=$Z22),$AC22,IF(AND($Y22&lt;&gt;"",EDATE($D22,Milestones!$AA$150)&gt;=$Y22),$AB22,$AA22)))=Milestones!$AB$150),UPPER(TEXT(EDATE($D22,Milestones!$AA$150),"dd mmm yy"))&amp;" "&amp;Milestones!$AB$150&amp;" "&amp;IF(AND(Milestones!$AB$150="FT",Milestones!$AA$150=FT_Y5,EDATE($D22,Milestones!$AA$150)&lt;PolicyEff),1,Milestones!$AC$150)&amp;";  ","")&amp;IF(AND(EDATE($D22,Milestones!$AA$151)&lt;=AsOfDate,EDATE($D22,Milestones!$AA$151)&gt;=SchemeStart,IF($X22=0,$AD22,IF(AND($Z22&lt;&gt;"",EDATE($D22,Milestones!$AA$151)&gt;=$Z22),$AC22,IF(AND($Y22&lt;&gt;"",EDATE($D22,Milestones!$AA$151)&gt;=$Y22),$AB22,$AA22)))=Milestones!$AB$151),UPPER(TEXT(EDATE($D22,Milestones!$AA$151),"dd mmm yy"))&amp;" "&amp;Milestones!$AB$151&amp;" "&amp;IF(AND(Milestones!$AB$151="FT",Milestones!$AA$151=FT_Y5,EDATE($D22,Milestones!$AA$151)&lt;PolicyEff),1,Milestones!$AC$151)&amp;";  ",""))</f>
        <v/>
      </c>
      <c r="T22" s="0" t="str">
        <f aca="false">IF(OR($A22="",$D22=""),"",IF(AND(EDATE($D22,Milestones!$AA$152)&lt;=AsOfDate,EDATE($D22,Milestones!$AA$152)&gt;=SchemeStart,IF($X22=0,$AD22,IF(AND($Z22&lt;&gt;"",EDATE($D22,Milestones!$AA$152)&gt;=$Z22),$AC22,IF(AND($Y22&lt;&gt;"",EDATE($D22,Milestones!$AA$152)&gt;=$Y22),$AB22,$AA22)))=Milestones!$AB$152),UPPER(TEXT(EDATE($D22,Milestones!$AA$152),"dd mmm yy"))&amp;" "&amp;Milestones!$AB$152&amp;" "&amp;IF(AND(Milestones!$AB$152="FT",Milestones!$AA$152=FT_Y5,EDATE($D22,Milestones!$AA$152)&lt;PolicyEff),1,Milestones!$AC$152)&amp;";  ","")&amp;IF(AND(EDATE($D22,Milestones!$AA$153)&lt;=AsOfDate,EDATE($D22,Milestones!$AA$153)&gt;=SchemeStart,IF($X22=0,$AD22,IF(AND($Z22&lt;&gt;"",EDATE($D22,Milestones!$AA$153)&gt;=$Z22),$AC22,IF(AND($Y22&lt;&gt;"",EDATE($D22,Milestones!$AA$153)&gt;=$Y22),$AB22,$AA22)))=Milestones!$AB$153),UPPER(TEXT(EDATE($D22,Milestones!$AA$153),"dd mmm yy"))&amp;" "&amp;Milestones!$AB$153&amp;" "&amp;IF(AND(Milestones!$AB$153="FT",Milestones!$AA$153=FT_Y5,EDATE($D22,Milestones!$AA$153)&lt;PolicyEff),1,Milestones!$AC$153)&amp;";  ","")&amp;IF(AND(EDATE($D22,Milestones!$AA$154)&lt;=AsOfDate,EDATE($D22,Milestones!$AA$154)&gt;=SchemeStart,IF($X22=0,$AD22,IF(AND($Z22&lt;&gt;"",EDATE($D22,Milestones!$AA$154)&gt;=$Z22),$AC22,IF(AND($Y22&lt;&gt;"",EDATE($D22,Milestones!$AA$154)&gt;=$Y22),$AB22,$AA22)))=Milestones!$AB$154),UPPER(TEXT(EDATE($D22,Milestones!$AA$154),"dd mmm yy"))&amp;" "&amp;Milestones!$AB$154&amp;" "&amp;IF(AND(Milestones!$AB$154="FT",Milestones!$AA$154=FT_Y5,EDATE($D22,Milestones!$AA$154)&lt;PolicyEff),1,Milestones!$AC$154)&amp;";  ","")&amp;IF(AND(EDATE($D22,Milestones!$AA$155)&lt;=AsOfDate,EDATE($D22,Milestones!$AA$155)&gt;=SchemeStart,IF($X22=0,$AD22,IF(AND($Z22&lt;&gt;"",EDATE($D22,Milestones!$AA$155)&gt;=$Z22),$AC22,IF(AND($Y22&lt;&gt;"",EDATE($D22,Milestones!$AA$155)&gt;=$Y22),$AB22,$AA22)))=Milestones!$AB$155),UPPER(TEXT(EDATE($D22,Milestones!$AA$155),"dd mmm yy"))&amp;" "&amp;Milestones!$AB$155&amp;" "&amp;IF(AND(Milestones!$AB$155="FT",Milestones!$AA$155=FT_Y5,EDATE($D22,Milestones!$AA$155)&lt;PolicyEff),1,Milestones!$AC$155)&amp;";  ","")&amp;IF(AND(EDATE($D22,Milestones!$AA$156)&lt;=AsOfDate,EDATE($D22,Milestones!$AA$156)&gt;=SchemeStart,IF($X22=0,$AD22,IF(AND($Z22&lt;&gt;"",EDATE($D22,Milestones!$AA$156)&gt;=$Z22),$AC22,IF(AND($Y22&lt;&gt;"",EDATE($D22,Milestones!$AA$156)&gt;=$Y22),$AB22,$AA22)))=Milestones!$AB$156),UPPER(TEXT(EDATE($D22,Milestones!$AA$156),"dd mmm yy"))&amp;" "&amp;Milestones!$AB$156&amp;" "&amp;IF(AND(Milestones!$AB$156="FT",Milestones!$AA$156=FT_Y5,EDATE($D22,Milestones!$AA$156)&lt;PolicyEff),1,Milestones!$AC$156)&amp;";  ","")&amp;IF(AND(EDATE($D22,Milestones!$AA$157)&lt;=AsOfDate,EDATE($D22,Milestones!$AA$157)&gt;=SchemeStart,IF($X22=0,$AD22,IF(AND($Z22&lt;&gt;"",EDATE($D22,Milestones!$AA$157)&gt;=$Z22),$AC22,IF(AND($Y22&lt;&gt;"",EDATE($D22,Milestones!$AA$157)&gt;=$Y22),$AB22,$AA22)))=Milestones!$AB$157),UPPER(TEXT(EDATE($D22,Milestones!$AA$157),"dd mmm yy"))&amp;" "&amp;Milestones!$AB$157&amp;" "&amp;IF(AND(Milestones!$AB$157="FT",Milestones!$AA$157=FT_Y5,EDATE($D22,Milestones!$AA$157)&lt;PolicyEff),1,Milestones!$AC$157)&amp;";  ","")&amp;IF(AND(EDATE($D22,Milestones!$AA$158)&lt;=AsOfDate,EDATE($D22,Milestones!$AA$158)&gt;=SchemeStart,IF($X22=0,$AD22,IF(AND($Z22&lt;&gt;"",EDATE($D22,Milestones!$AA$158)&gt;=$Z22),$AC22,IF(AND($Y22&lt;&gt;"",EDATE($D22,Milestones!$AA$158)&gt;=$Y22),$AB22,$AA22)))=Milestones!$AB$158),UPPER(TEXT(EDATE($D22,Milestones!$AA$158),"dd mmm yy"))&amp;" "&amp;Milestones!$AB$158&amp;" "&amp;IF(AND(Milestones!$AB$158="FT",Milestones!$AA$158=FT_Y5,EDATE($D22,Milestones!$AA$158)&lt;PolicyEff),1,Milestones!$AC$158)&amp;";  ","")&amp;IF(AND(EDATE($D22,Milestones!$AA$159)&lt;=AsOfDate,EDATE($D22,Milestones!$AA$159)&gt;=SchemeStart,IF($X22=0,$AD22,IF(AND($Z22&lt;&gt;"",EDATE($D22,Milestones!$AA$159)&gt;=$Z22),$AC22,IF(AND($Y22&lt;&gt;"",EDATE($D22,Milestones!$AA$159)&gt;=$Y22),$AB22,$AA22)))=Milestones!$AB$159),UPPER(TEXT(EDATE($D22,Milestones!$AA$159),"dd mmm yy"))&amp;" "&amp;Milestones!$AB$159&amp;" "&amp;IF(AND(Milestones!$AB$159="FT",Milestones!$AA$159=FT_Y5,EDATE($D22,Milestones!$AA$159)&lt;PolicyEff),1,Milestones!$AC$159)&amp;";  ","")&amp;IF(AND(EDATE($D22,Milestones!$AA$160)&lt;=AsOfDate,EDATE($D22,Milestones!$AA$160)&gt;=SchemeStart,IF($X22=0,$AD22,IF(AND($Z22&lt;&gt;"",EDATE($D22,Milestones!$AA$160)&gt;=$Z22),$AC22,IF(AND($Y22&lt;&gt;"",EDATE($D22,Milestones!$AA$160)&gt;=$Y22),$AB22,$AA22)))=Milestones!$AB$160),UPPER(TEXT(EDATE($D22,Milestones!$AA$160),"dd mmm yy"))&amp;" "&amp;Milestones!$AB$160&amp;" "&amp;IF(AND(Milestones!$AB$160="FT",Milestones!$AA$160=FT_Y5,EDATE($D22,Milestones!$AA$160)&lt;PolicyEff),1,Milestones!$AC$160)&amp;";  ","")&amp;IF(AND(EDATE($D22,Milestones!$AA$161)&lt;=AsOfDate,EDATE($D22,Milestones!$AA$161)&gt;=SchemeStart,IF($X22=0,$AD22,IF(AND($Z22&lt;&gt;"",EDATE($D22,Milestones!$AA$161)&gt;=$Z22),$AC22,IF(AND($Y22&lt;&gt;"",EDATE($D22,Milestones!$AA$161)&gt;=$Y22),$AB22,$AA22)))=Milestones!$AB$161),UPPER(TEXT(EDATE($D22,Milestones!$AA$161),"dd mmm yy"))&amp;" "&amp;Milestones!$AB$161&amp;" "&amp;IF(AND(Milestones!$AB$161="FT",Milestones!$AA$161=FT_Y5,EDATE($D22,Milestones!$AA$161)&lt;PolicyEff),1,Milestones!$AC$161)&amp;";  ","")&amp;IF(AND(EDATE($D22,Milestones!$AA$162)&lt;=AsOfDate,EDATE($D22,Milestones!$AA$162)&gt;=SchemeStart,IF($X22=0,$AD22,IF(AND($Z22&lt;&gt;"",EDATE($D22,Milestones!$AA$162)&gt;=$Z22),$AC22,IF(AND($Y22&lt;&gt;"",EDATE($D22,Milestones!$AA$162)&gt;=$Y22),$AB22,$AA22)))=Milestones!$AB$162),UPPER(TEXT(EDATE($D22,Milestones!$AA$162),"dd mmm yy"))&amp;" "&amp;Milestones!$AB$162&amp;" "&amp;IF(AND(Milestones!$AB$162="FT",Milestones!$AA$162=FT_Y5,EDATE($D22,Milestones!$AA$162)&lt;PolicyEff),1,Milestones!$AC$162)&amp;";  ","")&amp;IF(AND(EDATE($D22,Milestones!$AA$163)&lt;=AsOfDate,EDATE($D22,Milestones!$AA$163)&gt;=SchemeStart,IF($X22=0,$AD22,IF(AND($Z22&lt;&gt;"",EDATE($D22,Milestones!$AA$163)&gt;=$Z22),$AC22,IF(AND($Y22&lt;&gt;"",EDATE($D22,Milestones!$AA$163)&gt;=$Y22),$AB22,$AA22)))=Milestones!$AB$163),UPPER(TEXT(EDATE($D22,Milestones!$AA$163),"dd mmm yy"))&amp;" "&amp;Milestones!$AB$163&amp;" "&amp;IF(AND(Milestones!$AB$163="FT",Milestones!$AA$163=FT_Y5,EDATE($D22,Milestones!$AA$163)&lt;PolicyEff),1,Milestones!$AC$163)&amp;";  ",""))</f>
        <v/>
      </c>
      <c r="U22" s="0" t="str">
        <f aca="false">IF(OR($A22="",$D22=""),"",IF(AND(EDATE($D22,Milestones!$AA$164)&lt;=AsOfDate,EDATE($D22,Milestones!$AA$164)&gt;=SchemeStart,IF($X22=0,$AD22,IF(AND($Z22&lt;&gt;"",EDATE($D22,Milestones!$AA$164)&gt;=$Z22),$AC22,IF(AND($Y22&lt;&gt;"",EDATE($D22,Milestones!$AA$164)&gt;=$Y22),$AB22,$AA22)))=Milestones!$AB$164),UPPER(TEXT(EDATE($D22,Milestones!$AA$164),"dd mmm yy"))&amp;" "&amp;Milestones!$AB$164&amp;" "&amp;IF(AND(Milestones!$AB$164="FT",Milestones!$AA$164=FT_Y5,EDATE($D22,Milestones!$AA$164)&lt;PolicyEff),1,Milestones!$AC$164)&amp;";  ","")&amp;IF(AND(EDATE($D22,Milestones!$AA$165)&lt;=AsOfDate,EDATE($D22,Milestones!$AA$165)&gt;=SchemeStart,IF($X22=0,$AD22,IF(AND($Z22&lt;&gt;"",EDATE($D22,Milestones!$AA$165)&gt;=$Z22),$AC22,IF(AND($Y22&lt;&gt;"",EDATE($D22,Milestones!$AA$165)&gt;=$Y22),$AB22,$AA22)))=Milestones!$AB$165),UPPER(TEXT(EDATE($D22,Milestones!$AA$165),"dd mmm yy"))&amp;" "&amp;Milestones!$AB$165&amp;" "&amp;IF(AND(Milestones!$AB$165="FT",Milestones!$AA$165=FT_Y5,EDATE($D22,Milestones!$AA$165)&lt;PolicyEff),1,Milestones!$AC$165)&amp;";  ","")&amp;IF(AND(EDATE($D22,Milestones!$AA$166)&lt;=AsOfDate,EDATE($D22,Milestones!$AA$166)&gt;=SchemeStart,IF($X22=0,$AD22,IF(AND($Z22&lt;&gt;"",EDATE($D22,Milestones!$AA$166)&gt;=$Z22),$AC22,IF(AND($Y22&lt;&gt;"",EDATE($D22,Milestones!$AA$166)&gt;=$Y22),$AB22,$AA22)))=Milestones!$AB$166),UPPER(TEXT(EDATE($D22,Milestones!$AA$166),"dd mmm yy"))&amp;" "&amp;Milestones!$AB$166&amp;" "&amp;IF(AND(Milestones!$AB$166="FT",Milestones!$AA$166=FT_Y5,EDATE($D22,Milestones!$AA$166)&lt;PolicyEff),1,Milestones!$AC$166)&amp;";  ","")&amp;IF(AND(EDATE($D22,Milestones!$AA$167)&lt;=AsOfDate,EDATE($D22,Milestones!$AA$167)&gt;=SchemeStart,IF($X22=0,$AD22,IF(AND($Z22&lt;&gt;"",EDATE($D22,Milestones!$AA$167)&gt;=$Z22),$AC22,IF(AND($Y22&lt;&gt;"",EDATE($D22,Milestones!$AA$167)&gt;=$Y22),$AB22,$AA22)))=Milestones!$AB$167),UPPER(TEXT(EDATE($D22,Milestones!$AA$167),"dd mmm yy"))&amp;" "&amp;Milestones!$AB$167&amp;" "&amp;IF(AND(Milestones!$AB$167="FT",Milestones!$AA$167=FT_Y5,EDATE($D22,Milestones!$AA$167)&lt;PolicyEff),1,Milestones!$AC$167)&amp;";  ","")&amp;IF(AND(EDATE($D22,Milestones!$AA$168)&lt;=AsOfDate,EDATE($D22,Milestones!$AA$168)&gt;=SchemeStart,IF($X22=0,$AD22,IF(AND($Z22&lt;&gt;"",EDATE($D22,Milestones!$AA$168)&gt;=$Z22),$AC22,IF(AND($Y22&lt;&gt;"",EDATE($D22,Milestones!$AA$168)&gt;=$Y22),$AB22,$AA22)))=Milestones!$AB$168),UPPER(TEXT(EDATE($D22,Milestones!$AA$168),"dd mmm yy"))&amp;" "&amp;Milestones!$AB$168&amp;" "&amp;IF(AND(Milestones!$AB$168="FT",Milestones!$AA$168=FT_Y5,EDATE($D22,Milestones!$AA$168)&lt;PolicyEff),1,Milestones!$AC$168)&amp;";  ","")&amp;IF(AND(EDATE($D22,Milestones!$AA$169)&lt;=AsOfDate,EDATE($D22,Milestones!$AA$169)&gt;=SchemeStart,IF($X22=0,$AD22,IF(AND($Z22&lt;&gt;"",EDATE($D22,Milestones!$AA$169)&gt;=$Z22),$AC22,IF(AND($Y22&lt;&gt;"",EDATE($D22,Milestones!$AA$169)&gt;=$Y22),$AB22,$AA22)))=Milestones!$AB$169),UPPER(TEXT(EDATE($D22,Milestones!$AA$169),"dd mmm yy"))&amp;" "&amp;Milestones!$AB$169&amp;" "&amp;IF(AND(Milestones!$AB$169="FT",Milestones!$AA$169=FT_Y5,EDATE($D22,Milestones!$AA$169)&lt;PolicyEff),1,Milestones!$AC$169)&amp;";  ","")&amp;IF(AND(EDATE($D22,Milestones!$AA$170)&lt;=AsOfDate,EDATE($D22,Milestones!$AA$170)&gt;=SchemeStart,IF($X22=0,$AD22,IF(AND($Z22&lt;&gt;"",EDATE($D22,Milestones!$AA$170)&gt;=$Z22),$AC22,IF(AND($Y22&lt;&gt;"",EDATE($D22,Milestones!$AA$170)&gt;=$Y22),$AB22,$AA22)))=Milestones!$AB$170),UPPER(TEXT(EDATE($D22,Milestones!$AA$170),"dd mmm yy"))&amp;" "&amp;Milestones!$AB$170&amp;" "&amp;IF(AND(Milestones!$AB$170="FT",Milestones!$AA$170=FT_Y5,EDATE($D22,Milestones!$AA$170)&lt;PolicyEff),1,Milestones!$AC$170)&amp;";  ","")&amp;IF(AND(EDATE($D22,Milestones!$AA$171)&lt;=AsOfDate,EDATE($D22,Milestones!$AA$171)&gt;=SchemeStart,IF($X22=0,$AD22,IF(AND($Z22&lt;&gt;"",EDATE($D22,Milestones!$AA$171)&gt;=$Z22),$AC22,IF(AND($Y22&lt;&gt;"",EDATE($D22,Milestones!$AA$171)&gt;=$Y22),$AB22,$AA22)))=Milestones!$AB$171),UPPER(TEXT(EDATE($D22,Milestones!$AA$171),"dd mmm yy"))&amp;" "&amp;Milestones!$AB$171&amp;" "&amp;IF(AND(Milestones!$AB$171="FT",Milestones!$AA$171=FT_Y5,EDATE($D22,Milestones!$AA$171)&lt;PolicyEff),1,Milestones!$AC$171)&amp;";  ","")&amp;IF(AND(EDATE($D22,Milestones!$AA$172)&lt;=AsOfDate,EDATE($D22,Milestones!$AA$172)&gt;=SchemeStart,IF($X22=0,$AD22,IF(AND($Z22&lt;&gt;"",EDATE($D22,Milestones!$AA$172)&gt;=$Z22),$AC22,IF(AND($Y22&lt;&gt;"",EDATE($D22,Milestones!$AA$172)&gt;=$Y22),$AB22,$AA22)))=Milestones!$AB$172),UPPER(TEXT(EDATE($D22,Milestones!$AA$172),"dd mmm yy"))&amp;" "&amp;Milestones!$AB$172&amp;" "&amp;IF(AND(Milestones!$AB$172="FT",Milestones!$AA$172=FT_Y5,EDATE($D22,Milestones!$AA$172)&lt;PolicyEff),1,Milestones!$AC$172)&amp;";  ","")&amp;IF(AND(EDATE($D22,Milestones!$AA$173)&lt;=AsOfDate,EDATE($D22,Milestones!$AA$173)&gt;=SchemeStart,IF($X22=0,$AD22,IF(AND($Z22&lt;&gt;"",EDATE($D22,Milestones!$AA$173)&gt;=$Z22),$AC22,IF(AND($Y22&lt;&gt;"",EDATE($D22,Milestones!$AA$173)&gt;=$Y22),$AB22,$AA22)))=Milestones!$AB$173),UPPER(TEXT(EDATE($D22,Milestones!$AA$173),"dd mmm yy"))&amp;" "&amp;Milestones!$AB$173&amp;" "&amp;IF(AND(Milestones!$AB$173="FT",Milestones!$AA$173=FT_Y5,EDATE($D22,Milestones!$AA$173)&lt;PolicyEff),1,Milestones!$AC$173)&amp;";  ","")&amp;IF(AND(EDATE($D22,Milestones!$AA$174)&lt;=AsOfDate,EDATE($D22,Milestones!$AA$174)&gt;=SchemeStart,IF($X22=0,$AD22,IF(AND($Z22&lt;&gt;"",EDATE($D22,Milestones!$AA$174)&gt;=$Z22),$AC22,IF(AND($Y22&lt;&gt;"",EDATE($D22,Milestones!$AA$174)&gt;=$Y22),$AB22,$AA22)))=Milestones!$AB$174),UPPER(TEXT(EDATE($D22,Milestones!$AA$174),"dd mmm yy"))&amp;" "&amp;Milestones!$AB$174&amp;" "&amp;IF(AND(Milestones!$AB$174="FT",Milestones!$AA$174=FT_Y5,EDATE($D22,Milestones!$AA$174)&lt;PolicyEff),1,Milestones!$AC$174)&amp;";  ","")&amp;IF(AND(EDATE($D22,Milestones!$AA$175)&lt;=AsOfDate,EDATE($D22,Milestones!$AA$175)&gt;=SchemeStart,IF($X22=0,$AD22,IF(AND($Z22&lt;&gt;"",EDATE($D22,Milestones!$AA$175)&gt;=$Z22),$AC22,IF(AND($Y22&lt;&gt;"",EDATE($D22,Milestones!$AA$175)&gt;=$Y22),$AB22,$AA22)))=Milestones!$AB$175),UPPER(TEXT(EDATE($D22,Milestones!$AA$175),"dd mmm yy"))&amp;" "&amp;Milestones!$AB$175&amp;" "&amp;IF(AND(Milestones!$AB$175="FT",Milestones!$AA$175=FT_Y5,EDATE($D22,Milestones!$AA$175)&lt;PolicyEff),1,Milestones!$AC$175)&amp;";  ",""))</f>
        <v/>
      </c>
      <c r="V22" s="0" t="str">
        <f aca="false">IF(OR($A22="",$D22=""),"",IF(AND(EDATE($D22,Milestones!$AA$176)&lt;=AsOfDate,EDATE($D22,Milestones!$AA$176)&gt;=SchemeStart,IF($X22=0,$AD22,IF(AND($Z22&lt;&gt;"",EDATE($D22,Milestones!$AA$176)&gt;=$Z22),$AC22,IF(AND($Y22&lt;&gt;"",EDATE($D22,Milestones!$AA$176)&gt;=$Y22),$AB22,$AA22)))=Milestones!$AB$176),UPPER(TEXT(EDATE($D22,Milestones!$AA$176),"dd mmm yy"))&amp;" "&amp;Milestones!$AB$176&amp;" "&amp;IF(AND(Milestones!$AB$176="FT",Milestones!$AA$176=FT_Y5,EDATE($D22,Milestones!$AA$176)&lt;PolicyEff),1,Milestones!$AC$176)&amp;";  ","")&amp;IF(AND(EDATE($D22,Milestones!$AA$177)&lt;=AsOfDate,EDATE($D22,Milestones!$AA$177)&gt;=SchemeStart,IF($X22=0,$AD22,IF(AND($Z22&lt;&gt;"",EDATE($D22,Milestones!$AA$177)&gt;=$Z22),$AC22,IF(AND($Y22&lt;&gt;"",EDATE($D22,Milestones!$AA$177)&gt;=$Y22),$AB22,$AA22)))=Milestones!$AB$177),UPPER(TEXT(EDATE($D22,Milestones!$AA$177),"dd mmm yy"))&amp;" "&amp;Milestones!$AB$177&amp;" "&amp;IF(AND(Milestones!$AB$177="FT",Milestones!$AA$177=FT_Y5,EDATE($D22,Milestones!$AA$177)&lt;PolicyEff),1,Milestones!$AC$177)&amp;";  ","")&amp;IF(AND(EDATE($D22,Milestones!$AA$178)&lt;=AsOfDate,EDATE($D22,Milestones!$AA$178)&gt;=SchemeStart,IF($X22=0,$AD22,IF(AND($Z22&lt;&gt;"",EDATE($D22,Milestones!$AA$178)&gt;=$Z22),$AC22,IF(AND($Y22&lt;&gt;"",EDATE($D22,Milestones!$AA$178)&gt;=$Y22),$AB22,$AA22)))=Milestones!$AB$178),UPPER(TEXT(EDATE($D22,Milestones!$AA$178),"dd mmm yy"))&amp;" "&amp;Milestones!$AB$178&amp;" "&amp;IF(AND(Milestones!$AB$178="FT",Milestones!$AA$178=FT_Y5,EDATE($D22,Milestones!$AA$178)&lt;PolicyEff),1,Milestones!$AC$178)&amp;";  ","")&amp;IF(AND(EDATE($D22,Milestones!$AA$179)&lt;=AsOfDate,EDATE($D22,Milestones!$AA$179)&gt;=SchemeStart,IF($X22=0,$AD22,IF(AND($Z22&lt;&gt;"",EDATE($D22,Milestones!$AA$179)&gt;=$Z22),$AC22,IF(AND($Y22&lt;&gt;"",EDATE($D22,Milestones!$AA$179)&gt;=$Y22),$AB22,$AA22)))=Milestones!$AB$179),UPPER(TEXT(EDATE($D22,Milestones!$AA$179),"dd mmm yy"))&amp;" "&amp;Milestones!$AB$179&amp;" "&amp;IF(AND(Milestones!$AB$179="FT",Milestones!$AA$179=FT_Y5,EDATE($D22,Milestones!$AA$179)&lt;PolicyEff),1,Milestones!$AC$179)&amp;";  ","")&amp;IF(AND(EDATE($D22,Milestones!$AA$180)&lt;=AsOfDate,EDATE($D22,Milestones!$AA$180)&gt;=SchemeStart,IF($X22=0,$AD22,IF(AND($Z22&lt;&gt;"",EDATE($D22,Milestones!$AA$180)&gt;=$Z22),$AC22,IF(AND($Y22&lt;&gt;"",EDATE($D22,Milestones!$AA$180)&gt;=$Y22),$AB22,$AA22)))=Milestones!$AB$180),UPPER(TEXT(EDATE($D22,Milestones!$AA$180),"dd mmm yy"))&amp;" "&amp;Milestones!$AB$180&amp;" "&amp;IF(AND(Milestones!$AB$180="FT",Milestones!$AA$180=FT_Y5,EDATE($D22,Milestones!$AA$180)&lt;PolicyEff),1,Milestones!$AC$180)&amp;";  ","")&amp;IF(AND(EDATE($D22,Milestones!$AA$181)&lt;=AsOfDate,EDATE($D22,Milestones!$AA$181)&gt;=SchemeStart,IF($X22=0,$AD22,IF(AND($Z22&lt;&gt;"",EDATE($D22,Milestones!$AA$181)&gt;=$Z22),$AC22,IF(AND($Y22&lt;&gt;"",EDATE($D22,Milestones!$AA$181)&gt;=$Y22),$AB22,$AA22)))=Milestones!$AB$181),UPPER(TEXT(EDATE($D22,Milestones!$AA$181),"dd mmm yy"))&amp;" "&amp;Milestones!$AB$181&amp;" "&amp;IF(AND(Milestones!$AB$181="FT",Milestones!$AA$181=FT_Y5,EDATE($D22,Milestones!$AA$181)&lt;PolicyEff),1,Milestones!$AC$181)&amp;";  ","")&amp;IF(AND(EDATE($D22,Milestones!$AA$182)&lt;=AsOfDate,EDATE($D22,Milestones!$AA$182)&gt;=SchemeStart,IF($X22=0,$AD22,IF(AND($Z22&lt;&gt;"",EDATE($D22,Milestones!$AA$182)&gt;=$Z22),$AC22,IF(AND($Y22&lt;&gt;"",EDATE($D22,Milestones!$AA$182)&gt;=$Y22),$AB22,$AA22)))=Milestones!$AB$182),UPPER(TEXT(EDATE($D22,Milestones!$AA$182),"dd mmm yy"))&amp;" "&amp;Milestones!$AB$182&amp;" "&amp;IF(AND(Milestones!$AB$182="FT",Milestones!$AA$182=FT_Y5,EDATE($D22,Milestones!$AA$182)&lt;PolicyEff),1,Milestones!$AC$182)&amp;";  ","")&amp;IF(AND(EDATE($D22,Milestones!$AA$183)&lt;=AsOfDate,EDATE($D22,Milestones!$AA$183)&gt;=SchemeStart,IF($X22=0,$AD22,IF(AND($Z22&lt;&gt;"",EDATE($D22,Milestones!$AA$183)&gt;=$Z22),$AC22,IF(AND($Y22&lt;&gt;"",EDATE($D22,Milestones!$AA$183)&gt;=$Y22),$AB22,$AA22)))=Milestones!$AB$183),UPPER(TEXT(EDATE($D22,Milestones!$AA$183),"dd mmm yy"))&amp;" "&amp;Milestones!$AB$183&amp;" "&amp;IF(AND(Milestones!$AB$183="FT",Milestones!$AA$183=FT_Y5,EDATE($D22,Milestones!$AA$183)&lt;PolicyEff),1,Milestones!$AC$183)&amp;";  ","")&amp;IF(AND(EDATE($D22,Milestones!$AA$184)&lt;=AsOfDate,EDATE($D22,Milestones!$AA$184)&gt;=SchemeStart,IF($X22=0,$AD22,IF(AND($Z22&lt;&gt;"",EDATE($D22,Milestones!$AA$184)&gt;=$Z22),$AC22,IF(AND($Y22&lt;&gt;"",EDATE($D22,Milestones!$AA$184)&gt;=$Y22),$AB22,$AA22)))=Milestones!$AB$184),UPPER(TEXT(EDATE($D22,Milestones!$AA$184),"dd mmm yy"))&amp;" "&amp;Milestones!$AB$184&amp;" "&amp;IF(AND(Milestones!$AB$184="FT",Milestones!$AA$184=FT_Y5,EDATE($D22,Milestones!$AA$184)&lt;PolicyEff),1,Milestones!$AC$184)&amp;";  ","")&amp;IF(AND(EDATE($D22,Milestones!$AA$185)&lt;=AsOfDate,EDATE($D22,Milestones!$AA$185)&gt;=SchemeStart,IF($X22=0,$AD22,IF(AND($Z22&lt;&gt;"",EDATE($D22,Milestones!$AA$185)&gt;=$Z22),$AC22,IF(AND($Y22&lt;&gt;"",EDATE($D22,Milestones!$AA$185)&gt;=$Y22),$AB22,$AA22)))=Milestones!$AB$185),UPPER(TEXT(EDATE($D22,Milestones!$AA$185),"dd mmm yy"))&amp;" "&amp;Milestones!$AB$185&amp;" "&amp;IF(AND(Milestones!$AB$185="FT",Milestones!$AA$185=FT_Y5,EDATE($D22,Milestones!$AA$185)&lt;PolicyEff),1,Milestones!$AC$185)&amp;";  ","")&amp;IF(AND(EDATE($D22,Milestones!$AA$186)&lt;=AsOfDate,EDATE($D22,Milestones!$AA$186)&gt;=SchemeStart,IF($X22=0,$AD22,IF(AND($Z22&lt;&gt;"",EDATE($D22,Milestones!$AA$186)&gt;=$Z22),$AC22,IF(AND($Y22&lt;&gt;"",EDATE($D22,Milestones!$AA$186)&gt;=$Y22),$AB22,$AA22)))=Milestones!$AB$186),UPPER(TEXT(EDATE($D22,Milestones!$AA$186),"dd mmm yy"))&amp;" "&amp;Milestones!$AB$186&amp;" "&amp;IF(AND(Milestones!$AB$186="FT",Milestones!$AA$186=FT_Y5,EDATE($D22,Milestones!$AA$186)&lt;PolicyEff),1,Milestones!$AC$186)&amp;";  ","")&amp;IF(AND(EDATE($D22,Milestones!$AA$187)&lt;=AsOfDate,EDATE($D22,Milestones!$AA$187)&gt;=SchemeStart,IF($X22=0,$AD22,IF(AND($Z22&lt;&gt;"",EDATE($D22,Milestones!$AA$187)&gt;=$Z22),$AC22,IF(AND($Y22&lt;&gt;"",EDATE($D22,Milestones!$AA$187)&gt;=$Y22),$AB22,$AA22)))=Milestones!$AB$187),UPPER(TEXT(EDATE($D22,Milestones!$AA$187),"dd mmm yy"))&amp;" "&amp;Milestones!$AB$187&amp;" "&amp;IF(AND(Milestones!$AB$187="FT",Milestones!$AA$187=FT_Y5,EDATE($D22,Milestones!$AA$187)&lt;PolicyEff),1,Milestones!$AC$187)&amp;";  ",""))</f>
        <v/>
      </c>
      <c r="W22" s="0" t="str">
        <f aca="false">IF(OR($A22="",$D22=""),"",IF(AND(EDATE($D22,Milestones!$AA$188)&lt;=AsOfDate,EDATE($D22,Milestones!$AA$188)&gt;=SchemeStart,IF($X22=0,$AD22,IF(AND($Z22&lt;&gt;"",EDATE($D22,Milestones!$AA$188)&gt;=$Z22),$AC22,IF(AND($Y22&lt;&gt;"",EDATE($D22,Milestones!$AA$188)&gt;=$Y22),$AB22,$AA22)))=Milestones!$AB$188),UPPER(TEXT(EDATE($D22,Milestones!$AA$188),"dd mmm yy"))&amp;" "&amp;Milestones!$AB$188&amp;" "&amp;IF(AND(Milestones!$AB$188="FT",Milestones!$AA$188=FT_Y5,EDATE($D22,Milestones!$AA$188)&lt;PolicyEff),1,Milestones!$AC$188)&amp;";  ","")&amp;IF(AND(EDATE($D22,Milestones!$AA$189)&lt;=AsOfDate,EDATE($D22,Milestones!$AA$189)&gt;=SchemeStart,IF($X22=0,$AD22,IF(AND($Z22&lt;&gt;"",EDATE($D22,Milestones!$AA$189)&gt;=$Z22),$AC22,IF(AND($Y22&lt;&gt;"",EDATE($D22,Milestones!$AA$189)&gt;=$Y22),$AB22,$AA22)))=Milestones!$AB$189),UPPER(TEXT(EDATE($D22,Milestones!$AA$189),"dd mmm yy"))&amp;" "&amp;Milestones!$AB$189&amp;" "&amp;IF(AND(Milestones!$AB$189="FT",Milestones!$AA$189=FT_Y5,EDATE($D22,Milestones!$AA$189)&lt;PolicyEff),1,Milestones!$AC$189)&amp;";  ","")&amp;IF(AND(EDATE($D22,Milestones!$AA$190)&lt;=AsOfDate,EDATE($D22,Milestones!$AA$190)&gt;=SchemeStart,IF($X22=0,$AD22,IF(AND($Z22&lt;&gt;"",EDATE($D22,Milestones!$AA$190)&gt;=$Z22),$AC22,IF(AND($Y22&lt;&gt;"",EDATE($D22,Milestones!$AA$190)&gt;=$Y22),$AB22,$AA22)))=Milestones!$AB$190),UPPER(TEXT(EDATE($D22,Milestones!$AA$190),"dd mmm yy"))&amp;" "&amp;Milestones!$AB$190&amp;" "&amp;IF(AND(Milestones!$AB$190="FT",Milestones!$AA$190=FT_Y5,EDATE($D22,Milestones!$AA$190)&lt;PolicyEff),1,Milestones!$AC$190)&amp;";  ","")&amp;IF(AND(EDATE($D22,Milestones!$AA$191)&lt;=AsOfDate,EDATE($D22,Milestones!$AA$191)&gt;=SchemeStart,IF($X22=0,$AD22,IF(AND($Z22&lt;&gt;"",EDATE($D22,Milestones!$AA$191)&gt;=$Z22),$AC22,IF(AND($Y22&lt;&gt;"",EDATE($D22,Milestones!$AA$191)&gt;=$Y22),$AB22,$AA22)))=Milestones!$AB$191),UPPER(TEXT(EDATE($D22,Milestones!$AA$191),"dd mmm yy"))&amp;" "&amp;Milestones!$AB$191&amp;" "&amp;IF(AND(Milestones!$AB$191="FT",Milestones!$AA$191=FT_Y5,EDATE($D22,Milestones!$AA$191)&lt;PolicyEff),1,Milestones!$AC$191)&amp;";  ","")&amp;IF(AND(EDATE($D22,Milestones!$AA$192)&lt;=AsOfDate,EDATE($D22,Milestones!$AA$192)&gt;=SchemeStart,IF($X22=0,$AD22,IF(AND($Z22&lt;&gt;"",EDATE($D22,Milestones!$AA$192)&gt;=$Z22),$AC22,IF(AND($Y22&lt;&gt;"",EDATE($D22,Milestones!$AA$192)&gt;=$Y22),$AB22,$AA22)))=Milestones!$AB$192),UPPER(TEXT(EDATE($D22,Milestones!$AA$192),"dd mmm yy"))&amp;" "&amp;Milestones!$AB$192&amp;" "&amp;IF(AND(Milestones!$AB$192="FT",Milestones!$AA$192=FT_Y5,EDATE($D22,Milestones!$AA$192)&lt;PolicyEff),1,Milestones!$AC$192)&amp;";  ","")&amp;IF(AND(EDATE($D22,Milestones!$AA$193)&lt;=AsOfDate,EDATE($D22,Milestones!$AA$193)&gt;=SchemeStart,IF($X22=0,$AD22,IF(AND($Z22&lt;&gt;"",EDATE($D22,Milestones!$AA$193)&gt;=$Z22),$AC22,IF(AND($Y22&lt;&gt;"",EDATE($D22,Milestones!$AA$193)&gt;=$Y22),$AB22,$AA22)))=Milestones!$AB$193),UPPER(TEXT(EDATE($D22,Milestones!$AA$193),"dd mmm yy"))&amp;" "&amp;Milestones!$AB$193&amp;" "&amp;IF(AND(Milestones!$AB$193="FT",Milestones!$AA$193=FT_Y5,EDATE($D22,Milestones!$AA$193)&lt;PolicyEff),1,Milestones!$AC$193)&amp;";  ","")&amp;IF(AND(EDATE($D22,Milestones!$AA$194)&lt;=AsOfDate,EDATE($D22,Milestones!$AA$194)&gt;=SchemeStart,IF($X22=0,$AD22,IF(AND($Z22&lt;&gt;"",EDATE($D22,Milestones!$AA$194)&gt;=$Z22),$AC22,IF(AND($Y22&lt;&gt;"",EDATE($D22,Milestones!$AA$194)&gt;=$Y22),$AB22,$AA22)))=Milestones!$AB$194),UPPER(TEXT(EDATE($D22,Milestones!$AA$194),"dd mmm yy"))&amp;" "&amp;Milestones!$AB$194&amp;" "&amp;IF(AND(Milestones!$AB$194="FT",Milestones!$AA$194=FT_Y5,EDATE($D22,Milestones!$AA$194)&lt;PolicyEff),1,Milestones!$AC$194)&amp;";  ","")&amp;IF(AND(EDATE($D22,Milestones!$AA$195)&lt;=AsOfDate,EDATE($D22,Milestones!$AA$195)&gt;=SchemeStart,IF($X22=0,$AD22,IF(AND($Z22&lt;&gt;"",EDATE($D22,Milestones!$AA$195)&gt;=$Z22),$AC22,IF(AND($Y22&lt;&gt;"",EDATE($D22,Milestones!$AA$195)&gt;=$Y22),$AB22,$AA22)))=Milestones!$AB$195),UPPER(TEXT(EDATE($D22,Milestones!$AA$195),"dd mmm yy"))&amp;" "&amp;Milestones!$AB$195&amp;" "&amp;IF(AND(Milestones!$AB$195="FT",Milestones!$AA$195=FT_Y5,EDATE($D22,Milestones!$AA$195)&lt;PolicyEff),1,Milestones!$AC$195)&amp;";  ","")&amp;IF(AND(EDATE($D22,Milestones!$AA$196)&lt;=AsOfDate,EDATE($D22,Milestones!$AA$196)&gt;=SchemeStart,IF($X22=0,$AD22,IF(AND($Z22&lt;&gt;"",EDATE($D22,Milestones!$AA$196)&gt;=$Z22),$AC22,IF(AND($Y22&lt;&gt;"",EDATE($D22,Milestones!$AA$196)&gt;=$Y22),$AB22,$AA22)))=Milestones!$AB$196),UPPER(TEXT(EDATE($D22,Milestones!$AA$196),"dd mmm yy"))&amp;" "&amp;Milestones!$AB$196&amp;" "&amp;IF(AND(Milestones!$AB$196="FT",Milestones!$AA$196=FT_Y5,EDATE($D22,Milestones!$AA$196)&lt;PolicyEff),1,Milestones!$AC$196)&amp;";  ","")&amp;IF(AND(EDATE($D22,Milestones!$AA$197)&lt;=AsOfDate,EDATE($D22,Milestones!$AA$197)&gt;=SchemeStart,IF($X22=0,$AD22,IF(AND($Z22&lt;&gt;"",EDATE($D22,Milestones!$AA$197)&gt;=$Z22),$AC22,IF(AND($Y22&lt;&gt;"",EDATE($D22,Milestones!$AA$197)&gt;=$Y22),$AB22,$AA22)))=Milestones!$AB$197),UPPER(TEXT(EDATE($D22,Milestones!$AA$197),"dd mmm yy"))&amp;" "&amp;Milestones!$AB$197&amp;" "&amp;IF(AND(Milestones!$AB$197="FT",Milestones!$AA$197=FT_Y5,EDATE($D22,Milestones!$AA$197)&lt;PolicyEff),1,Milestones!$AC$197)&amp;";  ","")&amp;IF(AND(EDATE($D22,Milestones!$AA$198)&lt;=AsOfDate,EDATE($D22,Milestones!$AA$198)&gt;=SchemeStart,IF($X22=0,$AD22,IF(AND($Z22&lt;&gt;"",EDATE($D22,Milestones!$AA$198)&gt;=$Z22),$AC22,IF(AND($Y22&lt;&gt;"",EDATE($D22,Milestones!$AA$198)&gt;=$Y22),$AB22,$AA22)))=Milestones!$AB$198),UPPER(TEXT(EDATE($D22,Milestones!$AA$198),"dd mmm yy"))&amp;" "&amp;Milestones!$AB$198&amp;" "&amp;IF(AND(Milestones!$AB$198="FT",Milestones!$AA$198=FT_Y5,EDATE($D22,Milestones!$AA$198)&lt;PolicyEff),1,Milestones!$AC$198)&amp;";  ","")&amp;IF(AND(EDATE($D22,Milestones!$AA$199)&lt;=AsOfDate,EDATE($D22,Milestones!$AA$199)&gt;=SchemeStart,IF($X22=0,$AD22,IF(AND($Z22&lt;&gt;"",EDATE($D22,Milestones!$AA$199)&gt;=$Z22),$AC22,IF(AND($Y22&lt;&gt;"",EDATE($D22,Milestones!$AA$199)&gt;=$Y22),$AB22,$AA22)))=Milestones!$AB$199),UPPER(TEXT(EDATE($D22,Milestones!$AA$199),"dd mmm yy"))&amp;" "&amp;Milestones!$AB$199&amp;" "&amp;IF(AND(Milestones!$AB$199="FT",Milestones!$AA$199=FT_Y5,EDATE($D22,Milestones!$AA$199)&lt;PolicyEff),1,Milestones!$AC$199)&amp;";  ",""))</f>
        <v/>
      </c>
      <c r="X22" s="0" t="str">
        <f aca="false">IF(Staff!$A22="","",Staff!$AM22)</f>
        <v/>
      </c>
      <c r="Y22" s="0" t="str">
        <f aca="false">IF(Staff!$A22="","",Staff!$AO22)</f>
        <v/>
      </c>
      <c r="Z22" s="0" t="str">
        <f aca="false">IF(Staff!$A22="","",Staff!$AP22)</f>
        <v/>
      </c>
      <c r="AA22" s="0" t="str">
        <f aca="false">IF(Staff!$A22="","",Staff!$AT22)</f>
        <v/>
      </c>
      <c r="AB22" s="0" t="str">
        <f aca="false">IF(Staff!$A22="","",Staff!$AU22)</f>
        <v/>
      </c>
      <c r="AC22" s="0" t="str">
        <f aca="false">IF(Staff!$A22="","",Staff!$AV22)</f>
        <v/>
      </c>
      <c r="AD22" s="0" t="str">
        <f aca="false">IF(Staff!$A22="","",Staff!$AW22)</f>
        <v/>
      </c>
    </row>
    <row r="23" customFormat="false" ht="15" hidden="false" customHeight="false" outlineLevel="0" collapsed="false">
      <c r="A23" s="16" t="str">
        <f aca="false">IF(Staff!$A23="","",Staff!$A23)</f>
        <v/>
      </c>
      <c r="B23" s="16" t="str">
        <f aca="false">IF(Staff!$A23="","",Staff!$B23)</f>
        <v/>
      </c>
      <c r="C23" s="16" t="str">
        <f aca="false">IF(Staff!$A23="","",Staff!$C23)</f>
        <v/>
      </c>
      <c r="D23" s="14" t="str">
        <f aca="false">IF(Staff!$A23="","",Staff!$AL23)</f>
        <v/>
      </c>
      <c r="E23" s="16" t="str">
        <f aca="false">IF(Staff!$A23="","",Staff!$O23)</f>
        <v/>
      </c>
      <c r="F23" s="16" t="str">
        <f aca="false">IF(E23="","",E23*HoursPerDay)</f>
        <v/>
      </c>
      <c r="G23" s="16" t="str">
        <f aca="false">IF(Staff!$A23="","",Staff!$AE23)</f>
        <v/>
      </c>
      <c r="H23" s="28" t="str">
        <f aca="false">IF($A23="","",I23&amp;J23&amp;K23&amp;L23&amp;M23&amp;N23&amp;O23&amp;P23&amp;Q23&amp;R23&amp;S23&amp;T23&amp;U23&amp;V23&amp;W23)</f>
        <v/>
      </c>
      <c r="I23" s="0" t="str">
        <f aca="false">IF(OR($A23="",$D23=""),"",IF(AND(EDATE($D23,Milestones!$AA$20)&lt;=AsOfDate,EDATE($D23,Milestones!$AA$20)&gt;=SchemeStart,IF($X23=0,$AD23,IF(AND($Z23&lt;&gt;"",EDATE($D23,Milestones!$AA$20)&gt;=$Z23),$AC23,IF(AND($Y23&lt;&gt;"",EDATE($D23,Milestones!$AA$20)&gt;=$Y23),$AB23,$AA23)))=Milestones!$AB$20),UPPER(TEXT(EDATE($D23,Milestones!$AA$20),"dd mmm yy"))&amp;" "&amp;Milestones!$AB$20&amp;" "&amp;IF(AND(Milestones!$AB$20="FT",Milestones!$AA$20=FT_Y5,EDATE($D23,Milestones!$AA$20)&lt;PolicyEff),1,Milestones!$AC$20)&amp;";  ","")&amp;IF(AND(EDATE($D23,Milestones!$AA$21)&lt;=AsOfDate,EDATE($D23,Milestones!$AA$21)&gt;=SchemeStart,IF($X23=0,$AD23,IF(AND($Z23&lt;&gt;"",EDATE($D23,Milestones!$AA$21)&gt;=$Z23),$AC23,IF(AND($Y23&lt;&gt;"",EDATE($D23,Milestones!$AA$21)&gt;=$Y23),$AB23,$AA23)))=Milestones!$AB$21),UPPER(TEXT(EDATE($D23,Milestones!$AA$21),"dd mmm yy"))&amp;" "&amp;Milestones!$AB$21&amp;" "&amp;IF(AND(Milestones!$AB$21="FT",Milestones!$AA$21=FT_Y5,EDATE($D23,Milestones!$AA$21)&lt;PolicyEff),1,Milestones!$AC$21)&amp;";  ","")&amp;IF(AND(EDATE($D23,Milestones!$AA$22)&lt;=AsOfDate,EDATE($D23,Milestones!$AA$22)&gt;=SchemeStart,IF($X23=0,$AD23,IF(AND($Z23&lt;&gt;"",EDATE($D23,Milestones!$AA$22)&gt;=$Z23),$AC23,IF(AND($Y23&lt;&gt;"",EDATE($D23,Milestones!$AA$22)&gt;=$Y23),$AB23,$AA23)))=Milestones!$AB$22),UPPER(TEXT(EDATE($D23,Milestones!$AA$22),"dd mmm yy"))&amp;" "&amp;Milestones!$AB$22&amp;" "&amp;IF(AND(Milestones!$AB$22="FT",Milestones!$AA$22=FT_Y5,EDATE($D23,Milestones!$AA$22)&lt;PolicyEff),1,Milestones!$AC$22)&amp;";  ","")&amp;IF(AND(EDATE($D23,Milestones!$AA$23)&lt;=AsOfDate,EDATE($D23,Milestones!$AA$23)&gt;=SchemeStart,IF($X23=0,$AD23,IF(AND($Z23&lt;&gt;"",EDATE($D23,Milestones!$AA$23)&gt;=$Z23),$AC23,IF(AND($Y23&lt;&gt;"",EDATE($D23,Milestones!$AA$23)&gt;=$Y23),$AB23,$AA23)))=Milestones!$AB$23),UPPER(TEXT(EDATE($D23,Milestones!$AA$23),"dd mmm yy"))&amp;" "&amp;Milestones!$AB$23&amp;" "&amp;IF(AND(Milestones!$AB$23="FT",Milestones!$AA$23=FT_Y5,EDATE($D23,Milestones!$AA$23)&lt;PolicyEff),1,Milestones!$AC$23)&amp;";  ","")&amp;IF(AND(EDATE($D23,Milestones!$AA$24)&lt;=AsOfDate,EDATE($D23,Milestones!$AA$24)&gt;=SchemeStart,IF($X23=0,$AD23,IF(AND($Z23&lt;&gt;"",EDATE($D23,Milestones!$AA$24)&gt;=$Z23),$AC23,IF(AND($Y23&lt;&gt;"",EDATE($D23,Milestones!$AA$24)&gt;=$Y23),$AB23,$AA23)))=Milestones!$AB$24),UPPER(TEXT(EDATE($D23,Milestones!$AA$24),"dd mmm yy"))&amp;" "&amp;Milestones!$AB$24&amp;" "&amp;IF(AND(Milestones!$AB$24="FT",Milestones!$AA$24=FT_Y5,EDATE($D23,Milestones!$AA$24)&lt;PolicyEff),1,Milestones!$AC$24)&amp;";  ","")&amp;IF(AND(EDATE($D23,Milestones!$AA$25)&lt;=AsOfDate,EDATE($D23,Milestones!$AA$25)&gt;=SchemeStart,IF($X23=0,$AD23,IF(AND($Z23&lt;&gt;"",EDATE($D23,Milestones!$AA$25)&gt;=$Z23),$AC23,IF(AND($Y23&lt;&gt;"",EDATE($D23,Milestones!$AA$25)&gt;=$Y23),$AB23,$AA23)))=Milestones!$AB$25),UPPER(TEXT(EDATE($D23,Milestones!$AA$25),"dd mmm yy"))&amp;" "&amp;Milestones!$AB$25&amp;" "&amp;IF(AND(Milestones!$AB$25="FT",Milestones!$AA$25=FT_Y5,EDATE($D23,Milestones!$AA$25)&lt;PolicyEff),1,Milestones!$AC$25)&amp;";  ","")&amp;IF(AND(EDATE($D23,Milestones!$AA$26)&lt;=AsOfDate,EDATE($D23,Milestones!$AA$26)&gt;=SchemeStart,IF($X23=0,$AD23,IF(AND($Z23&lt;&gt;"",EDATE($D23,Milestones!$AA$26)&gt;=$Z23),$AC23,IF(AND($Y23&lt;&gt;"",EDATE($D23,Milestones!$AA$26)&gt;=$Y23),$AB23,$AA23)))=Milestones!$AB$26),UPPER(TEXT(EDATE($D23,Milestones!$AA$26),"dd mmm yy"))&amp;" "&amp;Milestones!$AB$26&amp;" "&amp;IF(AND(Milestones!$AB$26="FT",Milestones!$AA$26=FT_Y5,EDATE($D23,Milestones!$AA$26)&lt;PolicyEff),1,Milestones!$AC$26)&amp;";  ","")&amp;IF(AND(EDATE($D23,Milestones!$AA$27)&lt;=AsOfDate,EDATE($D23,Milestones!$AA$27)&gt;=SchemeStart,IF($X23=0,$AD23,IF(AND($Z23&lt;&gt;"",EDATE($D23,Milestones!$AA$27)&gt;=$Z23),$AC23,IF(AND($Y23&lt;&gt;"",EDATE($D23,Milestones!$AA$27)&gt;=$Y23),$AB23,$AA23)))=Milestones!$AB$27),UPPER(TEXT(EDATE($D23,Milestones!$AA$27),"dd mmm yy"))&amp;" "&amp;Milestones!$AB$27&amp;" "&amp;IF(AND(Milestones!$AB$27="FT",Milestones!$AA$27=FT_Y5,EDATE($D23,Milestones!$AA$27)&lt;PolicyEff),1,Milestones!$AC$27)&amp;";  ","")&amp;IF(AND(EDATE($D23,Milestones!$AA$28)&lt;=AsOfDate,EDATE($D23,Milestones!$AA$28)&gt;=SchemeStart,IF($X23=0,$AD23,IF(AND($Z23&lt;&gt;"",EDATE($D23,Milestones!$AA$28)&gt;=$Z23),$AC23,IF(AND($Y23&lt;&gt;"",EDATE($D23,Milestones!$AA$28)&gt;=$Y23),$AB23,$AA23)))=Milestones!$AB$28),UPPER(TEXT(EDATE($D23,Milestones!$AA$28),"dd mmm yy"))&amp;" "&amp;Milestones!$AB$28&amp;" "&amp;IF(AND(Milestones!$AB$28="FT",Milestones!$AA$28=FT_Y5,EDATE($D23,Milestones!$AA$28)&lt;PolicyEff),1,Milestones!$AC$28)&amp;";  ","")&amp;IF(AND(EDATE($D23,Milestones!$AA$29)&lt;=AsOfDate,EDATE($D23,Milestones!$AA$29)&gt;=SchemeStart,IF($X23=0,$AD23,IF(AND($Z23&lt;&gt;"",EDATE($D23,Milestones!$AA$29)&gt;=$Z23),$AC23,IF(AND($Y23&lt;&gt;"",EDATE($D23,Milestones!$AA$29)&gt;=$Y23),$AB23,$AA23)))=Milestones!$AB$29),UPPER(TEXT(EDATE($D23,Milestones!$AA$29),"dd mmm yy"))&amp;" "&amp;Milestones!$AB$29&amp;" "&amp;IF(AND(Milestones!$AB$29="FT",Milestones!$AA$29=FT_Y5,EDATE($D23,Milestones!$AA$29)&lt;PolicyEff),1,Milestones!$AC$29)&amp;";  ","")&amp;IF(AND(EDATE($D23,Milestones!$AA$30)&lt;=AsOfDate,EDATE($D23,Milestones!$AA$30)&gt;=SchemeStart,IF($X23=0,$AD23,IF(AND($Z23&lt;&gt;"",EDATE($D23,Milestones!$AA$30)&gt;=$Z23),$AC23,IF(AND($Y23&lt;&gt;"",EDATE($D23,Milestones!$AA$30)&gt;=$Y23),$AB23,$AA23)))=Milestones!$AB$30),UPPER(TEXT(EDATE($D23,Milestones!$AA$30),"dd mmm yy"))&amp;" "&amp;Milestones!$AB$30&amp;" "&amp;IF(AND(Milestones!$AB$30="FT",Milestones!$AA$30=FT_Y5,EDATE($D23,Milestones!$AA$30)&lt;PolicyEff),1,Milestones!$AC$30)&amp;";  ","")&amp;IF(AND(EDATE($D23,Milestones!$AA$31)&lt;=AsOfDate,EDATE($D23,Milestones!$AA$31)&gt;=SchemeStart,IF($X23=0,$AD23,IF(AND($Z23&lt;&gt;"",EDATE($D23,Milestones!$AA$31)&gt;=$Z23),$AC23,IF(AND($Y23&lt;&gt;"",EDATE($D23,Milestones!$AA$31)&gt;=$Y23),$AB23,$AA23)))=Milestones!$AB$31),UPPER(TEXT(EDATE($D23,Milestones!$AA$31),"dd mmm yy"))&amp;" "&amp;Milestones!$AB$31&amp;" "&amp;IF(AND(Milestones!$AB$31="FT",Milestones!$AA$31=FT_Y5,EDATE($D23,Milestones!$AA$31)&lt;PolicyEff),1,Milestones!$AC$31)&amp;";  ",""))</f>
        <v/>
      </c>
      <c r="J23" s="0" t="str">
        <f aca="false">IF(OR($A23="",$D23=""),"",IF(AND(EDATE($D23,Milestones!$AA$32)&lt;=AsOfDate,EDATE($D23,Milestones!$AA$32)&gt;=SchemeStart,IF($X23=0,$AD23,IF(AND($Z23&lt;&gt;"",EDATE($D23,Milestones!$AA$32)&gt;=$Z23),$AC23,IF(AND($Y23&lt;&gt;"",EDATE($D23,Milestones!$AA$32)&gt;=$Y23),$AB23,$AA23)))=Milestones!$AB$32),UPPER(TEXT(EDATE($D23,Milestones!$AA$32),"dd mmm yy"))&amp;" "&amp;Milestones!$AB$32&amp;" "&amp;IF(AND(Milestones!$AB$32="FT",Milestones!$AA$32=FT_Y5,EDATE($D23,Milestones!$AA$32)&lt;PolicyEff),1,Milestones!$AC$32)&amp;";  ","")&amp;IF(AND(EDATE($D23,Milestones!$AA$33)&lt;=AsOfDate,EDATE($D23,Milestones!$AA$33)&gt;=SchemeStart,IF($X23=0,$AD23,IF(AND($Z23&lt;&gt;"",EDATE($D23,Milestones!$AA$33)&gt;=$Z23),$AC23,IF(AND($Y23&lt;&gt;"",EDATE($D23,Milestones!$AA$33)&gt;=$Y23),$AB23,$AA23)))=Milestones!$AB$33),UPPER(TEXT(EDATE($D23,Milestones!$AA$33),"dd mmm yy"))&amp;" "&amp;Milestones!$AB$33&amp;" "&amp;IF(AND(Milestones!$AB$33="FT",Milestones!$AA$33=FT_Y5,EDATE($D23,Milestones!$AA$33)&lt;PolicyEff),1,Milestones!$AC$33)&amp;";  ","")&amp;IF(AND(EDATE($D23,Milestones!$AA$34)&lt;=AsOfDate,EDATE($D23,Milestones!$AA$34)&gt;=SchemeStart,IF($X23=0,$AD23,IF(AND($Z23&lt;&gt;"",EDATE($D23,Milestones!$AA$34)&gt;=$Z23),$AC23,IF(AND($Y23&lt;&gt;"",EDATE($D23,Milestones!$AA$34)&gt;=$Y23),$AB23,$AA23)))=Milestones!$AB$34),UPPER(TEXT(EDATE($D23,Milestones!$AA$34),"dd mmm yy"))&amp;" "&amp;Milestones!$AB$34&amp;" "&amp;IF(AND(Milestones!$AB$34="FT",Milestones!$AA$34=FT_Y5,EDATE($D23,Milestones!$AA$34)&lt;PolicyEff),1,Milestones!$AC$34)&amp;";  ","")&amp;IF(AND(EDATE($D23,Milestones!$AA$35)&lt;=AsOfDate,EDATE($D23,Milestones!$AA$35)&gt;=SchemeStart,IF($X23=0,$AD23,IF(AND($Z23&lt;&gt;"",EDATE($D23,Milestones!$AA$35)&gt;=$Z23),$AC23,IF(AND($Y23&lt;&gt;"",EDATE($D23,Milestones!$AA$35)&gt;=$Y23),$AB23,$AA23)))=Milestones!$AB$35),UPPER(TEXT(EDATE($D23,Milestones!$AA$35),"dd mmm yy"))&amp;" "&amp;Milestones!$AB$35&amp;" "&amp;IF(AND(Milestones!$AB$35="FT",Milestones!$AA$35=FT_Y5,EDATE($D23,Milestones!$AA$35)&lt;PolicyEff),1,Milestones!$AC$35)&amp;";  ","")&amp;IF(AND(EDATE($D23,Milestones!$AA$36)&lt;=AsOfDate,EDATE($D23,Milestones!$AA$36)&gt;=SchemeStart,IF($X23=0,$AD23,IF(AND($Z23&lt;&gt;"",EDATE($D23,Milestones!$AA$36)&gt;=$Z23),$AC23,IF(AND($Y23&lt;&gt;"",EDATE($D23,Milestones!$AA$36)&gt;=$Y23),$AB23,$AA23)))=Milestones!$AB$36),UPPER(TEXT(EDATE($D23,Milestones!$AA$36),"dd mmm yy"))&amp;" "&amp;Milestones!$AB$36&amp;" "&amp;IF(AND(Milestones!$AB$36="FT",Milestones!$AA$36=FT_Y5,EDATE($D23,Milestones!$AA$36)&lt;PolicyEff),1,Milestones!$AC$36)&amp;";  ","")&amp;IF(AND(EDATE($D23,Milestones!$AA$37)&lt;=AsOfDate,EDATE($D23,Milestones!$AA$37)&gt;=SchemeStart,IF($X23=0,$AD23,IF(AND($Z23&lt;&gt;"",EDATE($D23,Milestones!$AA$37)&gt;=$Z23),$AC23,IF(AND($Y23&lt;&gt;"",EDATE($D23,Milestones!$AA$37)&gt;=$Y23),$AB23,$AA23)))=Milestones!$AB$37),UPPER(TEXT(EDATE($D23,Milestones!$AA$37),"dd mmm yy"))&amp;" "&amp;Milestones!$AB$37&amp;" "&amp;IF(AND(Milestones!$AB$37="FT",Milestones!$AA$37=FT_Y5,EDATE($D23,Milestones!$AA$37)&lt;PolicyEff),1,Milestones!$AC$37)&amp;";  ","")&amp;IF(AND(EDATE($D23,Milestones!$AA$38)&lt;=AsOfDate,EDATE($D23,Milestones!$AA$38)&gt;=SchemeStart,IF($X23=0,$AD23,IF(AND($Z23&lt;&gt;"",EDATE($D23,Milestones!$AA$38)&gt;=$Z23),$AC23,IF(AND($Y23&lt;&gt;"",EDATE($D23,Milestones!$AA$38)&gt;=$Y23),$AB23,$AA23)))=Milestones!$AB$38),UPPER(TEXT(EDATE($D23,Milestones!$AA$38),"dd mmm yy"))&amp;" "&amp;Milestones!$AB$38&amp;" "&amp;IF(AND(Milestones!$AB$38="FT",Milestones!$AA$38=FT_Y5,EDATE($D23,Milestones!$AA$38)&lt;PolicyEff),1,Milestones!$AC$38)&amp;";  ","")&amp;IF(AND(EDATE($D23,Milestones!$AA$39)&lt;=AsOfDate,EDATE($D23,Milestones!$AA$39)&gt;=SchemeStart,IF($X23=0,$AD23,IF(AND($Z23&lt;&gt;"",EDATE($D23,Milestones!$AA$39)&gt;=$Z23),$AC23,IF(AND($Y23&lt;&gt;"",EDATE($D23,Milestones!$AA$39)&gt;=$Y23),$AB23,$AA23)))=Milestones!$AB$39),UPPER(TEXT(EDATE($D23,Milestones!$AA$39),"dd mmm yy"))&amp;" "&amp;Milestones!$AB$39&amp;" "&amp;IF(AND(Milestones!$AB$39="FT",Milestones!$AA$39=FT_Y5,EDATE($D23,Milestones!$AA$39)&lt;PolicyEff),1,Milestones!$AC$39)&amp;";  ","")&amp;IF(AND(EDATE($D23,Milestones!$AA$40)&lt;=AsOfDate,EDATE($D23,Milestones!$AA$40)&gt;=SchemeStart,IF($X23=0,$AD23,IF(AND($Z23&lt;&gt;"",EDATE($D23,Milestones!$AA$40)&gt;=$Z23),$AC23,IF(AND($Y23&lt;&gt;"",EDATE($D23,Milestones!$AA$40)&gt;=$Y23),$AB23,$AA23)))=Milestones!$AB$40),UPPER(TEXT(EDATE($D23,Milestones!$AA$40),"dd mmm yy"))&amp;" "&amp;Milestones!$AB$40&amp;" "&amp;IF(AND(Milestones!$AB$40="FT",Milestones!$AA$40=FT_Y5,EDATE($D23,Milestones!$AA$40)&lt;PolicyEff),1,Milestones!$AC$40)&amp;";  ","")&amp;IF(AND(EDATE($D23,Milestones!$AA$41)&lt;=AsOfDate,EDATE($D23,Milestones!$AA$41)&gt;=SchemeStart,IF($X23=0,$AD23,IF(AND($Z23&lt;&gt;"",EDATE($D23,Milestones!$AA$41)&gt;=$Z23),$AC23,IF(AND($Y23&lt;&gt;"",EDATE($D23,Milestones!$AA$41)&gt;=$Y23),$AB23,$AA23)))=Milestones!$AB$41),UPPER(TEXT(EDATE($D23,Milestones!$AA$41),"dd mmm yy"))&amp;" "&amp;Milestones!$AB$41&amp;" "&amp;IF(AND(Milestones!$AB$41="FT",Milestones!$AA$41=FT_Y5,EDATE($D23,Milestones!$AA$41)&lt;PolicyEff),1,Milestones!$AC$41)&amp;";  ","")&amp;IF(AND(EDATE($D23,Milestones!$AA$42)&lt;=AsOfDate,EDATE($D23,Milestones!$AA$42)&gt;=SchemeStart,IF($X23=0,$AD23,IF(AND($Z23&lt;&gt;"",EDATE($D23,Milestones!$AA$42)&gt;=$Z23),$AC23,IF(AND($Y23&lt;&gt;"",EDATE($D23,Milestones!$AA$42)&gt;=$Y23),$AB23,$AA23)))=Milestones!$AB$42),UPPER(TEXT(EDATE($D23,Milestones!$AA$42),"dd mmm yy"))&amp;" "&amp;Milestones!$AB$42&amp;" "&amp;IF(AND(Milestones!$AB$42="FT",Milestones!$AA$42=FT_Y5,EDATE($D23,Milestones!$AA$42)&lt;PolicyEff),1,Milestones!$AC$42)&amp;";  ","")&amp;IF(AND(EDATE($D23,Milestones!$AA$43)&lt;=AsOfDate,EDATE($D23,Milestones!$AA$43)&gt;=SchemeStart,IF($X23=0,$AD23,IF(AND($Z23&lt;&gt;"",EDATE($D23,Milestones!$AA$43)&gt;=$Z23),$AC23,IF(AND($Y23&lt;&gt;"",EDATE($D23,Milestones!$AA$43)&gt;=$Y23),$AB23,$AA23)))=Milestones!$AB$43),UPPER(TEXT(EDATE($D23,Milestones!$AA$43),"dd mmm yy"))&amp;" "&amp;Milestones!$AB$43&amp;" "&amp;IF(AND(Milestones!$AB$43="FT",Milestones!$AA$43=FT_Y5,EDATE($D23,Milestones!$AA$43)&lt;PolicyEff),1,Milestones!$AC$43)&amp;";  ",""))</f>
        <v/>
      </c>
      <c r="K23" s="0" t="str">
        <f aca="false">IF(OR($A23="",$D23=""),"",IF(AND(EDATE($D23,Milestones!$AA$44)&lt;=AsOfDate,EDATE($D23,Milestones!$AA$44)&gt;=SchemeStart,IF($X23=0,$AD23,IF(AND($Z23&lt;&gt;"",EDATE($D23,Milestones!$AA$44)&gt;=$Z23),$AC23,IF(AND($Y23&lt;&gt;"",EDATE($D23,Milestones!$AA$44)&gt;=$Y23),$AB23,$AA23)))=Milestones!$AB$44),UPPER(TEXT(EDATE($D23,Milestones!$AA$44),"dd mmm yy"))&amp;" "&amp;Milestones!$AB$44&amp;" "&amp;IF(AND(Milestones!$AB$44="FT",Milestones!$AA$44=FT_Y5,EDATE($D23,Milestones!$AA$44)&lt;PolicyEff),1,Milestones!$AC$44)&amp;";  ","")&amp;IF(AND(EDATE($D23,Milestones!$AA$45)&lt;=AsOfDate,EDATE($D23,Milestones!$AA$45)&gt;=SchemeStart,IF($X23=0,$AD23,IF(AND($Z23&lt;&gt;"",EDATE($D23,Milestones!$AA$45)&gt;=$Z23),$AC23,IF(AND($Y23&lt;&gt;"",EDATE($D23,Milestones!$AA$45)&gt;=$Y23),$AB23,$AA23)))=Milestones!$AB$45),UPPER(TEXT(EDATE($D23,Milestones!$AA$45),"dd mmm yy"))&amp;" "&amp;Milestones!$AB$45&amp;" "&amp;IF(AND(Milestones!$AB$45="FT",Milestones!$AA$45=FT_Y5,EDATE($D23,Milestones!$AA$45)&lt;PolicyEff),1,Milestones!$AC$45)&amp;";  ","")&amp;IF(AND(EDATE($D23,Milestones!$AA$46)&lt;=AsOfDate,EDATE($D23,Milestones!$AA$46)&gt;=SchemeStart,IF($X23=0,$AD23,IF(AND($Z23&lt;&gt;"",EDATE($D23,Milestones!$AA$46)&gt;=$Z23),$AC23,IF(AND($Y23&lt;&gt;"",EDATE($D23,Milestones!$AA$46)&gt;=$Y23),$AB23,$AA23)))=Milestones!$AB$46),UPPER(TEXT(EDATE($D23,Milestones!$AA$46),"dd mmm yy"))&amp;" "&amp;Milestones!$AB$46&amp;" "&amp;IF(AND(Milestones!$AB$46="FT",Milestones!$AA$46=FT_Y5,EDATE($D23,Milestones!$AA$46)&lt;PolicyEff),1,Milestones!$AC$46)&amp;";  ","")&amp;IF(AND(EDATE($D23,Milestones!$AA$47)&lt;=AsOfDate,EDATE($D23,Milestones!$AA$47)&gt;=SchemeStart,IF($X23=0,$AD23,IF(AND($Z23&lt;&gt;"",EDATE($D23,Milestones!$AA$47)&gt;=$Z23),$AC23,IF(AND($Y23&lt;&gt;"",EDATE($D23,Milestones!$AA$47)&gt;=$Y23),$AB23,$AA23)))=Milestones!$AB$47),UPPER(TEXT(EDATE($D23,Milestones!$AA$47),"dd mmm yy"))&amp;" "&amp;Milestones!$AB$47&amp;" "&amp;IF(AND(Milestones!$AB$47="FT",Milestones!$AA$47=FT_Y5,EDATE($D23,Milestones!$AA$47)&lt;PolicyEff),1,Milestones!$AC$47)&amp;";  ","")&amp;IF(AND(EDATE($D23,Milestones!$AA$48)&lt;=AsOfDate,EDATE($D23,Milestones!$AA$48)&gt;=SchemeStart,IF($X23=0,$AD23,IF(AND($Z23&lt;&gt;"",EDATE($D23,Milestones!$AA$48)&gt;=$Z23),$AC23,IF(AND($Y23&lt;&gt;"",EDATE($D23,Milestones!$AA$48)&gt;=$Y23),$AB23,$AA23)))=Milestones!$AB$48),UPPER(TEXT(EDATE($D23,Milestones!$AA$48),"dd mmm yy"))&amp;" "&amp;Milestones!$AB$48&amp;" "&amp;IF(AND(Milestones!$AB$48="FT",Milestones!$AA$48=FT_Y5,EDATE($D23,Milestones!$AA$48)&lt;PolicyEff),1,Milestones!$AC$48)&amp;";  ","")&amp;IF(AND(EDATE($D23,Milestones!$AA$49)&lt;=AsOfDate,EDATE($D23,Milestones!$AA$49)&gt;=SchemeStart,IF($X23=0,$AD23,IF(AND($Z23&lt;&gt;"",EDATE($D23,Milestones!$AA$49)&gt;=$Z23),$AC23,IF(AND($Y23&lt;&gt;"",EDATE($D23,Milestones!$AA$49)&gt;=$Y23),$AB23,$AA23)))=Milestones!$AB$49),UPPER(TEXT(EDATE($D23,Milestones!$AA$49),"dd mmm yy"))&amp;" "&amp;Milestones!$AB$49&amp;" "&amp;IF(AND(Milestones!$AB$49="FT",Milestones!$AA$49=FT_Y5,EDATE($D23,Milestones!$AA$49)&lt;PolicyEff),1,Milestones!$AC$49)&amp;";  ","")&amp;IF(AND(EDATE($D23,Milestones!$AA$50)&lt;=AsOfDate,EDATE($D23,Milestones!$AA$50)&gt;=SchemeStart,IF($X23=0,$AD23,IF(AND($Z23&lt;&gt;"",EDATE($D23,Milestones!$AA$50)&gt;=$Z23),$AC23,IF(AND($Y23&lt;&gt;"",EDATE($D23,Milestones!$AA$50)&gt;=$Y23),$AB23,$AA23)))=Milestones!$AB$50),UPPER(TEXT(EDATE($D23,Milestones!$AA$50),"dd mmm yy"))&amp;" "&amp;Milestones!$AB$50&amp;" "&amp;IF(AND(Milestones!$AB$50="FT",Milestones!$AA$50=FT_Y5,EDATE($D23,Milestones!$AA$50)&lt;PolicyEff),1,Milestones!$AC$50)&amp;";  ","")&amp;IF(AND(EDATE($D23,Milestones!$AA$51)&lt;=AsOfDate,EDATE($D23,Milestones!$AA$51)&gt;=SchemeStart,IF($X23=0,$AD23,IF(AND($Z23&lt;&gt;"",EDATE($D23,Milestones!$AA$51)&gt;=$Z23),$AC23,IF(AND($Y23&lt;&gt;"",EDATE($D23,Milestones!$AA$51)&gt;=$Y23),$AB23,$AA23)))=Milestones!$AB$51),UPPER(TEXT(EDATE($D23,Milestones!$AA$51),"dd mmm yy"))&amp;" "&amp;Milestones!$AB$51&amp;" "&amp;IF(AND(Milestones!$AB$51="FT",Milestones!$AA$51=FT_Y5,EDATE($D23,Milestones!$AA$51)&lt;PolicyEff),1,Milestones!$AC$51)&amp;";  ","")&amp;IF(AND(EDATE($D23,Milestones!$AA$52)&lt;=AsOfDate,EDATE($D23,Milestones!$AA$52)&gt;=SchemeStart,IF($X23=0,$AD23,IF(AND($Z23&lt;&gt;"",EDATE($D23,Milestones!$AA$52)&gt;=$Z23),$AC23,IF(AND($Y23&lt;&gt;"",EDATE($D23,Milestones!$AA$52)&gt;=$Y23),$AB23,$AA23)))=Milestones!$AB$52),UPPER(TEXT(EDATE($D23,Milestones!$AA$52),"dd mmm yy"))&amp;" "&amp;Milestones!$AB$52&amp;" "&amp;IF(AND(Milestones!$AB$52="FT",Milestones!$AA$52=FT_Y5,EDATE($D23,Milestones!$AA$52)&lt;PolicyEff),1,Milestones!$AC$52)&amp;";  ","")&amp;IF(AND(EDATE($D23,Milestones!$AA$53)&lt;=AsOfDate,EDATE($D23,Milestones!$AA$53)&gt;=SchemeStart,IF($X23=0,$AD23,IF(AND($Z23&lt;&gt;"",EDATE($D23,Milestones!$AA$53)&gt;=$Z23),$AC23,IF(AND($Y23&lt;&gt;"",EDATE($D23,Milestones!$AA$53)&gt;=$Y23),$AB23,$AA23)))=Milestones!$AB$53),UPPER(TEXT(EDATE($D23,Milestones!$AA$53),"dd mmm yy"))&amp;" "&amp;Milestones!$AB$53&amp;" "&amp;IF(AND(Milestones!$AB$53="FT",Milestones!$AA$53=FT_Y5,EDATE($D23,Milestones!$AA$53)&lt;PolicyEff),1,Milestones!$AC$53)&amp;";  ","")&amp;IF(AND(EDATE($D23,Milestones!$AA$54)&lt;=AsOfDate,EDATE($D23,Milestones!$AA$54)&gt;=SchemeStart,IF($X23=0,$AD23,IF(AND($Z23&lt;&gt;"",EDATE($D23,Milestones!$AA$54)&gt;=$Z23),$AC23,IF(AND($Y23&lt;&gt;"",EDATE($D23,Milestones!$AA$54)&gt;=$Y23),$AB23,$AA23)))=Milestones!$AB$54),UPPER(TEXT(EDATE($D23,Milestones!$AA$54),"dd mmm yy"))&amp;" "&amp;Milestones!$AB$54&amp;" "&amp;IF(AND(Milestones!$AB$54="FT",Milestones!$AA$54=FT_Y5,EDATE($D23,Milestones!$AA$54)&lt;PolicyEff),1,Milestones!$AC$54)&amp;";  ","")&amp;IF(AND(EDATE($D23,Milestones!$AA$55)&lt;=AsOfDate,EDATE($D23,Milestones!$AA$55)&gt;=SchemeStart,IF($X23=0,$AD23,IF(AND($Z23&lt;&gt;"",EDATE($D23,Milestones!$AA$55)&gt;=$Z23),$AC23,IF(AND($Y23&lt;&gt;"",EDATE($D23,Milestones!$AA$55)&gt;=$Y23),$AB23,$AA23)))=Milestones!$AB$55),UPPER(TEXT(EDATE($D23,Milestones!$AA$55),"dd mmm yy"))&amp;" "&amp;Milestones!$AB$55&amp;" "&amp;IF(AND(Milestones!$AB$55="FT",Milestones!$AA$55=FT_Y5,EDATE($D23,Milestones!$AA$55)&lt;PolicyEff),1,Milestones!$AC$55)&amp;";  ",""))</f>
        <v/>
      </c>
      <c r="L23" s="0" t="str">
        <f aca="false">IF(OR($A23="",$D23=""),"",IF(AND(EDATE($D23,Milestones!$AA$56)&lt;=AsOfDate,EDATE($D23,Milestones!$AA$56)&gt;=SchemeStart,IF($X23=0,$AD23,IF(AND($Z23&lt;&gt;"",EDATE($D23,Milestones!$AA$56)&gt;=$Z23),$AC23,IF(AND($Y23&lt;&gt;"",EDATE($D23,Milestones!$AA$56)&gt;=$Y23),$AB23,$AA23)))=Milestones!$AB$56),UPPER(TEXT(EDATE($D23,Milestones!$AA$56),"dd mmm yy"))&amp;" "&amp;Milestones!$AB$56&amp;" "&amp;IF(AND(Milestones!$AB$56="FT",Milestones!$AA$56=FT_Y5,EDATE($D23,Milestones!$AA$56)&lt;PolicyEff),1,Milestones!$AC$56)&amp;";  ","")&amp;IF(AND(EDATE($D23,Milestones!$AA$57)&lt;=AsOfDate,EDATE($D23,Milestones!$AA$57)&gt;=SchemeStart,IF($X23=0,$AD23,IF(AND($Z23&lt;&gt;"",EDATE($D23,Milestones!$AA$57)&gt;=$Z23),$AC23,IF(AND($Y23&lt;&gt;"",EDATE($D23,Milestones!$AA$57)&gt;=$Y23),$AB23,$AA23)))=Milestones!$AB$57),UPPER(TEXT(EDATE($D23,Milestones!$AA$57),"dd mmm yy"))&amp;" "&amp;Milestones!$AB$57&amp;" "&amp;IF(AND(Milestones!$AB$57="FT",Milestones!$AA$57=FT_Y5,EDATE($D23,Milestones!$AA$57)&lt;PolicyEff),1,Milestones!$AC$57)&amp;";  ","")&amp;IF(AND(EDATE($D23,Milestones!$AA$58)&lt;=AsOfDate,EDATE($D23,Milestones!$AA$58)&gt;=SchemeStart,IF($X23=0,$AD23,IF(AND($Z23&lt;&gt;"",EDATE($D23,Milestones!$AA$58)&gt;=$Z23),$AC23,IF(AND($Y23&lt;&gt;"",EDATE($D23,Milestones!$AA$58)&gt;=$Y23),$AB23,$AA23)))=Milestones!$AB$58),UPPER(TEXT(EDATE($D23,Milestones!$AA$58),"dd mmm yy"))&amp;" "&amp;Milestones!$AB$58&amp;" "&amp;IF(AND(Milestones!$AB$58="FT",Milestones!$AA$58=FT_Y5,EDATE($D23,Milestones!$AA$58)&lt;PolicyEff),1,Milestones!$AC$58)&amp;";  ","")&amp;IF(AND(EDATE($D23,Milestones!$AA$59)&lt;=AsOfDate,EDATE($D23,Milestones!$AA$59)&gt;=SchemeStart,IF($X23=0,$AD23,IF(AND($Z23&lt;&gt;"",EDATE($D23,Milestones!$AA$59)&gt;=$Z23),$AC23,IF(AND($Y23&lt;&gt;"",EDATE($D23,Milestones!$AA$59)&gt;=$Y23),$AB23,$AA23)))=Milestones!$AB$59),UPPER(TEXT(EDATE($D23,Milestones!$AA$59),"dd mmm yy"))&amp;" "&amp;Milestones!$AB$59&amp;" "&amp;IF(AND(Milestones!$AB$59="FT",Milestones!$AA$59=FT_Y5,EDATE($D23,Milestones!$AA$59)&lt;PolicyEff),1,Milestones!$AC$59)&amp;";  ","")&amp;IF(AND(EDATE($D23,Milestones!$AA$60)&lt;=AsOfDate,EDATE($D23,Milestones!$AA$60)&gt;=SchemeStart,IF($X23=0,$AD23,IF(AND($Z23&lt;&gt;"",EDATE($D23,Milestones!$AA$60)&gt;=$Z23),$AC23,IF(AND($Y23&lt;&gt;"",EDATE($D23,Milestones!$AA$60)&gt;=$Y23),$AB23,$AA23)))=Milestones!$AB$60),UPPER(TEXT(EDATE($D23,Milestones!$AA$60),"dd mmm yy"))&amp;" "&amp;Milestones!$AB$60&amp;" "&amp;IF(AND(Milestones!$AB$60="FT",Milestones!$AA$60=FT_Y5,EDATE($D23,Milestones!$AA$60)&lt;PolicyEff),1,Milestones!$AC$60)&amp;";  ","")&amp;IF(AND(EDATE($D23,Milestones!$AA$61)&lt;=AsOfDate,EDATE($D23,Milestones!$AA$61)&gt;=SchemeStart,IF($X23=0,$AD23,IF(AND($Z23&lt;&gt;"",EDATE($D23,Milestones!$AA$61)&gt;=$Z23),$AC23,IF(AND($Y23&lt;&gt;"",EDATE($D23,Milestones!$AA$61)&gt;=$Y23),$AB23,$AA23)))=Milestones!$AB$61),UPPER(TEXT(EDATE($D23,Milestones!$AA$61),"dd mmm yy"))&amp;" "&amp;Milestones!$AB$61&amp;" "&amp;IF(AND(Milestones!$AB$61="FT",Milestones!$AA$61=FT_Y5,EDATE($D23,Milestones!$AA$61)&lt;PolicyEff),1,Milestones!$AC$61)&amp;";  ","")&amp;IF(AND(EDATE($D23,Milestones!$AA$62)&lt;=AsOfDate,EDATE($D23,Milestones!$AA$62)&gt;=SchemeStart,IF($X23=0,$AD23,IF(AND($Z23&lt;&gt;"",EDATE($D23,Milestones!$AA$62)&gt;=$Z23),$AC23,IF(AND($Y23&lt;&gt;"",EDATE($D23,Milestones!$AA$62)&gt;=$Y23),$AB23,$AA23)))=Milestones!$AB$62),UPPER(TEXT(EDATE($D23,Milestones!$AA$62),"dd mmm yy"))&amp;" "&amp;Milestones!$AB$62&amp;" "&amp;IF(AND(Milestones!$AB$62="FT",Milestones!$AA$62=FT_Y5,EDATE($D23,Milestones!$AA$62)&lt;PolicyEff),1,Milestones!$AC$62)&amp;";  ","")&amp;IF(AND(EDATE($D23,Milestones!$AA$63)&lt;=AsOfDate,EDATE($D23,Milestones!$AA$63)&gt;=SchemeStart,IF($X23=0,$AD23,IF(AND($Z23&lt;&gt;"",EDATE($D23,Milestones!$AA$63)&gt;=$Z23),$AC23,IF(AND($Y23&lt;&gt;"",EDATE($D23,Milestones!$AA$63)&gt;=$Y23),$AB23,$AA23)))=Milestones!$AB$63),UPPER(TEXT(EDATE($D23,Milestones!$AA$63),"dd mmm yy"))&amp;" "&amp;Milestones!$AB$63&amp;" "&amp;IF(AND(Milestones!$AB$63="FT",Milestones!$AA$63=FT_Y5,EDATE($D23,Milestones!$AA$63)&lt;PolicyEff),1,Milestones!$AC$63)&amp;";  ","")&amp;IF(AND(EDATE($D23,Milestones!$AA$64)&lt;=AsOfDate,EDATE($D23,Milestones!$AA$64)&gt;=SchemeStart,IF($X23=0,$AD23,IF(AND($Z23&lt;&gt;"",EDATE($D23,Milestones!$AA$64)&gt;=$Z23),$AC23,IF(AND($Y23&lt;&gt;"",EDATE($D23,Milestones!$AA$64)&gt;=$Y23),$AB23,$AA23)))=Milestones!$AB$64),UPPER(TEXT(EDATE($D23,Milestones!$AA$64),"dd mmm yy"))&amp;" "&amp;Milestones!$AB$64&amp;" "&amp;IF(AND(Milestones!$AB$64="FT",Milestones!$AA$64=FT_Y5,EDATE($D23,Milestones!$AA$64)&lt;PolicyEff),1,Milestones!$AC$64)&amp;";  ","")&amp;IF(AND(EDATE($D23,Milestones!$AA$65)&lt;=AsOfDate,EDATE($D23,Milestones!$AA$65)&gt;=SchemeStart,IF($X23=0,$AD23,IF(AND($Z23&lt;&gt;"",EDATE($D23,Milestones!$AA$65)&gt;=$Z23),$AC23,IF(AND($Y23&lt;&gt;"",EDATE($D23,Milestones!$AA$65)&gt;=$Y23),$AB23,$AA23)))=Milestones!$AB$65),UPPER(TEXT(EDATE($D23,Milestones!$AA$65),"dd mmm yy"))&amp;" "&amp;Milestones!$AB$65&amp;" "&amp;IF(AND(Milestones!$AB$65="FT",Milestones!$AA$65=FT_Y5,EDATE($D23,Milestones!$AA$65)&lt;PolicyEff),1,Milestones!$AC$65)&amp;";  ","")&amp;IF(AND(EDATE($D23,Milestones!$AA$66)&lt;=AsOfDate,EDATE($D23,Milestones!$AA$66)&gt;=SchemeStart,IF($X23=0,$AD23,IF(AND($Z23&lt;&gt;"",EDATE($D23,Milestones!$AA$66)&gt;=$Z23),$AC23,IF(AND($Y23&lt;&gt;"",EDATE($D23,Milestones!$AA$66)&gt;=$Y23),$AB23,$AA23)))=Milestones!$AB$66),UPPER(TEXT(EDATE($D23,Milestones!$AA$66),"dd mmm yy"))&amp;" "&amp;Milestones!$AB$66&amp;" "&amp;IF(AND(Milestones!$AB$66="FT",Milestones!$AA$66=FT_Y5,EDATE($D23,Milestones!$AA$66)&lt;PolicyEff),1,Milestones!$AC$66)&amp;";  ","")&amp;IF(AND(EDATE($D23,Milestones!$AA$67)&lt;=AsOfDate,EDATE($D23,Milestones!$AA$67)&gt;=SchemeStart,IF($X23=0,$AD23,IF(AND($Z23&lt;&gt;"",EDATE($D23,Milestones!$AA$67)&gt;=$Z23),$AC23,IF(AND($Y23&lt;&gt;"",EDATE($D23,Milestones!$AA$67)&gt;=$Y23),$AB23,$AA23)))=Milestones!$AB$67),UPPER(TEXT(EDATE($D23,Milestones!$AA$67),"dd mmm yy"))&amp;" "&amp;Milestones!$AB$67&amp;" "&amp;IF(AND(Milestones!$AB$67="FT",Milestones!$AA$67=FT_Y5,EDATE($D23,Milestones!$AA$67)&lt;PolicyEff),1,Milestones!$AC$67)&amp;";  ",""))</f>
        <v/>
      </c>
      <c r="M23" s="0" t="str">
        <f aca="false">IF(OR($A23="",$D23=""),"",IF(AND(EDATE($D23,Milestones!$AA$68)&lt;=AsOfDate,EDATE($D23,Milestones!$AA$68)&gt;=SchemeStart,IF($X23=0,$AD23,IF(AND($Z23&lt;&gt;"",EDATE($D23,Milestones!$AA$68)&gt;=$Z23),$AC23,IF(AND($Y23&lt;&gt;"",EDATE($D23,Milestones!$AA$68)&gt;=$Y23),$AB23,$AA23)))=Milestones!$AB$68),UPPER(TEXT(EDATE($D23,Milestones!$AA$68),"dd mmm yy"))&amp;" "&amp;Milestones!$AB$68&amp;" "&amp;IF(AND(Milestones!$AB$68="FT",Milestones!$AA$68=FT_Y5,EDATE($D23,Milestones!$AA$68)&lt;PolicyEff),1,Milestones!$AC$68)&amp;";  ","")&amp;IF(AND(EDATE($D23,Milestones!$AA$69)&lt;=AsOfDate,EDATE($D23,Milestones!$AA$69)&gt;=SchemeStart,IF($X23=0,$AD23,IF(AND($Z23&lt;&gt;"",EDATE($D23,Milestones!$AA$69)&gt;=$Z23),$AC23,IF(AND($Y23&lt;&gt;"",EDATE($D23,Milestones!$AA$69)&gt;=$Y23),$AB23,$AA23)))=Milestones!$AB$69),UPPER(TEXT(EDATE($D23,Milestones!$AA$69),"dd mmm yy"))&amp;" "&amp;Milestones!$AB$69&amp;" "&amp;IF(AND(Milestones!$AB$69="FT",Milestones!$AA$69=FT_Y5,EDATE($D23,Milestones!$AA$69)&lt;PolicyEff),1,Milestones!$AC$69)&amp;";  ","")&amp;IF(AND(EDATE($D23,Milestones!$AA$70)&lt;=AsOfDate,EDATE($D23,Milestones!$AA$70)&gt;=SchemeStart,IF($X23=0,$AD23,IF(AND($Z23&lt;&gt;"",EDATE($D23,Milestones!$AA$70)&gt;=$Z23),$AC23,IF(AND($Y23&lt;&gt;"",EDATE($D23,Milestones!$AA$70)&gt;=$Y23),$AB23,$AA23)))=Milestones!$AB$70),UPPER(TEXT(EDATE($D23,Milestones!$AA$70),"dd mmm yy"))&amp;" "&amp;Milestones!$AB$70&amp;" "&amp;IF(AND(Milestones!$AB$70="FT",Milestones!$AA$70=FT_Y5,EDATE($D23,Milestones!$AA$70)&lt;PolicyEff),1,Milestones!$AC$70)&amp;";  ","")&amp;IF(AND(EDATE($D23,Milestones!$AA$71)&lt;=AsOfDate,EDATE($D23,Milestones!$AA$71)&gt;=SchemeStart,IF($X23=0,$AD23,IF(AND($Z23&lt;&gt;"",EDATE($D23,Milestones!$AA$71)&gt;=$Z23),$AC23,IF(AND($Y23&lt;&gt;"",EDATE($D23,Milestones!$AA$71)&gt;=$Y23),$AB23,$AA23)))=Milestones!$AB$71),UPPER(TEXT(EDATE($D23,Milestones!$AA$71),"dd mmm yy"))&amp;" "&amp;Milestones!$AB$71&amp;" "&amp;IF(AND(Milestones!$AB$71="FT",Milestones!$AA$71=FT_Y5,EDATE($D23,Milestones!$AA$71)&lt;PolicyEff),1,Milestones!$AC$71)&amp;";  ","")&amp;IF(AND(EDATE($D23,Milestones!$AA$72)&lt;=AsOfDate,EDATE($D23,Milestones!$AA$72)&gt;=SchemeStart,IF($X23=0,$AD23,IF(AND($Z23&lt;&gt;"",EDATE($D23,Milestones!$AA$72)&gt;=$Z23),$AC23,IF(AND($Y23&lt;&gt;"",EDATE($D23,Milestones!$AA$72)&gt;=$Y23),$AB23,$AA23)))=Milestones!$AB$72),UPPER(TEXT(EDATE($D23,Milestones!$AA$72),"dd mmm yy"))&amp;" "&amp;Milestones!$AB$72&amp;" "&amp;IF(AND(Milestones!$AB$72="FT",Milestones!$AA$72=FT_Y5,EDATE($D23,Milestones!$AA$72)&lt;PolicyEff),1,Milestones!$AC$72)&amp;";  ","")&amp;IF(AND(EDATE($D23,Milestones!$AA$73)&lt;=AsOfDate,EDATE($D23,Milestones!$AA$73)&gt;=SchemeStart,IF($X23=0,$AD23,IF(AND($Z23&lt;&gt;"",EDATE($D23,Milestones!$AA$73)&gt;=$Z23),$AC23,IF(AND($Y23&lt;&gt;"",EDATE($D23,Milestones!$AA$73)&gt;=$Y23),$AB23,$AA23)))=Milestones!$AB$73),UPPER(TEXT(EDATE($D23,Milestones!$AA$73),"dd mmm yy"))&amp;" "&amp;Milestones!$AB$73&amp;" "&amp;IF(AND(Milestones!$AB$73="FT",Milestones!$AA$73=FT_Y5,EDATE($D23,Milestones!$AA$73)&lt;PolicyEff),1,Milestones!$AC$73)&amp;";  ","")&amp;IF(AND(EDATE($D23,Milestones!$AA$74)&lt;=AsOfDate,EDATE($D23,Milestones!$AA$74)&gt;=SchemeStart,IF($X23=0,$AD23,IF(AND($Z23&lt;&gt;"",EDATE($D23,Milestones!$AA$74)&gt;=$Z23),$AC23,IF(AND($Y23&lt;&gt;"",EDATE($D23,Milestones!$AA$74)&gt;=$Y23),$AB23,$AA23)))=Milestones!$AB$74),UPPER(TEXT(EDATE($D23,Milestones!$AA$74),"dd mmm yy"))&amp;" "&amp;Milestones!$AB$74&amp;" "&amp;IF(AND(Milestones!$AB$74="FT",Milestones!$AA$74=FT_Y5,EDATE($D23,Milestones!$AA$74)&lt;PolicyEff),1,Milestones!$AC$74)&amp;";  ","")&amp;IF(AND(EDATE($D23,Milestones!$AA$75)&lt;=AsOfDate,EDATE($D23,Milestones!$AA$75)&gt;=SchemeStart,IF($X23=0,$AD23,IF(AND($Z23&lt;&gt;"",EDATE($D23,Milestones!$AA$75)&gt;=$Z23),$AC23,IF(AND($Y23&lt;&gt;"",EDATE($D23,Milestones!$AA$75)&gt;=$Y23),$AB23,$AA23)))=Milestones!$AB$75),UPPER(TEXT(EDATE($D23,Milestones!$AA$75),"dd mmm yy"))&amp;" "&amp;Milestones!$AB$75&amp;" "&amp;IF(AND(Milestones!$AB$75="FT",Milestones!$AA$75=FT_Y5,EDATE($D23,Milestones!$AA$75)&lt;PolicyEff),1,Milestones!$AC$75)&amp;";  ","")&amp;IF(AND(EDATE($D23,Milestones!$AA$76)&lt;=AsOfDate,EDATE($D23,Milestones!$AA$76)&gt;=SchemeStart,IF($X23=0,$AD23,IF(AND($Z23&lt;&gt;"",EDATE($D23,Milestones!$AA$76)&gt;=$Z23),$AC23,IF(AND($Y23&lt;&gt;"",EDATE($D23,Milestones!$AA$76)&gt;=$Y23),$AB23,$AA23)))=Milestones!$AB$76),UPPER(TEXT(EDATE($D23,Milestones!$AA$76),"dd mmm yy"))&amp;" "&amp;Milestones!$AB$76&amp;" "&amp;IF(AND(Milestones!$AB$76="FT",Milestones!$AA$76=FT_Y5,EDATE($D23,Milestones!$AA$76)&lt;PolicyEff),1,Milestones!$AC$76)&amp;";  ","")&amp;IF(AND(EDATE($D23,Milestones!$AA$77)&lt;=AsOfDate,EDATE($D23,Milestones!$AA$77)&gt;=SchemeStart,IF($X23=0,$AD23,IF(AND($Z23&lt;&gt;"",EDATE($D23,Milestones!$AA$77)&gt;=$Z23),$AC23,IF(AND($Y23&lt;&gt;"",EDATE($D23,Milestones!$AA$77)&gt;=$Y23),$AB23,$AA23)))=Milestones!$AB$77),UPPER(TEXT(EDATE($D23,Milestones!$AA$77),"dd mmm yy"))&amp;" "&amp;Milestones!$AB$77&amp;" "&amp;IF(AND(Milestones!$AB$77="FT",Milestones!$AA$77=FT_Y5,EDATE($D23,Milestones!$AA$77)&lt;PolicyEff),1,Milestones!$AC$77)&amp;";  ","")&amp;IF(AND(EDATE($D23,Milestones!$AA$78)&lt;=AsOfDate,EDATE($D23,Milestones!$AA$78)&gt;=SchemeStart,IF($X23=0,$AD23,IF(AND($Z23&lt;&gt;"",EDATE($D23,Milestones!$AA$78)&gt;=$Z23),$AC23,IF(AND($Y23&lt;&gt;"",EDATE($D23,Milestones!$AA$78)&gt;=$Y23),$AB23,$AA23)))=Milestones!$AB$78),UPPER(TEXT(EDATE($D23,Milestones!$AA$78),"dd mmm yy"))&amp;" "&amp;Milestones!$AB$78&amp;" "&amp;IF(AND(Milestones!$AB$78="FT",Milestones!$AA$78=FT_Y5,EDATE($D23,Milestones!$AA$78)&lt;PolicyEff),1,Milestones!$AC$78)&amp;";  ","")&amp;IF(AND(EDATE($D23,Milestones!$AA$79)&lt;=AsOfDate,EDATE($D23,Milestones!$AA$79)&gt;=SchemeStart,IF($X23=0,$AD23,IF(AND($Z23&lt;&gt;"",EDATE($D23,Milestones!$AA$79)&gt;=$Z23),$AC23,IF(AND($Y23&lt;&gt;"",EDATE($D23,Milestones!$AA$79)&gt;=$Y23),$AB23,$AA23)))=Milestones!$AB$79),UPPER(TEXT(EDATE($D23,Milestones!$AA$79),"dd mmm yy"))&amp;" "&amp;Milestones!$AB$79&amp;" "&amp;IF(AND(Milestones!$AB$79="FT",Milestones!$AA$79=FT_Y5,EDATE($D23,Milestones!$AA$79)&lt;PolicyEff),1,Milestones!$AC$79)&amp;";  ",""))</f>
        <v/>
      </c>
      <c r="N23" s="0" t="str">
        <f aca="false">IF(OR($A23="",$D23=""),"",IF(AND(EDATE($D23,Milestones!$AA$80)&lt;=AsOfDate,EDATE($D23,Milestones!$AA$80)&gt;=SchemeStart,IF($X23=0,$AD23,IF(AND($Z23&lt;&gt;"",EDATE($D23,Milestones!$AA$80)&gt;=$Z23),$AC23,IF(AND($Y23&lt;&gt;"",EDATE($D23,Milestones!$AA$80)&gt;=$Y23),$AB23,$AA23)))=Milestones!$AB$80),UPPER(TEXT(EDATE($D23,Milestones!$AA$80),"dd mmm yy"))&amp;" "&amp;Milestones!$AB$80&amp;" "&amp;IF(AND(Milestones!$AB$80="FT",Milestones!$AA$80=FT_Y5,EDATE($D23,Milestones!$AA$80)&lt;PolicyEff),1,Milestones!$AC$80)&amp;";  ","")&amp;IF(AND(EDATE($D23,Milestones!$AA$81)&lt;=AsOfDate,EDATE($D23,Milestones!$AA$81)&gt;=SchemeStart,IF($X23=0,$AD23,IF(AND($Z23&lt;&gt;"",EDATE($D23,Milestones!$AA$81)&gt;=$Z23),$AC23,IF(AND($Y23&lt;&gt;"",EDATE($D23,Milestones!$AA$81)&gt;=$Y23),$AB23,$AA23)))=Milestones!$AB$81),UPPER(TEXT(EDATE($D23,Milestones!$AA$81),"dd mmm yy"))&amp;" "&amp;Milestones!$AB$81&amp;" "&amp;IF(AND(Milestones!$AB$81="FT",Milestones!$AA$81=FT_Y5,EDATE($D23,Milestones!$AA$81)&lt;PolicyEff),1,Milestones!$AC$81)&amp;";  ","")&amp;IF(AND(EDATE($D23,Milestones!$AA$82)&lt;=AsOfDate,EDATE($D23,Milestones!$AA$82)&gt;=SchemeStart,IF($X23=0,$AD23,IF(AND($Z23&lt;&gt;"",EDATE($D23,Milestones!$AA$82)&gt;=$Z23),$AC23,IF(AND($Y23&lt;&gt;"",EDATE($D23,Milestones!$AA$82)&gt;=$Y23),$AB23,$AA23)))=Milestones!$AB$82),UPPER(TEXT(EDATE($D23,Milestones!$AA$82),"dd mmm yy"))&amp;" "&amp;Milestones!$AB$82&amp;" "&amp;IF(AND(Milestones!$AB$82="FT",Milestones!$AA$82=FT_Y5,EDATE($D23,Milestones!$AA$82)&lt;PolicyEff),1,Milestones!$AC$82)&amp;";  ","")&amp;IF(AND(EDATE($D23,Milestones!$AA$83)&lt;=AsOfDate,EDATE($D23,Milestones!$AA$83)&gt;=SchemeStart,IF($X23=0,$AD23,IF(AND($Z23&lt;&gt;"",EDATE($D23,Milestones!$AA$83)&gt;=$Z23),$AC23,IF(AND($Y23&lt;&gt;"",EDATE($D23,Milestones!$AA$83)&gt;=$Y23),$AB23,$AA23)))=Milestones!$AB$83),UPPER(TEXT(EDATE($D23,Milestones!$AA$83),"dd mmm yy"))&amp;" "&amp;Milestones!$AB$83&amp;" "&amp;IF(AND(Milestones!$AB$83="FT",Milestones!$AA$83=FT_Y5,EDATE($D23,Milestones!$AA$83)&lt;PolicyEff),1,Milestones!$AC$83)&amp;";  ","")&amp;IF(AND(EDATE($D23,Milestones!$AA$84)&lt;=AsOfDate,EDATE($D23,Milestones!$AA$84)&gt;=SchemeStart,IF($X23=0,$AD23,IF(AND($Z23&lt;&gt;"",EDATE($D23,Milestones!$AA$84)&gt;=$Z23),$AC23,IF(AND($Y23&lt;&gt;"",EDATE($D23,Milestones!$AA$84)&gt;=$Y23),$AB23,$AA23)))=Milestones!$AB$84),UPPER(TEXT(EDATE($D23,Milestones!$AA$84),"dd mmm yy"))&amp;" "&amp;Milestones!$AB$84&amp;" "&amp;IF(AND(Milestones!$AB$84="FT",Milestones!$AA$84=FT_Y5,EDATE($D23,Milestones!$AA$84)&lt;PolicyEff),1,Milestones!$AC$84)&amp;";  ","")&amp;IF(AND(EDATE($D23,Milestones!$AA$85)&lt;=AsOfDate,EDATE($D23,Milestones!$AA$85)&gt;=SchemeStart,IF($X23=0,$AD23,IF(AND($Z23&lt;&gt;"",EDATE($D23,Milestones!$AA$85)&gt;=$Z23),$AC23,IF(AND($Y23&lt;&gt;"",EDATE($D23,Milestones!$AA$85)&gt;=$Y23),$AB23,$AA23)))=Milestones!$AB$85),UPPER(TEXT(EDATE($D23,Milestones!$AA$85),"dd mmm yy"))&amp;" "&amp;Milestones!$AB$85&amp;" "&amp;IF(AND(Milestones!$AB$85="FT",Milestones!$AA$85=FT_Y5,EDATE($D23,Milestones!$AA$85)&lt;PolicyEff),1,Milestones!$AC$85)&amp;";  ","")&amp;IF(AND(EDATE($D23,Milestones!$AA$86)&lt;=AsOfDate,EDATE($D23,Milestones!$AA$86)&gt;=SchemeStart,IF($X23=0,$AD23,IF(AND($Z23&lt;&gt;"",EDATE($D23,Milestones!$AA$86)&gt;=$Z23),$AC23,IF(AND($Y23&lt;&gt;"",EDATE($D23,Milestones!$AA$86)&gt;=$Y23),$AB23,$AA23)))=Milestones!$AB$86),UPPER(TEXT(EDATE($D23,Milestones!$AA$86),"dd mmm yy"))&amp;" "&amp;Milestones!$AB$86&amp;" "&amp;IF(AND(Milestones!$AB$86="FT",Milestones!$AA$86=FT_Y5,EDATE($D23,Milestones!$AA$86)&lt;PolicyEff),1,Milestones!$AC$86)&amp;";  ","")&amp;IF(AND(EDATE($D23,Milestones!$AA$87)&lt;=AsOfDate,EDATE($D23,Milestones!$AA$87)&gt;=SchemeStart,IF($X23=0,$AD23,IF(AND($Z23&lt;&gt;"",EDATE($D23,Milestones!$AA$87)&gt;=$Z23),$AC23,IF(AND($Y23&lt;&gt;"",EDATE($D23,Milestones!$AA$87)&gt;=$Y23),$AB23,$AA23)))=Milestones!$AB$87),UPPER(TEXT(EDATE($D23,Milestones!$AA$87),"dd mmm yy"))&amp;" "&amp;Milestones!$AB$87&amp;" "&amp;IF(AND(Milestones!$AB$87="FT",Milestones!$AA$87=FT_Y5,EDATE($D23,Milestones!$AA$87)&lt;PolicyEff),1,Milestones!$AC$87)&amp;";  ","")&amp;IF(AND(EDATE($D23,Milestones!$AA$88)&lt;=AsOfDate,EDATE($D23,Milestones!$AA$88)&gt;=SchemeStart,IF($X23=0,$AD23,IF(AND($Z23&lt;&gt;"",EDATE($D23,Milestones!$AA$88)&gt;=$Z23),$AC23,IF(AND($Y23&lt;&gt;"",EDATE($D23,Milestones!$AA$88)&gt;=$Y23),$AB23,$AA23)))=Milestones!$AB$88),UPPER(TEXT(EDATE($D23,Milestones!$AA$88),"dd mmm yy"))&amp;" "&amp;Milestones!$AB$88&amp;" "&amp;IF(AND(Milestones!$AB$88="FT",Milestones!$AA$88=FT_Y5,EDATE($D23,Milestones!$AA$88)&lt;PolicyEff),1,Milestones!$AC$88)&amp;";  ","")&amp;IF(AND(EDATE($D23,Milestones!$AA$89)&lt;=AsOfDate,EDATE($D23,Milestones!$AA$89)&gt;=SchemeStart,IF($X23=0,$AD23,IF(AND($Z23&lt;&gt;"",EDATE($D23,Milestones!$AA$89)&gt;=$Z23),$AC23,IF(AND($Y23&lt;&gt;"",EDATE($D23,Milestones!$AA$89)&gt;=$Y23),$AB23,$AA23)))=Milestones!$AB$89),UPPER(TEXT(EDATE($D23,Milestones!$AA$89),"dd mmm yy"))&amp;" "&amp;Milestones!$AB$89&amp;" "&amp;IF(AND(Milestones!$AB$89="FT",Milestones!$AA$89=FT_Y5,EDATE($D23,Milestones!$AA$89)&lt;PolicyEff),1,Milestones!$AC$89)&amp;";  ","")&amp;IF(AND(EDATE($D23,Milestones!$AA$90)&lt;=AsOfDate,EDATE($D23,Milestones!$AA$90)&gt;=SchemeStart,IF($X23=0,$AD23,IF(AND($Z23&lt;&gt;"",EDATE($D23,Milestones!$AA$90)&gt;=$Z23),$AC23,IF(AND($Y23&lt;&gt;"",EDATE($D23,Milestones!$AA$90)&gt;=$Y23),$AB23,$AA23)))=Milestones!$AB$90),UPPER(TEXT(EDATE($D23,Milestones!$AA$90),"dd mmm yy"))&amp;" "&amp;Milestones!$AB$90&amp;" "&amp;IF(AND(Milestones!$AB$90="FT",Milestones!$AA$90=FT_Y5,EDATE($D23,Milestones!$AA$90)&lt;PolicyEff),1,Milestones!$AC$90)&amp;";  ","")&amp;IF(AND(EDATE($D23,Milestones!$AA$91)&lt;=AsOfDate,EDATE($D23,Milestones!$AA$91)&gt;=SchemeStart,IF($X23=0,$AD23,IF(AND($Z23&lt;&gt;"",EDATE($D23,Milestones!$AA$91)&gt;=$Z23),$AC23,IF(AND($Y23&lt;&gt;"",EDATE($D23,Milestones!$AA$91)&gt;=$Y23),$AB23,$AA23)))=Milestones!$AB$91),UPPER(TEXT(EDATE($D23,Milestones!$AA$91),"dd mmm yy"))&amp;" "&amp;Milestones!$AB$91&amp;" "&amp;IF(AND(Milestones!$AB$91="FT",Milestones!$AA$91=FT_Y5,EDATE($D23,Milestones!$AA$91)&lt;PolicyEff),1,Milestones!$AC$91)&amp;";  ",""))</f>
        <v/>
      </c>
      <c r="O23" s="0" t="str">
        <f aca="false">IF(OR($A23="",$D23=""),"",IF(AND(EDATE($D23,Milestones!$AA$92)&lt;=AsOfDate,EDATE($D23,Milestones!$AA$92)&gt;=SchemeStart,IF($X23=0,$AD23,IF(AND($Z23&lt;&gt;"",EDATE($D23,Milestones!$AA$92)&gt;=$Z23),$AC23,IF(AND($Y23&lt;&gt;"",EDATE($D23,Milestones!$AA$92)&gt;=$Y23),$AB23,$AA23)))=Milestones!$AB$92),UPPER(TEXT(EDATE($D23,Milestones!$AA$92),"dd mmm yy"))&amp;" "&amp;Milestones!$AB$92&amp;" "&amp;IF(AND(Milestones!$AB$92="FT",Milestones!$AA$92=FT_Y5,EDATE($D23,Milestones!$AA$92)&lt;PolicyEff),1,Milestones!$AC$92)&amp;";  ","")&amp;IF(AND(EDATE($D23,Milestones!$AA$93)&lt;=AsOfDate,EDATE($D23,Milestones!$AA$93)&gt;=SchemeStart,IF($X23=0,$AD23,IF(AND($Z23&lt;&gt;"",EDATE($D23,Milestones!$AA$93)&gt;=$Z23),$AC23,IF(AND($Y23&lt;&gt;"",EDATE($D23,Milestones!$AA$93)&gt;=$Y23),$AB23,$AA23)))=Milestones!$AB$93),UPPER(TEXT(EDATE($D23,Milestones!$AA$93),"dd mmm yy"))&amp;" "&amp;Milestones!$AB$93&amp;" "&amp;IF(AND(Milestones!$AB$93="FT",Milestones!$AA$93=FT_Y5,EDATE($D23,Milestones!$AA$93)&lt;PolicyEff),1,Milestones!$AC$93)&amp;";  ","")&amp;IF(AND(EDATE($D23,Milestones!$AA$94)&lt;=AsOfDate,EDATE($D23,Milestones!$AA$94)&gt;=SchemeStart,IF($X23=0,$AD23,IF(AND($Z23&lt;&gt;"",EDATE($D23,Milestones!$AA$94)&gt;=$Z23),$AC23,IF(AND($Y23&lt;&gt;"",EDATE($D23,Milestones!$AA$94)&gt;=$Y23),$AB23,$AA23)))=Milestones!$AB$94),UPPER(TEXT(EDATE($D23,Milestones!$AA$94),"dd mmm yy"))&amp;" "&amp;Milestones!$AB$94&amp;" "&amp;IF(AND(Milestones!$AB$94="FT",Milestones!$AA$94=FT_Y5,EDATE($D23,Milestones!$AA$94)&lt;PolicyEff),1,Milestones!$AC$94)&amp;";  ","")&amp;IF(AND(EDATE($D23,Milestones!$AA$95)&lt;=AsOfDate,EDATE($D23,Milestones!$AA$95)&gt;=SchemeStart,IF($X23=0,$AD23,IF(AND($Z23&lt;&gt;"",EDATE($D23,Milestones!$AA$95)&gt;=$Z23),$AC23,IF(AND($Y23&lt;&gt;"",EDATE($D23,Milestones!$AA$95)&gt;=$Y23),$AB23,$AA23)))=Milestones!$AB$95),UPPER(TEXT(EDATE($D23,Milestones!$AA$95),"dd mmm yy"))&amp;" "&amp;Milestones!$AB$95&amp;" "&amp;IF(AND(Milestones!$AB$95="FT",Milestones!$AA$95=FT_Y5,EDATE($D23,Milestones!$AA$95)&lt;PolicyEff),1,Milestones!$AC$95)&amp;";  ","")&amp;IF(AND(EDATE($D23,Milestones!$AA$96)&lt;=AsOfDate,EDATE($D23,Milestones!$AA$96)&gt;=SchemeStart,IF($X23=0,$AD23,IF(AND($Z23&lt;&gt;"",EDATE($D23,Milestones!$AA$96)&gt;=$Z23),$AC23,IF(AND($Y23&lt;&gt;"",EDATE($D23,Milestones!$AA$96)&gt;=$Y23),$AB23,$AA23)))=Milestones!$AB$96),UPPER(TEXT(EDATE($D23,Milestones!$AA$96),"dd mmm yy"))&amp;" "&amp;Milestones!$AB$96&amp;" "&amp;IF(AND(Milestones!$AB$96="FT",Milestones!$AA$96=FT_Y5,EDATE($D23,Milestones!$AA$96)&lt;PolicyEff),1,Milestones!$AC$96)&amp;";  ","")&amp;IF(AND(EDATE($D23,Milestones!$AA$97)&lt;=AsOfDate,EDATE($D23,Milestones!$AA$97)&gt;=SchemeStart,IF($X23=0,$AD23,IF(AND($Z23&lt;&gt;"",EDATE($D23,Milestones!$AA$97)&gt;=$Z23),$AC23,IF(AND($Y23&lt;&gt;"",EDATE($D23,Milestones!$AA$97)&gt;=$Y23),$AB23,$AA23)))=Milestones!$AB$97),UPPER(TEXT(EDATE($D23,Milestones!$AA$97),"dd mmm yy"))&amp;" "&amp;Milestones!$AB$97&amp;" "&amp;IF(AND(Milestones!$AB$97="FT",Milestones!$AA$97=FT_Y5,EDATE($D23,Milestones!$AA$97)&lt;PolicyEff),1,Milestones!$AC$97)&amp;";  ","")&amp;IF(AND(EDATE($D23,Milestones!$AA$98)&lt;=AsOfDate,EDATE($D23,Milestones!$AA$98)&gt;=SchemeStart,IF($X23=0,$AD23,IF(AND($Z23&lt;&gt;"",EDATE($D23,Milestones!$AA$98)&gt;=$Z23),$AC23,IF(AND($Y23&lt;&gt;"",EDATE($D23,Milestones!$AA$98)&gt;=$Y23),$AB23,$AA23)))=Milestones!$AB$98),UPPER(TEXT(EDATE($D23,Milestones!$AA$98),"dd mmm yy"))&amp;" "&amp;Milestones!$AB$98&amp;" "&amp;IF(AND(Milestones!$AB$98="FT",Milestones!$AA$98=FT_Y5,EDATE($D23,Milestones!$AA$98)&lt;PolicyEff),1,Milestones!$AC$98)&amp;";  ","")&amp;IF(AND(EDATE($D23,Milestones!$AA$99)&lt;=AsOfDate,EDATE($D23,Milestones!$AA$99)&gt;=SchemeStart,IF($X23=0,$AD23,IF(AND($Z23&lt;&gt;"",EDATE($D23,Milestones!$AA$99)&gt;=$Z23),$AC23,IF(AND($Y23&lt;&gt;"",EDATE($D23,Milestones!$AA$99)&gt;=$Y23),$AB23,$AA23)))=Milestones!$AB$99),UPPER(TEXT(EDATE($D23,Milestones!$AA$99),"dd mmm yy"))&amp;" "&amp;Milestones!$AB$99&amp;" "&amp;IF(AND(Milestones!$AB$99="FT",Milestones!$AA$99=FT_Y5,EDATE($D23,Milestones!$AA$99)&lt;PolicyEff),1,Milestones!$AC$99)&amp;";  ","")&amp;IF(AND(EDATE($D23,Milestones!$AA$100)&lt;=AsOfDate,EDATE($D23,Milestones!$AA$100)&gt;=SchemeStart,IF($X23=0,$AD23,IF(AND($Z23&lt;&gt;"",EDATE($D23,Milestones!$AA$100)&gt;=$Z23),$AC23,IF(AND($Y23&lt;&gt;"",EDATE($D23,Milestones!$AA$100)&gt;=$Y23),$AB23,$AA23)))=Milestones!$AB$100),UPPER(TEXT(EDATE($D23,Milestones!$AA$100),"dd mmm yy"))&amp;" "&amp;Milestones!$AB$100&amp;" "&amp;IF(AND(Milestones!$AB$100="FT",Milestones!$AA$100=FT_Y5,EDATE($D23,Milestones!$AA$100)&lt;PolicyEff),1,Milestones!$AC$100)&amp;";  ","")&amp;IF(AND(EDATE($D23,Milestones!$AA$101)&lt;=AsOfDate,EDATE($D23,Milestones!$AA$101)&gt;=SchemeStart,IF($X23=0,$AD23,IF(AND($Z23&lt;&gt;"",EDATE($D23,Milestones!$AA$101)&gt;=$Z23),$AC23,IF(AND($Y23&lt;&gt;"",EDATE($D23,Milestones!$AA$101)&gt;=$Y23),$AB23,$AA23)))=Milestones!$AB$101),UPPER(TEXT(EDATE($D23,Milestones!$AA$101),"dd mmm yy"))&amp;" "&amp;Milestones!$AB$101&amp;" "&amp;IF(AND(Milestones!$AB$101="FT",Milestones!$AA$101=FT_Y5,EDATE($D23,Milestones!$AA$101)&lt;PolicyEff),1,Milestones!$AC$101)&amp;";  ","")&amp;IF(AND(EDATE($D23,Milestones!$AA$102)&lt;=AsOfDate,EDATE($D23,Milestones!$AA$102)&gt;=SchemeStart,IF($X23=0,$AD23,IF(AND($Z23&lt;&gt;"",EDATE($D23,Milestones!$AA$102)&gt;=$Z23),$AC23,IF(AND($Y23&lt;&gt;"",EDATE($D23,Milestones!$AA$102)&gt;=$Y23),$AB23,$AA23)))=Milestones!$AB$102),UPPER(TEXT(EDATE($D23,Milestones!$AA$102),"dd mmm yy"))&amp;" "&amp;Milestones!$AB$102&amp;" "&amp;IF(AND(Milestones!$AB$102="FT",Milestones!$AA$102=FT_Y5,EDATE($D23,Milestones!$AA$102)&lt;PolicyEff),1,Milestones!$AC$102)&amp;";  ","")&amp;IF(AND(EDATE($D23,Milestones!$AA$103)&lt;=AsOfDate,EDATE($D23,Milestones!$AA$103)&gt;=SchemeStart,IF($X23=0,$AD23,IF(AND($Z23&lt;&gt;"",EDATE($D23,Milestones!$AA$103)&gt;=$Z23),$AC23,IF(AND($Y23&lt;&gt;"",EDATE($D23,Milestones!$AA$103)&gt;=$Y23),$AB23,$AA23)))=Milestones!$AB$103),UPPER(TEXT(EDATE($D23,Milestones!$AA$103),"dd mmm yy"))&amp;" "&amp;Milestones!$AB$103&amp;" "&amp;IF(AND(Milestones!$AB$103="FT",Milestones!$AA$103=FT_Y5,EDATE($D23,Milestones!$AA$103)&lt;PolicyEff),1,Milestones!$AC$103)&amp;";  ",""))</f>
        <v/>
      </c>
      <c r="P23" s="0" t="str">
        <f aca="false">IF(OR($A23="",$D23=""),"",IF(AND(EDATE($D23,Milestones!$AA$104)&lt;=AsOfDate,EDATE($D23,Milestones!$AA$104)&gt;=SchemeStart,IF($X23=0,$AD23,IF(AND($Z23&lt;&gt;"",EDATE($D23,Milestones!$AA$104)&gt;=$Z23),$AC23,IF(AND($Y23&lt;&gt;"",EDATE($D23,Milestones!$AA$104)&gt;=$Y23),$AB23,$AA23)))=Milestones!$AB$104),UPPER(TEXT(EDATE($D23,Milestones!$AA$104),"dd mmm yy"))&amp;" "&amp;Milestones!$AB$104&amp;" "&amp;IF(AND(Milestones!$AB$104="FT",Milestones!$AA$104=FT_Y5,EDATE($D23,Milestones!$AA$104)&lt;PolicyEff),1,Milestones!$AC$104)&amp;";  ","")&amp;IF(AND(EDATE($D23,Milestones!$AA$105)&lt;=AsOfDate,EDATE($D23,Milestones!$AA$105)&gt;=SchemeStart,IF($X23=0,$AD23,IF(AND($Z23&lt;&gt;"",EDATE($D23,Milestones!$AA$105)&gt;=$Z23),$AC23,IF(AND($Y23&lt;&gt;"",EDATE($D23,Milestones!$AA$105)&gt;=$Y23),$AB23,$AA23)))=Milestones!$AB$105),UPPER(TEXT(EDATE($D23,Milestones!$AA$105),"dd mmm yy"))&amp;" "&amp;Milestones!$AB$105&amp;" "&amp;IF(AND(Milestones!$AB$105="FT",Milestones!$AA$105=FT_Y5,EDATE($D23,Milestones!$AA$105)&lt;PolicyEff),1,Milestones!$AC$105)&amp;";  ","")&amp;IF(AND(EDATE($D23,Milestones!$AA$106)&lt;=AsOfDate,EDATE($D23,Milestones!$AA$106)&gt;=SchemeStart,IF($X23=0,$AD23,IF(AND($Z23&lt;&gt;"",EDATE($D23,Milestones!$AA$106)&gt;=$Z23),$AC23,IF(AND($Y23&lt;&gt;"",EDATE($D23,Milestones!$AA$106)&gt;=$Y23),$AB23,$AA23)))=Milestones!$AB$106),UPPER(TEXT(EDATE($D23,Milestones!$AA$106),"dd mmm yy"))&amp;" "&amp;Milestones!$AB$106&amp;" "&amp;IF(AND(Milestones!$AB$106="FT",Milestones!$AA$106=FT_Y5,EDATE($D23,Milestones!$AA$106)&lt;PolicyEff),1,Milestones!$AC$106)&amp;";  ","")&amp;IF(AND(EDATE($D23,Milestones!$AA$107)&lt;=AsOfDate,EDATE($D23,Milestones!$AA$107)&gt;=SchemeStart,IF($X23=0,$AD23,IF(AND($Z23&lt;&gt;"",EDATE($D23,Milestones!$AA$107)&gt;=$Z23),$AC23,IF(AND($Y23&lt;&gt;"",EDATE($D23,Milestones!$AA$107)&gt;=$Y23),$AB23,$AA23)))=Milestones!$AB$107),UPPER(TEXT(EDATE($D23,Milestones!$AA$107),"dd mmm yy"))&amp;" "&amp;Milestones!$AB$107&amp;" "&amp;IF(AND(Milestones!$AB$107="FT",Milestones!$AA$107=FT_Y5,EDATE($D23,Milestones!$AA$107)&lt;PolicyEff),1,Milestones!$AC$107)&amp;";  ","")&amp;IF(AND(EDATE($D23,Milestones!$AA$108)&lt;=AsOfDate,EDATE($D23,Milestones!$AA$108)&gt;=SchemeStart,IF($X23=0,$AD23,IF(AND($Z23&lt;&gt;"",EDATE($D23,Milestones!$AA$108)&gt;=$Z23),$AC23,IF(AND($Y23&lt;&gt;"",EDATE($D23,Milestones!$AA$108)&gt;=$Y23),$AB23,$AA23)))=Milestones!$AB$108),UPPER(TEXT(EDATE($D23,Milestones!$AA$108),"dd mmm yy"))&amp;" "&amp;Milestones!$AB$108&amp;" "&amp;IF(AND(Milestones!$AB$108="FT",Milestones!$AA$108=FT_Y5,EDATE($D23,Milestones!$AA$108)&lt;PolicyEff),1,Milestones!$AC$108)&amp;";  ","")&amp;IF(AND(EDATE($D23,Milestones!$AA$109)&lt;=AsOfDate,EDATE($D23,Milestones!$AA$109)&gt;=SchemeStart,IF($X23=0,$AD23,IF(AND($Z23&lt;&gt;"",EDATE($D23,Milestones!$AA$109)&gt;=$Z23),$AC23,IF(AND($Y23&lt;&gt;"",EDATE($D23,Milestones!$AA$109)&gt;=$Y23),$AB23,$AA23)))=Milestones!$AB$109),UPPER(TEXT(EDATE($D23,Milestones!$AA$109),"dd mmm yy"))&amp;" "&amp;Milestones!$AB$109&amp;" "&amp;IF(AND(Milestones!$AB$109="FT",Milestones!$AA$109=FT_Y5,EDATE($D23,Milestones!$AA$109)&lt;PolicyEff),1,Milestones!$AC$109)&amp;";  ","")&amp;IF(AND(EDATE($D23,Milestones!$AA$110)&lt;=AsOfDate,EDATE($D23,Milestones!$AA$110)&gt;=SchemeStart,IF($X23=0,$AD23,IF(AND($Z23&lt;&gt;"",EDATE($D23,Milestones!$AA$110)&gt;=$Z23),$AC23,IF(AND($Y23&lt;&gt;"",EDATE($D23,Milestones!$AA$110)&gt;=$Y23),$AB23,$AA23)))=Milestones!$AB$110),UPPER(TEXT(EDATE($D23,Milestones!$AA$110),"dd mmm yy"))&amp;" "&amp;Milestones!$AB$110&amp;" "&amp;IF(AND(Milestones!$AB$110="FT",Milestones!$AA$110=FT_Y5,EDATE($D23,Milestones!$AA$110)&lt;PolicyEff),1,Milestones!$AC$110)&amp;";  ","")&amp;IF(AND(EDATE($D23,Milestones!$AA$111)&lt;=AsOfDate,EDATE($D23,Milestones!$AA$111)&gt;=SchemeStart,IF($X23=0,$AD23,IF(AND($Z23&lt;&gt;"",EDATE($D23,Milestones!$AA$111)&gt;=$Z23),$AC23,IF(AND($Y23&lt;&gt;"",EDATE($D23,Milestones!$AA$111)&gt;=$Y23),$AB23,$AA23)))=Milestones!$AB$111),UPPER(TEXT(EDATE($D23,Milestones!$AA$111),"dd mmm yy"))&amp;" "&amp;Milestones!$AB$111&amp;" "&amp;IF(AND(Milestones!$AB$111="FT",Milestones!$AA$111=FT_Y5,EDATE($D23,Milestones!$AA$111)&lt;PolicyEff),1,Milestones!$AC$111)&amp;";  ","")&amp;IF(AND(EDATE($D23,Milestones!$AA$112)&lt;=AsOfDate,EDATE($D23,Milestones!$AA$112)&gt;=SchemeStart,IF($X23=0,$AD23,IF(AND($Z23&lt;&gt;"",EDATE($D23,Milestones!$AA$112)&gt;=$Z23),$AC23,IF(AND($Y23&lt;&gt;"",EDATE($D23,Milestones!$AA$112)&gt;=$Y23),$AB23,$AA23)))=Milestones!$AB$112),UPPER(TEXT(EDATE($D23,Milestones!$AA$112),"dd mmm yy"))&amp;" "&amp;Milestones!$AB$112&amp;" "&amp;IF(AND(Milestones!$AB$112="FT",Milestones!$AA$112=FT_Y5,EDATE($D23,Milestones!$AA$112)&lt;PolicyEff),1,Milestones!$AC$112)&amp;";  ","")&amp;IF(AND(EDATE($D23,Milestones!$AA$113)&lt;=AsOfDate,EDATE($D23,Milestones!$AA$113)&gt;=SchemeStart,IF($X23=0,$AD23,IF(AND($Z23&lt;&gt;"",EDATE($D23,Milestones!$AA$113)&gt;=$Z23),$AC23,IF(AND($Y23&lt;&gt;"",EDATE($D23,Milestones!$AA$113)&gt;=$Y23),$AB23,$AA23)))=Milestones!$AB$113),UPPER(TEXT(EDATE($D23,Milestones!$AA$113),"dd mmm yy"))&amp;" "&amp;Milestones!$AB$113&amp;" "&amp;IF(AND(Milestones!$AB$113="FT",Milestones!$AA$113=FT_Y5,EDATE($D23,Milestones!$AA$113)&lt;PolicyEff),1,Milestones!$AC$113)&amp;";  ","")&amp;IF(AND(EDATE($D23,Milestones!$AA$114)&lt;=AsOfDate,EDATE($D23,Milestones!$AA$114)&gt;=SchemeStart,IF($X23=0,$AD23,IF(AND($Z23&lt;&gt;"",EDATE($D23,Milestones!$AA$114)&gt;=$Z23),$AC23,IF(AND($Y23&lt;&gt;"",EDATE($D23,Milestones!$AA$114)&gt;=$Y23),$AB23,$AA23)))=Milestones!$AB$114),UPPER(TEXT(EDATE($D23,Milestones!$AA$114),"dd mmm yy"))&amp;" "&amp;Milestones!$AB$114&amp;" "&amp;IF(AND(Milestones!$AB$114="FT",Milestones!$AA$114=FT_Y5,EDATE($D23,Milestones!$AA$114)&lt;PolicyEff),1,Milestones!$AC$114)&amp;";  ","")&amp;IF(AND(EDATE($D23,Milestones!$AA$115)&lt;=AsOfDate,EDATE($D23,Milestones!$AA$115)&gt;=SchemeStart,IF($X23=0,$AD23,IF(AND($Z23&lt;&gt;"",EDATE($D23,Milestones!$AA$115)&gt;=$Z23),$AC23,IF(AND($Y23&lt;&gt;"",EDATE($D23,Milestones!$AA$115)&gt;=$Y23),$AB23,$AA23)))=Milestones!$AB$115),UPPER(TEXT(EDATE($D23,Milestones!$AA$115),"dd mmm yy"))&amp;" "&amp;Milestones!$AB$115&amp;" "&amp;IF(AND(Milestones!$AB$115="FT",Milestones!$AA$115=FT_Y5,EDATE($D23,Milestones!$AA$115)&lt;PolicyEff),1,Milestones!$AC$115)&amp;";  ",""))</f>
        <v/>
      </c>
      <c r="Q23" s="0" t="str">
        <f aca="false">IF(OR($A23="",$D23=""),"",IF(AND(EDATE($D23,Milestones!$AA$116)&lt;=AsOfDate,EDATE($D23,Milestones!$AA$116)&gt;=SchemeStart,IF($X23=0,$AD23,IF(AND($Z23&lt;&gt;"",EDATE($D23,Milestones!$AA$116)&gt;=$Z23),$AC23,IF(AND($Y23&lt;&gt;"",EDATE($D23,Milestones!$AA$116)&gt;=$Y23),$AB23,$AA23)))=Milestones!$AB$116),UPPER(TEXT(EDATE($D23,Milestones!$AA$116),"dd mmm yy"))&amp;" "&amp;Milestones!$AB$116&amp;" "&amp;IF(AND(Milestones!$AB$116="FT",Milestones!$AA$116=FT_Y5,EDATE($D23,Milestones!$AA$116)&lt;PolicyEff),1,Milestones!$AC$116)&amp;";  ","")&amp;IF(AND(EDATE($D23,Milestones!$AA$117)&lt;=AsOfDate,EDATE($D23,Milestones!$AA$117)&gt;=SchemeStart,IF($X23=0,$AD23,IF(AND($Z23&lt;&gt;"",EDATE($D23,Milestones!$AA$117)&gt;=$Z23),$AC23,IF(AND($Y23&lt;&gt;"",EDATE($D23,Milestones!$AA$117)&gt;=$Y23),$AB23,$AA23)))=Milestones!$AB$117),UPPER(TEXT(EDATE($D23,Milestones!$AA$117),"dd mmm yy"))&amp;" "&amp;Milestones!$AB$117&amp;" "&amp;IF(AND(Milestones!$AB$117="FT",Milestones!$AA$117=FT_Y5,EDATE($D23,Milestones!$AA$117)&lt;PolicyEff),1,Milestones!$AC$117)&amp;";  ","")&amp;IF(AND(EDATE($D23,Milestones!$AA$118)&lt;=AsOfDate,EDATE($D23,Milestones!$AA$118)&gt;=SchemeStart,IF($X23=0,$AD23,IF(AND($Z23&lt;&gt;"",EDATE($D23,Milestones!$AA$118)&gt;=$Z23),$AC23,IF(AND($Y23&lt;&gt;"",EDATE($D23,Milestones!$AA$118)&gt;=$Y23),$AB23,$AA23)))=Milestones!$AB$118),UPPER(TEXT(EDATE($D23,Milestones!$AA$118),"dd mmm yy"))&amp;" "&amp;Milestones!$AB$118&amp;" "&amp;IF(AND(Milestones!$AB$118="FT",Milestones!$AA$118=FT_Y5,EDATE($D23,Milestones!$AA$118)&lt;PolicyEff),1,Milestones!$AC$118)&amp;";  ","")&amp;IF(AND(EDATE($D23,Milestones!$AA$119)&lt;=AsOfDate,EDATE($D23,Milestones!$AA$119)&gt;=SchemeStart,IF($X23=0,$AD23,IF(AND($Z23&lt;&gt;"",EDATE($D23,Milestones!$AA$119)&gt;=$Z23),$AC23,IF(AND($Y23&lt;&gt;"",EDATE($D23,Milestones!$AA$119)&gt;=$Y23),$AB23,$AA23)))=Milestones!$AB$119),UPPER(TEXT(EDATE($D23,Milestones!$AA$119),"dd mmm yy"))&amp;" "&amp;Milestones!$AB$119&amp;" "&amp;IF(AND(Milestones!$AB$119="FT",Milestones!$AA$119=FT_Y5,EDATE($D23,Milestones!$AA$119)&lt;PolicyEff),1,Milestones!$AC$119)&amp;";  ","")&amp;IF(AND(EDATE($D23,Milestones!$AA$120)&lt;=AsOfDate,EDATE($D23,Milestones!$AA$120)&gt;=SchemeStart,IF($X23=0,$AD23,IF(AND($Z23&lt;&gt;"",EDATE($D23,Milestones!$AA$120)&gt;=$Z23),$AC23,IF(AND($Y23&lt;&gt;"",EDATE($D23,Milestones!$AA$120)&gt;=$Y23),$AB23,$AA23)))=Milestones!$AB$120),UPPER(TEXT(EDATE($D23,Milestones!$AA$120),"dd mmm yy"))&amp;" "&amp;Milestones!$AB$120&amp;" "&amp;IF(AND(Milestones!$AB$120="FT",Milestones!$AA$120=FT_Y5,EDATE($D23,Milestones!$AA$120)&lt;PolicyEff),1,Milestones!$AC$120)&amp;";  ","")&amp;IF(AND(EDATE($D23,Milestones!$AA$121)&lt;=AsOfDate,EDATE($D23,Milestones!$AA$121)&gt;=SchemeStart,IF($X23=0,$AD23,IF(AND($Z23&lt;&gt;"",EDATE($D23,Milestones!$AA$121)&gt;=$Z23),$AC23,IF(AND($Y23&lt;&gt;"",EDATE($D23,Milestones!$AA$121)&gt;=$Y23),$AB23,$AA23)))=Milestones!$AB$121),UPPER(TEXT(EDATE($D23,Milestones!$AA$121),"dd mmm yy"))&amp;" "&amp;Milestones!$AB$121&amp;" "&amp;IF(AND(Milestones!$AB$121="FT",Milestones!$AA$121=FT_Y5,EDATE($D23,Milestones!$AA$121)&lt;PolicyEff),1,Milestones!$AC$121)&amp;";  ","")&amp;IF(AND(EDATE($D23,Milestones!$AA$122)&lt;=AsOfDate,EDATE($D23,Milestones!$AA$122)&gt;=SchemeStart,IF($X23=0,$AD23,IF(AND($Z23&lt;&gt;"",EDATE($D23,Milestones!$AA$122)&gt;=$Z23),$AC23,IF(AND($Y23&lt;&gt;"",EDATE($D23,Milestones!$AA$122)&gt;=$Y23),$AB23,$AA23)))=Milestones!$AB$122),UPPER(TEXT(EDATE($D23,Milestones!$AA$122),"dd mmm yy"))&amp;" "&amp;Milestones!$AB$122&amp;" "&amp;IF(AND(Milestones!$AB$122="FT",Milestones!$AA$122=FT_Y5,EDATE($D23,Milestones!$AA$122)&lt;PolicyEff),1,Milestones!$AC$122)&amp;";  ","")&amp;IF(AND(EDATE($D23,Milestones!$AA$123)&lt;=AsOfDate,EDATE($D23,Milestones!$AA$123)&gt;=SchemeStart,IF($X23=0,$AD23,IF(AND($Z23&lt;&gt;"",EDATE($D23,Milestones!$AA$123)&gt;=$Z23),$AC23,IF(AND($Y23&lt;&gt;"",EDATE($D23,Milestones!$AA$123)&gt;=$Y23),$AB23,$AA23)))=Milestones!$AB$123),UPPER(TEXT(EDATE($D23,Milestones!$AA$123),"dd mmm yy"))&amp;" "&amp;Milestones!$AB$123&amp;" "&amp;IF(AND(Milestones!$AB$123="FT",Milestones!$AA$123=FT_Y5,EDATE($D23,Milestones!$AA$123)&lt;PolicyEff),1,Milestones!$AC$123)&amp;";  ","")&amp;IF(AND(EDATE($D23,Milestones!$AA$124)&lt;=AsOfDate,EDATE($D23,Milestones!$AA$124)&gt;=SchemeStart,IF($X23=0,$AD23,IF(AND($Z23&lt;&gt;"",EDATE($D23,Milestones!$AA$124)&gt;=$Z23),$AC23,IF(AND($Y23&lt;&gt;"",EDATE($D23,Milestones!$AA$124)&gt;=$Y23),$AB23,$AA23)))=Milestones!$AB$124),UPPER(TEXT(EDATE($D23,Milestones!$AA$124),"dd mmm yy"))&amp;" "&amp;Milestones!$AB$124&amp;" "&amp;IF(AND(Milestones!$AB$124="FT",Milestones!$AA$124=FT_Y5,EDATE($D23,Milestones!$AA$124)&lt;PolicyEff),1,Milestones!$AC$124)&amp;";  ","")&amp;IF(AND(EDATE($D23,Milestones!$AA$125)&lt;=AsOfDate,EDATE($D23,Milestones!$AA$125)&gt;=SchemeStart,IF($X23=0,$AD23,IF(AND($Z23&lt;&gt;"",EDATE($D23,Milestones!$AA$125)&gt;=$Z23),$AC23,IF(AND($Y23&lt;&gt;"",EDATE($D23,Milestones!$AA$125)&gt;=$Y23),$AB23,$AA23)))=Milestones!$AB$125),UPPER(TEXT(EDATE($D23,Milestones!$AA$125),"dd mmm yy"))&amp;" "&amp;Milestones!$AB$125&amp;" "&amp;IF(AND(Milestones!$AB$125="FT",Milestones!$AA$125=FT_Y5,EDATE($D23,Milestones!$AA$125)&lt;PolicyEff),1,Milestones!$AC$125)&amp;";  ","")&amp;IF(AND(EDATE($D23,Milestones!$AA$126)&lt;=AsOfDate,EDATE($D23,Milestones!$AA$126)&gt;=SchemeStart,IF($X23=0,$AD23,IF(AND($Z23&lt;&gt;"",EDATE($D23,Milestones!$AA$126)&gt;=$Z23),$AC23,IF(AND($Y23&lt;&gt;"",EDATE($D23,Milestones!$AA$126)&gt;=$Y23),$AB23,$AA23)))=Milestones!$AB$126),UPPER(TEXT(EDATE($D23,Milestones!$AA$126),"dd mmm yy"))&amp;" "&amp;Milestones!$AB$126&amp;" "&amp;IF(AND(Milestones!$AB$126="FT",Milestones!$AA$126=FT_Y5,EDATE($D23,Milestones!$AA$126)&lt;PolicyEff),1,Milestones!$AC$126)&amp;";  ","")&amp;IF(AND(EDATE($D23,Milestones!$AA$127)&lt;=AsOfDate,EDATE($D23,Milestones!$AA$127)&gt;=SchemeStart,IF($X23=0,$AD23,IF(AND($Z23&lt;&gt;"",EDATE($D23,Milestones!$AA$127)&gt;=$Z23),$AC23,IF(AND($Y23&lt;&gt;"",EDATE($D23,Milestones!$AA$127)&gt;=$Y23),$AB23,$AA23)))=Milestones!$AB$127),UPPER(TEXT(EDATE($D23,Milestones!$AA$127),"dd mmm yy"))&amp;" "&amp;Milestones!$AB$127&amp;" "&amp;IF(AND(Milestones!$AB$127="FT",Milestones!$AA$127=FT_Y5,EDATE($D23,Milestones!$AA$127)&lt;PolicyEff),1,Milestones!$AC$127)&amp;";  ",""))</f>
        <v/>
      </c>
      <c r="R23" s="0" t="str">
        <f aca="false">IF(OR($A23="",$D23=""),"",IF(AND(EDATE($D23,Milestones!$AA$128)&lt;=AsOfDate,EDATE($D23,Milestones!$AA$128)&gt;=SchemeStart,IF($X23=0,$AD23,IF(AND($Z23&lt;&gt;"",EDATE($D23,Milestones!$AA$128)&gt;=$Z23),$AC23,IF(AND($Y23&lt;&gt;"",EDATE($D23,Milestones!$AA$128)&gt;=$Y23),$AB23,$AA23)))=Milestones!$AB$128),UPPER(TEXT(EDATE($D23,Milestones!$AA$128),"dd mmm yy"))&amp;" "&amp;Milestones!$AB$128&amp;" "&amp;IF(AND(Milestones!$AB$128="FT",Milestones!$AA$128=FT_Y5,EDATE($D23,Milestones!$AA$128)&lt;PolicyEff),1,Milestones!$AC$128)&amp;";  ","")&amp;IF(AND(EDATE($D23,Milestones!$AA$129)&lt;=AsOfDate,EDATE($D23,Milestones!$AA$129)&gt;=SchemeStart,IF($X23=0,$AD23,IF(AND($Z23&lt;&gt;"",EDATE($D23,Milestones!$AA$129)&gt;=$Z23),$AC23,IF(AND($Y23&lt;&gt;"",EDATE($D23,Milestones!$AA$129)&gt;=$Y23),$AB23,$AA23)))=Milestones!$AB$129),UPPER(TEXT(EDATE($D23,Milestones!$AA$129),"dd mmm yy"))&amp;" "&amp;Milestones!$AB$129&amp;" "&amp;IF(AND(Milestones!$AB$129="FT",Milestones!$AA$129=FT_Y5,EDATE($D23,Milestones!$AA$129)&lt;PolicyEff),1,Milestones!$AC$129)&amp;";  ","")&amp;IF(AND(EDATE($D23,Milestones!$AA$130)&lt;=AsOfDate,EDATE($D23,Milestones!$AA$130)&gt;=SchemeStart,IF($X23=0,$AD23,IF(AND($Z23&lt;&gt;"",EDATE($D23,Milestones!$AA$130)&gt;=$Z23),$AC23,IF(AND($Y23&lt;&gt;"",EDATE($D23,Milestones!$AA$130)&gt;=$Y23),$AB23,$AA23)))=Milestones!$AB$130),UPPER(TEXT(EDATE($D23,Milestones!$AA$130),"dd mmm yy"))&amp;" "&amp;Milestones!$AB$130&amp;" "&amp;IF(AND(Milestones!$AB$130="FT",Milestones!$AA$130=FT_Y5,EDATE($D23,Milestones!$AA$130)&lt;PolicyEff),1,Milestones!$AC$130)&amp;";  ","")&amp;IF(AND(EDATE($D23,Milestones!$AA$131)&lt;=AsOfDate,EDATE($D23,Milestones!$AA$131)&gt;=SchemeStart,IF($X23=0,$AD23,IF(AND($Z23&lt;&gt;"",EDATE($D23,Milestones!$AA$131)&gt;=$Z23),$AC23,IF(AND($Y23&lt;&gt;"",EDATE($D23,Milestones!$AA$131)&gt;=$Y23),$AB23,$AA23)))=Milestones!$AB$131),UPPER(TEXT(EDATE($D23,Milestones!$AA$131),"dd mmm yy"))&amp;" "&amp;Milestones!$AB$131&amp;" "&amp;IF(AND(Milestones!$AB$131="FT",Milestones!$AA$131=FT_Y5,EDATE($D23,Milestones!$AA$131)&lt;PolicyEff),1,Milestones!$AC$131)&amp;";  ","")&amp;IF(AND(EDATE($D23,Milestones!$AA$132)&lt;=AsOfDate,EDATE($D23,Milestones!$AA$132)&gt;=SchemeStart,IF($X23=0,$AD23,IF(AND($Z23&lt;&gt;"",EDATE($D23,Milestones!$AA$132)&gt;=$Z23),$AC23,IF(AND($Y23&lt;&gt;"",EDATE($D23,Milestones!$AA$132)&gt;=$Y23),$AB23,$AA23)))=Milestones!$AB$132),UPPER(TEXT(EDATE($D23,Milestones!$AA$132),"dd mmm yy"))&amp;" "&amp;Milestones!$AB$132&amp;" "&amp;IF(AND(Milestones!$AB$132="FT",Milestones!$AA$132=FT_Y5,EDATE($D23,Milestones!$AA$132)&lt;PolicyEff),1,Milestones!$AC$132)&amp;";  ","")&amp;IF(AND(EDATE($D23,Milestones!$AA$133)&lt;=AsOfDate,EDATE($D23,Milestones!$AA$133)&gt;=SchemeStart,IF($X23=0,$AD23,IF(AND($Z23&lt;&gt;"",EDATE($D23,Milestones!$AA$133)&gt;=$Z23),$AC23,IF(AND($Y23&lt;&gt;"",EDATE($D23,Milestones!$AA$133)&gt;=$Y23),$AB23,$AA23)))=Milestones!$AB$133),UPPER(TEXT(EDATE($D23,Milestones!$AA$133),"dd mmm yy"))&amp;" "&amp;Milestones!$AB$133&amp;" "&amp;IF(AND(Milestones!$AB$133="FT",Milestones!$AA$133=FT_Y5,EDATE($D23,Milestones!$AA$133)&lt;PolicyEff),1,Milestones!$AC$133)&amp;";  ","")&amp;IF(AND(EDATE($D23,Milestones!$AA$134)&lt;=AsOfDate,EDATE($D23,Milestones!$AA$134)&gt;=SchemeStart,IF($X23=0,$AD23,IF(AND($Z23&lt;&gt;"",EDATE($D23,Milestones!$AA$134)&gt;=$Z23),$AC23,IF(AND($Y23&lt;&gt;"",EDATE($D23,Milestones!$AA$134)&gt;=$Y23),$AB23,$AA23)))=Milestones!$AB$134),UPPER(TEXT(EDATE($D23,Milestones!$AA$134),"dd mmm yy"))&amp;" "&amp;Milestones!$AB$134&amp;" "&amp;IF(AND(Milestones!$AB$134="FT",Milestones!$AA$134=FT_Y5,EDATE($D23,Milestones!$AA$134)&lt;PolicyEff),1,Milestones!$AC$134)&amp;";  ","")&amp;IF(AND(EDATE($D23,Milestones!$AA$135)&lt;=AsOfDate,EDATE($D23,Milestones!$AA$135)&gt;=SchemeStart,IF($X23=0,$AD23,IF(AND($Z23&lt;&gt;"",EDATE($D23,Milestones!$AA$135)&gt;=$Z23),$AC23,IF(AND($Y23&lt;&gt;"",EDATE($D23,Milestones!$AA$135)&gt;=$Y23),$AB23,$AA23)))=Milestones!$AB$135),UPPER(TEXT(EDATE($D23,Milestones!$AA$135),"dd mmm yy"))&amp;" "&amp;Milestones!$AB$135&amp;" "&amp;IF(AND(Milestones!$AB$135="FT",Milestones!$AA$135=FT_Y5,EDATE($D23,Milestones!$AA$135)&lt;PolicyEff),1,Milestones!$AC$135)&amp;";  ","")&amp;IF(AND(EDATE($D23,Milestones!$AA$136)&lt;=AsOfDate,EDATE($D23,Milestones!$AA$136)&gt;=SchemeStart,IF($X23=0,$AD23,IF(AND($Z23&lt;&gt;"",EDATE($D23,Milestones!$AA$136)&gt;=$Z23),$AC23,IF(AND($Y23&lt;&gt;"",EDATE($D23,Milestones!$AA$136)&gt;=$Y23),$AB23,$AA23)))=Milestones!$AB$136),UPPER(TEXT(EDATE($D23,Milestones!$AA$136),"dd mmm yy"))&amp;" "&amp;Milestones!$AB$136&amp;" "&amp;IF(AND(Milestones!$AB$136="FT",Milestones!$AA$136=FT_Y5,EDATE($D23,Milestones!$AA$136)&lt;PolicyEff),1,Milestones!$AC$136)&amp;";  ","")&amp;IF(AND(EDATE($D23,Milestones!$AA$137)&lt;=AsOfDate,EDATE($D23,Milestones!$AA$137)&gt;=SchemeStart,IF($X23=0,$AD23,IF(AND($Z23&lt;&gt;"",EDATE($D23,Milestones!$AA$137)&gt;=$Z23),$AC23,IF(AND($Y23&lt;&gt;"",EDATE($D23,Milestones!$AA$137)&gt;=$Y23),$AB23,$AA23)))=Milestones!$AB$137),UPPER(TEXT(EDATE($D23,Milestones!$AA$137),"dd mmm yy"))&amp;" "&amp;Milestones!$AB$137&amp;" "&amp;IF(AND(Milestones!$AB$137="FT",Milestones!$AA$137=FT_Y5,EDATE($D23,Milestones!$AA$137)&lt;PolicyEff),1,Milestones!$AC$137)&amp;";  ","")&amp;IF(AND(EDATE($D23,Milestones!$AA$138)&lt;=AsOfDate,EDATE($D23,Milestones!$AA$138)&gt;=SchemeStart,IF($X23=0,$AD23,IF(AND($Z23&lt;&gt;"",EDATE($D23,Milestones!$AA$138)&gt;=$Z23),$AC23,IF(AND($Y23&lt;&gt;"",EDATE($D23,Milestones!$AA$138)&gt;=$Y23),$AB23,$AA23)))=Milestones!$AB$138),UPPER(TEXT(EDATE($D23,Milestones!$AA$138),"dd mmm yy"))&amp;" "&amp;Milestones!$AB$138&amp;" "&amp;IF(AND(Milestones!$AB$138="FT",Milestones!$AA$138=FT_Y5,EDATE($D23,Milestones!$AA$138)&lt;PolicyEff),1,Milestones!$AC$138)&amp;";  ","")&amp;IF(AND(EDATE($D23,Milestones!$AA$139)&lt;=AsOfDate,EDATE($D23,Milestones!$AA$139)&gt;=SchemeStart,IF($X23=0,$AD23,IF(AND($Z23&lt;&gt;"",EDATE($D23,Milestones!$AA$139)&gt;=$Z23),$AC23,IF(AND($Y23&lt;&gt;"",EDATE($D23,Milestones!$AA$139)&gt;=$Y23),$AB23,$AA23)))=Milestones!$AB$139),UPPER(TEXT(EDATE($D23,Milestones!$AA$139),"dd mmm yy"))&amp;" "&amp;Milestones!$AB$139&amp;" "&amp;IF(AND(Milestones!$AB$139="FT",Milestones!$AA$139=FT_Y5,EDATE($D23,Milestones!$AA$139)&lt;PolicyEff),1,Milestones!$AC$139)&amp;";  ",""))</f>
        <v/>
      </c>
      <c r="S23" s="0" t="str">
        <f aca="false">IF(OR($A23="",$D23=""),"",IF(AND(EDATE($D23,Milestones!$AA$140)&lt;=AsOfDate,EDATE($D23,Milestones!$AA$140)&gt;=SchemeStart,IF($X23=0,$AD23,IF(AND($Z23&lt;&gt;"",EDATE($D23,Milestones!$AA$140)&gt;=$Z23),$AC23,IF(AND($Y23&lt;&gt;"",EDATE($D23,Milestones!$AA$140)&gt;=$Y23),$AB23,$AA23)))=Milestones!$AB$140),UPPER(TEXT(EDATE($D23,Milestones!$AA$140),"dd mmm yy"))&amp;" "&amp;Milestones!$AB$140&amp;" "&amp;IF(AND(Milestones!$AB$140="FT",Milestones!$AA$140=FT_Y5,EDATE($D23,Milestones!$AA$140)&lt;PolicyEff),1,Milestones!$AC$140)&amp;";  ","")&amp;IF(AND(EDATE($D23,Milestones!$AA$141)&lt;=AsOfDate,EDATE($D23,Milestones!$AA$141)&gt;=SchemeStart,IF($X23=0,$AD23,IF(AND($Z23&lt;&gt;"",EDATE($D23,Milestones!$AA$141)&gt;=$Z23),$AC23,IF(AND($Y23&lt;&gt;"",EDATE($D23,Milestones!$AA$141)&gt;=$Y23),$AB23,$AA23)))=Milestones!$AB$141),UPPER(TEXT(EDATE($D23,Milestones!$AA$141),"dd mmm yy"))&amp;" "&amp;Milestones!$AB$141&amp;" "&amp;IF(AND(Milestones!$AB$141="FT",Milestones!$AA$141=FT_Y5,EDATE($D23,Milestones!$AA$141)&lt;PolicyEff),1,Milestones!$AC$141)&amp;";  ","")&amp;IF(AND(EDATE($D23,Milestones!$AA$142)&lt;=AsOfDate,EDATE($D23,Milestones!$AA$142)&gt;=SchemeStart,IF($X23=0,$AD23,IF(AND($Z23&lt;&gt;"",EDATE($D23,Milestones!$AA$142)&gt;=$Z23),$AC23,IF(AND($Y23&lt;&gt;"",EDATE($D23,Milestones!$AA$142)&gt;=$Y23),$AB23,$AA23)))=Milestones!$AB$142),UPPER(TEXT(EDATE($D23,Milestones!$AA$142),"dd mmm yy"))&amp;" "&amp;Milestones!$AB$142&amp;" "&amp;IF(AND(Milestones!$AB$142="FT",Milestones!$AA$142=FT_Y5,EDATE($D23,Milestones!$AA$142)&lt;PolicyEff),1,Milestones!$AC$142)&amp;";  ","")&amp;IF(AND(EDATE($D23,Milestones!$AA$143)&lt;=AsOfDate,EDATE($D23,Milestones!$AA$143)&gt;=SchemeStart,IF($X23=0,$AD23,IF(AND($Z23&lt;&gt;"",EDATE($D23,Milestones!$AA$143)&gt;=$Z23),$AC23,IF(AND($Y23&lt;&gt;"",EDATE($D23,Milestones!$AA$143)&gt;=$Y23),$AB23,$AA23)))=Milestones!$AB$143),UPPER(TEXT(EDATE($D23,Milestones!$AA$143),"dd mmm yy"))&amp;" "&amp;Milestones!$AB$143&amp;" "&amp;IF(AND(Milestones!$AB$143="FT",Milestones!$AA$143=FT_Y5,EDATE($D23,Milestones!$AA$143)&lt;PolicyEff),1,Milestones!$AC$143)&amp;";  ","")&amp;IF(AND(EDATE($D23,Milestones!$AA$144)&lt;=AsOfDate,EDATE($D23,Milestones!$AA$144)&gt;=SchemeStart,IF($X23=0,$AD23,IF(AND($Z23&lt;&gt;"",EDATE($D23,Milestones!$AA$144)&gt;=$Z23),$AC23,IF(AND($Y23&lt;&gt;"",EDATE($D23,Milestones!$AA$144)&gt;=$Y23),$AB23,$AA23)))=Milestones!$AB$144),UPPER(TEXT(EDATE($D23,Milestones!$AA$144),"dd mmm yy"))&amp;" "&amp;Milestones!$AB$144&amp;" "&amp;IF(AND(Milestones!$AB$144="FT",Milestones!$AA$144=FT_Y5,EDATE($D23,Milestones!$AA$144)&lt;PolicyEff),1,Milestones!$AC$144)&amp;";  ","")&amp;IF(AND(EDATE($D23,Milestones!$AA$145)&lt;=AsOfDate,EDATE($D23,Milestones!$AA$145)&gt;=SchemeStart,IF($X23=0,$AD23,IF(AND($Z23&lt;&gt;"",EDATE($D23,Milestones!$AA$145)&gt;=$Z23),$AC23,IF(AND($Y23&lt;&gt;"",EDATE($D23,Milestones!$AA$145)&gt;=$Y23),$AB23,$AA23)))=Milestones!$AB$145),UPPER(TEXT(EDATE($D23,Milestones!$AA$145),"dd mmm yy"))&amp;" "&amp;Milestones!$AB$145&amp;" "&amp;IF(AND(Milestones!$AB$145="FT",Milestones!$AA$145=FT_Y5,EDATE($D23,Milestones!$AA$145)&lt;PolicyEff),1,Milestones!$AC$145)&amp;";  ","")&amp;IF(AND(EDATE($D23,Milestones!$AA$146)&lt;=AsOfDate,EDATE($D23,Milestones!$AA$146)&gt;=SchemeStart,IF($X23=0,$AD23,IF(AND($Z23&lt;&gt;"",EDATE($D23,Milestones!$AA$146)&gt;=$Z23),$AC23,IF(AND($Y23&lt;&gt;"",EDATE($D23,Milestones!$AA$146)&gt;=$Y23),$AB23,$AA23)))=Milestones!$AB$146),UPPER(TEXT(EDATE($D23,Milestones!$AA$146),"dd mmm yy"))&amp;" "&amp;Milestones!$AB$146&amp;" "&amp;IF(AND(Milestones!$AB$146="FT",Milestones!$AA$146=FT_Y5,EDATE($D23,Milestones!$AA$146)&lt;PolicyEff),1,Milestones!$AC$146)&amp;";  ","")&amp;IF(AND(EDATE($D23,Milestones!$AA$147)&lt;=AsOfDate,EDATE($D23,Milestones!$AA$147)&gt;=SchemeStart,IF($X23=0,$AD23,IF(AND($Z23&lt;&gt;"",EDATE($D23,Milestones!$AA$147)&gt;=$Z23),$AC23,IF(AND($Y23&lt;&gt;"",EDATE($D23,Milestones!$AA$147)&gt;=$Y23),$AB23,$AA23)))=Milestones!$AB$147),UPPER(TEXT(EDATE($D23,Milestones!$AA$147),"dd mmm yy"))&amp;" "&amp;Milestones!$AB$147&amp;" "&amp;IF(AND(Milestones!$AB$147="FT",Milestones!$AA$147=FT_Y5,EDATE($D23,Milestones!$AA$147)&lt;PolicyEff),1,Milestones!$AC$147)&amp;";  ","")&amp;IF(AND(EDATE($D23,Milestones!$AA$148)&lt;=AsOfDate,EDATE($D23,Milestones!$AA$148)&gt;=SchemeStart,IF($X23=0,$AD23,IF(AND($Z23&lt;&gt;"",EDATE($D23,Milestones!$AA$148)&gt;=$Z23),$AC23,IF(AND($Y23&lt;&gt;"",EDATE($D23,Milestones!$AA$148)&gt;=$Y23),$AB23,$AA23)))=Milestones!$AB$148),UPPER(TEXT(EDATE($D23,Milestones!$AA$148),"dd mmm yy"))&amp;" "&amp;Milestones!$AB$148&amp;" "&amp;IF(AND(Milestones!$AB$148="FT",Milestones!$AA$148=FT_Y5,EDATE($D23,Milestones!$AA$148)&lt;PolicyEff),1,Milestones!$AC$148)&amp;";  ","")&amp;IF(AND(EDATE($D23,Milestones!$AA$149)&lt;=AsOfDate,EDATE($D23,Milestones!$AA$149)&gt;=SchemeStart,IF($X23=0,$AD23,IF(AND($Z23&lt;&gt;"",EDATE($D23,Milestones!$AA$149)&gt;=$Z23),$AC23,IF(AND($Y23&lt;&gt;"",EDATE($D23,Milestones!$AA$149)&gt;=$Y23),$AB23,$AA23)))=Milestones!$AB$149),UPPER(TEXT(EDATE($D23,Milestones!$AA$149),"dd mmm yy"))&amp;" "&amp;Milestones!$AB$149&amp;" "&amp;IF(AND(Milestones!$AB$149="FT",Milestones!$AA$149=FT_Y5,EDATE($D23,Milestones!$AA$149)&lt;PolicyEff),1,Milestones!$AC$149)&amp;";  ","")&amp;IF(AND(EDATE($D23,Milestones!$AA$150)&lt;=AsOfDate,EDATE($D23,Milestones!$AA$150)&gt;=SchemeStart,IF($X23=0,$AD23,IF(AND($Z23&lt;&gt;"",EDATE($D23,Milestones!$AA$150)&gt;=$Z23),$AC23,IF(AND($Y23&lt;&gt;"",EDATE($D23,Milestones!$AA$150)&gt;=$Y23),$AB23,$AA23)))=Milestones!$AB$150),UPPER(TEXT(EDATE($D23,Milestones!$AA$150),"dd mmm yy"))&amp;" "&amp;Milestones!$AB$150&amp;" "&amp;IF(AND(Milestones!$AB$150="FT",Milestones!$AA$150=FT_Y5,EDATE($D23,Milestones!$AA$150)&lt;PolicyEff),1,Milestones!$AC$150)&amp;";  ","")&amp;IF(AND(EDATE($D23,Milestones!$AA$151)&lt;=AsOfDate,EDATE($D23,Milestones!$AA$151)&gt;=SchemeStart,IF($X23=0,$AD23,IF(AND($Z23&lt;&gt;"",EDATE($D23,Milestones!$AA$151)&gt;=$Z23),$AC23,IF(AND($Y23&lt;&gt;"",EDATE($D23,Milestones!$AA$151)&gt;=$Y23),$AB23,$AA23)))=Milestones!$AB$151),UPPER(TEXT(EDATE($D23,Milestones!$AA$151),"dd mmm yy"))&amp;" "&amp;Milestones!$AB$151&amp;" "&amp;IF(AND(Milestones!$AB$151="FT",Milestones!$AA$151=FT_Y5,EDATE($D23,Milestones!$AA$151)&lt;PolicyEff),1,Milestones!$AC$151)&amp;";  ",""))</f>
        <v/>
      </c>
      <c r="T23" s="0" t="str">
        <f aca="false">IF(OR($A23="",$D23=""),"",IF(AND(EDATE($D23,Milestones!$AA$152)&lt;=AsOfDate,EDATE($D23,Milestones!$AA$152)&gt;=SchemeStart,IF($X23=0,$AD23,IF(AND($Z23&lt;&gt;"",EDATE($D23,Milestones!$AA$152)&gt;=$Z23),$AC23,IF(AND($Y23&lt;&gt;"",EDATE($D23,Milestones!$AA$152)&gt;=$Y23),$AB23,$AA23)))=Milestones!$AB$152),UPPER(TEXT(EDATE($D23,Milestones!$AA$152),"dd mmm yy"))&amp;" "&amp;Milestones!$AB$152&amp;" "&amp;IF(AND(Milestones!$AB$152="FT",Milestones!$AA$152=FT_Y5,EDATE($D23,Milestones!$AA$152)&lt;PolicyEff),1,Milestones!$AC$152)&amp;";  ","")&amp;IF(AND(EDATE($D23,Milestones!$AA$153)&lt;=AsOfDate,EDATE($D23,Milestones!$AA$153)&gt;=SchemeStart,IF($X23=0,$AD23,IF(AND($Z23&lt;&gt;"",EDATE($D23,Milestones!$AA$153)&gt;=$Z23),$AC23,IF(AND($Y23&lt;&gt;"",EDATE($D23,Milestones!$AA$153)&gt;=$Y23),$AB23,$AA23)))=Milestones!$AB$153),UPPER(TEXT(EDATE($D23,Milestones!$AA$153),"dd mmm yy"))&amp;" "&amp;Milestones!$AB$153&amp;" "&amp;IF(AND(Milestones!$AB$153="FT",Milestones!$AA$153=FT_Y5,EDATE($D23,Milestones!$AA$153)&lt;PolicyEff),1,Milestones!$AC$153)&amp;";  ","")&amp;IF(AND(EDATE($D23,Milestones!$AA$154)&lt;=AsOfDate,EDATE($D23,Milestones!$AA$154)&gt;=SchemeStart,IF($X23=0,$AD23,IF(AND($Z23&lt;&gt;"",EDATE($D23,Milestones!$AA$154)&gt;=$Z23),$AC23,IF(AND($Y23&lt;&gt;"",EDATE($D23,Milestones!$AA$154)&gt;=$Y23),$AB23,$AA23)))=Milestones!$AB$154),UPPER(TEXT(EDATE($D23,Milestones!$AA$154),"dd mmm yy"))&amp;" "&amp;Milestones!$AB$154&amp;" "&amp;IF(AND(Milestones!$AB$154="FT",Milestones!$AA$154=FT_Y5,EDATE($D23,Milestones!$AA$154)&lt;PolicyEff),1,Milestones!$AC$154)&amp;";  ","")&amp;IF(AND(EDATE($D23,Milestones!$AA$155)&lt;=AsOfDate,EDATE($D23,Milestones!$AA$155)&gt;=SchemeStart,IF($X23=0,$AD23,IF(AND($Z23&lt;&gt;"",EDATE($D23,Milestones!$AA$155)&gt;=$Z23),$AC23,IF(AND($Y23&lt;&gt;"",EDATE($D23,Milestones!$AA$155)&gt;=$Y23),$AB23,$AA23)))=Milestones!$AB$155),UPPER(TEXT(EDATE($D23,Milestones!$AA$155),"dd mmm yy"))&amp;" "&amp;Milestones!$AB$155&amp;" "&amp;IF(AND(Milestones!$AB$155="FT",Milestones!$AA$155=FT_Y5,EDATE($D23,Milestones!$AA$155)&lt;PolicyEff),1,Milestones!$AC$155)&amp;";  ","")&amp;IF(AND(EDATE($D23,Milestones!$AA$156)&lt;=AsOfDate,EDATE($D23,Milestones!$AA$156)&gt;=SchemeStart,IF($X23=0,$AD23,IF(AND($Z23&lt;&gt;"",EDATE($D23,Milestones!$AA$156)&gt;=$Z23),$AC23,IF(AND($Y23&lt;&gt;"",EDATE($D23,Milestones!$AA$156)&gt;=$Y23),$AB23,$AA23)))=Milestones!$AB$156),UPPER(TEXT(EDATE($D23,Milestones!$AA$156),"dd mmm yy"))&amp;" "&amp;Milestones!$AB$156&amp;" "&amp;IF(AND(Milestones!$AB$156="FT",Milestones!$AA$156=FT_Y5,EDATE($D23,Milestones!$AA$156)&lt;PolicyEff),1,Milestones!$AC$156)&amp;";  ","")&amp;IF(AND(EDATE($D23,Milestones!$AA$157)&lt;=AsOfDate,EDATE($D23,Milestones!$AA$157)&gt;=SchemeStart,IF($X23=0,$AD23,IF(AND($Z23&lt;&gt;"",EDATE($D23,Milestones!$AA$157)&gt;=$Z23),$AC23,IF(AND($Y23&lt;&gt;"",EDATE($D23,Milestones!$AA$157)&gt;=$Y23),$AB23,$AA23)))=Milestones!$AB$157),UPPER(TEXT(EDATE($D23,Milestones!$AA$157),"dd mmm yy"))&amp;" "&amp;Milestones!$AB$157&amp;" "&amp;IF(AND(Milestones!$AB$157="FT",Milestones!$AA$157=FT_Y5,EDATE($D23,Milestones!$AA$157)&lt;PolicyEff),1,Milestones!$AC$157)&amp;";  ","")&amp;IF(AND(EDATE($D23,Milestones!$AA$158)&lt;=AsOfDate,EDATE($D23,Milestones!$AA$158)&gt;=SchemeStart,IF($X23=0,$AD23,IF(AND($Z23&lt;&gt;"",EDATE($D23,Milestones!$AA$158)&gt;=$Z23),$AC23,IF(AND($Y23&lt;&gt;"",EDATE($D23,Milestones!$AA$158)&gt;=$Y23),$AB23,$AA23)))=Milestones!$AB$158),UPPER(TEXT(EDATE($D23,Milestones!$AA$158),"dd mmm yy"))&amp;" "&amp;Milestones!$AB$158&amp;" "&amp;IF(AND(Milestones!$AB$158="FT",Milestones!$AA$158=FT_Y5,EDATE($D23,Milestones!$AA$158)&lt;PolicyEff),1,Milestones!$AC$158)&amp;";  ","")&amp;IF(AND(EDATE($D23,Milestones!$AA$159)&lt;=AsOfDate,EDATE($D23,Milestones!$AA$159)&gt;=SchemeStart,IF($X23=0,$AD23,IF(AND($Z23&lt;&gt;"",EDATE($D23,Milestones!$AA$159)&gt;=$Z23),$AC23,IF(AND($Y23&lt;&gt;"",EDATE($D23,Milestones!$AA$159)&gt;=$Y23),$AB23,$AA23)))=Milestones!$AB$159),UPPER(TEXT(EDATE($D23,Milestones!$AA$159),"dd mmm yy"))&amp;" "&amp;Milestones!$AB$159&amp;" "&amp;IF(AND(Milestones!$AB$159="FT",Milestones!$AA$159=FT_Y5,EDATE($D23,Milestones!$AA$159)&lt;PolicyEff),1,Milestones!$AC$159)&amp;";  ","")&amp;IF(AND(EDATE($D23,Milestones!$AA$160)&lt;=AsOfDate,EDATE($D23,Milestones!$AA$160)&gt;=SchemeStart,IF($X23=0,$AD23,IF(AND($Z23&lt;&gt;"",EDATE($D23,Milestones!$AA$160)&gt;=$Z23),$AC23,IF(AND($Y23&lt;&gt;"",EDATE($D23,Milestones!$AA$160)&gt;=$Y23),$AB23,$AA23)))=Milestones!$AB$160),UPPER(TEXT(EDATE($D23,Milestones!$AA$160),"dd mmm yy"))&amp;" "&amp;Milestones!$AB$160&amp;" "&amp;IF(AND(Milestones!$AB$160="FT",Milestones!$AA$160=FT_Y5,EDATE($D23,Milestones!$AA$160)&lt;PolicyEff),1,Milestones!$AC$160)&amp;";  ","")&amp;IF(AND(EDATE($D23,Milestones!$AA$161)&lt;=AsOfDate,EDATE($D23,Milestones!$AA$161)&gt;=SchemeStart,IF($X23=0,$AD23,IF(AND($Z23&lt;&gt;"",EDATE($D23,Milestones!$AA$161)&gt;=$Z23),$AC23,IF(AND($Y23&lt;&gt;"",EDATE($D23,Milestones!$AA$161)&gt;=$Y23),$AB23,$AA23)))=Milestones!$AB$161),UPPER(TEXT(EDATE($D23,Milestones!$AA$161),"dd mmm yy"))&amp;" "&amp;Milestones!$AB$161&amp;" "&amp;IF(AND(Milestones!$AB$161="FT",Milestones!$AA$161=FT_Y5,EDATE($D23,Milestones!$AA$161)&lt;PolicyEff),1,Milestones!$AC$161)&amp;";  ","")&amp;IF(AND(EDATE($D23,Milestones!$AA$162)&lt;=AsOfDate,EDATE($D23,Milestones!$AA$162)&gt;=SchemeStart,IF($X23=0,$AD23,IF(AND($Z23&lt;&gt;"",EDATE($D23,Milestones!$AA$162)&gt;=$Z23),$AC23,IF(AND($Y23&lt;&gt;"",EDATE($D23,Milestones!$AA$162)&gt;=$Y23),$AB23,$AA23)))=Milestones!$AB$162),UPPER(TEXT(EDATE($D23,Milestones!$AA$162),"dd mmm yy"))&amp;" "&amp;Milestones!$AB$162&amp;" "&amp;IF(AND(Milestones!$AB$162="FT",Milestones!$AA$162=FT_Y5,EDATE($D23,Milestones!$AA$162)&lt;PolicyEff),1,Milestones!$AC$162)&amp;";  ","")&amp;IF(AND(EDATE($D23,Milestones!$AA$163)&lt;=AsOfDate,EDATE($D23,Milestones!$AA$163)&gt;=SchemeStart,IF($X23=0,$AD23,IF(AND($Z23&lt;&gt;"",EDATE($D23,Milestones!$AA$163)&gt;=$Z23),$AC23,IF(AND($Y23&lt;&gt;"",EDATE($D23,Milestones!$AA$163)&gt;=$Y23),$AB23,$AA23)))=Milestones!$AB$163),UPPER(TEXT(EDATE($D23,Milestones!$AA$163),"dd mmm yy"))&amp;" "&amp;Milestones!$AB$163&amp;" "&amp;IF(AND(Milestones!$AB$163="FT",Milestones!$AA$163=FT_Y5,EDATE($D23,Milestones!$AA$163)&lt;PolicyEff),1,Milestones!$AC$163)&amp;";  ",""))</f>
        <v/>
      </c>
      <c r="U23" s="0" t="str">
        <f aca="false">IF(OR($A23="",$D23=""),"",IF(AND(EDATE($D23,Milestones!$AA$164)&lt;=AsOfDate,EDATE($D23,Milestones!$AA$164)&gt;=SchemeStart,IF($X23=0,$AD23,IF(AND($Z23&lt;&gt;"",EDATE($D23,Milestones!$AA$164)&gt;=$Z23),$AC23,IF(AND($Y23&lt;&gt;"",EDATE($D23,Milestones!$AA$164)&gt;=$Y23),$AB23,$AA23)))=Milestones!$AB$164),UPPER(TEXT(EDATE($D23,Milestones!$AA$164),"dd mmm yy"))&amp;" "&amp;Milestones!$AB$164&amp;" "&amp;IF(AND(Milestones!$AB$164="FT",Milestones!$AA$164=FT_Y5,EDATE($D23,Milestones!$AA$164)&lt;PolicyEff),1,Milestones!$AC$164)&amp;";  ","")&amp;IF(AND(EDATE($D23,Milestones!$AA$165)&lt;=AsOfDate,EDATE($D23,Milestones!$AA$165)&gt;=SchemeStart,IF($X23=0,$AD23,IF(AND($Z23&lt;&gt;"",EDATE($D23,Milestones!$AA$165)&gt;=$Z23),$AC23,IF(AND($Y23&lt;&gt;"",EDATE($D23,Milestones!$AA$165)&gt;=$Y23),$AB23,$AA23)))=Milestones!$AB$165),UPPER(TEXT(EDATE($D23,Milestones!$AA$165),"dd mmm yy"))&amp;" "&amp;Milestones!$AB$165&amp;" "&amp;IF(AND(Milestones!$AB$165="FT",Milestones!$AA$165=FT_Y5,EDATE($D23,Milestones!$AA$165)&lt;PolicyEff),1,Milestones!$AC$165)&amp;";  ","")&amp;IF(AND(EDATE($D23,Milestones!$AA$166)&lt;=AsOfDate,EDATE($D23,Milestones!$AA$166)&gt;=SchemeStart,IF($X23=0,$AD23,IF(AND($Z23&lt;&gt;"",EDATE($D23,Milestones!$AA$166)&gt;=$Z23),$AC23,IF(AND($Y23&lt;&gt;"",EDATE($D23,Milestones!$AA$166)&gt;=$Y23),$AB23,$AA23)))=Milestones!$AB$166),UPPER(TEXT(EDATE($D23,Milestones!$AA$166),"dd mmm yy"))&amp;" "&amp;Milestones!$AB$166&amp;" "&amp;IF(AND(Milestones!$AB$166="FT",Milestones!$AA$166=FT_Y5,EDATE($D23,Milestones!$AA$166)&lt;PolicyEff),1,Milestones!$AC$166)&amp;";  ","")&amp;IF(AND(EDATE($D23,Milestones!$AA$167)&lt;=AsOfDate,EDATE($D23,Milestones!$AA$167)&gt;=SchemeStart,IF($X23=0,$AD23,IF(AND($Z23&lt;&gt;"",EDATE($D23,Milestones!$AA$167)&gt;=$Z23),$AC23,IF(AND($Y23&lt;&gt;"",EDATE($D23,Milestones!$AA$167)&gt;=$Y23),$AB23,$AA23)))=Milestones!$AB$167),UPPER(TEXT(EDATE($D23,Milestones!$AA$167),"dd mmm yy"))&amp;" "&amp;Milestones!$AB$167&amp;" "&amp;IF(AND(Milestones!$AB$167="FT",Milestones!$AA$167=FT_Y5,EDATE($D23,Milestones!$AA$167)&lt;PolicyEff),1,Milestones!$AC$167)&amp;";  ","")&amp;IF(AND(EDATE($D23,Milestones!$AA$168)&lt;=AsOfDate,EDATE($D23,Milestones!$AA$168)&gt;=SchemeStart,IF($X23=0,$AD23,IF(AND($Z23&lt;&gt;"",EDATE($D23,Milestones!$AA$168)&gt;=$Z23),$AC23,IF(AND($Y23&lt;&gt;"",EDATE($D23,Milestones!$AA$168)&gt;=$Y23),$AB23,$AA23)))=Milestones!$AB$168),UPPER(TEXT(EDATE($D23,Milestones!$AA$168),"dd mmm yy"))&amp;" "&amp;Milestones!$AB$168&amp;" "&amp;IF(AND(Milestones!$AB$168="FT",Milestones!$AA$168=FT_Y5,EDATE($D23,Milestones!$AA$168)&lt;PolicyEff),1,Milestones!$AC$168)&amp;";  ","")&amp;IF(AND(EDATE($D23,Milestones!$AA$169)&lt;=AsOfDate,EDATE($D23,Milestones!$AA$169)&gt;=SchemeStart,IF($X23=0,$AD23,IF(AND($Z23&lt;&gt;"",EDATE($D23,Milestones!$AA$169)&gt;=$Z23),$AC23,IF(AND($Y23&lt;&gt;"",EDATE($D23,Milestones!$AA$169)&gt;=$Y23),$AB23,$AA23)))=Milestones!$AB$169),UPPER(TEXT(EDATE($D23,Milestones!$AA$169),"dd mmm yy"))&amp;" "&amp;Milestones!$AB$169&amp;" "&amp;IF(AND(Milestones!$AB$169="FT",Milestones!$AA$169=FT_Y5,EDATE($D23,Milestones!$AA$169)&lt;PolicyEff),1,Milestones!$AC$169)&amp;";  ","")&amp;IF(AND(EDATE($D23,Milestones!$AA$170)&lt;=AsOfDate,EDATE($D23,Milestones!$AA$170)&gt;=SchemeStart,IF($X23=0,$AD23,IF(AND($Z23&lt;&gt;"",EDATE($D23,Milestones!$AA$170)&gt;=$Z23),$AC23,IF(AND($Y23&lt;&gt;"",EDATE($D23,Milestones!$AA$170)&gt;=$Y23),$AB23,$AA23)))=Milestones!$AB$170),UPPER(TEXT(EDATE($D23,Milestones!$AA$170),"dd mmm yy"))&amp;" "&amp;Milestones!$AB$170&amp;" "&amp;IF(AND(Milestones!$AB$170="FT",Milestones!$AA$170=FT_Y5,EDATE($D23,Milestones!$AA$170)&lt;PolicyEff),1,Milestones!$AC$170)&amp;";  ","")&amp;IF(AND(EDATE($D23,Milestones!$AA$171)&lt;=AsOfDate,EDATE($D23,Milestones!$AA$171)&gt;=SchemeStart,IF($X23=0,$AD23,IF(AND($Z23&lt;&gt;"",EDATE($D23,Milestones!$AA$171)&gt;=$Z23),$AC23,IF(AND($Y23&lt;&gt;"",EDATE($D23,Milestones!$AA$171)&gt;=$Y23),$AB23,$AA23)))=Milestones!$AB$171),UPPER(TEXT(EDATE($D23,Milestones!$AA$171),"dd mmm yy"))&amp;" "&amp;Milestones!$AB$171&amp;" "&amp;IF(AND(Milestones!$AB$171="FT",Milestones!$AA$171=FT_Y5,EDATE($D23,Milestones!$AA$171)&lt;PolicyEff),1,Milestones!$AC$171)&amp;";  ","")&amp;IF(AND(EDATE($D23,Milestones!$AA$172)&lt;=AsOfDate,EDATE($D23,Milestones!$AA$172)&gt;=SchemeStart,IF($X23=0,$AD23,IF(AND($Z23&lt;&gt;"",EDATE($D23,Milestones!$AA$172)&gt;=$Z23),$AC23,IF(AND($Y23&lt;&gt;"",EDATE($D23,Milestones!$AA$172)&gt;=$Y23),$AB23,$AA23)))=Milestones!$AB$172),UPPER(TEXT(EDATE($D23,Milestones!$AA$172),"dd mmm yy"))&amp;" "&amp;Milestones!$AB$172&amp;" "&amp;IF(AND(Milestones!$AB$172="FT",Milestones!$AA$172=FT_Y5,EDATE($D23,Milestones!$AA$172)&lt;PolicyEff),1,Milestones!$AC$172)&amp;";  ","")&amp;IF(AND(EDATE($D23,Milestones!$AA$173)&lt;=AsOfDate,EDATE($D23,Milestones!$AA$173)&gt;=SchemeStart,IF($X23=0,$AD23,IF(AND($Z23&lt;&gt;"",EDATE($D23,Milestones!$AA$173)&gt;=$Z23),$AC23,IF(AND($Y23&lt;&gt;"",EDATE($D23,Milestones!$AA$173)&gt;=$Y23),$AB23,$AA23)))=Milestones!$AB$173),UPPER(TEXT(EDATE($D23,Milestones!$AA$173),"dd mmm yy"))&amp;" "&amp;Milestones!$AB$173&amp;" "&amp;IF(AND(Milestones!$AB$173="FT",Milestones!$AA$173=FT_Y5,EDATE($D23,Milestones!$AA$173)&lt;PolicyEff),1,Milestones!$AC$173)&amp;";  ","")&amp;IF(AND(EDATE($D23,Milestones!$AA$174)&lt;=AsOfDate,EDATE($D23,Milestones!$AA$174)&gt;=SchemeStart,IF($X23=0,$AD23,IF(AND($Z23&lt;&gt;"",EDATE($D23,Milestones!$AA$174)&gt;=$Z23),$AC23,IF(AND($Y23&lt;&gt;"",EDATE($D23,Milestones!$AA$174)&gt;=$Y23),$AB23,$AA23)))=Milestones!$AB$174),UPPER(TEXT(EDATE($D23,Milestones!$AA$174),"dd mmm yy"))&amp;" "&amp;Milestones!$AB$174&amp;" "&amp;IF(AND(Milestones!$AB$174="FT",Milestones!$AA$174=FT_Y5,EDATE($D23,Milestones!$AA$174)&lt;PolicyEff),1,Milestones!$AC$174)&amp;";  ","")&amp;IF(AND(EDATE($D23,Milestones!$AA$175)&lt;=AsOfDate,EDATE($D23,Milestones!$AA$175)&gt;=SchemeStart,IF($X23=0,$AD23,IF(AND($Z23&lt;&gt;"",EDATE($D23,Milestones!$AA$175)&gt;=$Z23),$AC23,IF(AND($Y23&lt;&gt;"",EDATE($D23,Milestones!$AA$175)&gt;=$Y23),$AB23,$AA23)))=Milestones!$AB$175),UPPER(TEXT(EDATE($D23,Milestones!$AA$175),"dd mmm yy"))&amp;" "&amp;Milestones!$AB$175&amp;" "&amp;IF(AND(Milestones!$AB$175="FT",Milestones!$AA$175=FT_Y5,EDATE($D23,Milestones!$AA$175)&lt;PolicyEff),1,Milestones!$AC$175)&amp;";  ",""))</f>
        <v/>
      </c>
      <c r="V23" s="0" t="str">
        <f aca="false">IF(OR($A23="",$D23=""),"",IF(AND(EDATE($D23,Milestones!$AA$176)&lt;=AsOfDate,EDATE($D23,Milestones!$AA$176)&gt;=SchemeStart,IF($X23=0,$AD23,IF(AND($Z23&lt;&gt;"",EDATE($D23,Milestones!$AA$176)&gt;=$Z23),$AC23,IF(AND($Y23&lt;&gt;"",EDATE($D23,Milestones!$AA$176)&gt;=$Y23),$AB23,$AA23)))=Milestones!$AB$176),UPPER(TEXT(EDATE($D23,Milestones!$AA$176),"dd mmm yy"))&amp;" "&amp;Milestones!$AB$176&amp;" "&amp;IF(AND(Milestones!$AB$176="FT",Milestones!$AA$176=FT_Y5,EDATE($D23,Milestones!$AA$176)&lt;PolicyEff),1,Milestones!$AC$176)&amp;";  ","")&amp;IF(AND(EDATE($D23,Milestones!$AA$177)&lt;=AsOfDate,EDATE($D23,Milestones!$AA$177)&gt;=SchemeStart,IF($X23=0,$AD23,IF(AND($Z23&lt;&gt;"",EDATE($D23,Milestones!$AA$177)&gt;=$Z23),$AC23,IF(AND($Y23&lt;&gt;"",EDATE($D23,Milestones!$AA$177)&gt;=$Y23),$AB23,$AA23)))=Milestones!$AB$177),UPPER(TEXT(EDATE($D23,Milestones!$AA$177),"dd mmm yy"))&amp;" "&amp;Milestones!$AB$177&amp;" "&amp;IF(AND(Milestones!$AB$177="FT",Milestones!$AA$177=FT_Y5,EDATE($D23,Milestones!$AA$177)&lt;PolicyEff),1,Milestones!$AC$177)&amp;";  ","")&amp;IF(AND(EDATE($D23,Milestones!$AA$178)&lt;=AsOfDate,EDATE($D23,Milestones!$AA$178)&gt;=SchemeStart,IF($X23=0,$AD23,IF(AND($Z23&lt;&gt;"",EDATE($D23,Milestones!$AA$178)&gt;=$Z23),$AC23,IF(AND($Y23&lt;&gt;"",EDATE($D23,Milestones!$AA$178)&gt;=$Y23),$AB23,$AA23)))=Milestones!$AB$178),UPPER(TEXT(EDATE($D23,Milestones!$AA$178),"dd mmm yy"))&amp;" "&amp;Milestones!$AB$178&amp;" "&amp;IF(AND(Milestones!$AB$178="FT",Milestones!$AA$178=FT_Y5,EDATE($D23,Milestones!$AA$178)&lt;PolicyEff),1,Milestones!$AC$178)&amp;";  ","")&amp;IF(AND(EDATE($D23,Milestones!$AA$179)&lt;=AsOfDate,EDATE($D23,Milestones!$AA$179)&gt;=SchemeStart,IF($X23=0,$AD23,IF(AND($Z23&lt;&gt;"",EDATE($D23,Milestones!$AA$179)&gt;=$Z23),$AC23,IF(AND($Y23&lt;&gt;"",EDATE($D23,Milestones!$AA$179)&gt;=$Y23),$AB23,$AA23)))=Milestones!$AB$179),UPPER(TEXT(EDATE($D23,Milestones!$AA$179),"dd mmm yy"))&amp;" "&amp;Milestones!$AB$179&amp;" "&amp;IF(AND(Milestones!$AB$179="FT",Milestones!$AA$179=FT_Y5,EDATE($D23,Milestones!$AA$179)&lt;PolicyEff),1,Milestones!$AC$179)&amp;";  ","")&amp;IF(AND(EDATE($D23,Milestones!$AA$180)&lt;=AsOfDate,EDATE($D23,Milestones!$AA$180)&gt;=SchemeStart,IF($X23=0,$AD23,IF(AND($Z23&lt;&gt;"",EDATE($D23,Milestones!$AA$180)&gt;=$Z23),$AC23,IF(AND($Y23&lt;&gt;"",EDATE($D23,Milestones!$AA$180)&gt;=$Y23),$AB23,$AA23)))=Milestones!$AB$180),UPPER(TEXT(EDATE($D23,Milestones!$AA$180),"dd mmm yy"))&amp;" "&amp;Milestones!$AB$180&amp;" "&amp;IF(AND(Milestones!$AB$180="FT",Milestones!$AA$180=FT_Y5,EDATE($D23,Milestones!$AA$180)&lt;PolicyEff),1,Milestones!$AC$180)&amp;";  ","")&amp;IF(AND(EDATE($D23,Milestones!$AA$181)&lt;=AsOfDate,EDATE($D23,Milestones!$AA$181)&gt;=SchemeStart,IF($X23=0,$AD23,IF(AND($Z23&lt;&gt;"",EDATE($D23,Milestones!$AA$181)&gt;=$Z23),$AC23,IF(AND($Y23&lt;&gt;"",EDATE($D23,Milestones!$AA$181)&gt;=$Y23),$AB23,$AA23)))=Milestones!$AB$181),UPPER(TEXT(EDATE($D23,Milestones!$AA$181),"dd mmm yy"))&amp;" "&amp;Milestones!$AB$181&amp;" "&amp;IF(AND(Milestones!$AB$181="FT",Milestones!$AA$181=FT_Y5,EDATE($D23,Milestones!$AA$181)&lt;PolicyEff),1,Milestones!$AC$181)&amp;";  ","")&amp;IF(AND(EDATE($D23,Milestones!$AA$182)&lt;=AsOfDate,EDATE($D23,Milestones!$AA$182)&gt;=SchemeStart,IF($X23=0,$AD23,IF(AND($Z23&lt;&gt;"",EDATE($D23,Milestones!$AA$182)&gt;=$Z23),$AC23,IF(AND($Y23&lt;&gt;"",EDATE($D23,Milestones!$AA$182)&gt;=$Y23),$AB23,$AA23)))=Milestones!$AB$182),UPPER(TEXT(EDATE($D23,Milestones!$AA$182),"dd mmm yy"))&amp;" "&amp;Milestones!$AB$182&amp;" "&amp;IF(AND(Milestones!$AB$182="FT",Milestones!$AA$182=FT_Y5,EDATE($D23,Milestones!$AA$182)&lt;PolicyEff),1,Milestones!$AC$182)&amp;";  ","")&amp;IF(AND(EDATE($D23,Milestones!$AA$183)&lt;=AsOfDate,EDATE($D23,Milestones!$AA$183)&gt;=SchemeStart,IF($X23=0,$AD23,IF(AND($Z23&lt;&gt;"",EDATE($D23,Milestones!$AA$183)&gt;=$Z23),$AC23,IF(AND($Y23&lt;&gt;"",EDATE($D23,Milestones!$AA$183)&gt;=$Y23),$AB23,$AA23)))=Milestones!$AB$183),UPPER(TEXT(EDATE($D23,Milestones!$AA$183),"dd mmm yy"))&amp;" "&amp;Milestones!$AB$183&amp;" "&amp;IF(AND(Milestones!$AB$183="FT",Milestones!$AA$183=FT_Y5,EDATE($D23,Milestones!$AA$183)&lt;PolicyEff),1,Milestones!$AC$183)&amp;";  ","")&amp;IF(AND(EDATE($D23,Milestones!$AA$184)&lt;=AsOfDate,EDATE($D23,Milestones!$AA$184)&gt;=SchemeStart,IF($X23=0,$AD23,IF(AND($Z23&lt;&gt;"",EDATE($D23,Milestones!$AA$184)&gt;=$Z23),$AC23,IF(AND($Y23&lt;&gt;"",EDATE($D23,Milestones!$AA$184)&gt;=$Y23),$AB23,$AA23)))=Milestones!$AB$184),UPPER(TEXT(EDATE($D23,Milestones!$AA$184),"dd mmm yy"))&amp;" "&amp;Milestones!$AB$184&amp;" "&amp;IF(AND(Milestones!$AB$184="FT",Milestones!$AA$184=FT_Y5,EDATE($D23,Milestones!$AA$184)&lt;PolicyEff),1,Milestones!$AC$184)&amp;";  ","")&amp;IF(AND(EDATE($D23,Milestones!$AA$185)&lt;=AsOfDate,EDATE($D23,Milestones!$AA$185)&gt;=SchemeStart,IF($X23=0,$AD23,IF(AND($Z23&lt;&gt;"",EDATE($D23,Milestones!$AA$185)&gt;=$Z23),$AC23,IF(AND($Y23&lt;&gt;"",EDATE($D23,Milestones!$AA$185)&gt;=$Y23),$AB23,$AA23)))=Milestones!$AB$185),UPPER(TEXT(EDATE($D23,Milestones!$AA$185),"dd mmm yy"))&amp;" "&amp;Milestones!$AB$185&amp;" "&amp;IF(AND(Milestones!$AB$185="FT",Milestones!$AA$185=FT_Y5,EDATE($D23,Milestones!$AA$185)&lt;PolicyEff),1,Milestones!$AC$185)&amp;";  ","")&amp;IF(AND(EDATE($D23,Milestones!$AA$186)&lt;=AsOfDate,EDATE($D23,Milestones!$AA$186)&gt;=SchemeStart,IF($X23=0,$AD23,IF(AND($Z23&lt;&gt;"",EDATE($D23,Milestones!$AA$186)&gt;=$Z23),$AC23,IF(AND($Y23&lt;&gt;"",EDATE($D23,Milestones!$AA$186)&gt;=$Y23),$AB23,$AA23)))=Milestones!$AB$186),UPPER(TEXT(EDATE($D23,Milestones!$AA$186),"dd mmm yy"))&amp;" "&amp;Milestones!$AB$186&amp;" "&amp;IF(AND(Milestones!$AB$186="FT",Milestones!$AA$186=FT_Y5,EDATE($D23,Milestones!$AA$186)&lt;PolicyEff),1,Milestones!$AC$186)&amp;";  ","")&amp;IF(AND(EDATE($D23,Milestones!$AA$187)&lt;=AsOfDate,EDATE($D23,Milestones!$AA$187)&gt;=SchemeStart,IF($X23=0,$AD23,IF(AND($Z23&lt;&gt;"",EDATE($D23,Milestones!$AA$187)&gt;=$Z23),$AC23,IF(AND($Y23&lt;&gt;"",EDATE($D23,Milestones!$AA$187)&gt;=$Y23),$AB23,$AA23)))=Milestones!$AB$187),UPPER(TEXT(EDATE($D23,Milestones!$AA$187),"dd mmm yy"))&amp;" "&amp;Milestones!$AB$187&amp;" "&amp;IF(AND(Milestones!$AB$187="FT",Milestones!$AA$187=FT_Y5,EDATE($D23,Milestones!$AA$187)&lt;PolicyEff),1,Milestones!$AC$187)&amp;";  ",""))</f>
        <v/>
      </c>
      <c r="W23" s="0" t="str">
        <f aca="false">IF(OR($A23="",$D23=""),"",IF(AND(EDATE($D23,Milestones!$AA$188)&lt;=AsOfDate,EDATE($D23,Milestones!$AA$188)&gt;=SchemeStart,IF($X23=0,$AD23,IF(AND($Z23&lt;&gt;"",EDATE($D23,Milestones!$AA$188)&gt;=$Z23),$AC23,IF(AND($Y23&lt;&gt;"",EDATE($D23,Milestones!$AA$188)&gt;=$Y23),$AB23,$AA23)))=Milestones!$AB$188),UPPER(TEXT(EDATE($D23,Milestones!$AA$188),"dd mmm yy"))&amp;" "&amp;Milestones!$AB$188&amp;" "&amp;IF(AND(Milestones!$AB$188="FT",Milestones!$AA$188=FT_Y5,EDATE($D23,Milestones!$AA$188)&lt;PolicyEff),1,Milestones!$AC$188)&amp;";  ","")&amp;IF(AND(EDATE($D23,Milestones!$AA$189)&lt;=AsOfDate,EDATE($D23,Milestones!$AA$189)&gt;=SchemeStart,IF($X23=0,$AD23,IF(AND($Z23&lt;&gt;"",EDATE($D23,Milestones!$AA$189)&gt;=$Z23),$AC23,IF(AND($Y23&lt;&gt;"",EDATE($D23,Milestones!$AA$189)&gt;=$Y23),$AB23,$AA23)))=Milestones!$AB$189),UPPER(TEXT(EDATE($D23,Milestones!$AA$189),"dd mmm yy"))&amp;" "&amp;Milestones!$AB$189&amp;" "&amp;IF(AND(Milestones!$AB$189="FT",Milestones!$AA$189=FT_Y5,EDATE($D23,Milestones!$AA$189)&lt;PolicyEff),1,Milestones!$AC$189)&amp;";  ","")&amp;IF(AND(EDATE($D23,Milestones!$AA$190)&lt;=AsOfDate,EDATE($D23,Milestones!$AA$190)&gt;=SchemeStart,IF($X23=0,$AD23,IF(AND($Z23&lt;&gt;"",EDATE($D23,Milestones!$AA$190)&gt;=$Z23),$AC23,IF(AND($Y23&lt;&gt;"",EDATE($D23,Milestones!$AA$190)&gt;=$Y23),$AB23,$AA23)))=Milestones!$AB$190),UPPER(TEXT(EDATE($D23,Milestones!$AA$190),"dd mmm yy"))&amp;" "&amp;Milestones!$AB$190&amp;" "&amp;IF(AND(Milestones!$AB$190="FT",Milestones!$AA$190=FT_Y5,EDATE($D23,Milestones!$AA$190)&lt;PolicyEff),1,Milestones!$AC$190)&amp;";  ","")&amp;IF(AND(EDATE($D23,Milestones!$AA$191)&lt;=AsOfDate,EDATE($D23,Milestones!$AA$191)&gt;=SchemeStart,IF($X23=0,$AD23,IF(AND($Z23&lt;&gt;"",EDATE($D23,Milestones!$AA$191)&gt;=$Z23),$AC23,IF(AND($Y23&lt;&gt;"",EDATE($D23,Milestones!$AA$191)&gt;=$Y23),$AB23,$AA23)))=Milestones!$AB$191),UPPER(TEXT(EDATE($D23,Milestones!$AA$191),"dd mmm yy"))&amp;" "&amp;Milestones!$AB$191&amp;" "&amp;IF(AND(Milestones!$AB$191="FT",Milestones!$AA$191=FT_Y5,EDATE($D23,Milestones!$AA$191)&lt;PolicyEff),1,Milestones!$AC$191)&amp;";  ","")&amp;IF(AND(EDATE($D23,Milestones!$AA$192)&lt;=AsOfDate,EDATE($D23,Milestones!$AA$192)&gt;=SchemeStart,IF($X23=0,$AD23,IF(AND($Z23&lt;&gt;"",EDATE($D23,Milestones!$AA$192)&gt;=$Z23),$AC23,IF(AND($Y23&lt;&gt;"",EDATE($D23,Milestones!$AA$192)&gt;=$Y23),$AB23,$AA23)))=Milestones!$AB$192),UPPER(TEXT(EDATE($D23,Milestones!$AA$192),"dd mmm yy"))&amp;" "&amp;Milestones!$AB$192&amp;" "&amp;IF(AND(Milestones!$AB$192="FT",Milestones!$AA$192=FT_Y5,EDATE($D23,Milestones!$AA$192)&lt;PolicyEff),1,Milestones!$AC$192)&amp;";  ","")&amp;IF(AND(EDATE($D23,Milestones!$AA$193)&lt;=AsOfDate,EDATE($D23,Milestones!$AA$193)&gt;=SchemeStart,IF($X23=0,$AD23,IF(AND($Z23&lt;&gt;"",EDATE($D23,Milestones!$AA$193)&gt;=$Z23),$AC23,IF(AND($Y23&lt;&gt;"",EDATE($D23,Milestones!$AA$193)&gt;=$Y23),$AB23,$AA23)))=Milestones!$AB$193),UPPER(TEXT(EDATE($D23,Milestones!$AA$193),"dd mmm yy"))&amp;" "&amp;Milestones!$AB$193&amp;" "&amp;IF(AND(Milestones!$AB$193="FT",Milestones!$AA$193=FT_Y5,EDATE($D23,Milestones!$AA$193)&lt;PolicyEff),1,Milestones!$AC$193)&amp;";  ","")&amp;IF(AND(EDATE($D23,Milestones!$AA$194)&lt;=AsOfDate,EDATE($D23,Milestones!$AA$194)&gt;=SchemeStart,IF($X23=0,$AD23,IF(AND($Z23&lt;&gt;"",EDATE($D23,Milestones!$AA$194)&gt;=$Z23),$AC23,IF(AND($Y23&lt;&gt;"",EDATE($D23,Milestones!$AA$194)&gt;=$Y23),$AB23,$AA23)))=Milestones!$AB$194),UPPER(TEXT(EDATE($D23,Milestones!$AA$194),"dd mmm yy"))&amp;" "&amp;Milestones!$AB$194&amp;" "&amp;IF(AND(Milestones!$AB$194="FT",Milestones!$AA$194=FT_Y5,EDATE($D23,Milestones!$AA$194)&lt;PolicyEff),1,Milestones!$AC$194)&amp;";  ","")&amp;IF(AND(EDATE($D23,Milestones!$AA$195)&lt;=AsOfDate,EDATE($D23,Milestones!$AA$195)&gt;=SchemeStart,IF($X23=0,$AD23,IF(AND($Z23&lt;&gt;"",EDATE($D23,Milestones!$AA$195)&gt;=$Z23),$AC23,IF(AND($Y23&lt;&gt;"",EDATE($D23,Milestones!$AA$195)&gt;=$Y23),$AB23,$AA23)))=Milestones!$AB$195),UPPER(TEXT(EDATE($D23,Milestones!$AA$195),"dd mmm yy"))&amp;" "&amp;Milestones!$AB$195&amp;" "&amp;IF(AND(Milestones!$AB$195="FT",Milestones!$AA$195=FT_Y5,EDATE($D23,Milestones!$AA$195)&lt;PolicyEff),1,Milestones!$AC$195)&amp;";  ","")&amp;IF(AND(EDATE($D23,Milestones!$AA$196)&lt;=AsOfDate,EDATE($D23,Milestones!$AA$196)&gt;=SchemeStart,IF($X23=0,$AD23,IF(AND($Z23&lt;&gt;"",EDATE($D23,Milestones!$AA$196)&gt;=$Z23),$AC23,IF(AND($Y23&lt;&gt;"",EDATE($D23,Milestones!$AA$196)&gt;=$Y23),$AB23,$AA23)))=Milestones!$AB$196),UPPER(TEXT(EDATE($D23,Milestones!$AA$196),"dd mmm yy"))&amp;" "&amp;Milestones!$AB$196&amp;" "&amp;IF(AND(Milestones!$AB$196="FT",Milestones!$AA$196=FT_Y5,EDATE($D23,Milestones!$AA$196)&lt;PolicyEff),1,Milestones!$AC$196)&amp;";  ","")&amp;IF(AND(EDATE($D23,Milestones!$AA$197)&lt;=AsOfDate,EDATE($D23,Milestones!$AA$197)&gt;=SchemeStart,IF($X23=0,$AD23,IF(AND($Z23&lt;&gt;"",EDATE($D23,Milestones!$AA$197)&gt;=$Z23),$AC23,IF(AND($Y23&lt;&gt;"",EDATE($D23,Milestones!$AA$197)&gt;=$Y23),$AB23,$AA23)))=Milestones!$AB$197),UPPER(TEXT(EDATE($D23,Milestones!$AA$197),"dd mmm yy"))&amp;" "&amp;Milestones!$AB$197&amp;" "&amp;IF(AND(Milestones!$AB$197="FT",Milestones!$AA$197=FT_Y5,EDATE($D23,Milestones!$AA$197)&lt;PolicyEff),1,Milestones!$AC$197)&amp;";  ","")&amp;IF(AND(EDATE($D23,Milestones!$AA$198)&lt;=AsOfDate,EDATE($D23,Milestones!$AA$198)&gt;=SchemeStart,IF($X23=0,$AD23,IF(AND($Z23&lt;&gt;"",EDATE($D23,Milestones!$AA$198)&gt;=$Z23),$AC23,IF(AND($Y23&lt;&gt;"",EDATE($D23,Milestones!$AA$198)&gt;=$Y23),$AB23,$AA23)))=Milestones!$AB$198),UPPER(TEXT(EDATE($D23,Milestones!$AA$198),"dd mmm yy"))&amp;" "&amp;Milestones!$AB$198&amp;" "&amp;IF(AND(Milestones!$AB$198="FT",Milestones!$AA$198=FT_Y5,EDATE($D23,Milestones!$AA$198)&lt;PolicyEff),1,Milestones!$AC$198)&amp;";  ","")&amp;IF(AND(EDATE($D23,Milestones!$AA$199)&lt;=AsOfDate,EDATE($D23,Milestones!$AA$199)&gt;=SchemeStart,IF($X23=0,$AD23,IF(AND($Z23&lt;&gt;"",EDATE($D23,Milestones!$AA$199)&gt;=$Z23),$AC23,IF(AND($Y23&lt;&gt;"",EDATE($D23,Milestones!$AA$199)&gt;=$Y23),$AB23,$AA23)))=Milestones!$AB$199),UPPER(TEXT(EDATE($D23,Milestones!$AA$199),"dd mmm yy"))&amp;" "&amp;Milestones!$AB$199&amp;" "&amp;IF(AND(Milestones!$AB$199="FT",Milestones!$AA$199=FT_Y5,EDATE($D23,Milestones!$AA$199)&lt;PolicyEff),1,Milestones!$AC$199)&amp;";  ",""))</f>
        <v/>
      </c>
      <c r="X23" s="0" t="str">
        <f aca="false">IF(Staff!$A23="","",Staff!$AM23)</f>
        <v/>
      </c>
      <c r="Y23" s="0" t="str">
        <f aca="false">IF(Staff!$A23="","",Staff!$AO23)</f>
        <v/>
      </c>
      <c r="Z23" s="0" t="str">
        <f aca="false">IF(Staff!$A23="","",Staff!$AP23)</f>
        <v/>
      </c>
      <c r="AA23" s="0" t="str">
        <f aca="false">IF(Staff!$A23="","",Staff!$AT23)</f>
        <v/>
      </c>
      <c r="AB23" s="0" t="str">
        <f aca="false">IF(Staff!$A23="","",Staff!$AU23)</f>
        <v/>
      </c>
      <c r="AC23" s="0" t="str">
        <f aca="false">IF(Staff!$A23="","",Staff!$AV23)</f>
        <v/>
      </c>
      <c r="AD23" s="0" t="str">
        <f aca="false">IF(Staff!$A23="","",Staff!$AW23)</f>
        <v/>
      </c>
    </row>
    <row r="24" customFormat="false" ht="15" hidden="false" customHeight="false" outlineLevel="0" collapsed="false">
      <c r="A24" s="16" t="str">
        <f aca="false">IF(Staff!$A24="","",Staff!$A24)</f>
        <v/>
      </c>
      <c r="B24" s="16" t="str">
        <f aca="false">IF(Staff!$A24="","",Staff!$B24)</f>
        <v/>
      </c>
      <c r="C24" s="16" t="str">
        <f aca="false">IF(Staff!$A24="","",Staff!$C24)</f>
        <v/>
      </c>
      <c r="D24" s="14" t="str">
        <f aca="false">IF(Staff!$A24="","",Staff!$AL24)</f>
        <v/>
      </c>
      <c r="E24" s="16" t="str">
        <f aca="false">IF(Staff!$A24="","",Staff!$O24)</f>
        <v/>
      </c>
      <c r="F24" s="16" t="str">
        <f aca="false">IF(E24="","",E24*HoursPerDay)</f>
        <v/>
      </c>
      <c r="G24" s="16" t="str">
        <f aca="false">IF(Staff!$A24="","",Staff!$AE24)</f>
        <v/>
      </c>
      <c r="H24" s="28" t="str">
        <f aca="false">IF($A24="","",I24&amp;J24&amp;K24&amp;L24&amp;M24&amp;N24&amp;O24&amp;P24&amp;Q24&amp;R24&amp;S24&amp;T24&amp;U24&amp;V24&amp;W24)</f>
        <v/>
      </c>
      <c r="I24" s="0" t="str">
        <f aca="false">IF(OR($A24="",$D24=""),"",IF(AND(EDATE($D24,Milestones!$AA$20)&lt;=AsOfDate,EDATE($D24,Milestones!$AA$20)&gt;=SchemeStart,IF($X24=0,$AD24,IF(AND($Z24&lt;&gt;"",EDATE($D24,Milestones!$AA$20)&gt;=$Z24),$AC24,IF(AND($Y24&lt;&gt;"",EDATE($D24,Milestones!$AA$20)&gt;=$Y24),$AB24,$AA24)))=Milestones!$AB$20),UPPER(TEXT(EDATE($D24,Milestones!$AA$20),"dd mmm yy"))&amp;" "&amp;Milestones!$AB$20&amp;" "&amp;IF(AND(Milestones!$AB$20="FT",Milestones!$AA$20=FT_Y5,EDATE($D24,Milestones!$AA$20)&lt;PolicyEff),1,Milestones!$AC$20)&amp;";  ","")&amp;IF(AND(EDATE($D24,Milestones!$AA$21)&lt;=AsOfDate,EDATE($D24,Milestones!$AA$21)&gt;=SchemeStart,IF($X24=0,$AD24,IF(AND($Z24&lt;&gt;"",EDATE($D24,Milestones!$AA$21)&gt;=$Z24),$AC24,IF(AND($Y24&lt;&gt;"",EDATE($D24,Milestones!$AA$21)&gt;=$Y24),$AB24,$AA24)))=Milestones!$AB$21),UPPER(TEXT(EDATE($D24,Milestones!$AA$21),"dd mmm yy"))&amp;" "&amp;Milestones!$AB$21&amp;" "&amp;IF(AND(Milestones!$AB$21="FT",Milestones!$AA$21=FT_Y5,EDATE($D24,Milestones!$AA$21)&lt;PolicyEff),1,Milestones!$AC$21)&amp;";  ","")&amp;IF(AND(EDATE($D24,Milestones!$AA$22)&lt;=AsOfDate,EDATE($D24,Milestones!$AA$22)&gt;=SchemeStart,IF($X24=0,$AD24,IF(AND($Z24&lt;&gt;"",EDATE($D24,Milestones!$AA$22)&gt;=$Z24),$AC24,IF(AND($Y24&lt;&gt;"",EDATE($D24,Milestones!$AA$22)&gt;=$Y24),$AB24,$AA24)))=Milestones!$AB$22),UPPER(TEXT(EDATE($D24,Milestones!$AA$22),"dd mmm yy"))&amp;" "&amp;Milestones!$AB$22&amp;" "&amp;IF(AND(Milestones!$AB$22="FT",Milestones!$AA$22=FT_Y5,EDATE($D24,Milestones!$AA$22)&lt;PolicyEff),1,Milestones!$AC$22)&amp;";  ","")&amp;IF(AND(EDATE($D24,Milestones!$AA$23)&lt;=AsOfDate,EDATE($D24,Milestones!$AA$23)&gt;=SchemeStart,IF($X24=0,$AD24,IF(AND($Z24&lt;&gt;"",EDATE($D24,Milestones!$AA$23)&gt;=$Z24),$AC24,IF(AND($Y24&lt;&gt;"",EDATE($D24,Milestones!$AA$23)&gt;=$Y24),$AB24,$AA24)))=Milestones!$AB$23),UPPER(TEXT(EDATE($D24,Milestones!$AA$23),"dd mmm yy"))&amp;" "&amp;Milestones!$AB$23&amp;" "&amp;IF(AND(Milestones!$AB$23="FT",Milestones!$AA$23=FT_Y5,EDATE($D24,Milestones!$AA$23)&lt;PolicyEff),1,Milestones!$AC$23)&amp;";  ","")&amp;IF(AND(EDATE($D24,Milestones!$AA$24)&lt;=AsOfDate,EDATE($D24,Milestones!$AA$24)&gt;=SchemeStart,IF($X24=0,$AD24,IF(AND($Z24&lt;&gt;"",EDATE($D24,Milestones!$AA$24)&gt;=$Z24),$AC24,IF(AND($Y24&lt;&gt;"",EDATE($D24,Milestones!$AA$24)&gt;=$Y24),$AB24,$AA24)))=Milestones!$AB$24),UPPER(TEXT(EDATE($D24,Milestones!$AA$24),"dd mmm yy"))&amp;" "&amp;Milestones!$AB$24&amp;" "&amp;IF(AND(Milestones!$AB$24="FT",Milestones!$AA$24=FT_Y5,EDATE($D24,Milestones!$AA$24)&lt;PolicyEff),1,Milestones!$AC$24)&amp;";  ","")&amp;IF(AND(EDATE($D24,Milestones!$AA$25)&lt;=AsOfDate,EDATE($D24,Milestones!$AA$25)&gt;=SchemeStart,IF($X24=0,$AD24,IF(AND($Z24&lt;&gt;"",EDATE($D24,Milestones!$AA$25)&gt;=$Z24),$AC24,IF(AND($Y24&lt;&gt;"",EDATE($D24,Milestones!$AA$25)&gt;=$Y24),$AB24,$AA24)))=Milestones!$AB$25),UPPER(TEXT(EDATE($D24,Milestones!$AA$25),"dd mmm yy"))&amp;" "&amp;Milestones!$AB$25&amp;" "&amp;IF(AND(Milestones!$AB$25="FT",Milestones!$AA$25=FT_Y5,EDATE($D24,Milestones!$AA$25)&lt;PolicyEff),1,Milestones!$AC$25)&amp;";  ","")&amp;IF(AND(EDATE($D24,Milestones!$AA$26)&lt;=AsOfDate,EDATE($D24,Milestones!$AA$26)&gt;=SchemeStart,IF($X24=0,$AD24,IF(AND($Z24&lt;&gt;"",EDATE($D24,Milestones!$AA$26)&gt;=$Z24),$AC24,IF(AND($Y24&lt;&gt;"",EDATE($D24,Milestones!$AA$26)&gt;=$Y24),$AB24,$AA24)))=Milestones!$AB$26),UPPER(TEXT(EDATE($D24,Milestones!$AA$26),"dd mmm yy"))&amp;" "&amp;Milestones!$AB$26&amp;" "&amp;IF(AND(Milestones!$AB$26="FT",Milestones!$AA$26=FT_Y5,EDATE($D24,Milestones!$AA$26)&lt;PolicyEff),1,Milestones!$AC$26)&amp;";  ","")&amp;IF(AND(EDATE($D24,Milestones!$AA$27)&lt;=AsOfDate,EDATE($D24,Milestones!$AA$27)&gt;=SchemeStart,IF($X24=0,$AD24,IF(AND($Z24&lt;&gt;"",EDATE($D24,Milestones!$AA$27)&gt;=$Z24),$AC24,IF(AND($Y24&lt;&gt;"",EDATE($D24,Milestones!$AA$27)&gt;=$Y24),$AB24,$AA24)))=Milestones!$AB$27),UPPER(TEXT(EDATE($D24,Milestones!$AA$27),"dd mmm yy"))&amp;" "&amp;Milestones!$AB$27&amp;" "&amp;IF(AND(Milestones!$AB$27="FT",Milestones!$AA$27=FT_Y5,EDATE($D24,Milestones!$AA$27)&lt;PolicyEff),1,Milestones!$AC$27)&amp;";  ","")&amp;IF(AND(EDATE($D24,Milestones!$AA$28)&lt;=AsOfDate,EDATE($D24,Milestones!$AA$28)&gt;=SchemeStart,IF($X24=0,$AD24,IF(AND($Z24&lt;&gt;"",EDATE($D24,Milestones!$AA$28)&gt;=$Z24),$AC24,IF(AND($Y24&lt;&gt;"",EDATE($D24,Milestones!$AA$28)&gt;=$Y24),$AB24,$AA24)))=Milestones!$AB$28),UPPER(TEXT(EDATE($D24,Milestones!$AA$28),"dd mmm yy"))&amp;" "&amp;Milestones!$AB$28&amp;" "&amp;IF(AND(Milestones!$AB$28="FT",Milestones!$AA$28=FT_Y5,EDATE($D24,Milestones!$AA$28)&lt;PolicyEff),1,Milestones!$AC$28)&amp;";  ","")&amp;IF(AND(EDATE($D24,Milestones!$AA$29)&lt;=AsOfDate,EDATE($D24,Milestones!$AA$29)&gt;=SchemeStart,IF($X24=0,$AD24,IF(AND($Z24&lt;&gt;"",EDATE($D24,Milestones!$AA$29)&gt;=$Z24),$AC24,IF(AND($Y24&lt;&gt;"",EDATE($D24,Milestones!$AA$29)&gt;=$Y24),$AB24,$AA24)))=Milestones!$AB$29),UPPER(TEXT(EDATE($D24,Milestones!$AA$29),"dd mmm yy"))&amp;" "&amp;Milestones!$AB$29&amp;" "&amp;IF(AND(Milestones!$AB$29="FT",Milestones!$AA$29=FT_Y5,EDATE($D24,Milestones!$AA$29)&lt;PolicyEff),1,Milestones!$AC$29)&amp;";  ","")&amp;IF(AND(EDATE($D24,Milestones!$AA$30)&lt;=AsOfDate,EDATE($D24,Milestones!$AA$30)&gt;=SchemeStart,IF($X24=0,$AD24,IF(AND($Z24&lt;&gt;"",EDATE($D24,Milestones!$AA$30)&gt;=$Z24),$AC24,IF(AND($Y24&lt;&gt;"",EDATE($D24,Milestones!$AA$30)&gt;=$Y24),$AB24,$AA24)))=Milestones!$AB$30),UPPER(TEXT(EDATE($D24,Milestones!$AA$30),"dd mmm yy"))&amp;" "&amp;Milestones!$AB$30&amp;" "&amp;IF(AND(Milestones!$AB$30="FT",Milestones!$AA$30=FT_Y5,EDATE($D24,Milestones!$AA$30)&lt;PolicyEff),1,Milestones!$AC$30)&amp;";  ","")&amp;IF(AND(EDATE($D24,Milestones!$AA$31)&lt;=AsOfDate,EDATE($D24,Milestones!$AA$31)&gt;=SchemeStart,IF($X24=0,$AD24,IF(AND($Z24&lt;&gt;"",EDATE($D24,Milestones!$AA$31)&gt;=$Z24),$AC24,IF(AND($Y24&lt;&gt;"",EDATE($D24,Milestones!$AA$31)&gt;=$Y24),$AB24,$AA24)))=Milestones!$AB$31),UPPER(TEXT(EDATE($D24,Milestones!$AA$31),"dd mmm yy"))&amp;" "&amp;Milestones!$AB$31&amp;" "&amp;IF(AND(Milestones!$AB$31="FT",Milestones!$AA$31=FT_Y5,EDATE($D24,Milestones!$AA$31)&lt;PolicyEff),1,Milestones!$AC$31)&amp;";  ",""))</f>
        <v/>
      </c>
      <c r="J24" s="0" t="str">
        <f aca="false">IF(OR($A24="",$D24=""),"",IF(AND(EDATE($D24,Milestones!$AA$32)&lt;=AsOfDate,EDATE($D24,Milestones!$AA$32)&gt;=SchemeStart,IF($X24=0,$AD24,IF(AND($Z24&lt;&gt;"",EDATE($D24,Milestones!$AA$32)&gt;=$Z24),$AC24,IF(AND($Y24&lt;&gt;"",EDATE($D24,Milestones!$AA$32)&gt;=$Y24),$AB24,$AA24)))=Milestones!$AB$32),UPPER(TEXT(EDATE($D24,Milestones!$AA$32),"dd mmm yy"))&amp;" "&amp;Milestones!$AB$32&amp;" "&amp;IF(AND(Milestones!$AB$32="FT",Milestones!$AA$32=FT_Y5,EDATE($D24,Milestones!$AA$32)&lt;PolicyEff),1,Milestones!$AC$32)&amp;";  ","")&amp;IF(AND(EDATE($D24,Milestones!$AA$33)&lt;=AsOfDate,EDATE($D24,Milestones!$AA$33)&gt;=SchemeStart,IF($X24=0,$AD24,IF(AND($Z24&lt;&gt;"",EDATE($D24,Milestones!$AA$33)&gt;=$Z24),$AC24,IF(AND($Y24&lt;&gt;"",EDATE($D24,Milestones!$AA$33)&gt;=$Y24),$AB24,$AA24)))=Milestones!$AB$33),UPPER(TEXT(EDATE($D24,Milestones!$AA$33),"dd mmm yy"))&amp;" "&amp;Milestones!$AB$33&amp;" "&amp;IF(AND(Milestones!$AB$33="FT",Milestones!$AA$33=FT_Y5,EDATE($D24,Milestones!$AA$33)&lt;PolicyEff),1,Milestones!$AC$33)&amp;";  ","")&amp;IF(AND(EDATE($D24,Milestones!$AA$34)&lt;=AsOfDate,EDATE($D24,Milestones!$AA$34)&gt;=SchemeStart,IF($X24=0,$AD24,IF(AND($Z24&lt;&gt;"",EDATE($D24,Milestones!$AA$34)&gt;=$Z24),$AC24,IF(AND($Y24&lt;&gt;"",EDATE($D24,Milestones!$AA$34)&gt;=$Y24),$AB24,$AA24)))=Milestones!$AB$34),UPPER(TEXT(EDATE($D24,Milestones!$AA$34),"dd mmm yy"))&amp;" "&amp;Milestones!$AB$34&amp;" "&amp;IF(AND(Milestones!$AB$34="FT",Milestones!$AA$34=FT_Y5,EDATE($D24,Milestones!$AA$34)&lt;PolicyEff),1,Milestones!$AC$34)&amp;";  ","")&amp;IF(AND(EDATE($D24,Milestones!$AA$35)&lt;=AsOfDate,EDATE($D24,Milestones!$AA$35)&gt;=SchemeStart,IF($X24=0,$AD24,IF(AND($Z24&lt;&gt;"",EDATE($D24,Milestones!$AA$35)&gt;=$Z24),$AC24,IF(AND($Y24&lt;&gt;"",EDATE($D24,Milestones!$AA$35)&gt;=$Y24),$AB24,$AA24)))=Milestones!$AB$35),UPPER(TEXT(EDATE($D24,Milestones!$AA$35),"dd mmm yy"))&amp;" "&amp;Milestones!$AB$35&amp;" "&amp;IF(AND(Milestones!$AB$35="FT",Milestones!$AA$35=FT_Y5,EDATE($D24,Milestones!$AA$35)&lt;PolicyEff),1,Milestones!$AC$35)&amp;";  ","")&amp;IF(AND(EDATE($D24,Milestones!$AA$36)&lt;=AsOfDate,EDATE($D24,Milestones!$AA$36)&gt;=SchemeStart,IF($X24=0,$AD24,IF(AND($Z24&lt;&gt;"",EDATE($D24,Milestones!$AA$36)&gt;=$Z24),$AC24,IF(AND($Y24&lt;&gt;"",EDATE($D24,Milestones!$AA$36)&gt;=$Y24),$AB24,$AA24)))=Milestones!$AB$36),UPPER(TEXT(EDATE($D24,Milestones!$AA$36),"dd mmm yy"))&amp;" "&amp;Milestones!$AB$36&amp;" "&amp;IF(AND(Milestones!$AB$36="FT",Milestones!$AA$36=FT_Y5,EDATE($D24,Milestones!$AA$36)&lt;PolicyEff),1,Milestones!$AC$36)&amp;";  ","")&amp;IF(AND(EDATE($D24,Milestones!$AA$37)&lt;=AsOfDate,EDATE($D24,Milestones!$AA$37)&gt;=SchemeStart,IF($X24=0,$AD24,IF(AND($Z24&lt;&gt;"",EDATE($D24,Milestones!$AA$37)&gt;=$Z24),$AC24,IF(AND($Y24&lt;&gt;"",EDATE($D24,Milestones!$AA$37)&gt;=$Y24),$AB24,$AA24)))=Milestones!$AB$37),UPPER(TEXT(EDATE($D24,Milestones!$AA$37),"dd mmm yy"))&amp;" "&amp;Milestones!$AB$37&amp;" "&amp;IF(AND(Milestones!$AB$37="FT",Milestones!$AA$37=FT_Y5,EDATE($D24,Milestones!$AA$37)&lt;PolicyEff),1,Milestones!$AC$37)&amp;";  ","")&amp;IF(AND(EDATE($D24,Milestones!$AA$38)&lt;=AsOfDate,EDATE($D24,Milestones!$AA$38)&gt;=SchemeStart,IF($X24=0,$AD24,IF(AND($Z24&lt;&gt;"",EDATE($D24,Milestones!$AA$38)&gt;=$Z24),$AC24,IF(AND($Y24&lt;&gt;"",EDATE($D24,Milestones!$AA$38)&gt;=$Y24),$AB24,$AA24)))=Milestones!$AB$38),UPPER(TEXT(EDATE($D24,Milestones!$AA$38),"dd mmm yy"))&amp;" "&amp;Milestones!$AB$38&amp;" "&amp;IF(AND(Milestones!$AB$38="FT",Milestones!$AA$38=FT_Y5,EDATE($D24,Milestones!$AA$38)&lt;PolicyEff),1,Milestones!$AC$38)&amp;";  ","")&amp;IF(AND(EDATE($D24,Milestones!$AA$39)&lt;=AsOfDate,EDATE($D24,Milestones!$AA$39)&gt;=SchemeStart,IF($X24=0,$AD24,IF(AND($Z24&lt;&gt;"",EDATE($D24,Milestones!$AA$39)&gt;=$Z24),$AC24,IF(AND($Y24&lt;&gt;"",EDATE($D24,Milestones!$AA$39)&gt;=$Y24),$AB24,$AA24)))=Milestones!$AB$39),UPPER(TEXT(EDATE($D24,Milestones!$AA$39),"dd mmm yy"))&amp;" "&amp;Milestones!$AB$39&amp;" "&amp;IF(AND(Milestones!$AB$39="FT",Milestones!$AA$39=FT_Y5,EDATE($D24,Milestones!$AA$39)&lt;PolicyEff),1,Milestones!$AC$39)&amp;";  ","")&amp;IF(AND(EDATE($D24,Milestones!$AA$40)&lt;=AsOfDate,EDATE($D24,Milestones!$AA$40)&gt;=SchemeStart,IF($X24=0,$AD24,IF(AND($Z24&lt;&gt;"",EDATE($D24,Milestones!$AA$40)&gt;=$Z24),$AC24,IF(AND($Y24&lt;&gt;"",EDATE($D24,Milestones!$AA$40)&gt;=$Y24),$AB24,$AA24)))=Milestones!$AB$40),UPPER(TEXT(EDATE($D24,Milestones!$AA$40),"dd mmm yy"))&amp;" "&amp;Milestones!$AB$40&amp;" "&amp;IF(AND(Milestones!$AB$40="FT",Milestones!$AA$40=FT_Y5,EDATE($D24,Milestones!$AA$40)&lt;PolicyEff),1,Milestones!$AC$40)&amp;";  ","")&amp;IF(AND(EDATE($D24,Milestones!$AA$41)&lt;=AsOfDate,EDATE($D24,Milestones!$AA$41)&gt;=SchemeStart,IF($X24=0,$AD24,IF(AND($Z24&lt;&gt;"",EDATE($D24,Milestones!$AA$41)&gt;=$Z24),$AC24,IF(AND($Y24&lt;&gt;"",EDATE($D24,Milestones!$AA$41)&gt;=$Y24),$AB24,$AA24)))=Milestones!$AB$41),UPPER(TEXT(EDATE($D24,Milestones!$AA$41),"dd mmm yy"))&amp;" "&amp;Milestones!$AB$41&amp;" "&amp;IF(AND(Milestones!$AB$41="FT",Milestones!$AA$41=FT_Y5,EDATE($D24,Milestones!$AA$41)&lt;PolicyEff),1,Milestones!$AC$41)&amp;";  ","")&amp;IF(AND(EDATE($D24,Milestones!$AA$42)&lt;=AsOfDate,EDATE($D24,Milestones!$AA$42)&gt;=SchemeStart,IF($X24=0,$AD24,IF(AND($Z24&lt;&gt;"",EDATE($D24,Milestones!$AA$42)&gt;=$Z24),$AC24,IF(AND($Y24&lt;&gt;"",EDATE($D24,Milestones!$AA$42)&gt;=$Y24),$AB24,$AA24)))=Milestones!$AB$42),UPPER(TEXT(EDATE($D24,Milestones!$AA$42),"dd mmm yy"))&amp;" "&amp;Milestones!$AB$42&amp;" "&amp;IF(AND(Milestones!$AB$42="FT",Milestones!$AA$42=FT_Y5,EDATE($D24,Milestones!$AA$42)&lt;PolicyEff),1,Milestones!$AC$42)&amp;";  ","")&amp;IF(AND(EDATE($D24,Milestones!$AA$43)&lt;=AsOfDate,EDATE($D24,Milestones!$AA$43)&gt;=SchemeStart,IF($X24=0,$AD24,IF(AND($Z24&lt;&gt;"",EDATE($D24,Milestones!$AA$43)&gt;=$Z24),$AC24,IF(AND($Y24&lt;&gt;"",EDATE($D24,Milestones!$AA$43)&gt;=$Y24),$AB24,$AA24)))=Milestones!$AB$43),UPPER(TEXT(EDATE($D24,Milestones!$AA$43),"dd mmm yy"))&amp;" "&amp;Milestones!$AB$43&amp;" "&amp;IF(AND(Milestones!$AB$43="FT",Milestones!$AA$43=FT_Y5,EDATE($D24,Milestones!$AA$43)&lt;PolicyEff),1,Milestones!$AC$43)&amp;";  ",""))</f>
        <v/>
      </c>
      <c r="K24" s="0" t="str">
        <f aca="false">IF(OR($A24="",$D24=""),"",IF(AND(EDATE($D24,Milestones!$AA$44)&lt;=AsOfDate,EDATE($D24,Milestones!$AA$44)&gt;=SchemeStart,IF($X24=0,$AD24,IF(AND($Z24&lt;&gt;"",EDATE($D24,Milestones!$AA$44)&gt;=$Z24),$AC24,IF(AND($Y24&lt;&gt;"",EDATE($D24,Milestones!$AA$44)&gt;=$Y24),$AB24,$AA24)))=Milestones!$AB$44),UPPER(TEXT(EDATE($D24,Milestones!$AA$44),"dd mmm yy"))&amp;" "&amp;Milestones!$AB$44&amp;" "&amp;IF(AND(Milestones!$AB$44="FT",Milestones!$AA$44=FT_Y5,EDATE($D24,Milestones!$AA$44)&lt;PolicyEff),1,Milestones!$AC$44)&amp;";  ","")&amp;IF(AND(EDATE($D24,Milestones!$AA$45)&lt;=AsOfDate,EDATE($D24,Milestones!$AA$45)&gt;=SchemeStart,IF($X24=0,$AD24,IF(AND($Z24&lt;&gt;"",EDATE($D24,Milestones!$AA$45)&gt;=$Z24),$AC24,IF(AND($Y24&lt;&gt;"",EDATE($D24,Milestones!$AA$45)&gt;=$Y24),$AB24,$AA24)))=Milestones!$AB$45),UPPER(TEXT(EDATE($D24,Milestones!$AA$45),"dd mmm yy"))&amp;" "&amp;Milestones!$AB$45&amp;" "&amp;IF(AND(Milestones!$AB$45="FT",Milestones!$AA$45=FT_Y5,EDATE($D24,Milestones!$AA$45)&lt;PolicyEff),1,Milestones!$AC$45)&amp;";  ","")&amp;IF(AND(EDATE($D24,Milestones!$AA$46)&lt;=AsOfDate,EDATE($D24,Milestones!$AA$46)&gt;=SchemeStart,IF($X24=0,$AD24,IF(AND($Z24&lt;&gt;"",EDATE($D24,Milestones!$AA$46)&gt;=$Z24),$AC24,IF(AND($Y24&lt;&gt;"",EDATE($D24,Milestones!$AA$46)&gt;=$Y24),$AB24,$AA24)))=Milestones!$AB$46),UPPER(TEXT(EDATE($D24,Milestones!$AA$46),"dd mmm yy"))&amp;" "&amp;Milestones!$AB$46&amp;" "&amp;IF(AND(Milestones!$AB$46="FT",Milestones!$AA$46=FT_Y5,EDATE($D24,Milestones!$AA$46)&lt;PolicyEff),1,Milestones!$AC$46)&amp;";  ","")&amp;IF(AND(EDATE($D24,Milestones!$AA$47)&lt;=AsOfDate,EDATE($D24,Milestones!$AA$47)&gt;=SchemeStart,IF($X24=0,$AD24,IF(AND($Z24&lt;&gt;"",EDATE($D24,Milestones!$AA$47)&gt;=$Z24),$AC24,IF(AND($Y24&lt;&gt;"",EDATE($D24,Milestones!$AA$47)&gt;=$Y24),$AB24,$AA24)))=Milestones!$AB$47),UPPER(TEXT(EDATE($D24,Milestones!$AA$47),"dd mmm yy"))&amp;" "&amp;Milestones!$AB$47&amp;" "&amp;IF(AND(Milestones!$AB$47="FT",Milestones!$AA$47=FT_Y5,EDATE($D24,Milestones!$AA$47)&lt;PolicyEff),1,Milestones!$AC$47)&amp;";  ","")&amp;IF(AND(EDATE($D24,Milestones!$AA$48)&lt;=AsOfDate,EDATE($D24,Milestones!$AA$48)&gt;=SchemeStart,IF($X24=0,$AD24,IF(AND($Z24&lt;&gt;"",EDATE($D24,Milestones!$AA$48)&gt;=$Z24),$AC24,IF(AND($Y24&lt;&gt;"",EDATE($D24,Milestones!$AA$48)&gt;=$Y24),$AB24,$AA24)))=Milestones!$AB$48),UPPER(TEXT(EDATE($D24,Milestones!$AA$48),"dd mmm yy"))&amp;" "&amp;Milestones!$AB$48&amp;" "&amp;IF(AND(Milestones!$AB$48="FT",Milestones!$AA$48=FT_Y5,EDATE($D24,Milestones!$AA$48)&lt;PolicyEff),1,Milestones!$AC$48)&amp;";  ","")&amp;IF(AND(EDATE($D24,Milestones!$AA$49)&lt;=AsOfDate,EDATE($D24,Milestones!$AA$49)&gt;=SchemeStart,IF($X24=0,$AD24,IF(AND($Z24&lt;&gt;"",EDATE($D24,Milestones!$AA$49)&gt;=$Z24),$AC24,IF(AND($Y24&lt;&gt;"",EDATE($D24,Milestones!$AA$49)&gt;=$Y24),$AB24,$AA24)))=Milestones!$AB$49),UPPER(TEXT(EDATE($D24,Milestones!$AA$49),"dd mmm yy"))&amp;" "&amp;Milestones!$AB$49&amp;" "&amp;IF(AND(Milestones!$AB$49="FT",Milestones!$AA$49=FT_Y5,EDATE($D24,Milestones!$AA$49)&lt;PolicyEff),1,Milestones!$AC$49)&amp;";  ","")&amp;IF(AND(EDATE($D24,Milestones!$AA$50)&lt;=AsOfDate,EDATE($D24,Milestones!$AA$50)&gt;=SchemeStart,IF($X24=0,$AD24,IF(AND($Z24&lt;&gt;"",EDATE($D24,Milestones!$AA$50)&gt;=$Z24),$AC24,IF(AND($Y24&lt;&gt;"",EDATE($D24,Milestones!$AA$50)&gt;=$Y24),$AB24,$AA24)))=Milestones!$AB$50),UPPER(TEXT(EDATE($D24,Milestones!$AA$50),"dd mmm yy"))&amp;" "&amp;Milestones!$AB$50&amp;" "&amp;IF(AND(Milestones!$AB$50="FT",Milestones!$AA$50=FT_Y5,EDATE($D24,Milestones!$AA$50)&lt;PolicyEff),1,Milestones!$AC$50)&amp;";  ","")&amp;IF(AND(EDATE($D24,Milestones!$AA$51)&lt;=AsOfDate,EDATE($D24,Milestones!$AA$51)&gt;=SchemeStart,IF($X24=0,$AD24,IF(AND($Z24&lt;&gt;"",EDATE($D24,Milestones!$AA$51)&gt;=$Z24),$AC24,IF(AND($Y24&lt;&gt;"",EDATE($D24,Milestones!$AA$51)&gt;=$Y24),$AB24,$AA24)))=Milestones!$AB$51),UPPER(TEXT(EDATE($D24,Milestones!$AA$51),"dd mmm yy"))&amp;" "&amp;Milestones!$AB$51&amp;" "&amp;IF(AND(Milestones!$AB$51="FT",Milestones!$AA$51=FT_Y5,EDATE($D24,Milestones!$AA$51)&lt;PolicyEff),1,Milestones!$AC$51)&amp;";  ","")&amp;IF(AND(EDATE($D24,Milestones!$AA$52)&lt;=AsOfDate,EDATE($D24,Milestones!$AA$52)&gt;=SchemeStart,IF($X24=0,$AD24,IF(AND($Z24&lt;&gt;"",EDATE($D24,Milestones!$AA$52)&gt;=$Z24),$AC24,IF(AND($Y24&lt;&gt;"",EDATE($D24,Milestones!$AA$52)&gt;=$Y24),$AB24,$AA24)))=Milestones!$AB$52),UPPER(TEXT(EDATE($D24,Milestones!$AA$52),"dd mmm yy"))&amp;" "&amp;Milestones!$AB$52&amp;" "&amp;IF(AND(Milestones!$AB$52="FT",Milestones!$AA$52=FT_Y5,EDATE($D24,Milestones!$AA$52)&lt;PolicyEff),1,Milestones!$AC$52)&amp;";  ","")&amp;IF(AND(EDATE($D24,Milestones!$AA$53)&lt;=AsOfDate,EDATE($D24,Milestones!$AA$53)&gt;=SchemeStart,IF($X24=0,$AD24,IF(AND($Z24&lt;&gt;"",EDATE($D24,Milestones!$AA$53)&gt;=$Z24),$AC24,IF(AND($Y24&lt;&gt;"",EDATE($D24,Milestones!$AA$53)&gt;=$Y24),$AB24,$AA24)))=Milestones!$AB$53),UPPER(TEXT(EDATE($D24,Milestones!$AA$53),"dd mmm yy"))&amp;" "&amp;Milestones!$AB$53&amp;" "&amp;IF(AND(Milestones!$AB$53="FT",Milestones!$AA$53=FT_Y5,EDATE($D24,Milestones!$AA$53)&lt;PolicyEff),1,Milestones!$AC$53)&amp;";  ","")&amp;IF(AND(EDATE($D24,Milestones!$AA$54)&lt;=AsOfDate,EDATE($D24,Milestones!$AA$54)&gt;=SchemeStart,IF($X24=0,$AD24,IF(AND($Z24&lt;&gt;"",EDATE($D24,Milestones!$AA$54)&gt;=$Z24),$AC24,IF(AND($Y24&lt;&gt;"",EDATE($D24,Milestones!$AA$54)&gt;=$Y24),$AB24,$AA24)))=Milestones!$AB$54),UPPER(TEXT(EDATE($D24,Milestones!$AA$54),"dd mmm yy"))&amp;" "&amp;Milestones!$AB$54&amp;" "&amp;IF(AND(Milestones!$AB$54="FT",Milestones!$AA$54=FT_Y5,EDATE($D24,Milestones!$AA$54)&lt;PolicyEff),1,Milestones!$AC$54)&amp;";  ","")&amp;IF(AND(EDATE($D24,Milestones!$AA$55)&lt;=AsOfDate,EDATE($D24,Milestones!$AA$55)&gt;=SchemeStart,IF($X24=0,$AD24,IF(AND($Z24&lt;&gt;"",EDATE($D24,Milestones!$AA$55)&gt;=$Z24),$AC24,IF(AND($Y24&lt;&gt;"",EDATE($D24,Milestones!$AA$55)&gt;=$Y24),$AB24,$AA24)))=Milestones!$AB$55),UPPER(TEXT(EDATE($D24,Milestones!$AA$55),"dd mmm yy"))&amp;" "&amp;Milestones!$AB$55&amp;" "&amp;IF(AND(Milestones!$AB$55="FT",Milestones!$AA$55=FT_Y5,EDATE($D24,Milestones!$AA$55)&lt;PolicyEff),1,Milestones!$AC$55)&amp;";  ",""))</f>
        <v/>
      </c>
      <c r="L24" s="0" t="str">
        <f aca="false">IF(OR($A24="",$D24=""),"",IF(AND(EDATE($D24,Milestones!$AA$56)&lt;=AsOfDate,EDATE($D24,Milestones!$AA$56)&gt;=SchemeStart,IF($X24=0,$AD24,IF(AND($Z24&lt;&gt;"",EDATE($D24,Milestones!$AA$56)&gt;=$Z24),$AC24,IF(AND($Y24&lt;&gt;"",EDATE($D24,Milestones!$AA$56)&gt;=$Y24),$AB24,$AA24)))=Milestones!$AB$56),UPPER(TEXT(EDATE($D24,Milestones!$AA$56),"dd mmm yy"))&amp;" "&amp;Milestones!$AB$56&amp;" "&amp;IF(AND(Milestones!$AB$56="FT",Milestones!$AA$56=FT_Y5,EDATE($D24,Milestones!$AA$56)&lt;PolicyEff),1,Milestones!$AC$56)&amp;";  ","")&amp;IF(AND(EDATE($D24,Milestones!$AA$57)&lt;=AsOfDate,EDATE($D24,Milestones!$AA$57)&gt;=SchemeStart,IF($X24=0,$AD24,IF(AND($Z24&lt;&gt;"",EDATE($D24,Milestones!$AA$57)&gt;=$Z24),$AC24,IF(AND($Y24&lt;&gt;"",EDATE($D24,Milestones!$AA$57)&gt;=$Y24),$AB24,$AA24)))=Milestones!$AB$57),UPPER(TEXT(EDATE($D24,Milestones!$AA$57),"dd mmm yy"))&amp;" "&amp;Milestones!$AB$57&amp;" "&amp;IF(AND(Milestones!$AB$57="FT",Milestones!$AA$57=FT_Y5,EDATE($D24,Milestones!$AA$57)&lt;PolicyEff),1,Milestones!$AC$57)&amp;";  ","")&amp;IF(AND(EDATE($D24,Milestones!$AA$58)&lt;=AsOfDate,EDATE($D24,Milestones!$AA$58)&gt;=SchemeStart,IF($X24=0,$AD24,IF(AND($Z24&lt;&gt;"",EDATE($D24,Milestones!$AA$58)&gt;=$Z24),$AC24,IF(AND($Y24&lt;&gt;"",EDATE($D24,Milestones!$AA$58)&gt;=$Y24),$AB24,$AA24)))=Milestones!$AB$58),UPPER(TEXT(EDATE($D24,Milestones!$AA$58),"dd mmm yy"))&amp;" "&amp;Milestones!$AB$58&amp;" "&amp;IF(AND(Milestones!$AB$58="FT",Milestones!$AA$58=FT_Y5,EDATE($D24,Milestones!$AA$58)&lt;PolicyEff),1,Milestones!$AC$58)&amp;";  ","")&amp;IF(AND(EDATE($D24,Milestones!$AA$59)&lt;=AsOfDate,EDATE($D24,Milestones!$AA$59)&gt;=SchemeStart,IF($X24=0,$AD24,IF(AND($Z24&lt;&gt;"",EDATE($D24,Milestones!$AA$59)&gt;=$Z24),$AC24,IF(AND($Y24&lt;&gt;"",EDATE($D24,Milestones!$AA$59)&gt;=$Y24),$AB24,$AA24)))=Milestones!$AB$59),UPPER(TEXT(EDATE($D24,Milestones!$AA$59),"dd mmm yy"))&amp;" "&amp;Milestones!$AB$59&amp;" "&amp;IF(AND(Milestones!$AB$59="FT",Milestones!$AA$59=FT_Y5,EDATE($D24,Milestones!$AA$59)&lt;PolicyEff),1,Milestones!$AC$59)&amp;";  ","")&amp;IF(AND(EDATE($D24,Milestones!$AA$60)&lt;=AsOfDate,EDATE($D24,Milestones!$AA$60)&gt;=SchemeStart,IF($X24=0,$AD24,IF(AND($Z24&lt;&gt;"",EDATE($D24,Milestones!$AA$60)&gt;=$Z24),$AC24,IF(AND($Y24&lt;&gt;"",EDATE($D24,Milestones!$AA$60)&gt;=$Y24),$AB24,$AA24)))=Milestones!$AB$60),UPPER(TEXT(EDATE($D24,Milestones!$AA$60),"dd mmm yy"))&amp;" "&amp;Milestones!$AB$60&amp;" "&amp;IF(AND(Milestones!$AB$60="FT",Milestones!$AA$60=FT_Y5,EDATE($D24,Milestones!$AA$60)&lt;PolicyEff),1,Milestones!$AC$60)&amp;";  ","")&amp;IF(AND(EDATE($D24,Milestones!$AA$61)&lt;=AsOfDate,EDATE($D24,Milestones!$AA$61)&gt;=SchemeStart,IF($X24=0,$AD24,IF(AND($Z24&lt;&gt;"",EDATE($D24,Milestones!$AA$61)&gt;=$Z24),$AC24,IF(AND($Y24&lt;&gt;"",EDATE($D24,Milestones!$AA$61)&gt;=$Y24),$AB24,$AA24)))=Milestones!$AB$61),UPPER(TEXT(EDATE($D24,Milestones!$AA$61),"dd mmm yy"))&amp;" "&amp;Milestones!$AB$61&amp;" "&amp;IF(AND(Milestones!$AB$61="FT",Milestones!$AA$61=FT_Y5,EDATE($D24,Milestones!$AA$61)&lt;PolicyEff),1,Milestones!$AC$61)&amp;";  ","")&amp;IF(AND(EDATE($D24,Milestones!$AA$62)&lt;=AsOfDate,EDATE($D24,Milestones!$AA$62)&gt;=SchemeStart,IF($X24=0,$AD24,IF(AND($Z24&lt;&gt;"",EDATE($D24,Milestones!$AA$62)&gt;=$Z24),$AC24,IF(AND($Y24&lt;&gt;"",EDATE($D24,Milestones!$AA$62)&gt;=$Y24),$AB24,$AA24)))=Milestones!$AB$62),UPPER(TEXT(EDATE($D24,Milestones!$AA$62),"dd mmm yy"))&amp;" "&amp;Milestones!$AB$62&amp;" "&amp;IF(AND(Milestones!$AB$62="FT",Milestones!$AA$62=FT_Y5,EDATE($D24,Milestones!$AA$62)&lt;PolicyEff),1,Milestones!$AC$62)&amp;";  ","")&amp;IF(AND(EDATE($D24,Milestones!$AA$63)&lt;=AsOfDate,EDATE($D24,Milestones!$AA$63)&gt;=SchemeStart,IF($X24=0,$AD24,IF(AND($Z24&lt;&gt;"",EDATE($D24,Milestones!$AA$63)&gt;=$Z24),$AC24,IF(AND($Y24&lt;&gt;"",EDATE($D24,Milestones!$AA$63)&gt;=$Y24),$AB24,$AA24)))=Milestones!$AB$63),UPPER(TEXT(EDATE($D24,Milestones!$AA$63),"dd mmm yy"))&amp;" "&amp;Milestones!$AB$63&amp;" "&amp;IF(AND(Milestones!$AB$63="FT",Milestones!$AA$63=FT_Y5,EDATE($D24,Milestones!$AA$63)&lt;PolicyEff),1,Milestones!$AC$63)&amp;";  ","")&amp;IF(AND(EDATE($D24,Milestones!$AA$64)&lt;=AsOfDate,EDATE($D24,Milestones!$AA$64)&gt;=SchemeStart,IF($X24=0,$AD24,IF(AND($Z24&lt;&gt;"",EDATE($D24,Milestones!$AA$64)&gt;=$Z24),$AC24,IF(AND($Y24&lt;&gt;"",EDATE($D24,Milestones!$AA$64)&gt;=$Y24),$AB24,$AA24)))=Milestones!$AB$64),UPPER(TEXT(EDATE($D24,Milestones!$AA$64),"dd mmm yy"))&amp;" "&amp;Milestones!$AB$64&amp;" "&amp;IF(AND(Milestones!$AB$64="FT",Milestones!$AA$64=FT_Y5,EDATE($D24,Milestones!$AA$64)&lt;PolicyEff),1,Milestones!$AC$64)&amp;";  ","")&amp;IF(AND(EDATE($D24,Milestones!$AA$65)&lt;=AsOfDate,EDATE($D24,Milestones!$AA$65)&gt;=SchemeStart,IF($X24=0,$AD24,IF(AND($Z24&lt;&gt;"",EDATE($D24,Milestones!$AA$65)&gt;=$Z24),$AC24,IF(AND($Y24&lt;&gt;"",EDATE($D24,Milestones!$AA$65)&gt;=$Y24),$AB24,$AA24)))=Milestones!$AB$65),UPPER(TEXT(EDATE($D24,Milestones!$AA$65),"dd mmm yy"))&amp;" "&amp;Milestones!$AB$65&amp;" "&amp;IF(AND(Milestones!$AB$65="FT",Milestones!$AA$65=FT_Y5,EDATE($D24,Milestones!$AA$65)&lt;PolicyEff),1,Milestones!$AC$65)&amp;";  ","")&amp;IF(AND(EDATE($D24,Milestones!$AA$66)&lt;=AsOfDate,EDATE($D24,Milestones!$AA$66)&gt;=SchemeStart,IF($X24=0,$AD24,IF(AND($Z24&lt;&gt;"",EDATE($D24,Milestones!$AA$66)&gt;=$Z24),$AC24,IF(AND($Y24&lt;&gt;"",EDATE($D24,Milestones!$AA$66)&gt;=$Y24),$AB24,$AA24)))=Milestones!$AB$66),UPPER(TEXT(EDATE($D24,Milestones!$AA$66),"dd mmm yy"))&amp;" "&amp;Milestones!$AB$66&amp;" "&amp;IF(AND(Milestones!$AB$66="FT",Milestones!$AA$66=FT_Y5,EDATE($D24,Milestones!$AA$66)&lt;PolicyEff),1,Milestones!$AC$66)&amp;";  ","")&amp;IF(AND(EDATE($D24,Milestones!$AA$67)&lt;=AsOfDate,EDATE($D24,Milestones!$AA$67)&gt;=SchemeStart,IF($X24=0,$AD24,IF(AND($Z24&lt;&gt;"",EDATE($D24,Milestones!$AA$67)&gt;=$Z24),$AC24,IF(AND($Y24&lt;&gt;"",EDATE($D24,Milestones!$AA$67)&gt;=$Y24),$AB24,$AA24)))=Milestones!$AB$67),UPPER(TEXT(EDATE($D24,Milestones!$AA$67),"dd mmm yy"))&amp;" "&amp;Milestones!$AB$67&amp;" "&amp;IF(AND(Milestones!$AB$67="FT",Milestones!$AA$67=FT_Y5,EDATE($D24,Milestones!$AA$67)&lt;PolicyEff),1,Milestones!$AC$67)&amp;";  ",""))</f>
        <v/>
      </c>
      <c r="M24" s="0" t="str">
        <f aca="false">IF(OR($A24="",$D24=""),"",IF(AND(EDATE($D24,Milestones!$AA$68)&lt;=AsOfDate,EDATE($D24,Milestones!$AA$68)&gt;=SchemeStart,IF($X24=0,$AD24,IF(AND($Z24&lt;&gt;"",EDATE($D24,Milestones!$AA$68)&gt;=$Z24),$AC24,IF(AND($Y24&lt;&gt;"",EDATE($D24,Milestones!$AA$68)&gt;=$Y24),$AB24,$AA24)))=Milestones!$AB$68),UPPER(TEXT(EDATE($D24,Milestones!$AA$68),"dd mmm yy"))&amp;" "&amp;Milestones!$AB$68&amp;" "&amp;IF(AND(Milestones!$AB$68="FT",Milestones!$AA$68=FT_Y5,EDATE($D24,Milestones!$AA$68)&lt;PolicyEff),1,Milestones!$AC$68)&amp;";  ","")&amp;IF(AND(EDATE($D24,Milestones!$AA$69)&lt;=AsOfDate,EDATE($D24,Milestones!$AA$69)&gt;=SchemeStart,IF($X24=0,$AD24,IF(AND($Z24&lt;&gt;"",EDATE($D24,Milestones!$AA$69)&gt;=$Z24),$AC24,IF(AND($Y24&lt;&gt;"",EDATE($D24,Milestones!$AA$69)&gt;=$Y24),$AB24,$AA24)))=Milestones!$AB$69),UPPER(TEXT(EDATE($D24,Milestones!$AA$69),"dd mmm yy"))&amp;" "&amp;Milestones!$AB$69&amp;" "&amp;IF(AND(Milestones!$AB$69="FT",Milestones!$AA$69=FT_Y5,EDATE($D24,Milestones!$AA$69)&lt;PolicyEff),1,Milestones!$AC$69)&amp;";  ","")&amp;IF(AND(EDATE($D24,Milestones!$AA$70)&lt;=AsOfDate,EDATE($D24,Milestones!$AA$70)&gt;=SchemeStart,IF($X24=0,$AD24,IF(AND($Z24&lt;&gt;"",EDATE($D24,Milestones!$AA$70)&gt;=$Z24),$AC24,IF(AND($Y24&lt;&gt;"",EDATE($D24,Milestones!$AA$70)&gt;=$Y24),$AB24,$AA24)))=Milestones!$AB$70),UPPER(TEXT(EDATE($D24,Milestones!$AA$70),"dd mmm yy"))&amp;" "&amp;Milestones!$AB$70&amp;" "&amp;IF(AND(Milestones!$AB$70="FT",Milestones!$AA$70=FT_Y5,EDATE($D24,Milestones!$AA$70)&lt;PolicyEff),1,Milestones!$AC$70)&amp;";  ","")&amp;IF(AND(EDATE($D24,Milestones!$AA$71)&lt;=AsOfDate,EDATE($D24,Milestones!$AA$71)&gt;=SchemeStart,IF($X24=0,$AD24,IF(AND($Z24&lt;&gt;"",EDATE($D24,Milestones!$AA$71)&gt;=$Z24),$AC24,IF(AND($Y24&lt;&gt;"",EDATE($D24,Milestones!$AA$71)&gt;=$Y24),$AB24,$AA24)))=Milestones!$AB$71),UPPER(TEXT(EDATE($D24,Milestones!$AA$71),"dd mmm yy"))&amp;" "&amp;Milestones!$AB$71&amp;" "&amp;IF(AND(Milestones!$AB$71="FT",Milestones!$AA$71=FT_Y5,EDATE($D24,Milestones!$AA$71)&lt;PolicyEff),1,Milestones!$AC$71)&amp;";  ","")&amp;IF(AND(EDATE($D24,Milestones!$AA$72)&lt;=AsOfDate,EDATE($D24,Milestones!$AA$72)&gt;=SchemeStart,IF($X24=0,$AD24,IF(AND($Z24&lt;&gt;"",EDATE($D24,Milestones!$AA$72)&gt;=$Z24),$AC24,IF(AND($Y24&lt;&gt;"",EDATE($D24,Milestones!$AA$72)&gt;=$Y24),$AB24,$AA24)))=Milestones!$AB$72),UPPER(TEXT(EDATE($D24,Milestones!$AA$72),"dd mmm yy"))&amp;" "&amp;Milestones!$AB$72&amp;" "&amp;IF(AND(Milestones!$AB$72="FT",Milestones!$AA$72=FT_Y5,EDATE($D24,Milestones!$AA$72)&lt;PolicyEff),1,Milestones!$AC$72)&amp;";  ","")&amp;IF(AND(EDATE($D24,Milestones!$AA$73)&lt;=AsOfDate,EDATE($D24,Milestones!$AA$73)&gt;=SchemeStart,IF($X24=0,$AD24,IF(AND($Z24&lt;&gt;"",EDATE($D24,Milestones!$AA$73)&gt;=$Z24),$AC24,IF(AND($Y24&lt;&gt;"",EDATE($D24,Milestones!$AA$73)&gt;=$Y24),$AB24,$AA24)))=Milestones!$AB$73),UPPER(TEXT(EDATE($D24,Milestones!$AA$73),"dd mmm yy"))&amp;" "&amp;Milestones!$AB$73&amp;" "&amp;IF(AND(Milestones!$AB$73="FT",Milestones!$AA$73=FT_Y5,EDATE($D24,Milestones!$AA$73)&lt;PolicyEff),1,Milestones!$AC$73)&amp;";  ","")&amp;IF(AND(EDATE($D24,Milestones!$AA$74)&lt;=AsOfDate,EDATE($D24,Milestones!$AA$74)&gt;=SchemeStart,IF($X24=0,$AD24,IF(AND($Z24&lt;&gt;"",EDATE($D24,Milestones!$AA$74)&gt;=$Z24),$AC24,IF(AND($Y24&lt;&gt;"",EDATE($D24,Milestones!$AA$74)&gt;=$Y24),$AB24,$AA24)))=Milestones!$AB$74),UPPER(TEXT(EDATE($D24,Milestones!$AA$74),"dd mmm yy"))&amp;" "&amp;Milestones!$AB$74&amp;" "&amp;IF(AND(Milestones!$AB$74="FT",Milestones!$AA$74=FT_Y5,EDATE($D24,Milestones!$AA$74)&lt;PolicyEff),1,Milestones!$AC$74)&amp;";  ","")&amp;IF(AND(EDATE($D24,Milestones!$AA$75)&lt;=AsOfDate,EDATE($D24,Milestones!$AA$75)&gt;=SchemeStart,IF($X24=0,$AD24,IF(AND($Z24&lt;&gt;"",EDATE($D24,Milestones!$AA$75)&gt;=$Z24),$AC24,IF(AND($Y24&lt;&gt;"",EDATE($D24,Milestones!$AA$75)&gt;=$Y24),$AB24,$AA24)))=Milestones!$AB$75),UPPER(TEXT(EDATE($D24,Milestones!$AA$75),"dd mmm yy"))&amp;" "&amp;Milestones!$AB$75&amp;" "&amp;IF(AND(Milestones!$AB$75="FT",Milestones!$AA$75=FT_Y5,EDATE($D24,Milestones!$AA$75)&lt;PolicyEff),1,Milestones!$AC$75)&amp;";  ","")&amp;IF(AND(EDATE($D24,Milestones!$AA$76)&lt;=AsOfDate,EDATE($D24,Milestones!$AA$76)&gt;=SchemeStart,IF($X24=0,$AD24,IF(AND($Z24&lt;&gt;"",EDATE($D24,Milestones!$AA$76)&gt;=$Z24),$AC24,IF(AND($Y24&lt;&gt;"",EDATE($D24,Milestones!$AA$76)&gt;=$Y24),$AB24,$AA24)))=Milestones!$AB$76),UPPER(TEXT(EDATE($D24,Milestones!$AA$76),"dd mmm yy"))&amp;" "&amp;Milestones!$AB$76&amp;" "&amp;IF(AND(Milestones!$AB$76="FT",Milestones!$AA$76=FT_Y5,EDATE($D24,Milestones!$AA$76)&lt;PolicyEff),1,Milestones!$AC$76)&amp;";  ","")&amp;IF(AND(EDATE($D24,Milestones!$AA$77)&lt;=AsOfDate,EDATE($D24,Milestones!$AA$77)&gt;=SchemeStart,IF($X24=0,$AD24,IF(AND($Z24&lt;&gt;"",EDATE($D24,Milestones!$AA$77)&gt;=$Z24),$AC24,IF(AND($Y24&lt;&gt;"",EDATE($D24,Milestones!$AA$77)&gt;=$Y24),$AB24,$AA24)))=Milestones!$AB$77),UPPER(TEXT(EDATE($D24,Milestones!$AA$77),"dd mmm yy"))&amp;" "&amp;Milestones!$AB$77&amp;" "&amp;IF(AND(Milestones!$AB$77="FT",Milestones!$AA$77=FT_Y5,EDATE($D24,Milestones!$AA$77)&lt;PolicyEff),1,Milestones!$AC$77)&amp;";  ","")&amp;IF(AND(EDATE($D24,Milestones!$AA$78)&lt;=AsOfDate,EDATE($D24,Milestones!$AA$78)&gt;=SchemeStart,IF($X24=0,$AD24,IF(AND($Z24&lt;&gt;"",EDATE($D24,Milestones!$AA$78)&gt;=$Z24),$AC24,IF(AND($Y24&lt;&gt;"",EDATE($D24,Milestones!$AA$78)&gt;=$Y24),$AB24,$AA24)))=Milestones!$AB$78),UPPER(TEXT(EDATE($D24,Milestones!$AA$78),"dd mmm yy"))&amp;" "&amp;Milestones!$AB$78&amp;" "&amp;IF(AND(Milestones!$AB$78="FT",Milestones!$AA$78=FT_Y5,EDATE($D24,Milestones!$AA$78)&lt;PolicyEff),1,Milestones!$AC$78)&amp;";  ","")&amp;IF(AND(EDATE($D24,Milestones!$AA$79)&lt;=AsOfDate,EDATE($D24,Milestones!$AA$79)&gt;=SchemeStart,IF($X24=0,$AD24,IF(AND($Z24&lt;&gt;"",EDATE($D24,Milestones!$AA$79)&gt;=$Z24),$AC24,IF(AND($Y24&lt;&gt;"",EDATE($D24,Milestones!$AA$79)&gt;=$Y24),$AB24,$AA24)))=Milestones!$AB$79),UPPER(TEXT(EDATE($D24,Milestones!$AA$79),"dd mmm yy"))&amp;" "&amp;Milestones!$AB$79&amp;" "&amp;IF(AND(Milestones!$AB$79="FT",Milestones!$AA$79=FT_Y5,EDATE($D24,Milestones!$AA$79)&lt;PolicyEff),1,Milestones!$AC$79)&amp;";  ",""))</f>
        <v/>
      </c>
      <c r="N24" s="0" t="str">
        <f aca="false">IF(OR($A24="",$D24=""),"",IF(AND(EDATE($D24,Milestones!$AA$80)&lt;=AsOfDate,EDATE($D24,Milestones!$AA$80)&gt;=SchemeStart,IF($X24=0,$AD24,IF(AND($Z24&lt;&gt;"",EDATE($D24,Milestones!$AA$80)&gt;=$Z24),$AC24,IF(AND($Y24&lt;&gt;"",EDATE($D24,Milestones!$AA$80)&gt;=$Y24),$AB24,$AA24)))=Milestones!$AB$80),UPPER(TEXT(EDATE($D24,Milestones!$AA$80),"dd mmm yy"))&amp;" "&amp;Milestones!$AB$80&amp;" "&amp;IF(AND(Milestones!$AB$80="FT",Milestones!$AA$80=FT_Y5,EDATE($D24,Milestones!$AA$80)&lt;PolicyEff),1,Milestones!$AC$80)&amp;";  ","")&amp;IF(AND(EDATE($D24,Milestones!$AA$81)&lt;=AsOfDate,EDATE($D24,Milestones!$AA$81)&gt;=SchemeStart,IF($X24=0,$AD24,IF(AND($Z24&lt;&gt;"",EDATE($D24,Milestones!$AA$81)&gt;=$Z24),$AC24,IF(AND($Y24&lt;&gt;"",EDATE($D24,Milestones!$AA$81)&gt;=$Y24),$AB24,$AA24)))=Milestones!$AB$81),UPPER(TEXT(EDATE($D24,Milestones!$AA$81),"dd mmm yy"))&amp;" "&amp;Milestones!$AB$81&amp;" "&amp;IF(AND(Milestones!$AB$81="FT",Milestones!$AA$81=FT_Y5,EDATE($D24,Milestones!$AA$81)&lt;PolicyEff),1,Milestones!$AC$81)&amp;";  ","")&amp;IF(AND(EDATE($D24,Milestones!$AA$82)&lt;=AsOfDate,EDATE($D24,Milestones!$AA$82)&gt;=SchemeStart,IF($X24=0,$AD24,IF(AND($Z24&lt;&gt;"",EDATE($D24,Milestones!$AA$82)&gt;=$Z24),$AC24,IF(AND($Y24&lt;&gt;"",EDATE($D24,Milestones!$AA$82)&gt;=$Y24),$AB24,$AA24)))=Milestones!$AB$82),UPPER(TEXT(EDATE($D24,Milestones!$AA$82),"dd mmm yy"))&amp;" "&amp;Milestones!$AB$82&amp;" "&amp;IF(AND(Milestones!$AB$82="FT",Milestones!$AA$82=FT_Y5,EDATE($D24,Milestones!$AA$82)&lt;PolicyEff),1,Milestones!$AC$82)&amp;";  ","")&amp;IF(AND(EDATE($D24,Milestones!$AA$83)&lt;=AsOfDate,EDATE($D24,Milestones!$AA$83)&gt;=SchemeStart,IF($X24=0,$AD24,IF(AND($Z24&lt;&gt;"",EDATE($D24,Milestones!$AA$83)&gt;=$Z24),$AC24,IF(AND($Y24&lt;&gt;"",EDATE($D24,Milestones!$AA$83)&gt;=$Y24),$AB24,$AA24)))=Milestones!$AB$83),UPPER(TEXT(EDATE($D24,Milestones!$AA$83),"dd mmm yy"))&amp;" "&amp;Milestones!$AB$83&amp;" "&amp;IF(AND(Milestones!$AB$83="FT",Milestones!$AA$83=FT_Y5,EDATE($D24,Milestones!$AA$83)&lt;PolicyEff),1,Milestones!$AC$83)&amp;";  ","")&amp;IF(AND(EDATE($D24,Milestones!$AA$84)&lt;=AsOfDate,EDATE($D24,Milestones!$AA$84)&gt;=SchemeStart,IF($X24=0,$AD24,IF(AND($Z24&lt;&gt;"",EDATE($D24,Milestones!$AA$84)&gt;=$Z24),$AC24,IF(AND($Y24&lt;&gt;"",EDATE($D24,Milestones!$AA$84)&gt;=$Y24),$AB24,$AA24)))=Milestones!$AB$84),UPPER(TEXT(EDATE($D24,Milestones!$AA$84),"dd mmm yy"))&amp;" "&amp;Milestones!$AB$84&amp;" "&amp;IF(AND(Milestones!$AB$84="FT",Milestones!$AA$84=FT_Y5,EDATE($D24,Milestones!$AA$84)&lt;PolicyEff),1,Milestones!$AC$84)&amp;";  ","")&amp;IF(AND(EDATE($D24,Milestones!$AA$85)&lt;=AsOfDate,EDATE($D24,Milestones!$AA$85)&gt;=SchemeStart,IF($X24=0,$AD24,IF(AND($Z24&lt;&gt;"",EDATE($D24,Milestones!$AA$85)&gt;=$Z24),$AC24,IF(AND($Y24&lt;&gt;"",EDATE($D24,Milestones!$AA$85)&gt;=$Y24),$AB24,$AA24)))=Milestones!$AB$85),UPPER(TEXT(EDATE($D24,Milestones!$AA$85),"dd mmm yy"))&amp;" "&amp;Milestones!$AB$85&amp;" "&amp;IF(AND(Milestones!$AB$85="FT",Milestones!$AA$85=FT_Y5,EDATE($D24,Milestones!$AA$85)&lt;PolicyEff),1,Milestones!$AC$85)&amp;";  ","")&amp;IF(AND(EDATE($D24,Milestones!$AA$86)&lt;=AsOfDate,EDATE($D24,Milestones!$AA$86)&gt;=SchemeStart,IF($X24=0,$AD24,IF(AND($Z24&lt;&gt;"",EDATE($D24,Milestones!$AA$86)&gt;=$Z24),$AC24,IF(AND($Y24&lt;&gt;"",EDATE($D24,Milestones!$AA$86)&gt;=$Y24),$AB24,$AA24)))=Milestones!$AB$86),UPPER(TEXT(EDATE($D24,Milestones!$AA$86),"dd mmm yy"))&amp;" "&amp;Milestones!$AB$86&amp;" "&amp;IF(AND(Milestones!$AB$86="FT",Milestones!$AA$86=FT_Y5,EDATE($D24,Milestones!$AA$86)&lt;PolicyEff),1,Milestones!$AC$86)&amp;";  ","")&amp;IF(AND(EDATE($D24,Milestones!$AA$87)&lt;=AsOfDate,EDATE($D24,Milestones!$AA$87)&gt;=SchemeStart,IF($X24=0,$AD24,IF(AND($Z24&lt;&gt;"",EDATE($D24,Milestones!$AA$87)&gt;=$Z24),$AC24,IF(AND($Y24&lt;&gt;"",EDATE($D24,Milestones!$AA$87)&gt;=$Y24),$AB24,$AA24)))=Milestones!$AB$87),UPPER(TEXT(EDATE($D24,Milestones!$AA$87),"dd mmm yy"))&amp;" "&amp;Milestones!$AB$87&amp;" "&amp;IF(AND(Milestones!$AB$87="FT",Milestones!$AA$87=FT_Y5,EDATE($D24,Milestones!$AA$87)&lt;PolicyEff),1,Milestones!$AC$87)&amp;";  ","")&amp;IF(AND(EDATE($D24,Milestones!$AA$88)&lt;=AsOfDate,EDATE($D24,Milestones!$AA$88)&gt;=SchemeStart,IF($X24=0,$AD24,IF(AND($Z24&lt;&gt;"",EDATE($D24,Milestones!$AA$88)&gt;=$Z24),$AC24,IF(AND($Y24&lt;&gt;"",EDATE($D24,Milestones!$AA$88)&gt;=$Y24),$AB24,$AA24)))=Milestones!$AB$88),UPPER(TEXT(EDATE($D24,Milestones!$AA$88),"dd mmm yy"))&amp;" "&amp;Milestones!$AB$88&amp;" "&amp;IF(AND(Milestones!$AB$88="FT",Milestones!$AA$88=FT_Y5,EDATE($D24,Milestones!$AA$88)&lt;PolicyEff),1,Milestones!$AC$88)&amp;";  ","")&amp;IF(AND(EDATE($D24,Milestones!$AA$89)&lt;=AsOfDate,EDATE($D24,Milestones!$AA$89)&gt;=SchemeStart,IF($X24=0,$AD24,IF(AND($Z24&lt;&gt;"",EDATE($D24,Milestones!$AA$89)&gt;=$Z24),$AC24,IF(AND($Y24&lt;&gt;"",EDATE($D24,Milestones!$AA$89)&gt;=$Y24),$AB24,$AA24)))=Milestones!$AB$89),UPPER(TEXT(EDATE($D24,Milestones!$AA$89),"dd mmm yy"))&amp;" "&amp;Milestones!$AB$89&amp;" "&amp;IF(AND(Milestones!$AB$89="FT",Milestones!$AA$89=FT_Y5,EDATE($D24,Milestones!$AA$89)&lt;PolicyEff),1,Milestones!$AC$89)&amp;";  ","")&amp;IF(AND(EDATE($D24,Milestones!$AA$90)&lt;=AsOfDate,EDATE($D24,Milestones!$AA$90)&gt;=SchemeStart,IF($X24=0,$AD24,IF(AND($Z24&lt;&gt;"",EDATE($D24,Milestones!$AA$90)&gt;=$Z24),$AC24,IF(AND($Y24&lt;&gt;"",EDATE($D24,Milestones!$AA$90)&gt;=$Y24),$AB24,$AA24)))=Milestones!$AB$90),UPPER(TEXT(EDATE($D24,Milestones!$AA$90),"dd mmm yy"))&amp;" "&amp;Milestones!$AB$90&amp;" "&amp;IF(AND(Milestones!$AB$90="FT",Milestones!$AA$90=FT_Y5,EDATE($D24,Milestones!$AA$90)&lt;PolicyEff),1,Milestones!$AC$90)&amp;";  ","")&amp;IF(AND(EDATE($D24,Milestones!$AA$91)&lt;=AsOfDate,EDATE($D24,Milestones!$AA$91)&gt;=SchemeStart,IF($X24=0,$AD24,IF(AND($Z24&lt;&gt;"",EDATE($D24,Milestones!$AA$91)&gt;=$Z24),$AC24,IF(AND($Y24&lt;&gt;"",EDATE($D24,Milestones!$AA$91)&gt;=$Y24),$AB24,$AA24)))=Milestones!$AB$91),UPPER(TEXT(EDATE($D24,Milestones!$AA$91),"dd mmm yy"))&amp;" "&amp;Milestones!$AB$91&amp;" "&amp;IF(AND(Milestones!$AB$91="FT",Milestones!$AA$91=FT_Y5,EDATE($D24,Milestones!$AA$91)&lt;PolicyEff),1,Milestones!$AC$91)&amp;";  ",""))</f>
        <v/>
      </c>
      <c r="O24" s="0" t="str">
        <f aca="false">IF(OR($A24="",$D24=""),"",IF(AND(EDATE($D24,Milestones!$AA$92)&lt;=AsOfDate,EDATE($D24,Milestones!$AA$92)&gt;=SchemeStart,IF($X24=0,$AD24,IF(AND($Z24&lt;&gt;"",EDATE($D24,Milestones!$AA$92)&gt;=$Z24),$AC24,IF(AND($Y24&lt;&gt;"",EDATE($D24,Milestones!$AA$92)&gt;=$Y24),$AB24,$AA24)))=Milestones!$AB$92),UPPER(TEXT(EDATE($D24,Milestones!$AA$92),"dd mmm yy"))&amp;" "&amp;Milestones!$AB$92&amp;" "&amp;IF(AND(Milestones!$AB$92="FT",Milestones!$AA$92=FT_Y5,EDATE($D24,Milestones!$AA$92)&lt;PolicyEff),1,Milestones!$AC$92)&amp;";  ","")&amp;IF(AND(EDATE($D24,Milestones!$AA$93)&lt;=AsOfDate,EDATE($D24,Milestones!$AA$93)&gt;=SchemeStart,IF($X24=0,$AD24,IF(AND($Z24&lt;&gt;"",EDATE($D24,Milestones!$AA$93)&gt;=$Z24),$AC24,IF(AND($Y24&lt;&gt;"",EDATE($D24,Milestones!$AA$93)&gt;=$Y24),$AB24,$AA24)))=Milestones!$AB$93),UPPER(TEXT(EDATE($D24,Milestones!$AA$93),"dd mmm yy"))&amp;" "&amp;Milestones!$AB$93&amp;" "&amp;IF(AND(Milestones!$AB$93="FT",Milestones!$AA$93=FT_Y5,EDATE($D24,Milestones!$AA$93)&lt;PolicyEff),1,Milestones!$AC$93)&amp;";  ","")&amp;IF(AND(EDATE($D24,Milestones!$AA$94)&lt;=AsOfDate,EDATE($D24,Milestones!$AA$94)&gt;=SchemeStart,IF($X24=0,$AD24,IF(AND($Z24&lt;&gt;"",EDATE($D24,Milestones!$AA$94)&gt;=$Z24),$AC24,IF(AND($Y24&lt;&gt;"",EDATE($D24,Milestones!$AA$94)&gt;=$Y24),$AB24,$AA24)))=Milestones!$AB$94),UPPER(TEXT(EDATE($D24,Milestones!$AA$94),"dd mmm yy"))&amp;" "&amp;Milestones!$AB$94&amp;" "&amp;IF(AND(Milestones!$AB$94="FT",Milestones!$AA$94=FT_Y5,EDATE($D24,Milestones!$AA$94)&lt;PolicyEff),1,Milestones!$AC$94)&amp;";  ","")&amp;IF(AND(EDATE($D24,Milestones!$AA$95)&lt;=AsOfDate,EDATE($D24,Milestones!$AA$95)&gt;=SchemeStart,IF($X24=0,$AD24,IF(AND($Z24&lt;&gt;"",EDATE($D24,Milestones!$AA$95)&gt;=$Z24),$AC24,IF(AND($Y24&lt;&gt;"",EDATE($D24,Milestones!$AA$95)&gt;=$Y24),$AB24,$AA24)))=Milestones!$AB$95),UPPER(TEXT(EDATE($D24,Milestones!$AA$95),"dd mmm yy"))&amp;" "&amp;Milestones!$AB$95&amp;" "&amp;IF(AND(Milestones!$AB$95="FT",Milestones!$AA$95=FT_Y5,EDATE($D24,Milestones!$AA$95)&lt;PolicyEff),1,Milestones!$AC$95)&amp;";  ","")&amp;IF(AND(EDATE($D24,Milestones!$AA$96)&lt;=AsOfDate,EDATE($D24,Milestones!$AA$96)&gt;=SchemeStart,IF($X24=0,$AD24,IF(AND($Z24&lt;&gt;"",EDATE($D24,Milestones!$AA$96)&gt;=$Z24),$AC24,IF(AND($Y24&lt;&gt;"",EDATE($D24,Milestones!$AA$96)&gt;=$Y24),$AB24,$AA24)))=Milestones!$AB$96),UPPER(TEXT(EDATE($D24,Milestones!$AA$96),"dd mmm yy"))&amp;" "&amp;Milestones!$AB$96&amp;" "&amp;IF(AND(Milestones!$AB$96="FT",Milestones!$AA$96=FT_Y5,EDATE($D24,Milestones!$AA$96)&lt;PolicyEff),1,Milestones!$AC$96)&amp;";  ","")&amp;IF(AND(EDATE($D24,Milestones!$AA$97)&lt;=AsOfDate,EDATE($D24,Milestones!$AA$97)&gt;=SchemeStart,IF($X24=0,$AD24,IF(AND($Z24&lt;&gt;"",EDATE($D24,Milestones!$AA$97)&gt;=$Z24),$AC24,IF(AND($Y24&lt;&gt;"",EDATE($D24,Milestones!$AA$97)&gt;=$Y24),$AB24,$AA24)))=Milestones!$AB$97),UPPER(TEXT(EDATE($D24,Milestones!$AA$97),"dd mmm yy"))&amp;" "&amp;Milestones!$AB$97&amp;" "&amp;IF(AND(Milestones!$AB$97="FT",Milestones!$AA$97=FT_Y5,EDATE($D24,Milestones!$AA$97)&lt;PolicyEff),1,Milestones!$AC$97)&amp;";  ","")&amp;IF(AND(EDATE($D24,Milestones!$AA$98)&lt;=AsOfDate,EDATE($D24,Milestones!$AA$98)&gt;=SchemeStart,IF($X24=0,$AD24,IF(AND($Z24&lt;&gt;"",EDATE($D24,Milestones!$AA$98)&gt;=$Z24),$AC24,IF(AND($Y24&lt;&gt;"",EDATE($D24,Milestones!$AA$98)&gt;=$Y24),$AB24,$AA24)))=Milestones!$AB$98),UPPER(TEXT(EDATE($D24,Milestones!$AA$98),"dd mmm yy"))&amp;" "&amp;Milestones!$AB$98&amp;" "&amp;IF(AND(Milestones!$AB$98="FT",Milestones!$AA$98=FT_Y5,EDATE($D24,Milestones!$AA$98)&lt;PolicyEff),1,Milestones!$AC$98)&amp;";  ","")&amp;IF(AND(EDATE($D24,Milestones!$AA$99)&lt;=AsOfDate,EDATE($D24,Milestones!$AA$99)&gt;=SchemeStart,IF($X24=0,$AD24,IF(AND($Z24&lt;&gt;"",EDATE($D24,Milestones!$AA$99)&gt;=$Z24),$AC24,IF(AND($Y24&lt;&gt;"",EDATE($D24,Milestones!$AA$99)&gt;=$Y24),$AB24,$AA24)))=Milestones!$AB$99),UPPER(TEXT(EDATE($D24,Milestones!$AA$99),"dd mmm yy"))&amp;" "&amp;Milestones!$AB$99&amp;" "&amp;IF(AND(Milestones!$AB$99="FT",Milestones!$AA$99=FT_Y5,EDATE($D24,Milestones!$AA$99)&lt;PolicyEff),1,Milestones!$AC$99)&amp;";  ","")&amp;IF(AND(EDATE($D24,Milestones!$AA$100)&lt;=AsOfDate,EDATE($D24,Milestones!$AA$100)&gt;=SchemeStart,IF($X24=0,$AD24,IF(AND($Z24&lt;&gt;"",EDATE($D24,Milestones!$AA$100)&gt;=$Z24),$AC24,IF(AND($Y24&lt;&gt;"",EDATE($D24,Milestones!$AA$100)&gt;=$Y24),$AB24,$AA24)))=Milestones!$AB$100),UPPER(TEXT(EDATE($D24,Milestones!$AA$100),"dd mmm yy"))&amp;" "&amp;Milestones!$AB$100&amp;" "&amp;IF(AND(Milestones!$AB$100="FT",Milestones!$AA$100=FT_Y5,EDATE($D24,Milestones!$AA$100)&lt;PolicyEff),1,Milestones!$AC$100)&amp;";  ","")&amp;IF(AND(EDATE($D24,Milestones!$AA$101)&lt;=AsOfDate,EDATE($D24,Milestones!$AA$101)&gt;=SchemeStart,IF($X24=0,$AD24,IF(AND($Z24&lt;&gt;"",EDATE($D24,Milestones!$AA$101)&gt;=$Z24),$AC24,IF(AND($Y24&lt;&gt;"",EDATE($D24,Milestones!$AA$101)&gt;=$Y24),$AB24,$AA24)))=Milestones!$AB$101),UPPER(TEXT(EDATE($D24,Milestones!$AA$101),"dd mmm yy"))&amp;" "&amp;Milestones!$AB$101&amp;" "&amp;IF(AND(Milestones!$AB$101="FT",Milestones!$AA$101=FT_Y5,EDATE($D24,Milestones!$AA$101)&lt;PolicyEff),1,Milestones!$AC$101)&amp;";  ","")&amp;IF(AND(EDATE($D24,Milestones!$AA$102)&lt;=AsOfDate,EDATE($D24,Milestones!$AA$102)&gt;=SchemeStart,IF($X24=0,$AD24,IF(AND($Z24&lt;&gt;"",EDATE($D24,Milestones!$AA$102)&gt;=$Z24),$AC24,IF(AND($Y24&lt;&gt;"",EDATE($D24,Milestones!$AA$102)&gt;=$Y24),$AB24,$AA24)))=Milestones!$AB$102),UPPER(TEXT(EDATE($D24,Milestones!$AA$102),"dd mmm yy"))&amp;" "&amp;Milestones!$AB$102&amp;" "&amp;IF(AND(Milestones!$AB$102="FT",Milestones!$AA$102=FT_Y5,EDATE($D24,Milestones!$AA$102)&lt;PolicyEff),1,Milestones!$AC$102)&amp;";  ","")&amp;IF(AND(EDATE($D24,Milestones!$AA$103)&lt;=AsOfDate,EDATE($D24,Milestones!$AA$103)&gt;=SchemeStart,IF($X24=0,$AD24,IF(AND($Z24&lt;&gt;"",EDATE($D24,Milestones!$AA$103)&gt;=$Z24),$AC24,IF(AND($Y24&lt;&gt;"",EDATE($D24,Milestones!$AA$103)&gt;=$Y24),$AB24,$AA24)))=Milestones!$AB$103),UPPER(TEXT(EDATE($D24,Milestones!$AA$103),"dd mmm yy"))&amp;" "&amp;Milestones!$AB$103&amp;" "&amp;IF(AND(Milestones!$AB$103="FT",Milestones!$AA$103=FT_Y5,EDATE($D24,Milestones!$AA$103)&lt;PolicyEff),1,Milestones!$AC$103)&amp;";  ",""))</f>
        <v/>
      </c>
      <c r="P24" s="0" t="str">
        <f aca="false">IF(OR($A24="",$D24=""),"",IF(AND(EDATE($D24,Milestones!$AA$104)&lt;=AsOfDate,EDATE($D24,Milestones!$AA$104)&gt;=SchemeStart,IF($X24=0,$AD24,IF(AND($Z24&lt;&gt;"",EDATE($D24,Milestones!$AA$104)&gt;=$Z24),$AC24,IF(AND($Y24&lt;&gt;"",EDATE($D24,Milestones!$AA$104)&gt;=$Y24),$AB24,$AA24)))=Milestones!$AB$104),UPPER(TEXT(EDATE($D24,Milestones!$AA$104),"dd mmm yy"))&amp;" "&amp;Milestones!$AB$104&amp;" "&amp;IF(AND(Milestones!$AB$104="FT",Milestones!$AA$104=FT_Y5,EDATE($D24,Milestones!$AA$104)&lt;PolicyEff),1,Milestones!$AC$104)&amp;";  ","")&amp;IF(AND(EDATE($D24,Milestones!$AA$105)&lt;=AsOfDate,EDATE($D24,Milestones!$AA$105)&gt;=SchemeStart,IF($X24=0,$AD24,IF(AND($Z24&lt;&gt;"",EDATE($D24,Milestones!$AA$105)&gt;=$Z24),$AC24,IF(AND($Y24&lt;&gt;"",EDATE($D24,Milestones!$AA$105)&gt;=$Y24),$AB24,$AA24)))=Milestones!$AB$105),UPPER(TEXT(EDATE($D24,Milestones!$AA$105),"dd mmm yy"))&amp;" "&amp;Milestones!$AB$105&amp;" "&amp;IF(AND(Milestones!$AB$105="FT",Milestones!$AA$105=FT_Y5,EDATE($D24,Milestones!$AA$105)&lt;PolicyEff),1,Milestones!$AC$105)&amp;";  ","")&amp;IF(AND(EDATE($D24,Milestones!$AA$106)&lt;=AsOfDate,EDATE($D24,Milestones!$AA$106)&gt;=SchemeStart,IF($X24=0,$AD24,IF(AND($Z24&lt;&gt;"",EDATE($D24,Milestones!$AA$106)&gt;=$Z24),$AC24,IF(AND($Y24&lt;&gt;"",EDATE($D24,Milestones!$AA$106)&gt;=$Y24),$AB24,$AA24)))=Milestones!$AB$106),UPPER(TEXT(EDATE($D24,Milestones!$AA$106),"dd mmm yy"))&amp;" "&amp;Milestones!$AB$106&amp;" "&amp;IF(AND(Milestones!$AB$106="FT",Milestones!$AA$106=FT_Y5,EDATE($D24,Milestones!$AA$106)&lt;PolicyEff),1,Milestones!$AC$106)&amp;";  ","")&amp;IF(AND(EDATE($D24,Milestones!$AA$107)&lt;=AsOfDate,EDATE($D24,Milestones!$AA$107)&gt;=SchemeStart,IF($X24=0,$AD24,IF(AND($Z24&lt;&gt;"",EDATE($D24,Milestones!$AA$107)&gt;=$Z24),$AC24,IF(AND($Y24&lt;&gt;"",EDATE($D24,Milestones!$AA$107)&gt;=$Y24),$AB24,$AA24)))=Milestones!$AB$107),UPPER(TEXT(EDATE($D24,Milestones!$AA$107),"dd mmm yy"))&amp;" "&amp;Milestones!$AB$107&amp;" "&amp;IF(AND(Milestones!$AB$107="FT",Milestones!$AA$107=FT_Y5,EDATE($D24,Milestones!$AA$107)&lt;PolicyEff),1,Milestones!$AC$107)&amp;";  ","")&amp;IF(AND(EDATE($D24,Milestones!$AA$108)&lt;=AsOfDate,EDATE($D24,Milestones!$AA$108)&gt;=SchemeStart,IF($X24=0,$AD24,IF(AND($Z24&lt;&gt;"",EDATE($D24,Milestones!$AA$108)&gt;=$Z24),$AC24,IF(AND($Y24&lt;&gt;"",EDATE($D24,Milestones!$AA$108)&gt;=$Y24),$AB24,$AA24)))=Milestones!$AB$108),UPPER(TEXT(EDATE($D24,Milestones!$AA$108),"dd mmm yy"))&amp;" "&amp;Milestones!$AB$108&amp;" "&amp;IF(AND(Milestones!$AB$108="FT",Milestones!$AA$108=FT_Y5,EDATE($D24,Milestones!$AA$108)&lt;PolicyEff),1,Milestones!$AC$108)&amp;";  ","")&amp;IF(AND(EDATE($D24,Milestones!$AA$109)&lt;=AsOfDate,EDATE($D24,Milestones!$AA$109)&gt;=SchemeStart,IF($X24=0,$AD24,IF(AND($Z24&lt;&gt;"",EDATE($D24,Milestones!$AA$109)&gt;=$Z24),$AC24,IF(AND($Y24&lt;&gt;"",EDATE($D24,Milestones!$AA$109)&gt;=$Y24),$AB24,$AA24)))=Milestones!$AB$109),UPPER(TEXT(EDATE($D24,Milestones!$AA$109),"dd mmm yy"))&amp;" "&amp;Milestones!$AB$109&amp;" "&amp;IF(AND(Milestones!$AB$109="FT",Milestones!$AA$109=FT_Y5,EDATE($D24,Milestones!$AA$109)&lt;PolicyEff),1,Milestones!$AC$109)&amp;";  ","")&amp;IF(AND(EDATE($D24,Milestones!$AA$110)&lt;=AsOfDate,EDATE($D24,Milestones!$AA$110)&gt;=SchemeStart,IF($X24=0,$AD24,IF(AND($Z24&lt;&gt;"",EDATE($D24,Milestones!$AA$110)&gt;=$Z24),$AC24,IF(AND($Y24&lt;&gt;"",EDATE($D24,Milestones!$AA$110)&gt;=$Y24),$AB24,$AA24)))=Milestones!$AB$110),UPPER(TEXT(EDATE($D24,Milestones!$AA$110),"dd mmm yy"))&amp;" "&amp;Milestones!$AB$110&amp;" "&amp;IF(AND(Milestones!$AB$110="FT",Milestones!$AA$110=FT_Y5,EDATE($D24,Milestones!$AA$110)&lt;PolicyEff),1,Milestones!$AC$110)&amp;";  ","")&amp;IF(AND(EDATE($D24,Milestones!$AA$111)&lt;=AsOfDate,EDATE($D24,Milestones!$AA$111)&gt;=SchemeStart,IF($X24=0,$AD24,IF(AND($Z24&lt;&gt;"",EDATE($D24,Milestones!$AA$111)&gt;=$Z24),$AC24,IF(AND($Y24&lt;&gt;"",EDATE($D24,Milestones!$AA$111)&gt;=$Y24),$AB24,$AA24)))=Milestones!$AB$111),UPPER(TEXT(EDATE($D24,Milestones!$AA$111),"dd mmm yy"))&amp;" "&amp;Milestones!$AB$111&amp;" "&amp;IF(AND(Milestones!$AB$111="FT",Milestones!$AA$111=FT_Y5,EDATE($D24,Milestones!$AA$111)&lt;PolicyEff),1,Milestones!$AC$111)&amp;";  ","")&amp;IF(AND(EDATE($D24,Milestones!$AA$112)&lt;=AsOfDate,EDATE($D24,Milestones!$AA$112)&gt;=SchemeStart,IF($X24=0,$AD24,IF(AND($Z24&lt;&gt;"",EDATE($D24,Milestones!$AA$112)&gt;=$Z24),$AC24,IF(AND($Y24&lt;&gt;"",EDATE($D24,Milestones!$AA$112)&gt;=$Y24),$AB24,$AA24)))=Milestones!$AB$112),UPPER(TEXT(EDATE($D24,Milestones!$AA$112),"dd mmm yy"))&amp;" "&amp;Milestones!$AB$112&amp;" "&amp;IF(AND(Milestones!$AB$112="FT",Milestones!$AA$112=FT_Y5,EDATE($D24,Milestones!$AA$112)&lt;PolicyEff),1,Milestones!$AC$112)&amp;";  ","")&amp;IF(AND(EDATE($D24,Milestones!$AA$113)&lt;=AsOfDate,EDATE($D24,Milestones!$AA$113)&gt;=SchemeStart,IF($X24=0,$AD24,IF(AND($Z24&lt;&gt;"",EDATE($D24,Milestones!$AA$113)&gt;=$Z24),$AC24,IF(AND($Y24&lt;&gt;"",EDATE($D24,Milestones!$AA$113)&gt;=$Y24),$AB24,$AA24)))=Milestones!$AB$113),UPPER(TEXT(EDATE($D24,Milestones!$AA$113),"dd mmm yy"))&amp;" "&amp;Milestones!$AB$113&amp;" "&amp;IF(AND(Milestones!$AB$113="FT",Milestones!$AA$113=FT_Y5,EDATE($D24,Milestones!$AA$113)&lt;PolicyEff),1,Milestones!$AC$113)&amp;";  ","")&amp;IF(AND(EDATE($D24,Milestones!$AA$114)&lt;=AsOfDate,EDATE($D24,Milestones!$AA$114)&gt;=SchemeStart,IF($X24=0,$AD24,IF(AND($Z24&lt;&gt;"",EDATE($D24,Milestones!$AA$114)&gt;=$Z24),$AC24,IF(AND($Y24&lt;&gt;"",EDATE($D24,Milestones!$AA$114)&gt;=$Y24),$AB24,$AA24)))=Milestones!$AB$114),UPPER(TEXT(EDATE($D24,Milestones!$AA$114),"dd mmm yy"))&amp;" "&amp;Milestones!$AB$114&amp;" "&amp;IF(AND(Milestones!$AB$114="FT",Milestones!$AA$114=FT_Y5,EDATE($D24,Milestones!$AA$114)&lt;PolicyEff),1,Milestones!$AC$114)&amp;";  ","")&amp;IF(AND(EDATE($D24,Milestones!$AA$115)&lt;=AsOfDate,EDATE($D24,Milestones!$AA$115)&gt;=SchemeStart,IF($X24=0,$AD24,IF(AND($Z24&lt;&gt;"",EDATE($D24,Milestones!$AA$115)&gt;=$Z24),$AC24,IF(AND($Y24&lt;&gt;"",EDATE($D24,Milestones!$AA$115)&gt;=$Y24),$AB24,$AA24)))=Milestones!$AB$115),UPPER(TEXT(EDATE($D24,Milestones!$AA$115),"dd mmm yy"))&amp;" "&amp;Milestones!$AB$115&amp;" "&amp;IF(AND(Milestones!$AB$115="FT",Milestones!$AA$115=FT_Y5,EDATE($D24,Milestones!$AA$115)&lt;PolicyEff),1,Milestones!$AC$115)&amp;";  ",""))</f>
        <v/>
      </c>
      <c r="Q24" s="0" t="str">
        <f aca="false">IF(OR($A24="",$D24=""),"",IF(AND(EDATE($D24,Milestones!$AA$116)&lt;=AsOfDate,EDATE($D24,Milestones!$AA$116)&gt;=SchemeStart,IF($X24=0,$AD24,IF(AND($Z24&lt;&gt;"",EDATE($D24,Milestones!$AA$116)&gt;=$Z24),$AC24,IF(AND($Y24&lt;&gt;"",EDATE($D24,Milestones!$AA$116)&gt;=$Y24),$AB24,$AA24)))=Milestones!$AB$116),UPPER(TEXT(EDATE($D24,Milestones!$AA$116),"dd mmm yy"))&amp;" "&amp;Milestones!$AB$116&amp;" "&amp;IF(AND(Milestones!$AB$116="FT",Milestones!$AA$116=FT_Y5,EDATE($D24,Milestones!$AA$116)&lt;PolicyEff),1,Milestones!$AC$116)&amp;";  ","")&amp;IF(AND(EDATE($D24,Milestones!$AA$117)&lt;=AsOfDate,EDATE($D24,Milestones!$AA$117)&gt;=SchemeStart,IF($X24=0,$AD24,IF(AND($Z24&lt;&gt;"",EDATE($D24,Milestones!$AA$117)&gt;=$Z24),$AC24,IF(AND($Y24&lt;&gt;"",EDATE($D24,Milestones!$AA$117)&gt;=$Y24),$AB24,$AA24)))=Milestones!$AB$117),UPPER(TEXT(EDATE($D24,Milestones!$AA$117),"dd mmm yy"))&amp;" "&amp;Milestones!$AB$117&amp;" "&amp;IF(AND(Milestones!$AB$117="FT",Milestones!$AA$117=FT_Y5,EDATE($D24,Milestones!$AA$117)&lt;PolicyEff),1,Milestones!$AC$117)&amp;";  ","")&amp;IF(AND(EDATE($D24,Milestones!$AA$118)&lt;=AsOfDate,EDATE($D24,Milestones!$AA$118)&gt;=SchemeStart,IF($X24=0,$AD24,IF(AND($Z24&lt;&gt;"",EDATE($D24,Milestones!$AA$118)&gt;=$Z24),$AC24,IF(AND($Y24&lt;&gt;"",EDATE($D24,Milestones!$AA$118)&gt;=$Y24),$AB24,$AA24)))=Milestones!$AB$118),UPPER(TEXT(EDATE($D24,Milestones!$AA$118),"dd mmm yy"))&amp;" "&amp;Milestones!$AB$118&amp;" "&amp;IF(AND(Milestones!$AB$118="FT",Milestones!$AA$118=FT_Y5,EDATE($D24,Milestones!$AA$118)&lt;PolicyEff),1,Milestones!$AC$118)&amp;";  ","")&amp;IF(AND(EDATE($D24,Milestones!$AA$119)&lt;=AsOfDate,EDATE($D24,Milestones!$AA$119)&gt;=SchemeStart,IF($X24=0,$AD24,IF(AND($Z24&lt;&gt;"",EDATE($D24,Milestones!$AA$119)&gt;=$Z24),$AC24,IF(AND($Y24&lt;&gt;"",EDATE($D24,Milestones!$AA$119)&gt;=$Y24),$AB24,$AA24)))=Milestones!$AB$119),UPPER(TEXT(EDATE($D24,Milestones!$AA$119),"dd mmm yy"))&amp;" "&amp;Milestones!$AB$119&amp;" "&amp;IF(AND(Milestones!$AB$119="FT",Milestones!$AA$119=FT_Y5,EDATE($D24,Milestones!$AA$119)&lt;PolicyEff),1,Milestones!$AC$119)&amp;";  ","")&amp;IF(AND(EDATE($D24,Milestones!$AA$120)&lt;=AsOfDate,EDATE($D24,Milestones!$AA$120)&gt;=SchemeStart,IF($X24=0,$AD24,IF(AND($Z24&lt;&gt;"",EDATE($D24,Milestones!$AA$120)&gt;=$Z24),$AC24,IF(AND($Y24&lt;&gt;"",EDATE($D24,Milestones!$AA$120)&gt;=$Y24),$AB24,$AA24)))=Milestones!$AB$120),UPPER(TEXT(EDATE($D24,Milestones!$AA$120),"dd mmm yy"))&amp;" "&amp;Milestones!$AB$120&amp;" "&amp;IF(AND(Milestones!$AB$120="FT",Milestones!$AA$120=FT_Y5,EDATE($D24,Milestones!$AA$120)&lt;PolicyEff),1,Milestones!$AC$120)&amp;";  ","")&amp;IF(AND(EDATE($D24,Milestones!$AA$121)&lt;=AsOfDate,EDATE($D24,Milestones!$AA$121)&gt;=SchemeStart,IF($X24=0,$AD24,IF(AND($Z24&lt;&gt;"",EDATE($D24,Milestones!$AA$121)&gt;=$Z24),$AC24,IF(AND($Y24&lt;&gt;"",EDATE($D24,Milestones!$AA$121)&gt;=$Y24),$AB24,$AA24)))=Milestones!$AB$121),UPPER(TEXT(EDATE($D24,Milestones!$AA$121),"dd mmm yy"))&amp;" "&amp;Milestones!$AB$121&amp;" "&amp;IF(AND(Milestones!$AB$121="FT",Milestones!$AA$121=FT_Y5,EDATE($D24,Milestones!$AA$121)&lt;PolicyEff),1,Milestones!$AC$121)&amp;";  ","")&amp;IF(AND(EDATE($D24,Milestones!$AA$122)&lt;=AsOfDate,EDATE($D24,Milestones!$AA$122)&gt;=SchemeStart,IF($X24=0,$AD24,IF(AND($Z24&lt;&gt;"",EDATE($D24,Milestones!$AA$122)&gt;=$Z24),$AC24,IF(AND($Y24&lt;&gt;"",EDATE($D24,Milestones!$AA$122)&gt;=$Y24),$AB24,$AA24)))=Milestones!$AB$122),UPPER(TEXT(EDATE($D24,Milestones!$AA$122),"dd mmm yy"))&amp;" "&amp;Milestones!$AB$122&amp;" "&amp;IF(AND(Milestones!$AB$122="FT",Milestones!$AA$122=FT_Y5,EDATE($D24,Milestones!$AA$122)&lt;PolicyEff),1,Milestones!$AC$122)&amp;";  ","")&amp;IF(AND(EDATE($D24,Milestones!$AA$123)&lt;=AsOfDate,EDATE($D24,Milestones!$AA$123)&gt;=SchemeStart,IF($X24=0,$AD24,IF(AND($Z24&lt;&gt;"",EDATE($D24,Milestones!$AA$123)&gt;=$Z24),$AC24,IF(AND($Y24&lt;&gt;"",EDATE($D24,Milestones!$AA$123)&gt;=$Y24),$AB24,$AA24)))=Milestones!$AB$123),UPPER(TEXT(EDATE($D24,Milestones!$AA$123),"dd mmm yy"))&amp;" "&amp;Milestones!$AB$123&amp;" "&amp;IF(AND(Milestones!$AB$123="FT",Milestones!$AA$123=FT_Y5,EDATE($D24,Milestones!$AA$123)&lt;PolicyEff),1,Milestones!$AC$123)&amp;";  ","")&amp;IF(AND(EDATE($D24,Milestones!$AA$124)&lt;=AsOfDate,EDATE($D24,Milestones!$AA$124)&gt;=SchemeStart,IF($X24=0,$AD24,IF(AND($Z24&lt;&gt;"",EDATE($D24,Milestones!$AA$124)&gt;=$Z24),$AC24,IF(AND($Y24&lt;&gt;"",EDATE($D24,Milestones!$AA$124)&gt;=$Y24),$AB24,$AA24)))=Milestones!$AB$124),UPPER(TEXT(EDATE($D24,Milestones!$AA$124),"dd mmm yy"))&amp;" "&amp;Milestones!$AB$124&amp;" "&amp;IF(AND(Milestones!$AB$124="FT",Milestones!$AA$124=FT_Y5,EDATE($D24,Milestones!$AA$124)&lt;PolicyEff),1,Milestones!$AC$124)&amp;";  ","")&amp;IF(AND(EDATE($D24,Milestones!$AA$125)&lt;=AsOfDate,EDATE($D24,Milestones!$AA$125)&gt;=SchemeStart,IF($X24=0,$AD24,IF(AND($Z24&lt;&gt;"",EDATE($D24,Milestones!$AA$125)&gt;=$Z24),$AC24,IF(AND($Y24&lt;&gt;"",EDATE($D24,Milestones!$AA$125)&gt;=$Y24),$AB24,$AA24)))=Milestones!$AB$125),UPPER(TEXT(EDATE($D24,Milestones!$AA$125),"dd mmm yy"))&amp;" "&amp;Milestones!$AB$125&amp;" "&amp;IF(AND(Milestones!$AB$125="FT",Milestones!$AA$125=FT_Y5,EDATE($D24,Milestones!$AA$125)&lt;PolicyEff),1,Milestones!$AC$125)&amp;";  ","")&amp;IF(AND(EDATE($D24,Milestones!$AA$126)&lt;=AsOfDate,EDATE($D24,Milestones!$AA$126)&gt;=SchemeStart,IF($X24=0,$AD24,IF(AND($Z24&lt;&gt;"",EDATE($D24,Milestones!$AA$126)&gt;=$Z24),$AC24,IF(AND($Y24&lt;&gt;"",EDATE($D24,Milestones!$AA$126)&gt;=$Y24),$AB24,$AA24)))=Milestones!$AB$126),UPPER(TEXT(EDATE($D24,Milestones!$AA$126),"dd mmm yy"))&amp;" "&amp;Milestones!$AB$126&amp;" "&amp;IF(AND(Milestones!$AB$126="FT",Milestones!$AA$126=FT_Y5,EDATE($D24,Milestones!$AA$126)&lt;PolicyEff),1,Milestones!$AC$126)&amp;";  ","")&amp;IF(AND(EDATE($D24,Milestones!$AA$127)&lt;=AsOfDate,EDATE($D24,Milestones!$AA$127)&gt;=SchemeStart,IF($X24=0,$AD24,IF(AND($Z24&lt;&gt;"",EDATE($D24,Milestones!$AA$127)&gt;=$Z24),$AC24,IF(AND($Y24&lt;&gt;"",EDATE($D24,Milestones!$AA$127)&gt;=$Y24),$AB24,$AA24)))=Milestones!$AB$127),UPPER(TEXT(EDATE($D24,Milestones!$AA$127),"dd mmm yy"))&amp;" "&amp;Milestones!$AB$127&amp;" "&amp;IF(AND(Milestones!$AB$127="FT",Milestones!$AA$127=FT_Y5,EDATE($D24,Milestones!$AA$127)&lt;PolicyEff),1,Milestones!$AC$127)&amp;";  ",""))</f>
        <v/>
      </c>
      <c r="R24" s="0" t="str">
        <f aca="false">IF(OR($A24="",$D24=""),"",IF(AND(EDATE($D24,Milestones!$AA$128)&lt;=AsOfDate,EDATE($D24,Milestones!$AA$128)&gt;=SchemeStart,IF($X24=0,$AD24,IF(AND($Z24&lt;&gt;"",EDATE($D24,Milestones!$AA$128)&gt;=$Z24),$AC24,IF(AND($Y24&lt;&gt;"",EDATE($D24,Milestones!$AA$128)&gt;=$Y24),$AB24,$AA24)))=Milestones!$AB$128),UPPER(TEXT(EDATE($D24,Milestones!$AA$128),"dd mmm yy"))&amp;" "&amp;Milestones!$AB$128&amp;" "&amp;IF(AND(Milestones!$AB$128="FT",Milestones!$AA$128=FT_Y5,EDATE($D24,Milestones!$AA$128)&lt;PolicyEff),1,Milestones!$AC$128)&amp;";  ","")&amp;IF(AND(EDATE($D24,Milestones!$AA$129)&lt;=AsOfDate,EDATE($D24,Milestones!$AA$129)&gt;=SchemeStart,IF($X24=0,$AD24,IF(AND($Z24&lt;&gt;"",EDATE($D24,Milestones!$AA$129)&gt;=$Z24),$AC24,IF(AND($Y24&lt;&gt;"",EDATE($D24,Milestones!$AA$129)&gt;=$Y24),$AB24,$AA24)))=Milestones!$AB$129),UPPER(TEXT(EDATE($D24,Milestones!$AA$129),"dd mmm yy"))&amp;" "&amp;Milestones!$AB$129&amp;" "&amp;IF(AND(Milestones!$AB$129="FT",Milestones!$AA$129=FT_Y5,EDATE($D24,Milestones!$AA$129)&lt;PolicyEff),1,Milestones!$AC$129)&amp;";  ","")&amp;IF(AND(EDATE($D24,Milestones!$AA$130)&lt;=AsOfDate,EDATE($D24,Milestones!$AA$130)&gt;=SchemeStart,IF($X24=0,$AD24,IF(AND($Z24&lt;&gt;"",EDATE($D24,Milestones!$AA$130)&gt;=$Z24),$AC24,IF(AND($Y24&lt;&gt;"",EDATE($D24,Milestones!$AA$130)&gt;=$Y24),$AB24,$AA24)))=Milestones!$AB$130),UPPER(TEXT(EDATE($D24,Milestones!$AA$130),"dd mmm yy"))&amp;" "&amp;Milestones!$AB$130&amp;" "&amp;IF(AND(Milestones!$AB$130="FT",Milestones!$AA$130=FT_Y5,EDATE($D24,Milestones!$AA$130)&lt;PolicyEff),1,Milestones!$AC$130)&amp;";  ","")&amp;IF(AND(EDATE($D24,Milestones!$AA$131)&lt;=AsOfDate,EDATE($D24,Milestones!$AA$131)&gt;=SchemeStart,IF($X24=0,$AD24,IF(AND($Z24&lt;&gt;"",EDATE($D24,Milestones!$AA$131)&gt;=$Z24),$AC24,IF(AND($Y24&lt;&gt;"",EDATE($D24,Milestones!$AA$131)&gt;=$Y24),$AB24,$AA24)))=Milestones!$AB$131),UPPER(TEXT(EDATE($D24,Milestones!$AA$131),"dd mmm yy"))&amp;" "&amp;Milestones!$AB$131&amp;" "&amp;IF(AND(Milestones!$AB$131="FT",Milestones!$AA$131=FT_Y5,EDATE($D24,Milestones!$AA$131)&lt;PolicyEff),1,Milestones!$AC$131)&amp;";  ","")&amp;IF(AND(EDATE($D24,Milestones!$AA$132)&lt;=AsOfDate,EDATE($D24,Milestones!$AA$132)&gt;=SchemeStart,IF($X24=0,$AD24,IF(AND($Z24&lt;&gt;"",EDATE($D24,Milestones!$AA$132)&gt;=$Z24),$AC24,IF(AND($Y24&lt;&gt;"",EDATE($D24,Milestones!$AA$132)&gt;=$Y24),$AB24,$AA24)))=Milestones!$AB$132),UPPER(TEXT(EDATE($D24,Milestones!$AA$132),"dd mmm yy"))&amp;" "&amp;Milestones!$AB$132&amp;" "&amp;IF(AND(Milestones!$AB$132="FT",Milestones!$AA$132=FT_Y5,EDATE($D24,Milestones!$AA$132)&lt;PolicyEff),1,Milestones!$AC$132)&amp;";  ","")&amp;IF(AND(EDATE($D24,Milestones!$AA$133)&lt;=AsOfDate,EDATE($D24,Milestones!$AA$133)&gt;=SchemeStart,IF($X24=0,$AD24,IF(AND($Z24&lt;&gt;"",EDATE($D24,Milestones!$AA$133)&gt;=$Z24),$AC24,IF(AND($Y24&lt;&gt;"",EDATE($D24,Milestones!$AA$133)&gt;=$Y24),$AB24,$AA24)))=Milestones!$AB$133),UPPER(TEXT(EDATE($D24,Milestones!$AA$133),"dd mmm yy"))&amp;" "&amp;Milestones!$AB$133&amp;" "&amp;IF(AND(Milestones!$AB$133="FT",Milestones!$AA$133=FT_Y5,EDATE($D24,Milestones!$AA$133)&lt;PolicyEff),1,Milestones!$AC$133)&amp;";  ","")&amp;IF(AND(EDATE($D24,Milestones!$AA$134)&lt;=AsOfDate,EDATE($D24,Milestones!$AA$134)&gt;=SchemeStart,IF($X24=0,$AD24,IF(AND($Z24&lt;&gt;"",EDATE($D24,Milestones!$AA$134)&gt;=$Z24),$AC24,IF(AND($Y24&lt;&gt;"",EDATE($D24,Milestones!$AA$134)&gt;=$Y24),$AB24,$AA24)))=Milestones!$AB$134),UPPER(TEXT(EDATE($D24,Milestones!$AA$134),"dd mmm yy"))&amp;" "&amp;Milestones!$AB$134&amp;" "&amp;IF(AND(Milestones!$AB$134="FT",Milestones!$AA$134=FT_Y5,EDATE($D24,Milestones!$AA$134)&lt;PolicyEff),1,Milestones!$AC$134)&amp;";  ","")&amp;IF(AND(EDATE($D24,Milestones!$AA$135)&lt;=AsOfDate,EDATE($D24,Milestones!$AA$135)&gt;=SchemeStart,IF($X24=0,$AD24,IF(AND($Z24&lt;&gt;"",EDATE($D24,Milestones!$AA$135)&gt;=$Z24),$AC24,IF(AND($Y24&lt;&gt;"",EDATE($D24,Milestones!$AA$135)&gt;=$Y24),$AB24,$AA24)))=Milestones!$AB$135),UPPER(TEXT(EDATE($D24,Milestones!$AA$135),"dd mmm yy"))&amp;" "&amp;Milestones!$AB$135&amp;" "&amp;IF(AND(Milestones!$AB$135="FT",Milestones!$AA$135=FT_Y5,EDATE($D24,Milestones!$AA$135)&lt;PolicyEff),1,Milestones!$AC$135)&amp;";  ","")&amp;IF(AND(EDATE($D24,Milestones!$AA$136)&lt;=AsOfDate,EDATE($D24,Milestones!$AA$136)&gt;=SchemeStart,IF($X24=0,$AD24,IF(AND($Z24&lt;&gt;"",EDATE($D24,Milestones!$AA$136)&gt;=$Z24),$AC24,IF(AND($Y24&lt;&gt;"",EDATE($D24,Milestones!$AA$136)&gt;=$Y24),$AB24,$AA24)))=Milestones!$AB$136),UPPER(TEXT(EDATE($D24,Milestones!$AA$136),"dd mmm yy"))&amp;" "&amp;Milestones!$AB$136&amp;" "&amp;IF(AND(Milestones!$AB$136="FT",Milestones!$AA$136=FT_Y5,EDATE($D24,Milestones!$AA$136)&lt;PolicyEff),1,Milestones!$AC$136)&amp;";  ","")&amp;IF(AND(EDATE($D24,Milestones!$AA$137)&lt;=AsOfDate,EDATE($D24,Milestones!$AA$137)&gt;=SchemeStart,IF($X24=0,$AD24,IF(AND($Z24&lt;&gt;"",EDATE($D24,Milestones!$AA$137)&gt;=$Z24),$AC24,IF(AND($Y24&lt;&gt;"",EDATE($D24,Milestones!$AA$137)&gt;=$Y24),$AB24,$AA24)))=Milestones!$AB$137),UPPER(TEXT(EDATE($D24,Milestones!$AA$137),"dd mmm yy"))&amp;" "&amp;Milestones!$AB$137&amp;" "&amp;IF(AND(Milestones!$AB$137="FT",Milestones!$AA$137=FT_Y5,EDATE($D24,Milestones!$AA$137)&lt;PolicyEff),1,Milestones!$AC$137)&amp;";  ","")&amp;IF(AND(EDATE($D24,Milestones!$AA$138)&lt;=AsOfDate,EDATE($D24,Milestones!$AA$138)&gt;=SchemeStart,IF($X24=0,$AD24,IF(AND($Z24&lt;&gt;"",EDATE($D24,Milestones!$AA$138)&gt;=$Z24),$AC24,IF(AND($Y24&lt;&gt;"",EDATE($D24,Milestones!$AA$138)&gt;=$Y24),$AB24,$AA24)))=Milestones!$AB$138),UPPER(TEXT(EDATE($D24,Milestones!$AA$138),"dd mmm yy"))&amp;" "&amp;Milestones!$AB$138&amp;" "&amp;IF(AND(Milestones!$AB$138="FT",Milestones!$AA$138=FT_Y5,EDATE($D24,Milestones!$AA$138)&lt;PolicyEff),1,Milestones!$AC$138)&amp;";  ","")&amp;IF(AND(EDATE($D24,Milestones!$AA$139)&lt;=AsOfDate,EDATE($D24,Milestones!$AA$139)&gt;=SchemeStart,IF($X24=0,$AD24,IF(AND($Z24&lt;&gt;"",EDATE($D24,Milestones!$AA$139)&gt;=$Z24),$AC24,IF(AND($Y24&lt;&gt;"",EDATE($D24,Milestones!$AA$139)&gt;=$Y24),$AB24,$AA24)))=Milestones!$AB$139),UPPER(TEXT(EDATE($D24,Milestones!$AA$139),"dd mmm yy"))&amp;" "&amp;Milestones!$AB$139&amp;" "&amp;IF(AND(Milestones!$AB$139="FT",Milestones!$AA$139=FT_Y5,EDATE($D24,Milestones!$AA$139)&lt;PolicyEff),1,Milestones!$AC$139)&amp;";  ",""))</f>
        <v/>
      </c>
      <c r="S24" s="0" t="str">
        <f aca="false">IF(OR($A24="",$D24=""),"",IF(AND(EDATE($D24,Milestones!$AA$140)&lt;=AsOfDate,EDATE($D24,Milestones!$AA$140)&gt;=SchemeStart,IF($X24=0,$AD24,IF(AND($Z24&lt;&gt;"",EDATE($D24,Milestones!$AA$140)&gt;=$Z24),$AC24,IF(AND($Y24&lt;&gt;"",EDATE($D24,Milestones!$AA$140)&gt;=$Y24),$AB24,$AA24)))=Milestones!$AB$140),UPPER(TEXT(EDATE($D24,Milestones!$AA$140),"dd mmm yy"))&amp;" "&amp;Milestones!$AB$140&amp;" "&amp;IF(AND(Milestones!$AB$140="FT",Milestones!$AA$140=FT_Y5,EDATE($D24,Milestones!$AA$140)&lt;PolicyEff),1,Milestones!$AC$140)&amp;";  ","")&amp;IF(AND(EDATE($D24,Milestones!$AA$141)&lt;=AsOfDate,EDATE($D24,Milestones!$AA$141)&gt;=SchemeStart,IF($X24=0,$AD24,IF(AND($Z24&lt;&gt;"",EDATE($D24,Milestones!$AA$141)&gt;=$Z24),$AC24,IF(AND($Y24&lt;&gt;"",EDATE($D24,Milestones!$AA$141)&gt;=$Y24),$AB24,$AA24)))=Milestones!$AB$141),UPPER(TEXT(EDATE($D24,Milestones!$AA$141),"dd mmm yy"))&amp;" "&amp;Milestones!$AB$141&amp;" "&amp;IF(AND(Milestones!$AB$141="FT",Milestones!$AA$141=FT_Y5,EDATE($D24,Milestones!$AA$141)&lt;PolicyEff),1,Milestones!$AC$141)&amp;";  ","")&amp;IF(AND(EDATE($D24,Milestones!$AA$142)&lt;=AsOfDate,EDATE($D24,Milestones!$AA$142)&gt;=SchemeStart,IF($X24=0,$AD24,IF(AND($Z24&lt;&gt;"",EDATE($D24,Milestones!$AA$142)&gt;=$Z24),$AC24,IF(AND($Y24&lt;&gt;"",EDATE($D24,Milestones!$AA$142)&gt;=$Y24),$AB24,$AA24)))=Milestones!$AB$142),UPPER(TEXT(EDATE($D24,Milestones!$AA$142),"dd mmm yy"))&amp;" "&amp;Milestones!$AB$142&amp;" "&amp;IF(AND(Milestones!$AB$142="FT",Milestones!$AA$142=FT_Y5,EDATE($D24,Milestones!$AA$142)&lt;PolicyEff),1,Milestones!$AC$142)&amp;";  ","")&amp;IF(AND(EDATE($D24,Milestones!$AA$143)&lt;=AsOfDate,EDATE($D24,Milestones!$AA$143)&gt;=SchemeStart,IF($X24=0,$AD24,IF(AND($Z24&lt;&gt;"",EDATE($D24,Milestones!$AA$143)&gt;=$Z24),$AC24,IF(AND($Y24&lt;&gt;"",EDATE($D24,Milestones!$AA$143)&gt;=$Y24),$AB24,$AA24)))=Milestones!$AB$143),UPPER(TEXT(EDATE($D24,Milestones!$AA$143),"dd mmm yy"))&amp;" "&amp;Milestones!$AB$143&amp;" "&amp;IF(AND(Milestones!$AB$143="FT",Milestones!$AA$143=FT_Y5,EDATE($D24,Milestones!$AA$143)&lt;PolicyEff),1,Milestones!$AC$143)&amp;";  ","")&amp;IF(AND(EDATE($D24,Milestones!$AA$144)&lt;=AsOfDate,EDATE($D24,Milestones!$AA$144)&gt;=SchemeStart,IF($X24=0,$AD24,IF(AND($Z24&lt;&gt;"",EDATE($D24,Milestones!$AA$144)&gt;=$Z24),$AC24,IF(AND($Y24&lt;&gt;"",EDATE($D24,Milestones!$AA$144)&gt;=$Y24),$AB24,$AA24)))=Milestones!$AB$144),UPPER(TEXT(EDATE($D24,Milestones!$AA$144),"dd mmm yy"))&amp;" "&amp;Milestones!$AB$144&amp;" "&amp;IF(AND(Milestones!$AB$144="FT",Milestones!$AA$144=FT_Y5,EDATE($D24,Milestones!$AA$144)&lt;PolicyEff),1,Milestones!$AC$144)&amp;";  ","")&amp;IF(AND(EDATE($D24,Milestones!$AA$145)&lt;=AsOfDate,EDATE($D24,Milestones!$AA$145)&gt;=SchemeStart,IF($X24=0,$AD24,IF(AND($Z24&lt;&gt;"",EDATE($D24,Milestones!$AA$145)&gt;=$Z24),$AC24,IF(AND($Y24&lt;&gt;"",EDATE($D24,Milestones!$AA$145)&gt;=$Y24),$AB24,$AA24)))=Milestones!$AB$145),UPPER(TEXT(EDATE($D24,Milestones!$AA$145),"dd mmm yy"))&amp;" "&amp;Milestones!$AB$145&amp;" "&amp;IF(AND(Milestones!$AB$145="FT",Milestones!$AA$145=FT_Y5,EDATE($D24,Milestones!$AA$145)&lt;PolicyEff),1,Milestones!$AC$145)&amp;";  ","")&amp;IF(AND(EDATE($D24,Milestones!$AA$146)&lt;=AsOfDate,EDATE($D24,Milestones!$AA$146)&gt;=SchemeStart,IF($X24=0,$AD24,IF(AND($Z24&lt;&gt;"",EDATE($D24,Milestones!$AA$146)&gt;=$Z24),$AC24,IF(AND($Y24&lt;&gt;"",EDATE($D24,Milestones!$AA$146)&gt;=$Y24),$AB24,$AA24)))=Milestones!$AB$146),UPPER(TEXT(EDATE($D24,Milestones!$AA$146),"dd mmm yy"))&amp;" "&amp;Milestones!$AB$146&amp;" "&amp;IF(AND(Milestones!$AB$146="FT",Milestones!$AA$146=FT_Y5,EDATE($D24,Milestones!$AA$146)&lt;PolicyEff),1,Milestones!$AC$146)&amp;";  ","")&amp;IF(AND(EDATE($D24,Milestones!$AA$147)&lt;=AsOfDate,EDATE($D24,Milestones!$AA$147)&gt;=SchemeStart,IF($X24=0,$AD24,IF(AND($Z24&lt;&gt;"",EDATE($D24,Milestones!$AA$147)&gt;=$Z24),$AC24,IF(AND($Y24&lt;&gt;"",EDATE($D24,Milestones!$AA$147)&gt;=$Y24),$AB24,$AA24)))=Milestones!$AB$147),UPPER(TEXT(EDATE($D24,Milestones!$AA$147),"dd mmm yy"))&amp;" "&amp;Milestones!$AB$147&amp;" "&amp;IF(AND(Milestones!$AB$147="FT",Milestones!$AA$147=FT_Y5,EDATE($D24,Milestones!$AA$147)&lt;PolicyEff),1,Milestones!$AC$147)&amp;";  ","")&amp;IF(AND(EDATE($D24,Milestones!$AA$148)&lt;=AsOfDate,EDATE($D24,Milestones!$AA$148)&gt;=SchemeStart,IF($X24=0,$AD24,IF(AND($Z24&lt;&gt;"",EDATE($D24,Milestones!$AA$148)&gt;=$Z24),$AC24,IF(AND($Y24&lt;&gt;"",EDATE($D24,Milestones!$AA$148)&gt;=$Y24),$AB24,$AA24)))=Milestones!$AB$148),UPPER(TEXT(EDATE($D24,Milestones!$AA$148),"dd mmm yy"))&amp;" "&amp;Milestones!$AB$148&amp;" "&amp;IF(AND(Milestones!$AB$148="FT",Milestones!$AA$148=FT_Y5,EDATE($D24,Milestones!$AA$148)&lt;PolicyEff),1,Milestones!$AC$148)&amp;";  ","")&amp;IF(AND(EDATE($D24,Milestones!$AA$149)&lt;=AsOfDate,EDATE($D24,Milestones!$AA$149)&gt;=SchemeStart,IF($X24=0,$AD24,IF(AND($Z24&lt;&gt;"",EDATE($D24,Milestones!$AA$149)&gt;=$Z24),$AC24,IF(AND($Y24&lt;&gt;"",EDATE($D24,Milestones!$AA$149)&gt;=$Y24),$AB24,$AA24)))=Milestones!$AB$149),UPPER(TEXT(EDATE($D24,Milestones!$AA$149),"dd mmm yy"))&amp;" "&amp;Milestones!$AB$149&amp;" "&amp;IF(AND(Milestones!$AB$149="FT",Milestones!$AA$149=FT_Y5,EDATE($D24,Milestones!$AA$149)&lt;PolicyEff),1,Milestones!$AC$149)&amp;";  ","")&amp;IF(AND(EDATE($D24,Milestones!$AA$150)&lt;=AsOfDate,EDATE($D24,Milestones!$AA$150)&gt;=SchemeStart,IF($X24=0,$AD24,IF(AND($Z24&lt;&gt;"",EDATE($D24,Milestones!$AA$150)&gt;=$Z24),$AC24,IF(AND($Y24&lt;&gt;"",EDATE($D24,Milestones!$AA$150)&gt;=$Y24),$AB24,$AA24)))=Milestones!$AB$150),UPPER(TEXT(EDATE($D24,Milestones!$AA$150),"dd mmm yy"))&amp;" "&amp;Milestones!$AB$150&amp;" "&amp;IF(AND(Milestones!$AB$150="FT",Milestones!$AA$150=FT_Y5,EDATE($D24,Milestones!$AA$150)&lt;PolicyEff),1,Milestones!$AC$150)&amp;";  ","")&amp;IF(AND(EDATE($D24,Milestones!$AA$151)&lt;=AsOfDate,EDATE($D24,Milestones!$AA$151)&gt;=SchemeStart,IF($X24=0,$AD24,IF(AND($Z24&lt;&gt;"",EDATE($D24,Milestones!$AA$151)&gt;=$Z24),$AC24,IF(AND($Y24&lt;&gt;"",EDATE($D24,Milestones!$AA$151)&gt;=$Y24),$AB24,$AA24)))=Milestones!$AB$151),UPPER(TEXT(EDATE($D24,Milestones!$AA$151),"dd mmm yy"))&amp;" "&amp;Milestones!$AB$151&amp;" "&amp;IF(AND(Milestones!$AB$151="FT",Milestones!$AA$151=FT_Y5,EDATE($D24,Milestones!$AA$151)&lt;PolicyEff),1,Milestones!$AC$151)&amp;";  ",""))</f>
        <v/>
      </c>
      <c r="T24" s="0" t="str">
        <f aca="false">IF(OR($A24="",$D24=""),"",IF(AND(EDATE($D24,Milestones!$AA$152)&lt;=AsOfDate,EDATE($D24,Milestones!$AA$152)&gt;=SchemeStart,IF($X24=0,$AD24,IF(AND($Z24&lt;&gt;"",EDATE($D24,Milestones!$AA$152)&gt;=$Z24),$AC24,IF(AND($Y24&lt;&gt;"",EDATE($D24,Milestones!$AA$152)&gt;=$Y24),$AB24,$AA24)))=Milestones!$AB$152),UPPER(TEXT(EDATE($D24,Milestones!$AA$152),"dd mmm yy"))&amp;" "&amp;Milestones!$AB$152&amp;" "&amp;IF(AND(Milestones!$AB$152="FT",Milestones!$AA$152=FT_Y5,EDATE($D24,Milestones!$AA$152)&lt;PolicyEff),1,Milestones!$AC$152)&amp;";  ","")&amp;IF(AND(EDATE($D24,Milestones!$AA$153)&lt;=AsOfDate,EDATE($D24,Milestones!$AA$153)&gt;=SchemeStart,IF($X24=0,$AD24,IF(AND($Z24&lt;&gt;"",EDATE($D24,Milestones!$AA$153)&gt;=$Z24),$AC24,IF(AND($Y24&lt;&gt;"",EDATE($D24,Milestones!$AA$153)&gt;=$Y24),$AB24,$AA24)))=Milestones!$AB$153),UPPER(TEXT(EDATE($D24,Milestones!$AA$153),"dd mmm yy"))&amp;" "&amp;Milestones!$AB$153&amp;" "&amp;IF(AND(Milestones!$AB$153="FT",Milestones!$AA$153=FT_Y5,EDATE($D24,Milestones!$AA$153)&lt;PolicyEff),1,Milestones!$AC$153)&amp;";  ","")&amp;IF(AND(EDATE($D24,Milestones!$AA$154)&lt;=AsOfDate,EDATE($D24,Milestones!$AA$154)&gt;=SchemeStart,IF($X24=0,$AD24,IF(AND($Z24&lt;&gt;"",EDATE($D24,Milestones!$AA$154)&gt;=$Z24),$AC24,IF(AND($Y24&lt;&gt;"",EDATE($D24,Milestones!$AA$154)&gt;=$Y24),$AB24,$AA24)))=Milestones!$AB$154),UPPER(TEXT(EDATE($D24,Milestones!$AA$154),"dd mmm yy"))&amp;" "&amp;Milestones!$AB$154&amp;" "&amp;IF(AND(Milestones!$AB$154="FT",Milestones!$AA$154=FT_Y5,EDATE($D24,Milestones!$AA$154)&lt;PolicyEff),1,Milestones!$AC$154)&amp;";  ","")&amp;IF(AND(EDATE($D24,Milestones!$AA$155)&lt;=AsOfDate,EDATE($D24,Milestones!$AA$155)&gt;=SchemeStart,IF($X24=0,$AD24,IF(AND($Z24&lt;&gt;"",EDATE($D24,Milestones!$AA$155)&gt;=$Z24),$AC24,IF(AND($Y24&lt;&gt;"",EDATE($D24,Milestones!$AA$155)&gt;=$Y24),$AB24,$AA24)))=Milestones!$AB$155),UPPER(TEXT(EDATE($D24,Milestones!$AA$155),"dd mmm yy"))&amp;" "&amp;Milestones!$AB$155&amp;" "&amp;IF(AND(Milestones!$AB$155="FT",Milestones!$AA$155=FT_Y5,EDATE($D24,Milestones!$AA$155)&lt;PolicyEff),1,Milestones!$AC$155)&amp;";  ","")&amp;IF(AND(EDATE($D24,Milestones!$AA$156)&lt;=AsOfDate,EDATE($D24,Milestones!$AA$156)&gt;=SchemeStart,IF($X24=0,$AD24,IF(AND($Z24&lt;&gt;"",EDATE($D24,Milestones!$AA$156)&gt;=$Z24),$AC24,IF(AND($Y24&lt;&gt;"",EDATE($D24,Milestones!$AA$156)&gt;=$Y24),$AB24,$AA24)))=Milestones!$AB$156),UPPER(TEXT(EDATE($D24,Milestones!$AA$156),"dd mmm yy"))&amp;" "&amp;Milestones!$AB$156&amp;" "&amp;IF(AND(Milestones!$AB$156="FT",Milestones!$AA$156=FT_Y5,EDATE($D24,Milestones!$AA$156)&lt;PolicyEff),1,Milestones!$AC$156)&amp;";  ","")&amp;IF(AND(EDATE($D24,Milestones!$AA$157)&lt;=AsOfDate,EDATE($D24,Milestones!$AA$157)&gt;=SchemeStart,IF($X24=0,$AD24,IF(AND($Z24&lt;&gt;"",EDATE($D24,Milestones!$AA$157)&gt;=$Z24),$AC24,IF(AND($Y24&lt;&gt;"",EDATE($D24,Milestones!$AA$157)&gt;=$Y24),$AB24,$AA24)))=Milestones!$AB$157),UPPER(TEXT(EDATE($D24,Milestones!$AA$157),"dd mmm yy"))&amp;" "&amp;Milestones!$AB$157&amp;" "&amp;IF(AND(Milestones!$AB$157="FT",Milestones!$AA$157=FT_Y5,EDATE($D24,Milestones!$AA$157)&lt;PolicyEff),1,Milestones!$AC$157)&amp;";  ","")&amp;IF(AND(EDATE($D24,Milestones!$AA$158)&lt;=AsOfDate,EDATE($D24,Milestones!$AA$158)&gt;=SchemeStart,IF($X24=0,$AD24,IF(AND($Z24&lt;&gt;"",EDATE($D24,Milestones!$AA$158)&gt;=$Z24),$AC24,IF(AND($Y24&lt;&gt;"",EDATE($D24,Milestones!$AA$158)&gt;=$Y24),$AB24,$AA24)))=Milestones!$AB$158),UPPER(TEXT(EDATE($D24,Milestones!$AA$158),"dd mmm yy"))&amp;" "&amp;Milestones!$AB$158&amp;" "&amp;IF(AND(Milestones!$AB$158="FT",Milestones!$AA$158=FT_Y5,EDATE($D24,Milestones!$AA$158)&lt;PolicyEff),1,Milestones!$AC$158)&amp;";  ","")&amp;IF(AND(EDATE($D24,Milestones!$AA$159)&lt;=AsOfDate,EDATE($D24,Milestones!$AA$159)&gt;=SchemeStart,IF($X24=0,$AD24,IF(AND($Z24&lt;&gt;"",EDATE($D24,Milestones!$AA$159)&gt;=$Z24),$AC24,IF(AND($Y24&lt;&gt;"",EDATE($D24,Milestones!$AA$159)&gt;=$Y24),$AB24,$AA24)))=Milestones!$AB$159),UPPER(TEXT(EDATE($D24,Milestones!$AA$159),"dd mmm yy"))&amp;" "&amp;Milestones!$AB$159&amp;" "&amp;IF(AND(Milestones!$AB$159="FT",Milestones!$AA$159=FT_Y5,EDATE($D24,Milestones!$AA$159)&lt;PolicyEff),1,Milestones!$AC$159)&amp;";  ","")&amp;IF(AND(EDATE($D24,Milestones!$AA$160)&lt;=AsOfDate,EDATE($D24,Milestones!$AA$160)&gt;=SchemeStart,IF($X24=0,$AD24,IF(AND($Z24&lt;&gt;"",EDATE($D24,Milestones!$AA$160)&gt;=$Z24),$AC24,IF(AND($Y24&lt;&gt;"",EDATE($D24,Milestones!$AA$160)&gt;=$Y24),$AB24,$AA24)))=Milestones!$AB$160),UPPER(TEXT(EDATE($D24,Milestones!$AA$160),"dd mmm yy"))&amp;" "&amp;Milestones!$AB$160&amp;" "&amp;IF(AND(Milestones!$AB$160="FT",Milestones!$AA$160=FT_Y5,EDATE($D24,Milestones!$AA$160)&lt;PolicyEff),1,Milestones!$AC$160)&amp;";  ","")&amp;IF(AND(EDATE($D24,Milestones!$AA$161)&lt;=AsOfDate,EDATE($D24,Milestones!$AA$161)&gt;=SchemeStart,IF($X24=0,$AD24,IF(AND($Z24&lt;&gt;"",EDATE($D24,Milestones!$AA$161)&gt;=$Z24),$AC24,IF(AND($Y24&lt;&gt;"",EDATE($D24,Milestones!$AA$161)&gt;=$Y24),$AB24,$AA24)))=Milestones!$AB$161),UPPER(TEXT(EDATE($D24,Milestones!$AA$161),"dd mmm yy"))&amp;" "&amp;Milestones!$AB$161&amp;" "&amp;IF(AND(Milestones!$AB$161="FT",Milestones!$AA$161=FT_Y5,EDATE($D24,Milestones!$AA$161)&lt;PolicyEff),1,Milestones!$AC$161)&amp;";  ","")&amp;IF(AND(EDATE($D24,Milestones!$AA$162)&lt;=AsOfDate,EDATE($D24,Milestones!$AA$162)&gt;=SchemeStart,IF($X24=0,$AD24,IF(AND($Z24&lt;&gt;"",EDATE($D24,Milestones!$AA$162)&gt;=$Z24),$AC24,IF(AND($Y24&lt;&gt;"",EDATE($D24,Milestones!$AA$162)&gt;=$Y24),$AB24,$AA24)))=Milestones!$AB$162),UPPER(TEXT(EDATE($D24,Milestones!$AA$162),"dd mmm yy"))&amp;" "&amp;Milestones!$AB$162&amp;" "&amp;IF(AND(Milestones!$AB$162="FT",Milestones!$AA$162=FT_Y5,EDATE($D24,Milestones!$AA$162)&lt;PolicyEff),1,Milestones!$AC$162)&amp;";  ","")&amp;IF(AND(EDATE($D24,Milestones!$AA$163)&lt;=AsOfDate,EDATE($D24,Milestones!$AA$163)&gt;=SchemeStart,IF($X24=0,$AD24,IF(AND($Z24&lt;&gt;"",EDATE($D24,Milestones!$AA$163)&gt;=$Z24),$AC24,IF(AND($Y24&lt;&gt;"",EDATE($D24,Milestones!$AA$163)&gt;=$Y24),$AB24,$AA24)))=Milestones!$AB$163),UPPER(TEXT(EDATE($D24,Milestones!$AA$163),"dd mmm yy"))&amp;" "&amp;Milestones!$AB$163&amp;" "&amp;IF(AND(Milestones!$AB$163="FT",Milestones!$AA$163=FT_Y5,EDATE($D24,Milestones!$AA$163)&lt;PolicyEff),1,Milestones!$AC$163)&amp;";  ",""))</f>
        <v/>
      </c>
      <c r="U24" s="0" t="str">
        <f aca="false">IF(OR($A24="",$D24=""),"",IF(AND(EDATE($D24,Milestones!$AA$164)&lt;=AsOfDate,EDATE($D24,Milestones!$AA$164)&gt;=SchemeStart,IF($X24=0,$AD24,IF(AND($Z24&lt;&gt;"",EDATE($D24,Milestones!$AA$164)&gt;=$Z24),$AC24,IF(AND($Y24&lt;&gt;"",EDATE($D24,Milestones!$AA$164)&gt;=$Y24),$AB24,$AA24)))=Milestones!$AB$164),UPPER(TEXT(EDATE($D24,Milestones!$AA$164),"dd mmm yy"))&amp;" "&amp;Milestones!$AB$164&amp;" "&amp;IF(AND(Milestones!$AB$164="FT",Milestones!$AA$164=FT_Y5,EDATE($D24,Milestones!$AA$164)&lt;PolicyEff),1,Milestones!$AC$164)&amp;";  ","")&amp;IF(AND(EDATE($D24,Milestones!$AA$165)&lt;=AsOfDate,EDATE($D24,Milestones!$AA$165)&gt;=SchemeStart,IF($X24=0,$AD24,IF(AND($Z24&lt;&gt;"",EDATE($D24,Milestones!$AA$165)&gt;=$Z24),$AC24,IF(AND($Y24&lt;&gt;"",EDATE($D24,Milestones!$AA$165)&gt;=$Y24),$AB24,$AA24)))=Milestones!$AB$165),UPPER(TEXT(EDATE($D24,Milestones!$AA$165),"dd mmm yy"))&amp;" "&amp;Milestones!$AB$165&amp;" "&amp;IF(AND(Milestones!$AB$165="FT",Milestones!$AA$165=FT_Y5,EDATE($D24,Milestones!$AA$165)&lt;PolicyEff),1,Milestones!$AC$165)&amp;";  ","")&amp;IF(AND(EDATE($D24,Milestones!$AA$166)&lt;=AsOfDate,EDATE($D24,Milestones!$AA$166)&gt;=SchemeStart,IF($X24=0,$AD24,IF(AND($Z24&lt;&gt;"",EDATE($D24,Milestones!$AA$166)&gt;=$Z24),$AC24,IF(AND($Y24&lt;&gt;"",EDATE($D24,Milestones!$AA$166)&gt;=$Y24),$AB24,$AA24)))=Milestones!$AB$166),UPPER(TEXT(EDATE($D24,Milestones!$AA$166),"dd mmm yy"))&amp;" "&amp;Milestones!$AB$166&amp;" "&amp;IF(AND(Milestones!$AB$166="FT",Milestones!$AA$166=FT_Y5,EDATE($D24,Milestones!$AA$166)&lt;PolicyEff),1,Milestones!$AC$166)&amp;";  ","")&amp;IF(AND(EDATE($D24,Milestones!$AA$167)&lt;=AsOfDate,EDATE($D24,Milestones!$AA$167)&gt;=SchemeStart,IF($X24=0,$AD24,IF(AND($Z24&lt;&gt;"",EDATE($D24,Milestones!$AA$167)&gt;=$Z24),$AC24,IF(AND($Y24&lt;&gt;"",EDATE($D24,Milestones!$AA$167)&gt;=$Y24),$AB24,$AA24)))=Milestones!$AB$167),UPPER(TEXT(EDATE($D24,Milestones!$AA$167),"dd mmm yy"))&amp;" "&amp;Milestones!$AB$167&amp;" "&amp;IF(AND(Milestones!$AB$167="FT",Milestones!$AA$167=FT_Y5,EDATE($D24,Milestones!$AA$167)&lt;PolicyEff),1,Milestones!$AC$167)&amp;";  ","")&amp;IF(AND(EDATE($D24,Milestones!$AA$168)&lt;=AsOfDate,EDATE($D24,Milestones!$AA$168)&gt;=SchemeStart,IF($X24=0,$AD24,IF(AND($Z24&lt;&gt;"",EDATE($D24,Milestones!$AA$168)&gt;=$Z24),$AC24,IF(AND($Y24&lt;&gt;"",EDATE($D24,Milestones!$AA$168)&gt;=$Y24),$AB24,$AA24)))=Milestones!$AB$168),UPPER(TEXT(EDATE($D24,Milestones!$AA$168),"dd mmm yy"))&amp;" "&amp;Milestones!$AB$168&amp;" "&amp;IF(AND(Milestones!$AB$168="FT",Milestones!$AA$168=FT_Y5,EDATE($D24,Milestones!$AA$168)&lt;PolicyEff),1,Milestones!$AC$168)&amp;";  ","")&amp;IF(AND(EDATE($D24,Milestones!$AA$169)&lt;=AsOfDate,EDATE($D24,Milestones!$AA$169)&gt;=SchemeStart,IF($X24=0,$AD24,IF(AND($Z24&lt;&gt;"",EDATE($D24,Milestones!$AA$169)&gt;=$Z24),$AC24,IF(AND($Y24&lt;&gt;"",EDATE($D24,Milestones!$AA$169)&gt;=$Y24),$AB24,$AA24)))=Milestones!$AB$169),UPPER(TEXT(EDATE($D24,Milestones!$AA$169),"dd mmm yy"))&amp;" "&amp;Milestones!$AB$169&amp;" "&amp;IF(AND(Milestones!$AB$169="FT",Milestones!$AA$169=FT_Y5,EDATE($D24,Milestones!$AA$169)&lt;PolicyEff),1,Milestones!$AC$169)&amp;";  ","")&amp;IF(AND(EDATE($D24,Milestones!$AA$170)&lt;=AsOfDate,EDATE($D24,Milestones!$AA$170)&gt;=SchemeStart,IF($X24=0,$AD24,IF(AND($Z24&lt;&gt;"",EDATE($D24,Milestones!$AA$170)&gt;=$Z24),$AC24,IF(AND($Y24&lt;&gt;"",EDATE($D24,Milestones!$AA$170)&gt;=$Y24),$AB24,$AA24)))=Milestones!$AB$170),UPPER(TEXT(EDATE($D24,Milestones!$AA$170),"dd mmm yy"))&amp;" "&amp;Milestones!$AB$170&amp;" "&amp;IF(AND(Milestones!$AB$170="FT",Milestones!$AA$170=FT_Y5,EDATE($D24,Milestones!$AA$170)&lt;PolicyEff),1,Milestones!$AC$170)&amp;";  ","")&amp;IF(AND(EDATE($D24,Milestones!$AA$171)&lt;=AsOfDate,EDATE($D24,Milestones!$AA$171)&gt;=SchemeStart,IF($X24=0,$AD24,IF(AND($Z24&lt;&gt;"",EDATE($D24,Milestones!$AA$171)&gt;=$Z24),$AC24,IF(AND($Y24&lt;&gt;"",EDATE($D24,Milestones!$AA$171)&gt;=$Y24),$AB24,$AA24)))=Milestones!$AB$171),UPPER(TEXT(EDATE($D24,Milestones!$AA$171),"dd mmm yy"))&amp;" "&amp;Milestones!$AB$171&amp;" "&amp;IF(AND(Milestones!$AB$171="FT",Milestones!$AA$171=FT_Y5,EDATE($D24,Milestones!$AA$171)&lt;PolicyEff),1,Milestones!$AC$171)&amp;";  ","")&amp;IF(AND(EDATE($D24,Milestones!$AA$172)&lt;=AsOfDate,EDATE($D24,Milestones!$AA$172)&gt;=SchemeStart,IF($X24=0,$AD24,IF(AND($Z24&lt;&gt;"",EDATE($D24,Milestones!$AA$172)&gt;=$Z24),$AC24,IF(AND($Y24&lt;&gt;"",EDATE($D24,Milestones!$AA$172)&gt;=$Y24),$AB24,$AA24)))=Milestones!$AB$172),UPPER(TEXT(EDATE($D24,Milestones!$AA$172),"dd mmm yy"))&amp;" "&amp;Milestones!$AB$172&amp;" "&amp;IF(AND(Milestones!$AB$172="FT",Milestones!$AA$172=FT_Y5,EDATE($D24,Milestones!$AA$172)&lt;PolicyEff),1,Milestones!$AC$172)&amp;";  ","")&amp;IF(AND(EDATE($D24,Milestones!$AA$173)&lt;=AsOfDate,EDATE($D24,Milestones!$AA$173)&gt;=SchemeStart,IF($X24=0,$AD24,IF(AND($Z24&lt;&gt;"",EDATE($D24,Milestones!$AA$173)&gt;=$Z24),$AC24,IF(AND($Y24&lt;&gt;"",EDATE($D24,Milestones!$AA$173)&gt;=$Y24),$AB24,$AA24)))=Milestones!$AB$173),UPPER(TEXT(EDATE($D24,Milestones!$AA$173),"dd mmm yy"))&amp;" "&amp;Milestones!$AB$173&amp;" "&amp;IF(AND(Milestones!$AB$173="FT",Milestones!$AA$173=FT_Y5,EDATE($D24,Milestones!$AA$173)&lt;PolicyEff),1,Milestones!$AC$173)&amp;";  ","")&amp;IF(AND(EDATE($D24,Milestones!$AA$174)&lt;=AsOfDate,EDATE($D24,Milestones!$AA$174)&gt;=SchemeStart,IF($X24=0,$AD24,IF(AND($Z24&lt;&gt;"",EDATE($D24,Milestones!$AA$174)&gt;=$Z24),$AC24,IF(AND($Y24&lt;&gt;"",EDATE($D24,Milestones!$AA$174)&gt;=$Y24),$AB24,$AA24)))=Milestones!$AB$174),UPPER(TEXT(EDATE($D24,Milestones!$AA$174),"dd mmm yy"))&amp;" "&amp;Milestones!$AB$174&amp;" "&amp;IF(AND(Milestones!$AB$174="FT",Milestones!$AA$174=FT_Y5,EDATE($D24,Milestones!$AA$174)&lt;PolicyEff),1,Milestones!$AC$174)&amp;";  ","")&amp;IF(AND(EDATE($D24,Milestones!$AA$175)&lt;=AsOfDate,EDATE($D24,Milestones!$AA$175)&gt;=SchemeStart,IF($X24=0,$AD24,IF(AND($Z24&lt;&gt;"",EDATE($D24,Milestones!$AA$175)&gt;=$Z24),$AC24,IF(AND($Y24&lt;&gt;"",EDATE($D24,Milestones!$AA$175)&gt;=$Y24),$AB24,$AA24)))=Milestones!$AB$175),UPPER(TEXT(EDATE($D24,Milestones!$AA$175),"dd mmm yy"))&amp;" "&amp;Milestones!$AB$175&amp;" "&amp;IF(AND(Milestones!$AB$175="FT",Milestones!$AA$175=FT_Y5,EDATE($D24,Milestones!$AA$175)&lt;PolicyEff),1,Milestones!$AC$175)&amp;";  ",""))</f>
        <v/>
      </c>
      <c r="V24" s="0" t="str">
        <f aca="false">IF(OR($A24="",$D24=""),"",IF(AND(EDATE($D24,Milestones!$AA$176)&lt;=AsOfDate,EDATE($D24,Milestones!$AA$176)&gt;=SchemeStart,IF($X24=0,$AD24,IF(AND($Z24&lt;&gt;"",EDATE($D24,Milestones!$AA$176)&gt;=$Z24),$AC24,IF(AND($Y24&lt;&gt;"",EDATE($D24,Milestones!$AA$176)&gt;=$Y24),$AB24,$AA24)))=Milestones!$AB$176),UPPER(TEXT(EDATE($D24,Milestones!$AA$176),"dd mmm yy"))&amp;" "&amp;Milestones!$AB$176&amp;" "&amp;IF(AND(Milestones!$AB$176="FT",Milestones!$AA$176=FT_Y5,EDATE($D24,Milestones!$AA$176)&lt;PolicyEff),1,Milestones!$AC$176)&amp;";  ","")&amp;IF(AND(EDATE($D24,Milestones!$AA$177)&lt;=AsOfDate,EDATE($D24,Milestones!$AA$177)&gt;=SchemeStart,IF($X24=0,$AD24,IF(AND($Z24&lt;&gt;"",EDATE($D24,Milestones!$AA$177)&gt;=$Z24),$AC24,IF(AND($Y24&lt;&gt;"",EDATE($D24,Milestones!$AA$177)&gt;=$Y24),$AB24,$AA24)))=Milestones!$AB$177),UPPER(TEXT(EDATE($D24,Milestones!$AA$177),"dd mmm yy"))&amp;" "&amp;Milestones!$AB$177&amp;" "&amp;IF(AND(Milestones!$AB$177="FT",Milestones!$AA$177=FT_Y5,EDATE($D24,Milestones!$AA$177)&lt;PolicyEff),1,Milestones!$AC$177)&amp;";  ","")&amp;IF(AND(EDATE($D24,Milestones!$AA$178)&lt;=AsOfDate,EDATE($D24,Milestones!$AA$178)&gt;=SchemeStart,IF($X24=0,$AD24,IF(AND($Z24&lt;&gt;"",EDATE($D24,Milestones!$AA$178)&gt;=$Z24),$AC24,IF(AND($Y24&lt;&gt;"",EDATE($D24,Milestones!$AA$178)&gt;=$Y24),$AB24,$AA24)))=Milestones!$AB$178),UPPER(TEXT(EDATE($D24,Milestones!$AA$178),"dd mmm yy"))&amp;" "&amp;Milestones!$AB$178&amp;" "&amp;IF(AND(Milestones!$AB$178="FT",Milestones!$AA$178=FT_Y5,EDATE($D24,Milestones!$AA$178)&lt;PolicyEff),1,Milestones!$AC$178)&amp;";  ","")&amp;IF(AND(EDATE($D24,Milestones!$AA$179)&lt;=AsOfDate,EDATE($D24,Milestones!$AA$179)&gt;=SchemeStart,IF($X24=0,$AD24,IF(AND($Z24&lt;&gt;"",EDATE($D24,Milestones!$AA$179)&gt;=$Z24),$AC24,IF(AND($Y24&lt;&gt;"",EDATE($D24,Milestones!$AA$179)&gt;=$Y24),$AB24,$AA24)))=Milestones!$AB$179),UPPER(TEXT(EDATE($D24,Milestones!$AA$179),"dd mmm yy"))&amp;" "&amp;Milestones!$AB$179&amp;" "&amp;IF(AND(Milestones!$AB$179="FT",Milestones!$AA$179=FT_Y5,EDATE($D24,Milestones!$AA$179)&lt;PolicyEff),1,Milestones!$AC$179)&amp;";  ","")&amp;IF(AND(EDATE($D24,Milestones!$AA$180)&lt;=AsOfDate,EDATE($D24,Milestones!$AA$180)&gt;=SchemeStart,IF($X24=0,$AD24,IF(AND($Z24&lt;&gt;"",EDATE($D24,Milestones!$AA$180)&gt;=$Z24),$AC24,IF(AND($Y24&lt;&gt;"",EDATE($D24,Milestones!$AA$180)&gt;=$Y24),$AB24,$AA24)))=Milestones!$AB$180),UPPER(TEXT(EDATE($D24,Milestones!$AA$180),"dd mmm yy"))&amp;" "&amp;Milestones!$AB$180&amp;" "&amp;IF(AND(Milestones!$AB$180="FT",Milestones!$AA$180=FT_Y5,EDATE($D24,Milestones!$AA$180)&lt;PolicyEff),1,Milestones!$AC$180)&amp;";  ","")&amp;IF(AND(EDATE($D24,Milestones!$AA$181)&lt;=AsOfDate,EDATE($D24,Milestones!$AA$181)&gt;=SchemeStart,IF($X24=0,$AD24,IF(AND($Z24&lt;&gt;"",EDATE($D24,Milestones!$AA$181)&gt;=$Z24),$AC24,IF(AND($Y24&lt;&gt;"",EDATE($D24,Milestones!$AA$181)&gt;=$Y24),$AB24,$AA24)))=Milestones!$AB$181),UPPER(TEXT(EDATE($D24,Milestones!$AA$181),"dd mmm yy"))&amp;" "&amp;Milestones!$AB$181&amp;" "&amp;IF(AND(Milestones!$AB$181="FT",Milestones!$AA$181=FT_Y5,EDATE($D24,Milestones!$AA$181)&lt;PolicyEff),1,Milestones!$AC$181)&amp;";  ","")&amp;IF(AND(EDATE($D24,Milestones!$AA$182)&lt;=AsOfDate,EDATE($D24,Milestones!$AA$182)&gt;=SchemeStart,IF($X24=0,$AD24,IF(AND($Z24&lt;&gt;"",EDATE($D24,Milestones!$AA$182)&gt;=$Z24),$AC24,IF(AND($Y24&lt;&gt;"",EDATE($D24,Milestones!$AA$182)&gt;=$Y24),$AB24,$AA24)))=Milestones!$AB$182),UPPER(TEXT(EDATE($D24,Milestones!$AA$182),"dd mmm yy"))&amp;" "&amp;Milestones!$AB$182&amp;" "&amp;IF(AND(Milestones!$AB$182="FT",Milestones!$AA$182=FT_Y5,EDATE($D24,Milestones!$AA$182)&lt;PolicyEff),1,Milestones!$AC$182)&amp;";  ","")&amp;IF(AND(EDATE($D24,Milestones!$AA$183)&lt;=AsOfDate,EDATE($D24,Milestones!$AA$183)&gt;=SchemeStart,IF($X24=0,$AD24,IF(AND($Z24&lt;&gt;"",EDATE($D24,Milestones!$AA$183)&gt;=$Z24),$AC24,IF(AND($Y24&lt;&gt;"",EDATE($D24,Milestones!$AA$183)&gt;=$Y24),$AB24,$AA24)))=Milestones!$AB$183),UPPER(TEXT(EDATE($D24,Milestones!$AA$183),"dd mmm yy"))&amp;" "&amp;Milestones!$AB$183&amp;" "&amp;IF(AND(Milestones!$AB$183="FT",Milestones!$AA$183=FT_Y5,EDATE($D24,Milestones!$AA$183)&lt;PolicyEff),1,Milestones!$AC$183)&amp;";  ","")&amp;IF(AND(EDATE($D24,Milestones!$AA$184)&lt;=AsOfDate,EDATE($D24,Milestones!$AA$184)&gt;=SchemeStart,IF($X24=0,$AD24,IF(AND($Z24&lt;&gt;"",EDATE($D24,Milestones!$AA$184)&gt;=$Z24),$AC24,IF(AND($Y24&lt;&gt;"",EDATE($D24,Milestones!$AA$184)&gt;=$Y24),$AB24,$AA24)))=Milestones!$AB$184),UPPER(TEXT(EDATE($D24,Milestones!$AA$184),"dd mmm yy"))&amp;" "&amp;Milestones!$AB$184&amp;" "&amp;IF(AND(Milestones!$AB$184="FT",Milestones!$AA$184=FT_Y5,EDATE($D24,Milestones!$AA$184)&lt;PolicyEff),1,Milestones!$AC$184)&amp;";  ","")&amp;IF(AND(EDATE($D24,Milestones!$AA$185)&lt;=AsOfDate,EDATE($D24,Milestones!$AA$185)&gt;=SchemeStart,IF($X24=0,$AD24,IF(AND($Z24&lt;&gt;"",EDATE($D24,Milestones!$AA$185)&gt;=$Z24),$AC24,IF(AND($Y24&lt;&gt;"",EDATE($D24,Milestones!$AA$185)&gt;=$Y24),$AB24,$AA24)))=Milestones!$AB$185),UPPER(TEXT(EDATE($D24,Milestones!$AA$185),"dd mmm yy"))&amp;" "&amp;Milestones!$AB$185&amp;" "&amp;IF(AND(Milestones!$AB$185="FT",Milestones!$AA$185=FT_Y5,EDATE($D24,Milestones!$AA$185)&lt;PolicyEff),1,Milestones!$AC$185)&amp;";  ","")&amp;IF(AND(EDATE($D24,Milestones!$AA$186)&lt;=AsOfDate,EDATE($D24,Milestones!$AA$186)&gt;=SchemeStart,IF($X24=0,$AD24,IF(AND($Z24&lt;&gt;"",EDATE($D24,Milestones!$AA$186)&gt;=$Z24),$AC24,IF(AND($Y24&lt;&gt;"",EDATE($D24,Milestones!$AA$186)&gt;=$Y24),$AB24,$AA24)))=Milestones!$AB$186),UPPER(TEXT(EDATE($D24,Milestones!$AA$186),"dd mmm yy"))&amp;" "&amp;Milestones!$AB$186&amp;" "&amp;IF(AND(Milestones!$AB$186="FT",Milestones!$AA$186=FT_Y5,EDATE($D24,Milestones!$AA$186)&lt;PolicyEff),1,Milestones!$AC$186)&amp;";  ","")&amp;IF(AND(EDATE($D24,Milestones!$AA$187)&lt;=AsOfDate,EDATE($D24,Milestones!$AA$187)&gt;=SchemeStart,IF($X24=0,$AD24,IF(AND($Z24&lt;&gt;"",EDATE($D24,Milestones!$AA$187)&gt;=$Z24),$AC24,IF(AND($Y24&lt;&gt;"",EDATE($D24,Milestones!$AA$187)&gt;=$Y24),$AB24,$AA24)))=Milestones!$AB$187),UPPER(TEXT(EDATE($D24,Milestones!$AA$187),"dd mmm yy"))&amp;" "&amp;Milestones!$AB$187&amp;" "&amp;IF(AND(Milestones!$AB$187="FT",Milestones!$AA$187=FT_Y5,EDATE($D24,Milestones!$AA$187)&lt;PolicyEff),1,Milestones!$AC$187)&amp;";  ",""))</f>
        <v/>
      </c>
      <c r="W24" s="0" t="str">
        <f aca="false">IF(OR($A24="",$D24=""),"",IF(AND(EDATE($D24,Milestones!$AA$188)&lt;=AsOfDate,EDATE($D24,Milestones!$AA$188)&gt;=SchemeStart,IF($X24=0,$AD24,IF(AND($Z24&lt;&gt;"",EDATE($D24,Milestones!$AA$188)&gt;=$Z24),$AC24,IF(AND($Y24&lt;&gt;"",EDATE($D24,Milestones!$AA$188)&gt;=$Y24),$AB24,$AA24)))=Milestones!$AB$188),UPPER(TEXT(EDATE($D24,Milestones!$AA$188),"dd mmm yy"))&amp;" "&amp;Milestones!$AB$188&amp;" "&amp;IF(AND(Milestones!$AB$188="FT",Milestones!$AA$188=FT_Y5,EDATE($D24,Milestones!$AA$188)&lt;PolicyEff),1,Milestones!$AC$188)&amp;";  ","")&amp;IF(AND(EDATE($D24,Milestones!$AA$189)&lt;=AsOfDate,EDATE($D24,Milestones!$AA$189)&gt;=SchemeStart,IF($X24=0,$AD24,IF(AND($Z24&lt;&gt;"",EDATE($D24,Milestones!$AA$189)&gt;=$Z24),$AC24,IF(AND($Y24&lt;&gt;"",EDATE($D24,Milestones!$AA$189)&gt;=$Y24),$AB24,$AA24)))=Milestones!$AB$189),UPPER(TEXT(EDATE($D24,Milestones!$AA$189),"dd mmm yy"))&amp;" "&amp;Milestones!$AB$189&amp;" "&amp;IF(AND(Milestones!$AB$189="FT",Milestones!$AA$189=FT_Y5,EDATE($D24,Milestones!$AA$189)&lt;PolicyEff),1,Milestones!$AC$189)&amp;";  ","")&amp;IF(AND(EDATE($D24,Milestones!$AA$190)&lt;=AsOfDate,EDATE($D24,Milestones!$AA$190)&gt;=SchemeStart,IF($X24=0,$AD24,IF(AND($Z24&lt;&gt;"",EDATE($D24,Milestones!$AA$190)&gt;=$Z24),$AC24,IF(AND($Y24&lt;&gt;"",EDATE($D24,Milestones!$AA$190)&gt;=$Y24),$AB24,$AA24)))=Milestones!$AB$190),UPPER(TEXT(EDATE($D24,Milestones!$AA$190),"dd mmm yy"))&amp;" "&amp;Milestones!$AB$190&amp;" "&amp;IF(AND(Milestones!$AB$190="FT",Milestones!$AA$190=FT_Y5,EDATE($D24,Milestones!$AA$190)&lt;PolicyEff),1,Milestones!$AC$190)&amp;";  ","")&amp;IF(AND(EDATE($D24,Milestones!$AA$191)&lt;=AsOfDate,EDATE($D24,Milestones!$AA$191)&gt;=SchemeStart,IF($X24=0,$AD24,IF(AND($Z24&lt;&gt;"",EDATE($D24,Milestones!$AA$191)&gt;=$Z24),$AC24,IF(AND($Y24&lt;&gt;"",EDATE($D24,Milestones!$AA$191)&gt;=$Y24),$AB24,$AA24)))=Milestones!$AB$191),UPPER(TEXT(EDATE($D24,Milestones!$AA$191),"dd mmm yy"))&amp;" "&amp;Milestones!$AB$191&amp;" "&amp;IF(AND(Milestones!$AB$191="FT",Milestones!$AA$191=FT_Y5,EDATE($D24,Milestones!$AA$191)&lt;PolicyEff),1,Milestones!$AC$191)&amp;";  ","")&amp;IF(AND(EDATE($D24,Milestones!$AA$192)&lt;=AsOfDate,EDATE($D24,Milestones!$AA$192)&gt;=SchemeStart,IF($X24=0,$AD24,IF(AND($Z24&lt;&gt;"",EDATE($D24,Milestones!$AA$192)&gt;=$Z24),$AC24,IF(AND($Y24&lt;&gt;"",EDATE($D24,Milestones!$AA$192)&gt;=$Y24),$AB24,$AA24)))=Milestones!$AB$192),UPPER(TEXT(EDATE($D24,Milestones!$AA$192),"dd mmm yy"))&amp;" "&amp;Milestones!$AB$192&amp;" "&amp;IF(AND(Milestones!$AB$192="FT",Milestones!$AA$192=FT_Y5,EDATE($D24,Milestones!$AA$192)&lt;PolicyEff),1,Milestones!$AC$192)&amp;";  ","")&amp;IF(AND(EDATE($D24,Milestones!$AA$193)&lt;=AsOfDate,EDATE($D24,Milestones!$AA$193)&gt;=SchemeStart,IF($X24=0,$AD24,IF(AND($Z24&lt;&gt;"",EDATE($D24,Milestones!$AA$193)&gt;=$Z24),$AC24,IF(AND($Y24&lt;&gt;"",EDATE($D24,Milestones!$AA$193)&gt;=$Y24),$AB24,$AA24)))=Milestones!$AB$193),UPPER(TEXT(EDATE($D24,Milestones!$AA$193),"dd mmm yy"))&amp;" "&amp;Milestones!$AB$193&amp;" "&amp;IF(AND(Milestones!$AB$193="FT",Milestones!$AA$193=FT_Y5,EDATE($D24,Milestones!$AA$193)&lt;PolicyEff),1,Milestones!$AC$193)&amp;";  ","")&amp;IF(AND(EDATE($D24,Milestones!$AA$194)&lt;=AsOfDate,EDATE($D24,Milestones!$AA$194)&gt;=SchemeStart,IF($X24=0,$AD24,IF(AND($Z24&lt;&gt;"",EDATE($D24,Milestones!$AA$194)&gt;=$Z24),$AC24,IF(AND($Y24&lt;&gt;"",EDATE($D24,Milestones!$AA$194)&gt;=$Y24),$AB24,$AA24)))=Milestones!$AB$194),UPPER(TEXT(EDATE($D24,Milestones!$AA$194),"dd mmm yy"))&amp;" "&amp;Milestones!$AB$194&amp;" "&amp;IF(AND(Milestones!$AB$194="FT",Milestones!$AA$194=FT_Y5,EDATE($D24,Milestones!$AA$194)&lt;PolicyEff),1,Milestones!$AC$194)&amp;";  ","")&amp;IF(AND(EDATE($D24,Milestones!$AA$195)&lt;=AsOfDate,EDATE($D24,Milestones!$AA$195)&gt;=SchemeStart,IF($X24=0,$AD24,IF(AND($Z24&lt;&gt;"",EDATE($D24,Milestones!$AA$195)&gt;=$Z24),$AC24,IF(AND($Y24&lt;&gt;"",EDATE($D24,Milestones!$AA$195)&gt;=$Y24),$AB24,$AA24)))=Milestones!$AB$195),UPPER(TEXT(EDATE($D24,Milestones!$AA$195),"dd mmm yy"))&amp;" "&amp;Milestones!$AB$195&amp;" "&amp;IF(AND(Milestones!$AB$195="FT",Milestones!$AA$195=FT_Y5,EDATE($D24,Milestones!$AA$195)&lt;PolicyEff),1,Milestones!$AC$195)&amp;";  ","")&amp;IF(AND(EDATE($D24,Milestones!$AA$196)&lt;=AsOfDate,EDATE($D24,Milestones!$AA$196)&gt;=SchemeStart,IF($X24=0,$AD24,IF(AND($Z24&lt;&gt;"",EDATE($D24,Milestones!$AA$196)&gt;=$Z24),$AC24,IF(AND($Y24&lt;&gt;"",EDATE($D24,Milestones!$AA$196)&gt;=$Y24),$AB24,$AA24)))=Milestones!$AB$196),UPPER(TEXT(EDATE($D24,Milestones!$AA$196),"dd mmm yy"))&amp;" "&amp;Milestones!$AB$196&amp;" "&amp;IF(AND(Milestones!$AB$196="FT",Milestones!$AA$196=FT_Y5,EDATE($D24,Milestones!$AA$196)&lt;PolicyEff),1,Milestones!$AC$196)&amp;";  ","")&amp;IF(AND(EDATE($D24,Milestones!$AA$197)&lt;=AsOfDate,EDATE($D24,Milestones!$AA$197)&gt;=SchemeStart,IF($X24=0,$AD24,IF(AND($Z24&lt;&gt;"",EDATE($D24,Milestones!$AA$197)&gt;=$Z24),$AC24,IF(AND($Y24&lt;&gt;"",EDATE($D24,Milestones!$AA$197)&gt;=$Y24),$AB24,$AA24)))=Milestones!$AB$197),UPPER(TEXT(EDATE($D24,Milestones!$AA$197),"dd mmm yy"))&amp;" "&amp;Milestones!$AB$197&amp;" "&amp;IF(AND(Milestones!$AB$197="FT",Milestones!$AA$197=FT_Y5,EDATE($D24,Milestones!$AA$197)&lt;PolicyEff),1,Milestones!$AC$197)&amp;";  ","")&amp;IF(AND(EDATE($D24,Milestones!$AA$198)&lt;=AsOfDate,EDATE($D24,Milestones!$AA$198)&gt;=SchemeStart,IF($X24=0,$AD24,IF(AND($Z24&lt;&gt;"",EDATE($D24,Milestones!$AA$198)&gt;=$Z24),$AC24,IF(AND($Y24&lt;&gt;"",EDATE($D24,Milestones!$AA$198)&gt;=$Y24),$AB24,$AA24)))=Milestones!$AB$198),UPPER(TEXT(EDATE($D24,Milestones!$AA$198),"dd mmm yy"))&amp;" "&amp;Milestones!$AB$198&amp;" "&amp;IF(AND(Milestones!$AB$198="FT",Milestones!$AA$198=FT_Y5,EDATE($D24,Milestones!$AA$198)&lt;PolicyEff),1,Milestones!$AC$198)&amp;";  ","")&amp;IF(AND(EDATE($D24,Milestones!$AA$199)&lt;=AsOfDate,EDATE($D24,Milestones!$AA$199)&gt;=SchemeStart,IF($X24=0,$AD24,IF(AND($Z24&lt;&gt;"",EDATE($D24,Milestones!$AA$199)&gt;=$Z24),$AC24,IF(AND($Y24&lt;&gt;"",EDATE($D24,Milestones!$AA$199)&gt;=$Y24),$AB24,$AA24)))=Milestones!$AB$199),UPPER(TEXT(EDATE($D24,Milestones!$AA$199),"dd mmm yy"))&amp;" "&amp;Milestones!$AB$199&amp;" "&amp;IF(AND(Milestones!$AB$199="FT",Milestones!$AA$199=FT_Y5,EDATE($D24,Milestones!$AA$199)&lt;PolicyEff),1,Milestones!$AC$199)&amp;";  ",""))</f>
        <v/>
      </c>
      <c r="X24" s="0" t="str">
        <f aca="false">IF(Staff!$A24="","",Staff!$AM24)</f>
        <v/>
      </c>
      <c r="Y24" s="0" t="str">
        <f aca="false">IF(Staff!$A24="","",Staff!$AO24)</f>
        <v/>
      </c>
      <c r="Z24" s="0" t="str">
        <f aca="false">IF(Staff!$A24="","",Staff!$AP24)</f>
        <v/>
      </c>
      <c r="AA24" s="0" t="str">
        <f aca="false">IF(Staff!$A24="","",Staff!$AT24)</f>
        <v/>
      </c>
      <c r="AB24" s="0" t="str">
        <f aca="false">IF(Staff!$A24="","",Staff!$AU24)</f>
        <v/>
      </c>
      <c r="AC24" s="0" t="str">
        <f aca="false">IF(Staff!$A24="","",Staff!$AV24)</f>
        <v/>
      </c>
      <c r="AD24" s="0" t="str">
        <f aca="false">IF(Staff!$A24="","",Staff!$AW24)</f>
        <v/>
      </c>
    </row>
    <row r="25" customFormat="false" ht="15" hidden="false" customHeight="false" outlineLevel="0" collapsed="false">
      <c r="A25" s="16" t="str">
        <f aca="false">IF(Staff!$A25="","",Staff!$A25)</f>
        <v/>
      </c>
      <c r="B25" s="16" t="str">
        <f aca="false">IF(Staff!$A25="","",Staff!$B25)</f>
        <v/>
      </c>
      <c r="C25" s="16" t="str">
        <f aca="false">IF(Staff!$A25="","",Staff!$C25)</f>
        <v/>
      </c>
      <c r="D25" s="14" t="str">
        <f aca="false">IF(Staff!$A25="","",Staff!$AL25)</f>
        <v/>
      </c>
      <c r="E25" s="16" t="str">
        <f aca="false">IF(Staff!$A25="","",Staff!$O25)</f>
        <v/>
      </c>
      <c r="F25" s="16" t="str">
        <f aca="false">IF(E25="","",E25*HoursPerDay)</f>
        <v/>
      </c>
      <c r="G25" s="16" t="str">
        <f aca="false">IF(Staff!$A25="","",Staff!$AE25)</f>
        <v/>
      </c>
      <c r="H25" s="28" t="str">
        <f aca="false">IF($A25="","",I25&amp;J25&amp;K25&amp;L25&amp;M25&amp;N25&amp;O25&amp;P25&amp;Q25&amp;R25&amp;S25&amp;T25&amp;U25&amp;V25&amp;W25)</f>
        <v/>
      </c>
      <c r="I25" s="0" t="str">
        <f aca="false">IF(OR($A25="",$D25=""),"",IF(AND(EDATE($D25,Milestones!$AA$20)&lt;=AsOfDate,EDATE($D25,Milestones!$AA$20)&gt;=SchemeStart,IF($X25=0,$AD25,IF(AND($Z25&lt;&gt;"",EDATE($D25,Milestones!$AA$20)&gt;=$Z25),$AC25,IF(AND($Y25&lt;&gt;"",EDATE($D25,Milestones!$AA$20)&gt;=$Y25),$AB25,$AA25)))=Milestones!$AB$20),UPPER(TEXT(EDATE($D25,Milestones!$AA$20),"dd mmm yy"))&amp;" "&amp;Milestones!$AB$20&amp;" "&amp;IF(AND(Milestones!$AB$20="FT",Milestones!$AA$20=FT_Y5,EDATE($D25,Milestones!$AA$20)&lt;PolicyEff),1,Milestones!$AC$20)&amp;";  ","")&amp;IF(AND(EDATE($D25,Milestones!$AA$21)&lt;=AsOfDate,EDATE($D25,Milestones!$AA$21)&gt;=SchemeStart,IF($X25=0,$AD25,IF(AND($Z25&lt;&gt;"",EDATE($D25,Milestones!$AA$21)&gt;=$Z25),$AC25,IF(AND($Y25&lt;&gt;"",EDATE($D25,Milestones!$AA$21)&gt;=$Y25),$AB25,$AA25)))=Milestones!$AB$21),UPPER(TEXT(EDATE($D25,Milestones!$AA$21),"dd mmm yy"))&amp;" "&amp;Milestones!$AB$21&amp;" "&amp;IF(AND(Milestones!$AB$21="FT",Milestones!$AA$21=FT_Y5,EDATE($D25,Milestones!$AA$21)&lt;PolicyEff),1,Milestones!$AC$21)&amp;";  ","")&amp;IF(AND(EDATE($D25,Milestones!$AA$22)&lt;=AsOfDate,EDATE($D25,Milestones!$AA$22)&gt;=SchemeStart,IF($X25=0,$AD25,IF(AND($Z25&lt;&gt;"",EDATE($D25,Milestones!$AA$22)&gt;=$Z25),$AC25,IF(AND($Y25&lt;&gt;"",EDATE($D25,Milestones!$AA$22)&gt;=$Y25),$AB25,$AA25)))=Milestones!$AB$22),UPPER(TEXT(EDATE($D25,Milestones!$AA$22),"dd mmm yy"))&amp;" "&amp;Milestones!$AB$22&amp;" "&amp;IF(AND(Milestones!$AB$22="FT",Milestones!$AA$22=FT_Y5,EDATE($D25,Milestones!$AA$22)&lt;PolicyEff),1,Milestones!$AC$22)&amp;";  ","")&amp;IF(AND(EDATE($D25,Milestones!$AA$23)&lt;=AsOfDate,EDATE($D25,Milestones!$AA$23)&gt;=SchemeStart,IF($X25=0,$AD25,IF(AND($Z25&lt;&gt;"",EDATE($D25,Milestones!$AA$23)&gt;=$Z25),$AC25,IF(AND($Y25&lt;&gt;"",EDATE($D25,Milestones!$AA$23)&gt;=$Y25),$AB25,$AA25)))=Milestones!$AB$23),UPPER(TEXT(EDATE($D25,Milestones!$AA$23),"dd mmm yy"))&amp;" "&amp;Milestones!$AB$23&amp;" "&amp;IF(AND(Milestones!$AB$23="FT",Milestones!$AA$23=FT_Y5,EDATE($D25,Milestones!$AA$23)&lt;PolicyEff),1,Milestones!$AC$23)&amp;";  ","")&amp;IF(AND(EDATE($D25,Milestones!$AA$24)&lt;=AsOfDate,EDATE($D25,Milestones!$AA$24)&gt;=SchemeStart,IF($X25=0,$AD25,IF(AND($Z25&lt;&gt;"",EDATE($D25,Milestones!$AA$24)&gt;=$Z25),$AC25,IF(AND($Y25&lt;&gt;"",EDATE($D25,Milestones!$AA$24)&gt;=$Y25),$AB25,$AA25)))=Milestones!$AB$24),UPPER(TEXT(EDATE($D25,Milestones!$AA$24),"dd mmm yy"))&amp;" "&amp;Milestones!$AB$24&amp;" "&amp;IF(AND(Milestones!$AB$24="FT",Milestones!$AA$24=FT_Y5,EDATE($D25,Milestones!$AA$24)&lt;PolicyEff),1,Milestones!$AC$24)&amp;";  ","")&amp;IF(AND(EDATE($D25,Milestones!$AA$25)&lt;=AsOfDate,EDATE($D25,Milestones!$AA$25)&gt;=SchemeStart,IF($X25=0,$AD25,IF(AND($Z25&lt;&gt;"",EDATE($D25,Milestones!$AA$25)&gt;=$Z25),$AC25,IF(AND($Y25&lt;&gt;"",EDATE($D25,Milestones!$AA$25)&gt;=$Y25),$AB25,$AA25)))=Milestones!$AB$25),UPPER(TEXT(EDATE($D25,Milestones!$AA$25),"dd mmm yy"))&amp;" "&amp;Milestones!$AB$25&amp;" "&amp;IF(AND(Milestones!$AB$25="FT",Milestones!$AA$25=FT_Y5,EDATE($D25,Milestones!$AA$25)&lt;PolicyEff),1,Milestones!$AC$25)&amp;";  ","")&amp;IF(AND(EDATE($D25,Milestones!$AA$26)&lt;=AsOfDate,EDATE($D25,Milestones!$AA$26)&gt;=SchemeStart,IF($X25=0,$AD25,IF(AND($Z25&lt;&gt;"",EDATE($D25,Milestones!$AA$26)&gt;=$Z25),$AC25,IF(AND($Y25&lt;&gt;"",EDATE($D25,Milestones!$AA$26)&gt;=$Y25),$AB25,$AA25)))=Milestones!$AB$26),UPPER(TEXT(EDATE($D25,Milestones!$AA$26),"dd mmm yy"))&amp;" "&amp;Milestones!$AB$26&amp;" "&amp;IF(AND(Milestones!$AB$26="FT",Milestones!$AA$26=FT_Y5,EDATE($D25,Milestones!$AA$26)&lt;PolicyEff),1,Milestones!$AC$26)&amp;";  ","")&amp;IF(AND(EDATE($D25,Milestones!$AA$27)&lt;=AsOfDate,EDATE($D25,Milestones!$AA$27)&gt;=SchemeStart,IF($X25=0,$AD25,IF(AND($Z25&lt;&gt;"",EDATE($D25,Milestones!$AA$27)&gt;=$Z25),$AC25,IF(AND($Y25&lt;&gt;"",EDATE($D25,Milestones!$AA$27)&gt;=$Y25),$AB25,$AA25)))=Milestones!$AB$27),UPPER(TEXT(EDATE($D25,Milestones!$AA$27),"dd mmm yy"))&amp;" "&amp;Milestones!$AB$27&amp;" "&amp;IF(AND(Milestones!$AB$27="FT",Milestones!$AA$27=FT_Y5,EDATE($D25,Milestones!$AA$27)&lt;PolicyEff),1,Milestones!$AC$27)&amp;";  ","")&amp;IF(AND(EDATE($D25,Milestones!$AA$28)&lt;=AsOfDate,EDATE($D25,Milestones!$AA$28)&gt;=SchemeStart,IF($X25=0,$AD25,IF(AND($Z25&lt;&gt;"",EDATE($D25,Milestones!$AA$28)&gt;=$Z25),$AC25,IF(AND($Y25&lt;&gt;"",EDATE($D25,Milestones!$AA$28)&gt;=$Y25),$AB25,$AA25)))=Milestones!$AB$28),UPPER(TEXT(EDATE($D25,Milestones!$AA$28),"dd mmm yy"))&amp;" "&amp;Milestones!$AB$28&amp;" "&amp;IF(AND(Milestones!$AB$28="FT",Milestones!$AA$28=FT_Y5,EDATE($D25,Milestones!$AA$28)&lt;PolicyEff),1,Milestones!$AC$28)&amp;";  ","")&amp;IF(AND(EDATE($D25,Milestones!$AA$29)&lt;=AsOfDate,EDATE($D25,Milestones!$AA$29)&gt;=SchemeStart,IF($X25=0,$AD25,IF(AND($Z25&lt;&gt;"",EDATE($D25,Milestones!$AA$29)&gt;=$Z25),$AC25,IF(AND($Y25&lt;&gt;"",EDATE($D25,Milestones!$AA$29)&gt;=$Y25),$AB25,$AA25)))=Milestones!$AB$29),UPPER(TEXT(EDATE($D25,Milestones!$AA$29),"dd mmm yy"))&amp;" "&amp;Milestones!$AB$29&amp;" "&amp;IF(AND(Milestones!$AB$29="FT",Milestones!$AA$29=FT_Y5,EDATE($D25,Milestones!$AA$29)&lt;PolicyEff),1,Milestones!$AC$29)&amp;";  ","")&amp;IF(AND(EDATE($D25,Milestones!$AA$30)&lt;=AsOfDate,EDATE($D25,Milestones!$AA$30)&gt;=SchemeStart,IF($X25=0,$AD25,IF(AND($Z25&lt;&gt;"",EDATE($D25,Milestones!$AA$30)&gt;=$Z25),$AC25,IF(AND($Y25&lt;&gt;"",EDATE($D25,Milestones!$AA$30)&gt;=$Y25),$AB25,$AA25)))=Milestones!$AB$30),UPPER(TEXT(EDATE($D25,Milestones!$AA$30),"dd mmm yy"))&amp;" "&amp;Milestones!$AB$30&amp;" "&amp;IF(AND(Milestones!$AB$30="FT",Milestones!$AA$30=FT_Y5,EDATE($D25,Milestones!$AA$30)&lt;PolicyEff),1,Milestones!$AC$30)&amp;";  ","")&amp;IF(AND(EDATE($D25,Milestones!$AA$31)&lt;=AsOfDate,EDATE($D25,Milestones!$AA$31)&gt;=SchemeStart,IF($X25=0,$AD25,IF(AND($Z25&lt;&gt;"",EDATE($D25,Milestones!$AA$31)&gt;=$Z25),$AC25,IF(AND($Y25&lt;&gt;"",EDATE($D25,Milestones!$AA$31)&gt;=$Y25),$AB25,$AA25)))=Milestones!$AB$31),UPPER(TEXT(EDATE($D25,Milestones!$AA$31),"dd mmm yy"))&amp;" "&amp;Milestones!$AB$31&amp;" "&amp;IF(AND(Milestones!$AB$31="FT",Milestones!$AA$31=FT_Y5,EDATE($D25,Milestones!$AA$31)&lt;PolicyEff),1,Milestones!$AC$31)&amp;";  ",""))</f>
        <v/>
      </c>
      <c r="J25" s="0" t="str">
        <f aca="false">IF(OR($A25="",$D25=""),"",IF(AND(EDATE($D25,Milestones!$AA$32)&lt;=AsOfDate,EDATE($D25,Milestones!$AA$32)&gt;=SchemeStart,IF($X25=0,$AD25,IF(AND($Z25&lt;&gt;"",EDATE($D25,Milestones!$AA$32)&gt;=$Z25),$AC25,IF(AND($Y25&lt;&gt;"",EDATE($D25,Milestones!$AA$32)&gt;=$Y25),$AB25,$AA25)))=Milestones!$AB$32),UPPER(TEXT(EDATE($D25,Milestones!$AA$32),"dd mmm yy"))&amp;" "&amp;Milestones!$AB$32&amp;" "&amp;IF(AND(Milestones!$AB$32="FT",Milestones!$AA$32=FT_Y5,EDATE($D25,Milestones!$AA$32)&lt;PolicyEff),1,Milestones!$AC$32)&amp;";  ","")&amp;IF(AND(EDATE($D25,Milestones!$AA$33)&lt;=AsOfDate,EDATE($D25,Milestones!$AA$33)&gt;=SchemeStart,IF($X25=0,$AD25,IF(AND($Z25&lt;&gt;"",EDATE($D25,Milestones!$AA$33)&gt;=$Z25),$AC25,IF(AND($Y25&lt;&gt;"",EDATE($D25,Milestones!$AA$33)&gt;=$Y25),$AB25,$AA25)))=Milestones!$AB$33),UPPER(TEXT(EDATE($D25,Milestones!$AA$33),"dd mmm yy"))&amp;" "&amp;Milestones!$AB$33&amp;" "&amp;IF(AND(Milestones!$AB$33="FT",Milestones!$AA$33=FT_Y5,EDATE($D25,Milestones!$AA$33)&lt;PolicyEff),1,Milestones!$AC$33)&amp;";  ","")&amp;IF(AND(EDATE($D25,Milestones!$AA$34)&lt;=AsOfDate,EDATE($D25,Milestones!$AA$34)&gt;=SchemeStart,IF($X25=0,$AD25,IF(AND($Z25&lt;&gt;"",EDATE($D25,Milestones!$AA$34)&gt;=$Z25),$AC25,IF(AND($Y25&lt;&gt;"",EDATE($D25,Milestones!$AA$34)&gt;=$Y25),$AB25,$AA25)))=Milestones!$AB$34),UPPER(TEXT(EDATE($D25,Milestones!$AA$34),"dd mmm yy"))&amp;" "&amp;Milestones!$AB$34&amp;" "&amp;IF(AND(Milestones!$AB$34="FT",Milestones!$AA$34=FT_Y5,EDATE($D25,Milestones!$AA$34)&lt;PolicyEff),1,Milestones!$AC$34)&amp;";  ","")&amp;IF(AND(EDATE($D25,Milestones!$AA$35)&lt;=AsOfDate,EDATE($D25,Milestones!$AA$35)&gt;=SchemeStart,IF($X25=0,$AD25,IF(AND($Z25&lt;&gt;"",EDATE($D25,Milestones!$AA$35)&gt;=$Z25),$AC25,IF(AND($Y25&lt;&gt;"",EDATE($D25,Milestones!$AA$35)&gt;=$Y25),$AB25,$AA25)))=Milestones!$AB$35),UPPER(TEXT(EDATE($D25,Milestones!$AA$35),"dd mmm yy"))&amp;" "&amp;Milestones!$AB$35&amp;" "&amp;IF(AND(Milestones!$AB$35="FT",Milestones!$AA$35=FT_Y5,EDATE($D25,Milestones!$AA$35)&lt;PolicyEff),1,Milestones!$AC$35)&amp;";  ","")&amp;IF(AND(EDATE($D25,Milestones!$AA$36)&lt;=AsOfDate,EDATE($D25,Milestones!$AA$36)&gt;=SchemeStart,IF($X25=0,$AD25,IF(AND($Z25&lt;&gt;"",EDATE($D25,Milestones!$AA$36)&gt;=$Z25),$AC25,IF(AND($Y25&lt;&gt;"",EDATE($D25,Milestones!$AA$36)&gt;=$Y25),$AB25,$AA25)))=Milestones!$AB$36),UPPER(TEXT(EDATE($D25,Milestones!$AA$36),"dd mmm yy"))&amp;" "&amp;Milestones!$AB$36&amp;" "&amp;IF(AND(Milestones!$AB$36="FT",Milestones!$AA$36=FT_Y5,EDATE($D25,Milestones!$AA$36)&lt;PolicyEff),1,Milestones!$AC$36)&amp;";  ","")&amp;IF(AND(EDATE($D25,Milestones!$AA$37)&lt;=AsOfDate,EDATE($D25,Milestones!$AA$37)&gt;=SchemeStart,IF($X25=0,$AD25,IF(AND($Z25&lt;&gt;"",EDATE($D25,Milestones!$AA$37)&gt;=$Z25),$AC25,IF(AND($Y25&lt;&gt;"",EDATE($D25,Milestones!$AA$37)&gt;=$Y25),$AB25,$AA25)))=Milestones!$AB$37),UPPER(TEXT(EDATE($D25,Milestones!$AA$37),"dd mmm yy"))&amp;" "&amp;Milestones!$AB$37&amp;" "&amp;IF(AND(Milestones!$AB$37="FT",Milestones!$AA$37=FT_Y5,EDATE($D25,Milestones!$AA$37)&lt;PolicyEff),1,Milestones!$AC$37)&amp;";  ","")&amp;IF(AND(EDATE($D25,Milestones!$AA$38)&lt;=AsOfDate,EDATE($D25,Milestones!$AA$38)&gt;=SchemeStart,IF($X25=0,$AD25,IF(AND($Z25&lt;&gt;"",EDATE($D25,Milestones!$AA$38)&gt;=$Z25),$AC25,IF(AND($Y25&lt;&gt;"",EDATE($D25,Milestones!$AA$38)&gt;=$Y25),$AB25,$AA25)))=Milestones!$AB$38),UPPER(TEXT(EDATE($D25,Milestones!$AA$38),"dd mmm yy"))&amp;" "&amp;Milestones!$AB$38&amp;" "&amp;IF(AND(Milestones!$AB$38="FT",Milestones!$AA$38=FT_Y5,EDATE($D25,Milestones!$AA$38)&lt;PolicyEff),1,Milestones!$AC$38)&amp;";  ","")&amp;IF(AND(EDATE($D25,Milestones!$AA$39)&lt;=AsOfDate,EDATE($D25,Milestones!$AA$39)&gt;=SchemeStart,IF($X25=0,$AD25,IF(AND($Z25&lt;&gt;"",EDATE($D25,Milestones!$AA$39)&gt;=$Z25),$AC25,IF(AND($Y25&lt;&gt;"",EDATE($D25,Milestones!$AA$39)&gt;=$Y25),$AB25,$AA25)))=Milestones!$AB$39),UPPER(TEXT(EDATE($D25,Milestones!$AA$39),"dd mmm yy"))&amp;" "&amp;Milestones!$AB$39&amp;" "&amp;IF(AND(Milestones!$AB$39="FT",Milestones!$AA$39=FT_Y5,EDATE($D25,Milestones!$AA$39)&lt;PolicyEff),1,Milestones!$AC$39)&amp;";  ","")&amp;IF(AND(EDATE($D25,Milestones!$AA$40)&lt;=AsOfDate,EDATE($D25,Milestones!$AA$40)&gt;=SchemeStart,IF($X25=0,$AD25,IF(AND($Z25&lt;&gt;"",EDATE($D25,Milestones!$AA$40)&gt;=$Z25),$AC25,IF(AND($Y25&lt;&gt;"",EDATE($D25,Milestones!$AA$40)&gt;=$Y25),$AB25,$AA25)))=Milestones!$AB$40),UPPER(TEXT(EDATE($D25,Milestones!$AA$40),"dd mmm yy"))&amp;" "&amp;Milestones!$AB$40&amp;" "&amp;IF(AND(Milestones!$AB$40="FT",Milestones!$AA$40=FT_Y5,EDATE($D25,Milestones!$AA$40)&lt;PolicyEff),1,Milestones!$AC$40)&amp;";  ","")&amp;IF(AND(EDATE($D25,Milestones!$AA$41)&lt;=AsOfDate,EDATE($D25,Milestones!$AA$41)&gt;=SchemeStart,IF($X25=0,$AD25,IF(AND($Z25&lt;&gt;"",EDATE($D25,Milestones!$AA$41)&gt;=$Z25),$AC25,IF(AND($Y25&lt;&gt;"",EDATE($D25,Milestones!$AA$41)&gt;=$Y25),$AB25,$AA25)))=Milestones!$AB$41),UPPER(TEXT(EDATE($D25,Milestones!$AA$41),"dd mmm yy"))&amp;" "&amp;Milestones!$AB$41&amp;" "&amp;IF(AND(Milestones!$AB$41="FT",Milestones!$AA$41=FT_Y5,EDATE($D25,Milestones!$AA$41)&lt;PolicyEff),1,Milestones!$AC$41)&amp;";  ","")&amp;IF(AND(EDATE($D25,Milestones!$AA$42)&lt;=AsOfDate,EDATE($D25,Milestones!$AA$42)&gt;=SchemeStart,IF($X25=0,$AD25,IF(AND($Z25&lt;&gt;"",EDATE($D25,Milestones!$AA$42)&gt;=$Z25),$AC25,IF(AND($Y25&lt;&gt;"",EDATE($D25,Milestones!$AA$42)&gt;=$Y25),$AB25,$AA25)))=Milestones!$AB$42),UPPER(TEXT(EDATE($D25,Milestones!$AA$42),"dd mmm yy"))&amp;" "&amp;Milestones!$AB$42&amp;" "&amp;IF(AND(Milestones!$AB$42="FT",Milestones!$AA$42=FT_Y5,EDATE($D25,Milestones!$AA$42)&lt;PolicyEff),1,Milestones!$AC$42)&amp;";  ","")&amp;IF(AND(EDATE($D25,Milestones!$AA$43)&lt;=AsOfDate,EDATE($D25,Milestones!$AA$43)&gt;=SchemeStart,IF($X25=0,$AD25,IF(AND($Z25&lt;&gt;"",EDATE($D25,Milestones!$AA$43)&gt;=$Z25),$AC25,IF(AND($Y25&lt;&gt;"",EDATE($D25,Milestones!$AA$43)&gt;=$Y25),$AB25,$AA25)))=Milestones!$AB$43),UPPER(TEXT(EDATE($D25,Milestones!$AA$43),"dd mmm yy"))&amp;" "&amp;Milestones!$AB$43&amp;" "&amp;IF(AND(Milestones!$AB$43="FT",Milestones!$AA$43=FT_Y5,EDATE($D25,Milestones!$AA$43)&lt;PolicyEff),1,Milestones!$AC$43)&amp;";  ",""))</f>
        <v/>
      </c>
      <c r="K25" s="0" t="str">
        <f aca="false">IF(OR($A25="",$D25=""),"",IF(AND(EDATE($D25,Milestones!$AA$44)&lt;=AsOfDate,EDATE($D25,Milestones!$AA$44)&gt;=SchemeStart,IF($X25=0,$AD25,IF(AND($Z25&lt;&gt;"",EDATE($D25,Milestones!$AA$44)&gt;=$Z25),$AC25,IF(AND($Y25&lt;&gt;"",EDATE($D25,Milestones!$AA$44)&gt;=$Y25),$AB25,$AA25)))=Milestones!$AB$44),UPPER(TEXT(EDATE($D25,Milestones!$AA$44),"dd mmm yy"))&amp;" "&amp;Milestones!$AB$44&amp;" "&amp;IF(AND(Milestones!$AB$44="FT",Milestones!$AA$44=FT_Y5,EDATE($D25,Milestones!$AA$44)&lt;PolicyEff),1,Milestones!$AC$44)&amp;";  ","")&amp;IF(AND(EDATE($D25,Milestones!$AA$45)&lt;=AsOfDate,EDATE($D25,Milestones!$AA$45)&gt;=SchemeStart,IF($X25=0,$AD25,IF(AND($Z25&lt;&gt;"",EDATE($D25,Milestones!$AA$45)&gt;=$Z25),$AC25,IF(AND($Y25&lt;&gt;"",EDATE($D25,Milestones!$AA$45)&gt;=$Y25),$AB25,$AA25)))=Milestones!$AB$45),UPPER(TEXT(EDATE($D25,Milestones!$AA$45),"dd mmm yy"))&amp;" "&amp;Milestones!$AB$45&amp;" "&amp;IF(AND(Milestones!$AB$45="FT",Milestones!$AA$45=FT_Y5,EDATE($D25,Milestones!$AA$45)&lt;PolicyEff),1,Milestones!$AC$45)&amp;";  ","")&amp;IF(AND(EDATE($D25,Milestones!$AA$46)&lt;=AsOfDate,EDATE($D25,Milestones!$AA$46)&gt;=SchemeStart,IF($X25=0,$AD25,IF(AND($Z25&lt;&gt;"",EDATE($D25,Milestones!$AA$46)&gt;=$Z25),$AC25,IF(AND($Y25&lt;&gt;"",EDATE($D25,Milestones!$AA$46)&gt;=$Y25),$AB25,$AA25)))=Milestones!$AB$46),UPPER(TEXT(EDATE($D25,Milestones!$AA$46),"dd mmm yy"))&amp;" "&amp;Milestones!$AB$46&amp;" "&amp;IF(AND(Milestones!$AB$46="FT",Milestones!$AA$46=FT_Y5,EDATE($D25,Milestones!$AA$46)&lt;PolicyEff),1,Milestones!$AC$46)&amp;";  ","")&amp;IF(AND(EDATE($D25,Milestones!$AA$47)&lt;=AsOfDate,EDATE($D25,Milestones!$AA$47)&gt;=SchemeStart,IF($X25=0,$AD25,IF(AND($Z25&lt;&gt;"",EDATE($D25,Milestones!$AA$47)&gt;=$Z25),$AC25,IF(AND($Y25&lt;&gt;"",EDATE($D25,Milestones!$AA$47)&gt;=$Y25),$AB25,$AA25)))=Milestones!$AB$47),UPPER(TEXT(EDATE($D25,Milestones!$AA$47),"dd mmm yy"))&amp;" "&amp;Milestones!$AB$47&amp;" "&amp;IF(AND(Milestones!$AB$47="FT",Milestones!$AA$47=FT_Y5,EDATE($D25,Milestones!$AA$47)&lt;PolicyEff),1,Milestones!$AC$47)&amp;";  ","")&amp;IF(AND(EDATE($D25,Milestones!$AA$48)&lt;=AsOfDate,EDATE($D25,Milestones!$AA$48)&gt;=SchemeStart,IF($X25=0,$AD25,IF(AND($Z25&lt;&gt;"",EDATE($D25,Milestones!$AA$48)&gt;=$Z25),$AC25,IF(AND($Y25&lt;&gt;"",EDATE($D25,Milestones!$AA$48)&gt;=$Y25),$AB25,$AA25)))=Milestones!$AB$48),UPPER(TEXT(EDATE($D25,Milestones!$AA$48),"dd mmm yy"))&amp;" "&amp;Milestones!$AB$48&amp;" "&amp;IF(AND(Milestones!$AB$48="FT",Milestones!$AA$48=FT_Y5,EDATE($D25,Milestones!$AA$48)&lt;PolicyEff),1,Milestones!$AC$48)&amp;";  ","")&amp;IF(AND(EDATE($D25,Milestones!$AA$49)&lt;=AsOfDate,EDATE($D25,Milestones!$AA$49)&gt;=SchemeStart,IF($X25=0,$AD25,IF(AND($Z25&lt;&gt;"",EDATE($D25,Milestones!$AA$49)&gt;=$Z25),$AC25,IF(AND($Y25&lt;&gt;"",EDATE($D25,Milestones!$AA$49)&gt;=$Y25),$AB25,$AA25)))=Milestones!$AB$49),UPPER(TEXT(EDATE($D25,Milestones!$AA$49),"dd mmm yy"))&amp;" "&amp;Milestones!$AB$49&amp;" "&amp;IF(AND(Milestones!$AB$49="FT",Milestones!$AA$49=FT_Y5,EDATE($D25,Milestones!$AA$49)&lt;PolicyEff),1,Milestones!$AC$49)&amp;";  ","")&amp;IF(AND(EDATE($D25,Milestones!$AA$50)&lt;=AsOfDate,EDATE($D25,Milestones!$AA$50)&gt;=SchemeStart,IF($X25=0,$AD25,IF(AND($Z25&lt;&gt;"",EDATE($D25,Milestones!$AA$50)&gt;=$Z25),$AC25,IF(AND($Y25&lt;&gt;"",EDATE($D25,Milestones!$AA$50)&gt;=$Y25),$AB25,$AA25)))=Milestones!$AB$50),UPPER(TEXT(EDATE($D25,Milestones!$AA$50),"dd mmm yy"))&amp;" "&amp;Milestones!$AB$50&amp;" "&amp;IF(AND(Milestones!$AB$50="FT",Milestones!$AA$50=FT_Y5,EDATE($D25,Milestones!$AA$50)&lt;PolicyEff),1,Milestones!$AC$50)&amp;";  ","")&amp;IF(AND(EDATE($D25,Milestones!$AA$51)&lt;=AsOfDate,EDATE($D25,Milestones!$AA$51)&gt;=SchemeStart,IF($X25=0,$AD25,IF(AND($Z25&lt;&gt;"",EDATE($D25,Milestones!$AA$51)&gt;=$Z25),$AC25,IF(AND($Y25&lt;&gt;"",EDATE($D25,Milestones!$AA$51)&gt;=$Y25),$AB25,$AA25)))=Milestones!$AB$51),UPPER(TEXT(EDATE($D25,Milestones!$AA$51),"dd mmm yy"))&amp;" "&amp;Milestones!$AB$51&amp;" "&amp;IF(AND(Milestones!$AB$51="FT",Milestones!$AA$51=FT_Y5,EDATE($D25,Milestones!$AA$51)&lt;PolicyEff),1,Milestones!$AC$51)&amp;";  ","")&amp;IF(AND(EDATE($D25,Milestones!$AA$52)&lt;=AsOfDate,EDATE($D25,Milestones!$AA$52)&gt;=SchemeStart,IF($X25=0,$AD25,IF(AND($Z25&lt;&gt;"",EDATE($D25,Milestones!$AA$52)&gt;=$Z25),$AC25,IF(AND($Y25&lt;&gt;"",EDATE($D25,Milestones!$AA$52)&gt;=$Y25),$AB25,$AA25)))=Milestones!$AB$52),UPPER(TEXT(EDATE($D25,Milestones!$AA$52),"dd mmm yy"))&amp;" "&amp;Milestones!$AB$52&amp;" "&amp;IF(AND(Milestones!$AB$52="FT",Milestones!$AA$52=FT_Y5,EDATE($D25,Milestones!$AA$52)&lt;PolicyEff),1,Milestones!$AC$52)&amp;";  ","")&amp;IF(AND(EDATE($D25,Milestones!$AA$53)&lt;=AsOfDate,EDATE($D25,Milestones!$AA$53)&gt;=SchemeStart,IF($X25=0,$AD25,IF(AND($Z25&lt;&gt;"",EDATE($D25,Milestones!$AA$53)&gt;=$Z25),$AC25,IF(AND($Y25&lt;&gt;"",EDATE($D25,Milestones!$AA$53)&gt;=$Y25),$AB25,$AA25)))=Milestones!$AB$53),UPPER(TEXT(EDATE($D25,Milestones!$AA$53),"dd mmm yy"))&amp;" "&amp;Milestones!$AB$53&amp;" "&amp;IF(AND(Milestones!$AB$53="FT",Milestones!$AA$53=FT_Y5,EDATE($D25,Milestones!$AA$53)&lt;PolicyEff),1,Milestones!$AC$53)&amp;";  ","")&amp;IF(AND(EDATE($D25,Milestones!$AA$54)&lt;=AsOfDate,EDATE($D25,Milestones!$AA$54)&gt;=SchemeStart,IF($X25=0,$AD25,IF(AND($Z25&lt;&gt;"",EDATE($D25,Milestones!$AA$54)&gt;=$Z25),$AC25,IF(AND($Y25&lt;&gt;"",EDATE($D25,Milestones!$AA$54)&gt;=$Y25),$AB25,$AA25)))=Milestones!$AB$54),UPPER(TEXT(EDATE($D25,Milestones!$AA$54),"dd mmm yy"))&amp;" "&amp;Milestones!$AB$54&amp;" "&amp;IF(AND(Milestones!$AB$54="FT",Milestones!$AA$54=FT_Y5,EDATE($D25,Milestones!$AA$54)&lt;PolicyEff),1,Milestones!$AC$54)&amp;";  ","")&amp;IF(AND(EDATE($D25,Milestones!$AA$55)&lt;=AsOfDate,EDATE($D25,Milestones!$AA$55)&gt;=SchemeStart,IF($X25=0,$AD25,IF(AND($Z25&lt;&gt;"",EDATE($D25,Milestones!$AA$55)&gt;=$Z25),$AC25,IF(AND($Y25&lt;&gt;"",EDATE($D25,Milestones!$AA$55)&gt;=$Y25),$AB25,$AA25)))=Milestones!$AB$55),UPPER(TEXT(EDATE($D25,Milestones!$AA$55),"dd mmm yy"))&amp;" "&amp;Milestones!$AB$55&amp;" "&amp;IF(AND(Milestones!$AB$55="FT",Milestones!$AA$55=FT_Y5,EDATE($D25,Milestones!$AA$55)&lt;PolicyEff),1,Milestones!$AC$55)&amp;";  ",""))</f>
        <v/>
      </c>
      <c r="L25" s="0" t="str">
        <f aca="false">IF(OR($A25="",$D25=""),"",IF(AND(EDATE($D25,Milestones!$AA$56)&lt;=AsOfDate,EDATE($D25,Milestones!$AA$56)&gt;=SchemeStart,IF($X25=0,$AD25,IF(AND($Z25&lt;&gt;"",EDATE($D25,Milestones!$AA$56)&gt;=$Z25),$AC25,IF(AND($Y25&lt;&gt;"",EDATE($D25,Milestones!$AA$56)&gt;=$Y25),$AB25,$AA25)))=Milestones!$AB$56),UPPER(TEXT(EDATE($D25,Milestones!$AA$56),"dd mmm yy"))&amp;" "&amp;Milestones!$AB$56&amp;" "&amp;IF(AND(Milestones!$AB$56="FT",Milestones!$AA$56=FT_Y5,EDATE($D25,Milestones!$AA$56)&lt;PolicyEff),1,Milestones!$AC$56)&amp;";  ","")&amp;IF(AND(EDATE($D25,Milestones!$AA$57)&lt;=AsOfDate,EDATE($D25,Milestones!$AA$57)&gt;=SchemeStart,IF($X25=0,$AD25,IF(AND($Z25&lt;&gt;"",EDATE($D25,Milestones!$AA$57)&gt;=$Z25),$AC25,IF(AND($Y25&lt;&gt;"",EDATE($D25,Milestones!$AA$57)&gt;=$Y25),$AB25,$AA25)))=Milestones!$AB$57),UPPER(TEXT(EDATE($D25,Milestones!$AA$57),"dd mmm yy"))&amp;" "&amp;Milestones!$AB$57&amp;" "&amp;IF(AND(Milestones!$AB$57="FT",Milestones!$AA$57=FT_Y5,EDATE($D25,Milestones!$AA$57)&lt;PolicyEff),1,Milestones!$AC$57)&amp;";  ","")&amp;IF(AND(EDATE($D25,Milestones!$AA$58)&lt;=AsOfDate,EDATE($D25,Milestones!$AA$58)&gt;=SchemeStart,IF($X25=0,$AD25,IF(AND($Z25&lt;&gt;"",EDATE($D25,Milestones!$AA$58)&gt;=$Z25),$AC25,IF(AND($Y25&lt;&gt;"",EDATE($D25,Milestones!$AA$58)&gt;=$Y25),$AB25,$AA25)))=Milestones!$AB$58),UPPER(TEXT(EDATE($D25,Milestones!$AA$58),"dd mmm yy"))&amp;" "&amp;Milestones!$AB$58&amp;" "&amp;IF(AND(Milestones!$AB$58="FT",Milestones!$AA$58=FT_Y5,EDATE($D25,Milestones!$AA$58)&lt;PolicyEff),1,Milestones!$AC$58)&amp;";  ","")&amp;IF(AND(EDATE($D25,Milestones!$AA$59)&lt;=AsOfDate,EDATE($D25,Milestones!$AA$59)&gt;=SchemeStart,IF($X25=0,$AD25,IF(AND($Z25&lt;&gt;"",EDATE($D25,Milestones!$AA$59)&gt;=$Z25),$AC25,IF(AND($Y25&lt;&gt;"",EDATE($D25,Milestones!$AA$59)&gt;=$Y25),$AB25,$AA25)))=Milestones!$AB$59),UPPER(TEXT(EDATE($D25,Milestones!$AA$59),"dd mmm yy"))&amp;" "&amp;Milestones!$AB$59&amp;" "&amp;IF(AND(Milestones!$AB$59="FT",Milestones!$AA$59=FT_Y5,EDATE($D25,Milestones!$AA$59)&lt;PolicyEff),1,Milestones!$AC$59)&amp;";  ","")&amp;IF(AND(EDATE($D25,Milestones!$AA$60)&lt;=AsOfDate,EDATE($D25,Milestones!$AA$60)&gt;=SchemeStart,IF($X25=0,$AD25,IF(AND($Z25&lt;&gt;"",EDATE($D25,Milestones!$AA$60)&gt;=$Z25),$AC25,IF(AND($Y25&lt;&gt;"",EDATE($D25,Milestones!$AA$60)&gt;=$Y25),$AB25,$AA25)))=Milestones!$AB$60),UPPER(TEXT(EDATE($D25,Milestones!$AA$60),"dd mmm yy"))&amp;" "&amp;Milestones!$AB$60&amp;" "&amp;IF(AND(Milestones!$AB$60="FT",Milestones!$AA$60=FT_Y5,EDATE($D25,Milestones!$AA$60)&lt;PolicyEff),1,Milestones!$AC$60)&amp;";  ","")&amp;IF(AND(EDATE($D25,Milestones!$AA$61)&lt;=AsOfDate,EDATE($D25,Milestones!$AA$61)&gt;=SchemeStart,IF($X25=0,$AD25,IF(AND($Z25&lt;&gt;"",EDATE($D25,Milestones!$AA$61)&gt;=$Z25),$AC25,IF(AND($Y25&lt;&gt;"",EDATE($D25,Milestones!$AA$61)&gt;=$Y25),$AB25,$AA25)))=Milestones!$AB$61),UPPER(TEXT(EDATE($D25,Milestones!$AA$61),"dd mmm yy"))&amp;" "&amp;Milestones!$AB$61&amp;" "&amp;IF(AND(Milestones!$AB$61="FT",Milestones!$AA$61=FT_Y5,EDATE($D25,Milestones!$AA$61)&lt;PolicyEff),1,Milestones!$AC$61)&amp;";  ","")&amp;IF(AND(EDATE($D25,Milestones!$AA$62)&lt;=AsOfDate,EDATE($D25,Milestones!$AA$62)&gt;=SchemeStart,IF($X25=0,$AD25,IF(AND($Z25&lt;&gt;"",EDATE($D25,Milestones!$AA$62)&gt;=$Z25),$AC25,IF(AND($Y25&lt;&gt;"",EDATE($D25,Milestones!$AA$62)&gt;=$Y25),$AB25,$AA25)))=Milestones!$AB$62),UPPER(TEXT(EDATE($D25,Milestones!$AA$62),"dd mmm yy"))&amp;" "&amp;Milestones!$AB$62&amp;" "&amp;IF(AND(Milestones!$AB$62="FT",Milestones!$AA$62=FT_Y5,EDATE($D25,Milestones!$AA$62)&lt;PolicyEff),1,Milestones!$AC$62)&amp;";  ","")&amp;IF(AND(EDATE($D25,Milestones!$AA$63)&lt;=AsOfDate,EDATE($D25,Milestones!$AA$63)&gt;=SchemeStart,IF($X25=0,$AD25,IF(AND($Z25&lt;&gt;"",EDATE($D25,Milestones!$AA$63)&gt;=$Z25),$AC25,IF(AND($Y25&lt;&gt;"",EDATE($D25,Milestones!$AA$63)&gt;=$Y25),$AB25,$AA25)))=Milestones!$AB$63),UPPER(TEXT(EDATE($D25,Milestones!$AA$63),"dd mmm yy"))&amp;" "&amp;Milestones!$AB$63&amp;" "&amp;IF(AND(Milestones!$AB$63="FT",Milestones!$AA$63=FT_Y5,EDATE($D25,Milestones!$AA$63)&lt;PolicyEff),1,Milestones!$AC$63)&amp;";  ","")&amp;IF(AND(EDATE($D25,Milestones!$AA$64)&lt;=AsOfDate,EDATE($D25,Milestones!$AA$64)&gt;=SchemeStart,IF($X25=0,$AD25,IF(AND($Z25&lt;&gt;"",EDATE($D25,Milestones!$AA$64)&gt;=$Z25),$AC25,IF(AND($Y25&lt;&gt;"",EDATE($D25,Milestones!$AA$64)&gt;=$Y25),$AB25,$AA25)))=Milestones!$AB$64),UPPER(TEXT(EDATE($D25,Milestones!$AA$64),"dd mmm yy"))&amp;" "&amp;Milestones!$AB$64&amp;" "&amp;IF(AND(Milestones!$AB$64="FT",Milestones!$AA$64=FT_Y5,EDATE($D25,Milestones!$AA$64)&lt;PolicyEff),1,Milestones!$AC$64)&amp;";  ","")&amp;IF(AND(EDATE($D25,Milestones!$AA$65)&lt;=AsOfDate,EDATE($D25,Milestones!$AA$65)&gt;=SchemeStart,IF($X25=0,$AD25,IF(AND($Z25&lt;&gt;"",EDATE($D25,Milestones!$AA$65)&gt;=$Z25),$AC25,IF(AND($Y25&lt;&gt;"",EDATE($D25,Milestones!$AA$65)&gt;=$Y25),$AB25,$AA25)))=Milestones!$AB$65),UPPER(TEXT(EDATE($D25,Milestones!$AA$65),"dd mmm yy"))&amp;" "&amp;Milestones!$AB$65&amp;" "&amp;IF(AND(Milestones!$AB$65="FT",Milestones!$AA$65=FT_Y5,EDATE($D25,Milestones!$AA$65)&lt;PolicyEff),1,Milestones!$AC$65)&amp;";  ","")&amp;IF(AND(EDATE($D25,Milestones!$AA$66)&lt;=AsOfDate,EDATE($D25,Milestones!$AA$66)&gt;=SchemeStart,IF($X25=0,$AD25,IF(AND($Z25&lt;&gt;"",EDATE($D25,Milestones!$AA$66)&gt;=$Z25),$AC25,IF(AND($Y25&lt;&gt;"",EDATE($D25,Milestones!$AA$66)&gt;=$Y25),$AB25,$AA25)))=Milestones!$AB$66),UPPER(TEXT(EDATE($D25,Milestones!$AA$66),"dd mmm yy"))&amp;" "&amp;Milestones!$AB$66&amp;" "&amp;IF(AND(Milestones!$AB$66="FT",Milestones!$AA$66=FT_Y5,EDATE($D25,Milestones!$AA$66)&lt;PolicyEff),1,Milestones!$AC$66)&amp;";  ","")&amp;IF(AND(EDATE($D25,Milestones!$AA$67)&lt;=AsOfDate,EDATE($D25,Milestones!$AA$67)&gt;=SchemeStart,IF($X25=0,$AD25,IF(AND($Z25&lt;&gt;"",EDATE($D25,Milestones!$AA$67)&gt;=$Z25),$AC25,IF(AND($Y25&lt;&gt;"",EDATE($D25,Milestones!$AA$67)&gt;=$Y25),$AB25,$AA25)))=Milestones!$AB$67),UPPER(TEXT(EDATE($D25,Milestones!$AA$67),"dd mmm yy"))&amp;" "&amp;Milestones!$AB$67&amp;" "&amp;IF(AND(Milestones!$AB$67="FT",Milestones!$AA$67=FT_Y5,EDATE($D25,Milestones!$AA$67)&lt;PolicyEff),1,Milestones!$AC$67)&amp;";  ",""))</f>
        <v/>
      </c>
      <c r="M25" s="0" t="str">
        <f aca="false">IF(OR($A25="",$D25=""),"",IF(AND(EDATE($D25,Milestones!$AA$68)&lt;=AsOfDate,EDATE($D25,Milestones!$AA$68)&gt;=SchemeStart,IF($X25=0,$AD25,IF(AND($Z25&lt;&gt;"",EDATE($D25,Milestones!$AA$68)&gt;=$Z25),$AC25,IF(AND($Y25&lt;&gt;"",EDATE($D25,Milestones!$AA$68)&gt;=$Y25),$AB25,$AA25)))=Milestones!$AB$68),UPPER(TEXT(EDATE($D25,Milestones!$AA$68),"dd mmm yy"))&amp;" "&amp;Milestones!$AB$68&amp;" "&amp;IF(AND(Milestones!$AB$68="FT",Milestones!$AA$68=FT_Y5,EDATE($D25,Milestones!$AA$68)&lt;PolicyEff),1,Milestones!$AC$68)&amp;";  ","")&amp;IF(AND(EDATE($D25,Milestones!$AA$69)&lt;=AsOfDate,EDATE($D25,Milestones!$AA$69)&gt;=SchemeStart,IF($X25=0,$AD25,IF(AND($Z25&lt;&gt;"",EDATE($D25,Milestones!$AA$69)&gt;=$Z25),$AC25,IF(AND($Y25&lt;&gt;"",EDATE($D25,Milestones!$AA$69)&gt;=$Y25),$AB25,$AA25)))=Milestones!$AB$69),UPPER(TEXT(EDATE($D25,Milestones!$AA$69),"dd mmm yy"))&amp;" "&amp;Milestones!$AB$69&amp;" "&amp;IF(AND(Milestones!$AB$69="FT",Milestones!$AA$69=FT_Y5,EDATE($D25,Milestones!$AA$69)&lt;PolicyEff),1,Milestones!$AC$69)&amp;";  ","")&amp;IF(AND(EDATE($D25,Milestones!$AA$70)&lt;=AsOfDate,EDATE($D25,Milestones!$AA$70)&gt;=SchemeStart,IF($X25=0,$AD25,IF(AND($Z25&lt;&gt;"",EDATE($D25,Milestones!$AA$70)&gt;=$Z25),$AC25,IF(AND($Y25&lt;&gt;"",EDATE($D25,Milestones!$AA$70)&gt;=$Y25),$AB25,$AA25)))=Milestones!$AB$70),UPPER(TEXT(EDATE($D25,Milestones!$AA$70),"dd mmm yy"))&amp;" "&amp;Milestones!$AB$70&amp;" "&amp;IF(AND(Milestones!$AB$70="FT",Milestones!$AA$70=FT_Y5,EDATE($D25,Milestones!$AA$70)&lt;PolicyEff),1,Milestones!$AC$70)&amp;";  ","")&amp;IF(AND(EDATE($D25,Milestones!$AA$71)&lt;=AsOfDate,EDATE($D25,Milestones!$AA$71)&gt;=SchemeStart,IF($X25=0,$AD25,IF(AND($Z25&lt;&gt;"",EDATE($D25,Milestones!$AA$71)&gt;=$Z25),$AC25,IF(AND($Y25&lt;&gt;"",EDATE($D25,Milestones!$AA$71)&gt;=$Y25),$AB25,$AA25)))=Milestones!$AB$71),UPPER(TEXT(EDATE($D25,Milestones!$AA$71),"dd mmm yy"))&amp;" "&amp;Milestones!$AB$71&amp;" "&amp;IF(AND(Milestones!$AB$71="FT",Milestones!$AA$71=FT_Y5,EDATE($D25,Milestones!$AA$71)&lt;PolicyEff),1,Milestones!$AC$71)&amp;";  ","")&amp;IF(AND(EDATE($D25,Milestones!$AA$72)&lt;=AsOfDate,EDATE($D25,Milestones!$AA$72)&gt;=SchemeStart,IF($X25=0,$AD25,IF(AND($Z25&lt;&gt;"",EDATE($D25,Milestones!$AA$72)&gt;=$Z25),$AC25,IF(AND($Y25&lt;&gt;"",EDATE($D25,Milestones!$AA$72)&gt;=$Y25),$AB25,$AA25)))=Milestones!$AB$72),UPPER(TEXT(EDATE($D25,Milestones!$AA$72),"dd mmm yy"))&amp;" "&amp;Milestones!$AB$72&amp;" "&amp;IF(AND(Milestones!$AB$72="FT",Milestones!$AA$72=FT_Y5,EDATE($D25,Milestones!$AA$72)&lt;PolicyEff),1,Milestones!$AC$72)&amp;";  ","")&amp;IF(AND(EDATE($D25,Milestones!$AA$73)&lt;=AsOfDate,EDATE($D25,Milestones!$AA$73)&gt;=SchemeStart,IF($X25=0,$AD25,IF(AND($Z25&lt;&gt;"",EDATE($D25,Milestones!$AA$73)&gt;=$Z25),$AC25,IF(AND($Y25&lt;&gt;"",EDATE($D25,Milestones!$AA$73)&gt;=$Y25),$AB25,$AA25)))=Milestones!$AB$73),UPPER(TEXT(EDATE($D25,Milestones!$AA$73),"dd mmm yy"))&amp;" "&amp;Milestones!$AB$73&amp;" "&amp;IF(AND(Milestones!$AB$73="FT",Milestones!$AA$73=FT_Y5,EDATE($D25,Milestones!$AA$73)&lt;PolicyEff),1,Milestones!$AC$73)&amp;";  ","")&amp;IF(AND(EDATE($D25,Milestones!$AA$74)&lt;=AsOfDate,EDATE($D25,Milestones!$AA$74)&gt;=SchemeStart,IF($X25=0,$AD25,IF(AND($Z25&lt;&gt;"",EDATE($D25,Milestones!$AA$74)&gt;=$Z25),$AC25,IF(AND($Y25&lt;&gt;"",EDATE($D25,Milestones!$AA$74)&gt;=$Y25),$AB25,$AA25)))=Milestones!$AB$74),UPPER(TEXT(EDATE($D25,Milestones!$AA$74),"dd mmm yy"))&amp;" "&amp;Milestones!$AB$74&amp;" "&amp;IF(AND(Milestones!$AB$74="FT",Milestones!$AA$74=FT_Y5,EDATE($D25,Milestones!$AA$74)&lt;PolicyEff),1,Milestones!$AC$74)&amp;";  ","")&amp;IF(AND(EDATE($D25,Milestones!$AA$75)&lt;=AsOfDate,EDATE($D25,Milestones!$AA$75)&gt;=SchemeStart,IF($X25=0,$AD25,IF(AND($Z25&lt;&gt;"",EDATE($D25,Milestones!$AA$75)&gt;=$Z25),$AC25,IF(AND($Y25&lt;&gt;"",EDATE($D25,Milestones!$AA$75)&gt;=$Y25),$AB25,$AA25)))=Milestones!$AB$75),UPPER(TEXT(EDATE($D25,Milestones!$AA$75),"dd mmm yy"))&amp;" "&amp;Milestones!$AB$75&amp;" "&amp;IF(AND(Milestones!$AB$75="FT",Milestones!$AA$75=FT_Y5,EDATE($D25,Milestones!$AA$75)&lt;PolicyEff),1,Milestones!$AC$75)&amp;";  ","")&amp;IF(AND(EDATE($D25,Milestones!$AA$76)&lt;=AsOfDate,EDATE($D25,Milestones!$AA$76)&gt;=SchemeStart,IF($X25=0,$AD25,IF(AND($Z25&lt;&gt;"",EDATE($D25,Milestones!$AA$76)&gt;=$Z25),$AC25,IF(AND($Y25&lt;&gt;"",EDATE($D25,Milestones!$AA$76)&gt;=$Y25),$AB25,$AA25)))=Milestones!$AB$76),UPPER(TEXT(EDATE($D25,Milestones!$AA$76),"dd mmm yy"))&amp;" "&amp;Milestones!$AB$76&amp;" "&amp;IF(AND(Milestones!$AB$76="FT",Milestones!$AA$76=FT_Y5,EDATE($D25,Milestones!$AA$76)&lt;PolicyEff),1,Milestones!$AC$76)&amp;";  ","")&amp;IF(AND(EDATE($D25,Milestones!$AA$77)&lt;=AsOfDate,EDATE($D25,Milestones!$AA$77)&gt;=SchemeStart,IF($X25=0,$AD25,IF(AND($Z25&lt;&gt;"",EDATE($D25,Milestones!$AA$77)&gt;=$Z25),$AC25,IF(AND($Y25&lt;&gt;"",EDATE($D25,Milestones!$AA$77)&gt;=$Y25),$AB25,$AA25)))=Milestones!$AB$77),UPPER(TEXT(EDATE($D25,Milestones!$AA$77),"dd mmm yy"))&amp;" "&amp;Milestones!$AB$77&amp;" "&amp;IF(AND(Milestones!$AB$77="FT",Milestones!$AA$77=FT_Y5,EDATE($D25,Milestones!$AA$77)&lt;PolicyEff),1,Milestones!$AC$77)&amp;";  ","")&amp;IF(AND(EDATE($D25,Milestones!$AA$78)&lt;=AsOfDate,EDATE($D25,Milestones!$AA$78)&gt;=SchemeStart,IF($X25=0,$AD25,IF(AND($Z25&lt;&gt;"",EDATE($D25,Milestones!$AA$78)&gt;=$Z25),$AC25,IF(AND($Y25&lt;&gt;"",EDATE($D25,Milestones!$AA$78)&gt;=$Y25),$AB25,$AA25)))=Milestones!$AB$78),UPPER(TEXT(EDATE($D25,Milestones!$AA$78),"dd mmm yy"))&amp;" "&amp;Milestones!$AB$78&amp;" "&amp;IF(AND(Milestones!$AB$78="FT",Milestones!$AA$78=FT_Y5,EDATE($D25,Milestones!$AA$78)&lt;PolicyEff),1,Milestones!$AC$78)&amp;";  ","")&amp;IF(AND(EDATE($D25,Milestones!$AA$79)&lt;=AsOfDate,EDATE($D25,Milestones!$AA$79)&gt;=SchemeStart,IF($X25=0,$AD25,IF(AND($Z25&lt;&gt;"",EDATE($D25,Milestones!$AA$79)&gt;=$Z25),$AC25,IF(AND($Y25&lt;&gt;"",EDATE($D25,Milestones!$AA$79)&gt;=$Y25),$AB25,$AA25)))=Milestones!$AB$79),UPPER(TEXT(EDATE($D25,Milestones!$AA$79),"dd mmm yy"))&amp;" "&amp;Milestones!$AB$79&amp;" "&amp;IF(AND(Milestones!$AB$79="FT",Milestones!$AA$79=FT_Y5,EDATE($D25,Milestones!$AA$79)&lt;PolicyEff),1,Milestones!$AC$79)&amp;";  ",""))</f>
        <v/>
      </c>
      <c r="N25" s="0" t="str">
        <f aca="false">IF(OR($A25="",$D25=""),"",IF(AND(EDATE($D25,Milestones!$AA$80)&lt;=AsOfDate,EDATE($D25,Milestones!$AA$80)&gt;=SchemeStart,IF($X25=0,$AD25,IF(AND($Z25&lt;&gt;"",EDATE($D25,Milestones!$AA$80)&gt;=$Z25),$AC25,IF(AND($Y25&lt;&gt;"",EDATE($D25,Milestones!$AA$80)&gt;=$Y25),$AB25,$AA25)))=Milestones!$AB$80),UPPER(TEXT(EDATE($D25,Milestones!$AA$80),"dd mmm yy"))&amp;" "&amp;Milestones!$AB$80&amp;" "&amp;IF(AND(Milestones!$AB$80="FT",Milestones!$AA$80=FT_Y5,EDATE($D25,Milestones!$AA$80)&lt;PolicyEff),1,Milestones!$AC$80)&amp;";  ","")&amp;IF(AND(EDATE($D25,Milestones!$AA$81)&lt;=AsOfDate,EDATE($D25,Milestones!$AA$81)&gt;=SchemeStart,IF($X25=0,$AD25,IF(AND($Z25&lt;&gt;"",EDATE($D25,Milestones!$AA$81)&gt;=$Z25),$AC25,IF(AND($Y25&lt;&gt;"",EDATE($D25,Milestones!$AA$81)&gt;=$Y25),$AB25,$AA25)))=Milestones!$AB$81),UPPER(TEXT(EDATE($D25,Milestones!$AA$81),"dd mmm yy"))&amp;" "&amp;Milestones!$AB$81&amp;" "&amp;IF(AND(Milestones!$AB$81="FT",Milestones!$AA$81=FT_Y5,EDATE($D25,Milestones!$AA$81)&lt;PolicyEff),1,Milestones!$AC$81)&amp;";  ","")&amp;IF(AND(EDATE($D25,Milestones!$AA$82)&lt;=AsOfDate,EDATE($D25,Milestones!$AA$82)&gt;=SchemeStart,IF($X25=0,$AD25,IF(AND($Z25&lt;&gt;"",EDATE($D25,Milestones!$AA$82)&gt;=$Z25),$AC25,IF(AND($Y25&lt;&gt;"",EDATE($D25,Milestones!$AA$82)&gt;=$Y25),$AB25,$AA25)))=Milestones!$AB$82),UPPER(TEXT(EDATE($D25,Milestones!$AA$82),"dd mmm yy"))&amp;" "&amp;Milestones!$AB$82&amp;" "&amp;IF(AND(Milestones!$AB$82="FT",Milestones!$AA$82=FT_Y5,EDATE($D25,Milestones!$AA$82)&lt;PolicyEff),1,Milestones!$AC$82)&amp;";  ","")&amp;IF(AND(EDATE($D25,Milestones!$AA$83)&lt;=AsOfDate,EDATE($D25,Milestones!$AA$83)&gt;=SchemeStart,IF($X25=0,$AD25,IF(AND($Z25&lt;&gt;"",EDATE($D25,Milestones!$AA$83)&gt;=$Z25),$AC25,IF(AND($Y25&lt;&gt;"",EDATE($D25,Milestones!$AA$83)&gt;=$Y25),$AB25,$AA25)))=Milestones!$AB$83),UPPER(TEXT(EDATE($D25,Milestones!$AA$83),"dd mmm yy"))&amp;" "&amp;Milestones!$AB$83&amp;" "&amp;IF(AND(Milestones!$AB$83="FT",Milestones!$AA$83=FT_Y5,EDATE($D25,Milestones!$AA$83)&lt;PolicyEff),1,Milestones!$AC$83)&amp;";  ","")&amp;IF(AND(EDATE($D25,Milestones!$AA$84)&lt;=AsOfDate,EDATE($D25,Milestones!$AA$84)&gt;=SchemeStart,IF($X25=0,$AD25,IF(AND($Z25&lt;&gt;"",EDATE($D25,Milestones!$AA$84)&gt;=$Z25),$AC25,IF(AND($Y25&lt;&gt;"",EDATE($D25,Milestones!$AA$84)&gt;=$Y25),$AB25,$AA25)))=Milestones!$AB$84),UPPER(TEXT(EDATE($D25,Milestones!$AA$84),"dd mmm yy"))&amp;" "&amp;Milestones!$AB$84&amp;" "&amp;IF(AND(Milestones!$AB$84="FT",Milestones!$AA$84=FT_Y5,EDATE($D25,Milestones!$AA$84)&lt;PolicyEff),1,Milestones!$AC$84)&amp;";  ","")&amp;IF(AND(EDATE($D25,Milestones!$AA$85)&lt;=AsOfDate,EDATE($D25,Milestones!$AA$85)&gt;=SchemeStart,IF($X25=0,$AD25,IF(AND($Z25&lt;&gt;"",EDATE($D25,Milestones!$AA$85)&gt;=$Z25),$AC25,IF(AND($Y25&lt;&gt;"",EDATE($D25,Milestones!$AA$85)&gt;=$Y25),$AB25,$AA25)))=Milestones!$AB$85),UPPER(TEXT(EDATE($D25,Milestones!$AA$85),"dd mmm yy"))&amp;" "&amp;Milestones!$AB$85&amp;" "&amp;IF(AND(Milestones!$AB$85="FT",Milestones!$AA$85=FT_Y5,EDATE($D25,Milestones!$AA$85)&lt;PolicyEff),1,Milestones!$AC$85)&amp;";  ","")&amp;IF(AND(EDATE($D25,Milestones!$AA$86)&lt;=AsOfDate,EDATE($D25,Milestones!$AA$86)&gt;=SchemeStart,IF($X25=0,$AD25,IF(AND($Z25&lt;&gt;"",EDATE($D25,Milestones!$AA$86)&gt;=$Z25),$AC25,IF(AND($Y25&lt;&gt;"",EDATE($D25,Milestones!$AA$86)&gt;=$Y25),$AB25,$AA25)))=Milestones!$AB$86),UPPER(TEXT(EDATE($D25,Milestones!$AA$86),"dd mmm yy"))&amp;" "&amp;Milestones!$AB$86&amp;" "&amp;IF(AND(Milestones!$AB$86="FT",Milestones!$AA$86=FT_Y5,EDATE($D25,Milestones!$AA$86)&lt;PolicyEff),1,Milestones!$AC$86)&amp;";  ","")&amp;IF(AND(EDATE($D25,Milestones!$AA$87)&lt;=AsOfDate,EDATE($D25,Milestones!$AA$87)&gt;=SchemeStart,IF($X25=0,$AD25,IF(AND($Z25&lt;&gt;"",EDATE($D25,Milestones!$AA$87)&gt;=$Z25),$AC25,IF(AND($Y25&lt;&gt;"",EDATE($D25,Milestones!$AA$87)&gt;=$Y25),$AB25,$AA25)))=Milestones!$AB$87),UPPER(TEXT(EDATE($D25,Milestones!$AA$87),"dd mmm yy"))&amp;" "&amp;Milestones!$AB$87&amp;" "&amp;IF(AND(Milestones!$AB$87="FT",Milestones!$AA$87=FT_Y5,EDATE($D25,Milestones!$AA$87)&lt;PolicyEff),1,Milestones!$AC$87)&amp;";  ","")&amp;IF(AND(EDATE($D25,Milestones!$AA$88)&lt;=AsOfDate,EDATE($D25,Milestones!$AA$88)&gt;=SchemeStart,IF($X25=0,$AD25,IF(AND($Z25&lt;&gt;"",EDATE($D25,Milestones!$AA$88)&gt;=$Z25),$AC25,IF(AND($Y25&lt;&gt;"",EDATE($D25,Milestones!$AA$88)&gt;=$Y25),$AB25,$AA25)))=Milestones!$AB$88),UPPER(TEXT(EDATE($D25,Milestones!$AA$88),"dd mmm yy"))&amp;" "&amp;Milestones!$AB$88&amp;" "&amp;IF(AND(Milestones!$AB$88="FT",Milestones!$AA$88=FT_Y5,EDATE($D25,Milestones!$AA$88)&lt;PolicyEff),1,Milestones!$AC$88)&amp;";  ","")&amp;IF(AND(EDATE($D25,Milestones!$AA$89)&lt;=AsOfDate,EDATE($D25,Milestones!$AA$89)&gt;=SchemeStart,IF($X25=0,$AD25,IF(AND($Z25&lt;&gt;"",EDATE($D25,Milestones!$AA$89)&gt;=$Z25),$AC25,IF(AND($Y25&lt;&gt;"",EDATE($D25,Milestones!$AA$89)&gt;=$Y25),$AB25,$AA25)))=Milestones!$AB$89),UPPER(TEXT(EDATE($D25,Milestones!$AA$89),"dd mmm yy"))&amp;" "&amp;Milestones!$AB$89&amp;" "&amp;IF(AND(Milestones!$AB$89="FT",Milestones!$AA$89=FT_Y5,EDATE($D25,Milestones!$AA$89)&lt;PolicyEff),1,Milestones!$AC$89)&amp;";  ","")&amp;IF(AND(EDATE($D25,Milestones!$AA$90)&lt;=AsOfDate,EDATE($D25,Milestones!$AA$90)&gt;=SchemeStart,IF($X25=0,$AD25,IF(AND($Z25&lt;&gt;"",EDATE($D25,Milestones!$AA$90)&gt;=$Z25),$AC25,IF(AND($Y25&lt;&gt;"",EDATE($D25,Milestones!$AA$90)&gt;=$Y25),$AB25,$AA25)))=Milestones!$AB$90),UPPER(TEXT(EDATE($D25,Milestones!$AA$90),"dd mmm yy"))&amp;" "&amp;Milestones!$AB$90&amp;" "&amp;IF(AND(Milestones!$AB$90="FT",Milestones!$AA$90=FT_Y5,EDATE($D25,Milestones!$AA$90)&lt;PolicyEff),1,Milestones!$AC$90)&amp;";  ","")&amp;IF(AND(EDATE($D25,Milestones!$AA$91)&lt;=AsOfDate,EDATE($D25,Milestones!$AA$91)&gt;=SchemeStart,IF($X25=0,$AD25,IF(AND($Z25&lt;&gt;"",EDATE($D25,Milestones!$AA$91)&gt;=$Z25),$AC25,IF(AND($Y25&lt;&gt;"",EDATE($D25,Milestones!$AA$91)&gt;=$Y25),$AB25,$AA25)))=Milestones!$AB$91),UPPER(TEXT(EDATE($D25,Milestones!$AA$91),"dd mmm yy"))&amp;" "&amp;Milestones!$AB$91&amp;" "&amp;IF(AND(Milestones!$AB$91="FT",Milestones!$AA$91=FT_Y5,EDATE($D25,Milestones!$AA$91)&lt;PolicyEff),1,Milestones!$AC$91)&amp;";  ",""))</f>
        <v/>
      </c>
      <c r="O25" s="0" t="str">
        <f aca="false">IF(OR($A25="",$D25=""),"",IF(AND(EDATE($D25,Milestones!$AA$92)&lt;=AsOfDate,EDATE($D25,Milestones!$AA$92)&gt;=SchemeStart,IF($X25=0,$AD25,IF(AND($Z25&lt;&gt;"",EDATE($D25,Milestones!$AA$92)&gt;=$Z25),$AC25,IF(AND($Y25&lt;&gt;"",EDATE($D25,Milestones!$AA$92)&gt;=$Y25),$AB25,$AA25)))=Milestones!$AB$92),UPPER(TEXT(EDATE($D25,Milestones!$AA$92),"dd mmm yy"))&amp;" "&amp;Milestones!$AB$92&amp;" "&amp;IF(AND(Milestones!$AB$92="FT",Milestones!$AA$92=FT_Y5,EDATE($D25,Milestones!$AA$92)&lt;PolicyEff),1,Milestones!$AC$92)&amp;";  ","")&amp;IF(AND(EDATE($D25,Milestones!$AA$93)&lt;=AsOfDate,EDATE($D25,Milestones!$AA$93)&gt;=SchemeStart,IF($X25=0,$AD25,IF(AND($Z25&lt;&gt;"",EDATE($D25,Milestones!$AA$93)&gt;=$Z25),$AC25,IF(AND($Y25&lt;&gt;"",EDATE($D25,Milestones!$AA$93)&gt;=$Y25),$AB25,$AA25)))=Milestones!$AB$93),UPPER(TEXT(EDATE($D25,Milestones!$AA$93),"dd mmm yy"))&amp;" "&amp;Milestones!$AB$93&amp;" "&amp;IF(AND(Milestones!$AB$93="FT",Milestones!$AA$93=FT_Y5,EDATE($D25,Milestones!$AA$93)&lt;PolicyEff),1,Milestones!$AC$93)&amp;";  ","")&amp;IF(AND(EDATE($D25,Milestones!$AA$94)&lt;=AsOfDate,EDATE($D25,Milestones!$AA$94)&gt;=SchemeStart,IF($X25=0,$AD25,IF(AND($Z25&lt;&gt;"",EDATE($D25,Milestones!$AA$94)&gt;=$Z25),$AC25,IF(AND($Y25&lt;&gt;"",EDATE($D25,Milestones!$AA$94)&gt;=$Y25),$AB25,$AA25)))=Milestones!$AB$94),UPPER(TEXT(EDATE($D25,Milestones!$AA$94),"dd mmm yy"))&amp;" "&amp;Milestones!$AB$94&amp;" "&amp;IF(AND(Milestones!$AB$94="FT",Milestones!$AA$94=FT_Y5,EDATE($D25,Milestones!$AA$94)&lt;PolicyEff),1,Milestones!$AC$94)&amp;";  ","")&amp;IF(AND(EDATE($D25,Milestones!$AA$95)&lt;=AsOfDate,EDATE($D25,Milestones!$AA$95)&gt;=SchemeStart,IF($X25=0,$AD25,IF(AND($Z25&lt;&gt;"",EDATE($D25,Milestones!$AA$95)&gt;=$Z25),$AC25,IF(AND($Y25&lt;&gt;"",EDATE($D25,Milestones!$AA$95)&gt;=$Y25),$AB25,$AA25)))=Milestones!$AB$95),UPPER(TEXT(EDATE($D25,Milestones!$AA$95),"dd mmm yy"))&amp;" "&amp;Milestones!$AB$95&amp;" "&amp;IF(AND(Milestones!$AB$95="FT",Milestones!$AA$95=FT_Y5,EDATE($D25,Milestones!$AA$95)&lt;PolicyEff),1,Milestones!$AC$95)&amp;";  ","")&amp;IF(AND(EDATE($D25,Milestones!$AA$96)&lt;=AsOfDate,EDATE($D25,Milestones!$AA$96)&gt;=SchemeStart,IF($X25=0,$AD25,IF(AND($Z25&lt;&gt;"",EDATE($D25,Milestones!$AA$96)&gt;=$Z25),$AC25,IF(AND($Y25&lt;&gt;"",EDATE($D25,Milestones!$AA$96)&gt;=$Y25),$AB25,$AA25)))=Milestones!$AB$96),UPPER(TEXT(EDATE($D25,Milestones!$AA$96),"dd mmm yy"))&amp;" "&amp;Milestones!$AB$96&amp;" "&amp;IF(AND(Milestones!$AB$96="FT",Milestones!$AA$96=FT_Y5,EDATE($D25,Milestones!$AA$96)&lt;PolicyEff),1,Milestones!$AC$96)&amp;";  ","")&amp;IF(AND(EDATE($D25,Milestones!$AA$97)&lt;=AsOfDate,EDATE($D25,Milestones!$AA$97)&gt;=SchemeStart,IF($X25=0,$AD25,IF(AND($Z25&lt;&gt;"",EDATE($D25,Milestones!$AA$97)&gt;=$Z25),$AC25,IF(AND($Y25&lt;&gt;"",EDATE($D25,Milestones!$AA$97)&gt;=$Y25),$AB25,$AA25)))=Milestones!$AB$97),UPPER(TEXT(EDATE($D25,Milestones!$AA$97),"dd mmm yy"))&amp;" "&amp;Milestones!$AB$97&amp;" "&amp;IF(AND(Milestones!$AB$97="FT",Milestones!$AA$97=FT_Y5,EDATE($D25,Milestones!$AA$97)&lt;PolicyEff),1,Milestones!$AC$97)&amp;";  ","")&amp;IF(AND(EDATE($D25,Milestones!$AA$98)&lt;=AsOfDate,EDATE($D25,Milestones!$AA$98)&gt;=SchemeStart,IF($X25=0,$AD25,IF(AND($Z25&lt;&gt;"",EDATE($D25,Milestones!$AA$98)&gt;=$Z25),$AC25,IF(AND($Y25&lt;&gt;"",EDATE($D25,Milestones!$AA$98)&gt;=$Y25),$AB25,$AA25)))=Milestones!$AB$98),UPPER(TEXT(EDATE($D25,Milestones!$AA$98),"dd mmm yy"))&amp;" "&amp;Milestones!$AB$98&amp;" "&amp;IF(AND(Milestones!$AB$98="FT",Milestones!$AA$98=FT_Y5,EDATE($D25,Milestones!$AA$98)&lt;PolicyEff),1,Milestones!$AC$98)&amp;";  ","")&amp;IF(AND(EDATE($D25,Milestones!$AA$99)&lt;=AsOfDate,EDATE($D25,Milestones!$AA$99)&gt;=SchemeStart,IF($X25=0,$AD25,IF(AND($Z25&lt;&gt;"",EDATE($D25,Milestones!$AA$99)&gt;=$Z25),$AC25,IF(AND($Y25&lt;&gt;"",EDATE($D25,Milestones!$AA$99)&gt;=$Y25),$AB25,$AA25)))=Milestones!$AB$99),UPPER(TEXT(EDATE($D25,Milestones!$AA$99),"dd mmm yy"))&amp;" "&amp;Milestones!$AB$99&amp;" "&amp;IF(AND(Milestones!$AB$99="FT",Milestones!$AA$99=FT_Y5,EDATE($D25,Milestones!$AA$99)&lt;PolicyEff),1,Milestones!$AC$99)&amp;";  ","")&amp;IF(AND(EDATE($D25,Milestones!$AA$100)&lt;=AsOfDate,EDATE($D25,Milestones!$AA$100)&gt;=SchemeStart,IF($X25=0,$AD25,IF(AND($Z25&lt;&gt;"",EDATE($D25,Milestones!$AA$100)&gt;=$Z25),$AC25,IF(AND($Y25&lt;&gt;"",EDATE($D25,Milestones!$AA$100)&gt;=$Y25),$AB25,$AA25)))=Milestones!$AB$100),UPPER(TEXT(EDATE($D25,Milestones!$AA$100),"dd mmm yy"))&amp;" "&amp;Milestones!$AB$100&amp;" "&amp;IF(AND(Milestones!$AB$100="FT",Milestones!$AA$100=FT_Y5,EDATE($D25,Milestones!$AA$100)&lt;PolicyEff),1,Milestones!$AC$100)&amp;";  ","")&amp;IF(AND(EDATE($D25,Milestones!$AA$101)&lt;=AsOfDate,EDATE($D25,Milestones!$AA$101)&gt;=SchemeStart,IF($X25=0,$AD25,IF(AND($Z25&lt;&gt;"",EDATE($D25,Milestones!$AA$101)&gt;=$Z25),$AC25,IF(AND($Y25&lt;&gt;"",EDATE($D25,Milestones!$AA$101)&gt;=$Y25),$AB25,$AA25)))=Milestones!$AB$101),UPPER(TEXT(EDATE($D25,Milestones!$AA$101),"dd mmm yy"))&amp;" "&amp;Milestones!$AB$101&amp;" "&amp;IF(AND(Milestones!$AB$101="FT",Milestones!$AA$101=FT_Y5,EDATE($D25,Milestones!$AA$101)&lt;PolicyEff),1,Milestones!$AC$101)&amp;";  ","")&amp;IF(AND(EDATE($D25,Milestones!$AA$102)&lt;=AsOfDate,EDATE($D25,Milestones!$AA$102)&gt;=SchemeStart,IF($X25=0,$AD25,IF(AND($Z25&lt;&gt;"",EDATE($D25,Milestones!$AA$102)&gt;=$Z25),$AC25,IF(AND($Y25&lt;&gt;"",EDATE($D25,Milestones!$AA$102)&gt;=$Y25),$AB25,$AA25)))=Milestones!$AB$102),UPPER(TEXT(EDATE($D25,Milestones!$AA$102),"dd mmm yy"))&amp;" "&amp;Milestones!$AB$102&amp;" "&amp;IF(AND(Milestones!$AB$102="FT",Milestones!$AA$102=FT_Y5,EDATE($D25,Milestones!$AA$102)&lt;PolicyEff),1,Milestones!$AC$102)&amp;";  ","")&amp;IF(AND(EDATE($D25,Milestones!$AA$103)&lt;=AsOfDate,EDATE($D25,Milestones!$AA$103)&gt;=SchemeStart,IF($X25=0,$AD25,IF(AND($Z25&lt;&gt;"",EDATE($D25,Milestones!$AA$103)&gt;=$Z25),$AC25,IF(AND($Y25&lt;&gt;"",EDATE($D25,Milestones!$AA$103)&gt;=$Y25),$AB25,$AA25)))=Milestones!$AB$103),UPPER(TEXT(EDATE($D25,Milestones!$AA$103),"dd mmm yy"))&amp;" "&amp;Milestones!$AB$103&amp;" "&amp;IF(AND(Milestones!$AB$103="FT",Milestones!$AA$103=FT_Y5,EDATE($D25,Milestones!$AA$103)&lt;PolicyEff),1,Milestones!$AC$103)&amp;";  ",""))</f>
        <v/>
      </c>
      <c r="P25" s="0" t="str">
        <f aca="false">IF(OR($A25="",$D25=""),"",IF(AND(EDATE($D25,Milestones!$AA$104)&lt;=AsOfDate,EDATE($D25,Milestones!$AA$104)&gt;=SchemeStart,IF($X25=0,$AD25,IF(AND($Z25&lt;&gt;"",EDATE($D25,Milestones!$AA$104)&gt;=$Z25),$AC25,IF(AND($Y25&lt;&gt;"",EDATE($D25,Milestones!$AA$104)&gt;=$Y25),$AB25,$AA25)))=Milestones!$AB$104),UPPER(TEXT(EDATE($D25,Milestones!$AA$104),"dd mmm yy"))&amp;" "&amp;Milestones!$AB$104&amp;" "&amp;IF(AND(Milestones!$AB$104="FT",Milestones!$AA$104=FT_Y5,EDATE($D25,Milestones!$AA$104)&lt;PolicyEff),1,Milestones!$AC$104)&amp;";  ","")&amp;IF(AND(EDATE($D25,Milestones!$AA$105)&lt;=AsOfDate,EDATE($D25,Milestones!$AA$105)&gt;=SchemeStart,IF($X25=0,$AD25,IF(AND($Z25&lt;&gt;"",EDATE($D25,Milestones!$AA$105)&gt;=$Z25),$AC25,IF(AND($Y25&lt;&gt;"",EDATE($D25,Milestones!$AA$105)&gt;=$Y25),$AB25,$AA25)))=Milestones!$AB$105),UPPER(TEXT(EDATE($D25,Milestones!$AA$105),"dd mmm yy"))&amp;" "&amp;Milestones!$AB$105&amp;" "&amp;IF(AND(Milestones!$AB$105="FT",Milestones!$AA$105=FT_Y5,EDATE($D25,Milestones!$AA$105)&lt;PolicyEff),1,Milestones!$AC$105)&amp;";  ","")&amp;IF(AND(EDATE($D25,Milestones!$AA$106)&lt;=AsOfDate,EDATE($D25,Milestones!$AA$106)&gt;=SchemeStart,IF($X25=0,$AD25,IF(AND($Z25&lt;&gt;"",EDATE($D25,Milestones!$AA$106)&gt;=$Z25),$AC25,IF(AND($Y25&lt;&gt;"",EDATE($D25,Milestones!$AA$106)&gt;=$Y25),$AB25,$AA25)))=Milestones!$AB$106),UPPER(TEXT(EDATE($D25,Milestones!$AA$106),"dd mmm yy"))&amp;" "&amp;Milestones!$AB$106&amp;" "&amp;IF(AND(Milestones!$AB$106="FT",Milestones!$AA$106=FT_Y5,EDATE($D25,Milestones!$AA$106)&lt;PolicyEff),1,Milestones!$AC$106)&amp;";  ","")&amp;IF(AND(EDATE($D25,Milestones!$AA$107)&lt;=AsOfDate,EDATE($D25,Milestones!$AA$107)&gt;=SchemeStart,IF($X25=0,$AD25,IF(AND($Z25&lt;&gt;"",EDATE($D25,Milestones!$AA$107)&gt;=$Z25),$AC25,IF(AND($Y25&lt;&gt;"",EDATE($D25,Milestones!$AA$107)&gt;=$Y25),$AB25,$AA25)))=Milestones!$AB$107),UPPER(TEXT(EDATE($D25,Milestones!$AA$107),"dd mmm yy"))&amp;" "&amp;Milestones!$AB$107&amp;" "&amp;IF(AND(Milestones!$AB$107="FT",Milestones!$AA$107=FT_Y5,EDATE($D25,Milestones!$AA$107)&lt;PolicyEff),1,Milestones!$AC$107)&amp;";  ","")&amp;IF(AND(EDATE($D25,Milestones!$AA$108)&lt;=AsOfDate,EDATE($D25,Milestones!$AA$108)&gt;=SchemeStart,IF($X25=0,$AD25,IF(AND($Z25&lt;&gt;"",EDATE($D25,Milestones!$AA$108)&gt;=$Z25),$AC25,IF(AND($Y25&lt;&gt;"",EDATE($D25,Milestones!$AA$108)&gt;=$Y25),$AB25,$AA25)))=Milestones!$AB$108),UPPER(TEXT(EDATE($D25,Milestones!$AA$108),"dd mmm yy"))&amp;" "&amp;Milestones!$AB$108&amp;" "&amp;IF(AND(Milestones!$AB$108="FT",Milestones!$AA$108=FT_Y5,EDATE($D25,Milestones!$AA$108)&lt;PolicyEff),1,Milestones!$AC$108)&amp;";  ","")&amp;IF(AND(EDATE($D25,Milestones!$AA$109)&lt;=AsOfDate,EDATE($D25,Milestones!$AA$109)&gt;=SchemeStart,IF($X25=0,$AD25,IF(AND($Z25&lt;&gt;"",EDATE($D25,Milestones!$AA$109)&gt;=$Z25),$AC25,IF(AND($Y25&lt;&gt;"",EDATE($D25,Milestones!$AA$109)&gt;=$Y25),$AB25,$AA25)))=Milestones!$AB$109),UPPER(TEXT(EDATE($D25,Milestones!$AA$109),"dd mmm yy"))&amp;" "&amp;Milestones!$AB$109&amp;" "&amp;IF(AND(Milestones!$AB$109="FT",Milestones!$AA$109=FT_Y5,EDATE($D25,Milestones!$AA$109)&lt;PolicyEff),1,Milestones!$AC$109)&amp;";  ","")&amp;IF(AND(EDATE($D25,Milestones!$AA$110)&lt;=AsOfDate,EDATE($D25,Milestones!$AA$110)&gt;=SchemeStart,IF($X25=0,$AD25,IF(AND($Z25&lt;&gt;"",EDATE($D25,Milestones!$AA$110)&gt;=$Z25),$AC25,IF(AND($Y25&lt;&gt;"",EDATE($D25,Milestones!$AA$110)&gt;=$Y25),$AB25,$AA25)))=Milestones!$AB$110),UPPER(TEXT(EDATE($D25,Milestones!$AA$110),"dd mmm yy"))&amp;" "&amp;Milestones!$AB$110&amp;" "&amp;IF(AND(Milestones!$AB$110="FT",Milestones!$AA$110=FT_Y5,EDATE($D25,Milestones!$AA$110)&lt;PolicyEff),1,Milestones!$AC$110)&amp;";  ","")&amp;IF(AND(EDATE($D25,Milestones!$AA$111)&lt;=AsOfDate,EDATE($D25,Milestones!$AA$111)&gt;=SchemeStart,IF($X25=0,$AD25,IF(AND($Z25&lt;&gt;"",EDATE($D25,Milestones!$AA$111)&gt;=$Z25),$AC25,IF(AND($Y25&lt;&gt;"",EDATE($D25,Milestones!$AA$111)&gt;=$Y25),$AB25,$AA25)))=Milestones!$AB$111),UPPER(TEXT(EDATE($D25,Milestones!$AA$111),"dd mmm yy"))&amp;" "&amp;Milestones!$AB$111&amp;" "&amp;IF(AND(Milestones!$AB$111="FT",Milestones!$AA$111=FT_Y5,EDATE($D25,Milestones!$AA$111)&lt;PolicyEff),1,Milestones!$AC$111)&amp;";  ","")&amp;IF(AND(EDATE($D25,Milestones!$AA$112)&lt;=AsOfDate,EDATE($D25,Milestones!$AA$112)&gt;=SchemeStart,IF($X25=0,$AD25,IF(AND($Z25&lt;&gt;"",EDATE($D25,Milestones!$AA$112)&gt;=$Z25),$AC25,IF(AND($Y25&lt;&gt;"",EDATE($D25,Milestones!$AA$112)&gt;=$Y25),$AB25,$AA25)))=Milestones!$AB$112),UPPER(TEXT(EDATE($D25,Milestones!$AA$112),"dd mmm yy"))&amp;" "&amp;Milestones!$AB$112&amp;" "&amp;IF(AND(Milestones!$AB$112="FT",Milestones!$AA$112=FT_Y5,EDATE($D25,Milestones!$AA$112)&lt;PolicyEff),1,Milestones!$AC$112)&amp;";  ","")&amp;IF(AND(EDATE($D25,Milestones!$AA$113)&lt;=AsOfDate,EDATE($D25,Milestones!$AA$113)&gt;=SchemeStart,IF($X25=0,$AD25,IF(AND($Z25&lt;&gt;"",EDATE($D25,Milestones!$AA$113)&gt;=$Z25),$AC25,IF(AND($Y25&lt;&gt;"",EDATE($D25,Milestones!$AA$113)&gt;=$Y25),$AB25,$AA25)))=Milestones!$AB$113),UPPER(TEXT(EDATE($D25,Milestones!$AA$113),"dd mmm yy"))&amp;" "&amp;Milestones!$AB$113&amp;" "&amp;IF(AND(Milestones!$AB$113="FT",Milestones!$AA$113=FT_Y5,EDATE($D25,Milestones!$AA$113)&lt;PolicyEff),1,Milestones!$AC$113)&amp;";  ","")&amp;IF(AND(EDATE($D25,Milestones!$AA$114)&lt;=AsOfDate,EDATE($D25,Milestones!$AA$114)&gt;=SchemeStart,IF($X25=0,$AD25,IF(AND($Z25&lt;&gt;"",EDATE($D25,Milestones!$AA$114)&gt;=$Z25),$AC25,IF(AND($Y25&lt;&gt;"",EDATE($D25,Milestones!$AA$114)&gt;=$Y25),$AB25,$AA25)))=Milestones!$AB$114),UPPER(TEXT(EDATE($D25,Milestones!$AA$114),"dd mmm yy"))&amp;" "&amp;Milestones!$AB$114&amp;" "&amp;IF(AND(Milestones!$AB$114="FT",Milestones!$AA$114=FT_Y5,EDATE($D25,Milestones!$AA$114)&lt;PolicyEff),1,Milestones!$AC$114)&amp;";  ","")&amp;IF(AND(EDATE($D25,Milestones!$AA$115)&lt;=AsOfDate,EDATE($D25,Milestones!$AA$115)&gt;=SchemeStart,IF($X25=0,$AD25,IF(AND($Z25&lt;&gt;"",EDATE($D25,Milestones!$AA$115)&gt;=$Z25),$AC25,IF(AND($Y25&lt;&gt;"",EDATE($D25,Milestones!$AA$115)&gt;=$Y25),$AB25,$AA25)))=Milestones!$AB$115),UPPER(TEXT(EDATE($D25,Milestones!$AA$115),"dd mmm yy"))&amp;" "&amp;Milestones!$AB$115&amp;" "&amp;IF(AND(Milestones!$AB$115="FT",Milestones!$AA$115=FT_Y5,EDATE($D25,Milestones!$AA$115)&lt;PolicyEff),1,Milestones!$AC$115)&amp;";  ",""))</f>
        <v/>
      </c>
      <c r="Q25" s="0" t="str">
        <f aca="false">IF(OR($A25="",$D25=""),"",IF(AND(EDATE($D25,Milestones!$AA$116)&lt;=AsOfDate,EDATE($D25,Milestones!$AA$116)&gt;=SchemeStart,IF($X25=0,$AD25,IF(AND($Z25&lt;&gt;"",EDATE($D25,Milestones!$AA$116)&gt;=$Z25),$AC25,IF(AND($Y25&lt;&gt;"",EDATE($D25,Milestones!$AA$116)&gt;=$Y25),$AB25,$AA25)))=Milestones!$AB$116),UPPER(TEXT(EDATE($D25,Milestones!$AA$116),"dd mmm yy"))&amp;" "&amp;Milestones!$AB$116&amp;" "&amp;IF(AND(Milestones!$AB$116="FT",Milestones!$AA$116=FT_Y5,EDATE($D25,Milestones!$AA$116)&lt;PolicyEff),1,Milestones!$AC$116)&amp;";  ","")&amp;IF(AND(EDATE($D25,Milestones!$AA$117)&lt;=AsOfDate,EDATE($D25,Milestones!$AA$117)&gt;=SchemeStart,IF($X25=0,$AD25,IF(AND($Z25&lt;&gt;"",EDATE($D25,Milestones!$AA$117)&gt;=$Z25),$AC25,IF(AND($Y25&lt;&gt;"",EDATE($D25,Milestones!$AA$117)&gt;=$Y25),$AB25,$AA25)))=Milestones!$AB$117),UPPER(TEXT(EDATE($D25,Milestones!$AA$117),"dd mmm yy"))&amp;" "&amp;Milestones!$AB$117&amp;" "&amp;IF(AND(Milestones!$AB$117="FT",Milestones!$AA$117=FT_Y5,EDATE($D25,Milestones!$AA$117)&lt;PolicyEff),1,Milestones!$AC$117)&amp;";  ","")&amp;IF(AND(EDATE($D25,Milestones!$AA$118)&lt;=AsOfDate,EDATE($D25,Milestones!$AA$118)&gt;=SchemeStart,IF($X25=0,$AD25,IF(AND($Z25&lt;&gt;"",EDATE($D25,Milestones!$AA$118)&gt;=$Z25),$AC25,IF(AND($Y25&lt;&gt;"",EDATE($D25,Milestones!$AA$118)&gt;=$Y25),$AB25,$AA25)))=Milestones!$AB$118),UPPER(TEXT(EDATE($D25,Milestones!$AA$118),"dd mmm yy"))&amp;" "&amp;Milestones!$AB$118&amp;" "&amp;IF(AND(Milestones!$AB$118="FT",Milestones!$AA$118=FT_Y5,EDATE($D25,Milestones!$AA$118)&lt;PolicyEff),1,Milestones!$AC$118)&amp;";  ","")&amp;IF(AND(EDATE($D25,Milestones!$AA$119)&lt;=AsOfDate,EDATE($D25,Milestones!$AA$119)&gt;=SchemeStart,IF($X25=0,$AD25,IF(AND($Z25&lt;&gt;"",EDATE($D25,Milestones!$AA$119)&gt;=$Z25),$AC25,IF(AND($Y25&lt;&gt;"",EDATE($D25,Milestones!$AA$119)&gt;=$Y25),$AB25,$AA25)))=Milestones!$AB$119),UPPER(TEXT(EDATE($D25,Milestones!$AA$119),"dd mmm yy"))&amp;" "&amp;Milestones!$AB$119&amp;" "&amp;IF(AND(Milestones!$AB$119="FT",Milestones!$AA$119=FT_Y5,EDATE($D25,Milestones!$AA$119)&lt;PolicyEff),1,Milestones!$AC$119)&amp;";  ","")&amp;IF(AND(EDATE($D25,Milestones!$AA$120)&lt;=AsOfDate,EDATE($D25,Milestones!$AA$120)&gt;=SchemeStart,IF($X25=0,$AD25,IF(AND($Z25&lt;&gt;"",EDATE($D25,Milestones!$AA$120)&gt;=$Z25),$AC25,IF(AND($Y25&lt;&gt;"",EDATE($D25,Milestones!$AA$120)&gt;=$Y25),$AB25,$AA25)))=Milestones!$AB$120),UPPER(TEXT(EDATE($D25,Milestones!$AA$120),"dd mmm yy"))&amp;" "&amp;Milestones!$AB$120&amp;" "&amp;IF(AND(Milestones!$AB$120="FT",Milestones!$AA$120=FT_Y5,EDATE($D25,Milestones!$AA$120)&lt;PolicyEff),1,Milestones!$AC$120)&amp;";  ","")&amp;IF(AND(EDATE($D25,Milestones!$AA$121)&lt;=AsOfDate,EDATE($D25,Milestones!$AA$121)&gt;=SchemeStart,IF($X25=0,$AD25,IF(AND($Z25&lt;&gt;"",EDATE($D25,Milestones!$AA$121)&gt;=$Z25),$AC25,IF(AND($Y25&lt;&gt;"",EDATE($D25,Milestones!$AA$121)&gt;=$Y25),$AB25,$AA25)))=Milestones!$AB$121),UPPER(TEXT(EDATE($D25,Milestones!$AA$121),"dd mmm yy"))&amp;" "&amp;Milestones!$AB$121&amp;" "&amp;IF(AND(Milestones!$AB$121="FT",Milestones!$AA$121=FT_Y5,EDATE($D25,Milestones!$AA$121)&lt;PolicyEff),1,Milestones!$AC$121)&amp;";  ","")&amp;IF(AND(EDATE($D25,Milestones!$AA$122)&lt;=AsOfDate,EDATE($D25,Milestones!$AA$122)&gt;=SchemeStart,IF($X25=0,$AD25,IF(AND($Z25&lt;&gt;"",EDATE($D25,Milestones!$AA$122)&gt;=$Z25),$AC25,IF(AND($Y25&lt;&gt;"",EDATE($D25,Milestones!$AA$122)&gt;=$Y25),$AB25,$AA25)))=Milestones!$AB$122),UPPER(TEXT(EDATE($D25,Milestones!$AA$122),"dd mmm yy"))&amp;" "&amp;Milestones!$AB$122&amp;" "&amp;IF(AND(Milestones!$AB$122="FT",Milestones!$AA$122=FT_Y5,EDATE($D25,Milestones!$AA$122)&lt;PolicyEff),1,Milestones!$AC$122)&amp;";  ","")&amp;IF(AND(EDATE($D25,Milestones!$AA$123)&lt;=AsOfDate,EDATE($D25,Milestones!$AA$123)&gt;=SchemeStart,IF($X25=0,$AD25,IF(AND($Z25&lt;&gt;"",EDATE($D25,Milestones!$AA$123)&gt;=$Z25),$AC25,IF(AND($Y25&lt;&gt;"",EDATE($D25,Milestones!$AA$123)&gt;=$Y25),$AB25,$AA25)))=Milestones!$AB$123),UPPER(TEXT(EDATE($D25,Milestones!$AA$123),"dd mmm yy"))&amp;" "&amp;Milestones!$AB$123&amp;" "&amp;IF(AND(Milestones!$AB$123="FT",Milestones!$AA$123=FT_Y5,EDATE($D25,Milestones!$AA$123)&lt;PolicyEff),1,Milestones!$AC$123)&amp;";  ","")&amp;IF(AND(EDATE($D25,Milestones!$AA$124)&lt;=AsOfDate,EDATE($D25,Milestones!$AA$124)&gt;=SchemeStart,IF($X25=0,$AD25,IF(AND($Z25&lt;&gt;"",EDATE($D25,Milestones!$AA$124)&gt;=$Z25),$AC25,IF(AND($Y25&lt;&gt;"",EDATE($D25,Milestones!$AA$124)&gt;=$Y25),$AB25,$AA25)))=Milestones!$AB$124),UPPER(TEXT(EDATE($D25,Milestones!$AA$124),"dd mmm yy"))&amp;" "&amp;Milestones!$AB$124&amp;" "&amp;IF(AND(Milestones!$AB$124="FT",Milestones!$AA$124=FT_Y5,EDATE($D25,Milestones!$AA$124)&lt;PolicyEff),1,Milestones!$AC$124)&amp;";  ","")&amp;IF(AND(EDATE($D25,Milestones!$AA$125)&lt;=AsOfDate,EDATE($D25,Milestones!$AA$125)&gt;=SchemeStart,IF($X25=0,$AD25,IF(AND($Z25&lt;&gt;"",EDATE($D25,Milestones!$AA$125)&gt;=$Z25),$AC25,IF(AND($Y25&lt;&gt;"",EDATE($D25,Milestones!$AA$125)&gt;=$Y25),$AB25,$AA25)))=Milestones!$AB$125),UPPER(TEXT(EDATE($D25,Milestones!$AA$125),"dd mmm yy"))&amp;" "&amp;Milestones!$AB$125&amp;" "&amp;IF(AND(Milestones!$AB$125="FT",Milestones!$AA$125=FT_Y5,EDATE($D25,Milestones!$AA$125)&lt;PolicyEff),1,Milestones!$AC$125)&amp;";  ","")&amp;IF(AND(EDATE($D25,Milestones!$AA$126)&lt;=AsOfDate,EDATE($D25,Milestones!$AA$126)&gt;=SchemeStart,IF($X25=0,$AD25,IF(AND($Z25&lt;&gt;"",EDATE($D25,Milestones!$AA$126)&gt;=$Z25),$AC25,IF(AND($Y25&lt;&gt;"",EDATE($D25,Milestones!$AA$126)&gt;=$Y25),$AB25,$AA25)))=Milestones!$AB$126),UPPER(TEXT(EDATE($D25,Milestones!$AA$126),"dd mmm yy"))&amp;" "&amp;Milestones!$AB$126&amp;" "&amp;IF(AND(Milestones!$AB$126="FT",Milestones!$AA$126=FT_Y5,EDATE($D25,Milestones!$AA$126)&lt;PolicyEff),1,Milestones!$AC$126)&amp;";  ","")&amp;IF(AND(EDATE($D25,Milestones!$AA$127)&lt;=AsOfDate,EDATE($D25,Milestones!$AA$127)&gt;=SchemeStart,IF($X25=0,$AD25,IF(AND($Z25&lt;&gt;"",EDATE($D25,Milestones!$AA$127)&gt;=$Z25),$AC25,IF(AND($Y25&lt;&gt;"",EDATE($D25,Milestones!$AA$127)&gt;=$Y25),$AB25,$AA25)))=Milestones!$AB$127),UPPER(TEXT(EDATE($D25,Milestones!$AA$127),"dd mmm yy"))&amp;" "&amp;Milestones!$AB$127&amp;" "&amp;IF(AND(Milestones!$AB$127="FT",Milestones!$AA$127=FT_Y5,EDATE($D25,Milestones!$AA$127)&lt;PolicyEff),1,Milestones!$AC$127)&amp;";  ",""))</f>
        <v/>
      </c>
      <c r="R25" s="0" t="str">
        <f aca="false">IF(OR($A25="",$D25=""),"",IF(AND(EDATE($D25,Milestones!$AA$128)&lt;=AsOfDate,EDATE($D25,Milestones!$AA$128)&gt;=SchemeStart,IF($X25=0,$AD25,IF(AND($Z25&lt;&gt;"",EDATE($D25,Milestones!$AA$128)&gt;=$Z25),$AC25,IF(AND($Y25&lt;&gt;"",EDATE($D25,Milestones!$AA$128)&gt;=$Y25),$AB25,$AA25)))=Milestones!$AB$128),UPPER(TEXT(EDATE($D25,Milestones!$AA$128),"dd mmm yy"))&amp;" "&amp;Milestones!$AB$128&amp;" "&amp;IF(AND(Milestones!$AB$128="FT",Milestones!$AA$128=FT_Y5,EDATE($D25,Milestones!$AA$128)&lt;PolicyEff),1,Milestones!$AC$128)&amp;";  ","")&amp;IF(AND(EDATE($D25,Milestones!$AA$129)&lt;=AsOfDate,EDATE($D25,Milestones!$AA$129)&gt;=SchemeStart,IF($X25=0,$AD25,IF(AND($Z25&lt;&gt;"",EDATE($D25,Milestones!$AA$129)&gt;=$Z25),$AC25,IF(AND($Y25&lt;&gt;"",EDATE($D25,Milestones!$AA$129)&gt;=$Y25),$AB25,$AA25)))=Milestones!$AB$129),UPPER(TEXT(EDATE($D25,Milestones!$AA$129),"dd mmm yy"))&amp;" "&amp;Milestones!$AB$129&amp;" "&amp;IF(AND(Milestones!$AB$129="FT",Milestones!$AA$129=FT_Y5,EDATE($D25,Milestones!$AA$129)&lt;PolicyEff),1,Milestones!$AC$129)&amp;";  ","")&amp;IF(AND(EDATE($D25,Milestones!$AA$130)&lt;=AsOfDate,EDATE($D25,Milestones!$AA$130)&gt;=SchemeStart,IF($X25=0,$AD25,IF(AND($Z25&lt;&gt;"",EDATE($D25,Milestones!$AA$130)&gt;=$Z25),$AC25,IF(AND($Y25&lt;&gt;"",EDATE($D25,Milestones!$AA$130)&gt;=$Y25),$AB25,$AA25)))=Milestones!$AB$130),UPPER(TEXT(EDATE($D25,Milestones!$AA$130),"dd mmm yy"))&amp;" "&amp;Milestones!$AB$130&amp;" "&amp;IF(AND(Milestones!$AB$130="FT",Milestones!$AA$130=FT_Y5,EDATE($D25,Milestones!$AA$130)&lt;PolicyEff),1,Milestones!$AC$130)&amp;";  ","")&amp;IF(AND(EDATE($D25,Milestones!$AA$131)&lt;=AsOfDate,EDATE($D25,Milestones!$AA$131)&gt;=SchemeStart,IF($X25=0,$AD25,IF(AND($Z25&lt;&gt;"",EDATE($D25,Milestones!$AA$131)&gt;=$Z25),$AC25,IF(AND($Y25&lt;&gt;"",EDATE($D25,Milestones!$AA$131)&gt;=$Y25),$AB25,$AA25)))=Milestones!$AB$131),UPPER(TEXT(EDATE($D25,Milestones!$AA$131),"dd mmm yy"))&amp;" "&amp;Milestones!$AB$131&amp;" "&amp;IF(AND(Milestones!$AB$131="FT",Milestones!$AA$131=FT_Y5,EDATE($D25,Milestones!$AA$131)&lt;PolicyEff),1,Milestones!$AC$131)&amp;";  ","")&amp;IF(AND(EDATE($D25,Milestones!$AA$132)&lt;=AsOfDate,EDATE($D25,Milestones!$AA$132)&gt;=SchemeStart,IF($X25=0,$AD25,IF(AND($Z25&lt;&gt;"",EDATE($D25,Milestones!$AA$132)&gt;=$Z25),$AC25,IF(AND($Y25&lt;&gt;"",EDATE($D25,Milestones!$AA$132)&gt;=$Y25),$AB25,$AA25)))=Milestones!$AB$132),UPPER(TEXT(EDATE($D25,Milestones!$AA$132),"dd mmm yy"))&amp;" "&amp;Milestones!$AB$132&amp;" "&amp;IF(AND(Milestones!$AB$132="FT",Milestones!$AA$132=FT_Y5,EDATE($D25,Milestones!$AA$132)&lt;PolicyEff),1,Milestones!$AC$132)&amp;";  ","")&amp;IF(AND(EDATE($D25,Milestones!$AA$133)&lt;=AsOfDate,EDATE($D25,Milestones!$AA$133)&gt;=SchemeStart,IF($X25=0,$AD25,IF(AND($Z25&lt;&gt;"",EDATE($D25,Milestones!$AA$133)&gt;=$Z25),$AC25,IF(AND($Y25&lt;&gt;"",EDATE($D25,Milestones!$AA$133)&gt;=$Y25),$AB25,$AA25)))=Milestones!$AB$133),UPPER(TEXT(EDATE($D25,Milestones!$AA$133),"dd mmm yy"))&amp;" "&amp;Milestones!$AB$133&amp;" "&amp;IF(AND(Milestones!$AB$133="FT",Milestones!$AA$133=FT_Y5,EDATE($D25,Milestones!$AA$133)&lt;PolicyEff),1,Milestones!$AC$133)&amp;";  ","")&amp;IF(AND(EDATE($D25,Milestones!$AA$134)&lt;=AsOfDate,EDATE($D25,Milestones!$AA$134)&gt;=SchemeStart,IF($X25=0,$AD25,IF(AND($Z25&lt;&gt;"",EDATE($D25,Milestones!$AA$134)&gt;=$Z25),$AC25,IF(AND($Y25&lt;&gt;"",EDATE($D25,Milestones!$AA$134)&gt;=$Y25),$AB25,$AA25)))=Milestones!$AB$134),UPPER(TEXT(EDATE($D25,Milestones!$AA$134),"dd mmm yy"))&amp;" "&amp;Milestones!$AB$134&amp;" "&amp;IF(AND(Milestones!$AB$134="FT",Milestones!$AA$134=FT_Y5,EDATE($D25,Milestones!$AA$134)&lt;PolicyEff),1,Milestones!$AC$134)&amp;";  ","")&amp;IF(AND(EDATE($D25,Milestones!$AA$135)&lt;=AsOfDate,EDATE($D25,Milestones!$AA$135)&gt;=SchemeStart,IF($X25=0,$AD25,IF(AND($Z25&lt;&gt;"",EDATE($D25,Milestones!$AA$135)&gt;=$Z25),$AC25,IF(AND($Y25&lt;&gt;"",EDATE($D25,Milestones!$AA$135)&gt;=$Y25),$AB25,$AA25)))=Milestones!$AB$135),UPPER(TEXT(EDATE($D25,Milestones!$AA$135),"dd mmm yy"))&amp;" "&amp;Milestones!$AB$135&amp;" "&amp;IF(AND(Milestones!$AB$135="FT",Milestones!$AA$135=FT_Y5,EDATE($D25,Milestones!$AA$135)&lt;PolicyEff),1,Milestones!$AC$135)&amp;";  ","")&amp;IF(AND(EDATE($D25,Milestones!$AA$136)&lt;=AsOfDate,EDATE($D25,Milestones!$AA$136)&gt;=SchemeStart,IF($X25=0,$AD25,IF(AND($Z25&lt;&gt;"",EDATE($D25,Milestones!$AA$136)&gt;=$Z25),$AC25,IF(AND($Y25&lt;&gt;"",EDATE($D25,Milestones!$AA$136)&gt;=$Y25),$AB25,$AA25)))=Milestones!$AB$136),UPPER(TEXT(EDATE($D25,Milestones!$AA$136),"dd mmm yy"))&amp;" "&amp;Milestones!$AB$136&amp;" "&amp;IF(AND(Milestones!$AB$136="FT",Milestones!$AA$136=FT_Y5,EDATE($D25,Milestones!$AA$136)&lt;PolicyEff),1,Milestones!$AC$136)&amp;";  ","")&amp;IF(AND(EDATE($D25,Milestones!$AA$137)&lt;=AsOfDate,EDATE($D25,Milestones!$AA$137)&gt;=SchemeStart,IF($X25=0,$AD25,IF(AND($Z25&lt;&gt;"",EDATE($D25,Milestones!$AA$137)&gt;=$Z25),$AC25,IF(AND($Y25&lt;&gt;"",EDATE($D25,Milestones!$AA$137)&gt;=$Y25),$AB25,$AA25)))=Milestones!$AB$137),UPPER(TEXT(EDATE($D25,Milestones!$AA$137),"dd mmm yy"))&amp;" "&amp;Milestones!$AB$137&amp;" "&amp;IF(AND(Milestones!$AB$137="FT",Milestones!$AA$137=FT_Y5,EDATE($D25,Milestones!$AA$137)&lt;PolicyEff),1,Milestones!$AC$137)&amp;";  ","")&amp;IF(AND(EDATE($D25,Milestones!$AA$138)&lt;=AsOfDate,EDATE($D25,Milestones!$AA$138)&gt;=SchemeStart,IF($X25=0,$AD25,IF(AND($Z25&lt;&gt;"",EDATE($D25,Milestones!$AA$138)&gt;=$Z25),$AC25,IF(AND($Y25&lt;&gt;"",EDATE($D25,Milestones!$AA$138)&gt;=$Y25),$AB25,$AA25)))=Milestones!$AB$138),UPPER(TEXT(EDATE($D25,Milestones!$AA$138),"dd mmm yy"))&amp;" "&amp;Milestones!$AB$138&amp;" "&amp;IF(AND(Milestones!$AB$138="FT",Milestones!$AA$138=FT_Y5,EDATE($D25,Milestones!$AA$138)&lt;PolicyEff),1,Milestones!$AC$138)&amp;";  ","")&amp;IF(AND(EDATE($D25,Milestones!$AA$139)&lt;=AsOfDate,EDATE($D25,Milestones!$AA$139)&gt;=SchemeStart,IF($X25=0,$AD25,IF(AND($Z25&lt;&gt;"",EDATE($D25,Milestones!$AA$139)&gt;=$Z25),$AC25,IF(AND($Y25&lt;&gt;"",EDATE($D25,Milestones!$AA$139)&gt;=$Y25),$AB25,$AA25)))=Milestones!$AB$139),UPPER(TEXT(EDATE($D25,Milestones!$AA$139),"dd mmm yy"))&amp;" "&amp;Milestones!$AB$139&amp;" "&amp;IF(AND(Milestones!$AB$139="FT",Milestones!$AA$139=FT_Y5,EDATE($D25,Milestones!$AA$139)&lt;PolicyEff),1,Milestones!$AC$139)&amp;";  ",""))</f>
        <v/>
      </c>
      <c r="S25" s="0" t="str">
        <f aca="false">IF(OR($A25="",$D25=""),"",IF(AND(EDATE($D25,Milestones!$AA$140)&lt;=AsOfDate,EDATE($D25,Milestones!$AA$140)&gt;=SchemeStart,IF($X25=0,$AD25,IF(AND($Z25&lt;&gt;"",EDATE($D25,Milestones!$AA$140)&gt;=$Z25),$AC25,IF(AND($Y25&lt;&gt;"",EDATE($D25,Milestones!$AA$140)&gt;=$Y25),$AB25,$AA25)))=Milestones!$AB$140),UPPER(TEXT(EDATE($D25,Milestones!$AA$140),"dd mmm yy"))&amp;" "&amp;Milestones!$AB$140&amp;" "&amp;IF(AND(Milestones!$AB$140="FT",Milestones!$AA$140=FT_Y5,EDATE($D25,Milestones!$AA$140)&lt;PolicyEff),1,Milestones!$AC$140)&amp;";  ","")&amp;IF(AND(EDATE($D25,Milestones!$AA$141)&lt;=AsOfDate,EDATE($D25,Milestones!$AA$141)&gt;=SchemeStart,IF($X25=0,$AD25,IF(AND($Z25&lt;&gt;"",EDATE($D25,Milestones!$AA$141)&gt;=$Z25),$AC25,IF(AND($Y25&lt;&gt;"",EDATE($D25,Milestones!$AA$141)&gt;=$Y25),$AB25,$AA25)))=Milestones!$AB$141),UPPER(TEXT(EDATE($D25,Milestones!$AA$141),"dd mmm yy"))&amp;" "&amp;Milestones!$AB$141&amp;" "&amp;IF(AND(Milestones!$AB$141="FT",Milestones!$AA$141=FT_Y5,EDATE($D25,Milestones!$AA$141)&lt;PolicyEff),1,Milestones!$AC$141)&amp;";  ","")&amp;IF(AND(EDATE($D25,Milestones!$AA$142)&lt;=AsOfDate,EDATE($D25,Milestones!$AA$142)&gt;=SchemeStart,IF($X25=0,$AD25,IF(AND($Z25&lt;&gt;"",EDATE($D25,Milestones!$AA$142)&gt;=$Z25),$AC25,IF(AND($Y25&lt;&gt;"",EDATE($D25,Milestones!$AA$142)&gt;=$Y25),$AB25,$AA25)))=Milestones!$AB$142),UPPER(TEXT(EDATE($D25,Milestones!$AA$142),"dd mmm yy"))&amp;" "&amp;Milestones!$AB$142&amp;" "&amp;IF(AND(Milestones!$AB$142="FT",Milestones!$AA$142=FT_Y5,EDATE($D25,Milestones!$AA$142)&lt;PolicyEff),1,Milestones!$AC$142)&amp;";  ","")&amp;IF(AND(EDATE($D25,Milestones!$AA$143)&lt;=AsOfDate,EDATE($D25,Milestones!$AA$143)&gt;=SchemeStart,IF($X25=0,$AD25,IF(AND($Z25&lt;&gt;"",EDATE($D25,Milestones!$AA$143)&gt;=$Z25),$AC25,IF(AND($Y25&lt;&gt;"",EDATE($D25,Milestones!$AA$143)&gt;=$Y25),$AB25,$AA25)))=Milestones!$AB$143),UPPER(TEXT(EDATE($D25,Milestones!$AA$143),"dd mmm yy"))&amp;" "&amp;Milestones!$AB$143&amp;" "&amp;IF(AND(Milestones!$AB$143="FT",Milestones!$AA$143=FT_Y5,EDATE($D25,Milestones!$AA$143)&lt;PolicyEff),1,Milestones!$AC$143)&amp;";  ","")&amp;IF(AND(EDATE($D25,Milestones!$AA$144)&lt;=AsOfDate,EDATE($D25,Milestones!$AA$144)&gt;=SchemeStart,IF($X25=0,$AD25,IF(AND($Z25&lt;&gt;"",EDATE($D25,Milestones!$AA$144)&gt;=$Z25),$AC25,IF(AND($Y25&lt;&gt;"",EDATE($D25,Milestones!$AA$144)&gt;=$Y25),$AB25,$AA25)))=Milestones!$AB$144),UPPER(TEXT(EDATE($D25,Milestones!$AA$144),"dd mmm yy"))&amp;" "&amp;Milestones!$AB$144&amp;" "&amp;IF(AND(Milestones!$AB$144="FT",Milestones!$AA$144=FT_Y5,EDATE($D25,Milestones!$AA$144)&lt;PolicyEff),1,Milestones!$AC$144)&amp;";  ","")&amp;IF(AND(EDATE($D25,Milestones!$AA$145)&lt;=AsOfDate,EDATE($D25,Milestones!$AA$145)&gt;=SchemeStart,IF($X25=0,$AD25,IF(AND($Z25&lt;&gt;"",EDATE($D25,Milestones!$AA$145)&gt;=$Z25),$AC25,IF(AND($Y25&lt;&gt;"",EDATE($D25,Milestones!$AA$145)&gt;=$Y25),$AB25,$AA25)))=Milestones!$AB$145),UPPER(TEXT(EDATE($D25,Milestones!$AA$145),"dd mmm yy"))&amp;" "&amp;Milestones!$AB$145&amp;" "&amp;IF(AND(Milestones!$AB$145="FT",Milestones!$AA$145=FT_Y5,EDATE($D25,Milestones!$AA$145)&lt;PolicyEff),1,Milestones!$AC$145)&amp;";  ","")&amp;IF(AND(EDATE($D25,Milestones!$AA$146)&lt;=AsOfDate,EDATE($D25,Milestones!$AA$146)&gt;=SchemeStart,IF($X25=0,$AD25,IF(AND($Z25&lt;&gt;"",EDATE($D25,Milestones!$AA$146)&gt;=$Z25),$AC25,IF(AND($Y25&lt;&gt;"",EDATE($D25,Milestones!$AA$146)&gt;=$Y25),$AB25,$AA25)))=Milestones!$AB$146),UPPER(TEXT(EDATE($D25,Milestones!$AA$146),"dd mmm yy"))&amp;" "&amp;Milestones!$AB$146&amp;" "&amp;IF(AND(Milestones!$AB$146="FT",Milestones!$AA$146=FT_Y5,EDATE($D25,Milestones!$AA$146)&lt;PolicyEff),1,Milestones!$AC$146)&amp;";  ","")&amp;IF(AND(EDATE($D25,Milestones!$AA$147)&lt;=AsOfDate,EDATE($D25,Milestones!$AA$147)&gt;=SchemeStart,IF($X25=0,$AD25,IF(AND($Z25&lt;&gt;"",EDATE($D25,Milestones!$AA$147)&gt;=$Z25),$AC25,IF(AND($Y25&lt;&gt;"",EDATE($D25,Milestones!$AA$147)&gt;=$Y25),$AB25,$AA25)))=Milestones!$AB$147),UPPER(TEXT(EDATE($D25,Milestones!$AA$147),"dd mmm yy"))&amp;" "&amp;Milestones!$AB$147&amp;" "&amp;IF(AND(Milestones!$AB$147="FT",Milestones!$AA$147=FT_Y5,EDATE($D25,Milestones!$AA$147)&lt;PolicyEff),1,Milestones!$AC$147)&amp;";  ","")&amp;IF(AND(EDATE($D25,Milestones!$AA$148)&lt;=AsOfDate,EDATE($D25,Milestones!$AA$148)&gt;=SchemeStart,IF($X25=0,$AD25,IF(AND($Z25&lt;&gt;"",EDATE($D25,Milestones!$AA$148)&gt;=$Z25),$AC25,IF(AND($Y25&lt;&gt;"",EDATE($D25,Milestones!$AA$148)&gt;=$Y25),$AB25,$AA25)))=Milestones!$AB$148),UPPER(TEXT(EDATE($D25,Milestones!$AA$148),"dd mmm yy"))&amp;" "&amp;Milestones!$AB$148&amp;" "&amp;IF(AND(Milestones!$AB$148="FT",Milestones!$AA$148=FT_Y5,EDATE($D25,Milestones!$AA$148)&lt;PolicyEff),1,Milestones!$AC$148)&amp;";  ","")&amp;IF(AND(EDATE($D25,Milestones!$AA$149)&lt;=AsOfDate,EDATE($D25,Milestones!$AA$149)&gt;=SchemeStart,IF($X25=0,$AD25,IF(AND($Z25&lt;&gt;"",EDATE($D25,Milestones!$AA$149)&gt;=$Z25),$AC25,IF(AND($Y25&lt;&gt;"",EDATE($D25,Milestones!$AA$149)&gt;=$Y25),$AB25,$AA25)))=Milestones!$AB$149),UPPER(TEXT(EDATE($D25,Milestones!$AA$149),"dd mmm yy"))&amp;" "&amp;Milestones!$AB$149&amp;" "&amp;IF(AND(Milestones!$AB$149="FT",Milestones!$AA$149=FT_Y5,EDATE($D25,Milestones!$AA$149)&lt;PolicyEff),1,Milestones!$AC$149)&amp;";  ","")&amp;IF(AND(EDATE($D25,Milestones!$AA$150)&lt;=AsOfDate,EDATE($D25,Milestones!$AA$150)&gt;=SchemeStart,IF($X25=0,$AD25,IF(AND($Z25&lt;&gt;"",EDATE($D25,Milestones!$AA$150)&gt;=$Z25),$AC25,IF(AND($Y25&lt;&gt;"",EDATE($D25,Milestones!$AA$150)&gt;=$Y25),$AB25,$AA25)))=Milestones!$AB$150),UPPER(TEXT(EDATE($D25,Milestones!$AA$150),"dd mmm yy"))&amp;" "&amp;Milestones!$AB$150&amp;" "&amp;IF(AND(Milestones!$AB$150="FT",Milestones!$AA$150=FT_Y5,EDATE($D25,Milestones!$AA$150)&lt;PolicyEff),1,Milestones!$AC$150)&amp;";  ","")&amp;IF(AND(EDATE($D25,Milestones!$AA$151)&lt;=AsOfDate,EDATE($D25,Milestones!$AA$151)&gt;=SchemeStart,IF($X25=0,$AD25,IF(AND($Z25&lt;&gt;"",EDATE($D25,Milestones!$AA$151)&gt;=$Z25),$AC25,IF(AND($Y25&lt;&gt;"",EDATE($D25,Milestones!$AA$151)&gt;=$Y25),$AB25,$AA25)))=Milestones!$AB$151),UPPER(TEXT(EDATE($D25,Milestones!$AA$151),"dd mmm yy"))&amp;" "&amp;Milestones!$AB$151&amp;" "&amp;IF(AND(Milestones!$AB$151="FT",Milestones!$AA$151=FT_Y5,EDATE($D25,Milestones!$AA$151)&lt;PolicyEff),1,Milestones!$AC$151)&amp;";  ",""))</f>
        <v/>
      </c>
      <c r="T25" s="0" t="str">
        <f aca="false">IF(OR($A25="",$D25=""),"",IF(AND(EDATE($D25,Milestones!$AA$152)&lt;=AsOfDate,EDATE($D25,Milestones!$AA$152)&gt;=SchemeStart,IF($X25=0,$AD25,IF(AND($Z25&lt;&gt;"",EDATE($D25,Milestones!$AA$152)&gt;=$Z25),$AC25,IF(AND($Y25&lt;&gt;"",EDATE($D25,Milestones!$AA$152)&gt;=$Y25),$AB25,$AA25)))=Milestones!$AB$152),UPPER(TEXT(EDATE($D25,Milestones!$AA$152),"dd mmm yy"))&amp;" "&amp;Milestones!$AB$152&amp;" "&amp;IF(AND(Milestones!$AB$152="FT",Milestones!$AA$152=FT_Y5,EDATE($D25,Milestones!$AA$152)&lt;PolicyEff),1,Milestones!$AC$152)&amp;";  ","")&amp;IF(AND(EDATE($D25,Milestones!$AA$153)&lt;=AsOfDate,EDATE($D25,Milestones!$AA$153)&gt;=SchemeStart,IF($X25=0,$AD25,IF(AND($Z25&lt;&gt;"",EDATE($D25,Milestones!$AA$153)&gt;=$Z25),$AC25,IF(AND($Y25&lt;&gt;"",EDATE($D25,Milestones!$AA$153)&gt;=$Y25),$AB25,$AA25)))=Milestones!$AB$153),UPPER(TEXT(EDATE($D25,Milestones!$AA$153),"dd mmm yy"))&amp;" "&amp;Milestones!$AB$153&amp;" "&amp;IF(AND(Milestones!$AB$153="FT",Milestones!$AA$153=FT_Y5,EDATE($D25,Milestones!$AA$153)&lt;PolicyEff),1,Milestones!$AC$153)&amp;";  ","")&amp;IF(AND(EDATE($D25,Milestones!$AA$154)&lt;=AsOfDate,EDATE($D25,Milestones!$AA$154)&gt;=SchemeStart,IF($X25=0,$AD25,IF(AND($Z25&lt;&gt;"",EDATE($D25,Milestones!$AA$154)&gt;=$Z25),$AC25,IF(AND($Y25&lt;&gt;"",EDATE($D25,Milestones!$AA$154)&gt;=$Y25),$AB25,$AA25)))=Milestones!$AB$154),UPPER(TEXT(EDATE($D25,Milestones!$AA$154),"dd mmm yy"))&amp;" "&amp;Milestones!$AB$154&amp;" "&amp;IF(AND(Milestones!$AB$154="FT",Milestones!$AA$154=FT_Y5,EDATE($D25,Milestones!$AA$154)&lt;PolicyEff),1,Milestones!$AC$154)&amp;";  ","")&amp;IF(AND(EDATE($D25,Milestones!$AA$155)&lt;=AsOfDate,EDATE($D25,Milestones!$AA$155)&gt;=SchemeStart,IF($X25=0,$AD25,IF(AND($Z25&lt;&gt;"",EDATE($D25,Milestones!$AA$155)&gt;=$Z25),$AC25,IF(AND($Y25&lt;&gt;"",EDATE($D25,Milestones!$AA$155)&gt;=$Y25),$AB25,$AA25)))=Milestones!$AB$155),UPPER(TEXT(EDATE($D25,Milestones!$AA$155),"dd mmm yy"))&amp;" "&amp;Milestones!$AB$155&amp;" "&amp;IF(AND(Milestones!$AB$155="FT",Milestones!$AA$155=FT_Y5,EDATE($D25,Milestones!$AA$155)&lt;PolicyEff),1,Milestones!$AC$155)&amp;";  ","")&amp;IF(AND(EDATE($D25,Milestones!$AA$156)&lt;=AsOfDate,EDATE($D25,Milestones!$AA$156)&gt;=SchemeStart,IF($X25=0,$AD25,IF(AND($Z25&lt;&gt;"",EDATE($D25,Milestones!$AA$156)&gt;=$Z25),$AC25,IF(AND($Y25&lt;&gt;"",EDATE($D25,Milestones!$AA$156)&gt;=$Y25),$AB25,$AA25)))=Milestones!$AB$156),UPPER(TEXT(EDATE($D25,Milestones!$AA$156),"dd mmm yy"))&amp;" "&amp;Milestones!$AB$156&amp;" "&amp;IF(AND(Milestones!$AB$156="FT",Milestones!$AA$156=FT_Y5,EDATE($D25,Milestones!$AA$156)&lt;PolicyEff),1,Milestones!$AC$156)&amp;";  ","")&amp;IF(AND(EDATE($D25,Milestones!$AA$157)&lt;=AsOfDate,EDATE($D25,Milestones!$AA$157)&gt;=SchemeStart,IF($X25=0,$AD25,IF(AND($Z25&lt;&gt;"",EDATE($D25,Milestones!$AA$157)&gt;=$Z25),$AC25,IF(AND($Y25&lt;&gt;"",EDATE($D25,Milestones!$AA$157)&gt;=$Y25),$AB25,$AA25)))=Milestones!$AB$157),UPPER(TEXT(EDATE($D25,Milestones!$AA$157),"dd mmm yy"))&amp;" "&amp;Milestones!$AB$157&amp;" "&amp;IF(AND(Milestones!$AB$157="FT",Milestones!$AA$157=FT_Y5,EDATE($D25,Milestones!$AA$157)&lt;PolicyEff),1,Milestones!$AC$157)&amp;";  ","")&amp;IF(AND(EDATE($D25,Milestones!$AA$158)&lt;=AsOfDate,EDATE($D25,Milestones!$AA$158)&gt;=SchemeStart,IF($X25=0,$AD25,IF(AND($Z25&lt;&gt;"",EDATE($D25,Milestones!$AA$158)&gt;=$Z25),$AC25,IF(AND($Y25&lt;&gt;"",EDATE($D25,Milestones!$AA$158)&gt;=$Y25),$AB25,$AA25)))=Milestones!$AB$158),UPPER(TEXT(EDATE($D25,Milestones!$AA$158),"dd mmm yy"))&amp;" "&amp;Milestones!$AB$158&amp;" "&amp;IF(AND(Milestones!$AB$158="FT",Milestones!$AA$158=FT_Y5,EDATE($D25,Milestones!$AA$158)&lt;PolicyEff),1,Milestones!$AC$158)&amp;";  ","")&amp;IF(AND(EDATE($D25,Milestones!$AA$159)&lt;=AsOfDate,EDATE($D25,Milestones!$AA$159)&gt;=SchemeStart,IF($X25=0,$AD25,IF(AND($Z25&lt;&gt;"",EDATE($D25,Milestones!$AA$159)&gt;=$Z25),$AC25,IF(AND($Y25&lt;&gt;"",EDATE($D25,Milestones!$AA$159)&gt;=$Y25),$AB25,$AA25)))=Milestones!$AB$159),UPPER(TEXT(EDATE($D25,Milestones!$AA$159),"dd mmm yy"))&amp;" "&amp;Milestones!$AB$159&amp;" "&amp;IF(AND(Milestones!$AB$159="FT",Milestones!$AA$159=FT_Y5,EDATE($D25,Milestones!$AA$159)&lt;PolicyEff),1,Milestones!$AC$159)&amp;";  ","")&amp;IF(AND(EDATE($D25,Milestones!$AA$160)&lt;=AsOfDate,EDATE($D25,Milestones!$AA$160)&gt;=SchemeStart,IF($X25=0,$AD25,IF(AND($Z25&lt;&gt;"",EDATE($D25,Milestones!$AA$160)&gt;=$Z25),$AC25,IF(AND($Y25&lt;&gt;"",EDATE($D25,Milestones!$AA$160)&gt;=$Y25),$AB25,$AA25)))=Milestones!$AB$160),UPPER(TEXT(EDATE($D25,Milestones!$AA$160),"dd mmm yy"))&amp;" "&amp;Milestones!$AB$160&amp;" "&amp;IF(AND(Milestones!$AB$160="FT",Milestones!$AA$160=FT_Y5,EDATE($D25,Milestones!$AA$160)&lt;PolicyEff),1,Milestones!$AC$160)&amp;";  ","")&amp;IF(AND(EDATE($D25,Milestones!$AA$161)&lt;=AsOfDate,EDATE($D25,Milestones!$AA$161)&gt;=SchemeStart,IF($X25=0,$AD25,IF(AND($Z25&lt;&gt;"",EDATE($D25,Milestones!$AA$161)&gt;=$Z25),$AC25,IF(AND($Y25&lt;&gt;"",EDATE($D25,Milestones!$AA$161)&gt;=$Y25),$AB25,$AA25)))=Milestones!$AB$161),UPPER(TEXT(EDATE($D25,Milestones!$AA$161),"dd mmm yy"))&amp;" "&amp;Milestones!$AB$161&amp;" "&amp;IF(AND(Milestones!$AB$161="FT",Milestones!$AA$161=FT_Y5,EDATE($D25,Milestones!$AA$161)&lt;PolicyEff),1,Milestones!$AC$161)&amp;";  ","")&amp;IF(AND(EDATE($D25,Milestones!$AA$162)&lt;=AsOfDate,EDATE($D25,Milestones!$AA$162)&gt;=SchemeStart,IF($X25=0,$AD25,IF(AND($Z25&lt;&gt;"",EDATE($D25,Milestones!$AA$162)&gt;=$Z25),$AC25,IF(AND($Y25&lt;&gt;"",EDATE($D25,Milestones!$AA$162)&gt;=$Y25),$AB25,$AA25)))=Milestones!$AB$162),UPPER(TEXT(EDATE($D25,Milestones!$AA$162),"dd mmm yy"))&amp;" "&amp;Milestones!$AB$162&amp;" "&amp;IF(AND(Milestones!$AB$162="FT",Milestones!$AA$162=FT_Y5,EDATE($D25,Milestones!$AA$162)&lt;PolicyEff),1,Milestones!$AC$162)&amp;";  ","")&amp;IF(AND(EDATE($D25,Milestones!$AA$163)&lt;=AsOfDate,EDATE($D25,Milestones!$AA$163)&gt;=SchemeStart,IF($X25=0,$AD25,IF(AND($Z25&lt;&gt;"",EDATE($D25,Milestones!$AA$163)&gt;=$Z25),$AC25,IF(AND($Y25&lt;&gt;"",EDATE($D25,Milestones!$AA$163)&gt;=$Y25),$AB25,$AA25)))=Milestones!$AB$163),UPPER(TEXT(EDATE($D25,Milestones!$AA$163),"dd mmm yy"))&amp;" "&amp;Milestones!$AB$163&amp;" "&amp;IF(AND(Milestones!$AB$163="FT",Milestones!$AA$163=FT_Y5,EDATE($D25,Milestones!$AA$163)&lt;PolicyEff),1,Milestones!$AC$163)&amp;";  ",""))</f>
        <v/>
      </c>
      <c r="U25" s="0" t="str">
        <f aca="false">IF(OR($A25="",$D25=""),"",IF(AND(EDATE($D25,Milestones!$AA$164)&lt;=AsOfDate,EDATE($D25,Milestones!$AA$164)&gt;=SchemeStart,IF($X25=0,$AD25,IF(AND($Z25&lt;&gt;"",EDATE($D25,Milestones!$AA$164)&gt;=$Z25),$AC25,IF(AND($Y25&lt;&gt;"",EDATE($D25,Milestones!$AA$164)&gt;=$Y25),$AB25,$AA25)))=Milestones!$AB$164),UPPER(TEXT(EDATE($D25,Milestones!$AA$164),"dd mmm yy"))&amp;" "&amp;Milestones!$AB$164&amp;" "&amp;IF(AND(Milestones!$AB$164="FT",Milestones!$AA$164=FT_Y5,EDATE($D25,Milestones!$AA$164)&lt;PolicyEff),1,Milestones!$AC$164)&amp;";  ","")&amp;IF(AND(EDATE($D25,Milestones!$AA$165)&lt;=AsOfDate,EDATE($D25,Milestones!$AA$165)&gt;=SchemeStart,IF($X25=0,$AD25,IF(AND($Z25&lt;&gt;"",EDATE($D25,Milestones!$AA$165)&gt;=$Z25),$AC25,IF(AND($Y25&lt;&gt;"",EDATE($D25,Milestones!$AA$165)&gt;=$Y25),$AB25,$AA25)))=Milestones!$AB$165),UPPER(TEXT(EDATE($D25,Milestones!$AA$165),"dd mmm yy"))&amp;" "&amp;Milestones!$AB$165&amp;" "&amp;IF(AND(Milestones!$AB$165="FT",Milestones!$AA$165=FT_Y5,EDATE($D25,Milestones!$AA$165)&lt;PolicyEff),1,Milestones!$AC$165)&amp;";  ","")&amp;IF(AND(EDATE($D25,Milestones!$AA$166)&lt;=AsOfDate,EDATE($D25,Milestones!$AA$166)&gt;=SchemeStart,IF($X25=0,$AD25,IF(AND($Z25&lt;&gt;"",EDATE($D25,Milestones!$AA$166)&gt;=$Z25),$AC25,IF(AND($Y25&lt;&gt;"",EDATE($D25,Milestones!$AA$166)&gt;=$Y25),$AB25,$AA25)))=Milestones!$AB$166),UPPER(TEXT(EDATE($D25,Milestones!$AA$166),"dd mmm yy"))&amp;" "&amp;Milestones!$AB$166&amp;" "&amp;IF(AND(Milestones!$AB$166="FT",Milestones!$AA$166=FT_Y5,EDATE($D25,Milestones!$AA$166)&lt;PolicyEff),1,Milestones!$AC$166)&amp;";  ","")&amp;IF(AND(EDATE($D25,Milestones!$AA$167)&lt;=AsOfDate,EDATE($D25,Milestones!$AA$167)&gt;=SchemeStart,IF($X25=0,$AD25,IF(AND($Z25&lt;&gt;"",EDATE($D25,Milestones!$AA$167)&gt;=$Z25),$AC25,IF(AND($Y25&lt;&gt;"",EDATE($D25,Milestones!$AA$167)&gt;=$Y25),$AB25,$AA25)))=Milestones!$AB$167),UPPER(TEXT(EDATE($D25,Milestones!$AA$167),"dd mmm yy"))&amp;" "&amp;Milestones!$AB$167&amp;" "&amp;IF(AND(Milestones!$AB$167="FT",Milestones!$AA$167=FT_Y5,EDATE($D25,Milestones!$AA$167)&lt;PolicyEff),1,Milestones!$AC$167)&amp;";  ","")&amp;IF(AND(EDATE($D25,Milestones!$AA$168)&lt;=AsOfDate,EDATE($D25,Milestones!$AA$168)&gt;=SchemeStart,IF($X25=0,$AD25,IF(AND($Z25&lt;&gt;"",EDATE($D25,Milestones!$AA$168)&gt;=$Z25),$AC25,IF(AND($Y25&lt;&gt;"",EDATE($D25,Milestones!$AA$168)&gt;=$Y25),$AB25,$AA25)))=Milestones!$AB$168),UPPER(TEXT(EDATE($D25,Milestones!$AA$168),"dd mmm yy"))&amp;" "&amp;Milestones!$AB$168&amp;" "&amp;IF(AND(Milestones!$AB$168="FT",Milestones!$AA$168=FT_Y5,EDATE($D25,Milestones!$AA$168)&lt;PolicyEff),1,Milestones!$AC$168)&amp;";  ","")&amp;IF(AND(EDATE($D25,Milestones!$AA$169)&lt;=AsOfDate,EDATE($D25,Milestones!$AA$169)&gt;=SchemeStart,IF($X25=0,$AD25,IF(AND($Z25&lt;&gt;"",EDATE($D25,Milestones!$AA$169)&gt;=$Z25),$AC25,IF(AND($Y25&lt;&gt;"",EDATE($D25,Milestones!$AA$169)&gt;=$Y25),$AB25,$AA25)))=Milestones!$AB$169),UPPER(TEXT(EDATE($D25,Milestones!$AA$169),"dd mmm yy"))&amp;" "&amp;Milestones!$AB$169&amp;" "&amp;IF(AND(Milestones!$AB$169="FT",Milestones!$AA$169=FT_Y5,EDATE($D25,Milestones!$AA$169)&lt;PolicyEff),1,Milestones!$AC$169)&amp;";  ","")&amp;IF(AND(EDATE($D25,Milestones!$AA$170)&lt;=AsOfDate,EDATE($D25,Milestones!$AA$170)&gt;=SchemeStart,IF($X25=0,$AD25,IF(AND($Z25&lt;&gt;"",EDATE($D25,Milestones!$AA$170)&gt;=$Z25),$AC25,IF(AND($Y25&lt;&gt;"",EDATE($D25,Milestones!$AA$170)&gt;=$Y25),$AB25,$AA25)))=Milestones!$AB$170),UPPER(TEXT(EDATE($D25,Milestones!$AA$170),"dd mmm yy"))&amp;" "&amp;Milestones!$AB$170&amp;" "&amp;IF(AND(Milestones!$AB$170="FT",Milestones!$AA$170=FT_Y5,EDATE($D25,Milestones!$AA$170)&lt;PolicyEff),1,Milestones!$AC$170)&amp;";  ","")&amp;IF(AND(EDATE($D25,Milestones!$AA$171)&lt;=AsOfDate,EDATE($D25,Milestones!$AA$171)&gt;=SchemeStart,IF($X25=0,$AD25,IF(AND($Z25&lt;&gt;"",EDATE($D25,Milestones!$AA$171)&gt;=$Z25),$AC25,IF(AND($Y25&lt;&gt;"",EDATE($D25,Milestones!$AA$171)&gt;=$Y25),$AB25,$AA25)))=Milestones!$AB$171),UPPER(TEXT(EDATE($D25,Milestones!$AA$171),"dd mmm yy"))&amp;" "&amp;Milestones!$AB$171&amp;" "&amp;IF(AND(Milestones!$AB$171="FT",Milestones!$AA$171=FT_Y5,EDATE($D25,Milestones!$AA$171)&lt;PolicyEff),1,Milestones!$AC$171)&amp;";  ","")&amp;IF(AND(EDATE($D25,Milestones!$AA$172)&lt;=AsOfDate,EDATE($D25,Milestones!$AA$172)&gt;=SchemeStart,IF($X25=0,$AD25,IF(AND($Z25&lt;&gt;"",EDATE($D25,Milestones!$AA$172)&gt;=$Z25),$AC25,IF(AND($Y25&lt;&gt;"",EDATE($D25,Milestones!$AA$172)&gt;=$Y25),$AB25,$AA25)))=Milestones!$AB$172),UPPER(TEXT(EDATE($D25,Milestones!$AA$172),"dd mmm yy"))&amp;" "&amp;Milestones!$AB$172&amp;" "&amp;IF(AND(Milestones!$AB$172="FT",Milestones!$AA$172=FT_Y5,EDATE($D25,Milestones!$AA$172)&lt;PolicyEff),1,Milestones!$AC$172)&amp;";  ","")&amp;IF(AND(EDATE($D25,Milestones!$AA$173)&lt;=AsOfDate,EDATE($D25,Milestones!$AA$173)&gt;=SchemeStart,IF($X25=0,$AD25,IF(AND($Z25&lt;&gt;"",EDATE($D25,Milestones!$AA$173)&gt;=$Z25),$AC25,IF(AND($Y25&lt;&gt;"",EDATE($D25,Milestones!$AA$173)&gt;=$Y25),$AB25,$AA25)))=Milestones!$AB$173),UPPER(TEXT(EDATE($D25,Milestones!$AA$173),"dd mmm yy"))&amp;" "&amp;Milestones!$AB$173&amp;" "&amp;IF(AND(Milestones!$AB$173="FT",Milestones!$AA$173=FT_Y5,EDATE($D25,Milestones!$AA$173)&lt;PolicyEff),1,Milestones!$AC$173)&amp;";  ","")&amp;IF(AND(EDATE($D25,Milestones!$AA$174)&lt;=AsOfDate,EDATE($D25,Milestones!$AA$174)&gt;=SchemeStart,IF($X25=0,$AD25,IF(AND($Z25&lt;&gt;"",EDATE($D25,Milestones!$AA$174)&gt;=$Z25),$AC25,IF(AND($Y25&lt;&gt;"",EDATE($D25,Milestones!$AA$174)&gt;=$Y25),$AB25,$AA25)))=Milestones!$AB$174),UPPER(TEXT(EDATE($D25,Milestones!$AA$174),"dd mmm yy"))&amp;" "&amp;Milestones!$AB$174&amp;" "&amp;IF(AND(Milestones!$AB$174="FT",Milestones!$AA$174=FT_Y5,EDATE($D25,Milestones!$AA$174)&lt;PolicyEff),1,Milestones!$AC$174)&amp;";  ","")&amp;IF(AND(EDATE($D25,Milestones!$AA$175)&lt;=AsOfDate,EDATE($D25,Milestones!$AA$175)&gt;=SchemeStart,IF($X25=0,$AD25,IF(AND($Z25&lt;&gt;"",EDATE($D25,Milestones!$AA$175)&gt;=$Z25),$AC25,IF(AND($Y25&lt;&gt;"",EDATE($D25,Milestones!$AA$175)&gt;=$Y25),$AB25,$AA25)))=Milestones!$AB$175),UPPER(TEXT(EDATE($D25,Milestones!$AA$175),"dd mmm yy"))&amp;" "&amp;Milestones!$AB$175&amp;" "&amp;IF(AND(Milestones!$AB$175="FT",Milestones!$AA$175=FT_Y5,EDATE($D25,Milestones!$AA$175)&lt;PolicyEff),1,Milestones!$AC$175)&amp;";  ",""))</f>
        <v/>
      </c>
      <c r="V25" s="0" t="str">
        <f aca="false">IF(OR($A25="",$D25=""),"",IF(AND(EDATE($D25,Milestones!$AA$176)&lt;=AsOfDate,EDATE($D25,Milestones!$AA$176)&gt;=SchemeStart,IF($X25=0,$AD25,IF(AND($Z25&lt;&gt;"",EDATE($D25,Milestones!$AA$176)&gt;=$Z25),$AC25,IF(AND($Y25&lt;&gt;"",EDATE($D25,Milestones!$AA$176)&gt;=$Y25),$AB25,$AA25)))=Milestones!$AB$176),UPPER(TEXT(EDATE($D25,Milestones!$AA$176),"dd mmm yy"))&amp;" "&amp;Milestones!$AB$176&amp;" "&amp;IF(AND(Milestones!$AB$176="FT",Milestones!$AA$176=FT_Y5,EDATE($D25,Milestones!$AA$176)&lt;PolicyEff),1,Milestones!$AC$176)&amp;";  ","")&amp;IF(AND(EDATE($D25,Milestones!$AA$177)&lt;=AsOfDate,EDATE($D25,Milestones!$AA$177)&gt;=SchemeStart,IF($X25=0,$AD25,IF(AND($Z25&lt;&gt;"",EDATE($D25,Milestones!$AA$177)&gt;=$Z25),$AC25,IF(AND($Y25&lt;&gt;"",EDATE($D25,Milestones!$AA$177)&gt;=$Y25),$AB25,$AA25)))=Milestones!$AB$177),UPPER(TEXT(EDATE($D25,Milestones!$AA$177),"dd mmm yy"))&amp;" "&amp;Milestones!$AB$177&amp;" "&amp;IF(AND(Milestones!$AB$177="FT",Milestones!$AA$177=FT_Y5,EDATE($D25,Milestones!$AA$177)&lt;PolicyEff),1,Milestones!$AC$177)&amp;";  ","")&amp;IF(AND(EDATE($D25,Milestones!$AA$178)&lt;=AsOfDate,EDATE($D25,Milestones!$AA$178)&gt;=SchemeStart,IF($X25=0,$AD25,IF(AND($Z25&lt;&gt;"",EDATE($D25,Milestones!$AA$178)&gt;=$Z25),$AC25,IF(AND($Y25&lt;&gt;"",EDATE($D25,Milestones!$AA$178)&gt;=$Y25),$AB25,$AA25)))=Milestones!$AB$178),UPPER(TEXT(EDATE($D25,Milestones!$AA$178),"dd mmm yy"))&amp;" "&amp;Milestones!$AB$178&amp;" "&amp;IF(AND(Milestones!$AB$178="FT",Milestones!$AA$178=FT_Y5,EDATE($D25,Milestones!$AA$178)&lt;PolicyEff),1,Milestones!$AC$178)&amp;";  ","")&amp;IF(AND(EDATE($D25,Milestones!$AA$179)&lt;=AsOfDate,EDATE($D25,Milestones!$AA$179)&gt;=SchemeStart,IF($X25=0,$AD25,IF(AND($Z25&lt;&gt;"",EDATE($D25,Milestones!$AA$179)&gt;=$Z25),$AC25,IF(AND($Y25&lt;&gt;"",EDATE($D25,Milestones!$AA$179)&gt;=$Y25),$AB25,$AA25)))=Milestones!$AB$179),UPPER(TEXT(EDATE($D25,Milestones!$AA$179),"dd mmm yy"))&amp;" "&amp;Milestones!$AB$179&amp;" "&amp;IF(AND(Milestones!$AB$179="FT",Milestones!$AA$179=FT_Y5,EDATE($D25,Milestones!$AA$179)&lt;PolicyEff),1,Milestones!$AC$179)&amp;";  ","")&amp;IF(AND(EDATE($D25,Milestones!$AA$180)&lt;=AsOfDate,EDATE($D25,Milestones!$AA$180)&gt;=SchemeStart,IF($X25=0,$AD25,IF(AND($Z25&lt;&gt;"",EDATE($D25,Milestones!$AA$180)&gt;=$Z25),$AC25,IF(AND($Y25&lt;&gt;"",EDATE($D25,Milestones!$AA$180)&gt;=$Y25),$AB25,$AA25)))=Milestones!$AB$180),UPPER(TEXT(EDATE($D25,Milestones!$AA$180),"dd mmm yy"))&amp;" "&amp;Milestones!$AB$180&amp;" "&amp;IF(AND(Milestones!$AB$180="FT",Milestones!$AA$180=FT_Y5,EDATE($D25,Milestones!$AA$180)&lt;PolicyEff),1,Milestones!$AC$180)&amp;";  ","")&amp;IF(AND(EDATE($D25,Milestones!$AA$181)&lt;=AsOfDate,EDATE($D25,Milestones!$AA$181)&gt;=SchemeStart,IF($X25=0,$AD25,IF(AND($Z25&lt;&gt;"",EDATE($D25,Milestones!$AA$181)&gt;=$Z25),$AC25,IF(AND($Y25&lt;&gt;"",EDATE($D25,Milestones!$AA$181)&gt;=$Y25),$AB25,$AA25)))=Milestones!$AB$181),UPPER(TEXT(EDATE($D25,Milestones!$AA$181),"dd mmm yy"))&amp;" "&amp;Milestones!$AB$181&amp;" "&amp;IF(AND(Milestones!$AB$181="FT",Milestones!$AA$181=FT_Y5,EDATE($D25,Milestones!$AA$181)&lt;PolicyEff),1,Milestones!$AC$181)&amp;";  ","")&amp;IF(AND(EDATE($D25,Milestones!$AA$182)&lt;=AsOfDate,EDATE($D25,Milestones!$AA$182)&gt;=SchemeStart,IF($X25=0,$AD25,IF(AND($Z25&lt;&gt;"",EDATE($D25,Milestones!$AA$182)&gt;=$Z25),$AC25,IF(AND($Y25&lt;&gt;"",EDATE($D25,Milestones!$AA$182)&gt;=$Y25),$AB25,$AA25)))=Milestones!$AB$182),UPPER(TEXT(EDATE($D25,Milestones!$AA$182),"dd mmm yy"))&amp;" "&amp;Milestones!$AB$182&amp;" "&amp;IF(AND(Milestones!$AB$182="FT",Milestones!$AA$182=FT_Y5,EDATE($D25,Milestones!$AA$182)&lt;PolicyEff),1,Milestones!$AC$182)&amp;";  ","")&amp;IF(AND(EDATE($D25,Milestones!$AA$183)&lt;=AsOfDate,EDATE($D25,Milestones!$AA$183)&gt;=SchemeStart,IF($X25=0,$AD25,IF(AND($Z25&lt;&gt;"",EDATE($D25,Milestones!$AA$183)&gt;=$Z25),$AC25,IF(AND($Y25&lt;&gt;"",EDATE($D25,Milestones!$AA$183)&gt;=$Y25),$AB25,$AA25)))=Milestones!$AB$183),UPPER(TEXT(EDATE($D25,Milestones!$AA$183),"dd mmm yy"))&amp;" "&amp;Milestones!$AB$183&amp;" "&amp;IF(AND(Milestones!$AB$183="FT",Milestones!$AA$183=FT_Y5,EDATE($D25,Milestones!$AA$183)&lt;PolicyEff),1,Milestones!$AC$183)&amp;";  ","")&amp;IF(AND(EDATE($D25,Milestones!$AA$184)&lt;=AsOfDate,EDATE($D25,Milestones!$AA$184)&gt;=SchemeStart,IF($X25=0,$AD25,IF(AND($Z25&lt;&gt;"",EDATE($D25,Milestones!$AA$184)&gt;=$Z25),$AC25,IF(AND($Y25&lt;&gt;"",EDATE($D25,Milestones!$AA$184)&gt;=$Y25),$AB25,$AA25)))=Milestones!$AB$184),UPPER(TEXT(EDATE($D25,Milestones!$AA$184),"dd mmm yy"))&amp;" "&amp;Milestones!$AB$184&amp;" "&amp;IF(AND(Milestones!$AB$184="FT",Milestones!$AA$184=FT_Y5,EDATE($D25,Milestones!$AA$184)&lt;PolicyEff),1,Milestones!$AC$184)&amp;";  ","")&amp;IF(AND(EDATE($D25,Milestones!$AA$185)&lt;=AsOfDate,EDATE($D25,Milestones!$AA$185)&gt;=SchemeStart,IF($X25=0,$AD25,IF(AND($Z25&lt;&gt;"",EDATE($D25,Milestones!$AA$185)&gt;=$Z25),$AC25,IF(AND($Y25&lt;&gt;"",EDATE($D25,Milestones!$AA$185)&gt;=$Y25),$AB25,$AA25)))=Milestones!$AB$185),UPPER(TEXT(EDATE($D25,Milestones!$AA$185),"dd mmm yy"))&amp;" "&amp;Milestones!$AB$185&amp;" "&amp;IF(AND(Milestones!$AB$185="FT",Milestones!$AA$185=FT_Y5,EDATE($D25,Milestones!$AA$185)&lt;PolicyEff),1,Milestones!$AC$185)&amp;";  ","")&amp;IF(AND(EDATE($D25,Milestones!$AA$186)&lt;=AsOfDate,EDATE($D25,Milestones!$AA$186)&gt;=SchemeStart,IF($X25=0,$AD25,IF(AND($Z25&lt;&gt;"",EDATE($D25,Milestones!$AA$186)&gt;=$Z25),$AC25,IF(AND($Y25&lt;&gt;"",EDATE($D25,Milestones!$AA$186)&gt;=$Y25),$AB25,$AA25)))=Milestones!$AB$186),UPPER(TEXT(EDATE($D25,Milestones!$AA$186),"dd mmm yy"))&amp;" "&amp;Milestones!$AB$186&amp;" "&amp;IF(AND(Milestones!$AB$186="FT",Milestones!$AA$186=FT_Y5,EDATE($D25,Milestones!$AA$186)&lt;PolicyEff),1,Milestones!$AC$186)&amp;";  ","")&amp;IF(AND(EDATE($D25,Milestones!$AA$187)&lt;=AsOfDate,EDATE($D25,Milestones!$AA$187)&gt;=SchemeStart,IF($X25=0,$AD25,IF(AND($Z25&lt;&gt;"",EDATE($D25,Milestones!$AA$187)&gt;=$Z25),$AC25,IF(AND($Y25&lt;&gt;"",EDATE($D25,Milestones!$AA$187)&gt;=$Y25),$AB25,$AA25)))=Milestones!$AB$187),UPPER(TEXT(EDATE($D25,Milestones!$AA$187),"dd mmm yy"))&amp;" "&amp;Milestones!$AB$187&amp;" "&amp;IF(AND(Milestones!$AB$187="FT",Milestones!$AA$187=FT_Y5,EDATE($D25,Milestones!$AA$187)&lt;PolicyEff),1,Milestones!$AC$187)&amp;";  ",""))</f>
        <v/>
      </c>
      <c r="W25" s="0" t="str">
        <f aca="false">IF(OR($A25="",$D25=""),"",IF(AND(EDATE($D25,Milestones!$AA$188)&lt;=AsOfDate,EDATE($D25,Milestones!$AA$188)&gt;=SchemeStart,IF($X25=0,$AD25,IF(AND($Z25&lt;&gt;"",EDATE($D25,Milestones!$AA$188)&gt;=$Z25),$AC25,IF(AND($Y25&lt;&gt;"",EDATE($D25,Milestones!$AA$188)&gt;=$Y25),$AB25,$AA25)))=Milestones!$AB$188),UPPER(TEXT(EDATE($D25,Milestones!$AA$188),"dd mmm yy"))&amp;" "&amp;Milestones!$AB$188&amp;" "&amp;IF(AND(Milestones!$AB$188="FT",Milestones!$AA$188=FT_Y5,EDATE($D25,Milestones!$AA$188)&lt;PolicyEff),1,Milestones!$AC$188)&amp;";  ","")&amp;IF(AND(EDATE($D25,Milestones!$AA$189)&lt;=AsOfDate,EDATE($D25,Milestones!$AA$189)&gt;=SchemeStart,IF($X25=0,$AD25,IF(AND($Z25&lt;&gt;"",EDATE($D25,Milestones!$AA$189)&gt;=$Z25),$AC25,IF(AND($Y25&lt;&gt;"",EDATE($D25,Milestones!$AA$189)&gt;=$Y25),$AB25,$AA25)))=Milestones!$AB$189),UPPER(TEXT(EDATE($D25,Milestones!$AA$189),"dd mmm yy"))&amp;" "&amp;Milestones!$AB$189&amp;" "&amp;IF(AND(Milestones!$AB$189="FT",Milestones!$AA$189=FT_Y5,EDATE($D25,Milestones!$AA$189)&lt;PolicyEff),1,Milestones!$AC$189)&amp;";  ","")&amp;IF(AND(EDATE($D25,Milestones!$AA$190)&lt;=AsOfDate,EDATE($D25,Milestones!$AA$190)&gt;=SchemeStart,IF($X25=0,$AD25,IF(AND($Z25&lt;&gt;"",EDATE($D25,Milestones!$AA$190)&gt;=$Z25),$AC25,IF(AND($Y25&lt;&gt;"",EDATE($D25,Milestones!$AA$190)&gt;=$Y25),$AB25,$AA25)))=Milestones!$AB$190),UPPER(TEXT(EDATE($D25,Milestones!$AA$190),"dd mmm yy"))&amp;" "&amp;Milestones!$AB$190&amp;" "&amp;IF(AND(Milestones!$AB$190="FT",Milestones!$AA$190=FT_Y5,EDATE($D25,Milestones!$AA$190)&lt;PolicyEff),1,Milestones!$AC$190)&amp;";  ","")&amp;IF(AND(EDATE($D25,Milestones!$AA$191)&lt;=AsOfDate,EDATE($D25,Milestones!$AA$191)&gt;=SchemeStart,IF($X25=0,$AD25,IF(AND($Z25&lt;&gt;"",EDATE($D25,Milestones!$AA$191)&gt;=$Z25),$AC25,IF(AND($Y25&lt;&gt;"",EDATE($D25,Milestones!$AA$191)&gt;=$Y25),$AB25,$AA25)))=Milestones!$AB$191),UPPER(TEXT(EDATE($D25,Milestones!$AA$191),"dd mmm yy"))&amp;" "&amp;Milestones!$AB$191&amp;" "&amp;IF(AND(Milestones!$AB$191="FT",Milestones!$AA$191=FT_Y5,EDATE($D25,Milestones!$AA$191)&lt;PolicyEff),1,Milestones!$AC$191)&amp;";  ","")&amp;IF(AND(EDATE($D25,Milestones!$AA$192)&lt;=AsOfDate,EDATE($D25,Milestones!$AA$192)&gt;=SchemeStart,IF($X25=0,$AD25,IF(AND($Z25&lt;&gt;"",EDATE($D25,Milestones!$AA$192)&gt;=$Z25),$AC25,IF(AND($Y25&lt;&gt;"",EDATE($D25,Milestones!$AA$192)&gt;=$Y25),$AB25,$AA25)))=Milestones!$AB$192),UPPER(TEXT(EDATE($D25,Milestones!$AA$192),"dd mmm yy"))&amp;" "&amp;Milestones!$AB$192&amp;" "&amp;IF(AND(Milestones!$AB$192="FT",Milestones!$AA$192=FT_Y5,EDATE($D25,Milestones!$AA$192)&lt;PolicyEff),1,Milestones!$AC$192)&amp;";  ","")&amp;IF(AND(EDATE($D25,Milestones!$AA$193)&lt;=AsOfDate,EDATE($D25,Milestones!$AA$193)&gt;=SchemeStart,IF($X25=0,$AD25,IF(AND($Z25&lt;&gt;"",EDATE($D25,Milestones!$AA$193)&gt;=$Z25),$AC25,IF(AND($Y25&lt;&gt;"",EDATE($D25,Milestones!$AA$193)&gt;=$Y25),$AB25,$AA25)))=Milestones!$AB$193),UPPER(TEXT(EDATE($D25,Milestones!$AA$193),"dd mmm yy"))&amp;" "&amp;Milestones!$AB$193&amp;" "&amp;IF(AND(Milestones!$AB$193="FT",Milestones!$AA$193=FT_Y5,EDATE($D25,Milestones!$AA$193)&lt;PolicyEff),1,Milestones!$AC$193)&amp;";  ","")&amp;IF(AND(EDATE($D25,Milestones!$AA$194)&lt;=AsOfDate,EDATE($D25,Milestones!$AA$194)&gt;=SchemeStart,IF($X25=0,$AD25,IF(AND($Z25&lt;&gt;"",EDATE($D25,Milestones!$AA$194)&gt;=$Z25),$AC25,IF(AND($Y25&lt;&gt;"",EDATE($D25,Milestones!$AA$194)&gt;=$Y25),$AB25,$AA25)))=Milestones!$AB$194),UPPER(TEXT(EDATE($D25,Milestones!$AA$194),"dd mmm yy"))&amp;" "&amp;Milestones!$AB$194&amp;" "&amp;IF(AND(Milestones!$AB$194="FT",Milestones!$AA$194=FT_Y5,EDATE($D25,Milestones!$AA$194)&lt;PolicyEff),1,Milestones!$AC$194)&amp;";  ","")&amp;IF(AND(EDATE($D25,Milestones!$AA$195)&lt;=AsOfDate,EDATE($D25,Milestones!$AA$195)&gt;=SchemeStart,IF($X25=0,$AD25,IF(AND($Z25&lt;&gt;"",EDATE($D25,Milestones!$AA$195)&gt;=$Z25),$AC25,IF(AND($Y25&lt;&gt;"",EDATE($D25,Milestones!$AA$195)&gt;=$Y25),$AB25,$AA25)))=Milestones!$AB$195),UPPER(TEXT(EDATE($D25,Milestones!$AA$195),"dd mmm yy"))&amp;" "&amp;Milestones!$AB$195&amp;" "&amp;IF(AND(Milestones!$AB$195="FT",Milestones!$AA$195=FT_Y5,EDATE($D25,Milestones!$AA$195)&lt;PolicyEff),1,Milestones!$AC$195)&amp;";  ","")&amp;IF(AND(EDATE($D25,Milestones!$AA$196)&lt;=AsOfDate,EDATE($D25,Milestones!$AA$196)&gt;=SchemeStart,IF($X25=0,$AD25,IF(AND($Z25&lt;&gt;"",EDATE($D25,Milestones!$AA$196)&gt;=$Z25),$AC25,IF(AND($Y25&lt;&gt;"",EDATE($D25,Milestones!$AA$196)&gt;=$Y25),$AB25,$AA25)))=Milestones!$AB$196),UPPER(TEXT(EDATE($D25,Milestones!$AA$196),"dd mmm yy"))&amp;" "&amp;Milestones!$AB$196&amp;" "&amp;IF(AND(Milestones!$AB$196="FT",Milestones!$AA$196=FT_Y5,EDATE($D25,Milestones!$AA$196)&lt;PolicyEff),1,Milestones!$AC$196)&amp;";  ","")&amp;IF(AND(EDATE($D25,Milestones!$AA$197)&lt;=AsOfDate,EDATE($D25,Milestones!$AA$197)&gt;=SchemeStart,IF($X25=0,$AD25,IF(AND($Z25&lt;&gt;"",EDATE($D25,Milestones!$AA$197)&gt;=$Z25),$AC25,IF(AND($Y25&lt;&gt;"",EDATE($D25,Milestones!$AA$197)&gt;=$Y25),$AB25,$AA25)))=Milestones!$AB$197),UPPER(TEXT(EDATE($D25,Milestones!$AA$197),"dd mmm yy"))&amp;" "&amp;Milestones!$AB$197&amp;" "&amp;IF(AND(Milestones!$AB$197="FT",Milestones!$AA$197=FT_Y5,EDATE($D25,Milestones!$AA$197)&lt;PolicyEff),1,Milestones!$AC$197)&amp;";  ","")&amp;IF(AND(EDATE($D25,Milestones!$AA$198)&lt;=AsOfDate,EDATE($D25,Milestones!$AA$198)&gt;=SchemeStart,IF($X25=0,$AD25,IF(AND($Z25&lt;&gt;"",EDATE($D25,Milestones!$AA$198)&gt;=$Z25),$AC25,IF(AND($Y25&lt;&gt;"",EDATE($D25,Milestones!$AA$198)&gt;=$Y25),$AB25,$AA25)))=Milestones!$AB$198),UPPER(TEXT(EDATE($D25,Milestones!$AA$198),"dd mmm yy"))&amp;" "&amp;Milestones!$AB$198&amp;" "&amp;IF(AND(Milestones!$AB$198="FT",Milestones!$AA$198=FT_Y5,EDATE($D25,Milestones!$AA$198)&lt;PolicyEff),1,Milestones!$AC$198)&amp;";  ","")&amp;IF(AND(EDATE($D25,Milestones!$AA$199)&lt;=AsOfDate,EDATE($D25,Milestones!$AA$199)&gt;=SchemeStart,IF($X25=0,$AD25,IF(AND($Z25&lt;&gt;"",EDATE($D25,Milestones!$AA$199)&gt;=$Z25),$AC25,IF(AND($Y25&lt;&gt;"",EDATE($D25,Milestones!$AA$199)&gt;=$Y25),$AB25,$AA25)))=Milestones!$AB$199),UPPER(TEXT(EDATE($D25,Milestones!$AA$199),"dd mmm yy"))&amp;" "&amp;Milestones!$AB$199&amp;" "&amp;IF(AND(Milestones!$AB$199="FT",Milestones!$AA$199=FT_Y5,EDATE($D25,Milestones!$AA$199)&lt;PolicyEff),1,Milestones!$AC$199)&amp;";  ",""))</f>
        <v/>
      </c>
      <c r="X25" s="0" t="str">
        <f aca="false">IF(Staff!$A25="","",Staff!$AM25)</f>
        <v/>
      </c>
      <c r="Y25" s="0" t="str">
        <f aca="false">IF(Staff!$A25="","",Staff!$AO25)</f>
        <v/>
      </c>
      <c r="Z25" s="0" t="str">
        <f aca="false">IF(Staff!$A25="","",Staff!$AP25)</f>
        <v/>
      </c>
      <c r="AA25" s="0" t="str">
        <f aca="false">IF(Staff!$A25="","",Staff!$AT25)</f>
        <v/>
      </c>
      <c r="AB25" s="0" t="str">
        <f aca="false">IF(Staff!$A25="","",Staff!$AU25)</f>
        <v/>
      </c>
      <c r="AC25" s="0" t="str">
        <f aca="false">IF(Staff!$A25="","",Staff!$AV25)</f>
        <v/>
      </c>
      <c r="AD25" s="0" t="str">
        <f aca="false">IF(Staff!$A25="","",Staff!$AW25)</f>
        <v/>
      </c>
    </row>
    <row r="26" customFormat="false" ht="15" hidden="false" customHeight="false" outlineLevel="0" collapsed="false">
      <c r="A26" s="16" t="str">
        <f aca="false">IF(Staff!$A26="","",Staff!$A26)</f>
        <v/>
      </c>
      <c r="B26" s="16" t="str">
        <f aca="false">IF(Staff!$A26="","",Staff!$B26)</f>
        <v/>
      </c>
      <c r="C26" s="16" t="str">
        <f aca="false">IF(Staff!$A26="","",Staff!$C26)</f>
        <v/>
      </c>
      <c r="D26" s="14" t="str">
        <f aca="false">IF(Staff!$A26="","",Staff!$AL26)</f>
        <v/>
      </c>
      <c r="E26" s="16" t="str">
        <f aca="false">IF(Staff!$A26="","",Staff!$O26)</f>
        <v/>
      </c>
      <c r="F26" s="16" t="str">
        <f aca="false">IF(E26="","",E26*HoursPerDay)</f>
        <v/>
      </c>
      <c r="G26" s="16" t="str">
        <f aca="false">IF(Staff!$A26="","",Staff!$AE26)</f>
        <v/>
      </c>
      <c r="H26" s="28" t="str">
        <f aca="false">IF($A26="","",I26&amp;J26&amp;K26&amp;L26&amp;M26&amp;N26&amp;O26&amp;P26&amp;Q26&amp;R26&amp;S26&amp;T26&amp;U26&amp;V26&amp;W26)</f>
        <v/>
      </c>
      <c r="I26" s="0" t="str">
        <f aca="false">IF(OR($A26="",$D26=""),"",IF(AND(EDATE($D26,Milestones!$AA$20)&lt;=AsOfDate,EDATE($D26,Milestones!$AA$20)&gt;=SchemeStart,IF($X26=0,$AD26,IF(AND($Z26&lt;&gt;"",EDATE($D26,Milestones!$AA$20)&gt;=$Z26),$AC26,IF(AND($Y26&lt;&gt;"",EDATE($D26,Milestones!$AA$20)&gt;=$Y26),$AB26,$AA26)))=Milestones!$AB$20),UPPER(TEXT(EDATE($D26,Milestones!$AA$20),"dd mmm yy"))&amp;" "&amp;Milestones!$AB$20&amp;" "&amp;IF(AND(Milestones!$AB$20="FT",Milestones!$AA$20=FT_Y5,EDATE($D26,Milestones!$AA$20)&lt;PolicyEff),1,Milestones!$AC$20)&amp;";  ","")&amp;IF(AND(EDATE($D26,Milestones!$AA$21)&lt;=AsOfDate,EDATE($D26,Milestones!$AA$21)&gt;=SchemeStart,IF($X26=0,$AD26,IF(AND($Z26&lt;&gt;"",EDATE($D26,Milestones!$AA$21)&gt;=$Z26),$AC26,IF(AND($Y26&lt;&gt;"",EDATE($D26,Milestones!$AA$21)&gt;=$Y26),$AB26,$AA26)))=Milestones!$AB$21),UPPER(TEXT(EDATE($D26,Milestones!$AA$21),"dd mmm yy"))&amp;" "&amp;Milestones!$AB$21&amp;" "&amp;IF(AND(Milestones!$AB$21="FT",Milestones!$AA$21=FT_Y5,EDATE($D26,Milestones!$AA$21)&lt;PolicyEff),1,Milestones!$AC$21)&amp;";  ","")&amp;IF(AND(EDATE($D26,Milestones!$AA$22)&lt;=AsOfDate,EDATE($D26,Milestones!$AA$22)&gt;=SchemeStart,IF($X26=0,$AD26,IF(AND($Z26&lt;&gt;"",EDATE($D26,Milestones!$AA$22)&gt;=$Z26),$AC26,IF(AND($Y26&lt;&gt;"",EDATE($D26,Milestones!$AA$22)&gt;=$Y26),$AB26,$AA26)))=Milestones!$AB$22),UPPER(TEXT(EDATE($D26,Milestones!$AA$22),"dd mmm yy"))&amp;" "&amp;Milestones!$AB$22&amp;" "&amp;IF(AND(Milestones!$AB$22="FT",Milestones!$AA$22=FT_Y5,EDATE($D26,Milestones!$AA$22)&lt;PolicyEff),1,Milestones!$AC$22)&amp;";  ","")&amp;IF(AND(EDATE($D26,Milestones!$AA$23)&lt;=AsOfDate,EDATE($D26,Milestones!$AA$23)&gt;=SchemeStart,IF($X26=0,$AD26,IF(AND($Z26&lt;&gt;"",EDATE($D26,Milestones!$AA$23)&gt;=$Z26),$AC26,IF(AND($Y26&lt;&gt;"",EDATE($D26,Milestones!$AA$23)&gt;=$Y26),$AB26,$AA26)))=Milestones!$AB$23),UPPER(TEXT(EDATE($D26,Milestones!$AA$23),"dd mmm yy"))&amp;" "&amp;Milestones!$AB$23&amp;" "&amp;IF(AND(Milestones!$AB$23="FT",Milestones!$AA$23=FT_Y5,EDATE($D26,Milestones!$AA$23)&lt;PolicyEff),1,Milestones!$AC$23)&amp;";  ","")&amp;IF(AND(EDATE($D26,Milestones!$AA$24)&lt;=AsOfDate,EDATE($D26,Milestones!$AA$24)&gt;=SchemeStart,IF($X26=0,$AD26,IF(AND($Z26&lt;&gt;"",EDATE($D26,Milestones!$AA$24)&gt;=$Z26),$AC26,IF(AND($Y26&lt;&gt;"",EDATE($D26,Milestones!$AA$24)&gt;=$Y26),$AB26,$AA26)))=Milestones!$AB$24),UPPER(TEXT(EDATE($D26,Milestones!$AA$24),"dd mmm yy"))&amp;" "&amp;Milestones!$AB$24&amp;" "&amp;IF(AND(Milestones!$AB$24="FT",Milestones!$AA$24=FT_Y5,EDATE($D26,Milestones!$AA$24)&lt;PolicyEff),1,Milestones!$AC$24)&amp;";  ","")&amp;IF(AND(EDATE($D26,Milestones!$AA$25)&lt;=AsOfDate,EDATE($D26,Milestones!$AA$25)&gt;=SchemeStart,IF($X26=0,$AD26,IF(AND($Z26&lt;&gt;"",EDATE($D26,Milestones!$AA$25)&gt;=$Z26),$AC26,IF(AND($Y26&lt;&gt;"",EDATE($D26,Milestones!$AA$25)&gt;=$Y26),$AB26,$AA26)))=Milestones!$AB$25),UPPER(TEXT(EDATE($D26,Milestones!$AA$25),"dd mmm yy"))&amp;" "&amp;Milestones!$AB$25&amp;" "&amp;IF(AND(Milestones!$AB$25="FT",Milestones!$AA$25=FT_Y5,EDATE($D26,Milestones!$AA$25)&lt;PolicyEff),1,Milestones!$AC$25)&amp;";  ","")&amp;IF(AND(EDATE($D26,Milestones!$AA$26)&lt;=AsOfDate,EDATE($D26,Milestones!$AA$26)&gt;=SchemeStart,IF($X26=0,$AD26,IF(AND($Z26&lt;&gt;"",EDATE($D26,Milestones!$AA$26)&gt;=$Z26),$AC26,IF(AND($Y26&lt;&gt;"",EDATE($D26,Milestones!$AA$26)&gt;=$Y26),$AB26,$AA26)))=Milestones!$AB$26),UPPER(TEXT(EDATE($D26,Milestones!$AA$26),"dd mmm yy"))&amp;" "&amp;Milestones!$AB$26&amp;" "&amp;IF(AND(Milestones!$AB$26="FT",Milestones!$AA$26=FT_Y5,EDATE($D26,Milestones!$AA$26)&lt;PolicyEff),1,Milestones!$AC$26)&amp;";  ","")&amp;IF(AND(EDATE($D26,Milestones!$AA$27)&lt;=AsOfDate,EDATE($D26,Milestones!$AA$27)&gt;=SchemeStart,IF($X26=0,$AD26,IF(AND($Z26&lt;&gt;"",EDATE($D26,Milestones!$AA$27)&gt;=$Z26),$AC26,IF(AND($Y26&lt;&gt;"",EDATE($D26,Milestones!$AA$27)&gt;=$Y26),$AB26,$AA26)))=Milestones!$AB$27),UPPER(TEXT(EDATE($D26,Milestones!$AA$27),"dd mmm yy"))&amp;" "&amp;Milestones!$AB$27&amp;" "&amp;IF(AND(Milestones!$AB$27="FT",Milestones!$AA$27=FT_Y5,EDATE($D26,Milestones!$AA$27)&lt;PolicyEff),1,Milestones!$AC$27)&amp;";  ","")&amp;IF(AND(EDATE($D26,Milestones!$AA$28)&lt;=AsOfDate,EDATE($D26,Milestones!$AA$28)&gt;=SchemeStart,IF($X26=0,$AD26,IF(AND($Z26&lt;&gt;"",EDATE($D26,Milestones!$AA$28)&gt;=$Z26),$AC26,IF(AND($Y26&lt;&gt;"",EDATE($D26,Milestones!$AA$28)&gt;=$Y26),$AB26,$AA26)))=Milestones!$AB$28),UPPER(TEXT(EDATE($D26,Milestones!$AA$28),"dd mmm yy"))&amp;" "&amp;Milestones!$AB$28&amp;" "&amp;IF(AND(Milestones!$AB$28="FT",Milestones!$AA$28=FT_Y5,EDATE($D26,Milestones!$AA$28)&lt;PolicyEff),1,Milestones!$AC$28)&amp;";  ","")&amp;IF(AND(EDATE($D26,Milestones!$AA$29)&lt;=AsOfDate,EDATE($D26,Milestones!$AA$29)&gt;=SchemeStart,IF($X26=0,$AD26,IF(AND($Z26&lt;&gt;"",EDATE($D26,Milestones!$AA$29)&gt;=$Z26),$AC26,IF(AND($Y26&lt;&gt;"",EDATE($D26,Milestones!$AA$29)&gt;=$Y26),$AB26,$AA26)))=Milestones!$AB$29),UPPER(TEXT(EDATE($D26,Milestones!$AA$29),"dd mmm yy"))&amp;" "&amp;Milestones!$AB$29&amp;" "&amp;IF(AND(Milestones!$AB$29="FT",Milestones!$AA$29=FT_Y5,EDATE($D26,Milestones!$AA$29)&lt;PolicyEff),1,Milestones!$AC$29)&amp;";  ","")&amp;IF(AND(EDATE($D26,Milestones!$AA$30)&lt;=AsOfDate,EDATE($D26,Milestones!$AA$30)&gt;=SchemeStart,IF($X26=0,$AD26,IF(AND($Z26&lt;&gt;"",EDATE($D26,Milestones!$AA$30)&gt;=$Z26),$AC26,IF(AND($Y26&lt;&gt;"",EDATE($D26,Milestones!$AA$30)&gt;=$Y26),$AB26,$AA26)))=Milestones!$AB$30),UPPER(TEXT(EDATE($D26,Milestones!$AA$30),"dd mmm yy"))&amp;" "&amp;Milestones!$AB$30&amp;" "&amp;IF(AND(Milestones!$AB$30="FT",Milestones!$AA$30=FT_Y5,EDATE($D26,Milestones!$AA$30)&lt;PolicyEff),1,Milestones!$AC$30)&amp;";  ","")&amp;IF(AND(EDATE($D26,Milestones!$AA$31)&lt;=AsOfDate,EDATE($D26,Milestones!$AA$31)&gt;=SchemeStart,IF($X26=0,$AD26,IF(AND($Z26&lt;&gt;"",EDATE($D26,Milestones!$AA$31)&gt;=$Z26),$AC26,IF(AND($Y26&lt;&gt;"",EDATE($D26,Milestones!$AA$31)&gt;=$Y26),$AB26,$AA26)))=Milestones!$AB$31),UPPER(TEXT(EDATE($D26,Milestones!$AA$31),"dd mmm yy"))&amp;" "&amp;Milestones!$AB$31&amp;" "&amp;IF(AND(Milestones!$AB$31="FT",Milestones!$AA$31=FT_Y5,EDATE($D26,Milestones!$AA$31)&lt;PolicyEff),1,Milestones!$AC$31)&amp;";  ",""))</f>
        <v/>
      </c>
      <c r="J26" s="0" t="str">
        <f aca="false">IF(OR($A26="",$D26=""),"",IF(AND(EDATE($D26,Milestones!$AA$32)&lt;=AsOfDate,EDATE($D26,Milestones!$AA$32)&gt;=SchemeStart,IF($X26=0,$AD26,IF(AND($Z26&lt;&gt;"",EDATE($D26,Milestones!$AA$32)&gt;=$Z26),$AC26,IF(AND($Y26&lt;&gt;"",EDATE($D26,Milestones!$AA$32)&gt;=$Y26),$AB26,$AA26)))=Milestones!$AB$32),UPPER(TEXT(EDATE($D26,Milestones!$AA$32),"dd mmm yy"))&amp;" "&amp;Milestones!$AB$32&amp;" "&amp;IF(AND(Milestones!$AB$32="FT",Milestones!$AA$32=FT_Y5,EDATE($D26,Milestones!$AA$32)&lt;PolicyEff),1,Milestones!$AC$32)&amp;";  ","")&amp;IF(AND(EDATE($D26,Milestones!$AA$33)&lt;=AsOfDate,EDATE($D26,Milestones!$AA$33)&gt;=SchemeStart,IF($X26=0,$AD26,IF(AND($Z26&lt;&gt;"",EDATE($D26,Milestones!$AA$33)&gt;=$Z26),$AC26,IF(AND($Y26&lt;&gt;"",EDATE($D26,Milestones!$AA$33)&gt;=$Y26),$AB26,$AA26)))=Milestones!$AB$33),UPPER(TEXT(EDATE($D26,Milestones!$AA$33),"dd mmm yy"))&amp;" "&amp;Milestones!$AB$33&amp;" "&amp;IF(AND(Milestones!$AB$33="FT",Milestones!$AA$33=FT_Y5,EDATE($D26,Milestones!$AA$33)&lt;PolicyEff),1,Milestones!$AC$33)&amp;";  ","")&amp;IF(AND(EDATE($D26,Milestones!$AA$34)&lt;=AsOfDate,EDATE($D26,Milestones!$AA$34)&gt;=SchemeStart,IF($X26=0,$AD26,IF(AND($Z26&lt;&gt;"",EDATE($D26,Milestones!$AA$34)&gt;=$Z26),$AC26,IF(AND($Y26&lt;&gt;"",EDATE($D26,Milestones!$AA$34)&gt;=$Y26),$AB26,$AA26)))=Milestones!$AB$34),UPPER(TEXT(EDATE($D26,Milestones!$AA$34),"dd mmm yy"))&amp;" "&amp;Milestones!$AB$34&amp;" "&amp;IF(AND(Milestones!$AB$34="FT",Milestones!$AA$34=FT_Y5,EDATE($D26,Milestones!$AA$34)&lt;PolicyEff),1,Milestones!$AC$34)&amp;";  ","")&amp;IF(AND(EDATE($D26,Milestones!$AA$35)&lt;=AsOfDate,EDATE($D26,Milestones!$AA$35)&gt;=SchemeStart,IF($X26=0,$AD26,IF(AND($Z26&lt;&gt;"",EDATE($D26,Milestones!$AA$35)&gt;=$Z26),$AC26,IF(AND($Y26&lt;&gt;"",EDATE($D26,Milestones!$AA$35)&gt;=$Y26),$AB26,$AA26)))=Milestones!$AB$35),UPPER(TEXT(EDATE($D26,Milestones!$AA$35),"dd mmm yy"))&amp;" "&amp;Milestones!$AB$35&amp;" "&amp;IF(AND(Milestones!$AB$35="FT",Milestones!$AA$35=FT_Y5,EDATE($D26,Milestones!$AA$35)&lt;PolicyEff),1,Milestones!$AC$35)&amp;";  ","")&amp;IF(AND(EDATE($D26,Milestones!$AA$36)&lt;=AsOfDate,EDATE($D26,Milestones!$AA$36)&gt;=SchemeStart,IF($X26=0,$AD26,IF(AND($Z26&lt;&gt;"",EDATE($D26,Milestones!$AA$36)&gt;=$Z26),$AC26,IF(AND($Y26&lt;&gt;"",EDATE($D26,Milestones!$AA$36)&gt;=$Y26),$AB26,$AA26)))=Milestones!$AB$36),UPPER(TEXT(EDATE($D26,Milestones!$AA$36),"dd mmm yy"))&amp;" "&amp;Milestones!$AB$36&amp;" "&amp;IF(AND(Milestones!$AB$36="FT",Milestones!$AA$36=FT_Y5,EDATE($D26,Milestones!$AA$36)&lt;PolicyEff),1,Milestones!$AC$36)&amp;";  ","")&amp;IF(AND(EDATE($D26,Milestones!$AA$37)&lt;=AsOfDate,EDATE($D26,Milestones!$AA$37)&gt;=SchemeStart,IF($X26=0,$AD26,IF(AND($Z26&lt;&gt;"",EDATE($D26,Milestones!$AA$37)&gt;=$Z26),$AC26,IF(AND($Y26&lt;&gt;"",EDATE($D26,Milestones!$AA$37)&gt;=$Y26),$AB26,$AA26)))=Milestones!$AB$37),UPPER(TEXT(EDATE($D26,Milestones!$AA$37),"dd mmm yy"))&amp;" "&amp;Milestones!$AB$37&amp;" "&amp;IF(AND(Milestones!$AB$37="FT",Milestones!$AA$37=FT_Y5,EDATE($D26,Milestones!$AA$37)&lt;PolicyEff),1,Milestones!$AC$37)&amp;";  ","")&amp;IF(AND(EDATE($D26,Milestones!$AA$38)&lt;=AsOfDate,EDATE($D26,Milestones!$AA$38)&gt;=SchemeStart,IF($X26=0,$AD26,IF(AND($Z26&lt;&gt;"",EDATE($D26,Milestones!$AA$38)&gt;=$Z26),$AC26,IF(AND($Y26&lt;&gt;"",EDATE($D26,Milestones!$AA$38)&gt;=$Y26),$AB26,$AA26)))=Milestones!$AB$38),UPPER(TEXT(EDATE($D26,Milestones!$AA$38),"dd mmm yy"))&amp;" "&amp;Milestones!$AB$38&amp;" "&amp;IF(AND(Milestones!$AB$38="FT",Milestones!$AA$38=FT_Y5,EDATE($D26,Milestones!$AA$38)&lt;PolicyEff),1,Milestones!$AC$38)&amp;";  ","")&amp;IF(AND(EDATE($D26,Milestones!$AA$39)&lt;=AsOfDate,EDATE($D26,Milestones!$AA$39)&gt;=SchemeStart,IF($X26=0,$AD26,IF(AND($Z26&lt;&gt;"",EDATE($D26,Milestones!$AA$39)&gt;=$Z26),$AC26,IF(AND($Y26&lt;&gt;"",EDATE($D26,Milestones!$AA$39)&gt;=$Y26),$AB26,$AA26)))=Milestones!$AB$39),UPPER(TEXT(EDATE($D26,Milestones!$AA$39),"dd mmm yy"))&amp;" "&amp;Milestones!$AB$39&amp;" "&amp;IF(AND(Milestones!$AB$39="FT",Milestones!$AA$39=FT_Y5,EDATE($D26,Milestones!$AA$39)&lt;PolicyEff),1,Milestones!$AC$39)&amp;";  ","")&amp;IF(AND(EDATE($D26,Milestones!$AA$40)&lt;=AsOfDate,EDATE($D26,Milestones!$AA$40)&gt;=SchemeStart,IF($X26=0,$AD26,IF(AND($Z26&lt;&gt;"",EDATE($D26,Milestones!$AA$40)&gt;=$Z26),$AC26,IF(AND($Y26&lt;&gt;"",EDATE($D26,Milestones!$AA$40)&gt;=$Y26),$AB26,$AA26)))=Milestones!$AB$40),UPPER(TEXT(EDATE($D26,Milestones!$AA$40),"dd mmm yy"))&amp;" "&amp;Milestones!$AB$40&amp;" "&amp;IF(AND(Milestones!$AB$40="FT",Milestones!$AA$40=FT_Y5,EDATE($D26,Milestones!$AA$40)&lt;PolicyEff),1,Milestones!$AC$40)&amp;";  ","")&amp;IF(AND(EDATE($D26,Milestones!$AA$41)&lt;=AsOfDate,EDATE($D26,Milestones!$AA$41)&gt;=SchemeStart,IF($X26=0,$AD26,IF(AND($Z26&lt;&gt;"",EDATE($D26,Milestones!$AA$41)&gt;=$Z26),$AC26,IF(AND($Y26&lt;&gt;"",EDATE($D26,Milestones!$AA$41)&gt;=$Y26),$AB26,$AA26)))=Milestones!$AB$41),UPPER(TEXT(EDATE($D26,Milestones!$AA$41),"dd mmm yy"))&amp;" "&amp;Milestones!$AB$41&amp;" "&amp;IF(AND(Milestones!$AB$41="FT",Milestones!$AA$41=FT_Y5,EDATE($D26,Milestones!$AA$41)&lt;PolicyEff),1,Milestones!$AC$41)&amp;";  ","")&amp;IF(AND(EDATE($D26,Milestones!$AA$42)&lt;=AsOfDate,EDATE($D26,Milestones!$AA$42)&gt;=SchemeStart,IF($X26=0,$AD26,IF(AND($Z26&lt;&gt;"",EDATE($D26,Milestones!$AA$42)&gt;=$Z26),$AC26,IF(AND($Y26&lt;&gt;"",EDATE($D26,Milestones!$AA$42)&gt;=$Y26),$AB26,$AA26)))=Milestones!$AB$42),UPPER(TEXT(EDATE($D26,Milestones!$AA$42),"dd mmm yy"))&amp;" "&amp;Milestones!$AB$42&amp;" "&amp;IF(AND(Milestones!$AB$42="FT",Milestones!$AA$42=FT_Y5,EDATE($D26,Milestones!$AA$42)&lt;PolicyEff),1,Milestones!$AC$42)&amp;";  ","")&amp;IF(AND(EDATE($D26,Milestones!$AA$43)&lt;=AsOfDate,EDATE($D26,Milestones!$AA$43)&gt;=SchemeStart,IF($X26=0,$AD26,IF(AND($Z26&lt;&gt;"",EDATE($D26,Milestones!$AA$43)&gt;=$Z26),$AC26,IF(AND($Y26&lt;&gt;"",EDATE($D26,Milestones!$AA$43)&gt;=$Y26),$AB26,$AA26)))=Milestones!$AB$43),UPPER(TEXT(EDATE($D26,Milestones!$AA$43),"dd mmm yy"))&amp;" "&amp;Milestones!$AB$43&amp;" "&amp;IF(AND(Milestones!$AB$43="FT",Milestones!$AA$43=FT_Y5,EDATE($D26,Milestones!$AA$43)&lt;PolicyEff),1,Milestones!$AC$43)&amp;";  ",""))</f>
        <v/>
      </c>
      <c r="K26" s="0" t="str">
        <f aca="false">IF(OR($A26="",$D26=""),"",IF(AND(EDATE($D26,Milestones!$AA$44)&lt;=AsOfDate,EDATE($D26,Milestones!$AA$44)&gt;=SchemeStart,IF($X26=0,$AD26,IF(AND($Z26&lt;&gt;"",EDATE($D26,Milestones!$AA$44)&gt;=$Z26),$AC26,IF(AND($Y26&lt;&gt;"",EDATE($D26,Milestones!$AA$44)&gt;=$Y26),$AB26,$AA26)))=Milestones!$AB$44),UPPER(TEXT(EDATE($D26,Milestones!$AA$44),"dd mmm yy"))&amp;" "&amp;Milestones!$AB$44&amp;" "&amp;IF(AND(Milestones!$AB$44="FT",Milestones!$AA$44=FT_Y5,EDATE($D26,Milestones!$AA$44)&lt;PolicyEff),1,Milestones!$AC$44)&amp;";  ","")&amp;IF(AND(EDATE($D26,Milestones!$AA$45)&lt;=AsOfDate,EDATE($D26,Milestones!$AA$45)&gt;=SchemeStart,IF($X26=0,$AD26,IF(AND($Z26&lt;&gt;"",EDATE($D26,Milestones!$AA$45)&gt;=$Z26),$AC26,IF(AND($Y26&lt;&gt;"",EDATE($D26,Milestones!$AA$45)&gt;=$Y26),$AB26,$AA26)))=Milestones!$AB$45),UPPER(TEXT(EDATE($D26,Milestones!$AA$45),"dd mmm yy"))&amp;" "&amp;Milestones!$AB$45&amp;" "&amp;IF(AND(Milestones!$AB$45="FT",Milestones!$AA$45=FT_Y5,EDATE($D26,Milestones!$AA$45)&lt;PolicyEff),1,Milestones!$AC$45)&amp;";  ","")&amp;IF(AND(EDATE($D26,Milestones!$AA$46)&lt;=AsOfDate,EDATE($D26,Milestones!$AA$46)&gt;=SchemeStart,IF($X26=0,$AD26,IF(AND($Z26&lt;&gt;"",EDATE($D26,Milestones!$AA$46)&gt;=$Z26),$AC26,IF(AND($Y26&lt;&gt;"",EDATE($D26,Milestones!$AA$46)&gt;=$Y26),$AB26,$AA26)))=Milestones!$AB$46),UPPER(TEXT(EDATE($D26,Milestones!$AA$46),"dd mmm yy"))&amp;" "&amp;Milestones!$AB$46&amp;" "&amp;IF(AND(Milestones!$AB$46="FT",Milestones!$AA$46=FT_Y5,EDATE($D26,Milestones!$AA$46)&lt;PolicyEff),1,Milestones!$AC$46)&amp;";  ","")&amp;IF(AND(EDATE($D26,Milestones!$AA$47)&lt;=AsOfDate,EDATE($D26,Milestones!$AA$47)&gt;=SchemeStart,IF($X26=0,$AD26,IF(AND($Z26&lt;&gt;"",EDATE($D26,Milestones!$AA$47)&gt;=$Z26),$AC26,IF(AND($Y26&lt;&gt;"",EDATE($D26,Milestones!$AA$47)&gt;=$Y26),$AB26,$AA26)))=Milestones!$AB$47),UPPER(TEXT(EDATE($D26,Milestones!$AA$47),"dd mmm yy"))&amp;" "&amp;Milestones!$AB$47&amp;" "&amp;IF(AND(Milestones!$AB$47="FT",Milestones!$AA$47=FT_Y5,EDATE($D26,Milestones!$AA$47)&lt;PolicyEff),1,Milestones!$AC$47)&amp;";  ","")&amp;IF(AND(EDATE($D26,Milestones!$AA$48)&lt;=AsOfDate,EDATE($D26,Milestones!$AA$48)&gt;=SchemeStart,IF($X26=0,$AD26,IF(AND($Z26&lt;&gt;"",EDATE($D26,Milestones!$AA$48)&gt;=$Z26),$AC26,IF(AND($Y26&lt;&gt;"",EDATE($D26,Milestones!$AA$48)&gt;=$Y26),$AB26,$AA26)))=Milestones!$AB$48),UPPER(TEXT(EDATE($D26,Milestones!$AA$48),"dd mmm yy"))&amp;" "&amp;Milestones!$AB$48&amp;" "&amp;IF(AND(Milestones!$AB$48="FT",Milestones!$AA$48=FT_Y5,EDATE($D26,Milestones!$AA$48)&lt;PolicyEff),1,Milestones!$AC$48)&amp;";  ","")&amp;IF(AND(EDATE($D26,Milestones!$AA$49)&lt;=AsOfDate,EDATE($D26,Milestones!$AA$49)&gt;=SchemeStart,IF($X26=0,$AD26,IF(AND($Z26&lt;&gt;"",EDATE($D26,Milestones!$AA$49)&gt;=$Z26),$AC26,IF(AND($Y26&lt;&gt;"",EDATE($D26,Milestones!$AA$49)&gt;=$Y26),$AB26,$AA26)))=Milestones!$AB$49),UPPER(TEXT(EDATE($D26,Milestones!$AA$49),"dd mmm yy"))&amp;" "&amp;Milestones!$AB$49&amp;" "&amp;IF(AND(Milestones!$AB$49="FT",Milestones!$AA$49=FT_Y5,EDATE($D26,Milestones!$AA$49)&lt;PolicyEff),1,Milestones!$AC$49)&amp;";  ","")&amp;IF(AND(EDATE($D26,Milestones!$AA$50)&lt;=AsOfDate,EDATE($D26,Milestones!$AA$50)&gt;=SchemeStart,IF($X26=0,$AD26,IF(AND($Z26&lt;&gt;"",EDATE($D26,Milestones!$AA$50)&gt;=$Z26),$AC26,IF(AND($Y26&lt;&gt;"",EDATE($D26,Milestones!$AA$50)&gt;=$Y26),$AB26,$AA26)))=Milestones!$AB$50),UPPER(TEXT(EDATE($D26,Milestones!$AA$50),"dd mmm yy"))&amp;" "&amp;Milestones!$AB$50&amp;" "&amp;IF(AND(Milestones!$AB$50="FT",Milestones!$AA$50=FT_Y5,EDATE($D26,Milestones!$AA$50)&lt;PolicyEff),1,Milestones!$AC$50)&amp;";  ","")&amp;IF(AND(EDATE($D26,Milestones!$AA$51)&lt;=AsOfDate,EDATE($D26,Milestones!$AA$51)&gt;=SchemeStart,IF($X26=0,$AD26,IF(AND($Z26&lt;&gt;"",EDATE($D26,Milestones!$AA$51)&gt;=$Z26),$AC26,IF(AND($Y26&lt;&gt;"",EDATE($D26,Milestones!$AA$51)&gt;=$Y26),$AB26,$AA26)))=Milestones!$AB$51),UPPER(TEXT(EDATE($D26,Milestones!$AA$51),"dd mmm yy"))&amp;" "&amp;Milestones!$AB$51&amp;" "&amp;IF(AND(Milestones!$AB$51="FT",Milestones!$AA$51=FT_Y5,EDATE($D26,Milestones!$AA$51)&lt;PolicyEff),1,Milestones!$AC$51)&amp;";  ","")&amp;IF(AND(EDATE($D26,Milestones!$AA$52)&lt;=AsOfDate,EDATE($D26,Milestones!$AA$52)&gt;=SchemeStart,IF($X26=0,$AD26,IF(AND($Z26&lt;&gt;"",EDATE($D26,Milestones!$AA$52)&gt;=$Z26),$AC26,IF(AND($Y26&lt;&gt;"",EDATE($D26,Milestones!$AA$52)&gt;=$Y26),$AB26,$AA26)))=Milestones!$AB$52),UPPER(TEXT(EDATE($D26,Milestones!$AA$52),"dd mmm yy"))&amp;" "&amp;Milestones!$AB$52&amp;" "&amp;IF(AND(Milestones!$AB$52="FT",Milestones!$AA$52=FT_Y5,EDATE($D26,Milestones!$AA$52)&lt;PolicyEff),1,Milestones!$AC$52)&amp;";  ","")&amp;IF(AND(EDATE($D26,Milestones!$AA$53)&lt;=AsOfDate,EDATE($D26,Milestones!$AA$53)&gt;=SchemeStart,IF($X26=0,$AD26,IF(AND($Z26&lt;&gt;"",EDATE($D26,Milestones!$AA$53)&gt;=$Z26),$AC26,IF(AND($Y26&lt;&gt;"",EDATE($D26,Milestones!$AA$53)&gt;=$Y26),$AB26,$AA26)))=Milestones!$AB$53),UPPER(TEXT(EDATE($D26,Milestones!$AA$53),"dd mmm yy"))&amp;" "&amp;Milestones!$AB$53&amp;" "&amp;IF(AND(Milestones!$AB$53="FT",Milestones!$AA$53=FT_Y5,EDATE($D26,Milestones!$AA$53)&lt;PolicyEff),1,Milestones!$AC$53)&amp;";  ","")&amp;IF(AND(EDATE($D26,Milestones!$AA$54)&lt;=AsOfDate,EDATE($D26,Milestones!$AA$54)&gt;=SchemeStart,IF($X26=0,$AD26,IF(AND($Z26&lt;&gt;"",EDATE($D26,Milestones!$AA$54)&gt;=$Z26),$AC26,IF(AND($Y26&lt;&gt;"",EDATE($D26,Milestones!$AA$54)&gt;=$Y26),$AB26,$AA26)))=Milestones!$AB$54),UPPER(TEXT(EDATE($D26,Milestones!$AA$54),"dd mmm yy"))&amp;" "&amp;Milestones!$AB$54&amp;" "&amp;IF(AND(Milestones!$AB$54="FT",Milestones!$AA$54=FT_Y5,EDATE($D26,Milestones!$AA$54)&lt;PolicyEff),1,Milestones!$AC$54)&amp;";  ","")&amp;IF(AND(EDATE($D26,Milestones!$AA$55)&lt;=AsOfDate,EDATE($D26,Milestones!$AA$55)&gt;=SchemeStart,IF($X26=0,$AD26,IF(AND($Z26&lt;&gt;"",EDATE($D26,Milestones!$AA$55)&gt;=$Z26),$AC26,IF(AND($Y26&lt;&gt;"",EDATE($D26,Milestones!$AA$55)&gt;=$Y26),$AB26,$AA26)))=Milestones!$AB$55),UPPER(TEXT(EDATE($D26,Milestones!$AA$55),"dd mmm yy"))&amp;" "&amp;Milestones!$AB$55&amp;" "&amp;IF(AND(Milestones!$AB$55="FT",Milestones!$AA$55=FT_Y5,EDATE($D26,Milestones!$AA$55)&lt;PolicyEff),1,Milestones!$AC$55)&amp;";  ",""))</f>
        <v/>
      </c>
      <c r="L26" s="0" t="str">
        <f aca="false">IF(OR($A26="",$D26=""),"",IF(AND(EDATE($D26,Milestones!$AA$56)&lt;=AsOfDate,EDATE($D26,Milestones!$AA$56)&gt;=SchemeStart,IF($X26=0,$AD26,IF(AND($Z26&lt;&gt;"",EDATE($D26,Milestones!$AA$56)&gt;=$Z26),$AC26,IF(AND($Y26&lt;&gt;"",EDATE($D26,Milestones!$AA$56)&gt;=$Y26),$AB26,$AA26)))=Milestones!$AB$56),UPPER(TEXT(EDATE($D26,Milestones!$AA$56),"dd mmm yy"))&amp;" "&amp;Milestones!$AB$56&amp;" "&amp;IF(AND(Milestones!$AB$56="FT",Milestones!$AA$56=FT_Y5,EDATE($D26,Milestones!$AA$56)&lt;PolicyEff),1,Milestones!$AC$56)&amp;";  ","")&amp;IF(AND(EDATE($D26,Milestones!$AA$57)&lt;=AsOfDate,EDATE($D26,Milestones!$AA$57)&gt;=SchemeStart,IF($X26=0,$AD26,IF(AND($Z26&lt;&gt;"",EDATE($D26,Milestones!$AA$57)&gt;=$Z26),$AC26,IF(AND($Y26&lt;&gt;"",EDATE($D26,Milestones!$AA$57)&gt;=$Y26),$AB26,$AA26)))=Milestones!$AB$57),UPPER(TEXT(EDATE($D26,Milestones!$AA$57),"dd mmm yy"))&amp;" "&amp;Milestones!$AB$57&amp;" "&amp;IF(AND(Milestones!$AB$57="FT",Milestones!$AA$57=FT_Y5,EDATE($D26,Milestones!$AA$57)&lt;PolicyEff),1,Milestones!$AC$57)&amp;";  ","")&amp;IF(AND(EDATE($D26,Milestones!$AA$58)&lt;=AsOfDate,EDATE($D26,Milestones!$AA$58)&gt;=SchemeStart,IF($X26=0,$AD26,IF(AND($Z26&lt;&gt;"",EDATE($D26,Milestones!$AA$58)&gt;=$Z26),$AC26,IF(AND($Y26&lt;&gt;"",EDATE($D26,Milestones!$AA$58)&gt;=$Y26),$AB26,$AA26)))=Milestones!$AB$58),UPPER(TEXT(EDATE($D26,Milestones!$AA$58),"dd mmm yy"))&amp;" "&amp;Milestones!$AB$58&amp;" "&amp;IF(AND(Milestones!$AB$58="FT",Milestones!$AA$58=FT_Y5,EDATE($D26,Milestones!$AA$58)&lt;PolicyEff),1,Milestones!$AC$58)&amp;";  ","")&amp;IF(AND(EDATE($D26,Milestones!$AA$59)&lt;=AsOfDate,EDATE($D26,Milestones!$AA$59)&gt;=SchemeStart,IF($X26=0,$AD26,IF(AND($Z26&lt;&gt;"",EDATE($D26,Milestones!$AA$59)&gt;=$Z26),$AC26,IF(AND($Y26&lt;&gt;"",EDATE($D26,Milestones!$AA$59)&gt;=$Y26),$AB26,$AA26)))=Milestones!$AB$59),UPPER(TEXT(EDATE($D26,Milestones!$AA$59),"dd mmm yy"))&amp;" "&amp;Milestones!$AB$59&amp;" "&amp;IF(AND(Milestones!$AB$59="FT",Milestones!$AA$59=FT_Y5,EDATE($D26,Milestones!$AA$59)&lt;PolicyEff),1,Milestones!$AC$59)&amp;";  ","")&amp;IF(AND(EDATE($D26,Milestones!$AA$60)&lt;=AsOfDate,EDATE($D26,Milestones!$AA$60)&gt;=SchemeStart,IF($X26=0,$AD26,IF(AND($Z26&lt;&gt;"",EDATE($D26,Milestones!$AA$60)&gt;=$Z26),$AC26,IF(AND($Y26&lt;&gt;"",EDATE($D26,Milestones!$AA$60)&gt;=$Y26),$AB26,$AA26)))=Milestones!$AB$60),UPPER(TEXT(EDATE($D26,Milestones!$AA$60),"dd mmm yy"))&amp;" "&amp;Milestones!$AB$60&amp;" "&amp;IF(AND(Milestones!$AB$60="FT",Milestones!$AA$60=FT_Y5,EDATE($D26,Milestones!$AA$60)&lt;PolicyEff),1,Milestones!$AC$60)&amp;";  ","")&amp;IF(AND(EDATE($D26,Milestones!$AA$61)&lt;=AsOfDate,EDATE($D26,Milestones!$AA$61)&gt;=SchemeStart,IF($X26=0,$AD26,IF(AND($Z26&lt;&gt;"",EDATE($D26,Milestones!$AA$61)&gt;=$Z26),$AC26,IF(AND($Y26&lt;&gt;"",EDATE($D26,Milestones!$AA$61)&gt;=$Y26),$AB26,$AA26)))=Milestones!$AB$61),UPPER(TEXT(EDATE($D26,Milestones!$AA$61),"dd mmm yy"))&amp;" "&amp;Milestones!$AB$61&amp;" "&amp;IF(AND(Milestones!$AB$61="FT",Milestones!$AA$61=FT_Y5,EDATE($D26,Milestones!$AA$61)&lt;PolicyEff),1,Milestones!$AC$61)&amp;";  ","")&amp;IF(AND(EDATE($D26,Milestones!$AA$62)&lt;=AsOfDate,EDATE($D26,Milestones!$AA$62)&gt;=SchemeStart,IF($X26=0,$AD26,IF(AND($Z26&lt;&gt;"",EDATE($D26,Milestones!$AA$62)&gt;=$Z26),$AC26,IF(AND($Y26&lt;&gt;"",EDATE($D26,Milestones!$AA$62)&gt;=$Y26),$AB26,$AA26)))=Milestones!$AB$62),UPPER(TEXT(EDATE($D26,Milestones!$AA$62),"dd mmm yy"))&amp;" "&amp;Milestones!$AB$62&amp;" "&amp;IF(AND(Milestones!$AB$62="FT",Milestones!$AA$62=FT_Y5,EDATE($D26,Milestones!$AA$62)&lt;PolicyEff),1,Milestones!$AC$62)&amp;";  ","")&amp;IF(AND(EDATE($D26,Milestones!$AA$63)&lt;=AsOfDate,EDATE($D26,Milestones!$AA$63)&gt;=SchemeStart,IF($X26=0,$AD26,IF(AND($Z26&lt;&gt;"",EDATE($D26,Milestones!$AA$63)&gt;=$Z26),$AC26,IF(AND($Y26&lt;&gt;"",EDATE($D26,Milestones!$AA$63)&gt;=$Y26),$AB26,$AA26)))=Milestones!$AB$63),UPPER(TEXT(EDATE($D26,Milestones!$AA$63),"dd mmm yy"))&amp;" "&amp;Milestones!$AB$63&amp;" "&amp;IF(AND(Milestones!$AB$63="FT",Milestones!$AA$63=FT_Y5,EDATE($D26,Milestones!$AA$63)&lt;PolicyEff),1,Milestones!$AC$63)&amp;";  ","")&amp;IF(AND(EDATE($D26,Milestones!$AA$64)&lt;=AsOfDate,EDATE($D26,Milestones!$AA$64)&gt;=SchemeStart,IF($X26=0,$AD26,IF(AND($Z26&lt;&gt;"",EDATE($D26,Milestones!$AA$64)&gt;=$Z26),$AC26,IF(AND($Y26&lt;&gt;"",EDATE($D26,Milestones!$AA$64)&gt;=$Y26),$AB26,$AA26)))=Milestones!$AB$64),UPPER(TEXT(EDATE($D26,Milestones!$AA$64),"dd mmm yy"))&amp;" "&amp;Milestones!$AB$64&amp;" "&amp;IF(AND(Milestones!$AB$64="FT",Milestones!$AA$64=FT_Y5,EDATE($D26,Milestones!$AA$64)&lt;PolicyEff),1,Milestones!$AC$64)&amp;";  ","")&amp;IF(AND(EDATE($D26,Milestones!$AA$65)&lt;=AsOfDate,EDATE($D26,Milestones!$AA$65)&gt;=SchemeStart,IF($X26=0,$AD26,IF(AND($Z26&lt;&gt;"",EDATE($D26,Milestones!$AA$65)&gt;=$Z26),$AC26,IF(AND($Y26&lt;&gt;"",EDATE($D26,Milestones!$AA$65)&gt;=$Y26),$AB26,$AA26)))=Milestones!$AB$65),UPPER(TEXT(EDATE($D26,Milestones!$AA$65),"dd mmm yy"))&amp;" "&amp;Milestones!$AB$65&amp;" "&amp;IF(AND(Milestones!$AB$65="FT",Milestones!$AA$65=FT_Y5,EDATE($D26,Milestones!$AA$65)&lt;PolicyEff),1,Milestones!$AC$65)&amp;";  ","")&amp;IF(AND(EDATE($D26,Milestones!$AA$66)&lt;=AsOfDate,EDATE($D26,Milestones!$AA$66)&gt;=SchemeStart,IF($X26=0,$AD26,IF(AND($Z26&lt;&gt;"",EDATE($D26,Milestones!$AA$66)&gt;=$Z26),$AC26,IF(AND($Y26&lt;&gt;"",EDATE($D26,Milestones!$AA$66)&gt;=$Y26),$AB26,$AA26)))=Milestones!$AB$66),UPPER(TEXT(EDATE($D26,Milestones!$AA$66),"dd mmm yy"))&amp;" "&amp;Milestones!$AB$66&amp;" "&amp;IF(AND(Milestones!$AB$66="FT",Milestones!$AA$66=FT_Y5,EDATE($D26,Milestones!$AA$66)&lt;PolicyEff),1,Milestones!$AC$66)&amp;";  ","")&amp;IF(AND(EDATE($D26,Milestones!$AA$67)&lt;=AsOfDate,EDATE($D26,Milestones!$AA$67)&gt;=SchemeStart,IF($X26=0,$AD26,IF(AND($Z26&lt;&gt;"",EDATE($D26,Milestones!$AA$67)&gt;=$Z26),$AC26,IF(AND($Y26&lt;&gt;"",EDATE($D26,Milestones!$AA$67)&gt;=$Y26),$AB26,$AA26)))=Milestones!$AB$67),UPPER(TEXT(EDATE($D26,Milestones!$AA$67),"dd mmm yy"))&amp;" "&amp;Milestones!$AB$67&amp;" "&amp;IF(AND(Milestones!$AB$67="FT",Milestones!$AA$67=FT_Y5,EDATE($D26,Milestones!$AA$67)&lt;PolicyEff),1,Milestones!$AC$67)&amp;";  ",""))</f>
        <v/>
      </c>
      <c r="M26" s="0" t="str">
        <f aca="false">IF(OR($A26="",$D26=""),"",IF(AND(EDATE($D26,Milestones!$AA$68)&lt;=AsOfDate,EDATE($D26,Milestones!$AA$68)&gt;=SchemeStart,IF($X26=0,$AD26,IF(AND($Z26&lt;&gt;"",EDATE($D26,Milestones!$AA$68)&gt;=$Z26),$AC26,IF(AND($Y26&lt;&gt;"",EDATE($D26,Milestones!$AA$68)&gt;=$Y26),$AB26,$AA26)))=Milestones!$AB$68),UPPER(TEXT(EDATE($D26,Milestones!$AA$68),"dd mmm yy"))&amp;" "&amp;Milestones!$AB$68&amp;" "&amp;IF(AND(Milestones!$AB$68="FT",Milestones!$AA$68=FT_Y5,EDATE($D26,Milestones!$AA$68)&lt;PolicyEff),1,Milestones!$AC$68)&amp;";  ","")&amp;IF(AND(EDATE($D26,Milestones!$AA$69)&lt;=AsOfDate,EDATE($D26,Milestones!$AA$69)&gt;=SchemeStart,IF($X26=0,$AD26,IF(AND($Z26&lt;&gt;"",EDATE($D26,Milestones!$AA$69)&gt;=$Z26),$AC26,IF(AND($Y26&lt;&gt;"",EDATE($D26,Milestones!$AA$69)&gt;=$Y26),$AB26,$AA26)))=Milestones!$AB$69),UPPER(TEXT(EDATE($D26,Milestones!$AA$69),"dd mmm yy"))&amp;" "&amp;Milestones!$AB$69&amp;" "&amp;IF(AND(Milestones!$AB$69="FT",Milestones!$AA$69=FT_Y5,EDATE($D26,Milestones!$AA$69)&lt;PolicyEff),1,Milestones!$AC$69)&amp;";  ","")&amp;IF(AND(EDATE($D26,Milestones!$AA$70)&lt;=AsOfDate,EDATE($D26,Milestones!$AA$70)&gt;=SchemeStart,IF($X26=0,$AD26,IF(AND($Z26&lt;&gt;"",EDATE($D26,Milestones!$AA$70)&gt;=$Z26),$AC26,IF(AND($Y26&lt;&gt;"",EDATE($D26,Milestones!$AA$70)&gt;=$Y26),$AB26,$AA26)))=Milestones!$AB$70),UPPER(TEXT(EDATE($D26,Milestones!$AA$70),"dd mmm yy"))&amp;" "&amp;Milestones!$AB$70&amp;" "&amp;IF(AND(Milestones!$AB$70="FT",Milestones!$AA$70=FT_Y5,EDATE($D26,Milestones!$AA$70)&lt;PolicyEff),1,Milestones!$AC$70)&amp;";  ","")&amp;IF(AND(EDATE($D26,Milestones!$AA$71)&lt;=AsOfDate,EDATE($D26,Milestones!$AA$71)&gt;=SchemeStart,IF($X26=0,$AD26,IF(AND($Z26&lt;&gt;"",EDATE($D26,Milestones!$AA$71)&gt;=$Z26),$AC26,IF(AND($Y26&lt;&gt;"",EDATE($D26,Milestones!$AA$71)&gt;=$Y26),$AB26,$AA26)))=Milestones!$AB$71),UPPER(TEXT(EDATE($D26,Milestones!$AA$71),"dd mmm yy"))&amp;" "&amp;Milestones!$AB$71&amp;" "&amp;IF(AND(Milestones!$AB$71="FT",Milestones!$AA$71=FT_Y5,EDATE($D26,Milestones!$AA$71)&lt;PolicyEff),1,Milestones!$AC$71)&amp;";  ","")&amp;IF(AND(EDATE($D26,Milestones!$AA$72)&lt;=AsOfDate,EDATE($D26,Milestones!$AA$72)&gt;=SchemeStart,IF($X26=0,$AD26,IF(AND($Z26&lt;&gt;"",EDATE($D26,Milestones!$AA$72)&gt;=$Z26),$AC26,IF(AND($Y26&lt;&gt;"",EDATE($D26,Milestones!$AA$72)&gt;=$Y26),$AB26,$AA26)))=Milestones!$AB$72),UPPER(TEXT(EDATE($D26,Milestones!$AA$72),"dd mmm yy"))&amp;" "&amp;Milestones!$AB$72&amp;" "&amp;IF(AND(Milestones!$AB$72="FT",Milestones!$AA$72=FT_Y5,EDATE($D26,Milestones!$AA$72)&lt;PolicyEff),1,Milestones!$AC$72)&amp;";  ","")&amp;IF(AND(EDATE($D26,Milestones!$AA$73)&lt;=AsOfDate,EDATE($D26,Milestones!$AA$73)&gt;=SchemeStart,IF($X26=0,$AD26,IF(AND($Z26&lt;&gt;"",EDATE($D26,Milestones!$AA$73)&gt;=$Z26),$AC26,IF(AND($Y26&lt;&gt;"",EDATE($D26,Milestones!$AA$73)&gt;=$Y26),$AB26,$AA26)))=Milestones!$AB$73),UPPER(TEXT(EDATE($D26,Milestones!$AA$73),"dd mmm yy"))&amp;" "&amp;Milestones!$AB$73&amp;" "&amp;IF(AND(Milestones!$AB$73="FT",Milestones!$AA$73=FT_Y5,EDATE($D26,Milestones!$AA$73)&lt;PolicyEff),1,Milestones!$AC$73)&amp;";  ","")&amp;IF(AND(EDATE($D26,Milestones!$AA$74)&lt;=AsOfDate,EDATE($D26,Milestones!$AA$74)&gt;=SchemeStart,IF($X26=0,$AD26,IF(AND($Z26&lt;&gt;"",EDATE($D26,Milestones!$AA$74)&gt;=$Z26),$AC26,IF(AND($Y26&lt;&gt;"",EDATE($D26,Milestones!$AA$74)&gt;=$Y26),$AB26,$AA26)))=Milestones!$AB$74),UPPER(TEXT(EDATE($D26,Milestones!$AA$74),"dd mmm yy"))&amp;" "&amp;Milestones!$AB$74&amp;" "&amp;IF(AND(Milestones!$AB$74="FT",Milestones!$AA$74=FT_Y5,EDATE($D26,Milestones!$AA$74)&lt;PolicyEff),1,Milestones!$AC$74)&amp;";  ","")&amp;IF(AND(EDATE($D26,Milestones!$AA$75)&lt;=AsOfDate,EDATE($D26,Milestones!$AA$75)&gt;=SchemeStart,IF($X26=0,$AD26,IF(AND($Z26&lt;&gt;"",EDATE($D26,Milestones!$AA$75)&gt;=$Z26),$AC26,IF(AND($Y26&lt;&gt;"",EDATE($D26,Milestones!$AA$75)&gt;=$Y26),$AB26,$AA26)))=Milestones!$AB$75),UPPER(TEXT(EDATE($D26,Milestones!$AA$75),"dd mmm yy"))&amp;" "&amp;Milestones!$AB$75&amp;" "&amp;IF(AND(Milestones!$AB$75="FT",Milestones!$AA$75=FT_Y5,EDATE($D26,Milestones!$AA$75)&lt;PolicyEff),1,Milestones!$AC$75)&amp;";  ","")&amp;IF(AND(EDATE($D26,Milestones!$AA$76)&lt;=AsOfDate,EDATE($D26,Milestones!$AA$76)&gt;=SchemeStart,IF($X26=0,$AD26,IF(AND($Z26&lt;&gt;"",EDATE($D26,Milestones!$AA$76)&gt;=$Z26),$AC26,IF(AND($Y26&lt;&gt;"",EDATE($D26,Milestones!$AA$76)&gt;=$Y26),$AB26,$AA26)))=Milestones!$AB$76),UPPER(TEXT(EDATE($D26,Milestones!$AA$76),"dd mmm yy"))&amp;" "&amp;Milestones!$AB$76&amp;" "&amp;IF(AND(Milestones!$AB$76="FT",Milestones!$AA$76=FT_Y5,EDATE($D26,Milestones!$AA$76)&lt;PolicyEff),1,Milestones!$AC$76)&amp;";  ","")&amp;IF(AND(EDATE($D26,Milestones!$AA$77)&lt;=AsOfDate,EDATE($D26,Milestones!$AA$77)&gt;=SchemeStart,IF($X26=0,$AD26,IF(AND($Z26&lt;&gt;"",EDATE($D26,Milestones!$AA$77)&gt;=$Z26),$AC26,IF(AND($Y26&lt;&gt;"",EDATE($D26,Milestones!$AA$77)&gt;=$Y26),$AB26,$AA26)))=Milestones!$AB$77),UPPER(TEXT(EDATE($D26,Milestones!$AA$77),"dd mmm yy"))&amp;" "&amp;Milestones!$AB$77&amp;" "&amp;IF(AND(Milestones!$AB$77="FT",Milestones!$AA$77=FT_Y5,EDATE($D26,Milestones!$AA$77)&lt;PolicyEff),1,Milestones!$AC$77)&amp;";  ","")&amp;IF(AND(EDATE($D26,Milestones!$AA$78)&lt;=AsOfDate,EDATE($D26,Milestones!$AA$78)&gt;=SchemeStart,IF($X26=0,$AD26,IF(AND($Z26&lt;&gt;"",EDATE($D26,Milestones!$AA$78)&gt;=$Z26),$AC26,IF(AND($Y26&lt;&gt;"",EDATE($D26,Milestones!$AA$78)&gt;=$Y26),$AB26,$AA26)))=Milestones!$AB$78),UPPER(TEXT(EDATE($D26,Milestones!$AA$78),"dd mmm yy"))&amp;" "&amp;Milestones!$AB$78&amp;" "&amp;IF(AND(Milestones!$AB$78="FT",Milestones!$AA$78=FT_Y5,EDATE($D26,Milestones!$AA$78)&lt;PolicyEff),1,Milestones!$AC$78)&amp;";  ","")&amp;IF(AND(EDATE($D26,Milestones!$AA$79)&lt;=AsOfDate,EDATE($D26,Milestones!$AA$79)&gt;=SchemeStart,IF($X26=0,$AD26,IF(AND($Z26&lt;&gt;"",EDATE($D26,Milestones!$AA$79)&gt;=$Z26),$AC26,IF(AND($Y26&lt;&gt;"",EDATE($D26,Milestones!$AA$79)&gt;=$Y26),$AB26,$AA26)))=Milestones!$AB$79),UPPER(TEXT(EDATE($D26,Milestones!$AA$79),"dd mmm yy"))&amp;" "&amp;Milestones!$AB$79&amp;" "&amp;IF(AND(Milestones!$AB$79="FT",Milestones!$AA$79=FT_Y5,EDATE($D26,Milestones!$AA$79)&lt;PolicyEff),1,Milestones!$AC$79)&amp;";  ",""))</f>
        <v/>
      </c>
      <c r="N26" s="0" t="str">
        <f aca="false">IF(OR($A26="",$D26=""),"",IF(AND(EDATE($D26,Milestones!$AA$80)&lt;=AsOfDate,EDATE($D26,Milestones!$AA$80)&gt;=SchemeStart,IF($X26=0,$AD26,IF(AND($Z26&lt;&gt;"",EDATE($D26,Milestones!$AA$80)&gt;=$Z26),$AC26,IF(AND($Y26&lt;&gt;"",EDATE($D26,Milestones!$AA$80)&gt;=$Y26),$AB26,$AA26)))=Milestones!$AB$80),UPPER(TEXT(EDATE($D26,Milestones!$AA$80),"dd mmm yy"))&amp;" "&amp;Milestones!$AB$80&amp;" "&amp;IF(AND(Milestones!$AB$80="FT",Milestones!$AA$80=FT_Y5,EDATE($D26,Milestones!$AA$80)&lt;PolicyEff),1,Milestones!$AC$80)&amp;";  ","")&amp;IF(AND(EDATE($D26,Milestones!$AA$81)&lt;=AsOfDate,EDATE($D26,Milestones!$AA$81)&gt;=SchemeStart,IF($X26=0,$AD26,IF(AND($Z26&lt;&gt;"",EDATE($D26,Milestones!$AA$81)&gt;=$Z26),$AC26,IF(AND($Y26&lt;&gt;"",EDATE($D26,Milestones!$AA$81)&gt;=$Y26),$AB26,$AA26)))=Milestones!$AB$81),UPPER(TEXT(EDATE($D26,Milestones!$AA$81),"dd mmm yy"))&amp;" "&amp;Milestones!$AB$81&amp;" "&amp;IF(AND(Milestones!$AB$81="FT",Milestones!$AA$81=FT_Y5,EDATE($D26,Milestones!$AA$81)&lt;PolicyEff),1,Milestones!$AC$81)&amp;";  ","")&amp;IF(AND(EDATE($D26,Milestones!$AA$82)&lt;=AsOfDate,EDATE($D26,Milestones!$AA$82)&gt;=SchemeStart,IF($X26=0,$AD26,IF(AND($Z26&lt;&gt;"",EDATE($D26,Milestones!$AA$82)&gt;=$Z26),$AC26,IF(AND($Y26&lt;&gt;"",EDATE($D26,Milestones!$AA$82)&gt;=$Y26),$AB26,$AA26)))=Milestones!$AB$82),UPPER(TEXT(EDATE($D26,Milestones!$AA$82),"dd mmm yy"))&amp;" "&amp;Milestones!$AB$82&amp;" "&amp;IF(AND(Milestones!$AB$82="FT",Milestones!$AA$82=FT_Y5,EDATE($D26,Milestones!$AA$82)&lt;PolicyEff),1,Milestones!$AC$82)&amp;";  ","")&amp;IF(AND(EDATE($D26,Milestones!$AA$83)&lt;=AsOfDate,EDATE($D26,Milestones!$AA$83)&gt;=SchemeStart,IF($X26=0,$AD26,IF(AND($Z26&lt;&gt;"",EDATE($D26,Milestones!$AA$83)&gt;=$Z26),$AC26,IF(AND($Y26&lt;&gt;"",EDATE($D26,Milestones!$AA$83)&gt;=$Y26),$AB26,$AA26)))=Milestones!$AB$83),UPPER(TEXT(EDATE($D26,Milestones!$AA$83),"dd mmm yy"))&amp;" "&amp;Milestones!$AB$83&amp;" "&amp;IF(AND(Milestones!$AB$83="FT",Milestones!$AA$83=FT_Y5,EDATE($D26,Milestones!$AA$83)&lt;PolicyEff),1,Milestones!$AC$83)&amp;";  ","")&amp;IF(AND(EDATE($D26,Milestones!$AA$84)&lt;=AsOfDate,EDATE($D26,Milestones!$AA$84)&gt;=SchemeStart,IF($X26=0,$AD26,IF(AND($Z26&lt;&gt;"",EDATE($D26,Milestones!$AA$84)&gt;=$Z26),$AC26,IF(AND($Y26&lt;&gt;"",EDATE($D26,Milestones!$AA$84)&gt;=$Y26),$AB26,$AA26)))=Milestones!$AB$84),UPPER(TEXT(EDATE($D26,Milestones!$AA$84),"dd mmm yy"))&amp;" "&amp;Milestones!$AB$84&amp;" "&amp;IF(AND(Milestones!$AB$84="FT",Milestones!$AA$84=FT_Y5,EDATE($D26,Milestones!$AA$84)&lt;PolicyEff),1,Milestones!$AC$84)&amp;";  ","")&amp;IF(AND(EDATE($D26,Milestones!$AA$85)&lt;=AsOfDate,EDATE($D26,Milestones!$AA$85)&gt;=SchemeStart,IF($X26=0,$AD26,IF(AND($Z26&lt;&gt;"",EDATE($D26,Milestones!$AA$85)&gt;=$Z26),$AC26,IF(AND($Y26&lt;&gt;"",EDATE($D26,Milestones!$AA$85)&gt;=$Y26),$AB26,$AA26)))=Milestones!$AB$85),UPPER(TEXT(EDATE($D26,Milestones!$AA$85),"dd mmm yy"))&amp;" "&amp;Milestones!$AB$85&amp;" "&amp;IF(AND(Milestones!$AB$85="FT",Milestones!$AA$85=FT_Y5,EDATE($D26,Milestones!$AA$85)&lt;PolicyEff),1,Milestones!$AC$85)&amp;";  ","")&amp;IF(AND(EDATE($D26,Milestones!$AA$86)&lt;=AsOfDate,EDATE($D26,Milestones!$AA$86)&gt;=SchemeStart,IF($X26=0,$AD26,IF(AND($Z26&lt;&gt;"",EDATE($D26,Milestones!$AA$86)&gt;=$Z26),$AC26,IF(AND($Y26&lt;&gt;"",EDATE($D26,Milestones!$AA$86)&gt;=$Y26),$AB26,$AA26)))=Milestones!$AB$86),UPPER(TEXT(EDATE($D26,Milestones!$AA$86),"dd mmm yy"))&amp;" "&amp;Milestones!$AB$86&amp;" "&amp;IF(AND(Milestones!$AB$86="FT",Milestones!$AA$86=FT_Y5,EDATE($D26,Milestones!$AA$86)&lt;PolicyEff),1,Milestones!$AC$86)&amp;";  ","")&amp;IF(AND(EDATE($D26,Milestones!$AA$87)&lt;=AsOfDate,EDATE($D26,Milestones!$AA$87)&gt;=SchemeStart,IF($X26=0,$AD26,IF(AND($Z26&lt;&gt;"",EDATE($D26,Milestones!$AA$87)&gt;=$Z26),$AC26,IF(AND($Y26&lt;&gt;"",EDATE($D26,Milestones!$AA$87)&gt;=$Y26),$AB26,$AA26)))=Milestones!$AB$87),UPPER(TEXT(EDATE($D26,Milestones!$AA$87),"dd mmm yy"))&amp;" "&amp;Milestones!$AB$87&amp;" "&amp;IF(AND(Milestones!$AB$87="FT",Milestones!$AA$87=FT_Y5,EDATE($D26,Milestones!$AA$87)&lt;PolicyEff),1,Milestones!$AC$87)&amp;";  ","")&amp;IF(AND(EDATE($D26,Milestones!$AA$88)&lt;=AsOfDate,EDATE($D26,Milestones!$AA$88)&gt;=SchemeStart,IF($X26=0,$AD26,IF(AND($Z26&lt;&gt;"",EDATE($D26,Milestones!$AA$88)&gt;=$Z26),$AC26,IF(AND($Y26&lt;&gt;"",EDATE($D26,Milestones!$AA$88)&gt;=$Y26),$AB26,$AA26)))=Milestones!$AB$88),UPPER(TEXT(EDATE($D26,Milestones!$AA$88),"dd mmm yy"))&amp;" "&amp;Milestones!$AB$88&amp;" "&amp;IF(AND(Milestones!$AB$88="FT",Milestones!$AA$88=FT_Y5,EDATE($D26,Milestones!$AA$88)&lt;PolicyEff),1,Milestones!$AC$88)&amp;";  ","")&amp;IF(AND(EDATE($D26,Milestones!$AA$89)&lt;=AsOfDate,EDATE($D26,Milestones!$AA$89)&gt;=SchemeStart,IF($X26=0,$AD26,IF(AND($Z26&lt;&gt;"",EDATE($D26,Milestones!$AA$89)&gt;=$Z26),$AC26,IF(AND($Y26&lt;&gt;"",EDATE($D26,Milestones!$AA$89)&gt;=$Y26),$AB26,$AA26)))=Milestones!$AB$89),UPPER(TEXT(EDATE($D26,Milestones!$AA$89),"dd mmm yy"))&amp;" "&amp;Milestones!$AB$89&amp;" "&amp;IF(AND(Milestones!$AB$89="FT",Milestones!$AA$89=FT_Y5,EDATE($D26,Milestones!$AA$89)&lt;PolicyEff),1,Milestones!$AC$89)&amp;";  ","")&amp;IF(AND(EDATE($D26,Milestones!$AA$90)&lt;=AsOfDate,EDATE($D26,Milestones!$AA$90)&gt;=SchemeStart,IF($X26=0,$AD26,IF(AND($Z26&lt;&gt;"",EDATE($D26,Milestones!$AA$90)&gt;=$Z26),$AC26,IF(AND($Y26&lt;&gt;"",EDATE($D26,Milestones!$AA$90)&gt;=$Y26),$AB26,$AA26)))=Milestones!$AB$90),UPPER(TEXT(EDATE($D26,Milestones!$AA$90),"dd mmm yy"))&amp;" "&amp;Milestones!$AB$90&amp;" "&amp;IF(AND(Milestones!$AB$90="FT",Milestones!$AA$90=FT_Y5,EDATE($D26,Milestones!$AA$90)&lt;PolicyEff),1,Milestones!$AC$90)&amp;";  ","")&amp;IF(AND(EDATE($D26,Milestones!$AA$91)&lt;=AsOfDate,EDATE($D26,Milestones!$AA$91)&gt;=SchemeStart,IF($X26=0,$AD26,IF(AND($Z26&lt;&gt;"",EDATE($D26,Milestones!$AA$91)&gt;=$Z26),$AC26,IF(AND($Y26&lt;&gt;"",EDATE($D26,Milestones!$AA$91)&gt;=$Y26),$AB26,$AA26)))=Milestones!$AB$91),UPPER(TEXT(EDATE($D26,Milestones!$AA$91),"dd mmm yy"))&amp;" "&amp;Milestones!$AB$91&amp;" "&amp;IF(AND(Milestones!$AB$91="FT",Milestones!$AA$91=FT_Y5,EDATE($D26,Milestones!$AA$91)&lt;PolicyEff),1,Milestones!$AC$91)&amp;";  ",""))</f>
        <v/>
      </c>
      <c r="O26" s="0" t="str">
        <f aca="false">IF(OR($A26="",$D26=""),"",IF(AND(EDATE($D26,Milestones!$AA$92)&lt;=AsOfDate,EDATE($D26,Milestones!$AA$92)&gt;=SchemeStart,IF($X26=0,$AD26,IF(AND($Z26&lt;&gt;"",EDATE($D26,Milestones!$AA$92)&gt;=$Z26),$AC26,IF(AND($Y26&lt;&gt;"",EDATE($D26,Milestones!$AA$92)&gt;=$Y26),$AB26,$AA26)))=Milestones!$AB$92),UPPER(TEXT(EDATE($D26,Milestones!$AA$92),"dd mmm yy"))&amp;" "&amp;Milestones!$AB$92&amp;" "&amp;IF(AND(Milestones!$AB$92="FT",Milestones!$AA$92=FT_Y5,EDATE($D26,Milestones!$AA$92)&lt;PolicyEff),1,Milestones!$AC$92)&amp;";  ","")&amp;IF(AND(EDATE($D26,Milestones!$AA$93)&lt;=AsOfDate,EDATE($D26,Milestones!$AA$93)&gt;=SchemeStart,IF($X26=0,$AD26,IF(AND($Z26&lt;&gt;"",EDATE($D26,Milestones!$AA$93)&gt;=$Z26),$AC26,IF(AND($Y26&lt;&gt;"",EDATE($D26,Milestones!$AA$93)&gt;=$Y26),$AB26,$AA26)))=Milestones!$AB$93),UPPER(TEXT(EDATE($D26,Milestones!$AA$93),"dd mmm yy"))&amp;" "&amp;Milestones!$AB$93&amp;" "&amp;IF(AND(Milestones!$AB$93="FT",Milestones!$AA$93=FT_Y5,EDATE($D26,Milestones!$AA$93)&lt;PolicyEff),1,Milestones!$AC$93)&amp;";  ","")&amp;IF(AND(EDATE($D26,Milestones!$AA$94)&lt;=AsOfDate,EDATE($D26,Milestones!$AA$94)&gt;=SchemeStart,IF($X26=0,$AD26,IF(AND($Z26&lt;&gt;"",EDATE($D26,Milestones!$AA$94)&gt;=$Z26),$AC26,IF(AND($Y26&lt;&gt;"",EDATE($D26,Milestones!$AA$94)&gt;=$Y26),$AB26,$AA26)))=Milestones!$AB$94),UPPER(TEXT(EDATE($D26,Milestones!$AA$94),"dd mmm yy"))&amp;" "&amp;Milestones!$AB$94&amp;" "&amp;IF(AND(Milestones!$AB$94="FT",Milestones!$AA$94=FT_Y5,EDATE($D26,Milestones!$AA$94)&lt;PolicyEff),1,Milestones!$AC$94)&amp;";  ","")&amp;IF(AND(EDATE($D26,Milestones!$AA$95)&lt;=AsOfDate,EDATE($D26,Milestones!$AA$95)&gt;=SchemeStart,IF($X26=0,$AD26,IF(AND($Z26&lt;&gt;"",EDATE($D26,Milestones!$AA$95)&gt;=$Z26),$AC26,IF(AND($Y26&lt;&gt;"",EDATE($D26,Milestones!$AA$95)&gt;=$Y26),$AB26,$AA26)))=Milestones!$AB$95),UPPER(TEXT(EDATE($D26,Milestones!$AA$95),"dd mmm yy"))&amp;" "&amp;Milestones!$AB$95&amp;" "&amp;IF(AND(Milestones!$AB$95="FT",Milestones!$AA$95=FT_Y5,EDATE($D26,Milestones!$AA$95)&lt;PolicyEff),1,Milestones!$AC$95)&amp;";  ","")&amp;IF(AND(EDATE($D26,Milestones!$AA$96)&lt;=AsOfDate,EDATE($D26,Milestones!$AA$96)&gt;=SchemeStart,IF($X26=0,$AD26,IF(AND($Z26&lt;&gt;"",EDATE($D26,Milestones!$AA$96)&gt;=$Z26),$AC26,IF(AND($Y26&lt;&gt;"",EDATE($D26,Milestones!$AA$96)&gt;=$Y26),$AB26,$AA26)))=Milestones!$AB$96),UPPER(TEXT(EDATE($D26,Milestones!$AA$96),"dd mmm yy"))&amp;" "&amp;Milestones!$AB$96&amp;" "&amp;IF(AND(Milestones!$AB$96="FT",Milestones!$AA$96=FT_Y5,EDATE($D26,Milestones!$AA$96)&lt;PolicyEff),1,Milestones!$AC$96)&amp;";  ","")&amp;IF(AND(EDATE($D26,Milestones!$AA$97)&lt;=AsOfDate,EDATE($D26,Milestones!$AA$97)&gt;=SchemeStart,IF($X26=0,$AD26,IF(AND($Z26&lt;&gt;"",EDATE($D26,Milestones!$AA$97)&gt;=$Z26),$AC26,IF(AND($Y26&lt;&gt;"",EDATE($D26,Milestones!$AA$97)&gt;=$Y26),$AB26,$AA26)))=Milestones!$AB$97),UPPER(TEXT(EDATE($D26,Milestones!$AA$97),"dd mmm yy"))&amp;" "&amp;Milestones!$AB$97&amp;" "&amp;IF(AND(Milestones!$AB$97="FT",Milestones!$AA$97=FT_Y5,EDATE($D26,Milestones!$AA$97)&lt;PolicyEff),1,Milestones!$AC$97)&amp;";  ","")&amp;IF(AND(EDATE($D26,Milestones!$AA$98)&lt;=AsOfDate,EDATE($D26,Milestones!$AA$98)&gt;=SchemeStart,IF($X26=0,$AD26,IF(AND($Z26&lt;&gt;"",EDATE($D26,Milestones!$AA$98)&gt;=$Z26),$AC26,IF(AND($Y26&lt;&gt;"",EDATE($D26,Milestones!$AA$98)&gt;=$Y26),$AB26,$AA26)))=Milestones!$AB$98),UPPER(TEXT(EDATE($D26,Milestones!$AA$98),"dd mmm yy"))&amp;" "&amp;Milestones!$AB$98&amp;" "&amp;IF(AND(Milestones!$AB$98="FT",Milestones!$AA$98=FT_Y5,EDATE($D26,Milestones!$AA$98)&lt;PolicyEff),1,Milestones!$AC$98)&amp;";  ","")&amp;IF(AND(EDATE($D26,Milestones!$AA$99)&lt;=AsOfDate,EDATE($D26,Milestones!$AA$99)&gt;=SchemeStart,IF($X26=0,$AD26,IF(AND($Z26&lt;&gt;"",EDATE($D26,Milestones!$AA$99)&gt;=$Z26),$AC26,IF(AND($Y26&lt;&gt;"",EDATE($D26,Milestones!$AA$99)&gt;=$Y26),$AB26,$AA26)))=Milestones!$AB$99),UPPER(TEXT(EDATE($D26,Milestones!$AA$99),"dd mmm yy"))&amp;" "&amp;Milestones!$AB$99&amp;" "&amp;IF(AND(Milestones!$AB$99="FT",Milestones!$AA$99=FT_Y5,EDATE($D26,Milestones!$AA$99)&lt;PolicyEff),1,Milestones!$AC$99)&amp;";  ","")&amp;IF(AND(EDATE($D26,Milestones!$AA$100)&lt;=AsOfDate,EDATE($D26,Milestones!$AA$100)&gt;=SchemeStart,IF($X26=0,$AD26,IF(AND($Z26&lt;&gt;"",EDATE($D26,Milestones!$AA$100)&gt;=$Z26),$AC26,IF(AND($Y26&lt;&gt;"",EDATE($D26,Milestones!$AA$100)&gt;=$Y26),$AB26,$AA26)))=Milestones!$AB$100),UPPER(TEXT(EDATE($D26,Milestones!$AA$100),"dd mmm yy"))&amp;" "&amp;Milestones!$AB$100&amp;" "&amp;IF(AND(Milestones!$AB$100="FT",Milestones!$AA$100=FT_Y5,EDATE($D26,Milestones!$AA$100)&lt;PolicyEff),1,Milestones!$AC$100)&amp;";  ","")&amp;IF(AND(EDATE($D26,Milestones!$AA$101)&lt;=AsOfDate,EDATE($D26,Milestones!$AA$101)&gt;=SchemeStart,IF($X26=0,$AD26,IF(AND($Z26&lt;&gt;"",EDATE($D26,Milestones!$AA$101)&gt;=$Z26),$AC26,IF(AND($Y26&lt;&gt;"",EDATE($D26,Milestones!$AA$101)&gt;=$Y26),$AB26,$AA26)))=Milestones!$AB$101),UPPER(TEXT(EDATE($D26,Milestones!$AA$101),"dd mmm yy"))&amp;" "&amp;Milestones!$AB$101&amp;" "&amp;IF(AND(Milestones!$AB$101="FT",Milestones!$AA$101=FT_Y5,EDATE($D26,Milestones!$AA$101)&lt;PolicyEff),1,Milestones!$AC$101)&amp;";  ","")&amp;IF(AND(EDATE($D26,Milestones!$AA$102)&lt;=AsOfDate,EDATE($D26,Milestones!$AA$102)&gt;=SchemeStart,IF($X26=0,$AD26,IF(AND($Z26&lt;&gt;"",EDATE($D26,Milestones!$AA$102)&gt;=$Z26),$AC26,IF(AND($Y26&lt;&gt;"",EDATE($D26,Milestones!$AA$102)&gt;=$Y26),$AB26,$AA26)))=Milestones!$AB$102),UPPER(TEXT(EDATE($D26,Milestones!$AA$102),"dd mmm yy"))&amp;" "&amp;Milestones!$AB$102&amp;" "&amp;IF(AND(Milestones!$AB$102="FT",Milestones!$AA$102=FT_Y5,EDATE($D26,Milestones!$AA$102)&lt;PolicyEff),1,Milestones!$AC$102)&amp;";  ","")&amp;IF(AND(EDATE($D26,Milestones!$AA$103)&lt;=AsOfDate,EDATE($D26,Milestones!$AA$103)&gt;=SchemeStart,IF($X26=0,$AD26,IF(AND($Z26&lt;&gt;"",EDATE($D26,Milestones!$AA$103)&gt;=$Z26),$AC26,IF(AND($Y26&lt;&gt;"",EDATE($D26,Milestones!$AA$103)&gt;=$Y26),$AB26,$AA26)))=Milestones!$AB$103),UPPER(TEXT(EDATE($D26,Milestones!$AA$103),"dd mmm yy"))&amp;" "&amp;Milestones!$AB$103&amp;" "&amp;IF(AND(Milestones!$AB$103="FT",Milestones!$AA$103=FT_Y5,EDATE($D26,Milestones!$AA$103)&lt;PolicyEff),1,Milestones!$AC$103)&amp;";  ",""))</f>
        <v/>
      </c>
      <c r="P26" s="0" t="str">
        <f aca="false">IF(OR($A26="",$D26=""),"",IF(AND(EDATE($D26,Milestones!$AA$104)&lt;=AsOfDate,EDATE($D26,Milestones!$AA$104)&gt;=SchemeStart,IF($X26=0,$AD26,IF(AND($Z26&lt;&gt;"",EDATE($D26,Milestones!$AA$104)&gt;=$Z26),$AC26,IF(AND($Y26&lt;&gt;"",EDATE($D26,Milestones!$AA$104)&gt;=$Y26),$AB26,$AA26)))=Milestones!$AB$104),UPPER(TEXT(EDATE($D26,Milestones!$AA$104),"dd mmm yy"))&amp;" "&amp;Milestones!$AB$104&amp;" "&amp;IF(AND(Milestones!$AB$104="FT",Milestones!$AA$104=FT_Y5,EDATE($D26,Milestones!$AA$104)&lt;PolicyEff),1,Milestones!$AC$104)&amp;";  ","")&amp;IF(AND(EDATE($D26,Milestones!$AA$105)&lt;=AsOfDate,EDATE($D26,Milestones!$AA$105)&gt;=SchemeStart,IF($X26=0,$AD26,IF(AND($Z26&lt;&gt;"",EDATE($D26,Milestones!$AA$105)&gt;=$Z26),$AC26,IF(AND($Y26&lt;&gt;"",EDATE($D26,Milestones!$AA$105)&gt;=$Y26),$AB26,$AA26)))=Milestones!$AB$105),UPPER(TEXT(EDATE($D26,Milestones!$AA$105),"dd mmm yy"))&amp;" "&amp;Milestones!$AB$105&amp;" "&amp;IF(AND(Milestones!$AB$105="FT",Milestones!$AA$105=FT_Y5,EDATE($D26,Milestones!$AA$105)&lt;PolicyEff),1,Milestones!$AC$105)&amp;";  ","")&amp;IF(AND(EDATE($D26,Milestones!$AA$106)&lt;=AsOfDate,EDATE($D26,Milestones!$AA$106)&gt;=SchemeStart,IF($X26=0,$AD26,IF(AND($Z26&lt;&gt;"",EDATE($D26,Milestones!$AA$106)&gt;=$Z26),$AC26,IF(AND($Y26&lt;&gt;"",EDATE($D26,Milestones!$AA$106)&gt;=$Y26),$AB26,$AA26)))=Milestones!$AB$106),UPPER(TEXT(EDATE($D26,Milestones!$AA$106),"dd mmm yy"))&amp;" "&amp;Milestones!$AB$106&amp;" "&amp;IF(AND(Milestones!$AB$106="FT",Milestones!$AA$106=FT_Y5,EDATE($D26,Milestones!$AA$106)&lt;PolicyEff),1,Milestones!$AC$106)&amp;";  ","")&amp;IF(AND(EDATE($D26,Milestones!$AA$107)&lt;=AsOfDate,EDATE($D26,Milestones!$AA$107)&gt;=SchemeStart,IF($X26=0,$AD26,IF(AND($Z26&lt;&gt;"",EDATE($D26,Milestones!$AA$107)&gt;=$Z26),$AC26,IF(AND($Y26&lt;&gt;"",EDATE($D26,Milestones!$AA$107)&gt;=$Y26),$AB26,$AA26)))=Milestones!$AB$107),UPPER(TEXT(EDATE($D26,Milestones!$AA$107),"dd mmm yy"))&amp;" "&amp;Milestones!$AB$107&amp;" "&amp;IF(AND(Milestones!$AB$107="FT",Milestones!$AA$107=FT_Y5,EDATE($D26,Milestones!$AA$107)&lt;PolicyEff),1,Milestones!$AC$107)&amp;";  ","")&amp;IF(AND(EDATE($D26,Milestones!$AA$108)&lt;=AsOfDate,EDATE($D26,Milestones!$AA$108)&gt;=SchemeStart,IF($X26=0,$AD26,IF(AND($Z26&lt;&gt;"",EDATE($D26,Milestones!$AA$108)&gt;=$Z26),$AC26,IF(AND($Y26&lt;&gt;"",EDATE($D26,Milestones!$AA$108)&gt;=$Y26),$AB26,$AA26)))=Milestones!$AB$108),UPPER(TEXT(EDATE($D26,Milestones!$AA$108),"dd mmm yy"))&amp;" "&amp;Milestones!$AB$108&amp;" "&amp;IF(AND(Milestones!$AB$108="FT",Milestones!$AA$108=FT_Y5,EDATE($D26,Milestones!$AA$108)&lt;PolicyEff),1,Milestones!$AC$108)&amp;";  ","")&amp;IF(AND(EDATE($D26,Milestones!$AA$109)&lt;=AsOfDate,EDATE($D26,Milestones!$AA$109)&gt;=SchemeStart,IF($X26=0,$AD26,IF(AND($Z26&lt;&gt;"",EDATE($D26,Milestones!$AA$109)&gt;=$Z26),$AC26,IF(AND($Y26&lt;&gt;"",EDATE($D26,Milestones!$AA$109)&gt;=$Y26),$AB26,$AA26)))=Milestones!$AB$109),UPPER(TEXT(EDATE($D26,Milestones!$AA$109),"dd mmm yy"))&amp;" "&amp;Milestones!$AB$109&amp;" "&amp;IF(AND(Milestones!$AB$109="FT",Milestones!$AA$109=FT_Y5,EDATE($D26,Milestones!$AA$109)&lt;PolicyEff),1,Milestones!$AC$109)&amp;";  ","")&amp;IF(AND(EDATE($D26,Milestones!$AA$110)&lt;=AsOfDate,EDATE($D26,Milestones!$AA$110)&gt;=SchemeStart,IF($X26=0,$AD26,IF(AND($Z26&lt;&gt;"",EDATE($D26,Milestones!$AA$110)&gt;=$Z26),$AC26,IF(AND($Y26&lt;&gt;"",EDATE($D26,Milestones!$AA$110)&gt;=$Y26),$AB26,$AA26)))=Milestones!$AB$110),UPPER(TEXT(EDATE($D26,Milestones!$AA$110),"dd mmm yy"))&amp;" "&amp;Milestones!$AB$110&amp;" "&amp;IF(AND(Milestones!$AB$110="FT",Milestones!$AA$110=FT_Y5,EDATE($D26,Milestones!$AA$110)&lt;PolicyEff),1,Milestones!$AC$110)&amp;";  ","")&amp;IF(AND(EDATE($D26,Milestones!$AA$111)&lt;=AsOfDate,EDATE($D26,Milestones!$AA$111)&gt;=SchemeStart,IF($X26=0,$AD26,IF(AND($Z26&lt;&gt;"",EDATE($D26,Milestones!$AA$111)&gt;=$Z26),$AC26,IF(AND($Y26&lt;&gt;"",EDATE($D26,Milestones!$AA$111)&gt;=$Y26),$AB26,$AA26)))=Milestones!$AB$111),UPPER(TEXT(EDATE($D26,Milestones!$AA$111),"dd mmm yy"))&amp;" "&amp;Milestones!$AB$111&amp;" "&amp;IF(AND(Milestones!$AB$111="FT",Milestones!$AA$111=FT_Y5,EDATE($D26,Milestones!$AA$111)&lt;PolicyEff),1,Milestones!$AC$111)&amp;";  ","")&amp;IF(AND(EDATE($D26,Milestones!$AA$112)&lt;=AsOfDate,EDATE($D26,Milestones!$AA$112)&gt;=SchemeStart,IF($X26=0,$AD26,IF(AND($Z26&lt;&gt;"",EDATE($D26,Milestones!$AA$112)&gt;=$Z26),$AC26,IF(AND($Y26&lt;&gt;"",EDATE($D26,Milestones!$AA$112)&gt;=$Y26),$AB26,$AA26)))=Milestones!$AB$112),UPPER(TEXT(EDATE($D26,Milestones!$AA$112),"dd mmm yy"))&amp;" "&amp;Milestones!$AB$112&amp;" "&amp;IF(AND(Milestones!$AB$112="FT",Milestones!$AA$112=FT_Y5,EDATE($D26,Milestones!$AA$112)&lt;PolicyEff),1,Milestones!$AC$112)&amp;";  ","")&amp;IF(AND(EDATE($D26,Milestones!$AA$113)&lt;=AsOfDate,EDATE($D26,Milestones!$AA$113)&gt;=SchemeStart,IF($X26=0,$AD26,IF(AND($Z26&lt;&gt;"",EDATE($D26,Milestones!$AA$113)&gt;=$Z26),$AC26,IF(AND($Y26&lt;&gt;"",EDATE($D26,Milestones!$AA$113)&gt;=$Y26),$AB26,$AA26)))=Milestones!$AB$113),UPPER(TEXT(EDATE($D26,Milestones!$AA$113),"dd mmm yy"))&amp;" "&amp;Milestones!$AB$113&amp;" "&amp;IF(AND(Milestones!$AB$113="FT",Milestones!$AA$113=FT_Y5,EDATE($D26,Milestones!$AA$113)&lt;PolicyEff),1,Milestones!$AC$113)&amp;";  ","")&amp;IF(AND(EDATE($D26,Milestones!$AA$114)&lt;=AsOfDate,EDATE($D26,Milestones!$AA$114)&gt;=SchemeStart,IF($X26=0,$AD26,IF(AND($Z26&lt;&gt;"",EDATE($D26,Milestones!$AA$114)&gt;=$Z26),$AC26,IF(AND($Y26&lt;&gt;"",EDATE($D26,Milestones!$AA$114)&gt;=$Y26),$AB26,$AA26)))=Milestones!$AB$114),UPPER(TEXT(EDATE($D26,Milestones!$AA$114),"dd mmm yy"))&amp;" "&amp;Milestones!$AB$114&amp;" "&amp;IF(AND(Milestones!$AB$114="FT",Milestones!$AA$114=FT_Y5,EDATE($D26,Milestones!$AA$114)&lt;PolicyEff),1,Milestones!$AC$114)&amp;";  ","")&amp;IF(AND(EDATE($D26,Milestones!$AA$115)&lt;=AsOfDate,EDATE($D26,Milestones!$AA$115)&gt;=SchemeStart,IF($X26=0,$AD26,IF(AND($Z26&lt;&gt;"",EDATE($D26,Milestones!$AA$115)&gt;=$Z26),$AC26,IF(AND($Y26&lt;&gt;"",EDATE($D26,Milestones!$AA$115)&gt;=$Y26),$AB26,$AA26)))=Milestones!$AB$115),UPPER(TEXT(EDATE($D26,Milestones!$AA$115),"dd mmm yy"))&amp;" "&amp;Milestones!$AB$115&amp;" "&amp;IF(AND(Milestones!$AB$115="FT",Milestones!$AA$115=FT_Y5,EDATE($D26,Milestones!$AA$115)&lt;PolicyEff),1,Milestones!$AC$115)&amp;";  ",""))</f>
        <v/>
      </c>
      <c r="Q26" s="0" t="str">
        <f aca="false">IF(OR($A26="",$D26=""),"",IF(AND(EDATE($D26,Milestones!$AA$116)&lt;=AsOfDate,EDATE($D26,Milestones!$AA$116)&gt;=SchemeStart,IF($X26=0,$AD26,IF(AND($Z26&lt;&gt;"",EDATE($D26,Milestones!$AA$116)&gt;=$Z26),$AC26,IF(AND($Y26&lt;&gt;"",EDATE($D26,Milestones!$AA$116)&gt;=$Y26),$AB26,$AA26)))=Milestones!$AB$116),UPPER(TEXT(EDATE($D26,Milestones!$AA$116),"dd mmm yy"))&amp;" "&amp;Milestones!$AB$116&amp;" "&amp;IF(AND(Milestones!$AB$116="FT",Milestones!$AA$116=FT_Y5,EDATE($D26,Milestones!$AA$116)&lt;PolicyEff),1,Milestones!$AC$116)&amp;";  ","")&amp;IF(AND(EDATE($D26,Milestones!$AA$117)&lt;=AsOfDate,EDATE($D26,Milestones!$AA$117)&gt;=SchemeStart,IF($X26=0,$AD26,IF(AND($Z26&lt;&gt;"",EDATE($D26,Milestones!$AA$117)&gt;=$Z26),$AC26,IF(AND($Y26&lt;&gt;"",EDATE($D26,Milestones!$AA$117)&gt;=$Y26),$AB26,$AA26)))=Milestones!$AB$117),UPPER(TEXT(EDATE($D26,Milestones!$AA$117),"dd mmm yy"))&amp;" "&amp;Milestones!$AB$117&amp;" "&amp;IF(AND(Milestones!$AB$117="FT",Milestones!$AA$117=FT_Y5,EDATE($D26,Milestones!$AA$117)&lt;PolicyEff),1,Milestones!$AC$117)&amp;";  ","")&amp;IF(AND(EDATE($D26,Milestones!$AA$118)&lt;=AsOfDate,EDATE($D26,Milestones!$AA$118)&gt;=SchemeStart,IF($X26=0,$AD26,IF(AND($Z26&lt;&gt;"",EDATE($D26,Milestones!$AA$118)&gt;=$Z26),$AC26,IF(AND($Y26&lt;&gt;"",EDATE($D26,Milestones!$AA$118)&gt;=$Y26),$AB26,$AA26)))=Milestones!$AB$118),UPPER(TEXT(EDATE($D26,Milestones!$AA$118),"dd mmm yy"))&amp;" "&amp;Milestones!$AB$118&amp;" "&amp;IF(AND(Milestones!$AB$118="FT",Milestones!$AA$118=FT_Y5,EDATE($D26,Milestones!$AA$118)&lt;PolicyEff),1,Milestones!$AC$118)&amp;";  ","")&amp;IF(AND(EDATE($D26,Milestones!$AA$119)&lt;=AsOfDate,EDATE($D26,Milestones!$AA$119)&gt;=SchemeStart,IF($X26=0,$AD26,IF(AND($Z26&lt;&gt;"",EDATE($D26,Milestones!$AA$119)&gt;=$Z26),$AC26,IF(AND($Y26&lt;&gt;"",EDATE($D26,Milestones!$AA$119)&gt;=$Y26),$AB26,$AA26)))=Milestones!$AB$119),UPPER(TEXT(EDATE($D26,Milestones!$AA$119),"dd mmm yy"))&amp;" "&amp;Milestones!$AB$119&amp;" "&amp;IF(AND(Milestones!$AB$119="FT",Milestones!$AA$119=FT_Y5,EDATE($D26,Milestones!$AA$119)&lt;PolicyEff),1,Milestones!$AC$119)&amp;";  ","")&amp;IF(AND(EDATE($D26,Milestones!$AA$120)&lt;=AsOfDate,EDATE($D26,Milestones!$AA$120)&gt;=SchemeStart,IF($X26=0,$AD26,IF(AND($Z26&lt;&gt;"",EDATE($D26,Milestones!$AA$120)&gt;=$Z26),$AC26,IF(AND($Y26&lt;&gt;"",EDATE($D26,Milestones!$AA$120)&gt;=$Y26),$AB26,$AA26)))=Milestones!$AB$120),UPPER(TEXT(EDATE($D26,Milestones!$AA$120),"dd mmm yy"))&amp;" "&amp;Milestones!$AB$120&amp;" "&amp;IF(AND(Milestones!$AB$120="FT",Milestones!$AA$120=FT_Y5,EDATE($D26,Milestones!$AA$120)&lt;PolicyEff),1,Milestones!$AC$120)&amp;";  ","")&amp;IF(AND(EDATE($D26,Milestones!$AA$121)&lt;=AsOfDate,EDATE($D26,Milestones!$AA$121)&gt;=SchemeStart,IF($X26=0,$AD26,IF(AND($Z26&lt;&gt;"",EDATE($D26,Milestones!$AA$121)&gt;=$Z26),$AC26,IF(AND($Y26&lt;&gt;"",EDATE($D26,Milestones!$AA$121)&gt;=$Y26),$AB26,$AA26)))=Milestones!$AB$121),UPPER(TEXT(EDATE($D26,Milestones!$AA$121),"dd mmm yy"))&amp;" "&amp;Milestones!$AB$121&amp;" "&amp;IF(AND(Milestones!$AB$121="FT",Milestones!$AA$121=FT_Y5,EDATE($D26,Milestones!$AA$121)&lt;PolicyEff),1,Milestones!$AC$121)&amp;";  ","")&amp;IF(AND(EDATE($D26,Milestones!$AA$122)&lt;=AsOfDate,EDATE($D26,Milestones!$AA$122)&gt;=SchemeStart,IF($X26=0,$AD26,IF(AND($Z26&lt;&gt;"",EDATE($D26,Milestones!$AA$122)&gt;=$Z26),$AC26,IF(AND($Y26&lt;&gt;"",EDATE($D26,Milestones!$AA$122)&gt;=$Y26),$AB26,$AA26)))=Milestones!$AB$122),UPPER(TEXT(EDATE($D26,Milestones!$AA$122),"dd mmm yy"))&amp;" "&amp;Milestones!$AB$122&amp;" "&amp;IF(AND(Milestones!$AB$122="FT",Milestones!$AA$122=FT_Y5,EDATE($D26,Milestones!$AA$122)&lt;PolicyEff),1,Milestones!$AC$122)&amp;";  ","")&amp;IF(AND(EDATE($D26,Milestones!$AA$123)&lt;=AsOfDate,EDATE($D26,Milestones!$AA$123)&gt;=SchemeStart,IF($X26=0,$AD26,IF(AND($Z26&lt;&gt;"",EDATE($D26,Milestones!$AA$123)&gt;=$Z26),$AC26,IF(AND($Y26&lt;&gt;"",EDATE($D26,Milestones!$AA$123)&gt;=$Y26),$AB26,$AA26)))=Milestones!$AB$123),UPPER(TEXT(EDATE($D26,Milestones!$AA$123),"dd mmm yy"))&amp;" "&amp;Milestones!$AB$123&amp;" "&amp;IF(AND(Milestones!$AB$123="FT",Milestones!$AA$123=FT_Y5,EDATE($D26,Milestones!$AA$123)&lt;PolicyEff),1,Milestones!$AC$123)&amp;";  ","")&amp;IF(AND(EDATE($D26,Milestones!$AA$124)&lt;=AsOfDate,EDATE($D26,Milestones!$AA$124)&gt;=SchemeStart,IF($X26=0,$AD26,IF(AND($Z26&lt;&gt;"",EDATE($D26,Milestones!$AA$124)&gt;=$Z26),$AC26,IF(AND($Y26&lt;&gt;"",EDATE($D26,Milestones!$AA$124)&gt;=$Y26),$AB26,$AA26)))=Milestones!$AB$124),UPPER(TEXT(EDATE($D26,Milestones!$AA$124),"dd mmm yy"))&amp;" "&amp;Milestones!$AB$124&amp;" "&amp;IF(AND(Milestones!$AB$124="FT",Milestones!$AA$124=FT_Y5,EDATE($D26,Milestones!$AA$124)&lt;PolicyEff),1,Milestones!$AC$124)&amp;";  ","")&amp;IF(AND(EDATE($D26,Milestones!$AA$125)&lt;=AsOfDate,EDATE($D26,Milestones!$AA$125)&gt;=SchemeStart,IF($X26=0,$AD26,IF(AND($Z26&lt;&gt;"",EDATE($D26,Milestones!$AA$125)&gt;=$Z26),$AC26,IF(AND($Y26&lt;&gt;"",EDATE($D26,Milestones!$AA$125)&gt;=$Y26),$AB26,$AA26)))=Milestones!$AB$125),UPPER(TEXT(EDATE($D26,Milestones!$AA$125),"dd mmm yy"))&amp;" "&amp;Milestones!$AB$125&amp;" "&amp;IF(AND(Milestones!$AB$125="FT",Milestones!$AA$125=FT_Y5,EDATE($D26,Milestones!$AA$125)&lt;PolicyEff),1,Milestones!$AC$125)&amp;";  ","")&amp;IF(AND(EDATE($D26,Milestones!$AA$126)&lt;=AsOfDate,EDATE($D26,Milestones!$AA$126)&gt;=SchemeStart,IF($X26=0,$AD26,IF(AND($Z26&lt;&gt;"",EDATE($D26,Milestones!$AA$126)&gt;=$Z26),$AC26,IF(AND($Y26&lt;&gt;"",EDATE($D26,Milestones!$AA$126)&gt;=$Y26),$AB26,$AA26)))=Milestones!$AB$126),UPPER(TEXT(EDATE($D26,Milestones!$AA$126),"dd mmm yy"))&amp;" "&amp;Milestones!$AB$126&amp;" "&amp;IF(AND(Milestones!$AB$126="FT",Milestones!$AA$126=FT_Y5,EDATE($D26,Milestones!$AA$126)&lt;PolicyEff),1,Milestones!$AC$126)&amp;";  ","")&amp;IF(AND(EDATE($D26,Milestones!$AA$127)&lt;=AsOfDate,EDATE($D26,Milestones!$AA$127)&gt;=SchemeStart,IF($X26=0,$AD26,IF(AND($Z26&lt;&gt;"",EDATE($D26,Milestones!$AA$127)&gt;=$Z26),$AC26,IF(AND($Y26&lt;&gt;"",EDATE($D26,Milestones!$AA$127)&gt;=$Y26),$AB26,$AA26)))=Milestones!$AB$127),UPPER(TEXT(EDATE($D26,Milestones!$AA$127),"dd mmm yy"))&amp;" "&amp;Milestones!$AB$127&amp;" "&amp;IF(AND(Milestones!$AB$127="FT",Milestones!$AA$127=FT_Y5,EDATE($D26,Milestones!$AA$127)&lt;PolicyEff),1,Milestones!$AC$127)&amp;";  ",""))</f>
        <v/>
      </c>
      <c r="R26" s="0" t="str">
        <f aca="false">IF(OR($A26="",$D26=""),"",IF(AND(EDATE($D26,Milestones!$AA$128)&lt;=AsOfDate,EDATE($D26,Milestones!$AA$128)&gt;=SchemeStart,IF($X26=0,$AD26,IF(AND($Z26&lt;&gt;"",EDATE($D26,Milestones!$AA$128)&gt;=$Z26),$AC26,IF(AND($Y26&lt;&gt;"",EDATE($D26,Milestones!$AA$128)&gt;=$Y26),$AB26,$AA26)))=Milestones!$AB$128),UPPER(TEXT(EDATE($D26,Milestones!$AA$128),"dd mmm yy"))&amp;" "&amp;Milestones!$AB$128&amp;" "&amp;IF(AND(Milestones!$AB$128="FT",Milestones!$AA$128=FT_Y5,EDATE($D26,Milestones!$AA$128)&lt;PolicyEff),1,Milestones!$AC$128)&amp;";  ","")&amp;IF(AND(EDATE($D26,Milestones!$AA$129)&lt;=AsOfDate,EDATE($D26,Milestones!$AA$129)&gt;=SchemeStart,IF($X26=0,$AD26,IF(AND($Z26&lt;&gt;"",EDATE($D26,Milestones!$AA$129)&gt;=$Z26),$AC26,IF(AND($Y26&lt;&gt;"",EDATE($D26,Milestones!$AA$129)&gt;=$Y26),$AB26,$AA26)))=Milestones!$AB$129),UPPER(TEXT(EDATE($D26,Milestones!$AA$129),"dd mmm yy"))&amp;" "&amp;Milestones!$AB$129&amp;" "&amp;IF(AND(Milestones!$AB$129="FT",Milestones!$AA$129=FT_Y5,EDATE($D26,Milestones!$AA$129)&lt;PolicyEff),1,Milestones!$AC$129)&amp;";  ","")&amp;IF(AND(EDATE($D26,Milestones!$AA$130)&lt;=AsOfDate,EDATE($D26,Milestones!$AA$130)&gt;=SchemeStart,IF($X26=0,$AD26,IF(AND($Z26&lt;&gt;"",EDATE($D26,Milestones!$AA$130)&gt;=$Z26),$AC26,IF(AND($Y26&lt;&gt;"",EDATE($D26,Milestones!$AA$130)&gt;=$Y26),$AB26,$AA26)))=Milestones!$AB$130),UPPER(TEXT(EDATE($D26,Milestones!$AA$130),"dd mmm yy"))&amp;" "&amp;Milestones!$AB$130&amp;" "&amp;IF(AND(Milestones!$AB$130="FT",Milestones!$AA$130=FT_Y5,EDATE($D26,Milestones!$AA$130)&lt;PolicyEff),1,Milestones!$AC$130)&amp;";  ","")&amp;IF(AND(EDATE($D26,Milestones!$AA$131)&lt;=AsOfDate,EDATE($D26,Milestones!$AA$131)&gt;=SchemeStart,IF($X26=0,$AD26,IF(AND($Z26&lt;&gt;"",EDATE($D26,Milestones!$AA$131)&gt;=$Z26),$AC26,IF(AND($Y26&lt;&gt;"",EDATE($D26,Milestones!$AA$131)&gt;=$Y26),$AB26,$AA26)))=Milestones!$AB$131),UPPER(TEXT(EDATE($D26,Milestones!$AA$131),"dd mmm yy"))&amp;" "&amp;Milestones!$AB$131&amp;" "&amp;IF(AND(Milestones!$AB$131="FT",Milestones!$AA$131=FT_Y5,EDATE($D26,Milestones!$AA$131)&lt;PolicyEff),1,Milestones!$AC$131)&amp;";  ","")&amp;IF(AND(EDATE($D26,Milestones!$AA$132)&lt;=AsOfDate,EDATE($D26,Milestones!$AA$132)&gt;=SchemeStart,IF($X26=0,$AD26,IF(AND($Z26&lt;&gt;"",EDATE($D26,Milestones!$AA$132)&gt;=$Z26),$AC26,IF(AND($Y26&lt;&gt;"",EDATE($D26,Milestones!$AA$132)&gt;=$Y26),$AB26,$AA26)))=Milestones!$AB$132),UPPER(TEXT(EDATE($D26,Milestones!$AA$132),"dd mmm yy"))&amp;" "&amp;Milestones!$AB$132&amp;" "&amp;IF(AND(Milestones!$AB$132="FT",Milestones!$AA$132=FT_Y5,EDATE($D26,Milestones!$AA$132)&lt;PolicyEff),1,Milestones!$AC$132)&amp;";  ","")&amp;IF(AND(EDATE($D26,Milestones!$AA$133)&lt;=AsOfDate,EDATE($D26,Milestones!$AA$133)&gt;=SchemeStart,IF($X26=0,$AD26,IF(AND($Z26&lt;&gt;"",EDATE($D26,Milestones!$AA$133)&gt;=$Z26),$AC26,IF(AND($Y26&lt;&gt;"",EDATE($D26,Milestones!$AA$133)&gt;=$Y26),$AB26,$AA26)))=Milestones!$AB$133),UPPER(TEXT(EDATE($D26,Milestones!$AA$133),"dd mmm yy"))&amp;" "&amp;Milestones!$AB$133&amp;" "&amp;IF(AND(Milestones!$AB$133="FT",Milestones!$AA$133=FT_Y5,EDATE($D26,Milestones!$AA$133)&lt;PolicyEff),1,Milestones!$AC$133)&amp;";  ","")&amp;IF(AND(EDATE($D26,Milestones!$AA$134)&lt;=AsOfDate,EDATE($D26,Milestones!$AA$134)&gt;=SchemeStart,IF($X26=0,$AD26,IF(AND($Z26&lt;&gt;"",EDATE($D26,Milestones!$AA$134)&gt;=$Z26),$AC26,IF(AND($Y26&lt;&gt;"",EDATE($D26,Milestones!$AA$134)&gt;=$Y26),$AB26,$AA26)))=Milestones!$AB$134),UPPER(TEXT(EDATE($D26,Milestones!$AA$134),"dd mmm yy"))&amp;" "&amp;Milestones!$AB$134&amp;" "&amp;IF(AND(Milestones!$AB$134="FT",Milestones!$AA$134=FT_Y5,EDATE($D26,Milestones!$AA$134)&lt;PolicyEff),1,Milestones!$AC$134)&amp;";  ","")&amp;IF(AND(EDATE($D26,Milestones!$AA$135)&lt;=AsOfDate,EDATE($D26,Milestones!$AA$135)&gt;=SchemeStart,IF($X26=0,$AD26,IF(AND($Z26&lt;&gt;"",EDATE($D26,Milestones!$AA$135)&gt;=$Z26),$AC26,IF(AND($Y26&lt;&gt;"",EDATE($D26,Milestones!$AA$135)&gt;=$Y26),$AB26,$AA26)))=Milestones!$AB$135),UPPER(TEXT(EDATE($D26,Milestones!$AA$135),"dd mmm yy"))&amp;" "&amp;Milestones!$AB$135&amp;" "&amp;IF(AND(Milestones!$AB$135="FT",Milestones!$AA$135=FT_Y5,EDATE($D26,Milestones!$AA$135)&lt;PolicyEff),1,Milestones!$AC$135)&amp;";  ","")&amp;IF(AND(EDATE($D26,Milestones!$AA$136)&lt;=AsOfDate,EDATE($D26,Milestones!$AA$136)&gt;=SchemeStart,IF($X26=0,$AD26,IF(AND($Z26&lt;&gt;"",EDATE($D26,Milestones!$AA$136)&gt;=$Z26),$AC26,IF(AND($Y26&lt;&gt;"",EDATE($D26,Milestones!$AA$136)&gt;=$Y26),$AB26,$AA26)))=Milestones!$AB$136),UPPER(TEXT(EDATE($D26,Milestones!$AA$136),"dd mmm yy"))&amp;" "&amp;Milestones!$AB$136&amp;" "&amp;IF(AND(Milestones!$AB$136="FT",Milestones!$AA$136=FT_Y5,EDATE($D26,Milestones!$AA$136)&lt;PolicyEff),1,Milestones!$AC$136)&amp;";  ","")&amp;IF(AND(EDATE($D26,Milestones!$AA$137)&lt;=AsOfDate,EDATE($D26,Milestones!$AA$137)&gt;=SchemeStart,IF($X26=0,$AD26,IF(AND($Z26&lt;&gt;"",EDATE($D26,Milestones!$AA$137)&gt;=$Z26),$AC26,IF(AND($Y26&lt;&gt;"",EDATE($D26,Milestones!$AA$137)&gt;=$Y26),$AB26,$AA26)))=Milestones!$AB$137),UPPER(TEXT(EDATE($D26,Milestones!$AA$137),"dd mmm yy"))&amp;" "&amp;Milestones!$AB$137&amp;" "&amp;IF(AND(Milestones!$AB$137="FT",Milestones!$AA$137=FT_Y5,EDATE($D26,Milestones!$AA$137)&lt;PolicyEff),1,Milestones!$AC$137)&amp;";  ","")&amp;IF(AND(EDATE($D26,Milestones!$AA$138)&lt;=AsOfDate,EDATE($D26,Milestones!$AA$138)&gt;=SchemeStart,IF($X26=0,$AD26,IF(AND($Z26&lt;&gt;"",EDATE($D26,Milestones!$AA$138)&gt;=$Z26),$AC26,IF(AND($Y26&lt;&gt;"",EDATE($D26,Milestones!$AA$138)&gt;=$Y26),$AB26,$AA26)))=Milestones!$AB$138),UPPER(TEXT(EDATE($D26,Milestones!$AA$138),"dd mmm yy"))&amp;" "&amp;Milestones!$AB$138&amp;" "&amp;IF(AND(Milestones!$AB$138="FT",Milestones!$AA$138=FT_Y5,EDATE($D26,Milestones!$AA$138)&lt;PolicyEff),1,Milestones!$AC$138)&amp;";  ","")&amp;IF(AND(EDATE($D26,Milestones!$AA$139)&lt;=AsOfDate,EDATE($D26,Milestones!$AA$139)&gt;=SchemeStart,IF($X26=0,$AD26,IF(AND($Z26&lt;&gt;"",EDATE($D26,Milestones!$AA$139)&gt;=$Z26),$AC26,IF(AND($Y26&lt;&gt;"",EDATE($D26,Milestones!$AA$139)&gt;=$Y26),$AB26,$AA26)))=Milestones!$AB$139),UPPER(TEXT(EDATE($D26,Milestones!$AA$139),"dd mmm yy"))&amp;" "&amp;Milestones!$AB$139&amp;" "&amp;IF(AND(Milestones!$AB$139="FT",Milestones!$AA$139=FT_Y5,EDATE($D26,Milestones!$AA$139)&lt;PolicyEff),1,Milestones!$AC$139)&amp;";  ",""))</f>
        <v/>
      </c>
      <c r="S26" s="0" t="str">
        <f aca="false">IF(OR($A26="",$D26=""),"",IF(AND(EDATE($D26,Milestones!$AA$140)&lt;=AsOfDate,EDATE($D26,Milestones!$AA$140)&gt;=SchemeStart,IF($X26=0,$AD26,IF(AND($Z26&lt;&gt;"",EDATE($D26,Milestones!$AA$140)&gt;=$Z26),$AC26,IF(AND($Y26&lt;&gt;"",EDATE($D26,Milestones!$AA$140)&gt;=$Y26),$AB26,$AA26)))=Milestones!$AB$140),UPPER(TEXT(EDATE($D26,Milestones!$AA$140),"dd mmm yy"))&amp;" "&amp;Milestones!$AB$140&amp;" "&amp;IF(AND(Milestones!$AB$140="FT",Milestones!$AA$140=FT_Y5,EDATE($D26,Milestones!$AA$140)&lt;PolicyEff),1,Milestones!$AC$140)&amp;";  ","")&amp;IF(AND(EDATE($D26,Milestones!$AA$141)&lt;=AsOfDate,EDATE($D26,Milestones!$AA$141)&gt;=SchemeStart,IF($X26=0,$AD26,IF(AND($Z26&lt;&gt;"",EDATE($D26,Milestones!$AA$141)&gt;=$Z26),$AC26,IF(AND($Y26&lt;&gt;"",EDATE($D26,Milestones!$AA$141)&gt;=$Y26),$AB26,$AA26)))=Milestones!$AB$141),UPPER(TEXT(EDATE($D26,Milestones!$AA$141),"dd mmm yy"))&amp;" "&amp;Milestones!$AB$141&amp;" "&amp;IF(AND(Milestones!$AB$141="FT",Milestones!$AA$141=FT_Y5,EDATE($D26,Milestones!$AA$141)&lt;PolicyEff),1,Milestones!$AC$141)&amp;";  ","")&amp;IF(AND(EDATE($D26,Milestones!$AA$142)&lt;=AsOfDate,EDATE($D26,Milestones!$AA$142)&gt;=SchemeStart,IF($X26=0,$AD26,IF(AND($Z26&lt;&gt;"",EDATE($D26,Milestones!$AA$142)&gt;=$Z26),$AC26,IF(AND($Y26&lt;&gt;"",EDATE($D26,Milestones!$AA$142)&gt;=$Y26),$AB26,$AA26)))=Milestones!$AB$142),UPPER(TEXT(EDATE($D26,Milestones!$AA$142),"dd mmm yy"))&amp;" "&amp;Milestones!$AB$142&amp;" "&amp;IF(AND(Milestones!$AB$142="FT",Milestones!$AA$142=FT_Y5,EDATE($D26,Milestones!$AA$142)&lt;PolicyEff),1,Milestones!$AC$142)&amp;";  ","")&amp;IF(AND(EDATE($D26,Milestones!$AA$143)&lt;=AsOfDate,EDATE($D26,Milestones!$AA$143)&gt;=SchemeStart,IF($X26=0,$AD26,IF(AND($Z26&lt;&gt;"",EDATE($D26,Milestones!$AA$143)&gt;=$Z26),$AC26,IF(AND($Y26&lt;&gt;"",EDATE($D26,Milestones!$AA$143)&gt;=$Y26),$AB26,$AA26)))=Milestones!$AB$143),UPPER(TEXT(EDATE($D26,Milestones!$AA$143),"dd mmm yy"))&amp;" "&amp;Milestones!$AB$143&amp;" "&amp;IF(AND(Milestones!$AB$143="FT",Milestones!$AA$143=FT_Y5,EDATE($D26,Milestones!$AA$143)&lt;PolicyEff),1,Milestones!$AC$143)&amp;";  ","")&amp;IF(AND(EDATE($D26,Milestones!$AA$144)&lt;=AsOfDate,EDATE($D26,Milestones!$AA$144)&gt;=SchemeStart,IF($X26=0,$AD26,IF(AND($Z26&lt;&gt;"",EDATE($D26,Milestones!$AA$144)&gt;=$Z26),$AC26,IF(AND($Y26&lt;&gt;"",EDATE($D26,Milestones!$AA$144)&gt;=$Y26),$AB26,$AA26)))=Milestones!$AB$144),UPPER(TEXT(EDATE($D26,Milestones!$AA$144),"dd mmm yy"))&amp;" "&amp;Milestones!$AB$144&amp;" "&amp;IF(AND(Milestones!$AB$144="FT",Milestones!$AA$144=FT_Y5,EDATE($D26,Milestones!$AA$144)&lt;PolicyEff),1,Milestones!$AC$144)&amp;";  ","")&amp;IF(AND(EDATE($D26,Milestones!$AA$145)&lt;=AsOfDate,EDATE($D26,Milestones!$AA$145)&gt;=SchemeStart,IF($X26=0,$AD26,IF(AND($Z26&lt;&gt;"",EDATE($D26,Milestones!$AA$145)&gt;=$Z26),$AC26,IF(AND($Y26&lt;&gt;"",EDATE($D26,Milestones!$AA$145)&gt;=$Y26),$AB26,$AA26)))=Milestones!$AB$145),UPPER(TEXT(EDATE($D26,Milestones!$AA$145),"dd mmm yy"))&amp;" "&amp;Milestones!$AB$145&amp;" "&amp;IF(AND(Milestones!$AB$145="FT",Milestones!$AA$145=FT_Y5,EDATE($D26,Milestones!$AA$145)&lt;PolicyEff),1,Milestones!$AC$145)&amp;";  ","")&amp;IF(AND(EDATE($D26,Milestones!$AA$146)&lt;=AsOfDate,EDATE($D26,Milestones!$AA$146)&gt;=SchemeStart,IF($X26=0,$AD26,IF(AND($Z26&lt;&gt;"",EDATE($D26,Milestones!$AA$146)&gt;=$Z26),$AC26,IF(AND($Y26&lt;&gt;"",EDATE($D26,Milestones!$AA$146)&gt;=$Y26),$AB26,$AA26)))=Milestones!$AB$146),UPPER(TEXT(EDATE($D26,Milestones!$AA$146),"dd mmm yy"))&amp;" "&amp;Milestones!$AB$146&amp;" "&amp;IF(AND(Milestones!$AB$146="FT",Milestones!$AA$146=FT_Y5,EDATE($D26,Milestones!$AA$146)&lt;PolicyEff),1,Milestones!$AC$146)&amp;";  ","")&amp;IF(AND(EDATE($D26,Milestones!$AA$147)&lt;=AsOfDate,EDATE($D26,Milestones!$AA$147)&gt;=SchemeStart,IF($X26=0,$AD26,IF(AND($Z26&lt;&gt;"",EDATE($D26,Milestones!$AA$147)&gt;=$Z26),$AC26,IF(AND($Y26&lt;&gt;"",EDATE($D26,Milestones!$AA$147)&gt;=$Y26),$AB26,$AA26)))=Milestones!$AB$147),UPPER(TEXT(EDATE($D26,Milestones!$AA$147),"dd mmm yy"))&amp;" "&amp;Milestones!$AB$147&amp;" "&amp;IF(AND(Milestones!$AB$147="FT",Milestones!$AA$147=FT_Y5,EDATE($D26,Milestones!$AA$147)&lt;PolicyEff),1,Milestones!$AC$147)&amp;";  ","")&amp;IF(AND(EDATE($D26,Milestones!$AA$148)&lt;=AsOfDate,EDATE($D26,Milestones!$AA$148)&gt;=SchemeStart,IF($X26=0,$AD26,IF(AND($Z26&lt;&gt;"",EDATE($D26,Milestones!$AA$148)&gt;=$Z26),$AC26,IF(AND($Y26&lt;&gt;"",EDATE($D26,Milestones!$AA$148)&gt;=$Y26),$AB26,$AA26)))=Milestones!$AB$148),UPPER(TEXT(EDATE($D26,Milestones!$AA$148),"dd mmm yy"))&amp;" "&amp;Milestones!$AB$148&amp;" "&amp;IF(AND(Milestones!$AB$148="FT",Milestones!$AA$148=FT_Y5,EDATE($D26,Milestones!$AA$148)&lt;PolicyEff),1,Milestones!$AC$148)&amp;";  ","")&amp;IF(AND(EDATE($D26,Milestones!$AA$149)&lt;=AsOfDate,EDATE($D26,Milestones!$AA$149)&gt;=SchemeStart,IF($X26=0,$AD26,IF(AND($Z26&lt;&gt;"",EDATE($D26,Milestones!$AA$149)&gt;=$Z26),$AC26,IF(AND($Y26&lt;&gt;"",EDATE($D26,Milestones!$AA$149)&gt;=$Y26),$AB26,$AA26)))=Milestones!$AB$149),UPPER(TEXT(EDATE($D26,Milestones!$AA$149),"dd mmm yy"))&amp;" "&amp;Milestones!$AB$149&amp;" "&amp;IF(AND(Milestones!$AB$149="FT",Milestones!$AA$149=FT_Y5,EDATE($D26,Milestones!$AA$149)&lt;PolicyEff),1,Milestones!$AC$149)&amp;";  ","")&amp;IF(AND(EDATE($D26,Milestones!$AA$150)&lt;=AsOfDate,EDATE($D26,Milestones!$AA$150)&gt;=SchemeStart,IF($X26=0,$AD26,IF(AND($Z26&lt;&gt;"",EDATE($D26,Milestones!$AA$150)&gt;=$Z26),$AC26,IF(AND($Y26&lt;&gt;"",EDATE($D26,Milestones!$AA$150)&gt;=$Y26),$AB26,$AA26)))=Milestones!$AB$150),UPPER(TEXT(EDATE($D26,Milestones!$AA$150),"dd mmm yy"))&amp;" "&amp;Milestones!$AB$150&amp;" "&amp;IF(AND(Milestones!$AB$150="FT",Milestones!$AA$150=FT_Y5,EDATE($D26,Milestones!$AA$150)&lt;PolicyEff),1,Milestones!$AC$150)&amp;";  ","")&amp;IF(AND(EDATE($D26,Milestones!$AA$151)&lt;=AsOfDate,EDATE($D26,Milestones!$AA$151)&gt;=SchemeStart,IF($X26=0,$AD26,IF(AND($Z26&lt;&gt;"",EDATE($D26,Milestones!$AA$151)&gt;=$Z26),$AC26,IF(AND($Y26&lt;&gt;"",EDATE($D26,Milestones!$AA$151)&gt;=$Y26),$AB26,$AA26)))=Milestones!$AB$151),UPPER(TEXT(EDATE($D26,Milestones!$AA$151),"dd mmm yy"))&amp;" "&amp;Milestones!$AB$151&amp;" "&amp;IF(AND(Milestones!$AB$151="FT",Milestones!$AA$151=FT_Y5,EDATE($D26,Milestones!$AA$151)&lt;PolicyEff),1,Milestones!$AC$151)&amp;";  ",""))</f>
        <v/>
      </c>
      <c r="T26" s="0" t="str">
        <f aca="false">IF(OR($A26="",$D26=""),"",IF(AND(EDATE($D26,Milestones!$AA$152)&lt;=AsOfDate,EDATE($D26,Milestones!$AA$152)&gt;=SchemeStart,IF($X26=0,$AD26,IF(AND($Z26&lt;&gt;"",EDATE($D26,Milestones!$AA$152)&gt;=$Z26),$AC26,IF(AND($Y26&lt;&gt;"",EDATE($D26,Milestones!$AA$152)&gt;=$Y26),$AB26,$AA26)))=Milestones!$AB$152),UPPER(TEXT(EDATE($D26,Milestones!$AA$152),"dd mmm yy"))&amp;" "&amp;Milestones!$AB$152&amp;" "&amp;IF(AND(Milestones!$AB$152="FT",Milestones!$AA$152=FT_Y5,EDATE($D26,Milestones!$AA$152)&lt;PolicyEff),1,Milestones!$AC$152)&amp;";  ","")&amp;IF(AND(EDATE($D26,Milestones!$AA$153)&lt;=AsOfDate,EDATE($D26,Milestones!$AA$153)&gt;=SchemeStart,IF($X26=0,$AD26,IF(AND($Z26&lt;&gt;"",EDATE($D26,Milestones!$AA$153)&gt;=$Z26),$AC26,IF(AND($Y26&lt;&gt;"",EDATE($D26,Milestones!$AA$153)&gt;=$Y26),$AB26,$AA26)))=Milestones!$AB$153),UPPER(TEXT(EDATE($D26,Milestones!$AA$153),"dd mmm yy"))&amp;" "&amp;Milestones!$AB$153&amp;" "&amp;IF(AND(Milestones!$AB$153="FT",Milestones!$AA$153=FT_Y5,EDATE($D26,Milestones!$AA$153)&lt;PolicyEff),1,Milestones!$AC$153)&amp;";  ","")&amp;IF(AND(EDATE($D26,Milestones!$AA$154)&lt;=AsOfDate,EDATE($D26,Milestones!$AA$154)&gt;=SchemeStart,IF($X26=0,$AD26,IF(AND($Z26&lt;&gt;"",EDATE($D26,Milestones!$AA$154)&gt;=$Z26),$AC26,IF(AND($Y26&lt;&gt;"",EDATE($D26,Milestones!$AA$154)&gt;=$Y26),$AB26,$AA26)))=Milestones!$AB$154),UPPER(TEXT(EDATE($D26,Milestones!$AA$154),"dd mmm yy"))&amp;" "&amp;Milestones!$AB$154&amp;" "&amp;IF(AND(Milestones!$AB$154="FT",Milestones!$AA$154=FT_Y5,EDATE($D26,Milestones!$AA$154)&lt;PolicyEff),1,Milestones!$AC$154)&amp;";  ","")&amp;IF(AND(EDATE($D26,Milestones!$AA$155)&lt;=AsOfDate,EDATE($D26,Milestones!$AA$155)&gt;=SchemeStart,IF($X26=0,$AD26,IF(AND($Z26&lt;&gt;"",EDATE($D26,Milestones!$AA$155)&gt;=$Z26),$AC26,IF(AND($Y26&lt;&gt;"",EDATE($D26,Milestones!$AA$155)&gt;=$Y26),$AB26,$AA26)))=Milestones!$AB$155),UPPER(TEXT(EDATE($D26,Milestones!$AA$155),"dd mmm yy"))&amp;" "&amp;Milestones!$AB$155&amp;" "&amp;IF(AND(Milestones!$AB$155="FT",Milestones!$AA$155=FT_Y5,EDATE($D26,Milestones!$AA$155)&lt;PolicyEff),1,Milestones!$AC$155)&amp;";  ","")&amp;IF(AND(EDATE($D26,Milestones!$AA$156)&lt;=AsOfDate,EDATE($D26,Milestones!$AA$156)&gt;=SchemeStart,IF($X26=0,$AD26,IF(AND($Z26&lt;&gt;"",EDATE($D26,Milestones!$AA$156)&gt;=$Z26),$AC26,IF(AND($Y26&lt;&gt;"",EDATE($D26,Milestones!$AA$156)&gt;=$Y26),$AB26,$AA26)))=Milestones!$AB$156),UPPER(TEXT(EDATE($D26,Milestones!$AA$156),"dd mmm yy"))&amp;" "&amp;Milestones!$AB$156&amp;" "&amp;IF(AND(Milestones!$AB$156="FT",Milestones!$AA$156=FT_Y5,EDATE($D26,Milestones!$AA$156)&lt;PolicyEff),1,Milestones!$AC$156)&amp;";  ","")&amp;IF(AND(EDATE($D26,Milestones!$AA$157)&lt;=AsOfDate,EDATE($D26,Milestones!$AA$157)&gt;=SchemeStart,IF($X26=0,$AD26,IF(AND($Z26&lt;&gt;"",EDATE($D26,Milestones!$AA$157)&gt;=$Z26),$AC26,IF(AND($Y26&lt;&gt;"",EDATE($D26,Milestones!$AA$157)&gt;=$Y26),$AB26,$AA26)))=Milestones!$AB$157),UPPER(TEXT(EDATE($D26,Milestones!$AA$157),"dd mmm yy"))&amp;" "&amp;Milestones!$AB$157&amp;" "&amp;IF(AND(Milestones!$AB$157="FT",Milestones!$AA$157=FT_Y5,EDATE($D26,Milestones!$AA$157)&lt;PolicyEff),1,Milestones!$AC$157)&amp;";  ","")&amp;IF(AND(EDATE($D26,Milestones!$AA$158)&lt;=AsOfDate,EDATE($D26,Milestones!$AA$158)&gt;=SchemeStart,IF($X26=0,$AD26,IF(AND($Z26&lt;&gt;"",EDATE($D26,Milestones!$AA$158)&gt;=$Z26),$AC26,IF(AND($Y26&lt;&gt;"",EDATE($D26,Milestones!$AA$158)&gt;=$Y26),$AB26,$AA26)))=Milestones!$AB$158),UPPER(TEXT(EDATE($D26,Milestones!$AA$158),"dd mmm yy"))&amp;" "&amp;Milestones!$AB$158&amp;" "&amp;IF(AND(Milestones!$AB$158="FT",Milestones!$AA$158=FT_Y5,EDATE($D26,Milestones!$AA$158)&lt;PolicyEff),1,Milestones!$AC$158)&amp;";  ","")&amp;IF(AND(EDATE($D26,Milestones!$AA$159)&lt;=AsOfDate,EDATE($D26,Milestones!$AA$159)&gt;=SchemeStart,IF($X26=0,$AD26,IF(AND($Z26&lt;&gt;"",EDATE($D26,Milestones!$AA$159)&gt;=$Z26),$AC26,IF(AND($Y26&lt;&gt;"",EDATE($D26,Milestones!$AA$159)&gt;=$Y26),$AB26,$AA26)))=Milestones!$AB$159),UPPER(TEXT(EDATE($D26,Milestones!$AA$159),"dd mmm yy"))&amp;" "&amp;Milestones!$AB$159&amp;" "&amp;IF(AND(Milestones!$AB$159="FT",Milestones!$AA$159=FT_Y5,EDATE($D26,Milestones!$AA$159)&lt;PolicyEff),1,Milestones!$AC$159)&amp;";  ","")&amp;IF(AND(EDATE($D26,Milestones!$AA$160)&lt;=AsOfDate,EDATE($D26,Milestones!$AA$160)&gt;=SchemeStart,IF($X26=0,$AD26,IF(AND($Z26&lt;&gt;"",EDATE($D26,Milestones!$AA$160)&gt;=$Z26),$AC26,IF(AND($Y26&lt;&gt;"",EDATE($D26,Milestones!$AA$160)&gt;=$Y26),$AB26,$AA26)))=Milestones!$AB$160),UPPER(TEXT(EDATE($D26,Milestones!$AA$160),"dd mmm yy"))&amp;" "&amp;Milestones!$AB$160&amp;" "&amp;IF(AND(Milestones!$AB$160="FT",Milestones!$AA$160=FT_Y5,EDATE($D26,Milestones!$AA$160)&lt;PolicyEff),1,Milestones!$AC$160)&amp;";  ","")&amp;IF(AND(EDATE($D26,Milestones!$AA$161)&lt;=AsOfDate,EDATE($D26,Milestones!$AA$161)&gt;=SchemeStart,IF($X26=0,$AD26,IF(AND($Z26&lt;&gt;"",EDATE($D26,Milestones!$AA$161)&gt;=$Z26),$AC26,IF(AND($Y26&lt;&gt;"",EDATE($D26,Milestones!$AA$161)&gt;=$Y26),$AB26,$AA26)))=Milestones!$AB$161),UPPER(TEXT(EDATE($D26,Milestones!$AA$161),"dd mmm yy"))&amp;" "&amp;Milestones!$AB$161&amp;" "&amp;IF(AND(Milestones!$AB$161="FT",Milestones!$AA$161=FT_Y5,EDATE($D26,Milestones!$AA$161)&lt;PolicyEff),1,Milestones!$AC$161)&amp;";  ","")&amp;IF(AND(EDATE($D26,Milestones!$AA$162)&lt;=AsOfDate,EDATE($D26,Milestones!$AA$162)&gt;=SchemeStart,IF($X26=0,$AD26,IF(AND($Z26&lt;&gt;"",EDATE($D26,Milestones!$AA$162)&gt;=$Z26),$AC26,IF(AND($Y26&lt;&gt;"",EDATE($D26,Milestones!$AA$162)&gt;=$Y26),$AB26,$AA26)))=Milestones!$AB$162),UPPER(TEXT(EDATE($D26,Milestones!$AA$162),"dd mmm yy"))&amp;" "&amp;Milestones!$AB$162&amp;" "&amp;IF(AND(Milestones!$AB$162="FT",Milestones!$AA$162=FT_Y5,EDATE($D26,Milestones!$AA$162)&lt;PolicyEff),1,Milestones!$AC$162)&amp;";  ","")&amp;IF(AND(EDATE($D26,Milestones!$AA$163)&lt;=AsOfDate,EDATE($D26,Milestones!$AA$163)&gt;=SchemeStart,IF($X26=0,$AD26,IF(AND($Z26&lt;&gt;"",EDATE($D26,Milestones!$AA$163)&gt;=$Z26),$AC26,IF(AND($Y26&lt;&gt;"",EDATE($D26,Milestones!$AA$163)&gt;=$Y26),$AB26,$AA26)))=Milestones!$AB$163),UPPER(TEXT(EDATE($D26,Milestones!$AA$163),"dd mmm yy"))&amp;" "&amp;Milestones!$AB$163&amp;" "&amp;IF(AND(Milestones!$AB$163="FT",Milestones!$AA$163=FT_Y5,EDATE($D26,Milestones!$AA$163)&lt;PolicyEff),1,Milestones!$AC$163)&amp;";  ",""))</f>
        <v/>
      </c>
      <c r="U26" s="0" t="str">
        <f aca="false">IF(OR($A26="",$D26=""),"",IF(AND(EDATE($D26,Milestones!$AA$164)&lt;=AsOfDate,EDATE($D26,Milestones!$AA$164)&gt;=SchemeStart,IF($X26=0,$AD26,IF(AND($Z26&lt;&gt;"",EDATE($D26,Milestones!$AA$164)&gt;=$Z26),$AC26,IF(AND($Y26&lt;&gt;"",EDATE($D26,Milestones!$AA$164)&gt;=$Y26),$AB26,$AA26)))=Milestones!$AB$164),UPPER(TEXT(EDATE($D26,Milestones!$AA$164),"dd mmm yy"))&amp;" "&amp;Milestones!$AB$164&amp;" "&amp;IF(AND(Milestones!$AB$164="FT",Milestones!$AA$164=FT_Y5,EDATE($D26,Milestones!$AA$164)&lt;PolicyEff),1,Milestones!$AC$164)&amp;";  ","")&amp;IF(AND(EDATE($D26,Milestones!$AA$165)&lt;=AsOfDate,EDATE($D26,Milestones!$AA$165)&gt;=SchemeStart,IF($X26=0,$AD26,IF(AND($Z26&lt;&gt;"",EDATE($D26,Milestones!$AA$165)&gt;=$Z26),$AC26,IF(AND($Y26&lt;&gt;"",EDATE($D26,Milestones!$AA$165)&gt;=$Y26),$AB26,$AA26)))=Milestones!$AB$165),UPPER(TEXT(EDATE($D26,Milestones!$AA$165),"dd mmm yy"))&amp;" "&amp;Milestones!$AB$165&amp;" "&amp;IF(AND(Milestones!$AB$165="FT",Milestones!$AA$165=FT_Y5,EDATE($D26,Milestones!$AA$165)&lt;PolicyEff),1,Milestones!$AC$165)&amp;";  ","")&amp;IF(AND(EDATE($D26,Milestones!$AA$166)&lt;=AsOfDate,EDATE($D26,Milestones!$AA$166)&gt;=SchemeStart,IF($X26=0,$AD26,IF(AND($Z26&lt;&gt;"",EDATE($D26,Milestones!$AA$166)&gt;=$Z26),$AC26,IF(AND($Y26&lt;&gt;"",EDATE($D26,Milestones!$AA$166)&gt;=$Y26),$AB26,$AA26)))=Milestones!$AB$166),UPPER(TEXT(EDATE($D26,Milestones!$AA$166),"dd mmm yy"))&amp;" "&amp;Milestones!$AB$166&amp;" "&amp;IF(AND(Milestones!$AB$166="FT",Milestones!$AA$166=FT_Y5,EDATE($D26,Milestones!$AA$166)&lt;PolicyEff),1,Milestones!$AC$166)&amp;";  ","")&amp;IF(AND(EDATE($D26,Milestones!$AA$167)&lt;=AsOfDate,EDATE($D26,Milestones!$AA$167)&gt;=SchemeStart,IF($X26=0,$AD26,IF(AND($Z26&lt;&gt;"",EDATE($D26,Milestones!$AA$167)&gt;=$Z26),$AC26,IF(AND($Y26&lt;&gt;"",EDATE($D26,Milestones!$AA$167)&gt;=$Y26),$AB26,$AA26)))=Milestones!$AB$167),UPPER(TEXT(EDATE($D26,Milestones!$AA$167),"dd mmm yy"))&amp;" "&amp;Milestones!$AB$167&amp;" "&amp;IF(AND(Milestones!$AB$167="FT",Milestones!$AA$167=FT_Y5,EDATE($D26,Milestones!$AA$167)&lt;PolicyEff),1,Milestones!$AC$167)&amp;";  ","")&amp;IF(AND(EDATE($D26,Milestones!$AA$168)&lt;=AsOfDate,EDATE($D26,Milestones!$AA$168)&gt;=SchemeStart,IF($X26=0,$AD26,IF(AND($Z26&lt;&gt;"",EDATE($D26,Milestones!$AA$168)&gt;=$Z26),$AC26,IF(AND($Y26&lt;&gt;"",EDATE($D26,Milestones!$AA$168)&gt;=$Y26),$AB26,$AA26)))=Milestones!$AB$168),UPPER(TEXT(EDATE($D26,Milestones!$AA$168),"dd mmm yy"))&amp;" "&amp;Milestones!$AB$168&amp;" "&amp;IF(AND(Milestones!$AB$168="FT",Milestones!$AA$168=FT_Y5,EDATE($D26,Milestones!$AA$168)&lt;PolicyEff),1,Milestones!$AC$168)&amp;";  ","")&amp;IF(AND(EDATE($D26,Milestones!$AA$169)&lt;=AsOfDate,EDATE($D26,Milestones!$AA$169)&gt;=SchemeStart,IF($X26=0,$AD26,IF(AND($Z26&lt;&gt;"",EDATE($D26,Milestones!$AA$169)&gt;=$Z26),$AC26,IF(AND($Y26&lt;&gt;"",EDATE($D26,Milestones!$AA$169)&gt;=$Y26),$AB26,$AA26)))=Milestones!$AB$169),UPPER(TEXT(EDATE($D26,Milestones!$AA$169),"dd mmm yy"))&amp;" "&amp;Milestones!$AB$169&amp;" "&amp;IF(AND(Milestones!$AB$169="FT",Milestones!$AA$169=FT_Y5,EDATE($D26,Milestones!$AA$169)&lt;PolicyEff),1,Milestones!$AC$169)&amp;";  ","")&amp;IF(AND(EDATE($D26,Milestones!$AA$170)&lt;=AsOfDate,EDATE($D26,Milestones!$AA$170)&gt;=SchemeStart,IF($X26=0,$AD26,IF(AND($Z26&lt;&gt;"",EDATE($D26,Milestones!$AA$170)&gt;=$Z26),$AC26,IF(AND($Y26&lt;&gt;"",EDATE($D26,Milestones!$AA$170)&gt;=$Y26),$AB26,$AA26)))=Milestones!$AB$170),UPPER(TEXT(EDATE($D26,Milestones!$AA$170),"dd mmm yy"))&amp;" "&amp;Milestones!$AB$170&amp;" "&amp;IF(AND(Milestones!$AB$170="FT",Milestones!$AA$170=FT_Y5,EDATE($D26,Milestones!$AA$170)&lt;PolicyEff),1,Milestones!$AC$170)&amp;";  ","")&amp;IF(AND(EDATE($D26,Milestones!$AA$171)&lt;=AsOfDate,EDATE($D26,Milestones!$AA$171)&gt;=SchemeStart,IF($X26=0,$AD26,IF(AND($Z26&lt;&gt;"",EDATE($D26,Milestones!$AA$171)&gt;=$Z26),$AC26,IF(AND($Y26&lt;&gt;"",EDATE($D26,Milestones!$AA$171)&gt;=$Y26),$AB26,$AA26)))=Milestones!$AB$171),UPPER(TEXT(EDATE($D26,Milestones!$AA$171),"dd mmm yy"))&amp;" "&amp;Milestones!$AB$171&amp;" "&amp;IF(AND(Milestones!$AB$171="FT",Milestones!$AA$171=FT_Y5,EDATE($D26,Milestones!$AA$171)&lt;PolicyEff),1,Milestones!$AC$171)&amp;";  ","")&amp;IF(AND(EDATE($D26,Milestones!$AA$172)&lt;=AsOfDate,EDATE($D26,Milestones!$AA$172)&gt;=SchemeStart,IF($X26=0,$AD26,IF(AND($Z26&lt;&gt;"",EDATE($D26,Milestones!$AA$172)&gt;=$Z26),$AC26,IF(AND($Y26&lt;&gt;"",EDATE($D26,Milestones!$AA$172)&gt;=$Y26),$AB26,$AA26)))=Milestones!$AB$172),UPPER(TEXT(EDATE($D26,Milestones!$AA$172),"dd mmm yy"))&amp;" "&amp;Milestones!$AB$172&amp;" "&amp;IF(AND(Milestones!$AB$172="FT",Milestones!$AA$172=FT_Y5,EDATE($D26,Milestones!$AA$172)&lt;PolicyEff),1,Milestones!$AC$172)&amp;";  ","")&amp;IF(AND(EDATE($D26,Milestones!$AA$173)&lt;=AsOfDate,EDATE($D26,Milestones!$AA$173)&gt;=SchemeStart,IF($X26=0,$AD26,IF(AND($Z26&lt;&gt;"",EDATE($D26,Milestones!$AA$173)&gt;=$Z26),$AC26,IF(AND($Y26&lt;&gt;"",EDATE($D26,Milestones!$AA$173)&gt;=$Y26),$AB26,$AA26)))=Milestones!$AB$173),UPPER(TEXT(EDATE($D26,Milestones!$AA$173),"dd mmm yy"))&amp;" "&amp;Milestones!$AB$173&amp;" "&amp;IF(AND(Milestones!$AB$173="FT",Milestones!$AA$173=FT_Y5,EDATE($D26,Milestones!$AA$173)&lt;PolicyEff),1,Milestones!$AC$173)&amp;";  ","")&amp;IF(AND(EDATE($D26,Milestones!$AA$174)&lt;=AsOfDate,EDATE($D26,Milestones!$AA$174)&gt;=SchemeStart,IF($X26=0,$AD26,IF(AND($Z26&lt;&gt;"",EDATE($D26,Milestones!$AA$174)&gt;=$Z26),$AC26,IF(AND($Y26&lt;&gt;"",EDATE($D26,Milestones!$AA$174)&gt;=$Y26),$AB26,$AA26)))=Milestones!$AB$174),UPPER(TEXT(EDATE($D26,Milestones!$AA$174),"dd mmm yy"))&amp;" "&amp;Milestones!$AB$174&amp;" "&amp;IF(AND(Milestones!$AB$174="FT",Milestones!$AA$174=FT_Y5,EDATE($D26,Milestones!$AA$174)&lt;PolicyEff),1,Milestones!$AC$174)&amp;";  ","")&amp;IF(AND(EDATE($D26,Milestones!$AA$175)&lt;=AsOfDate,EDATE($D26,Milestones!$AA$175)&gt;=SchemeStart,IF($X26=0,$AD26,IF(AND($Z26&lt;&gt;"",EDATE($D26,Milestones!$AA$175)&gt;=$Z26),$AC26,IF(AND($Y26&lt;&gt;"",EDATE($D26,Milestones!$AA$175)&gt;=$Y26),$AB26,$AA26)))=Milestones!$AB$175),UPPER(TEXT(EDATE($D26,Milestones!$AA$175),"dd mmm yy"))&amp;" "&amp;Milestones!$AB$175&amp;" "&amp;IF(AND(Milestones!$AB$175="FT",Milestones!$AA$175=FT_Y5,EDATE($D26,Milestones!$AA$175)&lt;PolicyEff),1,Milestones!$AC$175)&amp;";  ",""))</f>
        <v/>
      </c>
      <c r="V26" s="0" t="str">
        <f aca="false">IF(OR($A26="",$D26=""),"",IF(AND(EDATE($D26,Milestones!$AA$176)&lt;=AsOfDate,EDATE($D26,Milestones!$AA$176)&gt;=SchemeStart,IF($X26=0,$AD26,IF(AND($Z26&lt;&gt;"",EDATE($D26,Milestones!$AA$176)&gt;=$Z26),$AC26,IF(AND($Y26&lt;&gt;"",EDATE($D26,Milestones!$AA$176)&gt;=$Y26),$AB26,$AA26)))=Milestones!$AB$176),UPPER(TEXT(EDATE($D26,Milestones!$AA$176),"dd mmm yy"))&amp;" "&amp;Milestones!$AB$176&amp;" "&amp;IF(AND(Milestones!$AB$176="FT",Milestones!$AA$176=FT_Y5,EDATE($D26,Milestones!$AA$176)&lt;PolicyEff),1,Milestones!$AC$176)&amp;";  ","")&amp;IF(AND(EDATE($D26,Milestones!$AA$177)&lt;=AsOfDate,EDATE($D26,Milestones!$AA$177)&gt;=SchemeStart,IF($X26=0,$AD26,IF(AND($Z26&lt;&gt;"",EDATE($D26,Milestones!$AA$177)&gt;=$Z26),$AC26,IF(AND($Y26&lt;&gt;"",EDATE($D26,Milestones!$AA$177)&gt;=$Y26),$AB26,$AA26)))=Milestones!$AB$177),UPPER(TEXT(EDATE($D26,Milestones!$AA$177),"dd mmm yy"))&amp;" "&amp;Milestones!$AB$177&amp;" "&amp;IF(AND(Milestones!$AB$177="FT",Milestones!$AA$177=FT_Y5,EDATE($D26,Milestones!$AA$177)&lt;PolicyEff),1,Milestones!$AC$177)&amp;";  ","")&amp;IF(AND(EDATE($D26,Milestones!$AA$178)&lt;=AsOfDate,EDATE($D26,Milestones!$AA$178)&gt;=SchemeStart,IF($X26=0,$AD26,IF(AND($Z26&lt;&gt;"",EDATE($D26,Milestones!$AA$178)&gt;=$Z26),$AC26,IF(AND($Y26&lt;&gt;"",EDATE($D26,Milestones!$AA$178)&gt;=$Y26),$AB26,$AA26)))=Milestones!$AB$178),UPPER(TEXT(EDATE($D26,Milestones!$AA$178),"dd mmm yy"))&amp;" "&amp;Milestones!$AB$178&amp;" "&amp;IF(AND(Milestones!$AB$178="FT",Milestones!$AA$178=FT_Y5,EDATE($D26,Milestones!$AA$178)&lt;PolicyEff),1,Milestones!$AC$178)&amp;";  ","")&amp;IF(AND(EDATE($D26,Milestones!$AA$179)&lt;=AsOfDate,EDATE($D26,Milestones!$AA$179)&gt;=SchemeStart,IF($X26=0,$AD26,IF(AND($Z26&lt;&gt;"",EDATE($D26,Milestones!$AA$179)&gt;=$Z26),$AC26,IF(AND($Y26&lt;&gt;"",EDATE($D26,Milestones!$AA$179)&gt;=$Y26),$AB26,$AA26)))=Milestones!$AB$179),UPPER(TEXT(EDATE($D26,Milestones!$AA$179),"dd mmm yy"))&amp;" "&amp;Milestones!$AB$179&amp;" "&amp;IF(AND(Milestones!$AB$179="FT",Milestones!$AA$179=FT_Y5,EDATE($D26,Milestones!$AA$179)&lt;PolicyEff),1,Milestones!$AC$179)&amp;";  ","")&amp;IF(AND(EDATE($D26,Milestones!$AA$180)&lt;=AsOfDate,EDATE($D26,Milestones!$AA$180)&gt;=SchemeStart,IF($X26=0,$AD26,IF(AND($Z26&lt;&gt;"",EDATE($D26,Milestones!$AA$180)&gt;=$Z26),$AC26,IF(AND($Y26&lt;&gt;"",EDATE($D26,Milestones!$AA$180)&gt;=$Y26),$AB26,$AA26)))=Milestones!$AB$180),UPPER(TEXT(EDATE($D26,Milestones!$AA$180),"dd mmm yy"))&amp;" "&amp;Milestones!$AB$180&amp;" "&amp;IF(AND(Milestones!$AB$180="FT",Milestones!$AA$180=FT_Y5,EDATE($D26,Milestones!$AA$180)&lt;PolicyEff),1,Milestones!$AC$180)&amp;";  ","")&amp;IF(AND(EDATE($D26,Milestones!$AA$181)&lt;=AsOfDate,EDATE($D26,Milestones!$AA$181)&gt;=SchemeStart,IF($X26=0,$AD26,IF(AND($Z26&lt;&gt;"",EDATE($D26,Milestones!$AA$181)&gt;=$Z26),$AC26,IF(AND($Y26&lt;&gt;"",EDATE($D26,Milestones!$AA$181)&gt;=$Y26),$AB26,$AA26)))=Milestones!$AB$181),UPPER(TEXT(EDATE($D26,Milestones!$AA$181),"dd mmm yy"))&amp;" "&amp;Milestones!$AB$181&amp;" "&amp;IF(AND(Milestones!$AB$181="FT",Milestones!$AA$181=FT_Y5,EDATE($D26,Milestones!$AA$181)&lt;PolicyEff),1,Milestones!$AC$181)&amp;";  ","")&amp;IF(AND(EDATE($D26,Milestones!$AA$182)&lt;=AsOfDate,EDATE($D26,Milestones!$AA$182)&gt;=SchemeStart,IF($X26=0,$AD26,IF(AND($Z26&lt;&gt;"",EDATE($D26,Milestones!$AA$182)&gt;=$Z26),$AC26,IF(AND($Y26&lt;&gt;"",EDATE($D26,Milestones!$AA$182)&gt;=$Y26),$AB26,$AA26)))=Milestones!$AB$182),UPPER(TEXT(EDATE($D26,Milestones!$AA$182),"dd mmm yy"))&amp;" "&amp;Milestones!$AB$182&amp;" "&amp;IF(AND(Milestones!$AB$182="FT",Milestones!$AA$182=FT_Y5,EDATE($D26,Milestones!$AA$182)&lt;PolicyEff),1,Milestones!$AC$182)&amp;";  ","")&amp;IF(AND(EDATE($D26,Milestones!$AA$183)&lt;=AsOfDate,EDATE($D26,Milestones!$AA$183)&gt;=SchemeStart,IF($X26=0,$AD26,IF(AND($Z26&lt;&gt;"",EDATE($D26,Milestones!$AA$183)&gt;=$Z26),$AC26,IF(AND($Y26&lt;&gt;"",EDATE($D26,Milestones!$AA$183)&gt;=$Y26),$AB26,$AA26)))=Milestones!$AB$183),UPPER(TEXT(EDATE($D26,Milestones!$AA$183),"dd mmm yy"))&amp;" "&amp;Milestones!$AB$183&amp;" "&amp;IF(AND(Milestones!$AB$183="FT",Milestones!$AA$183=FT_Y5,EDATE($D26,Milestones!$AA$183)&lt;PolicyEff),1,Milestones!$AC$183)&amp;";  ","")&amp;IF(AND(EDATE($D26,Milestones!$AA$184)&lt;=AsOfDate,EDATE($D26,Milestones!$AA$184)&gt;=SchemeStart,IF($X26=0,$AD26,IF(AND($Z26&lt;&gt;"",EDATE($D26,Milestones!$AA$184)&gt;=$Z26),$AC26,IF(AND($Y26&lt;&gt;"",EDATE($D26,Milestones!$AA$184)&gt;=$Y26),$AB26,$AA26)))=Milestones!$AB$184),UPPER(TEXT(EDATE($D26,Milestones!$AA$184),"dd mmm yy"))&amp;" "&amp;Milestones!$AB$184&amp;" "&amp;IF(AND(Milestones!$AB$184="FT",Milestones!$AA$184=FT_Y5,EDATE($D26,Milestones!$AA$184)&lt;PolicyEff),1,Milestones!$AC$184)&amp;";  ","")&amp;IF(AND(EDATE($D26,Milestones!$AA$185)&lt;=AsOfDate,EDATE($D26,Milestones!$AA$185)&gt;=SchemeStart,IF($X26=0,$AD26,IF(AND($Z26&lt;&gt;"",EDATE($D26,Milestones!$AA$185)&gt;=$Z26),$AC26,IF(AND($Y26&lt;&gt;"",EDATE($D26,Milestones!$AA$185)&gt;=$Y26),$AB26,$AA26)))=Milestones!$AB$185),UPPER(TEXT(EDATE($D26,Milestones!$AA$185),"dd mmm yy"))&amp;" "&amp;Milestones!$AB$185&amp;" "&amp;IF(AND(Milestones!$AB$185="FT",Milestones!$AA$185=FT_Y5,EDATE($D26,Milestones!$AA$185)&lt;PolicyEff),1,Milestones!$AC$185)&amp;";  ","")&amp;IF(AND(EDATE($D26,Milestones!$AA$186)&lt;=AsOfDate,EDATE($D26,Milestones!$AA$186)&gt;=SchemeStart,IF($X26=0,$AD26,IF(AND($Z26&lt;&gt;"",EDATE($D26,Milestones!$AA$186)&gt;=$Z26),$AC26,IF(AND($Y26&lt;&gt;"",EDATE($D26,Milestones!$AA$186)&gt;=$Y26),$AB26,$AA26)))=Milestones!$AB$186),UPPER(TEXT(EDATE($D26,Milestones!$AA$186),"dd mmm yy"))&amp;" "&amp;Milestones!$AB$186&amp;" "&amp;IF(AND(Milestones!$AB$186="FT",Milestones!$AA$186=FT_Y5,EDATE($D26,Milestones!$AA$186)&lt;PolicyEff),1,Milestones!$AC$186)&amp;";  ","")&amp;IF(AND(EDATE($D26,Milestones!$AA$187)&lt;=AsOfDate,EDATE($D26,Milestones!$AA$187)&gt;=SchemeStart,IF($X26=0,$AD26,IF(AND($Z26&lt;&gt;"",EDATE($D26,Milestones!$AA$187)&gt;=$Z26),$AC26,IF(AND($Y26&lt;&gt;"",EDATE($D26,Milestones!$AA$187)&gt;=$Y26),$AB26,$AA26)))=Milestones!$AB$187),UPPER(TEXT(EDATE($D26,Milestones!$AA$187),"dd mmm yy"))&amp;" "&amp;Milestones!$AB$187&amp;" "&amp;IF(AND(Milestones!$AB$187="FT",Milestones!$AA$187=FT_Y5,EDATE($D26,Milestones!$AA$187)&lt;PolicyEff),1,Milestones!$AC$187)&amp;";  ",""))</f>
        <v/>
      </c>
      <c r="W26" s="0" t="str">
        <f aca="false">IF(OR($A26="",$D26=""),"",IF(AND(EDATE($D26,Milestones!$AA$188)&lt;=AsOfDate,EDATE($D26,Milestones!$AA$188)&gt;=SchemeStart,IF($X26=0,$AD26,IF(AND($Z26&lt;&gt;"",EDATE($D26,Milestones!$AA$188)&gt;=$Z26),$AC26,IF(AND($Y26&lt;&gt;"",EDATE($D26,Milestones!$AA$188)&gt;=$Y26),$AB26,$AA26)))=Milestones!$AB$188),UPPER(TEXT(EDATE($D26,Milestones!$AA$188),"dd mmm yy"))&amp;" "&amp;Milestones!$AB$188&amp;" "&amp;IF(AND(Milestones!$AB$188="FT",Milestones!$AA$188=FT_Y5,EDATE($D26,Milestones!$AA$188)&lt;PolicyEff),1,Milestones!$AC$188)&amp;";  ","")&amp;IF(AND(EDATE($D26,Milestones!$AA$189)&lt;=AsOfDate,EDATE($D26,Milestones!$AA$189)&gt;=SchemeStart,IF($X26=0,$AD26,IF(AND($Z26&lt;&gt;"",EDATE($D26,Milestones!$AA$189)&gt;=$Z26),$AC26,IF(AND($Y26&lt;&gt;"",EDATE($D26,Milestones!$AA$189)&gt;=$Y26),$AB26,$AA26)))=Milestones!$AB$189),UPPER(TEXT(EDATE($D26,Milestones!$AA$189),"dd mmm yy"))&amp;" "&amp;Milestones!$AB$189&amp;" "&amp;IF(AND(Milestones!$AB$189="FT",Milestones!$AA$189=FT_Y5,EDATE($D26,Milestones!$AA$189)&lt;PolicyEff),1,Milestones!$AC$189)&amp;";  ","")&amp;IF(AND(EDATE($D26,Milestones!$AA$190)&lt;=AsOfDate,EDATE($D26,Milestones!$AA$190)&gt;=SchemeStart,IF($X26=0,$AD26,IF(AND($Z26&lt;&gt;"",EDATE($D26,Milestones!$AA$190)&gt;=$Z26),$AC26,IF(AND($Y26&lt;&gt;"",EDATE($D26,Milestones!$AA$190)&gt;=$Y26),$AB26,$AA26)))=Milestones!$AB$190),UPPER(TEXT(EDATE($D26,Milestones!$AA$190),"dd mmm yy"))&amp;" "&amp;Milestones!$AB$190&amp;" "&amp;IF(AND(Milestones!$AB$190="FT",Milestones!$AA$190=FT_Y5,EDATE($D26,Milestones!$AA$190)&lt;PolicyEff),1,Milestones!$AC$190)&amp;";  ","")&amp;IF(AND(EDATE($D26,Milestones!$AA$191)&lt;=AsOfDate,EDATE($D26,Milestones!$AA$191)&gt;=SchemeStart,IF($X26=0,$AD26,IF(AND($Z26&lt;&gt;"",EDATE($D26,Milestones!$AA$191)&gt;=$Z26),$AC26,IF(AND($Y26&lt;&gt;"",EDATE($D26,Milestones!$AA$191)&gt;=$Y26),$AB26,$AA26)))=Milestones!$AB$191),UPPER(TEXT(EDATE($D26,Milestones!$AA$191),"dd mmm yy"))&amp;" "&amp;Milestones!$AB$191&amp;" "&amp;IF(AND(Milestones!$AB$191="FT",Milestones!$AA$191=FT_Y5,EDATE($D26,Milestones!$AA$191)&lt;PolicyEff),1,Milestones!$AC$191)&amp;";  ","")&amp;IF(AND(EDATE($D26,Milestones!$AA$192)&lt;=AsOfDate,EDATE($D26,Milestones!$AA$192)&gt;=SchemeStart,IF($X26=0,$AD26,IF(AND($Z26&lt;&gt;"",EDATE($D26,Milestones!$AA$192)&gt;=$Z26),$AC26,IF(AND($Y26&lt;&gt;"",EDATE($D26,Milestones!$AA$192)&gt;=$Y26),$AB26,$AA26)))=Milestones!$AB$192),UPPER(TEXT(EDATE($D26,Milestones!$AA$192),"dd mmm yy"))&amp;" "&amp;Milestones!$AB$192&amp;" "&amp;IF(AND(Milestones!$AB$192="FT",Milestones!$AA$192=FT_Y5,EDATE($D26,Milestones!$AA$192)&lt;PolicyEff),1,Milestones!$AC$192)&amp;";  ","")&amp;IF(AND(EDATE($D26,Milestones!$AA$193)&lt;=AsOfDate,EDATE($D26,Milestones!$AA$193)&gt;=SchemeStart,IF($X26=0,$AD26,IF(AND($Z26&lt;&gt;"",EDATE($D26,Milestones!$AA$193)&gt;=$Z26),$AC26,IF(AND($Y26&lt;&gt;"",EDATE($D26,Milestones!$AA$193)&gt;=$Y26),$AB26,$AA26)))=Milestones!$AB$193),UPPER(TEXT(EDATE($D26,Milestones!$AA$193),"dd mmm yy"))&amp;" "&amp;Milestones!$AB$193&amp;" "&amp;IF(AND(Milestones!$AB$193="FT",Milestones!$AA$193=FT_Y5,EDATE($D26,Milestones!$AA$193)&lt;PolicyEff),1,Milestones!$AC$193)&amp;";  ","")&amp;IF(AND(EDATE($D26,Milestones!$AA$194)&lt;=AsOfDate,EDATE($D26,Milestones!$AA$194)&gt;=SchemeStart,IF($X26=0,$AD26,IF(AND($Z26&lt;&gt;"",EDATE($D26,Milestones!$AA$194)&gt;=$Z26),$AC26,IF(AND($Y26&lt;&gt;"",EDATE($D26,Milestones!$AA$194)&gt;=$Y26),$AB26,$AA26)))=Milestones!$AB$194),UPPER(TEXT(EDATE($D26,Milestones!$AA$194),"dd mmm yy"))&amp;" "&amp;Milestones!$AB$194&amp;" "&amp;IF(AND(Milestones!$AB$194="FT",Milestones!$AA$194=FT_Y5,EDATE($D26,Milestones!$AA$194)&lt;PolicyEff),1,Milestones!$AC$194)&amp;";  ","")&amp;IF(AND(EDATE($D26,Milestones!$AA$195)&lt;=AsOfDate,EDATE($D26,Milestones!$AA$195)&gt;=SchemeStart,IF($X26=0,$AD26,IF(AND($Z26&lt;&gt;"",EDATE($D26,Milestones!$AA$195)&gt;=$Z26),$AC26,IF(AND($Y26&lt;&gt;"",EDATE($D26,Milestones!$AA$195)&gt;=$Y26),$AB26,$AA26)))=Milestones!$AB$195),UPPER(TEXT(EDATE($D26,Milestones!$AA$195),"dd mmm yy"))&amp;" "&amp;Milestones!$AB$195&amp;" "&amp;IF(AND(Milestones!$AB$195="FT",Milestones!$AA$195=FT_Y5,EDATE($D26,Milestones!$AA$195)&lt;PolicyEff),1,Milestones!$AC$195)&amp;";  ","")&amp;IF(AND(EDATE($D26,Milestones!$AA$196)&lt;=AsOfDate,EDATE($D26,Milestones!$AA$196)&gt;=SchemeStart,IF($X26=0,$AD26,IF(AND($Z26&lt;&gt;"",EDATE($D26,Milestones!$AA$196)&gt;=$Z26),$AC26,IF(AND($Y26&lt;&gt;"",EDATE($D26,Milestones!$AA$196)&gt;=$Y26),$AB26,$AA26)))=Milestones!$AB$196),UPPER(TEXT(EDATE($D26,Milestones!$AA$196),"dd mmm yy"))&amp;" "&amp;Milestones!$AB$196&amp;" "&amp;IF(AND(Milestones!$AB$196="FT",Milestones!$AA$196=FT_Y5,EDATE($D26,Milestones!$AA$196)&lt;PolicyEff),1,Milestones!$AC$196)&amp;";  ","")&amp;IF(AND(EDATE($D26,Milestones!$AA$197)&lt;=AsOfDate,EDATE($D26,Milestones!$AA$197)&gt;=SchemeStart,IF($X26=0,$AD26,IF(AND($Z26&lt;&gt;"",EDATE($D26,Milestones!$AA$197)&gt;=$Z26),$AC26,IF(AND($Y26&lt;&gt;"",EDATE($D26,Milestones!$AA$197)&gt;=$Y26),$AB26,$AA26)))=Milestones!$AB$197),UPPER(TEXT(EDATE($D26,Milestones!$AA$197),"dd mmm yy"))&amp;" "&amp;Milestones!$AB$197&amp;" "&amp;IF(AND(Milestones!$AB$197="FT",Milestones!$AA$197=FT_Y5,EDATE($D26,Milestones!$AA$197)&lt;PolicyEff),1,Milestones!$AC$197)&amp;";  ","")&amp;IF(AND(EDATE($D26,Milestones!$AA$198)&lt;=AsOfDate,EDATE($D26,Milestones!$AA$198)&gt;=SchemeStart,IF($X26=0,$AD26,IF(AND($Z26&lt;&gt;"",EDATE($D26,Milestones!$AA$198)&gt;=$Z26),$AC26,IF(AND($Y26&lt;&gt;"",EDATE($D26,Milestones!$AA$198)&gt;=$Y26),$AB26,$AA26)))=Milestones!$AB$198),UPPER(TEXT(EDATE($D26,Milestones!$AA$198),"dd mmm yy"))&amp;" "&amp;Milestones!$AB$198&amp;" "&amp;IF(AND(Milestones!$AB$198="FT",Milestones!$AA$198=FT_Y5,EDATE($D26,Milestones!$AA$198)&lt;PolicyEff),1,Milestones!$AC$198)&amp;";  ","")&amp;IF(AND(EDATE($D26,Milestones!$AA$199)&lt;=AsOfDate,EDATE($D26,Milestones!$AA$199)&gt;=SchemeStart,IF($X26=0,$AD26,IF(AND($Z26&lt;&gt;"",EDATE($D26,Milestones!$AA$199)&gt;=$Z26),$AC26,IF(AND($Y26&lt;&gt;"",EDATE($D26,Milestones!$AA$199)&gt;=$Y26),$AB26,$AA26)))=Milestones!$AB$199),UPPER(TEXT(EDATE($D26,Milestones!$AA$199),"dd mmm yy"))&amp;" "&amp;Milestones!$AB$199&amp;" "&amp;IF(AND(Milestones!$AB$199="FT",Milestones!$AA$199=FT_Y5,EDATE($D26,Milestones!$AA$199)&lt;PolicyEff),1,Milestones!$AC$199)&amp;";  ",""))</f>
        <v/>
      </c>
      <c r="X26" s="0" t="str">
        <f aca="false">IF(Staff!$A26="","",Staff!$AM26)</f>
        <v/>
      </c>
      <c r="Y26" s="0" t="str">
        <f aca="false">IF(Staff!$A26="","",Staff!$AO26)</f>
        <v/>
      </c>
      <c r="Z26" s="0" t="str">
        <f aca="false">IF(Staff!$A26="","",Staff!$AP26)</f>
        <v/>
      </c>
      <c r="AA26" s="0" t="str">
        <f aca="false">IF(Staff!$A26="","",Staff!$AT26)</f>
        <v/>
      </c>
      <c r="AB26" s="0" t="str">
        <f aca="false">IF(Staff!$A26="","",Staff!$AU26)</f>
        <v/>
      </c>
      <c r="AC26" s="0" t="str">
        <f aca="false">IF(Staff!$A26="","",Staff!$AV26)</f>
        <v/>
      </c>
      <c r="AD26" s="0" t="str">
        <f aca="false">IF(Staff!$A26="","",Staff!$AW26)</f>
        <v/>
      </c>
    </row>
    <row r="27" customFormat="false" ht="15" hidden="false" customHeight="false" outlineLevel="0" collapsed="false">
      <c r="A27" s="16" t="str">
        <f aca="false">IF(Staff!$A27="","",Staff!$A27)</f>
        <v/>
      </c>
      <c r="B27" s="16" t="str">
        <f aca="false">IF(Staff!$A27="","",Staff!$B27)</f>
        <v/>
      </c>
      <c r="C27" s="16" t="str">
        <f aca="false">IF(Staff!$A27="","",Staff!$C27)</f>
        <v/>
      </c>
      <c r="D27" s="14" t="str">
        <f aca="false">IF(Staff!$A27="","",Staff!$AL27)</f>
        <v/>
      </c>
      <c r="E27" s="16" t="str">
        <f aca="false">IF(Staff!$A27="","",Staff!$O27)</f>
        <v/>
      </c>
      <c r="F27" s="16" t="str">
        <f aca="false">IF(E27="","",E27*HoursPerDay)</f>
        <v/>
      </c>
      <c r="G27" s="16" t="str">
        <f aca="false">IF(Staff!$A27="","",Staff!$AE27)</f>
        <v/>
      </c>
      <c r="H27" s="28" t="str">
        <f aca="false">IF($A27="","",I27&amp;J27&amp;K27&amp;L27&amp;M27&amp;N27&amp;O27&amp;P27&amp;Q27&amp;R27&amp;S27&amp;T27&amp;U27&amp;V27&amp;W27)</f>
        <v/>
      </c>
      <c r="I27" s="0" t="str">
        <f aca="false">IF(OR($A27="",$D27=""),"",IF(AND(EDATE($D27,Milestones!$AA$20)&lt;=AsOfDate,EDATE($D27,Milestones!$AA$20)&gt;=SchemeStart,IF($X27=0,$AD27,IF(AND($Z27&lt;&gt;"",EDATE($D27,Milestones!$AA$20)&gt;=$Z27),$AC27,IF(AND($Y27&lt;&gt;"",EDATE($D27,Milestones!$AA$20)&gt;=$Y27),$AB27,$AA27)))=Milestones!$AB$20),UPPER(TEXT(EDATE($D27,Milestones!$AA$20),"dd mmm yy"))&amp;" "&amp;Milestones!$AB$20&amp;" "&amp;IF(AND(Milestones!$AB$20="FT",Milestones!$AA$20=FT_Y5,EDATE($D27,Milestones!$AA$20)&lt;PolicyEff),1,Milestones!$AC$20)&amp;";  ","")&amp;IF(AND(EDATE($D27,Milestones!$AA$21)&lt;=AsOfDate,EDATE($D27,Milestones!$AA$21)&gt;=SchemeStart,IF($X27=0,$AD27,IF(AND($Z27&lt;&gt;"",EDATE($D27,Milestones!$AA$21)&gt;=$Z27),$AC27,IF(AND($Y27&lt;&gt;"",EDATE($D27,Milestones!$AA$21)&gt;=$Y27),$AB27,$AA27)))=Milestones!$AB$21),UPPER(TEXT(EDATE($D27,Milestones!$AA$21),"dd mmm yy"))&amp;" "&amp;Milestones!$AB$21&amp;" "&amp;IF(AND(Milestones!$AB$21="FT",Milestones!$AA$21=FT_Y5,EDATE($D27,Milestones!$AA$21)&lt;PolicyEff),1,Milestones!$AC$21)&amp;";  ","")&amp;IF(AND(EDATE($D27,Milestones!$AA$22)&lt;=AsOfDate,EDATE($D27,Milestones!$AA$22)&gt;=SchemeStart,IF($X27=0,$AD27,IF(AND($Z27&lt;&gt;"",EDATE($D27,Milestones!$AA$22)&gt;=$Z27),$AC27,IF(AND($Y27&lt;&gt;"",EDATE($D27,Milestones!$AA$22)&gt;=$Y27),$AB27,$AA27)))=Milestones!$AB$22),UPPER(TEXT(EDATE($D27,Milestones!$AA$22),"dd mmm yy"))&amp;" "&amp;Milestones!$AB$22&amp;" "&amp;IF(AND(Milestones!$AB$22="FT",Milestones!$AA$22=FT_Y5,EDATE($D27,Milestones!$AA$22)&lt;PolicyEff),1,Milestones!$AC$22)&amp;";  ","")&amp;IF(AND(EDATE($D27,Milestones!$AA$23)&lt;=AsOfDate,EDATE($D27,Milestones!$AA$23)&gt;=SchemeStart,IF($X27=0,$AD27,IF(AND($Z27&lt;&gt;"",EDATE($D27,Milestones!$AA$23)&gt;=$Z27),$AC27,IF(AND($Y27&lt;&gt;"",EDATE($D27,Milestones!$AA$23)&gt;=$Y27),$AB27,$AA27)))=Milestones!$AB$23),UPPER(TEXT(EDATE($D27,Milestones!$AA$23),"dd mmm yy"))&amp;" "&amp;Milestones!$AB$23&amp;" "&amp;IF(AND(Milestones!$AB$23="FT",Milestones!$AA$23=FT_Y5,EDATE($D27,Milestones!$AA$23)&lt;PolicyEff),1,Milestones!$AC$23)&amp;";  ","")&amp;IF(AND(EDATE($D27,Milestones!$AA$24)&lt;=AsOfDate,EDATE($D27,Milestones!$AA$24)&gt;=SchemeStart,IF($X27=0,$AD27,IF(AND($Z27&lt;&gt;"",EDATE($D27,Milestones!$AA$24)&gt;=$Z27),$AC27,IF(AND($Y27&lt;&gt;"",EDATE($D27,Milestones!$AA$24)&gt;=$Y27),$AB27,$AA27)))=Milestones!$AB$24),UPPER(TEXT(EDATE($D27,Milestones!$AA$24),"dd mmm yy"))&amp;" "&amp;Milestones!$AB$24&amp;" "&amp;IF(AND(Milestones!$AB$24="FT",Milestones!$AA$24=FT_Y5,EDATE($D27,Milestones!$AA$24)&lt;PolicyEff),1,Milestones!$AC$24)&amp;";  ","")&amp;IF(AND(EDATE($D27,Milestones!$AA$25)&lt;=AsOfDate,EDATE($D27,Milestones!$AA$25)&gt;=SchemeStart,IF($X27=0,$AD27,IF(AND($Z27&lt;&gt;"",EDATE($D27,Milestones!$AA$25)&gt;=$Z27),$AC27,IF(AND($Y27&lt;&gt;"",EDATE($D27,Milestones!$AA$25)&gt;=$Y27),$AB27,$AA27)))=Milestones!$AB$25),UPPER(TEXT(EDATE($D27,Milestones!$AA$25),"dd mmm yy"))&amp;" "&amp;Milestones!$AB$25&amp;" "&amp;IF(AND(Milestones!$AB$25="FT",Milestones!$AA$25=FT_Y5,EDATE($D27,Milestones!$AA$25)&lt;PolicyEff),1,Milestones!$AC$25)&amp;";  ","")&amp;IF(AND(EDATE($D27,Milestones!$AA$26)&lt;=AsOfDate,EDATE($D27,Milestones!$AA$26)&gt;=SchemeStart,IF($X27=0,$AD27,IF(AND($Z27&lt;&gt;"",EDATE($D27,Milestones!$AA$26)&gt;=$Z27),$AC27,IF(AND($Y27&lt;&gt;"",EDATE($D27,Milestones!$AA$26)&gt;=$Y27),$AB27,$AA27)))=Milestones!$AB$26),UPPER(TEXT(EDATE($D27,Milestones!$AA$26),"dd mmm yy"))&amp;" "&amp;Milestones!$AB$26&amp;" "&amp;IF(AND(Milestones!$AB$26="FT",Milestones!$AA$26=FT_Y5,EDATE($D27,Milestones!$AA$26)&lt;PolicyEff),1,Milestones!$AC$26)&amp;";  ","")&amp;IF(AND(EDATE($D27,Milestones!$AA$27)&lt;=AsOfDate,EDATE($D27,Milestones!$AA$27)&gt;=SchemeStart,IF($X27=0,$AD27,IF(AND($Z27&lt;&gt;"",EDATE($D27,Milestones!$AA$27)&gt;=$Z27),$AC27,IF(AND($Y27&lt;&gt;"",EDATE($D27,Milestones!$AA$27)&gt;=$Y27),$AB27,$AA27)))=Milestones!$AB$27),UPPER(TEXT(EDATE($D27,Milestones!$AA$27),"dd mmm yy"))&amp;" "&amp;Milestones!$AB$27&amp;" "&amp;IF(AND(Milestones!$AB$27="FT",Milestones!$AA$27=FT_Y5,EDATE($D27,Milestones!$AA$27)&lt;PolicyEff),1,Milestones!$AC$27)&amp;";  ","")&amp;IF(AND(EDATE($D27,Milestones!$AA$28)&lt;=AsOfDate,EDATE($D27,Milestones!$AA$28)&gt;=SchemeStart,IF($X27=0,$AD27,IF(AND($Z27&lt;&gt;"",EDATE($D27,Milestones!$AA$28)&gt;=$Z27),$AC27,IF(AND($Y27&lt;&gt;"",EDATE($D27,Milestones!$AA$28)&gt;=$Y27),$AB27,$AA27)))=Milestones!$AB$28),UPPER(TEXT(EDATE($D27,Milestones!$AA$28),"dd mmm yy"))&amp;" "&amp;Milestones!$AB$28&amp;" "&amp;IF(AND(Milestones!$AB$28="FT",Milestones!$AA$28=FT_Y5,EDATE($D27,Milestones!$AA$28)&lt;PolicyEff),1,Milestones!$AC$28)&amp;";  ","")&amp;IF(AND(EDATE($D27,Milestones!$AA$29)&lt;=AsOfDate,EDATE($D27,Milestones!$AA$29)&gt;=SchemeStart,IF($X27=0,$AD27,IF(AND($Z27&lt;&gt;"",EDATE($D27,Milestones!$AA$29)&gt;=$Z27),$AC27,IF(AND($Y27&lt;&gt;"",EDATE($D27,Milestones!$AA$29)&gt;=$Y27),$AB27,$AA27)))=Milestones!$AB$29),UPPER(TEXT(EDATE($D27,Milestones!$AA$29),"dd mmm yy"))&amp;" "&amp;Milestones!$AB$29&amp;" "&amp;IF(AND(Milestones!$AB$29="FT",Milestones!$AA$29=FT_Y5,EDATE($D27,Milestones!$AA$29)&lt;PolicyEff),1,Milestones!$AC$29)&amp;";  ","")&amp;IF(AND(EDATE($D27,Milestones!$AA$30)&lt;=AsOfDate,EDATE($D27,Milestones!$AA$30)&gt;=SchemeStart,IF($X27=0,$AD27,IF(AND($Z27&lt;&gt;"",EDATE($D27,Milestones!$AA$30)&gt;=$Z27),$AC27,IF(AND($Y27&lt;&gt;"",EDATE($D27,Milestones!$AA$30)&gt;=$Y27),$AB27,$AA27)))=Milestones!$AB$30),UPPER(TEXT(EDATE($D27,Milestones!$AA$30),"dd mmm yy"))&amp;" "&amp;Milestones!$AB$30&amp;" "&amp;IF(AND(Milestones!$AB$30="FT",Milestones!$AA$30=FT_Y5,EDATE($D27,Milestones!$AA$30)&lt;PolicyEff),1,Milestones!$AC$30)&amp;";  ","")&amp;IF(AND(EDATE($D27,Milestones!$AA$31)&lt;=AsOfDate,EDATE($D27,Milestones!$AA$31)&gt;=SchemeStart,IF($X27=0,$AD27,IF(AND($Z27&lt;&gt;"",EDATE($D27,Milestones!$AA$31)&gt;=$Z27),$AC27,IF(AND($Y27&lt;&gt;"",EDATE($D27,Milestones!$AA$31)&gt;=$Y27),$AB27,$AA27)))=Milestones!$AB$31),UPPER(TEXT(EDATE($D27,Milestones!$AA$31),"dd mmm yy"))&amp;" "&amp;Milestones!$AB$31&amp;" "&amp;IF(AND(Milestones!$AB$31="FT",Milestones!$AA$31=FT_Y5,EDATE($D27,Milestones!$AA$31)&lt;PolicyEff),1,Milestones!$AC$31)&amp;";  ",""))</f>
        <v/>
      </c>
      <c r="J27" s="0" t="str">
        <f aca="false">IF(OR($A27="",$D27=""),"",IF(AND(EDATE($D27,Milestones!$AA$32)&lt;=AsOfDate,EDATE($D27,Milestones!$AA$32)&gt;=SchemeStart,IF($X27=0,$AD27,IF(AND($Z27&lt;&gt;"",EDATE($D27,Milestones!$AA$32)&gt;=$Z27),$AC27,IF(AND($Y27&lt;&gt;"",EDATE($D27,Milestones!$AA$32)&gt;=$Y27),$AB27,$AA27)))=Milestones!$AB$32),UPPER(TEXT(EDATE($D27,Milestones!$AA$32),"dd mmm yy"))&amp;" "&amp;Milestones!$AB$32&amp;" "&amp;IF(AND(Milestones!$AB$32="FT",Milestones!$AA$32=FT_Y5,EDATE($D27,Milestones!$AA$32)&lt;PolicyEff),1,Milestones!$AC$32)&amp;";  ","")&amp;IF(AND(EDATE($D27,Milestones!$AA$33)&lt;=AsOfDate,EDATE($D27,Milestones!$AA$33)&gt;=SchemeStart,IF($X27=0,$AD27,IF(AND($Z27&lt;&gt;"",EDATE($D27,Milestones!$AA$33)&gt;=$Z27),$AC27,IF(AND($Y27&lt;&gt;"",EDATE($D27,Milestones!$AA$33)&gt;=$Y27),$AB27,$AA27)))=Milestones!$AB$33),UPPER(TEXT(EDATE($D27,Milestones!$AA$33),"dd mmm yy"))&amp;" "&amp;Milestones!$AB$33&amp;" "&amp;IF(AND(Milestones!$AB$33="FT",Milestones!$AA$33=FT_Y5,EDATE($D27,Milestones!$AA$33)&lt;PolicyEff),1,Milestones!$AC$33)&amp;";  ","")&amp;IF(AND(EDATE($D27,Milestones!$AA$34)&lt;=AsOfDate,EDATE($D27,Milestones!$AA$34)&gt;=SchemeStart,IF($X27=0,$AD27,IF(AND($Z27&lt;&gt;"",EDATE($D27,Milestones!$AA$34)&gt;=$Z27),$AC27,IF(AND($Y27&lt;&gt;"",EDATE($D27,Milestones!$AA$34)&gt;=$Y27),$AB27,$AA27)))=Milestones!$AB$34),UPPER(TEXT(EDATE($D27,Milestones!$AA$34),"dd mmm yy"))&amp;" "&amp;Milestones!$AB$34&amp;" "&amp;IF(AND(Milestones!$AB$34="FT",Milestones!$AA$34=FT_Y5,EDATE($D27,Milestones!$AA$34)&lt;PolicyEff),1,Milestones!$AC$34)&amp;";  ","")&amp;IF(AND(EDATE($D27,Milestones!$AA$35)&lt;=AsOfDate,EDATE($D27,Milestones!$AA$35)&gt;=SchemeStart,IF($X27=0,$AD27,IF(AND($Z27&lt;&gt;"",EDATE($D27,Milestones!$AA$35)&gt;=$Z27),$AC27,IF(AND($Y27&lt;&gt;"",EDATE($D27,Milestones!$AA$35)&gt;=$Y27),$AB27,$AA27)))=Milestones!$AB$35),UPPER(TEXT(EDATE($D27,Milestones!$AA$35),"dd mmm yy"))&amp;" "&amp;Milestones!$AB$35&amp;" "&amp;IF(AND(Milestones!$AB$35="FT",Milestones!$AA$35=FT_Y5,EDATE($D27,Milestones!$AA$35)&lt;PolicyEff),1,Milestones!$AC$35)&amp;";  ","")&amp;IF(AND(EDATE($D27,Milestones!$AA$36)&lt;=AsOfDate,EDATE($D27,Milestones!$AA$36)&gt;=SchemeStart,IF($X27=0,$AD27,IF(AND($Z27&lt;&gt;"",EDATE($D27,Milestones!$AA$36)&gt;=$Z27),$AC27,IF(AND($Y27&lt;&gt;"",EDATE($D27,Milestones!$AA$36)&gt;=$Y27),$AB27,$AA27)))=Milestones!$AB$36),UPPER(TEXT(EDATE($D27,Milestones!$AA$36),"dd mmm yy"))&amp;" "&amp;Milestones!$AB$36&amp;" "&amp;IF(AND(Milestones!$AB$36="FT",Milestones!$AA$36=FT_Y5,EDATE($D27,Milestones!$AA$36)&lt;PolicyEff),1,Milestones!$AC$36)&amp;";  ","")&amp;IF(AND(EDATE($D27,Milestones!$AA$37)&lt;=AsOfDate,EDATE($D27,Milestones!$AA$37)&gt;=SchemeStart,IF($X27=0,$AD27,IF(AND($Z27&lt;&gt;"",EDATE($D27,Milestones!$AA$37)&gt;=$Z27),$AC27,IF(AND($Y27&lt;&gt;"",EDATE($D27,Milestones!$AA$37)&gt;=$Y27),$AB27,$AA27)))=Milestones!$AB$37),UPPER(TEXT(EDATE($D27,Milestones!$AA$37),"dd mmm yy"))&amp;" "&amp;Milestones!$AB$37&amp;" "&amp;IF(AND(Milestones!$AB$37="FT",Milestones!$AA$37=FT_Y5,EDATE($D27,Milestones!$AA$37)&lt;PolicyEff),1,Milestones!$AC$37)&amp;";  ","")&amp;IF(AND(EDATE($D27,Milestones!$AA$38)&lt;=AsOfDate,EDATE($D27,Milestones!$AA$38)&gt;=SchemeStart,IF($X27=0,$AD27,IF(AND($Z27&lt;&gt;"",EDATE($D27,Milestones!$AA$38)&gt;=$Z27),$AC27,IF(AND($Y27&lt;&gt;"",EDATE($D27,Milestones!$AA$38)&gt;=$Y27),$AB27,$AA27)))=Milestones!$AB$38),UPPER(TEXT(EDATE($D27,Milestones!$AA$38),"dd mmm yy"))&amp;" "&amp;Milestones!$AB$38&amp;" "&amp;IF(AND(Milestones!$AB$38="FT",Milestones!$AA$38=FT_Y5,EDATE($D27,Milestones!$AA$38)&lt;PolicyEff),1,Milestones!$AC$38)&amp;";  ","")&amp;IF(AND(EDATE($D27,Milestones!$AA$39)&lt;=AsOfDate,EDATE($D27,Milestones!$AA$39)&gt;=SchemeStart,IF($X27=0,$AD27,IF(AND($Z27&lt;&gt;"",EDATE($D27,Milestones!$AA$39)&gt;=$Z27),$AC27,IF(AND($Y27&lt;&gt;"",EDATE($D27,Milestones!$AA$39)&gt;=$Y27),$AB27,$AA27)))=Milestones!$AB$39),UPPER(TEXT(EDATE($D27,Milestones!$AA$39),"dd mmm yy"))&amp;" "&amp;Milestones!$AB$39&amp;" "&amp;IF(AND(Milestones!$AB$39="FT",Milestones!$AA$39=FT_Y5,EDATE($D27,Milestones!$AA$39)&lt;PolicyEff),1,Milestones!$AC$39)&amp;";  ","")&amp;IF(AND(EDATE($D27,Milestones!$AA$40)&lt;=AsOfDate,EDATE($D27,Milestones!$AA$40)&gt;=SchemeStart,IF($X27=0,$AD27,IF(AND($Z27&lt;&gt;"",EDATE($D27,Milestones!$AA$40)&gt;=$Z27),$AC27,IF(AND($Y27&lt;&gt;"",EDATE($D27,Milestones!$AA$40)&gt;=$Y27),$AB27,$AA27)))=Milestones!$AB$40),UPPER(TEXT(EDATE($D27,Milestones!$AA$40),"dd mmm yy"))&amp;" "&amp;Milestones!$AB$40&amp;" "&amp;IF(AND(Milestones!$AB$40="FT",Milestones!$AA$40=FT_Y5,EDATE($D27,Milestones!$AA$40)&lt;PolicyEff),1,Milestones!$AC$40)&amp;";  ","")&amp;IF(AND(EDATE($D27,Milestones!$AA$41)&lt;=AsOfDate,EDATE($D27,Milestones!$AA$41)&gt;=SchemeStart,IF($X27=0,$AD27,IF(AND($Z27&lt;&gt;"",EDATE($D27,Milestones!$AA$41)&gt;=$Z27),$AC27,IF(AND($Y27&lt;&gt;"",EDATE($D27,Milestones!$AA$41)&gt;=$Y27),$AB27,$AA27)))=Milestones!$AB$41),UPPER(TEXT(EDATE($D27,Milestones!$AA$41),"dd mmm yy"))&amp;" "&amp;Milestones!$AB$41&amp;" "&amp;IF(AND(Milestones!$AB$41="FT",Milestones!$AA$41=FT_Y5,EDATE($D27,Milestones!$AA$41)&lt;PolicyEff),1,Milestones!$AC$41)&amp;";  ","")&amp;IF(AND(EDATE($D27,Milestones!$AA$42)&lt;=AsOfDate,EDATE($D27,Milestones!$AA$42)&gt;=SchemeStart,IF($X27=0,$AD27,IF(AND($Z27&lt;&gt;"",EDATE($D27,Milestones!$AA$42)&gt;=$Z27),$AC27,IF(AND($Y27&lt;&gt;"",EDATE($D27,Milestones!$AA$42)&gt;=$Y27),$AB27,$AA27)))=Milestones!$AB$42),UPPER(TEXT(EDATE($D27,Milestones!$AA$42),"dd mmm yy"))&amp;" "&amp;Milestones!$AB$42&amp;" "&amp;IF(AND(Milestones!$AB$42="FT",Milestones!$AA$42=FT_Y5,EDATE($D27,Milestones!$AA$42)&lt;PolicyEff),1,Milestones!$AC$42)&amp;";  ","")&amp;IF(AND(EDATE($D27,Milestones!$AA$43)&lt;=AsOfDate,EDATE($D27,Milestones!$AA$43)&gt;=SchemeStart,IF($X27=0,$AD27,IF(AND($Z27&lt;&gt;"",EDATE($D27,Milestones!$AA$43)&gt;=$Z27),$AC27,IF(AND($Y27&lt;&gt;"",EDATE($D27,Milestones!$AA$43)&gt;=$Y27),$AB27,$AA27)))=Milestones!$AB$43),UPPER(TEXT(EDATE($D27,Milestones!$AA$43),"dd mmm yy"))&amp;" "&amp;Milestones!$AB$43&amp;" "&amp;IF(AND(Milestones!$AB$43="FT",Milestones!$AA$43=FT_Y5,EDATE($D27,Milestones!$AA$43)&lt;PolicyEff),1,Milestones!$AC$43)&amp;";  ",""))</f>
        <v/>
      </c>
      <c r="K27" s="0" t="str">
        <f aca="false">IF(OR($A27="",$D27=""),"",IF(AND(EDATE($D27,Milestones!$AA$44)&lt;=AsOfDate,EDATE($D27,Milestones!$AA$44)&gt;=SchemeStart,IF($X27=0,$AD27,IF(AND($Z27&lt;&gt;"",EDATE($D27,Milestones!$AA$44)&gt;=$Z27),$AC27,IF(AND($Y27&lt;&gt;"",EDATE($D27,Milestones!$AA$44)&gt;=$Y27),$AB27,$AA27)))=Milestones!$AB$44),UPPER(TEXT(EDATE($D27,Milestones!$AA$44),"dd mmm yy"))&amp;" "&amp;Milestones!$AB$44&amp;" "&amp;IF(AND(Milestones!$AB$44="FT",Milestones!$AA$44=FT_Y5,EDATE($D27,Milestones!$AA$44)&lt;PolicyEff),1,Milestones!$AC$44)&amp;";  ","")&amp;IF(AND(EDATE($D27,Milestones!$AA$45)&lt;=AsOfDate,EDATE($D27,Milestones!$AA$45)&gt;=SchemeStart,IF($X27=0,$AD27,IF(AND($Z27&lt;&gt;"",EDATE($D27,Milestones!$AA$45)&gt;=$Z27),$AC27,IF(AND($Y27&lt;&gt;"",EDATE($D27,Milestones!$AA$45)&gt;=$Y27),$AB27,$AA27)))=Milestones!$AB$45),UPPER(TEXT(EDATE($D27,Milestones!$AA$45),"dd mmm yy"))&amp;" "&amp;Milestones!$AB$45&amp;" "&amp;IF(AND(Milestones!$AB$45="FT",Milestones!$AA$45=FT_Y5,EDATE($D27,Milestones!$AA$45)&lt;PolicyEff),1,Milestones!$AC$45)&amp;";  ","")&amp;IF(AND(EDATE($D27,Milestones!$AA$46)&lt;=AsOfDate,EDATE($D27,Milestones!$AA$46)&gt;=SchemeStart,IF($X27=0,$AD27,IF(AND($Z27&lt;&gt;"",EDATE($D27,Milestones!$AA$46)&gt;=$Z27),$AC27,IF(AND($Y27&lt;&gt;"",EDATE($D27,Milestones!$AA$46)&gt;=$Y27),$AB27,$AA27)))=Milestones!$AB$46),UPPER(TEXT(EDATE($D27,Milestones!$AA$46),"dd mmm yy"))&amp;" "&amp;Milestones!$AB$46&amp;" "&amp;IF(AND(Milestones!$AB$46="FT",Milestones!$AA$46=FT_Y5,EDATE($D27,Milestones!$AA$46)&lt;PolicyEff),1,Milestones!$AC$46)&amp;";  ","")&amp;IF(AND(EDATE($D27,Milestones!$AA$47)&lt;=AsOfDate,EDATE($D27,Milestones!$AA$47)&gt;=SchemeStart,IF($X27=0,$AD27,IF(AND($Z27&lt;&gt;"",EDATE($D27,Milestones!$AA$47)&gt;=$Z27),$AC27,IF(AND($Y27&lt;&gt;"",EDATE($D27,Milestones!$AA$47)&gt;=$Y27),$AB27,$AA27)))=Milestones!$AB$47),UPPER(TEXT(EDATE($D27,Milestones!$AA$47),"dd mmm yy"))&amp;" "&amp;Milestones!$AB$47&amp;" "&amp;IF(AND(Milestones!$AB$47="FT",Milestones!$AA$47=FT_Y5,EDATE($D27,Milestones!$AA$47)&lt;PolicyEff),1,Milestones!$AC$47)&amp;";  ","")&amp;IF(AND(EDATE($D27,Milestones!$AA$48)&lt;=AsOfDate,EDATE($D27,Milestones!$AA$48)&gt;=SchemeStart,IF($X27=0,$AD27,IF(AND($Z27&lt;&gt;"",EDATE($D27,Milestones!$AA$48)&gt;=$Z27),$AC27,IF(AND($Y27&lt;&gt;"",EDATE($D27,Milestones!$AA$48)&gt;=$Y27),$AB27,$AA27)))=Milestones!$AB$48),UPPER(TEXT(EDATE($D27,Milestones!$AA$48),"dd mmm yy"))&amp;" "&amp;Milestones!$AB$48&amp;" "&amp;IF(AND(Milestones!$AB$48="FT",Milestones!$AA$48=FT_Y5,EDATE($D27,Milestones!$AA$48)&lt;PolicyEff),1,Milestones!$AC$48)&amp;";  ","")&amp;IF(AND(EDATE($D27,Milestones!$AA$49)&lt;=AsOfDate,EDATE($D27,Milestones!$AA$49)&gt;=SchemeStart,IF($X27=0,$AD27,IF(AND($Z27&lt;&gt;"",EDATE($D27,Milestones!$AA$49)&gt;=$Z27),$AC27,IF(AND($Y27&lt;&gt;"",EDATE($D27,Milestones!$AA$49)&gt;=$Y27),$AB27,$AA27)))=Milestones!$AB$49),UPPER(TEXT(EDATE($D27,Milestones!$AA$49),"dd mmm yy"))&amp;" "&amp;Milestones!$AB$49&amp;" "&amp;IF(AND(Milestones!$AB$49="FT",Milestones!$AA$49=FT_Y5,EDATE($D27,Milestones!$AA$49)&lt;PolicyEff),1,Milestones!$AC$49)&amp;";  ","")&amp;IF(AND(EDATE($D27,Milestones!$AA$50)&lt;=AsOfDate,EDATE($D27,Milestones!$AA$50)&gt;=SchemeStart,IF($X27=0,$AD27,IF(AND($Z27&lt;&gt;"",EDATE($D27,Milestones!$AA$50)&gt;=$Z27),$AC27,IF(AND($Y27&lt;&gt;"",EDATE($D27,Milestones!$AA$50)&gt;=$Y27),$AB27,$AA27)))=Milestones!$AB$50),UPPER(TEXT(EDATE($D27,Milestones!$AA$50),"dd mmm yy"))&amp;" "&amp;Milestones!$AB$50&amp;" "&amp;IF(AND(Milestones!$AB$50="FT",Milestones!$AA$50=FT_Y5,EDATE($D27,Milestones!$AA$50)&lt;PolicyEff),1,Milestones!$AC$50)&amp;";  ","")&amp;IF(AND(EDATE($D27,Milestones!$AA$51)&lt;=AsOfDate,EDATE($D27,Milestones!$AA$51)&gt;=SchemeStart,IF($X27=0,$AD27,IF(AND($Z27&lt;&gt;"",EDATE($D27,Milestones!$AA$51)&gt;=$Z27),$AC27,IF(AND($Y27&lt;&gt;"",EDATE($D27,Milestones!$AA$51)&gt;=$Y27),$AB27,$AA27)))=Milestones!$AB$51),UPPER(TEXT(EDATE($D27,Milestones!$AA$51),"dd mmm yy"))&amp;" "&amp;Milestones!$AB$51&amp;" "&amp;IF(AND(Milestones!$AB$51="FT",Milestones!$AA$51=FT_Y5,EDATE($D27,Milestones!$AA$51)&lt;PolicyEff),1,Milestones!$AC$51)&amp;";  ","")&amp;IF(AND(EDATE($D27,Milestones!$AA$52)&lt;=AsOfDate,EDATE($D27,Milestones!$AA$52)&gt;=SchemeStart,IF($X27=0,$AD27,IF(AND($Z27&lt;&gt;"",EDATE($D27,Milestones!$AA$52)&gt;=$Z27),$AC27,IF(AND($Y27&lt;&gt;"",EDATE($D27,Milestones!$AA$52)&gt;=$Y27),$AB27,$AA27)))=Milestones!$AB$52),UPPER(TEXT(EDATE($D27,Milestones!$AA$52),"dd mmm yy"))&amp;" "&amp;Milestones!$AB$52&amp;" "&amp;IF(AND(Milestones!$AB$52="FT",Milestones!$AA$52=FT_Y5,EDATE($D27,Milestones!$AA$52)&lt;PolicyEff),1,Milestones!$AC$52)&amp;";  ","")&amp;IF(AND(EDATE($D27,Milestones!$AA$53)&lt;=AsOfDate,EDATE($D27,Milestones!$AA$53)&gt;=SchemeStart,IF($X27=0,$AD27,IF(AND($Z27&lt;&gt;"",EDATE($D27,Milestones!$AA$53)&gt;=$Z27),$AC27,IF(AND($Y27&lt;&gt;"",EDATE($D27,Milestones!$AA$53)&gt;=$Y27),$AB27,$AA27)))=Milestones!$AB$53),UPPER(TEXT(EDATE($D27,Milestones!$AA$53),"dd mmm yy"))&amp;" "&amp;Milestones!$AB$53&amp;" "&amp;IF(AND(Milestones!$AB$53="FT",Milestones!$AA$53=FT_Y5,EDATE($D27,Milestones!$AA$53)&lt;PolicyEff),1,Milestones!$AC$53)&amp;";  ","")&amp;IF(AND(EDATE($D27,Milestones!$AA$54)&lt;=AsOfDate,EDATE($D27,Milestones!$AA$54)&gt;=SchemeStart,IF($X27=0,$AD27,IF(AND($Z27&lt;&gt;"",EDATE($D27,Milestones!$AA$54)&gt;=$Z27),$AC27,IF(AND($Y27&lt;&gt;"",EDATE($D27,Milestones!$AA$54)&gt;=$Y27),$AB27,$AA27)))=Milestones!$AB$54),UPPER(TEXT(EDATE($D27,Milestones!$AA$54),"dd mmm yy"))&amp;" "&amp;Milestones!$AB$54&amp;" "&amp;IF(AND(Milestones!$AB$54="FT",Milestones!$AA$54=FT_Y5,EDATE($D27,Milestones!$AA$54)&lt;PolicyEff),1,Milestones!$AC$54)&amp;";  ","")&amp;IF(AND(EDATE($D27,Milestones!$AA$55)&lt;=AsOfDate,EDATE($D27,Milestones!$AA$55)&gt;=SchemeStart,IF($X27=0,$AD27,IF(AND($Z27&lt;&gt;"",EDATE($D27,Milestones!$AA$55)&gt;=$Z27),$AC27,IF(AND($Y27&lt;&gt;"",EDATE($D27,Milestones!$AA$55)&gt;=$Y27),$AB27,$AA27)))=Milestones!$AB$55),UPPER(TEXT(EDATE($D27,Milestones!$AA$55),"dd mmm yy"))&amp;" "&amp;Milestones!$AB$55&amp;" "&amp;IF(AND(Milestones!$AB$55="FT",Milestones!$AA$55=FT_Y5,EDATE($D27,Milestones!$AA$55)&lt;PolicyEff),1,Milestones!$AC$55)&amp;";  ",""))</f>
        <v/>
      </c>
      <c r="L27" s="0" t="str">
        <f aca="false">IF(OR($A27="",$D27=""),"",IF(AND(EDATE($D27,Milestones!$AA$56)&lt;=AsOfDate,EDATE($D27,Milestones!$AA$56)&gt;=SchemeStart,IF($X27=0,$AD27,IF(AND($Z27&lt;&gt;"",EDATE($D27,Milestones!$AA$56)&gt;=$Z27),$AC27,IF(AND($Y27&lt;&gt;"",EDATE($D27,Milestones!$AA$56)&gt;=$Y27),$AB27,$AA27)))=Milestones!$AB$56),UPPER(TEXT(EDATE($D27,Milestones!$AA$56),"dd mmm yy"))&amp;" "&amp;Milestones!$AB$56&amp;" "&amp;IF(AND(Milestones!$AB$56="FT",Milestones!$AA$56=FT_Y5,EDATE($D27,Milestones!$AA$56)&lt;PolicyEff),1,Milestones!$AC$56)&amp;";  ","")&amp;IF(AND(EDATE($D27,Milestones!$AA$57)&lt;=AsOfDate,EDATE($D27,Milestones!$AA$57)&gt;=SchemeStart,IF($X27=0,$AD27,IF(AND($Z27&lt;&gt;"",EDATE($D27,Milestones!$AA$57)&gt;=$Z27),$AC27,IF(AND($Y27&lt;&gt;"",EDATE($D27,Milestones!$AA$57)&gt;=$Y27),$AB27,$AA27)))=Milestones!$AB$57),UPPER(TEXT(EDATE($D27,Milestones!$AA$57),"dd mmm yy"))&amp;" "&amp;Milestones!$AB$57&amp;" "&amp;IF(AND(Milestones!$AB$57="FT",Milestones!$AA$57=FT_Y5,EDATE($D27,Milestones!$AA$57)&lt;PolicyEff),1,Milestones!$AC$57)&amp;";  ","")&amp;IF(AND(EDATE($D27,Milestones!$AA$58)&lt;=AsOfDate,EDATE($D27,Milestones!$AA$58)&gt;=SchemeStart,IF($X27=0,$AD27,IF(AND($Z27&lt;&gt;"",EDATE($D27,Milestones!$AA$58)&gt;=$Z27),$AC27,IF(AND($Y27&lt;&gt;"",EDATE($D27,Milestones!$AA$58)&gt;=$Y27),$AB27,$AA27)))=Milestones!$AB$58),UPPER(TEXT(EDATE($D27,Milestones!$AA$58),"dd mmm yy"))&amp;" "&amp;Milestones!$AB$58&amp;" "&amp;IF(AND(Milestones!$AB$58="FT",Milestones!$AA$58=FT_Y5,EDATE($D27,Milestones!$AA$58)&lt;PolicyEff),1,Milestones!$AC$58)&amp;";  ","")&amp;IF(AND(EDATE($D27,Milestones!$AA$59)&lt;=AsOfDate,EDATE($D27,Milestones!$AA$59)&gt;=SchemeStart,IF($X27=0,$AD27,IF(AND($Z27&lt;&gt;"",EDATE($D27,Milestones!$AA$59)&gt;=$Z27),$AC27,IF(AND($Y27&lt;&gt;"",EDATE($D27,Milestones!$AA$59)&gt;=$Y27),$AB27,$AA27)))=Milestones!$AB$59),UPPER(TEXT(EDATE($D27,Milestones!$AA$59),"dd mmm yy"))&amp;" "&amp;Milestones!$AB$59&amp;" "&amp;IF(AND(Milestones!$AB$59="FT",Milestones!$AA$59=FT_Y5,EDATE($D27,Milestones!$AA$59)&lt;PolicyEff),1,Milestones!$AC$59)&amp;";  ","")&amp;IF(AND(EDATE($D27,Milestones!$AA$60)&lt;=AsOfDate,EDATE($D27,Milestones!$AA$60)&gt;=SchemeStart,IF($X27=0,$AD27,IF(AND($Z27&lt;&gt;"",EDATE($D27,Milestones!$AA$60)&gt;=$Z27),$AC27,IF(AND($Y27&lt;&gt;"",EDATE($D27,Milestones!$AA$60)&gt;=$Y27),$AB27,$AA27)))=Milestones!$AB$60),UPPER(TEXT(EDATE($D27,Milestones!$AA$60),"dd mmm yy"))&amp;" "&amp;Milestones!$AB$60&amp;" "&amp;IF(AND(Milestones!$AB$60="FT",Milestones!$AA$60=FT_Y5,EDATE($D27,Milestones!$AA$60)&lt;PolicyEff),1,Milestones!$AC$60)&amp;";  ","")&amp;IF(AND(EDATE($D27,Milestones!$AA$61)&lt;=AsOfDate,EDATE($D27,Milestones!$AA$61)&gt;=SchemeStart,IF($X27=0,$AD27,IF(AND($Z27&lt;&gt;"",EDATE($D27,Milestones!$AA$61)&gt;=$Z27),$AC27,IF(AND($Y27&lt;&gt;"",EDATE($D27,Milestones!$AA$61)&gt;=$Y27),$AB27,$AA27)))=Milestones!$AB$61),UPPER(TEXT(EDATE($D27,Milestones!$AA$61),"dd mmm yy"))&amp;" "&amp;Milestones!$AB$61&amp;" "&amp;IF(AND(Milestones!$AB$61="FT",Milestones!$AA$61=FT_Y5,EDATE($D27,Milestones!$AA$61)&lt;PolicyEff),1,Milestones!$AC$61)&amp;";  ","")&amp;IF(AND(EDATE($D27,Milestones!$AA$62)&lt;=AsOfDate,EDATE($D27,Milestones!$AA$62)&gt;=SchemeStart,IF($X27=0,$AD27,IF(AND($Z27&lt;&gt;"",EDATE($D27,Milestones!$AA$62)&gt;=$Z27),$AC27,IF(AND($Y27&lt;&gt;"",EDATE($D27,Milestones!$AA$62)&gt;=$Y27),$AB27,$AA27)))=Milestones!$AB$62),UPPER(TEXT(EDATE($D27,Milestones!$AA$62),"dd mmm yy"))&amp;" "&amp;Milestones!$AB$62&amp;" "&amp;IF(AND(Milestones!$AB$62="FT",Milestones!$AA$62=FT_Y5,EDATE($D27,Milestones!$AA$62)&lt;PolicyEff),1,Milestones!$AC$62)&amp;";  ","")&amp;IF(AND(EDATE($D27,Milestones!$AA$63)&lt;=AsOfDate,EDATE($D27,Milestones!$AA$63)&gt;=SchemeStart,IF($X27=0,$AD27,IF(AND($Z27&lt;&gt;"",EDATE($D27,Milestones!$AA$63)&gt;=$Z27),$AC27,IF(AND($Y27&lt;&gt;"",EDATE($D27,Milestones!$AA$63)&gt;=$Y27),$AB27,$AA27)))=Milestones!$AB$63),UPPER(TEXT(EDATE($D27,Milestones!$AA$63),"dd mmm yy"))&amp;" "&amp;Milestones!$AB$63&amp;" "&amp;IF(AND(Milestones!$AB$63="FT",Milestones!$AA$63=FT_Y5,EDATE($D27,Milestones!$AA$63)&lt;PolicyEff),1,Milestones!$AC$63)&amp;";  ","")&amp;IF(AND(EDATE($D27,Milestones!$AA$64)&lt;=AsOfDate,EDATE($D27,Milestones!$AA$64)&gt;=SchemeStart,IF($X27=0,$AD27,IF(AND($Z27&lt;&gt;"",EDATE($D27,Milestones!$AA$64)&gt;=$Z27),$AC27,IF(AND($Y27&lt;&gt;"",EDATE($D27,Milestones!$AA$64)&gt;=$Y27),$AB27,$AA27)))=Milestones!$AB$64),UPPER(TEXT(EDATE($D27,Milestones!$AA$64),"dd mmm yy"))&amp;" "&amp;Milestones!$AB$64&amp;" "&amp;IF(AND(Milestones!$AB$64="FT",Milestones!$AA$64=FT_Y5,EDATE($D27,Milestones!$AA$64)&lt;PolicyEff),1,Milestones!$AC$64)&amp;";  ","")&amp;IF(AND(EDATE($D27,Milestones!$AA$65)&lt;=AsOfDate,EDATE($D27,Milestones!$AA$65)&gt;=SchemeStart,IF($X27=0,$AD27,IF(AND($Z27&lt;&gt;"",EDATE($D27,Milestones!$AA$65)&gt;=$Z27),$AC27,IF(AND($Y27&lt;&gt;"",EDATE($D27,Milestones!$AA$65)&gt;=$Y27),$AB27,$AA27)))=Milestones!$AB$65),UPPER(TEXT(EDATE($D27,Milestones!$AA$65),"dd mmm yy"))&amp;" "&amp;Milestones!$AB$65&amp;" "&amp;IF(AND(Milestones!$AB$65="FT",Milestones!$AA$65=FT_Y5,EDATE($D27,Milestones!$AA$65)&lt;PolicyEff),1,Milestones!$AC$65)&amp;";  ","")&amp;IF(AND(EDATE($D27,Milestones!$AA$66)&lt;=AsOfDate,EDATE($D27,Milestones!$AA$66)&gt;=SchemeStart,IF($X27=0,$AD27,IF(AND($Z27&lt;&gt;"",EDATE($D27,Milestones!$AA$66)&gt;=$Z27),$AC27,IF(AND($Y27&lt;&gt;"",EDATE($D27,Milestones!$AA$66)&gt;=$Y27),$AB27,$AA27)))=Milestones!$AB$66),UPPER(TEXT(EDATE($D27,Milestones!$AA$66),"dd mmm yy"))&amp;" "&amp;Milestones!$AB$66&amp;" "&amp;IF(AND(Milestones!$AB$66="FT",Milestones!$AA$66=FT_Y5,EDATE($D27,Milestones!$AA$66)&lt;PolicyEff),1,Milestones!$AC$66)&amp;";  ","")&amp;IF(AND(EDATE($D27,Milestones!$AA$67)&lt;=AsOfDate,EDATE($D27,Milestones!$AA$67)&gt;=SchemeStart,IF($X27=0,$AD27,IF(AND($Z27&lt;&gt;"",EDATE($D27,Milestones!$AA$67)&gt;=$Z27),$AC27,IF(AND($Y27&lt;&gt;"",EDATE($D27,Milestones!$AA$67)&gt;=$Y27),$AB27,$AA27)))=Milestones!$AB$67),UPPER(TEXT(EDATE($D27,Milestones!$AA$67),"dd mmm yy"))&amp;" "&amp;Milestones!$AB$67&amp;" "&amp;IF(AND(Milestones!$AB$67="FT",Milestones!$AA$67=FT_Y5,EDATE($D27,Milestones!$AA$67)&lt;PolicyEff),1,Milestones!$AC$67)&amp;";  ",""))</f>
        <v/>
      </c>
      <c r="M27" s="0" t="str">
        <f aca="false">IF(OR($A27="",$D27=""),"",IF(AND(EDATE($D27,Milestones!$AA$68)&lt;=AsOfDate,EDATE($D27,Milestones!$AA$68)&gt;=SchemeStart,IF($X27=0,$AD27,IF(AND($Z27&lt;&gt;"",EDATE($D27,Milestones!$AA$68)&gt;=$Z27),$AC27,IF(AND($Y27&lt;&gt;"",EDATE($D27,Milestones!$AA$68)&gt;=$Y27),$AB27,$AA27)))=Milestones!$AB$68),UPPER(TEXT(EDATE($D27,Milestones!$AA$68),"dd mmm yy"))&amp;" "&amp;Milestones!$AB$68&amp;" "&amp;IF(AND(Milestones!$AB$68="FT",Milestones!$AA$68=FT_Y5,EDATE($D27,Milestones!$AA$68)&lt;PolicyEff),1,Milestones!$AC$68)&amp;";  ","")&amp;IF(AND(EDATE($D27,Milestones!$AA$69)&lt;=AsOfDate,EDATE($D27,Milestones!$AA$69)&gt;=SchemeStart,IF($X27=0,$AD27,IF(AND($Z27&lt;&gt;"",EDATE($D27,Milestones!$AA$69)&gt;=$Z27),$AC27,IF(AND($Y27&lt;&gt;"",EDATE($D27,Milestones!$AA$69)&gt;=$Y27),$AB27,$AA27)))=Milestones!$AB$69),UPPER(TEXT(EDATE($D27,Milestones!$AA$69),"dd mmm yy"))&amp;" "&amp;Milestones!$AB$69&amp;" "&amp;IF(AND(Milestones!$AB$69="FT",Milestones!$AA$69=FT_Y5,EDATE($D27,Milestones!$AA$69)&lt;PolicyEff),1,Milestones!$AC$69)&amp;";  ","")&amp;IF(AND(EDATE($D27,Milestones!$AA$70)&lt;=AsOfDate,EDATE($D27,Milestones!$AA$70)&gt;=SchemeStart,IF($X27=0,$AD27,IF(AND($Z27&lt;&gt;"",EDATE($D27,Milestones!$AA$70)&gt;=$Z27),$AC27,IF(AND($Y27&lt;&gt;"",EDATE($D27,Milestones!$AA$70)&gt;=$Y27),$AB27,$AA27)))=Milestones!$AB$70),UPPER(TEXT(EDATE($D27,Milestones!$AA$70),"dd mmm yy"))&amp;" "&amp;Milestones!$AB$70&amp;" "&amp;IF(AND(Milestones!$AB$70="FT",Milestones!$AA$70=FT_Y5,EDATE($D27,Milestones!$AA$70)&lt;PolicyEff),1,Milestones!$AC$70)&amp;";  ","")&amp;IF(AND(EDATE($D27,Milestones!$AA$71)&lt;=AsOfDate,EDATE($D27,Milestones!$AA$71)&gt;=SchemeStart,IF($X27=0,$AD27,IF(AND($Z27&lt;&gt;"",EDATE($D27,Milestones!$AA$71)&gt;=$Z27),$AC27,IF(AND($Y27&lt;&gt;"",EDATE($D27,Milestones!$AA$71)&gt;=$Y27),$AB27,$AA27)))=Milestones!$AB$71),UPPER(TEXT(EDATE($D27,Milestones!$AA$71),"dd mmm yy"))&amp;" "&amp;Milestones!$AB$71&amp;" "&amp;IF(AND(Milestones!$AB$71="FT",Milestones!$AA$71=FT_Y5,EDATE($D27,Milestones!$AA$71)&lt;PolicyEff),1,Milestones!$AC$71)&amp;";  ","")&amp;IF(AND(EDATE($D27,Milestones!$AA$72)&lt;=AsOfDate,EDATE($D27,Milestones!$AA$72)&gt;=SchemeStart,IF($X27=0,$AD27,IF(AND($Z27&lt;&gt;"",EDATE($D27,Milestones!$AA$72)&gt;=$Z27),$AC27,IF(AND($Y27&lt;&gt;"",EDATE($D27,Milestones!$AA$72)&gt;=$Y27),$AB27,$AA27)))=Milestones!$AB$72),UPPER(TEXT(EDATE($D27,Milestones!$AA$72),"dd mmm yy"))&amp;" "&amp;Milestones!$AB$72&amp;" "&amp;IF(AND(Milestones!$AB$72="FT",Milestones!$AA$72=FT_Y5,EDATE($D27,Milestones!$AA$72)&lt;PolicyEff),1,Milestones!$AC$72)&amp;";  ","")&amp;IF(AND(EDATE($D27,Milestones!$AA$73)&lt;=AsOfDate,EDATE($D27,Milestones!$AA$73)&gt;=SchemeStart,IF($X27=0,$AD27,IF(AND($Z27&lt;&gt;"",EDATE($D27,Milestones!$AA$73)&gt;=$Z27),$AC27,IF(AND($Y27&lt;&gt;"",EDATE($D27,Milestones!$AA$73)&gt;=$Y27),$AB27,$AA27)))=Milestones!$AB$73),UPPER(TEXT(EDATE($D27,Milestones!$AA$73),"dd mmm yy"))&amp;" "&amp;Milestones!$AB$73&amp;" "&amp;IF(AND(Milestones!$AB$73="FT",Milestones!$AA$73=FT_Y5,EDATE($D27,Milestones!$AA$73)&lt;PolicyEff),1,Milestones!$AC$73)&amp;";  ","")&amp;IF(AND(EDATE($D27,Milestones!$AA$74)&lt;=AsOfDate,EDATE($D27,Milestones!$AA$74)&gt;=SchemeStart,IF($X27=0,$AD27,IF(AND($Z27&lt;&gt;"",EDATE($D27,Milestones!$AA$74)&gt;=$Z27),$AC27,IF(AND($Y27&lt;&gt;"",EDATE($D27,Milestones!$AA$74)&gt;=$Y27),$AB27,$AA27)))=Milestones!$AB$74),UPPER(TEXT(EDATE($D27,Milestones!$AA$74),"dd mmm yy"))&amp;" "&amp;Milestones!$AB$74&amp;" "&amp;IF(AND(Milestones!$AB$74="FT",Milestones!$AA$74=FT_Y5,EDATE($D27,Milestones!$AA$74)&lt;PolicyEff),1,Milestones!$AC$74)&amp;";  ","")&amp;IF(AND(EDATE($D27,Milestones!$AA$75)&lt;=AsOfDate,EDATE($D27,Milestones!$AA$75)&gt;=SchemeStart,IF($X27=0,$AD27,IF(AND($Z27&lt;&gt;"",EDATE($D27,Milestones!$AA$75)&gt;=$Z27),$AC27,IF(AND($Y27&lt;&gt;"",EDATE($D27,Milestones!$AA$75)&gt;=$Y27),$AB27,$AA27)))=Milestones!$AB$75),UPPER(TEXT(EDATE($D27,Milestones!$AA$75),"dd mmm yy"))&amp;" "&amp;Milestones!$AB$75&amp;" "&amp;IF(AND(Milestones!$AB$75="FT",Milestones!$AA$75=FT_Y5,EDATE($D27,Milestones!$AA$75)&lt;PolicyEff),1,Milestones!$AC$75)&amp;";  ","")&amp;IF(AND(EDATE($D27,Milestones!$AA$76)&lt;=AsOfDate,EDATE($D27,Milestones!$AA$76)&gt;=SchemeStart,IF($X27=0,$AD27,IF(AND($Z27&lt;&gt;"",EDATE($D27,Milestones!$AA$76)&gt;=$Z27),$AC27,IF(AND($Y27&lt;&gt;"",EDATE($D27,Milestones!$AA$76)&gt;=$Y27),$AB27,$AA27)))=Milestones!$AB$76),UPPER(TEXT(EDATE($D27,Milestones!$AA$76),"dd mmm yy"))&amp;" "&amp;Milestones!$AB$76&amp;" "&amp;IF(AND(Milestones!$AB$76="FT",Milestones!$AA$76=FT_Y5,EDATE($D27,Milestones!$AA$76)&lt;PolicyEff),1,Milestones!$AC$76)&amp;";  ","")&amp;IF(AND(EDATE($D27,Milestones!$AA$77)&lt;=AsOfDate,EDATE($D27,Milestones!$AA$77)&gt;=SchemeStart,IF($X27=0,$AD27,IF(AND($Z27&lt;&gt;"",EDATE($D27,Milestones!$AA$77)&gt;=$Z27),$AC27,IF(AND($Y27&lt;&gt;"",EDATE($D27,Milestones!$AA$77)&gt;=$Y27),$AB27,$AA27)))=Milestones!$AB$77),UPPER(TEXT(EDATE($D27,Milestones!$AA$77),"dd mmm yy"))&amp;" "&amp;Milestones!$AB$77&amp;" "&amp;IF(AND(Milestones!$AB$77="FT",Milestones!$AA$77=FT_Y5,EDATE($D27,Milestones!$AA$77)&lt;PolicyEff),1,Milestones!$AC$77)&amp;";  ","")&amp;IF(AND(EDATE($D27,Milestones!$AA$78)&lt;=AsOfDate,EDATE($D27,Milestones!$AA$78)&gt;=SchemeStart,IF($X27=0,$AD27,IF(AND($Z27&lt;&gt;"",EDATE($D27,Milestones!$AA$78)&gt;=$Z27),$AC27,IF(AND($Y27&lt;&gt;"",EDATE($D27,Milestones!$AA$78)&gt;=$Y27),$AB27,$AA27)))=Milestones!$AB$78),UPPER(TEXT(EDATE($D27,Milestones!$AA$78),"dd mmm yy"))&amp;" "&amp;Milestones!$AB$78&amp;" "&amp;IF(AND(Milestones!$AB$78="FT",Milestones!$AA$78=FT_Y5,EDATE($D27,Milestones!$AA$78)&lt;PolicyEff),1,Milestones!$AC$78)&amp;";  ","")&amp;IF(AND(EDATE($D27,Milestones!$AA$79)&lt;=AsOfDate,EDATE($D27,Milestones!$AA$79)&gt;=SchemeStart,IF($X27=0,$AD27,IF(AND($Z27&lt;&gt;"",EDATE($D27,Milestones!$AA$79)&gt;=$Z27),$AC27,IF(AND($Y27&lt;&gt;"",EDATE($D27,Milestones!$AA$79)&gt;=$Y27),$AB27,$AA27)))=Milestones!$AB$79),UPPER(TEXT(EDATE($D27,Milestones!$AA$79),"dd mmm yy"))&amp;" "&amp;Milestones!$AB$79&amp;" "&amp;IF(AND(Milestones!$AB$79="FT",Milestones!$AA$79=FT_Y5,EDATE($D27,Milestones!$AA$79)&lt;PolicyEff),1,Milestones!$AC$79)&amp;";  ",""))</f>
        <v/>
      </c>
      <c r="N27" s="0" t="str">
        <f aca="false">IF(OR($A27="",$D27=""),"",IF(AND(EDATE($D27,Milestones!$AA$80)&lt;=AsOfDate,EDATE($D27,Milestones!$AA$80)&gt;=SchemeStart,IF($X27=0,$AD27,IF(AND($Z27&lt;&gt;"",EDATE($D27,Milestones!$AA$80)&gt;=$Z27),$AC27,IF(AND($Y27&lt;&gt;"",EDATE($D27,Milestones!$AA$80)&gt;=$Y27),$AB27,$AA27)))=Milestones!$AB$80),UPPER(TEXT(EDATE($D27,Milestones!$AA$80),"dd mmm yy"))&amp;" "&amp;Milestones!$AB$80&amp;" "&amp;IF(AND(Milestones!$AB$80="FT",Milestones!$AA$80=FT_Y5,EDATE($D27,Milestones!$AA$80)&lt;PolicyEff),1,Milestones!$AC$80)&amp;";  ","")&amp;IF(AND(EDATE($D27,Milestones!$AA$81)&lt;=AsOfDate,EDATE($D27,Milestones!$AA$81)&gt;=SchemeStart,IF($X27=0,$AD27,IF(AND($Z27&lt;&gt;"",EDATE($D27,Milestones!$AA$81)&gt;=$Z27),$AC27,IF(AND($Y27&lt;&gt;"",EDATE($D27,Milestones!$AA$81)&gt;=$Y27),$AB27,$AA27)))=Milestones!$AB$81),UPPER(TEXT(EDATE($D27,Milestones!$AA$81),"dd mmm yy"))&amp;" "&amp;Milestones!$AB$81&amp;" "&amp;IF(AND(Milestones!$AB$81="FT",Milestones!$AA$81=FT_Y5,EDATE($D27,Milestones!$AA$81)&lt;PolicyEff),1,Milestones!$AC$81)&amp;";  ","")&amp;IF(AND(EDATE($D27,Milestones!$AA$82)&lt;=AsOfDate,EDATE($D27,Milestones!$AA$82)&gt;=SchemeStart,IF($X27=0,$AD27,IF(AND($Z27&lt;&gt;"",EDATE($D27,Milestones!$AA$82)&gt;=$Z27),$AC27,IF(AND($Y27&lt;&gt;"",EDATE($D27,Milestones!$AA$82)&gt;=$Y27),$AB27,$AA27)))=Milestones!$AB$82),UPPER(TEXT(EDATE($D27,Milestones!$AA$82),"dd mmm yy"))&amp;" "&amp;Milestones!$AB$82&amp;" "&amp;IF(AND(Milestones!$AB$82="FT",Milestones!$AA$82=FT_Y5,EDATE($D27,Milestones!$AA$82)&lt;PolicyEff),1,Milestones!$AC$82)&amp;";  ","")&amp;IF(AND(EDATE($D27,Milestones!$AA$83)&lt;=AsOfDate,EDATE($D27,Milestones!$AA$83)&gt;=SchemeStart,IF($X27=0,$AD27,IF(AND($Z27&lt;&gt;"",EDATE($D27,Milestones!$AA$83)&gt;=$Z27),$AC27,IF(AND($Y27&lt;&gt;"",EDATE($D27,Milestones!$AA$83)&gt;=$Y27),$AB27,$AA27)))=Milestones!$AB$83),UPPER(TEXT(EDATE($D27,Milestones!$AA$83),"dd mmm yy"))&amp;" "&amp;Milestones!$AB$83&amp;" "&amp;IF(AND(Milestones!$AB$83="FT",Milestones!$AA$83=FT_Y5,EDATE($D27,Milestones!$AA$83)&lt;PolicyEff),1,Milestones!$AC$83)&amp;";  ","")&amp;IF(AND(EDATE($D27,Milestones!$AA$84)&lt;=AsOfDate,EDATE($D27,Milestones!$AA$84)&gt;=SchemeStart,IF($X27=0,$AD27,IF(AND($Z27&lt;&gt;"",EDATE($D27,Milestones!$AA$84)&gt;=$Z27),$AC27,IF(AND($Y27&lt;&gt;"",EDATE($D27,Milestones!$AA$84)&gt;=$Y27),$AB27,$AA27)))=Milestones!$AB$84),UPPER(TEXT(EDATE($D27,Milestones!$AA$84),"dd mmm yy"))&amp;" "&amp;Milestones!$AB$84&amp;" "&amp;IF(AND(Milestones!$AB$84="FT",Milestones!$AA$84=FT_Y5,EDATE($D27,Milestones!$AA$84)&lt;PolicyEff),1,Milestones!$AC$84)&amp;";  ","")&amp;IF(AND(EDATE($D27,Milestones!$AA$85)&lt;=AsOfDate,EDATE($D27,Milestones!$AA$85)&gt;=SchemeStart,IF($X27=0,$AD27,IF(AND($Z27&lt;&gt;"",EDATE($D27,Milestones!$AA$85)&gt;=$Z27),$AC27,IF(AND($Y27&lt;&gt;"",EDATE($D27,Milestones!$AA$85)&gt;=$Y27),$AB27,$AA27)))=Milestones!$AB$85),UPPER(TEXT(EDATE($D27,Milestones!$AA$85),"dd mmm yy"))&amp;" "&amp;Milestones!$AB$85&amp;" "&amp;IF(AND(Milestones!$AB$85="FT",Milestones!$AA$85=FT_Y5,EDATE($D27,Milestones!$AA$85)&lt;PolicyEff),1,Milestones!$AC$85)&amp;";  ","")&amp;IF(AND(EDATE($D27,Milestones!$AA$86)&lt;=AsOfDate,EDATE($D27,Milestones!$AA$86)&gt;=SchemeStart,IF($X27=0,$AD27,IF(AND($Z27&lt;&gt;"",EDATE($D27,Milestones!$AA$86)&gt;=$Z27),$AC27,IF(AND($Y27&lt;&gt;"",EDATE($D27,Milestones!$AA$86)&gt;=$Y27),$AB27,$AA27)))=Milestones!$AB$86),UPPER(TEXT(EDATE($D27,Milestones!$AA$86),"dd mmm yy"))&amp;" "&amp;Milestones!$AB$86&amp;" "&amp;IF(AND(Milestones!$AB$86="FT",Milestones!$AA$86=FT_Y5,EDATE($D27,Milestones!$AA$86)&lt;PolicyEff),1,Milestones!$AC$86)&amp;";  ","")&amp;IF(AND(EDATE($D27,Milestones!$AA$87)&lt;=AsOfDate,EDATE($D27,Milestones!$AA$87)&gt;=SchemeStart,IF($X27=0,$AD27,IF(AND($Z27&lt;&gt;"",EDATE($D27,Milestones!$AA$87)&gt;=$Z27),$AC27,IF(AND($Y27&lt;&gt;"",EDATE($D27,Milestones!$AA$87)&gt;=$Y27),$AB27,$AA27)))=Milestones!$AB$87),UPPER(TEXT(EDATE($D27,Milestones!$AA$87),"dd mmm yy"))&amp;" "&amp;Milestones!$AB$87&amp;" "&amp;IF(AND(Milestones!$AB$87="FT",Milestones!$AA$87=FT_Y5,EDATE($D27,Milestones!$AA$87)&lt;PolicyEff),1,Milestones!$AC$87)&amp;";  ","")&amp;IF(AND(EDATE($D27,Milestones!$AA$88)&lt;=AsOfDate,EDATE($D27,Milestones!$AA$88)&gt;=SchemeStart,IF($X27=0,$AD27,IF(AND($Z27&lt;&gt;"",EDATE($D27,Milestones!$AA$88)&gt;=$Z27),$AC27,IF(AND($Y27&lt;&gt;"",EDATE($D27,Milestones!$AA$88)&gt;=$Y27),$AB27,$AA27)))=Milestones!$AB$88),UPPER(TEXT(EDATE($D27,Milestones!$AA$88),"dd mmm yy"))&amp;" "&amp;Milestones!$AB$88&amp;" "&amp;IF(AND(Milestones!$AB$88="FT",Milestones!$AA$88=FT_Y5,EDATE($D27,Milestones!$AA$88)&lt;PolicyEff),1,Milestones!$AC$88)&amp;";  ","")&amp;IF(AND(EDATE($D27,Milestones!$AA$89)&lt;=AsOfDate,EDATE($D27,Milestones!$AA$89)&gt;=SchemeStart,IF($X27=0,$AD27,IF(AND($Z27&lt;&gt;"",EDATE($D27,Milestones!$AA$89)&gt;=$Z27),$AC27,IF(AND($Y27&lt;&gt;"",EDATE($D27,Milestones!$AA$89)&gt;=$Y27),$AB27,$AA27)))=Milestones!$AB$89),UPPER(TEXT(EDATE($D27,Milestones!$AA$89),"dd mmm yy"))&amp;" "&amp;Milestones!$AB$89&amp;" "&amp;IF(AND(Milestones!$AB$89="FT",Milestones!$AA$89=FT_Y5,EDATE($D27,Milestones!$AA$89)&lt;PolicyEff),1,Milestones!$AC$89)&amp;";  ","")&amp;IF(AND(EDATE($D27,Milestones!$AA$90)&lt;=AsOfDate,EDATE($D27,Milestones!$AA$90)&gt;=SchemeStart,IF($X27=0,$AD27,IF(AND($Z27&lt;&gt;"",EDATE($D27,Milestones!$AA$90)&gt;=$Z27),$AC27,IF(AND($Y27&lt;&gt;"",EDATE($D27,Milestones!$AA$90)&gt;=$Y27),$AB27,$AA27)))=Milestones!$AB$90),UPPER(TEXT(EDATE($D27,Milestones!$AA$90),"dd mmm yy"))&amp;" "&amp;Milestones!$AB$90&amp;" "&amp;IF(AND(Milestones!$AB$90="FT",Milestones!$AA$90=FT_Y5,EDATE($D27,Milestones!$AA$90)&lt;PolicyEff),1,Milestones!$AC$90)&amp;";  ","")&amp;IF(AND(EDATE($D27,Milestones!$AA$91)&lt;=AsOfDate,EDATE($D27,Milestones!$AA$91)&gt;=SchemeStart,IF($X27=0,$AD27,IF(AND($Z27&lt;&gt;"",EDATE($D27,Milestones!$AA$91)&gt;=$Z27),$AC27,IF(AND($Y27&lt;&gt;"",EDATE($D27,Milestones!$AA$91)&gt;=$Y27),$AB27,$AA27)))=Milestones!$AB$91),UPPER(TEXT(EDATE($D27,Milestones!$AA$91),"dd mmm yy"))&amp;" "&amp;Milestones!$AB$91&amp;" "&amp;IF(AND(Milestones!$AB$91="FT",Milestones!$AA$91=FT_Y5,EDATE($D27,Milestones!$AA$91)&lt;PolicyEff),1,Milestones!$AC$91)&amp;";  ",""))</f>
        <v/>
      </c>
      <c r="O27" s="0" t="str">
        <f aca="false">IF(OR($A27="",$D27=""),"",IF(AND(EDATE($D27,Milestones!$AA$92)&lt;=AsOfDate,EDATE($D27,Milestones!$AA$92)&gt;=SchemeStart,IF($X27=0,$AD27,IF(AND($Z27&lt;&gt;"",EDATE($D27,Milestones!$AA$92)&gt;=$Z27),$AC27,IF(AND($Y27&lt;&gt;"",EDATE($D27,Milestones!$AA$92)&gt;=$Y27),$AB27,$AA27)))=Milestones!$AB$92),UPPER(TEXT(EDATE($D27,Milestones!$AA$92),"dd mmm yy"))&amp;" "&amp;Milestones!$AB$92&amp;" "&amp;IF(AND(Milestones!$AB$92="FT",Milestones!$AA$92=FT_Y5,EDATE($D27,Milestones!$AA$92)&lt;PolicyEff),1,Milestones!$AC$92)&amp;";  ","")&amp;IF(AND(EDATE($D27,Milestones!$AA$93)&lt;=AsOfDate,EDATE($D27,Milestones!$AA$93)&gt;=SchemeStart,IF($X27=0,$AD27,IF(AND($Z27&lt;&gt;"",EDATE($D27,Milestones!$AA$93)&gt;=$Z27),$AC27,IF(AND($Y27&lt;&gt;"",EDATE($D27,Milestones!$AA$93)&gt;=$Y27),$AB27,$AA27)))=Milestones!$AB$93),UPPER(TEXT(EDATE($D27,Milestones!$AA$93),"dd mmm yy"))&amp;" "&amp;Milestones!$AB$93&amp;" "&amp;IF(AND(Milestones!$AB$93="FT",Milestones!$AA$93=FT_Y5,EDATE($D27,Milestones!$AA$93)&lt;PolicyEff),1,Milestones!$AC$93)&amp;";  ","")&amp;IF(AND(EDATE($D27,Milestones!$AA$94)&lt;=AsOfDate,EDATE($D27,Milestones!$AA$94)&gt;=SchemeStart,IF($X27=0,$AD27,IF(AND($Z27&lt;&gt;"",EDATE($D27,Milestones!$AA$94)&gt;=$Z27),$AC27,IF(AND($Y27&lt;&gt;"",EDATE($D27,Milestones!$AA$94)&gt;=$Y27),$AB27,$AA27)))=Milestones!$AB$94),UPPER(TEXT(EDATE($D27,Milestones!$AA$94),"dd mmm yy"))&amp;" "&amp;Milestones!$AB$94&amp;" "&amp;IF(AND(Milestones!$AB$94="FT",Milestones!$AA$94=FT_Y5,EDATE($D27,Milestones!$AA$94)&lt;PolicyEff),1,Milestones!$AC$94)&amp;";  ","")&amp;IF(AND(EDATE($D27,Milestones!$AA$95)&lt;=AsOfDate,EDATE($D27,Milestones!$AA$95)&gt;=SchemeStart,IF($X27=0,$AD27,IF(AND($Z27&lt;&gt;"",EDATE($D27,Milestones!$AA$95)&gt;=$Z27),$AC27,IF(AND($Y27&lt;&gt;"",EDATE($D27,Milestones!$AA$95)&gt;=$Y27),$AB27,$AA27)))=Milestones!$AB$95),UPPER(TEXT(EDATE($D27,Milestones!$AA$95),"dd mmm yy"))&amp;" "&amp;Milestones!$AB$95&amp;" "&amp;IF(AND(Milestones!$AB$95="FT",Milestones!$AA$95=FT_Y5,EDATE($D27,Milestones!$AA$95)&lt;PolicyEff),1,Milestones!$AC$95)&amp;";  ","")&amp;IF(AND(EDATE($D27,Milestones!$AA$96)&lt;=AsOfDate,EDATE($D27,Milestones!$AA$96)&gt;=SchemeStart,IF($X27=0,$AD27,IF(AND($Z27&lt;&gt;"",EDATE($D27,Milestones!$AA$96)&gt;=$Z27),$AC27,IF(AND($Y27&lt;&gt;"",EDATE($D27,Milestones!$AA$96)&gt;=$Y27),$AB27,$AA27)))=Milestones!$AB$96),UPPER(TEXT(EDATE($D27,Milestones!$AA$96),"dd mmm yy"))&amp;" "&amp;Milestones!$AB$96&amp;" "&amp;IF(AND(Milestones!$AB$96="FT",Milestones!$AA$96=FT_Y5,EDATE($D27,Milestones!$AA$96)&lt;PolicyEff),1,Milestones!$AC$96)&amp;";  ","")&amp;IF(AND(EDATE($D27,Milestones!$AA$97)&lt;=AsOfDate,EDATE($D27,Milestones!$AA$97)&gt;=SchemeStart,IF($X27=0,$AD27,IF(AND($Z27&lt;&gt;"",EDATE($D27,Milestones!$AA$97)&gt;=$Z27),$AC27,IF(AND($Y27&lt;&gt;"",EDATE($D27,Milestones!$AA$97)&gt;=$Y27),$AB27,$AA27)))=Milestones!$AB$97),UPPER(TEXT(EDATE($D27,Milestones!$AA$97),"dd mmm yy"))&amp;" "&amp;Milestones!$AB$97&amp;" "&amp;IF(AND(Milestones!$AB$97="FT",Milestones!$AA$97=FT_Y5,EDATE($D27,Milestones!$AA$97)&lt;PolicyEff),1,Milestones!$AC$97)&amp;";  ","")&amp;IF(AND(EDATE($D27,Milestones!$AA$98)&lt;=AsOfDate,EDATE($D27,Milestones!$AA$98)&gt;=SchemeStart,IF($X27=0,$AD27,IF(AND($Z27&lt;&gt;"",EDATE($D27,Milestones!$AA$98)&gt;=$Z27),$AC27,IF(AND($Y27&lt;&gt;"",EDATE($D27,Milestones!$AA$98)&gt;=$Y27),$AB27,$AA27)))=Milestones!$AB$98),UPPER(TEXT(EDATE($D27,Milestones!$AA$98),"dd mmm yy"))&amp;" "&amp;Milestones!$AB$98&amp;" "&amp;IF(AND(Milestones!$AB$98="FT",Milestones!$AA$98=FT_Y5,EDATE($D27,Milestones!$AA$98)&lt;PolicyEff),1,Milestones!$AC$98)&amp;";  ","")&amp;IF(AND(EDATE($D27,Milestones!$AA$99)&lt;=AsOfDate,EDATE($D27,Milestones!$AA$99)&gt;=SchemeStart,IF($X27=0,$AD27,IF(AND($Z27&lt;&gt;"",EDATE($D27,Milestones!$AA$99)&gt;=$Z27),$AC27,IF(AND($Y27&lt;&gt;"",EDATE($D27,Milestones!$AA$99)&gt;=$Y27),$AB27,$AA27)))=Milestones!$AB$99),UPPER(TEXT(EDATE($D27,Milestones!$AA$99),"dd mmm yy"))&amp;" "&amp;Milestones!$AB$99&amp;" "&amp;IF(AND(Milestones!$AB$99="FT",Milestones!$AA$99=FT_Y5,EDATE($D27,Milestones!$AA$99)&lt;PolicyEff),1,Milestones!$AC$99)&amp;";  ","")&amp;IF(AND(EDATE($D27,Milestones!$AA$100)&lt;=AsOfDate,EDATE($D27,Milestones!$AA$100)&gt;=SchemeStart,IF($X27=0,$AD27,IF(AND($Z27&lt;&gt;"",EDATE($D27,Milestones!$AA$100)&gt;=$Z27),$AC27,IF(AND($Y27&lt;&gt;"",EDATE($D27,Milestones!$AA$100)&gt;=$Y27),$AB27,$AA27)))=Milestones!$AB$100),UPPER(TEXT(EDATE($D27,Milestones!$AA$100),"dd mmm yy"))&amp;" "&amp;Milestones!$AB$100&amp;" "&amp;IF(AND(Milestones!$AB$100="FT",Milestones!$AA$100=FT_Y5,EDATE($D27,Milestones!$AA$100)&lt;PolicyEff),1,Milestones!$AC$100)&amp;";  ","")&amp;IF(AND(EDATE($D27,Milestones!$AA$101)&lt;=AsOfDate,EDATE($D27,Milestones!$AA$101)&gt;=SchemeStart,IF($X27=0,$AD27,IF(AND($Z27&lt;&gt;"",EDATE($D27,Milestones!$AA$101)&gt;=$Z27),$AC27,IF(AND($Y27&lt;&gt;"",EDATE($D27,Milestones!$AA$101)&gt;=$Y27),$AB27,$AA27)))=Milestones!$AB$101),UPPER(TEXT(EDATE($D27,Milestones!$AA$101),"dd mmm yy"))&amp;" "&amp;Milestones!$AB$101&amp;" "&amp;IF(AND(Milestones!$AB$101="FT",Milestones!$AA$101=FT_Y5,EDATE($D27,Milestones!$AA$101)&lt;PolicyEff),1,Milestones!$AC$101)&amp;";  ","")&amp;IF(AND(EDATE($D27,Milestones!$AA$102)&lt;=AsOfDate,EDATE($D27,Milestones!$AA$102)&gt;=SchemeStart,IF($X27=0,$AD27,IF(AND($Z27&lt;&gt;"",EDATE($D27,Milestones!$AA$102)&gt;=$Z27),$AC27,IF(AND($Y27&lt;&gt;"",EDATE($D27,Milestones!$AA$102)&gt;=$Y27),$AB27,$AA27)))=Milestones!$AB$102),UPPER(TEXT(EDATE($D27,Milestones!$AA$102),"dd mmm yy"))&amp;" "&amp;Milestones!$AB$102&amp;" "&amp;IF(AND(Milestones!$AB$102="FT",Milestones!$AA$102=FT_Y5,EDATE($D27,Milestones!$AA$102)&lt;PolicyEff),1,Milestones!$AC$102)&amp;";  ","")&amp;IF(AND(EDATE($D27,Milestones!$AA$103)&lt;=AsOfDate,EDATE($D27,Milestones!$AA$103)&gt;=SchemeStart,IF($X27=0,$AD27,IF(AND($Z27&lt;&gt;"",EDATE($D27,Milestones!$AA$103)&gt;=$Z27),$AC27,IF(AND($Y27&lt;&gt;"",EDATE($D27,Milestones!$AA$103)&gt;=$Y27),$AB27,$AA27)))=Milestones!$AB$103),UPPER(TEXT(EDATE($D27,Milestones!$AA$103),"dd mmm yy"))&amp;" "&amp;Milestones!$AB$103&amp;" "&amp;IF(AND(Milestones!$AB$103="FT",Milestones!$AA$103=FT_Y5,EDATE($D27,Milestones!$AA$103)&lt;PolicyEff),1,Milestones!$AC$103)&amp;";  ",""))</f>
        <v/>
      </c>
      <c r="P27" s="0" t="str">
        <f aca="false">IF(OR($A27="",$D27=""),"",IF(AND(EDATE($D27,Milestones!$AA$104)&lt;=AsOfDate,EDATE($D27,Milestones!$AA$104)&gt;=SchemeStart,IF($X27=0,$AD27,IF(AND($Z27&lt;&gt;"",EDATE($D27,Milestones!$AA$104)&gt;=$Z27),$AC27,IF(AND($Y27&lt;&gt;"",EDATE($D27,Milestones!$AA$104)&gt;=$Y27),$AB27,$AA27)))=Milestones!$AB$104),UPPER(TEXT(EDATE($D27,Milestones!$AA$104),"dd mmm yy"))&amp;" "&amp;Milestones!$AB$104&amp;" "&amp;IF(AND(Milestones!$AB$104="FT",Milestones!$AA$104=FT_Y5,EDATE($D27,Milestones!$AA$104)&lt;PolicyEff),1,Milestones!$AC$104)&amp;";  ","")&amp;IF(AND(EDATE($D27,Milestones!$AA$105)&lt;=AsOfDate,EDATE($D27,Milestones!$AA$105)&gt;=SchemeStart,IF($X27=0,$AD27,IF(AND($Z27&lt;&gt;"",EDATE($D27,Milestones!$AA$105)&gt;=$Z27),$AC27,IF(AND($Y27&lt;&gt;"",EDATE($D27,Milestones!$AA$105)&gt;=$Y27),$AB27,$AA27)))=Milestones!$AB$105),UPPER(TEXT(EDATE($D27,Milestones!$AA$105),"dd mmm yy"))&amp;" "&amp;Milestones!$AB$105&amp;" "&amp;IF(AND(Milestones!$AB$105="FT",Milestones!$AA$105=FT_Y5,EDATE($D27,Milestones!$AA$105)&lt;PolicyEff),1,Milestones!$AC$105)&amp;";  ","")&amp;IF(AND(EDATE($D27,Milestones!$AA$106)&lt;=AsOfDate,EDATE($D27,Milestones!$AA$106)&gt;=SchemeStart,IF($X27=0,$AD27,IF(AND($Z27&lt;&gt;"",EDATE($D27,Milestones!$AA$106)&gt;=$Z27),$AC27,IF(AND($Y27&lt;&gt;"",EDATE($D27,Milestones!$AA$106)&gt;=$Y27),$AB27,$AA27)))=Milestones!$AB$106),UPPER(TEXT(EDATE($D27,Milestones!$AA$106),"dd mmm yy"))&amp;" "&amp;Milestones!$AB$106&amp;" "&amp;IF(AND(Milestones!$AB$106="FT",Milestones!$AA$106=FT_Y5,EDATE($D27,Milestones!$AA$106)&lt;PolicyEff),1,Milestones!$AC$106)&amp;";  ","")&amp;IF(AND(EDATE($D27,Milestones!$AA$107)&lt;=AsOfDate,EDATE($D27,Milestones!$AA$107)&gt;=SchemeStart,IF($X27=0,$AD27,IF(AND($Z27&lt;&gt;"",EDATE($D27,Milestones!$AA$107)&gt;=$Z27),$AC27,IF(AND($Y27&lt;&gt;"",EDATE($D27,Milestones!$AA$107)&gt;=$Y27),$AB27,$AA27)))=Milestones!$AB$107),UPPER(TEXT(EDATE($D27,Milestones!$AA$107),"dd mmm yy"))&amp;" "&amp;Milestones!$AB$107&amp;" "&amp;IF(AND(Milestones!$AB$107="FT",Milestones!$AA$107=FT_Y5,EDATE($D27,Milestones!$AA$107)&lt;PolicyEff),1,Milestones!$AC$107)&amp;";  ","")&amp;IF(AND(EDATE($D27,Milestones!$AA$108)&lt;=AsOfDate,EDATE($D27,Milestones!$AA$108)&gt;=SchemeStart,IF($X27=0,$AD27,IF(AND($Z27&lt;&gt;"",EDATE($D27,Milestones!$AA$108)&gt;=$Z27),$AC27,IF(AND($Y27&lt;&gt;"",EDATE($D27,Milestones!$AA$108)&gt;=$Y27),$AB27,$AA27)))=Milestones!$AB$108),UPPER(TEXT(EDATE($D27,Milestones!$AA$108),"dd mmm yy"))&amp;" "&amp;Milestones!$AB$108&amp;" "&amp;IF(AND(Milestones!$AB$108="FT",Milestones!$AA$108=FT_Y5,EDATE($D27,Milestones!$AA$108)&lt;PolicyEff),1,Milestones!$AC$108)&amp;";  ","")&amp;IF(AND(EDATE($D27,Milestones!$AA$109)&lt;=AsOfDate,EDATE($D27,Milestones!$AA$109)&gt;=SchemeStart,IF($X27=0,$AD27,IF(AND($Z27&lt;&gt;"",EDATE($D27,Milestones!$AA$109)&gt;=$Z27),$AC27,IF(AND($Y27&lt;&gt;"",EDATE($D27,Milestones!$AA$109)&gt;=$Y27),$AB27,$AA27)))=Milestones!$AB$109),UPPER(TEXT(EDATE($D27,Milestones!$AA$109),"dd mmm yy"))&amp;" "&amp;Milestones!$AB$109&amp;" "&amp;IF(AND(Milestones!$AB$109="FT",Milestones!$AA$109=FT_Y5,EDATE($D27,Milestones!$AA$109)&lt;PolicyEff),1,Milestones!$AC$109)&amp;";  ","")&amp;IF(AND(EDATE($D27,Milestones!$AA$110)&lt;=AsOfDate,EDATE($D27,Milestones!$AA$110)&gt;=SchemeStart,IF($X27=0,$AD27,IF(AND($Z27&lt;&gt;"",EDATE($D27,Milestones!$AA$110)&gt;=$Z27),$AC27,IF(AND($Y27&lt;&gt;"",EDATE($D27,Milestones!$AA$110)&gt;=$Y27),$AB27,$AA27)))=Milestones!$AB$110),UPPER(TEXT(EDATE($D27,Milestones!$AA$110),"dd mmm yy"))&amp;" "&amp;Milestones!$AB$110&amp;" "&amp;IF(AND(Milestones!$AB$110="FT",Milestones!$AA$110=FT_Y5,EDATE($D27,Milestones!$AA$110)&lt;PolicyEff),1,Milestones!$AC$110)&amp;";  ","")&amp;IF(AND(EDATE($D27,Milestones!$AA$111)&lt;=AsOfDate,EDATE($D27,Milestones!$AA$111)&gt;=SchemeStart,IF($X27=0,$AD27,IF(AND($Z27&lt;&gt;"",EDATE($D27,Milestones!$AA$111)&gt;=$Z27),$AC27,IF(AND($Y27&lt;&gt;"",EDATE($D27,Milestones!$AA$111)&gt;=$Y27),$AB27,$AA27)))=Milestones!$AB$111),UPPER(TEXT(EDATE($D27,Milestones!$AA$111),"dd mmm yy"))&amp;" "&amp;Milestones!$AB$111&amp;" "&amp;IF(AND(Milestones!$AB$111="FT",Milestones!$AA$111=FT_Y5,EDATE($D27,Milestones!$AA$111)&lt;PolicyEff),1,Milestones!$AC$111)&amp;";  ","")&amp;IF(AND(EDATE($D27,Milestones!$AA$112)&lt;=AsOfDate,EDATE($D27,Milestones!$AA$112)&gt;=SchemeStart,IF($X27=0,$AD27,IF(AND($Z27&lt;&gt;"",EDATE($D27,Milestones!$AA$112)&gt;=$Z27),$AC27,IF(AND($Y27&lt;&gt;"",EDATE($D27,Milestones!$AA$112)&gt;=$Y27),$AB27,$AA27)))=Milestones!$AB$112),UPPER(TEXT(EDATE($D27,Milestones!$AA$112),"dd mmm yy"))&amp;" "&amp;Milestones!$AB$112&amp;" "&amp;IF(AND(Milestones!$AB$112="FT",Milestones!$AA$112=FT_Y5,EDATE($D27,Milestones!$AA$112)&lt;PolicyEff),1,Milestones!$AC$112)&amp;";  ","")&amp;IF(AND(EDATE($D27,Milestones!$AA$113)&lt;=AsOfDate,EDATE($D27,Milestones!$AA$113)&gt;=SchemeStart,IF($X27=0,$AD27,IF(AND($Z27&lt;&gt;"",EDATE($D27,Milestones!$AA$113)&gt;=$Z27),$AC27,IF(AND($Y27&lt;&gt;"",EDATE($D27,Milestones!$AA$113)&gt;=$Y27),$AB27,$AA27)))=Milestones!$AB$113),UPPER(TEXT(EDATE($D27,Milestones!$AA$113),"dd mmm yy"))&amp;" "&amp;Milestones!$AB$113&amp;" "&amp;IF(AND(Milestones!$AB$113="FT",Milestones!$AA$113=FT_Y5,EDATE($D27,Milestones!$AA$113)&lt;PolicyEff),1,Milestones!$AC$113)&amp;";  ","")&amp;IF(AND(EDATE($D27,Milestones!$AA$114)&lt;=AsOfDate,EDATE($D27,Milestones!$AA$114)&gt;=SchemeStart,IF($X27=0,$AD27,IF(AND($Z27&lt;&gt;"",EDATE($D27,Milestones!$AA$114)&gt;=$Z27),$AC27,IF(AND($Y27&lt;&gt;"",EDATE($D27,Milestones!$AA$114)&gt;=$Y27),$AB27,$AA27)))=Milestones!$AB$114),UPPER(TEXT(EDATE($D27,Milestones!$AA$114),"dd mmm yy"))&amp;" "&amp;Milestones!$AB$114&amp;" "&amp;IF(AND(Milestones!$AB$114="FT",Milestones!$AA$114=FT_Y5,EDATE($D27,Milestones!$AA$114)&lt;PolicyEff),1,Milestones!$AC$114)&amp;";  ","")&amp;IF(AND(EDATE($D27,Milestones!$AA$115)&lt;=AsOfDate,EDATE($D27,Milestones!$AA$115)&gt;=SchemeStart,IF($X27=0,$AD27,IF(AND($Z27&lt;&gt;"",EDATE($D27,Milestones!$AA$115)&gt;=$Z27),$AC27,IF(AND($Y27&lt;&gt;"",EDATE($D27,Milestones!$AA$115)&gt;=$Y27),$AB27,$AA27)))=Milestones!$AB$115),UPPER(TEXT(EDATE($D27,Milestones!$AA$115),"dd mmm yy"))&amp;" "&amp;Milestones!$AB$115&amp;" "&amp;IF(AND(Milestones!$AB$115="FT",Milestones!$AA$115=FT_Y5,EDATE($D27,Milestones!$AA$115)&lt;PolicyEff),1,Milestones!$AC$115)&amp;";  ",""))</f>
        <v/>
      </c>
      <c r="Q27" s="0" t="str">
        <f aca="false">IF(OR($A27="",$D27=""),"",IF(AND(EDATE($D27,Milestones!$AA$116)&lt;=AsOfDate,EDATE($D27,Milestones!$AA$116)&gt;=SchemeStart,IF($X27=0,$AD27,IF(AND($Z27&lt;&gt;"",EDATE($D27,Milestones!$AA$116)&gt;=$Z27),$AC27,IF(AND($Y27&lt;&gt;"",EDATE($D27,Milestones!$AA$116)&gt;=$Y27),$AB27,$AA27)))=Milestones!$AB$116),UPPER(TEXT(EDATE($D27,Milestones!$AA$116),"dd mmm yy"))&amp;" "&amp;Milestones!$AB$116&amp;" "&amp;IF(AND(Milestones!$AB$116="FT",Milestones!$AA$116=FT_Y5,EDATE($D27,Milestones!$AA$116)&lt;PolicyEff),1,Milestones!$AC$116)&amp;";  ","")&amp;IF(AND(EDATE($D27,Milestones!$AA$117)&lt;=AsOfDate,EDATE($D27,Milestones!$AA$117)&gt;=SchemeStart,IF($X27=0,$AD27,IF(AND($Z27&lt;&gt;"",EDATE($D27,Milestones!$AA$117)&gt;=$Z27),$AC27,IF(AND($Y27&lt;&gt;"",EDATE($D27,Milestones!$AA$117)&gt;=$Y27),$AB27,$AA27)))=Milestones!$AB$117),UPPER(TEXT(EDATE($D27,Milestones!$AA$117),"dd mmm yy"))&amp;" "&amp;Milestones!$AB$117&amp;" "&amp;IF(AND(Milestones!$AB$117="FT",Milestones!$AA$117=FT_Y5,EDATE($D27,Milestones!$AA$117)&lt;PolicyEff),1,Milestones!$AC$117)&amp;";  ","")&amp;IF(AND(EDATE($D27,Milestones!$AA$118)&lt;=AsOfDate,EDATE($D27,Milestones!$AA$118)&gt;=SchemeStart,IF($X27=0,$AD27,IF(AND($Z27&lt;&gt;"",EDATE($D27,Milestones!$AA$118)&gt;=$Z27),$AC27,IF(AND($Y27&lt;&gt;"",EDATE($D27,Milestones!$AA$118)&gt;=$Y27),$AB27,$AA27)))=Milestones!$AB$118),UPPER(TEXT(EDATE($D27,Milestones!$AA$118),"dd mmm yy"))&amp;" "&amp;Milestones!$AB$118&amp;" "&amp;IF(AND(Milestones!$AB$118="FT",Milestones!$AA$118=FT_Y5,EDATE($D27,Milestones!$AA$118)&lt;PolicyEff),1,Milestones!$AC$118)&amp;";  ","")&amp;IF(AND(EDATE($D27,Milestones!$AA$119)&lt;=AsOfDate,EDATE($D27,Milestones!$AA$119)&gt;=SchemeStart,IF($X27=0,$AD27,IF(AND($Z27&lt;&gt;"",EDATE($D27,Milestones!$AA$119)&gt;=$Z27),$AC27,IF(AND($Y27&lt;&gt;"",EDATE($D27,Milestones!$AA$119)&gt;=$Y27),$AB27,$AA27)))=Milestones!$AB$119),UPPER(TEXT(EDATE($D27,Milestones!$AA$119),"dd mmm yy"))&amp;" "&amp;Milestones!$AB$119&amp;" "&amp;IF(AND(Milestones!$AB$119="FT",Milestones!$AA$119=FT_Y5,EDATE($D27,Milestones!$AA$119)&lt;PolicyEff),1,Milestones!$AC$119)&amp;";  ","")&amp;IF(AND(EDATE($D27,Milestones!$AA$120)&lt;=AsOfDate,EDATE($D27,Milestones!$AA$120)&gt;=SchemeStart,IF($X27=0,$AD27,IF(AND($Z27&lt;&gt;"",EDATE($D27,Milestones!$AA$120)&gt;=$Z27),$AC27,IF(AND($Y27&lt;&gt;"",EDATE($D27,Milestones!$AA$120)&gt;=$Y27),$AB27,$AA27)))=Milestones!$AB$120),UPPER(TEXT(EDATE($D27,Milestones!$AA$120),"dd mmm yy"))&amp;" "&amp;Milestones!$AB$120&amp;" "&amp;IF(AND(Milestones!$AB$120="FT",Milestones!$AA$120=FT_Y5,EDATE($D27,Milestones!$AA$120)&lt;PolicyEff),1,Milestones!$AC$120)&amp;";  ","")&amp;IF(AND(EDATE($D27,Milestones!$AA$121)&lt;=AsOfDate,EDATE($D27,Milestones!$AA$121)&gt;=SchemeStart,IF($X27=0,$AD27,IF(AND($Z27&lt;&gt;"",EDATE($D27,Milestones!$AA$121)&gt;=$Z27),$AC27,IF(AND($Y27&lt;&gt;"",EDATE($D27,Milestones!$AA$121)&gt;=$Y27),$AB27,$AA27)))=Milestones!$AB$121),UPPER(TEXT(EDATE($D27,Milestones!$AA$121),"dd mmm yy"))&amp;" "&amp;Milestones!$AB$121&amp;" "&amp;IF(AND(Milestones!$AB$121="FT",Milestones!$AA$121=FT_Y5,EDATE($D27,Milestones!$AA$121)&lt;PolicyEff),1,Milestones!$AC$121)&amp;";  ","")&amp;IF(AND(EDATE($D27,Milestones!$AA$122)&lt;=AsOfDate,EDATE($D27,Milestones!$AA$122)&gt;=SchemeStart,IF($X27=0,$AD27,IF(AND($Z27&lt;&gt;"",EDATE($D27,Milestones!$AA$122)&gt;=$Z27),$AC27,IF(AND($Y27&lt;&gt;"",EDATE($D27,Milestones!$AA$122)&gt;=$Y27),$AB27,$AA27)))=Milestones!$AB$122),UPPER(TEXT(EDATE($D27,Milestones!$AA$122),"dd mmm yy"))&amp;" "&amp;Milestones!$AB$122&amp;" "&amp;IF(AND(Milestones!$AB$122="FT",Milestones!$AA$122=FT_Y5,EDATE($D27,Milestones!$AA$122)&lt;PolicyEff),1,Milestones!$AC$122)&amp;";  ","")&amp;IF(AND(EDATE($D27,Milestones!$AA$123)&lt;=AsOfDate,EDATE($D27,Milestones!$AA$123)&gt;=SchemeStart,IF($X27=0,$AD27,IF(AND($Z27&lt;&gt;"",EDATE($D27,Milestones!$AA$123)&gt;=$Z27),$AC27,IF(AND($Y27&lt;&gt;"",EDATE($D27,Milestones!$AA$123)&gt;=$Y27),$AB27,$AA27)))=Milestones!$AB$123),UPPER(TEXT(EDATE($D27,Milestones!$AA$123),"dd mmm yy"))&amp;" "&amp;Milestones!$AB$123&amp;" "&amp;IF(AND(Milestones!$AB$123="FT",Milestones!$AA$123=FT_Y5,EDATE($D27,Milestones!$AA$123)&lt;PolicyEff),1,Milestones!$AC$123)&amp;";  ","")&amp;IF(AND(EDATE($D27,Milestones!$AA$124)&lt;=AsOfDate,EDATE($D27,Milestones!$AA$124)&gt;=SchemeStart,IF($X27=0,$AD27,IF(AND($Z27&lt;&gt;"",EDATE($D27,Milestones!$AA$124)&gt;=$Z27),$AC27,IF(AND($Y27&lt;&gt;"",EDATE($D27,Milestones!$AA$124)&gt;=$Y27),$AB27,$AA27)))=Milestones!$AB$124),UPPER(TEXT(EDATE($D27,Milestones!$AA$124),"dd mmm yy"))&amp;" "&amp;Milestones!$AB$124&amp;" "&amp;IF(AND(Milestones!$AB$124="FT",Milestones!$AA$124=FT_Y5,EDATE($D27,Milestones!$AA$124)&lt;PolicyEff),1,Milestones!$AC$124)&amp;";  ","")&amp;IF(AND(EDATE($D27,Milestones!$AA$125)&lt;=AsOfDate,EDATE($D27,Milestones!$AA$125)&gt;=SchemeStart,IF($X27=0,$AD27,IF(AND($Z27&lt;&gt;"",EDATE($D27,Milestones!$AA$125)&gt;=$Z27),$AC27,IF(AND($Y27&lt;&gt;"",EDATE($D27,Milestones!$AA$125)&gt;=$Y27),$AB27,$AA27)))=Milestones!$AB$125),UPPER(TEXT(EDATE($D27,Milestones!$AA$125),"dd mmm yy"))&amp;" "&amp;Milestones!$AB$125&amp;" "&amp;IF(AND(Milestones!$AB$125="FT",Milestones!$AA$125=FT_Y5,EDATE($D27,Milestones!$AA$125)&lt;PolicyEff),1,Milestones!$AC$125)&amp;";  ","")&amp;IF(AND(EDATE($D27,Milestones!$AA$126)&lt;=AsOfDate,EDATE($D27,Milestones!$AA$126)&gt;=SchemeStart,IF($X27=0,$AD27,IF(AND($Z27&lt;&gt;"",EDATE($D27,Milestones!$AA$126)&gt;=$Z27),$AC27,IF(AND($Y27&lt;&gt;"",EDATE($D27,Milestones!$AA$126)&gt;=$Y27),$AB27,$AA27)))=Milestones!$AB$126),UPPER(TEXT(EDATE($D27,Milestones!$AA$126),"dd mmm yy"))&amp;" "&amp;Milestones!$AB$126&amp;" "&amp;IF(AND(Milestones!$AB$126="FT",Milestones!$AA$126=FT_Y5,EDATE($D27,Milestones!$AA$126)&lt;PolicyEff),1,Milestones!$AC$126)&amp;";  ","")&amp;IF(AND(EDATE($D27,Milestones!$AA$127)&lt;=AsOfDate,EDATE($D27,Milestones!$AA$127)&gt;=SchemeStart,IF($X27=0,$AD27,IF(AND($Z27&lt;&gt;"",EDATE($D27,Milestones!$AA$127)&gt;=$Z27),$AC27,IF(AND($Y27&lt;&gt;"",EDATE($D27,Milestones!$AA$127)&gt;=$Y27),$AB27,$AA27)))=Milestones!$AB$127),UPPER(TEXT(EDATE($D27,Milestones!$AA$127),"dd mmm yy"))&amp;" "&amp;Milestones!$AB$127&amp;" "&amp;IF(AND(Milestones!$AB$127="FT",Milestones!$AA$127=FT_Y5,EDATE($D27,Milestones!$AA$127)&lt;PolicyEff),1,Milestones!$AC$127)&amp;";  ",""))</f>
        <v/>
      </c>
      <c r="R27" s="0" t="str">
        <f aca="false">IF(OR($A27="",$D27=""),"",IF(AND(EDATE($D27,Milestones!$AA$128)&lt;=AsOfDate,EDATE($D27,Milestones!$AA$128)&gt;=SchemeStart,IF($X27=0,$AD27,IF(AND($Z27&lt;&gt;"",EDATE($D27,Milestones!$AA$128)&gt;=$Z27),$AC27,IF(AND($Y27&lt;&gt;"",EDATE($D27,Milestones!$AA$128)&gt;=$Y27),$AB27,$AA27)))=Milestones!$AB$128),UPPER(TEXT(EDATE($D27,Milestones!$AA$128),"dd mmm yy"))&amp;" "&amp;Milestones!$AB$128&amp;" "&amp;IF(AND(Milestones!$AB$128="FT",Milestones!$AA$128=FT_Y5,EDATE($D27,Milestones!$AA$128)&lt;PolicyEff),1,Milestones!$AC$128)&amp;";  ","")&amp;IF(AND(EDATE($D27,Milestones!$AA$129)&lt;=AsOfDate,EDATE($D27,Milestones!$AA$129)&gt;=SchemeStart,IF($X27=0,$AD27,IF(AND($Z27&lt;&gt;"",EDATE($D27,Milestones!$AA$129)&gt;=$Z27),$AC27,IF(AND($Y27&lt;&gt;"",EDATE($D27,Milestones!$AA$129)&gt;=$Y27),$AB27,$AA27)))=Milestones!$AB$129),UPPER(TEXT(EDATE($D27,Milestones!$AA$129),"dd mmm yy"))&amp;" "&amp;Milestones!$AB$129&amp;" "&amp;IF(AND(Milestones!$AB$129="FT",Milestones!$AA$129=FT_Y5,EDATE($D27,Milestones!$AA$129)&lt;PolicyEff),1,Milestones!$AC$129)&amp;";  ","")&amp;IF(AND(EDATE($D27,Milestones!$AA$130)&lt;=AsOfDate,EDATE($D27,Milestones!$AA$130)&gt;=SchemeStart,IF($X27=0,$AD27,IF(AND($Z27&lt;&gt;"",EDATE($D27,Milestones!$AA$130)&gt;=$Z27),$AC27,IF(AND($Y27&lt;&gt;"",EDATE($D27,Milestones!$AA$130)&gt;=$Y27),$AB27,$AA27)))=Milestones!$AB$130),UPPER(TEXT(EDATE($D27,Milestones!$AA$130),"dd mmm yy"))&amp;" "&amp;Milestones!$AB$130&amp;" "&amp;IF(AND(Milestones!$AB$130="FT",Milestones!$AA$130=FT_Y5,EDATE($D27,Milestones!$AA$130)&lt;PolicyEff),1,Milestones!$AC$130)&amp;";  ","")&amp;IF(AND(EDATE($D27,Milestones!$AA$131)&lt;=AsOfDate,EDATE($D27,Milestones!$AA$131)&gt;=SchemeStart,IF($X27=0,$AD27,IF(AND($Z27&lt;&gt;"",EDATE($D27,Milestones!$AA$131)&gt;=$Z27),$AC27,IF(AND($Y27&lt;&gt;"",EDATE($D27,Milestones!$AA$131)&gt;=$Y27),$AB27,$AA27)))=Milestones!$AB$131),UPPER(TEXT(EDATE($D27,Milestones!$AA$131),"dd mmm yy"))&amp;" "&amp;Milestones!$AB$131&amp;" "&amp;IF(AND(Milestones!$AB$131="FT",Milestones!$AA$131=FT_Y5,EDATE($D27,Milestones!$AA$131)&lt;PolicyEff),1,Milestones!$AC$131)&amp;";  ","")&amp;IF(AND(EDATE($D27,Milestones!$AA$132)&lt;=AsOfDate,EDATE($D27,Milestones!$AA$132)&gt;=SchemeStart,IF($X27=0,$AD27,IF(AND($Z27&lt;&gt;"",EDATE($D27,Milestones!$AA$132)&gt;=$Z27),$AC27,IF(AND($Y27&lt;&gt;"",EDATE($D27,Milestones!$AA$132)&gt;=$Y27),$AB27,$AA27)))=Milestones!$AB$132),UPPER(TEXT(EDATE($D27,Milestones!$AA$132),"dd mmm yy"))&amp;" "&amp;Milestones!$AB$132&amp;" "&amp;IF(AND(Milestones!$AB$132="FT",Milestones!$AA$132=FT_Y5,EDATE($D27,Milestones!$AA$132)&lt;PolicyEff),1,Milestones!$AC$132)&amp;";  ","")&amp;IF(AND(EDATE($D27,Milestones!$AA$133)&lt;=AsOfDate,EDATE($D27,Milestones!$AA$133)&gt;=SchemeStart,IF($X27=0,$AD27,IF(AND($Z27&lt;&gt;"",EDATE($D27,Milestones!$AA$133)&gt;=$Z27),$AC27,IF(AND($Y27&lt;&gt;"",EDATE($D27,Milestones!$AA$133)&gt;=$Y27),$AB27,$AA27)))=Milestones!$AB$133),UPPER(TEXT(EDATE($D27,Milestones!$AA$133),"dd mmm yy"))&amp;" "&amp;Milestones!$AB$133&amp;" "&amp;IF(AND(Milestones!$AB$133="FT",Milestones!$AA$133=FT_Y5,EDATE($D27,Milestones!$AA$133)&lt;PolicyEff),1,Milestones!$AC$133)&amp;";  ","")&amp;IF(AND(EDATE($D27,Milestones!$AA$134)&lt;=AsOfDate,EDATE($D27,Milestones!$AA$134)&gt;=SchemeStart,IF($X27=0,$AD27,IF(AND($Z27&lt;&gt;"",EDATE($D27,Milestones!$AA$134)&gt;=$Z27),$AC27,IF(AND($Y27&lt;&gt;"",EDATE($D27,Milestones!$AA$134)&gt;=$Y27),$AB27,$AA27)))=Milestones!$AB$134),UPPER(TEXT(EDATE($D27,Milestones!$AA$134),"dd mmm yy"))&amp;" "&amp;Milestones!$AB$134&amp;" "&amp;IF(AND(Milestones!$AB$134="FT",Milestones!$AA$134=FT_Y5,EDATE($D27,Milestones!$AA$134)&lt;PolicyEff),1,Milestones!$AC$134)&amp;";  ","")&amp;IF(AND(EDATE($D27,Milestones!$AA$135)&lt;=AsOfDate,EDATE($D27,Milestones!$AA$135)&gt;=SchemeStart,IF($X27=0,$AD27,IF(AND($Z27&lt;&gt;"",EDATE($D27,Milestones!$AA$135)&gt;=$Z27),$AC27,IF(AND($Y27&lt;&gt;"",EDATE($D27,Milestones!$AA$135)&gt;=$Y27),$AB27,$AA27)))=Milestones!$AB$135),UPPER(TEXT(EDATE($D27,Milestones!$AA$135),"dd mmm yy"))&amp;" "&amp;Milestones!$AB$135&amp;" "&amp;IF(AND(Milestones!$AB$135="FT",Milestones!$AA$135=FT_Y5,EDATE($D27,Milestones!$AA$135)&lt;PolicyEff),1,Milestones!$AC$135)&amp;";  ","")&amp;IF(AND(EDATE($D27,Milestones!$AA$136)&lt;=AsOfDate,EDATE($D27,Milestones!$AA$136)&gt;=SchemeStart,IF($X27=0,$AD27,IF(AND($Z27&lt;&gt;"",EDATE($D27,Milestones!$AA$136)&gt;=$Z27),$AC27,IF(AND($Y27&lt;&gt;"",EDATE($D27,Milestones!$AA$136)&gt;=$Y27),$AB27,$AA27)))=Milestones!$AB$136),UPPER(TEXT(EDATE($D27,Milestones!$AA$136),"dd mmm yy"))&amp;" "&amp;Milestones!$AB$136&amp;" "&amp;IF(AND(Milestones!$AB$136="FT",Milestones!$AA$136=FT_Y5,EDATE($D27,Milestones!$AA$136)&lt;PolicyEff),1,Milestones!$AC$136)&amp;";  ","")&amp;IF(AND(EDATE($D27,Milestones!$AA$137)&lt;=AsOfDate,EDATE($D27,Milestones!$AA$137)&gt;=SchemeStart,IF($X27=0,$AD27,IF(AND($Z27&lt;&gt;"",EDATE($D27,Milestones!$AA$137)&gt;=$Z27),$AC27,IF(AND($Y27&lt;&gt;"",EDATE($D27,Milestones!$AA$137)&gt;=$Y27),$AB27,$AA27)))=Milestones!$AB$137),UPPER(TEXT(EDATE($D27,Milestones!$AA$137),"dd mmm yy"))&amp;" "&amp;Milestones!$AB$137&amp;" "&amp;IF(AND(Milestones!$AB$137="FT",Milestones!$AA$137=FT_Y5,EDATE($D27,Milestones!$AA$137)&lt;PolicyEff),1,Milestones!$AC$137)&amp;";  ","")&amp;IF(AND(EDATE($D27,Milestones!$AA$138)&lt;=AsOfDate,EDATE($D27,Milestones!$AA$138)&gt;=SchemeStart,IF($X27=0,$AD27,IF(AND($Z27&lt;&gt;"",EDATE($D27,Milestones!$AA$138)&gt;=$Z27),$AC27,IF(AND($Y27&lt;&gt;"",EDATE($D27,Milestones!$AA$138)&gt;=$Y27),$AB27,$AA27)))=Milestones!$AB$138),UPPER(TEXT(EDATE($D27,Milestones!$AA$138),"dd mmm yy"))&amp;" "&amp;Milestones!$AB$138&amp;" "&amp;IF(AND(Milestones!$AB$138="FT",Milestones!$AA$138=FT_Y5,EDATE($D27,Milestones!$AA$138)&lt;PolicyEff),1,Milestones!$AC$138)&amp;";  ","")&amp;IF(AND(EDATE($D27,Milestones!$AA$139)&lt;=AsOfDate,EDATE($D27,Milestones!$AA$139)&gt;=SchemeStart,IF($X27=0,$AD27,IF(AND($Z27&lt;&gt;"",EDATE($D27,Milestones!$AA$139)&gt;=$Z27),$AC27,IF(AND($Y27&lt;&gt;"",EDATE($D27,Milestones!$AA$139)&gt;=$Y27),$AB27,$AA27)))=Milestones!$AB$139),UPPER(TEXT(EDATE($D27,Milestones!$AA$139),"dd mmm yy"))&amp;" "&amp;Milestones!$AB$139&amp;" "&amp;IF(AND(Milestones!$AB$139="FT",Milestones!$AA$139=FT_Y5,EDATE($D27,Milestones!$AA$139)&lt;PolicyEff),1,Milestones!$AC$139)&amp;";  ",""))</f>
        <v/>
      </c>
      <c r="S27" s="0" t="str">
        <f aca="false">IF(OR($A27="",$D27=""),"",IF(AND(EDATE($D27,Milestones!$AA$140)&lt;=AsOfDate,EDATE($D27,Milestones!$AA$140)&gt;=SchemeStart,IF($X27=0,$AD27,IF(AND($Z27&lt;&gt;"",EDATE($D27,Milestones!$AA$140)&gt;=$Z27),$AC27,IF(AND($Y27&lt;&gt;"",EDATE($D27,Milestones!$AA$140)&gt;=$Y27),$AB27,$AA27)))=Milestones!$AB$140),UPPER(TEXT(EDATE($D27,Milestones!$AA$140),"dd mmm yy"))&amp;" "&amp;Milestones!$AB$140&amp;" "&amp;IF(AND(Milestones!$AB$140="FT",Milestones!$AA$140=FT_Y5,EDATE($D27,Milestones!$AA$140)&lt;PolicyEff),1,Milestones!$AC$140)&amp;";  ","")&amp;IF(AND(EDATE($D27,Milestones!$AA$141)&lt;=AsOfDate,EDATE($D27,Milestones!$AA$141)&gt;=SchemeStart,IF($X27=0,$AD27,IF(AND($Z27&lt;&gt;"",EDATE($D27,Milestones!$AA$141)&gt;=$Z27),$AC27,IF(AND($Y27&lt;&gt;"",EDATE($D27,Milestones!$AA$141)&gt;=$Y27),$AB27,$AA27)))=Milestones!$AB$141),UPPER(TEXT(EDATE($D27,Milestones!$AA$141),"dd mmm yy"))&amp;" "&amp;Milestones!$AB$141&amp;" "&amp;IF(AND(Milestones!$AB$141="FT",Milestones!$AA$141=FT_Y5,EDATE($D27,Milestones!$AA$141)&lt;PolicyEff),1,Milestones!$AC$141)&amp;";  ","")&amp;IF(AND(EDATE($D27,Milestones!$AA$142)&lt;=AsOfDate,EDATE($D27,Milestones!$AA$142)&gt;=SchemeStart,IF($X27=0,$AD27,IF(AND($Z27&lt;&gt;"",EDATE($D27,Milestones!$AA$142)&gt;=$Z27),$AC27,IF(AND($Y27&lt;&gt;"",EDATE($D27,Milestones!$AA$142)&gt;=$Y27),$AB27,$AA27)))=Milestones!$AB$142),UPPER(TEXT(EDATE($D27,Milestones!$AA$142),"dd mmm yy"))&amp;" "&amp;Milestones!$AB$142&amp;" "&amp;IF(AND(Milestones!$AB$142="FT",Milestones!$AA$142=FT_Y5,EDATE($D27,Milestones!$AA$142)&lt;PolicyEff),1,Milestones!$AC$142)&amp;";  ","")&amp;IF(AND(EDATE($D27,Milestones!$AA$143)&lt;=AsOfDate,EDATE($D27,Milestones!$AA$143)&gt;=SchemeStart,IF($X27=0,$AD27,IF(AND($Z27&lt;&gt;"",EDATE($D27,Milestones!$AA$143)&gt;=$Z27),$AC27,IF(AND($Y27&lt;&gt;"",EDATE($D27,Milestones!$AA$143)&gt;=$Y27),$AB27,$AA27)))=Milestones!$AB$143),UPPER(TEXT(EDATE($D27,Milestones!$AA$143),"dd mmm yy"))&amp;" "&amp;Milestones!$AB$143&amp;" "&amp;IF(AND(Milestones!$AB$143="FT",Milestones!$AA$143=FT_Y5,EDATE($D27,Milestones!$AA$143)&lt;PolicyEff),1,Milestones!$AC$143)&amp;";  ","")&amp;IF(AND(EDATE($D27,Milestones!$AA$144)&lt;=AsOfDate,EDATE($D27,Milestones!$AA$144)&gt;=SchemeStart,IF($X27=0,$AD27,IF(AND($Z27&lt;&gt;"",EDATE($D27,Milestones!$AA$144)&gt;=$Z27),$AC27,IF(AND($Y27&lt;&gt;"",EDATE($D27,Milestones!$AA$144)&gt;=$Y27),$AB27,$AA27)))=Milestones!$AB$144),UPPER(TEXT(EDATE($D27,Milestones!$AA$144),"dd mmm yy"))&amp;" "&amp;Milestones!$AB$144&amp;" "&amp;IF(AND(Milestones!$AB$144="FT",Milestones!$AA$144=FT_Y5,EDATE($D27,Milestones!$AA$144)&lt;PolicyEff),1,Milestones!$AC$144)&amp;";  ","")&amp;IF(AND(EDATE($D27,Milestones!$AA$145)&lt;=AsOfDate,EDATE($D27,Milestones!$AA$145)&gt;=SchemeStart,IF($X27=0,$AD27,IF(AND($Z27&lt;&gt;"",EDATE($D27,Milestones!$AA$145)&gt;=$Z27),$AC27,IF(AND($Y27&lt;&gt;"",EDATE($D27,Milestones!$AA$145)&gt;=$Y27),$AB27,$AA27)))=Milestones!$AB$145),UPPER(TEXT(EDATE($D27,Milestones!$AA$145),"dd mmm yy"))&amp;" "&amp;Milestones!$AB$145&amp;" "&amp;IF(AND(Milestones!$AB$145="FT",Milestones!$AA$145=FT_Y5,EDATE($D27,Milestones!$AA$145)&lt;PolicyEff),1,Milestones!$AC$145)&amp;";  ","")&amp;IF(AND(EDATE($D27,Milestones!$AA$146)&lt;=AsOfDate,EDATE($D27,Milestones!$AA$146)&gt;=SchemeStart,IF($X27=0,$AD27,IF(AND($Z27&lt;&gt;"",EDATE($D27,Milestones!$AA$146)&gt;=$Z27),$AC27,IF(AND($Y27&lt;&gt;"",EDATE($D27,Milestones!$AA$146)&gt;=$Y27),$AB27,$AA27)))=Milestones!$AB$146),UPPER(TEXT(EDATE($D27,Milestones!$AA$146),"dd mmm yy"))&amp;" "&amp;Milestones!$AB$146&amp;" "&amp;IF(AND(Milestones!$AB$146="FT",Milestones!$AA$146=FT_Y5,EDATE($D27,Milestones!$AA$146)&lt;PolicyEff),1,Milestones!$AC$146)&amp;";  ","")&amp;IF(AND(EDATE($D27,Milestones!$AA$147)&lt;=AsOfDate,EDATE($D27,Milestones!$AA$147)&gt;=SchemeStart,IF($X27=0,$AD27,IF(AND($Z27&lt;&gt;"",EDATE($D27,Milestones!$AA$147)&gt;=$Z27),$AC27,IF(AND($Y27&lt;&gt;"",EDATE($D27,Milestones!$AA$147)&gt;=$Y27),$AB27,$AA27)))=Milestones!$AB$147),UPPER(TEXT(EDATE($D27,Milestones!$AA$147),"dd mmm yy"))&amp;" "&amp;Milestones!$AB$147&amp;" "&amp;IF(AND(Milestones!$AB$147="FT",Milestones!$AA$147=FT_Y5,EDATE($D27,Milestones!$AA$147)&lt;PolicyEff),1,Milestones!$AC$147)&amp;";  ","")&amp;IF(AND(EDATE($D27,Milestones!$AA$148)&lt;=AsOfDate,EDATE($D27,Milestones!$AA$148)&gt;=SchemeStart,IF($X27=0,$AD27,IF(AND($Z27&lt;&gt;"",EDATE($D27,Milestones!$AA$148)&gt;=$Z27),$AC27,IF(AND($Y27&lt;&gt;"",EDATE($D27,Milestones!$AA$148)&gt;=$Y27),$AB27,$AA27)))=Milestones!$AB$148),UPPER(TEXT(EDATE($D27,Milestones!$AA$148),"dd mmm yy"))&amp;" "&amp;Milestones!$AB$148&amp;" "&amp;IF(AND(Milestones!$AB$148="FT",Milestones!$AA$148=FT_Y5,EDATE($D27,Milestones!$AA$148)&lt;PolicyEff),1,Milestones!$AC$148)&amp;";  ","")&amp;IF(AND(EDATE($D27,Milestones!$AA$149)&lt;=AsOfDate,EDATE($D27,Milestones!$AA$149)&gt;=SchemeStart,IF($X27=0,$AD27,IF(AND($Z27&lt;&gt;"",EDATE($D27,Milestones!$AA$149)&gt;=$Z27),$AC27,IF(AND($Y27&lt;&gt;"",EDATE($D27,Milestones!$AA$149)&gt;=$Y27),$AB27,$AA27)))=Milestones!$AB$149),UPPER(TEXT(EDATE($D27,Milestones!$AA$149),"dd mmm yy"))&amp;" "&amp;Milestones!$AB$149&amp;" "&amp;IF(AND(Milestones!$AB$149="FT",Milestones!$AA$149=FT_Y5,EDATE($D27,Milestones!$AA$149)&lt;PolicyEff),1,Milestones!$AC$149)&amp;";  ","")&amp;IF(AND(EDATE($D27,Milestones!$AA$150)&lt;=AsOfDate,EDATE($D27,Milestones!$AA$150)&gt;=SchemeStart,IF($X27=0,$AD27,IF(AND($Z27&lt;&gt;"",EDATE($D27,Milestones!$AA$150)&gt;=$Z27),$AC27,IF(AND($Y27&lt;&gt;"",EDATE($D27,Milestones!$AA$150)&gt;=$Y27),$AB27,$AA27)))=Milestones!$AB$150),UPPER(TEXT(EDATE($D27,Milestones!$AA$150),"dd mmm yy"))&amp;" "&amp;Milestones!$AB$150&amp;" "&amp;IF(AND(Milestones!$AB$150="FT",Milestones!$AA$150=FT_Y5,EDATE($D27,Milestones!$AA$150)&lt;PolicyEff),1,Milestones!$AC$150)&amp;";  ","")&amp;IF(AND(EDATE($D27,Milestones!$AA$151)&lt;=AsOfDate,EDATE($D27,Milestones!$AA$151)&gt;=SchemeStart,IF($X27=0,$AD27,IF(AND($Z27&lt;&gt;"",EDATE($D27,Milestones!$AA$151)&gt;=$Z27),$AC27,IF(AND($Y27&lt;&gt;"",EDATE($D27,Milestones!$AA$151)&gt;=$Y27),$AB27,$AA27)))=Milestones!$AB$151),UPPER(TEXT(EDATE($D27,Milestones!$AA$151),"dd mmm yy"))&amp;" "&amp;Milestones!$AB$151&amp;" "&amp;IF(AND(Milestones!$AB$151="FT",Milestones!$AA$151=FT_Y5,EDATE($D27,Milestones!$AA$151)&lt;PolicyEff),1,Milestones!$AC$151)&amp;";  ",""))</f>
        <v/>
      </c>
      <c r="T27" s="0" t="str">
        <f aca="false">IF(OR($A27="",$D27=""),"",IF(AND(EDATE($D27,Milestones!$AA$152)&lt;=AsOfDate,EDATE($D27,Milestones!$AA$152)&gt;=SchemeStart,IF($X27=0,$AD27,IF(AND($Z27&lt;&gt;"",EDATE($D27,Milestones!$AA$152)&gt;=$Z27),$AC27,IF(AND($Y27&lt;&gt;"",EDATE($D27,Milestones!$AA$152)&gt;=$Y27),$AB27,$AA27)))=Milestones!$AB$152),UPPER(TEXT(EDATE($D27,Milestones!$AA$152),"dd mmm yy"))&amp;" "&amp;Milestones!$AB$152&amp;" "&amp;IF(AND(Milestones!$AB$152="FT",Milestones!$AA$152=FT_Y5,EDATE($D27,Milestones!$AA$152)&lt;PolicyEff),1,Milestones!$AC$152)&amp;";  ","")&amp;IF(AND(EDATE($D27,Milestones!$AA$153)&lt;=AsOfDate,EDATE($D27,Milestones!$AA$153)&gt;=SchemeStart,IF($X27=0,$AD27,IF(AND($Z27&lt;&gt;"",EDATE($D27,Milestones!$AA$153)&gt;=$Z27),$AC27,IF(AND($Y27&lt;&gt;"",EDATE($D27,Milestones!$AA$153)&gt;=$Y27),$AB27,$AA27)))=Milestones!$AB$153),UPPER(TEXT(EDATE($D27,Milestones!$AA$153),"dd mmm yy"))&amp;" "&amp;Milestones!$AB$153&amp;" "&amp;IF(AND(Milestones!$AB$153="FT",Milestones!$AA$153=FT_Y5,EDATE($D27,Milestones!$AA$153)&lt;PolicyEff),1,Milestones!$AC$153)&amp;";  ","")&amp;IF(AND(EDATE($D27,Milestones!$AA$154)&lt;=AsOfDate,EDATE($D27,Milestones!$AA$154)&gt;=SchemeStart,IF($X27=0,$AD27,IF(AND($Z27&lt;&gt;"",EDATE($D27,Milestones!$AA$154)&gt;=$Z27),$AC27,IF(AND($Y27&lt;&gt;"",EDATE($D27,Milestones!$AA$154)&gt;=$Y27),$AB27,$AA27)))=Milestones!$AB$154),UPPER(TEXT(EDATE($D27,Milestones!$AA$154),"dd mmm yy"))&amp;" "&amp;Milestones!$AB$154&amp;" "&amp;IF(AND(Milestones!$AB$154="FT",Milestones!$AA$154=FT_Y5,EDATE($D27,Milestones!$AA$154)&lt;PolicyEff),1,Milestones!$AC$154)&amp;";  ","")&amp;IF(AND(EDATE($D27,Milestones!$AA$155)&lt;=AsOfDate,EDATE($D27,Milestones!$AA$155)&gt;=SchemeStart,IF($X27=0,$AD27,IF(AND($Z27&lt;&gt;"",EDATE($D27,Milestones!$AA$155)&gt;=$Z27),$AC27,IF(AND($Y27&lt;&gt;"",EDATE($D27,Milestones!$AA$155)&gt;=$Y27),$AB27,$AA27)))=Milestones!$AB$155),UPPER(TEXT(EDATE($D27,Milestones!$AA$155),"dd mmm yy"))&amp;" "&amp;Milestones!$AB$155&amp;" "&amp;IF(AND(Milestones!$AB$155="FT",Milestones!$AA$155=FT_Y5,EDATE($D27,Milestones!$AA$155)&lt;PolicyEff),1,Milestones!$AC$155)&amp;";  ","")&amp;IF(AND(EDATE($D27,Milestones!$AA$156)&lt;=AsOfDate,EDATE($D27,Milestones!$AA$156)&gt;=SchemeStart,IF($X27=0,$AD27,IF(AND($Z27&lt;&gt;"",EDATE($D27,Milestones!$AA$156)&gt;=$Z27),$AC27,IF(AND($Y27&lt;&gt;"",EDATE($D27,Milestones!$AA$156)&gt;=$Y27),$AB27,$AA27)))=Milestones!$AB$156),UPPER(TEXT(EDATE($D27,Milestones!$AA$156),"dd mmm yy"))&amp;" "&amp;Milestones!$AB$156&amp;" "&amp;IF(AND(Milestones!$AB$156="FT",Milestones!$AA$156=FT_Y5,EDATE($D27,Milestones!$AA$156)&lt;PolicyEff),1,Milestones!$AC$156)&amp;";  ","")&amp;IF(AND(EDATE($D27,Milestones!$AA$157)&lt;=AsOfDate,EDATE($D27,Milestones!$AA$157)&gt;=SchemeStart,IF($X27=0,$AD27,IF(AND($Z27&lt;&gt;"",EDATE($D27,Milestones!$AA$157)&gt;=$Z27),$AC27,IF(AND($Y27&lt;&gt;"",EDATE($D27,Milestones!$AA$157)&gt;=$Y27),$AB27,$AA27)))=Milestones!$AB$157),UPPER(TEXT(EDATE($D27,Milestones!$AA$157),"dd mmm yy"))&amp;" "&amp;Milestones!$AB$157&amp;" "&amp;IF(AND(Milestones!$AB$157="FT",Milestones!$AA$157=FT_Y5,EDATE($D27,Milestones!$AA$157)&lt;PolicyEff),1,Milestones!$AC$157)&amp;";  ","")&amp;IF(AND(EDATE($D27,Milestones!$AA$158)&lt;=AsOfDate,EDATE($D27,Milestones!$AA$158)&gt;=SchemeStart,IF($X27=0,$AD27,IF(AND($Z27&lt;&gt;"",EDATE($D27,Milestones!$AA$158)&gt;=$Z27),$AC27,IF(AND($Y27&lt;&gt;"",EDATE($D27,Milestones!$AA$158)&gt;=$Y27),$AB27,$AA27)))=Milestones!$AB$158),UPPER(TEXT(EDATE($D27,Milestones!$AA$158),"dd mmm yy"))&amp;" "&amp;Milestones!$AB$158&amp;" "&amp;IF(AND(Milestones!$AB$158="FT",Milestones!$AA$158=FT_Y5,EDATE($D27,Milestones!$AA$158)&lt;PolicyEff),1,Milestones!$AC$158)&amp;";  ","")&amp;IF(AND(EDATE($D27,Milestones!$AA$159)&lt;=AsOfDate,EDATE($D27,Milestones!$AA$159)&gt;=SchemeStart,IF($X27=0,$AD27,IF(AND($Z27&lt;&gt;"",EDATE($D27,Milestones!$AA$159)&gt;=$Z27),$AC27,IF(AND($Y27&lt;&gt;"",EDATE($D27,Milestones!$AA$159)&gt;=$Y27),$AB27,$AA27)))=Milestones!$AB$159),UPPER(TEXT(EDATE($D27,Milestones!$AA$159),"dd mmm yy"))&amp;" "&amp;Milestones!$AB$159&amp;" "&amp;IF(AND(Milestones!$AB$159="FT",Milestones!$AA$159=FT_Y5,EDATE($D27,Milestones!$AA$159)&lt;PolicyEff),1,Milestones!$AC$159)&amp;";  ","")&amp;IF(AND(EDATE($D27,Milestones!$AA$160)&lt;=AsOfDate,EDATE($D27,Milestones!$AA$160)&gt;=SchemeStart,IF($X27=0,$AD27,IF(AND($Z27&lt;&gt;"",EDATE($D27,Milestones!$AA$160)&gt;=$Z27),$AC27,IF(AND($Y27&lt;&gt;"",EDATE($D27,Milestones!$AA$160)&gt;=$Y27),$AB27,$AA27)))=Milestones!$AB$160),UPPER(TEXT(EDATE($D27,Milestones!$AA$160),"dd mmm yy"))&amp;" "&amp;Milestones!$AB$160&amp;" "&amp;IF(AND(Milestones!$AB$160="FT",Milestones!$AA$160=FT_Y5,EDATE($D27,Milestones!$AA$160)&lt;PolicyEff),1,Milestones!$AC$160)&amp;";  ","")&amp;IF(AND(EDATE($D27,Milestones!$AA$161)&lt;=AsOfDate,EDATE($D27,Milestones!$AA$161)&gt;=SchemeStart,IF($X27=0,$AD27,IF(AND($Z27&lt;&gt;"",EDATE($D27,Milestones!$AA$161)&gt;=$Z27),$AC27,IF(AND($Y27&lt;&gt;"",EDATE($D27,Milestones!$AA$161)&gt;=$Y27),$AB27,$AA27)))=Milestones!$AB$161),UPPER(TEXT(EDATE($D27,Milestones!$AA$161),"dd mmm yy"))&amp;" "&amp;Milestones!$AB$161&amp;" "&amp;IF(AND(Milestones!$AB$161="FT",Milestones!$AA$161=FT_Y5,EDATE($D27,Milestones!$AA$161)&lt;PolicyEff),1,Milestones!$AC$161)&amp;";  ","")&amp;IF(AND(EDATE($D27,Milestones!$AA$162)&lt;=AsOfDate,EDATE($D27,Milestones!$AA$162)&gt;=SchemeStart,IF($X27=0,$AD27,IF(AND($Z27&lt;&gt;"",EDATE($D27,Milestones!$AA$162)&gt;=$Z27),$AC27,IF(AND($Y27&lt;&gt;"",EDATE($D27,Milestones!$AA$162)&gt;=$Y27),$AB27,$AA27)))=Milestones!$AB$162),UPPER(TEXT(EDATE($D27,Milestones!$AA$162),"dd mmm yy"))&amp;" "&amp;Milestones!$AB$162&amp;" "&amp;IF(AND(Milestones!$AB$162="FT",Milestones!$AA$162=FT_Y5,EDATE($D27,Milestones!$AA$162)&lt;PolicyEff),1,Milestones!$AC$162)&amp;";  ","")&amp;IF(AND(EDATE($D27,Milestones!$AA$163)&lt;=AsOfDate,EDATE($D27,Milestones!$AA$163)&gt;=SchemeStart,IF($X27=0,$AD27,IF(AND($Z27&lt;&gt;"",EDATE($D27,Milestones!$AA$163)&gt;=$Z27),$AC27,IF(AND($Y27&lt;&gt;"",EDATE($D27,Milestones!$AA$163)&gt;=$Y27),$AB27,$AA27)))=Milestones!$AB$163),UPPER(TEXT(EDATE($D27,Milestones!$AA$163),"dd mmm yy"))&amp;" "&amp;Milestones!$AB$163&amp;" "&amp;IF(AND(Milestones!$AB$163="FT",Milestones!$AA$163=FT_Y5,EDATE($D27,Milestones!$AA$163)&lt;PolicyEff),1,Milestones!$AC$163)&amp;";  ",""))</f>
        <v/>
      </c>
      <c r="U27" s="0" t="str">
        <f aca="false">IF(OR($A27="",$D27=""),"",IF(AND(EDATE($D27,Milestones!$AA$164)&lt;=AsOfDate,EDATE($D27,Milestones!$AA$164)&gt;=SchemeStart,IF($X27=0,$AD27,IF(AND($Z27&lt;&gt;"",EDATE($D27,Milestones!$AA$164)&gt;=$Z27),$AC27,IF(AND($Y27&lt;&gt;"",EDATE($D27,Milestones!$AA$164)&gt;=$Y27),$AB27,$AA27)))=Milestones!$AB$164),UPPER(TEXT(EDATE($D27,Milestones!$AA$164),"dd mmm yy"))&amp;" "&amp;Milestones!$AB$164&amp;" "&amp;IF(AND(Milestones!$AB$164="FT",Milestones!$AA$164=FT_Y5,EDATE($D27,Milestones!$AA$164)&lt;PolicyEff),1,Milestones!$AC$164)&amp;";  ","")&amp;IF(AND(EDATE($D27,Milestones!$AA$165)&lt;=AsOfDate,EDATE($D27,Milestones!$AA$165)&gt;=SchemeStart,IF($X27=0,$AD27,IF(AND($Z27&lt;&gt;"",EDATE($D27,Milestones!$AA$165)&gt;=$Z27),$AC27,IF(AND($Y27&lt;&gt;"",EDATE($D27,Milestones!$AA$165)&gt;=$Y27),$AB27,$AA27)))=Milestones!$AB$165),UPPER(TEXT(EDATE($D27,Milestones!$AA$165),"dd mmm yy"))&amp;" "&amp;Milestones!$AB$165&amp;" "&amp;IF(AND(Milestones!$AB$165="FT",Milestones!$AA$165=FT_Y5,EDATE($D27,Milestones!$AA$165)&lt;PolicyEff),1,Milestones!$AC$165)&amp;";  ","")&amp;IF(AND(EDATE($D27,Milestones!$AA$166)&lt;=AsOfDate,EDATE($D27,Milestones!$AA$166)&gt;=SchemeStart,IF($X27=0,$AD27,IF(AND($Z27&lt;&gt;"",EDATE($D27,Milestones!$AA$166)&gt;=$Z27),$AC27,IF(AND($Y27&lt;&gt;"",EDATE($D27,Milestones!$AA$166)&gt;=$Y27),$AB27,$AA27)))=Milestones!$AB$166),UPPER(TEXT(EDATE($D27,Milestones!$AA$166),"dd mmm yy"))&amp;" "&amp;Milestones!$AB$166&amp;" "&amp;IF(AND(Milestones!$AB$166="FT",Milestones!$AA$166=FT_Y5,EDATE($D27,Milestones!$AA$166)&lt;PolicyEff),1,Milestones!$AC$166)&amp;";  ","")&amp;IF(AND(EDATE($D27,Milestones!$AA$167)&lt;=AsOfDate,EDATE($D27,Milestones!$AA$167)&gt;=SchemeStart,IF($X27=0,$AD27,IF(AND($Z27&lt;&gt;"",EDATE($D27,Milestones!$AA$167)&gt;=$Z27),$AC27,IF(AND($Y27&lt;&gt;"",EDATE($D27,Milestones!$AA$167)&gt;=$Y27),$AB27,$AA27)))=Milestones!$AB$167),UPPER(TEXT(EDATE($D27,Milestones!$AA$167),"dd mmm yy"))&amp;" "&amp;Milestones!$AB$167&amp;" "&amp;IF(AND(Milestones!$AB$167="FT",Milestones!$AA$167=FT_Y5,EDATE($D27,Milestones!$AA$167)&lt;PolicyEff),1,Milestones!$AC$167)&amp;";  ","")&amp;IF(AND(EDATE($D27,Milestones!$AA$168)&lt;=AsOfDate,EDATE($D27,Milestones!$AA$168)&gt;=SchemeStart,IF($X27=0,$AD27,IF(AND($Z27&lt;&gt;"",EDATE($D27,Milestones!$AA$168)&gt;=$Z27),$AC27,IF(AND($Y27&lt;&gt;"",EDATE($D27,Milestones!$AA$168)&gt;=$Y27),$AB27,$AA27)))=Milestones!$AB$168),UPPER(TEXT(EDATE($D27,Milestones!$AA$168),"dd mmm yy"))&amp;" "&amp;Milestones!$AB$168&amp;" "&amp;IF(AND(Milestones!$AB$168="FT",Milestones!$AA$168=FT_Y5,EDATE($D27,Milestones!$AA$168)&lt;PolicyEff),1,Milestones!$AC$168)&amp;";  ","")&amp;IF(AND(EDATE($D27,Milestones!$AA$169)&lt;=AsOfDate,EDATE($D27,Milestones!$AA$169)&gt;=SchemeStart,IF($X27=0,$AD27,IF(AND($Z27&lt;&gt;"",EDATE($D27,Milestones!$AA$169)&gt;=$Z27),$AC27,IF(AND($Y27&lt;&gt;"",EDATE($D27,Milestones!$AA$169)&gt;=$Y27),$AB27,$AA27)))=Milestones!$AB$169),UPPER(TEXT(EDATE($D27,Milestones!$AA$169),"dd mmm yy"))&amp;" "&amp;Milestones!$AB$169&amp;" "&amp;IF(AND(Milestones!$AB$169="FT",Milestones!$AA$169=FT_Y5,EDATE($D27,Milestones!$AA$169)&lt;PolicyEff),1,Milestones!$AC$169)&amp;";  ","")&amp;IF(AND(EDATE($D27,Milestones!$AA$170)&lt;=AsOfDate,EDATE($D27,Milestones!$AA$170)&gt;=SchemeStart,IF($X27=0,$AD27,IF(AND($Z27&lt;&gt;"",EDATE($D27,Milestones!$AA$170)&gt;=$Z27),$AC27,IF(AND($Y27&lt;&gt;"",EDATE($D27,Milestones!$AA$170)&gt;=$Y27),$AB27,$AA27)))=Milestones!$AB$170),UPPER(TEXT(EDATE($D27,Milestones!$AA$170),"dd mmm yy"))&amp;" "&amp;Milestones!$AB$170&amp;" "&amp;IF(AND(Milestones!$AB$170="FT",Milestones!$AA$170=FT_Y5,EDATE($D27,Milestones!$AA$170)&lt;PolicyEff),1,Milestones!$AC$170)&amp;";  ","")&amp;IF(AND(EDATE($D27,Milestones!$AA$171)&lt;=AsOfDate,EDATE($D27,Milestones!$AA$171)&gt;=SchemeStart,IF($X27=0,$AD27,IF(AND($Z27&lt;&gt;"",EDATE($D27,Milestones!$AA$171)&gt;=$Z27),$AC27,IF(AND($Y27&lt;&gt;"",EDATE($D27,Milestones!$AA$171)&gt;=$Y27),$AB27,$AA27)))=Milestones!$AB$171),UPPER(TEXT(EDATE($D27,Milestones!$AA$171),"dd mmm yy"))&amp;" "&amp;Milestones!$AB$171&amp;" "&amp;IF(AND(Milestones!$AB$171="FT",Milestones!$AA$171=FT_Y5,EDATE($D27,Milestones!$AA$171)&lt;PolicyEff),1,Milestones!$AC$171)&amp;";  ","")&amp;IF(AND(EDATE($D27,Milestones!$AA$172)&lt;=AsOfDate,EDATE($D27,Milestones!$AA$172)&gt;=SchemeStart,IF($X27=0,$AD27,IF(AND($Z27&lt;&gt;"",EDATE($D27,Milestones!$AA$172)&gt;=$Z27),$AC27,IF(AND($Y27&lt;&gt;"",EDATE($D27,Milestones!$AA$172)&gt;=$Y27),$AB27,$AA27)))=Milestones!$AB$172),UPPER(TEXT(EDATE($D27,Milestones!$AA$172),"dd mmm yy"))&amp;" "&amp;Milestones!$AB$172&amp;" "&amp;IF(AND(Milestones!$AB$172="FT",Milestones!$AA$172=FT_Y5,EDATE($D27,Milestones!$AA$172)&lt;PolicyEff),1,Milestones!$AC$172)&amp;";  ","")&amp;IF(AND(EDATE($D27,Milestones!$AA$173)&lt;=AsOfDate,EDATE($D27,Milestones!$AA$173)&gt;=SchemeStart,IF($X27=0,$AD27,IF(AND($Z27&lt;&gt;"",EDATE($D27,Milestones!$AA$173)&gt;=$Z27),$AC27,IF(AND($Y27&lt;&gt;"",EDATE($D27,Milestones!$AA$173)&gt;=$Y27),$AB27,$AA27)))=Milestones!$AB$173),UPPER(TEXT(EDATE($D27,Milestones!$AA$173),"dd mmm yy"))&amp;" "&amp;Milestones!$AB$173&amp;" "&amp;IF(AND(Milestones!$AB$173="FT",Milestones!$AA$173=FT_Y5,EDATE($D27,Milestones!$AA$173)&lt;PolicyEff),1,Milestones!$AC$173)&amp;";  ","")&amp;IF(AND(EDATE($D27,Milestones!$AA$174)&lt;=AsOfDate,EDATE($D27,Milestones!$AA$174)&gt;=SchemeStart,IF($X27=0,$AD27,IF(AND($Z27&lt;&gt;"",EDATE($D27,Milestones!$AA$174)&gt;=$Z27),$AC27,IF(AND($Y27&lt;&gt;"",EDATE($D27,Milestones!$AA$174)&gt;=$Y27),$AB27,$AA27)))=Milestones!$AB$174),UPPER(TEXT(EDATE($D27,Milestones!$AA$174),"dd mmm yy"))&amp;" "&amp;Milestones!$AB$174&amp;" "&amp;IF(AND(Milestones!$AB$174="FT",Milestones!$AA$174=FT_Y5,EDATE($D27,Milestones!$AA$174)&lt;PolicyEff),1,Milestones!$AC$174)&amp;";  ","")&amp;IF(AND(EDATE($D27,Milestones!$AA$175)&lt;=AsOfDate,EDATE($D27,Milestones!$AA$175)&gt;=SchemeStart,IF($X27=0,$AD27,IF(AND($Z27&lt;&gt;"",EDATE($D27,Milestones!$AA$175)&gt;=$Z27),$AC27,IF(AND($Y27&lt;&gt;"",EDATE($D27,Milestones!$AA$175)&gt;=$Y27),$AB27,$AA27)))=Milestones!$AB$175),UPPER(TEXT(EDATE($D27,Milestones!$AA$175),"dd mmm yy"))&amp;" "&amp;Milestones!$AB$175&amp;" "&amp;IF(AND(Milestones!$AB$175="FT",Milestones!$AA$175=FT_Y5,EDATE($D27,Milestones!$AA$175)&lt;PolicyEff),1,Milestones!$AC$175)&amp;";  ",""))</f>
        <v/>
      </c>
      <c r="V27" s="0" t="str">
        <f aca="false">IF(OR($A27="",$D27=""),"",IF(AND(EDATE($D27,Milestones!$AA$176)&lt;=AsOfDate,EDATE($D27,Milestones!$AA$176)&gt;=SchemeStart,IF($X27=0,$AD27,IF(AND($Z27&lt;&gt;"",EDATE($D27,Milestones!$AA$176)&gt;=$Z27),$AC27,IF(AND($Y27&lt;&gt;"",EDATE($D27,Milestones!$AA$176)&gt;=$Y27),$AB27,$AA27)))=Milestones!$AB$176),UPPER(TEXT(EDATE($D27,Milestones!$AA$176),"dd mmm yy"))&amp;" "&amp;Milestones!$AB$176&amp;" "&amp;IF(AND(Milestones!$AB$176="FT",Milestones!$AA$176=FT_Y5,EDATE($D27,Milestones!$AA$176)&lt;PolicyEff),1,Milestones!$AC$176)&amp;";  ","")&amp;IF(AND(EDATE($D27,Milestones!$AA$177)&lt;=AsOfDate,EDATE($D27,Milestones!$AA$177)&gt;=SchemeStart,IF($X27=0,$AD27,IF(AND($Z27&lt;&gt;"",EDATE($D27,Milestones!$AA$177)&gt;=$Z27),$AC27,IF(AND($Y27&lt;&gt;"",EDATE($D27,Milestones!$AA$177)&gt;=$Y27),$AB27,$AA27)))=Milestones!$AB$177),UPPER(TEXT(EDATE($D27,Milestones!$AA$177),"dd mmm yy"))&amp;" "&amp;Milestones!$AB$177&amp;" "&amp;IF(AND(Milestones!$AB$177="FT",Milestones!$AA$177=FT_Y5,EDATE($D27,Milestones!$AA$177)&lt;PolicyEff),1,Milestones!$AC$177)&amp;";  ","")&amp;IF(AND(EDATE($D27,Milestones!$AA$178)&lt;=AsOfDate,EDATE($D27,Milestones!$AA$178)&gt;=SchemeStart,IF($X27=0,$AD27,IF(AND($Z27&lt;&gt;"",EDATE($D27,Milestones!$AA$178)&gt;=$Z27),$AC27,IF(AND($Y27&lt;&gt;"",EDATE($D27,Milestones!$AA$178)&gt;=$Y27),$AB27,$AA27)))=Milestones!$AB$178),UPPER(TEXT(EDATE($D27,Milestones!$AA$178),"dd mmm yy"))&amp;" "&amp;Milestones!$AB$178&amp;" "&amp;IF(AND(Milestones!$AB$178="FT",Milestones!$AA$178=FT_Y5,EDATE($D27,Milestones!$AA$178)&lt;PolicyEff),1,Milestones!$AC$178)&amp;";  ","")&amp;IF(AND(EDATE($D27,Milestones!$AA$179)&lt;=AsOfDate,EDATE($D27,Milestones!$AA$179)&gt;=SchemeStart,IF($X27=0,$AD27,IF(AND($Z27&lt;&gt;"",EDATE($D27,Milestones!$AA$179)&gt;=$Z27),$AC27,IF(AND($Y27&lt;&gt;"",EDATE($D27,Milestones!$AA$179)&gt;=$Y27),$AB27,$AA27)))=Milestones!$AB$179),UPPER(TEXT(EDATE($D27,Milestones!$AA$179),"dd mmm yy"))&amp;" "&amp;Milestones!$AB$179&amp;" "&amp;IF(AND(Milestones!$AB$179="FT",Milestones!$AA$179=FT_Y5,EDATE($D27,Milestones!$AA$179)&lt;PolicyEff),1,Milestones!$AC$179)&amp;";  ","")&amp;IF(AND(EDATE($D27,Milestones!$AA$180)&lt;=AsOfDate,EDATE($D27,Milestones!$AA$180)&gt;=SchemeStart,IF($X27=0,$AD27,IF(AND($Z27&lt;&gt;"",EDATE($D27,Milestones!$AA$180)&gt;=$Z27),$AC27,IF(AND($Y27&lt;&gt;"",EDATE($D27,Milestones!$AA$180)&gt;=$Y27),$AB27,$AA27)))=Milestones!$AB$180),UPPER(TEXT(EDATE($D27,Milestones!$AA$180),"dd mmm yy"))&amp;" "&amp;Milestones!$AB$180&amp;" "&amp;IF(AND(Milestones!$AB$180="FT",Milestones!$AA$180=FT_Y5,EDATE($D27,Milestones!$AA$180)&lt;PolicyEff),1,Milestones!$AC$180)&amp;";  ","")&amp;IF(AND(EDATE($D27,Milestones!$AA$181)&lt;=AsOfDate,EDATE($D27,Milestones!$AA$181)&gt;=SchemeStart,IF($X27=0,$AD27,IF(AND($Z27&lt;&gt;"",EDATE($D27,Milestones!$AA$181)&gt;=$Z27),$AC27,IF(AND($Y27&lt;&gt;"",EDATE($D27,Milestones!$AA$181)&gt;=$Y27),$AB27,$AA27)))=Milestones!$AB$181),UPPER(TEXT(EDATE($D27,Milestones!$AA$181),"dd mmm yy"))&amp;" "&amp;Milestones!$AB$181&amp;" "&amp;IF(AND(Milestones!$AB$181="FT",Milestones!$AA$181=FT_Y5,EDATE($D27,Milestones!$AA$181)&lt;PolicyEff),1,Milestones!$AC$181)&amp;";  ","")&amp;IF(AND(EDATE($D27,Milestones!$AA$182)&lt;=AsOfDate,EDATE($D27,Milestones!$AA$182)&gt;=SchemeStart,IF($X27=0,$AD27,IF(AND($Z27&lt;&gt;"",EDATE($D27,Milestones!$AA$182)&gt;=$Z27),$AC27,IF(AND($Y27&lt;&gt;"",EDATE($D27,Milestones!$AA$182)&gt;=$Y27),$AB27,$AA27)))=Milestones!$AB$182),UPPER(TEXT(EDATE($D27,Milestones!$AA$182),"dd mmm yy"))&amp;" "&amp;Milestones!$AB$182&amp;" "&amp;IF(AND(Milestones!$AB$182="FT",Milestones!$AA$182=FT_Y5,EDATE($D27,Milestones!$AA$182)&lt;PolicyEff),1,Milestones!$AC$182)&amp;";  ","")&amp;IF(AND(EDATE($D27,Milestones!$AA$183)&lt;=AsOfDate,EDATE($D27,Milestones!$AA$183)&gt;=SchemeStart,IF($X27=0,$AD27,IF(AND($Z27&lt;&gt;"",EDATE($D27,Milestones!$AA$183)&gt;=$Z27),$AC27,IF(AND($Y27&lt;&gt;"",EDATE($D27,Milestones!$AA$183)&gt;=$Y27),$AB27,$AA27)))=Milestones!$AB$183),UPPER(TEXT(EDATE($D27,Milestones!$AA$183),"dd mmm yy"))&amp;" "&amp;Milestones!$AB$183&amp;" "&amp;IF(AND(Milestones!$AB$183="FT",Milestones!$AA$183=FT_Y5,EDATE($D27,Milestones!$AA$183)&lt;PolicyEff),1,Milestones!$AC$183)&amp;";  ","")&amp;IF(AND(EDATE($D27,Milestones!$AA$184)&lt;=AsOfDate,EDATE($D27,Milestones!$AA$184)&gt;=SchemeStart,IF($X27=0,$AD27,IF(AND($Z27&lt;&gt;"",EDATE($D27,Milestones!$AA$184)&gt;=$Z27),$AC27,IF(AND($Y27&lt;&gt;"",EDATE($D27,Milestones!$AA$184)&gt;=$Y27),$AB27,$AA27)))=Milestones!$AB$184),UPPER(TEXT(EDATE($D27,Milestones!$AA$184),"dd mmm yy"))&amp;" "&amp;Milestones!$AB$184&amp;" "&amp;IF(AND(Milestones!$AB$184="FT",Milestones!$AA$184=FT_Y5,EDATE($D27,Milestones!$AA$184)&lt;PolicyEff),1,Milestones!$AC$184)&amp;";  ","")&amp;IF(AND(EDATE($D27,Milestones!$AA$185)&lt;=AsOfDate,EDATE($D27,Milestones!$AA$185)&gt;=SchemeStart,IF($X27=0,$AD27,IF(AND($Z27&lt;&gt;"",EDATE($D27,Milestones!$AA$185)&gt;=$Z27),$AC27,IF(AND($Y27&lt;&gt;"",EDATE($D27,Milestones!$AA$185)&gt;=$Y27),$AB27,$AA27)))=Milestones!$AB$185),UPPER(TEXT(EDATE($D27,Milestones!$AA$185),"dd mmm yy"))&amp;" "&amp;Milestones!$AB$185&amp;" "&amp;IF(AND(Milestones!$AB$185="FT",Milestones!$AA$185=FT_Y5,EDATE($D27,Milestones!$AA$185)&lt;PolicyEff),1,Milestones!$AC$185)&amp;";  ","")&amp;IF(AND(EDATE($D27,Milestones!$AA$186)&lt;=AsOfDate,EDATE($D27,Milestones!$AA$186)&gt;=SchemeStart,IF($X27=0,$AD27,IF(AND($Z27&lt;&gt;"",EDATE($D27,Milestones!$AA$186)&gt;=$Z27),$AC27,IF(AND($Y27&lt;&gt;"",EDATE($D27,Milestones!$AA$186)&gt;=$Y27),$AB27,$AA27)))=Milestones!$AB$186),UPPER(TEXT(EDATE($D27,Milestones!$AA$186),"dd mmm yy"))&amp;" "&amp;Milestones!$AB$186&amp;" "&amp;IF(AND(Milestones!$AB$186="FT",Milestones!$AA$186=FT_Y5,EDATE($D27,Milestones!$AA$186)&lt;PolicyEff),1,Milestones!$AC$186)&amp;";  ","")&amp;IF(AND(EDATE($D27,Milestones!$AA$187)&lt;=AsOfDate,EDATE($D27,Milestones!$AA$187)&gt;=SchemeStart,IF($X27=0,$AD27,IF(AND($Z27&lt;&gt;"",EDATE($D27,Milestones!$AA$187)&gt;=$Z27),$AC27,IF(AND($Y27&lt;&gt;"",EDATE($D27,Milestones!$AA$187)&gt;=$Y27),$AB27,$AA27)))=Milestones!$AB$187),UPPER(TEXT(EDATE($D27,Milestones!$AA$187),"dd mmm yy"))&amp;" "&amp;Milestones!$AB$187&amp;" "&amp;IF(AND(Milestones!$AB$187="FT",Milestones!$AA$187=FT_Y5,EDATE($D27,Milestones!$AA$187)&lt;PolicyEff),1,Milestones!$AC$187)&amp;";  ",""))</f>
        <v/>
      </c>
      <c r="W27" s="0" t="str">
        <f aca="false">IF(OR($A27="",$D27=""),"",IF(AND(EDATE($D27,Milestones!$AA$188)&lt;=AsOfDate,EDATE($D27,Milestones!$AA$188)&gt;=SchemeStart,IF($X27=0,$AD27,IF(AND($Z27&lt;&gt;"",EDATE($D27,Milestones!$AA$188)&gt;=$Z27),$AC27,IF(AND($Y27&lt;&gt;"",EDATE($D27,Milestones!$AA$188)&gt;=$Y27),$AB27,$AA27)))=Milestones!$AB$188),UPPER(TEXT(EDATE($D27,Milestones!$AA$188),"dd mmm yy"))&amp;" "&amp;Milestones!$AB$188&amp;" "&amp;IF(AND(Milestones!$AB$188="FT",Milestones!$AA$188=FT_Y5,EDATE($D27,Milestones!$AA$188)&lt;PolicyEff),1,Milestones!$AC$188)&amp;";  ","")&amp;IF(AND(EDATE($D27,Milestones!$AA$189)&lt;=AsOfDate,EDATE($D27,Milestones!$AA$189)&gt;=SchemeStart,IF($X27=0,$AD27,IF(AND($Z27&lt;&gt;"",EDATE($D27,Milestones!$AA$189)&gt;=$Z27),$AC27,IF(AND($Y27&lt;&gt;"",EDATE($D27,Milestones!$AA$189)&gt;=$Y27),$AB27,$AA27)))=Milestones!$AB$189),UPPER(TEXT(EDATE($D27,Milestones!$AA$189),"dd mmm yy"))&amp;" "&amp;Milestones!$AB$189&amp;" "&amp;IF(AND(Milestones!$AB$189="FT",Milestones!$AA$189=FT_Y5,EDATE($D27,Milestones!$AA$189)&lt;PolicyEff),1,Milestones!$AC$189)&amp;";  ","")&amp;IF(AND(EDATE($D27,Milestones!$AA$190)&lt;=AsOfDate,EDATE($D27,Milestones!$AA$190)&gt;=SchemeStart,IF($X27=0,$AD27,IF(AND($Z27&lt;&gt;"",EDATE($D27,Milestones!$AA$190)&gt;=$Z27),$AC27,IF(AND($Y27&lt;&gt;"",EDATE($D27,Milestones!$AA$190)&gt;=$Y27),$AB27,$AA27)))=Milestones!$AB$190),UPPER(TEXT(EDATE($D27,Milestones!$AA$190),"dd mmm yy"))&amp;" "&amp;Milestones!$AB$190&amp;" "&amp;IF(AND(Milestones!$AB$190="FT",Milestones!$AA$190=FT_Y5,EDATE($D27,Milestones!$AA$190)&lt;PolicyEff),1,Milestones!$AC$190)&amp;";  ","")&amp;IF(AND(EDATE($D27,Milestones!$AA$191)&lt;=AsOfDate,EDATE($D27,Milestones!$AA$191)&gt;=SchemeStart,IF($X27=0,$AD27,IF(AND($Z27&lt;&gt;"",EDATE($D27,Milestones!$AA$191)&gt;=$Z27),$AC27,IF(AND($Y27&lt;&gt;"",EDATE($D27,Milestones!$AA$191)&gt;=$Y27),$AB27,$AA27)))=Milestones!$AB$191),UPPER(TEXT(EDATE($D27,Milestones!$AA$191),"dd mmm yy"))&amp;" "&amp;Milestones!$AB$191&amp;" "&amp;IF(AND(Milestones!$AB$191="FT",Milestones!$AA$191=FT_Y5,EDATE($D27,Milestones!$AA$191)&lt;PolicyEff),1,Milestones!$AC$191)&amp;";  ","")&amp;IF(AND(EDATE($D27,Milestones!$AA$192)&lt;=AsOfDate,EDATE($D27,Milestones!$AA$192)&gt;=SchemeStart,IF($X27=0,$AD27,IF(AND($Z27&lt;&gt;"",EDATE($D27,Milestones!$AA$192)&gt;=$Z27),$AC27,IF(AND($Y27&lt;&gt;"",EDATE($D27,Milestones!$AA$192)&gt;=$Y27),$AB27,$AA27)))=Milestones!$AB$192),UPPER(TEXT(EDATE($D27,Milestones!$AA$192),"dd mmm yy"))&amp;" "&amp;Milestones!$AB$192&amp;" "&amp;IF(AND(Milestones!$AB$192="FT",Milestones!$AA$192=FT_Y5,EDATE($D27,Milestones!$AA$192)&lt;PolicyEff),1,Milestones!$AC$192)&amp;";  ","")&amp;IF(AND(EDATE($D27,Milestones!$AA$193)&lt;=AsOfDate,EDATE($D27,Milestones!$AA$193)&gt;=SchemeStart,IF($X27=0,$AD27,IF(AND($Z27&lt;&gt;"",EDATE($D27,Milestones!$AA$193)&gt;=$Z27),$AC27,IF(AND($Y27&lt;&gt;"",EDATE($D27,Milestones!$AA$193)&gt;=$Y27),$AB27,$AA27)))=Milestones!$AB$193),UPPER(TEXT(EDATE($D27,Milestones!$AA$193),"dd mmm yy"))&amp;" "&amp;Milestones!$AB$193&amp;" "&amp;IF(AND(Milestones!$AB$193="FT",Milestones!$AA$193=FT_Y5,EDATE($D27,Milestones!$AA$193)&lt;PolicyEff),1,Milestones!$AC$193)&amp;";  ","")&amp;IF(AND(EDATE($D27,Milestones!$AA$194)&lt;=AsOfDate,EDATE($D27,Milestones!$AA$194)&gt;=SchemeStart,IF($X27=0,$AD27,IF(AND($Z27&lt;&gt;"",EDATE($D27,Milestones!$AA$194)&gt;=$Z27),$AC27,IF(AND($Y27&lt;&gt;"",EDATE($D27,Milestones!$AA$194)&gt;=$Y27),$AB27,$AA27)))=Milestones!$AB$194),UPPER(TEXT(EDATE($D27,Milestones!$AA$194),"dd mmm yy"))&amp;" "&amp;Milestones!$AB$194&amp;" "&amp;IF(AND(Milestones!$AB$194="FT",Milestones!$AA$194=FT_Y5,EDATE($D27,Milestones!$AA$194)&lt;PolicyEff),1,Milestones!$AC$194)&amp;";  ","")&amp;IF(AND(EDATE($D27,Milestones!$AA$195)&lt;=AsOfDate,EDATE($D27,Milestones!$AA$195)&gt;=SchemeStart,IF($X27=0,$AD27,IF(AND($Z27&lt;&gt;"",EDATE($D27,Milestones!$AA$195)&gt;=$Z27),$AC27,IF(AND($Y27&lt;&gt;"",EDATE($D27,Milestones!$AA$195)&gt;=$Y27),$AB27,$AA27)))=Milestones!$AB$195),UPPER(TEXT(EDATE($D27,Milestones!$AA$195),"dd mmm yy"))&amp;" "&amp;Milestones!$AB$195&amp;" "&amp;IF(AND(Milestones!$AB$195="FT",Milestones!$AA$195=FT_Y5,EDATE($D27,Milestones!$AA$195)&lt;PolicyEff),1,Milestones!$AC$195)&amp;";  ","")&amp;IF(AND(EDATE($D27,Milestones!$AA$196)&lt;=AsOfDate,EDATE($D27,Milestones!$AA$196)&gt;=SchemeStart,IF($X27=0,$AD27,IF(AND($Z27&lt;&gt;"",EDATE($D27,Milestones!$AA$196)&gt;=$Z27),$AC27,IF(AND($Y27&lt;&gt;"",EDATE($D27,Milestones!$AA$196)&gt;=$Y27),$AB27,$AA27)))=Milestones!$AB$196),UPPER(TEXT(EDATE($D27,Milestones!$AA$196),"dd mmm yy"))&amp;" "&amp;Milestones!$AB$196&amp;" "&amp;IF(AND(Milestones!$AB$196="FT",Milestones!$AA$196=FT_Y5,EDATE($D27,Milestones!$AA$196)&lt;PolicyEff),1,Milestones!$AC$196)&amp;";  ","")&amp;IF(AND(EDATE($D27,Milestones!$AA$197)&lt;=AsOfDate,EDATE($D27,Milestones!$AA$197)&gt;=SchemeStart,IF($X27=0,$AD27,IF(AND($Z27&lt;&gt;"",EDATE($D27,Milestones!$AA$197)&gt;=$Z27),$AC27,IF(AND($Y27&lt;&gt;"",EDATE($D27,Milestones!$AA$197)&gt;=$Y27),$AB27,$AA27)))=Milestones!$AB$197),UPPER(TEXT(EDATE($D27,Milestones!$AA$197),"dd mmm yy"))&amp;" "&amp;Milestones!$AB$197&amp;" "&amp;IF(AND(Milestones!$AB$197="FT",Milestones!$AA$197=FT_Y5,EDATE($D27,Milestones!$AA$197)&lt;PolicyEff),1,Milestones!$AC$197)&amp;";  ","")&amp;IF(AND(EDATE($D27,Milestones!$AA$198)&lt;=AsOfDate,EDATE($D27,Milestones!$AA$198)&gt;=SchemeStart,IF($X27=0,$AD27,IF(AND($Z27&lt;&gt;"",EDATE($D27,Milestones!$AA$198)&gt;=$Z27),$AC27,IF(AND($Y27&lt;&gt;"",EDATE($D27,Milestones!$AA$198)&gt;=$Y27),$AB27,$AA27)))=Milestones!$AB$198),UPPER(TEXT(EDATE($D27,Milestones!$AA$198),"dd mmm yy"))&amp;" "&amp;Milestones!$AB$198&amp;" "&amp;IF(AND(Milestones!$AB$198="FT",Milestones!$AA$198=FT_Y5,EDATE($D27,Milestones!$AA$198)&lt;PolicyEff),1,Milestones!$AC$198)&amp;";  ","")&amp;IF(AND(EDATE($D27,Milestones!$AA$199)&lt;=AsOfDate,EDATE($D27,Milestones!$AA$199)&gt;=SchemeStart,IF($X27=0,$AD27,IF(AND($Z27&lt;&gt;"",EDATE($D27,Milestones!$AA$199)&gt;=$Z27),$AC27,IF(AND($Y27&lt;&gt;"",EDATE($D27,Milestones!$AA$199)&gt;=$Y27),$AB27,$AA27)))=Milestones!$AB$199),UPPER(TEXT(EDATE($D27,Milestones!$AA$199),"dd mmm yy"))&amp;" "&amp;Milestones!$AB$199&amp;" "&amp;IF(AND(Milestones!$AB$199="FT",Milestones!$AA$199=FT_Y5,EDATE($D27,Milestones!$AA$199)&lt;PolicyEff),1,Milestones!$AC$199)&amp;";  ",""))</f>
        <v/>
      </c>
      <c r="X27" s="0" t="str">
        <f aca="false">IF(Staff!$A27="","",Staff!$AM27)</f>
        <v/>
      </c>
      <c r="Y27" s="0" t="str">
        <f aca="false">IF(Staff!$A27="","",Staff!$AO27)</f>
        <v/>
      </c>
      <c r="Z27" s="0" t="str">
        <f aca="false">IF(Staff!$A27="","",Staff!$AP27)</f>
        <v/>
      </c>
      <c r="AA27" s="0" t="str">
        <f aca="false">IF(Staff!$A27="","",Staff!$AT27)</f>
        <v/>
      </c>
      <c r="AB27" s="0" t="str">
        <f aca="false">IF(Staff!$A27="","",Staff!$AU27)</f>
        <v/>
      </c>
      <c r="AC27" s="0" t="str">
        <f aca="false">IF(Staff!$A27="","",Staff!$AV27)</f>
        <v/>
      </c>
      <c r="AD27" s="0" t="str">
        <f aca="false">IF(Staff!$A27="","",Staff!$AW27)</f>
        <v/>
      </c>
    </row>
    <row r="28" customFormat="false" ht="15" hidden="false" customHeight="false" outlineLevel="0" collapsed="false">
      <c r="A28" s="16" t="str">
        <f aca="false">IF(Staff!$A28="","",Staff!$A28)</f>
        <v/>
      </c>
      <c r="B28" s="16" t="str">
        <f aca="false">IF(Staff!$A28="","",Staff!$B28)</f>
        <v/>
      </c>
      <c r="C28" s="16" t="str">
        <f aca="false">IF(Staff!$A28="","",Staff!$C28)</f>
        <v/>
      </c>
      <c r="D28" s="14" t="str">
        <f aca="false">IF(Staff!$A28="","",Staff!$AL28)</f>
        <v/>
      </c>
      <c r="E28" s="16" t="str">
        <f aca="false">IF(Staff!$A28="","",Staff!$O28)</f>
        <v/>
      </c>
      <c r="F28" s="16" t="str">
        <f aca="false">IF(E28="","",E28*HoursPerDay)</f>
        <v/>
      </c>
      <c r="G28" s="16" t="str">
        <f aca="false">IF(Staff!$A28="","",Staff!$AE28)</f>
        <v/>
      </c>
      <c r="H28" s="28" t="str">
        <f aca="false">IF($A28="","",I28&amp;J28&amp;K28&amp;L28&amp;M28&amp;N28&amp;O28&amp;P28&amp;Q28&amp;R28&amp;S28&amp;T28&amp;U28&amp;V28&amp;W28)</f>
        <v/>
      </c>
      <c r="I28" s="0" t="str">
        <f aca="false">IF(OR($A28="",$D28=""),"",IF(AND(EDATE($D28,Milestones!$AA$20)&lt;=AsOfDate,EDATE($D28,Milestones!$AA$20)&gt;=SchemeStart,IF($X28=0,$AD28,IF(AND($Z28&lt;&gt;"",EDATE($D28,Milestones!$AA$20)&gt;=$Z28),$AC28,IF(AND($Y28&lt;&gt;"",EDATE($D28,Milestones!$AA$20)&gt;=$Y28),$AB28,$AA28)))=Milestones!$AB$20),UPPER(TEXT(EDATE($D28,Milestones!$AA$20),"dd mmm yy"))&amp;" "&amp;Milestones!$AB$20&amp;" "&amp;IF(AND(Milestones!$AB$20="FT",Milestones!$AA$20=FT_Y5,EDATE($D28,Milestones!$AA$20)&lt;PolicyEff),1,Milestones!$AC$20)&amp;";  ","")&amp;IF(AND(EDATE($D28,Milestones!$AA$21)&lt;=AsOfDate,EDATE($D28,Milestones!$AA$21)&gt;=SchemeStart,IF($X28=0,$AD28,IF(AND($Z28&lt;&gt;"",EDATE($D28,Milestones!$AA$21)&gt;=$Z28),$AC28,IF(AND($Y28&lt;&gt;"",EDATE($D28,Milestones!$AA$21)&gt;=$Y28),$AB28,$AA28)))=Milestones!$AB$21),UPPER(TEXT(EDATE($D28,Milestones!$AA$21),"dd mmm yy"))&amp;" "&amp;Milestones!$AB$21&amp;" "&amp;IF(AND(Milestones!$AB$21="FT",Milestones!$AA$21=FT_Y5,EDATE($D28,Milestones!$AA$21)&lt;PolicyEff),1,Milestones!$AC$21)&amp;";  ","")&amp;IF(AND(EDATE($D28,Milestones!$AA$22)&lt;=AsOfDate,EDATE($D28,Milestones!$AA$22)&gt;=SchemeStart,IF($X28=0,$AD28,IF(AND($Z28&lt;&gt;"",EDATE($D28,Milestones!$AA$22)&gt;=$Z28),$AC28,IF(AND($Y28&lt;&gt;"",EDATE($D28,Milestones!$AA$22)&gt;=$Y28),$AB28,$AA28)))=Milestones!$AB$22),UPPER(TEXT(EDATE($D28,Milestones!$AA$22),"dd mmm yy"))&amp;" "&amp;Milestones!$AB$22&amp;" "&amp;IF(AND(Milestones!$AB$22="FT",Milestones!$AA$22=FT_Y5,EDATE($D28,Milestones!$AA$22)&lt;PolicyEff),1,Milestones!$AC$22)&amp;";  ","")&amp;IF(AND(EDATE($D28,Milestones!$AA$23)&lt;=AsOfDate,EDATE($D28,Milestones!$AA$23)&gt;=SchemeStart,IF($X28=0,$AD28,IF(AND($Z28&lt;&gt;"",EDATE($D28,Milestones!$AA$23)&gt;=$Z28),$AC28,IF(AND($Y28&lt;&gt;"",EDATE($D28,Milestones!$AA$23)&gt;=$Y28),$AB28,$AA28)))=Milestones!$AB$23),UPPER(TEXT(EDATE($D28,Milestones!$AA$23),"dd mmm yy"))&amp;" "&amp;Milestones!$AB$23&amp;" "&amp;IF(AND(Milestones!$AB$23="FT",Milestones!$AA$23=FT_Y5,EDATE($D28,Milestones!$AA$23)&lt;PolicyEff),1,Milestones!$AC$23)&amp;";  ","")&amp;IF(AND(EDATE($D28,Milestones!$AA$24)&lt;=AsOfDate,EDATE($D28,Milestones!$AA$24)&gt;=SchemeStart,IF($X28=0,$AD28,IF(AND($Z28&lt;&gt;"",EDATE($D28,Milestones!$AA$24)&gt;=$Z28),$AC28,IF(AND($Y28&lt;&gt;"",EDATE($D28,Milestones!$AA$24)&gt;=$Y28),$AB28,$AA28)))=Milestones!$AB$24),UPPER(TEXT(EDATE($D28,Milestones!$AA$24),"dd mmm yy"))&amp;" "&amp;Milestones!$AB$24&amp;" "&amp;IF(AND(Milestones!$AB$24="FT",Milestones!$AA$24=FT_Y5,EDATE($D28,Milestones!$AA$24)&lt;PolicyEff),1,Milestones!$AC$24)&amp;";  ","")&amp;IF(AND(EDATE($D28,Milestones!$AA$25)&lt;=AsOfDate,EDATE($D28,Milestones!$AA$25)&gt;=SchemeStart,IF($X28=0,$AD28,IF(AND($Z28&lt;&gt;"",EDATE($D28,Milestones!$AA$25)&gt;=$Z28),$AC28,IF(AND($Y28&lt;&gt;"",EDATE($D28,Milestones!$AA$25)&gt;=$Y28),$AB28,$AA28)))=Milestones!$AB$25),UPPER(TEXT(EDATE($D28,Milestones!$AA$25),"dd mmm yy"))&amp;" "&amp;Milestones!$AB$25&amp;" "&amp;IF(AND(Milestones!$AB$25="FT",Milestones!$AA$25=FT_Y5,EDATE($D28,Milestones!$AA$25)&lt;PolicyEff),1,Milestones!$AC$25)&amp;";  ","")&amp;IF(AND(EDATE($D28,Milestones!$AA$26)&lt;=AsOfDate,EDATE($D28,Milestones!$AA$26)&gt;=SchemeStart,IF($X28=0,$AD28,IF(AND($Z28&lt;&gt;"",EDATE($D28,Milestones!$AA$26)&gt;=$Z28),$AC28,IF(AND($Y28&lt;&gt;"",EDATE($D28,Milestones!$AA$26)&gt;=$Y28),$AB28,$AA28)))=Milestones!$AB$26),UPPER(TEXT(EDATE($D28,Milestones!$AA$26),"dd mmm yy"))&amp;" "&amp;Milestones!$AB$26&amp;" "&amp;IF(AND(Milestones!$AB$26="FT",Milestones!$AA$26=FT_Y5,EDATE($D28,Milestones!$AA$26)&lt;PolicyEff),1,Milestones!$AC$26)&amp;";  ","")&amp;IF(AND(EDATE($D28,Milestones!$AA$27)&lt;=AsOfDate,EDATE($D28,Milestones!$AA$27)&gt;=SchemeStart,IF($X28=0,$AD28,IF(AND($Z28&lt;&gt;"",EDATE($D28,Milestones!$AA$27)&gt;=$Z28),$AC28,IF(AND($Y28&lt;&gt;"",EDATE($D28,Milestones!$AA$27)&gt;=$Y28),$AB28,$AA28)))=Milestones!$AB$27),UPPER(TEXT(EDATE($D28,Milestones!$AA$27),"dd mmm yy"))&amp;" "&amp;Milestones!$AB$27&amp;" "&amp;IF(AND(Milestones!$AB$27="FT",Milestones!$AA$27=FT_Y5,EDATE($D28,Milestones!$AA$27)&lt;PolicyEff),1,Milestones!$AC$27)&amp;";  ","")&amp;IF(AND(EDATE($D28,Milestones!$AA$28)&lt;=AsOfDate,EDATE($D28,Milestones!$AA$28)&gt;=SchemeStart,IF($X28=0,$AD28,IF(AND($Z28&lt;&gt;"",EDATE($D28,Milestones!$AA$28)&gt;=$Z28),$AC28,IF(AND($Y28&lt;&gt;"",EDATE($D28,Milestones!$AA$28)&gt;=$Y28),$AB28,$AA28)))=Milestones!$AB$28),UPPER(TEXT(EDATE($D28,Milestones!$AA$28),"dd mmm yy"))&amp;" "&amp;Milestones!$AB$28&amp;" "&amp;IF(AND(Milestones!$AB$28="FT",Milestones!$AA$28=FT_Y5,EDATE($D28,Milestones!$AA$28)&lt;PolicyEff),1,Milestones!$AC$28)&amp;";  ","")&amp;IF(AND(EDATE($D28,Milestones!$AA$29)&lt;=AsOfDate,EDATE($D28,Milestones!$AA$29)&gt;=SchemeStart,IF($X28=0,$AD28,IF(AND($Z28&lt;&gt;"",EDATE($D28,Milestones!$AA$29)&gt;=$Z28),$AC28,IF(AND($Y28&lt;&gt;"",EDATE($D28,Milestones!$AA$29)&gt;=$Y28),$AB28,$AA28)))=Milestones!$AB$29),UPPER(TEXT(EDATE($D28,Milestones!$AA$29),"dd mmm yy"))&amp;" "&amp;Milestones!$AB$29&amp;" "&amp;IF(AND(Milestones!$AB$29="FT",Milestones!$AA$29=FT_Y5,EDATE($D28,Milestones!$AA$29)&lt;PolicyEff),1,Milestones!$AC$29)&amp;";  ","")&amp;IF(AND(EDATE($D28,Milestones!$AA$30)&lt;=AsOfDate,EDATE($D28,Milestones!$AA$30)&gt;=SchemeStart,IF($X28=0,$AD28,IF(AND($Z28&lt;&gt;"",EDATE($D28,Milestones!$AA$30)&gt;=$Z28),$AC28,IF(AND($Y28&lt;&gt;"",EDATE($D28,Milestones!$AA$30)&gt;=$Y28),$AB28,$AA28)))=Milestones!$AB$30),UPPER(TEXT(EDATE($D28,Milestones!$AA$30),"dd mmm yy"))&amp;" "&amp;Milestones!$AB$30&amp;" "&amp;IF(AND(Milestones!$AB$30="FT",Milestones!$AA$30=FT_Y5,EDATE($D28,Milestones!$AA$30)&lt;PolicyEff),1,Milestones!$AC$30)&amp;";  ","")&amp;IF(AND(EDATE($D28,Milestones!$AA$31)&lt;=AsOfDate,EDATE($D28,Milestones!$AA$31)&gt;=SchemeStart,IF($X28=0,$AD28,IF(AND($Z28&lt;&gt;"",EDATE($D28,Milestones!$AA$31)&gt;=$Z28),$AC28,IF(AND($Y28&lt;&gt;"",EDATE($D28,Milestones!$AA$31)&gt;=$Y28),$AB28,$AA28)))=Milestones!$AB$31),UPPER(TEXT(EDATE($D28,Milestones!$AA$31),"dd mmm yy"))&amp;" "&amp;Milestones!$AB$31&amp;" "&amp;IF(AND(Milestones!$AB$31="FT",Milestones!$AA$31=FT_Y5,EDATE($D28,Milestones!$AA$31)&lt;PolicyEff),1,Milestones!$AC$31)&amp;";  ",""))</f>
        <v/>
      </c>
      <c r="J28" s="0" t="str">
        <f aca="false">IF(OR($A28="",$D28=""),"",IF(AND(EDATE($D28,Milestones!$AA$32)&lt;=AsOfDate,EDATE($D28,Milestones!$AA$32)&gt;=SchemeStart,IF($X28=0,$AD28,IF(AND($Z28&lt;&gt;"",EDATE($D28,Milestones!$AA$32)&gt;=$Z28),$AC28,IF(AND($Y28&lt;&gt;"",EDATE($D28,Milestones!$AA$32)&gt;=$Y28),$AB28,$AA28)))=Milestones!$AB$32),UPPER(TEXT(EDATE($D28,Milestones!$AA$32),"dd mmm yy"))&amp;" "&amp;Milestones!$AB$32&amp;" "&amp;IF(AND(Milestones!$AB$32="FT",Milestones!$AA$32=FT_Y5,EDATE($D28,Milestones!$AA$32)&lt;PolicyEff),1,Milestones!$AC$32)&amp;";  ","")&amp;IF(AND(EDATE($D28,Milestones!$AA$33)&lt;=AsOfDate,EDATE($D28,Milestones!$AA$33)&gt;=SchemeStart,IF($X28=0,$AD28,IF(AND($Z28&lt;&gt;"",EDATE($D28,Milestones!$AA$33)&gt;=$Z28),$AC28,IF(AND($Y28&lt;&gt;"",EDATE($D28,Milestones!$AA$33)&gt;=$Y28),$AB28,$AA28)))=Milestones!$AB$33),UPPER(TEXT(EDATE($D28,Milestones!$AA$33),"dd mmm yy"))&amp;" "&amp;Milestones!$AB$33&amp;" "&amp;IF(AND(Milestones!$AB$33="FT",Milestones!$AA$33=FT_Y5,EDATE($D28,Milestones!$AA$33)&lt;PolicyEff),1,Milestones!$AC$33)&amp;";  ","")&amp;IF(AND(EDATE($D28,Milestones!$AA$34)&lt;=AsOfDate,EDATE($D28,Milestones!$AA$34)&gt;=SchemeStart,IF($X28=0,$AD28,IF(AND($Z28&lt;&gt;"",EDATE($D28,Milestones!$AA$34)&gt;=$Z28),$AC28,IF(AND($Y28&lt;&gt;"",EDATE($D28,Milestones!$AA$34)&gt;=$Y28),$AB28,$AA28)))=Milestones!$AB$34),UPPER(TEXT(EDATE($D28,Milestones!$AA$34),"dd mmm yy"))&amp;" "&amp;Milestones!$AB$34&amp;" "&amp;IF(AND(Milestones!$AB$34="FT",Milestones!$AA$34=FT_Y5,EDATE($D28,Milestones!$AA$34)&lt;PolicyEff),1,Milestones!$AC$34)&amp;";  ","")&amp;IF(AND(EDATE($D28,Milestones!$AA$35)&lt;=AsOfDate,EDATE($D28,Milestones!$AA$35)&gt;=SchemeStart,IF($X28=0,$AD28,IF(AND($Z28&lt;&gt;"",EDATE($D28,Milestones!$AA$35)&gt;=$Z28),$AC28,IF(AND($Y28&lt;&gt;"",EDATE($D28,Milestones!$AA$35)&gt;=$Y28),$AB28,$AA28)))=Milestones!$AB$35),UPPER(TEXT(EDATE($D28,Milestones!$AA$35),"dd mmm yy"))&amp;" "&amp;Milestones!$AB$35&amp;" "&amp;IF(AND(Milestones!$AB$35="FT",Milestones!$AA$35=FT_Y5,EDATE($D28,Milestones!$AA$35)&lt;PolicyEff),1,Milestones!$AC$35)&amp;";  ","")&amp;IF(AND(EDATE($D28,Milestones!$AA$36)&lt;=AsOfDate,EDATE($D28,Milestones!$AA$36)&gt;=SchemeStart,IF($X28=0,$AD28,IF(AND($Z28&lt;&gt;"",EDATE($D28,Milestones!$AA$36)&gt;=$Z28),$AC28,IF(AND($Y28&lt;&gt;"",EDATE($D28,Milestones!$AA$36)&gt;=$Y28),$AB28,$AA28)))=Milestones!$AB$36),UPPER(TEXT(EDATE($D28,Milestones!$AA$36),"dd mmm yy"))&amp;" "&amp;Milestones!$AB$36&amp;" "&amp;IF(AND(Milestones!$AB$36="FT",Milestones!$AA$36=FT_Y5,EDATE($D28,Milestones!$AA$36)&lt;PolicyEff),1,Milestones!$AC$36)&amp;";  ","")&amp;IF(AND(EDATE($D28,Milestones!$AA$37)&lt;=AsOfDate,EDATE($D28,Milestones!$AA$37)&gt;=SchemeStart,IF($X28=0,$AD28,IF(AND($Z28&lt;&gt;"",EDATE($D28,Milestones!$AA$37)&gt;=$Z28),$AC28,IF(AND($Y28&lt;&gt;"",EDATE($D28,Milestones!$AA$37)&gt;=$Y28),$AB28,$AA28)))=Milestones!$AB$37),UPPER(TEXT(EDATE($D28,Milestones!$AA$37),"dd mmm yy"))&amp;" "&amp;Milestones!$AB$37&amp;" "&amp;IF(AND(Milestones!$AB$37="FT",Milestones!$AA$37=FT_Y5,EDATE($D28,Milestones!$AA$37)&lt;PolicyEff),1,Milestones!$AC$37)&amp;";  ","")&amp;IF(AND(EDATE($D28,Milestones!$AA$38)&lt;=AsOfDate,EDATE($D28,Milestones!$AA$38)&gt;=SchemeStart,IF($X28=0,$AD28,IF(AND($Z28&lt;&gt;"",EDATE($D28,Milestones!$AA$38)&gt;=$Z28),$AC28,IF(AND($Y28&lt;&gt;"",EDATE($D28,Milestones!$AA$38)&gt;=$Y28),$AB28,$AA28)))=Milestones!$AB$38),UPPER(TEXT(EDATE($D28,Milestones!$AA$38),"dd mmm yy"))&amp;" "&amp;Milestones!$AB$38&amp;" "&amp;IF(AND(Milestones!$AB$38="FT",Milestones!$AA$38=FT_Y5,EDATE($D28,Milestones!$AA$38)&lt;PolicyEff),1,Milestones!$AC$38)&amp;";  ","")&amp;IF(AND(EDATE($D28,Milestones!$AA$39)&lt;=AsOfDate,EDATE($D28,Milestones!$AA$39)&gt;=SchemeStart,IF($X28=0,$AD28,IF(AND($Z28&lt;&gt;"",EDATE($D28,Milestones!$AA$39)&gt;=$Z28),$AC28,IF(AND($Y28&lt;&gt;"",EDATE($D28,Milestones!$AA$39)&gt;=$Y28),$AB28,$AA28)))=Milestones!$AB$39),UPPER(TEXT(EDATE($D28,Milestones!$AA$39),"dd mmm yy"))&amp;" "&amp;Milestones!$AB$39&amp;" "&amp;IF(AND(Milestones!$AB$39="FT",Milestones!$AA$39=FT_Y5,EDATE($D28,Milestones!$AA$39)&lt;PolicyEff),1,Milestones!$AC$39)&amp;";  ","")&amp;IF(AND(EDATE($D28,Milestones!$AA$40)&lt;=AsOfDate,EDATE($D28,Milestones!$AA$40)&gt;=SchemeStart,IF($X28=0,$AD28,IF(AND($Z28&lt;&gt;"",EDATE($D28,Milestones!$AA$40)&gt;=$Z28),$AC28,IF(AND($Y28&lt;&gt;"",EDATE($D28,Milestones!$AA$40)&gt;=$Y28),$AB28,$AA28)))=Milestones!$AB$40),UPPER(TEXT(EDATE($D28,Milestones!$AA$40),"dd mmm yy"))&amp;" "&amp;Milestones!$AB$40&amp;" "&amp;IF(AND(Milestones!$AB$40="FT",Milestones!$AA$40=FT_Y5,EDATE($D28,Milestones!$AA$40)&lt;PolicyEff),1,Milestones!$AC$40)&amp;";  ","")&amp;IF(AND(EDATE($D28,Milestones!$AA$41)&lt;=AsOfDate,EDATE($D28,Milestones!$AA$41)&gt;=SchemeStart,IF($X28=0,$AD28,IF(AND($Z28&lt;&gt;"",EDATE($D28,Milestones!$AA$41)&gt;=$Z28),$AC28,IF(AND($Y28&lt;&gt;"",EDATE($D28,Milestones!$AA$41)&gt;=$Y28),$AB28,$AA28)))=Milestones!$AB$41),UPPER(TEXT(EDATE($D28,Milestones!$AA$41),"dd mmm yy"))&amp;" "&amp;Milestones!$AB$41&amp;" "&amp;IF(AND(Milestones!$AB$41="FT",Milestones!$AA$41=FT_Y5,EDATE($D28,Milestones!$AA$41)&lt;PolicyEff),1,Milestones!$AC$41)&amp;";  ","")&amp;IF(AND(EDATE($D28,Milestones!$AA$42)&lt;=AsOfDate,EDATE($D28,Milestones!$AA$42)&gt;=SchemeStart,IF($X28=0,$AD28,IF(AND($Z28&lt;&gt;"",EDATE($D28,Milestones!$AA$42)&gt;=$Z28),$AC28,IF(AND($Y28&lt;&gt;"",EDATE($D28,Milestones!$AA$42)&gt;=$Y28),$AB28,$AA28)))=Milestones!$AB$42),UPPER(TEXT(EDATE($D28,Milestones!$AA$42),"dd mmm yy"))&amp;" "&amp;Milestones!$AB$42&amp;" "&amp;IF(AND(Milestones!$AB$42="FT",Milestones!$AA$42=FT_Y5,EDATE($D28,Milestones!$AA$42)&lt;PolicyEff),1,Milestones!$AC$42)&amp;";  ","")&amp;IF(AND(EDATE($D28,Milestones!$AA$43)&lt;=AsOfDate,EDATE($D28,Milestones!$AA$43)&gt;=SchemeStart,IF($X28=0,$AD28,IF(AND($Z28&lt;&gt;"",EDATE($D28,Milestones!$AA$43)&gt;=$Z28),$AC28,IF(AND($Y28&lt;&gt;"",EDATE($D28,Milestones!$AA$43)&gt;=$Y28),$AB28,$AA28)))=Milestones!$AB$43),UPPER(TEXT(EDATE($D28,Milestones!$AA$43),"dd mmm yy"))&amp;" "&amp;Milestones!$AB$43&amp;" "&amp;IF(AND(Milestones!$AB$43="FT",Milestones!$AA$43=FT_Y5,EDATE($D28,Milestones!$AA$43)&lt;PolicyEff),1,Milestones!$AC$43)&amp;";  ",""))</f>
        <v/>
      </c>
      <c r="K28" s="0" t="str">
        <f aca="false">IF(OR($A28="",$D28=""),"",IF(AND(EDATE($D28,Milestones!$AA$44)&lt;=AsOfDate,EDATE($D28,Milestones!$AA$44)&gt;=SchemeStart,IF($X28=0,$AD28,IF(AND($Z28&lt;&gt;"",EDATE($D28,Milestones!$AA$44)&gt;=$Z28),$AC28,IF(AND($Y28&lt;&gt;"",EDATE($D28,Milestones!$AA$44)&gt;=$Y28),$AB28,$AA28)))=Milestones!$AB$44),UPPER(TEXT(EDATE($D28,Milestones!$AA$44),"dd mmm yy"))&amp;" "&amp;Milestones!$AB$44&amp;" "&amp;IF(AND(Milestones!$AB$44="FT",Milestones!$AA$44=FT_Y5,EDATE($D28,Milestones!$AA$44)&lt;PolicyEff),1,Milestones!$AC$44)&amp;";  ","")&amp;IF(AND(EDATE($D28,Milestones!$AA$45)&lt;=AsOfDate,EDATE($D28,Milestones!$AA$45)&gt;=SchemeStart,IF($X28=0,$AD28,IF(AND($Z28&lt;&gt;"",EDATE($D28,Milestones!$AA$45)&gt;=$Z28),$AC28,IF(AND($Y28&lt;&gt;"",EDATE($D28,Milestones!$AA$45)&gt;=$Y28),$AB28,$AA28)))=Milestones!$AB$45),UPPER(TEXT(EDATE($D28,Milestones!$AA$45),"dd mmm yy"))&amp;" "&amp;Milestones!$AB$45&amp;" "&amp;IF(AND(Milestones!$AB$45="FT",Milestones!$AA$45=FT_Y5,EDATE($D28,Milestones!$AA$45)&lt;PolicyEff),1,Milestones!$AC$45)&amp;";  ","")&amp;IF(AND(EDATE($D28,Milestones!$AA$46)&lt;=AsOfDate,EDATE($D28,Milestones!$AA$46)&gt;=SchemeStart,IF($X28=0,$AD28,IF(AND($Z28&lt;&gt;"",EDATE($D28,Milestones!$AA$46)&gt;=$Z28),$AC28,IF(AND($Y28&lt;&gt;"",EDATE($D28,Milestones!$AA$46)&gt;=$Y28),$AB28,$AA28)))=Milestones!$AB$46),UPPER(TEXT(EDATE($D28,Milestones!$AA$46),"dd mmm yy"))&amp;" "&amp;Milestones!$AB$46&amp;" "&amp;IF(AND(Milestones!$AB$46="FT",Milestones!$AA$46=FT_Y5,EDATE($D28,Milestones!$AA$46)&lt;PolicyEff),1,Milestones!$AC$46)&amp;";  ","")&amp;IF(AND(EDATE($D28,Milestones!$AA$47)&lt;=AsOfDate,EDATE($D28,Milestones!$AA$47)&gt;=SchemeStart,IF($X28=0,$AD28,IF(AND($Z28&lt;&gt;"",EDATE($D28,Milestones!$AA$47)&gt;=$Z28),$AC28,IF(AND($Y28&lt;&gt;"",EDATE($D28,Milestones!$AA$47)&gt;=$Y28),$AB28,$AA28)))=Milestones!$AB$47),UPPER(TEXT(EDATE($D28,Milestones!$AA$47),"dd mmm yy"))&amp;" "&amp;Milestones!$AB$47&amp;" "&amp;IF(AND(Milestones!$AB$47="FT",Milestones!$AA$47=FT_Y5,EDATE($D28,Milestones!$AA$47)&lt;PolicyEff),1,Milestones!$AC$47)&amp;";  ","")&amp;IF(AND(EDATE($D28,Milestones!$AA$48)&lt;=AsOfDate,EDATE($D28,Milestones!$AA$48)&gt;=SchemeStart,IF($X28=0,$AD28,IF(AND($Z28&lt;&gt;"",EDATE($D28,Milestones!$AA$48)&gt;=$Z28),$AC28,IF(AND($Y28&lt;&gt;"",EDATE($D28,Milestones!$AA$48)&gt;=$Y28),$AB28,$AA28)))=Milestones!$AB$48),UPPER(TEXT(EDATE($D28,Milestones!$AA$48),"dd mmm yy"))&amp;" "&amp;Milestones!$AB$48&amp;" "&amp;IF(AND(Milestones!$AB$48="FT",Milestones!$AA$48=FT_Y5,EDATE($D28,Milestones!$AA$48)&lt;PolicyEff),1,Milestones!$AC$48)&amp;";  ","")&amp;IF(AND(EDATE($D28,Milestones!$AA$49)&lt;=AsOfDate,EDATE($D28,Milestones!$AA$49)&gt;=SchemeStart,IF($X28=0,$AD28,IF(AND($Z28&lt;&gt;"",EDATE($D28,Milestones!$AA$49)&gt;=$Z28),$AC28,IF(AND($Y28&lt;&gt;"",EDATE($D28,Milestones!$AA$49)&gt;=$Y28),$AB28,$AA28)))=Milestones!$AB$49),UPPER(TEXT(EDATE($D28,Milestones!$AA$49),"dd mmm yy"))&amp;" "&amp;Milestones!$AB$49&amp;" "&amp;IF(AND(Milestones!$AB$49="FT",Milestones!$AA$49=FT_Y5,EDATE($D28,Milestones!$AA$49)&lt;PolicyEff),1,Milestones!$AC$49)&amp;";  ","")&amp;IF(AND(EDATE($D28,Milestones!$AA$50)&lt;=AsOfDate,EDATE($D28,Milestones!$AA$50)&gt;=SchemeStart,IF($X28=0,$AD28,IF(AND($Z28&lt;&gt;"",EDATE($D28,Milestones!$AA$50)&gt;=$Z28),$AC28,IF(AND($Y28&lt;&gt;"",EDATE($D28,Milestones!$AA$50)&gt;=$Y28),$AB28,$AA28)))=Milestones!$AB$50),UPPER(TEXT(EDATE($D28,Milestones!$AA$50),"dd mmm yy"))&amp;" "&amp;Milestones!$AB$50&amp;" "&amp;IF(AND(Milestones!$AB$50="FT",Milestones!$AA$50=FT_Y5,EDATE($D28,Milestones!$AA$50)&lt;PolicyEff),1,Milestones!$AC$50)&amp;";  ","")&amp;IF(AND(EDATE($D28,Milestones!$AA$51)&lt;=AsOfDate,EDATE($D28,Milestones!$AA$51)&gt;=SchemeStart,IF($X28=0,$AD28,IF(AND($Z28&lt;&gt;"",EDATE($D28,Milestones!$AA$51)&gt;=$Z28),$AC28,IF(AND($Y28&lt;&gt;"",EDATE($D28,Milestones!$AA$51)&gt;=$Y28),$AB28,$AA28)))=Milestones!$AB$51),UPPER(TEXT(EDATE($D28,Milestones!$AA$51),"dd mmm yy"))&amp;" "&amp;Milestones!$AB$51&amp;" "&amp;IF(AND(Milestones!$AB$51="FT",Milestones!$AA$51=FT_Y5,EDATE($D28,Milestones!$AA$51)&lt;PolicyEff),1,Milestones!$AC$51)&amp;";  ","")&amp;IF(AND(EDATE($D28,Milestones!$AA$52)&lt;=AsOfDate,EDATE($D28,Milestones!$AA$52)&gt;=SchemeStart,IF($X28=0,$AD28,IF(AND($Z28&lt;&gt;"",EDATE($D28,Milestones!$AA$52)&gt;=$Z28),$AC28,IF(AND($Y28&lt;&gt;"",EDATE($D28,Milestones!$AA$52)&gt;=$Y28),$AB28,$AA28)))=Milestones!$AB$52),UPPER(TEXT(EDATE($D28,Milestones!$AA$52),"dd mmm yy"))&amp;" "&amp;Milestones!$AB$52&amp;" "&amp;IF(AND(Milestones!$AB$52="FT",Milestones!$AA$52=FT_Y5,EDATE($D28,Milestones!$AA$52)&lt;PolicyEff),1,Milestones!$AC$52)&amp;";  ","")&amp;IF(AND(EDATE($D28,Milestones!$AA$53)&lt;=AsOfDate,EDATE($D28,Milestones!$AA$53)&gt;=SchemeStart,IF($X28=0,$AD28,IF(AND($Z28&lt;&gt;"",EDATE($D28,Milestones!$AA$53)&gt;=$Z28),$AC28,IF(AND($Y28&lt;&gt;"",EDATE($D28,Milestones!$AA$53)&gt;=$Y28),$AB28,$AA28)))=Milestones!$AB$53),UPPER(TEXT(EDATE($D28,Milestones!$AA$53),"dd mmm yy"))&amp;" "&amp;Milestones!$AB$53&amp;" "&amp;IF(AND(Milestones!$AB$53="FT",Milestones!$AA$53=FT_Y5,EDATE($D28,Milestones!$AA$53)&lt;PolicyEff),1,Milestones!$AC$53)&amp;";  ","")&amp;IF(AND(EDATE($D28,Milestones!$AA$54)&lt;=AsOfDate,EDATE($D28,Milestones!$AA$54)&gt;=SchemeStart,IF($X28=0,$AD28,IF(AND($Z28&lt;&gt;"",EDATE($D28,Milestones!$AA$54)&gt;=$Z28),$AC28,IF(AND($Y28&lt;&gt;"",EDATE($D28,Milestones!$AA$54)&gt;=$Y28),$AB28,$AA28)))=Milestones!$AB$54),UPPER(TEXT(EDATE($D28,Milestones!$AA$54),"dd mmm yy"))&amp;" "&amp;Milestones!$AB$54&amp;" "&amp;IF(AND(Milestones!$AB$54="FT",Milestones!$AA$54=FT_Y5,EDATE($D28,Milestones!$AA$54)&lt;PolicyEff),1,Milestones!$AC$54)&amp;";  ","")&amp;IF(AND(EDATE($D28,Milestones!$AA$55)&lt;=AsOfDate,EDATE($D28,Milestones!$AA$55)&gt;=SchemeStart,IF($X28=0,$AD28,IF(AND($Z28&lt;&gt;"",EDATE($D28,Milestones!$AA$55)&gt;=$Z28),$AC28,IF(AND($Y28&lt;&gt;"",EDATE($D28,Milestones!$AA$55)&gt;=$Y28),$AB28,$AA28)))=Milestones!$AB$55),UPPER(TEXT(EDATE($D28,Milestones!$AA$55),"dd mmm yy"))&amp;" "&amp;Milestones!$AB$55&amp;" "&amp;IF(AND(Milestones!$AB$55="FT",Milestones!$AA$55=FT_Y5,EDATE($D28,Milestones!$AA$55)&lt;PolicyEff),1,Milestones!$AC$55)&amp;";  ",""))</f>
        <v/>
      </c>
      <c r="L28" s="0" t="str">
        <f aca="false">IF(OR($A28="",$D28=""),"",IF(AND(EDATE($D28,Milestones!$AA$56)&lt;=AsOfDate,EDATE($D28,Milestones!$AA$56)&gt;=SchemeStart,IF($X28=0,$AD28,IF(AND($Z28&lt;&gt;"",EDATE($D28,Milestones!$AA$56)&gt;=$Z28),$AC28,IF(AND($Y28&lt;&gt;"",EDATE($D28,Milestones!$AA$56)&gt;=$Y28),$AB28,$AA28)))=Milestones!$AB$56),UPPER(TEXT(EDATE($D28,Milestones!$AA$56),"dd mmm yy"))&amp;" "&amp;Milestones!$AB$56&amp;" "&amp;IF(AND(Milestones!$AB$56="FT",Milestones!$AA$56=FT_Y5,EDATE($D28,Milestones!$AA$56)&lt;PolicyEff),1,Milestones!$AC$56)&amp;";  ","")&amp;IF(AND(EDATE($D28,Milestones!$AA$57)&lt;=AsOfDate,EDATE($D28,Milestones!$AA$57)&gt;=SchemeStart,IF($X28=0,$AD28,IF(AND($Z28&lt;&gt;"",EDATE($D28,Milestones!$AA$57)&gt;=$Z28),$AC28,IF(AND($Y28&lt;&gt;"",EDATE($D28,Milestones!$AA$57)&gt;=$Y28),$AB28,$AA28)))=Milestones!$AB$57),UPPER(TEXT(EDATE($D28,Milestones!$AA$57),"dd mmm yy"))&amp;" "&amp;Milestones!$AB$57&amp;" "&amp;IF(AND(Milestones!$AB$57="FT",Milestones!$AA$57=FT_Y5,EDATE($D28,Milestones!$AA$57)&lt;PolicyEff),1,Milestones!$AC$57)&amp;";  ","")&amp;IF(AND(EDATE($D28,Milestones!$AA$58)&lt;=AsOfDate,EDATE($D28,Milestones!$AA$58)&gt;=SchemeStart,IF($X28=0,$AD28,IF(AND($Z28&lt;&gt;"",EDATE($D28,Milestones!$AA$58)&gt;=$Z28),$AC28,IF(AND($Y28&lt;&gt;"",EDATE($D28,Milestones!$AA$58)&gt;=$Y28),$AB28,$AA28)))=Milestones!$AB$58),UPPER(TEXT(EDATE($D28,Milestones!$AA$58),"dd mmm yy"))&amp;" "&amp;Milestones!$AB$58&amp;" "&amp;IF(AND(Milestones!$AB$58="FT",Milestones!$AA$58=FT_Y5,EDATE($D28,Milestones!$AA$58)&lt;PolicyEff),1,Milestones!$AC$58)&amp;";  ","")&amp;IF(AND(EDATE($D28,Milestones!$AA$59)&lt;=AsOfDate,EDATE($D28,Milestones!$AA$59)&gt;=SchemeStart,IF($X28=0,$AD28,IF(AND($Z28&lt;&gt;"",EDATE($D28,Milestones!$AA$59)&gt;=$Z28),$AC28,IF(AND($Y28&lt;&gt;"",EDATE($D28,Milestones!$AA$59)&gt;=$Y28),$AB28,$AA28)))=Milestones!$AB$59),UPPER(TEXT(EDATE($D28,Milestones!$AA$59),"dd mmm yy"))&amp;" "&amp;Milestones!$AB$59&amp;" "&amp;IF(AND(Milestones!$AB$59="FT",Milestones!$AA$59=FT_Y5,EDATE($D28,Milestones!$AA$59)&lt;PolicyEff),1,Milestones!$AC$59)&amp;";  ","")&amp;IF(AND(EDATE($D28,Milestones!$AA$60)&lt;=AsOfDate,EDATE($D28,Milestones!$AA$60)&gt;=SchemeStart,IF($X28=0,$AD28,IF(AND($Z28&lt;&gt;"",EDATE($D28,Milestones!$AA$60)&gt;=$Z28),$AC28,IF(AND($Y28&lt;&gt;"",EDATE($D28,Milestones!$AA$60)&gt;=$Y28),$AB28,$AA28)))=Milestones!$AB$60),UPPER(TEXT(EDATE($D28,Milestones!$AA$60),"dd mmm yy"))&amp;" "&amp;Milestones!$AB$60&amp;" "&amp;IF(AND(Milestones!$AB$60="FT",Milestones!$AA$60=FT_Y5,EDATE($D28,Milestones!$AA$60)&lt;PolicyEff),1,Milestones!$AC$60)&amp;";  ","")&amp;IF(AND(EDATE($D28,Milestones!$AA$61)&lt;=AsOfDate,EDATE($D28,Milestones!$AA$61)&gt;=SchemeStart,IF($X28=0,$AD28,IF(AND($Z28&lt;&gt;"",EDATE($D28,Milestones!$AA$61)&gt;=$Z28),$AC28,IF(AND($Y28&lt;&gt;"",EDATE($D28,Milestones!$AA$61)&gt;=$Y28),$AB28,$AA28)))=Milestones!$AB$61),UPPER(TEXT(EDATE($D28,Milestones!$AA$61),"dd mmm yy"))&amp;" "&amp;Milestones!$AB$61&amp;" "&amp;IF(AND(Milestones!$AB$61="FT",Milestones!$AA$61=FT_Y5,EDATE($D28,Milestones!$AA$61)&lt;PolicyEff),1,Milestones!$AC$61)&amp;";  ","")&amp;IF(AND(EDATE($D28,Milestones!$AA$62)&lt;=AsOfDate,EDATE($D28,Milestones!$AA$62)&gt;=SchemeStart,IF($X28=0,$AD28,IF(AND($Z28&lt;&gt;"",EDATE($D28,Milestones!$AA$62)&gt;=$Z28),$AC28,IF(AND($Y28&lt;&gt;"",EDATE($D28,Milestones!$AA$62)&gt;=$Y28),$AB28,$AA28)))=Milestones!$AB$62),UPPER(TEXT(EDATE($D28,Milestones!$AA$62),"dd mmm yy"))&amp;" "&amp;Milestones!$AB$62&amp;" "&amp;IF(AND(Milestones!$AB$62="FT",Milestones!$AA$62=FT_Y5,EDATE($D28,Milestones!$AA$62)&lt;PolicyEff),1,Milestones!$AC$62)&amp;";  ","")&amp;IF(AND(EDATE($D28,Milestones!$AA$63)&lt;=AsOfDate,EDATE($D28,Milestones!$AA$63)&gt;=SchemeStart,IF($X28=0,$AD28,IF(AND($Z28&lt;&gt;"",EDATE($D28,Milestones!$AA$63)&gt;=$Z28),$AC28,IF(AND($Y28&lt;&gt;"",EDATE($D28,Milestones!$AA$63)&gt;=$Y28),$AB28,$AA28)))=Milestones!$AB$63),UPPER(TEXT(EDATE($D28,Milestones!$AA$63),"dd mmm yy"))&amp;" "&amp;Milestones!$AB$63&amp;" "&amp;IF(AND(Milestones!$AB$63="FT",Milestones!$AA$63=FT_Y5,EDATE($D28,Milestones!$AA$63)&lt;PolicyEff),1,Milestones!$AC$63)&amp;";  ","")&amp;IF(AND(EDATE($D28,Milestones!$AA$64)&lt;=AsOfDate,EDATE($D28,Milestones!$AA$64)&gt;=SchemeStart,IF($X28=0,$AD28,IF(AND($Z28&lt;&gt;"",EDATE($D28,Milestones!$AA$64)&gt;=$Z28),$AC28,IF(AND($Y28&lt;&gt;"",EDATE($D28,Milestones!$AA$64)&gt;=$Y28),$AB28,$AA28)))=Milestones!$AB$64),UPPER(TEXT(EDATE($D28,Milestones!$AA$64),"dd mmm yy"))&amp;" "&amp;Milestones!$AB$64&amp;" "&amp;IF(AND(Milestones!$AB$64="FT",Milestones!$AA$64=FT_Y5,EDATE($D28,Milestones!$AA$64)&lt;PolicyEff),1,Milestones!$AC$64)&amp;";  ","")&amp;IF(AND(EDATE($D28,Milestones!$AA$65)&lt;=AsOfDate,EDATE($D28,Milestones!$AA$65)&gt;=SchemeStart,IF($X28=0,$AD28,IF(AND($Z28&lt;&gt;"",EDATE($D28,Milestones!$AA$65)&gt;=$Z28),$AC28,IF(AND($Y28&lt;&gt;"",EDATE($D28,Milestones!$AA$65)&gt;=$Y28),$AB28,$AA28)))=Milestones!$AB$65),UPPER(TEXT(EDATE($D28,Milestones!$AA$65),"dd mmm yy"))&amp;" "&amp;Milestones!$AB$65&amp;" "&amp;IF(AND(Milestones!$AB$65="FT",Milestones!$AA$65=FT_Y5,EDATE($D28,Milestones!$AA$65)&lt;PolicyEff),1,Milestones!$AC$65)&amp;";  ","")&amp;IF(AND(EDATE($D28,Milestones!$AA$66)&lt;=AsOfDate,EDATE($D28,Milestones!$AA$66)&gt;=SchemeStart,IF($X28=0,$AD28,IF(AND($Z28&lt;&gt;"",EDATE($D28,Milestones!$AA$66)&gt;=$Z28),$AC28,IF(AND($Y28&lt;&gt;"",EDATE($D28,Milestones!$AA$66)&gt;=$Y28),$AB28,$AA28)))=Milestones!$AB$66),UPPER(TEXT(EDATE($D28,Milestones!$AA$66),"dd mmm yy"))&amp;" "&amp;Milestones!$AB$66&amp;" "&amp;IF(AND(Milestones!$AB$66="FT",Milestones!$AA$66=FT_Y5,EDATE($D28,Milestones!$AA$66)&lt;PolicyEff),1,Milestones!$AC$66)&amp;";  ","")&amp;IF(AND(EDATE($D28,Milestones!$AA$67)&lt;=AsOfDate,EDATE($D28,Milestones!$AA$67)&gt;=SchemeStart,IF($X28=0,$AD28,IF(AND($Z28&lt;&gt;"",EDATE($D28,Milestones!$AA$67)&gt;=$Z28),$AC28,IF(AND($Y28&lt;&gt;"",EDATE($D28,Milestones!$AA$67)&gt;=$Y28),$AB28,$AA28)))=Milestones!$AB$67),UPPER(TEXT(EDATE($D28,Milestones!$AA$67),"dd mmm yy"))&amp;" "&amp;Milestones!$AB$67&amp;" "&amp;IF(AND(Milestones!$AB$67="FT",Milestones!$AA$67=FT_Y5,EDATE($D28,Milestones!$AA$67)&lt;PolicyEff),1,Milestones!$AC$67)&amp;";  ",""))</f>
        <v/>
      </c>
      <c r="M28" s="0" t="str">
        <f aca="false">IF(OR($A28="",$D28=""),"",IF(AND(EDATE($D28,Milestones!$AA$68)&lt;=AsOfDate,EDATE($D28,Milestones!$AA$68)&gt;=SchemeStart,IF($X28=0,$AD28,IF(AND($Z28&lt;&gt;"",EDATE($D28,Milestones!$AA$68)&gt;=$Z28),$AC28,IF(AND($Y28&lt;&gt;"",EDATE($D28,Milestones!$AA$68)&gt;=$Y28),$AB28,$AA28)))=Milestones!$AB$68),UPPER(TEXT(EDATE($D28,Milestones!$AA$68),"dd mmm yy"))&amp;" "&amp;Milestones!$AB$68&amp;" "&amp;IF(AND(Milestones!$AB$68="FT",Milestones!$AA$68=FT_Y5,EDATE($D28,Milestones!$AA$68)&lt;PolicyEff),1,Milestones!$AC$68)&amp;";  ","")&amp;IF(AND(EDATE($D28,Milestones!$AA$69)&lt;=AsOfDate,EDATE($D28,Milestones!$AA$69)&gt;=SchemeStart,IF($X28=0,$AD28,IF(AND($Z28&lt;&gt;"",EDATE($D28,Milestones!$AA$69)&gt;=$Z28),$AC28,IF(AND($Y28&lt;&gt;"",EDATE($D28,Milestones!$AA$69)&gt;=$Y28),$AB28,$AA28)))=Milestones!$AB$69),UPPER(TEXT(EDATE($D28,Milestones!$AA$69),"dd mmm yy"))&amp;" "&amp;Milestones!$AB$69&amp;" "&amp;IF(AND(Milestones!$AB$69="FT",Milestones!$AA$69=FT_Y5,EDATE($D28,Milestones!$AA$69)&lt;PolicyEff),1,Milestones!$AC$69)&amp;";  ","")&amp;IF(AND(EDATE($D28,Milestones!$AA$70)&lt;=AsOfDate,EDATE($D28,Milestones!$AA$70)&gt;=SchemeStart,IF($X28=0,$AD28,IF(AND($Z28&lt;&gt;"",EDATE($D28,Milestones!$AA$70)&gt;=$Z28),$AC28,IF(AND($Y28&lt;&gt;"",EDATE($D28,Milestones!$AA$70)&gt;=$Y28),$AB28,$AA28)))=Milestones!$AB$70),UPPER(TEXT(EDATE($D28,Milestones!$AA$70),"dd mmm yy"))&amp;" "&amp;Milestones!$AB$70&amp;" "&amp;IF(AND(Milestones!$AB$70="FT",Milestones!$AA$70=FT_Y5,EDATE($D28,Milestones!$AA$70)&lt;PolicyEff),1,Milestones!$AC$70)&amp;";  ","")&amp;IF(AND(EDATE($D28,Milestones!$AA$71)&lt;=AsOfDate,EDATE($D28,Milestones!$AA$71)&gt;=SchemeStart,IF($X28=0,$AD28,IF(AND($Z28&lt;&gt;"",EDATE($D28,Milestones!$AA$71)&gt;=$Z28),$AC28,IF(AND($Y28&lt;&gt;"",EDATE($D28,Milestones!$AA$71)&gt;=$Y28),$AB28,$AA28)))=Milestones!$AB$71),UPPER(TEXT(EDATE($D28,Milestones!$AA$71),"dd mmm yy"))&amp;" "&amp;Milestones!$AB$71&amp;" "&amp;IF(AND(Milestones!$AB$71="FT",Milestones!$AA$71=FT_Y5,EDATE($D28,Milestones!$AA$71)&lt;PolicyEff),1,Milestones!$AC$71)&amp;";  ","")&amp;IF(AND(EDATE($D28,Milestones!$AA$72)&lt;=AsOfDate,EDATE($D28,Milestones!$AA$72)&gt;=SchemeStart,IF($X28=0,$AD28,IF(AND($Z28&lt;&gt;"",EDATE($D28,Milestones!$AA$72)&gt;=$Z28),$AC28,IF(AND($Y28&lt;&gt;"",EDATE($D28,Milestones!$AA$72)&gt;=$Y28),$AB28,$AA28)))=Milestones!$AB$72),UPPER(TEXT(EDATE($D28,Milestones!$AA$72),"dd mmm yy"))&amp;" "&amp;Milestones!$AB$72&amp;" "&amp;IF(AND(Milestones!$AB$72="FT",Milestones!$AA$72=FT_Y5,EDATE($D28,Milestones!$AA$72)&lt;PolicyEff),1,Milestones!$AC$72)&amp;";  ","")&amp;IF(AND(EDATE($D28,Milestones!$AA$73)&lt;=AsOfDate,EDATE($D28,Milestones!$AA$73)&gt;=SchemeStart,IF($X28=0,$AD28,IF(AND($Z28&lt;&gt;"",EDATE($D28,Milestones!$AA$73)&gt;=$Z28),$AC28,IF(AND($Y28&lt;&gt;"",EDATE($D28,Milestones!$AA$73)&gt;=$Y28),$AB28,$AA28)))=Milestones!$AB$73),UPPER(TEXT(EDATE($D28,Milestones!$AA$73),"dd mmm yy"))&amp;" "&amp;Milestones!$AB$73&amp;" "&amp;IF(AND(Milestones!$AB$73="FT",Milestones!$AA$73=FT_Y5,EDATE($D28,Milestones!$AA$73)&lt;PolicyEff),1,Milestones!$AC$73)&amp;";  ","")&amp;IF(AND(EDATE($D28,Milestones!$AA$74)&lt;=AsOfDate,EDATE($D28,Milestones!$AA$74)&gt;=SchemeStart,IF($X28=0,$AD28,IF(AND($Z28&lt;&gt;"",EDATE($D28,Milestones!$AA$74)&gt;=$Z28),$AC28,IF(AND($Y28&lt;&gt;"",EDATE($D28,Milestones!$AA$74)&gt;=$Y28),$AB28,$AA28)))=Milestones!$AB$74),UPPER(TEXT(EDATE($D28,Milestones!$AA$74),"dd mmm yy"))&amp;" "&amp;Milestones!$AB$74&amp;" "&amp;IF(AND(Milestones!$AB$74="FT",Milestones!$AA$74=FT_Y5,EDATE($D28,Milestones!$AA$74)&lt;PolicyEff),1,Milestones!$AC$74)&amp;";  ","")&amp;IF(AND(EDATE($D28,Milestones!$AA$75)&lt;=AsOfDate,EDATE($D28,Milestones!$AA$75)&gt;=SchemeStart,IF($X28=0,$AD28,IF(AND($Z28&lt;&gt;"",EDATE($D28,Milestones!$AA$75)&gt;=$Z28),$AC28,IF(AND($Y28&lt;&gt;"",EDATE($D28,Milestones!$AA$75)&gt;=$Y28),$AB28,$AA28)))=Milestones!$AB$75),UPPER(TEXT(EDATE($D28,Milestones!$AA$75),"dd mmm yy"))&amp;" "&amp;Milestones!$AB$75&amp;" "&amp;IF(AND(Milestones!$AB$75="FT",Milestones!$AA$75=FT_Y5,EDATE($D28,Milestones!$AA$75)&lt;PolicyEff),1,Milestones!$AC$75)&amp;";  ","")&amp;IF(AND(EDATE($D28,Milestones!$AA$76)&lt;=AsOfDate,EDATE($D28,Milestones!$AA$76)&gt;=SchemeStart,IF($X28=0,$AD28,IF(AND($Z28&lt;&gt;"",EDATE($D28,Milestones!$AA$76)&gt;=$Z28),$AC28,IF(AND($Y28&lt;&gt;"",EDATE($D28,Milestones!$AA$76)&gt;=$Y28),$AB28,$AA28)))=Milestones!$AB$76),UPPER(TEXT(EDATE($D28,Milestones!$AA$76),"dd mmm yy"))&amp;" "&amp;Milestones!$AB$76&amp;" "&amp;IF(AND(Milestones!$AB$76="FT",Milestones!$AA$76=FT_Y5,EDATE($D28,Milestones!$AA$76)&lt;PolicyEff),1,Milestones!$AC$76)&amp;";  ","")&amp;IF(AND(EDATE($D28,Milestones!$AA$77)&lt;=AsOfDate,EDATE($D28,Milestones!$AA$77)&gt;=SchemeStart,IF($X28=0,$AD28,IF(AND($Z28&lt;&gt;"",EDATE($D28,Milestones!$AA$77)&gt;=$Z28),$AC28,IF(AND($Y28&lt;&gt;"",EDATE($D28,Milestones!$AA$77)&gt;=$Y28),$AB28,$AA28)))=Milestones!$AB$77),UPPER(TEXT(EDATE($D28,Milestones!$AA$77),"dd mmm yy"))&amp;" "&amp;Milestones!$AB$77&amp;" "&amp;IF(AND(Milestones!$AB$77="FT",Milestones!$AA$77=FT_Y5,EDATE($D28,Milestones!$AA$77)&lt;PolicyEff),1,Milestones!$AC$77)&amp;";  ","")&amp;IF(AND(EDATE($D28,Milestones!$AA$78)&lt;=AsOfDate,EDATE($D28,Milestones!$AA$78)&gt;=SchemeStart,IF($X28=0,$AD28,IF(AND($Z28&lt;&gt;"",EDATE($D28,Milestones!$AA$78)&gt;=$Z28),$AC28,IF(AND($Y28&lt;&gt;"",EDATE($D28,Milestones!$AA$78)&gt;=$Y28),$AB28,$AA28)))=Milestones!$AB$78),UPPER(TEXT(EDATE($D28,Milestones!$AA$78),"dd mmm yy"))&amp;" "&amp;Milestones!$AB$78&amp;" "&amp;IF(AND(Milestones!$AB$78="FT",Milestones!$AA$78=FT_Y5,EDATE($D28,Milestones!$AA$78)&lt;PolicyEff),1,Milestones!$AC$78)&amp;";  ","")&amp;IF(AND(EDATE($D28,Milestones!$AA$79)&lt;=AsOfDate,EDATE($D28,Milestones!$AA$79)&gt;=SchemeStart,IF($X28=0,$AD28,IF(AND($Z28&lt;&gt;"",EDATE($D28,Milestones!$AA$79)&gt;=$Z28),$AC28,IF(AND($Y28&lt;&gt;"",EDATE($D28,Milestones!$AA$79)&gt;=$Y28),$AB28,$AA28)))=Milestones!$AB$79),UPPER(TEXT(EDATE($D28,Milestones!$AA$79),"dd mmm yy"))&amp;" "&amp;Milestones!$AB$79&amp;" "&amp;IF(AND(Milestones!$AB$79="FT",Milestones!$AA$79=FT_Y5,EDATE($D28,Milestones!$AA$79)&lt;PolicyEff),1,Milestones!$AC$79)&amp;";  ",""))</f>
        <v/>
      </c>
      <c r="N28" s="0" t="str">
        <f aca="false">IF(OR($A28="",$D28=""),"",IF(AND(EDATE($D28,Milestones!$AA$80)&lt;=AsOfDate,EDATE($D28,Milestones!$AA$80)&gt;=SchemeStart,IF($X28=0,$AD28,IF(AND($Z28&lt;&gt;"",EDATE($D28,Milestones!$AA$80)&gt;=$Z28),$AC28,IF(AND($Y28&lt;&gt;"",EDATE($D28,Milestones!$AA$80)&gt;=$Y28),$AB28,$AA28)))=Milestones!$AB$80),UPPER(TEXT(EDATE($D28,Milestones!$AA$80),"dd mmm yy"))&amp;" "&amp;Milestones!$AB$80&amp;" "&amp;IF(AND(Milestones!$AB$80="FT",Milestones!$AA$80=FT_Y5,EDATE($D28,Milestones!$AA$80)&lt;PolicyEff),1,Milestones!$AC$80)&amp;";  ","")&amp;IF(AND(EDATE($D28,Milestones!$AA$81)&lt;=AsOfDate,EDATE($D28,Milestones!$AA$81)&gt;=SchemeStart,IF($X28=0,$AD28,IF(AND($Z28&lt;&gt;"",EDATE($D28,Milestones!$AA$81)&gt;=$Z28),$AC28,IF(AND($Y28&lt;&gt;"",EDATE($D28,Milestones!$AA$81)&gt;=$Y28),$AB28,$AA28)))=Milestones!$AB$81),UPPER(TEXT(EDATE($D28,Milestones!$AA$81),"dd mmm yy"))&amp;" "&amp;Milestones!$AB$81&amp;" "&amp;IF(AND(Milestones!$AB$81="FT",Milestones!$AA$81=FT_Y5,EDATE($D28,Milestones!$AA$81)&lt;PolicyEff),1,Milestones!$AC$81)&amp;";  ","")&amp;IF(AND(EDATE($D28,Milestones!$AA$82)&lt;=AsOfDate,EDATE($D28,Milestones!$AA$82)&gt;=SchemeStart,IF($X28=0,$AD28,IF(AND($Z28&lt;&gt;"",EDATE($D28,Milestones!$AA$82)&gt;=$Z28),$AC28,IF(AND($Y28&lt;&gt;"",EDATE($D28,Milestones!$AA$82)&gt;=$Y28),$AB28,$AA28)))=Milestones!$AB$82),UPPER(TEXT(EDATE($D28,Milestones!$AA$82),"dd mmm yy"))&amp;" "&amp;Milestones!$AB$82&amp;" "&amp;IF(AND(Milestones!$AB$82="FT",Milestones!$AA$82=FT_Y5,EDATE($D28,Milestones!$AA$82)&lt;PolicyEff),1,Milestones!$AC$82)&amp;";  ","")&amp;IF(AND(EDATE($D28,Milestones!$AA$83)&lt;=AsOfDate,EDATE($D28,Milestones!$AA$83)&gt;=SchemeStart,IF($X28=0,$AD28,IF(AND($Z28&lt;&gt;"",EDATE($D28,Milestones!$AA$83)&gt;=$Z28),$AC28,IF(AND($Y28&lt;&gt;"",EDATE($D28,Milestones!$AA$83)&gt;=$Y28),$AB28,$AA28)))=Milestones!$AB$83),UPPER(TEXT(EDATE($D28,Milestones!$AA$83),"dd mmm yy"))&amp;" "&amp;Milestones!$AB$83&amp;" "&amp;IF(AND(Milestones!$AB$83="FT",Milestones!$AA$83=FT_Y5,EDATE($D28,Milestones!$AA$83)&lt;PolicyEff),1,Milestones!$AC$83)&amp;";  ","")&amp;IF(AND(EDATE($D28,Milestones!$AA$84)&lt;=AsOfDate,EDATE($D28,Milestones!$AA$84)&gt;=SchemeStart,IF($X28=0,$AD28,IF(AND($Z28&lt;&gt;"",EDATE($D28,Milestones!$AA$84)&gt;=$Z28),$AC28,IF(AND($Y28&lt;&gt;"",EDATE($D28,Milestones!$AA$84)&gt;=$Y28),$AB28,$AA28)))=Milestones!$AB$84),UPPER(TEXT(EDATE($D28,Milestones!$AA$84),"dd mmm yy"))&amp;" "&amp;Milestones!$AB$84&amp;" "&amp;IF(AND(Milestones!$AB$84="FT",Milestones!$AA$84=FT_Y5,EDATE($D28,Milestones!$AA$84)&lt;PolicyEff),1,Milestones!$AC$84)&amp;";  ","")&amp;IF(AND(EDATE($D28,Milestones!$AA$85)&lt;=AsOfDate,EDATE($D28,Milestones!$AA$85)&gt;=SchemeStart,IF($X28=0,$AD28,IF(AND($Z28&lt;&gt;"",EDATE($D28,Milestones!$AA$85)&gt;=$Z28),$AC28,IF(AND($Y28&lt;&gt;"",EDATE($D28,Milestones!$AA$85)&gt;=$Y28),$AB28,$AA28)))=Milestones!$AB$85),UPPER(TEXT(EDATE($D28,Milestones!$AA$85),"dd mmm yy"))&amp;" "&amp;Milestones!$AB$85&amp;" "&amp;IF(AND(Milestones!$AB$85="FT",Milestones!$AA$85=FT_Y5,EDATE($D28,Milestones!$AA$85)&lt;PolicyEff),1,Milestones!$AC$85)&amp;";  ","")&amp;IF(AND(EDATE($D28,Milestones!$AA$86)&lt;=AsOfDate,EDATE($D28,Milestones!$AA$86)&gt;=SchemeStart,IF($X28=0,$AD28,IF(AND($Z28&lt;&gt;"",EDATE($D28,Milestones!$AA$86)&gt;=$Z28),$AC28,IF(AND($Y28&lt;&gt;"",EDATE($D28,Milestones!$AA$86)&gt;=$Y28),$AB28,$AA28)))=Milestones!$AB$86),UPPER(TEXT(EDATE($D28,Milestones!$AA$86),"dd mmm yy"))&amp;" "&amp;Milestones!$AB$86&amp;" "&amp;IF(AND(Milestones!$AB$86="FT",Milestones!$AA$86=FT_Y5,EDATE($D28,Milestones!$AA$86)&lt;PolicyEff),1,Milestones!$AC$86)&amp;";  ","")&amp;IF(AND(EDATE($D28,Milestones!$AA$87)&lt;=AsOfDate,EDATE($D28,Milestones!$AA$87)&gt;=SchemeStart,IF($X28=0,$AD28,IF(AND($Z28&lt;&gt;"",EDATE($D28,Milestones!$AA$87)&gt;=$Z28),$AC28,IF(AND($Y28&lt;&gt;"",EDATE($D28,Milestones!$AA$87)&gt;=$Y28),$AB28,$AA28)))=Milestones!$AB$87),UPPER(TEXT(EDATE($D28,Milestones!$AA$87),"dd mmm yy"))&amp;" "&amp;Milestones!$AB$87&amp;" "&amp;IF(AND(Milestones!$AB$87="FT",Milestones!$AA$87=FT_Y5,EDATE($D28,Milestones!$AA$87)&lt;PolicyEff),1,Milestones!$AC$87)&amp;";  ","")&amp;IF(AND(EDATE($D28,Milestones!$AA$88)&lt;=AsOfDate,EDATE($D28,Milestones!$AA$88)&gt;=SchemeStart,IF($X28=0,$AD28,IF(AND($Z28&lt;&gt;"",EDATE($D28,Milestones!$AA$88)&gt;=$Z28),$AC28,IF(AND($Y28&lt;&gt;"",EDATE($D28,Milestones!$AA$88)&gt;=$Y28),$AB28,$AA28)))=Milestones!$AB$88),UPPER(TEXT(EDATE($D28,Milestones!$AA$88),"dd mmm yy"))&amp;" "&amp;Milestones!$AB$88&amp;" "&amp;IF(AND(Milestones!$AB$88="FT",Milestones!$AA$88=FT_Y5,EDATE($D28,Milestones!$AA$88)&lt;PolicyEff),1,Milestones!$AC$88)&amp;";  ","")&amp;IF(AND(EDATE($D28,Milestones!$AA$89)&lt;=AsOfDate,EDATE($D28,Milestones!$AA$89)&gt;=SchemeStart,IF($X28=0,$AD28,IF(AND($Z28&lt;&gt;"",EDATE($D28,Milestones!$AA$89)&gt;=$Z28),$AC28,IF(AND($Y28&lt;&gt;"",EDATE($D28,Milestones!$AA$89)&gt;=$Y28),$AB28,$AA28)))=Milestones!$AB$89),UPPER(TEXT(EDATE($D28,Milestones!$AA$89),"dd mmm yy"))&amp;" "&amp;Milestones!$AB$89&amp;" "&amp;IF(AND(Milestones!$AB$89="FT",Milestones!$AA$89=FT_Y5,EDATE($D28,Milestones!$AA$89)&lt;PolicyEff),1,Milestones!$AC$89)&amp;";  ","")&amp;IF(AND(EDATE($D28,Milestones!$AA$90)&lt;=AsOfDate,EDATE($D28,Milestones!$AA$90)&gt;=SchemeStart,IF($X28=0,$AD28,IF(AND($Z28&lt;&gt;"",EDATE($D28,Milestones!$AA$90)&gt;=$Z28),$AC28,IF(AND($Y28&lt;&gt;"",EDATE($D28,Milestones!$AA$90)&gt;=$Y28),$AB28,$AA28)))=Milestones!$AB$90),UPPER(TEXT(EDATE($D28,Milestones!$AA$90),"dd mmm yy"))&amp;" "&amp;Milestones!$AB$90&amp;" "&amp;IF(AND(Milestones!$AB$90="FT",Milestones!$AA$90=FT_Y5,EDATE($D28,Milestones!$AA$90)&lt;PolicyEff),1,Milestones!$AC$90)&amp;";  ","")&amp;IF(AND(EDATE($D28,Milestones!$AA$91)&lt;=AsOfDate,EDATE($D28,Milestones!$AA$91)&gt;=SchemeStart,IF($X28=0,$AD28,IF(AND($Z28&lt;&gt;"",EDATE($D28,Milestones!$AA$91)&gt;=$Z28),$AC28,IF(AND($Y28&lt;&gt;"",EDATE($D28,Milestones!$AA$91)&gt;=$Y28),$AB28,$AA28)))=Milestones!$AB$91),UPPER(TEXT(EDATE($D28,Milestones!$AA$91),"dd mmm yy"))&amp;" "&amp;Milestones!$AB$91&amp;" "&amp;IF(AND(Milestones!$AB$91="FT",Milestones!$AA$91=FT_Y5,EDATE($D28,Milestones!$AA$91)&lt;PolicyEff),1,Milestones!$AC$91)&amp;";  ",""))</f>
        <v/>
      </c>
      <c r="O28" s="0" t="str">
        <f aca="false">IF(OR($A28="",$D28=""),"",IF(AND(EDATE($D28,Milestones!$AA$92)&lt;=AsOfDate,EDATE($D28,Milestones!$AA$92)&gt;=SchemeStart,IF($X28=0,$AD28,IF(AND($Z28&lt;&gt;"",EDATE($D28,Milestones!$AA$92)&gt;=$Z28),$AC28,IF(AND($Y28&lt;&gt;"",EDATE($D28,Milestones!$AA$92)&gt;=$Y28),$AB28,$AA28)))=Milestones!$AB$92),UPPER(TEXT(EDATE($D28,Milestones!$AA$92),"dd mmm yy"))&amp;" "&amp;Milestones!$AB$92&amp;" "&amp;IF(AND(Milestones!$AB$92="FT",Milestones!$AA$92=FT_Y5,EDATE($D28,Milestones!$AA$92)&lt;PolicyEff),1,Milestones!$AC$92)&amp;";  ","")&amp;IF(AND(EDATE($D28,Milestones!$AA$93)&lt;=AsOfDate,EDATE($D28,Milestones!$AA$93)&gt;=SchemeStart,IF($X28=0,$AD28,IF(AND($Z28&lt;&gt;"",EDATE($D28,Milestones!$AA$93)&gt;=$Z28),$AC28,IF(AND($Y28&lt;&gt;"",EDATE($D28,Milestones!$AA$93)&gt;=$Y28),$AB28,$AA28)))=Milestones!$AB$93),UPPER(TEXT(EDATE($D28,Milestones!$AA$93),"dd mmm yy"))&amp;" "&amp;Milestones!$AB$93&amp;" "&amp;IF(AND(Milestones!$AB$93="FT",Milestones!$AA$93=FT_Y5,EDATE($D28,Milestones!$AA$93)&lt;PolicyEff),1,Milestones!$AC$93)&amp;";  ","")&amp;IF(AND(EDATE($D28,Milestones!$AA$94)&lt;=AsOfDate,EDATE($D28,Milestones!$AA$94)&gt;=SchemeStart,IF($X28=0,$AD28,IF(AND($Z28&lt;&gt;"",EDATE($D28,Milestones!$AA$94)&gt;=$Z28),$AC28,IF(AND($Y28&lt;&gt;"",EDATE($D28,Milestones!$AA$94)&gt;=$Y28),$AB28,$AA28)))=Milestones!$AB$94),UPPER(TEXT(EDATE($D28,Milestones!$AA$94),"dd mmm yy"))&amp;" "&amp;Milestones!$AB$94&amp;" "&amp;IF(AND(Milestones!$AB$94="FT",Milestones!$AA$94=FT_Y5,EDATE($D28,Milestones!$AA$94)&lt;PolicyEff),1,Milestones!$AC$94)&amp;";  ","")&amp;IF(AND(EDATE($D28,Milestones!$AA$95)&lt;=AsOfDate,EDATE($D28,Milestones!$AA$95)&gt;=SchemeStart,IF($X28=0,$AD28,IF(AND($Z28&lt;&gt;"",EDATE($D28,Milestones!$AA$95)&gt;=$Z28),$AC28,IF(AND($Y28&lt;&gt;"",EDATE($D28,Milestones!$AA$95)&gt;=$Y28),$AB28,$AA28)))=Milestones!$AB$95),UPPER(TEXT(EDATE($D28,Milestones!$AA$95),"dd mmm yy"))&amp;" "&amp;Milestones!$AB$95&amp;" "&amp;IF(AND(Milestones!$AB$95="FT",Milestones!$AA$95=FT_Y5,EDATE($D28,Milestones!$AA$95)&lt;PolicyEff),1,Milestones!$AC$95)&amp;";  ","")&amp;IF(AND(EDATE($D28,Milestones!$AA$96)&lt;=AsOfDate,EDATE($D28,Milestones!$AA$96)&gt;=SchemeStart,IF($X28=0,$AD28,IF(AND($Z28&lt;&gt;"",EDATE($D28,Milestones!$AA$96)&gt;=$Z28),$AC28,IF(AND($Y28&lt;&gt;"",EDATE($D28,Milestones!$AA$96)&gt;=$Y28),$AB28,$AA28)))=Milestones!$AB$96),UPPER(TEXT(EDATE($D28,Milestones!$AA$96),"dd mmm yy"))&amp;" "&amp;Milestones!$AB$96&amp;" "&amp;IF(AND(Milestones!$AB$96="FT",Milestones!$AA$96=FT_Y5,EDATE($D28,Milestones!$AA$96)&lt;PolicyEff),1,Milestones!$AC$96)&amp;";  ","")&amp;IF(AND(EDATE($D28,Milestones!$AA$97)&lt;=AsOfDate,EDATE($D28,Milestones!$AA$97)&gt;=SchemeStart,IF($X28=0,$AD28,IF(AND($Z28&lt;&gt;"",EDATE($D28,Milestones!$AA$97)&gt;=$Z28),$AC28,IF(AND($Y28&lt;&gt;"",EDATE($D28,Milestones!$AA$97)&gt;=$Y28),$AB28,$AA28)))=Milestones!$AB$97),UPPER(TEXT(EDATE($D28,Milestones!$AA$97),"dd mmm yy"))&amp;" "&amp;Milestones!$AB$97&amp;" "&amp;IF(AND(Milestones!$AB$97="FT",Milestones!$AA$97=FT_Y5,EDATE($D28,Milestones!$AA$97)&lt;PolicyEff),1,Milestones!$AC$97)&amp;";  ","")&amp;IF(AND(EDATE($D28,Milestones!$AA$98)&lt;=AsOfDate,EDATE($D28,Milestones!$AA$98)&gt;=SchemeStart,IF($X28=0,$AD28,IF(AND($Z28&lt;&gt;"",EDATE($D28,Milestones!$AA$98)&gt;=$Z28),$AC28,IF(AND($Y28&lt;&gt;"",EDATE($D28,Milestones!$AA$98)&gt;=$Y28),$AB28,$AA28)))=Milestones!$AB$98),UPPER(TEXT(EDATE($D28,Milestones!$AA$98),"dd mmm yy"))&amp;" "&amp;Milestones!$AB$98&amp;" "&amp;IF(AND(Milestones!$AB$98="FT",Milestones!$AA$98=FT_Y5,EDATE($D28,Milestones!$AA$98)&lt;PolicyEff),1,Milestones!$AC$98)&amp;";  ","")&amp;IF(AND(EDATE($D28,Milestones!$AA$99)&lt;=AsOfDate,EDATE($D28,Milestones!$AA$99)&gt;=SchemeStart,IF($X28=0,$AD28,IF(AND($Z28&lt;&gt;"",EDATE($D28,Milestones!$AA$99)&gt;=$Z28),$AC28,IF(AND($Y28&lt;&gt;"",EDATE($D28,Milestones!$AA$99)&gt;=$Y28),$AB28,$AA28)))=Milestones!$AB$99),UPPER(TEXT(EDATE($D28,Milestones!$AA$99),"dd mmm yy"))&amp;" "&amp;Milestones!$AB$99&amp;" "&amp;IF(AND(Milestones!$AB$99="FT",Milestones!$AA$99=FT_Y5,EDATE($D28,Milestones!$AA$99)&lt;PolicyEff),1,Milestones!$AC$99)&amp;";  ","")&amp;IF(AND(EDATE($D28,Milestones!$AA$100)&lt;=AsOfDate,EDATE($D28,Milestones!$AA$100)&gt;=SchemeStart,IF($X28=0,$AD28,IF(AND($Z28&lt;&gt;"",EDATE($D28,Milestones!$AA$100)&gt;=$Z28),$AC28,IF(AND($Y28&lt;&gt;"",EDATE($D28,Milestones!$AA$100)&gt;=$Y28),$AB28,$AA28)))=Milestones!$AB$100),UPPER(TEXT(EDATE($D28,Milestones!$AA$100),"dd mmm yy"))&amp;" "&amp;Milestones!$AB$100&amp;" "&amp;IF(AND(Milestones!$AB$100="FT",Milestones!$AA$100=FT_Y5,EDATE($D28,Milestones!$AA$100)&lt;PolicyEff),1,Milestones!$AC$100)&amp;";  ","")&amp;IF(AND(EDATE($D28,Milestones!$AA$101)&lt;=AsOfDate,EDATE($D28,Milestones!$AA$101)&gt;=SchemeStart,IF($X28=0,$AD28,IF(AND($Z28&lt;&gt;"",EDATE($D28,Milestones!$AA$101)&gt;=$Z28),$AC28,IF(AND($Y28&lt;&gt;"",EDATE($D28,Milestones!$AA$101)&gt;=$Y28),$AB28,$AA28)))=Milestones!$AB$101),UPPER(TEXT(EDATE($D28,Milestones!$AA$101),"dd mmm yy"))&amp;" "&amp;Milestones!$AB$101&amp;" "&amp;IF(AND(Milestones!$AB$101="FT",Milestones!$AA$101=FT_Y5,EDATE($D28,Milestones!$AA$101)&lt;PolicyEff),1,Milestones!$AC$101)&amp;";  ","")&amp;IF(AND(EDATE($D28,Milestones!$AA$102)&lt;=AsOfDate,EDATE($D28,Milestones!$AA$102)&gt;=SchemeStart,IF($X28=0,$AD28,IF(AND($Z28&lt;&gt;"",EDATE($D28,Milestones!$AA$102)&gt;=$Z28),$AC28,IF(AND($Y28&lt;&gt;"",EDATE($D28,Milestones!$AA$102)&gt;=$Y28),$AB28,$AA28)))=Milestones!$AB$102),UPPER(TEXT(EDATE($D28,Milestones!$AA$102),"dd mmm yy"))&amp;" "&amp;Milestones!$AB$102&amp;" "&amp;IF(AND(Milestones!$AB$102="FT",Milestones!$AA$102=FT_Y5,EDATE($D28,Milestones!$AA$102)&lt;PolicyEff),1,Milestones!$AC$102)&amp;";  ","")&amp;IF(AND(EDATE($D28,Milestones!$AA$103)&lt;=AsOfDate,EDATE($D28,Milestones!$AA$103)&gt;=SchemeStart,IF($X28=0,$AD28,IF(AND($Z28&lt;&gt;"",EDATE($D28,Milestones!$AA$103)&gt;=$Z28),$AC28,IF(AND($Y28&lt;&gt;"",EDATE($D28,Milestones!$AA$103)&gt;=$Y28),$AB28,$AA28)))=Milestones!$AB$103),UPPER(TEXT(EDATE($D28,Milestones!$AA$103),"dd mmm yy"))&amp;" "&amp;Milestones!$AB$103&amp;" "&amp;IF(AND(Milestones!$AB$103="FT",Milestones!$AA$103=FT_Y5,EDATE($D28,Milestones!$AA$103)&lt;PolicyEff),1,Milestones!$AC$103)&amp;";  ",""))</f>
        <v/>
      </c>
      <c r="P28" s="0" t="str">
        <f aca="false">IF(OR($A28="",$D28=""),"",IF(AND(EDATE($D28,Milestones!$AA$104)&lt;=AsOfDate,EDATE($D28,Milestones!$AA$104)&gt;=SchemeStart,IF($X28=0,$AD28,IF(AND($Z28&lt;&gt;"",EDATE($D28,Milestones!$AA$104)&gt;=$Z28),$AC28,IF(AND($Y28&lt;&gt;"",EDATE($D28,Milestones!$AA$104)&gt;=$Y28),$AB28,$AA28)))=Milestones!$AB$104),UPPER(TEXT(EDATE($D28,Milestones!$AA$104),"dd mmm yy"))&amp;" "&amp;Milestones!$AB$104&amp;" "&amp;IF(AND(Milestones!$AB$104="FT",Milestones!$AA$104=FT_Y5,EDATE($D28,Milestones!$AA$104)&lt;PolicyEff),1,Milestones!$AC$104)&amp;";  ","")&amp;IF(AND(EDATE($D28,Milestones!$AA$105)&lt;=AsOfDate,EDATE($D28,Milestones!$AA$105)&gt;=SchemeStart,IF($X28=0,$AD28,IF(AND($Z28&lt;&gt;"",EDATE($D28,Milestones!$AA$105)&gt;=$Z28),$AC28,IF(AND($Y28&lt;&gt;"",EDATE($D28,Milestones!$AA$105)&gt;=$Y28),$AB28,$AA28)))=Milestones!$AB$105),UPPER(TEXT(EDATE($D28,Milestones!$AA$105),"dd mmm yy"))&amp;" "&amp;Milestones!$AB$105&amp;" "&amp;IF(AND(Milestones!$AB$105="FT",Milestones!$AA$105=FT_Y5,EDATE($D28,Milestones!$AA$105)&lt;PolicyEff),1,Milestones!$AC$105)&amp;";  ","")&amp;IF(AND(EDATE($D28,Milestones!$AA$106)&lt;=AsOfDate,EDATE($D28,Milestones!$AA$106)&gt;=SchemeStart,IF($X28=0,$AD28,IF(AND($Z28&lt;&gt;"",EDATE($D28,Milestones!$AA$106)&gt;=$Z28),$AC28,IF(AND($Y28&lt;&gt;"",EDATE($D28,Milestones!$AA$106)&gt;=$Y28),$AB28,$AA28)))=Milestones!$AB$106),UPPER(TEXT(EDATE($D28,Milestones!$AA$106),"dd mmm yy"))&amp;" "&amp;Milestones!$AB$106&amp;" "&amp;IF(AND(Milestones!$AB$106="FT",Milestones!$AA$106=FT_Y5,EDATE($D28,Milestones!$AA$106)&lt;PolicyEff),1,Milestones!$AC$106)&amp;";  ","")&amp;IF(AND(EDATE($D28,Milestones!$AA$107)&lt;=AsOfDate,EDATE($D28,Milestones!$AA$107)&gt;=SchemeStart,IF($X28=0,$AD28,IF(AND($Z28&lt;&gt;"",EDATE($D28,Milestones!$AA$107)&gt;=$Z28),$AC28,IF(AND($Y28&lt;&gt;"",EDATE($D28,Milestones!$AA$107)&gt;=$Y28),$AB28,$AA28)))=Milestones!$AB$107),UPPER(TEXT(EDATE($D28,Milestones!$AA$107),"dd mmm yy"))&amp;" "&amp;Milestones!$AB$107&amp;" "&amp;IF(AND(Milestones!$AB$107="FT",Milestones!$AA$107=FT_Y5,EDATE($D28,Milestones!$AA$107)&lt;PolicyEff),1,Milestones!$AC$107)&amp;";  ","")&amp;IF(AND(EDATE($D28,Milestones!$AA$108)&lt;=AsOfDate,EDATE($D28,Milestones!$AA$108)&gt;=SchemeStart,IF($X28=0,$AD28,IF(AND($Z28&lt;&gt;"",EDATE($D28,Milestones!$AA$108)&gt;=$Z28),$AC28,IF(AND($Y28&lt;&gt;"",EDATE($D28,Milestones!$AA$108)&gt;=$Y28),$AB28,$AA28)))=Milestones!$AB$108),UPPER(TEXT(EDATE($D28,Milestones!$AA$108),"dd mmm yy"))&amp;" "&amp;Milestones!$AB$108&amp;" "&amp;IF(AND(Milestones!$AB$108="FT",Milestones!$AA$108=FT_Y5,EDATE($D28,Milestones!$AA$108)&lt;PolicyEff),1,Milestones!$AC$108)&amp;";  ","")&amp;IF(AND(EDATE($D28,Milestones!$AA$109)&lt;=AsOfDate,EDATE($D28,Milestones!$AA$109)&gt;=SchemeStart,IF($X28=0,$AD28,IF(AND($Z28&lt;&gt;"",EDATE($D28,Milestones!$AA$109)&gt;=$Z28),$AC28,IF(AND($Y28&lt;&gt;"",EDATE($D28,Milestones!$AA$109)&gt;=$Y28),$AB28,$AA28)))=Milestones!$AB$109),UPPER(TEXT(EDATE($D28,Milestones!$AA$109),"dd mmm yy"))&amp;" "&amp;Milestones!$AB$109&amp;" "&amp;IF(AND(Milestones!$AB$109="FT",Milestones!$AA$109=FT_Y5,EDATE($D28,Milestones!$AA$109)&lt;PolicyEff),1,Milestones!$AC$109)&amp;";  ","")&amp;IF(AND(EDATE($D28,Milestones!$AA$110)&lt;=AsOfDate,EDATE($D28,Milestones!$AA$110)&gt;=SchemeStart,IF($X28=0,$AD28,IF(AND($Z28&lt;&gt;"",EDATE($D28,Milestones!$AA$110)&gt;=$Z28),$AC28,IF(AND($Y28&lt;&gt;"",EDATE($D28,Milestones!$AA$110)&gt;=$Y28),$AB28,$AA28)))=Milestones!$AB$110),UPPER(TEXT(EDATE($D28,Milestones!$AA$110),"dd mmm yy"))&amp;" "&amp;Milestones!$AB$110&amp;" "&amp;IF(AND(Milestones!$AB$110="FT",Milestones!$AA$110=FT_Y5,EDATE($D28,Milestones!$AA$110)&lt;PolicyEff),1,Milestones!$AC$110)&amp;";  ","")&amp;IF(AND(EDATE($D28,Milestones!$AA$111)&lt;=AsOfDate,EDATE($D28,Milestones!$AA$111)&gt;=SchemeStart,IF($X28=0,$AD28,IF(AND($Z28&lt;&gt;"",EDATE($D28,Milestones!$AA$111)&gt;=$Z28),$AC28,IF(AND($Y28&lt;&gt;"",EDATE($D28,Milestones!$AA$111)&gt;=$Y28),$AB28,$AA28)))=Milestones!$AB$111),UPPER(TEXT(EDATE($D28,Milestones!$AA$111),"dd mmm yy"))&amp;" "&amp;Milestones!$AB$111&amp;" "&amp;IF(AND(Milestones!$AB$111="FT",Milestones!$AA$111=FT_Y5,EDATE($D28,Milestones!$AA$111)&lt;PolicyEff),1,Milestones!$AC$111)&amp;";  ","")&amp;IF(AND(EDATE($D28,Milestones!$AA$112)&lt;=AsOfDate,EDATE($D28,Milestones!$AA$112)&gt;=SchemeStart,IF($X28=0,$AD28,IF(AND($Z28&lt;&gt;"",EDATE($D28,Milestones!$AA$112)&gt;=$Z28),$AC28,IF(AND($Y28&lt;&gt;"",EDATE($D28,Milestones!$AA$112)&gt;=$Y28),$AB28,$AA28)))=Milestones!$AB$112),UPPER(TEXT(EDATE($D28,Milestones!$AA$112),"dd mmm yy"))&amp;" "&amp;Milestones!$AB$112&amp;" "&amp;IF(AND(Milestones!$AB$112="FT",Milestones!$AA$112=FT_Y5,EDATE($D28,Milestones!$AA$112)&lt;PolicyEff),1,Milestones!$AC$112)&amp;";  ","")&amp;IF(AND(EDATE($D28,Milestones!$AA$113)&lt;=AsOfDate,EDATE($D28,Milestones!$AA$113)&gt;=SchemeStart,IF($X28=0,$AD28,IF(AND($Z28&lt;&gt;"",EDATE($D28,Milestones!$AA$113)&gt;=$Z28),$AC28,IF(AND($Y28&lt;&gt;"",EDATE($D28,Milestones!$AA$113)&gt;=$Y28),$AB28,$AA28)))=Milestones!$AB$113),UPPER(TEXT(EDATE($D28,Milestones!$AA$113),"dd mmm yy"))&amp;" "&amp;Milestones!$AB$113&amp;" "&amp;IF(AND(Milestones!$AB$113="FT",Milestones!$AA$113=FT_Y5,EDATE($D28,Milestones!$AA$113)&lt;PolicyEff),1,Milestones!$AC$113)&amp;";  ","")&amp;IF(AND(EDATE($D28,Milestones!$AA$114)&lt;=AsOfDate,EDATE($D28,Milestones!$AA$114)&gt;=SchemeStart,IF($X28=0,$AD28,IF(AND($Z28&lt;&gt;"",EDATE($D28,Milestones!$AA$114)&gt;=$Z28),$AC28,IF(AND($Y28&lt;&gt;"",EDATE($D28,Milestones!$AA$114)&gt;=$Y28),$AB28,$AA28)))=Milestones!$AB$114),UPPER(TEXT(EDATE($D28,Milestones!$AA$114),"dd mmm yy"))&amp;" "&amp;Milestones!$AB$114&amp;" "&amp;IF(AND(Milestones!$AB$114="FT",Milestones!$AA$114=FT_Y5,EDATE($D28,Milestones!$AA$114)&lt;PolicyEff),1,Milestones!$AC$114)&amp;";  ","")&amp;IF(AND(EDATE($D28,Milestones!$AA$115)&lt;=AsOfDate,EDATE($D28,Milestones!$AA$115)&gt;=SchemeStart,IF($X28=0,$AD28,IF(AND($Z28&lt;&gt;"",EDATE($D28,Milestones!$AA$115)&gt;=$Z28),$AC28,IF(AND($Y28&lt;&gt;"",EDATE($D28,Milestones!$AA$115)&gt;=$Y28),$AB28,$AA28)))=Milestones!$AB$115),UPPER(TEXT(EDATE($D28,Milestones!$AA$115),"dd mmm yy"))&amp;" "&amp;Milestones!$AB$115&amp;" "&amp;IF(AND(Milestones!$AB$115="FT",Milestones!$AA$115=FT_Y5,EDATE($D28,Milestones!$AA$115)&lt;PolicyEff),1,Milestones!$AC$115)&amp;";  ",""))</f>
        <v/>
      </c>
      <c r="Q28" s="0" t="str">
        <f aca="false">IF(OR($A28="",$D28=""),"",IF(AND(EDATE($D28,Milestones!$AA$116)&lt;=AsOfDate,EDATE($D28,Milestones!$AA$116)&gt;=SchemeStart,IF($X28=0,$AD28,IF(AND($Z28&lt;&gt;"",EDATE($D28,Milestones!$AA$116)&gt;=$Z28),$AC28,IF(AND($Y28&lt;&gt;"",EDATE($D28,Milestones!$AA$116)&gt;=$Y28),$AB28,$AA28)))=Milestones!$AB$116),UPPER(TEXT(EDATE($D28,Milestones!$AA$116),"dd mmm yy"))&amp;" "&amp;Milestones!$AB$116&amp;" "&amp;IF(AND(Milestones!$AB$116="FT",Milestones!$AA$116=FT_Y5,EDATE($D28,Milestones!$AA$116)&lt;PolicyEff),1,Milestones!$AC$116)&amp;";  ","")&amp;IF(AND(EDATE($D28,Milestones!$AA$117)&lt;=AsOfDate,EDATE($D28,Milestones!$AA$117)&gt;=SchemeStart,IF($X28=0,$AD28,IF(AND($Z28&lt;&gt;"",EDATE($D28,Milestones!$AA$117)&gt;=$Z28),$AC28,IF(AND($Y28&lt;&gt;"",EDATE($D28,Milestones!$AA$117)&gt;=$Y28),$AB28,$AA28)))=Milestones!$AB$117),UPPER(TEXT(EDATE($D28,Milestones!$AA$117),"dd mmm yy"))&amp;" "&amp;Milestones!$AB$117&amp;" "&amp;IF(AND(Milestones!$AB$117="FT",Milestones!$AA$117=FT_Y5,EDATE($D28,Milestones!$AA$117)&lt;PolicyEff),1,Milestones!$AC$117)&amp;";  ","")&amp;IF(AND(EDATE($D28,Milestones!$AA$118)&lt;=AsOfDate,EDATE($D28,Milestones!$AA$118)&gt;=SchemeStart,IF($X28=0,$AD28,IF(AND($Z28&lt;&gt;"",EDATE($D28,Milestones!$AA$118)&gt;=$Z28),$AC28,IF(AND($Y28&lt;&gt;"",EDATE($D28,Milestones!$AA$118)&gt;=$Y28),$AB28,$AA28)))=Milestones!$AB$118),UPPER(TEXT(EDATE($D28,Milestones!$AA$118),"dd mmm yy"))&amp;" "&amp;Milestones!$AB$118&amp;" "&amp;IF(AND(Milestones!$AB$118="FT",Milestones!$AA$118=FT_Y5,EDATE($D28,Milestones!$AA$118)&lt;PolicyEff),1,Milestones!$AC$118)&amp;";  ","")&amp;IF(AND(EDATE($D28,Milestones!$AA$119)&lt;=AsOfDate,EDATE($D28,Milestones!$AA$119)&gt;=SchemeStart,IF($X28=0,$AD28,IF(AND($Z28&lt;&gt;"",EDATE($D28,Milestones!$AA$119)&gt;=$Z28),$AC28,IF(AND($Y28&lt;&gt;"",EDATE($D28,Milestones!$AA$119)&gt;=$Y28),$AB28,$AA28)))=Milestones!$AB$119),UPPER(TEXT(EDATE($D28,Milestones!$AA$119),"dd mmm yy"))&amp;" "&amp;Milestones!$AB$119&amp;" "&amp;IF(AND(Milestones!$AB$119="FT",Milestones!$AA$119=FT_Y5,EDATE($D28,Milestones!$AA$119)&lt;PolicyEff),1,Milestones!$AC$119)&amp;";  ","")&amp;IF(AND(EDATE($D28,Milestones!$AA$120)&lt;=AsOfDate,EDATE($D28,Milestones!$AA$120)&gt;=SchemeStart,IF($X28=0,$AD28,IF(AND($Z28&lt;&gt;"",EDATE($D28,Milestones!$AA$120)&gt;=$Z28),$AC28,IF(AND($Y28&lt;&gt;"",EDATE($D28,Milestones!$AA$120)&gt;=$Y28),$AB28,$AA28)))=Milestones!$AB$120),UPPER(TEXT(EDATE($D28,Milestones!$AA$120),"dd mmm yy"))&amp;" "&amp;Milestones!$AB$120&amp;" "&amp;IF(AND(Milestones!$AB$120="FT",Milestones!$AA$120=FT_Y5,EDATE($D28,Milestones!$AA$120)&lt;PolicyEff),1,Milestones!$AC$120)&amp;";  ","")&amp;IF(AND(EDATE($D28,Milestones!$AA$121)&lt;=AsOfDate,EDATE($D28,Milestones!$AA$121)&gt;=SchemeStart,IF($X28=0,$AD28,IF(AND($Z28&lt;&gt;"",EDATE($D28,Milestones!$AA$121)&gt;=$Z28),$AC28,IF(AND($Y28&lt;&gt;"",EDATE($D28,Milestones!$AA$121)&gt;=$Y28),$AB28,$AA28)))=Milestones!$AB$121),UPPER(TEXT(EDATE($D28,Milestones!$AA$121),"dd mmm yy"))&amp;" "&amp;Milestones!$AB$121&amp;" "&amp;IF(AND(Milestones!$AB$121="FT",Milestones!$AA$121=FT_Y5,EDATE($D28,Milestones!$AA$121)&lt;PolicyEff),1,Milestones!$AC$121)&amp;";  ","")&amp;IF(AND(EDATE($D28,Milestones!$AA$122)&lt;=AsOfDate,EDATE($D28,Milestones!$AA$122)&gt;=SchemeStart,IF($X28=0,$AD28,IF(AND($Z28&lt;&gt;"",EDATE($D28,Milestones!$AA$122)&gt;=$Z28),$AC28,IF(AND($Y28&lt;&gt;"",EDATE($D28,Milestones!$AA$122)&gt;=$Y28),$AB28,$AA28)))=Milestones!$AB$122),UPPER(TEXT(EDATE($D28,Milestones!$AA$122),"dd mmm yy"))&amp;" "&amp;Milestones!$AB$122&amp;" "&amp;IF(AND(Milestones!$AB$122="FT",Milestones!$AA$122=FT_Y5,EDATE($D28,Milestones!$AA$122)&lt;PolicyEff),1,Milestones!$AC$122)&amp;";  ","")&amp;IF(AND(EDATE($D28,Milestones!$AA$123)&lt;=AsOfDate,EDATE($D28,Milestones!$AA$123)&gt;=SchemeStart,IF($X28=0,$AD28,IF(AND($Z28&lt;&gt;"",EDATE($D28,Milestones!$AA$123)&gt;=$Z28),$AC28,IF(AND($Y28&lt;&gt;"",EDATE($D28,Milestones!$AA$123)&gt;=$Y28),$AB28,$AA28)))=Milestones!$AB$123),UPPER(TEXT(EDATE($D28,Milestones!$AA$123),"dd mmm yy"))&amp;" "&amp;Milestones!$AB$123&amp;" "&amp;IF(AND(Milestones!$AB$123="FT",Milestones!$AA$123=FT_Y5,EDATE($D28,Milestones!$AA$123)&lt;PolicyEff),1,Milestones!$AC$123)&amp;";  ","")&amp;IF(AND(EDATE($D28,Milestones!$AA$124)&lt;=AsOfDate,EDATE($D28,Milestones!$AA$124)&gt;=SchemeStart,IF($X28=0,$AD28,IF(AND($Z28&lt;&gt;"",EDATE($D28,Milestones!$AA$124)&gt;=$Z28),$AC28,IF(AND($Y28&lt;&gt;"",EDATE($D28,Milestones!$AA$124)&gt;=$Y28),$AB28,$AA28)))=Milestones!$AB$124),UPPER(TEXT(EDATE($D28,Milestones!$AA$124),"dd mmm yy"))&amp;" "&amp;Milestones!$AB$124&amp;" "&amp;IF(AND(Milestones!$AB$124="FT",Milestones!$AA$124=FT_Y5,EDATE($D28,Milestones!$AA$124)&lt;PolicyEff),1,Milestones!$AC$124)&amp;";  ","")&amp;IF(AND(EDATE($D28,Milestones!$AA$125)&lt;=AsOfDate,EDATE($D28,Milestones!$AA$125)&gt;=SchemeStart,IF($X28=0,$AD28,IF(AND($Z28&lt;&gt;"",EDATE($D28,Milestones!$AA$125)&gt;=$Z28),$AC28,IF(AND($Y28&lt;&gt;"",EDATE($D28,Milestones!$AA$125)&gt;=$Y28),$AB28,$AA28)))=Milestones!$AB$125),UPPER(TEXT(EDATE($D28,Milestones!$AA$125),"dd mmm yy"))&amp;" "&amp;Milestones!$AB$125&amp;" "&amp;IF(AND(Milestones!$AB$125="FT",Milestones!$AA$125=FT_Y5,EDATE($D28,Milestones!$AA$125)&lt;PolicyEff),1,Milestones!$AC$125)&amp;";  ","")&amp;IF(AND(EDATE($D28,Milestones!$AA$126)&lt;=AsOfDate,EDATE($D28,Milestones!$AA$126)&gt;=SchemeStart,IF($X28=0,$AD28,IF(AND($Z28&lt;&gt;"",EDATE($D28,Milestones!$AA$126)&gt;=$Z28),$AC28,IF(AND($Y28&lt;&gt;"",EDATE($D28,Milestones!$AA$126)&gt;=$Y28),$AB28,$AA28)))=Milestones!$AB$126),UPPER(TEXT(EDATE($D28,Milestones!$AA$126),"dd mmm yy"))&amp;" "&amp;Milestones!$AB$126&amp;" "&amp;IF(AND(Milestones!$AB$126="FT",Milestones!$AA$126=FT_Y5,EDATE($D28,Milestones!$AA$126)&lt;PolicyEff),1,Milestones!$AC$126)&amp;";  ","")&amp;IF(AND(EDATE($D28,Milestones!$AA$127)&lt;=AsOfDate,EDATE($D28,Milestones!$AA$127)&gt;=SchemeStart,IF($X28=0,$AD28,IF(AND($Z28&lt;&gt;"",EDATE($D28,Milestones!$AA$127)&gt;=$Z28),$AC28,IF(AND($Y28&lt;&gt;"",EDATE($D28,Milestones!$AA$127)&gt;=$Y28),$AB28,$AA28)))=Milestones!$AB$127),UPPER(TEXT(EDATE($D28,Milestones!$AA$127),"dd mmm yy"))&amp;" "&amp;Milestones!$AB$127&amp;" "&amp;IF(AND(Milestones!$AB$127="FT",Milestones!$AA$127=FT_Y5,EDATE($D28,Milestones!$AA$127)&lt;PolicyEff),1,Milestones!$AC$127)&amp;";  ",""))</f>
        <v/>
      </c>
      <c r="R28" s="0" t="str">
        <f aca="false">IF(OR($A28="",$D28=""),"",IF(AND(EDATE($D28,Milestones!$AA$128)&lt;=AsOfDate,EDATE($D28,Milestones!$AA$128)&gt;=SchemeStart,IF($X28=0,$AD28,IF(AND($Z28&lt;&gt;"",EDATE($D28,Milestones!$AA$128)&gt;=$Z28),$AC28,IF(AND($Y28&lt;&gt;"",EDATE($D28,Milestones!$AA$128)&gt;=$Y28),$AB28,$AA28)))=Milestones!$AB$128),UPPER(TEXT(EDATE($D28,Milestones!$AA$128),"dd mmm yy"))&amp;" "&amp;Milestones!$AB$128&amp;" "&amp;IF(AND(Milestones!$AB$128="FT",Milestones!$AA$128=FT_Y5,EDATE($D28,Milestones!$AA$128)&lt;PolicyEff),1,Milestones!$AC$128)&amp;";  ","")&amp;IF(AND(EDATE($D28,Milestones!$AA$129)&lt;=AsOfDate,EDATE($D28,Milestones!$AA$129)&gt;=SchemeStart,IF($X28=0,$AD28,IF(AND($Z28&lt;&gt;"",EDATE($D28,Milestones!$AA$129)&gt;=$Z28),$AC28,IF(AND($Y28&lt;&gt;"",EDATE($D28,Milestones!$AA$129)&gt;=$Y28),$AB28,$AA28)))=Milestones!$AB$129),UPPER(TEXT(EDATE($D28,Milestones!$AA$129),"dd mmm yy"))&amp;" "&amp;Milestones!$AB$129&amp;" "&amp;IF(AND(Milestones!$AB$129="FT",Milestones!$AA$129=FT_Y5,EDATE($D28,Milestones!$AA$129)&lt;PolicyEff),1,Milestones!$AC$129)&amp;";  ","")&amp;IF(AND(EDATE($D28,Milestones!$AA$130)&lt;=AsOfDate,EDATE($D28,Milestones!$AA$130)&gt;=SchemeStart,IF($X28=0,$AD28,IF(AND($Z28&lt;&gt;"",EDATE($D28,Milestones!$AA$130)&gt;=$Z28),$AC28,IF(AND($Y28&lt;&gt;"",EDATE($D28,Milestones!$AA$130)&gt;=$Y28),$AB28,$AA28)))=Milestones!$AB$130),UPPER(TEXT(EDATE($D28,Milestones!$AA$130),"dd mmm yy"))&amp;" "&amp;Milestones!$AB$130&amp;" "&amp;IF(AND(Milestones!$AB$130="FT",Milestones!$AA$130=FT_Y5,EDATE($D28,Milestones!$AA$130)&lt;PolicyEff),1,Milestones!$AC$130)&amp;";  ","")&amp;IF(AND(EDATE($D28,Milestones!$AA$131)&lt;=AsOfDate,EDATE($D28,Milestones!$AA$131)&gt;=SchemeStart,IF($X28=0,$AD28,IF(AND($Z28&lt;&gt;"",EDATE($D28,Milestones!$AA$131)&gt;=$Z28),$AC28,IF(AND($Y28&lt;&gt;"",EDATE($D28,Milestones!$AA$131)&gt;=$Y28),$AB28,$AA28)))=Milestones!$AB$131),UPPER(TEXT(EDATE($D28,Milestones!$AA$131),"dd mmm yy"))&amp;" "&amp;Milestones!$AB$131&amp;" "&amp;IF(AND(Milestones!$AB$131="FT",Milestones!$AA$131=FT_Y5,EDATE($D28,Milestones!$AA$131)&lt;PolicyEff),1,Milestones!$AC$131)&amp;";  ","")&amp;IF(AND(EDATE($D28,Milestones!$AA$132)&lt;=AsOfDate,EDATE($D28,Milestones!$AA$132)&gt;=SchemeStart,IF($X28=0,$AD28,IF(AND($Z28&lt;&gt;"",EDATE($D28,Milestones!$AA$132)&gt;=$Z28),$AC28,IF(AND($Y28&lt;&gt;"",EDATE($D28,Milestones!$AA$132)&gt;=$Y28),$AB28,$AA28)))=Milestones!$AB$132),UPPER(TEXT(EDATE($D28,Milestones!$AA$132),"dd mmm yy"))&amp;" "&amp;Milestones!$AB$132&amp;" "&amp;IF(AND(Milestones!$AB$132="FT",Milestones!$AA$132=FT_Y5,EDATE($D28,Milestones!$AA$132)&lt;PolicyEff),1,Milestones!$AC$132)&amp;";  ","")&amp;IF(AND(EDATE($D28,Milestones!$AA$133)&lt;=AsOfDate,EDATE($D28,Milestones!$AA$133)&gt;=SchemeStart,IF($X28=0,$AD28,IF(AND($Z28&lt;&gt;"",EDATE($D28,Milestones!$AA$133)&gt;=$Z28),$AC28,IF(AND($Y28&lt;&gt;"",EDATE($D28,Milestones!$AA$133)&gt;=$Y28),$AB28,$AA28)))=Milestones!$AB$133),UPPER(TEXT(EDATE($D28,Milestones!$AA$133),"dd mmm yy"))&amp;" "&amp;Milestones!$AB$133&amp;" "&amp;IF(AND(Milestones!$AB$133="FT",Milestones!$AA$133=FT_Y5,EDATE($D28,Milestones!$AA$133)&lt;PolicyEff),1,Milestones!$AC$133)&amp;";  ","")&amp;IF(AND(EDATE($D28,Milestones!$AA$134)&lt;=AsOfDate,EDATE($D28,Milestones!$AA$134)&gt;=SchemeStart,IF($X28=0,$AD28,IF(AND($Z28&lt;&gt;"",EDATE($D28,Milestones!$AA$134)&gt;=$Z28),$AC28,IF(AND($Y28&lt;&gt;"",EDATE($D28,Milestones!$AA$134)&gt;=$Y28),$AB28,$AA28)))=Milestones!$AB$134),UPPER(TEXT(EDATE($D28,Milestones!$AA$134),"dd mmm yy"))&amp;" "&amp;Milestones!$AB$134&amp;" "&amp;IF(AND(Milestones!$AB$134="FT",Milestones!$AA$134=FT_Y5,EDATE($D28,Milestones!$AA$134)&lt;PolicyEff),1,Milestones!$AC$134)&amp;";  ","")&amp;IF(AND(EDATE($D28,Milestones!$AA$135)&lt;=AsOfDate,EDATE($D28,Milestones!$AA$135)&gt;=SchemeStart,IF($X28=0,$AD28,IF(AND($Z28&lt;&gt;"",EDATE($D28,Milestones!$AA$135)&gt;=$Z28),$AC28,IF(AND($Y28&lt;&gt;"",EDATE($D28,Milestones!$AA$135)&gt;=$Y28),$AB28,$AA28)))=Milestones!$AB$135),UPPER(TEXT(EDATE($D28,Milestones!$AA$135),"dd mmm yy"))&amp;" "&amp;Milestones!$AB$135&amp;" "&amp;IF(AND(Milestones!$AB$135="FT",Milestones!$AA$135=FT_Y5,EDATE($D28,Milestones!$AA$135)&lt;PolicyEff),1,Milestones!$AC$135)&amp;";  ","")&amp;IF(AND(EDATE($D28,Milestones!$AA$136)&lt;=AsOfDate,EDATE($D28,Milestones!$AA$136)&gt;=SchemeStart,IF($X28=0,$AD28,IF(AND($Z28&lt;&gt;"",EDATE($D28,Milestones!$AA$136)&gt;=$Z28),$AC28,IF(AND($Y28&lt;&gt;"",EDATE($D28,Milestones!$AA$136)&gt;=$Y28),$AB28,$AA28)))=Milestones!$AB$136),UPPER(TEXT(EDATE($D28,Milestones!$AA$136),"dd mmm yy"))&amp;" "&amp;Milestones!$AB$136&amp;" "&amp;IF(AND(Milestones!$AB$136="FT",Milestones!$AA$136=FT_Y5,EDATE($D28,Milestones!$AA$136)&lt;PolicyEff),1,Milestones!$AC$136)&amp;";  ","")&amp;IF(AND(EDATE($D28,Milestones!$AA$137)&lt;=AsOfDate,EDATE($D28,Milestones!$AA$137)&gt;=SchemeStart,IF($X28=0,$AD28,IF(AND($Z28&lt;&gt;"",EDATE($D28,Milestones!$AA$137)&gt;=$Z28),$AC28,IF(AND($Y28&lt;&gt;"",EDATE($D28,Milestones!$AA$137)&gt;=$Y28),$AB28,$AA28)))=Milestones!$AB$137),UPPER(TEXT(EDATE($D28,Milestones!$AA$137),"dd mmm yy"))&amp;" "&amp;Milestones!$AB$137&amp;" "&amp;IF(AND(Milestones!$AB$137="FT",Milestones!$AA$137=FT_Y5,EDATE($D28,Milestones!$AA$137)&lt;PolicyEff),1,Milestones!$AC$137)&amp;";  ","")&amp;IF(AND(EDATE($D28,Milestones!$AA$138)&lt;=AsOfDate,EDATE($D28,Milestones!$AA$138)&gt;=SchemeStart,IF($X28=0,$AD28,IF(AND($Z28&lt;&gt;"",EDATE($D28,Milestones!$AA$138)&gt;=$Z28),$AC28,IF(AND($Y28&lt;&gt;"",EDATE($D28,Milestones!$AA$138)&gt;=$Y28),$AB28,$AA28)))=Milestones!$AB$138),UPPER(TEXT(EDATE($D28,Milestones!$AA$138),"dd mmm yy"))&amp;" "&amp;Milestones!$AB$138&amp;" "&amp;IF(AND(Milestones!$AB$138="FT",Milestones!$AA$138=FT_Y5,EDATE($D28,Milestones!$AA$138)&lt;PolicyEff),1,Milestones!$AC$138)&amp;";  ","")&amp;IF(AND(EDATE($D28,Milestones!$AA$139)&lt;=AsOfDate,EDATE($D28,Milestones!$AA$139)&gt;=SchemeStart,IF($X28=0,$AD28,IF(AND($Z28&lt;&gt;"",EDATE($D28,Milestones!$AA$139)&gt;=$Z28),$AC28,IF(AND($Y28&lt;&gt;"",EDATE($D28,Milestones!$AA$139)&gt;=$Y28),$AB28,$AA28)))=Milestones!$AB$139),UPPER(TEXT(EDATE($D28,Milestones!$AA$139),"dd mmm yy"))&amp;" "&amp;Milestones!$AB$139&amp;" "&amp;IF(AND(Milestones!$AB$139="FT",Milestones!$AA$139=FT_Y5,EDATE($D28,Milestones!$AA$139)&lt;PolicyEff),1,Milestones!$AC$139)&amp;";  ",""))</f>
        <v/>
      </c>
      <c r="S28" s="0" t="str">
        <f aca="false">IF(OR($A28="",$D28=""),"",IF(AND(EDATE($D28,Milestones!$AA$140)&lt;=AsOfDate,EDATE($D28,Milestones!$AA$140)&gt;=SchemeStart,IF($X28=0,$AD28,IF(AND($Z28&lt;&gt;"",EDATE($D28,Milestones!$AA$140)&gt;=$Z28),$AC28,IF(AND($Y28&lt;&gt;"",EDATE($D28,Milestones!$AA$140)&gt;=$Y28),$AB28,$AA28)))=Milestones!$AB$140),UPPER(TEXT(EDATE($D28,Milestones!$AA$140),"dd mmm yy"))&amp;" "&amp;Milestones!$AB$140&amp;" "&amp;IF(AND(Milestones!$AB$140="FT",Milestones!$AA$140=FT_Y5,EDATE($D28,Milestones!$AA$140)&lt;PolicyEff),1,Milestones!$AC$140)&amp;";  ","")&amp;IF(AND(EDATE($D28,Milestones!$AA$141)&lt;=AsOfDate,EDATE($D28,Milestones!$AA$141)&gt;=SchemeStart,IF($X28=0,$AD28,IF(AND($Z28&lt;&gt;"",EDATE($D28,Milestones!$AA$141)&gt;=$Z28),$AC28,IF(AND($Y28&lt;&gt;"",EDATE($D28,Milestones!$AA$141)&gt;=$Y28),$AB28,$AA28)))=Milestones!$AB$141),UPPER(TEXT(EDATE($D28,Milestones!$AA$141),"dd mmm yy"))&amp;" "&amp;Milestones!$AB$141&amp;" "&amp;IF(AND(Milestones!$AB$141="FT",Milestones!$AA$141=FT_Y5,EDATE($D28,Milestones!$AA$141)&lt;PolicyEff),1,Milestones!$AC$141)&amp;";  ","")&amp;IF(AND(EDATE($D28,Milestones!$AA$142)&lt;=AsOfDate,EDATE($D28,Milestones!$AA$142)&gt;=SchemeStart,IF($X28=0,$AD28,IF(AND($Z28&lt;&gt;"",EDATE($D28,Milestones!$AA$142)&gt;=$Z28),$AC28,IF(AND($Y28&lt;&gt;"",EDATE($D28,Milestones!$AA$142)&gt;=$Y28),$AB28,$AA28)))=Milestones!$AB$142),UPPER(TEXT(EDATE($D28,Milestones!$AA$142),"dd mmm yy"))&amp;" "&amp;Milestones!$AB$142&amp;" "&amp;IF(AND(Milestones!$AB$142="FT",Milestones!$AA$142=FT_Y5,EDATE($D28,Milestones!$AA$142)&lt;PolicyEff),1,Milestones!$AC$142)&amp;";  ","")&amp;IF(AND(EDATE($D28,Milestones!$AA$143)&lt;=AsOfDate,EDATE($D28,Milestones!$AA$143)&gt;=SchemeStart,IF($X28=0,$AD28,IF(AND($Z28&lt;&gt;"",EDATE($D28,Milestones!$AA$143)&gt;=$Z28),$AC28,IF(AND($Y28&lt;&gt;"",EDATE($D28,Milestones!$AA$143)&gt;=$Y28),$AB28,$AA28)))=Milestones!$AB$143),UPPER(TEXT(EDATE($D28,Milestones!$AA$143),"dd mmm yy"))&amp;" "&amp;Milestones!$AB$143&amp;" "&amp;IF(AND(Milestones!$AB$143="FT",Milestones!$AA$143=FT_Y5,EDATE($D28,Milestones!$AA$143)&lt;PolicyEff),1,Milestones!$AC$143)&amp;";  ","")&amp;IF(AND(EDATE($D28,Milestones!$AA$144)&lt;=AsOfDate,EDATE($D28,Milestones!$AA$144)&gt;=SchemeStart,IF($X28=0,$AD28,IF(AND($Z28&lt;&gt;"",EDATE($D28,Milestones!$AA$144)&gt;=$Z28),$AC28,IF(AND($Y28&lt;&gt;"",EDATE($D28,Milestones!$AA$144)&gt;=$Y28),$AB28,$AA28)))=Milestones!$AB$144),UPPER(TEXT(EDATE($D28,Milestones!$AA$144),"dd mmm yy"))&amp;" "&amp;Milestones!$AB$144&amp;" "&amp;IF(AND(Milestones!$AB$144="FT",Milestones!$AA$144=FT_Y5,EDATE($D28,Milestones!$AA$144)&lt;PolicyEff),1,Milestones!$AC$144)&amp;";  ","")&amp;IF(AND(EDATE($D28,Milestones!$AA$145)&lt;=AsOfDate,EDATE($D28,Milestones!$AA$145)&gt;=SchemeStart,IF($X28=0,$AD28,IF(AND($Z28&lt;&gt;"",EDATE($D28,Milestones!$AA$145)&gt;=$Z28),$AC28,IF(AND($Y28&lt;&gt;"",EDATE($D28,Milestones!$AA$145)&gt;=$Y28),$AB28,$AA28)))=Milestones!$AB$145),UPPER(TEXT(EDATE($D28,Milestones!$AA$145),"dd mmm yy"))&amp;" "&amp;Milestones!$AB$145&amp;" "&amp;IF(AND(Milestones!$AB$145="FT",Milestones!$AA$145=FT_Y5,EDATE($D28,Milestones!$AA$145)&lt;PolicyEff),1,Milestones!$AC$145)&amp;";  ","")&amp;IF(AND(EDATE($D28,Milestones!$AA$146)&lt;=AsOfDate,EDATE($D28,Milestones!$AA$146)&gt;=SchemeStart,IF($X28=0,$AD28,IF(AND($Z28&lt;&gt;"",EDATE($D28,Milestones!$AA$146)&gt;=$Z28),$AC28,IF(AND($Y28&lt;&gt;"",EDATE($D28,Milestones!$AA$146)&gt;=$Y28),$AB28,$AA28)))=Milestones!$AB$146),UPPER(TEXT(EDATE($D28,Milestones!$AA$146),"dd mmm yy"))&amp;" "&amp;Milestones!$AB$146&amp;" "&amp;IF(AND(Milestones!$AB$146="FT",Milestones!$AA$146=FT_Y5,EDATE($D28,Milestones!$AA$146)&lt;PolicyEff),1,Milestones!$AC$146)&amp;";  ","")&amp;IF(AND(EDATE($D28,Milestones!$AA$147)&lt;=AsOfDate,EDATE($D28,Milestones!$AA$147)&gt;=SchemeStart,IF($X28=0,$AD28,IF(AND($Z28&lt;&gt;"",EDATE($D28,Milestones!$AA$147)&gt;=$Z28),$AC28,IF(AND($Y28&lt;&gt;"",EDATE($D28,Milestones!$AA$147)&gt;=$Y28),$AB28,$AA28)))=Milestones!$AB$147),UPPER(TEXT(EDATE($D28,Milestones!$AA$147),"dd mmm yy"))&amp;" "&amp;Milestones!$AB$147&amp;" "&amp;IF(AND(Milestones!$AB$147="FT",Milestones!$AA$147=FT_Y5,EDATE($D28,Milestones!$AA$147)&lt;PolicyEff),1,Milestones!$AC$147)&amp;";  ","")&amp;IF(AND(EDATE($D28,Milestones!$AA$148)&lt;=AsOfDate,EDATE($D28,Milestones!$AA$148)&gt;=SchemeStart,IF($X28=0,$AD28,IF(AND($Z28&lt;&gt;"",EDATE($D28,Milestones!$AA$148)&gt;=$Z28),$AC28,IF(AND($Y28&lt;&gt;"",EDATE($D28,Milestones!$AA$148)&gt;=$Y28),$AB28,$AA28)))=Milestones!$AB$148),UPPER(TEXT(EDATE($D28,Milestones!$AA$148),"dd mmm yy"))&amp;" "&amp;Milestones!$AB$148&amp;" "&amp;IF(AND(Milestones!$AB$148="FT",Milestones!$AA$148=FT_Y5,EDATE($D28,Milestones!$AA$148)&lt;PolicyEff),1,Milestones!$AC$148)&amp;";  ","")&amp;IF(AND(EDATE($D28,Milestones!$AA$149)&lt;=AsOfDate,EDATE($D28,Milestones!$AA$149)&gt;=SchemeStart,IF($X28=0,$AD28,IF(AND($Z28&lt;&gt;"",EDATE($D28,Milestones!$AA$149)&gt;=$Z28),$AC28,IF(AND($Y28&lt;&gt;"",EDATE($D28,Milestones!$AA$149)&gt;=$Y28),$AB28,$AA28)))=Milestones!$AB$149),UPPER(TEXT(EDATE($D28,Milestones!$AA$149),"dd mmm yy"))&amp;" "&amp;Milestones!$AB$149&amp;" "&amp;IF(AND(Milestones!$AB$149="FT",Milestones!$AA$149=FT_Y5,EDATE($D28,Milestones!$AA$149)&lt;PolicyEff),1,Milestones!$AC$149)&amp;";  ","")&amp;IF(AND(EDATE($D28,Milestones!$AA$150)&lt;=AsOfDate,EDATE($D28,Milestones!$AA$150)&gt;=SchemeStart,IF($X28=0,$AD28,IF(AND($Z28&lt;&gt;"",EDATE($D28,Milestones!$AA$150)&gt;=$Z28),$AC28,IF(AND($Y28&lt;&gt;"",EDATE($D28,Milestones!$AA$150)&gt;=$Y28),$AB28,$AA28)))=Milestones!$AB$150),UPPER(TEXT(EDATE($D28,Milestones!$AA$150),"dd mmm yy"))&amp;" "&amp;Milestones!$AB$150&amp;" "&amp;IF(AND(Milestones!$AB$150="FT",Milestones!$AA$150=FT_Y5,EDATE($D28,Milestones!$AA$150)&lt;PolicyEff),1,Milestones!$AC$150)&amp;";  ","")&amp;IF(AND(EDATE($D28,Milestones!$AA$151)&lt;=AsOfDate,EDATE($D28,Milestones!$AA$151)&gt;=SchemeStart,IF($X28=0,$AD28,IF(AND($Z28&lt;&gt;"",EDATE($D28,Milestones!$AA$151)&gt;=$Z28),$AC28,IF(AND($Y28&lt;&gt;"",EDATE($D28,Milestones!$AA$151)&gt;=$Y28),$AB28,$AA28)))=Milestones!$AB$151),UPPER(TEXT(EDATE($D28,Milestones!$AA$151),"dd mmm yy"))&amp;" "&amp;Milestones!$AB$151&amp;" "&amp;IF(AND(Milestones!$AB$151="FT",Milestones!$AA$151=FT_Y5,EDATE($D28,Milestones!$AA$151)&lt;PolicyEff),1,Milestones!$AC$151)&amp;";  ",""))</f>
        <v/>
      </c>
      <c r="T28" s="0" t="str">
        <f aca="false">IF(OR($A28="",$D28=""),"",IF(AND(EDATE($D28,Milestones!$AA$152)&lt;=AsOfDate,EDATE($D28,Milestones!$AA$152)&gt;=SchemeStart,IF($X28=0,$AD28,IF(AND($Z28&lt;&gt;"",EDATE($D28,Milestones!$AA$152)&gt;=$Z28),$AC28,IF(AND($Y28&lt;&gt;"",EDATE($D28,Milestones!$AA$152)&gt;=$Y28),$AB28,$AA28)))=Milestones!$AB$152),UPPER(TEXT(EDATE($D28,Milestones!$AA$152),"dd mmm yy"))&amp;" "&amp;Milestones!$AB$152&amp;" "&amp;IF(AND(Milestones!$AB$152="FT",Milestones!$AA$152=FT_Y5,EDATE($D28,Milestones!$AA$152)&lt;PolicyEff),1,Milestones!$AC$152)&amp;";  ","")&amp;IF(AND(EDATE($D28,Milestones!$AA$153)&lt;=AsOfDate,EDATE($D28,Milestones!$AA$153)&gt;=SchemeStart,IF($X28=0,$AD28,IF(AND($Z28&lt;&gt;"",EDATE($D28,Milestones!$AA$153)&gt;=$Z28),$AC28,IF(AND($Y28&lt;&gt;"",EDATE($D28,Milestones!$AA$153)&gt;=$Y28),$AB28,$AA28)))=Milestones!$AB$153),UPPER(TEXT(EDATE($D28,Milestones!$AA$153),"dd mmm yy"))&amp;" "&amp;Milestones!$AB$153&amp;" "&amp;IF(AND(Milestones!$AB$153="FT",Milestones!$AA$153=FT_Y5,EDATE($D28,Milestones!$AA$153)&lt;PolicyEff),1,Milestones!$AC$153)&amp;";  ","")&amp;IF(AND(EDATE($D28,Milestones!$AA$154)&lt;=AsOfDate,EDATE($D28,Milestones!$AA$154)&gt;=SchemeStart,IF($X28=0,$AD28,IF(AND($Z28&lt;&gt;"",EDATE($D28,Milestones!$AA$154)&gt;=$Z28),$AC28,IF(AND($Y28&lt;&gt;"",EDATE($D28,Milestones!$AA$154)&gt;=$Y28),$AB28,$AA28)))=Milestones!$AB$154),UPPER(TEXT(EDATE($D28,Milestones!$AA$154),"dd mmm yy"))&amp;" "&amp;Milestones!$AB$154&amp;" "&amp;IF(AND(Milestones!$AB$154="FT",Milestones!$AA$154=FT_Y5,EDATE($D28,Milestones!$AA$154)&lt;PolicyEff),1,Milestones!$AC$154)&amp;";  ","")&amp;IF(AND(EDATE($D28,Milestones!$AA$155)&lt;=AsOfDate,EDATE($D28,Milestones!$AA$155)&gt;=SchemeStart,IF($X28=0,$AD28,IF(AND($Z28&lt;&gt;"",EDATE($D28,Milestones!$AA$155)&gt;=$Z28),$AC28,IF(AND($Y28&lt;&gt;"",EDATE($D28,Milestones!$AA$155)&gt;=$Y28),$AB28,$AA28)))=Milestones!$AB$155),UPPER(TEXT(EDATE($D28,Milestones!$AA$155),"dd mmm yy"))&amp;" "&amp;Milestones!$AB$155&amp;" "&amp;IF(AND(Milestones!$AB$155="FT",Milestones!$AA$155=FT_Y5,EDATE($D28,Milestones!$AA$155)&lt;PolicyEff),1,Milestones!$AC$155)&amp;";  ","")&amp;IF(AND(EDATE($D28,Milestones!$AA$156)&lt;=AsOfDate,EDATE($D28,Milestones!$AA$156)&gt;=SchemeStart,IF($X28=0,$AD28,IF(AND($Z28&lt;&gt;"",EDATE($D28,Milestones!$AA$156)&gt;=$Z28),$AC28,IF(AND($Y28&lt;&gt;"",EDATE($D28,Milestones!$AA$156)&gt;=$Y28),$AB28,$AA28)))=Milestones!$AB$156),UPPER(TEXT(EDATE($D28,Milestones!$AA$156),"dd mmm yy"))&amp;" "&amp;Milestones!$AB$156&amp;" "&amp;IF(AND(Milestones!$AB$156="FT",Milestones!$AA$156=FT_Y5,EDATE($D28,Milestones!$AA$156)&lt;PolicyEff),1,Milestones!$AC$156)&amp;";  ","")&amp;IF(AND(EDATE($D28,Milestones!$AA$157)&lt;=AsOfDate,EDATE($D28,Milestones!$AA$157)&gt;=SchemeStart,IF($X28=0,$AD28,IF(AND($Z28&lt;&gt;"",EDATE($D28,Milestones!$AA$157)&gt;=$Z28),$AC28,IF(AND($Y28&lt;&gt;"",EDATE($D28,Milestones!$AA$157)&gt;=$Y28),$AB28,$AA28)))=Milestones!$AB$157),UPPER(TEXT(EDATE($D28,Milestones!$AA$157),"dd mmm yy"))&amp;" "&amp;Milestones!$AB$157&amp;" "&amp;IF(AND(Milestones!$AB$157="FT",Milestones!$AA$157=FT_Y5,EDATE($D28,Milestones!$AA$157)&lt;PolicyEff),1,Milestones!$AC$157)&amp;";  ","")&amp;IF(AND(EDATE($D28,Milestones!$AA$158)&lt;=AsOfDate,EDATE($D28,Milestones!$AA$158)&gt;=SchemeStart,IF($X28=0,$AD28,IF(AND($Z28&lt;&gt;"",EDATE($D28,Milestones!$AA$158)&gt;=$Z28),$AC28,IF(AND($Y28&lt;&gt;"",EDATE($D28,Milestones!$AA$158)&gt;=$Y28),$AB28,$AA28)))=Milestones!$AB$158),UPPER(TEXT(EDATE($D28,Milestones!$AA$158),"dd mmm yy"))&amp;" "&amp;Milestones!$AB$158&amp;" "&amp;IF(AND(Milestones!$AB$158="FT",Milestones!$AA$158=FT_Y5,EDATE($D28,Milestones!$AA$158)&lt;PolicyEff),1,Milestones!$AC$158)&amp;";  ","")&amp;IF(AND(EDATE($D28,Milestones!$AA$159)&lt;=AsOfDate,EDATE($D28,Milestones!$AA$159)&gt;=SchemeStart,IF($X28=0,$AD28,IF(AND($Z28&lt;&gt;"",EDATE($D28,Milestones!$AA$159)&gt;=$Z28),$AC28,IF(AND($Y28&lt;&gt;"",EDATE($D28,Milestones!$AA$159)&gt;=$Y28),$AB28,$AA28)))=Milestones!$AB$159),UPPER(TEXT(EDATE($D28,Milestones!$AA$159),"dd mmm yy"))&amp;" "&amp;Milestones!$AB$159&amp;" "&amp;IF(AND(Milestones!$AB$159="FT",Milestones!$AA$159=FT_Y5,EDATE($D28,Milestones!$AA$159)&lt;PolicyEff),1,Milestones!$AC$159)&amp;";  ","")&amp;IF(AND(EDATE($D28,Milestones!$AA$160)&lt;=AsOfDate,EDATE($D28,Milestones!$AA$160)&gt;=SchemeStart,IF($X28=0,$AD28,IF(AND($Z28&lt;&gt;"",EDATE($D28,Milestones!$AA$160)&gt;=$Z28),$AC28,IF(AND($Y28&lt;&gt;"",EDATE($D28,Milestones!$AA$160)&gt;=$Y28),$AB28,$AA28)))=Milestones!$AB$160),UPPER(TEXT(EDATE($D28,Milestones!$AA$160),"dd mmm yy"))&amp;" "&amp;Milestones!$AB$160&amp;" "&amp;IF(AND(Milestones!$AB$160="FT",Milestones!$AA$160=FT_Y5,EDATE($D28,Milestones!$AA$160)&lt;PolicyEff),1,Milestones!$AC$160)&amp;";  ","")&amp;IF(AND(EDATE($D28,Milestones!$AA$161)&lt;=AsOfDate,EDATE($D28,Milestones!$AA$161)&gt;=SchemeStart,IF($X28=0,$AD28,IF(AND($Z28&lt;&gt;"",EDATE($D28,Milestones!$AA$161)&gt;=$Z28),$AC28,IF(AND($Y28&lt;&gt;"",EDATE($D28,Milestones!$AA$161)&gt;=$Y28),$AB28,$AA28)))=Milestones!$AB$161),UPPER(TEXT(EDATE($D28,Milestones!$AA$161),"dd mmm yy"))&amp;" "&amp;Milestones!$AB$161&amp;" "&amp;IF(AND(Milestones!$AB$161="FT",Milestones!$AA$161=FT_Y5,EDATE($D28,Milestones!$AA$161)&lt;PolicyEff),1,Milestones!$AC$161)&amp;";  ","")&amp;IF(AND(EDATE($D28,Milestones!$AA$162)&lt;=AsOfDate,EDATE($D28,Milestones!$AA$162)&gt;=SchemeStart,IF($X28=0,$AD28,IF(AND($Z28&lt;&gt;"",EDATE($D28,Milestones!$AA$162)&gt;=$Z28),$AC28,IF(AND($Y28&lt;&gt;"",EDATE($D28,Milestones!$AA$162)&gt;=$Y28),$AB28,$AA28)))=Milestones!$AB$162),UPPER(TEXT(EDATE($D28,Milestones!$AA$162),"dd mmm yy"))&amp;" "&amp;Milestones!$AB$162&amp;" "&amp;IF(AND(Milestones!$AB$162="FT",Milestones!$AA$162=FT_Y5,EDATE($D28,Milestones!$AA$162)&lt;PolicyEff),1,Milestones!$AC$162)&amp;";  ","")&amp;IF(AND(EDATE($D28,Milestones!$AA$163)&lt;=AsOfDate,EDATE($D28,Milestones!$AA$163)&gt;=SchemeStart,IF($X28=0,$AD28,IF(AND($Z28&lt;&gt;"",EDATE($D28,Milestones!$AA$163)&gt;=$Z28),$AC28,IF(AND($Y28&lt;&gt;"",EDATE($D28,Milestones!$AA$163)&gt;=$Y28),$AB28,$AA28)))=Milestones!$AB$163),UPPER(TEXT(EDATE($D28,Milestones!$AA$163),"dd mmm yy"))&amp;" "&amp;Milestones!$AB$163&amp;" "&amp;IF(AND(Milestones!$AB$163="FT",Milestones!$AA$163=FT_Y5,EDATE($D28,Milestones!$AA$163)&lt;PolicyEff),1,Milestones!$AC$163)&amp;";  ",""))</f>
        <v/>
      </c>
      <c r="U28" s="0" t="str">
        <f aca="false">IF(OR($A28="",$D28=""),"",IF(AND(EDATE($D28,Milestones!$AA$164)&lt;=AsOfDate,EDATE($D28,Milestones!$AA$164)&gt;=SchemeStart,IF($X28=0,$AD28,IF(AND($Z28&lt;&gt;"",EDATE($D28,Milestones!$AA$164)&gt;=$Z28),$AC28,IF(AND($Y28&lt;&gt;"",EDATE($D28,Milestones!$AA$164)&gt;=$Y28),$AB28,$AA28)))=Milestones!$AB$164),UPPER(TEXT(EDATE($D28,Milestones!$AA$164),"dd mmm yy"))&amp;" "&amp;Milestones!$AB$164&amp;" "&amp;IF(AND(Milestones!$AB$164="FT",Milestones!$AA$164=FT_Y5,EDATE($D28,Milestones!$AA$164)&lt;PolicyEff),1,Milestones!$AC$164)&amp;";  ","")&amp;IF(AND(EDATE($D28,Milestones!$AA$165)&lt;=AsOfDate,EDATE($D28,Milestones!$AA$165)&gt;=SchemeStart,IF($X28=0,$AD28,IF(AND($Z28&lt;&gt;"",EDATE($D28,Milestones!$AA$165)&gt;=$Z28),$AC28,IF(AND($Y28&lt;&gt;"",EDATE($D28,Milestones!$AA$165)&gt;=$Y28),$AB28,$AA28)))=Milestones!$AB$165),UPPER(TEXT(EDATE($D28,Milestones!$AA$165),"dd mmm yy"))&amp;" "&amp;Milestones!$AB$165&amp;" "&amp;IF(AND(Milestones!$AB$165="FT",Milestones!$AA$165=FT_Y5,EDATE($D28,Milestones!$AA$165)&lt;PolicyEff),1,Milestones!$AC$165)&amp;";  ","")&amp;IF(AND(EDATE($D28,Milestones!$AA$166)&lt;=AsOfDate,EDATE($D28,Milestones!$AA$166)&gt;=SchemeStart,IF($X28=0,$AD28,IF(AND($Z28&lt;&gt;"",EDATE($D28,Milestones!$AA$166)&gt;=$Z28),$AC28,IF(AND($Y28&lt;&gt;"",EDATE($D28,Milestones!$AA$166)&gt;=$Y28),$AB28,$AA28)))=Milestones!$AB$166),UPPER(TEXT(EDATE($D28,Milestones!$AA$166),"dd mmm yy"))&amp;" "&amp;Milestones!$AB$166&amp;" "&amp;IF(AND(Milestones!$AB$166="FT",Milestones!$AA$166=FT_Y5,EDATE($D28,Milestones!$AA$166)&lt;PolicyEff),1,Milestones!$AC$166)&amp;";  ","")&amp;IF(AND(EDATE($D28,Milestones!$AA$167)&lt;=AsOfDate,EDATE($D28,Milestones!$AA$167)&gt;=SchemeStart,IF($X28=0,$AD28,IF(AND($Z28&lt;&gt;"",EDATE($D28,Milestones!$AA$167)&gt;=$Z28),$AC28,IF(AND($Y28&lt;&gt;"",EDATE($D28,Milestones!$AA$167)&gt;=$Y28),$AB28,$AA28)))=Milestones!$AB$167),UPPER(TEXT(EDATE($D28,Milestones!$AA$167),"dd mmm yy"))&amp;" "&amp;Milestones!$AB$167&amp;" "&amp;IF(AND(Milestones!$AB$167="FT",Milestones!$AA$167=FT_Y5,EDATE($D28,Milestones!$AA$167)&lt;PolicyEff),1,Milestones!$AC$167)&amp;";  ","")&amp;IF(AND(EDATE($D28,Milestones!$AA$168)&lt;=AsOfDate,EDATE($D28,Milestones!$AA$168)&gt;=SchemeStart,IF($X28=0,$AD28,IF(AND($Z28&lt;&gt;"",EDATE($D28,Milestones!$AA$168)&gt;=$Z28),$AC28,IF(AND($Y28&lt;&gt;"",EDATE($D28,Milestones!$AA$168)&gt;=$Y28),$AB28,$AA28)))=Milestones!$AB$168),UPPER(TEXT(EDATE($D28,Milestones!$AA$168),"dd mmm yy"))&amp;" "&amp;Milestones!$AB$168&amp;" "&amp;IF(AND(Milestones!$AB$168="FT",Milestones!$AA$168=FT_Y5,EDATE($D28,Milestones!$AA$168)&lt;PolicyEff),1,Milestones!$AC$168)&amp;";  ","")&amp;IF(AND(EDATE($D28,Milestones!$AA$169)&lt;=AsOfDate,EDATE($D28,Milestones!$AA$169)&gt;=SchemeStart,IF($X28=0,$AD28,IF(AND($Z28&lt;&gt;"",EDATE($D28,Milestones!$AA$169)&gt;=$Z28),$AC28,IF(AND($Y28&lt;&gt;"",EDATE($D28,Milestones!$AA$169)&gt;=$Y28),$AB28,$AA28)))=Milestones!$AB$169),UPPER(TEXT(EDATE($D28,Milestones!$AA$169),"dd mmm yy"))&amp;" "&amp;Milestones!$AB$169&amp;" "&amp;IF(AND(Milestones!$AB$169="FT",Milestones!$AA$169=FT_Y5,EDATE($D28,Milestones!$AA$169)&lt;PolicyEff),1,Milestones!$AC$169)&amp;";  ","")&amp;IF(AND(EDATE($D28,Milestones!$AA$170)&lt;=AsOfDate,EDATE($D28,Milestones!$AA$170)&gt;=SchemeStart,IF($X28=0,$AD28,IF(AND($Z28&lt;&gt;"",EDATE($D28,Milestones!$AA$170)&gt;=$Z28),$AC28,IF(AND($Y28&lt;&gt;"",EDATE($D28,Milestones!$AA$170)&gt;=$Y28),$AB28,$AA28)))=Milestones!$AB$170),UPPER(TEXT(EDATE($D28,Milestones!$AA$170),"dd mmm yy"))&amp;" "&amp;Milestones!$AB$170&amp;" "&amp;IF(AND(Milestones!$AB$170="FT",Milestones!$AA$170=FT_Y5,EDATE($D28,Milestones!$AA$170)&lt;PolicyEff),1,Milestones!$AC$170)&amp;";  ","")&amp;IF(AND(EDATE($D28,Milestones!$AA$171)&lt;=AsOfDate,EDATE($D28,Milestones!$AA$171)&gt;=SchemeStart,IF($X28=0,$AD28,IF(AND($Z28&lt;&gt;"",EDATE($D28,Milestones!$AA$171)&gt;=$Z28),$AC28,IF(AND($Y28&lt;&gt;"",EDATE($D28,Milestones!$AA$171)&gt;=$Y28),$AB28,$AA28)))=Milestones!$AB$171),UPPER(TEXT(EDATE($D28,Milestones!$AA$171),"dd mmm yy"))&amp;" "&amp;Milestones!$AB$171&amp;" "&amp;IF(AND(Milestones!$AB$171="FT",Milestones!$AA$171=FT_Y5,EDATE($D28,Milestones!$AA$171)&lt;PolicyEff),1,Milestones!$AC$171)&amp;";  ","")&amp;IF(AND(EDATE($D28,Milestones!$AA$172)&lt;=AsOfDate,EDATE($D28,Milestones!$AA$172)&gt;=SchemeStart,IF($X28=0,$AD28,IF(AND($Z28&lt;&gt;"",EDATE($D28,Milestones!$AA$172)&gt;=$Z28),$AC28,IF(AND($Y28&lt;&gt;"",EDATE($D28,Milestones!$AA$172)&gt;=$Y28),$AB28,$AA28)))=Milestones!$AB$172),UPPER(TEXT(EDATE($D28,Milestones!$AA$172),"dd mmm yy"))&amp;" "&amp;Milestones!$AB$172&amp;" "&amp;IF(AND(Milestones!$AB$172="FT",Milestones!$AA$172=FT_Y5,EDATE($D28,Milestones!$AA$172)&lt;PolicyEff),1,Milestones!$AC$172)&amp;";  ","")&amp;IF(AND(EDATE($D28,Milestones!$AA$173)&lt;=AsOfDate,EDATE($D28,Milestones!$AA$173)&gt;=SchemeStart,IF($X28=0,$AD28,IF(AND($Z28&lt;&gt;"",EDATE($D28,Milestones!$AA$173)&gt;=$Z28),$AC28,IF(AND($Y28&lt;&gt;"",EDATE($D28,Milestones!$AA$173)&gt;=$Y28),$AB28,$AA28)))=Milestones!$AB$173),UPPER(TEXT(EDATE($D28,Milestones!$AA$173),"dd mmm yy"))&amp;" "&amp;Milestones!$AB$173&amp;" "&amp;IF(AND(Milestones!$AB$173="FT",Milestones!$AA$173=FT_Y5,EDATE($D28,Milestones!$AA$173)&lt;PolicyEff),1,Milestones!$AC$173)&amp;";  ","")&amp;IF(AND(EDATE($D28,Milestones!$AA$174)&lt;=AsOfDate,EDATE($D28,Milestones!$AA$174)&gt;=SchemeStart,IF($X28=0,$AD28,IF(AND($Z28&lt;&gt;"",EDATE($D28,Milestones!$AA$174)&gt;=$Z28),$AC28,IF(AND($Y28&lt;&gt;"",EDATE($D28,Milestones!$AA$174)&gt;=$Y28),$AB28,$AA28)))=Milestones!$AB$174),UPPER(TEXT(EDATE($D28,Milestones!$AA$174),"dd mmm yy"))&amp;" "&amp;Milestones!$AB$174&amp;" "&amp;IF(AND(Milestones!$AB$174="FT",Milestones!$AA$174=FT_Y5,EDATE($D28,Milestones!$AA$174)&lt;PolicyEff),1,Milestones!$AC$174)&amp;";  ","")&amp;IF(AND(EDATE($D28,Milestones!$AA$175)&lt;=AsOfDate,EDATE($D28,Milestones!$AA$175)&gt;=SchemeStart,IF($X28=0,$AD28,IF(AND($Z28&lt;&gt;"",EDATE($D28,Milestones!$AA$175)&gt;=$Z28),$AC28,IF(AND($Y28&lt;&gt;"",EDATE($D28,Milestones!$AA$175)&gt;=$Y28),$AB28,$AA28)))=Milestones!$AB$175),UPPER(TEXT(EDATE($D28,Milestones!$AA$175),"dd mmm yy"))&amp;" "&amp;Milestones!$AB$175&amp;" "&amp;IF(AND(Milestones!$AB$175="FT",Milestones!$AA$175=FT_Y5,EDATE($D28,Milestones!$AA$175)&lt;PolicyEff),1,Milestones!$AC$175)&amp;";  ",""))</f>
        <v/>
      </c>
      <c r="V28" s="0" t="str">
        <f aca="false">IF(OR($A28="",$D28=""),"",IF(AND(EDATE($D28,Milestones!$AA$176)&lt;=AsOfDate,EDATE($D28,Milestones!$AA$176)&gt;=SchemeStart,IF($X28=0,$AD28,IF(AND($Z28&lt;&gt;"",EDATE($D28,Milestones!$AA$176)&gt;=$Z28),$AC28,IF(AND($Y28&lt;&gt;"",EDATE($D28,Milestones!$AA$176)&gt;=$Y28),$AB28,$AA28)))=Milestones!$AB$176),UPPER(TEXT(EDATE($D28,Milestones!$AA$176),"dd mmm yy"))&amp;" "&amp;Milestones!$AB$176&amp;" "&amp;IF(AND(Milestones!$AB$176="FT",Milestones!$AA$176=FT_Y5,EDATE($D28,Milestones!$AA$176)&lt;PolicyEff),1,Milestones!$AC$176)&amp;";  ","")&amp;IF(AND(EDATE($D28,Milestones!$AA$177)&lt;=AsOfDate,EDATE($D28,Milestones!$AA$177)&gt;=SchemeStart,IF($X28=0,$AD28,IF(AND($Z28&lt;&gt;"",EDATE($D28,Milestones!$AA$177)&gt;=$Z28),$AC28,IF(AND($Y28&lt;&gt;"",EDATE($D28,Milestones!$AA$177)&gt;=$Y28),$AB28,$AA28)))=Milestones!$AB$177),UPPER(TEXT(EDATE($D28,Milestones!$AA$177),"dd mmm yy"))&amp;" "&amp;Milestones!$AB$177&amp;" "&amp;IF(AND(Milestones!$AB$177="FT",Milestones!$AA$177=FT_Y5,EDATE($D28,Milestones!$AA$177)&lt;PolicyEff),1,Milestones!$AC$177)&amp;";  ","")&amp;IF(AND(EDATE($D28,Milestones!$AA$178)&lt;=AsOfDate,EDATE($D28,Milestones!$AA$178)&gt;=SchemeStart,IF($X28=0,$AD28,IF(AND($Z28&lt;&gt;"",EDATE($D28,Milestones!$AA$178)&gt;=$Z28),$AC28,IF(AND($Y28&lt;&gt;"",EDATE($D28,Milestones!$AA$178)&gt;=$Y28),$AB28,$AA28)))=Milestones!$AB$178),UPPER(TEXT(EDATE($D28,Milestones!$AA$178),"dd mmm yy"))&amp;" "&amp;Milestones!$AB$178&amp;" "&amp;IF(AND(Milestones!$AB$178="FT",Milestones!$AA$178=FT_Y5,EDATE($D28,Milestones!$AA$178)&lt;PolicyEff),1,Milestones!$AC$178)&amp;";  ","")&amp;IF(AND(EDATE($D28,Milestones!$AA$179)&lt;=AsOfDate,EDATE($D28,Milestones!$AA$179)&gt;=SchemeStart,IF($X28=0,$AD28,IF(AND($Z28&lt;&gt;"",EDATE($D28,Milestones!$AA$179)&gt;=$Z28),$AC28,IF(AND($Y28&lt;&gt;"",EDATE($D28,Milestones!$AA$179)&gt;=$Y28),$AB28,$AA28)))=Milestones!$AB$179),UPPER(TEXT(EDATE($D28,Milestones!$AA$179),"dd mmm yy"))&amp;" "&amp;Milestones!$AB$179&amp;" "&amp;IF(AND(Milestones!$AB$179="FT",Milestones!$AA$179=FT_Y5,EDATE($D28,Milestones!$AA$179)&lt;PolicyEff),1,Milestones!$AC$179)&amp;";  ","")&amp;IF(AND(EDATE($D28,Milestones!$AA$180)&lt;=AsOfDate,EDATE($D28,Milestones!$AA$180)&gt;=SchemeStart,IF($X28=0,$AD28,IF(AND($Z28&lt;&gt;"",EDATE($D28,Milestones!$AA$180)&gt;=$Z28),$AC28,IF(AND($Y28&lt;&gt;"",EDATE($D28,Milestones!$AA$180)&gt;=$Y28),$AB28,$AA28)))=Milestones!$AB$180),UPPER(TEXT(EDATE($D28,Milestones!$AA$180),"dd mmm yy"))&amp;" "&amp;Milestones!$AB$180&amp;" "&amp;IF(AND(Milestones!$AB$180="FT",Milestones!$AA$180=FT_Y5,EDATE($D28,Milestones!$AA$180)&lt;PolicyEff),1,Milestones!$AC$180)&amp;";  ","")&amp;IF(AND(EDATE($D28,Milestones!$AA$181)&lt;=AsOfDate,EDATE($D28,Milestones!$AA$181)&gt;=SchemeStart,IF($X28=0,$AD28,IF(AND($Z28&lt;&gt;"",EDATE($D28,Milestones!$AA$181)&gt;=$Z28),$AC28,IF(AND($Y28&lt;&gt;"",EDATE($D28,Milestones!$AA$181)&gt;=$Y28),$AB28,$AA28)))=Milestones!$AB$181),UPPER(TEXT(EDATE($D28,Milestones!$AA$181),"dd mmm yy"))&amp;" "&amp;Milestones!$AB$181&amp;" "&amp;IF(AND(Milestones!$AB$181="FT",Milestones!$AA$181=FT_Y5,EDATE($D28,Milestones!$AA$181)&lt;PolicyEff),1,Milestones!$AC$181)&amp;";  ","")&amp;IF(AND(EDATE($D28,Milestones!$AA$182)&lt;=AsOfDate,EDATE($D28,Milestones!$AA$182)&gt;=SchemeStart,IF($X28=0,$AD28,IF(AND($Z28&lt;&gt;"",EDATE($D28,Milestones!$AA$182)&gt;=$Z28),$AC28,IF(AND($Y28&lt;&gt;"",EDATE($D28,Milestones!$AA$182)&gt;=$Y28),$AB28,$AA28)))=Milestones!$AB$182),UPPER(TEXT(EDATE($D28,Milestones!$AA$182),"dd mmm yy"))&amp;" "&amp;Milestones!$AB$182&amp;" "&amp;IF(AND(Milestones!$AB$182="FT",Milestones!$AA$182=FT_Y5,EDATE($D28,Milestones!$AA$182)&lt;PolicyEff),1,Milestones!$AC$182)&amp;";  ","")&amp;IF(AND(EDATE($D28,Milestones!$AA$183)&lt;=AsOfDate,EDATE($D28,Milestones!$AA$183)&gt;=SchemeStart,IF($X28=0,$AD28,IF(AND($Z28&lt;&gt;"",EDATE($D28,Milestones!$AA$183)&gt;=$Z28),$AC28,IF(AND($Y28&lt;&gt;"",EDATE($D28,Milestones!$AA$183)&gt;=$Y28),$AB28,$AA28)))=Milestones!$AB$183),UPPER(TEXT(EDATE($D28,Milestones!$AA$183),"dd mmm yy"))&amp;" "&amp;Milestones!$AB$183&amp;" "&amp;IF(AND(Milestones!$AB$183="FT",Milestones!$AA$183=FT_Y5,EDATE($D28,Milestones!$AA$183)&lt;PolicyEff),1,Milestones!$AC$183)&amp;";  ","")&amp;IF(AND(EDATE($D28,Milestones!$AA$184)&lt;=AsOfDate,EDATE($D28,Milestones!$AA$184)&gt;=SchemeStart,IF($X28=0,$AD28,IF(AND($Z28&lt;&gt;"",EDATE($D28,Milestones!$AA$184)&gt;=$Z28),$AC28,IF(AND($Y28&lt;&gt;"",EDATE($D28,Milestones!$AA$184)&gt;=$Y28),$AB28,$AA28)))=Milestones!$AB$184),UPPER(TEXT(EDATE($D28,Milestones!$AA$184),"dd mmm yy"))&amp;" "&amp;Milestones!$AB$184&amp;" "&amp;IF(AND(Milestones!$AB$184="FT",Milestones!$AA$184=FT_Y5,EDATE($D28,Milestones!$AA$184)&lt;PolicyEff),1,Milestones!$AC$184)&amp;";  ","")&amp;IF(AND(EDATE($D28,Milestones!$AA$185)&lt;=AsOfDate,EDATE($D28,Milestones!$AA$185)&gt;=SchemeStart,IF($X28=0,$AD28,IF(AND($Z28&lt;&gt;"",EDATE($D28,Milestones!$AA$185)&gt;=$Z28),$AC28,IF(AND($Y28&lt;&gt;"",EDATE($D28,Milestones!$AA$185)&gt;=$Y28),$AB28,$AA28)))=Milestones!$AB$185),UPPER(TEXT(EDATE($D28,Milestones!$AA$185),"dd mmm yy"))&amp;" "&amp;Milestones!$AB$185&amp;" "&amp;IF(AND(Milestones!$AB$185="FT",Milestones!$AA$185=FT_Y5,EDATE($D28,Milestones!$AA$185)&lt;PolicyEff),1,Milestones!$AC$185)&amp;";  ","")&amp;IF(AND(EDATE($D28,Milestones!$AA$186)&lt;=AsOfDate,EDATE($D28,Milestones!$AA$186)&gt;=SchemeStart,IF($X28=0,$AD28,IF(AND($Z28&lt;&gt;"",EDATE($D28,Milestones!$AA$186)&gt;=$Z28),$AC28,IF(AND($Y28&lt;&gt;"",EDATE($D28,Milestones!$AA$186)&gt;=$Y28),$AB28,$AA28)))=Milestones!$AB$186),UPPER(TEXT(EDATE($D28,Milestones!$AA$186),"dd mmm yy"))&amp;" "&amp;Milestones!$AB$186&amp;" "&amp;IF(AND(Milestones!$AB$186="FT",Milestones!$AA$186=FT_Y5,EDATE($D28,Milestones!$AA$186)&lt;PolicyEff),1,Milestones!$AC$186)&amp;";  ","")&amp;IF(AND(EDATE($D28,Milestones!$AA$187)&lt;=AsOfDate,EDATE($D28,Milestones!$AA$187)&gt;=SchemeStart,IF($X28=0,$AD28,IF(AND($Z28&lt;&gt;"",EDATE($D28,Milestones!$AA$187)&gt;=$Z28),$AC28,IF(AND($Y28&lt;&gt;"",EDATE($D28,Milestones!$AA$187)&gt;=$Y28),$AB28,$AA28)))=Milestones!$AB$187),UPPER(TEXT(EDATE($D28,Milestones!$AA$187),"dd mmm yy"))&amp;" "&amp;Milestones!$AB$187&amp;" "&amp;IF(AND(Milestones!$AB$187="FT",Milestones!$AA$187=FT_Y5,EDATE($D28,Milestones!$AA$187)&lt;PolicyEff),1,Milestones!$AC$187)&amp;";  ",""))</f>
        <v/>
      </c>
      <c r="W28" s="0" t="str">
        <f aca="false">IF(OR($A28="",$D28=""),"",IF(AND(EDATE($D28,Milestones!$AA$188)&lt;=AsOfDate,EDATE($D28,Milestones!$AA$188)&gt;=SchemeStart,IF($X28=0,$AD28,IF(AND($Z28&lt;&gt;"",EDATE($D28,Milestones!$AA$188)&gt;=$Z28),$AC28,IF(AND($Y28&lt;&gt;"",EDATE($D28,Milestones!$AA$188)&gt;=$Y28),$AB28,$AA28)))=Milestones!$AB$188),UPPER(TEXT(EDATE($D28,Milestones!$AA$188),"dd mmm yy"))&amp;" "&amp;Milestones!$AB$188&amp;" "&amp;IF(AND(Milestones!$AB$188="FT",Milestones!$AA$188=FT_Y5,EDATE($D28,Milestones!$AA$188)&lt;PolicyEff),1,Milestones!$AC$188)&amp;";  ","")&amp;IF(AND(EDATE($D28,Milestones!$AA$189)&lt;=AsOfDate,EDATE($D28,Milestones!$AA$189)&gt;=SchemeStart,IF($X28=0,$AD28,IF(AND($Z28&lt;&gt;"",EDATE($D28,Milestones!$AA$189)&gt;=$Z28),$AC28,IF(AND($Y28&lt;&gt;"",EDATE($D28,Milestones!$AA$189)&gt;=$Y28),$AB28,$AA28)))=Milestones!$AB$189),UPPER(TEXT(EDATE($D28,Milestones!$AA$189),"dd mmm yy"))&amp;" "&amp;Milestones!$AB$189&amp;" "&amp;IF(AND(Milestones!$AB$189="FT",Milestones!$AA$189=FT_Y5,EDATE($D28,Milestones!$AA$189)&lt;PolicyEff),1,Milestones!$AC$189)&amp;";  ","")&amp;IF(AND(EDATE($D28,Milestones!$AA$190)&lt;=AsOfDate,EDATE($D28,Milestones!$AA$190)&gt;=SchemeStart,IF($X28=0,$AD28,IF(AND($Z28&lt;&gt;"",EDATE($D28,Milestones!$AA$190)&gt;=$Z28),$AC28,IF(AND($Y28&lt;&gt;"",EDATE($D28,Milestones!$AA$190)&gt;=$Y28),$AB28,$AA28)))=Milestones!$AB$190),UPPER(TEXT(EDATE($D28,Milestones!$AA$190),"dd mmm yy"))&amp;" "&amp;Milestones!$AB$190&amp;" "&amp;IF(AND(Milestones!$AB$190="FT",Milestones!$AA$190=FT_Y5,EDATE($D28,Milestones!$AA$190)&lt;PolicyEff),1,Milestones!$AC$190)&amp;";  ","")&amp;IF(AND(EDATE($D28,Milestones!$AA$191)&lt;=AsOfDate,EDATE($D28,Milestones!$AA$191)&gt;=SchemeStart,IF($X28=0,$AD28,IF(AND($Z28&lt;&gt;"",EDATE($D28,Milestones!$AA$191)&gt;=$Z28),$AC28,IF(AND($Y28&lt;&gt;"",EDATE($D28,Milestones!$AA$191)&gt;=$Y28),$AB28,$AA28)))=Milestones!$AB$191),UPPER(TEXT(EDATE($D28,Milestones!$AA$191),"dd mmm yy"))&amp;" "&amp;Milestones!$AB$191&amp;" "&amp;IF(AND(Milestones!$AB$191="FT",Milestones!$AA$191=FT_Y5,EDATE($D28,Milestones!$AA$191)&lt;PolicyEff),1,Milestones!$AC$191)&amp;";  ","")&amp;IF(AND(EDATE($D28,Milestones!$AA$192)&lt;=AsOfDate,EDATE($D28,Milestones!$AA$192)&gt;=SchemeStart,IF($X28=0,$AD28,IF(AND($Z28&lt;&gt;"",EDATE($D28,Milestones!$AA$192)&gt;=$Z28),$AC28,IF(AND($Y28&lt;&gt;"",EDATE($D28,Milestones!$AA$192)&gt;=$Y28),$AB28,$AA28)))=Milestones!$AB$192),UPPER(TEXT(EDATE($D28,Milestones!$AA$192),"dd mmm yy"))&amp;" "&amp;Milestones!$AB$192&amp;" "&amp;IF(AND(Milestones!$AB$192="FT",Milestones!$AA$192=FT_Y5,EDATE($D28,Milestones!$AA$192)&lt;PolicyEff),1,Milestones!$AC$192)&amp;";  ","")&amp;IF(AND(EDATE($D28,Milestones!$AA$193)&lt;=AsOfDate,EDATE($D28,Milestones!$AA$193)&gt;=SchemeStart,IF($X28=0,$AD28,IF(AND($Z28&lt;&gt;"",EDATE($D28,Milestones!$AA$193)&gt;=$Z28),$AC28,IF(AND($Y28&lt;&gt;"",EDATE($D28,Milestones!$AA$193)&gt;=$Y28),$AB28,$AA28)))=Milestones!$AB$193),UPPER(TEXT(EDATE($D28,Milestones!$AA$193),"dd mmm yy"))&amp;" "&amp;Milestones!$AB$193&amp;" "&amp;IF(AND(Milestones!$AB$193="FT",Milestones!$AA$193=FT_Y5,EDATE($D28,Milestones!$AA$193)&lt;PolicyEff),1,Milestones!$AC$193)&amp;";  ","")&amp;IF(AND(EDATE($D28,Milestones!$AA$194)&lt;=AsOfDate,EDATE($D28,Milestones!$AA$194)&gt;=SchemeStart,IF($X28=0,$AD28,IF(AND($Z28&lt;&gt;"",EDATE($D28,Milestones!$AA$194)&gt;=$Z28),$AC28,IF(AND($Y28&lt;&gt;"",EDATE($D28,Milestones!$AA$194)&gt;=$Y28),$AB28,$AA28)))=Milestones!$AB$194),UPPER(TEXT(EDATE($D28,Milestones!$AA$194),"dd mmm yy"))&amp;" "&amp;Milestones!$AB$194&amp;" "&amp;IF(AND(Milestones!$AB$194="FT",Milestones!$AA$194=FT_Y5,EDATE($D28,Milestones!$AA$194)&lt;PolicyEff),1,Milestones!$AC$194)&amp;";  ","")&amp;IF(AND(EDATE($D28,Milestones!$AA$195)&lt;=AsOfDate,EDATE($D28,Milestones!$AA$195)&gt;=SchemeStart,IF($X28=0,$AD28,IF(AND($Z28&lt;&gt;"",EDATE($D28,Milestones!$AA$195)&gt;=$Z28),$AC28,IF(AND($Y28&lt;&gt;"",EDATE($D28,Milestones!$AA$195)&gt;=$Y28),$AB28,$AA28)))=Milestones!$AB$195),UPPER(TEXT(EDATE($D28,Milestones!$AA$195),"dd mmm yy"))&amp;" "&amp;Milestones!$AB$195&amp;" "&amp;IF(AND(Milestones!$AB$195="FT",Milestones!$AA$195=FT_Y5,EDATE($D28,Milestones!$AA$195)&lt;PolicyEff),1,Milestones!$AC$195)&amp;";  ","")&amp;IF(AND(EDATE($D28,Milestones!$AA$196)&lt;=AsOfDate,EDATE($D28,Milestones!$AA$196)&gt;=SchemeStart,IF($X28=0,$AD28,IF(AND($Z28&lt;&gt;"",EDATE($D28,Milestones!$AA$196)&gt;=$Z28),$AC28,IF(AND($Y28&lt;&gt;"",EDATE($D28,Milestones!$AA$196)&gt;=$Y28),$AB28,$AA28)))=Milestones!$AB$196),UPPER(TEXT(EDATE($D28,Milestones!$AA$196),"dd mmm yy"))&amp;" "&amp;Milestones!$AB$196&amp;" "&amp;IF(AND(Milestones!$AB$196="FT",Milestones!$AA$196=FT_Y5,EDATE($D28,Milestones!$AA$196)&lt;PolicyEff),1,Milestones!$AC$196)&amp;";  ","")&amp;IF(AND(EDATE($D28,Milestones!$AA$197)&lt;=AsOfDate,EDATE($D28,Milestones!$AA$197)&gt;=SchemeStart,IF($X28=0,$AD28,IF(AND($Z28&lt;&gt;"",EDATE($D28,Milestones!$AA$197)&gt;=$Z28),$AC28,IF(AND($Y28&lt;&gt;"",EDATE($D28,Milestones!$AA$197)&gt;=$Y28),$AB28,$AA28)))=Milestones!$AB$197),UPPER(TEXT(EDATE($D28,Milestones!$AA$197),"dd mmm yy"))&amp;" "&amp;Milestones!$AB$197&amp;" "&amp;IF(AND(Milestones!$AB$197="FT",Milestones!$AA$197=FT_Y5,EDATE($D28,Milestones!$AA$197)&lt;PolicyEff),1,Milestones!$AC$197)&amp;";  ","")&amp;IF(AND(EDATE($D28,Milestones!$AA$198)&lt;=AsOfDate,EDATE($D28,Milestones!$AA$198)&gt;=SchemeStart,IF($X28=0,$AD28,IF(AND($Z28&lt;&gt;"",EDATE($D28,Milestones!$AA$198)&gt;=$Z28),$AC28,IF(AND($Y28&lt;&gt;"",EDATE($D28,Milestones!$AA$198)&gt;=$Y28),$AB28,$AA28)))=Milestones!$AB$198),UPPER(TEXT(EDATE($D28,Milestones!$AA$198),"dd mmm yy"))&amp;" "&amp;Milestones!$AB$198&amp;" "&amp;IF(AND(Milestones!$AB$198="FT",Milestones!$AA$198=FT_Y5,EDATE($D28,Milestones!$AA$198)&lt;PolicyEff),1,Milestones!$AC$198)&amp;";  ","")&amp;IF(AND(EDATE($D28,Milestones!$AA$199)&lt;=AsOfDate,EDATE($D28,Milestones!$AA$199)&gt;=SchemeStart,IF($X28=0,$AD28,IF(AND($Z28&lt;&gt;"",EDATE($D28,Milestones!$AA$199)&gt;=$Z28),$AC28,IF(AND($Y28&lt;&gt;"",EDATE($D28,Milestones!$AA$199)&gt;=$Y28),$AB28,$AA28)))=Milestones!$AB$199),UPPER(TEXT(EDATE($D28,Milestones!$AA$199),"dd mmm yy"))&amp;" "&amp;Milestones!$AB$199&amp;" "&amp;IF(AND(Milestones!$AB$199="FT",Milestones!$AA$199=FT_Y5,EDATE($D28,Milestones!$AA$199)&lt;PolicyEff),1,Milestones!$AC$199)&amp;";  ",""))</f>
        <v/>
      </c>
      <c r="X28" s="0" t="str">
        <f aca="false">IF(Staff!$A28="","",Staff!$AM28)</f>
        <v/>
      </c>
      <c r="Y28" s="0" t="str">
        <f aca="false">IF(Staff!$A28="","",Staff!$AO28)</f>
        <v/>
      </c>
      <c r="Z28" s="0" t="str">
        <f aca="false">IF(Staff!$A28="","",Staff!$AP28)</f>
        <v/>
      </c>
      <c r="AA28" s="0" t="str">
        <f aca="false">IF(Staff!$A28="","",Staff!$AT28)</f>
        <v/>
      </c>
      <c r="AB28" s="0" t="str">
        <f aca="false">IF(Staff!$A28="","",Staff!$AU28)</f>
        <v/>
      </c>
      <c r="AC28" s="0" t="str">
        <f aca="false">IF(Staff!$A28="","",Staff!$AV28)</f>
        <v/>
      </c>
      <c r="AD28" s="0" t="str">
        <f aca="false">IF(Staff!$A28="","",Staff!$AW28)</f>
        <v/>
      </c>
    </row>
    <row r="29" customFormat="false" ht="15" hidden="false" customHeight="false" outlineLevel="0" collapsed="false">
      <c r="A29" s="16" t="str">
        <f aca="false">IF(Staff!$A29="","",Staff!$A29)</f>
        <v/>
      </c>
      <c r="B29" s="16" t="str">
        <f aca="false">IF(Staff!$A29="","",Staff!$B29)</f>
        <v/>
      </c>
      <c r="C29" s="16" t="str">
        <f aca="false">IF(Staff!$A29="","",Staff!$C29)</f>
        <v/>
      </c>
      <c r="D29" s="14" t="str">
        <f aca="false">IF(Staff!$A29="","",Staff!$AL29)</f>
        <v/>
      </c>
      <c r="E29" s="16" t="str">
        <f aca="false">IF(Staff!$A29="","",Staff!$O29)</f>
        <v/>
      </c>
      <c r="F29" s="16" t="str">
        <f aca="false">IF(E29="","",E29*HoursPerDay)</f>
        <v/>
      </c>
      <c r="G29" s="16" t="str">
        <f aca="false">IF(Staff!$A29="","",Staff!$AE29)</f>
        <v/>
      </c>
      <c r="H29" s="28" t="str">
        <f aca="false">IF($A29="","",I29&amp;J29&amp;K29&amp;L29&amp;M29&amp;N29&amp;O29&amp;P29&amp;Q29&amp;R29&amp;S29&amp;T29&amp;U29&amp;V29&amp;W29)</f>
        <v/>
      </c>
      <c r="I29" s="0" t="str">
        <f aca="false">IF(OR($A29="",$D29=""),"",IF(AND(EDATE($D29,Milestones!$AA$20)&lt;=AsOfDate,EDATE($D29,Milestones!$AA$20)&gt;=SchemeStart,IF($X29=0,$AD29,IF(AND($Z29&lt;&gt;"",EDATE($D29,Milestones!$AA$20)&gt;=$Z29),$AC29,IF(AND($Y29&lt;&gt;"",EDATE($D29,Milestones!$AA$20)&gt;=$Y29),$AB29,$AA29)))=Milestones!$AB$20),UPPER(TEXT(EDATE($D29,Milestones!$AA$20),"dd mmm yy"))&amp;" "&amp;Milestones!$AB$20&amp;" "&amp;IF(AND(Milestones!$AB$20="FT",Milestones!$AA$20=FT_Y5,EDATE($D29,Milestones!$AA$20)&lt;PolicyEff),1,Milestones!$AC$20)&amp;";  ","")&amp;IF(AND(EDATE($D29,Milestones!$AA$21)&lt;=AsOfDate,EDATE($D29,Milestones!$AA$21)&gt;=SchemeStart,IF($X29=0,$AD29,IF(AND($Z29&lt;&gt;"",EDATE($D29,Milestones!$AA$21)&gt;=$Z29),$AC29,IF(AND($Y29&lt;&gt;"",EDATE($D29,Milestones!$AA$21)&gt;=$Y29),$AB29,$AA29)))=Milestones!$AB$21),UPPER(TEXT(EDATE($D29,Milestones!$AA$21),"dd mmm yy"))&amp;" "&amp;Milestones!$AB$21&amp;" "&amp;IF(AND(Milestones!$AB$21="FT",Milestones!$AA$21=FT_Y5,EDATE($D29,Milestones!$AA$21)&lt;PolicyEff),1,Milestones!$AC$21)&amp;";  ","")&amp;IF(AND(EDATE($D29,Milestones!$AA$22)&lt;=AsOfDate,EDATE($D29,Milestones!$AA$22)&gt;=SchemeStart,IF($X29=0,$AD29,IF(AND($Z29&lt;&gt;"",EDATE($D29,Milestones!$AA$22)&gt;=$Z29),$AC29,IF(AND($Y29&lt;&gt;"",EDATE($D29,Milestones!$AA$22)&gt;=$Y29),$AB29,$AA29)))=Milestones!$AB$22),UPPER(TEXT(EDATE($D29,Milestones!$AA$22),"dd mmm yy"))&amp;" "&amp;Milestones!$AB$22&amp;" "&amp;IF(AND(Milestones!$AB$22="FT",Milestones!$AA$22=FT_Y5,EDATE($D29,Milestones!$AA$22)&lt;PolicyEff),1,Milestones!$AC$22)&amp;";  ","")&amp;IF(AND(EDATE($D29,Milestones!$AA$23)&lt;=AsOfDate,EDATE($D29,Milestones!$AA$23)&gt;=SchemeStart,IF($X29=0,$AD29,IF(AND($Z29&lt;&gt;"",EDATE($D29,Milestones!$AA$23)&gt;=$Z29),$AC29,IF(AND($Y29&lt;&gt;"",EDATE($D29,Milestones!$AA$23)&gt;=$Y29),$AB29,$AA29)))=Milestones!$AB$23),UPPER(TEXT(EDATE($D29,Milestones!$AA$23),"dd mmm yy"))&amp;" "&amp;Milestones!$AB$23&amp;" "&amp;IF(AND(Milestones!$AB$23="FT",Milestones!$AA$23=FT_Y5,EDATE($D29,Milestones!$AA$23)&lt;PolicyEff),1,Milestones!$AC$23)&amp;";  ","")&amp;IF(AND(EDATE($D29,Milestones!$AA$24)&lt;=AsOfDate,EDATE($D29,Milestones!$AA$24)&gt;=SchemeStart,IF($X29=0,$AD29,IF(AND($Z29&lt;&gt;"",EDATE($D29,Milestones!$AA$24)&gt;=$Z29),$AC29,IF(AND($Y29&lt;&gt;"",EDATE($D29,Milestones!$AA$24)&gt;=$Y29),$AB29,$AA29)))=Milestones!$AB$24),UPPER(TEXT(EDATE($D29,Milestones!$AA$24),"dd mmm yy"))&amp;" "&amp;Milestones!$AB$24&amp;" "&amp;IF(AND(Milestones!$AB$24="FT",Milestones!$AA$24=FT_Y5,EDATE($D29,Milestones!$AA$24)&lt;PolicyEff),1,Milestones!$AC$24)&amp;";  ","")&amp;IF(AND(EDATE($D29,Milestones!$AA$25)&lt;=AsOfDate,EDATE($D29,Milestones!$AA$25)&gt;=SchemeStart,IF($X29=0,$AD29,IF(AND($Z29&lt;&gt;"",EDATE($D29,Milestones!$AA$25)&gt;=$Z29),$AC29,IF(AND($Y29&lt;&gt;"",EDATE($D29,Milestones!$AA$25)&gt;=$Y29),$AB29,$AA29)))=Milestones!$AB$25),UPPER(TEXT(EDATE($D29,Milestones!$AA$25),"dd mmm yy"))&amp;" "&amp;Milestones!$AB$25&amp;" "&amp;IF(AND(Milestones!$AB$25="FT",Milestones!$AA$25=FT_Y5,EDATE($D29,Milestones!$AA$25)&lt;PolicyEff),1,Milestones!$AC$25)&amp;";  ","")&amp;IF(AND(EDATE($D29,Milestones!$AA$26)&lt;=AsOfDate,EDATE($D29,Milestones!$AA$26)&gt;=SchemeStart,IF($X29=0,$AD29,IF(AND($Z29&lt;&gt;"",EDATE($D29,Milestones!$AA$26)&gt;=$Z29),$AC29,IF(AND($Y29&lt;&gt;"",EDATE($D29,Milestones!$AA$26)&gt;=$Y29),$AB29,$AA29)))=Milestones!$AB$26),UPPER(TEXT(EDATE($D29,Milestones!$AA$26),"dd mmm yy"))&amp;" "&amp;Milestones!$AB$26&amp;" "&amp;IF(AND(Milestones!$AB$26="FT",Milestones!$AA$26=FT_Y5,EDATE($D29,Milestones!$AA$26)&lt;PolicyEff),1,Milestones!$AC$26)&amp;";  ","")&amp;IF(AND(EDATE($D29,Milestones!$AA$27)&lt;=AsOfDate,EDATE($D29,Milestones!$AA$27)&gt;=SchemeStart,IF($X29=0,$AD29,IF(AND($Z29&lt;&gt;"",EDATE($D29,Milestones!$AA$27)&gt;=$Z29),$AC29,IF(AND($Y29&lt;&gt;"",EDATE($D29,Milestones!$AA$27)&gt;=$Y29),$AB29,$AA29)))=Milestones!$AB$27),UPPER(TEXT(EDATE($D29,Milestones!$AA$27),"dd mmm yy"))&amp;" "&amp;Milestones!$AB$27&amp;" "&amp;IF(AND(Milestones!$AB$27="FT",Milestones!$AA$27=FT_Y5,EDATE($D29,Milestones!$AA$27)&lt;PolicyEff),1,Milestones!$AC$27)&amp;";  ","")&amp;IF(AND(EDATE($D29,Milestones!$AA$28)&lt;=AsOfDate,EDATE($D29,Milestones!$AA$28)&gt;=SchemeStart,IF($X29=0,$AD29,IF(AND($Z29&lt;&gt;"",EDATE($D29,Milestones!$AA$28)&gt;=$Z29),$AC29,IF(AND($Y29&lt;&gt;"",EDATE($D29,Milestones!$AA$28)&gt;=$Y29),$AB29,$AA29)))=Milestones!$AB$28),UPPER(TEXT(EDATE($D29,Milestones!$AA$28),"dd mmm yy"))&amp;" "&amp;Milestones!$AB$28&amp;" "&amp;IF(AND(Milestones!$AB$28="FT",Milestones!$AA$28=FT_Y5,EDATE($D29,Milestones!$AA$28)&lt;PolicyEff),1,Milestones!$AC$28)&amp;";  ","")&amp;IF(AND(EDATE($D29,Milestones!$AA$29)&lt;=AsOfDate,EDATE($D29,Milestones!$AA$29)&gt;=SchemeStart,IF($X29=0,$AD29,IF(AND($Z29&lt;&gt;"",EDATE($D29,Milestones!$AA$29)&gt;=$Z29),$AC29,IF(AND($Y29&lt;&gt;"",EDATE($D29,Milestones!$AA$29)&gt;=$Y29),$AB29,$AA29)))=Milestones!$AB$29),UPPER(TEXT(EDATE($D29,Milestones!$AA$29),"dd mmm yy"))&amp;" "&amp;Milestones!$AB$29&amp;" "&amp;IF(AND(Milestones!$AB$29="FT",Milestones!$AA$29=FT_Y5,EDATE($D29,Milestones!$AA$29)&lt;PolicyEff),1,Milestones!$AC$29)&amp;";  ","")&amp;IF(AND(EDATE($D29,Milestones!$AA$30)&lt;=AsOfDate,EDATE($D29,Milestones!$AA$30)&gt;=SchemeStart,IF($X29=0,$AD29,IF(AND($Z29&lt;&gt;"",EDATE($D29,Milestones!$AA$30)&gt;=$Z29),$AC29,IF(AND($Y29&lt;&gt;"",EDATE($D29,Milestones!$AA$30)&gt;=$Y29),$AB29,$AA29)))=Milestones!$AB$30),UPPER(TEXT(EDATE($D29,Milestones!$AA$30),"dd mmm yy"))&amp;" "&amp;Milestones!$AB$30&amp;" "&amp;IF(AND(Milestones!$AB$30="FT",Milestones!$AA$30=FT_Y5,EDATE($D29,Milestones!$AA$30)&lt;PolicyEff),1,Milestones!$AC$30)&amp;";  ","")&amp;IF(AND(EDATE($D29,Milestones!$AA$31)&lt;=AsOfDate,EDATE($D29,Milestones!$AA$31)&gt;=SchemeStart,IF($X29=0,$AD29,IF(AND($Z29&lt;&gt;"",EDATE($D29,Milestones!$AA$31)&gt;=$Z29),$AC29,IF(AND($Y29&lt;&gt;"",EDATE($D29,Milestones!$AA$31)&gt;=$Y29),$AB29,$AA29)))=Milestones!$AB$31),UPPER(TEXT(EDATE($D29,Milestones!$AA$31),"dd mmm yy"))&amp;" "&amp;Milestones!$AB$31&amp;" "&amp;IF(AND(Milestones!$AB$31="FT",Milestones!$AA$31=FT_Y5,EDATE($D29,Milestones!$AA$31)&lt;PolicyEff),1,Milestones!$AC$31)&amp;";  ",""))</f>
        <v/>
      </c>
      <c r="J29" s="0" t="str">
        <f aca="false">IF(OR($A29="",$D29=""),"",IF(AND(EDATE($D29,Milestones!$AA$32)&lt;=AsOfDate,EDATE($D29,Milestones!$AA$32)&gt;=SchemeStart,IF($X29=0,$AD29,IF(AND($Z29&lt;&gt;"",EDATE($D29,Milestones!$AA$32)&gt;=$Z29),$AC29,IF(AND($Y29&lt;&gt;"",EDATE($D29,Milestones!$AA$32)&gt;=$Y29),$AB29,$AA29)))=Milestones!$AB$32),UPPER(TEXT(EDATE($D29,Milestones!$AA$32),"dd mmm yy"))&amp;" "&amp;Milestones!$AB$32&amp;" "&amp;IF(AND(Milestones!$AB$32="FT",Milestones!$AA$32=FT_Y5,EDATE($D29,Milestones!$AA$32)&lt;PolicyEff),1,Milestones!$AC$32)&amp;";  ","")&amp;IF(AND(EDATE($D29,Milestones!$AA$33)&lt;=AsOfDate,EDATE($D29,Milestones!$AA$33)&gt;=SchemeStart,IF($X29=0,$AD29,IF(AND($Z29&lt;&gt;"",EDATE($D29,Milestones!$AA$33)&gt;=$Z29),$AC29,IF(AND($Y29&lt;&gt;"",EDATE($D29,Milestones!$AA$33)&gt;=$Y29),$AB29,$AA29)))=Milestones!$AB$33),UPPER(TEXT(EDATE($D29,Milestones!$AA$33),"dd mmm yy"))&amp;" "&amp;Milestones!$AB$33&amp;" "&amp;IF(AND(Milestones!$AB$33="FT",Milestones!$AA$33=FT_Y5,EDATE($D29,Milestones!$AA$33)&lt;PolicyEff),1,Milestones!$AC$33)&amp;";  ","")&amp;IF(AND(EDATE($D29,Milestones!$AA$34)&lt;=AsOfDate,EDATE($D29,Milestones!$AA$34)&gt;=SchemeStart,IF($X29=0,$AD29,IF(AND($Z29&lt;&gt;"",EDATE($D29,Milestones!$AA$34)&gt;=$Z29),$AC29,IF(AND($Y29&lt;&gt;"",EDATE($D29,Milestones!$AA$34)&gt;=$Y29),$AB29,$AA29)))=Milestones!$AB$34),UPPER(TEXT(EDATE($D29,Milestones!$AA$34),"dd mmm yy"))&amp;" "&amp;Milestones!$AB$34&amp;" "&amp;IF(AND(Milestones!$AB$34="FT",Milestones!$AA$34=FT_Y5,EDATE($D29,Milestones!$AA$34)&lt;PolicyEff),1,Milestones!$AC$34)&amp;";  ","")&amp;IF(AND(EDATE($D29,Milestones!$AA$35)&lt;=AsOfDate,EDATE($D29,Milestones!$AA$35)&gt;=SchemeStart,IF($X29=0,$AD29,IF(AND($Z29&lt;&gt;"",EDATE($D29,Milestones!$AA$35)&gt;=$Z29),$AC29,IF(AND($Y29&lt;&gt;"",EDATE($D29,Milestones!$AA$35)&gt;=$Y29),$AB29,$AA29)))=Milestones!$AB$35),UPPER(TEXT(EDATE($D29,Milestones!$AA$35),"dd mmm yy"))&amp;" "&amp;Milestones!$AB$35&amp;" "&amp;IF(AND(Milestones!$AB$35="FT",Milestones!$AA$35=FT_Y5,EDATE($D29,Milestones!$AA$35)&lt;PolicyEff),1,Milestones!$AC$35)&amp;";  ","")&amp;IF(AND(EDATE($D29,Milestones!$AA$36)&lt;=AsOfDate,EDATE($D29,Milestones!$AA$36)&gt;=SchemeStart,IF($X29=0,$AD29,IF(AND($Z29&lt;&gt;"",EDATE($D29,Milestones!$AA$36)&gt;=$Z29),$AC29,IF(AND($Y29&lt;&gt;"",EDATE($D29,Milestones!$AA$36)&gt;=$Y29),$AB29,$AA29)))=Milestones!$AB$36),UPPER(TEXT(EDATE($D29,Milestones!$AA$36),"dd mmm yy"))&amp;" "&amp;Milestones!$AB$36&amp;" "&amp;IF(AND(Milestones!$AB$36="FT",Milestones!$AA$36=FT_Y5,EDATE($D29,Milestones!$AA$36)&lt;PolicyEff),1,Milestones!$AC$36)&amp;";  ","")&amp;IF(AND(EDATE($D29,Milestones!$AA$37)&lt;=AsOfDate,EDATE($D29,Milestones!$AA$37)&gt;=SchemeStart,IF($X29=0,$AD29,IF(AND($Z29&lt;&gt;"",EDATE($D29,Milestones!$AA$37)&gt;=$Z29),$AC29,IF(AND($Y29&lt;&gt;"",EDATE($D29,Milestones!$AA$37)&gt;=$Y29),$AB29,$AA29)))=Milestones!$AB$37),UPPER(TEXT(EDATE($D29,Milestones!$AA$37),"dd mmm yy"))&amp;" "&amp;Milestones!$AB$37&amp;" "&amp;IF(AND(Milestones!$AB$37="FT",Milestones!$AA$37=FT_Y5,EDATE($D29,Milestones!$AA$37)&lt;PolicyEff),1,Milestones!$AC$37)&amp;";  ","")&amp;IF(AND(EDATE($D29,Milestones!$AA$38)&lt;=AsOfDate,EDATE($D29,Milestones!$AA$38)&gt;=SchemeStart,IF($X29=0,$AD29,IF(AND($Z29&lt;&gt;"",EDATE($D29,Milestones!$AA$38)&gt;=$Z29),$AC29,IF(AND($Y29&lt;&gt;"",EDATE($D29,Milestones!$AA$38)&gt;=$Y29),$AB29,$AA29)))=Milestones!$AB$38),UPPER(TEXT(EDATE($D29,Milestones!$AA$38),"dd mmm yy"))&amp;" "&amp;Milestones!$AB$38&amp;" "&amp;IF(AND(Milestones!$AB$38="FT",Milestones!$AA$38=FT_Y5,EDATE($D29,Milestones!$AA$38)&lt;PolicyEff),1,Milestones!$AC$38)&amp;";  ","")&amp;IF(AND(EDATE($D29,Milestones!$AA$39)&lt;=AsOfDate,EDATE($D29,Milestones!$AA$39)&gt;=SchemeStart,IF($X29=0,$AD29,IF(AND($Z29&lt;&gt;"",EDATE($D29,Milestones!$AA$39)&gt;=$Z29),$AC29,IF(AND($Y29&lt;&gt;"",EDATE($D29,Milestones!$AA$39)&gt;=$Y29),$AB29,$AA29)))=Milestones!$AB$39),UPPER(TEXT(EDATE($D29,Milestones!$AA$39),"dd mmm yy"))&amp;" "&amp;Milestones!$AB$39&amp;" "&amp;IF(AND(Milestones!$AB$39="FT",Milestones!$AA$39=FT_Y5,EDATE($D29,Milestones!$AA$39)&lt;PolicyEff),1,Milestones!$AC$39)&amp;";  ","")&amp;IF(AND(EDATE($D29,Milestones!$AA$40)&lt;=AsOfDate,EDATE($D29,Milestones!$AA$40)&gt;=SchemeStart,IF($X29=0,$AD29,IF(AND($Z29&lt;&gt;"",EDATE($D29,Milestones!$AA$40)&gt;=$Z29),$AC29,IF(AND($Y29&lt;&gt;"",EDATE($D29,Milestones!$AA$40)&gt;=$Y29),$AB29,$AA29)))=Milestones!$AB$40),UPPER(TEXT(EDATE($D29,Milestones!$AA$40),"dd mmm yy"))&amp;" "&amp;Milestones!$AB$40&amp;" "&amp;IF(AND(Milestones!$AB$40="FT",Milestones!$AA$40=FT_Y5,EDATE($D29,Milestones!$AA$40)&lt;PolicyEff),1,Milestones!$AC$40)&amp;";  ","")&amp;IF(AND(EDATE($D29,Milestones!$AA$41)&lt;=AsOfDate,EDATE($D29,Milestones!$AA$41)&gt;=SchemeStart,IF($X29=0,$AD29,IF(AND($Z29&lt;&gt;"",EDATE($D29,Milestones!$AA$41)&gt;=$Z29),$AC29,IF(AND($Y29&lt;&gt;"",EDATE($D29,Milestones!$AA$41)&gt;=$Y29),$AB29,$AA29)))=Milestones!$AB$41),UPPER(TEXT(EDATE($D29,Milestones!$AA$41),"dd mmm yy"))&amp;" "&amp;Milestones!$AB$41&amp;" "&amp;IF(AND(Milestones!$AB$41="FT",Milestones!$AA$41=FT_Y5,EDATE($D29,Milestones!$AA$41)&lt;PolicyEff),1,Milestones!$AC$41)&amp;";  ","")&amp;IF(AND(EDATE($D29,Milestones!$AA$42)&lt;=AsOfDate,EDATE($D29,Milestones!$AA$42)&gt;=SchemeStart,IF($X29=0,$AD29,IF(AND($Z29&lt;&gt;"",EDATE($D29,Milestones!$AA$42)&gt;=$Z29),$AC29,IF(AND($Y29&lt;&gt;"",EDATE($D29,Milestones!$AA$42)&gt;=$Y29),$AB29,$AA29)))=Milestones!$AB$42),UPPER(TEXT(EDATE($D29,Milestones!$AA$42),"dd mmm yy"))&amp;" "&amp;Milestones!$AB$42&amp;" "&amp;IF(AND(Milestones!$AB$42="FT",Milestones!$AA$42=FT_Y5,EDATE($D29,Milestones!$AA$42)&lt;PolicyEff),1,Milestones!$AC$42)&amp;";  ","")&amp;IF(AND(EDATE($D29,Milestones!$AA$43)&lt;=AsOfDate,EDATE($D29,Milestones!$AA$43)&gt;=SchemeStart,IF($X29=0,$AD29,IF(AND($Z29&lt;&gt;"",EDATE($D29,Milestones!$AA$43)&gt;=$Z29),$AC29,IF(AND($Y29&lt;&gt;"",EDATE($D29,Milestones!$AA$43)&gt;=$Y29),$AB29,$AA29)))=Milestones!$AB$43),UPPER(TEXT(EDATE($D29,Milestones!$AA$43),"dd mmm yy"))&amp;" "&amp;Milestones!$AB$43&amp;" "&amp;IF(AND(Milestones!$AB$43="FT",Milestones!$AA$43=FT_Y5,EDATE($D29,Milestones!$AA$43)&lt;PolicyEff),1,Milestones!$AC$43)&amp;";  ",""))</f>
        <v/>
      </c>
      <c r="K29" s="0" t="str">
        <f aca="false">IF(OR($A29="",$D29=""),"",IF(AND(EDATE($D29,Milestones!$AA$44)&lt;=AsOfDate,EDATE($D29,Milestones!$AA$44)&gt;=SchemeStart,IF($X29=0,$AD29,IF(AND($Z29&lt;&gt;"",EDATE($D29,Milestones!$AA$44)&gt;=$Z29),$AC29,IF(AND($Y29&lt;&gt;"",EDATE($D29,Milestones!$AA$44)&gt;=$Y29),$AB29,$AA29)))=Milestones!$AB$44),UPPER(TEXT(EDATE($D29,Milestones!$AA$44),"dd mmm yy"))&amp;" "&amp;Milestones!$AB$44&amp;" "&amp;IF(AND(Milestones!$AB$44="FT",Milestones!$AA$44=FT_Y5,EDATE($D29,Milestones!$AA$44)&lt;PolicyEff),1,Milestones!$AC$44)&amp;";  ","")&amp;IF(AND(EDATE($D29,Milestones!$AA$45)&lt;=AsOfDate,EDATE($D29,Milestones!$AA$45)&gt;=SchemeStart,IF($X29=0,$AD29,IF(AND($Z29&lt;&gt;"",EDATE($D29,Milestones!$AA$45)&gt;=$Z29),$AC29,IF(AND($Y29&lt;&gt;"",EDATE($D29,Milestones!$AA$45)&gt;=$Y29),$AB29,$AA29)))=Milestones!$AB$45),UPPER(TEXT(EDATE($D29,Milestones!$AA$45),"dd mmm yy"))&amp;" "&amp;Milestones!$AB$45&amp;" "&amp;IF(AND(Milestones!$AB$45="FT",Milestones!$AA$45=FT_Y5,EDATE($D29,Milestones!$AA$45)&lt;PolicyEff),1,Milestones!$AC$45)&amp;";  ","")&amp;IF(AND(EDATE($D29,Milestones!$AA$46)&lt;=AsOfDate,EDATE($D29,Milestones!$AA$46)&gt;=SchemeStart,IF($X29=0,$AD29,IF(AND($Z29&lt;&gt;"",EDATE($D29,Milestones!$AA$46)&gt;=$Z29),$AC29,IF(AND($Y29&lt;&gt;"",EDATE($D29,Milestones!$AA$46)&gt;=$Y29),$AB29,$AA29)))=Milestones!$AB$46),UPPER(TEXT(EDATE($D29,Milestones!$AA$46),"dd mmm yy"))&amp;" "&amp;Milestones!$AB$46&amp;" "&amp;IF(AND(Milestones!$AB$46="FT",Milestones!$AA$46=FT_Y5,EDATE($D29,Milestones!$AA$46)&lt;PolicyEff),1,Milestones!$AC$46)&amp;";  ","")&amp;IF(AND(EDATE($D29,Milestones!$AA$47)&lt;=AsOfDate,EDATE($D29,Milestones!$AA$47)&gt;=SchemeStart,IF($X29=0,$AD29,IF(AND($Z29&lt;&gt;"",EDATE($D29,Milestones!$AA$47)&gt;=$Z29),$AC29,IF(AND($Y29&lt;&gt;"",EDATE($D29,Milestones!$AA$47)&gt;=$Y29),$AB29,$AA29)))=Milestones!$AB$47),UPPER(TEXT(EDATE($D29,Milestones!$AA$47),"dd mmm yy"))&amp;" "&amp;Milestones!$AB$47&amp;" "&amp;IF(AND(Milestones!$AB$47="FT",Milestones!$AA$47=FT_Y5,EDATE($D29,Milestones!$AA$47)&lt;PolicyEff),1,Milestones!$AC$47)&amp;";  ","")&amp;IF(AND(EDATE($D29,Milestones!$AA$48)&lt;=AsOfDate,EDATE($D29,Milestones!$AA$48)&gt;=SchemeStart,IF($X29=0,$AD29,IF(AND($Z29&lt;&gt;"",EDATE($D29,Milestones!$AA$48)&gt;=$Z29),$AC29,IF(AND($Y29&lt;&gt;"",EDATE($D29,Milestones!$AA$48)&gt;=$Y29),$AB29,$AA29)))=Milestones!$AB$48),UPPER(TEXT(EDATE($D29,Milestones!$AA$48),"dd mmm yy"))&amp;" "&amp;Milestones!$AB$48&amp;" "&amp;IF(AND(Milestones!$AB$48="FT",Milestones!$AA$48=FT_Y5,EDATE($D29,Milestones!$AA$48)&lt;PolicyEff),1,Milestones!$AC$48)&amp;";  ","")&amp;IF(AND(EDATE($D29,Milestones!$AA$49)&lt;=AsOfDate,EDATE($D29,Milestones!$AA$49)&gt;=SchemeStart,IF($X29=0,$AD29,IF(AND($Z29&lt;&gt;"",EDATE($D29,Milestones!$AA$49)&gt;=$Z29),$AC29,IF(AND($Y29&lt;&gt;"",EDATE($D29,Milestones!$AA$49)&gt;=$Y29),$AB29,$AA29)))=Milestones!$AB$49),UPPER(TEXT(EDATE($D29,Milestones!$AA$49),"dd mmm yy"))&amp;" "&amp;Milestones!$AB$49&amp;" "&amp;IF(AND(Milestones!$AB$49="FT",Milestones!$AA$49=FT_Y5,EDATE($D29,Milestones!$AA$49)&lt;PolicyEff),1,Milestones!$AC$49)&amp;";  ","")&amp;IF(AND(EDATE($D29,Milestones!$AA$50)&lt;=AsOfDate,EDATE($D29,Milestones!$AA$50)&gt;=SchemeStart,IF($X29=0,$AD29,IF(AND($Z29&lt;&gt;"",EDATE($D29,Milestones!$AA$50)&gt;=$Z29),$AC29,IF(AND($Y29&lt;&gt;"",EDATE($D29,Milestones!$AA$50)&gt;=$Y29),$AB29,$AA29)))=Milestones!$AB$50),UPPER(TEXT(EDATE($D29,Milestones!$AA$50),"dd mmm yy"))&amp;" "&amp;Milestones!$AB$50&amp;" "&amp;IF(AND(Milestones!$AB$50="FT",Milestones!$AA$50=FT_Y5,EDATE($D29,Milestones!$AA$50)&lt;PolicyEff),1,Milestones!$AC$50)&amp;";  ","")&amp;IF(AND(EDATE($D29,Milestones!$AA$51)&lt;=AsOfDate,EDATE($D29,Milestones!$AA$51)&gt;=SchemeStart,IF($X29=0,$AD29,IF(AND($Z29&lt;&gt;"",EDATE($D29,Milestones!$AA$51)&gt;=$Z29),$AC29,IF(AND($Y29&lt;&gt;"",EDATE($D29,Milestones!$AA$51)&gt;=$Y29),$AB29,$AA29)))=Milestones!$AB$51),UPPER(TEXT(EDATE($D29,Milestones!$AA$51),"dd mmm yy"))&amp;" "&amp;Milestones!$AB$51&amp;" "&amp;IF(AND(Milestones!$AB$51="FT",Milestones!$AA$51=FT_Y5,EDATE($D29,Milestones!$AA$51)&lt;PolicyEff),1,Milestones!$AC$51)&amp;";  ","")&amp;IF(AND(EDATE($D29,Milestones!$AA$52)&lt;=AsOfDate,EDATE($D29,Milestones!$AA$52)&gt;=SchemeStart,IF($X29=0,$AD29,IF(AND($Z29&lt;&gt;"",EDATE($D29,Milestones!$AA$52)&gt;=$Z29),$AC29,IF(AND($Y29&lt;&gt;"",EDATE($D29,Milestones!$AA$52)&gt;=$Y29),$AB29,$AA29)))=Milestones!$AB$52),UPPER(TEXT(EDATE($D29,Milestones!$AA$52),"dd mmm yy"))&amp;" "&amp;Milestones!$AB$52&amp;" "&amp;IF(AND(Milestones!$AB$52="FT",Milestones!$AA$52=FT_Y5,EDATE($D29,Milestones!$AA$52)&lt;PolicyEff),1,Milestones!$AC$52)&amp;";  ","")&amp;IF(AND(EDATE($D29,Milestones!$AA$53)&lt;=AsOfDate,EDATE($D29,Milestones!$AA$53)&gt;=SchemeStart,IF($X29=0,$AD29,IF(AND($Z29&lt;&gt;"",EDATE($D29,Milestones!$AA$53)&gt;=$Z29),$AC29,IF(AND($Y29&lt;&gt;"",EDATE($D29,Milestones!$AA$53)&gt;=$Y29),$AB29,$AA29)))=Milestones!$AB$53),UPPER(TEXT(EDATE($D29,Milestones!$AA$53),"dd mmm yy"))&amp;" "&amp;Milestones!$AB$53&amp;" "&amp;IF(AND(Milestones!$AB$53="FT",Milestones!$AA$53=FT_Y5,EDATE($D29,Milestones!$AA$53)&lt;PolicyEff),1,Milestones!$AC$53)&amp;";  ","")&amp;IF(AND(EDATE($D29,Milestones!$AA$54)&lt;=AsOfDate,EDATE($D29,Milestones!$AA$54)&gt;=SchemeStart,IF($X29=0,$AD29,IF(AND($Z29&lt;&gt;"",EDATE($D29,Milestones!$AA$54)&gt;=$Z29),$AC29,IF(AND($Y29&lt;&gt;"",EDATE($D29,Milestones!$AA$54)&gt;=$Y29),$AB29,$AA29)))=Milestones!$AB$54),UPPER(TEXT(EDATE($D29,Milestones!$AA$54),"dd mmm yy"))&amp;" "&amp;Milestones!$AB$54&amp;" "&amp;IF(AND(Milestones!$AB$54="FT",Milestones!$AA$54=FT_Y5,EDATE($D29,Milestones!$AA$54)&lt;PolicyEff),1,Milestones!$AC$54)&amp;";  ","")&amp;IF(AND(EDATE($D29,Milestones!$AA$55)&lt;=AsOfDate,EDATE($D29,Milestones!$AA$55)&gt;=SchemeStart,IF($X29=0,$AD29,IF(AND($Z29&lt;&gt;"",EDATE($D29,Milestones!$AA$55)&gt;=$Z29),$AC29,IF(AND($Y29&lt;&gt;"",EDATE($D29,Milestones!$AA$55)&gt;=$Y29),$AB29,$AA29)))=Milestones!$AB$55),UPPER(TEXT(EDATE($D29,Milestones!$AA$55),"dd mmm yy"))&amp;" "&amp;Milestones!$AB$55&amp;" "&amp;IF(AND(Milestones!$AB$55="FT",Milestones!$AA$55=FT_Y5,EDATE($D29,Milestones!$AA$55)&lt;PolicyEff),1,Milestones!$AC$55)&amp;";  ",""))</f>
        <v/>
      </c>
      <c r="L29" s="0" t="str">
        <f aca="false">IF(OR($A29="",$D29=""),"",IF(AND(EDATE($D29,Milestones!$AA$56)&lt;=AsOfDate,EDATE($D29,Milestones!$AA$56)&gt;=SchemeStart,IF($X29=0,$AD29,IF(AND($Z29&lt;&gt;"",EDATE($D29,Milestones!$AA$56)&gt;=$Z29),$AC29,IF(AND($Y29&lt;&gt;"",EDATE($D29,Milestones!$AA$56)&gt;=$Y29),$AB29,$AA29)))=Milestones!$AB$56),UPPER(TEXT(EDATE($D29,Milestones!$AA$56),"dd mmm yy"))&amp;" "&amp;Milestones!$AB$56&amp;" "&amp;IF(AND(Milestones!$AB$56="FT",Milestones!$AA$56=FT_Y5,EDATE($D29,Milestones!$AA$56)&lt;PolicyEff),1,Milestones!$AC$56)&amp;";  ","")&amp;IF(AND(EDATE($D29,Milestones!$AA$57)&lt;=AsOfDate,EDATE($D29,Milestones!$AA$57)&gt;=SchemeStart,IF($X29=0,$AD29,IF(AND($Z29&lt;&gt;"",EDATE($D29,Milestones!$AA$57)&gt;=$Z29),$AC29,IF(AND($Y29&lt;&gt;"",EDATE($D29,Milestones!$AA$57)&gt;=$Y29),$AB29,$AA29)))=Milestones!$AB$57),UPPER(TEXT(EDATE($D29,Milestones!$AA$57),"dd mmm yy"))&amp;" "&amp;Milestones!$AB$57&amp;" "&amp;IF(AND(Milestones!$AB$57="FT",Milestones!$AA$57=FT_Y5,EDATE($D29,Milestones!$AA$57)&lt;PolicyEff),1,Milestones!$AC$57)&amp;";  ","")&amp;IF(AND(EDATE($D29,Milestones!$AA$58)&lt;=AsOfDate,EDATE($D29,Milestones!$AA$58)&gt;=SchemeStart,IF($X29=0,$AD29,IF(AND($Z29&lt;&gt;"",EDATE($D29,Milestones!$AA$58)&gt;=$Z29),$AC29,IF(AND($Y29&lt;&gt;"",EDATE($D29,Milestones!$AA$58)&gt;=$Y29),$AB29,$AA29)))=Milestones!$AB$58),UPPER(TEXT(EDATE($D29,Milestones!$AA$58),"dd mmm yy"))&amp;" "&amp;Milestones!$AB$58&amp;" "&amp;IF(AND(Milestones!$AB$58="FT",Milestones!$AA$58=FT_Y5,EDATE($D29,Milestones!$AA$58)&lt;PolicyEff),1,Milestones!$AC$58)&amp;";  ","")&amp;IF(AND(EDATE($D29,Milestones!$AA$59)&lt;=AsOfDate,EDATE($D29,Milestones!$AA$59)&gt;=SchemeStart,IF($X29=0,$AD29,IF(AND($Z29&lt;&gt;"",EDATE($D29,Milestones!$AA$59)&gt;=$Z29),$AC29,IF(AND($Y29&lt;&gt;"",EDATE($D29,Milestones!$AA$59)&gt;=$Y29),$AB29,$AA29)))=Milestones!$AB$59),UPPER(TEXT(EDATE($D29,Milestones!$AA$59),"dd mmm yy"))&amp;" "&amp;Milestones!$AB$59&amp;" "&amp;IF(AND(Milestones!$AB$59="FT",Milestones!$AA$59=FT_Y5,EDATE($D29,Milestones!$AA$59)&lt;PolicyEff),1,Milestones!$AC$59)&amp;";  ","")&amp;IF(AND(EDATE($D29,Milestones!$AA$60)&lt;=AsOfDate,EDATE($D29,Milestones!$AA$60)&gt;=SchemeStart,IF($X29=0,$AD29,IF(AND($Z29&lt;&gt;"",EDATE($D29,Milestones!$AA$60)&gt;=$Z29),$AC29,IF(AND($Y29&lt;&gt;"",EDATE($D29,Milestones!$AA$60)&gt;=$Y29),$AB29,$AA29)))=Milestones!$AB$60),UPPER(TEXT(EDATE($D29,Milestones!$AA$60),"dd mmm yy"))&amp;" "&amp;Milestones!$AB$60&amp;" "&amp;IF(AND(Milestones!$AB$60="FT",Milestones!$AA$60=FT_Y5,EDATE($D29,Milestones!$AA$60)&lt;PolicyEff),1,Milestones!$AC$60)&amp;";  ","")&amp;IF(AND(EDATE($D29,Milestones!$AA$61)&lt;=AsOfDate,EDATE($D29,Milestones!$AA$61)&gt;=SchemeStart,IF($X29=0,$AD29,IF(AND($Z29&lt;&gt;"",EDATE($D29,Milestones!$AA$61)&gt;=$Z29),$AC29,IF(AND($Y29&lt;&gt;"",EDATE($D29,Milestones!$AA$61)&gt;=$Y29),$AB29,$AA29)))=Milestones!$AB$61),UPPER(TEXT(EDATE($D29,Milestones!$AA$61),"dd mmm yy"))&amp;" "&amp;Milestones!$AB$61&amp;" "&amp;IF(AND(Milestones!$AB$61="FT",Milestones!$AA$61=FT_Y5,EDATE($D29,Milestones!$AA$61)&lt;PolicyEff),1,Milestones!$AC$61)&amp;";  ","")&amp;IF(AND(EDATE($D29,Milestones!$AA$62)&lt;=AsOfDate,EDATE($D29,Milestones!$AA$62)&gt;=SchemeStart,IF($X29=0,$AD29,IF(AND($Z29&lt;&gt;"",EDATE($D29,Milestones!$AA$62)&gt;=$Z29),$AC29,IF(AND($Y29&lt;&gt;"",EDATE($D29,Milestones!$AA$62)&gt;=$Y29),$AB29,$AA29)))=Milestones!$AB$62),UPPER(TEXT(EDATE($D29,Milestones!$AA$62),"dd mmm yy"))&amp;" "&amp;Milestones!$AB$62&amp;" "&amp;IF(AND(Milestones!$AB$62="FT",Milestones!$AA$62=FT_Y5,EDATE($D29,Milestones!$AA$62)&lt;PolicyEff),1,Milestones!$AC$62)&amp;";  ","")&amp;IF(AND(EDATE($D29,Milestones!$AA$63)&lt;=AsOfDate,EDATE($D29,Milestones!$AA$63)&gt;=SchemeStart,IF($X29=0,$AD29,IF(AND($Z29&lt;&gt;"",EDATE($D29,Milestones!$AA$63)&gt;=$Z29),$AC29,IF(AND($Y29&lt;&gt;"",EDATE($D29,Milestones!$AA$63)&gt;=$Y29),$AB29,$AA29)))=Milestones!$AB$63),UPPER(TEXT(EDATE($D29,Milestones!$AA$63),"dd mmm yy"))&amp;" "&amp;Milestones!$AB$63&amp;" "&amp;IF(AND(Milestones!$AB$63="FT",Milestones!$AA$63=FT_Y5,EDATE($D29,Milestones!$AA$63)&lt;PolicyEff),1,Milestones!$AC$63)&amp;";  ","")&amp;IF(AND(EDATE($D29,Milestones!$AA$64)&lt;=AsOfDate,EDATE($D29,Milestones!$AA$64)&gt;=SchemeStart,IF($X29=0,$AD29,IF(AND($Z29&lt;&gt;"",EDATE($D29,Milestones!$AA$64)&gt;=$Z29),$AC29,IF(AND($Y29&lt;&gt;"",EDATE($D29,Milestones!$AA$64)&gt;=$Y29),$AB29,$AA29)))=Milestones!$AB$64),UPPER(TEXT(EDATE($D29,Milestones!$AA$64),"dd mmm yy"))&amp;" "&amp;Milestones!$AB$64&amp;" "&amp;IF(AND(Milestones!$AB$64="FT",Milestones!$AA$64=FT_Y5,EDATE($D29,Milestones!$AA$64)&lt;PolicyEff),1,Milestones!$AC$64)&amp;";  ","")&amp;IF(AND(EDATE($D29,Milestones!$AA$65)&lt;=AsOfDate,EDATE($D29,Milestones!$AA$65)&gt;=SchemeStart,IF($X29=0,$AD29,IF(AND($Z29&lt;&gt;"",EDATE($D29,Milestones!$AA$65)&gt;=$Z29),$AC29,IF(AND($Y29&lt;&gt;"",EDATE($D29,Milestones!$AA$65)&gt;=$Y29),$AB29,$AA29)))=Milestones!$AB$65),UPPER(TEXT(EDATE($D29,Milestones!$AA$65),"dd mmm yy"))&amp;" "&amp;Milestones!$AB$65&amp;" "&amp;IF(AND(Milestones!$AB$65="FT",Milestones!$AA$65=FT_Y5,EDATE($D29,Milestones!$AA$65)&lt;PolicyEff),1,Milestones!$AC$65)&amp;";  ","")&amp;IF(AND(EDATE($D29,Milestones!$AA$66)&lt;=AsOfDate,EDATE($D29,Milestones!$AA$66)&gt;=SchemeStart,IF($X29=0,$AD29,IF(AND($Z29&lt;&gt;"",EDATE($D29,Milestones!$AA$66)&gt;=$Z29),$AC29,IF(AND($Y29&lt;&gt;"",EDATE($D29,Milestones!$AA$66)&gt;=$Y29),$AB29,$AA29)))=Milestones!$AB$66),UPPER(TEXT(EDATE($D29,Milestones!$AA$66),"dd mmm yy"))&amp;" "&amp;Milestones!$AB$66&amp;" "&amp;IF(AND(Milestones!$AB$66="FT",Milestones!$AA$66=FT_Y5,EDATE($D29,Milestones!$AA$66)&lt;PolicyEff),1,Milestones!$AC$66)&amp;";  ","")&amp;IF(AND(EDATE($D29,Milestones!$AA$67)&lt;=AsOfDate,EDATE($D29,Milestones!$AA$67)&gt;=SchemeStart,IF($X29=0,$AD29,IF(AND($Z29&lt;&gt;"",EDATE($D29,Milestones!$AA$67)&gt;=$Z29),$AC29,IF(AND($Y29&lt;&gt;"",EDATE($D29,Milestones!$AA$67)&gt;=$Y29),$AB29,$AA29)))=Milestones!$AB$67),UPPER(TEXT(EDATE($D29,Milestones!$AA$67),"dd mmm yy"))&amp;" "&amp;Milestones!$AB$67&amp;" "&amp;IF(AND(Milestones!$AB$67="FT",Milestones!$AA$67=FT_Y5,EDATE($D29,Milestones!$AA$67)&lt;PolicyEff),1,Milestones!$AC$67)&amp;";  ",""))</f>
        <v/>
      </c>
      <c r="M29" s="0" t="str">
        <f aca="false">IF(OR($A29="",$D29=""),"",IF(AND(EDATE($D29,Milestones!$AA$68)&lt;=AsOfDate,EDATE($D29,Milestones!$AA$68)&gt;=SchemeStart,IF($X29=0,$AD29,IF(AND($Z29&lt;&gt;"",EDATE($D29,Milestones!$AA$68)&gt;=$Z29),$AC29,IF(AND($Y29&lt;&gt;"",EDATE($D29,Milestones!$AA$68)&gt;=$Y29),$AB29,$AA29)))=Milestones!$AB$68),UPPER(TEXT(EDATE($D29,Milestones!$AA$68),"dd mmm yy"))&amp;" "&amp;Milestones!$AB$68&amp;" "&amp;IF(AND(Milestones!$AB$68="FT",Milestones!$AA$68=FT_Y5,EDATE($D29,Milestones!$AA$68)&lt;PolicyEff),1,Milestones!$AC$68)&amp;";  ","")&amp;IF(AND(EDATE($D29,Milestones!$AA$69)&lt;=AsOfDate,EDATE($D29,Milestones!$AA$69)&gt;=SchemeStart,IF($X29=0,$AD29,IF(AND($Z29&lt;&gt;"",EDATE($D29,Milestones!$AA$69)&gt;=$Z29),$AC29,IF(AND($Y29&lt;&gt;"",EDATE($D29,Milestones!$AA$69)&gt;=$Y29),$AB29,$AA29)))=Milestones!$AB$69),UPPER(TEXT(EDATE($D29,Milestones!$AA$69),"dd mmm yy"))&amp;" "&amp;Milestones!$AB$69&amp;" "&amp;IF(AND(Milestones!$AB$69="FT",Milestones!$AA$69=FT_Y5,EDATE($D29,Milestones!$AA$69)&lt;PolicyEff),1,Milestones!$AC$69)&amp;";  ","")&amp;IF(AND(EDATE($D29,Milestones!$AA$70)&lt;=AsOfDate,EDATE($D29,Milestones!$AA$70)&gt;=SchemeStart,IF($X29=0,$AD29,IF(AND($Z29&lt;&gt;"",EDATE($D29,Milestones!$AA$70)&gt;=$Z29),$AC29,IF(AND($Y29&lt;&gt;"",EDATE($D29,Milestones!$AA$70)&gt;=$Y29),$AB29,$AA29)))=Milestones!$AB$70),UPPER(TEXT(EDATE($D29,Milestones!$AA$70),"dd mmm yy"))&amp;" "&amp;Milestones!$AB$70&amp;" "&amp;IF(AND(Milestones!$AB$70="FT",Milestones!$AA$70=FT_Y5,EDATE($D29,Milestones!$AA$70)&lt;PolicyEff),1,Milestones!$AC$70)&amp;";  ","")&amp;IF(AND(EDATE($D29,Milestones!$AA$71)&lt;=AsOfDate,EDATE($D29,Milestones!$AA$71)&gt;=SchemeStart,IF($X29=0,$AD29,IF(AND($Z29&lt;&gt;"",EDATE($D29,Milestones!$AA$71)&gt;=$Z29),$AC29,IF(AND($Y29&lt;&gt;"",EDATE($D29,Milestones!$AA$71)&gt;=$Y29),$AB29,$AA29)))=Milestones!$AB$71),UPPER(TEXT(EDATE($D29,Milestones!$AA$71),"dd mmm yy"))&amp;" "&amp;Milestones!$AB$71&amp;" "&amp;IF(AND(Milestones!$AB$71="FT",Milestones!$AA$71=FT_Y5,EDATE($D29,Milestones!$AA$71)&lt;PolicyEff),1,Milestones!$AC$71)&amp;";  ","")&amp;IF(AND(EDATE($D29,Milestones!$AA$72)&lt;=AsOfDate,EDATE($D29,Milestones!$AA$72)&gt;=SchemeStart,IF($X29=0,$AD29,IF(AND($Z29&lt;&gt;"",EDATE($D29,Milestones!$AA$72)&gt;=$Z29),$AC29,IF(AND($Y29&lt;&gt;"",EDATE($D29,Milestones!$AA$72)&gt;=$Y29),$AB29,$AA29)))=Milestones!$AB$72),UPPER(TEXT(EDATE($D29,Milestones!$AA$72),"dd mmm yy"))&amp;" "&amp;Milestones!$AB$72&amp;" "&amp;IF(AND(Milestones!$AB$72="FT",Milestones!$AA$72=FT_Y5,EDATE($D29,Milestones!$AA$72)&lt;PolicyEff),1,Milestones!$AC$72)&amp;";  ","")&amp;IF(AND(EDATE($D29,Milestones!$AA$73)&lt;=AsOfDate,EDATE($D29,Milestones!$AA$73)&gt;=SchemeStart,IF($X29=0,$AD29,IF(AND($Z29&lt;&gt;"",EDATE($D29,Milestones!$AA$73)&gt;=$Z29),$AC29,IF(AND($Y29&lt;&gt;"",EDATE($D29,Milestones!$AA$73)&gt;=$Y29),$AB29,$AA29)))=Milestones!$AB$73),UPPER(TEXT(EDATE($D29,Milestones!$AA$73),"dd mmm yy"))&amp;" "&amp;Milestones!$AB$73&amp;" "&amp;IF(AND(Milestones!$AB$73="FT",Milestones!$AA$73=FT_Y5,EDATE($D29,Milestones!$AA$73)&lt;PolicyEff),1,Milestones!$AC$73)&amp;";  ","")&amp;IF(AND(EDATE($D29,Milestones!$AA$74)&lt;=AsOfDate,EDATE($D29,Milestones!$AA$74)&gt;=SchemeStart,IF($X29=0,$AD29,IF(AND($Z29&lt;&gt;"",EDATE($D29,Milestones!$AA$74)&gt;=$Z29),$AC29,IF(AND($Y29&lt;&gt;"",EDATE($D29,Milestones!$AA$74)&gt;=$Y29),$AB29,$AA29)))=Milestones!$AB$74),UPPER(TEXT(EDATE($D29,Milestones!$AA$74),"dd mmm yy"))&amp;" "&amp;Milestones!$AB$74&amp;" "&amp;IF(AND(Milestones!$AB$74="FT",Milestones!$AA$74=FT_Y5,EDATE($D29,Milestones!$AA$74)&lt;PolicyEff),1,Milestones!$AC$74)&amp;";  ","")&amp;IF(AND(EDATE($D29,Milestones!$AA$75)&lt;=AsOfDate,EDATE($D29,Milestones!$AA$75)&gt;=SchemeStart,IF($X29=0,$AD29,IF(AND($Z29&lt;&gt;"",EDATE($D29,Milestones!$AA$75)&gt;=$Z29),$AC29,IF(AND($Y29&lt;&gt;"",EDATE($D29,Milestones!$AA$75)&gt;=$Y29),$AB29,$AA29)))=Milestones!$AB$75),UPPER(TEXT(EDATE($D29,Milestones!$AA$75),"dd mmm yy"))&amp;" "&amp;Milestones!$AB$75&amp;" "&amp;IF(AND(Milestones!$AB$75="FT",Milestones!$AA$75=FT_Y5,EDATE($D29,Milestones!$AA$75)&lt;PolicyEff),1,Milestones!$AC$75)&amp;";  ","")&amp;IF(AND(EDATE($D29,Milestones!$AA$76)&lt;=AsOfDate,EDATE($D29,Milestones!$AA$76)&gt;=SchemeStart,IF($X29=0,$AD29,IF(AND($Z29&lt;&gt;"",EDATE($D29,Milestones!$AA$76)&gt;=$Z29),$AC29,IF(AND($Y29&lt;&gt;"",EDATE($D29,Milestones!$AA$76)&gt;=$Y29),$AB29,$AA29)))=Milestones!$AB$76),UPPER(TEXT(EDATE($D29,Milestones!$AA$76),"dd mmm yy"))&amp;" "&amp;Milestones!$AB$76&amp;" "&amp;IF(AND(Milestones!$AB$76="FT",Milestones!$AA$76=FT_Y5,EDATE($D29,Milestones!$AA$76)&lt;PolicyEff),1,Milestones!$AC$76)&amp;";  ","")&amp;IF(AND(EDATE($D29,Milestones!$AA$77)&lt;=AsOfDate,EDATE($D29,Milestones!$AA$77)&gt;=SchemeStart,IF($X29=0,$AD29,IF(AND($Z29&lt;&gt;"",EDATE($D29,Milestones!$AA$77)&gt;=$Z29),$AC29,IF(AND($Y29&lt;&gt;"",EDATE($D29,Milestones!$AA$77)&gt;=$Y29),$AB29,$AA29)))=Milestones!$AB$77),UPPER(TEXT(EDATE($D29,Milestones!$AA$77),"dd mmm yy"))&amp;" "&amp;Milestones!$AB$77&amp;" "&amp;IF(AND(Milestones!$AB$77="FT",Milestones!$AA$77=FT_Y5,EDATE($D29,Milestones!$AA$77)&lt;PolicyEff),1,Milestones!$AC$77)&amp;";  ","")&amp;IF(AND(EDATE($D29,Milestones!$AA$78)&lt;=AsOfDate,EDATE($D29,Milestones!$AA$78)&gt;=SchemeStart,IF($X29=0,$AD29,IF(AND($Z29&lt;&gt;"",EDATE($D29,Milestones!$AA$78)&gt;=$Z29),$AC29,IF(AND($Y29&lt;&gt;"",EDATE($D29,Milestones!$AA$78)&gt;=$Y29),$AB29,$AA29)))=Milestones!$AB$78),UPPER(TEXT(EDATE($D29,Milestones!$AA$78),"dd mmm yy"))&amp;" "&amp;Milestones!$AB$78&amp;" "&amp;IF(AND(Milestones!$AB$78="FT",Milestones!$AA$78=FT_Y5,EDATE($D29,Milestones!$AA$78)&lt;PolicyEff),1,Milestones!$AC$78)&amp;";  ","")&amp;IF(AND(EDATE($D29,Milestones!$AA$79)&lt;=AsOfDate,EDATE($D29,Milestones!$AA$79)&gt;=SchemeStart,IF($X29=0,$AD29,IF(AND($Z29&lt;&gt;"",EDATE($D29,Milestones!$AA$79)&gt;=$Z29),$AC29,IF(AND($Y29&lt;&gt;"",EDATE($D29,Milestones!$AA$79)&gt;=$Y29),$AB29,$AA29)))=Milestones!$AB$79),UPPER(TEXT(EDATE($D29,Milestones!$AA$79),"dd mmm yy"))&amp;" "&amp;Milestones!$AB$79&amp;" "&amp;IF(AND(Milestones!$AB$79="FT",Milestones!$AA$79=FT_Y5,EDATE($D29,Milestones!$AA$79)&lt;PolicyEff),1,Milestones!$AC$79)&amp;";  ",""))</f>
        <v/>
      </c>
      <c r="N29" s="0" t="str">
        <f aca="false">IF(OR($A29="",$D29=""),"",IF(AND(EDATE($D29,Milestones!$AA$80)&lt;=AsOfDate,EDATE($D29,Milestones!$AA$80)&gt;=SchemeStart,IF($X29=0,$AD29,IF(AND($Z29&lt;&gt;"",EDATE($D29,Milestones!$AA$80)&gt;=$Z29),$AC29,IF(AND($Y29&lt;&gt;"",EDATE($D29,Milestones!$AA$80)&gt;=$Y29),$AB29,$AA29)))=Milestones!$AB$80),UPPER(TEXT(EDATE($D29,Milestones!$AA$80),"dd mmm yy"))&amp;" "&amp;Milestones!$AB$80&amp;" "&amp;IF(AND(Milestones!$AB$80="FT",Milestones!$AA$80=FT_Y5,EDATE($D29,Milestones!$AA$80)&lt;PolicyEff),1,Milestones!$AC$80)&amp;";  ","")&amp;IF(AND(EDATE($D29,Milestones!$AA$81)&lt;=AsOfDate,EDATE($D29,Milestones!$AA$81)&gt;=SchemeStart,IF($X29=0,$AD29,IF(AND($Z29&lt;&gt;"",EDATE($D29,Milestones!$AA$81)&gt;=$Z29),$AC29,IF(AND($Y29&lt;&gt;"",EDATE($D29,Milestones!$AA$81)&gt;=$Y29),$AB29,$AA29)))=Milestones!$AB$81),UPPER(TEXT(EDATE($D29,Milestones!$AA$81),"dd mmm yy"))&amp;" "&amp;Milestones!$AB$81&amp;" "&amp;IF(AND(Milestones!$AB$81="FT",Milestones!$AA$81=FT_Y5,EDATE($D29,Milestones!$AA$81)&lt;PolicyEff),1,Milestones!$AC$81)&amp;";  ","")&amp;IF(AND(EDATE($D29,Milestones!$AA$82)&lt;=AsOfDate,EDATE($D29,Milestones!$AA$82)&gt;=SchemeStart,IF($X29=0,$AD29,IF(AND($Z29&lt;&gt;"",EDATE($D29,Milestones!$AA$82)&gt;=$Z29),$AC29,IF(AND($Y29&lt;&gt;"",EDATE($D29,Milestones!$AA$82)&gt;=$Y29),$AB29,$AA29)))=Milestones!$AB$82),UPPER(TEXT(EDATE($D29,Milestones!$AA$82),"dd mmm yy"))&amp;" "&amp;Milestones!$AB$82&amp;" "&amp;IF(AND(Milestones!$AB$82="FT",Milestones!$AA$82=FT_Y5,EDATE($D29,Milestones!$AA$82)&lt;PolicyEff),1,Milestones!$AC$82)&amp;";  ","")&amp;IF(AND(EDATE($D29,Milestones!$AA$83)&lt;=AsOfDate,EDATE($D29,Milestones!$AA$83)&gt;=SchemeStart,IF($X29=0,$AD29,IF(AND($Z29&lt;&gt;"",EDATE($D29,Milestones!$AA$83)&gt;=$Z29),$AC29,IF(AND($Y29&lt;&gt;"",EDATE($D29,Milestones!$AA$83)&gt;=$Y29),$AB29,$AA29)))=Milestones!$AB$83),UPPER(TEXT(EDATE($D29,Milestones!$AA$83),"dd mmm yy"))&amp;" "&amp;Milestones!$AB$83&amp;" "&amp;IF(AND(Milestones!$AB$83="FT",Milestones!$AA$83=FT_Y5,EDATE($D29,Milestones!$AA$83)&lt;PolicyEff),1,Milestones!$AC$83)&amp;";  ","")&amp;IF(AND(EDATE($D29,Milestones!$AA$84)&lt;=AsOfDate,EDATE($D29,Milestones!$AA$84)&gt;=SchemeStart,IF($X29=0,$AD29,IF(AND($Z29&lt;&gt;"",EDATE($D29,Milestones!$AA$84)&gt;=$Z29),$AC29,IF(AND($Y29&lt;&gt;"",EDATE($D29,Milestones!$AA$84)&gt;=$Y29),$AB29,$AA29)))=Milestones!$AB$84),UPPER(TEXT(EDATE($D29,Milestones!$AA$84),"dd mmm yy"))&amp;" "&amp;Milestones!$AB$84&amp;" "&amp;IF(AND(Milestones!$AB$84="FT",Milestones!$AA$84=FT_Y5,EDATE($D29,Milestones!$AA$84)&lt;PolicyEff),1,Milestones!$AC$84)&amp;";  ","")&amp;IF(AND(EDATE($D29,Milestones!$AA$85)&lt;=AsOfDate,EDATE($D29,Milestones!$AA$85)&gt;=SchemeStart,IF($X29=0,$AD29,IF(AND($Z29&lt;&gt;"",EDATE($D29,Milestones!$AA$85)&gt;=$Z29),$AC29,IF(AND($Y29&lt;&gt;"",EDATE($D29,Milestones!$AA$85)&gt;=$Y29),$AB29,$AA29)))=Milestones!$AB$85),UPPER(TEXT(EDATE($D29,Milestones!$AA$85),"dd mmm yy"))&amp;" "&amp;Milestones!$AB$85&amp;" "&amp;IF(AND(Milestones!$AB$85="FT",Milestones!$AA$85=FT_Y5,EDATE($D29,Milestones!$AA$85)&lt;PolicyEff),1,Milestones!$AC$85)&amp;";  ","")&amp;IF(AND(EDATE($D29,Milestones!$AA$86)&lt;=AsOfDate,EDATE($D29,Milestones!$AA$86)&gt;=SchemeStart,IF($X29=0,$AD29,IF(AND($Z29&lt;&gt;"",EDATE($D29,Milestones!$AA$86)&gt;=$Z29),$AC29,IF(AND($Y29&lt;&gt;"",EDATE($D29,Milestones!$AA$86)&gt;=$Y29),$AB29,$AA29)))=Milestones!$AB$86),UPPER(TEXT(EDATE($D29,Milestones!$AA$86),"dd mmm yy"))&amp;" "&amp;Milestones!$AB$86&amp;" "&amp;IF(AND(Milestones!$AB$86="FT",Milestones!$AA$86=FT_Y5,EDATE($D29,Milestones!$AA$86)&lt;PolicyEff),1,Milestones!$AC$86)&amp;";  ","")&amp;IF(AND(EDATE($D29,Milestones!$AA$87)&lt;=AsOfDate,EDATE($D29,Milestones!$AA$87)&gt;=SchemeStart,IF($X29=0,$AD29,IF(AND($Z29&lt;&gt;"",EDATE($D29,Milestones!$AA$87)&gt;=$Z29),$AC29,IF(AND($Y29&lt;&gt;"",EDATE($D29,Milestones!$AA$87)&gt;=$Y29),$AB29,$AA29)))=Milestones!$AB$87),UPPER(TEXT(EDATE($D29,Milestones!$AA$87),"dd mmm yy"))&amp;" "&amp;Milestones!$AB$87&amp;" "&amp;IF(AND(Milestones!$AB$87="FT",Milestones!$AA$87=FT_Y5,EDATE($D29,Milestones!$AA$87)&lt;PolicyEff),1,Milestones!$AC$87)&amp;";  ","")&amp;IF(AND(EDATE($D29,Milestones!$AA$88)&lt;=AsOfDate,EDATE($D29,Milestones!$AA$88)&gt;=SchemeStart,IF($X29=0,$AD29,IF(AND($Z29&lt;&gt;"",EDATE($D29,Milestones!$AA$88)&gt;=$Z29),$AC29,IF(AND($Y29&lt;&gt;"",EDATE($D29,Milestones!$AA$88)&gt;=$Y29),$AB29,$AA29)))=Milestones!$AB$88),UPPER(TEXT(EDATE($D29,Milestones!$AA$88),"dd mmm yy"))&amp;" "&amp;Milestones!$AB$88&amp;" "&amp;IF(AND(Milestones!$AB$88="FT",Milestones!$AA$88=FT_Y5,EDATE($D29,Milestones!$AA$88)&lt;PolicyEff),1,Milestones!$AC$88)&amp;";  ","")&amp;IF(AND(EDATE($D29,Milestones!$AA$89)&lt;=AsOfDate,EDATE($D29,Milestones!$AA$89)&gt;=SchemeStart,IF($X29=0,$AD29,IF(AND($Z29&lt;&gt;"",EDATE($D29,Milestones!$AA$89)&gt;=$Z29),$AC29,IF(AND($Y29&lt;&gt;"",EDATE($D29,Milestones!$AA$89)&gt;=$Y29),$AB29,$AA29)))=Milestones!$AB$89),UPPER(TEXT(EDATE($D29,Milestones!$AA$89),"dd mmm yy"))&amp;" "&amp;Milestones!$AB$89&amp;" "&amp;IF(AND(Milestones!$AB$89="FT",Milestones!$AA$89=FT_Y5,EDATE($D29,Milestones!$AA$89)&lt;PolicyEff),1,Milestones!$AC$89)&amp;";  ","")&amp;IF(AND(EDATE($D29,Milestones!$AA$90)&lt;=AsOfDate,EDATE($D29,Milestones!$AA$90)&gt;=SchemeStart,IF($X29=0,$AD29,IF(AND($Z29&lt;&gt;"",EDATE($D29,Milestones!$AA$90)&gt;=$Z29),$AC29,IF(AND($Y29&lt;&gt;"",EDATE($D29,Milestones!$AA$90)&gt;=$Y29),$AB29,$AA29)))=Milestones!$AB$90),UPPER(TEXT(EDATE($D29,Milestones!$AA$90),"dd mmm yy"))&amp;" "&amp;Milestones!$AB$90&amp;" "&amp;IF(AND(Milestones!$AB$90="FT",Milestones!$AA$90=FT_Y5,EDATE($D29,Milestones!$AA$90)&lt;PolicyEff),1,Milestones!$AC$90)&amp;";  ","")&amp;IF(AND(EDATE($D29,Milestones!$AA$91)&lt;=AsOfDate,EDATE($D29,Milestones!$AA$91)&gt;=SchemeStart,IF($X29=0,$AD29,IF(AND($Z29&lt;&gt;"",EDATE($D29,Milestones!$AA$91)&gt;=$Z29),$AC29,IF(AND($Y29&lt;&gt;"",EDATE($D29,Milestones!$AA$91)&gt;=$Y29),$AB29,$AA29)))=Milestones!$AB$91),UPPER(TEXT(EDATE($D29,Milestones!$AA$91),"dd mmm yy"))&amp;" "&amp;Milestones!$AB$91&amp;" "&amp;IF(AND(Milestones!$AB$91="FT",Milestones!$AA$91=FT_Y5,EDATE($D29,Milestones!$AA$91)&lt;PolicyEff),1,Milestones!$AC$91)&amp;";  ",""))</f>
        <v/>
      </c>
      <c r="O29" s="0" t="str">
        <f aca="false">IF(OR($A29="",$D29=""),"",IF(AND(EDATE($D29,Milestones!$AA$92)&lt;=AsOfDate,EDATE($D29,Milestones!$AA$92)&gt;=SchemeStart,IF($X29=0,$AD29,IF(AND($Z29&lt;&gt;"",EDATE($D29,Milestones!$AA$92)&gt;=$Z29),$AC29,IF(AND($Y29&lt;&gt;"",EDATE($D29,Milestones!$AA$92)&gt;=$Y29),$AB29,$AA29)))=Milestones!$AB$92),UPPER(TEXT(EDATE($D29,Milestones!$AA$92),"dd mmm yy"))&amp;" "&amp;Milestones!$AB$92&amp;" "&amp;IF(AND(Milestones!$AB$92="FT",Milestones!$AA$92=FT_Y5,EDATE($D29,Milestones!$AA$92)&lt;PolicyEff),1,Milestones!$AC$92)&amp;";  ","")&amp;IF(AND(EDATE($D29,Milestones!$AA$93)&lt;=AsOfDate,EDATE($D29,Milestones!$AA$93)&gt;=SchemeStart,IF($X29=0,$AD29,IF(AND($Z29&lt;&gt;"",EDATE($D29,Milestones!$AA$93)&gt;=$Z29),$AC29,IF(AND($Y29&lt;&gt;"",EDATE($D29,Milestones!$AA$93)&gt;=$Y29),$AB29,$AA29)))=Milestones!$AB$93),UPPER(TEXT(EDATE($D29,Milestones!$AA$93),"dd mmm yy"))&amp;" "&amp;Milestones!$AB$93&amp;" "&amp;IF(AND(Milestones!$AB$93="FT",Milestones!$AA$93=FT_Y5,EDATE($D29,Milestones!$AA$93)&lt;PolicyEff),1,Milestones!$AC$93)&amp;";  ","")&amp;IF(AND(EDATE($D29,Milestones!$AA$94)&lt;=AsOfDate,EDATE($D29,Milestones!$AA$94)&gt;=SchemeStart,IF($X29=0,$AD29,IF(AND($Z29&lt;&gt;"",EDATE($D29,Milestones!$AA$94)&gt;=$Z29),$AC29,IF(AND($Y29&lt;&gt;"",EDATE($D29,Milestones!$AA$94)&gt;=$Y29),$AB29,$AA29)))=Milestones!$AB$94),UPPER(TEXT(EDATE($D29,Milestones!$AA$94),"dd mmm yy"))&amp;" "&amp;Milestones!$AB$94&amp;" "&amp;IF(AND(Milestones!$AB$94="FT",Milestones!$AA$94=FT_Y5,EDATE($D29,Milestones!$AA$94)&lt;PolicyEff),1,Milestones!$AC$94)&amp;";  ","")&amp;IF(AND(EDATE($D29,Milestones!$AA$95)&lt;=AsOfDate,EDATE($D29,Milestones!$AA$95)&gt;=SchemeStart,IF($X29=0,$AD29,IF(AND($Z29&lt;&gt;"",EDATE($D29,Milestones!$AA$95)&gt;=$Z29),$AC29,IF(AND($Y29&lt;&gt;"",EDATE($D29,Milestones!$AA$95)&gt;=$Y29),$AB29,$AA29)))=Milestones!$AB$95),UPPER(TEXT(EDATE($D29,Milestones!$AA$95),"dd mmm yy"))&amp;" "&amp;Milestones!$AB$95&amp;" "&amp;IF(AND(Milestones!$AB$95="FT",Milestones!$AA$95=FT_Y5,EDATE($D29,Milestones!$AA$95)&lt;PolicyEff),1,Milestones!$AC$95)&amp;";  ","")&amp;IF(AND(EDATE($D29,Milestones!$AA$96)&lt;=AsOfDate,EDATE($D29,Milestones!$AA$96)&gt;=SchemeStart,IF($X29=0,$AD29,IF(AND($Z29&lt;&gt;"",EDATE($D29,Milestones!$AA$96)&gt;=$Z29),$AC29,IF(AND($Y29&lt;&gt;"",EDATE($D29,Milestones!$AA$96)&gt;=$Y29),$AB29,$AA29)))=Milestones!$AB$96),UPPER(TEXT(EDATE($D29,Milestones!$AA$96),"dd mmm yy"))&amp;" "&amp;Milestones!$AB$96&amp;" "&amp;IF(AND(Milestones!$AB$96="FT",Milestones!$AA$96=FT_Y5,EDATE($D29,Milestones!$AA$96)&lt;PolicyEff),1,Milestones!$AC$96)&amp;";  ","")&amp;IF(AND(EDATE($D29,Milestones!$AA$97)&lt;=AsOfDate,EDATE($D29,Milestones!$AA$97)&gt;=SchemeStart,IF($X29=0,$AD29,IF(AND($Z29&lt;&gt;"",EDATE($D29,Milestones!$AA$97)&gt;=$Z29),$AC29,IF(AND($Y29&lt;&gt;"",EDATE($D29,Milestones!$AA$97)&gt;=$Y29),$AB29,$AA29)))=Milestones!$AB$97),UPPER(TEXT(EDATE($D29,Milestones!$AA$97),"dd mmm yy"))&amp;" "&amp;Milestones!$AB$97&amp;" "&amp;IF(AND(Milestones!$AB$97="FT",Milestones!$AA$97=FT_Y5,EDATE($D29,Milestones!$AA$97)&lt;PolicyEff),1,Milestones!$AC$97)&amp;";  ","")&amp;IF(AND(EDATE($D29,Milestones!$AA$98)&lt;=AsOfDate,EDATE($D29,Milestones!$AA$98)&gt;=SchemeStart,IF($X29=0,$AD29,IF(AND($Z29&lt;&gt;"",EDATE($D29,Milestones!$AA$98)&gt;=$Z29),$AC29,IF(AND($Y29&lt;&gt;"",EDATE($D29,Milestones!$AA$98)&gt;=$Y29),$AB29,$AA29)))=Milestones!$AB$98),UPPER(TEXT(EDATE($D29,Milestones!$AA$98),"dd mmm yy"))&amp;" "&amp;Milestones!$AB$98&amp;" "&amp;IF(AND(Milestones!$AB$98="FT",Milestones!$AA$98=FT_Y5,EDATE($D29,Milestones!$AA$98)&lt;PolicyEff),1,Milestones!$AC$98)&amp;";  ","")&amp;IF(AND(EDATE($D29,Milestones!$AA$99)&lt;=AsOfDate,EDATE($D29,Milestones!$AA$99)&gt;=SchemeStart,IF($X29=0,$AD29,IF(AND($Z29&lt;&gt;"",EDATE($D29,Milestones!$AA$99)&gt;=$Z29),$AC29,IF(AND($Y29&lt;&gt;"",EDATE($D29,Milestones!$AA$99)&gt;=$Y29),$AB29,$AA29)))=Milestones!$AB$99),UPPER(TEXT(EDATE($D29,Milestones!$AA$99),"dd mmm yy"))&amp;" "&amp;Milestones!$AB$99&amp;" "&amp;IF(AND(Milestones!$AB$99="FT",Milestones!$AA$99=FT_Y5,EDATE($D29,Milestones!$AA$99)&lt;PolicyEff),1,Milestones!$AC$99)&amp;";  ","")&amp;IF(AND(EDATE($D29,Milestones!$AA$100)&lt;=AsOfDate,EDATE($D29,Milestones!$AA$100)&gt;=SchemeStart,IF($X29=0,$AD29,IF(AND($Z29&lt;&gt;"",EDATE($D29,Milestones!$AA$100)&gt;=$Z29),$AC29,IF(AND($Y29&lt;&gt;"",EDATE($D29,Milestones!$AA$100)&gt;=$Y29),$AB29,$AA29)))=Milestones!$AB$100),UPPER(TEXT(EDATE($D29,Milestones!$AA$100),"dd mmm yy"))&amp;" "&amp;Milestones!$AB$100&amp;" "&amp;IF(AND(Milestones!$AB$100="FT",Milestones!$AA$100=FT_Y5,EDATE($D29,Milestones!$AA$100)&lt;PolicyEff),1,Milestones!$AC$100)&amp;";  ","")&amp;IF(AND(EDATE($D29,Milestones!$AA$101)&lt;=AsOfDate,EDATE($D29,Milestones!$AA$101)&gt;=SchemeStart,IF($X29=0,$AD29,IF(AND($Z29&lt;&gt;"",EDATE($D29,Milestones!$AA$101)&gt;=$Z29),$AC29,IF(AND($Y29&lt;&gt;"",EDATE($D29,Milestones!$AA$101)&gt;=$Y29),$AB29,$AA29)))=Milestones!$AB$101),UPPER(TEXT(EDATE($D29,Milestones!$AA$101),"dd mmm yy"))&amp;" "&amp;Milestones!$AB$101&amp;" "&amp;IF(AND(Milestones!$AB$101="FT",Milestones!$AA$101=FT_Y5,EDATE($D29,Milestones!$AA$101)&lt;PolicyEff),1,Milestones!$AC$101)&amp;";  ","")&amp;IF(AND(EDATE($D29,Milestones!$AA$102)&lt;=AsOfDate,EDATE($D29,Milestones!$AA$102)&gt;=SchemeStart,IF($X29=0,$AD29,IF(AND($Z29&lt;&gt;"",EDATE($D29,Milestones!$AA$102)&gt;=$Z29),$AC29,IF(AND($Y29&lt;&gt;"",EDATE($D29,Milestones!$AA$102)&gt;=$Y29),$AB29,$AA29)))=Milestones!$AB$102),UPPER(TEXT(EDATE($D29,Milestones!$AA$102),"dd mmm yy"))&amp;" "&amp;Milestones!$AB$102&amp;" "&amp;IF(AND(Milestones!$AB$102="FT",Milestones!$AA$102=FT_Y5,EDATE($D29,Milestones!$AA$102)&lt;PolicyEff),1,Milestones!$AC$102)&amp;";  ","")&amp;IF(AND(EDATE($D29,Milestones!$AA$103)&lt;=AsOfDate,EDATE($D29,Milestones!$AA$103)&gt;=SchemeStart,IF($X29=0,$AD29,IF(AND($Z29&lt;&gt;"",EDATE($D29,Milestones!$AA$103)&gt;=$Z29),$AC29,IF(AND($Y29&lt;&gt;"",EDATE($D29,Milestones!$AA$103)&gt;=$Y29),$AB29,$AA29)))=Milestones!$AB$103),UPPER(TEXT(EDATE($D29,Milestones!$AA$103),"dd mmm yy"))&amp;" "&amp;Milestones!$AB$103&amp;" "&amp;IF(AND(Milestones!$AB$103="FT",Milestones!$AA$103=FT_Y5,EDATE($D29,Milestones!$AA$103)&lt;PolicyEff),1,Milestones!$AC$103)&amp;";  ",""))</f>
        <v/>
      </c>
      <c r="P29" s="0" t="str">
        <f aca="false">IF(OR($A29="",$D29=""),"",IF(AND(EDATE($D29,Milestones!$AA$104)&lt;=AsOfDate,EDATE($D29,Milestones!$AA$104)&gt;=SchemeStart,IF($X29=0,$AD29,IF(AND($Z29&lt;&gt;"",EDATE($D29,Milestones!$AA$104)&gt;=$Z29),$AC29,IF(AND($Y29&lt;&gt;"",EDATE($D29,Milestones!$AA$104)&gt;=$Y29),$AB29,$AA29)))=Milestones!$AB$104),UPPER(TEXT(EDATE($D29,Milestones!$AA$104),"dd mmm yy"))&amp;" "&amp;Milestones!$AB$104&amp;" "&amp;IF(AND(Milestones!$AB$104="FT",Milestones!$AA$104=FT_Y5,EDATE($D29,Milestones!$AA$104)&lt;PolicyEff),1,Milestones!$AC$104)&amp;";  ","")&amp;IF(AND(EDATE($D29,Milestones!$AA$105)&lt;=AsOfDate,EDATE($D29,Milestones!$AA$105)&gt;=SchemeStart,IF($X29=0,$AD29,IF(AND($Z29&lt;&gt;"",EDATE($D29,Milestones!$AA$105)&gt;=$Z29),$AC29,IF(AND($Y29&lt;&gt;"",EDATE($D29,Milestones!$AA$105)&gt;=$Y29),$AB29,$AA29)))=Milestones!$AB$105),UPPER(TEXT(EDATE($D29,Milestones!$AA$105),"dd mmm yy"))&amp;" "&amp;Milestones!$AB$105&amp;" "&amp;IF(AND(Milestones!$AB$105="FT",Milestones!$AA$105=FT_Y5,EDATE($D29,Milestones!$AA$105)&lt;PolicyEff),1,Milestones!$AC$105)&amp;";  ","")&amp;IF(AND(EDATE($D29,Milestones!$AA$106)&lt;=AsOfDate,EDATE($D29,Milestones!$AA$106)&gt;=SchemeStart,IF($X29=0,$AD29,IF(AND($Z29&lt;&gt;"",EDATE($D29,Milestones!$AA$106)&gt;=$Z29),$AC29,IF(AND($Y29&lt;&gt;"",EDATE($D29,Milestones!$AA$106)&gt;=$Y29),$AB29,$AA29)))=Milestones!$AB$106),UPPER(TEXT(EDATE($D29,Milestones!$AA$106),"dd mmm yy"))&amp;" "&amp;Milestones!$AB$106&amp;" "&amp;IF(AND(Milestones!$AB$106="FT",Milestones!$AA$106=FT_Y5,EDATE($D29,Milestones!$AA$106)&lt;PolicyEff),1,Milestones!$AC$106)&amp;";  ","")&amp;IF(AND(EDATE($D29,Milestones!$AA$107)&lt;=AsOfDate,EDATE($D29,Milestones!$AA$107)&gt;=SchemeStart,IF($X29=0,$AD29,IF(AND($Z29&lt;&gt;"",EDATE($D29,Milestones!$AA$107)&gt;=$Z29),$AC29,IF(AND($Y29&lt;&gt;"",EDATE($D29,Milestones!$AA$107)&gt;=$Y29),$AB29,$AA29)))=Milestones!$AB$107),UPPER(TEXT(EDATE($D29,Milestones!$AA$107),"dd mmm yy"))&amp;" "&amp;Milestones!$AB$107&amp;" "&amp;IF(AND(Milestones!$AB$107="FT",Milestones!$AA$107=FT_Y5,EDATE($D29,Milestones!$AA$107)&lt;PolicyEff),1,Milestones!$AC$107)&amp;";  ","")&amp;IF(AND(EDATE($D29,Milestones!$AA$108)&lt;=AsOfDate,EDATE($D29,Milestones!$AA$108)&gt;=SchemeStart,IF($X29=0,$AD29,IF(AND($Z29&lt;&gt;"",EDATE($D29,Milestones!$AA$108)&gt;=$Z29),$AC29,IF(AND($Y29&lt;&gt;"",EDATE($D29,Milestones!$AA$108)&gt;=$Y29),$AB29,$AA29)))=Milestones!$AB$108),UPPER(TEXT(EDATE($D29,Milestones!$AA$108),"dd mmm yy"))&amp;" "&amp;Milestones!$AB$108&amp;" "&amp;IF(AND(Milestones!$AB$108="FT",Milestones!$AA$108=FT_Y5,EDATE($D29,Milestones!$AA$108)&lt;PolicyEff),1,Milestones!$AC$108)&amp;";  ","")&amp;IF(AND(EDATE($D29,Milestones!$AA$109)&lt;=AsOfDate,EDATE($D29,Milestones!$AA$109)&gt;=SchemeStart,IF($X29=0,$AD29,IF(AND($Z29&lt;&gt;"",EDATE($D29,Milestones!$AA$109)&gt;=$Z29),$AC29,IF(AND($Y29&lt;&gt;"",EDATE($D29,Milestones!$AA$109)&gt;=$Y29),$AB29,$AA29)))=Milestones!$AB$109),UPPER(TEXT(EDATE($D29,Milestones!$AA$109),"dd mmm yy"))&amp;" "&amp;Milestones!$AB$109&amp;" "&amp;IF(AND(Milestones!$AB$109="FT",Milestones!$AA$109=FT_Y5,EDATE($D29,Milestones!$AA$109)&lt;PolicyEff),1,Milestones!$AC$109)&amp;";  ","")&amp;IF(AND(EDATE($D29,Milestones!$AA$110)&lt;=AsOfDate,EDATE($D29,Milestones!$AA$110)&gt;=SchemeStart,IF($X29=0,$AD29,IF(AND($Z29&lt;&gt;"",EDATE($D29,Milestones!$AA$110)&gt;=$Z29),$AC29,IF(AND($Y29&lt;&gt;"",EDATE($D29,Milestones!$AA$110)&gt;=$Y29),$AB29,$AA29)))=Milestones!$AB$110),UPPER(TEXT(EDATE($D29,Milestones!$AA$110),"dd mmm yy"))&amp;" "&amp;Milestones!$AB$110&amp;" "&amp;IF(AND(Milestones!$AB$110="FT",Milestones!$AA$110=FT_Y5,EDATE($D29,Milestones!$AA$110)&lt;PolicyEff),1,Milestones!$AC$110)&amp;";  ","")&amp;IF(AND(EDATE($D29,Milestones!$AA$111)&lt;=AsOfDate,EDATE($D29,Milestones!$AA$111)&gt;=SchemeStart,IF($X29=0,$AD29,IF(AND($Z29&lt;&gt;"",EDATE($D29,Milestones!$AA$111)&gt;=$Z29),$AC29,IF(AND($Y29&lt;&gt;"",EDATE($D29,Milestones!$AA$111)&gt;=$Y29),$AB29,$AA29)))=Milestones!$AB$111),UPPER(TEXT(EDATE($D29,Milestones!$AA$111),"dd mmm yy"))&amp;" "&amp;Milestones!$AB$111&amp;" "&amp;IF(AND(Milestones!$AB$111="FT",Milestones!$AA$111=FT_Y5,EDATE($D29,Milestones!$AA$111)&lt;PolicyEff),1,Milestones!$AC$111)&amp;";  ","")&amp;IF(AND(EDATE($D29,Milestones!$AA$112)&lt;=AsOfDate,EDATE($D29,Milestones!$AA$112)&gt;=SchemeStart,IF($X29=0,$AD29,IF(AND($Z29&lt;&gt;"",EDATE($D29,Milestones!$AA$112)&gt;=$Z29),$AC29,IF(AND($Y29&lt;&gt;"",EDATE($D29,Milestones!$AA$112)&gt;=$Y29),$AB29,$AA29)))=Milestones!$AB$112),UPPER(TEXT(EDATE($D29,Milestones!$AA$112),"dd mmm yy"))&amp;" "&amp;Milestones!$AB$112&amp;" "&amp;IF(AND(Milestones!$AB$112="FT",Milestones!$AA$112=FT_Y5,EDATE($D29,Milestones!$AA$112)&lt;PolicyEff),1,Milestones!$AC$112)&amp;";  ","")&amp;IF(AND(EDATE($D29,Milestones!$AA$113)&lt;=AsOfDate,EDATE($D29,Milestones!$AA$113)&gt;=SchemeStart,IF($X29=0,$AD29,IF(AND($Z29&lt;&gt;"",EDATE($D29,Milestones!$AA$113)&gt;=$Z29),$AC29,IF(AND($Y29&lt;&gt;"",EDATE($D29,Milestones!$AA$113)&gt;=$Y29),$AB29,$AA29)))=Milestones!$AB$113),UPPER(TEXT(EDATE($D29,Milestones!$AA$113),"dd mmm yy"))&amp;" "&amp;Milestones!$AB$113&amp;" "&amp;IF(AND(Milestones!$AB$113="FT",Milestones!$AA$113=FT_Y5,EDATE($D29,Milestones!$AA$113)&lt;PolicyEff),1,Milestones!$AC$113)&amp;";  ","")&amp;IF(AND(EDATE($D29,Milestones!$AA$114)&lt;=AsOfDate,EDATE($D29,Milestones!$AA$114)&gt;=SchemeStart,IF($X29=0,$AD29,IF(AND($Z29&lt;&gt;"",EDATE($D29,Milestones!$AA$114)&gt;=$Z29),$AC29,IF(AND($Y29&lt;&gt;"",EDATE($D29,Milestones!$AA$114)&gt;=$Y29),$AB29,$AA29)))=Milestones!$AB$114),UPPER(TEXT(EDATE($D29,Milestones!$AA$114),"dd mmm yy"))&amp;" "&amp;Milestones!$AB$114&amp;" "&amp;IF(AND(Milestones!$AB$114="FT",Milestones!$AA$114=FT_Y5,EDATE($D29,Milestones!$AA$114)&lt;PolicyEff),1,Milestones!$AC$114)&amp;";  ","")&amp;IF(AND(EDATE($D29,Milestones!$AA$115)&lt;=AsOfDate,EDATE($D29,Milestones!$AA$115)&gt;=SchemeStart,IF($X29=0,$AD29,IF(AND($Z29&lt;&gt;"",EDATE($D29,Milestones!$AA$115)&gt;=$Z29),$AC29,IF(AND($Y29&lt;&gt;"",EDATE($D29,Milestones!$AA$115)&gt;=$Y29),$AB29,$AA29)))=Milestones!$AB$115),UPPER(TEXT(EDATE($D29,Milestones!$AA$115),"dd mmm yy"))&amp;" "&amp;Milestones!$AB$115&amp;" "&amp;IF(AND(Milestones!$AB$115="FT",Milestones!$AA$115=FT_Y5,EDATE($D29,Milestones!$AA$115)&lt;PolicyEff),1,Milestones!$AC$115)&amp;";  ",""))</f>
        <v/>
      </c>
      <c r="Q29" s="0" t="str">
        <f aca="false">IF(OR($A29="",$D29=""),"",IF(AND(EDATE($D29,Milestones!$AA$116)&lt;=AsOfDate,EDATE($D29,Milestones!$AA$116)&gt;=SchemeStart,IF($X29=0,$AD29,IF(AND($Z29&lt;&gt;"",EDATE($D29,Milestones!$AA$116)&gt;=$Z29),$AC29,IF(AND($Y29&lt;&gt;"",EDATE($D29,Milestones!$AA$116)&gt;=$Y29),$AB29,$AA29)))=Milestones!$AB$116),UPPER(TEXT(EDATE($D29,Milestones!$AA$116),"dd mmm yy"))&amp;" "&amp;Milestones!$AB$116&amp;" "&amp;IF(AND(Milestones!$AB$116="FT",Milestones!$AA$116=FT_Y5,EDATE($D29,Milestones!$AA$116)&lt;PolicyEff),1,Milestones!$AC$116)&amp;";  ","")&amp;IF(AND(EDATE($D29,Milestones!$AA$117)&lt;=AsOfDate,EDATE($D29,Milestones!$AA$117)&gt;=SchemeStart,IF($X29=0,$AD29,IF(AND($Z29&lt;&gt;"",EDATE($D29,Milestones!$AA$117)&gt;=$Z29),$AC29,IF(AND($Y29&lt;&gt;"",EDATE($D29,Milestones!$AA$117)&gt;=$Y29),$AB29,$AA29)))=Milestones!$AB$117),UPPER(TEXT(EDATE($D29,Milestones!$AA$117),"dd mmm yy"))&amp;" "&amp;Milestones!$AB$117&amp;" "&amp;IF(AND(Milestones!$AB$117="FT",Milestones!$AA$117=FT_Y5,EDATE($D29,Milestones!$AA$117)&lt;PolicyEff),1,Milestones!$AC$117)&amp;";  ","")&amp;IF(AND(EDATE($D29,Milestones!$AA$118)&lt;=AsOfDate,EDATE($D29,Milestones!$AA$118)&gt;=SchemeStart,IF($X29=0,$AD29,IF(AND($Z29&lt;&gt;"",EDATE($D29,Milestones!$AA$118)&gt;=$Z29),$AC29,IF(AND($Y29&lt;&gt;"",EDATE($D29,Milestones!$AA$118)&gt;=$Y29),$AB29,$AA29)))=Milestones!$AB$118),UPPER(TEXT(EDATE($D29,Milestones!$AA$118),"dd mmm yy"))&amp;" "&amp;Milestones!$AB$118&amp;" "&amp;IF(AND(Milestones!$AB$118="FT",Milestones!$AA$118=FT_Y5,EDATE($D29,Milestones!$AA$118)&lt;PolicyEff),1,Milestones!$AC$118)&amp;";  ","")&amp;IF(AND(EDATE($D29,Milestones!$AA$119)&lt;=AsOfDate,EDATE($D29,Milestones!$AA$119)&gt;=SchemeStart,IF($X29=0,$AD29,IF(AND($Z29&lt;&gt;"",EDATE($D29,Milestones!$AA$119)&gt;=$Z29),$AC29,IF(AND($Y29&lt;&gt;"",EDATE($D29,Milestones!$AA$119)&gt;=$Y29),$AB29,$AA29)))=Milestones!$AB$119),UPPER(TEXT(EDATE($D29,Milestones!$AA$119),"dd mmm yy"))&amp;" "&amp;Milestones!$AB$119&amp;" "&amp;IF(AND(Milestones!$AB$119="FT",Milestones!$AA$119=FT_Y5,EDATE($D29,Milestones!$AA$119)&lt;PolicyEff),1,Milestones!$AC$119)&amp;";  ","")&amp;IF(AND(EDATE($D29,Milestones!$AA$120)&lt;=AsOfDate,EDATE($D29,Milestones!$AA$120)&gt;=SchemeStart,IF($X29=0,$AD29,IF(AND($Z29&lt;&gt;"",EDATE($D29,Milestones!$AA$120)&gt;=$Z29),$AC29,IF(AND($Y29&lt;&gt;"",EDATE($D29,Milestones!$AA$120)&gt;=$Y29),$AB29,$AA29)))=Milestones!$AB$120),UPPER(TEXT(EDATE($D29,Milestones!$AA$120),"dd mmm yy"))&amp;" "&amp;Milestones!$AB$120&amp;" "&amp;IF(AND(Milestones!$AB$120="FT",Milestones!$AA$120=FT_Y5,EDATE($D29,Milestones!$AA$120)&lt;PolicyEff),1,Milestones!$AC$120)&amp;";  ","")&amp;IF(AND(EDATE($D29,Milestones!$AA$121)&lt;=AsOfDate,EDATE($D29,Milestones!$AA$121)&gt;=SchemeStart,IF($X29=0,$AD29,IF(AND($Z29&lt;&gt;"",EDATE($D29,Milestones!$AA$121)&gt;=$Z29),$AC29,IF(AND($Y29&lt;&gt;"",EDATE($D29,Milestones!$AA$121)&gt;=$Y29),$AB29,$AA29)))=Milestones!$AB$121),UPPER(TEXT(EDATE($D29,Milestones!$AA$121),"dd mmm yy"))&amp;" "&amp;Milestones!$AB$121&amp;" "&amp;IF(AND(Milestones!$AB$121="FT",Milestones!$AA$121=FT_Y5,EDATE($D29,Milestones!$AA$121)&lt;PolicyEff),1,Milestones!$AC$121)&amp;";  ","")&amp;IF(AND(EDATE($D29,Milestones!$AA$122)&lt;=AsOfDate,EDATE($D29,Milestones!$AA$122)&gt;=SchemeStart,IF($X29=0,$AD29,IF(AND($Z29&lt;&gt;"",EDATE($D29,Milestones!$AA$122)&gt;=$Z29),$AC29,IF(AND($Y29&lt;&gt;"",EDATE($D29,Milestones!$AA$122)&gt;=$Y29),$AB29,$AA29)))=Milestones!$AB$122),UPPER(TEXT(EDATE($D29,Milestones!$AA$122),"dd mmm yy"))&amp;" "&amp;Milestones!$AB$122&amp;" "&amp;IF(AND(Milestones!$AB$122="FT",Milestones!$AA$122=FT_Y5,EDATE($D29,Milestones!$AA$122)&lt;PolicyEff),1,Milestones!$AC$122)&amp;";  ","")&amp;IF(AND(EDATE($D29,Milestones!$AA$123)&lt;=AsOfDate,EDATE($D29,Milestones!$AA$123)&gt;=SchemeStart,IF($X29=0,$AD29,IF(AND($Z29&lt;&gt;"",EDATE($D29,Milestones!$AA$123)&gt;=$Z29),$AC29,IF(AND($Y29&lt;&gt;"",EDATE($D29,Milestones!$AA$123)&gt;=$Y29),$AB29,$AA29)))=Milestones!$AB$123),UPPER(TEXT(EDATE($D29,Milestones!$AA$123),"dd mmm yy"))&amp;" "&amp;Milestones!$AB$123&amp;" "&amp;IF(AND(Milestones!$AB$123="FT",Milestones!$AA$123=FT_Y5,EDATE($D29,Milestones!$AA$123)&lt;PolicyEff),1,Milestones!$AC$123)&amp;";  ","")&amp;IF(AND(EDATE($D29,Milestones!$AA$124)&lt;=AsOfDate,EDATE($D29,Milestones!$AA$124)&gt;=SchemeStart,IF($X29=0,$AD29,IF(AND($Z29&lt;&gt;"",EDATE($D29,Milestones!$AA$124)&gt;=$Z29),$AC29,IF(AND($Y29&lt;&gt;"",EDATE($D29,Milestones!$AA$124)&gt;=$Y29),$AB29,$AA29)))=Milestones!$AB$124),UPPER(TEXT(EDATE($D29,Milestones!$AA$124),"dd mmm yy"))&amp;" "&amp;Milestones!$AB$124&amp;" "&amp;IF(AND(Milestones!$AB$124="FT",Milestones!$AA$124=FT_Y5,EDATE($D29,Milestones!$AA$124)&lt;PolicyEff),1,Milestones!$AC$124)&amp;";  ","")&amp;IF(AND(EDATE($D29,Milestones!$AA$125)&lt;=AsOfDate,EDATE($D29,Milestones!$AA$125)&gt;=SchemeStart,IF($X29=0,$AD29,IF(AND($Z29&lt;&gt;"",EDATE($D29,Milestones!$AA$125)&gt;=$Z29),$AC29,IF(AND($Y29&lt;&gt;"",EDATE($D29,Milestones!$AA$125)&gt;=$Y29),$AB29,$AA29)))=Milestones!$AB$125),UPPER(TEXT(EDATE($D29,Milestones!$AA$125),"dd mmm yy"))&amp;" "&amp;Milestones!$AB$125&amp;" "&amp;IF(AND(Milestones!$AB$125="FT",Milestones!$AA$125=FT_Y5,EDATE($D29,Milestones!$AA$125)&lt;PolicyEff),1,Milestones!$AC$125)&amp;";  ","")&amp;IF(AND(EDATE($D29,Milestones!$AA$126)&lt;=AsOfDate,EDATE($D29,Milestones!$AA$126)&gt;=SchemeStart,IF($X29=0,$AD29,IF(AND($Z29&lt;&gt;"",EDATE($D29,Milestones!$AA$126)&gt;=$Z29),$AC29,IF(AND($Y29&lt;&gt;"",EDATE($D29,Milestones!$AA$126)&gt;=$Y29),$AB29,$AA29)))=Milestones!$AB$126),UPPER(TEXT(EDATE($D29,Milestones!$AA$126),"dd mmm yy"))&amp;" "&amp;Milestones!$AB$126&amp;" "&amp;IF(AND(Milestones!$AB$126="FT",Milestones!$AA$126=FT_Y5,EDATE($D29,Milestones!$AA$126)&lt;PolicyEff),1,Milestones!$AC$126)&amp;";  ","")&amp;IF(AND(EDATE($D29,Milestones!$AA$127)&lt;=AsOfDate,EDATE($D29,Milestones!$AA$127)&gt;=SchemeStart,IF($X29=0,$AD29,IF(AND($Z29&lt;&gt;"",EDATE($D29,Milestones!$AA$127)&gt;=$Z29),$AC29,IF(AND($Y29&lt;&gt;"",EDATE($D29,Milestones!$AA$127)&gt;=$Y29),$AB29,$AA29)))=Milestones!$AB$127),UPPER(TEXT(EDATE($D29,Milestones!$AA$127),"dd mmm yy"))&amp;" "&amp;Milestones!$AB$127&amp;" "&amp;IF(AND(Milestones!$AB$127="FT",Milestones!$AA$127=FT_Y5,EDATE($D29,Milestones!$AA$127)&lt;PolicyEff),1,Milestones!$AC$127)&amp;";  ",""))</f>
        <v/>
      </c>
      <c r="R29" s="0" t="str">
        <f aca="false">IF(OR($A29="",$D29=""),"",IF(AND(EDATE($D29,Milestones!$AA$128)&lt;=AsOfDate,EDATE($D29,Milestones!$AA$128)&gt;=SchemeStart,IF($X29=0,$AD29,IF(AND($Z29&lt;&gt;"",EDATE($D29,Milestones!$AA$128)&gt;=$Z29),$AC29,IF(AND($Y29&lt;&gt;"",EDATE($D29,Milestones!$AA$128)&gt;=$Y29),$AB29,$AA29)))=Milestones!$AB$128),UPPER(TEXT(EDATE($D29,Milestones!$AA$128),"dd mmm yy"))&amp;" "&amp;Milestones!$AB$128&amp;" "&amp;IF(AND(Milestones!$AB$128="FT",Milestones!$AA$128=FT_Y5,EDATE($D29,Milestones!$AA$128)&lt;PolicyEff),1,Milestones!$AC$128)&amp;";  ","")&amp;IF(AND(EDATE($D29,Milestones!$AA$129)&lt;=AsOfDate,EDATE($D29,Milestones!$AA$129)&gt;=SchemeStart,IF($X29=0,$AD29,IF(AND($Z29&lt;&gt;"",EDATE($D29,Milestones!$AA$129)&gt;=$Z29),$AC29,IF(AND($Y29&lt;&gt;"",EDATE($D29,Milestones!$AA$129)&gt;=$Y29),$AB29,$AA29)))=Milestones!$AB$129),UPPER(TEXT(EDATE($D29,Milestones!$AA$129),"dd mmm yy"))&amp;" "&amp;Milestones!$AB$129&amp;" "&amp;IF(AND(Milestones!$AB$129="FT",Milestones!$AA$129=FT_Y5,EDATE($D29,Milestones!$AA$129)&lt;PolicyEff),1,Milestones!$AC$129)&amp;";  ","")&amp;IF(AND(EDATE($D29,Milestones!$AA$130)&lt;=AsOfDate,EDATE($D29,Milestones!$AA$130)&gt;=SchemeStart,IF($X29=0,$AD29,IF(AND($Z29&lt;&gt;"",EDATE($D29,Milestones!$AA$130)&gt;=$Z29),$AC29,IF(AND($Y29&lt;&gt;"",EDATE($D29,Milestones!$AA$130)&gt;=$Y29),$AB29,$AA29)))=Milestones!$AB$130),UPPER(TEXT(EDATE($D29,Milestones!$AA$130),"dd mmm yy"))&amp;" "&amp;Milestones!$AB$130&amp;" "&amp;IF(AND(Milestones!$AB$130="FT",Milestones!$AA$130=FT_Y5,EDATE($D29,Milestones!$AA$130)&lt;PolicyEff),1,Milestones!$AC$130)&amp;";  ","")&amp;IF(AND(EDATE($D29,Milestones!$AA$131)&lt;=AsOfDate,EDATE($D29,Milestones!$AA$131)&gt;=SchemeStart,IF($X29=0,$AD29,IF(AND($Z29&lt;&gt;"",EDATE($D29,Milestones!$AA$131)&gt;=$Z29),$AC29,IF(AND($Y29&lt;&gt;"",EDATE($D29,Milestones!$AA$131)&gt;=$Y29),$AB29,$AA29)))=Milestones!$AB$131),UPPER(TEXT(EDATE($D29,Milestones!$AA$131),"dd mmm yy"))&amp;" "&amp;Milestones!$AB$131&amp;" "&amp;IF(AND(Milestones!$AB$131="FT",Milestones!$AA$131=FT_Y5,EDATE($D29,Milestones!$AA$131)&lt;PolicyEff),1,Milestones!$AC$131)&amp;";  ","")&amp;IF(AND(EDATE($D29,Milestones!$AA$132)&lt;=AsOfDate,EDATE($D29,Milestones!$AA$132)&gt;=SchemeStart,IF($X29=0,$AD29,IF(AND($Z29&lt;&gt;"",EDATE($D29,Milestones!$AA$132)&gt;=$Z29),$AC29,IF(AND($Y29&lt;&gt;"",EDATE($D29,Milestones!$AA$132)&gt;=$Y29),$AB29,$AA29)))=Milestones!$AB$132),UPPER(TEXT(EDATE($D29,Milestones!$AA$132),"dd mmm yy"))&amp;" "&amp;Milestones!$AB$132&amp;" "&amp;IF(AND(Milestones!$AB$132="FT",Milestones!$AA$132=FT_Y5,EDATE($D29,Milestones!$AA$132)&lt;PolicyEff),1,Milestones!$AC$132)&amp;";  ","")&amp;IF(AND(EDATE($D29,Milestones!$AA$133)&lt;=AsOfDate,EDATE($D29,Milestones!$AA$133)&gt;=SchemeStart,IF($X29=0,$AD29,IF(AND($Z29&lt;&gt;"",EDATE($D29,Milestones!$AA$133)&gt;=$Z29),$AC29,IF(AND($Y29&lt;&gt;"",EDATE($D29,Milestones!$AA$133)&gt;=$Y29),$AB29,$AA29)))=Milestones!$AB$133),UPPER(TEXT(EDATE($D29,Milestones!$AA$133),"dd mmm yy"))&amp;" "&amp;Milestones!$AB$133&amp;" "&amp;IF(AND(Milestones!$AB$133="FT",Milestones!$AA$133=FT_Y5,EDATE($D29,Milestones!$AA$133)&lt;PolicyEff),1,Milestones!$AC$133)&amp;";  ","")&amp;IF(AND(EDATE($D29,Milestones!$AA$134)&lt;=AsOfDate,EDATE($D29,Milestones!$AA$134)&gt;=SchemeStart,IF($X29=0,$AD29,IF(AND($Z29&lt;&gt;"",EDATE($D29,Milestones!$AA$134)&gt;=$Z29),$AC29,IF(AND($Y29&lt;&gt;"",EDATE($D29,Milestones!$AA$134)&gt;=$Y29),$AB29,$AA29)))=Milestones!$AB$134),UPPER(TEXT(EDATE($D29,Milestones!$AA$134),"dd mmm yy"))&amp;" "&amp;Milestones!$AB$134&amp;" "&amp;IF(AND(Milestones!$AB$134="FT",Milestones!$AA$134=FT_Y5,EDATE($D29,Milestones!$AA$134)&lt;PolicyEff),1,Milestones!$AC$134)&amp;";  ","")&amp;IF(AND(EDATE($D29,Milestones!$AA$135)&lt;=AsOfDate,EDATE($D29,Milestones!$AA$135)&gt;=SchemeStart,IF($X29=0,$AD29,IF(AND($Z29&lt;&gt;"",EDATE($D29,Milestones!$AA$135)&gt;=$Z29),$AC29,IF(AND($Y29&lt;&gt;"",EDATE($D29,Milestones!$AA$135)&gt;=$Y29),$AB29,$AA29)))=Milestones!$AB$135),UPPER(TEXT(EDATE($D29,Milestones!$AA$135),"dd mmm yy"))&amp;" "&amp;Milestones!$AB$135&amp;" "&amp;IF(AND(Milestones!$AB$135="FT",Milestones!$AA$135=FT_Y5,EDATE($D29,Milestones!$AA$135)&lt;PolicyEff),1,Milestones!$AC$135)&amp;";  ","")&amp;IF(AND(EDATE($D29,Milestones!$AA$136)&lt;=AsOfDate,EDATE($D29,Milestones!$AA$136)&gt;=SchemeStart,IF($X29=0,$AD29,IF(AND($Z29&lt;&gt;"",EDATE($D29,Milestones!$AA$136)&gt;=$Z29),$AC29,IF(AND($Y29&lt;&gt;"",EDATE($D29,Milestones!$AA$136)&gt;=$Y29),$AB29,$AA29)))=Milestones!$AB$136),UPPER(TEXT(EDATE($D29,Milestones!$AA$136),"dd mmm yy"))&amp;" "&amp;Milestones!$AB$136&amp;" "&amp;IF(AND(Milestones!$AB$136="FT",Milestones!$AA$136=FT_Y5,EDATE($D29,Milestones!$AA$136)&lt;PolicyEff),1,Milestones!$AC$136)&amp;";  ","")&amp;IF(AND(EDATE($D29,Milestones!$AA$137)&lt;=AsOfDate,EDATE($D29,Milestones!$AA$137)&gt;=SchemeStart,IF($X29=0,$AD29,IF(AND($Z29&lt;&gt;"",EDATE($D29,Milestones!$AA$137)&gt;=$Z29),$AC29,IF(AND($Y29&lt;&gt;"",EDATE($D29,Milestones!$AA$137)&gt;=$Y29),$AB29,$AA29)))=Milestones!$AB$137),UPPER(TEXT(EDATE($D29,Milestones!$AA$137),"dd mmm yy"))&amp;" "&amp;Milestones!$AB$137&amp;" "&amp;IF(AND(Milestones!$AB$137="FT",Milestones!$AA$137=FT_Y5,EDATE($D29,Milestones!$AA$137)&lt;PolicyEff),1,Milestones!$AC$137)&amp;";  ","")&amp;IF(AND(EDATE($D29,Milestones!$AA$138)&lt;=AsOfDate,EDATE($D29,Milestones!$AA$138)&gt;=SchemeStart,IF($X29=0,$AD29,IF(AND($Z29&lt;&gt;"",EDATE($D29,Milestones!$AA$138)&gt;=$Z29),$AC29,IF(AND($Y29&lt;&gt;"",EDATE($D29,Milestones!$AA$138)&gt;=$Y29),$AB29,$AA29)))=Milestones!$AB$138),UPPER(TEXT(EDATE($D29,Milestones!$AA$138),"dd mmm yy"))&amp;" "&amp;Milestones!$AB$138&amp;" "&amp;IF(AND(Milestones!$AB$138="FT",Milestones!$AA$138=FT_Y5,EDATE($D29,Milestones!$AA$138)&lt;PolicyEff),1,Milestones!$AC$138)&amp;";  ","")&amp;IF(AND(EDATE($D29,Milestones!$AA$139)&lt;=AsOfDate,EDATE($D29,Milestones!$AA$139)&gt;=SchemeStart,IF($X29=0,$AD29,IF(AND($Z29&lt;&gt;"",EDATE($D29,Milestones!$AA$139)&gt;=$Z29),$AC29,IF(AND($Y29&lt;&gt;"",EDATE($D29,Milestones!$AA$139)&gt;=$Y29),$AB29,$AA29)))=Milestones!$AB$139),UPPER(TEXT(EDATE($D29,Milestones!$AA$139),"dd mmm yy"))&amp;" "&amp;Milestones!$AB$139&amp;" "&amp;IF(AND(Milestones!$AB$139="FT",Milestones!$AA$139=FT_Y5,EDATE($D29,Milestones!$AA$139)&lt;PolicyEff),1,Milestones!$AC$139)&amp;";  ",""))</f>
        <v/>
      </c>
      <c r="S29" s="0" t="str">
        <f aca="false">IF(OR($A29="",$D29=""),"",IF(AND(EDATE($D29,Milestones!$AA$140)&lt;=AsOfDate,EDATE($D29,Milestones!$AA$140)&gt;=SchemeStart,IF($X29=0,$AD29,IF(AND($Z29&lt;&gt;"",EDATE($D29,Milestones!$AA$140)&gt;=$Z29),$AC29,IF(AND($Y29&lt;&gt;"",EDATE($D29,Milestones!$AA$140)&gt;=$Y29),$AB29,$AA29)))=Milestones!$AB$140),UPPER(TEXT(EDATE($D29,Milestones!$AA$140),"dd mmm yy"))&amp;" "&amp;Milestones!$AB$140&amp;" "&amp;IF(AND(Milestones!$AB$140="FT",Milestones!$AA$140=FT_Y5,EDATE($D29,Milestones!$AA$140)&lt;PolicyEff),1,Milestones!$AC$140)&amp;";  ","")&amp;IF(AND(EDATE($D29,Milestones!$AA$141)&lt;=AsOfDate,EDATE($D29,Milestones!$AA$141)&gt;=SchemeStart,IF($X29=0,$AD29,IF(AND($Z29&lt;&gt;"",EDATE($D29,Milestones!$AA$141)&gt;=$Z29),$AC29,IF(AND($Y29&lt;&gt;"",EDATE($D29,Milestones!$AA$141)&gt;=$Y29),$AB29,$AA29)))=Milestones!$AB$141),UPPER(TEXT(EDATE($D29,Milestones!$AA$141),"dd mmm yy"))&amp;" "&amp;Milestones!$AB$141&amp;" "&amp;IF(AND(Milestones!$AB$141="FT",Milestones!$AA$141=FT_Y5,EDATE($D29,Milestones!$AA$141)&lt;PolicyEff),1,Milestones!$AC$141)&amp;";  ","")&amp;IF(AND(EDATE($D29,Milestones!$AA$142)&lt;=AsOfDate,EDATE($D29,Milestones!$AA$142)&gt;=SchemeStart,IF($X29=0,$AD29,IF(AND($Z29&lt;&gt;"",EDATE($D29,Milestones!$AA$142)&gt;=$Z29),$AC29,IF(AND($Y29&lt;&gt;"",EDATE($D29,Milestones!$AA$142)&gt;=$Y29),$AB29,$AA29)))=Milestones!$AB$142),UPPER(TEXT(EDATE($D29,Milestones!$AA$142),"dd mmm yy"))&amp;" "&amp;Milestones!$AB$142&amp;" "&amp;IF(AND(Milestones!$AB$142="FT",Milestones!$AA$142=FT_Y5,EDATE($D29,Milestones!$AA$142)&lt;PolicyEff),1,Milestones!$AC$142)&amp;";  ","")&amp;IF(AND(EDATE($D29,Milestones!$AA$143)&lt;=AsOfDate,EDATE($D29,Milestones!$AA$143)&gt;=SchemeStart,IF($X29=0,$AD29,IF(AND($Z29&lt;&gt;"",EDATE($D29,Milestones!$AA$143)&gt;=$Z29),$AC29,IF(AND($Y29&lt;&gt;"",EDATE($D29,Milestones!$AA$143)&gt;=$Y29),$AB29,$AA29)))=Milestones!$AB$143),UPPER(TEXT(EDATE($D29,Milestones!$AA$143),"dd mmm yy"))&amp;" "&amp;Milestones!$AB$143&amp;" "&amp;IF(AND(Milestones!$AB$143="FT",Milestones!$AA$143=FT_Y5,EDATE($D29,Milestones!$AA$143)&lt;PolicyEff),1,Milestones!$AC$143)&amp;";  ","")&amp;IF(AND(EDATE($D29,Milestones!$AA$144)&lt;=AsOfDate,EDATE($D29,Milestones!$AA$144)&gt;=SchemeStart,IF($X29=0,$AD29,IF(AND($Z29&lt;&gt;"",EDATE($D29,Milestones!$AA$144)&gt;=$Z29),$AC29,IF(AND($Y29&lt;&gt;"",EDATE($D29,Milestones!$AA$144)&gt;=$Y29),$AB29,$AA29)))=Milestones!$AB$144),UPPER(TEXT(EDATE($D29,Milestones!$AA$144),"dd mmm yy"))&amp;" "&amp;Milestones!$AB$144&amp;" "&amp;IF(AND(Milestones!$AB$144="FT",Milestones!$AA$144=FT_Y5,EDATE($D29,Milestones!$AA$144)&lt;PolicyEff),1,Milestones!$AC$144)&amp;";  ","")&amp;IF(AND(EDATE($D29,Milestones!$AA$145)&lt;=AsOfDate,EDATE($D29,Milestones!$AA$145)&gt;=SchemeStart,IF($X29=0,$AD29,IF(AND($Z29&lt;&gt;"",EDATE($D29,Milestones!$AA$145)&gt;=$Z29),$AC29,IF(AND($Y29&lt;&gt;"",EDATE($D29,Milestones!$AA$145)&gt;=$Y29),$AB29,$AA29)))=Milestones!$AB$145),UPPER(TEXT(EDATE($D29,Milestones!$AA$145),"dd mmm yy"))&amp;" "&amp;Milestones!$AB$145&amp;" "&amp;IF(AND(Milestones!$AB$145="FT",Milestones!$AA$145=FT_Y5,EDATE($D29,Milestones!$AA$145)&lt;PolicyEff),1,Milestones!$AC$145)&amp;";  ","")&amp;IF(AND(EDATE($D29,Milestones!$AA$146)&lt;=AsOfDate,EDATE($D29,Milestones!$AA$146)&gt;=SchemeStart,IF($X29=0,$AD29,IF(AND($Z29&lt;&gt;"",EDATE($D29,Milestones!$AA$146)&gt;=$Z29),$AC29,IF(AND($Y29&lt;&gt;"",EDATE($D29,Milestones!$AA$146)&gt;=$Y29),$AB29,$AA29)))=Milestones!$AB$146),UPPER(TEXT(EDATE($D29,Milestones!$AA$146),"dd mmm yy"))&amp;" "&amp;Milestones!$AB$146&amp;" "&amp;IF(AND(Milestones!$AB$146="FT",Milestones!$AA$146=FT_Y5,EDATE($D29,Milestones!$AA$146)&lt;PolicyEff),1,Milestones!$AC$146)&amp;";  ","")&amp;IF(AND(EDATE($D29,Milestones!$AA$147)&lt;=AsOfDate,EDATE($D29,Milestones!$AA$147)&gt;=SchemeStart,IF($X29=0,$AD29,IF(AND($Z29&lt;&gt;"",EDATE($D29,Milestones!$AA$147)&gt;=$Z29),$AC29,IF(AND($Y29&lt;&gt;"",EDATE($D29,Milestones!$AA$147)&gt;=$Y29),$AB29,$AA29)))=Milestones!$AB$147),UPPER(TEXT(EDATE($D29,Milestones!$AA$147),"dd mmm yy"))&amp;" "&amp;Milestones!$AB$147&amp;" "&amp;IF(AND(Milestones!$AB$147="FT",Milestones!$AA$147=FT_Y5,EDATE($D29,Milestones!$AA$147)&lt;PolicyEff),1,Milestones!$AC$147)&amp;";  ","")&amp;IF(AND(EDATE($D29,Milestones!$AA$148)&lt;=AsOfDate,EDATE($D29,Milestones!$AA$148)&gt;=SchemeStart,IF($X29=0,$AD29,IF(AND($Z29&lt;&gt;"",EDATE($D29,Milestones!$AA$148)&gt;=$Z29),$AC29,IF(AND($Y29&lt;&gt;"",EDATE($D29,Milestones!$AA$148)&gt;=$Y29),$AB29,$AA29)))=Milestones!$AB$148),UPPER(TEXT(EDATE($D29,Milestones!$AA$148),"dd mmm yy"))&amp;" "&amp;Milestones!$AB$148&amp;" "&amp;IF(AND(Milestones!$AB$148="FT",Milestones!$AA$148=FT_Y5,EDATE($D29,Milestones!$AA$148)&lt;PolicyEff),1,Milestones!$AC$148)&amp;";  ","")&amp;IF(AND(EDATE($D29,Milestones!$AA$149)&lt;=AsOfDate,EDATE($D29,Milestones!$AA$149)&gt;=SchemeStart,IF($X29=0,$AD29,IF(AND($Z29&lt;&gt;"",EDATE($D29,Milestones!$AA$149)&gt;=$Z29),$AC29,IF(AND($Y29&lt;&gt;"",EDATE($D29,Milestones!$AA$149)&gt;=$Y29),$AB29,$AA29)))=Milestones!$AB$149),UPPER(TEXT(EDATE($D29,Milestones!$AA$149),"dd mmm yy"))&amp;" "&amp;Milestones!$AB$149&amp;" "&amp;IF(AND(Milestones!$AB$149="FT",Milestones!$AA$149=FT_Y5,EDATE($D29,Milestones!$AA$149)&lt;PolicyEff),1,Milestones!$AC$149)&amp;";  ","")&amp;IF(AND(EDATE($D29,Milestones!$AA$150)&lt;=AsOfDate,EDATE($D29,Milestones!$AA$150)&gt;=SchemeStart,IF($X29=0,$AD29,IF(AND($Z29&lt;&gt;"",EDATE($D29,Milestones!$AA$150)&gt;=$Z29),$AC29,IF(AND($Y29&lt;&gt;"",EDATE($D29,Milestones!$AA$150)&gt;=$Y29),$AB29,$AA29)))=Milestones!$AB$150),UPPER(TEXT(EDATE($D29,Milestones!$AA$150),"dd mmm yy"))&amp;" "&amp;Milestones!$AB$150&amp;" "&amp;IF(AND(Milestones!$AB$150="FT",Milestones!$AA$150=FT_Y5,EDATE($D29,Milestones!$AA$150)&lt;PolicyEff),1,Milestones!$AC$150)&amp;";  ","")&amp;IF(AND(EDATE($D29,Milestones!$AA$151)&lt;=AsOfDate,EDATE($D29,Milestones!$AA$151)&gt;=SchemeStart,IF($X29=0,$AD29,IF(AND($Z29&lt;&gt;"",EDATE($D29,Milestones!$AA$151)&gt;=$Z29),$AC29,IF(AND($Y29&lt;&gt;"",EDATE($D29,Milestones!$AA$151)&gt;=$Y29),$AB29,$AA29)))=Milestones!$AB$151),UPPER(TEXT(EDATE($D29,Milestones!$AA$151),"dd mmm yy"))&amp;" "&amp;Milestones!$AB$151&amp;" "&amp;IF(AND(Milestones!$AB$151="FT",Milestones!$AA$151=FT_Y5,EDATE($D29,Milestones!$AA$151)&lt;PolicyEff),1,Milestones!$AC$151)&amp;";  ",""))</f>
        <v/>
      </c>
      <c r="T29" s="0" t="str">
        <f aca="false">IF(OR($A29="",$D29=""),"",IF(AND(EDATE($D29,Milestones!$AA$152)&lt;=AsOfDate,EDATE($D29,Milestones!$AA$152)&gt;=SchemeStart,IF($X29=0,$AD29,IF(AND($Z29&lt;&gt;"",EDATE($D29,Milestones!$AA$152)&gt;=$Z29),$AC29,IF(AND($Y29&lt;&gt;"",EDATE($D29,Milestones!$AA$152)&gt;=$Y29),$AB29,$AA29)))=Milestones!$AB$152),UPPER(TEXT(EDATE($D29,Milestones!$AA$152),"dd mmm yy"))&amp;" "&amp;Milestones!$AB$152&amp;" "&amp;IF(AND(Milestones!$AB$152="FT",Milestones!$AA$152=FT_Y5,EDATE($D29,Milestones!$AA$152)&lt;PolicyEff),1,Milestones!$AC$152)&amp;";  ","")&amp;IF(AND(EDATE($D29,Milestones!$AA$153)&lt;=AsOfDate,EDATE($D29,Milestones!$AA$153)&gt;=SchemeStart,IF($X29=0,$AD29,IF(AND($Z29&lt;&gt;"",EDATE($D29,Milestones!$AA$153)&gt;=$Z29),$AC29,IF(AND($Y29&lt;&gt;"",EDATE($D29,Milestones!$AA$153)&gt;=$Y29),$AB29,$AA29)))=Milestones!$AB$153),UPPER(TEXT(EDATE($D29,Milestones!$AA$153),"dd mmm yy"))&amp;" "&amp;Milestones!$AB$153&amp;" "&amp;IF(AND(Milestones!$AB$153="FT",Milestones!$AA$153=FT_Y5,EDATE($D29,Milestones!$AA$153)&lt;PolicyEff),1,Milestones!$AC$153)&amp;";  ","")&amp;IF(AND(EDATE($D29,Milestones!$AA$154)&lt;=AsOfDate,EDATE($D29,Milestones!$AA$154)&gt;=SchemeStart,IF($X29=0,$AD29,IF(AND($Z29&lt;&gt;"",EDATE($D29,Milestones!$AA$154)&gt;=$Z29),$AC29,IF(AND($Y29&lt;&gt;"",EDATE($D29,Milestones!$AA$154)&gt;=$Y29),$AB29,$AA29)))=Milestones!$AB$154),UPPER(TEXT(EDATE($D29,Milestones!$AA$154),"dd mmm yy"))&amp;" "&amp;Milestones!$AB$154&amp;" "&amp;IF(AND(Milestones!$AB$154="FT",Milestones!$AA$154=FT_Y5,EDATE($D29,Milestones!$AA$154)&lt;PolicyEff),1,Milestones!$AC$154)&amp;";  ","")&amp;IF(AND(EDATE($D29,Milestones!$AA$155)&lt;=AsOfDate,EDATE($D29,Milestones!$AA$155)&gt;=SchemeStart,IF($X29=0,$AD29,IF(AND($Z29&lt;&gt;"",EDATE($D29,Milestones!$AA$155)&gt;=$Z29),$AC29,IF(AND($Y29&lt;&gt;"",EDATE($D29,Milestones!$AA$155)&gt;=$Y29),$AB29,$AA29)))=Milestones!$AB$155),UPPER(TEXT(EDATE($D29,Milestones!$AA$155),"dd mmm yy"))&amp;" "&amp;Milestones!$AB$155&amp;" "&amp;IF(AND(Milestones!$AB$155="FT",Milestones!$AA$155=FT_Y5,EDATE($D29,Milestones!$AA$155)&lt;PolicyEff),1,Milestones!$AC$155)&amp;";  ","")&amp;IF(AND(EDATE($D29,Milestones!$AA$156)&lt;=AsOfDate,EDATE($D29,Milestones!$AA$156)&gt;=SchemeStart,IF($X29=0,$AD29,IF(AND($Z29&lt;&gt;"",EDATE($D29,Milestones!$AA$156)&gt;=$Z29),$AC29,IF(AND($Y29&lt;&gt;"",EDATE($D29,Milestones!$AA$156)&gt;=$Y29),$AB29,$AA29)))=Milestones!$AB$156),UPPER(TEXT(EDATE($D29,Milestones!$AA$156),"dd mmm yy"))&amp;" "&amp;Milestones!$AB$156&amp;" "&amp;IF(AND(Milestones!$AB$156="FT",Milestones!$AA$156=FT_Y5,EDATE($D29,Milestones!$AA$156)&lt;PolicyEff),1,Milestones!$AC$156)&amp;";  ","")&amp;IF(AND(EDATE($D29,Milestones!$AA$157)&lt;=AsOfDate,EDATE($D29,Milestones!$AA$157)&gt;=SchemeStart,IF($X29=0,$AD29,IF(AND($Z29&lt;&gt;"",EDATE($D29,Milestones!$AA$157)&gt;=$Z29),$AC29,IF(AND($Y29&lt;&gt;"",EDATE($D29,Milestones!$AA$157)&gt;=$Y29),$AB29,$AA29)))=Milestones!$AB$157),UPPER(TEXT(EDATE($D29,Milestones!$AA$157),"dd mmm yy"))&amp;" "&amp;Milestones!$AB$157&amp;" "&amp;IF(AND(Milestones!$AB$157="FT",Milestones!$AA$157=FT_Y5,EDATE($D29,Milestones!$AA$157)&lt;PolicyEff),1,Milestones!$AC$157)&amp;";  ","")&amp;IF(AND(EDATE($D29,Milestones!$AA$158)&lt;=AsOfDate,EDATE($D29,Milestones!$AA$158)&gt;=SchemeStart,IF($X29=0,$AD29,IF(AND($Z29&lt;&gt;"",EDATE($D29,Milestones!$AA$158)&gt;=$Z29),$AC29,IF(AND($Y29&lt;&gt;"",EDATE($D29,Milestones!$AA$158)&gt;=$Y29),$AB29,$AA29)))=Milestones!$AB$158),UPPER(TEXT(EDATE($D29,Milestones!$AA$158),"dd mmm yy"))&amp;" "&amp;Milestones!$AB$158&amp;" "&amp;IF(AND(Milestones!$AB$158="FT",Milestones!$AA$158=FT_Y5,EDATE($D29,Milestones!$AA$158)&lt;PolicyEff),1,Milestones!$AC$158)&amp;";  ","")&amp;IF(AND(EDATE($D29,Milestones!$AA$159)&lt;=AsOfDate,EDATE($D29,Milestones!$AA$159)&gt;=SchemeStart,IF($X29=0,$AD29,IF(AND($Z29&lt;&gt;"",EDATE($D29,Milestones!$AA$159)&gt;=$Z29),$AC29,IF(AND($Y29&lt;&gt;"",EDATE($D29,Milestones!$AA$159)&gt;=$Y29),$AB29,$AA29)))=Milestones!$AB$159),UPPER(TEXT(EDATE($D29,Milestones!$AA$159),"dd mmm yy"))&amp;" "&amp;Milestones!$AB$159&amp;" "&amp;IF(AND(Milestones!$AB$159="FT",Milestones!$AA$159=FT_Y5,EDATE($D29,Milestones!$AA$159)&lt;PolicyEff),1,Milestones!$AC$159)&amp;";  ","")&amp;IF(AND(EDATE($D29,Milestones!$AA$160)&lt;=AsOfDate,EDATE($D29,Milestones!$AA$160)&gt;=SchemeStart,IF($X29=0,$AD29,IF(AND($Z29&lt;&gt;"",EDATE($D29,Milestones!$AA$160)&gt;=$Z29),$AC29,IF(AND($Y29&lt;&gt;"",EDATE($D29,Milestones!$AA$160)&gt;=$Y29),$AB29,$AA29)))=Milestones!$AB$160),UPPER(TEXT(EDATE($D29,Milestones!$AA$160),"dd mmm yy"))&amp;" "&amp;Milestones!$AB$160&amp;" "&amp;IF(AND(Milestones!$AB$160="FT",Milestones!$AA$160=FT_Y5,EDATE($D29,Milestones!$AA$160)&lt;PolicyEff),1,Milestones!$AC$160)&amp;";  ","")&amp;IF(AND(EDATE($D29,Milestones!$AA$161)&lt;=AsOfDate,EDATE($D29,Milestones!$AA$161)&gt;=SchemeStart,IF($X29=0,$AD29,IF(AND($Z29&lt;&gt;"",EDATE($D29,Milestones!$AA$161)&gt;=$Z29),$AC29,IF(AND($Y29&lt;&gt;"",EDATE($D29,Milestones!$AA$161)&gt;=$Y29),$AB29,$AA29)))=Milestones!$AB$161),UPPER(TEXT(EDATE($D29,Milestones!$AA$161),"dd mmm yy"))&amp;" "&amp;Milestones!$AB$161&amp;" "&amp;IF(AND(Milestones!$AB$161="FT",Milestones!$AA$161=FT_Y5,EDATE($D29,Milestones!$AA$161)&lt;PolicyEff),1,Milestones!$AC$161)&amp;";  ","")&amp;IF(AND(EDATE($D29,Milestones!$AA$162)&lt;=AsOfDate,EDATE($D29,Milestones!$AA$162)&gt;=SchemeStart,IF($X29=0,$AD29,IF(AND($Z29&lt;&gt;"",EDATE($D29,Milestones!$AA$162)&gt;=$Z29),$AC29,IF(AND($Y29&lt;&gt;"",EDATE($D29,Milestones!$AA$162)&gt;=$Y29),$AB29,$AA29)))=Milestones!$AB$162),UPPER(TEXT(EDATE($D29,Milestones!$AA$162),"dd mmm yy"))&amp;" "&amp;Milestones!$AB$162&amp;" "&amp;IF(AND(Milestones!$AB$162="FT",Milestones!$AA$162=FT_Y5,EDATE($D29,Milestones!$AA$162)&lt;PolicyEff),1,Milestones!$AC$162)&amp;";  ","")&amp;IF(AND(EDATE($D29,Milestones!$AA$163)&lt;=AsOfDate,EDATE($D29,Milestones!$AA$163)&gt;=SchemeStart,IF($X29=0,$AD29,IF(AND($Z29&lt;&gt;"",EDATE($D29,Milestones!$AA$163)&gt;=$Z29),$AC29,IF(AND($Y29&lt;&gt;"",EDATE($D29,Milestones!$AA$163)&gt;=$Y29),$AB29,$AA29)))=Milestones!$AB$163),UPPER(TEXT(EDATE($D29,Milestones!$AA$163),"dd mmm yy"))&amp;" "&amp;Milestones!$AB$163&amp;" "&amp;IF(AND(Milestones!$AB$163="FT",Milestones!$AA$163=FT_Y5,EDATE($D29,Milestones!$AA$163)&lt;PolicyEff),1,Milestones!$AC$163)&amp;";  ",""))</f>
        <v/>
      </c>
      <c r="U29" s="0" t="str">
        <f aca="false">IF(OR($A29="",$D29=""),"",IF(AND(EDATE($D29,Milestones!$AA$164)&lt;=AsOfDate,EDATE($D29,Milestones!$AA$164)&gt;=SchemeStart,IF($X29=0,$AD29,IF(AND($Z29&lt;&gt;"",EDATE($D29,Milestones!$AA$164)&gt;=$Z29),$AC29,IF(AND($Y29&lt;&gt;"",EDATE($D29,Milestones!$AA$164)&gt;=$Y29),$AB29,$AA29)))=Milestones!$AB$164),UPPER(TEXT(EDATE($D29,Milestones!$AA$164),"dd mmm yy"))&amp;" "&amp;Milestones!$AB$164&amp;" "&amp;IF(AND(Milestones!$AB$164="FT",Milestones!$AA$164=FT_Y5,EDATE($D29,Milestones!$AA$164)&lt;PolicyEff),1,Milestones!$AC$164)&amp;";  ","")&amp;IF(AND(EDATE($D29,Milestones!$AA$165)&lt;=AsOfDate,EDATE($D29,Milestones!$AA$165)&gt;=SchemeStart,IF($X29=0,$AD29,IF(AND($Z29&lt;&gt;"",EDATE($D29,Milestones!$AA$165)&gt;=$Z29),$AC29,IF(AND($Y29&lt;&gt;"",EDATE($D29,Milestones!$AA$165)&gt;=$Y29),$AB29,$AA29)))=Milestones!$AB$165),UPPER(TEXT(EDATE($D29,Milestones!$AA$165),"dd mmm yy"))&amp;" "&amp;Milestones!$AB$165&amp;" "&amp;IF(AND(Milestones!$AB$165="FT",Milestones!$AA$165=FT_Y5,EDATE($D29,Milestones!$AA$165)&lt;PolicyEff),1,Milestones!$AC$165)&amp;";  ","")&amp;IF(AND(EDATE($D29,Milestones!$AA$166)&lt;=AsOfDate,EDATE($D29,Milestones!$AA$166)&gt;=SchemeStart,IF($X29=0,$AD29,IF(AND($Z29&lt;&gt;"",EDATE($D29,Milestones!$AA$166)&gt;=$Z29),$AC29,IF(AND($Y29&lt;&gt;"",EDATE($D29,Milestones!$AA$166)&gt;=$Y29),$AB29,$AA29)))=Milestones!$AB$166),UPPER(TEXT(EDATE($D29,Milestones!$AA$166),"dd mmm yy"))&amp;" "&amp;Milestones!$AB$166&amp;" "&amp;IF(AND(Milestones!$AB$166="FT",Milestones!$AA$166=FT_Y5,EDATE($D29,Milestones!$AA$166)&lt;PolicyEff),1,Milestones!$AC$166)&amp;";  ","")&amp;IF(AND(EDATE($D29,Milestones!$AA$167)&lt;=AsOfDate,EDATE($D29,Milestones!$AA$167)&gt;=SchemeStart,IF($X29=0,$AD29,IF(AND($Z29&lt;&gt;"",EDATE($D29,Milestones!$AA$167)&gt;=$Z29),$AC29,IF(AND($Y29&lt;&gt;"",EDATE($D29,Milestones!$AA$167)&gt;=$Y29),$AB29,$AA29)))=Milestones!$AB$167),UPPER(TEXT(EDATE($D29,Milestones!$AA$167),"dd mmm yy"))&amp;" "&amp;Milestones!$AB$167&amp;" "&amp;IF(AND(Milestones!$AB$167="FT",Milestones!$AA$167=FT_Y5,EDATE($D29,Milestones!$AA$167)&lt;PolicyEff),1,Milestones!$AC$167)&amp;";  ","")&amp;IF(AND(EDATE($D29,Milestones!$AA$168)&lt;=AsOfDate,EDATE($D29,Milestones!$AA$168)&gt;=SchemeStart,IF($X29=0,$AD29,IF(AND($Z29&lt;&gt;"",EDATE($D29,Milestones!$AA$168)&gt;=$Z29),$AC29,IF(AND($Y29&lt;&gt;"",EDATE($D29,Milestones!$AA$168)&gt;=$Y29),$AB29,$AA29)))=Milestones!$AB$168),UPPER(TEXT(EDATE($D29,Milestones!$AA$168),"dd mmm yy"))&amp;" "&amp;Milestones!$AB$168&amp;" "&amp;IF(AND(Milestones!$AB$168="FT",Milestones!$AA$168=FT_Y5,EDATE($D29,Milestones!$AA$168)&lt;PolicyEff),1,Milestones!$AC$168)&amp;";  ","")&amp;IF(AND(EDATE($D29,Milestones!$AA$169)&lt;=AsOfDate,EDATE($D29,Milestones!$AA$169)&gt;=SchemeStart,IF($X29=0,$AD29,IF(AND($Z29&lt;&gt;"",EDATE($D29,Milestones!$AA$169)&gt;=$Z29),$AC29,IF(AND($Y29&lt;&gt;"",EDATE($D29,Milestones!$AA$169)&gt;=$Y29),$AB29,$AA29)))=Milestones!$AB$169),UPPER(TEXT(EDATE($D29,Milestones!$AA$169),"dd mmm yy"))&amp;" "&amp;Milestones!$AB$169&amp;" "&amp;IF(AND(Milestones!$AB$169="FT",Milestones!$AA$169=FT_Y5,EDATE($D29,Milestones!$AA$169)&lt;PolicyEff),1,Milestones!$AC$169)&amp;";  ","")&amp;IF(AND(EDATE($D29,Milestones!$AA$170)&lt;=AsOfDate,EDATE($D29,Milestones!$AA$170)&gt;=SchemeStart,IF($X29=0,$AD29,IF(AND($Z29&lt;&gt;"",EDATE($D29,Milestones!$AA$170)&gt;=$Z29),$AC29,IF(AND($Y29&lt;&gt;"",EDATE($D29,Milestones!$AA$170)&gt;=$Y29),$AB29,$AA29)))=Milestones!$AB$170),UPPER(TEXT(EDATE($D29,Milestones!$AA$170),"dd mmm yy"))&amp;" "&amp;Milestones!$AB$170&amp;" "&amp;IF(AND(Milestones!$AB$170="FT",Milestones!$AA$170=FT_Y5,EDATE($D29,Milestones!$AA$170)&lt;PolicyEff),1,Milestones!$AC$170)&amp;";  ","")&amp;IF(AND(EDATE($D29,Milestones!$AA$171)&lt;=AsOfDate,EDATE($D29,Milestones!$AA$171)&gt;=SchemeStart,IF($X29=0,$AD29,IF(AND($Z29&lt;&gt;"",EDATE($D29,Milestones!$AA$171)&gt;=$Z29),$AC29,IF(AND($Y29&lt;&gt;"",EDATE($D29,Milestones!$AA$171)&gt;=$Y29),$AB29,$AA29)))=Milestones!$AB$171),UPPER(TEXT(EDATE($D29,Milestones!$AA$171),"dd mmm yy"))&amp;" "&amp;Milestones!$AB$171&amp;" "&amp;IF(AND(Milestones!$AB$171="FT",Milestones!$AA$171=FT_Y5,EDATE($D29,Milestones!$AA$171)&lt;PolicyEff),1,Milestones!$AC$171)&amp;";  ","")&amp;IF(AND(EDATE($D29,Milestones!$AA$172)&lt;=AsOfDate,EDATE($D29,Milestones!$AA$172)&gt;=SchemeStart,IF($X29=0,$AD29,IF(AND($Z29&lt;&gt;"",EDATE($D29,Milestones!$AA$172)&gt;=$Z29),$AC29,IF(AND($Y29&lt;&gt;"",EDATE($D29,Milestones!$AA$172)&gt;=$Y29),$AB29,$AA29)))=Milestones!$AB$172),UPPER(TEXT(EDATE($D29,Milestones!$AA$172),"dd mmm yy"))&amp;" "&amp;Milestones!$AB$172&amp;" "&amp;IF(AND(Milestones!$AB$172="FT",Milestones!$AA$172=FT_Y5,EDATE($D29,Milestones!$AA$172)&lt;PolicyEff),1,Milestones!$AC$172)&amp;";  ","")&amp;IF(AND(EDATE($D29,Milestones!$AA$173)&lt;=AsOfDate,EDATE($D29,Milestones!$AA$173)&gt;=SchemeStart,IF($X29=0,$AD29,IF(AND($Z29&lt;&gt;"",EDATE($D29,Milestones!$AA$173)&gt;=$Z29),$AC29,IF(AND($Y29&lt;&gt;"",EDATE($D29,Milestones!$AA$173)&gt;=$Y29),$AB29,$AA29)))=Milestones!$AB$173),UPPER(TEXT(EDATE($D29,Milestones!$AA$173),"dd mmm yy"))&amp;" "&amp;Milestones!$AB$173&amp;" "&amp;IF(AND(Milestones!$AB$173="FT",Milestones!$AA$173=FT_Y5,EDATE($D29,Milestones!$AA$173)&lt;PolicyEff),1,Milestones!$AC$173)&amp;";  ","")&amp;IF(AND(EDATE($D29,Milestones!$AA$174)&lt;=AsOfDate,EDATE($D29,Milestones!$AA$174)&gt;=SchemeStart,IF($X29=0,$AD29,IF(AND($Z29&lt;&gt;"",EDATE($D29,Milestones!$AA$174)&gt;=$Z29),$AC29,IF(AND($Y29&lt;&gt;"",EDATE($D29,Milestones!$AA$174)&gt;=$Y29),$AB29,$AA29)))=Milestones!$AB$174),UPPER(TEXT(EDATE($D29,Milestones!$AA$174),"dd mmm yy"))&amp;" "&amp;Milestones!$AB$174&amp;" "&amp;IF(AND(Milestones!$AB$174="FT",Milestones!$AA$174=FT_Y5,EDATE($D29,Milestones!$AA$174)&lt;PolicyEff),1,Milestones!$AC$174)&amp;";  ","")&amp;IF(AND(EDATE($D29,Milestones!$AA$175)&lt;=AsOfDate,EDATE($D29,Milestones!$AA$175)&gt;=SchemeStart,IF($X29=0,$AD29,IF(AND($Z29&lt;&gt;"",EDATE($D29,Milestones!$AA$175)&gt;=$Z29),$AC29,IF(AND($Y29&lt;&gt;"",EDATE($D29,Milestones!$AA$175)&gt;=$Y29),$AB29,$AA29)))=Milestones!$AB$175),UPPER(TEXT(EDATE($D29,Milestones!$AA$175),"dd mmm yy"))&amp;" "&amp;Milestones!$AB$175&amp;" "&amp;IF(AND(Milestones!$AB$175="FT",Milestones!$AA$175=FT_Y5,EDATE($D29,Milestones!$AA$175)&lt;PolicyEff),1,Milestones!$AC$175)&amp;";  ",""))</f>
        <v/>
      </c>
      <c r="V29" s="0" t="str">
        <f aca="false">IF(OR($A29="",$D29=""),"",IF(AND(EDATE($D29,Milestones!$AA$176)&lt;=AsOfDate,EDATE($D29,Milestones!$AA$176)&gt;=SchemeStart,IF($X29=0,$AD29,IF(AND($Z29&lt;&gt;"",EDATE($D29,Milestones!$AA$176)&gt;=$Z29),$AC29,IF(AND($Y29&lt;&gt;"",EDATE($D29,Milestones!$AA$176)&gt;=$Y29),$AB29,$AA29)))=Milestones!$AB$176),UPPER(TEXT(EDATE($D29,Milestones!$AA$176),"dd mmm yy"))&amp;" "&amp;Milestones!$AB$176&amp;" "&amp;IF(AND(Milestones!$AB$176="FT",Milestones!$AA$176=FT_Y5,EDATE($D29,Milestones!$AA$176)&lt;PolicyEff),1,Milestones!$AC$176)&amp;";  ","")&amp;IF(AND(EDATE($D29,Milestones!$AA$177)&lt;=AsOfDate,EDATE($D29,Milestones!$AA$177)&gt;=SchemeStart,IF($X29=0,$AD29,IF(AND($Z29&lt;&gt;"",EDATE($D29,Milestones!$AA$177)&gt;=$Z29),$AC29,IF(AND($Y29&lt;&gt;"",EDATE($D29,Milestones!$AA$177)&gt;=$Y29),$AB29,$AA29)))=Milestones!$AB$177),UPPER(TEXT(EDATE($D29,Milestones!$AA$177),"dd mmm yy"))&amp;" "&amp;Milestones!$AB$177&amp;" "&amp;IF(AND(Milestones!$AB$177="FT",Milestones!$AA$177=FT_Y5,EDATE($D29,Milestones!$AA$177)&lt;PolicyEff),1,Milestones!$AC$177)&amp;";  ","")&amp;IF(AND(EDATE($D29,Milestones!$AA$178)&lt;=AsOfDate,EDATE($D29,Milestones!$AA$178)&gt;=SchemeStart,IF($X29=0,$AD29,IF(AND($Z29&lt;&gt;"",EDATE($D29,Milestones!$AA$178)&gt;=$Z29),$AC29,IF(AND($Y29&lt;&gt;"",EDATE($D29,Milestones!$AA$178)&gt;=$Y29),$AB29,$AA29)))=Milestones!$AB$178),UPPER(TEXT(EDATE($D29,Milestones!$AA$178),"dd mmm yy"))&amp;" "&amp;Milestones!$AB$178&amp;" "&amp;IF(AND(Milestones!$AB$178="FT",Milestones!$AA$178=FT_Y5,EDATE($D29,Milestones!$AA$178)&lt;PolicyEff),1,Milestones!$AC$178)&amp;";  ","")&amp;IF(AND(EDATE($D29,Milestones!$AA$179)&lt;=AsOfDate,EDATE($D29,Milestones!$AA$179)&gt;=SchemeStart,IF($X29=0,$AD29,IF(AND($Z29&lt;&gt;"",EDATE($D29,Milestones!$AA$179)&gt;=$Z29),$AC29,IF(AND($Y29&lt;&gt;"",EDATE($D29,Milestones!$AA$179)&gt;=$Y29),$AB29,$AA29)))=Milestones!$AB$179),UPPER(TEXT(EDATE($D29,Milestones!$AA$179),"dd mmm yy"))&amp;" "&amp;Milestones!$AB$179&amp;" "&amp;IF(AND(Milestones!$AB$179="FT",Milestones!$AA$179=FT_Y5,EDATE($D29,Milestones!$AA$179)&lt;PolicyEff),1,Milestones!$AC$179)&amp;";  ","")&amp;IF(AND(EDATE($D29,Milestones!$AA$180)&lt;=AsOfDate,EDATE($D29,Milestones!$AA$180)&gt;=SchemeStart,IF($X29=0,$AD29,IF(AND($Z29&lt;&gt;"",EDATE($D29,Milestones!$AA$180)&gt;=$Z29),$AC29,IF(AND($Y29&lt;&gt;"",EDATE($D29,Milestones!$AA$180)&gt;=$Y29),$AB29,$AA29)))=Milestones!$AB$180),UPPER(TEXT(EDATE($D29,Milestones!$AA$180),"dd mmm yy"))&amp;" "&amp;Milestones!$AB$180&amp;" "&amp;IF(AND(Milestones!$AB$180="FT",Milestones!$AA$180=FT_Y5,EDATE($D29,Milestones!$AA$180)&lt;PolicyEff),1,Milestones!$AC$180)&amp;";  ","")&amp;IF(AND(EDATE($D29,Milestones!$AA$181)&lt;=AsOfDate,EDATE($D29,Milestones!$AA$181)&gt;=SchemeStart,IF($X29=0,$AD29,IF(AND($Z29&lt;&gt;"",EDATE($D29,Milestones!$AA$181)&gt;=$Z29),$AC29,IF(AND($Y29&lt;&gt;"",EDATE($D29,Milestones!$AA$181)&gt;=$Y29),$AB29,$AA29)))=Milestones!$AB$181),UPPER(TEXT(EDATE($D29,Milestones!$AA$181),"dd mmm yy"))&amp;" "&amp;Milestones!$AB$181&amp;" "&amp;IF(AND(Milestones!$AB$181="FT",Milestones!$AA$181=FT_Y5,EDATE($D29,Milestones!$AA$181)&lt;PolicyEff),1,Milestones!$AC$181)&amp;";  ","")&amp;IF(AND(EDATE($D29,Milestones!$AA$182)&lt;=AsOfDate,EDATE($D29,Milestones!$AA$182)&gt;=SchemeStart,IF($X29=0,$AD29,IF(AND($Z29&lt;&gt;"",EDATE($D29,Milestones!$AA$182)&gt;=$Z29),$AC29,IF(AND($Y29&lt;&gt;"",EDATE($D29,Milestones!$AA$182)&gt;=$Y29),$AB29,$AA29)))=Milestones!$AB$182),UPPER(TEXT(EDATE($D29,Milestones!$AA$182),"dd mmm yy"))&amp;" "&amp;Milestones!$AB$182&amp;" "&amp;IF(AND(Milestones!$AB$182="FT",Milestones!$AA$182=FT_Y5,EDATE($D29,Milestones!$AA$182)&lt;PolicyEff),1,Milestones!$AC$182)&amp;";  ","")&amp;IF(AND(EDATE($D29,Milestones!$AA$183)&lt;=AsOfDate,EDATE($D29,Milestones!$AA$183)&gt;=SchemeStart,IF($X29=0,$AD29,IF(AND($Z29&lt;&gt;"",EDATE($D29,Milestones!$AA$183)&gt;=$Z29),$AC29,IF(AND($Y29&lt;&gt;"",EDATE($D29,Milestones!$AA$183)&gt;=$Y29),$AB29,$AA29)))=Milestones!$AB$183),UPPER(TEXT(EDATE($D29,Milestones!$AA$183),"dd mmm yy"))&amp;" "&amp;Milestones!$AB$183&amp;" "&amp;IF(AND(Milestones!$AB$183="FT",Milestones!$AA$183=FT_Y5,EDATE($D29,Milestones!$AA$183)&lt;PolicyEff),1,Milestones!$AC$183)&amp;";  ","")&amp;IF(AND(EDATE($D29,Milestones!$AA$184)&lt;=AsOfDate,EDATE($D29,Milestones!$AA$184)&gt;=SchemeStart,IF($X29=0,$AD29,IF(AND($Z29&lt;&gt;"",EDATE($D29,Milestones!$AA$184)&gt;=$Z29),$AC29,IF(AND($Y29&lt;&gt;"",EDATE($D29,Milestones!$AA$184)&gt;=$Y29),$AB29,$AA29)))=Milestones!$AB$184),UPPER(TEXT(EDATE($D29,Milestones!$AA$184),"dd mmm yy"))&amp;" "&amp;Milestones!$AB$184&amp;" "&amp;IF(AND(Milestones!$AB$184="FT",Milestones!$AA$184=FT_Y5,EDATE($D29,Milestones!$AA$184)&lt;PolicyEff),1,Milestones!$AC$184)&amp;";  ","")&amp;IF(AND(EDATE($D29,Milestones!$AA$185)&lt;=AsOfDate,EDATE($D29,Milestones!$AA$185)&gt;=SchemeStart,IF($X29=0,$AD29,IF(AND($Z29&lt;&gt;"",EDATE($D29,Milestones!$AA$185)&gt;=$Z29),$AC29,IF(AND($Y29&lt;&gt;"",EDATE($D29,Milestones!$AA$185)&gt;=$Y29),$AB29,$AA29)))=Milestones!$AB$185),UPPER(TEXT(EDATE($D29,Milestones!$AA$185),"dd mmm yy"))&amp;" "&amp;Milestones!$AB$185&amp;" "&amp;IF(AND(Milestones!$AB$185="FT",Milestones!$AA$185=FT_Y5,EDATE($D29,Milestones!$AA$185)&lt;PolicyEff),1,Milestones!$AC$185)&amp;";  ","")&amp;IF(AND(EDATE($D29,Milestones!$AA$186)&lt;=AsOfDate,EDATE($D29,Milestones!$AA$186)&gt;=SchemeStart,IF($X29=0,$AD29,IF(AND($Z29&lt;&gt;"",EDATE($D29,Milestones!$AA$186)&gt;=$Z29),$AC29,IF(AND($Y29&lt;&gt;"",EDATE($D29,Milestones!$AA$186)&gt;=$Y29),$AB29,$AA29)))=Milestones!$AB$186),UPPER(TEXT(EDATE($D29,Milestones!$AA$186),"dd mmm yy"))&amp;" "&amp;Milestones!$AB$186&amp;" "&amp;IF(AND(Milestones!$AB$186="FT",Milestones!$AA$186=FT_Y5,EDATE($D29,Milestones!$AA$186)&lt;PolicyEff),1,Milestones!$AC$186)&amp;";  ","")&amp;IF(AND(EDATE($D29,Milestones!$AA$187)&lt;=AsOfDate,EDATE($D29,Milestones!$AA$187)&gt;=SchemeStart,IF($X29=0,$AD29,IF(AND($Z29&lt;&gt;"",EDATE($D29,Milestones!$AA$187)&gt;=$Z29),$AC29,IF(AND($Y29&lt;&gt;"",EDATE($D29,Milestones!$AA$187)&gt;=$Y29),$AB29,$AA29)))=Milestones!$AB$187),UPPER(TEXT(EDATE($D29,Milestones!$AA$187),"dd mmm yy"))&amp;" "&amp;Milestones!$AB$187&amp;" "&amp;IF(AND(Milestones!$AB$187="FT",Milestones!$AA$187=FT_Y5,EDATE($D29,Milestones!$AA$187)&lt;PolicyEff),1,Milestones!$AC$187)&amp;";  ",""))</f>
        <v/>
      </c>
      <c r="W29" s="0" t="str">
        <f aca="false">IF(OR($A29="",$D29=""),"",IF(AND(EDATE($D29,Milestones!$AA$188)&lt;=AsOfDate,EDATE($D29,Milestones!$AA$188)&gt;=SchemeStart,IF($X29=0,$AD29,IF(AND($Z29&lt;&gt;"",EDATE($D29,Milestones!$AA$188)&gt;=$Z29),$AC29,IF(AND($Y29&lt;&gt;"",EDATE($D29,Milestones!$AA$188)&gt;=$Y29),$AB29,$AA29)))=Milestones!$AB$188),UPPER(TEXT(EDATE($D29,Milestones!$AA$188),"dd mmm yy"))&amp;" "&amp;Milestones!$AB$188&amp;" "&amp;IF(AND(Milestones!$AB$188="FT",Milestones!$AA$188=FT_Y5,EDATE($D29,Milestones!$AA$188)&lt;PolicyEff),1,Milestones!$AC$188)&amp;";  ","")&amp;IF(AND(EDATE($D29,Milestones!$AA$189)&lt;=AsOfDate,EDATE($D29,Milestones!$AA$189)&gt;=SchemeStart,IF($X29=0,$AD29,IF(AND($Z29&lt;&gt;"",EDATE($D29,Milestones!$AA$189)&gt;=$Z29),$AC29,IF(AND($Y29&lt;&gt;"",EDATE($D29,Milestones!$AA$189)&gt;=$Y29),$AB29,$AA29)))=Milestones!$AB$189),UPPER(TEXT(EDATE($D29,Milestones!$AA$189),"dd mmm yy"))&amp;" "&amp;Milestones!$AB$189&amp;" "&amp;IF(AND(Milestones!$AB$189="FT",Milestones!$AA$189=FT_Y5,EDATE($D29,Milestones!$AA$189)&lt;PolicyEff),1,Milestones!$AC$189)&amp;";  ","")&amp;IF(AND(EDATE($D29,Milestones!$AA$190)&lt;=AsOfDate,EDATE($D29,Milestones!$AA$190)&gt;=SchemeStart,IF($X29=0,$AD29,IF(AND($Z29&lt;&gt;"",EDATE($D29,Milestones!$AA$190)&gt;=$Z29),$AC29,IF(AND($Y29&lt;&gt;"",EDATE($D29,Milestones!$AA$190)&gt;=$Y29),$AB29,$AA29)))=Milestones!$AB$190),UPPER(TEXT(EDATE($D29,Milestones!$AA$190),"dd mmm yy"))&amp;" "&amp;Milestones!$AB$190&amp;" "&amp;IF(AND(Milestones!$AB$190="FT",Milestones!$AA$190=FT_Y5,EDATE($D29,Milestones!$AA$190)&lt;PolicyEff),1,Milestones!$AC$190)&amp;";  ","")&amp;IF(AND(EDATE($D29,Milestones!$AA$191)&lt;=AsOfDate,EDATE($D29,Milestones!$AA$191)&gt;=SchemeStart,IF($X29=0,$AD29,IF(AND($Z29&lt;&gt;"",EDATE($D29,Milestones!$AA$191)&gt;=$Z29),$AC29,IF(AND($Y29&lt;&gt;"",EDATE($D29,Milestones!$AA$191)&gt;=$Y29),$AB29,$AA29)))=Milestones!$AB$191),UPPER(TEXT(EDATE($D29,Milestones!$AA$191),"dd mmm yy"))&amp;" "&amp;Milestones!$AB$191&amp;" "&amp;IF(AND(Milestones!$AB$191="FT",Milestones!$AA$191=FT_Y5,EDATE($D29,Milestones!$AA$191)&lt;PolicyEff),1,Milestones!$AC$191)&amp;";  ","")&amp;IF(AND(EDATE($D29,Milestones!$AA$192)&lt;=AsOfDate,EDATE($D29,Milestones!$AA$192)&gt;=SchemeStart,IF($X29=0,$AD29,IF(AND($Z29&lt;&gt;"",EDATE($D29,Milestones!$AA$192)&gt;=$Z29),$AC29,IF(AND($Y29&lt;&gt;"",EDATE($D29,Milestones!$AA$192)&gt;=$Y29),$AB29,$AA29)))=Milestones!$AB$192),UPPER(TEXT(EDATE($D29,Milestones!$AA$192),"dd mmm yy"))&amp;" "&amp;Milestones!$AB$192&amp;" "&amp;IF(AND(Milestones!$AB$192="FT",Milestones!$AA$192=FT_Y5,EDATE($D29,Milestones!$AA$192)&lt;PolicyEff),1,Milestones!$AC$192)&amp;";  ","")&amp;IF(AND(EDATE($D29,Milestones!$AA$193)&lt;=AsOfDate,EDATE($D29,Milestones!$AA$193)&gt;=SchemeStart,IF($X29=0,$AD29,IF(AND($Z29&lt;&gt;"",EDATE($D29,Milestones!$AA$193)&gt;=$Z29),$AC29,IF(AND($Y29&lt;&gt;"",EDATE($D29,Milestones!$AA$193)&gt;=$Y29),$AB29,$AA29)))=Milestones!$AB$193),UPPER(TEXT(EDATE($D29,Milestones!$AA$193),"dd mmm yy"))&amp;" "&amp;Milestones!$AB$193&amp;" "&amp;IF(AND(Milestones!$AB$193="FT",Milestones!$AA$193=FT_Y5,EDATE($D29,Milestones!$AA$193)&lt;PolicyEff),1,Milestones!$AC$193)&amp;";  ","")&amp;IF(AND(EDATE($D29,Milestones!$AA$194)&lt;=AsOfDate,EDATE($D29,Milestones!$AA$194)&gt;=SchemeStart,IF($X29=0,$AD29,IF(AND($Z29&lt;&gt;"",EDATE($D29,Milestones!$AA$194)&gt;=$Z29),$AC29,IF(AND($Y29&lt;&gt;"",EDATE($D29,Milestones!$AA$194)&gt;=$Y29),$AB29,$AA29)))=Milestones!$AB$194),UPPER(TEXT(EDATE($D29,Milestones!$AA$194),"dd mmm yy"))&amp;" "&amp;Milestones!$AB$194&amp;" "&amp;IF(AND(Milestones!$AB$194="FT",Milestones!$AA$194=FT_Y5,EDATE($D29,Milestones!$AA$194)&lt;PolicyEff),1,Milestones!$AC$194)&amp;";  ","")&amp;IF(AND(EDATE($D29,Milestones!$AA$195)&lt;=AsOfDate,EDATE($D29,Milestones!$AA$195)&gt;=SchemeStart,IF($X29=0,$AD29,IF(AND($Z29&lt;&gt;"",EDATE($D29,Milestones!$AA$195)&gt;=$Z29),$AC29,IF(AND($Y29&lt;&gt;"",EDATE($D29,Milestones!$AA$195)&gt;=$Y29),$AB29,$AA29)))=Milestones!$AB$195),UPPER(TEXT(EDATE($D29,Milestones!$AA$195),"dd mmm yy"))&amp;" "&amp;Milestones!$AB$195&amp;" "&amp;IF(AND(Milestones!$AB$195="FT",Milestones!$AA$195=FT_Y5,EDATE($D29,Milestones!$AA$195)&lt;PolicyEff),1,Milestones!$AC$195)&amp;";  ","")&amp;IF(AND(EDATE($D29,Milestones!$AA$196)&lt;=AsOfDate,EDATE($D29,Milestones!$AA$196)&gt;=SchemeStart,IF($X29=0,$AD29,IF(AND($Z29&lt;&gt;"",EDATE($D29,Milestones!$AA$196)&gt;=$Z29),$AC29,IF(AND($Y29&lt;&gt;"",EDATE($D29,Milestones!$AA$196)&gt;=$Y29),$AB29,$AA29)))=Milestones!$AB$196),UPPER(TEXT(EDATE($D29,Milestones!$AA$196),"dd mmm yy"))&amp;" "&amp;Milestones!$AB$196&amp;" "&amp;IF(AND(Milestones!$AB$196="FT",Milestones!$AA$196=FT_Y5,EDATE($D29,Milestones!$AA$196)&lt;PolicyEff),1,Milestones!$AC$196)&amp;";  ","")&amp;IF(AND(EDATE($D29,Milestones!$AA$197)&lt;=AsOfDate,EDATE($D29,Milestones!$AA$197)&gt;=SchemeStart,IF($X29=0,$AD29,IF(AND($Z29&lt;&gt;"",EDATE($D29,Milestones!$AA$197)&gt;=$Z29),$AC29,IF(AND($Y29&lt;&gt;"",EDATE($D29,Milestones!$AA$197)&gt;=$Y29),$AB29,$AA29)))=Milestones!$AB$197),UPPER(TEXT(EDATE($D29,Milestones!$AA$197),"dd mmm yy"))&amp;" "&amp;Milestones!$AB$197&amp;" "&amp;IF(AND(Milestones!$AB$197="FT",Milestones!$AA$197=FT_Y5,EDATE($D29,Milestones!$AA$197)&lt;PolicyEff),1,Milestones!$AC$197)&amp;";  ","")&amp;IF(AND(EDATE($D29,Milestones!$AA$198)&lt;=AsOfDate,EDATE($D29,Milestones!$AA$198)&gt;=SchemeStart,IF($X29=0,$AD29,IF(AND($Z29&lt;&gt;"",EDATE($D29,Milestones!$AA$198)&gt;=$Z29),$AC29,IF(AND($Y29&lt;&gt;"",EDATE($D29,Milestones!$AA$198)&gt;=$Y29),$AB29,$AA29)))=Milestones!$AB$198),UPPER(TEXT(EDATE($D29,Milestones!$AA$198),"dd mmm yy"))&amp;" "&amp;Milestones!$AB$198&amp;" "&amp;IF(AND(Milestones!$AB$198="FT",Milestones!$AA$198=FT_Y5,EDATE($D29,Milestones!$AA$198)&lt;PolicyEff),1,Milestones!$AC$198)&amp;";  ","")&amp;IF(AND(EDATE($D29,Milestones!$AA$199)&lt;=AsOfDate,EDATE($D29,Milestones!$AA$199)&gt;=SchemeStart,IF($X29=0,$AD29,IF(AND($Z29&lt;&gt;"",EDATE($D29,Milestones!$AA$199)&gt;=$Z29),$AC29,IF(AND($Y29&lt;&gt;"",EDATE($D29,Milestones!$AA$199)&gt;=$Y29),$AB29,$AA29)))=Milestones!$AB$199),UPPER(TEXT(EDATE($D29,Milestones!$AA$199),"dd mmm yy"))&amp;" "&amp;Milestones!$AB$199&amp;" "&amp;IF(AND(Milestones!$AB$199="FT",Milestones!$AA$199=FT_Y5,EDATE($D29,Milestones!$AA$199)&lt;PolicyEff),1,Milestones!$AC$199)&amp;";  ",""))</f>
        <v/>
      </c>
      <c r="X29" s="0" t="str">
        <f aca="false">IF(Staff!$A29="","",Staff!$AM29)</f>
        <v/>
      </c>
      <c r="Y29" s="0" t="str">
        <f aca="false">IF(Staff!$A29="","",Staff!$AO29)</f>
        <v/>
      </c>
      <c r="Z29" s="0" t="str">
        <f aca="false">IF(Staff!$A29="","",Staff!$AP29)</f>
        <v/>
      </c>
      <c r="AA29" s="0" t="str">
        <f aca="false">IF(Staff!$A29="","",Staff!$AT29)</f>
        <v/>
      </c>
      <c r="AB29" s="0" t="str">
        <f aca="false">IF(Staff!$A29="","",Staff!$AU29)</f>
        <v/>
      </c>
      <c r="AC29" s="0" t="str">
        <f aca="false">IF(Staff!$A29="","",Staff!$AV29)</f>
        <v/>
      </c>
      <c r="AD29" s="0" t="str">
        <f aca="false">IF(Staff!$A29="","",Staff!$AW29)</f>
        <v/>
      </c>
    </row>
    <row r="30" customFormat="false" ht="15" hidden="false" customHeight="false" outlineLevel="0" collapsed="false">
      <c r="A30" s="16" t="str">
        <f aca="false">IF(Staff!$A30="","",Staff!$A30)</f>
        <v/>
      </c>
      <c r="B30" s="16" t="str">
        <f aca="false">IF(Staff!$A30="","",Staff!$B30)</f>
        <v/>
      </c>
      <c r="C30" s="16" t="str">
        <f aca="false">IF(Staff!$A30="","",Staff!$C30)</f>
        <v/>
      </c>
      <c r="D30" s="14" t="str">
        <f aca="false">IF(Staff!$A30="","",Staff!$AL30)</f>
        <v/>
      </c>
      <c r="E30" s="16" t="str">
        <f aca="false">IF(Staff!$A30="","",Staff!$O30)</f>
        <v/>
      </c>
      <c r="F30" s="16" t="str">
        <f aca="false">IF(E30="","",E30*HoursPerDay)</f>
        <v/>
      </c>
      <c r="G30" s="16" t="str">
        <f aca="false">IF(Staff!$A30="","",Staff!$AE30)</f>
        <v/>
      </c>
      <c r="H30" s="28" t="str">
        <f aca="false">IF($A30="","",I30&amp;J30&amp;K30&amp;L30&amp;M30&amp;N30&amp;O30&amp;P30&amp;Q30&amp;R30&amp;S30&amp;T30&amp;U30&amp;V30&amp;W30)</f>
        <v/>
      </c>
      <c r="I30" s="0" t="str">
        <f aca="false">IF(OR($A30="",$D30=""),"",IF(AND(EDATE($D30,Milestones!$AA$20)&lt;=AsOfDate,EDATE($D30,Milestones!$AA$20)&gt;=SchemeStart,IF($X30=0,$AD30,IF(AND($Z30&lt;&gt;"",EDATE($D30,Milestones!$AA$20)&gt;=$Z30),$AC30,IF(AND($Y30&lt;&gt;"",EDATE($D30,Milestones!$AA$20)&gt;=$Y30),$AB30,$AA30)))=Milestones!$AB$20),UPPER(TEXT(EDATE($D30,Milestones!$AA$20),"dd mmm yy"))&amp;" "&amp;Milestones!$AB$20&amp;" "&amp;IF(AND(Milestones!$AB$20="FT",Milestones!$AA$20=FT_Y5,EDATE($D30,Milestones!$AA$20)&lt;PolicyEff),1,Milestones!$AC$20)&amp;";  ","")&amp;IF(AND(EDATE($D30,Milestones!$AA$21)&lt;=AsOfDate,EDATE($D30,Milestones!$AA$21)&gt;=SchemeStart,IF($X30=0,$AD30,IF(AND($Z30&lt;&gt;"",EDATE($D30,Milestones!$AA$21)&gt;=$Z30),$AC30,IF(AND($Y30&lt;&gt;"",EDATE($D30,Milestones!$AA$21)&gt;=$Y30),$AB30,$AA30)))=Milestones!$AB$21),UPPER(TEXT(EDATE($D30,Milestones!$AA$21),"dd mmm yy"))&amp;" "&amp;Milestones!$AB$21&amp;" "&amp;IF(AND(Milestones!$AB$21="FT",Milestones!$AA$21=FT_Y5,EDATE($D30,Milestones!$AA$21)&lt;PolicyEff),1,Milestones!$AC$21)&amp;";  ","")&amp;IF(AND(EDATE($D30,Milestones!$AA$22)&lt;=AsOfDate,EDATE($D30,Milestones!$AA$22)&gt;=SchemeStart,IF($X30=0,$AD30,IF(AND($Z30&lt;&gt;"",EDATE($D30,Milestones!$AA$22)&gt;=$Z30),$AC30,IF(AND($Y30&lt;&gt;"",EDATE($D30,Milestones!$AA$22)&gt;=$Y30),$AB30,$AA30)))=Milestones!$AB$22),UPPER(TEXT(EDATE($D30,Milestones!$AA$22),"dd mmm yy"))&amp;" "&amp;Milestones!$AB$22&amp;" "&amp;IF(AND(Milestones!$AB$22="FT",Milestones!$AA$22=FT_Y5,EDATE($D30,Milestones!$AA$22)&lt;PolicyEff),1,Milestones!$AC$22)&amp;";  ","")&amp;IF(AND(EDATE($D30,Milestones!$AA$23)&lt;=AsOfDate,EDATE($D30,Milestones!$AA$23)&gt;=SchemeStart,IF($X30=0,$AD30,IF(AND($Z30&lt;&gt;"",EDATE($D30,Milestones!$AA$23)&gt;=$Z30),$AC30,IF(AND($Y30&lt;&gt;"",EDATE($D30,Milestones!$AA$23)&gt;=$Y30),$AB30,$AA30)))=Milestones!$AB$23),UPPER(TEXT(EDATE($D30,Milestones!$AA$23),"dd mmm yy"))&amp;" "&amp;Milestones!$AB$23&amp;" "&amp;IF(AND(Milestones!$AB$23="FT",Milestones!$AA$23=FT_Y5,EDATE($D30,Milestones!$AA$23)&lt;PolicyEff),1,Milestones!$AC$23)&amp;";  ","")&amp;IF(AND(EDATE($D30,Milestones!$AA$24)&lt;=AsOfDate,EDATE($D30,Milestones!$AA$24)&gt;=SchemeStart,IF($X30=0,$AD30,IF(AND($Z30&lt;&gt;"",EDATE($D30,Milestones!$AA$24)&gt;=$Z30),$AC30,IF(AND($Y30&lt;&gt;"",EDATE($D30,Milestones!$AA$24)&gt;=$Y30),$AB30,$AA30)))=Milestones!$AB$24),UPPER(TEXT(EDATE($D30,Milestones!$AA$24),"dd mmm yy"))&amp;" "&amp;Milestones!$AB$24&amp;" "&amp;IF(AND(Milestones!$AB$24="FT",Milestones!$AA$24=FT_Y5,EDATE($D30,Milestones!$AA$24)&lt;PolicyEff),1,Milestones!$AC$24)&amp;";  ","")&amp;IF(AND(EDATE($D30,Milestones!$AA$25)&lt;=AsOfDate,EDATE($D30,Milestones!$AA$25)&gt;=SchemeStart,IF($X30=0,$AD30,IF(AND($Z30&lt;&gt;"",EDATE($D30,Milestones!$AA$25)&gt;=$Z30),$AC30,IF(AND($Y30&lt;&gt;"",EDATE($D30,Milestones!$AA$25)&gt;=$Y30),$AB30,$AA30)))=Milestones!$AB$25),UPPER(TEXT(EDATE($D30,Milestones!$AA$25),"dd mmm yy"))&amp;" "&amp;Milestones!$AB$25&amp;" "&amp;IF(AND(Milestones!$AB$25="FT",Milestones!$AA$25=FT_Y5,EDATE($D30,Milestones!$AA$25)&lt;PolicyEff),1,Milestones!$AC$25)&amp;";  ","")&amp;IF(AND(EDATE($D30,Milestones!$AA$26)&lt;=AsOfDate,EDATE($D30,Milestones!$AA$26)&gt;=SchemeStart,IF($X30=0,$AD30,IF(AND($Z30&lt;&gt;"",EDATE($D30,Milestones!$AA$26)&gt;=$Z30),$AC30,IF(AND($Y30&lt;&gt;"",EDATE($D30,Milestones!$AA$26)&gt;=$Y30),$AB30,$AA30)))=Milestones!$AB$26),UPPER(TEXT(EDATE($D30,Milestones!$AA$26),"dd mmm yy"))&amp;" "&amp;Milestones!$AB$26&amp;" "&amp;IF(AND(Milestones!$AB$26="FT",Milestones!$AA$26=FT_Y5,EDATE($D30,Milestones!$AA$26)&lt;PolicyEff),1,Milestones!$AC$26)&amp;";  ","")&amp;IF(AND(EDATE($D30,Milestones!$AA$27)&lt;=AsOfDate,EDATE($D30,Milestones!$AA$27)&gt;=SchemeStart,IF($X30=0,$AD30,IF(AND($Z30&lt;&gt;"",EDATE($D30,Milestones!$AA$27)&gt;=$Z30),$AC30,IF(AND($Y30&lt;&gt;"",EDATE($D30,Milestones!$AA$27)&gt;=$Y30),$AB30,$AA30)))=Milestones!$AB$27),UPPER(TEXT(EDATE($D30,Milestones!$AA$27),"dd mmm yy"))&amp;" "&amp;Milestones!$AB$27&amp;" "&amp;IF(AND(Milestones!$AB$27="FT",Milestones!$AA$27=FT_Y5,EDATE($D30,Milestones!$AA$27)&lt;PolicyEff),1,Milestones!$AC$27)&amp;";  ","")&amp;IF(AND(EDATE($D30,Milestones!$AA$28)&lt;=AsOfDate,EDATE($D30,Milestones!$AA$28)&gt;=SchemeStart,IF($X30=0,$AD30,IF(AND($Z30&lt;&gt;"",EDATE($D30,Milestones!$AA$28)&gt;=$Z30),$AC30,IF(AND($Y30&lt;&gt;"",EDATE($D30,Milestones!$AA$28)&gt;=$Y30),$AB30,$AA30)))=Milestones!$AB$28),UPPER(TEXT(EDATE($D30,Milestones!$AA$28),"dd mmm yy"))&amp;" "&amp;Milestones!$AB$28&amp;" "&amp;IF(AND(Milestones!$AB$28="FT",Milestones!$AA$28=FT_Y5,EDATE($D30,Milestones!$AA$28)&lt;PolicyEff),1,Milestones!$AC$28)&amp;";  ","")&amp;IF(AND(EDATE($D30,Milestones!$AA$29)&lt;=AsOfDate,EDATE($D30,Milestones!$AA$29)&gt;=SchemeStart,IF($X30=0,$AD30,IF(AND($Z30&lt;&gt;"",EDATE($D30,Milestones!$AA$29)&gt;=$Z30),$AC30,IF(AND($Y30&lt;&gt;"",EDATE($D30,Milestones!$AA$29)&gt;=$Y30),$AB30,$AA30)))=Milestones!$AB$29),UPPER(TEXT(EDATE($D30,Milestones!$AA$29),"dd mmm yy"))&amp;" "&amp;Milestones!$AB$29&amp;" "&amp;IF(AND(Milestones!$AB$29="FT",Milestones!$AA$29=FT_Y5,EDATE($D30,Milestones!$AA$29)&lt;PolicyEff),1,Milestones!$AC$29)&amp;";  ","")&amp;IF(AND(EDATE($D30,Milestones!$AA$30)&lt;=AsOfDate,EDATE($D30,Milestones!$AA$30)&gt;=SchemeStart,IF($X30=0,$AD30,IF(AND($Z30&lt;&gt;"",EDATE($D30,Milestones!$AA$30)&gt;=$Z30),$AC30,IF(AND($Y30&lt;&gt;"",EDATE($D30,Milestones!$AA$30)&gt;=$Y30),$AB30,$AA30)))=Milestones!$AB$30),UPPER(TEXT(EDATE($D30,Milestones!$AA$30),"dd mmm yy"))&amp;" "&amp;Milestones!$AB$30&amp;" "&amp;IF(AND(Milestones!$AB$30="FT",Milestones!$AA$30=FT_Y5,EDATE($D30,Milestones!$AA$30)&lt;PolicyEff),1,Milestones!$AC$30)&amp;";  ","")&amp;IF(AND(EDATE($D30,Milestones!$AA$31)&lt;=AsOfDate,EDATE($D30,Milestones!$AA$31)&gt;=SchemeStart,IF($X30=0,$AD30,IF(AND($Z30&lt;&gt;"",EDATE($D30,Milestones!$AA$31)&gt;=$Z30),$AC30,IF(AND($Y30&lt;&gt;"",EDATE($D30,Milestones!$AA$31)&gt;=$Y30),$AB30,$AA30)))=Milestones!$AB$31),UPPER(TEXT(EDATE($D30,Milestones!$AA$31),"dd mmm yy"))&amp;" "&amp;Milestones!$AB$31&amp;" "&amp;IF(AND(Milestones!$AB$31="FT",Milestones!$AA$31=FT_Y5,EDATE($D30,Milestones!$AA$31)&lt;PolicyEff),1,Milestones!$AC$31)&amp;";  ",""))</f>
        <v/>
      </c>
      <c r="J30" s="0" t="str">
        <f aca="false">IF(OR($A30="",$D30=""),"",IF(AND(EDATE($D30,Milestones!$AA$32)&lt;=AsOfDate,EDATE($D30,Milestones!$AA$32)&gt;=SchemeStart,IF($X30=0,$AD30,IF(AND($Z30&lt;&gt;"",EDATE($D30,Milestones!$AA$32)&gt;=$Z30),$AC30,IF(AND($Y30&lt;&gt;"",EDATE($D30,Milestones!$AA$32)&gt;=$Y30),$AB30,$AA30)))=Milestones!$AB$32),UPPER(TEXT(EDATE($D30,Milestones!$AA$32),"dd mmm yy"))&amp;" "&amp;Milestones!$AB$32&amp;" "&amp;IF(AND(Milestones!$AB$32="FT",Milestones!$AA$32=FT_Y5,EDATE($D30,Milestones!$AA$32)&lt;PolicyEff),1,Milestones!$AC$32)&amp;";  ","")&amp;IF(AND(EDATE($D30,Milestones!$AA$33)&lt;=AsOfDate,EDATE($D30,Milestones!$AA$33)&gt;=SchemeStart,IF($X30=0,$AD30,IF(AND($Z30&lt;&gt;"",EDATE($D30,Milestones!$AA$33)&gt;=$Z30),$AC30,IF(AND($Y30&lt;&gt;"",EDATE($D30,Milestones!$AA$33)&gt;=$Y30),$AB30,$AA30)))=Milestones!$AB$33),UPPER(TEXT(EDATE($D30,Milestones!$AA$33),"dd mmm yy"))&amp;" "&amp;Milestones!$AB$33&amp;" "&amp;IF(AND(Milestones!$AB$33="FT",Milestones!$AA$33=FT_Y5,EDATE($D30,Milestones!$AA$33)&lt;PolicyEff),1,Milestones!$AC$33)&amp;";  ","")&amp;IF(AND(EDATE($D30,Milestones!$AA$34)&lt;=AsOfDate,EDATE($D30,Milestones!$AA$34)&gt;=SchemeStart,IF($X30=0,$AD30,IF(AND($Z30&lt;&gt;"",EDATE($D30,Milestones!$AA$34)&gt;=$Z30),$AC30,IF(AND($Y30&lt;&gt;"",EDATE($D30,Milestones!$AA$34)&gt;=$Y30),$AB30,$AA30)))=Milestones!$AB$34),UPPER(TEXT(EDATE($D30,Milestones!$AA$34),"dd mmm yy"))&amp;" "&amp;Milestones!$AB$34&amp;" "&amp;IF(AND(Milestones!$AB$34="FT",Milestones!$AA$34=FT_Y5,EDATE($D30,Milestones!$AA$34)&lt;PolicyEff),1,Milestones!$AC$34)&amp;";  ","")&amp;IF(AND(EDATE($D30,Milestones!$AA$35)&lt;=AsOfDate,EDATE($D30,Milestones!$AA$35)&gt;=SchemeStart,IF($X30=0,$AD30,IF(AND($Z30&lt;&gt;"",EDATE($D30,Milestones!$AA$35)&gt;=$Z30),$AC30,IF(AND($Y30&lt;&gt;"",EDATE($D30,Milestones!$AA$35)&gt;=$Y30),$AB30,$AA30)))=Milestones!$AB$35),UPPER(TEXT(EDATE($D30,Milestones!$AA$35),"dd mmm yy"))&amp;" "&amp;Milestones!$AB$35&amp;" "&amp;IF(AND(Milestones!$AB$35="FT",Milestones!$AA$35=FT_Y5,EDATE($D30,Milestones!$AA$35)&lt;PolicyEff),1,Milestones!$AC$35)&amp;";  ","")&amp;IF(AND(EDATE($D30,Milestones!$AA$36)&lt;=AsOfDate,EDATE($D30,Milestones!$AA$36)&gt;=SchemeStart,IF($X30=0,$AD30,IF(AND($Z30&lt;&gt;"",EDATE($D30,Milestones!$AA$36)&gt;=$Z30),$AC30,IF(AND($Y30&lt;&gt;"",EDATE($D30,Milestones!$AA$36)&gt;=$Y30),$AB30,$AA30)))=Milestones!$AB$36),UPPER(TEXT(EDATE($D30,Milestones!$AA$36),"dd mmm yy"))&amp;" "&amp;Milestones!$AB$36&amp;" "&amp;IF(AND(Milestones!$AB$36="FT",Milestones!$AA$36=FT_Y5,EDATE($D30,Milestones!$AA$36)&lt;PolicyEff),1,Milestones!$AC$36)&amp;";  ","")&amp;IF(AND(EDATE($D30,Milestones!$AA$37)&lt;=AsOfDate,EDATE($D30,Milestones!$AA$37)&gt;=SchemeStart,IF($X30=0,$AD30,IF(AND($Z30&lt;&gt;"",EDATE($D30,Milestones!$AA$37)&gt;=$Z30),$AC30,IF(AND($Y30&lt;&gt;"",EDATE($D30,Milestones!$AA$37)&gt;=$Y30),$AB30,$AA30)))=Milestones!$AB$37),UPPER(TEXT(EDATE($D30,Milestones!$AA$37),"dd mmm yy"))&amp;" "&amp;Milestones!$AB$37&amp;" "&amp;IF(AND(Milestones!$AB$37="FT",Milestones!$AA$37=FT_Y5,EDATE($D30,Milestones!$AA$37)&lt;PolicyEff),1,Milestones!$AC$37)&amp;";  ","")&amp;IF(AND(EDATE($D30,Milestones!$AA$38)&lt;=AsOfDate,EDATE($D30,Milestones!$AA$38)&gt;=SchemeStart,IF($X30=0,$AD30,IF(AND($Z30&lt;&gt;"",EDATE($D30,Milestones!$AA$38)&gt;=$Z30),$AC30,IF(AND($Y30&lt;&gt;"",EDATE($D30,Milestones!$AA$38)&gt;=$Y30),$AB30,$AA30)))=Milestones!$AB$38),UPPER(TEXT(EDATE($D30,Milestones!$AA$38),"dd mmm yy"))&amp;" "&amp;Milestones!$AB$38&amp;" "&amp;IF(AND(Milestones!$AB$38="FT",Milestones!$AA$38=FT_Y5,EDATE($D30,Milestones!$AA$38)&lt;PolicyEff),1,Milestones!$AC$38)&amp;";  ","")&amp;IF(AND(EDATE($D30,Milestones!$AA$39)&lt;=AsOfDate,EDATE($D30,Milestones!$AA$39)&gt;=SchemeStart,IF($X30=0,$AD30,IF(AND($Z30&lt;&gt;"",EDATE($D30,Milestones!$AA$39)&gt;=$Z30),$AC30,IF(AND($Y30&lt;&gt;"",EDATE($D30,Milestones!$AA$39)&gt;=$Y30),$AB30,$AA30)))=Milestones!$AB$39),UPPER(TEXT(EDATE($D30,Milestones!$AA$39),"dd mmm yy"))&amp;" "&amp;Milestones!$AB$39&amp;" "&amp;IF(AND(Milestones!$AB$39="FT",Milestones!$AA$39=FT_Y5,EDATE($D30,Milestones!$AA$39)&lt;PolicyEff),1,Milestones!$AC$39)&amp;";  ","")&amp;IF(AND(EDATE($D30,Milestones!$AA$40)&lt;=AsOfDate,EDATE($D30,Milestones!$AA$40)&gt;=SchemeStart,IF($X30=0,$AD30,IF(AND($Z30&lt;&gt;"",EDATE($D30,Milestones!$AA$40)&gt;=$Z30),$AC30,IF(AND($Y30&lt;&gt;"",EDATE($D30,Milestones!$AA$40)&gt;=$Y30),$AB30,$AA30)))=Milestones!$AB$40),UPPER(TEXT(EDATE($D30,Milestones!$AA$40),"dd mmm yy"))&amp;" "&amp;Milestones!$AB$40&amp;" "&amp;IF(AND(Milestones!$AB$40="FT",Milestones!$AA$40=FT_Y5,EDATE($D30,Milestones!$AA$40)&lt;PolicyEff),1,Milestones!$AC$40)&amp;";  ","")&amp;IF(AND(EDATE($D30,Milestones!$AA$41)&lt;=AsOfDate,EDATE($D30,Milestones!$AA$41)&gt;=SchemeStart,IF($X30=0,$AD30,IF(AND($Z30&lt;&gt;"",EDATE($D30,Milestones!$AA$41)&gt;=$Z30),$AC30,IF(AND($Y30&lt;&gt;"",EDATE($D30,Milestones!$AA$41)&gt;=$Y30),$AB30,$AA30)))=Milestones!$AB$41),UPPER(TEXT(EDATE($D30,Milestones!$AA$41),"dd mmm yy"))&amp;" "&amp;Milestones!$AB$41&amp;" "&amp;IF(AND(Milestones!$AB$41="FT",Milestones!$AA$41=FT_Y5,EDATE($D30,Milestones!$AA$41)&lt;PolicyEff),1,Milestones!$AC$41)&amp;";  ","")&amp;IF(AND(EDATE($D30,Milestones!$AA$42)&lt;=AsOfDate,EDATE($D30,Milestones!$AA$42)&gt;=SchemeStart,IF($X30=0,$AD30,IF(AND($Z30&lt;&gt;"",EDATE($D30,Milestones!$AA$42)&gt;=$Z30),$AC30,IF(AND($Y30&lt;&gt;"",EDATE($D30,Milestones!$AA$42)&gt;=$Y30),$AB30,$AA30)))=Milestones!$AB$42),UPPER(TEXT(EDATE($D30,Milestones!$AA$42),"dd mmm yy"))&amp;" "&amp;Milestones!$AB$42&amp;" "&amp;IF(AND(Milestones!$AB$42="FT",Milestones!$AA$42=FT_Y5,EDATE($D30,Milestones!$AA$42)&lt;PolicyEff),1,Milestones!$AC$42)&amp;";  ","")&amp;IF(AND(EDATE($D30,Milestones!$AA$43)&lt;=AsOfDate,EDATE($D30,Milestones!$AA$43)&gt;=SchemeStart,IF($X30=0,$AD30,IF(AND($Z30&lt;&gt;"",EDATE($D30,Milestones!$AA$43)&gt;=$Z30),$AC30,IF(AND($Y30&lt;&gt;"",EDATE($D30,Milestones!$AA$43)&gt;=$Y30),$AB30,$AA30)))=Milestones!$AB$43),UPPER(TEXT(EDATE($D30,Milestones!$AA$43),"dd mmm yy"))&amp;" "&amp;Milestones!$AB$43&amp;" "&amp;IF(AND(Milestones!$AB$43="FT",Milestones!$AA$43=FT_Y5,EDATE($D30,Milestones!$AA$43)&lt;PolicyEff),1,Milestones!$AC$43)&amp;";  ",""))</f>
        <v/>
      </c>
      <c r="K30" s="0" t="str">
        <f aca="false">IF(OR($A30="",$D30=""),"",IF(AND(EDATE($D30,Milestones!$AA$44)&lt;=AsOfDate,EDATE($D30,Milestones!$AA$44)&gt;=SchemeStart,IF($X30=0,$AD30,IF(AND($Z30&lt;&gt;"",EDATE($D30,Milestones!$AA$44)&gt;=$Z30),$AC30,IF(AND($Y30&lt;&gt;"",EDATE($D30,Milestones!$AA$44)&gt;=$Y30),$AB30,$AA30)))=Milestones!$AB$44),UPPER(TEXT(EDATE($D30,Milestones!$AA$44),"dd mmm yy"))&amp;" "&amp;Milestones!$AB$44&amp;" "&amp;IF(AND(Milestones!$AB$44="FT",Milestones!$AA$44=FT_Y5,EDATE($D30,Milestones!$AA$44)&lt;PolicyEff),1,Milestones!$AC$44)&amp;";  ","")&amp;IF(AND(EDATE($D30,Milestones!$AA$45)&lt;=AsOfDate,EDATE($D30,Milestones!$AA$45)&gt;=SchemeStart,IF($X30=0,$AD30,IF(AND($Z30&lt;&gt;"",EDATE($D30,Milestones!$AA$45)&gt;=$Z30),$AC30,IF(AND($Y30&lt;&gt;"",EDATE($D30,Milestones!$AA$45)&gt;=$Y30),$AB30,$AA30)))=Milestones!$AB$45),UPPER(TEXT(EDATE($D30,Milestones!$AA$45),"dd mmm yy"))&amp;" "&amp;Milestones!$AB$45&amp;" "&amp;IF(AND(Milestones!$AB$45="FT",Milestones!$AA$45=FT_Y5,EDATE($D30,Milestones!$AA$45)&lt;PolicyEff),1,Milestones!$AC$45)&amp;";  ","")&amp;IF(AND(EDATE($D30,Milestones!$AA$46)&lt;=AsOfDate,EDATE($D30,Milestones!$AA$46)&gt;=SchemeStart,IF($X30=0,$AD30,IF(AND($Z30&lt;&gt;"",EDATE($D30,Milestones!$AA$46)&gt;=$Z30),$AC30,IF(AND($Y30&lt;&gt;"",EDATE($D30,Milestones!$AA$46)&gt;=$Y30),$AB30,$AA30)))=Milestones!$AB$46),UPPER(TEXT(EDATE($D30,Milestones!$AA$46),"dd mmm yy"))&amp;" "&amp;Milestones!$AB$46&amp;" "&amp;IF(AND(Milestones!$AB$46="FT",Milestones!$AA$46=FT_Y5,EDATE($D30,Milestones!$AA$46)&lt;PolicyEff),1,Milestones!$AC$46)&amp;";  ","")&amp;IF(AND(EDATE($D30,Milestones!$AA$47)&lt;=AsOfDate,EDATE($D30,Milestones!$AA$47)&gt;=SchemeStart,IF($X30=0,$AD30,IF(AND($Z30&lt;&gt;"",EDATE($D30,Milestones!$AA$47)&gt;=$Z30),$AC30,IF(AND($Y30&lt;&gt;"",EDATE($D30,Milestones!$AA$47)&gt;=$Y30),$AB30,$AA30)))=Milestones!$AB$47),UPPER(TEXT(EDATE($D30,Milestones!$AA$47),"dd mmm yy"))&amp;" "&amp;Milestones!$AB$47&amp;" "&amp;IF(AND(Milestones!$AB$47="FT",Milestones!$AA$47=FT_Y5,EDATE($D30,Milestones!$AA$47)&lt;PolicyEff),1,Milestones!$AC$47)&amp;";  ","")&amp;IF(AND(EDATE($D30,Milestones!$AA$48)&lt;=AsOfDate,EDATE($D30,Milestones!$AA$48)&gt;=SchemeStart,IF($X30=0,$AD30,IF(AND($Z30&lt;&gt;"",EDATE($D30,Milestones!$AA$48)&gt;=$Z30),$AC30,IF(AND($Y30&lt;&gt;"",EDATE($D30,Milestones!$AA$48)&gt;=$Y30),$AB30,$AA30)))=Milestones!$AB$48),UPPER(TEXT(EDATE($D30,Milestones!$AA$48),"dd mmm yy"))&amp;" "&amp;Milestones!$AB$48&amp;" "&amp;IF(AND(Milestones!$AB$48="FT",Milestones!$AA$48=FT_Y5,EDATE($D30,Milestones!$AA$48)&lt;PolicyEff),1,Milestones!$AC$48)&amp;";  ","")&amp;IF(AND(EDATE($D30,Milestones!$AA$49)&lt;=AsOfDate,EDATE($D30,Milestones!$AA$49)&gt;=SchemeStart,IF($X30=0,$AD30,IF(AND($Z30&lt;&gt;"",EDATE($D30,Milestones!$AA$49)&gt;=$Z30),$AC30,IF(AND($Y30&lt;&gt;"",EDATE($D30,Milestones!$AA$49)&gt;=$Y30),$AB30,$AA30)))=Milestones!$AB$49),UPPER(TEXT(EDATE($D30,Milestones!$AA$49),"dd mmm yy"))&amp;" "&amp;Milestones!$AB$49&amp;" "&amp;IF(AND(Milestones!$AB$49="FT",Milestones!$AA$49=FT_Y5,EDATE($D30,Milestones!$AA$49)&lt;PolicyEff),1,Milestones!$AC$49)&amp;";  ","")&amp;IF(AND(EDATE($D30,Milestones!$AA$50)&lt;=AsOfDate,EDATE($D30,Milestones!$AA$50)&gt;=SchemeStart,IF($X30=0,$AD30,IF(AND($Z30&lt;&gt;"",EDATE($D30,Milestones!$AA$50)&gt;=$Z30),$AC30,IF(AND($Y30&lt;&gt;"",EDATE($D30,Milestones!$AA$50)&gt;=$Y30),$AB30,$AA30)))=Milestones!$AB$50),UPPER(TEXT(EDATE($D30,Milestones!$AA$50),"dd mmm yy"))&amp;" "&amp;Milestones!$AB$50&amp;" "&amp;IF(AND(Milestones!$AB$50="FT",Milestones!$AA$50=FT_Y5,EDATE($D30,Milestones!$AA$50)&lt;PolicyEff),1,Milestones!$AC$50)&amp;";  ","")&amp;IF(AND(EDATE($D30,Milestones!$AA$51)&lt;=AsOfDate,EDATE($D30,Milestones!$AA$51)&gt;=SchemeStart,IF($X30=0,$AD30,IF(AND($Z30&lt;&gt;"",EDATE($D30,Milestones!$AA$51)&gt;=$Z30),$AC30,IF(AND($Y30&lt;&gt;"",EDATE($D30,Milestones!$AA$51)&gt;=$Y30),$AB30,$AA30)))=Milestones!$AB$51),UPPER(TEXT(EDATE($D30,Milestones!$AA$51),"dd mmm yy"))&amp;" "&amp;Milestones!$AB$51&amp;" "&amp;IF(AND(Milestones!$AB$51="FT",Milestones!$AA$51=FT_Y5,EDATE($D30,Milestones!$AA$51)&lt;PolicyEff),1,Milestones!$AC$51)&amp;";  ","")&amp;IF(AND(EDATE($D30,Milestones!$AA$52)&lt;=AsOfDate,EDATE($D30,Milestones!$AA$52)&gt;=SchemeStart,IF($X30=0,$AD30,IF(AND($Z30&lt;&gt;"",EDATE($D30,Milestones!$AA$52)&gt;=$Z30),$AC30,IF(AND($Y30&lt;&gt;"",EDATE($D30,Milestones!$AA$52)&gt;=$Y30),$AB30,$AA30)))=Milestones!$AB$52),UPPER(TEXT(EDATE($D30,Milestones!$AA$52),"dd mmm yy"))&amp;" "&amp;Milestones!$AB$52&amp;" "&amp;IF(AND(Milestones!$AB$52="FT",Milestones!$AA$52=FT_Y5,EDATE($D30,Milestones!$AA$52)&lt;PolicyEff),1,Milestones!$AC$52)&amp;";  ","")&amp;IF(AND(EDATE($D30,Milestones!$AA$53)&lt;=AsOfDate,EDATE($D30,Milestones!$AA$53)&gt;=SchemeStart,IF($X30=0,$AD30,IF(AND($Z30&lt;&gt;"",EDATE($D30,Milestones!$AA$53)&gt;=$Z30),$AC30,IF(AND($Y30&lt;&gt;"",EDATE($D30,Milestones!$AA$53)&gt;=$Y30),$AB30,$AA30)))=Milestones!$AB$53),UPPER(TEXT(EDATE($D30,Milestones!$AA$53),"dd mmm yy"))&amp;" "&amp;Milestones!$AB$53&amp;" "&amp;IF(AND(Milestones!$AB$53="FT",Milestones!$AA$53=FT_Y5,EDATE($D30,Milestones!$AA$53)&lt;PolicyEff),1,Milestones!$AC$53)&amp;";  ","")&amp;IF(AND(EDATE($D30,Milestones!$AA$54)&lt;=AsOfDate,EDATE($D30,Milestones!$AA$54)&gt;=SchemeStart,IF($X30=0,$AD30,IF(AND($Z30&lt;&gt;"",EDATE($D30,Milestones!$AA$54)&gt;=$Z30),$AC30,IF(AND($Y30&lt;&gt;"",EDATE($D30,Milestones!$AA$54)&gt;=$Y30),$AB30,$AA30)))=Milestones!$AB$54),UPPER(TEXT(EDATE($D30,Milestones!$AA$54),"dd mmm yy"))&amp;" "&amp;Milestones!$AB$54&amp;" "&amp;IF(AND(Milestones!$AB$54="FT",Milestones!$AA$54=FT_Y5,EDATE($D30,Milestones!$AA$54)&lt;PolicyEff),1,Milestones!$AC$54)&amp;";  ","")&amp;IF(AND(EDATE($D30,Milestones!$AA$55)&lt;=AsOfDate,EDATE($D30,Milestones!$AA$55)&gt;=SchemeStart,IF($X30=0,$AD30,IF(AND($Z30&lt;&gt;"",EDATE($D30,Milestones!$AA$55)&gt;=$Z30),$AC30,IF(AND($Y30&lt;&gt;"",EDATE($D30,Milestones!$AA$55)&gt;=$Y30),$AB30,$AA30)))=Milestones!$AB$55),UPPER(TEXT(EDATE($D30,Milestones!$AA$55),"dd mmm yy"))&amp;" "&amp;Milestones!$AB$55&amp;" "&amp;IF(AND(Milestones!$AB$55="FT",Milestones!$AA$55=FT_Y5,EDATE($D30,Milestones!$AA$55)&lt;PolicyEff),1,Milestones!$AC$55)&amp;";  ",""))</f>
        <v/>
      </c>
      <c r="L30" s="0" t="str">
        <f aca="false">IF(OR($A30="",$D30=""),"",IF(AND(EDATE($D30,Milestones!$AA$56)&lt;=AsOfDate,EDATE($D30,Milestones!$AA$56)&gt;=SchemeStart,IF($X30=0,$AD30,IF(AND($Z30&lt;&gt;"",EDATE($D30,Milestones!$AA$56)&gt;=$Z30),$AC30,IF(AND($Y30&lt;&gt;"",EDATE($D30,Milestones!$AA$56)&gt;=$Y30),$AB30,$AA30)))=Milestones!$AB$56),UPPER(TEXT(EDATE($D30,Milestones!$AA$56),"dd mmm yy"))&amp;" "&amp;Milestones!$AB$56&amp;" "&amp;IF(AND(Milestones!$AB$56="FT",Milestones!$AA$56=FT_Y5,EDATE($D30,Milestones!$AA$56)&lt;PolicyEff),1,Milestones!$AC$56)&amp;";  ","")&amp;IF(AND(EDATE($D30,Milestones!$AA$57)&lt;=AsOfDate,EDATE($D30,Milestones!$AA$57)&gt;=SchemeStart,IF($X30=0,$AD30,IF(AND($Z30&lt;&gt;"",EDATE($D30,Milestones!$AA$57)&gt;=$Z30),$AC30,IF(AND($Y30&lt;&gt;"",EDATE($D30,Milestones!$AA$57)&gt;=$Y30),$AB30,$AA30)))=Milestones!$AB$57),UPPER(TEXT(EDATE($D30,Milestones!$AA$57),"dd mmm yy"))&amp;" "&amp;Milestones!$AB$57&amp;" "&amp;IF(AND(Milestones!$AB$57="FT",Milestones!$AA$57=FT_Y5,EDATE($D30,Milestones!$AA$57)&lt;PolicyEff),1,Milestones!$AC$57)&amp;";  ","")&amp;IF(AND(EDATE($D30,Milestones!$AA$58)&lt;=AsOfDate,EDATE($D30,Milestones!$AA$58)&gt;=SchemeStart,IF($X30=0,$AD30,IF(AND($Z30&lt;&gt;"",EDATE($D30,Milestones!$AA$58)&gt;=$Z30),$AC30,IF(AND($Y30&lt;&gt;"",EDATE($D30,Milestones!$AA$58)&gt;=$Y30),$AB30,$AA30)))=Milestones!$AB$58),UPPER(TEXT(EDATE($D30,Milestones!$AA$58),"dd mmm yy"))&amp;" "&amp;Milestones!$AB$58&amp;" "&amp;IF(AND(Milestones!$AB$58="FT",Milestones!$AA$58=FT_Y5,EDATE($D30,Milestones!$AA$58)&lt;PolicyEff),1,Milestones!$AC$58)&amp;";  ","")&amp;IF(AND(EDATE($D30,Milestones!$AA$59)&lt;=AsOfDate,EDATE($D30,Milestones!$AA$59)&gt;=SchemeStart,IF($X30=0,$AD30,IF(AND($Z30&lt;&gt;"",EDATE($D30,Milestones!$AA$59)&gt;=$Z30),$AC30,IF(AND($Y30&lt;&gt;"",EDATE($D30,Milestones!$AA$59)&gt;=$Y30),$AB30,$AA30)))=Milestones!$AB$59),UPPER(TEXT(EDATE($D30,Milestones!$AA$59),"dd mmm yy"))&amp;" "&amp;Milestones!$AB$59&amp;" "&amp;IF(AND(Milestones!$AB$59="FT",Milestones!$AA$59=FT_Y5,EDATE($D30,Milestones!$AA$59)&lt;PolicyEff),1,Milestones!$AC$59)&amp;";  ","")&amp;IF(AND(EDATE($D30,Milestones!$AA$60)&lt;=AsOfDate,EDATE($D30,Milestones!$AA$60)&gt;=SchemeStart,IF($X30=0,$AD30,IF(AND($Z30&lt;&gt;"",EDATE($D30,Milestones!$AA$60)&gt;=$Z30),$AC30,IF(AND($Y30&lt;&gt;"",EDATE($D30,Milestones!$AA$60)&gt;=$Y30),$AB30,$AA30)))=Milestones!$AB$60),UPPER(TEXT(EDATE($D30,Milestones!$AA$60),"dd mmm yy"))&amp;" "&amp;Milestones!$AB$60&amp;" "&amp;IF(AND(Milestones!$AB$60="FT",Milestones!$AA$60=FT_Y5,EDATE($D30,Milestones!$AA$60)&lt;PolicyEff),1,Milestones!$AC$60)&amp;";  ","")&amp;IF(AND(EDATE($D30,Milestones!$AA$61)&lt;=AsOfDate,EDATE($D30,Milestones!$AA$61)&gt;=SchemeStart,IF($X30=0,$AD30,IF(AND($Z30&lt;&gt;"",EDATE($D30,Milestones!$AA$61)&gt;=$Z30),$AC30,IF(AND($Y30&lt;&gt;"",EDATE($D30,Milestones!$AA$61)&gt;=$Y30),$AB30,$AA30)))=Milestones!$AB$61),UPPER(TEXT(EDATE($D30,Milestones!$AA$61),"dd mmm yy"))&amp;" "&amp;Milestones!$AB$61&amp;" "&amp;IF(AND(Milestones!$AB$61="FT",Milestones!$AA$61=FT_Y5,EDATE($D30,Milestones!$AA$61)&lt;PolicyEff),1,Milestones!$AC$61)&amp;";  ","")&amp;IF(AND(EDATE($D30,Milestones!$AA$62)&lt;=AsOfDate,EDATE($D30,Milestones!$AA$62)&gt;=SchemeStart,IF($X30=0,$AD30,IF(AND($Z30&lt;&gt;"",EDATE($D30,Milestones!$AA$62)&gt;=$Z30),$AC30,IF(AND($Y30&lt;&gt;"",EDATE($D30,Milestones!$AA$62)&gt;=$Y30),$AB30,$AA30)))=Milestones!$AB$62),UPPER(TEXT(EDATE($D30,Milestones!$AA$62),"dd mmm yy"))&amp;" "&amp;Milestones!$AB$62&amp;" "&amp;IF(AND(Milestones!$AB$62="FT",Milestones!$AA$62=FT_Y5,EDATE($D30,Milestones!$AA$62)&lt;PolicyEff),1,Milestones!$AC$62)&amp;";  ","")&amp;IF(AND(EDATE($D30,Milestones!$AA$63)&lt;=AsOfDate,EDATE($D30,Milestones!$AA$63)&gt;=SchemeStart,IF($X30=0,$AD30,IF(AND($Z30&lt;&gt;"",EDATE($D30,Milestones!$AA$63)&gt;=$Z30),$AC30,IF(AND($Y30&lt;&gt;"",EDATE($D30,Milestones!$AA$63)&gt;=$Y30),$AB30,$AA30)))=Milestones!$AB$63),UPPER(TEXT(EDATE($D30,Milestones!$AA$63),"dd mmm yy"))&amp;" "&amp;Milestones!$AB$63&amp;" "&amp;IF(AND(Milestones!$AB$63="FT",Milestones!$AA$63=FT_Y5,EDATE($D30,Milestones!$AA$63)&lt;PolicyEff),1,Milestones!$AC$63)&amp;";  ","")&amp;IF(AND(EDATE($D30,Milestones!$AA$64)&lt;=AsOfDate,EDATE($D30,Milestones!$AA$64)&gt;=SchemeStart,IF($X30=0,$AD30,IF(AND($Z30&lt;&gt;"",EDATE($D30,Milestones!$AA$64)&gt;=$Z30),$AC30,IF(AND($Y30&lt;&gt;"",EDATE($D30,Milestones!$AA$64)&gt;=$Y30),$AB30,$AA30)))=Milestones!$AB$64),UPPER(TEXT(EDATE($D30,Milestones!$AA$64),"dd mmm yy"))&amp;" "&amp;Milestones!$AB$64&amp;" "&amp;IF(AND(Milestones!$AB$64="FT",Milestones!$AA$64=FT_Y5,EDATE($D30,Milestones!$AA$64)&lt;PolicyEff),1,Milestones!$AC$64)&amp;";  ","")&amp;IF(AND(EDATE($D30,Milestones!$AA$65)&lt;=AsOfDate,EDATE($D30,Milestones!$AA$65)&gt;=SchemeStart,IF($X30=0,$AD30,IF(AND($Z30&lt;&gt;"",EDATE($D30,Milestones!$AA$65)&gt;=$Z30),$AC30,IF(AND($Y30&lt;&gt;"",EDATE($D30,Milestones!$AA$65)&gt;=$Y30),$AB30,$AA30)))=Milestones!$AB$65),UPPER(TEXT(EDATE($D30,Milestones!$AA$65),"dd mmm yy"))&amp;" "&amp;Milestones!$AB$65&amp;" "&amp;IF(AND(Milestones!$AB$65="FT",Milestones!$AA$65=FT_Y5,EDATE($D30,Milestones!$AA$65)&lt;PolicyEff),1,Milestones!$AC$65)&amp;";  ","")&amp;IF(AND(EDATE($D30,Milestones!$AA$66)&lt;=AsOfDate,EDATE($D30,Milestones!$AA$66)&gt;=SchemeStart,IF($X30=0,$AD30,IF(AND($Z30&lt;&gt;"",EDATE($D30,Milestones!$AA$66)&gt;=$Z30),$AC30,IF(AND($Y30&lt;&gt;"",EDATE($D30,Milestones!$AA$66)&gt;=$Y30),$AB30,$AA30)))=Milestones!$AB$66),UPPER(TEXT(EDATE($D30,Milestones!$AA$66),"dd mmm yy"))&amp;" "&amp;Milestones!$AB$66&amp;" "&amp;IF(AND(Milestones!$AB$66="FT",Milestones!$AA$66=FT_Y5,EDATE($D30,Milestones!$AA$66)&lt;PolicyEff),1,Milestones!$AC$66)&amp;";  ","")&amp;IF(AND(EDATE($D30,Milestones!$AA$67)&lt;=AsOfDate,EDATE($D30,Milestones!$AA$67)&gt;=SchemeStart,IF($X30=0,$AD30,IF(AND($Z30&lt;&gt;"",EDATE($D30,Milestones!$AA$67)&gt;=$Z30),$AC30,IF(AND($Y30&lt;&gt;"",EDATE($D30,Milestones!$AA$67)&gt;=$Y30),$AB30,$AA30)))=Milestones!$AB$67),UPPER(TEXT(EDATE($D30,Milestones!$AA$67),"dd mmm yy"))&amp;" "&amp;Milestones!$AB$67&amp;" "&amp;IF(AND(Milestones!$AB$67="FT",Milestones!$AA$67=FT_Y5,EDATE($D30,Milestones!$AA$67)&lt;PolicyEff),1,Milestones!$AC$67)&amp;";  ",""))</f>
        <v/>
      </c>
      <c r="M30" s="0" t="str">
        <f aca="false">IF(OR($A30="",$D30=""),"",IF(AND(EDATE($D30,Milestones!$AA$68)&lt;=AsOfDate,EDATE($D30,Milestones!$AA$68)&gt;=SchemeStart,IF($X30=0,$AD30,IF(AND($Z30&lt;&gt;"",EDATE($D30,Milestones!$AA$68)&gt;=$Z30),$AC30,IF(AND($Y30&lt;&gt;"",EDATE($D30,Milestones!$AA$68)&gt;=$Y30),$AB30,$AA30)))=Milestones!$AB$68),UPPER(TEXT(EDATE($D30,Milestones!$AA$68),"dd mmm yy"))&amp;" "&amp;Milestones!$AB$68&amp;" "&amp;IF(AND(Milestones!$AB$68="FT",Milestones!$AA$68=FT_Y5,EDATE($D30,Milestones!$AA$68)&lt;PolicyEff),1,Milestones!$AC$68)&amp;";  ","")&amp;IF(AND(EDATE($D30,Milestones!$AA$69)&lt;=AsOfDate,EDATE($D30,Milestones!$AA$69)&gt;=SchemeStart,IF($X30=0,$AD30,IF(AND($Z30&lt;&gt;"",EDATE($D30,Milestones!$AA$69)&gt;=$Z30),$AC30,IF(AND($Y30&lt;&gt;"",EDATE($D30,Milestones!$AA$69)&gt;=$Y30),$AB30,$AA30)))=Milestones!$AB$69),UPPER(TEXT(EDATE($D30,Milestones!$AA$69),"dd mmm yy"))&amp;" "&amp;Milestones!$AB$69&amp;" "&amp;IF(AND(Milestones!$AB$69="FT",Milestones!$AA$69=FT_Y5,EDATE($D30,Milestones!$AA$69)&lt;PolicyEff),1,Milestones!$AC$69)&amp;";  ","")&amp;IF(AND(EDATE($D30,Milestones!$AA$70)&lt;=AsOfDate,EDATE($D30,Milestones!$AA$70)&gt;=SchemeStart,IF($X30=0,$AD30,IF(AND($Z30&lt;&gt;"",EDATE($D30,Milestones!$AA$70)&gt;=$Z30),$AC30,IF(AND($Y30&lt;&gt;"",EDATE($D30,Milestones!$AA$70)&gt;=$Y30),$AB30,$AA30)))=Milestones!$AB$70),UPPER(TEXT(EDATE($D30,Milestones!$AA$70),"dd mmm yy"))&amp;" "&amp;Milestones!$AB$70&amp;" "&amp;IF(AND(Milestones!$AB$70="FT",Milestones!$AA$70=FT_Y5,EDATE($D30,Milestones!$AA$70)&lt;PolicyEff),1,Milestones!$AC$70)&amp;";  ","")&amp;IF(AND(EDATE($D30,Milestones!$AA$71)&lt;=AsOfDate,EDATE($D30,Milestones!$AA$71)&gt;=SchemeStart,IF($X30=0,$AD30,IF(AND($Z30&lt;&gt;"",EDATE($D30,Milestones!$AA$71)&gt;=$Z30),$AC30,IF(AND($Y30&lt;&gt;"",EDATE($D30,Milestones!$AA$71)&gt;=$Y30),$AB30,$AA30)))=Milestones!$AB$71),UPPER(TEXT(EDATE($D30,Milestones!$AA$71),"dd mmm yy"))&amp;" "&amp;Milestones!$AB$71&amp;" "&amp;IF(AND(Milestones!$AB$71="FT",Milestones!$AA$71=FT_Y5,EDATE($D30,Milestones!$AA$71)&lt;PolicyEff),1,Milestones!$AC$71)&amp;";  ","")&amp;IF(AND(EDATE($D30,Milestones!$AA$72)&lt;=AsOfDate,EDATE($D30,Milestones!$AA$72)&gt;=SchemeStart,IF($X30=0,$AD30,IF(AND($Z30&lt;&gt;"",EDATE($D30,Milestones!$AA$72)&gt;=$Z30),$AC30,IF(AND($Y30&lt;&gt;"",EDATE($D30,Milestones!$AA$72)&gt;=$Y30),$AB30,$AA30)))=Milestones!$AB$72),UPPER(TEXT(EDATE($D30,Milestones!$AA$72),"dd mmm yy"))&amp;" "&amp;Milestones!$AB$72&amp;" "&amp;IF(AND(Milestones!$AB$72="FT",Milestones!$AA$72=FT_Y5,EDATE($D30,Milestones!$AA$72)&lt;PolicyEff),1,Milestones!$AC$72)&amp;";  ","")&amp;IF(AND(EDATE($D30,Milestones!$AA$73)&lt;=AsOfDate,EDATE($D30,Milestones!$AA$73)&gt;=SchemeStart,IF($X30=0,$AD30,IF(AND($Z30&lt;&gt;"",EDATE($D30,Milestones!$AA$73)&gt;=$Z30),$AC30,IF(AND($Y30&lt;&gt;"",EDATE($D30,Milestones!$AA$73)&gt;=$Y30),$AB30,$AA30)))=Milestones!$AB$73),UPPER(TEXT(EDATE($D30,Milestones!$AA$73),"dd mmm yy"))&amp;" "&amp;Milestones!$AB$73&amp;" "&amp;IF(AND(Milestones!$AB$73="FT",Milestones!$AA$73=FT_Y5,EDATE($D30,Milestones!$AA$73)&lt;PolicyEff),1,Milestones!$AC$73)&amp;";  ","")&amp;IF(AND(EDATE($D30,Milestones!$AA$74)&lt;=AsOfDate,EDATE($D30,Milestones!$AA$74)&gt;=SchemeStart,IF($X30=0,$AD30,IF(AND($Z30&lt;&gt;"",EDATE($D30,Milestones!$AA$74)&gt;=$Z30),$AC30,IF(AND($Y30&lt;&gt;"",EDATE($D30,Milestones!$AA$74)&gt;=$Y30),$AB30,$AA30)))=Milestones!$AB$74),UPPER(TEXT(EDATE($D30,Milestones!$AA$74),"dd mmm yy"))&amp;" "&amp;Milestones!$AB$74&amp;" "&amp;IF(AND(Milestones!$AB$74="FT",Milestones!$AA$74=FT_Y5,EDATE($D30,Milestones!$AA$74)&lt;PolicyEff),1,Milestones!$AC$74)&amp;";  ","")&amp;IF(AND(EDATE($D30,Milestones!$AA$75)&lt;=AsOfDate,EDATE($D30,Milestones!$AA$75)&gt;=SchemeStart,IF($X30=0,$AD30,IF(AND($Z30&lt;&gt;"",EDATE($D30,Milestones!$AA$75)&gt;=$Z30),$AC30,IF(AND($Y30&lt;&gt;"",EDATE($D30,Milestones!$AA$75)&gt;=$Y30),$AB30,$AA30)))=Milestones!$AB$75),UPPER(TEXT(EDATE($D30,Milestones!$AA$75),"dd mmm yy"))&amp;" "&amp;Milestones!$AB$75&amp;" "&amp;IF(AND(Milestones!$AB$75="FT",Milestones!$AA$75=FT_Y5,EDATE($D30,Milestones!$AA$75)&lt;PolicyEff),1,Milestones!$AC$75)&amp;";  ","")&amp;IF(AND(EDATE($D30,Milestones!$AA$76)&lt;=AsOfDate,EDATE($D30,Milestones!$AA$76)&gt;=SchemeStart,IF($X30=0,$AD30,IF(AND($Z30&lt;&gt;"",EDATE($D30,Milestones!$AA$76)&gt;=$Z30),$AC30,IF(AND($Y30&lt;&gt;"",EDATE($D30,Milestones!$AA$76)&gt;=$Y30),$AB30,$AA30)))=Milestones!$AB$76),UPPER(TEXT(EDATE($D30,Milestones!$AA$76),"dd mmm yy"))&amp;" "&amp;Milestones!$AB$76&amp;" "&amp;IF(AND(Milestones!$AB$76="FT",Milestones!$AA$76=FT_Y5,EDATE($D30,Milestones!$AA$76)&lt;PolicyEff),1,Milestones!$AC$76)&amp;";  ","")&amp;IF(AND(EDATE($D30,Milestones!$AA$77)&lt;=AsOfDate,EDATE($D30,Milestones!$AA$77)&gt;=SchemeStart,IF($X30=0,$AD30,IF(AND($Z30&lt;&gt;"",EDATE($D30,Milestones!$AA$77)&gt;=$Z30),$AC30,IF(AND($Y30&lt;&gt;"",EDATE($D30,Milestones!$AA$77)&gt;=$Y30),$AB30,$AA30)))=Milestones!$AB$77),UPPER(TEXT(EDATE($D30,Milestones!$AA$77),"dd mmm yy"))&amp;" "&amp;Milestones!$AB$77&amp;" "&amp;IF(AND(Milestones!$AB$77="FT",Milestones!$AA$77=FT_Y5,EDATE($D30,Milestones!$AA$77)&lt;PolicyEff),1,Milestones!$AC$77)&amp;";  ","")&amp;IF(AND(EDATE($D30,Milestones!$AA$78)&lt;=AsOfDate,EDATE($D30,Milestones!$AA$78)&gt;=SchemeStart,IF($X30=0,$AD30,IF(AND($Z30&lt;&gt;"",EDATE($D30,Milestones!$AA$78)&gt;=$Z30),$AC30,IF(AND($Y30&lt;&gt;"",EDATE($D30,Milestones!$AA$78)&gt;=$Y30),$AB30,$AA30)))=Milestones!$AB$78),UPPER(TEXT(EDATE($D30,Milestones!$AA$78),"dd mmm yy"))&amp;" "&amp;Milestones!$AB$78&amp;" "&amp;IF(AND(Milestones!$AB$78="FT",Milestones!$AA$78=FT_Y5,EDATE($D30,Milestones!$AA$78)&lt;PolicyEff),1,Milestones!$AC$78)&amp;";  ","")&amp;IF(AND(EDATE($D30,Milestones!$AA$79)&lt;=AsOfDate,EDATE($D30,Milestones!$AA$79)&gt;=SchemeStart,IF($X30=0,$AD30,IF(AND($Z30&lt;&gt;"",EDATE($D30,Milestones!$AA$79)&gt;=$Z30),$AC30,IF(AND($Y30&lt;&gt;"",EDATE($D30,Milestones!$AA$79)&gt;=$Y30),$AB30,$AA30)))=Milestones!$AB$79),UPPER(TEXT(EDATE($D30,Milestones!$AA$79),"dd mmm yy"))&amp;" "&amp;Milestones!$AB$79&amp;" "&amp;IF(AND(Milestones!$AB$79="FT",Milestones!$AA$79=FT_Y5,EDATE($D30,Milestones!$AA$79)&lt;PolicyEff),1,Milestones!$AC$79)&amp;";  ",""))</f>
        <v/>
      </c>
      <c r="N30" s="0" t="str">
        <f aca="false">IF(OR($A30="",$D30=""),"",IF(AND(EDATE($D30,Milestones!$AA$80)&lt;=AsOfDate,EDATE($D30,Milestones!$AA$80)&gt;=SchemeStart,IF($X30=0,$AD30,IF(AND($Z30&lt;&gt;"",EDATE($D30,Milestones!$AA$80)&gt;=$Z30),$AC30,IF(AND($Y30&lt;&gt;"",EDATE($D30,Milestones!$AA$80)&gt;=$Y30),$AB30,$AA30)))=Milestones!$AB$80),UPPER(TEXT(EDATE($D30,Milestones!$AA$80),"dd mmm yy"))&amp;" "&amp;Milestones!$AB$80&amp;" "&amp;IF(AND(Milestones!$AB$80="FT",Milestones!$AA$80=FT_Y5,EDATE($D30,Milestones!$AA$80)&lt;PolicyEff),1,Milestones!$AC$80)&amp;";  ","")&amp;IF(AND(EDATE($D30,Milestones!$AA$81)&lt;=AsOfDate,EDATE($D30,Milestones!$AA$81)&gt;=SchemeStart,IF($X30=0,$AD30,IF(AND($Z30&lt;&gt;"",EDATE($D30,Milestones!$AA$81)&gt;=$Z30),$AC30,IF(AND($Y30&lt;&gt;"",EDATE($D30,Milestones!$AA$81)&gt;=$Y30),$AB30,$AA30)))=Milestones!$AB$81),UPPER(TEXT(EDATE($D30,Milestones!$AA$81),"dd mmm yy"))&amp;" "&amp;Milestones!$AB$81&amp;" "&amp;IF(AND(Milestones!$AB$81="FT",Milestones!$AA$81=FT_Y5,EDATE($D30,Milestones!$AA$81)&lt;PolicyEff),1,Milestones!$AC$81)&amp;";  ","")&amp;IF(AND(EDATE($D30,Milestones!$AA$82)&lt;=AsOfDate,EDATE($D30,Milestones!$AA$82)&gt;=SchemeStart,IF($X30=0,$AD30,IF(AND($Z30&lt;&gt;"",EDATE($D30,Milestones!$AA$82)&gt;=$Z30),$AC30,IF(AND($Y30&lt;&gt;"",EDATE($D30,Milestones!$AA$82)&gt;=$Y30),$AB30,$AA30)))=Milestones!$AB$82),UPPER(TEXT(EDATE($D30,Milestones!$AA$82),"dd mmm yy"))&amp;" "&amp;Milestones!$AB$82&amp;" "&amp;IF(AND(Milestones!$AB$82="FT",Milestones!$AA$82=FT_Y5,EDATE($D30,Milestones!$AA$82)&lt;PolicyEff),1,Milestones!$AC$82)&amp;";  ","")&amp;IF(AND(EDATE($D30,Milestones!$AA$83)&lt;=AsOfDate,EDATE($D30,Milestones!$AA$83)&gt;=SchemeStart,IF($X30=0,$AD30,IF(AND($Z30&lt;&gt;"",EDATE($D30,Milestones!$AA$83)&gt;=$Z30),$AC30,IF(AND($Y30&lt;&gt;"",EDATE($D30,Milestones!$AA$83)&gt;=$Y30),$AB30,$AA30)))=Milestones!$AB$83),UPPER(TEXT(EDATE($D30,Milestones!$AA$83),"dd mmm yy"))&amp;" "&amp;Milestones!$AB$83&amp;" "&amp;IF(AND(Milestones!$AB$83="FT",Milestones!$AA$83=FT_Y5,EDATE($D30,Milestones!$AA$83)&lt;PolicyEff),1,Milestones!$AC$83)&amp;";  ","")&amp;IF(AND(EDATE($D30,Milestones!$AA$84)&lt;=AsOfDate,EDATE($D30,Milestones!$AA$84)&gt;=SchemeStart,IF($X30=0,$AD30,IF(AND($Z30&lt;&gt;"",EDATE($D30,Milestones!$AA$84)&gt;=$Z30),$AC30,IF(AND($Y30&lt;&gt;"",EDATE($D30,Milestones!$AA$84)&gt;=$Y30),$AB30,$AA30)))=Milestones!$AB$84),UPPER(TEXT(EDATE($D30,Milestones!$AA$84),"dd mmm yy"))&amp;" "&amp;Milestones!$AB$84&amp;" "&amp;IF(AND(Milestones!$AB$84="FT",Milestones!$AA$84=FT_Y5,EDATE($D30,Milestones!$AA$84)&lt;PolicyEff),1,Milestones!$AC$84)&amp;";  ","")&amp;IF(AND(EDATE($D30,Milestones!$AA$85)&lt;=AsOfDate,EDATE($D30,Milestones!$AA$85)&gt;=SchemeStart,IF($X30=0,$AD30,IF(AND($Z30&lt;&gt;"",EDATE($D30,Milestones!$AA$85)&gt;=$Z30),$AC30,IF(AND($Y30&lt;&gt;"",EDATE($D30,Milestones!$AA$85)&gt;=$Y30),$AB30,$AA30)))=Milestones!$AB$85),UPPER(TEXT(EDATE($D30,Milestones!$AA$85),"dd mmm yy"))&amp;" "&amp;Milestones!$AB$85&amp;" "&amp;IF(AND(Milestones!$AB$85="FT",Milestones!$AA$85=FT_Y5,EDATE($D30,Milestones!$AA$85)&lt;PolicyEff),1,Milestones!$AC$85)&amp;";  ","")&amp;IF(AND(EDATE($D30,Milestones!$AA$86)&lt;=AsOfDate,EDATE($D30,Milestones!$AA$86)&gt;=SchemeStart,IF($X30=0,$AD30,IF(AND($Z30&lt;&gt;"",EDATE($D30,Milestones!$AA$86)&gt;=$Z30),$AC30,IF(AND($Y30&lt;&gt;"",EDATE($D30,Milestones!$AA$86)&gt;=$Y30),$AB30,$AA30)))=Milestones!$AB$86),UPPER(TEXT(EDATE($D30,Milestones!$AA$86),"dd mmm yy"))&amp;" "&amp;Milestones!$AB$86&amp;" "&amp;IF(AND(Milestones!$AB$86="FT",Milestones!$AA$86=FT_Y5,EDATE($D30,Milestones!$AA$86)&lt;PolicyEff),1,Milestones!$AC$86)&amp;";  ","")&amp;IF(AND(EDATE($D30,Milestones!$AA$87)&lt;=AsOfDate,EDATE($D30,Milestones!$AA$87)&gt;=SchemeStart,IF($X30=0,$AD30,IF(AND($Z30&lt;&gt;"",EDATE($D30,Milestones!$AA$87)&gt;=$Z30),$AC30,IF(AND($Y30&lt;&gt;"",EDATE($D30,Milestones!$AA$87)&gt;=$Y30),$AB30,$AA30)))=Milestones!$AB$87),UPPER(TEXT(EDATE($D30,Milestones!$AA$87),"dd mmm yy"))&amp;" "&amp;Milestones!$AB$87&amp;" "&amp;IF(AND(Milestones!$AB$87="FT",Milestones!$AA$87=FT_Y5,EDATE($D30,Milestones!$AA$87)&lt;PolicyEff),1,Milestones!$AC$87)&amp;";  ","")&amp;IF(AND(EDATE($D30,Milestones!$AA$88)&lt;=AsOfDate,EDATE($D30,Milestones!$AA$88)&gt;=SchemeStart,IF($X30=0,$AD30,IF(AND($Z30&lt;&gt;"",EDATE($D30,Milestones!$AA$88)&gt;=$Z30),$AC30,IF(AND($Y30&lt;&gt;"",EDATE($D30,Milestones!$AA$88)&gt;=$Y30),$AB30,$AA30)))=Milestones!$AB$88),UPPER(TEXT(EDATE($D30,Milestones!$AA$88),"dd mmm yy"))&amp;" "&amp;Milestones!$AB$88&amp;" "&amp;IF(AND(Milestones!$AB$88="FT",Milestones!$AA$88=FT_Y5,EDATE($D30,Milestones!$AA$88)&lt;PolicyEff),1,Milestones!$AC$88)&amp;";  ","")&amp;IF(AND(EDATE($D30,Milestones!$AA$89)&lt;=AsOfDate,EDATE($D30,Milestones!$AA$89)&gt;=SchemeStart,IF($X30=0,$AD30,IF(AND($Z30&lt;&gt;"",EDATE($D30,Milestones!$AA$89)&gt;=$Z30),$AC30,IF(AND($Y30&lt;&gt;"",EDATE($D30,Milestones!$AA$89)&gt;=$Y30),$AB30,$AA30)))=Milestones!$AB$89),UPPER(TEXT(EDATE($D30,Milestones!$AA$89),"dd mmm yy"))&amp;" "&amp;Milestones!$AB$89&amp;" "&amp;IF(AND(Milestones!$AB$89="FT",Milestones!$AA$89=FT_Y5,EDATE($D30,Milestones!$AA$89)&lt;PolicyEff),1,Milestones!$AC$89)&amp;";  ","")&amp;IF(AND(EDATE($D30,Milestones!$AA$90)&lt;=AsOfDate,EDATE($D30,Milestones!$AA$90)&gt;=SchemeStart,IF($X30=0,$AD30,IF(AND($Z30&lt;&gt;"",EDATE($D30,Milestones!$AA$90)&gt;=$Z30),$AC30,IF(AND($Y30&lt;&gt;"",EDATE($D30,Milestones!$AA$90)&gt;=$Y30),$AB30,$AA30)))=Milestones!$AB$90),UPPER(TEXT(EDATE($D30,Milestones!$AA$90),"dd mmm yy"))&amp;" "&amp;Milestones!$AB$90&amp;" "&amp;IF(AND(Milestones!$AB$90="FT",Milestones!$AA$90=FT_Y5,EDATE($D30,Milestones!$AA$90)&lt;PolicyEff),1,Milestones!$AC$90)&amp;";  ","")&amp;IF(AND(EDATE($D30,Milestones!$AA$91)&lt;=AsOfDate,EDATE($D30,Milestones!$AA$91)&gt;=SchemeStart,IF($X30=0,$AD30,IF(AND($Z30&lt;&gt;"",EDATE($D30,Milestones!$AA$91)&gt;=$Z30),$AC30,IF(AND($Y30&lt;&gt;"",EDATE($D30,Milestones!$AA$91)&gt;=$Y30),$AB30,$AA30)))=Milestones!$AB$91),UPPER(TEXT(EDATE($D30,Milestones!$AA$91),"dd mmm yy"))&amp;" "&amp;Milestones!$AB$91&amp;" "&amp;IF(AND(Milestones!$AB$91="FT",Milestones!$AA$91=FT_Y5,EDATE($D30,Milestones!$AA$91)&lt;PolicyEff),1,Milestones!$AC$91)&amp;";  ",""))</f>
        <v/>
      </c>
      <c r="O30" s="0" t="str">
        <f aca="false">IF(OR($A30="",$D30=""),"",IF(AND(EDATE($D30,Milestones!$AA$92)&lt;=AsOfDate,EDATE($D30,Milestones!$AA$92)&gt;=SchemeStart,IF($X30=0,$AD30,IF(AND($Z30&lt;&gt;"",EDATE($D30,Milestones!$AA$92)&gt;=$Z30),$AC30,IF(AND($Y30&lt;&gt;"",EDATE($D30,Milestones!$AA$92)&gt;=$Y30),$AB30,$AA30)))=Milestones!$AB$92),UPPER(TEXT(EDATE($D30,Milestones!$AA$92),"dd mmm yy"))&amp;" "&amp;Milestones!$AB$92&amp;" "&amp;IF(AND(Milestones!$AB$92="FT",Milestones!$AA$92=FT_Y5,EDATE($D30,Milestones!$AA$92)&lt;PolicyEff),1,Milestones!$AC$92)&amp;";  ","")&amp;IF(AND(EDATE($D30,Milestones!$AA$93)&lt;=AsOfDate,EDATE($D30,Milestones!$AA$93)&gt;=SchemeStart,IF($X30=0,$AD30,IF(AND($Z30&lt;&gt;"",EDATE($D30,Milestones!$AA$93)&gt;=$Z30),$AC30,IF(AND($Y30&lt;&gt;"",EDATE($D30,Milestones!$AA$93)&gt;=$Y30),$AB30,$AA30)))=Milestones!$AB$93),UPPER(TEXT(EDATE($D30,Milestones!$AA$93),"dd mmm yy"))&amp;" "&amp;Milestones!$AB$93&amp;" "&amp;IF(AND(Milestones!$AB$93="FT",Milestones!$AA$93=FT_Y5,EDATE($D30,Milestones!$AA$93)&lt;PolicyEff),1,Milestones!$AC$93)&amp;";  ","")&amp;IF(AND(EDATE($D30,Milestones!$AA$94)&lt;=AsOfDate,EDATE($D30,Milestones!$AA$94)&gt;=SchemeStart,IF($X30=0,$AD30,IF(AND($Z30&lt;&gt;"",EDATE($D30,Milestones!$AA$94)&gt;=$Z30),$AC30,IF(AND($Y30&lt;&gt;"",EDATE($D30,Milestones!$AA$94)&gt;=$Y30),$AB30,$AA30)))=Milestones!$AB$94),UPPER(TEXT(EDATE($D30,Milestones!$AA$94),"dd mmm yy"))&amp;" "&amp;Milestones!$AB$94&amp;" "&amp;IF(AND(Milestones!$AB$94="FT",Milestones!$AA$94=FT_Y5,EDATE($D30,Milestones!$AA$94)&lt;PolicyEff),1,Milestones!$AC$94)&amp;";  ","")&amp;IF(AND(EDATE($D30,Milestones!$AA$95)&lt;=AsOfDate,EDATE($D30,Milestones!$AA$95)&gt;=SchemeStart,IF($X30=0,$AD30,IF(AND($Z30&lt;&gt;"",EDATE($D30,Milestones!$AA$95)&gt;=$Z30),$AC30,IF(AND($Y30&lt;&gt;"",EDATE($D30,Milestones!$AA$95)&gt;=$Y30),$AB30,$AA30)))=Milestones!$AB$95),UPPER(TEXT(EDATE($D30,Milestones!$AA$95),"dd mmm yy"))&amp;" "&amp;Milestones!$AB$95&amp;" "&amp;IF(AND(Milestones!$AB$95="FT",Milestones!$AA$95=FT_Y5,EDATE($D30,Milestones!$AA$95)&lt;PolicyEff),1,Milestones!$AC$95)&amp;";  ","")&amp;IF(AND(EDATE($D30,Milestones!$AA$96)&lt;=AsOfDate,EDATE($D30,Milestones!$AA$96)&gt;=SchemeStart,IF($X30=0,$AD30,IF(AND($Z30&lt;&gt;"",EDATE($D30,Milestones!$AA$96)&gt;=$Z30),$AC30,IF(AND($Y30&lt;&gt;"",EDATE($D30,Milestones!$AA$96)&gt;=$Y30),$AB30,$AA30)))=Milestones!$AB$96),UPPER(TEXT(EDATE($D30,Milestones!$AA$96),"dd mmm yy"))&amp;" "&amp;Milestones!$AB$96&amp;" "&amp;IF(AND(Milestones!$AB$96="FT",Milestones!$AA$96=FT_Y5,EDATE($D30,Milestones!$AA$96)&lt;PolicyEff),1,Milestones!$AC$96)&amp;";  ","")&amp;IF(AND(EDATE($D30,Milestones!$AA$97)&lt;=AsOfDate,EDATE($D30,Milestones!$AA$97)&gt;=SchemeStart,IF($X30=0,$AD30,IF(AND($Z30&lt;&gt;"",EDATE($D30,Milestones!$AA$97)&gt;=$Z30),$AC30,IF(AND($Y30&lt;&gt;"",EDATE($D30,Milestones!$AA$97)&gt;=$Y30),$AB30,$AA30)))=Milestones!$AB$97),UPPER(TEXT(EDATE($D30,Milestones!$AA$97),"dd mmm yy"))&amp;" "&amp;Milestones!$AB$97&amp;" "&amp;IF(AND(Milestones!$AB$97="FT",Milestones!$AA$97=FT_Y5,EDATE($D30,Milestones!$AA$97)&lt;PolicyEff),1,Milestones!$AC$97)&amp;";  ","")&amp;IF(AND(EDATE($D30,Milestones!$AA$98)&lt;=AsOfDate,EDATE($D30,Milestones!$AA$98)&gt;=SchemeStart,IF($X30=0,$AD30,IF(AND($Z30&lt;&gt;"",EDATE($D30,Milestones!$AA$98)&gt;=$Z30),$AC30,IF(AND($Y30&lt;&gt;"",EDATE($D30,Milestones!$AA$98)&gt;=$Y30),$AB30,$AA30)))=Milestones!$AB$98),UPPER(TEXT(EDATE($D30,Milestones!$AA$98),"dd mmm yy"))&amp;" "&amp;Milestones!$AB$98&amp;" "&amp;IF(AND(Milestones!$AB$98="FT",Milestones!$AA$98=FT_Y5,EDATE($D30,Milestones!$AA$98)&lt;PolicyEff),1,Milestones!$AC$98)&amp;";  ","")&amp;IF(AND(EDATE($D30,Milestones!$AA$99)&lt;=AsOfDate,EDATE($D30,Milestones!$AA$99)&gt;=SchemeStart,IF($X30=0,$AD30,IF(AND($Z30&lt;&gt;"",EDATE($D30,Milestones!$AA$99)&gt;=$Z30),$AC30,IF(AND($Y30&lt;&gt;"",EDATE($D30,Milestones!$AA$99)&gt;=$Y30),$AB30,$AA30)))=Milestones!$AB$99),UPPER(TEXT(EDATE($D30,Milestones!$AA$99),"dd mmm yy"))&amp;" "&amp;Milestones!$AB$99&amp;" "&amp;IF(AND(Milestones!$AB$99="FT",Milestones!$AA$99=FT_Y5,EDATE($D30,Milestones!$AA$99)&lt;PolicyEff),1,Milestones!$AC$99)&amp;";  ","")&amp;IF(AND(EDATE($D30,Milestones!$AA$100)&lt;=AsOfDate,EDATE($D30,Milestones!$AA$100)&gt;=SchemeStart,IF($X30=0,$AD30,IF(AND($Z30&lt;&gt;"",EDATE($D30,Milestones!$AA$100)&gt;=$Z30),$AC30,IF(AND($Y30&lt;&gt;"",EDATE($D30,Milestones!$AA$100)&gt;=$Y30),$AB30,$AA30)))=Milestones!$AB$100),UPPER(TEXT(EDATE($D30,Milestones!$AA$100),"dd mmm yy"))&amp;" "&amp;Milestones!$AB$100&amp;" "&amp;IF(AND(Milestones!$AB$100="FT",Milestones!$AA$100=FT_Y5,EDATE($D30,Milestones!$AA$100)&lt;PolicyEff),1,Milestones!$AC$100)&amp;";  ","")&amp;IF(AND(EDATE($D30,Milestones!$AA$101)&lt;=AsOfDate,EDATE($D30,Milestones!$AA$101)&gt;=SchemeStart,IF($X30=0,$AD30,IF(AND($Z30&lt;&gt;"",EDATE($D30,Milestones!$AA$101)&gt;=$Z30),$AC30,IF(AND($Y30&lt;&gt;"",EDATE($D30,Milestones!$AA$101)&gt;=$Y30),$AB30,$AA30)))=Milestones!$AB$101),UPPER(TEXT(EDATE($D30,Milestones!$AA$101),"dd mmm yy"))&amp;" "&amp;Milestones!$AB$101&amp;" "&amp;IF(AND(Milestones!$AB$101="FT",Milestones!$AA$101=FT_Y5,EDATE($D30,Milestones!$AA$101)&lt;PolicyEff),1,Milestones!$AC$101)&amp;";  ","")&amp;IF(AND(EDATE($D30,Milestones!$AA$102)&lt;=AsOfDate,EDATE($D30,Milestones!$AA$102)&gt;=SchemeStart,IF($X30=0,$AD30,IF(AND($Z30&lt;&gt;"",EDATE($D30,Milestones!$AA$102)&gt;=$Z30),$AC30,IF(AND($Y30&lt;&gt;"",EDATE($D30,Milestones!$AA$102)&gt;=$Y30),$AB30,$AA30)))=Milestones!$AB$102),UPPER(TEXT(EDATE($D30,Milestones!$AA$102),"dd mmm yy"))&amp;" "&amp;Milestones!$AB$102&amp;" "&amp;IF(AND(Milestones!$AB$102="FT",Milestones!$AA$102=FT_Y5,EDATE($D30,Milestones!$AA$102)&lt;PolicyEff),1,Milestones!$AC$102)&amp;";  ","")&amp;IF(AND(EDATE($D30,Milestones!$AA$103)&lt;=AsOfDate,EDATE($D30,Milestones!$AA$103)&gt;=SchemeStart,IF($X30=0,$AD30,IF(AND($Z30&lt;&gt;"",EDATE($D30,Milestones!$AA$103)&gt;=$Z30),$AC30,IF(AND($Y30&lt;&gt;"",EDATE($D30,Milestones!$AA$103)&gt;=$Y30),$AB30,$AA30)))=Milestones!$AB$103),UPPER(TEXT(EDATE($D30,Milestones!$AA$103),"dd mmm yy"))&amp;" "&amp;Milestones!$AB$103&amp;" "&amp;IF(AND(Milestones!$AB$103="FT",Milestones!$AA$103=FT_Y5,EDATE($D30,Milestones!$AA$103)&lt;PolicyEff),1,Milestones!$AC$103)&amp;";  ",""))</f>
        <v/>
      </c>
      <c r="P30" s="0" t="str">
        <f aca="false">IF(OR($A30="",$D30=""),"",IF(AND(EDATE($D30,Milestones!$AA$104)&lt;=AsOfDate,EDATE($D30,Milestones!$AA$104)&gt;=SchemeStart,IF($X30=0,$AD30,IF(AND($Z30&lt;&gt;"",EDATE($D30,Milestones!$AA$104)&gt;=$Z30),$AC30,IF(AND($Y30&lt;&gt;"",EDATE($D30,Milestones!$AA$104)&gt;=$Y30),$AB30,$AA30)))=Milestones!$AB$104),UPPER(TEXT(EDATE($D30,Milestones!$AA$104),"dd mmm yy"))&amp;" "&amp;Milestones!$AB$104&amp;" "&amp;IF(AND(Milestones!$AB$104="FT",Milestones!$AA$104=FT_Y5,EDATE($D30,Milestones!$AA$104)&lt;PolicyEff),1,Milestones!$AC$104)&amp;";  ","")&amp;IF(AND(EDATE($D30,Milestones!$AA$105)&lt;=AsOfDate,EDATE($D30,Milestones!$AA$105)&gt;=SchemeStart,IF($X30=0,$AD30,IF(AND($Z30&lt;&gt;"",EDATE($D30,Milestones!$AA$105)&gt;=$Z30),$AC30,IF(AND($Y30&lt;&gt;"",EDATE($D30,Milestones!$AA$105)&gt;=$Y30),$AB30,$AA30)))=Milestones!$AB$105),UPPER(TEXT(EDATE($D30,Milestones!$AA$105),"dd mmm yy"))&amp;" "&amp;Milestones!$AB$105&amp;" "&amp;IF(AND(Milestones!$AB$105="FT",Milestones!$AA$105=FT_Y5,EDATE($D30,Milestones!$AA$105)&lt;PolicyEff),1,Milestones!$AC$105)&amp;";  ","")&amp;IF(AND(EDATE($D30,Milestones!$AA$106)&lt;=AsOfDate,EDATE($D30,Milestones!$AA$106)&gt;=SchemeStart,IF($X30=0,$AD30,IF(AND($Z30&lt;&gt;"",EDATE($D30,Milestones!$AA$106)&gt;=$Z30),$AC30,IF(AND($Y30&lt;&gt;"",EDATE($D30,Milestones!$AA$106)&gt;=$Y30),$AB30,$AA30)))=Milestones!$AB$106),UPPER(TEXT(EDATE($D30,Milestones!$AA$106),"dd mmm yy"))&amp;" "&amp;Milestones!$AB$106&amp;" "&amp;IF(AND(Milestones!$AB$106="FT",Milestones!$AA$106=FT_Y5,EDATE($D30,Milestones!$AA$106)&lt;PolicyEff),1,Milestones!$AC$106)&amp;";  ","")&amp;IF(AND(EDATE($D30,Milestones!$AA$107)&lt;=AsOfDate,EDATE($D30,Milestones!$AA$107)&gt;=SchemeStart,IF($X30=0,$AD30,IF(AND($Z30&lt;&gt;"",EDATE($D30,Milestones!$AA$107)&gt;=$Z30),$AC30,IF(AND($Y30&lt;&gt;"",EDATE($D30,Milestones!$AA$107)&gt;=$Y30),$AB30,$AA30)))=Milestones!$AB$107),UPPER(TEXT(EDATE($D30,Milestones!$AA$107),"dd mmm yy"))&amp;" "&amp;Milestones!$AB$107&amp;" "&amp;IF(AND(Milestones!$AB$107="FT",Milestones!$AA$107=FT_Y5,EDATE($D30,Milestones!$AA$107)&lt;PolicyEff),1,Milestones!$AC$107)&amp;";  ","")&amp;IF(AND(EDATE($D30,Milestones!$AA$108)&lt;=AsOfDate,EDATE($D30,Milestones!$AA$108)&gt;=SchemeStart,IF($X30=0,$AD30,IF(AND($Z30&lt;&gt;"",EDATE($D30,Milestones!$AA$108)&gt;=$Z30),$AC30,IF(AND($Y30&lt;&gt;"",EDATE($D30,Milestones!$AA$108)&gt;=$Y30),$AB30,$AA30)))=Milestones!$AB$108),UPPER(TEXT(EDATE($D30,Milestones!$AA$108),"dd mmm yy"))&amp;" "&amp;Milestones!$AB$108&amp;" "&amp;IF(AND(Milestones!$AB$108="FT",Milestones!$AA$108=FT_Y5,EDATE($D30,Milestones!$AA$108)&lt;PolicyEff),1,Milestones!$AC$108)&amp;";  ","")&amp;IF(AND(EDATE($D30,Milestones!$AA$109)&lt;=AsOfDate,EDATE($D30,Milestones!$AA$109)&gt;=SchemeStart,IF($X30=0,$AD30,IF(AND($Z30&lt;&gt;"",EDATE($D30,Milestones!$AA$109)&gt;=$Z30),$AC30,IF(AND($Y30&lt;&gt;"",EDATE($D30,Milestones!$AA$109)&gt;=$Y30),$AB30,$AA30)))=Milestones!$AB$109),UPPER(TEXT(EDATE($D30,Milestones!$AA$109),"dd mmm yy"))&amp;" "&amp;Milestones!$AB$109&amp;" "&amp;IF(AND(Milestones!$AB$109="FT",Milestones!$AA$109=FT_Y5,EDATE($D30,Milestones!$AA$109)&lt;PolicyEff),1,Milestones!$AC$109)&amp;";  ","")&amp;IF(AND(EDATE($D30,Milestones!$AA$110)&lt;=AsOfDate,EDATE($D30,Milestones!$AA$110)&gt;=SchemeStart,IF($X30=0,$AD30,IF(AND($Z30&lt;&gt;"",EDATE($D30,Milestones!$AA$110)&gt;=$Z30),$AC30,IF(AND($Y30&lt;&gt;"",EDATE($D30,Milestones!$AA$110)&gt;=$Y30),$AB30,$AA30)))=Milestones!$AB$110),UPPER(TEXT(EDATE($D30,Milestones!$AA$110),"dd mmm yy"))&amp;" "&amp;Milestones!$AB$110&amp;" "&amp;IF(AND(Milestones!$AB$110="FT",Milestones!$AA$110=FT_Y5,EDATE($D30,Milestones!$AA$110)&lt;PolicyEff),1,Milestones!$AC$110)&amp;";  ","")&amp;IF(AND(EDATE($D30,Milestones!$AA$111)&lt;=AsOfDate,EDATE($D30,Milestones!$AA$111)&gt;=SchemeStart,IF($X30=0,$AD30,IF(AND($Z30&lt;&gt;"",EDATE($D30,Milestones!$AA$111)&gt;=$Z30),$AC30,IF(AND($Y30&lt;&gt;"",EDATE($D30,Milestones!$AA$111)&gt;=$Y30),$AB30,$AA30)))=Milestones!$AB$111),UPPER(TEXT(EDATE($D30,Milestones!$AA$111),"dd mmm yy"))&amp;" "&amp;Milestones!$AB$111&amp;" "&amp;IF(AND(Milestones!$AB$111="FT",Milestones!$AA$111=FT_Y5,EDATE($D30,Milestones!$AA$111)&lt;PolicyEff),1,Milestones!$AC$111)&amp;";  ","")&amp;IF(AND(EDATE($D30,Milestones!$AA$112)&lt;=AsOfDate,EDATE($D30,Milestones!$AA$112)&gt;=SchemeStart,IF($X30=0,$AD30,IF(AND($Z30&lt;&gt;"",EDATE($D30,Milestones!$AA$112)&gt;=$Z30),$AC30,IF(AND($Y30&lt;&gt;"",EDATE($D30,Milestones!$AA$112)&gt;=$Y30),$AB30,$AA30)))=Milestones!$AB$112),UPPER(TEXT(EDATE($D30,Milestones!$AA$112),"dd mmm yy"))&amp;" "&amp;Milestones!$AB$112&amp;" "&amp;IF(AND(Milestones!$AB$112="FT",Milestones!$AA$112=FT_Y5,EDATE($D30,Milestones!$AA$112)&lt;PolicyEff),1,Milestones!$AC$112)&amp;";  ","")&amp;IF(AND(EDATE($D30,Milestones!$AA$113)&lt;=AsOfDate,EDATE($D30,Milestones!$AA$113)&gt;=SchemeStart,IF($X30=0,$AD30,IF(AND($Z30&lt;&gt;"",EDATE($D30,Milestones!$AA$113)&gt;=$Z30),$AC30,IF(AND($Y30&lt;&gt;"",EDATE($D30,Milestones!$AA$113)&gt;=$Y30),$AB30,$AA30)))=Milestones!$AB$113),UPPER(TEXT(EDATE($D30,Milestones!$AA$113),"dd mmm yy"))&amp;" "&amp;Milestones!$AB$113&amp;" "&amp;IF(AND(Milestones!$AB$113="FT",Milestones!$AA$113=FT_Y5,EDATE($D30,Milestones!$AA$113)&lt;PolicyEff),1,Milestones!$AC$113)&amp;";  ","")&amp;IF(AND(EDATE($D30,Milestones!$AA$114)&lt;=AsOfDate,EDATE($D30,Milestones!$AA$114)&gt;=SchemeStart,IF($X30=0,$AD30,IF(AND($Z30&lt;&gt;"",EDATE($D30,Milestones!$AA$114)&gt;=$Z30),$AC30,IF(AND($Y30&lt;&gt;"",EDATE($D30,Milestones!$AA$114)&gt;=$Y30),$AB30,$AA30)))=Milestones!$AB$114),UPPER(TEXT(EDATE($D30,Milestones!$AA$114),"dd mmm yy"))&amp;" "&amp;Milestones!$AB$114&amp;" "&amp;IF(AND(Milestones!$AB$114="FT",Milestones!$AA$114=FT_Y5,EDATE($D30,Milestones!$AA$114)&lt;PolicyEff),1,Milestones!$AC$114)&amp;";  ","")&amp;IF(AND(EDATE($D30,Milestones!$AA$115)&lt;=AsOfDate,EDATE($D30,Milestones!$AA$115)&gt;=SchemeStart,IF($X30=0,$AD30,IF(AND($Z30&lt;&gt;"",EDATE($D30,Milestones!$AA$115)&gt;=$Z30),$AC30,IF(AND($Y30&lt;&gt;"",EDATE($D30,Milestones!$AA$115)&gt;=$Y30),$AB30,$AA30)))=Milestones!$AB$115),UPPER(TEXT(EDATE($D30,Milestones!$AA$115),"dd mmm yy"))&amp;" "&amp;Milestones!$AB$115&amp;" "&amp;IF(AND(Milestones!$AB$115="FT",Milestones!$AA$115=FT_Y5,EDATE($D30,Milestones!$AA$115)&lt;PolicyEff),1,Milestones!$AC$115)&amp;";  ",""))</f>
        <v/>
      </c>
      <c r="Q30" s="0" t="str">
        <f aca="false">IF(OR($A30="",$D30=""),"",IF(AND(EDATE($D30,Milestones!$AA$116)&lt;=AsOfDate,EDATE($D30,Milestones!$AA$116)&gt;=SchemeStart,IF($X30=0,$AD30,IF(AND($Z30&lt;&gt;"",EDATE($D30,Milestones!$AA$116)&gt;=$Z30),$AC30,IF(AND($Y30&lt;&gt;"",EDATE($D30,Milestones!$AA$116)&gt;=$Y30),$AB30,$AA30)))=Milestones!$AB$116),UPPER(TEXT(EDATE($D30,Milestones!$AA$116),"dd mmm yy"))&amp;" "&amp;Milestones!$AB$116&amp;" "&amp;IF(AND(Milestones!$AB$116="FT",Milestones!$AA$116=FT_Y5,EDATE($D30,Milestones!$AA$116)&lt;PolicyEff),1,Milestones!$AC$116)&amp;";  ","")&amp;IF(AND(EDATE($D30,Milestones!$AA$117)&lt;=AsOfDate,EDATE($D30,Milestones!$AA$117)&gt;=SchemeStart,IF($X30=0,$AD30,IF(AND($Z30&lt;&gt;"",EDATE($D30,Milestones!$AA$117)&gt;=$Z30),$AC30,IF(AND($Y30&lt;&gt;"",EDATE($D30,Milestones!$AA$117)&gt;=$Y30),$AB30,$AA30)))=Milestones!$AB$117),UPPER(TEXT(EDATE($D30,Milestones!$AA$117),"dd mmm yy"))&amp;" "&amp;Milestones!$AB$117&amp;" "&amp;IF(AND(Milestones!$AB$117="FT",Milestones!$AA$117=FT_Y5,EDATE($D30,Milestones!$AA$117)&lt;PolicyEff),1,Milestones!$AC$117)&amp;";  ","")&amp;IF(AND(EDATE($D30,Milestones!$AA$118)&lt;=AsOfDate,EDATE($D30,Milestones!$AA$118)&gt;=SchemeStart,IF($X30=0,$AD30,IF(AND($Z30&lt;&gt;"",EDATE($D30,Milestones!$AA$118)&gt;=$Z30),$AC30,IF(AND($Y30&lt;&gt;"",EDATE($D30,Milestones!$AA$118)&gt;=$Y30),$AB30,$AA30)))=Milestones!$AB$118),UPPER(TEXT(EDATE($D30,Milestones!$AA$118),"dd mmm yy"))&amp;" "&amp;Milestones!$AB$118&amp;" "&amp;IF(AND(Milestones!$AB$118="FT",Milestones!$AA$118=FT_Y5,EDATE($D30,Milestones!$AA$118)&lt;PolicyEff),1,Milestones!$AC$118)&amp;";  ","")&amp;IF(AND(EDATE($D30,Milestones!$AA$119)&lt;=AsOfDate,EDATE($D30,Milestones!$AA$119)&gt;=SchemeStart,IF($X30=0,$AD30,IF(AND($Z30&lt;&gt;"",EDATE($D30,Milestones!$AA$119)&gt;=$Z30),$AC30,IF(AND($Y30&lt;&gt;"",EDATE($D30,Milestones!$AA$119)&gt;=$Y30),$AB30,$AA30)))=Milestones!$AB$119),UPPER(TEXT(EDATE($D30,Milestones!$AA$119),"dd mmm yy"))&amp;" "&amp;Milestones!$AB$119&amp;" "&amp;IF(AND(Milestones!$AB$119="FT",Milestones!$AA$119=FT_Y5,EDATE($D30,Milestones!$AA$119)&lt;PolicyEff),1,Milestones!$AC$119)&amp;";  ","")&amp;IF(AND(EDATE($D30,Milestones!$AA$120)&lt;=AsOfDate,EDATE($D30,Milestones!$AA$120)&gt;=SchemeStart,IF($X30=0,$AD30,IF(AND($Z30&lt;&gt;"",EDATE($D30,Milestones!$AA$120)&gt;=$Z30),$AC30,IF(AND($Y30&lt;&gt;"",EDATE($D30,Milestones!$AA$120)&gt;=$Y30),$AB30,$AA30)))=Milestones!$AB$120),UPPER(TEXT(EDATE($D30,Milestones!$AA$120),"dd mmm yy"))&amp;" "&amp;Milestones!$AB$120&amp;" "&amp;IF(AND(Milestones!$AB$120="FT",Milestones!$AA$120=FT_Y5,EDATE($D30,Milestones!$AA$120)&lt;PolicyEff),1,Milestones!$AC$120)&amp;";  ","")&amp;IF(AND(EDATE($D30,Milestones!$AA$121)&lt;=AsOfDate,EDATE($D30,Milestones!$AA$121)&gt;=SchemeStart,IF($X30=0,$AD30,IF(AND($Z30&lt;&gt;"",EDATE($D30,Milestones!$AA$121)&gt;=$Z30),$AC30,IF(AND($Y30&lt;&gt;"",EDATE($D30,Milestones!$AA$121)&gt;=$Y30),$AB30,$AA30)))=Milestones!$AB$121),UPPER(TEXT(EDATE($D30,Milestones!$AA$121),"dd mmm yy"))&amp;" "&amp;Milestones!$AB$121&amp;" "&amp;IF(AND(Milestones!$AB$121="FT",Milestones!$AA$121=FT_Y5,EDATE($D30,Milestones!$AA$121)&lt;PolicyEff),1,Milestones!$AC$121)&amp;";  ","")&amp;IF(AND(EDATE($D30,Milestones!$AA$122)&lt;=AsOfDate,EDATE($D30,Milestones!$AA$122)&gt;=SchemeStart,IF($X30=0,$AD30,IF(AND($Z30&lt;&gt;"",EDATE($D30,Milestones!$AA$122)&gt;=$Z30),$AC30,IF(AND($Y30&lt;&gt;"",EDATE($D30,Milestones!$AA$122)&gt;=$Y30),$AB30,$AA30)))=Milestones!$AB$122),UPPER(TEXT(EDATE($D30,Milestones!$AA$122),"dd mmm yy"))&amp;" "&amp;Milestones!$AB$122&amp;" "&amp;IF(AND(Milestones!$AB$122="FT",Milestones!$AA$122=FT_Y5,EDATE($D30,Milestones!$AA$122)&lt;PolicyEff),1,Milestones!$AC$122)&amp;";  ","")&amp;IF(AND(EDATE($D30,Milestones!$AA$123)&lt;=AsOfDate,EDATE($D30,Milestones!$AA$123)&gt;=SchemeStart,IF($X30=0,$AD30,IF(AND($Z30&lt;&gt;"",EDATE($D30,Milestones!$AA$123)&gt;=$Z30),$AC30,IF(AND($Y30&lt;&gt;"",EDATE($D30,Milestones!$AA$123)&gt;=$Y30),$AB30,$AA30)))=Milestones!$AB$123),UPPER(TEXT(EDATE($D30,Milestones!$AA$123),"dd mmm yy"))&amp;" "&amp;Milestones!$AB$123&amp;" "&amp;IF(AND(Milestones!$AB$123="FT",Milestones!$AA$123=FT_Y5,EDATE($D30,Milestones!$AA$123)&lt;PolicyEff),1,Milestones!$AC$123)&amp;";  ","")&amp;IF(AND(EDATE($D30,Milestones!$AA$124)&lt;=AsOfDate,EDATE($D30,Milestones!$AA$124)&gt;=SchemeStart,IF($X30=0,$AD30,IF(AND($Z30&lt;&gt;"",EDATE($D30,Milestones!$AA$124)&gt;=$Z30),$AC30,IF(AND($Y30&lt;&gt;"",EDATE($D30,Milestones!$AA$124)&gt;=$Y30),$AB30,$AA30)))=Milestones!$AB$124),UPPER(TEXT(EDATE($D30,Milestones!$AA$124),"dd mmm yy"))&amp;" "&amp;Milestones!$AB$124&amp;" "&amp;IF(AND(Milestones!$AB$124="FT",Milestones!$AA$124=FT_Y5,EDATE($D30,Milestones!$AA$124)&lt;PolicyEff),1,Milestones!$AC$124)&amp;";  ","")&amp;IF(AND(EDATE($D30,Milestones!$AA$125)&lt;=AsOfDate,EDATE($D30,Milestones!$AA$125)&gt;=SchemeStart,IF($X30=0,$AD30,IF(AND($Z30&lt;&gt;"",EDATE($D30,Milestones!$AA$125)&gt;=$Z30),$AC30,IF(AND($Y30&lt;&gt;"",EDATE($D30,Milestones!$AA$125)&gt;=$Y30),$AB30,$AA30)))=Milestones!$AB$125),UPPER(TEXT(EDATE($D30,Milestones!$AA$125),"dd mmm yy"))&amp;" "&amp;Milestones!$AB$125&amp;" "&amp;IF(AND(Milestones!$AB$125="FT",Milestones!$AA$125=FT_Y5,EDATE($D30,Milestones!$AA$125)&lt;PolicyEff),1,Milestones!$AC$125)&amp;";  ","")&amp;IF(AND(EDATE($D30,Milestones!$AA$126)&lt;=AsOfDate,EDATE($D30,Milestones!$AA$126)&gt;=SchemeStart,IF($X30=0,$AD30,IF(AND($Z30&lt;&gt;"",EDATE($D30,Milestones!$AA$126)&gt;=$Z30),$AC30,IF(AND($Y30&lt;&gt;"",EDATE($D30,Milestones!$AA$126)&gt;=$Y30),$AB30,$AA30)))=Milestones!$AB$126),UPPER(TEXT(EDATE($D30,Milestones!$AA$126),"dd mmm yy"))&amp;" "&amp;Milestones!$AB$126&amp;" "&amp;IF(AND(Milestones!$AB$126="FT",Milestones!$AA$126=FT_Y5,EDATE($D30,Milestones!$AA$126)&lt;PolicyEff),1,Milestones!$AC$126)&amp;";  ","")&amp;IF(AND(EDATE($D30,Milestones!$AA$127)&lt;=AsOfDate,EDATE($D30,Milestones!$AA$127)&gt;=SchemeStart,IF($X30=0,$AD30,IF(AND($Z30&lt;&gt;"",EDATE($D30,Milestones!$AA$127)&gt;=$Z30),$AC30,IF(AND($Y30&lt;&gt;"",EDATE($D30,Milestones!$AA$127)&gt;=$Y30),$AB30,$AA30)))=Milestones!$AB$127),UPPER(TEXT(EDATE($D30,Milestones!$AA$127),"dd mmm yy"))&amp;" "&amp;Milestones!$AB$127&amp;" "&amp;IF(AND(Milestones!$AB$127="FT",Milestones!$AA$127=FT_Y5,EDATE($D30,Milestones!$AA$127)&lt;PolicyEff),1,Milestones!$AC$127)&amp;";  ",""))</f>
        <v/>
      </c>
      <c r="R30" s="0" t="str">
        <f aca="false">IF(OR($A30="",$D30=""),"",IF(AND(EDATE($D30,Milestones!$AA$128)&lt;=AsOfDate,EDATE($D30,Milestones!$AA$128)&gt;=SchemeStart,IF($X30=0,$AD30,IF(AND($Z30&lt;&gt;"",EDATE($D30,Milestones!$AA$128)&gt;=$Z30),$AC30,IF(AND($Y30&lt;&gt;"",EDATE($D30,Milestones!$AA$128)&gt;=$Y30),$AB30,$AA30)))=Milestones!$AB$128),UPPER(TEXT(EDATE($D30,Milestones!$AA$128),"dd mmm yy"))&amp;" "&amp;Milestones!$AB$128&amp;" "&amp;IF(AND(Milestones!$AB$128="FT",Milestones!$AA$128=FT_Y5,EDATE($D30,Milestones!$AA$128)&lt;PolicyEff),1,Milestones!$AC$128)&amp;";  ","")&amp;IF(AND(EDATE($D30,Milestones!$AA$129)&lt;=AsOfDate,EDATE($D30,Milestones!$AA$129)&gt;=SchemeStart,IF($X30=0,$AD30,IF(AND($Z30&lt;&gt;"",EDATE($D30,Milestones!$AA$129)&gt;=$Z30),$AC30,IF(AND($Y30&lt;&gt;"",EDATE($D30,Milestones!$AA$129)&gt;=$Y30),$AB30,$AA30)))=Milestones!$AB$129),UPPER(TEXT(EDATE($D30,Milestones!$AA$129),"dd mmm yy"))&amp;" "&amp;Milestones!$AB$129&amp;" "&amp;IF(AND(Milestones!$AB$129="FT",Milestones!$AA$129=FT_Y5,EDATE($D30,Milestones!$AA$129)&lt;PolicyEff),1,Milestones!$AC$129)&amp;";  ","")&amp;IF(AND(EDATE($D30,Milestones!$AA$130)&lt;=AsOfDate,EDATE($D30,Milestones!$AA$130)&gt;=SchemeStart,IF($X30=0,$AD30,IF(AND($Z30&lt;&gt;"",EDATE($D30,Milestones!$AA$130)&gt;=$Z30),$AC30,IF(AND($Y30&lt;&gt;"",EDATE($D30,Milestones!$AA$130)&gt;=$Y30),$AB30,$AA30)))=Milestones!$AB$130),UPPER(TEXT(EDATE($D30,Milestones!$AA$130),"dd mmm yy"))&amp;" "&amp;Milestones!$AB$130&amp;" "&amp;IF(AND(Milestones!$AB$130="FT",Milestones!$AA$130=FT_Y5,EDATE($D30,Milestones!$AA$130)&lt;PolicyEff),1,Milestones!$AC$130)&amp;";  ","")&amp;IF(AND(EDATE($D30,Milestones!$AA$131)&lt;=AsOfDate,EDATE($D30,Milestones!$AA$131)&gt;=SchemeStart,IF($X30=0,$AD30,IF(AND($Z30&lt;&gt;"",EDATE($D30,Milestones!$AA$131)&gt;=$Z30),$AC30,IF(AND($Y30&lt;&gt;"",EDATE($D30,Milestones!$AA$131)&gt;=$Y30),$AB30,$AA30)))=Milestones!$AB$131),UPPER(TEXT(EDATE($D30,Milestones!$AA$131),"dd mmm yy"))&amp;" "&amp;Milestones!$AB$131&amp;" "&amp;IF(AND(Milestones!$AB$131="FT",Milestones!$AA$131=FT_Y5,EDATE($D30,Milestones!$AA$131)&lt;PolicyEff),1,Milestones!$AC$131)&amp;";  ","")&amp;IF(AND(EDATE($D30,Milestones!$AA$132)&lt;=AsOfDate,EDATE($D30,Milestones!$AA$132)&gt;=SchemeStart,IF($X30=0,$AD30,IF(AND($Z30&lt;&gt;"",EDATE($D30,Milestones!$AA$132)&gt;=$Z30),$AC30,IF(AND($Y30&lt;&gt;"",EDATE($D30,Milestones!$AA$132)&gt;=$Y30),$AB30,$AA30)))=Milestones!$AB$132),UPPER(TEXT(EDATE($D30,Milestones!$AA$132),"dd mmm yy"))&amp;" "&amp;Milestones!$AB$132&amp;" "&amp;IF(AND(Milestones!$AB$132="FT",Milestones!$AA$132=FT_Y5,EDATE($D30,Milestones!$AA$132)&lt;PolicyEff),1,Milestones!$AC$132)&amp;";  ","")&amp;IF(AND(EDATE($D30,Milestones!$AA$133)&lt;=AsOfDate,EDATE($D30,Milestones!$AA$133)&gt;=SchemeStart,IF($X30=0,$AD30,IF(AND($Z30&lt;&gt;"",EDATE($D30,Milestones!$AA$133)&gt;=$Z30),$AC30,IF(AND($Y30&lt;&gt;"",EDATE($D30,Milestones!$AA$133)&gt;=$Y30),$AB30,$AA30)))=Milestones!$AB$133),UPPER(TEXT(EDATE($D30,Milestones!$AA$133),"dd mmm yy"))&amp;" "&amp;Milestones!$AB$133&amp;" "&amp;IF(AND(Milestones!$AB$133="FT",Milestones!$AA$133=FT_Y5,EDATE($D30,Milestones!$AA$133)&lt;PolicyEff),1,Milestones!$AC$133)&amp;";  ","")&amp;IF(AND(EDATE($D30,Milestones!$AA$134)&lt;=AsOfDate,EDATE($D30,Milestones!$AA$134)&gt;=SchemeStart,IF($X30=0,$AD30,IF(AND($Z30&lt;&gt;"",EDATE($D30,Milestones!$AA$134)&gt;=$Z30),$AC30,IF(AND($Y30&lt;&gt;"",EDATE($D30,Milestones!$AA$134)&gt;=$Y30),$AB30,$AA30)))=Milestones!$AB$134),UPPER(TEXT(EDATE($D30,Milestones!$AA$134),"dd mmm yy"))&amp;" "&amp;Milestones!$AB$134&amp;" "&amp;IF(AND(Milestones!$AB$134="FT",Milestones!$AA$134=FT_Y5,EDATE($D30,Milestones!$AA$134)&lt;PolicyEff),1,Milestones!$AC$134)&amp;";  ","")&amp;IF(AND(EDATE($D30,Milestones!$AA$135)&lt;=AsOfDate,EDATE($D30,Milestones!$AA$135)&gt;=SchemeStart,IF($X30=0,$AD30,IF(AND($Z30&lt;&gt;"",EDATE($D30,Milestones!$AA$135)&gt;=$Z30),$AC30,IF(AND($Y30&lt;&gt;"",EDATE($D30,Milestones!$AA$135)&gt;=$Y30),$AB30,$AA30)))=Milestones!$AB$135),UPPER(TEXT(EDATE($D30,Milestones!$AA$135),"dd mmm yy"))&amp;" "&amp;Milestones!$AB$135&amp;" "&amp;IF(AND(Milestones!$AB$135="FT",Milestones!$AA$135=FT_Y5,EDATE($D30,Milestones!$AA$135)&lt;PolicyEff),1,Milestones!$AC$135)&amp;";  ","")&amp;IF(AND(EDATE($D30,Milestones!$AA$136)&lt;=AsOfDate,EDATE($D30,Milestones!$AA$136)&gt;=SchemeStart,IF($X30=0,$AD30,IF(AND($Z30&lt;&gt;"",EDATE($D30,Milestones!$AA$136)&gt;=$Z30),$AC30,IF(AND($Y30&lt;&gt;"",EDATE($D30,Milestones!$AA$136)&gt;=$Y30),$AB30,$AA30)))=Milestones!$AB$136),UPPER(TEXT(EDATE($D30,Milestones!$AA$136),"dd mmm yy"))&amp;" "&amp;Milestones!$AB$136&amp;" "&amp;IF(AND(Milestones!$AB$136="FT",Milestones!$AA$136=FT_Y5,EDATE($D30,Milestones!$AA$136)&lt;PolicyEff),1,Milestones!$AC$136)&amp;";  ","")&amp;IF(AND(EDATE($D30,Milestones!$AA$137)&lt;=AsOfDate,EDATE($D30,Milestones!$AA$137)&gt;=SchemeStart,IF($X30=0,$AD30,IF(AND($Z30&lt;&gt;"",EDATE($D30,Milestones!$AA$137)&gt;=$Z30),$AC30,IF(AND($Y30&lt;&gt;"",EDATE($D30,Milestones!$AA$137)&gt;=$Y30),$AB30,$AA30)))=Milestones!$AB$137),UPPER(TEXT(EDATE($D30,Milestones!$AA$137),"dd mmm yy"))&amp;" "&amp;Milestones!$AB$137&amp;" "&amp;IF(AND(Milestones!$AB$137="FT",Milestones!$AA$137=FT_Y5,EDATE($D30,Milestones!$AA$137)&lt;PolicyEff),1,Milestones!$AC$137)&amp;";  ","")&amp;IF(AND(EDATE($D30,Milestones!$AA$138)&lt;=AsOfDate,EDATE($D30,Milestones!$AA$138)&gt;=SchemeStart,IF($X30=0,$AD30,IF(AND($Z30&lt;&gt;"",EDATE($D30,Milestones!$AA$138)&gt;=$Z30),$AC30,IF(AND($Y30&lt;&gt;"",EDATE($D30,Milestones!$AA$138)&gt;=$Y30),$AB30,$AA30)))=Milestones!$AB$138),UPPER(TEXT(EDATE($D30,Milestones!$AA$138),"dd mmm yy"))&amp;" "&amp;Milestones!$AB$138&amp;" "&amp;IF(AND(Milestones!$AB$138="FT",Milestones!$AA$138=FT_Y5,EDATE($D30,Milestones!$AA$138)&lt;PolicyEff),1,Milestones!$AC$138)&amp;";  ","")&amp;IF(AND(EDATE($D30,Milestones!$AA$139)&lt;=AsOfDate,EDATE($D30,Milestones!$AA$139)&gt;=SchemeStart,IF($X30=0,$AD30,IF(AND($Z30&lt;&gt;"",EDATE($D30,Milestones!$AA$139)&gt;=$Z30),$AC30,IF(AND($Y30&lt;&gt;"",EDATE($D30,Milestones!$AA$139)&gt;=$Y30),$AB30,$AA30)))=Milestones!$AB$139),UPPER(TEXT(EDATE($D30,Milestones!$AA$139),"dd mmm yy"))&amp;" "&amp;Milestones!$AB$139&amp;" "&amp;IF(AND(Milestones!$AB$139="FT",Milestones!$AA$139=FT_Y5,EDATE($D30,Milestones!$AA$139)&lt;PolicyEff),1,Milestones!$AC$139)&amp;";  ",""))</f>
        <v/>
      </c>
      <c r="S30" s="0" t="str">
        <f aca="false">IF(OR($A30="",$D30=""),"",IF(AND(EDATE($D30,Milestones!$AA$140)&lt;=AsOfDate,EDATE($D30,Milestones!$AA$140)&gt;=SchemeStart,IF($X30=0,$AD30,IF(AND($Z30&lt;&gt;"",EDATE($D30,Milestones!$AA$140)&gt;=$Z30),$AC30,IF(AND($Y30&lt;&gt;"",EDATE($D30,Milestones!$AA$140)&gt;=$Y30),$AB30,$AA30)))=Milestones!$AB$140),UPPER(TEXT(EDATE($D30,Milestones!$AA$140),"dd mmm yy"))&amp;" "&amp;Milestones!$AB$140&amp;" "&amp;IF(AND(Milestones!$AB$140="FT",Milestones!$AA$140=FT_Y5,EDATE($D30,Milestones!$AA$140)&lt;PolicyEff),1,Milestones!$AC$140)&amp;";  ","")&amp;IF(AND(EDATE($D30,Milestones!$AA$141)&lt;=AsOfDate,EDATE($D30,Milestones!$AA$141)&gt;=SchemeStart,IF($X30=0,$AD30,IF(AND($Z30&lt;&gt;"",EDATE($D30,Milestones!$AA$141)&gt;=$Z30),$AC30,IF(AND($Y30&lt;&gt;"",EDATE($D30,Milestones!$AA$141)&gt;=$Y30),$AB30,$AA30)))=Milestones!$AB$141),UPPER(TEXT(EDATE($D30,Milestones!$AA$141),"dd mmm yy"))&amp;" "&amp;Milestones!$AB$141&amp;" "&amp;IF(AND(Milestones!$AB$141="FT",Milestones!$AA$141=FT_Y5,EDATE($D30,Milestones!$AA$141)&lt;PolicyEff),1,Milestones!$AC$141)&amp;";  ","")&amp;IF(AND(EDATE($D30,Milestones!$AA$142)&lt;=AsOfDate,EDATE($D30,Milestones!$AA$142)&gt;=SchemeStart,IF($X30=0,$AD30,IF(AND($Z30&lt;&gt;"",EDATE($D30,Milestones!$AA$142)&gt;=$Z30),$AC30,IF(AND($Y30&lt;&gt;"",EDATE($D30,Milestones!$AA$142)&gt;=$Y30),$AB30,$AA30)))=Milestones!$AB$142),UPPER(TEXT(EDATE($D30,Milestones!$AA$142),"dd mmm yy"))&amp;" "&amp;Milestones!$AB$142&amp;" "&amp;IF(AND(Milestones!$AB$142="FT",Milestones!$AA$142=FT_Y5,EDATE($D30,Milestones!$AA$142)&lt;PolicyEff),1,Milestones!$AC$142)&amp;";  ","")&amp;IF(AND(EDATE($D30,Milestones!$AA$143)&lt;=AsOfDate,EDATE($D30,Milestones!$AA$143)&gt;=SchemeStart,IF($X30=0,$AD30,IF(AND($Z30&lt;&gt;"",EDATE($D30,Milestones!$AA$143)&gt;=$Z30),$AC30,IF(AND($Y30&lt;&gt;"",EDATE($D30,Milestones!$AA$143)&gt;=$Y30),$AB30,$AA30)))=Milestones!$AB$143),UPPER(TEXT(EDATE($D30,Milestones!$AA$143),"dd mmm yy"))&amp;" "&amp;Milestones!$AB$143&amp;" "&amp;IF(AND(Milestones!$AB$143="FT",Milestones!$AA$143=FT_Y5,EDATE($D30,Milestones!$AA$143)&lt;PolicyEff),1,Milestones!$AC$143)&amp;";  ","")&amp;IF(AND(EDATE($D30,Milestones!$AA$144)&lt;=AsOfDate,EDATE($D30,Milestones!$AA$144)&gt;=SchemeStart,IF($X30=0,$AD30,IF(AND($Z30&lt;&gt;"",EDATE($D30,Milestones!$AA$144)&gt;=$Z30),$AC30,IF(AND($Y30&lt;&gt;"",EDATE($D30,Milestones!$AA$144)&gt;=$Y30),$AB30,$AA30)))=Milestones!$AB$144),UPPER(TEXT(EDATE($D30,Milestones!$AA$144),"dd mmm yy"))&amp;" "&amp;Milestones!$AB$144&amp;" "&amp;IF(AND(Milestones!$AB$144="FT",Milestones!$AA$144=FT_Y5,EDATE($D30,Milestones!$AA$144)&lt;PolicyEff),1,Milestones!$AC$144)&amp;";  ","")&amp;IF(AND(EDATE($D30,Milestones!$AA$145)&lt;=AsOfDate,EDATE($D30,Milestones!$AA$145)&gt;=SchemeStart,IF($X30=0,$AD30,IF(AND($Z30&lt;&gt;"",EDATE($D30,Milestones!$AA$145)&gt;=$Z30),$AC30,IF(AND($Y30&lt;&gt;"",EDATE($D30,Milestones!$AA$145)&gt;=$Y30),$AB30,$AA30)))=Milestones!$AB$145),UPPER(TEXT(EDATE($D30,Milestones!$AA$145),"dd mmm yy"))&amp;" "&amp;Milestones!$AB$145&amp;" "&amp;IF(AND(Milestones!$AB$145="FT",Milestones!$AA$145=FT_Y5,EDATE($D30,Milestones!$AA$145)&lt;PolicyEff),1,Milestones!$AC$145)&amp;";  ","")&amp;IF(AND(EDATE($D30,Milestones!$AA$146)&lt;=AsOfDate,EDATE($D30,Milestones!$AA$146)&gt;=SchemeStart,IF($X30=0,$AD30,IF(AND($Z30&lt;&gt;"",EDATE($D30,Milestones!$AA$146)&gt;=$Z30),$AC30,IF(AND($Y30&lt;&gt;"",EDATE($D30,Milestones!$AA$146)&gt;=$Y30),$AB30,$AA30)))=Milestones!$AB$146),UPPER(TEXT(EDATE($D30,Milestones!$AA$146),"dd mmm yy"))&amp;" "&amp;Milestones!$AB$146&amp;" "&amp;IF(AND(Milestones!$AB$146="FT",Milestones!$AA$146=FT_Y5,EDATE($D30,Milestones!$AA$146)&lt;PolicyEff),1,Milestones!$AC$146)&amp;";  ","")&amp;IF(AND(EDATE($D30,Milestones!$AA$147)&lt;=AsOfDate,EDATE($D30,Milestones!$AA$147)&gt;=SchemeStart,IF($X30=0,$AD30,IF(AND($Z30&lt;&gt;"",EDATE($D30,Milestones!$AA$147)&gt;=$Z30),$AC30,IF(AND($Y30&lt;&gt;"",EDATE($D30,Milestones!$AA$147)&gt;=$Y30),$AB30,$AA30)))=Milestones!$AB$147),UPPER(TEXT(EDATE($D30,Milestones!$AA$147),"dd mmm yy"))&amp;" "&amp;Milestones!$AB$147&amp;" "&amp;IF(AND(Milestones!$AB$147="FT",Milestones!$AA$147=FT_Y5,EDATE($D30,Milestones!$AA$147)&lt;PolicyEff),1,Milestones!$AC$147)&amp;";  ","")&amp;IF(AND(EDATE($D30,Milestones!$AA$148)&lt;=AsOfDate,EDATE($D30,Milestones!$AA$148)&gt;=SchemeStart,IF($X30=0,$AD30,IF(AND($Z30&lt;&gt;"",EDATE($D30,Milestones!$AA$148)&gt;=$Z30),$AC30,IF(AND($Y30&lt;&gt;"",EDATE($D30,Milestones!$AA$148)&gt;=$Y30),$AB30,$AA30)))=Milestones!$AB$148),UPPER(TEXT(EDATE($D30,Milestones!$AA$148),"dd mmm yy"))&amp;" "&amp;Milestones!$AB$148&amp;" "&amp;IF(AND(Milestones!$AB$148="FT",Milestones!$AA$148=FT_Y5,EDATE($D30,Milestones!$AA$148)&lt;PolicyEff),1,Milestones!$AC$148)&amp;";  ","")&amp;IF(AND(EDATE($D30,Milestones!$AA$149)&lt;=AsOfDate,EDATE($D30,Milestones!$AA$149)&gt;=SchemeStart,IF($X30=0,$AD30,IF(AND($Z30&lt;&gt;"",EDATE($D30,Milestones!$AA$149)&gt;=$Z30),$AC30,IF(AND($Y30&lt;&gt;"",EDATE($D30,Milestones!$AA$149)&gt;=$Y30),$AB30,$AA30)))=Milestones!$AB$149),UPPER(TEXT(EDATE($D30,Milestones!$AA$149),"dd mmm yy"))&amp;" "&amp;Milestones!$AB$149&amp;" "&amp;IF(AND(Milestones!$AB$149="FT",Milestones!$AA$149=FT_Y5,EDATE($D30,Milestones!$AA$149)&lt;PolicyEff),1,Milestones!$AC$149)&amp;";  ","")&amp;IF(AND(EDATE($D30,Milestones!$AA$150)&lt;=AsOfDate,EDATE($D30,Milestones!$AA$150)&gt;=SchemeStart,IF($X30=0,$AD30,IF(AND($Z30&lt;&gt;"",EDATE($D30,Milestones!$AA$150)&gt;=$Z30),$AC30,IF(AND($Y30&lt;&gt;"",EDATE($D30,Milestones!$AA$150)&gt;=$Y30),$AB30,$AA30)))=Milestones!$AB$150),UPPER(TEXT(EDATE($D30,Milestones!$AA$150),"dd mmm yy"))&amp;" "&amp;Milestones!$AB$150&amp;" "&amp;IF(AND(Milestones!$AB$150="FT",Milestones!$AA$150=FT_Y5,EDATE($D30,Milestones!$AA$150)&lt;PolicyEff),1,Milestones!$AC$150)&amp;";  ","")&amp;IF(AND(EDATE($D30,Milestones!$AA$151)&lt;=AsOfDate,EDATE($D30,Milestones!$AA$151)&gt;=SchemeStart,IF($X30=0,$AD30,IF(AND($Z30&lt;&gt;"",EDATE($D30,Milestones!$AA$151)&gt;=$Z30),$AC30,IF(AND($Y30&lt;&gt;"",EDATE($D30,Milestones!$AA$151)&gt;=$Y30),$AB30,$AA30)))=Milestones!$AB$151),UPPER(TEXT(EDATE($D30,Milestones!$AA$151),"dd mmm yy"))&amp;" "&amp;Milestones!$AB$151&amp;" "&amp;IF(AND(Milestones!$AB$151="FT",Milestones!$AA$151=FT_Y5,EDATE($D30,Milestones!$AA$151)&lt;PolicyEff),1,Milestones!$AC$151)&amp;";  ",""))</f>
        <v/>
      </c>
      <c r="T30" s="0" t="str">
        <f aca="false">IF(OR($A30="",$D30=""),"",IF(AND(EDATE($D30,Milestones!$AA$152)&lt;=AsOfDate,EDATE($D30,Milestones!$AA$152)&gt;=SchemeStart,IF($X30=0,$AD30,IF(AND($Z30&lt;&gt;"",EDATE($D30,Milestones!$AA$152)&gt;=$Z30),$AC30,IF(AND($Y30&lt;&gt;"",EDATE($D30,Milestones!$AA$152)&gt;=$Y30),$AB30,$AA30)))=Milestones!$AB$152),UPPER(TEXT(EDATE($D30,Milestones!$AA$152),"dd mmm yy"))&amp;" "&amp;Milestones!$AB$152&amp;" "&amp;IF(AND(Milestones!$AB$152="FT",Milestones!$AA$152=FT_Y5,EDATE($D30,Milestones!$AA$152)&lt;PolicyEff),1,Milestones!$AC$152)&amp;";  ","")&amp;IF(AND(EDATE($D30,Milestones!$AA$153)&lt;=AsOfDate,EDATE($D30,Milestones!$AA$153)&gt;=SchemeStart,IF($X30=0,$AD30,IF(AND($Z30&lt;&gt;"",EDATE($D30,Milestones!$AA$153)&gt;=$Z30),$AC30,IF(AND($Y30&lt;&gt;"",EDATE($D30,Milestones!$AA$153)&gt;=$Y30),$AB30,$AA30)))=Milestones!$AB$153),UPPER(TEXT(EDATE($D30,Milestones!$AA$153),"dd mmm yy"))&amp;" "&amp;Milestones!$AB$153&amp;" "&amp;IF(AND(Milestones!$AB$153="FT",Milestones!$AA$153=FT_Y5,EDATE($D30,Milestones!$AA$153)&lt;PolicyEff),1,Milestones!$AC$153)&amp;";  ","")&amp;IF(AND(EDATE($D30,Milestones!$AA$154)&lt;=AsOfDate,EDATE($D30,Milestones!$AA$154)&gt;=SchemeStart,IF($X30=0,$AD30,IF(AND($Z30&lt;&gt;"",EDATE($D30,Milestones!$AA$154)&gt;=$Z30),$AC30,IF(AND($Y30&lt;&gt;"",EDATE($D30,Milestones!$AA$154)&gt;=$Y30),$AB30,$AA30)))=Milestones!$AB$154),UPPER(TEXT(EDATE($D30,Milestones!$AA$154),"dd mmm yy"))&amp;" "&amp;Milestones!$AB$154&amp;" "&amp;IF(AND(Milestones!$AB$154="FT",Milestones!$AA$154=FT_Y5,EDATE($D30,Milestones!$AA$154)&lt;PolicyEff),1,Milestones!$AC$154)&amp;";  ","")&amp;IF(AND(EDATE($D30,Milestones!$AA$155)&lt;=AsOfDate,EDATE($D30,Milestones!$AA$155)&gt;=SchemeStart,IF($X30=0,$AD30,IF(AND($Z30&lt;&gt;"",EDATE($D30,Milestones!$AA$155)&gt;=$Z30),$AC30,IF(AND($Y30&lt;&gt;"",EDATE($D30,Milestones!$AA$155)&gt;=$Y30),$AB30,$AA30)))=Milestones!$AB$155),UPPER(TEXT(EDATE($D30,Milestones!$AA$155),"dd mmm yy"))&amp;" "&amp;Milestones!$AB$155&amp;" "&amp;IF(AND(Milestones!$AB$155="FT",Milestones!$AA$155=FT_Y5,EDATE($D30,Milestones!$AA$155)&lt;PolicyEff),1,Milestones!$AC$155)&amp;";  ","")&amp;IF(AND(EDATE($D30,Milestones!$AA$156)&lt;=AsOfDate,EDATE($D30,Milestones!$AA$156)&gt;=SchemeStart,IF($X30=0,$AD30,IF(AND($Z30&lt;&gt;"",EDATE($D30,Milestones!$AA$156)&gt;=$Z30),$AC30,IF(AND($Y30&lt;&gt;"",EDATE($D30,Milestones!$AA$156)&gt;=$Y30),$AB30,$AA30)))=Milestones!$AB$156),UPPER(TEXT(EDATE($D30,Milestones!$AA$156),"dd mmm yy"))&amp;" "&amp;Milestones!$AB$156&amp;" "&amp;IF(AND(Milestones!$AB$156="FT",Milestones!$AA$156=FT_Y5,EDATE($D30,Milestones!$AA$156)&lt;PolicyEff),1,Milestones!$AC$156)&amp;";  ","")&amp;IF(AND(EDATE($D30,Milestones!$AA$157)&lt;=AsOfDate,EDATE($D30,Milestones!$AA$157)&gt;=SchemeStart,IF($X30=0,$AD30,IF(AND($Z30&lt;&gt;"",EDATE($D30,Milestones!$AA$157)&gt;=$Z30),$AC30,IF(AND($Y30&lt;&gt;"",EDATE($D30,Milestones!$AA$157)&gt;=$Y30),$AB30,$AA30)))=Milestones!$AB$157),UPPER(TEXT(EDATE($D30,Milestones!$AA$157),"dd mmm yy"))&amp;" "&amp;Milestones!$AB$157&amp;" "&amp;IF(AND(Milestones!$AB$157="FT",Milestones!$AA$157=FT_Y5,EDATE($D30,Milestones!$AA$157)&lt;PolicyEff),1,Milestones!$AC$157)&amp;";  ","")&amp;IF(AND(EDATE($D30,Milestones!$AA$158)&lt;=AsOfDate,EDATE($D30,Milestones!$AA$158)&gt;=SchemeStart,IF($X30=0,$AD30,IF(AND($Z30&lt;&gt;"",EDATE($D30,Milestones!$AA$158)&gt;=$Z30),$AC30,IF(AND($Y30&lt;&gt;"",EDATE($D30,Milestones!$AA$158)&gt;=$Y30),$AB30,$AA30)))=Milestones!$AB$158),UPPER(TEXT(EDATE($D30,Milestones!$AA$158),"dd mmm yy"))&amp;" "&amp;Milestones!$AB$158&amp;" "&amp;IF(AND(Milestones!$AB$158="FT",Milestones!$AA$158=FT_Y5,EDATE($D30,Milestones!$AA$158)&lt;PolicyEff),1,Milestones!$AC$158)&amp;";  ","")&amp;IF(AND(EDATE($D30,Milestones!$AA$159)&lt;=AsOfDate,EDATE($D30,Milestones!$AA$159)&gt;=SchemeStart,IF($X30=0,$AD30,IF(AND($Z30&lt;&gt;"",EDATE($D30,Milestones!$AA$159)&gt;=$Z30),$AC30,IF(AND($Y30&lt;&gt;"",EDATE($D30,Milestones!$AA$159)&gt;=$Y30),$AB30,$AA30)))=Milestones!$AB$159),UPPER(TEXT(EDATE($D30,Milestones!$AA$159),"dd mmm yy"))&amp;" "&amp;Milestones!$AB$159&amp;" "&amp;IF(AND(Milestones!$AB$159="FT",Milestones!$AA$159=FT_Y5,EDATE($D30,Milestones!$AA$159)&lt;PolicyEff),1,Milestones!$AC$159)&amp;";  ","")&amp;IF(AND(EDATE($D30,Milestones!$AA$160)&lt;=AsOfDate,EDATE($D30,Milestones!$AA$160)&gt;=SchemeStart,IF($X30=0,$AD30,IF(AND($Z30&lt;&gt;"",EDATE($D30,Milestones!$AA$160)&gt;=$Z30),$AC30,IF(AND($Y30&lt;&gt;"",EDATE($D30,Milestones!$AA$160)&gt;=$Y30),$AB30,$AA30)))=Milestones!$AB$160),UPPER(TEXT(EDATE($D30,Milestones!$AA$160),"dd mmm yy"))&amp;" "&amp;Milestones!$AB$160&amp;" "&amp;IF(AND(Milestones!$AB$160="FT",Milestones!$AA$160=FT_Y5,EDATE($D30,Milestones!$AA$160)&lt;PolicyEff),1,Milestones!$AC$160)&amp;";  ","")&amp;IF(AND(EDATE($D30,Milestones!$AA$161)&lt;=AsOfDate,EDATE($D30,Milestones!$AA$161)&gt;=SchemeStart,IF($X30=0,$AD30,IF(AND($Z30&lt;&gt;"",EDATE($D30,Milestones!$AA$161)&gt;=$Z30),$AC30,IF(AND($Y30&lt;&gt;"",EDATE($D30,Milestones!$AA$161)&gt;=$Y30),$AB30,$AA30)))=Milestones!$AB$161),UPPER(TEXT(EDATE($D30,Milestones!$AA$161),"dd mmm yy"))&amp;" "&amp;Milestones!$AB$161&amp;" "&amp;IF(AND(Milestones!$AB$161="FT",Milestones!$AA$161=FT_Y5,EDATE($D30,Milestones!$AA$161)&lt;PolicyEff),1,Milestones!$AC$161)&amp;";  ","")&amp;IF(AND(EDATE($D30,Milestones!$AA$162)&lt;=AsOfDate,EDATE($D30,Milestones!$AA$162)&gt;=SchemeStart,IF($X30=0,$AD30,IF(AND($Z30&lt;&gt;"",EDATE($D30,Milestones!$AA$162)&gt;=$Z30),$AC30,IF(AND($Y30&lt;&gt;"",EDATE($D30,Milestones!$AA$162)&gt;=$Y30),$AB30,$AA30)))=Milestones!$AB$162),UPPER(TEXT(EDATE($D30,Milestones!$AA$162),"dd mmm yy"))&amp;" "&amp;Milestones!$AB$162&amp;" "&amp;IF(AND(Milestones!$AB$162="FT",Milestones!$AA$162=FT_Y5,EDATE($D30,Milestones!$AA$162)&lt;PolicyEff),1,Milestones!$AC$162)&amp;";  ","")&amp;IF(AND(EDATE($D30,Milestones!$AA$163)&lt;=AsOfDate,EDATE($D30,Milestones!$AA$163)&gt;=SchemeStart,IF($X30=0,$AD30,IF(AND($Z30&lt;&gt;"",EDATE($D30,Milestones!$AA$163)&gt;=$Z30),$AC30,IF(AND($Y30&lt;&gt;"",EDATE($D30,Milestones!$AA$163)&gt;=$Y30),$AB30,$AA30)))=Milestones!$AB$163),UPPER(TEXT(EDATE($D30,Milestones!$AA$163),"dd mmm yy"))&amp;" "&amp;Milestones!$AB$163&amp;" "&amp;IF(AND(Milestones!$AB$163="FT",Milestones!$AA$163=FT_Y5,EDATE($D30,Milestones!$AA$163)&lt;PolicyEff),1,Milestones!$AC$163)&amp;";  ",""))</f>
        <v/>
      </c>
      <c r="U30" s="0" t="str">
        <f aca="false">IF(OR($A30="",$D30=""),"",IF(AND(EDATE($D30,Milestones!$AA$164)&lt;=AsOfDate,EDATE($D30,Milestones!$AA$164)&gt;=SchemeStart,IF($X30=0,$AD30,IF(AND($Z30&lt;&gt;"",EDATE($D30,Milestones!$AA$164)&gt;=$Z30),$AC30,IF(AND($Y30&lt;&gt;"",EDATE($D30,Milestones!$AA$164)&gt;=$Y30),$AB30,$AA30)))=Milestones!$AB$164),UPPER(TEXT(EDATE($D30,Milestones!$AA$164),"dd mmm yy"))&amp;" "&amp;Milestones!$AB$164&amp;" "&amp;IF(AND(Milestones!$AB$164="FT",Milestones!$AA$164=FT_Y5,EDATE($D30,Milestones!$AA$164)&lt;PolicyEff),1,Milestones!$AC$164)&amp;";  ","")&amp;IF(AND(EDATE($D30,Milestones!$AA$165)&lt;=AsOfDate,EDATE($D30,Milestones!$AA$165)&gt;=SchemeStart,IF($X30=0,$AD30,IF(AND($Z30&lt;&gt;"",EDATE($D30,Milestones!$AA$165)&gt;=$Z30),$AC30,IF(AND($Y30&lt;&gt;"",EDATE($D30,Milestones!$AA$165)&gt;=$Y30),$AB30,$AA30)))=Milestones!$AB$165),UPPER(TEXT(EDATE($D30,Milestones!$AA$165),"dd mmm yy"))&amp;" "&amp;Milestones!$AB$165&amp;" "&amp;IF(AND(Milestones!$AB$165="FT",Milestones!$AA$165=FT_Y5,EDATE($D30,Milestones!$AA$165)&lt;PolicyEff),1,Milestones!$AC$165)&amp;";  ","")&amp;IF(AND(EDATE($D30,Milestones!$AA$166)&lt;=AsOfDate,EDATE($D30,Milestones!$AA$166)&gt;=SchemeStart,IF($X30=0,$AD30,IF(AND($Z30&lt;&gt;"",EDATE($D30,Milestones!$AA$166)&gt;=$Z30),$AC30,IF(AND($Y30&lt;&gt;"",EDATE($D30,Milestones!$AA$166)&gt;=$Y30),$AB30,$AA30)))=Milestones!$AB$166),UPPER(TEXT(EDATE($D30,Milestones!$AA$166),"dd mmm yy"))&amp;" "&amp;Milestones!$AB$166&amp;" "&amp;IF(AND(Milestones!$AB$166="FT",Milestones!$AA$166=FT_Y5,EDATE($D30,Milestones!$AA$166)&lt;PolicyEff),1,Milestones!$AC$166)&amp;";  ","")&amp;IF(AND(EDATE($D30,Milestones!$AA$167)&lt;=AsOfDate,EDATE($D30,Milestones!$AA$167)&gt;=SchemeStart,IF($X30=0,$AD30,IF(AND($Z30&lt;&gt;"",EDATE($D30,Milestones!$AA$167)&gt;=$Z30),$AC30,IF(AND($Y30&lt;&gt;"",EDATE($D30,Milestones!$AA$167)&gt;=$Y30),$AB30,$AA30)))=Milestones!$AB$167),UPPER(TEXT(EDATE($D30,Milestones!$AA$167),"dd mmm yy"))&amp;" "&amp;Milestones!$AB$167&amp;" "&amp;IF(AND(Milestones!$AB$167="FT",Milestones!$AA$167=FT_Y5,EDATE($D30,Milestones!$AA$167)&lt;PolicyEff),1,Milestones!$AC$167)&amp;";  ","")&amp;IF(AND(EDATE($D30,Milestones!$AA$168)&lt;=AsOfDate,EDATE($D30,Milestones!$AA$168)&gt;=SchemeStart,IF($X30=0,$AD30,IF(AND($Z30&lt;&gt;"",EDATE($D30,Milestones!$AA$168)&gt;=$Z30),$AC30,IF(AND($Y30&lt;&gt;"",EDATE($D30,Milestones!$AA$168)&gt;=$Y30),$AB30,$AA30)))=Milestones!$AB$168),UPPER(TEXT(EDATE($D30,Milestones!$AA$168),"dd mmm yy"))&amp;" "&amp;Milestones!$AB$168&amp;" "&amp;IF(AND(Milestones!$AB$168="FT",Milestones!$AA$168=FT_Y5,EDATE($D30,Milestones!$AA$168)&lt;PolicyEff),1,Milestones!$AC$168)&amp;";  ","")&amp;IF(AND(EDATE($D30,Milestones!$AA$169)&lt;=AsOfDate,EDATE($D30,Milestones!$AA$169)&gt;=SchemeStart,IF($X30=0,$AD30,IF(AND($Z30&lt;&gt;"",EDATE($D30,Milestones!$AA$169)&gt;=$Z30),$AC30,IF(AND($Y30&lt;&gt;"",EDATE($D30,Milestones!$AA$169)&gt;=$Y30),$AB30,$AA30)))=Milestones!$AB$169),UPPER(TEXT(EDATE($D30,Milestones!$AA$169),"dd mmm yy"))&amp;" "&amp;Milestones!$AB$169&amp;" "&amp;IF(AND(Milestones!$AB$169="FT",Milestones!$AA$169=FT_Y5,EDATE($D30,Milestones!$AA$169)&lt;PolicyEff),1,Milestones!$AC$169)&amp;";  ","")&amp;IF(AND(EDATE($D30,Milestones!$AA$170)&lt;=AsOfDate,EDATE($D30,Milestones!$AA$170)&gt;=SchemeStart,IF($X30=0,$AD30,IF(AND($Z30&lt;&gt;"",EDATE($D30,Milestones!$AA$170)&gt;=$Z30),$AC30,IF(AND($Y30&lt;&gt;"",EDATE($D30,Milestones!$AA$170)&gt;=$Y30),$AB30,$AA30)))=Milestones!$AB$170),UPPER(TEXT(EDATE($D30,Milestones!$AA$170),"dd mmm yy"))&amp;" "&amp;Milestones!$AB$170&amp;" "&amp;IF(AND(Milestones!$AB$170="FT",Milestones!$AA$170=FT_Y5,EDATE($D30,Milestones!$AA$170)&lt;PolicyEff),1,Milestones!$AC$170)&amp;";  ","")&amp;IF(AND(EDATE($D30,Milestones!$AA$171)&lt;=AsOfDate,EDATE($D30,Milestones!$AA$171)&gt;=SchemeStart,IF($X30=0,$AD30,IF(AND($Z30&lt;&gt;"",EDATE($D30,Milestones!$AA$171)&gt;=$Z30),$AC30,IF(AND($Y30&lt;&gt;"",EDATE($D30,Milestones!$AA$171)&gt;=$Y30),$AB30,$AA30)))=Milestones!$AB$171),UPPER(TEXT(EDATE($D30,Milestones!$AA$171),"dd mmm yy"))&amp;" "&amp;Milestones!$AB$171&amp;" "&amp;IF(AND(Milestones!$AB$171="FT",Milestones!$AA$171=FT_Y5,EDATE($D30,Milestones!$AA$171)&lt;PolicyEff),1,Milestones!$AC$171)&amp;";  ","")&amp;IF(AND(EDATE($D30,Milestones!$AA$172)&lt;=AsOfDate,EDATE($D30,Milestones!$AA$172)&gt;=SchemeStart,IF($X30=0,$AD30,IF(AND($Z30&lt;&gt;"",EDATE($D30,Milestones!$AA$172)&gt;=$Z30),$AC30,IF(AND($Y30&lt;&gt;"",EDATE($D30,Milestones!$AA$172)&gt;=$Y30),$AB30,$AA30)))=Milestones!$AB$172),UPPER(TEXT(EDATE($D30,Milestones!$AA$172),"dd mmm yy"))&amp;" "&amp;Milestones!$AB$172&amp;" "&amp;IF(AND(Milestones!$AB$172="FT",Milestones!$AA$172=FT_Y5,EDATE($D30,Milestones!$AA$172)&lt;PolicyEff),1,Milestones!$AC$172)&amp;";  ","")&amp;IF(AND(EDATE($D30,Milestones!$AA$173)&lt;=AsOfDate,EDATE($D30,Milestones!$AA$173)&gt;=SchemeStart,IF($X30=0,$AD30,IF(AND($Z30&lt;&gt;"",EDATE($D30,Milestones!$AA$173)&gt;=$Z30),$AC30,IF(AND($Y30&lt;&gt;"",EDATE($D30,Milestones!$AA$173)&gt;=$Y30),$AB30,$AA30)))=Milestones!$AB$173),UPPER(TEXT(EDATE($D30,Milestones!$AA$173),"dd mmm yy"))&amp;" "&amp;Milestones!$AB$173&amp;" "&amp;IF(AND(Milestones!$AB$173="FT",Milestones!$AA$173=FT_Y5,EDATE($D30,Milestones!$AA$173)&lt;PolicyEff),1,Milestones!$AC$173)&amp;";  ","")&amp;IF(AND(EDATE($D30,Milestones!$AA$174)&lt;=AsOfDate,EDATE($D30,Milestones!$AA$174)&gt;=SchemeStart,IF($X30=0,$AD30,IF(AND($Z30&lt;&gt;"",EDATE($D30,Milestones!$AA$174)&gt;=$Z30),$AC30,IF(AND($Y30&lt;&gt;"",EDATE($D30,Milestones!$AA$174)&gt;=$Y30),$AB30,$AA30)))=Milestones!$AB$174),UPPER(TEXT(EDATE($D30,Milestones!$AA$174),"dd mmm yy"))&amp;" "&amp;Milestones!$AB$174&amp;" "&amp;IF(AND(Milestones!$AB$174="FT",Milestones!$AA$174=FT_Y5,EDATE($D30,Milestones!$AA$174)&lt;PolicyEff),1,Milestones!$AC$174)&amp;";  ","")&amp;IF(AND(EDATE($D30,Milestones!$AA$175)&lt;=AsOfDate,EDATE($D30,Milestones!$AA$175)&gt;=SchemeStart,IF($X30=0,$AD30,IF(AND($Z30&lt;&gt;"",EDATE($D30,Milestones!$AA$175)&gt;=$Z30),$AC30,IF(AND($Y30&lt;&gt;"",EDATE($D30,Milestones!$AA$175)&gt;=$Y30),$AB30,$AA30)))=Milestones!$AB$175),UPPER(TEXT(EDATE($D30,Milestones!$AA$175),"dd mmm yy"))&amp;" "&amp;Milestones!$AB$175&amp;" "&amp;IF(AND(Milestones!$AB$175="FT",Milestones!$AA$175=FT_Y5,EDATE($D30,Milestones!$AA$175)&lt;PolicyEff),1,Milestones!$AC$175)&amp;";  ",""))</f>
        <v/>
      </c>
      <c r="V30" s="0" t="str">
        <f aca="false">IF(OR($A30="",$D30=""),"",IF(AND(EDATE($D30,Milestones!$AA$176)&lt;=AsOfDate,EDATE($D30,Milestones!$AA$176)&gt;=SchemeStart,IF($X30=0,$AD30,IF(AND($Z30&lt;&gt;"",EDATE($D30,Milestones!$AA$176)&gt;=$Z30),$AC30,IF(AND($Y30&lt;&gt;"",EDATE($D30,Milestones!$AA$176)&gt;=$Y30),$AB30,$AA30)))=Milestones!$AB$176),UPPER(TEXT(EDATE($D30,Milestones!$AA$176),"dd mmm yy"))&amp;" "&amp;Milestones!$AB$176&amp;" "&amp;IF(AND(Milestones!$AB$176="FT",Milestones!$AA$176=FT_Y5,EDATE($D30,Milestones!$AA$176)&lt;PolicyEff),1,Milestones!$AC$176)&amp;";  ","")&amp;IF(AND(EDATE($D30,Milestones!$AA$177)&lt;=AsOfDate,EDATE($D30,Milestones!$AA$177)&gt;=SchemeStart,IF($X30=0,$AD30,IF(AND($Z30&lt;&gt;"",EDATE($D30,Milestones!$AA$177)&gt;=$Z30),$AC30,IF(AND($Y30&lt;&gt;"",EDATE($D30,Milestones!$AA$177)&gt;=$Y30),$AB30,$AA30)))=Milestones!$AB$177),UPPER(TEXT(EDATE($D30,Milestones!$AA$177),"dd mmm yy"))&amp;" "&amp;Milestones!$AB$177&amp;" "&amp;IF(AND(Milestones!$AB$177="FT",Milestones!$AA$177=FT_Y5,EDATE($D30,Milestones!$AA$177)&lt;PolicyEff),1,Milestones!$AC$177)&amp;";  ","")&amp;IF(AND(EDATE($D30,Milestones!$AA$178)&lt;=AsOfDate,EDATE($D30,Milestones!$AA$178)&gt;=SchemeStart,IF($X30=0,$AD30,IF(AND($Z30&lt;&gt;"",EDATE($D30,Milestones!$AA$178)&gt;=$Z30),$AC30,IF(AND($Y30&lt;&gt;"",EDATE($D30,Milestones!$AA$178)&gt;=$Y30),$AB30,$AA30)))=Milestones!$AB$178),UPPER(TEXT(EDATE($D30,Milestones!$AA$178),"dd mmm yy"))&amp;" "&amp;Milestones!$AB$178&amp;" "&amp;IF(AND(Milestones!$AB$178="FT",Milestones!$AA$178=FT_Y5,EDATE($D30,Milestones!$AA$178)&lt;PolicyEff),1,Milestones!$AC$178)&amp;";  ","")&amp;IF(AND(EDATE($D30,Milestones!$AA$179)&lt;=AsOfDate,EDATE($D30,Milestones!$AA$179)&gt;=SchemeStart,IF($X30=0,$AD30,IF(AND($Z30&lt;&gt;"",EDATE($D30,Milestones!$AA$179)&gt;=$Z30),$AC30,IF(AND($Y30&lt;&gt;"",EDATE($D30,Milestones!$AA$179)&gt;=$Y30),$AB30,$AA30)))=Milestones!$AB$179),UPPER(TEXT(EDATE($D30,Milestones!$AA$179),"dd mmm yy"))&amp;" "&amp;Milestones!$AB$179&amp;" "&amp;IF(AND(Milestones!$AB$179="FT",Milestones!$AA$179=FT_Y5,EDATE($D30,Milestones!$AA$179)&lt;PolicyEff),1,Milestones!$AC$179)&amp;";  ","")&amp;IF(AND(EDATE($D30,Milestones!$AA$180)&lt;=AsOfDate,EDATE($D30,Milestones!$AA$180)&gt;=SchemeStart,IF($X30=0,$AD30,IF(AND($Z30&lt;&gt;"",EDATE($D30,Milestones!$AA$180)&gt;=$Z30),$AC30,IF(AND($Y30&lt;&gt;"",EDATE($D30,Milestones!$AA$180)&gt;=$Y30),$AB30,$AA30)))=Milestones!$AB$180),UPPER(TEXT(EDATE($D30,Milestones!$AA$180),"dd mmm yy"))&amp;" "&amp;Milestones!$AB$180&amp;" "&amp;IF(AND(Milestones!$AB$180="FT",Milestones!$AA$180=FT_Y5,EDATE($D30,Milestones!$AA$180)&lt;PolicyEff),1,Milestones!$AC$180)&amp;";  ","")&amp;IF(AND(EDATE($D30,Milestones!$AA$181)&lt;=AsOfDate,EDATE($D30,Milestones!$AA$181)&gt;=SchemeStart,IF($X30=0,$AD30,IF(AND($Z30&lt;&gt;"",EDATE($D30,Milestones!$AA$181)&gt;=$Z30),$AC30,IF(AND($Y30&lt;&gt;"",EDATE($D30,Milestones!$AA$181)&gt;=$Y30),$AB30,$AA30)))=Milestones!$AB$181),UPPER(TEXT(EDATE($D30,Milestones!$AA$181),"dd mmm yy"))&amp;" "&amp;Milestones!$AB$181&amp;" "&amp;IF(AND(Milestones!$AB$181="FT",Milestones!$AA$181=FT_Y5,EDATE($D30,Milestones!$AA$181)&lt;PolicyEff),1,Milestones!$AC$181)&amp;";  ","")&amp;IF(AND(EDATE($D30,Milestones!$AA$182)&lt;=AsOfDate,EDATE($D30,Milestones!$AA$182)&gt;=SchemeStart,IF($X30=0,$AD30,IF(AND($Z30&lt;&gt;"",EDATE($D30,Milestones!$AA$182)&gt;=$Z30),$AC30,IF(AND($Y30&lt;&gt;"",EDATE($D30,Milestones!$AA$182)&gt;=$Y30),$AB30,$AA30)))=Milestones!$AB$182),UPPER(TEXT(EDATE($D30,Milestones!$AA$182),"dd mmm yy"))&amp;" "&amp;Milestones!$AB$182&amp;" "&amp;IF(AND(Milestones!$AB$182="FT",Milestones!$AA$182=FT_Y5,EDATE($D30,Milestones!$AA$182)&lt;PolicyEff),1,Milestones!$AC$182)&amp;";  ","")&amp;IF(AND(EDATE($D30,Milestones!$AA$183)&lt;=AsOfDate,EDATE($D30,Milestones!$AA$183)&gt;=SchemeStart,IF($X30=0,$AD30,IF(AND($Z30&lt;&gt;"",EDATE($D30,Milestones!$AA$183)&gt;=$Z30),$AC30,IF(AND($Y30&lt;&gt;"",EDATE($D30,Milestones!$AA$183)&gt;=$Y30),$AB30,$AA30)))=Milestones!$AB$183),UPPER(TEXT(EDATE($D30,Milestones!$AA$183),"dd mmm yy"))&amp;" "&amp;Milestones!$AB$183&amp;" "&amp;IF(AND(Milestones!$AB$183="FT",Milestones!$AA$183=FT_Y5,EDATE($D30,Milestones!$AA$183)&lt;PolicyEff),1,Milestones!$AC$183)&amp;";  ","")&amp;IF(AND(EDATE($D30,Milestones!$AA$184)&lt;=AsOfDate,EDATE($D30,Milestones!$AA$184)&gt;=SchemeStart,IF($X30=0,$AD30,IF(AND($Z30&lt;&gt;"",EDATE($D30,Milestones!$AA$184)&gt;=$Z30),$AC30,IF(AND($Y30&lt;&gt;"",EDATE($D30,Milestones!$AA$184)&gt;=$Y30),$AB30,$AA30)))=Milestones!$AB$184),UPPER(TEXT(EDATE($D30,Milestones!$AA$184),"dd mmm yy"))&amp;" "&amp;Milestones!$AB$184&amp;" "&amp;IF(AND(Milestones!$AB$184="FT",Milestones!$AA$184=FT_Y5,EDATE($D30,Milestones!$AA$184)&lt;PolicyEff),1,Milestones!$AC$184)&amp;";  ","")&amp;IF(AND(EDATE($D30,Milestones!$AA$185)&lt;=AsOfDate,EDATE($D30,Milestones!$AA$185)&gt;=SchemeStart,IF($X30=0,$AD30,IF(AND($Z30&lt;&gt;"",EDATE($D30,Milestones!$AA$185)&gt;=$Z30),$AC30,IF(AND($Y30&lt;&gt;"",EDATE($D30,Milestones!$AA$185)&gt;=$Y30),$AB30,$AA30)))=Milestones!$AB$185),UPPER(TEXT(EDATE($D30,Milestones!$AA$185),"dd mmm yy"))&amp;" "&amp;Milestones!$AB$185&amp;" "&amp;IF(AND(Milestones!$AB$185="FT",Milestones!$AA$185=FT_Y5,EDATE($D30,Milestones!$AA$185)&lt;PolicyEff),1,Milestones!$AC$185)&amp;";  ","")&amp;IF(AND(EDATE($D30,Milestones!$AA$186)&lt;=AsOfDate,EDATE($D30,Milestones!$AA$186)&gt;=SchemeStart,IF($X30=0,$AD30,IF(AND($Z30&lt;&gt;"",EDATE($D30,Milestones!$AA$186)&gt;=$Z30),$AC30,IF(AND($Y30&lt;&gt;"",EDATE($D30,Milestones!$AA$186)&gt;=$Y30),$AB30,$AA30)))=Milestones!$AB$186),UPPER(TEXT(EDATE($D30,Milestones!$AA$186),"dd mmm yy"))&amp;" "&amp;Milestones!$AB$186&amp;" "&amp;IF(AND(Milestones!$AB$186="FT",Milestones!$AA$186=FT_Y5,EDATE($D30,Milestones!$AA$186)&lt;PolicyEff),1,Milestones!$AC$186)&amp;";  ","")&amp;IF(AND(EDATE($D30,Milestones!$AA$187)&lt;=AsOfDate,EDATE($D30,Milestones!$AA$187)&gt;=SchemeStart,IF($X30=0,$AD30,IF(AND($Z30&lt;&gt;"",EDATE($D30,Milestones!$AA$187)&gt;=$Z30),$AC30,IF(AND($Y30&lt;&gt;"",EDATE($D30,Milestones!$AA$187)&gt;=$Y30),$AB30,$AA30)))=Milestones!$AB$187),UPPER(TEXT(EDATE($D30,Milestones!$AA$187),"dd mmm yy"))&amp;" "&amp;Milestones!$AB$187&amp;" "&amp;IF(AND(Milestones!$AB$187="FT",Milestones!$AA$187=FT_Y5,EDATE($D30,Milestones!$AA$187)&lt;PolicyEff),1,Milestones!$AC$187)&amp;";  ",""))</f>
        <v/>
      </c>
      <c r="W30" s="0" t="str">
        <f aca="false">IF(OR($A30="",$D30=""),"",IF(AND(EDATE($D30,Milestones!$AA$188)&lt;=AsOfDate,EDATE($D30,Milestones!$AA$188)&gt;=SchemeStart,IF($X30=0,$AD30,IF(AND($Z30&lt;&gt;"",EDATE($D30,Milestones!$AA$188)&gt;=$Z30),$AC30,IF(AND($Y30&lt;&gt;"",EDATE($D30,Milestones!$AA$188)&gt;=$Y30),$AB30,$AA30)))=Milestones!$AB$188),UPPER(TEXT(EDATE($D30,Milestones!$AA$188),"dd mmm yy"))&amp;" "&amp;Milestones!$AB$188&amp;" "&amp;IF(AND(Milestones!$AB$188="FT",Milestones!$AA$188=FT_Y5,EDATE($D30,Milestones!$AA$188)&lt;PolicyEff),1,Milestones!$AC$188)&amp;";  ","")&amp;IF(AND(EDATE($D30,Milestones!$AA$189)&lt;=AsOfDate,EDATE($D30,Milestones!$AA$189)&gt;=SchemeStart,IF($X30=0,$AD30,IF(AND($Z30&lt;&gt;"",EDATE($D30,Milestones!$AA$189)&gt;=$Z30),$AC30,IF(AND($Y30&lt;&gt;"",EDATE($D30,Milestones!$AA$189)&gt;=$Y30),$AB30,$AA30)))=Milestones!$AB$189),UPPER(TEXT(EDATE($D30,Milestones!$AA$189),"dd mmm yy"))&amp;" "&amp;Milestones!$AB$189&amp;" "&amp;IF(AND(Milestones!$AB$189="FT",Milestones!$AA$189=FT_Y5,EDATE($D30,Milestones!$AA$189)&lt;PolicyEff),1,Milestones!$AC$189)&amp;";  ","")&amp;IF(AND(EDATE($D30,Milestones!$AA$190)&lt;=AsOfDate,EDATE($D30,Milestones!$AA$190)&gt;=SchemeStart,IF($X30=0,$AD30,IF(AND($Z30&lt;&gt;"",EDATE($D30,Milestones!$AA$190)&gt;=$Z30),$AC30,IF(AND($Y30&lt;&gt;"",EDATE($D30,Milestones!$AA$190)&gt;=$Y30),$AB30,$AA30)))=Milestones!$AB$190),UPPER(TEXT(EDATE($D30,Milestones!$AA$190),"dd mmm yy"))&amp;" "&amp;Milestones!$AB$190&amp;" "&amp;IF(AND(Milestones!$AB$190="FT",Milestones!$AA$190=FT_Y5,EDATE($D30,Milestones!$AA$190)&lt;PolicyEff),1,Milestones!$AC$190)&amp;";  ","")&amp;IF(AND(EDATE($D30,Milestones!$AA$191)&lt;=AsOfDate,EDATE($D30,Milestones!$AA$191)&gt;=SchemeStart,IF($X30=0,$AD30,IF(AND($Z30&lt;&gt;"",EDATE($D30,Milestones!$AA$191)&gt;=$Z30),$AC30,IF(AND($Y30&lt;&gt;"",EDATE($D30,Milestones!$AA$191)&gt;=$Y30),$AB30,$AA30)))=Milestones!$AB$191),UPPER(TEXT(EDATE($D30,Milestones!$AA$191),"dd mmm yy"))&amp;" "&amp;Milestones!$AB$191&amp;" "&amp;IF(AND(Milestones!$AB$191="FT",Milestones!$AA$191=FT_Y5,EDATE($D30,Milestones!$AA$191)&lt;PolicyEff),1,Milestones!$AC$191)&amp;";  ","")&amp;IF(AND(EDATE($D30,Milestones!$AA$192)&lt;=AsOfDate,EDATE($D30,Milestones!$AA$192)&gt;=SchemeStart,IF($X30=0,$AD30,IF(AND($Z30&lt;&gt;"",EDATE($D30,Milestones!$AA$192)&gt;=$Z30),$AC30,IF(AND($Y30&lt;&gt;"",EDATE($D30,Milestones!$AA$192)&gt;=$Y30),$AB30,$AA30)))=Milestones!$AB$192),UPPER(TEXT(EDATE($D30,Milestones!$AA$192),"dd mmm yy"))&amp;" "&amp;Milestones!$AB$192&amp;" "&amp;IF(AND(Milestones!$AB$192="FT",Milestones!$AA$192=FT_Y5,EDATE($D30,Milestones!$AA$192)&lt;PolicyEff),1,Milestones!$AC$192)&amp;";  ","")&amp;IF(AND(EDATE($D30,Milestones!$AA$193)&lt;=AsOfDate,EDATE($D30,Milestones!$AA$193)&gt;=SchemeStart,IF($X30=0,$AD30,IF(AND($Z30&lt;&gt;"",EDATE($D30,Milestones!$AA$193)&gt;=$Z30),$AC30,IF(AND($Y30&lt;&gt;"",EDATE($D30,Milestones!$AA$193)&gt;=$Y30),$AB30,$AA30)))=Milestones!$AB$193),UPPER(TEXT(EDATE($D30,Milestones!$AA$193),"dd mmm yy"))&amp;" "&amp;Milestones!$AB$193&amp;" "&amp;IF(AND(Milestones!$AB$193="FT",Milestones!$AA$193=FT_Y5,EDATE($D30,Milestones!$AA$193)&lt;PolicyEff),1,Milestones!$AC$193)&amp;";  ","")&amp;IF(AND(EDATE($D30,Milestones!$AA$194)&lt;=AsOfDate,EDATE($D30,Milestones!$AA$194)&gt;=SchemeStart,IF($X30=0,$AD30,IF(AND($Z30&lt;&gt;"",EDATE($D30,Milestones!$AA$194)&gt;=$Z30),$AC30,IF(AND($Y30&lt;&gt;"",EDATE($D30,Milestones!$AA$194)&gt;=$Y30),$AB30,$AA30)))=Milestones!$AB$194),UPPER(TEXT(EDATE($D30,Milestones!$AA$194),"dd mmm yy"))&amp;" "&amp;Milestones!$AB$194&amp;" "&amp;IF(AND(Milestones!$AB$194="FT",Milestones!$AA$194=FT_Y5,EDATE($D30,Milestones!$AA$194)&lt;PolicyEff),1,Milestones!$AC$194)&amp;";  ","")&amp;IF(AND(EDATE($D30,Milestones!$AA$195)&lt;=AsOfDate,EDATE($D30,Milestones!$AA$195)&gt;=SchemeStart,IF($X30=0,$AD30,IF(AND($Z30&lt;&gt;"",EDATE($D30,Milestones!$AA$195)&gt;=$Z30),$AC30,IF(AND($Y30&lt;&gt;"",EDATE($D30,Milestones!$AA$195)&gt;=$Y30),$AB30,$AA30)))=Milestones!$AB$195),UPPER(TEXT(EDATE($D30,Milestones!$AA$195),"dd mmm yy"))&amp;" "&amp;Milestones!$AB$195&amp;" "&amp;IF(AND(Milestones!$AB$195="FT",Milestones!$AA$195=FT_Y5,EDATE($D30,Milestones!$AA$195)&lt;PolicyEff),1,Milestones!$AC$195)&amp;";  ","")&amp;IF(AND(EDATE($D30,Milestones!$AA$196)&lt;=AsOfDate,EDATE($D30,Milestones!$AA$196)&gt;=SchemeStart,IF($X30=0,$AD30,IF(AND($Z30&lt;&gt;"",EDATE($D30,Milestones!$AA$196)&gt;=$Z30),$AC30,IF(AND($Y30&lt;&gt;"",EDATE($D30,Milestones!$AA$196)&gt;=$Y30),$AB30,$AA30)))=Milestones!$AB$196),UPPER(TEXT(EDATE($D30,Milestones!$AA$196),"dd mmm yy"))&amp;" "&amp;Milestones!$AB$196&amp;" "&amp;IF(AND(Milestones!$AB$196="FT",Milestones!$AA$196=FT_Y5,EDATE($D30,Milestones!$AA$196)&lt;PolicyEff),1,Milestones!$AC$196)&amp;";  ","")&amp;IF(AND(EDATE($D30,Milestones!$AA$197)&lt;=AsOfDate,EDATE($D30,Milestones!$AA$197)&gt;=SchemeStart,IF($X30=0,$AD30,IF(AND($Z30&lt;&gt;"",EDATE($D30,Milestones!$AA$197)&gt;=$Z30),$AC30,IF(AND($Y30&lt;&gt;"",EDATE($D30,Milestones!$AA$197)&gt;=$Y30),$AB30,$AA30)))=Milestones!$AB$197),UPPER(TEXT(EDATE($D30,Milestones!$AA$197),"dd mmm yy"))&amp;" "&amp;Milestones!$AB$197&amp;" "&amp;IF(AND(Milestones!$AB$197="FT",Milestones!$AA$197=FT_Y5,EDATE($D30,Milestones!$AA$197)&lt;PolicyEff),1,Milestones!$AC$197)&amp;";  ","")&amp;IF(AND(EDATE($D30,Milestones!$AA$198)&lt;=AsOfDate,EDATE($D30,Milestones!$AA$198)&gt;=SchemeStart,IF($X30=0,$AD30,IF(AND($Z30&lt;&gt;"",EDATE($D30,Milestones!$AA$198)&gt;=$Z30),$AC30,IF(AND($Y30&lt;&gt;"",EDATE($D30,Milestones!$AA$198)&gt;=$Y30),$AB30,$AA30)))=Milestones!$AB$198),UPPER(TEXT(EDATE($D30,Milestones!$AA$198),"dd mmm yy"))&amp;" "&amp;Milestones!$AB$198&amp;" "&amp;IF(AND(Milestones!$AB$198="FT",Milestones!$AA$198=FT_Y5,EDATE($D30,Milestones!$AA$198)&lt;PolicyEff),1,Milestones!$AC$198)&amp;";  ","")&amp;IF(AND(EDATE($D30,Milestones!$AA$199)&lt;=AsOfDate,EDATE($D30,Milestones!$AA$199)&gt;=SchemeStart,IF($X30=0,$AD30,IF(AND($Z30&lt;&gt;"",EDATE($D30,Milestones!$AA$199)&gt;=$Z30),$AC30,IF(AND($Y30&lt;&gt;"",EDATE($D30,Milestones!$AA$199)&gt;=$Y30),$AB30,$AA30)))=Milestones!$AB$199),UPPER(TEXT(EDATE($D30,Milestones!$AA$199),"dd mmm yy"))&amp;" "&amp;Milestones!$AB$199&amp;" "&amp;IF(AND(Milestones!$AB$199="FT",Milestones!$AA$199=FT_Y5,EDATE($D30,Milestones!$AA$199)&lt;PolicyEff),1,Milestones!$AC$199)&amp;";  ",""))</f>
        <v/>
      </c>
      <c r="X30" s="0" t="str">
        <f aca="false">IF(Staff!$A30="","",Staff!$AM30)</f>
        <v/>
      </c>
      <c r="Y30" s="0" t="str">
        <f aca="false">IF(Staff!$A30="","",Staff!$AO30)</f>
        <v/>
      </c>
      <c r="Z30" s="0" t="str">
        <f aca="false">IF(Staff!$A30="","",Staff!$AP30)</f>
        <v/>
      </c>
      <c r="AA30" s="0" t="str">
        <f aca="false">IF(Staff!$A30="","",Staff!$AT30)</f>
        <v/>
      </c>
      <c r="AB30" s="0" t="str">
        <f aca="false">IF(Staff!$A30="","",Staff!$AU30)</f>
        <v/>
      </c>
      <c r="AC30" s="0" t="str">
        <f aca="false">IF(Staff!$A30="","",Staff!$AV30)</f>
        <v/>
      </c>
      <c r="AD30" s="0" t="str">
        <f aca="false">IF(Staff!$A30="","",Staff!$AW30)</f>
        <v/>
      </c>
    </row>
    <row r="31" customFormat="false" ht="15" hidden="false" customHeight="false" outlineLevel="0" collapsed="false">
      <c r="A31" s="16" t="str">
        <f aca="false">IF(Staff!$A31="","",Staff!$A31)</f>
        <v/>
      </c>
      <c r="B31" s="16" t="str">
        <f aca="false">IF(Staff!$A31="","",Staff!$B31)</f>
        <v/>
      </c>
      <c r="C31" s="16" t="str">
        <f aca="false">IF(Staff!$A31="","",Staff!$C31)</f>
        <v/>
      </c>
      <c r="D31" s="14" t="str">
        <f aca="false">IF(Staff!$A31="","",Staff!$AL31)</f>
        <v/>
      </c>
      <c r="E31" s="16" t="str">
        <f aca="false">IF(Staff!$A31="","",Staff!$O31)</f>
        <v/>
      </c>
      <c r="F31" s="16" t="str">
        <f aca="false">IF(E31="","",E31*HoursPerDay)</f>
        <v/>
      </c>
      <c r="G31" s="16" t="str">
        <f aca="false">IF(Staff!$A31="","",Staff!$AE31)</f>
        <v/>
      </c>
      <c r="H31" s="28" t="str">
        <f aca="false">IF($A31="","",I31&amp;J31&amp;K31&amp;L31&amp;M31&amp;N31&amp;O31&amp;P31&amp;Q31&amp;R31&amp;S31&amp;T31&amp;U31&amp;V31&amp;W31)</f>
        <v/>
      </c>
      <c r="I31" s="0" t="str">
        <f aca="false">IF(OR($A31="",$D31=""),"",IF(AND(EDATE($D31,Milestones!$AA$20)&lt;=AsOfDate,EDATE($D31,Milestones!$AA$20)&gt;=SchemeStart,IF($X31=0,$AD31,IF(AND($Z31&lt;&gt;"",EDATE($D31,Milestones!$AA$20)&gt;=$Z31),$AC31,IF(AND($Y31&lt;&gt;"",EDATE($D31,Milestones!$AA$20)&gt;=$Y31),$AB31,$AA31)))=Milestones!$AB$20),UPPER(TEXT(EDATE($D31,Milestones!$AA$20),"dd mmm yy"))&amp;" "&amp;Milestones!$AB$20&amp;" "&amp;IF(AND(Milestones!$AB$20="FT",Milestones!$AA$20=FT_Y5,EDATE($D31,Milestones!$AA$20)&lt;PolicyEff),1,Milestones!$AC$20)&amp;";  ","")&amp;IF(AND(EDATE($D31,Milestones!$AA$21)&lt;=AsOfDate,EDATE($D31,Milestones!$AA$21)&gt;=SchemeStart,IF($X31=0,$AD31,IF(AND($Z31&lt;&gt;"",EDATE($D31,Milestones!$AA$21)&gt;=$Z31),$AC31,IF(AND($Y31&lt;&gt;"",EDATE($D31,Milestones!$AA$21)&gt;=$Y31),$AB31,$AA31)))=Milestones!$AB$21),UPPER(TEXT(EDATE($D31,Milestones!$AA$21),"dd mmm yy"))&amp;" "&amp;Milestones!$AB$21&amp;" "&amp;IF(AND(Milestones!$AB$21="FT",Milestones!$AA$21=FT_Y5,EDATE($D31,Milestones!$AA$21)&lt;PolicyEff),1,Milestones!$AC$21)&amp;";  ","")&amp;IF(AND(EDATE($D31,Milestones!$AA$22)&lt;=AsOfDate,EDATE($D31,Milestones!$AA$22)&gt;=SchemeStart,IF($X31=0,$AD31,IF(AND($Z31&lt;&gt;"",EDATE($D31,Milestones!$AA$22)&gt;=$Z31),$AC31,IF(AND($Y31&lt;&gt;"",EDATE($D31,Milestones!$AA$22)&gt;=$Y31),$AB31,$AA31)))=Milestones!$AB$22),UPPER(TEXT(EDATE($D31,Milestones!$AA$22),"dd mmm yy"))&amp;" "&amp;Milestones!$AB$22&amp;" "&amp;IF(AND(Milestones!$AB$22="FT",Milestones!$AA$22=FT_Y5,EDATE($D31,Milestones!$AA$22)&lt;PolicyEff),1,Milestones!$AC$22)&amp;";  ","")&amp;IF(AND(EDATE($D31,Milestones!$AA$23)&lt;=AsOfDate,EDATE($D31,Milestones!$AA$23)&gt;=SchemeStart,IF($X31=0,$AD31,IF(AND($Z31&lt;&gt;"",EDATE($D31,Milestones!$AA$23)&gt;=$Z31),$AC31,IF(AND($Y31&lt;&gt;"",EDATE($D31,Milestones!$AA$23)&gt;=$Y31),$AB31,$AA31)))=Milestones!$AB$23),UPPER(TEXT(EDATE($D31,Milestones!$AA$23),"dd mmm yy"))&amp;" "&amp;Milestones!$AB$23&amp;" "&amp;IF(AND(Milestones!$AB$23="FT",Milestones!$AA$23=FT_Y5,EDATE($D31,Milestones!$AA$23)&lt;PolicyEff),1,Milestones!$AC$23)&amp;";  ","")&amp;IF(AND(EDATE($D31,Milestones!$AA$24)&lt;=AsOfDate,EDATE($D31,Milestones!$AA$24)&gt;=SchemeStart,IF($X31=0,$AD31,IF(AND($Z31&lt;&gt;"",EDATE($D31,Milestones!$AA$24)&gt;=$Z31),$AC31,IF(AND($Y31&lt;&gt;"",EDATE($D31,Milestones!$AA$24)&gt;=$Y31),$AB31,$AA31)))=Milestones!$AB$24),UPPER(TEXT(EDATE($D31,Milestones!$AA$24),"dd mmm yy"))&amp;" "&amp;Milestones!$AB$24&amp;" "&amp;IF(AND(Milestones!$AB$24="FT",Milestones!$AA$24=FT_Y5,EDATE($D31,Milestones!$AA$24)&lt;PolicyEff),1,Milestones!$AC$24)&amp;";  ","")&amp;IF(AND(EDATE($D31,Milestones!$AA$25)&lt;=AsOfDate,EDATE($D31,Milestones!$AA$25)&gt;=SchemeStart,IF($X31=0,$AD31,IF(AND($Z31&lt;&gt;"",EDATE($D31,Milestones!$AA$25)&gt;=$Z31),$AC31,IF(AND($Y31&lt;&gt;"",EDATE($D31,Milestones!$AA$25)&gt;=$Y31),$AB31,$AA31)))=Milestones!$AB$25),UPPER(TEXT(EDATE($D31,Milestones!$AA$25),"dd mmm yy"))&amp;" "&amp;Milestones!$AB$25&amp;" "&amp;IF(AND(Milestones!$AB$25="FT",Milestones!$AA$25=FT_Y5,EDATE($D31,Milestones!$AA$25)&lt;PolicyEff),1,Milestones!$AC$25)&amp;";  ","")&amp;IF(AND(EDATE($D31,Milestones!$AA$26)&lt;=AsOfDate,EDATE($D31,Milestones!$AA$26)&gt;=SchemeStart,IF($X31=0,$AD31,IF(AND($Z31&lt;&gt;"",EDATE($D31,Milestones!$AA$26)&gt;=$Z31),$AC31,IF(AND($Y31&lt;&gt;"",EDATE($D31,Milestones!$AA$26)&gt;=$Y31),$AB31,$AA31)))=Milestones!$AB$26),UPPER(TEXT(EDATE($D31,Milestones!$AA$26),"dd mmm yy"))&amp;" "&amp;Milestones!$AB$26&amp;" "&amp;IF(AND(Milestones!$AB$26="FT",Milestones!$AA$26=FT_Y5,EDATE($D31,Milestones!$AA$26)&lt;PolicyEff),1,Milestones!$AC$26)&amp;";  ","")&amp;IF(AND(EDATE($D31,Milestones!$AA$27)&lt;=AsOfDate,EDATE($D31,Milestones!$AA$27)&gt;=SchemeStart,IF($X31=0,$AD31,IF(AND($Z31&lt;&gt;"",EDATE($D31,Milestones!$AA$27)&gt;=$Z31),$AC31,IF(AND($Y31&lt;&gt;"",EDATE($D31,Milestones!$AA$27)&gt;=$Y31),$AB31,$AA31)))=Milestones!$AB$27),UPPER(TEXT(EDATE($D31,Milestones!$AA$27),"dd mmm yy"))&amp;" "&amp;Milestones!$AB$27&amp;" "&amp;IF(AND(Milestones!$AB$27="FT",Milestones!$AA$27=FT_Y5,EDATE($D31,Milestones!$AA$27)&lt;PolicyEff),1,Milestones!$AC$27)&amp;";  ","")&amp;IF(AND(EDATE($D31,Milestones!$AA$28)&lt;=AsOfDate,EDATE($D31,Milestones!$AA$28)&gt;=SchemeStart,IF($X31=0,$AD31,IF(AND($Z31&lt;&gt;"",EDATE($D31,Milestones!$AA$28)&gt;=$Z31),$AC31,IF(AND($Y31&lt;&gt;"",EDATE($D31,Milestones!$AA$28)&gt;=$Y31),$AB31,$AA31)))=Milestones!$AB$28),UPPER(TEXT(EDATE($D31,Milestones!$AA$28),"dd mmm yy"))&amp;" "&amp;Milestones!$AB$28&amp;" "&amp;IF(AND(Milestones!$AB$28="FT",Milestones!$AA$28=FT_Y5,EDATE($D31,Milestones!$AA$28)&lt;PolicyEff),1,Milestones!$AC$28)&amp;";  ","")&amp;IF(AND(EDATE($D31,Milestones!$AA$29)&lt;=AsOfDate,EDATE($D31,Milestones!$AA$29)&gt;=SchemeStart,IF($X31=0,$AD31,IF(AND($Z31&lt;&gt;"",EDATE($D31,Milestones!$AA$29)&gt;=$Z31),$AC31,IF(AND($Y31&lt;&gt;"",EDATE($D31,Milestones!$AA$29)&gt;=$Y31),$AB31,$AA31)))=Milestones!$AB$29),UPPER(TEXT(EDATE($D31,Milestones!$AA$29),"dd mmm yy"))&amp;" "&amp;Milestones!$AB$29&amp;" "&amp;IF(AND(Milestones!$AB$29="FT",Milestones!$AA$29=FT_Y5,EDATE($D31,Milestones!$AA$29)&lt;PolicyEff),1,Milestones!$AC$29)&amp;";  ","")&amp;IF(AND(EDATE($D31,Milestones!$AA$30)&lt;=AsOfDate,EDATE($D31,Milestones!$AA$30)&gt;=SchemeStart,IF($X31=0,$AD31,IF(AND($Z31&lt;&gt;"",EDATE($D31,Milestones!$AA$30)&gt;=$Z31),$AC31,IF(AND($Y31&lt;&gt;"",EDATE($D31,Milestones!$AA$30)&gt;=$Y31),$AB31,$AA31)))=Milestones!$AB$30),UPPER(TEXT(EDATE($D31,Milestones!$AA$30),"dd mmm yy"))&amp;" "&amp;Milestones!$AB$30&amp;" "&amp;IF(AND(Milestones!$AB$30="FT",Milestones!$AA$30=FT_Y5,EDATE($D31,Milestones!$AA$30)&lt;PolicyEff),1,Milestones!$AC$30)&amp;";  ","")&amp;IF(AND(EDATE($D31,Milestones!$AA$31)&lt;=AsOfDate,EDATE($D31,Milestones!$AA$31)&gt;=SchemeStart,IF($X31=0,$AD31,IF(AND($Z31&lt;&gt;"",EDATE($D31,Milestones!$AA$31)&gt;=$Z31),$AC31,IF(AND($Y31&lt;&gt;"",EDATE($D31,Milestones!$AA$31)&gt;=$Y31),$AB31,$AA31)))=Milestones!$AB$31),UPPER(TEXT(EDATE($D31,Milestones!$AA$31),"dd mmm yy"))&amp;" "&amp;Milestones!$AB$31&amp;" "&amp;IF(AND(Milestones!$AB$31="FT",Milestones!$AA$31=FT_Y5,EDATE($D31,Milestones!$AA$31)&lt;PolicyEff),1,Milestones!$AC$31)&amp;";  ",""))</f>
        <v/>
      </c>
      <c r="J31" s="0" t="str">
        <f aca="false">IF(OR($A31="",$D31=""),"",IF(AND(EDATE($D31,Milestones!$AA$32)&lt;=AsOfDate,EDATE($D31,Milestones!$AA$32)&gt;=SchemeStart,IF($X31=0,$AD31,IF(AND($Z31&lt;&gt;"",EDATE($D31,Milestones!$AA$32)&gt;=$Z31),$AC31,IF(AND($Y31&lt;&gt;"",EDATE($D31,Milestones!$AA$32)&gt;=$Y31),$AB31,$AA31)))=Milestones!$AB$32),UPPER(TEXT(EDATE($D31,Milestones!$AA$32),"dd mmm yy"))&amp;" "&amp;Milestones!$AB$32&amp;" "&amp;IF(AND(Milestones!$AB$32="FT",Milestones!$AA$32=FT_Y5,EDATE($D31,Milestones!$AA$32)&lt;PolicyEff),1,Milestones!$AC$32)&amp;";  ","")&amp;IF(AND(EDATE($D31,Milestones!$AA$33)&lt;=AsOfDate,EDATE($D31,Milestones!$AA$33)&gt;=SchemeStart,IF($X31=0,$AD31,IF(AND($Z31&lt;&gt;"",EDATE($D31,Milestones!$AA$33)&gt;=$Z31),$AC31,IF(AND($Y31&lt;&gt;"",EDATE($D31,Milestones!$AA$33)&gt;=$Y31),$AB31,$AA31)))=Milestones!$AB$33),UPPER(TEXT(EDATE($D31,Milestones!$AA$33),"dd mmm yy"))&amp;" "&amp;Milestones!$AB$33&amp;" "&amp;IF(AND(Milestones!$AB$33="FT",Milestones!$AA$33=FT_Y5,EDATE($D31,Milestones!$AA$33)&lt;PolicyEff),1,Milestones!$AC$33)&amp;";  ","")&amp;IF(AND(EDATE($D31,Milestones!$AA$34)&lt;=AsOfDate,EDATE($D31,Milestones!$AA$34)&gt;=SchemeStart,IF($X31=0,$AD31,IF(AND($Z31&lt;&gt;"",EDATE($D31,Milestones!$AA$34)&gt;=$Z31),$AC31,IF(AND($Y31&lt;&gt;"",EDATE($D31,Milestones!$AA$34)&gt;=$Y31),$AB31,$AA31)))=Milestones!$AB$34),UPPER(TEXT(EDATE($D31,Milestones!$AA$34),"dd mmm yy"))&amp;" "&amp;Milestones!$AB$34&amp;" "&amp;IF(AND(Milestones!$AB$34="FT",Milestones!$AA$34=FT_Y5,EDATE($D31,Milestones!$AA$34)&lt;PolicyEff),1,Milestones!$AC$34)&amp;";  ","")&amp;IF(AND(EDATE($D31,Milestones!$AA$35)&lt;=AsOfDate,EDATE($D31,Milestones!$AA$35)&gt;=SchemeStart,IF($X31=0,$AD31,IF(AND($Z31&lt;&gt;"",EDATE($D31,Milestones!$AA$35)&gt;=$Z31),$AC31,IF(AND($Y31&lt;&gt;"",EDATE($D31,Milestones!$AA$35)&gt;=$Y31),$AB31,$AA31)))=Milestones!$AB$35),UPPER(TEXT(EDATE($D31,Milestones!$AA$35),"dd mmm yy"))&amp;" "&amp;Milestones!$AB$35&amp;" "&amp;IF(AND(Milestones!$AB$35="FT",Milestones!$AA$35=FT_Y5,EDATE($D31,Milestones!$AA$35)&lt;PolicyEff),1,Milestones!$AC$35)&amp;";  ","")&amp;IF(AND(EDATE($D31,Milestones!$AA$36)&lt;=AsOfDate,EDATE($D31,Milestones!$AA$36)&gt;=SchemeStart,IF($X31=0,$AD31,IF(AND($Z31&lt;&gt;"",EDATE($D31,Milestones!$AA$36)&gt;=$Z31),$AC31,IF(AND($Y31&lt;&gt;"",EDATE($D31,Milestones!$AA$36)&gt;=$Y31),$AB31,$AA31)))=Milestones!$AB$36),UPPER(TEXT(EDATE($D31,Milestones!$AA$36),"dd mmm yy"))&amp;" "&amp;Milestones!$AB$36&amp;" "&amp;IF(AND(Milestones!$AB$36="FT",Milestones!$AA$36=FT_Y5,EDATE($D31,Milestones!$AA$36)&lt;PolicyEff),1,Milestones!$AC$36)&amp;";  ","")&amp;IF(AND(EDATE($D31,Milestones!$AA$37)&lt;=AsOfDate,EDATE($D31,Milestones!$AA$37)&gt;=SchemeStart,IF($X31=0,$AD31,IF(AND($Z31&lt;&gt;"",EDATE($D31,Milestones!$AA$37)&gt;=$Z31),$AC31,IF(AND($Y31&lt;&gt;"",EDATE($D31,Milestones!$AA$37)&gt;=$Y31),$AB31,$AA31)))=Milestones!$AB$37),UPPER(TEXT(EDATE($D31,Milestones!$AA$37),"dd mmm yy"))&amp;" "&amp;Milestones!$AB$37&amp;" "&amp;IF(AND(Milestones!$AB$37="FT",Milestones!$AA$37=FT_Y5,EDATE($D31,Milestones!$AA$37)&lt;PolicyEff),1,Milestones!$AC$37)&amp;";  ","")&amp;IF(AND(EDATE($D31,Milestones!$AA$38)&lt;=AsOfDate,EDATE($D31,Milestones!$AA$38)&gt;=SchemeStart,IF($X31=0,$AD31,IF(AND($Z31&lt;&gt;"",EDATE($D31,Milestones!$AA$38)&gt;=$Z31),$AC31,IF(AND($Y31&lt;&gt;"",EDATE($D31,Milestones!$AA$38)&gt;=$Y31),$AB31,$AA31)))=Milestones!$AB$38),UPPER(TEXT(EDATE($D31,Milestones!$AA$38),"dd mmm yy"))&amp;" "&amp;Milestones!$AB$38&amp;" "&amp;IF(AND(Milestones!$AB$38="FT",Milestones!$AA$38=FT_Y5,EDATE($D31,Milestones!$AA$38)&lt;PolicyEff),1,Milestones!$AC$38)&amp;";  ","")&amp;IF(AND(EDATE($D31,Milestones!$AA$39)&lt;=AsOfDate,EDATE($D31,Milestones!$AA$39)&gt;=SchemeStart,IF($X31=0,$AD31,IF(AND($Z31&lt;&gt;"",EDATE($D31,Milestones!$AA$39)&gt;=$Z31),$AC31,IF(AND($Y31&lt;&gt;"",EDATE($D31,Milestones!$AA$39)&gt;=$Y31),$AB31,$AA31)))=Milestones!$AB$39),UPPER(TEXT(EDATE($D31,Milestones!$AA$39),"dd mmm yy"))&amp;" "&amp;Milestones!$AB$39&amp;" "&amp;IF(AND(Milestones!$AB$39="FT",Milestones!$AA$39=FT_Y5,EDATE($D31,Milestones!$AA$39)&lt;PolicyEff),1,Milestones!$AC$39)&amp;";  ","")&amp;IF(AND(EDATE($D31,Milestones!$AA$40)&lt;=AsOfDate,EDATE($D31,Milestones!$AA$40)&gt;=SchemeStart,IF($X31=0,$AD31,IF(AND($Z31&lt;&gt;"",EDATE($D31,Milestones!$AA$40)&gt;=$Z31),$AC31,IF(AND($Y31&lt;&gt;"",EDATE($D31,Milestones!$AA$40)&gt;=$Y31),$AB31,$AA31)))=Milestones!$AB$40),UPPER(TEXT(EDATE($D31,Milestones!$AA$40),"dd mmm yy"))&amp;" "&amp;Milestones!$AB$40&amp;" "&amp;IF(AND(Milestones!$AB$40="FT",Milestones!$AA$40=FT_Y5,EDATE($D31,Milestones!$AA$40)&lt;PolicyEff),1,Milestones!$AC$40)&amp;";  ","")&amp;IF(AND(EDATE($D31,Milestones!$AA$41)&lt;=AsOfDate,EDATE($D31,Milestones!$AA$41)&gt;=SchemeStart,IF($X31=0,$AD31,IF(AND($Z31&lt;&gt;"",EDATE($D31,Milestones!$AA$41)&gt;=$Z31),$AC31,IF(AND($Y31&lt;&gt;"",EDATE($D31,Milestones!$AA$41)&gt;=$Y31),$AB31,$AA31)))=Milestones!$AB$41),UPPER(TEXT(EDATE($D31,Milestones!$AA$41),"dd mmm yy"))&amp;" "&amp;Milestones!$AB$41&amp;" "&amp;IF(AND(Milestones!$AB$41="FT",Milestones!$AA$41=FT_Y5,EDATE($D31,Milestones!$AA$41)&lt;PolicyEff),1,Milestones!$AC$41)&amp;";  ","")&amp;IF(AND(EDATE($D31,Milestones!$AA$42)&lt;=AsOfDate,EDATE($D31,Milestones!$AA$42)&gt;=SchemeStart,IF($X31=0,$AD31,IF(AND($Z31&lt;&gt;"",EDATE($D31,Milestones!$AA$42)&gt;=$Z31),$AC31,IF(AND($Y31&lt;&gt;"",EDATE($D31,Milestones!$AA$42)&gt;=$Y31),$AB31,$AA31)))=Milestones!$AB$42),UPPER(TEXT(EDATE($D31,Milestones!$AA$42),"dd mmm yy"))&amp;" "&amp;Milestones!$AB$42&amp;" "&amp;IF(AND(Milestones!$AB$42="FT",Milestones!$AA$42=FT_Y5,EDATE($D31,Milestones!$AA$42)&lt;PolicyEff),1,Milestones!$AC$42)&amp;";  ","")&amp;IF(AND(EDATE($D31,Milestones!$AA$43)&lt;=AsOfDate,EDATE($D31,Milestones!$AA$43)&gt;=SchemeStart,IF($X31=0,$AD31,IF(AND($Z31&lt;&gt;"",EDATE($D31,Milestones!$AA$43)&gt;=$Z31),$AC31,IF(AND($Y31&lt;&gt;"",EDATE($D31,Milestones!$AA$43)&gt;=$Y31),$AB31,$AA31)))=Milestones!$AB$43),UPPER(TEXT(EDATE($D31,Milestones!$AA$43),"dd mmm yy"))&amp;" "&amp;Milestones!$AB$43&amp;" "&amp;IF(AND(Milestones!$AB$43="FT",Milestones!$AA$43=FT_Y5,EDATE($D31,Milestones!$AA$43)&lt;PolicyEff),1,Milestones!$AC$43)&amp;";  ",""))</f>
        <v/>
      </c>
      <c r="K31" s="0" t="str">
        <f aca="false">IF(OR($A31="",$D31=""),"",IF(AND(EDATE($D31,Milestones!$AA$44)&lt;=AsOfDate,EDATE($D31,Milestones!$AA$44)&gt;=SchemeStart,IF($X31=0,$AD31,IF(AND($Z31&lt;&gt;"",EDATE($D31,Milestones!$AA$44)&gt;=$Z31),$AC31,IF(AND($Y31&lt;&gt;"",EDATE($D31,Milestones!$AA$44)&gt;=$Y31),$AB31,$AA31)))=Milestones!$AB$44),UPPER(TEXT(EDATE($D31,Milestones!$AA$44),"dd mmm yy"))&amp;" "&amp;Milestones!$AB$44&amp;" "&amp;IF(AND(Milestones!$AB$44="FT",Milestones!$AA$44=FT_Y5,EDATE($D31,Milestones!$AA$44)&lt;PolicyEff),1,Milestones!$AC$44)&amp;";  ","")&amp;IF(AND(EDATE($D31,Milestones!$AA$45)&lt;=AsOfDate,EDATE($D31,Milestones!$AA$45)&gt;=SchemeStart,IF($X31=0,$AD31,IF(AND($Z31&lt;&gt;"",EDATE($D31,Milestones!$AA$45)&gt;=$Z31),$AC31,IF(AND($Y31&lt;&gt;"",EDATE($D31,Milestones!$AA$45)&gt;=$Y31),$AB31,$AA31)))=Milestones!$AB$45),UPPER(TEXT(EDATE($D31,Milestones!$AA$45),"dd mmm yy"))&amp;" "&amp;Milestones!$AB$45&amp;" "&amp;IF(AND(Milestones!$AB$45="FT",Milestones!$AA$45=FT_Y5,EDATE($D31,Milestones!$AA$45)&lt;PolicyEff),1,Milestones!$AC$45)&amp;";  ","")&amp;IF(AND(EDATE($D31,Milestones!$AA$46)&lt;=AsOfDate,EDATE($D31,Milestones!$AA$46)&gt;=SchemeStart,IF($X31=0,$AD31,IF(AND($Z31&lt;&gt;"",EDATE($D31,Milestones!$AA$46)&gt;=$Z31),$AC31,IF(AND($Y31&lt;&gt;"",EDATE($D31,Milestones!$AA$46)&gt;=$Y31),$AB31,$AA31)))=Milestones!$AB$46),UPPER(TEXT(EDATE($D31,Milestones!$AA$46),"dd mmm yy"))&amp;" "&amp;Milestones!$AB$46&amp;" "&amp;IF(AND(Milestones!$AB$46="FT",Milestones!$AA$46=FT_Y5,EDATE($D31,Milestones!$AA$46)&lt;PolicyEff),1,Milestones!$AC$46)&amp;";  ","")&amp;IF(AND(EDATE($D31,Milestones!$AA$47)&lt;=AsOfDate,EDATE($D31,Milestones!$AA$47)&gt;=SchemeStart,IF($X31=0,$AD31,IF(AND($Z31&lt;&gt;"",EDATE($D31,Milestones!$AA$47)&gt;=$Z31),$AC31,IF(AND($Y31&lt;&gt;"",EDATE($D31,Milestones!$AA$47)&gt;=$Y31),$AB31,$AA31)))=Milestones!$AB$47),UPPER(TEXT(EDATE($D31,Milestones!$AA$47),"dd mmm yy"))&amp;" "&amp;Milestones!$AB$47&amp;" "&amp;IF(AND(Milestones!$AB$47="FT",Milestones!$AA$47=FT_Y5,EDATE($D31,Milestones!$AA$47)&lt;PolicyEff),1,Milestones!$AC$47)&amp;";  ","")&amp;IF(AND(EDATE($D31,Milestones!$AA$48)&lt;=AsOfDate,EDATE($D31,Milestones!$AA$48)&gt;=SchemeStart,IF($X31=0,$AD31,IF(AND($Z31&lt;&gt;"",EDATE($D31,Milestones!$AA$48)&gt;=$Z31),$AC31,IF(AND($Y31&lt;&gt;"",EDATE($D31,Milestones!$AA$48)&gt;=$Y31),$AB31,$AA31)))=Milestones!$AB$48),UPPER(TEXT(EDATE($D31,Milestones!$AA$48),"dd mmm yy"))&amp;" "&amp;Milestones!$AB$48&amp;" "&amp;IF(AND(Milestones!$AB$48="FT",Milestones!$AA$48=FT_Y5,EDATE($D31,Milestones!$AA$48)&lt;PolicyEff),1,Milestones!$AC$48)&amp;";  ","")&amp;IF(AND(EDATE($D31,Milestones!$AA$49)&lt;=AsOfDate,EDATE($D31,Milestones!$AA$49)&gt;=SchemeStart,IF($X31=0,$AD31,IF(AND($Z31&lt;&gt;"",EDATE($D31,Milestones!$AA$49)&gt;=$Z31),$AC31,IF(AND($Y31&lt;&gt;"",EDATE($D31,Milestones!$AA$49)&gt;=$Y31),$AB31,$AA31)))=Milestones!$AB$49),UPPER(TEXT(EDATE($D31,Milestones!$AA$49),"dd mmm yy"))&amp;" "&amp;Milestones!$AB$49&amp;" "&amp;IF(AND(Milestones!$AB$49="FT",Milestones!$AA$49=FT_Y5,EDATE($D31,Milestones!$AA$49)&lt;PolicyEff),1,Milestones!$AC$49)&amp;";  ","")&amp;IF(AND(EDATE($D31,Milestones!$AA$50)&lt;=AsOfDate,EDATE($D31,Milestones!$AA$50)&gt;=SchemeStart,IF($X31=0,$AD31,IF(AND($Z31&lt;&gt;"",EDATE($D31,Milestones!$AA$50)&gt;=$Z31),$AC31,IF(AND($Y31&lt;&gt;"",EDATE($D31,Milestones!$AA$50)&gt;=$Y31),$AB31,$AA31)))=Milestones!$AB$50),UPPER(TEXT(EDATE($D31,Milestones!$AA$50),"dd mmm yy"))&amp;" "&amp;Milestones!$AB$50&amp;" "&amp;IF(AND(Milestones!$AB$50="FT",Milestones!$AA$50=FT_Y5,EDATE($D31,Milestones!$AA$50)&lt;PolicyEff),1,Milestones!$AC$50)&amp;";  ","")&amp;IF(AND(EDATE($D31,Milestones!$AA$51)&lt;=AsOfDate,EDATE($D31,Milestones!$AA$51)&gt;=SchemeStart,IF($X31=0,$AD31,IF(AND($Z31&lt;&gt;"",EDATE($D31,Milestones!$AA$51)&gt;=$Z31),$AC31,IF(AND($Y31&lt;&gt;"",EDATE($D31,Milestones!$AA$51)&gt;=$Y31),$AB31,$AA31)))=Milestones!$AB$51),UPPER(TEXT(EDATE($D31,Milestones!$AA$51),"dd mmm yy"))&amp;" "&amp;Milestones!$AB$51&amp;" "&amp;IF(AND(Milestones!$AB$51="FT",Milestones!$AA$51=FT_Y5,EDATE($D31,Milestones!$AA$51)&lt;PolicyEff),1,Milestones!$AC$51)&amp;";  ","")&amp;IF(AND(EDATE($D31,Milestones!$AA$52)&lt;=AsOfDate,EDATE($D31,Milestones!$AA$52)&gt;=SchemeStart,IF($X31=0,$AD31,IF(AND($Z31&lt;&gt;"",EDATE($D31,Milestones!$AA$52)&gt;=$Z31),$AC31,IF(AND($Y31&lt;&gt;"",EDATE($D31,Milestones!$AA$52)&gt;=$Y31),$AB31,$AA31)))=Milestones!$AB$52),UPPER(TEXT(EDATE($D31,Milestones!$AA$52),"dd mmm yy"))&amp;" "&amp;Milestones!$AB$52&amp;" "&amp;IF(AND(Milestones!$AB$52="FT",Milestones!$AA$52=FT_Y5,EDATE($D31,Milestones!$AA$52)&lt;PolicyEff),1,Milestones!$AC$52)&amp;";  ","")&amp;IF(AND(EDATE($D31,Milestones!$AA$53)&lt;=AsOfDate,EDATE($D31,Milestones!$AA$53)&gt;=SchemeStart,IF($X31=0,$AD31,IF(AND($Z31&lt;&gt;"",EDATE($D31,Milestones!$AA$53)&gt;=$Z31),$AC31,IF(AND($Y31&lt;&gt;"",EDATE($D31,Milestones!$AA$53)&gt;=$Y31),$AB31,$AA31)))=Milestones!$AB$53),UPPER(TEXT(EDATE($D31,Milestones!$AA$53),"dd mmm yy"))&amp;" "&amp;Milestones!$AB$53&amp;" "&amp;IF(AND(Milestones!$AB$53="FT",Milestones!$AA$53=FT_Y5,EDATE($D31,Milestones!$AA$53)&lt;PolicyEff),1,Milestones!$AC$53)&amp;";  ","")&amp;IF(AND(EDATE($D31,Milestones!$AA$54)&lt;=AsOfDate,EDATE($D31,Milestones!$AA$54)&gt;=SchemeStart,IF($X31=0,$AD31,IF(AND($Z31&lt;&gt;"",EDATE($D31,Milestones!$AA$54)&gt;=$Z31),$AC31,IF(AND($Y31&lt;&gt;"",EDATE($D31,Milestones!$AA$54)&gt;=$Y31),$AB31,$AA31)))=Milestones!$AB$54),UPPER(TEXT(EDATE($D31,Milestones!$AA$54),"dd mmm yy"))&amp;" "&amp;Milestones!$AB$54&amp;" "&amp;IF(AND(Milestones!$AB$54="FT",Milestones!$AA$54=FT_Y5,EDATE($D31,Milestones!$AA$54)&lt;PolicyEff),1,Milestones!$AC$54)&amp;";  ","")&amp;IF(AND(EDATE($D31,Milestones!$AA$55)&lt;=AsOfDate,EDATE($D31,Milestones!$AA$55)&gt;=SchemeStart,IF($X31=0,$AD31,IF(AND($Z31&lt;&gt;"",EDATE($D31,Milestones!$AA$55)&gt;=$Z31),$AC31,IF(AND($Y31&lt;&gt;"",EDATE($D31,Milestones!$AA$55)&gt;=$Y31),$AB31,$AA31)))=Milestones!$AB$55),UPPER(TEXT(EDATE($D31,Milestones!$AA$55),"dd mmm yy"))&amp;" "&amp;Milestones!$AB$55&amp;" "&amp;IF(AND(Milestones!$AB$55="FT",Milestones!$AA$55=FT_Y5,EDATE($D31,Milestones!$AA$55)&lt;PolicyEff),1,Milestones!$AC$55)&amp;";  ",""))</f>
        <v/>
      </c>
      <c r="L31" s="0" t="str">
        <f aca="false">IF(OR($A31="",$D31=""),"",IF(AND(EDATE($D31,Milestones!$AA$56)&lt;=AsOfDate,EDATE($D31,Milestones!$AA$56)&gt;=SchemeStart,IF($X31=0,$AD31,IF(AND($Z31&lt;&gt;"",EDATE($D31,Milestones!$AA$56)&gt;=$Z31),$AC31,IF(AND($Y31&lt;&gt;"",EDATE($D31,Milestones!$AA$56)&gt;=$Y31),$AB31,$AA31)))=Milestones!$AB$56),UPPER(TEXT(EDATE($D31,Milestones!$AA$56),"dd mmm yy"))&amp;" "&amp;Milestones!$AB$56&amp;" "&amp;IF(AND(Milestones!$AB$56="FT",Milestones!$AA$56=FT_Y5,EDATE($D31,Milestones!$AA$56)&lt;PolicyEff),1,Milestones!$AC$56)&amp;";  ","")&amp;IF(AND(EDATE($D31,Milestones!$AA$57)&lt;=AsOfDate,EDATE($D31,Milestones!$AA$57)&gt;=SchemeStart,IF($X31=0,$AD31,IF(AND($Z31&lt;&gt;"",EDATE($D31,Milestones!$AA$57)&gt;=$Z31),$AC31,IF(AND($Y31&lt;&gt;"",EDATE($D31,Milestones!$AA$57)&gt;=$Y31),$AB31,$AA31)))=Milestones!$AB$57),UPPER(TEXT(EDATE($D31,Milestones!$AA$57),"dd mmm yy"))&amp;" "&amp;Milestones!$AB$57&amp;" "&amp;IF(AND(Milestones!$AB$57="FT",Milestones!$AA$57=FT_Y5,EDATE($D31,Milestones!$AA$57)&lt;PolicyEff),1,Milestones!$AC$57)&amp;";  ","")&amp;IF(AND(EDATE($D31,Milestones!$AA$58)&lt;=AsOfDate,EDATE($D31,Milestones!$AA$58)&gt;=SchemeStart,IF($X31=0,$AD31,IF(AND($Z31&lt;&gt;"",EDATE($D31,Milestones!$AA$58)&gt;=$Z31),$AC31,IF(AND($Y31&lt;&gt;"",EDATE($D31,Milestones!$AA$58)&gt;=$Y31),$AB31,$AA31)))=Milestones!$AB$58),UPPER(TEXT(EDATE($D31,Milestones!$AA$58),"dd mmm yy"))&amp;" "&amp;Milestones!$AB$58&amp;" "&amp;IF(AND(Milestones!$AB$58="FT",Milestones!$AA$58=FT_Y5,EDATE($D31,Milestones!$AA$58)&lt;PolicyEff),1,Milestones!$AC$58)&amp;";  ","")&amp;IF(AND(EDATE($D31,Milestones!$AA$59)&lt;=AsOfDate,EDATE($D31,Milestones!$AA$59)&gt;=SchemeStart,IF($X31=0,$AD31,IF(AND($Z31&lt;&gt;"",EDATE($D31,Milestones!$AA$59)&gt;=$Z31),$AC31,IF(AND($Y31&lt;&gt;"",EDATE($D31,Milestones!$AA$59)&gt;=$Y31),$AB31,$AA31)))=Milestones!$AB$59),UPPER(TEXT(EDATE($D31,Milestones!$AA$59),"dd mmm yy"))&amp;" "&amp;Milestones!$AB$59&amp;" "&amp;IF(AND(Milestones!$AB$59="FT",Milestones!$AA$59=FT_Y5,EDATE($D31,Milestones!$AA$59)&lt;PolicyEff),1,Milestones!$AC$59)&amp;";  ","")&amp;IF(AND(EDATE($D31,Milestones!$AA$60)&lt;=AsOfDate,EDATE($D31,Milestones!$AA$60)&gt;=SchemeStart,IF($X31=0,$AD31,IF(AND($Z31&lt;&gt;"",EDATE($D31,Milestones!$AA$60)&gt;=$Z31),$AC31,IF(AND($Y31&lt;&gt;"",EDATE($D31,Milestones!$AA$60)&gt;=$Y31),$AB31,$AA31)))=Milestones!$AB$60),UPPER(TEXT(EDATE($D31,Milestones!$AA$60),"dd mmm yy"))&amp;" "&amp;Milestones!$AB$60&amp;" "&amp;IF(AND(Milestones!$AB$60="FT",Milestones!$AA$60=FT_Y5,EDATE($D31,Milestones!$AA$60)&lt;PolicyEff),1,Milestones!$AC$60)&amp;";  ","")&amp;IF(AND(EDATE($D31,Milestones!$AA$61)&lt;=AsOfDate,EDATE($D31,Milestones!$AA$61)&gt;=SchemeStart,IF($X31=0,$AD31,IF(AND($Z31&lt;&gt;"",EDATE($D31,Milestones!$AA$61)&gt;=$Z31),$AC31,IF(AND($Y31&lt;&gt;"",EDATE($D31,Milestones!$AA$61)&gt;=$Y31),$AB31,$AA31)))=Milestones!$AB$61),UPPER(TEXT(EDATE($D31,Milestones!$AA$61),"dd mmm yy"))&amp;" "&amp;Milestones!$AB$61&amp;" "&amp;IF(AND(Milestones!$AB$61="FT",Milestones!$AA$61=FT_Y5,EDATE($D31,Milestones!$AA$61)&lt;PolicyEff),1,Milestones!$AC$61)&amp;";  ","")&amp;IF(AND(EDATE($D31,Milestones!$AA$62)&lt;=AsOfDate,EDATE($D31,Milestones!$AA$62)&gt;=SchemeStart,IF($X31=0,$AD31,IF(AND($Z31&lt;&gt;"",EDATE($D31,Milestones!$AA$62)&gt;=$Z31),$AC31,IF(AND($Y31&lt;&gt;"",EDATE($D31,Milestones!$AA$62)&gt;=$Y31),$AB31,$AA31)))=Milestones!$AB$62),UPPER(TEXT(EDATE($D31,Milestones!$AA$62),"dd mmm yy"))&amp;" "&amp;Milestones!$AB$62&amp;" "&amp;IF(AND(Milestones!$AB$62="FT",Milestones!$AA$62=FT_Y5,EDATE($D31,Milestones!$AA$62)&lt;PolicyEff),1,Milestones!$AC$62)&amp;";  ","")&amp;IF(AND(EDATE($D31,Milestones!$AA$63)&lt;=AsOfDate,EDATE($D31,Milestones!$AA$63)&gt;=SchemeStart,IF($X31=0,$AD31,IF(AND($Z31&lt;&gt;"",EDATE($D31,Milestones!$AA$63)&gt;=$Z31),$AC31,IF(AND($Y31&lt;&gt;"",EDATE($D31,Milestones!$AA$63)&gt;=$Y31),$AB31,$AA31)))=Milestones!$AB$63),UPPER(TEXT(EDATE($D31,Milestones!$AA$63),"dd mmm yy"))&amp;" "&amp;Milestones!$AB$63&amp;" "&amp;IF(AND(Milestones!$AB$63="FT",Milestones!$AA$63=FT_Y5,EDATE($D31,Milestones!$AA$63)&lt;PolicyEff),1,Milestones!$AC$63)&amp;";  ","")&amp;IF(AND(EDATE($D31,Milestones!$AA$64)&lt;=AsOfDate,EDATE($D31,Milestones!$AA$64)&gt;=SchemeStart,IF($X31=0,$AD31,IF(AND($Z31&lt;&gt;"",EDATE($D31,Milestones!$AA$64)&gt;=$Z31),$AC31,IF(AND($Y31&lt;&gt;"",EDATE($D31,Milestones!$AA$64)&gt;=$Y31),$AB31,$AA31)))=Milestones!$AB$64),UPPER(TEXT(EDATE($D31,Milestones!$AA$64),"dd mmm yy"))&amp;" "&amp;Milestones!$AB$64&amp;" "&amp;IF(AND(Milestones!$AB$64="FT",Milestones!$AA$64=FT_Y5,EDATE($D31,Milestones!$AA$64)&lt;PolicyEff),1,Milestones!$AC$64)&amp;";  ","")&amp;IF(AND(EDATE($D31,Milestones!$AA$65)&lt;=AsOfDate,EDATE($D31,Milestones!$AA$65)&gt;=SchemeStart,IF($X31=0,$AD31,IF(AND($Z31&lt;&gt;"",EDATE($D31,Milestones!$AA$65)&gt;=$Z31),$AC31,IF(AND($Y31&lt;&gt;"",EDATE($D31,Milestones!$AA$65)&gt;=$Y31),$AB31,$AA31)))=Milestones!$AB$65),UPPER(TEXT(EDATE($D31,Milestones!$AA$65),"dd mmm yy"))&amp;" "&amp;Milestones!$AB$65&amp;" "&amp;IF(AND(Milestones!$AB$65="FT",Milestones!$AA$65=FT_Y5,EDATE($D31,Milestones!$AA$65)&lt;PolicyEff),1,Milestones!$AC$65)&amp;";  ","")&amp;IF(AND(EDATE($D31,Milestones!$AA$66)&lt;=AsOfDate,EDATE($D31,Milestones!$AA$66)&gt;=SchemeStart,IF($X31=0,$AD31,IF(AND($Z31&lt;&gt;"",EDATE($D31,Milestones!$AA$66)&gt;=$Z31),$AC31,IF(AND($Y31&lt;&gt;"",EDATE($D31,Milestones!$AA$66)&gt;=$Y31),$AB31,$AA31)))=Milestones!$AB$66),UPPER(TEXT(EDATE($D31,Milestones!$AA$66),"dd mmm yy"))&amp;" "&amp;Milestones!$AB$66&amp;" "&amp;IF(AND(Milestones!$AB$66="FT",Milestones!$AA$66=FT_Y5,EDATE($D31,Milestones!$AA$66)&lt;PolicyEff),1,Milestones!$AC$66)&amp;";  ","")&amp;IF(AND(EDATE($D31,Milestones!$AA$67)&lt;=AsOfDate,EDATE($D31,Milestones!$AA$67)&gt;=SchemeStart,IF($X31=0,$AD31,IF(AND($Z31&lt;&gt;"",EDATE($D31,Milestones!$AA$67)&gt;=$Z31),$AC31,IF(AND($Y31&lt;&gt;"",EDATE($D31,Milestones!$AA$67)&gt;=$Y31),$AB31,$AA31)))=Milestones!$AB$67),UPPER(TEXT(EDATE($D31,Milestones!$AA$67),"dd mmm yy"))&amp;" "&amp;Milestones!$AB$67&amp;" "&amp;IF(AND(Milestones!$AB$67="FT",Milestones!$AA$67=FT_Y5,EDATE($D31,Milestones!$AA$67)&lt;PolicyEff),1,Milestones!$AC$67)&amp;";  ",""))</f>
        <v/>
      </c>
      <c r="M31" s="0" t="str">
        <f aca="false">IF(OR($A31="",$D31=""),"",IF(AND(EDATE($D31,Milestones!$AA$68)&lt;=AsOfDate,EDATE($D31,Milestones!$AA$68)&gt;=SchemeStart,IF($X31=0,$AD31,IF(AND($Z31&lt;&gt;"",EDATE($D31,Milestones!$AA$68)&gt;=$Z31),$AC31,IF(AND($Y31&lt;&gt;"",EDATE($D31,Milestones!$AA$68)&gt;=$Y31),$AB31,$AA31)))=Milestones!$AB$68),UPPER(TEXT(EDATE($D31,Milestones!$AA$68),"dd mmm yy"))&amp;" "&amp;Milestones!$AB$68&amp;" "&amp;IF(AND(Milestones!$AB$68="FT",Milestones!$AA$68=FT_Y5,EDATE($D31,Milestones!$AA$68)&lt;PolicyEff),1,Milestones!$AC$68)&amp;";  ","")&amp;IF(AND(EDATE($D31,Milestones!$AA$69)&lt;=AsOfDate,EDATE($D31,Milestones!$AA$69)&gt;=SchemeStart,IF($X31=0,$AD31,IF(AND($Z31&lt;&gt;"",EDATE($D31,Milestones!$AA$69)&gt;=$Z31),$AC31,IF(AND($Y31&lt;&gt;"",EDATE($D31,Milestones!$AA$69)&gt;=$Y31),$AB31,$AA31)))=Milestones!$AB$69),UPPER(TEXT(EDATE($D31,Milestones!$AA$69),"dd mmm yy"))&amp;" "&amp;Milestones!$AB$69&amp;" "&amp;IF(AND(Milestones!$AB$69="FT",Milestones!$AA$69=FT_Y5,EDATE($D31,Milestones!$AA$69)&lt;PolicyEff),1,Milestones!$AC$69)&amp;";  ","")&amp;IF(AND(EDATE($D31,Milestones!$AA$70)&lt;=AsOfDate,EDATE($D31,Milestones!$AA$70)&gt;=SchemeStart,IF($X31=0,$AD31,IF(AND($Z31&lt;&gt;"",EDATE($D31,Milestones!$AA$70)&gt;=$Z31),$AC31,IF(AND($Y31&lt;&gt;"",EDATE($D31,Milestones!$AA$70)&gt;=$Y31),$AB31,$AA31)))=Milestones!$AB$70),UPPER(TEXT(EDATE($D31,Milestones!$AA$70),"dd mmm yy"))&amp;" "&amp;Milestones!$AB$70&amp;" "&amp;IF(AND(Milestones!$AB$70="FT",Milestones!$AA$70=FT_Y5,EDATE($D31,Milestones!$AA$70)&lt;PolicyEff),1,Milestones!$AC$70)&amp;";  ","")&amp;IF(AND(EDATE($D31,Milestones!$AA$71)&lt;=AsOfDate,EDATE($D31,Milestones!$AA$71)&gt;=SchemeStart,IF($X31=0,$AD31,IF(AND($Z31&lt;&gt;"",EDATE($D31,Milestones!$AA$71)&gt;=$Z31),$AC31,IF(AND($Y31&lt;&gt;"",EDATE($D31,Milestones!$AA$71)&gt;=$Y31),$AB31,$AA31)))=Milestones!$AB$71),UPPER(TEXT(EDATE($D31,Milestones!$AA$71),"dd mmm yy"))&amp;" "&amp;Milestones!$AB$71&amp;" "&amp;IF(AND(Milestones!$AB$71="FT",Milestones!$AA$71=FT_Y5,EDATE($D31,Milestones!$AA$71)&lt;PolicyEff),1,Milestones!$AC$71)&amp;";  ","")&amp;IF(AND(EDATE($D31,Milestones!$AA$72)&lt;=AsOfDate,EDATE($D31,Milestones!$AA$72)&gt;=SchemeStart,IF($X31=0,$AD31,IF(AND($Z31&lt;&gt;"",EDATE($D31,Milestones!$AA$72)&gt;=$Z31),$AC31,IF(AND($Y31&lt;&gt;"",EDATE($D31,Milestones!$AA$72)&gt;=$Y31),$AB31,$AA31)))=Milestones!$AB$72),UPPER(TEXT(EDATE($D31,Milestones!$AA$72),"dd mmm yy"))&amp;" "&amp;Milestones!$AB$72&amp;" "&amp;IF(AND(Milestones!$AB$72="FT",Milestones!$AA$72=FT_Y5,EDATE($D31,Milestones!$AA$72)&lt;PolicyEff),1,Milestones!$AC$72)&amp;";  ","")&amp;IF(AND(EDATE($D31,Milestones!$AA$73)&lt;=AsOfDate,EDATE($D31,Milestones!$AA$73)&gt;=SchemeStart,IF($X31=0,$AD31,IF(AND($Z31&lt;&gt;"",EDATE($D31,Milestones!$AA$73)&gt;=$Z31),$AC31,IF(AND($Y31&lt;&gt;"",EDATE($D31,Milestones!$AA$73)&gt;=$Y31),$AB31,$AA31)))=Milestones!$AB$73),UPPER(TEXT(EDATE($D31,Milestones!$AA$73),"dd mmm yy"))&amp;" "&amp;Milestones!$AB$73&amp;" "&amp;IF(AND(Milestones!$AB$73="FT",Milestones!$AA$73=FT_Y5,EDATE($D31,Milestones!$AA$73)&lt;PolicyEff),1,Milestones!$AC$73)&amp;";  ","")&amp;IF(AND(EDATE($D31,Milestones!$AA$74)&lt;=AsOfDate,EDATE($D31,Milestones!$AA$74)&gt;=SchemeStart,IF($X31=0,$AD31,IF(AND($Z31&lt;&gt;"",EDATE($D31,Milestones!$AA$74)&gt;=$Z31),$AC31,IF(AND($Y31&lt;&gt;"",EDATE($D31,Milestones!$AA$74)&gt;=$Y31),$AB31,$AA31)))=Milestones!$AB$74),UPPER(TEXT(EDATE($D31,Milestones!$AA$74),"dd mmm yy"))&amp;" "&amp;Milestones!$AB$74&amp;" "&amp;IF(AND(Milestones!$AB$74="FT",Milestones!$AA$74=FT_Y5,EDATE($D31,Milestones!$AA$74)&lt;PolicyEff),1,Milestones!$AC$74)&amp;";  ","")&amp;IF(AND(EDATE($D31,Milestones!$AA$75)&lt;=AsOfDate,EDATE($D31,Milestones!$AA$75)&gt;=SchemeStart,IF($X31=0,$AD31,IF(AND($Z31&lt;&gt;"",EDATE($D31,Milestones!$AA$75)&gt;=$Z31),$AC31,IF(AND($Y31&lt;&gt;"",EDATE($D31,Milestones!$AA$75)&gt;=$Y31),$AB31,$AA31)))=Milestones!$AB$75),UPPER(TEXT(EDATE($D31,Milestones!$AA$75),"dd mmm yy"))&amp;" "&amp;Milestones!$AB$75&amp;" "&amp;IF(AND(Milestones!$AB$75="FT",Milestones!$AA$75=FT_Y5,EDATE($D31,Milestones!$AA$75)&lt;PolicyEff),1,Milestones!$AC$75)&amp;";  ","")&amp;IF(AND(EDATE($D31,Milestones!$AA$76)&lt;=AsOfDate,EDATE($D31,Milestones!$AA$76)&gt;=SchemeStart,IF($X31=0,$AD31,IF(AND($Z31&lt;&gt;"",EDATE($D31,Milestones!$AA$76)&gt;=$Z31),$AC31,IF(AND($Y31&lt;&gt;"",EDATE($D31,Milestones!$AA$76)&gt;=$Y31),$AB31,$AA31)))=Milestones!$AB$76),UPPER(TEXT(EDATE($D31,Milestones!$AA$76),"dd mmm yy"))&amp;" "&amp;Milestones!$AB$76&amp;" "&amp;IF(AND(Milestones!$AB$76="FT",Milestones!$AA$76=FT_Y5,EDATE($D31,Milestones!$AA$76)&lt;PolicyEff),1,Milestones!$AC$76)&amp;";  ","")&amp;IF(AND(EDATE($D31,Milestones!$AA$77)&lt;=AsOfDate,EDATE($D31,Milestones!$AA$77)&gt;=SchemeStart,IF($X31=0,$AD31,IF(AND($Z31&lt;&gt;"",EDATE($D31,Milestones!$AA$77)&gt;=$Z31),$AC31,IF(AND($Y31&lt;&gt;"",EDATE($D31,Milestones!$AA$77)&gt;=$Y31),$AB31,$AA31)))=Milestones!$AB$77),UPPER(TEXT(EDATE($D31,Milestones!$AA$77),"dd mmm yy"))&amp;" "&amp;Milestones!$AB$77&amp;" "&amp;IF(AND(Milestones!$AB$77="FT",Milestones!$AA$77=FT_Y5,EDATE($D31,Milestones!$AA$77)&lt;PolicyEff),1,Milestones!$AC$77)&amp;";  ","")&amp;IF(AND(EDATE($D31,Milestones!$AA$78)&lt;=AsOfDate,EDATE($D31,Milestones!$AA$78)&gt;=SchemeStart,IF($X31=0,$AD31,IF(AND($Z31&lt;&gt;"",EDATE($D31,Milestones!$AA$78)&gt;=$Z31),$AC31,IF(AND($Y31&lt;&gt;"",EDATE($D31,Milestones!$AA$78)&gt;=$Y31),$AB31,$AA31)))=Milestones!$AB$78),UPPER(TEXT(EDATE($D31,Milestones!$AA$78),"dd mmm yy"))&amp;" "&amp;Milestones!$AB$78&amp;" "&amp;IF(AND(Milestones!$AB$78="FT",Milestones!$AA$78=FT_Y5,EDATE($D31,Milestones!$AA$78)&lt;PolicyEff),1,Milestones!$AC$78)&amp;";  ","")&amp;IF(AND(EDATE($D31,Milestones!$AA$79)&lt;=AsOfDate,EDATE($D31,Milestones!$AA$79)&gt;=SchemeStart,IF($X31=0,$AD31,IF(AND($Z31&lt;&gt;"",EDATE($D31,Milestones!$AA$79)&gt;=$Z31),$AC31,IF(AND($Y31&lt;&gt;"",EDATE($D31,Milestones!$AA$79)&gt;=$Y31),$AB31,$AA31)))=Milestones!$AB$79),UPPER(TEXT(EDATE($D31,Milestones!$AA$79),"dd mmm yy"))&amp;" "&amp;Milestones!$AB$79&amp;" "&amp;IF(AND(Milestones!$AB$79="FT",Milestones!$AA$79=FT_Y5,EDATE($D31,Milestones!$AA$79)&lt;PolicyEff),1,Milestones!$AC$79)&amp;";  ",""))</f>
        <v/>
      </c>
      <c r="N31" s="0" t="str">
        <f aca="false">IF(OR($A31="",$D31=""),"",IF(AND(EDATE($D31,Milestones!$AA$80)&lt;=AsOfDate,EDATE($D31,Milestones!$AA$80)&gt;=SchemeStart,IF($X31=0,$AD31,IF(AND($Z31&lt;&gt;"",EDATE($D31,Milestones!$AA$80)&gt;=$Z31),$AC31,IF(AND($Y31&lt;&gt;"",EDATE($D31,Milestones!$AA$80)&gt;=$Y31),$AB31,$AA31)))=Milestones!$AB$80),UPPER(TEXT(EDATE($D31,Milestones!$AA$80),"dd mmm yy"))&amp;" "&amp;Milestones!$AB$80&amp;" "&amp;IF(AND(Milestones!$AB$80="FT",Milestones!$AA$80=FT_Y5,EDATE($D31,Milestones!$AA$80)&lt;PolicyEff),1,Milestones!$AC$80)&amp;";  ","")&amp;IF(AND(EDATE($D31,Milestones!$AA$81)&lt;=AsOfDate,EDATE($D31,Milestones!$AA$81)&gt;=SchemeStart,IF($X31=0,$AD31,IF(AND($Z31&lt;&gt;"",EDATE($D31,Milestones!$AA$81)&gt;=$Z31),$AC31,IF(AND($Y31&lt;&gt;"",EDATE($D31,Milestones!$AA$81)&gt;=$Y31),$AB31,$AA31)))=Milestones!$AB$81),UPPER(TEXT(EDATE($D31,Milestones!$AA$81),"dd mmm yy"))&amp;" "&amp;Milestones!$AB$81&amp;" "&amp;IF(AND(Milestones!$AB$81="FT",Milestones!$AA$81=FT_Y5,EDATE($D31,Milestones!$AA$81)&lt;PolicyEff),1,Milestones!$AC$81)&amp;";  ","")&amp;IF(AND(EDATE($D31,Milestones!$AA$82)&lt;=AsOfDate,EDATE($D31,Milestones!$AA$82)&gt;=SchemeStart,IF($X31=0,$AD31,IF(AND($Z31&lt;&gt;"",EDATE($D31,Milestones!$AA$82)&gt;=$Z31),$AC31,IF(AND($Y31&lt;&gt;"",EDATE($D31,Milestones!$AA$82)&gt;=$Y31),$AB31,$AA31)))=Milestones!$AB$82),UPPER(TEXT(EDATE($D31,Milestones!$AA$82),"dd mmm yy"))&amp;" "&amp;Milestones!$AB$82&amp;" "&amp;IF(AND(Milestones!$AB$82="FT",Milestones!$AA$82=FT_Y5,EDATE($D31,Milestones!$AA$82)&lt;PolicyEff),1,Milestones!$AC$82)&amp;";  ","")&amp;IF(AND(EDATE($D31,Milestones!$AA$83)&lt;=AsOfDate,EDATE($D31,Milestones!$AA$83)&gt;=SchemeStart,IF($X31=0,$AD31,IF(AND($Z31&lt;&gt;"",EDATE($D31,Milestones!$AA$83)&gt;=$Z31),$AC31,IF(AND($Y31&lt;&gt;"",EDATE($D31,Milestones!$AA$83)&gt;=$Y31),$AB31,$AA31)))=Milestones!$AB$83),UPPER(TEXT(EDATE($D31,Milestones!$AA$83),"dd mmm yy"))&amp;" "&amp;Milestones!$AB$83&amp;" "&amp;IF(AND(Milestones!$AB$83="FT",Milestones!$AA$83=FT_Y5,EDATE($D31,Milestones!$AA$83)&lt;PolicyEff),1,Milestones!$AC$83)&amp;";  ","")&amp;IF(AND(EDATE($D31,Milestones!$AA$84)&lt;=AsOfDate,EDATE($D31,Milestones!$AA$84)&gt;=SchemeStart,IF($X31=0,$AD31,IF(AND($Z31&lt;&gt;"",EDATE($D31,Milestones!$AA$84)&gt;=$Z31),$AC31,IF(AND($Y31&lt;&gt;"",EDATE($D31,Milestones!$AA$84)&gt;=$Y31),$AB31,$AA31)))=Milestones!$AB$84),UPPER(TEXT(EDATE($D31,Milestones!$AA$84),"dd mmm yy"))&amp;" "&amp;Milestones!$AB$84&amp;" "&amp;IF(AND(Milestones!$AB$84="FT",Milestones!$AA$84=FT_Y5,EDATE($D31,Milestones!$AA$84)&lt;PolicyEff),1,Milestones!$AC$84)&amp;";  ","")&amp;IF(AND(EDATE($D31,Milestones!$AA$85)&lt;=AsOfDate,EDATE($D31,Milestones!$AA$85)&gt;=SchemeStart,IF($X31=0,$AD31,IF(AND($Z31&lt;&gt;"",EDATE($D31,Milestones!$AA$85)&gt;=$Z31),$AC31,IF(AND($Y31&lt;&gt;"",EDATE($D31,Milestones!$AA$85)&gt;=$Y31),$AB31,$AA31)))=Milestones!$AB$85),UPPER(TEXT(EDATE($D31,Milestones!$AA$85),"dd mmm yy"))&amp;" "&amp;Milestones!$AB$85&amp;" "&amp;IF(AND(Milestones!$AB$85="FT",Milestones!$AA$85=FT_Y5,EDATE($D31,Milestones!$AA$85)&lt;PolicyEff),1,Milestones!$AC$85)&amp;";  ","")&amp;IF(AND(EDATE($D31,Milestones!$AA$86)&lt;=AsOfDate,EDATE($D31,Milestones!$AA$86)&gt;=SchemeStart,IF($X31=0,$AD31,IF(AND($Z31&lt;&gt;"",EDATE($D31,Milestones!$AA$86)&gt;=$Z31),$AC31,IF(AND($Y31&lt;&gt;"",EDATE($D31,Milestones!$AA$86)&gt;=$Y31),$AB31,$AA31)))=Milestones!$AB$86),UPPER(TEXT(EDATE($D31,Milestones!$AA$86),"dd mmm yy"))&amp;" "&amp;Milestones!$AB$86&amp;" "&amp;IF(AND(Milestones!$AB$86="FT",Milestones!$AA$86=FT_Y5,EDATE($D31,Milestones!$AA$86)&lt;PolicyEff),1,Milestones!$AC$86)&amp;";  ","")&amp;IF(AND(EDATE($D31,Milestones!$AA$87)&lt;=AsOfDate,EDATE($D31,Milestones!$AA$87)&gt;=SchemeStart,IF($X31=0,$AD31,IF(AND($Z31&lt;&gt;"",EDATE($D31,Milestones!$AA$87)&gt;=$Z31),$AC31,IF(AND($Y31&lt;&gt;"",EDATE($D31,Milestones!$AA$87)&gt;=$Y31),$AB31,$AA31)))=Milestones!$AB$87),UPPER(TEXT(EDATE($D31,Milestones!$AA$87),"dd mmm yy"))&amp;" "&amp;Milestones!$AB$87&amp;" "&amp;IF(AND(Milestones!$AB$87="FT",Milestones!$AA$87=FT_Y5,EDATE($D31,Milestones!$AA$87)&lt;PolicyEff),1,Milestones!$AC$87)&amp;";  ","")&amp;IF(AND(EDATE($D31,Milestones!$AA$88)&lt;=AsOfDate,EDATE($D31,Milestones!$AA$88)&gt;=SchemeStart,IF($X31=0,$AD31,IF(AND($Z31&lt;&gt;"",EDATE($D31,Milestones!$AA$88)&gt;=$Z31),$AC31,IF(AND($Y31&lt;&gt;"",EDATE($D31,Milestones!$AA$88)&gt;=$Y31),$AB31,$AA31)))=Milestones!$AB$88),UPPER(TEXT(EDATE($D31,Milestones!$AA$88),"dd mmm yy"))&amp;" "&amp;Milestones!$AB$88&amp;" "&amp;IF(AND(Milestones!$AB$88="FT",Milestones!$AA$88=FT_Y5,EDATE($D31,Milestones!$AA$88)&lt;PolicyEff),1,Milestones!$AC$88)&amp;";  ","")&amp;IF(AND(EDATE($D31,Milestones!$AA$89)&lt;=AsOfDate,EDATE($D31,Milestones!$AA$89)&gt;=SchemeStart,IF($X31=0,$AD31,IF(AND($Z31&lt;&gt;"",EDATE($D31,Milestones!$AA$89)&gt;=$Z31),$AC31,IF(AND($Y31&lt;&gt;"",EDATE($D31,Milestones!$AA$89)&gt;=$Y31),$AB31,$AA31)))=Milestones!$AB$89),UPPER(TEXT(EDATE($D31,Milestones!$AA$89),"dd mmm yy"))&amp;" "&amp;Milestones!$AB$89&amp;" "&amp;IF(AND(Milestones!$AB$89="FT",Milestones!$AA$89=FT_Y5,EDATE($D31,Milestones!$AA$89)&lt;PolicyEff),1,Milestones!$AC$89)&amp;";  ","")&amp;IF(AND(EDATE($D31,Milestones!$AA$90)&lt;=AsOfDate,EDATE($D31,Milestones!$AA$90)&gt;=SchemeStart,IF($X31=0,$AD31,IF(AND($Z31&lt;&gt;"",EDATE($D31,Milestones!$AA$90)&gt;=$Z31),$AC31,IF(AND($Y31&lt;&gt;"",EDATE($D31,Milestones!$AA$90)&gt;=$Y31),$AB31,$AA31)))=Milestones!$AB$90),UPPER(TEXT(EDATE($D31,Milestones!$AA$90),"dd mmm yy"))&amp;" "&amp;Milestones!$AB$90&amp;" "&amp;IF(AND(Milestones!$AB$90="FT",Milestones!$AA$90=FT_Y5,EDATE($D31,Milestones!$AA$90)&lt;PolicyEff),1,Milestones!$AC$90)&amp;";  ","")&amp;IF(AND(EDATE($D31,Milestones!$AA$91)&lt;=AsOfDate,EDATE($D31,Milestones!$AA$91)&gt;=SchemeStart,IF($X31=0,$AD31,IF(AND($Z31&lt;&gt;"",EDATE($D31,Milestones!$AA$91)&gt;=$Z31),$AC31,IF(AND($Y31&lt;&gt;"",EDATE($D31,Milestones!$AA$91)&gt;=$Y31),$AB31,$AA31)))=Milestones!$AB$91),UPPER(TEXT(EDATE($D31,Milestones!$AA$91),"dd mmm yy"))&amp;" "&amp;Milestones!$AB$91&amp;" "&amp;IF(AND(Milestones!$AB$91="FT",Milestones!$AA$91=FT_Y5,EDATE($D31,Milestones!$AA$91)&lt;PolicyEff),1,Milestones!$AC$91)&amp;";  ",""))</f>
        <v/>
      </c>
      <c r="O31" s="0" t="str">
        <f aca="false">IF(OR($A31="",$D31=""),"",IF(AND(EDATE($D31,Milestones!$AA$92)&lt;=AsOfDate,EDATE($D31,Milestones!$AA$92)&gt;=SchemeStart,IF($X31=0,$AD31,IF(AND($Z31&lt;&gt;"",EDATE($D31,Milestones!$AA$92)&gt;=$Z31),$AC31,IF(AND($Y31&lt;&gt;"",EDATE($D31,Milestones!$AA$92)&gt;=$Y31),$AB31,$AA31)))=Milestones!$AB$92),UPPER(TEXT(EDATE($D31,Milestones!$AA$92),"dd mmm yy"))&amp;" "&amp;Milestones!$AB$92&amp;" "&amp;IF(AND(Milestones!$AB$92="FT",Milestones!$AA$92=FT_Y5,EDATE($D31,Milestones!$AA$92)&lt;PolicyEff),1,Milestones!$AC$92)&amp;";  ","")&amp;IF(AND(EDATE($D31,Milestones!$AA$93)&lt;=AsOfDate,EDATE($D31,Milestones!$AA$93)&gt;=SchemeStart,IF($X31=0,$AD31,IF(AND($Z31&lt;&gt;"",EDATE($D31,Milestones!$AA$93)&gt;=$Z31),$AC31,IF(AND($Y31&lt;&gt;"",EDATE($D31,Milestones!$AA$93)&gt;=$Y31),$AB31,$AA31)))=Milestones!$AB$93),UPPER(TEXT(EDATE($D31,Milestones!$AA$93),"dd mmm yy"))&amp;" "&amp;Milestones!$AB$93&amp;" "&amp;IF(AND(Milestones!$AB$93="FT",Milestones!$AA$93=FT_Y5,EDATE($D31,Milestones!$AA$93)&lt;PolicyEff),1,Milestones!$AC$93)&amp;";  ","")&amp;IF(AND(EDATE($D31,Milestones!$AA$94)&lt;=AsOfDate,EDATE($D31,Milestones!$AA$94)&gt;=SchemeStart,IF($X31=0,$AD31,IF(AND($Z31&lt;&gt;"",EDATE($D31,Milestones!$AA$94)&gt;=$Z31),$AC31,IF(AND($Y31&lt;&gt;"",EDATE($D31,Milestones!$AA$94)&gt;=$Y31),$AB31,$AA31)))=Milestones!$AB$94),UPPER(TEXT(EDATE($D31,Milestones!$AA$94),"dd mmm yy"))&amp;" "&amp;Milestones!$AB$94&amp;" "&amp;IF(AND(Milestones!$AB$94="FT",Milestones!$AA$94=FT_Y5,EDATE($D31,Milestones!$AA$94)&lt;PolicyEff),1,Milestones!$AC$94)&amp;";  ","")&amp;IF(AND(EDATE($D31,Milestones!$AA$95)&lt;=AsOfDate,EDATE($D31,Milestones!$AA$95)&gt;=SchemeStart,IF($X31=0,$AD31,IF(AND($Z31&lt;&gt;"",EDATE($D31,Milestones!$AA$95)&gt;=$Z31),$AC31,IF(AND($Y31&lt;&gt;"",EDATE($D31,Milestones!$AA$95)&gt;=$Y31),$AB31,$AA31)))=Milestones!$AB$95),UPPER(TEXT(EDATE($D31,Milestones!$AA$95),"dd mmm yy"))&amp;" "&amp;Milestones!$AB$95&amp;" "&amp;IF(AND(Milestones!$AB$95="FT",Milestones!$AA$95=FT_Y5,EDATE($D31,Milestones!$AA$95)&lt;PolicyEff),1,Milestones!$AC$95)&amp;";  ","")&amp;IF(AND(EDATE($D31,Milestones!$AA$96)&lt;=AsOfDate,EDATE($D31,Milestones!$AA$96)&gt;=SchemeStart,IF($X31=0,$AD31,IF(AND($Z31&lt;&gt;"",EDATE($D31,Milestones!$AA$96)&gt;=$Z31),$AC31,IF(AND($Y31&lt;&gt;"",EDATE($D31,Milestones!$AA$96)&gt;=$Y31),$AB31,$AA31)))=Milestones!$AB$96),UPPER(TEXT(EDATE($D31,Milestones!$AA$96),"dd mmm yy"))&amp;" "&amp;Milestones!$AB$96&amp;" "&amp;IF(AND(Milestones!$AB$96="FT",Milestones!$AA$96=FT_Y5,EDATE($D31,Milestones!$AA$96)&lt;PolicyEff),1,Milestones!$AC$96)&amp;";  ","")&amp;IF(AND(EDATE($D31,Milestones!$AA$97)&lt;=AsOfDate,EDATE($D31,Milestones!$AA$97)&gt;=SchemeStart,IF($X31=0,$AD31,IF(AND($Z31&lt;&gt;"",EDATE($D31,Milestones!$AA$97)&gt;=$Z31),$AC31,IF(AND($Y31&lt;&gt;"",EDATE($D31,Milestones!$AA$97)&gt;=$Y31),$AB31,$AA31)))=Milestones!$AB$97),UPPER(TEXT(EDATE($D31,Milestones!$AA$97),"dd mmm yy"))&amp;" "&amp;Milestones!$AB$97&amp;" "&amp;IF(AND(Milestones!$AB$97="FT",Milestones!$AA$97=FT_Y5,EDATE($D31,Milestones!$AA$97)&lt;PolicyEff),1,Milestones!$AC$97)&amp;";  ","")&amp;IF(AND(EDATE($D31,Milestones!$AA$98)&lt;=AsOfDate,EDATE($D31,Milestones!$AA$98)&gt;=SchemeStart,IF($X31=0,$AD31,IF(AND($Z31&lt;&gt;"",EDATE($D31,Milestones!$AA$98)&gt;=$Z31),$AC31,IF(AND($Y31&lt;&gt;"",EDATE($D31,Milestones!$AA$98)&gt;=$Y31),$AB31,$AA31)))=Milestones!$AB$98),UPPER(TEXT(EDATE($D31,Milestones!$AA$98),"dd mmm yy"))&amp;" "&amp;Milestones!$AB$98&amp;" "&amp;IF(AND(Milestones!$AB$98="FT",Milestones!$AA$98=FT_Y5,EDATE($D31,Milestones!$AA$98)&lt;PolicyEff),1,Milestones!$AC$98)&amp;";  ","")&amp;IF(AND(EDATE($D31,Milestones!$AA$99)&lt;=AsOfDate,EDATE($D31,Milestones!$AA$99)&gt;=SchemeStart,IF($X31=0,$AD31,IF(AND($Z31&lt;&gt;"",EDATE($D31,Milestones!$AA$99)&gt;=$Z31),$AC31,IF(AND($Y31&lt;&gt;"",EDATE($D31,Milestones!$AA$99)&gt;=$Y31),$AB31,$AA31)))=Milestones!$AB$99),UPPER(TEXT(EDATE($D31,Milestones!$AA$99),"dd mmm yy"))&amp;" "&amp;Milestones!$AB$99&amp;" "&amp;IF(AND(Milestones!$AB$99="FT",Milestones!$AA$99=FT_Y5,EDATE($D31,Milestones!$AA$99)&lt;PolicyEff),1,Milestones!$AC$99)&amp;";  ","")&amp;IF(AND(EDATE($D31,Milestones!$AA$100)&lt;=AsOfDate,EDATE($D31,Milestones!$AA$100)&gt;=SchemeStart,IF($X31=0,$AD31,IF(AND($Z31&lt;&gt;"",EDATE($D31,Milestones!$AA$100)&gt;=$Z31),$AC31,IF(AND($Y31&lt;&gt;"",EDATE($D31,Milestones!$AA$100)&gt;=$Y31),$AB31,$AA31)))=Milestones!$AB$100),UPPER(TEXT(EDATE($D31,Milestones!$AA$100),"dd mmm yy"))&amp;" "&amp;Milestones!$AB$100&amp;" "&amp;IF(AND(Milestones!$AB$100="FT",Milestones!$AA$100=FT_Y5,EDATE($D31,Milestones!$AA$100)&lt;PolicyEff),1,Milestones!$AC$100)&amp;";  ","")&amp;IF(AND(EDATE($D31,Milestones!$AA$101)&lt;=AsOfDate,EDATE($D31,Milestones!$AA$101)&gt;=SchemeStart,IF($X31=0,$AD31,IF(AND($Z31&lt;&gt;"",EDATE($D31,Milestones!$AA$101)&gt;=$Z31),$AC31,IF(AND($Y31&lt;&gt;"",EDATE($D31,Milestones!$AA$101)&gt;=$Y31),$AB31,$AA31)))=Milestones!$AB$101),UPPER(TEXT(EDATE($D31,Milestones!$AA$101),"dd mmm yy"))&amp;" "&amp;Milestones!$AB$101&amp;" "&amp;IF(AND(Milestones!$AB$101="FT",Milestones!$AA$101=FT_Y5,EDATE($D31,Milestones!$AA$101)&lt;PolicyEff),1,Milestones!$AC$101)&amp;";  ","")&amp;IF(AND(EDATE($D31,Milestones!$AA$102)&lt;=AsOfDate,EDATE($D31,Milestones!$AA$102)&gt;=SchemeStart,IF($X31=0,$AD31,IF(AND($Z31&lt;&gt;"",EDATE($D31,Milestones!$AA$102)&gt;=$Z31),$AC31,IF(AND($Y31&lt;&gt;"",EDATE($D31,Milestones!$AA$102)&gt;=$Y31),$AB31,$AA31)))=Milestones!$AB$102),UPPER(TEXT(EDATE($D31,Milestones!$AA$102),"dd mmm yy"))&amp;" "&amp;Milestones!$AB$102&amp;" "&amp;IF(AND(Milestones!$AB$102="FT",Milestones!$AA$102=FT_Y5,EDATE($D31,Milestones!$AA$102)&lt;PolicyEff),1,Milestones!$AC$102)&amp;";  ","")&amp;IF(AND(EDATE($D31,Milestones!$AA$103)&lt;=AsOfDate,EDATE($D31,Milestones!$AA$103)&gt;=SchemeStart,IF($X31=0,$AD31,IF(AND($Z31&lt;&gt;"",EDATE($D31,Milestones!$AA$103)&gt;=$Z31),$AC31,IF(AND($Y31&lt;&gt;"",EDATE($D31,Milestones!$AA$103)&gt;=$Y31),$AB31,$AA31)))=Milestones!$AB$103),UPPER(TEXT(EDATE($D31,Milestones!$AA$103),"dd mmm yy"))&amp;" "&amp;Milestones!$AB$103&amp;" "&amp;IF(AND(Milestones!$AB$103="FT",Milestones!$AA$103=FT_Y5,EDATE($D31,Milestones!$AA$103)&lt;PolicyEff),1,Milestones!$AC$103)&amp;";  ",""))</f>
        <v/>
      </c>
      <c r="P31" s="0" t="str">
        <f aca="false">IF(OR($A31="",$D31=""),"",IF(AND(EDATE($D31,Milestones!$AA$104)&lt;=AsOfDate,EDATE($D31,Milestones!$AA$104)&gt;=SchemeStart,IF($X31=0,$AD31,IF(AND($Z31&lt;&gt;"",EDATE($D31,Milestones!$AA$104)&gt;=$Z31),$AC31,IF(AND($Y31&lt;&gt;"",EDATE($D31,Milestones!$AA$104)&gt;=$Y31),$AB31,$AA31)))=Milestones!$AB$104),UPPER(TEXT(EDATE($D31,Milestones!$AA$104),"dd mmm yy"))&amp;" "&amp;Milestones!$AB$104&amp;" "&amp;IF(AND(Milestones!$AB$104="FT",Milestones!$AA$104=FT_Y5,EDATE($D31,Milestones!$AA$104)&lt;PolicyEff),1,Milestones!$AC$104)&amp;";  ","")&amp;IF(AND(EDATE($D31,Milestones!$AA$105)&lt;=AsOfDate,EDATE($D31,Milestones!$AA$105)&gt;=SchemeStart,IF($X31=0,$AD31,IF(AND($Z31&lt;&gt;"",EDATE($D31,Milestones!$AA$105)&gt;=$Z31),$AC31,IF(AND($Y31&lt;&gt;"",EDATE($D31,Milestones!$AA$105)&gt;=$Y31),$AB31,$AA31)))=Milestones!$AB$105),UPPER(TEXT(EDATE($D31,Milestones!$AA$105),"dd mmm yy"))&amp;" "&amp;Milestones!$AB$105&amp;" "&amp;IF(AND(Milestones!$AB$105="FT",Milestones!$AA$105=FT_Y5,EDATE($D31,Milestones!$AA$105)&lt;PolicyEff),1,Milestones!$AC$105)&amp;";  ","")&amp;IF(AND(EDATE($D31,Milestones!$AA$106)&lt;=AsOfDate,EDATE($D31,Milestones!$AA$106)&gt;=SchemeStart,IF($X31=0,$AD31,IF(AND($Z31&lt;&gt;"",EDATE($D31,Milestones!$AA$106)&gt;=$Z31),$AC31,IF(AND($Y31&lt;&gt;"",EDATE($D31,Milestones!$AA$106)&gt;=$Y31),$AB31,$AA31)))=Milestones!$AB$106),UPPER(TEXT(EDATE($D31,Milestones!$AA$106),"dd mmm yy"))&amp;" "&amp;Milestones!$AB$106&amp;" "&amp;IF(AND(Milestones!$AB$106="FT",Milestones!$AA$106=FT_Y5,EDATE($D31,Milestones!$AA$106)&lt;PolicyEff),1,Milestones!$AC$106)&amp;";  ","")&amp;IF(AND(EDATE($D31,Milestones!$AA$107)&lt;=AsOfDate,EDATE($D31,Milestones!$AA$107)&gt;=SchemeStart,IF($X31=0,$AD31,IF(AND($Z31&lt;&gt;"",EDATE($D31,Milestones!$AA$107)&gt;=$Z31),$AC31,IF(AND($Y31&lt;&gt;"",EDATE($D31,Milestones!$AA$107)&gt;=$Y31),$AB31,$AA31)))=Milestones!$AB$107),UPPER(TEXT(EDATE($D31,Milestones!$AA$107),"dd mmm yy"))&amp;" "&amp;Milestones!$AB$107&amp;" "&amp;IF(AND(Milestones!$AB$107="FT",Milestones!$AA$107=FT_Y5,EDATE($D31,Milestones!$AA$107)&lt;PolicyEff),1,Milestones!$AC$107)&amp;";  ","")&amp;IF(AND(EDATE($D31,Milestones!$AA$108)&lt;=AsOfDate,EDATE($D31,Milestones!$AA$108)&gt;=SchemeStart,IF($X31=0,$AD31,IF(AND($Z31&lt;&gt;"",EDATE($D31,Milestones!$AA$108)&gt;=$Z31),$AC31,IF(AND($Y31&lt;&gt;"",EDATE($D31,Milestones!$AA$108)&gt;=$Y31),$AB31,$AA31)))=Milestones!$AB$108),UPPER(TEXT(EDATE($D31,Milestones!$AA$108),"dd mmm yy"))&amp;" "&amp;Milestones!$AB$108&amp;" "&amp;IF(AND(Milestones!$AB$108="FT",Milestones!$AA$108=FT_Y5,EDATE($D31,Milestones!$AA$108)&lt;PolicyEff),1,Milestones!$AC$108)&amp;";  ","")&amp;IF(AND(EDATE($D31,Milestones!$AA$109)&lt;=AsOfDate,EDATE($D31,Milestones!$AA$109)&gt;=SchemeStart,IF($X31=0,$AD31,IF(AND($Z31&lt;&gt;"",EDATE($D31,Milestones!$AA$109)&gt;=$Z31),$AC31,IF(AND($Y31&lt;&gt;"",EDATE($D31,Milestones!$AA$109)&gt;=$Y31),$AB31,$AA31)))=Milestones!$AB$109),UPPER(TEXT(EDATE($D31,Milestones!$AA$109),"dd mmm yy"))&amp;" "&amp;Milestones!$AB$109&amp;" "&amp;IF(AND(Milestones!$AB$109="FT",Milestones!$AA$109=FT_Y5,EDATE($D31,Milestones!$AA$109)&lt;PolicyEff),1,Milestones!$AC$109)&amp;";  ","")&amp;IF(AND(EDATE($D31,Milestones!$AA$110)&lt;=AsOfDate,EDATE($D31,Milestones!$AA$110)&gt;=SchemeStart,IF($X31=0,$AD31,IF(AND($Z31&lt;&gt;"",EDATE($D31,Milestones!$AA$110)&gt;=$Z31),$AC31,IF(AND($Y31&lt;&gt;"",EDATE($D31,Milestones!$AA$110)&gt;=$Y31),$AB31,$AA31)))=Milestones!$AB$110),UPPER(TEXT(EDATE($D31,Milestones!$AA$110),"dd mmm yy"))&amp;" "&amp;Milestones!$AB$110&amp;" "&amp;IF(AND(Milestones!$AB$110="FT",Milestones!$AA$110=FT_Y5,EDATE($D31,Milestones!$AA$110)&lt;PolicyEff),1,Milestones!$AC$110)&amp;";  ","")&amp;IF(AND(EDATE($D31,Milestones!$AA$111)&lt;=AsOfDate,EDATE($D31,Milestones!$AA$111)&gt;=SchemeStart,IF($X31=0,$AD31,IF(AND($Z31&lt;&gt;"",EDATE($D31,Milestones!$AA$111)&gt;=$Z31),$AC31,IF(AND($Y31&lt;&gt;"",EDATE($D31,Milestones!$AA$111)&gt;=$Y31),$AB31,$AA31)))=Milestones!$AB$111),UPPER(TEXT(EDATE($D31,Milestones!$AA$111),"dd mmm yy"))&amp;" "&amp;Milestones!$AB$111&amp;" "&amp;IF(AND(Milestones!$AB$111="FT",Milestones!$AA$111=FT_Y5,EDATE($D31,Milestones!$AA$111)&lt;PolicyEff),1,Milestones!$AC$111)&amp;";  ","")&amp;IF(AND(EDATE($D31,Milestones!$AA$112)&lt;=AsOfDate,EDATE($D31,Milestones!$AA$112)&gt;=SchemeStart,IF($X31=0,$AD31,IF(AND($Z31&lt;&gt;"",EDATE($D31,Milestones!$AA$112)&gt;=$Z31),$AC31,IF(AND($Y31&lt;&gt;"",EDATE($D31,Milestones!$AA$112)&gt;=$Y31),$AB31,$AA31)))=Milestones!$AB$112),UPPER(TEXT(EDATE($D31,Milestones!$AA$112),"dd mmm yy"))&amp;" "&amp;Milestones!$AB$112&amp;" "&amp;IF(AND(Milestones!$AB$112="FT",Milestones!$AA$112=FT_Y5,EDATE($D31,Milestones!$AA$112)&lt;PolicyEff),1,Milestones!$AC$112)&amp;";  ","")&amp;IF(AND(EDATE($D31,Milestones!$AA$113)&lt;=AsOfDate,EDATE($D31,Milestones!$AA$113)&gt;=SchemeStart,IF($X31=0,$AD31,IF(AND($Z31&lt;&gt;"",EDATE($D31,Milestones!$AA$113)&gt;=$Z31),$AC31,IF(AND($Y31&lt;&gt;"",EDATE($D31,Milestones!$AA$113)&gt;=$Y31),$AB31,$AA31)))=Milestones!$AB$113),UPPER(TEXT(EDATE($D31,Milestones!$AA$113),"dd mmm yy"))&amp;" "&amp;Milestones!$AB$113&amp;" "&amp;IF(AND(Milestones!$AB$113="FT",Milestones!$AA$113=FT_Y5,EDATE($D31,Milestones!$AA$113)&lt;PolicyEff),1,Milestones!$AC$113)&amp;";  ","")&amp;IF(AND(EDATE($D31,Milestones!$AA$114)&lt;=AsOfDate,EDATE($D31,Milestones!$AA$114)&gt;=SchemeStart,IF($X31=0,$AD31,IF(AND($Z31&lt;&gt;"",EDATE($D31,Milestones!$AA$114)&gt;=$Z31),$AC31,IF(AND($Y31&lt;&gt;"",EDATE($D31,Milestones!$AA$114)&gt;=$Y31),$AB31,$AA31)))=Milestones!$AB$114),UPPER(TEXT(EDATE($D31,Milestones!$AA$114),"dd mmm yy"))&amp;" "&amp;Milestones!$AB$114&amp;" "&amp;IF(AND(Milestones!$AB$114="FT",Milestones!$AA$114=FT_Y5,EDATE($D31,Milestones!$AA$114)&lt;PolicyEff),1,Milestones!$AC$114)&amp;";  ","")&amp;IF(AND(EDATE($D31,Milestones!$AA$115)&lt;=AsOfDate,EDATE($D31,Milestones!$AA$115)&gt;=SchemeStart,IF($X31=0,$AD31,IF(AND($Z31&lt;&gt;"",EDATE($D31,Milestones!$AA$115)&gt;=$Z31),$AC31,IF(AND($Y31&lt;&gt;"",EDATE($D31,Milestones!$AA$115)&gt;=$Y31),$AB31,$AA31)))=Milestones!$AB$115),UPPER(TEXT(EDATE($D31,Milestones!$AA$115),"dd mmm yy"))&amp;" "&amp;Milestones!$AB$115&amp;" "&amp;IF(AND(Milestones!$AB$115="FT",Milestones!$AA$115=FT_Y5,EDATE($D31,Milestones!$AA$115)&lt;PolicyEff),1,Milestones!$AC$115)&amp;";  ",""))</f>
        <v/>
      </c>
      <c r="Q31" s="0" t="str">
        <f aca="false">IF(OR($A31="",$D31=""),"",IF(AND(EDATE($D31,Milestones!$AA$116)&lt;=AsOfDate,EDATE($D31,Milestones!$AA$116)&gt;=SchemeStart,IF($X31=0,$AD31,IF(AND($Z31&lt;&gt;"",EDATE($D31,Milestones!$AA$116)&gt;=$Z31),$AC31,IF(AND($Y31&lt;&gt;"",EDATE($D31,Milestones!$AA$116)&gt;=$Y31),$AB31,$AA31)))=Milestones!$AB$116),UPPER(TEXT(EDATE($D31,Milestones!$AA$116),"dd mmm yy"))&amp;" "&amp;Milestones!$AB$116&amp;" "&amp;IF(AND(Milestones!$AB$116="FT",Milestones!$AA$116=FT_Y5,EDATE($D31,Milestones!$AA$116)&lt;PolicyEff),1,Milestones!$AC$116)&amp;";  ","")&amp;IF(AND(EDATE($D31,Milestones!$AA$117)&lt;=AsOfDate,EDATE($D31,Milestones!$AA$117)&gt;=SchemeStart,IF($X31=0,$AD31,IF(AND($Z31&lt;&gt;"",EDATE($D31,Milestones!$AA$117)&gt;=$Z31),$AC31,IF(AND($Y31&lt;&gt;"",EDATE($D31,Milestones!$AA$117)&gt;=$Y31),$AB31,$AA31)))=Milestones!$AB$117),UPPER(TEXT(EDATE($D31,Milestones!$AA$117),"dd mmm yy"))&amp;" "&amp;Milestones!$AB$117&amp;" "&amp;IF(AND(Milestones!$AB$117="FT",Milestones!$AA$117=FT_Y5,EDATE($D31,Milestones!$AA$117)&lt;PolicyEff),1,Milestones!$AC$117)&amp;";  ","")&amp;IF(AND(EDATE($D31,Milestones!$AA$118)&lt;=AsOfDate,EDATE($D31,Milestones!$AA$118)&gt;=SchemeStart,IF($X31=0,$AD31,IF(AND($Z31&lt;&gt;"",EDATE($D31,Milestones!$AA$118)&gt;=$Z31),$AC31,IF(AND($Y31&lt;&gt;"",EDATE($D31,Milestones!$AA$118)&gt;=$Y31),$AB31,$AA31)))=Milestones!$AB$118),UPPER(TEXT(EDATE($D31,Milestones!$AA$118),"dd mmm yy"))&amp;" "&amp;Milestones!$AB$118&amp;" "&amp;IF(AND(Milestones!$AB$118="FT",Milestones!$AA$118=FT_Y5,EDATE($D31,Milestones!$AA$118)&lt;PolicyEff),1,Milestones!$AC$118)&amp;";  ","")&amp;IF(AND(EDATE($D31,Milestones!$AA$119)&lt;=AsOfDate,EDATE($D31,Milestones!$AA$119)&gt;=SchemeStart,IF($X31=0,$AD31,IF(AND($Z31&lt;&gt;"",EDATE($D31,Milestones!$AA$119)&gt;=$Z31),$AC31,IF(AND($Y31&lt;&gt;"",EDATE($D31,Milestones!$AA$119)&gt;=$Y31),$AB31,$AA31)))=Milestones!$AB$119),UPPER(TEXT(EDATE($D31,Milestones!$AA$119),"dd mmm yy"))&amp;" "&amp;Milestones!$AB$119&amp;" "&amp;IF(AND(Milestones!$AB$119="FT",Milestones!$AA$119=FT_Y5,EDATE($D31,Milestones!$AA$119)&lt;PolicyEff),1,Milestones!$AC$119)&amp;";  ","")&amp;IF(AND(EDATE($D31,Milestones!$AA$120)&lt;=AsOfDate,EDATE($D31,Milestones!$AA$120)&gt;=SchemeStart,IF($X31=0,$AD31,IF(AND($Z31&lt;&gt;"",EDATE($D31,Milestones!$AA$120)&gt;=$Z31),$AC31,IF(AND($Y31&lt;&gt;"",EDATE($D31,Milestones!$AA$120)&gt;=$Y31),$AB31,$AA31)))=Milestones!$AB$120),UPPER(TEXT(EDATE($D31,Milestones!$AA$120),"dd mmm yy"))&amp;" "&amp;Milestones!$AB$120&amp;" "&amp;IF(AND(Milestones!$AB$120="FT",Milestones!$AA$120=FT_Y5,EDATE($D31,Milestones!$AA$120)&lt;PolicyEff),1,Milestones!$AC$120)&amp;";  ","")&amp;IF(AND(EDATE($D31,Milestones!$AA$121)&lt;=AsOfDate,EDATE($D31,Milestones!$AA$121)&gt;=SchemeStart,IF($X31=0,$AD31,IF(AND($Z31&lt;&gt;"",EDATE($D31,Milestones!$AA$121)&gt;=$Z31),$AC31,IF(AND($Y31&lt;&gt;"",EDATE($D31,Milestones!$AA$121)&gt;=$Y31),$AB31,$AA31)))=Milestones!$AB$121),UPPER(TEXT(EDATE($D31,Milestones!$AA$121),"dd mmm yy"))&amp;" "&amp;Milestones!$AB$121&amp;" "&amp;IF(AND(Milestones!$AB$121="FT",Milestones!$AA$121=FT_Y5,EDATE($D31,Milestones!$AA$121)&lt;PolicyEff),1,Milestones!$AC$121)&amp;";  ","")&amp;IF(AND(EDATE($D31,Milestones!$AA$122)&lt;=AsOfDate,EDATE($D31,Milestones!$AA$122)&gt;=SchemeStart,IF($X31=0,$AD31,IF(AND($Z31&lt;&gt;"",EDATE($D31,Milestones!$AA$122)&gt;=$Z31),$AC31,IF(AND($Y31&lt;&gt;"",EDATE($D31,Milestones!$AA$122)&gt;=$Y31),$AB31,$AA31)))=Milestones!$AB$122),UPPER(TEXT(EDATE($D31,Milestones!$AA$122),"dd mmm yy"))&amp;" "&amp;Milestones!$AB$122&amp;" "&amp;IF(AND(Milestones!$AB$122="FT",Milestones!$AA$122=FT_Y5,EDATE($D31,Milestones!$AA$122)&lt;PolicyEff),1,Milestones!$AC$122)&amp;";  ","")&amp;IF(AND(EDATE($D31,Milestones!$AA$123)&lt;=AsOfDate,EDATE($D31,Milestones!$AA$123)&gt;=SchemeStart,IF($X31=0,$AD31,IF(AND($Z31&lt;&gt;"",EDATE($D31,Milestones!$AA$123)&gt;=$Z31),$AC31,IF(AND($Y31&lt;&gt;"",EDATE($D31,Milestones!$AA$123)&gt;=$Y31),$AB31,$AA31)))=Milestones!$AB$123),UPPER(TEXT(EDATE($D31,Milestones!$AA$123),"dd mmm yy"))&amp;" "&amp;Milestones!$AB$123&amp;" "&amp;IF(AND(Milestones!$AB$123="FT",Milestones!$AA$123=FT_Y5,EDATE($D31,Milestones!$AA$123)&lt;PolicyEff),1,Milestones!$AC$123)&amp;";  ","")&amp;IF(AND(EDATE($D31,Milestones!$AA$124)&lt;=AsOfDate,EDATE($D31,Milestones!$AA$124)&gt;=SchemeStart,IF($X31=0,$AD31,IF(AND($Z31&lt;&gt;"",EDATE($D31,Milestones!$AA$124)&gt;=$Z31),$AC31,IF(AND($Y31&lt;&gt;"",EDATE($D31,Milestones!$AA$124)&gt;=$Y31),$AB31,$AA31)))=Milestones!$AB$124),UPPER(TEXT(EDATE($D31,Milestones!$AA$124),"dd mmm yy"))&amp;" "&amp;Milestones!$AB$124&amp;" "&amp;IF(AND(Milestones!$AB$124="FT",Milestones!$AA$124=FT_Y5,EDATE($D31,Milestones!$AA$124)&lt;PolicyEff),1,Milestones!$AC$124)&amp;";  ","")&amp;IF(AND(EDATE($D31,Milestones!$AA$125)&lt;=AsOfDate,EDATE($D31,Milestones!$AA$125)&gt;=SchemeStart,IF($X31=0,$AD31,IF(AND($Z31&lt;&gt;"",EDATE($D31,Milestones!$AA$125)&gt;=$Z31),$AC31,IF(AND($Y31&lt;&gt;"",EDATE($D31,Milestones!$AA$125)&gt;=$Y31),$AB31,$AA31)))=Milestones!$AB$125),UPPER(TEXT(EDATE($D31,Milestones!$AA$125),"dd mmm yy"))&amp;" "&amp;Milestones!$AB$125&amp;" "&amp;IF(AND(Milestones!$AB$125="FT",Milestones!$AA$125=FT_Y5,EDATE($D31,Milestones!$AA$125)&lt;PolicyEff),1,Milestones!$AC$125)&amp;";  ","")&amp;IF(AND(EDATE($D31,Milestones!$AA$126)&lt;=AsOfDate,EDATE($D31,Milestones!$AA$126)&gt;=SchemeStart,IF($X31=0,$AD31,IF(AND($Z31&lt;&gt;"",EDATE($D31,Milestones!$AA$126)&gt;=$Z31),$AC31,IF(AND($Y31&lt;&gt;"",EDATE($D31,Milestones!$AA$126)&gt;=$Y31),$AB31,$AA31)))=Milestones!$AB$126),UPPER(TEXT(EDATE($D31,Milestones!$AA$126),"dd mmm yy"))&amp;" "&amp;Milestones!$AB$126&amp;" "&amp;IF(AND(Milestones!$AB$126="FT",Milestones!$AA$126=FT_Y5,EDATE($D31,Milestones!$AA$126)&lt;PolicyEff),1,Milestones!$AC$126)&amp;";  ","")&amp;IF(AND(EDATE($D31,Milestones!$AA$127)&lt;=AsOfDate,EDATE($D31,Milestones!$AA$127)&gt;=SchemeStart,IF($X31=0,$AD31,IF(AND($Z31&lt;&gt;"",EDATE($D31,Milestones!$AA$127)&gt;=$Z31),$AC31,IF(AND($Y31&lt;&gt;"",EDATE($D31,Milestones!$AA$127)&gt;=$Y31),$AB31,$AA31)))=Milestones!$AB$127),UPPER(TEXT(EDATE($D31,Milestones!$AA$127),"dd mmm yy"))&amp;" "&amp;Milestones!$AB$127&amp;" "&amp;IF(AND(Milestones!$AB$127="FT",Milestones!$AA$127=FT_Y5,EDATE($D31,Milestones!$AA$127)&lt;PolicyEff),1,Milestones!$AC$127)&amp;";  ",""))</f>
        <v/>
      </c>
      <c r="R31" s="0" t="str">
        <f aca="false">IF(OR($A31="",$D31=""),"",IF(AND(EDATE($D31,Milestones!$AA$128)&lt;=AsOfDate,EDATE($D31,Milestones!$AA$128)&gt;=SchemeStart,IF($X31=0,$AD31,IF(AND($Z31&lt;&gt;"",EDATE($D31,Milestones!$AA$128)&gt;=$Z31),$AC31,IF(AND($Y31&lt;&gt;"",EDATE($D31,Milestones!$AA$128)&gt;=$Y31),$AB31,$AA31)))=Milestones!$AB$128),UPPER(TEXT(EDATE($D31,Milestones!$AA$128),"dd mmm yy"))&amp;" "&amp;Milestones!$AB$128&amp;" "&amp;IF(AND(Milestones!$AB$128="FT",Milestones!$AA$128=FT_Y5,EDATE($D31,Milestones!$AA$128)&lt;PolicyEff),1,Milestones!$AC$128)&amp;";  ","")&amp;IF(AND(EDATE($D31,Milestones!$AA$129)&lt;=AsOfDate,EDATE($D31,Milestones!$AA$129)&gt;=SchemeStart,IF($X31=0,$AD31,IF(AND($Z31&lt;&gt;"",EDATE($D31,Milestones!$AA$129)&gt;=$Z31),$AC31,IF(AND($Y31&lt;&gt;"",EDATE($D31,Milestones!$AA$129)&gt;=$Y31),$AB31,$AA31)))=Milestones!$AB$129),UPPER(TEXT(EDATE($D31,Milestones!$AA$129),"dd mmm yy"))&amp;" "&amp;Milestones!$AB$129&amp;" "&amp;IF(AND(Milestones!$AB$129="FT",Milestones!$AA$129=FT_Y5,EDATE($D31,Milestones!$AA$129)&lt;PolicyEff),1,Milestones!$AC$129)&amp;";  ","")&amp;IF(AND(EDATE($D31,Milestones!$AA$130)&lt;=AsOfDate,EDATE($D31,Milestones!$AA$130)&gt;=SchemeStart,IF($X31=0,$AD31,IF(AND($Z31&lt;&gt;"",EDATE($D31,Milestones!$AA$130)&gt;=$Z31),$AC31,IF(AND($Y31&lt;&gt;"",EDATE($D31,Milestones!$AA$130)&gt;=$Y31),$AB31,$AA31)))=Milestones!$AB$130),UPPER(TEXT(EDATE($D31,Milestones!$AA$130),"dd mmm yy"))&amp;" "&amp;Milestones!$AB$130&amp;" "&amp;IF(AND(Milestones!$AB$130="FT",Milestones!$AA$130=FT_Y5,EDATE($D31,Milestones!$AA$130)&lt;PolicyEff),1,Milestones!$AC$130)&amp;";  ","")&amp;IF(AND(EDATE($D31,Milestones!$AA$131)&lt;=AsOfDate,EDATE($D31,Milestones!$AA$131)&gt;=SchemeStart,IF($X31=0,$AD31,IF(AND($Z31&lt;&gt;"",EDATE($D31,Milestones!$AA$131)&gt;=$Z31),$AC31,IF(AND($Y31&lt;&gt;"",EDATE($D31,Milestones!$AA$131)&gt;=$Y31),$AB31,$AA31)))=Milestones!$AB$131),UPPER(TEXT(EDATE($D31,Milestones!$AA$131),"dd mmm yy"))&amp;" "&amp;Milestones!$AB$131&amp;" "&amp;IF(AND(Milestones!$AB$131="FT",Milestones!$AA$131=FT_Y5,EDATE($D31,Milestones!$AA$131)&lt;PolicyEff),1,Milestones!$AC$131)&amp;";  ","")&amp;IF(AND(EDATE($D31,Milestones!$AA$132)&lt;=AsOfDate,EDATE($D31,Milestones!$AA$132)&gt;=SchemeStart,IF($X31=0,$AD31,IF(AND($Z31&lt;&gt;"",EDATE($D31,Milestones!$AA$132)&gt;=$Z31),$AC31,IF(AND($Y31&lt;&gt;"",EDATE($D31,Milestones!$AA$132)&gt;=$Y31),$AB31,$AA31)))=Milestones!$AB$132),UPPER(TEXT(EDATE($D31,Milestones!$AA$132),"dd mmm yy"))&amp;" "&amp;Milestones!$AB$132&amp;" "&amp;IF(AND(Milestones!$AB$132="FT",Milestones!$AA$132=FT_Y5,EDATE($D31,Milestones!$AA$132)&lt;PolicyEff),1,Milestones!$AC$132)&amp;";  ","")&amp;IF(AND(EDATE($D31,Milestones!$AA$133)&lt;=AsOfDate,EDATE($D31,Milestones!$AA$133)&gt;=SchemeStart,IF($X31=0,$AD31,IF(AND($Z31&lt;&gt;"",EDATE($D31,Milestones!$AA$133)&gt;=$Z31),$AC31,IF(AND($Y31&lt;&gt;"",EDATE($D31,Milestones!$AA$133)&gt;=$Y31),$AB31,$AA31)))=Milestones!$AB$133),UPPER(TEXT(EDATE($D31,Milestones!$AA$133),"dd mmm yy"))&amp;" "&amp;Milestones!$AB$133&amp;" "&amp;IF(AND(Milestones!$AB$133="FT",Milestones!$AA$133=FT_Y5,EDATE($D31,Milestones!$AA$133)&lt;PolicyEff),1,Milestones!$AC$133)&amp;";  ","")&amp;IF(AND(EDATE($D31,Milestones!$AA$134)&lt;=AsOfDate,EDATE($D31,Milestones!$AA$134)&gt;=SchemeStart,IF($X31=0,$AD31,IF(AND($Z31&lt;&gt;"",EDATE($D31,Milestones!$AA$134)&gt;=$Z31),$AC31,IF(AND($Y31&lt;&gt;"",EDATE($D31,Milestones!$AA$134)&gt;=$Y31),$AB31,$AA31)))=Milestones!$AB$134),UPPER(TEXT(EDATE($D31,Milestones!$AA$134),"dd mmm yy"))&amp;" "&amp;Milestones!$AB$134&amp;" "&amp;IF(AND(Milestones!$AB$134="FT",Milestones!$AA$134=FT_Y5,EDATE($D31,Milestones!$AA$134)&lt;PolicyEff),1,Milestones!$AC$134)&amp;";  ","")&amp;IF(AND(EDATE($D31,Milestones!$AA$135)&lt;=AsOfDate,EDATE($D31,Milestones!$AA$135)&gt;=SchemeStart,IF($X31=0,$AD31,IF(AND($Z31&lt;&gt;"",EDATE($D31,Milestones!$AA$135)&gt;=$Z31),$AC31,IF(AND($Y31&lt;&gt;"",EDATE($D31,Milestones!$AA$135)&gt;=$Y31),$AB31,$AA31)))=Milestones!$AB$135),UPPER(TEXT(EDATE($D31,Milestones!$AA$135),"dd mmm yy"))&amp;" "&amp;Milestones!$AB$135&amp;" "&amp;IF(AND(Milestones!$AB$135="FT",Milestones!$AA$135=FT_Y5,EDATE($D31,Milestones!$AA$135)&lt;PolicyEff),1,Milestones!$AC$135)&amp;";  ","")&amp;IF(AND(EDATE($D31,Milestones!$AA$136)&lt;=AsOfDate,EDATE($D31,Milestones!$AA$136)&gt;=SchemeStart,IF($X31=0,$AD31,IF(AND($Z31&lt;&gt;"",EDATE($D31,Milestones!$AA$136)&gt;=$Z31),$AC31,IF(AND($Y31&lt;&gt;"",EDATE($D31,Milestones!$AA$136)&gt;=$Y31),$AB31,$AA31)))=Milestones!$AB$136),UPPER(TEXT(EDATE($D31,Milestones!$AA$136),"dd mmm yy"))&amp;" "&amp;Milestones!$AB$136&amp;" "&amp;IF(AND(Milestones!$AB$136="FT",Milestones!$AA$136=FT_Y5,EDATE($D31,Milestones!$AA$136)&lt;PolicyEff),1,Milestones!$AC$136)&amp;";  ","")&amp;IF(AND(EDATE($D31,Milestones!$AA$137)&lt;=AsOfDate,EDATE($D31,Milestones!$AA$137)&gt;=SchemeStart,IF($X31=0,$AD31,IF(AND($Z31&lt;&gt;"",EDATE($D31,Milestones!$AA$137)&gt;=$Z31),$AC31,IF(AND($Y31&lt;&gt;"",EDATE($D31,Milestones!$AA$137)&gt;=$Y31),$AB31,$AA31)))=Milestones!$AB$137),UPPER(TEXT(EDATE($D31,Milestones!$AA$137),"dd mmm yy"))&amp;" "&amp;Milestones!$AB$137&amp;" "&amp;IF(AND(Milestones!$AB$137="FT",Milestones!$AA$137=FT_Y5,EDATE($D31,Milestones!$AA$137)&lt;PolicyEff),1,Milestones!$AC$137)&amp;";  ","")&amp;IF(AND(EDATE($D31,Milestones!$AA$138)&lt;=AsOfDate,EDATE($D31,Milestones!$AA$138)&gt;=SchemeStart,IF($X31=0,$AD31,IF(AND($Z31&lt;&gt;"",EDATE($D31,Milestones!$AA$138)&gt;=$Z31),$AC31,IF(AND($Y31&lt;&gt;"",EDATE($D31,Milestones!$AA$138)&gt;=$Y31),$AB31,$AA31)))=Milestones!$AB$138),UPPER(TEXT(EDATE($D31,Milestones!$AA$138),"dd mmm yy"))&amp;" "&amp;Milestones!$AB$138&amp;" "&amp;IF(AND(Milestones!$AB$138="FT",Milestones!$AA$138=FT_Y5,EDATE($D31,Milestones!$AA$138)&lt;PolicyEff),1,Milestones!$AC$138)&amp;";  ","")&amp;IF(AND(EDATE($D31,Milestones!$AA$139)&lt;=AsOfDate,EDATE($D31,Milestones!$AA$139)&gt;=SchemeStart,IF($X31=0,$AD31,IF(AND($Z31&lt;&gt;"",EDATE($D31,Milestones!$AA$139)&gt;=$Z31),$AC31,IF(AND($Y31&lt;&gt;"",EDATE($D31,Milestones!$AA$139)&gt;=$Y31),$AB31,$AA31)))=Milestones!$AB$139),UPPER(TEXT(EDATE($D31,Milestones!$AA$139),"dd mmm yy"))&amp;" "&amp;Milestones!$AB$139&amp;" "&amp;IF(AND(Milestones!$AB$139="FT",Milestones!$AA$139=FT_Y5,EDATE($D31,Milestones!$AA$139)&lt;PolicyEff),1,Milestones!$AC$139)&amp;";  ",""))</f>
        <v/>
      </c>
      <c r="S31" s="0" t="str">
        <f aca="false">IF(OR($A31="",$D31=""),"",IF(AND(EDATE($D31,Milestones!$AA$140)&lt;=AsOfDate,EDATE($D31,Milestones!$AA$140)&gt;=SchemeStart,IF($X31=0,$AD31,IF(AND($Z31&lt;&gt;"",EDATE($D31,Milestones!$AA$140)&gt;=$Z31),$AC31,IF(AND($Y31&lt;&gt;"",EDATE($D31,Milestones!$AA$140)&gt;=$Y31),$AB31,$AA31)))=Milestones!$AB$140),UPPER(TEXT(EDATE($D31,Milestones!$AA$140),"dd mmm yy"))&amp;" "&amp;Milestones!$AB$140&amp;" "&amp;IF(AND(Milestones!$AB$140="FT",Milestones!$AA$140=FT_Y5,EDATE($D31,Milestones!$AA$140)&lt;PolicyEff),1,Milestones!$AC$140)&amp;";  ","")&amp;IF(AND(EDATE($D31,Milestones!$AA$141)&lt;=AsOfDate,EDATE($D31,Milestones!$AA$141)&gt;=SchemeStart,IF($X31=0,$AD31,IF(AND($Z31&lt;&gt;"",EDATE($D31,Milestones!$AA$141)&gt;=$Z31),$AC31,IF(AND($Y31&lt;&gt;"",EDATE($D31,Milestones!$AA$141)&gt;=$Y31),$AB31,$AA31)))=Milestones!$AB$141),UPPER(TEXT(EDATE($D31,Milestones!$AA$141),"dd mmm yy"))&amp;" "&amp;Milestones!$AB$141&amp;" "&amp;IF(AND(Milestones!$AB$141="FT",Milestones!$AA$141=FT_Y5,EDATE($D31,Milestones!$AA$141)&lt;PolicyEff),1,Milestones!$AC$141)&amp;";  ","")&amp;IF(AND(EDATE($D31,Milestones!$AA$142)&lt;=AsOfDate,EDATE($D31,Milestones!$AA$142)&gt;=SchemeStart,IF($X31=0,$AD31,IF(AND($Z31&lt;&gt;"",EDATE($D31,Milestones!$AA$142)&gt;=$Z31),$AC31,IF(AND($Y31&lt;&gt;"",EDATE($D31,Milestones!$AA$142)&gt;=$Y31),$AB31,$AA31)))=Milestones!$AB$142),UPPER(TEXT(EDATE($D31,Milestones!$AA$142),"dd mmm yy"))&amp;" "&amp;Milestones!$AB$142&amp;" "&amp;IF(AND(Milestones!$AB$142="FT",Milestones!$AA$142=FT_Y5,EDATE($D31,Milestones!$AA$142)&lt;PolicyEff),1,Milestones!$AC$142)&amp;";  ","")&amp;IF(AND(EDATE($D31,Milestones!$AA$143)&lt;=AsOfDate,EDATE($D31,Milestones!$AA$143)&gt;=SchemeStart,IF($X31=0,$AD31,IF(AND($Z31&lt;&gt;"",EDATE($D31,Milestones!$AA$143)&gt;=$Z31),$AC31,IF(AND($Y31&lt;&gt;"",EDATE($D31,Milestones!$AA$143)&gt;=$Y31),$AB31,$AA31)))=Milestones!$AB$143),UPPER(TEXT(EDATE($D31,Milestones!$AA$143),"dd mmm yy"))&amp;" "&amp;Milestones!$AB$143&amp;" "&amp;IF(AND(Milestones!$AB$143="FT",Milestones!$AA$143=FT_Y5,EDATE($D31,Milestones!$AA$143)&lt;PolicyEff),1,Milestones!$AC$143)&amp;";  ","")&amp;IF(AND(EDATE($D31,Milestones!$AA$144)&lt;=AsOfDate,EDATE($D31,Milestones!$AA$144)&gt;=SchemeStart,IF($X31=0,$AD31,IF(AND($Z31&lt;&gt;"",EDATE($D31,Milestones!$AA$144)&gt;=$Z31),$AC31,IF(AND($Y31&lt;&gt;"",EDATE($D31,Milestones!$AA$144)&gt;=$Y31),$AB31,$AA31)))=Milestones!$AB$144),UPPER(TEXT(EDATE($D31,Milestones!$AA$144),"dd mmm yy"))&amp;" "&amp;Milestones!$AB$144&amp;" "&amp;IF(AND(Milestones!$AB$144="FT",Milestones!$AA$144=FT_Y5,EDATE($D31,Milestones!$AA$144)&lt;PolicyEff),1,Milestones!$AC$144)&amp;";  ","")&amp;IF(AND(EDATE($D31,Milestones!$AA$145)&lt;=AsOfDate,EDATE($D31,Milestones!$AA$145)&gt;=SchemeStart,IF($X31=0,$AD31,IF(AND($Z31&lt;&gt;"",EDATE($D31,Milestones!$AA$145)&gt;=$Z31),$AC31,IF(AND($Y31&lt;&gt;"",EDATE($D31,Milestones!$AA$145)&gt;=$Y31),$AB31,$AA31)))=Milestones!$AB$145),UPPER(TEXT(EDATE($D31,Milestones!$AA$145),"dd mmm yy"))&amp;" "&amp;Milestones!$AB$145&amp;" "&amp;IF(AND(Milestones!$AB$145="FT",Milestones!$AA$145=FT_Y5,EDATE($D31,Milestones!$AA$145)&lt;PolicyEff),1,Milestones!$AC$145)&amp;";  ","")&amp;IF(AND(EDATE($D31,Milestones!$AA$146)&lt;=AsOfDate,EDATE($D31,Milestones!$AA$146)&gt;=SchemeStart,IF($X31=0,$AD31,IF(AND($Z31&lt;&gt;"",EDATE($D31,Milestones!$AA$146)&gt;=$Z31),$AC31,IF(AND($Y31&lt;&gt;"",EDATE($D31,Milestones!$AA$146)&gt;=$Y31),$AB31,$AA31)))=Milestones!$AB$146),UPPER(TEXT(EDATE($D31,Milestones!$AA$146),"dd mmm yy"))&amp;" "&amp;Milestones!$AB$146&amp;" "&amp;IF(AND(Milestones!$AB$146="FT",Milestones!$AA$146=FT_Y5,EDATE($D31,Milestones!$AA$146)&lt;PolicyEff),1,Milestones!$AC$146)&amp;";  ","")&amp;IF(AND(EDATE($D31,Milestones!$AA$147)&lt;=AsOfDate,EDATE($D31,Milestones!$AA$147)&gt;=SchemeStart,IF($X31=0,$AD31,IF(AND($Z31&lt;&gt;"",EDATE($D31,Milestones!$AA$147)&gt;=$Z31),$AC31,IF(AND($Y31&lt;&gt;"",EDATE($D31,Milestones!$AA$147)&gt;=$Y31),$AB31,$AA31)))=Milestones!$AB$147),UPPER(TEXT(EDATE($D31,Milestones!$AA$147),"dd mmm yy"))&amp;" "&amp;Milestones!$AB$147&amp;" "&amp;IF(AND(Milestones!$AB$147="FT",Milestones!$AA$147=FT_Y5,EDATE($D31,Milestones!$AA$147)&lt;PolicyEff),1,Milestones!$AC$147)&amp;";  ","")&amp;IF(AND(EDATE($D31,Milestones!$AA$148)&lt;=AsOfDate,EDATE($D31,Milestones!$AA$148)&gt;=SchemeStart,IF($X31=0,$AD31,IF(AND($Z31&lt;&gt;"",EDATE($D31,Milestones!$AA$148)&gt;=$Z31),$AC31,IF(AND($Y31&lt;&gt;"",EDATE($D31,Milestones!$AA$148)&gt;=$Y31),$AB31,$AA31)))=Milestones!$AB$148),UPPER(TEXT(EDATE($D31,Milestones!$AA$148),"dd mmm yy"))&amp;" "&amp;Milestones!$AB$148&amp;" "&amp;IF(AND(Milestones!$AB$148="FT",Milestones!$AA$148=FT_Y5,EDATE($D31,Milestones!$AA$148)&lt;PolicyEff),1,Milestones!$AC$148)&amp;";  ","")&amp;IF(AND(EDATE($D31,Milestones!$AA$149)&lt;=AsOfDate,EDATE($D31,Milestones!$AA$149)&gt;=SchemeStart,IF($X31=0,$AD31,IF(AND($Z31&lt;&gt;"",EDATE($D31,Milestones!$AA$149)&gt;=$Z31),$AC31,IF(AND($Y31&lt;&gt;"",EDATE($D31,Milestones!$AA$149)&gt;=$Y31),$AB31,$AA31)))=Milestones!$AB$149),UPPER(TEXT(EDATE($D31,Milestones!$AA$149),"dd mmm yy"))&amp;" "&amp;Milestones!$AB$149&amp;" "&amp;IF(AND(Milestones!$AB$149="FT",Milestones!$AA$149=FT_Y5,EDATE($D31,Milestones!$AA$149)&lt;PolicyEff),1,Milestones!$AC$149)&amp;";  ","")&amp;IF(AND(EDATE($D31,Milestones!$AA$150)&lt;=AsOfDate,EDATE($D31,Milestones!$AA$150)&gt;=SchemeStart,IF($X31=0,$AD31,IF(AND($Z31&lt;&gt;"",EDATE($D31,Milestones!$AA$150)&gt;=$Z31),$AC31,IF(AND($Y31&lt;&gt;"",EDATE($D31,Milestones!$AA$150)&gt;=$Y31),$AB31,$AA31)))=Milestones!$AB$150),UPPER(TEXT(EDATE($D31,Milestones!$AA$150),"dd mmm yy"))&amp;" "&amp;Milestones!$AB$150&amp;" "&amp;IF(AND(Milestones!$AB$150="FT",Milestones!$AA$150=FT_Y5,EDATE($D31,Milestones!$AA$150)&lt;PolicyEff),1,Milestones!$AC$150)&amp;";  ","")&amp;IF(AND(EDATE($D31,Milestones!$AA$151)&lt;=AsOfDate,EDATE($D31,Milestones!$AA$151)&gt;=SchemeStart,IF($X31=0,$AD31,IF(AND($Z31&lt;&gt;"",EDATE($D31,Milestones!$AA$151)&gt;=$Z31),$AC31,IF(AND($Y31&lt;&gt;"",EDATE($D31,Milestones!$AA$151)&gt;=$Y31),$AB31,$AA31)))=Milestones!$AB$151),UPPER(TEXT(EDATE($D31,Milestones!$AA$151),"dd mmm yy"))&amp;" "&amp;Milestones!$AB$151&amp;" "&amp;IF(AND(Milestones!$AB$151="FT",Milestones!$AA$151=FT_Y5,EDATE($D31,Milestones!$AA$151)&lt;PolicyEff),1,Milestones!$AC$151)&amp;";  ",""))</f>
        <v/>
      </c>
      <c r="T31" s="0" t="str">
        <f aca="false">IF(OR($A31="",$D31=""),"",IF(AND(EDATE($D31,Milestones!$AA$152)&lt;=AsOfDate,EDATE($D31,Milestones!$AA$152)&gt;=SchemeStart,IF($X31=0,$AD31,IF(AND($Z31&lt;&gt;"",EDATE($D31,Milestones!$AA$152)&gt;=$Z31),$AC31,IF(AND($Y31&lt;&gt;"",EDATE($D31,Milestones!$AA$152)&gt;=$Y31),$AB31,$AA31)))=Milestones!$AB$152),UPPER(TEXT(EDATE($D31,Milestones!$AA$152),"dd mmm yy"))&amp;" "&amp;Milestones!$AB$152&amp;" "&amp;IF(AND(Milestones!$AB$152="FT",Milestones!$AA$152=FT_Y5,EDATE($D31,Milestones!$AA$152)&lt;PolicyEff),1,Milestones!$AC$152)&amp;";  ","")&amp;IF(AND(EDATE($D31,Milestones!$AA$153)&lt;=AsOfDate,EDATE($D31,Milestones!$AA$153)&gt;=SchemeStart,IF($X31=0,$AD31,IF(AND($Z31&lt;&gt;"",EDATE($D31,Milestones!$AA$153)&gt;=$Z31),$AC31,IF(AND($Y31&lt;&gt;"",EDATE($D31,Milestones!$AA$153)&gt;=$Y31),$AB31,$AA31)))=Milestones!$AB$153),UPPER(TEXT(EDATE($D31,Milestones!$AA$153),"dd mmm yy"))&amp;" "&amp;Milestones!$AB$153&amp;" "&amp;IF(AND(Milestones!$AB$153="FT",Milestones!$AA$153=FT_Y5,EDATE($D31,Milestones!$AA$153)&lt;PolicyEff),1,Milestones!$AC$153)&amp;";  ","")&amp;IF(AND(EDATE($D31,Milestones!$AA$154)&lt;=AsOfDate,EDATE($D31,Milestones!$AA$154)&gt;=SchemeStart,IF($X31=0,$AD31,IF(AND($Z31&lt;&gt;"",EDATE($D31,Milestones!$AA$154)&gt;=$Z31),$AC31,IF(AND($Y31&lt;&gt;"",EDATE($D31,Milestones!$AA$154)&gt;=$Y31),$AB31,$AA31)))=Milestones!$AB$154),UPPER(TEXT(EDATE($D31,Milestones!$AA$154),"dd mmm yy"))&amp;" "&amp;Milestones!$AB$154&amp;" "&amp;IF(AND(Milestones!$AB$154="FT",Milestones!$AA$154=FT_Y5,EDATE($D31,Milestones!$AA$154)&lt;PolicyEff),1,Milestones!$AC$154)&amp;";  ","")&amp;IF(AND(EDATE($D31,Milestones!$AA$155)&lt;=AsOfDate,EDATE($D31,Milestones!$AA$155)&gt;=SchemeStart,IF($X31=0,$AD31,IF(AND($Z31&lt;&gt;"",EDATE($D31,Milestones!$AA$155)&gt;=$Z31),$AC31,IF(AND($Y31&lt;&gt;"",EDATE($D31,Milestones!$AA$155)&gt;=$Y31),$AB31,$AA31)))=Milestones!$AB$155),UPPER(TEXT(EDATE($D31,Milestones!$AA$155),"dd mmm yy"))&amp;" "&amp;Milestones!$AB$155&amp;" "&amp;IF(AND(Milestones!$AB$155="FT",Milestones!$AA$155=FT_Y5,EDATE($D31,Milestones!$AA$155)&lt;PolicyEff),1,Milestones!$AC$155)&amp;";  ","")&amp;IF(AND(EDATE($D31,Milestones!$AA$156)&lt;=AsOfDate,EDATE($D31,Milestones!$AA$156)&gt;=SchemeStart,IF($X31=0,$AD31,IF(AND($Z31&lt;&gt;"",EDATE($D31,Milestones!$AA$156)&gt;=$Z31),$AC31,IF(AND($Y31&lt;&gt;"",EDATE($D31,Milestones!$AA$156)&gt;=$Y31),$AB31,$AA31)))=Milestones!$AB$156),UPPER(TEXT(EDATE($D31,Milestones!$AA$156),"dd mmm yy"))&amp;" "&amp;Milestones!$AB$156&amp;" "&amp;IF(AND(Milestones!$AB$156="FT",Milestones!$AA$156=FT_Y5,EDATE($D31,Milestones!$AA$156)&lt;PolicyEff),1,Milestones!$AC$156)&amp;";  ","")&amp;IF(AND(EDATE($D31,Milestones!$AA$157)&lt;=AsOfDate,EDATE($D31,Milestones!$AA$157)&gt;=SchemeStart,IF($X31=0,$AD31,IF(AND($Z31&lt;&gt;"",EDATE($D31,Milestones!$AA$157)&gt;=$Z31),$AC31,IF(AND($Y31&lt;&gt;"",EDATE($D31,Milestones!$AA$157)&gt;=$Y31),$AB31,$AA31)))=Milestones!$AB$157),UPPER(TEXT(EDATE($D31,Milestones!$AA$157),"dd mmm yy"))&amp;" "&amp;Milestones!$AB$157&amp;" "&amp;IF(AND(Milestones!$AB$157="FT",Milestones!$AA$157=FT_Y5,EDATE($D31,Milestones!$AA$157)&lt;PolicyEff),1,Milestones!$AC$157)&amp;";  ","")&amp;IF(AND(EDATE($D31,Milestones!$AA$158)&lt;=AsOfDate,EDATE($D31,Milestones!$AA$158)&gt;=SchemeStart,IF($X31=0,$AD31,IF(AND($Z31&lt;&gt;"",EDATE($D31,Milestones!$AA$158)&gt;=$Z31),$AC31,IF(AND($Y31&lt;&gt;"",EDATE($D31,Milestones!$AA$158)&gt;=$Y31),$AB31,$AA31)))=Milestones!$AB$158),UPPER(TEXT(EDATE($D31,Milestones!$AA$158),"dd mmm yy"))&amp;" "&amp;Milestones!$AB$158&amp;" "&amp;IF(AND(Milestones!$AB$158="FT",Milestones!$AA$158=FT_Y5,EDATE($D31,Milestones!$AA$158)&lt;PolicyEff),1,Milestones!$AC$158)&amp;";  ","")&amp;IF(AND(EDATE($D31,Milestones!$AA$159)&lt;=AsOfDate,EDATE($D31,Milestones!$AA$159)&gt;=SchemeStart,IF($X31=0,$AD31,IF(AND($Z31&lt;&gt;"",EDATE($D31,Milestones!$AA$159)&gt;=$Z31),$AC31,IF(AND($Y31&lt;&gt;"",EDATE($D31,Milestones!$AA$159)&gt;=$Y31),$AB31,$AA31)))=Milestones!$AB$159),UPPER(TEXT(EDATE($D31,Milestones!$AA$159),"dd mmm yy"))&amp;" "&amp;Milestones!$AB$159&amp;" "&amp;IF(AND(Milestones!$AB$159="FT",Milestones!$AA$159=FT_Y5,EDATE($D31,Milestones!$AA$159)&lt;PolicyEff),1,Milestones!$AC$159)&amp;";  ","")&amp;IF(AND(EDATE($D31,Milestones!$AA$160)&lt;=AsOfDate,EDATE($D31,Milestones!$AA$160)&gt;=SchemeStart,IF($X31=0,$AD31,IF(AND($Z31&lt;&gt;"",EDATE($D31,Milestones!$AA$160)&gt;=$Z31),$AC31,IF(AND($Y31&lt;&gt;"",EDATE($D31,Milestones!$AA$160)&gt;=$Y31),$AB31,$AA31)))=Milestones!$AB$160),UPPER(TEXT(EDATE($D31,Milestones!$AA$160),"dd mmm yy"))&amp;" "&amp;Milestones!$AB$160&amp;" "&amp;IF(AND(Milestones!$AB$160="FT",Milestones!$AA$160=FT_Y5,EDATE($D31,Milestones!$AA$160)&lt;PolicyEff),1,Milestones!$AC$160)&amp;";  ","")&amp;IF(AND(EDATE($D31,Milestones!$AA$161)&lt;=AsOfDate,EDATE($D31,Milestones!$AA$161)&gt;=SchemeStart,IF($X31=0,$AD31,IF(AND($Z31&lt;&gt;"",EDATE($D31,Milestones!$AA$161)&gt;=$Z31),$AC31,IF(AND($Y31&lt;&gt;"",EDATE($D31,Milestones!$AA$161)&gt;=$Y31),$AB31,$AA31)))=Milestones!$AB$161),UPPER(TEXT(EDATE($D31,Milestones!$AA$161),"dd mmm yy"))&amp;" "&amp;Milestones!$AB$161&amp;" "&amp;IF(AND(Milestones!$AB$161="FT",Milestones!$AA$161=FT_Y5,EDATE($D31,Milestones!$AA$161)&lt;PolicyEff),1,Milestones!$AC$161)&amp;";  ","")&amp;IF(AND(EDATE($D31,Milestones!$AA$162)&lt;=AsOfDate,EDATE($D31,Milestones!$AA$162)&gt;=SchemeStart,IF($X31=0,$AD31,IF(AND($Z31&lt;&gt;"",EDATE($D31,Milestones!$AA$162)&gt;=$Z31),$AC31,IF(AND($Y31&lt;&gt;"",EDATE($D31,Milestones!$AA$162)&gt;=$Y31),$AB31,$AA31)))=Milestones!$AB$162),UPPER(TEXT(EDATE($D31,Milestones!$AA$162),"dd mmm yy"))&amp;" "&amp;Milestones!$AB$162&amp;" "&amp;IF(AND(Milestones!$AB$162="FT",Milestones!$AA$162=FT_Y5,EDATE($D31,Milestones!$AA$162)&lt;PolicyEff),1,Milestones!$AC$162)&amp;";  ","")&amp;IF(AND(EDATE($D31,Milestones!$AA$163)&lt;=AsOfDate,EDATE($D31,Milestones!$AA$163)&gt;=SchemeStart,IF($X31=0,$AD31,IF(AND($Z31&lt;&gt;"",EDATE($D31,Milestones!$AA$163)&gt;=$Z31),$AC31,IF(AND($Y31&lt;&gt;"",EDATE($D31,Milestones!$AA$163)&gt;=$Y31),$AB31,$AA31)))=Milestones!$AB$163),UPPER(TEXT(EDATE($D31,Milestones!$AA$163),"dd mmm yy"))&amp;" "&amp;Milestones!$AB$163&amp;" "&amp;IF(AND(Milestones!$AB$163="FT",Milestones!$AA$163=FT_Y5,EDATE($D31,Milestones!$AA$163)&lt;PolicyEff),1,Milestones!$AC$163)&amp;";  ",""))</f>
        <v/>
      </c>
      <c r="U31" s="0" t="str">
        <f aca="false">IF(OR($A31="",$D31=""),"",IF(AND(EDATE($D31,Milestones!$AA$164)&lt;=AsOfDate,EDATE($D31,Milestones!$AA$164)&gt;=SchemeStart,IF($X31=0,$AD31,IF(AND($Z31&lt;&gt;"",EDATE($D31,Milestones!$AA$164)&gt;=$Z31),$AC31,IF(AND($Y31&lt;&gt;"",EDATE($D31,Milestones!$AA$164)&gt;=$Y31),$AB31,$AA31)))=Milestones!$AB$164),UPPER(TEXT(EDATE($D31,Milestones!$AA$164),"dd mmm yy"))&amp;" "&amp;Milestones!$AB$164&amp;" "&amp;IF(AND(Milestones!$AB$164="FT",Milestones!$AA$164=FT_Y5,EDATE($D31,Milestones!$AA$164)&lt;PolicyEff),1,Milestones!$AC$164)&amp;";  ","")&amp;IF(AND(EDATE($D31,Milestones!$AA$165)&lt;=AsOfDate,EDATE($D31,Milestones!$AA$165)&gt;=SchemeStart,IF($X31=0,$AD31,IF(AND($Z31&lt;&gt;"",EDATE($D31,Milestones!$AA$165)&gt;=$Z31),$AC31,IF(AND($Y31&lt;&gt;"",EDATE($D31,Milestones!$AA$165)&gt;=$Y31),$AB31,$AA31)))=Milestones!$AB$165),UPPER(TEXT(EDATE($D31,Milestones!$AA$165),"dd mmm yy"))&amp;" "&amp;Milestones!$AB$165&amp;" "&amp;IF(AND(Milestones!$AB$165="FT",Milestones!$AA$165=FT_Y5,EDATE($D31,Milestones!$AA$165)&lt;PolicyEff),1,Milestones!$AC$165)&amp;";  ","")&amp;IF(AND(EDATE($D31,Milestones!$AA$166)&lt;=AsOfDate,EDATE($D31,Milestones!$AA$166)&gt;=SchemeStart,IF($X31=0,$AD31,IF(AND($Z31&lt;&gt;"",EDATE($D31,Milestones!$AA$166)&gt;=$Z31),$AC31,IF(AND($Y31&lt;&gt;"",EDATE($D31,Milestones!$AA$166)&gt;=$Y31),$AB31,$AA31)))=Milestones!$AB$166),UPPER(TEXT(EDATE($D31,Milestones!$AA$166),"dd mmm yy"))&amp;" "&amp;Milestones!$AB$166&amp;" "&amp;IF(AND(Milestones!$AB$166="FT",Milestones!$AA$166=FT_Y5,EDATE($D31,Milestones!$AA$166)&lt;PolicyEff),1,Milestones!$AC$166)&amp;";  ","")&amp;IF(AND(EDATE($D31,Milestones!$AA$167)&lt;=AsOfDate,EDATE($D31,Milestones!$AA$167)&gt;=SchemeStart,IF($X31=0,$AD31,IF(AND($Z31&lt;&gt;"",EDATE($D31,Milestones!$AA$167)&gt;=$Z31),$AC31,IF(AND($Y31&lt;&gt;"",EDATE($D31,Milestones!$AA$167)&gt;=$Y31),$AB31,$AA31)))=Milestones!$AB$167),UPPER(TEXT(EDATE($D31,Milestones!$AA$167),"dd mmm yy"))&amp;" "&amp;Milestones!$AB$167&amp;" "&amp;IF(AND(Milestones!$AB$167="FT",Milestones!$AA$167=FT_Y5,EDATE($D31,Milestones!$AA$167)&lt;PolicyEff),1,Milestones!$AC$167)&amp;";  ","")&amp;IF(AND(EDATE($D31,Milestones!$AA$168)&lt;=AsOfDate,EDATE($D31,Milestones!$AA$168)&gt;=SchemeStart,IF($X31=0,$AD31,IF(AND($Z31&lt;&gt;"",EDATE($D31,Milestones!$AA$168)&gt;=$Z31),$AC31,IF(AND($Y31&lt;&gt;"",EDATE($D31,Milestones!$AA$168)&gt;=$Y31),$AB31,$AA31)))=Milestones!$AB$168),UPPER(TEXT(EDATE($D31,Milestones!$AA$168),"dd mmm yy"))&amp;" "&amp;Milestones!$AB$168&amp;" "&amp;IF(AND(Milestones!$AB$168="FT",Milestones!$AA$168=FT_Y5,EDATE($D31,Milestones!$AA$168)&lt;PolicyEff),1,Milestones!$AC$168)&amp;";  ","")&amp;IF(AND(EDATE($D31,Milestones!$AA$169)&lt;=AsOfDate,EDATE($D31,Milestones!$AA$169)&gt;=SchemeStart,IF($X31=0,$AD31,IF(AND($Z31&lt;&gt;"",EDATE($D31,Milestones!$AA$169)&gt;=$Z31),$AC31,IF(AND($Y31&lt;&gt;"",EDATE($D31,Milestones!$AA$169)&gt;=$Y31),$AB31,$AA31)))=Milestones!$AB$169),UPPER(TEXT(EDATE($D31,Milestones!$AA$169),"dd mmm yy"))&amp;" "&amp;Milestones!$AB$169&amp;" "&amp;IF(AND(Milestones!$AB$169="FT",Milestones!$AA$169=FT_Y5,EDATE($D31,Milestones!$AA$169)&lt;PolicyEff),1,Milestones!$AC$169)&amp;";  ","")&amp;IF(AND(EDATE($D31,Milestones!$AA$170)&lt;=AsOfDate,EDATE($D31,Milestones!$AA$170)&gt;=SchemeStart,IF($X31=0,$AD31,IF(AND($Z31&lt;&gt;"",EDATE($D31,Milestones!$AA$170)&gt;=$Z31),$AC31,IF(AND($Y31&lt;&gt;"",EDATE($D31,Milestones!$AA$170)&gt;=$Y31),$AB31,$AA31)))=Milestones!$AB$170),UPPER(TEXT(EDATE($D31,Milestones!$AA$170),"dd mmm yy"))&amp;" "&amp;Milestones!$AB$170&amp;" "&amp;IF(AND(Milestones!$AB$170="FT",Milestones!$AA$170=FT_Y5,EDATE($D31,Milestones!$AA$170)&lt;PolicyEff),1,Milestones!$AC$170)&amp;";  ","")&amp;IF(AND(EDATE($D31,Milestones!$AA$171)&lt;=AsOfDate,EDATE($D31,Milestones!$AA$171)&gt;=SchemeStart,IF($X31=0,$AD31,IF(AND($Z31&lt;&gt;"",EDATE($D31,Milestones!$AA$171)&gt;=$Z31),$AC31,IF(AND($Y31&lt;&gt;"",EDATE($D31,Milestones!$AA$171)&gt;=$Y31),$AB31,$AA31)))=Milestones!$AB$171),UPPER(TEXT(EDATE($D31,Milestones!$AA$171),"dd mmm yy"))&amp;" "&amp;Milestones!$AB$171&amp;" "&amp;IF(AND(Milestones!$AB$171="FT",Milestones!$AA$171=FT_Y5,EDATE($D31,Milestones!$AA$171)&lt;PolicyEff),1,Milestones!$AC$171)&amp;";  ","")&amp;IF(AND(EDATE($D31,Milestones!$AA$172)&lt;=AsOfDate,EDATE($D31,Milestones!$AA$172)&gt;=SchemeStart,IF($X31=0,$AD31,IF(AND($Z31&lt;&gt;"",EDATE($D31,Milestones!$AA$172)&gt;=$Z31),$AC31,IF(AND($Y31&lt;&gt;"",EDATE($D31,Milestones!$AA$172)&gt;=$Y31),$AB31,$AA31)))=Milestones!$AB$172),UPPER(TEXT(EDATE($D31,Milestones!$AA$172),"dd mmm yy"))&amp;" "&amp;Milestones!$AB$172&amp;" "&amp;IF(AND(Milestones!$AB$172="FT",Milestones!$AA$172=FT_Y5,EDATE($D31,Milestones!$AA$172)&lt;PolicyEff),1,Milestones!$AC$172)&amp;";  ","")&amp;IF(AND(EDATE($D31,Milestones!$AA$173)&lt;=AsOfDate,EDATE($D31,Milestones!$AA$173)&gt;=SchemeStart,IF($X31=0,$AD31,IF(AND($Z31&lt;&gt;"",EDATE($D31,Milestones!$AA$173)&gt;=$Z31),$AC31,IF(AND($Y31&lt;&gt;"",EDATE($D31,Milestones!$AA$173)&gt;=$Y31),$AB31,$AA31)))=Milestones!$AB$173),UPPER(TEXT(EDATE($D31,Milestones!$AA$173),"dd mmm yy"))&amp;" "&amp;Milestones!$AB$173&amp;" "&amp;IF(AND(Milestones!$AB$173="FT",Milestones!$AA$173=FT_Y5,EDATE($D31,Milestones!$AA$173)&lt;PolicyEff),1,Milestones!$AC$173)&amp;";  ","")&amp;IF(AND(EDATE($D31,Milestones!$AA$174)&lt;=AsOfDate,EDATE($D31,Milestones!$AA$174)&gt;=SchemeStart,IF($X31=0,$AD31,IF(AND($Z31&lt;&gt;"",EDATE($D31,Milestones!$AA$174)&gt;=$Z31),$AC31,IF(AND($Y31&lt;&gt;"",EDATE($D31,Milestones!$AA$174)&gt;=$Y31),$AB31,$AA31)))=Milestones!$AB$174),UPPER(TEXT(EDATE($D31,Milestones!$AA$174),"dd mmm yy"))&amp;" "&amp;Milestones!$AB$174&amp;" "&amp;IF(AND(Milestones!$AB$174="FT",Milestones!$AA$174=FT_Y5,EDATE($D31,Milestones!$AA$174)&lt;PolicyEff),1,Milestones!$AC$174)&amp;";  ","")&amp;IF(AND(EDATE($D31,Milestones!$AA$175)&lt;=AsOfDate,EDATE($D31,Milestones!$AA$175)&gt;=SchemeStart,IF($X31=0,$AD31,IF(AND($Z31&lt;&gt;"",EDATE($D31,Milestones!$AA$175)&gt;=$Z31),$AC31,IF(AND($Y31&lt;&gt;"",EDATE($D31,Milestones!$AA$175)&gt;=$Y31),$AB31,$AA31)))=Milestones!$AB$175),UPPER(TEXT(EDATE($D31,Milestones!$AA$175),"dd mmm yy"))&amp;" "&amp;Milestones!$AB$175&amp;" "&amp;IF(AND(Milestones!$AB$175="FT",Milestones!$AA$175=FT_Y5,EDATE($D31,Milestones!$AA$175)&lt;PolicyEff),1,Milestones!$AC$175)&amp;";  ",""))</f>
        <v/>
      </c>
      <c r="V31" s="0" t="str">
        <f aca="false">IF(OR($A31="",$D31=""),"",IF(AND(EDATE($D31,Milestones!$AA$176)&lt;=AsOfDate,EDATE($D31,Milestones!$AA$176)&gt;=SchemeStart,IF($X31=0,$AD31,IF(AND($Z31&lt;&gt;"",EDATE($D31,Milestones!$AA$176)&gt;=$Z31),$AC31,IF(AND($Y31&lt;&gt;"",EDATE($D31,Milestones!$AA$176)&gt;=$Y31),$AB31,$AA31)))=Milestones!$AB$176),UPPER(TEXT(EDATE($D31,Milestones!$AA$176),"dd mmm yy"))&amp;" "&amp;Milestones!$AB$176&amp;" "&amp;IF(AND(Milestones!$AB$176="FT",Milestones!$AA$176=FT_Y5,EDATE($D31,Milestones!$AA$176)&lt;PolicyEff),1,Milestones!$AC$176)&amp;";  ","")&amp;IF(AND(EDATE($D31,Milestones!$AA$177)&lt;=AsOfDate,EDATE($D31,Milestones!$AA$177)&gt;=SchemeStart,IF($X31=0,$AD31,IF(AND($Z31&lt;&gt;"",EDATE($D31,Milestones!$AA$177)&gt;=$Z31),$AC31,IF(AND($Y31&lt;&gt;"",EDATE($D31,Milestones!$AA$177)&gt;=$Y31),$AB31,$AA31)))=Milestones!$AB$177),UPPER(TEXT(EDATE($D31,Milestones!$AA$177),"dd mmm yy"))&amp;" "&amp;Milestones!$AB$177&amp;" "&amp;IF(AND(Milestones!$AB$177="FT",Milestones!$AA$177=FT_Y5,EDATE($D31,Milestones!$AA$177)&lt;PolicyEff),1,Milestones!$AC$177)&amp;";  ","")&amp;IF(AND(EDATE($D31,Milestones!$AA$178)&lt;=AsOfDate,EDATE($D31,Milestones!$AA$178)&gt;=SchemeStart,IF($X31=0,$AD31,IF(AND($Z31&lt;&gt;"",EDATE($D31,Milestones!$AA$178)&gt;=$Z31),$AC31,IF(AND($Y31&lt;&gt;"",EDATE($D31,Milestones!$AA$178)&gt;=$Y31),$AB31,$AA31)))=Milestones!$AB$178),UPPER(TEXT(EDATE($D31,Milestones!$AA$178),"dd mmm yy"))&amp;" "&amp;Milestones!$AB$178&amp;" "&amp;IF(AND(Milestones!$AB$178="FT",Milestones!$AA$178=FT_Y5,EDATE($D31,Milestones!$AA$178)&lt;PolicyEff),1,Milestones!$AC$178)&amp;";  ","")&amp;IF(AND(EDATE($D31,Milestones!$AA$179)&lt;=AsOfDate,EDATE($D31,Milestones!$AA$179)&gt;=SchemeStart,IF($X31=0,$AD31,IF(AND($Z31&lt;&gt;"",EDATE($D31,Milestones!$AA$179)&gt;=$Z31),$AC31,IF(AND($Y31&lt;&gt;"",EDATE($D31,Milestones!$AA$179)&gt;=$Y31),$AB31,$AA31)))=Milestones!$AB$179),UPPER(TEXT(EDATE($D31,Milestones!$AA$179),"dd mmm yy"))&amp;" "&amp;Milestones!$AB$179&amp;" "&amp;IF(AND(Milestones!$AB$179="FT",Milestones!$AA$179=FT_Y5,EDATE($D31,Milestones!$AA$179)&lt;PolicyEff),1,Milestones!$AC$179)&amp;";  ","")&amp;IF(AND(EDATE($D31,Milestones!$AA$180)&lt;=AsOfDate,EDATE($D31,Milestones!$AA$180)&gt;=SchemeStart,IF($X31=0,$AD31,IF(AND($Z31&lt;&gt;"",EDATE($D31,Milestones!$AA$180)&gt;=$Z31),$AC31,IF(AND($Y31&lt;&gt;"",EDATE($D31,Milestones!$AA$180)&gt;=$Y31),$AB31,$AA31)))=Milestones!$AB$180),UPPER(TEXT(EDATE($D31,Milestones!$AA$180),"dd mmm yy"))&amp;" "&amp;Milestones!$AB$180&amp;" "&amp;IF(AND(Milestones!$AB$180="FT",Milestones!$AA$180=FT_Y5,EDATE($D31,Milestones!$AA$180)&lt;PolicyEff),1,Milestones!$AC$180)&amp;";  ","")&amp;IF(AND(EDATE($D31,Milestones!$AA$181)&lt;=AsOfDate,EDATE($D31,Milestones!$AA$181)&gt;=SchemeStart,IF($X31=0,$AD31,IF(AND($Z31&lt;&gt;"",EDATE($D31,Milestones!$AA$181)&gt;=$Z31),$AC31,IF(AND($Y31&lt;&gt;"",EDATE($D31,Milestones!$AA$181)&gt;=$Y31),$AB31,$AA31)))=Milestones!$AB$181),UPPER(TEXT(EDATE($D31,Milestones!$AA$181),"dd mmm yy"))&amp;" "&amp;Milestones!$AB$181&amp;" "&amp;IF(AND(Milestones!$AB$181="FT",Milestones!$AA$181=FT_Y5,EDATE($D31,Milestones!$AA$181)&lt;PolicyEff),1,Milestones!$AC$181)&amp;";  ","")&amp;IF(AND(EDATE($D31,Milestones!$AA$182)&lt;=AsOfDate,EDATE($D31,Milestones!$AA$182)&gt;=SchemeStart,IF($X31=0,$AD31,IF(AND($Z31&lt;&gt;"",EDATE($D31,Milestones!$AA$182)&gt;=$Z31),$AC31,IF(AND($Y31&lt;&gt;"",EDATE($D31,Milestones!$AA$182)&gt;=$Y31),$AB31,$AA31)))=Milestones!$AB$182),UPPER(TEXT(EDATE($D31,Milestones!$AA$182),"dd mmm yy"))&amp;" "&amp;Milestones!$AB$182&amp;" "&amp;IF(AND(Milestones!$AB$182="FT",Milestones!$AA$182=FT_Y5,EDATE($D31,Milestones!$AA$182)&lt;PolicyEff),1,Milestones!$AC$182)&amp;";  ","")&amp;IF(AND(EDATE($D31,Milestones!$AA$183)&lt;=AsOfDate,EDATE($D31,Milestones!$AA$183)&gt;=SchemeStart,IF($X31=0,$AD31,IF(AND($Z31&lt;&gt;"",EDATE($D31,Milestones!$AA$183)&gt;=$Z31),$AC31,IF(AND($Y31&lt;&gt;"",EDATE($D31,Milestones!$AA$183)&gt;=$Y31),$AB31,$AA31)))=Milestones!$AB$183),UPPER(TEXT(EDATE($D31,Milestones!$AA$183),"dd mmm yy"))&amp;" "&amp;Milestones!$AB$183&amp;" "&amp;IF(AND(Milestones!$AB$183="FT",Milestones!$AA$183=FT_Y5,EDATE($D31,Milestones!$AA$183)&lt;PolicyEff),1,Milestones!$AC$183)&amp;";  ","")&amp;IF(AND(EDATE($D31,Milestones!$AA$184)&lt;=AsOfDate,EDATE($D31,Milestones!$AA$184)&gt;=SchemeStart,IF($X31=0,$AD31,IF(AND($Z31&lt;&gt;"",EDATE($D31,Milestones!$AA$184)&gt;=$Z31),$AC31,IF(AND($Y31&lt;&gt;"",EDATE($D31,Milestones!$AA$184)&gt;=$Y31),$AB31,$AA31)))=Milestones!$AB$184),UPPER(TEXT(EDATE($D31,Milestones!$AA$184),"dd mmm yy"))&amp;" "&amp;Milestones!$AB$184&amp;" "&amp;IF(AND(Milestones!$AB$184="FT",Milestones!$AA$184=FT_Y5,EDATE($D31,Milestones!$AA$184)&lt;PolicyEff),1,Milestones!$AC$184)&amp;";  ","")&amp;IF(AND(EDATE($D31,Milestones!$AA$185)&lt;=AsOfDate,EDATE($D31,Milestones!$AA$185)&gt;=SchemeStart,IF($X31=0,$AD31,IF(AND($Z31&lt;&gt;"",EDATE($D31,Milestones!$AA$185)&gt;=$Z31),$AC31,IF(AND($Y31&lt;&gt;"",EDATE($D31,Milestones!$AA$185)&gt;=$Y31),$AB31,$AA31)))=Milestones!$AB$185),UPPER(TEXT(EDATE($D31,Milestones!$AA$185),"dd mmm yy"))&amp;" "&amp;Milestones!$AB$185&amp;" "&amp;IF(AND(Milestones!$AB$185="FT",Milestones!$AA$185=FT_Y5,EDATE($D31,Milestones!$AA$185)&lt;PolicyEff),1,Milestones!$AC$185)&amp;";  ","")&amp;IF(AND(EDATE($D31,Milestones!$AA$186)&lt;=AsOfDate,EDATE($D31,Milestones!$AA$186)&gt;=SchemeStart,IF($X31=0,$AD31,IF(AND($Z31&lt;&gt;"",EDATE($D31,Milestones!$AA$186)&gt;=$Z31),$AC31,IF(AND($Y31&lt;&gt;"",EDATE($D31,Milestones!$AA$186)&gt;=$Y31),$AB31,$AA31)))=Milestones!$AB$186),UPPER(TEXT(EDATE($D31,Milestones!$AA$186),"dd mmm yy"))&amp;" "&amp;Milestones!$AB$186&amp;" "&amp;IF(AND(Milestones!$AB$186="FT",Milestones!$AA$186=FT_Y5,EDATE($D31,Milestones!$AA$186)&lt;PolicyEff),1,Milestones!$AC$186)&amp;";  ","")&amp;IF(AND(EDATE($D31,Milestones!$AA$187)&lt;=AsOfDate,EDATE($D31,Milestones!$AA$187)&gt;=SchemeStart,IF($X31=0,$AD31,IF(AND($Z31&lt;&gt;"",EDATE($D31,Milestones!$AA$187)&gt;=$Z31),$AC31,IF(AND($Y31&lt;&gt;"",EDATE($D31,Milestones!$AA$187)&gt;=$Y31),$AB31,$AA31)))=Milestones!$AB$187),UPPER(TEXT(EDATE($D31,Milestones!$AA$187),"dd mmm yy"))&amp;" "&amp;Milestones!$AB$187&amp;" "&amp;IF(AND(Milestones!$AB$187="FT",Milestones!$AA$187=FT_Y5,EDATE($D31,Milestones!$AA$187)&lt;PolicyEff),1,Milestones!$AC$187)&amp;";  ",""))</f>
        <v/>
      </c>
      <c r="W31" s="0" t="str">
        <f aca="false">IF(OR($A31="",$D31=""),"",IF(AND(EDATE($D31,Milestones!$AA$188)&lt;=AsOfDate,EDATE($D31,Milestones!$AA$188)&gt;=SchemeStart,IF($X31=0,$AD31,IF(AND($Z31&lt;&gt;"",EDATE($D31,Milestones!$AA$188)&gt;=$Z31),$AC31,IF(AND($Y31&lt;&gt;"",EDATE($D31,Milestones!$AA$188)&gt;=$Y31),$AB31,$AA31)))=Milestones!$AB$188),UPPER(TEXT(EDATE($D31,Milestones!$AA$188),"dd mmm yy"))&amp;" "&amp;Milestones!$AB$188&amp;" "&amp;IF(AND(Milestones!$AB$188="FT",Milestones!$AA$188=FT_Y5,EDATE($D31,Milestones!$AA$188)&lt;PolicyEff),1,Milestones!$AC$188)&amp;";  ","")&amp;IF(AND(EDATE($D31,Milestones!$AA$189)&lt;=AsOfDate,EDATE($D31,Milestones!$AA$189)&gt;=SchemeStart,IF($X31=0,$AD31,IF(AND($Z31&lt;&gt;"",EDATE($D31,Milestones!$AA$189)&gt;=$Z31),$AC31,IF(AND($Y31&lt;&gt;"",EDATE($D31,Milestones!$AA$189)&gt;=$Y31),$AB31,$AA31)))=Milestones!$AB$189),UPPER(TEXT(EDATE($D31,Milestones!$AA$189),"dd mmm yy"))&amp;" "&amp;Milestones!$AB$189&amp;" "&amp;IF(AND(Milestones!$AB$189="FT",Milestones!$AA$189=FT_Y5,EDATE($D31,Milestones!$AA$189)&lt;PolicyEff),1,Milestones!$AC$189)&amp;";  ","")&amp;IF(AND(EDATE($D31,Milestones!$AA$190)&lt;=AsOfDate,EDATE($D31,Milestones!$AA$190)&gt;=SchemeStart,IF($X31=0,$AD31,IF(AND($Z31&lt;&gt;"",EDATE($D31,Milestones!$AA$190)&gt;=$Z31),$AC31,IF(AND($Y31&lt;&gt;"",EDATE($D31,Milestones!$AA$190)&gt;=$Y31),$AB31,$AA31)))=Milestones!$AB$190),UPPER(TEXT(EDATE($D31,Milestones!$AA$190),"dd mmm yy"))&amp;" "&amp;Milestones!$AB$190&amp;" "&amp;IF(AND(Milestones!$AB$190="FT",Milestones!$AA$190=FT_Y5,EDATE($D31,Milestones!$AA$190)&lt;PolicyEff),1,Milestones!$AC$190)&amp;";  ","")&amp;IF(AND(EDATE($D31,Milestones!$AA$191)&lt;=AsOfDate,EDATE($D31,Milestones!$AA$191)&gt;=SchemeStart,IF($X31=0,$AD31,IF(AND($Z31&lt;&gt;"",EDATE($D31,Milestones!$AA$191)&gt;=$Z31),$AC31,IF(AND($Y31&lt;&gt;"",EDATE($D31,Milestones!$AA$191)&gt;=$Y31),$AB31,$AA31)))=Milestones!$AB$191),UPPER(TEXT(EDATE($D31,Milestones!$AA$191),"dd mmm yy"))&amp;" "&amp;Milestones!$AB$191&amp;" "&amp;IF(AND(Milestones!$AB$191="FT",Milestones!$AA$191=FT_Y5,EDATE($D31,Milestones!$AA$191)&lt;PolicyEff),1,Milestones!$AC$191)&amp;";  ","")&amp;IF(AND(EDATE($D31,Milestones!$AA$192)&lt;=AsOfDate,EDATE($D31,Milestones!$AA$192)&gt;=SchemeStart,IF($X31=0,$AD31,IF(AND($Z31&lt;&gt;"",EDATE($D31,Milestones!$AA$192)&gt;=$Z31),$AC31,IF(AND($Y31&lt;&gt;"",EDATE($D31,Milestones!$AA$192)&gt;=$Y31),$AB31,$AA31)))=Milestones!$AB$192),UPPER(TEXT(EDATE($D31,Milestones!$AA$192),"dd mmm yy"))&amp;" "&amp;Milestones!$AB$192&amp;" "&amp;IF(AND(Milestones!$AB$192="FT",Milestones!$AA$192=FT_Y5,EDATE($D31,Milestones!$AA$192)&lt;PolicyEff),1,Milestones!$AC$192)&amp;";  ","")&amp;IF(AND(EDATE($D31,Milestones!$AA$193)&lt;=AsOfDate,EDATE($D31,Milestones!$AA$193)&gt;=SchemeStart,IF($X31=0,$AD31,IF(AND($Z31&lt;&gt;"",EDATE($D31,Milestones!$AA$193)&gt;=$Z31),$AC31,IF(AND($Y31&lt;&gt;"",EDATE($D31,Milestones!$AA$193)&gt;=$Y31),$AB31,$AA31)))=Milestones!$AB$193),UPPER(TEXT(EDATE($D31,Milestones!$AA$193),"dd mmm yy"))&amp;" "&amp;Milestones!$AB$193&amp;" "&amp;IF(AND(Milestones!$AB$193="FT",Milestones!$AA$193=FT_Y5,EDATE($D31,Milestones!$AA$193)&lt;PolicyEff),1,Milestones!$AC$193)&amp;";  ","")&amp;IF(AND(EDATE($D31,Milestones!$AA$194)&lt;=AsOfDate,EDATE($D31,Milestones!$AA$194)&gt;=SchemeStart,IF($X31=0,$AD31,IF(AND($Z31&lt;&gt;"",EDATE($D31,Milestones!$AA$194)&gt;=$Z31),$AC31,IF(AND($Y31&lt;&gt;"",EDATE($D31,Milestones!$AA$194)&gt;=$Y31),$AB31,$AA31)))=Milestones!$AB$194),UPPER(TEXT(EDATE($D31,Milestones!$AA$194),"dd mmm yy"))&amp;" "&amp;Milestones!$AB$194&amp;" "&amp;IF(AND(Milestones!$AB$194="FT",Milestones!$AA$194=FT_Y5,EDATE($D31,Milestones!$AA$194)&lt;PolicyEff),1,Milestones!$AC$194)&amp;";  ","")&amp;IF(AND(EDATE($D31,Milestones!$AA$195)&lt;=AsOfDate,EDATE($D31,Milestones!$AA$195)&gt;=SchemeStart,IF($X31=0,$AD31,IF(AND($Z31&lt;&gt;"",EDATE($D31,Milestones!$AA$195)&gt;=$Z31),$AC31,IF(AND($Y31&lt;&gt;"",EDATE($D31,Milestones!$AA$195)&gt;=$Y31),$AB31,$AA31)))=Milestones!$AB$195),UPPER(TEXT(EDATE($D31,Milestones!$AA$195),"dd mmm yy"))&amp;" "&amp;Milestones!$AB$195&amp;" "&amp;IF(AND(Milestones!$AB$195="FT",Milestones!$AA$195=FT_Y5,EDATE($D31,Milestones!$AA$195)&lt;PolicyEff),1,Milestones!$AC$195)&amp;";  ","")&amp;IF(AND(EDATE($D31,Milestones!$AA$196)&lt;=AsOfDate,EDATE($D31,Milestones!$AA$196)&gt;=SchemeStart,IF($X31=0,$AD31,IF(AND($Z31&lt;&gt;"",EDATE($D31,Milestones!$AA$196)&gt;=$Z31),$AC31,IF(AND($Y31&lt;&gt;"",EDATE($D31,Milestones!$AA$196)&gt;=$Y31),$AB31,$AA31)))=Milestones!$AB$196),UPPER(TEXT(EDATE($D31,Milestones!$AA$196),"dd mmm yy"))&amp;" "&amp;Milestones!$AB$196&amp;" "&amp;IF(AND(Milestones!$AB$196="FT",Milestones!$AA$196=FT_Y5,EDATE($D31,Milestones!$AA$196)&lt;PolicyEff),1,Milestones!$AC$196)&amp;";  ","")&amp;IF(AND(EDATE($D31,Milestones!$AA$197)&lt;=AsOfDate,EDATE($D31,Milestones!$AA$197)&gt;=SchemeStart,IF($X31=0,$AD31,IF(AND($Z31&lt;&gt;"",EDATE($D31,Milestones!$AA$197)&gt;=$Z31),$AC31,IF(AND($Y31&lt;&gt;"",EDATE($D31,Milestones!$AA$197)&gt;=$Y31),$AB31,$AA31)))=Milestones!$AB$197),UPPER(TEXT(EDATE($D31,Milestones!$AA$197),"dd mmm yy"))&amp;" "&amp;Milestones!$AB$197&amp;" "&amp;IF(AND(Milestones!$AB$197="FT",Milestones!$AA$197=FT_Y5,EDATE($D31,Milestones!$AA$197)&lt;PolicyEff),1,Milestones!$AC$197)&amp;";  ","")&amp;IF(AND(EDATE($D31,Milestones!$AA$198)&lt;=AsOfDate,EDATE($D31,Milestones!$AA$198)&gt;=SchemeStart,IF($X31=0,$AD31,IF(AND($Z31&lt;&gt;"",EDATE($D31,Milestones!$AA$198)&gt;=$Z31),$AC31,IF(AND($Y31&lt;&gt;"",EDATE($D31,Milestones!$AA$198)&gt;=$Y31),$AB31,$AA31)))=Milestones!$AB$198),UPPER(TEXT(EDATE($D31,Milestones!$AA$198),"dd mmm yy"))&amp;" "&amp;Milestones!$AB$198&amp;" "&amp;IF(AND(Milestones!$AB$198="FT",Milestones!$AA$198=FT_Y5,EDATE($D31,Milestones!$AA$198)&lt;PolicyEff),1,Milestones!$AC$198)&amp;";  ","")&amp;IF(AND(EDATE($D31,Milestones!$AA$199)&lt;=AsOfDate,EDATE($D31,Milestones!$AA$199)&gt;=SchemeStart,IF($X31=0,$AD31,IF(AND($Z31&lt;&gt;"",EDATE($D31,Milestones!$AA$199)&gt;=$Z31),$AC31,IF(AND($Y31&lt;&gt;"",EDATE($D31,Milestones!$AA$199)&gt;=$Y31),$AB31,$AA31)))=Milestones!$AB$199),UPPER(TEXT(EDATE($D31,Milestones!$AA$199),"dd mmm yy"))&amp;" "&amp;Milestones!$AB$199&amp;" "&amp;IF(AND(Milestones!$AB$199="FT",Milestones!$AA$199=FT_Y5,EDATE($D31,Milestones!$AA$199)&lt;PolicyEff),1,Milestones!$AC$199)&amp;";  ",""))</f>
        <v/>
      </c>
      <c r="X31" s="0" t="str">
        <f aca="false">IF(Staff!$A31="","",Staff!$AM31)</f>
        <v/>
      </c>
      <c r="Y31" s="0" t="str">
        <f aca="false">IF(Staff!$A31="","",Staff!$AO31)</f>
        <v/>
      </c>
      <c r="Z31" s="0" t="str">
        <f aca="false">IF(Staff!$A31="","",Staff!$AP31)</f>
        <v/>
      </c>
      <c r="AA31" s="0" t="str">
        <f aca="false">IF(Staff!$A31="","",Staff!$AT31)</f>
        <v/>
      </c>
      <c r="AB31" s="0" t="str">
        <f aca="false">IF(Staff!$A31="","",Staff!$AU31)</f>
        <v/>
      </c>
      <c r="AC31" s="0" t="str">
        <f aca="false">IF(Staff!$A31="","",Staff!$AV31)</f>
        <v/>
      </c>
      <c r="AD31" s="0" t="str">
        <f aca="false">IF(Staff!$A31="","",Staff!$AW31)</f>
        <v/>
      </c>
    </row>
    <row r="32" customFormat="false" ht="15" hidden="false" customHeight="false" outlineLevel="0" collapsed="false">
      <c r="A32" s="16" t="str">
        <f aca="false">IF(Staff!$A32="","",Staff!$A32)</f>
        <v/>
      </c>
      <c r="B32" s="16" t="str">
        <f aca="false">IF(Staff!$A32="","",Staff!$B32)</f>
        <v/>
      </c>
      <c r="C32" s="16" t="str">
        <f aca="false">IF(Staff!$A32="","",Staff!$C32)</f>
        <v/>
      </c>
      <c r="D32" s="14" t="str">
        <f aca="false">IF(Staff!$A32="","",Staff!$AL32)</f>
        <v/>
      </c>
      <c r="E32" s="16" t="str">
        <f aca="false">IF(Staff!$A32="","",Staff!$O32)</f>
        <v/>
      </c>
      <c r="F32" s="16" t="str">
        <f aca="false">IF(E32="","",E32*HoursPerDay)</f>
        <v/>
      </c>
      <c r="G32" s="16" t="str">
        <f aca="false">IF(Staff!$A32="","",Staff!$AE32)</f>
        <v/>
      </c>
      <c r="H32" s="28" t="str">
        <f aca="false">IF($A32="","",I32&amp;J32&amp;K32&amp;L32&amp;M32&amp;N32&amp;O32&amp;P32&amp;Q32&amp;R32&amp;S32&amp;T32&amp;U32&amp;V32&amp;W32)</f>
        <v/>
      </c>
      <c r="I32" s="0" t="str">
        <f aca="false">IF(OR($A32="",$D32=""),"",IF(AND(EDATE($D32,Milestones!$AA$20)&lt;=AsOfDate,EDATE($D32,Milestones!$AA$20)&gt;=SchemeStart,IF($X32=0,$AD32,IF(AND($Z32&lt;&gt;"",EDATE($D32,Milestones!$AA$20)&gt;=$Z32),$AC32,IF(AND($Y32&lt;&gt;"",EDATE($D32,Milestones!$AA$20)&gt;=$Y32),$AB32,$AA32)))=Milestones!$AB$20),UPPER(TEXT(EDATE($D32,Milestones!$AA$20),"dd mmm yy"))&amp;" "&amp;Milestones!$AB$20&amp;" "&amp;IF(AND(Milestones!$AB$20="FT",Milestones!$AA$20=FT_Y5,EDATE($D32,Milestones!$AA$20)&lt;PolicyEff),1,Milestones!$AC$20)&amp;";  ","")&amp;IF(AND(EDATE($D32,Milestones!$AA$21)&lt;=AsOfDate,EDATE($D32,Milestones!$AA$21)&gt;=SchemeStart,IF($X32=0,$AD32,IF(AND($Z32&lt;&gt;"",EDATE($D32,Milestones!$AA$21)&gt;=$Z32),$AC32,IF(AND($Y32&lt;&gt;"",EDATE($D32,Milestones!$AA$21)&gt;=$Y32),$AB32,$AA32)))=Milestones!$AB$21),UPPER(TEXT(EDATE($D32,Milestones!$AA$21),"dd mmm yy"))&amp;" "&amp;Milestones!$AB$21&amp;" "&amp;IF(AND(Milestones!$AB$21="FT",Milestones!$AA$21=FT_Y5,EDATE($D32,Milestones!$AA$21)&lt;PolicyEff),1,Milestones!$AC$21)&amp;";  ","")&amp;IF(AND(EDATE($D32,Milestones!$AA$22)&lt;=AsOfDate,EDATE($D32,Milestones!$AA$22)&gt;=SchemeStart,IF($X32=0,$AD32,IF(AND($Z32&lt;&gt;"",EDATE($D32,Milestones!$AA$22)&gt;=$Z32),$AC32,IF(AND($Y32&lt;&gt;"",EDATE($D32,Milestones!$AA$22)&gt;=$Y32),$AB32,$AA32)))=Milestones!$AB$22),UPPER(TEXT(EDATE($D32,Milestones!$AA$22),"dd mmm yy"))&amp;" "&amp;Milestones!$AB$22&amp;" "&amp;IF(AND(Milestones!$AB$22="FT",Milestones!$AA$22=FT_Y5,EDATE($D32,Milestones!$AA$22)&lt;PolicyEff),1,Milestones!$AC$22)&amp;";  ","")&amp;IF(AND(EDATE($D32,Milestones!$AA$23)&lt;=AsOfDate,EDATE($D32,Milestones!$AA$23)&gt;=SchemeStart,IF($X32=0,$AD32,IF(AND($Z32&lt;&gt;"",EDATE($D32,Milestones!$AA$23)&gt;=$Z32),$AC32,IF(AND($Y32&lt;&gt;"",EDATE($D32,Milestones!$AA$23)&gt;=$Y32),$AB32,$AA32)))=Milestones!$AB$23),UPPER(TEXT(EDATE($D32,Milestones!$AA$23),"dd mmm yy"))&amp;" "&amp;Milestones!$AB$23&amp;" "&amp;IF(AND(Milestones!$AB$23="FT",Milestones!$AA$23=FT_Y5,EDATE($D32,Milestones!$AA$23)&lt;PolicyEff),1,Milestones!$AC$23)&amp;";  ","")&amp;IF(AND(EDATE($D32,Milestones!$AA$24)&lt;=AsOfDate,EDATE($D32,Milestones!$AA$24)&gt;=SchemeStart,IF($X32=0,$AD32,IF(AND($Z32&lt;&gt;"",EDATE($D32,Milestones!$AA$24)&gt;=$Z32),$AC32,IF(AND($Y32&lt;&gt;"",EDATE($D32,Milestones!$AA$24)&gt;=$Y32),$AB32,$AA32)))=Milestones!$AB$24),UPPER(TEXT(EDATE($D32,Milestones!$AA$24),"dd mmm yy"))&amp;" "&amp;Milestones!$AB$24&amp;" "&amp;IF(AND(Milestones!$AB$24="FT",Milestones!$AA$24=FT_Y5,EDATE($D32,Milestones!$AA$24)&lt;PolicyEff),1,Milestones!$AC$24)&amp;";  ","")&amp;IF(AND(EDATE($D32,Milestones!$AA$25)&lt;=AsOfDate,EDATE($D32,Milestones!$AA$25)&gt;=SchemeStart,IF($X32=0,$AD32,IF(AND($Z32&lt;&gt;"",EDATE($D32,Milestones!$AA$25)&gt;=$Z32),$AC32,IF(AND($Y32&lt;&gt;"",EDATE($D32,Milestones!$AA$25)&gt;=$Y32),$AB32,$AA32)))=Milestones!$AB$25),UPPER(TEXT(EDATE($D32,Milestones!$AA$25),"dd mmm yy"))&amp;" "&amp;Milestones!$AB$25&amp;" "&amp;IF(AND(Milestones!$AB$25="FT",Milestones!$AA$25=FT_Y5,EDATE($D32,Milestones!$AA$25)&lt;PolicyEff),1,Milestones!$AC$25)&amp;";  ","")&amp;IF(AND(EDATE($D32,Milestones!$AA$26)&lt;=AsOfDate,EDATE($D32,Milestones!$AA$26)&gt;=SchemeStart,IF($X32=0,$AD32,IF(AND($Z32&lt;&gt;"",EDATE($D32,Milestones!$AA$26)&gt;=$Z32),$AC32,IF(AND($Y32&lt;&gt;"",EDATE($D32,Milestones!$AA$26)&gt;=$Y32),$AB32,$AA32)))=Milestones!$AB$26),UPPER(TEXT(EDATE($D32,Milestones!$AA$26),"dd mmm yy"))&amp;" "&amp;Milestones!$AB$26&amp;" "&amp;IF(AND(Milestones!$AB$26="FT",Milestones!$AA$26=FT_Y5,EDATE($D32,Milestones!$AA$26)&lt;PolicyEff),1,Milestones!$AC$26)&amp;";  ","")&amp;IF(AND(EDATE($D32,Milestones!$AA$27)&lt;=AsOfDate,EDATE($D32,Milestones!$AA$27)&gt;=SchemeStart,IF($X32=0,$AD32,IF(AND($Z32&lt;&gt;"",EDATE($D32,Milestones!$AA$27)&gt;=$Z32),$AC32,IF(AND($Y32&lt;&gt;"",EDATE($D32,Milestones!$AA$27)&gt;=$Y32),$AB32,$AA32)))=Milestones!$AB$27),UPPER(TEXT(EDATE($D32,Milestones!$AA$27),"dd mmm yy"))&amp;" "&amp;Milestones!$AB$27&amp;" "&amp;IF(AND(Milestones!$AB$27="FT",Milestones!$AA$27=FT_Y5,EDATE($D32,Milestones!$AA$27)&lt;PolicyEff),1,Milestones!$AC$27)&amp;";  ","")&amp;IF(AND(EDATE($D32,Milestones!$AA$28)&lt;=AsOfDate,EDATE($D32,Milestones!$AA$28)&gt;=SchemeStart,IF($X32=0,$AD32,IF(AND($Z32&lt;&gt;"",EDATE($D32,Milestones!$AA$28)&gt;=$Z32),$AC32,IF(AND($Y32&lt;&gt;"",EDATE($D32,Milestones!$AA$28)&gt;=$Y32),$AB32,$AA32)))=Milestones!$AB$28),UPPER(TEXT(EDATE($D32,Milestones!$AA$28),"dd mmm yy"))&amp;" "&amp;Milestones!$AB$28&amp;" "&amp;IF(AND(Milestones!$AB$28="FT",Milestones!$AA$28=FT_Y5,EDATE($D32,Milestones!$AA$28)&lt;PolicyEff),1,Milestones!$AC$28)&amp;";  ","")&amp;IF(AND(EDATE($D32,Milestones!$AA$29)&lt;=AsOfDate,EDATE($D32,Milestones!$AA$29)&gt;=SchemeStart,IF($X32=0,$AD32,IF(AND($Z32&lt;&gt;"",EDATE($D32,Milestones!$AA$29)&gt;=$Z32),$AC32,IF(AND($Y32&lt;&gt;"",EDATE($D32,Milestones!$AA$29)&gt;=$Y32),$AB32,$AA32)))=Milestones!$AB$29),UPPER(TEXT(EDATE($D32,Milestones!$AA$29),"dd mmm yy"))&amp;" "&amp;Milestones!$AB$29&amp;" "&amp;IF(AND(Milestones!$AB$29="FT",Milestones!$AA$29=FT_Y5,EDATE($D32,Milestones!$AA$29)&lt;PolicyEff),1,Milestones!$AC$29)&amp;";  ","")&amp;IF(AND(EDATE($D32,Milestones!$AA$30)&lt;=AsOfDate,EDATE($D32,Milestones!$AA$30)&gt;=SchemeStart,IF($X32=0,$AD32,IF(AND($Z32&lt;&gt;"",EDATE($D32,Milestones!$AA$30)&gt;=$Z32),$AC32,IF(AND($Y32&lt;&gt;"",EDATE($D32,Milestones!$AA$30)&gt;=$Y32),$AB32,$AA32)))=Milestones!$AB$30),UPPER(TEXT(EDATE($D32,Milestones!$AA$30),"dd mmm yy"))&amp;" "&amp;Milestones!$AB$30&amp;" "&amp;IF(AND(Milestones!$AB$30="FT",Milestones!$AA$30=FT_Y5,EDATE($D32,Milestones!$AA$30)&lt;PolicyEff),1,Milestones!$AC$30)&amp;";  ","")&amp;IF(AND(EDATE($D32,Milestones!$AA$31)&lt;=AsOfDate,EDATE($D32,Milestones!$AA$31)&gt;=SchemeStart,IF($X32=0,$AD32,IF(AND($Z32&lt;&gt;"",EDATE($D32,Milestones!$AA$31)&gt;=$Z32),$AC32,IF(AND($Y32&lt;&gt;"",EDATE($D32,Milestones!$AA$31)&gt;=$Y32),$AB32,$AA32)))=Milestones!$AB$31),UPPER(TEXT(EDATE($D32,Milestones!$AA$31),"dd mmm yy"))&amp;" "&amp;Milestones!$AB$31&amp;" "&amp;IF(AND(Milestones!$AB$31="FT",Milestones!$AA$31=FT_Y5,EDATE($D32,Milestones!$AA$31)&lt;PolicyEff),1,Milestones!$AC$31)&amp;";  ",""))</f>
        <v/>
      </c>
      <c r="J32" s="0" t="str">
        <f aca="false">IF(OR($A32="",$D32=""),"",IF(AND(EDATE($D32,Milestones!$AA$32)&lt;=AsOfDate,EDATE($D32,Milestones!$AA$32)&gt;=SchemeStart,IF($X32=0,$AD32,IF(AND($Z32&lt;&gt;"",EDATE($D32,Milestones!$AA$32)&gt;=$Z32),$AC32,IF(AND($Y32&lt;&gt;"",EDATE($D32,Milestones!$AA$32)&gt;=$Y32),$AB32,$AA32)))=Milestones!$AB$32),UPPER(TEXT(EDATE($D32,Milestones!$AA$32),"dd mmm yy"))&amp;" "&amp;Milestones!$AB$32&amp;" "&amp;IF(AND(Milestones!$AB$32="FT",Milestones!$AA$32=FT_Y5,EDATE($D32,Milestones!$AA$32)&lt;PolicyEff),1,Milestones!$AC$32)&amp;";  ","")&amp;IF(AND(EDATE($D32,Milestones!$AA$33)&lt;=AsOfDate,EDATE($D32,Milestones!$AA$33)&gt;=SchemeStart,IF($X32=0,$AD32,IF(AND($Z32&lt;&gt;"",EDATE($D32,Milestones!$AA$33)&gt;=$Z32),$AC32,IF(AND($Y32&lt;&gt;"",EDATE($D32,Milestones!$AA$33)&gt;=$Y32),$AB32,$AA32)))=Milestones!$AB$33),UPPER(TEXT(EDATE($D32,Milestones!$AA$33),"dd mmm yy"))&amp;" "&amp;Milestones!$AB$33&amp;" "&amp;IF(AND(Milestones!$AB$33="FT",Milestones!$AA$33=FT_Y5,EDATE($D32,Milestones!$AA$33)&lt;PolicyEff),1,Milestones!$AC$33)&amp;";  ","")&amp;IF(AND(EDATE($D32,Milestones!$AA$34)&lt;=AsOfDate,EDATE($D32,Milestones!$AA$34)&gt;=SchemeStart,IF($X32=0,$AD32,IF(AND($Z32&lt;&gt;"",EDATE($D32,Milestones!$AA$34)&gt;=$Z32),$AC32,IF(AND($Y32&lt;&gt;"",EDATE($D32,Milestones!$AA$34)&gt;=$Y32),$AB32,$AA32)))=Milestones!$AB$34),UPPER(TEXT(EDATE($D32,Milestones!$AA$34),"dd mmm yy"))&amp;" "&amp;Milestones!$AB$34&amp;" "&amp;IF(AND(Milestones!$AB$34="FT",Milestones!$AA$34=FT_Y5,EDATE($D32,Milestones!$AA$34)&lt;PolicyEff),1,Milestones!$AC$34)&amp;";  ","")&amp;IF(AND(EDATE($D32,Milestones!$AA$35)&lt;=AsOfDate,EDATE($D32,Milestones!$AA$35)&gt;=SchemeStart,IF($X32=0,$AD32,IF(AND($Z32&lt;&gt;"",EDATE($D32,Milestones!$AA$35)&gt;=$Z32),$AC32,IF(AND($Y32&lt;&gt;"",EDATE($D32,Milestones!$AA$35)&gt;=$Y32),$AB32,$AA32)))=Milestones!$AB$35),UPPER(TEXT(EDATE($D32,Milestones!$AA$35),"dd mmm yy"))&amp;" "&amp;Milestones!$AB$35&amp;" "&amp;IF(AND(Milestones!$AB$35="FT",Milestones!$AA$35=FT_Y5,EDATE($D32,Milestones!$AA$35)&lt;PolicyEff),1,Milestones!$AC$35)&amp;";  ","")&amp;IF(AND(EDATE($D32,Milestones!$AA$36)&lt;=AsOfDate,EDATE($D32,Milestones!$AA$36)&gt;=SchemeStart,IF($X32=0,$AD32,IF(AND($Z32&lt;&gt;"",EDATE($D32,Milestones!$AA$36)&gt;=$Z32),$AC32,IF(AND($Y32&lt;&gt;"",EDATE($D32,Milestones!$AA$36)&gt;=$Y32),$AB32,$AA32)))=Milestones!$AB$36),UPPER(TEXT(EDATE($D32,Milestones!$AA$36),"dd mmm yy"))&amp;" "&amp;Milestones!$AB$36&amp;" "&amp;IF(AND(Milestones!$AB$36="FT",Milestones!$AA$36=FT_Y5,EDATE($D32,Milestones!$AA$36)&lt;PolicyEff),1,Milestones!$AC$36)&amp;";  ","")&amp;IF(AND(EDATE($D32,Milestones!$AA$37)&lt;=AsOfDate,EDATE($D32,Milestones!$AA$37)&gt;=SchemeStart,IF($X32=0,$AD32,IF(AND($Z32&lt;&gt;"",EDATE($D32,Milestones!$AA$37)&gt;=$Z32),$AC32,IF(AND($Y32&lt;&gt;"",EDATE($D32,Milestones!$AA$37)&gt;=$Y32),$AB32,$AA32)))=Milestones!$AB$37),UPPER(TEXT(EDATE($D32,Milestones!$AA$37),"dd mmm yy"))&amp;" "&amp;Milestones!$AB$37&amp;" "&amp;IF(AND(Milestones!$AB$37="FT",Milestones!$AA$37=FT_Y5,EDATE($D32,Milestones!$AA$37)&lt;PolicyEff),1,Milestones!$AC$37)&amp;";  ","")&amp;IF(AND(EDATE($D32,Milestones!$AA$38)&lt;=AsOfDate,EDATE($D32,Milestones!$AA$38)&gt;=SchemeStart,IF($X32=0,$AD32,IF(AND($Z32&lt;&gt;"",EDATE($D32,Milestones!$AA$38)&gt;=$Z32),$AC32,IF(AND($Y32&lt;&gt;"",EDATE($D32,Milestones!$AA$38)&gt;=$Y32),$AB32,$AA32)))=Milestones!$AB$38),UPPER(TEXT(EDATE($D32,Milestones!$AA$38),"dd mmm yy"))&amp;" "&amp;Milestones!$AB$38&amp;" "&amp;IF(AND(Milestones!$AB$38="FT",Milestones!$AA$38=FT_Y5,EDATE($D32,Milestones!$AA$38)&lt;PolicyEff),1,Milestones!$AC$38)&amp;";  ","")&amp;IF(AND(EDATE($D32,Milestones!$AA$39)&lt;=AsOfDate,EDATE($D32,Milestones!$AA$39)&gt;=SchemeStart,IF($X32=0,$AD32,IF(AND($Z32&lt;&gt;"",EDATE($D32,Milestones!$AA$39)&gt;=$Z32),$AC32,IF(AND($Y32&lt;&gt;"",EDATE($D32,Milestones!$AA$39)&gt;=$Y32),$AB32,$AA32)))=Milestones!$AB$39),UPPER(TEXT(EDATE($D32,Milestones!$AA$39),"dd mmm yy"))&amp;" "&amp;Milestones!$AB$39&amp;" "&amp;IF(AND(Milestones!$AB$39="FT",Milestones!$AA$39=FT_Y5,EDATE($D32,Milestones!$AA$39)&lt;PolicyEff),1,Milestones!$AC$39)&amp;";  ","")&amp;IF(AND(EDATE($D32,Milestones!$AA$40)&lt;=AsOfDate,EDATE($D32,Milestones!$AA$40)&gt;=SchemeStart,IF($X32=0,$AD32,IF(AND($Z32&lt;&gt;"",EDATE($D32,Milestones!$AA$40)&gt;=$Z32),$AC32,IF(AND($Y32&lt;&gt;"",EDATE($D32,Milestones!$AA$40)&gt;=$Y32),$AB32,$AA32)))=Milestones!$AB$40),UPPER(TEXT(EDATE($D32,Milestones!$AA$40),"dd mmm yy"))&amp;" "&amp;Milestones!$AB$40&amp;" "&amp;IF(AND(Milestones!$AB$40="FT",Milestones!$AA$40=FT_Y5,EDATE($D32,Milestones!$AA$40)&lt;PolicyEff),1,Milestones!$AC$40)&amp;";  ","")&amp;IF(AND(EDATE($D32,Milestones!$AA$41)&lt;=AsOfDate,EDATE($D32,Milestones!$AA$41)&gt;=SchemeStart,IF($X32=0,$AD32,IF(AND($Z32&lt;&gt;"",EDATE($D32,Milestones!$AA$41)&gt;=$Z32),$AC32,IF(AND($Y32&lt;&gt;"",EDATE($D32,Milestones!$AA$41)&gt;=$Y32),$AB32,$AA32)))=Milestones!$AB$41),UPPER(TEXT(EDATE($D32,Milestones!$AA$41),"dd mmm yy"))&amp;" "&amp;Milestones!$AB$41&amp;" "&amp;IF(AND(Milestones!$AB$41="FT",Milestones!$AA$41=FT_Y5,EDATE($D32,Milestones!$AA$41)&lt;PolicyEff),1,Milestones!$AC$41)&amp;";  ","")&amp;IF(AND(EDATE($D32,Milestones!$AA$42)&lt;=AsOfDate,EDATE($D32,Milestones!$AA$42)&gt;=SchemeStart,IF($X32=0,$AD32,IF(AND($Z32&lt;&gt;"",EDATE($D32,Milestones!$AA$42)&gt;=$Z32),$AC32,IF(AND($Y32&lt;&gt;"",EDATE($D32,Milestones!$AA$42)&gt;=$Y32),$AB32,$AA32)))=Milestones!$AB$42),UPPER(TEXT(EDATE($D32,Milestones!$AA$42),"dd mmm yy"))&amp;" "&amp;Milestones!$AB$42&amp;" "&amp;IF(AND(Milestones!$AB$42="FT",Milestones!$AA$42=FT_Y5,EDATE($D32,Milestones!$AA$42)&lt;PolicyEff),1,Milestones!$AC$42)&amp;";  ","")&amp;IF(AND(EDATE($D32,Milestones!$AA$43)&lt;=AsOfDate,EDATE($D32,Milestones!$AA$43)&gt;=SchemeStart,IF($X32=0,$AD32,IF(AND($Z32&lt;&gt;"",EDATE($D32,Milestones!$AA$43)&gt;=$Z32),$AC32,IF(AND($Y32&lt;&gt;"",EDATE($D32,Milestones!$AA$43)&gt;=$Y32),$AB32,$AA32)))=Milestones!$AB$43),UPPER(TEXT(EDATE($D32,Milestones!$AA$43),"dd mmm yy"))&amp;" "&amp;Milestones!$AB$43&amp;" "&amp;IF(AND(Milestones!$AB$43="FT",Milestones!$AA$43=FT_Y5,EDATE($D32,Milestones!$AA$43)&lt;PolicyEff),1,Milestones!$AC$43)&amp;";  ",""))</f>
        <v/>
      </c>
      <c r="K32" s="0" t="str">
        <f aca="false">IF(OR($A32="",$D32=""),"",IF(AND(EDATE($D32,Milestones!$AA$44)&lt;=AsOfDate,EDATE($D32,Milestones!$AA$44)&gt;=SchemeStart,IF($X32=0,$AD32,IF(AND($Z32&lt;&gt;"",EDATE($D32,Milestones!$AA$44)&gt;=$Z32),$AC32,IF(AND($Y32&lt;&gt;"",EDATE($D32,Milestones!$AA$44)&gt;=$Y32),$AB32,$AA32)))=Milestones!$AB$44),UPPER(TEXT(EDATE($D32,Milestones!$AA$44),"dd mmm yy"))&amp;" "&amp;Milestones!$AB$44&amp;" "&amp;IF(AND(Milestones!$AB$44="FT",Milestones!$AA$44=FT_Y5,EDATE($D32,Milestones!$AA$44)&lt;PolicyEff),1,Milestones!$AC$44)&amp;";  ","")&amp;IF(AND(EDATE($D32,Milestones!$AA$45)&lt;=AsOfDate,EDATE($D32,Milestones!$AA$45)&gt;=SchemeStart,IF($X32=0,$AD32,IF(AND($Z32&lt;&gt;"",EDATE($D32,Milestones!$AA$45)&gt;=$Z32),$AC32,IF(AND($Y32&lt;&gt;"",EDATE($D32,Milestones!$AA$45)&gt;=$Y32),$AB32,$AA32)))=Milestones!$AB$45),UPPER(TEXT(EDATE($D32,Milestones!$AA$45),"dd mmm yy"))&amp;" "&amp;Milestones!$AB$45&amp;" "&amp;IF(AND(Milestones!$AB$45="FT",Milestones!$AA$45=FT_Y5,EDATE($D32,Milestones!$AA$45)&lt;PolicyEff),1,Milestones!$AC$45)&amp;";  ","")&amp;IF(AND(EDATE($D32,Milestones!$AA$46)&lt;=AsOfDate,EDATE($D32,Milestones!$AA$46)&gt;=SchemeStart,IF($X32=0,$AD32,IF(AND($Z32&lt;&gt;"",EDATE($D32,Milestones!$AA$46)&gt;=$Z32),$AC32,IF(AND($Y32&lt;&gt;"",EDATE($D32,Milestones!$AA$46)&gt;=$Y32),$AB32,$AA32)))=Milestones!$AB$46),UPPER(TEXT(EDATE($D32,Milestones!$AA$46),"dd mmm yy"))&amp;" "&amp;Milestones!$AB$46&amp;" "&amp;IF(AND(Milestones!$AB$46="FT",Milestones!$AA$46=FT_Y5,EDATE($D32,Milestones!$AA$46)&lt;PolicyEff),1,Milestones!$AC$46)&amp;";  ","")&amp;IF(AND(EDATE($D32,Milestones!$AA$47)&lt;=AsOfDate,EDATE($D32,Milestones!$AA$47)&gt;=SchemeStart,IF($X32=0,$AD32,IF(AND($Z32&lt;&gt;"",EDATE($D32,Milestones!$AA$47)&gt;=$Z32),$AC32,IF(AND($Y32&lt;&gt;"",EDATE($D32,Milestones!$AA$47)&gt;=$Y32),$AB32,$AA32)))=Milestones!$AB$47),UPPER(TEXT(EDATE($D32,Milestones!$AA$47),"dd mmm yy"))&amp;" "&amp;Milestones!$AB$47&amp;" "&amp;IF(AND(Milestones!$AB$47="FT",Milestones!$AA$47=FT_Y5,EDATE($D32,Milestones!$AA$47)&lt;PolicyEff),1,Milestones!$AC$47)&amp;";  ","")&amp;IF(AND(EDATE($D32,Milestones!$AA$48)&lt;=AsOfDate,EDATE($D32,Milestones!$AA$48)&gt;=SchemeStart,IF($X32=0,$AD32,IF(AND($Z32&lt;&gt;"",EDATE($D32,Milestones!$AA$48)&gt;=$Z32),$AC32,IF(AND($Y32&lt;&gt;"",EDATE($D32,Milestones!$AA$48)&gt;=$Y32),$AB32,$AA32)))=Milestones!$AB$48),UPPER(TEXT(EDATE($D32,Milestones!$AA$48),"dd mmm yy"))&amp;" "&amp;Milestones!$AB$48&amp;" "&amp;IF(AND(Milestones!$AB$48="FT",Milestones!$AA$48=FT_Y5,EDATE($D32,Milestones!$AA$48)&lt;PolicyEff),1,Milestones!$AC$48)&amp;";  ","")&amp;IF(AND(EDATE($D32,Milestones!$AA$49)&lt;=AsOfDate,EDATE($D32,Milestones!$AA$49)&gt;=SchemeStart,IF($X32=0,$AD32,IF(AND($Z32&lt;&gt;"",EDATE($D32,Milestones!$AA$49)&gt;=$Z32),$AC32,IF(AND($Y32&lt;&gt;"",EDATE($D32,Milestones!$AA$49)&gt;=$Y32),$AB32,$AA32)))=Milestones!$AB$49),UPPER(TEXT(EDATE($D32,Milestones!$AA$49),"dd mmm yy"))&amp;" "&amp;Milestones!$AB$49&amp;" "&amp;IF(AND(Milestones!$AB$49="FT",Milestones!$AA$49=FT_Y5,EDATE($D32,Milestones!$AA$49)&lt;PolicyEff),1,Milestones!$AC$49)&amp;";  ","")&amp;IF(AND(EDATE($D32,Milestones!$AA$50)&lt;=AsOfDate,EDATE($D32,Milestones!$AA$50)&gt;=SchemeStart,IF($X32=0,$AD32,IF(AND($Z32&lt;&gt;"",EDATE($D32,Milestones!$AA$50)&gt;=$Z32),$AC32,IF(AND($Y32&lt;&gt;"",EDATE($D32,Milestones!$AA$50)&gt;=$Y32),$AB32,$AA32)))=Milestones!$AB$50),UPPER(TEXT(EDATE($D32,Milestones!$AA$50),"dd mmm yy"))&amp;" "&amp;Milestones!$AB$50&amp;" "&amp;IF(AND(Milestones!$AB$50="FT",Milestones!$AA$50=FT_Y5,EDATE($D32,Milestones!$AA$50)&lt;PolicyEff),1,Milestones!$AC$50)&amp;";  ","")&amp;IF(AND(EDATE($D32,Milestones!$AA$51)&lt;=AsOfDate,EDATE($D32,Milestones!$AA$51)&gt;=SchemeStart,IF($X32=0,$AD32,IF(AND($Z32&lt;&gt;"",EDATE($D32,Milestones!$AA$51)&gt;=$Z32),$AC32,IF(AND($Y32&lt;&gt;"",EDATE($D32,Milestones!$AA$51)&gt;=$Y32),$AB32,$AA32)))=Milestones!$AB$51),UPPER(TEXT(EDATE($D32,Milestones!$AA$51),"dd mmm yy"))&amp;" "&amp;Milestones!$AB$51&amp;" "&amp;IF(AND(Milestones!$AB$51="FT",Milestones!$AA$51=FT_Y5,EDATE($D32,Milestones!$AA$51)&lt;PolicyEff),1,Milestones!$AC$51)&amp;";  ","")&amp;IF(AND(EDATE($D32,Milestones!$AA$52)&lt;=AsOfDate,EDATE($D32,Milestones!$AA$52)&gt;=SchemeStart,IF($X32=0,$AD32,IF(AND($Z32&lt;&gt;"",EDATE($D32,Milestones!$AA$52)&gt;=$Z32),$AC32,IF(AND($Y32&lt;&gt;"",EDATE($D32,Milestones!$AA$52)&gt;=$Y32),$AB32,$AA32)))=Milestones!$AB$52),UPPER(TEXT(EDATE($D32,Milestones!$AA$52),"dd mmm yy"))&amp;" "&amp;Milestones!$AB$52&amp;" "&amp;IF(AND(Milestones!$AB$52="FT",Milestones!$AA$52=FT_Y5,EDATE($D32,Milestones!$AA$52)&lt;PolicyEff),1,Milestones!$AC$52)&amp;";  ","")&amp;IF(AND(EDATE($D32,Milestones!$AA$53)&lt;=AsOfDate,EDATE($D32,Milestones!$AA$53)&gt;=SchemeStart,IF($X32=0,$AD32,IF(AND($Z32&lt;&gt;"",EDATE($D32,Milestones!$AA$53)&gt;=$Z32),$AC32,IF(AND($Y32&lt;&gt;"",EDATE($D32,Milestones!$AA$53)&gt;=$Y32),$AB32,$AA32)))=Milestones!$AB$53),UPPER(TEXT(EDATE($D32,Milestones!$AA$53),"dd mmm yy"))&amp;" "&amp;Milestones!$AB$53&amp;" "&amp;IF(AND(Milestones!$AB$53="FT",Milestones!$AA$53=FT_Y5,EDATE($D32,Milestones!$AA$53)&lt;PolicyEff),1,Milestones!$AC$53)&amp;";  ","")&amp;IF(AND(EDATE($D32,Milestones!$AA$54)&lt;=AsOfDate,EDATE($D32,Milestones!$AA$54)&gt;=SchemeStart,IF($X32=0,$AD32,IF(AND($Z32&lt;&gt;"",EDATE($D32,Milestones!$AA$54)&gt;=$Z32),$AC32,IF(AND($Y32&lt;&gt;"",EDATE($D32,Milestones!$AA$54)&gt;=$Y32),$AB32,$AA32)))=Milestones!$AB$54),UPPER(TEXT(EDATE($D32,Milestones!$AA$54),"dd mmm yy"))&amp;" "&amp;Milestones!$AB$54&amp;" "&amp;IF(AND(Milestones!$AB$54="FT",Milestones!$AA$54=FT_Y5,EDATE($D32,Milestones!$AA$54)&lt;PolicyEff),1,Milestones!$AC$54)&amp;";  ","")&amp;IF(AND(EDATE($D32,Milestones!$AA$55)&lt;=AsOfDate,EDATE($D32,Milestones!$AA$55)&gt;=SchemeStart,IF($X32=0,$AD32,IF(AND($Z32&lt;&gt;"",EDATE($D32,Milestones!$AA$55)&gt;=$Z32),$AC32,IF(AND($Y32&lt;&gt;"",EDATE($D32,Milestones!$AA$55)&gt;=$Y32),$AB32,$AA32)))=Milestones!$AB$55),UPPER(TEXT(EDATE($D32,Milestones!$AA$55),"dd mmm yy"))&amp;" "&amp;Milestones!$AB$55&amp;" "&amp;IF(AND(Milestones!$AB$55="FT",Milestones!$AA$55=FT_Y5,EDATE($D32,Milestones!$AA$55)&lt;PolicyEff),1,Milestones!$AC$55)&amp;";  ",""))</f>
        <v/>
      </c>
      <c r="L32" s="0" t="str">
        <f aca="false">IF(OR($A32="",$D32=""),"",IF(AND(EDATE($D32,Milestones!$AA$56)&lt;=AsOfDate,EDATE($D32,Milestones!$AA$56)&gt;=SchemeStart,IF($X32=0,$AD32,IF(AND($Z32&lt;&gt;"",EDATE($D32,Milestones!$AA$56)&gt;=$Z32),$AC32,IF(AND($Y32&lt;&gt;"",EDATE($D32,Milestones!$AA$56)&gt;=$Y32),$AB32,$AA32)))=Milestones!$AB$56),UPPER(TEXT(EDATE($D32,Milestones!$AA$56),"dd mmm yy"))&amp;" "&amp;Milestones!$AB$56&amp;" "&amp;IF(AND(Milestones!$AB$56="FT",Milestones!$AA$56=FT_Y5,EDATE($D32,Milestones!$AA$56)&lt;PolicyEff),1,Milestones!$AC$56)&amp;";  ","")&amp;IF(AND(EDATE($D32,Milestones!$AA$57)&lt;=AsOfDate,EDATE($D32,Milestones!$AA$57)&gt;=SchemeStart,IF($X32=0,$AD32,IF(AND($Z32&lt;&gt;"",EDATE($D32,Milestones!$AA$57)&gt;=$Z32),$AC32,IF(AND($Y32&lt;&gt;"",EDATE($D32,Milestones!$AA$57)&gt;=$Y32),$AB32,$AA32)))=Milestones!$AB$57),UPPER(TEXT(EDATE($D32,Milestones!$AA$57),"dd mmm yy"))&amp;" "&amp;Milestones!$AB$57&amp;" "&amp;IF(AND(Milestones!$AB$57="FT",Milestones!$AA$57=FT_Y5,EDATE($D32,Milestones!$AA$57)&lt;PolicyEff),1,Milestones!$AC$57)&amp;";  ","")&amp;IF(AND(EDATE($D32,Milestones!$AA$58)&lt;=AsOfDate,EDATE($D32,Milestones!$AA$58)&gt;=SchemeStart,IF($X32=0,$AD32,IF(AND($Z32&lt;&gt;"",EDATE($D32,Milestones!$AA$58)&gt;=$Z32),$AC32,IF(AND($Y32&lt;&gt;"",EDATE($D32,Milestones!$AA$58)&gt;=$Y32),$AB32,$AA32)))=Milestones!$AB$58),UPPER(TEXT(EDATE($D32,Milestones!$AA$58),"dd mmm yy"))&amp;" "&amp;Milestones!$AB$58&amp;" "&amp;IF(AND(Milestones!$AB$58="FT",Milestones!$AA$58=FT_Y5,EDATE($D32,Milestones!$AA$58)&lt;PolicyEff),1,Milestones!$AC$58)&amp;";  ","")&amp;IF(AND(EDATE($D32,Milestones!$AA$59)&lt;=AsOfDate,EDATE($D32,Milestones!$AA$59)&gt;=SchemeStart,IF($X32=0,$AD32,IF(AND($Z32&lt;&gt;"",EDATE($D32,Milestones!$AA$59)&gt;=$Z32),$AC32,IF(AND($Y32&lt;&gt;"",EDATE($D32,Milestones!$AA$59)&gt;=$Y32),$AB32,$AA32)))=Milestones!$AB$59),UPPER(TEXT(EDATE($D32,Milestones!$AA$59),"dd mmm yy"))&amp;" "&amp;Milestones!$AB$59&amp;" "&amp;IF(AND(Milestones!$AB$59="FT",Milestones!$AA$59=FT_Y5,EDATE($D32,Milestones!$AA$59)&lt;PolicyEff),1,Milestones!$AC$59)&amp;";  ","")&amp;IF(AND(EDATE($D32,Milestones!$AA$60)&lt;=AsOfDate,EDATE($D32,Milestones!$AA$60)&gt;=SchemeStart,IF($X32=0,$AD32,IF(AND($Z32&lt;&gt;"",EDATE($D32,Milestones!$AA$60)&gt;=$Z32),$AC32,IF(AND($Y32&lt;&gt;"",EDATE($D32,Milestones!$AA$60)&gt;=$Y32),$AB32,$AA32)))=Milestones!$AB$60),UPPER(TEXT(EDATE($D32,Milestones!$AA$60),"dd mmm yy"))&amp;" "&amp;Milestones!$AB$60&amp;" "&amp;IF(AND(Milestones!$AB$60="FT",Milestones!$AA$60=FT_Y5,EDATE($D32,Milestones!$AA$60)&lt;PolicyEff),1,Milestones!$AC$60)&amp;";  ","")&amp;IF(AND(EDATE($D32,Milestones!$AA$61)&lt;=AsOfDate,EDATE($D32,Milestones!$AA$61)&gt;=SchemeStart,IF($X32=0,$AD32,IF(AND($Z32&lt;&gt;"",EDATE($D32,Milestones!$AA$61)&gt;=$Z32),$AC32,IF(AND($Y32&lt;&gt;"",EDATE($D32,Milestones!$AA$61)&gt;=$Y32),$AB32,$AA32)))=Milestones!$AB$61),UPPER(TEXT(EDATE($D32,Milestones!$AA$61),"dd mmm yy"))&amp;" "&amp;Milestones!$AB$61&amp;" "&amp;IF(AND(Milestones!$AB$61="FT",Milestones!$AA$61=FT_Y5,EDATE($D32,Milestones!$AA$61)&lt;PolicyEff),1,Milestones!$AC$61)&amp;";  ","")&amp;IF(AND(EDATE($D32,Milestones!$AA$62)&lt;=AsOfDate,EDATE($D32,Milestones!$AA$62)&gt;=SchemeStart,IF($X32=0,$AD32,IF(AND($Z32&lt;&gt;"",EDATE($D32,Milestones!$AA$62)&gt;=$Z32),$AC32,IF(AND($Y32&lt;&gt;"",EDATE($D32,Milestones!$AA$62)&gt;=$Y32),$AB32,$AA32)))=Milestones!$AB$62),UPPER(TEXT(EDATE($D32,Milestones!$AA$62),"dd mmm yy"))&amp;" "&amp;Milestones!$AB$62&amp;" "&amp;IF(AND(Milestones!$AB$62="FT",Milestones!$AA$62=FT_Y5,EDATE($D32,Milestones!$AA$62)&lt;PolicyEff),1,Milestones!$AC$62)&amp;";  ","")&amp;IF(AND(EDATE($D32,Milestones!$AA$63)&lt;=AsOfDate,EDATE($D32,Milestones!$AA$63)&gt;=SchemeStart,IF($X32=0,$AD32,IF(AND($Z32&lt;&gt;"",EDATE($D32,Milestones!$AA$63)&gt;=$Z32),$AC32,IF(AND($Y32&lt;&gt;"",EDATE($D32,Milestones!$AA$63)&gt;=$Y32),$AB32,$AA32)))=Milestones!$AB$63),UPPER(TEXT(EDATE($D32,Milestones!$AA$63),"dd mmm yy"))&amp;" "&amp;Milestones!$AB$63&amp;" "&amp;IF(AND(Milestones!$AB$63="FT",Milestones!$AA$63=FT_Y5,EDATE($D32,Milestones!$AA$63)&lt;PolicyEff),1,Milestones!$AC$63)&amp;";  ","")&amp;IF(AND(EDATE($D32,Milestones!$AA$64)&lt;=AsOfDate,EDATE($D32,Milestones!$AA$64)&gt;=SchemeStart,IF($X32=0,$AD32,IF(AND($Z32&lt;&gt;"",EDATE($D32,Milestones!$AA$64)&gt;=$Z32),$AC32,IF(AND($Y32&lt;&gt;"",EDATE($D32,Milestones!$AA$64)&gt;=$Y32),$AB32,$AA32)))=Milestones!$AB$64),UPPER(TEXT(EDATE($D32,Milestones!$AA$64),"dd mmm yy"))&amp;" "&amp;Milestones!$AB$64&amp;" "&amp;IF(AND(Milestones!$AB$64="FT",Milestones!$AA$64=FT_Y5,EDATE($D32,Milestones!$AA$64)&lt;PolicyEff),1,Milestones!$AC$64)&amp;";  ","")&amp;IF(AND(EDATE($D32,Milestones!$AA$65)&lt;=AsOfDate,EDATE($D32,Milestones!$AA$65)&gt;=SchemeStart,IF($X32=0,$AD32,IF(AND($Z32&lt;&gt;"",EDATE($D32,Milestones!$AA$65)&gt;=$Z32),$AC32,IF(AND($Y32&lt;&gt;"",EDATE($D32,Milestones!$AA$65)&gt;=$Y32),$AB32,$AA32)))=Milestones!$AB$65),UPPER(TEXT(EDATE($D32,Milestones!$AA$65),"dd mmm yy"))&amp;" "&amp;Milestones!$AB$65&amp;" "&amp;IF(AND(Milestones!$AB$65="FT",Milestones!$AA$65=FT_Y5,EDATE($D32,Milestones!$AA$65)&lt;PolicyEff),1,Milestones!$AC$65)&amp;";  ","")&amp;IF(AND(EDATE($D32,Milestones!$AA$66)&lt;=AsOfDate,EDATE($D32,Milestones!$AA$66)&gt;=SchemeStart,IF($X32=0,$AD32,IF(AND($Z32&lt;&gt;"",EDATE($D32,Milestones!$AA$66)&gt;=$Z32),$AC32,IF(AND($Y32&lt;&gt;"",EDATE($D32,Milestones!$AA$66)&gt;=$Y32),$AB32,$AA32)))=Milestones!$AB$66),UPPER(TEXT(EDATE($D32,Milestones!$AA$66),"dd mmm yy"))&amp;" "&amp;Milestones!$AB$66&amp;" "&amp;IF(AND(Milestones!$AB$66="FT",Milestones!$AA$66=FT_Y5,EDATE($D32,Milestones!$AA$66)&lt;PolicyEff),1,Milestones!$AC$66)&amp;";  ","")&amp;IF(AND(EDATE($D32,Milestones!$AA$67)&lt;=AsOfDate,EDATE($D32,Milestones!$AA$67)&gt;=SchemeStart,IF($X32=0,$AD32,IF(AND($Z32&lt;&gt;"",EDATE($D32,Milestones!$AA$67)&gt;=$Z32),$AC32,IF(AND($Y32&lt;&gt;"",EDATE($D32,Milestones!$AA$67)&gt;=$Y32),$AB32,$AA32)))=Milestones!$AB$67),UPPER(TEXT(EDATE($D32,Milestones!$AA$67),"dd mmm yy"))&amp;" "&amp;Milestones!$AB$67&amp;" "&amp;IF(AND(Milestones!$AB$67="FT",Milestones!$AA$67=FT_Y5,EDATE($D32,Milestones!$AA$67)&lt;PolicyEff),1,Milestones!$AC$67)&amp;";  ",""))</f>
        <v/>
      </c>
      <c r="M32" s="0" t="str">
        <f aca="false">IF(OR($A32="",$D32=""),"",IF(AND(EDATE($D32,Milestones!$AA$68)&lt;=AsOfDate,EDATE($D32,Milestones!$AA$68)&gt;=SchemeStart,IF($X32=0,$AD32,IF(AND($Z32&lt;&gt;"",EDATE($D32,Milestones!$AA$68)&gt;=$Z32),$AC32,IF(AND($Y32&lt;&gt;"",EDATE($D32,Milestones!$AA$68)&gt;=$Y32),$AB32,$AA32)))=Milestones!$AB$68),UPPER(TEXT(EDATE($D32,Milestones!$AA$68),"dd mmm yy"))&amp;" "&amp;Milestones!$AB$68&amp;" "&amp;IF(AND(Milestones!$AB$68="FT",Milestones!$AA$68=FT_Y5,EDATE($D32,Milestones!$AA$68)&lt;PolicyEff),1,Milestones!$AC$68)&amp;";  ","")&amp;IF(AND(EDATE($D32,Milestones!$AA$69)&lt;=AsOfDate,EDATE($D32,Milestones!$AA$69)&gt;=SchemeStart,IF($X32=0,$AD32,IF(AND($Z32&lt;&gt;"",EDATE($D32,Milestones!$AA$69)&gt;=$Z32),$AC32,IF(AND($Y32&lt;&gt;"",EDATE($D32,Milestones!$AA$69)&gt;=$Y32),$AB32,$AA32)))=Milestones!$AB$69),UPPER(TEXT(EDATE($D32,Milestones!$AA$69),"dd mmm yy"))&amp;" "&amp;Milestones!$AB$69&amp;" "&amp;IF(AND(Milestones!$AB$69="FT",Milestones!$AA$69=FT_Y5,EDATE($D32,Milestones!$AA$69)&lt;PolicyEff),1,Milestones!$AC$69)&amp;";  ","")&amp;IF(AND(EDATE($D32,Milestones!$AA$70)&lt;=AsOfDate,EDATE($D32,Milestones!$AA$70)&gt;=SchemeStart,IF($X32=0,$AD32,IF(AND($Z32&lt;&gt;"",EDATE($D32,Milestones!$AA$70)&gt;=$Z32),$AC32,IF(AND($Y32&lt;&gt;"",EDATE($D32,Milestones!$AA$70)&gt;=$Y32),$AB32,$AA32)))=Milestones!$AB$70),UPPER(TEXT(EDATE($D32,Milestones!$AA$70),"dd mmm yy"))&amp;" "&amp;Milestones!$AB$70&amp;" "&amp;IF(AND(Milestones!$AB$70="FT",Milestones!$AA$70=FT_Y5,EDATE($D32,Milestones!$AA$70)&lt;PolicyEff),1,Milestones!$AC$70)&amp;";  ","")&amp;IF(AND(EDATE($D32,Milestones!$AA$71)&lt;=AsOfDate,EDATE($D32,Milestones!$AA$71)&gt;=SchemeStart,IF($X32=0,$AD32,IF(AND($Z32&lt;&gt;"",EDATE($D32,Milestones!$AA$71)&gt;=$Z32),$AC32,IF(AND($Y32&lt;&gt;"",EDATE($D32,Milestones!$AA$71)&gt;=$Y32),$AB32,$AA32)))=Milestones!$AB$71),UPPER(TEXT(EDATE($D32,Milestones!$AA$71),"dd mmm yy"))&amp;" "&amp;Milestones!$AB$71&amp;" "&amp;IF(AND(Milestones!$AB$71="FT",Milestones!$AA$71=FT_Y5,EDATE($D32,Milestones!$AA$71)&lt;PolicyEff),1,Milestones!$AC$71)&amp;";  ","")&amp;IF(AND(EDATE($D32,Milestones!$AA$72)&lt;=AsOfDate,EDATE($D32,Milestones!$AA$72)&gt;=SchemeStart,IF($X32=0,$AD32,IF(AND($Z32&lt;&gt;"",EDATE($D32,Milestones!$AA$72)&gt;=$Z32),$AC32,IF(AND($Y32&lt;&gt;"",EDATE($D32,Milestones!$AA$72)&gt;=$Y32),$AB32,$AA32)))=Milestones!$AB$72),UPPER(TEXT(EDATE($D32,Milestones!$AA$72),"dd mmm yy"))&amp;" "&amp;Milestones!$AB$72&amp;" "&amp;IF(AND(Milestones!$AB$72="FT",Milestones!$AA$72=FT_Y5,EDATE($D32,Milestones!$AA$72)&lt;PolicyEff),1,Milestones!$AC$72)&amp;";  ","")&amp;IF(AND(EDATE($D32,Milestones!$AA$73)&lt;=AsOfDate,EDATE($D32,Milestones!$AA$73)&gt;=SchemeStart,IF($X32=0,$AD32,IF(AND($Z32&lt;&gt;"",EDATE($D32,Milestones!$AA$73)&gt;=$Z32),$AC32,IF(AND($Y32&lt;&gt;"",EDATE($D32,Milestones!$AA$73)&gt;=$Y32),$AB32,$AA32)))=Milestones!$AB$73),UPPER(TEXT(EDATE($D32,Milestones!$AA$73),"dd mmm yy"))&amp;" "&amp;Milestones!$AB$73&amp;" "&amp;IF(AND(Milestones!$AB$73="FT",Milestones!$AA$73=FT_Y5,EDATE($D32,Milestones!$AA$73)&lt;PolicyEff),1,Milestones!$AC$73)&amp;";  ","")&amp;IF(AND(EDATE($D32,Milestones!$AA$74)&lt;=AsOfDate,EDATE($D32,Milestones!$AA$74)&gt;=SchemeStart,IF($X32=0,$AD32,IF(AND($Z32&lt;&gt;"",EDATE($D32,Milestones!$AA$74)&gt;=$Z32),$AC32,IF(AND($Y32&lt;&gt;"",EDATE($D32,Milestones!$AA$74)&gt;=$Y32),$AB32,$AA32)))=Milestones!$AB$74),UPPER(TEXT(EDATE($D32,Milestones!$AA$74),"dd mmm yy"))&amp;" "&amp;Milestones!$AB$74&amp;" "&amp;IF(AND(Milestones!$AB$74="FT",Milestones!$AA$74=FT_Y5,EDATE($D32,Milestones!$AA$74)&lt;PolicyEff),1,Milestones!$AC$74)&amp;";  ","")&amp;IF(AND(EDATE($D32,Milestones!$AA$75)&lt;=AsOfDate,EDATE($D32,Milestones!$AA$75)&gt;=SchemeStart,IF($X32=0,$AD32,IF(AND($Z32&lt;&gt;"",EDATE($D32,Milestones!$AA$75)&gt;=$Z32),$AC32,IF(AND($Y32&lt;&gt;"",EDATE($D32,Milestones!$AA$75)&gt;=$Y32),$AB32,$AA32)))=Milestones!$AB$75),UPPER(TEXT(EDATE($D32,Milestones!$AA$75),"dd mmm yy"))&amp;" "&amp;Milestones!$AB$75&amp;" "&amp;IF(AND(Milestones!$AB$75="FT",Milestones!$AA$75=FT_Y5,EDATE($D32,Milestones!$AA$75)&lt;PolicyEff),1,Milestones!$AC$75)&amp;";  ","")&amp;IF(AND(EDATE($D32,Milestones!$AA$76)&lt;=AsOfDate,EDATE($D32,Milestones!$AA$76)&gt;=SchemeStart,IF($X32=0,$AD32,IF(AND($Z32&lt;&gt;"",EDATE($D32,Milestones!$AA$76)&gt;=$Z32),$AC32,IF(AND($Y32&lt;&gt;"",EDATE($D32,Milestones!$AA$76)&gt;=$Y32),$AB32,$AA32)))=Milestones!$AB$76),UPPER(TEXT(EDATE($D32,Milestones!$AA$76),"dd mmm yy"))&amp;" "&amp;Milestones!$AB$76&amp;" "&amp;IF(AND(Milestones!$AB$76="FT",Milestones!$AA$76=FT_Y5,EDATE($D32,Milestones!$AA$76)&lt;PolicyEff),1,Milestones!$AC$76)&amp;";  ","")&amp;IF(AND(EDATE($D32,Milestones!$AA$77)&lt;=AsOfDate,EDATE($D32,Milestones!$AA$77)&gt;=SchemeStart,IF($X32=0,$AD32,IF(AND($Z32&lt;&gt;"",EDATE($D32,Milestones!$AA$77)&gt;=$Z32),$AC32,IF(AND($Y32&lt;&gt;"",EDATE($D32,Milestones!$AA$77)&gt;=$Y32),$AB32,$AA32)))=Milestones!$AB$77),UPPER(TEXT(EDATE($D32,Milestones!$AA$77),"dd mmm yy"))&amp;" "&amp;Milestones!$AB$77&amp;" "&amp;IF(AND(Milestones!$AB$77="FT",Milestones!$AA$77=FT_Y5,EDATE($D32,Milestones!$AA$77)&lt;PolicyEff),1,Milestones!$AC$77)&amp;";  ","")&amp;IF(AND(EDATE($D32,Milestones!$AA$78)&lt;=AsOfDate,EDATE($D32,Milestones!$AA$78)&gt;=SchemeStart,IF($X32=0,$AD32,IF(AND($Z32&lt;&gt;"",EDATE($D32,Milestones!$AA$78)&gt;=$Z32),$AC32,IF(AND($Y32&lt;&gt;"",EDATE($D32,Milestones!$AA$78)&gt;=$Y32),$AB32,$AA32)))=Milestones!$AB$78),UPPER(TEXT(EDATE($D32,Milestones!$AA$78),"dd mmm yy"))&amp;" "&amp;Milestones!$AB$78&amp;" "&amp;IF(AND(Milestones!$AB$78="FT",Milestones!$AA$78=FT_Y5,EDATE($D32,Milestones!$AA$78)&lt;PolicyEff),1,Milestones!$AC$78)&amp;";  ","")&amp;IF(AND(EDATE($D32,Milestones!$AA$79)&lt;=AsOfDate,EDATE($D32,Milestones!$AA$79)&gt;=SchemeStart,IF($X32=0,$AD32,IF(AND($Z32&lt;&gt;"",EDATE($D32,Milestones!$AA$79)&gt;=$Z32),$AC32,IF(AND($Y32&lt;&gt;"",EDATE($D32,Milestones!$AA$79)&gt;=$Y32),$AB32,$AA32)))=Milestones!$AB$79),UPPER(TEXT(EDATE($D32,Milestones!$AA$79),"dd mmm yy"))&amp;" "&amp;Milestones!$AB$79&amp;" "&amp;IF(AND(Milestones!$AB$79="FT",Milestones!$AA$79=FT_Y5,EDATE($D32,Milestones!$AA$79)&lt;PolicyEff),1,Milestones!$AC$79)&amp;";  ",""))</f>
        <v/>
      </c>
      <c r="N32" s="0" t="str">
        <f aca="false">IF(OR($A32="",$D32=""),"",IF(AND(EDATE($D32,Milestones!$AA$80)&lt;=AsOfDate,EDATE($D32,Milestones!$AA$80)&gt;=SchemeStart,IF($X32=0,$AD32,IF(AND($Z32&lt;&gt;"",EDATE($D32,Milestones!$AA$80)&gt;=$Z32),$AC32,IF(AND($Y32&lt;&gt;"",EDATE($D32,Milestones!$AA$80)&gt;=$Y32),$AB32,$AA32)))=Milestones!$AB$80),UPPER(TEXT(EDATE($D32,Milestones!$AA$80),"dd mmm yy"))&amp;" "&amp;Milestones!$AB$80&amp;" "&amp;IF(AND(Milestones!$AB$80="FT",Milestones!$AA$80=FT_Y5,EDATE($D32,Milestones!$AA$80)&lt;PolicyEff),1,Milestones!$AC$80)&amp;";  ","")&amp;IF(AND(EDATE($D32,Milestones!$AA$81)&lt;=AsOfDate,EDATE($D32,Milestones!$AA$81)&gt;=SchemeStart,IF($X32=0,$AD32,IF(AND($Z32&lt;&gt;"",EDATE($D32,Milestones!$AA$81)&gt;=$Z32),$AC32,IF(AND($Y32&lt;&gt;"",EDATE($D32,Milestones!$AA$81)&gt;=$Y32),$AB32,$AA32)))=Milestones!$AB$81),UPPER(TEXT(EDATE($D32,Milestones!$AA$81),"dd mmm yy"))&amp;" "&amp;Milestones!$AB$81&amp;" "&amp;IF(AND(Milestones!$AB$81="FT",Milestones!$AA$81=FT_Y5,EDATE($D32,Milestones!$AA$81)&lt;PolicyEff),1,Milestones!$AC$81)&amp;";  ","")&amp;IF(AND(EDATE($D32,Milestones!$AA$82)&lt;=AsOfDate,EDATE($D32,Milestones!$AA$82)&gt;=SchemeStart,IF($X32=0,$AD32,IF(AND($Z32&lt;&gt;"",EDATE($D32,Milestones!$AA$82)&gt;=$Z32),$AC32,IF(AND($Y32&lt;&gt;"",EDATE($D32,Milestones!$AA$82)&gt;=$Y32),$AB32,$AA32)))=Milestones!$AB$82),UPPER(TEXT(EDATE($D32,Milestones!$AA$82),"dd mmm yy"))&amp;" "&amp;Milestones!$AB$82&amp;" "&amp;IF(AND(Milestones!$AB$82="FT",Milestones!$AA$82=FT_Y5,EDATE($D32,Milestones!$AA$82)&lt;PolicyEff),1,Milestones!$AC$82)&amp;";  ","")&amp;IF(AND(EDATE($D32,Milestones!$AA$83)&lt;=AsOfDate,EDATE($D32,Milestones!$AA$83)&gt;=SchemeStart,IF($X32=0,$AD32,IF(AND($Z32&lt;&gt;"",EDATE($D32,Milestones!$AA$83)&gt;=$Z32),$AC32,IF(AND($Y32&lt;&gt;"",EDATE($D32,Milestones!$AA$83)&gt;=$Y32),$AB32,$AA32)))=Milestones!$AB$83),UPPER(TEXT(EDATE($D32,Milestones!$AA$83),"dd mmm yy"))&amp;" "&amp;Milestones!$AB$83&amp;" "&amp;IF(AND(Milestones!$AB$83="FT",Milestones!$AA$83=FT_Y5,EDATE($D32,Milestones!$AA$83)&lt;PolicyEff),1,Milestones!$AC$83)&amp;";  ","")&amp;IF(AND(EDATE($D32,Milestones!$AA$84)&lt;=AsOfDate,EDATE($D32,Milestones!$AA$84)&gt;=SchemeStart,IF($X32=0,$AD32,IF(AND($Z32&lt;&gt;"",EDATE($D32,Milestones!$AA$84)&gt;=$Z32),$AC32,IF(AND($Y32&lt;&gt;"",EDATE($D32,Milestones!$AA$84)&gt;=$Y32),$AB32,$AA32)))=Milestones!$AB$84),UPPER(TEXT(EDATE($D32,Milestones!$AA$84),"dd mmm yy"))&amp;" "&amp;Milestones!$AB$84&amp;" "&amp;IF(AND(Milestones!$AB$84="FT",Milestones!$AA$84=FT_Y5,EDATE($D32,Milestones!$AA$84)&lt;PolicyEff),1,Milestones!$AC$84)&amp;";  ","")&amp;IF(AND(EDATE($D32,Milestones!$AA$85)&lt;=AsOfDate,EDATE($D32,Milestones!$AA$85)&gt;=SchemeStart,IF($X32=0,$AD32,IF(AND($Z32&lt;&gt;"",EDATE($D32,Milestones!$AA$85)&gt;=$Z32),$AC32,IF(AND($Y32&lt;&gt;"",EDATE($D32,Milestones!$AA$85)&gt;=$Y32),$AB32,$AA32)))=Milestones!$AB$85),UPPER(TEXT(EDATE($D32,Milestones!$AA$85),"dd mmm yy"))&amp;" "&amp;Milestones!$AB$85&amp;" "&amp;IF(AND(Milestones!$AB$85="FT",Milestones!$AA$85=FT_Y5,EDATE($D32,Milestones!$AA$85)&lt;PolicyEff),1,Milestones!$AC$85)&amp;";  ","")&amp;IF(AND(EDATE($D32,Milestones!$AA$86)&lt;=AsOfDate,EDATE($D32,Milestones!$AA$86)&gt;=SchemeStart,IF($X32=0,$AD32,IF(AND($Z32&lt;&gt;"",EDATE($D32,Milestones!$AA$86)&gt;=$Z32),$AC32,IF(AND($Y32&lt;&gt;"",EDATE($D32,Milestones!$AA$86)&gt;=$Y32),$AB32,$AA32)))=Milestones!$AB$86),UPPER(TEXT(EDATE($D32,Milestones!$AA$86),"dd mmm yy"))&amp;" "&amp;Milestones!$AB$86&amp;" "&amp;IF(AND(Milestones!$AB$86="FT",Milestones!$AA$86=FT_Y5,EDATE($D32,Milestones!$AA$86)&lt;PolicyEff),1,Milestones!$AC$86)&amp;";  ","")&amp;IF(AND(EDATE($D32,Milestones!$AA$87)&lt;=AsOfDate,EDATE($D32,Milestones!$AA$87)&gt;=SchemeStart,IF($X32=0,$AD32,IF(AND($Z32&lt;&gt;"",EDATE($D32,Milestones!$AA$87)&gt;=$Z32),$AC32,IF(AND($Y32&lt;&gt;"",EDATE($D32,Milestones!$AA$87)&gt;=$Y32),$AB32,$AA32)))=Milestones!$AB$87),UPPER(TEXT(EDATE($D32,Milestones!$AA$87),"dd mmm yy"))&amp;" "&amp;Milestones!$AB$87&amp;" "&amp;IF(AND(Milestones!$AB$87="FT",Milestones!$AA$87=FT_Y5,EDATE($D32,Milestones!$AA$87)&lt;PolicyEff),1,Milestones!$AC$87)&amp;";  ","")&amp;IF(AND(EDATE($D32,Milestones!$AA$88)&lt;=AsOfDate,EDATE($D32,Milestones!$AA$88)&gt;=SchemeStart,IF($X32=0,$AD32,IF(AND($Z32&lt;&gt;"",EDATE($D32,Milestones!$AA$88)&gt;=$Z32),$AC32,IF(AND($Y32&lt;&gt;"",EDATE($D32,Milestones!$AA$88)&gt;=$Y32),$AB32,$AA32)))=Milestones!$AB$88),UPPER(TEXT(EDATE($D32,Milestones!$AA$88),"dd mmm yy"))&amp;" "&amp;Milestones!$AB$88&amp;" "&amp;IF(AND(Milestones!$AB$88="FT",Milestones!$AA$88=FT_Y5,EDATE($D32,Milestones!$AA$88)&lt;PolicyEff),1,Milestones!$AC$88)&amp;";  ","")&amp;IF(AND(EDATE($D32,Milestones!$AA$89)&lt;=AsOfDate,EDATE($D32,Milestones!$AA$89)&gt;=SchemeStart,IF($X32=0,$AD32,IF(AND($Z32&lt;&gt;"",EDATE($D32,Milestones!$AA$89)&gt;=$Z32),$AC32,IF(AND($Y32&lt;&gt;"",EDATE($D32,Milestones!$AA$89)&gt;=$Y32),$AB32,$AA32)))=Milestones!$AB$89),UPPER(TEXT(EDATE($D32,Milestones!$AA$89),"dd mmm yy"))&amp;" "&amp;Milestones!$AB$89&amp;" "&amp;IF(AND(Milestones!$AB$89="FT",Milestones!$AA$89=FT_Y5,EDATE($D32,Milestones!$AA$89)&lt;PolicyEff),1,Milestones!$AC$89)&amp;";  ","")&amp;IF(AND(EDATE($D32,Milestones!$AA$90)&lt;=AsOfDate,EDATE($D32,Milestones!$AA$90)&gt;=SchemeStart,IF($X32=0,$AD32,IF(AND($Z32&lt;&gt;"",EDATE($D32,Milestones!$AA$90)&gt;=$Z32),$AC32,IF(AND($Y32&lt;&gt;"",EDATE($D32,Milestones!$AA$90)&gt;=$Y32),$AB32,$AA32)))=Milestones!$AB$90),UPPER(TEXT(EDATE($D32,Milestones!$AA$90),"dd mmm yy"))&amp;" "&amp;Milestones!$AB$90&amp;" "&amp;IF(AND(Milestones!$AB$90="FT",Milestones!$AA$90=FT_Y5,EDATE($D32,Milestones!$AA$90)&lt;PolicyEff),1,Milestones!$AC$90)&amp;";  ","")&amp;IF(AND(EDATE($D32,Milestones!$AA$91)&lt;=AsOfDate,EDATE($D32,Milestones!$AA$91)&gt;=SchemeStart,IF($X32=0,$AD32,IF(AND($Z32&lt;&gt;"",EDATE($D32,Milestones!$AA$91)&gt;=$Z32),$AC32,IF(AND($Y32&lt;&gt;"",EDATE($D32,Milestones!$AA$91)&gt;=$Y32),$AB32,$AA32)))=Milestones!$AB$91),UPPER(TEXT(EDATE($D32,Milestones!$AA$91),"dd mmm yy"))&amp;" "&amp;Milestones!$AB$91&amp;" "&amp;IF(AND(Milestones!$AB$91="FT",Milestones!$AA$91=FT_Y5,EDATE($D32,Milestones!$AA$91)&lt;PolicyEff),1,Milestones!$AC$91)&amp;";  ",""))</f>
        <v/>
      </c>
      <c r="O32" s="0" t="str">
        <f aca="false">IF(OR($A32="",$D32=""),"",IF(AND(EDATE($D32,Milestones!$AA$92)&lt;=AsOfDate,EDATE($D32,Milestones!$AA$92)&gt;=SchemeStart,IF($X32=0,$AD32,IF(AND($Z32&lt;&gt;"",EDATE($D32,Milestones!$AA$92)&gt;=$Z32),$AC32,IF(AND($Y32&lt;&gt;"",EDATE($D32,Milestones!$AA$92)&gt;=$Y32),$AB32,$AA32)))=Milestones!$AB$92),UPPER(TEXT(EDATE($D32,Milestones!$AA$92),"dd mmm yy"))&amp;" "&amp;Milestones!$AB$92&amp;" "&amp;IF(AND(Milestones!$AB$92="FT",Milestones!$AA$92=FT_Y5,EDATE($D32,Milestones!$AA$92)&lt;PolicyEff),1,Milestones!$AC$92)&amp;";  ","")&amp;IF(AND(EDATE($D32,Milestones!$AA$93)&lt;=AsOfDate,EDATE($D32,Milestones!$AA$93)&gt;=SchemeStart,IF($X32=0,$AD32,IF(AND($Z32&lt;&gt;"",EDATE($D32,Milestones!$AA$93)&gt;=$Z32),$AC32,IF(AND($Y32&lt;&gt;"",EDATE($D32,Milestones!$AA$93)&gt;=$Y32),$AB32,$AA32)))=Milestones!$AB$93),UPPER(TEXT(EDATE($D32,Milestones!$AA$93),"dd mmm yy"))&amp;" "&amp;Milestones!$AB$93&amp;" "&amp;IF(AND(Milestones!$AB$93="FT",Milestones!$AA$93=FT_Y5,EDATE($D32,Milestones!$AA$93)&lt;PolicyEff),1,Milestones!$AC$93)&amp;";  ","")&amp;IF(AND(EDATE($D32,Milestones!$AA$94)&lt;=AsOfDate,EDATE($D32,Milestones!$AA$94)&gt;=SchemeStart,IF($X32=0,$AD32,IF(AND($Z32&lt;&gt;"",EDATE($D32,Milestones!$AA$94)&gt;=$Z32),$AC32,IF(AND($Y32&lt;&gt;"",EDATE($D32,Milestones!$AA$94)&gt;=$Y32),$AB32,$AA32)))=Milestones!$AB$94),UPPER(TEXT(EDATE($D32,Milestones!$AA$94),"dd mmm yy"))&amp;" "&amp;Milestones!$AB$94&amp;" "&amp;IF(AND(Milestones!$AB$94="FT",Milestones!$AA$94=FT_Y5,EDATE($D32,Milestones!$AA$94)&lt;PolicyEff),1,Milestones!$AC$94)&amp;";  ","")&amp;IF(AND(EDATE($D32,Milestones!$AA$95)&lt;=AsOfDate,EDATE($D32,Milestones!$AA$95)&gt;=SchemeStart,IF($X32=0,$AD32,IF(AND($Z32&lt;&gt;"",EDATE($D32,Milestones!$AA$95)&gt;=$Z32),$AC32,IF(AND($Y32&lt;&gt;"",EDATE($D32,Milestones!$AA$95)&gt;=$Y32),$AB32,$AA32)))=Milestones!$AB$95),UPPER(TEXT(EDATE($D32,Milestones!$AA$95),"dd mmm yy"))&amp;" "&amp;Milestones!$AB$95&amp;" "&amp;IF(AND(Milestones!$AB$95="FT",Milestones!$AA$95=FT_Y5,EDATE($D32,Milestones!$AA$95)&lt;PolicyEff),1,Milestones!$AC$95)&amp;";  ","")&amp;IF(AND(EDATE($D32,Milestones!$AA$96)&lt;=AsOfDate,EDATE($D32,Milestones!$AA$96)&gt;=SchemeStart,IF($X32=0,$AD32,IF(AND($Z32&lt;&gt;"",EDATE($D32,Milestones!$AA$96)&gt;=$Z32),$AC32,IF(AND($Y32&lt;&gt;"",EDATE($D32,Milestones!$AA$96)&gt;=$Y32),$AB32,$AA32)))=Milestones!$AB$96),UPPER(TEXT(EDATE($D32,Milestones!$AA$96),"dd mmm yy"))&amp;" "&amp;Milestones!$AB$96&amp;" "&amp;IF(AND(Milestones!$AB$96="FT",Milestones!$AA$96=FT_Y5,EDATE($D32,Milestones!$AA$96)&lt;PolicyEff),1,Milestones!$AC$96)&amp;";  ","")&amp;IF(AND(EDATE($D32,Milestones!$AA$97)&lt;=AsOfDate,EDATE($D32,Milestones!$AA$97)&gt;=SchemeStart,IF($X32=0,$AD32,IF(AND($Z32&lt;&gt;"",EDATE($D32,Milestones!$AA$97)&gt;=$Z32),$AC32,IF(AND($Y32&lt;&gt;"",EDATE($D32,Milestones!$AA$97)&gt;=$Y32),$AB32,$AA32)))=Milestones!$AB$97),UPPER(TEXT(EDATE($D32,Milestones!$AA$97),"dd mmm yy"))&amp;" "&amp;Milestones!$AB$97&amp;" "&amp;IF(AND(Milestones!$AB$97="FT",Milestones!$AA$97=FT_Y5,EDATE($D32,Milestones!$AA$97)&lt;PolicyEff),1,Milestones!$AC$97)&amp;";  ","")&amp;IF(AND(EDATE($D32,Milestones!$AA$98)&lt;=AsOfDate,EDATE($D32,Milestones!$AA$98)&gt;=SchemeStart,IF($X32=0,$AD32,IF(AND($Z32&lt;&gt;"",EDATE($D32,Milestones!$AA$98)&gt;=$Z32),$AC32,IF(AND($Y32&lt;&gt;"",EDATE($D32,Milestones!$AA$98)&gt;=$Y32),$AB32,$AA32)))=Milestones!$AB$98),UPPER(TEXT(EDATE($D32,Milestones!$AA$98),"dd mmm yy"))&amp;" "&amp;Milestones!$AB$98&amp;" "&amp;IF(AND(Milestones!$AB$98="FT",Milestones!$AA$98=FT_Y5,EDATE($D32,Milestones!$AA$98)&lt;PolicyEff),1,Milestones!$AC$98)&amp;";  ","")&amp;IF(AND(EDATE($D32,Milestones!$AA$99)&lt;=AsOfDate,EDATE($D32,Milestones!$AA$99)&gt;=SchemeStart,IF($X32=0,$AD32,IF(AND($Z32&lt;&gt;"",EDATE($D32,Milestones!$AA$99)&gt;=$Z32),$AC32,IF(AND($Y32&lt;&gt;"",EDATE($D32,Milestones!$AA$99)&gt;=$Y32),$AB32,$AA32)))=Milestones!$AB$99),UPPER(TEXT(EDATE($D32,Milestones!$AA$99),"dd mmm yy"))&amp;" "&amp;Milestones!$AB$99&amp;" "&amp;IF(AND(Milestones!$AB$99="FT",Milestones!$AA$99=FT_Y5,EDATE($D32,Milestones!$AA$99)&lt;PolicyEff),1,Milestones!$AC$99)&amp;";  ","")&amp;IF(AND(EDATE($D32,Milestones!$AA$100)&lt;=AsOfDate,EDATE($D32,Milestones!$AA$100)&gt;=SchemeStart,IF($X32=0,$AD32,IF(AND($Z32&lt;&gt;"",EDATE($D32,Milestones!$AA$100)&gt;=$Z32),$AC32,IF(AND($Y32&lt;&gt;"",EDATE($D32,Milestones!$AA$100)&gt;=$Y32),$AB32,$AA32)))=Milestones!$AB$100),UPPER(TEXT(EDATE($D32,Milestones!$AA$100),"dd mmm yy"))&amp;" "&amp;Milestones!$AB$100&amp;" "&amp;IF(AND(Milestones!$AB$100="FT",Milestones!$AA$100=FT_Y5,EDATE($D32,Milestones!$AA$100)&lt;PolicyEff),1,Milestones!$AC$100)&amp;";  ","")&amp;IF(AND(EDATE($D32,Milestones!$AA$101)&lt;=AsOfDate,EDATE($D32,Milestones!$AA$101)&gt;=SchemeStart,IF($X32=0,$AD32,IF(AND($Z32&lt;&gt;"",EDATE($D32,Milestones!$AA$101)&gt;=$Z32),$AC32,IF(AND($Y32&lt;&gt;"",EDATE($D32,Milestones!$AA$101)&gt;=$Y32),$AB32,$AA32)))=Milestones!$AB$101),UPPER(TEXT(EDATE($D32,Milestones!$AA$101),"dd mmm yy"))&amp;" "&amp;Milestones!$AB$101&amp;" "&amp;IF(AND(Milestones!$AB$101="FT",Milestones!$AA$101=FT_Y5,EDATE($D32,Milestones!$AA$101)&lt;PolicyEff),1,Milestones!$AC$101)&amp;";  ","")&amp;IF(AND(EDATE($D32,Milestones!$AA$102)&lt;=AsOfDate,EDATE($D32,Milestones!$AA$102)&gt;=SchemeStart,IF($X32=0,$AD32,IF(AND($Z32&lt;&gt;"",EDATE($D32,Milestones!$AA$102)&gt;=$Z32),$AC32,IF(AND($Y32&lt;&gt;"",EDATE($D32,Milestones!$AA$102)&gt;=$Y32),$AB32,$AA32)))=Milestones!$AB$102),UPPER(TEXT(EDATE($D32,Milestones!$AA$102),"dd mmm yy"))&amp;" "&amp;Milestones!$AB$102&amp;" "&amp;IF(AND(Milestones!$AB$102="FT",Milestones!$AA$102=FT_Y5,EDATE($D32,Milestones!$AA$102)&lt;PolicyEff),1,Milestones!$AC$102)&amp;";  ","")&amp;IF(AND(EDATE($D32,Milestones!$AA$103)&lt;=AsOfDate,EDATE($D32,Milestones!$AA$103)&gt;=SchemeStart,IF($X32=0,$AD32,IF(AND($Z32&lt;&gt;"",EDATE($D32,Milestones!$AA$103)&gt;=$Z32),$AC32,IF(AND($Y32&lt;&gt;"",EDATE($D32,Milestones!$AA$103)&gt;=$Y32),$AB32,$AA32)))=Milestones!$AB$103),UPPER(TEXT(EDATE($D32,Milestones!$AA$103),"dd mmm yy"))&amp;" "&amp;Milestones!$AB$103&amp;" "&amp;IF(AND(Milestones!$AB$103="FT",Milestones!$AA$103=FT_Y5,EDATE($D32,Milestones!$AA$103)&lt;PolicyEff),1,Milestones!$AC$103)&amp;";  ",""))</f>
        <v/>
      </c>
      <c r="P32" s="0" t="str">
        <f aca="false">IF(OR($A32="",$D32=""),"",IF(AND(EDATE($D32,Milestones!$AA$104)&lt;=AsOfDate,EDATE($D32,Milestones!$AA$104)&gt;=SchemeStart,IF($X32=0,$AD32,IF(AND($Z32&lt;&gt;"",EDATE($D32,Milestones!$AA$104)&gt;=$Z32),$AC32,IF(AND($Y32&lt;&gt;"",EDATE($D32,Milestones!$AA$104)&gt;=$Y32),$AB32,$AA32)))=Milestones!$AB$104),UPPER(TEXT(EDATE($D32,Milestones!$AA$104),"dd mmm yy"))&amp;" "&amp;Milestones!$AB$104&amp;" "&amp;IF(AND(Milestones!$AB$104="FT",Milestones!$AA$104=FT_Y5,EDATE($D32,Milestones!$AA$104)&lt;PolicyEff),1,Milestones!$AC$104)&amp;";  ","")&amp;IF(AND(EDATE($D32,Milestones!$AA$105)&lt;=AsOfDate,EDATE($D32,Milestones!$AA$105)&gt;=SchemeStart,IF($X32=0,$AD32,IF(AND($Z32&lt;&gt;"",EDATE($D32,Milestones!$AA$105)&gt;=$Z32),$AC32,IF(AND($Y32&lt;&gt;"",EDATE($D32,Milestones!$AA$105)&gt;=$Y32),$AB32,$AA32)))=Milestones!$AB$105),UPPER(TEXT(EDATE($D32,Milestones!$AA$105),"dd mmm yy"))&amp;" "&amp;Milestones!$AB$105&amp;" "&amp;IF(AND(Milestones!$AB$105="FT",Milestones!$AA$105=FT_Y5,EDATE($D32,Milestones!$AA$105)&lt;PolicyEff),1,Milestones!$AC$105)&amp;";  ","")&amp;IF(AND(EDATE($D32,Milestones!$AA$106)&lt;=AsOfDate,EDATE($D32,Milestones!$AA$106)&gt;=SchemeStart,IF($X32=0,$AD32,IF(AND($Z32&lt;&gt;"",EDATE($D32,Milestones!$AA$106)&gt;=$Z32),$AC32,IF(AND($Y32&lt;&gt;"",EDATE($D32,Milestones!$AA$106)&gt;=$Y32),$AB32,$AA32)))=Milestones!$AB$106),UPPER(TEXT(EDATE($D32,Milestones!$AA$106),"dd mmm yy"))&amp;" "&amp;Milestones!$AB$106&amp;" "&amp;IF(AND(Milestones!$AB$106="FT",Milestones!$AA$106=FT_Y5,EDATE($D32,Milestones!$AA$106)&lt;PolicyEff),1,Milestones!$AC$106)&amp;";  ","")&amp;IF(AND(EDATE($D32,Milestones!$AA$107)&lt;=AsOfDate,EDATE($D32,Milestones!$AA$107)&gt;=SchemeStart,IF($X32=0,$AD32,IF(AND($Z32&lt;&gt;"",EDATE($D32,Milestones!$AA$107)&gt;=$Z32),$AC32,IF(AND($Y32&lt;&gt;"",EDATE($D32,Milestones!$AA$107)&gt;=$Y32),$AB32,$AA32)))=Milestones!$AB$107),UPPER(TEXT(EDATE($D32,Milestones!$AA$107),"dd mmm yy"))&amp;" "&amp;Milestones!$AB$107&amp;" "&amp;IF(AND(Milestones!$AB$107="FT",Milestones!$AA$107=FT_Y5,EDATE($D32,Milestones!$AA$107)&lt;PolicyEff),1,Milestones!$AC$107)&amp;";  ","")&amp;IF(AND(EDATE($D32,Milestones!$AA$108)&lt;=AsOfDate,EDATE($D32,Milestones!$AA$108)&gt;=SchemeStart,IF($X32=0,$AD32,IF(AND($Z32&lt;&gt;"",EDATE($D32,Milestones!$AA$108)&gt;=$Z32),$AC32,IF(AND($Y32&lt;&gt;"",EDATE($D32,Milestones!$AA$108)&gt;=$Y32),$AB32,$AA32)))=Milestones!$AB$108),UPPER(TEXT(EDATE($D32,Milestones!$AA$108),"dd mmm yy"))&amp;" "&amp;Milestones!$AB$108&amp;" "&amp;IF(AND(Milestones!$AB$108="FT",Milestones!$AA$108=FT_Y5,EDATE($D32,Milestones!$AA$108)&lt;PolicyEff),1,Milestones!$AC$108)&amp;";  ","")&amp;IF(AND(EDATE($D32,Milestones!$AA$109)&lt;=AsOfDate,EDATE($D32,Milestones!$AA$109)&gt;=SchemeStart,IF($X32=0,$AD32,IF(AND($Z32&lt;&gt;"",EDATE($D32,Milestones!$AA$109)&gt;=$Z32),$AC32,IF(AND($Y32&lt;&gt;"",EDATE($D32,Milestones!$AA$109)&gt;=$Y32),$AB32,$AA32)))=Milestones!$AB$109),UPPER(TEXT(EDATE($D32,Milestones!$AA$109),"dd mmm yy"))&amp;" "&amp;Milestones!$AB$109&amp;" "&amp;IF(AND(Milestones!$AB$109="FT",Milestones!$AA$109=FT_Y5,EDATE($D32,Milestones!$AA$109)&lt;PolicyEff),1,Milestones!$AC$109)&amp;";  ","")&amp;IF(AND(EDATE($D32,Milestones!$AA$110)&lt;=AsOfDate,EDATE($D32,Milestones!$AA$110)&gt;=SchemeStart,IF($X32=0,$AD32,IF(AND($Z32&lt;&gt;"",EDATE($D32,Milestones!$AA$110)&gt;=$Z32),$AC32,IF(AND($Y32&lt;&gt;"",EDATE($D32,Milestones!$AA$110)&gt;=$Y32),$AB32,$AA32)))=Milestones!$AB$110),UPPER(TEXT(EDATE($D32,Milestones!$AA$110),"dd mmm yy"))&amp;" "&amp;Milestones!$AB$110&amp;" "&amp;IF(AND(Milestones!$AB$110="FT",Milestones!$AA$110=FT_Y5,EDATE($D32,Milestones!$AA$110)&lt;PolicyEff),1,Milestones!$AC$110)&amp;";  ","")&amp;IF(AND(EDATE($D32,Milestones!$AA$111)&lt;=AsOfDate,EDATE($D32,Milestones!$AA$111)&gt;=SchemeStart,IF($X32=0,$AD32,IF(AND($Z32&lt;&gt;"",EDATE($D32,Milestones!$AA$111)&gt;=$Z32),$AC32,IF(AND($Y32&lt;&gt;"",EDATE($D32,Milestones!$AA$111)&gt;=$Y32),$AB32,$AA32)))=Milestones!$AB$111),UPPER(TEXT(EDATE($D32,Milestones!$AA$111),"dd mmm yy"))&amp;" "&amp;Milestones!$AB$111&amp;" "&amp;IF(AND(Milestones!$AB$111="FT",Milestones!$AA$111=FT_Y5,EDATE($D32,Milestones!$AA$111)&lt;PolicyEff),1,Milestones!$AC$111)&amp;";  ","")&amp;IF(AND(EDATE($D32,Milestones!$AA$112)&lt;=AsOfDate,EDATE($D32,Milestones!$AA$112)&gt;=SchemeStart,IF($X32=0,$AD32,IF(AND($Z32&lt;&gt;"",EDATE($D32,Milestones!$AA$112)&gt;=$Z32),$AC32,IF(AND($Y32&lt;&gt;"",EDATE($D32,Milestones!$AA$112)&gt;=$Y32),$AB32,$AA32)))=Milestones!$AB$112),UPPER(TEXT(EDATE($D32,Milestones!$AA$112),"dd mmm yy"))&amp;" "&amp;Milestones!$AB$112&amp;" "&amp;IF(AND(Milestones!$AB$112="FT",Milestones!$AA$112=FT_Y5,EDATE($D32,Milestones!$AA$112)&lt;PolicyEff),1,Milestones!$AC$112)&amp;";  ","")&amp;IF(AND(EDATE($D32,Milestones!$AA$113)&lt;=AsOfDate,EDATE($D32,Milestones!$AA$113)&gt;=SchemeStart,IF($X32=0,$AD32,IF(AND($Z32&lt;&gt;"",EDATE($D32,Milestones!$AA$113)&gt;=$Z32),$AC32,IF(AND($Y32&lt;&gt;"",EDATE($D32,Milestones!$AA$113)&gt;=$Y32),$AB32,$AA32)))=Milestones!$AB$113),UPPER(TEXT(EDATE($D32,Milestones!$AA$113),"dd mmm yy"))&amp;" "&amp;Milestones!$AB$113&amp;" "&amp;IF(AND(Milestones!$AB$113="FT",Milestones!$AA$113=FT_Y5,EDATE($D32,Milestones!$AA$113)&lt;PolicyEff),1,Milestones!$AC$113)&amp;";  ","")&amp;IF(AND(EDATE($D32,Milestones!$AA$114)&lt;=AsOfDate,EDATE($D32,Milestones!$AA$114)&gt;=SchemeStart,IF($X32=0,$AD32,IF(AND($Z32&lt;&gt;"",EDATE($D32,Milestones!$AA$114)&gt;=$Z32),$AC32,IF(AND($Y32&lt;&gt;"",EDATE($D32,Milestones!$AA$114)&gt;=$Y32),$AB32,$AA32)))=Milestones!$AB$114),UPPER(TEXT(EDATE($D32,Milestones!$AA$114),"dd mmm yy"))&amp;" "&amp;Milestones!$AB$114&amp;" "&amp;IF(AND(Milestones!$AB$114="FT",Milestones!$AA$114=FT_Y5,EDATE($D32,Milestones!$AA$114)&lt;PolicyEff),1,Milestones!$AC$114)&amp;";  ","")&amp;IF(AND(EDATE($D32,Milestones!$AA$115)&lt;=AsOfDate,EDATE($D32,Milestones!$AA$115)&gt;=SchemeStart,IF($X32=0,$AD32,IF(AND($Z32&lt;&gt;"",EDATE($D32,Milestones!$AA$115)&gt;=$Z32),$AC32,IF(AND($Y32&lt;&gt;"",EDATE($D32,Milestones!$AA$115)&gt;=$Y32),$AB32,$AA32)))=Milestones!$AB$115),UPPER(TEXT(EDATE($D32,Milestones!$AA$115),"dd mmm yy"))&amp;" "&amp;Milestones!$AB$115&amp;" "&amp;IF(AND(Milestones!$AB$115="FT",Milestones!$AA$115=FT_Y5,EDATE($D32,Milestones!$AA$115)&lt;PolicyEff),1,Milestones!$AC$115)&amp;";  ",""))</f>
        <v/>
      </c>
      <c r="Q32" s="0" t="str">
        <f aca="false">IF(OR($A32="",$D32=""),"",IF(AND(EDATE($D32,Milestones!$AA$116)&lt;=AsOfDate,EDATE($D32,Milestones!$AA$116)&gt;=SchemeStart,IF($X32=0,$AD32,IF(AND($Z32&lt;&gt;"",EDATE($D32,Milestones!$AA$116)&gt;=$Z32),$AC32,IF(AND($Y32&lt;&gt;"",EDATE($D32,Milestones!$AA$116)&gt;=$Y32),$AB32,$AA32)))=Milestones!$AB$116),UPPER(TEXT(EDATE($D32,Milestones!$AA$116),"dd mmm yy"))&amp;" "&amp;Milestones!$AB$116&amp;" "&amp;IF(AND(Milestones!$AB$116="FT",Milestones!$AA$116=FT_Y5,EDATE($D32,Milestones!$AA$116)&lt;PolicyEff),1,Milestones!$AC$116)&amp;";  ","")&amp;IF(AND(EDATE($D32,Milestones!$AA$117)&lt;=AsOfDate,EDATE($D32,Milestones!$AA$117)&gt;=SchemeStart,IF($X32=0,$AD32,IF(AND($Z32&lt;&gt;"",EDATE($D32,Milestones!$AA$117)&gt;=$Z32),$AC32,IF(AND($Y32&lt;&gt;"",EDATE($D32,Milestones!$AA$117)&gt;=$Y32),$AB32,$AA32)))=Milestones!$AB$117),UPPER(TEXT(EDATE($D32,Milestones!$AA$117),"dd mmm yy"))&amp;" "&amp;Milestones!$AB$117&amp;" "&amp;IF(AND(Milestones!$AB$117="FT",Milestones!$AA$117=FT_Y5,EDATE($D32,Milestones!$AA$117)&lt;PolicyEff),1,Milestones!$AC$117)&amp;";  ","")&amp;IF(AND(EDATE($D32,Milestones!$AA$118)&lt;=AsOfDate,EDATE($D32,Milestones!$AA$118)&gt;=SchemeStart,IF($X32=0,$AD32,IF(AND($Z32&lt;&gt;"",EDATE($D32,Milestones!$AA$118)&gt;=$Z32),$AC32,IF(AND($Y32&lt;&gt;"",EDATE($D32,Milestones!$AA$118)&gt;=$Y32),$AB32,$AA32)))=Milestones!$AB$118),UPPER(TEXT(EDATE($D32,Milestones!$AA$118),"dd mmm yy"))&amp;" "&amp;Milestones!$AB$118&amp;" "&amp;IF(AND(Milestones!$AB$118="FT",Milestones!$AA$118=FT_Y5,EDATE($D32,Milestones!$AA$118)&lt;PolicyEff),1,Milestones!$AC$118)&amp;";  ","")&amp;IF(AND(EDATE($D32,Milestones!$AA$119)&lt;=AsOfDate,EDATE($D32,Milestones!$AA$119)&gt;=SchemeStart,IF($X32=0,$AD32,IF(AND($Z32&lt;&gt;"",EDATE($D32,Milestones!$AA$119)&gt;=$Z32),$AC32,IF(AND($Y32&lt;&gt;"",EDATE($D32,Milestones!$AA$119)&gt;=$Y32),$AB32,$AA32)))=Milestones!$AB$119),UPPER(TEXT(EDATE($D32,Milestones!$AA$119),"dd mmm yy"))&amp;" "&amp;Milestones!$AB$119&amp;" "&amp;IF(AND(Milestones!$AB$119="FT",Milestones!$AA$119=FT_Y5,EDATE($D32,Milestones!$AA$119)&lt;PolicyEff),1,Milestones!$AC$119)&amp;";  ","")&amp;IF(AND(EDATE($D32,Milestones!$AA$120)&lt;=AsOfDate,EDATE($D32,Milestones!$AA$120)&gt;=SchemeStart,IF($X32=0,$AD32,IF(AND($Z32&lt;&gt;"",EDATE($D32,Milestones!$AA$120)&gt;=$Z32),$AC32,IF(AND($Y32&lt;&gt;"",EDATE($D32,Milestones!$AA$120)&gt;=$Y32),$AB32,$AA32)))=Milestones!$AB$120),UPPER(TEXT(EDATE($D32,Milestones!$AA$120),"dd mmm yy"))&amp;" "&amp;Milestones!$AB$120&amp;" "&amp;IF(AND(Milestones!$AB$120="FT",Milestones!$AA$120=FT_Y5,EDATE($D32,Milestones!$AA$120)&lt;PolicyEff),1,Milestones!$AC$120)&amp;";  ","")&amp;IF(AND(EDATE($D32,Milestones!$AA$121)&lt;=AsOfDate,EDATE($D32,Milestones!$AA$121)&gt;=SchemeStart,IF($X32=0,$AD32,IF(AND($Z32&lt;&gt;"",EDATE($D32,Milestones!$AA$121)&gt;=$Z32),$AC32,IF(AND($Y32&lt;&gt;"",EDATE($D32,Milestones!$AA$121)&gt;=$Y32),$AB32,$AA32)))=Milestones!$AB$121),UPPER(TEXT(EDATE($D32,Milestones!$AA$121),"dd mmm yy"))&amp;" "&amp;Milestones!$AB$121&amp;" "&amp;IF(AND(Milestones!$AB$121="FT",Milestones!$AA$121=FT_Y5,EDATE($D32,Milestones!$AA$121)&lt;PolicyEff),1,Milestones!$AC$121)&amp;";  ","")&amp;IF(AND(EDATE($D32,Milestones!$AA$122)&lt;=AsOfDate,EDATE($D32,Milestones!$AA$122)&gt;=SchemeStart,IF($X32=0,$AD32,IF(AND($Z32&lt;&gt;"",EDATE($D32,Milestones!$AA$122)&gt;=$Z32),$AC32,IF(AND($Y32&lt;&gt;"",EDATE($D32,Milestones!$AA$122)&gt;=$Y32),$AB32,$AA32)))=Milestones!$AB$122),UPPER(TEXT(EDATE($D32,Milestones!$AA$122),"dd mmm yy"))&amp;" "&amp;Milestones!$AB$122&amp;" "&amp;IF(AND(Milestones!$AB$122="FT",Milestones!$AA$122=FT_Y5,EDATE($D32,Milestones!$AA$122)&lt;PolicyEff),1,Milestones!$AC$122)&amp;";  ","")&amp;IF(AND(EDATE($D32,Milestones!$AA$123)&lt;=AsOfDate,EDATE($D32,Milestones!$AA$123)&gt;=SchemeStart,IF($X32=0,$AD32,IF(AND($Z32&lt;&gt;"",EDATE($D32,Milestones!$AA$123)&gt;=$Z32),$AC32,IF(AND($Y32&lt;&gt;"",EDATE($D32,Milestones!$AA$123)&gt;=$Y32),$AB32,$AA32)))=Milestones!$AB$123),UPPER(TEXT(EDATE($D32,Milestones!$AA$123),"dd mmm yy"))&amp;" "&amp;Milestones!$AB$123&amp;" "&amp;IF(AND(Milestones!$AB$123="FT",Milestones!$AA$123=FT_Y5,EDATE($D32,Milestones!$AA$123)&lt;PolicyEff),1,Milestones!$AC$123)&amp;";  ","")&amp;IF(AND(EDATE($D32,Milestones!$AA$124)&lt;=AsOfDate,EDATE($D32,Milestones!$AA$124)&gt;=SchemeStart,IF($X32=0,$AD32,IF(AND($Z32&lt;&gt;"",EDATE($D32,Milestones!$AA$124)&gt;=$Z32),$AC32,IF(AND($Y32&lt;&gt;"",EDATE($D32,Milestones!$AA$124)&gt;=$Y32),$AB32,$AA32)))=Milestones!$AB$124),UPPER(TEXT(EDATE($D32,Milestones!$AA$124),"dd mmm yy"))&amp;" "&amp;Milestones!$AB$124&amp;" "&amp;IF(AND(Milestones!$AB$124="FT",Milestones!$AA$124=FT_Y5,EDATE($D32,Milestones!$AA$124)&lt;PolicyEff),1,Milestones!$AC$124)&amp;";  ","")&amp;IF(AND(EDATE($D32,Milestones!$AA$125)&lt;=AsOfDate,EDATE($D32,Milestones!$AA$125)&gt;=SchemeStart,IF($X32=0,$AD32,IF(AND($Z32&lt;&gt;"",EDATE($D32,Milestones!$AA$125)&gt;=$Z32),$AC32,IF(AND($Y32&lt;&gt;"",EDATE($D32,Milestones!$AA$125)&gt;=$Y32),$AB32,$AA32)))=Milestones!$AB$125),UPPER(TEXT(EDATE($D32,Milestones!$AA$125),"dd mmm yy"))&amp;" "&amp;Milestones!$AB$125&amp;" "&amp;IF(AND(Milestones!$AB$125="FT",Milestones!$AA$125=FT_Y5,EDATE($D32,Milestones!$AA$125)&lt;PolicyEff),1,Milestones!$AC$125)&amp;";  ","")&amp;IF(AND(EDATE($D32,Milestones!$AA$126)&lt;=AsOfDate,EDATE($D32,Milestones!$AA$126)&gt;=SchemeStart,IF($X32=0,$AD32,IF(AND($Z32&lt;&gt;"",EDATE($D32,Milestones!$AA$126)&gt;=$Z32),$AC32,IF(AND($Y32&lt;&gt;"",EDATE($D32,Milestones!$AA$126)&gt;=$Y32),$AB32,$AA32)))=Milestones!$AB$126),UPPER(TEXT(EDATE($D32,Milestones!$AA$126),"dd mmm yy"))&amp;" "&amp;Milestones!$AB$126&amp;" "&amp;IF(AND(Milestones!$AB$126="FT",Milestones!$AA$126=FT_Y5,EDATE($D32,Milestones!$AA$126)&lt;PolicyEff),1,Milestones!$AC$126)&amp;";  ","")&amp;IF(AND(EDATE($D32,Milestones!$AA$127)&lt;=AsOfDate,EDATE($D32,Milestones!$AA$127)&gt;=SchemeStart,IF($X32=0,$AD32,IF(AND($Z32&lt;&gt;"",EDATE($D32,Milestones!$AA$127)&gt;=$Z32),$AC32,IF(AND($Y32&lt;&gt;"",EDATE($D32,Milestones!$AA$127)&gt;=$Y32),$AB32,$AA32)))=Milestones!$AB$127),UPPER(TEXT(EDATE($D32,Milestones!$AA$127),"dd mmm yy"))&amp;" "&amp;Milestones!$AB$127&amp;" "&amp;IF(AND(Milestones!$AB$127="FT",Milestones!$AA$127=FT_Y5,EDATE($D32,Milestones!$AA$127)&lt;PolicyEff),1,Milestones!$AC$127)&amp;";  ",""))</f>
        <v/>
      </c>
      <c r="R32" s="0" t="str">
        <f aca="false">IF(OR($A32="",$D32=""),"",IF(AND(EDATE($D32,Milestones!$AA$128)&lt;=AsOfDate,EDATE($D32,Milestones!$AA$128)&gt;=SchemeStart,IF($X32=0,$AD32,IF(AND($Z32&lt;&gt;"",EDATE($D32,Milestones!$AA$128)&gt;=$Z32),$AC32,IF(AND($Y32&lt;&gt;"",EDATE($D32,Milestones!$AA$128)&gt;=$Y32),$AB32,$AA32)))=Milestones!$AB$128),UPPER(TEXT(EDATE($D32,Milestones!$AA$128),"dd mmm yy"))&amp;" "&amp;Milestones!$AB$128&amp;" "&amp;IF(AND(Milestones!$AB$128="FT",Milestones!$AA$128=FT_Y5,EDATE($D32,Milestones!$AA$128)&lt;PolicyEff),1,Milestones!$AC$128)&amp;";  ","")&amp;IF(AND(EDATE($D32,Milestones!$AA$129)&lt;=AsOfDate,EDATE($D32,Milestones!$AA$129)&gt;=SchemeStart,IF($X32=0,$AD32,IF(AND($Z32&lt;&gt;"",EDATE($D32,Milestones!$AA$129)&gt;=$Z32),$AC32,IF(AND($Y32&lt;&gt;"",EDATE($D32,Milestones!$AA$129)&gt;=$Y32),$AB32,$AA32)))=Milestones!$AB$129),UPPER(TEXT(EDATE($D32,Milestones!$AA$129),"dd mmm yy"))&amp;" "&amp;Milestones!$AB$129&amp;" "&amp;IF(AND(Milestones!$AB$129="FT",Milestones!$AA$129=FT_Y5,EDATE($D32,Milestones!$AA$129)&lt;PolicyEff),1,Milestones!$AC$129)&amp;";  ","")&amp;IF(AND(EDATE($D32,Milestones!$AA$130)&lt;=AsOfDate,EDATE($D32,Milestones!$AA$130)&gt;=SchemeStart,IF($X32=0,$AD32,IF(AND($Z32&lt;&gt;"",EDATE($D32,Milestones!$AA$130)&gt;=$Z32),$AC32,IF(AND($Y32&lt;&gt;"",EDATE($D32,Milestones!$AA$130)&gt;=$Y32),$AB32,$AA32)))=Milestones!$AB$130),UPPER(TEXT(EDATE($D32,Milestones!$AA$130),"dd mmm yy"))&amp;" "&amp;Milestones!$AB$130&amp;" "&amp;IF(AND(Milestones!$AB$130="FT",Milestones!$AA$130=FT_Y5,EDATE($D32,Milestones!$AA$130)&lt;PolicyEff),1,Milestones!$AC$130)&amp;";  ","")&amp;IF(AND(EDATE($D32,Milestones!$AA$131)&lt;=AsOfDate,EDATE($D32,Milestones!$AA$131)&gt;=SchemeStart,IF($X32=0,$AD32,IF(AND($Z32&lt;&gt;"",EDATE($D32,Milestones!$AA$131)&gt;=$Z32),$AC32,IF(AND($Y32&lt;&gt;"",EDATE($D32,Milestones!$AA$131)&gt;=$Y32),$AB32,$AA32)))=Milestones!$AB$131),UPPER(TEXT(EDATE($D32,Milestones!$AA$131),"dd mmm yy"))&amp;" "&amp;Milestones!$AB$131&amp;" "&amp;IF(AND(Milestones!$AB$131="FT",Milestones!$AA$131=FT_Y5,EDATE($D32,Milestones!$AA$131)&lt;PolicyEff),1,Milestones!$AC$131)&amp;";  ","")&amp;IF(AND(EDATE($D32,Milestones!$AA$132)&lt;=AsOfDate,EDATE($D32,Milestones!$AA$132)&gt;=SchemeStart,IF($X32=0,$AD32,IF(AND($Z32&lt;&gt;"",EDATE($D32,Milestones!$AA$132)&gt;=$Z32),$AC32,IF(AND($Y32&lt;&gt;"",EDATE($D32,Milestones!$AA$132)&gt;=$Y32),$AB32,$AA32)))=Milestones!$AB$132),UPPER(TEXT(EDATE($D32,Milestones!$AA$132),"dd mmm yy"))&amp;" "&amp;Milestones!$AB$132&amp;" "&amp;IF(AND(Milestones!$AB$132="FT",Milestones!$AA$132=FT_Y5,EDATE($D32,Milestones!$AA$132)&lt;PolicyEff),1,Milestones!$AC$132)&amp;";  ","")&amp;IF(AND(EDATE($D32,Milestones!$AA$133)&lt;=AsOfDate,EDATE($D32,Milestones!$AA$133)&gt;=SchemeStart,IF($X32=0,$AD32,IF(AND($Z32&lt;&gt;"",EDATE($D32,Milestones!$AA$133)&gt;=$Z32),$AC32,IF(AND($Y32&lt;&gt;"",EDATE($D32,Milestones!$AA$133)&gt;=$Y32),$AB32,$AA32)))=Milestones!$AB$133),UPPER(TEXT(EDATE($D32,Milestones!$AA$133),"dd mmm yy"))&amp;" "&amp;Milestones!$AB$133&amp;" "&amp;IF(AND(Milestones!$AB$133="FT",Milestones!$AA$133=FT_Y5,EDATE($D32,Milestones!$AA$133)&lt;PolicyEff),1,Milestones!$AC$133)&amp;";  ","")&amp;IF(AND(EDATE($D32,Milestones!$AA$134)&lt;=AsOfDate,EDATE($D32,Milestones!$AA$134)&gt;=SchemeStart,IF($X32=0,$AD32,IF(AND($Z32&lt;&gt;"",EDATE($D32,Milestones!$AA$134)&gt;=$Z32),$AC32,IF(AND($Y32&lt;&gt;"",EDATE($D32,Milestones!$AA$134)&gt;=$Y32),$AB32,$AA32)))=Milestones!$AB$134),UPPER(TEXT(EDATE($D32,Milestones!$AA$134),"dd mmm yy"))&amp;" "&amp;Milestones!$AB$134&amp;" "&amp;IF(AND(Milestones!$AB$134="FT",Milestones!$AA$134=FT_Y5,EDATE($D32,Milestones!$AA$134)&lt;PolicyEff),1,Milestones!$AC$134)&amp;";  ","")&amp;IF(AND(EDATE($D32,Milestones!$AA$135)&lt;=AsOfDate,EDATE($D32,Milestones!$AA$135)&gt;=SchemeStart,IF($X32=0,$AD32,IF(AND($Z32&lt;&gt;"",EDATE($D32,Milestones!$AA$135)&gt;=$Z32),$AC32,IF(AND($Y32&lt;&gt;"",EDATE($D32,Milestones!$AA$135)&gt;=$Y32),$AB32,$AA32)))=Milestones!$AB$135),UPPER(TEXT(EDATE($D32,Milestones!$AA$135),"dd mmm yy"))&amp;" "&amp;Milestones!$AB$135&amp;" "&amp;IF(AND(Milestones!$AB$135="FT",Milestones!$AA$135=FT_Y5,EDATE($D32,Milestones!$AA$135)&lt;PolicyEff),1,Milestones!$AC$135)&amp;";  ","")&amp;IF(AND(EDATE($D32,Milestones!$AA$136)&lt;=AsOfDate,EDATE($D32,Milestones!$AA$136)&gt;=SchemeStart,IF($X32=0,$AD32,IF(AND($Z32&lt;&gt;"",EDATE($D32,Milestones!$AA$136)&gt;=$Z32),$AC32,IF(AND($Y32&lt;&gt;"",EDATE($D32,Milestones!$AA$136)&gt;=$Y32),$AB32,$AA32)))=Milestones!$AB$136),UPPER(TEXT(EDATE($D32,Milestones!$AA$136),"dd mmm yy"))&amp;" "&amp;Milestones!$AB$136&amp;" "&amp;IF(AND(Milestones!$AB$136="FT",Milestones!$AA$136=FT_Y5,EDATE($D32,Milestones!$AA$136)&lt;PolicyEff),1,Milestones!$AC$136)&amp;";  ","")&amp;IF(AND(EDATE($D32,Milestones!$AA$137)&lt;=AsOfDate,EDATE($D32,Milestones!$AA$137)&gt;=SchemeStart,IF($X32=0,$AD32,IF(AND($Z32&lt;&gt;"",EDATE($D32,Milestones!$AA$137)&gt;=$Z32),$AC32,IF(AND($Y32&lt;&gt;"",EDATE($D32,Milestones!$AA$137)&gt;=$Y32),$AB32,$AA32)))=Milestones!$AB$137),UPPER(TEXT(EDATE($D32,Milestones!$AA$137),"dd mmm yy"))&amp;" "&amp;Milestones!$AB$137&amp;" "&amp;IF(AND(Milestones!$AB$137="FT",Milestones!$AA$137=FT_Y5,EDATE($D32,Milestones!$AA$137)&lt;PolicyEff),1,Milestones!$AC$137)&amp;";  ","")&amp;IF(AND(EDATE($D32,Milestones!$AA$138)&lt;=AsOfDate,EDATE($D32,Milestones!$AA$138)&gt;=SchemeStart,IF($X32=0,$AD32,IF(AND($Z32&lt;&gt;"",EDATE($D32,Milestones!$AA$138)&gt;=$Z32),$AC32,IF(AND($Y32&lt;&gt;"",EDATE($D32,Milestones!$AA$138)&gt;=$Y32),$AB32,$AA32)))=Milestones!$AB$138),UPPER(TEXT(EDATE($D32,Milestones!$AA$138),"dd mmm yy"))&amp;" "&amp;Milestones!$AB$138&amp;" "&amp;IF(AND(Milestones!$AB$138="FT",Milestones!$AA$138=FT_Y5,EDATE($D32,Milestones!$AA$138)&lt;PolicyEff),1,Milestones!$AC$138)&amp;";  ","")&amp;IF(AND(EDATE($D32,Milestones!$AA$139)&lt;=AsOfDate,EDATE($D32,Milestones!$AA$139)&gt;=SchemeStart,IF($X32=0,$AD32,IF(AND($Z32&lt;&gt;"",EDATE($D32,Milestones!$AA$139)&gt;=$Z32),$AC32,IF(AND($Y32&lt;&gt;"",EDATE($D32,Milestones!$AA$139)&gt;=$Y32),$AB32,$AA32)))=Milestones!$AB$139),UPPER(TEXT(EDATE($D32,Milestones!$AA$139),"dd mmm yy"))&amp;" "&amp;Milestones!$AB$139&amp;" "&amp;IF(AND(Milestones!$AB$139="FT",Milestones!$AA$139=FT_Y5,EDATE($D32,Milestones!$AA$139)&lt;PolicyEff),1,Milestones!$AC$139)&amp;";  ",""))</f>
        <v/>
      </c>
      <c r="S32" s="0" t="str">
        <f aca="false">IF(OR($A32="",$D32=""),"",IF(AND(EDATE($D32,Milestones!$AA$140)&lt;=AsOfDate,EDATE($D32,Milestones!$AA$140)&gt;=SchemeStart,IF($X32=0,$AD32,IF(AND($Z32&lt;&gt;"",EDATE($D32,Milestones!$AA$140)&gt;=$Z32),$AC32,IF(AND($Y32&lt;&gt;"",EDATE($D32,Milestones!$AA$140)&gt;=$Y32),$AB32,$AA32)))=Milestones!$AB$140),UPPER(TEXT(EDATE($D32,Milestones!$AA$140),"dd mmm yy"))&amp;" "&amp;Milestones!$AB$140&amp;" "&amp;IF(AND(Milestones!$AB$140="FT",Milestones!$AA$140=FT_Y5,EDATE($D32,Milestones!$AA$140)&lt;PolicyEff),1,Milestones!$AC$140)&amp;";  ","")&amp;IF(AND(EDATE($D32,Milestones!$AA$141)&lt;=AsOfDate,EDATE($D32,Milestones!$AA$141)&gt;=SchemeStart,IF($X32=0,$AD32,IF(AND($Z32&lt;&gt;"",EDATE($D32,Milestones!$AA$141)&gt;=$Z32),$AC32,IF(AND($Y32&lt;&gt;"",EDATE($D32,Milestones!$AA$141)&gt;=$Y32),$AB32,$AA32)))=Milestones!$AB$141),UPPER(TEXT(EDATE($D32,Milestones!$AA$141),"dd mmm yy"))&amp;" "&amp;Milestones!$AB$141&amp;" "&amp;IF(AND(Milestones!$AB$141="FT",Milestones!$AA$141=FT_Y5,EDATE($D32,Milestones!$AA$141)&lt;PolicyEff),1,Milestones!$AC$141)&amp;";  ","")&amp;IF(AND(EDATE($D32,Milestones!$AA$142)&lt;=AsOfDate,EDATE($D32,Milestones!$AA$142)&gt;=SchemeStart,IF($X32=0,$AD32,IF(AND($Z32&lt;&gt;"",EDATE($D32,Milestones!$AA$142)&gt;=$Z32),$AC32,IF(AND($Y32&lt;&gt;"",EDATE($D32,Milestones!$AA$142)&gt;=$Y32),$AB32,$AA32)))=Milestones!$AB$142),UPPER(TEXT(EDATE($D32,Milestones!$AA$142),"dd mmm yy"))&amp;" "&amp;Milestones!$AB$142&amp;" "&amp;IF(AND(Milestones!$AB$142="FT",Milestones!$AA$142=FT_Y5,EDATE($D32,Milestones!$AA$142)&lt;PolicyEff),1,Milestones!$AC$142)&amp;";  ","")&amp;IF(AND(EDATE($D32,Milestones!$AA$143)&lt;=AsOfDate,EDATE($D32,Milestones!$AA$143)&gt;=SchemeStart,IF($X32=0,$AD32,IF(AND($Z32&lt;&gt;"",EDATE($D32,Milestones!$AA$143)&gt;=$Z32),$AC32,IF(AND($Y32&lt;&gt;"",EDATE($D32,Milestones!$AA$143)&gt;=$Y32),$AB32,$AA32)))=Milestones!$AB$143),UPPER(TEXT(EDATE($D32,Milestones!$AA$143),"dd mmm yy"))&amp;" "&amp;Milestones!$AB$143&amp;" "&amp;IF(AND(Milestones!$AB$143="FT",Milestones!$AA$143=FT_Y5,EDATE($D32,Milestones!$AA$143)&lt;PolicyEff),1,Milestones!$AC$143)&amp;";  ","")&amp;IF(AND(EDATE($D32,Milestones!$AA$144)&lt;=AsOfDate,EDATE($D32,Milestones!$AA$144)&gt;=SchemeStart,IF($X32=0,$AD32,IF(AND($Z32&lt;&gt;"",EDATE($D32,Milestones!$AA$144)&gt;=$Z32),$AC32,IF(AND($Y32&lt;&gt;"",EDATE($D32,Milestones!$AA$144)&gt;=$Y32),$AB32,$AA32)))=Milestones!$AB$144),UPPER(TEXT(EDATE($D32,Milestones!$AA$144),"dd mmm yy"))&amp;" "&amp;Milestones!$AB$144&amp;" "&amp;IF(AND(Milestones!$AB$144="FT",Milestones!$AA$144=FT_Y5,EDATE($D32,Milestones!$AA$144)&lt;PolicyEff),1,Milestones!$AC$144)&amp;";  ","")&amp;IF(AND(EDATE($D32,Milestones!$AA$145)&lt;=AsOfDate,EDATE($D32,Milestones!$AA$145)&gt;=SchemeStart,IF($X32=0,$AD32,IF(AND($Z32&lt;&gt;"",EDATE($D32,Milestones!$AA$145)&gt;=$Z32),$AC32,IF(AND($Y32&lt;&gt;"",EDATE($D32,Milestones!$AA$145)&gt;=$Y32),$AB32,$AA32)))=Milestones!$AB$145),UPPER(TEXT(EDATE($D32,Milestones!$AA$145),"dd mmm yy"))&amp;" "&amp;Milestones!$AB$145&amp;" "&amp;IF(AND(Milestones!$AB$145="FT",Milestones!$AA$145=FT_Y5,EDATE($D32,Milestones!$AA$145)&lt;PolicyEff),1,Milestones!$AC$145)&amp;";  ","")&amp;IF(AND(EDATE($D32,Milestones!$AA$146)&lt;=AsOfDate,EDATE($D32,Milestones!$AA$146)&gt;=SchemeStart,IF($X32=0,$AD32,IF(AND($Z32&lt;&gt;"",EDATE($D32,Milestones!$AA$146)&gt;=$Z32),$AC32,IF(AND($Y32&lt;&gt;"",EDATE($D32,Milestones!$AA$146)&gt;=$Y32),$AB32,$AA32)))=Milestones!$AB$146),UPPER(TEXT(EDATE($D32,Milestones!$AA$146),"dd mmm yy"))&amp;" "&amp;Milestones!$AB$146&amp;" "&amp;IF(AND(Milestones!$AB$146="FT",Milestones!$AA$146=FT_Y5,EDATE($D32,Milestones!$AA$146)&lt;PolicyEff),1,Milestones!$AC$146)&amp;";  ","")&amp;IF(AND(EDATE($D32,Milestones!$AA$147)&lt;=AsOfDate,EDATE($D32,Milestones!$AA$147)&gt;=SchemeStart,IF($X32=0,$AD32,IF(AND($Z32&lt;&gt;"",EDATE($D32,Milestones!$AA$147)&gt;=$Z32),$AC32,IF(AND($Y32&lt;&gt;"",EDATE($D32,Milestones!$AA$147)&gt;=$Y32),$AB32,$AA32)))=Milestones!$AB$147),UPPER(TEXT(EDATE($D32,Milestones!$AA$147),"dd mmm yy"))&amp;" "&amp;Milestones!$AB$147&amp;" "&amp;IF(AND(Milestones!$AB$147="FT",Milestones!$AA$147=FT_Y5,EDATE($D32,Milestones!$AA$147)&lt;PolicyEff),1,Milestones!$AC$147)&amp;";  ","")&amp;IF(AND(EDATE($D32,Milestones!$AA$148)&lt;=AsOfDate,EDATE($D32,Milestones!$AA$148)&gt;=SchemeStart,IF($X32=0,$AD32,IF(AND($Z32&lt;&gt;"",EDATE($D32,Milestones!$AA$148)&gt;=$Z32),$AC32,IF(AND($Y32&lt;&gt;"",EDATE($D32,Milestones!$AA$148)&gt;=$Y32),$AB32,$AA32)))=Milestones!$AB$148),UPPER(TEXT(EDATE($D32,Milestones!$AA$148),"dd mmm yy"))&amp;" "&amp;Milestones!$AB$148&amp;" "&amp;IF(AND(Milestones!$AB$148="FT",Milestones!$AA$148=FT_Y5,EDATE($D32,Milestones!$AA$148)&lt;PolicyEff),1,Milestones!$AC$148)&amp;";  ","")&amp;IF(AND(EDATE($D32,Milestones!$AA$149)&lt;=AsOfDate,EDATE($D32,Milestones!$AA$149)&gt;=SchemeStart,IF($X32=0,$AD32,IF(AND($Z32&lt;&gt;"",EDATE($D32,Milestones!$AA$149)&gt;=$Z32),$AC32,IF(AND($Y32&lt;&gt;"",EDATE($D32,Milestones!$AA$149)&gt;=$Y32),$AB32,$AA32)))=Milestones!$AB$149),UPPER(TEXT(EDATE($D32,Milestones!$AA$149),"dd mmm yy"))&amp;" "&amp;Milestones!$AB$149&amp;" "&amp;IF(AND(Milestones!$AB$149="FT",Milestones!$AA$149=FT_Y5,EDATE($D32,Milestones!$AA$149)&lt;PolicyEff),1,Milestones!$AC$149)&amp;";  ","")&amp;IF(AND(EDATE($D32,Milestones!$AA$150)&lt;=AsOfDate,EDATE($D32,Milestones!$AA$150)&gt;=SchemeStart,IF($X32=0,$AD32,IF(AND($Z32&lt;&gt;"",EDATE($D32,Milestones!$AA$150)&gt;=$Z32),$AC32,IF(AND($Y32&lt;&gt;"",EDATE($D32,Milestones!$AA$150)&gt;=$Y32),$AB32,$AA32)))=Milestones!$AB$150),UPPER(TEXT(EDATE($D32,Milestones!$AA$150),"dd mmm yy"))&amp;" "&amp;Milestones!$AB$150&amp;" "&amp;IF(AND(Milestones!$AB$150="FT",Milestones!$AA$150=FT_Y5,EDATE($D32,Milestones!$AA$150)&lt;PolicyEff),1,Milestones!$AC$150)&amp;";  ","")&amp;IF(AND(EDATE($D32,Milestones!$AA$151)&lt;=AsOfDate,EDATE($D32,Milestones!$AA$151)&gt;=SchemeStart,IF($X32=0,$AD32,IF(AND($Z32&lt;&gt;"",EDATE($D32,Milestones!$AA$151)&gt;=$Z32),$AC32,IF(AND($Y32&lt;&gt;"",EDATE($D32,Milestones!$AA$151)&gt;=$Y32),$AB32,$AA32)))=Milestones!$AB$151),UPPER(TEXT(EDATE($D32,Milestones!$AA$151),"dd mmm yy"))&amp;" "&amp;Milestones!$AB$151&amp;" "&amp;IF(AND(Milestones!$AB$151="FT",Milestones!$AA$151=FT_Y5,EDATE($D32,Milestones!$AA$151)&lt;PolicyEff),1,Milestones!$AC$151)&amp;";  ",""))</f>
        <v/>
      </c>
      <c r="T32" s="0" t="str">
        <f aca="false">IF(OR($A32="",$D32=""),"",IF(AND(EDATE($D32,Milestones!$AA$152)&lt;=AsOfDate,EDATE($D32,Milestones!$AA$152)&gt;=SchemeStart,IF($X32=0,$AD32,IF(AND($Z32&lt;&gt;"",EDATE($D32,Milestones!$AA$152)&gt;=$Z32),$AC32,IF(AND($Y32&lt;&gt;"",EDATE($D32,Milestones!$AA$152)&gt;=$Y32),$AB32,$AA32)))=Milestones!$AB$152),UPPER(TEXT(EDATE($D32,Milestones!$AA$152),"dd mmm yy"))&amp;" "&amp;Milestones!$AB$152&amp;" "&amp;IF(AND(Milestones!$AB$152="FT",Milestones!$AA$152=FT_Y5,EDATE($D32,Milestones!$AA$152)&lt;PolicyEff),1,Milestones!$AC$152)&amp;";  ","")&amp;IF(AND(EDATE($D32,Milestones!$AA$153)&lt;=AsOfDate,EDATE($D32,Milestones!$AA$153)&gt;=SchemeStart,IF($X32=0,$AD32,IF(AND($Z32&lt;&gt;"",EDATE($D32,Milestones!$AA$153)&gt;=$Z32),$AC32,IF(AND($Y32&lt;&gt;"",EDATE($D32,Milestones!$AA$153)&gt;=$Y32),$AB32,$AA32)))=Milestones!$AB$153),UPPER(TEXT(EDATE($D32,Milestones!$AA$153),"dd mmm yy"))&amp;" "&amp;Milestones!$AB$153&amp;" "&amp;IF(AND(Milestones!$AB$153="FT",Milestones!$AA$153=FT_Y5,EDATE($D32,Milestones!$AA$153)&lt;PolicyEff),1,Milestones!$AC$153)&amp;";  ","")&amp;IF(AND(EDATE($D32,Milestones!$AA$154)&lt;=AsOfDate,EDATE($D32,Milestones!$AA$154)&gt;=SchemeStart,IF($X32=0,$AD32,IF(AND($Z32&lt;&gt;"",EDATE($D32,Milestones!$AA$154)&gt;=$Z32),$AC32,IF(AND($Y32&lt;&gt;"",EDATE($D32,Milestones!$AA$154)&gt;=$Y32),$AB32,$AA32)))=Milestones!$AB$154),UPPER(TEXT(EDATE($D32,Milestones!$AA$154),"dd mmm yy"))&amp;" "&amp;Milestones!$AB$154&amp;" "&amp;IF(AND(Milestones!$AB$154="FT",Milestones!$AA$154=FT_Y5,EDATE($D32,Milestones!$AA$154)&lt;PolicyEff),1,Milestones!$AC$154)&amp;";  ","")&amp;IF(AND(EDATE($D32,Milestones!$AA$155)&lt;=AsOfDate,EDATE($D32,Milestones!$AA$155)&gt;=SchemeStart,IF($X32=0,$AD32,IF(AND($Z32&lt;&gt;"",EDATE($D32,Milestones!$AA$155)&gt;=$Z32),$AC32,IF(AND($Y32&lt;&gt;"",EDATE($D32,Milestones!$AA$155)&gt;=$Y32),$AB32,$AA32)))=Milestones!$AB$155),UPPER(TEXT(EDATE($D32,Milestones!$AA$155),"dd mmm yy"))&amp;" "&amp;Milestones!$AB$155&amp;" "&amp;IF(AND(Milestones!$AB$155="FT",Milestones!$AA$155=FT_Y5,EDATE($D32,Milestones!$AA$155)&lt;PolicyEff),1,Milestones!$AC$155)&amp;";  ","")&amp;IF(AND(EDATE($D32,Milestones!$AA$156)&lt;=AsOfDate,EDATE($D32,Milestones!$AA$156)&gt;=SchemeStart,IF($X32=0,$AD32,IF(AND($Z32&lt;&gt;"",EDATE($D32,Milestones!$AA$156)&gt;=$Z32),$AC32,IF(AND($Y32&lt;&gt;"",EDATE($D32,Milestones!$AA$156)&gt;=$Y32),$AB32,$AA32)))=Milestones!$AB$156),UPPER(TEXT(EDATE($D32,Milestones!$AA$156),"dd mmm yy"))&amp;" "&amp;Milestones!$AB$156&amp;" "&amp;IF(AND(Milestones!$AB$156="FT",Milestones!$AA$156=FT_Y5,EDATE($D32,Milestones!$AA$156)&lt;PolicyEff),1,Milestones!$AC$156)&amp;";  ","")&amp;IF(AND(EDATE($D32,Milestones!$AA$157)&lt;=AsOfDate,EDATE($D32,Milestones!$AA$157)&gt;=SchemeStart,IF($X32=0,$AD32,IF(AND($Z32&lt;&gt;"",EDATE($D32,Milestones!$AA$157)&gt;=$Z32),$AC32,IF(AND($Y32&lt;&gt;"",EDATE($D32,Milestones!$AA$157)&gt;=$Y32),$AB32,$AA32)))=Milestones!$AB$157),UPPER(TEXT(EDATE($D32,Milestones!$AA$157),"dd mmm yy"))&amp;" "&amp;Milestones!$AB$157&amp;" "&amp;IF(AND(Milestones!$AB$157="FT",Milestones!$AA$157=FT_Y5,EDATE($D32,Milestones!$AA$157)&lt;PolicyEff),1,Milestones!$AC$157)&amp;";  ","")&amp;IF(AND(EDATE($D32,Milestones!$AA$158)&lt;=AsOfDate,EDATE($D32,Milestones!$AA$158)&gt;=SchemeStart,IF($X32=0,$AD32,IF(AND($Z32&lt;&gt;"",EDATE($D32,Milestones!$AA$158)&gt;=$Z32),$AC32,IF(AND($Y32&lt;&gt;"",EDATE($D32,Milestones!$AA$158)&gt;=$Y32),$AB32,$AA32)))=Milestones!$AB$158),UPPER(TEXT(EDATE($D32,Milestones!$AA$158),"dd mmm yy"))&amp;" "&amp;Milestones!$AB$158&amp;" "&amp;IF(AND(Milestones!$AB$158="FT",Milestones!$AA$158=FT_Y5,EDATE($D32,Milestones!$AA$158)&lt;PolicyEff),1,Milestones!$AC$158)&amp;";  ","")&amp;IF(AND(EDATE($D32,Milestones!$AA$159)&lt;=AsOfDate,EDATE($D32,Milestones!$AA$159)&gt;=SchemeStart,IF($X32=0,$AD32,IF(AND($Z32&lt;&gt;"",EDATE($D32,Milestones!$AA$159)&gt;=$Z32),$AC32,IF(AND($Y32&lt;&gt;"",EDATE($D32,Milestones!$AA$159)&gt;=$Y32),$AB32,$AA32)))=Milestones!$AB$159),UPPER(TEXT(EDATE($D32,Milestones!$AA$159),"dd mmm yy"))&amp;" "&amp;Milestones!$AB$159&amp;" "&amp;IF(AND(Milestones!$AB$159="FT",Milestones!$AA$159=FT_Y5,EDATE($D32,Milestones!$AA$159)&lt;PolicyEff),1,Milestones!$AC$159)&amp;";  ","")&amp;IF(AND(EDATE($D32,Milestones!$AA$160)&lt;=AsOfDate,EDATE($D32,Milestones!$AA$160)&gt;=SchemeStart,IF($X32=0,$AD32,IF(AND($Z32&lt;&gt;"",EDATE($D32,Milestones!$AA$160)&gt;=$Z32),$AC32,IF(AND($Y32&lt;&gt;"",EDATE($D32,Milestones!$AA$160)&gt;=$Y32),$AB32,$AA32)))=Milestones!$AB$160),UPPER(TEXT(EDATE($D32,Milestones!$AA$160),"dd mmm yy"))&amp;" "&amp;Milestones!$AB$160&amp;" "&amp;IF(AND(Milestones!$AB$160="FT",Milestones!$AA$160=FT_Y5,EDATE($D32,Milestones!$AA$160)&lt;PolicyEff),1,Milestones!$AC$160)&amp;";  ","")&amp;IF(AND(EDATE($D32,Milestones!$AA$161)&lt;=AsOfDate,EDATE($D32,Milestones!$AA$161)&gt;=SchemeStart,IF($X32=0,$AD32,IF(AND($Z32&lt;&gt;"",EDATE($D32,Milestones!$AA$161)&gt;=$Z32),$AC32,IF(AND($Y32&lt;&gt;"",EDATE($D32,Milestones!$AA$161)&gt;=$Y32),$AB32,$AA32)))=Milestones!$AB$161),UPPER(TEXT(EDATE($D32,Milestones!$AA$161),"dd mmm yy"))&amp;" "&amp;Milestones!$AB$161&amp;" "&amp;IF(AND(Milestones!$AB$161="FT",Milestones!$AA$161=FT_Y5,EDATE($D32,Milestones!$AA$161)&lt;PolicyEff),1,Milestones!$AC$161)&amp;";  ","")&amp;IF(AND(EDATE($D32,Milestones!$AA$162)&lt;=AsOfDate,EDATE($D32,Milestones!$AA$162)&gt;=SchemeStart,IF($X32=0,$AD32,IF(AND($Z32&lt;&gt;"",EDATE($D32,Milestones!$AA$162)&gt;=$Z32),$AC32,IF(AND($Y32&lt;&gt;"",EDATE($D32,Milestones!$AA$162)&gt;=$Y32),$AB32,$AA32)))=Milestones!$AB$162),UPPER(TEXT(EDATE($D32,Milestones!$AA$162),"dd mmm yy"))&amp;" "&amp;Milestones!$AB$162&amp;" "&amp;IF(AND(Milestones!$AB$162="FT",Milestones!$AA$162=FT_Y5,EDATE($D32,Milestones!$AA$162)&lt;PolicyEff),1,Milestones!$AC$162)&amp;";  ","")&amp;IF(AND(EDATE($D32,Milestones!$AA$163)&lt;=AsOfDate,EDATE($D32,Milestones!$AA$163)&gt;=SchemeStart,IF($X32=0,$AD32,IF(AND($Z32&lt;&gt;"",EDATE($D32,Milestones!$AA$163)&gt;=$Z32),$AC32,IF(AND($Y32&lt;&gt;"",EDATE($D32,Milestones!$AA$163)&gt;=$Y32),$AB32,$AA32)))=Milestones!$AB$163),UPPER(TEXT(EDATE($D32,Milestones!$AA$163),"dd mmm yy"))&amp;" "&amp;Milestones!$AB$163&amp;" "&amp;IF(AND(Milestones!$AB$163="FT",Milestones!$AA$163=FT_Y5,EDATE($D32,Milestones!$AA$163)&lt;PolicyEff),1,Milestones!$AC$163)&amp;";  ",""))</f>
        <v/>
      </c>
      <c r="U32" s="0" t="str">
        <f aca="false">IF(OR($A32="",$D32=""),"",IF(AND(EDATE($D32,Milestones!$AA$164)&lt;=AsOfDate,EDATE($D32,Milestones!$AA$164)&gt;=SchemeStart,IF($X32=0,$AD32,IF(AND($Z32&lt;&gt;"",EDATE($D32,Milestones!$AA$164)&gt;=$Z32),$AC32,IF(AND($Y32&lt;&gt;"",EDATE($D32,Milestones!$AA$164)&gt;=$Y32),$AB32,$AA32)))=Milestones!$AB$164),UPPER(TEXT(EDATE($D32,Milestones!$AA$164),"dd mmm yy"))&amp;" "&amp;Milestones!$AB$164&amp;" "&amp;IF(AND(Milestones!$AB$164="FT",Milestones!$AA$164=FT_Y5,EDATE($D32,Milestones!$AA$164)&lt;PolicyEff),1,Milestones!$AC$164)&amp;";  ","")&amp;IF(AND(EDATE($D32,Milestones!$AA$165)&lt;=AsOfDate,EDATE($D32,Milestones!$AA$165)&gt;=SchemeStart,IF($X32=0,$AD32,IF(AND($Z32&lt;&gt;"",EDATE($D32,Milestones!$AA$165)&gt;=$Z32),$AC32,IF(AND($Y32&lt;&gt;"",EDATE($D32,Milestones!$AA$165)&gt;=$Y32),$AB32,$AA32)))=Milestones!$AB$165),UPPER(TEXT(EDATE($D32,Milestones!$AA$165),"dd mmm yy"))&amp;" "&amp;Milestones!$AB$165&amp;" "&amp;IF(AND(Milestones!$AB$165="FT",Milestones!$AA$165=FT_Y5,EDATE($D32,Milestones!$AA$165)&lt;PolicyEff),1,Milestones!$AC$165)&amp;";  ","")&amp;IF(AND(EDATE($D32,Milestones!$AA$166)&lt;=AsOfDate,EDATE($D32,Milestones!$AA$166)&gt;=SchemeStart,IF($X32=0,$AD32,IF(AND($Z32&lt;&gt;"",EDATE($D32,Milestones!$AA$166)&gt;=$Z32),$AC32,IF(AND($Y32&lt;&gt;"",EDATE($D32,Milestones!$AA$166)&gt;=$Y32),$AB32,$AA32)))=Milestones!$AB$166),UPPER(TEXT(EDATE($D32,Milestones!$AA$166),"dd mmm yy"))&amp;" "&amp;Milestones!$AB$166&amp;" "&amp;IF(AND(Milestones!$AB$166="FT",Milestones!$AA$166=FT_Y5,EDATE($D32,Milestones!$AA$166)&lt;PolicyEff),1,Milestones!$AC$166)&amp;";  ","")&amp;IF(AND(EDATE($D32,Milestones!$AA$167)&lt;=AsOfDate,EDATE($D32,Milestones!$AA$167)&gt;=SchemeStart,IF($X32=0,$AD32,IF(AND($Z32&lt;&gt;"",EDATE($D32,Milestones!$AA$167)&gt;=$Z32),$AC32,IF(AND($Y32&lt;&gt;"",EDATE($D32,Milestones!$AA$167)&gt;=$Y32),$AB32,$AA32)))=Milestones!$AB$167),UPPER(TEXT(EDATE($D32,Milestones!$AA$167),"dd mmm yy"))&amp;" "&amp;Milestones!$AB$167&amp;" "&amp;IF(AND(Milestones!$AB$167="FT",Milestones!$AA$167=FT_Y5,EDATE($D32,Milestones!$AA$167)&lt;PolicyEff),1,Milestones!$AC$167)&amp;";  ","")&amp;IF(AND(EDATE($D32,Milestones!$AA$168)&lt;=AsOfDate,EDATE($D32,Milestones!$AA$168)&gt;=SchemeStart,IF($X32=0,$AD32,IF(AND($Z32&lt;&gt;"",EDATE($D32,Milestones!$AA$168)&gt;=$Z32),$AC32,IF(AND($Y32&lt;&gt;"",EDATE($D32,Milestones!$AA$168)&gt;=$Y32),$AB32,$AA32)))=Milestones!$AB$168),UPPER(TEXT(EDATE($D32,Milestones!$AA$168),"dd mmm yy"))&amp;" "&amp;Milestones!$AB$168&amp;" "&amp;IF(AND(Milestones!$AB$168="FT",Milestones!$AA$168=FT_Y5,EDATE($D32,Milestones!$AA$168)&lt;PolicyEff),1,Milestones!$AC$168)&amp;";  ","")&amp;IF(AND(EDATE($D32,Milestones!$AA$169)&lt;=AsOfDate,EDATE($D32,Milestones!$AA$169)&gt;=SchemeStart,IF($X32=0,$AD32,IF(AND($Z32&lt;&gt;"",EDATE($D32,Milestones!$AA$169)&gt;=$Z32),$AC32,IF(AND($Y32&lt;&gt;"",EDATE($D32,Milestones!$AA$169)&gt;=$Y32),$AB32,$AA32)))=Milestones!$AB$169),UPPER(TEXT(EDATE($D32,Milestones!$AA$169),"dd mmm yy"))&amp;" "&amp;Milestones!$AB$169&amp;" "&amp;IF(AND(Milestones!$AB$169="FT",Milestones!$AA$169=FT_Y5,EDATE($D32,Milestones!$AA$169)&lt;PolicyEff),1,Milestones!$AC$169)&amp;";  ","")&amp;IF(AND(EDATE($D32,Milestones!$AA$170)&lt;=AsOfDate,EDATE($D32,Milestones!$AA$170)&gt;=SchemeStart,IF($X32=0,$AD32,IF(AND($Z32&lt;&gt;"",EDATE($D32,Milestones!$AA$170)&gt;=$Z32),$AC32,IF(AND($Y32&lt;&gt;"",EDATE($D32,Milestones!$AA$170)&gt;=$Y32),$AB32,$AA32)))=Milestones!$AB$170),UPPER(TEXT(EDATE($D32,Milestones!$AA$170),"dd mmm yy"))&amp;" "&amp;Milestones!$AB$170&amp;" "&amp;IF(AND(Milestones!$AB$170="FT",Milestones!$AA$170=FT_Y5,EDATE($D32,Milestones!$AA$170)&lt;PolicyEff),1,Milestones!$AC$170)&amp;";  ","")&amp;IF(AND(EDATE($D32,Milestones!$AA$171)&lt;=AsOfDate,EDATE($D32,Milestones!$AA$171)&gt;=SchemeStart,IF($X32=0,$AD32,IF(AND($Z32&lt;&gt;"",EDATE($D32,Milestones!$AA$171)&gt;=$Z32),$AC32,IF(AND($Y32&lt;&gt;"",EDATE($D32,Milestones!$AA$171)&gt;=$Y32),$AB32,$AA32)))=Milestones!$AB$171),UPPER(TEXT(EDATE($D32,Milestones!$AA$171),"dd mmm yy"))&amp;" "&amp;Milestones!$AB$171&amp;" "&amp;IF(AND(Milestones!$AB$171="FT",Milestones!$AA$171=FT_Y5,EDATE($D32,Milestones!$AA$171)&lt;PolicyEff),1,Milestones!$AC$171)&amp;";  ","")&amp;IF(AND(EDATE($D32,Milestones!$AA$172)&lt;=AsOfDate,EDATE($D32,Milestones!$AA$172)&gt;=SchemeStart,IF($X32=0,$AD32,IF(AND($Z32&lt;&gt;"",EDATE($D32,Milestones!$AA$172)&gt;=$Z32),$AC32,IF(AND($Y32&lt;&gt;"",EDATE($D32,Milestones!$AA$172)&gt;=$Y32),$AB32,$AA32)))=Milestones!$AB$172),UPPER(TEXT(EDATE($D32,Milestones!$AA$172),"dd mmm yy"))&amp;" "&amp;Milestones!$AB$172&amp;" "&amp;IF(AND(Milestones!$AB$172="FT",Milestones!$AA$172=FT_Y5,EDATE($D32,Milestones!$AA$172)&lt;PolicyEff),1,Milestones!$AC$172)&amp;";  ","")&amp;IF(AND(EDATE($D32,Milestones!$AA$173)&lt;=AsOfDate,EDATE($D32,Milestones!$AA$173)&gt;=SchemeStart,IF($X32=0,$AD32,IF(AND($Z32&lt;&gt;"",EDATE($D32,Milestones!$AA$173)&gt;=$Z32),$AC32,IF(AND($Y32&lt;&gt;"",EDATE($D32,Milestones!$AA$173)&gt;=$Y32),$AB32,$AA32)))=Milestones!$AB$173),UPPER(TEXT(EDATE($D32,Milestones!$AA$173),"dd mmm yy"))&amp;" "&amp;Milestones!$AB$173&amp;" "&amp;IF(AND(Milestones!$AB$173="FT",Milestones!$AA$173=FT_Y5,EDATE($D32,Milestones!$AA$173)&lt;PolicyEff),1,Milestones!$AC$173)&amp;";  ","")&amp;IF(AND(EDATE($D32,Milestones!$AA$174)&lt;=AsOfDate,EDATE($D32,Milestones!$AA$174)&gt;=SchemeStart,IF($X32=0,$AD32,IF(AND($Z32&lt;&gt;"",EDATE($D32,Milestones!$AA$174)&gt;=$Z32),$AC32,IF(AND($Y32&lt;&gt;"",EDATE($D32,Milestones!$AA$174)&gt;=$Y32),$AB32,$AA32)))=Milestones!$AB$174),UPPER(TEXT(EDATE($D32,Milestones!$AA$174),"dd mmm yy"))&amp;" "&amp;Milestones!$AB$174&amp;" "&amp;IF(AND(Milestones!$AB$174="FT",Milestones!$AA$174=FT_Y5,EDATE($D32,Milestones!$AA$174)&lt;PolicyEff),1,Milestones!$AC$174)&amp;";  ","")&amp;IF(AND(EDATE($D32,Milestones!$AA$175)&lt;=AsOfDate,EDATE($D32,Milestones!$AA$175)&gt;=SchemeStart,IF($X32=0,$AD32,IF(AND($Z32&lt;&gt;"",EDATE($D32,Milestones!$AA$175)&gt;=$Z32),$AC32,IF(AND($Y32&lt;&gt;"",EDATE($D32,Milestones!$AA$175)&gt;=$Y32),$AB32,$AA32)))=Milestones!$AB$175),UPPER(TEXT(EDATE($D32,Milestones!$AA$175),"dd mmm yy"))&amp;" "&amp;Milestones!$AB$175&amp;" "&amp;IF(AND(Milestones!$AB$175="FT",Milestones!$AA$175=FT_Y5,EDATE($D32,Milestones!$AA$175)&lt;PolicyEff),1,Milestones!$AC$175)&amp;";  ",""))</f>
        <v/>
      </c>
      <c r="V32" s="0" t="str">
        <f aca="false">IF(OR($A32="",$D32=""),"",IF(AND(EDATE($D32,Milestones!$AA$176)&lt;=AsOfDate,EDATE($D32,Milestones!$AA$176)&gt;=SchemeStart,IF($X32=0,$AD32,IF(AND($Z32&lt;&gt;"",EDATE($D32,Milestones!$AA$176)&gt;=$Z32),$AC32,IF(AND($Y32&lt;&gt;"",EDATE($D32,Milestones!$AA$176)&gt;=$Y32),$AB32,$AA32)))=Milestones!$AB$176),UPPER(TEXT(EDATE($D32,Milestones!$AA$176),"dd mmm yy"))&amp;" "&amp;Milestones!$AB$176&amp;" "&amp;IF(AND(Milestones!$AB$176="FT",Milestones!$AA$176=FT_Y5,EDATE($D32,Milestones!$AA$176)&lt;PolicyEff),1,Milestones!$AC$176)&amp;";  ","")&amp;IF(AND(EDATE($D32,Milestones!$AA$177)&lt;=AsOfDate,EDATE($D32,Milestones!$AA$177)&gt;=SchemeStart,IF($X32=0,$AD32,IF(AND($Z32&lt;&gt;"",EDATE($D32,Milestones!$AA$177)&gt;=$Z32),$AC32,IF(AND($Y32&lt;&gt;"",EDATE($D32,Milestones!$AA$177)&gt;=$Y32),$AB32,$AA32)))=Milestones!$AB$177),UPPER(TEXT(EDATE($D32,Milestones!$AA$177),"dd mmm yy"))&amp;" "&amp;Milestones!$AB$177&amp;" "&amp;IF(AND(Milestones!$AB$177="FT",Milestones!$AA$177=FT_Y5,EDATE($D32,Milestones!$AA$177)&lt;PolicyEff),1,Milestones!$AC$177)&amp;";  ","")&amp;IF(AND(EDATE($D32,Milestones!$AA$178)&lt;=AsOfDate,EDATE($D32,Milestones!$AA$178)&gt;=SchemeStart,IF($X32=0,$AD32,IF(AND($Z32&lt;&gt;"",EDATE($D32,Milestones!$AA$178)&gt;=$Z32),$AC32,IF(AND($Y32&lt;&gt;"",EDATE($D32,Milestones!$AA$178)&gt;=$Y32),$AB32,$AA32)))=Milestones!$AB$178),UPPER(TEXT(EDATE($D32,Milestones!$AA$178),"dd mmm yy"))&amp;" "&amp;Milestones!$AB$178&amp;" "&amp;IF(AND(Milestones!$AB$178="FT",Milestones!$AA$178=FT_Y5,EDATE($D32,Milestones!$AA$178)&lt;PolicyEff),1,Milestones!$AC$178)&amp;";  ","")&amp;IF(AND(EDATE($D32,Milestones!$AA$179)&lt;=AsOfDate,EDATE($D32,Milestones!$AA$179)&gt;=SchemeStart,IF($X32=0,$AD32,IF(AND($Z32&lt;&gt;"",EDATE($D32,Milestones!$AA$179)&gt;=$Z32),$AC32,IF(AND($Y32&lt;&gt;"",EDATE($D32,Milestones!$AA$179)&gt;=$Y32),$AB32,$AA32)))=Milestones!$AB$179),UPPER(TEXT(EDATE($D32,Milestones!$AA$179),"dd mmm yy"))&amp;" "&amp;Milestones!$AB$179&amp;" "&amp;IF(AND(Milestones!$AB$179="FT",Milestones!$AA$179=FT_Y5,EDATE($D32,Milestones!$AA$179)&lt;PolicyEff),1,Milestones!$AC$179)&amp;";  ","")&amp;IF(AND(EDATE($D32,Milestones!$AA$180)&lt;=AsOfDate,EDATE($D32,Milestones!$AA$180)&gt;=SchemeStart,IF($X32=0,$AD32,IF(AND($Z32&lt;&gt;"",EDATE($D32,Milestones!$AA$180)&gt;=$Z32),$AC32,IF(AND($Y32&lt;&gt;"",EDATE($D32,Milestones!$AA$180)&gt;=$Y32),$AB32,$AA32)))=Milestones!$AB$180),UPPER(TEXT(EDATE($D32,Milestones!$AA$180),"dd mmm yy"))&amp;" "&amp;Milestones!$AB$180&amp;" "&amp;IF(AND(Milestones!$AB$180="FT",Milestones!$AA$180=FT_Y5,EDATE($D32,Milestones!$AA$180)&lt;PolicyEff),1,Milestones!$AC$180)&amp;";  ","")&amp;IF(AND(EDATE($D32,Milestones!$AA$181)&lt;=AsOfDate,EDATE($D32,Milestones!$AA$181)&gt;=SchemeStart,IF($X32=0,$AD32,IF(AND($Z32&lt;&gt;"",EDATE($D32,Milestones!$AA$181)&gt;=$Z32),$AC32,IF(AND($Y32&lt;&gt;"",EDATE($D32,Milestones!$AA$181)&gt;=$Y32),$AB32,$AA32)))=Milestones!$AB$181),UPPER(TEXT(EDATE($D32,Milestones!$AA$181),"dd mmm yy"))&amp;" "&amp;Milestones!$AB$181&amp;" "&amp;IF(AND(Milestones!$AB$181="FT",Milestones!$AA$181=FT_Y5,EDATE($D32,Milestones!$AA$181)&lt;PolicyEff),1,Milestones!$AC$181)&amp;";  ","")&amp;IF(AND(EDATE($D32,Milestones!$AA$182)&lt;=AsOfDate,EDATE($D32,Milestones!$AA$182)&gt;=SchemeStart,IF($X32=0,$AD32,IF(AND($Z32&lt;&gt;"",EDATE($D32,Milestones!$AA$182)&gt;=$Z32),$AC32,IF(AND($Y32&lt;&gt;"",EDATE($D32,Milestones!$AA$182)&gt;=$Y32),$AB32,$AA32)))=Milestones!$AB$182),UPPER(TEXT(EDATE($D32,Milestones!$AA$182),"dd mmm yy"))&amp;" "&amp;Milestones!$AB$182&amp;" "&amp;IF(AND(Milestones!$AB$182="FT",Milestones!$AA$182=FT_Y5,EDATE($D32,Milestones!$AA$182)&lt;PolicyEff),1,Milestones!$AC$182)&amp;";  ","")&amp;IF(AND(EDATE($D32,Milestones!$AA$183)&lt;=AsOfDate,EDATE($D32,Milestones!$AA$183)&gt;=SchemeStart,IF($X32=0,$AD32,IF(AND($Z32&lt;&gt;"",EDATE($D32,Milestones!$AA$183)&gt;=$Z32),$AC32,IF(AND($Y32&lt;&gt;"",EDATE($D32,Milestones!$AA$183)&gt;=$Y32),$AB32,$AA32)))=Milestones!$AB$183),UPPER(TEXT(EDATE($D32,Milestones!$AA$183),"dd mmm yy"))&amp;" "&amp;Milestones!$AB$183&amp;" "&amp;IF(AND(Milestones!$AB$183="FT",Milestones!$AA$183=FT_Y5,EDATE($D32,Milestones!$AA$183)&lt;PolicyEff),1,Milestones!$AC$183)&amp;";  ","")&amp;IF(AND(EDATE($D32,Milestones!$AA$184)&lt;=AsOfDate,EDATE($D32,Milestones!$AA$184)&gt;=SchemeStart,IF($X32=0,$AD32,IF(AND($Z32&lt;&gt;"",EDATE($D32,Milestones!$AA$184)&gt;=$Z32),$AC32,IF(AND($Y32&lt;&gt;"",EDATE($D32,Milestones!$AA$184)&gt;=$Y32),$AB32,$AA32)))=Milestones!$AB$184),UPPER(TEXT(EDATE($D32,Milestones!$AA$184),"dd mmm yy"))&amp;" "&amp;Milestones!$AB$184&amp;" "&amp;IF(AND(Milestones!$AB$184="FT",Milestones!$AA$184=FT_Y5,EDATE($D32,Milestones!$AA$184)&lt;PolicyEff),1,Milestones!$AC$184)&amp;";  ","")&amp;IF(AND(EDATE($D32,Milestones!$AA$185)&lt;=AsOfDate,EDATE($D32,Milestones!$AA$185)&gt;=SchemeStart,IF($X32=0,$AD32,IF(AND($Z32&lt;&gt;"",EDATE($D32,Milestones!$AA$185)&gt;=$Z32),$AC32,IF(AND($Y32&lt;&gt;"",EDATE($D32,Milestones!$AA$185)&gt;=$Y32),$AB32,$AA32)))=Milestones!$AB$185),UPPER(TEXT(EDATE($D32,Milestones!$AA$185),"dd mmm yy"))&amp;" "&amp;Milestones!$AB$185&amp;" "&amp;IF(AND(Milestones!$AB$185="FT",Milestones!$AA$185=FT_Y5,EDATE($D32,Milestones!$AA$185)&lt;PolicyEff),1,Milestones!$AC$185)&amp;";  ","")&amp;IF(AND(EDATE($D32,Milestones!$AA$186)&lt;=AsOfDate,EDATE($D32,Milestones!$AA$186)&gt;=SchemeStart,IF($X32=0,$AD32,IF(AND($Z32&lt;&gt;"",EDATE($D32,Milestones!$AA$186)&gt;=$Z32),$AC32,IF(AND($Y32&lt;&gt;"",EDATE($D32,Milestones!$AA$186)&gt;=$Y32),$AB32,$AA32)))=Milestones!$AB$186),UPPER(TEXT(EDATE($D32,Milestones!$AA$186),"dd mmm yy"))&amp;" "&amp;Milestones!$AB$186&amp;" "&amp;IF(AND(Milestones!$AB$186="FT",Milestones!$AA$186=FT_Y5,EDATE($D32,Milestones!$AA$186)&lt;PolicyEff),1,Milestones!$AC$186)&amp;";  ","")&amp;IF(AND(EDATE($D32,Milestones!$AA$187)&lt;=AsOfDate,EDATE($D32,Milestones!$AA$187)&gt;=SchemeStart,IF($X32=0,$AD32,IF(AND($Z32&lt;&gt;"",EDATE($D32,Milestones!$AA$187)&gt;=$Z32),$AC32,IF(AND($Y32&lt;&gt;"",EDATE($D32,Milestones!$AA$187)&gt;=$Y32),$AB32,$AA32)))=Milestones!$AB$187),UPPER(TEXT(EDATE($D32,Milestones!$AA$187),"dd mmm yy"))&amp;" "&amp;Milestones!$AB$187&amp;" "&amp;IF(AND(Milestones!$AB$187="FT",Milestones!$AA$187=FT_Y5,EDATE($D32,Milestones!$AA$187)&lt;PolicyEff),1,Milestones!$AC$187)&amp;";  ",""))</f>
        <v/>
      </c>
      <c r="W32" s="0" t="str">
        <f aca="false">IF(OR($A32="",$D32=""),"",IF(AND(EDATE($D32,Milestones!$AA$188)&lt;=AsOfDate,EDATE($D32,Milestones!$AA$188)&gt;=SchemeStart,IF($X32=0,$AD32,IF(AND($Z32&lt;&gt;"",EDATE($D32,Milestones!$AA$188)&gt;=$Z32),$AC32,IF(AND($Y32&lt;&gt;"",EDATE($D32,Milestones!$AA$188)&gt;=$Y32),$AB32,$AA32)))=Milestones!$AB$188),UPPER(TEXT(EDATE($D32,Milestones!$AA$188),"dd mmm yy"))&amp;" "&amp;Milestones!$AB$188&amp;" "&amp;IF(AND(Milestones!$AB$188="FT",Milestones!$AA$188=FT_Y5,EDATE($D32,Milestones!$AA$188)&lt;PolicyEff),1,Milestones!$AC$188)&amp;";  ","")&amp;IF(AND(EDATE($D32,Milestones!$AA$189)&lt;=AsOfDate,EDATE($D32,Milestones!$AA$189)&gt;=SchemeStart,IF($X32=0,$AD32,IF(AND($Z32&lt;&gt;"",EDATE($D32,Milestones!$AA$189)&gt;=$Z32),$AC32,IF(AND($Y32&lt;&gt;"",EDATE($D32,Milestones!$AA$189)&gt;=$Y32),$AB32,$AA32)))=Milestones!$AB$189),UPPER(TEXT(EDATE($D32,Milestones!$AA$189),"dd mmm yy"))&amp;" "&amp;Milestones!$AB$189&amp;" "&amp;IF(AND(Milestones!$AB$189="FT",Milestones!$AA$189=FT_Y5,EDATE($D32,Milestones!$AA$189)&lt;PolicyEff),1,Milestones!$AC$189)&amp;";  ","")&amp;IF(AND(EDATE($D32,Milestones!$AA$190)&lt;=AsOfDate,EDATE($D32,Milestones!$AA$190)&gt;=SchemeStart,IF($X32=0,$AD32,IF(AND($Z32&lt;&gt;"",EDATE($D32,Milestones!$AA$190)&gt;=$Z32),$AC32,IF(AND($Y32&lt;&gt;"",EDATE($D32,Milestones!$AA$190)&gt;=$Y32),$AB32,$AA32)))=Milestones!$AB$190),UPPER(TEXT(EDATE($D32,Milestones!$AA$190),"dd mmm yy"))&amp;" "&amp;Milestones!$AB$190&amp;" "&amp;IF(AND(Milestones!$AB$190="FT",Milestones!$AA$190=FT_Y5,EDATE($D32,Milestones!$AA$190)&lt;PolicyEff),1,Milestones!$AC$190)&amp;";  ","")&amp;IF(AND(EDATE($D32,Milestones!$AA$191)&lt;=AsOfDate,EDATE($D32,Milestones!$AA$191)&gt;=SchemeStart,IF($X32=0,$AD32,IF(AND($Z32&lt;&gt;"",EDATE($D32,Milestones!$AA$191)&gt;=$Z32),$AC32,IF(AND($Y32&lt;&gt;"",EDATE($D32,Milestones!$AA$191)&gt;=$Y32),$AB32,$AA32)))=Milestones!$AB$191),UPPER(TEXT(EDATE($D32,Milestones!$AA$191),"dd mmm yy"))&amp;" "&amp;Milestones!$AB$191&amp;" "&amp;IF(AND(Milestones!$AB$191="FT",Milestones!$AA$191=FT_Y5,EDATE($D32,Milestones!$AA$191)&lt;PolicyEff),1,Milestones!$AC$191)&amp;";  ","")&amp;IF(AND(EDATE($D32,Milestones!$AA$192)&lt;=AsOfDate,EDATE($D32,Milestones!$AA$192)&gt;=SchemeStart,IF($X32=0,$AD32,IF(AND($Z32&lt;&gt;"",EDATE($D32,Milestones!$AA$192)&gt;=$Z32),$AC32,IF(AND($Y32&lt;&gt;"",EDATE($D32,Milestones!$AA$192)&gt;=$Y32),$AB32,$AA32)))=Milestones!$AB$192),UPPER(TEXT(EDATE($D32,Milestones!$AA$192),"dd mmm yy"))&amp;" "&amp;Milestones!$AB$192&amp;" "&amp;IF(AND(Milestones!$AB$192="FT",Milestones!$AA$192=FT_Y5,EDATE($D32,Milestones!$AA$192)&lt;PolicyEff),1,Milestones!$AC$192)&amp;";  ","")&amp;IF(AND(EDATE($D32,Milestones!$AA$193)&lt;=AsOfDate,EDATE($D32,Milestones!$AA$193)&gt;=SchemeStart,IF($X32=0,$AD32,IF(AND($Z32&lt;&gt;"",EDATE($D32,Milestones!$AA$193)&gt;=$Z32),$AC32,IF(AND($Y32&lt;&gt;"",EDATE($D32,Milestones!$AA$193)&gt;=$Y32),$AB32,$AA32)))=Milestones!$AB$193),UPPER(TEXT(EDATE($D32,Milestones!$AA$193),"dd mmm yy"))&amp;" "&amp;Milestones!$AB$193&amp;" "&amp;IF(AND(Milestones!$AB$193="FT",Milestones!$AA$193=FT_Y5,EDATE($D32,Milestones!$AA$193)&lt;PolicyEff),1,Milestones!$AC$193)&amp;";  ","")&amp;IF(AND(EDATE($D32,Milestones!$AA$194)&lt;=AsOfDate,EDATE($D32,Milestones!$AA$194)&gt;=SchemeStart,IF($X32=0,$AD32,IF(AND($Z32&lt;&gt;"",EDATE($D32,Milestones!$AA$194)&gt;=$Z32),$AC32,IF(AND($Y32&lt;&gt;"",EDATE($D32,Milestones!$AA$194)&gt;=$Y32),$AB32,$AA32)))=Milestones!$AB$194),UPPER(TEXT(EDATE($D32,Milestones!$AA$194),"dd mmm yy"))&amp;" "&amp;Milestones!$AB$194&amp;" "&amp;IF(AND(Milestones!$AB$194="FT",Milestones!$AA$194=FT_Y5,EDATE($D32,Milestones!$AA$194)&lt;PolicyEff),1,Milestones!$AC$194)&amp;";  ","")&amp;IF(AND(EDATE($D32,Milestones!$AA$195)&lt;=AsOfDate,EDATE($D32,Milestones!$AA$195)&gt;=SchemeStart,IF($X32=0,$AD32,IF(AND($Z32&lt;&gt;"",EDATE($D32,Milestones!$AA$195)&gt;=$Z32),$AC32,IF(AND($Y32&lt;&gt;"",EDATE($D32,Milestones!$AA$195)&gt;=$Y32),$AB32,$AA32)))=Milestones!$AB$195),UPPER(TEXT(EDATE($D32,Milestones!$AA$195),"dd mmm yy"))&amp;" "&amp;Milestones!$AB$195&amp;" "&amp;IF(AND(Milestones!$AB$195="FT",Milestones!$AA$195=FT_Y5,EDATE($D32,Milestones!$AA$195)&lt;PolicyEff),1,Milestones!$AC$195)&amp;";  ","")&amp;IF(AND(EDATE($D32,Milestones!$AA$196)&lt;=AsOfDate,EDATE($D32,Milestones!$AA$196)&gt;=SchemeStart,IF($X32=0,$AD32,IF(AND($Z32&lt;&gt;"",EDATE($D32,Milestones!$AA$196)&gt;=$Z32),$AC32,IF(AND($Y32&lt;&gt;"",EDATE($D32,Milestones!$AA$196)&gt;=$Y32),$AB32,$AA32)))=Milestones!$AB$196),UPPER(TEXT(EDATE($D32,Milestones!$AA$196),"dd mmm yy"))&amp;" "&amp;Milestones!$AB$196&amp;" "&amp;IF(AND(Milestones!$AB$196="FT",Milestones!$AA$196=FT_Y5,EDATE($D32,Milestones!$AA$196)&lt;PolicyEff),1,Milestones!$AC$196)&amp;";  ","")&amp;IF(AND(EDATE($D32,Milestones!$AA$197)&lt;=AsOfDate,EDATE($D32,Milestones!$AA$197)&gt;=SchemeStart,IF($X32=0,$AD32,IF(AND($Z32&lt;&gt;"",EDATE($D32,Milestones!$AA$197)&gt;=$Z32),$AC32,IF(AND($Y32&lt;&gt;"",EDATE($D32,Milestones!$AA$197)&gt;=$Y32),$AB32,$AA32)))=Milestones!$AB$197),UPPER(TEXT(EDATE($D32,Milestones!$AA$197),"dd mmm yy"))&amp;" "&amp;Milestones!$AB$197&amp;" "&amp;IF(AND(Milestones!$AB$197="FT",Milestones!$AA$197=FT_Y5,EDATE($D32,Milestones!$AA$197)&lt;PolicyEff),1,Milestones!$AC$197)&amp;";  ","")&amp;IF(AND(EDATE($D32,Milestones!$AA$198)&lt;=AsOfDate,EDATE($D32,Milestones!$AA$198)&gt;=SchemeStart,IF($X32=0,$AD32,IF(AND($Z32&lt;&gt;"",EDATE($D32,Milestones!$AA$198)&gt;=$Z32),$AC32,IF(AND($Y32&lt;&gt;"",EDATE($D32,Milestones!$AA$198)&gt;=$Y32),$AB32,$AA32)))=Milestones!$AB$198),UPPER(TEXT(EDATE($D32,Milestones!$AA$198),"dd mmm yy"))&amp;" "&amp;Milestones!$AB$198&amp;" "&amp;IF(AND(Milestones!$AB$198="FT",Milestones!$AA$198=FT_Y5,EDATE($D32,Milestones!$AA$198)&lt;PolicyEff),1,Milestones!$AC$198)&amp;";  ","")&amp;IF(AND(EDATE($D32,Milestones!$AA$199)&lt;=AsOfDate,EDATE($D32,Milestones!$AA$199)&gt;=SchemeStart,IF($X32=0,$AD32,IF(AND($Z32&lt;&gt;"",EDATE($D32,Milestones!$AA$199)&gt;=$Z32),$AC32,IF(AND($Y32&lt;&gt;"",EDATE($D32,Milestones!$AA$199)&gt;=$Y32),$AB32,$AA32)))=Milestones!$AB$199),UPPER(TEXT(EDATE($D32,Milestones!$AA$199),"dd mmm yy"))&amp;" "&amp;Milestones!$AB$199&amp;" "&amp;IF(AND(Milestones!$AB$199="FT",Milestones!$AA$199=FT_Y5,EDATE($D32,Milestones!$AA$199)&lt;PolicyEff),1,Milestones!$AC$199)&amp;";  ",""))</f>
        <v/>
      </c>
      <c r="X32" s="0" t="str">
        <f aca="false">IF(Staff!$A32="","",Staff!$AM32)</f>
        <v/>
      </c>
      <c r="Y32" s="0" t="str">
        <f aca="false">IF(Staff!$A32="","",Staff!$AO32)</f>
        <v/>
      </c>
      <c r="Z32" s="0" t="str">
        <f aca="false">IF(Staff!$A32="","",Staff!$AP32)</f>
        <v/>
      </c>
      <c r="AA32" s="0" t="str">
        <f aca="false">IF(Staff!$A32="","",Staff!$AT32)</f>
        <v/>
      </c>
      <c r="AB32" s="0" t="str">
        <f aca="false">IF(Staff!$A32="","",Staff!$AU32)</f>
        <v/>
      </c>
      <c r="AC32" s="0" t="str">
        <f aca="false">IF(Staff!$A32="","",Staff!$AV32)</f>
        <v/>
      </c>
      <c r="AD32" s="0" t="str">
        <f aca="false">IF(Staff!$A32="","",Staff!$AW32)</f>
        <v/>
      </c>
    </row>
    <row r="33" customFormat="false" ht="15" hidden="false" customHeight="false" outlineLevel="0" collapsed="false">
      <c r="A33" s="16" t="str">
        <f aca="false">IF(Staff!$A33="","",Staff!$A33)</f>
        <v/>
      </c>
      <c r="B33" s="16" t="str">
        <f aca="false">IF(Staff!$A33="","",Staff!$B33)</f>
        <v/>
      </c>
      <c r="C33" s="16" t="str">
        <f aca="false">IF(Staff!$A33="","",Staff!$C33)</f>
        <v/>
      </c>
      <c r="D33" s="14" t="str">
        <f aca="false">IF(Staff!$A33="","",Staff!$AL33)</f>
        <v/>
      </c>
      <c r="E33" s="16" t="str">
        <f aca="false">IF(Staff!$A33="","",Staff!$O33)</f>
        <v/>
      </c>
      <c r="F33" s="16" t="str">
        <f aca="false">IF(E33="","",E33*HoursPerDay)</f>
        <v/>
      </c>
      <c r="G33" s="16" t="str">
        <f aca="false">IF(Staff!$A33="","",Staff!$AE33)</f>
        <v/>
      </c>
      <c r="H33" s="28" t="str">
        <f aca="false">IF($A33="","",I33&amp;J33&amp;K33&amp;L33&amp;M33&amp;N33&amp;O33&amp;P33&amp;Q33&amp;R33&amp;S33&amp;T33&amp;U33&amp;V33&amp;W33)</f>
        <v/>
      </c>
      <c r="I33" s="0" t="str">
        <f aca="false">IF(OR($A33="",$D33=""),"",IF(AND(EDATE($D33,Milestones!$AA$20)&lt;=AsOfDate,EDATE($D33,Milestones!$AA$20)&gt;=SchemeStart,IF($X33=0,$AD33,IF(AND($Z33&lt;&gt;"",EDATE($D33,Milestones!$AA$20)&gt;=$Z33),$AC33,IF(AND($Y33&lt;&gt;"",EDATE($D33,Milestones!$AA$20)&gt;=$Y33),$AB33,$AA33)))=Milestones!$AB$20),UPPER(TEXT(EDATE($D33,Milestones!$AA$20),"dd mmm yy"))&amp;" "&amp;Milestones!$AB$20&amp;" "&amp;IF(AND(Milestones!$AB$20="FT",Milestones!$AA$20=FT_Y5,EDATE($D33,Milestones!$AA$20)&lt;PolicyEff),1,Milestones!$AC$20)&amp;";  ","")&amp;IF(AND(EDATE($D33,Milestones!$AA$21)&lt;=AsOfDate,EDATE($D33,Milestones!$AA$21)&gt;=SchemeStart,IF($X33=0,$AD33,IF(AND($Z33&lt;&gt;"",EDATE($D33,Milestones!$AA$21)&gt;=$Z33),$AC33,IF(AND($Y33&lt;&gt;"",EDATE($D33,Milestones!$AA$21)&gt;=$Y33),$AB33,$AA33)))=Milestones!$AB$21),UPPER(TEXT(EDATE($D33,Milestones!$AA$21),"dd mmm yy"))&amp;" "&amp;Milestones!$AB$21&amp;" "&amp;IF(AND(Milestones!$AB$21="FT",Milestones!$AA$21=FT_Y5,EDATE($D33,Milestones!$AA$21)&lt;PolicyEff),1,Milestones!$AC$21)&amp;";  ","")&amp;IF(AND(EDATE($D33,Milestones!$AA$22)&lt;=AsOfDate,EDATE($D33,Milestones!$AA$22)&gt;=SchemeStart,IF($X33=0,$AD33,IF(AND($Z33&lt;&gt;"",EDATE($D33,Milestones!$AA$22)&gt;=$Z33),$AC33,IF(AND($Y33&lt;&gt;"",EDATE($D33,Milestones!$AA$22)&gt;=$Y33),$AB33,$AA33)))=Milestones!$AB$22),UPPER(TEXT(EDATE($D33,Milestones!$AA$22),"dd mmm yy"))&amp;" "&amp;Milestones!$AB$22&amp;" "&amp;IF(AND(Milestones!$AB$22="FT",Milestones!$AA$22=FT_Y5,EDATE($D33,Milestones!$AA$22)&lt;PolicyEff),1,Milestones!$AC$22)&amp;";  ","")&amp;IF(AND(EDATE($D33,Milestones!$AA$23)&lt;=AsOfDate,EDATE($D33,Milestones!$AA$23)&gt;=SchemeStart,IF($X33=0,$AD33,IF(AND($Z33&lt;&gt;"",EDATE($D33,Milestones!$AA$23)&gt;=$Z33),$AC33,IF(AND($Y33&lt;&gt;"",EDATE($D33,Milestones!$AA$23)&gt;=$Y33),$AB33,$AA33)))=Milestones!$AB$23),UPPER(TEXT(EDATE($D33,Milestones!$AA$23),"dd mmm yy"))&amp;" "&amp;Milestones!$AB$23&amp;" "&amp;IF(AND(Milestones!$AB$23="FT",Milestones!$AA$23=FT_Y5,EDATE($D33,Milestones!$AA$23)&lt;PolicyEff),1,Milestones!$AC$23)&amp;";  ","")&amp;IF(AND(EDATE($D33,Milestones!$AA$24)&lt;=AsOfDate,EDATE($D33,Milestones!$AA$24)&gt;=SchemeStart,IF($X33=0,$AD33,IF(AND($Z33&lt;&gt;"",EDATE($D33,Milestones!$AA$24)&gt;=$Z33),$AC33,IF(AND($Y33&lt;&gt;"",EDATE($D33,Milestones!$AA$24)&gt;=$Y33),$AB33,$AA33)))=Milestones!$AB$24),UPPER(TEXT(EDATE($D33,Milestones!$AA$24),"dd mmm yy"))&amp;" "&amp;Milestones!$AB$24&amp;" "&amp;IF(AND(Milestones!$AB$24="FT",Milestones!$AA$24=FT_Y5,EDATE($D33,Milestones!$AA$24)&lt;PolicyEff),1,Milestones!$AC$24)&amp;";  ","")&amp;IF(AND(EDATE($D33,Milestones!$AA$25)&lt;=AsOfDate,EDATE($D33,Milestones!$AA$25)&gt;=SchemeStart,IF($X33=0,$AD33,IF(AND($Z33&lt;&gt;"",EDATE($D33,Milestones!$AA$25)&gt;=$Z33),$AC33,IF(AND($Y33&lt;&gt;"",EDATE($D33,Milestones!$AA$25)&gt;=$Y33),$AB33,$AA33)))=Milestones!$AB$25),UPPER(TEXT(EDATE($D33,Milestones!$AA$25),"dd mmm yy"))&amp;" "&amp;Milestones!$AB$25&amp;" "&amp;IF(AND(Milestones!$AB$25="FT",Milestones!$AA$25=FT_Y5,EDATE($D33,Milestones!$AA$25)&lt;PolicyEff),1,Milestones!$AC$25)&amp;";  ","")&amp;IF(AND(EDATE($D33,Milestones!$AA$26)&lt;=AsOfDate,EDATE($D33,Milestones!$AA$26)&gt;=SchemeStart,IF($X33=0,$AD33,IF(AND($Z33&lt;&gt;"",EDATE($D33,Milestones!$AA$26)&gt;=$Z33),$AC33,IF(AND($Y33&lt;&gt;"",EDATE($D33,Milestones!$AA$26)&gt;=$Y33),$AB33,$AA33)))=Milestones!$AB$26),UPPER(TEXT(EDATE($D33,Milestones!$AA$26),"dd mmm yy"))&amp;" "&amp;Milestones!$AB$26&amp;" "&amp;IF(AND(Milestones!$AB$26="FT",Milestones!$AA$26=FT_Y5,EDATE($D33,Milestones!$AA$26)&lt;PolicyEff),1,Milestones!$AC$26)&amp;";  ","")&amp;IF(AND(EDATE($D33,Milestones!$AA$27)&lt;=AsOfDate,EDATE($D33,Milestones!$AA$27)&gt;=SchemeStart,IF($X33=0,$AD33,IF(AND($Z33&lt;&gt;"",EDATE($D33,Milestones!$AA$27)&gt;=$Z33),$AC33,IF(AND($Y33&lt;&gt;"",EDATE($D33,Milestones!$AA$27)&gt;=$Y33),$AB33,$AA33)))=Milestones!$AB$27),UPPER(TEXT(EDATE($D33,Milestones!$AA$27),"dd mmm yy"))&amp;" "&amp;Milestones!$AB$27&amp;" "&amp;IF(AND(Milestones!$AB$27="FT",Milestones!$AA$27=FT_Y5,EDATE($D33,Milestones!$AA$27)&lt;PolicyEff),1,Milestones!$AC$27)&amp;";  ","")&amp;IF(AND(EDATE($D33,Milestones!$AA$28)&lt;=AsOfDate,EDATE($D33,Milestones!$AA$28)&gt;=SchemeStart,IF($X33=0,$AD33,IF(AND($Z33&lt;&gt;"",EDATE($D33,Milestones!$AA$28)&gt;=$Z33),$AC33,IF(AND($Y33&lt;&gt;"",EDATE($D33,Milestones!$AA$28)&gt;=$Y33),$AB33,$AA33)))=Milestones!$AB$28),UPPER(TEXT(EDATE($D33,Milestones!$AA$28),"dd mmm yy"))&amp;" "&amp;Milestones!$AB$28&amp;" "&amp;IF(AND(Milestones!$AB$28="FT",Milestones!$AA$28=FT_Y5,EDATE($D33,Milestones!$AA$28)&lt;PolicyEff),1,Milestones!$AC$28)&amp;";  ","")&amp;IF(AND(EDATE($D33,Milestones!$AA$29)&lt;=AsOfDate,EDATE($D33,Milestones!$AA$29)&gt;=SchemeStart,IF($X33=0,$AD33,IF(AND($Z33&lt;&gt;"",EDATE($D33,Milestones!$AA$29)&gt;=$Z33),$AC33,IF(AND($Y33&lt;&gt;"",EDATE($D33,Milestones!$AA$29)&gt;=$Y33),$AB33,$AA33)))=Milestones!$AB$29),UPPER(TEXT(EDATE($D33,Milestones!$AA$29),"dd mmm yy"))&amp;" "&amp;Milestones!$AB$29&amp;" "&amp;IF(AND(Milestones!$AB$29="FT",Milestones!$AA$29=FT_Y5,EDATE($D33,Milestones!$AA$29)&lt;PolicyEff),1,Milestones!$AC$29)&amp;";  ","")&amp;IF(AND(EDATE($D33,Milestones!$AA$30)&lt;=AsOfDate,EDATE($D33,Milestones!$AA$30)&gt;=SchemeStart,IF($X33=0,$AD33,IF(AND($Z33&lt;&gt;"",EDATE($D33,Milestones!$AA$30)&gt;=$Z33),$AC33,IF(AND($Y33&lt;&gt;"",EDATE($D33,Milestones!$AA$30)&gt;=$Y33),$AB33,$AA33)))=Milestones!$AB$30),UPPER(TEXT(EDATE($D33,Milestones!$AA$30),"dd mmm yy"))&amp;" "&amp;Milestones!$AB$30&amp;" "&amp;IF(AND(Milestones!$AB$30="FT",Milestones!$AA$30=FT_Y5,EDATE($D33,Milestones!$AA$30)&lt;PolicyEff),1,Milestones!$AC$30)&amp;";  ","")&amp;IF(AND(EDATE($D33,Milestones!$AA$31)&lt;=AsOfDate,EDATE($D33,Milestones!$AA$31)&gt;=SchemeStart,IF($X33=0,$AD33,IF(AND($Z33&lt;&gt;"",EDATE($D33,Milestones!$AA$31)&gt;=$Z33),$AC33,IF(AND($Y33&lt;&gt;"",EDATE($D33,Milestones!$AA$31)&gt;=$Y33),$AB33,$AA33)))=Milestones!$AB$31),UPPER(TEXT(EDATE($D33,Milestones!$AA$31),"dd mmm yy"))&amp;" "&amp;Milestones!$AB$31&amp;" "&amp;IF(AND(Milestones!$AB$31="FT",Milestones!$AA$31=FT_Y5,EDATE($D33,Milestones!$AA$31)&lt;PolicyEff),1,Milestones!$AC$31)&amp;";  ",""))</f>
        <v/>
      </c>
      <c r="J33" s="0" t="str">
        <f aca="false">IF(OR($A33="",$D33=""),"",IF(AND(EDATE($D33,Milestones!$AA$32)&lt;=AsOfDate,EDATE($D33,Milestones!$AA$32)&gt;=SchemeStart,IF($X33=0,$AD33,IF(AND($Z33&lt;&gt;"",EDATE($D33,Milestones!$AA$32)&gt;=$Z33),$AC33,IF(AND($Y33&lt;&gt;"",EDATE($D33,Milestones!$AA$32)&gt;=$Y33),$AB33,$AA33)))=Milestones!$AB$32),UPPER(TEXT(EDATE($D33,Milestones!$AA$32),"dd mmm yy"))&amp;" "&amp;Milestones!$AB$32&amp;" "&amp;IF(AND(Milestones!$AB$32="FT",Milestones!$AA$32=FT_Y5,EDATE($D33,Milestones!$AA$32)&lt;PolicyEff),1,Milestones!$AC$32)&amp;";  ","")&amp;IF(AND(EDATE($D33,Milestones!$AA$33)&lt;=AsOfDate,EDATE($D33,Milestones!$AA$33)&gt;=SchemeStart,IF($X33=0,$AD33,IF(AND($Z33&lt;&gt;"",EDATE($D33,Milestones!$AA$33)&gt;=$Z33),$AC33,IF(AND($Y33&lt;&gt;"",EDATE($D33,Milestones!$AA$33)&gt;=$Y33),$AB33,$AA33)))=Milestones!$AB$33),UPPER(TEXT(EDATE($D33,Milestones!$AA$33),"dd mmm yy"))&amp;" "&amp;Milestones!$AB$33&amp;" "&amp;IF(AND(Milestones!$AB$33="FT",Milestones!$AA$33=FT_Y5,EDATE($D33,Milestones!$AA$33)&lt;PolicyEff),1,Milestones!$AC$33)&amp;";  ","")&amp;IF(AND(EDATE($D33,Milestones!$AA$34)&lt;=AsOfDate,EDATE($D33,Milestones!$AA$34)&gt;=SchemeStart,IF($X33=0,$AD33,IF(AND($Z33&lt;&gt;"",EDATE($D33,Milestones!$AA$34)&gt;=$Z33),$AC33,IF(AND($Y33&lt;&gt;"",EDATE($D33,Milestones!$AA$34)&gt;=$Y33),$AB33,$AA33)))=Milestones!$AB$34),UPPER(TEXT(EDATE($D33,Milestones!$AA$34),"dd mmm yy"))&amp;" "&amp;Milestones!$AB$34&amp;" "&amp;IF(AND(Milestones!$AB$34="FT",Milestones!$AA$34=FT_Y5,EDATE($D33,Milestones!$AA$34)&lt;PolicyEff),1,Milestones!$AC$34)&amp;";  ","")&amp;IF(AND(EDATE($D33,Milestones!$AA$35)&lt;=AsOfDate,EDATE($D33,Milestones!$AA$35)&gt;=SchemeStart,IF($X33=0,$AD33,IF(AND($Z33&lt;&gt;"",EDATE($D33,Milestones!$AA$35)&gt;=$Z33),$AC33,IF(AND($Y33&lt;&gt;"",EDATE($D33,Milestones!$AA$35)&gt;=$Y33),$AB33,$AA33)))=Milestones!$AB$35),UPPER(TEXT(EDATE($D33,Milestones!$AA$35),"dd mmm yy"))&amp;" "&amp;Milestones!$AB$35&amp;" "&amp;IF(AND(Milestones!$AB$35="FT",Milestones!$AA$35=FT_Y5,EDATE($D33,Milestones!$AA$35)&lt;PolicyEff),1,Milestones!$AC$35)&amp;";  ","")&amp;IF(AND(EDATE($D33,Milestones!$AA$36)&lt;=AsOfDate,EDATE($D33,Milestones!$AA$36)&gt;=SchemeStart,IF($X33=0,$AD33,IF(AND($Z33&lt;&gt;"",EDATE($D33,Milestones!$AA$36)&gt;=$Z33),$AC33,IF(AND($Y33&lt;&gt;"",EDATE($D33,Milestones!$AA$36)&gt;=$Y33),$AB33,$AA33)))=Milestones!$AB$36),UPPER(TEXT(EDATE($D33,Milestones!$AA$36),"dd mmm yy"))&amp;" "&amp;Milestones!$AB$36&amp;" "&amp;IF(AND(Milestones!$AB$36="FT",Milestones!$AA$36=FT_Y5,EDATE($D33,Milestones!$AA$36)&lt;PolicyEff),1,Milestones!$AC$36)&amp;";  ","")&amp;IF(AND(EDATE($D33,Milestones!$AA$37)&lt;=AsOfDate,EDATE($D33,Milestones!$AA$37)&gt;=SchemeStart,IF($X33=0,$AD33,IF(AND($Z33&lt;&gt;"",EDATE($D33,Milestones!$AA$37)&gt;=$Z33),$AC33,IF(AND($Y33&lt;&gt;"",EDATE($D33,Milestones!$AA$37)&gt;=$Y33),$AB33,$AA33)))=Milestones!$AB$37),UPPER(TEXT(EDATE($D33,Milestones!$AA$37),"dd mmm yy"))&amp;" "&amp;Milestones!$AB$37&amp;" "&amp;IF(AND(Milestones!$AB$37="FT",Milestones!$AA$37=FT_Y5,EDATE($D33,Milestones!$AA$37)&lt;PolicyEff),1,Milestones!$AC$37)&amp;";  ","")&amp;IF(AND(EDATE($D33,Milestones!$AA$38)&lt;=AsOfDate,EDATE($D33,Milestones!$AA$38)&gt;=SchemeStart,IF($X33=0,$AD33,IF(AND($Z33&lt;&gt;"",EDATE($D33,Milestones!$AA$38)&gt;=$Z33),$AC33,IF(AND($Y33&lt;&gt;"",EDATE($D33,Milestones!$AA$38)&gt;=$Y33),$AB33,$AA33)))=Milestones!$AB$38),UPPER(TEXT(EDATE($D33,Milestones!$AA$38),"dd mmm yy"))&amp;" "&amp;Milestones!$AB$38&amp;" "&amp;IF(AND(Milestones!$AB$38="FT",Milestones!$AA$38=FT_Y5,EDATE($D33,Milestones!$AA$38)&lt;PolicyEff),1,Milestones!$AC$38)&amp;";  ","")&amp;IF(AND(EDATE($D33,Milestones!$AA$39)&lt;=AsOfDate,EDATE($D33,Milestones!$AA$39)&gt;=SchemeStart,IF($X33=0,$AD33,IF(AND($Z33&lt;&gt;"",EDATE($D33,Milestones!$AA$39)&gt;=$Z33),$AC33,IF(AND($Y33&lt;&gt;"",EDATE($D33,Milestones!$AA$39)&gt;=$Y33),$AB33,$AA33)))=Milestones!$AB$39),UPPER(TEXT(EDATE($D33,Milestones!$AA$39),"dd mmm yy"))&amp;" "&amp;Milestones!$AB$39&amp;" "&amp;IF(AND(Milestones!$AB$39="FT",Milestones!$AA$39=FT_Y5,EDATE($D33,Milestones!$AA$39)&lt;PolicyEff),1,Milestones!$AC$39)&amp;";  ","")&amp;IF(AND(EDATE($D33,Milestones!$AA$40)&lt;=AsOfDate,EDATE($D33,Milestones!$AA$40)&gt;=SchemeStart,IF($X33=0,$AD33,IF(AND($Z33&lt;&gt;"",EDATE($D33,Milestones!$AA$40)&gt;=$Z33),$AC33,IF(AND($Y33&lt;&gt;"",EDATE($D33,Milestones!$AA$40)&gt;=$Y33),$AB33,$AA33)))=Milestones!$AB$40),UPPER(TEXT(EDATE($D33,Milestones!$AA$40),"dd mmm yy"))&amp;" "&amp;Milestones!$AB$40&amp;" "&amp;IF(AND(Milestones!$AB$40="FT",Milestones!$AA$40=FT_Y5,EDATE($D33,Milestones!$AA$40)&lt;PolicyEff),1,Milestones!$AC$40)&amp;";  ","")&amp;IF(AND(EDATE($D33,Milestones!$AA$41)&lt;=AsOfDate,EDATE($D33,Milestones!$AA$41)&gt;=SchemeStart,IF($X33=0,$AD33,IF(AND($Z33&lt;&gt;"",EDATE($D33,Milestones!$AA$41)&gt;=$Z33),$AC33,IF(AND($Y33&lt;&gt;"",EDATE($D33,Milestones!$AA$41)&gt;=$Y33),$AB33,$AA33)))=Milestones!$AB$41),UPPER(TEXT(EDATE($D33,Milestones!$AA$41),"dd mmm yy"))&amp;" "&amp;Milestones!$AB$41&amp;" "&amp;IF(AND(Milestones!$AB$41="FT",Milestones!$AA$41=FT_Y5,EDATE($D33,Milestones!$AA$41)&lt;PolicyEff),1,Milestones!$AC$41)&amp;";  ","")&amp;IF(AND(EDATE($D33,Milestones!$AA$42)&lt;=AsOfDate,EDATE($D33,Milestones!$AA$42)&gt;=SchemeStart,IF($X33=0,$AD33,IF(AND($Z33&lt;&gt;"",EDATE($D33,Milestones!$AA$42)&gt;=$Z33),$AC33,IF(AND($Y33&lt;&gt;"",EDATE($D33,Milestones!$AA$42)&gt;=$Y33),$AB33,$AA33)))=Milestones!$AB$42),UPPER(TEXT(EDATE($D33,Milestones!$AA$42),"dd mmm yy"))&amp;" "&amp;Milestones!$AB$42&amp;" "&amp;IF(AND(Milestones!$AB$42="FT",Milestones!$AA$42=FT_Y5,EDATE($D33,Milestones!$AA$42)&lt;PolicyEff),1,Milestones!$AC$42)&amp;";  ","")&amp;IF(AND(EDATE($D33,Milestones!$AA$43)&lt;=AsOfDate,EDATE($D33,Milestones!$AA$43)&gt;=SchemeStart,IF($X33=0,$AD33,IF(AND($Z33&lt;&gt;"",EDATE($D33,Milestones!$AA$43)&gt;=$Z33),$AC33,IF(AND($Y33&lt;&gt;"",EDATE($D33,Milestones!$AA$43)&gt;=$Y33),$AB33,$AA33)))=Milestones!$AB$43),UPPER(TEXT(EDATE($D33,Milestones!$AA$43),"dd mmm yy"))&amp;" "&amp;Milestones!$AB$43&amp;" "&amp;IF(AND(Milestones!$AB$43="FT",Milestones!$AA$43=FT_Y5,EDATE($D33,Milestones!$AA$43)&lt;PolicyEff),1,Milestones!$AC$43)&amp;";  ",""))</f>
        <v/>
      </c>
      <c r="K33" s="0" t="str">
        <f aca="false">IF(OR($A33="",$D33=""),"",IF(AND(EDATE($D33,Milestones!$AA$44)&lt;=AsOfDate,EDATE($D33,Milestones!$AA$44)&gt;=SchemeStart,IF($X33=0,$AD33,IF(AND($Z33&lt;&gt;"",EDATE($D33,Milestones!$AA$44)&gt;=$Z33),$AC33,IF(AND($Y33&lt;&gt;"",EDATE($D33,Milestones!$AA$44)&gt;=$Y33),$AB33,$AA33)))=Milestones!$AB$44),UPPER(TEXT(EDATE($D33,Milestones!$AA$44),"dd mmm yy"))&amp;" "&amp;Milestones!$AB$44&amp;" "&amp;IF(AND(Milestones!$AB$44="FT",Milestones!$AA$44=FT_Y5,EDATE($D33,Milestones!$AA$44)&lt;PolicyEff),1,Milestones!$AC$44)&amp;";  ","")&amp;IF(AND(EDATE($D33,Milestones!$AA$45)&lt;=AsOfDate,EDATE($D33,Milestones!$AA$45)&gt;=SchemeStart,IF($X33=0,$AD33,IF(AND($Z33&lt;&gt;"",EDATE($D33,Milestones!$AA$45)&gt;=$Z33),$AC33,IF(AND($Y33&lt;&gt;"",EDATE($D33,Milestones!$AA$45)&gt;=$Y33),$AB33,$AA33)))=Milestones!$AB$45),UPPER(TEXT(EDATE($D33,Milestones!$AA$45),"dd mmm yy"))&amp;" "&amp;Milestones!$AB$45&amp;" "&amp;IF(AND(Milestones!$AB$45="FT",Milestones!$AA$45=FT_Y5,EDATE($D33,Milestones!$AA$45)&lt;PolicyEff),1,Milestones!$AC$45)&amp;";  ","")&amp;IF(AND(EDATE($D33,Milestones!$AA$46)&lt;=AsOfDate,EDATE($D33,Milestones!$AA$46)&gt;=SchemeStart,IF($X33=0,$AD33,IF(AND($Z33&lt;&gt;"",EDATE($D33,Milestones!$AA$46)&gt;=$Z33),$AC33,IF(AND($Y33&lt;&gt;"",EDATE($D33,Milestones!$AA$46)&gt;=$Y33),$AB33,$AA33)))=Milestones!$AB$46),UPPER(TEXT(EDATE($D33,Milestones!$AA$46),"dd mmm yy"))&amp;" "&amp;Milestones!$AB$46&amp;" "&amp;IF(AND(Milestones!$AB$46="FT",Milestones!$AA$46=FT_Y5,EDATE($D33,Milestones!$AA$46)&lt;PolicyEff),1,Milestones!$AC$46)&amp;";  ","")&amp;IF(AND(EDATE($D33,Milestones!$AA$47)&lt;=AsOfDate,EDATE($D33,Milestones!$AA$47)&gt;=SchemeStart,IF($X33=0,$AD33,IF(AND($Z33&lt;&gt;"",EDATE($D33,Milestones!$AA$47)&gt;=$Z33),$AC33,IF(AND($Y33&lt;&gt;"",EDATE($D33,Milestones!$AA$47)&gt;=$Y33),$AB33,$AA33)))=Milestones!$AB$47),UPPER(TEXT(EDATE($D33,Milestones!$AA$47),"dd mmm yy"))&amp;" "&amp;Milestones!$AB$47&amp;" "&amp;IF(AND(Milestones!$AB$47="FT",Milestones!$AA$47=FT_Y5,EDATE($D33,Milestones!$AA$47)&lt;PolicyEff),1,Milestones!$AC$47)&amp;";  ","")&amp;IF(AND(EDATE($D33,Milestones!$AA$48)&lt;=AsOfDate,EDATE($D33,Milestones!$AA$48)&gt;=SchemeStart,IF($X33=0,$AD33,IF(AND($Z33&lt;&gt;"",EDATE($D33,Milestones!$AA$48)&gt;=$Z33),$AC33,IF(AND($Y33&lt;&gt;"",EDATE($D33,Milestones!$AA$48)&gt;=$Y33),$AB33,$AA33)))=Milestones!$AB$48),UPPER(TEXT(EDATE($D33,Milestones!$AA$48),"dd mmm yy"))&amp;" "&amp;Milestones!$AB$48&amp;" "&amp;IF(AND(Milestones!$AB$48="FT",Milestones!$AA$48=FT_Y5,EDATE($D33,Milestones!$AA$48)&lt;PolicyEff),1,Milestones!$AC$48)&amp;";  ","")&amp;IF(AND(EDATE($D33,Milestones!$AA$49)&lt;=AsOfDate,EDATE($D33,Milestones!$AA$49)&gt;=SchemeStart,IF($X33=0,$AD33,IF(AND($Z33&lt;&gt;"",EDATE($D33,Milestones!$AA$49)&gt;=$Z33),$AC33,IF(AND($Y33&lt;&gt;"",EDATE($D33,Milestones!$AA$49)&gt;=$Y33),$AB33,$AA33)))=Milestones!$AB$49),UPPER(TEXT(EDATE($D33,Milestones!$AA$49),"dd mmm yy"))&amp;" "&amp;Milestones!$AB$49&amp;" "&amp;IF(AND(Milestones!$AB$49="FT",Milestones!$AA$49=FT_Y5,EDATE($D33,Milestones!$AA$49)&lt;PolicyEff),1,Milestones!$AC$49)&amp;";  ","")&amp;IF(AND(EDATE($D33,Milestones!$AA$50)&lt;=AsOfDate,EDATE($D33,Milestones!$AA$50)&gt;=SchemeStart,IF($X33=0,$AD33,IF(AND($Z33&lt;&gt;"",EDATE($D33,Milestones!$AA$50)&gt;=$Z33),$AC33,IF(AND($Y33&lt;&gt;"",EDATE($D33,Milestones!$AA$50)&gt;=$Y33),$AB33,$AA33)))=Milestones!$AB$50),UPPER(TEXT(EDATE($D33,Milestones!$AA$50),"dd mmm yy"))&amp;" "&amp;Milestones!$AB$50&amp;" "&amp;IF(AND(Milestones!$AB$50="FT",Milestones!$AA$50=FT_Y5,EDATE($D33,Milestones!$AA$50)&lt;PolicyEff),1,Milestones!$AC$50)&amp;";  ","")&amp;IF(AND(EDATE($D33,Milestones!$AA$51)&lt;=AsOfDate,EDATE($D33,Milestones!$AA$51)&gt;=SchemeStart,IF($X33=0,$AD33,IF(AND($Z33&lt;&gt;"",EDATE($D33,Milestones!$AA$51)&gt;=$Z33),$AC33,IF(AND($Y33&lt;&gt;"",EDATE($D33,Milestones!$AA$51)&gt;=$Y33),$AB33,$AA33)))=Milestones!$AB$51),UPPER(TEXT(EDATE($D33,Milestones!$AA$51),"dd mmm yy"))&amp;" "&amp;Milestones!$AB$51&amp;" "&amp;IF(AND(Milestones!$AB$51="FT",Milestones!$AA$51=FT_Y5,EDATE($D33,Milestones!$AA$51)&lt;PolicyEff),1,Milestones!$AC$51)&amp;";  ","")&amp;IF(AND(EDATE($D33,Milestones!$AA$52)&lt;=AsOfDate,EDATE($D33,Milestones!$AA$52)&gt;=SchemeStart,IF($X33=0,$AD33,IF(AND($Z33&lt;&gt;"",EDATE($D33,Milestones!$AA$52)&gt;=$Z33),$AC33,IF(AND($Y33&lt;&gt;"",EDATE($D33,Milestones!$AA$52)&gt;=$Y33),$AB33,$AA33)))=Milestones!$AB$52),UPPER(TEXT(EDATE($D33,Milestones!$AA$52),"dd mmm yy"))&amp;" "&amp;Milestones!$AB$52&amp;" "&amp;IF(AND(Milestones!$AB$52="FT",Milestones!$AA$52=FT_Y5,EDATE($D33,Milestones!$AA$52)&lt;PolicyEff),1,Milestones!$AC$52)&amp;";  ","")&amp;IF(AND(EDATE($D33,Milestones!$AA$53)&lt;=AsOfDate,EDATE($D33,Milestones!$AA$53)&gt;=SchemeStart,IF($X33=0,$AD33,IF(AND($Z33&lt;&gt;"",EDATE($D33,Milestones!$AA$53)&gt;=$Z33),$AC33,IF(AND($Y33&lt;&gt;"",EDATE($D33,Milestones!$AA$53)&gt;=$Y33),$AB33,$AA33)))=Milestones!$AB$53),UPPER(TEXT(EDATE($D33,Milestones!$AA$53),"dd mmm yy"))&amp;" "&amp;Milestones!$AB$53&amp;" "&amp;IF(AND(Milestones!$AB$53="FT",Milestones!$AA$53=FT_Y5,EDATE($D33,Milestones!$AA$53)&lt;PolicyEff),1,Milestones!$AC$53)&amp;";  ","")&amp;IF(AND(EDATE($D33,Milestones!$AA$54)&lt;=AsOfDate,EDATE($D33,Milestones!$AA$54)&gt;=SchemeStart,IF($X33=0,$AD33,IF(AND($Z33&lt;&gt;"",EDATE($D33,Milestones!$AA$54)&gt;=$Z33),$AC33,IF(AND($Y33&lt;&gt;"",EDATE($D33,Milestones!$AA$54)&gt;=$Y33),$AB33,$AA33)))=Milestones!$AB$54),UPPER(TEXT(EDATE($D33,Milestones!$AA$54),"dd mmm yy"))&amp;" "&amp;Milestones!$AB$54&amp;" "&amp;IF(AND(Milestones!$AB$54="FT",Milestones!$AA$54=FT_Y5,EDATE($D33,Milestones!$AA$54)&lt;PolicyEff),1,Milestones!$AC$54)&amp;";  ","")&amp;IF(AND(EDATE($D33,Milestones!$AA$55)&lt;=AsOfDate,EDATE($D33,Milestones!$AA$55)&gt;=SchemeStart,IF($X33=0,$AD33,IF(AND($Z33&lt;&gt;"",EDATE($D33,Milestones!$AA$55)&gt;=$Z33),$AC33,IF(AND($Y33&lt;&gt;"",EDATE($D33,Milestones!$AA$55)&gt;=$Y33),$AB33,$AA33)))=Milestones!$AB$55),UPPER(TEXT(EDATE($D33,Milestones!$AA$55),"dd mmm yy"))&amp;" "&amp;Milestones!$AB$55&amp;" "&amp;IF(AND(Milestones!$AB$55="FT",Milestones!$AA$55=FT_Y5,EDATE($D33,Milestones!$AA$55)&lt;PolicyEff),1,Milestones!$AC$55)&amp;";  ",""))</f>
        <v/>
      </c>
      <c r="L33" s="0" t="str">
        <f aca="false">IF(OR($A33="",$D33=""),"",IF(AND(EDATE($D33,Milestones!$AA$56)&lt;=AsOfDate,EDATE($D33,Milestones!$AA$56)&gt;=SchemeStart,IF($X33=0,$AD33,IF(AND($Z33&lt;&gt;"",EDATE($D33,Milestones!$AA$56)&gt;=$Z33),$AC33,IF(AND($Y33&lt;&gt;"",EDATE($D33,Milestones!$AA$56)&gt;=$Y33),$AB33,$AA33)))=Milestones!$AB$56),UPPER(TEXT(EDATE($D33,Milestones!$AA$56),"dd mmm yy"))&amp;" "&amp;Milestones!$AB$56&amp;" "&amp;IF(AND(Milestones!$AB$56="FT",Milestones!$AA$56=FT_Y5,EDATE($D33,Milestones!$AA$56)&lt;PolicyEff),1,Milestones!$AC$56)&amp;";  ","")&amp;IF(AND(EDATE($D33,Milestones!$AA$57)&lt;=AsOfDate,EDATE($D33,Milestones!$AA$57)&gt;=SchemeStart,IF($X33=0,$AD33,IF(AND($Z33&lt;&gt;"",EDATE($D33,Milestones!$AA$57)&gt;=$Z33),$AC33,IF(AND($Y33&lt;&gt;"",EDATE($D33,Milestones!$AA$57)&gt;=$Y33),$AB33,$AA33)))=Milestones!$AB$57),UPPER(TEXT(EDATE($D33,Milestones!$AA$57),"dd mmm yy"))&amp;" "&amp;Milestones!$AB$57&amp;" "&amp;IF(AND(Milestones!$AB$57="FT",Milestones!$AA$57=FT_Y5,EDATE($D33,Milestones!$AA$57)&lt;PolicyEff),1,Milestones!$AC$57)&amp;";  ","")&amp;IF(AND(EDATE($D33,Milestones!$AA$58)&lt;=AsOfDate,EDATE($D33,Milestones!$AA$58)&gt;=SchemeStart,IF($X33=0,$AD33,IF(AND($Z33&lt;&gt;"",EDATE($D33,Milestones!$AA$58)&gt;=$Z33),$AC33,IF(AND($Y33&lt;&gt;"",EDATE($D33,Milestones!$AA$58)&gt;=$Y33),$AB33,$AA33)))=Milestones!$AB$58),UPPER(TEXT(EDATE($D33,Milestones!$AA$58),"dd mmm yy"))&amp;" "&amp;Milestones!$AB$58&amp;" "&amp;IF(AND(Milestones!$AB$58="FT",Milestones!$AA$58=FT_Y5,EDATE($D33,Milestones!$AA$58)&lt;PolicyEff),1,Milestones!$AC$58)&amp;";  ","")&amp;IF(AND(EDATE($D33,Milestones!$AA$59)&lt;=AsOfDate,EDATE($D33,Milestones!$AA$59)&gt;=SchemeStart,IF($X33=0,$AD33,IF(AND($Z33&lt;&gt;"",EDATE($D33,Milestones!$AA$59)&gt;=$Z33),$AC33,IF(AND($Y33&lt;&gt;"",EDATE($D33,Milestones!$AA$59)&gt;=$Y33),$AB33,$AA33)))=Milestones!$AB$59),UPPER(TEXT(EDATE($D33,Milestones!$AA$59),"dd mmm yy"))&amp;" "&amp;Milestones!$AB$59&amp;" "&amp;IF(AND(Milestones!$AB$59="FT",Milestones!$AA$59=FT_Y5,EDATE($D33,Milestones!$AA$59)&lt;PolicyEff),1,Milestones!$AC$59)&amp;";  ","")&amp;IF(AND(EDATE($D33,Milestones!$AA$60)&lt;=AsOfDate,EDATE($D33,Milestones!$AA$60)&gt;=SchemeStart,IF($X33=0,$AD33,IF(AND($Z33&lt;&gt;"",EDATE($D33,Milestones!$AA$60)&gt;=$Z33),$AC33,IF(AND($Y33&lt;&gt;"",EDATE($D33,Milestones!$AA$60)&gt;=$Y33),$AB33,$AA33)))=Milestones!$AB$60),UPPER(TEXT(EDATE($D33,Milestones!$AA$60),"dd mmm yy"))&amp;" "&amp;Milestones!$AB$60&amp;" "&amp;IF(AND(Milestones!$AB$60="FT",Milestones!$AA$60=FT_Y5,EDATE($D33,Milestones!$AA$60)&lt;PolicyEff),1,Milestones!$AC$60)&amp;";  ","")&amp;IF(AND(EDATE($D33,Milestones!$AA$61)&lt;=AsOfDate,EDATE($D33,Milestones!$AA$61)&gt;=SchemeStart,IF($X33=0,$AD33,IF(AND($Z33&lt;&gt;"",EDATE($D33,Milestones!$AA$61)&gt;=$Z33),$AC33,IF(AND($Y33&lt;&gt;"",EDATE($D33,Milestones!$AA$61)&gt;=$Y33),$AB33,$AA33)))=Milestones!$AB$61),UPPER(TEXT(EDATE($D33,Milestones!$AA$61),"dd mmm yy"))&amp;" "&amp;Milestones!$AB$61&amp;" "&amp;IF(AND(Milestones!$AB$61="FT",Milestones!$AA$61=FT_Y5,EDATE($D33,Milestones!$AA$61)&lt;PolicyEff),1,Milestones!$AC$61)&amp;";  ","")&amp;IF(AND(EDATE($D33,Milestones!$AA$62)&lt;=AsOfDate,EDATE($D33,Milestones!$AA$62)&gt;=SchemeStart,IF($X33=0,$AD33,IF(AND($Z33&lt;&gt;"",EDATE($D33,Milestones!$AA$62)&gt;=$Z33),$AC33,IF(AND($Y33&lt;&gt;"",EDATE($D33,Milestones!$AA$62)&gt;=$Y33),$AB33,$AA33)))=Milestones!$AB$62),UPPER(TEXT(EDATE($D33,Milestones!$AA$62),"dd mmm yy"))&amp;" "&amp;Milestones!$AB$62&amp;" "&amp;IF(AND(Milestones!$AB$62="FT",Milestones!$AA$62=FT_Y5,EDATE($D33,Milestones!$AA$62)&lt;PolicyEff),1,Milestones!$AC$62)&amp;";  ","")&amp;IF(AND(EDATE($D33,Milestones!$AA$63)&lt;=AsOfDate,EDATE($D33,Milestones!$AA$63)&gt;=SchemeStart,IF($X33=0,$AD33,IF(AND($Z33&lt;&gt;"",EDATE($D33,Milestones!$AA$63)&gt;=$Z33),$AC33,IF(AND($Y33&lt;&gt;"",EDATE($D33,Milestones!$AA$63)&gt;=$Y33),$AB33,$AA33)))=Milestones!$AB$63),UPPER(TEXT(EDATE($D33,Milestones!$AA$63),"dd mmm yy"))&amp;" "&amp;Milestones!$AB$63&amp;" "&amp;IF(AND(Milestones!$AB$63="FT",Milestones!$AA$63=FT_Y5,EDATE($D33,Milestones!$AA$63)&lt;PolicyEff),1,Milestones!$AC$63)&amp;";  ","")&amp;IF(AND(EDATE($D33,Milestones!$AA$64)&lt;=AsOfDate,EDATE($D33,Milestones!$AA$64)&gt;=SchemeStart,IF($X33=0,$AD33,IF(AND($Z33&lt;&gt;"",EDATE($D33,Milestones!$AA$64)&gt;=$Z33),$AC33,IF(AND($Y33&lt;&gt;"",EDATE($D33,Milestones!$AA$64)&gt;=$Y33),$AB33,$AA33)))=Milestones!$AB$64),UPPER(TEXT(EDATE($D33,Milestones!$AA$64),"dd mmm yy"))&amp;" "&amp;Milestones!$AB$64&amp;" "&amp;IF(AND(Milestones!$AB$64="FT",Milestones!$AA$64=FT_Y5,EDATE($D33,Milestones!$AA$64)&lt;PolicyEff),1,Milestones!$AC$64)&amp;";  ","")&amp;IF(AND(EDATE($D33,Milestones!$AA$65)&lt;=AsOfDate,EDATE($D33,Milestones!$AA$65)&gt;=SchemeStart,IF($X33=0,$AD33,IF(AND($Z33&lt;&gt;"",EDATE($D33,Milestones!$AA$65)&gt;=$Z33),$AC33,IF(AND($Y33&lt;&gt;"",EDATE($D33,Milestones!$AA$65)&gt;=$Y33),$AB33,$AA33)))=Milestones!$AB$65),UPPER(TEXT(EDATE($D33,Milestones!$AA$65),"dd mmm yy"))&amp;" "&amp;Milestones!$AB$65&amp;" "&amp;IF(AND(Milestones!$AB$65="FT",Milestones!$AA$65=FT_Y5,EDATE($D33,Milestones!$AA$65)&lt;PolicyEff),1,Milestones!$AC$65)&amp;";  ","")&amp;IF(AND(EDATE($D33,Milestones!$AA$66)&lt;=AsOfDate,EDATE($D33,Milestones!$AA$66)&gt;=SchemeStart,IF($X33=0,$AD33,IF(AND($Z33&lt;&gt;"",EDATE($D33,Milestones!$AA$66)&gt;=$Z33),$AC33,IF(AND($Y33&lt;&gt;"",EDATE($D33,Milestones!$AA$66)&gt;=$Y33),$AB33,$AA33)))=Milestones!$AB$66),UPPER(TEXT(EDATE($D33,Milestones!$AA$66),"dd mmm yy"))&amp;" "&amp;Milestones!$AB$66&amp;" "&amp;IF(AND(Milestones!$AB$66="FT",Milestones!$AA$66=FT_Y5,EDATE($D33,Milestones!$AA$66)&lt;PolicyEff),1,Milestones!$AC$66)&amp;";  ","")&amp;IF(AND(EDATE($D33,Milestones!$AA$67)&lt;=AsOfDate,EDATE($D33,Milestones!$AA$67)&gt;=SchemeStart,IF($X33=0,$AD33,IF(AND($Z33&lt;&gt;"",EDATE($D33,Milestones!$AA$67)&gt;=$Z33),$AC33,IF(AND($Y33&lt;&gt;"",EDATE($D33,Milestones!$AA$67)&gt;=$Y33),$AB33,$AA33)))=Milestones!$AB$67),UPPER(TEXT(EDATE($D33,Milestones!$AA$67),"dd mmm yy"))&amp;" "&amp;Milestones!$AB$67&amp;" "&amp;IF(AND(Milestones!$AB$67="FT",Milestones!$AA$67=FT_Y5,EDATE($D33,Milestones!$AA$67)&lt;PolicyEff),1,Milestones!$AC$67)&amp;";  ",""))</f>
        <v/>
      </c>
      <c r="M33" s="0" t="str">
        <f aca="false">IF(OR($A33="",$D33=""),"",IF(AND(EDATE($D33,Milestones!$AA$68)&lt;=AsOfDate,EDATE($D33,Milestones!$AA$68)&gt;=SchemeStart,IF($X33=0,$AD33,IF(AND($Z33&lt;&gt;"",EDATE($D33,Milestones!$AA$68)&gt;=$Z33),$AC33,IF(AND($Y33&lt;&gt;"",EDATE($D33,Milestones!$AA$68)&gt;=$Y33),$AB33,$AA33)))=Milestones!$AB$68),UPPER(TEXT(EDATE($D33,Milestones!$AA$68),"dd mmm yy"))&amp;" "&amp;Milestones!$AB$68&amp;" "&amp;IF(AND(Milestones!$AB$68="FT",Milestones!$AA$68=FT_Y5,EDATE($D33,Milestones!$AA$68)&lt;PolicyEff),1,Milestones!$AC$68)&amp;";  ","")&amp;IF(AND(EDATE($D33,Milestones!$AA$69)&lt;=AsOfDate,EDATE($D33,Milestones!$AA$69)&gt;=SchemeStart,IF($X33=0,$AD33,IF(AND($Z33&lt;&gt;"",EDATE($D33,Milestones!$AA$69)&gt;=$Z33),$AC33,IF(AND($Y33&lt;&gt;"",EDATE($D33,Milestones!$AA$69)&gt;=$Y33),$AB33,$AA33)))=Milestones!$AB$69),UPPER(TEXT(EDATE($D33,Milestones!$AA$69),"dd mmm yy"))&amp;" "&amp;Milestones!$AB$69&amp;" "&amp;IF(AND(Milestones!$AB$69="FT",Milestones!$AA$69=FT_Y5,EDATE($D33,Milestones!$AA$69)&lt;PolicyEff),1,Milestones!$AC$69)&amp;";  ","")&amp;IF(AND(EDATE($D33,Milestones!$AA$70)&lt;=AsOfDate,EDATE($D33,Milestones!$AA$70)&gt;=SchemeStart,IF($X33=0,$AD33,IF(AND($Z33&lt;&gt;"",EDATE($D33,Milestones!$AA$70)&gt;=$Z33),$AC33,IF(AND($Y33&lt;&gt;"",EDATE($D33,Milestones!$AA$70)&gt;=$Y33),$AB33,$AA33)))=Milestones!$AB$70),UPPER(TEXT(EDATE($D33,Milestones!$AA$70),"dd mmm yy"))&amp;" "&amp;Milestones!$AB$70&amp;" "&amp;IF(AND(Milestones!$AB$70="FT",Milestones!$AA$70=FT_Y5,EDATE($D33,Milestones!$AA$70)&lt;PolicyEff),1,Milestones!$AC$70)&amp;";  ","")&amp;IF(AND(EDATE($D33,Milestones!$AA$71)&lt;=AsOfDate,EDATE($D33,Milestones!$AA$71)&gt;=SchemeStart,IF($X33=0,$AD33,IF(AND($Z33&lt;&gt;"",EDATE($D33,Milestones!$AA$71)&gt;=$Z33),$AC33,IF(AND($Y33&lt;&gt;"",EDATE($D33,Milestones!$AA$71)&gt;=$Y33),$AB33,$AA33)))=Milestones!$AB$71),UPPER(TEXT(EDATE($D33,Milestones!$AA$71),"dd mmm yy"))&amp;" "&amp;Milestones!$AB$71&amp;" "&amp;IF(AND(Milestones!$AB$71="FT",Milestones!$AA$71=FT_Y5,EDATE($D33,Milestones!$AA$71)&lt;PolicyEff),1,Milestones!$AC$71)&amp;";  ","")&amp;IF(AND(EDATE($D33,Milestones!$AA$72)&lt;=AsOfDate,EDATE($D33,Milestones!$AA$72)&gt;=SchemeStart,IF($X33=0,$AD33,IF(AND($Z33&lt;&gt;"",EDATE($D33,Milestones!$AA$72)&gt;=$Z33),$AC33,IF(AND($Y33&lt;&gt;"",EDATE($D33,Milestones!$AA$72)&gt;=$Y33),$AB33,$AA33)))=Milestones!$AB$72),UPPER(TEXT(EDATE($D33,Milestones!$AA$72),"dd mmm yy"))&amp;" "&amp;Milestones!$AB$72&amp;" "&amp;IF(AND(Milestones!$AB$72="FT",Milestones!$AA$72=FT_Y5,EDATE($D33,Milestones!$AA$72)&lt;PolicyEff),1,Milestones!$AC$72)&amp;";  ","")&amp;IF(AND(EDATE($D33,Milestones!$AA$73)&lt;=AsOfDate,EDATE($D33,Milestones!$AA$73)&gt;=SchemeStart,IF($X33=0,$AD33,IF(AND($Z33&lt;&gt;"",EDATE($D33,Milestones!$AA$73)&gt;=$Z33),$AC33,IF(AND($Y33&lt;&gt;"",EDATE($D33,Milestones!$AA$73)&gt;=$Y33),$AB33,$AA33)))=Milestones!$AB$73),UPPER(TEXT(EDATE($D33,Milestones!$AA$73),"dd mmm yy"))&amp;" "&amp;Milestones!$AB$73&amp;" "&amp;IF(AND(Milestones!$AB$73="FT",Milestones!$AA$73=FT_Y5,EDATE($D33,Milestones!$AA$73)&lt;PolicyEff),1,Milestones!$AC$73)&amp;";  ","")&amp;IF(AND(EDATE($D33,Milestones!$AA$74)&lt;=AsOfDate,EDATE($D33,Milestones!$AA$74)&gt;=SchemeStart,IF($X33=0,$AD33,IF(AND($Z33&lt;&gt;"",EDATE($D33,Milestones!$AA$74)&gt;=$Z33),$AC33,IF(AND($Y33&lt;&gt;"",EDATE($D33,Milestones!$AA$74)&gt;=$Y33),$AB33,$AA33)))=Milestones!$AB$74),UPPER(TEXT(EDATE($D33,Milestones!$AA$74),"dd mmm yy"))&amp;" "&amp;Milestones!$AB$74&amp;" "&amp;IF(AND(Milestones!$AB$74="FT",Milestones!$AA$74=FT_Y5,EDATE($D33,Milestones!$AA$74)&lt;PolicyEff),1,Milestones!$AC$74)&amp;";  ","")&amp;IF(AND(EDATE($D33,Milestones!$AA$75)&lt;=AsOfDate,EDATE($D33,Milestones!$AA$75)&gt;=SchemeStart,IF($X33=0,$AD33,IF(AND($Z33&lt;&gt;"",EDATE($D33,Milestones!$AA$75)&gt;=$Z33),$AC33,IF(AND($Y33&lt;&gt;"",EDATE($D33,Milestones!$AA$75)&gt;=$Y33),$AB33,$AA33)))=Milestones!$AB$75),UPPER(TEXT(EDATE($D33,Milestones!$AA$75),"dd mmm yy"))&amp;" "&amp;Milestones!$AB$75&amp;" "&amp;IF(AND(Milestones!$AB$75="FT",Milestones!$AA$75=FT_Y5,EDATE($D33,Milestones!$AA$75)&lt;PolicyEff),1,Milestones!$AC$75)&amp;";  ","")&amp;IF(AND(EDATE($D33,Milestones!$AA$76)&lt;=AsOfDate,EDATE($D33,Milestones!$AA$76)&gt;=SchemeStart,IF($X33=0,$AD33,IF(AND($Z33&lt;&gt;"",EDATE($D33,Milestones!$AA$76)&gt;=$Z33),$AC33,IF(AND($Y33&lt;&gt;"",EDATE($D33,Milestones!$AA$76)&gt;=$Y33),$AB33,$AA33)))=Milestones!$AB$76),UPPER(TEXT(EDATE($D33,Milestones!$AA$76),"dd mmm yy"))&amp;" "&amp;Milestones!$AB$76&amp;" "&amp;IF(AND(Milestones!$AB$76="FT",Milestones!$AA$76=FT_Y5,EDATE($D33,Milestones!$AA$76)&lt;PolicyEff),1,Milestones!$AC$76)&amp;";  ","")&amp;IF(AND(EDATE($D33,Milestones!$AA$77)&lt;=AsOfDate,EDATE($D33,Milestones!$AA$77)&gt;=SchemeStart,IF($X33=0,$AD33,IF(AND($Z33&lt;&gt;"",EDATE($D33,Milestones!$AA$77)&gt;=$Z33),$AC33,IF(AND($Y33&lt;&gt;"",EDATE($D33,Milestones!$AA$77)&gt;=$Y33),$AB33,$AA33)))=Milestones!$AB$77),UPPER(TEXT(EDATE($D33,Milestones!$AA$77),"dd mmm yy"))&amp;" "&amp;Milestones!$AB$77&amp;" "&amp;IF(AND(Milestones!$AB$77="FT",Milestones!$AA$77=FT_Y5,EDATE($D33,Milestones!$AA$77)&lt;PolicyEff),1,Milestones!$AC$77)&amp;";  ","")&amp;IF(AND(EDATE($D33,Milestones!$AA$78)&lt;=AsOfDate,EDATE($D33,Milestones!$AA$78)&gt;=SchemeStart,IF($X33=0,$AD33,IF(AND($Z33&lt;&gt;"",EDATE($D33,Milestones!$AA$78)&gt;=$Z33),$AC33,IF(AND($Y33&lt;&gt;"",EDATE($D33,Milestones!$AA$78)&gt;=$Y33),$AB33,$AA33)))=Milestones!$AB$78),UPPER(TEXT(EDATE($D33,Milestones!$AA$78),"dd mmm yy"))&amp;" "&amp;Milestones!$AB$78&amp;" "&amp;IF(AND(Milestones!$AB$78="FT",Milestones!$AA$78=FT_Y5,EDATE($D33,Milestones!$AA$78)&lt;PolicyEff),1,Milestones!$AC$78)&amp;";  ","")&amp;IF(AND(EDATE($D33,Milestones!$AA$79)&lt;=AsOfDate,EDATE($D33,Milestones!$AA$79)&gt;=SchemeStart,IF($X33=0,$AD33,IF(AND($Z33&lt;&gt;"",EDATE($D33,Milestones!$AA$79)&gt;=$Z33),$AC33,IF(AND($Y33&lt;&gt;"",EDATE($D33,Milestones!$AA$79)&gt;=$Y33),$AB33,$AA33)))=Milestones!$AB$79),UPPER(TEXT(EDATE($D33,Milestones!$AA$79),"dd mmm yy"))&amp;" "&amp;Milestones!$AB$79&amp;" "&amp;IF(AND(Milestones!$AB$79="FT",Milestones!$AA$79=FT_Y5,EDATE($D33,Milestones!$AA$79)&lt;PolicyEff),1,Milestones!$AC$79)&amp;";  ",""))</f>
        <v/>
      </c>
      <c r="N33" s="0" t="str">
        <f aca="false">IF(OR($A33="",$D33=""),"",IF(AND(EDATE($D33,Milestones!$AA$80)&lt;=AsOfDate,EDATE($D33,Milestones!$AA$80)&gt;=SchemeStart,IF($X33=0,$AD33,IF(AND($Z33&lt;&gt;"",EDATE($D33,Milestones!$AA$80)&gt;=$Z33),$AC33,IF(AND($Y33&lt;&gt;"",EDATE($D33,Milestones!$AA$80)&gt;=$Y33),$AB33,$AA33)))=Milestones!$AB$80),UPPER(TEXT(EDATE($D33,Milestones!$AA$80),"dd mmm yy"))&amp;" "&amp;Milestones!$AB$80&amp;" "&amp;IF(AND(Milestones!$AB$80="FT",Milestones!$AA$80=FT_Y5,EDATE($D33,Milestones!$AA$80)&lt;PolicyEff),1,Milestones!$AC$80)&amp;";  ","")&amp;IF(AND(EDATE($D33,Milestones!$AA$81)&lt;=AsOfDate,EDATE($D33,Milestones!$AA$81)&gt;=SchemeStart,IF($X33=0,$AD33,IF(AND($Z33&lt;&gt;"",EDATE($D33,Milestones!$AA$81)&gt;=$Z33),$AC33,IF(AND($Y33&lt;&gt;"",EDATE($D33,Milestones!$AA$81)&gt;=$Y33),$AB33,$AA33)))=Milestones!$AB$81),UPPER(TEXT(EDATE($D33,Milestones!$AA$81),"dd mmm yy"))&amp;" "&amp;Milestones!$AB$81&amp;" "&amp;IF(AND(Milestones!$AB$81="FT",Milestones!$AA$81=FT_Y5,EDATE($D33,Milestones!$AA$81)&lt;PolicyEff),1,Milestones!$AC$81)&amp;";  ","")&amp;IF(AND(EDATE($D33,Milestones!$AA$82)&lt;=AsOfDate,EDATE($D33,Milestones!$AA$82)&gt;=SchemeStart,IF($X33=0,$AD33,IF(AND($Z33&lt;&gt;"",EDATE($D33,Milestones!$AA$82)&gt;=$Z33),$AC33,IF(AND($Y33&lt;&gt;"",EDATE($D33,Milestones!$AA$82)&gt;=$Y33),$AB33,$AA33)))=Milestones!$AB$82),UPPER(TEXT(EDATE($D33,Milestones!$AA$82),"dd mmm yy"))&amp;" "&amp;Milestones!$AB$82&amp;" "&amp;IF(AND(Milestones!$AB$82="FT",Milestones!$AA$82=FT_Y5,EDATE($D33,Milestones!$AA$82)&lt;PolicyEff),1,Milestones!$AC$82)&amp;";  ","")&amp;IF(AND(EDATE($D33,Milestones!$AA$83)&lt;=AsOfDate,EDATE($D33,Milestones!$AA$83)&gt;=SchemeStart,IF($X33=0,$AD33,IF(AND($Z33&lt;&gt;"",EDATE($D33,Milestones!$AA$83)&gt;=$Z33),$AC33,IF(AND($Y33&lt;&gt;"",EDATE($D33,Milestones!$AA$83)&gt;=$Y33),$AB33,$AA33)))=Milestones!$AB$83),UPPER(TEXT(EDATE($D33,Milestones!$AA$83),"dd mmm yy"))&amp;" "&amp;Milestones!$AB$83&amp;" "&amp;IF(AND(Milestones!$AB$83="FT",Milestones!$AA$83=FT_Y5,EDATE($D33,Milestones!$AA$83)&lt;PolicyEff),1,Milestones!$AC$83)&amp;";  ","")&amp;IF(AND(EDATE($D33,Milestones!$AA$84)&lt;=AsOfDate,EDATE($D33,Milestones!$AA$84)&gt;=SchemeStart,IF($X33=0,$AD33,IF(AND($Z33&lt;&gt;"",EDATE($D33,Milestones!$AA$84)&gt;=$Z33),$AC33,IF(AND($Y33&lt;&gt;"",EDATE($D33,Milestones!$AA$84)&gt;=$Y33),$AB33,$AA33)))=Milestones!$AB$84),UPPER(TEXT(EDATE($D33,Milestones!$AA$84),"dd mmm yy"))&amp;" "&amp;Milestones!$AB$84&amp;" "&amp;IF(AND(Milestones!$AB$84="FT",Milestones!$AA$84=FT_Y5,EDATE($D33,Milestones!$AA$84)&lt;PolicyEff),1,Milestones!$AC$84)&amp;";  ","")&amp;IF(AND(EDATE($D33,Milestones!$AA$85)&lt;=AsOfDate,EDATE($D33,Milestones!$AA$85)&gt;=SchemeStart,IF($X33=0,$AD33,IF(AND($Z33&lt;&gt;"",EDATE($D33,Milestones!$AA$85)&gt;=$Z33),$AC33,IF(AND($Y33&lt;&gt;"",EDATE($D33,Milestones!$AA$85)&gt;=$Y33),$AB33,$AA33)))=Milestones!$AB$85),UPPER(TEXT(EDATE($D33,Milestones!$AA$85),"dd mmm yy"))&amp;" "&amp;Milestones!$AB$85&amp;" "&amp;IF(AND(Milestones!$AB$85="FT",Milestones!$AA$85=FT_Y5,EDATE($D33,Milestones!$AA$85)&lt;PolicyEff),1,Milestones!$AC$85)&amp;";  ","")&amp;IF(AND(EDATE($D33,Milestones!$AA$86)&lt;=AsOfDate,EDATE($D33,Milestones!$AA$86)&gt;=SchemeStart,IF($X33=0,$AD33,IF(AND($Z33&lt;&gt;"",EDATE($D33,Milestones!$AA$86)&gt;=$Z33),$AC33,IF(AND($Y33&lt;&gt;"",EDATE($D33,Milestones!$AA$86)&gt;=$Y33),$AB33,$AA33)))=Milestones!$AB$86),UPPER(TEXT(EDATE($D33,Milestones!$AA$86),"dd mmm yy"))&amp;" "&amp;Milestones!$AB$86&amp;" "&amp;IF(AND(Milestones!$AB$86="FT",Milestones!$AA$86=FT_Y5,EDATE($D33,Milestones!$AA$86)&lt;PolicyEff),1,Milestones!$AC$86)&amp;";  ","")&amp;IF(AND(EDATE($D33,Milestones!$AA$87)&lt;=AsOfDate,EDATE($D33,Milestones!$AA$87)&gt;=SchemeStart,IF($X33=0,$AD33,IF(AND($Z33&lt;&gt;"",EDATE($D33,Milestones!$AA$87)&gt;=$Z33),$AC33,IF(AND($Y33&lt;&gt;"",EDATE($D33,Milestones!$AA$87)&gt;=$Y33),$AB33,$AA33)))=Milestones!$AB$87),UPPER(TEXT(EDATE($D33,Milestones!$AA$87),"dd mmm yy"))&amp;" "&amp;Milestones!$AB$87&amp;" "&amp;IF(AND(Milestones!$AB$87="FT",Milestones!$AA$87=FT_Y5,EDATE($D33,Milestones!$AA$87)&lt;PolicyEff),1,Milestones!$AC$87)&amp;";  ","")&amp;IF(AND(EDATE($D33,Milestones!$AA$88)&lt;=AsOfDate,EDATE($D33,Milestones!$AA$88)&gt;=SchemeStart,IF($X33=0,$AD33,IF(AND($Z33&lt;&gt;"",EDATE($D33,Milestones!$AA$88)&gt;=$Z33),$AC33,IF(AND($Y33&lt;&gt;"",EDATE($D33,Milestones!$AA$88)&gt;=$Y33),$AB33,$AA33)))=Milestones!$AB$88),UPPER(TEXT(EDATE($D33,Milestones!$AA$88),"dd mmm yy"))&amp;" "&amp;Milestones!$AB$88&amp;" "&amp;IF(AND(Milestones!$AB$88="FT",Milestones!$AA$88=FT_Y5,EDATE($D33,Milestones!$AA$88)&lt;PolicyEff),1,Milestones!$AC$88)&amp;";  ","")&amp;IF(AND(EDATE($D33,Milestones!$AA$89)&lt;=AsOfDate,EDATE($D33,Milestones!$AA$89)&gt;=SchemeStart,IF($X33=0,$AD33,IF(AND($Z33&lt;&gt;"",EDATE($D33,Milestones!$AA$89)&gt;=$Z33),$AC33,IF(AND($Y33&lt;&gt;"",EDATE($D33,Milestones!$AA$89)&gt;=$Y33),$AB33,$AA33)))=Milestones!$AB$89),UPPER(TEXT(EDATE($D33,Milestones!$AA$89),"dd mmm yy"))&amp;" "&amp;Milestones!$AB$89&amp;" "&amp;IF(AND(Milestones!$AB$89="FT",Milestones!$AA$89=FT_Y5,EDATE($D33,Milestones!$AA$89)&lt;PolicyEff),1,Milestones!$AC$89)&amp;";  ","")&amp;IF(AND(EDATE($D33,Milestones!$AA$90)&lt;=AsOfDate,EDATE($D33,Milestones!$AA$90)&gt;=SchemeStart,IF($X33=0,$AD33,IF(AND($Z33&lt;&gt;"",EDATE($D33,Milestones!$AA$90)&gt;=$Z33),$AC33,IF(AND($Y33&lt;&gt;"",EDATE($D33,Milestones!$AA$90)&gt;=$Y33),$AB33,$AA33)))=Milestones!$AB$90),UPPER(TEXT(EDATE($D33,Milestones!$AA$90),"dd mmm yy"))&amp;" "&amp;Milestones!$AB$90&amp;" "&amp;IF(AND(Milestones!$AB$90="FT",Milestones!$AA$90=FT_Y5,EDATE($D33,Milestones!$AA$90)&lt;PolicyEff),1,Milestones!$AC$90)&amp;";  ","")&amp;IF(AND(EDATE($D33,Milestones!$AA$91)&lt;=AsOfDate,EDATE($D33,Milestones!$AA$91)&gt;=SchemeStart,IF($X33=0,$AD33,IF(AND($Z33&lt;&gt;"",EDATE($D33,Milestones!$AA$91)&gt;=$Z33),$AC33,IF(AND($Y33&lt;&gt;"",EDATE($D33,Milestones!$AA$91)&gt;=$Y33),$AB33,$AA33)))=Milestones!$AB$91),UPPER(TEXT(EDATE($D33,Milestones!$AA$91),"dd mmm yy"))&amp;" "&amp;Milestones!$AB$91&amp;" "&amp;IF(AND(Milestones!$AB$91="FT",Milestones!$AA$91=FT_Y5,EDATE($D33,Milestones!$AA$91)&lt;PolicyEff),1,Milestones!$AC$91)&amp;";  ",""))</f>
        <v/>
      </c>
      <c r="O33" s="0" t="str">
        <f aca="false">IF(OR($A33="",$D33=""),"",IF(AND(EDATE($D33,Milestones!$AA$92)&lt;=AsOfDate,EDATE($D33,Milestones!$AA$92)&gt;=SchemeStart,IF($X33=0,$AD33,IF(AND($Z33&lt;&gt;"",EDATE($D33,Milestones!$AA$92)&gt;=$Z33),$AC33,IF(AND($Y33&lt;&gt;"",EDATE($D33,Milestones!$AA$92)&gt;=$Y33),$AB33,$AA33)))=Milestones!$AB$92),UPPER(TEXT(EDATE($D33,Milestones!$AA$92),"dd mmm yy"))&amp;" "&amp;Milestones!$AB$92&amp;" "&amp;IF(AND(Milestones!$AB$92="FT",Milestones!$AA$92=FT_Y5,EDATE($D33,Milestones!$AA$92)&lt;PolicyEff),1,Milestones!$AC$92)&amp;";  ","")&amp;IF(AND(EDATE($D33,Milestones!$AA$93)&lt;=AsOfDate,EDATE($D33,Milestones!$AA$93)&gt;=SchemeStart,IF($X33=0,$AD33,IF(AND($Z33&lt;&gt;"",EDATE($D33,Milestones!$AA$93)&gt;=$Z33),$AC33,IF(AND($Y33&lt;&gt;"",EDATE($D33,Milestones!$AA$93)&gt;=$Y33),$AB33,$AA33)))=Milestones!$AB$93),UPPER(TEXT(EDATE($D33,Milestones!$AA$93),"dd mmm yy"))&amp;" "&amp;Milestones!$AB$93&amp;" "&amp;IF(AND(Milestones!$AB$93="FT",Milestones!$AA$93=FT_Y5,EDATE($D33,Milestones!$AA$93)&lt;PolicyEff),1,Milestones!$AC$93)&amp;";  ","")&amp;IF(AND(EDATE($D33,Milestones!$AA$94)&lt;=AsOfDate,EDATE($D33,Milestones!$AA$94)&gt;=SchemeStart,IF($X33=0,$AD33,IF(AND($Z33&lt;&gt;"",EDATE($D33,Milestones!$AA$94)&gt;=$Z33),$AC33,IF(AND($Y33&lt;&gt;"",EDATE($D33,Milestones!$AA$94)&gt;=$Y33),$AB33,$AA33)))=Milestones!$AB$94),UPPER(TEXT(EDATE($D33,Milestones!$AA$94),"dd mmm yy"))&amp;" "&amp;Milestones!$AB$94&amp;" "&amp;IF(AND(Milestones!$AB$94="FT",Milestones!$AA$94=FT_Y5,EDATE($D33,Milestones!$AA$94)&lt;PolicyEff),1,Milestones!$AC$94)&amp;";  ","")&amp;IF(AND(EDATE($D33,Milestones!$AA$95)&lt;=AsOfDate,EDATE($D33,Milestones!$AA$95)&gt;=SchemeStart,IF($X33=0,$AD33,IF(AND($Z33&lt;&gt;"",EDATE($D33,Milestones!$AA$95)&gt;=$Z33),$AC33,IF(AND($Y33&lt;&gt;"",EDATE($D33,Milestones!$AA$95)&gt;=$Y33),$AB33,$AA33)))=Milestones!$AB$95),UPPER(TEXT(EDATE($D33,Milestones!$AA$95),"dd mmm yy"))&amp;" "&amp;Milestones!$AB$95&amp;" "&amp;IF(AND(Milestones!$AB$95="FT",Milestones!$AA$95=FT_Y5,EDATE($D33,Milestones!$AA$95)&lt;PolicyEff),1,Milestones!$AC$95)&amp;";  ","")&amp;IF(AND(EDATE($D33,Milestones!$AA$96)&lt;=AsOfDate,EDATE($D33,Milestones!$AA$96)&gt;=SchemeStart,IF($X33=0,$AD33,IF(AND($Z33&lt;&gt;"",EDATE($D33,Milestones!$AA$96)&gt;=$Z33),$AC33,IF(AND($Y33&lt;&gt;"",EDATE($D33,Milestones!$AA$96)&gt;=$Y33),$AB33,$AA33)))=Milestones!$AB$96),UPPER(TEXT(EDATE($D33,Milestones!$AA$96),"dd mmm yy"))&amp;" "&amp;Milestones!$AB$96&amp;" "&amp;IF(AND(Milestones!$AB$96="FT",Milestones!$AA$96=FT_Y5,EDATE($D33,Milestones!$AA$96)&lt;PolicyEff),1,Milestones!$AC$96)&amp;";  ","")&amp;IF(AND(EDATE($D33,Milestones!$AA$97)&lt;=AsOfDate,EDATE($D33,Milestones!$AA$97)&gt;=SchemeStart,IF($X33=0,$AD33,IF(AND($Z33&lt;&gt;"",EDATE($D33,Milestones!$AA$97)&gt;=$Z33),$AC33,IF(AND($Y33&lt;&gt;"",EDATE($D33,Milestones!$AA$97)&gt;=$Y33),$AB33,$AA33)))=Milestones!$AB$97),UPPER(TEXT(EDATE($D33,Milestones!$AA$97),"dd mmm yy"))&amp;" "&amp;Milestones!$AB$97&amp;" "&amp;IF(AND(Milestones!$AB$97="FT",Milestones!$AA$97=FT_Y5,EDATE($D33,Milestones!$AA$97)&lt;PolicyEff),1,Milestones!$AC$97)&amp;";  ","")&amp;IF(AND(EDATE($D33,Milestones!$AA$98)&lt;=AsOfDate,EDATE($D33,Milestones!$AA$98)&gt;=SchemeStart,IF($X33=0,$AD33,IF(AND($Z33&lt;&gt;"",EDATE($D33,Milestones!$AA$98)&gt;=$Z33),$AC33,IF(AND($Y33&lt;&gt;"",EDATE($D33,Milestones!$AA$98)&gt;=$Y33),$AB33,$AA33)))=Milestones!$AB$98),UPPER(TEXT(EDATE($D33,Milestones!$AA$98),"dd mmm yy"))&amp;" "&amp;Milestones!$AB$98&amp;" "&amp;IF(AND(Milestones!$AB$98="FT",Milestones!$AA$98=FT_Y5,EDATE($D33,Milestones!$AA$98)&lt;PolicyEff),1,Milestones!$AC$98)&amp;";  ","")&amp;IF(AND(EDATE($D33,Milestones!$AA$99)&lt;=AsOfDate,EDATE($D33,Milestones!$AA$99)&gt;=SchemeStart,IF($X33=0,$AD33,IF(AND($Z33&lt;&gt;"",EDATE($D33,Milestones!$AA$99)&gt;=$Z33),$AC33,IF(AND($Y33&lt;&gt;"",EDATE($D33,Milestones!$AA$99)&gt;=$Y33),$AB33,$AA33)))=Milestones!$AB$99),UPPER(TEXT(EDATE($D33,Milestones!$AA$99),"dd mmm yy"))&amp;" "&amp;Milestones!$AB$99&amp;" "&amp;IF(AND(Milestones!$AB$99="FT",Milestones!$AA$99=FT_Y5,EDATE($D33,Milestones!$AA$99)&lt;PolicyEff),1,Milestones!$AC$99)&amp;";  ","")&amp;IF(AND(EDATE($D33,Milestones!$AA$100)&lt;=AsOfDate,EDATE($D33,Milestones!$AA$100)&gt;=SchemeStart,IF($X33=0,$AD33,IF(AND($Z33&lt;&gt;"",EDATE($D33,Milestones!$AA$100)&gt;=$Z33),$AC33,IF(AND($Y33&lt;&gt;"",EDATE($D33,Milestones!$AA$100)&gt;=$Y33),$AB33,$AA33)))=Milestones!$AB$100),UPPER(TEXT(EDATE($D33,Milestones!$AA$100),"dd mmm yy"))&amp;" "&amp;Milestones!$AB$100&amp;" "&amp;IF(AND(Milestones!$AB$100="FT",Milestones!$AA$100=FT_Y5,EDATE($D33,Milestones!$AA$100)&lt;PolicyEff),1,Milestones!$AC$100)&amp;";  ","")&amp;IF(AND(EDATE($D33,Milestones!$AA$101)&lt;=AsOfDate,EDATE($D33,Milestones!$AA$101)&gt;=SchemeStart,IF($X33=0,$AD33,IF(AND($Z33&lt;&gt;"",EDATE($D33,Milestones!$AA$101)&gt;=$Z33),$AC33,IF(AND($Y33&lt;&gt;"",EDATE($D33,Milestones!$AA$101)&gt;=$Y33),$AB33,$AA33)))=Milestones!$AB$101),UPPER(TEXT(EDATE($D33,Milestones!$AA$101),"dd mmm yy"))&amp;" "&amp;Milestones!$AB$101&amp;" "&amp;IF(AND(Milestones!$AB$101="FT",Milestones!$AA$101=FT_Y5,EDATE($D33,Milestones!$AA$101)&lt;PolicyEff),1,Milestones!$AC$101)&amp;";  ","")&amp;IF(AND(EDATE($D33,Milestones!$AA$102)&lt;=AsOfDate,EDATE($D33,Milestones!$AA$102)&gt;=SchemeStart,IF($X33=0,$AD33,IF(AND($Z33&lt;&gt;"",EDATE($D33,Milestones!$AA$102)&gt;=$Z33),$AC33,IF(AND($Y33&lt;&gt;"",EDATE($D33,Milestones!$AA$102)&gt;=$Y33),$AB33,$AA33)))=Milestones!$AB$102),UPPER(TEXT(EDATE($D33,Milestones!$AA$102),"dd mmm yy"))&amp;" "&amp;Milestones!$AB$102&amp;" "&amp;IF(AND(Milestones!$AB$102="FT",Milestones!$AA$102=FT_Y5,EDATE($D33,Milestones!$AA$102)&lt;PolicyEff),1,Milestones!$AC$102)&amp;";  ","")&amp;IF(AND(EDATE($D33,Milestones!$AA$103)&lt;=AsOfDate,EDATE($D33,Milestones!$AA$103)&gt;=SchemeStart,IF($X33=0,$AD33,IF(AND($Z33&lt;&gt;"",EDATE($D33,Milestones!$AA$103)&gt;=$Z33),$AC33,IF(AND($Y33&lt;&gt;"",EDATE($D33,Milestones!$AA$103)&gt;=$Y33),$AB33,$AA33)))=Milestones!$AB$103),UPPER(TEXT(EDATE($D33,Milestones!$AA$103),"dd mmm yy"))&amp;" "&amp;Milestones!$AB$103&amp;" "&amp;IF(AND(Milestones!$AB$103="FT",Milestones!$AA$103=FT_Y5,EDATE($D33,Milestones!$AA$103)&lt;PolicyEff),1,Milestones!$AC$103)&amp;";  ",""))</f>
        <v/>
      </c>
      <c r="P33" s="0" t="str">
        <f aca="false">IF(OR($A33="",$D33=""),"",IF(AND(EDATE($D33,Milestones!$AA$104)&lt;=AsOfDate,EDATE($D33,Milestones!$AA$104)&gt;=SchemeStart,IF($X33=0,$AD33,IF(AND($Z33&lt;&gt;"",EDATE($D33,Milestones!$AA$104)&gt;=$Z33),$AC33,IF(AND($Y33&lt;&gt;"",EDATE($D33,Milestones!$AA$104)&gt;=$Y33),$AB33,$AA33)))=Milestones!$AB$104),UPPER(TEXT(EDATE($D33,Milestones!$AA$104),"dd mmm yy"))&amp;" "&amp;Milestones!$AB$104&amp;" "&amp;IF(AND(Milestones!$AB$104="FT",Milestones!$AA$104=FT_Y5,EDATE($D33,Milestones!$AA$104)&lt;PolicyEff),1,Milestones!$AC$104)&amp;";  ","")&amp;IF(AND(EDATE($D33,Milestones!$AA$105)&lt;=AsOfDate,EDATE($D33,Milestones!$AA$105)&gt;=SchemeStart,IF($X33=0,$AD33,IF(AND($Z33&lt;&gt;"",EDATE($D33,Milestones!$AA$105)&gt;=$Z33),$AC33,IF(AND($Y33&lt;&gt;"",EDATE($D33,Milestones!$AA$105)&gt;=$Y33),$AB33,$AA33)))=Milestones!$AB$105),UPPER(TEXT(EDATE($D33,Milestones!$AA$105),"dd mmm yy"))&amp;" "&amp;Milestones!$AB$105&amp;" "&amp;IF(AND(Milestones!$AB$105="FT",Milestones!$AA$105=FT_Y5,EDATE($D33,Milestones!$AA$105)&lt;PolicyEff),1,Milestones!$AC$105)&amp;";  ","")&amp;IF(AND(EDATE($D33,Milestones!$AA$106)&lt;=AsOfDate,EDATE($D33,Milestones!$AA$106)&gt;=SchemeStart,IF($X33=0,$AD33,IF(AND($Z33&lt;&gt;"",EDATE($D33,Milestones!$AA$106)&gt;=$Z33),$AC33,IF(AND($Y33&lt;&gt;"",EDATE($D33,Milestones!$AA$106)&gt;=$Y33),$AB33,$AA33)))=Milestones!$AB$106),UPPER(TEXT(EDATE($D33,Milestones!$AA$106),"dd mmm yy"))&amp;" "&amp;Milestones!$AB$106&amp;" "&amp;IF(AND(Milestones!$AB$106="FT",Milestones!$AA$106=FT_Y5,EDATE($D33,Milestones!$AA$106)&lt;PolicyEff),1,Milestones!$AC$106)&amp;";  ","")&amp;IF(AND(EDATE($D33,Milestones!$AA$107)&lt;=AsOfDate,EDATE($D33,Milestones!$AA$107)&gt;=SchemeStart,IF($X33=0,$AD33,IF(AND($Z33&lt;&gt;"",EDATE($D33,Milestones!$AA$107)&gt;=$Z33),$AC33,IF(AND($Y33&lt;&gt;"",EDATE($D33,Milestones!$AA$107)&gt;=$Y33),$AB33,$AA33)))=Milestones!$AB$107),UPPER(TEXT(EDATE($D33,Milestones!$AA$107),"dd mmm yy"))&amp;" "&amp;Milestones!$AB$107&amp;" "&amp;IF(AND(Milestones!$AB$107="FT",Milestones!$AA$107=FT_Y5,EDATE($D33,Milestones!$AA$107)&lt;PolicyEff),1,Milestones!$AC$107)&amp;";  ","")&amp;IF(AND(EDATE($D33,Milestones!$AA$108)&lt;=AsOfDate,EDATE($D33,Milestones!$AA$108)&gt;=SchemeStart,IF($X33=0,$AD33,IF(AND($Z33&lt;&gt;"",EDATE($D33,Milestones!$AA$108)&gt;=$Z33),$AC33,IF(AND($Y33&lt;&gt;"",EDATE($D33,Milestones!$AA$108)&gt;=$Y33),$AB33,$AA33)))=Milestones!$AB$108),UPPER(TEXT(EDATE($D33,Milestones!$AA$108),"dd mmm yy"))&amp;" "&amp;Milestones!$AB$108&amp;" "&amp;IF(AND(Milestones!$AB$108="FT",Milestones!$AA$108=FT_Y5,EDATE($D33,Milestones!$AA$108)&lt;PolicyEff),1,Milestones!$AC$108)&amp;";  ","")&amp;IF(AND(EDATE($D33,Milestones!$AA$109)&lt;=AsOfDate,EDATE($D33,Milestones!$AA$109)&gt;=SchemeStart,IF($X33=0,$AD33,IF(AND($Z33&lt;&gt;"",EDATE($D33,Milestones!$AA$109)&gt;=$Z33),$AC33,IF(AND($Y33&lt;&gt;"",EDATE($D33,Milestones!$AA$109)&gt;=$Y33),$AB33,$AA33)))=Milestones!$AB$109),UPPER(TEXT(EDATE($D33,Milestones!$AA$109),"dd mmm yy"))&amp;" "&amp;Milestones!$AB$109&amp;" "&amp;IF(AND(Milestones!$AB$109="FT",Milestones!$AA$109=FT_Y5,EDATE($D33,Milestones!$AA$109)&lt;PolicyEff),1,Milestones!$AC$109)&amp;";  ","")&amp;IF(AND(EDATE($D33,Milestones!$AA$110)&lt;=AsOfDate,EDATE($D33,Milestones!$AA$110)&gt;=SchemeStart,IF($X33=0,$AD33,IF(AND($Z33&lt;&gt;"",EDATE($D33,Milestones!$AA$110)&gt;=$Z33),$AC33,IF(AND($Y33&lt;&gt;"",EDATE($D33,Milestones!$AA$110)&gt;=$Y33),$AB33,$AA33)))=Milestones!$AB$110),UPPER(TEXT(EDATE($D33,Milestones!$AA$110),"dd mmm yy"))&amp;" "&amp;Milestones!$AB$110&amp;" "&amp;IF(AND(Milestones!$AB$110="FT",Milestones!$AA$110=FT_Y5,EDATE($D33,Milestones!$AA$110)&lt;PolicyEff),1,Milestones!$AC$110)&amp;";  ","")&amp;IF(AND(EDATE($D33,Milestones!$AA$111)&lt;=AsOfDate,EDATE($D33,Milestones!$AA$111)&gt;=SchemeStart,IF($X33=0,$AD33,IF(AND($Z33&lt;&gt;"",EDATE($D33,Milestones!$AA$111)&gt;=$Z33),$AC33,IF(AND($Y33&lt;&gt;"",EDATE($D33,Milestones!$AA$111)&gt;=$Y33),$AB33,$AA33)))=Milestones!$AB$111),UPPER(TEXT(EDATE($D33,Milestones!$AA$111),"dd mmm yy"))&amp;" "&amp;Milestones!$AB$111&amp;" "&amp;IF(AND(Milestones!$AB$111="FT",Milestones!$AA$111=FT_Y5,EDATE($D33,Milestones!$AA$111)&lt;PolicyEff),1,Milestones!$AC$111)&amp;";  ","")&amp;IF(AND(EDATE($D33,Milestones!$AA$112)&lt;=AsOfDate,EDATE($D33,Milestones!$AA$112)&gt;=SchemeStart,IF($X33=0,$AD33,IF(AND($Z33&lt;&gt;"",EDATE($D33,Milestones!$AA$112)&gt;=$Z33),$AC33,IF(AND($Y33&lt;&gt;"",EDATE($D33,Milestones!$AA$112)&gt;=$Y33),$AB33,$AA33)))=Milestones!$AB$112),UPPER(TEXT(EDATE($D33,Milestones!$AA$112),"dd mmm yy"))&amp;" "&amp;Milestones!$AB$112&amp;" "&amp;IF(AND(Milestones!$AB$112="FT",Milestones!$AA$112=FT_Y5,EDATE($D33,Milestones!$AA$112)&lt;PolicyEff),1,Milestones!$AC$112)&amp;";  ","")&amp;IF(AND(EDATE($D33,Milestones!$AA$113)&lt;=AsOfDate,EDATE($D33,Milestones!$AA$113)&gt;=SchemeStart,IF($X33=0,$AD33,IF(AND($Z33&lt;&gt;"",EDATE($D33,Milestones!$AA$113)&gt;=$Z33),$AC33,IF(AND($Y33&lt;&gt;"",EDATE($D33,Milestones!$AA$113)&gt;=$Y33),$AB33,$AA33)))=Milestones!$AB$113),UPPER(TEXT(EDATE($D33,Milestones!$AA$113),"dd mmm yy"))&amp;" "&amp;Milestones!$AB$113&amp;" "&amp;IF(AND(Milestones!$AB$113="FT",Milestones!$AA$113=FT_Y5,EDATE($D33,Milestones!$AA$113)&lt;PolicyEff),1,Milestones!$AC$113)&amp;";  ","")&amp;IF(AND(EDATE($D33,Milestones!$AA$114)&lt;=AsOfDate,EDATE($D33,Milestones!$AA$114)&gt;=SchemeStart,IF($X33=0,$AD33,IF(AND($Z33&lt;&gt;"",EDATE($D33,Milestones!$AA$114)&gt;=$Z33),$AC33,IF(AND($Y33&lt;&gt;"",EDATE($D33,Milestones!$AA$114)&gt;=$Y33),$AB33,$AA33)))=Milestones!$AB$114),UPPER(TEXT(EDATE($D33,Milestones!$AA$114),"dd mmm yy"))&amp;" "&amp;Milestones!$AB$114&amp;" "&amp;IF(AND(Milestones!$AB$114="FT",Milestones!$AA$114=FT_Y5,EDATE($D33,Milestones!$AA$114)&lt;PolicyEff),1,Milestones!$AC$114)&amp;";  ","")&amp;IF(AND(EDATE($D33,Milestones!$AA$115)&lt;=AsOfDate,EDATE($D33,Milestones!$AA$115)&gt;=SchemeStart,IF($X33=0,$AD33,IF(AND($Z33&lt;&gt;"",EDATE($D33,Milestones!$AA$115)&gt;=$Z33),$AC33,IF(AND($Y33&lt;&gt;"",EDATE($D33,Milestones!$AA$115)&gt;=$Y33),$AB33,$AA33)))=Milestones!$AB$115),UPPER(TEXT(EDATE($D33,Milestones!$AA$115),"dd mmm yy"))&amp;" "&amp;Milestones!$AB$115&amp;" "&amp;IF(AND(Milestones!$AB$115="FT",Milestones!$AA$115=FT_Y5,EDATE($D33,Milestones!$AA$115)&lt;PolicyEff),1,Milestones!$AC$115)&amp;";  ",""))</f>
        <v/>
      </c>
      <c r="Q33" s="0" t="str">
        <f aca="false">IF(OR($A33="",$D33=""),"",IF(AND(EDATE($D33,Milestones!$AA$116)&lt;=AsOfDate,EDATE($D33,Milestones!$AA$116)&gt;=SchemeStart,IF($X33=0,$AD33,IF(AND($Z33&lt;&gt;"",EDATE($D33,Milestones!$AA$116)&gt;=$Z33),$AC33,IF(AND($Y33&lt;&gt;"",EDATE($D33,Milestones!$AA$116)&gt;=$Y33),$AB33,$AA33)))=Milestones!$AB$116),UPPER(TEXT(EDATE($D33,Milestones!$AA$116),"dd mmm yy"))&amp;" "&amp;Milestones!$AB$116&amp;" "&amp;IF(AND(Milestones!$AB$116="FT",Milestones!$AA$116=FT_Y5,EDATE($D33,Milestones!$AA$116)&lt;PolicyEff),1,Milestones!$AC$116)&amp;";  ","")&amp;IF(AND(EDATE($D33,Milestones!$AA$117)&lt;=AsOfDate,EDATE($D33,Milestones!$AA$117)&gt;=SchemeStart,IF($X33=0,$AD33,IF(AND($Z33&lt;&gt;"",EDATE($D33,Milestones!$AA$117)&gt;=$Z33),$AC33,IF(AND($Y33&lt;&gt;"",EDATE($D33,Milestones!$AA$117)&gt;=$Y33),$AB33,$AA33)))=Milestones!$AB$117),UPPER(TEXT(EDATE($D33,Milestones!$AA$117),"dd mmm yy"))&amp;" "&amp;Milestones!$AB$117&amp;" "&amp;IF(AND(Milestones!$AB$117="FT",Milestones!$AA$117=FT_Y5,EDATE($D33,Milestones!$AA$117)&lt;PolicyEff),1,Milestones!$AC$117)&amp;";  ","")&amp;IF(AND(EDATE($D33,Milestones!$AA$118)&lt;=AsOfDate,EDATE($D33,Milestones!$AA$118)&gt;=SchemeStart,IF($X33=0,$AD33,IF(AND($Z33&lt;&gt;"",EDATE($D33,Milestones!$AA$118)&gt;=$Z33),$AC33,IF(AND($Y33&lt;&gt;"",EDATE($D33,Milestones!$AA$118)&gt;=$Y33),$AB33,$AA33)))=Milestones!$AB$118),UPPER(TEXT(EDATE($D33,Milestones!$AA$118),"dd mmm yy"))&amp;" "&amp;Milestones!$AB$118&amp;" "&amp;IF(AND(Milestones!$AB$118="FT",Milestones!$AA$118=FT_Y5,EDATE($D33,Milestones!$AA$118)&lt;PolicyEff),1,Milestones!$AC$118)&amp;";  ","")&amp;IF(AND(EDATE($D33,Milestones!$AA$119)&lt;=AsOfDate,EDATE($D33,Milestones!$AA$119)&gt;=SchemeStart,IF($X33=0,$AD33,IF(AND($Z33&lt;&gt;"",EDATE($D33,Milestones!$AA$119)&gt;=$Z33),$AC33,IF(AND($Y33&lt;&gt;"",EDATE($D33,Milestones!$AA$119)&gt;=$Y33),$AB33,$AA33)))=Milestones!$AB$119),UPPER(TEXT(EDATE($D33,Milestones!$AA$119),"dd mmm yy"))&amp;" "&amp;Milestones!$AB$119&amp;" "&amp;IF(AND(Milestones!$AB$119="FT",Milestones!$AA$119=FT_Y5,EDATE($D33,Milestones!$AA$119)&lt;PolicyEff),1,Milestones!$AC$119)&amp;";  ","")&amp;IF(AND(EDATE($D33,Milestones!$AA$120)&lt;=AsOfDate,EDATE($D33,Milestones!$AA$120)&gt;=SchemeStart,IF($X33=0,$AD33,IF(AND($Z33&lt;&gt;"",EDATE($D33,Milestones!$AA$120)&gt;=$Z33),$AC33,IF(AND($Y33&lt;&gt;"",EDATE($D33,Milestones!$AA$120)&gt;=$Y33),$AB33,$AA33)))=Milestones!$AB$120),UPPER(TEXT(EDATE($D33,Milestones!$AA$120),"dd mmm yy"))&amp;" "&amp;Milestones!$AB$120&amp;" "&amp;IF(AND(Milestones!$AB$120="FT",Milestones!$AA$120=FT_Y5,EDATE($D33,Milestones!$AA$120)&lt;PolicyEff),1,Milestones!$AC$120)&amp;";  ","")&amp;IF(AND(EDATE($D33,Milestones!$AA$121)&lt;=AsOfDate,EDATE($D33,Milestones!$AA$121)&gt;=SchemeStart,IF($X33=0,$AD33,IF(AND($Z33&lt;&gt;"",EDATE($D33,Milestones!$AA$121)&gt;=$Z33),$AC33,IF(AND($Y33&lt;&gt;"",EDATE($D33,Milestones!$AA$121)&gt;=$Y33),$AB33,$AA33)))=Milestones!$AB$121),UPPER(TEXT(EDATE($D33,Milestones!$AA$121),"dd mmm yy"))&amp;" "&amp;Milestones!$AB$121&amp;" "&amp;IF(AND(Milestones!$AB$121="FT",Milestones!$AA$121=FT_Y5,EDATE($D33,Milestones!$AA$121)&lt;PolicyEff),1,Milestones!$AC$121)&amp;";  ","")&amp;IF(AND(EDATE($D33,Milestones!$AA$122)&lt;=AsOfDate,EDATE($D33,Milestones!$AA$122)&gt;=SchemeStart,IF($X33=0,$AD33,IF(AND($Z33&lt;&gt;"",EDATE($D33,Milestones!$AA$122)&gt;=$Z33),$AC33,IF(AND($Y33&lt;&gt;"",EDATE($D33,Milestones!$AA$122)&gt;=$Y33),$AB33,$AA33)))=Milestones!$AB$122),UPPER(TEXT(EDATE($D33,Milestones!$AA$122),"dd mmm yy"))&amp;" "&amp;Milestones!$AB$122&amp;" "&amp;IF(AND(Milestones!$AB$122="FT",Milestones!$AA$122=FT_Y5,EDATE($D33,Milestones!$AA$122)&lt;PolicyEff),1,Milestones!$AC$122)&amp;";  ","")&amp;IF(AND(EDATE($D33,Milestones!$AA$123)&lt;=AsOfDate,EDATE($D33,Milestones!$AA$123)&gt;=SchemeStart,IF($X33=0,$AD33,IF(AND($Z33&lt;&gt;"",EDATE($D33,Milestones!$AA$123)&gt;=$Z33),$AC33,IF(AND($Y33&lt;&gt;"",EDATE($D33,Milestones!$AA$123)&gt;=$Y33),$AB33,$AA33)))=Milestones!$AB$123),UPPER(TEXT(EDATE($D33,Milestones!$AA$123),"dd mmm yy"))&amp;" "&amp;Milestones!$AB$123&amp;" "&amp;IF(AND(Milestones!$AB$123="FT",Milestones!$AA$123=FT_Y5,EDATE($D33,Milestones!$AA$123)&lt;PolicyEff),1,Milestones!$AC$123)&amp;";  ","")&amp;IF(AND(EDATE($D33,Milestones!$AA$124)&lt;=AsOfDate,EDATE($D33,Milestones!$AA$124)&gt;=SchemeStart,IF($X33=0,$AD33,IF(AND($Z33&lt;&gt;"",EDATE($D33,Milestones!$AA$124)&gt;=$Z33),$AC33,IF(AND($Y33&lt;&gt;"",EDATE($D33,Milestones!$AA$124)&gt;=$Y33),$AB33,$AA33)))=Milestones!$AB$124),UPPER(TEXT(EDATE($D33,Milestones!$AA$124),"dd mmm yy"))&amp;" "&amp;Milestones!$AB$124&amp;" "&amp;IF(AND(Milestones!$AB$124="FT",Milestones!$AA$124=FT_Y5,EDATE($D33,Milestones!$AA$124)&lt;PolicyEff),1,Milestones!$AC$124)&amp;";  ","")&amp;IF(AND(EDATE($D33,Milestones!$AA$125)&lt;=AsOfDate,EDATE($D33,Milestones!$AA$125)&gt;=SchemeStart,IF($X33=0,$AD33,IF(AND($Z33&lt;&gt;"",EDATE($D33,Milestones!$AA$125)&gt;=$Z33),$AC33,IF(AND($Y33&lt;&gt;"",EDATE($D33,Milestones!$AA$125)&gt;=$Y33),$AB33,$AA33)))=Milestones!$AB$125),UPPER(TEXT(EDATE($D33,Milestones!$AA$125),"dd mmm yy"))&amp;" "&amp;Milestones!$AB$125&amp;" "&amp;IF(AND(Milestones!$AB$125="FT",Milestones!$AA$125=FT_Y5,EDATE($D33,Milestones!$AA$125)&lt;PolicyEff),1,Milestones!$AC$125)&amp;";  ","")&amp;IF(AND(EDATE($D33,Milestones!$AA$126)&lt;=AsOfDate,EDATE($D33,Milestones!$AA$126)&gt;=SchemeStart,IF($X33=0,$AD33,IF(AND($Z33&lt;&gt;"",EDATE($D33,Milestones!$AA$126)&gt;=$Z33),$AC33,IF(AND($Y33&lt;&gt;"",EDATE($D33,Milestones!$AA$126)&gt;=$Y33),$AB33,$AA33)))=Milestones!$AB$126),UPPER(TEXT(EDATE($D33,Milestones!$AA$126),"dd mmm yy"))&amp;" "&amp;Milestones!$AB$126&amp;" "&amp;IF(AND(Milestones!$AB$126="FT",Milestones!$AA$126=FT_Y5,EDATE($D33,Milestones!$AA$126)&lt;PolicyEff),1,Milestones!$AC$126)&amp;";  ","")&amp;IF(AND(EDATE($D33,Milestones!$AA$127)&lt;=AsOfDate,EDATE($D33,Milestones!$AA$127)&gt;=SchemeStart,IF($X33=0,$AD33,IF(AND($Z33&lt;&gt;"",EDATE($D33,Milestones!$AA$127)&gt;=$Z33),$AC33,IF(AND($Y33&lt;&gt;"",EDATE($D33,Milestones!$AA$127)&gt;=$Y33),$AB33,$AA33)))=Milestones!$AB$127),UPPER(TEXT(EDATE($D33,Milestones!$AA$127),"dd mmm yy"))&amp;" "&amp;Milestones!$AB$127&amp;" "&amp;IF(AND(Milestones!$AB$127="FT",Milestones!$AA$127=FT_Y5,EDATE($D33,Milestones!$AA$127)&lt;PolicyEff),1,Milestones!$AC$127)&amp;";  ",""))</f>
        <v/>
      </c>
      <c r="R33" s="0" t="str">
        <f aca="false">IF(OR($A33="",$D33=""),"",IF(AND(EDATE($D33,Milestones!$AA$128)&lt;=AsOfDate,EDATE($D33,Milestones!$AA$128)&gt;=SchemeStart,IF($X33=0,$AD33,IF(AND($Z33&lt;&gt;"",EDATE($D33,Milestones!$AA$128)&gt;=$Z33),$AC33,IF(AND($Y33&lt;&gt;"",EDATE($D33,Milestones!$AA$128)&gt;=$Y33),$AB33,$AA33)))=Milestones!$AB$128),UPPER(TEXT(EDATE($D33,Milestones!$AA$128),"dd mmm yy"))&amp;" "&amp;Milestones!$AB$128&amp;" "&amp;IF(AND(Milestones!$AB$128="FT",Milestones!$AA$128=FT_Y5,EDATE($D33,Milestones!$AA$128)&lt;PolicyEff),1,Milestones!$AC$128)&amp;";  ","")&amp;IF(AND(EDATE($D33,Milestones!$AA$129)&lt;=AsOfDate,EDATE($D33,Milestones!$AA$129)&gt;=SchemeStart,IF($X33=0,$AD33,IF(AND($Z33&lt;&gt;"",EDATE($D33,Milestones!$AA$129)&gt;=$Z33),$AC33,IF(AND($Y33&lt;&gt;"",EDATE($D33,Milestones!$AA$129)&gt;=$Y33),$AB33,$AA33)))=Milestones!$AB$129),UPPER(TEXT(EDATE($D33,Milestones!$AA$129),"dd mmm yy"))&amp;" "&amp;Milestones!$AB$129&amp;" "&amp;IF(AND(Milestones!$AB$129="FT",Milestones!$AA$129=FT_Y5,EDATE($D33,Milestones!$AA$129)&lt;PolicyEff),1,Milestones!$AC$129)&amp;";  ","")&amp;IF(AND(EDATE($D33,Milestones!$AA$130)&lt;=AsOfDate,EDATE($D33,Milestones!$AA$130)&gt;=SchemeStart,IF($X33=0,$AD33,IF(AND($Z33&lt;&gt;"",EDATE($D33,Milestones!$AA$130)&gt;=$Z33),$AC33,IF(AND($Y33&lt;&gt;"",EDATE($D33,Milestones!$AA$130)&gt;=$Y33),$AB33,$AA33)))=Milestones!$AB$130),UPPER(TEXT(EDATE($D33,Milestones!$AA$130),"dd mmm yy"))&amp;" "&amp;Milestones!$AB$130&amp;" "&amp;IF(AND(Milestones!$AB$130="FT",Milestones!$AA$130=FT_Y5,EDATE($D33,Milestones!$AA$130)&lt;PolicyEff),1,Milestones!$AC$130)&amp;";  ","")&amp;IF(AND(EDATE($D33,Milestones!$AA$131)&lt;=AsOfDate,EDATE($D33,Milestones!$AA$131)&gt;=SchemeStart,IF($X33=0,$AD33,IF(AND($Z33&lt;&gt;"",EDATE($D33,Milestones!$AA$131)&gt;=$Z33),$AC33,IF(AND($Y33&lt;&gt;"",EDATE($D33,Milestones!$AA$131)&gt;=$Y33),$AB33,$AA33)))=Milestones!$AB$131),UPPER(TEXT(EDATE($D33,Milestones!$AA$131),"dd mmm yy"))&amp;" "&amp;Milestones!$AB$131&amp;" "&amp;IF(AND(Milestones!$AB$131="FT",Milestones!$AA$131=FT_Y5,EDATE($D33,Milestones!$AA$131)&lt;PolicyEff),1,Milestones!$AC$131)&amp;";  ","")&amp;IF(AND(EDATE($D33,Milestones!$AA$132)&lt;=AsOfDate,EDATE($D33,Milestones!$AA$132)&gt;=SchemeStart,IF($X33=0,$AD33,IF(AND($Z33&lt;&gt;"",EDATE($D33,Milestones!$AA$132)&gt;=$Z33),$AC33,IF(AND($Y33&lt;&gt;"",EDATE($D33,Milestones!$AA$132)&gt;=$Y33),$AB33,$AA33)))=Milestones!$AB$132),UPPER(TEXT(EDATE($D33,Milestones!$AA$132),"dd mmm yy"))&amp;" "&amp;Milestones!$AB$132&amp;" "&amp;IF(AND(Milestones!$AB$132="FT",Milestones!$AA$132=FT_Y5,EDATE($D33,Milestones!$AA$132)&lt;PolicyEff),1,Milestones!$AC$132)&amp;";  ","")&amp;IF(AND(EDATE($D33,Milestones!$AA$133)&lt;=AsOfDate,EDATE($D33,Milestones!$AA$133)&gt;=SchemeStart,IF($X33=0,$AD33,IF(AND($Z33&lt;&gt;"",EDATE($D33,Milestones!$AA$133)&gt;=$Z33),$AC33,IF(AND($Y33&lt;&gt;"",EDATE($D33,Milestones!$AA$133)&gt;=$Y33),$AB33,$AA33)))=Milestones!$AB$133),UPPER(TEXT(EDATE($D33,Milestones!$AA$133),"dd mmm yy"))&amp;" "&amp;Milestones!$AB$133&amp;" "&amp;IF(AND(Milestones!$AB$133="FT",Milestones!$AA$133=FT_Y5,EDATE($D33,Milestones!$AA$133)&lt;PolicyEff),1,Milestones!$AC$133)&amp;";  ","")&amp;IF(AND(EDATE($D33,Milestones!$AA$134)&lt;=AsOfDate,EDATE($D33,Milestones!$AA$134)&gt;=SchemeStart,IF($X33=0,$AD33,IF(AND($Z33&lt;&gt;"",EDATE($D33,Milestones!$AA$134)&gt;=$Z33),$AC33,IF(AND($Y33&lt;&gt;"",EDATE($D33,Milestones!$AA$134)&gt;=$Y33),$AB33,$AA33)))=Milestones!$AB$134),UPPER(TEXT(EDATE($D33,Milestones!$AA$134),"dd mmm yy"))&amp;" "&amp;Milestones!$AB$134&amp;" "&amp;IF(AND(Milestones!$AB$134="FT",Milestones!$AA$134=FT_Y5,EDATE($D33,Milestones!$AA$134)&lt;PolicyEff),1,Milestones!$AC$134)&amp;";  ","")&amp;IF(AND(EDATE($D33,Milestones!$AA$135)&lt;=AsOfDate,EDATE($D33,Milestones!$AA$135)&gt;=SchemeStart,IF($X33=0,$AD33,IF(AND($Z33&lt;&gt;"",EDATE($D33,Milestones!$AA$135)&gt;=$Z33),$AC33,IF(AND($Y33&lt;&gt;"",EDATE($D33,Milestones!$AA$135)&gt;=$Y33),$AB33,$AA33)))=Milestones!$AB$135),UPPER(TEXT(EDATE($D33,Milestones!$AA$135),"dd mmm yy"))&amp;" "&amp;Milestones!$AB$135&amp;" "&amp;IF(AND(Milestones!$AB$135="FT",Milestones!$AA$135=FT_Y5,EDATE($D33,Milestones!$AA$135)&lt;PolicyEff),1,Milestones!$AC$135)&amp;";  ","")&amp;IF(AND(EDATE($D33,Milestones!$AA$136)&lt;=AsOfDate,EDATE($D33,Milestones!$AA$136)&gt;=SchemeStart,IF($X33=0,$AD33,IF(AND($Z33&lt;&gt;"",EDATE($D33,Milestones!$AA$136)&gt;=$Z33),$AC33,IF(AND($Y33&lt;&gt;"",EDATE($D33,Milestones!$AA$136)&gt;=$Y33),$AB33,$AA33)))=Milestones!$AB$136),UPPER(TEXT(EDATE($D33,Milestones!$AA$136),"dd mmm yy"))&amp;" "&amp;Milestones!$AB$136&amp;" "&amp;IF(AND(Milestones!$AB$136="FT",Milestones!$AA$136=FT_Y5,EDATE($D33,Milestones!$AA$136)&lt;PolicyEff),1,Milestones!$AC$136)&amp;";  ","")&amp;IF(AND(EDATE($D33,Milestones!$AA$137)&lt;=AsOfDate,EDATE($D33,Milestones!$AA$137)&gt;=SchemeStart,IF($X33=0,$AD33,IF(AND($Z33&lt;&gt;"",EDATE($D33,Milestones!$AA$137)&gt;=$Z33),$AC33,IF(AND($Y33&lt;&gt;"",EDATE($D33,Milestones!$AA$137)&gt;=$Y33),$AB33,$AA33)))=Milestones!$AB$137),UPPER(TEXT(EDATE($D33,Milestones!$AA$137),"dd mmm yy"))&amp;" "&amp;Milestones!$AB$137&amp;" "&amp;IF(AND(Milestones!$AB$137="FT",Milestones!$AA$137=FT_Y5,EDATE($D33,Milestones!$AA$137)&lt;PolicyEff),1,Milestones!$AC$137)&amp;";  ","")&amp;IF(AND(EDATE($D33,Milestones!$AA$138)&lt;=AsOfDate,EDATE($D33,Milestones!$AA$138)&gt;=SchemeStart,IF($X33=0,$AD33,IF(AND($Z33&lt;&gt;"",EDATE($D33,Milestones!$AA$138)&gt;=$Z33),$AC33,IF(AND($Y33&lt;&gt;"",EDATE($D33,Milestones!$AA$138)&gt;=$Y33),$AB33,$AA33)))=Milestones!$AB$138),UPPER(TEXT(EDATE($D33,Milestones!$AA$138),"dd mmm yy"))&amp;" "&amp;Milestones!$AB$138&amp;" "&amp;IF(AND(Milestones!$AB$138="FT",Milestones!$AA$138=FT_Y5,EDATE($D33,Milestones!$AA$138)&lt;PolicyEff),1,Milestones!$AC$138)&amp;";  ","")&amp;IF(AND(EDATE($D33,Milestones!$AA$139)&lt;=AsOfDate,EDATE($D33,Milestones!$AA$139)&gt;=SchemeStart,IF($X33=0,$AD33,IF(AND($Z33&lt;&gt;"",EDATE($D33,Milestones!$AA$139)&gt;=$Z33),$AC33,IF(AND($Y33&lt;&gt;"",EDATE($D33,Milestones!$AA$139)&gt;=$Y33),$AB33,$AA33)))=Milestones!$AB$139),UPPER(TEXT(EDATE($D33,Milestones!$AA$139),"dd mmm yy"))&amp;" "&amp;Milestones!$AB$139&amp;" "&amp;IF(AND(Milestones!$AB$139="FT",Milestones!$AA$139=FT_Y5,EDATE($D33,Milestones!$AA$139)&lt;PolicyEff),1,Milestones!$AC$139)&amp;";  ",""))</f>
        <v/>
      </c>
      <c r="S33" s="0" t="str">
        <f aca="false">IF(OR($A33="",$D33=""),"",IF(AND(EDATE($D33,Milestones!$AA$140)&lt;=AsOfDate,EDATE($D33,Milestones!$AA$140)&gt;=SchemeStart,IF($X33=0,$AD33,IF(AND($Z33&lt;&gt;"",EDATE($D33,Milestones!$AA$140)&gt;=$Z33),$AC33,IF(AND($Y33&lt;&gt;"",EDATE($D33,Milestones!$AA$140)&gt;=$Y33),$AB33,$AA33)))=Milestones!$AB$140),UPPER(TEXT(EDATE($D33,Milestones!$AA$140),"dd mmm yy"))&amp;" "&amp;Milestones!$AB$140&amp;" "&amp;IF(AND(Milestones!$AB$140="FT",Milestones!$AA$140=FT_Y5,EDATE($D33,Milestones!$AA$140)&lt;PolicyEff),1,Milestones!$AC$140)&amp;";  ","")&amp;IF(AND(EDATE($D33,Milestones!$AA$141)&lt;=AsOfDate,EDATE($D33,Milestones!$AA$141)&gt;=SchemeStart,IF($X33=0,$AD33,IF(AND($Z33&lt;&gt;"",EDATE($D33,Milestones!$AA$141)&gt;=$Z33),$AC33,IF(AND($Y33&lt;&gt;"",EDATE($D33,Milestones!$AA$141)&gt;=$Y33),$AB33,$AA33)))=Milestones!$AB$141),UPPER(TEXT(EDATE($D33,Milestones!$AA$141),"dd mmm yy"))&amp;" "&amp;Milestones!$AB$141&amp;" "&amp;IF(AND(Milestones!$AB$141="FT",Milestones!$AA$141=FT_Y5,EDATE($D33,Milestones!$AA$141)&lt;PolicyEff),1,Milestones!$AC$141)&amp;";  ","")&amp;IF(AND(EDATE($D33,Milestones!$AA$142)&lt;=AsOfDate,EDATE($D33,Milestones!$AA$142)&gt;=SchemeStart,IF($X33=0,$AD33,IF(AND($Z33&lt;&gt;"",EDATE($D33,Milestones!$AA$142)&gt;=$Z33),$AC33,IF(AND($Y33&lt;&gt;"",EDATE($D33,Milestones!$AA$142)&gt;=$Y33),$AB33,$AA33)))=Milestones!$AB$142),UPPER(TEXT(EDATE($D33,Milestones!$AA$142),"dd mmm yy"))&amp;" "&amp;Milestones!$AB$142&amp;" "&amp;IF(AND(Milestones!$AB$142="FT",Milestones!$AA$142=FT_Y5,EDATE($D33,Milestones!$AA$142)&lt;PolicyEff),1,Milestones!$AC$142)&amp;";  ","")&amp;IF(AND(EDATE($D33,Milestones!$AA$143)&lt;=AsOfDate,EDATE($D33,Milestones!$AA$143)&gt;=SchemeStart,IF($X33=0,$AD33,IF(AND($Z33&lt;&gt;"",EDATE($D33,Milestones!$AA$143)&gt;=$Z33),$AC33,IF(AND($Y33&lt;&gt;"",EDATE($D33,Milestones!$AA$143)&gt;=$Y33),$AB33,$AA33)))=Milestones!$AB$143),UPPER(TEXT(EDATE($D33,Milestones!$AA$143),"dd mmm yy"))&amp;" "&amp;Milestones!$AB$143&amp;" "&amp;IF(AND(Milestones!$AB$143="FT",Milestones!$AA$143=FT_Y5,EDATE($D33,Milestones!$AA$143)&lt;PolicyEff),1,Milestones!$AC$143)&amp;";  ","")&amp;IF(AND(EDATE($D33,Milestones!$AA$144)&lt;=AsOfDate,EDATE($D33,Milestones!$AA$144)&gt;=SchemeStart,IF($X33=0,$AD33,IF(AND($Z33&lt;&gt;"",EDATE($D33,Milestones!$AA$144)&gt;=$Z33),$AC33,IF(AND($Y33&lt;&gt;"",EDATE($D33,Milestones!$AA$144)&gt;=$Y33),$AB33,$AA33)))=Milestones!$AB$144),UPPER(TEXT(EDATE($D33,Milestones!$AA$144),"dd mmm yy"))&amp;" "&amp;Milestones!$AB$144&amp;" "&amp;IF(AND(Milestones!$AB$144="FT",Milestones!$AA$144=FT_Y5,EDATE($D33,Milestones!$AA$144)&lt;PolicyEff),1,Milestones!$AC$144)&amp;";  ","")&amp;IF(AND(EDATE($D33,Milestones!$AA$145)&lt;=AsOfDate,EDATE($D33,Milestones!$AA$145)&gt;=SchemeStart,IF($X33=0,$AD33,IF(AND($Z33&lt;&gt;"",EDATE($D33,Milestones!$AA$145)&gt;=$Z33),$AC33,IF(AND($Y33&lt;&gt;"",EDATE($D33,Milestones!$AA$145)&gt;=$Y33),$AB33,$AA33)))=Milestones!$AB$145),UPPER(TEXT(EDATE($D33,Milestones!$AA$145),"dd mmm yy"))&amp;" "&amp;Milestones!$AB$145&amp;" "&amp;IF(AND(Milestones!$AB$145="FT",Milestones!$AA$145=FT_Y5,EDATE($D33,Milestones!$AA$145)&lt;PolicyEff),1,Milestones!$AC$145)&amp;";  ","")&amp;IF(AND(EDATE($D33,Milestones!$AA$146)&lt;=AsOfDate,EDATE($D33,Milestones!$AA$146)&gt;=SchemeStart,IF($X33=0,$AD33,IF(AND($Z33&lt;&gt;"",EDATE($D33,Milestones!$AA$146)&gt;=$Z33),$AC33,IF(AND($Y33&lt;&gt;"",EDATE($D33,Milestones!$AA$146)&gt;=$Y33),$AB33,$AA33)))=Milestones!$AB$146),UPPER(TEXT(EDATE($D33,Milestones!$AA$146),"dd mmm yy"))&amp;" "&amp;Milestones!$AB$146&amp;" "&amp;IF(AND(Milestones!$AB$146="FT",Milestones!$AA$146=FT_Y5,EDATE($D33,Milestones!$AA$146)&lt;PolicyEff),1,Milestones!$AC$146)&amp;";  ","")&amp;IF(AND(EDATE($D33,Milestones!$AA$147)&lt;=AsOfDate,EDATE($D33,Milestones!$AA$147)&gt;=SchemeStart,IF($X33=0,$AD33,IF(AND($Z33&lt;&gt;"",EDATE($D33,Milestones!$AA$147)&gt;=$Z33),$AC33,IF(AND($Y33&lt;&gt;"",EDATE($D33,Milestones!$AA$147)&gt;=$Y33),$AB33,$AA33)))=Milestones!$AB$147),UPPER(TEXT(EDATE($D33,Milestones!$AA$147),"dd mmm yy"))&amp;" "&amp;Milestones!$AB$147&amp;" "&amp;IF(AND(Milestones!$AB$147="FT",Milestones!$AA$147=FT_Y5,EDATE($D33,Milestones!$AA$147)&lt;PolicyEff),1,Milestones!$AC$147)&amp;";  ","")&amp;IF(AND(EDATE($D33,Milestones!$AA$148)&lt;=AsOfDate,EDATE($D33,Milestones!$AA$148)&gt;=SchemeStart,IF($X33=0,$AD33,IF(AND($Z33&lt;&gt;"",EDATE($D33,Milestones!$AA$148)&gt;=$Z33),$AC33,IF(AND($Y33&lt;&gt;"",EDATE($D33,Milestones!$AA$148)&gt;=$Y33),$AB33,$AA33)))=Milestones!$AB$148),UPPER(TEXT(EDATE($D33,Milestones!$AA$148),"dd mmm yy"))&amp;" "&amp;Milestones!$AB$148&amp;" "&amp;IF(AND(Milestones!$AB$148="FT",Milestones!$AA$148=FT_Y5,EDATE($D33,Milestones!$AA$148)&lt;PolicyEff),1,Milestones!$AC$148)&amp;";  ","")&amp;IF(AND(EDATE($D33,Milestones!$AA$149)&lt;=AsOfDate,EDATE($D33,Milestones!$AA$149)&gt;=SchemeStart,IF($X33=0,$AD33,IF(AND($Z33&lt;&gt;"",EDATE($D33,Milestones!$AA$149)&gt;=$Z33),$AC33,IF(AND($Y33&lt;&gt;"",EDATE($D33,Milestones!$AA$149)&gt;=$Y33),$AB33,$AA33)))=Milestones!$AB$149),UPPER(TEXT(EDATE($D33,Milestones!$AA$149),"dd mmm yy"))&amp;" "&amp;Milestones!$AB$149&amp;" "&amp;IF(AND(Milestones!$AB$149="FT",Milestones!$AA$149=FT_Y5,EDATE($D33,Milestones!$AA$149)&lt;PolicyEff),1,Milestones!$AC$149)&amp;";  ","")&amp;IF(AND(EDATE($D33,Milestones!$AA$150)&lt;=AsOfDate,EDATE($D33,Milestones!$AA$150)&gt;=SchemeStart,IF($X33=0,$AD33,IF(AND($Z33&lt;&gt;"",EDATE($D33,Milestones!$AA$150)&gt;=$Z33),$AC33,IF(AND($Y33&lt;&gt;"",EDATE($D33,Milestones!$AA$150)&gt;=$Y33),$AB33,$AA33)))=Milestones!$AB$150),UPPER(TEXT(EDATE($D33,Milestones!$AA$150),"dd mmm yy"))&amp;" "&amp;Milestones!$AB$150&amp;" "&amp;IF(AND(Milestones!$AB$150="FT",Milestones!$AA$150=FT_Y5,EDATE($D33,Milestones!$AA$150)&lt;PolicyEff),1,Milestones!$AC$150)&amp;";  ","")&amp;IF(AND(EDATE($D33,Milestones!$AA$151)&lt;=AsOfDate,EDATE($D33,Milestones!$AA$151)&gt;=SchemeStart,IF($X33=0,$AD33,IF(AND($Z33&lt;&gt;"",EDATE($D33,Milestones!$AA$151)&gt;=$Z33),$AC33,IF(AND($Y33&lt;&gt;"",EDATE($D33,Milestones!$AA$151)&gt;=$Y33),$AB33,$AA33)))=Milestones!$AB$151),UPPER(TEXT(EDATE($D33,Milestones!$AA$151),"dd mmm yy"))&amp;" "&amp;Milestones!$AB$151&amp;" "&amp;IF(AND(Milestones!$AB$151="FT",Milestones!$AA$151=FT_Y5,EDATE($D33,Milestones!$AA$151)&lt;PolicyEff),1,Milestones!$AC$151)&amp;";  ",""))</f>
        <v/>
      </c>
      <c r="T33" s="0" t="str">
        <f aca="false">IF(OR($A33="",$D33=""),"",IF(AND(EDATE($D33,Milestones!$AA$152)&lt;=AsOfDate,EDATE($D33,Milestones!$AA$152)&gt;=SchemeStart,IF($X33=0,$AD33,IF(AND($Z33&lt;&gt;"",EDATE($D33,Milestones!$AA$152)&gt;=$Z33),$AC33,IF(AND($Y33&lt;&gt;"",EDATE($D33,Milestones!$AA$152)&gt;=$Y33),$AB33,$AA33)))=Milestones!$AB$152),UPPER(TEXT(EDATE($D33,Milestones!$AA$152),"dd mmm yy"))&amp;" "&amp;Milestones!$AB$152&amp;" "&amp;IF(AND(Milestones!$AB$152="FT",Milestones!$AA$152=FT_Y5,EDATE($D33,Milestones!$AA$152)&lt;PolicyEff),1,Milestones!$AC$152)&amp;";  ","")&amp;IF(AND(EDATE($D33,Milestones!$AA$153)&lt;=AsOfDate,EDATE($D33,Milestones!$AA$153)&gt;=SchemeStart,IF($X33=0,$AD33,IF(AND($Z33&lt;&gt;"",EDATE($D33,Milestones!$AA$153)&gt;=$Z33),$AC33,IF(AND($Y33&lt;&gt;"",EDATE($D33,Milestones!$AA$153)&gt;=$Y33),$AB33,$AA33)))=Milestones!$AB$153),UPPER(TEXT(EDATE($D33,Milestones!$AA$153),"dd mmm yy"))&amp;" "&amp;Milestones!$AB$153&amp;" "&amp;IF(AND(Milestones!$AB$153="FT",Milestones!$AA$153=FT_Y5,EDATE($D33,Milestones!$AA$153)&lt;PolicyEff),1,Milestones!$AC$153)&amp;";  ","")&amp;IF(AND(EDATE($D33,Milestones!$AA$154)&lt;=AsOfDate,EDATE($D33,Milestones!$AA$154)&gt;=SchemeStart,IF($X33=0,$AD33,IF(AND($Z33&lt;&gt;"",EDATE($D33,Milestones!$AA$154)&gt;=$Z33),$AC33,IF(AND($Y33&lt;&gt;"",EDATE($D33,Milestones!$AA$154)&gt;=$Y33),$AB33,$AA33)))=Milestones!$AB$154),UPPER(TEXT(EDATE($D33,Milestones!$AA$154),"dd mmm yy"))&amp;" "&amp;Milestones!$AB$154&amp;" "&amp;IF(AND(Milestones!$AB$154="FT",Milestones!$AA$154=FT_Y5,EDATE($D33,Milestones!$AA$154)&lt;PolicyEff),1,Milestones!$AC$154)&amp;";  ","")&amp;IF(AND(EDATE($D33,Milestones!$AA$155)&lt;=AsOfDate,EDATE($D33,Milestones!$AA$155)&gt;=SchemeStart,IF($X33=0,$AD33,IF(AND($Z33&lt;&gt;"",EDATE($D33,Milestones!$AA$155)&gt;=$Z33),$AC33,IF(AND($Y33&lt;&gt;"",EDATE($D33,Milestones!$AA$155)&gt;=$Y33),$AB33,$AA33)))=Milestones!$AB$155),UPPER(TEXT(EDATE($D33,Milestones!$AA$155),"dd mmm yy"))&amp;" "&amp;Milestones!$AB$155&amp;" "&amp;IF(AND(Milestones!$AB$155="FT",Milestones!$AA$155=FT_Y5,EDATE($D33,Milestones!$AA$155)&lt;PolicyEff),1,Milestones!$AC$155)&amp;";  ","")&amp;IF(AND(EDATE($D33,Milestones!$AA$156)&lt;=AsOfDate,EDATE($D33,Milestones!$AA$156)&gt;=SchemeStart,IF($X33=0,$AD33,IF(AND($Z33&lt;&gt;"",EDATE($D33,Milestones!$AA$156)&gt;=$Z33),$AC33,IF(AND($Y33&lt;&gt;"",EDATE($D33,Milestones!$AA$156)&gt;=$Y33),$AB33,$AA33)))=Milestones!$AB$156),UPPER(TEXT(EDATE($D33,Milestones!$AA$156),"dd mmm yy"))&amp;" "&amp;Milestones!$AB$156&amp;" "&amp;IF(AND(Milestones!$AB$156="FT",Milestones!$AA$156=FT_Y5,EDATE($D33,Milestones!$AA$156)&lt;PolicyEff),1,Milestones!$AC$156)&amp;";  ","")&amp;IF(AND(EDATE($D33,Milestones!$AA$157)&lt;=AsOfDate,EDATE($D33,Milestones!$AA$157)&gt;=SchemeStart,IF($X33=0,$AD33,IF(AND($Z33&lt;&gt;"",EDATE($D33,Milestones!$AA$157)&gt;=$Z33),$AC33,IF(AND($Y33&lt;&gt;"",EDATE($D33,Milestones!$AA$157)&gt;=$Y33),$AB33,$AA33)))=Milestones!$AB$157),UPPER(TEXT(EDATE($D33,Milestones!$AA$157),"dd mmm yy"))&amp;" "&amp;Milestones!$AB$157&amp;" "&amp;IF(AND(Milestones!$AB$157="FT",Milestones!$AA$157=FT_Y5,EDATE($D33,Milestones!$AA$157)&lt;PolicyEff),1,Milestones!$AC$157)&amp;";  ","")&amp;IF(AND(EDATE($D33,Milestones!$AA$158)&lt;=AsOfDate,EDATE($D33,Milestones!$AA$158)&gt;=SchemeStart,IF($X33=0,$AD33,IF(AND($Z33&lt;&gt;"",EDATE($D33,Milestones!$AA$158)&gt;=$Z33),$AC33,IF(AND($Y33&lt;&gt;"",EDATE($D33,Milestones!$AA$158)&gt;=$Y33),$AB33,$AA33)))=Milestones!$AB$158),UPPER(TEXT(EDATE($D33,Milestones!$AA$158),"dd mmm yy"))&amp;" "&amp;Milestones!$AB$158&amp;" "&amp;IF(AND(Milestones!$AB$158="FT",Milestones!$AA$158=FT_Y5,EDATE($D33,Milestones!$AA$158)&lt;PolicyEff),1,Milestones!$AC$158)&amp;";  ","")&amp;IF(AND(EDATE($D33,Milestones!$AA$159)&lt;=AsOfDate,EDATE($D33,Milestones!$AA$159)&gt;=SchemeStart,IF($X33=0,$AD33,IF(AND($Z33&lt;&gt;"",EDATE($D33,Milestones!$AA$159)&gt;=$Z33),$AC33,IF(AND($Y33&lt;&gt;"",EDATE($D33,Milestones!$AA$159)&gt;=$Y33),$AB33,$AA33)))=Milestones!$AB$159),UPPER(TEXT(EDATE($D33,Milestones!$AA$159),"dd mmm yy"))&amp;" "&amp;Milestones!$AB$159&amp;" "&amp;IF(AND(Milestones!$AB$159="FT",Milestones!$AA$159=FT_Y5,EDATE($D33,Milestones!$AA$159)&lt;PolicyEff),1,Milestones!$AC$159)&amp;";  ","")&amp;IF(AND(EDATE($D33,Milestones!$AA$160)&lt;=AsOfDate,EDATE($D33,Milestones!$AA$160)&gt;=SchemeStart,IF($X33=0,$AD33,IF(AND($Z33&lt;&gt;"",EDATE($D33,Milestones!$AA$160)&gt;=$Z33),$AC33,IF(AND($Y33&lt;&gt;"",EDATE($D33,Milestones!$AA$160)&gt;=$Y33),$AB33,$AA33)))=Milestones!$AB$160),UPPER(TEXT(EDATE($D33,Milestones!$AA$160),"dd mmm yy"))&amp;" "&amp;Milestones!$AB$160&amp;" "&amp;IF(AND(Milestones!$AB$160="FT",Milestones!$AA$160=FT_Y5,EDATE($D33,Milestones!$AA$160)&lt;PolicyEff),1,Milestones!$AC$160)&amp;";  ","")&amp;IF(AND(EDATE($D33,Milestones!$AA$161)&lt;=AsOfDate,EDATE($D33,Milestones!$AA$161)&gt;=SchemeStart,IF($X33=0,$AD33,IF(AND($Z33&lt;&gt;"",EDATE($D33,Milestones!$AA$161)&gt;=$Z33),$AC33,IF(AND($Y33&lt;&gt;"",EDATE($D33,Milestones!$AA$161)&gt;=$Y33),$AB33,$AA33)))=Milestones!$AB$161),UPPER(TEXT(EDATE($D33,Milestones!$AA$161),"dd mmm yy"))&amp;" "&amp;Milestones!$AB$161&amp;" "&amp;IF(AND(Milestones!$AB$161="FT",Milestones!$AA$161=FT_Y5,EDATE($D33,Milestones!$AA$161)&lt;PolicyEff),1,Milestones!$AC$161)&amp;";  ","")&amp;IF(AND(EDATE($D33,Milestones!$AA$162)&lt;=AsOfDate,EDATE($D33,Milestones!$AA$162)&gt;=SchemeStart,IF($X33=0,$AD33,IF(AND($Z33&lt;&gt;"",EDATE($D33,Milestones!$AA$162)&gt;=$Z33),$AC33,IF(AND($Y33&lt;&gt;"",EDATE($D33,Milestones!$AA$162)&gt;=$Y33),$AB33,$AA33)))=Milestones!$AB$162),UPPER(TEXT(EDATE($D33,Milestones!$AA$162),"dd mmm yy"))&amp;" "&amp;Milestones!$AB$162&amp;" "&amp;IF(AND(Milestones!$AB$162="FT",Milestones!$AA$162=FT_Y5,EDATE($D33,Milestones!$AA$162)&lt;PolicyEff),1,Milestones!$AC$162)&amp;";  ","")&amp;IF(AND(EDATE($D33,Milestones!$AA$163)&lt;=AsOfDate,EDATE($D33,Milestones!$AA$163)&gt;=SchemeStart,IF($X33=0,$AD33,IF(AND($Z33&lt;&gt;"",EDATE($D33,Milestones!$AA$163)&gt;=$Z33),$AC33,IF(AND($Y33&lt;&gt;"",EDATE($D33,Milestones!$AA$163)&gt;=$Y33),$AB33,$AA33)))=Milestones!$AB$163),UPPER(TEXT(EDATE($D33,Milestones!$AA$163),"dd mmm yy"))&amp;" "&amp;Milestones!$AB$163&amp;" "&amp;IF(AND(Milestones!$AB$163="FT",Milestones!$AA$163=FT_Y5,EDATE($D33,Milestones!$AA$163)&lt;PolicyEff),1,Milestones!$AC$163)&amp;";  ",""))</f>
        <v/>
      </c>
      <c r="U33" s="0" t="str">
        <f aca="false">IF(OR($A33="",$D33=""),"",IF(AND(EDATE($D33,Milestones!$AA$164)&lt;=AsOfDate,EDATE($D33,Milestones!$AA$164)&gt;=SchemeStart,IF($X33=0,$AD33,IF(AND($Z33&lt;&gt;"",EDATE($D33,Milestones!$AA$164)&gt;=$Z33),$AC33,IF(AND($Y33&lt;&gt;"",EDATE($D33,Milestones!$AA$164)&gt;=$Y33),$AB33,$AA33)))=Milestones!$AB$164),UPPER(TEXT(EDATE($D33,Milestones!$AA$164),"dd mmm yy"))&amp;" "&amp;Milestones!$AB$164&amp;" "&amp;IF(AND(Milestones!$AB$164="FT",Milestones!$AA$164=FT_Y5,EDATE($D33,Milestones!$AA$164)&lt;PolicyEff),1,Milestones!$AC$164)&amp;";  ","")&amp;IF(AND(EDATE($D33,Milestones!$AA$165)&lt;=AsOfDate,EDATE($D33,Milestones!$AA$165)&gt;=SchemeStart,IF($X33=0,$AD33,IF(AND($Z33&lt;&gt;"",EDATE($D33,Milestones!$AA$165)&gt;=$Z33),$AC33,IF(AND($Y33&lt;&gt;"",EDATE($D33,Milestones!$AA$165)&gt;=$Y33),$AB33,$AA33)))=Milestones!$AB$165),UPPER(TEXT(EDATE($D33,Milestones!$AA$165),"dd mmm yy"))&amp;" "&amp;Milestones!$AB$165&amp;" "&amp;IF(AND(Milestones!$AB$165="FT",Milestones!$AA$165=FT_Y5,EDATE($D33,Milestones!$AA$165)&lt;PolicyEff),1,Milestones!$AC$165)&amp;";  ","")&amp;IF(AND(EDATE($D33,Milestones!$AA$166)&lt;=AsOfDate,EDATE($D33,Milestones!$AA$166)&gt;=SchemeStart,IF($X33=0,$AD33,IF(AND($Z33&lt;&gt;"",EDATE($D33,Milestones!$AA$166)&gt;=$Z33),$AC33,IF(AND($Y33&lt;&gt;"",EDATE($D33,Milestones!$AA$166)&gt;=$Y33),$AB33,$AA33)))=Milestones!$AB$166),UPPER(TEXT(EDATE($D33,Milestones!$AA$166),"dd mmm yy"))&amp;" "&amp;Milestones!$AB$166&amp;" "&amp;IF(AND(Milestones!$AB$166="FT",Milestones!$AA$166=FT_Y5,EDATE($D33,Milestones!$AA$166)&lt;PolicyEff),1,Milestones!$AC$166)&amp;";  ","")&amp;IF(AND(EDATE($D33,Milestones!$AA$167)&lt;=AsOfDate,EDATE($D33,Milestones!$AA$167)&gt;=SchemeStart,IF($X33=0,$AD33,IF(AND($Z33&lt;&gt;"",EDATE($D33,Milestones!$AA$167)&gt;=$Z33),$AC33,IF(AND($Y33&lt;&gt;"",EDATE($D33,Milestones!$AA$167)&gt;=$Y33),$AB33,$AA33)))=Milestones!$AB$167),UPPER(TEXT(EDATE($D33,Milestones!$AA$167),"dd mmm yy"))&amp;" "&amp;Milestones!$AB$167&amp;" "&amp;IF(AND(Milestones!$AB$167="FT",Milestones!$AA$167=FT_Y5,EDATE($D33,Milestones!$AA$167)&lt;PolicyEff),1,Milestones!$AC$167)&amp;";  ","")&amp;IF(AND(EDATE($D33,Milestones!$AA$168)&lt;=AsOfDate,EDATE($D33,Milestones!$AA$168)&gt;=SchemeStart,IF($X33=0,$AD33,IF(AND($Z33&lt;&gt;"",EDATE($D33,Milestones!$AA$168)&gt;=$Z33),$AC33,IF(AND($Y33&lt;&gt;"",EDATE($D33,Milestones!$AA$168)&gt;=$Y33),$AB33,$AA33)))=Milestones!$AB$168),UPPER(TEXT(EDATE($D33,Milestones!$AA$168),"dd mmm yy"))&amp;" "&amp;Milestones!$AB$168&amp;" "&amp;IF(AND(Milestones!$AB$168="FT",Milestones!$AA$168=FT_Y5,EDATE($D33,Milestones!$AA$168)&lt;PolicyEff),1,Milestones!$AC$168)&amp;";  ","")&amp;IF(AND(EDATE($D33,Milestones!$AA$169)&lt;=AsOfDate,EDATE($D33,Milestones!$AA$169)&gt;=SchemeStart,IF($X33=0,$AD33,IF(AND($Z33&lt;&gt;"",EDATE($D33,Milestones!$AA$169)&gt;=$Z33),$AC33,IF(AND($Y33&lt;&gt;"",EDATE($D33,Milestones!$AA$169)&gt;=$Y33),$AB33,$AA33)))=Milestones!$AB$169),UPPER(TEXT(EDATE($D33,Milestones!$AA$169),"dd mmm yy"))&amp;" "&amp;Milestones!$AB$169&amp;" "&amp;IF(AND(Milestones!$AB$169="FT",Milestones!$AA$169=FT_Y5,EDATE($D33,Milestones!$AA$169)&lt;PolicyEff),1,Milestones!$AC$169)&amp;";  ","")&amp;IF(AND(EDATE($D33,Milestones!$AA$170)&lt;=AsOfDate,EDATE($D33,Milestones!$AA$170)&gt;=SchemeStart,IF($X33=0,$AD33,IF(AND($Z33&lt;&gt;"",EDATE($D33,Milestones!$AA$170)&gt;=$Z33),$AC33,IF(AND($Y33&lt;&gt;"",EDATE($D33,Milestones!$AA$170)&gt;=$Y33),$AB33,$AA33)))=Milestones!$AB$170),UPPER(TEXT(EDATE($D33,Milestones!$AA$170),"dd mmm yy"))&amp;" "&amp;Milestones!$AB$170&amp;" "&amp;IF(AND(Milestones!$AB$170="FT",Milestones!$AA$170=FT_Y5,EDATE($D33,Milestones!$AA$170)&lt;PolicyEff),1,Milestones!$AC$170)&amp;";  ","")&amp;IF(AND(EDATE($D33,Milestones!$AA$171)&lt;=AsOfDate,EDATE($D33,Milestones!$AA$171)&gt;=SchemeStart,IF($X33=0,$AD33,IF(AND($Z33&lt;&gt;"",EDATE($D33,Milestones!$AA$171)&gt;=$Z33),$AC33,IF(AND($Y33&lt;&gt;"",EDATE($D33,Milestones!$AA$171)&gt;=$Y33),$AB33,$AA33)))=Milestones!$AB$171),UPPER(TEXT(EDATE($D33,Milestones!$AA$171),"dd mmm yy"))&amp;" "&amp;Milestones!$AB$171&amp;" "&amp;IF(AND(Milestones!$AB$171="FT",Milestones!$AA$171=FT_Y5,EDATE($D33,Milestones!$AA$171)&lt;PolicyEff),1,Milestones!$AC$171)&amp;";  ","")&amp;IF(AND(EDATE($D33,Milestones!$AA$172)&lt;=AsOfDate,EDATE($D33,Milestones!$AA$172)&gt;=SchemeStart,IF($X33=0,$AD33,IF(AND($Z33&lt;&gt;"",EDATE($D33,Milestones!$AA$172)&gt;=$Z33),$AC33,IF(AND($Y33&lt;&gt;"",EDATE($D33,Milestones!$AA$172)&gt;=$Y33),$AB33,$AA33)))=Milestones!$AB$172),UPPER(TEXT(EDATE($D33,Milestones!$AA$172),"dd mmm yy"))&amp;" "&amp;Milestones!$AB$172&amp;" "&amp;IF(AND(Milestones!$AB$172="FT",Milestones!$AA$172=FT_Y5,EDATE($D33,Milestones!$AA$172)&lt;PolicyEff),1,Milestones!$AC$172)&amp;";  ","")&amp;IF(AND(EDATE($D33,Milestones!$AA$173)&lt;=AsOfDate,EDATE($D33,Milestones!$AA$173)&gt;=SchemeStart,IF($X33=0,$AD33,IF(AND($Z33&lt;&gt;"",EDATE($D33,Milestones!$AA$173)&gt;=$Z33),$AC33,IF(AND($Y33&lt;&gt;"",EDATE($D33,Milestones!$AA$173)&gt;=$Y33),$AB33,$AA33)))=Milestones!$AB$173),UPPER(TEXT(EDATE($D33,Milestones!$AA$173),"dd mmm yy"))&amp;" "&amp;Milestones!$AB$173&amp;" "&amp;IF(AND(Milestones!$AB$173="FT",Milestones!$AA$173=FT_Y5,EDATE($D33,Milestones!$AA$173)&lt;PolicyEff),1,Milestones!$AC$173)&amp;";  ","")&amp;IF(AND(EDATE($D33,Milestones!$AA$174)&lt;=AsOfDate,EDATE($D33,Milestones!$AA$174)&gt;=SchemeStart,IF($X33=0,$AD33,IF(AND($Z33&lt;&gt;"",EDATE($D33,Milestones!$AA$174)&gt;=$Z33),$AC33,IF(AND($Y33&lt;&gt;"",EDATE($D33,Milestones!$AA$174)&gt;=$Y33),$AB33,$AA33)))=Milestones!$AB$174),UPPER(TEXT(EDATE($D33,Milestones!$AA$174),"dd mmm yy"))&amp;" "&amp;Milestones!$AB$174&amp;" "&amp;IF(AND(Milestones!$AB$174="FT",Milestones!$AA$174=FT_Y5,EDATE($D33,Milestones!$AA$174)&lt;PolicyEff),1,Milestones!$AC$174)&amp;";  ","")&amp;IF(AND(EDATE($D33,Milestones!$AA$175)&lt;=AsOfDate,EDATE($D33,Milestones!$AA$175)&gt;=SchemeStart,IF($X33=0,$AD33,IF(AND($Z33&lt;&gt;"",EDATE($D33,Milestones!$AA$175)&gt;=$Z33),$AC33,IF(AND($Y33&lt;&gt;"",EDATE($D33,Milestones!$AA$175)&gt;=$Y33),$AB33,$AA33)))=Milestones!$AB$175),UPPER(TEXT(EDATE($D33,Milestones!$AA$175),"dd mmm yy"))&amp;" "&amp;Milestones!$AB$175&amp;" "&amp;IF(AND(Milestones!$AB$175="FT",Milestones!$AA$175=FT_Y5,EDATE($D33,Milestones!$AA$175)&lt;PolicyEff),1,Milestones!$AC$175)&amp;";  ",""))</f>
        <v/>
      </c>
      <c r="V33" s="0" t="str">
        <f aca="false">IF(OR($A33="",$D33=""),"",IF(AND(EDATE($D33,Milestones!$AA$176)&lt;=AsOfDate,EDATE($D33,Milestones!$AA$176)&gt;=SchemeStart,IF($X33=0,$AD33,IF(AND($Z33&lt;&gt;"",EDATE($D33,Milestones!$AA$176)&gt;=$Z33),$AC33,IF(AND($Y33&lt;&gt;"",EDATE($D33,Milestones!$AA$176)&gt;=$Y33),$AB33,$AA33)))=Milestones!$AB$176),UPPER(TEXT(EDATE($D33,Milestones!$AA$176),"dd mmm yy"))&amp;" "&amp;Milestones!$AB$176&amp;" "&amp;IF(AND(Milestones!$AB$176="FT",Milestones!$AA$176=FT_Y5,EDATE($D33,Milestones!$AA$176)&lt;PolicyEff),1,Milestones!$AC$176)&amp;";  ","")&amp;IF(AND(EDATE($D33,Milestones!$AA$177)&lt;=AsOfDate,EDATE($D33,Milestones!$AA$177)&gt;=SchemeStart,IF($X33=0,$AD33,IF(AND($Z33&lt;&gt;"",EDATE($D33,Milestones!$AA$177)&gt;=$Z33),$AC33,IF(AND($Y33&lt;&gt;"",EDATE($D33,Milestones!$AA$177)&gt;=$Y33),$AB33,$AA33)))=Milestones!$AB$177),UPPER(TEXT(EDATE($D33,Milestones!$AA$177),"dd mmm yy"))&amp;" "&amp;Milestones!$AB$177&amp;" "&amp;IF(AND(Milestones!$AB$177="FT",Milestones!$AA$177=FT_Y5,EDATE($D33,Milestones!$AA$177)&lt;PolicyEff),1,Milestones!$AC$177)&amp;";  ","")&amp;IF(AND(EDATE($D33,Milestones!$AA$178)&lt;=AsOfDate,EDATE($D33,Milestones!$AA$178)&gt;=SchemeStart,IF($X33=0,$AD33,IF(AND($Z33&lt;&gt;"",EDATE($D33,Milestones!$AA$178)&gt;=$Z33),$AC33,IF(AND($Y33&lt;&gt;"",EDATE($D33,Milestones!$AA$178)&gt;=$Y33),$AB33,$AA33)))=Milestones!$AB$178),UPPER(TEXT(EDATE($D33,Milestones!$AA$178),"dd mmm yy"))&amp;" "&amp;Milestones!$AB$178&amp;" "&amp;IF(AND(Milestones!$AB$178="FT",Milestones!$AA$178=FT_Y5,EDATE($D33,Milestones!$AA$178)&lt;PolicyEff),1,Milestones!$AC$178)&amp;";  ","")&amp;IF(AND(EDATE($D33,Milestones!$AA$179)&lt;=AsOfDate,EDATE($D33,Milestones!$AA$179)&gt;=SchemeStart,IF($X33=0,$AD33,IF(AND($Z33&lt;&gt;"",EDATE($D33,Milestones!$AA$179)&gt;=$Z33),$AC33,IF(AND($Y33&lt;&gt;"",EDATE($D33,Milestones!$AA$179)&gt;=$Y33),$AB33,$AA33)))=Milestones!$AB$179),UPPER(TEXT(EDATE($D33,Milestones!$AA$179),"dd mmm yy"))&amp;" "&amp;Milestones!$AB$179&amp;" "&amp;IF(AND(Milestones!$AB$179="FT",Milestones!$AA$179=FT_Y5,EDATE($D33,Milestones!$AA$179)&lt;PolicyEff),1,Milestones!$AC$179)&amp;";  ","")&amp;IF(AND(EDATE($D33,Milestones!$AA$180)&lt;=AsOfDate,EDATE($D33,Milestones!$AA$180)&gt;=SchemeStart,IF($X33=0,$AD33,IF(AND($Z33&lt;&gt;"",EDATE($D33,Milestones!$AA$180)&gt;=$Z33),$AC33,IF(AND($Y33&lt;&gt;"",EDATE($D33,Milestones!$AA$180)&gt;=$Y33),$AB33,$AA33)))=Milestones!$AB$180),UPPER(TEXT(EDATE($D33,Milestones!$AA$180),"dd mmm yy"))&amp;" "&amp;Milestones!$AB$180&amp;" "&amp;IF(AND(Milestones!$AB$180="FT",Milestones!$AA$180=FT_Y5,EDATE($D33,Milestones!$AA$180)&lt;PolicyEff),1,Milestones!$AC$180)&amp;";  ","")&amp;IF(AND(EDATE($D33,Milestones!$AA$181)&lt;=AsOfDate,EDATE($D33,Milestones!$AA$181)&gt;=SchemeStart,IF($X33=0,$AD33,IF(AND($Z33&lt;&gt;"",EDATE($D33,Milestones!$AA$181)&gt;=$Z33),$AC33,IF(AND($Y33&lt;&gt;"",EDATE($D33,Milestones!$AA$181)&gt;=$Y33),$AB33,$AA33)))=Milestones!$AB$181),UPPER(TEXT(EDATE($D33,Milestones!$AA$181),"dd mmm yy"))&amp;" "&amp;Milestones!$AB$181&amp;" "&amp;IF(AND(Milestones!$AB$181="FT",Milestones!$AA$181=FT_Y5,EDATE($D33,Milestones!$AA$181)&lt;PolicyEff),1,Milestones!$AC$181)&amp;";  ","")&amp;IF(AND(EDATE($D33,Milestones!$AA$182)&lt;=AsOfDate,EDATE($D33,Milestones!$AA$182)&gt;=SchemeStart,IF($X33=0,$AD33,IF(AND($Z33&lt;&gt;"",EDATE($D33,Milestones!$AA$182)&gt;=$Z33),$AC33,IF(AND($Y33&lt;&gt;"",EDATE($D33,Milestones!$AA$182)&gt;=$Y33),$AB33,$AA33)))=Milestones!$AB$182),UPPER(TEXT(EDATE($D33,Milestones!$AA$182),"dd mmm yy"))&amp;" "&amp;Milestones!$AB$182&amp;" "&amp;IF(AND(Milestones!$AB$182="FT",Milestones!$AA$182=FT_Y5,EDATE($D33,Milestones!$AA$182)&lt;PolicyEff),1,Milestones!$AC$182)&amp;";  ","")&amp;IF(AND(EDATE($D33,Milestones!$AA$183)&lt;=AsOfDate,EDATE($D33,Milestones!$AA$183)&gt;=SchemeStart,IF($X33=0,$AD33,IF(AND($Z33&lt;&gt;"",EDATE($D33,Milestones!$AA$183)&gt;=$Z33),$AC33,IF(AND($Y33&lt;&gt;"",EDATE($D33,Milestones!$AA$183)&gt;=$Y33),$AB33,$AA33)))=Milestones!$AB$183),UPPER(TEXT(EDATE($D33,Milestones!$AA$183),"dd mmm yy"))&amp;" "&amp;Milestones!$AB$183&amp;" "&amp;IF(AND(Milestones!$AB$183="FT",Milestones!$AA$183=FT_Y5,EDATE($D33,Milestones!$AA$183)&lt;PolicyEff),1,Milestones!$AC$183)&amp;";  ","")&amp;IF(AND(EDATE($D33,Milestones!$AA$184)&lt;=AsOfDate,EDATE($D33,Milestones!$AA$184)&gt;=SchemeStart,IF($X33=0,$AD33,IF(AND($Z33&lt;&gt;"",EDATE($D33,Milestones!$AA$184)&gt;=$Z33),$AC33,IF(AND($Y33&lt;&gt;"",EDATE($D33,Milestones!$AA$184)&gt;=$Y33),$AB33,$AA33)))=Milestones!$AB$184),UPPER(TEXT(EDATE($D33,Milestones!$AA$184),"dd mmm yy"))&amp;" "&amp;Milestones!$AB$184&amp;" "&amp;IF(AND(Milestones!$AB$184="FT",Milestones!$AA$184=FT_Y5,EDATE($D33,Milestones!$AA$184)&lt;PolicyEff),1,Milestones!$AC$184)&amp;";  ","")&amp;IF(AND(EDATE($D33,Milestones!$AA$185)&lt;=AsOfDate,EDATE($D33,Milestones!$AA$185)&gt;=SchemeStart,IF($X33=0,$AD33,IF(AND($Z33&lt;&gt;"",EDATE($D33,Milestones!$AA$185)&gt;=$Z33),$AC33,IF(AND($Y33&lt;&gt;"",EDATE($D33,Milestones!$AA$185)&gt;=$Y33),$AB33,$AA33)))=Milestones!$AB$185),UPPER(TEXT(EDATE($D33,Milestones!$AA$185),"dd mmm yy"))&amp;" "&amp;Milestones!$AB$185&amp;" "&amp;IF(AND(Milestones!$AB$185="FT",Milestones!$AA$185=FT_Y5,EDATE($D33,Milestones!$AA$185)&lt;PolicyEff),1,Milestones!$AC$185)&amp;";  ","")&amp;IF(AND(EDATE($D33,Milestones!$AA$186)&lt;=AsOfDate,EDATE($D33,Milestones!$AA$186)&gt;=SchemeStart,IF($X33=0,$AD33,IF(AND($Z33&lt;&gt;"",EDATE($D33,Milestones!$AA$186)&gt;=$Z33),$AC33,IF(AND($Y33&lt;&gt;"",EDATE($D33,Milestones!$AA$186)&gt;=$Y33),$AB33,$AA33)))=Milestones!$AB$186),UPPER(TEXT(EDATE($D33,Milestones!$AA$186),"dd mmm yy"))&amp;" "&amp;Milestones!$AB$186&amp;" "&amp;IF(AND(Milestones!$AB$186="FT",Milestones!$AA$186=FT_Y5,EDATE($D33,Milestones!$AA$186)&lt;PolicyEff),1,Milestones!$AC$186)&amp;";  ","")&amp;IF(AND(EDATE($D33,Milestones!$AA$187)&lt;=AsOfDate,EDATE($D33,Milestones!$AA$187)&gt;=SchemeStart,IF($X33=0,$AD33,IF(AND($Z33&lt;&gt;"",EDATE($D33,Milestones!$AA$187)&gt;=$Z33),$AC33,IF(AND($Y33&lt;&gt;"",EDATE($D33,Milestones!$AA$187)&gt;=$Y33),$AB33,$AA33)))=Milestones!$AB$187),UPPER(TEXT(EDATE($D33,Milestones!$AA$187),"dd mmm yy"))&amp;" "&amp;Milestones!$AB$187&amp;" "&amp;IF(AND(Milestones!$AB$187="FT",Milestones!$AA$187=FT_Y5,EDATE($D33,Milestones!$AA$187)&lt;PolicyEff),1,Milestones!$AC$187)&amp;";  ",""))</f>
        <v/>
      </c>
      <c r="W33" s="0" t="str">
        <f aca="false">IF(OR($A33="",$D33=""),"",IF(AND(EDATE($D33,Milestones!$AA$188)&lt;=AsOfDate,EDATE($D33,Milestones!$AA$188)&gt;=SchemeStart,IF($X33=0,$AD33,IF(AND($Z33&lt;&gt;"",EDATE($D33,Milestones!$AA$188)&gt;=$Z33),$AC33,IF(AND($Y33&lt;&gt;"",EDATE($D33,Milestones!$AA$188)&gt;=$Y33),$AB33,$AA33)))=Milestones!$AB$188),UPPER(TEXT(EDATE($D33,Milestones!$AA$188),"dd mmm yy"))&amp;" "&amp;Milestones!$AB$188&amp;" "&amp;IF(AND(Milestones!$AB$188="FT",Milestones!$AA$188=FT_Y5,EDATE($D33,Milestones!$AA$188)&lt;PolicyEff),1,Milestones!$AC$188)&amp;";  ","")&amp;IF(AND(EDATE($D33,Milestones!$AA$189)&lt;=AsOfDate,EDATE($D33,Milestones!$AA$189)&gt;=SchemeStart,IF($X33=0,$AD33,IF(AND($Z33&lt;&gt;"",EDATE($D33,Milestones!$AA$189)&gt;=$Z33),$AC33,IF(AND($Y33&lt;&gt;"",EDATE($D33,Milestones!$AA$189)&gt;=$Y33),$AB33,$AA33)))=Milestones!$AB$189),UPPER(TEXT(EDATE($D33,Milestones!$AA$189),"dd mmm yy"))&amp;" "&amp;Milestones!$AB$189&amp;" "&amp;IF(AND(Milestones!$AB$189="FT",Milestones!$AA$189=FT_Y5,EDATE($D33,Milestones!$AA$189)&lt;PolicyEff),1,Milestones!$AC$189)&amp;";  ","")&amp;IF(AND(EDATE($D33,Milestones!$AA$190)&lt;=AsOfDate,EDATE($D33,Milestones!$AA$190)&gt;=SchemeStart,IF($X33=0,$AD33,IF(AND($Z33&lt;&gt;"",EDATE($D33,Milestones!$AA$190)&gt;=$Z33),$AC33,IF(AND($Y33&lt;&gt;"",EDATE($D33,Milestones!$AA$190)&gt;=$Y33),$AB33,$AA33)))=Milestones!$AB$190),UPPER(TEXT(EDATE($D33,Milestones!$AA$190),"dd mmm yy"))&amp;" "&amp;Milestones!$AB$190&amp;" "&amp;IF(AND(Milestones!$AB$190="FT",Milestones!$AA$190=FT_Y5,EDATE($D33,Milestones!$AA$190)&lt;PolicyEff),1,Milestones!$AC$190)&amp;";  ","")&amp;IF(AND(EDATE($D33,Milestones!$AA$191)&lt;=AsOfDate,EDATE($D33,Milestones!$AA$191)&gt;=SchemeStart,IF($X33=0,$AD33,IF(AND($Z33&lt;&gt;"",EDATE($D33,Milestones!$AA$191)&gt;=$Z33),$AC33,IF(AND($Y33&lt;&gt;"",EDATE($D33,Milestones!$AA$191)&gt;=$Y33),$AB33,$AA33)))=Milestones!$AB$191),UPPER(TEXT(EDATE($D33,Milestones!$AA$191),"dd mmm yy"))&amp;" "&amp;Milestones!$AB$191&amp;" "&amp;IF(AND(Milestones!$AB$191="FT",Milestones!$AA$191=FT_Y5,EDATE($D33,Milestones!$AA$191)&lt;PolicyEff),1,Milestones!$AC$191)&amp;";  ","")&amp;IF(AND(EDATE($D33,Milestones!$AA$192)&lt;=AsOfDate,EDATE($D33,Milestones!$AA$192)&gt;=SchemeStart,IF($X33=0,$AD33,IF(AND($Z33&lt;&gt;"",EDATE($D33,Milestones!$AA$192)&gt;=$Z33),$AC33,IF(AND($Y33&lt;&gt;"",EDATE($D33,Milestones!$AA$192)&gt;=$Y33),$AB33,$AA33)))=Milestones!$AB$192),UPPER(TEXT(EDATE($D33,Milestones!$AA$192),"dd mmm yy"))&amp;" "&amp;Milestones!$AB$192&amp;" "&amp;IF(AND(Milestones!$AB$192="FT",Milestones!$AA$192=FT_Y5,EDATE($D33,Milestones!$AA$192)&lt;PolicyEff),1,Milestones!$AC$192)&amp;";  ","")&amp;IF(AND(EDATE($D33,Milestones!$AA$193)&lt;=AsOfDate,EDATE($D33,Milestones!$AA$193)&gt;=SchemeStart,IF($X33=0,$AD33,IF(AND($Z33&lt;&gt;"",EDATE($D33,Milestones!$AA$193)&gt;=$Z33),$AC33,IF(AND($Y33&lt;&gt;"",EDATE($D33,Milestones!$AA$193)&gt;=$Y33),$AB33,$AA33)))=Milestones!$AB$193),UPPER(TEXT(EDATE($D33,Milestones!$AA$193),"dd mmm yy"))&amp;" "&amp;Milestones!$AB$193&amp;" "&amp;IF(AND(Milestones!$AB$193="FT",Milestones!$AA$193=FT_Y5,EDATE($D33,Milestones!$AA$193)&lt;PolicyEff),1,Milestones!$AC$193)&amp;";  ","")&amp;IF(AND(EDATE($D33,Milestones!$AA$194)&lt;=AsOfDate,EDATE($D33,Milestones!$AA$194)&gt;=SchemeStart,IF($X33=0,$AD33,IF(AND($Z33&lt;&gt;"",EDATE($D33,Milestones!$AA$194)&gt;=$Z33),$AC33,IF(AND($Y33&lt;&gt;"",EDATE($D33,Milestones!$AA$194)&gt;=$Y33),$AB33,$AA33)))=Milestones!$AB$194),UPPER(TEXT(EDATE($D33,Milestones!$AA$194),"dd mmm yy"))&amp;" "&amp;Milestones!$AB$194&amp;" "&amp;IF(AND(Milestones!$AB$194="FT",Milestones!$AA$194=FT_Y5,EDATE($D33,Milestones!$AA$194)&lt;PolicyEff),1,Milestones!$AC$194)&amp;";  ","")&amp;IF(AND(EDATE($D33,Milestones!$AA$195)&lt;=AsOfDate,EDATE($D33,Milestones!$AA$195)&gt;=SchemeStart,IF($X33=0,$AD33,IF(AND($Z33&lt;&gt;"",EDATE($D33,Milestones!$AA$195)&gt;=$Z33),$AC33,IF(AND($Y33&lt;&gt;"",EDATE($D33,Milestones!$AA$195)&gt;=$Y33),$AB33,$AA33)))=Milestones!$AB$195),UPPER(TEXT(EDATE($D33,Milestones!$AA$195),"dd mmm yy"))&amp;" "&amp;Milestones!$AB$195&amp;" "&amp;IF(AND(Milestones!$AB$195="FT",Milestones!$AA$195=FT_Y5,EDATE($D33,Milestones!$AA$195)&lt;PolicyEff),1,Milestones!$AC$195)&amp;";  ","")&amp;IF(AND(EDATE($D33,Milestones!$AA$196)&lt;=AsOfDate,EDATE($D33,Milestones!$AA$196)&gt;=SchemeStart,IF($X33=0,$AD33,IF(AND($Z33&lt;&gt;"",EDATE($D33,Milestones!$AA$196)&gt;=$Z33),$AC33,IF(AND($Y33&lt;&gt;"",EDATE($D33,Milestones!$AA$196)&gt;=$Y33),$AB33,$AA33)))=Milestones!$AB$196),UPPER(TEXT(EDATE($D33,Milestones!$AA$196),"dd mmm yy"))&amp;" "&amp;Milestones!$AB$196&amp;" "&amp;IF(AND(Milestones!$AB$196="FT",Milestones!$AA$196=FT_Y5,EDATE($D33,Milestones!$AA$196)&lt;PolicyEff),1,Milestones!$AC$196)&amp;";  ","")&amp;IF(AND(EDATE($D33,Milestones!$AA$197)&lt;=AsOfDate,EDATE($D33,Milestones!$AA$197)&gt;=SchemeStart,IF($X33=0,$AD33,IF(AND($Z33&lt;&gt;"",EDATE($D33,Milestones!$AA$197)&gt;=$Z33),$AC33,IF(AND($Y33&lt;&gt;"",EDATE($D33,Milestones!$AA$197)&gt;=$Y33),$AB33,$AA33)))=Milestones!$AB$197),UPPER(TEXT(EDATE($D33,Milestones!$AA$197),"dd mmm yy"))&amp;" "&amp;Milestones!$AB$197&amp;" "&amp;IF(AND(Milestones!$AB$197="FT",Milestones!$AA$197=FT_Y5,EDATE($D33,Milestones!$AA$197)&lt;PolicyEff),1,Milestones!$AC$197)&amp;";  ","")&amp;IF(AND(EDATE($D33,Milestones!$AA$198)&lt;=AsOfDate,EDATE($D33,Milestones!$AA$198)&gt;=SchemeStart,IF($X33=0,$AD33,IF(AND($Z33&lt;&gt;"",EDATE($D33,Milestones!$AA$198)&gt;=$Z33),$AC33,IF(AND($Y33&lt;&gt;"",EDATE($D33,Milestones!$AA$198)&gt;=$Y33),$AB33,$AA33)))=Milestones!$AB$198),UPPER(TEXT(EDATE($D33,Milestones!$AA$198),"dd mmm yy"))&amp;" "&amp;Milestones!$AB$198&amp;" "&amp;IF(AND(Milestones!$AB$198="FT",Milestones!$AA$198=FT_Y5,EDATE($D33,Milestones!$AA$198)&lt;PolicyEff),1,Milestones!$AC$198)&amp;";  ","")&amp;IF(AND(EDATE($D33,Milestones!$AA$199)&lt;=AsOfDate,EDATE($D33,Milestones!$AA$199)&gt;=SchemeStart,IF($X33=0,$AD33,IF(AND($Z33&lt;&gt;"",EDATE($D33,Milestones!$AA$199)&gt;=$Z33),$AC33,IF(AND($Y33&lt;&gt;"",EDATE($D33,Milestones!$AA$199)&gt;=$Y33),$AB33,$AA33)))=Milestones!$AB$199),UPPER(TEXT(EDATE($D33,Milestones!$AA$199),"dd mmm yy"))&amp;" "&amp;Milestones!$AB$199&amp;" "&amp;IF(AND(Milestones!$AB$199="FT",Milestones!$AA$199=FT_Y5,EDATE($D33,Milestones!$AA$199)&lt;PolicyEff),1,Milestones!$AC$199)&amp;";  ",""))</f>
        <v/>
      </c>
      <c r="X33" s="0" t="str">
        <f aca="false">IF(Staff!$A33="","",Staff!$AM33)</f>
        <v/>
      </c>
      <c r="Y33" s="0" t="str">
        <f aca="false">IF(Staff!$A33="","",Staff!$AO33)</f>
        <v/>
      </c>
      <c r="Z33" s="0" t="str">
        <f aca="false">IF(Staff!$A33="","",Staff!$AP33)</f>
        <v/>
      </c>
      <c r="AA33" s="0" t="str">
        <f aca="false">IF(Staff!$A33="","",Staff!$AT33)</f>
        <v/>
      </c>
      <c r="AB33" s="0" t="str">
        <f aca="false">IF(Staff!$A33="","",Staff!$AU33)</f>
        <v/>
      </c>
      <c r="AC33" s="0" t="str">
        <f aca="false">IF(Staff!$A33="","",Staff!$AV33)</f>
        <v/>
      </c>
      <c r="AD33" s="0" t="str">
        <f aca="false">IF(Staff!$A33="","",Staff!$AW33)</f>
        <v/>
      </c>
    </row>
    <row r="34" customFormat="false" ht="15" hidden="false" customHeight="false" outlineLevel="0" collapsed="false">
      <c r="A34" s="16" t="str">
        <f aca="false">IF(Staff!$A34="","",Staff!$A34)</f>
        <v/>
      </c>
      <c r="B34" s="16" t="str">
        <f aca="false">IF(Staff!$A34="","",Staff!$B34)</f>
        <v/>
      </c>
      <c r="C34" s="16" t="str">
        <f aca="false">IF(Staff!$A34="","",Staff!$C34)</f>
        <v/>
      </c>
      <c r="D34" s="14" t="str">
        <f aca="false">IF(Staff!$A34="","",Staff!$AL34)</f>
        <v/>
      </c>
      <c r="E34" s="16" t="str">
        <f aca="false">IF(Staff!$A34="","",Staff!$O34)</f>
        <v/>
      </c>
      <c r="F34" s="16" t="str">
        <f aca="false">IF(E34="","",E34*HoursPerDay)</f>
        <v/>
      </c>
      <c r="G34" s="16" t="str">
        <f aca="false">IF(Staff!$A34="","",Staff!$AE34)</f>
        <v/>
      </c>
      <c r="H34" s="28" t="str">
        <f aca="false">IF($A34="","",I34&amp;J34&amp;K34&amp;L34&amp;M34&amp;N34&amp;O34&amp;P34&amp;Q34&amp;R34&amp;S34&amp;T34&amp;U34&amp;V34&amp;W34)</f>
        <v/>
      </c>
      <c r="I34" s="0" t="str">
        <f aca="false">IF(OR($A34="",$D34=""),"",IF(AND(EDATE($D34,Milestones!$AA$20)&lt;=AsOfDate,EDATE($D34,Milestones!$AA$20)&gt;=SchemeStart,IF($X34=0,$AD34,IF(AND($Z34&lt;&gt;"",EDATE($D34,Milestones!$AA$20)&gt;=$Z34),$AC34,IF(AND($Y34&lt;&gt;"",EDATE($D34,Milestones!$AA$20)&gt;=$Y34),$AB34,$AA34)))=Milestones!$AB$20),UPPER(TEXT(EDATE($D34,Milestones!$AA$20),"dd mmm yy"))&amp;" "&amp;Milestones!$AB$20&amp;" "&amp;IF(AND(Milestones!$AB$20="FT",Milestones!$AA$20=FT_Y5,EDATE($D34,Milestones!$AA$20)&lt;PolicyEff),1,Milestones!$AC$20)&amp;";  ","")&amp;IF(AND(EDATE($D34,Milestones!$AA$21)&lt;=AsOfDate,EDATE($D34,Milestones!$AA$21)&gt;=SchemeStart,IF($X34=0,$AD34,IF(AND($Z34&lt;&gt;"",EDATE($D34,Milestones!$AA$21)&gt;=$Z34),$AC34,IF(AND($Y34&lt;&gt;"",EDATE($D34,Milestones!$AA$21)&gt;=$Y34),$AB34,$AA34)))=Milestones!$AB$21),UPPER(TEXT(EDATE($D34,Milestones!$AA$21),"dd mmm yy"))&amp;" "&amp;Milestones!$AB$21&amp;" "&amp;IF(AND(Milestones!$AB$21="FT",Milestones!$AA$21=FT_Y5,EDATE($D34,Milestones!$AA$21)&lt;PolicyEff),1,Milestones!$AC$21)&amp;";  ","")&amp;IF(AND(EDATE($D34,Milestones!$AA$22)&lt;=AsOfDate,EDATE($D34,Milestones!$AA$22)&gt;=SchemeStart,IF($X34=0,$AD34,IF(AND($Z34&lt;&gt;"",EDATE($D34,Milestones!$AA$22)&gt;=$Z34),$AC34,IF(AND($Y34&lt;&gt;"",EDATE($D34,Milestones!$AA$22)&gt;=$Y34),$AB34,$AA34)))=Milestones!$AB$22),UPPER(TEXT(EDATE($D34,Milestones!$AA$22),"dd mmm yy"))&amp;" "&amp;Milestones!$AB$22&amp;" "&amp;IF(AND(Milestones!$AB$22="FT",Milestones!$AA$22=FT_Y5,EDATE($D34,Milestones!$AA$22)&lt;PolicyEff),1,Milestones!$AC$22)&amp;";  ","")&amp;IF(AND(EDATE($D34,Milestones!$AA$23)&lt;=AsOfDate,EDATE($D34,Milestones!$AA$23)&gt;=SchemeStart,IF($X34=0,$AD34,IF(AND($Z34&lt;&gt;"",EDATE($D34,Milestones!$AA$23)&gt;=$Z34),$AC34,IF(AND($Y34&lt;&gt;"",EDATE($D34,Milestones!$AA$23)&gt;=$Y34),$AB34,$AA34)))=Milestones!$AB$23),UPPER(TEXT(EDATE($D34,Milestones!$AA$23),"dd mmm yy"))&amp;" "&amp;Milestones!$AB$23&amp;" "&amp;IF(AND(Milestones!$AB$23="FT",Milestones!$AA$23=FT_Y5,EDATE($D34,Milestones!$AA$23)&lt;PolicyEff),1,Milestones!$AC$23)&amp;";  ","")&amp;IF(AND(EDATE($D34,Milestones!$AA$24)&lt;=AsOfDate,EDATE($D34,Milestones!$AA$24)&gt;=SchemeStart,IF($X34=0,$AD34,IF(AND($Z34&lt;&gt;"",EDATE($D34,Milestones!$AA$24)&gt;=$Z34),$AC34,IF(AND($Y34&lt;&gt;"",EDATE($D34,Milestones!$AA$24)&gt;=$Y34),$AB34,$AA34)))=Milestones!$AB$24),UPPER(TEXT(EDATE($D34,Milestones!$AA$24),"dd mmm yy"))&amp;" "&amp;Milestones!$AB$24&amp;" "&amp;IF(AND(Milestones!$AB$24="FT",Milestones!$AA$24=FT_Y5,EDATE($D34,Milestones!$AA$24)&lt;PolicyEff),1,Milestones!$AC$24)&amp;";  ","")&amp;IF(AND(EDATE($D34,Milestones!$AA$25)&lt;=AsOfDate,EDATE($D34,Milestones!$AA$25)&gt;=SchemeStart,IF($X34=0,$AD34,IF(AND($Z34&lt;&gt;"",EDATE($D34,Milestones!$AA$25)&gt;=$Z34),$AC34,IF(AND($Y34&lt;&gt;"",EDATE($D34,Milestones!$AA$25)&gt;=$Y34),$AB34,$AA34)))=Milestones!$AB$25),UPPER(TEXT(EDATE($D34,Milestones!$AA$25),"dd mmm yy"))&amp;" "&amp;Milestones!$AB$25&amp;" "&amp;IF(AND(Milestones!$AB$25="FT",Milestones!$AA$25=FT_Y5,EDATE($D34,Milestones!$AA$25)&lt;PolicyEff),1,Milestones!$AC$25)&amp;";  ","")&amp;IF(AND(EDATE($D34,Milestones!$AA$26)&lt;=AsOfDate,EDATE($D34,Milestones!$AA$26)&gt;=SchemeStart,IF($X34=0,$AD34,IF(AND($Z34&lt;&gt;"",EDATE($D34,Milestones!$AA$26)&gt;=$Z34),$AC34,IF(AND($Y34&lt;&gt;"",EDATE($D34,Milestones!$AA$26)&gt;=$Y34),$AB34,$AA34)))=Milestones!$AB$26),UPPER(TEXT(EDATE($D34,Milestones!$AA$26),"dd mmm yy"))&amp;" "&amp;Milestones!$AB$26&amp;" "&amp;IF(AND(Milestones!$AB$26="FT",Milestones!$AA$26=FT_Y5,EDATE($D34,Milestones!$AA$26)&lt;PolicyEff),1,Milestones!$AC$26)&amp;";  ","")&amp;IF(AND(EDATE($D34,Milestones!$AA$27)&lt;=AsOfDate,EDATE($D34,Milestones!$AA$27)&gt;=SchemeStart,IF($X34=0,$AD34,IF(AND($Z34&lt;&gt;"",EDATE($D34,Milestones!$AA$27)&gt;=$Z34),$AC34,IF(AND($Y34&lt;&gt;"",EDATE($D34,Milestones!$AA$27)&gt;=$Y34),$AB34,$AA34)))=Milestones!$AB$27),UPPER(TEXT(EDATE($D34,Milestones!$AA$27),"dd mmm yy"))&amp;" "&amp;Milestones!$AB$27&amp;" "&amp;IF(AND(Milestones!$AB$27="FT",Milestones!$AA$27=FT_Y5,EDATE($D34,Milestones!$AA$27)&lt;PolicyEff),1,Milestones!$AC$27)&amp;";  ","")&amp;IF(AND(EDATE($D34,Milestones!$AA$28)&lt;=AsOfDate,EDATE($D34,Milestones!$AA$28)&gt;=SchemeStart,IF($X34=0,$AD34,IF(AND($Z34&lt;&gt;"",EDATE($D34,Milestones!$AA$28)&gt;=$Z34),$AC34,IF(AND($Y34&lt;&gt;"",EDATE($D34,Milestones!$AA$28)&gt;=$Y34),$AB34,$AA34)))=Milestones!$AB$28),UPPER(TEXT(EDATE($D34,Milestones!$AA$28),"dd mmm yy"))&amp;" "&amp;Milestones!$AB$28&amp;" "&amp;IF(AND(Milestones!$AB$28="FT",Milestones!$AA$28=FT_Y5,EDATE($D34,Milestones!$AA$28)&lt;PolicyEff),1,Milestones!$AC$28)&amp;";  ","")&amp;IF(AND(EDATE($D34,Milestones!$AA$29)&lt;=AsOfDate,EDATE($D34,Milestones!$AA$29)&gt;=SchemeStart,IF($X34=0,$AD34,IF(AND($Z34&lt;&gt;"",EDATE($D34,Milestones!$AA$29)&gt;=$Z34),$AC34,IF(AND($Y34&lt;&gt;"",EDATE($D34,Milestones!$AA$29)&gt;=$Y34),$AB34,$AA34)))=Milestones!$AB$29),UPPER(TEXT(EDATE($D34,Milestones!$AA$29),"dd mmm yy"))&amp;" "&amp;Milestones!$AB$29&amp;" "&amp;IF(AND(Milestones!$AB$29="FT",Milestones!$AA$29=FT_Y5,EDATE($D34,Milestones!$AA$29)&lt;PolicyEff),1,Milestones!$AC$29)&amp;";  ","")&amp;IF(AND(EDATE($D34,Milestones!$AA$30)&lt;=AsOfDate,EDATE($D34,Milestones!$AA$30)&gt;=SchemeStart,IF($X34=0,$AD34,IF(AND($Z34&lt;&gt;"",EDATE($D34,Milestones!$AA$30)&gt;=$Z34),$AC34,IF(AND($Y34&lt;&gt;"",EDATE($D34,Milestones!$AA$30)&gt;=$Y34),$AB34,$AA34)))=Milestones!$AB$30),UPPER(TEXT(EDATE($D34,Milestones!$AA$30),"dd mmm yy"))&amp;" "&amp;Milestones!$AB$30&amp;" "&amp;IF(AND(Milestones!$AB$30="FT",Milestones!$AA$30=FT_Y5,EDATE($D34,Milestones!$AA$30)&lt;PolicyEff),1,Milestones!$AC$30)&amp;";  ","")&amp;IF(AND(EDATE($D34,Milestones!$AA$31)&lt;=AsOfDate,EDATE($D34,Milestones!$AA$31)&gt;=SchemeStart,IF($X34=0,$AD34,IF(AND($Z34&lt;&gt;"",EDATE($D34,Milestones!$AA$31)&gt;=$Z34),$AC34,IF(AND($Y34&lt;&gt;"",EDATE($D34,Milestones!$AA$31)&gt;=$Y34),$AB34,$AA34)))=Milestones!$AB$31),UPPER(TEXT(EDATE($D34,Milestones!$AA$31),"dd mmm yy"))&amp;" "&amp;Milestones!$AB$31&amp;" "&amp;IF(AND(Milestones!$AB$31="FT",Milestones!$AA$31=FT_Y5,EDATE($D34,Milestones!$AA$31)&lt;PolicyEff),1,Milestones!$AC$31)&amp;";  ",""))</f>
        <v/>
      </c>
      <c r="J34" s="0" t="str">
        <f aca="false">IF(OR($A34="",$D34=""),"",IF(AND(EDATE($D34,Milestones!$AA$32)&lt;=AsOfDate,EDATE($D34,Milestones!$AA$32)&gt;=SchemeStart,IF($X34=0,$AD34,IF(AND($Z34&lt;&gt;"",EDATE($D34,Milestones!$AA$32)&gt;=$Z34),$AC34,IF(AND($Y34&lt;&gt;"",EDATE($D34,Milestones!$AA$32)&gt;=$Y34),$AB34,$AA34)))=Milestones!$AB$32),UPPER(TEXT(EDATE($D34,Milestones!$AA$32),"dd mmm yy"))&amp;" "&amp;Milestones!$AB$32&amp;" "&amp;IF(AND(Milestones!$AB$32="FT",Milestones!$AA$32=FT_Y5,EDATE($D34,Milestones!$AA$32)&lt;PolicyEff),1,Milestones!$AC$32)&amp;";  ","")&amp;IF(AND(EDATE($D34,Milestones!$AA$33)&lt;=AsOfDate,EDATE($D34,Milestones!$AA$33)&gt;=SchemeStart,IF($X34=0,$AD34,IF(AND($Z34&lt;&gt;"",EDATE($D34,Milestones!$AA$33)&gt;=$Z34),$AC34,IF(AND($Y34&lt;&gt;"",EDATE($D34,Milestones!$AA$33)&gt;=$Y34),$AB34,$AA34)))=Milestones!$AB$33),UPPER(TEXT(EDATE($D34,Milestones!$AA$33),"dd mmm yy"))&amp;" "&amp;Milestones!$AB$33&amp;" "&amp;IF(AND(Milestones!$AB$33="FT",Milestones!$AA$33=FT_Y5,EDATE($D34,Milestones!$AA$33)&lt;PolicyEff),1,Milestones!$AC$33)&amp;";  ","")&amp;IF(AND(EDATE($D34,Milestones!$AA$34)&lt;=AsOfDate,EDATE($D34,Milestones!$AA$34)&gt;=SchemeStart,IF($X34=0,$AD34,IF(AND($Z34&lt;&gt;"",EDATE($D34,Milestones!$AA$34)&gt;=$Z34),$AC34,IF(AND($Y34&lt;&gt;"",EDATE($D34,Milestones!$AA$34)&gt;=$Y34),$AB34,$AA34)))=Milestones!$AB$34),UPPER(TEXT(EDATE($D34,Milestones!$AA$34),"dd mmm yy"))&amp;" "&amp;Milestones!$AB$34&amp;" "&amp;IF(AND(Milestones!$AB$34="FT",Milestones!$AA$34=FT_Y5,EDATE($D34,Milestones!$AA$34)&lt;PolicyEff),1,Milestones!$AC$34)&amp;";  ","")&amp;IF(AND(EDATE($D34,Milestones!$AA$35)&lt;=AsOfDate,EDATE($D34,Milestones!$AA$35)&gt;=SchemeStart,IF($X34=0,$AD34,IF(AND($Z34&lt;&gt;"",EDATE($D34,Milestones!$AA$35)&gt;=$Z34),$AC34,IF(AND($Y34&lt;&gt;"",EDATE($D34,Milestones!$AA$35)&gt;=$Y34),$AB34,$AA34)))=Milestones!$AB$35),UPPER(TEXT(EDATE($D34,Milestones!$AA$35),"dd mmm yy"))&amp;" "&amp;Milestones!$AB$35&amp;" "&amp;IF(AND(Milestones!$AB$35="FT",Milestones!$AA$35=FT_Y5,EDATE($D34,Milestones!$AA$35)&lt;PolicyEff),1,Milestones!$AC$35)&amp;";  ","")&amp;IF(AND(EDATE($D34,Milestones!$AA$36)&lt;=AsOfDate,EDATE($D34,Milestones!$AA$36)&gt;=SchemeStart,IF($X34=0,$AD34,IF(AND($Z34&lt;&gt;"",EDATE($D34,Milestones!$AA$36)&gt;=$Z34),$AC34,IF(AND($Y34&lt;&gt;"",EDATE($D34,Milestones!$AA$36)&gt;=$Y34),$AB34,$AA34)))=Milestones!$AB$36),UPPER(TEXT(EDATE($D34,Milestones!$AA$36),"dd mmm yy"))&amp;" "&amp;Milestones!$AB$36&amp;" "&amp;IF(AND(Milestones!$AB$36="FT",Milestones!$AA$36=FT_Y5,EDATE($D34,Milestones!$AA$36)&lt;PolicyEff),1,Milestones!$AC$36)&amp;";  ","")&amp;IF(AND(EDATE($D34,Milestones!$AA$37)&lt;=AsOfDate,EDATE($D34,Milestones!$AA$37)&gt;=SchemeStart,IF($X34=0,$AD34,IF(AND($Z34&lt;&gt;"",EDATE($D34,Milestones!$AA$37)&gt;=$Z34),$AC34,IF(AND($Y34&lt;&gt;"",EDATE($D34,Milestones!$AA$37)&gt;=$Y34),$AB34,$AA34)))=Milestones!$AB$37),UPPER(TEXT(EDATE($D34,Milestones!$AA$37),"dd mmm yy"))&amp;" "&amp;Milestones!$AB$37&amp;" "&amp;IF(AND(Milestones!$AB$37="FT",Milestones!$AA$37=FT_Y5,EDATE($D34,Milestones!$AA$37)&lt;PolicyEff),1,Milestones!$AC$37)&amp;";  ","")&amp;IF(AND(EDATE($D34,Milestones!$AA$38)&lt;=AsOfDate,EDATE($D34,Milestones!$AA$38)&gt;=SchemeStart,IF($X34=0,$AD34,IF(AND($Z34&lt;&gt;"",EDATE($D34,Milestones!$AA$38)&gt;=$Z34),$AC34,IF(AND($Y34&lt;&gt;"",EDATE($D34,Milestones!$AA$38)&gt;=$Y34),$AB34,$AA34)))=Milestones!$AB$38),UPPER(TEXT(EDATE($D34,Milestones!$AA$38),"dd mmm yy"))&amp;" "&amp;Milestones!$AB$38&amp;" "&amp;IF(AND(Milestones!$AB$38="FT",Milestones!$AA$38=FT_Y5,EDATE($D34,Milestones!$AA$38)&lt;PolicyEff),1,Milestones!$AC$38)&amp;";  ","")&amp;IF(AND(EDATE($D34,Milestones!$AA$39)&lt;=AsOfDate,EDATE($D34,Milestones!$AA$39)&gt;=SchemeStart,IF($X34=0,$AD34,IF(AND($Z34&lt;&gt;"",EDATE($D34,Milestones!$AA$39)&gt;=$Z34),$AC34,IF(AND($Y34&lt;&gt;"",EDATE($D34,Milestones!$AA$39)&gt;=$Y34),$AB34,$AA34)))=Milestones!$AB$39),UPPER(TEXT(EDATE($D34,Milestones!$AA$39),"dd mmm yy"))&amp;" "&amp;Milestones!$AB$39&amp;" "&amp;IF(AND(Milestones!$AB$39="FT",Milestones!$AA$39=FT_Y5,EDATE($D34,Milestones!$AA$39)&lt;PolicyEff),1,Milestones!$AC$39)&amp;";  ","")&amp;IF(AND(EDATE($D34,Milestones!$AA$40)&lt;=AsOfDate,EDATE($D34,Milestones!$AA$40)&gt;=SchemeStart,IF($X34=0,$AD34,IF(AND($Z34&lt;&gt;"",EDATE($D34,Milestones!$AA$40)&gt;=$Z34),$AC34,IF(AND($Y34&lt;&gt;"",EDATE($D34,Milestones!$AA$40)&gt;=$Y34),$AB34,$AA34)))=Milestones!$AB$40),UPPER(TEXT(EDATE($D34,Milestones!$AA$40),"dd mmm yy"))&amp;" "&amp;Milestones!$AB$40&amp;" "&amp;IF(AND(Milestones!$AB$40="FT",Milestones!$AA$40=FT_Y5,EDATE($D34,Milestones!$AA$40)&lt;PolicyEff),1,Milestones!$AC$40)&amp;";  ","")&amp;IF(AND(EDATE($D34,Milestones!$AA$41)&lt;=AsOfDate,EDATE($D34,Milestones!$AA$41)&gt;=SchemeStart,IF($X34=0,$AD34,IF(AND($Z34&lt;&gt;"",EDATE($D34,Milestones!$AA$41)&gt;=$Z34),$AC34,IF(AND($Y34&lt;&gt;"",EDATE($D34,Milestones!$AA$41)&gt;=$Y34),$AB34,$AA34)))=Milestones!$AB$41),UPPER(TEXT(EDATE($D34,Milestones!$AA$41),"dd mmm yy"))&amp;" "&amp;Milestones!$AB$41&amp;" "&amp;IF(AND(Milestones!$AB$41="FT",Milestones!$AA$41=FT_Y5,EDATE($D34,Milestones!$AA$41)&lt;PolicyEff),1,Milestones!$AC$41)&amp;";  ","")&amp;IF(AND(EDATE($D34,Milestones!$AA$42)&lt;=AsOfDate,EDATE($D34,Milestones!$AA$42)&gt;=SchemeStart,IF($X34=0,$AD34,IF(AND($Z34&lt;&gt;"",EDATE($D34,Milestones!$AA$42)&gt;=$Z34),$AC34,IF(AND($Y34&lt;&gt;"",EDATE($D34,Milestones!$AA$42)&gt;=$Y34),$AB34,$AA34)))=Milestones!$AB$42),UPPER(TEXT(EDATE($D34,Milestones!$AA$42),"dd mmm yy"))&amp;" "&amp;Milestones!$AB$42&amp;" "&amp;IF(AND(Milestones!$AB$42="FT",Milestones!$AA$42=FT_Y5,EDATE($D34,Milestones!$AA$42)&lt;PolicyEff),1,Milestones!$AC$42)&amp;";  ","")&amp;IF(AND(EDATE($D34,Milestones!$AA$43)&lt;=AsOfDate,EDATE($D34,Milestones!$AA$43)&gt;=SchemeStart,IF($X34=0,$AD34,IF(AND($Z34&lt;&gt;"",EDATE($D34,Milestones!$AA$43)&gt;=$Z34),$AC34,IF(AND($Y34&lt;&gt;"",EDATE($D34,Milestones!$AA$43)&gt;=$Y34),$AB34,$AA34)))=Milestones!$AB$43),UPPER(TEXT(EDATE($D34,Milestones!$AA$43),"dd mmm yy"))&amp;" "&amp;Milestones!$AB$43&amp;" "&amp;IF(AND(Milestones!$AB$43="FT",Milestones!$AA$43=FT_Y5,EDATE($D34,Milestones!$AA$43)&lt;PolicyEff),1,Milestones!$AC$43)&amp;";  ",""))</f>
        <v/>
      </c>
      <c r="K34" s="0" t="str">
        <f aca="false">IF(OR($A34="",$D34=""),"",IF(AND(EDATE($D34,Milestones!$AA$44)&lt;=AsOfDate,EDATE($D34,Milestones!$AA$44)&gt;=SchemeStart,IF($X34=0,$AD34,IF(AND($Z34&lt;&gt;"",EDATE($D34,Milestones!$AA$44)&gt;=$Z34),$AC34,IF(AND($Y34&lt;&gt;"",EDATE($D34,Milestones!$AA$44)&gt;=$Y34),$AB34,$AA34)))=Milestones!$AB$44),UPPER(TEXT(EDATE($D34,Milestones!$AA$44),"dd mmm yy"))&amp;" "&amp;Milestones!$AB$44&amp;" "&amp;IF(AND(Milestones!$AB$44="FT",Milestones!$AA$44=FT_Y5,EDATE($D34,Milestones!$AA$44)&lt;PolicyEff),1,Milestones!$AC$44)&amp;";  ","")&amp;IF(AND(EDATE($D34,Milestones!$AA$45)&lt;=AsOfDate,EDATE($D34,Milestones!$AA$45)&gt;=SchemeStart,IF($X34=0,$AD34,IF(AND($Z34&lt;&gt;"",EDATE($D34,Milestones!$AA$45)&gt;=$Z34),$AC34,IF(AND($Y34&lt;&gt;"",EDATE($D34,Milestones!$AA$45)&gt;=$Y34),$AB34,$AA34)))=Milestones!$AB$45),UPPER(TEXT(EDATE($D34,Milestones!$AA$45),"dd mmm yy"))&amp;" "&amp;Milestones!$AB$45&amp;" "&amp;IF(AND(Milestones!$AB$45="FT",Milestones!$AA$45=FT_Y5,EDATE($D34,Milestones!$AA$45)&lt;PolicyEff),1,Milestones!$AC$45)&amp;";  ","")&amp;IF(AND(EDATE($D34,Milestones!$AA$46)&lt;=AsOfDate,EDATE($D34,Milestones!$AA$46)&gt;=SchemeStart,IF($X34=0,$AD34,IF(AND($Z34&lt;&gt;"",EDATE($D34,Milestones!$AA$46)&gt;=$Z34),$AC34,IF(AND($Y34&lt;&gt;"",EDATE($D34,Milestones!$AA$46)&gt;=$Y34),$AB34,$AA34)))=Milestones!$AB$46),UPPER(TEXT(EDATE($D34,Milestones!$AA$46),"dd mmm yy"))&amp;" "&amp;Milestones!$AB$46&amp;" "&amp;IF(AND(Milestones!$AB$46="FT",Milestones!$AA$46=FT_Y5,EDATE($D34,Milestones!$AA$46)&lt;PolicyEff),1,Milestones!$AC$46)&amp;";  ","")&amp;IF(AND(EDATE($D34,Milestones!$AA$47)&lt;=AsOfDate,EDATE($D34,Milestones!$AA$47)&gt;=SchemeStart,IF($X34=0,$AD34,IF(AND($Z34&lt;&gt;"",EDATE($D34,Milestones!$AA$47)&gt;=$Z34),$AC34,IF(AND($Y34&lt;&gt;"",EDATE($D34,Milestones!$AA$47)&gt;=$Y34),$AB34,$AA34)))=Milestones!$AB$47),UPPER(TEXT(EDATE($D34,Milestones!$AA$47),"dd mmm yy"))&amp;" "&amp;Milestones!$AB$47&amp;" "&amp;IF(AND(Milestones!$AB$47="FT",Milestones!$AA$47=FT_Y5,EDATE($D34,Milestones!$AA$47)&lt;PolicyEff),1,Milestones!$AC$47)&amp;";  ","")&amp;IF(AND(EDATE($D34,Milestones!$AA$48)&lt;=AsOfDate,EDATE($D34,Milestones!$AA$48)&gt;=SchemeStart,IF($X34=0,$AD34,IF(AND($Z34&lt;&gt;"",EDATE($D34,Milestones!$AA$48)&gt;=$Z34),$AC34,IF(AND($Y34&lt;&gt;"",EDATE($D34,Milestones!$AA$48)&gt;=$Y34),$AB34,$AA34)))=Milestones!$AB$48),UPPER(TEXT(EDATE($D34,Milestones!$AA$48),"dd mmm yy"))&amp;" "&amp;Milestones!$AB$48&amp;" "&amp;IF(AND(Milestones!$AB$48="FT",Milestones!$AA$48=FT_Y5,EDATE($D34,Milestones!$AA$48)&lt;PolicyEff),1,Milestones!$AC$48)&amp;";  ","")&amp;IF(AND(EDATE($D34,Milestones!$AA$49)&lt;=AsOfDate,EDATE($D34,Milestones!$AA$49)&gt;=SchemeStart,IF($X34=0,$AD34,IF(AND($Z34&lt;&gt;"",EDATE($D34,Milestones!$AA$49)&gt;=$Z34),$AC34,IF(AND($Y34&lt;&gt;"",EDATE($D34,Milestones!$AA$49)&gt;=$Y34),$AB34,$AA34)))=Milestones!$AB$49),UPPER(TEXT(EDATE($D34,Milestones!$AA$49),"dd mmm yy"))&amp;" "&amp;Milestones!$AB$49&amp;" "&amp;IF(AND(Milestones!$AB$49="FT",Milestones!$AA$49=FT_Y5,EDATE($D34,Milestones!$AA$49)&lt;PolicyEff),1,Milestones!$AC$49)&amp;";  ","")&amp;IF(AND(EDATE($D34,Milestones!$AA$50)&lt;=AsOfDate,EDATE($D34,Milestones!$AA$50)&gt;=SchemeStart,IF($X34=0,$AD34,IF(AND($Z34&lt;&gt;"",EDATE($D34,Milestones!$AA$50)&gt;=$Z34),$AC34,IF(AND($Y34&lt;&gt;"",EDATE($D34,Milestones!$AA$50)&gt;=$Y34),$AB34,$AA34)))=Milestones!$AB$50),UPPER(TEXT(EDATE($D34,Milestones!$AA$50),"dd mmm yy"))&amp;" "&amp;Milestones!$AB$50&amp;" "&amp;IF(AND(Milestones!$AB$50="FT",Milestones!$AA$50=FT_Y5,EDATE($D34,Milestones!$AA$50)&lt;PolicyEff),1,Milestones!$AC$50)&amp;";  ","")&amp;IF(AND(EDATE($D34,Milestones!$AA$51)&lt;=AsOfDate,EDATE($D34,Milestones!$AA$51)&gt;=SchemeStart,IF($X34=0,$AD34,IF(AND($Z34&lt;&gt;"",EDATE($D34,Milestones!$AA$51)&gt;=$Z34),$AC34,IF(AND($Y34&lt;&gt;"",EDATE($D34,Milestones!$AA$51)&gt;=$Y34),$AB34,$AA34)))=Milestones!$AB$51),UPPER(TEXT(EDATE($D34,Milestones!$AA$51),"dd mmm yy"))&amp;" "&amp;Milestones!$AB$51&amp;" "&amp;IF(AND(Milestones!$AB$51="FT",Milestones!$AA$51=FT_Y5,EDATE($D34,Milestones!$AA$51)&lt;PolicyEff),1,Milestones!$AC$51)&amp;";  ","")&amp;IF(AND(EDATE($D34,Milestones!$AA$52)&lt;=AsOfDate,EDATE($D34,Milestones!$AA$52)&gt;=SchemeStart,IF($X34=0,$AD34,IF(AND($Z34&lt;&gt;"",EDATE($D34,Milestones!$AA$52)&gt;=$Z34),$AC34,IF(AND($Y34&lt;&gt;"",EDATE($D34,Milestones!$AA$52)&gt;=$Y34),$AB34,$AA34)))=Milestones!$AB$52),UPPER(TEXT(EDATE($D34,Milestones!$AA$52),"dd mmm yy"))&amp;" "&amp;Milestones!$AB$52&amp;" "&amp;IF(AND(Milestones!$AB$52="FT",Milestones!$AA$52=FT_Y5,EDATE($D34,Milestones!$AA$52)&lt;PolicyEff),1,Milestones!$AC$52)&amp;";  ","")&amp;IF(AND(EDATE($D34,Milestones!$AA$53)&lt;=AsOfDate,EDATE($D34,Milestones!$AA$53)&gt;=SchemeStart,IF($X34=0,$AD34,IF(AND($Z34&lt;&gt;"",EDATE($D34,Milestones!$AA$53)&gt;=$Z34),$AC34,IF(AND($Y34&lt;&gt;"",EDATE($D34,Milestones!$AA$53)&gt;=$Y34),$AB34,$AA34)))=Milestones!$AB$53),UPPER(TEXT(EDATE($D34,Milestones!$AA$53),"dd mmm yy"))&amp;" "&amp;Milestones!$AB$53&amp;" "&amp;IF(AND(Milestones!$AB$53="FT",Milestones!$AA$53=FT_Y5,EDATE($D34,Milestones!$AA$53)&lt;PolicyEff),1,Milestones!$AC$53)&amp;";  ","")&amp;IF(AND(EDATE($D34,Milestones!$AA$54)&lt;=AsOfDate,EDATE($D34,Milestones!$AA$54)&gt;=SchemeStart,IF($X34=0,$AD34,IF(AND($Z34&lt;&gt;"",EDATE($D34,Milestones!$AA$54)&gt;=$Z34),$AC34,IF(AND($Y34&lt;&gt;"",EDATE($D34,Milestones!$AA$54)&gt;=$Y34),$AB34,$AA34)))=Milestones!$AB$54),UPPER(TEXT(EDATE($D34,Milestones!$AA$54),"dd mmm yy"))&amp;" "&amp;Milestones!$AB$54&amp;" "&amp;IF(AND(Milestones!$AB$54="FT",Milestones!$AA$54=FT_Y5,EDATE($D34,Milestones!$AA$54)&lt;PolicyEff),1,Milestones!$AC$54)&amp;";  ","")&amp;IF(AND(EDATE($D34,Milestones!$AA$55)&lt;=AsOfDate,EDATE($D34,Milestones!$AA$55)&gt;=SchemeStart,IF($X34=0,$AD34,IF(AND($Z34&lt;&gt;"",EDATE($D34,Milestones!$AA$55)&gt;=$Z34),$AC34,IF(AND($Y34&lt;&gt;"",EDATE($D34,Milestones!$AA$55)&gt;=$Y34),$AB34,$AA34)))=Milestones!$AB$55),UPPER(TEXT(EDATE($D34,Milestones!$AA$55),"dd mmm yy"))&amp;" "&amp;Milestones!$AB$55&amp;" "&amp;IF(AND(Milestones!$AB$55="FT",Milestones!$AA$55=FT_Y5,EDATE($D34,Milestones!$AA$55)&lt;PolicyEff),1,Milestones!$AC$55)&amp;";  ",""))</f>
        <v/>
      </c>
      <c r="L34" s="0" t="str">
        <f aca="false">IF(OR($A34="",$D34=""),"",IF(AND(EDATE($D34,Milestones!$AA$56)&lt;=AsOfDate,EDATE($D34,Milestones!$AA$56)&gt;=SchemeStart,IF($X34=0,$AD34,IF(AND($Z34&lt;&gt;"",EDATE($D34,Milestones!$AA$56)&gt;=$Z34),$AC34,IF(AND($Y34&lt;&gt;"",EDATE($D34,Milestones!$AA$56)&gt;=$Y34),$AB34,$AA34)))=Milestones!$AB$56),UPPER(TEXT(EDATE($D34,Milestones!$AA$56),"dd mmm yy"))&amp;" "&amp;Milestones!$AB$56&amp;" "&amp;IF(AND(Milestones!$AB$56="FT",Milestones!$AA$56=FT_Y5,EDATE($D34,Milestones!$AA$56)&lt;PolicyEff),1,Milestones!$AC$56)&amp;";  ","")&amp;IF(AND(EDATE($D34,Milestones!$AA$57)&lt;=AsOfDate,EDATE($D34,Milestones!$AA$57)&gt;=SchemeStart,IF($X34=0,$AD34,IF(AND($Z34&lt;&gt;"",EDATE($D34,Milestones!$AA$57)&gt;=$Z34),$AC34,IF(AND($Y34&lt;&gt;"",EDATE($D34,Milestones!$AA$57)&gt;=$Y34),$AB34,$AA34)))=Milestones!$AB$57),UPPER(TEXT(EDATE($D34,Milestones!$AA$57),"dd mmm yy"))&amp;" "&amp;Milestones!$AB$57&amp;" "&amp;IF(AND(Milestones!$AB$57="FT",Milestones!$AA$57=FT_Y5,EDATE($D34,Milestones!$AA$57)&lt;PolicyEff),1,Milestones!$AC$57)&amp;";  ","")&amp;IF(AND(EDATE($D34,Milestones!$AA$58)&lt;=AsOfDate,EDATE($D34,Milestones!$AA$58)&gt;=SchemeStart,IF($X34=0,$AD34,IF(AND($Z34&lt;&gt;"",EDATE($D34,Milestones!$AA$58)&gt;=$Z34),$AC34,IF(AND($Y34&lt;&gt;"",EDATE($D34,Milestones!$AA$58)&gt;=$Y34),$AB34,$AA34)))=Milestones!$AB$58),UPPER(TEXT(EDATE($D34,Milestones!$AA$58),"dd mmm yy"))&amp;" "&amp;Milestones!$AB$58&amp;" "&amp;IF(AND(Milestones!$AB$58="FT",Milestones!$AA$58=FT_Y5,EDATE($D34,Milestones!$AA$58)&lt;PolicyEff),1,Milestones!$AC$58)&amp;";  ","")&amp;IF(AND(EDATE($D34,Milestones!$AA$59)&lt;=AsOfDate,EDATE($D34,Milestones!$AA$59)&gt;=SchemeStart,IF($X34=0,$AD34,IF(AND($Z34&lt;&gt;"",EDATE($D34,Milestones!$AA$59)&gt;=$Z34),$AC34,IF(AND($Y34&lt;&gt;"",EDATE($D34,Milestones!$AA$59)&gt;=$Y34),$AB34,$AA34)))=Milestones!$AB$59),UPPER(TEXT(EDATE($D34,Milestones!$AA$59),"dd mmm yy"))&amp;" "&amp;Milestones!$AB$59&amp;" "&amp;IF(AND(Milestones!$AB$59="FT",Milestones!$AA$59=FT_Y5,EDATE($D34,Milestones!$AA$59)&lt;PolicyEff),1,Milestones!$AC$59)&amp;";  ","")&amp;IF(AND(EDATE($D34,Milestones!$AA$60)&lt;=AsOfDate,EDATE($D34,Milestones!$AA$60)&gt;=SchemeStart,IF($X34=0,$AD34,IF(AND($Z34&lt;&gt;"",EDATE($D34,Milestones!$AA$60)&gt;=$Z34),$AC34,IF(AND($Y34&lt;&gt;"",EDATE($D34,Milestones!$AA$60)&gt;=$Y34),$AB34,$AA34)))=Milestones!$AB$60),UPPER(TEXT(EDATE($D34,Milestones!$AA$60),"dd mmm yy"))&amp;" "&amp;Milestones!$AB$60&amp;" "&amp;IF(AND(Milestones!$AB$60="FT",Milestones!$AA$60=FT_Y5,EDATE($D34,Milestones!$AA$60)&lt;PolicyEff),1,Milestones!$AC$60)&amp;";  ","")&amp;IF(AND(EDATE($D34,Milestones!$AA$61)&lt;=AsOfDate,EDATE($D34,Milestones!$AA$61)&gt;=SchemeStart,IF($X34=0,$AD34,IF(AND($Z34&lt;&gt;"",EDATE($D34,Milestones!$AA$61)&gt;=$Z34),$AC34,IF(AND($Y34&lt;&gt;"",EDATE($D34,Milestones!$AA$61)&gt;=$Y34),$AB34,$AA34)))=Milestones!$AB$61),UPPER(TEXT(EDATE($D34,Milestones!$AA$61),"dd mmm yy"))&amp;" "&amp;Milestones!$AB$61&amp;" "&amp;IF(AND(Milestones!$AB$61="FT",Milestones!$AA$61=FT_Y5,EDATE($D34,Milestones!$AA$61)&lt;PolicyEff),1,Milestones!$AC$61)&amp;";  ","")&amp;IF(AND(EDATE($D34,Milestones!$AA$62)&lt;=AsOfDate,EDATE($D34,Milestones!$AA$62)&gt;=SchemeStart,IF($X34=0,$AD34,IF(AND($Z34&lt;&gt;"",EDATE($D34,Milestones!$AA$62)&gt;=$Z34),$AC34,IF(AND($Y34&lt;&gt;"",EDATE($D34,Milestones!$AA$62)&gt;=$Y34),$AB34,$AA34)))=Milestones!$AB$62),UPPER(TEXT(EDATE($D34,Milestones!$AA$62),"dd mmm yy"))&amp;" "&amp;Milestones!$AB$62&amp;" "&amp;IF(AND(Milestones!$AB$62="FT",Milestones!$AA$62=FT_Y5,EDATE($D34,Milestones!$AA$62)&lt;PolicyEff),1,Milestones!$AC$62)&amp;";  ","")&amp;IF(AND(EDATE($D34,Milestones!$AA$63)&lt;=AsOfDate,EDATE($D34,Milestones!$AA$63)&gt;=SchemeStart,IF($X34=0,$AD34,IF(AND($Z34&lt;&gt;"",EDATE($D34,Milestones!$AA$63)&gt;=$Z34),$AC34,IF(AND($Y34&lt;&gt;"",EDATE($D34,Milestones!$AA$63)&gt;=$Y34),$AB34,$AA34)))=Milestones!$AB$63),UPPER(TEXT(EDATE($D34,Milestones!$AA$63),"dd mmm yy"))&amp;" "&amp;Milestones!$AB$63&amp;" "&amp;IF(AND(Milestones!$AB$63="FT",Milestones!$AA$63=FT_Y5,EDATE($D34,Milestones!$AA$63)&lt;PolicyEff),1,Milestones!$AC$63)&amp;";  ","")&amp;IF(AND(EDATE($D34,Milestones!$AA$64)&lt;=AsOfDate,EDATE($D34,Milestones!$AA$64)&gt;=SchemeStart,IF($X34=0,$AD34,IF(AND($Z34&lt;&gt;"",EDATE($D34,Milestones!$AA$64)&gt;=$Z34),$AC34,IF(AND($Y34&lt;&gt;"",EDATE($D34,Milestones!$AA$64)&gt;=$Y34),$AB34,$AA34)))=Milestones!$AB$64),UPPER(TEXT(EDATE($D34,Milestones!$AA$64),"dd mmm yy"))&amp;" "&amp;Milestones!$AB$64&amp;" "&amp;IF(AND(Milestones!$AB$64="FT",Milestones!$AA$64=FT_Y5,EDATE($D34,Milestones!$AA$64)&lt;PolicyEff),1,Milestones!$AC$64)&amp;";  ","")&amp;IF(AND(EDATE($D34,Milestones!$AA$65)&lt;=AsOfDate,EDATE($D34,Milestones!$AA$65)&gt;=SchemeStart,IF($X34=0,$AD34,IF(AND($Z34&lt;&gt;"",EDATE($D34,Milestones!$AA$65)&gt;=$Z34),$AC34,IF(AND($Y34&lt;&gt;"",EDATE($D34,Milestones!$AA$65)&gt;=$Y34),$AB34,$AA34)))=Milestones!$AB$65),UPPER(TEXT(EDATE($D34,Milestones!$AA$65),"dd mmm yy"))&amp;" "&amp;Milestones!$AB$65&amp;" "&amp;IF(AND(Milestones!$AB$65="FT",Milestones!$AA$65=FT_Y5,EDATE($D34,Milestones!$AA$65)&lt;PolicyEff),1,Milestones!$AC$65)&amp;";  ","")&amp;IF(AND(EDATE($D34,Milestones!$AA$66)&lt;=AsOfDate,EDATE($D34,Milestones!$AA$66)&gt;=SchemeStart,IF($X34=0,$AD34,IF(AND($Z34&lt;&gt;"",EDATE($D34,Milestones!$AA$66)&gt;=$Z34),$AC34,IF(AND($Y34&lt;&gt;"",EDATE($D34,Milestones!$AA$66)&gt;=$Y34),$AB34,$AA34)))=Milestones!$AB$66),UPPER(TEXT(EDATE($D34,Milestones!$AA$66),"dd mmm yy"))&amp;" "&amp;Milestones!$AB$66&amp;" "&amp;IF(AND(Milestones!$AB$66="FT",Milestones!$AA$66=FT_Y5,EDATE($D34,Milestones!$AA$66)&lt;PolicyEff),1,Milestones!$AC$66)&amp;";  ","")&amp;IF(AND(EDATE($D34,Milestones!$AA$67)&lt;=AsOfDate,EDATE($D34,Milestones!$AA$67)&gt;=SchemeStart,IF($X34=0,$AD34,IF(AND($Z34&lt;&gt;"",EDATE($D34,Milestones!$AA$67)&gt;=$Z34),$AC34,IF(AND($Y34&lt;&gt;"",EDATE($D34,Milestones!$AA$67)&gt;=$Y34),$AB34,$AA34)))=Milestones!$AB$67),UPPER(TEXT(EDATE($D34,Milestones!$AA$67),"dd mmm yy"))&amp;" "&amp;Milestones!$AB$67&amp;" "&amp;IF(AND(Milestones!$AB$67="FT",Milestones!$AA$67=FT_Y5,EDATE($D34,Milestones!$AA$67)&lt;PolicyEff),1,Milestones!$AC$67)&amp;";  ",""))</f>
        <v/>
      </c>
      <c r="M34" s="0" t="str">
        <f aca="false">IF(OR($A34="",$D34=""),"",IF(AND(EDATE($D34,Milestones!$AA$68)&lt;=AsOfDate,EDATE($D34,Milestones!$AA$68)&gt;=SchemeStart,IF($X34=0,$AD34,IF(AND($Z34&lt;&gt;"",EDATE($D34,Milestones!$AA$68)&gt;=$Z34),$AC34,IF(AND($Y34&lt;&gt;"",EDATE($D34,Milestones!$AA$68)&gt;=$Y34),$AB34,$AA34)))=Milestones!$AB$68),UPPER(TEXT(EDATE($D34,Milestones!$AA$68),"dd mmm yy"))&amp;" "&amp;Milestones!$AB$68&amp;" "&amp;IF(AND(Milestones!$AB$68="FT",Milestones!$AA$68=FT_Y5,EDATE($D34,Milestones!$AA$68)&lt;PolicyEff),1,Milestones!$AC$68)&amp;";  ","")&amp;IF(AND(EDATE($D34,Milestones!$AA$69)&lt;=AsOfDate,EDATE($D34,Milestones!$AA$69)&gt;=SchemeStart,IF($X34=0,$AD34,IF(AND($Z34&lt;&gt;"",EDATE($D34,Milestones!$AA$69)&gt;=$Z34),$AC34,IF(AND($Y34&lt;&gt;"",EDATE($D34,Milestones!$AA$69)&gt;=$Y34),$AB34,$AA34)))=Milestones!$AB$69),UPPER(TEXT(EDATE($D34,Milestones!$AA$69),"dd mmm yy"))&amp;" "&amp;Milestones!$AB$69&amp;" "&amp;IF(AND(Milestones!$AB$69="FT",Milestones!$AA$69=FT_Y5,EDATE($D34,Milestones!$AA$69)&lt;PolicyEff),1,Milestones!$AC$69)&amp;";  ","")&amp;IF(AND(EDATE($D34,Milestones!$AA$70)&lt;=AsOfDate,EDATE($D34,Milestones!$AA$70)&gt;=SchemeStart,IF($X34=0,$AD34,IF(AND($Z34&lt;&gt;"",EDATE($D34,Milestones!$AA$70)&gt;=$Z34),$AC34,IF(AND($Y34&lt;&gt;"",EDATE($D34,Milestones!$AA$70)&gt;=$Y34),$AB34,$AA34)))=Milestones!$AB$70),UPPER(TEXT(EDATE($D34,Milestones!$AA$70),"dd mmm yy"))&amp;" "&amp;Milestones!$AB$70&amp;" "&amp;IF(AND(Milestones!$AB$70="FT",Milestones!$AA$70=FT_Y5,EDATE($D34,Milestones!$AA$70)&lt;PolicyEff),1,Milestones!$AC$70)&amp;";  ","")&amp;IF(AND(EDATE($D34,Milestones!$AA$71)&lt;=AsOfDate,EDATE($D34,Milestones!$AA$71)&gt;=SchemeStart,IF($X34=0,$AD34,IF(AND($Z34&lt;&gt;"",EDATE($D34,Milestones!$AA$71)&gt;=$Z34),$AC34,IF(AND($Y34&lt;&gt;"",EDATE($D34,Milestones!$AA$71)&gt;=$Y34),$AB34,$AA34)))=Milestones!$AB$71),UPPER(TEXT(EDATE($D34,Milestones!$AA$71),"dd mmm yy"))&amp;" "&amp;Milestones!$AB$71&amp;" "&amp;IF(AND(Milestones!$AB$71="FT",Milestones!$AA$71=FT_Y5,EDATE($D34,Milestones!$AA$71)&lt;PolicyEff),1,Milestones!$AC$71)&amp;";  ","")&amp;IF(AND(EDATE($D34,Milestones!$AA$72)&lt;=AsOfDate,EDATE($D34,Milestones!$AA$72)&gt;=SchemeStart,IF($X34=0,$AD34,IF(AND($Z34&lt;&gt;"",EDATE($D34,Milestones!$AA$72)&gt;=$Z34),$AC34,IF(AND($Y34&lt;&gt;"",EDATE($D34,Milestones!$AA$72)&gt;=$Y34),$AB34,$AA34)))=Milestones!$AB$72),UPPER(TEXT(EDATE($D34,Milestones!$AA$72),"dd mmm yy"))&amp;" "&amp;Milestones!$AB$72&amp;" "&amp;IF(AND(Milestones!$AB$72="FT",Milestones!$AA$72=FT_Y5,EDATE($D34,Milestones!$AA$72)&lt;PolicyEff),1,Milestones!$AC$72)&amp;";  ","")&amp;IF(AND(EDATE($D34,Milestones!$AA$73)&lt;=AsOfDate,EDATE($D34,Milestones!$AA$73)&gt;=SchemeStart,IF($X34=0,$AD34,IF(AND($Z34&lt;&gt;"",EDATE($D34,Milestones!$AA$73)&gt;=$Z34),$AC34,IF(AND($Y34&lt;&gt;"",EDATE($D34,Milestones!$AA$73)&gt;=$Y34),$AB34,$AA34)))=Milestones!$AB$73),UPPER(TEXT(EDATE($D34,Milestones!$AA$73),"dd mmm yy"))&amp;" "&amp;Milestones!$AB$73&amp;" "&amp;IF(AND(Milestones!$AB$73="FT",Milestones!$AA$73=FT_Y5,EDATE($D34,Milestones!$AA$73)&lt;PolicyEff),1,Milestones!$AC$73)&amp;";  ","")&amp;IF(AND(EDATE($D34,Milestones!$AA$74)&lt;=AsOfDate,EDATE($D34,Milestones!$AA$74)&gt;=SchemeStart,IF($X34=0,$AD34,IF(AND($Z34&lt;&gt;"",EDATE($D34,Milestones!$AA$74)&gt;=$Z34),$AC34,IF(AND($Y34&lt;&gt;"",EDATE($D34,Milestones!$AA$74)&gt;=$Y34),$AB34,$AA34)))=Milestones!$AB$74),UPPER(TEXT(EDATE($D34,Milestones!$AA$74),"dd mmm yy"))&amp;" "&amp;Milestones!$AB$74&amp;" "&amp;IF(AND(Milestones!$AB$74="FT",Milestones!$AA$74=FT_Y5,EDATE($D34,Milestones!$AA$74)&lt;PolicyEff),1,Milestones!$AC$74)&amp;";  ","")&amp;IF(AND(EDATE($D34,Milestones!$AA$75)&lt;=AsOfDate,EDATE($D34,Milestones!$AA$75)&gt;=SchemeStart,IF($X34=0,$AD34,IF(AND($Z34&lt;&gt;"",EDATE($D34,Milestones!$AA$75)&gt;=$Z34),$AC34,IF(AND($Y34&lt;&gt;"",EDATE($D34,Milestones!$AA$75)&gt;=$Y34),$AB34,$AA34)))=Milestones!$AB$75),UPPER(TEXT(EDATE($D34,Milestones!$AA$75),"dd mmm yy"))&amp;" "&amp;Milestones!$AB$75&amp;" "&amp;IF(AND(Milestones!$AB$75="FT",Milestones!$AA$75=FT_Y5,EDATE($D34,Milestones!$AA$75)&lt;PolicyEff),1,Milestones!$AC$75)&amp;";  ","")&amp;IF(AND(EDATE($D34,Milestones!$AA$76)&lt;=AsOfDate,EDATE($D34,Milestones!$AA$76)&gt;=SchemeStart,IF($X34=0,$AD34,IF(AND($Z34&lt;&gt;"",EDATE($D34,Milestones!$AA$76)&gt;=$Z34),$AC34,IF(AND($Y34&lt;&gt;"",EDATE($D34,Milestones!$AA$76)&gt;=$Y34),$AB34,$AA34)))=Milestones!$AB$76),UPPER(TEXT(EDATE($D34,Milestones!$AA$76),"dd mmm yy"))&amp;" "&amp;Milestones!$AB$76&amp;" "&amp;IF(AND(Milestones!$AB$76="FT",Milestones!$AA$76=FT_Y5,EDATE($D34,Milestones!$AA$76)&lt;PolicyEff),1,Milestones!$AC$76)&amp;";  ","")&amp;IF(AND(EDATE($D34,Milestones!$AA$77)&lt;=AsOfDate,EDATE($D34,Milestones!$AA$77)&gt;=SchemeStart,IF($X34=0,$AD34,IF(AND($Z34&lt;&gt;"",EDATE($D34,Milestones!$AA$77)&gt;=$Z34),$AC34,IF(AND($Y34&lt;&gt;"",EDATE($D34,Milestones!$AA$77)&gt;=$Y34),$AB34,$AA34)))=Milestones!$AB$77),UPPER(TEXT(EDATE($D34,Milestones!$AA$77),"dd mmm yy"))&amp;" "&amp;Milestones!$AB$77&amp;" "&amp;IF(AND(Milestones!$AB$77="FT",Milestones!$AA$77=FT_Y5,EDATE($D34,Milestones!$AA$77)&lt;PolicyEff),1,Milestones!$AC$77)&amp;";  ","")&amp;IF(AND(EDATE($D34,Milestones!$AA$78)&lt;=AsOfDate,EDATE($D34,Milestones!$AA$78)&gt;=SchemeStart,IF($X34=0,$AD34,IF(AND($Z34&lt;&gt;"",EDATE($D34,Milestones!$AA$78)&gt;=$Z34),$AC34,IF(AND($Y34&lt;&gt;"",EDATE($D34,Milestones!$AA$78)&gt;=$Y34),$AB34,$AA34)))=Milestones!$AB$78),UPPER(TEXT(EDATE($D34,Milestones!$AA$78),"dd mmm yy"))&amp;" "&amp;Milestones!$AB$78&amp;" "&amp;IF(AND(Milestones!$AB$78="FT",Milestones!$AA$78=FT_Y5,EDATE($D34,Milestones!$AA$78)&lt;PolicyEff),1,Milestones!$AC$78)&amp;";  ","")&amp;IF(AND(EDATE($D34,Milestones!$AA$79)&lt;=AsOfDate,EDATE($D34,Milestones!$AA$79)&gt;=SchemeStart,IF($X34=0,$AD34,IF(AND($Z34&lt;&gt;"",EDATE($D34,Milestones!$AA$79)&gt;=$Z34),$AC34,IF(AND($Y34&lt;&gt;"",EDATE($D34,Milestones!$AA$79)&gt;=$Y34),$AB34,$AA34)))=Milestones!$AB$79),UPPER(TEXT(EDATE($D34,Milestones!$AA$79),"dd mmm yy"))&amp;" "&amp;Milestones!$AB$79&amp;" "&amp;IF(AND(Milestones!$AB$79="FT",Milestones!$AA$79=FT_Y5,EDATE($D34,Milestones!$AA$79)&lt;PolicyEff),1,Milestones!$AC$79)&amp;";  ",""))</f>
        <v/>
      </c>
      <c r="N34" s="0" t="str">
        <f aca="false">IF(OR($A34="",$D34=""),"",IF(AND(EDATE($D34,Milestones!$AA$80)&lt;=AsOfDate,EDATE($D34,Milestones!$AA$80)&gt;=SchemeStart,IF($X34=0,$AD34,IF(AND($Z34&lt;&gt;"",EDATE($D34,Milestones!$AA$80)&gt;=$Z34),$AC34,IF(AND($Y34&lt;&gt;"",EDATE($D34,Milestones!$AA$80)&gt;=$Y34),$AB34,$AA34)))=Milestones!$AB$80),UPPER(TEXT(EDATE($D34,Milestones!$AA$80),"dd mmm yy"))&amp;" "&amp;Milestones!$AB$80&amp;" "&amp;IF(AND(Milestones!$AB$80="FT",Milestones!$AA$80=FT_Y5,EDATE($D34,Milestones!$AA$80)&lt;PolicyEff),1,Milestones!$AC$80)&amp;";  ","")&amp;IF(AND(EDATE($D34,Milestones!$AA$81)&lt;=AsOfDate,EDATE($D34,Milestones!$AA$81)&gt;=SchemeStart,IF($X34=0,$AD34,IF(AND($Z34&lt;&gt;"",EDATE($D34,Milestones!$AA$81)&gt;=$Z34),$AC34,IF(AND($Y34&lt;&gt;"",EDATE($D34,Milestones!$AA$81)&gt;=$Y34),$AB34,$AA34)))=Milestones!$AB$81),UPPER(TEXT(EDATE($D34,Milestones!$AA$81),"dd mmm yy"))&amp;" "&amp;Milestones!$AB$81&amp;" "&amp;IF(AND(Milestones!$AB$81="FT",Milestones!$AA$81=FT_Y5,EDATE($D34,Milestones!$AA$81)&lt;PolicyEff),1,Milestones!$AC$81)&amp;";  ","")&amp;IF(AND(EDATE($D34,Milestones!$AA$82)&lt;=AsOfDate,EDATE($D34,Milestones!$AA$82)&gt;=SchemeStart,IF($X34=0,$AD34,IF(AND($Z34&lt;&gt;"",EDATE($D34,Milestones!$AA$82)&gt;=$Z34),$AC34,IF(AND($Y34&lt;&gt;"",EDATE($D34,Milestones!$AA$82)&gt;=$Y34),$AB34,$AA34)))=Milestones!$AB$82),UPPER(TEXT(EDATE($D34,Milestones!$AA$82),"dd mmm yy"))&amp;" "&amp;Milestones!$AB$82&amp;" "&amp;IF(AND(Milestones!$AB$82="FT",Milestones!$AA$82=FT_Y5,EDATE($D34,Milestones!$AA$82)&lt;PolicyEff),1,Milestones!$AC$82)&amp;";  ","")&amp;IF(AND(EDATE($D34,Milestones!$AA$83)&lt;=AsOfDate,EDATE($D34,Milestones!$AA$83)&gt;=SchemeStart,IF($X34=0,$AD34,IF(AND($Z34&lt;&gt;"",EDATE($D34,Milestones!$AA$83)&gt;=$Z34),$AC34,IF(AND($Y34&lt;&gt;"",EDATE($D34,Milestones!$AA$83)&gt;=$Y34),$AB34,$AA34)))=Milestones!$AB$83),UPPER(TEXT(EDATE($D34,Milestones!$AA$83),"dd mmm yy"))&amp;" "&amp;Milestones!$AB$83&amp;" "&amp;IF(AND(Milestones!$AB$83="FT",Milestones!$AA$83=FT_Y5,EDATE($D34,Milestones!$AA$83)&lt;PolicyEff),1,Milestones!$AC$83)&amp;";  ","")&amp;IF(AND(EDATE($D34,Milestones!$AA$84)&lt;=AsOfDate,EDATE($D34,Milestones!$AA$84)&gt;=SchemeStart,IF($X34=0,$AD34,IF(AND($Z34&lt;&gt;"",EDATE($D34,Milestones!$AA$84)&gt;=$Z34),$AC34,IF(AND($Y34&lt;&gt;"",EDATE($D34,Milestones!$AA$84)&gt;=$Y34),$AB34,$AA34)))=Milestones!$AB$84),UPPER(TEXT(EDATE($D34,Milestones!$AA$84),"dd mmm yy"))&amp;" "&amp;Milestones!$AB$84&amp;" "&amp;IF(AND(Milestones!$AB$84="FT",Milestones!$AA$84=FT_Y5,EDATE($D34,Milestones!$AA$84)&lt;PolicyEff),1,Milestones!$AC$84)&amp;";  ","")&amp;IF(AND(EDATE($D34,Milestones!$AA$85)&lt;=AsOfDate,EDATE($D34,Milestones!$AA$85)&gt;=SchemeStart,IF($X34=0,$AD34,IF(AND($Z34&lt;&gt;"",EDATE($D34,Milestones!$AA$85)&gt;=$Z34),$AC34,IF(AND($Y34&lt;&gt;"",EDATE($D34,Milestones!$AA$85)&gt;=$Y34),$AB34,$AA34)))=Milestones!$AB$85),UPPER(TEXT(EDATE($D34,Milestones!$AA$85),"dd mmm yy"))&amp;" "&amp;Milestones!$AB$85&amp;" "&amp;IF(AND(Milestones!$AB$85="FT",Milestones!$AA$85=FT_Y5,EDATE($D34,Milestones!$AA$85)&lt;PolicyEff),1,Milestones!$AC$85)&amp;";  ","")&amp;IF(AND(EDATE($D34,Milestones!$AA$86)&lt;=AsOfDate,EDATE($D34,Milestones!$AA$86)&gt;=SchemeStart,IF($X34=0,$AD34,IF(AND($Z34&lt;&gt;"",EDATE($D34,Milestones!$AA$86)&gt;=$Z34),$AC34,IF(AND($Y34&lt;&gt;"",EDATE($D34,Milestones!$AA$86)&gt;=$Y34),$AB34,$AA34)))=Milestones!$AB$86),UPPER(TEXT(EDATE($D34,Milestones!$AA$86),"dd mmm yy"))&amp;" "&amp;Milestones!$AB$86&amp;" "&amp;IF(AND(Milestones!$AB$86="FT",Milestones!$AA$86=FT_Y5,EDATE($D34,Milestones!$AA$86)&lt;PolicyEff),1,Milestones!$AC$86)&amp;";  ","")&amp;IF(AND(EDATE($D34,Milestones!$AA$87)&lt;=AsOfDate,EDATE($D34,Milestones!$AA$87)&gt;=SchemeStart,IF($X34=0,$AD34,IF(AND($Z34&lt;&gt;"",EDATE($D34,Milestones!$AA$87)&gt;=$Z34),$AC34,IF(AND($Y34&lt;&gt;"",EDATE($D34,Milestones!$AA$87)&gt;=$Y34),$AB34,$AA34)))=Milestones!$AB$87),UPPER(TEXT(EDATE($D34,Milestones!$AA$87),"dd mmm yy"))&amp;" "&amp;Milestones!$AB$87&amp;" "&amp;IF(AND(Milestones!$AB$87="FT",Milestones!$AA$87=FT_Y5,EDATE($D34,Milestones!$AA$87)&lt;PolicyEff),1,Milestones!$AC$87)&amp;";  ","")&amp;IF(AND(EDATE($D34,Milestones!$AA$88)&lt;=AsOfDate,EDATE($D34,Milestones!$AA$88)&gt;=SchemeStart,IF($X34=0,$AD34,IF(AND($Z34&lt;&gt;"",EDATE($D34,Milestones!$AA$88)&gt;=$Z34),$AC34,IF(AND($Y34&lt;&gt;"",EDATE($D34,Milestones!$AA$88)&gt;=$Y34),$AB34,$AA34)))=Milestones!$AB$88),UPPER(TEXT(EDATE($D34,Milestones!$AA$88),"dd mmm yy"))&amp;" "&amp;Milestones!$AB$88&amp;" "&amp;IF(AND(Milestones!$AB$88="FT",Milestones!$AA$88=FT_Y5,EDATE($D34,Milestones!$AA$88)&lt;PolicyEff),1,Milestones!$AC$88)&amp;";  ","")&amp;IF(AND(EDATE($D34,Milestones!$AA$89)&lt;=AsOfDate,EDATE($D34,Milestones!$AA$89)&gt;=SchemeStart,IF($X34=0,$AD34,IF(AND($Z34&lt;&gt;"",EDATE($D34,Milestones!$AA$89)&gt;=$Z34),$AC34,IF(AND($Y34&lt;&gt;"",EDATE($D34,Milestones!$AA$89)&gt;=$Y34),$AB34,$AA34)))=Milestones!$AB$89),UPPER(TEXT(EDATE($D34,Milestones!$AA$89),"dd mmm yy"))&amp;" "&amp;Milestones!$AB$89&amp;" "&amp;IF(AND(Milestones!$AB$89="FT",Milestones!$AA$89=FT_Y5,EDATE($D34,Milestones!$AA$89)&lt;PolicyEff),1,Milestones!$AC$89)&amp;";  ","")&amp;IF(AND(EDATE($D34,Milestones!$AA$90)&lt;=AsOfDate,EDATE($D34,Milestones!$AA$90)&gt;=SchemeStart,IF($X34=0,$AD34,IF(AND($Z34&lt;&gt;"",EDATE($D34,Milestones!$AA$90)&gt;=$Z34),$AC34,IF(AND($Y34&lt;&gt;"",EDATE($D34,Milestones!$AA$90)&gt;=$Y34),$AB34,$AA34)))=Milestones!$AB$90),UPPER(TEXT(EDATE($D34,Milestones!$AA$90),"dd mmm yy"))&amp;" "&amp;Milestones!$AB$90&amp;" "&amp;IF(AND(Milestones!$AB$90="FT",Milestones!$AA$90=FT_Y5,EDATE($D34,Milestones!$AA$90)&lt;PolicyEff),1,Milestones!$AC$90)&amp;";  ","")&amp;IF(AND(EDATE($D34,Milestones!$AA$91)&lt;=AsOfDate,EDATE($D34,Milestones!$AA$91)&gt;=SchemeStart,IF($X34=0,$AD34,IF(AND($Z34&lt;&gt;"",EDATE($D34,Milestones!$AA$91)&gt;=$Z34),$AC34,IF(AND($Y34&lt;&gt;"",EDATE($D34,Milestones!$AA$91)&gt;=$Y34),$AB34,$AA34)))=Milestones!$AB$91),UPPER(TEXT(EDATE($D34,Milestones!$AA$91),"dd mmm yy"))&amp;" "&amp;Milestones!$AB$91&amp;" "&amp;IF(AND(Milestones!$AB$91="FT",Milestones!$AA$91=FT_Y5,EDATE($D34,Milestones!$AA$91)&lt;PolicyEff),1,Milestones!$AC$91)&amp;";  ",""))</f>
        <v/>
      </c>
      <c r="O34" s="0" t="str">
        <f aca="false">IF(OR($A34="",$D34=""),"",IF(AND(EDATE($D34,Milestones!$AA$92)&lt;=AsOfDate,EDATE($D34,Milestones!$AA$92)&gt;=SchemeStart,IF($X34=0,$AD34,IF(AND($Z34&lt;&gt;"",EDATE($D34,Milestones!$AA$92)&gt;=$Z34),$AC34,IF(AND($Y34&lt;&gt;"",EDATE($D34,Milestones!$AA$92)&gt;=$Y34),$AB34,$AA34)))=Milestones!$AB$92),UPPER(TEXT(EDATE($D34,Milestones!$AA$92),"dd mmm yy"))&amp;" "&amp;Milestones!$AB$92&amp;" "&amp;IF(AND(Milestones!$AB$92="FT",Milestones!$AA$92=FT_Y5,EDATE($D34,Milestones!$AA$92)&lt;PolicyEff),1,Milestones!$AC$92)&amp;";  ","")&amp;IF(AND(EDATE($D34,Milestones!$AA$93)&lt;=AsOfDate,EDATE($D34,Milestones!$AA$93)&gt;=SchemeStart,IF($X34=0,$AD34,IF(AND($Z34&lt;&gt;"",EDATE($D34,Milestones!$AA$93)&gt;=$Z34),$AC34,IF(AND($Y34&lt;&gt;"",EDATE($D34,Milestones!$AA$93)&gt;=$Y34),$AB34,$AA34)))=Milestones!$AB$93),UPPER(TEXT(EDATE($D34,Milestones!$AA$93),"dd mmm yy"))&amp;" "&amp;Milestones!$AB$93&amp;" "&amp;IF(AND(Milestones!$AB$93="FT",Milestones!$AA$93=FT_Y5,EDATE($D34,Milestones!$AA$93)&lt;PolicyEff),1,Milestones!$AC$93)&amp;";  ","")&amp;IF(AND(EDATE($D34,Milestones!$AA$94)&lt;=AsOfDate,EDATE($D34,Milestones!$AA$94)&gt;=SchemeStart,IF($X34=0,$AD34,IF(AND($Z34&lt;&gt;"",EDATE($D34,Milestones!$AA$94)&gt;=$Z34),$AC34,IF(AND($Y34&lt;&gt;"",EDATE($D34,Milestones!$AA$94)&gt;=$Y34),$AB34,$AA34)))=Milestones!$AB$94),UPPER(TEXT(EDATE($D34,Milestones!$AA$94),"dd mmm yy"))&amp;" "&amp;Milestones!$AB$94&amp;" "&amp;IF(AND(Milestones!$AB$94="FT",Milestones!$AA$94=FT_Y5,EDATE($D34,Milestones!$AA$94)&lt;PolicyEff),1,Milestones!$AC$94)&amp;";  ","")&amp;IF(AND(EDATE($D34,Milestones!$AA$95)&lt;=AsOfDate,EDATE($D34,Milestones!$AA$95)&gt;=SchemeStart,IF($X34=0,$AD34,IF(AND($Z34&lt;&gt;"",EDATE($D34,Milestones!$AA$95)&gt;=$Z34),$AC34,IF(AND($Y34&lt;&gt;"",EDATE($D34,Milestones!$AA$95)&gt;=$Y34),$AB34,$AA34)))=Milestones!$AB$95),UPPER(TEXT(EDATE($D34,Milestones!$AA$95),"dd mmm yy"))&amp;" "&amp;Milestones!$AB$95&amp;" "&amp;IF(AND(Milestones!$AB$95="FT",Milestones!$AA$95=FT_Y5,EDATE($D34,Milestones!$AA$95)&lt;PolicyEff),1,Milestones!$AC$95)&amp;";  ","")&amp;IF(AND(EDATE($D34,Milestones!$AA$96)&lt;=AsOfDate,EDATE($D34,Milestones!$AA$96)&gt;=SchemeStart,IF($X34=0,$AD34,IF(AND($Z34&lt;&gt;"",EDATE($D34,Milestones!$AA$96)&gt;=$Z34),$AC34,IF(AND($Y34&lt;&gt;"",EDATE($D34,Milestones!$AA$96)&gt;=$Y34),$AB34,$AA34)))=Milestones!$AB$96),UPPER(TEXT(EDATE($D34,Milestones!$AA$96),"dd mmm yy"))&amp;" "&amp;Milestones!$AB$96&amp;" "&amp;IF(AND(Milestones!$AB$96="FT",Milestones!$AA$96=FT_Y5,EDATE($D34,Milestones!$AA$96)&lt;PolicyEff),1,Milestones!$AC$96)&amp;";  ","")&amp;IF(AND(EDATE($D34,Milestones!$AA$97)&lt;=AsOfDate,EDATE($D34,Milestones!$AA$97)&gt;=SchemeStart,IF($X34=0,$AD34,IF(AND($Z34&lt;&gt;"",EDATE($D34,Milestones!$AA$97)&gt;=$Z34),$AC34,IF(AND($Y34&lt;&gt;"",EDATE($D34,Milestones!$AA$97)&gt;=$Y34),$AB34,$AA34)))=Milestones!$AB$97),UPPER(TEXT(EDATE($D34,Milestones!$AA$97),"dd mmm yy"))&amp;" "&amp;Milestones!$AB$97&amp;" "&amp;IF(AND(Milestones!$AB$97="FT",Milestones!$AA$97=FT_Y5,EDATE($D34,Milestones!$AA$97)&lt;PolicyEff),1,Milestones!$AC$97)&amp;";  ","")&amp;IF(AND(EDATE($D34,Milestones!$AA$98)&lt;=AsOfDate,EDATE($D34,Milestones!$AA$98)&gt;=SchemeStart,IF($X34=0,$AD34,IF(AND($Z34&lt;&gt;"",EDATE($D34,Milestones!$AA$98)&gt;=$Z34),$AC34,IF(AND($Y34&lt;&gt;"",EDATE($D34,Milestones!$AA$98)&gt;=$Y34),$AB34,$AA34)))=Milestones!$AB$98),UPPER(TEXT(EDATE($D34,Milestones!$AA$98),"dd mmm yy"))&amp;" "&amp;Milestones!$AB$98&amp;" "&amp;IF(AND(Milestones!$AB$98="FT",Milestones!$AA$98=FT_Y5,EDATE($D34,Milestones!$AA$98)&lt;PolicyEff),1,Milestones!$AC$98)&amp;";  ","")&amp;IF(AND(EDATE($D34,Milestones!$AA$99)&lt;=AsOfDate,EDATE($D34,Milestones!$AA$99)&gt;=SchemeStart,IF($X34=0,$AD34,IF(AND($Z34&lt;&gt;"",EDATE($D34,Milestones!$AA$99)&gt;=$Z34),$AC34,IF(AND($Y34&lt;&gt;"",EDATE($D34,Milestones!$AA$99)&gt;=$Y34),$AB34,$AA34)))=Milestones!$AB$99),UPPER(TEXT(EDATE($D34,Milestones!$AA$99),"dd mmm yy"))&amp;" "&amp;Milestones!$AB$99&amp;" "&amp;IF(AND(Milestones!$AB$99="FT",Milestones!$AA$99=FT_Y5,EDATE($D34,Milestones!$AA$99)&lt;PolicyEff),1,Milestones!$AC$99)&amp;";  ","")&amp;IF(AND(EDATE($D34,Milestones!$AA$100)&lt;=AsOfDate,EDATE($D34,Milestones!$AA$100)&gt;=SchemeStart,IF($X34=0,$AD34,IF(AND($Z34&lt;&gt;"",EDATE($D34,Milestones!$AA$100)&gt;=$Z34),$AC34,IF(AND($Y34&lt;&gt;"",EDATE($D34,Milestones!$AA$100)&gt;=$Y34),$AB34,$AA34)))=Milestones!$AB$100),UPPER(TEXT(EDATE($D34,Milestones!$AA$100),"dd mmm yy"))&amp;" "&amp;Milestones!$AB$100&amp;" "&amp;IF(AND(Milestones!$AB$100="FT",Milestones!$AA$100=FT_Y5,EDATE($D34,Milestones!$AA$100)&lt;PolicyEff),1,Milestones!$AC$100)&amp;";  ","")&amp;IF(AND(EDATE($D34,Milestones!$AA$101)&lt;=AsOfDate,EDATE($D34,Milestones!$AA$101)&gt;=SchemeStart,IF($X34=0,$AD34,IF(AND($Z34&lt;&gt;"",EDATE($D34,Milestones!$AA$101)&gt;=$Z34),$AC34,IF(AND($Y34&lt;&gt;"",EDATE($D34,Milestones!$AA$101)&gt;=$Y34),$AB34,$AA34)))=Milestones!$AB$101),UPPER(TEXT(EDATE($D34,Milestones!$AA$101),"dd mmm yy"))&amp;" "&amp;Milestones!$AB$101&amp;" "&amp;IF(AND(Milestones!$AB$101="FT",Milestones!$AA$101=FT_Y5,EDATE($D34,Milestones!$AA$101)&lt;PolicyEff),1,Milestones!$AC$101)&amp;";  ","")&amp;IF(AND(EDATE($D34,Milestones!$AA$102)&lt;=AsOfDate,EDATE($D34,Milestones!$AA$102)&gt;=SchemeStart,IF($X34=0,$AD34,IF(AND($Z34&lt;&gt;"",EDATE($D34,Milestones!$AA$102)&gt;=$Z34),$AC34,IF(AND($Y34&lt;&gt;"",EDATE($D34,Milestones!$AA$102)&gt;=$Y34),$AB34,$AA34)))=Milestones!$AB$102),UPPER(TEXT(EDATE($D34,Milestones!$AA$102),"dd mmm yy"))&amp;" "&amp;Milestones!$AB$102&amp;" "&amp;IF(AND(Milestones!$AB$102="FT",Milestones!$AA$102=FT_Y5,EDATE($D34,Milestones!$AA$102)&lt;PolicyEff),1,Milestones!$AC$102)&amp;";  ","")&amp;IF(AND(EDATE($D34,Milestones!$AA$103)&lt;=AsOfDate,EDATE($D34,Milestones!$AA$103)&gt;=SchemeStart,IF($X34=0,$AD34,IF(AND($Z34&lt;&gt;"",EDATE($D34,Milestones!$AA$103)&gt;=$Z34),$AC34,IF(AND($Y34&lt;&gt;"",EDATE($D34,Milestones!$AA$103)&gt;=$Y34),$AB34,$AA34)))=Milestones!$AB$103),UPPER(TEXT(EDATE($D34,Milestones!$AA$103),"dd mmm yy"))&amp;" "&amp;Milestones!$AB$103&amp;" "&amp;IF(AND(Milestones!$AB$103="FT",Milestones!$AA$103=FT_Y5,EDATE($D34,Milestones!$AA$103)&lt;PolicyEff),1,Milestones!$AC$103)&amp;";  ",""))</f>
        <v/>
      </c>
      <c r="P34" s="0" t="str">
        <f aca="false">IF(OR($A34="",$D34=""),"",IF(AND(EDATE($D34,Milestones!$AA$104)&lt;=AsOfDate,EDATE($D34,Milestones!$AA$104)&gt;=SchemeStart,IF($X34=0,$AD34,IF(AND($Z34&lt;&gt;"",EDATE($D34,Milestones!$AA$104)&gt;=$Z34),$AC34,IF(AND($Y34&lt;&gt;"",EDATE($D34,Milestones!$AA$104)&gt;=$Y34),$AB34,$AA34)))=Milestones!$AB$104),UPPER(TEXT(EDATE($D34,Milestones!$AA$104),"dd mmm yy"))&amp;" "&amp;Milestones!$AB$104&amp;" "&amp;IF(AND(Milestones!$AB$104="FT",Milestones!$AA$104=FT_Y5,EDATE($D34,Milestones!$AA$104)&lt;PolicyEff),1,Milestones!$AC$104)&amp;";  ","")&amp;IF(AND(EDATE($D34,Milestones!$AA$105)&lt;=AsOfDate,EDATE($D34,Milestones!$AA$105)&gt;=SchemeStart,IF($X34=0,$AD34,IF(AND($Z34&lt;&gt;"",EDATE($D34,Milestones!$AA$105)&gt;=$Z34),$AC34,IF(AND($Y34&lt;&gt;"",EDATE($D34,Milestones!$AA$105)&gt;=$Y34),$AB34,$AA34)))=Milestones!$AB$105),UPPER(TEXT(EDATE($D34,Milestones!$AA$105),"dd mmm yy"))&amp;" "&amp;Milestones!$AB$105&amp;" "&amp;IF(AND(Milestones!$AB$105="FT",Milestones!$AA$105=FT_Y5,EDATE($D34,Milestones!$AA$105)&lt;PolicyEff),1,Milestones!$AC$105)&amp;";  ","")&amp;IF(AND(EDATE($D34,Milestones!$AA$106)&lt;=AsOfDate,EDATE($D34,Milestones!$AA$106)&gt;=SchemeStart,IF($X34=0,$AD34,IF(AND($Z34&lt;&gt;"",EDATE($D34,Milestones!$AA$106)&gt;=$Z34),$AC34,IF(AND($Y34&lt;&gt;"",EDATE($D34,Milestones!$AA$106)&gt;=$Y34),$AB34,$AA34)))=Milestones!$AB$106),UPPER(TEXT(EDATE($D34,Milestones!$AA$106),"dd mmm yy"))&amp;" "&amp;Milestones!$AB$106&amp;" "&amp;IF(AND(Milestones!$AB$106="FT",Milestones!$AA$106=FT_Y5,EDATE($D34,Milestones!$AA$106)&lt;PolicyEff),1,Milestones!$AC$106)&amp;";  ","")&amp;IF(AND(EDATE($D34,Milestones!$AA$107)&lt;=AsOfDate,EDATE($D34,Milestones!$AA$107)&gt;=SchemeStart,IF($X34=0,$AD34,IF(AND($Z34&lt;&gt;"",EDATE($D34,Milestones!$AA$107)&gt;=$Z34),$AC34,IF(AND($Y34&lt;&gt;"",EDATE($D34,Milestones!$AA$107)&gt;=$Y34),$AB34,$AA34)))=Milestones!$AB$107),UPPER(TEXT(EDATE($D34,Milestones!$AA$107),"dd mmm yy"))&amp;" "&amp;Milestones!$AB$107&amp;" "&amp;IF(AND(Milestones!$AB$107="FT",Milestones!$AA$107=FT_Y5,EDATE($D34,Milestones!$AA$107)&lt;PolicyEff),1,Milestones!$AC$107)&amp;";  ","")&amp;IF(AND(EDATE($D34,Milestones!$AA$108)&lt;=AsOfDate,EDATE($D34,Milestones!$AA$108)&gt;=SchemeStart,IF($X34=0,$AD34,IF(AND($Z34&lt;&gt;"",EDATE($D34,Milestones!$AA$108)&gt;=$Z34),$AC34,IF(AND($Y34&lt;&gt;"",EDATE($D34,Milestones!$AA$108)&gt;=$Y34),$AB34,$AA34)))=Milestones!$AB$108),UPPER(TEXT(EDATE($D34,Milestones!$AA$108),"dd mmm yy"))&amp;" "&amp;Milestones!$AB$108&amp;" "&amp;IF(AND(Milestones!$AB$108="FT",Milestones!$AA$108=FT_Y5,EDATE($D34,Milestones!$AA$108)&lt;PolicyEff),1,Milestones!$AC$108)&amp;";  ","")&amp;IF(AND(EDATE($D34,Milestones!$AA$109)&lt;=AsOfDate,EDATE($D34,Milestones!$AA$109)&gt;=SchemeStart,IF($X34=0,$AD34,IF(AND($Z34&lt;&gt;"",EDATE($D34,Milestones!$AA$109)&gt;=$Z34),$AC34,IF(AND($Y34&lt;&gt;"",EDATE($D34,Milestones!$AA$109)&gt;=$Y34),$AB34,$AA34)))=Milestones!$AB$109),UPPER(TEXT(EDATE($D34,Milestones!$AA$109),"dd mmm yy"))&amp;" "&amp;Milestones!$AB$109&amp;" "&amp;IF(AND(Milestones!$AB$109="FT",Milestones!$AA$109=FT_Y5,EDATE($D34,Milestones!$AA$109)&lt;PolicyEff),1,Milestones!$AC$109)&amp;";  ","")&amp;IF(AND(EDATE($D34,Milestones!$AA$110)&lt;=AsOfDate,EDATE($D34,Milestones!$AA$110)&gt;=SchemeStart,IF($X34=0,$AD34,IF(AND($Z34&lt;&gt;"",EDATE($D34,Milestones!$AA$110)&gt;=$Z34),$AC34,IF(AND($Y34&lt;&gt;"",EDATE($D34,Milestones!$AA$110)&gt;=$Y34),$AB34,$AA34)))=Milestones!$AB$110),UPPER(TEXT(EDATE($D34,Milestones!$AA$110),"dd mmm yy"))&amp;" "&amp;Milestones!$AB$110&amp;" "&amp;IF(AND(Milestones!$AB$110="FT",Milestones!$AA$110=FT_Y5,EDATE($D34,Milestones!$AA$110)&lt;PolicyEff),1,Milestones!$AC$110)&amp;";  ","")&amp;IF(AND(EDATE($D34,Milestones!$AA$111)&lt;=AsOfDate,EDATE($D34,Milestones!$AA$111)&gt;=SchemeStart,IF($X34=0,$AD34,IF(AND($Z34&lt;&gt;"",EDATE($D34,Milestones!$AA$111)&gt;=$Z34),$AC34,IF(AND($Y34&lt;&gt;"",EDATE($D34,Milestones!$AA$111)&gt;=$Y34),$AB34,$AA34)))=Milestones!$AB$111),UPPER(TEXT(EDATE($D34,Milestones!$AA$111),"dd mmm yy"))&amp;" "&amp;Milestones!$AB$111&amp;" "&amp;IF(AND(Milestones!$AB$111="FT",Milestones!$AA$111=FT_Y5,EDATE($D34,Milestones!$AA$111)&lt;PolicyEff),1,Milestones!$AC$111)&amp;";  ","")&amp;IF(AND(EDATE($D34,Milestones!$AA$112)&lt;=AsOfDate,EDATE($D34,Milestones!$AA$112)&gt;=SchemeStart,IF($X34=0,$AD34,IF(AND($Z34&lt;&gt;"",EDATE($D34,Milestones!$AA$112)&gt;=$Z34),$AC34,IF(AND($Y34&lt;&gt;"",EDATE($D34,Milestones!$AA$112)&gt;=$Y34),$AB34,$AA34)))=Milestones!$AB$112),UPPER(TEXT(EDATE($D34,Milestones!$AA$112),"dd mmm yy"))&amp;" "&amp;Milestones!$AB$112&amp;" "&amp;IF(AND(Milestones!$AB$112="FT",Milestones!$AA$112=FT_Y5,EDATE($D34,Milestones!$AA$112)&lt;PolicyEff),1,Milestones!$AC$112)&amp;";  ","")&amp;IF(AND(EDATE($D34,Milestones!$AA$113)&lt;=AsOfDate,EDATE($D34,Milestones!$AA$113)&gt;=SchemeStart,IF($X34=0,$AD34,IF(AND($Z34&lt;&gt;"",EDATE($D34,Milestones!$AA$113)&gt;=$Z34),$AC34,IF(AND($Y34&lt;&gt;"",EDATE($D34,Milestones!$AA$113)&gt;=$Y34),$AB34,$AA34)))=Milestones!$AB$113),UPPER(TEXT(EDATE($D34,Milestones!$AA$113),"dd mmm yy"))&amp;" "&amp;Milestones!$AB$113&amp;" "&amp;IF(AND(Milestones!$AB$113="FT",Milestones!$AA$113=FT_Y5,EDATE($D34,Milestones!$AA$113)&lt;PolicyEff),1,Milestones!$AC$113)&amp;";  ","")&amp;IF(AND(EDATE($D34,Milestones!$AA$114)&lt;=AsOfDate,EDATE($D34,Milestones!$AA$114)&gt;=SchemeStart,IF($X34=0,$AD34,IF(AND($Z34&lt;&gt;"",EDATE($D34,Milestones!$AA$114)&gt;=$Z34),$AC34,IF(AND($Y34&lt;&gt;"",EDATE($D34,Milestones!$AA$114)&gt;=$Y34),$AB34,$AA34)))=Milestones!$AB$114),UPPER(TEXT(EDATE($D34,Milestones!$AA$114),"dd mmm yy"))&amp;" "&amp;Milestones!$AB$114&amp;" "&amp;IF(AND(Milestones!$AB$114="FT",Milestones!$AA$114=FT_Y5,EDATE($D34,Milestones!$AA$114)&lt;PolicyEff),1,Milestones!$AC$114)&amp;";  ","")&amp;IF(AND(EDATE($D34,Milestones!$AA$115)&lt;=AsOfDate,EDATE($D34,Milestones!$AA$115)&gt;=SchemeStart,IF($X34=0,$AD34,IF(AND($Z34&lt;&gt;"",EDATE($D34,Milestones!$AA$115)&gt;=$Z34),$AC34,IF(AND($Y34&lt;&gt;"",EDATE($D34,Milestones!$AA$115)&gt;=$Y34),$AB34,$AA34)))=Milestones!$AB$115),UPPER(TEXT(EDATE($D34,Milestones!$AA$115),"dd mmm yy"))&amp;" "&amp;Milestones!$AB$115&amp;" "&amp;IF(AND(Milestones!$AB$115="FT",Milestones!$AA$115=FT_Y5,EDATE($D34,Milestones!$AA$115)&lt;PolicyEff),1,Milestones!$AC$115)&amp;";  ",""))</f>
        <v/>
      </c>
      <c r="Q34" s="0" t="str">
        <f aca="false">IF(OR($A34="",$D34=""),"",IF(AND(EDATE($D34,Milestones!$AA$116)&lt;=AsOfDate,EDATE($D34,Milestones!$AA$116)&gt;=SchemeStart,IF($X34=0,$AD34,IF(AND($Z34&lt;&gt;"",EDATE($D34,Milestones!$AA$116)&gt;=$Z34),$AC34,IF(AND($Y34&lt;&gt;"",EDATE($D34,Milestones!$AA$116)&gt;=$Y34),$AB34,$AA34)))=Milestones!$AB$116),UPPER(TEXT(EDATE($D34,Milestones!$AA$116),"dd mmm yy"))&amp;" "&amp;Milestones!$AB$116&amp;" "&amp;IF(AND(Milestones!$AB$116="FT",Milestones!$AA$116=FT_Y5,EDATE($D34,Milestones!$AA$116)&lt;PolicyEff),1,Milestones!$AC$116)&amp;";  ","")&amp;IF(AND(EDATE($D34,Milestones!$AA$117)&lt;=AsOfDate,EDATE($D34,Milestones!$AA$117)&gt;=SchemeStart,IF($X34=0,$AD34,IF(AND($Z34&lt;&gt;"",EDATE($D34,Milestones!$AA$117)&gt;=$Z34),$AC34,IF(AND($Y34&lt;&gt;"",EDATE($D34,Milestones!$AA$117)&gt;=$Y34),$AB34,$AA34)))=Milestones!$AB$117),UPPER(TEXT(EDATE($D34,Milestones!$AA$117),"dd mmm yy"))&amp;" "&amp;Milestones!$AB$117&amp;" "&amp;IF(AND(Milestones!$AB$117="FT",Milestones!$AA$117=FT_Y5,EDATE($D34,Milestones!$AA$117)&lt;PolicyEff),1,Milestones!$AC$117)&amp;";  ","")&amp;IF(AND(EDATE($D34,Milestones!$AA$118)&lt;=AsOfDate,EDATE($D34,Milestones!$AA$118)&gt;=SchemeStart,IF($X34=0,$AD34,IF(AND($Z34&lt;&gt;"",EDATE($D34,Milestones!$AA$118)&gt;=$Z34),$AC34,IF(AND($Y34&lt;&gt;"",EDATE($D34,Milestones!$AA$118)&gt;=$Y34),$AB34,$AA34)))=Milestones!$AB$118),UPPER(TEXT(EDATE($D34,Milestones!$AA$118),"dd mmm yy"))&amp;" "&amp;Milestones!$AB$118&amp;" "&amp;IF(AND(Milestones!$AB$118="FT",Milestones!$AA$118=FT_Y5,EDATE($D34,Milestones!$AA$118)&lt;PolicyEff),1,Milestones!$AC$118)&amp;";  ","")&amp;IF(AND(EDATE($D34,Milestones!$AA$119)&lt;=AsOfDate,EDATE($D34,Milestones!$AA$119)&gt;=SchemeStart,IF($X34=0,$AD34,IF(AND($Z34&lt;&gt;"",EDATE($D34,Milestones!$AA$119)&gt;=$Z34),$AC34,IF(AND($Y34&lt;&gt;"",EDATE($D34,Milestones!$AA$119)&gt;=$Y34),$AB34,$AA34)))=Milestones!$AB$119),UPPER(TEXT(EDATE($D34,Milestones!$AA$119),"dd mmm yy"))&amp;" "&amp;Milestones!$AB$119&amp;" "&amp;IF(AND(Milestones!$AB$119="FT",Milestones!$AA$119=FT_Y5,EDATE($D34,Milestones!$AA$119)&lt;PolicyEff),1,Milestones!$AC$119)&amp;";  ","")&amp;IF(AND(EDATE($D34,Milestones!$AA$120)&lt;=AsOfDate,EDATE($D34,Milestones!$AA$120)&gt;=SchemeStart,IF($X34=0,$AD34,IF(AND($Z34&lt;&gt;"",EDATE($D34,Milestones!$AA$120)&gt;=$Z34),$AC34,IF(AND($Y34&lt;&gt;"",EDATE($D34,Milestones!$AA$120)&gt;=$Y34),$AB34,$AA34)))=Milestones!$AB$120),UPPER(TEXT(EDATE($D34,Milestones!$AA$120),"dd mmm yy"))&amp;" "&amp;Milestones!$AB$120&amp;" "&amp;IF(AND(Milestones!$AB$120="FT",Milestones!$AA$120=FT_Y5,EDATE($D34,Milestones!$AA$120)&lt;PolicyEff),1,Milestones!$AC$120)&amp;";  ","")&amp;IF(AND(EDATE($D34,Milestones!$AA$121)&lt;=AsOfDate,EDATE($D34,Milestones!$AA$121)&gt;=SchemeStart,IF($X34=0,$AD34,IF(AND($Z34&lt;&gt;"",EDATE($D34,Milestones!$AA$121)&gt;=$Z34),$AC34,IF(AND($Y34&lt;&gt;"",EDATE($D34,Milestones!$AA$121)&gt;=$Y34),$AB34,$AA34)))=Milestones!$AB$121),UPPER(TEXT(EDATE($D34,Milestones!$AA$121),"dd mmm yy"))&amp;" "&amp;Milestones!$AB$121&amp;" "&amp;IF(AND(Milestones!$AB$121="FT",Milestones!$AA$121=FT_Y5,EDATE($D34,Milestones!$AA$121)&lt;PolicyEff),1,Milestones!$AC$121)&amp;";  ","")&amp;IF(AND(EDATE($D34,Milestones!$AA$122)&lt;=AsOfDate,EDATE($D34,Milestones!$AA$122)&gt;=SchemeStart,IF($X34=0,$AD34,IF(AND($Z34&lt;&gt;"",EDATE($D34,Milestones!$AA$122)&gt;=$Z34),$AC34,IF(AND($Y34&lt;&gt;"",EDATE($D34,Milestones!$AA$122)&gt;=$Y34),$AB34,$AA34)))=Milestones!$AB$122),UPPER(TEXT(EDATE($D34,Milestones!$AA$122),"dd mmm yy"))&amp;" "&amp;Milestones!$AB$122&amp;" "&amp;IF(AND(Milestones!$AB$122="FT",Milestones!$AA$122=FT_Y5,EDATE($D34,Milestones!$AA$122)&lt;PolicyEff),1,Milestones!$AC$122)&amp;";  ","")&amp;IF(AND(EDATE($D34,Milestones!$AA$123)&lt;=AsOfDate,EDATE($D34,Milestones!$AA$123)&gt;=SchemeStart,IF($X34=0,$AD34,IF(AND($Z34&lt;&gt;"",EDATE($D34,Milestones!$AA$123)&gt;=$Z34),$AC34,IF(AND($Y34&lt;&gt;"",EDATE($D34,Milestones!$AA$123)&gt;=$Y34),$AB34,$AA34)))=Milestones!$AB$123),UPPER(TEXT(EDATE($D34,Milestones!$AA$123),"dd mmm yy"))&amp;" "&amp;Milestones!$AB$123&amp;" "&amp;IF(AND(Milestones!$AB$123="FT",Milestones!$AA$123=FT_Y5,EDATE($D34,Milestones!$AA$123)&lt;PolicyEff),1,Milestones!$AC$123)&amp;";  ","")&amp;IF(AND(EDATE($D34,Milestones!$AA$124)&lt;=AsOfDate,EDATE($D34,Milestones!$AA$124)&gt;=SchemeStart,IF($X34=0,$AD34,IF(AND($Z34&lt;&gt;"",EDATE($D34,Milestones!$AA$124)&gt;=$Z34),$AC34,IF(AND($Y34&lt;&gt;"",EDATE($D34,Milestones!$AA$124)&gt;=$Y34),$AB34,$AA34)))=Milestones!$AB$124),UPPER(TEXT(EDATE($D34,Milestones!$AA$124),"dd mmm yy"))&amp;" "&amp;Milestones!$AB$124&amp;" "&amp;IF(AND(Milestones!$AB$124="FT",Milestones!$AA$124=FT_Y5,EDATE($D34,Milestones!$AA$124)&lt;PolicyEff),1,Milestones!$AC$124)&amp;";  ","")&amp;IF(AND(EDATE($D34,Milestones!$AA$125)&lt;=AsOfDate,EDATE($D34,Milestones!$AA$125)&gt;=SchemeStart,IF($X34=0,$AD34,IF(AND($Z34&lt;&gt;"",EDATE($D34,Milestones!$AA$125)&gt;=$Z34),$AC34,IF(AND($Y34&lt;&gt;"",EDATE($D34,Milestones!$AA$125)&gt;=$Y34),$AB34,$AA34)))=Milestones!$AB$125),UPPER(TEXT(EDATE($D34,Milestones!$AA$125),"dd mmm yy"))&amp;" "&amp;Milestones!$AB$125&amp;" "&amp;IF(AND(Milestones!$AB$125="FT",Milestones!$AA$125=FT_Y5,EDATE($D34,Milestones!$AA$125)&lt;PolicyEff),1,Milestones!$AC$125)&amp;";  ","")&amp;IF(AND(EDATE($D34,Milestones!$AA$126)&lt;=AsOfDate,EDATE($D34,Milestones!$AA$126)&gt;=SchemeStart,IF($X34=0,$AD34,IF(AND($Z34&lt;&gt;"",EDATE($D34,Milestones!$AA$126)&gt;=$Z34),$AC34,IF(AND($Y34&lt;&gt;"",EDATE($D34,Milestones!$AA$126)&gt;=$Y34),$AB34,$AA34)))=Milestones!$AB$126),UPPER(TEXT(EDATE($D34,Milestones!$AA$126),"dd mmm yy"))&amp;" "&amp;Milestones!$AB$126&amp;" "&amp;IF(AND(Milestones!$AB$126="FT",Milestones!$AA$126=FT_Y5,EDATE($D34,Milestones!$AA$126)&lt;PolicyEff),1,Milestones!$AC$126)&amp;";  ","")&amp;IF(AND(EDATE($D34,Milestones!$AA$127)&lt;=AsOfDate,EDATE($D34,Milestones!$AA$127)&gt;=SchemeStart,IF($X34=0,$AD34,IF(AND($Z34&lt;&gt;"",EDATE($D34,Milestones!$AA$127)&gt;=$Z34),$AC34,IF(AND($Y34&lt;&gt;"",EDATE($D34,Milestones!$AA$127)&gt;=$Y34),$AB34,$AA34)))=Milestones!$AB$127),UPPER(TEXT(EDATE($D34,Milestones!$AA$127),"dd mmm yy"))&amp;" "&amp;Milestones!$AB$127&amp;" "&amp;IF(AND(Milestones!$AB$127="FT",Milestones!$AA$127=FT_Y5,EDATE($D34,Milestones!$AA$127)&lt;PolicyEff),1,Milestones!$AC$127)&amp;";  ",""))</f>
        <v/>
      </c>
      <c r="R34" s="0" t="str">
        <f aca="false">IF(OR($A34="",$D34=""),"",IF(AND(EDATE($D34,Milestones!$AA$128)&lt;=AsOfDate,EDATE($D34,Milestones!$AA$128)&gt;=SchemeStart,IF($X34=0,$AD34,IF(AND($Z34&lt;&gt;"",EDATE($D34,Milestones!$AA$128)&gt;=$Z34),$AC34,IF(AND($Y34&lt;&gt;"",EDATE($D34,Milestones!$AA$128)&gt;=$Y34),$AB34,$AA34)))=Milestones!$AB$128),UPPER(TEXT(EDATE($D34,Milestones!$AA$128),"dd mmm yy"))&amp;" "&amp;Milestones!$AB$128&amp;" "&amp;IF(AND(Milestones!$AB$128="FT",Milestones!$AA$128=FT_Y5,EDATE($D34,Milestones!$AA$128)&lt;PolicyEff),1,Milestones!$AC$128)&amp;";  ","")&amp;IF(AND(EDATE($D34,Milestones!$AA$129)&lt;=AsOfDate,EDATE($D34,Milestones!$AA$129)&gt;=SchemeStart,IF($X34=0,$AD34,IF(AND($Z34&lt;&gt;"",EDATE($D34,Milestones!$AA$129)&gt;=$Z34),$AC34,IF(AND($Y34&lt;&gt;"",EDATE($D34,Milestones!$AA$129)&gt;=$Y34),$AB34,$AA34)))=Milestones!$AB$129),UPPER(TEXT(EDATE($D34,Milestones!$AA$129),"dd mmm yy"))&amp;" "&amp;Milestones!$AB$129&amp;" "&amp;IF(AND(Milestones!$AB$129="FT",Milestones!$AA$129=FT_Y5,EDATE($D34,Milestones!$AA$129)&lt;PolicyEff),1,Milestones!$AC$129)&amp;";  ","")&amp;IF(AND(EDATE($D34,Milestones!$AA$130)&lt;=AsOfDate,EDATE($D34,Milestones!$AA$130)&gt;=SchemeStart,IF($X34=0,$AD34,IF(AND($Z34&lt;&gt;"",EDATE($D34,Milestones!$AA$130)&gt;=$Z34),$AC34,IF(AND($Y34&lt;&gt;"",EDATE($D34,Milestones!$AA$130)&gt;=$Y34),$AB34,$AA34)))=Milestones!$AB$130),UPPER(TEXT(EDATE($D34,Milestones!$AA$130),"dd mmm yy"))&amp;" "&amp;Milestones!$AB$130&amp;" "&amp;IF(AND(Milestones!$AB$130="FT",Milestones!$AA$130=FT_Y5,EDATE($D34,Milestones!$AA$130)&lt;PolicyEff),1,Milestones!$AC$130)&amp;";  ","")&amp;IF(AND(EDATE($D34,Milestones!$AA$131)&lt;=AsOfDate,EDATE($D34,Milestones!$AA$131)&gt;=SchemeStart,IF($X34=0,$AD34,IF(AND($Z34&lt;&gt;"",EDATE($D34,Milestones!$AA$131)&gt;=$Z34),$AC34,IF(AND($Y34&lt;&gt;"",EDATE($D34,Milestones!$AA$131)&gt;=$Y34),$AB34,$AA34)))=Milestones!$AB$131),UPPER(TEXT(EDATE($D34,Milestones!$AA$131),"dd mmm yy"))&amp;" "&amp;Milestones!$AB$131&amp;" "&amp;IF(AND(Milestones!$AB$131="FT",Milestones!$AA$131=FT_Y5,EDATE($D34,Milestones!$AA$131)&lt;PolicyEff),1,Milestones!$AC$131)&amp;";  ","")&amp;IF(AND(EDATE($D34,Milestones!$AA$132)&lt;=AsOfDate,EDATE($D34,Milestones!$AA$132)&gt;=SchemeStart,IF($X34=0,$AD34,IF(AND($Z34&lt;&gt;"",EDATE($D34,Milestones!$AA$132)&gt;=$Z34),$AC34,IF(AND($Y34&lt;&gt;"",EDATE($D34,Milestones!$AA$132)&gt;=$Y34),$AB34,$AA34)))=Milestones!$AB$132),UPPER(TEXT(EDATE($D34,Milestones!$AA$132),"dd mmm yy"))&amp;" "&amp;Milestones!$AB$132&amp;" "&amp;IF(AND(Milestones!$AB$132="FT",Milestones!$AA$132=FT_Y5,EDATE($D34,Milestones!$AA$132)&lt;PolicyEff),1,Milestones!$AC$132)&amp;";  ","")&amp;IF(AND(EDATE($D34,Milestones!$AA$133)&lt;=AsOfDate,EDATE($D34,Milestones!$AA$133)&gt;=SchemeStart,IF($X34=0,$AD34,IF(AND($Z34&lt;&gt;"",EDATE($D34,Milestones!$AA$133)&gt;=$Z34),$AC34,IF(AND($Y34&lt;&gt;"",EDATE($D34,Milestones!$AA$133)&gt;=$Y34),$AB34,$AA34)))=Milestones!$AB$133),UPPER(TEXT(EDATE($D34,Milestones!$AA$133),"dd mmm yy"))&amp;" "&amp;Milestones!$AB$133&amp;" "&amp;IF(AND(Milestones!$AB$133="FT",Milestones!$AA$133=FT_Y5,EDATE($D34,Milestones!$AA$133)&lt;PolicyEff),1,Milestones!$AC$133)&amp;";  ","")&amp;IF(AND(EDATE($D34,Milestones!$AA$134)&lt;=AsOfDate,EDATE($D34,Milestones!$AA$134)&gt;=SchemeStart,IF($X34=0,$AD34,IF(AND($Z34&lt;&gt;"",EDATE($D34,Milestones!$AA$134)&gt;=$Z34),$AC34,IF(AND($Y34&lt;&gt;"",EDATE($D34,Milestones!$AA$134)&gt;=$Y34),$AB34,$AA34)))=Milestones!$AB$134),UPPER(TEXT(EDATE($D34,Milestones!$AA$134),"dd mmm yy"))&amp;" "&amp;Milestones!$AB$134&amp;" "&amp;IF(AND(Milestones!$AB$134="FT",Milestones!$AA$134=FT_Y5,EDATE($D34,Milestones!$AA$134)&lt;PolicyEff),1,Milestones!$AC$134)&amp;";  ","")&amp;IF(AND(EDATE($D34,Milestones!$AA$135)&lt;=AsOfDate,EDATE($D34,Milestones!$AA$135)&gt;=SchemeStart,IF($X34=0,$AD34,IF(AND($Z34&lt;&gt;"",EDATE($D34,Milestones!$AA$135)&gt;=$Z34),$AC34,IF(AND($Y34&lt;&gt;"",EDATE($D34,Milestones!$AA$135)&gt;=$Y34),$AB34,$AA34)))=Milestones!$AB$135),UPPER(TEXT(EDATE($D34,Milestones!$AA$135),"dd mmm yy"))&amp;" "&amp;Milestones!$AB$135&amp;" "&amp;IF(AND(Milestones!$AB$135="FT",Milestones!$AA$135=FT_Y5,EDATE($D34,Milestones!$AA$135)&lt;PolicyEff),1,Milestones!$AC$135)&amp;";  ","")&amp;IF(AND(EDATE($D34,Milestones!$AA$136)&lt;=AsOfDate,EDATE($D34,Milestones!$AA$136)&gt;=SchemeStart,IF($X34=0,$AD34,IF(AND($Z34&lt;&gt;"",EDATE($D34,Milestones!$AA$136)&gt;=$Z34),$AC34,IF(AND($Y34&lt;&gt;"",EDATE($D34,Milestones!$AA$136)&gt;=$Y34),$AB34,$AA34)))=Milestones!$AB$136),UPPER(TEXT(EDATE($D34,Milestones!$AA$136),"dd mmm yy"))&amp;" "&amp;Milestones!$AB$136&amp;" "&amp;IF(AND(Milestones!$AB$136="FT",Milestones!$AA$136=FT_Y5,EDATE($D34,Milestones!$AA$136)&lt;PolicyEff),1,Milestones!$AC$136)&amp;";  ","")&amp;IF(AND(EDATE($D34,Milestones!$AA$137)&lt;=AsOfDate,EDATE($D34,Milestones!$AA$137)&gt;=SchemeStart,IF($X34=0,$AD34,IF(AND($Z34&lt;&gt;"",EDATE($D34,Milestones!$AA$137)&gt;=$Z34),$AC34,IF(AND($Y34&lt;&gt;"",EDATE($D34,Milestones!$AA$137)&gt;=$Y34),$AB34,$AA34)))=Milestones!$AB$137),UPPER(TEXT(EDATE($D34,Milestones!$AA$137),"dd mmm yy"))&amp;" "&amp;Milestones!$AB$137&amp;" "&amp;IF(AND(Milestones!$AB$137="FT",Milestones!$AA$137=FT_Y5,EDATE($D34,Milestones!$AA$137)&lt;PolicyEff),1,Milestones!$AC$137)&amp;";  ","")&amp;IF(AND(EDATE($D34,Milestones!$AA$138)&lt;=AsOfDate,EDATE($D34,Milestones!$AA$138)&gt;=SchemeStart,IF($X34=0,$AD34,IF(AND($Z34&lt;&gt;"",EDATE($D34,Milestones!$AA$138)&gt;=$Z34),$AC34,IF(AND($Y34&lt;&gt;"",EDATE($D34,Milestones!$AA$138)&gt;=$Y34),$AB34,$AA34)))=Milestones!$AB$138),UPPER(TEXT(EDATE($D34,Milestones!$AA$138),"dd mmm yy"))&amp;" "&amp;Milestones!$AB$138&amp;" "&amp;IF(AND(Milestones!$AB$138="FT",Milestones!$AA$138=FT_Y5,EDATE($D34,Milestones!$AA$138)&lt;PolicyEff),1,Milestones!$AC$138)&amp;";  ","")&amp;IF(AND(EDATE($D34,Milestones!$AA$139)&lt;=AsOfDate,EDATE($D34,Milestones!$AA$139)&gt;=SchemeStart,IF($X34=0,$AD34,IF(AND($Z34&lt;&gt;"",EDATE($D34,Milestones!$AA$139)&gt;=$Z34),$AC34,IF(AND($Y34&lt;&gt;"",EDATE($D34,Milestones!$AA$139)&gt;=$Y34),$AB34,$AA34)))=Milestones!$AB$139),UPPER(TEXT(EDATE($D34,Milestones!$AA$139),"dd mmm yy"))&amp;" "&amp;Milestones!$AB$139&amp;" "&amp;IF(AND(Milestones!$AB$139="FT",Milestones!$AA$139=FT_Y5,EDATE($D34,Milestones!$AA$139)&lt;PolicyEff),1,Milestones!$AC$139)&amp;";  ",""))</f>
        <v/>
      </c>
      <c r="S34" s="0" t="str">
        <f aca="false">IF(OR($A34="",$D34=""),"",IF(AND(EDATE($D34,Milestones!$AA$140)&lt;=AsOfDate,EDATE($D34,Milestones!$AA$140)&gt;=SchemeStart,IF($X34=0,$AD34,IF(AND($Z34&lt;&gt;"",EDATE($D34,Milestones!$AA$140)&gt;=$Z34),$AC34,IF(AND($Y34&lt;&gt;"",EDATE($D34,Milestones!$AA$140)&gt;=$Y34),$AB34,$AA34)))=Milestones!$AB$140),UPPER(TEXT(EDATE($D34,Milestones!$AA$140),"dd mmm yy"))&amp;" "&amp;Milestones!$AB$140&amp;" "&amp;IF(AND(Milestones!$AB$140="FT",Milestones!$AA$140=FT_Y5,EDATE($D34,Milestones!$AA$140)&lt;PolicyEff),1,Milestones!$AC$140)&amp;";  ","")&amp;IF(AND(EDATE($D34,Milestones!$AA$141)&lt;=AsOfDate,EDATE($D34,Milestones!$AA$141)&gt;=SchemeStart,IF($X34=0,$AD34,IF(AND($Z34&lt;&gt;"",EDATE($D34,Milestones!$AA$141)&gt;=$Z34),$AC34,IF(AND($Y34&lt;&gt;"",EDATE($D34,Milestones!$AA$141)&gt;=$Y34),$AB34,$AA34)))=Milestones!$AB$141),UPPER(TEXT(EDATE($D34,Milestones!$AA$141),"dd mmm yy"))&amp;" "&amp;Milestones!$AB$141&amp;" "&amp;IF(AND(Milestones!$AB$141="FT",Milestones!$AA$141=FT_Y5,EDATE($D34,Milestones!$AA$141)&lt;PolicyEff),1,Milestones!$AC$141)&amp;";  ","")&amp;IF(AND(EDATE($D34,Milestones!$AA$142)&lt;=AsOfDate,EDATE($D34,Milestones!$AA$142)&gt;=SchemeStart,IF($X34=0,$AD34,IF(AND($Z34&lt;&gt;"",EDATE($D34,Milestones!$AA$142)&gt;=$Z34),$AC34,IF(AND($Y34&lt;&gt;"",EDATE($D34,Milestones!$AA$142)&gt;=$Y34),$AB34,$AA34)))=Milestones!$AB$142),UPPER(TEXT(EDATE($D34,Milestones!$AA$142),"dd mmm yy"))&amp;" "&amp;Milestones!$AB$142&amp;" "&amp;IF(AND(Milestones!$AB$142="FT",Milestones!$AA$142=FT_Y5,EDATE($D34,Milestones!$AA$142)&lt;PolicyEff),1,Milestones!$AC$142)&amp;";  ","")&amp;IF(AND(EDATE($D34,Milestones!$AA$143)&lt;=AsOfDate,EDATE($D34,Milestones!$AA$143)&gt;=SchemeStart,IF($X34=0,$AD34,IF(AND($Z34&lt;&gt;"",EDATE($D34,Milestones!$AA$143)&gt;=$Z34),$AC34,IF(AND($Y34&lt;&gt;"",EDATE($D34,Milestones!$AA$143)&gt;=$Y34),$AB34,$AA34)))=Milestones!$AB$143),UPPER(TEXT(EDATE($D34,Milestones!$AA$143),"dd mmm yy"))&amp;" "&amp;Milestones!$AB$143&amp;" "&amp;IF(AND(Milestones!$AB$143="FT",Milestones!$AA$143=FT_Y5,EDATE($D34,Milestones!$AA$143)&lt;PolicyEff),1,Milestones!$AC$143)&amp;";  ","")&amp;IF(AND(EDATE($D34,Milestones!$AA$144)&lt;=AsOfDate,EDATE($D34,Milestones!$AA$144)&gt;=SchemeStart,IF($X34=0,$AD34,IF(AND($Z34&lt;&gt;"",EDATE($D34,Milestones!$AA$144)&gt;=$Z34),$AC34,IF(AND($Y34&lt;&gt;"",EDATE($D34,Milestones!$AA$144)&gt;=$Y34),$AB34,$AA34)))=Milestones!$AB$144),UPPER(TEXT(EDATE($D34,Milestones!$AA$144),"dd mmm yy"))&amp;" "&amp;Milestones!$AB$144&amp;" "&amp;IF(AND(Milestones!$AB$144="FT",Milestones!$AA$144=FT_Y5,EDATE($D34,Milestones!$AA$144)&lt;PolicyEff),1,Milestones!$AC$144)&amp;";  ","")&amp;IF(AND(EDATE($D34,Milestones!$AA$145)&lt;=AsOfDate,EDATE($D34,Milestones!$AA$145)&gt;=SchemeStart,IF($X34=0,$AD34,IF(AND($Z34&lt;&gt;"",EDATE($D34,Milestones!$AA$145)&gt;=$Z34),$AC34,IF(AND($Y34&lt;&gt;"",EDATE($D34,Milestones!$AA$145)&gt;=$Y34),$AB34,$AA34)))=Milestones!$AB$145),UPPER(TEXT(EDATE($D34,Milestones!$AA$145),"dd mmm yy"))&amp;" "&amp;Milestones!$AB$145&amp;" "&amp;IF(AND(Milestones!$AB$145="FT",Milestones!$AA$145=FT_Y5,EDATE($D34,Milestones!$AA$145)&lt;PolicyEff),1,Milestones!$AC$145)&amp;";  ","")&amp;IF(AND(EDATE($D34,Milestones!$AA$146)&lt;=AsOfDate,EDATE($D34,Milestones!$AA$146)&gt;=SchemeStart,IF($X34=0,$AD34,IF(AND($Z34&lt;&gt;"",EDATE($D34,Milestones!$AA$146)&gt;=$Z34),$AC34,IF(AND($Y34&lt;&gt;"",EDATE($D34,Milestones!$AA$146)&gt;=$Y34),$AB34,$AA34)))=Milestones!$AB$146),UPPER(TEXT(EDATE($D34,Milestones!$AA$146),"dd mmm yy"))&amp;" "&amp;Milestones!$AB$146&amp;" "&amp;IF(AND(Milestones!$AB$146="FT",Milestones!$AA$146=FT_Y5,EDATE($D34,Milestones!$AA$146)&lt;PolicyEff),1,Milestones!$AC$146)&amp;";  ","")&amp;IF(AND(EDATE($D34,Milestones!$AA$147)&lt;=AsOfDate,EDATE($D34,Milestones!$AA$147)&gt;=SchemeStart,IF($X34=0,$AD34,IF(AND($Z34&lt;&gt;"",EDATE($D34,Milestones!$AA$147)&gt;=$Z34),$AC34,IF(AND($Y34&lt;&gt;"",EDATE($D34,Milestones!$AA$147)&gt;=$Y34),$AB34,$AA34)))=Milestones!$AB$147),UPPER(TEXT(EDATE($D34,Milestones!$AA$147),"dd mmm yy"))&amp;" "&amp;Milestones!$AB$147&amp;" "&amp;IF(AND(Milestones!$AB$147="FT",Milestones!$AA$147=FT_Y5,EDATE($D34,Milestones!$AA$147)&lt;PolicyEff),1,Milestones!$AC$147)&amp;";  ","")&amp;IF(AND(EDATE($D34,Milestones!$AA$148)&lt;=AsOfDate,EDATE($D34,Milestones!$AA$148)&gt;=SchemeStart,IF($X34=0,$AD34,IF(AND($Z34&lt;&gt;"",EDATE($D34,Milestones!$AA$148)&gt;=$Z34),$AC34,IF(AND($Y34&lt;&gt;"",EDATE($D34,Milestones!$AA$148)&gt;=$Y34),$AB34,$AA34)))=Milestones!$AB$148),UPPER(TEXT(EDATE($D34,Milestones!$AA$148),"dd mmm yy"))&amp;" "&amp;Milestones!$AB$148&amp;" "&amp;IF(AND(Milestones!$AB$148="FT",Milestones!$AA$148=FT_Y5,EDATE($D34,Milestones!$AA$148)&lt;PolicyEff),1,Milestones!$AC$148)&amp;";  ","")&amp;IF(AND(EDATE($D34,Milestones!$AA$149)&lt;=AsOfDate,EDATE($D34,Milestones!$AA$149)&gt;=SchemeStart,IF($X34=0,$AD34,IF(AND($Z34&lt;&gt;"",EDATE($D34,Milestones!$AA$149)&gt;=$Z34),$AC34,IF(AND($Y34&lt;&gt;"",EDATE($D34,Milestones!$AA$149)&gt;=$Y34),$AB34,$AA34)))=Milestones!$AB$149),UPPER(TEXT(EDATE($D34,Milestones!$AA$149),"dd mmm yy"))&amp;" "&amp;Milestones!$AB$149&amp;" "&amp;IF(AND(Milestones!$AB$149="FT",Milestones!$AA$149=FT_Y5,EDATE($D34,Milestones!$AA$149)&lt;PolicyEff),1,Milestones!$AC$149)&amp;";  ","")&amp;IF(AND(EDATE($D34,Milestones!$AA$150)&lt;=AsOfDate,EDATE($D34,Milestones!$AA$150)&gt;=SchemeStart,IF($X34=0,$AD34,IF(AND($Z34&lt;&gt;"",EDATE($D34,Milestones!$AA$150)&gt;=$Z34),$AC34,IF(AND($Y34&lt;&gt;"",EDATE($D34,Milestones!$AA$150)&gt;=$Y34),$AB34,$AA34)))=Milestones!$AB$150),UPPER(TEXT(EDATE($D34,Milestones!$AA$150),"dd mmm yy"))&amp;" "&amp;Milestones!$AB$150&amp;" "&amp;IF(AND(Milestones!$AB$150="FT",Milestones!$AA$150=FT_Y5,EDATE($D34,Milestones!$AA$150)&lt;PolicyEff),1,Milestones!$AC$150)&amp;";  ","")&amp;IF(AND(EDATE($D34,Milestones!$AA$151)&lt;=AsOfDate,EDATE($D34,Milestones!$AA$151)&gt;=SchemeStart,IF($X34=0,$AD34,IF(AND($Z34&lt;&gt;"",EDATE($D34,Milestones!$AA$151)&gt;=$Z34),$AC34,IF(AND($Y34&lt;&gt;"",EDATE($D34,Milestones!$AA$151)&gt;=$Y34),$AB34,$AA34)))=Milestones!$AB$151),UPPER(TEXT(EDATE($D34,Milestones!$AA$151),"dd mmm yy"))&amp;" "&amp;Milestones!$AB$151&amp;" "&amp;IF(AND(Milestones!$AB$151="FT",Milestones!$AA$151=FT_Y5,EDATE($D34,Milestones!$AA$151)&lt;PolicyEff),1,Milestones!$AC$151)&amp;";  ",""))</f>
        <v/>
      </c>
      <c r="T34" s="0" t="str">
        <f aca="false">IF(OR($A34="",$D34=""),"",IF(AND(EDATE($D34,Milestones!$AA$152)&lt;=AsOfDate,EDATE($D34,Milestones!$AA$152)&gt;=SchemeStart,IF($X34=0,$AD34,IF(AND($Z34&lt;&gt;"",EDATE($D34,Milestones!$AA$152)&gt;=$Z34),$AC34,IF(AND($Y34&lt;&gt;"",EDATE($D34,Milestones!$AA$152)&gt;=$Y34),$AB34,$AA34)))=Milestones!$AB$152),UPPER(TEXT(EDATE($D34,Milestones!$AA$152),"dd mmm yy"))&amp;" "&amp;Milestones!$AB$152&amp;" "&amp;IF(AND(Milestones!$AB$152="FT",Milestones!$AA$152=FT_Y5,EDATE($D34,Milestones!$AA$152)&lt;PolicyEff),1,Milestones!$AC$152)&amp;";  ","")&amp;IF(AND(EDATE($D34,Milestones!$AA$153)&lt;=AsOfDate,EDATE($D34,Milestones!$AA$153)&gt;=SchemeStart,IF($X34=0,$AD34,IF(AND($Z34&lt;&gt;"",EDATE($D34,Milestones!$AA$153)&gt;=$Z34),$AC34,IF(AND($Y34&lt;&gt;"",EDATE($D34,Milestones!$AA$153)&gt;=$Y34),$AB34,$AA34)))=Milestones!$AB$153),UPPER(TEXT(EDATE($D34,Milestones!$AA$153),"dd mmm yy"))&amp;" "&amp;Milestones!$AB$153&amp;" "&amp;IF(AND(Milestones!$AB$153="FT",Milestones!$AA$153=FT_Y5,EDATE($D34,Milestones!$AA$153)&lt;PolicyEff),1,Milestones!$AC$153)&amp;";  ","")&amp;IF(AND(EDATE($D34,Milestones!$AA$154)&lt;=AsOfDate,EDATE($D34,Milestones!$AA$154)&gt;=SchemeStart,IF($X34=0,$AD34,IF(AND($Z34&lt;&gt;"",EDATE($D34,Milestones!$AA$154)&gt;=$Z34),$AC34,IF(AND($Y34&lt;&gt;"",EDATE($D34,Milestones!$AA$154)&gt;=$Y34),$AB34,$AA34)))=Milestones!$AB$154),UPPER(TEXT(EDATE($D34,Milestones!$AA$154),"dd mmm yy"))&amp;" "&amp;Milestones!$AB$154&amp;" "&amp;IF(AND(Milestones!$AB$154="FT",Milestones!$AA$154=FT_Y5,EDATE($D34,Milestones!$AA$154)&lt;PolicyEff),1,Milestones!$AC$154)&amp;";  ","")&amp;IF(AND(EDATE($D34,Milestones!$AA$155)&lt;=AsOfDate,EDATE($D34,Milestones!$AA$155)&gt;=SchemeStart,IF($X34=0,$AD34,IF(AND($Z34&lt;&gt;"",EDATE($D34,Milestones!$AA$155)&gt;=$Z34),$AC34,IF(AND($Y34&lt;&gt;"",EDATE($D34,Milestones!$AA$155)&gt;=$Y34),$AB34,$AA34)))=Milestones!$AB$155),UPPER(TEXT(EDATE($D34,Milestones!$AA$155),"dd mmm yy"))&amp;" "&amp;Milestones!$AB$155&amp;" "&amp;IF(AND(Milestones!$AB$155="FT",Milestones!$AA$155=FT_Y5,EDATE($D34,Milestones!$AA$155)&lt;PolicyEff),1,Milestones!$AC$155)&amp;";  ","")&amp;IF(AND(EDATE($D34,Milestones!$AA$156)&lt;=AsOfDate,EDATE($D34,Milestones!$AA$156)&gt;=SchemeStart,IF($X34=0,$AD34,IF(AND($Z34&lt;&gt;"",EDATE($D34,Milestones!$AA$156)&gt;=$Z34),$AC34,IF(AND($Y34&lt;&gt;"",EDATE($D34,Milestones!$AA$156)&gt;=$Y34),$AB34,$AA34)))=Milestones!$AB$156),UPPER(TEXT(EDATE($D34,Milestones!$AA$156),"dd mmm yy"))&amp;" "&amp;Milestones!$AB$156&amp;" "&amp;IF(AND(Milestones!$AB$156="FT",Milestones!$AA$156=FT_Y5,EDATE($D34,Milestones!$AA$156)&lt;PolicyEff),1,Milestones!$AC$156)&amp;";  ","")&amp;IF(AND(EDATE($D34,Milestones!$AA$157)&lt;=AsOfDate,EDATE($D34,Milestones!$AA$157)&gt;=SchemeStart,IF($X34=0,$AD34,IF(AND($Z34&lt;&gt;"",EDATE($D34,Milestones!$AA$157)&gt;=$Z34),$AC34,IF(AND($Y34&lt;&gt;"",EDATE($D34,Milestones!$AA$157)&gt;=$Y34),$AB34,$AA34)))=Milestones!$AB$157),UPPER(TEXT(EDATE($D34,Milestones!$AA$157),"dd mmm yy"))&amp;" "&amp;Milestones!$AB$157&amp;" "&amp;IF(AND(Milestones!$AB$157="FT",Milestones!$AA$157=FT_Y5,EDATE($D34,Milestones!$AA$157)&lt;PolicyEff),1,Milestones!$AC$157)&amp;";  ","")&amp;IF(AND(EDATE($D34,Milestones!$AA$158)&lt;=AsOfDate,EDATE($D34,Milestones!$AA$158)&gt;=SchemeStart,IF($X34=0,$AD34,IF(AND($Z34&lt;&gt;"",EDATE($D34,Milestones!$AA$158)&gt;=$Z34),$AC34,IF(AND($Y34&lt;&gt;"",EDATE($D34,Milestones!$AA$158)&gt;=$Y34),$AB34,$AA34)))=Milestones!$AB$158),UPPER(TEXT(EDATE($D34,Milestones!$AA$158),"dd mmm yy"))&amp;" "&amp;Milestones!$AB$158&amp;" "&amp;IF(AND(Milestones!$AB$158="FT",Milestones!$AA$158=FT_Y5,EDATE($D34,Milestones!$AA$158)&lt;PolicyEff),1,Milestones!$AC$158)&amp;";  ","")&amp;IF(AND(EDATE($D34,Milestones!$AA$159)&lt;=AsOfDate,EDATE($D34,Milestones!$AA$159)&gt;=SchemeStart,IF($X34=0,$AD34,IF(AND($Z34&lt;&gt;"",EDATE($D34,Milestones!$AA$159)&gt;=$Z34),$AC34,IF(AND($Y34&lt;&gt;"",EDATE($D34,Milestones!$AA$159)&gt;=$Y34),$AB34,$AA34)))=Milestones!$AB$159),UPPER(TEXT(EDATE($D34,Milestones!$AA$159),"dd mmm yy"))&amp;" "&amp;Milestones!$AB$159&amp;" "&amp;IF(AND(Milestones!$AB$159="FT",Milestones!$AA$159=FT_Y5,EDATE($D34,Milestones!$AA$159)&lt;PolicyEff),1,Milestones!$AC$159)&amp;";  ","")&amp;IF(AND(EDATE($D34,Milestones!$AA$160)&lt;=AsOfDate,EDATE($D34,Milestones!$AA$160)&gt;=SchemeStart,IF($X34=0,$AD34,IF(AND($Z34&lt;&gt;"",EDATE($D34,Milestones!$AA$160)&gt;=$Z34),$AC34,IF(AND($Y34&lt;&gt;"",EDATE($D34,Milestones!$AA$160)&gt;=$Y34),$AB34,$AA34)))=Milestones!$AB$160),UPPER(TEXT(EDATE($D34,Milestones!$AA$160),"dd mmm yy"))&amp;" "&amp;Milestones!$AB$160&amp;" "&amp;IF(AND(Milestones!$AB$160="FT",Milestones!$AA$160=FT_Y5,EDATE($D34,Milestones!$AA$160)&lt;PolicyEff),1,Milestones!$AC$160)&amp;";  ","")&amp;IF(AND(EDATE($D34,Milestones!$AA$161)&lt;=AsOfDate,EDATE($D34,Milestones!$AA$161)&gt;=SchemeStart,IF($X34=0,$AD34,IF(AND($Z34&lt;&gt;"",EDATE($D34,Milestones!$AA$161)&gt;=$Z34),$AC34,IF(AND($Y34&lt;&gt;"",EDATE($D34,Milestones!$AA$161)&gt;=$Y34),$AB34,$AA34)))=Milestones!$AB$161),UPPER(TEXT(EDATE($D34,Milestones!$AA$161),"dd mmm yy"))&amp;" "&amp;Milestones!$AB$161&amp;" "&amp;IF(AND(Milestones!$AB$161="FT",Milestones!$AA$161=FT_Y5,EDATE($D34,Milestones!$AA$161)&lt;PolicyEff),1,Milestones!$AC$161)&amp;";  ","")&amp;IF(AND(EDATE($D34,Milestones!$AA$162)&lt;=AsOfDate,EDATE($D34,Milestones!$AA$162)&gt;=SchemeStart,IF($X34=0,$AD34,IF(AND($Z34&lt;&gt;"",EDATE($D34,Milestones!$AA$162)&gt;=$Z34),$AC34,IF(AND($Y34&lt;&gt;"",EDATE($D34,Milestones!$AA$162)&gt;=$Y34),$AB34,$AA34)))=Milestones!$AB$162),UPPER(TEXT(EDATE($D34,Milestones!$AA$162),"dd mmm yy"))&amp;" "&amp;Milestones!$AB$162&amp;" "&amp;IF(AND(Milestones!$AB$162="FT",Milestones!$AA$162=FT_Y5,EDATE($D34,Milestones!$AA$162)&lt;PolicyEff),1,Milestones!$AC$162)&amp;";  ","")&amp;IF(AND(EDATE($D34,Milestones!$AA$163)&lt;=AsOfDate,EDATE($D34,Milestones!$AA$163)&gt;=SchemeStart,IF($X34=0,$AD34,IF(AND($Z34&lt;&gt;"",EDATE($D34,Milestones!$AA$163)&gt;=$Z34),$AC34,IF(AND($Y34&lt;&gt;"",EDATE($D34,Milestones!$AA$163)&gt;=$Y34),$AB34,$AA34)))=Milestones!$AB$163),UPPER(TEXT(EDATE($D34,Milestones!$AA$163),"dd mmm yy"))&amp;" "&amp;Milestones!$AB$163&amp;" "&amp;IF(AND(Milestones!$AB$163="FT",Milestones!$AA$163=FT_Y5,EDATE($D34,Milestones!$AA$163)&lt;PolicyEff),1,Milestones!$AC$163)&amp;";  ",""))</f>
        <v/>
      </c>
      <c r="U34" s="0" t="str">
        <f aca="false">IF(OR($A34="",$D34=""),"",IF(AND(EDATE($D34,Milestones!$AA$164)&lt;=AsOfDate,EDATE($D34,Milestones!$AA$164)&gt;=SchemeStart,IF($X34=0,$AD34,IF(AND($Z34&lt;&gt;"",EDATE($D34,Milestones!$AA$164)&gt;=$Z34),$AC34,IF(AND($Y34&lt;&gt;"",EDATE($D34,Milestones!$AA$164)&gt;=$Y34),$AB34,$AA34)))=Milestones!$AB$164),UPPER(TEXT(EDATE($D34,Milestones!$AA$164),"dd mmm yy"))&amp;" "&amp;Milestones!$AB$164&amp;" "&amp;IF(AND(Milestones!$AB$164="FT",Milestones!$AA$164=FT_Y5,EDATE($D34,Milestones!$AA$164)&lt;PolicyEff),1,Milestones!$AC$164)&amp;";  ","")&amp;IF(AND(EDATE($D34,Milestones!$AA$165)&lt;=AsOfDate,EDATE($D34,Milestones!$AA$165)&gt;=SchemeStart,IF($X34=0,$AD34,IF(AND($Z34&lt;&gt;"",EDATE($D34,Milestones!$AA$165)&gt;=$Z34),$AC34,IF(AND($Y34&lt;&gt;"",EDATE($D34,Milestones!$AA$165)&gt;=$Y34),$AB34,$AA34)))=Milestones!$AB$165),UPPER(TEXT(EDATE($D34,Milestones!$AA$165),"dd mmm yy"))&amp;" "&amp;Milestones!$AB$165&amp;" "&amp;IF(AND(Milestones!$AB$165="FT",Milestones!$AA$165=FT_Y5,EDATE($D34,Milestones!$AA$165)&lt;PolicyEff),1,Milestones!$AC$165)&amp;";  ","")&amp;IF(AND(EDATE($D34,Milestones!$AA$166)&lt;=AsOfDate,EDATE($D34,Milestones!$AA$166)&gt;=SchemeStart,IF($X34=0,$AD34,IF(AND($Z34&lt;&gt;"",EDATE($D34,Milestones!$AA$166)&gt;=$Z34),$AC34,IF(AND($Y34&lt;&gt;"",EDATE($D34,Milestones!$AA$166)&gt;=$Y34),$AB34,$AA34)))=Milestones!$AB$166),UPPER(TEXT(EDATE($D34,Milestones!$AA$166),"dd mmm yy"))&amp;" "&amp;Milestones!$AB$166&amp;" "&amp;IF(AND(Milestones!$AB$166="FT",Milestones!$AA$166=FT_Y5,EDATE($D34,Milestones!$AA$166)&lt;PolicyEff),1,Milestones!$AC$166)&amp;";  ","")&amp;IF(AND(EDATE($D34,Milestones!$AA$167)&lt;=AsOfDate,EDATE($D34,Milestones!$AA$167)&gt;=SchemeStart,IF($X34=0,$AD34,IF(AND($Z34&lt;&gt;"",EDATE($D34,Milestones!$AA$167)&gt;=$Z34),$AC34,IF(AND($Y34&lt;&gt;"",EDATE($D34,Milestones!$AA$167)&gt;=$Y34),$AB34,$AA34)))=Milestones!$AB$167),UPPER(TEXT(EDATE($D34,Milestones!$AA$167),"dd mmm yy"))&amp;" "&amp;Milestones!$AB$167&amp;" "&amp;IF(AND(Milestones!$AB$167="FT",Milestones!$AA$167=FT_Y5,EDATE($D34,Milestones!$AA$167)&lt;PolicyEff),1,Milestones!$AC$167)&amp;";  ","")&amp;IF(AND(EDATE($D34,Milestones!$AA$168)&lt;=AsOfDate,EDATE($D34,Milestones!$AA$168)&gt;=SchemeStart,IF($X34=0,$AD34,IF(AND($Z34&lt;&gt;"",EDATE($D34,Milestones!$AA$168)&gt;=$Z34),$AC34,IF(AND($Y34&lt;&gt;"",EDATE($D34,Milestones!$AA$168)&gt;=$Y34),$AB34,$AA34)))=Milestones!$AB$168),UPPER(TEXT(EDATE($D34,Milestones!$AA$168),"dd mmm yy"))&amp;" "&amp;Milestones!$AB$168&amp;" "&amp;IF(AND(Milestones!$AB$168="FT",Milestones!$AA$168=FT_Y5,EDATE($D34,Milestones!$AA$168)&lt;PolicyEff),1,Milestones!$AC$168)&amp;";  ","")&amp;IF(AND(EDATE($D34,Milestones!$AA$169)&lt;=AsOfDate,EDATE($D34,Milestones!$AA$169)&gt;=SchemeStart,IF($X34=0,$AD34,IF(AND($Z34&lt;&gt;"",EDATE($D34,Milestones!$AA$169)&gt;=$Z34),$AC34,IF(AND($Y34&lt;&gt;"",EDATE($D34,Milestones!$AA$169)&gt;=$Y34),$AB34,$AA34)))=Milestones!$AB$169),UPPER(TEXT(EDATE($D34,Milestones!$AA$169),"dd mmm yy"))&amp;" "&amp;Milestones!$AB$169&amp;" "&amp;IF(AND(Milestones!$AB$169="FT",Milestones!$AA$169=FT_Y5,EDATE($D34,Milestones!$AA$169)&lt;PolicyEff),1,Milestones!$AC$169)&amp;";  ","")&amp;IF(AND(EDATE($D34,Milestones!$AA$170)&lt;=AsOfDate,EDATE($D34,Milestones!$AA$170)&gt;=SchemeStart,IF($X34=0,$AD34,IF(AND($Z34&lt;&gt;"",EDATE($D34,Milestones!$AA$170)&gt;=$Z34),$AC34,IF(AND($Y34&lt;&gt;"",EDATE($D34,Milestones!$AA$170)&gt;=$Y34),$AB34,$AA34)))=Milestones!$AB$170),UPPER(TEXT(EDATE($D34,Milestones!$AA$170),"dd mmm yy"))&amp;" "&amp;Milestones!$AB$170&amp;" "&amp;IF(AND(Milestones!$AB$170="FT",Milestones!$AA$170=FT_Y5,EDATE($D34,Milestones!$AA$170)&lt;PolicyEff),1,Milestones!$AC$170)&amp;";  ","")&amp;IF(AND(EDATE($D34,Milestones!$AA$171)&lt;=AsOfDate,EDATE($D34,Milestones!$AA$171)&gt;=SchemeStart,IF($X34=0,$AD34,IF(AND($Z34&lt;&gt;"",EDATE($D34,Milestones!$AA$171)&gt;=$Z34),$AC34,IF(AND($Y34&lt;&gt;"",EDATE($D34,Milestones!$AA$171)&gt;=$Y34),$AB34,$AA34)))=Milestones!$AB$171),UPPER(TEXT(EDATE($D34,Milestones!$AA$171),"dd mmm yy"))&amp;" "&amp;Milestones!$AB$171&amp;" "&amp;IF(AND(Milestones!$AB$171="FT",Milestones!$AA$171=FT_Y5,EDATE($D34,Milestones!$AA$171)&lt;PolicyEff),1,Milestones!$AC$171)&amp;";  ","")&amp;IF(AND(EDATE($D34,Milestones!$AA$172)&lt;=AsOfDate,EDATE($D34,Milestones!$AA$172)&gt;=SchemeStart,IF($X34=0,$AD34,IF(AND($Z34&lt;&gt;"",EDATE($D34,Milestones!$AA$172)&gt;=$Z34),$AC34,IF(AND($Y34&lt;&gt;"",EDATE($D34,Milestones!$AA$172)&gt;=$Y34),$AB34,$AA34)))=Milestones!$AB$172),UPPER(TEXT(EDATE($D34,Milestones!$AA$172),"dd mmm yy"))&amp;" "&amp;Milestones!$AB$172&amp;" "&amp;IF(AND(Milestones!$AB$172="FT",Milestones!$AA$172=FT_Y5,EDATE($D34,Milestones!$AA$172)&lt;PolicyEff),1,Milestones!$AC$172)&amp;";  ","")&amp;IF(AND(EDATE($D34,Milestones!$AA$173)&lt;=AsOfDate,EDATE($D34,Milestones!$AA$173)&gt;=SchemeStart,IF($X34=0,$AD34,IF(AND($Z34&lt;&gt;"",EDATE($D34,Milestones!$AA$173)&gt;=$Z34),$AC34,IF(AND($Y34&lt;&gt;"",EDATE($D34,Milestones!$AA$173)&gt;=$Y34),$AB34,$AA34)))=Milestones!$AB$173),UPPER(TEXT(EDATE($D34,Milestones!$AA$173),"dd mmm yy"))&amp;" "&amp;Milestones!$AB$173&amp;" "&amp;IF(AND(Milestones!$AB$173="FT",Milestones!$AA$173=FT_Y5,EDATE($D34,Milestones!$AA$173)&lt;PolicyEff),1,Milestones!$AC$173)&amp;";  ","")&amp;IF(AND(EDATE($D34,Milestones!$AA$174)&lt;=AsOfDate,EDATE($D34,Milestones!$AA$174)&gt;=SchemeStart,IF($X34=0,$AD34,IF(AND($Z34&lt;&gt;"",EDATE($D34,Milestones!$AA$174)&gt;=$Z34),$AC34,IF(AND($Y34&lt;&gt;"",EDATE($D34,Milestones!$AA$174)&gt;=$Y34),$AB34,$AA34)))=Milestones!$AB$174),UPPER(TEXT(EDATE($D34,Milestones!$AA$174),"dd mmm yy"))&amp;" "&amp;Milestones!$AB$174&amp;" "&amp;IF(AND(Milestones!$AB$174="FT",Milestones!$AA$174=FT_Y5,EDATE($D34,Milestones!$AA$174)&lt;PolicyEff),1,Milestones!$AC$174)&amp;";  ","")&amp;IF(AND(EDATE($D34,Milestones!$AA$175)&lt;=AsOfDate,EDATE($D34,Milestones!$AA$175)&gt;=SchemeStart,IF($X34=0,$AD34,IF(AND($Z34&lt;&gt;"",EDATE($D34,Milestones!$AA$175)&gt;=$Z34),$AC34,IF(AND($Y34&lt;&gt;"",EDATE($D34,Milestones!$AA$175)&gt;=$Y34),$AB34,$AA34)))=Milestones!$AB$175),UPPER(TEXT(EDATE($D34,Milestones!$AA$175),"dd mmm yy"))&amp;" "&amp;Milestones!$AB$175&amp;" "&amp;IF(AND(Milestones!$AB$175="FT",Milestones!$AA$175=FT_Y5,EDATE($D34,Milestones!$AA$175)&lt;PolicyEff),1,Milestones!$AC$175)&amp;";  ",""))</f>
        <v/>
      </c>
      <c r="V34" s="0" t="str">
        <f aca="false">IF(OR($A34="",$D34=""),"",IF(AND(EDATE($D34,Milestones!$AA$176)&lt;=AsOfDate,EDATE($D34,Milestones!$AA$176)&gt;=SchemeStart,IF($X34=0,$AD34,IF(AND($Z34&lt;&gt;"",EDATE($D34,Milestones!$AA$176)&gt;=$Z34),$AC34,IF(AND($Y34&lt;&gt;"",EDATE($D34,Milestones!$AA$176)&gt;=$Y34),$AB34,$AA34)))=Milestones!$AB$176),UPPER(TEXT(EDATE($D34,Milestones!$AA$176),"dd mmm yy"))&amp;" "&amp;Milestones!$AB$176&amp;" "&amp;IF(AND(Milestones!$AB$176="FT",Milestones!$AA$176=FT_Y5,EDATE($D34,Milestones!$AA$176)&lt;PolicyEff),1,Milestones!$AC$176)&amp;";  ","")&amp;IF(AND(EDATE($D34,Milestones!$AA$177)&lt;=AsOfDate,EDATE($D34,Milestones!$AA$177)&gt;=SchemeStart,IF($X34=0,$AD34,IF(AND($Z34&lt;&gt;"",EDATE($D34,Milestones!$AA$177)&gt;=$Z34),$AC34,IF(AND($Y34&lt;&gt;"",EDATE($D34,Milestones!$AA$177)&gt;=$Y34),$AB34,$AA34)))=Milestones!$AB$177),UPPER(TEXT(EDATE($D34,Milestones!$AA$177),"dd mmm yy"))&amp;" "&amp;Milestones!$AB$177&amp;" "&amp;IF(AND(Milestones!$AB$177="FT",Milestones!$AA$177=FT_Y5,EDATE($D34,Milestones!$AA$177)&lt;PolicyEff),1,Milestones!$AC$177)&amp;";  ","")&amp;IF(AND(EDATE($D34,Milestones!$AA$178)&lt;=AsOfDate,EDATE($D34,Milestones!$AA$178)&gt;=SchemeStart,IF($X34=0,$AD34,IF(AND($Z34&lt;&gt;"",EDATE($D34,Milestones!$AA$178)&gt;=$Z34),$AC34,IF(AND($Y34&lt;&gt;"",EDATE($D34,Milestones!$AA$178)&gt;=$Y34),$AB34,$AA34)))=Milestones!$AB$178),UPPER(TEXT(EDATE($D34,Milestones!$AA$178),"dd mmm yy"))&amp;" "&amp;Milestones!$AB$178&amp;" "&amp;IF(AND(Milestones!$AB$178="FT",Milestones!$AA$178=FT_Y5,EDATE($D34,Milestones!$AA$178)&lt;PolicyEff),1,Milestones!$AC$178)&amp;";  ","")&amp;IF(AND(EDATE($D34,Milestones!$AA$179)&lt;=AsOfDate,EDATE($D34,Milestones!$AA$179)&gt;=SchemeStart,IF($X34=0,$AD34,IF(AND($Z34&lt;&gt;"",EDATE($D34,Milestones!$AA$179)&gt;=$Z34),$AC34,IF(AND($Y34&lt;&gt;"",EDATE($D34,Milestones!$AA$179)&gt;=$Y34),$AB34,$AA34)))=Milestones!$AB$179),UPPER(TEXT(EDATE($D34,Milestones!$AA$179),"dd mmm yy"))&amp;" "&amp;Milestones!$AB$179&amp;" "&amp;IF(AND(Milestones!$AB$179="FT",Milestones!$AA$179=FT_Y5,EDATE($D34,Milestones!$AA$179)&lt;PolicyEff),1,Milestones!$AC$179)&amp;";  ","")&amp;IF(AND(EDATE($D34,Milestones!$AA$180)&lt;=AsOfDate,EDATE($D34,Milestones!$AA$180)&gt;=SchemeStart,IF($X34=0,$AD34,IF(AND($Z34&lt;&gt;"",EDATE($D34,Milestones!$AA$180)&gt;=$Z34),$AC34,IF(AND($Y34&lt;&gt;"",EDATE($D34,Milestones!$AA$180)&gt;=$Y34),$AB34,$AA34)))=Milestones!$AB$180),UPPER(TEXT(EDATE($D34,Milestones!$AA$180),"dd mmm yy"))&amp;" "&amp;Milestones!$AB$180&amp;" "&amp;IF(AND(Milestones!$AB$180="FT",Milestones!$AA$180=FT_Y5,EDATE($D34,Milestones!$AA$180)&lt;PolicyEff),1,Milestones!$AC$180)&amp;";  ","")&amp;IF(AND(EDATE($D34,Milestones!$AA$181)&lt;=AsOfDate,EDATE($D34,Milestones!$AA$181)&gt;=SchemeStart,IF($X34=0,$AD34,IF(AND($Z34&lt;&gt;"",EDATE($D34,Milestones!$AA$181)&gt;=$Z34),$AC34,IF(AND($Y34&lt;&gt;"",EDATE($D34,Milestones!$AA$181)&gt;=$Y34),$AB34,$AA34)))=Milestones!$AB$181),UPPER(TEXT(EDATE($D34,Milestones!$AA$181),"dd mmm yy"))&amp;" "&amp;Milestones!$AB$181&amp;" "&amp;IF(AND(Milestones!$AB$181="FT",Milestones!$AA$181=FT_Y5,EDATE($D34,Milestones!$AA$181)&lt;PolicyEff),1,Milestones!$AC$181)&amp;";  ","")&amp;IF(AND(EDATE($D34,Milestones!$AA$182)&lt;=AsOfDate,EDATE($D34,Milestones!$AA$182)&gt;=SchemeStart,IF($X34=0,$AD34,IF(AND($Z34&lt;&gt;"",EDATE($D34,Milestones!$AA$182)&gt;=$Z34),$AC34,IF(AND($Y34&lt;&gt;"",EDATE($D34,Milestones!$AA$182)&gt;=$Y34),$AB34,$AA34)))=Milestones!$AB$182),UPPER(TEXT(EDATE($D34,Milestones!$AA$182),"dd mmm yy"))&amp;" "&amp;Milestones!$AB$182&amp;" "&amp;IF(AND(Milestones!$AB$182="FT",Milestones!$AA$182=FT_Y5,EDATE($D34,Milestones!$AA$182)&lt;PolicyEff),1,Milestones!$AC$182)&amp;";  ","")&amp;IF(AND(EDATE($D34,Milestones!$AA$183)&lt;=AsOfDate,EDATE($D34,Milestones!$AA$183)&gt;=SchemeStart,IF($X34=0,$AD34,IF(AND($Z34&lt;&gt;"",EDATE($D34,Milestones!$AA$183)&gt;=$Z34),$AC34,IF(AND($Y34&lt;&gt;"",EDATE($D34,Milestones!$AA$183)&gt;=$Y34),$AB34,$AA34)))=Milestones!$AB$183),UPPER(TEXT(EDATE($D34,Milestones!$AA$183),"dd mmm yy"))&amp;" "&amp;Milestones!$AB$183&amp;" "&amp;IF(AND(Milestones!$AB$183="FT",Milestones!$AA$183=FT_Y5,EDATE($D34,Milestones!$AA$183)&lt;PolicyEff),1,Milestones!$AC$183)&amp;";  ","")&amp;IF(AND(EDATE($D34,Milestones!$AA$184)&lt;=AsOfDate,EDATE($D34,Milestones!$AA$184)&gt;=SchemeStart,IF($X34=0,$AD34,IF(AND($Z34&lt;&gt;"",EDATE($D34,Milestones!$AA$184)&gt;=$Z34),$AC34,IF(AND($Y34&lt;&gt;"",EDATE($D34,Milestones!$AA$184)&gt;=$Y34),$AB34,$AA34)))=Milestones!$AB$184),UPPER(TEXT(EDATE($D34,Milestones!$AA$184),"dd mmm yy"))&amp;" "&amp;Milestones!$AB$184&amp;" "&amp;IF(AND(Milestones!$AB$184="FT",Milestones!$AA$184=FT_Y5,EDATE($D34,Milestones!$AA$184)&lt;PolicyEff),1,Milestones!$AC$184)&amp;";  ","")&amp;IF(AND(EDATE($D34,Milestones!$AA$185)&lt;=AsOfDate,EDATE($D34,Milestones!$AA$185)&gt;=SchemeStart,IF($X34=0,$AD34,IF(AND($Z34&lt;&gt;"",EDATE($D34,Milestones!$AA$185)&gt;=$Z34),$AC34,IF(AND($Y34&lt;&gt;"",EDATE($D34,Milestones!$AA$185)&gt;=$Y34),$AB34,$AA34)))=Milestones!$AB$185),UPPER(TEXT(EDATE($D34,Milestones!$AA$185),"dd mmm yy"))&amp;" "&amp;Milestones!$AB$185&amp;" "&amp;IF(AND(Milestones!$AB$185="FT",Milestones!$AA$185=FT_Y5,EDATE($D34,Milestones!$AA$185)&lt;PolicyEff),1,Milestones!$AC$185)&amp;";  ","")&amp;IF(AND(EDATE($D34,Milestones!$AA$186)&lt;=AsOfDate,EDATE($D34,Milestones!$AA$186)&gt;=SchemeStart,IF($X34=0,$AD34,IF(AND($Z34&lt;&gt;"",EDATE($D34,Milestones!$AA$186)&gt;=$Z34),$AC34,IF(AND($Y34&lt;&gt;"",EDATE($D34,Milestones!$AA$186)&gt;=$Y34),$AB34,$AA34)))=Milestones!$AB$186),UPPER(TEXT(EDATE($D34,Milestones!$AA$186),"dd mmm yy"))&amp;" "&amp;Milestones!$AB$186&amp;" "&amp;IF(AND(Milestones!$AB$186="FT",Milestones!$AA$186=FT_Y5,EDATE($D34,Milestones!$AA$186)&lt;PolicyEff),1,Milestones!$AC$186)&amp;";  ","")&amp;IF(AND(EDATE($D34,Milestones!$AA$187)&lt;=AsOfDate,EDATE($D34,Milestones!$AA$187)&gt;=SchemeStart,IF($X34=0,$AD34,IF(AND($Z34&lt;&gt;"",EDATE($D34,Milestones!$AA$187)&gt;=$Z34),$AC34,IF(AND($Y34&lt;&gt;"",EDATE($D34,Milestones!$AA$187)&gt;=$Y34),$AB34,$AA34)))=Milestones!$AB$187),UPPER(TEXT(EDATE($D34,Milestones!$AA$187),"dd mmm yy"))&amp;" "&amp;Milestones!$AB$187&amp;" "&amp;IF(AND(Milestones!$AB$187="FT",Milestones!$AA$187=FT_Y5,EDATE($D34,Milestones!$AA$187)&lt;PolicyEff),1,Milestones!$AC$187)&amp;";  ",""))</f>
        <v/>
      </c>
      <c r="W34" s="0" t="str">
        <f aca="false">IF(OR($A34="",$D34=""),"",IF(AND(EDATE($D34,Milestones!$AA$188)&lt;=AsOfDate,EDATE($D34,Milestones!$AA$188)&gt;=SchemeStart,IF($X34=0,$AD34,IF(AND($Z34&lt;&gt;"",EDATE($D34,Milestones!$AA$188)&gt;=$Z34),$AC34,IF(AND($Y34&lt;&gt;"",EDATE($D34,Milestones!$AA$188)&gt;=$Y34),$AB34,$AA34)))=Milestones!$AB$188),UPPER(TEXT(EDATE($D34,Milestones!$AA$188),"dd mmm yy"))&amp;" "&amp;Milestones!$AB$188&amp;" "&amp;IF(AND(Milestones!$AB$188="FT",Milestones!$AA$188=FT_Y5,EDATE($D34,Milestones!$AA$188)&lt;PolicyEff),1,Milestones!$AC$188)&amp;";  ","")&amp;IF(AND(EDATE($D34,Milestones!$AA$189)&lt;=AsOfDate,EDATE($D34,Milestones!$AA$189)&gt;=SchemeStart,IF($X34=0,$AD34,IF(AND($Z34&lt;&gt;"",EDATE($D34,Milestones!$AA$189)&gt;=$Z34),$AC34,IF(AND($Y34&lt;&gt;"",EDATE($D34,Milestones!$AA$189)&gt;=$Y34),$AB34,$AA34)))=Milestones!$AB$189),UPPER(TEXT(EDATE($D34,Milestones!$AA$189),"dd mmm yy"))&amp;" "&amp;Milestones!$AB$189&amp;" "&amp;IF(AND(Milestones!$AB$189="FT",Milestones!$AA$189=FT_Y5,EDATE($D34,Milestones!$AA$189)&lt;PolicyEff),1,Milestones!$AC$189)&amp;";  ","")&amp;IF(AND(EDATE($D34,Milestones!$AA$190)&lt;=AsOfDate,EDATE($D34,Milestones!$AA$190)&gt;=SchemeStart,IF($X34=0,$AD34,IF(AND($Z34&lt;&gt;"",EDATE($D34,Milestones!$AA$190)&gt;=$Z34),$AC34,IF(AND($Y34&lt;&gt;"",EDATE($D34,Milestones!$AA$190)&gt;=$Y34),$AB34,$AA34)))=Milestones!$AB$190),UPPER(TEXT(EDATE($D34,Milestones!$AA$190),"dd mmm yy"))&amp;" "&amp;Milestones!$AB$190&amp;" "&amp;IF(AND(Milestones!$AB$190="FT",Milestones!$AA$190=FT_Y5,EDATE($D34,Milestones!$AA$190)&lt;PolicyEff),1,Milestones!$AC$190)&amp;";  ","")&amp;IF(AND(EDATE($D34,Milestones!$AA$191)&lt;=AsOfDate,EDATE($D34,Milestones!$AA$191)&gt;=SchemeStart,IF($X34=0,$AD34,IF(AND($Z34&lt;&gt;"",EDATE($D34,Milestones!$AA$191)&gt;=$Z34),$AC34,IF(AND($Y34&lt;&gt;"",EDATE($D34,Milestones!$AA$191)&gt;=$Y34),$AB34,$AA34)))=Milestones!$AB$191),UPPER(TEXT(EDATE($D34,Milestones!$AA$191),"dd mmm yy"))&amp;" "&amp;Milestones!$AB$191&amp;" "&amp;IF(AND(Milestones!$AB$191="FT",Milestones!$AA$191=FT_Y5,EDATE($D34,Milestones!$AA$191)&lt;PolicyEff),1,Milestones!$AC$191)&amp;";  ","")&amp;IF(AND(EDATE($D34,Milestones!$AA$192)&lt;=AsOfDate,EDATE($D34,Milestones!$AA$192)&gt;=SchemeStart,IF($X34=0,$AD34,IF(AND($Z34&lt;&gt;"",EDATE($D34,Milestones!$AA$192)&gt;=$Z34),$AC34,IF(AND($Y34&lt;&gt;"",EDATE($D34,Milestones!$AA$192)&gt;=$Y34),$AB34,$AA34)))=Milestones!$AB$192),UPPER(TEXT(EDATE($D34,Milestones!$AA$192),"dd mmm yy"))&amp;" "&amp;Milestones!$AB$192&amp;" "&amp;IF(AND(Milestones!$AB$192="FT",Milestones!$AA$192=FT_Y5,EDATE($D34,Milestones!$AA$192)&lt;PolicyEff),1,Milestones!$AC$192)&amp;";  ","")&amp;IF(AND(EDATE($D34,Milestones!$AA$193)&lt;=AsOfDate,EDATE($D34,Milestones!$AA$193)&gt;=SchemeStart,IF($X34=0,$AD34,IF(AND($Z34&lt;&gt;"",EDATE($D34,Milestones!$AA$193)&gt;=$Z34),$AC34,IF(AND($Y34&lt;&gt;"",EDATE($D34,Milestones!$AA$193)&gt;=$Y34),$AB34,$AA34)))=Milestones!$AB$193),UPPER(TEXT(EDATE($D34,Milestones!$AA$193),"dd mmm yy"))&amp;" "&amp;Milestones!$AB$193&amp;" "&amp;IF(AND(Milestones!$AB$193="FT",Milestones!$AA$193=FT_Y5,EDATE($D34,Milestones!$AA$193)&lt;PolicyEff),1,Milestones!$AC$193)&amp;";  ","")&amp;IF(AND(EDATE($D34,Milestones!$AA$194)&lt;=AsOfDate,EDATE($D34,Milestones!$AA$194)&gt;=SchemeStart,IF($X34=0,$AD34,IF(AND($Z34&lt;&gt;"",EDATE($D34,Milestones!$AA$194)&gt;=$Z34),$AC34,IF(AND($Y34&lt;&gt;"",EDATE($D34,Milestones!$AA$194)&gt;=$Y34),$AB34,$AA34)))=Milestones!$AB$194),UPPER(TEXT(EDATE($D34,Milestones!$AA$194),"dd mmm yy"))&amp;" "&amp;Milestones!$AB$194&amp;" "&amp;IF(AND(Milestones!$AB$194="FT",Milestones!$AA$194=FT_Y5,EDATE($D34,Milestones!$AA$194)&lt;PolicyEff),1,Milestones!$AC$194)&amp;";  ","")&amp;IF(AND(EDATE($D34,Milestones!$AA$195)&lt;=AsOfDate,EDATE($D34,Milestones!$AA$195)&gt;=SchemeStart,IF($X34=0,$AD34,IF(AND($Z34&lt;&gt;"",EDATE($D34,Milestones!$AA$195)&gt;=$Z34),$AC34,IF(AND($Y34&lt;&gt;"",EDATE($D34,Milestones!$AA$195)&gt;=$Y34),$AB34,$AA34)))=Milestones!$AB$195),UPPER(TEXT(EDATE($D34,Milestones!$AA$195),"dd mmm yy"))&amp;" "&amp;Milestones!$AB$195&amp;" "&amp;IF(AND(Milestones!$AB$195="FT",Milestones!$AA$195=FT_Y5,EDATE($D34,Milestones!$AA$195)&lt;PolicyEff),1,Milestones!$AC$195)&amp;";  ","")&amp;IF(AND(EDATE($D34,Milestones!$AA$196)&lt;=AsOfDate,EDATE($D34,Milestones!$AA$196)&gt;=SchemeStart,IF($X34=0,$AD34,IF(AND($Z34&lt;&gt;"",EDATE($D34,Milestones!$AA$196)&gt;=$Z34),$AC34,IF(AND($Y34&lt;&gt;"",EDATE($D34,Milestones!$AA$196)&gt;=$Y34),$AB34,$AA34)))=Milestones!$AB$196),UPPER(TEXT(EDATE($D34,Milestones!$AA$196),"dd mmm yy"))&amp;" "&amp;Milestones!$AB$196&amp;" "&amp;IF(AND(Milestones!$AB$196="FT",Milestones!$AA$196=FT_Y5,EDATE($D34,Milestones!$AA$196)&lt;PolicyEff),1,Milestones!$AC$196)&amp;";  ","")&amp;IF(AND(EDATE($D34,Milestones!$AA$197)&lt;=AsOfDate,EDATE($D34,Milestones!$AA$197)&gt;=SchemeStart,IF($X34=0,$AD34,IF(AND($Z34&lt;&gt;"",EDATE($D34,Milestones!$AA$197)&gt;=$Z34),$AC34,IF(AND($Y34&lt;&gt;"",EDATE($D34,Milestones!$AA$197)&gt;=$Y34),$AB34,$AA34)))=Milestones!$AB$197),UPPER(TEXT(EDATE($D34,Milestones!$AA$197),"dd mmm yy"))&amp;" "&amp;Milestones!$AB$197&amp;" "&amp;IF(AND(Milestones!$AB$197="FT",Milestones!$AA$197=FT_Y5,EDATE($D34,Milestones!$AA$197)&lt;PolicyEff),1,Milestones!$AC$197)&amp;";  ","")&amp;IF(AND(EDATE($D34,Milestones!$AA$198)&lt;=AsOfDate,EDATE($D34,Milestones!$AA$198)&gt;=SchemeStart,IF($X34=0,$AD34,IF(AND($Z34&lt;&gt;"",EDATE($D34,Milestones!$AA$198)&gt;=$Z34),$AC34,IF(AND($Y34&lt;&gt;"",EDATE($D34,Milestones!$AA$198)&gt;=$Y34),$AB34,$AA34)))=Milestones!$AB$198),UPPER(TEXT(EDATE($D34,Milestones!$AA$198),"dd mmm yy"))&amp;" "&amp;Milestones!$AB$198&amp;" "&amp;IF(AND(Milestones!$AB$198="FT",Milestones!$AA$198=FT_Y5,EDATE($D34,Milestones!$AA$198)&lt;PolicyEff),1,Milestones!$AC$198)&amp;";  ","")&amp;IF(AND(EDATE($D34,Milestones!$AA$199)&lt;=AsOfDate,EDATE($D34,Milestones!$AA$199)&gt;=SchemeStart,IF($X34=0,$AD34,IF(AND($Z34&lt;&gt;"",EDATE($D34,Milestones!$AA$199)&gt;=$Z34),$AC34,IF(AND($Y34&lt;&gt;"",EDATE($D34,Milestones!$AA$199)&gt;=$Y34),$AB34,$AA34)))=Milestones!$AB$199),UPPER(TEXT(EDATE($D34,Milestones!$AA$199),"dd mmm yy"))&amp;" "&amp;Milestones!$AB$199&amp;" "&amp;IF(AND(Milestones!$AB$199="FT",Milestones!$AA$199=FT_Y5,EDATE($D34,Milestones!$AA$199)&lt;PolicyEff),1,Milestones!$AC$199)&amp;";  ",""))</f>
        <v/>
      </c>
      <c r="X34" s="0" t="str">
        <f aca="false">IF(Staff!$A34="","",Staff!$AM34)</f>
        <v/>
      </c>
      <c r="Y34" s="0" t="str">
        <f aca="false">IF(Staff!$A34="","",Staff!$AO34)</f>
        <v/>
      </c>
      <c r="Z34" s="0" t="str">
        <f aca="false">IF(Staff!$A34="","",Staff!$AP34)</f>
        <v/>
      </c>
      <c r="AA34" s="0" t="str">
        <f aca="false">IF(Staff!$A34="","",Staff!$AT34)</f>
        <v/>
      </c>
      <c r="AB34" s="0" t="str">
        <f aca="false">IF(Staff!$A34="","",Staff!$AU34)</f>
        <v/>
      </c>
      <c r="AC34" s="0" t="str">
        <f aca="false">IF(Staff!$A34="","",Staff!$AV34)</f>
        <v/>
      </c>
      <c r="AD34" s="0" t="str">
        <f aca="false">IF(Staff!$A34="","",Staff!$AW34)</f>
        <v/>
      </c>
    </row>
    <row r="35" customFormat="false" ht="15" hidden="false" customHeight="false" outlineLevel="0" collapsed="false">
      <c r="A35" s="16" t="str">
        <f aca="false">IF(Staff!$A35="","",Staff!$A35)</f>
        <v/>
      </c>
      <c r="B35" s="16" t="str">
        <f aca="false">IF(Staff!$A35="","",Staff!$B35)</f>
        <v/>
      </c>
      <c r="C35" s="16" t="str">
        <f aca="false">IF(Staff!$A35="","",Staff!$C35)</f>
        <v/>
      </c>
      <c r="D35" s="14" t="str">
        <f aca="false">IF(Staff!$A35="","",Staff!$AL35)</f>
        <v/>
      </c>
      <c r="E35" s="16" t="str">
        <f aca="false">IF(Staff!$A35="","",Staff!$O35)</f>
        <v/>
      </c>
      <c r="F35" s="16" t="str">
        <f aca="false">IF(E35="","",E35*HoursPerDay)</f>
        <v/>
      </c>
      <c r="G35" s="16" t="str">
        <f aca="false">IF(Staff!$A35="","",Staff!$AE35)</f>
        <v/>
      </c>
      <c r="H35" s="28" t="str">
        <f aca="false">IF($A35="","",I35&amp;J35&amp;K35&amp;L35&amp;M35&amp;N35&amp;O35&amp;P35&amp;Q35&amp;R35&amp;S35&amp;T35&amp;U35&amp;V35&amp;W35)</f>
        <v/>
      </c>
      <c r="I35" s="0" t="str">
        <f aca="false">IF(OR($A35="",$D35=""),"",IF(AND(EDATE($D35,Milestones!$AA$20)&lt;=AsOfDate,EDATE($D35,Milestones!$AA$20)&gt;=SchemeStart,IF($X35=0,$AD35,IF(AND($Z35&lt;&gt;"",EDATE($D35,Milestones!$AA$20)&gt;=$Z35),$AC35,IF(AND($Y35&lt;&gt;"",EDATE($D35,Milestones!$AA$20)&gt;=$Y35),$AB35,$AA35)))=Milestones!$AB$20),UPPER(TEXT(EDATE($D35,Milestones!$AA$20),"dd mmm yy"))&amp;" "&amp;Milestones!$AB$20&amp;" "&amp;IF(AND(Milestones!$AB$20="FT",Milestones!$AA$20=FT_Y5,EDATE($D35,Milestones!$AA$20)&lt;PolicyEff),1,Milestones!$AC$20)&amp;";  ","")&amp;IF(AND(EDATE($D35,Milestones!$AA$21)&lt;=AsOfDate,EDATE($D35,Milestones!$AA$21)&gt;=SchemeStart,IF($X35=0,$AD35,IF(AND($Z35&lt;&gt;"",EDATE($D35,Milestones!$AA$21)&gt;=$Z35),$AC35,IF(AND($Y35&lt;&gt;"",EDATE($D35,Milestones!$AA$21)&gt;=$Y35),$AB35,$AA35)))=Milestones!$AB$21),UPPER(TEXT(EDATE($D35,Milestones!$AA$21),"dd mmm yy"))&amp;" "&amp;Milestones!$AB$21&amp;" "&amp;IF(AND(Milestones!$AB$21="FT",Milestones!$AA$21=FT_Y5,EDATE($D35,Milestones!$AA$21)&lt;PolicyEff),1,Milestones!$AC$21)&amp;";  ","")&amp;IF(AND(EDATE($D35,Milestones!$AA$22)&lt;=AsOfDate,EDATE($D35,Milestones!$AA$22)&gt;=SchemeStart,IF($X35=0,$AD35,IF(AND($Z35&lt;&gt;"",EDATE($D35,Milestones!$AA$22)&gt;=$Z35),$AC35,IF(AND($Y35&lt;&gt;"",EDATE($D35,Milestones!$AA$22)&gt;=$Y35),$AB35,$AA35)))=Milestones!$AB$22),UPPER(TEXT(EDATE($D35,Milestones!$AA$22),"dd mmm yy"))&amp;" "&amp;Milestones!$AB$22&amp;" "&amp;IF(AND(Milestones!$AB$22="FT",Milestones!$AA$22=FT_Y5,EDATE($D35,Milestones!$AA$22)&lt;PolicyEff),1,Milestones!$AC$22)&amp;";  ","")&amp;IF(AND(EDATE($D35,Milestones!$AA$23)&lt;=AsOfDate,EDATE($D35,Milestones!$AA$23)&gt;=SchemeStart,IF($X35=0,$AD35,IF(AND($Z35&lt;&gt;"",EDATE($D35,Milestones!$AA$23)&gt;=$Z35),$AC35,IF(AND($Y35&lt;&gt;"",EDATE($D35,Milestones!$AA$23)&gt;=$Y35),$AB35,$AA35)))=Milestones!$AB$23),UPPER(TEXT(EDATE($D35,Milestones!$AA$23),"dd mmm yy"))&amp;" "&amp;Milestones!$AB$23&amp;" "&amp;IF(AND(Milestones!$AB$23="FT",Milestones!$AA$23=FT_Y5,EDATE($D35,Milestones!$AA$23)&lt;PolicyEff),1,Milestones!$AC$23)&amp;";  ","")&amp;IF(AND(EDATE($D35,Milestones!$AA$24)&lt;=AsOfDate,EDATE($D35,Milestones!$AA$24)&gt;=SchemeStart,IF($X35=0,$AD35,IF(AND($Z35&lt;&gt;"",EDATE($D35,Milestones!$AA$24)&gt;=$Z35),$AC35,IF(AND($Y35&lt;&gt;"",EDATE($D35,Milestones!$AA$24)&gt;=$Y35),$AB35,$AA35)))=Milestones!$AB$24),UPPER(TEXT(EDATE($D35,Milestones!$AA$24),"dd mmm yy"))&amp;" "&amp;Milestones!$AB$24&amp;" "&amp;IF(AND(Milestones!$AB$24="FT",Milestones!$AA$24=FT_Y5,EDATE($D35,Milestones!$AA$24)&lt;PolicyEff),1,Milestones!$AC$24)&amp;";  ","")&amp;IF(AND(EDATE($D35,Milestones!$AA$25)&lt;=AsOfDate,EDATE($D35,Milestones!$AA$25)&gt;=SchemeStart,IF($X35=0,$AD35,IF(AND($Z35&lt;&gt;"",EDATE($D35,Milestones!$AA$25)&gt;=$Z35),$AC35,IF(AND($Y35&lt;&gt;"",EDATE($D35,Milestones!$AA$25)&gt;=$Y35),$AB35,$AA35)))=Milestones!$AB$25),UPPER(TEXT(EDATE($D35,Milestones!$AA$25),"dd mmm yy"))&amp;" "&amp;Milestones!$AB$25&amp;" "&amp;IF(AND(Milestones!$AB$25="FT",Milestones!$AA$25=FT_Y5,EDATE($D35,Milestones!$AA$25)&lt;PolicyEff),1,Milestones!$AC$25)&amp;";  ","")&amp;IF(AND(EDATE($D35,Milestones!$AA$26)&lt;=AsOfDate,EDATE($D35,Milestones!$AA$26)&gt;=SchemeStart,IF($X35=0,$AD35,IF(AND($Z35&lt;&gt;"",EDATE($D35,Milestones!$AA$26)&gt;=$Z35),$AC35,IF(AND($Y35&lt;&gt;"",EDATE($D35,Milestones!$AA$26)&gt;=$Y35),$AB35,$AA35)))=Milestones!$AB$26),UPPER(TEXT(EDATE($D35,Milestones!$AA$26),"dd mmm yy"))&amp;" "&amp;Milestones!$AB$26&amp;" "&amp;IF(AND(Milestones!$AB$26="FT",Milestones!$AA$26=FT_Y5,EDATE($D35,Milestones!$AA$26)&lt;PolicyEff),1,Milestones!$AC$26)&amp;";  ","")&amp;IF(AND(EDATE($D35,Milestones!$AA$27)&lt;=AsOfDate,EDATE($D35,Milestones!$AA$27)&gt;=SchemeStart,IF($X35=0,$AD35,IF(AND($Z35&lt;&gt;"",EDATE($D35,Milestones!$AA$27)&gt;=$Z35),$AC35,IF(AND($Y35&lt;&gt;"",EDATE($D35,Milestones!$AA$27)&gt;=$Y35),$AB35,$AA35)))=Milestones!$AB$27),UPPER(TEXT(EDATE($D35,Milestones!$AA$27),"dd mmm yy"))&amp;" "&amp;Milestones!$AB$27&amp;" "&amp;IF(AND(Milestones!$AB$27="FT",Milestones!$AA$27=FT_Y5,EDATE($D35,Milestones!$AA$27)&lt;PolicyEff),1,Milestones!$AC$27)&amp;";  ","")&amp;IF(AND(EDATE($D35,Milestones!$AA$28)&lt;=AsOfDate,EDATE($D35,Milestones!$AA$28)&gt;=SchemeStart,IF($X35=0,$AD35,IF(AND($Z35&lt;&gt;"",EDATE($D35,Milestones!$AA$28)&gt;=$Z35),$AC35,IF(AND($Y35&lt;&gt;"",EDATE($D35,Milestones!$AA$28)&gt;=$Y35),$AB35,$AA35)))=Milestones!$AB$28),UPPER(TEXT(EDATE($D35,Milestones!$AA$28),"dd mmm yy"))&amp;" "&amp;Milestones!$AB$28&amp;" "&amp;IF(AND(Milestones!$AB$28="FT",Milestones!$AA$28=FT_Y5,EDATE($D35,Milestones!$AA$28)&lt;PolicyEff),1,Milestones!$AC$28)&amp;";  ","")&amp;IF(AND(EDATE($D35,Milestones!$AA$29)&lt;=AsOfDate,EDATE($D35,Milestones!$AA$29)&gt;=SchemeStart,IF($X35=0,$AD35,IF(AND($Z35&lt;&gt;"",EDATE($D35,Milestones!$AA$29)&gt;=$Z35),$AC35,IF(AND($Y35&lt;&gt;"",EDATE($D35,Milestones!$AA$29)&gt;=$Y35),$AB35,$AA35)))=Milestones!$AB$29),UPPER(TEXT(EDATE($D35,Milestones!$AA$29),"dd mmm yy"))&amp;" "&amp;Milestones!$AB$29&amp;" "&amp;IF(AND(Milestones!$AB$29="FT",Milestones!$AA$29=FT_Y5,EDATE($D35,Milestones!$AA$29)&lt;PolicyEff),1,Milestones!$AC$29)&amp;";  ","")&amp;IF(AND(EDATE($D35,Milestones!$AA$30)&lt;=AsOfDate,EDATE($D35,Milestones!$AA$30)&gt;=SchemeStart,IF($X35=0,$AD35,IF(AND($Z35&lt;&gt;"",EDATE($D35,Milestones!$AA$30)&gt;=$Z35),$AC35,IF(AND($Y35&lt;&gt;"",EDATE($D35,Milestones!$AA$30)&gt;=$Y35),$AB35,$AA35)))=Milestones!$AB$30),UPPER(TEXT(EDATE($D35,Milestones!$AA$30),"dd mmm yy"))&amp;" "&amp;Milestones!$AB$30&amp;" "&amp;IF(AND(Milestones!$AB$30="FT",Milestones!$AA$30=FT_Y5,EDATE($D35,Milestones!$AA$30)&lt;PolicyEff),1,Milestones!$AC$30)&amp;";  ","")&amp;IF(AND(EDATE($D35,Milestones!$AA$31)&lt;=AsOfDate,EDATE($D35,Milestones!$AA$31)&gt;=SchemeStart,IF($X35=0,$AD35,IF(AND($Z35&lt;&gt;"",EDATE($D35,Milestones!$AA$31)&gt;=$Z35),$AC35,IF(AND($Y35&lt;&gt;"",EDATE($D35,Milestones!$AA$31)&gt;=$Y35),$AB35,$AA35)))=Milestones!$AB$31),UPPER(TEXT(EDATE($D35,Milestones!$AA$31),"dd mmm yy"))&amp;" "&amp;Milestones!$AB$31&amp;" "&amp;IF(AND(Milestones!$AB$31="FT",Milestones!$AA$31=FT_Y5,EDATE($D35,Milestones!$AA$31)&lt;PolicyEff),1,Milestones!$AC$31)&amp;";  ",""))</f>
        <v/>
      </c>
      <c r="J35" s="0" t="str">
        <f aca="false">IF(OR($A35="",$D35=""),"",IF(AND(EDATE($D35,Milestones!$AA$32)&lt;=AsOfDate,EDATE($D35,Milestones!$AA$32)&gt;=SchemeStart,IF($X35=0,$AD35,IF(AND($Z35&lt;&gt;"",EDATE($D35,Milestones!$AA$32)&gt;=$Z35),$AC35,IF(AND($Y35&lt;&gt;"",EDATE($D35,Milestones!$AA$32)&gt;=$Y35),$AB35,$AA35)))=Milestones!$AB$32),UPPER(TEXT(EDATE($D35,Milestones!$AA$32),"dd mmm yy"))&amp;" "&amp;Milestones!$AB$32&amp;" "&amp;IF(AND(Milestones!$AB$32="FT",Milestones!$AA$32=FT_Y5,EDATE($D35,Milestones!$AA$32)&lt;PolicyEff),1,Milestones!$AC$32)&amp;";  ","")&amp;IF(AND(EDATE($D35,Milestones!$AA$33)&lt;=AsOfDate,EDATE($D35,Milestones!$AA$33)&gt;=SchemeStart,IF($X35=0,$AD35,IF(AND($Z35&lt;&gt;"",EDATE($D35,Milestones!$AA$33)&gt;=$Z35),$AC35,IF(AND($Y35&lt;&gt;"",EDATE($D35,Milestones!$AA$33)&gt;=$Y35),$AB35,$AA35)))=Milestones!$AB$33),UPPER(TEXT(EDATE($D35,Milestones!$AA$33),"dd mmm yy"))&amp;" "&amp;Milestones!$AB$33&amp;" "&amp;IF(AND(Milestones!$AB$33="FT",Milestones!$AA$33=FT_Y5,EDATE($D35,Milestones!$AA$33)&lt;PolicyEff),1,Milestones!$AC$33)&amp;";  ","")&amp;IF(AND(EDATE($D35,Milestones!$AA$34)&lt;=AsOfDate,EDATE($D35,Milestones!$AA$34)&gt;=SchemeStart,IF($X35=0,$AD35,IF(AND($Z35&lt;&gt;"",EDATE($D35,Milestones!$AA$34)&gt;=$Z35),$AC35,IF(AND($Y35&lt;&gt;"",EDATE($D35,Milestones!$AA$34)&gt;=$Y35),$AB35,$AA35)))=Milestones!$AB$34),UPPER(TEXT(EDATE($D35,Milestones!$AA$34),"dd mmm yy"))&amp;" "&amp;Milestones!$AB$34&amp;" "&amp;IF(AND(Milestones!$AB$34="FT",Milestones!$AA$34=FT_Y5,EDATE($D35,Milestones!$AA$34)&lt;PolicyEff),1,Milestones!$AC$34)&amp;";  ","")&amp;IF(AND(EDATE($D35,Milestones!$AA$35)&lt;=AsOfDate,EDATE($D35,Milestones!$AA$35)&gt;=SchemeStart,IF($X35=0,$AD35,IF(AND($Z35&lt;&gt;"",EDATE($D35,Milestones!$AA$35)&gt;=$Z35),$AC35,IF(AND($Y35&lt;&gt;"",EDATE($D35,Milestones!$AA$35)&gt;=$Y35),$AB35,$AA35)))=Milestones!$AB$35),UPPER(TEXT(EDATE($D35,Milestones!$AA$35),"dd mmm yy"))&amp;" "&amp;Milestones!$AB$35&amp;" "&amp;IF(AND(Milestones!$AB$35="FT",Milestones!$AA$35=FT_Y5,EDATE($D35,Milestones!$AA$35)&lt;PolicyEff),1,Milestones!$AC$35)&amp;";  ","")&amp;IF(AND(EDATE($D35,Milestones!$AA$36)&lt;=AsOfDate,EDATE($D35,Milestones!$AA$36)&gt;=SchemeStart,IF($X35=0,$AD35,IF(AND($Z35&lt;&gt;"",EDATE($D35,Milestones!$AA$36)&gt;=$Z35),$AC35,IF(AND($Y35&lt;&gt;"",EDATE($D35,Milestones!$AA$36)&gt;=$Y35),$AB35,$AA35)))=Milestones!$AB$36),UPPER(TEXT(EDATE($D35,Milestones!$AA$36),"dd mmm yy"))&amp;" "&amp;Milestones!$AB$36&amp;" "&amp;IF(AND(Milestones!$AB$36="FT",Milestones!$AA$36=FT_Y5,EDATE($D35,Milestones!$AA$36)&lt;PolicyEff),1,Milestones!$AC$36)&amp;";  ","")&amp;IF(AND(EDATE($D35,Milestones!$AA$37)&lt;=AsOfDate,EDATE($D35,Milestones!$AA$37)&gt;=SchemeStart,IF($X35=0,$AD35,IF(AND($Z35&lt;&gt;"",EDATE($D35,Milestones!$AA$37)&gt;=$Z35),$AC35,IF(AND($Y35&lt;&gt;"",EDATE($D35,Milestones!$AA$37)&gt;=$Y35),$AB35,$AA35)))=Milestones!$AB$37),UPPER(TEXT(EDATE($D35,Milestones!$AA$37),"dd mmm yy"))&amp;" "&amp;Milestones!$AB$37&amp;" "&amp;IF(AND(Milestones!$AB$37="FT",Milestones!$AA$37=FT_Y5,EDATE($D35,Milestones!$AA$37)&lt;PolicyEff),1,Milestones!$AC$37)&amp;";  ","")&amp;IF(AND(EDATE($D35,Milestones!$AA$38)&lt;=AsOfDate,EDATE($D35,Milestones!$AA$38)&gt;=SchemeStart,IF($X35=0,$AD35,IF(AND($Z35&lt;&gt;"",EDATE($D35,Milestones!$AA$38)&gt;=$Z35),$AC35,IF(AND($Y35&lt;&gt;"",EDATE($D35,Milestones!$AA$38)&gt;=$Y35),$AB35,$AA35)))=Milestones!$AB$38),UPPER(TEXT(EDATE($D35,Milestones!$AA$38),"dd mmm yy"))&amp;" "&amp;Milestones!$AB$38&amp;" "&amp;IF(AND(Milestones!$AB$38="FT",Milestones!$AA$38=FT_Y5,EDATE($D35,Milestones!$AA$38)&lt;PolicyEff),1,Milestones!$AC$38)&amp;";  ","")&amp;IF(AND(EDATE($D35,Milestones!$AA$39)&lt;=AsOfDate,EDATE($D35,Milestones!$AA$39)&gt;=SchemeStart,IF($X35=0,$AD35,IF(AND($Z35&lt;&gt;"",EDATE($D35,Milestones!$AA$39)&gt;=$Z35),$AC35,IF(AND($Y35&lt;&gt;"",EDATE($D35,Milestones!$AA$39)&gt;=$Y35),$AB35,$AA35)))=Milestones!$AB$39),UPPER(TEXT(EDATE($D35,Milestones!$AA$39),"dd mmm yy"))&amp;" "&amp;Milestones!$AB$39&amp;" "&amp;IF(AND(Milestones!$AB$39="FT",Milestones!$AA$39=FT_Y5,EDATE($D35,Milestones!$AA$39)&lt;PolicyEff),1,Milestones!$AC$39)&amp;";  ","")&amp;IF(AND(EDATE($D35,Milestones!$AA$40)&lt;=AsOfDate,EDATE($D35,Milestones!$AA$40)&gt;=SchemeStart,IF($X35=0,$AD35,IF(AND($Z35&lt;&gt;"",EDATE($D35,Milestones!$AA$40)&gt;=$Z35),$AC35,IF(AND($Y35&lt;&gt;"",EDATE($D35,Milestones!$AA$40)&gt;=$Y35),$AB35,$AA35)))=Milestones!$AB$40),UPPER(TEXT(EDATE($D35,Milestones!$AA$40),"dd mmm yy"))&amp;" "&amp;Milestones!$AB$40&amp;" "&amp;IF(AND(Milestones!$AB$40="FT",Milestones!$AA$40=FT_Y5,EDATE($D35,Milestones!$AA$40)&lt;PolicyEff),1,Milestones!$AC$40)&amp;";  ","")&amp;IF(AND(EDATE($D35,Milestones!$AA$41)&lt;=AsOfDate,EDATE($D35,Milestones!$AA$41)&gt;=SchemeStart,IF($X35=0,$AD35,IF(AND($Z35&lt;&gt;"",EDATE($D35,Milestones!$AA$41)&gt;=$Z35),$AC35,IF(AND($Y35&lt;&gt;"",EDATE($D35,Milestones!$AA$41)&gt;=$Y35),$AB35,$AA35)))=Milestones!$AB$41),UPPER(TEXT(EDATE($D35,Milestones!$AA$41),"dd mmm yy"))&amp;" "&amp;Milestones!$AB$41&amp;" "&amp;IF(AND(Milestones!$AB$41="FT",Milestones!$AA$41=FT_Y5,EDATE($D35,Milestones!$AA$41)&lt;PolicyEff),1,Milestones!$AC$41)&amp;";  ","")&amp;IF(AND(EDATE($D35,Milestones!$AA$42)&lt;=AsOfDate,EDATE($D35,Milestones!$AA$42)&gt;=SchemeStart,IF($X35=0,$AD35,IF(AND($Z35&lt;&gt;"",EDATE($D35,Milestones!$AA$42)&gt;=$Z35),$AC35,IF(AND($Y35&lt;&gt;"",EDATE($D35,Milestones!$AA$42)&gt;=$Y35),$AB35,$AA35)))=Milestones!$AB$42),UPPER(TEXT(EDATE($D35,Milestones!$AA$42),"dd mmm yy"))&amp;" "&amp;Milestones!$AB$42&amp;" "&amp;IF(AND(Milestones!$AB$42="FT",Milestones!$AA$42=FT_Y5,EDATE($D35,Milestones!$AA$42)&lt;PolicyEff),1,Milestones!$AC$42)&amp;";  ","")&amp;IF(AND(EDATE($D35,Milestones!$AA$43)&lt;=AsOfDate,EDATE($D35,Milestones!$AA$43)&gt;=SchemeStart,IF($X35=0,$AD35,IF(AND($Z35&lt;&gt;"",EDATE($D35,Milestones!$AA$43)&gt;=$Z35),$AC35,IF(AND($Y35&lt;&gt;"",EDATE($D35,Milestones!$AA$43)&gt;=$Y35),$AB35,$AA35)))=Milestones!$AB$43),UPPER(TEXT(EDATE($D35,Milestones!$AA$43),"dd mmm yy"))&amp;" "&amp;Milestones!$AB$43&amp;" "&amp;IF(AND(Milestones!$AB$43="FT",Milestones!$AA$43=FT_Y5,EDATE($D35,Milestones!$AA$43)&lt;PolicyEff),1,Milestones!$AC$43)&amp;";  ",""))</f>
        <v/>
      </c>
      <c r="K35" s="0" t="str">
        <f aca="false">IF(OR($A35="",$D35=""),"",IF(AND(EDATE($D35,Milestones!$AA$44)&lt;=AsOfDate,EDATE($D35,Milestones!$AA$44)&gt;=SchemeStart,IF($X35=0,$AD35,IF(AND($Z35&lt;&gt;"",EDATE($D35,Milestones!$AA$44)&gt;=$Z35),$AC35,IF(AND($Y35&lt;&gt;"",EDATE($D35,Milestones!$AA$44)&gt;=$Y35),$AB35,$AA35)))=Milestones!$AB$44),UPPER(TEXT(EDATE($D35,Milestones!$AA$44),"dd mmm yy"))&amp;" "&amp;Milestones!$AB$44&amp;" "&amp;IF(AND(Milestones!$AB$44="FT",Milestones!$AA$44=FT_Y5,EDATE($D35,Milestones!$AA$44)&lt;PolicyEff),1,Milestones!$AC$44)&amp;";  ","")&amp;IF(AND(EDATE($D35,Milestones!$AA$45)&lt;=AsOfDate,EDATE($D35,Milestones!$AA$45)&gt;=SchemeStart,IF($X35=0,$AD35,IF(AND($Z35&lt;&gt;"",EDATE($D35,Milestones!$AA$45)&gt;=$Z35),$AC35,IF(AND($Y35&lt;&gt;"",EDATE($D35,Milestones!$AA$45)&gt;=$Y35),$AB35,$AA35)))=Milestones!$AB$45),UPPER(TEXT(EDATE($D35,Milestones!$AA$45),"dd mmm yy"))&amp;" "&amp;Milestones!$AB$45&amp;" "&amp;IF(AND(Milestones!$AB$45="FT",Milestones!$AA$45=FT_Y5,EDATE($D35,Milestones!$AA$45)&lt;PolicyEff),1,Milestones!$AC$45)&amp;";  ","")&amp;IF(AND(EDATE($D35,Milestones!$AA$46)&lt;=AsOfDate,EDATE($D35,Milestones!$AA$46)&gt;=SchemeStart,IF($X35=0,$AD35,IF(AND($Z35&lt;&gt;"",EDATE($D35,Milestones!$AA$46)&gt;=$Z35),$AC35,IF(AND($Y35&lt;&gt;"",EDATE($D35,Milestones!$AA$46)&gt;=$Y35),$AB35,$AA35)))=Milestones!$AB$46),UPPER(TEXT(EDATE($D35,Milestones!$AA$46),"dd mmm yy"))&amp;" "&amp;Milestones!$AB$46&amp;" "&amp;IF(AND(Milestones!$AB$46="FT",Milestones!$AA$46=FT_Y5,EDATE($D35,Milestones!$AA$46)&lt;PolicyEff),1,Milestones!$AC$46)&amp;";  ","")&amp;IF(AND(EDATE($D35,Milestones!$AA$47)&lt;=AsOfDate,EDATE($D35,Milestones!$AA$47)&gt;=SchemeStart,IF($X35=0,$AD35,IF(AND($Z35&lt;&gt;"",EDATE($D35,Milestones!$AA$47)&gt;=$Z35),$AC35,IF(AND($Y35&lt;&gt;"",EDATE($D35,Milestones!$AA$47)&gt;=$Y35),$AB35,$AA35)))=Milestones!$AB$47),UPPER(TEXT(EDATE($D35,Milestones!$AA$47),"dd mmm yy"))&amp;" "&amp;Milestones!$AB$47&amp;" "&amp;IF(AND(Milestones!$AB$47="FT",Milestones!$AA$47=FT_Y5,EDATE($D35,Milestones!$AA$47)&lt;PolicyEff),1,Milestones!$AC$47)&amp;";  ","")&amp;IF(AND(EDATE($D35,Milestones!$AA$48)&lt;=AsOfDate,EDATE($D35,Milestones!$AA$48)&gt;=SchemeStart,IF($X35=0,$AD35,IF(AND($Z35&lt;&gt;"",EDATE($D35,Milestones!$AA$48)&gt;=$Z35),$AC35,IF(AND($Y35&lt;&gt;"",EDATE($D35,Milestones!$AA$48)&gt;=$Y35),$AB35,$AA35)))=Milestones!$AB$48),UPPER(TEXT(EDATE($D35,Milestones!$AA$48),"dd mmm yy"))&amp;" "&amp;Milestones!$AB$48&amp;" "&amp;IF(AND(Milestones!$AB$48="FT",Milestones!$AA$48=FT_Y5,EDATE($D35,Milestones!$AA$48)&lt;PolicyEff),1,Milestones!$AC$48)&amp;";  ","")&amp;IF(AND(EDATE($D35,Milestones!$AA$49)&lt;=AsOfDate,EDATE($D35,Milestones!$AA$49)&gt;=SchemeStart,IF($X35=0,$AD35,IF(AND($Z35&lt;&gt;"",EDATE($D35,Milestones!$AA$49)&gt;=$Z35),$AC35,IF(AND($Y35&lt;&gt;"",EDATE($D35,Milestones!$AA$49)&gt;=$Y35),$AB35,$AA35)))=Milestones!$AB$49),UPPER(TEXT(EDATE($D35,Milestones!$AA$49),"dd mmm yy"))&amp;" "&amp;Milestones!$AB$49&amp;" "&amp;IF(AND(Milestones!$AB$49="FT",Milestones!$AA$49=FT_Y5,EDATE($D35,Milestones!$AA$49)&lt;PolicyEff),1,Milestones!$AC$49)&amp;";  ","")&amp;IF(AND(EDATE($D35,Milestones!$AA$50)&lt;=AsOfDate,EDATE($D35,Milestones!$AA$50)&gt;=SchemeStart,IF($X35=0,$AD35,IF(AND($Z35&lt;&gt;"",EDATE($D35,Milestones!$AA$50)&gt;=$Z35),$AC35,IF(AND($Y35&lt;&gt;"",EDATE($D35,Milestones!$AA$50)&gt;=$Y35),$AB35,$AA35)))=Milestones!$AB$50),UPPER(TEXT(EDATE($D35,Milestones!$AA$50),"dd mmm yy"))&amp;" "&amp;Milestones!$AB$50&amp;" "&amp;IF(AND(Milestones!$AB$50="FT",Milestones!$AA$50=FT_Y5,EDATE($D35,Milestones!$AA$50)&lt;PolicyEff),1,Milestones!$AC$50)&amp;";  ","")&amp;IF(AND(EDATE($D35,Milestones!$AA$51)&lt;=AsOfDate,EDATE($D35,Milestones!$AA$51)&gt;=SchemeStart,IF($X35=0,$AD35,IF(AND($Z35&lt;&gt;"",EDATE($D35,Milestones!$AA$51)&gt;=$Z35),$AC35,IF(AND($Y35&lt;&gt;"",EDATE($D35,Milestones!$AA$51)&gt;=$Y35),$AB35,$AA35)))=Milestones!$AB$51),UPPER(TEXT(EDATE($D35,Milestones!$AA$51),"dd mmm yy"))&amp;" "&amp;Milestones!$AB$51&amp;" "&amp;IF(AND(Milestones!$AB$51="FT",Milestones!$AA$51=FT_Y5,EDATE($D35,Milestones!$AA$51)&lt;PolicyEff),1,Milestones!$AC$51)&amp;";  ","")&amp;IF(AND(EDATE($D35,Milestones!$AA$52)&lt;=AsOfDate,EDATE($D35,Milestones!$AA$52)&gt;=SchemeStart,IF($X35=0,$AD35,IF(AND($Z35&lt;&gt;"",EDATE($D35,Milestones!$AA$52)&gt;=$Z35),$AC35,IF(AND($Y35&lt;&gt;"",EDATE($D35,Milestones!$AA$52)&gt;=$Y35),$AB35,$AA35)))=Milestones!$AB$52),UPPER(TEXT(EDATE($D35,Milestones!$AA$52),"dd mmm yy"))&amp;" "&amp;Milestones!$AB$52&amp;" "&amp;IF(AND(Milestones!$AB$52="FT",Milestones!$AA$52=FT_Y5,EDATE($D35,Milestones!$AA$52)&lt;PolicyEff),1,Milestones!$AC$52)&amp;";  ","")&amp;IF(AND(EDATE($D35,Milestones!$AA$53)&lt;=AsOfDate,EDATE($D35,Milestones!$AA$53)&gt;=SchemeStart,IF($X35=0,$AD35,IF(AND($Z35&lt;&gt;"",EDATE($D35,Milestones!$AA$53)&gt;=$Z35),$AC35,IF(AND($Y35&lt;&gt;"",EDATE($D35,Milestones!$AA$53)&gt;=$Y35),$AB35,$AA35)))=Milestones!$AB$53),UPPER(TEXT(EDATE($D35,Milestones!$AA$53),"dd mmm yy"))&amp;" "&amp;Milestones!$AB$53&amp;" "&amp;IF(AND(Milestones!$AB$53="FT",Milestones!$AA$53=FT_Y5,EDATE($D35,Milestones!$AA$53)&lt;PolicyEff),1,Milestones!$AC$53)&amp;";  ","")&amp;IF(AND(EDATE($D35,Milestones!$AA$54)&lt;=AsOfDate,EDATE($D35,Milestones!$AA$54)&gt;=SchemeStart,IF($X35=0,$AD35,IF(AND($Z35&lt;&gt;"",EDATE($D35,Milestones!$AA$54)&gt;=$Z35),$AC35,IF(AND($Y35&lt;&gt;"",EDATE($D35,Milestones!$AA$54)&gt;=$Y35),$AB35,$AA35)))=Milestones!$AB$54),UPPER(TEXT(EDATE($D35,Milestones!$AA$54),"dd mmm yy"))&amp;" "&amp;Milestones!$AB$54&amp;" "&amp;IF(AND(Milestones!$AB$54="FT",Milestones!$AA$54=FT_Y5,EDATE($D35,Milestones!$AA$54)&lt;PolicyEff),1,Milestones!$AC$54)&amp;";  ","")&amp;IF(AND(EDATE($D35,Milestones!$AA$55)&lt;=AsOfDate,EDATE($D35,Milestones!$AA$55)&gt;=SchemeStart,IF($X35=0,$AD35,IF(AND($Z35&lt;&gt;"",EDATE($D35,Milestones!$AA$55)&gt;=$Z35),$AC35,IF(AND($Y35&lt;&gt;"",EDATE($D35,Milestones!$AA$55)&gt;=$Y35),$AB35,$AA35)))=Milestones!$AB$55),UPPER(TEXT(EDATE($D35,Milestones!$AA$55),"dd mmm yy"))&amp;" "&amp;Milestones!$AB$55&amp;" "&amp;IF(AND(Milestones!$AB$55="FT",Milestones!$AA$55=FT_Y5,EDATE($D35,Milestones!$AA$55)&lt;PolicyEff),1,Milestones!$AC$55)&amp;";  ",""))</f>
        <v/>
      </c>
      <c r="L35" s="0" t="str">
        <f aca="false">IF(OR($A35="",$D35=""),"",IF(AND(EDATE($D35,Milestones!$AA$56)&lt;=AsOfDate,EDATE($D35,Milestones!$AA$56)&gt;=SchemeStart,IF($X35=0,$AD35,IF(AND($Z35&lt;&gt;"",EDATE($D35,Milestones!$AA$56)&gt;=$Z35),$AC35,IF(AND($Y35&lt;&gt;"",EDATE($D35,Milestones!$AA$56)&gt;=$Y35),$AB35,$AA35)))=Milestones!$AB$56),UPPER(TEXT(EDATE($D35,Milestones!$AA$56),"dd mmm yy"))&amp;" "&amp;Milestones!$AB$56&amp;" "&amp;IF(AND(Milestones!$AB$56="FT",Milestones!$AA$56=FT_Y5,EDATE($D35,Milestones!$AA$56)&lt;PolicyEff),1,Milestones!$AC$56)&amp;";  ","")&amp;IF(AND(EDATE($D35,Milestones!$AA$57)&lt;=AsOfDate,EDATE($D35,Milestones!$AA$57)&gt;=SchemeStart,IF($X35=0,$AD35,IF(AND($Z35&lt;&gt;"",EDATE($D35,Milestones!$AA$57)&gt;=$Z35),$AC35,IF(AND($Y35&lt;&gt;"",EDATE($D35,Milestones!$AA$57)&gt;=$Y35),$AB35,$AA35)))=Milestones!$AB$57),UPPER(TEXT(EDATE($D35,Milestones!$AA$57),"dd mmm yy"))&amp;" "&amp;Milestones!$AB$57&amp;" "&amp;IF(AND(Milestones!$AB$57="FT",Milestones!$AA$57=FT_Y5,EDATE($D35,Milestones!$AA$57)&lt;PolicyEff),1,Milestones!$AC$57)&amp;";  ","")&amp;IF(AND(EDATE($D35,Milestones!$AA$58)&lt;=AsOfDate,EDATE($D35,Milestones!$AA$58)&gt;=SchemeStart,IF($X35=0,$AD35,IF(AND($Z35&lt;&gt;"",EDATE($D35,Milestones!$AA$58)&gt;=$Z35),$AC35,IF(AND($Y35&lt;&gt;"",EDATE($D35,Milestones!$AA$58)&gt;=$Y35),$AB35,$AA35)))=Milestones!$AB$58),UPPER(TEXT(EDATE($D35,Milestones!$AA$58),"dd mmm yy"))&amp;" "&amp;Milestones!$AB$58&amp;" "&amp;IF(AND(Milestones!$AB$58="FT",Milestones!$AA$58=FT_Y5,EDATE($D35,Milestones!$AA$58)&lt;PolicyEff),1,Milestones!$AC$58)&amp;";  ","")&amp;IF(AND(EDATE($D35,Milestones!$AA$59)&lt;=AsOfDate,EDATE($D35,Milestones!$AA$59)&gt;=SchemeStart,IF($X35=0,$AD35,IF(AND($Z35&lt;&gt;"",EDATE($D35,Milestones!$AA$59)&gt;=$Z35),$AC35,IF(AND($Y35&lt;&gt;"",EDATE($D35,Milestones!$AA$59)&gt;=$Y35),$AB35,$AA35)))=Milestones!$AB$59),UPPER(TEXT(EDATE($D35,Milestones!$AA$59),"dd mmm yy"))&amp;" "&amp;Milestones!$AB$59&amp;" "&amp;IF(AND(Milestones!$AB$59="FT",Milestones!$AA$59=FT_Y5,EDATE($D35,Milestones!$AA$59)&lt;PolicyEff),1,Milestones!$AC$59)&amp;";  ","")&amp;IF(AND(EDATE($D35,Milestones!$AA$60)&lt;=AsOfDate,EDATE($D35,Milestones!$AA$60)&gt;=SchemeStart,IF($X35=0,$AD35,IF(AND($Z35&lt;&gt;"",EDATE($D35,Milestones!$AA$60)&gt;=$Z35),$AC35,IF(AND($Y35&lt;&gt;"",EDATE($D35,Milestones!$AA$60)&gt;=$Y35),$AB35,$AA35)))=Milestones!$AB$60),UPPER(TEXT(EDATE($D35,Milestones!$AA$60),"dd mmm yy"))&amp;" "&amp;Milestones!$AB$60&amp;" "&amp;IF(AND(Milestones!$AB$60="FT",Milestones!$AA$60=FT_Y5,EDATE($D35,Milestones!$AA$60)&lt;PolicyEff),1,Milestones!$AC$60)&amp;";  ","")&amp;IF(AND(EDATE($D35,Milestones!$AA$61)&lt;=AsOfDate,EDATE($D35,Milestones!$AA$61)&gt;=SchemeStart,IF($X35=0,$AD35,IF(AND($Z35&lt;&gt;"",EDATE($D35,Milestones!$AA$61)&gt;=$Z35),$AC35,IF(AND($Y35&lt;&gt;"",EDATE($D35,Milestones!$AA$61)&gt;=$Y35),$AB35,$AA35)))=Milestones!$AB$61),UPPER(TEXT(EDATE($D35,Milestones!$AA$61),"dd mmm yy"))&amp;" "&amp;Milestones!$AB$61&amp;" "&amp;IF(AND(Milestones!$AB$61="FT",Milestones!$AA$61=FT_Y5,EDATE($D35,Milestones!$AA$61)&lt;PolicyEff),1,Milestones!$AC$61)&amp;";  ","")&amp;IF(AND(EDATE($D35,Milestones!$AA$62)&lt;=AsOfDate,EDATE($D35,Milestones!$AA$62)&gt;=SchemeStart,IF($X35=0,$AD35,IF(AND($Z35&lt;&gt;"",EDATE($D35,Milestones!$AA$62)&gt;=$Z35),$AC35,IF(AND($Y35&lt;&gt;"",EDATE($D35,Milestones!$AA$62)&gt;=$Y35),$AB35,$AA35)))=Milestones!$AB$62),UPPER(TEXT(EDATE($D35,Milestones!$AA$62),"dd mmm yy"))&amp;" "&amp;Milestones!$AB$62&amp;" "&amp;IF(AND(Milestones!$AB$62="FT",Milestones!$AA$62=FT_Y5,EDATE($D35,Milestones!$AA$62)&lt;PolicyEff),1,Milestones!$AC$62)&amp;";  ","")&amp;IF(AND(EDATE($D35,Milestones!$AA$63)&lt;=AsOfDate,EDATE($D35,Milestones!$AA$63)&gt;=SchemeStart,IF($X35=0,$AD35,IF(AND($Z35&lt;&gt;"",EDATE($D35,Milestones!$AA$63)&gt;=$Z35),$AC35,IF(AND($Y35&lt;&gt;"",EDATE($D35,Milestones!$AA$63)&gt;=$Y35),$AB35,$AA35)))=Milestones!$AB$63),UPPER(TEXT(EDATE($D35,Milestones!$AA$63),"dd mmm yy"))&amp;" "&amp;Milestones!$AB$63&amp;" "&amp;IF(AND(Milestones!$AB$63="FT",Milestones!$AA$63=FT_Y5,EDATE($D35,Milestones!$AA$63)&lt;PolicyEff),1,Milestones!$AC$63)&amp;";  ","")&amp;IF(AND(EDATE($D35,Milestones!$AA$64)&lt;=AsOfDate,EDATE($D35,Milestones!$AA$64)&gt;=SchemeStart,IF($X35=0,$AD35,IF(AND($Z35&lt;&gt;"",EDATE($D35,Milestones!$AA$64)&gt;=$Z35),$AC35,IF(AND($Y35&lt;&gt;"",EDATE($D35,Milestones!$AA$64)&gt;=$Y35),$AB35,$AA35)))=Milestones!$AB$64),UPPER(TEXT(EDATE($D35,Milestones!$AA$64),"dd mmm yy"))&amp;" "&amp;Milestones!$AB$64&amp;" "&amp;IF(AND(Milestones!$AB$64="FT",Milestones!$AA$64=FT_Y5,EDATE($D35,Milestones!$AA$64)&lt;PolicyEff),1,Milestones!$AC$64)&amp;";  ","")&amp;IF(AND(EDATE($D35,Milestones!$AA$65)&lt;=AsOfDate,EDATE($D35,Milestones!$AA$65)&gt;=SchemeStart,IF($X35=0,$AD35,IF(AND($Z35&lt;&gt;"",EDATE($D35,Milestones!$AA$65)&gt;=$Z35),$AC35,IF(AND($Y35&lt;&gt;"",EDATE($D35,Milestones!$AA$65)&gt;=$Y35),$AB35,$AA35)))=Milestones!$AB$65),UPPER(TEXT(EDATE($D35,Milestones!$AA$65),"dd mmm yy"))&amp;" "&amp;Milestones!$AB$65&amp;" "&amp;IF(AND(Milestones!$AB$65="FT",Milestones!$AA$65=FT_Y5,EDATE($D35,Milestones!$AA$65)&lt;PolicyEff),1,Milestones!$AC$65)&amp;";  ","")&amp;IF(AND(EDATE($D35,Milestones!$AA$66)&lt;=AsOfDate,EDATE($D35,Milestones!$AA$66)&gt;=SchemeStart,IF($X35=0,$AD35,IF(AND($Z35&lt;&gt;"",EDATE($D35,Milestones!$AA$66)&gt;=$Z35),$AC35,IF(AND($Y35&lt;&gt;"",EDATE($D35,Milestones!$AA$66)&gt;=$Y35),$AB35,$AA35)))=Milestones!$AB$66),UPPER(TEXT(EDATE($D35,Milestones!$AA$66),"dd mmm yy"))&amp;" "&amp;Milestones!$AB$66&amp;" "&amp;IF(AND(Milestones!$AB$66="FT",Milestones!$AA$66=FT_Y5,EDATE($D35,Milestones!$AA$66)&lt;PolicyEff),1,Milestones!$AC$66)&amp;";  ","")&amp;IF(AND(EDATE($D35,Milestones!$AA$67)&lt;=AsOfDate,EDATE($D35,Milestones!$AA$67)&gt;=SchemeStart,IF($X35=0,$AD35,IF(AND($Z35&lt;&gt;"",EDATE($D35,Milestones!$AA$67)&gt;=$Z35),$AC35,IF(AND($Y35&lt;&gt;"",EDATE($D35,Milestones!$AA$67)&gt;=$Y35),$AB35,$AA35)))=Milestones!$AB$67),UPPER(TEXT(EDATE($D35,Milestones!$AA$67),"dd mmm yy"))&amp;" "&amp;Milestones!$AB$67&amp;" "&amp;IF(AND(Milestones!$AB$67="FT",Milestones!$AA$67=FT_Y5,EDATE($D35,Milestones!$AA$67)&lt;PolicyEff),1,Milestones!$AC$67)&amp;";  ",""))</f>
        <v/>
      </c>
      <c r="M35" s="0" t="str">
        <f aca="false">IF(OR($A35="",$D35=""),"",IF(AND(EDATE($D35,Milestones!$AA$68)&lt;=AsOfDate,EDATE($D35,Milestones!$AA$68)&gt;=SchemeStart,IF($X35=0,$AD35,IF(AND($Z35&lt;&gt;"",EDATE($D35,Milestones!$AA$68)&gt;=$Z35),$AC35,IF(AND($Y35&lt;&gt;"",EDATE($D35,Milestones!$AA$68)&gt;=$Y35),$AB35,$AA35)))=Milestones!$AB$68),UPPER(TEXT(EDATE($D35,Milestones!$AA$68),"dd mmm yy"))&amp;" "&amp;Milestones!$AB$68&amp;" "&amp;IF(AND(Milestones!$AB$68="FT",Milestones!$AA$68=FT_Y5,EDATE($D35,Milestones!$AA$68)&lt;PolicyEff),1,Milestones!$AC$68)&amp;";  ","")&amp;IF(AND(EDATE($D35,Milestones!$AA$69)&lt;=AsOfDate,EDATE($D35,Milestones!$AA$69)&gt;=SchemeStart,IF($X35=0,$AD35,IF(AND($Z35&lt;&gt;"",EDATE($D35,Milestones!$AA$69)&gt;=$Z35),$AC35,IF(AND($Y35&lt;&gt;"",EDATE($D35,Milestones!$AA$69)&gt;=$Y35),$AB35,$AA35)))=Milestones!$AB$69),UPPER(TEXT(EDATE($D35,Milestones!$AA$69),"dd mmm yy"))&amp;" "&amp;Milestones!$AB$69&amp;" "&amp;IF(AND(Milestones!$AB$69="FT",Milestones!$AA$69=FT_Y5,EDATE($D35,Milestones!$AA$69)&lt;PolicyEff),1,Milestones!$AC$69)&amp;";  ","")&amp;IF(AND(EDATE($D35,Milestones!$AA$70)&lt;=AsOfDate,EDATE($D35,Milestones!$AA$70)&gt;=SchemeStart,IF($X35=0,$AD35,IF(AND($Z35&lt;&gt;"",EDATE($D35,Milestones!$AA$70)&gt;=$Z35),$AC35,IF(AND($Y35&lt;&gt;"",EDATE($D35,Milestones!$AA$70)&gt;=$Y35),$AB35,$AA35)))=Milestones!$AB$70),UPPER(TEXT(EDATE($D35,Milestones!$AA$70),"dd mmm yy"))&amp;" "&amp;Milestones!$AB$70&amp;" "&amp;IF(AND(Milestones!$AB$70="FT",Milestones!$AA$70=FT_Y5,EDATE($D35,Milestones!$AA$70)&lt;PolicyEff),1,Milestones!$AC$70)&amp;";  ","")&amp;IF(AND(EDATE($D35,Milestones!$AA$71)&lt;=AsOfDate,EDATE($D35,Milestones!$AA$71)&gt;=SchemeStart,IF($X35=0,$AD35,IF(AND($Z35&lt;&gt;"",EDATE($D35,Milestones!$AA$71)&gt;=$Z35),$AC35,IF(AND($Y35&lt;&gt;"",EDATE($D35,Milestones!$AA$71)&gt;=$Y35),$AB35,$AA35)))=Milestones!$AB$71),UPPER(TEXT(EDATE($D35,Milestones!$AA$71),"dd mmm yy"))&amp;" "&amp;Milestones!$AB$71&amp;" "&amp;IF(AND(Milestones!$AB$71="FT",Milestones!$AA$71=FT_Y5,EDATE($D35,Milestones!$AA$71)&lt;PolicyEff),1,Milestones!$AC$71)&amp;";  ","")&amp;IF(AND(EDATE($D35,Milestones!$AA$72)&lt;=AsOfDate,EDATE($D35,Milestones!$AA$72)&gt;=SchemeStart,IF($X35=0,$AD35,IF(AND($Z35&lt;&gt;"",EDATE($D35,Milestones!$AA$72)&gt;=$Z35),$AC35,IF(AND($Y35&lt;&gt;"",EDATE($D35,Milestones!$AA$72)&gt;=$Y35),$AB35,$AA35)))=Milestones!$AB$72),UPPER(TEXT(EDATE($D35,Milestones!$AA$72),"dd mmm yy"))&amp;" "&amp;Milestones!$AB$72&amp;" "&amp;IF(AND(Milestones!$AB$72="FT",Milestones!$AA$72=FT_Y5,EDATE($D35,Milestones!$AA$72)&lt;PolicyEff),1,Milestones!$AC$72)&amp;";  ","")&amp;IF(AND(EDATE($D35,Milestones!$AA$73)&lt;=AsOfDate,EDATE($D35,Milestones!$AA$73)&gt;=SchemeStart,IF($X35=0,$AD35,IF(AND($Z35&lt;&gt;"",EDATE($D35,Milestones!$AA$73)&gt;=$Z35),$AC35,IF(AND($Y35&lt;&gt;"",EDATE($D35,Milestones!$AA$73)&gt;=$Y35),$AB35,$AA35)))=Milestones!$AB$73),UPPER(TEXT(EDATE($D35,Milestones!$AA$73),"dd mmm yy"))&amp;" "&amp;Milestones!$AB$73&amp;" "&amp;IF(AND(Milestones!$AB$73="FT",Milestones!$AA$73=FT_Y5,EDATE($D35,Milestones!$AA$73)&lt;PolicyEff),1,Milestones!$AC$73)&amp;";  ","")&amp;IF(AND(EDATE($D35,Milestones!$AA$74)&lt;=AsOfDate,EDATE($D35,Milestones!$AA$74)&gt;=SchemeStart,IF($X35=0,$AD35,IF(AND($Z35&lt;&gt;"",EDATE($D35,Milestones!$AA$74)&gt;=$Z35),$AC35,IF(AND($Y35&lt;&gt;"",EDATE($D35,Milestones!$AA$74)&gt;=$Y35),$AB35,$AA35)))=Milestones!$AB$74),UPPER(TEXT(EDATE($D35,Milestones!$AA$74),"dd mmm yy"))&amp;" "&amp;Milestones!$AB$74&amp;" "&amp;IF(AND(Milestones!$AB$74="FT",Milestones!$AA$74=FT_Y5,EDATE($D35,Milestones!$AA$74)&lt;PolicyEff),1,Milestones!$AC$74)&amp;";  ","")&amp;IF(AND(EDATE($D35,Milestones!$AA$75)&lt;=AsOfDate,EDATE($D35,Milestones!$AA$75)&gt;=SchemeStart,IF($X35=0,$AD35,IF(AND($Z35&lt;&gt;"",EDATE($D35,Milestones!$AA$75)&gt;=$Z35),$AC35,IF(AND($Y35&lt;&gt;"",EDATE($D35,Milestones!$AA$75)&gt;=$Y35),$AB35,$AA35)))=Milestones!$AB$75),UPPER(TEXT(EDATE($D35,Milestones!$AA$75),"dd mmm yy"))&amp;" "&amp;Milestones!$AB$75&amp;" "&amp;IF(AND(Milestones!$AB$75="FT",Milestones!$AA$75=FT_Y5,EDATE($D35,Milestones!$AA$75)&lt;PolicyEff),1,Milestones!$AC$75)&amp;";  ","")&amp;IF(AND(EDATE($D35,Milestones!$AA$76)&lt;=AsOfDate,EDATE($D35,Milestones!$AA$76)&gt;=SchemeStart,IF($X35=0,$AD35,IF(AND($Z35&lt;&gt;"",EDATE($D35,Milestones!$AA$76)&gt;=$Z35),$AC35,IF(AND($Y35&lt;&gt;"",EDATE($D35,Milestones!$AA$76)&gt;=$Y35),$AB35,$AA35)))=Milestones!$AB$76),UPPER(TEXT(EDATE($D35,Milestones!$AA$76),"dd mmm yy"))&amp;" "&amp;Milestones!$AB$76&amp;" "&amp;IF(AND(Milestones!$AB$76="FT",Milestones!$AA$76=FT_Y5,EDATE($D35,Milestones!$AA$76)&lt;PolicyEff),1,Milestones!$AC$76)&amp;";  ","")&amp;IF(AND(EDATE($D35,Milestones!$AA$77)&lt;=AsOfDate,EDATE($D35,Milestones!$AA$77)&gt;=SchemeStart,IF($X35=0,$AD35,IF(AND($Z35&lt;&gt;"",EDATE($D35,Milestones!$AA$77)&gt;=$Z35),$AC35,IF(AND($Y35&lt;&gt;"",EDATE($D35,Milestones!$AA$77)&gt;=$Y35),$AB35,$AA35)))=Milestones!$AB$77),UPPER(TEXT(EDATE($D35,Milestones!$AA$77),"dd mmm yy"))&amp;" "&amp;Milestones!$AB$77&amp;" "&amp;IF(AND(Milestones!$AB$77="FT",Milestones!$AA$77=FT_Y5,EDATE($D35,Milestones!$AA$77)&lt;PolicyEff),1,Milestones!$AC$77)&amp;";  ","")&amp;IF(AND(EDATE($D35,Milestones!$AA$78)&lt;=AsOfDate,EDATE($D35,Milestones!$AA$78)&gt;=SchemeStart,IF($X35=0,$AD35,IF(AND($Z35&lt;&gt;"",EDATE($D35,Milestones!$AA$78)&gt;=$Z35),$AC35,IF(AND($Y35&lt;&gt;"",EDATE($D35,Milestones!$AA$78)&gt;=$Y35),$AB35,$AA35)))=Milestones!$AB$78),UPPER(TEXT(EDATE($D35,Milestones!$AA$78),"dd mmm yy"))&amp;" "&amp;Milestones!$AB$78&amp;" "&amp;IF(AND(Milestones!$AB$78="FT",Milestones!$AA$78=FT_Y5,EDATE($D35,Milestones!$AA$78)&lt;PolicyEff),1,Milestones!$AC$78)&amp;";  ","")&amp;IF(AND(EDATE($D35,Milestones!$AA$79)&lt;=AsOfDate,EDATE($D35,Milestones!$AA$79)&gt;=SchemeStart,IF($X35=0,$AD35,IF(AND($Z35&lt;&gt;"",EDATE($D35,Milestones!$AA$79)&gt;=$Z35),$AC35,IF(AND($Y35&lt;&gt;"",EDATE($D35,Milestones!$AA$79)&gt;=$Y35),$AB35,$AA35)))=Milestones!$AB$79),UPPER(TEXT(EDATE($D35,Milestones!$AA$79),"dd mmm yy"))&amp;" "&amp;Milestones!$AB$79&amp;" "&amp;IF(AND(Milestones!$AB$79="FT",Milestones!$AA$79=FT_Y5,EDATE($D35,Milestones!$AA$79)&lt;PolicyEff),1,Milestones!$AC$79)&amp;";  ",""))</f>
        <v/>
      </c>
      <c r="N35" s="0" t="str">
        <f aca="false">IF(OR($A35="",$D35=""),"",IF(AND(EDATE($D35,Milestones!$AA$80)&lt;=AsOfDate,EDATE($D35,Milestones!$AA$80)&gt;=SchemeStart,IF($X35=0,$AD35,IF(AND($Z35&lt;&gt;"",EDATE($D35,Milestones!$AA$80)&gt;=$Z35),$AC35,IF(AND($Y35&lt;&gt;"",EDATE($D35,Milestones!$AA$80)&gt;=$Y35),$AB35,$AA35)))=Milestones!$AB$80),UPPER(TEXT(EDATE($D35,Milestones!$AA$80),"dd mmm yy"))&amp;" "&amp;Milestones!$AB$80&amp;" "&amp;IF(AND(Milestones!$AB$80="FT",Milestones!$AA$80=FT_Y5,EDATE($D35,Milestones!$AA$80)&lt;PolicyEff),1,Milestones!$AC$80)&amp;";  ","")&amp;IF(AND(EDATE($D35,Milestones!$AA$81)&lt;=AsOfDate,EDATE($D35,Milestones!$AA$81)&gt;=SchemeStart,IF($X35=0,$AD35,IF(AND($Z35&lt;&gt;"",EDATE($D35,Milestones!$AA$81)&gt;=$Z35),$AC35,IF(AND($Y35&lt;&gt;"",EDATE($D35,Milestones!$AA$81)&gt;=$Y35),$AB35,$AA35)))=Milestones!$AB$81),UPPER(TEXT(EDATE($D35,Milestones!$AA$81),"dd mmm yy"))&amp;" "&amp;Milestones!$AB$81&amp;" "&amp;IF(AND(Milestones!$AB$81="FT",Milestones!$AA$81=FT_Y5,EDATE($D35,Milestones!$AA$81)&lt;PolicyEff),1,Milestones!$AC$81)&amp;";  ","")&amp;IF(AND(EDATE($D35,Milestones!$AA$82)&lt;=AsOfDate,EDATE($D35,Milestones!$AA$82)&gt;=SchemeStart,IF($X35=0,$AD35,IF(AND($Z35&lt;&gt;"",EDATE($D35,Milestones!$AA$82)&gt;=$Z35),$AC35,IF(AND($Y35&lt;&gt;"",EDATE($D35,Milestones!$AA$82)&gt;=$Y35),$AB35,$AA35)))=Milestones!$AB$82),UPPER(TEXT(EDATE($D35,Milestones!$AA$82),"dd mmm yy"))&amp;" "&amp;Milestones!$AB$82&amp;" "&amp;IF(AND(Milestones!$AB$82="FT",Milestones!$AA$82=FT_Y5,EDATE($D35,Milestones!$AA$82)&lt;PolicyEff),1,Milestones!$AC$82)&amp;";  ","")&amp;IF(AND(EDATE($D35,Milestones!$AA$83)&lt;=AsOfDate,EDATE($D35,Milestones!$AA$83)&gt;=SchemeStart,IF($X35=0,$AD35,IF(AND($Z35&lt;&gt;"",EDATE($D35,Milestones!$AA$83)&gt;=$Z35),$AC35,IF(AND($Y35&lt;&gt;"",EDATE($D35,Milestones!$AA$83)&gt;=$Y35),$AB35,$AA35)))=Milestones!$AB$83),UPPER(TEXT(EDATE($D35,Milestones!$AA$83),"dd mmm yy"))&amp;" "&amp;Milestones!$AB$83&amp;" "&amp;IF(AND(Milestones!$AB$83="FT",Milestones!$AA$83=FT_Y5,EDATE($D35,Milestones!$AA$83)&lt;PolicyEff),1,Milestones!$AC$83)&amp;";  ","")&amp;IF(AND(EDATE($D35,Milestones!$AA$84)&lt;=AsOfDate,EDATE($D35,Milestones!$AA$84)&gt;=SchemeStart,IF($X35=0,$AD35,IF(AND($Z35&lt;&gt;"",EDATE($D35,Milestones!$AA$84)&gt;=$Z35),$AC35,IF(AND($Y35&lt;&gt;"",EDATE($D35,Milestones!$AA$84)&gt;=$Y35),$AB35,$AA35)))=Milestones!$AB$84),UPPER(TEXT(EDATE($D35,Milestones!$AA$84),"dd mmm yy"))&amp;" "&amp;Milestones!$AB$84&amp;" "&amp;IF(AND(Milestones!$AB$84="FT",Milestones!$AA$84=FT_Y5,EDATE($D35,Milestones!$AA$84)&lt;PolicyEff),1,Milestones!$AC$84)&amp;";  ","")&amp;IF(AND(EDATE($D35,Milestones!$AA$85)&lt;=AsOfDate,EDATE($D35,Milestones!$AA$85)&gt;=SchemeStart,IF($X35=0,$AD35,IF(AND($Z35&lt;&gt;"",EDATE($D35,Milestones!$AA$85)&gt;=$Z35),$AC35,IF(AND($Y35&lt;&gt;"",EDATE($D35,Milestones!$AA$85)&gt;=$Y35),$AB35,$AA35)))=Milestones!$AB$85),UPPER(TEXT(EDATE($D35,Milestones!$AA$85),"dd mmm yy"))&amp;" "&amp;Milestones!$AB$85&amp;" "&amp;IF(AND(Milestones!$AB$85="FT",Milestones!$AA$85=FT_Y5,EDATE($D35,Milestones!$AA$85)&lt;PolicyEff),1,Milestones!$AC$85)&amp;";  ","")&amp;IF(AND(EDATE($D35,Milestones!$AA$86)&lt;=AsOfDate,EDATE($D35,Milestones!$AA$86)&gt;=SchemeStart,IF($X35=0,$AD35,IF(AND($Z35&lt;&gt;"",EDATE($D35,Milestones!$AA$86)&gt;=$Z35),$AC35,IF(AND($Y35&lt;&gt;"",EDATE($D35,Milestones!$AA$86)&gt;=$Y35),$AB35,$AA35)))=Milestones!$AB$86),UPPER(TEXT(EDATE($D35,Milestones!$AA$86),"dd mmm yy"))&amp;" "&amp;Milestones!$AB$86&amp;" "&amp;IF(AND(Milestones!$AB$86="FT",Milestones!$AA$86=FT_Y5,EDATE($D35,Milestones!$AA$86)&lt;PolicyEff),1,Milestones!$AC$86)&amp;";  ","")&amp;IF(AND(EDATE($D35,Milestones!$AA$87)&lt;=AsOfDate,EDATE($D35,Milestones!$AA$87)&gt;=SchemeStart,IF($X35=0,$AD35,IF(AND($Z35&lt;&gt;"",EDATE($D35,Milestones!$AA$87)&gt;=$Z35),$AC35,IF(AND($Y35&lt;&gt;"",EDATE($D35,Milestones!$AA$87)&gt;=$Y35),$AB35,$AA35)))=Milestones!$AB$87),UPPER(TEXT(EDATE($D35,Milestones!$AA$87),"dd mmm yy"))&amp;" "&amp;Milestones!$AB$87&amp;" "&amp;IF(AND(Milestones!$AB$87="FT",Milestones!$AA$87=FT_Y5,EDATE($D35,Milestones!$AA$87)&lt;PolicyEff),1,Milestones!$AC$87)&amp;";  ","")&amp;IF(AND(EDATE($D35,Milestones!$AA$88)&lt;=AsOfDate,EDATE($D35,Milestones!$AA$88)&gt;=SchemeStart,IF($X35=0,$AD35,IF(AND($Z35&lt;&gt;"",EDATE($D35,Milestones!$AA$88)&gt;=$Z35),$AC35,IF(AND($Y35&lt;&gt;"",EDATE($D35,Milestones!$AA$88)&gt;=$Y35),$AB35,$AA35)))=Milestones!$AB$88),UPPER(TEXT(EDATE($D35,Milestones!$AA$88),"dd mmm yy"))&amp;" "&amp;Milestones!$AB$88&amp;" "&amp;IF(AND(Milestones!$AB$88="FT",Milestones!$AA$88=FT_Y5,EDATE($D35,Milestones!$AA$88)&lt;PolicyEff),1,Milestones!$AC$88)&amp;";  ","")&amp;IF(AND(EDATE($D35,Milestones!$AA$89)&lt;=AsOfDate,EDATE($D35,Milestones!$AA$89)&gt;=SchemeStart,IF($X35=0,$AD35,IF(AND($Z35&lt;&gt;"",EDATE($D35,Milestones!$AA$89)&gt;=$Z35),$AC35,IF(AND($Y35&lt;&gt;"",EDATE($D35,Milestones!$AA$89)&gt;=$Y35),$AB35,$AA35)))=Milestones!$AB$89),UPPER(TEXT(EDATE($D35,Milestones!$AA$89),"dd mmm yy"))&amp;" "&amp;Milestones!$AB$89&amp;" "&amp;IF(AND(Milestones!$AB$89="FT",Milestones!$AA$89=FT_Y5,EDATE($D35,Milestones!$AA$89)&lt;PolicyEff),1,Milestones!$AC$89)&amp;";  ","")&amp;IF(AND(EDATE($D35,Milestones!$AA$90)&lt;=AsOfDate,EDATE($D35,Milestones!$AA$90)&gt;=SchemeStart,IF($X35=0,$AD35,IF(AND($Z35&lt;&gt;"",EDATE($D35,Milestones!$AA$90)&gt;=$Z35),$AC35,IF(AND($Y35&lt;&gt;"",EDATE($D35,Milestones!$AA$90)&gt;=$Y35),$AB35,$AA35)))=Milestones!$AB$90),UPPER(TEXT(EDATE($D35,Milestones!$AA$90),"dd mmm yy"))&amp;" "&amp;Milestones!$AB$90&amp;" "&amp;IF(AND(Milestones!$AB$90="FT",Milestones!$AA$90=FT_Y5,EDATE($D35,Milestones!$AA$90)&lt;PolicyEff),1,Milestones!$AC$90)&amp;";  ","")&amp;IF(AND(EDATE($D35,Milestones!$AA$91)&lt;=AsOfDate,EDATE($D35,Milestones!$AA$91)&gt;=SchemeStart,IF($X35=0,$AD35,IF(AND($Z35&lt;&gt;"",EDATE($D35,Milestones!$AA$91)&gt;=$Z35),$AC35,IF(AND($Y35&lt;&gt;"",EDATE($D35,Milestones!$AA$91)&gt;=$Y35),$AB35,$AA35)))=Milestones!$AB$91),UPPER(TEXT(EDATE($D35,Milestones!$AA$91),"dd mmm yy"))&amp;" "&amp;Milestones!$AB$91&amp;" "&amp;IF(AND(Milestones!$AB$91="FT",Milestones!$AA$91=FT_Y5,EDATE($D35,Milestones!$AA$91)&lt;PolicyEff),1,Milestones!$AC$91)&amp;";  ",""))</f>
        <v/>
      </c>
      <c r="O35" s="0" t="str">
        <f aca="false">IF(OR($A35="",$D35=""),"",IF(AND(EDATE($D35,Milestones!$AA$92)&lt;=AsOfDate,EDATE($D35,Milestones!$AA$92)&gt;=SchemeStart,IF($X35=0,$AD35,IF(AND($Z35&lt;&gt;"",EDATE($D35,Milestones!$AA$92)&gt;=$Z35),$AC35,IF(AND($Y35&lt;&gt;"",EDATE($D35,Milestones!$AA$92)&gt;=$Y35),$AB35,$AA35)))=Milestones!$AB$92),UPPER(TEXT(EDATE($D35,Milestones!$AA$92),"dd mmm yy"))&amp;" "&amp;Milestones!$AB$92&amp;" "&amp;IF(AND(Milestones!$AB$92="FT",Milestones!$AA$92=FT_Y5,EDATE($D35,Milestones!$AA$92)&lt;PolicyEff),1,Milestones!$AC$92)&amp;";  ","")&amp;IF(AND(EDATE($D35,Milestones!$AA$93)&lt;=AsOfDate,EDATE($D35,Milestones!$AA$93)&gt;=SchemeStart,IF($X35=0,$AD35,IF(AND($Z35&lt;&gt;"",EDATE($D35,Milestones!$AA$93)&gt;=$Z35),$AC35,IF(AND($Y35&lt;&gt;"",EDATE($D35,Milestones!$AA$93)&gt;=$Y35),$AB35,$AA35)))=Milestones!$AB$93),UPPER(TEXT(EDATE($D35,Milestones!$AA$93),"dd mmm yy"))&amp;" "&amp;Milestones!$AB$93&amp;" "&amp;IF(AND(Milestones!$AB$93="FT",Milestones!$AA$93=FT_Y5,EDATE($D35,Milestones!$AA$93)&lt;PolicyEff),1,Milestones!$AC$93)&amp;";  ","")&amp;IF(AND(EDATE($D35,Milestones!$AA$94)&lt;=AsOfDate,EDATE($D35,Milestones!$AA$94)&gt;=SchemeStart,IF($X35=0,$AD35,IF(AND($Z35&lt;&gt;"",EDATE($D35,Milestones!$AA$94)&gt;=$Z35),$AC35,IF(AND($Y35&lt;&gt;"",EDATE($D35,Milestones!$AA$94)&gt;=$Y35),$AB35,$AA35)))=Milestones!$AB$94),UPPER(TEXT(EDATE($D35,Milestones!$AA$94),"dd mmm yy"))&amp;" "&amp;Milestones!$AB$94&amp;" "&amp;IF(AND(Milestones!$AB$94="FT",Milestones!$AA$94=FT_Y5,EDATE($D35,Milestones!$AA$94)&lt;PolicyEff),1,Milestones!$AC$94)&amp;";  ","")&amp;IF(AND(EDATE($D35,Milestones!$AA$95)&lt;=AsOfDate,EDATE($D35,Milestones!$AA$95)&gt;=SchemeStart,IF($X35=0,$AD35,IF(AND($Z35&lt;&gt;"",EDATE($D35,Milestones!$AA$95)&gt;=$Z35),$AC35,IF(AND($Y35&lt;&gt;"",EDATE($D35,Milestones!$AA$95)&gt;=$Y35),$AB35,$AA35)))=Milestones!$AB$95),UPPER(TEXT(EDATE($D35,Milestones!$AA$95),"dd mmm yy"))&amp;" "&amp;Milestones!$AB$95&amp;" "&amp;IF(AND(Milestones!$AB$95="FT",Milestones!$AA$95=FT_Y5,EDATE($D35,Milestones!$AA$95)&lt;PolicyEff),1,Milestones!$AC$95)&amp;";  ","")&amp;IF(AND(EDATE($D35,Milestones!$AA$96)&lt;=AsOfDate,EDATE($D35,Milestones!$AA$96)&gt;=SchemeStart,IF($X35=0,$AD35,IF(AND($Z35&lt;&gt;"",EDATE($D35,Milestones!$AA$96)&gt;=$Z35),$AC35,IF(AND($Y35&lt;&gt;"",EDATE($D35,Milestones!$AA$96)&gt;=$Y35),$AB35,$AA35)))=Milestones!$AB$96),UPPER(TEXT(EDATE($D35,Milestones!$AA$96),"dd mmm yy"))&amp;" "&amp;Milestones!$AB$96&amp;" "&amp;IF(AND(Milestones!$AB$96="FT",Milestones!$AA$96=FT_Y5,EDATE($D35,Milestones!$AA$96)&lt;PolicyEff),1,Milestones!$AC$96)&amp;";  ","")&amp;IF(AND(EDATE($D35,Milestones!$AA$97)&lt;=AsOfDate,EDATE($D35,Milestones!$AA$97)&gt;=SchemeStart,IF($X35=0,$AD35,IF(AND($Z35&lt;&gt;"",EDATE($D35,Milestones!$AA$97)&gt;=$Z35),$AC35,IF(AND($Y35&lt;&gt;"",EDATE($D35,Milestones!$AA$97)&gt;=$Y35),$AB35,$AA35)))=Milestones!$AB$97),UPPER(TEXT(EDATE($D35,Milestones!$AA$97),"dd mmm yy"))&amp;" "&amp;Milestones!$AB$97&amp;" "&amp;IF(AND(Milestones!$AB$97="FT",Milestones!$AA$97=FT_Y5,EDATE($D35,Milestones!$AA$97)&lt;PolicyEff),1,Milestones!$AC$97)&amp;";  ","")&amp;IF(AND(EDATE($D35,Milestones!$AA$98)&lt;=AsOfDate,EDATE($D35,Milestones!$AA$98)&gt;=SchemeStart,IF($X35=0,$AD35,IF(AND($Z35&lt;&gt;"",EDATE($D35,Milestones!$AA$98)&gt;=$Z35),$AC35,IF(AND($Y35&lt;&gt;"",EDATE($D35,Milestones!$AA$98)&gt;=$Y35),$AB35,$AA35)))=Milestones!$AB$98),UPPER(TEXT(EDATE($D35,Milestones!$AA$98),"dd mmm yy"))&amp;" "&amp;Milestones!$AB$98&amp;" "&amp;IF(AND(Milestones!$AB$98="FT",Milestones!$AA$98=FT_Y5,EDATE($D35,Milestones!$AA$98)&lt;PolicyEff),1,Milestones!$AC$98)&amp;";  ","")&amp;IF(AND(EDATE($D35,Milestones!$AA$99)&lt;=AsOfDate,EDATE($D35,Milestones!$AA$99)&gt;=SchemeStart,IF($X35=0,$AD35,IF(AND($Z35&lt;&gt;"",EDATE($D35,Milestones!$AA$99)&gt;=$Z35),$AC35,IF(AND($Y35&lt;&gt;"",EDATE($D35,Milestones!$AA$99)&gt;=$Y35),$AB35,$AA35)))=Milestones!$AB$99),UPPER(TEXT(EDATE($D35,Milestones!$AA$99),"dd mmm yy"))&amp;" "&amp;Milestones!$AB$99&amp;" "&amp;IF(AND(Milestones!$AB$99="FT",Milestones!$AA$99=FT_Y5,EDATE($D35,Milestones!$AA$99)&lt;PolicyEff),1,Milestones!$AC$99)&amp;";  ","")&amp;IF(AND(EDATE($D35,Milestones!$AA$100)&lt;=AsOfDate,EDATE($D35,Milestones!$AA$100)&gt;=SchemeStart,IF($X35=0,$AD35,IF(AND($Z35&lt;&gt;"",EDATE($D35,Milestones!$AA$100)&gt;=$Z35),$AC35,IF(AND($Y35&lt;&gt;"",EDATE($D35,Milestones!$AA$100)&gt;=$Y35),$AB35,$AA35)))=Milestones!$AB$100),UPPER(TEXT(EDATE($D35,Milestones!$AA$100),"dd mmm yy"))&amp;" "&amp;Milestones!$AB$100&amp;" "&amp;IF(AND(Milestones!$AB$100="FT",Milestones!$AA$100=FT_Y5,EDATE($D35,Milestones!$AA$100)&lt;PolicyEff),1,Milestones!$AC$100)&amp;";  ","")&amp;IF(AND(EDATE($D35,Milestones!$AA$101)&lt;=AsOfDate,EDATE($D35,Milestones!$AA$101)&gt;=SchemeStart,IF($X35=0,$AD35,IF(AND($Z35&lt;&gt;"",EDATE($D35,Milestones!$AA$101)&gt;=$Z35),$AC35,IF(AND($Y35&lt;&gt;"",EDATE($D35,Milestones!$AA$101)&gt;=$Y35),$AB35,$AA35)))=Milestones!$AB$101),UPPER(TEXT(EDATE($D35,Milestones!$AA$101),"dd mmm yy"))&amp;" "&amp;Milestones!$AB$101&amp;" "&amp;IF(AND(Milestones!$AB$101="FT",Milestones!$AA$101=FT_Y5,EDATE($D35,Milestones!$AA$101)&lt;PolicyEff),1,Milestones!$AC$101)&amp;";  ","")&amp;IF(AND(EDATE($D35,Milestones!$AA$102)&lt;=AsOfDate,EDATE($D35,Milestones!$AA$102)&gt;=SchemeStart,IF($X35=0,$AD35,IF(AND($Z35&lt;&gt;"",EDATE($D35,Milestones!$AA$102)&gt;=$Z35),$AC35,IF(AND($Y35&lt;&gt;"",EDATE($D35,Milestones!$AA$102)&gt;=$Y35),$AB35,$AA35)))=Milestones!$AB$102),UPPER(TEXT(EDATE($D35,Milestones!$AA$102),"dd mmm yy"))&amp;" "&amp;Milestones!$AB$102&amp;" "&amp;IF(AND(Milestones!$AB$102="FT",Milestones!$AA$102=FT_Y5,EDATE($D35,Milestones!$AA$102)&lt;PolicyEff),1,Milestones!$AC$102)&amp;";  ","")&amp;IF(AND(EDATE($D35,Milestones!$AA$103)&lt;=AsOfDate,EDATE($D35,Milestones!$AA$103)&gt;=SchemeStart,IF($X35=0,$AD35,IF(AND($Z35&lt;&gt;"",EDATE($D35,Milestones!$AA$103)&gt;=$Z35),$AC35,IF(AND($Y35&lt;&gt;"",EDATE($D35,Milestones!$AA$103)&gt;=$Y35),$AB35,$AA35)))=Milestones!$AB$103),UPPER(TEXT(EDATE($D35,Milestones!$AA$103),"dd mmm yy"))&amp;" "&amp;Milestones!$AB$103&amp;" "&amp;IF(AND(Milestones!$AB$103="FT",Milestones!$AA$103=FT_Y5,EDATE($D35,Milestones!$AA$103)&lt;PolicyEff),1,Milestones!$AC$103)&amp;";  ",""))</f>
        <v/>
      </c>
      <c r="P35" s="0" t="str">
        <f aca="false">IF(OR($A35="",$D35=""),"",IF(AND(EDATE($D35,Milestones!$AA$104)&lt;=AsOfDate,EDATE($D35,Milestones!$AA$104)&gt;=SchemeStart,IF($X35=0,$AD35,IF(AND($Z35&lt;&gt;"",EDATE($D35,Milestones!$AA$104)&gt;=$Z35),$AC35,IF(AND($Y35&lt;&gt;"",EDATE($D35,Milestones!$AA$104)&gt;=$Y35),$AB35,$AA35)))=Milestones!$AB$104),UPPER(TEXT(EDATE($D35,Milestones!$AA$104),"dd mmm yy"))&amp;" "&amp;Milestones!$AB$104&amp;" "&amp;IF(AND(Milestones!$AB$104="FT",Milestones!$AA$104=FT_Y5,EDATE($D35,Milestones!$AA$104)&lt;PolicyEff),1,Milestones!$AC$104)&amp;";  ","")&amp;IF(AND(EDATE($D35,Milestones!$AA$105)&lt;=AsOfDate,EDATE($D35,Milestones!$AA$105)&gt;=SchemeStart,IF($X35=0,$AD35,IF(AND($Z35&lt;&gt;"",EDATE($D35,Milestones!$AA$105)&gt;=$Z35),$AC35,IF(AND($Y35&lt;&gt;"",EDATE($D35,Milestones!$AA$105)&gt;=$Y35),$AB35,$AA35)))=Milestones!$AB$105),UPPER(TEXT(EDATE($D35,Milestones!$AA$105),"dd mmm yy"))&amp;" "&amp;Milestones!$AB$105&amp;" "&amp;IF(AND(Milestones!$AB$105="FT",Milestones!$AA$105=FT_Y5,EDATE($D35,Milestones!$AA$105)&lt;PolicyEff),1,Milestones!$AC$105)&amp;";  ","")&amp;IF(AND(EDATE($D35,Milestones!$AA$106)&lt;=AsOfDate,EDATE($D35,Milestones!$AA$106)&gt;=SchemeStart,IF($X35=0,$AD35,IF(AND($Z35&lt;&gt;"",EDATE($D35,Milestones!$AA$106)&gt;=$Z35),$AC35,IF(AND($Y35&lt;&gt;"",EDATE($D35,Milestones!$AA$106)&gt;=$Y35),$AB35,$AA35)))=Milestones!$AB$106),UPPER(TEXT(EDATE($D35,Milestones!$AA$106),"dd mmm yy"))&amp;" "&amp;Milestones!$AB$106&amp;" "&amp;IF(AND(Milestones!$AB$106="FT",Milestones!$AA$106=FT_Y5,EDATE($D35,Milestones!$AA$106)&lt;PolicyEff),1,Milestones!$AC$106)&amp;";  ","")&amp;IF(AND(EDATE($D35,Milestones!$AA$107)&lt;=AsOfDate,EDATE($D35,Milestones!$AA$107)&gt;=SchemeStart,IF($X35=0,$AD35,IF(AND($Z35&lt;&gt;"",EDATE($D35,Milestones!$AA$107)&gt;=$Z35),$AC35,IF(AND($Y35&lt;&gt;"",EDATE($D35,Milestones!$AA$107)&gt;=$Y35),$AB35,$AA35)))=Milestones!$AB$107),UPPER(TEXT(EDATE($D35,Milestones!$AA$107),"dd mmm yy"))&amp;" "&amp;Milestones!$AB$107&amp;" "&amp;IF(AND(Milestones!$AB$107="FT",Milestones!$AA$107=FT_Y5,EDATE($D35,Milestones!$AA$107)&lt;PolicyEff),1,Milestones!$AC$107)&amp;";  ","")&amp;IF(AND(EDATE($D35,Milestones!$AA$108)&lt;=AsOfDate,EDATE($D35,Milestones!$AA$108)&gt;=SchemeStart,IF($X35=0,$AD35,IF(AND($Z35&lt;&gt;"",EDATE($D35,Milestones!$AA$108)&gt;=$Z35),$AC35,IF(AND($Y35&lt;&gt;"",EDATE($D35,Milestones!$AA$108)&gt;=$Y35),$AB35,$AA35)))=Milestones!$AB$108),UPPER(TEXT(EDATE($D35,Milestones!$AA$108),"dd mmm yy"))&amp;" "&amp;Milestones!$AB$108&amp;" "&amp;IF(AND(Milestones!$AB$108="FT",Milestones!$AA$108=FT_Y5,EDATE($D35,Milestones!$AA$108)&lt;PolicyEff),1,Milestones!$AC$108)&amp;";  ","")&amp;IF(AND(EDATE($D35,Milestones!$AA$109)&lt;=AsOfDate,EDATE($D35,Milestones!$AA$109)&gt;=SchemeStart,IF($X35=0,$AD35,IF(AND($Z35&lt;&gt;"",EDATE($D35,Milestones!$AA$109)&gt;=$Z35),$AC35,IF(AND($Y35&lt;&gt;"",EDATE($D35,Milestones!$AA$109)&gt;=$Y35),$AB35,$AA35)))=Milestones!$AB$109),UPPER(TEXT(EDATE($D35,Milestones!$AA$109),"dd mmm yy"))&amp;" "&amp;Milestones!$AB$109&amp;" "&amp;IF(AND(Milestones!$AB$109="FT",Milestones!$AA$109=FT_Y5,EDATE($D35,Milestones!$AA$109)&lt;PolicyEff),1,Milestones!$AC$109)&amp;";  ","")&amp;IF(AND(EDATE($D35,Milestones!$AA$110)&lt;=AsOfDate,EDATE($D35,Milestones!$AA$110)&gt;=SchemeStart,IF($X35=0,$AD35,IF(AND($Z35&lt;&gt;"",EDATE($D35,Milestones!$AA$110)&gt;=$Z35),$AC35,IF(AND($Y35&lt;&gt;"",EDATE($D35,Milestones!$AA$110)&gt;=$Y35),$AB35,$AA35)))=Milestones!$AB$110),UPPER(TEXT(EDATE($D35,Milestones!$AA$110),"dd mmm yy"))&amp;" "&amp;Milestones!$AB$110&amp;" "&amp;IF(AND(Milestones!$AB$110="FT",Milestones!$AA$110=FT_Y5,EDATE($D35,Milestones!$AA$110)&lt;PolicyEff),1,Milestones!$AC$110)&amp;";  ","")&amp;IF(AND(EDATE($D35,Milestones!$AA$111)&lt;=AsOfDate,EDATE($D35,Milestones!$AA$111)&gt;=SchemeStart,IF($X35=0,$AD35,IF(AND($Z35&lt;&gt;"",EDATE($D35,Milestones!$AA$111)&gt;=$Z35),$AC35,IF(AND($Y35&lt;&gt;"",EDATE($D35,Milestones!$AA$111)&gt;=$Y35),$AB35,$AA35)))=Milestones!$AB$111),UPPER(TEXT(EDATE($D35,Milestones!$AA$111),"dd mmm yy"))&amp;" "&amp;Milestones!$AB$111&amp;" "&amp;IF(AND(Milestones!$AB$111="FT",Milestones!$AA$111=FT_Y5,EDATE($D35,Milestones!$AA$111)&lt;PolicyEff),1,Milestones!$AC$111)&amp;";  ","")&amp;IF(AND(EDATE($D35,Milestones!$AA$112)&lt;=AsOfDate,EDATE($D35,Milestones!$AA$112)&gt;=SchemeStart,IF($X35=0,$AD35,IF(AND($Z35&lt;&gt;"",EDATE($D35,Milestones!$AA$112)&gt;=$Z35),$AC35,IF(AND($Y35&lt;&gt;"",EDATE($D35,Milestones!$AA$112)&gt;=$Y35),$AB35,$AA35)))=Milestones!$AB$112),UPPER(TEXT(EDATE($D35,Milestones!$AA$112),"dd mmm yy"))&amp;" "&amp;Milestones!$AB$112&amp;" "&amp;IF(AND(Milestones!$AB$112="FT",Milestones!$AA$112=FT_Y5,EDATE($D35,Milestones!$AA$112)&lt;PolicyEff),1,Milestones!$AC$112)&amp;";  ","")&amp;IF(AND(EDATE($D35,Milestones!$AA$113)&lt;=AsOfDate,EDATE($D35,Milestones!$AA$113)&gt;=SchemeStart,IF($X35=0,$AD35,IF(AND($Z35&lt;&gt;"",EDATE($D35,Milestones!$AA$113)&gt;=$Z35),$AC35,IF(AND($Y35&lt;&gt;"",EDATE($D35,Milestones!$AA$113)&gt;=$Y35),$AB35,$AA35)))=Milestones!$AB$113),UPPER(TEXT(EDATE($D35,Milestones!$AA$113),"dd mmm yy"))&amp;" "&amp;Milestones!$AB$113&amp;" "&amp;IF(AND(Milestones!$AB$113="FT",Milestones!$AA$113=FT_Y5,EDATE($D35,Milestones!$AA$113)&lt;PolicyEff),1,Milestones!$AC$113)&amp;";  ","")&amp;IF(AND(EDATE($D35,Milestones!$AA$114)&lt;=AsOfDate,EDATE($D35,Milestones!$AA$114)&gt;=SchemeStart,IF($X35=0,$AD35,IF(AND($Z35&lt;&gt;"",EDATE($D35,Milestones!$AA$114)&gt;=$Z35),$AC35,IF(AND($Y35&lt;&gt;"",EDATE($D35,Milestones!$AA$114)&gt;=$Y35),$AB35,$AA35)))=Milestones!$AB$114),UPPER(TEXT(EDATE($D35,Milestones!$AA$114),"dd mmm yy"))&amp;" "&amp;Milestones!$AB$114&amp;" "&amp;IF(AND(Milestones!$AB$114="FT",Milestones!$AA$114=FT_Y5,EDATE($D35,Milestones!$AA$114)&lt;PolicyEff),1,Milestones!$AC$114)&amp;";  ","")&amp;IF(AND(EDATE($D35,Milestones!$AA$115)&lt;=AsOfDate,EDATE($D35,Milestones!$AA$115)&gt;=SchemeStart,IF($X35=0,$AD35,IF(AND($Z35&lt;&gt;"",EDATE($D35,Milestones!$AA$115)&gt;=$Z35),$AC35,IF(AND($Y35&lt;&gt;"",EDATE($D35,Milestones!$AA$115)&gt;=$Y35),$AB35,$AA35)))=Milestones!$AB$115),UPPER(TEXT(EDATE($D35,Milestones!$AA$115),"dd mmm yy"))&amp;" "&amp;Milestones!$AB$115&amp;" "&amp;IF(AND(Milestones!$AB$115="FT",Milestones!$AA$115=FT_Y5,EDATE($D35,Milestones!$AA$115)&lt;PolicyEff),1,Milestones!$AC$115)&amp;";  ",""))</f>
        <v/>
      </c>
      <c r="Q35" s="0" t="str">
        <f aca="false">IF(OR($A35="",$D35=""),"",IF(AND(EDATE($D35,Milestones!$AA$116)&lt;=AsOfDate,EDATE($D35,Milestones!$AA$116)&gt;=SchemeStart,IF($X35=0,$AD35,IF(AND($Z35&lt;&gt;"",EDATE($D35,Milestones!$AA$116)&gt;=$Z35),$AC35,IF(AND($Y35&lt;&gt;"",EDATE($D35,Milestones!$AA$116)&gt;=$Y35),$AB35,$AA35)))=Milestones!$AB$116),UPPER(TEXT(EDATE($D35,Milestones!$AA$116),"dd mmm yy"))&amp;" "&amp;Milestones!$AB$116&amp;" "&amp;IF(AND(Milestones!$AB$116="FT",Milestones!$AA$116=FT_Y5,EDATE($D35,Milestones!$AA$116)&lt;PolicyEff),1,Milestones!$AC$116)&amp;";  ","")&amp;IF(AND(EDATE($D35,Milestones!$AA$117)&lt;=AsOfDate,EDATE($D35,Milestones!$AA$117)&gt;=SchemeStart,IF($X35=0,$AD35,IF(AND($Z35&lt;&gt;"",EDATE($D35,Milestones!$AA$117)&gt;=$Z35),$AC35,IF(AND($Y35&lt;&gt;"",EDATE($D35,Milestones!$AA$117)&gt;=$Y35),$AB35,$AA35)))=Milestones!$AB$117),UPPER(TEXT(EDATE($D35,Milestones!$AA$117),"dd mmm yy"))&amp;" "&amp;Milestones!$AB$117&amp;" "&amp;IF(AND(Milestones!$AB$117="FT",Milestones!$AA$117=FT_Y5,EDATE($D35,Milestones!$AA$117)&lt;PolicyEff),1,Milestones!$AC$117)&amp;";  ","")&amp;IF(AND(EDATE($D35,Milestones!$AA$118)&lt;=AsOfDate,EDATE($D35,Milestones!$AA$118)&gt;=SchemeStart,IF($X35=0,$AD35,IF(AND($Z35&lt;&gt;"",EDATE($D35,Milestones!$AA$118)&gt;=$Z35),$AC35,IF(AND($Y35&lt;&gt;"",EDATE($D35,Milestones!$AA$118)&gt;=$Y35),$AB35,$AA35)))=Milestones!$AB$118),UPPER(TEXT(EDATE($D35,Milestones!$AA$118),"dd mmm yy"))&amp;" "&amp;Milestones!$AB$118&amp;" "&amp;IF(AND(Milestones!$AB$118="FT",Milestones!$AA$118=FT_Y5,EDATE($D35,Milestones!$AA$118)&lt;PolicyEff),1,Milestones!$AC$118)&amp;";  ","")&amp;IF(AND(EDATE($D35,Milestones!$AA$119)&lt;=AsOfDate,EDATE($D35,Milestones!$AA$119)&gt;=SchemeStart,IF($X35=0,$AD35,IF(AND($Z35&lt;&gt;"",EDATE($D35,Milestones!$AA$119)&gt;=$Z35),$AC35,IF(AND($Y35&lt;&gt;"",EDATE($D35,Milestones!$AA$119)&gt;=$Y35),$AB35,$AA35)))=Milestones!$AB$119),UPPER(TEXT(EDATE($D35,Milestones!$AA$119),"dd mmm yy"))&amp;" "&amp;Milestones!$AB$119&amp;" "&amp;IF(AND(Milestones!$AB$119="FT",Milestones!$AA$119=FT_Y5,EDATE($D35,Milestones!$AA$119)&lt;PolicyEff),1,Milestones!$AC$119)&amp;";  ","")&amp;IF(AND(EDATE($D35,Milestones!$AA$120)&lt;=AsOfDate,EDATE($D35,Milestones!$AA$120)&gt;=SchemeStart,IF($X35=0,$AD35,IF(AND($Z35&lt;&gt;"",EDATE($D35,Milestones!$AA$120)&gt;=$Z35),$AC35,IF(AND($Y35&lt;&gt;"",EDATE($D35,Milestones!$AA$120)&gt;=$Y35),$AB35,$AA35)))=Milestones!$AB$120),UPPER(TEXT(EDATE($D35,Milestones!$AA$120),"dd mmm yy"))&amp;" "&amp;Milestones!$AB$120&amp;" "&amp;IF(AND(Milestones!$AB$120="FT",Milestones!$AA$120=FT_Y5,EDATE($D35,Milestones!$AA$120)&lt;PolicyEff),1,Milestones!$AC$120)&amp;";  ","")&amp;IF(AND(EDATE($D35,Milestones!$AA$121)&lt;=AsOfDate,EDATE($D35,Milestones!$AA$121)&gt;=SchemeStart,IF($X35=0,$AD35,IF(AND($Z35&lt;&gt;"",EDATE($D35,Milestones!$AA$121)&gt;=$Z35),$AC35,IF(AND($Y35&lt;&gt;"",EDATE($D35,Milestones!$AA$121)&gt;=$Y35),$AB35,$AA35)))=Milestones!$AB$121),UPPER(TEXT(EDATE($D35,Milestones!$AA$121),"dd mmm yy"))&amp;" "&amp;Milestones!$AB$121&amp;" "&amp;IF(AND(Milestones!$AB$121="FT",Milestones!$AA$121=FT_Y5,EDATE($D35,Milestones!$AA$121)&lt;PolicyEff),1,Milestones!$AC$121)&amp;";  ","")&amp;IF(AND(EDATE($D35,Milestones!$AA$122)&lt;=AsOfDate,EDATE($D35,Milestones!$AA$122)&gt;=SchemeStart,IF($X35=0,$AD35,IF(AND($Z35&lt;&gt;"",EDATE($D35,Milestones!$AA$122)&gt;=$Z35),$AC35,IF(AND($Y35&lt;&gt;"",EDATE($D35,Milestones!$AA$122)&gt;=$Y35),$AB35,$AA35)))=Milestones!$AB$122),UPPER(TEXT(EDATE($D35,Milestones!$AA$122),"dd mmm yy"))&amp;" "&amp;Milestones!$AB$122&amp;" "&amp;IF(AND(Milestones!$AB$122="FT",Milestones!$AA$122=FT_Y5,EDATE($D35,Milestones!$AA$122)&lt;PolicyEff),1,Milestones!$AC$122)&amp;";  ","")&amp;IF(AND(EDATE($D35,Milestones!$AA$123)&lt;=AsOfDate,EDATE($D35,Milestones!$AA$123)&gt;=SchemeStart,IF($X35=0,$AD35,IF(AND($Z35&lt;&gt;"",EDATE($D35,Milestones!$AA$123)&gt;=$Z35),$AC35,IF(AND($Y35&lt;&gt;"",EDATE($D35,Milestones!$AA$123)&gt;=$Y35),$AB35,$AA35)))=Milestones!$AB$123),UPPER(TEXT(EDATE($D35,Milestones!$AA$123),"dd mmm yy"))&amp;" "&amp;Milestones!$AB$123&amp;" "&amp;IF(AND(Milestones!$AB$123="FT",Milestones!$AA$123=FT_Y5,EDATE($D35,Milestones!$AA$123)&lt;PolicyEff),1,Milestones!$AC$123)&amp;";  ","")&amp;IF(AND(EDATE($D35,Milestones!$AA$124)&lt;=AsOfDate,EDATE($D35,Milestones!$AA$124)&gt;=SchemeStart,IF($X35=0,$AD35,IF(AND($Z35&lt;&gt;"",EDATE($D35,Milestones!$AA$124)&gt;=$Z35),$AC35,IF(AND($Y35&lt;&gt;"",EDATE($D35,Milestones!$AA$124)&gt;=$Y35),$AB35,$AA35)))=Milestones!$AB$124),UPPER(TEXT(EDATE($D35,Milestones!$AA$124),"dd mmm yy"))&amp;" "&amp;Milestones!$AB$124&amp;" "&amp;IF(AND(Milestones!$AB$124="FT",Milestones!$AA$124=FT_Y5,EDATE($D35,Milestones!$AA$124)&lt;PolicyEff),1,Milestones!$AC$124)&amp;";  ","")&amp;IF(AND(EDATE($D35,Milestones!$AA$125)&lt;=AsOfDate,EDATE($D35,Milestones!$AA$125)&gt;=SchemeStart,IF($X35=0,$AD35,IF(AND($Z35&lt;&gt;"",EDATE($D35,Milestones!$AA$125)&gt;=$Z35),$AC35,IF(AND($Y35&lt;&gt;"",EDATE($D35,Milestones!$AA$125)&gt;=$Y35),$AB35,$AA35)))=Milestones!$AB$125),UPPER(TEXT(EDATE($D35,Milestones!$AA$125),"dd mmm yy"))&amp;" "&amp;Milestones!$AB$125&amp;" "&amp;IF(AND(Milestones!$AB$125="FT",Milestones!$AA$125=FT_Y5,EDATE($D35,Milestones!$AA$125)&lt;PolicyEff),1,Milestones!$AC$125)&amp;";  ","")&amp;IF(AND(EDATE($D35,Milestones!$AA$126)&lt;=AsOfDate,EDATE($D35,Milestones!$AA$126)&gt;=SchemeStart,IF($X35=0,$AD35,IF(AND($Z35&lt;&gt;"",EDATE($D35,Milestones!$AA$126)&gt;=$Z35),$AC35,IF(AND($Y35&lt;&gt;"",EDATE($D35,Milestones!$AA$126)&gt;=$Y35),$AB35,$AA35)))=Milestones!$AB$126),UPPER(TEXT(EDATE($D35,Milestones!$AA$126),"dd mmm yy"))&amp;" "&amp;Milestones!$AB$126&amp;" "&amp;IF(AND(Milestones!$AB$126="FT",Milestones!$AA$126=FT_Y5,EDATE($D35,Milestones!$AA$126)&lt;PolicyEff),1,Milestones!$AC$126)&amp;";  ","")&amp;IF(AND(EDATE($D35,Milestones!$AA$127)&lt;=AsOfDate,EDATE($D35,Milestones!$AA$127)&gt;=SchemeStart,IF($X35=0,$AD35,IF(AND($Z35&lt;&gt;"",EDATE($D35,Milestones!$AA$127)&gt;=$Z35),$AC35,IF(AND($Y35&lt;&gt;"",EDATE($D35,Milestones!$AA$127)&gt;=$Y35),$AB35,$AA35)))=Milestones!$AB$127),UPPER(TEXT(EDATE($D35,Milestones!$AA$127),"dd mmm yy"))&amp;" "&amp;Milestones!$AB$127&amp;" "&amp;IF(AND(Milestones!$AB$127="FT",Milestones!$AA$127=FT_Y5,EDATE($D35,Milestones!$AA$127)&lt;PolicyEff),1,Milestones!$AC$127)&amp;";  ",""))</f>
        <v/>
      </c>
      <c r="R35" s="0" t="str">
        <f aca="false">IF(OR($A35="",$D35=""),"",IF(AND(EDATE($D35,Milestones!$AA$128)&lt;=AsOfDate,EDATE($D35,Milestones!$AA$128)&gt;=SchemeStart,IF($X35=0,$AD35,IF(AND($Z35&lt;&gt;"",EDATE($D35,Milestones!$AA$128)&gt;=$Z35),$AC35,IF(AND($Y35&lt;&gt;"",EDATE($D35,Milestones!$AA$128)&gt;=$Y35),$AB35,$AA35)))=Milestones!$AB$128),UPPER(TEXT(EDATE($D35,Milestones!$AA$128),"dd mmm yy"))&amp;" "&amp;Milestones!$AB$128&amp;" "&amp;IF(AND(Milestones!$AB$128="FT",Milestones!$AA$128=FT_Y5,EDATE($D35,Milestones!$AA$128)&lt;PolicyEff),1,Milestones!$AC$128)&amp;";  ","")&amp;IF(AND(EDATE($D35,Milestones!$AA$129)&lt;=AsOfDate,EDATE($D35,Milestones!$AA$129)&gt;=SchemeStart,IF($X35=0,$AD35,IF(AND($Z35&lt;&gt;"",EDATE($D35,Milestones!$AA$129)&gt;=$Z35),$AC35,IF(AND($Y35&lt;&gt;"",EDATE($D35,Milestones!$AA$129)&gt;=$Y35),$AB35,$AA35)))=Milestones!$AB$129),UPPER(TEXT(EDATE($D35,Milestones!$AA$129),"dd mmm yy"))&amp;" "&amp;Milestones!$AB$129&amp;" "&amp;IF(AND(Milestones!$AB$129="FT",Milestones!$AA$129=FT_Y5,EDATE($D35,Milestones!$AA$129)&lt;PolicyEff),1,Milestones!$AC$129)&amp;";  ","")&amp;IF(AND(EDATE($D35,Milestones!$AA$130)&lt;=AsOfDate,EDATE($D35,Milestones!$AA$130)&gt;=SchemeStart,IF($X35=0,$AD35,IF(AND($Z35&lt;&gt;"",EDATE($D35,Milestones!$AA$130)&gt;=$Z35),$AC35,IF(AND($Y35&lt;&gt;"",EDATE($D35,Milestones!$AA$130)&gt;=$Y35),$AB35,$AA35)))=Milestones!$AB$130),UPPER(TEXT(EDATE($D35,Milestones!$AA$130),"dd mmm yy"))&amp;" "&amp;Milestones!$AB$130&amp;" "&amp;IF(AND(Milestones!$AB$130="FT",Milestones!$AA$130=FT_Y5,EDATE($D35,Milestones!$AA$130)&lt;PolicyEff),1,Milestones!$AC$130)&amp;";  ","")&amp;IF(AND(EDATE($D35,Milestones!$AA$131)&lt;=AsOfDate,EDATE($D35,Milestones!$AA$131)&gt;=SchemeStart,IF($X35=0,$AD35,IF(AND($Z35&lt;&gt;"",EDATE($D35,Milestones!$AA$131)&gt;=$Z35),$AC35,IF(AND($Y35&lt;&gt;"",EDATE($D35,Milestones!$AA$131)&gt;=$Y35),$AB35,$AA35)))=Milestones!$AB$131),UPPER(TEXT(EDATE($D35,Milestones!$AA$131),"dd mmm yy"))&amp;" "&amp;Milestones!$AB$131&amp;" "&amp;IF(AND(Milestones!$AB$131="FT",Milestones!$AA$131=FT_Y5,EDATE($D35,Milestones!$AA$131)&lt;PolicyEff),1,Milestones!$AC$131)&amp;";  ","")&amp;IF(AND(EDATE($D35,Milestones!$AA$132)&lt;=AsOfDate,EDATE($D35,Milestones!$AA$132)&gt;=SchemeStart,IF($X35=0,$AD35,IF(AND($Z35&lt;&gt;"",EDATE($D35,Milestones!$AA$132)&gt;=$Z35),$AC35,IF(AND($Y35&lt;&gt;"",EDATE($D35,Milestones!$AA$132)&gt;=$Y35),$AB35,$AA35)))=Milestones!$AB$132),UPPER(TEXT(EDATE($D35,Milestones!$AA$132),"dd mmm yy"))&amp;" "&amp;Milestones!$AB$132&amp;" "&amp;IF(AND(Milestones!$AB$132="FT",Milestones!$AA$132=FT_Y5,EDATE($D35,Milestones!$AA$132)&lt;PolicyEff),1,Milestones!$AC$132)&amp;";  ","")&amp;IF(AND(EDATE($D35,Milestones!$AA$133)&lt;=AsOfDate,EDATE($D35,Milestones!$AA$133)&gt;=SchemeStart,IF($X35=0,$AD35,IF(AND($Z35&lt;&gt;"",EDATE($D35,Milestones!$AA$133)&gt;=$Z35),$AC35,IF(AND($Y35&lt;&gt;"",EDATE($D35,Milestones!$AA$133)&gt;=$Y35),$AB35,$AA35)))=Milestones!$AB$133),UPPER(TEXT(EDATE($D35,Milestones!$AA$133),"dd mmm yy"))&amp;" "&amp;Milestones!$AB$133&amp;" "&amp;IF(AND(Milestones!$AB$133="FT",Milestones!$AA$133=FT_Y5,EDATE($D35,Milestones!$AA$133)&lt;PolicyEff),1,Milestones!$AC$133)&amp;";  ","")&amp;IF(AND(EDATE($D35,Milestones!$AA$134)&lt;=AsOfDate,EDATE($D35,Milestones!$AA$134)&gt;=SchemeStart,IF($X35=0,$AD35,IF(AND($Z35&lt;&gt;"",EDATE($D35,Milestones!$AA$134)&gt;=$Z35),$AC35,IF(AND($Y35&lt;&gt;"",EDATE($D35,Milestones!$AA$134)&gt;=$Y35),$AB35,$AA35)))=Milestones!$AB$134),UPPER(TEXT(EDATE($D35,Milestones!$AA$134),"dd mmm yy"))&amp;" "&amp;Milestones!$AB$134&amp;" "&amp;IF(AND(Milestones!$AB$134="FT",Milestones!$AA$134=FT_Y5,EDATE($D35,Milestones!$AA$134)&lt;PolicyEff),1,Milestones!$AC$134)&amp;";  ","")&amp;IF(AND(EDATE($D35,Milestones!$AA$135)&lt;=AsOfDate,EDATE($D35,Milestones!$AA$135)&gt;=SchemeStart,IF($X35=0,$AD35,IF(AND($Z35&lt;&gt;"",EDATE($D35,Milestones!$AA$135)&gt;=$Z35),$AC35,IF(AND($Y35&lt;&gt;"",EDATE($D35,Milestones!$AA$135)&gt;=$Y35),$AB35,$AA35)))=Milestones!$AB$135),UPPER(TEXT(EDATE($D35,Milestones!$AA$135),"dd mmm yy"))&amp;" "&amp;Milestones!$AB$135&amp;" "&amp;IF(AND(Milestones!$AB$135="FT",Milestones!$AA$135=FT_Y5,EDATE($D35,Milestones!$AA$135)&lt;PolicyEff),1,Milestones!$AC$135)&amp;";  ","")&amp;IF(AND(EDATE($D35,Milestones!$AA$136)&lt;=AsOfDate,EDATE($D35,Milestones!$AA$136)&gt;=SchemeStart,IF($X35=0,$AD35,IF(AND($Z35&lt;&gt;"",EDATE($D35,Milestones!$AA$136)&gt;=$Z35),$AC35,IF(AND($Y35&lt;&gt;"",EDATE($D35,Milestones!$AA$136)&gt;=$Y35),$AB35,$AA35)))=Milestones!$AB$136),UPPER(TEXT(EDATE($D35,Milestones!$AA$136),"dd mmm yy"))&amp;" "&amp;Milestones!$AB$136&amp;" "&amp;IF(AND(Milestones!$AB$136="FT",Milestones!$AA$136=FT_Y5,EDATE($D35,Milestones!$AA$136)&lt;PolicyEff),1,Milestones!$AC$136)&amp;";  ","")&amp;IF(AND(EDATE($D35,Milestones!$AA$137)&lt;=AsOfDate,EDATE($D35,Milestones!$AA$137)&gt;=SchemeStart,IF($X35=0,$AD35,IF(AND($Z35&lt;&gt;"",EDATE($D35,Milestones!$AA$137)&gt;=$Z35),$AC35,IF(AND($Y35&lt;&gt;"",EDATE($D35,Milestones!$AA$137)&gt;=$Y35),$AB35,$AA35)))=Milestones!$AB$137),UPPER(TEXT(EDATE($D35,Milestones!$AA$137),"dd mmm yy"))&amp;" "&amp;Milestones!$AB$137&amp;" "&amp;IF(AND(Milestones!$AB$137="FT",Milestones!$AA$137=FT_Y5,EDATE($D35,Milestones!$AA$137)&lt;PolicyEff),1,Milestones!$AC$137)&amp;";  ","")&amp;IF(AND(EDATE($D35,Milestones!$AA$138)&lt;=AsOfDate,EDATE($D35,Milestones!$AA$138)&gt;=SchemeStart,IF($X35=0,$AD35,IF(AND($Z35&lt;&gt;"",EDATE($D35,Milestones!$AA$138)&gt;=$Z35),$AC35,IF(AND($Y35&lt;&gt;"",EDATE($D35,Milestones!$AA$138)&gt;=$Y35),$AB35,$AA35)))=Milestones!$AB$138),UPPER(TEXT(EDATE($D35,Milestones!$AA$138),"dd mmm yy"))&amp;" "&amp;Milestones!$AB$138&amp;" "&amp;IF(AND(Milestones!$AB$138="FT",Milestones!$AA$138=FT_Y5,EDATE($D35,Milestones!$AA$138)&lt;PolicyEff),1,Milestones!$AC$138)&amp;";  ","")&amp;IF(AND(EDATE($D35,Milestones!$AA$139)&lt;=AsOfDate,EDATE($D35,Milestones!$AA$139)&gt;=SchemeStart,IF($X35=0,$AD35,IF(AND($Z35&lt;&gt;"",EDATE($D35,Milestones!$AA$139)&gt;=$Z35),$AC35,IF(AND($Y35&lt;&gt;"",EDATE($D35,Milestones!$AA$139)&gt;=$Y35),$AB35,$AA35)))=Milestones!$AB$139),UPPER(TEXT(EDATE($D35,Milestones!$AA$139),"dd mmm yy"))&amp;" "&amp;Milestones!$AB$139&amp;" "&amp;IF(AND(Milestones!$AB$139="FT",Milestones!$AA$139=FT_Y5,EDATE($D35,Milestones!$AA$139)&lt;PolicyEff),1,Milestones!$AC$139)&amp;";  ",""))</f>
        <v/>
      </c>
      <c r="S35" s="0" t="str">
        <f aca="false">IF(OR($A35="",$D35=""),"",IF(AND(EDATE($D35,Milestones!$AA$140)&lt;=AsOfDate,EDATE($D35,Milestones!$AA$140)&gt;=SchemeStart,IF($X35=0,$AD35,IF(AND($Z35&lt;&gt;"",EDATE($D35,Milestones!$AA$140)&gt;=$Z35),$AC35,IF(AND($Y35&lt;&gt;"",EDATE($D35,Milestones!$AA$140)&gt;=$Y35),$AB35,$AA35)))=Milestones!$AB$140),UPPER(TEXT(EDATE($D35,Milestones!$AA$140),"dd mmm yy"))&amp;" "&amp;Milestones!$AB$140&amp;" "&amp;IF(AND(Milestones!$AB$140="FT",Milestones!$AA$140=FT_Y5,EDATE($D35,Milestones!$AA$140)&lt;PolicyEff),1,Milestones!$AC$140)&amp;";  ","")&amp;IF(AND(EDATE($D35,Milestones!$AA$141)&lt;=AsOfDate,EDATE($D35,Milestones!$AA$141)&gt;=SchemeStart,IF($X35=0,$AD35,IF(AND($Z35&lt;&gt;"",EDATE($D35,Milestones!$AA$141)&gt;=$Z35),$AC35,IF(AND($Y35&lt;&gt;"",EDATE($D35,Milestones!$AA$141)&gt;=$Y35),$AB35,$AA35)))=Milestones!$AB$141),UPPER(TEXT(EDATE($D35,Milestones!$AA$141),"dd mmm yy"))&amp;" "&amp;Milestones!$AB$141&amp;" "&amp;IF(AND(Milestones!$AB$141="FT",Milestones!$AA$141=FT_Y5,EDATE($D35,Milestones!$AA$141)&lt;PolicyEff),1,Milestones!$AC$141)&amp;";  ","")&amp;IF(AND(EDATE($D35,Milestones!$AA$142)&lt;=AsOfDate,EDATE($D35,Milestones!$AA$142)&gt;=SchemeStart,IF($X35=0,$AD35,IF(AND($Z35&lt;&gt;"",EDATE($D35,Milestones!$AA$142)&gt;=$Z35),$AC35,IF(AND($Y35&lt;&gt;"",EDATE($D35,Milestones!$AA$142)&gt;=$Y35),$AB35,$AA35)))=Milestones!$AB$142),UPPER(TEXT(EDATE($D35,Milestones!$AA$142),"dd mmm yy"))&amp;" "&amp;Milestones!$AB$142&amp;" "&amp;IF(AND(Milestones!$AB$142="FT",Milestones!$AA$142=FT_Y5,EDATE($D35,Milestones!$AA$142)&lt;PolicyEff),1,Milestones!$AC$142)&amp;";  ","")&amp;IF(AND(EDATE($D35,Milestones!$AA$143)&lt;=AsOfDate,EDATE($D35,Milestones!$AA$143)&gt;=SchemeStart,IF($X35=0,$AD35,IF(AND($Z35&lt;&gt;"",EDATE($D35,Milestones!$AA$143)&gt;=$Z35),$AC35,IF(AND($Y35&lt;&gt;"",EDATE($D35,Milestones!$AA$143)&gt;=$Y35),$AB35,$AA35)))=Milestones!$AB$143),UPPER(TEXT(EDATE($D35,Milestones!$AA$143),"dd mmm yy"))&amp;" "&amp;Milestones!$AB$143&amp;" "&amp;IF(AND(Milestones!$AB$143="FT",Milestones!$AA$143=FT_Y5,EDATE($D35,Milestones!$AA$143)&lt;PolicyEff),1,Milestones!$AC$143)&amp;";  ","")&amp;IF(AND(EDATE($D35,Milestones!$AA$144)&lt;=AsOfDate,EDATE($D35,Milestones!$AA$144)&gt;=SchemeStart,IF($X35=0,$AD35,IF(AND($Z35&lt;&gt;"",EDATE($D35,Milestones!$AA$144)&gt;=$Z35),$AC35,IF(AND($Y35&lt;&gt;"",EDATE($D35,Milestones!$AA$144)&gt;=$Y35),$AB35,$AA35)))=Milestones!$AB$144),UPPER(TEXT(EDATE($D35,Milestones!$AA$144),"dd mmm yy"))&amp;" "&amp;Milestones!$AB$144&amp;" "&amp;IF(AND(Milestones!$AB$144="FT",Milestones!$AA$144=FT_Y5,EDATE($D35,Milestones!$AA$144)&lt;PolicyEff),1,Milestones!$AC$144)&amp;";  ","")&amp;IF(AND(EDATE($D35,Milestones!$AA$145)&lt;=AsOfDate,EDATE($D35,Milestones!$AA$145)&gt;=SchemeStart,IF($X35=0,$AD35,IF(AND($Z35&lt;&gt;"",EDATE($D35,Milestones!$AA$145)&gt;=$Z35),$AC35,IF(AND($Y35&lt;&gt;"",EDATE($D35,Milestones!$AA$145)&gt;=$Y35),$AB35,$AA35)))=Milestones!$AB$145),UPPER(TEXT(EDATE($D35,Milestones!$AA$145),"dd mmm yy"))&amp;" "&amp;Milestones!$AB$145&amp;" "&amp;IF(AND(Milestones!$AB$145="FT",Milestones!$AA$145=FT_Y5,EDATE($D35,Milestones!$AA$145)&lt;PolicyEff),1,Milestones!$AC$145)&amp;";  ","")&amp;IF(AND(EDATE($D35,Milestones!$AA$146)&lt;=AsOfDate,EDATE($D35,Milestones!$AA$146)&gt;=SchemeStart,IF($X35=0,$AD35,IF(AND($Z35&lt;&gt;"",EDATE($D35,Milestones!$AA$146)&gt;=$Z35),$AC35,IF(AND($Y35&lt;&gt;"",EDATE($D35,Milestones!$AA$146)&gt;=$Y35),$AB35,$AA35)))=Milestones!$AB$146),UPPER(TEXT(EDATE($D35,Milestones!$AA$146),"dd mmm yy"))&amp;" "&amp;Milestones!$AB$146&amp;" "&amp;IF(AND(Milestones!$AB$146="FT",Milestones!$AA$146=FT_Y5,EDATE($D35,Milestones!$AA$146)&lt;PolicyEff),1,Milestones!$AC$146)&amp;";  ","")&amp;IF(AND(EDATE($D35,Milestones!$AA$147)&lt;=AsOfDate,EDATE($D35,Milestones!$AA$147)&gt;=SchemeStart,IF($X35=0,$AD35,IF(AND($Z35&lt;&gt;"",EDATE($D35,Milestones!$AA$147)&gt;=$Z35),$AC35,IF(AND($Y35&lt;&gt;"",EDATE($D35,Milestones!$AA$147)&gt;=$Y35),$AB35,$AA35)))=Milestones!$AB$147),UPPER(TEXT(EDATE($D35,Milestones!$AA$147),"dd mmm yy"))&amp;" "&amp;Milestones!$AB$147&amp;" "&amp;IF(AND(Milestones!$AB$147="FT",Milestones!$AA$147=FT_Y5,EDATE($D35,Milestones!$AA$147)&lt;PolicyEff),1,Milestones!$AC$147)&amp;";  ","")&amp;IF(AND(EDATE($D35,Milestones!$AA$148)&lt;=AsOfDate,EDATE($D35,Milestones!$AA$148)&gt;=SchemeStart,IF($X35=0,$AD35,IF(AND($Z35&lt;&gt;"",EDATE($D35,Milestones!$AA$148)&gt;=$Z35),$AC35,IF(AND($Y35&lt;&gt;"",EDATE($D35,Milestones!$AA$148)&gt;=$Y35),$AB35,$AA35)))=Milestones!$AB$148),UPPER(TEXT(EDATE($D35,Milestones!$AA$148),"dd mmm yy"))&amp;" "&amp;Milestones!$AB$148&amp;" "&amp;IF(AND(Milestones!$AB$148="FT",Milestones!$AA$148=FT_Y5,EDATE($D35,Milestones!$AA$148)&lt;PolicyEff),1,Milestones!$AC$148)&amp;";  ","")&amp;IF(AND(EDATE($D35,Milestones!$AA$149)&lt;=AsOfDate,EDATE($D35,Milestones!$AA$149)&gt;=SchemeStart,IF($X35=0,$AD35,IF(AND($Z35&lt;&gt;"",EDATE($D35,Milestones!$AA$149)&gt;=$Z35),$AC35,IF(AND($Y35&lt;&gt;"",EDATE($D35,Milestones!$AA$149)&gt;=$Y35),$AB35,$AA35)))=Milestones!$AB$149),UPPER(TEXT(EDATE($D35,Milestones!$AA$149),"dd mmm yy"))&amp;" "&amp;Milestones!$AB$149&amp;" "&amp;IF(AND(Milestones!$AB$149="FT",Milestones!$AA$149=FT_Y5,EDATE($D35,Milestones!$AA$149)&lt;PolicyEff),1,Milestones!$AC$149)&amp;";  ","")&amp;IF(AND(EDATE($D35,Milestones!$AA$150)&lt;=AsOfDate,EDATE($D35,Milestones!$AA$150)&gt;=SchemeStart,IF($X35=0,$AD35,IF(AND($Z35&lt;&gt;"",EDATE($D35,Milestones!$AA$150)&gt;=$Z35),$AC35,IF(AND($Y35&lt;&gt;"",EDATE($D35,Milestones!$AA$150)&gt;=$Y35),$AB35,$AA35)))=Milestones!$AB$150),UPPER(TEXT(EDATE($D35,Milestones!$AA$150),"dd mmm yy"))&amp;" "&amp;Milestones!$AB$150&amp;" "&amp;IF(AND(Milestones!$AB$150="FT",Milestones!$AA$150=FT_Y5,EDATE($D35,Milestones!$AA$150)&lt;PolicyEff),1,Milestones!$AC$150)&amp;";  ","")&amp;IF(AND(EDATE($D35,Milestones!$AA$151)&lt;=AsOfDate,EDATE($D35,Milestones!$AA$151)&gt;=SchemeStart,IF($X35=0,$AD35,IF(AND($Z35&lt;&gt;"",EDATE($D35,Milestones!$AA$151)&gt;=$Z35),$AC35,IF(AND($Y35&lt;&gt;"",EDATE($D35,Milestones!$AA$151)&gt;=$Y35),$AB35,$AA35)))=Milestones!$AB$151),UPPER(TEXT(EDATE($D35,Milestones!$AA$151),"dd mmm yy"))&amp;" "&amp;Milestones!$AB$151&amp;" "&amp;IF(AND(Milestones!$AB$151="FT",Milestones!$AA$151=FT_Y5,EDATE($D35,Milestones!$AA$151)&lt;PolicyEff),1,Milestones!$AC$151)&amp;";  ",""))</f>
        <v/>
      </c>
      <c r="T35" s="0" t="str">
        <f aca="false">IF(OR($A35="",$D35=""),"",IF(AND(EDATE($D35,Milestones!$AA$152)&lt;=AsOfDate,EDATE($D35,Milestones!$AA$152)&gt;=SchemeStart,IF($X35=0,$AD35,IF(AND($Z35&lt;&gt;"",EDATE($D35,Milestones!$AA$152)&gt;=$Z35),$AC35,IF(AND($Y35&lt;&gt;"",EDATE($D35,Milestones!$AA$152)&gt;=$Y35),$AB35,$AA35)))=Milestones!$AB$152),UPPER(TEXT(EDATE($D35,Milestones!$AA$152),"dd mmm yy"))&amp;" "&amp;Milestones!$AB$152&amp;" "&amp;IF(AND(Milestones!$AB$152="FT",Milestones!$AA$152=FT_Y5,EDATE($D35,Milestones!$AA$152)&lt;PolicyEff),1,Milestones!$AC$152)&amp;";  ","")&amp;IF(AND(EDATE($D35,Milestones!$AA$153)&lt;=AsOfDate,EDATE($D35,Milestones!$AA$153)&gt;=SchemeStart,IF($X35=0,$AD35,IF(AND($Z35&lt;&gt;"",EDATE($D35,Milestones!$AA$153)&gt;=$Z35),$AC35,IF(AND($Y35&lt;&gt;"",EDATE($D35,Milestones!$AA$153)&gt;=$Y35),$AB35,$AA35)))=Milestones!$AB$153),UPPER(TEXT(EDATE($D35,Milestones!$AA$153),"dd mmm yy"))&amp;" "&amp;Milestones!$AB$153&amp;" "&amp;IF(AND(Milestones!$AB$153="FT",Milestones!$AA$153=FT_Y5,EDATE($D35,Milestones!$AA$153)&lt;PolicyEff),1,Milestones!$AC$153)&amp;";  ","")&amp;IF(AND(EDATE($D35,Milestones!$AA$154)&lt;=AsOfDate,EDATE($D35,Milestones!$AA$154)&gt;=SchemeStart,IF($X35=0,$AD35,IF(AND($Z35&lt;&gt;"",EDATE($D35,Milestones!$AA$154)&gt;=$Z35),$AC35,IF(AND($Y35&lt;&gt;"",EDATE($D35,Milestones!$AA$154)&gt;=$Y35),$AB35,$AA35)))=Milestones!$AB$154),UPPER(TEXT(EDATE($D35,Milestones!$AA$154),"dd mmm yy"))&amp;" "&amp;Milestones!$AB$154&amp;" "&amp;IF(AND(Milestones!$AB$154="FT",Milestones!$AA$154=FT_Y5,EDATE($D35,Milestones!$AA$154)&lt;PolicyEff),1,Milestones!$AC$154)&amp;";  ","")&amp;IF(AND(EDATE($D35,Milestones!$AA$155)&lt;=AsOfDate,EDATE($D35,Milestones!$AA$155)&gt;=SchemeStart,IF($X35=0,$AD35,IF(AND($Z35&lt;&gt;"",EDATE($D35,Milestones!$AA$155)&gt;=$Z35),$AC35,IF(AND($Y35&lt;&gt;"",EDATE($D35,Milestones!$AA$155)&gt;=$Y35),$AB35,$AA35)))=Milestones!$AB$155),UPPER(TEXT(EDATE($D35,Milestones!$AA$155),"dd mmm yy"))&amp;" "&amp;Milestones!$AB$155&amp;" "&amp;IF(AND(Milestones!$AB$155="FT",Milestones!$AA$155=FT_Y5,EDATE($D35,Milestones!$AA$155)&lt;PolicyEff),1,Milestones!$AC$155)&amp;";  ","")&amp;IF(AND(EDATE($D35,Milestones!$AA$156)&lt;=AsOfDate,EDATE($D35,Milestones!$AA$156)&gt;=SchemeStart,IF($X35=0,$AD35,IF(AND($Z35&lt;&gt;"",EDATE($D35,Milestones!$AA$156)&gt;=$Z35),$AC35,IF(AND($Y35&lt;&gt;"",EDATE($D35,Milestones!$AA$156)&gt;=$Y35),$AB35,$AA35)))=Milestones!$AB$156),UPPER(TEXT(EDATE($D35,Milestones!$AA$156),"dd mmm yy"))&amp;" "&amp;Milestones!$AB$156&amp;" "&amp;IF(AND(Milestones!$AB$156="FT",Milestones!$AA$156=FT_Y5,EDATE($D35,Milestones!$AA$156)&lt;PolicyEff),1,Milestones!$AC$156)&amp;";  ","")&amp;IF(AND(EDATE($D35,Milestones!$AA$157)&lt;=AsOfDate,EDATE($D35,Milestones!$AA$157)&gt;=SchemeStart,IF($X35=0,$AD35,IF(AND($Z35&lt;&gt;"",EDATE($D35,Milestones!$AA$157)&gt;=$Z35),$AC35,IF(AND($Y35&lt;&gt;"",EDATE($D35,Milestones!$AA$157)&gt;=$Y35),$AB35,$AA35)))=Milestones!$AB$157),UPPER(TEXT(EDATE($D35,Milestones!$AA$157),"dd mmm yy"))&amp;" "&amp;Milestones!$AB$157&amp;" "&amp;IF(AND(Milestones!$AB$157="FT",Milestones!$AA$157=FT_Y5,EDATE($D35,Milestones!$AA$157)&lt;PolicyEff),1,Milestones!$AC$157)&amp;";  ","")&amp;IF(AND(EDATE($D35,Milestones!$AA$158)&lt;=AsOfDate,EDATE($D35,Milestones!$AA$158)&gt;=SchemeStart,IF($X35=0,$AD35,IF(AND($Z35&lt;&gt;"",EDATE($D35,Milestones!$AA$158)&gt;=$Z35),$AC35,IF(AND($Y35&lt;&gt;"",EDATE($D35,Milestones!$AA$158)&gt;=$Y35),$AB35,$AA35)))=Milestones!$AB$158),UPPER(TEXT(EDATE($D35,Milestones!$AA$158),"dd mmm yy"))&amp;" "&amp;Milestones!$AB$158&amp;" "&amp;IF(AND(Milestones!$AB$158="FT",Milestones!$AA$158=FT_Y5,EDATE($D35,Milestones!$AA$158)&lt;PolicyEff),1,Milestones!$AC$158)&amp;";  ","")&amp;IF(AND(EDATE($D35,Milestones!$AA$159)&lt;=AsOfDate,EDATE($D35,Milestones!$AA$159)&gt;=SchemeStart,IF($X35=0,$AD35,IF(AND($Z35&lt;&gt;"",EDATE($D35,Milestones!$AA$159)&gt;=$Z35),$AC35,IF(AND($Y35&lt;&gt;"",EDATE($D35,Milestones!$AA$159)&gt;=$Y35),$AB35,$AA35)))=Milestones!$AB$159),UPPER(TEXT(EDATE($D35,Milestones!$AA$159),"dd mmm yy"))&amp;" "&amp;Milestones!$AB$159&amp;" "&amp;IF(AND(Milestones!$AB$159="FT",Milestones!$AA$159=FT_Y5,EDATE($D35,Milestones!$AA$159)&lt;PolicyEff),1,Milestones!$AC$159)&amp;";  ","")&amp;IF(AND(EDATE($D35,Milestones!$AA$160)&lt;=AsOfDate,EDATE($D35,Milestones!$AA$160)&gt;=SchemeStart,IF($X35=0,$AD35,IF(AND($Z35&lt;&gt;"",EDATE($D35,Milestones!$AA$160)&gt;=$Z35),$AC35,IF(AND($Y35&lt;&gt;"",EDATE($D35,Milestones!$AA$160)&gt;=$Y35),$AB35,$AA35)))=Milestones!$AB$160),UPPER(TEXT(EDATE($D35,Milestones!$AA$160),"dd mmm yy"))&amp;" "&amp;Milestones!$AB$160&amp;" "&amp;IF(AND(Milestones!$AB$160="FT",Milestones!$AA$160=FT_Y5,EDATE($D35,Milestones!$AA$160)&lt;PolicyEff),1,Milestones!$AC$160)&amp;";  ","")&amp;IF(AND(EDATE($D35,Milestones!$AA$161)&lt;=AsOfDate,EDATE($D35,Milestones!$AA$161)&gt;=SchemeStart,IF($X35=0,$AD35,IF(AND($Z35&lt;&gt;"",EDATE($D35,Milestones!$AA$161)&gt;=$Z35),$AC35,IF(AND($Y35&lt;&gt;"",EDATE($D35,Milestones!$AA$161)&gt;=$Y35),$AB35,$AA35)))=Milestones!$AB$161),UPPER(TEXT(EDATE($D35,Milestones!$AA$161),"dd mmm yy"))&amp;" "&amp;Milestones!$AB$161&amp;" "&amp;IF(AND(Milestones!$AB$161="FT",Milestones!$AA$161=FT_Y5,EDATE($D35,Milestones!$AA$161)&lt;PolicyEff),1,Milestones!$AC$161)&amp;";  ","")&amp;IF(AND(EDATE($D35,Milestones!$AA$162)&lt;=AsOfDate,EDATE($D35,Milestones!$AA$162)&gt;=SchemeStart,IF($X35=0,$AD35,IF(AND($Z35&lt;&gt;"",EDATE($D35,Milestones!$AA$162)&gt;=$Z35),$AC35,IF(AND($Y35&lt;&gt;"",EDATE($D35,Milestones!$AA$162)&gt;=$Y35),$AB35,$AA35)))=Milestones!$AB$162),UPPER(TEXT(EDATE($D35,Milestones!$AA$162),"dd mmm yy"))&amp;" "&amp;Milestones!$AB$162&amp;" "&amp;IF(AND(Milestones!$AB$162="FT",Milestones!$AA$162=FT_Y5,EDATE($D35,Milestones!$AA$162)&lt;PolicyEff),1,Milestones!$AC$162)&amp;";  ","")&amp;IF(AND(EDATE($D35,Milestones!$AA$163)&lt;=AsOfDate,EDATE($D35,Milestones!$AA$163)&gt;=SchemeStart,IF($X35=0,$AD35,IF(AND($Z35&lt;&gt;"",EDATE($D35,Milestones!$AA$163)&gt;=$Z35),$AC35,IF(AND($Y35&lt;&gt;"",EDATE($D35,Milestones!$AA$163)&gt;=$Y35),$AB35,$AA35)))=Milestones!$AB$163),UPPER(TEXT(EDATE($D35,Milestones!$AA$163),"dd mmm yy"))&amp;" "&amp;Milestones!$AB$163&amp;" "&amp;IF(AND(Milestones!$AB$163="FT",Milestones!$AA$163=FT_Y5,EDATE($D35,Milestones!$AA$163)&lt;PolicyEff),1,Milestones!$AC$163)&amp;";  ",""))</f>
        <v/>
      </c>
      <c r="U35" s="0" t="str">
        <f aca="false">IF(OR($A35="",$D35=""),"",IF(AND(EDATE($D35,Milestones!$AA$164)&lt;=AsOfDate,EDATE($D35,Milestones!$AA$164)&gt;=SchemeStart,IF($X35=0,$AD35,IF(AND($Z35&lt;&gt;"",EDATE($D35,Milestones!$AA$164)&gt;=$Z35),$AC35,IF(AND($Y35&lt;&gt;"",EDATE($D35,Milestones!$AA$164)&gt;=$Y35),$AB35,$AA35)))=Milestones!$AB$164),UPPER(TEXT(EDATE($D35,Milestones!$AA$164),"dd mmm yy"))&amp;" "&amp;Milestones!$AB$164&amp;" "&amp;IF(AND(Milestones!$AB$164="FT",Milestones!$AA$164=FT_Y5,EDATE($D35,Milestones!$AA$164)&lt;PolicyEff),1,Milestones!$AC$164)&amp;";  ","")&amp;IF(AND(EDATE($D35,Milestones!$AA$165)&lt;=AsOfDate,EDATE($D35,Milestones!$AA$165)&gt;=SchemeStart,IF($X35=0,$AD35,IF(AND($Z35&lt;&gt;"",EDATE($D35,Milestones!$AA$165)&gt;=$Z35),$AC35,IF(AND($Y35&lt;&gt;"",EDATE($D35,Milestones!$AA$165)&gt;=$Y35),$AB35,$AA35)))=Milestones!$AB$165),UPPER(TEXT(EDATE($D35,Milestones!$AA$165),"dd mmm yy"))&amp;" "&amp;Milestones!$AB$165&amp;" "&amp;IF(AND(Milestones!$AB$165="FT",Milestones!$AA$165=FT_Y5,EDATE($D35,Milestones!$AA$165)&lt;PolicyEff),1,Milestones!$AC$165)&amp;";  ","")&amp;IF(AND(EDATE($D35,Milestones!$AA$166)&lt;=AsOfDate,EDATE($D35,Milestones!$AA$166)&gt;=SchemeStart,IF($X35=0,$AD35,IF(AND($Z35&lt;&gt;"",EDATE($D35,Milestones!$AA$166)&gt;=$Z35),$AC35,IF(AND($Y35&lt;&gt;"",EDATE($D35,Milestones!$AA$166)&gt;=$Y35),$AB35,$AA35)))=Milestones!$AB$166),UPPER(TEXT(EDATE($D35,Milestones!$AA$166),"dd mmm yy"))&amp;" "&amp;Milestones!$AB$166&amp;" "&amp;IF(AND(Milestones!$AB$166="FT",Milestones!$AA$166=FT_Y5,EDATE($D35,Milestones!$AA$166)&lt;PolicyEff),1,Milestones!$AC$166)&amp;";  ","")&amp;IF(AND(EDATE($D35,Milestones!$AA$167)&lt;=AsOfDate,EDATE($D35,Milestones!$AA$167)&gt;=SchemeStart,IF($X35=0,$AD35,IF(AND($Z35&lt;&gt;"",EDATE($D35,Milestones!$AA$167)&gt;=$Z35),$AC35,IF(AND($Y35&lt;&gt;"",EDATE($D35,Milestones!$AA$167)&gt;=$Y35),$AB35,$AA35)))=Milestones!$AB$167),UPPER(TEXT(EDATE($D35,Milestones!$AA$167),"dd mmm yy"))&amp;" "&amp;Milestones!$AB$167&amp;" "&amp;IF(AND(Milestones!$AB$167="FT",Milestones!$AA$167=FT_Y5,EDATE($D35,Milestones!$AA$167)&lt;PolicyEff),1,Milestones!$AC$167)&amp;";  ","")&amp;IF(AND(EDATE($D35,Milestones!$AA$168)&lt;=AsOfDate,EDATE($D35,Milestones!$AA$168)&gt;=SchemeStart,IF($X35=0,$AD35,IF(AND($Z35&lt;&gt;"",EDATE($D35,Milestones!$AA$168)&gt;=$Z35),$AC35,IF(AND($Y35&lt;&gt;"",EDATE($D35,Milestones!$AA$168)&gt;=$Y35),$AB35,$AA35)))=Milestones!$AB$168),UPPER(TEXT(EDATE($D35,Milestones!$AA$168),"dd mmm yy"))&amp;" "&amp;Milestones!$AB$168&amp;" "&amp;IF(AND(Milestones!$AB$168="FT",Milestones!$AA$168=FT_Y5,EDATE($D35,Milestones!$AA$168)&lt;PolicyEff),1,Milestones!$AC$168)&amp;";  ","")&amp;IF(AND(EDATE($D35,Milestones!$AA$169)&lt;=AsOfDate,EDATE($D35,Milestones!$AA$169)&gt;=SchemeStart,IF($X35=0,$AD35,IF(AND($Z35&lt;&gt;"",EDATE($D35,Milestones!$AA$169)&gt;=$Z35),$AC35,IF(AND($Y35&lt;&gt;"",EDATE($D35,Milestones!$AA$169)&gt;=$Y35),$AB35,$AA35)))=Milestones!$AB$169),UPPER(TEXT(EDATE($D35,Milestones!$AA$169),"dd mmm yy"))&amp;" "&amp;Milestones!$AB$169&amp;" "&amp;IF(AND(Milestones!$AB$169="FT",Milestones!$AA$169=FT_Y5,EDATE($D35,Milestones!$AA$169)&lt;PolicyEff),1,Milestones!$AC$169)&amp;";  ","")&amp;IF(AND(EDATE($D35,Milestones!$AA$170)&lt;=AsOfDate,EDATE($D35,Milestones!$AA$170)&gt;=SchemeStart,IF($X35=0,$AD35,IF(AND($Z35&lt;&gt;"",EDATE($D35,Milestones!$AA$170)&gt;=$Z35),$AC35,IF(AND($Y35&lt;&gt;"",EDATE($D35,Milestones!$AA$170)&gt;=$Y35),$AB35,$AA35)))=Milestones!$AB$170),UPPER(TEXT(EDATE($D35,Milestones!$AA$170),"dd mmm yy"))&amp;" "&amp;Milestones!$AB$170&amp;" "&amp;IF(AND(Milestones!$AB$170="FT",Milestones!$AA$170=FT_Y5,EDATE($D35,Milestones!$AA$170)&lt;PolicyEff),1,Milestones!$AC$170)&amp;";  ","")&amp;IF(AND(EDATE($D35,Milestones!$AA$171)&lt;=AsOfDate,EDATE($D35,Milestones!$AA$171)&gt;=SchemeStart,IF($X35=0,$AD35,IF(AND($Z35&lt;&gt;"",EDATE($D35,Milestones!$AA$171)&gt;=$Z35),$AC35,IF(AND($Y35&lt;&gt;"",EDATE($D35,Milestones!$AA$171)&gt;=$Y35),$AB35,$AA35)))=Milestones!$AB$171),UPPER(TEXT(EDATE($D35,Milestones!$AA$171),"dd mmm yy"))&amp;" "&amp;Milestones!$AB$171&amp;" "&amp;IF(AND(Milestones!$AB$171="FT",Milestones!$AA$171=FT_Y5,EDATE($D35,Milestones!$AA$171)&lt;PolicyEff),1,Milestones!$AC$171)&amp;";  ","")&amp;IF(AND(EDATE($D35,Milestones!$AA$172)&lt;=AsOfDate,EDATE($D35,Milestones!$AA$172)&gt;=SchemeStart,IF($X35=0,$AD35,IF(AND($Z35&lt;&gt;"",EDATE($D35,Milestones!$AA$172)&gt;=$Z35),$AC35,IF(AND($Y35&lt;&gt;"",EDATE($D35,Milestones!$AA$172)&gt;=$Y35),$AB35,$AA35)))=Milestones!$AB$172),UPPER(TEXT(EDATE($D35,Milestones!$AA$172),"dd mmm yy"))&amp;" "&amp;Milestones!$AB$172&amp;" "&amp;IF(AND(Milestones!$AB$172="FT",Milestones!$AA$172=FT_Y5,EDATE($D35,Milestones!$AA$172)&lt;PolicyEff),1,Milestones!$AC$172)&amp;";  ","")&amp;IF(AND(EDATE($D35,Milestones!$AA$173)&lt;=AsOfDate,EDATE($D35,Milestones!$AA$173)&gt;=SchemeStart,IF($X35=0,$AD35,IF(AND($Z35&lt;&gt;"",EDATE($D35,Milestones!$AA$173)&gt;=$Z35),$AC35,IF(AND($Y35&lt;&gt;"",EDATE($D35,Milestones!$AA$173)&gt;=$Y35),$AB35,$AA35)))=Milestones!$AB$173),UPPER(TEXT(EDATE($D35,Milestones!$AA$173),"dd mmm yy"))&amp;" "&amp;Milestones!$AB$173&amp;" "&amp;IF(AND(Milestones!$AB$173="FT",Milestones!$AA$173=FT_Y5,EDATE($D35,Milestones!$AA$173)&lt;PolicyEff),1,Milestones!$AC$173)&amp;";  ","")&amp;IF(AND(EDATE($D35,Milestones!$AA$174)&lt;=AsOfDate,EDATE($D35,Milestones!$AA$174)&gt;=SchemeStart,IF($X35=0,$AD35,IF(AND($Z35&lt;&gt;"",EDATE($D35,Milestones!$AA$174)&gt;=$Z35),$AC35,IF(AND($Y35&lt;&gt;"",EDATE($D35,Milestones!$AA$174)&gt;=$Y35),$AB35,$AA35)))=Milestones!$AB$174),UPPER(TEXT(EDATE($D35,Milestones!$AA$174),"dd mmm yy"))&amp;" "&amp;Milestones!$AB$174&amp;" "&amp;IF(AND(Milestones!$AB$174="FT",Milestones!$AA$174=FT_Y5,EDATE($D35,Milestones!$AA$174)&lt;PolicyEff),1,Milestones!$AC$174)&amp;";  ","")&amp;IF(AND(EDATE($D35,Milestones!$AA$175)&lt;=AsOfDate,EDATE($D35,Milestones!$AA$175)&gt;=SchemeStart,IF($X35=0,$AD35,IF(AND($Z35&lt;&gt;"",EDATE($D35,Milestones!$AA$175)&gt;=$Z35),$AC35,IF(AND($Y35&lt;&gt;"",EDATE($D35,Milestones!$AA$175)&gt;=$Y35),$AB35,$AA35)))=Milestones!$AB$175),UPPER(TEXT(EDATE($D35,Milestones!$AA$175),"dd mmm yy"))&amp;" "&amp;Milestones!$AB$175&amp;" "&amp;IF(AND(Milestones!$AB$175="FT",Milestones!$AA$175=FT_Y5,EDATE($D35,Milestones!$AA$175)&lt;PolicyEff),1,Milestones!$AC$175)&amp;";  ",""))</f>
        <v/>
      </c>
      <c r="V35" s="0" t="str">
        <f aca="false">IF(OR($A35="",$D35=""),"",IF(AND(EDATE($D35,Milestones!$AA$176)&lt;=AsOfDate,EDATE($D35,Milestones!$AA$176)&gt;=SchemeStart,IF($X35=0,$AD35,IF(AND($Z35&lt;&gt;"",EDATE($D35,Milestones!$AA$176)&gt;=$Z35),$AC35,IF(AND($Y35&lt;&gt;"",EDATE($D35,Milestones!$AA$176)&gt;=$Y35),$AB35,$AA35)))=Milestones!$AB$176),UPPER(TEXT(EDATE($D35,Milestones!$AA$176),"dd mmm yy"))&amp;" "&amp;Milestones!$AB$176&amp;" "&amp;IF(AND(Milestones!$AB$176="FT",Milestones!$AA$176=FT_Y5,EDATE($D35,Milestones!$AA$176)&lt;PolicyEff),1,Milestones!$AC$176)&amp;";  ","")&amp;IF(AND(EDATE($D35,Milestones!$AA$177)&lt;=AsOfDate,EDATE($D35,Milestones!$AA$177)&gt;=SchemeStart,IF($X35=0,$AD35,IF(AND($Z35&lt;&gt;"",EDATE($D35,Milestones!$AA$177)&gt;=$Z35),$AC35,IF(AND($Y35&lt;&gt;"",EDATE($D35,Milestones!$AA$177)&gt;=$Y35),$AB35,$AA35)))=Milestones!$AB$177),UPPER(TEXT(EDATE($D35,Milestones!$AA$177),"dd mmm yy"))&amp;" "&amp;Milestones!$AB$177&amp;" "&amp;IF(AND(Milestones!$AB$177="FT",Milestones!$AA$177=FT_Y5,EDATE($D35,Milestones!$AA$177)&lt;PolicyEff),1,Milestones!$AC$177)&amp;";  ","")&amp;IF(AND(EDATE($D35,Milestones!$AA$178)&lt;=AsOfDate,EDATE($D35,Milestones!$AA$178)&gt;=SchemeStart,IF($X35=0,$AD35,IF(AND($Z35&lt;&gt;"",EDATE($D35,Milestones!$AA$178)&gt;=$Z35),$AC35,IF(AND($Y35&lt;&gt;"",EDATE($D35,Milestones!$AA$178)&gt;=$Y35),$AB35,$AA35)))=Milestones!$AB$178),UPPER(TEXT(EDATE($D35,Milestones!$AA$178),"dd mmm yy"))&amp;" "&amp;Milestones!$AB$178&amp;" "&amp;IF(AND(Milestones!$AB$178="FT",Milestones!$AA$178=FT_Y5,EDATE($D35,Milestones!$AA$178)&lt;PolicyEff),1,Milestones!$AC$178)&amp;";  ","")&amp;IF(AND(EDATE($D35,Milestones!$AA$179)&lt;=AsOfDate,EDATE($D35,Milestones!$AA$179)&gt;=SchemeStart,IF($X35=0,$AD35,IF(AND($Z35&lt;&gt;"",EDATE($D35,Milestones!$AA$179)&gt;=$Z35),$AC35,IF(AND($Y35&lt;&gt;"",EDATE($D35,Milestones!$AA$179)&gt;=$Y35),$AB35,$AA35)))=Milestones!$AB$179),UPPER(TEXT(EDATE($D35,Milestones!$AA$179),"dd mmm yy"))&amp;" "&amp;Milestones!$AB$179&amp;" "&amp;IF(AND(Milestones!$AB$179="FT",Milestones!$AA$179=FT_Y5,EDATE($D35,Milestones!$AA$179)&lt;PolicyEff),1,Milestones!$AC$179)&amp;";  ","")&amp;IF(AND(EDATE($D35,Milestones!$AA$180)&lt;=AsOfDate,EDATE($D35,Milestones!$AA$180)&gt;=SchemeStart,IF($X35=0,$AD35,IF(AND($Z35&lt;&gt;"",EDATE($D35,Milestones!$AA$180)&gt;=$Z35),$AC35,IF(AND($Y35&lt;&gt;"",EDATE($D35,Milestones!$AA$180)&gt;=$Y35),$AB35,$AA35)))=Milestones!$AB$180),UPPER(TEXT(EDATE($D35,Milestones!$AA$180),"dd mmm yy"))&amp;" "&amp;Milestones!$AB$180&amp;" "&amp;IF(AND(Milestones!$AB$180="FT",Milestones!$AA$180=FT_Y5,EDATE($D35,Milestones!$AA$180)&lt;PolicyEff),1,Milestones!$AC$180)&amp;";  ","")&amp;IF(AND(EDATE($D35,Milestones!$AA$181)&lt;=AsOfDate,EDATE($D35,Milestones!$AA$181)&gt;=SchemeStart,IF($X35=0,$AD35,IF(AND($Z35&lt;&gt;"",EDATE($D35,Milestones!$AA$181)&gt;=$Z35),$AC35,IF(AND($Y35&lt;&gt;"",EDATE($D35,Milestones!$AA$181)&gt;=$Y35),$AB35,$AA35)))=Milestones!$AB$181),UPPER(TEXT(EDATE($D35,Milestones!$AA$181),"dd mmm yy"))&amp;" "&amp;Milestones!$AB$181&amp;" "&amp;IF(AND(Milestones!$AB$181="FT",Milestones!$AA$181=FT_Y5,EDATE($D35,Milestones!$AA$181)&lt;PolicyEff),1,Milestones!$AC$181)&amp;";  ","")&amp;IF(AND(EDATE($D35,Milestones!$AA$182)&lt;=AsOfDate,EDATE($D35,Milestones!$AA$182)&gt;=SchemeStart,IF($X35=0,$AD35,IF(AND($Z35&lt;&gt;"",EDATE($D35,Milestones!$AA$182)&gt;=$Z35),$AC35,IF(AND($Y35&lt;&gt;"",EDATE($D35,Milestones!$AA$182)&gt;=$Y35),$AB35,$AA35)))=Milestones!$AB$182),UPPER(TEXT(EDATE($D35,Milestones!$AA$182),"dd mmm yy"))&amp;" "&amp;Milestones!$AB$182&amp;" "&amp;IF(AND(Milestones!$AB$182="FT",Milestones!$AA$182=FT_Y5,EDATE($D35,Milestones!$AA$182)&lt;PolicyEff),1,Milestones!$AC$182)&amp;";  ","")&amp;IF(AND(EDATE($D35,Milestones!$AA$183)&lt;=AsOfDate,EDATE($D35,Milestones!$AA$183)&gt;=SchemeStart,IF($X35=0,$AD35,IF(AND($Z35&lt;&gt;"",EDATE($D35,Milestones!$AA$183)&gt;=$Z35),$AC35,IF(AND($Y35&lt;&gt;"",EDATE($D35,Milestones!$AA$183)&gt;=$Y35),$AB35,$AA35)))=Milestones!$AB$183),UPPER(TEXT(EDATE($D35,Milestones!$AA$183),"dd mmm yy"))&amp;" "&amp;Milestones!$AB$183&amp;" "&amp;IF(AND(Milestones!$AB$183="FT",Milestones!$AA$183=FT_Y5,EDATE($D35,Milestones!$AA$183)&lt;PolicyEff),1,Milestones!$AC$183)&amp;";  ","")&amp;IF(AND(EDATE($D35,Milestones!$AA$184)&lt;=AsOfDate,EDATE($D35,Milestones!$AA$184)&gt;=SchemeStart,IF($X35=0,$AD35,IF(AND($Z35&lt;&gt;"",EDATE($D35,Milestones!$AA$184)&gt;=$Z35),$AC35,IF(AND($Y35&lt;&gt;"",EDATE($D35,Milestones!$AA$184)&gt;=$Y35),$AB35,$AA35)))=Milestones!$AB$184),UPPER(TEXT(EDATE($D35,Milestones!$AA$184),"dd mmm yy"))&amp;" "&amp;Milestones!$AB$184&amp;" "&amp;IF(AND(Milestones!$AB$184="FT",Milestones!$AA$184=FT_Y5,EDATE($D35,Milestones!$AA$184)&lt;PolicyEff),1,Milestones!$AC$184)&amp;";  ","")&amp;IF(AND(EDATE($D35,Milestones!$AA$185)&lt;=AsOfDate,EDATE($D35,Milestones!$AA$185)&gt;=SchemeStart,IF($X35=0,$AD35,IF(AND($Z35&lt;&gt;"",EDATE($D35,Milestones!$AA$185)&gt;=$Z35),$AC35,IF(AND($Y35&lt;&gt;"",EDATE($D35,Milestones!$AA$185)&gt;=$Y35),$AB35,$AA35)))=Milestones!$AB$185),UPPER(TEXT(EDATE($D35,Milestones!$AA$185),"dd mmm yy"))&amp;" "&amp;Milestones!$AB$185&amp;" "&amp;IF(AND(Milestones!$AB$185="FT",Milestones!$AA$185=FT_Y5,EDATE($D35,Milestones!$AA$185)&lt;PolicyEff),1,Milestones!$AC$185)&amp;";  ","")&amp;IF(AND(EDATE($D35,Milestones!$AA$186)&lt;=AsOfDate,EDATE($D35,Milestones!$AA$186)&gt;=SchemeStart,IF($X35=0,$AD35,IF(AND($Z35&lt;&gt;"",EDATE($D35,Milestones!$AA$186)&gt;=$Z35),$AC35,IF(AND($Y35&lt;&gt;"",EDATE($D35,Milestones!$AA$186)&gt;=$Y35),$AB35,$AA35)))=Milestones!$AB$186),UPPER(TEXT(EDATE($D35,Milestones!$AA$186),"dd mmm yy"))&amp;" "&amp;Milestones!$AB$186&amp;" "&amp;IF(AND(Milestones!$AB$186="FT",Milestones!$AA$186=FT_Y5,EDATE($D35,Milestones!$AA$186)&lt;PolicyEff),1,Milestones!$AC$186)&amp;";  ","")&amp;IF(AND(EDATE($D35,Milestones!$AA$187)&lt;=AsOfDate,EDATE($D35,Milestones!$AA$187)&gt;=SchemeStart,IF($X35=0,$AD35,IF(AND($Z35&lt;&gt;"",EDATE($D35,Milestones!$AA$187)&gt;=$Z35),$AC35,IF(AND($Y35&lt;&gt;"",EDATE($D35,Milestones!$AA$187)&gt;=$Y35),$AB35,$AA35)))=Milestones!$AB$187),UPPER(TEXT(EDATE($D35,Milestones!$AA$187),"dd mmm yy"))&amp;" "&amp;Milestones!$AB$187&amp;" "&amp;IF(AND(Milestones!$AB$187="FT",Milestones!$AA$187=FT_Y5,EDATE($D35,Milestones!$AA$187)&lt;PolicyEff),1,Milestones!$AC$187)&amp;";  ",""))</f>
        <v/>
      </c>
      <c r="W35" s="0" t="str">
        <f aca="false">IF(OR($A35="",$D35=""),"",IF(AND(EDATE($D35,Milestones!$AA$188)&lt;=AsOfDate,EDATE($D35,Milestones!$AA$188)&gt;=SchemeStart,IF($X35=0,$AD35,IF(AND($Z35&lt;&gt;"",EDATE($D35,Milestones!$AA$188)&gt;=$Z35),$AC35,IF(AND($Y35&lt;&gt;"",EDATE($D35,Milestones!$AA$188)&gt;=$Y35),$AB35,$AA35)))=Milestones!$AB$188),UPPER(TEXT(EDATE($D35,Milestones!$AA$188),"dd mmm yy"))&amp;" "&amp;Milestones!$AB$188&amp;" "&amp;IF(AND(Milestones!$AB$188="FT",Milestones!$AA$188=FT_Y5,EDATE($D35,Milestones!$AA$188)&lt;PolicyEff),1,Milestones!$AC$188)&amp;";  ","")&amp;IF(AND(EDATE($D35,Milestones!$AA$189)&lt;=AsOfDate,EDATE($D35,Milestones!$AA$189)&gt;=SchemeStart,IF($X35=0,$AD35,IF(AND($Z35&lt;&gt;"",EDATE($D35,Milestones!$AA$189)&gt;=$Z35),$AC35,IF(AND($Y35&lt;&gt;"",EDATE($D35,Milestones!$AA$189)&gt;=$Y35),$AB35,$AA35)))=Milestones!$AB$189),UPPER(TEXT(EDATE($D35,Milestones!$AA$189),"dd mmm yy"))&amp;" "&amp;Milestones!$AB$189&amp;" "&amp;IF(AND(Milestones!$AB$189="FT",Milestones!$AA$189=FT_Y5,EDATE($D35,Milestones!$AA$189)&lt;PolicyEff),1,Milestones!$AC$189)&amp;";  ","")&amp;IF(AND(EDATE($D35,Milestones!$AA$190)&lt;=AsOfDate,EDATE($D35,Milestones!$AA$190)&gt;=SchemeStart,IF($X35=0,$AD35,IF(AND($Z35&lt;&gt;"",EDATE($D35,Milestones!$AA$190)&gt;=$Z35),$AC35,IF(AND($Y35&lt;&gt;"",EDATE($D35,Milestones!$AA$190)&gt;=$Y35),$AB35,$AA35)))=Milestones!$AB$190),UPPER(TEXT(EDATE($D35,Milestones!$AA$190),"dd mmm yy"))&amp;" "&amp;Milestones!$AB$190&amp;" "&amp;IF(AND(Milestones!$AB$190="FT",Milestones!$AA$190=FT_Y5,EDATE($D35,Milestones!$AA$190)&lt;PolicyEff),1,Milestones!$AC$190)&amp;";  ","")&amp;IF(AND(EDATE($D35,Milestones!$AA$191)&lt;=AsOfDate,EDATE($D35,Milestones!$AA$191)&gt;=SchemeStart,IF($X35=0,$AD35,IF(AND($Z35&lt;&gt;"",EDATE($D35,Milestones!$AA$191)&gt;=$Z35),$AC35,IF(AND($Y35&lt;&gt;"",EDATE($D35,Milestones!$AA$191)&gt;=$Y35),$AB35,$AA35)))=Milestones!$AB$191),UPPER(TEXT(EDATE($D35,Milestones!$AA$191),"dd mmm yy"))&amp;" "&amp;Milestones!$AB$191&amp;" "&amp;IF(AND(Milestones!$AB$191="FT",Milestones!$AA$191=FT_Y5,EDATE($D35,Milestones!$AA$191)&lt;PolicyEff),1,Milestones!$AC$191)&amp;";  ","")&amp;IF(AND(EDATE($D35,Milestones!$AA$192)&lt;=AsOfDate,EDATE($D35,Milestones!$AA$192)&gt;=SchemeStart,IF($X35=0,$AD35,IF(AND($Z35&lt;&gt;"",EDATE($D35,Milestones!$AA$192)&gt;=$Z35),$AC35,IF(AND($Y35&lt;&gt;"",EDATE($D35,Milestones!$AA$192)&gt;=$Y35),$AB35,$AA35)))=Milestones!$AB$192),UPPER(TEXT(EDATE($D35,Milestones!$AA$192),"dd mmm yy"))&amp;" "&amp;Milestones!$AB$192&amp;" "&amp;IF(AND(Milestones!$AB$192="FT",Milestones!$AA$192=FT_Y5,EDATE($D35,Milestones!$AA$192)&lt;PolicyEff),1,Milestones!$AC$192)&amp;";  ","")&amp;IF(AND(EDATE($D35,Milestones!$AA$193)&lt;=AsOfDate,EDATE($D35,Milestones!$AA$193)&gt;=SchemeStart,IF($X35=0,$AD35,IF(AND($Z35&lt;&gt;"",EDATE($D35,Milestones!$AA$193)&gt;=$Z35),$AC35,IF(AND($Y35&lt;&gt;"",EDATE($D35,Milestones!$AA$193)&gt;=$Y35),$AB35,$AA35)))=Milestones!$AB$193),UPPER(TEXT(EDATE($D35,Milestones!$AA$193),"dd mmm yy"))&amp;" "&amp;Milestones!$AB$193&amp;" "&amp;IF(AND(Milestones!$AB$193="FT",Milestones!$AA$193=FT_Y5,EDATE($D35,Milestones!$AA$193)&lt;PolicyEff),1,Milestones!$AC$193)&amp;";  ","")&amp;IF(AND(EDATE($D35,Milestones!$AA$194)&lt;=AsOfDate,EDATE($D35,Milestones!$AA$194)&gt;=SchemeStart,IF($X35=0,$AD35,IF(AND($Z35&lt;&gt;"",EDATE($D35,Milestones!$AA$194)&gt;=$Z35),$AC35,IF(AND($Y35&lt;&gt;"",EDATE($D35,Milestones!$AA$194)&gt;=$Y35),$AB35,$AA35)))=Milestones!$AB$194),UPPER(TEXT(EDATE($D35,Milestones!$AA$194),"dd mmm yy"))&amp;" "&amp;Milestones!$AB$194&amp;" "&amp;IF(AND(Milestones!$AB$194="FT",Milestones!$AA$194=FT_Y5,EDATE($D35,Milestones!$AA$194)&lt;PolicyEff),1,Milestones!$AC$194)&amp;";  ","")&amp;IF(AND(EDATE($D35,Milestones!$AA$195)&lt;=AsOfDate,EDATE($D35,Milestones!$AA$195)&gt;=SchemeStart,IF($X35=0,$AD35,IF(AND($Z35&lt;&gt;"",EDATE($D35,Milestones!$AA$195)&gt;=$Z35),$AC35,IF(AND($Y35&lt;&gt;"",EDATE($D35,Milestones!$AA$195)&gt;=$Y35),$AB35,$AA35)))=Milestones!$AB$195),UPPER(TEXT(EDATE($D35,Milestones!$AA$195),"dd mmm yy"))&amp;" "&amp;Milestones!$AB$195&amp;" "&amp;IF(AND(Milestones!$AB$195="FT",Milestones!$AA$195=FT_Y5,EDATE($D35,Milestones!$AA$195)&lt;PolicyEff),1,Milestones!$AC$195)&amp;";  ","")&amp;IF(AND(EDATE($D35,Milestones!$AA$196)&lt;=AsOfDate,EDATE($D35,Milestones!$AA$196)&gt;=SchemeStart,IF($X35=0,$AD35,IF(AND($Z35&lt;&gt;"",EDATE($D35,Milestones!$AA$196)&gt;=$Z35),$AC35,IF(AND($Y35&lt;&gt;"",EDATE($D35,Milestones!$AA$196)&gt;=$Y35),$AB35,$AA35)))=Milestones!$AB$196),UPPER(TEXT(EDATE($D35,Milestones!$AA$196),"dd mmm yy"))&amp;" "&amp;Milestones!$AB$196&amp;" "&amp;IF(AND(Milestones!$AB$196="FT",Milestones!$AA$196=FT_Y5,EDATE($D35,Milestones!$AA$196)&lt;PolicyEff),1,Milestones!$AC$196)&amp;";  ","")&amp;IF(AND(EDATE($D35,Milestones!$AA$197)&lt;=AsOfDate,EDATE($D35,Milestones!$AA$197)&gt;=SchemeStart,IF($X35=0,$AD35,IF(AND($Z35&lt;&gt;"",EDATE($D35,Milestones!$AA$197)&gt;=$Z35),$AC35,IF(AND($Y35&lt;&gt;"",EDATE($D35,Milestones!$AA$197)&gt;=$Y35),$AB35,$AA35)))=Milestones!$AB$197),UPPER(TEXT(EDATE($D35,Milestones!$AA$197),"dd mmm yy"))&amp;" "&amp;Milestones!$AB$197&amp;" "&amp;IF(AND(Milestones!$AB$197="FT",Milestones!$AA$197=FT_Y5,EDATE($D35,Milestones!$AA$197)&lt;PolicyEff),1,Milestones!$AC$197)&amp;";  ","")&amp;IF(AND(EDATE($D35,Milestones!$AA$198)&lt;=AsOfDate,EDATE($D35,Milestones!$AA$198)&gt;=SchemeStart,IF($X35=0,$AD35,IF(AND($Z35&lt;&gt;"",EDATE($D35,Milestones!$AA$198)&gt;=$Z35),$AC35,IF(AND($Y35&lt;&gt;"",EDATE($D35,Milestones!$AA$198)&gt;=$Y35),$AB35,$AA35)))=Milestones!$AB$198),UPPER(TEXT(EDATE($D35,Milestones!$AA$198),"dd mmm yy"))&amp;" "&amp;Milestones!$AB$198&amp;" "&amp;IF(AND(Milestones!$AB$198="FT",Milestones!$AA$198=FT_Y5,EDATE($D35,Milestones!$AA$198)&lt;PolicyEff),1,Milestones!$AC$198)&amp;";  ","")&amp;IF(AND(EDATE($D35,Milestones!$AA$199)&lt;=AsOfDate,EDATE($D35,Milestones!$AA$199)&gt;=SchemeStart,IF($X35=0,$AD35,IF(AND($Z35&lt;&gt;"",EDATE($D35,Milestones!$AA$199)&gt;=$Z35),$AC35,IF(AND($Y35&lt;&gt;"",EDATE($D35,Milestones!$AA$199)&gt;=$Y35),$AB35,$AA35)))=Milestones!$AB$199),UPPER(TEXT(EDATE($D35,Milestones!$AA$199),"dd mmm yy"))&amp;" "&amp;Milestones!$AB$199&amp;" "&amp;IF(AND(Milestones!$AB$199="FT",Milestones!$AA$199=FT_Y5,EDATE($D35,Milestones!$AA$199)&lt;PolicyEff),1,Milestones!$AC$199)&amp;";  ",""))</f>
        <v/>
      </c>
      <c r="X35" s="0" t="str">
        <f aca="false">IF(Staff!$A35="","",Staff!$AM35)</f>
        <v/>
      </c>
      <c r="Y35" s="0" t="str">
        <f aca="false">IF(Staff!$A35="","",Staff!$AO35)</f>
        <v/>
      </c>
      <c r="Z35" s="0" t="str">
        <f aca="false">IF(Staff!$A35="","",Staff!$AP35)</f>
        <v/>
      </c>
      <c r="AA35" s="0" t="str">
        <f aca="false">IF(Staff!$A35="","",Staff!$AT35)</f>
        <v/>
      </c>
      <c r="AB35" s="0" t="str">
        <f aca="false">IF(Staff!$A35="","",Staff!$AU35)</f>
        <v/>
      </c>
      <c r="AC35" s="0" t="str">
        <f aca="false">IF(Staff!$A35="","",Staff!$AV35)</f>
        <v/>
      </c>
      <c r="AD35" s="0" t="str">
        <f aca="false">IF(Staff!$A35="","",Staff!$AW35)</f>
        <v/>
      </c>
    </row>
    <row r="36" customFormat="false" ht="15" hidden="false" customHeight="false" outlineLevel="0" collapsed="false">
      <c r="A36" s="16" t="str">
        <f aca="false">IF(Staff!$A36="","",Staff!$A36)</f>
        <v/>
      </c>
      <c r="B36" s="16" t="str">
        <f aca="false">IF(Staff!$A36="","",Staff!$B36)</f>
        <v/>
      </c>
      <c r="C36" s="16" t="str">
        <f aca="false">IF(Staff!$A36="","",Staff!$C36)</f>
        <v/>
      </c>
      <c r="D36" s="14" t="str">
        <f aca="false">IF(Staff!$A36="","",Staff!$AL36)</f>
        <v/>
      </c>
      <c r="E36" s="16" t="str">
        <f aca="false">IF(Staff!$A36="","",Staff!$O36)</f>
        <v/>
      </c>
      <c r="F36" s="16" t="str">
        <f aca="false">IF(E36="","",E36*HoursPerDay)</f>
        <v/>
      </c>
      <c r="G36" s="16" t="str">
        <f aca="false">IF(Staff!$A36="","",Staff!$AE36)</f>
        <v/>
      </c>
      <c r="H36" s="28" t="str">
        <f aca="false">IF($A36="","",I36&amp;J36&amp;K36&amp;L36&amp;M36&amp;N36&amp;O36&amp;P36&amp;Q36&amp;R36&amp;S36&amp;T36&amp;U36&amp;V36&amp;W36)</f>
        <v/>
      </c>
      <c r="I36" s="0" t="str">
        <f aca="false">IF(OR($A36="",$D36=""),"",IF(AND(EDATE($D36,Milestones!$AA$20)&lt;=AsOfDate,EDATE($D36,Milestones!$AA$20)&gt;=SchemeStart,IF($X36=0,$AD36,IF(AND($Z36&lt;&gt;"",EDATE($D36,Milestones!$AA$20)&gt;=$Z36),$AC36,IF(AND($Y36&lt;&gt;"",EDATE($D36,Milestones!$AA$20)&gt;=$Y36),$AB36,$AA36)))=Milestones!$AB$20),UPPER(TEXT(EDATE($D36,Milestones!$AA$20),"dd mmm yy"))&amp;" "&amp;Milestones!$AB$20&amp;" "&amp;IF(AND(Milestones!$AB$20="FT",Milestones!$AA$20=FT_Y5,EDATE($D36,Milestones!$AA$20)&lt;PolicyEff),1,Milestones!$AC$20)&amp;";  ","")&amp;IF(AND(EDATE($D36,Milestones!$AA$21)&lt;=AsOfDate,EDATE($D36,Milestones!$AA$21)&gt;=SchemeStart,IF($X36=0,$AD36,IF(AND($Z36&lt;&gt;"",EDATE($D36,Milestones!$AA$21)&gt;=$Z36),$AC36,IF(AND($Y36&lt;&gt;"",EDATE($D36,Milestones!$AA$21)&gt;=$Y36),$AB36,$AA36)))=Milestones!$AB$21),UPPER(TEXT(EDATE($D36,Milestones!$AA$21),"dd mmm yy"))&amp;" "&amp;Milestones!$AB$21&amp;" "&amp;IF(AND(Milestones!$AB$21="FT",Milestones!$AA$21=FT_Y5,EDATE($D36,Milestones!$AA$21)&lt;PolicyEff),1,Milestones!$AC$21)&amp;";  ","")&amp;IF(AND(EDATE($D36,Milestones!$AA$22)&lt;=AsOfDate,EDATE($D36,Milestones!$AA$22)&gt;=SchemeStart,IF($X36=0,$AD36,IF(AND($Z36&lt;&gt;"",EDATE($D36,Milestones!$AA$22)&gt;=$Z36),$AC36,IF(AND($Y36&lt;&gt;"",EDATE($D36,Milestones!$AA$22)&gt;=$Y36),$AB36,$AA36)))=Milestones!$AB$22),UPPER(TEXT(EDATE($D36,Milestones!$AA$22),"dd mmm yy"))&amp;" "&amp;Milestones!$AB$22&amp;" "&amp;IF(AND(Milestones!$AB$22="FT",Milestones!$AA$22=FT_Y5,EDATE($D36,Milestones!$AA$22)&lt;PolicyEff),1,Milestones!$AC$22)&amp;";  ","")&amp;IF(AND(EDATE($D36,Milestones!$AA$23)&lt;=AsOfDate,EDATE($D36,Milestones!$AA$23)&gt;=SchemeStart,IF($X36=0,$AD36,IF(AND($Z36&lt;&gt;"",EDATE($D36,Milestones!$AA$23)&gt;=$Z36),$AC36,IF(AND($Y36&lt;&gt;"",EDATE($D36,Milestones!$AA$23)&gt;=$Y36),$AB36,$AA36)))=Milestones!$AB$23),UPPER(TEXT(EDATE($D36,Milestones!$AA$23),"dd mmm yy"))&amp;" "&amp;Milestones!$AB$23&amp;" "&amp;IF(AND(Milestones!$AB$23="FT",Milestones!$AA$23=FT_Y5,EDATE($D36,Milestones!$AA$23)&lt;PolicyEff),1,Milestones!$AC$23)&amp;";  ","")&amp;IF(AND(EDATE($D36,Milestones!$AA$24)&lt;=AsOfDate,EDATE($D36,Milestones!$AA$24)&gt;=SchemeStart,IF($X36=0,$AD36,IF(AND($Z36&lt;&gt;"",EDATE($D36,Milestones!$AA$24)&gt;=$Z36),$AC36,IF(AND($Y36&lt;&gt;"",EDATE($D36,Milestones!$AA$24)&gt;=$Y36),$AB36,$AA36)))=Milestones!$AB$24),UPPER(TEXT(EDATE($D36,Milestones!$AA$24),"dd mmm yy"))&amp;" "&amp;Milestones!$AB$24&amp;" "&amp;IF(AND(Milestones!$AB$24="FT",Milestones!$AA$24=FT_Y5,EDATE($D36,Milestones!$AA$24)&lt;PolicyEff),1,Milestones!$AC$24)&amp;";  ","")&amp;IF(AND(EDATE($D36,Milestones!$AA$25)&lt;=AsOfDate,EDATE($D36,Milestones!$AA$25)&gt;=SchemeStart,IF($X36=0,$AD36,IF(AND($Z36&lt;&gt;"",EDATE($D36,Milestones!$AA$25)&gt;=$Z36),$AC36,IF(AND($Y36&lt;&gt;"",EDATE($D36,Milestones!$AA$25)&gt;=$Y36),$AB36,$AA36)))=Milestones!$AB$25),UPPER(TEXT(EDATE($D36,Milestones!$AA$25),"dd mmm yy"))&amp;" "&amp;Milestones!$AB$25&amp;" "&amp;IF(AND(Milestones!$AB$25="FT",Milestones!$AA$25=FT_Y5,EDATE($D36,Milestones!$AA$25)&lt;PolicyEff),1,Milestones!$AC$25)&amp;";  ","")&amp;IF(AND(EDATE($D36,Milestones!$AA$26)&lt;=AsOfDate,EDATE($D36,Milestones!$AA$26)&gt;=SchemeStart,IF($X36=0,$AD36,IF(AND($Z36&lt;&gt;"",EDATE($D36,Milestones!$AA$26)&gt;=$Z36),$AC36,IF(AND($Y36&lt;&gt;"",EDATE($D36,Milestones!$AA$26)&gt;=$Y36),$AB36,$AA36)))=Milestones!$AB$26),UPPER(TEXT(EDATE($D36,Milestones!$AA$26),"dd mmm yy"))&amp;" "&amp;Milestones!$AB$26&amp;" "&amp;IF(AND(Milestones!$AB$26="FT",Milestones!$AA$26=FT_Y5,EDATE($D36,Milestones!$AA$26)&lt;PolicyEff),1,Milestones!$AC$26)&amp;";  ","")&amp;IF(AND(EDATE($D36,Milestones!$AA$27)&lt;=AsOfDate,EDATE($D36,Milestones!$AA$27)&gt;=SchemeStart,IF($X36=0,$AD36,IF(AND($Z36&lt;&gt;"",EDATE($D36,Milestones!$AA$27)&gt;=$Z36),$AC36,IF(AND($Y36&lt;&gt;"",EDATE($D36,Milestones!$AA$27)&gt;=$Y36),$AB36,$AA36)))=Milestones!$AB$27),UPPER(TEXT(EDATE($D36,Milestones!$AA$27),"dd mmm yy"))&amp;" "&amp;Milestones!$AB$27&amp;" "&amp;IF(AND(Milestones!$AB$27="FT",Milestones!$AA$27=FT_Y5,EDATE($D36,Milestones!$AA$27)&lt;PolicyEff),1,Milestones!$AC$27)&amp;";  ","")&amp;IF(AND(EDATE($D36,Milestones!$AA$28)&lt;=AsOfDate,EDATE($D36,Milestones!$AA$28)&gt;=SchemeStart,IF($X36=0,$AD36,IF(AND($Z36&lt;&gt;"",EDATE($D36,Milestones!$AA$28)&gt;=$Z36),$AC36,IF(AND($Y36&lt;&gt;"",EDATE($D36,Milestones!$AA$28)&gt;=$Y36),$AB36,$AA36)))=Milestones!$AB$28),UPPER(TEXT(EDATE($D36,Milestones!$AA$28),"dd mmm yy"))&amp;" "&amp;Milestones!$AB$28&amp;" "&amp;IF(AND(Milestones!$AB$28="FT",Milestones!$AA$28=FT_Y5,EDATE($D36,Milestones!$AA$28)&lt;PolicyEff),1,Milestones!$AC$28)&amp;";  ","")&amp;IF(AND(EDATE($D36,Milestones!$AA$29)&lt;=AsOfDate,EDATE($D36,Milestones!$AA$29)&gt;=SchemeStart,IF($X36=0,$AD36,IF(AND($Z36&lt;&gt;"",EDATE($D36,Milestones!$AA$29)&gt;=$Z36),$AC36,IF(AND($Y36&lt;&gt;"",EDATE($D36,Milestones!$AA$29)&gt;=$Y36),$AB36,$AA36)))=Milestones!$AB$29),UPPER(TEXT(EDATE($D36,Milestones!$AA$29),"dd mmm yy"))&amp;" "&amp;Milestones!$AB$29&amp;" "&amp;IF(AND(Milestones!$AB$29="FT",Milestones!$AA$29=FT_Y5,EDATE($D36,Milestones!$AA$29)&lt;PolicyEff),1,Milestones!$AC$29)&amp;";  ","")&amp;IF(AND(EDATE($D36,Milestones!$AA$30)&lt;=AsOfDate,EDATE($D36,Milestones!$AA$30)&gt;=SchemeStart,IF($X36=0,$AD36,IF(AND($Z36&lt;&gt;"",EDATE($D36,Milestones!$AA$30)&gt;=$Z36),$AC36,IF(AND($Y36&lt;&gt;"",EDATE($D36,Milestones!$AA$30)&gt;=$Y36),$AB36,$AA36)))=Milestones!$AB$30),UPPER(TEXT(EDATE($D36,Milestones!$AA$30),"dd mmm yy"))&amp;" "&amp;Milestones!$AB$30&amp;" "&amp;IF(AND(Milestones!$AB$30="FT",Milestones!$AA$30=FT_Y5,EDATE($D36,Milestones!$AA$30)&lt;PolicyEff),1,Milestones!$AC$30)&amp;";  ","")&amp;IF(AND(EDATE($D36,Milestones!$AA$31)&lt;=AsOfDate,EDATE($D36,Milestones!$AA$31)&gt;=SchemeStart,IF($X36=0,$AD36,IF(AND($Z36&lt;&gt;"",EDATE($D36,Milestones!$AA$31)&gt;=$Z36),$AC36,IF(AND($Y36&lt;&gt;"",EDATE($D36,Milestones!$AA$31)&gt;=$Y36),$AB36,$AA36)))=Milestones!$AB$31),UPPER(TEXT(EDATE($D36,Milestones!$AA$31),"dd mmm yy"))&amp;" "&amp;Milestones!$AB$31&amp;" "&amp;IF(AND(Milestones!$AB$31="FT",Milestones!$AA$31=FT_Y5,EDATE($D36,Milestones!$AA$31)&lt;PolicyEff),1,Milestones!$AC$31)&amp;";  ",""))</f>
        <v/>
      </c>
      <c r="J36" s="0" t="str">
        <f aca="false">IF(OR($A36="",$D36=""),"",IF(AND(EDATE($D36,Milestones!$AA$32)&lt;=AsOfDate,EDATE($D36,Milestones!$AA$32)&gt;=SchemeStart,IF($X36=0,$AD36,IF(AND($Z36&lt;&gt;"",EDATE($D36,Milestones!$AA$32)&gt;=$Z36),$AC36,IF(AND($Y36&lt;&gt;"",EDATE($D36,Milestones!$AA$32)&gt;=$Y36),$AB36,$AA36)))=Milestones!$AB$32),UPPER(TEXT(EDATE($D36,Milestones!$AA$32),"dd mmm yy"))&amp;" "&amp;Milestones!$AB$32&amp;" "&amp;IF(AND(Milestones!$AB$32="FT",Milestones!$AA$32=FT_Y5,EDATE($D36,Milestones!$AA$32)&lt;PolicyEff),1,Milestones!$AC$32)&amp;";  ","")&amp;IF(AND(EDATE($D36,Milestones!$AA$33)&lt;=AsOfDate,EDATE($D36,Milestones!$AA$33)&gt;=SchemeStart,IF($X36=0,$AD36,IF(AND($Z36&lt;&gt;"",EDATE($D36,Milestones!$AA$33)&gt;=$Z36),$AC36,IF(AND($Y36&lt;&gt;"",EDATE($D36,Milestones!$AA$33)&gt;=$Y36),$AB36,$AA36)))=Milestones!$AB$33),UPPER(TEXT(EDATE($D36,Milestones!$AA$33),"dd mmm yy"))&amp;" "&amp;Milestones!$AB$33&amp;" "&amp;IF(AND(Milestones!$AB$33="FT",Milestones!$AA$33=FT_Y5,EDATE($D36,Milestones!$AA$33)&lt;PolicyEff),1,Milestones!$AC$33)&amp;";  ","")&amp;IF(AND(EDATE($D36,Milestones!$AA$34)&lt;=AsOfDate,EDATE($D36,Milestones!$AA$34)&gt;=SchemeStart,IF($X36=0,$AD36,IF(AND($Z36&lt;&gt;"",EDATE($D36,Milestones!$AA$34)&gt;=$Z36),$AC36,IF(AND($Y36&lt;&gt;"",EDATE($D36,Milestones!$AA$34)&gt;=$Y36),$AB36,$AA36)))=Milestones!$AB$34),UPPER(TEXT(EDATE($D36,Milestones!$AA$34),"dd mmm yy"))&amp;" "&amp;Milestones!$AB$34&amp;" "&amp;IF(AND(Milestones!$AB$34="FT",Milestones!$AA$34=FT_Y5,EDATE($D36,Milestones!$AA$34)&lt;PolicyEff),1,Milestones!$AC$34)&amp;";  ","")&amp;IF(AND(EDATE($D36,Milestones!$AA$35)&lt;=AsOfDate,EDATE($D36,Milestones!$AA$35)&gt;=SchemeStart,IF($X36=0,$AD36,IF(AND($Z36&lt;&gt;"",EDATE($D36,Milestones!$AA$35)&gt;=$Z36),$AC36,IF(AND($Y36&lt;&gt;"",EDATE($D36,Milestones!$AA$35)&gt;=$Y36),$AB36,$AA36)))=Milestones!$AB$35),UPPER(TEXT(EDATE($D36,Milestones!$AA$35),"dd mmm yy"))&amp;" "&amp;Milestones!$AB$35&amp;" "&amp;IF(AND(Milestones!$AB$35="FT",Milestones!$AA$35=FT_Y5,EDATE($D36,Milestones!$AA$35)&lt;PolicyEff),1,Milestones!$AC$35)&amp;";  ","")&amp;IF(AND(EDATE($D36,Milestones!$AA$36)&lt;=AsOfDate,EDATE($D36,Milestones!$AA$36)&gt;=SchemeStart,IF($X36=0,$AD36,IF(AND($Z36&lt;&gt;"",EDATE($D36,Milestones!$AA$36)&gt;=$Z36),$AC36,IF(AND($Y36&lt;&gt;"",EDATE($D36,Milestones!$AA$36)&gt;=$Y36),$AB36,$AA36)))=Milestones!$AB$36),UPPER(TEXT(EDATE($D36,Milestones!$AA$36),"dd mmm yy"))&amp;" "&amp;Milestones!$AB$36&amp;" "&amp;IF(AND(Milestones!$AB$36="FT",Milestones!$AA$36=FT_Y5,EDATE($D36,Milestones!$AA$36)&lt;PolicyEff),1,Milestones!$AC$36)&amp;";  ","")&amp;IF(AND(EDATE($D36,Milestones!$AA$37)&lt;=AsOfDate,EDATE($D36,Milestones!$AA$37)&gt;=SchemeStart,IF($X36=0,$AD36,IF(AND($Z36&lt;&gt;"",EDATE($D36,Milestones!$AA$37)&gt;=$Z36),$AC36,IF(AND($Y36&lt;&gt;"",EDATE($D36,Milestones!$AA$37)&gt;=$Y36),$AB36,$AA36)))=Milestones!$AB$37),UPPER(TEXT(EDATE($D36,Milestones!$AA$37),"dd mmm yy"))&amp;" "&amp;Milestones!$AB$37&amp;" "&amp;IF(AND(Milestones!$AB$37="FT",Milestones!$AA$37=FT_Y5,EDATE($D36,Milestones!$AA$37)&lt;PolicyEff),1,Milestones!$AC$37)&amp;";  ","")&amp;IF(AND(EDATE($D36,Milestones!$AA$38)&lt;=AsOfDate,EDATE($D36,Milestones!$AA$38)&gt;=SchemeStart,IF($X36=0,$AD36,IF(AND($Z36&lt;&gt;"",EDATE($D36,Milestones!$AA$38)&gt;=$Z36),$AC36,IF(AND($Y36&lt;&gt;"",EDATE($D36,Milestones!$AA$38)&gt;=$Y36),$AB36,$AA36)))=Milestones!$AB$38),UPPER(TEXT(EDATE($D36,Milestones!$AA$38),"dd mmm yy"))&amp;" "&amp;Milestones!$AB$38&amp;" "&amp;IF(AND(Milestones!$AB$38="FT",Milestones!$AA$38=FT_Y5,EDATE($D36,Milestones!$AA$38)&lt;PolicyEff),1,Milestones!$AC$38)&amp;";  ","")&amp;IF(AND(EDATE($D36,Milestones!$AA$39)&lt;=AsOfDate,EDATE($D36,Milestones!$AA$39)&gt;=SchemeStart,IF($X36=0,$AD36,IF(AND($Z36&lt;&gt;"",EDATE($D36,Milestones!$AA$39)&gt;=$Z36),$AC36,IF(AND($Y36&lt;&gt;"",EDATE($D36,Milestones!$AA$39)&gt;=$Y36),$AB36,$AA36)))=Milestones!$AB$39),UPPER(TEXT(EDATE($D36,Milestones!$AA$39),"dd mmm yy"))&amp;" "&amp;Milestones!$AB$39&amp;" "&amp;IF(AND(Milestones!$AB$39="FT",Milestones!$AA$39=FT_Y5,EDATE($D36,Milestones!$AA$39)&lt;PolicyEff),1,Milestones!$AC$39)&amp;";  ","")&amp;IF(AND(EDATE($D36,Milestones!$AA$40)&lt;=AsOfDate,EDATE($D36,Milestones!$AA$40)&gt;=SchemeStart,IF($X36=0,$AD36,IF(AND($Z36&lt;&gt;"",EDATE($D36,Milestones!$AA$40)&gt;=$Z36),$AC36,IF(AND($Y36&lt;&gt;"",EDATE($D36,Milestones!$AA$40)&gt;=$Y36),$AB36,$AA36)))=Milestones!$AB$40),UPPER(TEXT(EDATE($D36,Milestones!$AA$40),"dd mmm yy"))&amp;" "&amp;Milestones!$AB$40&amp;" "&amp;IF(AND(Milestones!$AB$40="FT",Milestones!$AA$40=FT_Y5,EDATE($D36,Milestones!$AA$40)&lt;PolicyEff),1,Milestones!$AC$40)&amp;";  ","")&amp;IF(AND(EDATE($D36,Milestones!$AA$41)&lt;=AsOfDate,EDATE($D36,Milestones!$AA$41)&gt;=SchemeStart,IF($X36=0,$AD36,IF(AND($Z36&lt;&gt;"",EDATE($D36,Milestones!$AA$41)&gt;=$Z36),$AC36,IF(AND($Y36&lt;&gt;"",EDATE($D36,Milestones!$AA$41)&gt;=$Y36),$AB36,$AA36)))=Milestones!$AB$41),UPPER(TEXT(EDATE($D36,Milestones!$AA$41),"dd mmm yy"))&amp;" "&amp;Milestones!$AB$41&amp;" "&amp;IF(AND(Milestones!$AB$41="FT",Milestones!$AA$41=FT_Y5,EDATE($D36,Milestones!$AA$41)&lt;PolicyEff),1,Milestones!$AC$41)&amp;";  ","")&amp;IF(AND(EDATE($D36,Milestones!$AA$42)&lt;=AsOfDate,EDATE($D36,Milestones!$AA$42)&gt;=SchemeStart,IF($X36=0,$AD36,IF(AND($Z36&lt;&gt;"",EDATE($D36,Milestones!$AA$42)&gt;=$Z36),$AC36,IF(AND($Y36&lt;&gt;"",EDATE($D36,Milestones!$AA$42)&gt;=$Y36),$AB36,$AA36)))=Milestones!$AB$42),UPPER(TEXT(EDATE($D36,Milestones!$AA$42),"dd mmm yy"))&amp;" "&amp;Milestones!$AB$42&amp;" "&amp;IF(AND(Milestones!$AB$42="FT",Milestones!$AA$42=FT_Y5,EDATE($D36,Milestones!$AA$42)&lt;PolicyEff),1,Milestones!$AC$42)&amp;";  ","")&amp;IF(AND(EDATE($D36,Milestones!$AA$43)&lt;=AsOfDate,EDATE($D36,Milestones!$AA$43)&gt;=SchemeStart,IF($X36=0,$AD36,IF(AND($Z36&lt;&gt;"",EDATE($D36,Milestones!$AA$43)&gt;=$Z36),$AC36,IF(AND($Y36&lt;&gt;"",EDATE($D36,Milestones!$AA$43)&gt;=$Y36),$AB36,$AA36)))=Milestones!$AB$43),UPPER(TEXT(EDATE($D36,Milestones!$AA$43),"dd mmm yy"))&amp;" "&amp;Milestones!$AB$43&amp;" "&amp;IF(AND(Milestones!$AB$43="FT",Milestones!$AA$43=FT_Y5,EDATE($D36,Milestones!$AA$43)&lt;PolicyEff),1,Milestones!$AC$43)&amp;";  ",""))</f>
        <v/>
      </c>
      <c r="K36" s="0" t="str">
        <f aca="false">IF(OR($A36="",$D36=""),"",IF(AND(EDATE($D36,Milestones!$AA$44)&lt;=AsOfDate,EDATE($D36,Milestones!$AA$44)&gt;=SchemeStart,IF($X36=0,$AD36,IF(AND($Z36&lt;&gt;"",EDATE($D36,Milestones!$AA$44)&gt;=$Z36),$AC36,IF(AND($Y36&lt;&gt;"",EDATE($D36,Milestones!$AA$44)&gt;=$Y36),$AB36,$AA36)))=Milestones!$AB$44),UPPER(TEXT(EDATE($D36,Milestones!$AA$44),"dd mmm yy"))&amp;" "&amp;Milestones!$AB$44&amp;" "&amp;IF(AND(Milestones!$AB$44="FT",Milestones!$AA$44=FT_Y5,EDATE($D36,Milestones!$AA$44)&lt;PolicyEff),1,Milestones!$AC$44)&amp;";  ","")&amp;IF(AND(EDATE($D36,Milestones!$AA$45)&lt;=AsOfDate,EDATE($D36,Milestones!$AA$45)&gt;=SchemeStart,IF($X36=0,$AD36,IF(AND($Z36&lt;&gt;"",EDATE($D36,Milestones!$AA$45)&gt;=$Z36),$AC36,IF(AND($Y36&lt;&gt;"",EDATE($D36,Milestones!$AA$45)&gt;=$Y36),$AB36,$AA36)))=Milestones!$AB$45),UPPER(TEXT(EDATE($D36,Milestones!$AA$45),"dd mmm yy"))&amp;" "&amp;Milestones!$AB$45&amp;" "&amp;IF(AND(Milestones!$AB$45="FT",Milestones!$AA$45=FT_Y5,EDATE($D36,Milestones!$AA$45)&lt;PolicyEff),1,Milestones!$AC$45)&amp;";  ","")&amp;IF(AND(EDATE($D36,Milestones!$AA$46)&lt;=AsOfDate,EDATE($D36,Milestones!$AA$46)&gt;=SchemeStart,IF($X36=0,$AD36,IF(AND($Z36&lt;&gt;"",EDATE($D36,Milestones!$AA$46)&gt;=$Z36),$AC36,IF(AND($Y36&lt;&gt;"",EDATE($D36,Milestones!$AA$46)&gt;=$Y36),$AB36,$AA36)))=Milestones!$AB$46),UPPER(TEXT(EDATE($D36,Milestones!$AA$46),"dd mmm yy"))&amp;" "&amp;Milestones!$AB$46&amp;" "&amp;IF(AND(Milestones!$AB$46="FT",Milestones!$AA$46=FT_Y5,EDATE($D36,Milestones!$AA$46)&lt;PolicyEff),1,Milestones!$AC$46)&amp;";  ","")&amp;IF(AND(EDATE($D36,Milestones!$AA$47)&lt;=AsOfDate,EDATE($D36,Milestones!$AA$47)&gt;=SchemeStart,IF($X36=0,$AD36,IF(AND($Z36&lt;&gt;"",EDATE($D36,Milestones!$AA$47)&gt;=$Z36),$AC36,IF(AND($Y36&lt;&gt;"",EDATE($D36,Milestones!$AA$47)&gt;=$Y36),$AB36,$AA36)))=Milestones!$AB$47),UPPER(TEXT(EDATE($D36,Milestones!$AA$47),"dd mmm yy"))&amp;" "&amp;Milestones!$AB$47&amp;" "&amp;IF(AND(Milestones!$AB$47="FT",Milestones!$AA$47=FT_Y5,EDATE($D36,Milestones!$AA$47)&lt;PolicyEff),1,Milestones!$AC$47)&amp;";  ","")&amp;IF(AND(EDATE($D36,Milestones!$AA$48)&lt;=AsOfDate,EDATE($D36,Milestones!$AA$48)&gt;=SchemeStart,IF($X36=0,$AD36,IF(AND($Z36&lt;&gt;"",EDATE($D36,Milestones!$AA$48)&gt;=$Z36),$AC36,IF(AND($Y36&lt;&gt;"",EDATE($D36,Milestones!$AA$48)&gt;=$Y36),$AB36,$AA36)))=Milestones!$AB$48),UPPER(TEXT(EDATE($D36,Milestones!$AA$48),"dd mmm yy"))&amp;" "&amp;Milestones!$AB$48&amp;" "&amp;IF(AND(Milestones!$AB$48="FT",Milestones!$AA$48=FT_Y5,EDATE($D36,Milestones!$AA$48)&lt;PolicyEff),1,Milestones!$AC$48)&amp;";  ","")&amp;IF(AND(EDATE($D36,Milestones!$AA$49)&lt;=AsOfDate,EDATE($D36,Milestones!$AA$49)&gt;=SchemeStart,IF($X36=0,$AD36,IF(AND($Z36&lt;&gt;"",EDATE($D36,Milestones!$AA$49)&gt;=$Z36),$AC36,IF(AND($Y36&lt;&gt;"",EDATE($D36,Milestones!$AA$49)&gt;=$Y36),$AB36,$AA36)))=Milestones!$AB$49),UPPER(TEXT(EDATE($D36,Milestones!$AA$49),"dd mmm yy"))&amp;" "&amp;Milestones!$AB$49&amp;" "&amp;IF(AND(Milestones!$AB$49="FT",Milestones!$AA$49=FT_Y5,EDATE($D36,Milestones!$AA$49)&lt;PolicyEff),1,Milestones!$AC$49)&amp;";  ","")&amp;IF(AND(EDATE($D36,Milestones!$AA$50)&lt;=AsOfDate,EDATE($D36,Milestones!$AA$50)&gt;=SchemeStart,IF($X36=0,$AD36,IF(AND($Z36&lt;&gt;"",EDATE($D36,Milestones!$AA$50)&gt;=$Z36),$AC36,IF(AND($Y36&lt;&gt;"",EDATE($D36,Milestones!$AA$50)&gt;=$Y36),$AB36,$AA36)))=Milestones!$AB$50),UPPER(TEXT(EDATE($D36,Milestones!$AA$50),"dd mmm yy"))&amp;" "&amp;Milestones!$AB$50&amp;" "&amp;IF(AND(Milestones!$AB$50="FT",Milestones!$AA$50=FT_Y5,EDATE($D36,Milestones!$AA$50)&lt;PolicyEff),1,Milestones!$AC$50)&amp;";  ","")&amp;IF(AND(EDATE($D36,Milestones!$AA$51)&lt;=AsOfDate,EDATE($D36,Milestones!$AA$51)&gt;=SchemeStart,IF($X36=0,$AD36,IF(AND($Z36&lt;&gt;"",EDATE($D36,Milestones!$AA$51)&gt;=$Z36),$AC36,IF(AND($Y36&lt;&gt;"",EDATE($D36,Milestones!$AA$51)&gt;=$Y36),$AB36,$AA36)))=Milestones!$AB$51),UPPER(TEXT(EDATE($D36,Milestones!$AA$51),"dd mmm yy"))&amp;" "&amp;Milestones!$AB$51&amp;" "&amp;IF(AND(Milestones!$AB$51="FT",Milestones!$AA$51=FT_Y5,EDATE($D36,Milestones!$AA$51)&lt;PolicyEff),1,Milestones!$AC$51)&amp;";  ","")&amp;IF(AND(EDATE($D36,Milestones!$AA$52)&lt;=AsOfDate,EDATE($D36,Milestones!$AA$52)&gt;=SchemeStart,IF($X36=0,$AD36,IF(AND($Z36&lt;&gt;"",EDATE($D36,Milestones!$AA$52)&gt;=$Z36),$AC36,IF(AND($Y36&lt;&gt;"",EDATE($D36,Milestones!$AA$52)&gt;=$Y36),$AB36,$AA36)))=Milestones!$AB$52),UPPER(TEXT(EDATE($D36,Milestones!$AA$52),"dd mmm yy"))&amp;" "&amp;Milestones!$AB$52&amp;" "&amp;IF(AND(Milestones!$AB$52="FT",Milestones!$AA$52=FT_Y5,EDATE($D36,Milestones!$AA$52)&lt;PolicyEff),1,Milestones!$AC$52)&amp;";  ","")&amp;IF(AND(EDATE($D36,Milestones!$AA$53)&lt;=AsOfDate,EDATE($D36,Milestones!$AA$53)&gt;=SchemeStart,IF($X36=0,$AD36,IF(AND($Z36&lt;&gt;"",EDATE($D36,Milestones!$AA$53)&gt;=$Z36),$AC36,IF(AND($Y36&lt;&gt;"",EDATE($D36,Milestones!$AA$53)&gt;=$Y36),$AB36,$AA36)))=Milestones!$AB$53),UPPER(TEXT(EDATE($D36,Milestones!$AA$53),"dd mmm yy"))&amp;" "&amp;Milestones!$AB$53&amp;" "&amp;IF(AND(Milestones!$AB$53="FT",Milestones!$AA$53=FT_Y5,EDATE($D36,Milestones!$AA$53)&lt;PolicyEff),1,Milestones!$AC$53)&amp;";  ","")&amp;IF(AND(EDATE($D36,Milestones!$AA$54)&lt;=AsOfDate,EDATE($D36,Milestones!$AA$54)&gt;=SchemeStart,IF($X36=0,$AD36,IF(AND($Z36&lt;&gt;"",EDATE($D36,Milestones!$AA$54)&gt;=$Z36),$AC36,IF(AND($Y36&lt;&gt;"",EDATE($D36,Milestones!$AA$54)&gt;=$Y36),$AB36,$AA36)))=Milestones!$AB$54),UPPER(TEXT(EDATE($D36,Milestones!$AA$54),"dd mmm yy"))&amp;" "&amp;Milestones!$AB$54&amp;" "&amp;IF(AND(Milestones!$AB$54="FT",Milestones!$AA$54=FT_Y5,EDATE($D36,Milestones!$AA$54)&lt;PolicyEff),1,Milestones!$AC$54)&amp;";  ","")&amp;IF(AND(EDATE($D36,Milestones!$AA$55)&lt;=AsOfDate,EDATE($D36,Milestones!$AA$55)&gt;=SchemeStart,IF($X36=0,$AD36,IF(AND($Z36&lt;&gt;"",EDATE($D36,Milestones!$AA$55)&gt;=$Z36),$AC36,IF(AND($Y36&lt;&gt;"",EDATE($D36,Milestones!$AA$55)&gt;=$Y36),$AB36,$AA36)))=Milestones!$AB$55),UPPER(TEXT(EDATE($D36,Milestones!$AA$55),"dd mmm yy"))&amp;" "&amp;Milestones!$AB$55&amp;" "&amp;IF(AND(Milestones!$AB$55="FT",Milestones!$AA$55=FT_Y5,EDATE($D36,Milestones!$AA$55)&lt;PolicyEff),1,Milestones!$AC$55)&amp;";  ",""))</f>
        <v/>
      </c>
      <c r="L36" s="0" t="str">
        <f aca="false">IF(OR($A36="",$D36=""),"",IF(AND(EDATE($D36,Milestones!$AA$56)&lt;=AsOfDate,EDATE($D36,Milestones!$AA$56)&gt;=SchemeStart,IF($X36=0,$AD36,IF(AND($Z36&lt;&gt;"",EDATE($D36,Milestones!$AA$56)&gt;=$Z36),$AC36,IF(AND($Y36&lt;&gt;"",EDATE($D36,Milestones!$AA$56)&gt;=$Y36),$AB36,$AA36)))=Milestones!$AB$56),UPPER(TEXT(EDATE($D36,Milestones!$AA$56),"dd mmm yy"))&amp;" "&amp;Milestones!$AB$56&amp;" "&amp;IF(AND(Milestones!$AB$56="FT",Milestones!$AA$56=FT_Y5,EDATE($D36,Milestones!$AA$56)&lt;PolicyEff),1,Milestones!$AC$56)&amp;";  ","")&amp;IF(AND(EDATE($D36,Milestones!$AA$57)&lt;=AsOfDate,EDATE($D36,Milestones!$AA$57)&gt;=SchemeStart,IF($X36=0,$AD36,IF(AND($Z36&lt;&gt;"",EDATE($D36,Milestones!$AA$57)&gt;=$Z36),$AC36,IF(AND($Y36&lt;&gt;"",EDATE($D36,Milestones!$AA$57)&gt;=$Y36),$AB36,$AA36)))=Milestones!$AB$57),UPPER(TEXT(EDATE($D36,Milestones!$AA$57),"dd mmm yy"))&amp;" "&amp;Milestones!$AB$57&amp;" "&amp;IF(AND(Milestones!$AB$57="FT",Milestones!$AA$57=FT_Y5,EDATE($D36,Milestones!$AA$57)&lt;PolicyEff),1,Milestones!$AC$57)&amp;";  ","")&amp;IF(AND(EDATE($D36,Milestones!$AA$58)&lt;=AsOfDate,EDATE($D36,Milestones!$AA$58)&gt;=SchemeStart,IF($X36=0,$AD36,IF(AND($Z36&lt;&gt;"",EDATE($D36,Milestones!$AA$58)&gt;=$Z36),$AC36,IF(AND($Y36&lt;&gt;"",EDATE($D36,Milestones!$AA$58)&gt;=$Y36),$AB36,$AA36)))=Milestones!$AB$58),UPPER(TEXT(EDATE($D36,Milestones!$AA$58),"dd mmm yy"))&amp;" "&amp;Milestones!$AB$58&amp;" "&amp;IF(AND(Milestones!$AB$58="FT",Milestones!$AA$58=FT_Y5,EDATE($D36,Milestones!$AA$58)&lt;PolicyEff),1,Milestones!$AC$58)&amp;";  ","")&amp;IF(AND(EDATE($D36,Milestones!$AA$59)&lt;=AsOfDate,EDATE($D36,Milestones!$AA$59)&gt;=SchemeStart,IF($X36=0,$AD36,IF(AND($Z36&lt;&gt;"",EDATE($D36,Milestones!$AA$59)&gt;=$Z36),$AC36,IF(AND($Y36&lt;&gt;"",EDATE($D36,Milestones!$AA$59)&gt;=$Y36),$AB36,$AA36)))=Milestones!$AB$59),UPPER(TEXT(EDATE($D36,Milestones!$AA$59),"dd mmm yy"))&amp;" "&amp;Milestones!$AB$59&amp;" "&amp;IF(AND(Milestones!$AB$59="FT",Milestones!$AA$59=FT_Y5,EDATE($D36,Milestones!$AA$59)&lt;PolicyEff),1,Milestones!$AC$59)&amp;";  ","")&amp;IF(AND(EDATE($D36,Milestones!$AA$60)&lt;=AsOfDate,EDATE($D36,Milestones!$AA$60)&gt;=SchemeStart,IF($X36=0,$AD36,IF(AND($Z36&lt;&gt;"",EDATE($D36,Milestones!$AA$60)&gt;=$Z36),$AC36,IF(AND($Y36&lt;&gt;"",EDATE($D36,Milestones!$AA$60)&gt;=$Y36),$AB36,$AA36)))=Milestones!$AB$60),UPPER(TEXT(EDATE($D36,Milestones!$AA$60),"dd mmm yy"))&amp;" "&amp;Milestones!$AB$60&amp;" "&amp;IF(AND(Milestones!$AB$60="FT",Milestones!$AA$60=FT_Y5,EDATE($D36,Milestones!$AA$60)&lt;PolicyEff),1,Milestones!$AC$60)&amp;";  ","")&amp;IF(AND(EDATE($D36,Milestones!$AA$61)&lt;=AsOfDate,EDATE($D36,Milestones!$AA$61)&gt;=SchemeStart,IF($X36=0,$AD36,IF(AND($Z36&lt;&gt;"",EDATE($D36,Milestones!$AA$61)&gt;=$Z36),$AC36,IF(AND($Y36&lt;&gt;"",EDATE($D36,Milestones!$AA$61)&gt;=$Y36),$AB36,$AA36)))=Milestones!$AB$61),UPPER(TEXT(EDATE($D36,Milestones!$AA$61),"dd mmm yy"))&amp;" "&amp;Milestones!$AB$61&amp;" "&amp;IF(AND(Milestones!$AB$61="FT",Milestones!$AA$61=FT_Y5,EDATE($D36,Milestones!$AA$61)&lt;PolicyEff),1,Milestones!$AC$61)&amp;";  ","")&amp;IF(AND(EDATE($D36,Milestones!$AA$62)&lt;=AsOfDate,EDATE($D36,Milestones!$AA$62)&gt;=SchemeStart,IF($X36=0,$AD36,IF(AND($Z36&lt;&gt;"",EDATE($D36,Milestones!$AA$62)&gt;=$Z36),$AC36,IF(AND($Y36&lt;&gt;"",EDATE($D36,Milestones!$AA$62)&gt;=$Y36),$AB36,$AA36)))=Milestones!$AB$62),UPPER(TEXT(EDATE($D36,Milestones!$AA$62),"dd mmm yy"))&amp;" "&amp;Milestones!$AB$62&amp;" "&amp;IF(AND(Milestones!$AB$62="FT",Milestones!$AA$62=FT_Y5,EDATE($D36,Milestones!$AA$62)&lt;PolicyEff),1,Milestones!$AC$62)&amp;";  ","")&amp;IF(AND(EDATE($D36,Milestones!$AA$63)&lt;=AsOfDate,EDATE($D36,Milestones!$AA$63)&gt;=SchemeStart,IF($X36=0,$AD36,IF(AND($Z36&lt;&gt;"",EDATE($D36,Milestones!$AA$63)&gt;=$Z36),$AC36,IF(AND($Y36&lt;&gt;"",EDATE($D36,Milestones!$AA$63)&gt;=$Y36),$AB36,$AA36)))=Milestones!$AB$63),UPPER(TEXT(EDATE($D36,Milestones!$AA$63),"dd mmm yy"))&amp;" "&amp;Milestones!$AB$63&amp;" "&amp;IF(AND(Milestones!$AB$63="FT",Milestones!$AA$63=FT_Y5,EDATE($D36,Milestones!$AA$63)&lt;PolicyEff),1,Milestones!$AC$63)&amp;";  ","")&amp;IF(AND(EDATE($D36,Milestones!$AA$64)&lt;=AsOfDate,EDATE($D36,Milestones!$AA$64)&gt;=SchemeStart,IF($X36=0,$AD36,IF(AND($Z36&lt;&gt;"",EDATE($D36,Milestones!$AA$64)&gt;=$Z36),$AC36,IF(AND($Y36&lt;&gt;"",EDATE($D36,Milestones!$AA$64)&gt;=$Y36),$AB36,$AA36)))=Milestones!$AB$64),UPPER(TEXT(EDATE($D36,Milestones!$AA$64),"dd mmm yy"))&amp;" "&amp;Milestones!$AB$64&amp;" "&amp;IF(AND(Milestones!$AB$64="FT",Milestones!$AA$64=FT_Y5,EDATE($D36,Milestones!$AA$64)&lt;PolicyEff),1,Milestones!$AC$64)&amp;";  ","")&amp;IF(AND(EDATE($D36,Milestones!$AA$65)&lt;=AsOfDate,EDATE($D36,Milestones!$AA$65)&gt;=SchemeStart,IF($X36=0,$AD36,IF(AND($Z36&lt;&gt;"",EDATE($D36,Milestones!$AA$65)&gt;=$Z36),$AC36,IF(AND($Y36&lt;&gt;"",EDATE($D36,Milestones!$AA$65)&gt;=$Y36),$AB36,$AA36)))=Milestones!$AB$65),UPPER(TEXT(EDATE($D36,Milestones!$AA$65),"dd mmm yy"))&amp;" "&amp;Milestones!$AB$65&amp;" "&amp;IF(AND(Milestones!$AB$65="FT",Milestones!$AA$65=FT_Y5,EDATE($D36,Milestones!$AA$65)&lt;PolicyEff),1,Milestones!$AC$65)&amp;";  ","")&amp;IF(AND(EDATE($D36,Milestones!$AA$66)&lt;=AsOfDate,EDATE($D36,Milestones!$AA$66)&gt;=SchemeStart,IF($X36=0,$AD36,IF(AND($Z36&lt;&gt;"",EDATE($D36,Milestones!$AA$66)&gt;=$Z36),$AC36,IF(AND($Y36&lt;&gt;"",EDATE($D36,Milestones!$AA$66)&gt;=$Y36),$AB36,$AA36)))=Milestones!$AB$66),UPPER(TEXT(EDATE($D36,Milestones!$AA$66),"dd mmm yy"))&amp;" "&amp;Milestones!$AB$66&amp;" "&amp;IF(AND(Milestones!$AB$66="FT",Milestones!$AA$66=FT_Y5,EDATE($D36,Milestones!$AA$66)&lt;PolicyEff),1,Milestones!$AC$66)&amp;";  ","")&amp;IF(AND(EDATE($D36,Milestones!$AA$67)&lt;=AsOfDate,EDATE($D36,Milestones!$AA$67)&gt;=SchemeStart,IF($X36=0,$AD36,IF(AND($Z36&lt;&gt;"",EDATE($D36,Milestones!$AA$67)&gt;=$Z36),$AC36,IF(AND($Y36&lt;&gt;"",EDATE($D36,Milestones!$AA$67)&gt;=$Y36),$AB36,$AA36)))=Milestones!$AB$67),UPPER(TEXT(EDATE($D36,Milestones!$AA$67),"dd mmm yy"))&amp;" "&amp;Milestones!$AB$67&amp;" "&amp;IF(AND(Milestones!$AB$67="FT",Milestones!$AA$67=FT_Y5,EDATE($D36,Milestones!$AA$67)&lt;PolicyEff),1,Milestones!$AC$67)&amp;";  ",""))</f>
        <v/>
      </c>
      <c r="M36" s="0" t="str">
        <f aca="false">IF(OR($A36="",$D36=""),"",IF(AND(EDATE($D36,Milestones!$AA$68)&lt;=AsOfDate,EDATE($D36,Milestones!$AA$68)&gt;=SchemeStart,IF($X36=0,$AD36,IF(AND($Z36&lt;&gt;"",EDATE($D36,Milestones!$AA$68)&gt;=$Z36),$AC36,IF(AND($Y36&lt;&gt;"",EDATE($D36,Milestones!$AA$68)&gt;=$Y36),$AB36,$AA36)))=Milestones!$AB$68),UPPER(TEXT(EDATE($D36,Milestones!$AA$68),"dd mmm yy"))&amp;" "&amp;Milestones!$AB$68&amp;" "&amp;IF(AND(Milestones!$AB$68="FT",Milestones!$AA$68=FT_Y5,EDATE($D36,Milestones!$AA$68)&lt;PolicyEff),1,Milestones!$AC$68)&amp;";  ","")&amp;IF(AND(EDATE($D36,Milestones!$AA$69)&lt;=AsOfDate,EDATE($D36,Milestones!$AA$69)&gt;=SchemeStart,IF($X36=0,$AD36,IF(AND($Z36&lt;&gt;"",EDATE($D36,Milestones!$AA$69)&gt;=$Z36),$AC36,IF(AND($Y36&lt;&gt;"",EDATE($D36,Milestones!$AA$69)&gt;=$Y36),$AB36,$AA36)))=Milestones!$AB$69),UPPER(TEXT(EDATE($D36,Milestones!$AA$69),"dd mmm yy"))&amp;" "&amp;Milestones!$AB$69&amp;" "&amp;IF(AND(Milestones!$AB$69="FT",Milestones!$AA$69=FT_Y5,EDATE($D36,Milestones!$AA$69)&lt;PolicyEff),1,Milestones!$AC$69)&amp;";  ","")&amp;IF(AND(EDATE($D36,Milestones!$AA$70)&lt;=AsOfDate,EDATE($D36,Milestones!$AA$70)&gt;=SchemeStart,IF($X36=0,$AD36,IF(AND($Z36&lt;&gt;"",EDATE($D36,Milestones!$AA$70)&gt;=$Z36),$AC36,IF(AND($Y36&lt;&gt;"",EDATE($D36,Milestones!$AA$70)&gt;=$Y36),$AB36,$AA36)))=Milestones!$AB$70),UPPER(TEXT(EDATE($D36,Milestones!$AA$70),"dd mmm yy"))&amp;" "&amp;Milestones!$AB$70&amp;" "&amp;IF(AND(Milestones!$AB$70="FT",Milestones!$AA$70=FT_Y5,EDATE($D36,Milestones!$AA$70)&lt;PolicyEff),1,Milestones!$AC$70)&amp;";  ","")&amp;IF(AND(EDATE($D36,Milestones!$AA$71)&lt;=AsOfDate,EDATE($D36,Milestones!$AA$71)&gt;=SchemeStart,IF($X36=0,$AD36,IF(AND($Z36&lt;&gt;"",EDATE($D36,Milestones!$AA$71)&gt;=$Z36),$AC36,IF(AND($Y36&lt;&gt;"",EDATE($D36,Milestones!$AA$71)&gt;=$Y36),$AB36,$AA36)))=Milestones!$AB$71),UPPER(TEXT(EDATE($D36,Milestones!$AA$71),"dd mmm yy"))&amp;" "&amp;Milestones!$AB$71&amp;" "&amp;IF(AND(Milestones!$AB$71="FT",Milestones!$AA$71=FT_Y5,EDATE($D36,Milestones!$AA$71)&lt;PolicyEff),1,Milestones!$AC$71)&amp;";  ","")&amp;IF(AND(EDATE($D36,Milestones!$AA$72)&lt;=AsOfDate,EDATE($D36,Milestones!$AA$72)&gt;=SchemeStart,IF($X36=0,$AD36,IF(AND($Z36&lt;&gt;"",EDATE($D36,Milestones!$AA$72)&gt;=$Z36),$AC36,IF(AND($Y36&lt;&gt;"",EDATE($D36,Milestones!$AA$72)&gt;=$Y36),$AB36,$AA36)))=Milestones!$AB$72),UPPER(TEXT(EDATE($D36,Milestones!$AA$72),"dd mmm yy"))&amp;" "&amp;Milestones!$AB$72&amp;" "&amp;IF(AND(Milestones!$AB$72="FT",Milestones!$AA$72=FT_Y5,EDATE($D36,Milestones!$AA$72)&lt;PolicyEff),1,Milestones!$AC$72)&amp;";  ","")&amp;IF(AND(EDATE($D36,Milestones!$AA$73)&lt;=AsOfDate,EDATE($D36,Milestones!$AA$73)&gt;=SchemeStart,IF($X36=0,$AD36,IF(AND($Z36&lt;&gt;"",EDATE($D36,Milestones!$AA$73)&gt;=$Z36),$AC36,IF(AND($Y36&lt;&gt;"",EDATE($D36,Milestones!$AA$73)&gt;=$Y36),$AB36,$AA36)))=Milestones!$AB$73),UPPER(TEXT(EDATE($D36,Milestones!$AA$73),"dd mmm yy"))&amp;" "&amp;Milestones!$AB$73&amp;" "&amp;IF(AND(Milestones!$AB$73="FT",Milestones!$AA$73=FT_Y5,EDATE($D36,Milestones!$AA$73)&lt;PolicyEff),1,Milestones!$AC$73)&amp;";  ","")&amp;IF(AND(EDATE($D36,Milestones!$AA$74)&lt;=AsOfDate,EDATE($D36,Milestones!$AA$74)&gt;=SchemeStart,IF($X36=0,$AD36,IF(AND($Z36&lt;&gt;"",EDATE($D36,Milestones!$AA$74)&gt;=$Z36),$AC36,IF(AND($Y36&lt;&gt;"",EDATE($D36,Milestones!$AA$74)&gt;=$Y36),$AB36,$AA36)))=Milestones!$AB$74),UPPER(TEXT(EDATE($D36,Milestones!$AA$74),"dd mmm yy"))&amp;" "&amp;Milestones!$AB$74&amp;" "&amp;IF(AND(Milestones!$AB$74="FT",Milestones!$AA$74=FT_Y5,EDATE($D36,Milestones!$AA$74)&lt;PolicyEff),1,Milestones!$AC$74)&amp;";  ","")&amp;IF(AND(EDATE($D36,Milestones!$AA$75)&lt;=AsOfDate,EDATE($D36,Milestones!$AA$75)&gt;=SchemeStart,IF($X36=0,$AD36,IF(AND($Z36&lt;&gt;"",EDATE($D36,Milestones!$AA$75)&gt;=$Z36),$AC36,IF(AND($Y36&lt;&gt;"",EDATE($D36,Milestones!$AA$75)&gt;=$Y36),$AB36,$AA36)))=Milestones!$AB$75),UPPER(TEXT(EDATE($D36,Milestones!$AA$75),"dd mmm yy"))&amp;" "&amp;Milestones!$AB$75&amp;" "&amp;IF(AND(Milestones!$AB$75="FT",Milestones!$AA$75=FT_Y5,EDATE($D36,Milestones!$AA$75)&lt;PolicyEff),1,Milestones!$AC$75)&amp;";  ","")&amp;IF(AND(EDATE($D36,Milestones!$AA$76)&lt;=AsOfDate,EDATE($D36,Milestones!$AA$76)&gt;=SchemeStart,IF($X36=0,$AD36,IF(AND($Z36&lt;&gt;"",EDATE($D36,Milestones!$AA$76)&gt;=$Z36),$AC36,IF(AND($Y36&lt;&gt;"",EDATE($D36,Milestones!$AA$76)&gt;=$Y36),$AB36,$AA36)))=Milestones!$AB$76),UPPER(TEXT(EDATE($D36,Milestones!$AA$76),"dd mmm yy"))&amp;" "&amp;Milestones!$AB$76&amp;" "&amp;IF(AND(Milestones!$AB$76="FT",Milestones!$AA$76=FT_Y5,EDATE($D36,Milestones!$AA$76)&lt;PolicyEff),1,Milestones!$AC$76)&amp;";  ","")&amp;IF(AND(EDATE($D36,Milestones!$AA$77)&lt;=AsOfDate,EDATE($D36,Milestones!$AA$77)&gt;=SchemeStart,IF($X36=0,$AD36,IF(AND($Z36&lt;&gt;"",EDATE($D36,Milestones!$AA$77)&gt;=$Z36),$AC36,IF(AND($Y36&lt;&gt;"",EDATE($D36,Milestones!$AA$77)&gt;=$Y36),$AB36,$AA36)))=Milestones!$AB$77),UPPER(TEXT(EDATE($D36,Milestones!$AA$77),"dd mmm yy"))&amp;" "&amp;Milestones!$AB$77&amp;" "&amp;IF(AND(Milestones!$AB$77="FT",Milestones!$AA$77=FT_Y5,EDATE($D36,Milestones!$AA$77)&lt;PolicyEff),1,Milestones!$AC$77)&amp;";  ","")&amp;IF(AND(EDATE($D36,Milestones!$AA$78)&lt;=AsOfDate,EDATE($D36,Milestones!$AA$78)&gt;=SchemeStart,IF($X36=0,$AD36,IF(AND($Z36&lt;&gt;"",EDATE($D36,Milestones!$AA$78)&gt;=$Z36),$AC36,IF(AND($Y36&lt;&gt;"",EDATE($D36,Milestones!$AA$78)&gt;=$Y36),$AB36,$AA36)))=Milestones!$AB$78),UPPER(TEXT(EDATE($D36,Milestones!$AA$78),"dd mmm yy"))&amp;" "&amp;Milestones!$AB$78&amp;" "&amp;IF(AND(Milestones!$AB$78="FT",Milestones!$AA$78=FT_Y5,EDATE($D36,Milestones!$AA$78)&lt;PolicyEff),1,Milestones!$AC$78)&amp;";  ","")&amp;IF(AND(EDATE($D36,Milestones!$AA$79)&lt;=AsOfDate,EDATE($D36,Milestones!$AA$79)&gt;=SchemeStart,IF($X36=0,$AD36,IF(AND($Z36&lt;&gt;"",EDATE($D36,Milestones!$AA$79)&gt;=$Z36),$AC36,IF(AND($Y36&lt;&gt;"",EDATE($D36,Milestones!$AA$79)&gt;=$Y36),$AB36,$AA36)))=Milestones!$AB$79),UPPER(TEXT(EDATE($D36,Milestones!$AA$79),"dd mmm yy"))&amp;" "&amp;Milestones!$AB$79&amp;" "&amp;IF(AND(Milestones!$AB$79="FT",Milestones!$AA$79=FT_Y5,EDATE($D36,Milestones!$AA$79)&lt;PolicyEff),1,Milestones!$AC$79)&amp;";  ",""))</f>
        <v/>
      </c>
      <c r="N36" s="0" t="str">
        <f aca="false">IF(OR($A36="",$D36=""),"",IF(AND(EDATE($D36,Milestones!$AA$80)&lt;=AsOfDate,EDATE($D36,Milestones!$AA$80)&gt;=SchemeStart,IF($X36=0,$AD36,IF(AND($Z36&lt;&gt;"",EDATE($D36,Milestones!$AA$80)&gt;=$Z36),$AC36,IF(AND($Y36&lt;&gt;"",EDATE($D36,Milestones!$AA$80)&gt;=$Y36),$AB36,$AA36)))=Milestones!$AB$80),UPPER(TEXT(EDATE($D36,Milestones!$AA$80),"dd mmm yy"))&amp;" "&amp;Milestones!$AB$80&amp;" "&amp;IF(AND(Milestones!$AB$80="FT",Milestones!$AA$80=FT_Y5,EDATE($D36,Milestones!$AA$80)&lt;PolicyEff),1,Milestones!$AC$80)&amp;";  ","")&amp;IF(AND(EDATE($D36,Milestones!$AA$81)&lt;=AsOfDate,EDATE($D36,Milestones!$AA$81)&gt;=SchemeStart,IF($X36=0,$AD36,IF(AND($Z36&lt;&gt;"",EDATE($D36,Milestones!$AA$81)&gt;=$Z36),$AC36,IF(AND($Y36&lt;&gt;"",EDATE($D36,Milestones!$AA$81)&gt;=$Y36),$AB36,$AA36)))=Milestones!$AB$81),UPPER(TEXT(EDATE($D36,Milestones!$AA$81),"dd mmm yy"))&amp;" "&amp;Milestones!$AB$81&amp;" "&amp;IF(AND(Milestones!$AB$81="FT",Milestones!$AA$81=FT_Y5,EDATE($D36,Milestones!$AA$81)&lt;PolicyEff),1,Milestones!$AC$81)&amp;";  ","")&amp;IF(AND(EDATE($D36,Milestones!$AA$82)&lt;=AsOfDate,EDATE($D36,Milestones!$AA$82)&gt;=SchemeStart,IF($X36=0,$AD36,IF(AND($Z36&lt;&gt;"",EDATE($D36,Milestones!$AA$82)&gt;=$Z36),$AC36,IF(AND($Y36&lt;&gt;"",EDATE($D36,Milestones!$AA$82)&gt;=$Y36),$AB36,$AA36)))=Milestones!$AB$82),UPPER(TEXT(EDATE($D36,Milestones!$AA$82),"dd mmm yy"))&amp;" "&amp;Milestones!$AB$82&amp;" "&amp;IF(AND(Milestones!$AB$82="FT",Milestones!$AA$82=FT_Y5,EDATE($D36,Milestones!$AA$82)&lt;PolicyEff),1,Milestones!$AC$82)&amp;";  ","")&amp;IF(AND(EDATE($D36,Milestones!$AA$83)&lt;=AsOfDate,EDATE($D36,Milestones!$AA$83)&gt;=SchemeStart,IF($X36=0,$AD36,IF(AND($Z36&lt;&gt;"",EDATE($D36,Milestones!$AA$83)&gt;=$Z36),$AC36,IF(AND($Y36&lt;&gt;"",EDATE($D36,Milestones!$AA$83)&gt;=$Y36),$AB36,$AA36)))=Milestones!$AB$83),UPPER(TEXT(EDATE($D36,Milestones!$AA$83),"dd mmm yy"))&amp;" "&amp;Milestones!$AB$83&amp;" "&amp;IF(AND(Milestones!$AB$83="FT",Milestones!$AA$83=FT_Y5,EDATE($D36,Milestones!$AA$83)&lt;PolicyEff),1,Milestones!$AC$83)&amp;";  ","")&amp;IF(AND(EDATE($D36,Milestones!$AA$84)&lt;=AsOfDate,EDATE($D36,Milestones!$AA$84)&gt;=SchemeStart,IF($X36=0,$AD36,IF(AND($Z36&lt;&gt;"",EDATE($D36,Milestones!$AA$84)&gt;=$Z36),$AC36,IF(AND($Y36&lt;&gt;"",EDATE($D36,Milestones!$AA$84)&gt;=$Y36),$AB36,$AA36)))=Milestones!$AB$84),UPPER(TEXT(EDATE($D36,Milestones!$AA$84),"dd mmm yy"))&amp;" "&amp;Milestones!$AB$84&amp;" "&amp;IF(AND(Milestones!$AB$84="FT",Milestones!$AA$84=FT_Y5,EDATE($D36,Milestones!$AA$84)&lt;PolicyEff),1,Milestones!$AC$84)&amp;";  ","")&amp;IF(AND(EDATE($D36,Milestones!$AA$85)&lt;=AsOfDate,EDATE($D36,Milestones!$AA$85)&gt;=SchemeStart,IF($X36=0,$AD36,IF(AND($Z36&lt;&gt;"",EDATE($D36,Milestones!$AA$85)&gt;=$Z36),$AC36,IF(AND($Y36&lt;&gt;"",EDATE($D36,Milestones!$AA$85)&gt;=$Y36),$AB36,$AA36)))=Milestones!$AB$85),UPPER(TEXT(EDATE($D36,Milestones!$AA$85),"dd mmm yy"))&amp;" "&amp;Milestones!$AB$85&amp;" "&amp;IF(AND(Milestones!$AB$85="FT",Milestones!$AA$85=FT_Y5,EDATE($D36,Milestones!$AA$85)&lt;PolicyEff),1,Milestones!$AC$85)&amp;";  ","")&amp;IF(AND(EDATE($D36,Milestones!$AA$86)&lt;=AsOfDate,EDATE($D36,Milestones!$AA$86)&gt;=SchemeStart,IF($X36=0,$AD36,IF(AND($Z36&lt;&gt;"",EDATE($D36,Milestones!$AA$86)&gt;=$Z36),$AC36,IF(AND($Y36&lt;&gt;"",EDATE($D36,Milestones!$AA$86)&gt;=$Y36),$AB36,$AA36)))=Milestones!$AB$86),UPPER(TEXT(EDATE($D36,Milestones!$AA$86),"dd mmm yy"))&amp;" "&amp;Milestones!$AB$86&amp;" "&amp;IF(AND(Milestones!$AB$86="FT",Milestones!$AA$86=FT_Y5,EDATE($D36,Milestones!$AA$86)&lt;PolicyEff),1,Milestones!$AC$86)&amp;";  ","")&amp;IF(AND(EDATE($D36,Milestones!$AA$87)&lt;=AsOfDate,EDATE($D36,Milestones!$AA$87)&gt;=SchemeStart,IF($X36=0,$AD36,IF(AND($Z36&lt;&gt;"",EDATE($D36,Milestones!$AA$87)&gt;=$Z36),$AC36,IF(AND($Y36&lt;&gt;"",EDATE($D36,Milestones!$AA$87)&gt;=$Y36),$AB36,$AA36)))=Milestones!$AB$87),UPPER(TEXT(EDATE($D36,Milestones!$AA$87),"dd mmm yy"))&amp;" "&amp;Milestones!$AB$87&amp;" "&amp;IF(AND(Milestones!$AB$87="FT",Milestones!$AA$87=FT_Y5,EDATE($D36,Milestones!$AA$87)&lt;PolicyEff),1,Milestones!$AC$87)&amp;";  ","")&amp;IF(AND(EDATE($D36,Milestones!$AA$88)&lt;=AsOfDate,EDATE($D36,Milestones!$AA$88)&gt;=SchemeStart,IF($X36=0,$AD36,IF(AND($Z36&lt;&gt;"",EDATE($D36,Milestones!$AA$88)&gt;=$Z36),$AC36,IF(AND($Y36&lt;&gt;"",EDATE($D36,Milestones!$AA$88)&gt;=$Y36),$AB36,$AA36)))=Milestones!$AB$88),UPPER(TEXT(EDATE($D36,Milestones!$AA$88),"dd mmm yy"))&amp;" "&amp;Milestones!$AB$88&amp;" "&amp;IF(AND(Milestones!$AB$88="FT",Milestones!$AA$88=FT_Y5,EDATE($D36,Milestones!$AA$88)&lt;PolicyEff),1,Milestones!$AC$88)&amp;";  ","")&amp;IF(AND(EDATE($D36,Milestones!$AA$89)&lt;=AsOfDate,EDATE($D36,Milestones!$AA$89)&gt;=SchemeStart,IF($X36=0,$AD36,IF(AND($Z36&lt;&gt;"",EDATE($D36,Milestones!$AA$89)&gt;=$Z36),$AC36,IF(AND($Y36&lt;&gt;"",EDATE($D36,Milestones!$AA$89)&gt;=$Y36),$AB36,$AA36)))=Milestones!$AB$89),UPPER(TEXT(EDATE($D36,Milestones!$AA$89),"dd mmm yy"))&amp;" "&amp;Milestones!$AB$89&amp;" "&amp;IF(AND(Milestones!$AB$89="FT",Milestones!$AA$89=FT_Y5,EDATE($D36,Milestones!$AA$89)&lt;PolicyEff),1,Milestones!$AC$89)&amp;";  ","")&amp;IF(AND(EDATE($D36,Milestones!$AA$90)&lt;=AsOfDate,EDATE($D36,Milestones!$AA$90)&gt;=SchemeStart,IF($X36=0,$AD36,IF(AND($Z36&lt;&gt;"",EDATE($D36,Milestones!$AA$90)&gt;=$Z36),$AC36,IF(AND($Y36&lt;&gt;"",EDATE($D36,Milestones!$AA$90)&gt;=$Y36),$AB36,$AA36)))=Milestones!$AB$90),UPPER(TEXT(EDATE($D36,Milestones!$AA$90),"dd mmm yy"))&amp;" "&amp;Milestones!$AB$90&amp;" "&amp;IF(AND(Milestones!$AB$90="FT",Milestones!$AA$90=FT_Y5,EDATE($D36,Milestones!$AA$90)&lt;PolicyEff),1,Milestones!$AC$90)&amp;";  ","")&amp;IF(AND(EDATE($D36,Milestones!$AA$91)&lt;=AsOfDate,EDATE($D36,Milestones!$AA$91)&gt;=SchemeStart,IF($X36=0,$AD36,IF(AND($Z36&lt;&gt;"",EDATE($D36,Milestones!$AA$91)&gt;=$Z36),$AC36,IF(AND($Y36&lt;&gt;"",EDATE($D36,Milestones!$AA$91)&gt;=$Y36),$AB36,$AA36)))=Milestones!$AB$91),UPPER(TEXT(EDATE($D36,Milestones!$AA$91),"dd mmm yy"))&amp;" "&amp;Milestones!$AB$91&amp;" "&amp;IF(AND(Milestones!$AB$91="FT",Milestones!$AA$91=FT_Y5,EDATE($D36,Milestones!$AA$91)&lt;PolicyEff),1,Milestones!$AC$91)&amp;";  ",""))</f>
        <v/>
      </c>
      <c r="O36" s="0" t="str">
        <f aca="false">IF(OR($A36="",$D36=""),"",IF(AND(EDATE($D36,Milestones!$AA$92)&lt;=AsOfDate,EDATE($D36,Milestones!$AA$92)&gt;=SchemeStart,IF($X36=0,$AD36,IF(AND($Z36&lt;&gt;"",EDATE($D36,Milestones!$AA$92)&gt;=$Z36),$AC36,IF(AND($Y36&lt;&gt;"",EDATE($D36,Milestones!$AA$92)&gt;=$Y36),$AB36,$AA36)))=Milestones!$AB$92),UPPER(TEXT(EDATE($D36,Milestones!$AA$92),"dd mmm yy"))&amp;" "&amp;Milestones!$AB$92&amp;" "&amp;IF(AND(Milestones!$AB$92="FT",Milestones!$AA$92=FT_Y5,EDATE($D36,Milestones!$AA$92)&lt;PolicyEff),1,Milestones!$AC$92)&amp;";  ","")&amp;IF(AND(EDATE($D36,Milestones!$AA$93)&lt;=AsOfDate,EDATE($D36,Milestones!$AA$93)&gt;=SchemeStart,IF($X36=0,$AD36,IF(AND($Z36&lt;&gt;"",EDATE($D36,Milestones!$AA$93)&gt;=$Z36),$AC36,IF(AND($Y36&lt;&gt;"",EDATE($D36,Milestones!$AA$93)&gt;=$Y36),$AB36,$AA36)))=Milestones!$AB$93),UPPER(TEXT(EDATE($D36,Milestones!$AA$93),"dd mmm yy"))&amp;" "&amp;Milestones!$AB$93&amp;" "&amp;IF(AND(Milestones!$AB$93="FT",Milestones!$AA$93=FT_Y5,EDATE($D36,Milestones!$AA$93)&lt;PolicyEff),1,Milestones!$AC$93)&amp;";  ","")&amp;IF(AND(EDATE($D36,Milestones!$AA$94)&lt;=AsOfDate,EDATE($D36,Milestones!$AA$94)&gt;=SchemeStart,IF($X36=0,$AD36,IF(AND($Z36&lt;&gt;"",EDATE($D36,Milestones!$AA$94)&gt;=$Z36),$AC36,IF(AND($Y36&lt;&gt;"",EDATE($D36,Milestones!$AA$94)&gt;=$Y36),$AB36,$AA36)))=Milestones!$AB$94),UPPER(TEXT(EDATE($D36,Milestones!$AA$94),"dd mmm yy"))&amp;" "&amp;Milestones!$AB$94&amp;" "&amp;IF(AND(Milestones!$AB$94="FT",Milestones!$AA$94=FT_Y5,EDATE($D36,Milestones!$AA$94)&lt;PolicyEff),1,Milestones!$AC$94)&amp;";  ","")&amp;IF(AND(EDATE($D36,Milestones!$AA$95)&lt;=AsOfDate,EDATE($D36,Milestones!$AA$95)&gt;=SchemeStart,IF($X36=0,$AD36,IF(AND($Z36&lt;&gt;"",EDATE($D36,Milestones!$AA$95)&gt;=$Z36),$AC36,IF(AND($Y36&lt;&gt;"",EDATE($D36,Milestones!$AA$95)&gt;=$Y36),$AB36,$AA36)))=Milestones!$AB$95),UPPER(TEXT(EDATE($D36,Milestones!$AA$95),"dd mmm yy"))&amp;" "&amp;Milestones!$AB$95&amp;" "&amp;IF(AND(Milestones!$AB$95="FT",Milestones!$AA$95=FT_Y5,EDATE($D36,Milestones!$AA$95)&lt;PolicyEff),1,Milestones!$AC$95)&amp;";  ","")&amp;IF(AND(EDATE($D36,Milestones!$AA$96)&lt;=AsOfDate,EDATE($D36,Milestones!$AA$96)&gt;=SchemeStart,IF($X36=0,$AD36,IF(AND($Z36&lt;&gt;"",EDATE($D36,Milestones!$AA$96)&gt;=$Z36),$AC36,IF(AND($Y36&lt;&gt;"",EDATE($D36,Milestones!$AA$96)&gt;=$Y36),$AB36,$AA36)))=Milestones!$AB$96),UPPER(TEXT(EDATE($D36,Milestones!$AA$96),"dd mmm yy"))&amp;" "&amp;Milestones!$AB$96&amp;" "&amp;IF(AND(Milestones!$AB$96="FT",Milestones!$AA$96=FT_Y5,EDATE($D36,Milestones!$AA$96)&lt;PolicyEff),1,Milestones!$AC$96)&amp;";  ","")&amp;IF(AND(EDATE($D36,Milestones!$AA$97)&lt;=AsOfDate,EDATE($D36,Milestones!$AA$97)&gt;=SchemeStart,IF($X36=0,$AD36,IF(AND($Z36&lt;&gt;"",EDATE($D36,Milestones!$AA$97)&gt;=$Z36),$AC36,IF(AND($Y36&lt;&gt;"",EDATE($D36,Milestones!$AA$97)&gt;=$Y36),$AB36,$AA36)))=Milestones!$AB$97),UPPER(TEXT(EDATE($D36,Milestones!$AA$97),"dd mmm yy"))&amp;" "&amp;Milestones!$AB$97&amp;" "&amp;IF(AND(Milestones!$AB$97="FT",Milestones!$AA$97=FT_Y5,EDATE($D36,Milestones!$AA$97)&lt;PolicyEff),1,Milestones!$AC$97)&amp;";  ","")&amp;IF(AND(EDATE($D36,Milestones!$AA$98)&lt;=AsOfDate,EDATE($D36,Milestones!$AA$98)&gt;=SchemeStart,IF($X36=0,$AD36,IF(AND($Z36&lt;&gt;"",EDATE($D36,Milestones!$AA$98)&gt;=$Z36),$AC36,IF(AND($Y36&lt;&gt;"",EDATE($D36,Milestones!$AA$98)&gt;=$Y36),$AB36,$AA36)))=Milestones!$AB$98),UPPER(TEXT(EDATE($D36,Milestones!$AA$98),"dd mmm yy"))&amp;" "&amp;Milestones!$AB$98&amp;" "&amp;IF(AND(Milestones!$AB$98="FT",Milestones!$AA$98=FT_Y5,EDATE($D36,Milestones!$AA$98)&lt;PolicyEff),1,Milestones!$AC$98)&amp;";  ","")&amp;IF(AND(EDATE($D36,Milestones!$AA$99)&lt;=AsOfDate,EDATE($D36,Milestones!$AA$99)&gt;=SchemeStart,IF($X36=0,$AD36,IF(AND($Z36&lt;&gt;"",EDATE($D36,Milestones!$AA$99)&gt;=$Z36),$AC36,IF(AND($Y36&lt;&gt;"",EDATE($D36,Milestones!$AA$99)&gt;=$Y36),$AB36,$AA36)))=Milestones!$AB$99),UPPER(TEXT(EDATE($D36,Milestones!$AA$99),"dd mmm yy"))&amp;" "&amp;Milestones!$AB$99&amp;" "&amp;IF(AND(Milestones!$AB$99="FT",Milestones!$AA$99=FT_Y5,EDATE($D36,Milestones!$AA$99)&lt;PolicyEff),1,Milestones!$AC$99)&amp;";  ","")&amp;IF(AND(EDATE($D36,Milestones!$AA$100)&lt;=AsOfDate,EDATE($D36,Milestones!$AA$100)&gt;=SchemeStart,IF($X36=0,$AD36,IF(AND($Z36&lt;&gt;"",EDATE($D36,Milestones!$AA$100)&gt;=$Z36),$AC36,IF(AND($Y36&lt;&gt;"",EDATE($D36,Milestones!$AA$100)&gt;=$Y36),$AB36,$AA36)))=Milestones!$AB$100),UPPER(TEXT(EDATE($D36,Milestones!$AA$100),"dd mmm yy"))&amp;" "&amp;Milestones!$AB$100&amp;" "&amp;IF(AND(Milestones!$AB$100="FT",Milestones!$AA$100=FT_Y5,EDATE($D36,Milestones!$AA$100)&lt;PolicyEff),1,Milestones!$AC$100)&amp;";  ","")&amp;IF(AND(EDATE($D36,Milestones!$AA$101)&lt;=AsOfDate,EDATE($D36,Milestones!$AA$101)&gt;=SchemeStart,IF($X36=0,$AD36,IF(AND($Z36&lt;&gt;"",EDATE($D36,Milestones!$AA$101)&gt;=$Z36),$AC36,IF(AND($Y36&lt;&gt;"",EDATE($D36,Milestones!$AA$101)&gt;=$Y36),$AB36,$AA36)))=Milestones!$AB$101),UPPER(TEXT(EDATE($D36,Milestones!$AA$101),"dd mmm yy"))&amp;" "&amp;Milestones!$AB$101&amp;" "&amp;IF(AND(Milestones!$AB$101="FT",Milestones!$AA$101=FT_Y5,EDATE($D36,Milestones!$AA$101)&lt;PolicyEff),1,Milestones!$AC$101)&amp;";  ","")&amp;IF(AND(EDATE($D36,Milestones!$AA$102)&lt;=AsOfDate,EDATE($D36,Milestones!$AA$102)&gt;=SchemeStart,IF($X36=0,$AD36,IF(AND($Z36&lt;&gt;"",EDATE($D36,Milestones!$AA$102)&gt;=$Z36),$AC36,IF(AND($Y36&lt;&gt;"",EDATE($D36,Milestones!$AA$102)&gt;=$Y36),$AB36,$AA36)))=Milestones!$AB$102),UPPER(TEXT(EDATE($D36,Milestones!$AA$102),"dd mmm yy"))&amp;" "&amp;Milestones!$AB$102&amp;" "&amp;IF(AND(Milestones!$AB$102="FT",Milestones!$AA$102=FT_Y5,EDATE($D36,Milestones!$AA$102)&lt;PolicyEff),1,Milestones!$AC$102)&amp;";  ","")&amp;IF(AND(EDATE($D36,Milestones!$AA$103)&lt;=AsOfDate,EDATE($D36,Milestones!$AA$103)&gt;=SchemeStart,IF($X36=0,$AD36,IF(AND($Z36&lt;&gt;"",EDATE($D36,Milestones!$AA$103)&gt;=$Z36),$AC36,IF(AND($Y36&lt;&gt;"",EDATE($D36,Milestones!$AA$103)&gt;=$Y36),$AB36,$AA36)))=Milestones!$AB$103),UPPER(TEXT(EDATE($D36,Milestones!$AA$103),"dd mmm yy"))&amp;" "&amp;Milestones!$AB$103&amp;" "&amp;IF(AND(Milestones!$AB$103="FT",Milestones!$AA$103=FT_Y5,EDATE($D36,Milestones!$AA$103)&lt;PolicyEff),1,Milestones!$AC$103)&amp;";  ",""))</f>
        <v/>
      </c>
      <c r="P36" s="0" t="str">
        <f aca="false">IF(OR($A36="",$D36=""),"",IF(AND(EDATE($D36,Milestones!$AA$104)&lt;=AsOfDate,EDATE($D36,Milestones!$AA$104)&gt;=SchemeStart,IF($X36=0,$AD36,IF(AND($Z36&lt;&gt;"",EDATE($D36,Milestones!$AA$104)&gt;=$Z36),$AC36,IF(AND($Y36&lt;&gt;"",EDATE($D36,Milestones!$AA$104)&gt;=$Y36),$AB36,$AA36)))=Milestones!$AB$104),UPPER(TEXT(EDATE($D36,Milestones!$AA$104),"dd mmm yy"))&amp;" "&amp;Milestones!$AB$104&amp;" "&amp;IF(AND(Milestones!$AB$104="FT",Milestones!$AA$104=FT_Y5,EDATE($D36,Milestones!$AA$104)&lt;PolicyEff),1,Milestones!$AC$104)&amp;";  ","")&amp;IF(AND(EDATE($D36,Milestones!$AA$105)&lt;=AsOfDate,EDATE($D36,Milestones!$AA$105)&gt;=SchemeStart,IF($X36=0,$AD36,IF(AND($Z36&lt;&gt;"",EDATE($D36,Milestones!$AA$105)&gt;=$Z36),$AC36,IF(AND($Y36&lt;&gt;"",EDATE($D36,Milestones!$AA$105)&gt;=$Y36),$AB36,$AA36)))=Milestones!$AB$105),UPPER(TEXT(EDATE($D36,Milestones!$AA$105),"dd mmm yy"))&amp;" "&amp;Milestones!$AB$105&amp;" "&amp;IF(AND(Milestones!$AB$105="FT",Milestones!$AA$105=FT_Y5,EDATE($D36,Milestones!$AA$105)&lt;PolicyEff),1,Milestones!$AC$105)&amp;";  ","")&amp;IF(AND(EDATE($D36,Milestones!$AA$106)&lt;=AsOfDate,EDATE($D36,Milestones!$AA$106)&gt;=SchemeStart,IF($X36=0,$AD36,IF(AND($Z36&lt;&gt;"",EDATE($D36,Milestones!$AA$106)&gt;=$Z36),$AC36,IF(AND($Y36&lt;&gt;"",EDATE($D36,Milestones!$AA$106)&gt;=$Y36),$AB36,$AA36)))=Milestones!$AB$106),UPPER(TEXT(EDATE($D36,Milestones!$AA$106),"dd mmm yy"))&amp;" "&amp;Milestones!$AB$106&amp;" "&amp;IF(AND(Milestones!$AB$106="FT",Milestones!$AA$106=FT_Y5,EDATE($D36,Milestones!$AA$106)&lt;PolicyEff),1,Milestones!$AC$106)&amp;";  ","")&amp;IF(AND(EDATE($D36,Milestones!$AA$107)&lt;=AsOfDate,EDATE($D36,Milestones!$AA$107)&gt;=SchemeStart,IF($X36=0,$AD36,IF(AND($Z36&lt;&gt;"",EDATE($D36,Milestones!$AA$107)&gt;=$Z36),$AC36,IF(AND($Y36&lt;&gt;"",EDATE($D36,Milestones!$AA$107)&gt;=$Y36),$AB36,$AA36)))=Milestones!$AB$107),UPPER(TEXT(EDATE($D36,Milestones!$AA$107),"dd mmm yy"))&amp;" "&amp;Milestones!$AB$107&amp;" "&amp;IF(AND(Milestones!$AB$107="FT",Milestones!$AA$107=FT_Y5,EDATE($D36,Milestones!$AA$107)&lt;PolicyEff),1,Milestones!$AC$107)&amp;";  ","")&amp;IF(AND(EDATE($D36,Milestones!$AA$108)&lt;=AsOfDate,EDATE($D36,Milestones!$AA$108)&gt;=SchemeStart,IF($X36=0,$AD36,IF(AND($Z36&lt;&gt;"",EDATE($D36,Milestones!$AA$108)&gt;=$Z36),$AC36,IF(AND($Y36&lt;&gt;"",EDATE($D36,Milestones!$AA$108)&gt;=$Y36),$AB36,$AA36)))=Milestones!$AB$108),UPPER(TEXT(EDATE($D36,Milestones!$AA$108),"dd mmm yy"))&amp;" "&amp;Milestones!$AB$108&amp;" "&amp;IF(AND(Milestones!$AB$108="FT",Milestones!$AA$108=FT_Y5,EDATE($D36,Milestones!$AA$108)&lt;PolicyEff),1,Milestones!$AC$108)&amp;";  ","")&amp;IF(AND(EDATE($D36,Milestones!$AA$109)&lt;=AsOfDate,EDATE($D36,Milestones!$AA$109)&gt;=SchemeStart,IF($X36=0,$AD36,IF(AND($Z36&lt;&gt;"",EDATE($D36,Milestones!$AA$109)&gt;=$Z36),$AC36,IF(AND($Y36&lt;&gt;"",EDATE($D36,Milestones!$AA$109)&gt;=$Y36),$AB36,$AA36)))=Milestones!$AB$109),UPPER(TEXT(EDATE($D36,Milestones!$AA$109),"dd mmm yy"))&amp;" "&amp;Milestones!$AB$109&amp;" "&amp;IF(AND(Milestones!$AB$109="FT",Milestones!$AA$109=FT_Y5,EDATE($D36,Milestones!$AA$109)&lt;PolicyEff),1,Milestones!$AC$109)&amp;";  ","")&amp;IF(AND(EDATE($D36,Milestones!$AA$110)&lt;=AsOfDate,EDATE($D36,Milestones!$AA$110)&gt;=SchemeStart,IF($X36=0,$AD36,IF(AND($Z36&lt;&gt;"",EDATE($D36,Milestones!$AA$110)&gt;=$Z36),$AC36,IF(AND($Y36&lt;&gt;"",EDATE($D36,Milestones!$AA$110)&gt;=$Y36),$AB36,$AA36)))=Milestones!$AB$110),UPPER(TEXT(EDATE($D36,Milestones!$AA$110),"dd mmm yy"))&amp;" "&amp;Milestones!$AB$110&amp;" "&amp;IF(AND(Milestones!$AB$110="FT",Milestones!$AA$110=FT_Y5,EDATE($D36,Milestones!$AA$110)&lt;PolicyEff),1,Milestones!$AC$110)&amp;";  ","")&amp;IF(AND(EDATE($D36,Milestones!$AA$111)&lt;=AsOfDate,EDATE($D36,Milestones!$AA$111)&gt;=SchemeStart,IF($X36=0,$AD36,IF(AND($Z36&lt;&gt;"",EDATE($D36,Milestones!$AA$111)&gt;=$Z36),$AC36,IF(AND($Y36&lt;&gt;"",EDATE($D36,Milestones!$AA$111)&gt;=$Y36),$AB36,$AA36)))=Milestones!$AB$111),UPPER(TEXT(EDATE($D36,Milestones!$AA$111),"dd mmm yy"))&amp;" "&amp;Milestones!$AB$111&amp;" "&amp;IF(AND(Milestones!$AB$111="FT",Milestones!$AA$111=FT_Y5,EDATE($D36,Milestones!$AA$111)&lt;PolicyEff),1,Milestones!$AC$111)&amp;";  ","")&amp;IF(AND(EDATE($D36,Milestones!$AA$112)&lt;=AsOfDate,EDATE($D36,Milestones!$AA$112)&gt;=SchemeStart,IF($X36=0,$AD36,IF(AND($Z36&lt;&gt;"",EDATE($D36,Milestones!$AA$112)&gt;=$Z36),$AC36,IF(AND($Y36&lt;&gt;"",EDATE($D36,Milestones!$AA$112)&gt;=$Y36),$AB36,$AA36)))=Milestones!$AB$112),UPPER(TEXT(EDATE($D36,Milestones!$AA$112),"dd mmm yy"))&amp;" "&amp;Milestones!$AB$112&amp;" "&amp;IF(AND(Milestones!$AB$112="FT",Milestones!$AA$112=FT_Y5,EDATE($D36,Milestones!$AA$112)&lt;PolicyEff),1,Milestones!$AC$112)&amp;";  ","")&amp;IF(AND(EDATE($D36,Milestones!$AA$113)&lt;=AsOfDate,EDATE($D36,Milestones!$AA$113)&gt;=SchemeStart,IF($X36=0,$AD36,IF(AND($Z36&lt;&gt;"",EDATE($D36,Milestones!$AA$113)&gt;=$Z36),$AC36,IF(AND($Y36&lt;&gt;"",EDATE($D36,Milestones!$AA$113)&gt;=$Y36),$AB36,$AA36)))=Milestones!$AB$113),UPPER(TEXT(EDATE($D36,Milestones!$AA$113),"dd mmm yy"))&amp;" "&amp;Milestones!$AB$113&amp;" "&amp;IF(AND(Milestones!$AB$113="FT",Milestones!$AA$113=FT_Y5,EDATE($D36,Milestones!$AA$113)&lt;PolicyEff),1,Milestones!$AC$113)&amp;";  ","")&amp;IF(AND(EDATE($D36,Milestones!$AA$114)&lt;=AsOfDate,EDATE($D36,Milestones!$AA$114)&gt;=SchemeStart,IF($X36=0,$AD36,IF(AND($Z36&lt;&gt;"",EDATE($D36,Milestones!$AA$114)&gt;=$Z36),$AC36,IF(AND($Y36&lt;&gt;"",EDATE($D36,Milestones!$AA$114)&gt;=$Y36),$AB36,$AA36)))=Milestones!$AB$114),UPPER(TEXT(EDATE($D36,Milestones!$AA$114),"dd mmm yy"))&amp;" "&amp;Milestones!$AB$114&amp;" "&amp;IF(AND(Milestones!$AB$114="FT",Milestones!$AA$114=FT_Y5,EDATE($D36,Milestones!$AA$114)&lt;PolicyEff),1,Milestones!$AC$114)&amp;";  ","")&amp;IF(AND(EDATE($D36,Milestones!$AA$115)&lt;=AsOfDate,EDATE($D36,Milestones!$AA$115)&gt;=SchemeStart,IF($X36=0,$AD36,IF(AND($Z36&lt;&gt;"",EDATE($D36,Milestones!$AA$115)&gt;=$Z36),$AC36,IF(AND($Y36&lt;&gt;"",EDATE($D36,Milestones!$AA$115)&gt;=$Y36),$AB36,$AA36)))=Milestones!$AB$115),UPPER(TEXT(EDATE($D36,Milestones!$AA$115),"dd mmm yy"))&amp;" "&amp;Milestones!$AB$115&amp;" "&amp;IF(AND(Milestones!$AB$115="FT",Milestones!$AA$115=FT_Y5,EDATE($D36,Milestones!$AA$115)&lt;PolicyEff),1,Milestones!$AC$115)&amp;";  ",""))</f>
        <v/>
      </c>
      <c r="Q36" s="0" t="str">
        <f aca="false">IF(OR($A36="",$D36=""),"",IF(AND(EDATE($D36,Milestones!$AA$116)&lt;=AsOfDate,EDATE($D36,Milestones!$AA$116)&gt;=SchemeStart,IF($X36=0,$AD36,IF(AND($Z36&lt;&gt;"",EDATE($D36,Milestones!$AA$116)&gt;=$Z36),$AC36,IF(AND($Y36&lt;&gt;"",EDATE($D36,Milestones!$AA$116)&gt;=$Y36),$AB36,$AA36)))=Milestones!$AB$116),UPPER(TEXT(EDATE($D36,Milestones!$AA$116),"dd mmm yy"))&amp;" "&amp;Milestones!$AB$116&amp;" "&amp;IF(AND(Milestones!$AB$116="FT",Milestones!$AA$116=FT_Y5,EDATE($D36,Milestones!$AA$116)&lt;PolicyEff),1,Milestones!$AC$116)&amp;";  ","")&amp;IF(AND(EDATE($D36,Milestones!$AA$117)&lt;=AsOfDate,EDATE($D36,Milestones!$AA$117)&gt;=SchemeStart,IF($X36=0,$AD36,IF(AND($Z36&lt;&gt;"",EDATE($D36,Milestones!$AA$117)&gt;=$Z36),$AC36,IF(AND($Y36&lt;&gt;"",EDATE($D36,Milestones!$AA$117)&gt;=$Y36),$AB36,$AA36)))=Milestones!$AB$117),UPPER(TEXT(EDATE($D36,Milestones!$AA$117),"dd mmm yy"))&amp;" "&amp;Milestones!$AB$117&amp;" "&amp;IF(AND(Milestones!$AB$117="FT",Milestones!$AA$117=FT_Y5,EDATE($D36,Milestones!$AA$117)&lt;PolicyEff),1,Milestones!$AC$117)&amp;";  ","")&amp;IF(AND(EDATE($D36,Milestones!$AA$118)&lt;=AsOfDate,EDATE($D36,Milestones!$AA$118)&gt;=SchemeStart,IF($X36=0,$AD36,IF(AND($Z36&lt;&gt;"",EDATE($D36,Milestones!$AA$118)&gt;=$Z36),$AC36,IF(AND($Y36&lt;&gt;"",EDATE($D36,Milestones!$AA$118)&gt;=$Y36),$AB36,$AA36)))=Milestones!$AB$118),UPPER(TEXT(EDATE($D36,Milestones!$AA$118),"dd mmm yy"))&amp;" "&amp;Milestones!$AB$118&amp;" "&amp;IF(AND(Milestones!$AB$118="FT",Milestones!$AA$118=FT_Y5,EDATE($D36,Milestones!$AA$118)&lt;PolicyEff),1,Milestones!$AC$118)&amp;";  ","")&amp;IF(AND(EDATE($D36,Milestones!$AA$119)&lt;=AsOfDate,EDATE($D36,Milestones!$AA$119)&gt;=SchemeStart,IF($X36=0,$AD36,IF(AND($Z36&lt;&gt;"",EDATE($D36,Milestones!$AA$119)&gt;=$Z36),$AC36,IF(AND($Y36&lt;&gt;"",EDATE($D36,Milestones!$AA$119)&gt;=$Y36),$AB36,$AA36)))=Milestones!$AB$119),UPPER(TEXT(EDATE($D36,Milestones!$AA$119),"dd mmm yy"))&amp;" "&amp;Milestones!$AB$119&amp;" "&amp;IF(AND(Milestones!$AB$119="FT",Milestones!$AA$119=FT_Y5,EDATE($D36,Milestones!$AA$119)&lt;PolicyEff),1,Milestones!$AC$119)&amp;";  ","")&amp;IF(AND(EDATE($D36,Milestones!$AA$120)&lt;=AsOfDate,EDATE($D36,Milestones!$AA$120)&gt;=SchemeStart,IF($X36=0,$AD36,IF(AND($Z36&lt;&gt;"",EDATE($D36,Milestones!$AA$120)&gt;=$Z36),$AC36,IF(AND($Y36&lt;&gt;"",EDATE($D36,Milestones!$AA$120)&gt;=$Y36),$AB36,$AA36)))=Milestones!$AB$120),UPPER(TEXT(EDATE($D36,Milestones!$AA$120),"dd mmm yy"))&amp;" "&amp;Milestones!$AB$120&amp;" "&amp;IF(AND(Milestones!$AB$120="FT",Milestones!$AA$120=FT_Y5,EDATE($D36,Milestones!$AA$120)&lt;PolicyEff),1,Milestones!$AC$120)&amp;";  ","")&amp;IF(AND(EDATE($D36,Milestones!$AA$121)&lt;=AsOfDate,EDATE($D36,Milestones!$AA$121)&gt;=SchemeStart,IF($X36=0,$AD36,IF(AND($Z36&lt;&gt;"",EDATE($D36,Milestones!$AA$121)&gt;=$Z36),$AC36,IF(AND($Y36&lt;&gt;"",EDATE($D36,Milestones!$AA$121)&gt;=$Y36),$AB36,$AA36)))=Milestones!$AB$121),UPPER(TEXT(EDATE($D36,Milestones!$AA$121),"dd mmm yy"))&amp;" "&amp;Milestones!$AB$121&amp;" "&amp;IF(AND(Milestones!$AB$121="FT",Milestones!$AA$121=FT_Y5,EDATE($D36,Milestones!$AA$121)&lt;PolicyEff),1,Milestones!$AC$121)&amp;";  ","")&amp;IF(AND(EDATE($D36,Milestones!$AA$122)&lt;=AsOfDate,EDATE($D36,Milestones!$AA$122)&gt;=SchemeStart,IF($X36=0,$AD36,IF(AND($Z36&lt;&gt;"",EDATE($D36,Milestones!$AA$122)&gt;=$Z36),$AC36,IF(AND($Y36&lt;&gt;"",EDATE($D36,Milestones!$AA$122)&gt;=$Y36),$AB36,$AA36)))=Milestones!$AB$122),UPPER(TEXT(EDATE($D36,Milestones!$AA$122),"dd mmm yy"))&amp;" "&amp;Milestones!$AB$122&amp;" "&amp;IF(AND(Milestones!$AB$122="FT",Milestones!$AA$122=FT_Y5,EDATE($D36,Milestones!$AA$122)&lt;PolicyEff),1,Milestones!$AC$122)&amp;";  ","")&amp;IF(AND(EDATE($D36,Milestones!$AA$123)&lt;=AsOfDate,EDATE($D36,Milestones!$AA$123)&gt;=SchemeStart,IF($X36=0,$AD36,IF(AND($Z36&lt;&gt;"",EDATE($D36,Milestones!$AA$123)&gt;=$Z36),$AC36,IF(AND($Y36&lt;&gt;"",EDATE($D36,Milestones!$AA$123)&gt;=$Y36),$AB36,$AA36)))=Milestones!$AB$123),UPPER(TEXT(EDATE($D36,Milestones!$AA$123),"dd mmm yy"))&amp;" "&amp;Milestones!$AB$123&amp;" "&amp;IF(AND(Milestones!$AB$123="FT",Milestones!$AA$123=FT_Y5,EDATE($D36,Milestones!$AA$123)&lt;PolicyEff),1,Milestones!$AC$123)&amp;";  ","")&amp;IF(AND(EDATE($D36,Milestones!$AA$124)&lt;=AsOfDate,EDATE($D36,Milestones!$AA$124)&gt;=SchemeStart,IF($X36=0,$AD36,IF(AND($Z36&lt;&gt;"",EDATE($D36,Milestones!$AA$124)&gt;=$Z36),$AC36,IF(AND($Y36&lt;&gt;"",EDATE($D36,Milestones!$AA$124)&gt;=$Y36),$AB36,$AA36)))=Milestones!$AB$124),UPPER(TEXT(EDATE($D36,Milestones!$AA$124),"dd mmm yy"))&amp;" "&amp;Milestones!$AB$124&amp;" "&amp;IF(AND(Milestones!$AB$124="FT",Milestones!$AA$124=FT_Y5,EDATE($D36,Milestones!$AA$124)&lt;PolicyEff),1,Milestones!$AC$124)&amp;";  ","")&amp;IF(AND(EDATE($D36,Milestones!$AA$125)&lt;=AsOfDate,EDATE($D36,Milestones!$AA$125)&gt;=SchemeStart,IF($X36=0,$AD36,IF(AND($Z36&lt;&gt;"",EDATE($D36,Milestones!$AA$125)&gt;=$Z36),$AC36,IF(AND($Y36&lt;&gt;"",EDATE($D36,Milestones!$AA$125)&gt;=$Y36),$AB36,$AA36)))=Milestones!$AB$125),UPPER(TEXT(EDATE($D36,Milestones!$AA$125),"dd mmm yy"))&amp;" "&amp;Milestones!$AB$125&amp;" "&amp;IF(AND(Milestones!$AB$125="FT",Milestones!$AA$125=FT_Y5,EDATE($D36,Milestones!$AA$125)&lt;PolicyEff),1,Milestones!$AC$125)&amp;";  ","")&amp;IF(AND(EDATE($D36,Milestones!$AA$126)&lt;=AsOfDate,EDATE($D36,Milestones!$AA$126)&gt;=SchemeStart,IF($X36=0,$AD36,IF(AND($Z36&lt;&gt;"",EDATE($D36,Milestones!$AA$126)&gt;=$Z36),$AC36,IF(AND($Y36&lt;&gt;"",EDATE($D36,Milestones!$AA$126)&gt;=$Y36),$AB36,$AA36)))=Milestones!$AB$126),UPPER(TEXT(EDATE($D36,Milestones!$AA$126),"dd mmm yy"))&amp;" "&amp;Milestones!$AB$126&amp;" "&amp;IF(AND(Milestones!$AB$126="FT",Milestones!$AA$126=FT_Y5,EDATE($D36,Milestones!$AA$126)&lt;PolicyEff),1,Milestones!$AC$126)&amp;";  ","")&amp;IF(AND(EDATE($D36,Milestones!$AA$127)&lt;=AsOfDate,EDATE($D36,Milestones!$AA$127)&gt;=SchemeStart,IF($X36=0,$AD36,IF(AND($Z36&lt;&gt;"",EDATE($D36,Milestones!$AA$127)&gt;=$Z36),$AC36,IF(AND($Y36&lt;&gt;"",EDATE($D36,Milestones!$AA$127)&gt;=$Y36),$AB36,$AA36)))=Milestones!$AB$127),UPPER(TEXT(EDATE($D36,Milestones!$AA$127),"dd mmm yy"))&amp;" "&amp;Milestones!$AB$127&amp;" "&amp;IF(AND(Milestones!$AB$127="FT",Milestones!$AA$127=FT_Y5,EDATE($D36,Milestones!$AA$127)&lt;PolicyEff),1,Milestones!$AC$127)&amp;";  ",""))</f>
        <v/>
      </c>
      <c r="R36" s="0" t="str">
        <f aca="false">IF(OR($A36="",$D36=""),"",IF(AND(EDATE($D36,Milestones!$AA$128)&lt;=AsOfDate,EDATE($D36,Milestones!$AA$128)&gt;=SchemeStart,IF($X36=0,$AD36,IF(AND($Z36&lt;&gt;"",EDATE($D36,Milestones!$AA$128)&gt;=$Z36),$AC36,IF(AND($Y36&lt;&gt;"",EDATE($D36,Milestones!$AA$128)&gt;=$Y36),$AB36,$AA36)))=Milestones!$AB$128),UPPER(TEXT(EDATE($D36,Milestones!$AA$128),"dd mmm yy"))&amp;" "&amp;Milestones!$AB$128&amp;" "&amp;IF(AND(Milestones!$AB$128="FT",Milestones!$AA$128=FT_Y5,EDATE($D36,Milestones!$AA$128)&lt;PolicyEff),1,Milestones!$AC$128)&amp;";  ","")&amp;IF(AND(EDATE($D36,Milestones!$AA$129)&lt;=AsOfDate,EDATE($D36,Milestones!$AA$129)&gt;=SchemeStart,IF($X36=0,$AD36,IF(AND($Z36&lt;&gt;"",EDATE($D36,Milestones!$AA$129)&gt;=$Z36),$AC36,IF(AND($Y36&lt;&gt;"",EDATE($D36,Milestones!$AA$129)&gt;=$Y36),$AB36,$AA36)))=Milestones!$AB$129),UPPER(TEXT(EDATE($D36,Milestones!$AA$129),"dd mmm yy"))&amp;" "&amp;Milestones!$AB$129&amp;" "&amp;IF(AND(Milestones!$AB$129="FT",Milestones!$AA$129=FT_Y5,EDATE($D36,Milestones!$AA$129)&lt;PolicyEff),1,Milestones!$AC$129)&amp;";  ","")&amp;IF(AND(EDATE($D36,Milestones!$AA$130)&lt;=AsOfDate,EDATE($D36,Milestones!$AA$130)&gt;=SchemeStart,IF($X36=0,$AD36,IF(AND($Z36&lt;&gt;"",EDATE($D36,Milestones!$AA$130)&gt;=$Z36),$AC36,IF(AND($Y36&lt;&gt;"",EDATE($D36,Milestones!$AA$130)&gt;=$Y36),$AB36,$AA36)))=Milestones!$AB$130),UPPER(TEXT(EDATE($D36,Milestones!$AA$130),"dd mmm yy"))&amp;" "&amp;Milestones!$AB$130&amp;" "&amp;IF(AND(Milestones!$AB$130="FT",Milestones!$AA$130=FT_Y5,EDATE($D36,Milestones!$AA$130)&lt;PolicyEff),1,Milestones!$AC$130)&amp;";  ","")&amp;IF(AND(EDATE($D36,Milestones!$AA$131)&lt;=AsOfDate,EDATE($D36,Milestones!$AA$131)&gt;=SchemeStart,IF($X36=0,$AD36,IF(AND($Z36&lt;&gt;"",EDATE($D36,Milestones!$AA$131)&gt;=$Z36),$AC36,IF(AND($Y36&lt;&gt;"",EDATE($D36,Milestones!$AA$131)&gt;=$Y36),$AB36,$AA36)))=Milestones!$AB$131),UPPER(TEXT(EDATE($D36,Milestones!$AA$131),"dd mmm yy"))&amp;" "&amp;Milestones!$AB$131&amp;" "&amp;IF(AND(Milestones!$AB$131="FT",Milestones!$AA$131=FT_Y5,EDATE($D36,Milestones!$AA$131)&lt;PolicyEff),1,Milestones!$AC$131)&amp;";  ","")&amp;IF(AND(EDATE($D36,Milestones!$AA$132)&lt;=AsOfDate,EDATE($D36,Milestones!$AA$132)&gt;=SchemeStart,IF($X36=0,$AD36,IF(AND($Z36&lt;&gt;"",EDATE($D36,Milestones!$AA$132)&gt;=$Z36),$AC36,IF(AND($Y36&lt;&gt;"",EDATE($D36,Milestones!$AA$132)&gt;=$Y36),$AB36,$AA36)))=Milestones!$AB$132),UPPER(TEXT(EDATE($D36,Milestones!$AA$132),"dd mmm yy"))&amp;" "&amp;Milestones!$AB$132&amp;" "&amp;IF(AND(Milestones!$AB$132="FT",Milestones!$AA$132=FT_Y5,EDATE($D36,Milestones!$AA$132)&lt;PolicyEff),1,Milestones!$AC$132)&amp;";  ","")&amp;IF(AND(EDATE($D36,Milestones!$AA$133)&lt;=AsOfDate,EDATE($D36,Milestones!$AA$133)&gt;=SchemeStart,IF($X36=0,$AD36,IF(AND($Z36&lt;&gt;"",EDATE($D36,Milestones!$AA$133)&gt;=$Z36),$AC36,IF(AND($Y36&lt;&gt;"",EDATE($D36,Milestones!$AA$133)&gt;=$Y36),$AB36,$AA36)))=Milestones!$AB$133),UPPER(TEXT(EDATE($D36,Milestones!$AA$133),"dd mmm yy"))&amp;" "&amp;Milestones!$AB$133&amp;" "&amp;IF(AND(Milestones!$AB$133="FT",Milestones!$AA$133=FT_Y5,EDATE($D36,Milestones!$AA$133)&lt;PolicyEff),1,Milestones!$AC$133)&amp;";  ","")&amp;IF(AND(EDATE($D36,Milestones!$AA$134)&lt;=AsOfDate,EDATE($D36,Milestones!$AA$134)&gt;=SchemeStart,IF($X36=0,$AD36,IF(AND($Z36&lt;&gt;"",EDATE($D36,Milestones!$AA$134)&gt;=$Z36),$AC36,IF(AND($Y36&lt;&gt;"",EDATE($D36,Milestones!$AA$134)&gt;=$Y36),$AB36,$AA36)))=Milestones!$AB$134),UPPER(TEXT(EDATE($D36,Milestones!$AA$134),"dd mmm yy"))&amp;" "&amp;Milestones!$AB$134&amp;" "&amp;IF(AND(Milestones!$AB$134="FT",Milestones!$AA$134=FT_Y5,EDATE($D36,Milestones!$AA$134)&lt;PolicyEff),1,Milestones!$AC$134)&amp;";  ","")&amp;IF(AND(EDATE($D36,Milestones!$AA$135)&lt;=AsOfDate,EDATE($D36,Milestones!$AA$135)&gt;=SchemeStart,IF($X36=0,$AD36,IF(AND($Z36&lt;&gt;"",EDATE($D36,Milestones!$AA$135)&gt;=$Z36),$AC36,IF(AND($Y36&lt;&gt;"",EDATE($D36,Milestones!$AA$135)&gt;=$Y36),$AB36,$AA36)))=Milestones!$AB$135),UPPER(TEXT(EDATE($D36,Milestones!$AA$135),"dd mmm yy"))&amp;" "&amp;Milestones!$AB$135&amp;" "&amp;IF(AND(Milestones!$AB$135="FT",Milestones!$AA$135=FT_Y5,EDATE($D36,Milestones!$AA$135)&lt;PolicyEff),1,Milestones!$AC$135)&amp;";  ","")&amp;IF(AND(EDATE($D36,Milestones!$AA$136)&lt;=AsOfDate,EDATE($D36,Milestones!$AA$136)&gt;=SchemeStart,IF($X36=0,$AD36,IF(AND($Z36&lt;&gt;"",EDATE($D36,Milestones!$AA$136)&gt;=$Z36),$AC36,IF(AND($Y36&lt;&gt;"",EDATE($D36,Milestones!$AA$136)&gt;=$Y36),$AB36,$AA36)))=Milestones!$AB$136),UPPER(TEXT(EDATE($D36,Milestones!$AA$136),"dd mmm yy"))&amp;" "&amp;Milestones!$AB$136&amp;" "&amp;IF(AND(Milestones!$AB$136="FT",Milestones!$AA$136=FT_Y5,EDATE($D36,Milestones!$AA$136)&lt;PolicyEff),1,Milestones!$AC$136)&amp;";  ","")&amp;IF(AND(EDATE($D36,Milestones!$AA$137)&lt;=AsOfDate,EDATE($D36,Milestones!$AA$137)&gt;=SchemeStart,IF($X36=0,$AD36,IF(AND($Z36&lt;&gt;"",EDATE($D36,Milestones!$AA$137)&gt;=$Z36),$AC36,IF(AND($Y36&lt;&gt;"",EDATE($D36,Milestones!$AA$137)&gt;=$Y36),$AB36,$AA36)))=Milestones!$AB$137),UPPER(TEXT(EDATE($D36,Milestones!$AA$137),"dd mmm yy"))&amp;" "&amp;Milestones!$AB$137&amp;" "&amp;IF(AND(Milestones!$AB$137="FT",Milestones!$AA$137=FT_Y5,EDATE($D36,Milestones!$AA$137)&lt;PolicyEff),1,Milestones!$AC$137)&amp;";  ","")&amp;IF(AND(EDATE($D36,Milestones!$AA$138)&lt;=AsOfDate,EDATE($D36,Milestones!$AA$138)&gt;=SchemeStart,IF($X36=0,$AD36,IF(AND($Z36&lt;&gt;"",EDATE($D36,Milestones!$AA$138)&gt;=$Z36),$AC36,IF(AND($Y36&lt;&gt;"",EDATE($D36,Milestones!$AA$138)&gt;=$Y36),$AB36,$AA36)))=Milestones!$AB$138),UPPER(TEXT(EDATE($D36,Milestones!$AA$138),"dd mmm yy"))&amp;" "&amp;Milestones!$AB$138&amp;" "&amp;IF(AND(Milestones!$AB$138="FT",Milestones!$AA$138=FT_Y5,EDATE($D36,Milestones!$AA$138)&lt;PolicyEff),1,Milestones!$AC$138)&amp;";  ","")&amp;IF(AND(EDATE($D36,Milestones!$AA$139)&lt;=AsOfDate,EDATE($D36,Milestones!$AA$139)&gt;=SchemeStart,IF($X36=0,$AD36,IF(AND($Z36&lt;&gt;"",EDATE($D36,Milestones!$AA$139)&gt;=$Z36),$AC36,IF(AND($Y36&lt;&gt;"",EDATE($D36,Milestones!$AA$139)&gt;=$Y36),$AB36,$AA36)))=Milestones!$AB$139),UPPER(TEXT(EDATE($D36,Milestones!$AA$139),"dd mmm yy"))&amp;" "&amp;Milestones!$AB$139&amp;" "&amp;IF(AND(Milestones!$AB$139="FT",Milestones!$AA$139=FT_Y5,EDATE($D36,Milestones!$AA$139)&lt;PolicyEff),1,Milestones!$AC$139)&amp;";  ",""))</f>
        <v/>
      </c>
      <c r="S36" s="0" t="str">
        <f aca="false">IF(OR($A36="",$D36=""),"",IF(AND(EDATE($D36,Milestones!$AA$140)&lt;=AsOfDate,EDATE($D36,Milestones!$AA$140)&gt;=SchemeStart,IF($X36=0,$AD36,IF(AND($Z36&lt;&gt;"",EDATE($D36,Milestones!$AA$140)&gt;=$Z36),$AC36,IF(AND($Y36&lt;&gt;"",EDATE($D36,Milestones!$AA$140)&gt;=$Y36),$AB36,$AA36)))=Milestones!$AB$140),UPPER(TEXT(EDATE($D36,Milestones!$AA$140),"dd mmm yy"))&amp;" "&amp;Milestones!$AB$140&amp;" "&amp;IF(AND(Milestones!$AB$140="FT",Milestones!$AA$140=FT_Y5,EDATE($D36,Milestones!$AA$140)&lt;PolicyEff),1,Milestones!$AC$140)&amp;";  ","")&amp;IF(AND(EDATE($D36,Milestones!$AA$141)&lt;=AsOfDate,EDATE($D36,Milestones!$AA$141)&gt;=SchemeStart,IF($X36=0,$AD36,IF(AND($Z36&lt;&gt;"",EDATE($D36,Milestones!$AA$141)&gt;=$Z36),$AC36,IF(AND($Y36&lt;&gt;"",EDATE($D36,Milestones!$AA$141)&gt;=$Y36),$AB36,$AA36)))=Milestones!$AB$141),UPPER(TEXT(EDATE($D36,Milestones!$AA$141),"dd mmm yy"))&amp;" "&amp;Milestones!$AB$141&amp;" "&amp;IF(AND(Milestones!$AB$141="FT",Milestones!$AA$141=FT_Y5,EDATE($D36,Milestones!$AA$141)&lt;PolicyEff),1,Milestones!$AC$141)&amp;";  ","")&amp;IF(AND(EDATE($D36,Milestones!$AA$142)&lt;=AsOfDate,EDATE($D36,Milestones!$AA$142)&gt;=SchemeStart,IF($X36=0,$AD36,IF(AND($Z36&lt;&gt;"",EDATE($D36,Milestones!$AA$142)&gt;=$Z36),$AC36,IF(AND($Y36&lt;&gt;"",EDATE($D36,Milestones!$AA$142)&gt;=$Y36),$AB36,$AA36)))=Milestones!$AB$142),UPPER(TEXT(EDATE($D36,Milestones!$AA$142),"dd mmm yy"))&amp;" "&amp;Milestones!$AB$142&amp;" "&amp;IF(AND(Milestones!$AB$142="FT",Milestones!$AA$142=FT_Y5,EDATE($D36,Milestones!$AA$142)&lt;PolicyEff),1,Milestones!$AC$142)&amp;";  ","")&amp;IF(AND(EDATE($D36,Milestones!$AA$143)&lt;=AsOfDate,EDATE($D36,Milestones!$AA$143)&gt;=SchemeStart,IF($X36=0,$AD36,IF(AND($Z36&lt;&gt;"",EDATE($D36,Milestones!$AA$143)&gt;=$Z36),$AC36,IF(AND($Y36&lt;&gt;"",EDATE($D36,Milestones!$AA$143)&gt;=$Y36),$AB36,$AA36)))=Milestones!$AB$143),UPPER(TEXT(EDATE($D36,Milestones!$AA$143),"dd mmm yy"))&amp;" "&amp;Milestones!$AB$143&amp;" "&amp;IF(AND(Milestones!$AB$143="FT",Milestones!$AA$143=FT_Y5,EDATE($D36,Milestones!$AA$143)&lt;PolicyEff),1,Milestones!$AC$143)&amp;";  ","")&amp;IF(AND(EDATE($D36,Milestones!$AA$144)&lt;=AsOfDate,EDATE($D36,Milestones!$AA$144)&gt;=SchemeStart,IF($X36=0,$AD36,IF(AND($Z36&lt;&gt;"",EDATE($D36,Milestones!$AA$144)&gt;=$Z36),$AC36,IF(AND($Y36&lt;&gt;"",EDATE($D36,Milestones!$AA$144)&gt;=$Y36),$AB36,$AA36)))=Milestones!$AB$144),UPPER(TEXT(EDATE($D36,Milestones!$AA$144),"dd mmm yy"))&amp;" "&amp;Milestones!$AB$144&amp;" "&amp;IF(AND(Milestones!$AB$144="FT",Milestones!$AA$144=FT_Y5,EDATE($D36,Milestones!$AA$144)&lt;PolicyEff),1,Milestones!$AC$144)&amp;";  ","")&amp;IF(AND(EDATE($D36,Milestones!$AA$145)&lt;=AsOfDate,EDATE($D36,Milestones!$AA$145)&gt;=SchemeStart,IF($X36=0,$AD36,IF(AND($Z36&lt;&gt;"",EDATE($D36,Milestones!$AA$145)&gt;=$Z36),$AC36,IF(AND($Y36&lt;&gt;"",EDATE($D36,Milestones!$AA$145)&gt;=$Y36),$AB36,$AA36)))=Milestones!$AB$145),UPPER(TEXT(EDATE($D36,Milestones!$AA$145),"dd mmm yy"))&amp;" "&amp;Milestones!$AB$145&amp;" "&amp;IF(AND(Milestones!$AB$145="FT",Milestones!$AA$145=FT_Y5,EDATE($D36,Milestones!$AA$145)&lt;PolicyEff),1,Milestones!$AC$145)&amp;";  ","")&amp;IF(AND(EDATE($D36,Milestones!$AA$146)&lt;=AsOfDate,EDATE($D36,Milestones!$AA$146)&gt;=SchemeStart,IF($X36=0,$AD36,IF(AND($Z36&lt;&gt;"",EDATE($D36,Milestones!$AA$146)&gt;=$Z36),$AC36,IF(AND($Y36&lt;&gt;"",EDATE($D36,Milestones!$AA$146)&gt;=$Y36),$AB36,$AA36)))=Milestones!$AB$146),UPPER(TEXT(EDATE($D36,Milestones!$AA$146),"dd mmm yy"))&amp;" "&amp;Milestones!$AB$146&amp;" "&amp;IF(AND(Milestones!$AB$146="FT",Milestones!$AA$146=FT_Y5,EDATE($D36,Milestones!$AA$146)&lt;PolicyEff),1,Milestones!$AC$146)&amp;";  ","")&amp;IF(AND(EDATE($D36,Milestones!$AA$147)&lt;=AsOfDate,EDATE($D36,Milestones!$AA$147)&gt;=SchemeStart,IF($X36=0,$AD36,IF(AND($Z36&lt;&gt;"",EDATE($D36,Milestones!$AA$147)&gt;=$Z36),$AC36,IF(AND($Y36&lt;&gt;"",EDATE($D36,Milestones!$AA$147)&gt;=$Y36),$AB36,$AA36)))=Milestones!$AB$147),UPPER(TEXT(EDATE($D36,Milestones!$AA$147),"dd mmm yy"))&amp;" "&amp;Milestones!$AB$147&amp;" "&amp;IF(AND(Milestones!$AB$147="FT",Milestones!$AA$147=FT_Y5,EDATE($D36,Milestones!$AA$147)&lt;PolicyEff),1,Milestones!$AC$147)&amp;";  ","")&amp;IF(AND(EDATE($D36,Milestones!$AA$148)&lt;=AsOfDate,EDATE($D36,Milestones!$AA$148)&gt;=SchemeStart,IF($X36=0,$AD36,IF(AND($Z36&lt;&gt;"",EDATE($D36,Milestones!$AA$148)&gt;=$Z36),$AC36,IF(AND($Y36&lt;&gt;"",EDATE($D36,Milestones!$AA$148)&gt;=$Y36),$AB36,$AA36)))=Milestones!$AB$148),UPPER(TEXT(EDATE($D36,Milestones!$AA$148),"dd mmm yy"))&amp;" "&amp;Milestones!$AB$148&amp;" "&amp;IF(AND(Milestones!$AB$148="FT",Milestones!$AA$148=FT_Y5,EDATE($D36,Milestones!$AA$148)&lt;PolicyEff),1,Milestones!$AC$148)&amp;";  ","")&amp;IF(AND(EDATE($D36,Milestones!$AA$149)&lt;=AsOfDate,EDATE($D36,Milestones!$AA$149)&gt;=SchemeStart,IF($X36=0,$AD36,IF(AND($Z36&lt;&gt;"",EDATE($D36,Milestones!$AA$149)&gt;=$Z36),$AC36,IF(AND($Y36&lt;&gt;"",EDATE($D36,Milestones!$AA$149)&gt;=$Y36),$AB36,$AA36)))=Milestones!$AB$149),UPPER(TEXT(EDATE($D36,Milestones!$AA$149),"dd mmm yy"))&amp;" "&amp;Milestones!$AB$149&amp;" "&amp;IF(AND(Milestones!$AB$149="FT",Milestones!$AA$149=FT_Y5,EDATE($D36,Milestones!$AA$149)&lt;PolicyEff),1,Milestones!$AC$149)&amp;";  ","")&amp;IF(AND(EDATE($D36,Milestones!$AA$150)&lt;=AsOfDate,EDATE($D36,Milestones!$AA$150)&gt;=SchemeStart,IF($X36=0,$AD36,IF(AND($Z36&lt;&gt;"",EDATE($D36,Milestones!$AA$150)&gt;=$Z36),$AC36,IF(AND($Y36&lt;&gt;"",EDATE($D36,Milestones!$AA$150)&gt;=$Y36),$AB36,$AA36)))=Milestones!$AB$150),UPPER(TEXT(EDATE($D36,Milestones!$AA$150),"dd mmm yy"))&amp;" "&amp;Milestones!$AB$150&amp;" "&amp;IF(AND(Milestones!$AB$150="FT",Milestones!$AA$150=FT_Y5,EDATE($D36,Milestones!$AA$150)&lt;PolicyEff),1,Milestones!$AC$150)&amp;";  ","")&amp;IF(AND(EDATE($D36,Milestones!$AA$151)&lt;=AsOfDate,EDATE($D36,Milestones!$AA$151)&gt;=SchemeStart,IF($X36=0,$AD36,IF(AND($Z36&lt;&gt;"",EDATE($D36,Milestones!$AA$151)&gt;=$Z36),$AC36,IF(AND($Y36&lt;&gt;"",EDATE($D36,Milestones!$AA$151)&gt;=$Y36),$AB36,$AA36)))=Milestones!$AB$151),UPPER(TEXT(EDATE($D36,Milestones!$AA$151),"dd mmm yy"))&amp;" "&amp;Milestones!$AB$151&amp;" "&amp;IF(AND(Milestones!$AB$151="FT",Milestones!$AA$151=FT_Y5,EDATE($D36,Milestones!$AA$151)&lt;PolicyEff),1,Milestones!$AC$151)&amp;";  ",""))</f>
        <v/>
      </c>
      <c r="T36" s="0" t="str">
        <f aca="false">IF(OR($A36="",$D36=""),"",IF(AND(EDATE($D36,Milestones!$AA$152)&lt;=AsOfDate,EDATE($D36,Milestones!$AA$152)&gt;=SchemeStart,IF($X36=0,$AD36,IF(AND($Z36&lt;&gt;"",EDATE($D36,Milestones!$AA$152)&gt;=$Z36),$AC36,IF(AND($Y36&lt;&gt;"",EDATE($D36,Milestones!$AA$152)&gt;=$Y36),$AB36,$AA36)))=Milestones!$AB$152),UPPER(TEXT(EDATE($D36,Milestones!$AA$152),"dd mmm yy"))&amp;" "&amp;Milestones!$AB$152&amp;" "&amp;IF(AND(Milestones!$AB$152="FT",Milestones!$AA$152=FT_Y5,EDATE($D36,Milestones!$AA$152)&lt;PolicyEff),1,Milestones!$AC$152)&amp;";  ","")&amp;IF(AND(EDATE($D36,Milestones!$AA$153)&lt;=AsOfDate,EDATE($D36,Milestones!$AA$153)&gt;=SchemeStart,IF($X36=0,$AD36,IF(AND($Z36&lt;&gt;"",EDATE($D36,Milestones!$AA$153)&gt;=$Z36),$AC36,IF(AND($Y36&lt;&gt;"",EDATE($D36,Milestones!$AA$153)&gt;=$Y36),$AB36,$AA36)))=Milestones!$AB$153),UPPER(TEXT(EDATE($D36,Milestones!$AA$153),"dd mmm yy"))&amp;" "&amp;Milestones!$AB$153&amp;" "&amp;IF(AND(Milestones!$AB$153="FT",Milestones!$AA$153=FT_Y5,EDATE($D36,Milestones!$AA$153)&lt;PolicyEff),1,Milestones!$AC$153)&amp;";  ","")&amp;IF(AND(EDATE($D36,Milestones!$AA$154)&lt;=AsOfDate,EDATE($D36,Milestones!$AA$154)&gt;=SchemeStart,IF($X36=0,$AD36,IF(AND($Z36&lt;&gt;"",EDATE($D36,Milestones!$AA$154)&gt;=$Z36),$AC36,IF(AND($Y36&lt;&gt;"",EDATE($D36,Milestones!$AA$154)&gt;=$Y36),$AB36,$AA36)))=Milestones!$AB$154),UPPER(TEXT(EDATE($D36,Milestones!$AA$154),"dd mmm yy"))&amp;" "&amp;Milestones!$AB$154&amp;" "&amp;IF(AND(Milestones!$AB$154="FT",Milestones!$AA$154=FT_Y5,EDATE($D36,Milestones!$AA$154)&lt;PolicyEff),1,Milestones!$AC$154)&amp;";  ","")&amp;IF(AND(EDATE($D36,Milestones!$AA$155)&lt;=AsOfDate,EDATE($D36,Milestones!$AA$155)&gt;=SchemeStart,IF($X36=0,$AD36,IF(AND($Z36&lt;&gt;"",EDATE($D36,Milestones!$AA$155)&gt;=$Z36),$AC36,IF(AND($Y36&lt;&gt;"",EDATE($D36,Milestones!$AA$155)&gt;=$Y36),$AB36,$AA36)))=Milestones!$AB$155),UPPER(TEXT(EDATE($D36,Milestones!$AA$155),"dd mmm yy"))&amp;" "&amp;Milestones!$AB$155&amp;" "&amp;IF(AND(Milestones!$AB$155="FT",Milestones!$AA$155=FT_Y5,EDATE($D36,Milestones!$AA$155)&lt;PolicyEff),1,Milestones!$AC$155)&amp;";  ","")&amp;IF(AND(EDATE($D36,Milestones!$AA$156)&lt;=AsOfDate,EDATE($D36,Milestones!$AA$156)&gt;=SchemeStart,IF($X36=0,$AD36,IF(AND($Z36&lt;&gt;"",EDATE($D36,Milestones!$AA$156)&gt;=$Z36),$AC36,IF(AND($Y36&lt;&gt;"",EDATE($D36,Milestones!$AA$156)&gt;=$Y36),$AB36,$AA36)))=Milestones!$AB$156),UPPER(TEXT(EDATE($D36,Milestones!$AA$156),"dd mmm yy"))&amp;" "&amp;Milestones!$AB$156&amp;" "&amp;IF(AND(Milestones!$AB$156="FT",Milestones!$AA$156=FT_Y5,EDATE($D36,Milestones!$AA$156)&lt;PolicyEff),1,Milestones!$AC$156)&amp;";  ","")&amp;IF(AND(EDATE($D36,Milestones!$AA$157)&lt;=AsOfDate,EDATE($D36,Milestones!$AA$157)&gt;=SchemeStart,IF($X36=0,$AD36,IF(AND($Z36&lt;&gt;"",EDATE($D36,Milestones!$AA$157)&gt;=$Z36),$AC36,IF(AND($Y36&lt;&gt;"",EDATE($D36,Milestones!$AA$157)&gt;=$Y36),$AB36,$AA36)))=Milestones!$AB$157),UPPER(TEXT(EDATE($D36,Milestones!$AA$157),"dd mmm yy"))&amp;" "&amp;Milestones!$AB$157&amp;" "&amp;IF(AND(Milestones!$AB$157="FT",Milestones!$AA$157=FT_Y5,EDATE($D36,Milestones!$AA$157)&lt;PolicyEff),1,Milestones!$AC$157)&amp;";  ","")&amp;IF(AND(EDATE($D36,Milestones!$AA$158)&lt;=AsOfDate,EDATE($D36,Milestones!$AA$158)&gt;=SchemeStart,IF($X36=0,$AD36,IF(AND($Z36&lt;&gt;"",EDATE($D36,Milestones!$AA$158)&gt;=$Z36),$AC36,IF(AND($Y36&lt;&gt;"",EDATE($D36,Milestones!$AA$158)&gt;=$Y36),$AB36,$AA36)))=Milestones!$AB$158),UPPER(TEXT(EDATE($D36,Milestones!$AA$158),"dd mmm yy"))&amp;" "&amp;Milestones!$AB$158&amp;" "&amp;IF(AND(Milestones!$AB$158="FT",Milestones!$AA$158=FT_Y5,EDATE($D36,Milestones!$AA$158)&lt;PolicyEff),1,Milestones!$AC$158)&amp;";  ","")&amp;IF(AND(EDATE($D36,Milestones!$AA$159)&lt;=AsOfDate,EDATE($D36,Milestones!$AA$159)&gt;=SchemeStart,IF($X36=0,$AD36,IF(AND($Z36&lt;&gt;"",EDATE($D36,Milestones!$AA$159)&gt;=$Z36),$AC36,IF(AND($Y36&lt;&gt;"",EDATE($D36,Milestones!$AA$159)&gt;=$Y36),$AB36,$AA36)))=Milestones!$AB$159),UPPER(TEXT(EDATE($D36,Milestones!$AA$159),"dd mmm yy"))&amp;" "&amp;Milestones!$AB$159&amp;" "&amp;IF(AND(Milestones!$AB$159="FT",Milestones!$AA$159=FT_Y5,EDATE($D36,Milestones!$AA$159)&lt;PolicyEff),1,Milestones!$AC$159)&amp;";  ","")&amp;IF(AND(EDATE($D36,Milestones!$AA$160)&lt;=AsOfDate,EDATE($D36,Milestones!$AA$160)&gt;=SchemeStart,IF($X36=0,$AD36,IF(AND($Z36&lt;&gt;"",EDATE($D36,Milestones!$AA$160)&gt;=$Z36),$AC36,IF(AND($Y36&lt;&gt;"",EDATE($D36,Milestones!$AA$160)&gt;=$Y36),$AB36,$AA36)))=Milestones!$AB$160),UPPER(TEXT(EDATE($D36,Milestones!$AA$160),"dd mmm yy"))&amp;" "&amp;Milestones!$AB$160&amp;" "&amp;IF(AND(Milestones!$AB$160="FT",Milestones!$AA$160=FT_Y5,EDATE($D36,Milestones!$AA$160)&lt;PolicyEff),1,Milestones!$AC$160)&amp;";  ","")&amp;IF(AND(EDATE($D36,Milestones!$AA$161)&lt;=AsOfDate,EDATE($D36,Milestones!$AA$161)&gt;=SchemeStart,IF($X36=0,$AD36,IF(AND($Z36&lt;&gt;"",EDATE($D36,Milestones!$AA$161)&gt;=$Z36),$AC36,IF(AND($Y36&lt;&gt;"",EDATE($D36,Milestones!$AA$161)&gt;=$Y36),$AB36,$AA36)))=Milestones!$AB$161),UPPER(TEXT(EDATE($D36,Milestones!$AA$161),"dd mmm yy"))&amp;" "&amp;Milestones!$AB$161&amp;" "&amp;IF(AND(Milestones!$AB$161="FT",Milestones!$AA$161=FT_Y5,EDATE($D36,Milestones!$AA$161)&lt;PolicyEff),1,Milestones!$AC$161)&amp;";  ","")&amp;IF(AND(EDATE($D36,Milestones!$AA$162)&lt;=AsOfDate,EDATE($D36,Milestones!$AA$162)&gt;=SchemeStart,IF($X36=0,$AD36,IF(AND($Z36&lt;&gt;"",EDATE($D36,Milestones!$AA$162)&gt;=$Z36),$AC36,IF(AND($Y36&lt;&gt;"",EDATE($D36,Milestones!$AA$162)&gt;=$Y36),$AB36,$AA36)))=Milestones!$AB$162),UPPER(TEXT(EDATE($D36,Milestones!$AA$162),"dd mmm yy"))&amp;" "&amp;Milestones!$AB$162&amp;" "&amp;IF(AND(Milestones!$AB$162="FT",Milestones!$AA$162=FT_Y5,EDATE($D36,Milestones!$AA$162)&lt;PolicyEff),1,Milestones!$AC$162)&amp;";  ","")&amp;IF(AND(EDATE($D36,Milestones!$AA$163)&lt;=AsOfDate,EDATE($D36,Milestones!$AA$163)&gt;=SchemeStart,IF($X36=0,$AD36,IF(AND($Z36&lt;&gt;"",EDATE($D36,Milestones!$AA$163)&gt;=$Z36),$AC36,IF(AND($Y36&lt;&gt;"",EDATE($D36,Milestones!$AA$163)&gt;=$Y36),$AB36,$AA36)))=Milestones!$AB$163),UPPER(TEXT(EDATE($D36,Milestones!$AA$163),"dd mmm yy"))&amp;" "&amp;Milestones!$AB$163&amp;" "&amp;IF(AND(Milestones!$AB$163="FT",Milestones!$AA$163=FT_Y5,EDATE($D36,Milestones!$AA$163)&lt;PolicyEff),1,Milestones!$AC$163)&amp;";  ",""))</f>
        <v/>
      </c>
      <c r="U36" s="0" t="str">
        <f aca="false">IF(OR($A36="",$D36=""),"",IF(AND(EDATE($D36,Milestones!$AA$164)&lt;=AsOfDate,EDATE($D36,Milestones!$AA$164)&gt;=SchemeStart,IF($X36=0,$AD36,IF(AND($Z36&lt;&gt;"",EDATE($D36,Milestones!$AA$164)&gt;=$Z36),$AC36,IF(AND($Y36&lt;&gt;"",EDATE($D36,Milestones!$AA$164)&gt;=$Y36),$AB36,$AA36)))=Milestones!$AB$164),UPPER(TEXT(EDATE($D36,Milestones!$AA$164),"dd mmm yy"))&amp;" "&amp;Milestones!$AB$164&amp;" "&amp;IF(AND(Milestones!$AB$164="FT",Milestones!$AA$164=FT_Y5,EDATE($D36,Milestones!$AA$164)&lt;PolicyEff),1,Milestones!$AC$164)&amp;";  ","")&amp;IF(AND(EDATE($D36,Milestones!$AA$165)&lt;=AsOfDate,EDATE($D36,Milestones!$AA$165)&gt;=SchemeStart,IF($X36=0,$AD36,IF(AND($Z36&lt;&gt;"",EDATE($D36,Milestones!$AA$165)&gt;=$Z36),$AC36,IF(AND($Y36&lt;&gt;"",EDATE($D36,Milestones!$AA$165)&gt;=$Y36),$AB36,$AA36)))=Milestones!$AB$165),UPPER(TEXT(EDATE($D36,Milestones!$AA$165),"dd mmm yy"))&amp;" "&amp;Milestones!$AB$165&amp;" "&amp;IF(AND(Milestones!$AB$165="FT",Milestones!$AA$165=FT_Y5,EDATE($D36,Milestones!$AA$165)&lt;PolicyEff),1,Milestones!$AC$165)&amp;";  ","")&amp;IF(AND(EDATE($D36,Milestones!$AA$166)&lt;=AsOfDate,EDATE($D36,Milestones!$AA$166)&gt;=SchemeStart,IF($X36=0,$AD36,IF(AND($Z36&lt;&gt;"",EDATE($D36,Milestones!$AA$166)&gt;=$Z36),$AC36,IF(AND($Y36&lt;&gt;"",EDATE($D36,Milestones!$AA$166)&gt;=$Y36),$AB36,$AA36)))=Milestones!$AB$166),UPPER(TEXT(EDATE($D36,Milestones!$AA$166),"dd mmm yy"))&amp;" "&amp;Milestones!$AB$166&amp;" "&amp;IF(AND(Milestones!$AB$166="FT",Milestones!$AA$166=FT_Y5,EDATE($D36,Milestones!$AA$166)&lt;PolicyEff),1,Milestones!$AC$166)&amp;";  ","")&amp;IF(AND(EDATE($D36,Milestones!$AA$167)&lt;=AsOfDate,EDATE($D36,Milestones!$AA$167)&gt;=SchemeStart,IF($X36=0,$AD36,IF(AND($Z36&lt;&gt;"",EDATE($D36,Milestones!$AA$167)&gt;=$Z36),$AC36,IF(AND($Y36&lt;&gt;"",EDATE($D36,Milestones!$AA$167)&gt;=$Y36),$AB36,$AA36)))=Milestones!$AB$167),UPPER(TEXT(EDATE($D36,Milestones!$AA$167),"dd mmm yy"))&amp;" "&amp;Milestones!$AB$167&amp;" "&amp;IF(AND(Milestones!$AB$167="FT",Milestones!$AA$167=FT_Y5,EDATE($D36,Milestones!$AA$167)&lt;PolicyEff),1,Milestones!$AC$167)&amp;";  ","")&amp;IF(AND(EDATE($D36,Milestones!$AA$168)&lt;=AsOfDate,EDATE($D36,Milestones!$AA$168)&gt;=SchemeStart,IF($X36=0,$AD36,IF(AND($Z36&lt;&gt;"",EDATE($D36,Milestones!$AA$168)&gt;=$Z36),$AC36,IF(AND($Y36&lt;&gt;"",EDATE($D36,Milestones!$AA$168)&gt;=$Y36),$AB36,$AA36)))=Milestones!$AB$168),UPPER(TEXT(EDATE($D36,Milestones!$AA$168),"dd mmm yy"))&amp;" "&amp;Milestones!$AB$168&amp;" "&amp;IF(AND(Milestones!$AB$168="FT",Milestones!$AA$168=FT_Y5,EDATE($D36,Milestones!$AA$168)&lt;PolicyEff),1,Milestones!$AC$168)&amp;";  ","")&amp;IF(AND(EDATE($D36,Milestones!$AA$169)&lt;=AsOfDate,EDATE($D36,Milestones!$AA$169)&gt;=SchemeStart,IF($X36=0,$AD36,IF(AND($Z36&lt;&gt;"",EDATE($D36,Milestones!$AA$169)&gt;=$Z36),$AC36,IF(AND($Y36&lt;&gt;"",EDATE($D36,Milestones!$AA$169)&gt;=$Y36),$AB36,$AA36)))=Milestones!$AB$169),UPPER(TEXT(EDATE($D36,Milestones!$AA$169),"dd mmm yy"))&amp;" "&amp;Milestones!$AB$169&amp;" "&amp;IF(AND(Milestones!$AB$169="FT",Milestones!$AA$169=FT_Y5,EDATE($D36,Milestones!$AA$169)&lt;PolicyEff),1,Milestones!$AC$169)&amp;";  ","")&amp;IF(AND(EDATE($D36,Milestones!$AA$170)&lt;=AsOfDate,EDATE($D36,Milestones!$AA$170)&gt;=SchemeStart,IF($X36=0,$AD36,IF(AND($Z36&lt;&gt;"",EDATE($D36,Milestones!$AA$170)&gt;=$Z36),$AC36,IF(AND($Y36&lt;&gt;"",EDATE($D36,Milestones!$AA$170)&gt;=$Y36),$AB36,$AA36)))=Milestones!$AB$170),UPPER(TEXT(EDATE($D36,Milestones!$AA$170),"dd mmm yy"))&amp;" "&amp;Milestones!$AB$170&amp;" "&amp;IF(AND(Milestones!$AB$170="FT",Milestones!$AA$170=FT_Y5,EDATE($D36,Milestones!$AA$170)&lt;PolicyEff),1,Milestones!$AC$170)&amp;";  ","")&amp;IF(AND(EDATE($D36,Milestones!$AA$171)&lt;=AsOfDate,EDATE($D36,Milestones!$AA$171)&gt;=SchemeStart,IF($X36=0,$AD36,IF(AND($Z36&lt;&gt;"",EDATE($D36,Milestones!$AA$171)&gt;=$Z36),$AC36,IF(AND($Y36&lt;&gt;"",EDATE($D36,Milestones!$AA$171)&gt;=$Y36),$AB36,$AA36)))=Milestones!$AB$171),UPPER(TEXT(EDATE($D36,Milestones!$AA$171),"dd mmm yy"))&amp;" "&amp;Milestones!$AB$171&amp;" "&amp;IF(AND(Milestones!$AB$171="FT",Milestones!$AA$171=FT_Y5,EDATE($D36,Milestones!$AA$171)&lt;PolicyEff),1,Milestones!$AC$171)&amp;";  ","")&amp;IF(AND(EDATE($D36,Milestones!$AA$172)&lt;=AsOfDate,EDATE($D36,Milestones!$AA$172)&gt;=SchemeStart,IF($X36=0,$AD36,IF(AND($Z36&lt;&gt;"",EDATE($D36,Milestones!$AA$172)&gt;=$Z36),$AC36,IF(AND($Y36&lt;&gt;"",EDATE($D36,Milestones!$AA$172)&gt;=$Y36),$AB36,$AA36)))=Milestones!$AB$172),UPPER(TEXT(EDATE($D36,Milestones!$AA$172),"dd mmm yy"))&amp;" "&amp;Milestones!$AB$172&amp;" "&amp;IF(AND(Milestones!$AB$172="FT",Milestones!$AA$172=FT_Y5,EDATE($D36,Milestones!$AA$172)&lt;PolicyEff),1,Milestones!$AC$172)&amp;";  ","")&amp;IF(AND(EDATE($D36,Milestones!$AA$173)&lt;=AsOfDate,EDATE($D36,Milestones!$AA$173)&gt;=SchemeStart,IF($X36=0,$AD36,IF(AND($Z36&lt;&gt;"",EDATE($D36,Milestones!$AA$173)&gt;=$Z36),$AC36,IF(AND($Y36&lt;&gt;"",EDATE($D36,Milestones!$AA$173)&gt;=$Y36),$AB36,$AA36)))=Milestones!$AB$173),UPPER(TEXT(EDATE($D36,Milestones!$AA$173),"dd mmm yy"))&amp;" "&amp;Milestones!$AB$173&amp;" "&amp;IF(AND(Milestones!$AB$173="FT",Milestones!$AA$173=FT_Y5,EDATE($D36,Milestones!$AA$173)&lt;PolicyEff),1,Milestones!$AC$173)&amp;";  ","")&amp;IF(AND(EDATE($D36,Milestones!$AA$174)&lt;=AsOfDate,EDATE($D36,Milestones!$AA$174)&gt;=SchemeStart,IF($X36=0,$AD36,IF(AND($Z36&lt;&gt;"",EDATE($D36,Milestones!$AA$174)&gt;=$Z36),$AC36,IF(AND($Y36&lt;&gt;"",EDATE($D36,Milestones!$AA$174)&gt;=$Y36),$AB36,$AA36)))=Milestones!$AB$174),UPPER(TEXT(EDATE($D36,Milestones!$AA$174),"dd mmm yy"))&amp;" "&amp;Milestones!$AB$174&amp;" "&amp;IF(AND(Milestones!$AB$174="FT",Milestones!$AA$174=FT_Y5,EDATE($D36,Milestones!$AA$174)&lt;PolicyEff),1,Milestones!$AC$174)&amp;";  ","")&amp;IF(AND(EDATE($D36,Milestones!$AA$175)&lt;=AsOfDate,EDATE($D36,Milestones!$AA$175)&gt;=SchemeStart,IF($X36=0,$AD36,IF(AND($Z36&lt;&gt;"",EDATE($D36,Milestones!$AA$175)&gt;=$Z36),$AC36,IF(AND($Y36&lt;&gt;"",EDATE($D36,Milestones!$AA$175)&gt;=$Y36),$AB36,$AA36)))=Milestones!$AB$175),UPPER(TEXT(EDATE($D36,Milestones!$AA$175),"dd mmm yy"))&amp;" "&amp;Milestones!$AB$175&amp;" "&amp;IF(AND(Milestones!$AB$175="FT",Milestones!$AA$175=FT_Y5,EDATE($D36,Milestones!$AA$175)&lt;PolicyEff),1,Milestones!$AC$175)&amp;";  ",""))</f>
        <v/>
      </c>
      <c r="V36" s="0" t="str">
        <f aca="false">IF(OR($A36="",$D36=""),"",IF(AND(EDATE($D36,Milestones!$AA$176)&lt;=AsOfDate,EDATE($D36,Milestones!$AA$176)&gt;=SchemeStart,IF($X36=0,$AD36,IF(AND($Z36&lt;&gt;"",EDATE($D36,Milestones!$AA$176)&gt;=$Z36),$AC36,IF(AND($Y36&lt;&gt;"",EDATE($D36,Milestones!$AA$176)&gt;=$Y36),$AB36,$AA36)))=Milestones!$AB$176),UPPER(TEXT(EDATE($D36,Milestones!$AA$176),"dd mmm yy"))&amp;" "&amp;Milestones!$AB$176&amp;" "&amp;IF(AND(Milestones!$AB$176="FT",Milestones!$AA$176=FT_Y5,EDATE($D36,Milestones!$AA$176)&lt;PolicyEff),1,Milestones!$AC$176)&amp;";  ","")&amp;IF(AND(EDATE($D36,Milestones!$AA$177)&lt;=AsOfDate,EDATE($D36,Milestones!$AA$177)&gt;=SchemeStart,IF($X36=0,$AD36,IF(AND($Z36&lt;&gt;"",EDATE($D36,Milestones!$AA$177)&gt;=$Z36),$AC36,IF(AND($Y36&lt;&gt;"",EDATE($D36,Milestones!$AA$177)&gt;=$Y36),$AB36,$AA36)))=Milestones!$AB$177),UPPER(TEXT(EDATE($D36,Milestones!$AA$177),"dd mmm yy"))&amp;" "&amp;Milestones!$AB$177&amp;" "&amp;IF(AND(Milestones!$AB$177="FT",Milestones!$AA$177=FT_Y5,EDATE($D36,Milestones!$AA$177)&lt;PolicyEff),1,Milestones!$AC$177)&amp;";  ","")&amp;IF(AND(EDATE($D36,Milestones!$AA$178)&lt;=AsOfDate,EDATE($D36,Milestones!$AA$178)&gt;=SchemeStart,IF($X36=0,$AD36,IF(AND($Z36&lt;&gt;"",EDATE($D36,Milestones!$AA$178)&gt;=$Z36),$AC36,IF(AND($Y36&lt;&gt;"",EDATE($D36,Milestones!$AA$178)&gt;=$Y36),$AB36,$AA36)))=Milestones!$AB$178),UPPER(TEXT(EDATE($D36,Milestones!$AA$178),"dd mmm yy"))&amp;" "&amp;Milestones!$AB$178&amp;" "&amp;IF(AND(Milestones!$AB$178="FT",Milestones!$AA$178=FT_Y5,EDATE($D36,Milestones!$AA$178)&lt;PolicyEff),1,Milestones!$AC$178)&amp;";  ","")&amp;IF(AND(EDATE($D36,Milestones!$AA$179)&lt;=AsOfDate,EDATE($D36,Milestones!$AA$179)&gt;=SchemeStart,IF($X36=0,$AD36,IF(AND($Z36&lt;&gt;"",EDATE($D36,Milestones!$AA$179)&gt;=$Z36),$AC36,IF(AND($Y36&lt;&gt;"",EDATE($D36,Milestones!$AA$179)&gt;=$Y36),$AB36,$AA36)))=Milestones!$AB$179),UPPER(TEXT(EDATE($D36,Milestones!$AA$179),"dd mmm yy"))&amp;" "&amp;Milestones!$AB$179&amp;" "&amp;IF(AND(Milestones!$AB$179="FT",Milestones!$AA$179=FT_Y5,EDATE($D36,Milestones!$AA$179)&lt;PolicyEff),1,Milestones!$AC$179)&amp;";  ","")&amp;IF(AND(EDATE($D36,Milestones!$AA$180)&lt;=AsOfDate,EDATE($D36,Milestones!$AA$180)&gt;=SchemeStart,IF($X36=0,$AD36,IF(AND($Z36&lt;&gt;"",EDATE($D36,Milestones!$AA$180)&gt;=$Z36),$AC36,IF(AND($Y36&lt;&gt;"",EDATE($D36,Milestones!$AA$180)&gt;=$Y36),$AB36,$AA36)))=Milestones!$AB$180),UPPER(TEXT(EDATE($D36,Milestones!$AA$180),"dd mmm yy"))&amp;" "&amp;Milestones!$AB$180&amp;" "&amp;IF(AND(Milestones!$AB$180="FT",Milestones!$AA$180=FT_Y5,EDATE($D36,Milestones!$AA$180)&lt;PolicyEff),1,Milestones!$AC$180)&amp;";  ","")&amp;IF(AND(EDATE($D36,Milestones!$AA$181)&lt;=AsOfDate,EDATE($D36,Milestones!$AA$181)&gt;=SchemeStart,IF($X36=0,$AD36,IF(AND($Z36&lt;&gt;"",EDATE($D36,Milestones!$AA$181)&gt;=$Z36),$AC36,IF(AND($Y36&lt;&gt;"",EDATE($D36,Milestones!$AA$181)&gt;=$Y36),$AB36,$AA36)))=Milestones!$AB$181),UPPER(TEXT(EDATE($D36,Milestones!$AA$181),"dd mmm yy"))&amp;" "&amp;Milestones!$AB$181&amp;" "&amp;IF(AND(Milestones!$AB$181="FT",Milestones!$AA$181=FT_Y5,EDATE($D36,Milestones!$AA$181)&lt;PolicyEff),1,Milestones!$AC$181)&amp;";  ","")&amp;IF(AND(EDATE($D36,Milestones!$AA$182)&lt;=AsOfDate,EDATE($D36,Milestones!$AA$182)&gt;=SchemeStart,IF($X36=0,$AD36,IF(AND($Z36&lt;&gt;"",EDATE($D36,Milestones!$AA$182)&gt;=$Z36),$AC36,IF(AND($Y36&lt;&gt;"",EDATE($D36,Milestones!$AA$182)&gt;=$Y36),$AB36,$AA36)))=Milestones!$AB$182),UPPER(TEXT(EDATE($D36,Milestones!$AA$182),"dd mmm yy"))&amp;" "&amp;Milestones!$AB$182&amp;" "&amp;IF(AND(Milestones!$AB$182="FT",Milestones!$AA$182=FT_Y5,EDATE($D36,Milestones!$AA$182)&lt;PolicyEff),1,Milestones!$AC$182)&amp;";  ","")&amp;IF(AND(EDATE($D36,Milestones!$AA$183)&lt;=AsOfDate,EDATE($D36,Milestones!$AA$183)&gt;=SchemeStart,IF($X36=0,$AD36,IF(AND($Z36&lt;&gt;"",EDATE($D36,Milestones!$AA$183)&gt;=$Z36),$AC36,IF(AND($Y36&lt;&gt;"",EDATE($D36,Milestones!$AA$183)&gt;=$Y36),$AB36,$AA36)))=Milestones!$AB$183),UPPER(TEXT(EDATE($D36,Milestones!$AA$183),"dd mmm yy"))&amp;" "&amp;Milestones!$AB$183&amp;" "&amp;IF(AND(Milestones!$AB$183="FT",Milestones!$AA$183=FT_Y5,EDATE($D36,Milestones!$AA$183)&lt;PolicyEff),1,Milestones!$AC$183)&amp;";  ","")&amp;IF(AND(EDATE($D36,Milestones!$AA$184)&lt;=AsOfDate,EDATE($D36,Milestones!$AA$184)&gt;=SchemeStart,IF($X36=0,$AD36,IF(AND($Z36&lt;&gt;"",EDATE($D36,Milestones!$AA$184)&gt;=$Z36),$AC36,IF(AND($Y36&lt;&gt;"",EDATE($D36,Milestones!$AA$184)&gt;=$Y36),$AB36,$AA36)))=Milestones!$AB$184),UPPER(TEXT(EDATE($D36,Milestones!$AA$184),"dd mmm yy"))&amp;" "&amp;Milestones!$AB$184&amp;" "&amp;IF(AND(Milestones!$AB$184="FT",Milestones!$AA$184=FT_Y5,EDATE($D36,Milestones!$AA$184)&lt;PolicyEff),1,Milestones!$AC$184)&amp;";  ","")&amp;IF(AND(EDATE($D36,Milestones!$AA$185)&lt;=AsOfDate,EDATE($D36,Milestones!$AA$185)&gt;=SchemeStart,IF($X36=0,$AD36,IF(AND($Z36&lt;&gt;"",EDATE($D36,Milestones!$AA$185)&gt;=$Z36),$AC36,IF(AND($Y36&lt;&gt;"",EDATE($D36,Milestones!$AA$185)&gt;=$Y36),$AB36,$AA36)))=Milestones!$AB$185),UPPER(TEXT(EDATE($D36,Milestones!$AA$185),"dd mmm yy"))&amp;" "&amp;Milestones!$AB$185&amp;" "&amp;IF(AND(Milestones!$AB$185="FT",Milestones!$AA$185=FT_Y5,EDATE($D36,Milestones!$AA$185)&lt;PolicyEff),1,Milestones!$AC$185)&amp;";  ","")&amp;IF(AND(EDATE($D36,Milestones!$AA$186)&lt;=AsOfDate,EDATE($D36,Milestones!$AA$186)&gt;=SchemeStart,IF($X36=0,$AD36,IF(AND($Z36&lt;&gt;"",EDATE($D36,Milestones!$AA$186)&gt;=$Z36),$AC36,IF(AND($Y36&lt;&gt;"",EDATE($D36,Milestones!$AA$186)&gt;=$Y36),$AB36,$AA36)))=Milestones!$AB$186),UPPER(TEXT(EDATE($D36,Milestones!$AA$186),"dd mmm yy"))&amp;" "&amp;Milestones!$AB$186&amp;" "&amp;IF(AND(Milestones!$AB$186="FT",Milestones!$AA$186=FT_Y5,EDATE($D36,Milestones!$AA$186)&lt;PolicyEff),1,Milestones!$AC$186)&amp;";  ","")&amp;IF(AND(EDATE($D36,Milestones!$AA$187)&lt;=AsOfDate,EDATE($D36,Milestones!$AA$187)&gt;=SchemeStart,IF($X36=0,$AD36,IF(AND($Z36&lt;&gt;"",EDATE($D36,Milestones!$AA$187)&gt;=$Z36),$AC36,IF(AND($Y36&lt;&gt;"",EDATE($D36,Milestones!$AA$187)&gt;=$Y36),$AB36,$AA36)))=Milestones!$AB$187),UPPER(TEXT(EDATE($D36,Milestones!$AA$187),"dd mmm yy"))&amp;" "&amp;Milestones!$AB$187&amp;" "&amp;IF(AND(Milestones!$AB$187="FT",Milestones!$AA$187=FT_Y5,EDATE($D36,Milestones!$AA$187)&lt;PolicyEff),1,Milestones!$AC$187)&amp;";  ",""))</f>
        <v/>
      </c>
      <c r="W36" s="0" t="str">
        <f aca="false">IF(OR($A36="",$D36=""),"",IF(AND(EDATE($D36,Milestones!$AA$188)&lt;=AsOfDate,EDATE($D36,Milestones!$AA$188)&gt;=SchemeStart,IF($X36=0,$AD36,IF(AND($Z36&lt;&gt;"",EDATE($D36,Milestones!$AA$188)&gt;=$Z36),$AC36,IF(AND($Y36&lt;&gt;"",EDATE($D36,Milestones!$AA$188)&gt;=$Y36),$AB36,$AA36)))=Milestones!$AB$188),UPPER(TEXT(EDATE($D36,Milestones!$AA$188),"dd mmm yy"))&amp;" "&amp;Milestones!$AB$188&amp;" "&amp;IF(AND(Milestones!$AB$188="FT",Milestones!$AA$188=FT_Y5,EDATE($D36,Milestones!$AA$188)&lt;PolicyEff),1,Milestones!$AC$188)&amp;";  ","")&amp;IF(AND(EDATE($D36,Milestones!$AA$189)&lt;=AsOfDate,EDATE($D36,Milestones!$AA$189)&gt;=SchemeStart,IF($X36=0,$AD36,IF(AND($Z36&lt;&gt;"",EDATE($D36,Milestones!$AA$189)&gt;=$Z36),$AC36,IF(AND($Y36&lt;&gt;"",EDATE($D36,Milestones!$AA$189)&gt;=$Y36),$AB36,$AA36)))=Milestones!$AB$189),UPPER(TEXT(EDATE($D36,Milestones!$AA$189),"dd mmm yy"))&amp;" "&amp;Milestones!$AB$189&amp;" "&amp;IF(AND(Milestones!$AB$189="FT",Milestones!$AA$189=FT_Y5,EDATE($D36,Milestones!$AA$189)&lt;PolicyEff),1,Milestones!$AC$189)&amp;";  ","")&amp;IF(AND(EDATE($D36,Milestones!$AA$190)&lt;=AsOfDate,EDATE($D36,Milestones!$AA$190)&gt;=SchemeStart,IF($X36=0,$AD36,IF(AND($Z36&lt;&gt;"",EDATE($D36,Milestones!$AA$190)&gt;=$Z36),$AC36,IF(AND($Y36&lt;&gt;"",EDATE($D36,Milestones!$AA$190)&gt;=$Y36),$AB36,$AA36)))=Milestones!$AB$190),UPPER(TEXT(EDATE($D36,Milestones!$AA$190),"dd mmm yy"))&amp;" "&amp;Milestones!$AB$190&amp;" "&amp;IF(AND(Milestones!$AB$190="FT",Milestones!$AA$190=FT_Y5,EDATE($D36,Milestones!$AA$190)&lt;PolicyEff),1,Milestones!$AC$190)&amp;";  ","")&amp;IF(AND(EDATE($D36,Milestones!$AA$191)&lt;=AsOfDate,EDATE($D36,Milestones!$AA$191)&gt;=SchemeStart,IF($X36=0,$AD36,IF(AND($Z36&lt;&gt;"",EDATE($D36,Milestones!$AA$191)&gt;=$Z36),$AC36,IF(AND($Y36&lt;&gt;"",EDATE($D36,Milestones!$AA$191)&gt;=$Y36),$AB36,$AA36)))=Milestones!$AB$191),UPPER(TEXT(EDATE($D36,Milestones!$AA$191),"dd mmm yy"))&amp;" "&amp;Milestones!$AB$191&amp;" "&amp;IF(AND(Milestones!$AB$191="FT",Milestones!$AA$191=FT_Y5,EDATE($D36,Milestones!$AA$191)&lt;PolicyEff),1,Milestones!$AC$191)&amp;";  ","")&amp;IF(AND(EDATE($D36,Milestones!$AA$192)&lt;=AsOfDate,EDATE($D36,Milestones!$AA$192)&gt;=SchemeStart,IF($X36=0,$AD36,IF(AND($Z36&lt;&gt;"",EDATE($D36,Milestones!$AA$192)&gt;=$Z36),$AC36,IF(AND($Y36&lt;&gt;"",EDATE($D36,Milestones!$AA$192)&gt;=$Y36),$AB36,$AA36)))=Milestones!$AB$192),UPPER(TEXT(EDATE($D36,Milestones!$AA$192),"dd mmm yy"))&amp;" "&amp;Milestones!$AB$192&amp;" "&amp;IF(AND(Milestones!$AB$192="FT",Milestones!$AA$192=FT_Y5,EDATE($D36,Milestones!$AA$192)&lt;PolicyEff),1,Milestones!$AC$192)&amp;";  ","")&amp;IF(AND(EDATE($D36,Milestones!$AA$193)&lt;=AsOfDate,EDATE($D36,Milestones!$AA$193)&gt;=SchemeStart,IF($X36=0,$AD36,IF(AND($Z36&lt;&gt;"",EDATE($D36,Milestones!$AA$193)&gt;=$Z36),$AC36,IF(AND($Y36&lt;&gt;"",EDATE($D36,Milestones!$AA$193)&gt;=$Y36),$AB36,$AA36)))=Milestones!$AB$193),UPPER(TEXT(EDATE($D36,Milestones!$AA$193),"dd mmm yy"))&amp;" "&amp;Milestones!$AB$193&amp;" "&amp;IF(AND(Milestones!$AB$193="FT",Milestones!$AA$193=FT_Y5,EDATE($D36,Milestones!$AA$193)&lt;PolicyEff),1,Milestones!$AC$193)&amp;";  ","")&amp;IF(AND(EDATE($D36,Milestones!$AA$194)&lt;=AsOfDate,EDATE($D36,Milestones!$AA$194)&gt;=SchemeStart,IF($X36=0,$AD36,IF(AND($Z36&lt;&gt;"",EDATE($D36,Milestones!$AA$194)&gt;=$Z36),$AC36,IF(AND($Y36&lt;&gt;"",EDATE($D36,Milestones!$AA$194)&gt;=$Y36),$AB36,$AA36)))=Milestones!$AB$194),UPPER(TEXT(EDATE($D36,Milestones!$AA$194),"dd mmm yy"))&amp;" "&amp;Milestones!$AB$194&amp;" "&amp;IF(AND(Milestones!$AB$194="FT",Milestones!$AA$194=FT_Y5,EDATE($D36,Milestones!$AA$194)&lt;PolicyEff),1,Milestones!$AC$194)&amp;";  ","")&amp;IF(AND(EDATE($D36,Milestones!$AA$195)&lt;=AsOfDate,EDATE($D36,Milestones!$AA$195)&gt;=SchemeStart,IF($X36=0,$AD36,IF(AND($Z36&lt;&gt;"",EDATE($D36,Milestones!$AA$195)&gt;=$Z36),$AC36,IF(AND($Y36&lt;&gt;"",EDATE($D36,Milestones!$AA$195)&gt;=$Y36),$AB36,$AA36)))=Milestones!$AB$195),UPPER(TEXT(EDATE($D36,Milestones!$AA$195),"dd mmm yy"))&amp;" "&amp;Milestones!$AB$195&amp;" "&amp;IF(AND(Milestones!$AB$195="FT",Milestones!$AA$195=FT_Y5,EDATE($D36,Milestones!$AA$195)&lt;PolicyEff),1,Milestones!$AC$195)&amp;";  ","")&amp;IF(AND(EDATE($D36,Milestones!$AA$196)&lt;=AsOfDate,EDATE($D36,Milestones!$AA$196)&gt;=SchemeStart,IF($X36=0,$AD36,IF(AND($Z36&lt;&gt;"",EDATE($D36,Milestones!$AA$196)&gt;=$Z36),$AC36,IF(AND($Y36&lt;&gt;"",EDATE($D36,Milestones!$AA$196)&gt;=$Y36),$AB36,$AA36)))=Milestones!$AB$196),UPPER(TEXT(EDATE($D36,Milestones!$AA$196),"dd mmm yy"))&amp;" "&amp;Milestones!$AB$196&amp;" "&amp;IF(AND(Milestones!$AB$196="FT",Milestones!$AA$196=FT_Y5,EDATE($D36,Milestones!$AA$196)&lt;PolicyEff),1,Milestones!$AC$196)&amp;";  ","")&amp;IF(AND(EDATE($D36,Milestones!$AA$197)&lt;=AsOfDate,EDATE($D36,Milestones!$AA$197)&gt;=SchemeStart,IF($X36=0,$AD36,IF(AND($Z36&lt;&gt;"",EDATE($D36,Milestones!$AA$197)&gt;=$Z36),$AC36,IF(AND($Y36&lt;&gt;"",EDATE($D36,Milestones!$AA$197)&gt;=$Y36),$AB36,$AA36)))=Milestones!$AB$197),UPPER(TEXT(EDATE($D36,Milestones!$AA$197),"dd mmm yy"))&amp;" "&amp;Milestones!$AB$197&amp;" "&amp;IF(AND(Milestones!$AB$197="FT",Milestones!$AA$197=FT_Y5,EDATE($D36,Milestones!$AA$197)&lt;PolicyEff),1,Milestones!$AC$197)&amp;";  ","")&amp;IF(AND(EDATE($D36,Milestones!$AA$198)&lt;=AsOfDate,EDATE($D36,Milestones!$AA$198)&gt;=SchemeStart,IF($X36=0,$AD36,IF(AND($Z36&lt;&gt;"",EDATE($D36,Milestones!$AA$198)&gt;=$Z36),$AC36,IF(AND($Y36&lt;&gt;"",EDATE($D36,Milestones!$AA$198)&gt;=$Y36),$AB36,$AA36)))=Milestones!$AB$198),UPPER(TEXT(EDATE($D36,Milestones!$AA$198),"dd mmm yy"))&amp;" "&amp;Milestones!$AB$198&amp;" "&amp;IF(AND(Milestones!$AB$198="FT",Milestones!$AA$198=FT_Y5,EDATE($D36,Milestones!$AA$198)&lt;PolicyEff),1,Milestones!$AC$198)&amp;";  ","")&amp;IF(AND(EDATE($D36,Milestones!$AA$199)&lt;=AsOfDate,EDATE($D36,Milestones!$AA$199)&gt;=SchemeStart,IF($X36=0,$AD36,IF(AND($Z36&lt;&gt;"",EDATE($D36,Milestones!$AA$199)&gt;=$Z36),$AC36,IF(AND($Y36&lt;&gt;"",EDATE($D36,Milestones!$AA$199)&gt;=$Y36),$AB36,$AA36)))=Milestones!$AB$199),UPPER(TEXT(EDATE($D36,Milestones!$AA$199),"dd mmm yy"))&amp;" "&amp;Milestones!$AB$199&amp;" "&amp;IF(AND(Milestones!$AB$199="FT",Milestones!$AA$199=FT_Y5,EDATE($D36,Milestones!$AA$199)&lt;PolicyEff),1,Milestones!$AC$199)&amp;";  ",""))</f>
        <v/>
      </c>
      <c r="X36" s="0" t="str">
        <f aca="false">IF(Staff!$A36="","",Staff!$AM36)</f>
        <v/>
      </c>
      <c r="Y36" s="0" t="str">
        <f aca="false">IF(Staff!$A36="","",Staff!$AO36)</f>
        <v/>
      </c>
      <c r="Z36" s="0" t="str">
        <f aca="false">IF(Staff!$A36="","",Staff!$AP36)</f>
        <v/>
      </c>
      <c r="AA36" s="0" t="str">
        <f aca="false">IF(Staff!$A36="","",Staff!$AT36)</f>
        <v/>
      </c>
      <c r="AB36" s="0" t="str">
        <f aca="false">IF(Staff!$A36="","",Staff!$AU36)</f>
        <v/>
      </c>
      <c r="AC36" s="0" t="str">
        <f aca="false">IF(Staff!$A36="","",Staff!$AV36)</f>
        <v/>
      </c>
      <c r="AD36" s="0" t="str">
        <f aca="false">IF(Staff!$A36="","",Staff!$AW36)</f>
        <v/>
      </c>
    </row>
    <row r="37" customFormat="false" ht="15" hidden="false" customHeight="false" outlineLevel="0" collapsed="false">
      <c r="A37" s="16" t="str">
        <f aca="false">IF(Staff!$A37="","",Staff!$A37)</f>
        <v/>
      </c>
      <c r="B37" s="16" t="str">
        <f aca="false">IF(Staff!$A37="","",Staff!$B37)</f>
        <v/>
      </c>
      <c r="C37" s="16" t="str">
        <f aca="false">IF(Staff!$A37="","",Staff!$C37)</f>
        <v/>
      </c>
      <c r="D37" s="14" t="str">
        <f aca="false">IF(Staff!$A37="","",Staff!$AL37)</f>
        <v/>
      </c>
      <c r="E37" s="16" t="str">
        <f aca="false">IF(Staff!$A37="","",Staff!$O37)</f>
        <v/>
      </c>
      <c r="F37" s="16" t="str">
        <f aca="false">IF(E37="","",E37*HoursPerDay)</f>
        <v/>
      </c>
      <c r="G37" s="16" t="str">
        <f aca="false">IF(Staff!$A37="","",Staff!$AE37)</f>
        <v/>
      </c>
      <c r="H37" s="28" t="str">
        <f aca="false">IF($A37="","",I37&amp;J37&amp;K37&amp;L37&amp;M37&amp;N37&amp;O37&amp;P37&amp;Q37&amp;R37&amp;S37&amp;T37&amp;U37&amp;V37&amp;W37)</f>
        <v/>
      </c>
      <c r="I37" s="0" t="str">
        <f aca="false">IF(OR($A37="",$D37=""),"",IF(AND(EDATE($D37,Milestones!$AA$20)&lt;=AsOfDate,EDATE($D37,Milestones!$AA$20)&gt;=SchemeStart,IF($X37=0,$AD37,IF(AND($Z37&lt;&gt;"",EDATE($D37,Milestones!$AA$20)&gt;=$Z37),$AC37,IF(AND($Y37&lt;&gt;"",EDATE($D37,Milestones!$AA$20)&gt;=$Y37),$AB37,$AA37)))=Milestones!$AB$20),UPPER(TEXT(EDATE($D37,Milestones!$AA$20),"dd mmm yy"))&amp;" "&amp;Milestones!$AB$20&amp;" "&amp;IF(AND(Milestones!$AB$20="FT",Milestones!$AA$20=FT_Y5,EDATE($D37,Milestones!$AA$20)&lt;PolicyEff),1,Milestones!$AC$20)&amp;";  ","")&amp;IF(AND(EDATE($D37,Milestones!$AA$21)&lt;=AsOfDate,EDATE($D37,Milestones!$AA$21)&gt;=SchemeStart,IF($X37=0,$AD37,IF(AND($Z37&lt;&gt;"",EDATE($D37,Milestones!$AA$21)&gt;=$Z37),$AC37,IF(AND($Y37&lt;&gt;"",EDATE($D37,Milestones!$AA$21)&gt;=$Y37),$AB37,$AA37)))=Milestones!$AB$21),UPPER(TEXT(EDATE($D37,Milestones!$AA$21),"dd mmm yy"))&amp;" "&amp;Milestones!$AB$21&amp;" "&amp;IF(AND(Milestones!$AB$21="FT",Milestones!$AA$21=FT_Y5,EDATE($D37,Milestones!$AA$21)&lt;PolicyEff),1,Milestones!$AC$21)&amp;";  ","")&amp;IF(AND(EDATE($D37,Milestones!$AA$22)&lt;=AsOfDate,EDATE($D37,Milestones!$AA$22)&gt;=SchemeStart,IF($X37=0,$AD37,IF(AND($Z37&lt;&gt;"",EDATE($D37,Milestones!$AA$22)&gt;=$Z37),$AC37,IF(AND($Y37&lt;&gt;"",EDATE($D37,Milestones!$AA$22)&gt;=$Y37),$AB37,$AA37)))=Milestones!$AB$22),UPPER(TEXT(EDATE($D37,Milestones!$AA$22),"dd mmm yy"))&amp;" "&amp;Milestones!$AB$22&amp;" "&amp;IF(AND(Milestones!$AB$22="FT",Milestones!$AA$22=FT_Y5,EDATE($D37,Milestones!$AA$22)&lt;PolicyEff),1,Milestones!$AC$22)&amp;";  ","")&amp;IF(AND(EDATE($D37,Milestones!$AA$23)&lt;=AsOfDate,EDATE($D37,Milestones!$AA$23)&gt;=SchemeStart,IF($X37=0,$AD37,IF(AND($Z37&lt;&gt;"",EDATE($D37,Milestones!$AA$23)&gt;=$Z37),$AC37,IF(AND($Y37&lt;&gt;"",EDATE($D37,Milestones!$AA$23)&gt;=$Y37),$AB37,$AA37)))=Milestones!$AB$23),UPPER(TEXT(EDATE($D37,Milestones!$AA$23),"dd mmm yy"))&amp;" "&amp;Milestones!$AB$23&amp;" "&amp;IF(AND(Milestones!$AB$23="FT",Milestones!$AA$23=FT_Y5,EDATE($D37,Milestones!$AA$23)&lt;PolicyEff),1,Milestones!$AC$23)&amp;";  ","")&amp;IF(AND(EDATE($D37,Milestones!$AA$24)&lt;=AsOfDate,EDATE($D37,Milestones!$AA$24)&gt;=SchemeStart,IF($X37=0,$AD37,IF(AND($Z37&lt;&gt;"",EDATE($D37,Milestones!$AA$24)&gt;=$Z37),$AC37,IF(AND($Y37&lt;&gt;"",EDATE($D37,Milestones!$AA$24)&gt;=$Y37),$AB37,$AA37)))=Milestones!$AB$24),UPPER(TEXT(EDATE($D37,Milestones!$AA$24),"dd mmm yy"))&amp;" "&amp;Milestones!$AB$24&amp;" "&amp;IF(AND(Milestones!$AB$24="FT",Milestones!$AA$24=FT_Y5,EDATE($D37,Milestones!$AA$24)&lt;PolicyEff),1,Milestones!$AC$24)&amp;";  ","")&amp;IF(AND(EDATE($D37,Milestones!$AA$25)&lt;=AsOfDate,EDATE($D37,Milestones!$AA$25)&gt;=SchemeStart,IF($X37=0,$AD37,IF(AND($Z37&lt;&gt;"",EDATE($D37,Milestones!$AA$25)&gt;=$Z37),$AC37,IF(AND($Y37&lt;&gt;"",EDATE($D37,Milestones!$AA$25)&gt;=$Y37),$AB37,$AA37)))=Milestones!$AB$25),UPPER(TEXT(EDATE($D37,Milestones!$AA$25),"dd mmm yy"))&amp;" "&amp;Milestones!$AB$25&amp;" "&amp;IF(AND(Milestones!$AB$25="FT",Milestones!$AA$25=FT_Y5,EDATE($D37,Milestones!$AA$25)&lt;PolicyEff),1,Milestones!$AC$25)&amp;";  ","")&amp;IF(AND(EDATE($D37,Milestones!$AA$26)&lt;=AsOfDate,EDATE($D37,Milestones!$AA$26)&gt;=SchemeStart,IF($X37=0,$AD37,IF(AND($Z37&lt;&gt;"",EDATE($D37,Milestones!$AA$26)&gt;=$Z37),$AC37,IF(AND($Y37&lt;&gt;"",EDATE($D37,Milestones!$AA$26)&gt;=$Y37),$AB37,$AA37)))=Milestones!$AB$26),UPPER(TEXT(EDATE($D37,Milestones!$AA$26),"dd mmm yy"))&amp;" "&amp;Milestones!$AB$26&amp;" "&amp;IF(AND(Milestones!$AB$26="FT",Milestones!$AA$26=FT_Y5,EDATE($D37,Milestones!$AA$26)&lt;PolicyEff),1,Milestones!$AC$26)&amp;";  ","")&amp;IF(AND(EDATE($D37,Milestones!$AA$27)&lt;=AsOfDate,EDATE($D37,Milestones!$AA$27)&gt;=SchemeStart,IF($X37=0,$AD37,IF(AND($Z37&lt;&gt;"",EDATE($D37,Milestones!$AA$27)&gt;=$Z37),$AC37,IF(AND($Y37&lt;&gt;"",EDATE($D37,Milestones!$AA$27)&gt;=$Y37),$AB37,$AA37)))=Milestones!$AB$27),UPPER(TEXT(EDATE($D37,Milestones!$AA$27),"dd mmm yy"))&amp;" "&amp;Milestones!$AB$27&amp;" "&amp;IF(AND(Milestones!$AB$27="FT",Milestones!$AA$27=FT_Y5,EDATE($D37,Milestones!$AA$27)&lt;PolicyEff),1,Milestones!$AC$27)&amp;";  ","")&amp;IF(AND(EDATE($D37,Milestones!$AA$28)&lt;=AsOfDate,EDATE($D37,Milestones!$AA$28)&gt;=SchemeStart,IF($X37=0,$AD37,IF(AND($Z37&lt;&gt;"",EDATE($D37,Milestones!$AA$28)&gt;=$Z37),$AC37,IF(AND($Y37&lt;&gt;"",EDATE($D37,Milestones!$AA$28)&gt;=$Y37),$AB37,$AA37)))=Milestones!$AB$28),UPPER(TEXT(EDATE($D37,Milestones!$AA$28),"dd mmm yy"))&amp;" "&amp;Milestones!$AB$28&amp;" "&amp;IF(AND(Milestones!$AB$28="FT",Milestones!$AA$28=FT_Y5,EDATE($D37,Milestones!$AA$28)&lt;PolicyEff),1,Milestones!$AC$28)&amp;";  ","")&amp;IF(AND(EDATE($D37,Milestones!$AA$29)&lt;=AsOfDate,EDATE($D37,Milestones!$AA$29)&gt;=SchemeStart,IF($X37=0,$AD37,IF(AND($Z37&lt;&gt;"",EDATE($D37,Milestones!$AA$29)&gt;=$Z37),$AC37,IF(AND($Y37&lt;&gt;"",EDATE($D37,Milestones!$AA$29)&gt;=$Y37),$AB37,$AA37)))=Milestones!$AB$29),UPPER(TEXT(EDATE($D37,Milestones!$AA$29),"dd mmm yy"))&amp;" "&amp;Milestones!$AB$29&amp;" "&amp;IF(AND(Milestones!$AB$29="FT",Milestones!$AA$29=FT_Y5,EDATE($D37,Milestones!$AA$29)&lt;PolicyEff),1,Milestones!$AC$29)&amp;";  ","")&amp;IF(AND(EDATE($D37,Milestones!$AA$30)&lt;=AsOfDate,EDATE($D37,Milestones!$AA$30)&gt;=SchemeStart,IF($X37=0,$AD37,IF(AND($Z37&lt;&gt;"",EDATE($D37,Milestones!$AA$30)&gt;=$Z37),$AC37,IF(AND($Y37&lt;&gt;"",EDATE($D37,Milestones!$AA$30)&gt;=$Y37),$AB37,$AA37)))=Milestones!$AB$30),UPPER(TEXT(EDATE($D37,Milestones!$AA$30),"dd mmm yy"))&amp;" "&amp;Milestones!$AB$30&amp;" "&amp;IF(AND(Milestones!$AB$30="FT",Milestones!$AA$30=FT_Y5,EDATE($D37,Milestones!$AA$30)&lt;PolicyEff),1,Milestones!$AC$30)&amp;";  ","")&amp;IF(AND(EDATE($D37,Milestones!$AA$31)&lt;=AsOfDate,EDATE($D37,Milestones!$AA$31)&gt;=SchemeStart,IF($X37=0,$AD37,IF(AND($Z37&lt;&gt;"",EDATE($D37,Milestones!$AA$31)&gt;=$Z37),$AC37,IF(AND($Y37&lt;&gt;"",EDATE($D37,Milestones!$AA$31)&gt;=$Y37),$AB37,$AA37)))=Milestones!$AB$31),UPPER(TEXT(EDATE($D37,Milestones!$AA$31),"dd mmm yy"))&amp;" "&amp;Milestones!$AB$31&amp;" "&amp;IF(AND(Milestones!$AB$31="FT",Milestones!$AA$31=FT_Y5,EDATE($D37,Milestones!$AA$31)&lt;PolicyEff),1,Milestones!$AC$31)&amp;";  ",""))</f>
        <v/>
      </c>
      <c r="J37" s="0" t="str">
        <f aca="false">IF(OR($A37="",$D37=""),"",IF(AND(EDATE($D37,Milestones!$AA$32)&lt;=AsOfDate,EDATE($D37,Milestones!$AA$32)&gt;=SchemeStart,IF($X37=0,$AD37,IF(AND($Z37&lt;&gt;"",EDATE($D37,Milestones!$AA$32)&gt;=$Z37),$AC37,IF(AND($Y37&lt;&gt;"",EDATE($D37,Milestones!$AA$32)&gt;=$Y37),$AB37,$AA37)))=Milestones!$AB$32),UPPER(TEXT(EDATE($D37,Milestones!$AA$32),"dd mmm yy"))&amp;" "&amp;Milestones!$AB$32&amp;" "&amp;IF(AND(Milestones!$AB$32="FT",Milestones!$AA$32=FT_Y5,EDATE($D37,Milestones!$AA$32)&lt;PolicyEff),1,Milestones!$AC$32)&amp;";  ","")&amp;IF(AND(EDATE($D37,Milestones!$AA$33)&lt;=AsOfDate,EDATE($D37,Milestones!$AA$33)&gt;=SchemeStart,IF($X37=0,$AD37,IF(AND($Z37&lt;&gt;"",EDATE($D37,Milestones!$AA$33)&gt;=$Z37),$AC37,IF(AND($Y37&lt;&gt;"",EDATE($D37,Milestones!$AA$33)&gt;=$Y37),$AB37,$AA37)))=Milestones!$AB$33),UPPER(TEXT(EDATE($D37,Milestones!$AA$33),"dd mmm yy"))&amp;" "&amp;Milestones!$AB$33&amp;" "&amp;IF(AND(Milestones!$AB$33="FT",Milestones!$AA$33=FT_Y5,EDATE($D37,Milestones!$AA$33)&lt;PolicyEff),1,Milestones!$AC$33)&amp;";  ","")&amp;IF(AND(EDATE($D37,Milestones!$AA$34)&lt;=AsOfDate,EDATE($D37,Milestones!$AA$34)&gt;=SchemeStart,IF($X37=0,$AD37,IF(AND($Z37&lt;&gt;"",EDATE($D37,Milestones!$AA$34)&gt;=$Z37),$AC37,IF(AND($Y37&lt;&gt;"",EDATE($D37,Milestones!$AA$34)&gt;=$Y37),$AB37,$AA37)))=Milestones!$AB$34),UPPER(TEXT(EDATE($D37,Milestones!$AA$34),"dd mmm yy"))&amp;" "&amp;Milestones!$AB$34&amp;" "&amp;IF(AND(Milestones!$AB$34="FT",Milestones!$AA$34=FT_Y5,EDATE($D37,Milestones!$AA$34)&lt;PolicyEff),1,Milestones!$AC$34)&amp;";  ","")&amp;IF(AND(EDATE($D37,Milestones!$AA$35)&lt;=AsOfDate,EDATE($D37,Milestones!$AA$35)&gt;=SchemeStart,IF($X37=0,$AD37,IF(AND($Z37&lt;&gt;"",EDATE($D37,Milestones!$AA$35)&gt;=$Z37),$AC37,IF(AND($Y37&lt;&gt;"",EDATE($D37,Milestones!$AA$35)&gt;=$Y37),$AB37,$AA37)))=Milestones!$AB$35),UPPER(TEXT(EDATE($D37,Milestones!$AA$35),"dd mmm yy"))&amp;" "&amp;Milestones!$AB$35&amp;" "&amp;IF(AND(Milestones!$AB$35="FT",Milestones!$AA$35=FT_Y5,EDATE($D37,Milestones!$AA$35)&lt;PolicyEff),1,Milestones!$AC$35)&amp;";  ","")&amp;IF(AND(EDATE($D37,Milestones!$AA$36)&lt;=AsOfDate,EDATE($D37,Milestones!$AA$36)&gt;=SchemeStart,IF($X37=0,$AD37,IF(AND($Z37&lt;&gt;"",EDATE($D37,Milestones!$AA$36)&gt;=$Z37),$AC37,IF(AND($Y37&lt;&gt;"",EDATE($D37,Milestones!$AA$36)&gt;=$Y37),$AB37,$AA37)))=Milestones!$AB$36),UPPER(TEXT(EDATE($D37,Milestones!$AA$36),"dd mmm yy"))&amp;" "&amp;Milestones!$AB$36&amp;" "&amp;IF(AND(Milestones!$AB$36="FT",Milestones!$AA$36=FT_Y5,EDATE($D37,Milestones!$AA$36)&lt;PolicyEff),1,Milestones!$AC$36)&amp;";  ","")&amp;IF(AND(EDATE($D37,Milestones!$AA$37)&lt;=AsOfDate,EDATE($D37,Milestones!$AA$37)&gt;=SchemeStart,IF($X37=0,$AD37,IF(AND($Z37&lt;&gt;"",EDATE($D37,Milestones!$AA$37)&gt;=$Z37),$AC37,IF(AND($Y37&lt;&gt;"",EDATE($D37,Milestones!$AA$37)&gt;=$Y37),$AB37,$AA37)))=Milestones!$AB$37),UPPER(TEXT(EDATE($D37,Milestones!$AA$37),"dd mmm yy"))&amp;" "&amp;Milestones!$AB$37&amp;" "&amp;IF(AND(Milestones!$AB$37="FT",Milestones!$AA$37=FT_Y5,EDATE($D37,Milestones!$AA$37)&lt;PolicyEff),1,Milestones!$AC$37)&amp;";  ","")&amp;IF(AND(EDATE($D37,Milestones!$AA$38)&lt;=AsOfDate,EDATE($D37,Milestones!$AA$38)&gt;=SchemeStart,IF($X37=0,$AD37,IF(AND($Z37&lt;&gt;"",EDATE($D37,Milestones!$AA$38)&gt;=$Z37),$AC37,IF(AND($Y37&lt;&gt;"",EDATE($D37,Milestones!$AA$38)&gt;=$Y37),$AB37,$AA37)))=Milestones!$AB$38),UPPER(TEXT(EDATE($D37,Milestones!$AA$38),"dd mmm yy"))&amp;" "&amp;Milestones!$AB$38&amp;" "&amp;IF(AND(Milestones!$AB$38="FT",Milestones!$AA$38=FT_Y5,EDATE($D37,Milestones!$AA$38)&lt;PolicyEff),1,Milestones!$AC$38)&amp;";  ","")&amp;IF(AND(EDATE($D37,Milestones!$AA$39)&lt;=AsOfDate,EDATE($D37,Milestones!$AA$39)&gt;=SchemeStart,IF($X37=0,$AD37,IF(AND($Z37&lt;&gt;"",EDATE($D37,Milestones!$AA$39)&gt;=$Z37),$AC37,IF(AND($Y37&lt;&gt;"",EDATE($D37,Milestones!$AA$39)&gt;=$Y37),$AB37,$AA37)))=Milestones!$AB$39),UPPER(TEXT(EDATE($D37,Milestones!$AA$39),"dd mmm yy"))&amp;" "&amp;Milestones!$AB$39&amp;" "&amp;IF(AND(Milestones!$AB$39="FT",Milestones!$AA$39=FT_Y5,EDATE($D37,Milestones!$AA$39)&lt;PolicyEff),1,Milestones!$AC$39)&amp;";  ","")&amp;IF(AND(EDATE($D37,Milestones!$AA$40)&lt;=AsOfDate,EDATE($D37,Milestones!$AA$40)&gt;=SchemeStart,IF($X37=0,$AD37,IF(AND($Z37&lt;&gt;"",EDATE($D37,Milestones!$AA$40)&gt;=$Z37),$AC37,IF(AND($Y37&lt;&gt;"",EDATE($D37,Milestones!$AA$40)&gt;=$Y37),$AB37,$AA37)))=Milestones!$AB$40),UPPER(TEXT(EDATE($D37,Milestones!$AA$40),"dd mmm yy"))&amp;" "&amp;Milestones!$AB$40&amp;" "&amp;IF(AND(Milestones!$AB$40="FT",Milestones!$AA$40=FT_Y5,EDATE($D37,Milestones!$AA$40)&lt;PolicyEff),1,Milestones!$AC$40)&amp;";  ","")&amp;IF(AND(EDATE($D37,Milestones!$AA$41)&lt;=AsOfDate,EDATE($D37,Milestones!$AA$41)&gt;=SchemeStart,IF($X37=0,$AD37,IF(AND($Z37&lt;&gt;"",EDATE($D37,Milestones!$AA$41)&gt;=$Z37),$AC37,IF(AND($Y37&lt;&gt;"",EDATE($D37,Milestones!$AA$41)&gt;=$Y37),$AB37,$AA37)))=Milestones!$AB$41),UPPER(TEXT(EDATE($D37,Milestones!$AA$41),"dd mmm yy"))&amp;" "&amp;Milestones!$AB$41&amp;" "&amp;IF(AND(Milestones!$AB$41="FT",Milestones!$AA$41=FT_Y5,EDATE($D37,Milestones!$AA$41)&lt;PolicyEff),1,Milestones!$AC$41)&amp;";  ","")&amp;IF(AND(EDATE($D37,Milestones!$AA$42)&lt;=AsOfDate,EDATE($D37,Milestones!$AA$42)&gt;=SchemeStart,IF($X37=0,$AD37,IF(AND($Z37&lt;&gt;"",EDATE($D37,Milestones!$AA$42)&gt;=$Z37),$AC37,IF(AND($Y37&lt;&gt;"",EDATE($D37,Milestones!$AA$42)&gt;=$Y37),$AB37,$AA37)))=Milestones!$AB$42),UPPER(TEXT(EDATE($D37,Milestones!$AA$42),"dd mmm yy"))&amp;" "&amp;Milestones!$AB$42&amp;" "&amp;IF(AND(Milestones!$AB$42="FT",Milestones!$AA$42=FT_Y5,EDATE($D37,Milestones!$AA$42)&lt;PolicyEff),1,Milestones!$AC$42)&amp;";  ","")&amp;IF(AND(EDATE($D37,Milestones!$AA$43)&lt;=AsOfDate,EDATE($D37,Milestones!$AA$43)&gt;=SchemeStart,IF($X37=0,$AD37,IF(AND($Z37&lt;&gt;"",EDATE($D37,Milestones!$AA$43)&gt;=$Z37),$AC37,IF(AND($Y37&lt;&gt;"",EDATE($D37,Milestones!$AA$43)&gt;=$Y37),$AB37,$AA37)))=Milestones!$AB$43),UPPER(TEXT(EDATE($D37,Milestones!$AA$43),"dd mmm yy"))&amp;" "&amp;Milestones!$AB$43&amp;" "&amp;IF(AND(Milestones!$AB$43="FT",Milestones!$AA$43=FT_Y5,EDATE($D37,Milestones!$AA$43)&lt;PolicyEff),1,Milestones!$AC$43)&amp;";  ",""))</f>
        <v/>
      </c>
      <c r="K37" s="0" t="str">
        <f aca="false">IF(OR($A37="",$D37=""),"",IF(AND(EDATE($D37,Milestones!$AA$44)&lt;=AsOfDate,EDATE($D37,Milestones!$AA$44)&gt;=SchemeStart,IF($X37=0,$AD37,IF(AND($Z37&lt;&gt;"",EDATE($D37,Milestones!$AA$44)&gt;=$Z37),$AC37,IF(AND($Y37&lt;&gt;"",EDATE($D37,Milestones!$AA$44)&gt;=$Y37),$AB37,$AA37)))=Milestones!$AB$44),UPPER(TEXT(EDATE($D37,Milestones!$AA$44),"dd mmm yy"))&amp;" "&amp;Milestones!$AB$44&amp;" "&amp;IF(AND(Milestones!$AB$44="FT",Milestones!$AA$44=FT_Y5,EDATE($D37,Milestones!$AA$44)&lt;PolicyEff),1,Milestones!$AC$44)&amp;";  ","")&amp;IF(AND(EDATE($D37,Milestones!$AA$45)&lt;=AsOfDate,EDATE($D37,Milestones!$AA$45)&gt;=SchemeStart,IF($X37=0,$AD37,IF(AND($Z37&lt;&gt;"",EDATE($D37,Milestones!$AA$45)&gt;=$Z37),$AC37,IF(AND($Y37&lt;&gt;"",EDATE($D37,Milestones!$AA$45)&gt;=$Y37),$AB37,$AA37)))=Milestones!$AB$45),UPPER(TEXT(EDATE($D37,Milestones!$AA$45),"dd mmm yy"))&amp;" "&amp;Milestones!$AB$45&amp;" "&amp;IF(AND(Milestones!$AB$45="FT",Milestones!$AA$45=FT_Y5,EDATE($D37,Milestones!$AA$45)&lt;PolicyEff),1,Milestones!$AC$45)&amp;";  ","")&amp;IF(AND(EDATE($D37,Milestones!$AA$46)&lt;=AsOfDate,EDATE($D37,Milestones!$AA$46)&gt;=SchemeStart,IF($X37=0,$AD37,IF(AND($Z37&lt;&gt;"",EDATE($D37,Milestones!$AA$46)&gt;=$Z37),$AC37,IF(AND($Y37&lt;&gt;"",EDATE($D37,Milestones!$AA$46)&gt;=$Y37),$AB37,$AA37)))=Milestones!$AB$46),UPPER(TEXT(EDATE($D37,Milestones!$AA$46),"dd mmm yy"))&amp;" "&amp;Milestones!$AB$46&amp;" "&amp;IF(AND(Milestones!$AB$46="FT",Milestones!$AA$46=FT_Y5,EDATE($D37,Milestones!$AA$46)&lt;PolicyEff),1,Milestones!$AC$46)&amp;";  ","")&amp;IF(AND(EDATE($D37,Milestones!$AA$47)&lt;=AsOfDate,EDATE($D37,Milestones!$AA$47)&gt;=SchemeStart,IF($X37=0,$AD37,IF(AND($Z37&lt;&gt;"",EDATE($D37,Milestones!$AA$47)&gt;=$Z37),$AC37,IF(AND($Y37&lt;&gt;"",EDATE($D37,Milestones!$AA$47)&gt;=$Y37),$AB37,$AA37)))=Milestones!$AB$47),UPPER(TEXT(EDATE($D37,Milestones!$AA$47),"dd mmm yy"))&amp;" "&amp;Milestones!$AB$47&amp;" "&amp;IF(AND(Milestones!$AB$47="FT",Milestones!$AA$47=FT_Y5,EDATE($D37,Milestones!$AA$47)&lt;PolicyEff),1,Milestones!$AC$47)&amp;";  ","")&amp;IF(AND(EDATE($D37,Milestones!$AA$48)&lt;=AsOfDate,EDATE($D37,Milestones!$AA$48)&gt;=SchemeStart,IF($X37=0,$AD37,IF(AND($Z37&lt;&gt;"",EDATE($D37,Milestones!$AA$48)&gt;=$Z37),$AC37,IF(AND($Y37&lt;&gt;"",EDATE($D37,Milestones!$AA$48)&gt;=$Y37),$AB37,$AA37)))=Milestones!$AB$48),UPPER(TEXT(EDATE($D37,Milestones!$AA$48),"dd mmm yy"))&amp;" "&amp;Milestones!$AB$48&amp;" "&amp;IF(AND(Milestones!$AB$48="FT",Milestones!$AA$48=FT_Y5,EDATE($D37,Milestones!$AA$48)&lt;PolicyEff),1,Milestones!$AC$48)&amp;";  ","")&amp;IF(AND(EDATE($D37,Milestones!$AA$49)&lt;=AsOfDate,EDATE($D37,Milestones!$AA$49)&gt;=SchemeStart,IF($X37=0,$AD37,IF(AND($Z37&lt;&gt;"",EDATE($D37,Milestones!$AA$49)&gt;=$Z37),$AC37,IF(AND($Y37&lt;&gt;"",EDATE($D37,Milestones!$AA$49)&gt;=$Y37),$AB37,$AA37)))=Milestones!$AB$49),UPPER(TEXT(EDATE($D37,Milestones!$AA$49),"dd mmm yy"))&amp;" "&amp;Milestones!$AB$49&amp;" "&amp;IF(AND(Milestones!$AB$49="FT",Milestones!$AA$49=FT_Y5,EDATE($D37,Milestones!$AA$49)&lt;PolicyEff),1,Milestones!$AC$49)&amp;";  ","")&amp;IF(AND(EDATE($D37,Milestones!$AA$50)&lt;=AsOfDate,EDATE($D37,Milestones!$AA$50)&gt;=SchemeStart,IF($X37=0,$AD37,IF(AND($Z37&lt;&gt;"",EDATE($D37,Milestones!$AA$50)&gt;=$Z37),$AC37,IF(AND($Y37&lt;&gt;"",EDATE($D37,Milestones!$AA$50)&gt;=$Y37),$AB37,$AA37)))=Milestones!$AB$50),UPPER(TEXT(EDATE($D37,Milestones!$AA$50),"dd mmm yy"))&amp;" "&amp;Milestones!$AB$50&amp;" "&amp;IF(AND(Milestones!$AB$50="FT",Milestones!$AA$50=FT_Y5,EDATE($D37,Milestones!$AA$50)&lt;PolicyEff),1,Milestones!$AC$50)&amp;";  ","")&amp;IF(AND(EDATE($D37,Milestones!$AA$51)&lt;=AsOfDate,EDATE($D37,Milestones!$AA$51)&gt;=SchemeStart,IF($X37=0,$AD37,IF(AND($Z37&lt;&gt;"",EDATE($D37,Milestones!$AA$51)&gt;=$Z37),$AC37,IF(AND($Y37&lt;&gt;"",EDATE($D37,Milestones!$AA$51)&gt;=$Y37),$AB37,$AA37)))=Milestones!$AB$51),UPPER(TEXT(EDATE($D37,Milestones!$AA$51),"dd mmm yy"))&amp;" "&amp;Milestones!$AB$51&amp;" "&amp;IF(AND(Milestones!$AB$51="FT",Milestones!$AA$51=FT_Y5,EDATE($D37,Milestones!$AA$51)&lt;PolicyEff),1,Milestones!$AC$51)&amp;";  ","")&amp;IF(AND(EDATE($D37,Milestones!$AA$52)&lt;=AsOfDate,EDATE($D37,Milestones!$AA$52)&gt;=SchemeStart,IF($X37=0,$AD37,IF(AND($Z37&lt;&gt;"",EDATE($D37,Milestones!$AA$52)&gt;=$Z37),$AC37,IF(AND($Y37&lt;&gt;"",EDATE($D37,Milestones!$AA$52)&gt;=$Y37),$AB37,$AA37)))=Milestones!$AB$52),UPPER(TEXT(EDATE($D37,Milestones!$AA$52),"dd mmm yy"))&amp;" "&amp;Milestones!$AB$52&amp;" "&amp;IF(AND(Milestones!$AB$52="FT",Milestones!$AA$52=FT_Y5,EDATE($D37,Milestones!$AA$52)&lt;PolicyEff),1,Milestones!$AC$52)&amp;";  ","")&amp;IF(AND(EDATE($D37,Milestones!$AA$53)&lt;=AsOfDate,EDATE($D37,Milestones!$AA$53)&gt;=SchemeStart,IF($X37=0,$AD37,IF(AND($Z37&lt;&gt;"",EDATE($D37,Milestones!$AA$53)&gt;=$Z37),$AC37,IF(AND($Y37&lt;&gt;"",EDATE($D37,Milestones!$AA$53)&gt;=$Y37),$AB37,$AA37)))=Milestones!$AB$53),UPPER(TEXT(EDATE($D37,Milestones!$AA$53),"dd mmm yy"))&amp;" "&amp;Milestones!$AB$53&amp;" "&amp;IF(AND(Milestones!$AB$53="FT",Milestones!$AA$53=FT_Y5,EDATE($D37,Milestones!$AA$53)&lt;PolicyEff),1,Milestones!$AC$53)&amp;";  ","")&amp;IF(AND(EDATE($D37,Milestones!$AA$54)&lt;=AsOfDate,EDATE($D37,Milestones!$AA$54)&gt;=SchemeStart,IF($X37=0,$AD37,IF(AND($Z37&lt;&gt;"",EDATE($D37,Milestones!$AA$54)&gt;=$Z37),$AC37,IF(AND($Y37&lt;&gt;"",EDATE($D37,Milestones!$AA$54)&gt;=$Y37),$AB37,$AA37)))=Milestones!$AB$54),UPPER(TEXT(EDATE($D37,Milestones!$AA$54),"dd mmm yy"))&amp;" "&amp;Milestones!$AB$54&amp;" "&amp;IF(AND(Milestones!$AB$54="FT",Milestones!$AA$54=FT_Y5,EDATE($D37,Milestones!$AA$54)&lt;PolicyEff),1,Milestones!$AC$54)&amp;";  ","")&amp;IF(AND(EDATE($D37,Milestones!$AA$55)&lt;=AsOfDate,EDATE($D37,Milestones!$AA$55)&gt;=SchemeStart,IF($X37=0,$AD37,IF(AND($Z37&lt;&gt;"",EDATE($D37,Milestones!$AA$55)&gt;=$Z37),$AC37,IF(AND($Y37&lt;&gt;"",EDATE($D37,Milestones!$AA$55)&gt;=$Y37),$AB37,$AA37)))=Milestones!$AB$55),UPPER(TEXT(EDATE($D37,Milestones!$AA$55),"dd mmm yy"))&amp;" "&amp;Milestones!$AB$55&amp;" "&amp;IF(AND(Milestones!$AB$55="FT",Milestones!$AA$55=FT_Y5,EDATE($D37,Milestones!$AA$55)&lt;PolicyEff),1,Milestones!$AC$55)&amp;";  ",""))</f>
        <v/>
      </c>
      <c r="L37" s="0" t="str">
        <f aca="false">IF(OR($A37="",$D37=""),"",IF(AND(EDATE($D37,Milestones!$AA$56)&lt;=AsOfDate,EDATE($D37,Milestones!$AA$56)&gt;=SchemeStart,IF($X37=0,$AD37,IF(AND($Z37&lt;&gt;"",EDATE($D37,Milestones!$AA$56)&gt;=$Z37),$AC37,IF(AND($Y37&lt;&gt;"",EDATE($D37,Milestones!$AA$56)&gt;=$Y37),$AB37,$AA37)))=Milestones!$AB$56),UPPER(TEXT(EDATE($D37,Milestones!$AA$56),"dd mmm yy"))&amp;" "&amp;Milestones!$AB$56&amp;" "&amp;IF(AND(Milestones!$AB$56="FT",Milestones!$AA$56=FT_Y5,EDATE($D37,Milestones!$AA$56)&lt;PolicyEff),1,Milestones!$AC$56)&amp;";  ","")&amp;IF(AND(EDATE($D37,Milestones!$AA$57)&lt;=AsOfDate,EDATE($D37,Milestones!$AA$57)&gt;=SchemeStart,IF($X37=0,$AD37,IF(AND($Z37&lt;&gt;"",EDATE($D37,Milestones!$AA$57)&gt;=$Z37),$AC37,IF(AND($Y37&lt;&gt;"",EDATE($D37,Milestones!$AA$57)&gt;=$Y37),$AB37,$AA37)))=Milestones!$AB$57),UPPER(TEXT(EDATE($D37,Milestones!$AA$57),"dd mmm yy"))&amp;" "&amp;Milestones!$AB$57&amp;" "&amp;IF(AND(Milestones!$AB$57="FT",Milestones!$AA$57=FT_Y5,EDATE($D37,Milestones!$AA$57)&lt;PolicyEff),1,Milestones!$AC$57)&amp;";  ","")&amp;IF(AND(EDATE($D37,Milestones!$AA$58)&lt;=AsOfDate,EDATE($D37,Milestones!$AA$58)&gt;=SchemeStart,IF($X37=0,$AD37,IF(AND($Z37&lt;&gt;"",EDATE($D37,Milestones!$AA$58)&gt;=$Z37),$AC37,IF(AND($Y37&lt;&gt;"",EDATE($D37,Milestones!$AA$58)&gt;=$Y37),$AB37,$AA37)))=Milestones!$AB$58),UPPER(TEXT(EDATE($D37,Milestones!$AA$58),"dd mmm yy"))&amp;" "&amp;Milestones!$AB$58&amp;" "&amp;IF(AND(Milestones!$AB$58="FT",Milestones!$AA$58=FT_Y5,EDATE($D37,Milestones!$AA$58)&lt;PolicyEff),1,Milestones!$AC$58)&amp;";  ","")&amp;IF(AND(EDATE($D37,Milestones!$AA$59)&lt;=AsOfDate,EDATE($D37,Milestones!$AA$59)&gt;=SchemeStart,IF($X37=0,$AD37,IF(AND($Z37&lt;&gt;"",EDATE($D37,Milestones!$AA$59)&gt;=$Z37),$AC37,IF(AND($Y37&lt;&gt;"",EDATE($D37,Milestones!$AA$59)&gt;=$Y37),$AB37,$AA37)))=Milestones!$AB$59),UPPER(TEXT(EDATE($D37,Milestones!$AA$59),"dd mmm yy"))&amp;" "&amp;Milestones!$AB$59&amp;" "&amp;IF(AND(Milestones!$AB$59="FT",Milestones!$AA$59=FT_Y5,EDATE($D37,Milestones!$AA$59)&lt;PolicyEff),1,Milestones!$AC$59)&amp;";  ","")&amp;IF(AND(EDATE($D37,Milestones!$AA$60)&lt;=AsOfDate,EDATE($D37,Milestones!$AA$60)&gt;=SchemeStart,IF($X37=0,$AD37,IF(AND($Z37&lt;&gt;"",EDATE($D37,Milestones!$AA$60)&gt;=$Z37),$AC37,IF(AND($Y37&lt;&gt;"",EDATE($D37,Milestones!$AA$60)&gt;=$Y37),$AB37,$AA37)))=Milestones!$AB$60),UPPER(TEXT(EDATE($D37,Milestones!$AA$60),"dd mmm yy"))&amp;" "&amp;Milestones!$AB$60&amp;" "&amp;IF(AND(Milestones!$AB$60="FT",Milestones!$AA$60=FT_Y5,EDATE($D37,Milestones!$AA$60)&lt;PolicyEff),1,Milestones!$AC$60)&amp;";  ","")&amp;IF(AND(EDATE($D37,Milestones!$AA$61)&lt;=AsOfDate,EDATE($D37,Milestones!$AA$61)&gt;=SchemeStart,IF($X37=0,$AD37,IF(AND($Z37&lt;&gt;"",EDATE($D37,Milestones!$AA$61)&gt;=$Z37),$AC37,IF(AND($Y37&lt;&gt;"",EDATE($D37,Milestones!$AA$61)&gt;=$Y37),$AB37,$AA37)))=Milestones!$AB$61),UPPER(TEXT(EDATE($D37,Milestones!$AA$61),"dd mmm yy"))&amp;" "&amp;Milestones!$AB$61&amp;" "&amp;IF(AND(Milestones!$AB$61="FT",Milestones!$AA$61=FT_Y5,EDATE($D37,Milestones!$AA$61)&lt;PolicyEff),1,Milestones!$AC$61)&amp;";  ","")&amp;IF(AND(EDATE($D37,Milestones!$AA$62)&lt;=AsOfDate,EDATE($D37,Milestones!$AA$62)&gt;=SchemeStart,IF($X37=0,$AD37,IF(AND($Z37&lt;&gt;"",EDATE($D37,Milestones!$AA$62)&gt;=$Z37),$AC37,IF(AND($Y37&lt;&gt;"",EDATE($D37,Milestones!$AA$62)&gt;=$Y37),$AB37,$AA37)))=Milestones!$AB$62),UPPER(TEXT(EDATE($D37,Milestones!$AA$62),"dd mmm yy"))&amp;" "&amp;Milestones!$AB$62&amp;" "&amp;IF(AND(Milestones!$AB$62="FT",Milestones!$AA$62=FT_Y5,EDATE($D37,Milestones!$AA$62)&lt;PolicyEff),1,Milestones!$AC$62)&amp;";  ","")&amp;IF(AND(EDATE($D37,Milestones!$AA$63)&lt;=AsOfDate,EDATE($D37,Milestones!$AA$63)&gt;=SchemeStart,IF($X37=0,$AD37,IF(AND($Z37&lt;&gt;"",EDATE($D37,Milestones!$AA$63)&gt;=$Z37),$AC37,IF(AND($Y37&lt;&gt;"",EDATE($D37,Milestones!$AA$63)&gt;=$Y37),$AB37,$AA37)))=Milestones!$AB$63),UPPER(TEXT(EDATE($D37,Milestones!$AA$63),"dd mmm yy"))&amp;" "&amp;Milestones!$AB$63&amp;" "&amp;IF(AND(Milestones!$AB$63="FT",Milestones!$AA$63=FT_Y5,EDATE($D37,Milestones!$AA$63)&lt;PolicyEff),1,Milestones!$AC$63)&amp;";  ","")&amp;IF(AND(EDATE($D37,Milestones!$AA$64)&lt;=AsOfDate,EDATE($D37,Milestones!$AA$64)&gt;=SchemeStart,IF($X37=0,$AD37,IF(AND($Z37&lt;&gt;"",EDATE($D37,Milestones!$AA$64)&gt;=$Z37),$AC37,IF(AND($Y37&lt;&gt;"",EDATE($D37,Milestones!$AA$64)&gt;=$Y37),$AB37,$AA37)))=Milestones!$AB$64),UPPER(TEXT(EDATE($D37,Milestones!$AA$64),"dd mmm yy"))&amp;" "&amp;Milestones!$AB$64&amp;" "&amp;IF(AND(Milestones!$AB$64="FT",Milestones!$AA$64=FT_Y5,EDATE($D37,Milestones!$AA$64)&lt;PolicyEff),1,Milestones!$AC$64)&amp;";  ","")&amp;IF(AND(EDATE($D37,Milestones!$AA$65)&lt;=AsOfDate,EDATE($D37,Milestones!$AA$65)&gt;=SchemeStart,IF($X37=0,$AD37,IF(AND($Z37&lt;&gt;"",EDATE($D37,Milestones!$AA$65)&gt;=$Z37),$AC37,IF(AND($Y37&lt;&gt;"",EDATE($D37,Milestones!$AA$65)&gt;=$Y37),$AB37,$AA37)))=Milestones!$AB$65),UPPER(TEXT(EDATE($D37,Milestones!$AA$65),"dd mmm yy"))&amp;" "&amp;Milestones!$AB$65&amp;" "&amp;IF(AND(Milestones!$AB$65="FT",Milestones!$AA$65=FT_Y5,EDATE($D37,Milestones!$AA$65)&lt;PolicyEff),1,Milestones!$AC$65)&amp;";  ","")&amp;IF(AND(EDATE($D37,Milestones!$AA$66)&lt;=AsOfDate,EDATE($D37,Milestones!$AA$66)&gt;=SchemeStart,IF($X37=0,$AD37,IF(AND($Z37&lt;&gt;"",EDATE($D37,Milestones!$AA$66)&gt;=$Z37),$AC37,IF(AND($Y37&lt;&gt;"",EDATE($D37,Milestones!$AA$66)&gt;=$Y37),$AB37,$AA37)))=Milestones!$AB$66),UPPER(TEXT(EDATE($D37,Milestones!$AA$66),"dd mmm yy"))&amp;" "&amp;Milestones!$AB$66&amp;" "&amp;IF(AND(Milestones!$AB$66="FT",Milestones!$AA$66=FT_Y5,EDATE($D37,Milestones!$AA$66)&lt;PolicyEff),1,Milestones!$AC$66)&amp;";  ","")&amp;IF(AND(EDATE($D37,Milestones!$AA$67)&lt;=AsOfDate,EDATE($D37,Milestones!$AA$67)&gt;=SchemeStart,IF($X37=0,$AD37,IF(AND($Z37&lt;&gt;"",EDATE($D37,Milestones!$AA$67)&gt;=$Z37),$AC37,IF(AND($Y37&lt;&gt;"",EDATE($D37,Milestones!$AA$67)&gt;=$Y37),$AB37,$AA37)))=Milestones!$AB$67),UPPER(TEXT(EDATE($D37,Milestones!$AA$67),"dd mmm yy"))&amp;" "&amp;Milestones!$AB$67&amp;" "&amp;IF(AND(Milestones!$AB$67="FT",Milestones!$AA$67=FT_Y5,EDATE($D37,Milestones!$AA$67)&lt;PolicyEff),1,Milestones!$AC$67)&amp;";  ",""))</f>
        <v/>
      </c>
      <c r="M37" s="0" t="str">
        <f aca="false">IF(OR($A37="",$D37=""),"",IF(AND(EDATE($D37,Milestones!$AA$68)&lt;=AsOfDate,EDATE($D37,Milestones!$AA$68)&gt;=SchemeStart,IF($X37=0,$AD37,IF(AND($Z37&lt;&gt;"",EDATE($D37,Milestones!$AA$68)&gt;=$Z37),$AC37,IF(AND($Y37&lt;&gt;"",EDATE($D37,Milestones!$AA$68)&gt;=$Y37),$AB37,$AA37)))=Milestones!$AB$68),UPPER(TEXT(EDATE($D37,Milestones!$AA$68),"dd mmm yy"))&amp;" "&amp;Milestones!$AB$68&amp;" "&amp;IF(AND(Milestones!$AB$68="FT",Milestones!$AA$68=FT_Y5,EDATE($D37,Milestones!$AA$68)&lt;PolicyEff),1,Milestones!$AC$68)&amp;";  ","")&amp;IF(AND(EDATE($D37,Milestones!$AA$69)&lt;=AsOfDate,EDATE($D37,Milestones!$AA$69)&gt;=SchemeStart,IF($X37=0,$AD37,IF(AND($Z37&lt;&gt;"",EDATE($D37,Milestones!$AA$69)&gt;=$Z37),$AC37,IF(AND($Y37&lt;&gt;"",EDATE($D37,Milestones!$AA$69)&gt;=$Y37),$AB37,$AA37)))=Milestones!$AB$69),UPPER(TEXT(EDATE($D37,Milestones!$AA$69),"dd mmm yy"))&amp;" "&amp;Milestones!$AB$69&amp;" "&amp;IF(AND(Milestones!$AB$69="FT",Milestones!$AA$69=FT_Y5,EDATE($D37,Milestones!$AA$69)&lt;PolicyEff),1,Milestones!$AC$69)&amp;";  ","")&amp;IF(AND(EDATE($D37,Milestones!$AA$70)&lt;=AsOfDate,EDATE($D37,Milestones!$AA$70)&gt;=SchemeStart,IF($X37=0,$AD37,IF(AND($Z37&lt;&gt;"",EDATE($D37,Milestones!$AA$70)&gt;=$Z37),$AC37,IF(AND($Y37&lt;&gt;"",EDATE($D37,Milestones!$AA$70)&gt;=$Y37),$AB37,$AA37)))=Milestones!$AB$70),UPPER(TEXT(EDATE($D37,Milestones!$AA$70),"dd mmm yy"))&amp;" "&amp;Milestones!$AB$70&amp;" "&amp;IF(AND(Milestones!$AB$70="FT",Milestones!$AA$70=FT_Y5,EDATE($D37,Milestones!$AA$70)&lt;PolicyEff),1,Milestones!$AC$70)&amp;";  ","")&amp;IF(AND(EDATE($D37,Milestones!$AA$71)&lt;=AsOfDate,EDATE($D37,Milestones!$AA$71)&gt;=SchemeStart,IF($X37=0,$AD37,IF(AND($Z37&lt;&gt;"",EDATE($D37,Milestones!$AA$71)&gt;=$Z37),$AC37,IF(AND($Y37&lt;&gt;"",EDATE($D37,Milestones!$AA$71)&gt;=$Y37),$AB37,$AA37)))=Milestones!$AB$71),UPPER(TEXT(EDATE($D37,Milestones!$AA$71),"dd mmm yy"))&amp;" "&amp;Milestones!$AB$71&amp;" "&amp;IF(AND(Milestones!$AB$71="FT",Milestones!$AA$71=FT_Y5,EDATE($D37,Milestones!$AA$71)&lt;PolicyEff),1,Milestones!$AC$71)&amp;";  ","")&amp;IF(AND(EDATE($D37,Milestones!$AA$72)&lt;=AsOfDate,EDATE($D37,Milestones!$AA$72)&gt;=SchemeStart,IF($X37=0,$AD37,IF(AND($Z37&lt;&gt;"",EDATE($D37,Milestones!$AA$72)&gt;=$Z37),$AC37,IF(AND($Y37&lt;&gt;"",EDATE($D37,Milestones!$AA$72)&gt;=$Y37),$AB37,$AA37)))=Milestones!$AB$72),UPPER(TEXT(EDATE($D37,Milestones!$AA$72),"dd mmm yy"))&amp;" "&amp;Milestones!$AB$72&amp;" "&amp;IF(AND(Milestones!$AB$72="FT",Milestones!$AA$72=FT_Y5,EDATE($D37,Milestones!$AA$72)&lt;PolicyEff),1,Milestones!$AC$72)&amp;";  ","")&amp;IF(AND(EDATE($D37,Milestones!$AA$73)&lt;=AsOfDate,EDATE($D37,Milestones!$AA$73)&gt;=SchemeStart,IF($X37=0,$AD37,IF(AND($Z37&lt;&gt;"",EDATE($D37,Milestones!$AA$73)&gt;=$Z37),$AC37,IF(AND($Y37&lt;&gt;"",EDATE($D37,Milestones!$AA$73)&gt;=$Y37),$AB37,$AA37)))=Milestones!$AB$73),UPPER(TEXT(EDATE($D37,Milestones!$AA$73),"dd mmm yy"))&amp;" "&amp;Milestones!$AB$73&amp;" "&amp;IF(AND(Milestones!$AB$73="FT",Milestones!$AA$73=FT_Y5,EDATE($D37,Milestones!$AA$73)&lt;PolicyEff),1,Milestones!$AC$73)&amp;";  ","")&amp;IF(AND(EDATE($D37,Milestones!$AA$74)&lt;=AsOfDate,EDATE($D37,Milestones!$AA$74)&gt;=SchemeStart,IF($X37=0,$AD37,IF(AND($Z37&lt;&gt;"",EDATE($D37,Milestones!$AA$74)&gt;=$Z37),$AC37,IF(AND($Y37&lt;&gt;"",EDATE($D37,Milestones!$AA$74)&gt;=$Y37),$AB37,$AA37)))=Milestones!$AB$74),UPPER(TEXT(EDATE($D37,Milestones!$AA$74),"dd mmm yy"))&amp;" "&amp;Milestones!$AB$74&amp;" "&amp;IF(AND(Milestones!$AB$74="FT",Milestones!$AA$74=FT_Y5,EDATE($D37,Milestones!$AA$74)&lt;PolicyEff),1,Milestones!$AC$74)&amp;";  ","")&amp;IF(AND(EDATE($D37,Milestones!$AA$75)&lt;=AsOfDate,EDATE($D37,Milestones!$AA$75)&gt;=SchemeStart,IF($X37=0,$AD37,IF(AND($Z37&lt;&gt;"",EDATE($D37,Milestones!$AA$75)&gt;=$Z37),$AC37,IF(AND($Y37&lt;&gt;"",EDATE($D37,Milestones!$AA$75)&gt;=$Y37),$AB37,$AA37)))=Milestones!$AB$75),UPPER(TEXT(EDATE($D37,Milestones!$AA$75),"dd mmm yy"))&amp;" "&amp;Milestones!$AB$75&amp;" "&amp;IF(AND(Milestones!$AB$75="FT",Milestones!$AA$75=FT_Y5,EDATE($D37,Milestones!$AA$75)&lt;PolicyEff),1,Milestones!$AC$75)&amp;";  ","")&amp;IF(AND(EDATE($D37,Milestones!$AA$76)&lt;=AsOfDate,EDATE($D37,Milestones!$AA$76)&gt;=SchemeStart,IF($X37=0,$AD37,IF(AND($Z37&lt;&gt;"",EDATE($D37,Milestones!$AA$76)&gt;=$Z37),$AC37,IF(AND($Y37&lt;&gt;"",EDATE($D37,Milestones!$AA$76)&gt;=$Y37),$AB37,$AA37)))=Milestones!$AB$76),UPPER(TEXT(EDATE($D37,Milestones!$AA$76),"dd mmm yy"))&amp;" "&amp;Milestones!$AB$76&amp;" "&amp;IF(AND(Milestones!$AB$76="FT",Milestones!$AA$76=FT_Y5,EDATE($D37,Milestones!$AA$76)&lt;PolicyEff),1,Milestones!$AC$76)&amp;";  ","")&amp;IF(AND(EDATE($D37,Milestones!$AA$77)&lt;=AsOfDate,EDATE($D37,Milestones!$AA$77)&gt;=SchemeStart,IF($X37=0,$AD37,IF(AND($Z37&lt;&gt;"",EDATE($D37,Milestones!$AA$77)&gt;=$Z37),$AC37,IF(AND($Y37&lt;&gt;"",EDATE($D37,Milestones!$AA$77)&gt;=$Y37),$AB37,$AA37)))=Milestones!$AB$77),UPPER(TEXT(EDATE($D37,Milestones!$AA$77),"dd mmm yy"))&amp;" "&amp;Milestones!$AB$77&amp;" "&amp;IF(AND(Milestones!$AB$77="FT",Milestones!$AA$77=FT_Y5,EDATE($D37,Milestones!$AA$77)&lt;PolicyEff),1,Milestones!$AC$77)&amp;";  ","")&amp;IF(AND(EDATE($D37,Milestones!$AA$78)&lt;=AsOfDate,EDATE($D37,Milestones!$AA$78)&gt;=SchemeStart,IF($X37=0,$AD37,IF(AND($Z37&lt;&gt;"",EDATE($D37,Milestones!$AA$78)&gt;=$Z37),$AC37,IF(AND($Y37&lt;&gt;"",EDATE($D37,Milestones!$AA$78)&gt;=$Y37),$AB37,$AA37)))=Milestones!$AB$78),UPPER(TEXT(EDATE($D37,Milestones!$AA$78),"dd mmm yy"))&amp;" "&amp;Milestones!$AB$78&amp;" "&amp;IF(AND(Milestones!$AB$78="FT",Milestones!$AA$78=FT_Y5,EDATE($D37,Milestones!$AA$78)&lt;PolicyEff),1,Milestones!$AC$78)&amp;";  ","")&amp;IF(AND(EDATE($D37,Milestones!$AA$79)&lt;=AsOfDate,EDATE($D37,Milestones!$AA$79)&gt;=SchemeStart,IF($X37=0,$AD37,IF(AND($Z37&lt;&gt;"",EDATE($D37,Milestones!$AA$79)&gt;=$Z37),$AC37,IF(AND($Y37&lt;&gt;"",EDATE($D37,Milestones!$AA$79)&gt;=$Y37),$AB37,$AA37)))=Milestones!$AB$79),UPPER(TEXT(EDATE($D37,Milestones!$AA$79),"dd mmm yy"))&amp;" "&amp;Milestones!$AB$79&amp;" "&amp;IF(AND(Milestones!$AB$79="FT",Milestones!$AA$79=FT_Y5,EDATE($D37,Milestones!$AA$79)&lt;PolicyEff),1,Milestones!$AC$79)&amp;";  ",""))</f>
        <v/>
      </c>
      <c r="N37" s="0" t="str">
        <f aca="false">IF(OR($A37="",$D37=""),"",IF(AND(EDATE($D37,Milestones!$AA$80)&lt;=AsOfDate,EDATE($D37,Milestones!$AA$80)&gt;=SchemeStart,IF($X37=0,$AD37,IF(AND($Z37&lt;&gt;"",EDATE($D37,Milestones!$AA$80)&gt;=$Z37),$AC37,IF(AND($Y37&lt;&gt;"",EDATE($D37,Milestones!$AA$80)&gt;=$Y37),$AB37,$AA37)))=Milestones!$AB$80),UPPER(TEXT(EDATE($D37,Milestones!$AA$80),"dd mmm yy"))&amp;" "&amp;Milestones!$AB$80&amp;" "&amp;IF(AND(Milestones!$AB$80="FT",Milestones!$AA$80=FT_Y5,EDATE($D37,Milestones!$AA$80)&lt;PolicyEff),1,Milestones!$AC$80)&amp;";  ","")&amp;IF(AND(EDATE($D37,Milestones!$AA$81)&lt;=AsOfDate,EDATE($D37,Milestones!$AA$81)&gt;=SchemeStart,IF($X37=0,$AD37,IF(AND($Z37&lt;&gt;"",EDATE($D37,Milestones!$AA$81)&gt;=$Z37),$AC37,IF(AND($Y37&lt;&gt;"",EDATE($D37,Milestones!$AA$81)&gt;=$Y37),$AB37,$AA37)))=Milestones!$AB$81),UPPER(TEXT(EDATE($D37,Milestones!$AA$81),"dd mmm yy"))&amp;" "&amp;Milestones!$AB$81&amp;" "&amp;IF(AND(Milestones!$AB$81="FT",Milestones!$AA$81=FT_Y5,EDATE($D37,Milestones!$AA$81)&lt;PolicyEff),1,Milestones!$AC$81)&amp;";  ","")&amp;IF(AND(EDATE($D37,Milestones!$AA$82)&lt;=AsOfDate,EDATE($D37,Milestones!$AA$82)&gt;=SchemeStart,IF($X37=0,$AD37,IF(AND($Z37&lt;&gt;"",EDATE($D37,Milestones!$AA$82)&gt;=$Z37),$AC37,IF(AND($Y37&lt;&gt;"",EDATE($D37,Milestones!$AA$82)&gt;=$Y37),$AB37,$AA37)))=Milestones!$AB$82),UPPER(TEXT(EDATE($D37,Milestones!$AA$82),"dd mmm yy"))&amp;" "&amp;Milestones!$AB$82&amp;" "&amp;IF(AND(Milestones!$AB$82="FT",Milestones!$AA$82=FT_Y5,EDATE($D37,Milestones!$AA$82)&lt;PolicyEff),1,Milestones!$AC$82)&amp;";  ","")&amp;IF(AND(EDATE($D37,Milestones!$AA$83)&lt;=AsOfDate,EDATE($D37,Milestones!$AA$83)&gt;=SchemeStart,IF($X37=0,$AD37,IF(AND($Z37&lt;&gt;"",EDATE($D37,Milestones!$AA$83)&gt;=$Z37),$AC37,IF(AND($Y37&lt;&gt;"",EDATE($D37,Milestones!$AA$83)&gt;=$Y37),$AB37,$AA37)))=Milestones!$AB$83),UPPER(TEXT(EDATE($D37,Milestones!$AA$83),"dd mmm yy"))&amp;" "&amp;Milestones!$AB$83&amp;" "&amp;IF(AND(Milestones!$AB$83="FT",Milestones!$AA$83=FT_Y5,EDATE($D37,Milestones!$AA$83)&lt;PolicyEff),1,Milestones!$AC$83)&amp;";  ","")&amp;IF(AND(EDATE($D37,Milestones!$AA$84)&lt;=AsOfDate,EDATE($D37,Milestones!$AA$84)&gt;=SchemeStart,IF($X37=0,$AD37,IF(AND($Z37&lt;&gt;"",EDATE($D37,Milestones!$AA$84)&gt;=$Z37),$AC37,IF(AND($Y37&lt;&gt;"",EDATE($D37,Milestones!$AA$84)&gt;=$Y37),$AB37,$AA37)))=Milestones!$AB$84),UPPER(TEXT(EDATE($D37,Milestones!$AA$84),"dd mmm yy"))&amp;" "&amp;Milestones!$AB$84&amp;" "&amp;IF(AND(Milestones!$AB$84="FT",Milestones!$AA$84=FT_Y5,EDATE($D37,Milestones!$AA$84)&lt;PolicyEff),1,Milestones!$AC$84)&amp;";  ","")&amp;IF(AND(EDATE($D37,Milestones!$AA$85)&lt;=AsOfDate,EDATE($D37,Milestones!$AA$85)&gt;=SchemeStart,IF($X37=0,$AD37,IF(AND($Z37&lt;&gt;"",EDATE($D37,Milestones!$AA$85)&gt;=$Z37),$AC37,IF(AND($Y37&lt;&gt;"",EDATE($D37,Milestones!$AA$85)&gt;=$Y37),$AB37,$AA37)))=Milestones!$AB$85),UPPER(TEXT(EDATE($D37,Milestones!$AA$85),"dd mmm yy"))&amp;" "&amp;Milestones!$AB$85&amp;" "&amp;IF(AND(Milestones!$AB$85="FT",Milestones!$AA$85=FT_Y5,EDATE($D37,Milestones!$AA$85)&lt;PolicyEff),1,Milestones!$AC$85)&amp;";  ","")&amp;IF(AND(EDATE($D37,Milestones!$AA$86)&lt;=AsOfDate,EDATE($D37,Milestones!$AA$86)&gt;=SchemeStart,IF($X37=0,$AD37,IF(AND($Z37&lt;&gt;"",EDATE($D37,Milestones!$AA$86)&gt;=$Z37),$AC37,IF(AND($Y37&lt;&gt;"",EDATE($D37,Milestones!$AA$86)&gt;=$Y37),$AB37,$AA37)))=Milestones!$AB$86),UPPER(TEXT(EDATE($D37,Milestones!$AA$86),"dd mmm yy"))&amp;" "&amp;Milestones!$AB$86&amp;" "&amp;IF(AND(Milestones!$AB$86="FT",Milestones!$AA$86=FT_Y5,EDATE($D37,Milestones!$AA$86)&lt;PolicyEff),1,Milestones!$AC$86)&amp;";  ","")&amp;IF(AND(EDATE($D37,Milestones!$AA$87)&lt;=AsOfDate,EDATE($D37,Milestones!$AA$87)&gt;=SchemeStart,IF($X37=0,$AD37,IF(AND($Z37&lt;&gt;"",EDATE($D37,Milestones!$AA$87)&gt;=$Z37),$AC37,IF(AND($Y37&lt;&gt;"",EDATE($D37,Milestones!$AA$87)&gt;=$Y37),$AB37,$AA37)))=Milestones!$AB$87),UPPER(TEXT(EDATE($D37,Milestones!$AA$87),"dd mmm yy"))&amp;" "&amp;Milestones!$AB$87&amp;" "&amp;IF(AND(Milestones!$AB$87="FT",Milestones!$AA$87=FT_Y5,EDATE($D37,Milestones!$AA$87)&lt;PolicyEff),1,Milestones!$AC$87)&amp;";  ","")&amp;IF(AND(EDATE($D37,Milestones!$AA$88)&lt;=AsOfDate,EDATE($D37,Milestones!$AA$88)&gt;=SchemeStart,IF($X37=0,$AD37,IF(AND($Z37&lt;&gt;"",EDATE($D37,Milestones!$AA$88)&gt;=$Z37),$AC37,IF(AND($Y37&lt;&gt;"",EDATE($D37,Milestones!$AA$88)&gt;=$Y37),$AB37,$AA37)))=Milestones!$AB$88),UPPER(TEXT(EDATE($D37,Milestones!$AA$88),"dd mmm yy"))&amp;" "&amp;Milestones!$AB$88&amp;" "&amp;IF(AND(Milestones!$AB$88="FT",Milestones!$AA$88=FT_Y5,EDATE($D37,Milestones!$AA$88)&lt;PolicyEff),1,Milestones!$AC$88)&amp;";  ","")&amp;IF(AND(EDATE($D37,Milestones!$AA$89)&lt;=AsOfDate,EDATE($D37,Milestones!$AA$89)&gt;=SchemeStart,IF($X37=0,$AD37,IF(AND($Z37&lt;&gt;"",EDATE($D37,Milestones!$AA$89)&gt;=$Z37),$AC37,IF(AND($Y37&lt;&gt;"",EDATE($D37,Milestones!$AA$89)&gt;=$Y37),$AB37,$AA37)))=Milestones!$AB$89),UPPER(TEXT(EDATE($D37,Milestones!$AA$89),"dd mmm yy"))&amp;" "&amp;Milestones!$AB$89&amp;" "&amp;IF(AND(Milestones!$AB$89="FT",Milestones!$AA$89=FT_Y5,EDATE($D37,Milestones!$AA$89)&lt;PolicyEff),1,Milestones!$AC$89)&amp;";  ","")&amp;IF(AND(EDATE($D37,Milestones!$AA$90)&lt;=AsOfDate,EDATE($D37,Milestones!$AA$90)&gt;=SchemeStart,IF($X37=0,$AD37,IF(AND($Z37&lt;&gt;"",EDATE($D37,Milestones!$AA$90)&gt;=$Z37),$AC37,IF(AND($Y37&lt;&gt;"",EDATE($D37,Milestones!$AA$90)&gt;=$Y37),$AB37,$AA37)))=Milestones!$AB$90),UPPER(TEXT(EDATE($D37,Milestones!$AA$90),"dd mmm yy"))&amp;" "&amp;Milestones!$AB$90&amp;" "&amp;IF(AND(Milestones!$AB$90="FT",Milestones!$AA$90=FT_Y5,EDATE($D37,Milestones!$AA$90)&lt;PolicyEff),1,Milestones!$AC$90)&amp;";  ","")&amp;IF(AND(EDATE($D37,Milestones!$AA$91)&lt;=AsOfDate,EDATE($D37,Milestones!$AA$91)&gt;=SchemeStart,IF($X37=0,$AD37,IF(AND($Z37&lt;&gt;"",EDATE($D37,Milestones!$AA$91)&gt;=$Z37),$AC37,IF(AND($Y37&lt;&gt;"",EDATE($D37,Milestones!$AA$91)&gt;=$Y37),$AB37,$AA37)))=Milestones!$AB$91),UPPER(TEXT(EDATE($D37,Milestones!$AA$91),"dd mmm yy"))&amp;" "&amp;Milestones!$AB$91&amp;" "&amp;IF(AND(Milestones!$AB$91="FT",Milestones!$AA$91=FT_Y5,EDATE($D37,Milestones!$AA$91)&lt;PolicyEff),1,Milestones!$AC$91)&amp;";  ",""))</f>
        <v/>
      </c>
      <c r="O37" s="0" t="str">
        <f aca="false">IF(OR($A37="",$D37=""),"",IF(AND(EDATE($D37,Milestones!$AA$92)&lt;=AsOfDate,EDATE($D37,Milestones!$AA$92)&gt;=SchemeStart,IF($X37=0,$AD37,IF(AND($Z37&lt;&gt;"",EDATE($D37,Milestones!$AA$92)&gt;=$Z37),$AC37,IF(AND($Y37&lt;&gt;"",EDATE($D37,Milestones!$AA$92)&gt;=$Y37),$AB37,$AA37)))=Milestones!$AB$92),UPPER(TEXT(EDATE($D37,Milestones!$AA$92),"dd mmm yy"))&amp;" "&amp;Milestones!$AB$92&amp;" "&amp;IF(AND(Milestones!$AB$92="FT",Milestones!$AA$92=FT_Y5,EDATE($D37,Milestones!$AA$92)&lt;PolicyEff),1,Milestones!$AC$92)&amp;";  ","")&amp;IF(AND(EDATE($D37,Milestones!$AA$93)&lt;=AsOfDate,EDATE($D37,Milestones!$AA$93)&gt;=SchemeStart,IF($X37=0,$AD37,IF(AND($Z37&lt;&gt;"",EDATE($D37,Milestones!$AA$93)&gt;=$Z37),$AC37,IF(AND($Y37&lt;&gt;"",EDATE($D37,Milestones!$AA$93)&gt;=$Y37),$AB37,$AA37)))=Milestones!$AB$93),UPPER(TEXT(EDATE($D37,Milestones!$AA$93),"dd mmm yy"))&amp;" "&amp;Milestones!$AB$93&amp;" "&amp;IF(AND(Milestones!$AB$93="FT",Milestones!$AA$93=FT_Y5,EDATE($D37,Milestones!$AA$93)&lt;PolicyEff),1,Milestones!$AC$93)&amp;";  ","")&amp;IF(AND(EDATE($D37,Milestones!$AA$94)&lt;=AsOfDate,EDATE($D37,Milestones!$AA$94)&gt;=SchemeStart,IF($X37=0,$AD37,IF(AND($Z37&lt;&gt;"",EDATE($D37,Milestones!$AA$94)&gt;=$Z37),$AC37,IF(AND($Y37&lt;&gt;"",EDATE($D37,Milestones!$AA$94)&gt;=$Y37),$AB37,$AA37)))=Milestones!$AB$94),UPPER(TEXT(EDATE($D37,Milestones!$AA$94),"dd mmm yy"))&amp;" "&amp;Milestones!$AB$94&amp;" "&amp;IF(AND(Milestones!$AB$94="FT",Milestones!$AA$94=FT_Y5,EDATE($D37,Milestones!$AA$94)&lt;PolicyEff),1,Milestones!$AC$94)&amp;";  ","")&amp;IF(AND(EDATE($D37,Milestones!$AA$95)&lt;=AsOfDate,EDATE($D37,Milestones!$AA$95)&gt;=SchemeStart,IF($X37=0,$AD37,IF(AND($Z37&lt;&gt;"",EDATE($D37,Milestones!$AA$95)&gt;=$Z37),$AC37,IF(AND($Y37&lt;&gt;"",EDATE($D37,Milestones!$AA$95)&gt;=$Y37),$AB37,$AA37)))=Milestones!$AB$95),UPPER(TEXT(EDATE($D37,Milestones!$AA$95),"dd mmm yy"))&amp;" "&amp;Milestones!$AB$95&amp;" "&amp;IF(AND(Milestones!$AB$95="FT",Milestones!$AA$95=FT_Y5,EDATE($D37,Milestones!$AA$95)&lt;PolicyEff),1,Milestones!$AC$95)&amp;";  ","")&amp;IF(AND(EDATE($D37,Milestones!$AA$96)&lt;=AsOfDate,EDATE($D37,Milestones!$AA$96)&gt;=SchemeStart,IF($X37=0,$AD37,IF(AND($Z37&lt;&gt;"",EDATE($D37,Milestones!$AA$96)&gt;=$Z37),$AC37,IF(AND($Y37&lt;&gt;"",EDATE($D37,Milestones!$AA$96)&gt;=$Y37),$AB37,$AA37)))=Milestones!$AB$96),UPPER(TEXT(EDATE($D37,Milestones!$AA$96),"dd mmm yy"))&amp;" "&amp;Milestones!$AB$96&amp;" "&amp;IF(AND(Milestones!$AB$96="FT",Milestones!$AA$96=FT_Y5,EDATE($D37,Milestones!$AA$96)&lt;PolicyEff),1,Milestones!$AC$96)&amp;";  ","")&amp;IF(AND(EDATE($D37,Milestones!$AA$97)&lt;=AsOfDate,EDATE($D37,Milestones!$AA$97)&gt;=SchemeStart,IF($X37=0,$AD37,IF(AND($Z37&lt;&gt;"",EDATE($D37,Milestones!$AA$97)&gt;=$Z37),$AC37,IF(AND($Y37&lt;&gt;"",EDATE($D37,Milestones!$AA$97)&gt;=$Y37),$AB37,$AA37)))=Milestones!$AB$97),UPPER(TEXT(EDATE($D37,Milestones!$AA$97),"dd mmm yy"))&amp;" "&amp;Milestones!$AB$97&amp;" "&amp;IF(AND(Milestones!$AB$97="FT",Milestones!$AA$97=FT_Y5,EDATE($D37,Milestones!$AA$97)&lt;PolicyEff),1,Milestones!$AC$97)&amp;";  ","")&amp;IF(AND(EDATE($D37,Milestones!$AA$98)&lt;=AsOfDate,EDATE($D37,Milestones!$AA$98)&gt;=SchemeStart,IF($X37=0,$AD37,IF(AND($Z37&lt;&gt;"",EDATE($D37,Milestones!$AA$98)&gt;=$Z37),$AC37,IF(AND($Y37&lt;&gt;"",EDATE($D37,Milestones!$AA$98)&gt;=$Y37),$AB37,$AA37)))=Milestones!$AB$98),UPPER(TEXT(EDATE($D37,Milestones!$AA$98),"dd mmm yy"))&amp;" "&amp;Milestones!$AB$98&amp;" "&amp;IF(AND(Milestones!$AB$98="FT",Milestones!$AA$98=FT_Y5,EDATE($D37,Milestones!$AA$98)&lt;PolicyEff),1,Milestones!$AC$98)&amp;";  ","")&amp;IF(AND(EDATE($D37,Milestones!$AA$99)&lt;=AsOfDate,EDATE($D37,Milestones!$AA$99)&gt;=SchemeStart,IF($X37=0,$AD37,IF(AND($Z37&lt;&gt;"",EDATE($D37,Milestones!$AA$99)&gt;=$Z37),$AC37,IF(AND($Y37&lt;&gt;"",EDATE($D37,Milestones!$AA$99)&gt;=$Y37),$AB37,$AA37)))=Milestones!$AB$99),UPPER(TEXT(EDATE($D37,Milestones!$AA$99),"dd mmm yy"))&amp;" "&amp;Milestones!$AB$99&amp;" "&amp;IF(AND(Milestones!$AB$99="FT",Milestones!$AA$99=FT_Y5,EDATE($D37,Milestones!$AA$99)&lt;PolicyEff),1,Milestones!$AC$99)&amp;";  ","")&amp;IF(AND(EDATE($D37,Milestones!$AA$100)&lt;=AsOfDate,EDATE($D37,Milestones!$AA$100)&gt;=SchemeStart,IF($X37=0,$AD37,IF(AND($Z37&lt;&gt;"",EDATE($D37,Milestones!$AA$100)&gt;=$Z37),$AC37,IF(AND($Y37&lt;&gt;"",EDATE($D37,Milestones!$AA$100)&gt;=$Y37),$AB37,$AA37)))=Milestones!$AB$100),UPPER(TEXT(EDATE($D37,Milestones!$AA$100),"dd mmm yy"))&amp;" "&amp;Milestones!$AB$100&amp;" "&amp;IF(AND(Milestones!$AB$100="FT",Milestones!$AA$100=FT_Y5,EDATE($D37,Milestones!$AA$100)&lt;PolicyEff),1,Milestones!$AC$100)&amp;";  ","")&amp;IF(AND(EDATE($D37,Milestones!$AA$101)&lt;=AsOfDate,EDATE($D37,Milestones!$AA$101)&gt;=SchemeStart,IF($X37=0,$AD37,IF(AND($Z37&lt;&gt;"",EDATE($D37,Milestones!$AA$101)&gt;=$Z37),$AC37,IF(AND($Y37&lt;&gt;"",EDATE($D37,Milestones!$AA$101)&gt;=$Y37),$AB37,$AA37)))=Milestones!$AB$101),UPPER(TEXT(EDATE($D37,Milestones!$AA$101),"dd mmm yy"))&amp;" "&amp;Milestones!$AB$101&amp;" "&amp;IF(AND(Milestones!$AB$101="FT",Milestones!$AA$101=FT_Y5,EDATE($D37,Milestones!$AA$101)&lt;PolicyEff),1,Milestones!$AC$101)&amp;";  ","")&amp;IF(AND(EDATE($D37,Milestones!$AA$102)&lt;=AsOfDate,EDATE($D37,Milestones!$AA$102)&gt;=SchemeStart,IF($X37=0,$AD37,IF(AND($Z37&lt;&gt;"",EDATE($D37,Milestones!$AA$102)&gt;=$Z37),$AC37,IF(AND($Y37&lt;&gt;"",EDATE($D37,Milestones!$AA$102)&gt;=$Y37),$AB37,$AA37)))=Milestones!$AB$102),UPPER(TEXT(EDATE($D37,Milestones!$AA$102),"dd mmm yy"))&amp;" "&amp;Milestones!$AB$102&amp;" "&amp;IF(AND(Milestones!$AB$102="FT",Milestones!$AA$102=FT_Y5,EDATE($D37,Milestones!$AA$102)&lt;PolicyEff),1,Milestones!$AC$102)&amp;";  ","")&amp;IF(AND(EDATE($D37,Milestones!$AA$103)&lt;=AsOfDate,EDATE($D37,Milestones!$AA$103)&gt;=SchemeStart,IF($X37=0,$AD37,IF(AND($Z37&lt;&gt;"",EDATE($D37,Milestones!$AA$103)&gt;=$Z37),$AC37,IF(AND($Y37&lt;&gt;"",EDATE($D37,Milestones!$AA$103)&gt;=$Y37),$AB37,$AA37)))=Milestones!$AB$103),UPPER(TEXT(EDATE($D37,Milestones!$AA$103),"dd mmm yy"))&amp;" "&amp;Milestones!$AB$103&amp;" "&amp;IF(AND(Milestones!$AB$103="FT",Milestones!$AA$103=FT_Y5,EDATE($D37,Milestones!$AA$103)&lt;PolicyEff),1,Milestones!$AC$103)&amp;";  ",""))</f>
        <v/>
      </c>
      <c r="P37" s="0" t="str">
        <f aca="false">IF(OR($A37="",$D37=""),"",IF(AND(EDATE($D37,Milestones!$AA$104)&lt;=AsOfDate,EDATE($D37,Milestones!$AA$104)&gt;=SchemeStart,IF($X37=0,$AD37,IF(AND($Z37&lt;&gt;"",EDATE($D37,Milestones!$AA$104)&gt;=$Z37),$AC37,IF(AND($Y37&lt;&gt;"",EDATE($D37,Milestones!$AA$104)&gt;=$Y37),$AB37,$AA37)))=Milestones!$AB$104),UPPER(TEXT(EDATE($D37,Milestones!$AA$104),"dd mmm yy"))&amp;" "&amp;Milestones!$AB$104&amp;" "&amp;IF(AND(Milestones!$AB$104="FT",Milestones!$AA$104=FT_Y5,EDATE($D37,Milestones!$AA$104)&lt;PolicyEff),1,Milestones!$AC$104)&amp;";  ","")&amp;IF(AND(EDATE($D37,Milestones!$AA$105)&lt;=AsOfDate,EDATE($D37,Milestones!$AA$105)&gt;=SchemeStart,IF($X37=0,$AD37,IF(AND($Z37&lt;&gt;"",EDATE($D37,Milestones!$AA$105)&gt;=$Z37),$AC37,IF(AND($Y37&lt;&gt;"",EDATE($D37,Milestones!$AA$105)&gt;=$Y37),$AB37,$AA37)))=Milestones!$AB$105),UPPER(TEXT(EDATE($D37,Milestones!$AA$105),"dd mmm yy"))&amp;" "&amp;Milestones!$AB$105&amp;" "&amp;IF(AND(Milestones!$AB$105="FT",Milestones!$AA$105=FT_Y5,EDATE($D37,Milestones!$AA$105)&lt;PolicyEff),1,Milestones!$AC$105)&amp;";  ","")&amp;IF(AND(EDATE($D37,Milestones!$AA$106)&lt;=AsOfDate,EDATE($D37,Milestones!$AA$106)&gt;=SchemeStart,IF($X37=0,$AD37,IF(AND($Z37&lt;&gt;"",EDATE($D37,Milestones!$AA$106)&gt;=$Z37),$AC37,IF(AND($Y37&lt;&gt;"",EDATE($D37,Milestones!$AA$106)&gt;=$Y37),$AB37,$AA37)))=Milestones!$AB$106),UPPER(TEXT(EDATE($D37,Milestones!$AA$106),"dd mmm yy"))&amp;" "&amp;Milestones!$AB$106&amp;" "&amp;IF(AND(Milestones!$AB$106="FT",Milestones!$AA$106=FT_Y5,EDATE($D37,Milestones!$AA$106)&lt;PolicyEff),1,Milestones!$AC$106)&amp;";  ","")&amp;IF(AND(EDATE($D37,Milestones!$AA$107)&lt;=AsOfDate,EDATE($D37,Milestones!$AA$107)&gt;=SchemeStart,IF($X37=0,$AD37,IF(AND($Z37&lt;&gt;"",EDATE($D37,Milestones!$AA$107)&gt;=$Z37),$AC37,IF(AND($Y37&lt;&gt;"",EDATE($D37,Milestones!$AA$107)&gt;=$Y37),$AB37,$AA37)))=Milestones!$AB$107),UPPER(TEXT(EDATE($D37,Milestones!$AA$107),"dd mmm yy"))&amp;" "&amp;Milestones!$AB$107&amp;" "&amp;IF(AND(Milestones!$AB$107="FT",Milestones!$AA$107=FT_Y5,EDATE($D37,Milestones!$AA$107)&lt;PolicyEff),1,Milestones!$AC$107)&amp;";  ","")&amp;IF(AND(EDATE($D37,Milestones!$AA$108)&lt;=AsOfDate,EDATE($D37,Milestones!$AA$108)&gt;=SchemeStart,IF($X37=0,$AD37,IF(AND($Z37&lt;&gt;"",EDATE($D37,Milestones!$AA$108)&gt;=$Z37),$AC37,IF(AND($Y37&lt;&gt;"",EDATE($D37,Milestones!$AA$108)&gt;=$Y37),$AB37,$AA37)))=Milestones!$AB$108),UPPER(TEXT(EDATE($D37,Milestones!$AA$108),"dd mmm yy"))&amp;" "&amp;Milestones!$AB$108&amp;" "&amp;IF(AND(Milestones!$AB$108="FT",Milestones!$AA$108=FT_Y5,EDATE($D37,Milestones!$AA$108)&lt;PolicyEff),1,Milestones!$AC$108)&amp;";  ","")&amp;IF(AND(EDATE($D37,Milestones!$AA$109)&lt;=AsOfDate,EDATE($D37,Milestones!$AA$109)&gt;=SchemeStart,IF($X37=0,$AD37,IF(AND($Z37&lt;&gt;"",EDATE($D37,Milestones!$AA$109)&gt;=$Z37),$AC37,IF(AND($Y37&lt;&gt;"",EDATE($D37,Milestones!$AA$109)&gt;=$Y37),$AB37,$AA37)))=Milestones!$AB$109),UPPER(TEXT(EDATE($D37,Milestones!$AA$109),"dd mmm yy"))&amp;" "&amp;Milestones!$AB$109&amp;" "&amp;IF(AND(Milestones!$AB$109="FT",Milestones!$AA$109=FT_Y5,EDATE($D37,Milestones!$AA$109)&lt;PolicyEff),1,Milestones!$AC$109)&amp;";  ","")&amp;IF(AND(EDATE($D37,Milestones!$AA$110)&lt;=AsOfDate,EDATE($D37,Milestones!$AA$110)&gt;=SchemeStart,IF($X37=0,$AD37,IF(AND($Z37&lt;&gt;"",EDATE($D37,Milestones!$AA$110)&gt;=$Z37),$AC37,IF(AND($Y37&lt;&gt;"",EDATE($D37,Milestones!$AA$110)&gt;=$Y37),$AB37,$AA37)))=Milestones!$AB$110),UPPER(TEXT(EDATE($D37,Milestones!$AA$110),"dd mmm yy"))&amp;" "&amp;Milestones!$AB$110&amp;" "&amp;IF(AND(Milestones!$AB$110="FT",Milestones!$AA$110=FT_Y5,EDATE($D37,Milestones!$AA$110)&lt;PolicyEff),1,Milestones!$AC$110)&amp;";  ","")&amp;IF(AND(EDATE($D37,Milestones!$AA$111)&lt;=AsOfDate,EDATE($D37,Milestones!$AA$111)&gt;=SchemeStart,IF($X37=0,$AD37,IF(AND($Z37&lt;&gt;"",EDATE($D37,Milestones!$AA$111)&gt;=$Z37),$AC37,IF(AND($Y37&lt;&gt;"",EDATE($D37,Milestones!$AA$111)&gt;=$Y37),$AB37,$AA37)))=Milestones!$AB$111),UPPER(TEXT(EDATE($D37,Milestones!$AA$111),"dd mmm yy"))&amp;" "&amp;Milestones!$AB$111&amp;" "&amp;IF(AND(Milestones!$AB$111="FT",Milestones!$AA$111=FT_Y5,EDATE($D37,Milestones!$AA$111)&lt;PolicyEff),1,Milestones!$AC$111)&amp;";  ","")&amp;IF(AND(EDATE($D37,Milestones!$AA$112)&lt;=AsOfDate,EDATE($D37,Milestones!$AA$112)&gt;=SchemeStart,IF($X37=0,$AD37,IF(AND($Z37&lt;&gt;"",EDATE($D37,Milestones!$AA$112)&gt;=$Z37),$AC37,IF(AND($Y37&lt;&gt;"",EDATE($D37,Milestones!$AA$112)&gt;=$Y37),$AB37,$AA37)))=Milestones!$AB$112),UPPER(TEXT(EDATE($D37,Milestones!$AA$112),"dd mmm yy"))&amp;" "&amp;Milestones!$AB$112&amp;" "&amp;IF(AND(Milestones!$AB$112="FT",Milestones!$AA$112=FT_Y5,EDATE($D37,Milestones!$AA$112)&lt;PolicyEff),1,Milestones!$AC$112)&amp;";  ","")&amp;IF(AND(EDATE($D37,Milestones!$AA$113)&lt;=AsOfDate,EDATE($D37,Milestones!$AA$113)&gt;=SchemeStart,IF($X37=0,$AD37,IF(AND($Z37&lt;&gt;"",EDATE($D37,Milestones!$AA$113)&gt;=$Z37),$AC37,IF(AND($Y37&lt;&gt;"",EDATE($D37,Milestones!$AA$113)&gt;=$Y37),$AB37,$AA37)))=Milestones!$AB$113),UPPER(TEXT(EDATE($D37,Milestones!$AA$113),"dd mmm yy"))&amp;" "&amp;Milestones!$AB$113&amp;" "&amp;IF(AND(Milestones!$AB$113="FT",Milestones!$AA$113=FT_Y5,EDATE($D37,Milestones!$AA$113)&lt;PolicyEff),1,Milestones!$AC$113)&amp;";  ","")&amp;IF(AND(EDATE($D37,Milestones!$AA$114)&lt;=AsOfDate,EDATE($D37,Milestones!$AA$114)&gt;=SchemeStart,IF($X37=0,$AD37,IF(AND($Z37&lt;&gt;"",EDATE($D37,Milestones!$AA$114)&gt;=$Z37),$AC37,IF(AND($Y37&lt;&gt;"",EDATE($D37,Milestones!$AA$114)&gt;=$Y37),$AB37,$AA37)))=Milestones!$AB$114),UPPER(TEXT(EDATE($D37,Milestones!$AA$114),"dd mmm yy"))&amp;" "&amp;Milestones!$AB$114&amp;" "&amp;IF(AND(Milestones!$AB$114="FT",Milestones!$AA$114=FT_Y5,EDATE($D37,Milestones!$AA$114)&lt;PolicyEff),1,Milestones!$AC$114)&amp;";  ","")&amp;IF(AND(EDATE($D37,Milestones!$AA$115)&lt;=AsOfDate,EDATE($D37,Milestones!$AA$115)&gt;=SchemeStart,IF($X37=0,$AD37,IF(AND($Z37&lt;&gt;"",EDATE($D37,Milestones!$AA$115)&gt;=$Z37),$AC37,IF(AND($Y37&lt;&gt;"",EDATE($D37,Milestones!$AA$115)&gt;=$Y37),$AB37,$AA37)))=Milestones!$AB$115),UPPER(TEXT(EDATE($D37,Milestones!$AA$115),"dd mmm yy"))&amp;" "&amp;Milestones!$AB$115&amp;" "&amp;IF(AND(Milestones!$AB$115="FT",Milestones!$AA$115=FT_Y5,EDATE($D37,Milestones!$AA$115)&lt;PolicyEff),1,Milestones!$AC$115)&amp;";  ",""))</f>
        <v/>
      </c>
      <c r="Q37" s="0" t="str">
        <f aca="false">IF(OR($A37="",$D37=""),"",IF(AND(EDATE($D37,Milestones!$AA$116)&lt;=AsOfDate,EDATE($D37,Milestones!$AA$116)&gt;=SchemeStart,IF($X37=0,$AD37,IF(AND($Z37&lt;&gt;"",EDATE($D37,Milestones!$AA$116)&gt;=$Z37),$AC37,IF(AND($Y37&lt;&gt;"",EDATE($D37,Milestones!$AA$116)&gt;=$Y37),$AB37,$AA37)))=Milestones!$AB$116),UPPER(TEXT(EDATE($D37,Milestones!$AA$116),"dd mmm yy"))&amp;" "&amp;Milestones!$AB$116&amp;" "&amp;IF(AND(Milestones!$AB$116="FT",Milestones!$AA$116=FT_Y5,EDATE($D37,Milestones!$AA$116)&lt;PolicyEff),1,Milestones!$AC$116)&amp;";  ","")&amp;IF(AND(EDATE($D37,Milestones!$AA$117)&lt;=AsOfDate,EDATE($D37,Milestones!$AA$117)&gt;=SchemeStart,IF($X37=0,$AD37,IF(AND($Z37&lt;&gt;"",EDATE($D37,Milestones!$AA$117)&gt;=$Z37),$AC37,IF(AND($Y37&lt;&gt;"",EDATE($D37,Milestones!$AA$117)&gt;=$Y37),$AB37,$AA37)))=Milestones!$AB$117),UPPER(TEXT(EDATE($D37,Milestones!$AA$117),"dd mmm yy"))&amp;" "&amp;Milestones!$AB$117&amp;" "&amp;IF(AND(Milestones!$AB$117="FT",Milestones!$AA$117=FT_Y5,EDATE($D37,Milestones!$AA$117)&lt;PolicyEff),1,Milestones!$AC$117)&amp;";  ","")&amp;IF(AND(EDATE($D37,Milestones!$AA$118)&lt;=AsOfDate,EDATE($D37,Milestones!$AA$118)&gt;=SchemeStart,IF($X37=0,$AD37,IF(AND($Z37&lt;&gt;"",EDATE($D37,Milestones!$AA$118)&gt;=$Z37),$AC37,IF(AND($Y37&lt;&gt;"",EDATE($D37,Milestones!$AA$118)&gt;=$Y37),$AB37,$AA37)))=Milestones!$AB$118),UPPER(TEXT(EDATE($D37,Milestones!$AA$118),"dd mmm yy"))&amp;" "&amp;Milestones!$AB$118&amp;" "&amp;IF(AND(Milestones!$AB$118="FT",Milestones!$AA$118=FT_Y5,EDATE($D37,Milestones!$AA$118)&lt;PolicyEff),1,Milestones!$AC$118)&amp;";  ","")&amp;IF(AND(EDATE($D37,Milestones!$AA$119)&lt;=AsOfDate,EDATE($D37,Milestones!$AA$119)&gt;=SchemeStart,IF($X37=0,$AD37,IF(AND($Z37&lt;&gt;"",EDATE($D37,Milestones!$AA$119)&gt;=$Z37),$AC37,IF(AND($Y37&lt;&gt;"",EDATE($D37,Milestones!$AA$119)&gt;=$Y37),$AB37,$AA37)))=Milestones!$AB$119),UPPER(TEXT(EDATE($D37,Milestones!$AA$119),"dd mmm yy"))&amp;" "&amp;Milestones!$AB$119&amp;" "&amp;IF(AND(Milestones!$AB$119="FT",Milestones!$AA$119=FT_Y5,EDATE($D37,Milestones!$AA$119)&lt;PolicyEff),1,Milestones!$AC$119)&amp;";  ","")&amp;IF(AND(EDATE($D37,Milestones!$AA$120)&lt;=AsOfDate,EDATE($D37,Milestones!$AA$120)&gt;=SchemeStart,IF($X37=0,$AD37,IF(AND($Z37&lt;&gt;"",EDATE($D37,Milestones!$AA$120)&gt;=$Z37),$AC37,IF(AND($Y37&lt;&gt;"",EDATE($D37,Milestones!$AA$120)&gt;=$Y37),$AB37,$AA37)))=Milestones!$AB$120),UPPER(TEXT(EDATE($D37,Milestones!$AA$120),"dd mmm yy"))&amp;" "&amp;Milestones!$AB$120&amp;" "&amp;IF(AND(Milestones!$AB$120="FT",Milestones!$AA$120=FT_Y5,EDATE($D37,Milestones!$AA$120)&lt;PolicyEff),1,Milestones!$AC$120)&amp;";  ","")&amp;IF(AND(EDATE($D37,Milestones!$AA$121)&lt;=AsOfDate,EDATE($D37,Milestones!$AA$121)&gt;=SchemeStart,IF($X37=0,$AD37,IF(AND($Z37&lt;&gt;"",EDATE($D37,Milestones!$AA$121)&gt;=$Z37),$AC37,IF(AND($Y37&lt;&gt;"",EDATE($D37,Milestones!$AA$121)&gt;=$Y37),$AB37,$AA37)))=Milestones!$AB$121),UPPER(TEXT(EDATE($D37,Milestones!$AA$121),"dd mmm yy"))&amp;" "&amp;Milestones!$AB$121&amp;" "&amp;IF(AND(Milestones!$AB$121="FT",Milestones!$AA$121=FT_Y5,EDATE($D37,Milestones!$AA$121)&lt;PolicyEff),1,Milestones!$AC$121)&amp;";  ","")&amp;IF(AND(EDATE($D37,Milestones!$AA$122)&lt;=AsOfDate,EDATE($D37,Milestones!$AA$122)&gt;=SchemeStart,IF($X37=0,$AD37,IF(AND($Z37&lt;&gt;"",EDATE($D37,Milestones!$AA$122)&gt;=$Z37),$AC37,IF(AND($Y37&lt;&gt;"",EDATE($D37,Milestones!$AA$122)&gt;=$Y37),$AB37,$AA37)))=Milestones!$AB$122),UPPER(TEXT(EDATE($D37,Milestones!$AA$122),"dd mmm yy"))&amp;" "&amp;Milestones!$AB$122&amp;" "&amp;IF(AND(Milestones!$AB$122="FT",Milestones!$AA$122=FT_Y5,EDATE($D37,Milestones!$AA$122)&lt;PolicyEff),1,Milestones!$AC$122)&amp;";  ","")&amp;IF(AND(EDATE($D37,Milestones!$AA$123)&lt;=AsOfDate,EDATE($D37,Milestones!$AA$123)&gt;=SchemeStart,IF($X37=0,$AD37,IF(AND($Z37&lt;&gt;"",EDATE($D37,Milestones!$AA$123)&gt;=$Z37),$AC37,IF(AND($Y37&lt;&gt;"",EDATE($D37,Milestones!$AA$123)&gt;=$Y37),$AB37,$AA37)))=Milestones!$AB$123),UPPER(TEXT(EDATE($D37,Milestones!$AA$123),"dd mmm yy"))&amp;" "&amp;Milestones!$AB$123&amp;" "&amp;IF(AND(Milestones!$AB$123="FT",Milestones!$AA$123=FT_Y5,EDATE($D37,Milestones!$AA$123)&lt;PolicyEff),1,Milestones!$AC$123)&amp;";  ","")&amp;IF(AND(EDATE($D37,Milestones!$AA$124)&lt;=AsOfDate,EDATE($D37,Milestones!$AA$124)&gt;=SchemeStart,IF($X37=0,$AD37,IF(AND($Z37&lt;&gt;"",EDATE($D37,Milestones!$AA$124)&gt;=$Z37),$AC37,IF(AND($Y37&lt;&gt;"",EDATE($D37,Milestones!$AA$124)&gt;=$Y37),$AB37,$AA37)))=Milestones!$AB$124),UPPER(TEXT(EDATE($D37,Milestones!$AA$124),"dd mmm yy"))&amp;" "&amp;Milestones!$AB$124&amp;" "&amp;IF(AND(Milestones!$AB$124="FT",Milestones!$AA$124=FT_Y5,EDATE($D37,Milestones!$AA$124)&lt;PolicyEff),1,Milestones!$AC$124)&amp;";  ","")&amp;IF(AND(EDATE($D37,Milestones!$AA$125)&lt;=AsOfDate,EDATE($D37,Milestones!$AA$125)&gt;=SchemeStart,IF($X37=0,$AD37,IF(AND($Z37&lt;&gt;"",EDATE($D37,Milestones!$AA$125)&gt;=$Z37),$AC37,IF(AND($Y37&lt;&gt;"",EDATE($D37,Milestones!$AA$125)&gt;=$Y37),$AB37,$AA37)))=Milestones!$AB$125),UPPER(TEXT(EDATE($D37,Milestones!$AA$125),"dd mmm yy"))&amp;" "&amp;Milestones!$AB$125&amp;" "&amp;IF(AND(Milestones!$AB$125="FT",Milestones!$AA$125=FT_Y5,EDATE($D37,Milestones!$AA$125)&lt;PolicyEff),1,Milestones!$AC$125)&amp;";  ","")&amp;IF(AND(EDATE($D37,Milestones!$AA$126)&lt;=AsOfDate,EDATE($D37,Milestones!$AA$126)&gt;=SchemeStart,IF($X37=0,$AD37,IF(AND($Z37&lt;&gt;"",EDATE($D37,Milestones!$AA$126)&gt;=$Z37),$AC37,IF(AND($Y37&lt;&gt;"",EDATE($D37,Milestones!$AA$126)&gt;=$Y37),$AB37,$AA37)))=Milestones!$AB$126),UPPER(TEXT(EDATE($D37,Milestones!$AA$126),"dd mmm yy"))&amp;" "&amp;Milestones!$AB$126&amp;" "&amp;IF(AND(Milestones!$AB$126="FT",Milestones!$AA$126=FT_Y5,EDATE($D37,Milestones!$AA$126)&lt;PolicyEff),1,Milestones!$AC$126)&amp;";  ","")&amp;IF(AND(EDATE($D37,Milestones!$AA$127)&lt;=AsOfDate,EDATE($D37,Milestones!$AA$127)&gt;=SchemeStart,IF($X37=0,$AD37,IF(AND($Z37&lt;&gt;"",EDATE($D37,Milestones!$AA$127)&gt;=$Z37),$AC37,IF(AND($Y37&lt;&gt;"",EDATE($D37,Milestones!$AA$127)&gt;=$Y37),$AB37,$AA37)))=Milestones!$AB$127),UPPER(TEXT(EDATE($D37,Milestones!$AA$127),"dd mmm yy"))&amp;" "&amp;Milestones!$AB$127&amp;" "&amp;IF(AND(Milestones!$AB$127="FT",Milestones!$AA$127=FT_Y5,EDATE($D37,Milestones!$AA$127)&lt;PolicyEff),1,Milestones!$AC$127)&amp;";  ",""))</f>
        <v/>
      </c>
      <c r="R37" s="0" t="str">
        <f aca="false">IF(OR($A37="",$D37=""),"",IF(AND(EDATE($D37,Milestones!$AA$128)&lt;=AsOfDate,EDATE($D37,Milestones!$AA$128)&gt;=SchemeStart,IF($X37=0,$AD37,IF(AND($Z37&lt;&gt;"",EDATE($D37,Milestones!$AA$128)&gt;=$Z37),$AC37,IF(AND($Y37&lt;&gt;"",EDATE($D37,Milestones!$AA$128)&gt;=$Y37),$AB37,$AA37)))=Milestones!$AB$128),UPPER(TEXT(EDATE($D37,Milestones!$AA$128),"dd mmm yy"))&amp;" "&amp;Milestones!$AB$128&amp;" "&amp;IF(AND(Milestones!$AB$128="FT",Milestones!$AA$128=FT_Y5,EDATE($D37,Milestones!$AA$128)&lt;PolicyEff),1,Milestones!$AC$128)&amp;";  ","")&amp;IF(AND(EDATE($D37,Milestones!$AA$129)&lt;=AsOfDate,EDATE($D37,Milestones!$AA$129)&gt;=SchemeStart,IF($X37=0,$AD37,IF(AND($Z37&lt;&gt;"",EDATE($D37,Milestones!$AA$129)&gt;=$Z37),$AC37,IF(AND($Y37&lt;&gt;"",EDATE($D37,Milestones!$AA$129)&gt;=$Y37),$AB37,$AA37)))=Milestones!$AB$129),UPPER(TEXT(EDATE($D37,Milestones!$AA$129),"dd mmm yy"))&amp;" "&amp;Milestones!$AB$129&amp;" "&amp;IF(AND(Milestones!$AB$129="FT",Milestones!$AA$129=FT_Y5,EDATE($D37,Milestones!$AA$129)&lt;PolicyEff),1,Milestones!$AC$129)&amp;";  ","")&amp;IF(AND(EDATE($D37,Milestones!$AA$130)&lt;=AsOfDate,EDATE($D37,Milestones!$AA$130)&gt;=SchemeStart,IF($X37=0,$AD37,IF(AND($Z37&lt;&gt;"",EDATE($D37,Milestones!$AA$130)&gt;=$Z37),$AC37,IF(AND($Y37&lt;&gt;"",EDATE($D37,Milestones!$AA$130)&gt;=$Y37),$AB37,$AA37)))=Milestones!$AB$130),UPPER(TEXT(EDATE($D37,Milestones!$AA$130),"dd mmm yy"))&amp;" "&amp;Milestones!$AB$130&amp;" "&amp;IF(AND(Milestones!$AB$130="FT",Milestones!$AA$130=FT_Y5,EDATE($D37,Milestones!$AA$130)&lt;PolicyEff),1,Milestones!$AC$130)&amp;";  ","")&amp;IF(AND(EDATE($D37,Milestones!$AA$131)&lt;=AsOfDate,EDATE($D37,Milestones!$AA$131)&gt;=SchemeStart,IF($X37=0,$AD37,IF(AND($Z37&lt;&gt;"",EDATE($D37,Milestones!$AA$131)&gt;=$Z37),$AC37,IF(AND($Y37&lt;&gt;"",EDATE($D37,Milestones!$AA$131)&gt;=$Y37),$AB37,$AA37)))=Milestones!$AB$131),UPPER(TEXT(EDATE($D37,Milestones!$AA$131),"dd mmm yy"))&amp;" "&amp;Milestones!$AB$131&amp;" "&amp;IF(AND(Milestones!$AB$131="FT",Milestones!$AA$131=FT_Y5,EDATE($D37,Milestones!$AA$131)&lt;PolicyEff),1,Milestones!$AC$131)&amp;";  ","")&amp;IF(AND(EDATE($D37,Milestones!$AA$132)&lt;=AsOfDate,EDATE($D37,Milestones!$AA$132)&gt;=SchemeStart,IF($X37=0,$AD37,IF(AND($Z37&lt;&gt;"",EDATE($D37,Milestones!$AA$132)&gt;=$Z37),$AC37,IF(AND($Y37&lt;&gt;"",EDATE($D37,Milestones!$AA$132)&gt;=$Y37),$AB37,$AA37)))=Milestones!$AB$132),UPPER(TEXT(EDATE($D37,Milestones!$AA$132),"dd mmm yy"))&amp;" "&amp;Milestones!$AB$132&amp;" "&amp;IF(AND(Milestones!$AB$132="FT",Milestones!$AA$132=FT_Y5,EDATE($D37,Milestones!$AA$132)&lt;PolicyEff),1,Milestones!$AC$132)&amp;";  ","")&amp;IF(AND(EDATE($D37,Milestones!$AA$133)&lt;=AsOfDate,EDATE($D37,Milestones!$AA$133)&gt;=SchemeStart,IF($X37=0,$AD37,IF(AND($Z37&lt;&gt;"",EDATE($D37,Milestones!$AA$133)&gt;=$Z37),$AC37,IF(AND($Y37&lt;&gt;"",EDATE($D37,Milestones!$AA$133)&gt;=$Y37),$AB37,$AA37)))=Milestones!$AB$133),UPPER(TEXT(EDATE($D37,Milestones!$AA$133),"dd mmm yy"))&amp;" "&amp;Milestones!$AB$133&amp;" "&amp;IF(AND(Milestones!$AB$133="FT",Milestones!$AA$133=FT_Y5,EDATE($D37,Milestones!$AA$133)&lt;PolicyEff),1,Milestones!$AC$133)&amp;";  ","")&amp;IF(AND(EDATE($D37,Milestones!$AA$134)&lt;=AsOfDate,EDATE($D37,Milestones!$AA$134)&gt;=SchemeStart,IF($X37=0,$AD37,IF(AND($Z37&lt;&gt;"",EDATE($D37,Milestones!$AA$134)&gt;=$Z37),$AC37,IF(AND($Y37&lt;&gt;"",EDATE($D37,Milestones!$AA$134)&gt;=$Y37),$AB37,$AA37)))=Milestones!$AB$134),UPPER(TEXT(EDATE($D37,Milestones!$AA$134),"dd mmm yy"))&amp;" "&amp;Milestones!$AB$134&amp;" "&amp;IF(AND(Milestones!$AB$134="FT",Milestones!$AA$134=FT_Y5,EDATE($D37,Milestones!$AA$134)&lt;PolicyEff),1,Milestones!$AC$134)&amp;";  ","")&amp;IF(AND(EDATE($D37,Milestones!$AA$135)&lt;=AsOfDate,EDATE($D37,Milestones!$AA$135)&gt;=SchemeStart,IF($X37=0,$AD37,IF(AND($Z37&lt;&gt;"",EDATE($D37,Milestones!$AA$135)&gt;=$Z37),$AC37,IF(AND($Y37&lt;&gt;"",EDATE($D37,Milestones!$AA$135)&gt;=$Y37),$AB37,$AA37)))=Milestones!$AB$135),UPPER(TEXT(EDATE($D37,Milestones!$AA$135),"dd mmm yy"))&amp;" "&amp;Milestones!$AB$135&amp;" "&amp;IF(AND(Milestones!$AB$135="FT",Milestones!$AA$135=FT_Y5,EDATE($D37,Milestones!$AA$135)&lt;PolicyEff),1,Milestones!$AC$135)&amp;";  ","")&amp;IF(AND(EDATE($D37,Milestones!$AA$136)&lt;=AsOfDate,EDATE($D37,Milestones!$AA$136)&gt;=SchemeStart,IF($X37=0,$AD37,IF(AND($Z37&lt;&gt;"",EDATE($D37,Milestones!$AA$136)&gt;=$Z37),$AC37,IF(AND($Y37&lt;&gt;"",EDATE($D37,Milestones!$AA$136)&gt;=$Y37),$AB37,$AA37)))=Milestones!$AB$136),UPPER(TEXT(EDATE($D37,Milestones!$AA$136),"dd mmm yy"))&amp;" "&amp;Milestones!$AB$136&amp;" "&amp;IF(AND(Milestones!$AB$136="FT",Milestones!$AA$136=FT_Y5,EDATE($D37,Milestones!$AA$136)&lt;PolicyEff),1,Milestones!$AC$136)&amp;";  ","")&amp;IF(AND(EDATE($D37,Milestones!$AA$137)&lt;=AsOfDate,EDATE($D37,Milestones!$AA$137)&gt;=SchemeStart,IF($X37=0,$AD37,IF(AND($Z37&lt;&gt;"",EDATE($D37,Milestones!$AA$137)&gt;=$Z37),$AC37,IF(AND($Y37&lt;&gt;"",EDATE($D37,Milestones!$AA$137)&gt;=$Y37),$AB37,$AA37)))=Milestones!$AB$137),UPPER(TEXT(EDATE($D37,Milestones!$AA$137),"dd mmm yy"))&amp;" "&amp;Milestones!$AB$137&amp;" "&amp;IF(AND(Milestones!$AB$137="FT",Milestones!$AA$137=FT_Y5,EDATE($D37,Milestones!$AA$137)&lt;PolicyEff),1,Milestones!$AC$137)&amp;";  ","")&amp;IF(AND(EDATE($D37,Milestones!$AA$138)&lt;=AsOfDate,EDATE($D37,Milestones!$AA$138)&gt;=SchemeStart,IF($X37=0,$AD37,IF(AND($Z37&lt;&gt;"",EDATE($D37,Milestones!$AA$138)&gt;=$Z37),$AC37,IF(AND($Y37&lt;&gt;"",EDATE($D37,Milestones!$AA$138)&gt;=$Y37),$AB37,$AA37)))=Milestones!$AB$138),UPPER(TEXT(EDATE($D37,Milestones!$AA$138),"dd mmm yy"))&amp;" "&amp;Milestones!$AB$138&amp;" "&amp;IF(AND(Milestones!$AB$138="FT",Milestones!$AA$138=FT_Y5,EDATE($D37,Milestones!$AA$138)&lt;PolicyEff),1,Milestones!$AC$138)&amp;";  ","")&amp;IF(AND(EDATE($D37,Milestones!$AA$139)&lt;=AsOfDate,EDATE($D37,Milestones!$AA$139)&gt;=SchemeStart,IF($X37=0,$AD37,IF(AND($Z37&lt;&gt;"",EDATE($D37,Milestones!$AA$139)&gt;=$Z37),$AC37,IF(AND($Y37&lt;&gt;"",EDATE($D37,Milestones!$AA$139)&gt;=$Y37),$AB37,$AA37)))=Milestones!$AB$139),UPPER(TEXT(EDATE($D37,Milestones!$AA$139),"dd mmm yy"))&amp;" "&amp;Milestones!$AB$139&amp;" "&amp;IF(AND(Milestones!$AB$139="FT",Milestones!$AA$139=FT_Y5,EDATE($D37,Milestones!$AA$139)&lt;PolicyEff),1,Milestones!$AC$139)&amp;";  ",""))</f>
        <v/>
      </c>
      <c r="S37" s="0" t="str">
        <f aca="false">IF(OR($A37="",$D37=""),"",IF(AND(EDATE($D37,Milestones!$AA$140)&lt;=AsOfDate,EDATE($D37,Milestones!$AA$140)&gt;=SchemeStart,IF($X37=0,$AD37,IF(AND($Z37&lt;&gt;"",EDATE($D37,Milestones!$AA$140)&gt;=$Z37),$AC37,IF(AND($Y37&lt;&gt;"",EDATE($D37,Milestones!$AA$140)&gt;=$Y37),$AB37,$AA37)))=Milestones!$AB$140),UPPER(TEXT(EDATE($D37,Milestones!$AA$140),"dd mmm yy"))&amp;" "&amp;Milestones!$AB$140&amp;" "&amp;IF(AND(Milestones!$AB$140="FT",Milestones!$AA$140=FT_Y5,EDATE($D37,Milestones!$AA$140)&lt;PolicyEff),1,Milestones!$AC$140)&amp;";  ","")&amp;IF(AND(EDATE($D37,Milestones!$AA$141)&lt;=AsOfDate,EDATE($D37,Milestones!$AA$141)&gt;=SchemeStart,IF($X37=0,$AD37,IF(AND($Z37&lt;&gt;"",EDATE($D37,Milestones!$AA$141)&gt;=$Z37),$AC37,IF(AND($Y37&lt;&gt;"",EDATE($D37,Milestones!$AA$141)&gt;=$Y37),$AB37,$AA37)))=Milestones!$AB$141),UPPER(TEXT(EDATE($D37,Milestones!$AA$141),"dd mmm yy"))&amp;" "&amp;Milestones!$AB$141&amp;" "&amp;IF(AND(Milestones!$AB$141="FT",Milestones!$AA$141=FT_Y5,EDATE($D37,Milestones!$AA$141)&lt;PolicyEff),1,Milestones!$AC$141)&amp;";  ","")&amp;IF(AND(EDATE($D37,Milestones!$AA$142)&lt;=AsOfDate,EDATE($D37,Milestones!$AA$142)&gt;=SchemeStart,IF($X37=0,$AD37,IF(AND($Z37&lt;&gt;"",EDATE($D37,Milestones!$AA$142)&gt;=$Z37),$AC37,IF(AND($Y37&lt;&gt;"",EDATE($D37,Milestones!$AA$142)&gt;=$Y37),$AB37,$AA37)))=Milestones!$AB$142),UPPER(TEXT(EDATE($D37,Milestones!$AA$142),"dd mmm yy"))&amp;" "&amp;Milestones!$AB$142&amp;" "&amp;IF(AND(Milestones!$AB$142="FT",Milestones!$AA$142=FT_Y5,EDATE($D37,Milestones!$AA$142)&lt;PolicyEff),1,Milestones!$AC$142)&amp;";  ","")&amp;IF(AND(EDATE($D37,Milestones!$AA$143)&lt;=AsOfDate,EDATE($D37,Milestones!$AA$143)&gt;=SchemeStart,IF($X37=0,$AD37,IF(AND($Z37&lt;&gt;"",EDATE($D37,Milestones!$AA$143)&gt;=$Z37),$AC37,IF(AND($Y37&lt;&gt;"",EDATE($D37,Milestones!$AA$143)&gt;=$Y37),$AB37,$AA37)))=Milestones!$AB$143),UPPER(TEXT(EDATE($D37,Milestones!$AA$143),"dd mmm yy"))&amp;" "&amp;Milestones!$AB$143&amp;" "&amp;IF(AND(Milestones!$AB$143="FT",Milestones!$AA$143=FT_Y5,EDATE($D37,Milestones!$AA$143)&lt;PolicyEff),1,Milestones!$AC$143)&amp;";  ","")&amp;IF(AND(EDATE($D37,Milestones!$AA$144)&lt;=AsOfDate,EDATE($D37,Milestones!$AA$144)&gt;=SchemeStart,IF($X37=0,$AD37,IF(AND($Z37&lt;&gt;"",EDATE($D37,Milestones!$AA$144)&gt;=$Z37),$AC37,IF(AND($Y37&lt;&gt;"",EDATE($D37,Milestones!$AA$144)&gt;=$Y37),$AB37,$AA37)))=Milestones!$AB$144),UPPER(TEXT(EDATE($D37,Milestones!$AA$144),"dd mmm yy"))&amp;" "&amp;Milestones!$AB$144&amp;" "&amp;IF(AND(Milestones!$AB$144="FT",Milestones!$AA$144=FT_Y5,EDATE($D37,Milestones!$AA$144)&lt;PolicyEff),1,Milestones!$AC$144)&amp;";  ","")&amp;IF(AND(EDATE($D37,Milestones!$AA$145)&lt;=AsOfDate,EDATE($D37,Milestones!$AA$145)&gt;=SchemeStart,IF($X37=0,$AD37,IF(AND($Z37&lt;&gt;"",EDATE($D37,Milestones!$AA$145)&gt;=$Z37),$AC37,IF(AND($Y37&lt;&gt;"",EDATE($D37,Milestones!$AA$145)&gt;=$Y37),$AB37,$AA37)))=Milestones!$AB$145),UPPER(TEXT(EDATE($D37,Milestones!$AA$145),"dd mmm yy"))&amp;" "&amp;Milestones!$AB$145&amp;" "&amp;IF(AND(Milestones!$AB$145="FT",Milestones!$AA$145=FT_Y5,EDATE($D37,Milestones!$AA$145)&lt;PolicyEff),1,Milestones!$AC$145)&amp;";  ","")&amp;IF(AND(EDATE($D37,Milestones!$AA$146)&lt;=AsOfDate,EDATE($D37,Milestones!$AA$146)&gt;=SchemeStart,IF($X37=0,$AD37,IF(AND($Z37&lt;&gt;"",EDATE($D37,Milestones!$AA$146)&gt;=$Z37),$AC37,IF(AND($Y37&lt;&gt;"",EDATE($D37,Milestones!$AA$146)&gt;=$Y37),$AB37,$AA37)))=Milestones!$AB$146),UPPER(TEXT(EDATE($D37,Milestones!$AA$146),"dd mmm yy"))&amp;" "&amp;Milestones!$AB$146&amp;" "&amp;IF(AND(Milestones!$AB$146="FT",Milestones!$AA$146=FT_Y5,EDATE($D37,Milestones!$AA$146)&lt;PolicyEff),1,Milestones!$AC$146)&amp;";  ","")&amp;IF(AND(EDATE($D37,Milestones!$AA$147)&lt;=AsOfDate,EDATE($D37,Milestones!$AA$147)&gt;=SchemeStart,IF($X37=0,$AD37,IF(AND($Z37&lt;&gt;"",EDATE($D37,Milestones!$AA$147)&gt;=$Z37),$AC37,IF(AND($Y37&lt;&gt;"",EDATE($D37,Milestones!$AA$147)&gt;=$Y37),$AB37,$AA37)))=Milestones!$AB$147),UPPER(TEXT(EDATE($D37,Milestones!$AA$147),"dd mmm yy"))&amp;" "&amp;Milestones!$AB$147&amp;" "&amp;IF(AND(Milestones!$AB$147="FT",Milestones!$AA$147=FT_Y5,EDATE($D37,Milestones!$AA$147)&lt;PolicyEff),1,Milestones!$AC$147)&amp;";  ","")&amp;IF(AND(EDATE($D37,Milestones!$AA$148)&lt;=AsOfDate,EDATE($D37,Milestones!$AA$148)&gt;=SchemeStart,IF($X37=0,$AD37,IF(AND($Z37&lt;&gt;"",EDATE($D37,Milestones!$AA$148)&gt;=$Z37),$AC37,IF(AND($Y37&lt;&gt;"",EDATE($D37,Milestones!$AA$148)&gt;=$Y37),$AB37,$AA37)))=Milestones!$AB$148),UPPER(TEXT(EDATE($D37,Milestones!$AA$148),"dd mmm yy"))&amp;" "&amp;Milestones!$AB$148&amp;" "&amp;IF(AND(Milestones!$AB$148="FT",Milestones!$AA$148=FT_Y5,EDATE($D37,Milestones!$AA$148)&lt;PolicyEff),1,Milestones!$AC$148)&amp;";  ","")&amp;IF(AND(EDATE($D37,Milestones!$AA$149)&lt;=AsOfDate,EDATE($D37,Milestones!$AA$149)&gt;=SchemeStart,IF($X37=0,$AD37,IF(AND($Z37&lt;&gt;"",EDATE($D37,Milestones!$AA$149)&gt;=$Z37),$AC37,IF(AND($Y37&lt;&gt;"",EDATE($D37,Milestones!$AA$149)&gt;=$Y37),$AB37,$AA37)))=Milestones!$AB$149),UPPER(TEXT(EDATE($D37,Milestones!$AA$149),"dd mmm yy"))&amp;" "&amp;Milestones!$AB$149&amp;" "&amp;IF(AND(Milestones!$AB$149="FT",Milestones!$AA$149=FT_Y5,EDATE($D37,Milestones!$AA$149)&lt;PolicyEff),1,Milestones!$AC$149)&amp;";  ","")&amp;IF(AND(EDATE($D37,Milestones!$AA$150)&lt;=AsOfDate,EDATE($D37,Milestones!$AA$150)&gt;=SchemeStart,IF($X37=0,$AD37,IF(AND($Z37&lt;&gt;"",EDATE($D37,Milestones!$AA$150)&gt;=$Z37),$AC37,IF(AND($Y37&lt;&gt;"",EDATE($D37,Milestones!$AA$150)&gt;=$Y37),$AB37,$AA37)))=Milestones!$AB$150),UPPER(TEXT(EDATE($D37,Milestones!$AA$150),"dd mmm yy"))&amp;" "&amp;Milestones!$AB$150&amp;" "&amp;IF(AND(Milestones!$AB$150="FT",Milestones!$AA$150=FT_Y5,EDATE($D37,Milestones!$AA$150)&lt;PolicyEff),1,Milestones!$AC$150)&amp;";  ","")&amp;IF(AND(EDATE($D37,Milestones!$AA$151)&lt;=AsOfDate,EDATE($D37,Milestones!$AA$151)&gt;=SchemeStart,IF($X37=0,$AD37,IF(AND($Z37&lt;&gt;"",EDATE($D37,Milestones!$AA$151)&gt;=$Z37),$AC37,IF(AND($Y37&lt;&gt;"",EDATE($D37,Milestones!$AA$151)&gt;=$Y37),$AB37,$AA37)))=Milestones!$AB$151),UPPER(TEXT(EDATE($D37,Milestones!$AA$151),"dd mmm yy"))&amp;" "&amp;Milestones!$AB$151&amp;" "&amp;IF(AND(Milestones!$AB$151="FT",Milestones!$AA$151=FT_Y5,EDATE($D37,Milestones!$AA$151)&lt;PolicyEff),1,Milestones!$AC$151)&amp;";  ",""))</f>
        <v/>
      </c>
      <c r="T37" s="0" t="str">
        <f aca="false">IF(OR($A37="",$D37=""),"",IF(AND(EDATE($D37,Milestones!$AA$152)&lt;=AsOfDate,EDATE($D37,Milestones!$AA$152)&gt;=SchemeStart,IF($X37=0,$AD37,IF(AND($Z37&lt;&gt;"",EDATE($D37,Milestones!$AA$152)&gt;=$Z37),$AC37,IF(AND($Y37&lt;&gt;"",EDATE($D37,Milestones!$AA$152)&gt;=$Y37),$AB37,$AA37)))=Milestones!$AB$152),UPPER(TEXT(EDATE($D37,Milestones!$AA$152),"dd mmm yy"))&amp;" "&amp;Milestones!$AB$152&amp;" "&amp;IF(AND(Milestones!$AB$152="FT",Milestones!$AA$152=FT_Y5,EDATE($D37,Milestones!$AA$152)&lt;PolicyEff),1,Milestones!$AC$152)&amp;";  ","")&amp;IF(AND(EDATE($D37,Milestones!$AA$153)&lt;=AsOfDate,EDATE($D37,Milestones!$AA$153)&gt;=SchemeStart,IF($X37=0,$AD37,IF(AND($Z37&lt;&gt;"",EDATE($D37,Milestones!$AA$153)&gt;=$Z37),$AC37,IF(AND($Y37&lt;&gt;"",EDATE($D37,Milestones!$AA$153)&gt;=$Y37),$AB37,$AA37)))=Milestones!$AB$153),UPPER(TEXT(EDATE($D37,Milestones!$AA$153),"dd mmm yy"))&amp;" "&amp;Milestones!$AB$153&amp;" "&amp;IF(AND(Milestones!$AB$153="FT",Milestones!$AA$153=FT_Y5,EDATE($D37,Milestones!$AA$153)&lt;PolicyEff),1,Milestones!$AC$153)&amp;";  ","")&amp;IF(AND(EDATE($D37,Milestones!$AA$154)&lt;=AsOfDate,EDATE($D37,Milestones!$AA$154)&gt;=SchemeStart,IF($X37=0,$AD37,IF(AND($Z37&lt;&gt;"",EDATE($D37,Milestones!$AA$154)&gt;=$Z37),$AC37,IF(AND($Y37&lt;&gt;"",EDATE($D37,Milestones!$AA$154)&gt;=$Y37),$AB37,$AA37)))=Milestones!$AB$154),UPPER(TEXT(EDATE($D37,Milestones!$AA$154),"dd mmm yy"))&amp;" "&amp;Milestones!$AB$154&amp;" "&amp;IF(AND(Milestones!$AB$154="FT",Milestones!$AA$154=FT_Y5,EDATE($D37,Milestones!$AA$154)&lt;PolicyEff),1,Milestones!$AC$154)&amp;";  ","")&amp;IF(AND(EDATE($D37,Milestones!$AA$155)&lt;=AsOfDate,EDATE($D37,Milestones!$AA$155)&gt;=SchemeStart,IF($X37=0,$AD37,IF(AND($Z37&lt;&gt;"",EDATE($D37,Milestones!$AA$155)&gt;=$Z37),$AC37,IF(AND($Y37&lt;&gt;"",EDATE($D37,Milestones!$AA$155)&gt;=$Y37),$AB37,$AA37)))=Milestones!$AB$155),UPPER(TEXT(EDATE($D37,Milestones!$AA$155),"dd mmm yy"))&amp;" "&amp;Milestones!$AB$155&amp;" "&amp;IF(AND(Milestones!$AB$155="FT",Milestones!$AA$155=FT_Y5,EDATE($D37,Milestones!$AA$155)&lt;PolicyEff),1,Milestones!$AC$155)&amp;";  ","")&amp;IF(AND(EDATE($D37,Milestones!$AA$156)&lt;=AsOfDate,EDATE($D37,Milestones!$AA$156)&gt;=SchemeStart,IF($X37=0,$AD37,IF(AND($Z37&lt;&gt;"",EDATE($D37,Milestones!$AA$156)&gt;=$Z37),$AC37,IF(AND($Y37&lt;&gt;"",EDATE($D37,Milestones!$AA$156)&gt;=$Y37),$AB37,$AA37)))=Milestones!$AB$156),UPPER(TEXT(EDATE($D37,Milestones!$AA$156),"dd mmm yy"))&amp;" "&amp;Milestones!$AB$156&amp;" "&amp;IF(AND(Milestones!$AB$156="FT",Milestones!$AA$156=FT_Y5,EDATE($D37,Milestones!$AA$156)&lt;PolicyEff),1,Milestones!$AC$156)&amp;";  ","")&amp;IF(AND(EDATE($D37,Milestones!$AA$157)&lt;=AsOfDate,EDATE($D37,Milestones!$AA$157)&gt;=SchemeStart,IF($X37=0,$AD37,IF(AND($Z37&lt;&gt;"",EDATE($D37,Milestones!$AA$157)&gt;=$Z37),$AC37,IF(AND($Y37&lt;&gt;"",EDATE($D37,Milestones!$AA$157)&gt;=$Y37),$AB37,$AA37)))=Milestones!$AB$157),UPPER(TEXT(EDATE($D37,Milestones!$AA$157),"dd mmm yy"))&amp;" "&amp;Milestones!$AB$157&amp;" "&amp;IF(AND(Milestones!$AB$157="FT",Milestones!$AA$157=FT_Y5,EDATE($D37,Milestones!$AA$157)&lt;PolicyEff),1,Milestones!$AC$157)&amp;";  ","")&amp;IF(AND(EDATE($D37,Milestones!$AA$158)&lt;=AsOfDate,EDATE($D37,Milestones!$AA$158)&gt;=SchemeStart,IF($X37=0,$AD37,IF(AND($Z37&lt;&gt;"",EDATE($D37,Milestones!$AA$158)&gt;=$Z37),$AC37,IF(AND($Y37&lt;&gt;"",EDATE($D37,Milestones!$AA$158)&gt;=$Y37),$AB37,$AA37)))=Milestones!$AB$158),UPPER(TEXT(EDATE($D37,Milestones!$AA$158),"dd mmm yy"))&amp;" "&amp;Milestones!$AB$158&amp;" "&amp;IF(AND(Milestones!$AB$158="FT",Milestones!$AA$158=FT_Y5,EDATE($D37,Milestones!$AA$158)&lt;PolicyEff),1,Milestones!$AC$158)&amp;";  ","")&amp;IF(AND(EDATE($D37,Milestones!$AA$159)&lt;=AsOfDate,EDATE($D37,Milestones!$AA$159)&gt;=SchemeStart,IF($X37=0,$AD37,IF(AND($Z37&lt;&gt;"",EDATE($D37,Milestones!$AA$159)&gt;=$Z37),$AC37,IF(AND($Y37&lt;&gt;"",EDATE($D37,Milestones!$AA$159)&gt;=$Y37),$AB37,$AA37)))=Milestones!$AB$159),UPPER(TEXT(EDATE($D37,Milestones!$AA$159),"dd mmm yy"))&amp;" "&amp;Milestones!$AB$159&amp;" "&amp;IF(AND(Milestones!$AB$159="FT",Milestones!$AA$159=FT_Y5,EDATE($D37,Milestones!$AA$159)&lt;PolicyEff),1,Milestones!$AC$159)&amp;";  ","")&amp;IF(AND(EDATE($D37,Milestones!$AA$160)&lt;=AsOfDate,EDATE($D37,Milestones!$AA$160)&gt;=SchemeStart,IF($X37=0,$AD37,IF(AND($Z37&lt;&gt;"",EDATE($D37,Milestones!$AA$160)&gt;=$Z37),$AC37,IF(AND($Y37&lt;&gt;"",EDATE($D37,Milestones!$AA$160)&gt;=$Y37),$AB37,$AA37)))=Milestones!$AB$160),UPPER(TEXT(EDATE($D37,Milestones!$AA$160),"dd mmm yy"))&amp;" "&amp;Milestones!$AB$160&amp;" "&amp;IF(AND(Milestones!$AB$160="FT",Milestones!$AA$160=FT_Y5,EDATE($D37,Milestones!$AA$160)&lt;PolicyEff),1,Milestones!$AC$160)&amp;";  ","")&amp;IF(AND(EDATE($D37,Milestones!$AA$161)&lt;=AsOfDate,EDATE($D37,Milestones!$AA$161)&gt;=SchemeStart,IF($X37=0,$AD37,IF(AND($Z37&lt;&gt;"",EDATE($D37,Milestones!$AA$161)&gt;=$Z37),$AC37,IF(AND($Y37&lt;&gt;"",EDATE($D37,Milestones!$AA$161)&gt;=$Y37),$AB37,$AA37)))=Milestones!$AB$161),UPPER(TEXT(EDATE($D37,Milestones!$AA$161),"dd mmm yy"))&amp;" "&amp;Milestones!$AB$161&amp;" "&amp;IF(AND(Milestones!$AB$161="FT",Milestones!$AA$161=FT_Y5,EDATE($D37,Milestones!$AA$161)&lt;PolicyEff),1,Milestones!$AC$161)&amp;";  ","")&amp;IF(AND(EDATE($D37,Milestones!$AA$162)&lt;=AsOfDate,EDATE($D37,Milestones!$AA$162)&gt;=SchemeStart,IF($X37=0,$AD37,IF(AND($Z37&lt;&gt;"",EDATE($D37,Milestones!$AA$162)&gt;=$Z37),$AC37,IF(AND($Y37&lt;&gt;"",EDATE($D37,Milestones!$AA$162)&gt;=$Y37),$AB37,$AA37)))=Milestones!$AB$162),UPPER(TEXT(EDATE($D37,Milestones!$AA$162),"dd mmm yy"))&amp;" "&amp;Milestones!$AB$162&amp;" "&amp;IF(AND(Milestones!$AB$162="FT",Milestones!$AA$162=FT_Y5,EDATE($D37,Milestones!$AA$162)&lt;PolicyEff),1,Milestones!$AC$162)&amp;";  ","")&amp;IF(AND(EDATE($D37,Milestones!$AA$163)&lt;=AsOfDate,EDATE($D37,Milestones!$AA$163)&gt;=SchemeStart,IF($X37=0,$AD37,IF(AND($Z37&lt;&gt;"",EDATE($D37,Milestones!$AA$163)&gt;=$Z37),$AC37,IF(AND($Y37&lt;&gt;"",EDATE($D37,Milestones!$AA$163)&gt;=$Y37),$AB37,$AA37)))=Milestones!$AB$163),UPPER(TEXT(EDATE($D37,Milestones!$AA$163),"dd mmm yy"))&amp;" "&amp;Milestones!$AB$163&amp;" "&amp;IF(AND(Milestones!$AB$163="FT",Milestones!$AA$163=FT_Y5,EDATE($D37,Milestones!$AA$163)&lt;PolicyEff),1,Milestones!$AC$163)&amp;";  ",""))</f>
        <v/>
      </c>
      <c r="U37" s="0" t="str">
        <f aca="false">IF(OR($A37="",$D37=""),"",IF(AND(EDATE($D37,Milestones!$AA$164)&lt;=AsOfDate,EDATE($D37,Milestones!$AA$164)&gt;=SchemeStart,IF($X37=0,$AD37,IF(AND($Z37&lt;&gt;"",EDATE($D37,Milestones!$AA$164)&gt;=$Z37),$AC37,IF(AND($Y37&lt;&gt;"",EDATE($D37,Milestones!$AA$164)&gt;=$Y37),$AB37,$AA37)))=Milestones!$AB$164),UPPER(TEXT(EDATE($D37,Milestones!$AA$164),"dd mmm yy"))&amp;" "&amp;Milestones!$AB$164&amp;" "&amp;IF(AND(Milestones!$AB$164="FT",Milestones!$AA$164=FT_Y5,EDATE($D37,Milestones!$AA$164)&lt;PolicyEff),1,Milestones!$AC$164)&amp;";  ","")&amp;IF(AND(EDATE($D37,Milestones!$AA$165)&lt;=AsOfDate,EDATE($D37,Milestones!$AA$165)&gt;=SchemeStart,IF($X37=0,$AD37,IF(AND($Z37&lt;&gt;"",EDATE($D37,Milestones!$AA$165)&gt;=$Z37),$AC37,IF(AND($Y37&lt;&gt;"",EDATE($D37,Milestones!$AA$165)&gt;=$Y37),$AB37,$AA37)))=Milestones!$AB$165),UPPER(TEXT(EDATE($D37,Milestones!$AA$165),"dd mmm yy"))&amp;" "&amp;Milestones!$AB$165&amp;" "&amp;IF(AND(Milestones!$AB$165="FT",Milestones!$AA$165=FT_Y5,EDATE($D37,Milestones!$AA$165)&lt;PolicyEff),1,Milestones!$AC$165)&amp;";  ","")&amp;IF(AND(EDATE($D37,Milestones!$AA$166)&lt;=AsOfDate,EDATE($D37,Milestones!$AA$166)&gt;=SchemeStart,IF($X37=0,$AD37,IF(AND($Z37&lt;&gt;"",EDATE($D37,Milestones!$AA$166)&gt;=$Z37),$AC37,IF(AND($Y37&lt;&gt;"",EDATE($D37,Milestones!$AA$166)&gt;=$Y37),$AB37,$AA37)))=Milestones!$AB$166),UPPER(TEXT(EDATE($D37,Milestones!$AA$166),"dd mmm yy"))&amp;" "&amp;Milestones!$AB$166&amp;" "&amp;IF(AND(Milestones!$AB$166="FT",Milestones!$AA$166=FT_Y5,EDATE($D37,Milestones!$AA$166)&lt;PolicyEff),1,Milestones!$AC$166)&amp;";  ","")&amp;IF(AND(EDATE($D37,Milestones!$AA$167)&lt;=AsOfDate,EDATE($D37,Milestones!$AA$167)&gt;=SchemeStart,IF($X37=0,$AD37,IF(AND($Z37&lt;&gt;"",EDATE($D37,Milestones!$AA$167)&gt;=$Z37),$AC37,IF(AND($Y37&lt;&gt;"",EDATE($D37,Milestones!$AA$167)&gt;=$Y37),$AB37,$AA37)))=Milestones!$AB$167),UPPER(TEXT(EDATE($D37,Milestones!$AA$167),"dd mmm yy"))&amp;" "&amp;Milestones!$AB$167&amp;" "&amp;IF(AND(Milestones!$AB$167="FT",Milestones!$AA$167=FT_Y5,EDATE($D37,Milestones!$AA$167)&lt;PolicyEff),1,Milestones!$AC$167)&amp;";  ","")&amp;IF(AND(EDATE($D37,Milestones!$AA$168)&lt;=AsOfDate,EDATE($D37,Milestones!$AA$168)&gt;=SchemeStart,IF($X37=0,$AD37,IF(AND($Z37&lt;&gt;"",EDATE($D37,Milestones!$AA$168)&gt;=$Z37),$AC37,IF(AND($Y37&lt;&gt;"",EDATE($D37,Milestones!$AA$168)&gt;=$Y37),$AB37,$AA37)))=Milestones!$AB$168),UPPER(TEXT(EDATE($D37,Milestones!$AA$168),"dd mmm yy"))&amp;" "&amp;Milestones!$AB$168&amp;" "&amp;IF(AND(Milestones!$AB$168="FT",Milestones!$AA$168=FT_Y5,EDATE($D37,Milestones!$AA$168)&lt;PolicyEff),1,Milestones!$AC$168)&amp;";  ","")&amp;IF(AND(EDATE($D37,Milestones!$AA$169)&lt;=AsOfDate,EDATE($D37,Milestones!$AA$169)&gt;=SchemeStart,IF($X37=0,$AD37,IF(AND($Z37&lt;&gt;"",EDATE($D37,Milestones!$AA$169)&gt;=$Z37),$AC37,IF(AND($Y37&lt;&gt;"",EDATE($D37,Milestones!$AA$169)&gt;=$Y37),$AB37,$AA37)))=Milestones!$AB$169),UPPER(TEXT(EDATE($D37,Milestones!$AA$169),"dd mmm yy"))&amp;" "&amp;Milestones!$AB$169&amp;" "&amp;IF(AND(Milestones!$AB$169="FT",Milestones!$AA$169=FT_Y5,EDATE($D37,Milestones!$AA$169)&lt;PolicyEff),1,Milestones!$AC$169)&amp;";  ","")&amp;IF(AND(EDATE($D37,Milestones!$AA$170)&lt;=AsOfDate,EDATE($D37,Milestones!$AA$170)&gt;=SchemeStart,IF($X37=0,$AD37,IF(AND($Z37&lt;&gt;"",EDATE($D37,Milestones!$AA$170)&gt;=$Z37),$AC37,IF(AND($Y37&lt;&gt;"",EDATE($D37,Milestones!$AA$170)&gt;=$Y37),$AB37,$AA37)))=Milestones!$AB$170),UPPER(TEXT(EDATE($D37,Milestones!$AA$170),"dd mmm yy"))&amp;" "&amp;Milestones!$AB$170&amp;" "&amp;IF(AND(Milestones!$AB$170="FT",Milestones!$AA$170=FT_Y5,EDATE($D37,Milestones!$AA$170)&lt;PolicyEff),1,Milestones!$AC$170)&amp;";  ","")&amp;IF(AND(EDATE($D37,Milestones!$AA$171)&lt;=AsOfDate,EDATE($D37,Milestones!$AA$171)&gt;=SchemeStart,IF($X37=0,$AD37,IF(AND($Z37&lt;&gt;"",EDATE($D37,Milestones!$AA$171)&gt;=$Z37),$AC37,IF(AND($Y37&lt;&gt;"",EDATE($D37,Milestones!$AA$171)&gt;=$Y37),$AB37,$AA37)))=Milestones!$AB$171),UPPER(TEXT(EDATE($D37,Milestones!$AA$171),"dd mmm yy"))&amp;" "&amp;Milestones!$AB$171&amp;" "&amp;IF(AND(Milestones!$AB$171="FT",Milestones!$AA$171=FT_Y5,EDATE($D37,Milestones!$AA$171)&lt;PolicyEff),1,Milestones!$AC$171)&amp;";  ","")&amp;IF(AND(EDATE($D37,Milestones!$AA$172)&lt;=AsOfDate,EDATE($D37,Milestones!$AA$172)&gt;=SchemeStart,IF($X37=0,$AD37,IF(AND($Z37&lt;&gt;"",EDATE($D37,Milestones!$AA$172)&gt;=$Z37),$AC37,IF(AND($Y37&lt;&gt;"",EDATE($D37,Milestones!$AA$172)&gt;=$Y37),$AB37,$AA37)))=Milestones!$AB$172),UPPER(TEXT(EDATE($D37,Milestones!$AA$172),"dd mmm yy"))&amp;" "&amp;Milestones!$AB$172&amp;" "&amp;IF(AND(Milestones!$AB$172="FT",Milestones!$AA$172=FT_Y5,EDATE($D37,Milestones!$AA$172)&lt;PolicyEff),1,Milestones!$AC$172)&amp;";  ","")&amp;IF(AND(EDATE($D37,Milestones!$AA$173)&lt;=AsOfDate,EDATE($D37,Milestones!$AA$173)&gt;=SchemeStart,IF($X37=0,$AD37,IF(AND($Z37&lt;&gt;"",EDATE($D37,Milestones!$AA$173)&gt;=$Z37),$AC37,IF(AND($Y37&lt;&gt;"",EDATE($D37,Milestones!$AA$173)&gt;=$Y37),$AB37,$AA37)))=Milestones!$AB$173),UPPER(TEXT(EDATE($D37,Milestones!$AA$173),"dd mmm yy"))&amp;" "&amp;Milestones!$AB$173&amp;" "&amp;IF(AND(Milestones!$AB$173="FT",Milestones!$AA$173=FT_Y5,EDATE($D37,Milestones!$AA$173)&lt;PolicyEff),1,Milestones!$AC$173)&amp;";  ","")&amp;IF(AND(EDATE($D37,Milestones!$AA$174)&lt;=AsOfDate,EDATE($D37,Milestones!$AA$174)&gt;=SchemeStart,IF($X37=0,$AD37,IF(AND($Z37&lt;&gt;"",EDATE($D37,Milestones!$AA$174)&gt;=$Z37),$AC37,IF(AND($Y37&lt;&gt;"",EDATE($D37,Milestones!$AA$174)&gt;=$Y37),$AB37,$AA37)))=Milestones!$AB$174),UPPER(TEXT(EDATE($D37,Milestones!$AA$174),"dd mmm yy"))&amp;" "&amp;Milestones!$AB$174&amp;" "&amp;IF(AND(Milestones!$AB$174="FT",Milestones!$AA$174=FT_Y5,EDATE($D37,Milestones!$AA$174)&lt;PolicyEff),1,Milestones!$AC$174)&amp;";  ","")&amp;IF(AND(EDATE($D37,Milestones!$AA$175)&lt;=AsOfDate,EDATE($D37,Milestones!$AA$175)&gt;=SchemeStart,IF($X37=0,$AD37,IF(AND($Z37&lt;&gt;"",EDATE($D37,Milestones!$AA$175)&gt;=$Z37),$AC37,IF(AND($Y37&lt;&gt;"",EDATE($D37,Milestones!$AA$175)&gt;=$Y37),$AB37,$AA37)))=Milestones!$AB$175),UPPER(TEXT(EDATE($D37,Milestones!$AA$175),"dd mmm yy"))&amp;" "&amp;Milestones!$AB$175&amp;" "&amp;IF(AND(Milestones!$AB$175="FT",Milestones!$AA$175=FT_Y5,EDATE($D37,Milestones!$AA$175)&lt;PolicyEff),1,Milestones!$AC$175)&amp;";  ",""))</f>
        <v/>
      </c>
      <c r="V37" s="0" t="str">
        <f aca="false">IF(OR($A37="",$D37=""),"",IF(AND(EDATE($D37,Milestones!$AA$176)&lt;=AsOfDate,EDATE($D37,Milestones!$AA$176)&gt;=SchemeStart,IF($X37=0,$AD37,IF(AND($Z37&lt;&gt;"",EDATE($D37,Milestones!$AA$176)&gt;=$Z37),$AC37,IF(AND($Y37&lt;&gt;"",EDATE($D37,Milestones!$AA$176)&gt;=$Y37),$AB37,$AA37)))=Milestones!$AB$176),UPPER(TEXT(EDATE($D37,Milestones!$AA$176),"dd mmm yy"))&amp;" "&amp;Milestones!$AB$176&amp;" "&amp;IF(AND(Milestones!$AB$176="FT",Milestones!$AA$176=FT_Y5,EDATE($D37,Milestones!$AA$176)&lt;PolicyEff),1,Milestones!$AC$176)&amp;";  ","")&amp;IF(AND(EDATE($D37,Milestones!$AA$177)&lt;=AsOfDate,EDATE($D37,Milestones!$AA$177)&gt;=SchemeStart,IF($X37=0,$AD37,IF(AND($Z37&lt;&gt;"",EDATE($D37,Milestones!$AA$177)&gt;=$Z37),$AC37,IF(AND($Y37&lt;&gt;"",EDATE($D37,Milestones!$AA$177)&gt;=$Y37),$AB37,$AA37)))=Milestones!$AB$177),UPPER(TEXT(EDATE($D37,Milestones!$AA$177),"dd mmm yy"))&amp;" "&amp;Milestones!$AB$177&amp;" "&amp;IF(AND(Milestones!$AB$177="FT",Milestones!$AA$177=FT_Y5,EDATE($D37,Milestones!$AA$177)&lt;PolicyEff),1,Milestones!$AC$177)&amp;";  ","")&amp;IF(AND(EDATE($D37,Milestones!$AA$178)&lt;=AsOfDate,EDATE($D37,Milestones!$AA$178)&gt;=SchemeStart,IF($X37=0,$AD37,IF(AND($Z37&lt;&gt;"",EDATE($D37,Milestones!$AA$178)&gt;=$Z37),$AC37,IF(AND($Y37&lt;&gt;"",EDATE($D37,Milestones!$AA$178)&gt;=$Y37),$AB37,$AA37)))=Milestones!$AB$178),UPPER(TEXT(EDATE($D37,Milestones!$AA$178),"dd mmm yy"))&amp;" "&amp;Milestones!$AB$178&amp;" "&amp;IF(AND(Milestones!$AB$178="FT",Milestones!$AA$178=FT_Y5,EDATE($D37,Milestones!$AA$178)&lt;PolicyEff),1,Milestones!$AC$178)&amp;";  ","")&amp;IF(AND(EDATE($D37,Milestones!$AA$179)&lt;=AsOfDate,EDATE($D37,Milestones!$AA$179)&gt;=SchemeStart,IF($X37=0,$AD37,IF(AND($Z37&lt;&gt;"",EDATE($D37,Milestones!$AA$179)&gt;=$Z37),$AC37,IF(AND($Y37&lt;&gt;"",EDATE($D37,Milestones!$AA$179)&gt;=$Y37),$AB37,$AA37)))=Milestones!$AB$179),UPPER(TEXT(EDATE($D37,Milestones!$AA$179),"dd mmm yy"))&amp;" "&amp;Milestones!$AB$179&amp;" "&amp;IF(AND(Milestones!$AB$179="FT",Milestones!$AA$179=FT_Y5,EDATE($D37,Milestones!$AA$179)&lt;PolicyEff),1,Milestones!$AC$179)&amp;";  ","")&amp;IF(AND(EDATE($D37,Milestones!$AA$180)&lt;=AsOfDate,EDATE($D37,Milestones!$AA$180)&gt;=SchemeStart,IF($X37=0,$AD37,IF(AND($Z37&lt;&gt;"",EDATE($D37,Milestones!$AA$180)&gt;=$Z37),$AC37,IF(AND($Y37&lt;&gt;"",EDATE($D37,Milestones!$AA$180)&gt;=$Y37),$AB37,$AA37)))=Milestones!$AB$180),UPPER(TEXT(EDATE($D37,Milestones!$AA$180),"dd mmm yy"))&amp;" "&amp;Milestones!$AB$180&amp;" "&amp;IF(AND(Milestones!$AB$180="FT",Milestones!$AA$180=FT_Y5,EDATE($D37,Milestones!$AA$180)&lt;PolicyEff),1,Milestones!$AC$180)&amp;";  ","")&amp;IF(AND(EDATE($D37,Milestones!$AA$181)&lt;=AsOfDate,EDATE($D37,Milestones!$AA$181)&gt;=SchemeStart,IF($X37=0,$AD37,IF(AND($Z37&lt;&gt;"",EDATE($D37,Milestones!$AA$181)&gt;=$Z37),$AC37,IF(AND($Y37&lt;&gt;"",EDATE($D37,Milestones!$AA$181)&gt;=$Y37),$AB37,$AA37)))=Milestones!$AB$181),UPPER(TEXT(EDATE($D37,Milestones!$AA$181),"dd mmm yy"))&amp;" "&amp;Milestones!$AB$181&amp;" "&amp;IF(AND(Milestones!$AB$181="FT",Milestones!$AA$181=FT_Y5,EDATE($D37,Milestones!$AA$181)&lt;PolicyEff),1,Milestones!$AC$181)&amp;";  ","")&amp;IF(AND(EDATE($D37,Milestones!$AA$182)&lt;=AsOfDate,EDATE($D37,Milestones!$AA$182)&gt;=SchemeStart,IF($X37=0,$AD37,IF(AND($Z37&lt;&gt;"",EDATE($D37,Milestones!$AA$182)&gt;=$Z37),$AC37,IF(AND($Y37&lt;&gt;"",EDATE($D37,Milestones!$AA$182)&gt;=$Y37),$AB37,$AA37)))=Milestones!$AB$182),UPPER(TEXT(EDATE($D37,Milestones!$AA$182),"dd mmm yy"))&amp;" "&amp;Milestones!$AB$182&amp;" "&amp;IF(AND(Milestones!$AB$182="FT",Milestones!$AA$182=FT_Y5,EDATE($D37,Milestones!$AA$182)&lt;PolicyEff),1,Milestones!$AC$182)&amp;";  ","")&amp;IF(AND(EDATE($D37,Milestones!$AA$183)&lt;=AsOfDate,EDATE($D37,Milestones!$AA$183)&gt;=SchemeStart,IF($X37=0,$AD37,IF(AND($Z37&lt;&gt;"",EDATE($D37,Milestones!$AA$183)&gt;=$Z37),$AC37,IF(AND($Y37&lt;&gt;"",EDATE($D37,Milestones!$AA$183)&gt;=$Y37),$AB37,$AA37)))=Milestones!$AB$183),UPPER(TEXT(EDATE($D37,Milestones!$AA$183),"dd mmm yy"))&amp;" "&amp;Milestones!$AB$183&amp;" "&amp;IF(AND(Milestones!$AB$183="FT",Milestones!$AA$183=FT_Y5,EDATE($D37,Milestones!$AA$183)&lt;PolicyEff),1,Milestones!$AC$183)&amp;";  ","")&amp;IF(AND(EDATE($D37,Milestones!$AA$184)&lt;=AsOfDate,EDATE($D37,Milestones!$AA$184)&gt;=SchemeStart,IF($X37=0,$AD37,IF(AND($Z37&lt;&gt;"",EDATE($D37,Milestones!$AA$184)&gt;=$Z37),$AC37,IF(AND($Y37&lt;&gt;"",EDATE($D37,Milestones!$AA$184)&gt;=$Y37),$AB37,$AA37)))=Milestones!$AB$184),UPPER(TEXT(EDATE($D37,Milestones!$AA$184),"dd mmm yy"))&amp;" "&amp;Milestones!$AB$184&amp;" "&amp;IF(AND(Milestones!$AB$184="FT",Milestones!$AA$184=FT_Y5,EDATE($D37,Milestones!$AA$184)&lt;PolicyEff),1,Milestones!$AC$184)&amp;";  ","")&amp;IF(AND(EDATE($D37,Milestones!$AA$185)&lt;=AsOfDate,EDATE($D37,Milestones!$AA$185)&gt;=SchemeStart,IF($X37=0,$AD37,IF(AND($Z37&lt;&gt;"",EDATE($D37,Milestones!$AA$185)&gt;=$Z37),$AC37,IF(AND($Y37&lt;&gt;"",EDATE($D37,Milestones!$AA$185)&gt;=$Y37),$AB37,$AA37)))=Milestones!$AB$185),UPPER(TEXT(EDATE($D37,Milestones!$AA$185),"dd mmm yy"))&amp;" "&amp;Milestones!$AB$185&amp;" "&amp;IF(AND(Milestones!$AB$185="FT",Milestones!$AA$185=FT_Y5,EDATE($D37,Milestones!$AA$185)&lt;PolicyEff),1,Milestones!$AC$185)&amp;";  ","")&amp;IF(AND(EDATE($D37,Milestones!$AA$186)&lt;=AsOfDate,EDATE($D37,Milestones!$AA$186)&gt;=SchemeStart,IF($X37=0,$AD37,IF(AND($Z37&lt;&gt;"",EDATE($D37,Milestones!$AA$186)&gt;=$Z37),$AC37,IF(AND($Y37&lt;&gt;"",EDATE($D37,Milestones!$AA$186)&gt;=$Y37),$AB37,$AA37)))=Milestones!$AB$186),UPPER(TEXT(EDATE($D37,Milestones!$AA$186),"dd mmm yy"))&amp;" "&amp;Milestones!$AB$186&amp;" "&amp;IF(AND(Milestones!$AB$186="FT",Milestones!$AA$186=FT_Y5,EDATE($D37,Milestones!$AA$186)&lt;PolicyEff),1,Milestones!$AC$186)&amp;";  ","")&amp;IF(AND(EDATE($D37,Milestones!$AA$187)&lt;=AsOfDate,EDATE($D37,Milestones!$AA$187)&gt;=SchemeStart,IF($X37=0,$AD37,IF(AND($Z37&lt;&gt;"",EDATE($D37,Milestones!$AA$187)&gt;=$Z37),$AC37,IF(AND($Y37&lt;&gt;"",EDATE($D37,Milestones!$AA$187)&gt;=$Y37),$AB37,$AA37)))=Milestones!$AB$187),UPPER(TEXT(EDATE($D37,Milestones!$AA$187),"dd mmm yy"))&amp;" "&amp;Milestones!$AB$187&amp;" "&amp;IF(AND(Milestones!$AB$187="FT",Milestones!$AA$187=FT_Y5,EDATE($D37,Milestones!$AA$187)&lt;PolicyEff),1,Milestones!$AC$187)&amp;";  ",""))</f>
        <v/>
      </c>
      <c r="W37" s="0" t="str">
        <f aca="false">IF(OR($A37="",$D37=""),"",IF(AND(EDATE($D37,Milestones!$AA$188)&lt;=AsOfDate,EDATE($D37,Milestones!$AA$188)&gt;=SchemeStart,IF($X37=0,$AD37,IF(AND($Z37&lt;&gt;"",EDATE($D37,Milestones!$AA$188)&gt;=$Z37),$AC37,IF(AND($Y37&lt;&gt;"",EDATE($D37,Milestones!$AA$188)&gt;=$Y37),$AB37,$AA37)))=Milestones!$AB$188),UPPER(TEXT(EDATE($D37,Milestones!$AA$188),"dd mmm yy"))&amp;" "&amp;Milestones!$AB$188&amp;" "&amp;IF(AND(Milestones!$AB$188="FT",Milestones!$AA$188=FT_Y5,EDATE($D37,Milestones!$AA$188)&lt;PolicyEff),1,Milestones!$AC$188)&amp;";  ","")&amp;IF(AND(EDATE($D37,Milestones!$AA$189)&lt;=AsOfDate,EDATE($D37,Milestones!$AA$189)&gt;=SchemeStart,IF($X37=0,$AD37,IF(AND($Z37&lt;&gt;"",EDATE($D37,Milestones!$AA$189)&gt;=$Z37),$AC37,IF(AND($Y37&lt;&gt;"",EDATE($D37,Milestones!$AA$189)&gt;=$Y37),$AB37,$AA37)))=Milestones!$AB$189),UPPER(TEXT(EDATE($D37,Milestones!$AA$189),"dd mmm yy"))&amp;" "&amp;Milestones!$AB$189&amp;" "&amp;IF(AND(Milestones!$AB$189="FT",Milestones!$AA$189=FT_Y5,EDATE($D37,Milestones!$AA$189)&lt;PolicyEff),1,Milestones!$AC$189)&amp;";  ","")&amp;IF(AND(EDATE($D37,Milestones!$AA$190)&lt;=AsOfDate,EDATE($D37,Milestones!$AA$190)&gt;=SchemeStart,IF($X37=0,$AD37,IF(AND($Z37&lt;&gt;"",EDATE($D37,Milestones!$AA$190)&gt;=$Z37),$AC37,IF(AND($Y37&lt;&gt;"",EDATE($D37,Milestones!$AA$190)&gt;=$Y37),$AB37,$AA37)))=Milestones!$AB$190),UPPER(TEXT(EDATE($D37,Milestones!$AA$190),"dd mmm yy"))&amp;" "&amp;Milestones!$AB$190&amp;" "&amp;IF(AND(Milestones!$AB$190="FT",Milestones!$AA$190=FT_Y5,EDATE($D37,Milestones!$AA$190)&lt;PolicyEff),1,Milestones!$AC$190)&amp;";  ","")&amp;IF(AND(EDATE($D37,Milestones!$AA$191)&lt;=AsOfDate,EDATE($D37,Milestones!$AA$191)&gt;=SchemeStart,IF($X37=0,$AD37,IF(AND($Z37&lt;&gt;"",EDATE($D37,Milestones!$AA$191)&gt;=$Z37),$AC37,IF(AND($Y37&lt;&gt;"",EDATE($D37,Milestones!$AA$191)&gt;=$Y37),$AB37,$AA37)))=Milestones!$AB$191),UPPER(TEXT(EDATE($D37,Milestones!$AA$191),"dd mmm yy"))&amp;" "&amp;Milestones!$AB$191&amp;" "&amp;IF(AND(Milestones!$AB$191="FT",Milestones!$AA$191=FT_Y5,EDATE($D37,Milestones!$AA$191)&lt;PolicyEff),1,Milestones!$AC$191)&amp;";  ","")&amp;IF(AND(EDATE($D37,Milestones!$AA$192)&lt;=AsOfDate,EDATE($D37,Milestones!$AA$192)&gt;=SchemeStart,IF($X37=0,$AD37,IF(AND($Z37&lt;&gt;"",EDATE($D37,Milestones!$AA$192)&gt;=$Z37),$AC37,IF(AND($Y37&lt;&gt;"",EDATE($D37,Milestones!$AA$192)&gt;=$Y37),$AB37,$AA37)))=Milestones!$AB$192),UPPER(TEXT(EDATE($D37,Milestones!$AA$192),"dd mmm yy"))&amp;" "&amp;Milestones!$AB$192&amp;" "&amp;IF(AND(Milestones!$AB$192="FT",Milestones!$AA$192=FT_Y5,EDATE($D37,Milestones!$AA$192)&lt;PolicyEff),1,Milestones!$AC$192)&amp;";  ","")&amp;IF(AND(EDATE($D37,Milestones!$AA$193)&lt;=AsOfDate,EDATE($D37,Milestones!$AA$193)&gt;=SchemeStart,IF($X37=0,$AD37,IF(AND($Z37&lt;&gt;"",EDATE($D37,Milestones!$AA$193)&gt;=$Z37),$AC37,IF(AND($Y37&lt;&gt;"",EDATE($D37,Milestones!$AA$193)&gt;=$Y37),$AB37,$AA37)))=Milestones!$AB$193),UPPER(TEXT(EDATE($D37,Milestones!$AA$193),"dd mmm yy"))&amp;" "&amp;Milestones!$AB$193&amp;" "&amp;IF(AND(Milestones!$AB$193="FT",Milestones!$AA$193=FT_Y5,EDATE($D37,Milestones!$AA$193)&lt;PolicyEff),1,Milestones!$AC$193)&amp;";  ","")&amp;IF(AND(EDATE($D37,Milestones!$AA$194)&lt;=AsOfDate,EDATE($D37,Milestones!$AA$194)&gt;=SchemeStart,IF($X37=0,$AD37,IF(AND($Z37&lt;&gt;"",EDATE($D37,Milestones!$AA$194)&gt;=$Z37),$AC37,IF(AND($Y37&lt;&gt;"",EDATE($D37,Milestones!$AA$194)&gt;=$Y37),$AB37,$AA37)))=Milestones!$AB$194),UPPER(TEXT(EDATE($D37,Milestones!$AA$194),"dd mmm yy"))&amp;" "&amp;Milestones!$AB$194&amp;" "&amp;IF(AND(Milestones!$AB$194="FT",Milestones!$AA$194=FT_Y5,EDATE($D37,Milestones!$AA$194)&lt;PolicyEff),1,Milestones!$AC$194)&amp;";  ","")&amp;IF(AND(EDATE($D37,Milestones!$AA$195)&lt;=AsOfDate,EDATE($D37,Milestones!$AA$195)&gt;=SchemeStart,IF($X37=0,$AD37,IF(AND($Z37&lt;&gt;"",EDATE($D37,Milestones!$AA$195)&gt;=$Z37),$AC37,IF(AND($Y37&lt;&gt;"",EDATE($D37,Milestones!$AA$195)&gt;=$Y37),$AB37,$AA37)))=Milestones!$AB$195),UPPER(TEXT(EDATE($D37,Milestones!$AA$195),"dd mmm yy"))&amp;" "&amp;Milestones!$AB$195&amp;" "&amp;IF(AND(Milestones!$AB$195="FT",Milestones!$AA$195=FT_Y5,EDATE($D37,Milestones!$AA$195)&lt;PolicyEff),1,Milestones!$AC$195)&amp;";  ","")&amp;IF(AND(EDATE($D37,Milestones!$AA$196)&lt;=AsOfDate,EDATE($D37,Milestones!$AA$196)&gt;=SchemeStart,IF($X37=0,$AD37,IF(AND($Z37&lt;&gt;"",EDATE($D37,Milestones!$AA$196)&gt;=$Z37),$AC37,IF(AND($Y37&lt;&gt;"",EDATE($D37,Milestones!$AA$196)&gt;=$Y37),$AB37,$AA37)))=Milestones!$AB$196),UPPER(TEXT(EDATE($D37,Milestones!$AA$196),"dd mmm yy"))&amp;" "&amp;Milestones!$AB$196&amp;" "&amp;IF(AND(Milestones!$AB$196="FT",Milestones!$AA$196=FT_Y5,EDATE($D37,Milestones!$AA$196)&lt;PolicyEff),1,Milestones!$AC$196)&amp;";  ","")&amp;IF(AND(EDATE($D37,Milestones!$AA$197)&lt;=AsOfDate,EDATE($D37,Milestones!$AA$197)&gt;=SchemeStart,IF($X37=0,$AD37,IF(AND($Z37&lt;&gt;"",EDATE($D37,Milestones!$AA$197)&gt;=$Z37),$AC37,IF(AND($Y37&lt;&gt;"",EDATE($D37,Milestones!$AA$197)&gt;=$Y37),$AB37,$AA37)))=Milestones!$AB$197),UPPER(TEXT(EDATE($D37,Milestones!$AA$197),"dd mmm yy"))&amp;" "&amp;Milestones!$AB$197&amp;" "&amp;IF(AND(Milestones!$AB$197="FT",Milestones!$AA$197=FT_Y5,EDATE($D37,Milestones!$AA$197)&lt;PolicyEff),1,Milestones!$AC$197)&amp;";  ","")&amp;IF(AND(EDATE($D37,Milestones!$AA$198)&lt;=AsOfDate,EDATE($D37,Milestones!$AA$198)&gt;=SchemeStart,IF($X37=0,$AD37,IF(AND($Z37&lt;&gt;"",EDATE($D37,Milestones!$AA$198)&gt;=$Z37),$AC37,IF(AND($Y37&lt;&gt;"",EDATE($D37,Milestones!$AA$198)&gt;=$Y37),$AB37,$AA37)))=Milestones!$AB$198),UPPER(TEXT(EDATE($D37,Milestones!$AA$198),"dd mmm yy"))&amp;" "&amp;Milestones!$AB$198&amp;" "&amp;IF(AND(Milestones!$AB$198="FT",Milestones!$AA$198=FT_Y5,EDATE($D37,Milestones!$AA$198)&lt;PolicyEff),1,Milestones!$AC$198)&amp;";  ","")&amp;IF(AND(EDATE($D37,Milestones!$AA$199)&lt;=AsOfDate,EDATE($D37,Milestones!$AA$199)&gt;=SchemeStart,IF($X37=0,$AD37,IF(AND($Z37&lt;&gt;"",EDATE($D37,Milestones!$AA$199)&gt;=$Z37),$AC37,IF(AND($Y37&lt;&gt;"",EDATE($D37,Milestones!$AA$199)&gt;=$Y37),$AB37,$AA37)))=Milestones!$AB$199),UPPER(TEXT(EDATE($D37,Milestones!$AA$199),"dd mmm yy"))&amp;" "&amp;Milestones!$AB$199&amp;" "&amp;IF(AND(Milestones!$AB$199="FT",Milestones!$AA$199=FT_Y5,EDATE($D37,Milestones!$AA$199)&lt;PolicyEff),1,Milestones!$AC$199)&amp;";  ",""))</f>
        <v/>
      </c>
      <c r="X37" s="0" t="str">
        <f aca="false">IF(Staff!$A37="","",Staff!$AM37)</f>
        <v/>
      </c>
      <c r="Y37" s="0" t="str">
        <f aca="false">IF(Staff!$A37="","",Staff!$AO37)</f>
        <v/>
      </c>
      <c r="Z37" s="0" t="str">
        <f aca="false">IF(Staff!$A37="","",Staff!$AP37)</f>
        <v/>
      </c>
      <c r="AA37" s="0" t="str">
        <f aca="false">IF(Staff!$A37="","",Staff!$AT37)</f>
        <v/>
      </c>
      <c r="AB37" s="0" t="str">
        <f aca="false">IF(Staff!$A37="","",Staff!$AU37)</f>
        <v/>
      </c>
      <c r="AC37" s="0" t="str">
        <f aca="false">IF(Staff!$A37="","",Staff!$AV37)</f>
        <v/>
      </c>
      <c r="AD37" s="0" t="str">
        <f aca="false">IF(Staff!$A37="","",Staff!$AW37)</f>
        <v/>
      </c>
    </row>
    <row r="38" customFormat="false" ht="15" hidden="false" customHeight="false" outlineLevel="0" collapsed="false">
      <c r="A38" s="16" t="str">
        <f aca="false">IF(Staff!$A38="","",Staff!$A38)</f>
        <v/>
      </c>
      <c r="B38" s="16" t="str">
        <f aca="false">IF(Staff!$A38="","",Staff!$B38)</f>
        <v/>
      </c>
      <c r="C38" s="16" t="str">
        <f aca="false">IF(Staff!$A38="","",Staff!$C38)</f>
        <v/>
      </c>
      <c r="D38" s="14" t="str">
        <f aca="false">IF(Staff!$A38="","",Staff!$AL38)</f>
        <v/>
      </c>
      <c r="E38" s="16" t="str">
        <f aca="false">IF(Staff!$A38="","",Staff!$O38)</f>
        <v/>
      </c>
      <c r="F38" s="16" t="str">
        <f aca="false">IF(E38="","",E38*HoursPerDay)</f>
        <v/>
      </c>
      <c r="G38" s="16" t="str">
        <f aca="false">IF(Staff!$A38="","",Staff!$AE38)</f>
        <v/>
      </c>
      <c r="H38" s="28" t="str">
        <f aca="false">IF($A38="","",I38&amp;J38&amp;K38&amp;L38&amp;M38&amp;N38&amp;O38&amp;P38&amp;Q38&amp;R38&amp;S38&amp;T38&amp;U38&amp;V38&amp;W38)</f>
        <v/>
      </c>
      <c r="I38" s="0" t="str">
        <f aca="false">IF(OR($A38="",$D38=""),"",IF(AND(EDATE($D38,Milestones!$AA$20)&lt;=AsOfDate,EDATE($D38,Milestones!$AA$20)&gt;=SchemeStart,IF($X38=0,$AD38,IF(AND($Z38&lt;&gt;"",EDATE($D38,Milestones!$AA$20)&gt;=$Z38),$AC38,IF(AND($Y38&lt;&gt;"",EDATE($D38,Milestones!$AA$20)&gt;=$Y38),$AB38,$AA38)))=Milestones!$AB$20),UPPER(TEXT(EDATE($D38,Milestones!$AA$20),"dd mmm yy"))&amp;" "&amp;Milestones!$AB$20&amp;" "&amp;IF(AND(Milestones!$AB$20="FT",Milestones!$AA$20=FT_Y5,EDATE($D38,Milestones!$AA$20)&lt;PolicyEff),1,Milestones!$AC$20)&amp;";  ","")&amp;IF(AND(EDATE($D38,Milestones!$AA$21)&lt;=AsOfDate,EDATE($D38,Milestones!$AA$21)&gt;=SchemeStart,IF($X38=0,$AD38,IF(AND($Z38&lt;&gt;"",EDATE($D38,Milestones!$AA$21)&gt;=$Z38),$AC38,IF(AND($Y38&lt;&gt;"",EDATE($D38,Milestones!$AA$21)&gt;=$Y38),$AB38,$AA38)))=Milestones!$AB$21),UPPER(TEXT(EDATE($D38,Milestones!$AA$21),"dd mmm yy"))&amp;" "&amp;Milestones!$AB$21&amp;" "&amp;IF(AND(Milestones!$AB$21="FT",Milestones!$AA$21=FT_Y5,EDATE($D38,Milestones!$AA$21)&lt;PolicyEff),1,Milestones!$AC$21)&amp;";  ","")&amp;IF(AND(EDATE($D38,Milestones!$AA$22)&lt;=AsOfDate,EDATE($D38,Milestones!$AA$22)&gt;=SchemeStart,IF($X38=0,$AD38,IF(AND($Z38&lt;&gt;"",EDATE($D38,Milestones!$AA$22)&gt;=$Z38),$AC38,IF(AND($Y38&lt;&gt;"",EDATE($D38,Milestones!$AA$22)&gt;=$Y38),$AB38,$AA38)))=Milestones!$AB$22),UPPER(TEXT(EDATE($D38,Milestones!$AA$22),"dd mmm yy"))&amp;" "&amp;Milestones!$AB$22&amp;" "&amp;IF(AND(Milestones!$AB$22="FT",Milestones!$AA$22=FT_Y5,EDATE($D38,Milestones!$AA$22)&lt;PolicyEff),1,Milestones!$AC$22)&amp;";  ","")&amp;IF(AND(EDATE($D38,Milestones!$AA$23)&lt;=AsOfDate,EDATE($D38,Milestones!$AA$23)&gt;=SchemeStart,IF($X38=0,$AD38,IF(AND($Z38&lt;&gt;"",EDATE($D38,Milestones!$AA$23)&gt;=$Z38),$AC38,IF(AND($Y38&lt;&gt;"",EDATE($D38,Milestones!$AA$23)&gt;=$Y38),$AB38,$AA38)))=Milestones!$AB$23),UPPER(TEXT(EDATE($D38,Milestones!$AA$23),"dd mmm yy"))&amp;" "&amp;Milestones!$AB$23&amp;" "&amp;IF(AND(Milestones!$AB$23="FT",Milestones!$AA$23=FT_Y5,EDATE($D38,Milestones!$AA$23)&lt;PolicyEff),1,Milestones!$AC$23)&amp;";  ","")&amp;IF(AND(EDATE($D38,Milestones!$AA$24)&lt;=AsOfDate,EDATE($D38,Milestones!$AA$24)&gt;=SchemeStart,IF($X38=0,$AD38,IF(AND($Z38&lt;&gt;"",EDATE($D38,Milestones!$AA$24)&gt;=$Z38),$AC38,IF(AND($Y38&lt;&gt;"",EDATE($D38,Milestones!$AA$24)&gt;=$Y38),$AB38,$AA38)))=Milestones!$AB$24),UPPER(TEXT(EDATE($D38,Milestones!$AA$24),"dd mmm yy"))&amp;" "&amp;Milestones!$AB$24&amp;" "&amp;IF(AND(Milestones!$AB$24="FT",Milestones!$AA$24=FT_Y5,EDATE($D38,Milestones!$AA$24)&lt;PolicyEff),1,Milestones!$AC$24)&amp;";  ","")&amp;IF(AND(EDATE($D38,Milestones!$AA$25)&lt;=AsOfDate,EDATE($D38,Milestones!$AA$25)&gt;=SchemeStart,IF($X38=0,$AD38,IF(AND($Z38&lt;&gt;"",EDATE($D38,Milestones!$AA$25)&gt;=$Z38),$AC38,IF(AND($Y38&lt;&gt;"",EDATE($D38,Milestones!$AA$25)&gt;=$Y38),$AB38,$AA38)))=Milestones!$AB$25),UPPER(TEXT(EDATE($D38,Milestones!$AA$25),"dd mmm yy"))&amp;" "&amp;Milestones!$AB$25&amp;" "&amp;IF(AND(Milestones!$AB$25="FT",Milestones!$AA$25=FT_Y5,EDATE($D38,Milestones!$AA$25)&lt;PolicyEff),1,Milestones!$AC$25)&amp;";  ","")&amp;IF(AND(EDATE($D38,Milestones!$AA$26)&lt;=AsOfDate,EDATE($D38,Milestones!$AA$26)&gt;=SchemeStart,IF($X38=0,$AD38,IF(AND($Z38&lt;&gt;"",EDATE($D38,Milestones!$AA$26)&gt;=$Z38),$AC38,IF(AND($Y38&lt;&gt;"",EDATE($D38,Milestones!$AA$26)&gt;=$Y38),$AB38,$AA38)))=Milestones!$AB$26),UPPER(TEXT(EDATE($D38,Milestones!$AA$26),"dd mmm yy"))&amp;" "&amp;Milestones!$AB$26&amp;" "&amp;IF(AND(Milestones!$AB$26="FT",Milestones!$AA$26=FT_Y5,EDATE($D38,Milestones!$AA$26)&lt;PolicyEff),1,Milestones!$AC$26)&amp;";  ","")&amp;IF(AND(EDATE($D38,Milestones!$AA$27)&lt;=AsOfDate,EDATE($D38,Milestones!$AA$27)&gt;=SchemeStart,IF($X38=0,$AD38,IF(AND($Z38&lt;&gt;"",EDATE($D38,Milestones!$AA$27)&gt;=$Z38),$AC38,IF(AND($Y38&lt;&gt;"",EDATE($D38,Milestones!$AA$27)&gt;=$Y38),$AB38,$AA38)))=Milestones!$AB$27),UPPER(TEXT(EDATE($D38,Milestones!$AA$27),"dd mmm yy"))&amp;" "&amp;Milestones!$AB$27&amp;" "&amp;IF(AND(Milestones!$AB$27="FT",Milestones!$AA$27=FT_Y5,EDATE($D38,Milestones!$AA$27)&lt;PolicyEff),1,Milestones!$AC$27)&amp;";  ","")&amp;IF(AND(EDATE($D38,Milestones!$AA$28)&lt;=AsOfDate,EDATE($D38,Milestones!$AA$28)&gt;=SchemeStart,IF($X38=0,$AD38,IF(AND($Z38&lt;&gt;"",EDATE($D38,Milestones!$AA$28)&gt;=$Z38),$AC38,IF(AND($Y38&lt;&gt;"",EDATE($D38,Milestones!$AA$28)&gt;=$Y38),$AB38,$AA38)))=Milestones!$AB$28),UPPER(TEXT(EDATE($D38,Milestones!$AA$28),"dd mmm yy"))&amp;" "&amp;Milestones!$AB$28&amp;" "&amp;IF(AND(Milestones!$AB$28="FT",Milestones!$AA$28=FT_Y5,EDATE($D38,Milestones!$AA$28)&lt;PolicyEff),1,Milestones!$AC$28)&amp;";  ","")&amp;IF(AND(EDATE($D38,Milestones!$AA$29)&lt;=AsOfDate,EDATE($D38,Milestones!$AA$29)&gt;=SchemeStart,IF($X38=0,$AD38,IF(AND($Z38&lt;&gt;"",EDATE($D38,Milestones!$AA$29)&gt;=$Z38),$AC38,IF(AND($Y38&lt;&gt;"",EDATE($D38,Milestones!$AA$29)&gt;=$Y38),$AB38,$AA38)))=Milestones!$AB$29),UPPER(TEXT(EDATE($D38,Milestones!$AA$29),"dd mmm yy"))&amp;" "&amp;Milestones!$AB$29&amp;" "&amp;IF(AND(Milestones!$AB$29="FT",Milestones!$AA$29=FT_Y5,EDATE($D38,Milestones!$AA$29)&lt;PolicyEff),1,Milestones!$AC$29)&amp;";  ","")&amp;IF(AND(EDATE($D38,Milestones!$AA$30)&lt;=AsOfDate,EDATE($D38,Milestones!$AA$30)&gt;=SchemeStart,IF($X38=0,$AD38,IF(AND($Z38&lt;&gt;"",EDATE($D38,Milestones!$AA$30)&gt;=$Z38),$AC38,IF(AND($Y38&lt;&gt;"",EDATE($D38,Milestones!$AA$30)&gt;=$Y38),$AB38,$AA38)))=Milestones!$AB$30),UPPER(TEXT(EDATE($D38,Milestones!$AA$30),"dd mmm yy"))&amp;" "&amp;Milestones!$AB$30&amp;" "&amp;IF(AND(Milestones!$AB$30="FT",Milestones!$AA$30=FT_Y5,EDATE($D38,Milestones!$AA$30)&lt;PolicyEff),1,Milestones!$AC$30)&amp;";  ","")&amp;IF(AND(EDATE($D38,Milestones!$AA$31)&lt;=AsOfDate,EDATE($D38,Milestones!$AA$31)&gt;=SchemeStart,IF($X38=0,$AD38,IF(AND($Z38&lt;&gt;"",EDATE($D38,Milestones!$AA$31)&gt;=$Z38),$AC38,IF(AND($Y38&lt;&gt;"",EDATE($D38,Milestones!$AA$31)&gt;=$Y38),$AB38,$AA38)))=Milestones!$AB$31),UPPER(TEXT(EDATE($D38,Milestones!$AA$31),"dd mmm yy"))&amp;" "&amp;Milestones!$AB$31&amp;" "&amp;IF(AND(Milestones!$AB$31="FT",Milestones!$AA$31=FT_Y5,EDATE($D38,Milestones!$AA$31)&lt;PolicyEff),1,Milestones!$AC$31)&amp;";  ",""))</f>
        <v/>
      </c>
      <c r="J38" s="0" t="str">
        <f aca="false">IF(OR($A38="",$D38=""),"",IF(AND(EDATE($D38,Milestones!$AA$32)&lt;=AsOfDate,EDATE($D38,Milestones!$AA$32)&gt;=SchemeStart,IF($X38=0,$AD38,IF(AND($Z38&lt;&gt;"",EDATE($D38,Milestones!$AA$32)&gt;=$Z38),$AC38,IF(AND($Y38&lt;&gt;"",EDATE($D38,Milestones!$AA$32)&gt;=$Y38),$AB38,$AA38)))=Milestones!$AB$32),UPPER(TEXT(EDATE($D38,Milestones!$AA$32),"dd mmm yy"))&amp;" "&amp;Milestones!$AB$32&amp;" "&amp;IF(AND(Milestones!$AB$32="FT",Milestones!$AA$32=FT_Y5,EDATE($D38,Milestones!$AA$32)&lt;PolicyEff),1,Milestones!$AC$32)&amp;";  ","")&amp;IF(AND(EDATE($D38,Milestones!$AA$33)&lt;=AsOfDate,EDATE($D38,Milestones!$AA$33)&gt;=SchemeStart,IF($X38=0,$AD38,IF(AND($Z38&lt;&gt;"",EDATE($D38,Milestones!$AA$33)&gt;=$Z38),$AC38,IF(AND($Y38&lt;&gt;"",EDATE($D38,Milestones!$AA$33)&gt;=$Y38),$AB38,$AA38)))=Milestones!$AB$33),UPPER(TEXT(EDATE($D38,Milestones!$AA$33),"dd mmm yy"))&amp;" "&amp;Milestones!$AB$33&amp;" "&amp;IF(AND(Milestones!$AB$33="FT",Milestones!$AA$33=FT_Y5,EDATE($D38,Milestones!$AA$33)&lt;PolicyEff),1,Milestones!$AC$33)&amp;";  ","")&amp;IF(AND(EDATE($D38,Milestones!$AA$34)&lt;=AsOfDate,EDATE($D38,Milestones!$AA$34)&gt;=SchemeStart,IF($X38=0,$AD38,IF(AND($Z38&lt;&gt;"",EDATE($D38,Milestones!$AA$34)&gt;=$Z38),$AC38,IF(AND($Y38&lt;&gt;"",EDATE($D38,Milestones!$AA$34)&gt;=$Y38),$AB38,$AA38)))=Milestones!$AB$34),UPPER(TEXT(EDATE($D38,Milestones!$AA$34),"dd mmm yy"))&amp;" "&amp;Milestones!$AB$34&amp;" "&amp;IF(AND(Milestones!$AB$34="FT",Milestones!$AA$34=FT_Y5,EDATE($D38,Milestones!$AA$34)&lt;PolicyEff),1,Milestones!$AC$34)&amp;";  ","")&amp;IF(AND(EDATE($D38,Milestones!$AA$35)&lt;=AsOfDate,EDATE($D38,Milestones!$AA$35)&gt;=SchemeStart,IF($X38=0,$AD38,IF(AND($Z38&lt;&gt;"",EDATE($D38,Milestones!$AA$35)&gt;=$Z38),$AC38,IF(AND($Y38&lt;&gt;"",EDATE($D38,Milestones!$AA$35)&gt;=$Y38),$AB38,$AA38)))=Milestones!$AB$35),UPPER(TEXT(EDATE($D38,Milestones!$AA$35),"dd mmm yy"))&amp;" "&amp;Milestones!$AB$35&amp;" "&amp;IF(AND(Milestones!$AB$35="FT",Milestones!$AA$35=FT_Y5,EDATE($D38,Milestones!$AA$35)&lt;PolicyEff),1,Milestones!$AC$35)&amp;";  ","")&amp;IF(AND(EDATE($D38,Milestones!$AA$36)&lt;=AsOfDate,EDATE($D38,Milestones!$AA$36)&gt;=SchemeStart,IF($X38=0,$AD38,IF(AND($Z38&lt;&gt;"",EDATE($D38,Milestones!$AA$36)&gt;=$Z38),$AC38,IF(AND($Y38&lt;&gt;"",EDATE($D38,Milestones!$AA$36)&gt;=$Y38),$AB38,$AA38)))=Milestones!$AB$36),UPPER(TEXT(EDATE($D38,Milestones!$AA$36),"dd mmm yy"))&amp;" "&amp;Milestones!$AB$36&amp;" "&amp;IF(AND(Milestones!$AB$36="FT",Milestones!$AA$36=FT_Y5,EDATE($D38,Milestones!$AA$36)&lt;PolicyEff),1,Milestones!$AC$36)&amp;";  ","")&amp;IF(AND(EDATE($D38,Milestones!$AA$37)&lt;=AsOfDate,EDATE($D38,Milestones!$AA$37)&gt;=SchemeStart,IF($X38=0,$AD38,IF(AND($Z38&lt;&gt;"",EDATE($D38,Milestones!$AA$37)&gt;=$Z38),$AC38,IF(AND($Y38&lt;&gt;"",EDATE($D38,Milestones!$AA$37)&gt;=$Y38),$AB38,$AA38)))=Milestones!$AB$37),UPPER(TEXT(EDATE($D38,Milestones!$AA$37),"dd mmm yy"))&amp;" "&amp;Milestones!$AB$37&amp;" "&amp;IF(AND(Milestones!$AB$37="FT",Milestones!$AA$37=FT_Y5,EDATE($D38,Milestones!$AA$37)&lt;PolicyEff),1,Milestones!$AC$37)&amp;";  ","")&amp;IF(AND(EDATE($D38,Milestones!$AA$38)&lt;=AsOfDate,EDATE($D38,Milestones!$AA$38)&gt;=SchemeStart,IF($X38=0,$AD38,IF(AND($Z38&lt;&gt;"",EDATE($D38,Milestones!$AA$38)&gt;=$Z38),$AC38,IF(AND($Y38&lt;&gt;"",EDATE($D38,Milestones!$AA$38)&gt;=$Y38),$AB38,$AA38)))=Milestones!$AB$38),UPPER(TEXT(EDATE($D38,Milestones!$AA$38),"dd mmm yy"))&amp;" "&amp;Milestones!$AB$38&amp;" "&amp;IF(AND(Milestones!$AB$38="FT",Milestones!$AA$38=FT_Y5,EDATE($D38,Milestones!$AA$38)&lt;PolicyEff),1,Milestones!$AC$38)&amp;";  ","")&amp;IF(AND(EDATE($D38,Milestones!$AA$39)&lt;=AsOfDate,EDATE($D38,Milestones!$AA$39)&gt;=SchemeStart,IF($X38=0,$AD38,IF(AND($Z38&lt;&gt;"",EDATE($D38,Milestones!$AA$39)&gt;=$Z38),$AC38,IF(AND($Y38&lt;&gt;"",EDATE($D38,Milestones!$AA$39)&gt;=$Y38),$AB38,$AA38)))=Milestones!$AB$39),UPPER(TEXT(EDATE($D38,Milestones!$AA$39),"dd mmm yy"))&amp;" "&amp;Milestones!$AB$39&amp;" "&amp;IF(AND(Milestones!$AB$39="FT",Milestones!$AA$39=FT_Y5,EDATE($D38,Milestones!$AA$39)&lt;PolicyEff),1,Milestones!$AC$39)&amp;";  ","")&amp;IF(AND(EDATE($D38,Milestones!$AA$40)&lt;=AsOfDate,EDATE($D38,Milestones!$AA$40)&gt;=SchemeStart,IF($X38=0,$AD38,IF(AND($Z38&lt;&gt;"",EDATE($D38,Milestones!$AA$40)&gt;=$Z38),$AC38,IF(AND($Y38&lt;&gt;"",EDATE($D38,Milestones!$AA$40)&gt;=$Y38),$AB38,$AA38)))=Milestones!$AB$40),UPPER(TEXT(EDATE($D38,Milestones!$AA$40),"dd mmm yy"))&amp;" "&amp;Milestones!$AB$40&amp;" "&amp;IF(AND(Milestones!$AB$40="FT",Milestones!$AA$40=FT_Y5,EDATE($D38,Milestones!$AA$40)&lt;PolicyEff),1,Milestones!$AC$40)&amp;";  ","")&amp;IF(AND(EDATE($D38,Milestones!$AA$41)&lt;=AsOfDate,EDATE($D38,Milestones!$AA$41)&gt;=SchemeStart,IF($X38=0,$AD38,IF(AND($Z38&lt;&gt;"",EDATE($D38,Milestones!$AA$41)&gt;=$Z38),$AC38,IF(AND($Y38&lt;&gt;"",EDATE($D38,Milestones!$AA$41)&gt;=$Y38),$AB38,$AA38)))=Milestones!$AB$41),UPPER(TEXT(EDATE($D38,Milestones!$AA$41),"dd mmm yy"))&amp;" "&amp;Milestones!$AB$41&amp;" "&amp;IF(AND(Milestones!$AB$41="FT",Milestones!$AA$41=FT_Y5,EDATE($D38,Milestones!$AA$41)&lt;PolicyEff),1,Milestones!$AC$41)&amp;";  ","")&amp;IF(AND(EDATE($D38,Milestones!$AA$42)&lt;=AsOfDate,EDATE($D38,Milestones!$AA$42)&gt;=SchemeStart,IF($X38=0,$AD38,IF(AND($Z38&lt;&gt;"",EDATE($D38,Milestones!$AA$42)&gt;=$Z38),$AC38,IF(AND($Y38&lt;&gt;"",EDATE($D38,Milestones!$AA$42)&gt;=$Y38),$AB38,$AA38)))=Milestones!$AB$42),UPPER(TEXT(EDATE($D38,Milestones!$AA$42),"dd mmm yy"))&amp;" "&amp;Milestones!$AB$42&amp;" "&amp;IF(AND(Milestones!$AB$42="FT",Milestones!$AA$42=FT_Y5,EDATE($D38,Milestones!$AA$42)&lt;PolicyEff),1,Milestones!$AC$42)&amp;";  ","")&amp;IF(AND(EDATE($D38,Milestones!$AA$43)&lt;=AsOfDate,EDATE($D38,Milestones!$AA$43)&gt;=SchemeStart,IF($X38=0,$AD38,IF(AND($Z38&lt;&gt;"",EDATE($D38,Milestones!$AA$43)&gt;=$Z38),$AC38,IF(AND($Y38&lt;&gt;"",EDATE($D38,Milestones!$AA$43)&gt;=$Y38),$AB38,$AA38)))=Milestones!$AB$43),UPPER(TEXT(EDATE($D38,Milestones!$AA$43),"dd mmm yy"))&amp;" "&amp;Milestones!$AB$43&amp;" "&amp;IF(AND(Milestones!$AB$43="FT",Milestones!$AA$43=FT_Y5,EDATE($D38,Milestones!$AA$43)&lt;PolicyEff),1,Milestones!$AC$43)&amp;";  ",""))</f>
        <v/>
      </c>
      <c r="K38" s="0" t="str">
        <f aca="false">IF(OR($A38="",$D38=""),"",IF(AND(EDATE($D38,Milestones!$AA$44)&lt;=AsOfDate,EDATE($D38,Milestones!$AA$44)&gt;=SchemeStart,IF($X38=0,$AD38,IF(AND($Z38&lt;&gt;"",EDATE($D38,Milestones!$AA$44)&gt;=$Z38),$AC38,IF(AND($Y38&lt;&gt;"",EDATE($D38,Milestones!$AA$44)&gt;=$Y38),$AB38,$AA38)))=Milestones!$AB$44),UPPER(TEXT(EDATE($D38,Milestones!$AA$44),"dd mmm yy"))&amp;" "&amp;Milestones!$AB$44&amp;" "&amp;IF(AND(Milestones!$AB$44="FT",Milestones!$AA$44=FT_Y5,EDATE($D38,Milestones!$AA$44)&lt;PolicyEff),1,Milestones!$AC$44)&amp;";  ","")&amp;IF(AND(EDATE($D38,Milestones!$AA$45)&lt;=AsOfDate,EDATE($D38,Milestones!$AA$45)&gt;=SchemeStart,IF($X38=0,$AD38,IF(AND($Z38&lt;&gt;"",EDATE($D38,Milestones!$AA$45)&gt;=$Z38),$AC38,IF(AND($Y38&lt;&gt;"",EDATE($D38,Milestones!$AA$45)&gt;=$Y38),$AB38,$AA38)))=Milestones!$AB$45),UPPER(TEXT(EDATE($D38,Milestones!$AA$45),"dd mmm yy"))&amp;" "&amp;Milestones!$AB$45&amp;" "&amp;IF(AND(Milestones!$AB$45="FT",Milestones!$AA$45=FT_Y5,EDATE($D38,Milestones!$AA$45)&lt;PolicyEff),1,Milestones!$AC$45)&amp;";  ","")&amp;IF(AND(EDATE($D38,Milestones!$AA$46)&lt;=AsOfDate,EDATE($D38,Milestones!$AA$46)&gt;=SchemeStart,IF($X38=0,$AD38,IF(AND($Z38&lt;&gt;"",EDATE($D38,Milestones!$AA$46)&gt;=$Z38),$AC38,IF(AND($Y38&lt;&gt;"",EDATE($D38,Milestones!$AA$46)&gt;=$Y38),$AB38,$AA38)))=Milestones!$AB$46),UPPER(TEXT(EDATE($D38,Milestones!$AA$46),"dd mmm yy"))&amp;" "&amp;Milestones!$AB$46&amp;" "&amp;IF(AND(Milestones!$AB$46="FT",Milestones!$AA$46=FT_Y5,EDATE($D38,Milestones!$AA$46)&lt;PolicyEff),1,Milestones!$AC$46)&amp;";  ","")&amp;IF(AND(EDATE($D38,Milestones!$AA$47)&lt;=AsOfDate,EDATE($D38,Milestones!$AA$47)&gt;=SchemeStart,IF($X38=0,$AD38,IF(AND($Z38&lt;&gt;"",EDATE($D38,Milestones!$AA$47)&gt;=$Z38),$AC38,IF(AND($Y38&lt;&gt;"",EDATE($D38,Milestones!$AA$47)&gt;=$Y38),$AB38,$AA38)))=Milestones!$AB$47),UPPER(TEXT(EDATE($D38,Milestones!$AA$47),"dd mmm yy"))&amp;" "&amp;Milestones!$AB$47&amp;" "&amp;IF(AND(Milestones!$AB$47="FT",Milestones!$AA$47=FT_Y5,EDATE($D38,Milestones!$AA$47)&lt;PolicyEff),1,Milestones!$AC$47)&amp;";  ","")&amp;IF(AND(EDATE($D38,Milestones!$AA$48)&lt;=AsOfDate,EDATE($D38,Milestones!$AA$48)&gt;=SchemeStart,IF($X38=0,$AD38,IF(AND($Z38&lt;&gt;"",EDATE($D38,Milestones!$AA$48)&gt;=$Z38),$AC38,IF(AND($Y38&lt;&gt;"",EDATE($D38,Milestones!$AA$48)&gt;=$Y38),$AB38,$AA38)))=Milestones!$AB$48),UPPER(TEXT(EDATE($D38,Milestones!$AA$48),"dd mmm yy"))&amp;" "&amp;Milestones!$AB$48&amp;" "&amp;IF(AND(Milestones!$AB$48="FT",Milestones!$AA$48=FT_Y5,EDATE($D38,Milestones!$AA$48)&lt;PolicyEff),1,Milestones!$AC$48)&amp;";  ","")&amp;IF(AND(EDATE($D38,Milestones!$AA$49)&lt;=AsOfDate,EDATE($D38,Milestones!$AA$49)&gt;=SchemeStart,IF($X38=0,$AD38,IF(AND($Z38&lt;&gt;"",EDATE($D38,Milestones!$AA$49)&gt;=$Z38),$AC38,IF(AND($Y38&lt;&gt;"",EDATE($D38,Milestones!$AA$49)&gt;=$Y38),$AB38,$AA38)))=Milestones!$AB$49),UPPER(TEXT(EDATE($D38,Milestones!$AA$49),"dd mmm yy"))&amp;" "&amp;Milestones!$AB$49&amp;" "&amp;IF(AND(Milestones!$AB$49="FT",Milestones!$AA$49=FT_Y5,EDATE($D38,Milestones!$AA$49)&lt;PolicyEff),1,Milestones!$AC$49)&amp;";  ","")&amp;IF(AND(EDATE($D38,Milestones!$AA$50)&lt;=AsOfDate,EDATE($D38,Milestones!$AA$50)&gt;=SchemeStart,IF($X38=0,$AD38,IF(AND($Z38&lt;&gt;"",EDATE($D38,Milestones!$AA$50)&gt;=$Z38),$AC38,IF(AND($Y38&lt;&gt;"",EDATE($D38,Milestones!$AA$50)&gt;=$Y38),$AB38,$AA38)))=Milestones!$AB$50),UPPER(TEXT(EDATE($D38,Milestones!$AA$50),"dd mmm yy"))&amp;" "&amp;Milestones!$AB$50&amp;" "&amp;IF(AND(Milestones!$AB$50="FT",Milestones!$AA$50=FT_Y5,EDATE($D38,Milestones!$AA$50)&lt;PolicyEff),1,Milestones!$AC$50)&amp;";  ","")&amp;IF(AND(EDATE($D38,Milestones!$AA$51)&lt;=AsOfDate,EDATE($D38,Milestones!$AA$51)&gt;=SchemeStart,IF($X38=0,$AD38,IF(AND($Z38&lt;&gt;"",EDATE($D38,Milestones!$AA$51)&gt;=$Z38),$AC38,IF(AND($Y38&lt;&gt;"",EDATE($D38,Milestones!$AA$51)&gt;=$Y38),$AB38,$AA38)))=Milestones!$AB$51),UPPER(TEXT(EDATE($D38,Milestones!$AA$51),"dd mmm yy"))&amp;" "&amp;Milestones!$AB$51&amp;" "&amp;IF(AND(Milestones!$AB$51="FT",Milestones!$AA$51=FT_Y5,EDATE($D38,Milestones!$AA$51)&lt;PolicyEff),1,Milestones!$AC$51)&amp;";  ","")&amp;IF(AND(EDATE($D38,Milestones!$AA$52)&lt;=AsOfDate,EDATE($D38,Milestones!$AA$52)&gt;=SchemeStart,IF($X38=0,$AD38,IF(AND($Z38&lt;&gt;"",EDATE($D38,Milestones!$AA$52)&gt;=$Z38),$AC38,IF(AND($Y38&lt;&gt;"",EDATE($D38,Milestones!$AA$52)&gt;=$Y38),$AB38,$AA38)))=Milestones!$AB$52),UPPER(TEXT(EDATE($D38,Milestones!$AA$52),"dd mmm yy"))&amp;" "&amp;Milestones!$AB$52&amp;" "&amp;IF(AND(Milestones!$AB$52="FT",Milestones!$AA$52=FT_Y5,EDATE($D38,Milestones!$AA$52)&lt;PolicyEff),1,Milestones!$AC$52)&amp;";  ","")&amp;IF(AND(EDATE($D38,Milestones!$AA$53)&lt;=AsOfDate,EDATE($D38,Milestones!$AA$53)&gt;=SchemeStart,IF($X38=0,$AD38,IF(AND($Z38&lt;&gt;"",EDATE($D38,Milestones!$AA$53)&gt;=$Z38),$AC38,IF(AND($Y38&lt;&gt;"",EDATE($D38,Milestones!$AA$53)&gt;=$Y38),$AB38,$AA38)))=Milestones!$AB$53),UPPER(TEXT(EDATE($D38,Milestones!$AA$53),"dd mmm yy"))&amp;" "&amp;Milestones!$AB$53&amp;" "&amp;IF(AND(Milestones!$AB$53="FT",Milestones!$AA$53=FT_Y5,EDATE($D38,Milestones!$AA$53)&lt;PolicyEff),1,Milestones!$AC$53)&amp;";  ","")&amp;IF(AND(EDATE($D38,Milestones!$AA$54)&lt;=AsOfDate,EDATE($D38,Milestones!$AA$54)&gt;=SchemeStart,IF($X38=0,$AD38,IF(AND($Z38&lt;&gt;"",EDATE($D38,Milestones!$AA$54)&gt;=$Z38),$AC38,IF(AND($Y38&lt;&gt;"",EDATE($D38,Milestones!$AA$54)&gt;=$Y38),$AB38,$AA38)))=Milestones!$AB$54),UPPER(TEXT(EDATE($D38,Milestones!$AA$54),"dd mmm yy"))&amp;" "&amp;Milestones!$AB$54&amp;" "&amp;IF(AND(Milestones!$AB$54="FT",Milestones!$AA$54=FT_Y5,EDATE($D38,Milestones!$AA$54)&lt;PolicyEff),1,Milestones!$AC$54)&amp;";  ","")&amp;IF(AND(EDATE($D38,Milestones!$AA$55)&lt;=AsOfDate,EDATE($D38,Milestones!$AA$55)&gt;=SchemeStart,IF($X38=0,$AD38,IF(AND($Z38&lt;&gt;"",EDATE($D38,Milestones!$AA$55)&gt;=$Z38),$AC38,IF(AND($Y38&lt;&gt;"",EDATE($D38,Milestones!$AA$55)&gt;=$Y38),$AB38,$AA38)))=Milestones!$AB$55),UPPER(TEXT(EDATE($D38,Milestones!$AA$55),"dd mmm yy"))&amp;" "&amp;Milestones!$AB$55&amp;" "&amp;IF(AND(Milestones!$AB$55="FT",Milestones!$AA$55=FT_Y5,EDATE($D38,Milestones!$AA$55)&lt;PolicyEff),1,Milestones!$AC$55)&amp;";  ",""))</f>
        <v/>
      </c>
      <c r="L38" s="0" t="str">
        <f aca="false">IF(OR($A38="",$D38=""),"",IF(AND(EDATE($D38,Milestones!$AA$56)&lt;=AsOfDate,EDATE($D38,Milestones!$AA$56)&gt;=SchemeStart,IF($X38=0,$AD38,IF(AND($Z38&lt;&gt;"",EDATE($D38,Milestones!$AA$56)&gt;=$Z38),$AC38,IF(AND($Y38&lt;&gt;"",EDATE($D38,Milestones!$AA$56)&gt;=$Y38),$AB38,$AA38)))=Milestones!$AB$56),UPPER(TEXT(EDATE($D38,Milestones!$AA$56),"dd mmm yy"))&amp;" "&amp;Milestones!$AB$56&amp;" "&amp;IF(AND(Milestones!$AB$56="FT",Milestones!$AA$56=FT_Y5,EDATE($D38,Milestones!$AA$56)&lt;PolicyEff),1,Milestones!$AC$56)&amp;";  ","")&amp;IF(AND(EDATE($D38,Milestones!$AA$57)&lt;=AsOfDate,EDATE($D38,Milestones!$AA$57)&gt;=SchemeStart,IF($X38=0,$AD38,IF(AND($Z38&lt;&gt;"",EDATE($D38,Milestones!$AA$57)&gt;=$Z38),$AC38,IF(AND($Y38&lt;&gt;"",EDATE($D38,Milestones!$AA$57)&gt;=$Y38),$AB38,$AA38)))=Milestones!$AB$57),UPPER(TEXT(EDATE($D38,Milestones!$AA$57),"dd mmm yy"))&amp;" "&amp;Milestones!$AB$57&amp;" "&amp;IF(AND(Milestones!$AB$57="FT",Milestones!$AA$57=FT_Y5,EDATE($D38,Milestones!$AA$57)&lt;PolicyEff),1,Milestones!$AC$57)&amp;";  ","")&amp;IF(AND(EDATE($D38,Milestones!$AA$58)&lt;=AsOfDate,EDATE($D38,Milestones!$AA$58)&gt;=SchemeStart,IF($X38=0,$AD38,IF(AND($Z38&lt;&gt;"",EDATE($D38,Milestones!$AA$58)&gt;=$Z38),$AC38,IF(AND($Y38&lt;&gt;"",EDATE($D38,Milestones!$AA$58)&gt;=$Y38),$AB38,$AA38)))=Milestones!$AB$58),UPPER(TEXT(EDATE($D38,Milestones!$AA$58),"dd mmm yy"))&amp;" "&amp;Milestones!$AB$58&amp;" "&amp;IF(AND(Milestones!$AB$58="FT",Milestones!$AA$58=FT_Y5,EDATE($D38,Milestones!$AA$58)&lt;PolicyEff),1,Milestones!$AC$58)&amp;";  ","")&amp;IF(AND(EDATE($D38,Milestones!$AA$59)&lt;=AsOfDate,EDATE($D38,Milestones!$AA$59)&gt;=SchemeStart,IF($X38=0,$AD38,IF(AND($Z38&lt;&gt;"",EDATE($D38,Milestones!$AA$59)&gt;=$Z38),$AC38,IF(AND($Y38&lt;&gt;"",EDATE($D38,Milestones!$AA$59)&gt;=$Y38),$AB38,$AA38)))=Milestones!$AB$59),UPPER(TEXT(EDATE($D38,Milestones!$AA$59),"dd mmm yy"))&amp;" "&amp;Milestones!$AB$59&amp;" "&amp;IF(AND(Milestones!$AB$59="FT",Milestones!$AA$59=FT_Y5,EDATE($D38,Milestones!$AA$59)&lt;PolicyEff),1,Milestones!$AC$59)&amp;";  ","")&amp;IF(AND(EDATE($D38,Milestones!$AA$60)&lt;=AsOfDate,EDATE($D38,Milestones!$AA$60)&gt;=SchemeStart,IF($X38=0,$AD38,IF(AND($Z38&lt;&gt;"",EDATE($D38,Milestones!$AA$60)&gt;=$Z38),$AC38,IF(AND($Y38&lt;&gt;"",EDATE($D38,Milestones!$AA$60)&gt;=$Y38),$AB38,$AA38)))=Milestones!$AB$60),UPPER(TEXT(EDATE($D38,Milestones!$AA$60),"dd mmm yy"))&amp;" "&amp;Milestones!$AB$60&amp;" "&amp;IF(AND(Milestones!$AB$60="FT",Milestones!$AA$60=FT_Y5,EDATE($D38,Milestones!$AA$60)&lt;PolicyEff),1,Milestones!$AC$60)&amp;";  ","")&amp;IF(AND(EDATE($D38,Milestones!$AA$61)&lt;=AsOfDate,EDATE($D38,Milestones!$AA$61)&gt;=SchemeStart,IF($X38=0,$AD38,IF(AND($Z38&lt;&gt;"",EDATE($D38,Milestones!$AA$61)&gt;=$Z38),$AC38,IF(AND($Y38&lt;&gt;"",EDATE($D38,Milestones!$AA$61)&gt;=$Y38),$AB38,$AA38)))=Milestones!$AB$61),UPPER(TEXT(EDATE($D38,Milestones!$AA$61),"dd mmm yy"))&amp;" "&amp;Milestones!$AB$61&amp;" "&amp;IF(AND(Milestones!$AB$61="FT",Milestones!$AA$61=FT_Y5,EDATE($D38,Milestones!$AA$61)&lt;PolicyEff),1,Milestones!$AC$61)&amp;";  ","")&amp;IF(AND(EDATE($D38,Milestones!$AA$62)&lt;=AsOfDate,EDATE($D38,Milestones!$AA$62)&gt;=SchemeStart,IF($X38=0,$AD38,IF(AND($Z38&lt;&gt;"",EDATE($D38,Milestones!$AA$62)&gt;=$Z38),$AC38,IF(AND($Y38&lt;&gt;"",EDATE($D38,Milestones!$AA$62)&gt;=$Y38),$AB38,$AA38)))=Milestones!$AB$62),UPPER(TEXT(EDATE($D38,Milestones!$AA$62),"dd mmm yy"))&amp;" "&amp;Milestones!$AB$62&amp;" "&amp;IF(AND(Milestones!$AB$62="FT",Milestones!$AA$62=FT_Y5,EDATE($D38,Milestones!$AA$62)&lt;PolicyEff),1,Milestones!$AC$62)&amp;";  ","")&amp;IF(AND(EDATE($D38,Milestones!$AA$63)&lt;=AsOfDate,EDATE($D38,Milestones!$AA$63)&gt;=SchemeStart,IF($X38=0,$AD38,IF(AND($Z38&lt;&gt;"",EDATE($D38,Milestones!$AA$63)&gt;=$Z38),$AC38,IF(AND($Y38&lt;&gt;"",EDATE($D38,Milestones!$AA$63)&gt;=$Y38),$AB38,$AA38)))=Milestones!$AB$63),UPPER(TEXT(EDATE($D38,Milestones!$AA$63),"dd mmm yy"))&amp;" "&amp;Milestones!$AB$63&amp;" "&amp;IF(AND(Milestones!$AB$63="FT",Milestones!$AA$63=FT_Y5,EDATE($D38,Milestones!$AA$63)&lt;PolicyEff),1,Milestones!$AC$63)&amp;";  ","")&amp;IF(AND(EDATE($D38,Milestones!$AA$64)&lt;=AsOfDate,EDATE($D38,Milestones!$AA$64)&gt;=SchemeStart,IF($X38=0,$AD38,IF(AND($Z38&lt;&gt;"",EDATE($D38,Milestones!$AA$64)&gt;=$Z38),$AC38,IF(AND($Y38&lt;&gt;"",EDATE($D38,Milestones!$AA$64)&gt;=$Y38),$AB38,$AA38)))=Milestones!$AB$64),UPPER(TEXT(EDATE($D38,Milestones!$AA$64),"dd mmm yy"))&amp;" "&amp;Milestones!$AB$64&amp;" "&amp;IF(AND(Milestones!$AB$64="FT",Milestones!$AA$64=FT_Y5,EDATE($D38,Milestones!$AA$64)&lt;PolicyEff),1,Milestones!$AC$64)&amp;";  ","")&amp;IF(AND(EDATE($D38,Milestones!$AA$65)&lt;=AsOfDate,EDATE($D38,Milestones!$AA$65)&gt;=SchemeStart,IF($X38=0,$AD38,IF(AND($Z38&lt;&gt;"",EDATE($D38,Milestones!$AA$65)&gt;=$Z38),$AC38,IF(AND($Y38&lt;&gt;"",EDATE($D38,Milestones!$AA$65)&gt;=$Y38),$AB38,$AA38)))=Milestones!$AB$65),UPPER(TEXT(EDATE($D38,Milestones!$AA$65),"dd mmm yy"))&amp;" "&amp;Milestones!$AB$65&amp;" "&amp;IF(AND(Milestones!$AB$65="FT",Milestones!$AA$65=FT_Y5,EDATE($D38,Milestones!$AA$65)&lt;PolicyEff),1,Milestones!$AC$65)&amp;";  ","")&amp;IF(AND(EDATE($D38,Milestones!$AA$66)&lt;=AsOfDate,EDATE($D38,Milestones!$AA$66)&gt;=SchemeStart,IF($X38=0,$AD38,IF(AND($Z38&lt;&gt;"",EDATE($D38,Milestones!$AA$66)&gt;=$Z38),$AC38,IF(AND($Y38&lt;&gt;"",EDATE($D38,Milestones!$AA$66)&gt;=$Y38),$AB38,$AA38)))=Milestones!$AB$66),UPPER(TEXT(EDATE($D38,Milestones!$AA$66),"dd mmm yy"))&amp;" "&amp;Milestones!$AB$66&amp;" "&amp;IF(AND(Milestones!$AB$66="FT",Milestones!$AA$66=FT_Y5,EDATE($D38,Milestones!$AA$66)&lt;PolicyEff),1,Milestones!$AC$66)&amp;";  ","")&amp;IF(AND(EDATE($D38,Milestones!$AA$67)&lt;=AsOfDate,EDATE($D38,Milestones!$AA$67)&gt;=SchemeStart,IF($X38=0,$AD38,IF(AND($Z38&lt;&gt;"",EDATE($D38,Milestones!$AA$67)&gt;=$Z38),$AC38,IF(AND($Y38&lt;&gt;"",EDATE($D38,Milestones!$AA$67)&gt;=$Y38),$AB38,$AA38)))=Milestones!$AB$67),UPPER(TEXT(EDATE($D38,Milestones!$AA$67),"dd mmm yy"))&amp;" "&amp;Milestones!$AB$67&amp;" "&amp;IF(AND(Milestones!$AB$67="FT",Milestones!$AA$67=FT_Y5,EDATE($D38,Milestones!$AA$67)&lt;PolicyEff),1,Milestones!$AC$67)&amp;";  ",""))</f>
        <v/>
      </c>
      <c r="M38" s="0" t="str">
        <f aca="false">IF(OR($A38="",$D38=""),"",IF(AND(EDATE($D38,Milestones!$AA$68)&lt;=AsOfDate,EDATE($D38,Milestones!$AA$68)&gt;=SchemeStart,IF($X38=0,$AD38,IF(AND($Z38&lt;&gt;"",EDATE($D38,Milestones!$AA$68)&gt;=$Z38),$AC38,IF(AND($Y38&lt;&gt;"",EDATE($D38,Milestones!$AA$68)&gt;=$Y38),$AB38,$AA38)))=Milestones!$AB$68),UPPER(TEXT(EDATE($D38,Milestones!$AA$68),"dd mmm yy"))&amp;" "&amp;Milestones!$AB$68&amp;" "&amp;IF(AND(Milestones!$AB$68="FT",Milestones!$AA$68=FT_Y5,EDATE($D38,Milestones!$AA$68)&lt;PolicyEff),1,Milestones!$AC$68)&amp;";  ","")&amp;IF(AND(EDATE($D38,Milestones!$AA$69)&lt;=AsOfDate,EDATE($D38,Milestones!$AA$69)&gt;=SchemeStart,IF($X38=0,$AD38,IF(AND($Z38&lt;&gt;"",EDATE($D38,Milestones!$AA$69)&gt;=$Z38),$AC38,IF(AND($Y38&lt;&gt;"",EDATE($D38,Milestones!$AA$69)&gt;=$Y38),$AB38,$AA38)))=Milestones!$AB$69),UPPER(TEXT(EDATE($D38,Milestones!$AA$69),"dd mmm yy"))&amp;" "&amp;Milestones!$AB$69&amp;" "&amp;IF(AND(Milestones!$AB$69="FT",Milestones!$AA$69=FT_Y5,EDATE($D38,Milestones!$AA$69)&lt;PolicyEff),1,Milestones!$AC$69)&amp;";  ","")&amp;IF(AND(EDATE($D38,Milestones!$AA$70)&lt;=AsOfDate,EDATE($D38,Milestones!$AA$70)&gt;=SchemeStart,IF($X38=0,$AD38,IF(AND($Z38&lt;&gt;"",EDATE($D38,Milestones!$AA$70)&gt;=$Z38),$AC38,IF(AND($Y38&lt;&gt;"",EDATE($D38,Milestones!$AA$70)&gt;=$Y38),$AB38,$AA38)))=Milestones!$AB$70),UPPER(TEXT(EDATE($D38,Milestones!$AA$70),"dd mmm yy"))&amp;" "&amp;Milestones!$AB$70&amp;" "&amp;IF(AND(Milestones!$AB$70="FT",Milestones!$AA$70=FT_Y5,EDATE($D38,Milestones!$AA$70)&lt;PolicyEff),1,Milestones!$AC$70)&amp;";  ","")&amp;IF(AND(EDATE($D38,Milestones!$AA$71)&lt;=AsOfDate,EDATE($D38,Milestones!$AA$71)&gt;=SchemeStart,IF($X38=0,$AD38,IF(AND($Z38&lt;&gt;"",EDATE($D38,Milestones!$AA$71)&gt;=$Z38),$AC38,IF(AND($Y38&lt;&gt;"",EDATE($D38,Milestones!$AA$71)&gt;=$Y38),$AB38,$AA38)))=Milestones!$AB$71),UPPER(TEXT(EDATE($D38,Milestones!$AA$71),"dd mmm yy"))&amp;" "&amp;Milestones!$AB$71&amp;" "&amp;IF(AND(Milestones!$AB$71="FT",Milestones!$AA$71=FT_Y5,EDATE($D38,Milestones!$AA$71)&lt;PolicyEff),1,Milestones!$AC$71)&amp;";  ","")&amp;IF(AND(EDATE($D38,Milestones!$AA$72)&lt;=AsOfDate,EDATE($D38,Milestones!$AA$72)&gt;=SchemeStart,IF($X38=0,$AD38,IF(AND($Z38&lt;&gt;"",EDATE($D38,Milestones!$AA$72)&gt;=$Z38),$AC38,IF(AND($Y38&lt;&gt;"",EDATE($D38,Milestones!$AA$72)&gt;=$Y38),$AB38,$AA38)))=Milestones!$AB$72),UPPER(TEXT(EDATE($D38,Milestones!$AA$72),"dd mmm yy"))&amp;" "&amp;Milestones!$AB$72&amp;" "&amp;IF(AND(Milestones!$AB$72="FT",Milestones!$AA$72=FT_Y5,EDATE($D38,Milestones!$AA$72)&lt;PolicyEff),1,Milestones!$AC$72)&amp;";  ","")&amp;IF(AND(EDATE($D38,Milestones!$AA$73)&lt;=AsOfDate,EDATE($D38,Milestones!$AA$73)&gt;=SchemeStart,IF($X38=0,$AD38,IF(AND($Z38&lt;&gt;"",EDATE($D38,Milestones!$AA$73)&gt;=$Z38),$AC38,IF(AND($Y38&lt;&gt;"",EDATE($D38,Milestones!$AA$73)&gt;=$Y38),$AB38,$AA38)))=Milestones!$AB$73),UPPER(TEXT(EDATE($D38,Milestones!$AA$73),"dd mmm yy"))&amp;" "&amp;Milestones!$AB$73&amp;" "&amp;IF(AND(Milestones!$AB$73="FT",Milestones!$AA$73=FT_Y5,EDATE($D38,Milestones!$AA$73)&lt;PolicyEff),1,Milestones!$AC$73)&amp;";  ","")&amp;IF(AND(EDATE($D38,Milestones!$AA$74)&lt;=AsOfDate,EDATE($D38,Milestones!$AA$74)&gt;=SchemeStart,IF($X38=0,$AD38,IF(AND($Z38&lt;&gt;"",EDATE($D38,Milestones!$AA$74)&gt;=$Z38),$AC38,IF(AND($Y38&lt;&gt;"",EDATE($D38,Milestones!$AA$74)&gt;=$Y38),$AB38,$AA38)))=Milestones!$AB$74),UPPER(TEXT(EDATE($D38,Milestones!$AA$74),"dd mmm yy"))&amp;" "&amp;Milestones!$AB$74&amp;" "&amp;IF(AND(Milestones!$AB$74="FT",Milestones!$AA$74=FT_Y5,EDATE($D38,Milestones!$AA$74)&lt;PolicyEff),1,Milestones!$AC$74)&amp;";  ","")&amp;IF(AND(EDATE($D38,Milestones!$AA$75)&lt;=AsOfDate,EDATE($D38,Milestones!$AA$75)&gt;=SchemeStart,IF($X38=0,$AD38,IF(AND($Z38&lt;&gt;"",EDATE($D38,Milestones!$AA$75)&gt;=$Z38),$AC38,IF(AND($Y38&lt;&gt;"",EDATE($D38,Milestones!$AA$75)&gt;=$Y38),$AB38,$AA38)))=Milestones!$AB$75),UPPER(TEXT(EDATE($D38,Milestones!$AA$75),"dd mmm yy"))&amp;" "&amp;Milestones!$AB$75&amp;" "&amp;IF(AND(Milestones!$AB$75="FT",Milestones!$AA$75=FT_Y5,EDATE($D38,Milestones!$AA$75)&lt;PolicyEff),1,Milestones!$AC$75)&amp;";  ","")&amp;IF(AND(EDATE($D38,Milestones!$AA$76)&lt;=AsOfDate,EDATE($D38,Milestones!$AA$76)&gt;=SchemeStart,IF($X38=0,$AD38,IF(AND($Z38&lt;&gt;"",EDATE($D38,Milestones!$AA$76)&gt;=$Z38),$AC38,IF(AND($Y38&lt;&gt;"",EDATE($D38,Milestones!$AA$76)&gt;=$Y38),$AB38,$AA38)))=Milestones!$AB$76),UPPER(TEXT(EDATE($D38,Milestones!$AA$76),"dd mmm yy"))&amp;" "&amp;Milestones!$AB$76&amp;" "&amp;IF(AND(Milestones!$AB$76="FT",Milestones!$AA$76=FT_Y5,EDATE($D38,Milestones!$AA$76)&lt;PolicyEff),1,Milestones!$AC$76)&amp;";  ","")&amp;IF(AND(EDATE($D38,Milestones!$AA$77)&lt;=AsOfDate,EDATE($D38,Milestones!$AA$77)&gt;=SchemeStart,IF($X38=0,$AD38,IF(AND($Z38&lt;&gt;"",EDATE($D38,Milestones!$AA$77)&gt;=$Z38),$AC38,IF(AND($Y38&lt;&gt;"",EDATE($D38,Milestones!$AA$77)&gt;=$Y38),$AB38,$AA38)))=Milestones!$AB$77),UPPER(TEXT(EDATE($D38,Milestones!$AA$77),"dd mmm yy"))&amp;" "&amp;Milestones!$AB$77&amp;" "&amp;IF(AND(Milestones!$AB$77="FT",Milestones!$AA$77=FT_Y5,EDATE($D38,Milestones!$AA$77)&lt;PolicyEff),1,Milestones!$AC$77)&amp;";  ","")&amp;IF(AND(EDATE($D38,Milestones!$AA$78)&lt;=AsOfDate,EDATE($D38,Milestones!$AA$78)&gt;=SchemeStart,IF($X38=0,$AD38,IF(AND($Z38&lt;&gt;"",EDATE($D38,Milestones!$AA$78)&gt;=$Z38),$AC38,IF(AND($Y38&lt;&gt;"",EDATE($D38,Milestones!$AA$78)&gt;=$Y38),$AB38,$AA38)))=Milestones!$AB$78),UPPER(TEXT(EDATE($D38,Milestones!$AA$78),"dd mmm yy"))&amp;" "&amp;Milestones!$AB$78&amp;" "&amp;IF(AND(Milestones!$AB$78="FT",Milestones!$AA$78=FT_Y5,EDATE($D38,Milestones!$AA$78)&lt;PolicyEff),1,Milestones!$AC$78)&amp;";  ","")&amp;IF(AND(EDATE($D38,Milestones!$AA$79)&lt;=AsOfDate,EDATE($D38,Milestones!$AA$79)&gt;=SchemeStart,IF($X38=0,$AD38,IF(AND($Z38&lt;&gt;"",EDATE($D38,Milestones!$AA$79)&gt;=$Z38),$AC38,IF(AND($Y38&lt;&gt;"",EDATE($D38,Milestones!$AA$79)&gt;=$Y38),$AB38,$AA38)))=Milestones!$AB$79),UPPER(TEXT(EDATE($D38,Milestones!$AA$79),"dd mmm yy"))&amp;" "&amp;Milestones!$AB$79&amp;" "&amp;IF(AND(Milestones!$AB$79="FT",Milestones!$AA$79=FT_Y5,EDATE($D38,Milestones!$AA$79)&lt;PolicyEff),1,Milestones!$AC$79)&amp;";  ",""))</f>
        <v/>
      </c>
      <c r="N38" s="0" t="str">
        <f aca="false">IF(OR($A38="",$D38=""),"",IF(AND(EDATE($D38,Milestones!$AA$80)&lt;=AsOfDate,EDATE($D38,Milestones!$AA$80)&gt;=SchemeStart,IF($X38=0,$AD38,IF(AND($Z38&lt;&gt;"",EDATE($D38,Milestones!$AA$80)&gt;=$Z38),$AC38,IF(AND($Y38&lt;&gt;"",EDATE($D38,Milestones!$AA$80)&gt;=$Y38),$AB38,$AA38)))=Milestones!$AB$80),UPPER(TEXT(EDATE($D38,Milestones!$AA$80),"dd mmm yy"))&amp;" "&amp;Milestones!$AB$80&amp;" "&amp;IF(AND(Milestones!$AB$80="FT",Milestones!$AA$80=FT_Y5,EDATE($D38,Milestones!$AA$80)&lt;PolicyEff),1,Milestones!$AC$80)&amp;";  ","")&amp;IF(AND(EDATE($D38,Milestones!$AA$81)&lt;=AsOfDate,EDATE($D38,Milestones!$AA$81)&gt;=SchemeStart,IF($X38=0,$AD38,IF(AND($Z38&lt;&gt;"",EDATE($D38,Milestones!$AA$81)&gt;=$Z38),$AC38,IF(AND($Y38&lt;&gt;"",EDATE($D38,Milestones!$AA$81)&gt;=$Y38),$AB38,$AA38)))=Milestones!$AB$81),UPPER(TEXT(EDATE($D38,Milestones!$AA$81),"dd mmm yy"))&amp;" "&amp;Milestones!$AB$81&amp;" "&amp;IF(AND(Milestones!$AB$81="FT",Milestones!$AA$81=FT_Y5,EDATE($D38,Milestones!$AA$81)&lt;PolicyEff),1,Milestones!$AC$81)&amp;";  ","")&amp;IF(AND(EDATE($D38,Milestones!$AA$82)&lt;=AsOfDate,EDATE($D38,Milestones!$AA$82)&gt;=SchemeStart,IF($X38=0,$AD38,IF(AND($Z38&lt;&gt;"",EDATE($D38,Milestones!$AA$82)&gt;=$Z38),$AC38,IF(AND($Y38&lt;&gt;"",EDATE($D38,Milestones!$AA$82)&gt;=$Y38),$AB38,$AA38)))=Milestones!$AB$82),UPPER(TEXT(EDATE($D38,Milestones!$AA$82),"dd mmm yy"))&amp;" "&amp;Milestones!$AB$82&amp;" "&amp;IF(AND(Milestones!$AB$82="FT",Milestones!$AA$82=FT_Y5,EDATE($D38,Milestones!$AA$82)&lt;PolicyEff),1,Milestones!$AC$82)&amp;";  ","")&amp;IF(AND(EDATE($D38,Milestones!$AA$83)&lt;=AsOfDate,EDATE($D38,Milestones!$AA$83)&gt;=SchemeStart,IF($X38=0,$AD38,IF(AND($Z38&lt;&gt;"",EDATE($D38,Milestones!$AA$83)&gt;=$Z38),$AC38,IF(AND($Y38&lt;&gt;"",EDATE($D38,Milestones!$AA$83)&gt;=$Y38),$AB38,$AA38)))=Milestones!$AB$83),UPPER(TEXT(EDATE($D38,Milestones!$AA$83),"dd mmm yy"))&amp;" "&amp;Milestones!$AB$83&amp;" "&amp;IF(AND(Milestones!$AB$83="FT",Milestones!$AA$83=FT_Y5,EDATE($D38,Milestones!$AA$83)&lt;PolicyEff),1,Milestones!$AC$83)&amp;";  ","")&amp;IF(AND(EDATE($D38,Milestones!$AA$84)&lt;=AsOfDate,EDATE($D38,Milestones!$AA$84)&gt;=SchemeStart,IF($X38=0,$AD38,IF(AND($Z38&lt;&gt;"",EDATE($D38,Milestones!$AA$84)&gt;=$Z38),$AC38,IF(AND($Y38&lt;&gt;"",EDATE($D38,Milestones!$AA$84)&gt;=$Y38),$AB38,$AA38)))=Milestones!$AB$84),UPPER(TEXT(EDATE($D38,Milestones!$AA$84),"dd mmm yy"))&amp;" "&amp;Milestones!$AB$84&amp;" "&amp;IF(AND(Milestones!$AB$84="FT",Milestones!$AA$84=FT_Y5,EDATE($D38,Milestones!$AA$84)&lt;PolicyEff),1,Milestones!$AC$84)&amp;";  ","")&amp;IF(AND(EDATE($D38,Milestones!$AA$85)&lt;=AsOfDate,EDATE($D38,Milestones!$AA$85)&gt;=SchemeStart,IF($X38=0,$AD38,IF(AND($Z38&lt;&gt;"",EDATE($D38,Milestones!$AA$85)&gt;=$Z38),$AC38,IF(AND($Y38&lt;&gt;"",EDATE($D38,Milestones!$AA$85)&gt;=$Y38),$AB38,$AA38)))=Milestones!$AB$85),UPPER(TEXT(EDATE($D38,Milestones!$AA$85),"dd mmm yy"))&amp;" "&amp;Milestones!$AB$85&amp;" "&amp;IF(AND(Milestones!$AB$85="FT",Milestones!$AA$85=FT_Y5,EDATE($D38,Milestones!$AA$85)&lt;PolicyEff),1,Milestones!$AC$85)&amp;";  ","")&amp;IF(AND(EDATE($D38,Milestones!$AA$86)&lt;=AsOfDate,EDATE($D38,Milestones!$AA$86)&gt;=SchemeStart,IF($X38=0,$AD38,IF(AND($Z38&lt;&gt;"",EDATE($D38,Milestones!$AA$86)&gt;=$Z38),$AC38,IF(AND($Y38&lt;&gt;"",EDATE($D38,Milestones!$AA$86)&gt;=$Y38),$AB38,$AA38)))=Milestones!$AB$86),UPPER(TEXT(EDATE($D38,Milestones!$AA$86),"dd mmm yy"))&amp;" "&amp;Milestones!$AB$86&amp;" "&amp;IF(AND(Milestones!$AB$86="FT",Milestones!$AA$86=FT_Y5,EDATE($D38,Milestones!$AA$86)&lt;PolicyEff),1,Milestones!$AC$86)&amp;";  ","")&amp;IF(AND(EDATE($D38,Milestones!$AA$87)&lt;=AsOfDate,EDATE($D38,Milestones!$AA$87)&gt;=SchemeStart,IF($X38=0,$AD38,IF(AND($Z38&lt;&gt;"",EDATE($D38,Milestones!$AA$87)&gt;=$Z38),$AC38,IF(AND($Y38&lt;&gt;"",EDATE($D38,Milestones!$AA$87)&gt;=$Y38),$AB38,$AA38)))=Milestones!$AB$87),UPPER(TEXT(EDATE($D38,Milestones!$AA$87),"dd mmm yy"))&amp;" "&amp;Milestones!$AB$87&amp;" "&amp;IF(AND(Milestones!$AB$87="FT",Milestones!$AA$87=FT_Y5,EDATE($D38,Milestones!$AA$87)&lt;PolicyEff),1,Milestones!$AC$87)&amp;";  ","")&amp;IF(AND(EDATE($D38,Milestones!$AA$88)&lt;=AsOfDate,EDATE($D38,Milestones!$AA$88)&gt;=SchemeStart,IF($X38=0,$AD38,IF(AND($Z38&lt;&gt;"",EDATE($D38,Milestones!$AA$88)&gt;=$Z38),$AC38,IF(AND($Y38&lt;&gt;"",EDATE($D38,Milestones!$AA$88)&gt;=$Y38),$AB38,$AA38)))=Milestones!$AB$88),UPPER(TEXT(EDATE($D38,Milestones!$AA$88),"dd mmm yy"))&amp;" "&amp;Milestones!$AB$88&amp;" "&amp;IF(AND(Milestones!$AB$88="FT",Milestones!$AA$88=FT_Y5,EDATE($D38,Milestones!$AA$88)&lt;PolicyEff),1,Milestones!$AC$88)&amp;";  ","")&amp;IF(AND(EDATE($D38,Milestones!$AA$89)&lt;=AsOfDate,EDATE($D38,Milestones!$AA$89)&gt;=SchemeStart,IF($X38=0,$AD38,IF(AND($Z38&lt;&gt;"",EDATE($D38,Milestones!$AA$89)&gt;=$Z38),$AC38,IF(AND($Y38&lt;&gt;"",EDATE($D38,Milestones!$AA$89)&gt;=$Y38),$AB38,$AA38)))=Milestones!$AB$89),UPPER(TEXT(EDATE($D38,Milestones!$AA$89),"dd mmm yy"))&amp;" "&amp;Milestones!$AB$89&amp;" "&amp;IF(AND(Milestones!$AB$89="FT",Milestones!$AA$89=FT_Y5,EDATE($D38,Milestones!$AA$89)&lt;PolicyEff),1,Milestones!$AC$89)&amp;";  ","")&amp;IF(AND(EDATE($D38,Milestones!$AA$90)&lt;=AsOfDate,EDATE($D38,Milestones!$AA$90)&gt;=SchemeStart,IF($X38=0,$AD38,IF(AND($Z38&lt;&gt;"",EDATE($D38,Milestones!$AA$90)&gt;=$Z38),$AC38,IF(AND($Y38&lt;&gt;"",EDATE($D38,Milestones!$AA$90)&gt;=$Y38),$AB38,$AA38)))=Milestones!$AB$90),UPPER(TEXT(EDATE($D38,Milestones!$AA$90),"dd mmm yy"))&amp;" "&amp;Milestones!$AB$90&amp;" "&amp;IF(AND(Milestones!$AB$90="FT",Milestones!$AA$90=FT_Y5,EDATE($D38,Milestones!$AA$90)&lt;PolicyEff),1,Milestones!$AC$90)&amp;";  ","")&amp;IF(AND(EDATE($D38,Milestones!$AA$91)&lt;=AsOfDate,EDATE($D38,Milestones!$AA$91)&gt;=SchemeStart,IF($X38=0,$AD38,IF(AND($Z38&lt;&gt;"",EDATE($D38,Milestones!$AA$91)&gt;=$Z38),$AC38,IF(AND($Y38&lt;&gt;"",EDATE($D38,Milestones!$AA$91)&gt;=$Y38),$AB38,$AA38)))=Milestones!$AB$91),UPPER(TEXT(EDATE($D38,Milestones!$AA$91),"dd mmm yy"))&amp;" "&amp;Milestones!$AB$91&amp;" "&amp;IF(AND(Milestones!$AB$91="FT",Milestones!$AA$91=FT_Y5,EDATE($D38,Milestones!$AA$91)&lt;PolicyEff),1,Milestones!$AC$91)&amp;";  ",""))</f>
        <v/>
      </c>
      <c r="O38" s="0" t="str">
        <f aca="false">IF(OR($A38="",$D38=""),"",IF(AND(EDATE($D38,Milestones!$AA$92)&lt;=AsOfDate,EDATE($D38,Milestones!$AA$92)&gt;=SchemeStart,IF($X38=0,$AD38,IF(AND($Z38&lt;&gt;"",EDATE($D38,Milestones!$AA$92)&gt;=$Z38),$AC38,IF(AND($Y38&lt;&gt;"",EDATE($D38,Milestones!$AA$92)&gt;=$Y38),$AB38,$AA38)))=Milestones!$AB$92),UPPER(TEXT(EDATE($D38,Milestones!$AA$92),"dd mmm yy"))&amp;" "&amp;Milestones!$AB$92&amp;" "&amp;IF(AND(Milestones!$AB$92="FT",Milestones!$AA$92=FT_Y5,EDATE($D38,Milestones!$AA$92)&lt;PolicyEff),1,Milestones!$AC$92)&amp;";  ","")&amp;IF(AND(EDATE($D38,Milestones!$AA$93)&lt;=AsOfDate,EDATE($D38,Milestones!$AA$93)&gt;=SchemeStart,IF($X38=0,$AD38,IF(AND($Z38&lt;&gt;"",EDATE($D38,Milestones!$AA$93)&gt;=$Z38),$AC38,IF(AND($Y38&lt;&gt;"",EDATE($D38,Milestones!$AA$93)&gt;=$Y38),$AB38,$AA38)))=Milestones!$AB$93),UPPER(TEXT(EDATE($D38,Milestones!$AA$93),"dd mmm yy"))&amp;" "&amp;Milestones!$AB$93&amp;" "&amp;IF(AND(Milestones!$AB$93="FT",Milestones!$AA$93=FT_Y5,EDATE($D38,Milestones!$AA$93)&lt;PolicyEff),1,Milestones!$AC$93)&amp;";  ","")&amp;IF(AND(EDATE($D38,Milestones!$AA$94)&lt;=AsOfDate,EDATE($D38,Milestones!$AA$94)&gt;=SchemeStart,IF($X38=0,$AD38,IF(AND($Z38&lt;&gt;"",EDATE($D38,Milestones!$AA$94)&gt;=$Z38),$AC38,IF(AND($Y38&lt;&gt;"",EDATE($D38,Milestones!$AA$94)&gt;=$Y38),$AB38,$AA38)))=Milestones!$AB$94),UPPER(TEXT(EDATE($D38,Milestones!$AA$94),"dd mmm yy"))&amp;" "&amp;Milestones!$AB$94&amp;" "&amp;IF(AND(Milestones!$AB$94="FT",Milestones!$AA$94=FT_Y5,EDATE($D38,Milestones!$AA$94)&lt;PolicyEff),1,Milestones!$AC$94)&amp;";  ","")&amp;IF(AND(EDATE($D38,Milestones!$AA$95)&lt;=AsOfDate,EDATE($D38,Milestones!$AA$95)&gt;=SchemeStart,IF($X38=0,$AD38,IF(AND($Z38&lt;&gt;"",EDATE($D38,Milestones!$AA$95)&gt;=$Z38),$AC38,IF(AND($Y38&lt;&gt;"",EDATE($D38,Milestones!$AA$95)&gt;=$Y38),$AB38,$AA38)))=Milestones!$AB$95),UPPER(TEXT(EDATE($D38,Milestones!$AA$95),"dd mmm yy"))&amp;" "&amp;Milestones!$AB$95&amp;" "&amp;IF(AND(Milestones!$AB$95="FT",Milestones!$AA$95=FT_Y5,EDATE($D38,Milestones!$AA$95)&lt;PolicyEff),1,Milestones!$AC$95)&amp;";  ","")&amp;IF(AND(EDATE($D38,Milestones!$AA$96)&lt;=AsOfDate,EDATE($D38,Milestones!$AA$96)&gt;=SchemeStart,IF($X38=0,$AD38,IF(AND($Z38&lt;&gt;"",EDATE($D38,Milestones!$AA$96)&gt;=$Z38),$AC38,IF(AND($Y38&lt;&gt;"",EDATE($D38,Milestones!$AA$96)&gt;=$Y38),$AB38,$AA38)))=Milestones!$AB$96),UPPER(TEXT(EDATE($D38,Milestones!$AA$96),"dd mmm yy"))&amp;" "&amp;Milestones!$AB$96&amp;" "&amp;IF(AND(Milestones!$AB$96="FT",Milestones!$AA$96=FT_Y5,EDATE($D38,Milestones!$AA$96)&lt;PolicyEff),1,Milestones!$AC$96)&amp;";  ","")&amp;IF(AND(EDATE($D38,Milestones!$AA$97)&lt;=AsOfDate,EDATE($D38,Milestones!$AA$97)&gt;=SchemeStart,IF($X38=0,$AD38,IF(AND($Z38&lt;&gt;"",EDATE($D38,Milestones!$AA$97)&gt;=$Z38),$AC38,IF(AND($Y38&lt;&gt;"",EDATE($D38,Milestones!$AA$97)&gt;=$Y38),$AB38,$AA38)))=Milestones!$AB$97),UPPER(TEXT(EDATE($D38,Milestones!$AA$97),"dd mmm yy"))&amp;" "&amp;Milestones!$AB$97&amp;" "&amp;IF(AND(Milestones!$AB$97="FT",Milestones!$AA$97=FT_Y5,EDATE($D38,Milestones!$AA$97)&lt;PolicyEff),1,Milestones!$AC$97)&amp;";  ","")&amp;IF(AND(EDATE($D38,Milestones!$AA$98)&lt;=AsOfDate,EDATE($D38,Milestones!$AA$98)&gt;=SchemeStart,IF($X38=0,$AD38,IF(AND($Z38&lt;&gt;"",EDATE($D38,Milestones!$AA$98)&gt;=$Z38),$AC38,IF(AND($Y38&lt;&gt;"",EDATE($D38,Milestones!$AA$98)&gt;=$Y38),$AB38,$AA38)))=Milestones!$AB$98),UPPER(TEXT(EDATE($D38,Milestones!$AA$98),"dd mmm yy"))&amp;" "&amp;Milestones!$AB$98&amp;" "&amp;IF(AND(Milestones!$AB$98="FT",Milestones!$AA$98=FT_Y5,EDATE($D38,Milestones!$AA$98)&lt;PolicyEff),1,Milestones!$AC$98)&amp;";  ","")&amp;IF(AND(EDATE($D38,Milestones!$AA$99)&lt;=AsOfDate,EDATE($D38,Milestones!$AA$99)&gt;=SchemeStart,IF($X38=0,$AD38,IF(AND($Z38&lt;&gt;"",EDATE($D38,Milestones!$AA$99)&gt;=$Z38),$AC38,IF(AND($Y38&lt;&gt;"",EDATE($D38,Milestones!$AA$99)&gt;=$Y38),$AB38,$AA38)))=Milestones!$AB$99),UPPER(TEXT(EDATE($D38,Milestones!$AA$99),"dd mmm yy"))&amp;" "&amp;Milestones!$AB$99&amp;" "&amp;IF(AND(Milestones!$AB$99="FT",Milestones!$AA$99=FT_Y5,EDATE($D38,Milestones!$AA$99)&lt;PolicyEff),1,Milestones!$AC$99)&amp;";  ","")&amp;IF(AND(EDATE($D38,Milestones!$AA$100)&lt;=AsOfDate,EDATE($D38,Milestones!$AA$100)&gt;=SchemeStart,IF($X38=0,$AD38,IF(AND($Z38&lt;&gt;"",EDATE($D38,Milestones!$AA$100)&gt;=$Z38),$AC38,IF(AND($Y38&lt;&gt;"",EDATE($D38,Milestones!$AA$100)&gt;=$Y38),$AB38,$AA38)))=Milestones!$AB$100),UPPER(TEXT(EDATE($D38,Milestones!$AA$100),"dd mmm yy"))&amp;" "&amp;Milestones!$AB$100&amp;" "&amp;IF(AND(Milestones!$AB$100="FT",Milestones!$AA$100=FT_Y5,EDATE($D38,Milestones!$AA$100)&lt;PolicyEff),1,Milestones!$AC$100)&amp;";  ","")&amp;IF(AND(EDATE($D38,Milestones!$AA$101)&lt;=AsOfDate,EDATE($D38,Milestones!$AA$101)&gt;=SchemeStart,IF($X38=0,$AD38,IF(AND($Z38&lt;&gt;"",EDATE($D38,Milestones!$AA$101)&gt;=$Z38),$AC38,IF(AND($Y38&lt;&gt;"",EDATE($D38,Milestones!$AA$101)&gt;=$Y38),$AB38,$AA38)))=Milestones!$AB$101),UPPER(TEXT(EDATE($D38,Milestones!$AA$101),"dd mmm yy"))&amp;" "&amp;Milestones!$AB$101&amp;" "&amp;IF(AND(Milestones!$AB$101="FT",Milestones!$AA$101=FT_Y5,EDATE($D38,Milestones!$AA$101)&lt;PolicyEff),1,Milestones!$AC$101)&amp;";  ","")&amp;IF(AND(EDATE($D38,Milestones!$AA$102)&lt;=AsOfDate,EDATE($D38,Milestones!$AA$102)&gt;=SchemeStart,IF($X38=0,$AD38,IF(AND($Z38&lt;&gt;"",EDATE($D38,Milestones!$AA$102)&gt;=$Z38),$AC38,IF(AND($Y38&lt;&gt;"",EDATE($D38,Milestones!$AA$102)&gt;=$Y38),$AB38,$AA38)))=Milestones!$AB$102),UPPER(TEXT(EDATE($D38,Milestones!$AA$102),"dd mmm yy"))&amp;" "&amp;Milestones!$AB$102&amp;" "&amp;IF(AND(Milestones!$AB$102="FT",Milestones!$AA$102=FT_Y5,EDATE($D38,Milestones!$AA$102)&lt;PolicyEff),1,Milestones!$AC$102)&amp;";  ","")&amp;IF(AND(EDATE($D38,Milestones!$AA$103)&lt;=AsOfDate,EDATE($D38,Milestones!$AA$103)&gt;=SchemeStart,IF($X38=0,$AD38,IF(AND($Z38&lt;&gt;"",EDATE($D38,Milestones!$AA$103)&gt;=$Z38),$AC38,IF(AND($Y38&lt;&gt;"",EDATE($D38,Milestones!$AA$103)&gt;=$Y38),$AB38,$AA38)))=Milestones!$AB$103),UPPER(TEXT(EDATE($D38,Milestones!$AA$103),"dd mmm yy"))&amp;" "&amp;Milestones!$AB$103&amp;" "&amp;IF(AND(Milestones!$AB$103="FT",Milestones!$AA$103=FT_Y5,EDATE($D38,Milestones!$AA$103)&lt;PolicyEff),1,Milestones!$AC$103)&amp;";  ",""))</f>
        <v/>
      </c>
      <c r="P38" s="0" t="str">
        <f aca="false">IF(OR($A38="",$D38=""),"",IF(AND(EDATE($D38,Milestones!$AA$104)&lt;=AsOfDate,EDATE($D38,Milestones!$AA$104)&gt;=SchemeStart,IF($X38=0,$AD38,IF(AND($Z38&lt;&gt;"",EDATE($D38,Milestones!$AA$104)&gt;=$Z38),$AC38,IF(AND($Y38&lt;&gt;"",EDATE($D38,Milestones!$AA$104)&gt;=$Y38),$AB38,$AA38)))=Milestones!$AB$104),UPPER(TEXT(EDATE($D38,Milestones!$AA$104),"dd mmm yy"))&amp;" "&amp;Milestones!$AB$104&amp;" "&amp;IF(AND(Milestones!$AB$104="FT",Milestones!$AA$104=FT_Y5,EDATE($D38,Milestones!$AA$104)&lt;PolicyEff),1,Milestones!$AC$104)&amp;";  ","")&amp;IF(AND(EDATE($D38,Milestones!$AA$105)&lt;=AsOfDate,EDATE($D38,Milestones!$AA$105)&gt;=SchemeStart,IF($X38=0,$AD38,IF(AND($Z38&lt;&gt;"",EDATE($D38,Milestones!$AA$105)&gt;=$Z38),$AC38,IF(AND($Y38&lt;&gt;"",EDATE($D38,Milestones!$AA$105)&gt;=$Y38),$AB38,$AA38)))=Milestones!$AB$105),UPPER(TEXT(EDATE($D38,Milestones!$AA$105),"dd mmm yy"))&amp;" "&amp;Milestones!$AB$105&amp;" "&amp;IF(AND(Milestones!$AB$105="FT",Milestones!$AA$105=FT_Y5,EDATE($D38,Milestones!$AA$105)&lt;PolicyEff),1,Milestones!$AC$105)&amp;";  ","")&amp;IF(AND(EDATE($D38,Milestones!$AA$106)&lt;=AsOfDate,EDATE($D38,Milestones!$AA$106)&gt;=SchemeStart,IF($X38=0,$AD38,IF(AND($Z38&lt;&gt;"",EDATE($D38,Milestones!$AA$106)&gt;=$Z38),$AC38,IF(AND($Y38&lt;&gt;"",EDATE($D38,Milestones!$AA$106)&gt;=$Y38),$AB38,$AA38)))=Milestones!$AB$106),UPPER(TEXT(EDATE($D38,Milestones!$AA$106),"dd mmm yy"))&amp;" "&amp;Milestones!$AB$106&amp;" "&amp;IF(AND(Milestones!$AB$106="FT",Milestones!$AA$106=FT_Y5,EDATE($D38,Milestones!$AA$106)&lt;PolicyEff),1,Milestones!$AC$106)&amp;";  ","")&amp;IF(AND(EDATE($D38,Milestones!$AA$107)&lt;=AsOfDate,EDATE($D38,Milestones!$AA$107)&gt;=SchemeStart,IF($X38=0,$AD38,IF(AND($Z38&lt;&gt;"",EDATE($D38,Milestones!$AA$107)&gt;=$Z38),$AC38,IF(AND($Y38&lt;&gt;"",EDATE($D38,Milestones!$AA$107)&gt;=$Y38),$AB38,$AA38)))=Milestones!$AB$107),UPPER(TEXT(EDATE($D38,Milestones!$AA$107),"dd mmm yy"))&amp;" "&amp;Milestones!$AB$107&amp;" "&amp;IF(AND(Milestones!$AB$107="FT",Milestones!$AA$107=FT_Y5,EDATE($D38,Milestones!$AA$107)&lt;PolicyEff),1,Milestones!$AC$107)&amp;";  ","")&amp;IF(AND(EDATE($D38,Milestones!$AA$108)&lt;=AsOfDate,EDATE($D38,Milestones!$AA$108)&gt;=SchemeStart,IF($X38=0,$AD38,IF(AND($Z38&lt;&gt;"",EDATE($D38,Milestones!$AA$108)&gt;=$Z38),$AC38,IF(AND($Y38&lt;&gt;"",EDATE($D38,Milestones!$AA$108)&gt;=$Y38),$AB38,$AA38)))=Milestones!$AB$108),UPPER(TEXT(EDATE($D38,Milestones!$AA$108),"dd mmm yy"))&amp;" "&amp;Milestones!$AB$108&amp;" "&amp;IF(AND(Milestones!$AB$108="FT",Milestones!$AA$108=FT_Y5,EDATE($D38,Milestones!$AA$108)&lt;PolicyEff),1,Milestones!$AC$108)&amp;";  ","")&amp;IF(AND(EDATE($D38,Milestones!$AA$109)&lt;=AsOfDate,EDATE($D38,Milestones!$AA$109)&gt;=SchemeStart,IF($X38=0,$AD38,IF(AND($Z38&lt;&gt;"",EDATE($D38,Milestones!$AA$109)&gt;=$Z38),$AC38,IF(AND($Y38&lt;&gt;"",EDATE($D38,Milestones!$AA$109)&gt;=$Y38),$AB38,$AA38)))=Milestones!$AB$109),UPPER(TEXT(EDATE($D38,Milestones!$AA$109),"dd mmm yy"))&amp;" "&amp;Milestones!$AB$109&amp;" "&amp;IF(AND(Milestones!$AB$109="FT",Milestones!$AA$109=FT_Y5,EDATE($D38,Milestones!$AA$109)&lt;PolicyEff),1,Milestones!$AC$109)&amp;";  ","")&amp;IF(AND(EDATE($D38,Milestones!$AA$110)&lt;=AsOfDate,EDATE($D38,Milestones!$AA$110)&gt;=SchemeStart,IF($X38=0,$AD38,IF(AND($Z38&lt;&gt;"",EDATE($D38,Milestones!$AA$110)&gt;=$Z38),$AC38,IF(AND($Y38&lt;&gt;"",EDATE($D38,Milestones!$AA$110)&gt;=$Y38),$AB38,$AA38)))=Milestones!$AB$110),UPPER(TEXT(EDATE($D38,Milestones!$AA$110),"dd mmm yy"))&amp;" "&amp;Milestones!$AB$110&amp;" "&amp;IF(AND(Milestones!$AB$110="FT",Milestones!$AA$110=FT_Y5,EDATE($D38,Milestones!$AA$110)&lt;PolicyEff),1,Milestones!$AC$110)&amp;";  ","")&amp;IF(AND(EDATE($D38,Milestones!$AA$111)&lt;=AsOfDate,EDATE($D38,Milestones!$AA$111)&gt;=SchemeStart,IF($X38=0,$AD38,IF(AND($Z38&lt;&gt;"",EDATE($D38,Milestones!$AA$111)&gt;=$Z38),$AC38,IF(AND($Y38&lt;&gt;"",EDATE($D38,Milestones!$AA$111)&gt;=$Y38),$AB38,$AA38)))=Milestones!$AB$111),UPPER(TEXT(EDATE($D38,Milestones!$AA$111),"dd mmm yy"))&amp;" "&amp;Milestones!$AB$111&amp;" "&amp;IF(AND(Milestones!$AB$111="FT",Milestones!$AA$111=FT_Y5,EDATE($D38,Milestones!$AA$111)&lt;PolicyEff),1,Milestones!$AC$111)&amp;";  ","")&amp;IF(AND(EDATE($D38,Milestones!$AA$112)&lt;=AsOfDate,EDATE($D38,Milestones!$AA$112)&gt;=SchemeStart,IF($X38=0,$AD38,IF(AND($Z38&lt;&gt;"",EDATE($D38,Milestones!$AA$112)&gt;=$Z38),$AC38,IF(AND($Y38&lt;&gt;"",EDATE($D38,Milestones!$AA$112)&gt;=$Y38),$AB38,$AA38)))=Milestones!$AB$112),UPPER(TEXT(EDATE($D38,Milestones!$AA$112),"dd mmm yy"))&amp;" "&amp;Milestones!$AB$112&amp;" "&amp;IF(AND(Milestones!$AB$112="FT",Milestones!$AA$112=FT_Y5,EDATE($D38,Milestones!$AA$112)&lt;PolicyEff),1,Milestones!$AC$112)&amp;";  ","")&amp;IF(AND(EDATE($D38,Milestones!$AA$113)&lt;=AsOfDate,EDATE($D38,Milestones!$AA$113)&gt;=SchemeStart,IF($X38=0,$AD38,IF(AND($Z38&lt;&gt;"",EDATE($D38,Milestones!$AA$113)&gt;=$Z38),$AC38,IF(AND($Y38&lt;&gt;"",EDATE($D38,Milestones!$AA$113)&gt;=$Y38),$AB38,$AA38)))=Milestones!$AB$113),UPPER(TEXT(EDATE($D38,Milestones!$AA$113),"dd mmm yy"))&amp;" "&amp;Milestones!$AB$113&amp;" "&amp;IF(AND(Milestones!$AB$113="FT",Milestones!$AA$113=FT_Y5,EDATE($D38,Milestones!$AA$113)&lt;PolicyEff),1,Milestones!$AC$113)&amp;";  ","")&amp;IF(AND(EDATE($D38,Milestones!$AA$114)&lt;=AsOfDate,EDATE($D38,Milestones!$AA$114)&gt;=SchemeStart,IF($X38=0,$AD38,IF(AND($Z38&lt;&gt;"",EDATE($D38,Milestones!$AA$114)&gt;=$Z38),$AC38,IF(AND($Y38&lt;&gt;"",EDATE($D38,Milestones!$AA$114)&gt;=$Y38),$AB38,$AA38)))=Milestones!$AB$114),UPPER(TEXT(EDATE($D38,Milestones!$AA$114),"dd mmm yy"))&amp;" "&amp;Milestones!$AB$114&amp;" "&amp;IF(AND(Milestones!$AB$114="FT",Milestones!$AA$114=FT_Y5,EDATE($D38,Milestones!$AA$114)&lt;PolicyEff),1,Milestones!$AC$114)&amp;";  ","")&amp;IF(AND(EDATE($D38,Milestones!$AA$115)&lt;=AsOfDate,EDATE($D38,Milestones!$AA$115)&gt;=SchemeStart,IF($X38=0,$AD38,IF(AND($Z38&lt;&gt;"",EDATE($D38,Milestones!$AA$115)&gt;=$Z38),$AC38,IF(AND($Y38&lt;&gt;"",EDATE($D38,Milestones!$AA$115)&gt;=$Y38),$AB38,$AA38)))=Milestones!$AB$115),UPPER(TEXT(EDATE($D38,Milestones!$AA$115),"dd mmm yy"))&amp;" "&amp;Milestones!$AB$115&amp;" "&amp;IF(AND(Milestones!$AB$115="FT",Milestones!$AA$115=FT_Y5,EDATE($D38,Milestones!$AA$115)&lt;PolicyEff),1,Milestones!$AC$115)&amp;";  ",""))</f>
        <v/>
      </c>
      <c r="Q38" s="0" t="str">
        <f aca="false">IF(OR($A38="",$D38=""),"",IF(AND(EDATE($D38,Milestones!$AA$116)&lt;=AsOfDate,EDATE($D38,Milestones!$AA$116)&gt;=SchemeStart,IF($X38=0,$AD38,IF(AND($Z38&lt;&gt;"",EDATE($D38,Milestones!$AA$116)&gt;=$Z38),$AC38,IF(AND($Y38&lt;&gt;"",EDATE($D38,Milestones!$AA$116)&gt;=$Y38),$AB38,$AA38)))=Milestones!$AB$116),UPPER(TEXT(EDATE($D38,Milestones!$AA$116),"dd mmm yy"))&amp;" "&amp;Milestones!$AB$116&amp;" "&amp;IF(AND(Milestones!$AB$116="FT",Milestones!$AA$116=FT_Y5,EDATE($D38,Milestones!$AA$116)&lt;PolicyEff),1,Milestones!$AC$116)&amp;";  ","")&amp;IF(AND(EDATE($D38,Milestones!$AA$117)&lt;=AsOfDate,EDATE($D38,Milestones!$AA$117)&gt;=SchemeStart,IF($X38=0,$AD38,IF(AND($Z38&lt;&gt;"",EDATE($D38,Milestones!$AA$117)&gt;=$Z38),$AC38,IF(AND($Y38&lt;&gt;"",EDATE($D38,Milestones!$AA$117)&gt;=$Y38),$AB38,$AA38)))=Milestones!$AB$117),UPPER(TEXT(EDATE($D38,Milestones!$AA$117),"dd mmm yy"))&amp;" "&amp;Milestones!$AB$117&amp;" "&amp;IF(AND(Milestones!$AB$117="FT",Milestones!$AA$117=FT_Y5,EDATE($D38,Milestones!$AA$117)&lt;PolicyEff),1,Milestones!$AC$117)&amp;";  ","")&amp;IF(AND(EDATE($D38,Milestones!$AA$118)&lt;=AsOfDate,EDATE($D38,Milestones!$AA$118)&gt;=SchemeStart,IF($X38=0,$AD38,IF(AND($Z38&lt;&gt;"",EDATE($D38,Milestones!$AA$118)&gt;=$Z38),$AC38,IF(AND($Y38&lt;&gt;"",EDATE($D38,Milestones!$AA$118)&gt;=$Y38),$AB38,$AA38)))=Milestones!$AB$118),UPPER(TEXT(EDATE($D38,Milestones!$AA$118),"dd mmm yy"))&amp;" "&amp;Milestones!$AB$118&amp;" "&amp;IF(AND(Milestones!$AB$118="FT",Milestones!$AA$118=FT_Y5,EDATE($D38,Milestones!$AA$118)&lt;PolicyEff),1,Milestones!$AC$118)&amp;";  ","")&amp;IF(AND(EDATE($D38,Milestones!$AA$119)&lt;=AsOfDate,EDATE($D38,Milestones!$AA$119)&gt;=SchemeStart,IF($X38=0,$AD38,IF(AND($Z38&lt;&gt;"",EDATE($D38,Milestones!$AA$119)&gt;=$Z38),$AC38,IF(AND($Y38&lt;&gt;"",EDATE($D38,Milestones!$AA$119)&gt;=$Y38),$AB38,$AA38)))=Milestones!$AB$119),UPPER(TEXT(EDATE($D38,Milestones!$AA$119),"dd mmm yy"))&amp;" "&amp;Milestones!$AB$119&amp;" "&amp;IF(AND(Milestones!$AB$119="FT",Milestones!$AA$119=FT_Y5,EDATE($D38,Milestones!$AA$119)&lt;PolicyEff),1,Milestones!$AC$119)&amp;";  ","")&amp;IF(AND(EDATE($D38,Milestones!$AA$120)&lt;=AsOfDate,EDATE($D38,Milestones!$AA$120)&gt;=SchemeStart,IF($X38=0,$AD38,IF(AND($Z38&lt;&gt;"",EDATE($D38,Milestones!$AA$120)&gt;=$Z38),$AC38,IF(AND($Y38&lt;&gt;"",EDATE($D38,Milestones!$AA$120)&gt;=$Y38),$AB38,$AA38)))=Milestones!$AB$120),UPPER(TEXT(EDATE($D38,Milestones!$AA$120),"dd mmm yy"))&amp;" "&amp;Milestones!$AB$120&amp;" "&amp;IF(AND(Milestones!$AB$120="FT",Milestones!$AA$120=FT_Y5,EDATE($D38,Milestones!$AA$120)&lt;PolicyEff),1,Milestones!$AC$120)&amp;";  ","")&amp;IF(AND(EDATE($D38,Milestones!$AA$121)&lt;=AsOfDate,EDATE($D38,Milestones!$AA$121)&gt;=SchemeStart,IF($X38=0,$AD38,IF(AND($Z38&lt;&gt;"",EDATE($D38,Milestones!$AA$121)&gt;=$Z38),$AC38,IF(AND($Y38&lt;&gt;"",EDATE($D38,Milestones!$AA$121)&gt;=$Y38),$AB38,$AA38)))=Milestones!$AB$121),UPPER(TEXT(EDATE($D38,Milestones!$AA$121),"dd mmm yy"))&amp;" "&amp;Milestones!$AB$121&amp;" "&amp;IF(AND(Milestones!$AB$121="FT",Milestones!$AA$121=FT_Y5,EDATE($D38,Milestones!$AA$121)&lt;PolicyEff),1,Milestones!$AC$121)&amp;";  ","")&amp;IF(AND(EDATE($D38,Milestones!$AA$122)&lt;=AsOfDate,EDATE($D38,Milestones!$AA$122)&gt;=SchemeStart,IF($X38=0,$AD38,IF(AND($Z38&lt;&gt;"",EDATE($D38,Milestones!$AA$122)&gt;=$Z38),$AC38,IF(AND($Y38&lt;&gt;"",EDATE($D38,Milestones!$AA$122)&gt;=$Y38),$AB38,$AA38)))=Milestones!$AB$122),UPPER(TEXT(EDATE($D38,Milestones!$AA$122),"dd mmm yy"))&amp;" "&amp;Milestones!$AB$122&amp;" "&amp;IF(AND(Milestones!$AB$122="FT",Milestones!$AA$122=FT_Y5,EDATE($D38,Milestones!$AA$122)&lt;PolicyEff),1,Milestones!$AC$122)&amp;";  ","")&amp;IF(AND(EDATE($D38,Milestones!$AA$123)&lt;=AsOfDate,EDATE($D38,Milestones!$AA$123)&gt;=SchemeStart,IF($X38=0,$AD38,IF(AND($Z38&lt;&gt;"",EDATE($D38,Milestones!$AA$123)&gt;=$Z38),$AC38,IF(AND($Y38&lt;&gt;"",EDATE($D38,Milestones!$AA$123)&gt;=$Y38),$AB38,$AA38)))=Milestones!$AB$123),UPPER(TEXT(EDATE($D38,Milestones!$AA$123),"dd mmm yy"))&amp;" "&amp;Milestones!$AB$123&amp;" "&amp;IF(AND(Milestones!$AB$123="FT",Milestones!$AA$123=FT_Y5,EDATE($D38,Milestones!$AA$123)&lt;PolicyEff),1,Milestones!$AC$123)&amp;";  ","")&amp;IF(AND(EDATE($D38,Milestones!$AA$124)&lt;=AsOfDate,EDATE($D38,Milestones!$AA$124)&gt;=SchemeStart,IF($X38=0,$AD38,IF(AND($Z38&lt;&gt;"",EDATE($D38,Milestones!$AA$124)&gt;=$Z38),$AC38,IF(AND($Y38&lt;&gt;"",EDATE($D38,Milestones!$AA$124)&gt;=$Y38),$AB38,$AA38)))=Milestones!$AB$124),UPPER(TEXT(EDATE($D38,Milestones!$AA$124),"dd mmm yy"))&amp;" "&amp;Milestones!$AB$124&amp;" "&amp;IF(AND(Milestones!$AB$124="FT",Milestones!$AA$124=FT_Y5,EDATE($D38,Milestones!$AA$124)&lt;PolicyEff),1,Milestones!$AC$124)&amp;";  ","")&amp;IF(AND(EDATE($D38,Milestones!$AA$125)&lt;=AsOfDate,EDATE($D38,Milestones!$AA$125)&gt;=SchemeStart,IF($X38=0,$AD38,IF(AND($Z38&lt;&gt;"",EDATE($D38,Milestones!$AA$125)&gt;=$Z38),$AC38,IF(AND($Y38&lt;&gt;"",EDATE($D38,Milestones!$AA$125)&gt;=$Y38),$AB38,$AA38)))=Milestones!$AB$125),UPPER(TEXT(EDATE($D38,Milestones!$AA$125),"dd mmm yy"))&amp;" "&amp;Milestones!$AB$125&amp;" "&amp;IF(AND(Milestones!$AB$125="FT",Milestones!$AA$125=FT_Y5,EDATE($D38,Milestones!$AA$125)&lt;PolicyEff),1,Milestones!$AC$125)&amp;";  ","")&amp;IF(AND(EDATE($D38,Milestones!$AA$126)&lt;=AsOfDate,EDATE($D38,Milestones!$AA$126)&gt;=SchemeStart,IF($X38=0,$AD38,IF(AND($Z38&lt;&gt;"",EDATE($D38,Milestones!$AA$126)&gt;=$Z38),$AC38,IF(AND($Y38&lt;&gt;"",EDATE($D38,Milestones!$AA$126)&gt;=$Y38),$AB38,$AA38)))=Milestones!$AB$126),UPPER(TEXT(EDATE($D38,Milestones!$AA$126),"dd mmm yy"))&amp;" "&amp;Milestones!$AB$126&amp;" "&amp;IF(AND(Milestones!$AB$126="FT",Milestones!$AA$126=FT_Y5,EDATE($D38,Milestones!$AA$126)&lt;PolicyEff),1,Milestones!$AC$126)&amp;";  ","")&amp;IF(AND(EDATE($D38,Milestones!$AA$127)&lt;=AsOfDate,EDATE($D38,Milestones!$AA$127)&gt;=SchemeStart,IF($X38=0,$AD38,IF(AND($Z38&lt;&gt;"",EDATE($D38,Milestones!$AA$127)&gt;=$Z38),$AC38,IF(AND($Y38&lt;&gt;"",EDATE($D38,Milestones!$AA$127)&gt;=$Y38),$AB38,$AA38)))=Milestones!$AB$127),UPPER(TEXT(EDATE($D38,Milestones!$AA$127),"dd mmm yy"))&amp;" "&amp;Milestones!$AB$127&amp;" "&amp;IF(AND(Milestones!$AB$127="FT",Milestones!$AA$127=FT_Y5,EDATE($D38,Milestones!$AA$127)&lt;PolicyEff),1,Milestones!$AC$127)&amp;";  ",""))</f>
        <v/>
      </c>
      <c r="R38" s="0" t="str">
        <f aca="false">IF(OR($A38="",$D38=""),"",IF(AND(EDATE($D38,Milestones!$AA$128)&lt;=AsOfDate,EDATE($D38,Milestones!$AA$128)&gt;=SchemeStart,IF($X38=0,$AD38,IF(AND($Z38&lt;&gt;"",EDATE($D38,Milestones!$AA$128)&gt;=$Z38),$AC38,IF(AND($Y38&lt;&gt;"",EDATE($D38,Milestones!$AA$128)&gt;=$Y38),$AB38,$AA38)))=Milestones!$AB$128),UPPER(TEXT(EDATE($D38,Milestones!$AA$128),"dd mmm yy"))&amp;" "&amp;Milestones!$AB$128&amp;" "&amp;IF(AND(Milestones!$AB$128="FT",Milestones!$AA$128=FT_Y5,EDATE($D38,Milestones!$AA$128)&lt;PolicyEff),1,Milestones!$AC$128)&amp;";  ","")&amp;IF(AND(EDATE($D38,Milestones!$AA$129)&lt;=AsOfDate,EDATE($D38,Milestones!$AA$129)&gt;=SchemeStart,IF($X38=0,$AD38,IF(AND($Z38&lt;&gt;"",EDATE($D38,Milestones!$AA$129)&gt;=$Z38),$AC38,IF(AND($Y38&lt;&gt;"",EDATE($D38,Milestones!$AA$129)&gt;=$Y38),$AB38,$AA38)))=Milestones!$AB$129),UPPER(TEXT(EDATE($D38,Milestones!$AA$129),"dd mmm yy"))&amp;" "&amp;Milestones!$AB$129&amp;" "&amp;IF(AND(Milestones!$AB$129="FT",Milestones!$AA$129=FT_Y5,EDATE($D38,Milestones!$AA$129)&lt;PolicyEff),1,Milestones!$AC$129)&amp;";  ","")&amp;IF(AND(EDATE($D38,Milestones!$AA$130)&lt;=AsOfDate,EDATE($D38,Milestones!$AA$130)&gt;=SchemeStart,IF($X38=0,$AD38,IF(AND($Z38&lt;&gt;"",EDATE($D38,Milestones!$AA$130)&gt;=$Z38),$AC38,IF(AND($Y38&lt;&gt;"",EDATE($D38,Milestones!$AA$130)&gt;=$Y38),$AB38,$AA38)))=Milestones!$AB$130),UPPER(TEXT(EDATE($D38,Milestones!$AA$130),"dd mmm yy"))&amp;" "&amp;Milestones!$AB$130&amp;" "&amp;IF(AND(Milestones!$AB$130="FT",Milestones!$AA$130=FT_Y5,EDATE($D38,Milestones!$AA$130)&lt;PolicyEff),1,Milestones!$AC$130)&amp;";  ","")&amp;IF(AND(EDATE($D38,Milestones!$AA$131)&lt;=AsOfDate,EDATE($D38,Milestones!$AA$131)&gt;=SchemeStart,IF($X38=0,$AD38,IF(AND($Z38&lt;&gt;"",EDATE($D38,Milestones!$AA$131)&gt;=$Z38),$AC38,IF(AND($Y38&lt;&gt;"",EDATE($D38,Milestones!$AA$131)&gt;=$Y38),$AB38,$AA38)))=Milestones!$AB$131),UPPER(TEXT(EDATE($D38,Milestones!$AA$131),"dd mmm yy"))&amp;" "&amp;Milestones!$AB$131&amp;" "&amp;IF(AND(Milestones!$AB$131="FT",Milestones!$AA$131=FT_Y5,EDATE($D38,Milestones!$AA$131)&lt;PolicyEff),1,Milestones!$AC$131)&amp;";  ","")&amp;IF(AND(EDATE($D38,Milestones!$AA$132)&lt;=AsOfDate,EDATE($D38,Milestones!$AA$132)&gt;=SchemeStart,IF($X38=0,$AD38,IF(AND($Z38&lt;&gt;"",EDATE($D38,Milestones!$AA$132)&gt;=$Z38),$AC38,IF(AND($Y38&lt;&gt;"",EDATE($D38,Milestones!$AA$132)&gt;=$Y38),$AB38,$AA38)))=Milestones!$AB$132),UPPER(TEXT(EDATE($D38,Milestones!$AA$132),"dd mmm yy"))&amp;" "&amp;Milestones!$AB$132&amp;" "&amp;IF(AND(Milestones!$AB$132="FT",Milestones!$AA$132=FT_Y5,EDATE($D38,Milestones!$AA$132)&lt;PolicyEff),1,Milestones!$AC$132)&amp;";  ","")&amp;IF(AND(EDATE($D38,Milestones!$AA$133)&lt;=AsOfDate,EDATE($D38,Milestones!$AA$133)&gt;=SchemeStart,IF($X38=0,$AD38,IF(AND($Z38&lt;&gt;"",EDATE($D38,Milestones!$AA$133)&gt;=$Z38),$AC38,IF(AND($Y38&lt;&gt;"",EDATE($D38,Milestones!$AA$133)&gt;=$Y38),$AB38,$AA38)))=Milestones!$AB$133),UPPER(TEXT(EDATE($D38,Milestones!$AA$133),"dd mmm yy"))&amp;" "&amp;Milestones!$AB$133&amp;" "&amp;IF(AND(Milestones!$AB$133="FT",Milestones!$AA$133=FT_Y5,EDATE($D38,Milestones!$AA$133)&lt;PolicyEff),1,Milestones!$AC$133)&amp;";  ","")&amp;IF(AND(EDATE($D38,Milestones!$AA$134)&lt;=AsOfDate,EDATE($D38,Milestones!$AA$134)&gt;=SchemeStart,IF($X38=0,$AD38,IF(AND($Z38&lt;&gt;"",EDATE($D38,Milestones!$AA$134)&gt;=$Z38),$AC38,IF(AND($Y38&lt;&gt;"",EDATE($D38,Milestones!$AA$134)&gt;=$Y38),$AB38,$AA38)))=Milestones!$AB$134),UPPER(TEXT(EDATE($D38,Milestones!$AA$134),"dd mmm yy"))&amp;" "&amp;Milestones!$AB$134&amp;" "&amp;IF(AND(Milestones!$AB$134="FT",Milestones!$AA$134=FT_Y5,EDATE($D38,Milestones!$AA$134)&lt;PolicyEff),1,Milestones!$AC$134)&amp;";  ","")&amp;IF(AND(EDATE($D38,Milestones!$AA$135)&lt;=AsOfDate,EDATE($D38,Milestones!$AA$135)&gt;=SchemeStart,IF($X38=0,$AD38,IF(AND($Z38&lt;&gt;"",EDATE($D38,Milestones!$AA$135)&gt;=$Z38),$AC38,IF(AND($Y38&lt;&gt;"",EDATE($D38,Milestones!$AA$135)&gt;=$Y38),$AB38,$AA38)))=Milestones!$AB$135),UPPER(TEXT(EDATE($D38,Milestones!$AA$135),"dd mmm yy"))&amp;" "&amp;Milestones!$AB$135&amp;" "&amp;IF(AND(Milestones!$AB$135="FT",Milestones!$AA$135=FT_Y5,EDATE($D38,Milestones!$AA$135)&lt;PolicyEff),1,Milestones!$AC$135)&amp;";  ","")&amp;IF(AND(EDATE($D38,Milestones!$AA$136)&lt;=AsOfDate,EDATE($D38,Milestones!$AA$136)&gt;=SchemeStart,IF($X38=0,$AD38,IF(AND($Z38&lt;&gt;"",EDATE($D38,Milestones!$AA$136)&gt;=$Z38),$AC38,IF(AND($Y38&lt;&gt;"",EDATE($D38,Milestones!$AA$136)&gt;=$Y38),$AB38,$AA38)))=Milestones!$AB$136),UPPER(TEXT(EDATE($D38,Milestones!$AA$136),"dd mmm yy"))&amp;" "&amp;Milestones!$AB$136&amp;" "&amp;IF(AND(Milestones!$AB$136="FT",Milestones!$AA$136=FT_Y5,EDATE($D38,Milestones!$AA$136)&lt;PolicyEff),1,Milestones!$AC$136)&amp;";  ","")&amp;IF(AND(EDATE($D38,Milestones!$AA$137)&lt;=AsOfDate,EDATE($D38,Milestones!$AA$137)&gt;=SchemeStart,IF($X38=0,$AD38,IF(AND($Z38&lt;&gt;"",EDATE($D38,Milestones!$AA$137)&gt;=$Z38),$AC38,IF(AND($Y38&lt;&gt;"",EDATE($D38,Milestones!$AA$137)&gt;=$Y38),$AB38,$AA38)))=Milestones!$AB$137),UPPER(TEXT(EDATE($D38,Milestones!$AA$137),"dd mmm yy"))&amp;" "&amp;Milestones!$AB$137&amp;" "&amp;IF(AND(Milestones!$AB$137="FT",Milestones!$AA$137=FT_Y5,EDATE($D38,Milestones!$AA$137)&lt;PolicyEff),1,Milestones!$AC$137)&amp;";  ","")&amp;IF(AND(EDATE($D38,Milestones!$AA$138)&lt;=AsOfDate,EDATE($D38,Milestones!$AA$138)&gt;=SchemeStart,IF($X38=0,$AD38,IF(AND($Z38&lt;&gt;"",EDATE($D38,Milestones!$AA$138)&gt;=$Z38),$AC38,IF(AND($Y38&lt;&gt;"",EDATE($D38,Milestones!$AA$138)&gt;=$Y38),$AB38,$AA38)))=Milestones!$AB$138),UPPER(TEXT(EDATE($D38,Milestones!$AA$138),"dd mmm yy"))&amp;" "&amp;Milestones!$AB$138&amp;" "&amp;IF(AND(Milestones!$AB$138="FT",Milestones!$AA$138=FT_Y5,EDATE($D38,Milestones!$AA$138)&lt;PolicyEff),1,Milestones!$AC$138)&amp;";  ","")&amp;IF(AND(EDATE($D38,Milestones!$AA$139)&lt;=AsOfDate,EDATE($D38,Milestones!$AA$139)&gt;=SchemeStart,IF($X38=0,$AD38,IF(AND($Z38&lt;&gt;"",EDATE($D38,Milestones!$AA$139)&gt;=$Z38),$AC38,IF(AND($Y38&lt;&gt;"",EDATE($D38,Milestones!$AA$139)&gt;=$Y38),$AB38,$AA38)))=Milestones!$AB$139),UPPER(TEXT(EDATE($D38,Milestones!$AA$139),"dd mmm yy"))&amp;" "&amp;Milestones!$AB$139&amp;" "&amp;IF(AND(Milestones!$AB$139="FT",Milestones!$AA$139=FT_Y5,EDATE($D38,Milestones!$AA$139)&lt;PolicyEff),1,Milestones!$AC$139)&amp;";  ",""))</f>
        <v/>
      </c>
      <c r="S38" s="0" t="str">
        <f aca="false">IF(OR($A38="",$D38=""),"",IF(AND(EDATE($D38,Milestones!$AA$140)&lt;=AsOfDate,EDATE($D38,Milestones!$AA$140)&gt;=SchemeStart,IF($X38=0,$AD38,IF(AND($Z38&lt;&gt;"",EDATE($D38,Milestones!$AA$140)&gt;=$Z38),$AC38,IF(AND($Y38&lt;&gt;"",EDATE($D38,Milestones!$AA$140)&gt;=$Y38),$AB38,$AA38)))=Milestones!$AB$140),UPPER(TEXT(EDATE($D38,Milestones!$AA$140),"dd mmm yy"))&amp;" "&amp;Milestones!$AB$140&amp;" "&amp;IF(AND(Milestones!$AB$140="FT",Milestones!$AA$140=FT_Y5,EDATE($D38,Milestones!$AA$140)&lt;PolicyEff),1,Milestones!$AC$140)&amp;";  ","")&amp;IF(AND(EDATE($D38,Milestones!$AA$141)&lt;=AsOfDate,EDATE($D38,Milestones!$AA$141)&gt;=SchemeStart,IF($X38=0,$AD38,IF(AND($Z38&lt;&gt;"",EDATE($D38,Milestones!$AA$141)&gt;=$Z38),$AC38,IF(AND($Y38&lt;&gt;"",EDATE($D38,Milestones!$AA$141)&gt;=$Y38),$AB38,$AA38)))=Milestones!$AB$141),UPPER(TEXT(EDATE($D38,Milestones!$AA$141),"dd mmm yy"))&amp;" "&amp;Milestones!$AB$141&amp;" "&amp;IF(AND(Milestones!$AB$141="FT",Milestones!$AA$141=FT_Y5,EDATE($D38,Milestones!$AA$141)&lt;PolicyEff),1,Milestones!$AC$141)&amp;";  ","")&amp;IF(AND(EDATE($D38,Milestones!$AA$142)&lt;=AsOfDate,EDATE($D38,Milestones!$AA$142)&gt;=SchemeStart,IF($X38=0,$AD38,IF(AND($Z38&lt;&gt;"",EDATE($D38,Milestones!$AA$142)&gt;=$Z38),$AC38,IF(AND($Y38&lt;&gt;"",EDATE($D38,Milestones!$AA$142)&gt;=$Y38),$AB38,$AA38)))=Milestones!$AB$142),UPPER(TEXT(EDATE($D38,Milestones!$AA$142),"dd mmm yy"))&amp;" "&amp;Milestones!$AB$142&amp;" "&amp;IF(AND(Milestones!$AB$142="FT",Milestones!$AA$142=FT_Y5,EDATE($D38,Milestones!$AA$142)&lt;PolicyEff),1,Milestones!$AC$142)&amp;";  ","")&amp;IF(AND(EDATE($D38,Milestones!$AA$143)&lt;=AsOfDate,EDATE($D38,Milestones!$AA$143)&gt;=SchemeStart,IF($X38=0,$AD38,IF(AND($Z38&lt;&gt;"",EDATE($D38,Milestones!$AA$143)&gt;=$Z38),$AC38,IF(AND($Y38&lt;&gt;"",EDATE($D38,Milestones!$AA$143)&gt;=$Y38),$AB38,$AA38)))=Milestones!$AB$143),UPPER(TEXT(EDATE($D38,Milestones!$AA$143),"dd mmm yy"))&amp;" "&amp;Milestones!$AB$143&amp;" "&amp;IF(AND(Milestones!$AB$143="FT",Milestones!$AA$143=FT_Y5,EDATE($D38,Milestones!$AA$143)&lt;PolicyEff),1,Milestones!$AC$143)&amp;";  ","")&amp;IF(AND(EDATE($D38,Milestones!$AA$144)&lt;=AsOfDate,EDATE($D38,Milestones!$AA$144)&gt;=SchemeStart,IF($X38=0,$AD38,IF(AND($Z38&lt;&gt;"",EDATE($D38,Milestones!$AA$144)&gt;=$Z38),$AC38,IF(AND($Y38&lt;&gt;"",EDATE($D38,Milestones!$AA$144)&gt;=$Y38),$AB38,$AA38)))=Milestones!$AB$144),UPPER(TEXT(EDATE($D38,Milestones!$AA$144),"dd mmm yy"))&amp;" "&amp;Milestones!$AB$144&amp;" "&amp;IF(AND(Milestones!$AB$144="FT",Milestones!$AA$144=FT_Y5,EDATE($D38,Milestones!$AA$144)&lt;PolicyEff),1,Milestones!$AC$144)&amp;";  ","")&amp;IF(AND(EDATE($D38,Milestones!$AA$145)&lt;=AsOfDate,EDATE($D38,Milestones!$AA$145)&gt;=SchemeStart,IF($X38=0,$AD38,IF(AND($Z38&lt;&gt;"",EDATE($D38,Milestones!$AA$145)&gt;=$Z38),$AC38,IF(AND($Y38&lt;&gt;"",EDATE($D38,Milestones!$AA$145)&gt;=$Y38),$AB38,$AA38)))=Milestones!$AB$145),UPPER(TEXT(EDATE($D38,Milestones!$AA$145),"dd mmm yy"))&amp;" "&amp;Milestones!$AB$145&amp;" "&amp;IF(AND(Milestones!$AB$145="FT",Milestones!$AA$145=FT_Y5,EDATE($D38,Milestones!$AA$145)&lt;PolicyEff),1,Milestones!$AC$145)&amp;";  ","")&amp;IF(AND(EDATE($D38,Milestones!$AA$146)&lt;=AsOfDate,EDATE($D38,Milestones!$AA$146)&gt;=SchemeStart,IF($X38=0,$AD38,IF(AND($Z38&lt;&gt;"",EDATE($D38,Milestones!$AA$146)&gt;=$Z38),$AC38,IF(AND($Y38&lt;&gt;"",EDATE($D38,Milestones!$AA$146)&gt;=$Y38),$AB38,$AA38)))=Milestones!$AB$146),UPPER(TEXT(EDATE($D38,Milestones!$AA$146),"dd mmm yy"))&amp;" "&amp;Milestones!$AB$146&amp;" "&amp;IF(AND(Milestones!$AB$146="FT",Milestones!$AA$146=FT_Y5,EDATE($D38,Milestones!$AA$146)&lt;PolicyEff),1,Milestones!$AC$146)&amp;";  ","")&amp;IF(AND(EDATE($D38,Milestones!$AA$147)&lt;=AsOfDate,EDATE($D38,Milestones!$AA$147)&gt;=SchemeStart,IF($X38=0,$AD38,IF(AND($Z38&lt;&gt;"",EDATE($D38,Milestones!$AA$147)&gt;=$Z38),$AC38,IF(AND($Y38&lt;&gt;"",EDATE($D38,Milestones!$AA$147)&gt;=$Y38),$AB38,$AA38)))=Milestones!$AB$147),UPPER(TEXT(EDATE($D38,Milestones!$AA$147),"dd mmm yy"))&amp;" "&amp;Milestones!$AB$147&amp;" "&amp;IF(AND(Milestones!$AB$147="FT",Milestones!$AA$147=FT_Y5,EDATE($D38,Milestones!$AA$147)&lt;PolicyEff),1,Milestones!$AC$147)&amp;";  ","")&amp;IF(AND(EDATE($D38,Milestones!$AA$148)&lt;=AsOfDate,EDATE($D38,Milestones!$AA$148)&gt;=SchemeStart,IF($X38=0,$AD38,IF(AND($Z38&lt;&gt;"",EDATE($D38,Milestones!$AA$148)&gt;=$Z38),$AC38,IF(AND($Y38&lt;&gt;"",EDATE($D38,Milestones!$AA$148)&gt;=$Y38),$AB38,$AA38)))=Milestones!$AB$148),UPPER(TEXT(EDATE($D38,Milestones!$AA$148),"dd mmm yy"))&amp;" "&amp;Milestones!$AB$148&amp;" "&amp;IF(AND(Milestones!$AB$148="FT",Milestones!$AA$148=FT_Y5,EDATE($D38,Milestones!$AA$148)&lt;PolicyEff),1,Milestones!$AC$148)&amp;";  ","")&amp;IF(AND(EDATE($D38,Milestones!$AA$149)&lt;=AsOfDate,EDATE($D38,Milestones!$AA$149)&gt;=SchemeStart,IF($X38=0,$AD38,IF(AND($Z38&lt;&gt;"",EDATE($D38,Milestones!$AA$149)&gt;=$Z38),$AC38,IF(AND($Y38&lt;&gt;"",EDATE($D38,Milestones!$AA$149)&gt;=$Y38),$AB38,$AA38)))=Milestones!$AB$149),UPPER(TEXT(EDATE($D38,Milestones!$AA$149),"dd mmm yy"))&amp;" "&amp;Milestones!$AB$149&amp;" "&amp;IF(AND(Milestones!$AB$149="FT",Milestones!$AA$149=FT_Y5,EDATE($D38,Milestones!$AA$149)&lt;PolicyEff),1,Milestones!$AC$149)&amp;";  ","")&amp;IF(AND(EDATE($D38,Milestones!$AA$150)&lt;=AsOfDate,EDATE($D38,Milestones!$AA$150)&gt;=SchemeStart,IF($X38=0,$AD38,IF(AND($Z38&lt;&gt;"",EDATE($D38,Milestones!$AA$150)&gt;=$Z38),$AC38,IF(AND($Y38&lt;&gt;"",EDATE($D38,Milestones!$AA$150)&gt;=$Y38),$AB38,$AA38)))=Milestones!$AB$150),UPPER(TEXT(EDATE($D38,Milestones!$AA$150),"dd mmm yy"))&amp;" "&amp;Milestones!$AB$150&amp;" "&amp;IF(AND(Milestones!$AB$150="FT",Milestones!$AA$150=FT_Y5,EDATE($D38,Milestones!$AA$150)&lt;PolicyEff),1,Milestones!$AC$150)&amp;";  ","")&amp;IF(AND(EDATE($D38,Milestones!$AA$151)&lt;=AsOfDate,EDATE($D38,Milestones!$AA$151)&gt;=SchemeStart,IF($X38=0,$AD38,IF(AND($Z38&lt;&gt;"",EDATE($D38,Milestones!$AA$151)&gt;=$Z38),$AC38,IF(AND($Y38&lt;&gt;"",EDATE($D38,Milestones!$AA$151)&gt;=$Y38),$AB38,$AA38)))=Milestones!$AB$151),UPPER(TEXT(EDATE($D38,Milestones!$AA$151),"dd mmm yy"))&amp;" "&amp;Milestones!$AB$151&amp;" "&amp;IF(AND(Milestones!$AB$151="FT",Milestones!$AA$151=FT_Y5,EDATE($D38,Milestones!$AA$151)&lt;PolicyEff),1,Milestones!$AC$151)&amp;";  ",""))</f>
        <v/>
      </c>
      <c r="T38" s="0" t="str">
        <f aca="false">IF(OR($A38="",$D38=""),"",IF(AND(EDATE($D38,Milestones!$AA$152)&lt;=AsOfDate,EDATE($D38,Milestones!$AA$152)&gt;=SchemeStart,IF($X38=0,$AD38,IF(AND($Z38&lt;&gt;"",EDATE($D38,Milestones!$AA$152)&gt;=$Z38),$AC38,IF(AND($Y38&lt;&gt;"",EDATE($D38,Milestones!$AA$152)&gt;=$Y38),$AB38,$AA38)))=Milestones!$AB$152),UPPER(TEXT(EDATE($D38,Milestones!$AA$152),"dd mmm yy"))&amp;" "&amp;Milestones!$AB$152&amp;" "&amp;IF(AND(Milestones!$AB$152="FT",Milestones!$AA$152=FT_Y5,EDATE($D38,Milestones!$AA$152)&lt;PolicyEff),1,Milestones!$AC$152)&amp;";  ","")&amp;IF(AND(EDATE($D38,Milestones!$AA$153)&lt;=AsOfDate,EDATE($D38,Milestones!$AA$153)&gt;=SchemeStart,IF($X38=0,$AD38,IF(AND($Z38&lt;&gt;"",EDATE($D38,Milestones!$AA$153)&gt;=$Z38),$AC38,IF(AND($Y38&lt;&gt;"",EDATE($D38,Milestones!$AA$153)&gt;=$Y38),$AB38,$AA38)))=Milestones!$AB$153),UPPER(TEXT(EDATE($D38,Milestones!$AA$153),"dd mmm yy"))&amp;" "&amp;Milestones!$AB$153&amp;" "&amp;IF(AND(Milestones!$AB$153="FT",Milestones!$AA$153=FT_Y5,EDATE($D38,Milestones!$AA$153)&lt;PolicyEff),1,Milestones!$AC$153)&amp;";  ","")&amp;IF(AND(EDATE($D38,Milestones!$AA$154)&lt;=AsOfDate,EDATE($D38,Milestones!$AA$154)&gt;=SchemeStart,IF($X38=0,$AD38,IF(AND($Z38&lt;&gt;"",EDATE($D38,Milestones!$AA$154)&gt;=$Z38),$AC38,IF(AND($Y38&lt;&gt;"",EDATE($D38,Milestones!$AA$154)&gt;=$Y38),$AB38,$AA38)))=Milestones!$AB$154),UPPER(TEXT(EDATE($D38,Milestones!$AA$154),"dd mmm yy"))&amp;" "&amp;Milestones!$AB$154&amp;" "&amp;IF(AND(Milestones!$AB$154="FT",Milestones!$AA$154=FT_Y5,EDATE($D38,Milestones!$AA$154)&lt;PolicyEff),1,Milestones!$AC$154)&amp;";  ","")&amp;IF(AND(EDATE($D38,Milestones!$AA$155)&lt;=AsOfDate,EDATE($D38,Milestones!$AA$155)&gt;=SchemeStart,IF($X38=0,$AD38,IF(AND($Z38&lt;&gt;"",EDATE($D38,Milestones!$AA$155)&gt;=$Z38),$AC38,IF(AND($Y38&lt;&gt;"",EDATE($D38,Milestones!$AA$155)&gt;=$Y38),$AB38,$AA38)))=Milestones!$AB$155),UPPER(TEXT(EDATE($D38,Milestones!$AA$155),"dd mmm yy"))&amp;" "&amp;Milestones!$AB$155&amp;" "&amp;IF(AND(Milestones!$AB$155="FT",Milestones!$AA$155=FT_Y5,EDATE($D38,Milestones!$AA$155)&lt;PolicyEff),1,Milestones!$AC$155)&amp;";  ","")&amp;IF(AND(EDATE($D38,Milestones!$AA$156)&lt;=AsOfDate,EDATE($D38,Milestones!$AA$156)&gt;=SchemeStart,IF($X38=0,$AD38,IF(AND($Z38&lt;&gt;"",EDATE($D38,Milestones!$AA$156)&gt;=$Z38),$AC38,IF(AND($Y38&lt;&gt;"",EDATE($D38,Milestones!$AA$156)&gt;=$Y38),$AB38,$AA38)))=Milestones!$AB$156),UPPER(TEXT(EDATE($D38,Milestones!$AA$156),"dd mmm yy"))&amp;" "&amp;Milestones!$AB$156&amp;" "&amp;IF(AND(Milestones!$AB$156="FT",Milestones!$AA$156=FT_Y5,EDATE($D38,Milestones!$AA$156)&lt;PolicyEff),1,Milestones!$AC$156)&amp;";  ","")&amp;IF(AND(EDATE($D38,Milestones!$AA$157)&lt;=AsOfDate,EDATE($D38,Milestones!$AA$157)&gt;=SchemeStart,IF($X38=0,$AD38,IF(AND($Z38&lt;&gt;"",EDATE($D38,Milestones!$AA$157)&gt;=$Z38),$AC38,IF(AND($Y38&lt;&gt;"",EDATE($D38,Milestones!$AA$157)&gt;=$Y38),$AB38,$AA38)))=Milestones!$AB$157),UPPER(TEXT(EDATE($D38,Milestones!$AA$157),"dd mmm yy"))&amp;" "&amp;Milestones!$AB$157&amp;" "&amp;IF(AND(Milestones!$AB$157="FT",Milestones!$AA$157=FT_Y5,EDATE($D38,Milestones!$AA$157)&lt;PolicyEff),1,Milestones!$AC$157)&amp;";  ","")&amp;IF(AND(EDATE($D38,Milestones!$AA$158)&lt;=AsOfDate,EDATE($D38,Milestones!$AA$158)&gt;=SchemeStart,IF($X38=0,$AD38,IF(AND($Z38&lt;&gt;"",EDATE($D38,Milestones!$AA$158)&gt;=$Z38),$AC38,IF(AND($Y38&lt;&gt;"",EDATE($D38,Milestones!$AA$158)&gt;=$Y38),$AB38,$AA38)))=Milestones!$AB$158),UPPER(TEXT(EDATE($D38,Milestones!$AA$158),"dd mmm yy"))&amp;" "&amp;Milestones!$AB$158&amp;" "&amp;IF(AND(Milestones!$AB$158="FT",Milestones!$AA$158=FT_Y5,EDATE($D38,Milestones!$AA$158)&lt;PolicyEff),1,Milestones!$AC$158)&amp;";  ","")&amp;IF(AND(EDATE($D38,Milestones!$AA$159)&lt;=AsOfDate,EDATE($D38,Milestones!$AA$159)&gt;=SchemeStart,IF($X38=0,$AD38,IF(AND($Z38&lt;&gt;"",EDATE($D38,Milestones!$AA$159)&gt;=$Z38),$AC38,IF(AND($Y38&lt;&gt;"",EDATE($D38,Milestones!$AA$159)&gt;=$Y38),$AB38,$AA38)))=Milestones!$AB$159),UPPER(TEXT(EDATE($D38,Milestones!$AA$159),"dd mmm yy"))&amp;" "&amp;Milestones!$AB$159&amp;" "&amp;IF(AND(Milestones!$AB$159="FT",Milestones!$AA$159=FT_Y5,EDATE($D38,Milestones!$AA$159)&lt;PolicyEff),1,Milestones!$AC$159)&amp;";  ","")&amp;IF(AND(EDATE($D38,Milestones!$AA$160)&lt;=AsOfDate,EDATE($D38,Milestones!$AA$160)&gt;=SchemeStart,IF($X38=0,$AD38,IF(AND($Z38&lt;&gt;"",EDATE($D38,Milestones!$AA$160)&gt;=$Z38),$AC38,IF(AND($Y38&lt;&gt;"",EDATE($D38,Milestones!$AA$160)&gt;=$Y38),$AB38,$AA38)))=Milestones!$AB$160),UPPER(TEXT(EDATE($D38,Milestones!$AA$160),"dd mmm yy"))&amp;" "&amp;Milestones!$AB$160&amp;" "&amp;IF(AND(Milestones!$AB$160="FT",Milestones!$AA$160=FT_Y5,EDATE($D38,Milestones!$AA$160)&lt;PolicyEff),1,Milestones!$AC$160)&amp;";  ","")&amp;IF(AND(EDATE($D38,Milestones!$AA$161)&lt;=AsOfDate,EDATE($D38,Milestones!$AA$161)&gt;=SchemeStart,IF($X38=0,$AD38,IF(AND($Z38&lt;&gt;"",EDATE($D38,Milestones!$AA$161)&gt;=$Z38),$AC38,IF(AND($Y38&lt;&gt;"",EDATE($D38,Milestones!$AA$161)&gt;=$Y38),$AB38,$AA38)))=Milestones!$AB$161),UPPER(TEXT(EDATE($D38,Milestones!$AA$161),"dd mmm yy"))&amp;" "&amp;Milestones!$AB$161&amp;" "&amp;IF(AND(Milestones!$AB$161="FT",Milestones!$AA$161=FT_Y5,EDATE($D38,Milestones!$AA$161)&lt;PolicyEff),1,Milestones!$AC$161)&amp;";  ","")&amp;IF(AND(EDATE($D38,Milestones!$AA$162)&lt;=AsOfDate,EDATE($D38,Milestones!$AA$162)&gt;=SchemeStart,IF($X38=0,$AD38,IF(AND($Z38&lt;&gt;"",EDATE($D38,Milestones!$AA$162)&gt;=$Z38),$AC38,IF(AND($Y38&lt;&gt;"",EDATE($D38,Milestones!$AA$162)&gt;=$Y38),$AB38,$AA38)))=Milestones!$AB$162),UPPER(TEXT(EDATE($D38,Milestones!$AA$162),"dd mmm yy"))&amp;" "&amp;Milestones!$AB$162&amp;" "&amp;IF(AND(Milestones!$AB$162="FT",Milestones!$AA$162=FT_Y5,EDATE($D38,Milestones!$AA$162)&lt;PolicyEff),1,Milestones!$AC$162)&amp;";  ","")&amp;IF(AND(EDATE($D38,Milestones!$AA$163)&lt;=AsOfDate,EDATE($D38,Milestones!$AA$163)&gt;=SchemeStart,IF($X38=0,$AD38,IF(AND($Z38&lt;&gt;"",EDATE($D38,Milestones!$AA$163)&gt;=$Z38),$AC38,IF(AND($Y38&lt;&gt;"",EDATE($D38,Milestones!$AA$163)&gt;=$Y38),$AB38,$AA38)))=Milestones!$AB$163),UPPER(TEXT(EDATE($D38,Milestones!$AA$163),"dd mmm yy"))&amp;" "&amp;Milestones!$AB$163&amp;" "&amp;IF(AND(Milestones!$AB$163="FT",Milestones!$AA$163=FT_Y5,EDATE($D38,Milestones!$AA$163)&lt;PolicyEff),1,Milestones!$AC$163)&amp;";  ",""))</f>
        <v/>
      </c>
      <c r="U38" s="0" t="str">
        <f aca="false">IF(OR($A38="",$D38=""),"",IF(AND(EDATE($D38,Milestones!$AA$164)&lt;=AsOfDate,EDATE($D38,Milestones!$AA$164)&gt;=SchemeStart,IF($X38=0,$AD38,IF(AND($Z38&lt;&gt;"",EDATE($D38,Milestones!$AA$164)&gt;=$Z38),$AC38,IF(AND($Y38&lt;&gt;"",EDATE($D38,Milestones!$AA$164)&gt;=$Y38),$AB38,$AA38)))=Milestones!$AB$164),UPPER(TEXT(EDATE($D38,Milestones!$AA$164),"dd mmm yy"))&amp;" "&amp;Milestones!$AB$164&amp;" "&amp;IF(AND(Milestones!$AB$164="FT",Milestones!$AA$164=FT_Y5,EDATE($D38,Milestones!$AA$164)&lt;PolicyEff),1,Milestones!$AC$164)&amp;";  ","")&amp;IF(AND(EDATE($D38,Milestones!$AA$165)&lt;=AsOfDate,EDATE($D38,Milestones!$AA$165)&gt;=SchemeStart,IF($X38=0,$AD38,IF(AND($Z38&lt;&gt;"",EDATE($D38,Milestones!$AA$165)&gt;=$Z38),$AC38,IF(AND($Y38&lt;&gt;"",EDATE($D38,Milestones!$AA$165)&gt;=$Y38),$AB38,$AA38)))=Milestones!$AB$165),UPPER(TEXT(EDATE($D38,Milestones!$AA$165),"dd mmm yy"))&amp;" "&amp;Milestones!$AB$165&amp;" "&amp;IF(AND(Milestones!$AB$165="FT",Milestones!$AA$165=FT_Y5,EDATE($D38,Milestones!$AA$165)&lt;PolicyEff),1,Milestones!$AC$165)&amp;";  ","")&amp;IF(AND(EDATE($D38,Milestones!$AA$166)&lt;=AsOfDate,EDATE($D38,Milestones!$AA$166)&gt;=SchemeStart,IF($X38=0,$AD38,IF(AND($Z38&lt;&gt;"",EDATE($D38,Milestones!$AA$166)&gt;=$Z38),$AC38,IF(AND($Y38&lt;&gt;"",EDATE($D38,Milestones!$AA$166)&gt;=$Y38),$AB38,$AA38)))=Milestones!$AB$166),UPPER(TEXT(EDATE($D38,Milestones!$AA$166),"dd mmm yy"))&amp;" "&amp;Milestones!$AB$166&amp;" "&amp;IF(AND(Milestones!$AB$166="FT",Milestones!$AA$166=FT_Y5,EDATE($D38,Milestones!$AA$166)&lt;PolicyEff),1,Milestones!$AC$166)&amp;";  ","")&amp;IF(AND(EDATE($D38,Milestones!$AA$167)&lt;=AsOfDate,EDATE($D38,Milestones!$AA$167)&gt;=SchemeStart,IF($X38=0,$AD38,IF(AND($Z38&lt;&gt;"",EDATE($D38,Milestones!$AA$167)&gt;=$Z38),$AC38,IF(AND($Y38&lt;&gt;"",EDATE($D38,Milestones!$AA$167)&gt;=$Y38),$AB38,$AA38)))=Milestones!$AB$167),UPPER(TEXT(EDATE($D38,Milestones!$AA$167),"dd mmm yy"))&amp;" "&amp;Milestones!$AB$167&amp;" "&amp;IF(AND(Milestones!$AB$167="FT",Milestones!$AA$167=FT_Y5,EDATE($D38,Milestones!$AA$167)&lt;PolicyEff),1,Milestones!$AC$167)&amp;";  ","")&amp;IF(AND(EDATE($D38,Milestones!$AA$168)&lt;=AsOfDate,EDATE($D38,Milestones!$AA$168)&gt;=SchemeStart,IF($X38=0,$AD38,IF(AND($Z38&lt;&gt;"",EDATE($D38,Milestones!$AA$168)&gt;=$Z38),$AC38,IF(AND($Y38&lt;&gt;"",EDATE($D38,Milestones!$AA$168)&gt;=$Y38),$AB38,$AA38)))=Milestones!$AB$168),UPPER(TEXT(EDATE($D38,Milestones!$AA$168),"dd mmm yy"))&amp;" "&amp;Milestones!$AB$168&amp;" "&amp;IF(AND(Milestones!$AB$168="FT",Milestones!$AA$168=FT_Y5,EDATE($D38,Milestones!$AA$168)&lt;PolicyEff),1,Milestones!$AC$168)&amp;";  ","")&amp;IF(AND(EDATE($D38,Milestones!$AA$169)&lt;=AsOfDate,EDATE($D38,Milestones!$AA$169)&gt;=SchemeStart,IF($X38=0,$AD38,IF(AND($Z38&lt;&gt;"",EDATE($D38,Milestones!$AA$169)&gt;=$Z38),$AC38,IF(AND($Y38&lt;&gt;"",EDATE($D38,Milestones!$AA$169)&gt;=$Y38),$AB38,$AA38)))=Milestones!$AB$169),UPPER(TEXT(EDATE($D38,Milestones!$AA$169),"dd mmm yy"))&amp;" "&amp;Milestones!$AB$169&amp;" "&amp;IF(AND(Milestones!$AB$169="FT",Milestones!$AA$169=FT_Y5,EDATE($D38,Milestones!$AA$169)&lt;PolicyEff),1,Milestones!$AC$169)&amp;";  ","")&amp;IF(AND(EDATE($D38,Milestones!$AA$170)&lt;=AsOfDate,EDATE($D38,Milestones!$AA$170)&gt;=SchemeStart,IF($X38=0,$AD38,IF(AND($Z38&lt;&gt;"",EDATE($D38,Milestones!$AA$170)&gt;=$Z38),$AC38,IF(AND($Y38&lt;&gt;"",EDATE($D38,Milestones!$AA$170)&gt;=$Y38),$AB38,$AA38)))=Milestones!$AB$170),UPPER(TEXT(EDATE($D38,Milestones!$AA$170),"dd mmm yy"))&amp;" "&amp;Milestones!$AB$170&amp;" "&amp;IF(AND(Milestones!$AB$170="FT",Milestones!$AA$170=FT_Y5,EDATE($D38,Milestones!$AA$170)&lt;PolicyEff),1,Milestones!$AC$170)&amp;";  ","")&amp;IF(AND(EDATE($D38,Milestones!$AA$171)&lt;=AsOfDate,EDATE($D38,Milestones!$AA$171)&gt;=SchemeStart,IF($X38=0,$AD38,IF(AND($Z38&lt;&gt;"",EDATE($D38,Milestones!$AA$171)&gt;=$Z38),$AC38,IF(AND($Y38&lt;&gt;"",EDATE($D38,Milestones!$AA$171)&gt;=$Y38),$AB38,$AA38)))=Milestones!$AB$171),UPPER(TEXT(EDATE($D38,Milestones!$AA$171),"dd mmm yy"))&amp;" "&amp;Milestones!$AB$171&amp;" "&amp;IF(AND(Milestones!$AB$171="FT",Milestones!$AA$171=FT_Y5,EDATE($D38,Milestones!$AA$171)&lt;PolicyEff),1,Milestones!$AC$171)&amp;";  ","")&amp;IF(AND(EDATE($D38,Milestones!$AA$172)&lt;=AsOfDate,EDATE($D38,Milestones!$AA$172)&gt;=SchemeStart,IF($X38=0,$AD38,IF(AND($Z38&lt;&gt;"",EDATE($D38,Milestones!$AA$172)&gt;=$Z38),$AC38,IF(AND($Y38&lt;&gt;"",EDATE($D38,Milestones!$AA$172)&gt;=$Y38),$AB38,$AA38)))=Milestones!$AB$172),UPPER(TEXT(EDATE($D38,Milestones!$AA$172),"dd mmm yy"))&amp;" "&amp;Milestones!$AB$172&amp;" "&amp;IF(AND(Milestones!$AB$172="FT",Milestones!$AA$172=FT_Y5,EDATE($D38,Milestones!$AA$172)&lt;PolicyEff),1,Milestones!$AC$172)&amp;";  ","")&amp;IF(AND(EDATE($D38,Milestones!$AA$173)&lt;=AsOfDate,EDATE($D38,Milestones!$AA$173)&gt;=SchemeStart,IF($X38=0,$AD38,IF(AND($Z38&lt;&gt;"",EDATE($D38,Milestones!$AA$173)&gt;=$Z38),$AC38,IF(AND($Y38&lt;&gt;"",EDATE($D38,Milestones!$AA$173)&gt;=$Y38),$AB38,$AA38)))=Milestones!$AB$173),UPPER(TEXT(EDATE($D38,Milestones!$AA$173),"dd mmm yy"))&amp;" "&amp;Milestones!$AB$173&amp;" "&amp;IF(AND(Milestones!$AB$173="FT",Milestones!$AA$173=FT_Y5,EDATE($D38,Milestones!$AA$173)&lt;PolicyEff),1,Milestones!$AC$173)&amp;";  ","")&amp;IF(AND(EDATE($D38,Milestones!$AA$174)&lt;=AsOfDate,EDATE($D38,Milestones!$AA$174)&gt;=SchemeStart,IF($X38=0,$AD38,IF(AND($Z38&lt;&gt;"",EDATE($D38,Milestones!$AA$174)&gt;=$Z38),$AC38,IF(AND($Y38&lt;&gt;"",EDATE($D38,Milestones!$AA$174)&gt;=$Y38),$AB38,$AA38)))=Milestones!$AB$174),UPPER(TEXT(EDATE($D38,Milestones!$AA$174),"dd mmm yy"))&amp;" "&amp;Milestones!$AB$174&amp;" "&amp;IF(AND(Milestones!$AB$174="FT",Milestones!$AA$174=FT_Y5,EDATE($D38,Milestones!$AA$174)&lt;PolicyEff),1,Milestones!$AC$174)&amp;";  ","")&amp;IF(AND(EDATE($D38,Milestones!$AA$175)&lt;=AsOfDate,EDATE($D38,Milestones!$AA$175)&gt;=SchemeStart,IF($X38=0,$AD38,IF(AND($Z38&lt;&gt;"",EDATE($D38,Milestones!$AA$175)&gt;=$Z38),$AC38,IF(AND($Y38&lt;&gt;"",EDATE($D38,Milestones!$AA$175)&gt;=$Y38),$AB38,$AA38)))=Milestones!$AB$175),UPPER(TEXT(EDATE($D38,Milestones!$AA$175),"dd mmm yy"))&amp;" "&amp;Milestones!$AB$175&amp;" "&amp;IF(AND(Milestones!$AB$175="FT",Milestones!$AA$175=FT_Y5,EDATE($D38,Milestones!$AA$175)&lt;PolicyEff),1,Milestones!$AC$175)&amp;";  ",""))</f>
        <v/>
      </c>
      <c r="V38" s="0" t="str">
        <f aca="false">IF(OR($A38="",$D38=""),"",IF(AND(EDATE($D38,Milestones!$AA$176)&lt;=AsOfDate,EDATE($D38,Milestones!$AA$176)&gt;=SchemeStart,IF($X38=0,$AD38,IF(AND($Z38&lt;&gt;"",EDATE($D38,Milestones!$AA$176)&gt;=$Z38),$AC38,IF(AND($Y38&lt;&gt;"",EDATE($D38,Milestones!$AA$176)&gt;=$Y38),$AB38,$AA38)))=Milestones!$AB$176),UPPER(TEXT(EDATE($D38,Milestones!$AA$176),"dd mmm yy"))&amp;" "&amp;Milestones!$AB$176&amp;" "&amp;IF(AND(Milestones!$AB$176="FT",Milestones!$AA$176=FT_Y5,EDATE($D38,Milestones!$AA$176)&lt;PolicyEff),1,Milestones!$AC$176)&amp;";  ","")&amp;IF(AND(EDATE($D38,Milestones!$AA$177)&lt;=AsOfDate,EDATE($D38,Milestones!$AA$177)&gt;=SchemeStart,IF($X38=0,$AD38,IF(AND($Z38&lt;&gt;"",EDATE($D38,Milestones!$AA$177)&gt;=$Z38),$AC38,IF(AND($Y38&lt;&gt;"",EDATE($D38,Milestones!$AA$177)&gt;=$Y38),$AB38,$AA38)))=Milestones!$AB$177),UPPER(TEXT(EDATE($D38,Milestones!$AA$177),"dd mmm yy"))&amp;" "&amp;Milestones!$AB$177&amp;" "&amp;IF(AND(Milestones!$AB$177="FT",Milestones!$AA$177=FT_Y5,EDATE($D38,Milestones!$AA$177)&lt;PolicyEff),1,Milestones!$AC$177)&amp;";  ","")&amp;IF(AND(EDATE($D38,Milestones!$AA$178)&lt;=AsOfDate,EDATE($D38,Milestones!$AA$178)&gt;=SchemeStart,IF($X38=0,$AD38,IF(AND($Z38&lt;&gt;"",EDATE($D38,Milestones!$AA$178)&gt;=$Z38),$AC38,IF(AND($Y38&lt;&gt;"",EDATE($D38,Milestones!$AA$178)&gt;=$Y38),$AB38,$AA38)))=Milestones!$AB$178),UPPER(TEXT(EDATE($D38,Milestones!$AA$178),"dd mmm yy"))&amp;" "&amp;Milestones!$AB$178&amp;" "&amp;IF(AND(Milestones!$AB$178="FT",Milestones!$AA$178=FT_Y5,EDATE($D38,Milestones!$AA$178)&lt;PolicyEff),1,Milestones!$AC$178)&amp;";  ","")&amp;IF(AND(EDATE($D38,Milestones!$AA$179)&lt;=AsOfDate,EDATE($D38,Milestones!$AA$179)&gt;=SchemeStart,IF($X38=0,$AD38,IF(AND($Z38&lt;&gt;"",EDATE($D38,Milestones!$AA$179)&gt;=$Z38),$AC38,IF(AND($Y38&lt;&gt;"",EDATE($D38,Milestones!$AA$179)&gt;=$Y38),$AB38,$AA38)))=Milestones!$AB$179),UPPER(TEXT(EDATE($D38,Milestones!$AA$179),"dd mmm yy"))&amp;" "&amp;Milestones!$AB$179&amp;" "&amp;IF(AND(Milestones!$AB$179="FT",Milestones!$AA$179=FT_Y5,EDATE($D38,Milestones!$AA$179)&lt;PolicyEff),1,Milestones!$AC$179)&amp;";  ","")&amp;IF(AND(EDATE($D38,Milestones!$AA$180)&lt;=AsOfDate,EDATE($D38,Milestones!$AA$180)&gt;=SchemeStart,IF($X38=0,$AD38,IF(AND($Z38&lt;&gt;"",EDATE($D38,Milestones!$AA$180)&gt;=$Z38),$AC38,IF(AND($Y38&lt;&gt;"",EDATE($D38,Milestones!$AA$180)&gt;=$Y38),$AB38,$AA38)))=Milestones!$AB$180),UPPER(TEXT(EDATE($D38,Milestones!$AA$180),"dd mmm yy"))&amp;" "&amp;Milestones!$AB$180&amp;" "&amp;IF(AND(Milestones!$AB$180="FT",Milestones!$AA$180=FT_Y5,EDATE($D38,Milestones!$AA$180)&lt;PolicyEff),1,Milestones!$AC$180)&amp;";  ","")&amp;IF(AND(EDATE($D38,Milestones!$AA$181)&lt;=AsOfDate,EDATE($D38,Milestones!$AA$181)&gt;=SchemeStart,IF($X38=0,$AD38,IF(AND($Z38&lt;&gt;"",EDATE($D38,Milestones!$AA$181)&gt;=$Z38),$AC38,IF(AND($Y38&lt;&gt;"",EDATE($D38,Milestones!$AA$181)&gt;=$Y38),$AB38,$AA38)))=Milestones!$AB$181),UPPER(TEXT(EDATE($D38,Milestones!$AA$181),"dd mmm yy"))&amp;" "&amp;Milestones!$AB$181&amp;" "&amp;IF(AND(Milestones!$AB$181="FT",Milestones!$AA$181=FT_Y5,EDATE($D38,Milestones!$AA$181)&lt;PolicyEff),1,Milestones!$AC$181)&amp;";  ","")&amp;IF(AND(EDATE($D38,Milestones!$AA$182)&lt;=AsOfDate,EDATE($D38,Milestones!$AA$182)&gt;=SchemeStart,IF($X38=0,$AD38,IF(AND($Z38&lt;&gt;"",EDATE($D38,Milestones!$AA$182)&gt;=$Z38),$AC38,IF(AND($Y38&lt;&gt;"",EDATE($D38,Milestones!$AA$182)&gt;=$Y38),$AB38,$AA38)))=Milestones!$AB$182),UPPER(TEXT(EDATE($D38,Milestones!$AA$182),"dd mmm yy"))&amp;" "&amp;Milestones!$AB$182&amp;" "&amp;IF(AND(Milestones!$AB$182="FT",Milestones!$AA$182=FT_Y5,EDATE($D38,Milestones!$AA$182)&lt;PolicyEff),1,Milestones!$AC$182)&amp;";  ","")&amp;IF(AND(EDATE($D38,Milestones!$AA$183)&lt;=AsOfDate,EDATE($D38,Milestones!$AA$183)&gt;=SchemeStart,IF($X38=0,$AD38,IF(AND($Z38&lt;&gt;"",EDATE($D38,Milestones!$AA$183)&gt;=$Z38),$AC38,IF(AND($Y38&lt;&gt;"",EDATE($D38,Milestones!$AA$183)&gt;=$Y38),$AB38,$AA38)))=Milestones!$AB$183),UPPER(TEXT(EDATE($D38,Milestones!$AA$183),"dd mmm yy"))&amp;" "&amp;Milestones!$AB$183&amp;" "&amp;IF(AND(Milestones!$AB$183="FT",Milestones!$AA$183=FT_Y5,EDATE($D38,Milestones!$AA$183)&lt;PolicyEff),1,Milestones!$AC$183)&amp;";  ","")&amp;IF(AND(EDATE($D38,Milestones!$AA$184)&lt;=AsOfDate,EDATE($D38,Milestones!$AA$184)&gt;=SchemeStart,IF($X38=0,$AD38,IF(AND($Z38&lt;&gt;"",EDATE($D38,Milestones!$AA$184)&gt;=$Z38),$AC38,IF(AND($Y38&lt;&gt;"",EDATE($D38,Milestones!$AA$184)&gt;=$Y38),$AB38,$AA38)))=Milestones!$AB$184),UPPER(TEXT(EDATE($D38,Milestones!$AA$184),"dd mmm yy"))&amp;" "&amp;Milestones!$AB$184&amp;" "&amp;IF(AND(Milestones!$AB$184="FT",Milestones!$AA$184=FT_Y5,EDATE($D38,Milestones!$AA$184)&lt;PolicyEff),1,Milestones!$AC$184)&amp;";  ","")&amp;IF(AND(EDATE($D38,Milestones!$AA$185)&lt;=AsOfDate,EDATE($D38,Milestones!$AA$185)&gt;=SchemeStart,IF($X38=0,$AD38,IF(AND($Z38&lt;&gt;"",EDATE($D38,Milestones!$AA$185)&gt;=$Z38),$AC38,IF(AND($Y38&lt;&gt;"",EDATE($D38,Milestones!$AA$185)&gt;=$Y38),$AB38,$AA38)))=Milestones!$AB$185),UPPER(TEXT(EDATE($D38,Milestones!$AA$185),"dd mmm yy"))&amp;" "&amp;Milestones!$AB$185&amp;" "&amp;IF(AND(Milestones!$AB$185="FT",Milestones!$AA$185=FT_Y5,EDATE($D38,Milestones!$AA$185)&lt;PolicyEff),1,Milestones!$AC$185)&amp;";  ","")&amp;IF(AND(EDATE($D38,Milestones!$AA$186)&lt;=AsOfDate,EDATE($D38,Milestones!$AA$186)&gt;=SchemeStart,IF($X38=0,$AD38,IF(AND($Z38&lt;&gt;"",EDATE($D38,Milestones!$AA$186)&gt;=$Z38),$AC38,IF(AND($Y38&lt;&gt;"",EDATE($D38,Milestones!$AA$186)&gt;=$Y38),$AB38,$AA38)))=Milestones!$AB$186),UPPER(TEXT(EDATE($D38,Milestones!$AA$186),"dd mmm yy"))&amp;" "&amp;Milestones!$AB$186&amp;" "&amp;IF(AND(Milestones!$AB$186="FT",Milestones!$AA$186=FT_Y5,EDATE($D38,Milestones!$AA$186)&lt;PolicyEff),1,Milestones!$AC$186)&amp;";  ","")&amp;IF(AND(EDATE($D38,Milestones!$AA$187)&lt;=AsOfDate,EDATE($D38,Milestones!$AA$187)&gt;=SchemeStart,IF($X38=0,$AD38,IF(AND($Z38&lt;&gt;"",EDATE($D38,Milestones!$AA$187)&gt;=$Z38),$AC38,IF(AND($Y38&lt;&gt;"",EDATE($D38,Milestones!$AA$187)&gt;=$Y38),$AB38,$AA38)))=Milestones!$AB$187),UPPER(TEXT(EDATE($D38,Milestones!$AA$187),"dd mmm yy"))&amp;" "&amp;Milestones!$AB$187&amp;" "&amp;IF(AND(Milestones!$AB$187="FT",Milestones!$AA$187=FT_Y5,EDATE($D38,Milestones!$AA$187)&lt;PolicyEff),1,Milestones!$AC$187)&amp;";  ",""))</f>
        <v/>
      </c>
      <c r="W38" s="0" t="str">
        <f aca="false">IF(OR($A38="",$D38=""),"",IF(AND(EDATE($D38,Milestones!$AA$188)&lt;=AsOfDate,EDATE($D38,Milestones!$AA$188)&gt;=SchemeStart,IF($X38=0,$AD38,IF(AND($Z38&lt;&gt;"",EDATE($D38,Milestones!$AA$188)&gt;=$Z38),$AC38,IF(AND($Y38&lt;&gt;"",EDATE($D38,Milestones!$AA$188)&gt;=$Y38),$AB38,$AA38)))=Milestones!$AB$188),UPPER(TEXT(EDATE($D38,Milestones!$AA$188),"dd mmm yy"))&amp;" "&amp;Milestones!$AB$188&amp;" "&amp;IF(AND(Milestones!$AB$188="FT",Milestones!$AA$188=FT_Y5,EDATE($D38,Milestones!$AA$188)&lt;PolicyEff),1,Milestones!$AC$188)&amp;";  ","")&amp;IF(AND(EDATE($D38,Milestones!$AA$189)&lt;=AsOfDate,EDATE($D38,Milestones!$AA$189)&gt;=SchemeStart,IF($X38=0,$AD38,IF(AND($Z38&lt;&gt;"",EDATE($D38,Milestones!$AA$189)&gt;=$Z38),$AC38,IF(AND($Y38&lt;&gt;"",EDATE($D38,Milestones!$AA$189)&gt;=$Y38),$AB38,$AA38)))=Milestones!$AB$189),UPPER(TEXT(EDATE($D38,Milestones!$AA$189),"dd mmm yy"))&amp;" "&amp;Milestones!$AB$189&amp;" "&amp;IF(AND(Milestones!$AB$189="FT",Milestones!$AA$189=FT_Y5,EDATE($D38,Milestones!$AA$189)&lt;PolicyEff),1,Milestones!$AC$189)&amp;";  ","")&amp;IF(AND(EDATE($D38,Milestones!$AA$190)&lt;=AsOfDate,EDATE($D38,Milestones!$AA$190)&gt;=SchemeStart,IF($X38=0,$AD38,IF(AND($Z38&lt;&gt;"",EDATE($D38,Milestones!$AA$190)&gt;=$Z38),$AC38,IF(AND($Y38&lt;&gt;"",EDATE($D38,Milestones!$AA$190)&gt;=$Y38),$AB38,$AA38)))=Milestones!$AB$190),UPPER(TEXT(EDATE($D38,Milestones!$AA$190),"dd mmm yy"))&amp;" "&amp;Milestones!$AB$190&amp;" "&amp;IF(AND(Milestones!$AB$190="FT",Milestones!$AA$190=FT_Y5,EDATE($D38,Milestones!$AA$190)&lt;PolicyEff),1,Milestones!$AC$190)&amp;";  ","")&amp;IF(AND(EDATE($D38,Milestones!$AA$191)&lt;=AsOfDate,EDATE($D38,Milestones!$AA$191)&gt;=SchemeStart,IF($X38=0,$AD38,IF(AND($Z38&lt;&gt;"",EDATE($D38,Milestones!$AA$191)&gt;=$Z38),$AC38,IF(AND($Y38&lt;&gt;"",EDATE($D38,Milestones!$AA$191)&gt;=$Y38),$AB38,$AA38)))=Milestones!$AB$191),UPPER(TEXT(EDATE($D38,Milestones!$AA$191),"dd mmm yy"))&amp;" "&amp;Milestones!$AB$191&amp;" "&amp;IF(AND(Milestones!$AB$191="FT",Milestones!$AA$191=FT_Y5,EDATE($D38,Milestones!$AA$191)&lt;PolicyEff),1,Milestones!$AC$191)&amp;";  ","")&amp;IF(AND(EDATE($D38,Milestones!$AA$192)&lt;=AsOfDate,EDATE($D38,Milestones!$AA$192)&gt;=SchemeStart,IF($X38=0,$AD38,IF(AND($Z38&lt;&gt;"",EDATE($D38,Milestones!$AA$192)&gt;=$Z38),$AC38,IF(AND($Y38&lt;&gt;"",EDATE($D38,Milestones!$AA$192)&gt;=$Y38),$AB38,$AA38)))=Milestones!$AB$192),UPPER(TEXT(EDATE($D38,Milestones!$AA$192),"dd mmm yy"))&amp;" "&amp;Milestones!$AB$192&amp;" "&amp;IF(AND(Milestones!$AB$192="FT",Milestones!$AA$192=FT_Y5,EDATE($D38,Milestones!$AA$192)&lt;PolicyEff),1,Milestones!$AC$192)&amp;";  ","")&amp;IF(AND(EDATE($D38,Milestones!$AA$193)&lt;=AsOfDate,EDATE($D38,Milestones!$AA$193)&gt;=SchemeStart,IF($X38=0,$AD38,IF(AND($Z38&lt;&gt;"",EDATE($D38,Milestones!$AA$193)&gt;=$Z38),$AC38,IF(AND($Y38&lt;&gt;"",EDATE($D38,Milestones!$AA$193)&gt;=$Y38),$AB38,$AA38)))=Milestones!$AB$193),UPPER(TEXT(EDATE($D38,Milestones!$AA$193),"dd mmm yy"))&amp;" "&amp;Milestones!$AB$193&amp;" "&amp;IF(AND(Milestones!$AB$193="FT",Milestones!$AA$193=FT_Y5,EDATE($D38,Milestones!$AA$193)&lt;PolicyEff),1,Milestones!$AC$193)&amp;";  ","")&amp;IF(AND(EDATE($D38,Milestones!$AA$194)&lt;=AsOfDate,EDATE($D38,Milestones!$AA$194)&gt;=SchemeStart,IF($X38=0,$AD38,IF(AND($Z38&lt;&gt;"",EDATE($D38,Milestones!$AA$194)&gt;=$Z38),$AC38,IF(AND($Y38&lt;&gt;"",EDATE($D38,Milestones!$AA$194)&gt;=$Y38),$AB38,$AA38)))=Milestones!$AB$194),UPPER(TEXT(EDATE($D38,Milestones!$AA$194),"dd mmm yy"))&amp;" "&amp;Milestones!$AB$194&amp;" "&amp;IF(AND(Milestones!$AB$194="FT",Milestones!$AA$194=FT_Y5,EDATE($D38,Milestones!$AA$194)&lt;PolicyEff),1,Milestones!$AC$194)&amp;";  ","")&amp;IF(AND(EDATE($D38,Milestones!$AA$195)&lt;=AsOfDate,EDATE($D38,Milestones!$AA$195)&gt;=SchemeStart,IF($X38=0,$AD38,IF(AND($Z38&lt;&gt;"",EDATE($D38,Milestones!$AA$195)&gt;=$Z38),$AC38,IF(AND($Y38&lt;&gt;"",EDATE($D38,Milestones!$AA$195)&gt;=$Y38),$AB38,$AA38)))=Milestones!$AB$195),UPPER(TEXT(EDATE($D38,Milestones!$AA$195),"dd mmm yy"))&amp;" "&amp;Milestones!$AB$195&amp;" "&amp;IF(AND(Milestones!$AB$195="FT",Milestones!$AA$195=FT_Y5,EDATE($D38,Milestones!$AA$195)&lt;PolicyEff),1,Milestones!$AC$195)&amp;";  ","")&amp;IF(AND(EDATE($D38,Milestones!$AA$196)&lt;=AsOfDate,EDATE($D38,Milestones!$AA$196)&gt;=SchemeStart,IF($X38=0,$AD38,IF(AND($Z38&lt;&gt;"",EDATE($D38,Milestones!$AA$196)&gt;=$Z38),$AC38,IF(AND($Y38&lt;&gt;"",EDATE($D38,Milestones!$AA$196)&gt;=$Y38),$AB38,$AA38)))=Milestones!$AB$196),UPPER(TEXT(EDATE($D38,Milestones!$AA$196),"dd mmm yy"))&amp;" "&amp;Milestones!$AB$196&amp;" "&amp;IF(AND(Milestones!$AB$196="FT",Milestones!$AA$196=FT_Y5,EDATE($D38,Milestones!$AA$196)&lt;PolicyEff),1,Milestones!$AC$196)&amp;";  ","")&amp;IF(AND(EDATE($D38,Milestones!$AA$197)&lt;=AsOfDate,EDATE($D38,Milestones!$AA$197)&gt;=SchemeStart,IF($X38=0,$AD38,IF(AND($Z38&lt;&gt;"",EDATE($D38,Milestones!$AA$197)&gt;=$Z38),$AC38,IF(AND($Y38&lt;&gt;"",EDATE($D38,Milestones!$AA$197)&gt;=$Y38),$AB38,$AA38)))=Milestones!$AB$197),UPPER(TEXT(EDATE($D38,Milestones!$AA$197),"dd mmm yy"))&amp;" "&amp;Milestones!$AB$197&amp;" "&amp;IF(AND(Milestones!$AB$197="FT",Milestones!$AA$197=FT_Y5,EDATE($D38,Milestones!$AA$197)&lt;PolicyEff),1,Milestones!$AC$197)&amp;";  ","")&amp;IF(AND(EDATE($D38,Milestones!$AA$198)&lt;=AsOfDate,EDATE($D38,Milestones!$AA$198)&gt;=SchemeStart,IF($X38=0,$AD38,IF(AND($Z38&lt;&gt;"",EDATE($D38,Milestones!$AA$198)&gt;=$Z38),$AC38,IF(AND($Y38&lt;&gt;"",EDATE($D38,Milestones!$AA$198)&gt;=$Y38),$AB38,$AA38)))=Milestones!$AB$198),UPPER(TEXT(EDATE($D38,Milestones!$AA$198),"dd mmm yy"))&amp;" "&amp;Milestones!$AB$198&amp;" "&amp;IF(AND(Milestones!$AB$198="FT",Milestones!$AA$198=FT_Y5,EDATE($D38,Milestones!$AA$198)&lt;PolicyEff),1,Milestones!$AC$198)&amp;";  ","")&amp;IF(AND(EDATE($D38,Milestones!$AA$199)&lt;=AsOfDate,EDATE($D38,Milestones!$AA$199)&gt;=SchemeStart,IF($X38=0,$AD38,IF(AND($Z38&lt;&gt;"",EDATE($D38,Milestones!$AA$199)&gt;=$Z38),$AC38,IF(AND($Y38&lt;&gt;"",EDATE($D38,Milestones!$AA$199)&gt;=$Y38),$AB38,$AA38)))=Milestones!$AB$199),UPPER(TEXT(EDATE($D38,Milestones!$AA$199),"dd mmm yy"))&amp;" "&amp;Milestones!$AB$199&amp;" "&amp;IF(AND(Milestones!$AB$199="FT",Milestones!$AA$199=FT_Y5,EDATE($D38,Milestones!$AA$199)&lt;PolicyEff),1,Milestones!$AC$199)&amp;";  ",""))</f>
        <v/>
      </c>
      <c r="X38" s="0" t="str">
        <f aca="false">IF(Staff!$A38="","",Staff!$AM38)</f>
        <v/>
      </c>
      <c r="Y38" s="0" t="str">
        <f aca="false">IF(Staff!$A38="","",Staff!$AO38)</f>
        <v/>
      </c>
      <c r="Z38" s="0" t="str">
        <f aca="false">IF(Staff!$A38="","",Staff!$AP38)</f>
        <v/>
      </c>
      <c r="AA38" s="0" t="str">
        <f aca="false">IF(Staff!$A38="","",Staff!$AT38)</f>
        <v/>
      </c>
      <c r="AB38" s="0" t="str">
        <f aca="false">IF(Staff!$A38="","",Staff!$AU38)</f>
        <v/>
      </c>
      <c r="AC38" s="0" t="str">
        <f aca="false">IF(Staff!$A38="","",Staff!$AV38)</f>
        <v/>
      </c>
      <c r="AD38" s="0" t="str">
        <f aca="false">IF(Staff!$A38="","",Staff!$AW38)</f>
        <v/>
      </c>
    </row>
    <row r="39" customFormat="false" ht="15" hidden="false" customHeight="false" outlineLevel="0" collapsed="false">
      <c r="A39" s="16" t="str">
        <f aca="false">IF(Staff!$A39="","",Staff!$A39)</f>
        <v/>
      </c>
      <c r="B39" s="16" t="str">
        <f aca="false">IF(Staff!$A39="","",Staff!$B39)</f>
        <v/>
      </c>
      <c r="C39" s="16" t="str">
        <f aca="false">IF(Staff!$A39="","",Staff!$C39)</f>
        <v/>
      </c>
      <c r="D39" s="14" t="str">
        <f aca="false">IF(Staff!$A39="","",Staff!$AL39)</f>
        <v/>
      </c>
      <c r="E39" s="16" t="str">
        <f aca="false">IF(Staff!$A39="","",Staff!$O39)</f>
        <v/>
      </c>
      <c r="F39" s="16" t="str">
        <f aca="false">IF(E39="","",E39*HoursPerDay)</f>
        <v/>
      </c>
      <c r="G39" s="16" t="str">
        <f aca="false">IF(Staff!$A39="","",Staff!$AE39)</f>
        <v/>
      </c>
      <c r="H39" s="28" t="str">
        <f aca="false">IF($A39="","",I39&amp;J39&amp;K39&amp;L39&amp;M39&amp;N39&amp;O39&amp;P39&amp;Q39&amp;R39&amp;S39&amp;T39&amp;U39&amp;V39&amp;W39)</f>
        <v/>
      </c>
      <c r="I39" s="0" t="str">
        <f aca="false">IF(OR($A39="",$D39=""),"",IF(AND(EDATE($D39,Milestones!$AA$20)&lt;=AsOfDate,EDATE($D39,Milestones!$AA$20)&gt;=SchemeStart,IF($X39=0,$AD39,IF(AND($Z39&lt;&gt;"",EDATE($D39,Milestones!$AA$20)&gt;=$Z39),$AC39,IF(AND($Y39&lt;&gt;"",EDATE($D39,Milestones!$AA$20)&gt;=$Y39),$AB39,$AA39)))=Milestones!$AB$20),UPPER(TEXT(EDATE($D39,Milestones!$AA$20),"dd mmm yy"))&amp;" "&amp;Milestones!$AB$20&amp;" "&amp;IF(AND(Milestones!$AB$20="FT",Milestones!$AA$20=FT_Y5,EDATE($D39,Milestones!$AA$20)&lt;PolicyEff),1,Milestones!$AC$20)&amp;";  ","")&amp;IF(AND(EDATE($D39,Milestones!$AA$21)&lt;=AsOfDate,EDATE($D39,Milestones!$AA$21)&gt;=SchemeStart,IF($X39=0,$AD39,IF(AND($Z39&lt;&gt;"",EDATE($D39,Milestones!$AA$21)&gt;=$Z39),$AC39,IF(AND($Y39&lt;&gt;"",EDATE($D39,Milestones!$AA$21)&gt;=$Y39),$AB39,$AA39)))=Milestones!$AB$21),UPPER(TEXT(EDATE($D39,Milestones!$AA$21),"dd mmm yy"))&amp;" "&amp;Milestones!$AB$21&amp;" "&amp;IF(AND(Milestones!$AB$21="FT",Milestones!$AA$21=FT_Y5,EDATE($D39,Milestones!$AA$21)&lt;PolicyEff),1,Milestones!$AC$21)&amp;";  ","")&amp;IF(AND(EDATE($D39,Milestones!$AA$22)&lt;=AsOfDate,EDATE($D39,Milestones!$AA$22)&gt;=SchemeStart,IF($X39=0,$AD39,IF(AND($Z39&lt;&gt;"",EDATE($D39,Milestones!$AA$22)&gt;=$Z39),$AC39,IF(AND($Y39&lt;&gt;"",EDATE($D39,Milestones!$AA$22)&gt;=$Y39),$AB39,$AA39)))=Milestones!$AB$22),UPPER(TEXT(EDATE($D39,Milestones!$AA$22),"dd mmm yy"))&amp;" "&amp;Milestones!$AB$22&amp;" "&amp;IF(AND(Milestones!$AB$22="FT",Milestones!$AA$22=FT_Y5,EDATE($D39,Milestones!$AA$22)&lt;PolicyEff),1,Milestones!$AC$22)&amp;";  ","")&amp;IF(AND(EDATE($D39,Milestones!$AA$23)&lt;=AsOfDate,EDATE($D39,Milestones!$AA$23)&gt;=SchemeStart,IF($X39=0,$AD39,IF(AND($Z39&lt;&gt;"",EDATE($D39,Milestones!$AA$23)&gt;=$Z39),$AC39,IF(AND($Y39&lt;&gt;"",EDATE($D39,Milestones!$AA$23)&gt;=$Y39),$AB39,$AA39)))=Milestones!$AB$23),UPPER(TEXT(EDATE($D39,Milestones!$AA$23),"dd mmm yy"))&amp;" "&amp;Milestones!$AB$23&amp;" "&amp;IF(AND(Milestones!$AB$23="FT",Milestones!$AA$23=FT_Y5,EDATE($D39,Milestones!$AA$23)&lt;PolicyEff),1,Milestones!$AC$23)&amp;";  ","")&amp;IF(AND(EDATE($D39,Milestones!$AA$24)&lt;=AsOfDate,EDATE($D39,Milestones!$AA$24)&gt;=SchemeStart,IF($X39=0,$AD39,IF(AND($Z39&lt;&gt;"",EDATE($D39,Milestones!$AA$24)&gt;=$Z39),$AC39,IF(AND($Y39&lt;&gt;"",EDATE($D39,Milestones!$AA$24)&gt;=$Y39),$AB39,$AA39)))=Milestones!$AB$24),UPPER(TEXT(EDATE($D39,Milestones!$AA$24),"dd mmm yy"))&amp;" "&amp;Milestones!$AB$24&amp;" "&amp;IF(AND(Milestones!$AB$24="FT",Milestones!$AA$24=FT_Y5,EDATE($D39,Milestones!$AA$24)&lt;PolicyEff),1,Milestones!$AC$24)&amp;";  ","")&amp;IF(AND(EDATE($D39,Milestones!$AA$25)&lt;=AsOfDate,EDATE($D39,Milestones!$AA$25)&gt;=SchemeStart,IF($X39=0,$AD39,IF(AND($Z39&lt;&gt;"",EDATE($D39,Milestones!$AA$25)&gt;=$Z39),$AC39,IF(AND($Y39&lt;&gt;"",EDATE($D39,Milestones!$AA$25)&gt;=$Y39),$AB39,$AA39)))=Milestones!$AB$25),UPPER(TEXT(EDATE($D39,Milestones!$AA$25),"dd mmm yy"))&amp;" "&amp;Milestones!$AB$25&amp;" "&amp;IF(AND(Milestones!$AB$25="FT",Milestones!$AA$25=FT_Y5,EDATE($D39,Milestones!$AA$25)&lt;PolicyEff),1,Milestones!$AC$25)&amp;";  ","")&amp;IF(AND(EDATE($D39,Milestones!$AA$26)&lt;=AsOfDate,EDATE($D39,Milestones!$AA$26)&gt;=SchemeStart,IF($X39=0,$AD39,IF(AND($Z39&lt;&gt;"",EDATE($D39,Milestones!$AA$26)&gt;=$Z39),$AC39,IF(AND($Y39&lt;&gt;"",EDATE($D39,Milestones!$AA$26)&gt;=$Y39),$AB39,$AA39)))=Milestones!$AB$26),UPPER(TEXT(EDATE($D39,Milestones!$AA$26),"dd mmm yy"))&amp;" "&amp;Milestones!$AB$26&amp;" "&amp;IF(AND(Milestones!$AB$26="FT",Milestones!$AA$26=FT_Y5,EDATE($D39,Milestones!$AA$26)&lt;PolicyEff),1,Milestones!$AC$26)&amp;";  ","")&amp;IF(AND(EDATE($D39,Milestones!$AA$27)&lt;=AsOfDate,EDATE($D39,Milestones!$AA$27)&gt;=SchemeStart,IF($X39=0,$AD39,IF(AND($Z39&lt;&gt;"",EDATE($D39,Milestones!$AA$27)&gt;=$Z39),$AC39,IF(AND($Y39&lt;&gt;"",EDATE($D39,Milestones!$AA$27)&gt;=$Y39),$AB39,$AA39)))=Milestones!$AB$27),UPPER(TEXT(EDATE($D39,Milestones!$AA$27),"dd mmm yy"))&amp;" "&amp;Milestones!$AB$27&amp;" "&amp;IF(AND(Milestones!$AB$27="FT",Milestones!$AA$27=FT_Y5,EDATE($D39,Milestones!$AA$27)&lt;PolicyEff),1,Milestones!$AC$27)&amp;";  ","")&amp;IF(AND(EDATE($D39,Milestones!$AA$28)&lt;=AsOfDate,EDATE($D39,Milestones!$AA$28)&gt;=SchemeStart,IF($X39=0,$AD39,IF(AND($Z39&lt;&gt;"",EDATE($D39,Milestones!$AA$28)&gt;=$Z39),$AC39,IF(AND($Y39&lt;&gt;"",EDATE($D39,Milestones!$AA$28)&gt;=$Y39),$AB39,$AA39)))=Milestones!$AB$28),UPPER(TEXT(EDATE($D39,Milestones!$AA$28),"dd mmm yy"))&amp;" "&amp;Milestones!$AB$28&amp;" "&amp;IF(AND(Milestones!$AB$28="FT",Milestones!$AA$28=FT_Y5,EDATE($D39,Milestones!$AA$28)&lt;PolicyEff),1,Milestones!$AC$28)&amp;";  ","")&amp;IF(AND(EDATE($D39,Milestones!$AA$29)&lt;=AsOfDate,EDATE($D39,Milestones!$AA$29)&gt;=SchemeStart,IF($X39=0,$AD39,IF(AND($Z39&lt;&gt;"",EDATE($D39,Milestones!$AA$29)&gt;=$Z39),$AC39,IF(AND($Y39&lt;&gt;"",EDATE($D39,Milestones!$AA$29)&gt;=$Y39),$AB39,$AA39)))=Milestones!$AB$29),UPPER(TEXT(EDATE($D39,Milestones!$AA$29),"dd mmm yy"))&amp;" "&amp;Milestones!$AB$29&amp;" "&amp;IF(AND(Milestones!$AB$29="FT",Milestones!$AA$29=FT_Y5,EDATE($D39,Milestones!$AA$29)&lt;PolicyEff),1,Milestones!$AC$29)&amp;";  ","")&amp;IF(AND(EDATE($D39,Milestones!$AA$30)&lt;=AsOfDate,EDATE($D39,Milestones!$AA$30)&gt;=SchemeStart,IF($X39=0,$AD39,IF(AND($Z39&lt;&gt;"",EDATE($D39,Milestones!$AA$30)&gt;=$Z39),$AC39,IF(AND($Y39&lt;&gt;"",EDATE($D39,Milestones!$AA$30)&gt;=$Y39),$AB39,$AA39)))=Milestones!$AB$30),UPPER(TEXT(EDATE($D39,Milestones!$AA$30),"dd mmm yy"))&amp;" "&amp;Milestones!$AB$30&amp;" "&amp;IF(AND(Milestones!$AB$30="FT",Milestones!$AA$30=FT_Y5,EDATE($D39,Milestones!$AA$30)&lt;PolicyEff),1,Milestones!$AC$30)&amp;";  ","")&amp;IF(AND(EDATE($D39,Milestones!$AA$31)&lt;=AsOfDate,EDATE($D39,Milestones!$AA$31)&gt;=SchemeStart,IF($X39=0,$AD39,IF(AND($Z39&lt;&gt;"",EDATE($D39,Milestones!$AA$31)&gt;=$Z39),$AC39,IF(AND($Y39&lt;&gt;"",EDATE($D39,Milestones!$AA$31)&gt;=$Y39),$AB39,$AA39)))=Milestones!$AB$31),UPPER(TEXT(EDATE($D39,Milestones!$AA$31),"dd mmm yy"))&amp;" "&amp;Milestones!$AB$31&amp;" "&amp;IF(AND(Milestones!$AB$31="FT",Milestones!$AA$31=FT_Y5,EDATE($D39,Milestones!$AA$31)&lt;PolicyEff),1,Milestones!$AC$31)&amp;";  ",""))</f>
        <v/>
      </c>
      <c r="J39" s="0" t="str">
        <f aca="false">IF(OR($A39="",$D39=""),"",IF(AND(EDATE($D39,Milestones!$AA$32)&lt;=AsOfDate,EDATE($D39,Milestones!$AA$32)&gt;=SchemeStart,IF($X39=0,$AD39,IF(AND($Z39&lt;&gt;"",EDATE($D39,Milestones!$AA$32)&gt;=$Z39),$AC39,IF(AND($Y39&lt;&gt;"",EDATE($D39,Milestones!$AA$32)&gt;=$Y39),$AB39,$AA39)))=Milestones!$AB$32),UPPER(TEXT(EDATE($D39,Milestones!$AA$32),"dd mmm yy"))&amp;" "&amp;Milestones!$AB$32&amp;" "&amp;IF(AND(Milestones!$AB$32="FT",Milestones!$AA$32=FT_Y5,EDATE($D39,Milestones!$AA$32)&lt;PolicyEff),1,Milestones!$AC$32)&amp;";  ","")&amp;IF(AND(EDATE($D39,Milestones!$AA$33)&lt;=AsOfDate,EDATE($D39,Milestones!$AA$33)&gt;=SchemeStart,IF($X39=0,$AD39,IF(AND($Z39&lt;&gt;"",EDATE($D39,Milestones!$AA$33)&gt;=$Z39),$AC39,IF(AND($Y39&lt;&gt;"",EDATE($D39,Milestones!$AA$33)&gt;=$Y39),$AB39,$AA39)))=Milestones!$AB$33),UPPER(TEXT(EDATE($D39,Milestones!$AA$33),"dd mmm yy"))&amp;" "&amp;Milestones!$AB$33&amp;" "&amp;IF(AND(Milestones!$AB$33="FT",Milestones!$AA$33=FT_Y5,EDATE($D39,Milestones!$AA$33)&lt;PolicyEff),1,Milestones!$AC$33)&amp;";  ","")&amp;IF(AND(EDATE($D39,Milestones!$AA$34)&lt;=AsOfDate,EDATE($D39,Milestones!$AA$34)&gt;=SchemeStart,IF($X39=0,$AD39,IF(AND($Z39&lt;&gt;"",EDATE($D39,Milestones!$AA$34)&gt;=$Z39),$AC39,IF(AND($Y39&lt;&gt;"",EDATE($D39,Milestones!$AA$34)&gt;=$Y39),$AB39,$AA39)))=Milestones!$AB$34),UPPER(TEXT(EDATE($D39,Milestones!$AA$34),"dd mmm yy"))&amp;" "&amp;Milestones!$AB$34&amp;" "&amp;IF(AND(Milestones!$AB$34="FT",Milestones!$AA$34=FT_Y5,EDATE($D39,Milestones!$AA$34)&lt;PolicyEff),1,Milestones!$AC$34)&amp;";  ","")&amp;IF(AND(EDATE($D39,Milestones!$AA$35)&lt;=AsOfDate,EDATE($D39,Milestones!$AA$35)&gt;=SchemeStart,IF($X39=0,$AD39,IF(AND($Z39&lt;&gt;"",EDATE($D39,Milestones!$AA$35)&gt;=$Z39),$AC39,IF(AND($Y39&lt;&gt;"",EDATE($D39,Milestones!$AA$35)&gt;=$Y39),$AB39,$AA39)))=Milestones!$AB$35),UPPER(TEXT(EDATE($D39,Milestones!$AA$35),"dd mmm yy"))&amp;" "&amp;Milestones!$AB$35&amp;" "&amp;IF(AND(Milestones!$AB$35="FT",Milestones!$AA$35=FT_Y5,EDATE($D39,Milestones!$AA$35)&lt;PolicyEff),1,Milestones!$AC$35)&amp;";  ","")&amp;IF(AND(EDATE($D39,Milestones!$AA$36)&lt;=AsOfDate,EDATE($D39,Milestones!$AA$36)&gt;=SchemeStart,IF($X39=0,$AD39,IF(AND($Z39&lt;&gt;"",EDATE($D39,Milestones!$AA$36)&gt;=$Z39),$AC39,IF(AND($Y39&lt;&gt;"",EDATE($D39,Milestones!$AA$36)&gt;=$Y39),$AB39,$AA39)))=Milestones!$AB$36),UPPER(TEXT(EDATE($D39,Milestones!$AA$36),"dd mmm yy"))&amp;" "&amp;Milestones!$AB$36&amp;" "&amp;IF(AND(Milestones!$AB$36="FT",Milestones!$AA$36=FT_Y5,EDATE($D39,Milestones!$AA$36)&lt;PolicyEff),1,Milestones!$AC$36)&amp;";  ","")&amp;IF(AND(EDATE($D39,Milestones!$AA$37)&lt;=AsOfDate,EDATE($D39,Milestones!$AA$37)&gt;=SchemeStart,IF($X39=0,$AD39,IF(AND($Z39&lt;&gt;"",EDATE($D39,Milestones!$AA$37)&gt;=$Z39),$AC39,IF(AND($Y39&lt;&gt;"",EDATE($D39,Milestones!$AA$37)&gt;=$Y39),$AB39,$AA39)))=Milestones!$AB$37),UPPER(TEXT(EDATE($D39,Milestones!$AA$37),"dd mmm yy"))&amp;" "&amp;Milestones!$AB$37&amp;" "&amp;IF(AND(Milestones!$AB$37="FT",Milestones!$AA$37=FT_Y5,EDATE($D39,Milestones!$AA$37)&lt;PolicyEff),1,Milestones!$AC$37)&amp;";  ","")&amp;IF(AND(EDATE($D39,Milestones!$AA$38)&lt;=AsOfDate,EDATE($D39,Milestones!$AA$38)&gt;=SchemeStart,IF($X39=0,$AD39,IF(AND($Z39&lt;&gt;"",EDATE($D39,Milestones!$AA$38)&gt;=$Z39),$AC39,IF(AND($Y39&lt;&gt;"",EDATE($D39,Milestones!$AA$38)&gt;=$Y39),$AB39,$AA39)))=Milestones!$AB$38),UPPER(TEXT(EDATE($D39,Milestones!$AA$38),"dd mmm yy"))&amp;" "&amp;Milestones!$AB$38&amp;" "&amp;IF(AND(Milestones!$AB$38="FT",Milestones!$AA$38=FT_Y5,EDATE($D39,Milestones!$AA$38)&lt;PolicyEff),1,Milestones!$AC$38)&amp;";  ","")&amp;IF(AND(EDATE($D39,Milestones!$AA$39)&lt;=AsOfDate,EDATE($D39,Milestones!$AA$39)&gt;=SchemeStart,IF($X39=0,$AD39,IF(AND($Z39&lt;&gt;"",EDATE($D39,Milestones!$AA$39)&gt;=$Z39),$AC39,IF(AND($Y39&lt;&gt;"",EDATE($D39,Milestones!$AA$39)&gt;=$Y39),$AB39,$AA39)))=Milestones!$AB$39),UPPER(TEXT(EDATE($D39,Milestones!$AA$39),"dd mmm yy"))&amp;" "&amp;Milestones!$AB$39&amp;" "&amp;IF(AND(Milestones!$AB$39="FT",Milestones!$AA$39=FT_Y5,EDATE($D39,Milestones!$AA$39)&lt;PolicyEff),1,Milestones!$AC$39)&amp;";  ","")&amp;IF(AND(EDATE($D39,Milestones!$AA$40)&lt;=AsOfDate,EDATE($D39,Milestones!$AA$40)&gt;=SchemeStart,IF($X39=0,$AD39,IF(AND($Z39&lt;&gt;"",EDATE($D39,Milestones!$AA$40)&gt;=$Z39),$AC39,IF(AND($Y39&lt;&gt;"",EDATE($D39,Milestones!$AA$40)&gt;=$Y39),$AB39,$AA39)))=Milestones!$AB$40),UPPER(TEXT(EDATE($D39,Milestones!$AA$40),"dd mmm yy"))&amp;" "&amp;Milestones!$AB$40&amp;" "&amp;IF(AND(Milestones!$AB$40="FT",Milestones!$AA$40=FT_Y5,EDATE($D39,Milestones!$AA$40)&lt;PolicyEff),1,Milestones!$AC$40)&amp;";  ","")&amp;IF(AND(EDATE($D39,Milestones!$AA$41)&lt;=AsOfDate,EDATE($D39,Milestones!$AA$41)&gt;=SchemeStart,IF($X39=0,$AD39,IF(AND($Z39&lt;&gt;"",EDATE($D39,Milestones!$AA$41)&gt;=$Z39),$AC39,IF(AND($Y39&lt;&gt;"",EDATE($D39,Milestones!$AA$41)&gt;=$Y39),$AB39,$AA39)))=Milestones!$AB$41),UPPER(TEXT(EDATE($D39,Milestones!$AA$41),"dd mmm yy"))&amp;" "&amp;Milestones!$AB$41&amp;" "&amp;IF(AND(Milestones!$AB$41="FT",Milestones!$AA$41=FT_Y5,EDATE($D39,Milestones!$AA$41)&lt;PolicyEff),1,Milestones!$AC$41)&amp;";  ","")&amp;IF(AND(EDATE($D39,Milestones!$AA$42)&lt;=AsOfDate,EDATE($D39,Milestones!$AA$42)&gt;=SchemeStart,IF($X39=0,$AD39,IF(AND($Z39&lt;&gt;"",EDATE($D39,Milestones!$AA$42)&gt;=$Z39),$AC39,IF(AND($Y39&lt;&gt;"",EDATE($D39,Milestones!$AA$42)&gt;=$Y39),$AB39,$AA39)))=Milestones!$AB$42),UPPER(TEXT(EDATE($D39,Milestones!$AA$42),"dd mmm yy"))&amp;" "&amp;Milestones!$AB$42&amp;" "&amp;IF(AND(Milestones!$AB$42="FT",Milestones!$AA$42=FT_Y5,EDATE($D39,Milestones!$AA$42)&lt;PolicyEff),1,Milestones!$AC$42)&amp;";  ","")&amp;IF(AND(EDATE($D39,Milestones!$AA$43)&lt;=AsOfDate,EDATE($D39,Milestones!$AA$43)&gt;=SchemeStart,IF($X39=0,$AD39,IF(AND($Z39&lt;&gt;"",EDATE($D39,Milestones!$AA$43)&gt;=$Z39),$AC39,IF(AND($Y39&lt;&gt;"",EDATE($D39,Milestones!$AA$43)&gt;=$Y39),$AB39,$AA39)))=Milestones!$AB$43),UPPER(TEXT(EDATE($D39,Milestones!$AA$43),"dd mmm yy"))&amp;" "&amp;Milestones!$AB$43&amp;" "&amp;IF(AND(Milestones!$AB$43="FT",Milestones!$AA$43=FT_Y5,EDATE($D39,Milestones!$AA$43)&lt;PolicyEff),1,Milestones!$AC$43)&amp;";  ",""))</f>
        <v/>
      </c>
      <c r="K39" s="0" t="str">
        <f aca="false">IF(OR($A39="",$D39=""),"",IF(AND(EDATE($D39,Milestones!$AA$44)&lt;=AsOfDate,EDATE($D39,Milestones!$AA$44)&gt;=SchemeStart,IF($X39=0,$AD39,IF(AND($Z39&lt;&gt;"",EDATE($D39,Milestones!$AA$44)&gt;=$Z39),$AC39,IF(AND($Y39&lt;&gt;"",EDATE($D39,Milestones!$AA$44)&gt;=$Y39),$AB39,$AA39)))=Milestones!$AB$44),UPPER(TEXT(EDATE($D39,Milestones!$AA$44),"dd mmm yy"))&amp;" "&amp;Milestones!$AB$44&amp;" "&amp;IF(AND(Milestones!$AB$44="FT",Milestones!$AA$44=FT_Y5,EDATE($D39,Milestones!$AA$44)&lt;PolicyEff),1,Milestones!$AC$44)&amp;";  ","")&amp;IF(AND(EDATE($D39,Milestones!$AA$45)&lt;=AsOfDate,EDATE($D39,Milestones!$AA$45)&gt;=SchemeStart,IF($X39=0,$AD39,IF(AND($Z39&lt;&gt;"",EDATE($D39,Milestones!$AA$45)&gt;=$Z39),$AC39,IF(AND($Y39&lt;&gt;"",EDATE($D39,Milestones!$AA$45)&gt;=$Y39),$AB39,$AA39)))=Milestones!$AB$45),UPPER(TEXT(EDATE($D39,Milestones!$AA$45),"dd mmm yy"))&amp;" "&amp;Milestones!$AB$45&amp;" "&amp;IF(AND(Milestones!$AB$45="FT",Milestones!$AA$45=FT_Y5,EDATE($D39,Milestones!$AA$45)&lt;PolicyEff),1,Milestones!$AC$45)&amp;";  ","")&amp;IF(AND(EDATE($D39,Milestones!$AA$46)&lt;=AsOfDate,EDATE($D39,Milestones!$AA$46)&gt;=SchemeStart,IF($X39=0,$AD39,IF(AND($Z39&lt;&gt;"",EDATE($D39,Milestones!$AA$46)&gt;=$Z39),$AC39,IF(AND($Y39&lt;&gt;"",EDATE($D39,Milestones!$AA$46)&gt;=$Y39),$AB39,$AA39)))=Milestones!$AB$46),UPPER(TEXT(EDATE($D39,Milestones!$AA$46),"dd mmm yy"))&amp;" "&amp;Milestones!$AB$46&amp;" "&amp;IF(AND(Milestones!$AB$46="FT",Milestones!$AA$46=FT_Y5,EDATE($D39,Milestones!$AA$46)&lt;PolicyEff),1,Milestones!$AC$46)&amp;";  ","")&amp;IF(AND(EDATE($D39,Milestones!$AA$47)&lt;=AsOfDate,EDATE($D39,Milestones!$AA$47)&gt;=SchemeStart,IF($X39=0,$AD39,IF(AND($Z39&lt;&gt;"",EDATE($D39,Milestones!$AA$47)&gt;=$Z39),$AC39,IF(AND($Y39&lt;&gt;"",EDATE($D39,Milestones!$AA$47)&gt;=$Y39),$AB39,$AA39)))=Milestones!$AB$47),UPPER(TEXT(EDATE($D39,Milestones!$AA$47),"dd mmm yy"))&amp;" "&amp;Milestones!$AB$47&amp;" "&amp;IF(AND(Milestones!$AB$47="FT",Milestones!$AA$47=FT_Y5,EDATE($D39,Milestones!$AA$47)&lt;PolicyEff),1,Milestones!$AC$47)&amp;";  ","")&amp;IF(AND(EDATE($D39,Milestones!$AA$48)&lt;=AsOfDate,EDATE($D39,Milestones!$AA$48)&gt;=SchemeStart,IF($X39=0,$AD39,IF(AND($Z39&lt;&gt;"",EDATE($D39,Milestones!$AA$48)&gt;=$Z39),$AC39,IF(AND($Y39&lt;&gt;"",EDATE($D39,Milestones!$AA$48)&gt;=$Y39),$AB39,$AA39)))=Milestones!$AB$48),UPPER(TEXT(EDATE($D39,Milestones!$AA$48),"dd mmm yy"))&amp;" "&amp;Milestones!$AB$48&amp;" "&amp;IF(AND(Milestones!$AB$48="FT",Milestones!$AA$48=FT_Y5,EDATE($D39,Milestones!$AA$48)&lt;PolicyEff),1,Milestones!$AC$48)&amp;";  ","")&amp;IF(AND(EDATE($D39,Milestones!$AA$49)&lt;=AsOfDate,EDATE($D39,Milestones!$AA$49)&gt;=SchemeStart,IF($X39=0,$AD39,IF(AND($Z39&lt;&gt;"",EDATE($D39,Milestones!$AA$49)&gt;=$Z39),$AC39,IF(AND($Y39&lt;&gt;"",EDATE($D39,Milestones!$AA$49)&gt;=$Y39),$AB39,$AA39)))=Milestones!$AB$49),UPPER(TEXT(EDATE($D39,Milestones!$AA$49),"dd mmm yy"))&amp;" "&amp;Milestones!$AB$49&amp;" "&amp;IF(AND(Milestones!$AB$49="FT",Milestones!$AA$49=FT_Y5,EDATE($D39,Milestones!$AA$49)&lt;PolicyEff),1,Milestones!$AC$49)&amp;";  ","")&amp;IF(AND(EDATE($D39,Milestones!$AA$50)&lt;=AsOfDate,EDATE($D39,Milestones!$AA$50)&gt;=SchemeStart,IF($X39=0,$AD39,IF(AND($Z39&lt;&gt;"",EDATE($D39,Milestones!$AA$50)&gt;=$Z39),$AC39,IF(AND($Y39&lt;&gt;"",EDATE($D39,Milestones!$AA$50)&gt;=$Y39),$AB39,$AA39)))=Milestones!$AB$50),UPPER(TEXT(EDATE($D39,Milestones!$AA$50),"dd mmm yy"))&amp;" "&amp;Milestones!$AB$50&amp;" "&amp;IF(AND(Milestones!$AB$50="FT",Milestones!$AA$50=FT_Y5,EDATE($D39,Milestones!$AA$50)&lt;PolicyEff),1,Milestones!$AC$50)&amp;";  ","")&amp;IF(AND(EDATE($D39,Milestones!$AA$51)&lt;=AsOfDate,EDATE($D39,Milestones!$AA$51)&gt;=SchemeStart,IF($X39=0,$AD39,IF(AND($Z39&lt;&gt;"",EDATE($D39,Milestones!$AA$51)&gt;=$Z39),$AC39,IF(AND($Y39&lt;&gt;"",EDATE($D39,Milestones!$AA$51)&gt;=$Y39),$AB39,$AA39)))=Milestones!$AB$51),UPPER(TEXT(EDATE($D39,Milestones!$AA$51),"dd mmm yy"))&amp;" "&amp;Milestones!$AB$51&amp;" "&amp;IF(AND(Milestones!$AB$51="FT",Milestones!$AA$51=FT_Y5,EDATE($D39,Milestones!$AA$51)&lt;PolicyEff),1,Milestones!$AC$51)&amp;";  ","")&amp;IF(AND(EDATE($D39,Milestones!$AA$52)&lt;=AsOfDate,EDATE($D39,Milestones!$AA$52)&gt;=SchemeStart,IF($X39=0,$AD39,IF(AND($Z39&lt;&gt;"",EDATE($D39,Milestones!$AA$52)&gt;=$Z39),$AC39,IF(AND($Y39&lt;&gt;"",EDATE($D39,Milestones!$AA$52)&gt;=$Y39),$AB39,$AA39)))=Milestones!$AB$52),UPPER(TEXT(EDATE($D39,Milestones!$AA$52),"dd mmm yy"))&amp;" "&amp;Milestones!$AB$52&amp;" "&amp;IF(AND(Milestones!$AB$52="FT",Milestones!$AA$52=FT_Y5,EDATE($D39,Milestones!$AA$52)&lt;PolicyEff),1,Milestones!$AC$52)&amp;";  ","")&amp;IF(AND(EDATE($D39,Milestones!$AA$53)&lt;=AsOfDate,EDATE($D39,Milestones!$AA$53)&gt;=SchemeStart,IF($X39=0,$AD39,IF(AND($Z39&lt;&gt;"",EDATE($D39,Milestones!$AA$53)&gt;=$Z39),$AC39,IF(AND($Y39&lt;&gt;"",EDATE($D39,Milestones!$AA$53)&gt;=$Y39),$AB39,$AA39)))=Milestones!$AB$53),UPPER(TEXT(EDATE($D39,Milestones!$AA$53),"dd mmm yy"))&amp;" "&amp;Milestones!$AB$53&amp;" "&amp;IF(AND(Milestones!$AB$53="FT",Milestones!$AA$53=FT_Y5,EDATE($D39,Milestones!$AA$53)&lt;PolicyEff),1,Milestones!$AC$53)&amp;";  ","")&amp;IF(AND(EDATE($D39,Milestones!$AA$54)&lt;=AsOfDate,EDATE($D39,Milestones!$AA$54)&gt;=SchemeStart,IF($X39=0,$AD39,IF(AND($Z39&lt;&gt;"",EDATE($D39,Milestones!$AA$54)&gt;=$Z39),$AC39,IF(AND($Y39&lt;&gt;"",EDATE($D39,Milestones!$AA$54)&gt;=$Y39),$AB39,$AA39)))=Milestones!$AB$54),UPPER(TEXT(EDATE($D39,Milestones!$AA$54),"dd mmm yy"))&amp;" "&amp;Milestones!$AB$54&amp;" "&amp;IF(AND(Milestones!$AB$54="FT",Milestones!$AA$54=FT_Y5,EDATE($D39,Milestones!$AA$54)&lt;PolicyEff),1,Milestones!$AC$54)&amp;";  ","")&amp;IF(AND(EDATE($D39,Milestones!$AA$55)&lt;=AsOfDate,EDATE($D39,Milestones!$AA$55)&gt;=SchemeStart,IF($X39=0,$AD39,IF(AND($Z39&lt;&gt;"",EDATE($D39,Milestones!$AA$55)&gt;=$Z39),$AC39,IF(AND($Y39&lt;&gt;"",EDATE($D39,Milestones!$AA$55)&gt;=$Y39),$AB39,$AA39)))=Milestones!$AB$55),UPPER(TEXT(EDATE($D39,Milestones!$AA$55),"dd mmm yy"))&amp;" "&amp;Milestones!$AB$55&amp;" "&amp;IF(AND(Milestones!$AB$55="FT",Milestones!$AA$55=FT_Y5,EDATE($D39,Milestones!$AA$55)&lt;PolicyEff),1,Milestones!$AC$55)&amp;";  ",""))</f>
        <v/>
      </c>
      <c r="L39" s="0" t="str">
        <f aca="false">IF(OR($A39="",$D39=""),"",IF(AND(EDATE($D39,Milestones!$AA$56)&lt;=AsOfDate,EDATE($D39,Milestones!$AA$56)&gt;=SchemeStart,IF($X39=0,$AD39,IF(AND($Z39&lt;&gt;"",EDATE($D39,Milestones!$AA$56)&gt;=$Z39),$AC39,IF(AND($Y39&lt;&gt;"",EDATE($D39,Milestones!$AA$56)&gt;=$Y39),$AB39,$AA39)))=Milestones!$AB$56),UPPER(TEXT(EDATE($D39,Milestones!$AA$56),"dd mmm yy"))&amp;" "&amp;Milestones!$AB$56&amp;" "&amp;IF(AND(Milestones!$AB$56="FT",Milestones!$AA$56=FT_Y5,EDATE($D39,Milestones!$AA$56)&lt;PolicyEff),1,Milestones!$AC$56)&amp;";  ","")&amp;IF(AND(EDATE($D39,Milestones!$AA$57)&lt;=AsOfDate,EDATE($D39,Milestones!$AA$57)&gt;=SchemeStart,IF($X39=0,$AD39,IF(AND($Z39&lt;&gt;"",EDATE($D39,Milestones!$AA$57)&gt;=$Z39),$AC39,IF(AND($Y39&lt;&gt;"",EDATE($D39,Milestones!$AA$57)&gt;=$Y39),$AB39,$AA39)))=Milestones!$AB$57),UPPER(TEXT(EDATE($D39,Milestones!$AA$57),"dd mmm yy"))&amp;" "&amp;Milestones!$AB$57&amp;" "&amp;IF(AND(Milestones!$AB$57="FT",Milestones!$AA$57=FT_Y5,EDATE($D39,Milestones!$AA$57)&lt;PolicyEff),1,Milestones!$AC$57)&amp;";  ","")&amp;IF(AND(EDATE($D39,Milestones!$AA$58)&lt;=AsOfDate,EDATE($D39,Milestones!$AA$58)&gt;=SchemeStart,IF($X39=0,$AD39,IF(AND($Z39&lt;&gt;"",EDATE($D39,Milestones!$AA$58)&gt;=$Z39),$AC39,IF(AND($Y39&lt;&gt;"",EDATE($D39,Milestones!$AA$58)&gt;=$Y39),$AB39,$AA39)))=Milestones!$AB$58),UPPER(TEXT(EDATE($D39,Milestones!$AA$58),"dd mmm yy"))&amp;" "&amp;Milestones!$AB$58&amp;" "&amp;IF(AND(Milestones!$AB$58="FT",Milestones!$AA$58=FT_Y5,EDATE($D39,Milestones!$AA$58)&lt;PolicyEff),1,Milestones!$AC$58)&amp;";  ","")&amp;IF(AND(EDATE($D39,Milestones!$AA$59)&lt;=AsOfDate,EDATE($D39,Milestones!$AA$59)&gt;=SchemeStart,IF($X39=0,$AD39,IF(AND($Z39&lt;&gt;"",EDATE($D39,Milestones!$AA$59)&gt;=$Z39),$AC39,IF(AND($Y39&lt;&gt;"",EDATE($D39,Milestones!$AA$59)&gt;=$Y39),$AB39,$AA39)))=Milestones!$AB$59),UPPER(TEXT(EDATE($D39,Milestones!$AA$59),"dd mmm yy"))&amp;" "&amp;Milestones!$AB$59&amp;" "&amp;IF(AND(Milestones!$AB$59="FT",Milestones!$AA$59=FT_Y5,EDATE($D39,Milestones!$AA$59)&lt;PolicyEff),1,Milestones!$AC$59)&amp;";  ","")&amp;IF(AND(EDATE($D39,Milestones!$AA$60)&lt;=AsOfDate,EDATE($D39,Milestones!$AA$60)&gt;=SchemeStart,IF($X39=0,$AD39,IF(AND($Z39&lt;&gt;"",EDATE($D39,Milestones!$AA$60)&gt;=$Z39),$AC39,IF(AND($Y39&lt;&gt;"",EDATE($D39,Milestones!$AA$60)&gt;=$Y39),$AB39,$AA39)))=Milestones!$AB$60),UPPER(TEXT(EDATE($D39,Milestones!$AA$60),"dd mmm yy"))&amp;" "&amp;Milestones!$AB$60&amp;" "&amp;IF(AND(Milestones!$AB$60="FT",Milestones!$AA$60=FT_Y5,EDATE($D39,Milestones!$AA$60)&lt;PolicyEff),1,Milestones!$AC$60)&amp;";  ","")&amp;IF(AND(EDATE($D39,Milestones!$AA$61)&lt;=AsOfDate,EDATE($D39,Milestones!$AA$61)&gt;=SchemeStart,IF($X39=0,$AD39,IF(AND($Z39&lt;&gt;"",EDATE($D39,Milestones!$AA$61)&gt;=$Z39),$AC39,IF(AND($Y39&lt;&gt;"",EDATE($D39,Milestones!$AA$61)&gt;=$Y39),$AB39,$AA39)))=Milestones!$AB$61),UPPER(TEXT(EDATE($D39,Milestones!$AA$61),"dd mmm yy"))&amp;" "&amp;Milestones!$AB$61&amp;" "&amp;IF(AND(Milestones!$AB$61="FT",Milestones!$AA$61=FT_Y5,EDATE($D39,Milestones!$AA$61)&lt;PolicyEff),1,Milestones!$AC$61)&amp;";  ","")&amp;IF(AND(EDATE($D39,Milestones!$AA$62)&lt;=AsOfDate,EDATE($D39,Milestones!$AA$62)&gt;=SchemeStart,IF($X39=0,$AD39,IF(AND($Z39&lt;&gt;"",EDATE($D39,Milestones!$AA$62)&gt;=$Z39),$AC39,IF(AND($Y39&lt;&gt;"",EDATE($D39,Milestones!$AA$62)&gt;=$Y39),$AB39,$AA39)))=Milestones!$AB$62),UPPER(TEXT(EDATE($D39,Milestones!$AA$62),"dd mmm yy"))&amp;" "&amp;Milestones!$AB$62&amp;" "&amp;IF(AND(Milestones!$AB$62="FT",Milestones!$AA$62=FT_Y5,EDATE($D39,Milestones!$AA$62)&lt;PolicyEff),1,Milestones!$AC$62)&amp;";  ","")&amp;IF(AND(EDATE($D39,Milestones!$AA$63)&lt;=AsOfDate,EDATE($D39,Milestones!$AA$63)&gt;=SchemeStart,IF($X39=0,$AD39,IF(AND($Z39&lt;&gt;"",EDATE($D39,Milestones!$AA$63)&gt;=$Z39),$AC39,IF(AND($Y39&lt;&gt;"",EDATE($D39,Milestones!$AA$63)&gt;=$Y39),$AB39,$AA39)))=Milestones!$AB$63),UPPER(TEXT(EDATE($D39,Milestones!$AA$63),"dd mmm yy"))&amp;" "&amp;Milestones!$AB$63&amp;" "&amp;IF(AND(Milestones!$AB$63="FT",Milestones!$AA$63=FT_Y5,EDATE($D39,Milestones!$AA$63)&lt;PolicyEff),1,Milestones!$AC$63)&amp;";  ","")&amp;IF(AND(EDATE($D39,Milestones!$AA$64)&lt;=AsOfDate,EDATE($D39,Milestones!$AA$64)&gt;=SchemeStart,IF($X39=0,$AD39,IF(AND($Z39&lt;&gt;"",EDATE($D39,Milestones!$AA$64)&gt;=$Z39),$AC39,IF(AND($Y39&lt;&gt;"",EDATE($D39,Milestones!$AA$64)&gt;=$Y39),$AB39,$AA39)))=Milestones!$AB$64),UPPER(TEXT(EDATE($D39,Milestones!$AA$64),"dd mmm yy"))&amp;" "&amp;Milestones!$AB$64&amp;" "&amp;IF(AND(Milestones!$AB$64="FT",Milestones!$AA$64=FT_Y5,EDATE($D39,Milestones!$AA$64)&lt;PolicyEff),1,Milestones!$AC$64)&amp;";  ","")&amp;IF(AND(EDATE($D39,Milestones!$AA$65)&lt;=AsOfDate,EDATE($D39,Milestones!$AA$65)&gt;=SchemeStart,IF($X39=0,$AD39,IF(AND($Z39&lt;&gt;"",EDATE($D39,Milestones!$AA$65)&gt;=$Z39),$AC39,IF(AND($Y39&lt;&gt;"",EDATE($D39,Milestones!$AA$65)&gt;=$Y39),$AB39,$AA39)))=Milestones!$AB$65),UPPER(TEXT(EDATE($D39,Milestones!$AA$65),"dd mmm yy"))&amp;" "&amp;Milestones!$AB$65&amp;" "&amp;IF(AND(Milestones!$AB$65="FT",Milestones!$AA$65=FT_Y5,EDATE($D39,Milestones!$AA$65)&lt;PolicyEff),1,Milestones!$AC$65)&amp;";  ","")&amp;IF(AND(EDATE($D39,Milestones!$AA$66)&lt;=AsOfDate,EDATE($D39,Milestones!$AA$66)&gt;=SchemeStart,IF($X39=0,$AD39,IF(AND($Z39&lt;&gt;"",EDATE($D39,Milestones!$AA$66)&gt;=$Z39),$AC39,IF(AND($Y39&lt;&gt;"",EDATE($D39,Milestones!$AA$66)&gt;=$Y39),$AB39,$AA39)))=Milestones!$AB$66),UPPER(TEXT(EDATE($D39,Milestones!$AA$66),"dd mmm yy"))&amp;" "&amp;Milestones!$AB$66&amp;" "&amp;IF(AND(Milestones!$AB$66="FT",Milestones!$AA$66=FT_Y5,EDATE($D39,Milestones!$AA$66)&lt;PolicyEff),1,Milestones!$AC$66)&amp;";  ","")&amp;IF(AND(EDATE($D39,Milestones!$AA$67)&lt;=AsOfDate,EDATE($D39,Milestones!$AA$67)&gt;=SchemeStart,IF($X39=0,$AD39,IF(AND($Z39&lt;&gt;"",EDATE($D39,Milestones!$AA$67)&gt;=$Z39),$AC39,IF(AND($Y39&lt;&gt;"",EDATE($D39,Milestones!$AA$67)&gt;=$Y39),$AB39,$AA39)))=Milestones!$AB$67),UPPER(TEXT(EDATE($D39,Milestones!$AA$67),"dd mmm yy"))&amp;" "&amp;Milestones!$AB$67&amp;" "&amp;IF(AND(Milestones!$AB$67="FT",Milestones!$AA$67=FT_Y5,EDATE($D39,Milestones!$AA$67)&lt;PolicyEff),1,Milestones!$AC$67)&amp;";  ",""))</f>
        <v/>
      </c>
      <c r="M39" s="0" t="str">
        <f aca="false">IF(OR($A39="",$D39=""),"",IF(AND(EDATE($D39,Milestones!$AA$68)&lt;=AsOfDate,EDATE($D39,Milestones!$AA$68)&gt;=SchemeStart,IF($X39=0,$AD39,IF(AND($Z39&lt;&gt;"",EDATE($D39,Milestones!$AA$68)&gt;=$Z39),$AC39,IF(AND($Y39&lt;&gt;"",EDATE($D39,Milestones!$AA$68)&gt;=$Y39),$AB39,$AA39)))=Milestones!$AB$68),UPPER(TEXT(EDATE($D39,Milestones!$AA$68),"dd mmm yy"))&amp;" "&amp;Milestones!$AB$68&amp;" "&amp;IF(AND(Milestones!$AB$68="FT",Milestones!$AA$68=FT_Y5,EDATE($D39,Milestones!$AA$68)&lt;PolicyEff),1,Milestones!$AC$68)&amp;";  ","")&amp;IF(AND(EDATE($D39,Milestones!$AA$69)&lt;=AsOfDate,EDATE($D39,Milestones!$AA$69)&gt;=SchemeStart,IF($X39=0,$AD39,IF(AND($Z39&lt;&gt;"",EDATE($D39,Milestones!$AA$69)&gt;=$Z39),$AC39,IF(AND($Y39&lt;&gt;"",EDATE($D39,Milestones!$AA$69)&gt;=$Y39),$AB39,$AA39)))=Milestones!$AB$69),UPPER(TEXT(EDATE($D39,Milestones!$AA$69),"dd mmm yy"))&amp;" "&amp;Milestones!$AB$69&amp;" "&amp;IF(AND(Milestones!$AB$69="FT",Milestones!$AA$69=FT_Y5,EDATE($D39,Milestones!$AA$69)&lt;PolicyEff),1,Milestones!$AC$69)&amp;";  ","")&amp;IF(AND(EDATE($D39,Milestones!$AA$70)&lt;=AsOfDate,EDATE($D39,Milestones!$AA$70)&gt;=SchemeStart,IF($X39=0,$AD39,IF(AND($Z39&lt;&gt;"",EDATE($D39,Milestones!$AA$70)&gt;=$Z39),$AC39,IF(AND($Y39&lt;&gt;"",EDATE($D39,Milestones!$AA$70)&gt;=$Y39),$AB39,$AA39)))=Milestones!$AB$70),UPPER(TEXT(EDATE($D39,Milestones!$AA$70),"dd mmm yy"))&amp;" "&amp;Milestones!$AB$70&amp;" "&amp;IF(AND(Milestones!$AB$70="FT",Milestones!$AA$70=FT_Y5,EDATE($D39,Milestones!$AA$70)&lt;PolicyEff),1,Milestones!$AC$70)&amp;";  ","")&amp;IF(AND(EDATE($D39,Milestones!$AA$71)&lt;=AsOfDate,EDATE($D39,Milestones!$AA$71)&gt;=SchemeStart,IF($X39=0,$AD39,IF(AND($Z39&lt;&gt;"",EDATE($D39,Milestones!$AA$71)&gt;=$Z39),$AC39,IF(AND($Y39&lt;&gt;"",EDATE($D39,Milestones!$AA$71)&gt;=$Y39),$AB39,$AA39)))=Milestones!$AB$71),UPPER(TEXT(EDATE($D39,Milestones!$AA$71),"dd mmm yy"))&amp;" "&amp;Milestones!$AB$71&amp;" "&amp;IF(AND(Milestones!$AB$71="FT",Milestones!$AA$71=FT_Y5,EDATE($D39,Milestones!$AA$71)&lt;PolicyEff),1,Milestones!$AC$71)&amp;";  ","")&amp;IF(AND(EDATE($D39,Milestones!$AA$72)&lt;=AsOfDate,EDATE($D39,Milestones!$AA$72)&gt;=SchemeStart,IF($X39=0,$AD39,IF(AND($Z39&lt;&gt;"",EDATE($D39,Milestones!$AA$72)&gt;=$Z39),$AC39,IF(AND($Y39&lt;&gt;"",EDATE($D39,Milestones!$AA$72)&gt;=$Y39),$AB39,$AA39)))=Milestones!$AB$72),UPPER(TEXT(EDATE($D39,Milestones!$AA$72),"dd mmm yy"))&amp;" "&amp;Milestones!$AB$72&amp;" "&amp;IF(AND(Milestones!$AB$72="FT",Milestones!$AA$72=FT_Y5,EDATE($D39,Milestones!$AA$72)&lt;PolicyEff),1,Milestones!$AC$72)&amp;";  ","")&amp;IF(AND(EDATE($D39,Milestones!$AA$73)&lt;=AsOfDate,EDATE($D39,Milestones!$AA$73)&gt;=SchemeStart,IF($X39=0,$AD39,IF(AND($Z39&lt;&gt;"",EDATE($D39,Milestones!$AA$73)&gt;=$Z39),$AC39,IF(AND($Y39&lt;&gt;"",EDATE($D39,Milestones!$AA$73)&gt;=$Y39),$AB39,$AA39)))=Milestones!$AB$73),UPPER(TEXT(EDATE($D39,Milestones!$AA$73),"dd mmm yy"))&amp;" "&amp;Milestones!$AB$73&amp;" "&amp;IF(AND(Milestones!$AB$73="FT",Milestones!$AA$73=FT_Y5,EDATE($D39,Milestones!$AA$73)&lt;PolicyEff),1,Milestones!$AC$73)&amp;";  ","")&amp;IF(AND(EDATE($D39,Milestones!$AA$74)&lt;=AsOfDate,EDATE($D39,Milestones!$AA$74)&gt;=SchemeStart,IF($X39=0,$AD39,IF(AND($Z39&lt;&gt;"",EDATE($D39,Milestones!$AA$74)&gt;=$Z39),$AC39,IF(AND($Y39&lt;&gt;"",EDATE($D39,Milestones!$AA$74)&gt;=$Y39),$AB39,$AA39)))=Milestones!$AB$74),UPPER(TEXT(EDATE($D39,Milestones!$AA$74),"dd mmm yy"))&amp;" "&amp;Milestones!$AB$74&amp;" "&amp;IF(AND(Milestones!$AB$74="FT",Milestones!$AA$74=FT_Y5,EDATE($D39,Milestones!$AA$74)&lt;PolicyEff),1,Milestones!$AC$74)&amp;";  ","")&amp;IF(AND(EDATE($D39,Milestones!$AA$75)&lt;=AsOfDate,EDATE($D39,Milestones!$AA$75)&gt;=SchemeStart,IF($X39=0,$AD39,IF(AND($Z39&lt;&gt;"",EDATE($D39,Milestones!$AA$75)&gt;=$Z39),$AC39,IF(AND($Y39&lt;&gt;"",EDATE($D39,Milestones!$AA$75)&gt;=$Y39),$AB39,$AA39)))=Milestones!$AB$75),UPPER(TEXT(EDATE($D39,Milestones!$AA$75),"dd mmm yy"))&amp;" "&amp;Milestones!$AB$75&amp;" "&amp;IF(AND(Milestones!$AB$75="FT",Milestones!$AA$75=FT_Y5,EDATE($D39,Milestones!$AA$75)&lt;PolicyEff),1,Milestones!$AC$75)&amp;";  ","")&amp;IF(AND(EDATE($D39,Milestones!$AA$76)&lt;=AsOfDate,EDATE($D39,Milestones!$AA$76)&gt;=SchemeStart,IF($X39=0,$AD39,IF(AND($Z39&lt;&gt;"",EDATE($D39,Milestones!$AA$76)&gt;=$Z39),$AC39,IF(AND($Y39&lt;&gt;"",EDATE($D39,Milestones!$AA$76)&gt;=$Y39),$AB39,$AA39)))=Milestones!$AB$76),UPPER(TEXT(EDATE($D39,Milestones!$AA$76),"dd mmm yy"))&amp;" "&amp;Milestones!$AB$76&amp;" "&amp;IF(AND(Milestones!$AB$76="FT",Milestones!$AA$76=FT_Y5,EDATE($D39,Milestones!$AA$76)&lt;PolicyEff),1,Milestones!$AC$76)&amp;";  ","")&amp;IF(AND(EDATE($D39,Milestones!$AA$77)&lt;=AsOfDate,EDATE($D39,Milestones!$AA$77)&gt;=SchemeStart,IF($X39=0,$AD39,IF(AND($Z39&lt;&gt;"",EDATE($D39,Milestones!$AA$77)&gt;=$Z39),$AC39,IF(AND($Y39&lt;&gt;"",EDATE($D39,Milestones!$AA$77)&gt;=$Y39),$AB39,$AA39)))=Milestones!$AB$77),UPPER(TEXT(EDATE($D39,Milestones!$AA$77),"dd mmm yy"))&amp;" "&amp;Milestones!$AB$77&amp;" "&amp;IF(AND(Milestones!$AB$77="FT",Milestones!$AA$77=FT_Y5,EDATE($D39,Milestones!$AA$77)&lt;PolicyEff),1,Milestones!$AC$77)&amp;";  ","")&amp;IF(AND(EDATE($D39,Milestones!$AA$78)&lt;=AsOfDate,EDATE($D39,Milestones!$AA$78)&gt;=SchemeStart,IF($X39=0,$AD39,IF(AND($Z39&lt;&gt;"",EDATE($D39,Milestones!$AA$78)&gt;=$Z39),$AC39,IF(AND($Y39&lt;&gt;"",EDATE($D39,Milestones!$AA$78)&gt;=$Y39),$AB39,$AA39)))=Milestones!$AB$78),UPPER(TEXT(EDATE($D39,Milestones!$AA$78),"dd mmm yy"))&amp;" "&amp;Milestones!$AB$78&amp;" "&amp;IF(AND(Milestones!$AB$78="FT",Milestones!$AA$78=FT_Y5,EDATE($D39,Milestones!$AA$78)&lt;PolicyEff),1,Milestones!$AC$78)&amp;";  ","")&amp;IF(AND(EDATE($D39,Milestones!$AA$79)&lt;=AsOfDate,EDATE($D39,Milestones!$AA$79)&gt;=SchemeStart,IF($X39=0,$AD39,IF(AND($Z39&lt;&gt;"",EDATE($D39,Milestones!$AA$79)&gt;=$Z39),$AC39,IF(AND($Y39&lt;&gt;"",EDATE($D39,Milestones!$AA$79)&gt;=$Y39),$AB39,$AA39)))=Milestones!$AB$79),UPPER(TEXT(EDATE($D39,Milestones!$AA$79),"dd mmm yy"))&amp;" "&amp;Milestones!$AB$79&amp;" "&amp;IF(AND(Milestones!$AB$79="FT",Milestones!$AA$79=FT_Y5,EDATE($D39,Milestones!$AA$79)&lt;PolicyEff),1,Milestones!$AC$79)&amp;";  ",""))</f>
        <v/>
      </c>
      <c r="N39" s="0" t="str">
        <f aca="false">IF(OR($A39="",$D39=""),"",IF(AND(EDATE($D39,Milestones!$AA$80)&lt;=AsOfDate,EDATE($D39,Milestones!$AA$80)&gt;=SchemeStart,IF($X39=0,$AD39,IF(AND($Z39&lt;&gt;"",EDATE($D39,Milestones!$AA$80)&gt;=$Z39),$AC39,IF(AND($Y39&lt;&gt;"",EDATE($D39,Milestones!$AA$80)&gt;=$Y39),$AB39,$AA39)))=Milestones!$AB$80),UPPER(TEXT(EDATE($D39,Milestones!$AA$80),"dd mmm yy"))&amp;" "&amp;Milestones!$AB$80&amp;" "&amp;IF(AND(Milestones!$AB$80="FT",Milestones!$AA$80=FT_Y5,EDATE($D39,Milestones!$AA$80)&lt;PolicyEff),1,Milestones!$AC$80)&amp;";  ","")&amp;IF(AND(EDATE($D39,Milestones!$AA$81)&lt;=AsOfDate,EDATE($D39,Milestones!$AA$81)&gt;=SchemeStart,IF($X39=0,$AD39,IF(AND($Z39&lt;&gt;"",EDATE($D39,Milestones!$AA$81)&gt;=$Z39),$AC39,IF(AND($Y39&lt;&gt;"",EDATE($D39,Milestones!$AA$81)&gt;=$Y39),$AB39,$AA39)))=Milestones!$AB$81),UPPER(TEXT(EDATE($D39,Milestones!$AA$81),"dd mmm yy"))&amp;" "&amp;Milestones!$AB$81&amp;" "&amp;IF(AND(Milestones!$AB$81="FT",Milestones!$AA$81=FT_Y5,EDATE($D39,Milestones!$AA$81)&lt;PolicyEff),1,Milestones!$AC$81)&amp;";  ","")&amp;IF(AND(EDATE($D39,Milestones!$AA$82)&lt;=AsOfDate,EDATE($D39,Milestones!$AA$82)&gt;=SchemeStart,IF($X39=0,$AD39,IF(AND($Z39&lt;&gt;"",EDATE($D39,Milestones!$AA$82)&gt;=$Z39),$AC39,IF(AND($Y39&lt;&gt;"",EDATE($D39,Milestones!$AA$82)&gt;=$Y39),$AB39,$AA39)))=Milestones!$AB$82),UPPER(TEXT(EDATE($D39,Milestones!$AA$82),"dd mmm yy"))&amp;" "&amp;Milestones!$AB$82&amp;" "&amp;IF(AND(Milestones!$AB$82="FT",Milestones!$AA$82=FT_Y5,EDATE($D39,Milestones!$AA$82)&lt;PolicyEff),1,Milestones!$AC$82)&amp;";  ","")&amp;IF(AND(EDATE($D39,Milestones!$AA$83)&lt;=AsOfDate,EDATE($D39,Milestones!$AA$83)&gt;=SchemeStart,IF($X39=0,$AD39,IF(AND($Z39&lt;&gt;"",EDATE($D39,Milestones!$AA$83)&gt;=$Z39),$AC39,IF(AND($Y39&lt;&gt;"",EDATE($D39,Milestones!$AA$83)&gt;=$Y39),$AB39,$AA39)))=Milestones!$AB$83),UPPER(TEXT(EDATE($D39,Milestones!$AA$83),"dd mmm yy"))&amp;" "&amp;Milestones!$AB$83&amp;" "&amp;IF(AND(Milestones!$AB$83="FT",Milestones!$AA$83=FT_Y5,EDATE($D39,Milestones!$AA$83)&lt;PolicyEff),1,Milestones!$AC$83)&amp;";  ","")&amp;IF(AND(EDATE($D39,Milestones!$AA$84)&lt;=AsOfDate,EDATE($D39,Milestones!$AA$84)&gt;=SchemeStart,IF($X39=0,$AD39,IF(AND($Z39&lt;&gt;"",EDATE($D39,Milestones!$AA$84)&gt;=$Z39),$AC39,IF(AND($Y39&lt;&gt;"",EDATE($D39,Milestones!$AA$84)&gt;=$Y39),$AB39,$AA39)))=Milestones!$AB$84),UPPER(TEXT(EDATE($D39,Milestones!$AA$84),"dd mmm yy"))&amp;" "&amp;Milestones!$AB$84&amp;" "&amp;IF(AND(Milestones!$AB$84="FT",Milestones!$AA$84=FT_Y5,EDATE($D39,Milestones!$AA$84)&lt;PolicyEff),1,Milestones!$AC$84)&amp;";  ","")&amp;IF(AND(EDATE($D39,Milestones!$AA$85)&lt;=AsOfDate,EDATE($D39,Milestones!$AA$85)&gt;=SchemeStart,IF($X39=0,$AD39,IF(AND($Z39&lt;&gt;"",EDATE($D39,Milestones!$AA$85)&gt;=$Z39),$AC39,IF(AND($Y39&lt;&gt;"",EDATE($D39,Milestones!$AA$85)&gt;=$Y39),$AB39,$AA39)))=Milestones!$AB$85),UPPER(TEXT(EDATE($D39,Milestones!$AA$85),"dd mmm yy"))&amp;" "&amp;Milestones!$AB$85&amp;" "&amp;IF(AND(Milestones!$AB$85="FT",Milestones!$AA$85=FT_Y5,EDATE($D39,Milestones!$AA$85)&lt;PolicyEff),1,Milestones!$AC$85)&amp;";  ","")&amp;IF(AND(EDATE($D39,Milestones!$AA$86)&lt;=AsOfDate,EDATE($D39,Milestones!$AA$86)&gt;=SchemeStart,IF($X39=0,$AD39,IF(AND($Z39&lt;&gt;"",EDATE($D39,Milestones!$AA$86)&gt;=$Z39),$AC39,IF(AND($Y39&lt;&gt;"",EDATE($D39,Milestones!$AA$86)&gt;=$Y39),$AB39,$AA39)))=Milestones!$AB$86),UPPER(TEXT(EDATE($D39,Milestones!$AA$86),"dd mmm yy"))&amp;" "&amp;Milestones!$AB$86&amp;" "&amp;IF(AND(Milestones!$AB$86="FT",Milestones!$AA$86=FT_Y5,EDATE($D39,Milestones!$AA$86)&lt;PolicyEff),1,Milestones!$AC$86)&amp;";  ","")&amp;IF(AND(EDATE($D39,Milestones!$AA$87)&lt;=AsOfDate,EDATE($D39,Milestones!$AA$87)&gt;=SchemeStart,IF($X39=0,$AD39,IF(AND($Z39&lt;&gt;"",EDATE($D39,Milestones!$AA$87)&gt;=$Z39),$AC39,IF(AND($Y39&lt;&gt;"",EDATE($D39,Milestones!$AA$87)&gt;=$Y39),$AB39,$AA39)))=Milestones!$AB$87),UPPER(TEXT(EDATE($D39,Milestones!$AA$87),"dd mmm yy"))&amp;" "&amp;Milestones!$AB$87&amp;" "&amp;IF(AND(Milestones!$AB$87="FT",Milestones!$AA$87=FT_Y5,EDATE($D39,Milestones!$AA$87)&lt;PolicyEff),1,Milestones!$AC$87)&amp;";  ","")&amp;IF(AND(EDATE($D39,Milestones!$AA$88)&lt;=AsOfDate,EDATE($D39,Milestones!$AA$88)&gt;=SchemeStart,IF($X39=0,$AD39,IF(AND($Z39&lt;&gt;"",EDATE($D39,Milestones!$AA$88)&gt;=$Z39),$AC39,IF(AND($Y39&lt;&gt;"",EDATE($D39,Milestones!$AA$88)&gt;=$Y39),$AB39,$AA39)))=Milestones!$AB$88),UPPER(TEXT(EDATE($D39,Milestones!$AA$88),"dd mmm yy"))&amp;" "&amp;Milestones!$AB$88&amp;" "&amp;IF(AND(Milestones!$AB$88="FT",Milestones!$AA$88=FT_Y5,EDATE($D39,Milestones!$AA$88)&lt;PolicyEff),1,Milestones!$AC$88)&amp;";  ","")&amp;IF(AND(EDATE($D39,Milestones!$AA$89)&lt;=AsOfDate,EDATE($D39,Milestones!$AA$89)&gt;=SchemeStart,IF($X39=0,$AD39,IF(AND($Z39&lt;&gt;"",EDATE($D39,Milestones!$AA$89)&gt;=$Z39),$AC39,IF(AND($Y39&lt;&gt;"",EDATE($D39,Milestones!$AA$89)&gt;=$Y39),$AB39,$AA39)))=Milestones!$AB$89),UPPER(TEXT(EDATE($D39,Milestones!$AA$89),"dd mmm yy"))&amp;" "&amp;Milestones!$AB$89&amp;" "&amp;IF(AND(Milestones!$AB$89="FT",Milestones!$AA$89=FT_Y5,EDATE($D39,Milestones!$AA$89)&lt;PolicyEff),1,Milestones!$AC$89)&amp;";  ","")&amp;IF(AND(EDATE($D39,Milestones!$AA$90)&lt;=AsOfDate,EDATE($D39,Milestones!$AA$90)&gt;=SchemeStart,IF($X39=0,$AD39,IF(AND($Z39&lt;&gt;"",EDATE($D39,Milestones!$AA$90)&gt;=$Z39),$AC39,IF(AND($Y39&lt;&gt;"",EDATE($D39,Milestones!$AA$90)&gt;=$Y39),$AB39,$AA39)))=Milestones!$AB$90),UPPER(TEXT(EDATE($D39,Milestones!$AA$90),"dd mmm yy"))&amp;" "&amp;Milestones!$AB$90&amp;" "&amp;IF(AND(Milestones!$AB$90="FT",Milestones!$AA$90=FT_Y5,EDATE($D39,Milestones!$AA$90)&lt;PolicyEff),1,Milestones!$AC$90)&amp;";  ","")&amp;IF(AND(EDATE($D39,Milestones!$AA$91)&lt;=AsOfDate,EDATE($D39,Milestones!$AA$91)&gt;=SchemeStart,IF($X39=0,$AD39,IF(AND($Z39&lt;&gt;"",EDATE($D39,Milestones!$AA$91)&gt;=$Z39),$AC39,IF(AND($Y39&lt;&gt;"",EDATE($D39,Milestones!$AA$91)&gt;=$Y39),$AB39,$AA39)))=Milestones!$AB$91),UPPER(TEXT(EDATE($D39,Milestones!$AA$91),"dd mmm yy"))&amp;" "&amp;Milestones!$AB$91&amp;" "&amp;IF(AND(Milestones!$AB$91="FT",Milestones!$AA$91=FT_Y5,EDATE($D39,Milestones!$AA$91)&lt;PolicyEff),1,Milestones!$AC$91)&amp;";  ",""))</f>
        <v/>
      </c>
      <c r="O39" s="0" t="str">
        <f aca="false">IF(OR($A39="",$D39=""),"",IF(AND(EDATE($D39,Milestones!$AA$92)&lt;=AsOfDate,EDATE($D39,Milestones!$AA$92)&gt;=SchemeStart,IF($X39=0,$AD39,IF(AND($Z39&lt;&gt;"",EDATE($D39,Milestones!$AA$92)&gt;=$Z39),$AC39,IF(AND($Y39&lt;&gt;"",EDATE($D39,Milestones!$AA$92)&gt;=$Y39),$AB39,$AA39)))=Milestones!$AB$92),UPPER(TEXT(EDATE($D39,Milestones!$AA$92),"dd mmm yy"))&amp;" "&amp;Milestones!$AB$92&amp;" "&amp;IF(AND(Milestones!$AB$92="FT",Milestones!$AA$92=FT_Y5,EDATE($D39,Milestones!$AA$92)&lt;PolicyEff),1,Milestones!$AC$92)&amp;";  ","")&amp;IF(AND(EDATE($D39,Milestones!$AA$93)&lt;=AsOfDate,EDATE($D39,Milestones!$AA$93)&gt;=SchemeStart,IF($X39=0,$AD39,IF(AND($Z39&lt;&gt;"",EDATE($D39,Milestones!$AA$93)&gt;=$Z39),$AC39,IF(AND($Y39&lt;&gt;"",EDATE($D39,Milestones!$AA$93)&gt;=$Y39),$AB39,$AA39)))=Milestones!$AB$93),UPPER(TEXT(EDATE($D39,Milestones!$AA$93),"dd mmm yy"))&amp;" "&amp;Milestones!$AB$93&amp;" "&amp;IF(AND(Milestones!$AB$93="FT",Milestones!$AA$93=FT_Y5,EDATE($D39,Milestones!$AA$93)&lt;PolicyEff),1,Milestones!$AC$93)&amp;";  ","")&amp;IF(AND(EDATE($D39,Milestones!$AA$94)&lt;=AsOfDate,EDATE($D39,Milestones!$AA$94)&gt;=SchemeStart,IF($X39=0,$AD39,IF(AND($Z39&lt;&gt;"",EDATE($D39,Milestones!$AA$94)&gt;=$Z39),$AC39,IF(AND($Y39&lt;&gt;"",EDATE($D39,Milestones!$AA$94)&gt;=$Y39),$AB39,$AA39)))=Milestones!$AB$94),UPPER(TEXT(EDATE($D39,Milestones!$AA$94),"dd mmm yy"))&amp;" "&amp;Milestones!$AB$94&amp;" "&amp;IF(AND(Milestones!$AB$94="FT",Milestones!$AA$94=FT_Y5,EDATE($D39,Milestones!$AA$94)&lt;PolicyEff),1,Milestones!$AC$94)&amp;";  ","")&amp;IF(AND(EDATE($D39,Milestones!$AA$95)&lt;=AsOfDate,EDATE($D39,Milestones!$AA$95)&gt;=SchemeStart,IF($X39=0,$AD39,IF(AND($Z39&lt;&gt;"",EDATE($D39,Milestones!$AA$95)&gt;=$Z39),$AC39,IF(AND($Y39&lt;&gt;"",EDATE($D39,Milestones!$AA$95)&gt;=$Y39),$AB39,$AA39)))=Milestones!$AB$95),UPPER(TEXT(EDATE($D39,Milestones!$AA$95),"dd mmm yy"))&amp;" "&amp;Milestones!$AB$95&amp;" "&amp;IF(AND(Milestones!$AB$95="FT",Milestones!$AA$95=FT_Y5,EDATE($D39,Milestones!$AA$95)&lt;PolicyEff),1,Milestones!$AC$95)&amp;";  ","")&amp;IF(AND(EDATE($D39,Milestones!$AA$96)&lt;=AsOfDate,EDATE($D39,Milestones!$AA$96)&gt;=SchemeStart,IF($X39=0,$AD39,IF(AND($Z39&lt;&gt;"",EDATE($D39,Milestones!$AA$96)&gt;=$Z39),$AC39,IF(AND($Y39&lt;&gt;"",EDATE($D39,Milestones!$AA$96)&gt;=$Y39),$AB39,$AA39)))=Milestones!$AB$96),UPPER(TEXT(EDATE($D39,Milestones!$AA$96),"dd mmm yy"))&amp;" "&amp;Milestones!$AB$96&amp;" "&amp;IF(AND(Milestones!$AB$96="FT",Milestones!$AA$96=FT_Y5,EDATE($D39,Milestones!$AA$96)&lt;PolicyEff),1,Milestones!$AC$96)&amp;";  ","")&amp;IF(AND(EDATE($D39,Milestones!$AA$97)&lt;=AsOfDate,EDATE($D39,Milestones!$AA$97)&gt;=SchemeStart,IF($X39=0,$AD39,IF(AND($Z39&lt;&gt;"",EDATE($D39,Milestones!$AA$97)&gt;=$Z39),$AC39,IF(AND($Y39&lt;&gt;"",EDATE($D39,Milestones!$AA$97)&gt;=$Y39),$AB39,$AA39)))=Milestones!$AB$97),UPPER(TEXT(EDATE($D39,Milestones!$AA$97),"dd mmm yy"))&amp;" "&amp;Milestones!$AB$97&amp;" "&amp;IF(AND(Milestones!$AB$97="FT",Milestones!$AA$97=FT_Y5,EDATE($D39,Milestones!$AA$97)&lt;PolicyEff),1,Milestones!$AC$97)&amp;";  ","")&amp;IF(AND(EDATE($D39,Milestones!$AA$98)&lt;=AsOfDate,EDATE($D39,Milestones!$AA$98)&gt;=SchemeStart,IF($X39=0,$AD39,IF(AND($Z39&lt;&gt;"",EDATE($D39,Milestones!$AA$98)&gt;=$Z39),$AC39,IF(AND($Y39&lt;&gt;"",EDATE($D39,Milestones!$AA$98)&gt;=$Y39),$AB39,$AA39)))=Milestones!$AB$98),UPPER(TEXT(EDATE($D39,Milestones!$AA$98),"dd mmm yy"))&amp;" "&amp;Milestones!$AB$98&amp;" "&amp;IF(AND(Milestones!$AB$98="FT",Milestones!$AA$98=FT_Y5,EDATE($D39,Milestones!$AA$98)&lt;PolicyEff),1,Milestones!$AC$98)&amp;";  ","")&amp;IF(AND(EDATE($D39,Milestones!$AA$99)&lt;=AsOfDate,EDATE($D39,Milestones!$AA$99)&gt;=SchemeStart,IF($X39=0,$AD39,IF(AND($Z39&lt;&gt;"",EDATE($D39,Milestones!$AA$99)&gt;=$Z39),$AC39,IF(AND($Y39&lt;&gt;"",EDATE($D39,Milestones!$AA$99)&gt;=$Y39),$AB39,$AA39)))=Milestones!$AB$99),UPPER(TEXT(EDATE($D39,Milestones!$AA$99),"dd mmm yy"))&amp;" "&amp;Milestones!$AB$99&amp;" "&amp;IF(AND(Milestones!$AB$99="FT",Milestones!$AA$99=FT_Y5,EDATE($D39,Milestones!$AA$99)&lt;PolicyEff),1,Milestones!$AC$99)&amp;";  ","")&amp;IF(AND(EDATE($D39,Milestones!$AA$100)&lt;=AsOfDate,EDATE($D39,Milestones!$AA$100)&gt;=SchemeStart,IF($X39=0,$AD39,IF(AND($Z39&lt;&gt;"",EDATE($D39,Milestones!$AA$100)&gt;=$Z39),$AC39,IF(AND($Y39&lt;&gt;"",EDATE($D39,Milestones!$AA$100)&gt;=$Y39),$AB39,$AA39)))=Milestones!$AB$100),UPPER(TEXT(EDATE($D39,Milestones!$AA$100),"dd mmm yy"))&amp;" "&amp;Milestones!$AB$100&amp;" "&amp;IF(AND(Milestones!$AB$100="FT",Milestones!$AA$100=FT_Y5,EDATE($D39,Milestones!$AA$100)&lt;PolicyEff),1,Milestones!$AC$100)&amp;";  ","")&amp;IF(AND(EDATE($D39,Milestones!$AA$101)&lt;=AsOfDate,EDATE($D39,Milestones!$AA$101)&gt;=SchemeStart,IF($X39=0,$AD39,IF(AND($Z39&lt;&gt;"",EDATE($D39,Milestones!$AA$101)&gt;=$Z39),$AC39,IF(AND($Y39&lt;&gt;"",EDATE($D39,Milestones!$AA$101)&gt;=$Y39),$AB39,$AA39)))=Milestones!$AB$101),UPPER(TEXT(EDATE($D39,Milestones!$AA$101),"dd mmm yy"))&amp;" "&amp;Milestones!$AB$101&amp;" "&amp;IF(AND(Milestones!$AB$101="FT",Milestones!$AA$101=FT_Y5,EDATE($D39,Milestones!$AA$101)&lt;PolicyEff),1,Milestones!$AC$101)&amp;";  ","")&amp;IF(AND(EDATE($D39,Milestones!$AA$102)&lt;=AsOfDate,EDATE($D39,Milestones!$AA$102)&gt;=SchemeStart,IF($X39=0,$AD39,IF(AND($Z39&lt;&gt;"",EDATE($D39,Milestones!$AA$102)&gt;=$Z39),$AC39,IF(AND($Y39&lt;&gt;"",EDATE($D39,Milestones!$AA$102)&gt;=$Y39),$AB39,$AA39)))=Milestones!$AB$102),UPPER(TEXT(EDATE($D39,Milestones!$AA$102),"dd mmm yy"))&amp;" "&amp;Milestones!$AB$102&amp;" "&amp;IF(AND(Milestones!$AB$102="FT",Milestones!$AA$102=FT_Y5,EDATE($D39,Milestones!$AA$102)&lt;PolicyEff),1,Milestones!$AC$102)&amp;";  ","")&amp;IF(AND(EDATE($D39,Milestones!$AA$103)&lt;=AsOfDate,EDATE($D39,Milestones!$AA$103)&gt;=SchemeStart,IF($X39=0,$AD39,IF(AND($Z39&lt;&gt;"",EDATE($D39,Milestones!$AA$103)&gt;=$Z39),$AC39,IF(AND($Y39&lt;&gt;"",EDATE($D39,Milestones!$AA$103)&gt;=$Y39),$AB39,$AA39)))=Milestones!$AB$103),UPPER(TEXT(EDATE($D39,Milestones!$AA$103),"dd mmm yy"))&amp;" "&amp;Milestones!$AB$103&amp;" "&amp;IF(AND(Milestones!$AB$103="FT",Milestones!$AA$103=FT_Y5,EDATE($D39,Milestones!$AA$103)&lt;PolicyEff),1,Milestones!$AC$103)&amp;";  ",""))</f>
        <v/>
      </c>
      <c r="P39" s="0" t="str">
        <f aca="false">IF(OR($A39="",$D39=""),"",IF(AND(EDATE($D39,Milestones!$AA$104)&lt;=AsOfDate,EDATE($D39,Milestones!$AA$104)&gt;=SchemeStart,IF($X39=0,$AD39,IF(AND($Z39&lt;&gt;"",EDATE($D39,Milestones!$AA$104)&gt;=$Z39),$AC39,IF(AND($Y39&lt;&gt;"",EDATE($D39,Milestones!$AA$104)&gt;=$Y39),$AB39,$AA39)))=Milestones!$AB$104),UPPER(TEXT(EDATE($D39,Milestones!$AA$104),"dd mmm yy"))&amp;" "&amp;Milestones!$AB$104&amp;" "&amp;IF(AND(Milestones!$AB$104="FT",Milestones!$AA$104=FT_Y5,EDATE($D39,Milestones!$AA$104)&lt;PolicyEff),1,Milestones!$AC$104)&amp;";  ","")&amp;IF(AND(EDATE($D39,Milestones!$AA$105)&lt;=AsOfDate,EDATE($D39,Milestones!$AA$105)&gt;=SchemeStart,IF($X39=0,$AD39,IF(AND($Z39&lt;&gt;"",EDATE($D39,Milestones!$AA$105)&gt;=$Z39),$AC39,IF(AND($Y39&lt;&gt;"",EDATE($D39,Milestones!$AA$105)&gt;=$Y39),$AB39,$AA39)))=Milestones!$AB$105),UPPER(TEXT(EDATE($D39,Milestones!$AA$105),"dd mmm yy"))&amp;" "&amp;Milestones!$AB$105&amp;" "&amp;IF(AND(Milestones!$AB$105="FT",Milestones!$AA$105=FT_Y5,EDATE($D39,Milestones!$AA$105)&lt;PolicyEff),1,Milestones!$AC$105)&amp;";  ","")&amp;IF(AND(EDATE($D39,Milestones!$AA$106)&lt;=AsOfDate,EDATE($D39,Milestones!$AA$106)&gt;=SchemeStart,IF($X39=0,$AD39,IF(AND($Z39&lt;&gt;"",EDATE($D39,Milestones!$AA$106)&gt;=$Z39),$AC39,IF(AND($Y39&lt;&gt;"",EDATE($D39,Milestones!$AA$106)&gt;=$Y39),$AB39,$AA39)))=Milestones!$AB$106),UPPER(TEXT(EDATE($D39,Milestones!$AA$106),"dd mmm yy"))&amp;" "&amp;Milestones!$AB$106&amp;" "&amp;IF(AND(Milestones!$AB$106="FT",Milestones!$AA$106=FT_Y5,EDATE($D39,Milestones!$AA$106)&lt;PolicyEff),1,Milestones!$AC$106)&amp;";  ","")&amp;IF(AND(EDATE($D39,Milestones!$AA$107)&lt;=AsOfDate,EDATE($D39,Milestones!$AA$107)&gt;=SchemeStart,IF($X39=0,$AD39,IF(AND($Z39&lt;&gt;"",EDATE($D39,Milestones!$AA$107)&gt;=$Z39),$AC39,IF(AND($Y39&lt;&gt;"",EDATE($D39,Milestones!$AA$107)&gt;=$Y39),$AB39,$AA39)))=Milestones!$AB$107),UPPER(TEXT(EDATE($D39,Milestones!$AA$107),"dd mmm yy"))&amp;" "&amp;Milestones!$AB$107&amp;" "&amp;IF(AND(Milestones!$AB$107="FT",Milestones!$AA$107=FT_Y5,EDATE($D39,Milestones!$AA$107)&lt;PolicyEff),1,Milestones!$AC$107)&amp;";  ","")&amp;IF(AND(EDATE($D39,Milestones!$AA$108)&lt;=AsOfDate,EDATE($D39,Milestones!$AA$108)&gt;=SchemeStart,IF($X39=0,$AD39,IF(AND($Z39&lt;&gt;"",EDATE($D39,Milestones!$AA$108)&gt;=$Z39),$AC39,IF(AND($Y39&lt;&gt;"",EDATE($D39,Milestones!$AA$108)&gt;=$Y39),$AB39,$AA39)))=Milestones!$AB$108),UPPER(TEXT(EDATE($D39,Milestones!$AA$108),"dd mmm yy"))&amp;" "&amp;Milestones!$AB$108&amp;" "&amp;IF(AND(Milestones!$AB$108="FT",Milestones!$AA$108=FT_Y5,EDATE($D39,Milestones!$AA$108)&lt;PolicyEff),1,Milestones!$AC$108)&amp;";  ","")&amp;IF(AND(EDATE($D39,Milestones!$AA$109)&lt;=AsOfDate,EDATE($D39,Milestones!$AA$109)&gt;=SchemeStart,IF($X39=0,$AD39,IF(AND($Z39&lt;&gt;"",EDATE($D39,Milestones!$AA$109)&gt;=$Z39),$AC39,IF(AND($Y39&lt;&gt;"",EDATE($D39,Milestones!$AA$109)&gt;=$Y39),$AB39,$AA39)))=Milestones!$AB$109),UPPER(TEXT(EDATE($D39,Milestones!$AA$109),"dd mmm yy"))&amp;" "&amp;Milestones!$AB$109&amp;" "&amp;IF(AND(Milestones!$AB$109="FT",Milestones!$AA$109=FT_Y5,EDATE($D39,Milestones!$AA$109)&lt;PolicyEff),1,Milestones!$AC$109)&amp;";  ","")&amp;IF(AND(EDATE($D39,Milestones!$AA$110)&lt;=AsOfDate,EDATE($D39,Milestones!$AA$110)&gt;=SchemeStart,IF($X39=0,$AD39,IF(AND($Z39&lt;&gt;"",EDATE($D39,Milestones!$AA$110)&gt;=$Z39),$AC39,IF(AND($Y39&lt;&gt;"",EDATE($D39,Milestones!$AA$110)&gt;=$Y39),$AB39,$AA39)))=Milestones!$AB$110),UPPER(TEXT(EDATE($D39,Milestones!$AA$110),"dd mmm yy"))&amp;" "&amp;Milestones!$AB$110&amp;" "&amp;IF(AND(Milestones!$AB$110="FT",Milestones!$AA$110=FT_Y5,EDATE($D39,Milestones!$AA$110)&lt;PolicyEff),1,Milestones!$AC$110)&amp;";  ","")&amp;IF(AND(EDATE($D39,Milestones!$AA$111)&lt;=AsOfDate,EDATE($D39,Milestones!$AA$111)&gt;=SchemeStart,IF($X39=0,$AD39,IF(AND($Z39&lt;&gt;"",EDATE($D39,Milestones!$AA$111)&gt;=$Z39),$AC39,IF(AND($Y39&lt;&gt;"",EDATE($D39,Milestones!$AA$111)&gt;=$Y39),$AB39,$AA39)))=Milestones!$AB$111),UPPER(TEXT(EDATE($D39,Milestones!$AA$111),"dd mmm yy"))&amp;" "&amp;Milestones!$AB$111&amp;" "&amp;IF(AND(Milestones!$AB$111="FT",Milestones!$AA$111=FT_Y5,EDATE($D39,Milestones!$AA$111)&lt;PolicyEff),1,Milestones!$AC$111)&amp;";  ","")&amp;IF(AND(EDATE($D39,Milestones!$AA$112)&lt;=AsOfDate,EDATE($D39,Milestones!$AA$112)&gt;=SchemeStart,IF($X39=0,$AD39,IF(AND($Z39&lt;&gt;"",EDATE($D39,Milestones!$AA$112)&gt;=$Z39),$AC39,IF(AND($Y39&lt;&gt;"",EDATE($D39,Milestones!$AA$112)&gt;=$Y39),$AB39,$AA39)))=Milestones!$AB$112),UPPER(TEXT(EDATE($D39,Milestones!$AA$112),"dd mmm yy"))&amp;" "&amp;Milestones!$AB$112&amp;" "&amp;IF(AND(Milestones!$AB$112="FT",Milestones!$AA$112=FT_Y5,EDATE($D39,Milestones!$AA$112)&lt;PolicyEff),1,Milestones!$AC$112)&amp;";  ","")&amp;IF(AND(EDATE($D39,Milestones!$AA$113)&lt;=AsOfDate,EDATE($D39,Milestones!$AA$113)&gt;=SchemeStart,IF($X39=0,$AD39,IF(AND($Z39&lt;&gt;"",EDATE($D39,Milestones!$AA$113)&gt;=$Z39),$AC39,IF(AND($Y39&lt;&gt;"",EDATE($D39,Milestones!$AA$113)&gt;=$Y39),$AB39,$AA39)))=Milestones!$AB$113),UPPER(TEXT(EDATE($D39,Milestones!$AA$113),"dd mmm yy"))&amp;" "&amp;Milestones!$AB$113&amp;" "&amp;IF(AND(Milestones!$AB$113="FT",Milestones!$AA$113=FT_Y5,EDATE($D39,Milestones!$AA$113)&lt;PolicyEff),1,Milestones!$AC$113)&amp;";  ","")&amp;IF(AND(EDATE($D39,Milestones!$AA$114)&lt;=AsOfDate,EDATE($D39,Milestones!$AA$114)&gt;=SchemeStart,IF($X39=0,$AD39,IF(AND($Z39&lt;&gt;"",EDATE($D39,Milestones!$AA$114)&gt;=$Z39),$AC39,IF(AND($Y39&lt;&gt;"",EDATE($D39,Milestones!$AA$114)&gt;=$Y39),$AB39,$AA39)))=Milestones!$AB$114),UPPER(TEXT(EDATE($D39,Milestones!$AA$114),"dd mmm yy"))&amp;" "&amp;Milestones!$AB$114&amp;" "&amp;IF(AND(Milestones!$AB$114="FT",Milestones!$AA$114=FT_Y5,EDATE($D39,Milestones!$AA$114)&lt;PolicyEff),1,Milestones!$AC$114)&amp;";  ","")&amp;IF(AND(EDATE($D39,Milestones!$AA$115)&lt;=AsOfDate,EDATE($D39,Milestones!$AA$115)&gt;=SchemeStart,IF($X39=0,$AD39,IF(AND($Z39&lt;&gt;"",EDATE($D39,Milestones!$AA$115)&gt;=$Z39),$AC39,IF(AND($Y39&lt;&gt;"",EDATE($D39,Milestones!$AA$115)&gt;=$Y39),$AB39,$AA39)))=Milestones!$AB$115),UPPER(TEXT(EDATE($D39,Milestones!$AA$115),"dd mmm yy"))&amp;" "&amp;Milestones!$AB$115&amp;" "&amp;IF(AND(Milestones!$AB$115="FT",Milestones!$AA$115=FT_Y5,EDATE($D39,Milestones!$AA$115)&lt;PolicyEff),1,Milestones!$AC$115)&amp;";  ",""))</f>
        <v/>
      </c>
      <c r="Q39" s="0" t="str">
        <f aca="false">IF(OR($A39="",$D39=""),"",IF(AND(EDATE($D39,Milestones!$AA$116)&lt;=AsOfDate,EDATE($D39,Milestones!$AA$116)&gt;=SchemeStart,IF($X39=0,$AD39,IF(AND($Z39&lt;&gt;"",EDATE($D39,Milestones!$AA$116)&gt;=$Z39),$AC39,IF(AND($Y39&lt;&gt;"",EDATE($D39,Milestones!$AA$116)&gt;=$Y39),$AB39,$AA39)))=Milestones!$AB$116),UPPER(TEXT(EDATE($D39,Milestones!$AA$116),"dd mmm yy"))&amp;" "&amp;Milestones!$AB$116&amp;" "&amp;IF(AND(Milestones!$AB$116="FT",Milestones!$AA$116=FT_Y5,EDATE($D39,Milestones!$AA$116)&lt;PolicyEff),1,Milestones!$AC$116)&amp;";  ","")&amp;IF(AND(EDATE($D39,Milestones!$AA$117)&lt;=AsOfDate,EDATE($D39,Milestones!$AA$117)&gt;=SchemeStart,IF($X39=0,$AD39,IF(AND($Z39&lt;&gt;"",EDATE($D39,Milestones!$AA$117)&gt;=$Z39),$AC39,IF(AND($Y39&lt;&gt;"",EDATE($D39,Milestones!$AA$117)&gt;=$Y39),$AB39,$AA39)))=Milestones!$AB$117),UPPER(TEXT(EDATE($D39,Milestones!$AA$117),"dd mmm yy"))&amp;" "&amp;Milestones!$AB$117&amp;" "&amp;IF(AND(Milestones!$AB$117="FT",Milestones!$AA$117=FT_Y5,EDATE($D39,Milestones!$AA$117)&lt;PolicyEff),1,Milestones!$AC$117)&amp;";  ","")&amp;IF(AND(EDATE($D39,Milestones!$AA$118)&lt;=AsOfDate,EDATE($D39,Milestones!$AA$118)&gt;=SchemeStart,IF($X39=0,$AD39,IF(AND($Z39&lt;&gt;"",EDATE($D39,Milestones!$AA$118)&gt;=$Z39),$AC39,IF(AND($Y39&lt;&gt;"",EDATE($D39,Milestones!$AA$118)&gt;=$Y39),$AB39,$AA39)))=Milestones!$AB$118),UPPER(TEXT(EDATE($D39,Milestones!$AA$118),"dd mmm yy"))&amp;" "&amp;Milestones!$AB$118&amp;" "&amp;IF(AND(Milestones!$AB$118="FT",Milestones!$AA$118=FT_Y5,EDATE($D39,Milestones!$AA$118)&lt;PolicyEff),1,Milestones!$AC$118)&amp;";  ","")&amp;IF(AND(EDATE($D39,Milestones!$AA$119)&lt;=AsOfDate,EDATE($D39,Milestones!$AA$119)&gt;=SchemeStart,IF($X39=0,$AD39,IF(AND($Z39&lt;&gt;"",EDATE($D39,Milestones!$AA$119)&gt;=$Z39),$AC39,IF(AND($Y39&lt;&gt;"",EDATE($D39,Milestones!$AA$119)&gt;=$Y39),$AB39,$AA39)))=Milestones!$AB$119),UPPER(TEXT(EDATE($D39,Milestones!$AA$119),"dd mmm yy"))&amp;" "&amp;Milestones!$AB$119&amp;" "&amp;IF(AND(Milestones!$AB$119="FT",Milestones!$AA$119=FT_Y5,EDATE($D39,Milestones!$AA$119)&lt;PolicyEff),1,Milestones!$AC$119)&amp;";  ","")&amp;IF(AND(EDATE($D39,Milestones!$AA$120)&lt;=AsOfDate,EDATE($D39,Milestones!$AA$120)&gt;=SchemeStart,IF($X39=0,$AD39,IF(AND($Z39&lt;&gt;"",EDATE($D39,Milestones!$AA$120)&gt;=$Z39),$AC39,IF(AND($Y39&lt;&gt;"",EDATE($D39,Milestones!$AA$120)&gt;=$Y39),$AB39,$AA39)))=Milestones!$AB$120),UPPER(TEXT(EDATE($D39,Milestones!$AA$120),"dd mmm yy"))&amp;" "&amp;Milestones!$AB$120&amp;" "&amp;IF(AND(Milestones!$AB$120="FT",Milestones!$AA$120=FT_Y5,EDATE($D39,Milestones!$AA$120)&lt;PolicyEff),1,Milestones!$AC$120)&amp;";  ","")&amp;IF(AND(EDATE($D39,Milestones!$AA$121)&lt;=AsOfDate,EDATE($D39,Milestones!$AA$121)&gt;=SchemeStart,IF($X39=0,$AD39,IF(AND($Z39&lt;&gt;"",EDATE($D39,Milestones!$AA$121)&gt;=$Z39),$AC39,IF(AND($Y39&lt;&gt;"",EDATE($D39,Milestones!$AA$121)&gt;=$Y39),$AB39,$AA39)))=Milestones!$AB$121),UPPER(TEXT(EDATE($D39,Milestones!$AA$121),"dd mmm yy"))&amp;" "&amp;Milestones!$AB$121&amp;" "&amp;IF(AND(Milestones!$AB$121="FT",Milestones!$AA$121=FT_Y5,EDATE($D39,Milestones!$AA$121)&lt;PolicyEff),1,Milestones!$AC$121)&amp;";  ","")&amp;IF(AND(EDATE($D39,Milestones!$AA$122)&lt;=AsOfDate,EDATE($D39,Milestones!$AA$122)&gt;=SchemeStart,IF($X39=0,$AD39,IF(AND($Z39&lt;&gt;"",EDATE($D39,Milestones!$AA$122)&gt;=$Z39),$AC39,IF(AND($Y39&lt;&gt;"",EDATE($D39,Milestones!$AA$122)&gt;=$Y39),$AB39,$AA39)))=Milestones!$AB$122),UPPER(TEXT(EDATE($D39,Milestones!$AA$122),"dd mmm yy"))&amp;" "&amp;Milestones!$AB$122&amp;" "&amp;IF(AND(Milestones!$AB$122="FT",Milestones!$AA$122=FT_Y5,EDATE($D39,Milestones!$AA$122)&lt;PolicyEff),1,Milestones!$AC$122)&amp;";  ","")&amp;IF(AND(EDATE($D39,Milestones!$AA$123)&lt;=AsOfDate,EDATE($D39,Milestones!$AA$123)&gt;=SchemeStart,IF($X39=0,$AD39,IF(AND($Z39&lt;&gt;"",EDATE($D39,Milestones!$AA$123)&gt;=$Z39),$AC39,IF(AND($Y39&lt;&gt;"",EDATE($D39,Milestones!$AA$123)&gt;=$Y39),$AB39,$AA39)))=Milestones!$AB$123),UPPER(TEXT(EDATE($D39,Milestones!$AA$123),"dd mmm yy"))&amp;" "&amp;Milestones!$AB$123&amp;" "&amp;IF(AND(Milestones!$AB$123="FT",Milestones!$AA$123=FT_Y5,EDATE($D39,Milestones!$AA$123)&lt;PolicyEff),1,Milestones!$AC$123)&amp;";  ","")&amp;IF(AND(EDATE($D39,Milestones!$AA$124)&lt;=AsOfDate,EDATE($D39,Milestones!$AA$124)&gt;=SchemeStart,IF($X39=0,$AD39,IF(AND($Z39&lt;&gt;"",EDATE($D39,Milestones!$AA$124)&gt;=$Z39),$AC39,IF(AND($Y39&lt;&gt;"",EDATE($D39,Milestones!$AA$124)&gt;=$Y39),$AB39,$AA39)))=Milestones!$AB$124),UPPER(TEXT(EDATE($D39,Milestones!$AA$124),"dd mmm yy"))&amp;" "&amp;Milestones!$AB$124&amp;" "&amp;IF(AND(Milestones!$AB$124="FT",Milestones!$AA$124=FT_Y5,EDATE($D39,Milestones!$AA$124)&lt;PolicyEff),1,Milestones!$AC$124)&amp;";  ","")&amp;IF(AND(EDATE($D39,Milestones!$AA$125)&lt;=AsOfDate,EDATE($D39,Milestones!$AA$125)&gt;=SchemeStart,IF($X39=0,$AD39,IF(AND($Z39&lt;&gt;"",EDATE($D39,Milestones!$AA$125)&gt;=$Z39),$AC39,IF(AND($Y39&lt;&gt;"",EDATE($D39,Milestones!$AA$125)&gt;=$Y39),$AB39,$AA39)))=Milestones!$AB$125),UPPER(TEXT(EDATE($D39,Milestones!$AA$125),"dd mmm yy"))&amp;" "&amp;Milestones!$AB$125&amp;" "&amp;IF(AND(Milestones!$AB$125="FT",Milestones!$AA$125=FT_Y5,EDATE($D39,Milestones!$AA$125)&lt;PolicyEff),1,Milestones!$AC$125)&amp;";  ","")&amp;IF(AND(EDATE($D39,Milestones!$AA$126)&lt;=AsOfDate,EDATE($D39,Milestones!$AA$126)&gt;=SchemeStart,IF($X39=0,$AD39,IF(AND($Z39&lt;&gt;"",EDATE($D39,Milestones!$AA$126)&gt;=$Z39),$AC39,IF(AND($Y39&lt;&gt;"",EDATE($D39,Milestones!$AA$126)&gt;=$Y39),$AB39,$AA39)))=Milestones!$AB$126),UPPER(TEXT(EDATE($D39,Milestones!$AA$126),"dd mmm yy"))&amp;" "&amp;Milestones!$AB$126&amp;" "&amp;IF(AND(Milestones!$AB$126="FT",Milestones!$AA$126=FT_Y5,EDATE($D39,Milestones!$AA$126)&lt;PolicyEff),1,Milestones!$AC$126)&amp;";  ","")&amp;IF(AND(EDATE($D39,Milestones!$AA$127)&lt;=AsOfDate,EDATE($D39,Milestones!$AA$127)&gt;=SchemeStart,IF($X39=0,$AD39,IF(AND($Z39&lt;&gt;"",EDATE($D39,Milestones!$AA$127)&gt;=$Z39),$AC39,IF(AND($Y39&lt;&gt;"",EDATE($D39,Milestones!$AA$127)&gt;=$Y39),$AB39,$AA39)))=Milestones!$AB$127),UPPER(TEXT(EDATE($D39,Milestones!$AA$127),"dd mmm yy"))&amp;" "&amp;Milestones!$AB$127&amp;" "&amp;IF(AND(Milestones!$AB$127="FT",Milestones!$AA$127=FT_Y5,EDATE($D39,Milestones!$AA$127)&lt;PolicyEff),1,Milestones!$AC$127)&amp;";  ",""))</f>
        <v/>
      </c>
      <c r="R39" s="0" t="str">
        <f aca="false">IF(OR($A39="",$D39=""),"",IF(AND(EDATE($D39,Milestones!$AA$128)&lt;=AsOfDate,EDATE($D39,Milestones!$AA$128)&gt;=SchemeStart,IF($X39=0,$AD39,IF(AND($Z39&lt;&gt;"",EDATE($D39,Milestones!$AA$128)&gt;=$Z39),$AC39,IF(AND($Y39&lt;&gt;"",EDATE($D39,Milestones!$AA$128)&gt;=$Y39),$AB39,$AA39)))=Milestones!$AB$128),UPPER(TEXT(EDATE($D39,Milestones!$AA$128),"dd mmm yy"))&amp;" "&amp;Milestones!$AB$128&amp;" "&amp;IF(AND(Milestones!$AB$128="FT",Milestones!$AA$128=FT_Y5,EDATE($D39,Milestones!$AA$128)&lt;PolicyEff),1,Milestones!$AC$128)&amp;";  ","")&amp;IF(AND(EDATE($D39,Milestones!$AA$129)&lt;=AsOfDate,EDATE($D39,Milestones!$AA$129)&gt;=SchemeStart,IF($X39=0,$AD39,IF(AND($Z39&lt;&gt;"",EDATE($D39,Milestones!$AA$129)&gt;=$Z39),$AC39,IF(AND($Y39&lt;&gt;"",EDATE($D39,Milestones!$AA$129)&gt;=$Y39),$AB39,$AA39)))=Milestones!$AB$129),UPPER(TEXT(EDATE($D39,Milestones!$AA$129),"dd mmm yy"))&amp;" "&amp;Milestones!$AB$129&amp;" "&amp;IF(AND(Milestones!$AB$129="FT",Milestones!$AA$129=FT_Y5,EDATE($D39,Milestones!$AA$129)&lt;PolicyEff),1,Milestones!$AC$129)&amp;";  ","")&amp;IF(AND(EDATE($D39,Milestones!$AA$130)&lt;=AsOfDate,EDATE($D39,Milestones!$AA$130)&gt;=SchemeStart,IF($X39=0,$AD39,IF(AND($Z39&lt;&gt;"",EDATE($D39,Milestones!$AA$130)&gt;=$Z39),$AC39,IF(AND($Y39&lt;&gt;"",EDATE($D39,Milestones!$AA$130)&gt;=$Y39),$AB39,$AA39)))=Milestones!$AB$130),UPPER(TEXT(EDATE($D39,Milestones!$AA$130),"dd mmm yy"))&amp;" "&amp;Milestones!$AB$130&amp;" "&amp;IF(AND(Milestones!$AB$130="FT",Milestones!$AA$130=FT_Y5,EDATE($D39,Milestones!$AA$130)&lt;PolicyEff),1,Milestones!$AC$130)&amp;";  ","")&amp;IF(AND(EDATE($D39,Milestones!$AA$131)&lt;=AsOfDate,EDATE($D39,Milestones!$AA$131)&gt;=SchemeStart,IF($X39=0,$AD39,IF(AND($Z39&lt;&gt;"",EDATE($D39,Milestones!$AA$131)&gt;=$Z39),$AC39,IF(AND($Y39&lt;&gt;"",EDATE($D39,Milestones!$AA$131)&gt;=$Y39),$AB39,$AA39)))=Milestones!$AB$131),UPPER(TEXT(EDATE($D39,Milestones!$AA$131),"dd mmm yy"))&amp;" "&amp;Milestones!$AB$131&amp;" "&amp;IF(AND(Milestones!$AB$131="FT",Milestones!$AA$131=FT_Y5,EDATE($D39,Milestones!$AA$131)&lt;PolicyEff),1,Milestones!$AC$131)&amp;";  ","")&amp;IF(AND(EDATE($D39,Milestones!$AA$132)&lt;=AsOfDate,EDATE($D39,Milestones!$AA$132)&gt;=SchemeStart,IF($X39=0,$AD39,IF(AND($Z39&lt;&gt;"",EDATE($D39,Milestones!$AA$132)&gt;=$Z39),$AC39,IF(AND($Y39&lt;&gt;"",EDATE($D39,Milestones!$AA$132)&gt;=$Y39),$AB39,$AA39)))=Milestones!$AB$132),UPPER(TEXT(EDATE($D39,Milestones!$AA$132),"dd mmm yy"))&amp;" "&amp;Milestones!$AB$132&amp;" "&amp;IF(AND(Milestones!$AB$132="FT",Milestones!$AA$132=FT_Y5,EDATE($D39,Milestones!$AA$132)&lt;PolicyEff),1,Milestones!$AC$132)&amp;";  ","")&amp;IF(AND(EDATE($D39,Milestones!$AA$133)&lt;=AsOfDate,EDATE($D39,Milestones!$AA$133)&gt;=SchemeStart,IF($X39=0,$AD39,IF(AND($Z39&lt;&gt;"",EDATE($D39,Milestones!$AA$133)&gt;=$Z39),$AC39,IF(AND($Y39&lt;&gt;"",EDATE($D39,Milestones!$AA$133)&gt;=$Y39),$AB39,$AA39)))=Milestones!$AB$133),UPPER(TEXT(EDATE($D39,Milestones!$AA$133),"dd mmm yy"))&amp;" "&amp;Milestones!$AB$133&amp;" "&amp;IF(AND(Milestones!$AB$133="FT",Milestones!$AA$133=FT_Y5,EDATE($D39,Milestones!$AA$133)&lt;PolicyEff),1,Milestones!$AC$133)&amp;";  ","")&amp;IF(AND(EDATE($D39,Milestones!$AA$134)&lt;=AsOfDate,EDATE($D39,Milestones!$AA$134)&gt;=SchemeStart,IF($X39=0,$AD39,IF(AND($Z39&lt;&gt;"",EDATE($D39,Milestones!$AA$134)&gt;=$Z39),$AC39,IF(AND($Y39&lt;&gt;"",EDATE($D39,Milestones!$AA$134)&gt;=$Y39),$AB39,$AA39)))=Milestones!$AB$134),UPPER(TEXT(EDATE($D39,Milestones!$AA$134),"dd mmm yy"))&amp;" "&amp;Milestones!$AB$134&amp;" "&amp;IF(AND(Milestones!$AB$134="FT",Milestones!$AA$134=FT_Y5,EDATE($D39,Milestones!$AA$134)&lt;PolicyEff),1,Milestones!$AC$134)&amp;";  ","")&amp;IF(AND(EDATE($D39,Milestones!$AA$135)&lt;=AsOfDate,EDATE($D39,Milestones!$AA$135)&gt;=SchemeStart,IF($X39=0,$AD39,IF(AND($Z39&lt;&gt;"",EDATE($D39,Milestones!$AA$135)&gt;=$Z39),$AC39,IF(AND($Y39&lt;&gt;"",EDATE($D39,Milestones!$AA$135)&gt;=$Y39),$AB39,$AA39)))=Milestones!$AB$135),UPPER(TEXT(EDATE($D39,Milestones!$AA$135),"dd mmm yy"))&amp;" "&amp;Milestones!$AB$135&amp;" "&amp;IF(AND(Milestones!$AB$135="FT",Milestones!$AA$135=FT_Y5,EDATE($D39,Milestones!$AA$135)&lt;PolicyEff),1,Milestones!$AC$135)&amp;";  ","")&amp;IF(AND(EDATE($D39,Milestones!$AA$136)&lt;=AsOfDate,EDATE($D39,Milestones!$AA$136)&gt;=SchemeStart,IF($X39=0,$AD39,IF(AND($Z39&lt;&gt;"",EDATE($D39,Milestones!$AA$136)&gt;=$Z39),$AC39,IF(AND($Y39&lt;&gt;"",EDATE($D39,Milestones!$AA$136)&gt;=$Y39),$AB39,$AA39)))=Milestones!$AB$136),UPPER(TEXT(EDATE($D39,Milestones!$AA$136),"dd mmm yy"))&amp;" "&amp;Milestones!$AB$136&amp;" "&amp;IF(AND(Milestones!$AB$136="FT",Milestones!$AA$136=FT_Y5,EDATE($D39,Milestones!$AA$136)&lt;PolicyEff),1,Milestones!$AC$136)&amp;";  ","")&amp;IF(AND(EDATE($D39,Milestones!$AA$137)&lt;=AsOfDate,EDATE($D39,Milestones!$AA$137)&gt;=SchemeStart,IF($X39=0,$AD39,IF(AND($Z39&lt;&gt;"",EDATE($D39,Milestones!$AA$137)&gt;=$Z39),$AC39,IF(AND($Y39&lt;&gt;"",EDATE($D39,Milestones!$AA$137)&gt;=$Y39),$AB39,$AA39)))=Milestones!$AB$137),UPPER(TEXT(EDATE($D39,Milestones!$AA$137),"dd mmm yy"))&amp;" "&amp;Milestones!$AB$137&amp;" "&amp;IF(AND(Milestones!$AB$137="FT",Milestones!$AA$137=FT_Y5,EDATE($D39,Milestones!$AA$137)&lt;PolicyEff),1,Milestones!$AC$137)&amp;";  ","")&amp;IF(AND(EDATE($D39,Milestones!$AA$138)&lt;=AsOfDate,EDATE($D39,Milestones!$AA$138)&gt;=SchemeStart,IF($X39=0,$AD39,IF(AND($Z39&lt;&gt;"",EDATE($D39,Milestones!$AA$138)&gt;=$Z39),$AC39,IF(AND($Y39&lt;&gt;"",EDATE($D39,Milestones!$AA$138)&gt;=$Y39),$AB39,$AA39)))=Milestones!$AB$138),UPPER(TEXT(EDATE($D39,Milestones!$AA$138),"dd mmm yy"))&amp;" "&amp;Milestones!$AB$138&amp;" "&amp;IF(AND(Milestones!$AB$138="FT",Milestones!$AA$138=FT_Y5,EDATE($D39,Milestones!$AA$138)&lt;PolicyEff),1,Milestones!$AC$138)&amp;";  ","")&amp;IF(AND(EDATE($D39,Milestones!$AA$139)&lt;=AsOfDate,EDATE($D39,Milestones!$AA$139)&gt;=SchemeStart,IF($X39=0,$AD39,IF(AND($Z39&lt;&gt;"",EDATE($D39,Milestones!$AA$139)&gt;=$Z39),$AC39,IF(AND($Y39&lt;&gt;"",EDATE($D39,Milestones!$AA$139)&gt;=$Y39),$AB39,$AA39)))=Milestones!$AB$139),UPPER(TEXT(EDATE($D39,Milestones!$AA$139),"dd mmm yy"))&amp;" "&amp;Milestones!$AB$139&amp;" "&amp;IF(AND(Milestones!$AB$139="FT",Milestones!$AA$139=FT_Y5,EDATE($D39,Milestones!$AA$139)&lt;PolicyEff),1,Milestones!$AC$139)&amp;";  ",""))</f>
        <v/>
      </c>
      <c r="S39" s="0" t="str">
        <f aca="false">IF(OR($A39="",$D39=""),"",IF(AND(EDATE($D39,Milestones!$AA$140)&lt;=AsOfDate,EDATE($D39,Milestones!$AA$140)&gt;=SchemeStart,IF($X39=0,$AD39,IF(AND($Z39&lt;&gt;"",EDATE($D39,Milestones!$AA$140)&gt;=$Z39),$AC39,IF(AND($Y39&lt;&gt;"",EDATE($D39,Milestones!$AA$140)&gt;=$Y39),$AB39,$AA39)))=Milestones!$AB$140),UPPER(TEXT(EDATE($D39,Milestones!$AA$140),"dd mmm yy"))&amp;" "&amp;Milestones!$AB$140&amp;" "&amp;IF(AND(Milestones!$AB$140="FT",Milestones!$AA$140=FT_Y5,EDATE($D39,Milestones!$AA$140)&lt;PolicyEff),1,Milestones!$AC$140)&amp;";  ","")&amp;IF(AND(EDATE($D39,Milestones!$AA$141)&lt;=AsOfDate,EDATE($D39,Milestones!$AA$141)&gt;=SchemeStart,IF($X39=0,$AD39,IF(AND($Z39&lt;&gt;"",EDATE($D39,Milestones!$AA$141)&gt;=$Z39),$AC39,IF(AND($Y39&lt;&gt;"",EDATE($D39,Milestones!$AA$141)&gt;=$Y39),$AB39,$AA39)))=Milestones!$AB$141),UPPER(TEXT(EDATE($D39,Milestones!$AA$141),"dd mmm yy"))&amp;" "&amp;Milestones!$AB$141&amp;" "&amp;IF(AND(Milestones!$AB$141="FT",Milestones!$AA$141=FT_Y5,EDATE($D39,Milestones!$AA$141)&lt;PolicyEff),1,Milestones!$AC$141)&amp;";  ","")&amp;IF(AND(EDATE($D39,Milestones!$AA$142)&lt;=AsOfDate,EDATE($D39,Milestones!$AA$142)&gt;=SchemeStart,IF($X39=0,$AD39,IF(AND($Z39&lt;&gt;"",EDATE($D39,Milestones!$AA$142)&gt;=$Z39),$AC39,IF(AND($Y39&lt;&gt;"",EDATE($D39,Milestones!$AA$142)&gt;=$Y39),$AB39,$AA39)))=Milestones!$AB$142),UPPER(TEXT(EDATE($D39,Milestones!$AA$142),"dd mmm yy"))&amp;" "&amp;Milestones!$AB$142&amp;" "&amp;IF(AND(Milestones!$AB$142="FT",Milestones!$AA$142=FT_Y5,EDATE($D39,Milestones!$AA$142)&lt;PolicyEff),1,Milestones!$AC$142)&amp;";  ","")&amp;IF(AND(EDATE($D39,Milestones!$AA$143)&lt;=AsOfDate,EDATE($D39,Milestones!$AA$143)&gt;=SchemeStart,IF($X39=0,$AD39,IF(AND($Z39&lt;&gt;"",EDATE($D39,Milestones!$AA$143)&gt;=$Z39),$AC39,IF(AND($Y39&lt;&gt;"",EDATE($D39,Milestones!$AA$143)&gt;=$Y39),$AB39,$AA39)))=Milestones!$AB$143),UPPER(TEXT(EDATE($D39,Milestones!$AA$143),"dd mmm yy"))&amp;" "&amp;Milestones!$AB$143&amp;" "&amp;IF(AND(Milestones!$AB$143="FT",Milestones!$AA$143=FT_Y5,EDATE($D39,Milestones!$AA$143)&lt;PolicyEff),1,Milestones!$AC$143)&amp;";  ","")&amp;IF(AND(EDATE($D39,Milestones!$AA$144)&lt;=AsOfDate,EDATE($D39,Milestones!$AA$144)&gt;=SchemeStart,IF($X39=0,$AD39,IF(AND($Z39&lt;&gt;"",EDATE($D39,Milestones!$AA$144)&gt;=$Z39),$AC39,IF(AND($Y39&lt;&gt;"",EDATE($D39,Milestones!$AA$144)&gt;=$Y39),$AB39,$AA39)))=Milestones!$AB$144),UPPER(TEXT(EDATE($D39,Milestones!$AA$144),"dd mmm yy"))&amp;" "&amp;Milestones!$AB$144&amp;" "&amp;IF(AND(Milestones!$AB$144="FT",Milestones!$AA$144=FT_Y5,EDATE($D39,Milestones!$AA$144)&lt;PolicyEff),1,Milestones!$AC$144)&amp;";  ","")&amp;IF(AND(EDATE($D39,Milestones!$AA$145)&lt;=AsOfDate,EDATE($D39,Milestones!$AA$145)&gt;=SchemeStart,IF($X39=0,$AD39,IF(AND($Z39&lt;&gt;"",EDATE($D39,Milestones!$AA$145)&gt;=$Z39),$AC39,IF(AND($Y39&lt;&gt;"",EDATE($D39,Milestones!$AA$145)&gt;=$Y39),$AB39,$AA39)))=Milestones!$AB$145),UPPER(TEXT(EDATE($D39,Milestones!$AA$145),"dd mmm yy"))&amp;" "&amp;Milestones!$AB$145&amp;" "&amp;IF(AND(Milestones!$AB$145="FT",Milestones!$AA$145=FT_Y5,EDATE($D39,Milestones!$AA$145)&lt;PolicyEff),1,Milestones!$AC$145)&amp;";  ","")&amp;IF(AND(EDATE($D39,Milestones!$AA$146)&lt;=AsOfDate,EDATE($D39,Milestones!$AA$146)&gt;=SchemeStart,IF($X39=0,$AD39,IF(AND($Z39&lt;&gt;"",EDATE($D39,Milestones!$AA$146)&gt;=$Z39),$AC39,IF(AND($Y39&lt;&gt;"",EDATE($D39,Milestones!$AA$146)&gt;=$Y39),$AB39,$AA39)))=Milestones!$AB$146),UPPER(TEXT(EDATE($D39,Milestones!$AA$146),"dd mmm yy"))&amp;" "&amp;Milestones!$AB$146&amp;" "&amp;IF(AND(Milestones!$AB$146="FT",Milestones!$AA$146=FT_Y5,EDATE($D39,Milestones!$AA$146)&lt;PolicyEff),1,Milestones!$AC$146)&amp;";  ","")&amp;IF(AND(EDATE($D39,Milestones!$AA$147)&lt;=AsOfDate,EDATE($D39,Milestones!$AA$147)&gt;=SchemeStart,IF($X39=0,$AD39,IF(AND($Z39&lt;&gt;"",EDATE($D39,Milestones!$AA$147)&gt;=$Z39),$AC39,IF(AND($Y39&lt;&gt;"",EDATE($D39,Milestones!$AA$147)&gt;=$Y39),$AB39,$AA39)))=Milestones!$AB$147),UPPER(TEXT(EDATE($D39,Milestones!$AA$147),"dd mmm yy"))&amp;" "&amp;Milestones!$AB$147&amp;" "&amp;IF(AND(Milestones!$AB$147="FT",Milestones!$AA$147=FT_Y5,EDATE($D39,Milestones!$AA$147)&lt;PolicyEff),1,Milestones!$AC$147)&amp;";  ","")&amp;IF(AND(EDATE($D39,Milestones!$AA$148)&lt;=AsOfDate,EDATE($D39,Milestones!$AA$148)&gt;=SchemeStart,IF($X39=0,$AD39,IF(AND($Z39&lt;&gt;"",EDATE($D39,Milestones!$AA$148)&gt;=$Z39),$AC39,IF(AND($Y39&lt;&gt;"",EDATE($D39,Milestones!$AA$148)&gt;=$Y39),$AB39,$AA39)))=Milestones!$AB$148),UPPER(TEXT(EDATE($D39,Milestones!$AA$148),"dd mmm yy"))&amp;" "&amp;Milestones!$AB$148&amp;" "&amp;IF(AND(Milestones!$AB$148="FT",Milestones!$AA$148=FT_Y5,EDATE($D39,Milestones!$AA$148)&lt;PolicyEff),1,Milestones!$AC$148)&amp;";  ","")&amp;IF(AND(EDATE($D39,Milestones!$AA$149)&lt;=AsOfDate,EDATE($D39,Milestones!$AA$149)&gt;=SchemeStart,IF($X39=0,$AD39,IF(AND($Z39&lt;&gt;"",EDATE($D39,Milestones!$AA$149)&gt;=$Z39),$AC39,IF(AND($Y39&lt;&gt;"",EDATE($D39,Milestones!$AA$149)&gt;=$Y39),$AB39,$AA39)))=Milestones!$AB$149),UPPER(TEXT(EDATE($D39,Milestones!$AA$149),"dd mmm yy"))&amp;" "&amp;Milestones!$AB$149&amp;" "&amp;IF(AND(Milestones!$AB$149="FT",Milestones!$AA$149=FT_Y5,EDATE($D39,Milestones!$AA$149)&lt;PolicyEff),1,Milestones!$AC$149)&amp;";  ","")&amp;IF(AND(EDATE($D39,Milestones!$AA$150)&lt;=AsOfDate,EDATE($D39,Milestones!$AA$150)&gt;=SchemeStart,IF($X39=0,$AD39,IF(AND($Z39&lt;&gt;"",EDATE($D39,Milestones!$AA$150)&gt;=$Z39),$AC39,IF(AND($Y39&lt;&gt;"",EDATE($D39,Milestones!$AA$150)&gt;=$Y39),$AB39,$AA39)))=Milestones!$AB$150),UPPER(TEXT(EDATE($D39,Milestones!$AA$150),"dd mmm yy"))&amp;" "&amp;Milestones!$AB$150&amp;" "&amp;IF(AND(Milestones!$AB$150="FT",Milestones!$AA$150=FT_Y5,EDATE($D39,Milestones!$AA$150)&lt;PolicyEff),1,Milestones!$AC$150)&amp;";  ","")&amp;IF(AND(EDATE($D39,Milestones!$AA$151)&lt;=AsOfDate,EDATE($D39,Milestones!$AA$151)&gt;=SchemeStart,IF($X39=0,$AD39,IF(AND($Z39&lt;&gt;"",EDATE($D39,Milestones!$AA$151)&gt;=$Z39),$AC39,IF(AND($Y39&lt;&gt;"",EDATE($D39,Milestones!$AA$151)&gt;=$Y39),$AB39,$AA39)))=Milestones!$AB$151),UPPER(TEXT(EDATE($D39,Milestones!$AA$151),"dd mmm yy"))&amp;" "&amp;Milestones!$AB$151&amp;" "&amp;IF(AND(Milestones!$AB$151="FT",Milestones!$AA$151=FT_Y5,EDATE($D39,Milestones!$AA$151)&lt;PolicyEff),1,Milestones!$AC$151)&amp;";  ",""))</f>
        <v/>
      </c>
      <c r="T39" s="0" t="str">
        <f aca="false">IF(OR($A39="",$D39=""),"",IF(AND(EDATE($D39,Milestones!$AA$152)&lt;=AsOfDate,EDATE($D39,Milestones!$AA$152)&gt;=SchemeStart,IF($X39=0,$AD39,IF(AND($Z39&lt;&gt;"",EDATE($D39,Milestones!$AA$152)&gt;=$Z39),$AC39,IF(AND($Y39&lt;&gt;"",EDATE($D39,Milestones!$AA$152)&gt;=$Y39),$AB39,$AA39)))=Milestones!$AB$152),UPPER(TEXT(EDATE($D39,Milestones!$AA$152),"dd mmm yy"))&amp;" "&amp;Milestones!$AB$152&amp;" "&amp;IF(AND(Milestones!$AB$152="FT",Milestones!$AA$152=FT_Y5,EDATE($D39,Milestones!$AA$152)&lt;PolicyEff),1,Milestones!$AC$152)&amp;";  ","")&amp;IF(AND(EDATE($D39,Milestones!$AA$153)&lt;=AsOfDate,EDATE($D39,Milestones!$AA$153)&gt;=SchemeStart,IF($X39=0,$AD39,IF(AND($Z39&lt;&gt;"",EDATE($D39,Milestones!$AA$153)&gt;=$Z39),$AC39,IF(AND($Y39&lt;&gt;"",EDATE($D39,Milestones!$AA$153)&gt;=$Y39),$AB39,$AA39)))=Milestones!$AB$153),UPPER(TEXT(EDATE($D39,Milestones!$AA$153),"dd mmm yy"))&amp;" "&amp;Milestones!$AB$153&amp;" "&amp;IF(AND(Milestones!$AB$153="FT",Milestones!$AA$153=FT_Y5,EDATE($D39,Milestones!$AA$153)&lt;PolicyEff),1,Milestones!$AC$153)&amp;";  ","")&amp;IF(AND(EDATE($D39,Milestones!$AA$154)&lt;=AsOfDate,EDATE($D39,Milestones!$AA$154)&gt;=SchemeStart,IF($X39=0,$AD39,IF(AND($Z39&lt;&gt;"",EDATE($D39,Milestones!$AA$154)&gt;=$Z39),$AC39,IF(AND($Y39&lt;&gt;"",EDATE($D39,Milestones!$AA$154)&gt;=$Y39),$AB39,$AA39)))=Milestones!$AB$154),UPPER(TEXT(EDATE($D39,Milestones!$AA$154),"dd mmm yy"))&amp;" "&amp;Milestones!$AB$154&amp;" "&amp;IF(AND(Milestones!$AB$154="FT",Milestones!$AA$154=FT_Y5,EDATE($D39,Milestones!$AA$154)&lt;PolicyEff),1,Milestones!$AC$154)&amp;";  ","")&amp;IF(AND(EDATE($D39,Milestones!$AA$155)&lt;=AsOfDate,EDATE($D39,Milestones!$AA$155)&gt;=SchemeStart,IF($X39=0,$AD39,IF(AND($Z39&lt;&gt;"",EDATE($D39,Milestones!$AA$155)&gt;=$Z39),$AC39,IF(AND($Y39&lt;&gt;"",EDATE($D39,Milestones!$AA$155)&gt;=$Y39),$AB39,$AA39)))=Milestones!$AB$155),UPPER(TEXT(EDATE($D39,Milestones!$AA$155),"dd mmm yy"))&amp;" "&amp;Milestones!$AB$155&amp;" "&amp;IF(AND(Milestones!$AB$155="FT",Milestones!$AA$155=FT_Y5,EDATE($D39,Milestones!$AA$155)&lt;PolicyEff),1,Milestones!$AC$155)&amp;";  ","")&amp;IF(AND(EDATE($D39,Milestones!$AA$156)&lt;=AsOfDate,EDATE($D39,Milestones!$AA$156)&gt;=SchemeStart,IF($X39=0,$AD39,IF(AND($Z39&lt;&gt;"",EDATE($D39,Milestones!$AA$156)&gt;=$Z39),$AC39,IF(AND($Y39&lt;&gt;"",EDATE($D39,Milestones!$AA$156)&gt;=$Y39),$AB39,$AA39)))=Milestones!$AB$156),UPPER(TEXT(EDATE($D39,Milestones!$AA$156),"dd mmm yy"))&amp;" "&amp;Milestones!$AB$156&amp;" "&amp;IF(AND(Milestones!$AB$156="FT",Milestones!$AA$156=FT_Y5,EDATE($D39,Milestones!$AA$156)&lt;PolicyEff),1,Milestones!$AC$156)&amp;";  ","")&amp;IF(AND(EDATE($D39,Milestones!$AA$157)&lt;=AsOfDate,EDATE($D39,Milestones!$AA$157)&gt;=SchemeStart,IF($X39=0,$AD39,IF(AND($Z39&lt;&gt;"",EDATE($D39,Milestones!$AA$157)&gt;=$Z39),$AC39,IF(AND($Y39&lt;&gt;"",EDATE($D39,Milestones!$AA$157)&gt;=$Y39),$AB39,$AA39)))=Milestones!$AB$157),UPPER(TEXT(EDATE($D39,Milestones!$AA$157),"dd mmm yy"))&amp;" "&amp;Milestones!$AB$157&amp;" "&amp;IF(AND(Milestones!$AB$157="FT",Milestones!$AA$157=FT_Y5,EDATE($D39,Milestones!$AA$157)&lt;PolicyEff),1,Milestones!$AC$157)&amp;";  ","")&amp;IF(AND(EDATE($D39,Milestones!$AA$158)&lt;=AsOfDate,EDATE($D39,Milestones!$AA$158)&gt;=SchemeStart,IF($X39=0,$AD39,IF(AND($Z39&lt;&gt;"",EDATE($D39,Milestones!$AA$158)&gt;=$Z39),$AC39,IF(AND($Y39&lt;&gt;"",EDATE($D39,Milestones!$AA$158)&gt;=$Y39),$AB39,$AA39)))=Milestones!$AB$158),UPPER(TEXT(EDATE($D39,Milestones!$AA$158),"dd mmm yy"))&amp;" "&amp;Milestones!$AB$158&amp;" "&amp;IF(AND(Milestones!$AB$158="FT",Milestones!$AA$158=FT_Y5,EDATE($D39,Milestones!$AA$158)&lt;PolicyEff),1,Milestones!$AC$158)&amp;";  ","")&amp;IF(AND(EDATE($D39,Milestones!$AA$159)&lt;=AsOfDate,EDATE($D39,Milestones!$AA$159)&gt;=SchemeStart,IF($X39=0,$AD39,IF(AND($Z39&lt;&gt;"",EDATE($D39,Milestones!$AA$159)&gt;=$Z39),$AC39,IF(AND($Y39&lt;&gt;"",EDATE($D39,Milestones!$AA$159)&gt;=$Y39),$AB39,$AA39)))=Milestones!$AB$159),UPPER(TEXT(EDATE($D39,Milestones!$AA$159),"dd mmm yy"))&amp;" "&amp;Milestones!$AB$159&amp;" "&amp;IF(AND(Milestones!$AB$159="FT",Milestones!$AA$159=FT_Y5,EDATE($D39,Milestones!$AA$159)&lt;PolicyEff),1,Milestones!$AC$159)&amp;";  ","")&amp;IF(AND(EDATE($D39,Milestones!$AA$160)&lt;=AsOfDate,EDATE($D39,Milestones!$AA$160)&gt;=SchemeStart,IF($X39=0,$AD39,IF(AND($Z39&lt;&gt;"",EDATE($D39,Milestones!$AA$160)&gt;=$Z39),$AC39,IF(AND($Y39&lt;&gt;"",EDATE($D39,Milestones!$AA$160)&gt;=$Y39),$AB39,$AA39)))=Milestones!$AB$160),UPPER(TEXT(EDATE($D39,Milestones!$AA$160),"dd mmm yy"))&amp;" "&amp;Milestones!$AB$160&amp;" "&amp;IF(AND(Milestones!$AB$160="FT",Milestones!$AA$160=FT_Y5,EDATE($D39,Milestones!$AA$160)&lt;PolicyEff),1,Milestones!$AC$160)&amp;";  ","")&amp;IF(AND(EDATE($D39,Milestones!$AA$161)&lt;=AsOfDate,EDATE($D39,Milestones!$AA$161)&gt;=SchemeStart,IF($X39=0,$AD39,IF(AND($Z39&lt;&gt;"",EDATE($D39,Milestones!$AA$161)&gt;=$Z39),$AC39,IF(AND($Y39&lt;&gt;"",EDATE($D39,Milestones!$AA$161)&gt;=$Y39),$AB39,$AA39)))=Milestones!$AB$161),UPPER(TEXT(EDATE($D39,Milestones!$AA$161),"dd mmm yy"))&amp;" "&amp;Milestones!$AB$161&amp;" "&amp;IF(AND(Milestones!$AB$161="FT",Milestones!$AA$161=FT_Y5,EDATE($D39,Milestones!$AA$161)&lt;PolicyEff),1,Milestones!$AC$161)&amp;";  ","")&amp;IF(AND(EDATE($D39,Milestones!$AA$162)&lt;=AsOfDate,EDATE($D39,Milestones!$AA$162)&gt;=SchemeStart,IF($X39=0,$AD39,IF(AND($Z39&lt;&gt;"",EDATE($D39,Milestones!$AA$162)&gt;=$Z39),$AC39,IF(AND($Y39&lt;&gt;"",EDATE($D39,Milestones!$AA$162)&gt;=$Y39),$AB39,$AA39)))=Milestones!$AB$162),UPPER(TEXT(EDATE($D39,Milestones!$AA$162),"dd mmm yy"))&amp;" "&amp;Milestones!$AB$162&amp;" "&amp;IF(AND(Milestones!$AB$162="FT",Milestones!$AA$162=FT_Y5,EDATE($D39,Milestones!$AA$162)&lt;PolicyEff),1,Milestones!$AC$162)&amp;";  ","")&amp;IF(AND(EDATE($D39,Milestones!$AA$163)&lt;=AsOfDate,EDATE($D39,Milestones!$AA$163)&gt;=SchemeStart,IF($X39=0,$AD39,IF(AND($Z39&lt;&gt;"",EDATE($D39,Milestones!$AA$163)&gt;=$Z39),$AC39,IF(AND($Y39&lt;&gt;"",EDATE($D39,Milestones!$AA$163)&gt;=$Y39),$AB39,$AA39)))=Milestones!$AB$163),UPPER(TEXT(EDATE($D39,Milestones!$AA$163),"dd mmm yy"))&amp;" "&amp;Milestones!$AB$163&amp;" "&amp;IF(AND(Milestones!$AB$163="FT",Milestones!$AA$163=FT_Y5,EDATE($D39,Milestones!$AA$163)&lt;PolicyEff),1,Milestones!$AC$163)&amp;";  ",""))</f>
        <v/>
      </c>
      <c r="U39" s="0" t="str">
        <f aca="false">IF(OR($A39="",$D39=""),"",IF(AND(EDATE($D39,Milestones!$AA$164)&lt;=AsOfDate,EDATE($D39,Milestones!$AA$164)&gt;=SchemeStart,IF($X39=0,$AD39,IF(AND($Z39&lt;&gt;"",EDATE($D39,Milestones!$AA$164)&gt;=$Z39),$AC39,IF(AND($Y39&lt;&gt;"",EDATE($D39,Milestones!$AA$164)&gt;=$Y39),$AB39,$AA39)))=Milestones!$AB$164),UPPER(TEXT(EDATE($D39,Milestones!$AA$164),"dd mmm yy"))&amp;" "&amp;Milestones!$AB$164&amp;" "&amp;IF(AND(Milestones!$AB$164="FT",Milestones!$AA$164=FT_Y5,EDATE($D39,Milestones!$AA$164)&lt;PolicyEff),1,Milestones!$AC$164)&amp;";  ","")&amp;IF(AND(EDATE($D39,Milestones!$AA$165)&lt;=AsOfDate,EDATE($D39,Milestones!$AA$165)&gt;=SchemeStart,IF($X39=0,$AD39,IF(AND($Z39&lt;&gt;"",EDATE($D39,Milestones!$AA$165)&gt;=$Z39),$AC39,IF(AND($Y39&lt;&gt;"",EDATE($D39,Milestones!$AA$165)&gt;=$Y39),$AB39,$AA39)))=Milestones!$AB$165),UPPER(TEXT(EDATE($D39,Milestones!$AA$165),"dd mmm yy"))&amp;" "&amp;Milestones!$AB$165&amp;" "&amp;IF(AND(Milestones!$AB$165="FT",Milestones!$AA$165=FT_Y5,EDATE($D39,Milestones!$AA$165)&lt;PolicyEff),1,Milestones!$AC$165)&amp;";  ","")&amp;IF(AND(EDATE($D39,Milestones!$AA$166)&lt;=AsOfDate,EDATE($D39,Milestones!$AA$166)&gt;=SchemeStart,IF($X39=0,$AD39,IF(AND($Z39&lt;&gt;"",EDATE($D39,Milestones!$AA$166)&gt;=$Z39),$AC39,IF(AND($Y39&lt;&gt;"",EDATE($D39,Milestones!$AA$166)&gt;=$Y39),$AB39,$AA39)))=Milestones!$AB$166),UPPER(TEXT(EDATE($D39,Milestones!$AA$166),"dd mmm yy"))&amp;" "&amp;Milestones!$AB$166&amp;" "&amp;IF(AND(Milestones!$AB$166="FT",Milestones!$AA$166=FT_Y5,EDATE($D39,Milestones!$AA$166)&lt;PolicyEff),1,Milestones!$AC$166)&amp;";  ","")&amp;IF(AND(EDATE($D39,Milestones!$AA$167)&lt;=AsOfDate,EDATE($D39,Milestones!$AA$167)&gt;=SchemeStart,IF($X39=0,$AD39,IF(AND($Z39&lt;&gt;"",EDATE($D39,Milestones!$AA$167)&gt;=$Z39),$AC39,IF(AND($Y39&lt;&gt;"",EDATE($D39,Milestones!$AA$167)&gt;=$Y39),$AB39,$AA39)))=Milestones!$AB$167),UPPER(TEXT(EDATE($D39,Milestones!$AA$167),"dd mmm yy"))&amp;" "&amp;Milestones!$AB$167&amp;" "&amp;IF(AND(Milestones!$AB$167="FT",Milestones!$AA$167=FT_Y5,EDATE($D39,Milestones!$AA$167)&lt;PolicyEff),1,Milestones!$AC$167)&amp;";  ","")&amp;IF(AND(EDATE($D39,Milestones!$AA$168)&lt;=AsOfDate,EDATE($D39,Milestones!$AA$168)&gt;=SchemeStart,IF($X39=0,$AD39,IF(AND($Z39&lt;&gt;"",EDATE($D39,Milestones!$AA$168)&gt;=$Z39),$AC39,IF(AND($Y39&lt;&gt;"",EDATE($D39,Milestones!$AA$168)&gt;=$Y39),$AB39,$AA39)))=Milestones!$AB$168),UPPER(TEXT(EDATE($D39,Milestones!$AA$168),"dd mmm yy"))&amp;" "&amp;Milestones!$AB$168&amp;" "&amp;IF(AND(Milestones!$AB$168="FT",Milestones!$AA$168=FT_Y5,EDATE($D39,Milestones!$AA$168)&lt;PolicyEff),1,Milestones!$AC$168)&amp;";  ","")&amp;IF(AND(EDATE($D39,Milestones!$AA$169)&lt;=AsOfDate,EDATE($D39,Milestones!$AA$169)&gt;=SchemeStart,IF($X39=0,$AD39,IF(AND($Z39&lt;&gt;"",EDATE($D39,Milestones!$AA$169)&gt;=$Z39),$AC39,IF(AND($Y39&lt;&gt;"",EDATE($D39,Milestones!$AA$169)&gt;=$Y39),$AB39,$AA39)))=Milestones!$AB$169),UPPER(TEXT(EDATE($D39,Milestones!$AA$169),"dd mmm yy"))&amp;" "&amp;Milestones!$AB$169&amp;" "&amp;IF(AND(Milestones!$AB$169="FT",Milestones!$AA$169=FT_Y5,EDATE($D39,Milestones!$AA$169)&lt;PolicyEff),1,Milestones!$AC$169)&amp;";  ","")&amp;IF(AND(EDATE($D39,Milestones!$AA$170)&lt;=AsOfDate,EDATE($D39,Milestones!$AA$170)&gt;=SchemeStart,IF($X39=0,$AD39,IF(AND($Z39&lt;&gt;"",EDATE($D39,Milestones!$AA$170)&gt;=$Z39),$AC39,IF(AND($Y39&lt;&gt;"",EDATE($D39,Milestones!$AA$170)&gt;=$Y39),$AB39,$AA39)))=Milestones!$AB$170),UPPER(TEXT(EDATE($D39,Milestones!$AA$170),"dd mmm yy"))&amp;" "&amp;Milestones!$AB$170&amp;" "&amp;IF(AND(Milestones!$AB$170="FT",Milestones!$AA$170=FT_Y5,EDATE($D39,Milestones!$AA$170)&lt;PolicyEff),1,Milestones!$AC$170)&amp;";  ","")&amp;IF(AND(EDATE($D39,Milestones!$AA$171)&lt;=AsOfDate,EDATE($D39,Milestones!$AA$171)&gt;=SchemeStart,IF($X39=0,$AD39,IF(AND($Z39&lt;&gt;"",EDATE($D39,Milestones!$AA$171)&gt;=$Z39),$AC39,IF(AND($Y39&lt;&gt;"",EDATE($D39,Milestones!$AA$171)&gt;=$Y39),$AB39,$AA39)))=Milestones!$AB$171),UPPER(TEXT(EDATE($D39,Milestones!$AA$171),"dd mmm yy"))&amp;" "&amp;Milestones!$AB$171&amp;" "&amp;IF(AND(Milestones!$AB$171="FT",Milestones!$AA$171=FT_Y5,EDATE($D39,Milestones!$AA$171)&lt;PolicyEff),1,Milestones!$AC$171)&amp;";  ","")&amp;IF(AND(EDATE($D39,Milestones!$AA$172)&lt;=AsOfDate,EDATE($D39,Milestones!$AA$172)&gt;=SchemeStart,IF($X39=0,$AD39,IF(AND($Z39&lt;&gt;"",EDATE($D39,Milestones!$AA$172)&gt;=$Z39),$AC39,IF(AND($Y39&lt;&gt;"",EDATE($D39,Milestones!$AA$172)&gt;=$Y39),$AB39,$AA39)))=Milestones!$AB$172),UPPER(TEXT(EDATE($D39,Milestones!$AA$172),"dd mmm yy"))&amp;" "&amp;Milestones!$AB$172&amp;" "&amp;IF(AND(Milestones!$AB$172="FT",Milestones!$AA$172=FT_Y5,EDATE($D39,Milestones!$AA$172)&lt;PolicyEff),1,Milestones!$AC$172)&amp;";  ","")&amp;IF(AND(EDATE($D39,Milestones!$AA$173)&lt;=AsOfDate,EDATE($D39,Milestones!$AA$173)&gt;=SchemeStart,IF($X39=0,$AD39,IF(AND($Z39&lt;&gt;"",EDATE($D39,Milestones!$AA$173)&gt;=$Z39),$AC39,IF(AND($Y39&lt;&gt;"",EDATE($D39,Milestones!$AA$173)&gt;=$Y39),$AB39,$AA39)))=Milestones!$AB$173),UPPER(TEXT(EDATE($D39,Milestones!$AA$173),"dd mmm yy"))&amp;" "&amp;Milestones!$AB$173&amp;" "&amp;IF(AND(Milestones!$AB$173="FT",Milestones!$AA$173=FT_Y5,EDATE($D39,Milestones!$AA$173)&lt;PolicyEff),1,Milestones!$AC$173)&amp;";  ","")&amp;IF(AND(EDATE($D39,Milestones!$AA$174)&lt;=AsOfDate,EDATE($D39,Milestones!$AA$174)&gt;=SchemeStart,IF($X39=0,$AD39,IF(AND($Z39&lt;&gt;"",EDATE($D39,Milestones!$AA$174)&gt;=$Z39),$AC39,IF(AND($Y39&lt;&gt;"",EDATE($D39,Milestones!$AA$174)&gt;=$Y39),$AB39,$AA39)))=Milestones!$AB$174),UPPER(TEXT(EDATE($D39,Milestones!$AA$174),"dd mmm yy"))&amp;" "&amp;Milestones!$AB$174&amp;" "&amp;IF(AND(Milestones!$AB$174="FT",Milestones!$AA$174=FT_Y5,EDATE($D39,Milestones!$AA$174)&lt;PolicyEff),1,Milestones!$AC$174)&amp;";  ","")&amp;IF(AND(EDATE($D39,Milestones!$AA$175)&lt;=AsOfDate,EDATE($D39,Milestones!$AA$175)&gt;=SchemeStart,IF($X39=0,$AD39,IF(AND($Z39&lt;&gt;"",EDATE($D39,Milestones!$AA$175)&gt;=$Z39),$AC39,IF(AND($Y39&lt;&gt;"",EDATE($D39,Milestones!$AA$175)&gt;=$Y39),$AB39,$AA39)))=Milestones!$AB$175),UPPER(TEXT(EDATE($D39,Milestones!$AA$175),"dd mmm yy"))&amp;" "&amp;Milestones!$AB$175&amp;" "&amp;IF(AND(Milestones!$AB$175="FT",Milestones!$AA$175=FT_Y5,EDATE($D39,Milestones!$AA$175)&lt;PolicyEff),1,Milestones!$AC$175)&amp;";  ",""))</f>
        <v/>
      </c>
      <c r="V39" s="0" t="str">
        <f aca="false">IF(OR($A39="",$D39=""),"",IF(AND(EDATE($D39,Milestones!$AA$176)&lt;=AsOfDate,EDATE($D39,Milestones!$AA$176)&gt;=SchemeStart,IF($X39=0,$AD39,IF(AND($Z39&lt;&gt;"",EDATE($D39,Milestones!$AA$176)&gt;=$Z39),$AC39,IF(AND($Y39&lt;&gt;"",EDATE($D39,Milestones!$AA$176)&gt;=$Y39),$AB39,$AA39)))=Milestones!$AB$176),UPPER(TEXT(EDATE($D39,Milestones!$AA$176),"dd mmm yy"))&amp;" "&amp;Milestones!$AB$176&amp;" "&amp;IF(AND(Milestones!$AB$176="FT",Milestones!$AA$176=FT_Y5,EDATE($D39,Milestones!$AA$176)&lt;PolicyEff),1,Milestones!$AC$176)&amp;";  ","")&amp;IF(AND(EDATE($D39,Milestones!$AA$177)&lt;=AsOfDate,EDATE($D39,Milestones!$AA$177)&gt;=SchemeStart,IF($X39=0,$AD39,IF(AND($Z39&lt;&gt;"",EDATE($D39,Milestones!$AA$177)&gt;=$Z39),$AC39,IF(AND($Y39&lt;&gt;"",EDATE($D39,Milestones!$AA$177)&gt;=$Y39),$AB39,$AA39)))=Milestones!$AB$177),UPPER(TEXT(EDATE($D39,Milestones!$AA$177),"dd mmm yy"))&amp;" "&amp;Milestones!$AB$177&amp;" "&amp;IF(AND(Milestones!$AB$177="FT",Milestones!$AA$177=FT_Y5,EDATE($D39,Milestones!$AA$177)&lt;PolicyEff),1,Milestones!$AC$177)&amp;";  ","")&amp;IF(AND(EDATE($D39,Milestones!$AA$178)&lt;=AsOfDate,EDATE($D39,Milestones!$AA$178)&gt;=SchemeStart,IF($X39=0,$AD39,IF(AND($Z39&lt;&gt;"",EDATE($D39,Milestones!$AA$178)&gt;=$Z39),$AC39,IF(AND($Y39&lt;&gt;"",EDATE($D39,Milestones!$AA$178)&gt;=$Y39),$AB39,$AA39)))=Milestones!$AB$178),UPPER(TEXT(EDATE($D39,Milestones!$AA$178),"dd mmm yy"))&amp;" "&amp;Milestones!$AB$178&amp;" "&amp;IF(AND(Milestones!$AB$178="FT",Milestones!$AA$178=FT_Y5,EDATE($D39,Milestones!$AA$178)&lt;PolicyEff),1,Milestones!$AC$178)&amp;";  ","")&amp;IF(AND(EDATE($D39,Milestones!$AA$179)&lt;=AsOfDate,EDATE($D39,Milestones!$AA$179)&gt;=SchemeStart,IF($X39=0,$AD39,IF(AND($Z39&lt;&gt;"",EDATE($D39,Milestones!$AA$179)&gt;=$Z39),$AC39,IF(AND($Y39&lt;&gt;"",EDATE($D39,Milestones!$AA$179)&gt;=$Y39),$AB39,$AA39)))=Milestones!$AB$179),UPPER(TEXT(EDATE($D39,Milestones!$AA$179),"dd mmm yy"))&amp;" "&amp;Milestones!$AB$179&amp;" "&amp;IF(AND(Milestones!$AB$179="FT",Milestones!$AA$179=FT_Y5,EDATE($D39,Milestones!$AA$179)&lt;PolicyEff),1,Milestones!$AC$179)&amp;";  ","")&amp;IF(AND(EDATE($D39,Milestones!$AA$180)&lt;=AsOfDate,EDATE($D39,Milestones!$AA$180)&gt;=SchemeStart,IF($X39=0,$AD39,IF(AND($Z39&lt;&gt;"",EDATE($D39,Milestones!$AA$180)&gt;=$Z39),$AC39,IF(AND($Y39&lt;&gt;"",EDATE($D39,Milestones!$AA$180)&gt;=$Y39),$AB39,$AA39)))=Milestones!$AB$180),UPPER(TEXT(EDATE($D39,Milestones!$AA$180),"dd mmm yy"))&amp;" "&amp;Milestones!$AB$180&amp;" "&amp;IF(AND(Milestones!$AB$180="FT",Milestones!$AA$180=FT_Y5,EDATE($D39,Milestones!$AA$180)&lt;PolicyEff),1,Milestones!$AC$180)&amp;";  ","")&amp;IF(AND(EDATE($D39,Milestones!$AA$181)&lt;=AsOfDate,EDATE($D39,Milestones!$AA$181)&gt;=SchemeStart,IF($X39=0,$AD39,IF(AND($Z39&lt;&gt;"",EDATE($D39,Milestones!$AA$181)&gt;=$Z39),$AC39,IF(AND($Y39&lt;&gt;"",EDATE($D39,Milestones!$AA$181)&gt;=$Y39),$AB39,$AA39)))=Milestones!$AB$181),UPPER(TEXT(EDATE($D39,Milestones!$AA$181),"dd mmm yy"))&amp;" "&amp;Milestones!$AB$181&amp;" "&amp;IF(AND(Milestones!$AB$181="FT",Milestones!$AA$181=FT_Y5,EDATE($D39,Milestones!$AA$181)&lt;PolicyEff),1,Milestones!$AC$181)&amp;";  ","")&amp;IF(AND(EDATE($D39,Milestones!$AA$182)&lt;=AsOfDate,EDATE($D39,Milestones!$AA$182)&gt;=SchemeStart,IF($X39=0,$AD39,IF(AND($Z39&lt;&gt;"",EDATE($D39,Milestones!$AA$182)&gt;=$Z39),$AC39,IF(AND($Y39&lt;&gt;"",EDATE($D39,Milestones!$AA$182)&gt;=$Y39),$AB39,$AA39)))=Milestones!$AB$182),UPPER(TEXT(EDATE($D39,Milestones!$AA$182),"dd mmm yy"))&amp;" "&amp;Milestones!$AB$182&amp;" "&amp;IF(AND(Milestones!$AB$182="FT",Milestones!$AA$182=FT_Y5,EDATE($D39,Milestones!$AA$182)&lt;PolicyEff),1,Milestones!$AC$182)&amp;";  ","")&amp;IF(AND(EDATE($D39,Milestones!$AA$183)&lt;=AsOfDate,EDATE($D39,Milestones!$AA$183)&gt;=SchemeStart,IF($X39=0,$AD39,IF(AND($Z39&lt;&gt;"",EDATE($D39,Milestones!$AA$183)&gt;=$Z39),$AC39,IF(AND($Y39&lt;&gt;"",EDATE($D39,Milestones!$AA$183)&gt;=$Y39),$AB39,$AA39)))=Milestones!$AB$183),UPPER(TEXT(EDATE($D39,Milestones!$AA$183),"dd mmm yy"))&amp;" "&amp;Milestones!$AB$183&amp;" "&amp;IF(AND(Milestones!$AB$183="FT",Milestones!$AA$183=FT_Y5,EDATE($D39,Milestones!$AA$183)&lt;PolicyEff),1,Milestones!$AC$183)&amp;";  ","")&amp;IF(AND(EDATE($D39,Milestones!$AA$184)&lt;=AsOfDate,EDATE($D39,Milestones!$AA$184)&gt;=SchemeStart,IF($X39=0,$AD39,IF(AND($Z39&lt;&gt;"",EDATE($D39,Milestones!$AA$184)&gt;=$Z39),$AC39,IF(AND($Y39&lt;&gt;"",EDATE($D39,Milestones!$AA$184)&gt;=$Y39),$AB39,$AA39)))=Milestones!$AB$184),UPPER(TEXT(EDATE($D39,Milestones!$AA$184),"dd mmm yy"))&amp;" "&amp;Milestones!$AB$184&amp;" "&amp;IF(AND(Milestones!$AB$184="FT",Milestones!$AA$184=FT_Y5,EDATE($D39,Milestones!$AA$184)&lt;PolicyEff),1,Milestones!$AC$184)&amp;";  ","")&amp;IF(AND(EDATE($D39,Milestones!$AA$185)&lt;=AsOfDate,EDATE($D39,Milestones!$AA$185)&gt;=SchemeStart,IF($X39=0,$AD39,IF(AND($Z39&lt;&gt;"",EDATE($D39,Milestones!$AA$185)&gt;=$Z39),$AC39,IF(AND($Y39&lt;&gt;"",EDATE($D39,Milestones!$AA$185)&gt;=$Y39),$AB39,$AA39)))=Milestones!$AB$185),UPPER(TEXT(EDATE($D39,Milestones!$AA$185),"dd mmm yy"))&amp;" "&amp;Milestones!$AB$185&amp;" "&amp;IF(AND(Milestones!$AB$185="FT",Milestones!$AA$185=FT_Y5,EDATE($D39,Milestones!$AA$185)&lt;PolicyEff),1,Milestones!$AC$185)&amp;";  ","")&amp;IF(AND(EDATE($D39,Milestones!$AA$186)&lt;=AsOfDate,EDATE($D39,Milestones!$AA$186)&gt;=SchemeStart,IF($X39=0,$AD39,IF(AND($Z39&lt;&gt;"",EDATE($D39,Milestones!$AA$186)&gt;=$Z39),$AC39,IF(AND($Y39&lt;&gt;"",EDATE($D39,Milestones!$AA$186)&gt;=$Y39),$AB39,$AA39)))=Milestones!$AB$186),UPPER(TEXT(EDATE($D39,Milestones!$AA$186),"dd mmm yy"))&amp;" "&amp;Milestones!$AB$186&amp;" "&amp;IF(AND(Milestones!$AB$186="FT",Milestones!$AA$186=FT_Y5,EDATE($D39,Milestones!$AA$186)&lt;PolicyEff),1,Milestones!$AC$186)&amp;";  ","")&amp;IF(AND(EDATE($D39,Milestones!$AA$187)&lt;=AsOfDate,EDATE($D39,Milestones!$AA$187)&gt;=SchemeStart,IF($X39=0,$AD39,IF(AND($Z39&lt;&gt;"",EDATE($D39,Milestones!$AA$187)&gt;=$Z39),$AC39,IF(AND($Y39&lt;&gt;"",EDATE($D39,Milestones!$AA$187)&gt;=$Y39),$AB39,$AA39)))=Milestones!$AB$187),UPPER(TEXT(EDATE($D39,Milestones!$AA$187),"dd mmm yy"))&amp;" "&amp;Milestones!$AB$187&amp;" "&amp;IF(AND(Milestones!$AB$187="FT",Milestones!$AA$187=FT_Y5,EDATE($D39,Milestones!$AA$187)&lt;PolicyEff),1,Milestones!$AC$187)&amp;";  ",""))</f>
        <v/>
      </c>
      <c r="W39" s="0" t="str">
        <f aca="false">IF(OR($A39="",$D39=""),"",IF(AND(EDATE($D39,Milestones!$AA$188)&lt;=AsOfDate,EDATE($D39,Milestones!$AA$188)&gt;=SchemeStart,IF($X39=0,$AD39,IF(AND($Z39&lt;&gt;"",EDATE($D39,Milestones!$AA$188)&gt;=$Z39),$AC39,IF(AND($Y39&lt;&gt;"",EDATE($D39,Milestones!$AA$188)&gt;=$Y39),$AB39,$AA39)))=Milestones!$AB$188),UPPER(TEXT(EDATE($D39,Milestones!$AA$188),"dd mmm yy"))&amp;" "&amp;Milestones!$AB$188&amp;" "&amp;IF(AND(Milestones!$AB$188="FT",Milestones!$AA$188=FT_Y5,EDATE($D39,Milestones!$AA$188)&lt;PolicyEff),1,Milestones!$AC$188)&amp;";  ","")&amp;IF(AND(EDATE($D39,Milestones!$AA$189)&lt;=AsOfDate,EDATE($D39,Milestones!$AA$189)&gt;=SchemeStart,IF($X39=0,$AD39,IF(AND($Z39&lt;&gt;"",EDATE($D39,Milestones!$AA$189)&gt;=$Z39),$AC39,IF(AND($Y39&lt;&gt;"",EDATE($D39,Milestones!$AA$189)&gt;=$Y39),$AB39,$AA39)))=Milestones!$AB$189),UPPER(TEXT(EDATE($D39,Milestones!$AA$189),"dd mmm yy"))&amp;" "&amp;Milestones!$AB$189&amp;" "&amp;IF(AND(Milestones!$AB$189="FT",Milestones!$AA$189=FT_Y5,EDATE($D39,Milestones!$AA$189)&lt;PolicyEff),1,Milestones!$AC$189)&amp;";  ","")&amp;IF(AND(EDATE($D39,Milestones!$AA$190)&lt;=AsOfDate,EDATE($D39,Milestones!$AA$190)&gt;=SchemeStart,IF($X39=0,$AD39,IF(AND($Z39&lt;&gt;"",EDATE($D39,Milestones!$AA$190)&gt;=$Z39),$AC39,IF(AND($Y39&lt;&gt;"",EDATE($D39,Milestones!$AA$190)&gt;=$Y39),$AB39,$AA39)))=Milestones!$AB$190),UPPER(TEXT(EDATE($D39,Milestones!$AA$190),"dd mmm yy"))&amp;" "&amp;Milestones!$AB$190&amp;" "&amp;IF(AND(Milestones!$AB$190="FT",Milestones!$AA$190=FT_Y5,EDATE($D39,Milestones!$AA$190)&lt;PolicyEff),1,Milestones!$AC$190)&amp;";  ","")&amp;IF(AND(EDATE($D39,Milestones!$AA$191)&lt;=AsOfDate,EDATE($D39,Milestones!$AA$191)&gt;=SchemeStart,IF($X39=0,$AD39,IF(AND($Z39&lt;&gt;"",EDATE($D39,Milestones!$AA$191)&gt;=$Z39),$AC39,IF(AND($Y39&lt;&gt;"",EDATE($D39,Milestones!$AA$191)&gt;=$Y39),$AB39,$AA39)))=Milestones!$AB$191),UPPER(TEXT(EDATE($D39,Milestones!$AA$191),"dd mmm yy"))&amp;" "&amp;Milestones!$AB$191&amp;" "&amp;IF(AND(Milestones!$AB$191="FT",Milestones!$AA$191=FT_Y5,EDATE($D39,Milestones!$AA$191)&lt;PolicyEff),1,Milestones!$AC$191)&amp;";  ","")&amp;IF(AND(EDATE($D39,Milestones!$AA$192)&lt;=AsOfDate,EDATE($D39,Milestones!$AA$192)&gt;=SchemeStart,IF($X39=0,$AD39,IF(AND($Z39&lt;&gt;"",EDATE($D39,Milestones!$AA$192)&gt;=$Z39),$AC39,IF(AND($Y39&lt;&gt;"",EDATE($D39,Milestones!$AA$192)&gt;=$Y39),$AB39,$AA39)))=Milestones!$AB$192),UPPER(TEXT(EDATE($D39,Milestones!$AA$192),"dd mmm yy"))&amp;" "&amp;Milestones!$AB$192&amp;" "&amp;IF(AND(Milestones!$AB$192="FT",Milestones!$AA$192=FT_Y5,EDATE($D39,Milestones!$AA$192)&lt;PolicyEff),1,Milestones!$AC$192)&amp;";  ","")&amp;IF(AND(EDATE($D39,Milestones!$AA$193)&lt;=AsOfDate,EDATE($D39,Milestones!$AA$193)&gt;=SchemeStart,IF($X39=0,$AD39,IF(AND($Z39&lt;&gt;"",EDATE($D39,Milestones!$AA$193)&gt;=$Z39),$AC39,IF(AND($Y39&lt;&gt;"",EDATE($D39,Milestones!$AA$193)&gt;=$Y39),$AB39,$AA39)))=Milestones!$AB$193),UPPER(TEXT(EDATE($D39,Milestones!$AA$193),"dd mmm yy"))&amp;" "&amp;Milestones!$AB$193&amp;" "&amp;IF(AND(Milestones!$AB$193="FT",Milestones!$AA$193=FT_Y5,EDATE($D39,Milestones!$AA$193)&lt;PolicyEff),1,Milestones!$AC$193)&amp;";  ","")&amp;IF(AND(EDATE($D39,Milestones!$AA$194)&lt;=AsOfDate,EDATE($D39,Milestones!$AA$194)&gt;=SchemeStart,IF($X39=0,$AD39,IF(AND($Z39&lt;&gt;"",EDATE($D39,Milestones!$AA$194)&gt;=$Z39),$AC39,IF(AND($Y39&lt;&gt;"",EDATE($D39,Milestones!$AA$194)&gt;=$Y39),$AB39,$AA39)))=Milestones!$AB$194),UPPER(TEXT(EDATE($D39,Milestones!$AA$194),"dd mmm yy"))&amp;" "&amp;Milestones!$AB$194&amp;" "&amp;IF(AND(Milestones!$AB$194="FT",Milestones!$AA$194=FT_Y5,EDATE($D39,Milestones!$AA$194)&lt;PolicyEff),1,Milestones!$AC$194)&amp;";  ","")&amp;IF(AND(EDATE($D39,Milestones!$AA$195)&lt;=AsOfDate,EDATE($D39,Milestones!$AA$195)&gt;=SchemeStart,IF($X39=0,$AD39,IF(AND($Z39&lt;&gt;"",EDATE($D39,Milestones!$AA$195)&gt;=$Z39),$AC39,IF(AND($Y39&lt;&gt;"",EDATE($D39,Milestones!$AA$195)&gt;=$Y39),$AB39,$AA39)))=Milestones!$AB$195),UPPER(TEXT(EDATE($D39,Milestones!$AA$195),"dd mmm yy"))&amp;" "&amp;Milestones!$AB$195&amp;" "&amp;IF(AND(Milestones!$AB$195="FT",Milestones!$AA$195=FT_Y5,EDATE($D39,Milestones!$AA$195)&lt;PolicyEff),1,Milestones!$AC$195)&amp;";  ","")&amp;IF(AND(EDATE($D39,Milestones!$AA$196)&lt;=AsOfDate,EDATE($D39,Milestones!$AA$196)&gt;=SchemeStart,IF($X39=0,$AD39,IF(AND($Z39&lt;&gt;"",EDATE($D39,Milestones!$AA$196)&gt;=$Z39),$AC39,IF(AND($Y39&lt;&gt;"",EDATE($D39,Milestones!$AA$196)&gt;=$Y39),$AB39,$AA39)))=Milestones!$AB$196),UPPER(TEXT(EDATE($D39,Milestones!$AA$196),"dd mmm yy"))&amp;" "&amp;Milestones!$AB$196&amp;" "&amp;IF(AND(Milestones!$AB$196="FT",Milestones!$AA$196=FT_Y5,EDATE($D39,Milestones!$AA$196)&lt;PolicyEff),1,Milestones!$AC$196)&amp;";  ","")&amp;IF(AND(EDATE($D39,Milestones!$AA$197)&lt;=AsOfDate,EDATE($D39,Milestones!$AA$197)&gt;=SchemeStart,IF($X39=0,$AD39,IF(AND($Z39&lt;&gt;"",EDATE($D39,Milestones!$AA$197)&gt;=$Z39),$AC39,IF(AND($Y39&lt;&gt;"",EDATE($D39,Milestones!$AA$197)&gt;=$Y39),$AB39,$AA39)))=Milestones!$AB$197),UPPER(TEXT(EDATE($D39,Milestones!$AA$197),"dd mmm yy"))&amp;" "&amp;Milestones!$AB$197&amp;" "&amp;IF(AND(Milestones!$AB$197="FT",Milestones!$AA$197=FT_Y5,EDATE($D39,Milestones!$AA$197)&lt;PolicyEff),1,Milestones!$AC$197)&amp;";  ","")&amp;IF(AND(EDATE($D39,Milestones!$AA$198)&lt;=AsOfDate,EDATE($D39,Milestones!$AA$198)&gt;=SchemeStart,IF($X39=0,$AD39,IF(AND($Z39&lt;&gt;"",EDATE($D39,Milestones!$AA$198)&gt;=$Z39),$AC39,IF(AND($Y39&lt;&gt;"",EDATE($D39,Milestones!$AA$198)&gt;=$Y39),$AB39,$AA39)))=Milestones!$AB$198),UPPER(TEXT(EDATE($D39,Milestones!$AA$198),"dd mmm yy"))&amp;" "&amp;Milestones!$AB$198&amp;" "&amp;IF(AND(Milestones!$AB$198="FT",Milestones!$AA$198=FT_Y5,EDATE($D39,Milestones!$AA$198)&lt;PolicyEff),1,Milestones!$AC$198)&amp;";  ","")&amp;IF(AND(EDATE($D39,Milestones!$AA$199)&lt;=AsOfDate,EDATE($D39,Milestones!$AA$199)&gt;=SchemeStart,IF($X39=0,$AD39,IF(AND($Z39&lt;&gt;"",EDATE($D39,Milestones!$AA$199)&gt;=$Z39),$AC39,IF(AND($Y39&lt;&gt;"",EDATE($D39,Milestones!$AA$199)&gt;=$Y39),$AB39,$AA39)))=Milestones!$AB$199),UPPER(TEXT(EDATE($D39,Milestones!$AA$199),"dd mmm yy"))&amp;" "&amp;Milestones!$AB$199&amp;" "&amp;IF(AND(Milestones!$AB$199="FT",Milestones!$AA$199=FT_Y5,EDATE($D39,Milestones!$AA$199)&lt;PolicyEff),1,Milestones!$AC$199)&amp;";  ",""))</f>
        <v/>
      </c>
      <c r="X39" s="0" t="str">
        <f aca="false">IF(Staff!$A39="","",Staff!$AM39)</f>
        <v/>
      </c>
      <c r="Y39" s="0" t="str">
        <f aca="false">IF(Staff!$A39="","",Staff!$AO39)</f>
        <v/>
      </c>
      <c r="Z39" s="0" t="str">
        <f aca="false">IF(Staff!$A39="","",Staff!$AP39)</f>
        <v/>
      </c>
      <c r="AA39" s="0" t="str">
        <f aca="false">IF(Staff!$A39="","",Staff!$AT39)</f>
        <v/>
      </c>
      <c r="AB39" s="0" t="str">
        <f aca="false">IF(Staff!$A39="","",Staff!$AU39)</f>
        <v/>
      </c>
      <c r="AC39" s="0" t="str">
        <f aca="false">IF(Staff!$A39="","",Staff!$AV39)</f>
        <v/>
      </c>
      <c r="AD39" s="0" t="str">
        <f aca="false">IF(Staff!$A39="","",Staff!$AW39)</f>
        <v/>
      </c>
    </row>
    <row r="40" customFormat="false" ht="15" hidden="false" customHeight="false" outlineLevel="0" collapsed="false">
      <c r="A40" s="16" t="str">
        <f aca="false">IF(Staff!$A40="","",Staff!$A40)</f>
        <v/>
      </c>
      <c r="B40" s="16" t="str">
        <f aca="false">IF(Staff!$A40="","",Staff!$B40)</f>
        <v/>
      </c>
      <c r="C40" s="16" t="str">
        <f aca="false">IF(Staff!$A40="","",Staff!$C40)</f>
        <v/>
      </c>
      <c r="D40" s="14" t="str">
        <f aca="false">IF(Staff!$A40="","",Staff!$AL40)</f>
        <v/>
      </c>
      <c r="E40" s="16" t="str">
        <f aca="false">IF(Staff!$A40="","",Staff!$O40)</f>
        <v/>
      </c>
      <c r="F40" s="16" t="str">
        <f aca="false">IF(E40="","",E40*HoursPerDay)</f>
        <v/>
      </c>
      <c r="G40" s="16" t="str">
        <f aca="false">IF(Staff!$A40="","",Staff!$AE40)</f>
        <v/>
      </c>
      <c r="H40" s="28" t="str">
        <f aca="false">IF($A40="","",I40&amp;J40&amp;K40&amp;L40&amp;M40&amp;N40&amp;O40&amp;P40&amp;Q40&amp;R40&amp;S40&amp;T40&amp;U40&amp;V40&amp;W40)</f>
        <v/>
      </c>
      <c r="I40" s="0" t="str">
        <f aca="false">IF(OR($A40="",$D40=""),"",IF(AND(EDATE($D40,Milestones!$AA$20)&lt;=AsOfDate,EDATE($D40,Milestones!$AA$20)&gt;=SchemeStart,IF($X40=0,$AD40,IF(AND($Z40&lt;&gt;"",EDATE($D40,Milestones!$AA$20)&gt;=$Z40),$AC40,IF(AND($Y40&lt;&gt;"",EDATE($D40,Milestones!$AA$20)&gt;=$Y40),$AB40,$AA40)))=Milestones!$AB$20),UPPER(TEXT(EDATE($D40,Milestones!$AA$20),"dd mmm yy"))&amp;" "&amp;Milestones!$AB$20&amp;" "&amp;IF(AND(Milestones!$AB$20="FT",Milestones!$AA$20=FT_Y5,EDATE($D40,Milestones!$AA$20)&lt;PolicyEff),1,Milestones!$AC$20)&amp;";  ","")&amp;IF(AND(EDATE($D40,Milestones!$AA$21)&lt;=AsOfDate,EDATE($D40,Milestones!$AA$21)&gt;=SchemeStart,IF($X40=0,$AD40,IF(AND($Z40&lt;&gt;"",EDATE($D40,Milestones!$AA$21)&gt;=$Z40),$AC40,IF(AND($Y40&lt;&gt;"",EDATE($D40,Milestones!$AA$21)&gt;=$Y40),$AB40,$AA40)))=Milestones!$AB$21),UPPER(TEXT(EDATE($D40,Milestones!$AA$21),"dd mmm yy"))&amp;" "&amp;Milestones!$AB$21&amp;" "&amp;IF(AND(Milestones!$AB$21="FT",Milestones!$AA$21=FT_Y5,EDATE($D40,Milestones!$AA$21)&lt;PolicyEff),1,Milestones!$AC$21)&amp;";  ","")&amp;IF(AND(EDATE($D40,Milestones!$AA$22)&lt;=AsOfDate,EDATE($D40,Milestones!$AA$22)&gt;=SchemeStart,IF($X40=0,$AD40,IF(AND($Z40&lt;&gt;"",EDATE($D40,Milestones!$AA$22)&gt;=$Z40),$AC40,IF(AND($Y40&lt;&gt;"",EDATE($D40,Milestones!$AA$22)&gt;=$Y40),$AB40,$AA40)))=Milestones!$AB$22),UPPER(TEXT(EDATE($D40,Milestones!$AA$22),"dd mmm yy"))&amp;" "&amp;Milestones!$AB$22&amp;" "&amp;IF(AND(Milestones!$AB$22="FT",Milestones!$AA$22=FT_Y5,EDATE($D40,Milestones!$AA$22)&lt;PolicyEff),1,Milestones!$AC$22)&amp;";  ","")&amp;IF(AND(EDATE($D40,Milestones!$AA$23)&lt;=AsOfDate,EDATE($D40,Milestones!$AA$23)&gt;=SchemeStart,IF($X40=0,$AD40,IF(AND($Z40&lt;&gt;"",EDATE($D40,Milestones!$AA$23)&gt;=$Z40),$AC40,IF(AND($Y40&lt;&gt;"",EDATE($D40,Milestones!$AA$23)&gt;=$Y40),$AB40,$AA40)))=Milestones!$AB$23),UPPER(TEXT(EDATE($D40,Milestones!$AA$23),"dd mmm yy"))&amp;" "&amp;Milestones!$AB$23&amp;" "&amp;IF(AND(Milestones!$AB$23="FT",Milestones!$AA$23=FT_Y5,EDATE($D40,Milestones!$AA$23)&lt;PolicyEff),1,Milestones!$AC$23)&amp;";  ","")&amp;IF(AND(EDATE($D40,Milestones!$AA$24)&lt;=AsOfDate,EDATE($D40,Milestones!$AA$24)&gt;=SchemeStart,IF($X40=0,$AD40,IF(AND($Z40&lt;&gt;"",EDATE($D40,Milestones!$AA$24)&gt;=$Z40),$AC40,IF(AND($Y40&lt;&gt;"",EDATE($D40,Milestones!$AA$24)&gt;=$Y40),$AB40,$AA40)))=Milestones!$AB$24),UPPER(TEXT(EDATE($D40,Milestones!$AA$24),"dd mmm yy"))&amp;" "&amp;Milestones!$AB$24&amp;" "&amp;IF(AND(Milestones!$AB$24="FT",Milestones!$AA$24=FT_Y5,EDATE($D40,Milestones!$AA$24)&lt;PolicyEff),1,Milestones!$AC$24)&amp;";  ","")&amp;IF(AND(EDATE($D40,Milestones!$AA$25)&lt;=AsOfDate,EDATE($D40,Milestones!$AA$25)&gt;=SchemeStart,IF($X40=0,$AD40,IF(AND($Z40&lt;&gt;"",EDATE($D40,Milestones!$AA$25)&gt;=$Z40),$AC40,IF(AND($Y40&lt;&gt;"",EDATE($D40,Milestones!$AA$25)&gt;=$Y40),$AB40,$AA40)))=Milestones!$AB$25),UPPER(TEXT(EDATE($D40,Milestones!$AA$25),"dd mmm yy"))&amp;" "&amp;Milestones!$AB$25&amp;" "&amp;IF(AND(Milestones!$AB$25="FT",Milestones!$AA$25=FT_Y5,EDATE($D40,Milestones!$AA$25)&lt;PolicyEff),1,Milestones!$AC$25)&amp;";  ","")&amp;IF(AND(EDATE($D40,Milestones!$AA$26)&lt;=AsOfDate,EDATE($D40,Milestones!$AA$26)&gt;=SchemeStart,IF($X40=0,$AD40,IF(AND($Z40&lt;&gt;"",EDATE($D40,Milestones!$AA$26)&gt;=$Z40),$AC40,IF(AND($Y40&lt;&gt;"",EDATE($D40,Milestones!$AA$26)&gt;=$Y40),$AB40,$AA40)))=Milestones!$AB$26),UPPER(TEXT(EDATE($D40,Milestones!$AA$26),"dd mmm yy"))&amp;" "&amp;Milestones!$AB$26&amp;" "&amp;IF(AND(Milestones!$AB$26="FT",Milestones!$AA$26=FT_Y5,EDATE($D40,Milestones!$AA$26)&lt;PolicyEff),1,Milestones!$AC$26)&amp;";  ","")&amp;IF(AND(EDATE($D40,Milestones!$AA$27)&lt;=AsOfDate,EDATE($D40,Milestones!$AA$27)&gt;=SchemeStart,IF($X40=0,$AD40,IF(AND($Z40&lt;&gt;"",EDATE($D40,Milestones!$AA$27)&gt;=$Z40),$AC40,IF(AND($Y40&lt;&gt;"",EDATE($D40,Milestones!$AA$27)&gt;=$Y40),$AB40,$AA40)))=Milestones!$AB$27),UPPER(TEXT(EDATE($D40,Milestones!$AA$27),"dd mmm yy"))&amp;" "&amp;Milestones!$AB$27&amp;" "&amp;IF(AND(Milestones!$AB$27="FT",Milestones!$AA$27=FT_Y5,EDATE($D40,Milestones!$AA$27)&lt;PolicyEff),1,Milestones!$AC$27)&amp;";  ","")&amp;IF(AND(EDATE($D40,Milestones!$AA$28)&lt;=AsOfDate,EDATE($D40,Milestones!$AA$28)&gt;=SchemeStart,IF($X40=0,$AD40,IF(AND($Z40&lt;&gt;"",EDATE($D40,Milestones!$AA$28)&gt;=$Z40),$AC40,IF(AND($Y40&lt;&gt;"",EDATE($D40,Milestones!$AA$28)&gt;=$Y40),$AB40,$AA40)))=Milestones!$AB$28),UPPER(TEXT(EDATE($D40,Milestones!$AA$28),"dd mmm yy"))&amp;" "&amp;Milestones!$AB$28&amp;" "&amp;IF(AND(Milestones!$AB$28="FT",Milestones!$AA$28=FT_Y5,EDATE($D40,Milestones!$AA$28)&lt;PolicyEff),1,Milestones!$AC$28)&amp;";  ","")&amp;IF(AND(EDATE($D40,Milestones!$AA$29)&lt;=AsOfDate,EDATE($D40,Milestones!$AA$29)&gt;=SchemeStart,IF($X40=0,$AD40,IF(AND($Z40&lt;&gt;"",EDATE($D40,Milestones!$AA$29)&gt;=$Z40),$AC40,IF(AND($Y40&lt;&gt;"",EDATE($D40,Milestones!$AA$29)&gt;=$Y40),$AB40,$AA40)))=Milestones!$AB$29),UPPER(TEXT(EDATE($D40,Milestones!$AA$29),"dd mmm yy"))&amp;" "&amp;Milestones!$AB$29&amp;" "&amp;IF(AND(Milestones!$AB$29="FT",Milestones!$AA$29=FT_Y5,EDATE($D40,Milestones!$AA$29)&lt;PolicyEff),1,Milestones!$AC$29)&amp;";  ","")&amp;IF(AND(EDATE($D40,Milestones!$AA$30)&lt;=AsOfDate,EDATE($D40,Milestones!$AA$30)&gt;=SchemeStart,IF($X40=0,$AD40,IF(AND($Z40&lt;&gt;"",EDATE($D40,Milestones!$AA$30)&gt;=$Z40),$AC40,IF(AND($Y40&lt;&gt;"",EDATE($D40,Milestones!$AA$30)&gt;=$Y40),$AB40,$AA40)))=Milestones!$AB$30),UPPER(TEXT(EDATE($D40,Milestones!$AA$30),"dd mmm yy"))&amp;" "&amp;Milestones!$AB$30&amp;" "&amp;IF(AND(Milestones!$AB$30="FT",Milestones!$AA$30=FT_Y5,EDATE($D40,Milestones!$AA$30)&lt;PolicyEff),1,Milestones!$AC$30)&amp;";  ","")&amp;IF(AND(EDATE($D40,Milestones!$AA$31)&lt;=AsOfDate,EDATE($D40,Milestones!$AA$31)&gt;=SchemeStart,IF($X40=0,$AD40,IF(AND($Z40&lt;&gt;"",EDATE($D40,Milestones!$AA$31)&gt;=$Z40),$AC40,IF(AND($Y40&lt;&gt;"",EDATE($D40,Milestones!$AA$31)&gt;=$Y40),$AB40,$AA40)))=Milestones!$AB$31),UPPER(TEXT(EDATE($D40,Milestones!$AA$31),"dd mmm yy"))&amp;" "&amp;Milestones!$AB$31&amp;" "&amp;IF(AND(Milestones!$AB$31="FT",Milestones!$AA$31=FT_Y5,EDATE($D40,Milestones!$AA$31)&lt;PolicyEff),1,Milestones!$AC$31)&amp;";  ",""))</f>
        <v/>
      </c>
      <c r="J40" s="0" t="str">
        <f aca="false">IF(OR($A40="",$D40=""),"",IF(AND(EDATE($D40,Milestones!$AA$32)&lt;=AsOfDate,EDATE($D40,Milestones!$AA$32)&gt;=SchemeStart,IF($X40=0,$AD40,IF(AND($Z40&lt;&gt;"",EDATE($D40,Milestones!$AA$32)&gt;=$Z40),$AC40,IF(AND($Y40&lt;&gt;"",EDATE($D40,Milestones!$AA$32)&gt;=$Y40),$AB40,$AA40)))=Milestones!$AB$32),UPPER(TEXT(EDATE($D40,Milestones!$AA$32),"dd mmm yy"))&amp;" "&amp;Milestones!$AB$32&amp;" "&amp;IF(AND(Milestones!$AB$32="FT",Milestones!$AA$32=FT_Y5,EDATE($D40,Milestones!$AA$32)&lt;PolicyEff),1,Milestones!$AC$32)&amp;";  ","")&amp;IF(AND(EDATE($D40,Milestones!$AA$33)&lt;=AsOfDate,EDATE($D40,Milestones!$AA$33)&gt;=SchemeStart,IF($X40=0,$AD40,IF(AND($Z40&lt;&gt;"",EDATE($D40,Milestones!$AA$33)&gt;=$Z40),$AC40,IF(AND($Y40&lt;&gt;"",EDATE($D40,Milestones!$AA$33)&gt;=$Y40),$AB40,$AA40)))=Milestones!$AB$33),UPPER(TEXT(EDATE($D40,Milestones!$AA$33),"dd mmm yy"))&amp;" "&amp;Milestones!$AB$33&amp;" "&amp;IF(AND(Milestones!$AB$33="FT",Milestones!$AA$33=FT_Y5,EDATE($D40,Milestones!$AA$33)&lt;PolicyEff),1,Milestones!$AC$33)&amp;";  ","")&amp;IF(AND(EDATE($D40,Milestones!$AA$34)&lt;=AsOfDate,EDATE($D40,Milestones!$AA$34)&gt;=SchemeStart,IF($X40=0,$AD40,IF(AND($Z40&lt;&gt;"",EDATE($D40,Milestones!$AA$34)&gt;=$Z40),$AC40,IF(AND($Y40&lt;&gt;"",EDATE($D40,Milestones!$AA$34)&gt;=$Y40),$AB40,$AA40)))=Milestones!$AB$34),UPPER(TEXT(EDATE($D40,Milestones!$AA$34),"dd mmm yy"))&amp;" "&amp;Milestones!$AB$34&amp;" "&amp;IF(AND(Milestones!$AB$34="FT",Milestones!$AA$34=FT_Y5,EDATE($D40,Milestones!$AA$34)&lt;PolicyEff),1,Milestones!$AC$34)&amp;";  ","")&amp;IF(AND(EDATE($D40,Milestones!$AA$35)&lt;=AsOfDate,EDATE($D40,Milestones!$AA$35)&gt;=SchemeStart,IF($X40=0,$AD40,IF(AND($Z40&lt;&gt;"",EDATE($D40,Milestones!$AA$35)&gt;=$Z40),$AC40,IF(AND($Y40&lt;&gt;"",EDATE($D40,Milestones!$AA$35)&gt;=$Y40),$AB40,$AA40)))=Milestones!$AB$35),UPPER(TEXT(EDATE($D40,Milestones!$AA$35),"dd mmm yy"))&amp;" "&amp;Milestones!$AB$35&amp;" "&amp;IF(AND(Milestones!$AB$35="FT",Milestones!$AA$35=FT_Y5,EDATE($D40,Milestones!$AA$35)&lt;PolicyEff),1,Milestones!$AC$35)&amp;";  ","")&amp;IF(AND(EDATE($D40,Milestones!$AA$36)&lt;=AsOfDate,EDATE($D40,Milestones!$AA$36)&gt;=SchemeStart,IF($X40=0,$AD40,IF(AND($Z40&lt;&gt;"",EDATE($D40,Milestones!$AA$36)&gt;=$Z40),$AC40,IF(AND($Y40&lt;&gt;"",EDATE($D40,Milestones!$AA$36)&gt;=$Y40),$AB40,$AA40)))=Milestones!$AB$36),UPPER(TEXT(EDATE($D40,Milestones!$AA$36),"dd mmm yy"))&amp;" "&amp;Milestones!$AB$36&amp;" "&amp;IF(AND(Milestones!$AB$36="FT",Milestones!$AA$36=FT_Y5,EDATE($D40,Milestones!$AA$36)&lt;PolicyEff),1,Milestones!$AC$36)&amp;";  ","")&amp;IF(AND(EDATE($D40,Milestones!$AA$37)&lt;=AsOfDate,EDATE($D40,Milestones!$AA$37)&gt;=SchemeStart,IF($X40=0,$AD40,IF(AND($Z40&lt;&gt;"",EDATE($D40,Milestones!$AA$37)&gt;=$Z40),$AC40,IF(AND($Y40&lt;&gt;"",EDATE($D40,Milestones!$AA$37)&gt;=$Y40),$AB40,$AA40)))=Milestones!$AB$37),UPPER(TEXT(EDATE($D40,Milestones!$AA$37),"dd mmm yy"))&amp;" "&amp;Milestones!$AB$37&amp;" "&amp;IF(AND(Milestones!$AB$37="FT",Milestones!$AA$37=FT_Y5,EDATE($D40,Milestones!$AA$37)&lt;PolicyEff),1,Milestones!$AC$37)&amp;";  ","")&amp;IF(AND(EDATE($D40,Milestones!$AA$38)&lt;=AsOfDate,EDATE($D40,Milestones!$AA$38)&gt;=SchemeStart,IF($X40=0,$AD40,IF(AND($Z40&lt;&gt;"",EDATE($D40,Milestones!$AA$38)&gt;=$Z40),$AC40,IF(AND($Y40&lt;&gt;"",EDATE($D40,Milestones!$AA$38)&gt;=$Y40),$AB40,$AA40)))=Milestones!$AB$38),UPPER(TEXT(EDATE($D40,Milestones!$AA$38),"dd mmm yy"))&amp;" "&amp;Milestones!$AB$38&amp;" "&amp;IF(AND(Milestones!$AB$38="FT",Milestones!$AA$38=FT_Y5,EDATE($D40,Milestones!$AA$38)&lt;PolicyEff),1,Milestones!$AC$38)&amp;";  ","")&amp;IF(AND(EDATE($D40,Milestones!$AA$39)&lt;=AsOfDate,EDATE($D40,Milestones!$AA$39)&gt;=SchemeStart,IF($X40=0,$AD40,IF(AND($Z40&lt;&gt;"",EDATE($D40,Milestones!$AA$39)&gt;=$Z40),$AC40,IF(AND($Y40&lt;&gt;"",EDATE($D40,Milestones!$AA$39)&gt;=$Y40),$AB40,$AA40)))=Milestones!$AB$39),UPPER(TEXT(EDATE($D40,Milestones!$AA$39),"dd mmm yy"))&amp;" "&amp;Milestones!$AB$39&amp;" "&amp;IF(AND(Milestones!$AB$39="FT",Milestones!$AA$39=FT_Y5,EDATE($D40,Milestones!$AA$39)&lt;PolicyEff),1,Milestones!$AC$39)&amp;";  ","")&amp;IF(AND(EDATE($D40,Milestones!$AA$40)&lt;=AsOfDate,EDATE($D40,Milestones!$AA$40)&gt;=SchemeStart,IF($X40=0,$AD40,IF(AND($Z40&lt;&gt;"",EDATE($D40,Milestones!$AA$40)&gt;=$Z40),$AC40,IF(AND($Y40&lt;&gt;"",EDATE($D40,Milestones!$AA$40)&gt;=$Y40),$AB40,$AA40)))=Milestones!$AB$40),UPPER(TEXT(EDATE($D40,Milestones!$AA$40),"dd mmm yy"))&amp;" "&amp;Milestones!$AB$40&amp;" "&amp;IF(AND(Milestones!$AB$40="FT",Milestones!$AA$40=FT_Y5,EDATE($D40,Milestones!$AA$40)&lt;PolicyEff),1,Milestones!$AC$40)&amp;";  ","")&amp;IF(AND(EDATE($D40,Milestones!$AA$41)&lt;=AsOfDate,EDATE($D40,Milestones!$AA$41)&gt;=SchemeStart,IF($X40=0,$AD40,IF(AND($Z40&lt;&gt;"",EDATE($D40,Milestones!$AA$41)&gt;=$Z40),$AC40,IF(AND($Y40&lt;&gt;"",EDATE($D40,Milestones!$AA$41)&gt;=$Y40),$AB40,$AA40)))=Milestones!$AB$41),UPPER(TEXT(EDATE($D40,Milestones!$AA$41),"dd mmm yy"))&amp;" "&amp;Milestones!$AB$41&amp;" "&amp;IF(AND(Milestones!$AB$41="FT",Milestones!$AA$41=FT_Y5,EDATE($D40,Milestones!$AA$41)&lt;PolicyEff),1,Milestones!$AC$41)&amp;";  ","")&amp;IF(AND(EDATE($D40,Milestones!$AA$42)&lt;=AsOfDate,EDATE($D40,Milestones!$AA$42)&gt;=SchemeStart,IF($X40=0,$AD40,IF(AND($Z40&lt;&gt;"",EDATE($D40,Milestones!$AA$42)&gt;=$Z40),$AC40,IF(AND($Y40&lt;&gt;"",EDATE($D40,Milestones!$AA$42)&gt;=$Y40),$AB40,$AA40)))=Milestones!$AB$42),UPPER(TEXT(EDATE($D40,Milestones!$AA$42),"dd mmm yy"))&amp;" "&amp;Milestones!$AB$42&amp;" "&amp;IF(AND(Milestones!$AB$42="FT",Milestones!$AA$42=FT_Y5,EDATE($D40,Milestones!$AA$42)&lt;PolicyEff),1,Milestones!$AC$42)&amp;";  ","")&amp;IF(AND(EDATE($D40,Milestones!$AA$43)&lt;=AsOfDate,EDATE($D40,Milestones!$AA$43)&gt;=SchemeStart,IF($X40=0,$AD40,IF(AND($Z40&lt;&gt;"",EDATE($D40,Milestones!$AA$43)&gt;=$Z40),$AC40,IF(AND($Y40&lt;&gt;"",EDATE($D40,Milestones!$AA$43)&gt;=$Y40),$AB40,$AA40)))=Milestones!$AB$43),UPPER(TEXT(EDATE($D40,Milestones!$AA$43),"dd mmm yy"))&amp;" "&amp;Milestones!$AB$43&amp;" "&amp;IF(AND(Milestones!$AB$43="FT",Milestones!$AA$43=FT_Y5,EDATE($D40,Milestones!$AA$43)&lt;PolicyEff),1,Milestones!$AC$43)&amp;";  ",""))</f>
        <v/>
      </c>
      <c r="K40" s="0" t="str">
        <f aca="false">IF(OR($A40="",$D40=""),"",IF(AND(EDATE($D40,Milestones!$AA$44)&lt;=AsOfDate,EDATE($D40,Milestones!$AA$44)&gt;=SchemeStart,IF($X40=0,$AD40,IF(AND($Z40&lt;&gt;"",EDATE($D40,Milestones!$AA$44)&gt;=$Z40),$AC40,IF(AND($Y40&lt;&gt;"",EDATE($D40,Milestones!$AA$44)&gt;=$Y40),$AB40,$AA40)))=Milestones!$AB$44),UPPER(TEXT(EDATE($D40,Milestones!$AA$44),"dd mmm yy"))&amp;" "&amp;Milestones!$AB$44&amp;" "&amp;IF(AND(Milestones!$AB$44="FT",Milestones!$AA$44=FT_Y5,EDATE($D40,Milestones!$AA$44)&lt;PolicyEff),1,Milestones!$AC$44)&amp;";  ","")&amp;IF(AND(EDATE($D40,Milestones!$AA$45)&lt;=AsOfDate,EDATE($D40,Milestones!$AA$45)&gt;=SchemeStart,IF($X40=0,$AD40,IF(AND($Z40&lt;&gt;"",EDATE($D40,Milestones!$AA$45)&gt;=$Z40),$AC40,IF(AND($Y40&lt;&gt;"",EDATE($D40,Milestones!$AA$45)&gt;=$Y40),$AB40,$AA40)))=Milestones!$AB$45),UPPER(TEXT(EDATE($D40,Milestones!$AA$45),"dd mmm yy"))&amp;" "&amp;Milestones!$AB$45&amp;" "&amp;IF(AND(Milestones!$AB$45="FT",Milestones!$AA$45=FT_Y5,EDATE($D40,Milestones!$AA$45)&lt;PolicyEff),1,Milestones!$AC$45)&amp;";  ","")&amp;IF(AND(EDATE($D40,Milestones!$AA$46)&lt;=AsOfDate,EDATE($D40,Milestones!$AA$46)&gt;=SchemeStart,IF($X40=0,$AD40,IF(AND($Z40&lt;&gt;"",EDATE($D40,Milestones!$AA$46)&gt;=$Z40),$AC40,IF(AND($Y40&lt;&gt;"",EDATE($D40,Milestones!$AA$46)&gt;=$Y40),$AB40,$AA40)))=Milestones!$AB$46),UPPER(TEXT(EDATE($D40,Milestones!$AA$46),"dd mmm yy"))&amp;" "&amp;Milestones!$AB$46&amp;" "&amp;IF(AND(Milestones!$AB$46="FT",Milestones!$AA$46=FT_Y5,EDATE($D40,Milestones!$AA$46)&lt;PolicyEff),1,Milestones!$AC$46)&amp;";  ","")&amp;IF(AND(EDATE($D40,Milestones!$AA$47)&lt;=AsOfDate,EDATE($D40,Milestones!$AA$47)&gt;=SchemeStart,IF($X40=0,$AD40,IF(AND($Z40&lt;&gt;"",EDATE($D40,Milestones!$AA$47)&gt;=$Z40),$AC40,IF(AND($Y40&lt;&gt;"",EDATE($D40,Milestones!$AA$47)&gt;=$Y40),$AB40,$AA40)))=Milestones!$AB$47),UPPER(TEXT(EDATE($D40,Milestones!$AA$47),"dd mmm yy"))&amp;" "&amp;Milestones!$AB$47&amp;" "&amp;IF(AND(Milestones!$AB$47="FT",Milestones!$AA$47=FT_Y5,EDATE($D40,Milestones!$AA$47)&lt;PolicyEff),1,Milestones!$AC$47)&amp;";  ","")&amp;IF(AND(EDATE($D40,Milestones!$AA$48)&lt;=AsOfDate,EDATE($D40,Milestones!$AA$48)&gt;=SchemeStart,IF($X40=0,$AD40,IF(AND($Z40&lt;&gt;"",EDATE($D40,Milestones!$AA$48)&gt;=$Z40),$AC40,IF(AND($Y40&lt;&gt;"",EDATE($D40,Milestones!$AA$48)&gt;=$Y40),$AB40,$AA40)))=Milestones!$AB$48),UPPER(TEXT(EDATE($D40,Milestones!$AA$48),"dd mmm yy"))&amp;" "&amp;Milestones!$AB$48&amp;" "&amp;IF(AND(Milestones!$AB$48="FT",Milestones!$AA$48=FT_Y5,EDATE($D40,Milestones!$AA$48)&lt;PolicyEff),1,Milestones!$AC$48)&amp;";  ","")&amp;IF(AND(EDATE($D40,Milestones!$AA$49)&lt;=AsOfDate,EDATE($D40,Milestones!$AA$49)&gt;=SchemeStart,IF($X40=0,$AD40,IF(AND($Z40&lt;&gt;"",EDATE($D40,Milestones!$AA$49)&gt;=$Z40),$AC40,IF(AND($Y40&lt;&gt;"",EDATE($D40,Milestones!$AA$49)&gt;=$Y40),$AB40,$AA40)))=Milestones!$AB$49),UPPER(TEXT(EDATE($D40,Milestones!$AA$49),"dd mmm yy"))&amp;" "&amp;Milestones!$AB$49&amp;" "&amp;IF(AND(Milestones!$AB$49="FT",Milestones!$AA$49=FT_Y5,EDATE($D40,Milestones!$AA$49)&lt;PolicyEff),1,Milestones!$AC$49)&amp;";  ","")&amp;IF(AND(EDATE($D40,Milestones!$AA$50)&lt;=AsOfDate,EDATE($D40,Milestones!$AA$50)&gt;=SchemeStart,IF($X40=0,$AD40,IF(AND($Z40&lt;&gt;"",EDATE($D40,Milestones!$AA$50)&gt;=$Z40),$AC40,IF(AND($Y40&lt;&gt;"",EDATE($D40,Milestones!$AA$50)&gt;=$Y40),$AB40,$AA40)))=Milestones!$AB$50),UPPER(TEXT(EDATE($D40,Milestones!$AA$50),"dd mmm yy"))&amp;" "&amp;Milestones!$AB$50&amp;" "&amp;IF(AND(Milestones!$AB$50="FT",Milestones!$AA$50=FT_Y5,EDATE($D40,Milestones!$AA$50)&lt;PolicyEff),1,Milestones!$AC$50)&amp;";  ","")&amp;IF(AND(EDATE($D40,Milestones!$AA$51)&lt;=AsOfDate,EDATE($D40,Milestones!$AA$51)&gt;=SchemeStart,IF($X40=0,$AD40,IF(AND($Z40&lt;&gt;"",EDATE($D40,Milestones!$AA$51)&gt;=$Z40),$AC40,IF(AND($Y40&lt;&gt;"",EDATE($D40,Milestones!$AA$51)&gt;=$Y40),$AB40,$AA40)))=Milestones!$AB$51),UPPER(TEXT(EDATE($D40,Milestones!$AA$51),"dd mmm yy"))&amp;" "&amp;Milestones!$AB$51&amp;" "&amp;IF(AND(Milestones!$AB$51="FT",Milestones!$AA$51=FT_Y5,EDATE($D40,Milestones!$AA$51)&lt;PolicyEff),1,Milestones!$AC$51)&amp;";  ","")&amp;IF(AND(EDATE($D40,Milestones!$AA$52)&lt;=AsOfDate,EDATE($D40,Milestones!$AA$52)&gt;=SchemeStart,IF($X40=0,$AD40,IF(AND($Z40&lt;&gt;"",EDATE($D40,Milestones!$AA$52)&gt;=$Z40),$AC40,IF(AND($Y40&lt;&gt;"",EDATE($D40,Milestones!$AA$52)&gt;=$Y40),$AB40,$AA40)))=Milestones!$AB$52),UPPER(TEXT(EDATE($D40,Milestones!$AA$52),"dd mmm yy"))&amp;" "&amp;Milestones!$AB$52&amp;" "&amp;IF(AND(Milestones!$AB$52="FT",Milestones!$AA$52=FT_Y5,EDATE($D40,Milestones!$AA$52)&lt;PolicyEff),1,Milestones!$AC$52)&amp;";  ","")&amp;IF(AND(EDATE($D40,Milestones!$AA$53)&lt;=AsOfDate,EDATE($D40,Milestones!$AA$53)&gt;=SchemeStart,IF($X40=0,$AD40,IF(AND($Z40&lt;&gt;"",EDATE($D40,Milestones!$AA$53)&gt;=$Z40),$AC40,IF(AND($Y40&lt;&gt;"",EDATE($D40,Milestones!$AA$53)&gt;=$Y40),$AB40,$AA40)))=Milestones!$AB$53),UPPER(TEXT(EDATE($D40,Milestones!$AA$53),"dd mmm yy"))&amp;" "&amp;Milestones!$AB$53&amp;" "&amp;IF(AND(Milestones!$AB$53="FT",Milestones!$AA$53=FT_Y5,EDATE($D40,Milestones!$AA$53)&lt;PolicyEff),1,Milestones!$AC$53)&amp;";  ","")&amp;IF(AND(EDATE($D40,Milestones!$AA$54)&lt;=AsOfDate,EDATE($D40,Milestones!$AA$54)&gt;=SchemeStart,IF($X40=0,$AD40,IF(AND($Z40&lt;&gt;"",EDATE($D40,Milestones!$AA$54)&gt;=$Z40),$AC40,IF(AND($Y40&lt;&gt;"",EDATE($D40,Milestones!$AA$54)&gt;=$Y40),$AB40,$AA40)))=Milestones!$AB$54),UPPER(TEXT(EDATE($D40,Milestones!$AA$54),"dd mmm yy"))&amp;" "&amp;Milestones!$AB$54&amp;" "&amp;IF(AND(Milestones!$AB$54="FT",Milestones!$AA$54=FT_Y5,EDATE($D40,Milestones!$AA$54)&lt;PolicyEff),1,Milestones!$AC$54)&amp;";  ","")&amp;IF(AND(EDATE($D40,Milestones!$AA$55)&lt;=AsOfDate,EDATE($D40,Milestones!$AA$55)&gt;=SchemeStart,IF($X40=0,$AD40,IF(AND($Z40&lt;&gt;"",EDATE($D40,Milestones!$AA$55)&gt;=$Z40),$AC40,IF(AND($Y40&lt;&gt;"",EDATE($D40,Milestones!$AA$55)&gt;=$Y40),$AB40,$AA40)))=Milestones!$AB$55),UPPER(TEXT(EDATE($D40,Milestones!$AA$55),"dd mmm yy"))&amp;" "&amp;Milestones!$AB$55&amp;" "&amp;IF(AND(Milestones!$AB$55="FT",Milestones!$AA$55=FT_Y5,EDATE($D40,Milestones!$AA$55)&lt;PolicyEff),1,Milestones!$AC$55)&amp;";  ",""))</f>
        <v/>
      </c>
      <c r="L40" s="0" t="str">
        <f aca="false">IF(OR($A40="",$D40=""),"",IF(AND(EDATE($D40,Milestones!$AA$56)&lt;=AsOfDate,EDATE($D40,Milestones!$AA$56)&gt;=SchemeStart,IF($X40=0,$AD40,IF(AND($Z40&lt;&gt;"",EDATE($D40,Milestones!$AA$56)&gt;=$Z40),$AC40,IF(AND($Y40&lt;&gt;"",EDATE($D40,Milestones!$AA$56)&gt;=$Y40),$AB40,$AA40)))=Milestones!$AB$56),UPPER(TEXT(EDATE($D40,Milestones!$AA$56),"dd mmm yy"))&amp;" "&amp;Milestones!$AB$56&amp;" "&amp;IF(AND(Milestones!$AB$56="FT",Milestones!$AA$56=FT_Y5,EDATE($D40,Milestones!$AA$56)&lt;PolicyEff),1,Milestones!$AC$56)&amp;";  ","")&amp;IF(AND(EDATE($D40,Milestones!$AA$57)&lt;=AsOfDate,EDATE($D40,Milestones!$AA$57)&gt;=SchemeStart,IF($X40=0,$AD40,IF(AND($Z40&lt;&gt;"",EDATE($D40,Milestones!$AA$57)&gt;=$Z40),$AC40,IF(AND($Y40&lt;&gt;"",EDATE($D40,Milestones!$AA$57)&gt;=$Y40),$AB40,$AA40)))=Milestones!$AB$57),UPPER(TEXT(EDATE($D40,Milestones!$AA$57),"dd mmm yy"))&amp;" "&amp;Milestones!$AB$57&amp;" "&amp;IF(AND(Milestones!$AB$57="FT",Milestones!$AA$57=FT_Y5,EDATE($D40,Milestones!$AA$57)&lt;PolicyEff),1,Milestones!$AC$57)&amp;";  ","")&amp;IF(AND(EDATE($D40,Milestones!$AA$58)&lt;=AsOfDate,EDATE($D40,Milestones!$AA$58)&gt;=SchemeStart,IF($X40=0,$AD40,IF(AND($Z40&lt;&gt;"",EDATE($D40,Milestones!$AA$58)&gt;=$Z40),$AC40,IF(AND($Y40&lt;&gt;"",EDATE($D40,Milestones!$AA$58)&gt;=$Y40),$AB40,$AA40)))=Milestones!$AB$58),UPPER(TEXT(EDATE($D40,Milestones!$AA$58),"dd mmm yy"))&amp;" "&amp;Milestones!$AB$58&amp;" "&amp;IF(AND(Milestones!$AB$58="FT",Milestones!$AA$58=FT_Y5,EDATE($D40,Milestones!$AA$58)&lt;PolicyEff),1,Milestones!$AC$58)&amp;";  ","")&amp;IF(AND(EDATE($D40,Milestones!$AA$59)&lt;=AsOfDate,EDATE($D40,Milestones!$AA$59)&gt;=SchemeStart,IF($X40=0,$AD40,IF(AND($Z40&lt;&gt;"",EDATE($D40,Milestones!$AA$59)&gt;=$Z40),$AC40,IF(AND($Y40&lt;&gt;"",EDATE($D40,Milestones!$AA$59)&gt;=$Y40),$AB40,$AA40)))=Milestones!$AB$59),UPPER(TEXT(EDATE($D40,Milestones!$AA$59),"dd mmm yy"))&amp;" "&amp;Milestones!$AB$59&amp;" "&amp;IF(AND(Milestones!$AB$59="FT",Milestones!$AA$59=FT_Y5,EDATE($D40,Milestones!$AA$59)&lt;PolicyEff),1,Milestones!$AC$59)&amp;";  ","")&amp;IF(AND(EDATE($D40,Milestones!$AA$60)&lt;=AsOfDate,EDATE($D40,Milestones!$AA$60)&gt;=SchemeStart,IF($X40=0,$AD40,IF(AND($Z40&lt;&gt;"",EDATE($D40,Milestones!$AA$60)&gt;=$Z40),$AC40,IF(AND($Y40&lt;&gt;"",EDATE($D40,Milestones!$AA$60)&gt;=$Y40),$AB40,$AA40)))=Milestones!$AB$60),UPPER(TEXT(EDATE($D40,Milestones!$AA$60),"dd mmm yy"))&amp;" "&amp;Milestones!$AB$60&amp;" "&amp;IF(AND(Milestones!$AB$60="FT",Milestones!$AA$60=FT_Y5,EDATE($D40,Milestones!$AA$60)&lt;PolicyEff),1,Milestones!$AC$60)&amp;";  ","")&amp;IF(AND(EDATE($D40,Milestones!$AA$61)&lt;=AsOfDate,EDATE($D40,Milestones!$AA$61)&gt;=SchemeStart,IF($X40=0,$AD40,IF(AND($Z40&lt;&gt;"",EDATE($D40,Milestones!$AA$61)&gt;=$Z40),$AC40,IF(AND($Y40&lt;&gt;"",EDATE($D40,Milestones!$AA$61)&gt;=$Y40),$AB40,$AA40)))=Milestones!$AB$61),UPPER(TEXT(EDATE($D40,Milestones!$AA$61),"dd mmm yy"))&amp;" "&amp;Milestones!$AB$61&amp;" "&amp;IF(AND(Milestones!$AB$61="FT",Milestones!$AA$61=FT_Y5,EDATE($D40,Milestones!$AA$61)&lt;PolicyEff),1,Milestones!$AC$61)&amp;";  ","")&amp;IF(AND(EDATE($D40,Milestones!$AA$62)&lt;=AsOfDate,EDATE($D40,Milestones!$AA$62)&gt;=SchemeStart,IF($X40=0,$AD40,IF(AND($Z40&lt;&gt;"",EDATE($D40,Milestones!$AA$62)&gt;=$Z40),$AC40,IF(AND($Y40&lt;&gt;"",EDATE($D40,Milestones!$AA$62)&gt;=$Y40),$AB40,$AA40)))=Milestones!$AB$62),UPPER(TEXT(EDATE($D40,Milestones!$AA$62),"dd mmm yy"))&amp;" "&amp;Milestones!$AB$62&amp;" "&amp;IF(AND(Milestones!$AB$62="FT",Milestones!$AA$62=FT_Y5,EDATE($D40,Milestones!$AA$62)&lt;PolicyEff),1,Milestones!$AC$62)&amp;";  ","")&amp;IF(AND(EDATE($D40,Milestones!$AA$63)&lt;=AsOfDate,EDATE($D40,Milestones!$AA$63)&gt;=SchemeStart,IF($X40=0,$AD40,IF(AND($Z40&lt;&gt;"",EDATE($D40,Milestones!$AA$63)&gt;=$Z40),$AC40,IF(AND($Y40&lt;&gt;"",EDATE($D40,Milestones!$AA$63)&gt;=$Y40),$AB40,$AA40)))=Milestones!$AB$63),UPPER(TEXT(EDATE($D40,Milestones!$AA$63),"dd mmm yy"))&amp;" "&amp;Milestones!$AB$63&amp;" "&amp;IF(AND(Milestones!$AB$63="FT",Milestones!$AA$63=FT_Y5,EDATE($D40,Milestones!$AA$63)&lt;PolicyEff),1,Milestones!$AC$63)&amp;";  ","")&amp;IF(AND(EDATE($D40,Milestones!$AA$64)&lt;=AsOfDate,EDATE($D40,Milestones!$AA$64)&gt;=SchemeStart,IF($X40=0,$AD40,IF(AND($Z40&lt;&gt;"",EDATE($D40,Milestones!$AA$64)&gt;=$Z40),$AC40,IF(AND($Y40&lt;&gt;"",EDATE($D40,Milestones!$AA$64)&gt;=$Y40),$AB40,$AA40)))=Milestones!$AB$64),UPPER(TEXT(EDATE($D40,Milestones!$AA$64),"dd mmm yy"))&amp;" "&amp;Milestones!$AB$64&amp;" "&amp;IF(AND(Milestones!$AB$64="FT",Milestones!$AA$64=FT_Y5,EDATE($D40,Milestones!$AA$64)&lt;PolicyEff),1,Milestones!$AC$64)&amp;";  ","")&amp;IF(AND(EDATE($D40,Milestones!$AA$65)&lt;=AsOfDate,EDATE($D40,Milestones!$AA$65)&gt;=SchemeStart,IF($X40=0,$AD40,IF(AND($Z40&lt;&gt;"",EDATE($D40,Milestones!$AA$65)&gt;=$Z40),$AC40,IF(AND($Y40&lt;&gt;"",EDATE($D40,Milestones!$AA$65)&gt;=$Y40),$AB40,$AA40)))=Milestones!$AB$65),UPPER(TEXT(EDATE($D40,Milestones!$AA$65),"dd mmm yy"))&amp;" "&amp;Milestones!$AB$65&amp;" "&amp;IF(AND(Milestones!$AB$65="FT",Milestones!$AA$65=FT_Y5,EDATE($D40,Milestones!$AA$65)&lt;PolicyEff),1,Milestones!$AC$65)&amp;";  ","")&amp;IF(AND(EDATE($D40,Milestones!$AA$66)&lt;=AsOfDate,EDATE($D40,Milestones!$AA$66)&gt;=SchemeStart,IF($X40=0,$AD40,IF(AND($Z40&lt;&gt;"",EDATE($D40,Milestones!$AA$66)&gt;=$Z40),$AC40,IF(AND($Y40&lt;&gt;"",EDATE($D40,Milestones!$AA$66)&gt;=$Y40),$AB40,$AA40)))=Milestones!$AB$66),UPPER(TEXT(EDATE($D40,Milestones!$AA$66),"dd mmm yy"))&amp;" "&amp;Milestones!$AB$66&amp;" "&amp;IF(AND(Milestones!$AB$66="FT",Milestones!$AA$66=FT_Y5,EDATE($D40,Milestones!$AA$66)&lt;PolicyEff),1,Milestones!$AC$66)&amp;";  ","")&amp;IF(AND(EDATE($D40,Milestones!$AA$67)&lt;=AsOfDate,EDATE($D40,Milestones!$AA$67)&gt;=SchemeStart,IF($X40=0,$AD40,IF(AND($Z40&lt;&gt;"",EDATE($D40,Milestones!$AA$67)&gt;=$Z40),$AC40,IF(AND($Y40&lt;&gt;"",EDATE($D40,Milestones!$AA$67)&gt;=$Y40),$AB40,$AA40)))=Milestones!$AB$67),UPPER(TEXT(EDATE($D40,Milestones!$AA$67),"dd mmm yy"))&amp;" "&amp;Milestones!$AB$67&amp;" "&amp;IF(AND(Milestones!$AB$67="FT",Milestones!$AA$67=FT_Y5,EDATE($D40,Milestones!$AA$67)&lt;PolicyEff),1,Milestones!$AC$67)&amp;";  ",""))</f>
        <v/>
      </c>
      <c r="M40" s="0" t="str">
        <f aca="false">IF(OR($A40="",$D40=""),"",IF(AND(EDATE($D40,Milestones!$AA$68)&lt;=AsOfDate,EDATE($D40,Milestones!$AA$68)&gt;=SchemeStart,IF($X40=0,$AD40,IF(AND($Z40&lt;&gt;"",EDATE($D40,Milestones!$AA$68)&gt;=$Z40),$AC40,IF(AND($Y40&lt;&gt;"",EDATE($D40,Milestones!$AA$68)&gt;=$Y40),$AB40,$AA40)))=Milestones!$AB$68),UPPER(TEXT(EDATE($D40,Milestones!$AA$68),"dd mmm yy"))&amp;" "&amp;Milestones!$AB$68&amp;" "&amp;IF(AND(Milestones!$AB$68="FT",Milestones!$AA$68=FT_Y5,EDATE($D40,Milestones!$AA$68)&lt;PolicyEff),1,Milestones!$AC$68)&amp;";  ","")&amp;IF(AND(EDATE($D40,Milestones!$AA$69)&lt;=AsOfDate,EDATE($D40,Milestones!$AA$69)&gt;=SchemeStart,IF($X40=0,$AD40,IF(AND($Z40&lt;&gt;"",EDATE($D40,Milestones!$AA$69)&gt;=$Z40),$AC40,IF(AND($Y40&lt;&gt;"",EDATE($D40,Milestones!$AA$69)&gt;=$Y40),$AB40,$AA40)))=Milestones!$AB$69),UPPER(TEXT(EDATE($D40,Milestones!$AA$69),"dd mmm yy"))&amp;" "&amp;Milestones!$AB$69&amp;" "&amp;IF(AND(Milestones!$AB$69="FT",Milestones!$AA$69=FT_Y5,EDATE($D40,Milestones!$AA$69)&lt;PolicyEff),1,Milestones!$AC$69)&amp;";  ","")&amp;IF(AND(EDATE($D40,Milestones!$AA$70)&lt;=AsOfDate,EDATE($D40,Milestones!$AA$70)&gt;=SchemeStart,IF($X40=0,$AD40,IF(AND($Z40&lt;&gt;"",EDATE($D40,Milestones!$AA$70)&gt;=$Z40),$AC40,IF(AND($Y40&lt;&gt;"",EDATE($D40,Milestones!$AA$70)&gt;=$Y40),$AB40,$AA40)))=Milestones!$AB$70),UPPER(TEXT(EDATE($D40,Milestones!$AA$70),"dd mmm yy"))&amp;" "&amp;Milestones!$AB$70&amp;" "&amp;IF(AND(Milestones!$AB$70="FT",Milestones!$AA$70=FT_Y5,EDATE($D40,Milestones!$AA$70)&lt;PolicyEff),1,Milestones!$AC$70)&amp;";  ","")&amp;IF(AND(EDATE($D40,Milestones!$AA$71)&lt;=AsOfDate,EDATE($D40,Milestones!$AA$71)&gt;=SchemeStart,IF($X40=0,$AD40,IF(AND($Z40&lt;&gt;"",EDATE($D40,Milestones!$AA$71)&gt;=$Z40),$AC40,IF(AND($Y40&lt;&gt;"",EDATE($D40,Milestones!$AA$71)&gt;=$Y40),$AB40,$AA40)))=Milestones!$AB$71),UPPER(TEXT(EDATE($D40,Milestones!$AA$71),"dd mmm yy"))&amp;" "&amp;Milestones!$AB$71&amp;" "&amp;IF(AND(Milestones!$AB$71="FT",Milestones!$AA$71=FT_Y5,EDATE($D40,Milestones!$AA$71)&lt;PolicyEff),1,Milestones!$AC$71)&amp;";  ","")&amp;IF(AND(EDATE($D40,Milestones!$AA$72)&lt;=AsOfDate,EDATE($D40,Milestones!$AA$72)&gt;=SchemeStart,IF($X40=0,$AD40,IF(AND($Z40&lt;&gt;"",EDATE($D40,Milestones!$AA$72)&gt;=$Z40),$AC40,IF(AND($Y40&lt;&gt;"",EDATE($D40,Milestones!$AA$72)&gt;=$Y40),$AB40,$AA40)))=Milestones!$AB$72),UPPER(TEXT(EDATE($D40,Milestones!$AA$72),"dd mmm yy"))&amp;" "&amp;Milestones!$AB$72&amp;" "&amp;IF(AND(Milestones!$AB$72="FT",Milestones!$AA$72=FT_Y5,EDATE($D40,Milestones!$AA$72)&lt;PolicyEff),1,Milestones!$AC$72)&amp;";  ","")&amp;IF(AND(EDATE($D40,Milestones!$AA$73)&lt;=AsOfDate,EDATE($D40,Milestones!$AA$73)&gt;=SchemeStart,IF($X40=0,$AD40,IF(AND($Z40&lt;&gt;"",EDATE($D40,Milestones!$AA$73)&gt;=$Z40),$AC40,IF(AND($Y40&lt;&gt;"",EDATE($D40,Milestones!$AA$73)&gt;=$Y40),$AB40,$AA40)))=Milestones!$AB$73),UPPER(TEXT(EDATE($D40,Milestones!$AA$73),"dd mmm yy"))&amp;" "&amp;Milestones!$AB$73&amp;" "&amp;IF(AND(Milestones!$AB$73="FT",Milestones!$AA$73=FT_Y5,EDATE($D40,Milestones!$AA$73)&lt;PolicyEff),1,Milestones!$AC$73)&amp;";  ","")&amp;IF(AND(EDATE($D40,Milestones!$AA$74)&lt;=AsOfDate,EDATE($D40,Milestones!$AA$74)&gt;=SchemeStart,IF($X40=0,$AD40,IF(AND($Z40&lt;&gt;"",EDATE($D40,Milestones!$AA$74)&gt;=$Z40),$AC40,IF(AND($Y40&lt;&gt;"",EDATE($D40,Milestones!$AA$74)&gt;=$Y40),$AB40,$AA40)))=Milestones!$AB$74),UPPER(TEXT(EDATE($D40,Milestones!$AA$74),"dd mmm yy"))&amp;" "&amp;Milestones!$AB$74&amp;" "&amp;IF(AND(Milestones!$AB$74="FT",Milestones!$AA$74=FT_Y5,EDATE($D40,Milestones!$AA$74)&lt;PolicyEff),1,Milestones!$AC$74)&amp;";  ","")&amp;IF(AND(EDATE($D40,Milestones!$AA$75)&lt;=AsOfDate,EDATE($D40,Milestones!$AA$75)&gt;=SchemeStart,IF($X40=0,$AD40,IF(AND($Z40&lt;&gt;"",EDATE($D40,Milestones!$AA$75)&gt;=$Z40),$AC40,IF(AND($Y40&lt;&gt;"",EDATE($D40,Milestones!$AA$75)&gt;=$Y40),$AB40,$AA40)))=Milestones!$AB$75),UPPER(TEXT(EDATE($D40,Milestones!$AA$75),"dd mmm yy"))&amp;" "&amp;Milestones!$AB$75&amp;" "&amp;IF(AND(Milestones!$AB$75="FT",Milestones!$AA$75=FT_Y5,EDATE($D40,Milestones!$AA$75)&lt;PolicyEff),1,Milestones!$AC$75)&amp;";  ","")&amp;IF(AND(EDATE($D40,Milestones!$AA$76)&lt;=AsOfDate,EDATE($D40,Milestones!$AA$76)&gt;=SchemeStart,IF($X40=0,$AD40,IF(AND($Z40&lt;&gt;"",EDATE($D40,Milestones!$AA$76)&gt;=$Z40),$AC40,IF(AND($Y40&lt;&gt;"",EDATE($D40,Milestones!$AA$76)&gt;=$Y40),$AB40,$AA40)))=Milestones!$AB$76),UPPER(TEXT(EDATE($D40,Milestones!$AA$76),"dd mmm yy"))&amp;" "&amp;Milestones!$AB$76&amp;" "&amp;IF(AND(Milestones!$AB$76="FT",Milestones!$AA$76=FT_Y5,EDATE($D40,Milestones!$AA$76)&lt;PolicyEff),1,Milestones!$AC$76)&amp;";  ","")&amp;IF(AND(EDATE($D40,Milestones!$AA$77)&lt;=AsOfDate,EDATE($D40,Milestones!$AA$77)&gt;=SchemeStart,IF($X40=0,$AD40,IF(AND($Z40&lt;&gt;"",EDATE($D40,Milestones!$AA$77)&gt;=$Z40),$AC40,IF(AND($Y40&lt;&gt;"",EDATE($D40,Milestones!$AA$77)&gt;=$Y40),$AB40,$AA40)))=Milestones!$AB$77),UPPER(TEXT(EDATE($D40,Milestones!$AA$77),"dd mmm yy"))&amp;" "&amp;Milestones!$AB$77&amp;" "&amp;IF(AND(Milestones!$AB$77="FT",Milestones!$AA$77=FT_Y5,EDATE($D40,Milestones!$AA$77)&lt;PolicyEff),1,Milestones!$AC$77)&amp;";  ","")&amp;IF(AND(EDATE($D40,Milestones!$AA$78)&lt;=AsOfDate,EDATE($D40,Milestones!$AA$78)&gt;=SchemeStart,IF($X40=0,$AD40,IF(AND($Z40&lt;&gt;"",EDATE($D40,Milestones!$AA$78)&gt;=$Z40),$AC40,IF(AND($Y40&lt;&gt;"",EDATE($D40,Milestones!$AA$78)&gt;=$Y40),$AB40,$AA40)))=Milestones!$AB$78),UPPER(TEXT(EDATE($D40,Milestones!$AA$78),"dd mmm yy"))&amp;" "&amp;Milestones!$AB$78&amp;" "&amp;IF(AND(Milestones!$AB$78="FT",Milestones!$AA$78=FT_Y5,EDATE($D40,Milestones!$AA$78)&lt;PolicyEff),1,Milestones!$AC$78)&amp;";  ","")&amp;IF(AND(EDATE($D40,Milestones!$AA$79)&lt;=AsOfDate,EDATE($D40,Milestones!$AA$79)&gt;=SchemeStart,IF($X40=0,$AD40,IF(AND($Z40&lt;&gt;"",EDATE($D40,Milestones!$AA$79)&gt;=$Z40),$AC40,IF(AND($Y40&lt;&gt;"",EDATE($D40,Milestones!$AA$79)&gt;=$Y40),$AB40,$AA40)))=Milestones!$AB$79),UPPER(TEXT(EDATE($D40,Milestones!$AA$79),"dd mmm yy"))&amp;" "&amp;Milestones!$AB$79&amp;" "&amp;IF(AND(Milestones!$AB$79="FT",Milestones!$AA$79=FT_Y5,EDATE($D40,Milestones!$AA$79)&lt;PolicyEff),1,Milestones!$AC$79)&amp;";  ",""))</f>
        <v/>
      </c>
      <c r="N40" s="0" t="str">
        <f aca="false">IF(OR($A40="",$D40=""),"",IF(AND(EDATE($D40,Milestones!$AA$80)&lt;=AsOfDate,EDATE($D40,Milestones!$AA$80)&gt;=SchemeStart,IF($X40=0,$AD40,IF(AND($Z40&lt;&gt;"",EDATE($D40,Milestones!$AA$80)&gt;=$Z40),$AC40,IF(AND($Y40&lt;&gt;"",EDATE($D40,Milestones!$AA$80)&gt;=$Y40),$AB40,$AA40)))=Milestones!$AB$80),UPPER(TEXT(EDATE($D40,Milestones!$AA$80),"dd mmm yy"))&amp;" "&amp;Milestones!$AB$80&amp;" "&amp;IF(AND(Milestones!$AB$80="FT",Milestones!$AA$80=FT_Y5,EDATE($D40,Milestones!$AA$80)&lt;PolicyEff),1,Milestones!$AC$80)&amp;";  ","")&amp;IF(AND(EDATE($D40,Milestones!$AA$81)&lt;=AsOfDate,EDATE($D40,Milestones!$AA$81)&gt;=SchemeStart,IF($X40=0,$AD40,IF(AND($Z40&lt;&gt;"",EDATE($D40,Milestones!$AA$81)&gt;=$Z40),$AC40,IF(AND($Y40&lt;&gt;"",EDATE($D40,Milestones!$AA$81)&gt;=$Y40),$AB40,$AA40)))=Milestones!$AB$81),UPPER(TEXT(EDATE($D40,Milestones!$AA$81),"dd mmm yy"))&amp;" "&amp;Milestones!$AB$81&amp;" "&amp;IF(AND(Milestones!$AB$81="FT",Milestones!$AA$81=FT_Y5,EDATE($D40,Milestones!$AA$81)&lt;PolicyEff),1,Milestones!$AC$81)&amp;";  ","")&amp;IF(AND(EDATE($D40,Milestones!$AA$82)&lt;=AsOfDate,EDATE($D40,Milestones!$AA$82)&gt;=SchemeStart,IF($X40=0,$AD40,IF(AND($Z40&lt;&gt;"",EDATE($D40,Milestones!$AA$82)&gt;=$Z40),$AC40,IF(AND($Y40&lt;&gt;"",EDATE($D40,Milestones!$AA$82)&gt;=$Y40),$AB40,$AA40)))=Milestones!$AB$82),UPPER(TEXT(EDATE($D40,Milestones!$AA$82),"dd mmm yy"))&amp;" "&amp;Milestones!$AB$82&amp;" "&amp;IF(AND(Milestones!$AB$82="FT",Milestones!$AA$82=FT_Y5,EDATE($D40,Milestones!$AA$82)&lt;PolicyEff),1,Milestones!$AC$82)&amp;";  ","")&amp;IF(AND(EDATE($D40,Milestones!$AA$83)&lt;=AsOfDate,EDATE($D40,Milestones!$AA$83)&gt;=SchemeStart,IF($X40=0,$AD40,IF(AND($Z40&lt;&gt;"",EDATE($D40,Milestones!$AA$83)&gt;=$Z40),$AC40,IF(AND($Y40&lt;&gt;"",EDATE($D40,Milestones!$AA$83)&gt;=$Y40),$AB40,$AA40)))=Milestones!$AB$83),UPPER(TEXT(EDATE($D40,Milestones!$AA$83),"dd mmm yy"))&amp;" "&amp;Milestones!$AB$83&amp;" "&amp;IF(AND(Milestones!$AB$83="FT",Milestones!$AA$83=FT_Y5,EDATE($D40,Milestones!$AA$83)&lt;PolicyEff),1,Milestones!$AC$83)&amp;";  ","")&amp;IF(AND(EDATE($D40,Milestones!$AA$84)&lt;=AsOfDate,EDATE($D40,Milestones!$AA$84)&gt;=SchemeStart,IF($X40=0,$AD40,IF(AND($Z40&lt;&gt;"",EDATE($D40,Milestones!$AA$84)&gt;=$Z40),$AC40,IF(AND($Y40&lt;&gt;"",EDATE($D40,Milestones!$AA$84)&gt;=$Y40),$AB40,$AA40)))=Milestones!$AB$84),UPPER(TEXT(EDATE($D40,Milestones!$AA$84),"dd mmm yy"))&amp;" "&amp;Milestones!$AB$84&amp;" "&amp;IF(AND(Milestones!$AB$84="FT",Milestones!$AA$84=FT_Y5,EDATE($D40,Milestones!$AA$84)&lt;PolicyEff),1,Milestones!$AC$84)&amp;";  ","")&amp;IF(AND(EDATE($D40,Milestones!$AA$85)&lt;=AsOfDate,EDATE($D40,Milestones!$AA$85)&gt;=SchemeStart,IF($X40=0,$AD40,IF(AND($Z40&lt;&gt;"",EDATE($D40,Milestones!$AA$85)&gt;=$Z40),$AC40,IF(AND($Y40&lt;&gt;"",EDATE($D40,Milestones!$AA$85)&gt;=$Y40),$AB40,$AA40)))=Milestones!$AB$85),UPPER(TEXT(EDATE($D40,Milestones!$AA$85),"dd mmm yy"))&amp;" "&amp;Milestones!$AB$85&amp;" "&amp;IF(AND(Milestones!$AB$85="FT",Milestones!$AA$85=FT_Y5,EDATE($D40,Milestones!$AA$85)&lt;PolicyEff),1,Milestones!$AC$85)&amp;";  ","")&amp;IF(AND(EDATE($D40,Milestones!$AA$86)&lt;=AsOfDate,EDATE($D40,Milestones!$AA$86)&gt;=SchemeStart,IF($X40=0,$AD40,IF(AND($Z40&lt;&gt;"",EDATE($D40,Milestones!$AA$86)&gt;=$Z40),$AC40,IF(AND($Y40&lt;&gt;"",EDATE($D40,Milestones!$AA$86)&gt;=$Y40),$AB40,$AA40)))=Milestones!$AB$86),UPPER(TEXT(EDATE($D40,Milestones!$AA$86),"dd mmm yy"))&amp;" "&amp;Milestones!$AB$86&amp;" "&amp;IF(AND(Milestones!$AB$86="FT",Milestones!$AA$86=FT_Y5,EDATE($D40,Milestones!$AA$86)&lt;PolicyEff),1,Milestones!$AC$86)&amp;";  ","")&amp;IF(AND(EDATE($D40,Milestones!$AA$87)&lt;=AsOfDate,EDATE($D40,Milestones!$AA$87)&gt;=SchemeStart,IF($X40=0,$AD40,IF(AND($Z40&lt;&gt;"",EDATE($D40,Milestones!$AA$87)&gt;=$Z40),$AC40,IF(AND($Y40&lt;&gt;"",EDATE($D40,Milestones!$AA$87)&gt;=$Y40),$AB40,$AA40)))=Milestones!$AB$87),UPPER(TEXT(EDATE($D40,Milestones!$AA$87),"dd mmm yy"))&amp;" "&amp;Milestones!$AB$87&amp;" "&amp;IF(AND(Milestones!$AB$87="FT",Milestones!$AA$87=FT_Y5,EDATE($D40,Milestones!$AA$87)&lt;PolicyEff),1,Milestones!$AC$87)&amp;";  ","")&amp;IF(AND(EDATE($D40,Milestones!$AA$88)&lt;=AsOfDate,EDATE($D40,Milestones!$AA$88)&gt;=SchemeStart,IF($X40=0,$AD40,IF(AND($Z40&lt;&gt;"",EDATE($D40,Milestones!$AA$88)&gt;=$Z40),$AC40,IF(AND($Y40&lt;&gt;"",EDATE($D40,Milestones!$AA$88)&gt;=$Y40),$AB40,$AA40)))=Milestones!$AB$88),UPPER(TEXT(EDATE($D40,Milestones!$AA$88),"dd mmm yy"))&amp;" "&amp;Milestones!$AB$88&amp;" "&amp;IF(AND(Milestones!$AB$88="FT",Milestones!$AA$88=FT_Y5,EDATE($D40,Milestones!$AA$88)&lt;PolicyEff),1,Milestones!$AC$88)&amp;";  ","")&amp;IF(AND(EDATE($D40,Milestones!$AA$89)&lt;=AsOfDate,EDATE($D40,Milestones!$AA$89)&gt;=SchemeStart,IF($X40=0,$AD40,IF(AND($Z40&lt;&gt;"",EDATE($D40,Milestones!$AA$89)&gt;=$Z40),$AC40,IF(AND($Y40&lt;&gt;"",EDATE($D40,Milestones!$AA$89)&gt;=$Y40),$AB40,$AA40)))=Milestones!$AB$89),UPPER(TEXT(EDATE($D40,Milestones!$AA$89),"dd mmm yy"))&amp;" "&amp;Milestones!$AB$89&amp;" "&amp;IF(AND(Milestones!$AB$89="FT",Milestones!$AA$89=FT_Y5,EDATE($D40,Milestones!$AA$89)&lt;PolicyEff),1,Milestones!$AC$89)&amp;";  ","")&amp;IF(AND(EDATE($D40,Milestones!$AA$90)&lt;=AsOfDate,EDATE($D40,Milestones!$AA$90)&gt;=SchemeStart,IF($X40=0,$AD40,IF(AND($Z40&lt;&gt;"",EDATE($D40,Milestones!$AA$90)&gt;=$Z40),$AC40,IF(AND($Y40&lt;&gt;"",EDATE($D40,Milestones!$AA$90)&gt;=$Y40),$AB40,$AA40)))=Milestones!$AB$90),UPPER(TEXT(EDATE($D40,Milestones!$AA$90),"dd mmm yy"))&amp;" "&amp;Milestones!$AB$90&amp;" "&amp;IF(AND(Milestones!$AB$90="FT",Milestones!$AA$90=FT_Y5,EDATE($D40,Milestones!$AA$90)&lt;PolicyEff),1,Milestones!$AC$90)&amp;";  ","")&amp;IF(AND(EDATE($D40,Milestones!$AA$91)&lt;=AsOfDate,EDATE($D40,Milestones!$AA$91)&gt;=SchemeStart,IF($X40=0,$AD40,IF(AND($Z40&lt;&gt;"",EDATE($D40,Milestones!$AA$91)&gt;=$Z40),$AC40,IF(AND($Y40&lt;&gt;"",EDATE($D40,Milestones!$AA$91)&gt;=$Y40),$AB40,$AA40)))=Milestones!$AB$91),UPPER(TEXT(EDATE($D40,Milestones!$AA$91),"dd mmm yy"))&amp;" "&amp;Milestones!$AB$91&amp;" "&amp;IF(AND(Milestones!$AB$91="FT",Milestones!$AA$91=FT_Y5,EDATE($D40,Milestones!$AA$91)&lt;PolicyEff),1,Milestones!$AC$91)&amp;";  ",""))</f>
        <v/>
      </c>
      <c r="O40" s="0" t="str">
        <f aca="false">IF(OR($A40="",$D40=""),"",IF(AND(EDATE($D40,Milestones!$AA$92)&lt;=AsOfDate,EDATE($D40,Milestones!$AA$92)&gt;=SchemeStart,IF($X40=0,$AD40,IF(AND($Z40&lt;&gt;"",EDATE($D40,Milestones!$AA$92)&gt;=$Z40),$AC40,IF(AND($Y40&lt;&gt;"",EDATE($D40,Milestones!$AA$92)&gt;=$Y40),$AB40,$AA40)))=Milestones!$AB$92),UPPER(TEXT(EDATE($D40,Milestones!$AA$92),"dd mmm yy"))&amp;" "&amp;Milestones!$AB$92&amp;" "&amp;IF(AND(Milestones!$AB$92="FT",Milestones!$AA$92=FT_Y5,EDATE($D40,Milestones!$AA$92)&lt;PolicyEff),1,Milestones!$AC$92)&amp;";  ","")&amp;IF(AND(EDATE($D40,Milestones!$AA$93)&lt;=AsOfDate,EDATE($D40,Milestones!$AA$93)&gt;=SchemeStart,IF($X40=0,$AD40,IF(AND($Z40&lt;&gt;"",EDATE($D40,Milestones!$AA$93)&gt;=$Z40),$AC40,IF(AND($Y40&lt;&gt;"",EDATE($D40,Milestones!$AA$93)&gt;=$Y40),$AB40,$AA40)))=Milestones!$AB$93),UPPER(TEXT(EDATE($D40,Milestones!$AA$93),"dd mmm yy"))&amp;" "&amp;Milestones!$AB$93&amp;" "&amp;IF(AND(Milestones!$AB$93="FT",Milestones!$AA$93=FT_Y5,EDATE($D40,Milestones!$AA$93)&lt;PolicyEff),1,Milestones!$AC$93)&amp;";  ","")&amp;IF(AND(EDATE($D40,Milestones!$AA$94)&lt;=AsOfDate,EDATE($D40,Milestones!$AA$94)&gt;=SchemeStart,IF($X40=0,$AD40,IF(AND($Z40&lt;&gt;"",EDATE($D40,Milestones!$AA$94)&gt;=$Z40),$AC40,IF(AND($Y40&lt;&gt;"",EDATE($D40,Milestones!$AA$94)&gt;=$Y40),$AB40,$AA40)))=Milestones!$AB$94),UPPER(TEXT(EDATE($D40,Milestones!$AA$94),"dd mmm yy"))&amp;" "&amp;Milestones!$AB$94&amp;" "&amp;IF(AND(Milestones!$AB$94="FT",Milestones!$AA$94=FT_Y5,EDATE($D40,Milestones!$AA$94)&lt;PolicyEff),1,Milestones!$AC$94)&amp;";  ","")&amp;IF(AND(EDATE($D40,Milestones!$AA$95)&lt;=AsOfDate,EDATE($D40,Milestones!$AA$95)&gt;=SchemeStart,IF($X40=0,$AD40,IF(AND($Z40&lt;&gt;"",EDATE($D40,Milestones!$AA$95)&gt;=$Z40),$AC40,IF(AND($Y40&lt;&gt;"",EDATE($D40,Milestones!$AA$95)&gt;=$Y40),$AB40,$AA40)))=Milestones!$AB$95),UPPER(TEXT(EDATE($D40,Milestones!$AA$95),"dd mmm yy"))&amp;" "&amp;Milestones!$AB$95&amp;" "&amp;IF(AND(Milestones!$AB$95="FT",Milestones!$AA$95=FT_Y5,EDATE($D40,Milestones!$AA$95)&lt;PolicyEff),1,Milestones!$AC$95)&amp;";  ","")&amp;IF(AND(EDATE($D40,Milestones!$AA$96)&lt;=AsOfDate,EDATE($D40,Milestones!$AA$96)&gt;=SchemeStart,IF($X40=0,$AD40,IF(AND($Z40&lt;&gt;"",EDATE($D40,Milestones!$AA$96)&gt;=$Z40),$AC40,IF(AND($Y40&lt;&gt;"",EDATE($D40,Milestones!$AA$96)&gt;=$Y40),$AB40,$AA40)))=Milestones!$AB$96),UPPER(TEXT(EDATE($D40,Milestones!$AA$96),"dd mmm yy"))&amp;" "&amp;Milestones!$AB$96&amp;" "&amp;IF(AND(Milestones!$AB$96="FT",Milestones!$AA$96=FT_Y5,EDATE($D40,Milestones!$AA$96)&lt;PolicyEff),1,Milestones!$AC$96)&amp;";  ","")&amp;IF(AND(EDATE($D40,Milestones!$AA$97)&lt;=AsOfDate,EDATE($D40,Milestones!$AA$97)&gt;=SchemeStart,IF($X40=0,$AD40,IF(AND($Z40&lt;&gt;"",EDATE($D40,Milestones!$AA$97)&gt;=$Z40),$AC40,IF(AND($Y40&lt;&gt;"",EDATE($D40,Milestones!$AA$97)&gt;=$Y40),$AB40,$AA40)))=Milestones!$AB$97),UPPER(TEXT(EDATE($D40,Milestones!$AA$97),"dd mmm yy"))&amp;" "&amp;Milestones!$AB$97&amp;" "&amp;IF(AND(Milestones!$AB$97="FT",Milestones!$AA$97=FT_Y5,EDATE($D40,Milestones!$AA$97)&lt;PolicyEff),1,Milestones!$AC$97)&amp;";  ","")&amp;IF(AND(EDATE($D40,Milestones!$AA$98)&lt;=AsOfDate,EDATE($D40,Milestones!$AA$98)&gt;=SchemeStart,IF($X40=0,$AD40,IF(AND($Z40&lt;&gt;"",EDATE($D40,Milestones!$AA$98)&gt;=$Z40),$AC40,IF(AND($Y40&lt;&gt;"",EDATE($D40,Milestones!$AA$98)&gt;=$Y40),$AB40,$AA40)))=Milestones!$AB$98),UPPER(TEXT(EDATE($D40,Milestones!$AA$98),"dd mmm yy"))&amp;" "&amp;Milestones!$AB$98&amp;" "&amp;IF(AND(Milestones!$AB$98="FT",Milestones!$AA$98=FT_Y5,EDATE($D40,Milestones!$AA$98)&lt;PolicyEff),1,Milestones!$AC$98)&amp;";  ","")&amp;IF(AND(EDATE($D40,Milestones!$AA$99)&lt;=AsOfDate,EDATE($D40,Milestones!$AA$99)&gt;=SchemeStart,IF($X40=0,$AD40,IF(AND($Z40&lt;&gt;"",EDATE($D40,Milestones!$AA$99)&gt;=$Z40),$AC40,IF(AND($Y40&lt;&gt;"",EDATE($D40,Milestones!$AA$99)&gt;=$Y40),$AB40,$AA40)))=Milestones!$AB$99),UPPER(TEXT(EDATE($D40,Milestones!$AA$99),"dd mmm yy"))&amp;" "&amp;Milestones!$AB$99&amp;" "&amp;IF(AND(Milestones!$AB$99="FT",Milestones!$AA$99=FT_Y5,EDATE($D40,Milestones!$AA$99)&lt;PolicyEff),1,Milestones!$AC$99)&amp;";  ","")&amp;IF(AND(EDATE($D40,Milestones!$AA$100)&lt;=AsOfDate,EDATE($D40,Milestones!$AA$100)&gt;=SchemeStart,IF($X40=0,$AD40,IF(AND($Z40&lt;&gt;"",EDATE($D40,Milestones!$AA$100)&gt;=$Z40),$AC40,IF(AND($Y40&lt;&gt;"",EDATE($D40,Milestones!$AA$100)&gt;=$Y40),$AB40,$AA40)))=Milestones!$AB$100),UPPER(TEXT(EDATE($D40,Milestones!$AA$100),"dd mmm yy"))&amp;" "&amp;Milestones!$AB$100&amp;" "&amp;IF(AND(Milestones!$AB$100="FT",Milestones!$AA$100=FT_Y5,EDATE($D40,Milestones!$AA$100)&lt;PolicyEff),1,Milestones!$AC$100)&amp;";  ","")&amp;IF(AND(EDATE($D40,Milestones!$AA$101)&lt;=AsOfDate,EDATE($D40,Milestones!$AA$101)&gt;=SchemeStart,IF($X40=0,$AD40,IF(AND($Z40&lt;&gt;"",EDATE($D40,Milestones!$AA$101)&gt;=$Z40),$AC40,IF(AND($Y40&lt;&gt;"",EDATE($D40,Milestones!$AA$101)&gt;=$Y40),$AB40,$AA40)))=Milestones!$AB$101),UPPER(TEXT(EDATE($D40,Milestones!$AA$101),"dd mmm yy"))&amp;" "&amp;Milestones!$AB$101&amp;" "&amp;IF(AND(Milestones!$AB$101="FT",Milestones!$AA$101=FT_Y5,EDATE($D40,Milestones!$AA$101)&lt;PolicyEff),1,Milestones!$AC$101)&amp;";  ","")&amp;IF(AND(EDATE($D40,Milestones!$AA$102)&lt;=AsOfDate,EDATE($D40,Milestones!$AA$102)&gt;=SchemeStart,IF($X40=0,$AD40,IF(AND($Z40&lt;&gt;"",EDATE($D40,Milestones!$AA$102)&gt;=$Z40),$AC40,IF(AND($Y40&lt;&gt;"",EDATE($D40,Milestones!$AA$102)&gt;=$Y40),$AB40,$AA40)))=Milestones!$AB$102),UPPER(TEXT(EDATE($D40,Milestones!$AA$102),"dd mmm yy"))&amp;" "&amp;Milestones!$AB$102&amp;" "&amp;IF(AND(Milestones!$AB$102="FT",Milestones!$AA$102=FT_Y5,EDATE($D40,Milestones!$AA$102)&lt;PolicyEff),1,Milestones!$AC$102)&amp;";  ","")&amp;IF(AND(EDATE($D40,Milestones!$AA$103)&lt;=AsOfDate,EDATE($D40,Milestones!$AA$103)&gt;=SchemeStart,IF($X40=0,$AD40,IF(AND($Z40&lt;&gt;"",EDATE($D40,Milestones!$AA$103)&gt;=$Z40),$AC40,IF(AND($Y40&lt;&gt;"",EDATE($D40,Milestones!$AA$103)&gt;=$Y40),$AB40,$AA40)))=Milestones!$AB$103),UPPER(TEXT(EDATE($D40,Milestones!$AA$103),"dd mmm yy"))&amp;" "&amp;Milestones!$AB$103&amp;" "&amp;IF(AND(Milestones!$AB$103="FT",Milestones!$AA$103=FT_Y5,EDATE($D40,Milestones!$AA$103)&lt;PolicyEff),1,Milestones!$AC$103)&amp;";  ",""))</f>
        <v/>
      </c>
      <c r="P40" s="0" t="str">
        <f aca="false">IF(OR($A40="",$D40=""),"",IF(AND(EDATE($D40,Milestones!$AA$104)&lt;=AsOfDate,EDATE($D40,Milestones!$AA$104)&gt;=SchemeStart,IF($X40=0,$AD40,IF(AND($Z40&lt;&gt;"",EDATE($D40,Milestones!$AA$104)&gt;=$Z40),$AC40,IF(AND($Y40&lt;&gt;"",EDATE($D40,Milestones!$AA$104)&gt;=$Y40),$AB40,$AA40)))=Milestones!$AB$104),UPPER(TEXT(EDATE($D40,Milestones!$AA$104),"dd mmm yy"))&amp;" "&amp;Milestones!$AB$104&amp;" "&amp;IF(AND(Milestones!$AB$104="FT",Milestones!$AA$104=FT_Y5,EDATE($D40,Milestones!$AA$104)&lt;PolicyEff),1,Milestones!$AC$104)&amp;";  ","")&amp;IF(AND(EDATE($D40,Milestones!$AA$105)&lt;=AsOfDate,EDATE($D40,Milestones!$AA$105)&gt;=SchemeStart,IF($X40=0,$AD40,IF(AND($Z40&lt;&gt;"",EDATE($D40,Milestones!$AA$105)&gt;=$Z40),$AC40,IF(AND($Y40&lt;&gt;"",EDATE($D40,Milestones!$AA$105)&gt;=$Y40),$AB40,$AA40)))=Milestones!$AB$105),UPPER(TEXT(EDATE($D40,Milestones!$AA$105),"dd mmm yy"))&amp;" "&amp;Milestones!$AB$105&amp;" "&amp;IF(AND(Milestones!$AB$105="FT",Milestones!$AA$105=FT_Y5,EDATE($D40,Milestones!$AA$105)&lt;PolicyEff),1,Milestones!$AC$105)&amp;";  ","")&amp;IF(AND(EDATE($D40,Milestones!$AA$106)&lt;=AsOfDate,EDATE($D40,Milestones!$AA$106)&gt;=SchemeStart,IF($X40=0,$AD40,IF(AND($Z40&lt;&gt;"",EDATE($D40,Milestones!$AA$106)&gt;=$Z40),$AC40,IF(AND($Y40&lt;&gt;"",EDATE($D40,Milestones!$AA$106)&gt;=$Y40),$AB40,$AA40)))=Milestones!$AB$106),UPPER(TEXT(EDATE($D40,Milestones!$AA$106),"dd mmm yy"))&amp;" "&amp;Milestones!$AB$106&amp;" "&amp;IF(AND(Milestones!$AB$106="FT",Milestones!$AA$106=FT_Y5,EDATE($D40,Milestones!$AA$106)&lt;PolicyEff),1,Milestones!$AC$106)&amp;";  ","")&amp;IF(AND(EDATE($D40,Milestones!$AA$107)&lt;=AsOfDate,EDATE($D40,Milestones!$AA$107)&gt;=SchemeStart,IF($X40=0,$AD40,IF(AND($Z40&lt;&gt;"",EDATE($D40,Milestones!$AA$107)&gt;=$Z40),$AC40,IF(AND($Y40&lt;&gt;"",EDATE($D40,Milestones!$AA$107)&gt;=$Y40),$AB40,$AA40)))=Milestones!$AB$107),UPPER(TEXT(EDATE($D40,Milestones!$AA$107),"dd mmm yy"))&amp;" "&amp;Milestones!$AB$107&amp;" "&amp;IF(AND(Milestones!$AB$107="FT",Milestones!$AA$107=FT_Y5,EDATE($D40,Milestones!$AA$107)&lt;PolicyEff),1,Milestones!$AC$107)&amp;";  ","")&amp;IF(AND(EDATE($D40,Milestones!$AA$108)&lt;=AsOfDate,EDATE($D40,Milestones!$AA$108)&gt;=SchemeStart,IF($X40=0,$AD40,IF(AND($Z40&lt;&gt;"",EDATE($D40,Milestones!$AA$108)&gt;=$Z40),$AC40,IF(AND($Y40&lt;&gt;"",EDATE($D40,Milestones!$AA$108)&gt;=$Y40),$AB40,$AA40)))=Milestones!$AB$108),UPPER(TEXT(EDATE($D40,Milestones!$AA$108),"dd mmm yy"))&amp;" "&amp;Milestones!$AB$108&amp;" "&amp;IF(AND(Milestones!$AB$108="FT",Milestones!$AA$108=FT_Y5,EDATE($D40,Milestones!$AA$108)&lt;PolicyEff),1,Milestones!$AC$108)&amp;";  ","")&amp;IF(AND(EDATE($D40,Milestones!$AA$109)&lt;=AsOfDate,EDATE($D40,Milestones!$AA$109)&gt;=SchemeStart,IF($X40=0,$AD40,IF(AND($Z40&lt;&gt;"",EDATE($D40,Milestones!$AA$109)&gt;=$Z40),$AC40,IF(AND($Y40&lt;&gt;"",EDATE($D40,Milestones!$AA$109)&gt;=$Y40),$AB40,$AA40)))=Milestones!$AB$109),UPPER(TEXT(EDATE($D40,Milestones!$AA$109),"dd mmm yy"))&amp;" "&amp;Milestones!$AB$109&amp;" "&amp;IF(AND(Milestones!$AB$109="FT",Milestones!$AA$109=FT_Y5,EDATE($D40,Milestones!$AA$109)&lt;PolicyEff),1,Milestones!$AC$109)&amp;";  ","")&amp;IF(AND(EDATE($D40,Milestones!$AA$110)&lt;=AsOfDate,EDATE($D40,Milestones!$AA$110)&gt;=SchemeStart,IF($X40=0,$AD40,IF(AND($Z40&lt;&gt;"",EDATE($D40,Milestones!$AA$110)&gt;=$Z40),$AC40,IF(AND($Y40&lt;&gt;"",EDATE($D40,Milestones!$AA$110)&gt;=$Y40),$AB40,$AA40)))=Milestones!$AB$110),UPPER(TEXT(EDATE($D40,Milestones!$AA$110),"dd mmm yy"))&amp;" "&amp;Milestones!$AB$110&amp;" "&amp;IF(AND(Milestones!$AB$110="FT",Milestones!$AA$110=FT_Y5,EDATE($D40,Milestones!$AA$110)&lt;PolicyEff),1,Milestones!$AC$110)&amp;";  ","")&amp;IF(AND(EDATE($D40,Milestones!$AA$111)&lt;=AsOfDate,EDATE($D40,Milestones!$AA$111)&gt;=SchemeStart,IF($X40=0,$AD40,IF(AND($Z40&lt;&gt;"",EDATE($D40,Milestones!$AA$111)&gt;=$Z40),$AC40,IF(AND($Y40&lt;&gt;"",EDATE($D40,Milestones!$AA$111)&gt;=$Y40),$AB40,$AA40)))=Milestones!$AB$111),UPPER(TEXT(EDATE($D40,Milestones!$AA$111),"dd mmm yy"))&amp;" "&amp;Milestones!$AB$111&amp;" "&amp;IF(AND(Milestones!$AB$111="FT",Milestones!$AA$111=FT_Y5,EDATE($D40,Milestones!$AA$111)&lt;PolicyEff),1,Milestones!$AC$111)&amp;";  ","")&amp;IF(AND(EDATE($D40,Milestones!$AA$112)&lt;=AsOfDate,EDATE($D40,Milestones!$AA$112)&gt;=SchemeStart,IF($X40=0,$AD40,IF(AND($Z40&lt;&gt;"",EDATE($D40,Milestones!$AA$112)&gt;=$Z40),$AC40,IF(AND($Y40&lt;&gt;"",EDATE($D40,Milestones!$AA$112)&gt;=$Y40),$AB40,$AA40)))=Milestones!$AB$112),UPPER(TEXT(EDATE($D40,Milestones!$AA$112),"dd mmm yy"))&amp;" "&amp;Milestones!$AB$112&amp;" "&amp;IF(AND(Milestones!$AB$112="FT",Milestones!$AA$112=FT_Y5,EDATE($D40,Milestones!$AA$112)&lt;PolicyEff),1,Milestones!$AC$112)&amp;";  ","")&amp;IF(AND(EDATE($D40,Milestones!$AA$113)&lt;=AsOfDate,EDATE($D40,Milestones!$AA$113)&gt;=SchemeStart,IF($X40=0,$AD40,IF(AND($Z40&lt;&gt;"",EDATE($D40,Milestones!$AA$113)&gt;=$Z40),$AC40,IF(AND($Y40&lt;&gt;"",EDATE($D40,Milestones!$AA$113)&gt;=$Y40),$AB40,$AA40)))=Milestones!$AB$113),UPPER(TEXT(EDATE($D40,Milestones!$AA$113),"dd mmm yy"))&amp;" "&amp;Milestones!$AB$113&amp;" "&amp;IF(AND(Milestones!$AB$113="FT",Milestones!$AA$113=FT_Y5,EDATE($D40,Milestones!$AA$113)&lt;PolicyEff),1,Milestones!$AC$113)&amp;";  ","")&amp;IF(AND(EDATE($D40,Milestones!$AA$114)&lt;=AsOfDate,EDATE($D40,Milestones!$AA$114)&gt;=SchemeStart,IF($X40=0,$AD40,IF(AND($Z40&lt;&gt;"",EDATE($D40,Milestones!$AA$114)&gt;=$Z40),$AC40,IF(AND($Y40&lt;&gt;"",EDATE($D40,Milestones!$AA$114)&gt;=$Y40),$AB40,$AA40)))=Milestones!$AB$114),UPPER(TEXT(EDATE($D40,Milestones!$AA$114),"dd mmm yy"))&amp;" "&amp;Milestones!$AB$114&amp;" "&amp;IF(AND(Milestones!$AB$114="FT",Milestones!$AA$114=FT_Y5,EDATE($D40,Milestones!$AA$114)&lt;PolicyEff),1,Milestones!$AC$114)&amp;";  ","")&amp;IF(AND(EDATE($D40,Milestones!$AA$115)&lt;=AsOfDate,EDATE($D40,Milestones!$AA$115)&gt;=SchemeStart,IF($X40=0,$AD40,IF(AND($Z40&lt;&gt;"",EDATE($D40,Milestones!$AA$115)&gt;=$Z40),$AC40,IF(AND($Y40&lt;&gt;"",EDATE($D40,Milestones!$AA$115)&gt;=$Y40),$AB40,$AA40)))=Milestones!$AB$115),UPPER(TEXT(EDATE($D40,Milestones!$AA$115),"dd mmm yy"))&amp;" "&amp;Milestones!$AB$115&amp;" "&amp;IF(AND(Milestones!$AB$115="FT",Milestones!$AA$115=FT_Y5,EDATE($D40,Milestones!$AA$115)&lt;PolicyEff),1,Milestones!$AC$115)&amp;";  ",""))</f>
        <v/>
      </c>
      <c r="Q40" s="0" t="str">
        <f aca="false">IF(OR($A40="",$D40=""),"",IF(AND(EDATE($D40,Milestones!$AA$116)&lt;=AsOfDate,EDATE($D40,Milestones!$AA$116)&gt;=SchemeStart,IF($X40=0,$AD40,IF(AND($Z40&lt;&gt;"",EDATE($D40,Milestones!$AA$116)&gt;=$Z40),$AC40,IF(AND($Y40&lt;&gt;"",EDATE($D40,Milestones!$AA$116)&gt;=$Y40),$AB40,$AA40)))=Milestones!$AB$116),UPPER(TEXT(EDATE($D40,Milestones!$AA$116),"dd mmm yy"))&amp;" "&amp;Milestones!$AB$116&amp;" "&amp;IF(AND(Milestones!$AB$116="FT",Milestones!$AA$116=FT_Y5,EDATE($D40,Milestones!$AA$116)&lt;PolicyEff),1,Milestones!$AC$116)&amp;";  ","")&amp;IF(AND(EDATE($D40,Milestones!$AA$117)&lt;=AsOfDate,EDATE($D40,Milestones!$AA$117)&gt;=SchemeStart,IF($X40=0,$AD40,IF(AND($Z40&lt;&gt;"",EDATE($D40,Milestones!$AA$117)&gt;=$Z40),$AC40,IF(AND($Y40&lt;&gt;"",EDATE($D40,Milestones!$AA$117)&gt;=$Y40),$AB40,$AA40)))=Milestones!$AB$117),UPPER(TEXT(EDATE($D40,Milestones!$AA$117),"dd mmm yy"))&amp;" "&amp;Milestones!$AB$117&amp;" "&amp;IF(AND(Milestones!$AB$117="FT",Milestones!$AA$117=FT_Y5,EDATE($D40,Milestones!$AA$117)&lt;PolicyEff),1,Milestones!$AC$117)&amp;";  ","")&amp;IF(AND(EDATE($D40,Milestones!$AA$118)&lt;=AsOfDate,EDATE($D40,Milestones!$AA$118)&gt;=SchemeStart,IF($X40=0,$AD40,IF(AND($Z40&lt;&gt;"",EDATE($D40,Milestones!$AA$118)&gt;=$Z40),$AC40,IF(AND($Y40&lt;&gt;"",EDATE($D40,Milestones!$AA$118)&gt;=$Y40),$AB40,$AA40)))=Milestones!$AB$118),UPPER(TEXT(EDATE($D40,Milestones!$AA$118),"dd mmm yy"))&amp;" "&amp;Milestones!$AB$118&amp;" "&amp;IF(AND(Milestones!$AB$118="FT",Milestones!$AA$118=FT_Y5,EDATE($D40,Milestones!$AA$118)&lt;PolicyEff),1,Milestones!$AC$118)&amp;";  ","")&amp;IF(AND(EDATE($D40,Milestones!$AA$119)&lt;=AsOfDate,EDATE($D40,Milestones!$AA$119)&gt;=SchemeStart,IF($X40=0,$AD40,IF(AND($Z40&lt;&gt;"",EDATE($D40,Milestones!$AA$119)&gt;=$Z40),$AC40,IF(AND($Y40&lt;&gt;"",EDATE($D40,Milestones!$AA$119)&gt;=$Y40),$AB40,$AA40)))=Milestones!$AB$119),UPPER(TEXT(EDATE($D40,Milestones!$AA$119),"dd mmm yy"))&amp;" "&amp;Milestones!$AB$119&amp;" "&amp;IF(AND(Milestones!$AB$119="FT",Milestones!$AA$119=FT_Y5,EDATE($D40,Milestones!$AA$119)&lt;PolicyEff),1,Milestones!$AC$119)&amp;";  ","")&amp;IF(AND(EDATE($D40,Milestones!$AA$120)&lt;=AsOfDate,EDATE($D40,Milestones!$AA$120)&gt;=SchemeStart,IF($X40=0,$AD40,IF(AND($Z40&lt;&gt;"",EDATE($D40,Milestones!$AA$120)&gt;=$Z40),$AC40,IF(AND($Y40&lt;&gt;"",EDATE($D40,Milestones!$AA$120)&gt;=$Y40),$AB40,$AA40)))=Milestones!$AB$120),UPPER(TEXT(EDATE($D40,Milestones!$AA$120),"dd mmm yy"))&amp;" "&amp;Milestones!$AB$120&amp;" "&amp;IF(AND(Milestones!$AB$120="FT",Milestones!$AA$120=FT_Y5,EDATE($D40,Milestones!$AA$120)&lt;PolicyEff),1,Milestones!$AC$120)&amp;";  ","")&amp;IF(AND(EDATE($D40,Milestones!$AA$121)&lt;=AsOfDate,EDATE($D40,Milestones!$AA$121)&gt;=SchemeStart,IF($X40=0,$AD40,IF(AND($Z40&lt;&gt;"",EDATE($D40,Milestones!$AA$121)&gt;=$Z40),$AC40,IF(AND($Y40&lt;&gt;"",EDATE($D40,Milestones!$AA$121)&gt;=$Y40),$AB40,$AA40)))=Milestones!$AB$121),UPPER(TEXT(EDATE($D40,Milestones!$AA$121),"dd mmm yy"))&amp;" "&amp;Milestones!$AB$121&amp;" "&amp;IF(AND(Milestones!$AB$121="FT",Milestones!$AA$121=FT_Y5,EDATE($D40,Milestones!$AA$121)&lt;PolicyEff),1,Milestones!$AC$121)&amp;";  ","")&amp;IF(AND(EDATE($D40,Milestones!$AA$122)&lt;=AsOfDate,EDATE($D40,Milestones!$AA$122)&gt;=SchemeStart,IF($X40=0,$AD40,IF(AND($Z40&lt;&gt;"",EDATE($D40,Milestones!$AA$122)&gt;=$Z40),$AC40,IF(AND($Y40&lt;&gt;"",EDATE($D40,Milestones!$AA$122)&gt;=$Y40),$AB40,$AA40)))=Milestones!$AB$122),UPPER(TEXT(EDATE($D40,Milestones!$AA$122),"dd mmm yy"))&amp;" "&amp;Milestones!$AB$122&amp;" "&amp;IF(AND(Milestones!$AB$122="FT",Milestones!$AA$122=FT_Y5,EDATE($D40,Milestones!$AA$122)&lt;PolicyEff),1,Milestones!$AC$122)&amp;";  ","")&amp;IF(AND(EDATE($D40,Milestones!$AA$123)&lt;=AsOfDate,EDATE($D40,Milestones!$AA$123)&gt;=SchemeStart,IF($X40=0,$AD40,IF(AND($Z40&lt;&gt;"",EDATE($D40,Milestones!$AA$123)&gt;=$Z40),$AC40,IF(AND($Y40&lt;&gt;"",EDATE($D40,Milestones!$AA$123)&gt;=$Y40),$AB40,$AA40)))=Milestones!$AB$123),UPPER(TEXT(EDATE($D40,Milestones!$AA$123),"dd mmm yy"))&amp;" "&amp;Milestones!$AB$123&amp;" "&amp;IF(AND(Milestones!$AB$123="FT",Milestones!$AA$123=FT_Y5,EDATE($D40,Milestones!$AA$123)&lt;PolicyEff),1,Milestones!$AC$123)&amp;";  ","")&amp;IF(AND(EDATE($D40,Milestones!$AA$124)&lt;=AsOfDate,EDATE($D40,Milestones!$AA$124)&gt;=SchemeStart,IF($X40=0,$AD40,IF(AND($Z40&lt;&gt;"",EDATE($D40,Milestones!$AA$124)&gt;=$Z40),$AC40,IF(AND($Y40&lt;&gt;"",EDATE($D40,Milestones!$AA$124)&gt;=$Y40),$AB40,$AA40)))=Milestones!$AB$124),UPPER(TEXT(EDATE($D40,Milestones!$AA$124),"dd mmm yy"))&amp;" "&amp;Milestones!$AB$124&amp;" "&amp;IF(AND(Milestones!$AB$124="FT",Milestones!$AA$124=FT_Y5,EDATE($D40,Milestones!$AA$124)&lt;PolicyEff),1,Milestones!$AC$124)&amp;";  ","")&amp;IF(AND(EDATE($D40,Milestones!$AA$125)&lt;=AsOfDate,EDATE($D40,Milestones!$AA$125)&gt;=SchemeStart,IF($X40=0,$AD40,IF(AND($Z40&lt;&gt;"",EDATE($D40,Milestones!$AA$125)&gt;=$Z40),$AC40,IF(AND($Y40&lt;&gt;"",EDATE($D40,Milestones!$AA$125)&gt;=$Y40),$AB40,$AA40)))=Milestones!$AB$125),UPPER(TEXT(EDATE($D40,Milestones!$AA$125),"dd mmm yy"))&amp;" "&amp;Milestones!$AB$125&amp;" "&amp;IF(AND(Milestones!$AB$125="FT",Milestones!$AA$125=FT_Y5,EDATE($D40,Milestones!$AA$125)&lt;PolicyEff),1,Milestones!$AC$125)&amp;";  ","")&amp;IF(AND(EDATE($D40,Milestones!$AA$126)&lt;=AsOfDate,EDATE($D40,Milestones!$AA$126)&gt;=SchemeStart,IF($X40=0,$AD40,IF(AND($Z40&lt;&gt;"",EDATE($D40,Milestones!$AA$126)&gt;=$Z40),$AC40,IF(AND($Y40&lt;&gt;"",EDATE($D40,Milestones!$AA$126)&gt;=$Y40),$AB40,$AA40)))=Milestones!$AB$126),UPPER(TEXT(EDATE($D40,Milestones!$AA$126),"dd mmm yy"))&amp;" "&amp;Milestones!$AB$126&amp;" "&amp;IF(AND(Milestones!$AB$126="FT",Milestones!$AA$126=FT_Y5,EDATE($D40,Milestones!$AA$126)&lt;PolicyEff),1,Milestones!$AC$126)&amp;";  ","")&amp;IF(AND(EDATE($D40,Milestones!$AA$127)&lt;=AsOfDate,EDATE($D40,Milestones!$AA$127)&gt;=SchemeStart,IF($X40=0,$AD40,IF(AND($Z40&lt;&gt;"",EDATE($D40,Milestones!$AA$127)&gt;=$Z40),$AC40,IF(AND($Y40&lt;&gt;"",EDATE($D40,Milestones!$AA$127)&gt;=$Y40),$AB40,$AA40)))=Milestones!$AB$127),UPPER(TEXT(EDATE($D40,Milestones!$AA$127),"dd mmm yy"))&amp;" "&amp;Milestones!$AB$127&amp;" "&amp;IF(AND(Milestones!$AB$127="FT",Milestones!$AA$127=FT_Y5,EDATE($D40,Milestones!$AA$127)&lt;PolicyEff),1,Milestones!$AC$127)&amp;";  ",""))</f>
        <v/>
      </c>
      <c r="R40" s="0" t="str">
        <f aca="false">IF(OR($A40="",$D40=""),"",IF(AND(EDATE($D40,Milestones!$AA$128)&lt;=AsOfDate,EDATE($D40,Milestones!$AA$128)&gt;=SchemeStart,IF($X40=0,$AD40,IF(AND($Z40&lt;&gt;"",EDATE($D40,Milestones!$AA$128)&gt;=$Z40),$AC40,IF(AND($Y40&lt;&gt;"",EDATE($D40,Milestones!$AA$128)&gt;=$Y40),$AB40,$AA40)))=Milestones!$AB$128),UPPER(TEXT(EDATE($D40,Milestones!$AA$128),"dd mmm yy"))&amp;" "&amp;Milestones!$AB$128&amp;" "&amp;IF(AND(Milestones!$AB$128="FT",Milestones!$AA$128=FT_Y5,EDATE($D40,Milestones!$AA$128)&lt;PolicyEff),1,Milestones!$AC$128)&amp;";  ","")&amp;IF(AND(EDATE($D40,Milestones!$AA$129)&lt;=AsOfDate,EDATE($D40,Milestones!$AA$129)&gt;=SchemeStart,IF($X40=0,$AD40,IF(AND($Z40&lt;&gt;"",EDATE($D40,Milestones!$AA$129)&gt;=$Z40),$AC40,IF(AND($Y40&lt;&gt;"",EDATE($D40,Milestones!$AA$129)&gt;=$Y40),$AB40,$AA40)))=Milestones!$AB$129),UPPER(TEXT(EDATE($D40,Milestones!$AA$129),"dd mmm yy"))&amp;" "&amp;Milestones!$AB$129&amp;" "&amp;IF(AND(Milestones!$AB$129="FT",Milestones!$AA$129=FT_Y5,EDATE($D40,Milestones!$AA$129)&lt;PolicyEff),1,Milestones!$AC$129)&amp;";  ","")&amp;IF(AND(EDATE($D40,Milestones!$AA$130)&lt;=AsOfDate,EDATE($D40,Milestones!$AA$130)&gt;=SchemeStart,IF($X40=0,$AD40,IF(AND($Z40&lt;&gt;"",EDATE($D40,Milestones!$AA$130)&gt;=$Z40),$AC40,IF(AND($Y40&lt;&gt;"",EDATE($D40,Milestones!$AA$130)&gt;=$Y40),$AB40,$AA40)))=Milestones!$AB$130),UPPER(TEXT(EDATE($D40,Milestones!$AA$130),"dd mmm yy"))&amp;" "&amp;Milestones!$AB$130&amp;" "&amp;IF(AND(Milestones!$AB$130="FT",Milestones!$AA$130=FT_Y5,EDATE($D40,Milestones!$AA$130)&lt;PolicyEff),1,Milestones!$AC$130)&amp;";  ","")&amp;IF(AND(EDATE($D40,Milestones!$AA$131)&lt;=AsOfDate,EDATE($D40,Milestones!$AA$131)&gt;=SchemeStart,IF($X40=0,$AD40,IF(AND($Z40&lt;&gt;"",EDATE($D40,Milestones!$AA$131)&gt;=$Z40),$AC40,IF(AND($Y40&lt;&gt;"",EDATE($D40,Milestones!$AA$131)&gt;=$Y40),$AB40,$AA40)))=Milestones!$AB$131),UPPER(TEXT(EDATE($D40,Milestones!$AA$131),"dd mmm yy"))&amp;" "&amp;Milestones!$AB$131&amp;" "&amp;IF(AND(Milestones!$AB$131="FT",Milestones!$AA$131=FT_Y5,EDATE($D40,Milestones!$AA$131)&lt;PolicyEff),1,Milestones!$AC$131)&amp;";  ","")&amp;IF(AND(EDATE($D40,Milestones!$AA$132)&lt;=AsOfDate,EDATE($D40,Milestones!$AA$132)&gt;=SchemeStart,IF($X40=0,$AD40,IF(AND($Z40&lt;&gt;"",EDATE($D40,Milestones!$AA$132)&gt;=$Z40),$AC40,IF(AND($Y40&lt;&gt;"",EDATE($D40,Milestones!$AA$132)&gt;=$Y40),$AB40,$AA40)))=Milestones!$AB$132),UPPER(TEXT(EDATE($D40,Milestones!$AA$132),"dd mmm yy"))&amp;" "&amp;Milestones!$AB$132&amp;" "&amp;IF(AND(Milestones!$AB$132="FT",Milestones!$AA$132=FT_Y5,EDATE($D40,Milestones!$AA$132)&lt;PolicyEff),1,Milestones!$AC$132)&amp;";  ","")&amp;IF(AND(EDATE($D40,Milestones!$AA$133)&lt;=AsOfDate,EDATE($D40,Milestones!$AA$133)&gt;=SchemeStart,IF($X40=0,$AD40,IF(AND($Z40&lt;&gt;"",EDATE($D40,Milestones!$AA$133)&gt;=$Z40),$AC40,IF(AND($Y40&lt;&gt;"",EDATE($D40,Milestones!$AA$133)&gt;=$Y40),$AB40,$AA40)))=Milestones!$AB$133),UPPER(TEXT(EDATE($D40,Milestones!$AA$133),"dd mmm yy"))&amp;" "&amp;Milestones!$AB$133&amp;" "&amp;IF(AND(Milestones!$AB$133="FT",Milestones!$AA$133=FT_Y5,EDATE($D40,Milestones!$AA$133)&lt;PolicyEff),1,Milestones!$AC$133)&amp;";  ","")&amp;IF(AND(EDATE($D40,Milestones!$AA$134)&lt;=AsOfDate,EDATE($D40,Milestones!$AA$134)&gt;=SchemeStart,IF($X40=0,$AD40,IF(AND($Z40&lt;&gt;"",EDATE($D40,Milestones!$AA$134)&gt;=$Z40),$AC40,IF(AND($Y40&lt;&gt;"",EDATE($D40,Milestones!$AA$134)&gt;=$Y40),$AB40,$AA40)))=Milestones!$AB$134),UPPER(TEXT(EDATE($D40,Milestones!$AA$134),"dd mmm yy"))&amp;" "&amp;Milestones!$AB$134&amp;" "&amp;IF(AND(Milestones!$AB$134="FT",Milestones!$AA$134=FT_Y5,EDATE($D40,Milestones!$AA$134)&lt;PolicyEff),1,Milestones!$AC$134)&amp;";  ","")&amp;IF(AND(EDATE($D40,Milestones!$AA$135)&lt;=AsOfDate,EDATE($D40,Milestones!$AA$135)&gt;=SchemeStart,IF($X40=0,$AD40,IF(AND($Z40&lt;&gt;"",EDATE($D40,Milestones!$AA$135)&gt;=$Z40),$AC40,IF(AND($Y40&lt;&gt;"",EDATE($D40,Milestones!$AA$135)&gt;=$Y40),$AB40,$AA40)))=Milestones!$AB$135),UPPER(TEXT(EDATE($D40,Milestones!$AA$135),"dd mmm yy"))&amp;" "&amp;Milestones!$AB$135&amp;" "&amp;IF(AND(Milestones!$AB$135="FT",Milestones!$AA$135=FT_Y5,EDATE($D40,Milestones!$AA$135)&lt;PolicyEff),1,Milestones!$AC$135)&amp;";  ","")&amp;IF(AND(EDATE($D40,Milestones!$AA$136)&lt;=AsOfDate,EDATE($D40,Milestones!$AA$136)&gt;=SchemeStart,IF($X40=0,$AD40,IF(AND($Z40&lt;&gt;"",EDATE($D40,Milestones!$AA$136)&gt;=$Z40),$AC40,IF(AND($Y40&lt;&gt;"",EDATE($D40,Milestones!$AA$136)&gt;=$Y40),$AB40,$AA40)))=Milestones!$AB$136),UPPER(TEXT(EDATE($D40,Milestones!$AA$136),"dd mmm yy"))&amp;" "&amp;Milestones!$AB$136&amp;" "&amp;IF(AND(Milestones!$AB$136="FT",Milestones!$AA$136=FT_Y5,EDATE($D40,Milestones!$AA$136)&lt;PolicyEff),1,Milestones!$AC$136)&amp;";  ","")&amp;IF(AND(EDATE($D40,Milestones!$AA$137)&lt;=AsOfDate,EDATE($D40,Milestones!$AA$137)&gt;=SchemeStart,IF($X40=0,$AD40,IF(AND($Z40&lt;&gt;"",EDATE($D40,Milestones!$AA$137)&gt;=$Z40),$AC40,IF(AND($Y40&lt;&gt;"",EDATE($D40,Milestones!$AA$137)&gt;=$Y40),$AB40,$AA40)))=Milestones!$AB$137),UPPER(TEXT(EDATE($D40,Milestones!$AA$137),"dd mmm yy"))&amp;" "&amp;Milestones!$AB$137&amp;" "&amp;IF(AND(Milestones!$AB$137="FT",Milestones!$AA$137=FT_Y5,EDATE($D40,Milestones!$AA$137)&lt;PolicyEff),1,Milestones!$AC$137)&amp;";  ","")&amp;IF(AND(EDATE($D40,Milestones!$AA$138)&lt;=AsOfDate,EDATE($D40,Milestones!$AA$138)&gt;=SchemeStart,IF($X40=0,$AD40,IF(AND($Z40&lt;&gt;"",EDATE($D40,Milestones!$AA$138)&gt;=$Z40),$AC40,IF(AND($Y40&lt;&gt;"",EDATE($D40,Milestones!$AA$138)&gt;=$Y40),$AB40,$AA40)))=Milestones!$AB$138),UPPER(TEXT(EDATE($D40,Milestones!$AA$138),"dd mmm yy"))&amp;" "&amp;Milestones!$AB$138&amp;" "&amp;IF(AND(Milestones!$AB$138="FT",Milestones!$AA$138=FT_Y5,EDATE($D40,Milestones!$AA$138)&lt;PolicyEff),1,Milestones!$AC$138)&amp;";  ","")&amp;IF(AND(EDATE($D40,Milestones!$AA$139)&lt;=AsOfDate,EDATE($D40,Milestones!$AA$139)&gt;=SchemeStart,IF($X40=0,$AD40,IF(AND($Z40&lt;&gt;"",EDATE($D40,Milestones!$AA$139)&gt;=$Z40),$AC40,IF(AND($Y40&lt;&gt;"",EDATE($D40,Milestones!$AA$139)&gt;=$Y40),$AB40,$AA40)))=Milestones!$AB$139),UPPER(TEXT(EDATE($D40,Milestones!$AA$139),"dd mmm yy"))&amp;" "&amp;Milestones!$AB$139&amp;" "&amp;IF(AND(Milestones!$AB$139="FT",Milestones!$AA$139=FT_Y5,EDATE($D40,Milestones!$AA$139)&lt;PolicyEff),1,Milestones!$AC$139)&amp;";  ",""))</f>
        <v/>
      </c>
      <c r="S40" s="0" t="str">
        <f aca="false">IF(OR($A40="",$D40=""),"",IF(AND(EDATE($D40,Milestones!$AA$140)&lt;=AsOfDate,EDATE($D40,Milestones!$AA$140)&gt;=SchemeStart,IF($X40=0,$AD40,IF(AND($Z40&lt;&gt;"",EDATE($D40,Milestones!$AA$140)&gt;=$Z40),$AC40,IF(AND($Y40&lt;&gt;"",EDATE($D40,Milestones!$AA$140)&gt;=$Y40),$AB40,$AA40)))=Milestones!$AB$140),UPPER(TEXT(EDATE($D40,Milestones!$AA$140),"dd mmm yy"))&amp;" "&amp;Milestones!$AB$140&amp;" "&amp;IF(AND(Milestones!$AB$140="FT",Milestones!$AA$140=FT_Y5,EDATE($D40,Milestones!$AA$140)&lt;PolicyEff),1,Milestones!$AC$140)&amp;";  ","")&amp;IF(AND(EDATE($D40,Milestones!$AA$141)&lt;=AsOfDate,EDATE($D40,Milestones!$AA$141)&gt;=SchemeStart,IF($X40=0,$AD40,IF(AND($Z40&lt;&gt;"",EDATE($D40,Milestones!$AA$141)&gt;=$Z40),$AC40,IF(AND($Y40&lt;&gt;"",EDATE($D40,Milestones!$AA$141)&gt;=$Y40),$AB40,$AA40)))=Milestones!$AB$141),UPPER(TEXT(EDATE($D40,Milestones!$AA$141),"dd mmm yy"))&amp;" "&amp;Milestones!$AB$141&amp;" "&amp;IF(AND(Milestones!$AB$141="FT",Milestones!$AA$141=FT_Y5,EDATE($D40,Milestones!$AA$141)&lt;PolicyEff),1,Milestones!$AC$141)&amp;";  ","")&amp;IF(AND(EDATE($D40,Milestones!$AA$142)&lt;=AsOfDate,EDATE($D40,Milestones!$AA$142)&gt;=SchemeStart,IF($X40=0,$AD40,IF(AND($Z40&lt;&gt;"",EDATE($D40,Milestones!$AA$142)&gt;=$Z40),$AC40,IF(AND($Y40&lt;&gt;"",EDATE($D40,Milestones!$AA$142)&gt;=$Y40),$AB40,$AA40)))=Milestones!$AB$142),UPPER(TEXT(EDATE($D40,Milestones!$AA$142),"dd mmm yy"))&amp;" "&amp;Milestones!$AB$142&amp;" "&amp;IF(AND(Milestones!$AB$142="FT",Milestones!$AA$142=FT_Y5,EDATE($D40,Milestones!$AA$142)&lt;PolicyEff),1,Milestones!$AC$142)&amp;";  ","")&amp;IF(AND(EDATE($D40,Milestones!$AA$143)&lt;=AsOfDate,EDATE($D40,Milestones!$AA$143)&gt;=SchemeStart,IF($X40=0,$AD40,IF(AND($Z40&lt;&gt;"",EDATE($D40,Milestones!$AA$143)&gt;=$Z40),$AC40,IF(AND($Y40&lt;&gt;"",EDATE($D40,Milestones!$AA$143)&gt;=$Y40),$AB40,$AA40)))=Milestones!$AB$143),UPPER(TEXT(EDATE($D40,Milestones!$AA$143),"dd mmm yy"))&amp;" "&amp;Milestones!$AB$143&amp;" "&amp;IF(AND(Milestones!$AB$143="FT",Milestones!$AA$143=FT_Y5,EDATE($D40,Milestones!$AA$143)&lt;PolicyEff),1,Milestones!$AC$143)&amp;";  ","")&amp;IF(AND(EDATE($D40,Milestones!$AA$144)&lt;=AsOfDate,EDATE($D40,Milestones!$AA$144)&gt;=SchemeStart,IF($X40=0,$AD40,IF(AND($Z40&lt;&gt;"",EDATE($D40,Milestones!$AA$144)&gt;=$Z40),$AC40,IF(AND($Y40&lt;&gt;"",EDATE($D40,Milestones!$AA$144)&gt;=$Y40),$AB40,$AA40)))=Milestones!$AB$144),UPPER(TEXT(EDATE($D40,Milestones!$AA$144),"dd mmm yy"))&amp;" "&amp;Milestones!$AB$144&amp;" "&amp;IF(AND(Milestones!$AB$144="FT",Milestones!$AA$144=FT_Y5,EDATE($D40,Milestones!$AA$144)&lt;PolicyEff),1,Milestones!$AC$144)&amp;";  ","")&amp;IF(AND(EDATE($D40,Milestones!$AA$145)&lt;=AsOfDate,EDATE($D40,Milestones!$AA$145)&gt;=SchemeStart,IF($X40=0,$AD40,IF(AND($Z40&lt;&gt;"",EDATE($D40,Milestones!$AA$145)&gt;=$Z40),$AC40,IF(AND($Y40&lt;&gt;"",EDATE($D40,Milestones!$AA$145)&gt;=$Y40),$AB40,$AA40)))=Milestones!$AB$145),UPPER(TEXT(EDATE($D40,Milestones!$AA$145),"dd mmm yy"))&amp;" "&amp;Milestones!$AB$145&amp;" "&amp;IF(AND(Milestones!$AB$145="FT",Milestones!$AA$145=FT_Y5,EDATE($D40,Milestones!$AA$145)&lt;PolicyEff),1,Milestones!$AC$145)&amp;";  ","")&amp;IF(AND(EDATE($D40,Milestones!$AA$146)&lt;=AsOfDate,EDATE($D40,Milestones!$AA$146)&gt;=SchemeStart,IF($X40=0,$AD40,IF(AND($Z40&lt;&gt;"",EDATE($D40,Milestones!$AA$146)&gt;=$Z40),$AC40,IF(AND($Y40&lt;&gt;"",EDATE($D40,Milestones!$AA$146)&gt;=$Y40),$AB40,$AA40)))=Milestones!$AB$146),UPPER(TEXT(EDATE($D40,Milestones!$AA$146),"dd mmm yy"))&amp;" "&amp;Milestones!$AB$146&amp;" "&amp;IF(AND(Milestones!$AB$146="FT",Milestones!$AA$146=FT_Y5,EDATE($D40,Milestones!$AA$146)&lt;PolicyEff),1,Milestones!$AC$146)&amp;";  ","")&amp;IF(AND(EDATE($D40,Milestones!$AA$147)&lt;=AsOfDate,EDATE($D40,Milestones!$AA$147)&gt;=SchemeStart,IF($X40=0,$AD40,IF(AND($Z40&lt;&gt;"",EDATE($D40,Milestones!$AA$147)&gt;=$Z40),$AC40,IF(AND($Y40&lt;&gt;"",EDATE($D40,Milestones!$AA$147)&gt;=$Y40),$AB40,$AA40)))=Milestones!$AB$147),UPPER(TEXT(EDATE($D40,Milestones!$AA$147),"dd mmm yy"))&amp;" "&amp;Milestones!$AB$147&amp;" "&amp;IF(AND(Milestones!$AB$147="FT",Milestones!$AA$147=FT_Y5,EDATE($D40,Milestones!$AA$147)&lt;PolicyEff),1,Milestones!$AC$147)&amp;";  ","")&amp;IF(AND(EDATE($D40,Milestones!$AA$148)&lt;=AsOfDate,EDATE($D40,Milestones!$AA$148)&gt;=SchemeStart,IF($X40=0,$AD40,IF(AND($Z40&lt;&gt;"",EDATE($D40,Milestones!$AA$148)&gt;=$Z40),$AC40,IF(AND($Y40&lt;&gt;"",EDATE($D40,Milestones!$AA$148)&gt;=$Y40),$AB40,$AA40)))=Milestones!$AB$148),UPPER(TEXT(EDATE($D40,Milestones!$AA$148),"dd mmm yy"))&amp;" "&amp;Milestones!$AB$148&amp;" "&amp;IF(AND(Milestones!$AB$148="FT",Milestones!$AA$148=FT_Y5,EDATE($D40,Milestones!$AA$148)&lt;PolicyEff),1,Milestones!$AC$148)&amp;";  ","")&amp;IF(AND(EDATE($D40,Milestones!$AA$149)&lt;=AsOfDate,EDATE($D40,Milestones!$AA$149)&gt;=SchemeStart,IF($X40=0,$AD40,IF(AND($Z40&lt;&gt;"",EDATE($D40,Milestones!$AA$149)&gt;=$Z40),$AC40,IF(AND($Y40&lt;&gt;"",EDATE($D40,Milestones!$AA$149)&gt;=$Y40),$AB40,$AA40)))=Milestones!$AB$149),UPPER(TEXT(EDATE($D40,Milestones!$AA$149),"dd mmm yy"))&amp;" "&amp;Milestones!$AB$149&amp;" "&amp;IF(AND(Milestones!$AB$149="FT",Milestones!$AA$149=FT_Y5,EDATE($D40,Milestones!$AA$149)&lt;PolicyEff),1,Milestones!$AC$149)&amp;";  ","")&amp;IF(AND(EDATE($D40,Milestones!$AA$150)&lt;=AsOfDate,EDATE($D40,Milestones!$AA$150)&gt;=SchemeStart,IF($X40=0,$AD40,IF(AND($Z40&lt;&gt;"",EDATE($D40,Milestones!$AA$150)&gt;=$Z40),$AC40,IF(AND($Y40&lt;&gt;"",EDATE($D40,Milestones!$AA$150)&gt;=$Y40),$AB40,$AA40)))=Milestones!$AB$150),UPPER(TEXT(EDATE($D40,Milestones!$AA$150),"dd mmm yy"))&amp;" "&amp;Milestones!$AB$150&amp;" "&amp;IF(AND(Milestones!$AB$150="FT",Milestones!$AA$150=FT_Y5,EDATE($D40,Milestones!$AA$150)&lt;PolicyEff),1,Milestones!$AC$150)&amp;";  ","")&amp;IF(AND(EDATE($D40,Milestones!$AA$151)&lt;=AsOfDate,EDATE($D40,Milestones!$AA$151)&gt;=SchemeStart,IF($X40=0,$AD40,IF(AND($Z40&lt;&gt;"",EDATE($D40,Milestones!$AA$151)&gt;=$Z40),$AC40,IF(AND($Y40&lt;&gt;"",EDATE($D40,Milestones!$AA$151)&gt;=$Y40),$AB40,$AA40)))=Milestones!$AB$151),UPPER(TEXT(EDATE($D40,Milestones!$AA$151),"dd mmm yy"))&amp;" "&amp;Milestones!$AB$151&amp;" "&amp;IF(AND(Milestones!$AB$151="FT",Milestones!$AA$151=FT_Y5,EDATE($D40,Milestones!$AA$151)&lt;PolicyEff),1,Milestones!$AC$151)&amp;";  ",""))</f>
        <v/>
      </c>
      <c r="T40" s="0" t="str">
        <f aca="false">IF(OR($A40="",$D40=""),"",IF(AND(EDATE($D40,Milestones!$AA$152)&lt;=AsOfDate,EDATE($D40,Milestones!$AA$152)&gt;=SchemeStart,IF($X40=0,$AD40,IF(AND($Z40&lt;&gt;"",EDATE($D40,Milestones!$AA$152)&gt;=$Z40),$AC40,IF(AND($Y40&lt;&gt;"",EDATE($D40,Milestones!$AA$152)&gt;=$Y40),$AB40,$AA40)))=Milestones!$AB$152),UPPER(TEXT(EDATE($D40,Milestones!$AA$152),"dd mmm yy"))&amp;" "&amp;Milestones!$AB$152&amp;" "&amp;IF(AND(Milestones!$AB$152="FT",Milestones!$AA$152=FT_Y5,EDATE($D40,Milestones!$AA$152)&lt;PolicyEff),1,Milestones!$AC$152)&amp;";  ","")&amp;IF(AND(EDATE($D40,Milestones!$AA$153)&lt;=AsOfDate,EDATE($D40,Milestones!$AA$153)&gt;=SchemeStart,IF($X40=0,$AD40,IF(AND($Z40&lt;&gt;"",EDATE($D40,Milestones!$AA$153)&gt;=$Z40),$AC40,IF(AND($Y40&lt;&gt;"",EDATE($D40,Milestones!$AA$153)&gt;=$Y40),$AB40,$AA40)))=Milestones!$AB$153),UPPER(TEXT(EDATE($D40,Milestones!$AA$153),"dd mmm yy"))&amp;" "&amp;Milestones!$AB$153&amp;" "&amp;IF(AND(Milestones!$AB$153="FT",Milestones!$AA$153=FT_Y5,EDATE($D40,Milestones!$AA$153)&lt;PolicyEff),1,Milestones!$AC$153)&amp;";  ","")&amp;IF(AND(EDATE($D40,Milestones!$AA$154)&lt;=AsOfDate,EDATE($D40,Milestones!$AA$154)&gt;=SchemeStart,IF($X40=0,$AD40,IF(AND($Z40&lt;&gt;"",EDATE($D40,Milestones!$AA$154)&gt;=$Z40),$AC40,IF(AND($Y40&lt;&gt;"",EDATE($D40,Milestones!$AA$154)&gt;=$Y40),$AB40,$AA40)))=Milestones!$AB$154),UPPER(TEXT(EDATE($D40,Milestones!$AA$154),"dd mmm yy"))&amp;" "&amp;Milestones!$AB$154&amp;" "&amp;IF(AND(Milestones!$AB$154="FT",Milestones!$AA$154=FT_Y5,EDATE($D40,Milestones!$AA$154)&lt;PolicyEff),1,Milestones!$AC$154)&amp;";  ","")&amp;IF(AND(EDATE($D40,Milestones!$AA$155)&lt;=AsOfDate,EDATE($D40,Milestones!$AA$155)&gt;=SchemeStart,IF($X40=0,$AD40,IF(AND($Z40&lt;&gt;"",EDATE($D40,Milestones!$AA$155)&gt;=$Z40),$AC40,IF(AND($Y40&lt;&gt;"",EDATE($D40,Milestones!$AA$155)&gt;=$Y40),$AB40,$AA40)))=Milestones!$AB$155),UPPER(TEXT(EDATE($D40,Milestones!$AA$155),"dd mmm yy"))&amp;" "&amp;Milestones!$AB$155&amp;" "&amp;IF(AND(Milestones!$AB$155="FT",Milestones!$AA$155=FT_Y5,EDATE($D40,Milestones!$AA$155)&lt;PolicyEff),1,Milestones!$AC$155)&amp;";  ","")&amp;IF(AND(EDATE($D40,Milestones!$AA$156)&lt;=AsOfDate,EDATE($D40,Milestones!$AA$156)&gt;=SchemeStart,IF($X40=0,$AD40,IF(AND($Z40&lt;&gt;"",EDATE($D40,Milestones!$AA$156)&gt;=$Z40),$AC40,IF(AND($Y40&lt;&gt;"",EDATE($D40,Milestones!$AA$156)&gt;=$Y40),$AB40,$AA40)))=Milestones!$AB$156),UPPER(TEXT(EDATE($D40,Milestones!$AA$156),"dd mmm yy"))&amp;" "&amp;Milestones!$AB$156&amp;" "&amp;IF(AND(Milestones!$AB$156="FT",Milestones!$AA$156=FT_Y5,EDATE($D40,Milestones!$AA$156)&lt;PolicyEff),1,Milestones!$AC$156)&amp;";  ","")&amp;IF(AND(EDATE($D40,Milestones!$AA$157)&lt;=AsOfDate,EDATE($D40,Milestones!$AA$157)&gt;=SchemeStart,IF($X40=0,$AD40,IF(AND($Z40&lt;&gt;"",EDATE($D40,Milestones!$AA$157)&gt;=$Z40),$AC40,IF(AND($Y40&lt;&gt;"",EDATE($D40,Milestones!$AA$157)&gt;=$Y40),$AB40,$AA40)))=Milestones!$AB$157),UPPER(TEXT(EDATE($D40,Milestones!$AA$157),"dd mmm yy"))&amp;" "&amp;Milestones!$AB$157&amp;" "&amp;IF(AND(Milestones!$AB$157="FT",Milestones!$AA$157=FT_Y5,EDATE($D40,Milestones!$AA$157)&lt;PolicyEff),1,Milestones!$AC$157)&amp;";  ","")&amp;IF(AND(EDATE($D40,Milestones!$AA$158)&lt;=AsOfDate,EDATE($D40,Milestones!$AA$158)&gt;=SchemeStart,IF($X40=0,$AD40,IF(AND($Z40&lt;&gt;"",EDATE($D40,Milestones!$AA$158)&gt;=$Z40),$AC40,IF(AND($Y40&lt;&gt;"",EDATE($D40,Milestones!$AA$158)&gt;=$Y40),$AB40,$AA40)))=Milestones!$AB$158),UPPER(TEXT(EDATE($D40,Milestones!$AA$158),"dd mmm yy"))&amp;" "&amp;Milestones!$AB$158&amp;" "&amp;IF(AND(Milestones!$AB$158="FT",Milestones!$AA$158=FT_Y5,EDATE($D40,Milestones!$AA$158)&lt;PolicyEff),1,Milestones!$AC$158)&amp;";  ","")&amp;IF(AND(EDATE($D40,Milestones!$AA$159)&lt;=AsOfDate,EDATE($D40,Milestones!$AA$159)&gt;=SchemeStart,IF($X40=0,$AD40,IF(AND($Z40&lt;&gt;"",EDATE($D40,Milestones!$AA$159)&gt;=$Z40),$AC40,IF(AND($Y40&lt;&gt;"",EDATE($D40,Milestones!$AA$159)&gt;=$Y40),$AB40,$AA40)))=Milestones!$AB$159),UPPER(TEXT(EDATE($D40,Milestones!$AA$159),"dd mmm yy"))&amp;" "&amp;Milestones!$AB$159&amp;" "&amp;IF(AND(Milestones!$AB$159="FT",Milestones!$AA$159=FT_Y5,EDATE($D40,Milestones!$AA$159)&lt;PolicyEff),1,Milestones!$AC$159)&amp;";  ","")&amp;IF(AND(EDATE($D40,Milestones!$AA$160)&lt;=AsOfDate,EDATE($D40,Milestones!$AA$160)&gt;=SchemeStart,IF($X40=0,$AD40,IF(AND($Z40&lt;&gt;"",EDATE($D40,Milestones!$AA$160)&gt;=$Z40),$AC40,IF(AND($Y40&lt;&gt;"",EDATE($D40,Milestones!$AA$160)&gt;=$Y40),$AB40,$AA40)))=Milestones!$AB$160),UPPER(TEXT(EDATE($D40,Milestones!$AA$160),"dd mmm yy"))&amp;" "&amp;Milestones!$AB$160&amp;" "&amp;IF(AND(Milestones!$AB$160="FT",Milestones!$AA$160=FT_Y5,EDATE($D40,Milestones!$AA$160)&lt;PolicyEff),1,Milestones!$AC$160)&amp;";  ","")&amp;IF(AND(EDATE($D40,Milestones!$AA$161)&lt;=AsOfDate,EDATE($D40,Milestones!$AA$161)&gt;=SchemeStart,IF($X40=0,$AD40,IF(AND($Z40&lt;&gt;"",EDATE($D40,Milestones!$AA$161)&gt;=$Z40),$AC40,IF(AND($Y40&lt;&gt;"",EDATE($D40,Milestones!$AA$161)&gt;=$Y40),$AB40,$AA40)))=Milestones!$AB$161),UPPER(TEXT(EDATE($D40,Milestones!$AA$161),"dd mmm yy"))&amp;" "&amp;Milestones!$AB$161&amp;" "&amp;IF(AND(Milestones!$AB$161="FT",Milestones!$AA$161=FT_Y5,EDATE($D40,Milestones!$AA$161)&lt;PolicyEff),1,Milestones!$AC$161)&amp;";  ","")&amp;IF(AND(EDATE($D40,Milestones!$AA$162)&lt;=AsOfDate,EDATE($D40,Milestones!$AA$162)&gt;=SchemeStart,IF($X40=0,$AD40,IF(AND($Z40&lt;&gt;"",EDATE($D40,Milestones!$AA$162)&gt;=$Z40),$AC40,IF(AND($Y40&lt;&gt;"",EDATE($D40,Milestones!$AA$162)&gt;=$Y40),$AB40,$AA40)))=Milestones!$AB$162),UPPER(TEXT(EDATE($D40,Milestones!$AA$162),"dd mmm yy"))&amp;" "&amp;Milestones!$AB$162&amp;" "&amp;IF(AND(Milestones!$AB$162="FT",Milestones!$AA$162=FT_Y5,EDATE($D40,Milestones!$AA$162)&lt;PolicyEff),1,Milestones!$AC$162)&amp;";  ","")&amp;IF(AND(EDATE($D40,Milestones!$AA$163)&lt;=AsOfDate,EDATE($D40,Milestones!$AA$163)&gt;=SchemeStart,IF($X40=0,$AD40,IF(AND($Z40&lt;&gt;"",EDATE($D40,Milestones!$AA$163)&gt;=$Z40),$AC40,IF(AND($Y40&lt;&gt;"",EDATE($D40,Milestones!$AA$163)&gt;=$Y40),$AB40,$AA40)))=Milestones!$AB$163),UPPER(TEXT(EDATE($D40,Milestones!$AA$163),"dd mmm yy"))&amp;" "&amp;Milestones!$AB$163&amp;" "&amp;IF(AND(Milestones!$AB$163="FT",Milestones!$AA$163=FT_Y5,EDATE($D40,Milestones!$AA$163)&lt;PolicyEff),1,Milestones!$AC$163)&amp;";  ",""))</f>
        <v/>
      </c>
      <c r="U40" s="0" t="str">
        <f aca="false">IF(OR($A40="",$D40=""),"",IF(AND(EDATE($D40,Milestones!$AA$164)&lt;=AsOfDate,EDATE($D40,Milestones!$AA$164)&gt;=SchemeStart,IF($X40=0,$AD40,IF(AND($Z40&lt;&gt;"",EDATE($D40,Milestones!$AA$164)&gt;=$Z40),$AC40,IF(AND($Y40&lt;&gt;"",EDATE($D40,Milestones!$AA$164)&gt;=$Y40),$AB40,$AA40)))=Milestones!$AB$164),UPPER(TEXT(EDATE($D40,Milestones!$AA$164),"dd mmm yy"))&amp;" "&amp;Milestones!$AB$164&amp;" "&amp;IF(AND(Milestones!$AB$164="FT",Milestones!$AA$164=FT_Y5,EDATE($D40,Milestones!$AA$164)&lt;PolicyEff),1,Milestones!$AC$164)&amp;";  ","")&amp;IF(AND(EDATE($D40,Milestones!$AA$165)&lt;=AsOfDate,EDATE($D40,Milestones!$AA$165)&gt;=SchemeStart,IF($X40=0,$AD40,IF(AND($Z40&lt;&gt;"",EDATE($D40,Milestones!$AA$165)&gt;=$Z40),$AC40,IF(AND($Y40&lt;&gt;"",EDATE($D40,Milestones!$AA$165)&gt;=$Y40),$AB40,$AA40)))=Milestones!$AB$165),UPPER(TEXT(EDATE($D40,Milestones!$AA$165),"dd mmm yy"))&amp;" "&amp;Milestones!$AB$165&amp;" "&amp;IF(AND(Milestones!$AB$165="FT",Milestones!$AA$165=FT_Y5,EDATE($D40,Milestones!$AA$165)&lt;PolicyEff),1,Milestones!$AC$165)&amp;";  ","")&amp;IF(AND(EDATE($D40,Milestones!$AA$166)&lt;=AsOfDate,EDATE($D40,Milestones!$AA$166)&gt;=SchemeStart,IF($X40=0,$AD40,IF(AND($Z40&lt;&gt;"",EDATE($D40,Milestones!$AA$166)&gt;=$Z40),$AC40,IF(AND($Y40&lt;&gt;"",EDATE($D40,Milestones!$AA$166)&gt;=$Y40),$AB40,$AA40)))=Milestones!$AB$166),UPPER(TEXT(EDATE($D40,Milestones!$AA$166),"dd mmm yy"))&amp;" "&amp;Milestones!$AB$166&amp;" "&amp;IF(AND(Milestones!$AB$166="FT",Milestones!$AA$166=FT_Y5,EDATE($D40,Milestones!$AA$166)&lt;PolicyEff),1,Milestones!$AC$166)&amp;";  ","")&amp;IF(AND(EDATE($D40,Milestones!$AA$167)&lt;=AsOfDate,EDATE($D40,Milestones!$AA$167)&gt;=SchemeStart,IF($X40=0,$AD40,IF(AND($Z40&lt;&gt;"",EDATE($D40,Milestones!$AA$167)&gt;=$Z40),$AC40,IF(AND($Y40&lt;&gt;"",EDATE($D40,Milestones!$AA$167)&gt;=$Y40),$AB40,$AA40)))=Milestones!$AB$167),UPPER(TEXT(EDATE($D40,Milestones!$AA$167),"dd mmm yy"))&amp;" "&amp;Milestones!$AB$167&amp;" "&amp;IF(AND(Milestones!$AB$167="FT",Milestones!$AA$167=FT_Y5,EDATE($D40,Milestones!$AA$167)&lt;PolicyEff),1,Milestones!$AC$167)&amp;";  ","")&amp;IF(AND(EDATE($D40,Milestones!$AA$168)&lt;=AsOfDate,EDATE($D40,Milestones!$AA$168)&gt;=SchemeStart,IF($X40=0,$AD40,IF(AND($Z40&lt;&gt;"",EDATE($D40,Milestones!$AA$168)&gt;=$Z40),$AC40,IF(AND($Y40&lt;&gt;"",EDATE($D40,Milestones!$AA$168)&gt;=$Y40),$AB40,$AA40)))=Milestones!$AB$168),UPPER(TEXT(EDATE($D40,Milestones!$AA$168),"dd mmm yy"))&amp;" "&amp;Milestones!$AB$168&amp;" "&amp;IF(AND(Milestones!$AB$168="FT",Milestones!$AA$168=FT_Y5,EDATE($D40,Milestones!$AA$168)&lt;PolicyEff),1,Milestones!$AC$168)&amp;";  ","")&amp;IF(AND(EDATE($D40,Milestones!$AA$169)&lt;=AsOfDate,EDATE($D40,Milestones!$AA$169)&gt;=SchemeStart,IF($X40=0,$AD40,IF(AND($Z40&lt;&gt;"",EDATE($D40,Milestones!$AA$169)&gt;=$Z40),$AC40,IF(AND($Y40&lt;&gt;"",EDATE($D40,Milestones!$AA$169)&gt;=$Y40),$AB40,$AA40)))=Milestones!$AB$169),UPPER(TEXT(EDATE($D40,Milestones!$AA$169),"dd mmm yy"))&amp;" "&amp;Milestones!$AB$169&amp;" "&amp;IF(AND(Milestones!$AB$169="FT",Milestones!$AA$169=FT_Y5,EDATE($D40,Milestones!$AA$169)&lt;PolicyEff),1,Milestones!$AC$169)&amp;";  ","")&amp;IF(AND(EDATE($D40,Milestones!$AA$170)&lt;=AsOfDate,EDATE($D40,Milestones!$AA$170)&gt;=SchemeStart,IF($X40=0,$AD40,IF(AND($Z40&lt;&gt;"",EDATE($D40,Milestones!$AA$170)&gt;=$Z40),$AC40,IF(AND($Y40&lt;&gt;"",EDATE($D40,Milestones!$AA$170)&gt;=$Y40),$AB40,$AA40)))=Milestones!$AB$170),UPPER(TEXT(EDATE($D40,Milestones!$AA$170),"dd mmm yy"))&amp;" "&amp;Milestones!$AB$170&amp;" "&amp;IF(AND(Milestones!$AB$170="FT",Milestones!$AA$170=FT_Y5,EDATE($D40,Milestones!$AA$170)&lt;PolicyEff),1,Milestones!$AC$170)&amp;";  ","")&amp;IF(AND(EDATE($D40,Milestones!$AA$171)&lt;=AsOfDate,EDATE($D40,Milestones!$AA$171)&gt;=SchemeStart,IF($X40=0,$AD40,IF(AND($Z40&lt;&gt;"",EDATE($D40,Milestones!$AA$171)&gt;=$Z40),$AC40,IF(AND($Y40&lt;&gt;"",EDATE($D40,Milestones!$AA$171)&gt;=$Y40),$AB40,$AA40)))=Milestones!$AB$171),UPPER(TEXT(EDATE($D40,Milestones!$AA$171),"dd mmm yy"))&amp;" "&amp;Milestones!$AB$171&amp;" "&amp;IF(AND(Milestones!$AB$171="FT",Milestones!$AA$171=FT_Y5,EDATE($D40,Milestones!$AA$171)&lt;PolicyEff),1,Milestones!$AC$171)&amp;";  ","")&amp;IF(AND(EDATE($D40,Milestones!$AA$172)&lt;=AsOfDate,EDATE($D40,Milestones!$AA$172)&gt;=SchemeStart,IF($X40=0,$AD40,IF(AND($Z40&lt;&gt;"",EDATE($D40,Milestones!$AA$172)&gt;=$Z40),$AC40,IF(AND($Y40&lt;&gt;"",EDATE($D40,Milestones!$AA$172)&gt;=$Y40),$AB40,$AA40)))=Milestones!$AB$172),UPPER(TEXT(EDATE($D40,Milestones!$AA$172),"dd mmm yy"))&amp;" "&amp;Milestones!$AB$172&amp;" "&amp;IF(AND(Milestones!$AB$172="FT",Milestones!$AA$172=FT_Y5,EDATE($D40,Milestones!$AA$172)&lt;PolicyEff),1,Milestones!$AC$172)&amp;";  ","")&amp;IF(AND(EDATE($D40,Milestones!$AA$173)&lt;=AsOfDate,EDATE($D40,Milestones!$AA$173)&gt;=SchemeStart,IF($X40=0,$AD40,IF(AND($Z40&lt;&gt;"",EDATE($D40,Milestones!$AA$173)&gt;=$Z40),$AC40,IF(AND($Y40&lt;&gt;"",EDATE($D40,Milestones!$AA$173)&gt;=$Y40),$AB40,$AA40)))=Milestones!$AB$173),UPPER(TEXT(EDATE($D40,Milestones!$AA$173),"dd mmm yy"))&amp;" "&amp;Milestones!$AB$173&amp;" "&amp;IF(AND(Milestones!$AB$173="FT",Milestones!$AA$173=FT_Y5,EDATE($D40,Milestones!$AA$173)&lt;PolicyEff),1,Milestones!$AC$173)&amp;";  ","")&amp;IF(AND(EDATE($D40,Milestones!$AA$174)&lt;=AsOfDate,EDATE($D40,Milestones!$AA$174)&gt;=SchemeStart,IF($X40=0,$AD40,IF(AND($Z40&lt;&gt;"",EDATE($D40,Milestones!$AA$174)&gt;=$Z40),$AC40,IF(AND($Y40&lt;&gt;"",EDATE($D40,Milestones!$AA$174)&gt;=$Y40),$AB40,$AA40)))=Milestones!$AB$174),UPPER(TEXT(EDATE($D40,Milestones!$AA$174),"dd mmm yy"))&amp;" "&amp;Milestones!$AB$174&amp;" "&amp;IF(AND(Milestones!$AB$174="FT",Milestones!$AA$174=FT_Y5,EDATE($D40,Milestones!$AA$174)&lt;PolicyEff),1,Milestones!$AC$174)&amp;";  ","")&amp;IF(AND(EDATE($D40,Milestones!$AA$175)&lt;=AsOfDate,EDATE($D40,Milestones!$AA$175)&gt;=SchemeStart,IF($X40=0,$AD40,IF(AND($Z40&lt;&gt;"",EDATE($D40,Milestones!$AA$175)&gt;=$Z40),$AC40,IF(AND($Y40&lt;&gt;"",EDATE($D40,Milestones!$AA$175)&gt;=$Y40),$AB40,$AA40)))=Milestones!$AB$175),UPPER(TEXT(EDATE($D40,Milestones!$AA$175),"dd mmm yy"))&amp;" "&amp;Milestones!$AB$175&amp;" "&amp;IF(AND(Milestones!$AB$175="FT",Milestones!$AA$175=FT_Y5,EDATE($D40,Milestones!$AA$175)&lt;PolicyEff),1,Milestones!$AC$175)&amp;";  ",""))</f>
        <v/>
      </c>
      <c r="V40" s="0" t="str">
        <f aca="false">IF(OR($A40="",$D40=""),"",IF(AND(EDATE($D40,Milestones!$AA$176)&lt;=AsOfDate,EDATE($D40,Milestones!$AA$176)&gt;=SchemeStart,IF($X40=0,$AD40,IF(AND($Z40&lt;&gt;"",EDATE($D40,Milestones!$AA$176)&gt;=$Z40),$AC40,IF(AND($Y40&lt;&gt;"",EDATE($D40,Milestones!$AA$176)&gt;=$Y40),$AB40,$AA40)))=Milestones!$AB$176),UPPER(TEXT(EDATE($D40,Milestones!$AA$176),"dd mmm yy"))&amp;" "&amp;Milestones!$AB$176&amp;" "&amp;IF(AND(Milestones!$AB$176="FT",Milestones!$AA$176=FT_Y5,EDATE($D40,Milestones!$AA$176)&lt;PolicyEff),1,Milestones!$AC$176)&amp;";  ","")&amp;IF(AND(EDATE($D40,Milestones!$AA$177)&lt;=AsOfDate,EDATE($D40,Milestones!$AA$177)&gt;=SchemeStart,IF($X40=0,$AD40,IF(AND($Z40&lt;&gt;"",EDATE($D40,Milestones!$AA$177)&gt;=$Z40),$AC40,IF(AND($Y40&lt;&gt;"",EDATE($D40,Milestones!$AA$177)&gt;=$Y40),$AB40,$AA40)))=Milestones!$AB$177),UPPER(TEXT(EDATE($D40,Milestones!$AA$177),"dd mmm yy"))&amp;" "&amp;Milestones!$AB$177&amp;" "&amp;IF(AND(Milestones!$AB$177="FT",Milestones!$AA$177=FT_Y5,EDATE($D40,Milestones!$AA$177)&lt;PolicyEff),1,Milestones!$AC$177)&amp;";  ","")&amp;IF(AND(EDATE($D40,Milestones!$AA$178)&lt;=AsOfDate,EDATE($D40,Milestones!$AA$178)&gt;=SchemeStart,IF($X40=0,$AD40,IF(AND($Z40&lt;&gt;"",EDATE($D40,Milestones!$AA$178)&gt;=$Z40),$AC40,IF(AND($Y40&lt;&gt;"",EDATE($D40,Milestones!$AA$178)&gt;=$Y40),$AB40,$AA40)))=Milestones!$AB$178),UPPER(TEXT(EDATE($D40,Milestones!$AA$178),"dd mmm yy"))&amp;" "&amp;Milestones!$AB$178&amp;" "&amp;IF(AND(Milestones!$AB$178="FT",Milestones!$AA$178=FT_Y5,EDATE($D40,Milestones!$AA$178)&lt;PolicyEff),1,Milestones!$AC$178)&amp;";  ","")&amp;IF(AND(EDATE($D40,Milestones!$AA$179)&lt;=AsOfDate,EDATE($D40,Milestones!$AA$179)&gt;=SchemeStart,IF($X40=0,$AD40,IF(AND($Z40&lt;&gt;"",EDATE($D40,Milestones!$AA$179)&gt;=$Z40),$AC40,IF(AND($Y40&lt;&gt;"",EDATE($D40,Milestones!$AA$179)&gt;=$Y40),$AB40,$AA40)))=Milestones!$AB$179),UPPER(TEXT(EDATE($D40,Milestones!$AA$179),"dd mmm yy"))&amp;" "&amp;Milestones!$AB$179&amp;" "&amp;IF(AND(Milestones!$AB$179="FT",Milestones!$AA$179=FT_Y5,EDATE($D40,Milestones!$AA$179)&lt;PolicyEff),1,Milestones!$AC$179)&amp;";  ","")&amp;IF(AND(EDATE($D40,Milestones!$AA$180)&lt;=AsOfDate,EDATE($D40,Milestones!$AA$180)&gt;=SchemeStart,IF($X40=0,$AD40,IF(AND($Z40&lt;&gt;"",EDATE($D40,Milestones!$AA$180)&gt;=$Z40),$AC40,IF(AND($Y40&lt;&gt;"",EDATE($D40,Milestones!$AA$180)&gt;=$Y40),$AB40,$AA40)))=Milestones!$AB$180),UPPER(TEXT(EDATE($D40,Milestones!$AA$180),"dd mmm yy"))&amp;" "&amp;Milestones!$AB$180&amp;" "&amp;IF(AND(Milestones!$AB$180="FT",Milestones!$AA$180=FT_Y5,EDATE($D40,Milestones!$AA$180)&lt;PolicyEff),1,Milestones!$AC$180)&amp;";  ","")&amp;IF(AND(EDATE($D40,Milestones!$AA$181)&lt;=AsOfDate,EDATE($D40,Milestones!$AA$181)&gt;=SchemeStart,IF($X40=0,$AD40,IF(AND($Z40&lt;&gt;"",EDATE($D40,Milestones!$AA$181)&gt;=$Z40),$AC40,IF(AND($Y40&lt;&gt;"",EDATE($D40,Milestones!$AA$181)&gt;=$Y40),$AB40,$AA40)))=Milestones!$AB$181),UPPER(TEXT(EDATE($D40,Milestones!$AA$181),"dd mmm yy"))&amp;" "&amp;Milestones!$AB$181&amp;" "&amp;IF(AND(Milestones!$AB$181="FT",Milestones!$AA$181=FT_Y5,EDATE($D40,Milestones!$AA$181)&lt;PolicyEff),1,Milestones!$AC$181)&amp;";  ","")&amp;IF(AND(EDATE($D40,Milestones!$AA$182)&lt;=AsOfDate,EDATE($D40,Milestones!$AA$182)&gt;=SchemeStart,IF($X40=0,$AD40,IF(AND($Z40&lt;&gt;"",EDATE($D40,Milestones!$AA$182)&gt;=$Z40),$AC40,IF(AND($Y40&lt;&gt;"",EDATE($D40,Milestones!$AA$182)&gt;=$Y40),$AB40,$AA40)))=Milestones!$AB$182),UPPER(TEXT(EDATE($D40,Milestones!$AA$182),"dd mmm yy"))&amp;" "&amp;Milestones!$AB$182&amp;" "&amp;IF(AND(Milestones!$AB$182="FT",Milestones!$AA$182=FT_Y5,EDATE($D40,Milestones!$AA$182)&lt;PolicyEff),1,Milestones!$AC$182)&amp;";  ","")&amp;IF(AND(EDATE($D40,Milestones!$AA$183)&lt;=AsOfDate,EDATE($D40,Milestones!$AA$183)&gt;=SchemeStart,IF($X40=0,$AD40,IF(AND($Z40&lt;&gt;"",EDATE($D40,Milestones!$AA$183)&gt;=$Z40),$AC40,IF(AND($Y40&lt;&gt;"",EDATE($D40,Milestones!$AA$183)&gt;=$Y40),$AB40,$AA40)))=Milestones!$AB$183),UPPER(TEXT(EDATE($D40,Milestones!$AA$183),"dd mmm yy"))&amp;" "&amp;Milestones!$AB$183&amp;" "&amp;IF(AND(Milestones!$AB$183="FT",Milestones!$AA$183=FT_Y5,EDATE($D40,Milestones!$AA$183)&lt;PolicyEff),1,Milestones!$AC$183)&amp;";  ","")&amp;IF(AND(EDATE($D40,Milestones!$AA$184)&lt;=AsOfDate,EDATE($D40,Milestones!$AA$184)&gt;=SchemeStart,IF($X40=0,$AD40,IF(AND($Z40&lt;&gt;"",EDATE($D40,Milestones!$AA$184)&gt;=$Z40),$AC40,IF(AND($Y40&lt;&gt;"",EDATE($D40,Milestones!$AA$184)&gt;=$Y40),$AB40,$AA40)))=Milestones!$AB$184),UPPER(TEXT(EDATE($D40,Milestones!$AA$184),"dd mmm yy"))&amp;" "&amp;Milestones!$AB$184&amp;" "&amp;IF(AND(Milestones!$AB$184="FT",Milestones!$AA$184=FT_Y5,EDATE($D40,Milestones!$AA$184)&lt;PolicyEff),1,Milestones!$AC$184)&amp;";  ","")&amp;IF(AND(EDATE($D40,Milestones!$AA$185)&lt;=AsOfDate,EDATE($D40,Milestones!$AA$185)&gt;=SchemeStart,IF($X40=0,$AD40,IF(AND($Z40&lt;&gt;"",EDATE($D40,Milestones!$AA$185)&gt;=$Z40),$AC40,IF(AND($Y40&lt;&gt;"",EDATE($D40,Milestones!$AA$185)&gt;=$Y40),$AB40,$AA40)))=Milestones!$AB$185),UPPER(TEXT(EDATE($D40,Milestones!$AA$185),"dd mmm yy"))&amp;" "&amp;Milestones!$AB$185&amp;" "&amp;IF(AND(Milestones!$AB$185="FT",Milestones!$AA$185=FT_Y5,EDATE($D40,Milestones!$AA$185)&lt;PolicyEff),1,Milestones!$AC$185)&amp;";  ","")&amp;IF(AND(EDATE($D40,Milestones!$AA$186)&lt;=AsOfDate,EDATE($D40,Milestones!$AA$186)&gt;=SchemeStart,IF($X40=0,$AD40,IF(AND($Z40&lt;&gt;"",EDATE($D40,Milestones!$AA$186)&gt;=$Z40),$AC40,IF(AND($Y40&lt;&gt;"",EDATE($D40,Milestones!$AA$186)&gt;=$Y40),$AB40,$AA40)))=Milestones!$AB$186),UPPER(TEXT(EDATE($D40,Milestones!$AA$186),"dd mmm yy"))&amp;" "&amp;Milestones!$AB$186&amp;" "&amp;IF(AND(Milestones!$AB$186="FT",Milestones!$AA$186=FT_Y5,EDATE($D40,Milestones!$AA$186)&lt;PolicyEff),1,Milestones!$AC$186)&amp;";  ","")&amp;IF(AND(EDATE($D40,Milestones!$AA$187)&lt;=AsOfDate,EDATE($D40,Milestones!$AA$187)&gt;=SchemeStart,IF($X40=0,$AD40,IF(AND($Z40&lt;&gt;"",EDATE($D40,Milestones!$AA$187)&gt;=$Z40),$AC40,IF(AND($Y40&lt;&gt;"",EDATE($D40,Milestones!$AA$187)&gt;=$Y40),$AB40,$AA40)))=Milestones!$AB$187),UPPER(TEXT(EDATE($D40,Milestones!$AA$187),"dd mmm yy"))&amp;" "&amp;Milestones!$AB$187&amp;" "&amp;IF(AND(Milestones!$AB$187="FT",Milestones!$AA$187=FT_Y5,EDATE($D40,Milestones!$AA$187)&lt;PolicyEff),1,Milestones!$AC$187)&amp;";  ",""))</f>
        <v/>
      </c>
      <c r="W40" s="0" t="str">
        <f aca="false">IF(OR($A40="",$D40=""),"",IF(AND(EDATE($D40,Milestones!$AA$188)&lt;=AsOfDate,EDATE($D40,Milestones!$AA$188)&gt;=SchemeStart,IF($X40=0,$AD40,IF(AND($Z40&lt;&gt;"",EDATE($D40,Milestones!$AA$188)&gt;=$Z40),$AC40,IF(AND($Y40&lt;&gt;"",EDATE($D40,Milestones!$AA$188)&gt;=$Y40),$AB40,$AA40)))=Milestones!$AB$188),UPPER(TEXT(EDATE($D40,Milestones!$AA$188),"dd mmm yy"))&amp;" "&amp;Milestones!$AB$188&amp;" "&amp;IF(AND(Milestones!$AB$188="FT",Milestones!$AA$188=FT_Y5,EDATE($D40,Milestones!$AA$188)&lt;PolicyEff),1,Milestones!$AC$188)&amp;";  ","")&amp;IF(AND(EDATE($D40,Milestones!$AA$189)&lt;=AsOfDate,EDATE($D40,Milestones!$AA$189)&gt;=SchemeStart,IF($X40=0,$AD40,IF(AND($Z40&lt;&gt;"",EDATE($D40,Milestones!$AA$189)&gt;=$Z40),$AC40,IF(AND($Y40&lt;&gt;"",EDATE($D40,Milestones!$AA$189)&gt;=$Y40),$AB40,$AA40)))=Milestones!$AB$189),UPPER(TEXT(EDATE($D40,Milestones!$AA$189),"dd mmm yy"))&amp;" "&amp;Milestones!$AB$189&amp;" "&amp;IF(AND(Milestones!$AB$189="FT",Milestones!$AA$189=FT_Y5,EDATE($D40,Milestones!$AA$189)&lt;PolicyEff),1,Milestones!$AC$189)&amp;";  ","")&amp;IF(AND(EDATE($D40,Milestones!$AA$190)&lt;=AsOfDate,EDATE($D40,Milestones!$AA$190)&gt;=SchemeStart,IF($X40=0,$AD40,IF(AND($Z40&lt;&gt;"",EDATE($D40,Milestones!$AA$190)&gt;=$Z40),$AC40,IF(AND($Y40&lt;&gt;"",EDATE($D40,Milestones!$AA$190)&gt;=$Y40),$AB40,$AA40)))=Milestones!$AB$190),UPPER(TEXT(EDATE($D40,Milestones!$AA$190),"dd mmm yy"))&amp;" "&amp;Milestones!$AB$190&amp;" "&amp;IF(AND(Milestones!$AB$190="FT",Milestones!$AA$190=FT_Y5,EDATE($D40,Milestones!$AA$190)&lt;PolicyEff),1,Milestones!$AC$190)&amp;";  ","")&amp;IF(AND(EDATE($D40,Milestones!$AA$191)&lt;=AsOfDate,EDATE($D40,Milestones!$AA$191)&gt;=SchemeStart,IF($X40=0,$AD40,IF(AND($Z40&lt;&gt;"",EDATE($D40,Milestones!$AA$191)&gt;=$Z40),$AC40,IF(AND($Y40&lt;&gt;"",EDATE($D40,Milestones!$AA$191)&gt;=$Y40),$AB40,$AA40)))=Milestones!$AB$191),UPPER(TEXT(EDATE($D40,Milestones!$AA$191),"dd mmm yy"))&amp;" "&amp;Milestones!$AB$191&amp;" "&amp;IF(AND(Milestones!$AB$191="FT",Milestones!$AA$191=FT_Y5,EDATE($D40,Milestones!$AA$191)&lt;PolicyEff),1,Milestones!$AC$191)&amp;";  ","")&amp;IF(AND(EDATE($D40,Milestones!$AA$192)&lt;=AsOfDate,EDATE($D40,Milestones!$AA$192)&gt;=SchemeStart,IF($X40=0,$AD40,IF(AND($Z40&lt;&gt;"",EDATE($D40,Milestones!$AA$192)&gt;=$Z40),$AC40,IF(AND($Y40&lt;&gt;"",EDATE($D40,Milestones!$AA$192)&gt;=$Y40),$AB40,$AA40)))=Milestones!$AB$192),UPPER(TEXT(EDATE($D40,Milestones!$AA$192),"dd mmm yy"))&amp;" "&amp;Milestones!$AB$192&amp;" "&amp;IF(AND(Milestones!$AB$192="FT",Milestones!$AA$192=FT_Y5,EDATE($D40,Milestones!$AA$192)&lt;PolicyEff),1,Milestones!$AC$192)&amp;";  ","")&amp;IF(AND(EDATE($D40,Milestones!$AA$193)&lt;=AsOfDate,EDATE($D40,Milestones!$AA$193)&gt;=SchemeStart,IF($X40=0,$AD40,IF(AND($Z40&lt;&gt;"",EDATE($D40,Milestones!$AA$193)&gt;=$Z40),$AC40,IF(AND($Y40&lt;&gt;"",EDATE($D40,Milestones!$AA$193)&gt;=$Y40),$AB40,$AA40)))=Milestones!$AB$193),UPPER(TEXT(EDATE($D40,Milestones!$AA$193),"dd mmm yy"))&amp;" "&amp;Milestones!$AB$193&amp;" "&amp;IF(AND(Milestones!$AB$193="FT",Milestones!$AA$193=FT_Y5,EDATE($D40,Milestones!$AA$193)&lt;PolicyEff),1,Milestones!$AC$193)&amp;";  ","")&amp;IF(AND(EDATE($D40,Milestones!$AA$194)&lt;=AsOfDate,EDATE($D40,Milestones!$AA$194)&gt;=SchemeStart,IF($X40=0,$AD40,IF(AND($Z40&lt;&gt;"",EDATE($D40,Milestones!$AA$194)&gt;=$Z40),$AC40,IF(AND($Y40&lt;&gt;"",EDATE($D40,Milestones!$AA$194)&gt;=$Y40),$AB40,$AA40)))=Milestones!$AB$194),UPPER(TEXT(EDATE($D40,Milestones!$AA$194),"dd mmm yy"))&amp;" "&amp;Milestones!$AB$194&amp;" "&amp;IF(AND(Milestones!$AB$194="FT",Milestones!$AA$194=FT_Y5,EDATE($D40,Milestones!$AA$194)&lt;PolicyEff),1,Milestones!$AC$194)&amp;";  ","")&amp;IF(AND(EDATE($D40,Milestones!$AA$195)&lt;=AsOfDate,EDATE($D40,Milestones!$AA$195)&gt;=SchemeStart,IF($X40=0,$AD40,IF(AND($Z40&lt;&gt;"",EDATE($D40,Milestones!$AA$195)&gt;=$Z40),$AC40,IF(AND($Y40&lt;&gt;"",EDATE($D40,Milestones!$AA$195)&gt;=$Y40),$AB40,$AA40)))=Milestones!$AB$195),UPPER(TEXT(EDATE($D40,Milestones!$AA$195),"dd mmm yy"))&amp;" "&amp;Milestones!$AB$195&amp;" "&amp;IF(AND(Milestones!$AB$195="FT",Milestones!$AA$195=FT_Y5,EDATE($D40,Milestones!$AA$195)&lt;PolicyEff),1,Milestones!$AC$195)&amp;";  ","")&amp;IF(AND(EDATE($D40,Milestones!$AA$196)&lt;=AsOfDate,EDATE($D40,Milestones!$AA$196)&gt;=SchemeStart,IF($X40=0,$AD40,IF(AND($Z40&lt;&gt;"",EDATE($D40,Milestones!$AA$196)&gt;=$Z40),$AC40,IF(AND($Y40&lt;&gt;"",EDATE($D40,Milestones!$AA$196)&gt;=$Y40),$AB40,$AA40)))=Milestones!$AB$196),UPPER(TEXT(EDATE($D40,Milestones!$AA$196),"dd mmm yy"))&amp;" "&amp;Milestones!$AB$196&amp;" "&amp;IF(AND(Milestones!$AB$196="FT",Milestones!$AA$196=FT_Y5,EDATE($D40,Milestones!$AA$196)&lt;PolicyEff),1,Milestones!$AC$196)&amp;";  ","")&amp;IF(AND(EDATE($D40,Milestones!$AA$197)&lt;=AsOfDate,EDATE($D40,Milestones!$AA$197)&gt;=SchemeStart,IF($X40=0,$AD40,IF(AND($Z40&lt;&gt;"",EDATE($D40,Milestones!$AA$197)&gt;=$Z40),$AC40,IF(AND($Y40&lt;&gt;"",EDATE($D40,Milestones!$AA$197)&gt;=$Y40),$AB40,$AA40)))=Milestones!$AB$197),UPPER(TEXT(EDATE($D40,Milestones!$AA$197),"dd mmm yy"))&amp;" "&amp;Milestones!$AB$197&amp;" "&amp;IF(AND(Milestones!$AB$197="FT",Milestones!$AA$197=FT_Y5,EDATE($D40,Milestones!$AA$197)&lt;PolicyEff),1,Milestones!$AC$197)&amp;";  ","")&amp;IF(AND(EDATE($D40,Milestones!$AA$198)&lt;=AsOfDate,EDATE($D40,Milestones!$AA$198)&gt;=SchemeStart,IF($X40=0,$AD40,IF(AND($Z40&lt;&gt;"",EDATE($D40,Milestones!$AA$198)&gt;=$Z40),$AC40,IF(AND($Y40&lt;&gt;"",EDATE($D40,Milestones!$AA$198)&gt;=$Y40),$AB40,$AA40)))=Milestones!$AB$198),UPPER(TEXT(EDATE($D40,Milestones!$AA$198),"dd mmm yy"))&amp;" "&amp;Milestones!$AB$198&amp;" "&amp;IF(AND(Milestones!$AB$198="FT",Milestones!$AA$198=FT_Y5,EDATE($D40,Milestones!$AA$198)&lt;PolicyEff),1,Milestones!$AC$198)&amp;";  ","")&amp;IF(AND(EDATE($D40,Milestones!$AA$199)&lt;=AsOfDate,EDATE($D40,Milestones!$AA$199)&gt;=SchemeStart,IF($X40=0,$AD40,IF(AND($Z40&lt;&gt;"",EDATE($D40,Milestones!$AA$199)&gt;=$Z40),$AC40,IF(AND($Y40&lt;&gt;"",EDATE($D40,Milestones!$AA$199)&gt;=$Y40),$AB40,$AA40)))=Milestones!$AB$199),UPPER(TEXT(EDATE($D40,Milestones!$AA$199),"dd mmm yy"))&amp;" "&amp;Milestones!$AB$199&amp;" "&amp;IF(AND(Milestones!$AB$199="FT",Milestones!$AA$199=FT_Y5,EDATE($D40,Milestones!$AA$199)&lt;PolicyEff),1,Milestones!$AC$199)&amp;";  ",""))</f>
        <v/>
      </c>
      <c r="X40" s="0" t="str">
        <f aca="false">IF(Staff!$A40="","",Staff!$AM40)</f>
        <v/>
      </c>
      <c r="Y40" s="0" t="str">
        <f aca="false">IF(Staff!$A40="","",Staff!$AO40)</f>
        <v/>
      </c>
      <c r="Z40" s="0" t="str">
        <f aca="false">IF(Staff!$A40="","",Staff!$AP40)</f>
        <v/>
      </c>
      <c r="AA40" s="0" t="str">
        <f aca="false">IF(Staff!$A40="","",Staff!$AT40)</f>
        <v/>
      </c>
      <c r="AB40" s="0" t="str">
        <f aca="false">IF(Staff!$A40="","",Staff!$AU40)</f>
        <v/>
      </c>
      <c r="AC40" s="0" t="str">
        <f aca="false">IF(Staff!$A40="","",Staff!$AV40)</f>
        <v/>
      </c>
      <c r="AD40" s="0" t="str">
        <f aca="false">IF(Staff!$A40="","",Staff!$AW40)</f>
        <v/>
      </c>
    </row>
    <row r="41" customFormat="false" ht="15" hidden="false" customHeight="false" outlineLevel="0" collapsed="false">
      <c r="A41" s="16" t="str">
        <f aca="false">IF(Staff!$A41="","",Staff!$A41)</f>
        <v/>
      </c>
      <c r="B41" s="16" t="str">
        <f aca="false">IF(Staff!$A41="","",Staff!$B41)</f>
        <v/>
      </c>
      <c r="C41" s="16" t="str">
        <f aca="false">IF(Staff!$A41="","",Staff!$C41)</f>
        <v/>
      </c>
      <c r="D41" s="14" t="str">
        <f aca="false">IF(Staff!$A41="","",Staff!$AL41)</f>
        <v/>
      </c>
      <c r="E41" s="16" t="str">
        <f aca="false">IF(Staff!$A41="","",Staff!$O41)</f>
        <v/>
      </c>
      <c r="F41" s="16" t="str">
        <f aca="false">IF(E41="","",E41*HoursPerDay)</f>
        <v/>
      </c>
      <c r="G41" s="16" t="str">
        <f aca="false">IF(Staff!$A41="","",Staff!$AE41)</f>
        <v/>
      </c>
      <c r="H41" s="28" t="str">
        <f aca="false">IF($A41="","",I41&amp;J41&amp;K41&amp;L41&amp;M41&amp;N41&amp;O41&amp;P41&amp;Q41&amp;R41&amp;S41&amp;T41&amp;U41&amp;V41&amp;W41)</f>
        <v/>
      </c>
      <c r="I41" s="0" t="str">
        <f aca="false">IF(OR($A41="",$D41=""),"",IF(AND(EDATE($D41,Milestones!$AA$20)&lt;=AsOfDate,EDATE($D41,Milestones!$AA$20)&gt;=SchemeStart,IF($X41=0,$AD41,IF(AND($Z41&lt;&gt;"",EDATE($D41,Milestones!$AA$20)&gt;=$Z41),$AC41,IF(AND($Y41&lt;&gt;"",EDATE($D41,Milestones!$AA$20)&gt;=$Y41),$AB41,$AA41)))=Milestones!$AB$20),UPPER(TEXT(EDATE($D41,Milestones!$AA$20),"dd mmm yy"))&amp;" "&amp;Milestones!$AB$20&amp;" "&amp;IF(AND(Milestones!$AB$20="FT",Milestones!$AA$20=FT_Y5,EDATE($D41,Milestones!$AA$20)&lt;PolicyEff),1,Milestones!$AC$20)&amp;";  ","")&amp;IF(AND(EDATE($D41,Milestones!$AA$21)&lt;=AsOfDate,EDATE($D41,Milestones!$AA$21)&gt;=SchemeStart,IF($X41=0,$AD41,IF(AND($Z41&lt;&gt;"",EDATE($D41,Milestones!$AA$21)&gt;=$Z41),$AC41,IF(AND($Y41&lt;&gt;"",EDATE($D41,Milestones!$AA$21)&gt;=$Y41),$AB41,$AA41)))=Milestones!$AB$21),UPPER(TEXT(EDATE($D41,Milestones!$AA$21),"dd mmm yy"))&amp;" "&amp;Milestones!$AB$21&amp;" "&amp;IF(AND(Milestones!$AB$21="FT",Milestones!$AA$21=FT_Y5,EDATE($D41,Milestones!$AA$21)&lt;PolicyEff),1,Milestones!$AC$21)&amp;";  ","")&amp;IF(AND(EDATE($D41,Milestones!$AA$22)&lt;=AsOfDate,EDATE($D41,Milestones!$AA$22)&gt;=SchemeStart,IF($X41=0,$AD41,IF(AND($Z41&lt;&gt;"",EDATE($D41,Milestones!$AA$22)&gt;=$Z41),$AC41,IF(AND($Y41&lt;&gt;"",EDATE($D41,Milestones!$AA$22)&gt;=$Y41),$AB41,$AA41)))=Milestones!$AB$22),UPPER(TEXT(EDATE($D41,Milestones!$AA$22),"dd mmm yy"))&amp;" "&amp;Milestones!$AB$22&amp;" "&amp;IF(AND(Milestones!$AB$22="FT",Milestones!$AA$22=FT_Y5,EDATE($D41,Milestones!$AA$22)&lt;PolicyEff),1,Milestones!$AC$22)&amp;";  ","")&amp;IF(AND(EDATE($D41,Milestones!$AA$23)&lt;=AsOfDate,EDATE($D41,Milestones!$AA$23)&gt;=SchemeStart,IF($X41=0,$AD41,IF(AND($Z41&lt;&gt;"",EDATE($D41,Milestones!$AA$23)&gt;=$Z41),$AC41,IF(AND($Y41&lt;&gt;"",EDATE($D41,Milestones!$AA$23)&gt;=$Y41),$AB41,$AA41)))=Milestones!$AB$23),UPPER(TEXT(EDATE($D41,Milestones!$AA$23),"dd mmm yy"))&amp;" "&amp;Milestones!$AB$23&amp;" "&amp;IF(AND(Milestones!$AB$23="FT",Milestones!$AA$23=FT_Y5,EDATE($D41,Milestones!$AA$23)&lt;PolicyEff),1,Milestones!$AC$23)&amp;";  ","")&amp;IF(AND(EDATE($D41,Milestones!$AA$24)&lt;=AsOfDate,EDATE($D41,Milestones!$AA$24)&gt;=SchemeStart,IF($X41=0,$AD41,IF(AND($Z41&lt;&gt;"",EDATE($D41,Milestones!$AA$24)&gt;=$Z41),$AC41,IF(AND($Y41&lt;&gt;"",EDATE($D41,Milestones!$AA$24)&gt;=$Y41),$AB41,$AA41)))=Milestones!$AB$24),UPPER(TEXT(EDATE($D41,Milestones!$AA$24),"dd mmm yy"))&amp;" "&amp;Milestones!$AB$24&amp;" "&amp;IF(AND(Milestones!$AB$24="FT",Milestones!$AA$24=FT_Y5,EDATE($D41,Milestones!$AA$24)&lt;PolicyEff),1,Milestones!$AC$24)&amp;";  ","")&amp;IF(AND(EDATE($D41,Milestones!$AA$25)&lt;=AsOfDate,EDATE($D41,Milestones!$AA$25)&gt;=SchemeStart,IF($X41=0,$AD41,IF(AND($Z41&lt;&gt;"",EDATE($D41,Milestones!$AA$25)&gt;=$Z41),$AC41,IF(AND($Y41&lt;&gt;"",EDATE($D41,Milestones!$AA$25)&gt;=$Y41),$AB41,$AA41)))=Milestones!$AB$25),UPPER(TEXT(EDATE($D41,Milestones!$AA$25),"dd mmm yy"))&amp;" "&amp;Milestones!$AB$25&amp;" "&amp;IF(AND(Milestones!$AB$25="FT",Milestones!$AA$25=FT_Y5,EDATE($D41,Milestones!$AA$25)&lt;PolicyEff),1,Milestones!$AC$25)&amp;";  ","")&amp;IF(AND(EDATE($D41,Milestones!$AA$26)&lt;=AsOfDate,EDATE($D41,Milestones!$AA$26)&gt;=SchemeStart,IF($X41=0,$AD41,IF(AND($Z41&lt;&gt;"",EDATE($D41,Milestones!$AA$26)&gt;=$Z41),$AC41,IF(AND($Y41&lt;&gt;"",EDATE($D41,Milestones!$AA$26)&gt;=$Y41),$AB41,$AA41)))=Milestones!$AB$26),UPPER(TEXT(EDATE($D41,Milestones!$AA$26),"dd mmm yy"))&amp;" "&amp;Milestones!$AB$26&amp;" "&amp;IF(AND(Milestones!$AB$26="FT",Milestones!$AA$26=FT_Y5,EDATE($D41,Milestones!$AA$26)&lt;PolicyEff),1,Milestones!$AC$26)&amp;";  ","")&amp;IF(AND(EDATE($D41,Milestones!$AA$27)&lt;=AsOfDate,EDATE($D41,Milestones!$AA$27)&gt;=SchemeStart,IF($X41=0,$AD41,IF(AND($Z41&lt;&gt;"",EDATE($D41,Milestones!$AA$27)&gt;=$Z41),$AC41,IF(AND($Y41&lt;&gt;"",EDATE($D41,Milestones!$AA$27)&gt;=$Y41),$AB41,$AA41)))=Milestones!$AB$27),UPPER(TEXT(EDATE($D41,Milestones!$AA$27),"dd mmm yy"))&amp;" "&amp;Milestones!$AB$27&amp;" "&amp;IF(AND(Milestones!$AB$27="FT",Milestones!$AA$27=FT_Y5,EDATE($D41,Milestones!$AA$27)&lt;PolicyEff),1,Milestones!$AC$27)&amp;";  ","")&amp;IF(AND(EDATE($D41,Milestones!$AA$28)&lt;=AsOfDate,EDATE($D41,Milestones!$AA$28)&gt;=SchemeStart,IF($X41=0,$AD41,IF(AND($Z41&lt;&gt;"",EDATE($D41,Milestones!$AA$28)&gt;=$Z41),$AC41,IF(AND($Y41&lt;&gt;"",EDATE($D41,Milestones!$AA$28)&gt;=$Y41),$AB41,$AA41)))=Milestones!$AB$28),UPPER(TEXT(EDATE($D41,Milestones!$AA$28),"dd mmm yy"))&amp;" "&amp;Milestones!$AB$28&amp;" "&amp;IF(AND(Milestones!$AB$28="FT",Milestones!$AA$28=FT_Y5,EDATE($D41,Milestones!$AA$28)&lt;PolicyEff),1,Milestones!$AC$28)&amp;";  ","")&amp;IF(AND(EDATE($D41,Milestones!$AA$29)&lt;=AsOfDate,EDATE($D41,Milestones!$AA$29)&gt;=SchemeStart,IF($X41=0,$AD41,IF(AND($Z41&lt;&gt;"",EDATE($D41,Milestones!$AA$29)&gt;=$Z41),$AC41,IF(AND($Y41&lt;&gt;"",EDATE($D41,Milestones!$AA$29)&gt;=$Y41),$AB41,$AA41)))=Milestones!$AB$29),UPPER(TEXT(EDATE($D41,Milestones!$AA$29),"dd mmm yy"))&amp;" "&amp;Milestones!$AB$29&amp;" "&amp;IF(AND(Milestones!$AB$29="FT",Milestones!$AA$29=FT_Y5,EDATE($D41,Milestones!$AA$29)&lt;PolicyEff),1,Milestones!$AC$29)&amp;";  ","")&amp;IF(AND(EDATE($D41,Milestones!$AA$30)&lt;=AsOfDate,EDATE($D41,Milestones!$AA$30)&gt;=SchemeStart,IF($X41=0,$AD41,IF(AND($Z41&lt;&gt;"",EDATE($D41,Milestones!$AA$30)&gt;=$Z41),$AC41,IF(AND($Y41&lt;&gt;"",EDATE($D41,Milestones!$AA$30)&gt;=$Y41),$AB41,$AA41)))=Milestones!$AB$30),UPPER(TEXT(EDATE($D41,Milestones!$AA$30),"dd mmm yy"))&amp;" "&amp;Milestones!$AB$30&amp;" "&amp;IF(AND(Milestones!$AB$30="FT",Milestones!$AA$30=FT_Y5,EDATE($D41,Milestones!$AA$30)&lt;PolicyEff),1,Milestones!$AC$30)&amp;";  ","")&amp;IF(AND(EDATE($D41,Milestones!$AA$31)&lt;=AsOfDate,EDATE($D41,Milestones!$AA$31)&gt;=SchemeStart,IF($X41=0,$AD41,IF(AND($Z41&lt;&gt;"",EDATE($D41,Milestones!$AA$31)&gt;=$Z41),$AC41,IF(AND($Y41&lt;&gt;"",EDATE($D41,Milestones!$AA$31)&gt;=$Y41),$AB41,$AA41)))=Milestones!$AB$31),UPPER(TEXT(EDATE($D41,Milestones!$AA$31),"dd mmm yy"))&amp;" "&amp;Milestones!$AB$31&amp;" "&amp;IF(AND(Milestones!$AB$31="FT",Milestones!$AA$31=FT_Y5,EDATE($D41,Milestones!$AA$31)&lt;PolicyEff),1,Milestones!$AC$31)&amp;";  ",""))</f>
        <v/>
      </c>
      <c r="J41" s="0" t="str">
        <f aca="false">IF(OR($A41="",$D41=""),"",IF(AND(EDATE($D41,Milestones!$AA$32)&lt;=AsOfDate,EDATE($D41,Milestones!$AA$32)&gt;=SchemeStart,IF($X41=0,$AD41,IF(AND($Z41&lt;&gt;"",EDATE($D41,Milestones!$AA$32)&gt;=$Z41),$AC41,IF(AND($Y41&lt;&gt;"",EDATE($D41,Milestones!$AA$32)&gt;=$Y41),$AB41,$AA41)))=Milestones!$AB$32),UPPER(TEXT(EDATE($D41,Milestones!$AA$32),"dd mmm yy"))&amp;" "&amp;Milestones!$AB$32&amp;" "&amp;IF(AND(Milestones!$AB$32="FT",Milestones!$AA$32=FT_Y5,EDATE($D41,Milestones!$AA$32)&lt;PolicyEff),1,Milestones!$AC$32)&amp;";  ","")&amp;IF(AND(EDATE($D41,Milestones!$AA$33)&lt;=AsOfDate,EDATE($D41,Milestones!$AA$33)&gt;=SchemeStart,IF($X41=0,$AD41,IF(AND($Z41&lt;&gt;"",EDATE($D41,Milestones!$AA$33)&gt;=$Z41),$AC41,IF(AND($Y41&lt;&gt;"",EDATE($D41,Milestones!$AA$33)&gt;=$Y41),$AB41,$AA41)))=Milestones!$AB$33),UPPER(TEXT(EDATE($D41,Milestones!$AA$33),"dd mmm yy"))&amp;" "&amp;Milestones!$AB$33&amp;" "&amp;IF(AND(Milestones!$AB$33="FT",Milestones!$AA$33=FT_Y5,EDATE($D41,Milestones!$AA$33)&lt;PolicyEff),1,Milestones!$AC$33)&amp;";  ","")&amp;IF(AND(EDATE($D41,Milestones!$AA$34)&lt;=AsOfDate,EDATE($D41,Milestones!$AA$34)&gt;=SchemeStart,IF($X41=0,$AD41,IF(AND($Z41&lt;&gt;"",EDATE($D41,Milestones!$AA$34)&gt;=$Z41),$AC41,IF(AND($Y41&lt;&gt;"",EDATE($D41,Milestones!$AA$34)&gt;=$Y41),$AB41,$AA41)))=Milestones!$AB$34),UPPER(TEXT(EDATE($D41,Milestones!$AA$34),"dd mmm yy"))&amp;" "&amp;Milestones!$AB$34&amp;" "&amp;IF(AND(Milestones!$AB$34="FT",Milestones!$AA$34=FT_Y5,EDATE($D41,Milestones!$AA$34)&lt;PolicyEff),1,Milestones!$AC$34)&amp;";  ","")&amp;IF(AND(EDATE($D41,Milestones!$AA$35)&lt;=AsOfDate,EDATE($D41,Milestones!$AA$35)&gt;=SchemeStart,IF($X41=0,$AD41,IF(AND($Z41&lt;&gt;"",EDATE($D41,Milestones!$AA$35)&gt;=$Z41),$AC41,IF(AND($Y41&lt;&gt;"",EDATE($D41,Milestones!$AA$35)&gt;=$Y41),$AB41,$AA41)))=Milestones!$AB$35),UPPER(TEXT(EDATE($D41,Milestones!$AA$35),"dd mmm yy"))&amp;" "&amp;Milestones!$AB$35&amp;" "&amp;IF(AND(Milestones!$AB$35="FT",Milestones!$AA$35=FT_Y5,EDATE($D41,Milestones!$AA$35)&lt;PolicyEff),1,Milestones!$AC$35)&amp;";  ","")&amp;IF(AND(EDATE($D41,Milestones!$AA$36)&lt;=AsOfDate,EDATE($D41,Milestones!$AA$36)&gt;=SchemeStart,IF($X41=0,$AD41,IF(AND($Z41&lt;&gt;"",EDATE($D41,Milestones!$AA$36)&gt;=$Z41),$AC41,IF(AND($Y41&lt;&gt;"",EDATE($D41,Milestones!$AA$36)&gt;=$Y41),$AB41,$AA41)))=Milestones!$AB$36),UPPER(TEXT(EDATE($D41,Milestones!$AA$36),"dd mmm yy"))&amp;" "&amp;Milestones!$AB$36&amp;" "&amp;IF(AND(Milestones!$AB$36="FT",Milestones!$AA$36=FT_Y5,EDATE($D41,Milestones!$AA$36)&lt;PolicyEff),1,Milestones!$AC$36)&amp;";  ","")&amp;IF(AND(EDATE($D41,Milestones!$AA$37)&lt;=AsOfDate,EDATE($D41,Milestones!$AA$37)&gt;=SchemeStart,IF($X41=0,$AD41,IF(AND($Z41&lt;&gt;"",EDATE($D41,Milestones!$AA$37)&gt;=$Z41),$AC41,IF(AND($Y41&lt;&gt;"",EDATE($D41,Milestones!$AA$37)&gt;=$Y41),$AB41,$AA41)))=Milestones!$AB$37),UPPER(TEXT(EDATE($D41,Milestones!$AA$37),"dd mmm yy"))&amp;" "&amp;Milestones!$AB$37&amp;" "&amp;IF(AND(Milestones!$AB$37="FT",Milestones!$AA$37=FT_Y5,EDATE($D41,Milestones!$AA$37)&lt;PolicyEff),1,Milestones!$AC$37)&amp;";  ","")&amp;IF(AND(EDATE($D41,Milestones!$AA$38)&lt;=AsOfDate,EDATE($D41,Milestones!$AA$38)&gt;=SchemeStart,IF($X41=0,$AD41,IF(AND($Z41&lt;&gt;"",EDATE($D41,Milestones!$AA$38)&gt;=$Z41),$AC41,IF(AND($Y41&lt;&gt;"",EDATE($D41,Milestones!$AA$38)&gt;=$Y41),$AB41,$AA41)))=Milestones!$AB$38),UPPER(TEXT(EDATE($D41,Milestones!$AA$38),"dd mmm yy"))&amp;" "&amp;Milestones!$AB$38&amp;" "&amp;IF(AND(Milestones!$AB$38="FT",Milestones!$AA$38=FT_Y5,EDATE($D41,Milestones!$AA$38)&lt;PolicyEff),1,Milestones!$AC$38)&amp;";  ","")&amp;IF(AND(EDATE($D41,Milestones!$AA$39)&lt;=AsOfDate,EDATE($D41,Milestones!$AA$39)&gt;=SchemeStart,IF($X41=0,$AD41,IF(AND($Z41&lt;&gt;"",EDATE($D41,Milestones!$AA$39)&gt;=$Z41),$AC41,IF(AND($Y41&lt;&gt;"",EDATE($D41,Milestones!$AA$39)&gt;=$Y41),$AB41,$AA41)))=Milestones!$AB$39),UPPER(TEXT(EDATE($D41,Milestones!$AA$39),"dd mmm yy"))&amp;" "&amp;Milestones!$AB$39&amp;" "&amp;IF(AND(Milestones!$AB$39="FT",Milestones!$AA$39=FT_Y5,EDATE($D41,Milestones!$AA$39)&lt;PolicyEff),1,Milestones!$AC$39)&amp;";  ","")&amp;IF(AND(EDATE($D41,Milestones!$AA$40)&lt;=AsOfDate,EDATE($D41,Milestones!$AA$40)&gt;=SchemeStart,IF($X41=0,$AD41,IF(AND($Z41&lt;&gt;"",EDATE($D41,Milestones!$AA$40)&gt;=$Z41),$AC41,IF(AND($Y41&lt;&gt;"",EDATE($D41,Milestones!$AA$40)&gt;=$Y41),$AB41,$AA41)))=Milestones!$AB$40),UPPER(TEXT(EDATE($D41,Milestones!$AA$40),"dd mmm yy"))&amp;" "&amp;Milestones!$AB$40&amp;" "&amp;IF(AND(Milestones!$AB$40="FT",Milestones!$AA$40=FT_Y5,EDATE($D41,Milestones!$AA$40)&lt;PolicyEff),1,Milestones!$AC$40)&amp;";  ","")&amp;IF(AND(EDATE($D41,Milestones!$AA$41)&lt;=AsOfDate,EDATE($D41,Milestones!$AA$41)&gt;=SchemeStart,IF($X41=0,$AD41,IF(AND($Z41&lt;&gt;"",EDATE($D41,Milestones!$AA$41)&gt;=$Z41),$AC41,IF(AND($Y41&lt;&gt;"",EDATE($D41,Milestones!$AA$41)&gt;=$Y41),$AB41,$AA41)))=Milestones!$AB$41),UPPER(TEXT(EDATE($D41,Milestones!$AA$41),"dd mmm yy"))&amp;" "&amp;Milestones!$AB$41&amp;" "&amp;IF(AND(Milestones!$AB$41="FT",Milestones!$AA$41=FT_Y5,EDATE($D41,Milestones!$AA$41)&lt;PolicyEff),1,Milestones!$AC$41)&amp;";  ","")&amp;IF(AND(EDATE($D41,Milestones!$AA$42)&lt;=AsOfDate,EDATE($D41,Milestones!$AA$42)&gt;=SchemeStart,IF($X41=0,$AD41,IF(AND($Z41&lt;&gt;"",EDATE($D41,Milestones!$AA$42)&gt;=$Z41),$AC41,IF(AND($Y41&lt;&gt;"",EDATE($D41,Milestones!$AA$42)&gt;=$Y41),$AB41,$AA41)))=Milestones!$AB$42),UPPER(TEXT(EDATE($D41,Milestones!$AA$42),"dd mmm yy"))&amp;" "&amp;Milestones!$AB$42&amp;" "&amp;IF(AND(Milestones!$AB$42="FT",Milestones!$AA$42=FT_Y5,EDATE($D41,Milestones!$AA$42)&lt;PolicyEff),1,Milestones!$AC$42)&amp;";  ","")&amp;IF(AND(EDATE($D41,Milestones!$AA$43)&lt;=AsOfDate,EDATE($D41,Milestones!$AA$43)&gt;=SchemeStart,IF($X41=0,$AD41,IF(AND($Z41&lt;&gt;"",EDATE($D41,Milestones!$AA$43)&gt;=$Z41),$AC41,IF(AND($Y41&lt;&gt;"",EDATE($D41,Milestones!$AA$43)&gt;=$Y41),$AB41,$AA41)))=Milestones!$AB$43),UPPER(TEXT(EDATE($D41,Milestones!$AA$43),"dd mmm yy"))&amp;" "&amp;Milestones!$AB$43&amp;" "&amp;IF(AND(Milestones!$AB$43="FT",Milestones!$AA$43=FT_Y5,EDATE($D41,Milestones!$AA$43)&lt;PolicyEff),1,Milestones!$AC$43)&amp;";  ",""))</f>
        <v/>
      </c>
      <c r="K41" s="0" t="str">
        <f aca="false">IF(OR($A41="",$D41=""),"",IF(AND(EDATE($D41,Milestones!$AA$44)&lt;=AsOfDate,EDATE($D41,Milestones!$AA$44)&gt;=SchemeStart,IF($X41=0,$AD41,IF(AND($Z41&lt;&gt;"",EDATE($D41,Milestones!$AA$44)&gt;=$Z41),$AC41,IF(AND($Y41&lt;&gt;"",EDATE($D41,Milestones!$AA$44)&gt;=$Y41),$AB41,$AA41)))=Milestones!$AB$44),UPPER(TEXT(EDATE($D41,Milestones!$AA$44),"dd mmm yy"))&amp;" "&amp;Milestones!$AB$44&amp;" "&amp;IF(AND(Milestones!$AB$44="FT",Milestones!$AA$44=FT_Y5,EDATE($D41,Milestones!$AA$44)&lt;PolicyEff),1,Milestones!$AC$44)&amp;";  ","")&amp;IF(AND(EDATE($D41,Milestones!$AA$45)&lt;=AsOfDate,EDATE($D41,Milestones!$AA$45)&gt;=SchemeStart,IF($X41=0,$AD41,IF(AND($Z41&lt;&gt;"",EDATE($D41,Milestones!$AA$45)&gt;=$Z41),$AC41,IF(AND($Y41&lt;&gt;"",EDATE($D41,Milestones!$AA$45)&gt;=$Y41),$AB41,$AA41)))=Milestones!$AB$45),UPPER(TEXT(EDATE($D41,Milestones!$AA$45),"dd mmm yy"))&amp;" "&amp;Milestones!$AB$45&amp;" "&amp;IF(AND(Milestones!$AB$45="FT",Milestones!$AA$45=FT_Y5,EDATE($D41,Milestones!$AA$45)&lt;PolicyEff),1,Milestones!$AC$45)&amp;";  ","")&amp;IF(AND(EDATE($D41,Milestones!$AA$46)&lt;=AsOfDate,EDATE($D41,Milestones!$AA$46)&gt;=SchemeStart,IF($X41=0,$AD41,IF(AND($Z41&lt;&gt;"",EDATE($D41,Milestones!$AA$46)&gt;=$Z41),$AC41,IF(AND($Y41&lt;&gt;"",EDATE($D41,Milestones!$AA$46)&gt;=$Y41),$AB41,$AA41)))=Milestones!$AB$46),UPPER(TEXT(EDATE($D41,Milestones!$AA$46),"dd mmm yy"))&amp;" "&amp;Milestones!$AB$46&amp;" "&amp;IF(AND(Milestones!$AB$46="FT",Milestones!$AA$46=FT_Y5,EDATE($D41,Milestones!$AA$46)&lt;PolicyEff),1,Milestones!$AC$46)&amp;";  ","")&amp;IF(AND(EDATE($D41,Milestones!$AA$47)&lt;=AsOfDate,EDATE($D41,Milestones!$AA$47)&gt;=SchemeStart,IF($X41=0,$AD41,IF(AND($Z41&lt;&gt;"",EDATE($D41,Milestones!$AA$47)&gt;=$Z41),$AC41,IF(AND($Y41&lt;&gt;"",EDATE($D41,Milestones!$AA$47)&gt;=$Y41),$AB41,$AA41)))=Milestones!$AB$47),UPPER(TEXT(EDATE($D41,Milestones!$AA$47),"dd mmm yy"))&amp;" "&amp;Milestones!$AB$47&amp;" "&amp;IF(AND(Milestones!$AB$47="FT",Milestones!$AA$47=FT_Y5,EDATE($D41,Milestones!$AA$47)&lt;PolicyEff),1,Milestones!$AC$47)&amp;";  ","")&amp;IF(AND(EDATE($D41,Milestones!$AA$48)&lt;=AsOfDate,EDATE($D41,Milestones!$AA$48)&gt;=SchemeStart,IF($X41=0,$AD41,IF(AND($Z41&lt;&gt;"",EDATE($D41,Milestones!$AA$48)&gt;=$Z41),$AC41,IF(AND($Y41&lt;&gt;"",EDATE($D41,Milestones!$AA$48)&gt;=$Y41),$AB41,$AA41)))=Milestones!$AB$48),UPPER(TEXT(EDATE($D41,Milestones!$AA$48),"dd mmm yy"))&amp;" "&amp;Milestones!$AB$48&amp;" "&amp;IF(AND(Milestones!$AB$48="FT",Milestones!$AA$48=FT_Y5,EDATE($D41,Milestones!$AA$48)&lt;PolicyEff),1,Milestones!$AC$48)&amp;";  ","")&amp;IF(AND(EDATE($D41,Milestones!$AA$49)&lt;=AsOfDate,EDATE($D41,Milestones!$AA$49)&gt;=SchemeStart,IF($X41=0,$AD41,IF(AND($Z41&lt;&gt;"",EDATE($D41,Milestones!$AA$49)&gt;=$Z41),$AC41,IF(AND($Y41&lt;&gt;"",EDATE($D41,Milestones!$AA$49)&gt;=$Y41),$AB41,$AA41)))=Milestones!$AB$49),UPPER(TEXT(EDATE($D41,Milestones!$AA$49),"dd mmm yy"))&amp;" "&amp;Milestones!$AB$49&amp;" "&amp;IF(AND(Milestones!$AB$49="FT",Milestones!$AA$49=FT_Y5,EDATE($D41,Milestones!$AA$49)&lt;PolicyEff),1,Milestones!$AC$49)&amp;";  ","")&amp;IF(AND(EDATE($D41,Milestones!$AA$50)&lt;=AsOfDate,EDATE($D41,Milestones!$AA$50)&gt;=SchemeStart,IF($X41=0,$AD41,IF(AND($Z41&lt;&gt;"",EDATE($D41,Milestones!$AA$50)&gt;=$Z41),$AC41,IF(AND($Y41&lt;&gt;"",EDATE($D41,Milestones!$AA$50)&gt;=$Y41),$AB41,$AA41)))=Milestones!$AB$50),UPPER(TEXT(EDATE($D41,Milestones!$AA$50),"dd mmm yy"))&amp;" "&amp;Milestones!$AB$50&amp;" "&amp;IF(AND(Milestones!$AB$50="FT",Milestones!$AA$50=FT_Y5,EDATE($D41,Milestones!$AA$50)&lt;PolicyEff),1,Milestones!$AC$50)&amp;";  ","")&amp;IF(AND(EDATE($D41,Milestones!$AA$51)&lt;=AsOfDate,EDATE($D41,Milestones!$AA$51)&gt;=SchemeStart,IF($X41=0,$AD41,IF(AND($Z41&lt;&gt;"",EDATE($D41,Milestones!$AA$51)&gt;=$Z41),$AC41,IF(AND($Y41&lt;&gt;"",EDATE($D41,Milestones!$AA$51)&gt;=$Y41),$AB41,$AA41)))=Milestones!$AB$51),UPPER(TEXT(EDATE($D41,Milestones!$AA$51),"dd mmm yy"))&amp;" "&amp;Milestones!$AB$51&amp;" "&amp;IF(AND(Milestones!$AB$51="FT",Milestones!$AA$51=FT_Y5,EDATE($D41,Milestones!$AA$51)&lt;PolicyEff),1,Milestones!$AC$51)&amp;";  ","")&amp;IF(AND(EDATE($D41,Milestones!$AA$52)&lt;=AsOfDate,EDATE($D41,Milestones!$AA$52)&gt;=SchemeStart,IF($X41=0,$AD41,IF(AND($Z41&lt;&gt;"",EDATE($D41,Milestones!$AA$52)&gt;=$Z41),$AC41,IF(AND($Y41&lt;&gt;"",EDATE($D41,Milestones!$AA$52)&gt;=$Y41),$AB41,$AA41)))=Milestones!$AB$52),UPPER(TEXT(EDATE($D41,Milestones!$AA$52),"dd mmm yy"))&amp;" "&amp;Milestones!$AB$52&amp;" "&amp;IF(AND(Milestones!$AB$52="FT",Milestones!$AA$52=FT_Y5,EDATE($D41,Milestones!$AA$52)&lt;PolicyEff),1,Milestones!$AC$52)&amp;";  ","")&amp;IF(AND(EDATE($D41,Milestones!$AA$53)&lt;=AsOfDate,EDATE($D41,Milestones!$AA$53)&gt;=SchemeStart,IF($X41=0,$AD41,IF(AND($Z41&lt;&gt;"",EDATE($D41,Milestones!$AA$53)&gt;=$Z41),$AC41,IF(AND($Y41&lt;&gt;"",EDATE($D41,Milestones!$AA$53)&gt;=$Y41),$AB41,$AA41)))=Milestones!$AB$53),UPPER(TEXT(EDATE($D41,Milestones!$AA$53),"dd mmm yy"))&amp;" "&amp;Milestones!$AB$53&amp;" "&amp;IF(AND(Milestones!$AB$53="FT",Milestones!$AA$53=FT_Y5,EDATE($D41,Milestones!$AA$53)&lt;PolicyEff),1,Milestones!$AC$53)&amp;";  ","")&amp;IF(AND(EDATE($D41,Milestones!$AA$54)&lt;=AsOfDate,EDATE($D41,Milestones!$AA$54)&gt;=SchemeStart,IF($X41=0,$AD41,IF(AND($Z41&lt;&gt;"",EDATE($D41,Milestones!$AA$54)&gt;=$Z41),$AC41,IF(AND($Y41&lt;&gt;"",EDATE($D41,Milestones!$AA$54)&gt;=$Y41),$AB41,$AA41)))=Milestones!$AB$54),UPPER(TEXT(EDATE($D41,Milestones!$AA$54),"dd mmm yy"))&amp;" "&amp;Milestones!$AB$54&amp;" "&amp;IF(AND(Milestones!$AB$54="FT",Milestones!$AA$54=FT_Y5,EDATE($D41,Milestones!$AA$54)&lt;PolicyEff),1,Milestones!$AC$54)&amp;";  ","")&amp;IF(AND(EDATE($D41,Milestones!$AA$55)&lt;=AsOfDate,EDATE($D41,Milestones!$AA$55)&gt;=SchemeStart,IF($X41=0,$AD41,IF(AND($Z41&lt;&gt;"",EDATE($D41,Milestones!$AA$55)&gt;=$Z41),$AC41,IF(AND($Y41&lt;&gt;"",EDATE($D41,Milestones!$AA$55)&gt;=$Y41),$AB41,$AA41)))=Milestones!$AB$55),UPPER(TEXT(EDATE($D41,Milestones!$AA$55),"dd mmm yy"))&amp;" "&amp;Milestones!$AB$55&amp;" "&amp;IF(AND(Milestones!$AB$55="FT",Milestones!$AA$55=FT_Y5,EDATE($D41,Milestones!$AA$55)&lt;PolicyEff),1,Milestones!$AC$55)&amp;";  ",""))</f>
        <v/>
      </c>
      <c r="L41" s="0" t="str">
        <f aca="false">IF(OR($A41="",$D41=""),"",IF(AND(EDATE($D41,Milestones!$AA$56)&lt;=AsOfDate,EDATE($D41,Milestones!$AA$56)&gt;=SchemeStart,IF($X41=0,$AD41,IF(AND($Z41&lt;&gt;"",EDATE($D41,Milestones!$AA$56)&gt;=$Z41),$AC41,IF(AND($Y41&lt;&gt;"",EDATE($D41,Milestones!$AA$56)&gt;=$Y41),$AB41,$AA41)))=Milestones!$AB$56),UPPER(TEXT(EDATE($D41,Milestones!$AA$56),"dd mmm yy"))&amp;" "&amp;Milestones!$AB$56&amp;" "&amp;IF(AND(Milestones!$AB$56="FT",Milestones!$AA$56=FT_Y5,EDATE($D41,Milestones!$AA$56)&lt;PolicyEff),1,Milestones!$AC$56)&amp;";  ","")&amp;IF(AND(EDATE($D41,Milestones!$AA$57)&lt;=AsOfDate,EDATE($D41,Milestones!$AA$57)&gt;=SchemeStart,IF($X41=0,$AD41,IF(AND($Z41&lt;&gt;"",EDATE($D41,Milestones!$AA$57)&gt;=$Z41),$AC41,IF(AND($Y41&lt;&gt;"",EDATE($D41,Milestones!$AA$57)&gt;=$Y41),$AB41,$AA41)))=Milestones!$AB$57),UPPER(TEXT(EDATE($D41,Milestones!$AA$57),"dd mmm yy"))&amp;" "&amp;Milestones!$AB$57&amp;" "&amp;IF(AND(Milestones!$AB$57="FT",Milestones!$AA$57=FT_Y5,EDATE($D41,Milestones!$AA$57)&lt;PolicyEff),1,Milestones!$AC$57)&amp;";  ","")&amp;IF(AND(EDATE($D41,Milestones!$AA$58)&lt;=AsOfDate,EDATE($D41,Milestones!$AA$58)&gt;=SchemeStart,IF($X41=0,$AD41,IF(AND($Z41&lt;&gt;"",EDATE($D41,Milestones!$AA$58)&gt;=$Z41),$AC41,IF(AND($Y41&lt;&gt;"",EDATE($D41,Milestones!$AA$58)&gt;=$Y41),$AB41,$AA41)))=Milestones!$AB$58),UPPER(TEXT(EDATE($D41,Milestones!$AA$58),"dd mmm yy"))&amp;" "&amp;Milestones!$AB$58&amp;" "&amp;IF(AND(Milestones!$AB$58="FT",Milestones!$AA$58=FT_Y5,EDATE($D41,Milestones!$AA$58)&lt;PolicyEff),1,Milestones!$AC$58)&amp;";  ","")&amp;IF(AND(EDATE($D41,Milestones!$AA$59)&lt;=AsOfDate,EDATE($D41,Milestones!$AA$59)&gt;=SchemeStart,IF($X41=0,$AD41,IF(AND($Z41&lt;&gt;"",EDATE($D41,Milestones!$AA$59)&gt;=$Z41),$AC41,IF(AND($Y41&lt;&gt;"",EDATE($D41,Milestones!$AA$59)&gt;=$Y41),$AB41,$AA41)))=Milestones!$AB$59),UPPER(TEXT(EDATE($D41,Milestones!$AA$59),"dd mmm yy"))&amp;" "&amp;Milestones!$AB$59&amp;" "&amp;IF(AND(Milestones!$AB$59="FT",Milestones!$AA$59=FT_Y5,EDATE($D41,Milestones!$AA$59)&lt;PolicyEff),1,Milestones!$AC$59)&amp;";  ","")&amp;IF(AND(EDATE($D41,Milestones!$AA$60)&lt;=AsOfDate,EDATE($D41,Milestones!$AA$60)&gt;=SchemeStart,IF($X41=0,$AD41,IF(AND($Z41&lt;&gt;"",EDATE($D41,Milestones!$AA$60)&gt;=$Z41),$AC41,IF(AND($Y41&lt;&gt;"",EDATE($D41,Milestones!$AA$60)&gt;=$Y41),$AB41,$AA41)))=Milestones!$AB$60),UPPER(TEXT(EDATE($D41,Milestones!$AA$60),"dd mmm yy"))&amp;" "&amp;Milestones!$AB$60&amp;" "&amp;IF(AND(Milestones!$AB$60="FT",Milestones!$AA$60=FT_Y5,EDATE($D41,Milestones!$AA$60)&lt;PolicyEff),1,Milestones!$AC$60)&amp;";  ","")&amp;IF(AND(EDATE($D41,Milestones!$AA$61)&lt;=AsOfDate,EDATE($D41,Milestones!$AA$61)&gt;=SchemeStart,IF($X41=0,$AD41,IF(AND($Z41&lt;&gt;"",EDATE($D41,Milestones!$AA$61)&gt;=$Z41),$AC41,IF(AND($Y41&lt;&gt;"",EDATE($D41,Milestones!$AA$61)&gt;=$Y41),$AB41,$AA41)))=Milestones!$AB$61),UPPER(TEXT(EDATE($D41,Milestones!$AA$61),"dd mmm yy"))&amp;" "&amp;Milestones!$AB$61&amp;" "&amp;IF(AND(Milestones!$AB$61="FT",Milestones!$AA$61=FT_Y5,EDATE($D41,Milestones!$AA$61)&lt;PolicyEff),1,Milestones!$AC$61)&amp;";  ","")&amp;IF(AND(EDATE($D41,Milestones!$AA$62)&lt;=AsOfDate,EDATE($D41,Milestones!$AA$62)&gt;=SchemeStart,IF($X41=0,$AD41,IF(AND($Z41&lt;&gt;"",EDATE($D41,Milestones!$AA$62)&gt;=$Z41),$AC41,IF(AND($Y41&lt;&gt;"",EDATE($D41,Milestones!$AA$62)&gt;=$Y41),$AB41,$AA41)))=Milestones!$AB$62),UPPER(TEXT(EDATE($D41,Milestones!$AA$62),"dd mmm yy"))&amp;" "&amp;Milestones!$AB$62&amp;" "&amp;IF(AND(Milestones!$AB$62="FT",Milestones!$AA$62=FT_Y5,EDATE($D41,Milestones!$AA$62)&lt;PolicyEff),1,Milestones!$AC$62)&amp;";  ","")&amp;IF(AND(EDATE($D41,Milestones!$AA$63)&lt;=AsOfDate,EDATE($D41,Milestones!$AA$63)&gt;=SchemeStart,IF($X41=0,$AD41,IF(AND($Z41&lt;&gt;"",EDATE($D41,Milestones!$AA$63)&gt;=$Z41),$AC41,IF(AND($Y41&lt;&gt;"",EDATE($D41,Milestones!$AA$63)&gt;=$Y41),$AB41,$AA41)))=Milestones!$AB$63),UPPER(TEXT(EDATE($D41,Milestones!$AA$63),"dd mmm yy"))&amp;" "&amp;Milestones!$AB$63&amp;" "&amp;IF(AND(Milestones!$AB$63="FT",Milestones!$AA$63=FT_Y5,EDATE($D41,Milestones!$AA$63)&lt;PolicyEff),1,Milestones!$AC$63)&amp;";  ","")&amp;IF(AND(EDATE($D41,Milestones!$AA$64)&lt;=AsOfDate,EDATE($D41,Milestones!$AA$64)&gt;=SchemeStart,IF($X41=0,$AD41,IF(AND($Z41&lt;&gt;"",EDATE($D41,Milestones!$AA$64)&gt;=$Z41),$AC41,IF(AND($Y41&lt;&gt;"",EDATE($D41,Milestones!$AA$64)&gt;=$Y41),$AB41,$AA41)))=Milestones!$AB$64),UPPER(TEXT(EDATE($D41,Milestones!$AA$64),"dd mmm yy"))&amp;" "&amp;Milestones!$AB$64&amp;" "&amp;IF(AND(Milestones!$AB$64="FT",Milestones!$AA$64=FT_Y5,EDATE($D41,Milestones!$AA$64)&lt;PolicyEff),1,Milestones!$AC$64)&amp;";  ","")&amp;IF(AND(EDATE($D41,Milestones!$AA$65)&lt;=AsOfDate,EDATE($D41,Milestones!$AA$65)&gt;=SchemeStart,IF($X41=0,$AD41,IF(AND($Z41&lt;&gt;"",EDATE($D41,Milestones!$AA$65)&gt;=$Z41),$AC41,IF(AND($Y41&lt;&gt;"",EDATE($D41,Milestones!$AA$65)&gt;=$Y41),$AB41,$AA41)))=Milestones!$AB$65),UPPER(TEXT(EDATE($D41,Milestones!$AA$65),"dd mmm yy"))&amp;" "&amp;Milestones!$AB$65&amp;" "&amp;IF(AND(Milestones!$AB$65="FT",Milestones!$AA$65=FT_Y5,EDATE($D41,Milestones!$AA$65)&lt;PolicyEff),1,Milestones!$AC$65)&amp;";  ","")&amp;IF(AND(EDATE($D41,Milestones!$AA$66)&lt;=AsOfDate,EDATE($D41,Milestones!$AA$66)&gt;=SchemeStart,IF($X41=0,$AD41,IF(AND($Z41&lt;&gt;"",EDATE($D41,Milestones!$AA$66)&gt;=$Z41),$AC41,IF(AND($Y41&lt;&gt;"",EDATE($D41,Milestones!$AA$66)&gt;=$Y41),$AB41,$AA41)))=Milestones!$AB$66),UPPER(TEXT(EDATE($D41,Milestones!$AA$66),"dd mmm yy"))&amp;" "&amp;Milestones!$AB$66&amp;" "&amp;IF(AND(Milestones!$AB$66="FT",Milestones!$AA$66=FT_Y5,EDATE($D41,Milestones!$AA$66)&lt;PolicyEff),1,Milestones!$AC$66)&amp;";  ","")&amp;IF(AND(EDATE($D41,Milestones!$AA$67)&lt;=AsOfDate,EDATE($D41,Milestones!$AA$67)&gt;=SchemeStart,IF($X41=0,$AD41,IF(AND($Z41&lt;&gt;"",EDATE($D41,Milestones!$AA$67)&gt;=$Z41),$AC41,IF(AND($Y41&lt;&gt;"",EDATE($D41,Milestones!$AA$67)&gt;=$Y41),$AB41,$AA41)))=Milestones!$AB$67),UPPER(TEXT(EDATE($D41,Milestones!$AA$67),"dd mmm yy"))&amp;" "&amp;Milestones!$AB$67&amp;" "&amp;IF(AND(Milestones!$AB$67="FT",Milestones!$AA$67=FT_Y5,EDATE($D41,Milestones!$AA$67)&lt;PolicyEff),1,Milestones!$AC$67)&amp;";  ",""))</f>
        <v/>
      </c>
      <c r="M41" s="0" t="str">
        <f aca="false">IF(OR($A41="",$D41=""),"",IF(AND(EDATE($D41,Milestones!$AA$68)&lt;=AsOfDate,EDATE($D41,Milestones!$AA$68)&gt;=SchemeStart,IF($X41=0,$AD41,IF(AND($Z41&lt;&gt;"",EDATE($D41,Milestones!$AA$68)&gt;=$Z41),$AC41,IF(AND($Y41&lt;&gt;"",EDATE($D41,Milestones!$AA$68)&gt;=$Y41),$AB41,$AA41)))=Milestones!$AB$68),UPPER(TEXT(EDATE($D41,Milestones!$AA$68),"dd mmm yy"))&amp;" "&amp;Milestones!$AB$68&amp;" "&amp;IF(AND(Milestones!$AB$68="FT",Milestones!$AA$68=FT_Y5,EDATE($D41,Milestones!$AA$68)&lt;PolicyEff),1,Milestones!$AC$68)&amp;";  ","")&amp;IF(AND(EDATE($D41,Milestones!$AA$69)&lt;=AsOfDate,EDATE($D41,Milestones!$AA$69)&gt;=SchemeStart,IF($X41=0,$AD41,IF(AND($Z41&lt;&gt;"",EDATE($D41,Milestones!$AA$69)&gt;=$Z41),$AC41,IF(AND($Y41&lt;&gt;"",EDATE($D41,Milestones!$AA$69)&gt;=$Y41),$AB41,$AA41)))=Milestones!$AB$69),UPPER(TEXT(EDATE($D41,Milestones!$AA$69),"dd mmm yy"))&amp;" "&amp;Milestones!$AB$69&amp;" "&amp;IF(AND(Milestones!$AB$69="FT",Milestones!$AA$69=FT_Y5,EDATE($D41,Milestones!$AA$69)&lt;PolicyEff),1,Milestones!$AC$69)&amp;";  ","")&amp;IF(AND(EDATE($D41,Milestones!$AA$70)&lt;=AsOfDate,EDATE($D41,Milestones!$AA$70)&gt;=SchemeStart,IF($X41=0,$AD41,IF(AND($Z41&lt;&gt;"",EDATE($D41,Milestones!$AA$70)&gt;=$Z41),$AC41,IF(AND($Y41&lt;&gt;"",EDATE($D41,Milestones!$AA$70)&gt;=$Y41),$AB41,$AA41)))=Milestones!$AB$70),UPPER(TEXT(EDATE($D41,Milestones!$AA$70),"dd mmm yy"))&amp;" "&amp;Milestones!$AB$70&amp;" "&amp;IF(AND(Milestones!$AB$70="FT",Milestones!$AA$70=FT_Y5,EDATE($D41,Milestones!$AA$70)&lt;PolicyEff),1,Milestones!$AC$70)&amp;";  ","")&amp;IF(AND(EDATE($D41,Milestones!$AA$71)&lt;=AsOfDate,EDATE($D41,Milestones!$AA$71)&gt;=SchemeStart,IF($X41=0,$AD41,IF(AND($Z41&lt;&gt;"",EDATE($D41,Milestones!$AA$71)&gt;=$Z41),$AC41,IF(AND($Y41&lt;&gt;"",EDATE($D41,Milestones!$AA$71)&gt;=$Y41),$AB41,$AA41)))=Milestones!$AB$71),UPPER(TEXT(EDATE($D41,Milestones!$AA$71),"dd mmm yy"))&amp;" "&amp;Milestones!$AB$71&amp;" "&amp;IF(AND(Milestones!$AB$71="FT",Milestones!$AA$71=FT_Y5,EDATE($D41,Milestones!$AA$71)&lt;PolicyEff),1,Milestones!$AC$71)&amp;";  ","")&amp;IF(AND(EDATE($D41,Milestones!$AA$72)&lt;=AsOfDate,EDATE($D41,Milestones!$AA$72)&gt;=SchemeStart,IF($X41=0,$AD41,IF(AND($Z41&lt;&gt;"",EDATE($D41,Milestones!$AA$72)&gt;=$Z41),$AC41,IF(AND($Y41&lt;&gt;"",EDATE($D41,Milestones!$AA$72)&gt;=$Y41),$AB41,$AA41)))=Milestones!$AB$72),UPPER(TEXT(EDATE($D41,Milestones!$AA$72),"dd mmm yy"))&amp;" "&amp;Milestones!$AB$72&amp;" "&amp;IF(AND(Milestones!$AB$72="FT",Milestones!$AA$72=FT_Y5,EDATE($D41,Milestones!$AA$72)&lt;PolicyEff),1,Milestones!$AC$72)&amp;";  ","")&amp;IF(AND(EDATE($D41,Milestones!$AA$73)&lt;=AsOfDate,EDATE($D41,Milestones!$AA$73)&gt;=SchemeStart,IF($X41=0,$AD41,IF(AND($Z41&lt;&gt;"",EDATE($D41,Milestones!$AA$73)&gt;=$Z41),$AC41,IF(AND($Y41&lt;&gt;"",EDATE($D41,Milestones!$AA$73)&gt;=$Y41),$AB41,$AA41)))=Milestones!$AB$73),UPPER(TEXT(EDATE($D41,Milestones!$AA$73),"dd mmm yy"))&amp;" "&amp;Milestones!$AB$73&amp;" "&amp;IF(AND(Milestones!$AB$73="FT",Milestones!$AA$73=FT_Y5,EDATE($D41,Milestones!$AA$73)&lt;PolicyEff),1,Milestones!$AC$73)&amp;";  ","")&amp;IF(AND(EDATE($D41,Milestones!$AA$74)&lt;=AsOfDate,EDATE($D41,Milestones!$AA$74)&gt;=SchemeStart,IF($X41=0,$AD41,IF(AND($Z41&lt;&gt;"",EDATE($D41,Milestones!$AA$74)&gt;=$Z41),$AC41,IF(AND($Y41&lt;&gt;"",EDATE($D41,Milestones!$AA$74)&gt;=$Y41),$AB41,$AA41)))=Milestones!$AB$74),UPPER(TEXT(EDATE($D41,Milestones!$AA$74),"dd mmm yy"))&amp;" "&amp;Milestones!$AB$74&amp;" "&amp;IF(AND(Milestones!$AB$74="FT",Milestones!$AA$74=FT_Y5,EDATE($D41,Milestones!$AA$74)&lt;PolicyEff),1,Milestones!$AC$74)&amp;";  ","")&amp;IF(AND(EDATE($D41,Milestones!$AA$75)&lt;=AsOfDate,EDATE($D41,Milestones!$AA$75)&gt;=SchemeStart,IF($X41=0,$AD41,IF(AND($Z41&lt;&gt;"",EDATE($D41,Milestones!$AA$75)&gt;=$Z41),$AC41,IF(AND($Y41&lt;&gt;"",EDATE($D41,Milestones!$AA$75)&gt;=$Y41),$AB41,$AA41)))=Milestones!$AB$75),UPPER(TEXT(EDATE($D41,Milestones!$AA$75),"dd mmm yy"))&amp;" "&amp;Milestones!$AB$75&amp;" "&amp;IF(AND(Milestones!$AB$75="FT",Milestones!$AA$75=FT_Y5,EDATE($D41,Milestones!$AA$75)&lt;PolicyEff),1,Milestones!$AC$75)&amp;";  ","")&amp;IF(AND(EDATE($D41,Milestones!$AA$76)&lt;=AsOfDate,EDATE($D41,Milestones!$AA$76)&gt;=SchemeStart,IF($X41=0,$AD41,IF(AND($Z41&lt;&gt;"",EDATE($D41,Milestones!$AA$76)&gt;=$Z41),$AC41,IF(AND($Y41&lt;&gt;"",EDATE($D41,Milestones!$AA$76)&gt;=$Y41),$AB41,$AA41)))=Milestones!$AB$76),UPPER(TEXT(EDATE($D41,Milestones!$AA$76),"dd mmm yy"))&amp;" "&amp;Milestones!$AB$76&amp;" "&amp;IF(AND(Milestones!$AB$76="FT",Milestones!$AA$76=FT_Y5,EDATE($D41,Milestones!$AA$76)&lt;PolicyEff),1,Milestones!$AC$76)&amp;";  ","")&amp;IF(AND(EDATE($D41,Milestones!$AA$77)&lt;=AsOfDate,EDATE($D41,Milestones!$AA$77)&gt;=SchemeStart,IF($X41=0,$AD41,IF(AND($Z41&lt;&gt;"",EDATE($D41,Milestones!$AA$77)&gt;=$Z41),$AC41,IF(AND($Y41&lt;&gt;"",EDATE($D41,Milestones!$AA$77)&gt;=$Y41),$AB41,$AA41)))=Milestones!$AB$77),UPPER(TEXT(EDATE($D41,Milestones!$AA$77),"dd mmm yy"))&amp;" "&amp;Milestones!$AB$77&amp;" "&amp;IF(AND(Milestones!$AB$77="FT",Milestones!$AA$77=FT_Y5,EDATE($D41,Milestones!$AA$77)&lt;PolicyEff),1,Milestones!$AC$77)&amp;";  ","")&amp;IF(AND(EDATE($D41,Milestones!$AA$78)&lt;=AsOfDate,EDATE($D41,Milestones!$AA$78)&gt;=SchemeStart,IF($X41=0,$AD41,IF(AND($Z41&lt;&gt;"",EDATE($D41,Milestones!$AA$78)&gt;=$Z41),$AC41,IF(AND($Y41&lt;&gt;"",EDATE($D41,Milestones!$AA$78)&gt;=$Y41),$AB41,$AA41)))=Milestones!$AB$78),UPPER(TEXT(EDATE($D41,Milestones!$AA$78),"dd mmm yy"))&amp;" "&amp;Milestones!$AB$78&amp;" "&amp;IF(AND(Milestones!$AB$78="FT",Milestones!$AA$78=FT_Y5,EDATE($D41,Milestones!$AA$78)&lt;PolicyEff),1,Milestones!$AC$78)&amp;";  ","")&amp;IF(AND(EDATE($D41,Milestones!$AA$79)&lt;=AsOfDate,EDATE($D41,Milestones!$AA$79)&gt;=SchemeStart,IF($X41=0,$AD41,IF(AND($Z41&lt;&gt;"",EDATE($D41,Milestones!$AA$79)&gt;=$Z41),$AC41,IF(AND($Y41&lt;&gt;"",EDATE($D41,Milestones!$AA$79)&gt;=$Y41),$AB41,$AA41)))=Milestones!$AB$79),UPPER(TEXT(EDATE($D41,Milestones!$AA$79),"dd mmm yy"))&amp;" "&amp;Milestones!$AB$79&amp;" "&amp;IF(AND(Milestones!$AB$79="FT",Milestones!$AA$79=FT_Y5,EDATE($D41,Milestones!$AA$79)&lt;PolicyEff),1,Milestones!$AC$79)&amp;";  ",""))</f>
        <v/>
      </c>
      <c r="N41" s="0" t="str">
        <f aca="false">IF(OR($A41="",$D41=""),"",IF(AND(EDATE($D41,Milestones!$AA$80)&lt;=AsOfDate,EDATE($D41,Milestones!$AA$80)&gt;=SchemeStart,IF($X41=0,$AD41,IF(AND($Z41&lt;&gt;"",EDATE($D41,Milestones!$AA$80)&gt;=$Z41),$AC41,IF(AND($Y41&lt;&gt;"",EDATE($D41,Milestones!$AA$80)&gt;=$Y41),$AB41,$AA41)))=Milestones!$AB$80),UPPER(TEXT(EDATE($D41,Milestones!$AA$80),"dd mmm yy"))&amp;" "&amp;Milestones!$AB$80&amp;" "&amp;IF(AND(Milestones!$AB$80="FT",Milestones!$AA$80=FT_Y5,EDATE($D41,Milestones!$AA$80)&lt;PolicyEff),1,Milestones!$AC$80)&amp;";  ","")&amp;IF(AND(EDATE($D41,Milestones!$AA$81)&lt;=AsOfDate,EDATE($D41,Milestones!$AA$81)&gt;=SchemeStart,IF($X41=0,$AD41,IF(AND($Z41&lt;&gt;"",EDATE($D41,Milestones!$AA$81)&gt;=$Z41),$AC41,IF(AND($Y41&lt;&gt;"",EDATE($D41,Milestones!$AA$81)&gt;=$Y41),$AB41,$AA41)))=Milestones!$AB$81),UPPER(TEXT(EDATE($D41,Milestones!$AA$81),"dd mmm yy"))&amp;" "&amp;Milestones!$AB$81&amp;" "&amp;IF(AND(Milestones!$AB$81="FT",Milestones!$AA$81=FT_Y5,EDATE($D41,Milestones!$AA$81)&lt;PolicyEff),1,Milestones!$AC$81)&amp;";  ","")&amp;IF(AND(EDATE($D41,Milestones!$AA$82)&lt;=AsOfDate,EDATE($D41,Milestones!$AA$82)&gt;=SchemeStart,IF($X41=0,$AD41,IF(AND($Z41&lt;&gt;"",EDATE($D41,Milestones!$AA$82)&gt;=$Z41),$AC41,IF(AND($Y41&lt;&gt;"",EDATE($D41,Milestones!$AA$82)&gt;=$Y41),$AB41,$AA41)))=Milestones!$AB$82),UPPER(TEXT(EDATE($D41,Milestones!$AA$82),"dd mmm yy"))&amp;" "&amp;Milestones!$AB$82&amp;" "&amp;IF(AND(Milestones!$AB$82="FT",Milestones!$AA$82=FT_Y5,EDATE($D41,Milestones!$AA$82)&lt;PolicyEff),1,Milestones!$AC$82)&amp;";  ","")&amp;IF(AND(EDATE($D41,Milestones!$AA$83)&lt;=AsOfDate,EDATE($D41,Milestones!$AA$83)&gt;=SchemeStart,IF($X41=0,$AD41,IF(AND($Z41&lt;&gt;"",EDATE($D41,Milestones!$AA$83)&gt;=$Z41),$AC41,IF(AND($Y41&lt;&gt;"",EDATE($D41,Milestones!$AA$83)&gt;=$Y41),$AB41,$AA41)))=Milestones!$AB$83),UPPER(TEXT(EDATE($D41,Milestones!$AA$83),"dd mmm yy"))&amp;" "&amp;Milestones!$AB$83&amp;" "&amp;IF(AND(Milestones!$AB$83="FT",Milestones!$AA$83=FT_Y5,EDATE($D41,Milestones!$AA$83)&lt;PolicyEff),1,Milestones!$AC$83)&amp;";  ","")&amp;IF(AND(EDATE($D41,Milestones!$AA$84)&lt;=AsOfDate,EDATE($D41,Milestones!$AA$84)&gt;=SchemeStart,IF($X41=0,$AD41,IF(AND($Z41&lt;&gt;"",EDATE($D41,Milestones!$AA$84)&gt;=$Z41),$AC41,IF(AND($Y41&lt;&gt;"",EDATE($D41,Milestones!$AA$84)&gt;=$Y41),$AB41,$AA41)))=Milestones!$AB$84),UPPER(TEXT(EDATE($D41,Milestones!$AA$84),"dd mmm yy"))&amp;" "&amp;Milestones!$AB$84&amp;" "&amp;IF(AND(Milestones!$AB$84="FT",Milestones!$AA$84=FT_Y5,EDATE($D41,Milestones!$AA$84)&lt;PolicyEff),1,Milestones!$AC$84)&amp;";  ","")&amp;IF(AND(EDATE($D41,Milestones!$AA$85)&lt;=AsOfDate,EDATE($D41,Milestones!$AA$85)&gt;=SchemeStart,IF($X41=0,$AD41,IF(AND($Z41&lt;&gt;"",EDATE($D41,Milestones!$AA$85)&gt;=$Z41),$AC41,IF(AND($Y41&lt;&gt;"",EDATE($D41,Milestones!$AA$85)&gt;=$Y41),$AB41,$AA41)))=Milestones!$AB$85),UPPER(TEXT(EDATE($D41,Milestones!$AA$85),"dd mmm yy"))&amp;" "&amp;Milestones!$AB$85&amp;" "&amp;IF(AND(Milestones!$AB$85="FT",Milestones!$AA$85=FT_Y5,EDATE($D41,Milestones!$AA$85)&lt;PolicyEff),1,Milestones!$AC$85)&amp;";  ","")&amp;IF(AND(EDATE($D41,Milestones!$AA$86)&lt;=AsOfDate,EDATE($D41,Milestones!$AA$86)&gt;=SchemeStart,IF($X41=0,$AD41,IF(AND($Z41&lt;&gt;"",EDATE($D41,Milestones!$AA$86)&gt;=$Z41),$AC41,IF(AND($Y41&lt;&gt;"",EDATE($D41,Milestones!$AA$86)&gt;=$Y41),$AB41,$AA41)))=Milestones!$AB$86),UPPER(TEXT(EDATE($D41,Milestones!$AA$86),"dd mmm yy"))&amp;" "&amp;Milestones!$AB$86&amp;" "&amp;IF(AND(Milestones!$AB$86="FT",Milestones!$AA$86=FT_Y5,EDATE($D41,Milestones!$AA$86)&lt;PolicyEff),1,Milestones!$AC$86)&amp;";  ","")&amp;IF(AND(EDATE($D41,Milestones!$AA$87)&lt;=AsOfDate,EDATE($D41,Milestones!$AA$87)&gt;=SchemeStart,IF($X41=0,$AD41,IF(AND($Z41&lt;&gt;"",EDATE($D41,Milestones!$AA$87)&gt;=$Z41),$AC41,IF(AND($Y41&lt;&gt;"",EDATE($D41,Milestones!$AA$87)&gt;=$Y41),$AB41,$AA41)))=Milestones!$AB$87),UPPER(TEXT(EDATE($D41,Milestones!$AA$87),"dd mmm yy"))&amp;" "&amp;Milestones!$AB$87&amp;" "&amp;IF(AND(Milestones!$AB$87="FT",Milestones!$AA$87=FT_Y5,EDATE($D41,Milestones!$AA$87)&lt;PolicyEff),1,Milestones!$AC$87)&amp;";  ","")&amp;IF(AND(EDATE($D41,Milestones!$AA$88)&lt;=AsOfDate,EDATE($D41,Milestones!$AA$88)&gt;=SchemeStart,IF($X41=0,$AD41,IF(AND($Z41&lt;&gt;"",EDATE($D41,Milestones!$AA$88)&gt;=$Z41),$AC41,IF(AND($Y41&lt;&gt;"",EDATE($D41,Milestones!$AA$88)&gt;=$Y41),$AB41,$AA41)))=Milestones!$AB$88),UPPER(TEXT(EDATE($D41,Milestones!$AA$88),"dd mmm yy"))&amp;" "&amp;Milestones!$AB$88&amp;" "&amp;IF(AND(Milestones!$AB$88="FT",Milestones!$AA$88=FT_Y5,EDATE($D41,Milestones!$AA$88)&lt;PolicyEff),1,Milestones!$AC$88)&amp;";  ","")&amp;IF(AND(EDATE($D41,Milestones!$AA$89)&lt;=AsOfDate,EDATE($D41,Milestones!$AA$89)&gt;=SchemeStart,IF($X41=0,$AD41,IF(AND($Z41&lt;&gt;"",EDATE($D41,Milestones!$AA$89)&gt;=$Z41),$AC41,IF(AND($Y41&lt;&gt;"",EDATE($D41,Milestones!$AA$89)&gt;=$Y41),$AB41,$AA41)))=Milestones!$AB$89),UPPER(TEXT(EDATE($D41,Milestones!$AA$89),"dd mmm yy"))&amp;" "&amp;Milestones!$AB$89&amp;" "&amp;IF(AND(Milestones!$AB$89="FT",Milestones!$AA$89=FT_Y5,EDATE($D41,Milestones!$AA$89)&lt;PolicyEff),1,Milestones!$AC$89)&amp;";  ","")&amp;IF(AND(EDATE($D41,Milestones!$AA$90)&lt;=AsOfDate,EDATE($D41,Milestones!$AA$90)&gt;=SchemeStart,IF($X41=0,$AD41,IF(AND($Z41&lt;&gt;"",EDATE($D41,Milestones!$AA$90)&gt;=$Z41),$AC41,IF(AND($Y41&lt;&gt;"",EDATE($D41,Milestones!$AA$90)&gt;=$Y41),$AB41,$AA41)))=Milestones!$AB$90),UPPER(TEXT(EDATE($D41,Milestones!$AA$90),"dd mmm yy"))&amp;" "&amp;Milestones!$AB$90&amp;" "&amp;IF(AND(Milestones!$AB$90="FT",Milestones!$AA$90=FT_Y5,EDATE($D41,Milestones!$AA$90)&lt;PolicyEff),1,Milestones!$AC$90)&amp;";  ","")&amp;IF(AND(EDATE($D41,Milestones!$AA$91)&lt;=AsOfDate,EDATE($D41,Milestones!$AA$91)&gt;=SchemeStart,IF($X41=0,$AD41,IF(AND($Z41&lt;&gt;"",EDATE($D41,Milestones!$AA$91)&gt;=$Z41),$AC41,IF(AND($Y41&lt;&gt;"",EDATE($D41,Milestones!$AA$91)&gt;=$Y41),$AB41,$AA41)))=Milestones!$AB$91),UPPER(TEXT(EDATE($D41,Milestones!$AA$91),"dd mmm yy"))&amp;" "&amp;Milestones!$AB$91&amp;" "&amp;IF(AND(Milestones!$AB$91="FT",Milestones!$AA$91=FT_Y5,EDATE($D41,Milestones!$AA$91)&lt;PolicyEff),1,Milestones!$AC$91)&amp;";  ",""))</f>
        <v/>
      </c>
      <c r="O41" s="0" t="str">
        <f aca="false">IF(OR($A41="",$D41=""),"",IF(AND(EDATE($D41,Milestones!$AA$92)&lt;=AsOfDate,EDATE($D41,Milestones!$AA$92)&gt;=SchemeStart,IF($X41=0,$AD41,IF(AND($Z41&lt;&gt;"",EDATE($D41,Milestones!$AA$92)&gt;=$Z41),$AC41,IF(AND($Y41&lt;&gt;"",EDATE($D41,Milestones!$AA$92)&gt;=$Y41),$AB41,$AA41)))=Milestones!$AB$92),UPPER(TEXT(EDATE($D41,Milestones!$AA$92),"dd mmm yy"))&amp;" "&amp;Milestones!$AB$92&amp;" "&amp;IF(AND(Milestones!$AB$92="FT",Milestones!$AA$92=FT_Y5,EDATE($D41,Milestones!$AA$92)&lt;PolicyEff),1,Milestones!$AC$92)&amp;";  ","")&amp;IF(AND(EDATE($D41,Milestones!$AA$93)&lt;=AsOfDate,EDATE($D41,Milestones!$AA$93)&gt;=SchemeStart,IF($X41=0,$AD41,IF(AND($Z41&lt;&gt;"",EDATE($D41,Milestones!$AA$93)&gt;=$Z41),$AC41,IF(AND($Y41&lt;&gt;"",EDATE($D41,Milestones!$AA$93)&gt;=$Y41),$AB41,$AA41)))=Milestones!$AB$93),UPPER(TEXT(EDATE($D41,Milestones!$AA$93),"dd mmm yy"))&amp;" "&amp;Milestones!$AB$93&amp;" "&amp;IF(AND(Milestones!$AB$93="FT",Milestones!$AA$93=FT_Y5,EDATE($D41,Milestones!$AA$93)&lt;PolicyEff),1,Milestones!$AC$93)&amp;";  ","")&amp;IF(AND(EDATE($D41,Milestones!$AA$94)&lt;=AsOfDate,EDATE($D41,Milestones!$AA$94)&gt;=SchemeStart,IF($X41=0,$AD41,IF(AND($Z41&lt;&gt;"",EDATE($D41,Milestones!$AA$94)&gt;=$Z41),$AC41,IF(AND($Y41&lt;&gt;"",EDATE($D41,Milestones!$AA$94)&gt;=$Y41),$AB41,$AA41)))=Milestones!$AB$94),UPPER(TEXT(EDATE($D41,Milestones!$AA$94),"dd mmm yy"))&amp;" "&amp;Milestones!$AB$94&amp;" "&amp;IF(AND(Milestones!$AB$94="FT",Milestones!$AA$94=FT_Y5,EDATE($D41,Milestones!$AA$94)&lt;PolicyEff),1,Milestones!$AC$94)&amp;";  ","")&amp;IF(AND(EDATE($D41,Milestones!$AA$95)&lt;=AsOfDate,EDATE($D41,Milestones!$AA$95)&gt;=SchemeStart,IF($X41=0,$AD41,IF(AND($Z41&lt;&gt;"",EDATE($D41,Milestones!$AA$95)&gt;=$Z41),$AC41,IF(AND($Y41&lt;&gt;"",EDATE($D41,Milestones!$AA$95)&gt;=$Y41),$AB41,$AA41)))=Milestones!$AB$95),UPPER(TEXT(EDATE($D41,Milestones!$AA$95),"dd mmm yy"))&amp;" "&amp;Milestones!$AB$95&amp;" "&amp;IF(AND(Milestones!$AB$95="FT",Milestones!$AA$95=FT_Y5,EDATE($D41,Milestones!$AA$95)&lt;PolicyEff),1,Milestones!$AC$95)&amp;";  ","")&amp;IF(AND(EDATE($D41,Milestones!$AA$96)&lt;=AsOfDate,EDATE($D41,Milestones!$AA$96)&gt;=SchemeStart,IF($X41=0,$AD41,IF(AND($Z41&lt;&gt;"",EDATE($D41,Milestones!$AA$96)&gt;=$Z41),$AC41,IF(AND($Y41&lt;&gt;"",EDATE($D41,Milestones!$AA$96)&gt;=$Y41),$AB41,$AA41)))=Milestones!$AB$96),UPPER(TEXT(EDATE($D41,Milestones!$AA$96),"dd mmm yy"))&amp;" "&amp;Milestones!$AB$96&amp;" "&amp;IF(AND(Milestones!$AB$96="FT",Milestones!$AA$96=FT_Y5,EDATE($D41,Milestones!$AA$96)&lt;PolicyEff),1,Milestones!$AC$96)&amp;";  ","")&amp;IF(AND(EDATE($D41,Milestones!$AA$97)&lt;=AsOfDate,EDATE($D41,Milestones!$AA$97)&gt;=SchemeStart,IF($X41=0,$AD41,IF(AND($Z41&lt;&gt;"",EDATE($D41,Milestones!$AA$97)&gt;=$Z41),$AC41,IF(AND($Y41&lt;&gt;"",EDATE($D41,Milestones!$AA$97)&gt;=$Y41),$AB41,$AA41)))=Milestones!$AB$97),UPPER(TEXT(EDATE($D41,Milestones!$AA$97),"dd mmm yy"))&amp;" "&amp;Milestones!$AB$97&amp;" "&amp;IF(AND(Milestones!$AB$97="FT",Milestones!$AA$97=FT_Y5,EDATE($D41,Milestones!$AA$97)&lt;PolicyEff),1,Milestones!$AC$97)&amp;";  ","")&amp;IF(AND(EDATE($D41,Milestones!$AA$98)&lt;=AsOfDate,EDATE($D41,Milestones!$AA$98)&gt;=SchemeStart,IF($X41=0,$AD41,IF(AND($Z41&lt;&gt;"",EDATE($D41,Milestones!$AA$98)&gt;=$Z41),$AC41,IF(AND($Y41&lt;&gt;"",EDATE($D41,Milestones!$AA$98)&gt;=$Y41),$AB41,$AA41)))=Milestones!$AB$98),UPPER(TEXT(EDATE($D41,Milestones!$AA$98),"dd mmm yy"))&amp;" "&amp;Milestones!$AB$98&amp;" "&amp;IF(AND(Milestones!$AB$98="FT",Milestones!$AA$98=FT_Y5,EDATE($D41,Milestones!$AA$98)&lt;PolicyEff),1,Milestones!$AC$98)&amp;";  ","")&amp;IF(AND(EDATE($D41,Milestones!$AA$99)&lt;=AsOfDate,EDATE($D41,Milestones!$AA$99)&gt;=SchemeStart,IF($X41=0,$AD41,IF(AND($Z41&lt;&gt;"",EDATE($D41,Milestones!$AA$99)&gt;=$Z41),$AC41,IF(AND($Y41&lt;&gt;"",EDATE($D41,Milestones!$AA$99)&gt;=$Y41),$AB41,$AA41)))=Milestones!$AB$99),UPPER(TEXT(EDATE($D41,Milestones!$AA$99),"dd mmm yy"))&amp;" "&amp;Milestones!$AB$99&amp;" "&amp;IF(AND(Milestones!$AB$99="FT",Milestones!$AA$99=FT_Y5,EDATE($D41,Milestones!$AA$99)&lt;PolicyEff),1,Milestones!$AC$99)&amp;";  ","")&amp;IF(AND(EDATE($D41,Milestones!$AA$100)&lt;=AsOfDate,EDATE($D41,Milestones!$AA$100)&gt;=SchemeStart,IF($X41=0,$AD41,IF(AND($Z41&lt;&gt;"",EDATE($D41,Milestones!$AA$100)&gt;=$Z41),$AC41,IF(AND($Y41&lt;&gt;"",EDATE($D41,Milestones!$AA$100)&gt;=$Y41),$AB41,$AA41)))=Milestones!$AB$100),UPPER(TEXT(EDATE($D41,Milestones!$AA$100),"dd mmm yy"))&amp;" "&amp;Milestones!$AB$100&amp;" "&amp;IF(AND(Milestones!$AB$100="FT",Milestones!$AA$100=FT_Y5,EDATE($D41,Milestones!$AA$100)&lt;PolicyEff),1,Milestones!$AC$100)&amp;";  ","")&amp;IF(AND(EDATE($D41,Milestones!$AA$101)&lt;=AsOfDate,EDATE($D41,Milestones!$AA$101)&gt;=SchemeStart,IF($X41=0,$AD41,IF(AND($Z41&lt;&gt;"",EDATE($D41,Milestones!$AA$101)&gt;=$Z41),$AC41,IF(AND($Y41&lt;&gt;"",EDATE($D41,Milestones!$AA$101)&gt;=$Y41),$AB41,$AA41)))=Milestones!$AB$101),UPPER(TEXT(EDATE($D41,Milestones!$AA$101),"dd mmm yy"))&amp;" "&amp;Milestones!$AB$101&amp;" "&amp;IF(AND(Milestones!$AB$101="FT",Milestones!$AA$101=FT_Y5,EDATE($D41,Milestones!$AA$101)&lt;PolicyEff),1,Milestones!$AC$101)&amp;";  ","")&amp;IF(AND(EDATE($D41,Milestones!$AA$102)&lt;=AsOfDate,EDATE($D41,Milestones!$AA$102)&gt;=SchemeStart,IF($X41=0,$AD41,IF(AND($Z41&lt;&gt;"",EDATE($D41,Milestones!$AA$102)&gt;=$Z41),$AC41,IF(AND($Y41&lt;&gt;"",EDATE($D41,Milestones!$AA$102)&gt;=$Y41),$AB41,$AA41)))=Milestones!$AB$102),UPPER(TEXT(EDATE($D41,Milestones!$AA$102),"dd mmm yy"))&amp;" "&amp;Milestones!$AB$102&amp;" "&amp;IF(AND(Milestones!$AB$102="FT",Milestones!$AA$102=FT_Y5,EDATE($D41,Milestones!$AA$102)&lt;PolicyEff),1,Milestones!$AC$102)&amp;";  ","")&amp;IF(AND(EDATE($D41,Milestones!$AA$103)&lt;=AsOfDate,EDATE($D41,Milestones!$AA$103)&gt;=SchemeStart,IF($X41=0,$AD41,IF(AND($Z41&lt;&gt;"",EDATE($D41,Milestones!$AA$103)&gt;=$Z41),$AC41,IF(AND($Y41&lt;&gt;"",EDATE($D41,Milestones!$AA$103)&gt;=$Y41),$AB41,$AA41)))=Milestones!$AB$103),UPPER(TEXT(EDATE($D41,Milestones!$AA$103),"dd mmm yy"))&amp;" "&amp;Milestones!$AB$103&amp;" "&amp;IF(AND(Milestones!$AB$103="FT",Milestones!$AA$103=FT_Y5,EDATE($D41,Milestones!$AA$103)&lt;PolicyEff),1,Milestones!$AC$103)&amp;";  ",""))</f>
        <v/>
      </c>
      <c r="P41" s="0" t="str">
        <f aca="false">IF(OR($A41="",$D41=""),"",IF(AND(EDATE($D41,Milestones!$AA$104)&lt;=AsOfDate,EDATE($D41,Milestones!$AA$104)&gt;=SchemeStart,IF($X41=0,$AD41,IF(AND($Z41&lt;&gt;"",EDATE($D41,Milestones!$AA$104)&gt;=$Z41),$AC41,IF(AND($Y41&lt;&gt;"",EDATE($D41,Milestones!$AA$104)&gt;=$Y41),$AB41,$AA41)))=Milestones!$AB$104),UPPER(TEXT(EDATE($D41,Milestones!$AA$104),"dd mmm yy"))&amp;" "&amp;Milestones!$AB$104&amp;" "&amp;IF(AND(Milestones!$AB$104="FT",Milestones!$AA$104=FT_Y5,EDATE($D41,Milestones!$AA$104)&lt;PolicyEff),1,Milestones!$AC$104)&amp;";  ","")&amp;IF(AND(EDATE($D41,Milestones!$AA$105)&lt;=AsOfDate,EDATE($D41,Milestones!$AA$105)&gt;=SchemeStart,IF($X41=0,$AD41,IF(AND($Z41&lt;&gt;"",EDATE($D41,Milestones!$AA$105)&gt;=$Z41),$AC41,IF(AND($Y41&lt;&gt;"",EDATE($D41,Milestones!$AA$105)&gt;=$Y41),$AB41,$AA41)))=Milestones!$AB$105),UPPER(TEXT(EDATE($D41,Milestones!$AA$105),"dd mmm yy"))&amp;" "&amp;Milestones!$AB$105&amp;" "&amp;IF(AND(Milestones!$AB$105="FT",Milestones!$AA$105=FT_Y5,EDATE($D41,Milestones!$AA$105)&lt;PolicyEff),1,Milestones!$AC$105)&amp;";  ","")&amp;IF(AND(EDATE($D41,Milestones!$AA$106)&lt;=AsOfDate,EDATE($D41,Milestones!$AA$106)&gt;=SchemeStart,IF($X41=0,$AD41,IF(AND($Z41&lt;&gt;"",EDATE($D41,Milestones!$AA$106)&gt;=$Z41),$AC41,IF(AND($Y41&lt;&gt;"",EDATE($D41,Milestones!$AA$106)&gt;=$Y41),$AB41,$AA41)))=Milestones!$AB$106),UPPER(TEXT(EDATE($D41,Milestones!$AA$106),"dd mmm yy"))&amp;" "&amp;Milestones!$AB$106&amp;" "&amp;IF(AND(Milestones!$AB$106="FT",Milestones!$AA$106=FT_Y5,EDATE($D41,Milestones!$AA$106)&lt;PolicyEff),1,Milestones!$AC$106)&amp;";  ","")&amp;IF(AND(EDATE($D41,Milestones!$AA$107)&lt;=AsOfDate,EDATE($D41,Milestones!$AA$107)&gt;=SchemeStart,IF($X41=0,$AD41,IF(AND($Z41&lt;&gt;"",EDATE($D41,Milestones!$AA$107)&gt;=$Z41),$AC41,IF(AND($Y41&lt;&gt;"",EDATE($D41,Milestones!$AA$107)&gt;=$Y41),$AB41,$AA41)))=Milestones!$AB$107),UPPER(TEXT(EDATE($D41,Milestones!$AA$107),"dd mmm yy"))&amp;" "&amp;Milestones!$AB$107&amp;" "&amp;IF(AND(Milestones!$AB$107="FT",Milestones!$AA$107=FT_Y5,EDATE($D41,Milestones!$AA$107)&lt;PolicyEff),1,Milestones!$AC$107)&amp;";  ","")&amp;IF(AND(EDATE($D41,Milestones!$AA$108)&lt;=AsOfDate,EDATE($D41,Milestones!$AA$108)&gt;=SchemeStart,IF($X41=0,$AD41,IF(AND($Z41&lt;&gt;"",EDATE($D41,Milestones!$AA$108)&gt;=$Z41),$AC41,IF(AND($Y41&lt;&gt;"",EDATE($D41,Milestones!$AA$108)&gt;=$Y41),$AB41,$AA41)))=Milestones!$AB$108),UPPER(TEXT(EDATE($D41,Milestones!$AA$108),"dd mmm yy"))&amp;" "&amp;Milestones!$AB$108&amp;" "&amp;IF(AND(Milestones!$AB$108="FT",Milestones!$AA$108=FT_Y5,EDATE($D41,Milestones!$AA$108)&lt;PolicyEff),1,Milestones!$AC$108)&amp;";  ","")&amp;IF(AND(EDATE($D41,Milestones!$AA$109)&lt;=AsOfDate,EDATE($D41,Milestones!$AA$109)&gt;=SchemeStart,IF($X41=0,$AD41,IF(AND($Z41&lt;&gt;"",EDATE($D41,Milestones!$AA$109)&gt;=$Z41),$AC41,IF(AND($Y41&lt;&gt;"",EDATE($D41,Milestones!$AA$109)&gt;=$Y41),$AB41,$AA41)))=Milestones!$AB$109),UPPER(TEXT(EDATE($D41,Milestones!$AA$109),"dd mmm yy"))&amp;" "&amp;Milestones!$AB$109&amp;" "&amp;IF(AND(Milestones!$AB$109="FT",Milestones!$AA$109=FT_Y5,EDATE($D41,Milestones!$AA$109)&lt;PolicyEff),1,Milestones!$AC$109)&amp;";  ","")&amp;IF(AND(EDATE($D41,Milestones!$AA$110)&lt;=AsOfDate,EDATE($D41,Milestones!$AA$110)&gt;=SchemeStart,IF($X41=0,$AD41,IF(AND($Z41&lt;&gt;"",EDATE($D41,Milestones!$AA$110)&gt;=$Z41),$AC41,IF(AND($Y41&lt;&gt;"",EDATE($D41,Milestones!$AA$110)&gt;=$Y41),$AB41,$AA41)))=Milestones!$AB$110),UPPER(TEXT(EDATE($D41,Milestones!$AA$110),"dd mmm yy"))&amp;" "&amp;Milestones!$AB$110&amp;" "&amp;IF(AND(Milestones!$AB$110="FT",Milestones!$AA$110=FT_Y5,EDATE($D41,Milestones!$AA$110)&lt;PolicyEff),1,Milestones!$AC$110)&amp;";  ","")&amp;IF(AND(EDATE($D41,Milestones!$AA$111)&lt;=AsOfDate,EDATE($D41,Milestones!$AA$111)&gt;=SchemeStart,IF($X41=0,$AD41,IF(AND($Z41&lt;&gt;"",EDATE($D41,Milestones!$AA$111)&gt;=$Z41),$AC41,IF(AND($Y41&lt;&gt;"",EDATE($D41,Milestones!$AA$111)&gt;=$Y41),$AB41,$AA41)))=Milestones!$AB$111),UPPER(TEXT(EDATE($D41,Milestones!$AA$111),"dd mmm yy"))&amp;" "&amp;Milestones!$AB$111&amp;" "&amp;IF(AND(Milestones!$AB$111="FT",Milestones!$AA$111=FT_Y5,EDATE($D41,Milestones!$AA$111)&lt;PolicyEff),1,Milestones!$AC$111)&amp;";  ","")&amp;IF(AND(EDATE($D41,Milestones!$AA$112)&lt;=AsOfDate,EDATE($D41,Milestones!$AA$112)&gt;=SchemeStart,IF($X41=0,$AD41,IF(AND($Z41&lt;&gt;"",EDATE($D41,Milestones!$AA$112)&gt;=$Z41),$AC41,IF(AND($Y41&lt;&gt;"",EDATE($D41,Milestones!$AA$112)&gt;=$Y41),$AB41,$AA41)))=Milestones!$AB$112),UPPER(TEXT(EDATE($D41,Milestones!$AA$112),"dd mmm yy"))&amp;" "&amp;Milestones!$AB$112&amp;" "&amp;IF(AND(Milestones!$AB$112="FT",Milestones!$AA$112=FT_Y5,EDATE($D41,Milestones!$AA$112)&lt;PolicyEff),1,Milestones!$AC$112)&amp;";  ","")&amp;IF(AND(EDATE($D41,Milestones!$AA$113)&lt;=AsOfDate,EDATE($D41,Milestones!$AA$113)&gt;=SchemeStart,IF($X41=0,$AD41,IF(AND($Z41&lt;&gt;"",EDATE($D41,Milestones!$AA$113)&gt;=$Z41),$AC41,IF(AND($Y41&lt;&gt;"",EDATE($D41,Milestones!$AA$113)&gt;=$Y41),$AB41,$AA41)))=Milestones!$AB$113),UPPER(TEXT(EDATE($D41,Milestones!$AA$113),"dd mmm yy"))&amp;" "&amp;Milestones!$AB$113&amp;" "&amp;IF(AND(Milestones!$AB$113="FT",Milestones!$AA$113=FT_Y5,EDATE($D41,Milestones!$AA$113)&lt;PolicyEff),1,Milestones!$AC$113)&amp;";  ","")&amp;IF(AND(EDATE($D41,Milestones!$AA$114)&lt;=AsOfDate,EDATE($D41,Milestones!$AA$114)&gt;=SchemeStart,IF($X41=0,$AD41,IF(AND($Z41&lt;&gt;"",EDATE($D41,Milestones!$AA$114)&gt;=$Z41),$AC41,IF(AND($Y41&lt;&gt;"",EDATE($D41,Milestones!$AA$114)&gt;=$Y41),$AB41,$AA41)))=Milestones!$AB$114),UPPER(TEXT(EDATE($D41,Milestones!$AA$114),"dd mmm yy"))&amp;" "&amp;Milestones!$AB$114&amp;" "&amp;IF(AND(Milestones!$AB$114="FT",Milestones!$AA$114=FT_Y5,EDATE($D41,Milestones!$AA$114)&lt;PolicyEff),1,Milestones!$AC$114)&amp;";  ","")&amp;IF(AND(EDATE($D41,Milestones!$AA$115)&lt;=AsOfDate,EDATE($D41,Milestones!$AA$115)&gt;=SchemeStart,IF($X41=0,$AD41,IF(AND($Z41&lt;&gt;"",EDATE($D41,Milestones!$AA$115)&gt;=$Z41),$AC41,IF(AND($Y41&lt;&gt;"",EDATE($D41,Milestones!$AA$115)&gt;=$Y41),$AB41,$AA41)))=Milestones!$AB$115),UPPER(TEXT(EDATE($D41,Milestones!$AA$115),"dd mmm yy"))&amp;" "&amp;Milestones!$AB$115&amp;" "&amp;IF(AND(Milestones!$AB$115="FT",Milestones!$AA$115=FT_Y5,EDATE($D41,Milestones!$AA$115)&lt;PolicyEff),1,Milestones!$AC$115)&amp;";  ",""))</f>
        <v/>
      </c>
      <c r="Q41" s="0" t="str">
        <f aca="false">IF(OR($A41="",$D41=""),"",IF(AND(EDATE($D41,Milestones!$AA$116)&lt;=AsOfDate,EDATE($D41,Milestones!$AA$116)&gt;=SchemeStart,IF($X41=0,$AD41,IF(AND($Z41&lt;&gt;"",EDATE($D41,Milestones!$AA$116)&gt;=$Z41),$AC41,IF(AND($Y41&lt;&gt;"",EDATE($D41,Milestones!$AA$116)&gt;=$Y41),$AB41,$AA41)))=Milestones!$AB$116),UPPER(TEXT(EDATE($D41,Milestones!$AA$116),"dd mmm yy"))&amp;" "&amp;Milestones!$AB$116&amp;" "&amp;IF(AND(Milestones!$AB$116="FT",Milestones!$AA$116=FT_Y5,EDATE($D41,Milestones!$AA$116)&lt;PolicyEff),1,Milestones!$AC$116)&amp;";  ","")&amp;IF(AND(EDATE($D41,Milestones!$AA$117)&lt;=AsOfDate,EDATE($D41,Milestones!$AA$117)&gt;=SchemeStart,IF($X41=0,$AD41,IF(AND($Z41&lt;&gt;"",EDATE($D41,Milestones!$AA$117)&gt;=$Z41),$AC41,IF(AND($Y41&lt;&gt;"",EDATE($D41,Milestones!$AA$117)&gt;=$Y41),$AB41,$AA41)))=Milestones!$AB$117),UPPER(TEXT(EDATE($D41,Milestones!$AA$117),"dd mmm yy"))&amp;" "&amp;Milestones!$AB$117&amp;" "&amp;IF(AND(Milestones!$AB$117="FT",Milestones!$AA$117=FT_Y5,EDATE($D41,Milestones!$AA$117)&lt;PolicyEff),1,Milestones!$AC$117)&amp;";  ","")&amp;IF(AND(EDATE($D41,Milestones!$AA$118)&lt;=AsOfDate,EDATE($D41,Milestones!$AA$118)&gt;=SchemeStart,IF($X41=0,$AD41,IF(AND($Z41&lt;&gt;"",EDATE($D41,Milestones!$AA$118)&gt;=$Z41),$AC41,IF(AND($Y41&lt;&gt;"",EDATE($D41,Milestones!$AA$118)&gt;=$Y41),$AB41,$AA41)))=Milestones!$AB$118),UPPER(TEXT(EDATE($D41,Milestones!$AA$118),"dd mmm yy"))&amp;" "&amp;Milestones!$AB$118&amp;" "&amp;IF(AND(Milestones!$AB$118="FT",Milestones!$AA$118=FT_Y5,EDATE($D41,Milestones!$AA$118)&lt;PolicyEff),1,Milestones!$AC$118)&amp;";  ","")&amp;IF(AND(EDATE($D41,Milestones!$AA$119)&lt;=AsOfDate,EDATE($D41,Milestones!$AA$119)&gt;=SchemeStart,IF($X41=0,$AD41,IF(AND($Z41&lt;&gt;"",EDATE($D41,Milestones!$AA$119)&gt;=$Z41),$AC41,IF(AND($Y41&lt;&gt;"",EDATE($D41,Milestones!$AA$119)&gt;=$Y41),$AB41,$AA41)))=Milestones!$AB$119),UPPER(TEXT(EDATE($D41,Milestones!$AA$119),"dd mmm yy"))&amp;" "&amp;Milestones!$AB$119&amp;" "&amp;IF(AND(Milestones!$AB$119="FT",Milestones!$AA$119=FT_Y5,EDATE($D41,Milestones!$AA$119)&lt;PolicyEff),1,Milestones!$AC$119)&amp;";  ","")&amp;IF(AND(EDATE($D41,Milestones!$AA$120)&lt;=AsOfDate,EDATE($D41,Milestones!$AA$120)&gt;=SchemeStart,IF($X41=0,$AD41,IF(AND($Z41&lt;&gt;"",EDATE($D41,Milestones!$AA$120)&gt;=$Z41),$AC41,IF(AND($Y41&lt;&gt;"",EDATE($D41,Milestones!$AA$120)&gt;=$Y41),$AB41,$AA41)))=Milestones!$AB$120),UPPER(TEXT(EDATE($D41,Milestones!$AA$120),"dd mmm yy"))&amp;" "&amp;Milestones!$AB$120&amp;" "&amp;IF(AND(Milestones!$AB$120="FT",Milestones!$AA$120=FT_Y5,EDATE($D41,Milestones!$AA$120)&lt;PolicyEff),1,Milestones!$AC$120)&amp;";  ","")&amp;IF(AND(EDATE($D41,Milestones!$AA$121)&lt;=AsOfDate,EDATE($D41,Milestones!$AA$121)&gt;=SchemeStart,IF($X41=0,$AD41,IF(AND($Z41&lt;&gt;"",EDATE($D41,Milestones!$AA$121)&gt;=$Z41),$AC41,IF(AND($Y41&lt;&gt;"",EDATE($D41,Milestones!$AA$121)&gt;=$Y41),$AB41,$AA41)))=Milestones!$AB$121),UPPER(TEXT(EDATE($D41,Milestones!$AA$121),"dd mmm yy"))&amp;" "&amp;Milestones!$AB$121&amp;" "&amp;IF(AND(Milestones!$AB$121="FT",Milestones!$AA$121=FT_Y5,EDATE($D41,Milestones!$AA$121)&lt;PolicyEff),1,Milestones!$AC$121)&amp;";  ","")&amp;IF(AND(EDATE($D41,Milestones!$AA$122)&lt;=AsOfDate,EDATE($D41,Milestones!$AA$122)&gt;=SchemeStart,IF($X41=0,$AD41,IF(AND($Z41&lt;&gt;"",EDATE($D41,Milestones!$AA$122)&gt;=$Z41),$AC41,IF(AND($Y41&lt;&gt;"",EDATE($D41,Milestones!$AA$122)&gt;=$Y41),$AB41,$AA41)))=Milestones!$AB$122),UPPER(TEXT(EDATE($D41,Milestones!$AA$122),"dd mmm yy"))&amp;" "&amp;Milestones!$AB$122&amp;" "&amp;IF(AND(Milestones!$AB$122="FT",Milestones!$AA$122=FT_Y5,EDATE($D41,Milestones!$AA$122)&lt;PolicyEff),1,Milestones!$AC$122)&amp;";  ","")&amp;IF(AND(EDATE($D41,Milestones!$AA$123)&lt;=AsOfDate,EDATE($D41,Milestones!$AA$123)&gt;=SchemeStart,IF($X41=0,$AD41,IF(AND($Z41&lt;&gt;"",EDATE($D41,Milestones!$AA$123)&gt;=$Z41),$AC41,IF(AND($Y41&lt;&gt;"",EDATE($D41,Milestones!$AA$123)&gt;=$Y41),$AB41,$AA41)))=Milestones!$AB$123),UPPER(TEXT(EDATE($D41,Milestones!$AA$123),"dd mmm yy"))&amp;" "&amp;Milestones!$AB$123&amp;" "&amp;IF(AND(Milestones!$AB$123="FT",Milestones!$AA$123=FT_Y5,EDATE($D41,Milestones!$AA$123)&lt;PolicyEff),1,Milestones!$AC$123)&amp;";  ","")&amp;IF(AND(EDATE($D41,Milestones!$AA$124)&lt;=AsOfDate,EDATE($D41,Milestones!$AA$124)&gt;=SchemeStart,IF($X41=0,$AD41,IF(AND($Z41&lt;&gt;"",EDATE($D41,Milestones!$AA$124)&gt;=$Z41),$AC41,IF(AND($Y41&lt;&gt;"",EDATE($D41,Milestones!$AA$124)&gt;=$Y41),$AB41,$AA41)))=Milestones!$AB$124),UPPER(TEXT(EDATE($D41,Milestones!$AA$124),"dd mmm yy"))&amp;" "&amp;Milestones!$AB$124&amp;" "&amp;IF(AND(Milestones!$AB$124="FT",Milestones!$AA$124=FT_Y5,EDATE($D41,Milestones!$AA$124)&lt;PolicyEff),1,Milestones!$AC$124)&amp;";  ","")&amp;IF(AND(EDATE($D41,Milestones!$AA$125)&lt;=AsOfDate,EDATE($D41,Milestones!$AA$125)&gt;=SchemeStart,IF($X41=0,$AD41,IF(AND($Z41&lt;&gt;"",EDATE($D41,Milestones!$AA$125)&gt;=$Z41),$AC41,IF(AND($Y41&lt;&gt;"",EDATE($D41,Milestones!$AA$125)&gt;=$Y41),$AB41,$AA41)))=Milestones!$AB$125),UPPER(TEXT(EDATE($D41,Milestones!$AA$125),"dd mmm yy"))&amp;" "&amp;Milestones!$AB$125&amp;" "&amp;IF(AND(Milestones!$AB$125="FT",Milestones!$AA$125=FT_Y5,EDATE($D41,Milestones!$AA$125)&lt;PolicyEff),1,Milestones!$AC$125)&amp;";  ","")&amp;IF(AND(EDATE($D41,Milestones!$AA$126)&lt;=AsOfDate,EDATE($D41,Milestones!$AA$126)&gt;=SchemeStart,IF($X41=0,$AD41,IF(AND($Z41&lt;&gt;"",EDATE($D41,Milestones!$AA$126)&gt;=$Z41),$AC41,IF(AND($Y41&lt;&gt;"",EDATE($D41,Milestones!$AA$126)&gt;=$Y41),$AB41,$AA41)))=Milestones!$AB$126),UPPER(TEXT(EDATE($D41,Milestones!$AA$126),"dd mmm yy"))&amp;" "&amp;Milestones!$AB$126&amp;" "&amp;IF(AND(Milestones!$AB$126="FT",Milestones!$AA$126=FT_Y5,EDATE($D41,Milestones!$AA$126)&lt;PolicyEff),1,Milestones!$AC$126)&amp;";  ","")&amp;IF(AND(EDATE($D41,Milestones!$AA$127)&lt;=AsOfDate,EDATE($D41,Milestones!$AA$127)&gt;=SchemeStart,IF($X41=0,$AD41,IF(AND($Z41&lt;&gt;"",EDATE($D41,Milestones!$AA$127)&gt;=$Z41),$AC41,IF(AND($Y41&lt;&gt;"",EDATE($D41,Milestones!$AA$127)&gt;=$Y41),$AB41,$AA41)))=Milestones!$AB$127),UPPER(TEXT(EDATE($D41,Milestones!$AA$127),"dd mmm yy"))&amp;" "&amp;Milestones!$AB$127&amp;" "&amp;IF(AND(Milestones!$AB$127="FT",Milestones!$AA$127=FT_Y5,EDATE($D41,Milestones!$AA$127)&lt;PolicyEff),1,Milestones!$AC$127)&amp;";  ",""))</f>
        <v/>
      </c>
      <c r="R41" s="0" t="str">
        <f aca="false">IF(OR($A41="",$D41=""),"",IF(AND(EDATE($D41,Milestones!$AA$128)&lt;=AsOfDate,EDATE($D41,Milestones!$AA$128)&gt;=SchemeStart,IF($X41=0,$AD41,IF(AND($Z41&lt;&gt;"",EDATE($D41,Milestones!$AA$128)&gt;=$Z41),$AC41,IF(AND($Y41&lt;&gt;"",EDATE($D41,Milestones!$AA$128)&gt;=$Y41),$AB41,$AA41)))=Milestones!$AB$128),UPPER(TEXT(EDATE($D41,Milestones!$AA$128),"dd mmm yy"))&amp;" "&amp;Milestones!$AB$128&amp;" "&amp;IF(AND(Milestones!$AB$128="FT",Milestones!$AA$128=FT_Y5,EDATE($D41,Milestones!$AA$128)&lt;PolicyEff),1,Milestones!$AC$128)&amp;";  ","")&amp;IF(AND(EDATE($D41,Milestones!$AA$129)&lt;=AsOfDate,EDATE($D41,Milestones!$AA$129)&gt;=SchemeStart,IF($X41=0,$AD41,IF(AND($Z41&lt;&gt;"",EDATE($D41,Milestones!$AA$129)&gt;=$Z41),$AC41,IF(AND($Y41&lt;&gt;"",EDATE($D41,Milestones!$AA$129)&gt;=$Y41),$AB41,$AA41)))=Milestones!$AB$129),UPPER(TEXT(EDATE($D41,Milestones!$AA$129),"dd mmm yy"))&amp;" "&amp;Milestones!$AB$129&amp;" "&amp;IF(AND(Milestones!$AB$129="FT",Milestones!$AA$129=FT_Y5,EDATE($D41,Milestones!$AA$129)&lt;PolicyEff),1,Milestones!$AC$129)&amp;";  ","")&amp;IF(AND(EDATE($D41,Milestones!$AA$130)&lt;=AsOfDate,EDATE($D41,Milestones!$AA$130)&gt;=SchemeStart,IF($X41=0,$AD41,IF(AND($Z41&lt;&gt;"",EDATE($D41,Milestones!$AA$130)&gt;=$Z41),$AC41,IF(AND($Y41&lt;&gt;"",EDATE($D41,Milestones!$AA$130)&gt;=$Y41),$AB41,$AA41)))=Milestones!$AB$130),UPPER(TEXT(EDATE($D41,Milestones!$AA$130),"dd mmm yy"))&amp;" "&amp;Milestones!$AB$130&amp;" "&amp;IF(AND(Milestones!$AB$130="FT",Milestones!$AA$130=FT_Y5,EDATE($D41,Milestones!$AA$130)&lt;PolicyEff),1,Milestones!$AC$130)&amp;";  ","")&amp;IF(AND(EDATE($D41,Milestones!$AA$131)&lt;=AsOfDate,EDATE($D41,Milestones!$AA$131)&gt;=SchemeStart,IF($X41=0,$AD41,IF(AND($Z41&lt;&gt;"",EDATE($D41,Milestones!$AA$131)&gt;=$Z41),$AC41,IF(AND($Y41&lt;&gt;"",EDATE($D41,Milestones!$AA$131)&gt;=$Y41),$AB41,$AA41)))=Milestones!$AB$131),UPPER(TEXT(EDATE($D41,Milestones!$AA$131),"dd mmm yy"))&amp;" "&amp;Milestones!$AB$131&amp;" "&amp;IF(AND(Milestones!$AB$131="FT",Milestones!$AA$131=FT_Y5,EDATE($D41,Milestones!$AA$131)&lt;PolicyEff),1,Milestones!$AC$131)&amp;";  ","")&amp;IF(AND(EDATE($D41,Milestones!$AA$132)&lt;=AsOfDate,EDATE($D41,Milestones!$AA$132)&gt;=SchemeStart,IF($X41=0,$AD41,IF(AND($Z41&lt;&gt;"",EDATE($D41,Milestones!$AA$132)&gt;=$Z41),$AC41,IF(AND($Y41&lt;&gt;"",EDATE($D41,Milestones!$AA$132)&gt;=$Y41),$AB41,$AA41)))=Milestones!$AB$132),UPPER(TEXT(EDATE($D41,Milestones!$AA$132),"dd mmm yy"))&amp;" "&amp;Milestones!$AB$132&amp;" "&amp;IF(AND(Milestones!$AB$132="FT",Milestones!$AA$132=FT_Y5,EDATE($D41,Milestones!$AA$132)&lt;PolicyEff),1,Milestones!$AC$132)&amp;";  ","")&amp;IF(AND(EDATE($D41,Milestones!$AA$133)&lt;=AsOfDate,EDATE($D41,Milestones!$AA$133)&gt;=SchemeStart,IF($X41=0,$AD41,IF(AND($Z41&lt;&gt;"",EDATE($D41,Milestones!$AA$133)&gt;=$Z41),$AC41,IF(AND($Y41&lt;&gt;"",EDATE($D41,Milestones!$AA$133)&gt;=$Y41),$AB41,$AA41)))=Milestones!$AB$133),UPPER(TEXT(EDATE($D41,Milestones!$AA$133),"dd mmm yy"))&amp;" "&amp;Milestones!$AB$133&amp;" "&amp;IF(AND(Milestones!$AB$133="FT",Milestones!$AA$133=FT_Y5,EDATE($D41,Milestones!$AA$133)&lt;PolicyEff),1,Milestones!$AC$133)&amp;";  ","")&amp;IF(AND(EDATE($D41,Milestones!$AA$134)&lt;=AsOfDate,EDATE($D41,Milestones!$AA$134)&gt;=SchemeStart,IF($X41=0,$AD41,IF(AND($Z41&lt;&gt;"",EDATE($D41,Milestones!$AA$134)&gt;=$Z41),$AC41,IF(AND($Y41&lt;&gt;"",EDATE($D41,Milestones!$AA$134)&gt;=$Y41),$AB41,$AA41)))=Milestones!$AB$134),UPPER(TEXT(EDATE($D41,Milestones!$AA$134),"dd mmm yy"))&amp;" "&amp;Milestones!$AB$134&amp;" "&amp;IF(AND(Milestones!$AB$134="FT",Milestones!$AA$134=FT_Y5,EDATE($D41,Milestones!$AA$134)&lt;PolicyEff),1,Milestones!$AC$134)&amp;";  ","")&amp;IF(AND(EDATE($D41,Milestones!$AA$135)&lt;=AsOfDate,EDATE($D41,Milestones!$AA$135)&gt;=SchemeStart,IF($X41=0,$AD41,IF(AND($Z41&lt;&gt;"",EDATE($D41,Milestones!$AA$135)&gt;=$Z41),$AC41,IF(AND($Y41&lt;&gt;"",EDATE($D41,Milestones!$AA$135)&gt;=$Y41),$AB41,$AA41)))=Milestones!$AB$135),UPPER(TEXT(EDATE($D41,Milestones!$AA$135),"dd mmm yy"))&amp;" "&amp;Milestones!$AB$135&amp;" "&amp;IF(AND(Milestones!$AB$135="FT",Milestones!$AA$135=FT_Y5,EDATE($D41,Milestones!$AA$135)&lt;PolicyEff),1,Milestones!$AC$135)&amp;";  ","")&amp;IF(AND(EDATE($D41,Milestones!$AA$136)&lt;=AsOfDate,EDATE($D41,Milestones!$AA$136)&gt;=SchemeStart,IF($X41=0,$AD41,IF(AND($Z41&lt;&gt;"",EDATE($D41,Milestones!$AA$136)&gt;=$Z41),$AC41,IF(AND($Y41&lt;&gt;"",EDATE($D41,Milestones!$AA$136)&gt;=$Y41),$AB41,$AA41)))=Milestones!$AB$136),UPPER(TEXT(EDATE($D41,Milestones!$AA$136),"dd mmm yy"))&amp;" "&amp;Milestones!$AB$136&amp;" "&amp;IF(AND(Milestones!$AB$136="FT",Milestones!$AA$136=FT_Y5,EDATE($D41,Milestones!$AA$136)&lt;PolicyEff),1,Milestones!$AC$136)&amp;";  ","")&amp;IF(AND(EDATE($D41,Milestones!$AA$137)&lt;=AsOfDate,EDATE($D41,Milestones!$AA$137)&gt;=SchemeStart,IF($X41=0,$AD41,IF(AND($Z41&lt;&gt;"",EDATE($D41,Milestones!$AA$137)&gt;=$Z41),$AC41,IF(AND($Y41&lt;&gt;"",EDATE($D41,Milestones!$AA$137)&gt;=$Y41),$AB41,$AA41)))=Milestones!$AB$137),UPPER(TEXT(EDATE($D41,Milestones!$AA$137),"dd mmm yy"))&amp;" "&amp;Milestones!$AB$137&amp;" "&amp;IF(AND(Milestones!$AB$137="FT",Milestones!$AA$137=FT_Y5,EDATE($D41,Milestones!$AA$137)&lt;PolicyEff),1,Milestones!$AC$137)&amp;";  ","")&amp;IF(AND(EDATE($D41,Milestones!$AA$138)&lt;=AsOfDate,EDATE($D41,Milestones!$AA$138)&gt;=SchemeStart,IF($X41=0,$AD41,IF(AND($Z41&lt;&gt;"",EDATE($D41,Milestones!$AA$138)&gt;=$Z41),$AC41,IF(AND($Y41&lt;&gt;"",EDATE($D41,Milestones!$AA$138)&gt;=$Y41),$AB41,$AA41)))=Milestones!$AB$138),UPPER(TEXT(EDATE($D41,Milestones!$AA$138),"dd mmm yy"))&amp;" "&amp;Milestones!$AB$138&amp;" "&amp;IF(AND(Milestones!$AB$138="FT",Milestones!$AA$138=FT_Y5,EDATE($D41,Milestones!$AA$138)&lt;PolicyEff),1,Milestones!$AC$138)&amp;";  ","")&amp;IF(AND(EDATE($D41,Milestones!$AA$139)&lt;=AsOfDate,EDATE($D41,Milestones!$AA$139)&gt;=SchemeStart,IF($X41=0,$AD41,IF(AND($Z41&lt;&gt;"",EDATE($D41,Milestones!$AA$139)&gt;=$Z41),$AC41,IF(AND($Y41&lt;&gt;"",EDATE($D41,Milestones!$AA$139)&gt;=$Y41),$AB41,$AA41)))=Milestones!$AB$139),UPPER(TEXT(EDATE($D41,Milestones!$AA$139),"dd mmm yy"))&amp;" "&amp;Milestones!$AB$139&amp;" "&amp;IF(AND(Milestones!$AB$139="FT",Milestones!$AA$139=FT_Y5,EDATE($D41,Milestones!$AA$139)&lt;PolicyEff),1,Milestones!$AC$139)&amp;";  ",""))</f>
        <v/>
      </c>
      <c r="S41" s="0" t="str">
        <f aca="false">IF(OR($A41="",$D41=""),"",IF(AND(EDATE($D41,Milestones!$AA$140)&lt;=AsOfDate,EDATE($D41,Milestones!$AA$140)&gt;=SchemeStart,IF($X41=0,$AD41,IF(AND($Z41&lt;&gt;"",EDATE($D41,Milestones!$AA$140)&gt;=$Z41),$AC41,IF(AND($Y41&lt;&gt;"",EDATE($D41,Milestones!$AA$140)&gt;=$Y41),$AB41,$AA41)))=Milestones!$AB$140),UPPER(TEXT(EDATE($D41,Milestones!$AA$140),"dd mmm yy"))&amp;" "&amp;Milestones!$AB$140&amp;" "&amp;IF(AND(Milestones!$AB$140="FT",Milestones!$AA$140=FT_Y5,EDATE($D41,Milestones!$AA$140)&lt;PolicyEff),1,Milestones!$AC$140)&amp;";  ","")&amp;IF(AND(EDATE($D41,Milestones!$AA$141)&lt;=AsOfDate,EDATE($D41,Milestones!$AA$141)&gt;=SchemeStart,IF($X41=0,$AD41,IF(AND($Z41&lt;&gt;"",EDATE($D41,Milestones!$AA$141)&gt;=$Z41),$AC41,IF(AND($Y41&lt;&gt;"",EDATE($D41,Milestones!$AA$141)&gt;=$Y41),$AB41,$AA41)))=Milestones!$AB$141),UPPER(TEXT(EDATE($D41,Milestones!$AA$141),"dd mmm yy"))&amp;" "&amp;Milestones!$AB$141&amp;" "&amp;IF(AND(Milestones!$AB$141="FT",Milestones!$AA$141=FT_Y5,EDATE($D41,Milestones!$AA$141)&lt;PolicyEff),1,Milestones!$AC$141)&amp;";  ","")&amp;IF(AND(EDATE($D41,Milestones!$AA$142)&lt;=AsOfDate,EDATE($D41,Milestones!$AA$142)&gt;=SchemeStart,IF($X41=0,$AD41,IF(AND($Z41&lt;&gt;"",EDATE($D41,Milestones!$AA$142)&gt;=$Z41),$AC41,IF(AND($Y41&lt;&gt;"",EDATE($D41,Milestones!$AA$142)&gt;=$Y41),$AB41,$AA41)))=Milestones!$AB$142),UPPER(TEXT(EDATE($D41,Milestones!$AA$142),"dd mmm yy"))&amp;" "&amp;Milestones!$AB$142&amp;" "&amp;IF(AND(Milestones!$AB$142="FT",Milestones!$AA$142=FT_Y5,EDATE($D41,Milestones!$AA$142)&lt;PolicyEff),1,Milestones!$AC$142)&amp;";  ","")&amp;IF(AND(EDATE($D41,Milestones!$AA$143)&lt;=AsOfDate,EDATE($D41,Milestones!$AA$143)&gt;=SchemeStart,IF($X41=0,$AD41,IF(AND($Z41&lt;&gt;"",EDATE($D41,Milestones!$AA$143)&gt;=$Z41),$AC41,IF(AND($Y41&lt;&gt;"",EDATE($D41,Milestones!$AA$143)&gt;=$Y41),$AB41,$AA41)))=Milestones!$AB$143),UPPER(TEXT(EDATE($D41,Milestones!$AA$143),"dd mmm yy"))&amp;" "&amp;Milestones!$AB$143&amp;" "&amp;IF(AND(Milestones!$AB$143="FT",Milestones!$AA$143=FT_Y5,EDATE($D41,Milestones!$AA$143)&lt;PolicyEff),1,Milestones!$AC$143)&amp;";  ","")&amp;IF(AND(EDATE($D41,Milestones!$AA$144)&lt;=AsOfDate,EDATE($D41,Milestones!$AA$144)&gt;=SchemeStart,IF($X41=0,$AD41,IF(AND($Z41&lt;&gt;"",EDATE($D41,Milestones!$AA$144)&gt;=$Z41),$AC41,IF(AND($Y41&lt;&gt;"",EDATE($D41,Milestones!$AA$144)&gt;=$Y41),$AB41,$AA41)))=Milestones!$AB$144),UPPER(TEXT(EDATE($D41,Milestones!$AA$144),"dd mmm yy"))&amp;" "&amp;Milestones!$AB$144&amp;" "&amp;IF(AND(Milestones!$AB$144="FT",Milestones!$AA$144=FT_Y5,EDATE($D41,Milestones!$AA$144)&lt;PolicyEff),1,Milestones!$AC$144)&amp;";  ","")&amp;IF(AND(EDATE($D41,Milestones!$AA$145)&lt;=AsOfDate,EDATE($D41,Milestones!$AA$145)&gt;=SchemeStart,IF($X41=0,$AD41,IF(AND($Z41&lt;&gt;"",EDATE($D41,Milestones!$AA$145)&gt;=$Z41),$AC41,IF(AND($Y41&lt;&gt;"",EDATE($D41,Milestones!$AA$145)&gt;=$Y41),$AB41,$AA41)))=Milestones!$AB$145),UPPER(TEXT(EDATE($D41,Milestones!$AA$145),"dd mmm yy"))&amp;" "&amp;Milestones!$AB$145&amp;" "&amp;IF(AND(Milestones!$AB$145="FT",Milestones!$AA$145=FT_Y5,EDATE($D41,Milestones!$AA$145)&lt;PolicyEff),1,Milestones!$AC$145)&amp;";  ","")&amp;IF(AND(EDATE($D41,Milestones!$AA$146)&lt;=AsOfDate,EDATE($D41,Milestones!$AA$146)&gt;=SchemeStart,IF($X41=0,$AD41,IF(AND($Z41&lt;&gt;"",EDATE($D41,Milestones!$AA$146)&gt;=$Z41),$AC41,IF(AND($Y41&lt;&gt;"",EDATE($D41,Milestones!$AA$146)&gt;=$Y41),$AB41,$AA41)))=Milestones!$AB$146),UPPER(TEXT(EDATE($D41,Milestones!$AA$146),"dd mmm yy"))&amp;" "&amp;Milestones!$AB$146&amp;" "&amp;IF(AND(Milestones!$AB$146="FT",Milestones!$AA$146=FT_Y5,EDATE($D41,Milestones!$AA$146)&lt;PolicyEff),1,Milestones!$AC$146)&amp;";  ","")&amp;IF(AND(EDATE($D41,Milestones!$AA$147)&lt;=AsOfDate,EDATE($D41,Milestones!$AA$147)&gt;=SchemeStart,IF($X41=0,$AD41,IF(AND($Z41&lt;&gt;"",EDATE($D41,Milestones!$AA$147)&gt;=$Z41),$AC41,IF(AND($Y41&lt;&gt;"",EDATE($D41,Milestones!$AA$147)&gt;=$Y41),$AB41,$AA41)))=Milestones!$AB$147),UPPER(TEXT(EDATE($D41,Milestones!$AA$147),"dd mmm yy"))&amp;" "&amp;Milestones!$AB$147&amp;" "&amp;IF(AND(Milestones!$AB$147="FT",Milestones!$AA$147=FT_Y5,EDATE($D41,Milestones!$AA$147)&lt;PolicyEff),1,Milestones!$AC$147)&amp;";  ","")&amp;IF(AND(EDATE($D41,Milestones!$AA$148)&lt;=AsOfDate,EDATE($D41,Milestones!$AA$148)&gt;=SchemeStart,IF($X41=0,$AD41,IF(AND($Z41&lt;&gt;"",EDATE($D41,Milestones!$AA$148)&gt;=$Z41),$AC41,IF(AND($Y41&lt;&gt;"",EDATE($D41,Milestones!$AA$148)&gt;=$Y41),$AB41,$AA41)))=Milestones!$AB$148),UPPER(TEXT(EDATE($D41,Milestones!$AA$148),"dd mmm yy"))&amp;" "&amp;Milestones!$AB$148&amp;" "&amp;IF(AND(Milestones!$AB$148="FT",Milestones!$AA$148=FT_Y5,EDATE($D41,Milestones!$AA$148)&lt;PolicyEff),1,Milestones!$AC$148)&amp;";  ","")&amp;IF(AND(EDATE($D41,Milestones!$AA$149)&lt;=AsOfDate,EDATE($D41,Milestones!$AA$149)&gt;=SchemeStart,IF($X41=0,$AD41,IF(AND($Z41&lt;&gt;"",EDATE($D41,Milestones!$AA$149)&gt;=$Z41),$AC41,IF(AND($Y41&lt;&gt;"",EDATE($D41,Milestones!$AA$149)&gt;=$Y41),$AB41,$AA41)))=Milestones!$AB$149),UPPER(TEXT(EDATE($D41,Milestones!$AA$149),"dd mmm yy"))&amp;" "&amp;Milestones!$AB$149&amp;" "&amp;IF(AND(Milestones!$AB$149="FT",Milestones!$AA$149=FT_Y5,EDATE($D41,Milestones!$AA$149)&lt;PolicyEff),1,Milestones!$AC$149)&amp;";  ","")&amp;IF(AND(EDATE($D41,Milestones!$AA$150)&lt;=AsOfDate,EDATE($D41,Milestones!$AA$150)&gt;=SchemeStart,IF($X41=0,$AD41,IF(AND($Z41&lt;&gt;"",EDATE($D41,Milestones!$AA$150)&gt;=$Z41),$AC41,IF(AND($Y41&lt;&gt;"",EDATE($D41,Milestones!$AA$150)&gt;=$Y41),$AB41,$AA41)))=Milestones!$AB$150),UPPER(TEXT(EDATE($D41,Milestones!$AA$150),"dd mmm yy"))&amp;" "&amp;Milestones!$AB$150&amp;" "&amp;IF(AND(Milestones!$AB$150="FT",Milestones!$AA$150=FT_Y5,EDATE($D41,Milestones!$AA$150)&lt;PolicyEff),1,Milestones!$AC$150)&amp;";  ","")&amp;IF(AND(EDATE($D41,Milestones!$AA$151)&lt;=AsOfDate,EDATE($D41,Milestones!$AA$151)&gt;=SchemeStart,IF($X41=0,$AD41,IF(AND($Z41&lt;&gt;"",EDATE($D41,Milestones!$AA$151)&gt;=$Z41),$AC41,IF(AND($Y41&lt;&gt;"",EDATE($D41,Milestones!$AA$151)&gt;=$Y41),$AB41,$AA41)))=Milestones!$AB$151),UPPER(TEXT(EDATE($D41,Milestones!$AA$151),"dd mmm yy"))&amp;" "&amp;Milestones!$AB$151&amp;" "&amp;IF(AND(Milestones!$AB$151="FT",Milestones!$AA$151=FT_Y5,EDATE($D41,Milestones!$AA$151)&lt;PolicyEff),1,Milestones!$AC$151)&amp;";  ",""))</f>
        <v/>
      </c>
      <c r="T41" s="0" t="str">
        <f aca="false">IF(OR($A41="",$D41=""),"",IF(AND(EDATE($D41,Milestones!$AA$152)&lt;=AsOfDate,EDATE($D41,Milestones!$AA$152)&gt;=SchemeStart,IF($X41=0,$AD41,IF(AND($Z41&lt;&gt;"",EDATE($D41,Milestones!$AA$152)&gt;=$Z41),$AC41,IF(AND($Y41&lt;&gt;"",EDATE($D41,Milestones!$AA$152)&gt;=$Y41),$AB41,$AA41)))=Milestones!$AB$152),UPPER(TEXT(EDATE($D41,Milestones!$AA$152),"dd mmm yy"))&amp;" "&amp;Milestones!$AB$152&amp;" "&amp;IF(AND(Milestones!$AB$152="FT",Milestones!$AA$152=FT_Y5,EDATE($D41,Milestones!$AA$152)&lt;PolicyEff),1,Milestones!$AC$152)&amp;";  ","")&amp;IF(AND(EDATE($D41,Milestones!$AA$153)&lt;=AsOfDate,EDATE($D41,Milestones!$AA$153)&gt;=SchemeStart,IF($X41=0,$AD41,IF(AND($Z41&lt;&gt;"",EDATE($D41,Milestones!$AA$153)&gt;=$Z41),$AC41,IF(AND($Y41&lt;&gt;"",EDATE($D41,Milestones!$AA$153)&gt;=$Y41),$AB41,$AA41)))=Milestones!$AB$153),UPPER(TEXT(EDATE($D41,Milestones!$AA$153),"dd mmm yy"))&amp;" "&amp;Milestones!$AB$153&amp;" "&amp;IF(AND(Milestones!$AB$153="FT",Milestones!$AA$153=FT_Y5,EDATE($D41,Milestones!$AA$153)&lt;PolicyEff),1,Milestones!$AC$153)&amp;";  ","")&amp;IF(AND(EDATE($D41,Milestones!$AA$154)&lt;=AsOfDate,EDATE($D41,Milestones!$AA$154)&gt;=SchemeStart,IF($X41=0,$AD41,IF(AND($Z41&lt;&gt;"",EDATE($D41,Milestones!$AA$154)&gt;=$Z41),$AC41,IF(AND($Y41&lt;&gt;"",EDATE($D41,Milestones!$AA$154)&gt;=$Y41),$AB41,$AA41)))=Milestones!$AB$154),UPPER(TEXT(EDATE($D41,Milestones!$AA$154),"dd mmm yy"))&amp;" "&amp;Milestones!$AB$154&amp;" "&amp;IF(AND(Milestones!$AB$154="FT",Milestones!$AA$154=FT_Y5,EDATE($D41,Milestones!$AA$154)&lt;PolicyEff),1,Milestones!$AC$154)&amp;";  ","")&amp;IF(AND(EDATE($D41,Milestones!$AA$155)&lt;=AsOfDate,EDATE($D41,Milestones!$AA$155)&gt;=SchemeStart,IF($X41=0,$AD41,IF(AND($Z41&lt;&gt;"",EDATE($D41,Milestones!$AA$155)&gt;=$Z41),$AC41,IF(AND($Y41&lt;&gt;"",EDATE($D41,Milestones!$AA$155)&gt;=$Y41),$AB41,$AA41)))=Milestones!$AB$155),UPPER(TEXT(EDATE($D41,Milestones!$AA$155),"dd mmm yy"))&amp;" "&amp;Milestones!$AB$155&amp;" "&amp;IF(AND(Milestones!$AB$155="FT",Milestones!$AA$155=FT_Y5,EDATE($D41,Milestones!$AA$155)&lt;PolicyEff),1,Milestones!$AC$155)&amp;";  ","")&amp;IF(AND(EDATE($D41,Milestones!$AA$156)&lt;=AsOfDate,EDATE($D41,Milestones!$AA$156)&gt;=SchemeStart,IF($X41=0,$AD41,IF(AND($Z41&lt;&gt;"",EDATE($D41,Milestones!$AA$156)&gt;=$Z41),$AC41,IF(AND($Y41&lt;&gt;"",EDATE($D41,Milestones!$AA$156)&gt;=$Y41),$AB41,$AA41)))=Milestones!$AB$156),UPPER(TEXT(EDATE($D41,Milestones!$AA$156),"dd mmm yy"))&amp;" "&amp;Milestones!$AB$156&amp;" "&amp;IF(AND(Milestones!$AB$156="FT",Milestones!$AA$156=FT_Y5,EDATE($D41,Milestones!$AA$156)&lt;PolicyEff),1,Milestones!$AC$156)&amp;";  ","")&amp;IF(AND(EDATE($D41,Milestones!$AA$157)&lt;=AsOfDate,EDATE($D41,Milestones!$AA$157)&gt;=SchemeStart,IF($X41=0,$AD41,IF(AND($Z41&lt;&gt;"",EDATE($D41,Milestones!$AA$157)&gt;=$Z41),$AC41,IF(AND($Y41&lt;&gt;"",EDATE($D41,Milestones!$AA$157)&gt;=$Y41),$AB41,$AA41)))=Milestones!$AB$157),UPPER(TEXT(EDATE($D41,Milestones!$AA$157),"dd mmm yy"))&amp;" "&amp;Milestones!$AB$157&amp;" "&amp;IF(AND(Milestones!$AB$157="FT",Milestones!$AA$157=FT_Y5,EDATE($D41,Milestones!$AA$157)&lt;PolicyEff),1,Milestones!$AC$157)&amp;";  ","")&amp;IF(AND(EDATE($D41,Milestones!$AA$158)&lt;=AsOfDate,EDATE($D41,Milestones!$AA$158)&gt;=SchemeStart,IF($X41=0,$AD41,IF(AND($Z41&lt;&gt;"",EDATE($D41,Milestones!$AA$158)&gt;=$Z41),$AC41,IF(AND($Y41&lt;&gt;"",EDATE($D41,Milestones!$AA$158)&gt;=$Y41),$AB41,$AA41)))=Milestones!$AB$158),UPPER(TEXT(EDATE($D41,Milestones!$AA$158),"dd mmm yy"))&amp;" "&amp;Milestones!$AB$158&amp;" "&amp;IF(AND(Milestones!$AB$158="FT",Milestones!$AA$158=FT_Y5,EDATE($D41,Milestones!$AA$158)&lt;PolicyEff),1,Milestones!$AC$158)&amp;";  ","")&amp;IF(AND(EDATE($D41,Milestones!$AA$159)&lt;=AsOfDate,EDATE($D41,Milestones!$AA$159)&gt;=SchemeStart,IF($X41=0,$AD41,IF(AND($Z41&lt;&gt;"",EDATE($D41,Milestones!$AA$159)&gt;=$Z41),$AC41,IF(AND($Y41&lt;&gt;"",EDATE($D41,Milestones!$AA$159)&gt;=$Y41),$AB41,$AA41)))=Milestones!$AB$159),UPPER(TEXT(EDATE($D41,Milestones!$AA$159),"dd mmm yy"))&amp;" "&amp;Milestones!$AB$159&amp;" "&amp;IF(AND(Milestones!$AB$159="FT",Milestones!$AA$159=FT_Y5,EDATE($D41,Milestones!$AA$159)&lt;PolicyEff),1,Milestones!$AC$159)&amp;";  ","")&amp;IF(AND(EDATE($D41,Milestones!$AA$160)&lt;=AsOfDate,EDATE($D41,Milestones!$AA$160)&gt;=SchemeStart,IF($X41=0,$AD41,IF(AND($Z41&lt;&gt;"",EDATE($D41,Milestones!$AA$160)&gt;=$Z41),$AC41,IF(AND($Y41&lt;&gt;"",EDATE($D41,Milestones!$AA$160)&gt;=$Y41),$AB41,$AA41)))=Milestones!$AB$160),UPPER(TEXT(EDATE($D41,Milestones!$AA$160),"dd mmm yy"))&amp;" "&amp;Milestones!$AB$160&amp;" "&amp;IF(AND(Milestones!$AB$160="FT",Milestones!$AA$160=FT_Y5,EDATE($D41,Milestones!$AA$160)&lt;PolicyEff),1,Milestones!$AC$160)&amp;";  ","")&amp;IF(AND(EDATE($D41,Milestones!$AA$161)&lt;=AsOfDate,EDATE($D41,Milestones!$AA$161)&gt;=SchemeStart,IF($X41=0,$AD41,IF(AND($Z41&lt;&gt;"",EDATE($D41,Milestones!$AA$161)&gt;=$Z41),$AC41,IF(AND($Y41&lt;&gt;"",EDATE($D41,Milestones!$AA$161)&gt;=$Y41),$AB41,$AA41)))=Milestones!$AB$161),UPPER(TEXT(EDATE($D41,Milestones!$AA$161),"dd mmm yy"))&amp;" "&amp;Milestones!$AB$161&amp;" "&amp;IF(AND(Milestones!$AB$161="FT",Milestones!$AA$161=FT_Y5,EDATE($D41,Milestones!$AA$161)&lt;PolicyEff),1,Milestones!$AC$161)&amp;";  ","")&amp;IF(AND(EDATE($D41,Milestones!$AA$162)&lt;=AsOfDate,EDATE($D41,Milestones!$AA$162)&gt;=SchemeStart,IF($X41=0,$AD41,IF(AND($Z41&lt;&gt;"",EDATE($D41,Milestones!$AA$162)&gt;=$Z41),$AC41,IF(AND($Y41&lt;&gt;"",EDATE($D41,Milestones!$AA$162)&gt;=$Y41),$AB41,$AA41)))=Milestones!$AB$162),UPPER(TEXT(EDATE($D41,Milestones!$AA$162),"dd mmm yy"))&amp;" "&amp;Milestones!$AB$162&amp;" "&amp;IF(AND(Milestones!$AB$162="FT",Milestones!$AA$162=FT_Y5,EDATE($D41,Milestones!$AA$162)&lt;PolicyEff),1,Milestones!$AC$162)&amp;";  ","")&amp;IF(AND(EDATE($D41,Milestones!$AA$163)&lt;=AsOfDate,EDATE($D41,Milestones!$AA$163)&gt;=SchemeStart,IF($X41=0,$AD41,IF(AND($Z41&lt;&gt;"",EDATE($D41,Milestones!$AA$163)&gt;=$Z41),$AC41,IF(AND($Y41&lt;&gt;"",EDATE($D41,Milestones!$AA$163)&gt;=$Y41),$AB41,$AA41)))=Milestones!$AB$163),UPPER(TEXT(EDATE($D41,Milestones!$AA$163),"dd mmm yy"))&amp;" "&amp;Milestones!$AB$163&amp;" "&amp;IF(AND(Milestones!$AB$163="FT",Milestones!$AA$163=FT_Y5,EDATE($D41,Milestones!$AA$163)&lt;PolicyEff),1,Milestones!$AC$163)&amp;";  ",""))</f>
        <v/>
      </c>
      <c r="U41" s="0" t="str">
        <f aca="false">IF(OR($A41="",$D41=""),"",IF(AND(EDATE($D41,Milestones!$AA$164)&lt;=AsOfDate,EDATE($D41,Milestones!$AA$164)&gt;=SchemeStart,IF($X41=0,$AD41,IF(AND($Z41&lt;&gt;"",EDATE($D41,Milestones!$AA$164)&gt;=$Z41),$AC41,IF(AND($Y41&lt;&gt;"",EDATE($D41,Milestones!$AA$164)&gt;=$Y41),$AB41,$AA41)))=Milestones!$AB$164),UPPER(TEXT(EDATE($D41,Milestones!$AA$164),"dd mmm yy"))&amp;" "&amp;Milestones!$AB$164&amp;" "&amp;IF(AND(Milestones!$AB$164="FT",Milestones!$AA$164=FT_Y5,EDATE($D41,Milestones!$AA$164)&lt;PolicyEff),1,Milestones!$AC$164)&amp;";  ","")&amp;IF(AND(EDATE($D41,Milestones!$AA$165)&lt;=AsOfDate,EDATE($D41,Milestones!$AA$165)&gt;=SchemeStart,IF($X41=0,$AD41,IF(AND($Z41&lt;&gt;"",EDATE($D41,Milestones!$AA$165)&gt;=$Z41),$AC41,IF(AND($Y41&lt;&gt;"",EDATE($D41,Milestones!$AA$165)&gt;=$Y41),$AB41,$AA41)))=Milestones!$AB$165),UPPER(TEXT(EDATE($D41,Milestones!$AA$165),"dd mmm yy"))&amp;" "&amp;Milestones!$AB$165&amp;" "&amp;IF(AND(Milestones!$AB$165="FT",Milestones!$AA$165=FT_Y5,EDATE($D41,Milestones!$AA$165)&lt;PolicyEff),1,Milestones!$AC$165)&amp;";  ","")&amp;IF(AND(EDATE($D41,Milestones!$AA$166)&lt;=AsOfDate,EDATE($D41,Milestones!$AA$166)&gt;=SchemeStart,IF($X41=0,$AD41,IF(AND($Z41&lt;&gt;"",EDATE($D41,Milestones!$AA$166)&gt;=$Z41),$AC41,IF(AND($Y41&lt;&gt;"",EDATE($D41,Milestones!$AA$166)&gt;=$Y41),$AB41,$AA41)))=Milestones!$AB$166),UPPER(TEXT(EDATE($D41,Milestones!$AA$166),"dd mmm yy"))&amp;" "&amp;Milestones!$AB$166&amp;" "&amp;IF(AND(Milestones!$AB$166="FT",Milestones!$AA$166=FT_Y5,EDATE($D41,Milestones!$AA$166)&lt;PolicyEff),1,Milestones!$AC$166)&amp;";  ","")&amp;IF(AND(EDATE($D41,Milestones!$AA$167)&lt;=AsOfDate,EDATE($D41,Milestones!$AA$167)&gt;=SchemeStart,IF($X41=0,$AD41,IF(AND($Z41&lt;&gt;"",EDATE($D41,Milestones!$AA$167)&gt;=$Z41),$AC41,IF(AND($Y41&lt;&gt;"",EDATE($D41,Milestones!$AA$167)&gt;=$Y41),$AB41,$AA41)))=Milestones!$AB$167),UPPER(TEXT(EDATE($D41,Milestones!$AA$167),"dd mmm yy"))&amp;" "&amp;Milestones!$AB$167&amp;" "&amp;IF(AND(Milestones!$AB$167="FT",Milestones!$AA$167=FT_Y5,EDATE($D41,Milestones!$AA$167)&lt;PolicyEff),1,Milestones!$AC$167)&amp;";  ","")&amp;IF(AND(EDATE($D41,Milestones!$AA$168)&lt;=AsOfDate,EDATE($D41,Milestones!$AA$168)&gt;=SchemeStart,IF($X41=0,$AD41,IF(AND($Z41&lt;&gt;"",EDATE($D41,Milestones!$AA$168)&gt;=$Z41),$AC41,IF(AND($Y41&lt;&gt;"",EDATE($D41,Milestones!$AA$168)&gt;=$Y41),$AB41,$AA41)))=Milestones!$AB$168),UPPER(TEXT(EDATE($D41,Milestones!$AA$168),"dd mmm yy"))&amp;" "&amp;Milestones!$AB$168&amp;" "&amp;IF(AND(Milestones!$AB$168="FT",Milestones!$AA$168=FT_Y5,EDATE($D41,Milestones!$AA$168)&lt;PolicyEff),1,Milestones!$AC$168)&amp;";  ","")&amp;IF(AND(EDATE($D41,Milestones!$AA$169)&lt;=AsOfDate,EDATE($D41,Milestones!$AA$169)&gt;=SchemeStart,IF($X41=0,$AD41,IF(AND($Z41&lt;&gt;"",EDATE($D41,Milestones!$AA$169)&gt;=$Z41),$AC41,IF(AND($Y41&lt;&gt;"",EDATE($D41,Milestones!$AA$169)&gt;=$Y41),$AB41,$AA41)))=Milestones!$AB$169),UPPER(TEXT(EDATE($D41,Milestones!$AA$169),"dd mmm yy"))&amp;" "&amp;Milestones!$AB$169&amp;" "&amp;IF(AND(Milestones!$AB$169="FT",Milestones!$AA$169=FT_Y5,EDATE($D41,Milestones!$AA$169)&lt;PolicyEff),1,Milestones!$AC$169)&amp;";  ","")&amp;IF(AND(EDATE($D41,Milestones!$AA$170)&lt;=AsOfDate,EDATE($D41,Milestones!$AA$170)&gt;=SchemeStart,IF($X41=0,$AD41,IF(AND($Z41&lt;&gt;"",EDATE($D41,Milestones!$AA$170)&gt;=$Z41),$AC41,IF(AND($Y41&lt;&gt;"",EDATE($D41,Milestones!$AA$170)&gt;=$Y41),$AB41,$AA41)))=Milestones!$AB$170),UPPER(TEXT(EDATE($D41,Milestones!$AA$170),"dd mmm yy"))&amp;" "&amp;Milestones!$AB$170&amp;" "&amp;IF(AND(Milestones!$AB$170="FT",Milestones!$AA$170=FT_Y5,EDATE($D41,Milestones!$AA$170)&lt;PolicyEff),1,Milestones!$AC$170)&amp;";  ","")&amp;IF(AND(EDATE($D41,Milestones!$AA$171)&lt;=AsOfDate,EDATE($D41,Milestones!$AA$171)&gt;=SchemeStart,IF($X41=0,$AD41,IF(AND($Z41&lt;&gt;"",EDATE($D41,Milestones!$AA$171)&gt;=$Z41),$AC41,IF(AND($Y41&lt;&gt;"",EDATE($D41,Milestones!$AA$171)&gt;=$Y41),$AB41,$AA41)))=Milestones!$AB$171),UPPER(TEXT(EDATE($D41,Milestones!$AA$171),"dd mmm yy"))&amp;" "&amp;Milestones!$AB$171&amp;" "&amp;IF(AND(Milestones!$AB$171="FT",Milestones!$AA$171=FT_Y5,EDATE($D41,Milestones!$AA$171)&lt;PolicyEff),1,Milestones!$AC$171)&amp;";  ","")&amp;IF(AND(EDATE($D41,Milestones!$AA$172)&lt;=AsOfDate,EDATE($D41,Milestones!$AA$172)&gt;=SchemeStart,IF($X41=0,$AD41,IF(AND($Z41&lt;&gt;"",EDATE($D41,Milestones!$AA$172)&gt;=$Z41),$AC41,IF(AND($Y41&lt;&gt;"",EDATE($D41,Milestones!$AA$172)&gt;=$Y41),$AB41,$AA41)))=Milestones!$AB$172),UPPER(TEXT(EDATE($D41,Milestones!$AA$172),"dd mmm yy"))&amp;" "&amp;Milestones!$AB$172&amp;" "&amp;IF(AND(Milestones!$AB$172="FT",Milestones!$AA$172=FT_Y5,EDATE($D41,Milestones!$AA$172)&lt;PolicyEff),1,Milestones!$AC$172)&amp;";  ","")&amp;IF(AND(EDATE($D41,Milestones!$AA$173)&lt;=AsOfDate,EDATE($D41,Milestones!$AA$173)&gt;=SchemeStart,IF($X41=0,$AD41,IF(AND($Z41&lt;&gt;"",EDATE($D41,Milestones!$AA$173)&gt;=$Z41),$AC41,IF(AND($Y41&lt;&gt;"",EDATE($D41,Milestones!$AA$173)&gt;=$Y41),$AB41,$AA41)))=Milestones!$AB$173),UPPER(TEXT(EDATE($D41,Milestones!$AA$173),"dd mmm yy"))&amp;" "&amp;Milestones!$AB$173&amp;" "&amp;IF(AND(Milestones!$AB$173="FT",Milestones!$AA$173=FT_Y5,EDATE($D41,Milestones!$AA$173)&lt;PolicyEff),1,Milestones!$AC$173)&amp;";  ","")&amp;IF(AND(EDATE($D41,Milestones!$AA$174)&lt;=AsOfDate,EDATE($D41,Milestones!$AA$174)&gt;=SchemeStart,IF($X41=0,$AD41,IF(AND($Z41&lt;&gt;"",EDATE($D41,Milestones!$AA$174)&gt;=$Z41),$AC41,IF(AND($Y41&lt;&gt;"",EDATE($D41,Milestones!$AA$174)&gt;=$Y41),$AB41,$AA41)))=Milestones!$AB$174),UPPER(TEXT(EDATE($D41,Milestones!$AA$174),"dd mmm yy"))&amp;" "&amp;Milestones!$AB$174&amp;" "&amp;IF(AND(Milestones!$AB$174="FT",Milestones!$AA$174=FT_Y5,EDATE($D41,Milestones!$AA$174)&lt;PolicyEff),1,Milestones!$AC$174)&amp;";  ","")&amp;IF(AND(EDATE($D41,Milestones!$AA$175)&lt;=AsOfDate,EDATE($D41,Milestones!$AA$175)&gt;=SchemeStart,IF($X41=0,$AD41,IF(AND($Z41&lt;&gt;"",EDATE($D41,Milestones!$AA$175)&gt;=$Z41),$AC41,IF(AND($Y41&lt;&gt;"",EDATE($D41,Milestones!$AA$175)&gt;=$Y41),$AB41,$AA41)))=Milestones!$AB$175),UPPER(TEXT(EDATE($D41,Milestones!$AA$175),"dd mmm yy"))&amp;" "&amp;Milestones!$AB$175&amp;" "&amp;IF(AND(Milestones!$AB$175="FT",Milestones!$AA$175=FT_Y5,EDATE($D41,Milestones!$AA$175)&lt;PolicyEff),1,Milestones!$AC$175)&amp;";  ",""))</f>
        <v/>
      </c>
      <c r="V41" s="0" t="str">
        <f aca="false">IF(OR($A41="",$D41=""),"",IF(AND(EDATE($D41,Milestones!$AA$176)&lt;=AsOfDate,EDATE($D41,Milestones!$AA$176)&gt;=SchemeStart,IF($X41=0,$AD41,IF(AND($Z41&lt;&gt;"",EDATE($D41,Milestones!$AA$176)&gt;=$Z41),$AC41,IF(AND($Y41&lt;&gt;"",EDATE($D41,Milestones!$AA$176)&gt;=$Y41),$AB41,$AA41)))=Milestones!$AB$176),UPPER(TEXT(EDATE($D41,Milestones!$AA$176),"dd mmm yy"))&amp;" "&amp;Milestones!$AB$176&amp;" "&amp;IF(AND(Milestones!$AB$176="FT",Milestones!$AA$176=FT_Y5,EDATE($D41,Milestones!$AA$176)&lt;PolicyEff),1,Milestones!$AC$176)&amp;";  ","")&amp;IF(AND(EDATE($D41,Milestones!$AA$177)&lt;=AsOfDate,EDATE($D41,Milestones!$AA$177)&gt;=SchemeStart,IF($X41=0,$AD41,IF(AND($Z41&lt;&gt;"",EDATE($D41,Milestones!$AA$177)&gt;=$Z41),$AC41,IF(AND($Y41&lt;&gt;"",EDATE($D41,Milestones!$AA$177)&gt;=$Y41),$AB41,$AA41)))=Milestones!$AB$177),UPPER(TEXT(EDATE($D41,Milestones!$AA$177),"dd mmm yy"))&amp;" "&amp;Milestones!$AB$177&amp;" "&amp;IF(AND(Milestones!$AB$177="FT",Milestones!$AA$177=FT_Y5,EDATE($D41,Milestones!$AA$177)&lt;PolicyEff),1,Milestones!$AC$177)&amp;";  ","")&amp;IF(AND(EDATE($D41,Milestones!$AA$178)&lt;=AsOfDate,EDATE($D41,Milestones!$AA$178)&gt;=SchemeStart,IF($X41=0,$AD41,IF(AND($Z41&lt;&gt;"",EDATE($D41,Milestones!$AA$178)&gt;=$Z41),$AC41,IF(AND($Y41&lt;&gt;"",EDATE($D41,Milestones!$AA$178)&gt;=$Y41),$AB41,$AA41)))=Milestones!$AB$178),UPPER(TEXT(EDATE($D41,Milestones!$AA$178),"dd mmm yy"))&amp;" "&amp;Milestones!$AB$178&amp;" "&amp;IF(AND(Milestones!$AB$178="FT",Milestones!$AA$178=FT_Y5,EDATE($D41,Milestones!$AA$178)&lt;PolicyEff),1,Milestones!$AC$178)&amp;";  ","")&amp;IF(AND(EDATE($D41,Milestones!$AA$179)&lt;=AsOfDate,EDATE($D41,Milestones!$AA$179)&gt;=SchemeStart,IF($X41=0,$AD41,IF(AND($Z41&lt;&gt;"",EDATE($D41,Milestones!$AA$179)&gt;=$Z41),$AC41,IF(AND($Y41&lt;&gt;"",EDATE($D41,Milestones!$AA$179)&gt;=$Y41),$AB41,$AA41)))=Milestones!$AB$179),UPPER(TEXT(EDATE($D41,Milestones!$AA$179),"dd mmm yy"))&amp;" "&amp;Milestones!$AB$179&amp;" "&amp;IF(AND(Milestones!$AB$179="FT",Milestones!$AA$179=FT_Y5,EDATE($D41,Milestones!$AA$179)&lt;PolicyEff),1,Milestones!$AC$179)&amp;";  ","")&amp;IF(AND(EDATE($D41,Milestones!$AA$180)&lt;=AsOfDate,EDATE($D41,Milestones!$AA$180)&gt;=SchemeStart,IF($X41=0,$AD41,IF(AND($Z41&lt;&gt;"",EDATE($D41,Milestones!$AA$180)&gt;=$Z41),$AC41,IF(AND($Y41&lt;&gt;"",EDATE($D41,Milestones!$AA$180)&gt;=$Y41),$AB41,$AA41)))=Milestones!$AB$180),UPPER(TEXT(EDATE($D41,Milestones!$AA$180),"dd mmm yy"))&amp;" "&amp;Milestones!$AB$180&amp;" "&amp;IF(AND(Milestones!$AB$180="FT",Milestones!$AA$180=FT_Y5,EDATE($D41,Milestones!$AA$180)&lt;PolicyEff),1,Milestones!$AC$180)&amp;";  ","")&amp;IF(AND(EDATE($D41,Milestones!$AA$181)&lt;=AsOfDate,EDATE($D41,Milestones!$AA$181)&gt;=SchemeStart,IF($X41=0,$AD41,IF(AND($Z41&lt;&gt;"",EDATE($D41,Milestones!$AA$181)&gt;=$Z41),$AC41,IF(AND($Y41&lt;&gt;"",EDATE($D41,Milestones!$AA$181)&gt;=$Y41),$AB41,$AA41)))=Milestones!$AB$181),UPPER(TEXT(EDATE($D41,Milestones!$AA$181),"dd mmm yy"))&amp;" "&amp;Milestones!$AB$181&amp;" "&amp;IF(AND(Milestones!$AB$181="FT",Milestones!$AA$181=FT_Y5,EDATE($D41,Milestones!$AA$181)&lt;PolicyEff),1,Milestones!$AC$181)&amp;";  ","")&amp;IF(AND(EDATE($D41,Milestones!$AA$182)&lt;=AsOfDate,EDATE($D41,Milestones!$AA$182)&gt;=SchemeStart,IF($X41=0,$AD41,IF(AND($Z41&lt;&gt;"",EDATE($D41,Milestones!$AA$182)&gt;=$Z41),$AC41,IF(AND($Y41&lt;&gt;"",EDATE($D41,Milestones!$AA$182)&gt;=$Y41),$AB41,$AA41)))=Milestones!$AB$182),UPPER(TEXT(EDATE($D41,Milestones!$AA$182),"dd mmm yy"))&amp;" "&amp;Milestones!$AB$182&amp;" "&amp;IF(AND(Milestones!$AB$182="FT",Milestones!$AA$182=FT_Y5,EDATE($D41,Milestones!$AA$182)&lt;PolicyEff),1,Milestones!$AC$182)&amp;";  ","")&amp;IF(AND(EDATE($D41,Milestones!$AA$183)&lt;=AsOfDate,EDATE($D41,Milestones!$AA$183)&gt;=SchemeStart,IF($X41=0,$AD41,IF(AND($Z41&lt;&gt;"",EDATE($D41,Milestones!$AA$183)&gt;=$Z41),$AC41,IF(AND($Y41&lt;&gt;"",EDATE($D41,Milestones!$AA$183)&gt;=$Y41),$AB41,$AA41)))=Milestones!$AB$183),UPPER(TEXT(EDATE($D41,Milestones!$AA$183),"dd mmm yy"))&amp;" "&amp;Milestones!$AB$183&amp;" "&amp;IF(AND(Milestones!$AB$183="FT",Milestones!$AA$183=FT_Y5,EDATE($D41,Milestones!$AA$183)&lt;PolicyEff),1,Milestones!$AC$183)&amp;";  ","")&amp;IF(AND(EDATE($D41,Milestones!$AA$184)&lt;=AsOfDate,EDATE($D41,Milestones!$AA$184)&gt;=SchemeStart,IF($X41=0,$AD41,IF(AND($Z41&lt;&gt;"",EDATE($D41,Milestones!$AA$184)&gt;=$Z41),$AC41,IF(AND($Y41&lt;&gt;"",EDATE($D41,Milestones!$AA$184)&gt;=$Y41),$AB41,$AA41)))=Milestones!$AB$184),UPPER(TEXT(EDATE($D41,Milestones!$AA$184),"dd mmm yy"))&amp;" "&amp;Milestones!$AB$184&amp;" "&amp;IF(AND(Milestones!$AB$184="FT",Milestones!$AA$184=FT_Y5,EDATE($D41,Milestones!$AA$184)&lt;PolicyEff),1,Milestones!$AC$184)&amp;";  ","")&amp;IF(AND(EDATE($D41,Milestones!$AA$185)&lt;=AsOfDate,EDATE($D41,Milestones!$AA$185)&gt;=SchemeStart,IF($X41=0,$AD41,IF(AND($Z41&lt;&gt;"",EDATE($D41,Milestones!$AA$185)&gt;=$Z41),$AC41,IF(AND($Y41&lt;&gt;"",EDATE($D41,Milestones!$AA$185)&gt;=$Y41),$AB41,$AA41)))=Milestones!$AB$185),UPPER(TEXT(EDATE($D41,Milestones!$AA$185),"dd mmm yy"))&amp;" "&amp;Milestones!$AB$185&amp;" "&amp;IF(AND(Milestones!$AB$185="FT",Milestones!$AA$185=FT_Y5,EDATE($D41,Milestones!$AA$185)&lt;PolicyEff),1,Milestones!$AC$185)&amp;";  ","")&amp;IF(AND(EDATE($D41,Milestones!$AA$186)&lt;=AsOfDate,EDATE($D41,Milestones!$AA$186)&gt;=SchemeStart,IF($X41=0,$AD41,IF(AND($Z41&lt;&gt;"",EDATE($D41,Milestones!$AA$186)&gt;=$Z41),$AC41,IF(AND($Y41&lt;&gt;"",EDATE($D41,Milestones!$AA$186)&gt;=$Y41),$AB41,$AA41)))=Milestones!$AB$186),UPPER(TEXT(EDATE($D41,Milestones!$AA$186),"dd mmm yy"))&amp;" "&amp;Milestones!$AB$186&amp;" "&amp;IF(AND(Milestones!$AB$186="FT",Milestones!$AA$186=FT_Y5,EDATE($D41,Milestones!$AA$186)&lt;PolicyEff),1,Milestones!$AC$186)&amp;";  ","")&amp;IF(AND(EDATE($D41,Milestones!$AA$187)&lt;=AsOfDate,EDATE($D41,Milestones!$AA$187)&gt;=SchemeStart,IF($X41=0,$AD41,IF(AND($Z41&lt;&gt;"",EDATE($D41,Milestones!$AA$187)&gt;=$Z41),$AC41,IF(AND($Y41&lt;&gt;"",EDATE($D41,Milestones!$AA$187)&gt;=$Y41),$AB41,$AA41)))=Milestones!$AB$187),UPPER(TEXT(EDATE($D41,Milestones!$AA$187),"dd mmm yy"))&amp;" "&amp;Milestones!$AB$187&amp;" "&amp;IF(AND(Milestones!$AB$187="FT",Milestones!$AA$187=FT_Y5,EDATE($D41,Milestones!$AA$187)&lt;PolicyEff),1,Milestones!$AC$187)&amp;";  ",""))</f>
        <v/>
      </c>
      <c r="W41" s="0" t="str">
        <f aca="false">IF(OR($A41="",$D41=""),"",IF(AND(EDATE($D41,Milestones!$AA$188)&lt;=AsOfDate,EDATE($D41,Milestones!$AA$188)&gt;=SchemeStart,IF($X41=0,$AD41,IF(AND($Z41&lt;&gt;"",EDATE($D41,Milestones!$AA$188)&gt;=$Z41),$AC41,IF(AND($Y41&lt;&gt;"",EDATE($D41,Milestones!$AA$188)&gt;=$Y41),$AB41,$AA41)))=Milestones!$AB$188),UPPER(TEXT(EDATE($D41,Milestones!$AA$188),"dd mmm yy"))&amp;" "&amp;Milestones!$AB$188&amp;" "&amp;IF(AND(Milestones!$AB$188="FT",Milestones!$AA$188=FT_Y5,EDATE($D41,Milestones!$AA$188)&lt;PolicyEff),1,Milestones!$AC$188)&amp;";  ","")&amp;IF(AND(EDATE($D41,Milestones!$AA$189)&lt;=AsOfDate,EDATE($D41,Milestones!$AA$189)&gt;=SchemeStart,IF($X41=0,$AD41,IF(AND($Z41&lt;&gt;"",EDATE($D41,Milestones!$AA$189)&gt;=$Z41),$AC41,IF(AND($Y41&lt;&gt;"",EDATE($D41,Milestones!$AA$189)&gt;=$Y41),$AB41,$AA41)))=Milestones!$AB$189),UPPER(TEXT(EDATE($D41,Milestones!$AA$189),"dd mmm yy"))&amp;" "&amp;Milestones!$AB$189&amp;" "&amp;IF(AND(Milestones!$AB$189="FT",Milestones!$AA$189=FT_Y5,EDATE($D41,Milestones!$AA$189)&lt;PolicyEff),1,Milestones!$AC$189)&amp;";  ","")&amp;IF(AND(EDATE($D41,Milestones!$AA$190)&lt;=AsOfDate,EDATE($D41,Milestones!$AA$190)&gt;=SchemeStart,IF($X41=0,$AD41,IF(AND($Z41&lt;&gt;"",EDATE($D41,Milestones!$AA$190)&gt;=$Z41),$AC41,IF(AND($Y41&lt;&gt;"",EDATE($D41,Milestones!$AA$190)&gt;=$Y41),$AB41,$AA41)))=Milestones!$AB$190),UPPER(TEXT(EDATE($D41,Milestones!$AA$190),"dd mmm yy"))&amp;" "&amp;Milestones!$AB$190&amp;" "&amp;IF(AND(Milestones!$AB$190="FT",Milestones!$AA$190=FT_Y5,EDATE($D41,Milestones!$AA$190)&lt;PolicyEff),1,Milestones!$AC$190)&amp;";  ","")&amp;IF(AND(EDATE($D41,Milestones!$AA$191)&lt;=AsOfDate,EDATE($D41,Milestones!$AA$191)&gt;=SchemeStart,IF($X41=0,$AD41,IF(AND($Z41&lt;&gt;"",EDATE($D41,Milestones!$AA$191)&gt;=$Z41),$AC41,IF(AND($Y41&lt;&gt;"",EDATE($D41,Milestones!$AA$191)&gt;=$Y41),$AB41,$AA41)))=Milestones!$AB$191),UPPER(TEXT(EDATE($D41,Milestones!$AA$191),"dd mmm yy"))&amp;" "&amp;Milestones!$AB$191&amp;" "&amp;IF(AND(Milestones!$AB$191="FT",Milestones!$AA$191=FT_Y5,EDATE($D41,Milestones!$AA$191)&lt;PolicyEff),1,Milestones!$AC$191)&amp;";  ","")&amp;IF(AND(EDATE($D41,Milestones!$AA$192)&lt;=AsOfDate,EDATE($D41,Milestones!$AA$192)&gt;=SchemeStart,IF($X41=0,$AD41,IF(AND($Z41&lt;&gt;"",EDATE($D41,Milestones!$AA$192)&gt;=$Z41),$AC41,IF(AND($Y41&lt;&gt;"",EDATE($D41,Milestones!$AA$192)&gt;=$Y41),$AB41,$AA41)))=Milestones!$AB$192),UPPER(TEXT(EDATE($D41,Milestones!$AA$192),"dd mmm yy"))&amp;" "&amp;Milestones!$AB$192&amp;" "&amp;IF(AND(Milestones!$AB$192="FT",Milestones!$AA$192=FT_Y5,EDATE($D41,Milestones!$AA$192)&lt;PolicyEff),1,Milestones!$AC$192)&amp;";  ","")&amp;IF(AND(EDATE($D41,Milestones!$AA$193)&lt;=AsOfDate,EDATE($D41,Milestones!$AA$193)&gt;=SchemeStart,IF($X41=0,$AD41,IF(AND($Z41&lt;&gt;"",EDATE($D41,Milestones!$AA$193)&gt;=$Z41),$AC41,IF(AND($Y41&lt;&gt;"",EDATE($D41,Milestones!$AA$193)&gt;=$Y41),$AB41,$AA41)))=Milestones!$AB$193),UPPER(TEXT(EDATE($D41,Milestones!$AA$193),"dd mmm yy"))&amp;" "&amp;Milestones!$AB$193&amp;" "&amp;IF(AND(Milestones!$AB$193="FT",Milestones!$AA$193=FT_Y5,EDATE($D41,Milestones!$AA$193)&lt;PolicyEff),1,Milestones!$AC$193)&amp;";  ","")&amp;IF(AND(EDATE($D41,Milestones!$AA$194)&lt;=AsOfDate,EDATE($D41,Milestones!$AA$194)&gt;=SchemeStart,IF($X41=0,$AD41,IF(AND($Z41&lt;&gt;"",EDATE($D41,Milestones!$AA$194)&gt;=$Z41),$AC41,IF(AND($Y41&lt;&gt;"",EDATE($D41,Milestones!$AA$194)&gt;=$Y41),$AB41,$AA41)))=Milestones!$AB$194),UPPER(TEXT(EDATE($D41,Milestones!$AA$194),"dd mmm yy"))&amp;" "&amp;Milestones!$AB$194&amp;" "&amp;IF(AND(Milestones!$AB$194="FT",Milestones!$AA$194=FT_Y5,EDATE($D41,Milestones!$AA$194)&lt;PolicyEff),1,Milestones!$AC$194)&amp;";  ","")&amp;IF(AND(EDATE($D41,Milestones!$AA$195)&lt;=AsOfDate,EDATE($D41,Milestones!$AA$195)&gt;=SchemeStart,IF($X41=0,$AD41,IF(AND($Z41&lt;&gt;"",EDATE($D41,Milestones!$AA$195)&gt;=$Z41),$AC41,IF(AND($Y41&lt;&gt;"",EDATE($D41,Milestones!$AA$195)&gt;=$Y41),$AB41,$AA41)))=Milestones!$AB$195),UPPER(TEXT(EDATE($D41,Milestones!$AA$195),"dd mmm yy"))&amp;" "&amp;Milestones!$AB$195&amp;" "&amp;IF(AND(Milestones!$AB$195="FT",Milestones!$AA$195=FT_Y5,EDATE($D41,Milestones!$AA$195)&lt;PolicyEff),1,Milestones!$AC$195)&amp;";  ","")&amp;IF(AND(EDATE($D41,Milestones!$AA$196)&lt;=AsOfDate,EDATE($D41,Milestones!$AA$196)&gt;=SchemeStart,IF($X41=0,$AD41,IF(AND($Z41&lt;&gt;"",EDATE($D41,Milestones!$AA$196)&gt;=$Z41),$AC41,IF(AND($Y41&lt;&gt;"",EDATE($D41,Milestones!$AA$196)&gt;=$Y41),$AB41,$AA41)))=Milestones!$AB$196),UPPER(TEXT(EDATE($D41,Milestones!$AA$196),"dd mmm yy"))&amp;" "&amp;Milestones!$AB$196&amp;" "&amp;IF(AND(Milestones!$AB$196="FT",Milestones!$AA$196=FT_Y5,EDATE($D41,Milestones!$AA$196)&lt;PolicyEff),1,Milestones!$AC$196)&amp;";  ","")&amp;IF(AND(EDATE($D41,Milestones!$AA$197)&lt;=AsOfDate,EDATE($D41,Milestones!$AA$197)&gt;=SchemeStart,IF($X41=0,$AD41,IF(AND($Z41&lt;&gt;"",EDATE($D41,Milestones!$AA$197)&gt;=$Z41),$AC41,IF(AND($Y41&lt;&gt;"",EDATE($D41,Milestones!$AA$197)&gt;=$Y41),$AB41,$AA41)))=Milestones!$AB$197),UPPER(TEXT(EDATE($D41,Milestones!$AA$197),"dd mmm yy"))&amp;" "&amp;Milestones!$AB$197&amp;" "&amp;IF(AND(Milestones!$AB$197="FT",Milestones!$AA$197=FT_Y5,EDATE($D41,Milestones!$AA$197)&lt;PolicyEff),1,Milestones!$AC$197)&amp;";  ","")&amp;IF(AND(EDATE($D41,Milestones!$AA$198)&lt;=AsOfDate,EDATE($D41,Milestones!$AA$198)&gt;=SchemeStart,IF($X41=0,$AD41,IF(AND($Z41&lt;&gt;"",EDATE($D41,Milestones!$AA$198)&gt;=$Z41),$AC41,IF(AND($Y41&lt;&gt;"",EDATE($D41,Milestones!$AA$198)&gt;=$Y41),$AB41,$AA41)))=Milestones!$AB$198),UPPER(TEXT(EDATE($D41,Milestones!$AA$198),"dd mmm yy"))&amp;" "&amp;Milestones!$AB$198&amp;" "&amp;IF(AND(Milestones!$AB$198="FT",Milestones!$AA$198=FT_Y5,EDATE($D41,Milestones!$AA$198)&lt;PolicyEff),1,Milestones!$AC$198)&amp;";  ","")&amp;IF(AND(EDATE($D41,Milestones!$AA$199)&lt;=AsOfDate,EDATE($D41,Milestones!$AA$199)&gt;=SchemeStart,IF($X41=0,$AD41,IF(AND($Z41&lt;&gt;"",EDATE($D41,Milestones!$AA$199)&gt;=$Z41),$AC41,IF(AND($Y41&lt;&gt;"",EDATE($D41,Milestones!$AA$199)&gt;=$Y41),$AB41,$AA41)))=Milestones!$AB$199),UPPER(TEXT(EDATE($D41,Milestones!$AA$199),"dd mmm yy"))&amp;" "&amp;Milestones!$AB$199&amp;" "&amp;IF(AND(Milestones!$AB$199="FT",Milestones!$AA$199=FT_Y5,EDATE($D41,Milestones!$AA$199)&lt;PolicyEff),1,Milestones!$AC$199)&amp;";  ",""))</f>
        <v/>
      </c>
      <c r="X41" s="0" t="str">
        <f aca="false">IF(Staff!$A41="","",Staff!$AM41)</f>
        <v/>
      </c>
      <c r="Y41" s="0" t="str">
        <f aca="false">IF(Staff!$A41="","",Staff!$AO41)</f>
        <v/>
      </c>
      <c r="Z41" s="0" t="str">
        <f aca="false">IF(Staff!$A41="","",Staff!$AP41)</f>
        <v/>
      </c>
      <c r="AA41" s="0" t="str">
        <f aca="false">IF(Staff!$A41="","",Staff!$AT41)</f>
        <v/>
      </c>
      <c r="AB41" s="0" t="str">
        <f aca="false">IF(Staff!$A41="","",Staff!$AU41)</f>
        <v/>
      </c>
      <c r="AC41" s="0" t="str">
        <f aca="false">IF(Staff!$A41="","",Staff!$AV41)</f>
        <v/>
      </c>
      <c r="AD41" s="0" t="str">
        <f aca="false">IF(Staff!$A41="","",Staff!$AW41)</f>
        <v/>
      </c>
    </row>
    <row r="42" customFormat="false" ht="15" hidden="false" customHeight="false" outlineLevel="0" collapsed="false">
      <c r="A42" s="16" t="str">
        <f aca="false">IF(Staff!$A42="","",Staff!$A42)</f>
        <v/>
      </c>
      <c r="B42" s="16" t="str">
        <f aca="false">IF(Staff!$A42="","",Staff!$B42)</f>
        <v/>
      </c>
      <c r="C42" s="16" t="str">
        <f aca="false">IF(Staff!$A42="","",Staff!$C42)</f>
        <v/>
      </c>
      <c r="D42" s="14" t="str">
        <f aca="false">IF(Staff!$A42="","",Staff!$AL42)</f>
        <v/>
      </c>
      <c r="E42" s="16" t="str">
        <f aca="false">IF(Staff!$A42="","",Staff!$O42)</f>
        <v/>
      </c>
      <c r="F42" s="16" t="str">
        <f aca="false">IF(E42="","",E42*HoursPerDay)</f>
        <v/>
      </c>
      <c r="G42" s="16" t="str">
        <f aca="false">IF(Staff!$A42="","",Staff!$AE42)</f>
        <v/>
      </c>
      <c r="H42" s="28" t="str">
        <f aca="false">IF($A42="","",I42&amp;J42&amp;K42&amp;L42&amp;M42&amp;N42&amp;O42&amp;P42&amp;Q42&amp;R42&amp;S42&amp;T42&amp;U42&amp;V42&amp;W42)</f>
        <v/>
      </c>
      <c r="I42" s="0" t="str">
        <f aca="false">IF(OR($A42="",$D42=""),"",IF(AND(EDATE($D42,Milestones!$AA$20)&lt;=AsOfDate,EDATE($D42,Milestones!$AA$20)&gt;=SchemeStart,IF($X42=0,$AD42,IF(AND($Z42&lt;&gt;"",EDATE($D42,Milestones!$AA$20)&gt;=$Z42),$AC42,IF(AND($Y42&lt;&gt;"",EDATE($D42,Milestones!$AA$20)&gt;=$Y42),$AB42,$AA42)))=Milestones!$AB$20),UPPER(TEXT(EDATE($D42,Milestones!$AA$20),"dd mmm yy"))&amp;" "&amp;Milestones!$AB$20&amp;" "&amp;IF(AND(Milestones!$AB$20="FT",Milestones!$AA$20=FT_Y5,EDATE($D42,Milestones!$AA$20)&lt;PolicyEff),1,Milestones!$AC$20)&amp;";  ","")&amp;IF(AND(EDATE($D42,Milestones!$AA$21)&lt;=AsOfDate,EDATE($D42,Milestones!$AA$21)&gt;=SchemeStart,IF($X42=0,$AD42,IF(AND($Z42&lt;&gt;"",EDATE($D42,Milestones!$AA$21)&gt;=$Z42),$AC42,IF(AND($Y42&lt;&gt;"",EDATE($D42,Milestones!$AA$21)&gt;=$Y42),$AB42,$AA42)))=Milestones!$AB$21),UPPER(TEXT(EDATE($D42,Milestones!$AA$21),"dd mmm yy"))&amp;" "&amp;Milestones!$AB$21&amp;" "&amp;IF(AND(Milestones!$AB$21="FT",Milestones!$AA$21=FT_Y5,EDATE($D42,Milestones!$AA$21)&lt;PolicyEff),1,Milestones!$AC$21)&amp;";  ","")&amp;IF(AND(EDATE($D42,Milestones!$AA$22)&lt;=AsOfDate,EDATE($D42,Milestones!$AA$22)&gt;=SchemeStart,IF($X42=0,$AD42,IF(AND($Z42&lt;&gt;"",EDATE($D42,Milestones!$AA$22)&gt;=$Z42),$AC42,IF(AND($Y42&lt;&gt;"",EDATE($D42,Milestones!$AA$22)&gt;=$Y42),$AB42,$AA42)))=Milestones!$AB$22),UPPER(TEXT(EDATE($D42,Milestones!$AA$22),"dd mmm yy"))&amp;" "&amp;Milestones!$AB$22&amp;" "&amp;IF(AND(Milestones!$AB$22="FT",Milestones!$AA$22=FT_Y5,EDATE($D42,Milestones!$AA$22)&lt;PolicyEff),1,Milestones!$AC$22)&amp;";  ","")&amp;IF(AND(EDATE($D42,Milestones!$AA$23)&lt;=AsOfDate,EDATE($D42,Milestones!$AA$23)&gt;=SchemeStart,IF($X42=0,$AD42,IF(AND($Z42&lt;&gt;"",EDATE($D42,Milestones!$AA$23)&gt;=$Z42),$AC42,IF(AND($Y42&lt;&gt;"",EDATE($D42,Milestones!$AA$23)&gt;=$Y42),$AB42,$AA42)))=Milestones!$AB$23),UPPER(TEXT(EDATE($D42,Milestones!$AA$23),"dd mmm yy"))&amp;" "&amp;Milestones!$AB$23&amp;" "&amp;IF(AND(Milestones!$AB$23="FT",Milestones!$AA$23=FT_Y5,EDATE($D42,Milestones!$AA$23)&lt;PolicyEff),1,Milestones!$AC$23)&amp;";  ","")&amp;IF(AND(EDATE($D42,Milestones!$AA$24)&lt;=AsOfDate,EDATE($D42,Milestones!$AA$24)&gt;=SchemeStart,IF($X42=0,$AD42,IF(AND($Z42&lt;&gt;"",EDATE($D42,Milestones!$AA$24)&gt;=$Z42),$AC42,IF(AND($Y42&lt;&gt;"",EDATE($D42,Milestones!$AA$24)&gt;=$Y42),$AB42,$AA42)))=Milestones!$AB$24),UPPER(TEXT(EDATE($D42,Milestones!$AA$24),"dd mmm yy"))&amp;" "&amp;Milestones!$AB$24&amp;" "&amp;IF(AND(Milestones!$AB$24="FT",Milestones!$AA$24=FT_Y5,EDATE($D42,Milestones!$AA$24)&lt;PolicyEff),1,Milestones!$AC$24)&amp;";  ","")&amp;IF(AND(EDATE($D42,Milestones!$AA$25)&lt;=AsOfDate,EDATE($D42,Milestones!$AA$25)&gt;=SchemeStart,IF($X42=0,$AD42,IF(AND($Z42&lt;&gt;"",EDATE($D42,Milestones!$AA$25)&gt;=$Z42),$AC42,IF(AND($Y42&lt;&gt;"",EDATE($D42,Milestones!$AA$25)&gt;=$Y42),$AB42,$AA42)))=Milestones!$AB$25),UPPER(TEXT(EDATE($D42,Milestones!$AA$25),"dd mmm yy"))&amp;" "&amp;Milestones!$AB$25&amp;" "&amp;IF(AND(Milestones!$AB$25="FT",Milestones!$AA$25=FT_Y5,EDATE($D42,Milestones!$AA$25)&lt;PolicyEff),1,Milestones!$AC$25)&amp;";  ","")&amp;IF(AND(EDATE($D42,Milestones!$AA$26)&lt;=AsOfDate,EDATE($D42,Milestones!$AA$26)&gt;=SchemeStart,IF($X42=0,$AD42,IF(AND($Z42&lt;&gt;"",EDATE($D42,Milestones!$AA$26)&gt;=$Z42),$AC42,IF(AND($Y42&lt;&gt;"",EDATE($D42,Milestones!$AA$26)&gt;=$Y42),$AB42,$AA42)))=Milestones!$AB$26),UPPER(TEXT(EDATE($D42,Milestones!$AA$26),"dd mmm yy"))&amp;" "&amp;Milestones!$AB$26&amp;" "&amp;IF(AND(Milestones!$AB$26="FT",Milestones!$AA$26=FT_Y5,EDATE($D42,Milestones!$AA$26)&lt;PolicyEff),1,Milestones!$AC$26)&amp;";  ","")&amp;IF(AND(EDATE($D42,Milestones!$AA$27)&lt;=AsOfDate,EDATE($D42,Milestones!$AA$27)&gt;=SchemeStart,IF($X42=0,$AD42,IF(AND($Z42&lt;&gt;"",EDATE($D42,Milestones!$AA$27)&gt;=$Z42),$AC42,IF(AND($Y42&lt;&gt;"",EDATE($D42,Milestones!$AA$27)&gt;=$Y42),$AB42,$AA42)))=Milestones!$AB$27),UPPER(TEXT(EDATE($D42,Milestones!$AA$27),"dd mmm yy"))&amp;" "&amp;Milestones!$AB$27&amp;" "&amp;IF(AND(Milestones!$AB$27="FT",Milestones!$AA$27=FT_Y5,EDATE($D42,Milestones!$AA$27)&lt;PolicyEff),1,Milestones!$AC$27)&amp;";  ","")&amp;IF(AND(EDATE($D42,Milestones!$AA$28)&lt;=AsOfDate,EDATE($D42,Milestones!$AA$28)&gt;=SchemeStart,IF($X42=0,$AD42,IF(AND($Z42&lt;&gt;"",EDATE($D42,Milestones!$AA$28)&gt;=$Z42),$AC42,IF(AND($Y42&lt;&gt;"",EDATE($D42,Milestones!$AA$28)&gt;=$Y42),$AB42,$AA42)))=Milestones!$AB$28),UPPER(TEXT(EDATE($D42,Milestones!$AA$28),"dd mmm yy"))&amp;" "&amp;Milestones!$AB$28&amp;" "&amp;IF(AND(Milestones!$AB$28="FT",Milestones!$AA$28=FT_Y5,EDATE($D42,Milestones!$AA$28)&lt;PolicyEff),1,Milestones!$AC$28)&amp;";  ","")&amp;IF(AND(EDATE($D42,Milestones!$AA$29)&lt;=AsOfDate,EDATE($D42,Milestones!$AA$29)&gt;=SchemeStart,IF($X42=0,$AD42,IF(AND($Z42&lt;&gt;"",EDATE($D42,Milestones!$AA$29)&gt;=$Z42),$AC42,IF(AND($Y42&lt;&gt;"",EDATE($D42,Milestones!$AA$29)&gt;=$Y42),$AB42,$AA42)))=Milestones!$AB$29),UPPER(TEXT(EDATE($D42,Milestones!$AA$29),"dd mmm yy"))&amp;" "&amp;Milestones!$AB$29&amp;" "&amp;IF(AND(Milestones!$AB$29="FT",Milestones!$AA$29=FT_Y5,EDATE($D42,Milestones!$AA$29)&lt;PolicyEff),1,Milestones!$AC$29)&amp;";  ","")&amp;IF(AND(EDATE($D42,Milestones!$AA$30)&lt;=AsOfDate,EDATE($D42,Milestones!$AA$30)&gt;=SchemeStart,IF($X42=0,$AD42,IF(AND($Z42&lt;&gt;"",EDATE($D42,Milestones!$AA$30)&gt;=$Z42),$AC42,IF(AND($Y42&lt;&gt;"",EDATE($D42,Milestones!$AA$30)&gt;=$Y42),$AB42,$AA42)))=Milestones!$AB$30),UPPER(TEXT(EDATE($D42,Milestones!$AA$30),"dd mmm yy"))&amp;" "&amp;Milestones!$AB$30&amp;" "&amp;IF(AND(Milestones!$AB$30="FT",Milestones!$AA$30=FT_Y5,EDATE($D42,Milestones!$AA$30)&lt;PolicyEff),1,Milestones!$AC$30)&amp;";  ","")&amp;IF(AND(EDATE($D42,Milestones!$AA$31)&lt;=AsOfDate,EDATE($D42,Milestones!$AA$31)&gt;=SchemeStart,IF($X42=0,$AD42,IF(AND($Z42&lt;&gt;"",EDATE($D42,Milestones!$AA$31)&gt;=$Z42),$AC42,IF(AND($Y42&lt;&gt;"",EDATE($D42,Milestones!$AA$31)&gt;=$Y42),$AB42,$AA42)))=Milestones!$AB$31),UPPER(TEXT(EDATE($D42,Milestones!$AA$31),"dd mmm yy"))&amp;" "&amp;Milestones!$AB$31&amp;" "&amp;IF(AND(Milestones!$AB$31="FT",Milestones!$AA$31=FT_Y5,EDATE($D42,Milestones!$AA$31)&lt;PolicyEff),1,Milestones!$AC$31)&amp;";  ",""))</f>
        <v/>
      </c>
      <c r="J42" s="0" t="str">
        <f aca="false">IF(OR($A42="",$D42=""),"",IF(AND(EDATE($D42,Milestones!$AA$32)&lt;=AsOfDate,EDATE($D42,Milestones!$AA$32)&gt;=SchemeStart,IF($X42=0,$AD42,IF(AND($Z42&lt;&gt;"",EDATE($D42,Milestones!$AA$32)&gt;=$Z42),$AC42,IF(AND($Y42&lt;&gt;"",EDATE($D42,Milestones!$AA$32)&gt;=$Y42),$AB42,$AA42)))=Milestones!$AB$32),UPPER(TEXT(EDATE($D42,Milestones!$AA$32),"dd mmm yy"))&amp;" "&amp;Milestones!$AB$32&amp;" "&amp;IF(AND(Milestones!$AB$32="FT",Milestones!$AA$32=FT_Y5,EDATE($D42,Milestones!$AA$32)&lt;PolicyEff),1,Milestones!$AC$32)&amp;";  ","")&amp;IF(AND(EDATE($D42,Milestones!$AA$33)&lt;=AsOfDate,EDATE($D42,Milestones!$AA$33)&gt;=SchemeStart,IF($X42=0,$AD42,IF(AND($Z42&lt;&gt;"",EDATE($D42,Milestones!$AA$33)&gt;=$Z42),$AC42,IF(AND($Y42&lt;&gt;"",EDATE($D42,Milestones!$AA$33)&gt;=$Y42),$AB42,$AA42)))=Milestones!$AB$33),UPPER(TEXT(EDATE($D42,Milestones!$AA$33),"dd mmm yy"))&amp;" "&amp;Milestones!$AB$33&amp;" "&amp;IF(AND(Milestones!$AB$33="FT",Milestones!$AA$33=FT_Y5,EDATE($D42,Milestones!$AA$33)&lt;PolicyEff),1,Milestones!$AC$33)&amp;";  ","")&amp;IF(AND(EDATE($D42,Milestones!$AA$34)&lt;=AsOfDate,EDATE($D42,Milestones!$AA$34)&gt;=SchemeStart,IF($X42=0,$AD42,IF(AND($Z42&lt;&gt;"",EDATE($D42,Milestones!$AA$34)&gt;=$Z42),$AC42,IF(AND($Y42&lt;&gt;"",EDATE($D42,Milestones!$AA$34)&gt;=$Y42),$AB42,$AA42)))=Milestones!$AB$34),UPPER(TEXT(EDATE($D42,Milestones!$AA$34),"dd mmm yy"))&amp;" "&amp;Milestones!$AB$34&amp;" "&amp;IF(AND(Milestones!$AB$34="FT",Milestones!$AA$34=FT_Y5,EDATE($D42,Milestones!$AA$34)&lt;PolicyEff),1,Milestones!$AC$34)&amp;";  ","")&amp;IF(AND(EDATE($D42,Milestones!$AA$35)&lt;=AsOfDate,EDATE($D42,Milestones!$AA$35)&gt;=SchemeStart,IF($X42=0,$AD42,IF(AND($Z42&lt;&gt;"",EDATE($D42,Milestones!$AA$35)&gt;=$Z42),$AC42,IF(AND($Y42&lt;&gt;"",EDATE($D42,Milestones!$AA$35)&gt;=$Y42),$AB42,$AA42)))=Milestones!$AB$35),UPPER(TEXT(EDATE($D42,Milestones!$AA$35),"dd mmm yy"))&amp;" "&amp;Milestones!$AB$35&amp;" "&amp;IF(AND(Milestones!$AB$35="FT",Milestones!$AA$35=FT_Y5,EDATE($D42,Milestones!$AA$35)&lt;PolicyEff),1,Milestones!$AC$35)&amp;";  ","")&amp;IF(AND(EDATE($D42,Milestones!$AA$36)&lt;=AsOfDate,EDATE($D42,Milestones!$AA$36)&gt;=SchemeStart,IF($X42=0,$AD42,IF(AND($Z42&lt;&gt;"",EDATE($D42,Milestones!$AA$36)&gt;=$Z42),$AC42,IF(AND($Y42&lt;&gt;"",EDATE($D42,Milestones!$AA$36)&gt;=$Y42),$AB42,$AA42)))=Milestones!$AB$36),UPPER(TEXT(EDATE($D42,Milestones!$AA$36),"dd mmm yy"))&amp;" "&amp;Milestones!$AB$36&amp;" "&amp;IF(AND(Milestones!$AB$36="FT",Milestones!$AA$36=FT_Y5,EDATE($D42,Milestones!$AA$36)&lt;PolicyEff),1,Milestones!$AC$36)&amp;";  ","")&amp;IF(AND(EDATE($D42,Milestones!$AA$37)&lt;=AsOfDate,EDATE($D42,Milestones!$AA$37)&gt;=SchemeStart,IF($X42=0,$AD42,IF(AND($Z42&lt;&gt;"",EDATE($D42,Milestones!$AA$37)&gt;=$Z42),$AC42,IF(AND($Y42&lt;&gt;"",EDATE($D42,Milestones!$AA$37)&gt;=$Y42),$AB42,$AA42)))=Milestones!$AB$37),UPPER(TEXT(EDATE($D42,Milestones!$AA$37),"dd mmm yy"))&amp;" "&amp;Milestones!$AB$37&amp;" "&amp;IF(AND(Milestones!$AB$37="FT",Milestones!$AA$37=FT_Y5,EDATE($D42,Milestones!$AA$37)&lt;PolicyEff),1,Milestones!$AC$37)&amp;";  ","")&amp;IF(AND(EDATE($D42,Milestones!$AA$38)&lt;=AsOfDate,EDATE($D42,Milestones!$AA$38)&gt;=SchemeStart,IF($X42=0,$AD42,IF(AND($Z42&lt;&gt;"",EDATE($D42,Milestones!$AA$38)&gt;=$Z42),$AC42,IF(AND($Y42&lt;&gt;"",EDATE($D42,Milestones!$AA$38)&gt;=$Y42),$AB42,$AA42)))=Milestones!$AB$38),UPPER(TEXT(EDATE($D42,Milestones!$AA$38),"dd mmm yy"))&amp;" "&amp;Milestones!$AB$38&amp;" "&amp;IF(AND(Milestones!$AB$38="FT",Milestones!$AA$38=FT_Y5,EDATE($D42,Milestones!$AA$38)&lt;PolicyEff),1,Milestones!$AC$38)&amp;";  ","")&amp;IF(AND(EDATE($D42,Milestones!$AA$39)&lt;=AsOfDate,EDATE($D42,Milestones!$AA$39)&gt;=SchemeStart,IF($X42=0,$AD42,IF(AND($Z42&lt;&gt;"",EDATE($D42,Milestones!$AA$39)&gt;=$Z42),$AC42,IF(AND($Y42&lt;&gt;"",EDATE($D42,Milestones!$AA$39)&gt;=$Y42),$AB42,$AA42)))=Milestones!$AB$39),UPPER(TEXT(EDATE($D42,Milestones!$AA$39),"dd mmm yy"))&amp;" "&amp;Milestones!$AB$39&amp;" "&amp;IF(AND(Milestones!$AB$39="FT",Milestones!$AA$39=FT_Y5,EDATE($D42,Milestones!$AA$39)&lt;PolicyEff),1,Milestones!$AC$39)&amp;";  ","")&amp;IF(AND(EDATE($D42,Milestones!$AA$40)&lt;=AsOfDate,EDATE($D42,Milestones!$AA$40)&gt;=SchemeStart,IF($X42=0,$AD42,IF(AND($Z42&lt;&gt;"",EDATE($D42,Milestones!$AA$40)&gt;=$Z42),$AC42,IF(AND($Y42&lt;&gt;"",EDATE($D42,Milestones!$AA$40)&gt;=$Y42),$AB42,$AA42)))=Milestones!$AB$40),UPPER(TEXT(EDATE($D42,Milestones!$AA$40),"dd mmm yy"))&amp;" "&amp;Milestones!$AB$40&amp;" "&amp;IF(AND(Milestones!$AB$40="FT",Milestones!$AA$40=FT_Y5,EDATE($D42,Milestones!$AA$40)&lt;PolicyEff),1,Milestones!$AC$40)&amp;";  ","")&amp;IF(AND(EDATE($D42,Milestones!$AA$41)&lt;=AsOfDate,EDATE($D42,Milestones!$AA$41)&gt;=SchemeStart,IF($X42=0,$AD42,IF(AND($Z42&lt;&gt;"",EDATE($D42,Milestones!$AA$41)&gt;=$Z42),$AC42,IF(AND($Y42&lt;&gt;"",EDATE($D42,Milestones!$AA$41)&gt;=$Y42),$AB42,$AA42)))=Milestones!$AB$41),UPPER(TEXT(EDATE($D42,Milestones!$AA$41),"dd mmm yy"))&amp;" "&amp;Milestones!$AB$41&amp;" "&amp;IF(AND(Milestones!$AB$41="FT",Milestones!$AA$41=FT_Y5,EDATE($D42,Milestones!$AA$41)&lt;PolicyEff),1,Milestones!$AC$41)&amp;";  ","")&amp;IF(AND(EDATE($D42,Milestones!$AA$42)&lt;=AsOfDate,EDATE($D42,Milestones!$AA$42)&gt;=SchemeStart,IF($X42=0,$AD42,IF(AND($Z42&lt;&gt;"",EDATE($D42,Milestones!$AA$42)&gt;=$Z42),$AC42,IF(AND($Y42&lt;&gt;"",EDATE($D42,Milestones!$AA$42)&gt;=$Y42),$AB42,$AA42)))=Milestones!$AB$42),UPPER(TEXT(EDATE($D42,Milestones!$AA$42),"dd mmm yy"))&amp;" "&amp;Milestones!$AB$42&amp;" "&amp;IF(AND(Milestones!$AB$42="FT",Milestones!$AA$42=FT_Y5,EDATE($D42,Milestones!$AA$42)&lt;PolicyEff),1,Milestones!$AC$42)&amp;";  ","")&amp;IF(AND(EDATE($D42,Milestones!$AA$43)&lt;=AsOfDate,EDATE($D42,Milestones!$AA$43)&gt;=SchemeStart,IF($X42=0,$AD42,IF(AND($Z42&lt;&gt;"",EDATE($D42,Milestones!$AA$43)&gt;=$Z42),$AC42,IF(AND($Y42&lt;&gt;"",EDATE($D42,Milestones!$AA$43)&gt;=$Y42),$AB42,$AA42)))=Milestones!$AB$43),UPPER(TEXT(EDATE($D42,Milestones!$AA$43),"dd mmm yy"))&amp;" "&amp;Milestones!$AB$43&amp;" "&amp;IF(AND(Milestones!$AB$43="FT",Milestones!$AA$43=FT_Y5,EDATE($D42,Milestones!$AA$43)&lt;PolicyEff),1,Milestones!$AC$43)&amp;";  ",""))</f>
        <v/>
      </c>
      <c r="K42" s="0" t="str">
        <f aca="false">IF(OR($A42="",$D42=""),"",IF(AND(EDATE($D42,Milestones!$AA$44)&lt;=AsOfDate,EDATE($D42,Milestones!$AA$44)&gt;=SchemeStart,IF($X42=0,$AD42,IF(AND($Z42&lt;&gt;"",EDATE($D42,Milestones!$AA$44)&gt;=$Z42),$AC42,IF(AND($Y42&lt;&gt;"",EDATE($D42,Milestones!$AA$44)&gt;=$Y42),$AB42,$AA42)))=Milestones!$AB$44),UPPER(TEXT(EDATE($D42,Milestones!$AA$44),"dd mmm yy"))&amp;" "&amp;Milestones!$AB$44&amp;" "&amp;IF(AND(Milestones!$AB$44="FT",Milestones!$AA$44=FT_Y5,EDATE($D42,Milestones!$AA$44)&lt;PolicyEff),1,Milestones!$AC$44)&amp;";  ","")&amp;IF(AND(EDATE($D42,Milestones!$AA$45)&lt;=AsOfDate,EDATE($D42,Milestones!$AA$45)&gt;=SchemeStart,IF($X42=0,$AD42,IF(AND($Z42&lt;&gt;"",EDATE($D42,Milestones!$AA$45)&gt;=$Z42),$AC42,IF(AND($Y42&lt;&gt;"",EDATE($D42,Milestones!$AA$45)&gt;=$Y42),$AB42,$AA42)))=Milestones!$AB$45),UPPER(TEXT(EDATE($D42,Milestones!$AA$45),"dd mmm yy"))&amp;" "&amp;Milestones!$AB$45&amp;" "&amp;IF(AND(Milestones!$AB$45="FT",Milestones!$AA$45=FT_Y5,EDATE($D42,Milestones!$AA$45)&lt;PolicyEff),1,Milestones!$AC$45)&amp;";  ","")&amp;IF(AND(EDATE($D42,Milestones!$AA$46)&lt;=AsOfDate,EDATE($D42,Milestones!$AA$46)&gt;=SchemeStart,IF($X42=0,$AD42,IF(AND($Z42&lt;&gt;"",EDATE($D42,Milestones!$AA$46)&gt;=$Z42),$AC42,IF(AND($Y42&lt;&gt;"",EDATE($D42,Milestones!$AA$46)&gt;=$Y42),$AB42,$AA42)))=Milestones!$AB$46),UPPER(TEXT(EDATE($D42,Milestones!$AA$46),"dd mmm yy"))&amp;" "&amp;Milestones!$AB$46&amp;" "&amp;IF(AND(Milestones!$AB$46="FT",Milestones!$AA$46=FT_Y5,EDATE($D42,Milestones!$AA$46)&lt;PolicyEff),1,Milestones!$AC$46)&amp;";  ","")&amp;IF(AND(EDATE($D42,Milestones!$AA$47)&lt;=AsOfDate,EDATE($D42,Milestones!$AA$47)&gt;=SchemeStart,IF($X42=0,$AD42,IF(AND($Z42&lt;&gt;"",EDATE($D42,Milestones!$AA$47)&gt;=$Z42),$AC42,IF(AND($Y42&lt;&gt;"",EDATE($D42,Milestones!$AA$47)&gt;=$Y42),$AB42,$AA42)))=Milestones!$AB$47),UPPER(TEXT(EDATE($D42,Milestones!$AA$47),"dd mmm yy"))&amp;" "&amp;Milestones!$AB$47&amp;" "&amp;IF(AND(Milestones!$AB$47="FT",Milestones!$AA$47=FT_Y5,EDATE($D42,Milestones!$AA$47)&lt;PolicyEff),1,Milestones!$AC$47)&amp;";  ","")&amp;IF(AND(EDATE($D42,Milestones!$AA$48)&lt;=AsOfDate,EDATE($D42,Milestones!$AA$48)&gt;=SchemeStart,IF($X42=0,$AD42,IF(AND($Z42&lt;&gt;"",EDATE($D42,Milestones!$AA$48)&gt;=$Z42),$AC42,IF(AND($Y42&lt;&gt;"",EDATE($D42,Milestones!$AA$48)&gt;=$Y42),$AB42,$AA42)))=Milestones!$AB$48),UPPER(TEXT(EDATE($D42,Milestones!$AA$48),"dd mmm yy"))&amp;" "&amp;Milestones!$AB$48&amp;" "&amp;IF(AND(Milestones!$AB$48="FT",Milestones!$AA$48=FT_Y5,EDATE($D42,Milestones!$AA$48)&lt;PolicyEff),1,Milestones!$AC$48)&amp;";  ","")&amp;IF(AND(EDATE($D42,Milestones!$AA$49)&lt;=AsOfDate,EDATE($D42,Milestones!$AA$49)&gt;=SchemeStart,IF($X42=0,$AD42,IF(AND($Z42&lt;&gt;"",EDATE($D42,Milestones!$AA$49)&gt;=$Z42),$AC42,IF(AND($Y42&lt;&gt;"",EDATE($D42,Milestones!$AA$49)&gt;=$Y42),$AB42,$AA42)))=Milestones!$AB$49),UPPER(TEXT(EDATE($D42,Milestones!$AA$49),"dd mmm yy"))&amp;" "&amp;Milestones!$AB$49&amp;" "&amp;IF(AND(Milestones!$AB$49="FT",Milestones!$AA$49=FT_Y5,EDATE($D42,Milestones!$AA$49)&lt;PolicyEff),1,Milestones!$AC$49)&amp;";  ","")&amp;IF(AND(EDATE($D42,Milestones!$AA$50)&lt;=AsOfDate,EDATE($D42,Milestones!$AA$50)&gt;=SchemeStart,IF($X42=0,$AD42,IF(AND($Z42&lt;&gt;"",EDATE($D42,Milestones!$AA$50)&gt;=$Z42),$AC42,IF(AND($Y42&lt;&gt;"",EDATE($D42,Milestones!$AA$50)&gt;=$Y42),$AB42,$AA42)))=Milestones!$AB$50),UPPER(TEXT(EDATE($D42,Milestones!$AA$50),"dd mmm yy"))&amp;" "&amp;Milestones!$AB$50&amp;" "&amp;IF(AND(Milestones!$AB$50="FT",Milestones!$AA$50=FT_Y5,EDATE($D42,Milestones!$AA$50)&lt;PolicyEff),1,Milestones!$AC$50)&amp;";  ","")&amp;IF(AND(EDATE($D42,Milestones!$AA$51)&lt;=AsOfDate,EDATE($D42,Milestones!$AA$51)&gt;=SchemeStart,IF($X42=0,$AD42,IF(AND($Z42&lt;&gt;"",EDATE($D42,Milestones!$AA$51)&gt;=$Z42),$AC42,IF(AND($Y42&lt;&gt;"",EDATE($D42,Milestones!$AA$51)&gt;=$Y42),$AB42,$AA42)))=Milestones!$AB$51),UPPER(TEXT(EDATE($D42,Milestones!$AA$51),"dd mmm yy"))&amp;" "&amp;Milestones!$AB$51&amp;" "&amp;IF(AND(Milestones!$AB$51="FT",Milestones!$AA$51=FT_Y5,EDATE($D42,Milestones!$AA$51)&lt;PolicyEff),1,Milestones!$AC$51)&amp;";  ","")&amp;IF(AND(EDATE($D42,Milestones!$AA$52)&lt;=AsOfDate,EDATE($D42,Milestones!$AA$52)&gt;=SchemeStart,IF($X42=0,$AD42,IF(AND($Z42&lt;&gt;"",EDATE($D42,Milestones!$AA$52)&gt;=$Z42),$AC42,IF(AND($Y42&lt;&gt;"",EDATE($D42,Milestones!$AA$52)&gt;=$Y42),$AB42,$AA42)))=Milestones!$AB$52),UPPER(TEXT(EDATE($D42,Milestones!$AA$52),"dd mmm yy"))&amp;" "&amp;Milestones!$AB$52&amp;" "&amp;IF(AND(Milestones!$AB$52="FT",Milestones!$AA$52=FT_Y5,EDATE($D42,Milestones!$AA$52)&lt;PolicyEff),1,Milestones!$AC$52)&amp;";  ","")&amp;IF(AND(EDATE($D42,Milestones!$AA$53)&lt;=AsOfDate,EDATE($D42,Milestones!$AA$53)&gt;=SchemeStart,IF($X42=0,$AD42,IF(AND($Z42&lt;&gt;"",EDATE($D42,Milestones!$AA$53)&gt;=$Z42),$AC42,IF(AND($Y42&lt;&gt;"",EDATE($D42,Milestones!$AA$53)&gt;=$Y42),$AB42,$AA42)))=Milestones!$AB$53),UPPER(TEXT(EDATE($D42,Milestones!$AA$53),"dd mmm yy"))&amp;" "&amp;Milestones!$AB$53&amp;" "&amp;IF(AND(Milestones!$AB$53="FT",Milestones!$AA$53=FT_Y5,EDATE($D42,Milestones!$AA$53)&lt;PolicyEff),1,Milestones!$AC$53)&amp;";  ","")&amp;IF(AND(EDATE($D42,Milestones!$AA$54)&lt;=AsOfDate,EDATE($D42,Milestones!$AA$54)&gt;=SchemeStart,IF($X42=0,$AD42,IF(AND($Z42&lt;&gt;"",EDATE($D42,Milestones!$AA$54)&gt;=$Z42),$AC42,IF(AND($Y42&lt;&gt;"",EDATE($D42,Milestones!$AA$54)&gt;=$Y42),$AB42,$AA42)))=Milestones!$AB$54),UPPER(TEXT(EDATE($D42,Milestones!$AA$54),"dd mmm yy"))&amp;" "&amp;Milestones!$AB$54&amp;" "&amp;IF(AND(Milestones!$AB$54="FT",Milestones!$AA$54=FT_Y5,EDATE($D42,Milestones!$AA$54)&lt;PolicyEff),1,Milestones!$AC$54)&amp;";  ","")&amp;IF(AND(EDATE($D42,Milestones!$AA$55)&lt;=AsOfDate,EDATE($D42,Milestones!$AA$55)&gt;=SchemeStart,IF($X42=0,$AD42,IF(AND($Z42&lt;&gt;"",EDATE($D42,Milestones!$AA$55)&gt;=$Z42),$AC42,IF(AND($Y42&lt;&gt;"",EDATE($D42,Milestones!$AA$55)&gt;=$Y42),$AB42,$AA42)))=Milestones!$AB$55),UPPER(TEXT(EDATE($D42,Milestones!$AA$55),"dd mmm yy"))&amp;" "&amp;Milestones!$AB$55&amp;" "&amp;IF(AND(Milestones!$AB$55="FT",Milestones!$AA$55=FT_Y5,EDATE($D42,Milestones!$AA$55)&lt;PolicyEff),1,Milestones!$AC$55)&amp;";  ",""))</f>
        <v/>
      </c>
      <c r="L42" s="0" t="str">
        <f aca="false">IF(OR($A42="",$D42=""),"",IF(AND(EDATE($D42,Milestones!$AA$56)&lt;=AsOfDate,EDATE($D42,Milestones!$AA$56)&gt;=SchemeStart,IF($X42=0,$AD42,IF(AND($Z42&lt;&gt;"",EDATE($D42,Milestones!$AA$56)&gt;=$Z42),$AC42,IF(AND($Y42&lt;&gt;"",EDATE($D42,Milestones!$AA$56)&gt;=$Y42),$AB42,$AA42)))=Milestones!$AB$56),UPPER(TEXT(EDATE($D42,Milestones!$AA$56),"dd mmm yy"))&amp;" "&amp;Milestones!$AB$56&amp;" "&amp;IF(AND(Milestones!$AB$56="FT",Milestones!$AA$56=FT_Y5,EDATE($D42,Milestones!$AA$56)&lt;PolicyEff),1,Milestones!$AC$56)&amp;";  ","")&amp;IF(AND(EDATE($D42,Milestones!$AA$57)&lt;=AsOfDate,EDATE($D42,Milestones!$AA$57)&gt;=SchemeStart,IF($X42=0,$AD42,IF(AND($Z42&lt;&gt;"",EDATE($D42,Milestones!$AA$57)&gt;=$Z42),$AC42,IF(AND($Y42&lt;&gt;"",EDATE($D42,Milestones!$AA$57)&gt;=$Y42),$AB42,$AA42)))=Milestones!$AB$57),UPPER(TEXT(EDATE($D42,Milestones!$AA$57),"dd mmm yy"))&amp;" "&amp;Milestones!$AB$57&amp;" "&amp;IF(AND(Milestones!$AB$57="FT",Milestones!$AA$57=FT_Y5,EDATE($D42,Milestones!$AA$57)&lt;PolicyEff),1,Milestones!$AC$57)&amp;";  ","")&amp;IF(AND(EDATE($D42,Milestones!$AA$58)&lt;=AsOfDate,EDATE($D42,Milestones!$AA$58)&gt;=SchemeStart,IF($X42=0,$AD42,IF(AND($Z42&lt;&gt;"",EDATE($D42,Milestones!$AA$58)&gt;=$Z42),$AC42,IF(AND($Y42&lt;&gt;"",EDATE($D42,Milestones!$AA$58)&gt;=$Y42),$AB42,$AA42)))=Milestones!$AB$58),UPPER(TEXT(EDATE($D42,Milestones!$AA$58),"dd mmm yy"))&amp;" "&amp;Milestones!$AB$58&amp;" "&amp;IF(AND(Milestones!$AB$58="FT",Milestones!$AA$58=FT_Y5,EDATE($D42,Milestones!$AA$58)&lt;PolicyEff),1,Milestones!$AC$58)&amp;";  ","")&amp;IF(AND(EDATE($D42,Milestones!$AA$59)&lt;=AsOfDate,EDATE($D42,Milestones!$AA$59)&gt;=SchemeStart,IF($X42=0,$AD42,IF(AND($Z42&lt;&gt;"",EDATE($D42,Milestones!$AA$59)&gt;=$Z42),$AC42,IF(AND($Y42&lt;&gt;"",EDATE($D42,Milestones!$AA$59)&gt;=$Y42),$AB42,$AA42)))=Milestones!$AB$59),UPPER(TEXT(EDATE($D42,Milestones!$AA$59),"dd mmm yy"))&amp;" "&amp;Milestones!$AB$59&amp;" "&amp;IF(AND(Milestones!$AB$59="FT",Milestones!$AA$59=FT_Y5,EDATE($D42,Milestones!$AA$59)&lt;PolicyEff),1,Milestones!$AC$59)&amp;";  ","")&amp;IF(AND(EDATE($D42,Milestones!$AA$60)&lt;=AsOfDate,EDATE($D42,Milestones!$AA$60)&gt;=SchemeStart,IF($X42=0,$AD42,IF(AND($Z42&lt;&gt;"",EDATE($D42,Milestones!$AA$60)&gt;=$Z42),$AC42,IF(AND($Y42&lt;&gt;"",EDATE($D42,Milestones!$AA$60)&gt;=$Y42),$AB42,$AA42)))=Milestones!$AB$60),UPPER(TEXT(EDATE($D42,Milestones!$AA$60),"dd mmm yy"))&amp;" "&amp;Milestones!$AB$60&amp;" "&amp;IF(AND(Milestones!$AB$60="FT",Milestones!$AA$60=FT_Y5,EDATE($D42,Milestones!$AA$60)&lt;PolicyEff),1,Milestones!$AC$60)&amp;";  ","")&amp;IF(AND(EDATE($D42,Milestones!$AA$61)&lt;=AsOfDate,EDATE($D42,Milestones!$AA$61)&gt;=SchemeStart,IF($X42=0,$AD42,IF(AND($Z42&lt;&gt;"",EDATE($D42,Milestones!$AA$61)&gt;=$Z42),$AC42,IF(AND($Y42&lt;&gt;"",EDATE($D42,Milestones!$AA$61)&gt;=$Y42),$AB42,$AA42)))=Milestones!$AB$61),UPPER(TEXT(EDATE($D42,Milestones!$AA$61),"dd mmm yy"))&amp;" "&amp;Milestones!$AB$61&amp;" "&amp;IF(AND(Milestones!$AB$61="FT",Milestones!$AA$61=FT_Y5,EDATE($D42,Milestones!$AA$61)&lt;PolicyEff),1,Milestones!$AC$61)&amp;";  ","")&amp;IF(AND(EDATE($D42,Milestones!$AA$62)&lt;=AsOfDate,EDATE($D42,Milestones!$AA$62)&gt;=SchemeStart,IF($X42=0,$AD42,IF(AND($Z42&lt;&gt;"",EDATE($D42,Milestones!$AA$62)&gt;=$Z42),$AC42,IF(AND($Y42&lt;&gt;"",EDATE($D42,Milestones!$AA$62)&gt;=$Y42),$AB42,$AA42)))=Milestones!$AB$62),UPPER(TEXT(EDATE($D42,Milestones!$AA$62),"dd mmm yy"))&amp;" "&amp;Milestones!$AB$62&amp;" "&amp;IF(AND(Milestones!$AB$62="FT",Milestones!$AA$62=FT_Y5,EDATE($D42,Milestones!$AA$62)&lt;PolicyEff),1,Milestones!$AC$62)&amp;";  ","")&amp;IF(AND(EDATE($D42,Milestones!$AA$63)&lt;=AsOfDate,EDATE($D42,Milestones!$AA$63)&gt;=SchemeStart,IF($X42=0,$AD42,IF(AND($Z42&lt;&gt;"",EDATE($D42,Milestones!$AA$63)&gt;=$Z42),$AC42,IF(AND($Y42&lt;&gt;"",EDATE($D42,Milestones!$AA$63)&gt;=$Y42),$AB42,$AA42)))=Milestones!$AB$63),UPPER(TEXT(EDATE($D42,Milestones!$AA$63),"dd mmm yy"))&amp;" "&amp;Milestones!$AB$63&amp;" "&amp;IF(AND(Milestones!$AB$63="FT",Milestones!$AA$63=FT_Y5,EDATE($D42,Milestones!$AA$63)&lt;PolicyEff),1,Milestones!$AC$63)&amp;";  ","")&amp;IF(AND(EDATE($D42,Milestones!$AA$64)&lt;=AsOfDate,EDATE($D42,Milestones!$AA$64)&gt;=SchemeStart,IF($X42=0,$AD42,IF(AND($Z42&lt;&gt;"",EDATE($D42,Milestones!$AA$64)&gt;=$Z42),$AC42,IF(AND($Y42&lt;&gt;"",EDATE($D42,Milestones!$AA$64)&gt;=$Y42),$AB42,$AA42)))=Milestones!$AB$64),UPPER(TEXT(EDATE($D42,Milestones!$AA$64),"dd mmm yy"))&amp;" "&amp;Milestones!$AB$64&amp;" "&amp;IF(AND(Milestones!$AB$64="FT",Milestones!$AA$64=FT_Y5,EDATE($D42,Milestones!$AA$64)&lt;PolicyEff),1,Milestones!$AC$64)&amp;";  ","")&amp;IF(AND(EDATE($D42,Milestones!$AA$65)&lt;=AsOfDate,EDATE($D42,Milestones!$AA$65)&gt;=SchemeStart,IF($X42=0,$AD42,IF(AND($Z42&lt;&gt;"",EDATE($D42,Milestones!$AA$65)&gt;=$Z42),$AC42,IF(AND($Y42&lt;&gt;"",EDATE($D42,Milestones!$AA$65)&gt;=$Y42),$AB42,$AA42)))=Milestones!$AB$65),UPPER(TEXT(EDATE($D42,Milestones!$AA$65),"dd mmm yy"))&amp;" "&amp;Milestones!$AB$65&amp;" "&amp;IF(AND(Milestones!$AB$65="FT",Milestones!$AA$65=FT_Y5,EDATE($D42,Milestones!$AA$65)&lt;PolicyEff),1,Milestones!$AC$65)&amp;";  ","")&amp;IF(AND(EDATE($D42,Milestones!$AA$66)&lt;=AsOfDate,EDATE($D42,Milestones!$AA$66)&gt;=SchemeStart,IF($X42=0,$AD42,IF(AND($Z42&lt;&gt;"",EDATE($D42,Milestones!$AA$66)&gt;=$Z42),$AC42,IF(AND($Y42&lt;&gt;"",EDATE($D42,Milestones!$AA$66)&gt;=$Y42),$AB42,$AA42)))=Milestones!$AB$66),UPPER(TEXT(EDATE($D42,Milestones!$AA$66),"dd mmm yy"))&amp;" "&amp;Milestones!$AB$66&amp;" "&amp;IF(AND(Milestones!$AB$66="FT",Milestones!$AA$66=FT_Y5,EDATE($D42,Milestones!$AA$66)&lt;PolicyEff),1,Milestones!$AC$66)&amp;";  ","")&amp;IF(AND(EDATE($D42,Milestones!$AA$67)&lt;=AsOfDate,EDATE($D42,Milestones!$AA$67)&gt;=SchemeStart,IF($X42=0,$AD42,IF(AND($Z42&lt;&gt;"",EDATE($D42,Milestones!$AA$67)&gt;=$Z42),$AC42,IF(AND($Y42&lt;&gt;"",EDATE($D42,Milestones!$AA$67)&gt;=$Y42),$AB42,$AA42)))=Milestones!$AB$67),UPPER(TEXT(EDATE($D42,Milestones!$AA$67),"dd mmm yy"))&amp;" "&amp;Milestones!$AB$67&amp;" "&amp;IF(AND(Milestones!$AB$67="FT",Milestones!$AA$67=FT_Y5,EDATE($D42,Milestones!$AA$67)&lt;PolicyEff),1,Milestones!$AC$67)&amp;";  ",""))</f>
        <v/>
      </c>
      <c r="M42" s="0" t="str">
        <f aca="false">IF(OR($A42="",$D42=""),"",IF(AND(EDATE($D42,Milestones!$AA$68)&lt;=AsOfDate,EDATE($D42,Milestones!$AA$68)&gt;=SchemeStart,IF($X42=0,$AD42,IF(AND($Z42&lt;&gt;"",EDATE($D42,Milestones!$AA$68)&gt;=$Z42),$AC42,IF(AND($Y42&lt;&gt;"",EDATE($D42,Milestones!$AA$68)&gt;=$Y42),$AB42,$AA42)))=Milestones!$AB$68),UPPER(TEXT(EDATE($D42,Milestones!$AA$68),"dd mmm yy"))&amp;" "&amp;Milestones!$AB$68&amp;" "&amp;IF(AND(Milestones!$AB$68="FT",Milestones!$AA$68=FT_Y5,EDATE($D42,Milestones!$AA$68)&lt;PolicyEff),1,Milestones!$AC$68)&amp;";  ","")&amp;IF(AND(EDATE($D42,Milestones!$AA$69)&lt;=AsOfDate,EDATE($D42,Milestones!$AA$69)&gt;=SchemeStart,IF($X42=0,$AD42,IF(AND($Z42&lt;&gt;"",EDATE($D42,Milestones!$AA$69)&gt;=$Z42),$AC42,IF(AND($Y42&lt;&gt;"",EDATE($D42,Milestones!$AA$69)&gt;=$Y42),$AB42,$AA42)))=Milestones!$AB$69),UPPER(TEXT(EDATE($D42,Milestones!$AA$69),"dd mmm yy"))&amp;" "&amp;Milestones!$AB$69&amp;" "&amp;IF(AND(Milestones!$AB$69="FT",Milestones!$AA$69=FT_Y5,EDATE($D42,Milestones!$AA$69)&lt;PolicyEff),1,Milestones!$AC$69)&amp;";  ","")&amp;IF(AND(EDATE($D42,Milestones!$AA$70)&lt;=AsOfDate,EDATE($D42,Milestones!$AA$70)&gt;=SchemeStart,IF($X42=0,$AD42,IF(AND($Z42&lt;&gt;"",EDATE($D42,Milestones!$AA$70)&gt;=$Z42),$AC42,IF(AND($Y42&lt;&gt;"",EDATE($D42,Milestones!$AA$70)&gt;=$Y42),$AB42,$AA42)))=Milestones!$AB$70),UPPER(TEXT(EDATE($D42,Milestones!$AA$70),"dd mmm yy"))&amp;" "&amp;Milestones!$AB$70&amp;" "&amp;IF(AND(Milestones!$AB$70="FT",Milestones!$AA$70=FT_Y5,EDATE($D42,Milestones!$AA$70)&lt;PolicyEff),1,Milestones!$AC$70)&amp;";  ","")&amp;IF(AND(EDATE($D42,Milestones!$AA$71)&lt;=AsOfDate,EDATE($D42,Milestones!$AA$71)&gt;=SchemeStart,IF($X42=0,$AD42,IF(AND($Z42&lt;&gt;"",EDATE($D42,Milestones!$AA$71)&gt;=$Z42),$AC42,IF(AND($Y42&lt;&gt;"",EDATE($D42,Milestones!$AA$71)&gt;=$Y42),$AB42,$AA42)))=Milestones!$AB$71),UPPER(TEXT(EDATE($D42,Milestones!$AA$71),"dd mmm yy"))&amp;" "&amp;Milestones!$AB$71&amp;" "&amp;IF(AND(Milestones!$AB$71="FT",Milestones!$AA$71=FT_Y5,EDATE($D42,Milestones!$AA$71)&lt;PolicyEff),1,Milestones!$AC$71)&amp;";  ","")&amp;IF(AND(EDATE($D42,Milestones!$AA$72)&lt;=AsOfDate,EDATE($D42,Milestones!$AA$72)&gt;=SchemeStart,IF($X42=0,$AD42,IF(AND($Z42&lt;&gt;"",EDATE($D42,Milestones!$AA$72)&gt;=$Z42),$AC42,IF(AND($Y42&lt;&gt;"",EDATE($D42,Milestones!$AA$72)&gt;=$Y42),$AB42,$AA42)))=Milestones!$AB$72),UPPER(TEXT(EDATE($D42,Milestones!$AA$72),"dd mmm yy"))&amp;" "&amp;Milestones!$AB$72&amp;" "&amp;IF(AND(Milestones!$AB$72="FT",Milestones!$AA$72=FT_Y5,EDATE($D42,Milestones!$AA$72)&lt;PolicyEff),1,Milestones!$AC$72)&amp;";  ","")&amp;IF(AND(EDATE($D42,Milestones!$AA$73)&lt;=AsOfDate,EDATE($D42,Milestones!$AA$73)&gt;=SchemeStart,IF($X42=0,$AD42,IF(AND($Z42&lt;&gt;"",EDATE($D42,Milestones!$AA$73)&gt;=$Z42),$AC42,IF(AND($Y42&lt;&gt;"",EDATE($D42,Milestones!$AA$73)&gt;=$Y42),$AB42,$AA42)))=Milestones!$AB$73),UPPER(TEXT(EDATE($D42,Milestones!$AA$73),"dd mmm yy"))&amp;" "&amp;Milestones!$AB$73&amp;" "&amp;IF(AND(Milestones!$AB$73="FT",Milestones!$AA$73=FT_Y5,EDATE($D42,Milestones!$AA$73)&lt;PolicyEff),1,Milestones!$AC$73)&amp;";  ","")&amp;IF(AND(EDATE($D42,Milestones!$AA$74)&lt;=AsOfDate,EDATE($D42,Milestones!$AA$74)&gt;=SchemeStart,IF($X42=0,$AD42,IF(AND($Z42&lt;&gt;"",EDATE($D42,Milestones!$AA$74)&gt;=$Z42),$AC42,IF(AND($Y42&lt;&gt;"",EDATE($D42,Milestones!$AA$74)&gt;=$Y42),$AB42,$AA42)))=Milestones!$AB$74),UPPER(TEXT(EDATE($D42,Milestones!$AA$74),"dd mmm yy"))&amp;" "&amp;Milestones!$AB$74&amp;" "&amp;IF(AND(Milestones!$AB$74="FT",Milestones!$AA$74=FT_Y5,EDATE($D42,Milestones!$AA$74)&lt;PolicyEff),1,Milestones!$AC$74)&amp;";  ","")&amp;IF(AND(EDATE($D42,Milestones!$AA$75)&lt;=AsOfDate,EDATE($D42,Milestones!$AA$75)&gt;=SchemeStart,IF($X42=0,$AD42,IF(AND($Z42&lt;&gt;"",EDATE($D42,Milestones!$AA$75)&gt;=$Z42),$AC42,IF(AND($Y42&lt;&gt;"",EDATE($D42,Milestones!$AA$75)&gt;=$Y42),$AB42,$AA42)))=Milestones!$AB$75),UPPER(TEXT(EDATE($D42,Milestones!$AA$75),"dd mmm yy"))&amp;" "&amp;Milestones!$AB$75&amp;" "&amp;IF(AND(Milestones!$AB$75="FT",Milestones!$AA$75=FT_Y5,EDATE($D42,Milestones!$AA$75)&lt;PolicyEff),1,Milestones!$AC$75)&amp;";  ","")&amp;IF(AND(EDATE($D42,Milestones!$AA$76)&lt;=AsOfDate,EDATE($D42,Milestones!$AA$76)&gt;=SchemeStart,IF($X42=0,$AD42,IF(AND($Z42&lt;&gt;"",EDATE($D42,Milestones!$AA$76)&gt;=$Z42),$AC42,IF(AND($Y42&lt;&gt;"",EDATE($D42,Milestones!$AA$76)&gt;=$Y42),$AB42,$AA42)))=Milestones!$AB$76),UPPER(TEXT(EDATE($D42,Milestones!$AA$76),"dd mmm yy"))&amp;" "&amp;Milestones!$AB$76&amp;" "&amp;IF(AND(Milestones!$AB$76="FT",Milestones!$AA$76=FT_Y5,EDATE($D42,Milestones!$AA$76)&lt;PolicyEff),1,Milestones!$AC$76)&amp;";  ","")&amp;IF(AND(EDATE($D42,Milestones!$AA$77)&lt;=AsOfDate,EDATE($D42,Milestones!$AA$77)&gt;=SchemeStart,IF($X42=0,$AD42,IF(AND($Z42&lt;&gt;"",EDATE($D42,Milestones!$AA$77)&gt;=$Z42),$AC42,IF(AND($Y42&lt;&gt;"",EDATE($D42,Milestones!$AA$77)&gt;=$Y42),$AB42,$AA42)))=Milestones!$AB$77),UPPER(TEXT(EDATE($D42,Milestones!$AA$77),"dd mmm yy"))&amp;" "&amp;Milestones!$AB$77&amp;" "&amp;IF(AND(Milestones!$AB$77="FT",Milestones!$AA$77=FT_Y5,EDATE($D42,Milestones!$AA$77)&lt;PolicyEff),1,Milestones!$AC$77)&amp;";  ","")&amp;IF(AND(EDATE($D42,Milestones!$AA$78)&lt;=AsOfDate,EDATE($D42,Milestones!$AA$78)&gt;=SchemeStart,IF($X42=0,$AD42,IF(AND($Z42&lt;&gt;"",EDATE($D42,Milestones!$AA$78)&gt;=$Z42),$AC42,IF(AND($Y42&lt;&gt;"",EDATE($D42,Milestones!$AA$78)&gt;=$Y42),$AB42,$AA42)))=Milestones!$AB$78),UPPER(TEXT(EDATE($D42,Milestones!$AA$78),"dd mmm yy"))&amp;" "&amp;Milestones!$AB$78&amp;" "&amp;IF(AND(Milestones!$AB$78="FT",Milestones!$AA$78=FT_Y5,EDATE($D42,Milestones!$AA$78)&lt;PolicyEff),1,Milestones!$AC$78)&amp;";  ","")&amp;IF(AND(EDATE($D42,Milestones!$AA$79)&lt;=AsOfDate,EDATE($D42,Milestones!$AA$79)&gt;=SchemeStart,IF($X42=0,$AD42,IF(AND($Z42&lt;&gt;"",EDATE($D42,Milestones!$AA$79)&gt;=$Z42),$AC42,IF(AND($Y42&lt;&gt;"",EDATE($D42,Milestones!$AA$79)&gt;=$Y42),$AB42,$AA42)))=Milestones!$AB$79),UPPER(TEXT(EDATE($D42,Milestones!$AA$79),"dd mmm yy"))&amp;" "&amp;Milestones!$AB$79&amp;" "&amp;IF(AND(Milestones!$AB$79="FT",Milestones!$AA$79=FT_Y5,EDATE($D42,Milestones!$AA$79)&lt;PolicyEff),1,Milestones!$AC$79)&amp;";  ",""))</f>
        <v/>
      </c>
      <c r="N42" s="0" t="str">
        <f aca="false">IF(OR($A42="",$D42=""),"",IF(AND(EDATE($D42,Milestones!$AA$80)&lt;=AsOfDate,EDATE($D42,Milestones!$AA$80)&gt;=SchemeStart,IF($X42=0,$AD42,IF(AND($Z42&lt;&gt;"",EDATE($D42,Milestones!$AA$80)&gt;=$Z42),$AC42,IF(AND($Y42&lt;&gt;"",EDATE($D42,Milestones!$AA$80)&gt;=$Y42),$AB42,$AA42)))=Milestones!$AB$80),UPPER(TEXT(EDATE($D42,Milestones!$AA$80),"dd mmm yy"))&amp;" "&amp;Milestones!$AB$80&amp;" "&amp;IF(AND(Milestones!$AB$80="FT",Milestones!$AA$80=FT_Y5,EDATE($D42,Milestones!$AA$80)&lt;PolicyEff),1,Milestones!$AC$80)&amp;";  ","")&amp;IF(AND(EDATE($D42,Milestones!$AA$81)&lt;=AsOfDate,EDATE($D42,Milestones!$AA$81)&gt;=SchemeStart,IF($X42=0,$AD42,IF(AND($Z42&lt;&gt;"",EDATE($D42,Milestones!$AA$81)&gt;=$Z42),$AC42,IF(AND($Y42&lt;&gt;"",EDATE($D42,Milestones!$AA$81)&gt;=$Y42),$AB42,$AA42)))=Milestones!$AB$81),UPPER(TEXT(EDATE($D42,Milestones!$AA$81),"dd mmm yy"))&amp;" "&amp;Milestones!$AB$81&amp;" "&amp;IF(AND(Milestones!$AB$81="FT",Milestones!$AA$81=FT_Y5,EDATE($D42,Milestones!$AA$81)&lt;PolicyEff),1,Milestones!$AC$81)&amp;";  ","")&amp;IF(AND(EDATE($D42,Milestones!$AA$82)&lt;=AsOfDate,EDATE($D42,Milestones!$AA$82)&gt;=SchemeStart,IF($X42=0,$AD42,IF(AND($Z42&lt;&gt;"",EDATE($D42,Milestones!$AA$82)&gt;=$Z42),$AC42,IF(AND($Y42&lt;&gt;"",EDATE($D42,Milestones!$AA$82)&gt;=$Y42),$AB42,$AA42)))=Milestones!$AB$82),UPPER(TEXT(EDATE($D42,Milestones!$AA$82),"dd mmm yy"))&amp;" "&amp;Milestones!$AB$82&amp;" "&amp;IF(AND(Milestones!$AB$82="FT",Milestones!$AA$82=FT_Y5,EDATE($D42,Milestones!$AA$82)&lt;PolicyEff),1,Milestones!$AC$82)&amp;";  ","")&amp;IF(AND(EDATE($D42,Milestones!$AA$83)&lt;=AsOfDate,EDATE($D42,Milestones!$AA$83)&gt;=SchemeStart,IF($X42=0,$AD42,IF(AND($Z42&lt;&gt;"",EDATE($D42,Milestones!$AA$83)&gt;=$Z42),$AC42,IF(AND($Y42&lt;&gt;"",EDATE($D42,Milestones!$AA$83)&gt;=$Y42),$AB42,$AA42)))=Milestones!$AB$83),UPPER(TEXT(EDATE($D42,Milestones!$AA$83),"dd mmm yy"))&amp;" "&amp;Milestones!$AB$83&amp;" "&amp;IF(AND(Milestones!$AB$83="FT",Milestones!$AA$83=FT_Y5,EDATE($D42,Milestones!$AA$83)&lt;PolicyEff),1,Milestones!$AC$83)&amp;";  ","")&amp;IF(AND(EDATE($D42,Milestones!$AA$84)&lt;=AsOfDate,EDATE($D42,Milestones!$AA$84)&gt;=SchemeStart,IF($X42=0,$AD42,IF(AND($Z42&lt;&gt;"",EDATE($D42,Milestones!$AA$84)&gt;=$Z42),$AC42,IF(AND($Y42&lt;&gt;"",EDATE($D42,Milestones!$AA$84)&gt;=$Y42),$AB42,$AA42)))=Milestones!$AB$84),UPPER(TEXT(EDATE($D42,Milestones!$AA$84),"dd mmm yy"))&amp;" "&amp;Milestones!$AB$84&amp;" "&amp;IF(AND(Milestones!$AB$84="FT",Milestones!$AA$84=FT_Y5,EDATE($D42,Milestones!$AA$84)&lt;PolicyEff),1,Milestones!$AC$84)&amp;";  ","")&amp;IF(AND(EDATE($D42,Milestones!$AA$85)&lt;=AsOfDate,EDATE($D42,Milestones!$AA$85)&gt;=SchemeStart,IF($X42=0,$AD42,IF(AND($Z42&lt;&gt;"",EDATE($D42,Milestones!$AA$85)&gt;=$Z42),$AC42,IF(AND($Y42&lt;&gt;"",EDATE($D42,Milestones!$AA$85)&gt;=$Y42),$AB42,$AA42)))=Milestones!$AB$85),UPPER(TEXT(EDATE($D42,Milestones!$AA$85),"dd mmm yy"))&amp;" "&amp;Milestones!$AB$85&amp;" "&amp;IF(AND(Milestones!$AB$85="FT",Milestones!$AA$85=FT_Y5,EDATE($D42,Milestones!$AA$85)&lt;PolicyEff),1,Milestones!$AC$85)&amp;";  ","")&amp;IF(AND(EDATE($D42,Milestones!$AA$86)&lt;=AsOfDate,EDATE($D42,Milestones!$AA$86)&gt;=SchemeStart,IF($X42=0,$AD42,IF(AND($Z42&lt;&gt;"",EDATE($D42,Milestones!$AA$86)&gt;=$Z42),$AC42,IF(AND($Y42&lt;&gt;"",EDATE($D42,Milestones!$AA$86)&gt;=$Y42),$AB42,$AA42)))=Milestones!$AB$86),UPPER(TEXT(EDATE($D42,Milestones!$AA$86),"dd mmm yy"))&amp;" "&amp;Milestones!$AB$86&amp;" "&amp;IF(AND(Milestones!$AB$86="FT",Milestones!$AA$86=FT_Y5,EDATE($D42,Milestones!$AA$86)&lt;PolicyEff),1,Milestones!$AC$86)&amp;";  ","")&amp;IF(AND(EDATE($D42,Milestones!$AA$87)&lt;=AsOfDate,EDATE($D42,Milestones!$AA$87)&gt;=SchemeStart,IF($X42=0,$AD42,IF(AND($Z42&lt;&gt;"",EDATE($D42,Milestones!$AA$87)&gt;=$Z42),$AC42,IF(AND($Y42&lt;&gt;"",EDATE($D42,Milestones!$AA$87)&gt;=$Y42),$AB42,$AA42)))=Milestones!$AB$87),UPPER(TEXT(EDATE($D42,Milestones!$AA$87),"dd mmm yy"))&amp;" "&amp;Milestones!$AB$87&amp;" "&amp;IF(AND(Milestones!$AB$87="FT",Milestones!$AA$87=FT_Y5,EDATE($D42,Milestones!$AA$87)&lt;PolicyEff),1,Milestones!$AC$87)&amp;";  ","")&amp;IF(AND(EDATE($D42,Milestones!$AA$88)&lt;=AsOfDate,EDATE($D42,Milestones!$AA$88)&gt;=SchemeStart,IF($X42=0,$AD42,IF(AND($Z42&lt;&gt;"",EDATE($D42,Milestones!$AA$88)&gt;=$Z42),$AC42,IF(AND($Y42&lt;&gt;"",EDATE($D42,Milestones!$AA$88)&gt;=$Y42),$AB42,$AA42)))=Milestones!$AB$88),UPPER(TEXT(EDATE($D42,Milestones!$AA$88),"dd mmm yy"))&amp;" "&amp;Milestones!$AB$88&amp;" "&amp;IF(AND(Milestones!$AB$88="FT",Milestones!$AA$88=FT_Y5,EDATE($D42,Milestones!$AA$88)&lt;PolicyEff),1,Milestones!$AC$88)&amp;";  ","")&amp;IF(AND(EDATE($D42,Milestones!$AA$89)&lt;=AsOfDate,EDATE($D42,Milestones!$AA$89)&gt;=SchemeStart,IF($X42=0,$AD42,IF(AND($Z42&lt;&gt;"",EDATE($D42,Milestones!$AA$89)&gt;=$Z42),$AC42,IF(AND($Y42&lt;&gt;"",EDATE($D42,Milestones!$AA$89)&gt;=$Y42),$AB42,$AA42)))=Milestones!$AB$89),UPPER(TEXT(EDATE($D42,Milestones!$AA$89),"dd mmm yy"))&amp;" "&amp;Milestones!$AB$89&amp;" "&amp;IF(AND(Milestones!$AB$89="FT",Milestones!$AA$89=FT_Y5,EDATE($D42,Milestones!$AA$89)&lt;PolicyEff),1,Milestones!$AC$89)&amp;";  ","")&amp;IF(AND(EDATE($D42,Milestones!$AA$90)&lt;=AsOfDate,EDATE($D42,Milestones!$AA$90)&gt;=SchemeStart,IF($X42=0,$AD42,IF(AND($Z42&lt;&gt;"",EDATE($D42,Milestones!$AA$90)&gt;=$Z42),$AC42,IF(AND($Y42&lt;&gt;"",EDATE($D42,Milestones!$AA$90)&gt;=$Y42),$AB42,$AA42)))=Milestones!$AB$90),UPPER(TEXT(EDATE($D42,Milestones!$AA$90),"dd mmm yy"))&amp;" "&amp;Milestones!$AB$90&amp;" "&amp;IF(AND(Milestones!$AB$90="FT",Milestones!$AA$90=FT_Y5,EDATE($D42,Milestones!$AA$90)&lt;PolicyEff),1,Milestones!$AC$90)&amp;";  ","")&amp;IF(AND(EDATE($D42,Milestones!$AA$91)&lt;=AsOfDate,EDATE($D42,Milestones!$AA$91)&gt;=SchemeStart,IF($X42=0,$AD42,IF(AND($Z42&lt;&gt;"",EDATE($D42,Milestones!$AA$91)&gt;=$Z42),$AC42,IF(AND($Y42&lt;&gt;"",EDATE($D42,Milestones!$AA$91)&gt;=$Y42),$AB42,$AA42)))=Milestones!$AB$91),UPPER(TEXT(EDATE($D42,Milestones!$AA$91),"dd mmm yy"))&amp;" "&amp;Milestones!$AB$91&amp;" "&amp;IF(AND(Milestones!$AB$91="FT",Milestones!$AA$91=FT_Y5,EDATE($D42,Milestones!$AA$91)&lt;PolicyEff),1,Milestones!$AC$91)&amp;";  ",""))</f>
        <v/>
      </c>
      <c r="O42" s="0" t="str">
        <f aca="false">IF(OR($A42="",$D42=""),"",IF(AND(EDATE($D42,Milestones!$AA$92)&lt;=AsOfDate,EDATE($D42,Milestones!$AA$92)&gt;=SchemeStart,IF($X42=0,$AD42,IF(AND($Z42&lt;&gt;"",EDATE($D42,Milestones!$AA$92)&gt;=$Z42),$AC42,IF(AND($Y42&lt;&gt;"",EDATE($D42,Milestones!$AA$92)&gt;=$Y42),$AB42,$AA42)))=Milestones!$AB$92),UPPER(TEXT(EDATE($D42,Milestones!$AA$92),"dd mmm yy"))&amp;" "&amp;Milestones!$AB$92&amp;" "&amp;IF(AND(Milestones!$AB$92="FT",Milestones!$AA$92=FT_Y5,EDATE($D42,Milestones!$AA$92)&lt;PolicyEff),1,Milestones!$AC$92)&amp;";  ","")&amp;IF(AND(EDATE($D42,Milestones!$AA$93)&lt;=AsOfDate,EDATE($D42,Milestones!$AA$93)&gt;=SchemeStart,IF($X42=0,$AD42,IF(AND($Z42&lt;&gt;"",EDATE($D42,Milestones!$AA$93)&gt;=$Z42),$AC42,IF(AND($Y42&lt;&gt;"",EDATE($D42,Milestones!$AA$93)&gt;=$Y42),$AB42,$AA42)))=Milestones!$AB$93),UPPER(TEXT(EDATE($D42,Milestones!$AA$93),"dd mmm yy"))&amp;" "&amp;Milestones!$AB$93&amp;" "&amp;IF(AND(Milestones!$AB$93="FT",Milestones!$AA$93=FT_Y5,EDATE($D42,Milestones!$AA$93)&lt;PolicyEff),1,Milestones!$AC$93)&amp;";  ","")&amp;IF(AND(EDATE($D42,Milestones!$AA$94)&lt;=AsOfDate,EDATE($D42,Milestones!$AA$94)&gt;=SchemeStart,IF($X42=0,$AD42,IF(AND($Z42&lt;&gt;"",EDATE($D42,Milestones!$AA$94)&gt;=$Z42),$AC42,IF(AND($Y42&lt;&gt;"",EDATE($D42,Milestones!$AA$94)&gt;=$Y42),$AB42,$AA42)))=Milestones!$AB$94),UPPER(TEXT(EDATE($D42,Milestones!$AA$94),"dd mmm yy"))&amp;" "&amp;Milestones!$AB$94&amp;" "&amp;IF(AND(Milestones!$AB$94="FT",Milestones!$AA$94=FT_Y5,EDATE($D42,Milestones!$AA$94)&lt;PolicyEff),1,Milestones!$AC$94)&amp;";  ","")&amp;IF(AND(EDATE($D42,Milestones!$AA$95)&lt;=AsOfDate,EDATE($D42,Milestones!$AA$95)&gt;=SchemeStart,IF($X42=0,$AD42,IF(AND($Z42&lt;&gt;"",EDATE($D42,Milestones!$AA$95)&gt;=$Z42),$AC42,IF(AND($Y42&lt;&gt;"",EDATE($D42,Milestones!$AA$95)&gt;=$Y42),$AB42,$AA42)))=Milestones!$AB$95),UPPER(TEXT(EDATE($D42,Milestones!$AA$95),"dd mmm yy"))&amp;" "&amp;Milestones!$AB$95&amp;" "&amp;IF(AND(Milestones!$AB$95="FT",Milestones!$AA$95=FT_Y5,EDATE($D42,Milestones!$AA$95)&lt;PolicyEff),1,Milestones!$AC$95)&amp;";  ","")&amp;IF(AND(EDATE($D42,Milestones!$AA$96)&lt;=AsOfDate,EDATE($D42,Milestones!$AA$96)&gt;=SchemeStart,IF($X42=0,$AD42,IF(AND($Z42&lt;&gt;"",EDATE($D42,Milestones!$AA$96)&gt;=$Z42),$AC42,IF(AND($Y42&lt;&gt;"",EDATE($D42,Milestones!$AA$96)&gt;=$Y42),$AB42,$AA42)))=Milestones!$AB$96),UPPER(TEXT(EDATE($D42,Milestones!$AA$96),"dd mmm yy"))&amp;" "&amp;Milestones!$AB$96&amp;" "&amp;IF(AND(Milestones!$AB$96="FT",Milestones!$AA$96=FT_Y5,EDATE($D42,Milestones!$AA$96)&lt;PolicyEff),1,Milestones!$AC$96)&amp;";  ","")&amp;IF(AND(EDATE($D42,Milestones!$AA$97)&lt;=AsOfDate,EDATE($D42,Milestones!$AA$97)&gt;=SchemeStart,IF($X42=0,$AD42,IF(AND($Z42&lt;&gt;"",EDATE($D42,Milestones!$AA$97)&gt;=$Z42),$AC42,IF(AND($Y42&lt;&gt;"",EDATE($D42,Milestones!$AA$97)&gt;=$Y42),$AB42,$AA42)))=Milestones!$AB$97),UPPER(TEXT(EDATE($D42,Milestones!$AA$97),"dd mmm yy"))&amp;" "&amp;Milestones!$AB$97&amp;" "&amp;IF(AND(Milestones!$AB$97="FT",Milestones!$AA$97=FT_Y5,EDATE($D42,Milestones!$AA$97)&lt;PolicyEff),1,Milestones!$AC$97)&amp;";  ","")&amp;IF(AND(EDATE($D42,Milestones!$AA$98)&lt;=AsOfDate,EDATE($D42,Milestones!$AA$98)&gt;=SchemeStart,IF($X42=0,$AD42,IF(AND($Z42&lt;&gt;"",EDATE($D42,Milestones!$AA$98)&gt;=$Z42),$AC42,IF(AND($Y42&lt;&gt;"",EDATE($D42,Milestones!$AA$98)&gt;=$Y42),$AB42,$AA42)))=Milestones!$AB$98),UPPER(TEXT(EDATE($D42,Milestones!$AA$98),"dd mmm yy"))&amp;" "&amp;Milestones!$AB$98&amp;" "&amp;IF(AND(Milestones!$AB$98="FT",Milestones!$AA$98=FT_Y5,EDATE($D42,Milestones!$AA$98)&lt;PolicyEff),1,Milestones!$AC$98)&amp;";  ","")&amp;IF(AND(EDATE($D42,Milestones!$AA$99)&lt;=AsOfDate,EDATE($D42,Milestones!$AA$99)&gt;=SchemeStart,IF($X42=0,$AD42,IF(AND($Z42&lt;&gt;"",EDATE($D42,Milestones!$AA$99)&gt;=$Z42),$AC42,IF(AND($Y42&lt;&gt;"",EDATE($D42,Milestones!$AA$99)&gt;=$Y42),$AB42,$AA42)))=Milestones!$AB$99),UPPER(TEXT(EDATE($D42,Milestones!$AA$99),"dd mmm yy"))&amp;" "&amp;Milestones!$AB$99&amp;" "&amp;IF(AND(Milestones!$AB$99="FT",Milestones!$AA$99=FT_Y5,EDATE($D42,Milestones!$AA$99)&lt;PolicyEff),1,Milestones!$AC$99)&amp;";  ","")&amp;IF(AND(EDATE($D42,Milestones!$AA$100)&lt;=AsOfDate,EDATE($D42,Milestones!$AA$100)&gt;=SchemeStart,IF($X42=0,$AD42,IF(AND($Z42&lt;&gt;"",EDATE($D42,Milestones!$AA$100)&gt;=$Z42),$AC42,IF(AND($Y42&lt;&gt;"",EDATE($D42,Milestones!$AA$100)&gt;=$Y42),$AB42,$AA42)))=Milestones!$AB$100),UPPER(TEXT(EDATE($D42,Milestones!$AA$100),"dd mmm yy"))&amp;" "&amp;Milestones!$AB$100&amp;" "&amp;IF(AND(Milestones!$AB$100="FT",Milestones!$AA$100=FT_Y5,EDATE($D42,Milestones!$AA$100)&lt;PolicyEff),1,Milestones!$AC$100)&amp;";  ","")&amp;IF(AND(EDATE($D42,Milestones!$AA$101)&lt;=AsOfDate,EDATE($D42,Milestones!$AA$101)&gt;=SchemeStart,IF($X42=0,$AD42,IF(AND($Z42&lt;&gt;"",EDATE($D42,Milestones!$AA$101)&gt;=$Z42),$AC42,IF(AND($Y42&lt;&gt;"",EDATE($D42,Milestones!$AA$101)&gt;=$Y42),$AB42,$AA42)))=Milestones!$AB$101),UPPER(TEXT(EDATE($D42,Milestones!$AA$101),"dd mmm yy"))&amp;" "&amp;Milestones!$AB$101&amp;" "&amp;IF(AND(Milestones!$AB$101="FT",Milestones!$AA$101=FT_Y5,EDATE($D42,Milestones!$AA$101)&lt;PolicyEff),1,Milestones!$AC$101)&amp;";  ","")&amp;IF(AND(EDATE($D42,Milestones!$AA$102)&lt;=AsOfDate,EDATE($D42,Milestones!$AA$102)&gt;=SchemeStart,IF($X42=0,$AD42,IF(AND($Z42&lt;&gt;"",EDATE($D42,Milestones!$AA$102)&gt;=$Z42),$AC42,IF(AND($Y42&lt;&gt;"",EDATE($D42,Milestones!$AA$102)&gt;=$Y42),$AB42,$AA42)))=Milestones!$AB$102),UPPER(TEXT(EDATE($D42,Milestones!$AA$102),"dd mmm yy"))&amp;" "&amp;Milestones!$AB$102&amp;" "&amp;IF(AND(Milestones!$AB$102="FT",Milestones!$AA$102=FT_Y5,EDATE($D42,Milestones!$AA$102)&lt;PolicyEff),1,Milestones!$AC$102)&amp;";  ","")&amp;IF(AND(EDATE($D42,Milestones!$AA$103)&lt;=AsOfDate,EDATE($D42,Milestones!$AA$103)&gt;=SchemeStart,IF($X42=0,$AD42,IF(AND($Z42&lt;&gt;"",EDATE($D42,Milestones!$AA$103)&gt;=$Z42),$AC42,IF(AND($Y42&lt;&gt;"",EDATE($D42,Milestones!$AA$103)&gt;=$Y42),$AB42,$AA42)))=Milestones!$AB$103),UPPER(TEXT(EDATE($D42,Milestones!$AA$103),"dd mmm yy"))&amp;" "&amp;Milestones!$AB$103&amp;" "&amp;IF(AND(Milestones!$AB$103="FT",Milestones!$AA$103=FT_Y5,EDATE($D42,Milestones!$AA$103)&lt;PolicyEff),1,Milestones!$AC$103)&amp;";  ",""))</f>
        <v/>
      </c>
      <c r="P42" s="0" t="str">
        <f aca="false">IF(OR($A42="",$D42=""),"",IF(AND(EDATE($D42,Milestones!$AA$104)&lt;=AsOfDate,EDATE($D42,Milestones!$AA$104)&gt;=SchemeStart,IF($X42=0,$AD42,IF(AND($Z42&lt;&gt;"",EDATE($D42,Milestones!$AA$104)&gt;=$Z42),$AC42,IF(AND($Y42&lt;&gt;"",EDATE($D42,Milestones!$AA$104)&gt;=$Y42),$AB42,$AA42)))=Milestones!$AB$104),UPPER(TEXT(EDATE($D42,Milestones!$AA$104),"dd mmm yy"))&amp;" "&amp;Milestones!$AB$104&amp;" "&amp;IF(AND(Milestones!$AB$104="FT",Milestones!$AA$104=FT_Y5,EDATE($D42,Milestones!$AA$104)&lt;PolicyEff),1,Milestones!$AC$104)&amp;";  ","")&amp;IF(AND(EDATE($D42,Milestones!$AA$105)&lt;=AsOfDate,EDATE($D42,Milestones!$AA$105)&gt;=SchemeStart,IF($X42=0,$AD42,IF(AND($Z42&lt;&gt;"",EDATE($D42,Milestones!$AA$105)&gt;=$Z42),$AC42,IF(AND($Y42&lt;&gt;"",EDATE($D42,Milestones!$AA$105)&gt;=$Y42),$AB42,$AA42)))=Milestones!$AB$105),UPPER(TEXT(EDATE($D42,Milestones!$AA$105),"dd mmm yy"))&amp;" "&amp;Milestones!$AB$105&amp;" "&amp;IF(AND(Milestones!$AB$105="FT",Milestones!$AA$105=FT_Y5,EDATE($D42,Milestones!$AA$105)&lt;PolicyEff),1,Milestones!$AC$105)&amp;";  ","")&amp;IF(AND(EDATE($D42,Milestones!$AA$106)&lt;=AsOfDate,EDATE($D42,Milestones!$AA$106)&gt;=SchemeStart,IF($X42=0,$AD42,IF(AND($Z42&lt;&gt;"",EDATE($D42,Milestones!$AA$106)&gt;=$Z42),$AC42,IF(AND($Y42&lt;&gt;"",EDATE($D42,Milestones!$AA$106)&gt;=$Y42),$AB42,$AA42)))=Milestones!$AB$106),UPPER(TEXT(EDATE($D42,Milestones!$AA$106),"dd mmm yy"))&amp;" "&amp;Milestones!$AB$106&amp;" "&amp;IF(AND(Milestones!$AB$106="FT",Milestones!$AA$106=FT_Y5,EDATE($D42,Milestones!$AA$106)&lt;PolicyEff),1,Milestones!$AC$106)&amp;";  ","")&amp;IF(AND(EDATE($D42,Milestones!$AA$107)&lt;=AsOfDate,EDATE($D42,Milestones!$AA$107)&gt;=SchemeStart,IF($X42=0,$AD42,IF(AND($Z42&lt;&gt;"",EDATE($D42,Milestones!$AA$107)&gt;=$Z42),$AC42,IF(AND($Y42&lt;&gt;"",EDATE($D42,Milestones!$AA$107)&gt;=$Y42),$AB42,$AA42)))=Milestones!$AB$107),UPPER(TEXT(EDATE($D42,Milestones!$AA$107),"dd mmm yy"))&amp;" "&amp;Milestones!$AB$107&amp;" "&amp;IF(AND(Milestones!$AB$107="FT",Milestones!$AA$107=FT_Y5,EDATE($D42,Milestones!$AA$107)&lt;PolicyEff),1,Milestones!$AC$107)&amp;";  ","")&amp;IF(AND(EDATE($D42,Milestones!$AA$108)&lt;=AsOfDate,EDATE($D42,Milestones!$AA$108)&gt;=SchemeStart,IF($X42=0,$AD42,IF(AND($Z42&lt;&gt;"",EDATE($D42,Milestones!$AA$108)&gt;=$Z42),$AC42,IF(AND($Y42&lt;&gt;"",EDATE($D42,Milestones!$AA$108)&gt;=$Y42),$AB42,$AA42)))=Milestones!$AB$108),UPPER(TEXT(EDATE($D42,Milestones!$AA$108),"dd mmm yy"))&amp;" "&amp;Milestones!$AB$108&amp;" "&amp;IF(AND(Milestones!$AB$108="FT",Milestones!$AA$108=FT_Y5,EDATE($D42,Milestones!$AA$108)&lt;PolicyEff),1,Milestones!$AC$108)&amp;";  ","")&amp;IF(AND(EDATE($D42,Milestones!$AA$109)&lt;=AsOfDate,EDATE($D42,Milestones!$AA$109)&gt;=SchemeStart,IF($X42=0,$AD42,IF(AND($Z42&lt;&gt;"",EDATE($D42,Milestones!$AA$109)&gt;=$Z42),$AC42,IF(AND($Y42&lt;&gt;"",EDATE($D42,Milestones!$AA$109)&gt;=$Y42),$AB42,$AA42)))=Milestones!$AB$109),UPPER(TEXT(EDATE($D42,Milestones!$AA$109),"dd mmm yy"))&amp;" "&amp;Milestones!$AB$109&amp;" "&amp;IF(AND(Milestones!$AB$109="FT",Milestones!$AA$109=FT_Y5,EDATE($D42,Milestones!$AA$109)&lt;PolicyEff),1,Milestones!$AC$109)&amp;";  ","")&amp;IF(AND(EDATE($D42,Milestones!$AA$110)&lt;=AsOfDate,EDATE($D42,Milestones!$AA$110)&gt;=SchemeStart,IF($X42=0,$AD42,IF(AND($Z42&lt;&gt;"",EDATE($D42,Milestones!$AA$110)&gt;=$Z42),$AC42,IF(AND($Y42&lt;&gt;"",EDATE($D42,Milestones!$AA$110)&gt;=$Y42),$AB42,$AA42)))=Milestones!$AB$110),UPPER(TEXT(EDATE($D42,Milestones!$AA$110),"dd mmm yy"))&amp;" "&amp;Milestones!$AB$110&amp;" "&amp;IF(AND(Milestones!$AB$110="FT",Milestones!$AA$110=FT_Y5,EDATE($D42,Milestones!$AA$110)&lt;PolicyEff),1,Milestones!$AC$110)&amp;";  ","")&amp;IF(AND(EDATE($D42,Milestones!$AA$111)&lt;=AsOfDate,EDATE($D42,Milestones!$AA$111)&gt;=SchemeStart,IF($X42=0,$AD42,IF(AND($Z42&lt;&gt;"",EDATE($D42,Milestones!$AA$111)&gt;=$Z42),$AC42,IF(AND($Y42&lt;&gt;"",EDATE($D42,Milestones!$AA$111)&gt;=$Y42),$AB42,$AA42)))=Milestones!$AB$111),UPPER(TEXT(EDATE($D42,Milestones!$AA$111),"dd mmm yy"))&amp;" "&amp;Milestones!$AB$111&amp;" "&amp;IF(AND(Milestones!$AB$111="FT",Milestones!$AA$111=FT_Y5,EDATE($D42,Milestones!$AA$111)&lt;PolicyEff),1,Milestones!$AC$111)&amp;";  ","")&amp;IF(AND(EDATE($D42,Milestones!$AA$112)&lt;=AsOfDate,EDATE($D42,Milestones!$AA$112)&gt;=SchemeStart,IF($X42=0,$AD42,IF(AND($Z42&lt;&gt;"",EDATE($D42,Milestones!$AA$112)&gt;=$Z42),$AC42,IF(AND($Y42&lt;&gt;"",EDATE($D42,Milestones!$AA$112)&gt;=$Y42),$AB42,$AA42)))=Milestones!$AB$112),UPPER(TEXT(EDATE($D42,Milestones!$AA$112),"dd mmm yy"))&amp;" "&amp;Milestones!$AB$112&amp;" "&amp;IF(AND(Milestones!$AB$112="FT",Milestones!$AA$112=FT_Y5,EDATE($D42,Milestones!$AA$112)&lt;PolicyEff),1,Milestones!$AC$112)&amp;";  ","")&amp;IF(AND(EDATE($D42,Milestones!$AA$113)&lt;=AsOfDate,EDATE($D42,Milestones!$AA$113)&gt;=SchemeStart,IF($X42=0,$AD42,IF(AND($Z42&lt;&gt;"",EDATE($D42,Milestones!$AA$113)&gt;=$Z42),$AC42,IF(AND($Y42&lt;&gt;"",EDATE($D42,Milestones!$AA$113)&gt;=$Y42),$AB42,$AA42)))=Milestones!$AB$113),UPPER(TEXT(EDATE($D42,Milestones!$AA$113),"dd mmm yy"))&amp;" "&amp;Milestones!$AB$113&amp;" "&amp;IF(AND(Milestones!$AB$113="FT",Milestones!$AA$113=FT_Y5,EDATE($D42,Milestones!$AA$113)&lt;PolicyEff),1,Milestones!$AC$113)&amp;";  ","")&amp;IF(AND(EDATE($D42,Milestones!$AA$114)&lt;=AsOfDate,EDATE($D42,Milestones!$AA$114)&gt;=SchemeStart,IF($X42=0,$AD42,IF(AND($Z42&lt;&gt;"",EDATE($D42,Milestones!$AA$114)&gt;=$Z42),$AC42,IF(AND($Y42&lt;&gt;"",EDATE($D42,Milestones!$AA$114)&gt;=$Y42),$AB42,$AA42)))=Milestones!$AB$114),UPPER(TEXT(EDATE($D42,Milestones!$AA$114),"dd mmm yy"))&amp;" "&amp;Milestones!$AB$114&amp;" "&amp;IF(AND(Milestones!$AB$114="FT",Milestones!$AA$114=FT_Y5,EDATE($D42,Milestones!$AA$114)&lt;PolicyEff),1,Milestones!$AC$114)&amp;";  ","")&amp;IF(AND(EDATE($D42,Milestones!$AA$115)&lt;=AsOfDate,EDATE($D42,Milestones!$AA$115)&gt;=SchemeStart,IF($X42=0,$AD42,IF(AND($Z42&lt;&gt;"",EDATE($D42,Milestones!$AA$115)&gt;=$Z42),$AC42,IF(AND($Y42&lt;&gt;"",EDATE($D42,Milestones!$AA$115)&gt;=$Y42),$AB42,$AA42)))=Milestones!$AB$115),UPPER(TEXT(EDATE($D42,Milestones!$AA$115),"dd mmm yy"))&amp;" "&amp;Milestones!$AB$115&amp;" "&amp;IF(AND(Milestones!$AB$115="FT",Milestones!$AA$115=FT_Y5,EDATE($D42,Milestones!$AA$115)&lt;PolicyEff),1,Milestones!$AC$115)&amp;";  ",""))</f>
        <v/>
      </c>
      <c r="Q42" s="0" t="str">
        <f aca="false">IF(OR($A42="",$D42=""),"",IF(AND(EDATE($D42,Milestones!$AA$116)&lt;=AsOfDate,EDATE($D42,Milestones!$AA$116)&gt;=SchemeStart,IF($X42=0,$AD42,IF(AND($Z42&lt;&gt;"",EDATE($D42,Milestones!$AA$116)&gt;=$Z42),$AC42,IF(AND($Y42&lt;&gt;"",EDATE($D42,Milestones!$AA$116)&gt;=$Y42),$AB42,$AA42)))=Milestones!$AB$116),UPPER(TEXT(EDATE($D42,Milestones!$AA$116),"dd mmm yy"))&amp;" "&amp;Milestones!$AB$116&amp;" "&amp;IF(AND(Milestones!$AB$116="FT",Milestones!$AA$116=FT_Y5,EDATE($D42,Milestones!$AA$116)&lt;PolicyEff),1,Milestones!$AC$116)&amp;";  ","")&amp;IF(AND(EDATE($D42,Milestones!$AA$117)&lt;=AsOfDate,EDATE($D42,Milestones!$AA$117)&gt;=SchemeStart,IF($X42=0,$AD42,IF(AND($Z42&lt;&gt;"",EDATE($D42,Milestones!$AA$117)&gt;=$Z42),$AC42,IF(AND($Y42&lt;&gt;"",EDATE($D42,Milestones!$AA$117)&gt;=$Y42),$AB42,$AA42)))=Milestones!$AB$117),UPPER(TEXT(EDATE($D42,Milestones!$AA$117),"dd mmm yy"))&amp;" "&amp;Milestones!$AB$117&amp;" "&amp;IF(AND(Milestones!$AB$117="FT",Milestones!$AA$117=FT_Y5,EDATE($D42,Milestones!$AA$117)&lt;PolicyEff),1,Milestones!$AC$117)&amp;";  ","")&amp;IF(AND(EDATE($D42,Milestones!$AA$118)&lt;=AsOfDate,EDATE($D42,Milestones!$AA$118)&gt;=SchemeStart,IF($X42=0,$AD42,IF(AND($Z42&lt;&gt;"",EDATE($D42,Milestones!$AA$118)&gt;=$Z42),$AC42,IF(AND($Y42&lt;&gt;"",EDATE($D42,Milestones!$AA$118)&gt;=$Y42),$AB42,$AA42)))=Milestones!$AB$118),UPPER(TEXT(EDATE($D42,Milestones!$AA$118),"dd mmm yy"))&amp;" "&amp;Milestones!$AB$118&amp;" "&amp;IF(AND(Milestones!$AB$118="FT",Milestones!$AA$118=FT_Y5,EDATE($D42,Milestones!$AA$118)&lt;PolicyEff),1,Milestones!$AC$118)&amp;";  ","")&amp;IF(AND(EDATE($D42,Milestones!$AA$119)&lt;=AsOfDate,EDATE($D42,Milestones!$AA$119)&gt;=SchemeStart,IF($X42=0,$AD42,IF(AND($Z42&lt;&gt;"",EDATE($D42,Milestones!$AA$119)&gt;=$Z42),$AC42,IF(AND($Y42&lt;&gt;"",EDATE($D42,Milestones!$AA$119)&gt;=$Y42),$AB42,$AA42)))=Milestones!$AB$119),UPPER(TEXT(EDATE($D42,Milestones!$AA$119),"dd mmm yy"))&amp;" "&amp;Milestones!$AB$119&amp;" "&amp;IF(AND(Milestones!$AB$119="FT",Milestones!$AA$119=FT_Y5,EDATE($D42,Milestones!$AA$119)&lt;PolicyEff),1,Milestones!$AC$119)&amp;";  ","")&amp;IF(AND(EDATE($D42,Milestones!$AA$120)&lt;=AsOfDate,EDATE($D42,Milestones!$AA$120)&gt;=SchemeStart,IF($X42=0,$AD42,IF(AND($Z42&lt;&gt;"",EDATE($D42,Milestones!$AA$120)&gt;=$Z42),$AC42,IF(AND($Y42&lt;&gt;"",EDATE($D42,Milestones!$AA$120)&gt;=$Y42),$AB42,$AA42)))=Milestones!$AB$120),UPPER(TEXT(EDATE($D42,Milestones!$AA$120),"dd mmm yy"))&amp;" "&amp;Milestones!$AB$120&amp;" "&amp;IF(AND(Milestones!$AB$120="FT",Milestones!$AA$120=FT_Y5,EDATE($D42,Milestones!$AA$120)&lt;PolicyEff),1,Milestones!$AC$120)&amp;";  ","")&amp;IF(AND(EDATE($D42,Milestones!$AA$121)&lt;=AsOfDate,EDATE($D42,Milestones!$AA$121)&gt;=SchemeStart,IF($X42=0,$AD42,IF(AND($Z42&lt;&gt;"",EDATE($D42,Milestones!$AA$121)&gt;=$Z42),$AC42,IF(AND($Y42&lt;&gt;"",EDATE($D42,Milestones!$AA$121)&gt;=$Y42),$AB42,$AA42)))=Milestones!$AB$121),UPPER(TEXT(EDATE($D42,Milestones!$AA$121),"dd mmm yy"))&amp;" "&amp;Milestones!$AB$121&amp;" "&amp;IF(AND(Milestones!$AB$121="FT",Milestones!$AA$121=FT_Y5,EDATE($D42,Milestones!$AA$121)&lt;PolicyEff),1,Milestones!$AC$121)&amp;";  ","")&amp;IF(AND(EDATE($D42,Milestones!$AA$122)&lt;=AsOfDate,EDATE($D42,Milestones!$AA$122)&gt;=SchemeStart,IF($X42=0,$AD42,IF(AND($Z42&lt;&gt;"",EDATE($D42,Milestones!$AA$122)&gt;=$Z42),$AC42,IF(AND($Y42&lt;&gt;"",EDATE($D42,Milestones!$AA$122)&gt;=$Y42),$AB42,$AA42)))=Milestones!$AB$122),UPPER(TEXT(EDATE($D42,Milestones!$AA$122),"dd mmm yy"))&amp;" "&amp;Milestones!$AB$122&amp;" "&amp;IF(AND(Milestones!$AB$122="FT",Milestones!$AA$122=FT_Y5,EDATE($D42,Milestones!$AA$122)&lt;PolicyEff),1,Milestones!$AC$122)&amp;";  ","")&amp;IF(AND(EDATE($D42,Milestones!$AA$123)&lt;=AsOfDate,EDATE($D42,Milestones!$AA$123)&gt;=SchemeStart,IF($X42=0,$AD42,IF(AND($Z42&lt;&gt;"",EDATE($D42,Milestones!$AA$123)&gt;=$Z42),$AC42,IF(AND($Y42&lt;&gt;"",EDATE($D42,Milestones!$AA$123)&gt;=$Y42),$AB42,$AA42)))=Milestones!$AB$123),UPPER(TEXT(EDATE($D42,Milestones!$AA$123),"dd mmm yy"))&amp;" "&amp;Milestones!$AB$123&amp;" "&amp;IF(AND(Milestones!$AB$123="FT",Milestones!$AA$123=FT_Y5,EDATE($D42,Milestones!$AA$123)&lt;PolicyEff),1,Milestones!$AC$123)&amp;";  ","")&amp;IF(AND(EDATE($D42,Milestones!$AA$124)&lt;=AsOfDate,EDATE($D42,Milestones!$AA$124)&gt;=SchemeStart,IF($X42=0,$AD42,IF(AND($Z42&lt;&gt;"",EDATE($D42,Milestones!$AA$124)&gt;=$Z42),$AC42,IF(AND($Y42&lt;&gt;"",EDATE($D42,Milestones!$AA$124)&gt;=$Y42),$AB42,$AA42)))=Milestones!$AB$124),UPPER(TEXT(EDATE($D42,Milestones!$AA$124),"dd mmm yy"))&amp;" "&amp;Milestones!$AB$124&amp;" "&amp;IF(AND(Milestones!$AB$124="FT",Milestones!$AA$124=FT_Y5,EDATE($D42,Milestones!$AA$124)&lt;PolicyEff),1,Milestones!$AC$124)&amp;";  ","")&amp;IF(AND(EDATE($D42,Milestones!$AA$125)&lt;=AsOfDate,EDATE($D42,Milestones!$AA$125)&gt;=SchemeStart,IF($X42=0,$AD42,IF(AND($Z42&lt;&gt;"",EDATE($D42,Milestones!$AA$125)&gt;=$Z42),$AC42,IF(AND($Y42&lt;&gt;"",EDATE($D42,Milestones!$AA$125)&gt;=$Y42),$AB42,$AA42)))=Milestones!$AB$125),UPPER(TEXT(EDATE($D42,Milestones!$AA$125),"dd mmm yy"))&amp;" "&amp;Milestones!$AB$125&amp;" "&amp;IF(AND(Milestones!$AB$125="FT",Milestones!$AA$125=FT_Y5,EDATE($D42,Milestones!$AA$125)&lt;PolicyEff),1,Milestones!$AC$125)&amp;";  ","")&amp;IF(AND(EDATE($D42,Milestones!$AA$126)&lt;=AsOfDate,EDATE($D42,Milestones!$AA$126)&gt;=SchemeStart,IF($X42=0,$AD42,IF(AND($Z42&lt;&gt;"",EDATE($D42,Milestones!$AA$126)&gt;=$Z42),$AC42,IF(AND($Y42&lt;&gt;"",EDATE($D42,Milestones!$AA$126)&gt;=$Y42),$AB42,$AA42)))=Milestones!$AB$126),UPPER(TEXT(EDATE($D42,Milestones!$AA$126),"dd mmm yy"))&amp;" "&amp;Milestones!$AB$126&amp;" "&amp;IF(AND(Milestones!$AB$126="FT",Milestones!$AA$126=FT_Y5,EDATE($D42,Milestones!$AA$126)&lt;PolicyEff),1,Milestones!$AC$126)&amp;";  ","")&amp;IF(AND(EDATE($D42,Milestones!$AA$127)&lt;=AsOfDate,EDATE($D42,Milestones!$AA$127)&gt;=SchemeStart,IF($X42=0,$AD42,IF(AND($Z42&lt;&gt;"",EDATE($D42,Milestones!$AA$127)&gt;=$Z42),$AC42,IF(AND($Y42&lt;&gt;"",EDATE($D42,Milestones!$AA$127)&gt;=$Y42),$AB42,$AA42)))=Milestones!$AB$127),UPPER(TEXT(EDATE($D42,Milestones!$AA$127),"dd mmm yy"))&amp;" "&amp;Milestones!$AB$127&amp;" "&amp;IF(AND(Milestones!$AB$127="FT",Milestones!$AA$127=FT_Y5,EDATE($D42,Milestones!$AA$127)&lt;PolicyEff),1,Milestones!$AC$127)&amp;";  ",""))</f>
        <v/>
      </c>
      <c r="R42" s="0" t="str">
        <f aca="false">IF(OR($A42="",$D42=""),"",IF(AND(EDATE($D42,Milestones!$AA$128)&lt;=AsOfDate,EDATE($D42,Milestones!$AA$128)&gt;=SchemeStart,IF($X42=0,$AD42,IF(AND($Z42&lt;&gt;"",EDATE($D42,Milestones!$AA$128)&gt;=$Z42),$AC42,IF(AND($Y42&lt;&gt;"",EDATE($D42,Milestones!$AA$128)&gt;=$Y42),$AB42,$AA42)))=Milestones!$AB$128),UPPER(TEXT(EDATE($D42,Milestones!$AA$128),"dd mmm yy"))&amp;" "&amp;Milestones!$AB$128&amp;" "&amp;IF(AND(Milestones!$AB$128="FT",Milestones!$AA$128=FT_Y5,EDATE($D42,Milestones!$AA$128)&lt;PolicyEff),1,Milestones!$AC$128)&amp;";  ","")&amp;IF(AND(EDATE($D42,Milestones!$AA$129)&lt;=AsOfDate,EDATE($D42,Milestones!$AA$129)&gt;=SchemeStart,IF($X42=0,$AD42,IF(AND($Z42&lt;&gt;"",EDATE($D42,Milestones!$AA$129)&gt;=$Z42),$AC42,IF(AND($Y42&lt;&gt;"",EDATE($D42,Milestones!$AA$129)&gt;=$Y42),$AB42,$AA42)))=Milestones!$AB$129),UPPER(TEXT(EDATE($D42,Milestones!$AA$129),"dd mmm yy"))&amp;" "&amp;Milestones!$AB$129&amp;" "&amp;IF(AND(Milestones!$AB$129="FT",Milestones!$AA$129=FT_Y5,EDATE($D42,Milestones!$AA$129)&lt;PolicyEff),1,Milestones!$AC$129)&amp;";  ","")&amp;IF(AND(EDATE($D42,Milestones!$AA$130)&lt;=AsOfDate,EDATE($D42,Milestones!$AA$130)&gt;=SchemeStart,IF($X42=0,$AD42,IF(AND($Z42&lt;&gt;"",EDATE($D42,Milestones!$AA$130)&gt;=$Z42),$AC42,IF(AND($Y42&lt;&gt;"",EDATE($D42,Milestones!$AA$130)&gt;=$Y42),$AB42,$AA42)))=Milestones!$AB$130),UPPER(TEXT(EDATE($D42,Milestones!$AA$130),"dd mmm yy"))&amp;" "&amp;Milestones!$AB$130&amp;" "&amp;IF(AND(Milestones!$AB$130="FT",Milestones!$AA$130=FT_Y5,EDATE($D42,Milestones!$AA$130)&lt;PolicyEff),1,Milestones!$AC$130)&amp;";  ","")&amp;IF(AND(EDATE($D42,Milestones!$AA$131)&lt;=AsOfDate,EDATE($D42,Milestones!$AA$131)&gt;=SchemeStart,IF($X42=0,$AD42,IF(AND($Z42&lt;&gt;"",EDATE($D42,Milestones!$AA$131)&gt;=$Z42),$AC42,IF(AND($Y42&lt;&gt;"",EDATE($D42,Milestones!$AA$131)&gt;=$Y42),$AB42,$AA42)))=Milestones!$AB$131),UPPER(TEXT(EDATE($D42,Milestones!$AA$131),"dd mmm yy"))&amp;" "&amp;Milestones!$AB$131&amp;" "&amp;IF(AND(Milestones!$AB$131="FT",Milestones!$AA$131=FT_Y5,EDATE($D42,Milestones!$AA$131)&lt;PolicyEff),1,Milestones!$AC$131)&amp;";  ","")&amp;IF(AND(EDATE($D42,Milestones!$AA$132)&lt;=AsOfDate,EDATE($D42,Milestones!$AA$132)&gt;=SchemeStart,IF($X42=0,$AD42,IF(AND($Z42&lt;&gt;"",EDATE($D42,Milestones!$AA$132)&gt;=$Z42),$AC42,IF(AND($Y42&lt;&gt;"",EDATE($D42,Milestones!$AA$132)&gt;=$Y42),$AB42,$AA42)))=Milestones!$AB$132),UPPER(TEXT(EDATE($D42,Milestones!$AA$132),"dd mmm yy"))&amp;" "&amp;Milestones!$AB$132&amp;" "&amp;IF(AND(Milestones!$AB$132="FT",Milestones!$AA$132=FT_Y5,EDATE($D42,Milestones!$AA$132)&lt;PolicyEff),1,Milestones!$AC$132)&amp;";  ","")&amp;IF(AND(EDATE($D42,Milestones!$AA$133)&lt;=AsOfDate,EDATE($D42,Milestones!$AA$133)&gt;=SchemeStart,IF($X42=0,$AD42,IF(AND($Z42&lt;&gt;"",EDATE($D42,Milestones!$AA$133)&gt;=$Z42),$AC42,IF(AND($Y42&lt;&gt;"",EDATE($D42,Milestones!$AA$133)&gt;=$Y42),$AB42,$AA42)))=Milestones!$AB$133),UPPER(TEXT(EDATE($D42,Milestones!$AA$133),"dd mmm yy"))&amp;" "&amp;Milestones!$AB$133&amp;" "&amp;IF(AND(Milestones!$AB$133="FT",Milestones!$AA$133=FT_Y5,EDATE($D42,Milestones!$AA$133)&lt;PolicyEff),1,Milestones!$AC$133)&amp;";  ","")&amp;IF(AND(EDATE($D42,Milestones!$AA$134)&lt;=AsOfDate,EDATE($D42,Milestones!$AA$134)&gt;=SchemeStart,IF($X42=0,$AD42,IF(AND($Z42&lt;&gt;"",EDATE($D42,Milestones!$AA$134)&gt;=$Z42),$AC42,IF(AND($Y42&lt;&gt;"",EDATE($D42,Milestones!$AA$134)&gt;=$Y42),$AB42,$AA42)))=Milestones!$AB$134),UPPER(TEXT(EDATE($D42,Milestones!$AA$134),"dd mmm yy"))&amp;" "&amp;Milestones!$AB$134&amp;" "&amp;IF(AND(Milestones!$AB$134="FT",Milestones!$AA$134=FT_Y5,EDATE($D42,Milestones!$AA$134)&lt;PolicyEff),1,Milestones!$AC$134)&amp;";  ","")&amp;IF(AND(EDATE($D42,Milestones!$AA$135)&lt;=AsOfDate,EDATE($D42,Milestones!$AA$135)&gt;=SchemeStart,IF($X42=0,$AD42,IF(AND($Z42&lt;&gt;"",EDATE($D42,Milestones!$AA$135)&gt;=$Z42),$AC42,IF(AND($Y42&lt;&gt;"",EDATE($D42,Milestones!$AA$135)&gt;=$Y42),$AB42,$AA42)))=Milestones!$AB$135),UPPER(TEXT(EDATE($D42,Milestones!$AA$135),"dd mmm yy"))&amp;" "&amp;Milestones!$AB$135&amp;" "&amp;IF(AND(Milestones!$AB$135="FT",Milestones!$AA$135=FT_Y5,EDATE($D42,Milestones!$AA$135)&lt;PolicyEff),1,Milestones!$AC$135)&amp;";  ","")&amp;IF(AND(EDATE($D42,Milestones!$AA$136)&lt;=AsOfDate,EDATE($D42,Milestones!$AA$136)&gt;=SchemeStart,IF($X42=0,$AD42,IF(AND($Z42&lt;&gt;"",EDATE($D42,Milestones!$AA$136)&gt;=$Z42),$AC42,IF(AND($Y42&lt;&gt;"",EDATE($D42,Milestones!$AA$136)&gt;=$Y42),$AB42,$AA42)))=Milestones!$AB$136),UPPER(TEXT(EDATE($D42,Milestones!$AA$136),"dd mmm yy"))&amp;" "&amp;Milestones!$AB$136&amp;" "&amp;IF(AND(Milestones!$AB$136="FT",Milestones!$AA$136=FT_Y5,EDATE($D42,Milestones!$AA$136)&lt;PolicyEff),1,Milestones!$AC$136)&amp;";  ","")&amp;IF(AND(EDATE($D42,Milestones!$AA$137)&lt;=AsOfDate,EDATE($D42,Milestones!$AA$137)&gt;=SchemeStart,IF($X42=0,$AD42,IF(AND($Z42&lt;&gt;"",EDATE($D42,Milestones!$AA$137)&gt;=$Z42),$AC42,IF(AND($Y42&lt;&gt;"",EDATE($D42,Milestones!$AA$137)&gt;=$Y42),$AB42,$AA42)))=Milestones!$AB$137),UPPER(TEXT(EDATE($D42,Milestones!$AA$137),"dd mmm yy"))&amp;" "&amp;Milestones!$AB$137&amp;" "&amp;IF(AND(Milestones!$AB$137="FT",Milestones!$AA$137=FT_Y5,EDATE($D42,Milestones!$AA$137)&lt;PolicyEff),1,Milestones!$AC$137)&amp;";  ","")&amp;IF(AND(EDATE($D42,Milestones!$AA$138)&lt;=AsOfDate,EDATE($D42,Milestones!$AA$138)&gt;=SchemeStart,IF($X42=0,$AD42,IF(AND($Z42&lt;&gt;"",EDATE($D42,Milestones!$AA$138)&gt;=$Z42),$AC42,IF(AND($Y42&lt;&gt;"",EDATE($D42,Milestones!$AA$138)&gt;=$Y42),$AB42,$AA42)))=Milestones!$AB$138),UPPER(TEXT(EDATE($D42,Milestones!$AA$138),"dd mmm yy"))&amp;" "&amp;Milestones!$AB$138&amp;" "&amp;IF(AND(Milestones!$AB$138="FT",Milestones!$AA$138=FT_Y5,EDATE($D42,Milestones!$AA$138)&lt;PolicyEff),1,Milestones!$AC$138)&amp;";  ","")&amp;IF(AND(EDATE($D42,Milestones!$AA$139)&lt;=AsOfDate,EDATE($D42,Milestones!$AA$139)&gt;=SchemeStart,IF($X42=0,$AD42,IF(AND($Z42&lt;&gt;"",EDATE($D42,Milestones!$AA$139)&gt;=$Z42),$AC42,IF(AND($Y42&lt;&gt;"",EDATE($D42,Milestones!$AA$139)&gt;=$Y42),$AB42,$AA42)))=Milestones!$AB$139),UPPER(TEXT(EDATE($D42,Milestones!$AA$139),"dd mmm yy"))&amp;" "&amp;Milestones!$AB$139&amp;" "&amp;IF(AND(Milestones!$AB$139="FT",Milestones!$AA$139=FT_Y5,EDATE($D42,Milestones!$AA$139)&lt;PolicyEff),1,Milestones!$AC$139)&amp;";  ",""))</f>
        <v/>
      </c>
      <c r="S42" s="0" t="str">
        <f aca="false">IF(OR($A42="",$D42=""),"",IF(AND(EDATE($D42,Milestones!$AA$140)&lt;=AsOfDate,EDATE($D42,Milestones!$AA$140)&gt;=SchemeStart,IF($X42=0,$AD42,IF(AND($Z42&lt;&gt;"",EDATE($D42,Milestones!$AA$140)&gt;=$Z42),$AC42,IF(AND($Y42&lt;&gt;"",EDATE($D42,Milestones!$AA$140)&gt;=$Y42),$AB42,$AA42)))=Milestones!$AB$140),UPPER(TEXT(EDATE($D42,Milestones!$AA$140),"dd mmm yy"))&amp;" "&amp;Milestones!$AB$140&amp;" "&amp;IF(AND(Milestones!$AB$140="FT",Milestones!$AA$140=FT_Y5,EDATE($D42,Milestones!$AA$140)&lt;PolicyEff),1,Milestones!$AC$140)&amp;";  ","")&amp;IF(AND(EDATE($D42,Milestones!$AA$141)&lt;=AsOfDate,EDATE($D42,Milestones!$AA$141)&gt;=SchemeStart,IF($X42=0,$AD42,IF(AND($Z42&lt;&gt;"",EDATE($D42,Milestones!$AA$141)&gt;=$Z42),$AC42,IF(AND($Y42&lt;&gt;"",EDATE($D42,Milestones!$AA$141)&gt;=$Y42),$AB42,$AA42)))=Milestones!$AB$141),UPPER(TEXT(EDATE($D42,Milestones!$AA$141),"dd mmm yy"))&amp;" "&amp;Milestones!$AB$141&amp;" "&amp;IF(AND(Milestones!$AB$141="FT",Milestones!$AA$141=FT_Y5,EDATE($D42,Milestones!$AA$141)&lt;PolicyEff),1,Milestones!$AC$141)&amp;";  ","")&amp;IF(AND(EDATE($D42,Milestones!$AA$142)&lt;=AsOfDate,EDATE($D42,Milestones!$AA$142)&gt;=SchemeStart,IF($X42=0,$AD42,IF(AND($Z42&lt;&gt;"",EDATE($D42,Milestones!$AA$142)&gt;=$Z42),$AC42,IF(AND($Y42&lt;&gt;"",EDATE($D42,Milestones!$AA$142)&gt;=$Y42),$AB42,$AA42)))=Milestones!$AB$142),UPPER(TEXT(EDATE($D42,Milestones!$AA$142),"dd mmm yy"))&amp;" "&amp;Milestones!$AB$142&amp;" "&amp;IF(AND(Milestones!$AB$142="FT",Milestones!$AA$142=FT_Y5,EDATE($D42,Milestones!$AA$142)&lt;PolicyEff),1,Milestones!$AC$142)&amp;";  ","")&amp;IF(AND(EDATE($D42,Milestones!$AA$143)&lt;=AsOfDate,EDATE($D42,Milestones!$AA$143)&gt;=SchemeStart,IF($X42=0,$AD42,IF(AND($Z42&lt;&gt;"",EDATE($D42,Milestones!$AA$143)&gt;=$Z42),$AC42,IF(AND($Y42&lt;&gt;"",EDATE($D42,Milestones!$AA$143)&gt;=$Y42),$AB42,$AA42)))=Milestones!$AB$143),UPPER(TEXT(EDATE($D42,Milestones!$AA$143),"dd mmm yy"))&amp;" "&amp;Milestones!$AB$143&amp;" "&amp;IF(AND(Milestones!$AB$143="FT",Milestones!$AA$143=FT_Y5,EDATE($D42,Milestones!$AA$143)&lt;PolicyEff),1,Milestones!$AC$143)&amp;";  ","")&amp;IF(AND(EDATE($D42,Milestones!$AA$144)&lt;=AsOfDate,EDATE($D42,Milestones!$AA$144)&gt;=SchemeStart,IF($X42=0,$AD42,IF(AND($Z42&lt;&gt;"",EDATE($D42,Milestones!$AA$144)&gt;=$Z42),$AC42,IF(AND($Y42&lt;&gt;"",EDATE($D42,Milestones!$AA$144)&gt;=$Y42),$AB42,$AA42)))=Milestones!$AB$144),UPPER(TEXT(EDATE($D42,Milestones!$AA$144),"dd mmm yy"))&amp;" "&amp;Milestones!$AB$144&amp;" "&amp;IF(AND(Milestones!$AB$144="FT",Milestones!$AA$144=FT_Y5,EDATE($D42,Milestones!$AA$144)&lt;PolicyEff),1,Milestones!$AC$144)&amp;";  ","")&amp;IF(AND(EDATE($D42,Milestones!$AA$145)&lt;=AsOfDate,EDATE($D42,Milestones!$AA$145)&gt;=SchemeStart,IF($X42=0,$AD42,IF(AND($Z42&lt;&gt;"",EDATE($D42,Milestones!$AA$145)&gt;=$Z42),$AC42,IF(AND($Y42&lt;&gt;"",EDATE($D42,Milestones!$AA$145)&gt;=$Y42),$AB42,$AA42)))=Milestones!$AB$145),UPPER(TEXT(EDATE($D42,Milestones!$AA$145),"dd mmm yy"))&amp;" "&amp;Milestones!$AB$145&amp;" "&amp;IF(AND(Milestones!$AB$145="FT",Milestones!$AA$145=FT_Y5,EDATE($D42,Milestones!$AA$145)&lt;PolicyEff),1,Milestones!$AC$145)&amp;";  ","")&amp;IF(AND(EDATE($D42,Milestones!$AA$146)&lt;=AsOfDate,EDATE($D42,Milestones!$AA$146)&gt;=SchemeStart,IF($X42=0,$AD42,IF(AND($Z42&lt;&gt;"",EDATE($D42,Milestones!$AA$146)&gt;=$Z42),$AC42,IF(AND($Y42&lt;&gt;"",EDATE($D42,Milestones!$AA$146)&gt;=$Y42),$AB42,$AA42)))=Milestones!$AB$146),UPPER(TEXT(EDATE($D42,Milestones!$AA$146),"dd mmm yy"))&amp;" "&amp;Milestones!$AB$146&amp;" "&amp;IF(AND(Milestones!$AB$146="FT",Milestones!$AA$146=FT_Y5,EDATE($D42,Milestones!$AA$146)&lt;PolicyEff),1,Milestones!$AC$146)&amp;";  ","")&amp;IF(AND(EDATE($D42,Milestones!$AA$147)&lt;=AsOfDate,EDATE($D42,Milestones!$AA$147)&gt;=SchemeStart,IF($X42=0,$AD42,IF(AND($Z42&lt;&gt;"",EDATE($D42,Milestones!$AA$147)&gt;=$Z42),$AC42,IF(AND($Y42&lt;&gt;"",EDATE($D42,Milestones!$AA$147)&gt;=$Y42),$AB42,$AA42)))=Milestones!$AB$147),UPPER(TEXT(EDATE($D42,Milestones!$AA$147),"dd mmm yy"))&amp;" "&amp;Milestones!$AB$147&amp;" "&amp;IF(AND(Milestones!$AB$147="FT",Milestones!$AA$147=FT_Y5,EDATE($D42,Milestones!$AA$147)&lt;PolicyEff),1,Milestones!$AC$147)&amp;";  ","")&amp;IF(AND(EDATE($D42,Milestones!$AA$148)&lt;=AsOfDate,EDATE($D42,Milestones!$AA$148)&gt;=SchemeStart,IF($X42=0,$AD42,IF(AND($Z42&lt;&gt;"",EDATE($D42,Milestones!$AA$148)&gt;=$Z42),$AC42,IF(AND($Y42&lt;&gt;"",EDATE($D42,Milestones!$AA$148)&gt;=$Y42),$AB42,$AA42)))=Milestones!$AB$148),UPPER(TEXT(EDATE($D42,Milestones!$AA$148),"dd mmm yy"))&amp;" "&amp;Milestones!$AB$148&amp;" "&amp;IF(AND(Milestones!$AB$148="FT",Milestones!$AA$148=FT_Y5,EDATE($D42,Milestones!$AA$148)&lt;PolicyEff),1,Milestones!$AC$148)&amp;";  ","")&amp;IF(AND(EDATE($D42,Milestones!$AA$149)&lt;=AsOfDate,EDATE($D42,Milestones!$AA$149)&gt;=SchemeStart,IF($X42=0,$AD42,IF(AND($Z42&lt;&gt;"",EDATE($D42,Milestones!$AA$149)&gt;=$Z42),$AC42,IF(AND($Y42&lt;&gt;"",EDATE($D42,Milestones!$AA$149)&gt;=$Y42),$AB42,$AA42)))=Milestones!$AB$149),UPPER(TEXT(EDATE($D42,Milestones!$AA$149),"dd mmm yy"))&amp;" "&amp;Milestones!$AB$149&amp;" "&amp;IF(AND(Milestones!$AB$149="FT",Milestones!$AA$149=FT_Y5,EDATE($D42,Milestones!$AA$149)&lt;PolicyEff),1,Milestones!$AC$149)&amp;";  ","")&amp;IF(AND(EDATE($D42,Milestones!$AA$150)&lt;=AsOfDate,EDATE($D42,Milestones!$AA$150)&gt;=SchemeStart,IF($X42=0,$AD42,IF(AND($Z42&lt;&gt;"",EDATE($D42,Milestones!$AA$150)&gt;=$Z42),$AC42,IF(AND($Y42&lt;&gt;"",EDATE($D42,Milestones!$AA$150)&gt;=$Y42),$AB42,$AA42)))=Milestones!$AB$150),UPPER(TEXT(EDATE($D42,Milestones!$AA$150),"dd mmm yy"))&amp;" "&amp;Milestones!$AB$150&amp;" "&amp;IF(AND(Milestones!$AB$150="FT",Milestones!$AA$150=FT_Y5,EDATE($D42,Milestones!$AA$150)&lt;PolicyEff),1,Milestones!$AC$150)&amp;";  ","")&amp;IF(AND(EDATE($D42,Milestones!$AA$151)&lt;=AsOfDate,EDATE($D42,Milestones!$AA$151)&gt;=SchemeStart,IF($X42=0,$AD42,IF(AND($Z42&lt;&gt;"",EDATE($D42,Milestones!$AA$151)&gt;=$Z42),$AC42,IF(AND($Y42&lt;&gt;"",EDATE($D42,Milestones!$AA$151)&gt;=$Y42),$AB42,$AA42)))=Milestones!$AB$151),UPPER(TEXT(EDATE($D42,Milestones!$AA$151),"dd mmm yy"))&amp;" "&amp;Milestones!$AB$151&amp;" "&amp;IF(AND(Milestones!$AB$151="FT",Milestones!$AA$151=FT_Y5,EDATE($D42,Milestones!$AA$151)&lt;PolicyEff),1,Milestones!$AC$151)&amp;";  ",""))</f>
        <v/>
      </c>
      <c r="T42" s="0" t="str">
        <f aca="false">IF(OR($A42="",$D42=""),"",IF(AND(EDATE($D42,Milestones!$AA$152)&lt;=AsOfDate,EDATE($D42,Milestones!$AA$152)&gt;=SchemeStart,IF($X42=0,$AD42,IF(AND($Z42&lt;&gt;"",EDATE($D42,Milestones!$AA$152)&gt;=$Z42),$AC42,IF(AND($Y42&lt;&gt;"",EDATE($D42,Milestones!$AA$152)&gt;=$Y42),$AB42,$AA42)))=Milestones!$AB$152),UPPER(TEXT(EDATE($D42,Milestones!$AA$152),"dd mmm yy"))&amp;" "&amp;Milestones!$AB$152&amp;" "&amp;IF(AND(Milestones!$AB$152="FT",Milestones!$AA$152=FT_Y5,EDATE($D42,Milestones!$AA$152)&lt;PolicyEff),1,Milestones!$AC$152)&amp;";  ","")&amp;IF(AND(EDATE($D42,Milestones!$AA$153)&lt;=AsOfDate,EDATE($D42,Milestones!$AA$153)&gt;=SchemeStart,IF($X42=0,$AD42,IF(AND($Z42&lt;&gt;"",EDATE($D42,Milestones!$AA$153)&gt;=$Z42),$AC42,IF(AND($Y42&lt;&gt;"",EDATE($D42,Milestones!$AA$153)&gt;=$Y42),$AB42,$AA42)))=Milestones!$AB$153),UPPER(TEXT(EDATE($D42,Milestones!$AA$153),"dd mmm yy"))&amp;" "&amp;Milestones!$AB$153&amp;" "&amp;IF(AND(Milestones!$AB$153="FT",Milestones!$AA$153=FT_Y5,EDATE($D42,Milestones!$AA$153)&lt;PolicyEff),1,Milestones!$AC$153)&amp;";  ","")&amp;IF(AND(EDATE($D42,Milestones!$AA$154)&lt;=AsOfDate,EDATE($D42,Milestones!$AA$154)&gt;=SchemeStart,IF($X42=0,$AD42,IF(AND($Z42&lt;&gt;"",EDATE($D42,Milestones!$AA$154)&gt;=$Z42),$AC42,IF(AND($Y42&lt;&gt;"",EDATE($D42,Milestones!$AA$154)&gt;=$Y42),$AB42,$AA42)))=Milestones!$AB$154),UPPER(TEXT(EDATE($D42,Milestones!$AA$154),"dd mmm yy"))&amp;" "&amp;Milestones!$AB$154&amp;" "&amp;IF(AND(Milestones!$AB$154="FT",Milestones!$AA$154=FT_Y5,EDATE($D42,Milestones!$AA$154)&lt;PolicyEff),1,Milestones!$AC$154)&amp;";  ","")&amp;IF(AND(EDATE($D42,Milestones!$AA$155)&lt;=AsOfDate,EDATE($D42,Milestones!$AA$155)&gt;=SchemeStart,IF($X42=0,$AD42,IF(AND($Z42&lt;&gt;"",EDATE($D42,Milestones!$AA$155)&gt;=$Z42),$AC42,IF(AND($Y42&lt;&gt;"",EDATE($D42,Milestones!$AA$155)&gt;=$Y42),$AB42,$AA42)))=Milestones!$AB$155),UPPER(TEXT(EDATE($D42,Milestones!$AA$155),"dd mmm yy"))&amp;" "&amp;Milestones!$AB$155&amp;" "&amp;IF(AND(Milestones!$AB$155="FT",Milestones!$AA$155=FT_Y5,EDATE($D42,Milestones!$AA$155)&lt;PolicyEff),1,Milestones!$AC$155)&amp;";  ","")&amp;IF(AND(EDATE($D42,Milestones!$AA$156)&lt;=AsOfDate,EDATE($D42,Milestones!$AA$156)&gt;=SchemeStart,IF($X42=0,$AD42,IF(AND($Z42&lt;&gt;"",EDATE($D42,Milestones!$AA$156)&gt;=$Z42),$AC42,IF(AND($Y42&lt;&gt;"",EDATE($D42,Milestones!$AA$156)&gt;=$Y42),$AB42,$AA42)))=Milestones!$AB$156),UPPER(TEXT(EDATE($D42,Milestones!$AA$156),"dd mmm yy"))&amp;" "&amp;Milestones!$AB$156&amp;" "&amp;IF(AND(Milestones!$AB$156="FT",Milestones!$AA$156=FT_Y5,EDATE($D42,Milestones!$AA$156)&lt;PolicyEff),1,Milestones!$AC$156)&amp;";  ","")&amp;IF(AND(EDATE($D42,Milestones!$AA$157)&lt;=AsOfDate,EDATE($D42,Milestones!$AA$157)&gt;=SchemeStart,IF($X42=0,$AD42,IF(AND($Z42&lt;&gt;"",EDATE($D42,Milestones!$AA$157)&gt;=$Z42),$AC42,IF(AND($Y42&lt;&gt;"",EDATE($D42,Milestones!$AA$157)&gt;=$Y42),$AB42,$AA42)))=Milestones!$AB$157),UPPER(TEXT(EDATE($D42,Milestones!$AA$157),"dd mmm yy"))&amp;" "&amp;Milestones!$AB$157&amp;" "&amp;IF(AND(Milestones!$AB$157="FT",Milestones!$AA$157=FT_Y5,EDATE($D42,Milestones!$AA$157)&lt;PolicyEff),1,Milestones!$AC$157)&amp;";  ","")&amp;IF(AND(EDATE($D42,Milestones!$AA$158)&lt;=AsOfDate,EDATE($D42,Milestones!$AA$158)&gt;=SchemeStart,IF($X42=0,$AD42,IF(AND($Z42&lt;&gt;"",EDATE($D42,Milestones!$AA$158)&gt;=$Z42),$AC42,IF(AND($Y42&lt;&gt;"",EDATE($D42,Milestones!$AA$158)&gt;=$Y42),$AB42,$AA42)))=Milestones!$AB$158),UPPER(TEXT(EDATE($D42,Milestones!$AA$158),"dd mmm yy"))&amp;" "&amp;Milestones!$AB$158&amp;" "&amp;IF(AND(Milestones!$AB$158="FT",Milestones!$AA$158=FT_Y5,EDATE($D42,Milestones!$AA$158)&lt;PolicyEff),1,Milestones!$AC$158)&amp;";  ","")&amp;IF(AND(EDATE($D42,Milestones!$AA$159)&lt;=AsOfDate,EDATE($D42,Milestones!$AA$159)&gt;=SchemeStart,IF($X42=0,$AD42,IF(AND($Z42&lt;&gt;"",EDATE($D42,Milestones!$AA$159)&gt;=$Z42),$AC42,IF(AND($Y42&lt;&gt;"",EDATE($D42,Milestones!$AA$159)&gt;=$Y42),$AB42,$AA42)))=Milestones!$AB$159),UPPER(TEXT(EDATE($D42,Milestones!$AA$159),"dd mmm yy"))&amp;" "&amp;Milestones!$AB$159&amp;" "&amp;IF(AND(Milestones!$AB$159="FT",Milestones!$AA$159=FT_Y5,EDATE($D42,Milestones!$AA$159)&lt;PolicyEff),1,Milestones!$AC$159)&amp;";  ","")&amp;IF(AND(EDATE($D42,Milestones!$AA$160)&lt;=AsOfDate,EDATE($D42,Milestones!$AA$160)&gt;=SchemeStart,IF($X42=0,$AD42,IF(AND($Z42&lt;&gt;"",EDATE($D42,Milestones!$AA$160)&gt;=$Z42),$AC42,IF(AND($Y42&lt;&gt;"",EDATE($D42,Milestones!$AA$160)&gt;=$Y42),$AB42,$AA42)))=Milestones!$AB$160),UPPER(TEXT(EDATE($D42,Milestones!$AA$160),"dd mmm yy"))&amp;" "&amp;Milestones!$AB$160&amp;" "&amp;IF(AND(Milestones!$AB$160="FT",Milestones!$AA$160=FT_Y5,EDATE($D42,Milestones!$AA$160)&lt;PolicyEff),1,Milestones!$AC$160)&amp;";  ","")&amp;IF(AND(EDATE($D42,Milestones!$AA$161)&lt;=AsOfDate,EDATE($D42,Milestones!$AA$161)&gt;=SchemeStart,IF($X42=0,$AD42,IF(AND($Z42&lt;&gt;"",EDATE($D42,Milestones!$AA$161)&gt;=$Z42),$AC42,IF(AND($Y42&lt;&gt;"",EDATE($D42,Milestones!$AA$161)&gt;=$Y42),$AB42,$AA42)))=Milestones!$AB$161),UPPER(TEXT(EDATE($D42,Milestones!$AA$161),"dd mmm yy"))&amp;" "&amp;Milestones!$AB$161&amp;" "&amp;IF(AND(Milestones!$AB$161="FT",Milestones!$AA$161=FT_Y5,EDATE($D42,Milestones!$AA$161)&lt;PolicyEff),1,Milestones!$AC$161)&amp;";  ","")&amp;IF(AND(EDATE($D42,Milestones!$AA$162)&lt;=AsOfDate,EDATE($D42,Milestones!$AA$162)&gt;=SchemeStart,IF($X42=0,$AD42,IF(AND($Z42&lt;&gt;"",EDATE($D42,Milestones!$AA$162)&gt;=$Z42),$AC42,IF(AND($Y42&lt;&gt;"",EDATE($D42,Milestones!$AA$162)&gt;=$Y42),$AB42,$AA42)))=Milestones!$AB$162),UPPER(TEXT(EDATE($D42,Milestones!$AA$162),"dd mmm yy"))&amp;" "&amp;Milestones!$AB$162&amp;" "&amp;IF(AND(Milestones!$AB$162="FT",Milestones!$AA$162=FT_Y5,EDATE($D42,Milestones!$AA$162)&lt;PolicyEff),1,Milestones!$AC$162)&amp;";  ","")&amp;IF(AND(EDATE($D42,Milestones!$AA$163)&lt;=AsOfDate,EDATE($D42,Milestones!$AA$163)&gt;=SchemeStart,IF($X42=0,$AD42,IF(AND($Z42&lt;&gt;"",EDATE($D42,Milestones!$AA$163)&gt;=$Z42),$AC42,IF(AND($Y42&lt;&gt;"",EDATE($D42,Milestones!$AA$163)&gt;=$Y42),$AB42,$AA42)))=Milestones!$AB$163),UPPER(TEXT(EDATE($D42,Milestones!$AA$163),"dd mmm yy"))&amp;" "&amp;Milestones!$AB$163&amp;" "&amp;IF(AND(Milestones!$AB$163="FT",Milestones!$AA$163=FT_Y5,EDATE($D42,Milestones!$AA$163)&lt;PolicyEff),1,Milestones!$AC$163)&amp;";  ",""))</f>
        <v/>
      </c>
      <c r="U42" s="0" t="str">
        <f aca="false">IF(OR($A42="",$D42=""),"",IF(AND(EDATE($D42,Milestones!$AA$164)&lt;=AsOfDate,EDATE($D42,Milestones!$AA$164)&gt;=SchemeStart,IF($X42=0,$AD42,IF(AND($Z42&lt;&gt;"",EDATE($D42,Milestones!$AA$164)&gt;=$Z42),$AC42,IF(AND($Y42&lt;&gt;"",EDATE($D42,Milestones!$AA$164)&gt;=$Y42),$AB42,$AA42)))=Milestones!$AB$164),UPPER(TEXT(EDATE($D42,Milestones!$AA$164),"dd mmm yy"))&amp;" "&amp;Milestones!$AB$164&amp;" "&amp;IF(AND(Milestones!$AB$164="FT",Milestones!$AA$164=FT_Y5,EDATE($D42,Milestones!$AA$164)&lt;PolicyEff),1,Milestones!$AC$164)&amp;";  ","")&amp;IF(AND(EDATE($D42,Milestones!$AA$165)&lt;=AsOfDate,EDATE($D42,Milestones!$AA$165)&gt;=SchemeStart,IF($X42=0,$AD42,IF(AND($Z42&lt;&gt;"",EDATE($D42,Milestones!$AA$165)&gt;=$Z42),$AC42,IF(AND($Y42&lt;&gt;"",EDATE($D42,Milestones!$AA$165)&gt;=$Y42),$AB42,$AA42)))=Milestones!$AB$165),UPPER(TEXT(EDATE($D42,Milestones!$AA$165),"dd mmm yy"))&amp;" "&amp;Milestones!$AB$165&amp;" "&amp;IF(AND(Milestones!$AB$165="FT",Milestones!$AA$165=FT_Y5,EDATE($D42,Milestones!$AA$165)&lt;PolicyEff),1,Milestones!$AC$165)&amp;";  ","")&amp;IF(AND(EDATE($D42,Milestones!$AA$166)&lt;=AsOfDate,EDATE($D42,Milestones!$AA$166)&gt;=SchemeStart,IF($X42=0,$AD42,IF(AND($Z42&lt;&gt;"",EDATE($D42,Milestones!$AA$166)&gt;=$Z42),$AC42,IF(AND($Y42&lt;&gt;"",EDATE($D42,Milestones!$AA$166)&gt;=$Y42),$AB42,$AA42)))=Milestones!$AB$166),UPPER(TEXT(EDATE($D42,Milestones!$AA$166),"dd mmm yy"))&amp;" "&amp;Milestones!$AB$166&amp;" "&amp;IF(AND(Milestones!$AB$166="FT",Milestones!$AA$166=FT_Y5,EDATE($D42,Milestones!$AA$166)&lt;PolicyEff),1,Milestones!$AC$166)&amp;";  ","")&amp;IF(AND(EDATE($D42,Milestones!$AA$167)&lt;=AsOfDate,EDATE($D42,Milestones!$AA$167)&gt;=SchemeStart,IF($X42=0,$AD42,IF(AND($Z42&lt;&gt;"",EDATE($D42,Milestones!$AA$167)&gt;=$Z42),$AC42,IF(AND($Y42&lt;&gt;"",EDATE($D42,Milestones!$AA$167)&gt;=$Y42),$AB42,$AA42)))=Milestones!$AB$167),UPPER(TEXT(EDATE($D42,Milestones!$AA$167),"dd mmm yy"))&amp;" "&amp;Milestones!$AB$167&amp;" "&amp;IF(AND(Milestones!$AB$167="FT",Milestones!$AA$167=FT_Y5,EDATE($D42,Milestones!$AA$167)&lt;PolicyEff),1,Milestones!$AC$167)&amp;";  ","")&amp;IF(AND(EDATE($D42,Milestones!$AA$168)&lt;=AsOfDate,EDATE($D42,Milestones!$AA$168)&gt;=SchemeStart,IF($X42=0,$AD42,IF(AND($Z42&lt;&gt;"",EDATE($D42,Milestones!$AA$168)&gt;=$Z42),$AC42,IF(AND($Y42&lt;&gt;"",EDATE($D42,Milestones!$AA$168)&gt;=$Y42),$AB42,$AA42)))=Milestones!$AB$168),UPPER(TEXT(EDATE($D42,Milestones!$AA$168),"dd mmm yy"))&amp;" "&amp;Milestones!$AB$168&amp;" "&amp;IF(AND(Milestones!$AB$168="FT",Milestones!$AA$168=FT_Y5,EDATE($D42,Milestones!$AA$168)&lt;PolicyEff),1,Milestones!$AC$168)&amp;";  ","")&amp;IF(AND(EDATE($D42,Milestones!$AA$169)&lt;=AsOfDate,EDATE($D42,Milestones!$AA$169)&gt;=SchemeStart,IF($X42=0,$AD42,IF(AND($Z42&lt;&gt;"",EDATE($D42,Milestones!$AA$169)&gt;=$Z42),$AC42,IF(AND($Y42&lt;&gt;"",EDATE($D42,Milestones!$AA$169)&gt;=$Y42),$AB42,$AA42)))=Milestones!$AB$169),UPPER(TEXT(EDATE($D42,Milestones!$AA$169),"dd mmm yy"))&amp;" "&amp;Milestones!$AB$169&amp;" "&amp;IF(AND(Milestones!$AB$169="FT",Milestones!$AA$169=FT_Y5,EDATE($D42,Milestones!$AA$169)&lt;PolicyEff),1,Milestones!$AC$169)&amp;";  ","")&amp;IF(AND(EDATE($D42,Milestones!$AA$170)&lt;=AsOfDate,EDATE($D42,Milestones!$AA$170)&gt;=SchemeStart,IF($X42=0,$AD42,IF(AND($Z42&lt;&gt;"",EDATE($D42,Milestones!$AA$170)&gt;=$Z42),$AC42,IF(AND($Y42&lt;&gt;"",EDATE($D42,Milestones!$AA$170)&gt;=$Y42),$AB42,$AA42)))=Milestones!$AB$170),UPPER(TEXT(EDATE($D42,Milestones!$AA$170),"dd mmm yy"))&amp;" "&amp;Milestones!$AB$170&amp;" "&amp;IF(AND(Milestones!$AB$170="FT",Milestones!$AA$170=FT_Y5,EDATE($D42,Milestones!$AA$170)&lt;PolicyEff),1,Milestones!$AC$170)&amp;";  ","")&amp;IF(AND(EDATE($D42,Milestones!$AA$171)&lt;=AsOfDate,EDATE($D42,Milestones!$AA$171)&gt;=SchemeStart,IF($X42=0,$AD42,IF(AND($Z42&lt;&gt;"",EDATE($D42,Milestones!$AA$171)&gt;=$Z42),$AC42,IF(AND($Y42&lt;&gt;"",EDATE($D42,Milestones!$AA$171)&gt;=$Y42),$AB42,$AA42)))=Milestones!$AB$171),UPPER(TEXT(EDATE($D42,Milestones!$AA$171),"dd mmm yy"))&amp;" "&amp;Milestones!$AB$171&amp;" "&amp;IF(AND(Milestones!$AB$171="FT",Milestones!$AA$171=FT_Y5,EDATE($D42,Milestones!$AA$171)&lt;PolicyEff),1,Milestones!$AC$171)&amp;";  ","")&amp;IF(AND(EDATE($D42,Milestones!$AA$172)&lt;=AsOfDate,EDATE($D42,Milestones!$AA$172)&gt;=SchemeStart,IF($X42=0,$AD42,IF(AND($Z42&lt;&gt;"",EDATE($D42,Milestones!$AA$172)&gt;=$Z42),$AC42,IF(AND($Y42&lt;&gt;"",EDATE($D42,Milestones!$AA$172)&gt;=$Y42),$AB42,$AA42)))=Milestones!$AB$172),UPPER(TEXT(EDATE($D42,Milestones!$AA$172),"dd mmm yy"))&amp;" "&amp;Milestones!$AB$172&amp;" "&amp;IF(AND(Milestones!$AB$172="FT",Milestones!$AA$172=FT_Y5,EDATE($D42,Milestones!$AA$172)&lt;PolicyEff),1,Milestones!$AC$172)&amp;";  ","")&amp;IF(AND(EDATE($D42,Milestones!$AA$173)&lt;=AsOfDate,EDATE($D42,Milestones!$AA$173)&gt;=SchemeStart,IF($X42=0,$AD42,IF(AND($Z42&lt;&gt;"",EDATE($D42,Milestones!$AA$173)&gt;=$Z42),$AC42,IF(AND($Y42&lt;&gt;"",EDATE($D42,Milestones!$AA$173)&gt;=$Y42),$AB42,$AA42)))=Milestones!$AB$173),UPPER(TEXT(EDATE($D42,Milestones!$AA$173),"dd mmm yy"))&amp;" "&amp;Milestones!$AB$173&amp;" "&amp;IF(AND(Milestones!$AB$173="FT",Milestones!$AA$173=FT_Y5,EDATE($D42,Milestones!$AA$173)&lt;PolicyEff),1,Milestones!$AC$173)&amp;";  ","")&amp;IF(AND(EDATE($D42,Milestones!$AA$174)&lt;=AsOfDate,EDATE($D42,Milestones!$AA$174)&gt;=SchemeStart,IF($X42=0,$AD42,IF(AND($Z42&lt;&gt;"",EDATE($D42,Milestones!$AA$174)&gt;=$Z42),$AC42,IF(AND($Y42&lt;&gt;"",EDATE($D42,Milestones!$AA$174)&gt;=$Y42),$AB42,$AA42)))=Milestones!$AB$174),UPPER(TEXT(EDATE($D42,Milestones!$AA$174),"dd mmm yy"))&amp;" "&amp;Milestones!$AB$174&amp;" "&amp;IF(AND(Milestones!$AB$174="FT",Milestones!$AA$174=FT_Y5,EDATE($D42,Milestones!$AA$174)&lt;PolicyEff),1,Milestones!$AC$174)&amp;";  ","")&amp;IF(AND(EDATE($D42,Milestones!$AA$175)&lt;=AsOfDate,EDATE($D42,Milestones!$AA$175)&gt;=SchemeStart,IF($X42=0,$AD42,IF(AND($Z42&lt;&gt;"",EDATE($D42,Milestones!$AA$175)&gt;=$Z42),$AC42,IF(AND($Y42&lt;&gt;"",EDATE($D42,Milestones!$AA$175)&gt;=$Y42),$AB42,$AA42)))=Milestones!$AB$175),UPPER(TEXT(EDATE($D42,Milestones!$AA$175),"dd mmm yy"))&amp;" "&amp;Milestones!$AB$175&amp;" "&amp;IF(AND(Milestones!$AB$175="FT",Milestones!$AA$175=FT_Y5,EDATE($D42,Milestones!$AA$175)&lt;PolicyEff),1,Milestones!$AC$175)&amp;";  ",""))</f>
        <v/>
      </c>
      <c r="V42" s="0" t="str">
        <f aca="false">IF(OR($A42="",$D42=""),"",IF(AND(EDATE($D42,Milestones!$AA$176)&lt;=AsOfDate,EDATE($D42,Milestones!$AA$176)&gt;=SchemeStart,IF($X42=0,$AD42,IF(AND($Z42&lt;&gt;"",EDATE($D42,Milestones!$AA$176)&gt;=$Z42),$AC42,IF(AND($Y42&lt;&gt;"",EDATE($D42,Milestones!$AA$176)&gt;=$Y42),$AB42,$AA42)))=Milestones!$AB$176),UPPER(TEXT(EDATE($D42,Milestones!$AA$176),"dd mmm yy"))&amp;" "&amp;Milestones!$AB$176&amp;" "&amp;IF(AND(Milestones!$AB$176="FT",Milestones!$AA$176=FT_Y5,EDATE($D42,Milestones!$AA$176)&lt;PolicyEff),1,Milestones!$AC$176)&amp;";  ","")&amp;IF(AND(EDATE($D42,Milestones!$AA$177)&lt;=AsOfDate,EDATE($D42,Milestones!$AA$177)&gt;=SchemeStart,IF($X42=0,$AD42,IF(AND($Z42&lt;&gt;"",EDATE($D42,Milestones!$AA$177)&gt;=$Z42),$AC42,IF(AND($Y42&lt;&gt;"",EDATE($D42,Milestones!$AA$177)&gt;=$Y42),$AB42,$AA42)))=Milestones!$AB$177),UPPER(TEXT(EDATE($D42,Milestones!$AA$177),"dd mmm yy"))&amp;" "&amp;Milestones!$AB$177&amp;" "&amp;IF(AND(Milestones!$AB$177="FT",Milestones!$AA$177=FT_Y5,EDATE($D42,Milestones!$AA$177)&lt;PolicyEff),1,Milestones!$AC$177)&amp;";  ","")&amp;IF(AND(EDATE($D42,Milestones!$AA$178)&lt;=AsOfDate,EDATE($D42,Milestones!$AA$178)&gt;=SchemeStart,IF($X42=0,$AD42,IF(AND($Z42&lt;&gt;"",EDATE($D42,Milestones!$AA$178)&gt;=$Z42),$AC42,IF(AND($Y42&lt;&gt;"",EDATE($D42,Milestones!$AA$178)&gt;=$Y42),$AB42,$AA42)))=Milestones!$AB$178),UPPER(TEXT(EDATE($D42,Milestones!$AA$178),"dd mmm yy"))&amp;" "&amp;Milestones!$AB$178&amp;" "&amp;IF(AND(Milestones!$AB$178="FT",Milestones!$AA$178=FT_Y5,EDATE($D42,Milestones!$AA$178)&lt;PolicyEff),1,Milestones!$AC$178)&amp;";  ","")&amp;IF(AND(EDATE($D42,Milestones!$AA$179)&lt;=AsOfDate,EDATE($D42,Milestones!$AA$179)&gt;=SchemeStart,IF($X42=0,$AD42,IF(AND($Z42&lt;&gt;"",EDATE($D42,Milestones!$AA$179)&gt;=$Z42),$AC42,IF(AND($Y42&lt;&gt;"",EDATE($D42,Milestones!$AA$179)&gt;=$Y42),$AB42,$AA42)))=Milestones!$AB$179),UPPER(TEXT(EDATE($D42,Milestones!$AA$179),"dd mmm yy"))&amp;" "&amp;Milestones!$AB$179&amp;" "&amp;IF(AND(Milestones!$AB$179="FT",Milestones!$AA$179=FT_Y5,EDATE($D42,Milestones!$AA$179)&lt;PolicyEff),1,Milestones!$AC$179)&amp;";  ","")&amp;IF(AND(EDATE($D42,Milestones!$AA$180)&lt;=AsOfDate,EDATE($D42,Milestones!$AA$180)&gt;=SchemeStart,IF($X42=0,$AD42,IF(AND($Z42&lt;&gt;"",EDATE($D42,Milestones!$AA$180)&gt;=$Z42),$AC42,IF(AND($Y42&lt;&gt;"",EDATE($D42,Milestones!$AA$180)&gt;=$Y42),$AB42,$AA42)))=Milestones!$AB$180),UPPER(TEXT(EDATE($D42,Milestones!$AA$180),"dd mmm yy"))&amp;" "&amp;Milestones!$AB$180&amp;" "&amp;IF(AND(Milestones!$AB$180="FT",Milestones!$AA$180=FT_Y5,EDATE($D42,Milestones!$AA$180)&lt;PolicyEff),1,Milestones!$AC$180)&amp;";  ","")&amp;IF(AND(EDATE($D42,Milestones!$AA$181)&lt;=AsOfDate,EDATE($D42,Milestones!$AA$181)&gt;=SchemeStart,IF($X42=0,$AD42,IF(AND($Z42&lt;&gt;"",EDATE($D42,Milestones!$AA$181)&gt;=$Z42),$AC42,IF(AND($Y42&lt;&gt;"",EDATE($D42,Milestones!$AA$181)&gt;=$Y42),$AB42,$AA42)))=Milestones!$AB$181),UPPER(TEXT(EDATE($D42,Milestones!$AA$181),"dd mmm yy"))&amp;" "&amp;Milestones!$AB$181&amp;" "&amp;IF(AND(Milestones!$AB$181="FT",Milestones!$AA$181=FT_Y5,EDATE($D42,Milestones!$AA$181)&lt;PolicyEff),1,Milestones!$AC$181)&amp;";  ","")&amp;IF(AND(EDATE($D42,Milestones!$AA$182)&lt;=AsOfDate,EDATE($D42,Milestones!$AA$182)&gt;=SchemeStart,IF($X42=0,$AD42,IF(AND($Z42&lt;&gt;"",EDATE($D42,Milestones!$AA$182)&gt;=$Z42),$AC42,IF(AND($Y42&lt;&gt;"",EDATE($D42,Milestones!$AA$182)&gt;=$Y42),$AB42,$AA42)))=Milestones!$AB$182),UPPER(TEXT(EDATE($D42,Milestones!$AA$182),"dd mmm yy"))&amp;" "&amp;Milestones!$AB$182&amp;" "&amp;IF(AND(Milestones!$AB$182="FT",Milestones!$AA$182=FT_Y5,EDATE($D42,Milestones!$AA$182)&lt;PolicyEff),1,Milestones!$AC$182)&amp;";  ","")&amp;IF(AND(EDATE($D42,Milestones!$AA$183)&lt;=AsOfDate,EDATE($D42,Milestones!$AA$183)&gt;=SchemeStart,IF($X42=0,$AD42,IF(AND($Z42&lt;&gt;"",EDATE($D42,Milestones!$AA$183)&gt;=$Z42),$AC42,IF(AND($Y42&lt;&gt;"",EDATE($D42,Milestones!$AA$183)&gt;=$Y42),$AB42,$AA42)))=Milestones!$AB$183),UPPER(TEXT(EDATE($D42,Milestones!$AA$183),"dd mmm yy"))&amp;" "&amp;Milestones!$AB$183&amp;" "&amp;IF(AND(Milestones!$AB$183="FT",Milestones!$AA$183=FT_Y5,EDATE($D42,Milestones!$AA$183)&lt;PolicyEff),1,Milestones!$AC$183)&amp;";  ","")&amp;IF(AND(EDATE($D42,Milestones!$AA$184)&lt;=AsOfDate,EDATE($D42,Milestones!$AA$184)&gt;=SchemeStart,IF($X42=0,$AD42,IF(AND($Z42&lt;&gt;"",EDATE($D42,Milestones!$AA$184)&gt;=$Z42),$AC42,IF(AND($Y42&lt;&gt;"",EDATE($D42,Milestones!$AA$184)&gt;=$Y42),$AB42,$AA42)))=Milestones!$AB$184),UPPER(TEXT(EDATE($D42,Milestones!$AA$184),"dd mmm yy"))&amp;" "&amp;Milestones!$AB$184&amp;" "&amp;IF(AND(Milestones!$AB$184="FT",Milestones!$AA$184=FT_Y5,EDATE($D42,Milestones!$AA$184)&lt;PolicyEff),1,Milestones!$AC$184)&amp;";  ","")&amp;IF(AND(EDATE($D42,Milestones!$AA$185)&lt;=AsOfDate,EDATE($D42,Milestones!$AA$185)&gt;=SchemeStart,IF($X42=0,$AD42,IF(AND($Z42&lt;&gt;"",EDATE($D42,Milestones!$AA$185)&gt;=$Z42),$AC42,IF(AND($Y42&lt;&gt;"",EDATE($D42,Milestones!$AA$185)&gt;=$Y42),$AB42,$AA42)))=Milestones!$AB$185),UPPER(TEXT(EDATE($D42,Milestones!$AA$185),"dd mmm yy"))&amp;" "&amp;Milestones!$AB$185&amp;" "&amp;IF(AND(Milestones!$AB$185="FT",Milestones!$AA$185=FT_Y5,EDATE($D42,Milestones!$AA$185)&lt;PolicyEff),1,Milestones!$AC$185)&amp;";  ","")&amp;IF(AND(EDATE($D42,Milestones!$AA$186)&lt;=AsOfDate,EDATE($D42,Milestones!$AA$186)&gt;=SchemeStart,IF($X42=0,$AD42,IF(AND($Z42&lt;&gt;"",EDATE($D42,Milestones!$AA$186)&gt;=$Z42),$AC42,IF(AND($Y42&lt;&gt;"",EDATE($D42,Milestones!$AA$186)&gt;=$Y42),$AB42,$AA42)))=Milestones!$AB$186),UPPER(TEXT(EDATE($D42,Milestones!$AA$186),"dd mmm yy"))&amp;" "&amp;Milestones!$AB$186&amp;" "&amp;IF(AND(Milestones!$AB$186="FT",Milestones!$AA$186=FT_Y5,EDATE($D42,Milestones!$AA$186)&lt;PolicyEff),1,Milestones!$AC$186)&amp;";  ","")&amp;IF(AND(EDATE($D42,Milestones!$AA$187)&lt;=AsOfDate,EDATE($D42,Milestones!$AA$187)&gt;=SchemeStart,IF($X42=0,$AD42,IF(AND($Z42&lt;&gt;"",EDATE($D42,Milestones!$AA$187)&gt;=$Z42),$AC42,IF(AND($Y42&lt;&gt;"",EDATE($D42,Milestones!$AA$187)&gt;=$Y42),$AB42,$AA42)))=Milestones!$AB$187),UPPER(TEXT(EDATE($D42,Milestones!$AA$187),"dd mmm yy"))&amp;" "&amp;Milestones!$AB$187&amp;" "&amp;IF(AND(Milestones!$AB$187="FT",Milestones!$AA$187=FT_Y5,EDATE($D42,Milestones!$AA$187)&lt;PolicyEff),1,Milestones!$AC$187)&amp;";  ",""))</f>
        <v/>
      </c>
      <c r="W42" s="0" t="str">
        <f aca="false">IF(OR($A42="",$D42=""),"",IF(AND(EDATE($D42,Milestones!$AA$188)&lt;=AsOfDate,EDATE($D42,Milestones!$AA$188)&gt;=SchemeStart,IF($X42=0,$AD42,IF(AND($Z42&lt;&gt;"",EDATE($D42,Milestones!$AA$188)&gt;=$Z42),$AC42,IF(AND($Y42&lt;&gt;"",EDATE($D42,Milestones!$AA$188)&gt;=$Y42),$AB42,$AA42)))=Milestones!$AB$188),UPPER(TEXT(EDATE($D42,Milestones!$AA$188),"dd mmm yy"))&amp;" "&amp;Milestones!$AB$188&amp;" "&amp;IF(AND(Milestones!$AB$188="FT",Milestones!$AA$188=FT_Y5,EDATE($D42,Milestones!$AA$188)&lt;PolicyEff),1,Milestones!$AC$188)&amp;";  ","")&amp;IF(AND(EDATE($D42,Milestones!$AA$189)&lt;=AsOfDate,EDATE($D42,Milestones!$AA$189)&gt;=SchemeStart,IF($X42=0,$AD42,IF(AND($Z42&lt;&gt;"",EDATE($D42,Milestones!$AA$189)&gt;=$Z42),$AC42,IF(AND($Y42&lt;&gt;"",EDATE($D42,Milestones!$AA$189)&gt;=$Y42),$AB42,$AA42)))=Milestones!$AB$189),UPPER(TEXT(EDATE($D42,Milestones!$AA$189),"dd mmm yy"))&amp;" "&amp;Milestones!$AB$189&amp;" "&amp;IF(AND(Milestones!$AB$189="FT",Milestones!$AA$189=FT_Y5,EDATE($D42,Milestones!$AA$189)&lt;PolicyEff),1,Milestones!$AC$189)&amp;";  ","")&amp;IF(AND(EDATE($D42,Milestones!$AA$190)&lt;=AsOfDate,EDATE($D42,Milestones!$AA$190)&gt;=SchemeStart,IF($X42=0,$AD42,IF(AND($Z42&lt;&gt;"",EDATE($D42,Milestones!$AA$190)&gt;=$Z42),$AC42,IF(AND($Y42&lt;&gt;"",EDATE($D42,Milestones!$AA$190)&gt;=$Y42),$AB42,$AA42)))=Milestones!$AB$190),UPPER(TEXT(EDATE($D42,Milestones!$AA$190),"dd mmm yy"))&amp;" "&amp;Milestones!$AB$190&amp;" "&amp;IF(AND(Milestones!$AB$190="FT",Milestones!$AA$190=FT_Y5,EDATE($D42,Milestones!$AA$190)&lt;PolicyEff),1,Milestones!$AC$190)&amp;";  ","")&amp;IF(AND(EDATE($D42,Milestones!$AA$191)&lt;=AsOfDate,EDATE($D42,Milestones!$AA$191)&gt;=SchemeStart,IF($X42=0,$AD42,IF(AND($Z42&lt;&gt;"",EDATE($D42,Milestones!$AA$191)&gt;=$Z42),$AC42,IF(AND($Y42&lt;&gt;"",EDATE($D42,Milestones!$AA$191)&gt;=$Y42),$AB42,$AA42)))=Milestones!$AB$191),UPPER(TEXT(EDATE($D42,Milestones!$AA$191),"dd mmm yy"))&amp;" "&amp;Milestones!$AB$191&amp;" "&amp;IF(AND(Milestones!$AB$191="FT",Milestones!$AA$191=FT_Y5,EDATE($D42,Milestones!$AA$191)&lt;PolicyEff),1,Milestones!$AC$191)&amp;";  ","")&amp;IF(AND(EDATE($D42,Milestones!$AA$192)&lt;=AsOfDate,EDATE($D42,Milestones!$AA$192)&gt;=SchemeStart,IF($X42=0,$AD42,IF(AND($Z42&lt;&gt;"",EDATE($D42,Milestones!$AA$192)&gt;=$Z42),$AC42,IF(AND($Y42&lt;&gt;"",EDATE($D42,Milestones!$AA$192)&gt;=$Y42),$AB42,$AA42)))=Milestones!$AB$192),UPPER(TEXT(EDATE($D42,Milestones!$AA$192),"dd mmm yy"))&amp;" "&amp;Milestones!$AB$192&amp;" "&amp;IF(AND(Milestones!$AB$192="FT",Milestones!$AA$192=FT_Y5,EDATE($D42,Milestones!$AA$192)&lt;PolicyEff),1,Milestones!$AC$192)&amp;";  ","")&amp;IF(AND(EDATE($D42,Milestones!$AA$193)&lt;=AsOfDate,EDATE($D42,Milestones!$AA$193)&gt;=SchemeStart,IF($X42=0,$AD42,IF(AND($Z42&lt;&gt;"",EDATE($D42,Milestones!$AA$193)&gt;=$Z42),$AC42,IF(AND($Y42&lt;&gt;"",EDATE($D42,Milestones!$AA$193)&gt;=$Y42),$AB42,$AA42)))=Milestones!$AB$193),UPPER(TEXT(EDATE($D42,Milestones!$AA$193),"dd mmm yy"))&amp;" "&amp;Milestones!$AB$193&amp;" "&amp;IF(AND(Milestones!$AB$193="FT",Milestones!$AA$193=FT_Y5,EDATE($D42,Milestones!$AA$193)&lt;PolicyEff),1,Milestones!$AC$193)&amp;";  ","")&amp;IF(AND(EDATE($D42,Milestones!$AA$194)&lt;=AsOfDate,EDATE($D42,Milestones!$AA$194)&gt;=SchemeStart,IF($X42=0,$AD42,IF(AND($Z42&lt;&gt;"",EDATE($D42,Milestones!$AA$194)&gt;=$Z42),$AC42,IF(AND($Y42&lt;&gt;"",EDATE($D42,Milestones!$AA$194)&gt;=$Y42),$AB42,$AA42)))=Milestones!$AB$194),UPPER(TEXT(EDATE($D42,Milestones!$AA$194),"dd mmm yy"))&amp;" "&amp;Milestones!$AB$194&amp;" "&amp;IF(AND(Milestones!$AB$194="FT",Milestones!$AA$194=FT_Y5,EDATE($D42,Milestones!$AA$194)&lt;PolicyEff),1,Milestones!$AC$194)&amp;";  ","")&amp;IF(AND(EDATE($D42,Milestones!$AA$195)&lt;=AsOfDate,EDATE($D42,Milestones!$AA$195)&gt;=SchemeStart,IF($X42=0,$AD42,IF(AND($Z42&lt;&gt;"",EDATE($D42,Milestones!$AA$195)&gt;=$Z42),$AC42,IF(AND($Y42&lt;&gt;"",EDATE($D42,Milestones!$AA$195)&gt;=$Y42),$AB42,$AA42)))=Milestones!$AB$195),UPPER(TEXT(EDATE($D42,Milestones!$AA$195),"dd mmm yy"))&amp;" "&amp;Milestones!$AB$195&amp;" "&amp;IF(AND(Milestones!$AB$195="FT",Milestones!$AA$195=FT_Y5,EDATE($D42,Milestones!$AA$195)&lt;PolicyEff),1,Milestones!$AC$195)&amp;";  ","")&amp;IF(AND(EDATE($D42,Milestones!$AA$196)&lt;=AsOfDate,EDATE($D42,Milestones!$AA$196)&gt;=SchemeStart,IF($X42=0,$AD42,IF(AND($Z42&lt;&gt;"",EDATE($D42,Milestones!$AA$196)&gt;=$Z42),$AC42,IF(AND($Y42&lt;&gt;"",EDATE($D42,Milestones!$AA$196)&gt;=$Y42),$AB42,$AA42)))=Milestones!$AB$196),UPPER(TEXT(EDATE($D42,Milestones!$AA$196),"dd mmm yy"))&amp;" "&amp;Milestones!$AB$196&amp;" "&amp;IF(AND(Milestones!$AB$196="FT",Milestones!$AA$196=FT_Y5,EDATE($D42,Milestones!$AA$196)&lt;PolicyEff),1,Milestones!$AC$196)&amp;";  ","")&amp;IF(AND(EDATE($D42,Milestones!$AA$197)&lt;=AsOfDate,EDATE($D42,Milestones!$AA$197)&gt;=SchemeStart,IF($X42=0,$AD42,IF(AND($Z42&lt;&gt;"",EDATE($D42,Milestones!$AA$197)&gt;=$Z42),$AC42,IF(AND($Y42&lt;&gt;"",EDATE($D42,Milestones!$AA$197)&gt;=$Y42),$AB42,$AA42)))=Milestones!$AB$197),UPPER(TEXT(EDATE($D42,Milestones!$AA$197),"dd mmm yy"))&amp;" "&amp;Milestones!$AB$197&amp;" "&amp;IF(AND(Milestones!$AB$197="FT",Milestones!$AA$197=FT_Y5,EDATE($D42,Milestones!$AA$197)&lt;PolicyEff),1,Milestones!$AC$197)&amp;";  ","")&amp;IF(AND(EDATE($D42,Milestones!$AA$198)&lt;=AsOfDate,EDATE($D42,Milestones!$AA$198)&gt;=SchemeStart,IF($X42=0,$AD42,IF(AND($Z42&lt;&gt;"",EDATE($D42,Milestones!$AA$198)&gt;=$Z42),$AC42,IF(AND($Y42&lt;&gt;"",EDATE($D42,Milestones!$AA$198)&gt;=$Y42),$AB42,$AA42)))=Milestones!$AB$198),UPPER(TEXT(EDATE($D42,Milestones!$AA$198),"dd mmm yy"))&amp;" "&amp;Milestones!$AB$198&amp;" "&amp;IF(AND(Milestones!$AB$198="FT",Milestones!$AA$198=FT_Y5,EDATE($D42,Milestones!$AA$198)&lt;PolicyEff),1,Milestones!$AC$198)&amp;";  ","")&amp;IF(AND(EDATE($D42,Milestones!$AA$199)&lt;=AsOfDate,EDATE($D42,Milestones!$AA$199)&gt;=SchemeStart,IF($X42=0,$AD42,IF(AND($Z42&lt;&gt;"",EDATE($D42,Milestones!$AA$199)&gt;=$Z42),$AC42,IF(AND($Y42&lt;&gt;"",EDATE($D42,Milestones!$AA$199)&gt;=$Y42),$AB42,$AA42)))=Milestones!$AB$199),UPPER(TEXT(EDATE($D42,Milestones!$AA$199),"dd mmm yy"))&amp;" "&amp;Milestones!$AB$199&amp;" "&amp;IF(AND(Milestones!$AB$199="FT",Milestones!$AA$199=FT_Y5,EDATE($D42,Milestones!$AA$199)&lt;PolicyEff),1,Milestones!$AC$199)&amp;";  ",""))</f>
        <v/>
      </c>
      <c r="X42" s="0" t="str">
        <f aca="false">IF(Staff!$A42="","",Staff!$AM42)</f>
        <v/>
      </c>
      <c r="Y42" s="0" t="str">
        <f aca="false">IF(Staff!$A42="","",Staff!$AO42)</f>
        <v/>
      </c>
      <c r="Z42" s="0" t="str">
        <f aca="false">IF(Staff!$A42="","",Staff!$AP42)</f>
        <v/>
      </c>
      <c r="AA42" s="0" t="str">
        <f aca="false">IF(Staff!$A42="","",Staff!$AT42)</f>
        <v/>
      </c>
      <c r="AB42" s="0" t="str">
        <f aca="false">IF(Staff!$A42="","",Staff!$AU42)</f>
        <v/>
      </c>
      <c r="AC42" s="0" t="str">
        <f aca="false">IF(Staff!$A42="","",Staff!$AV42)</f>
        <v/>
      </c>
      <c r="AD42" s="0" t="str">
        <f aca="false">IF(Staff!$A42="","",Staff!$AW42)</f>
        <v/>
      </c>
    </row>
    <row r="43" customFormat="false" ht="15" hidden="false" customHeight="false" outlineLevel="0" collapsed="false">
      <c r="A43" s="16" t="str">
        <f aca="false">IF(Staff!$A43="","",Staff!$A43)</f>
        <v/>
      </c>
      <c r="B43" s="16" t="str">
        <f aca="false">IF(Staff!$A43="","",Staff!$B43)</f>
        <v/>
      </c>
      <c r="C43" s="16" t="str">
        <f aca="false">IF(Staff!$A43="","",Staff!$C43)</f>
        <v/>
      </c>
      <c r="D43" s="14" t="str">
        <f aca="false">IF(Staff!$A43="","",Staff!$AL43)</f>
        <v/>
      </c>
      <c r="E43" s="16" t="str">
        <f aca="false">IF(Staff!$A43="","",Staff!$O43)</f>
        <v/>
      </c>
      <c r="F43" s="16" t="str">
        <f aca="false">IF(E43="","",E43*HoursPerDay)</f>
        <v/>
      </c>
      <c r="G43" s="16" t="str">
        <f aca="false">IF(Staff!$A43="","",Staff!$AE43)</f>
        <v/>
      </c>
      <c r="H43" s="28" t="str">
        <f aca="false">IF($A43="","",I43&amp;J43&amp;K43&amp;L43&amp;M43&amp;N43&amp;O43&amp;P43&amp;Q43&amp;R43&amp;S43&amp;T43&amp;U43&amp;V43&amp;W43)</f>
        <v/>
      </c>
      <c r="I43" s="0" t="str">
        <f aca="false">IF(OR($A43="",$D43=""),"",IF(AND(EDATE($D43,Milestones!$AA$20)&lt;=AsOfDate,EDATE($D43,Milestones!$AA$20)&gt;=SchemeStart,IF($X43=0,$AD43,IF(AND($Z43&lt;&gt;"",EDATE($D43,Milestones!$AA$20)&gt;=$Z43),$AC43,IF(AND($Y43&lt;&gt;"",EDATE($D43,Milestones!$AA$20)&gt;=$Y43),$AB43,$AA43)))=Milestones!$AB$20),UPPER(TEXT(EDATE($D43,Milestones!$AA$20),"dd mmm yy"))&amp;" "&amp;Milestones!$AB$20&amp;" "&amp;IF(AND(Milestones!$AB$20="FT",Milestones!$AA$20=FT_Y5,EDATE($D43,Milestones!$AA$20)&lt;PolicyEff),1,Milestones!$AC$20)&amp;";  ","")&amp;IF(AND(EDATE($D43,Milestones!$AA$21)&lt;=AsOfDate,EDATE($D43,Milestones!$AA$21)&gt;=SchemeStart,IF($X43=0,$AD43,IF(AND($Z43&lt;&gt;"",EDATE($D43,Milestones!$AA$21)&gt;=$Z43),$AC43,IF(AND($Y43&lt;&gt;"",EDATE($D43,Milestones!$AA$21)&gt;=$Y43),$AB43,$AA43)))=Milestones!$AB$21),UPPER(TEXT(EDATE($D43,Milestones!$AA$21),"dd mmm yy"))&amp;" "&amp;Milestones!$AB$21&amp;" "&amp;IF(AND(Milestones!$AB$21="FT",Milestones!$AA$21=FT_Y5,EDATE($D43,Milestones!$AA$21)&lt;PolicyEff),1,Milestones!$AC$21)&amp;";  ","")&amp;IF(AND(EDATE($D43,Milestones!$AA$22)&lt;=AsOfDate,EDATE($D43,Milestones!$AA$22)&gt;=SchemeStart,IF($X43=0,$AD43,IF(AND($Z43&lt;&gt;"",EDATE($D43,Milestones!$AA$22)&gt;=$Z43),$AC43,IF(AND($Y43&lt;&gt;"",EDATE($D43,Milestones!$AA$22)&gt;=$Y43),$AB43,$AA43)))=Milestones!$AB$22),UPPER(TEXT(EDATE($D43,Milestones!$AA$22),"dd mmm yy"))&amp;" "&amp;Milestones!$AB$22&amp;" "&amp;IF(AND(Milestones!$AB$22="FT",Milestones!$AA$22=FT_Y5,EDATE($D43,Milestones!$AA$22)&lt;PolicyEff),1,Milestones!$AC$22)&amp;";  ","")&amp;IF(AND(EDATE($D43,Milestones!$AA$23)&lt;=AsOfDate,EDATE($D43,Milestones!$AA$23)&gt;=SchemeStart,IF($X43=0,$AD43,IF(AND($Z43&lt;&gt;"",EDATE($D43,Milestones!$AA$23)&gt;=$Z43),$AC43,IF(AND($Y43&lt;&gt;"",EDATE($D43,Milestones!$AA$23)&gt;=$Y43),$AB43,$AA43)))=Milestones!$AB$23),UPPER(TEXT(EDATE($D43,Milestones!$AA$23),"dd mmm yy"))&amp;" "&amp;Milestones!$AB$23&amp;" "&amp;IF(AND(Milestones!$AB$23="FT",Milestones!$AA$23=FT_Y5,EDATE($D43,Milestones!$AA$23)&lt;PolicyEff),1,Milestones!$AC$23)&amp;";  ","")&amp;IF(AND(EDATE($D43,Milestones!$AA$24)&lt;=AsOfDate,EDATE($D43,Milestones!$AA$24)&gt;=SchemeStart,IF($X43=0,$AD43,IF(AND($Z43&lt;&gt;"",EDATE($D43,Milestones!$AA$24)&gt;=$Z43),$AC43,IF(AND($Y43&lt;&gt;"",EDATE($D43,Milestones!$AA$24)&gt;=$Y43),$AB43,$AA43)))=Milestones!$AB$24),UPPER(TEXT(EDATE($D43,Milestones!$AA$24),"dd mmm yy"))&amp;" "&amp;Milestones!$AB$24&amp;" "&amp;IF(AND(Milestones!$AB$24="FT",Milestones!$AA$24=FT_Y5,EDATE($D43,Milestones!$AA$24)&lt;PolicyEff),1,Milestones!$AC$24)&amp;";  ","")&amp;IF(AND(EDATE($D43,Milestones!$AA$25)&lt;=AsOfDate,EDATE($D43,Milestones!$AA$25)&gt;=SchemeStart,IF($X43=0,$AD43,IF(AND($Z43&lt;&gt;"",EDATE($D43,Milestones!$AA$25)&gt;=$Z43),$AC43,IF(AND($Y43&lt;&gt;"",EDATE($D43,Milestones!$AA$25)&gt;=$Y43),$AB43,$AA43)))=Milestones!$AB$25),UPPER(TEXT(EDATE($D43,Milestones!$AA$25),"dd mmm yy"))&amp;" "&amp;Milestones!$AB$25&amp;" "&amp;IF(AND(Milestones!$AB$25="FT",Milestones!$AA$25=FT_Y5,EDATE($D43,Milestones!$AA$25)&lt;PolicyEff),1,Milestones!$AC$25)&amp;";  ","")&amp;IF(AND(EDATE($D43,Milestones!$AA$26)&lt;=AsOfDate,EDATE($D43,Milestones!$AA$26)&gt;=SchemeStart,IF($X43=0,$AD43,IF(AND($Z43&lt;&gt;"",EDATE($D43,Milestones!$AA$26)&gt;=$Z43),$AC43,IF(AND($Y43&lt;&gt;"",EDATE($D43,Milestones!$AA$26)&gt;=$Y43),$AB43,$AA43)))=Milestones!$AB$26),UPPER(TEXT(EDATE($D43,Milestones!$AA$26),"dd mmm yy"))&amp;" "&amp;Milestones!$AB$26&amp;" "&amp;IF(AND(Milestones!$AB$26="FT",Milestones!$AA$26=FT_Y5,EDATE($D43,Milestones!$AA$26)&lt;PolicyEff),1,Milestones!$AC$26)&amp;";  ","")&amp;IF(AND(EDATE($D43,Milestones!$AA$27)&lt;=AsOfDate,EDATE($D43,Milestones!$AA$27)&gt;=SchemeStart,IF($X43=0,$AD43,IF(AND($Z43&lt;&gt;"",EDATE($D43,Milestones!$AA$27)&gt;=$Z43),$AC43,IF(AND($Y43&lt;&gt;"",EDATE($D43,Milestones!$AA$27)&gt;=$Y43),$AB43,$AA43)))=Milestones!$AB$27),UPPER(TEXT(EDATE($D43,Milestones!$AA$27),"dd mmm yy"))&amp;" "&amp;Milestones!$AB$27&amp;" "&amp;IF(AND(Milestones!$AB$27="FT",Milestones!$AA$27=FT_Y5,EDATE($D43,Milestones!$AA$27)&lt;PolicyEff),1,Milestones!$AC$27)&amp;";  ","")&amp;IF(AND(EDATE($D43,Milestones!$AA$28)&lt;=AsOfDate,EDATE($D43,Milestones!$AA$28)&gt;=SchemeStart,IF($X43=0,$AD43,IF(AND($Z43&lt;&gt;"",EDATE($D43,Milestones!$AA$28)&gt;=$Z43),$AC43,IF(AND($Y43&lt;&gt;"",EDATE($D43,Milestones!$AA$28)&gt;=$Y43),$AB43,$AA43)))=Milestones!$AB$28),UPPER(TEXT(EDATE($D43,Milestones!$AA$28),"dd mmm yy"))&amp;" "&amp;Milestones!$AB$28&amp;" "&amp;IF(AND(Milestones!$AB$28="FT",Milestones!$AA$28=FT_Y5,EDATE($D43,Milestones!$AA$28)&lt;PolicyEff),1,Milestones!$AC$28)&amp;";  ","")&amp;IF(AND(EDATE($D43,Milestones!$AA$29)&lt;=AsOfDate,EDATE($D43,Milestones!$AA$29)&gt;=SchemeStart,IF($X43=0,$AD43,IF(AND($Z43&lt;&gt;"",EDATE($D43,Milestones!$AA$29)&gt;=$Z43),$AC43,IF(AND($Y43&lt;&gt;"",EDATE($D43,Milestones!$AA$29)&gt;=$Y43),$AB43,$AA43)))=Milestones!$AB$29),UPPER(TEXT(EDATE($D43,Milestones!$AA$29),"dd mmm yy"))&amp;" "&amp;Milestones!$AB$29&amp;" "&amp;IF(AND(Milestones!$AB$29="FT",Milestones!$AA$29=FT_Y5,EDATE($D43,Milestones!$AA$29)&lt;PolicyEff),1,Milestones!$AC$29)&amp;";  ","")&amp;IF(AND(EDATE($D43,Milestones!$AA$30)&lt;=AsOfDate,EDATE($D43,Milestones!$AA$30)&gt;=SchemeStart,IF($X43=0,$AD43,IF(AND($Z43&lt;&gt;"",EDATE($D43,Milestones!$AA$30)&gt;=$Z43),$AC43,IF(AND($Y43&lt;&gt;"",EDATE($D43,Milestones!$AA$30)&gt;=$Y43),$AB43,$AA43)))=Milestones!$AB$30),UPPER(TEXT(EDATE($D43,Milestones!$AA$30),"dd mmm yy"))&amp;" "&amp;Milestones!$AB$30&amp;" "&amp;IF(AND(Milestones!$AB$30="FT",Milestones!$AA$30=FT_Y5,EDATE($D43,Milestones!$AA$30)&lt;PolicyEff),1,Milestones!$AC$30)&amp;";  ","")&amp;IF(AND(EDATE($D43,Milestones!$AA$31)&lt;=AsOfDate,EDATE($D43,Milestones!$AA$31)&gt;=SchemeStart,IF($X43=0,$AD43,IF(AND($Z43&lt;&gt;"",EDATE($D43,Milestones!$AA$31)&gt;=$Z43),$AC43,IF(AND($Y43&lt;&gt;"",EDATE($D43,Milestones!$AA$31)&gt;=$Y43),$AB43,$AA43)))=Milestones!$AB$31),UPPER(TEXT(EDATE($D43,Milestones!$AA$31),"dd mmm yy"))&amp;" "&amp;Milestones!$AB$31&amp;" "&amp;IF(AND(Milestones!$AB$31="FT",Milestones!$AA$31=FT_Y5,EDATE($D43,Milestones!$AA$31)&lt;PolicyEff),1,Milestones!$AC$31)&amp;";  ",""))</f>
        <v/>
      </c>
      <c r="J43" s="0" t="str">
        <f aca="false">IF(OR($A43="",$D43=""),"",IF(AND(EDATE($D43,Milestones!$AA$32)&lt;=AsOfDate,EDATE($D43,Milestones!$AA$32)&gt;=SchemeStart,IF($X43=0,$AD43,IF(AND($Z43&lt;&gt;"",EDATE($D43,Milestones!$AA$32)&gt;=$Z43),$AC43,IF(AND($Y43&lt;&gt;"",EDATE($D43,Milestones!$AA$32)&gt;=$Y43),$AB43,$AA43)))=Milestones!$AB$32),UPPER(TEXT(EDATE($D43,Milestones!$AA$32),"dd mmm yy"))&amp;" "&amp;Milestones!$AB$32&amp;" "&amp;IF(AND(Milestones!$AB$32="FT",Milestones!$AA$32=FT_Y5,EDATE($D43,Milestones!$AA$32)&lt;PolicyEff),1,Milestones!$AC$32)&amp;";  ","")&amp;IF(AND(EDATE($D43,Milestones!$AA$33)&lt;=AsOfDate,EDATE($D43,Milestones!$AA$33)&gt;=SchemeStart,IF($X43=0,$AD43,IF(AND($Z43&lt;&gt;"",EDATE($D43,Milestones!$AA$33)&gt;=$Z43),$AC43,IF(AND($Y43&lt;&gt;"",EDATE($D43,Milestones!$AA$33)&gt;=$Y43),$AB43,$AA43)))=Milestones!$AB$33),UPPER(TEXT(EDATE($D43,Milestones!$AA$33),"dd mmm yy"))&amp;" "&amp;Milestones!$AB$33&amp;" "&amp;IF(AND(Milestones!$AB$33="FT",Milestones!$AA$33=FT_Y5,EDATE($D43,Milestones!$AA$33)&lt;PolicyEff),1,Milestones!$AC$33)&amp;";  ","")&amp;IF(AND(EDATE($D43,Milestones!$AA$34)&lt;=AsOfDate,EDATE($D43,Milestones!$AA$34)&gt;=SchemeStart,IF($X43=0,$AD43,IF(AND($Z43&lt;&gt;"",EDATE($D43,Milestones!$AA$34)&gt;=$Z43),$AC43,IF(AND($Y43&lt;&gt;"",EDATE($D43,Milestones!$AA$34)&gt;=$Y43),$AB43,$AA43)))=Milestones!$AB$34),UPPER(TEXT(EDATE($D43,Milestones!$AA$34),"dd mmm yy"))&amp;" "&amp;Milestones!$AB$34&amp;" "&amp;IF(AND(Milestones!$AB$34="FT",Milestones!$AA$34=FT_Y5,EDATE($D43,Milestones!$AA$34)&lt;PolicyEff),1,Milestones!$AC$34)&amp;";  ","")&amp;IF(AND(EDATE($D43,Milestones!$AA$35)&lt;=AsOfDate,EDATE($D43,Milestones!$AA$35)&gt;=SchemeStart,IF($X43=0,$AD43,IF(AND($Z43&lt;&gt;"",EDATE($D43,Milestones!$AA$35)&gt;=$Z43),$AC43,IF(AND($Y43&lt;&gt;"",EDATE($D43,Milestones!$AA$35)&gt;=$Y43),$AB43,$AA43)))=Milestones!$AB$35),UPPER(TEXT(EDATE($D43,Milestones!$AA$35),"dd mmm yy"))&amp;" "&amp;Milestones!$AB$35&amp;" "&amp;IF(AND(Milestones!$AB$35="FT",Milestones!$AA$35=FT_Y5,EDATE($D43,Milestones!$AA$35)&lt;PolicyEff),1,Milestones!$AC$35)&amp;";  ","")&amp;IF(AND(EDATE($D43,Milestones!$AA$36)&lt;=AsOfDate,EDATE($D43,Milestones!$AA$36)&gt;=SchemeStart,IF($X43=0,$AD43,IF(AND($Z43&lt;&gt;"",EDATE($D43,Milestones!$AA$36)&gt;=$Z43),$AC43,IF(AND($Y43&lt;&gt;"",EDATE($D43,Milestones!$AA$36)&gt;=$Y43),$AB43,$AA43)))=Milestones!$AB$36),UPPER(TEXT(EDATE($D43,Milestones!$AA$36),"dd mmm yy"))&amp;" "&amp;Milestones!$AB$36&amp;" "&amp;IF(AND(Milestones!$AB$36="FT",Milestones!$AA$36=FT_Y5,EDATE($D43,Milestones!$AA$36)&lt;PolicyEff),1,Milestones!$AC$36)&amp;";  ","")&amp;IF(AND(EDATE($D43,Milestones!$AA$37)&lt;=AsOfDate,EDATE($D43,Milestones!$AA$37)&gt;=SchemeStart,IF($X43=0,$AD43,IF(AND($Z43&lt;&gt;"",EDATE($D43,Milestones!$AA$37)&gt;=$Z43),$AC43,IF(AND($Y43&lt;&gt;"",EDATE($D43,Milestones!$AA$37)&gt;=$Y43),$AB43,$AA43)))=Milestones!$AB$37),UPPER(TEXT(EDATE($D43,Milestones!$AA$37),"dd mmm yy"))&amp;" "&amp;Milestones!$AB$37&amp;" "&amp;IF(AND(Milestones!$AB$37="FT",Milestones!$AA$37=FT_Y5,EDATE($D43,Milestones!$AA$37)&lt;PolicyEff),1,Milestones!$AC$37)&amp;";  ","")&amp;IF(AND(EDATE($D43,Milestones!$AA$38)&lt;=AsOfDate,EDATE($D43,Milestones!$AA$38)&gt;=SchemeStart,IF($X43=0,$AD43,IF(AND($Z43&lt;&gt;"",EDATE($D43,Milestones!$AA$38)&gt;=$Z43),$AC43,IF(AND($Y43&lt;&gt;"",EDATE($D43,Milestones!$AA$38)&gt;=$Y43),$AB43,$AA43)))=Milestones!$AB$38),UPPER(TEXT(EDATE($D43,Milestones!$AA$38),"dd mmm yy"))&amp;" "&amp;Milestones!$AB$38&amp;" "&amp;IF(AND(Milestones!$AB$38="FT",Milestones!$AA$38=FT_Y5,EDATE($D43,Milestones!$AA$38)&lt;PolicyEff),1,Milestones!$AC$38)&amp;";  ","")&amp;IF(AND(EDATE($D43,Milestones!$AA$39)&lt;=AsOfDate,EDATE($D43,Milestones!$AA$39)&gt;=SchemeStart,IF($X43=0,$AD43,IF(AND($Z43&lt;&gt;"",EDATE($D43,Milestones!$AA$39)&gt;=$Z43),$AC43,IF(AND($Y43&lt;&gt;"",EDATE($D43,Milestones!$AA$39)&gt;=$Y43),$AB43,$AA43)))=Milestones!$AB$39),UPPER(TEXT(EDATE($D43,Milestones!$AA$39),"dd mmm yy"))&amp;" "&amp;Milestones!$AB$39&amp;" "&amp;IF(AND(Milestones!$AB$39="FT",Milestones!$AA$39=FT_Y5,EDATE($D43,Milestones!$AA$39)&lt;PolicyEff),1,Milestones!$AC$39)&amp;";  ","")&amp;IF(AND(EDATE($D43,Milestones!$AA$40)&lt;=AsOfDate,EDATE($D43,Milestones!$AA$40)&gt;=SchemeStart,IF($X43=0,$AD43,IF(AND($Z43&lt;&gt;"",EDATE($D43,Milestones!$AA$40)&gt;=$Z43),$AC43,IF(AND($Y43&lt;&gt;"",EDATE($D43,Milestones!$AA$40)&gt;=$Y43),$AB43,$AA43)))=Milestones!$AB$40),UPPER(TEXT(EDATE($D43,Milestones!$AA$40),"dd mmm yy"))&amp;" "&amp;Milestones!$AB$40&amp;" "&amp;IF(AND(Milestones!$AB$40="FT",Milestones!$AA$40=FT_Y5,EDATE($D43,Milestones!$AA$40)&lt;PolicyEff),1,Milestones!$AC$40)&amp;";  ","")&amp;IF(AND(EDATE($D43,Milestones!$AA$41)&lt;=AsOfDate,EDATE($D43,Milestones!$AA$41)&gt;=SchemeStart,IF($X43=0,$AD43,IF(AND($Z43&lt;&gt;"",EDATE($D43,Milestones!$AA$41)&gt;=$Z43),$AC43,IF(AND($Y43&lt;&gt;"",EDATE($D43,Milestones!$AA$41)&gt;=$Y43),$AB43,$AA43)))=Milestones!$AB$41),UPPER(TEXT(EDATE($D43,Milestones!$AA$41),"dd mmm yy"))&amp;" "&amp;Milestones!$AB$41&amp;" "&amp;IF(AND(Milestones!$AB$41="FT",Milestones!$AA$41=FT_Y5,EDATE($D43,Milestones!$AA$41)&lt;PolicyEff),1,Milestones!$AC$41)&amp;";  ","")&amp;IF(AND(EDATE($D43,Milestones!$AA$42)&lt;=AsOfDate,EDATE($D43,Milestones!$AA$42)&gt;=SchemeStart,IF($X43=0,$AD43,IF(AND($Z43&lt;&gt;"",EDATE($D43,Milestones!$AA$42)&gt;=$Z43),$AC43,IF(AND($Y43&lt;&gt;"",EDATE($D43,Milestones!$AA$42)&gt;=$Y43),$AB43,$AA43)))=Milestones!$AB$42),UPPER(TEXT(EDATE($D43,Milestones!$AA$42),"dd mmm yy"))&amp;" "&amp;Milestones!$AB$42&amp;" "&amp;IF(AND(Milestones!$AB$42="FT",Milestones!$AA$42=FT_Y5,EDATE($D43,Milestones!$AA$42)&lt;PolicyEff),1,Milestones!$AC$42)&amp;";  ","")&amp;IF(AND(EDATE($D43,Milestones!$AA$43)&lt;=AsOfDate,EDATE($D43,Milestones!$AA$43)&gt;=SchemeStart,IF($X43=0,$AD43,IF(AND($Z43&lt;&gt;"",EDATE($D43,Milestones!$AA$43)&gt;=$Z43),$AC43,IF(AND($Y43&lt;&gt;"",EDATE($D43,Milestones!$AA$43)&gt;=$Y43),$AB43,$AA43)))=Milestones!$AB$43),UPPER(TEXT(EDATE($D43,Milestones!$AA$43),"dd mmm yy"))&amp;" "&amp;Milestones!$AB$43&amp;" "&amp;IF(AND(Milestones!$AB$43="FT",Milestones!$AA$43=FT_Y5,EDATE($D43,Milestones!$AA$43)&lt;PolicyEff),1,Milestones!$AC$43)&amp;";  ",""))</f>
        <v/>
      </c>
      <c r="K43" s="0" t="str">
        <f aca="false">IF(OR($A43="",$D43=""),"",IF(AND(EDATE($D43,Milestones!$AA$44)&lt;=AsOfDate,EDATE($D43,Milestones!$AA$44)&gt;=SchemeStart,IF($X43=0,$AD43,IF(AND($Z43&lt;&gt;"",EDATE($D43,Milestones!$AA$44)&gt;=$Z43),$AC43,IF(AND($Y43&lt;&gt;"",EDATE($D43,Milestones!$AA$44)&gt;=$Y43),$AB43,$AA43)))=Milestones!$AB$44),UPPER(TEXT(EDATE($D43,Milestones!$AA$44),"dd mmm yy"))&amp;" "&amp;Milestones!$AB$44&amp;" "&amp;IF(AND(Milestones!$AB$44="FT",Milestones!$AA$44=FT_Y5,EDATE($D43,Milestones!$AA$44)&lt;PolicyEff),1,Milestones!$AC$44)&amp;";  ","")&amp;IF(AND(EDATE($D43,Milestones!$AA$45)&lt;=AsOfDate,EDATE($D43,Milestones!$AA$45)&gt;=SchemeStart,IF($X43=0,$AD43,IF(AND($Z43&lt;&gt;"",EDATE($D43,Milestones!$AA$45)&gt;=$Z43),$AC43,IF(AND($Y43&lt;&gt;"",EDATE($D43,Milestones!$AA$45)&gt;=$Y43),$AB43,$AA43)))=Milestones!$AB$45),UPPER(TEXT(EDATE($D43,Milestones!$AA$45),"dd mmm yy"))&amp;" "&amp;Milestones!$AB$45&amp;" "&amp;IF(AND(Milestones!$AB$45="FT",Milestones!$AA$45=FT_Y5,EDATE($D43,Milestones!$AA$45)&lt;PolicyEff),1,Milestones!$AC$45)&amp;";  ","")&amp;IF(AND(EDATE($D43,Milestones!$AA$46)&lt;=AsOfDate,EDATE($D43,Milestones!$AA$46)&gt;=SchemeStart,IF($X43=0,$AD43,IF(AND($Z43&lt;&gt;"",EDATE($D43,Milestones!$AA$46)&gt;=$Z43),$AC43,IF(AND($Y43&lt;&gt;"",EDATE($D43,Milestones!$AA$46)&gt;=$Y43),$AB43,$AA43)))=Milestones!$AB$46),UPPER(TEXT(EDATE($D43,Milestones!$AA$46),"dd mmm yy"))&amp;" "&amp;Milestones!$AB$46&amp;" "&amp;IF(AND(Milestones!$AB$46="FT",Milestones!$AA$46=FT_Y5,EDATE($D43,Milestones!$AA$46)&lt;PolicyEff),1,Milestones!$AC$46)&amp;";  ","")&amp;IF(AND(EDATE($D43,Milestones!$AA$47)&lt;=AsOfDate,EDATE($D43,Milestones!$AA$47)&gt;=SchemeStart,IF($X43=0,$AD43,IF(AND($Z43&lt;&gt;"",EDATE($D43,Milestones!$AA$47)&gt;=$Z43),$AC43,IF(AND($Y43&lt;&gt;"",EDATE($D43,Milestones!$AA$47)&gt;=$Y43),$AB43,$AA43)))=Milestones!$AB$47),UPPER(TEXT(EDATE($D43,Milestones!$AA$47),"dd mmm yy"))&amp;" "&amp;Milestones!$AB$47&amp;" "&amp;IF(AND(Milestones!$AB$47="FT",Milestones!$AA$47=FT_Y5,EDATE($D43,Milestones!$AA$47)&lt;PolicyEff),1,Milestones!$AC$47)&amp;";  ","")&amp;IF(AND(EDATE($D43,Milestones!$AA$48)&lt;=AsOfDate,EDATE($D43,Milestones!$AA$48)&gt;=SchemeStart,IF($X43=0,$AD43,IF(AND($Z43&lt;&gt;"",EDATE($D43,Milestones!$AA$48)&gt;=$Z43),$AC43,IF(AND($Y43&lt;&gt;"",EDATE($D43,Milestones!$AA$48)&gt;=$Y43),$AB43,$AA43)))=Milestones!$AB$48),UPPER(TEXT(EDATE($D43,Milestones!$AA$48),"dd mmm yy"))&amp;" "&amp;Milestones!$AB$48&amp;" "&amp;IF(AND(Milestones!$AB$48="FT",Milestones!$AA$48=FT_Y5,EDATE($D43,Milestones!$AA$48)&lt;PolicyEff),1,Milestones!$AC$48)&amp;";  ","")&amp;IF(AND(EDATE($D43,Milestones!$AA$49)&lt;=AsOfDate,EDATE($D43,Milestones!$AA$49)&gt;=SchemeStart,IF($X43=0,$AD43,IF(AND($Z43&lt;&gt;"",EDATE($D43,Milestones!$AA$49)&gt;=$Z43),$AC43,IF(AND($Y43&lt;&gt;"",EDATE($D43,Milestones!$AA$49)&gt;=$Y43),$AB43,$AA43)))=Milestones!$AB$49),UPPER(TEXT(EDATE($D43,Milestones!$AA$49),"dd mmm yy"))&amp;" "&amp;Milestones!$AB$49&amp;" "&amp;IF(AND(Milestones!$AB$49="FT",Milestones!$AA$49=FT_Y5,EDATE($D43,Milestones!$AA$49)&lt;PolicyEff),1,Milestones!$AC$49)&amp;";  ","")&amp;IF(AND(EDATE($D43,Milestones!$AA$50)&lt;=AsOfDate,EDATE($D43,Milestones!$AA$50)&gt;=SchemeStart,IF($X43=0,$AD43,IF(AND($Z43&lt;&gt;"",EDATE($D43,Milestones!$AA$50)&gt;=$Z43),$AC43,IF(AND($Y43&lt;&gt;"",EDATE($D43,Milestones!$AA$50)&gt;=$Y43),$AB43,$AA43)))=Milestones!$AB$50),UPPER(TEXT(EDATE($D43,Milestones!$AA$50),"dd mmm yy"))&amp;" "&amp;Milestones!$AB$50&amp;" "&amp;IF(AND(Milestones!$AB$50="FT",Milestones!$AA$50=FT_Y5,EDATE($D43,Milestones!$AA$50)&lt;PolicyEff),1,Milestones!$AC$50)&amp;";  ","")&amp;IF(AND(EDATE($D43,Milestones!$AA$51)&lt;=AsOfDate,EDATE($D43,Milestones!$AA$51)&gt;=SchemeStart,IF($X43=0,$AD43,IF(AND($Z43&lt;&gt;"",EDATE($D43,Milestones!$AA$51)&gt;=$Z43),$AC43,IF(AND($Y43&lt;&gt;"",EDATE($D43,Milestones!$AA$51)&gt;=$Y43),$AB43,$AA43)))=Milestones!$AB$51),UPPER(TEXT(EDATE($D43,Milestones!$AA$51),"dd mmm yy"))&amp;" "&amp;Milestones!$AB$51&amp;" "&amp;IF(AND(Milestones!$AB$51="FT",Milestones!$AA$51=FT_Y5,EDATE($D43,Milestones!$AA$51)&lt;PolicyEff),1,Milestones!$AC$51)&amp;";  ","")&amp;IF(AND(EDATE($D43,Milestones!$AA$52)&lt;=AsOfDate,EDATE($D43,Milestones!$AA$52)&gt;=SchemeStart,IF($X43=0,$AD43,IF(AND($Z43&lt;&gt;"",EDATE($D43,Milestones!$AA$52)&gt;=$Z43),$AC43,IF(AND($Y43&lt;&gt;"",EDATE($D43,Milestones!$AA$52)&gt;=$Y43),$AB43,$AA43)))=Milestones!$AB$52),UPPER(TEXT(EDATE($D43,Milestones!$AA$52),"dd mmm yy"))&amp;" "&amp;Milestones!$AB$52&amp;" "&amp;IF(AND(Milestones!$AB$52="FT",Milestones!$AA$52=FT_Y5,EDATE($D43,Milestones!$AA$52)&lt;PolicyEff),1,Milestones!$AC$52)&amp;";  ","")&amp;IF(AND(EDATE($D43,Milestones!$AA$53)&lt;=AsOfDate,EDATE($D43,Milestones!$AA$53)&gt;=SchemeStart,IF($X43=0,$AD43,IF(AND($Z43&lt;&gt;"",EDATE($D43,Milestones!$AA$53)&gt;=$Z43),$AC43,IF(AND($Y43&lt;&gt;"",EDATE($D43,Milestones!$AA$53)&gt;=$Y43),$AB43,$AA43)))=Milestones!$AB$53),UPPER(TEXT(EDATE($D43,Milestones!$AA$53),"dd mmm yy"))&amp;" "&amp;Milestones!$AB$53&amp;" "&amp;IF(AND(Milestones!$AB$53="FT",Milestones!$AA$53=FT_Y5,EDATE($D43,Milestones!$AA$53)&lt;PolicyEff),1,Milestones!$AC$53)&amp;";  ","")&amp;IF(AND(EDATE($D43,Milestones!$AA$54)&lt;=AsOfDate,EDATE($D43,Milestones!$AA$54)&gt;=SchemeStart,IF($X43=0,$AD43,IF(AND($Z43&lt;&gt;"",EDATE($D43,Milestones!$AA$54)&gt;=$Z43),$AC43,IF(AND($Y43&lt;&gt;"",EDATE($D43,Milestones!$AA$54)&gt;=$Y43),$AB43,$AA43)))=Milestones!$AB$54),UPPER(TEXT(EDATE($D43,Milestones!$AA$54),"dd mmm yy"))&amp;" "&amp;Milestones!$AB$54&amp;" "&amp;IF(AND(Milestones!$AB$54="FT",Milestones!$AA$54=FT_Y5,EDATE($D43,Milestones!$AA$54)&lt;PolicyEff),1,Milestones!$AC$54)&amp;";  ","")&amp;IF(AND(EDATE($D43,Milestones!$AA$55)&lt;=AsOfDate,EDATE($D43,Milestones!$AA$55)&gt;=SchemeStart,IF($X43=0,$AD43,IF(AND($Z43&lt;&gt;"",EDATE($D43,Milestones!$AA$55)&gt;=$Z43),$AC43,IF(AND($Y43&lt;&gt;"",EDATE($D43,Milestones!$AA$55)&gt;=$Y43),$AB43,$AA43)))=Milestones!$AB$55),UPPER(TEXT(EDATE($D43,Milestones!$AA$55),"dd mmm yy"))&amp;" "&amp;Milestones!$AB$55&amp;" "&amp;IF(AND(Milestones!$AB$55="FT",Milestones!$AA$55=FT_Y5,EDATE($D43,Milestones!$AA$55)&lt;PolicyEff),1,Milestones!$AC$55)&amp;";  ",""))</f>
        <v/>
      </c>
      <c r="L43" s="0" t="str">
        <f aca="false">IF(OR($A43="",$D43=""),"",IF(AND(EDATE($D43,Milestones!$AA$56)&lt;=AsOfDate,EDATE($D43,Milestones!$AA$56)&gt;=SchemeStart,IF($X43=0,$AD43,IF(AND($Z43&lt;&gt;"",EDATE($D43,Milestones!$AA$56)&gt;=$Z43),$AC43,IF(AND($Y43&lt;&gt;"",EDATE($D43,Milestones!$AA$56)&gt;=$Y43),$AB43,$AA43)))=Milestones!$AB$56),UPPER(TEXT(EDATE($D43,Milestones!$AA$56),"dd mmm yy"))&amp;" "&amp;Milestones!$AB$56&amp;" "&amp;IF(AND(Milestones!$AB$56="FT",Milestones!$AA$56=FT_Y5,EDATE($D43,Milestones!$AA$56)&lt;PolicyEff),1,Milestones!$AC$56)&amp;";  ","")&amp;IF(AND(EDATE($D43,Milestones!$AA$57)&lt;=AsOfDate,EDATE($D43,Milestones!$AA$57)&gt;=SchemeStart,IF($X43=0,$AD43,IF(AND($Z43&lt;&gt;"",EDATE($D43,Milestones!$AA$57)&gt;=$Z43),$AC43,IF(AND($Y43&lt;&gt;"",EDATE($D43,Milestones!$AA$57)&gt;=$Y43),$AB43,$AA43)))=Milestones!$AB$57),UPPER(TEXT(EDATE($D43,Milestones!$AA$57),"dd mmm yy"))&amp;" "&amp;Milestones!$AB$57&amp;" "&amp;IF(AND(Milestones!$AB$57="FT",Milestones!$AA$57=FT_Y5,EDATE($D43,Milestones!$AA$57)&lt;PolicyEff),1,Milestones!$AC$57)&amp;";  ","")&amp;IF(AND(EDATE($D43,Milestones!$AA$58)&lt;=AsOfDate,EDATE($D43,Milestones!$AA$58)&gt;=SchemeStart,IF($X43=0,$AD43,IF(AND($Z43&lt;&gt;"",EDATE($D43,Milestones!$AA$58)&gt;=$Z43),$AC43,IF(AND($Y43&lt;&gt;"",EDATE($D43,Milestones!$AA$58)&gt;=$Y43),$AB43,$AA43)))=Milestones!$AB$58),UPPER(TEXT(EDATE($D43,Milestones!$AA$58),"dd mmm yy"))&amp;" "&amp;Milestones!$AB$58&amp;" "&amp;IF(AND(Milestones!$AB$58="FT",Milestones!$AA$58=FT_Y5,EDATE($D43,Milestones!$AA$58)&lt;PolicyEff),1,Milestones!$AC$58)&amp;";  ","")&amp;IF(AND(EDATE($D43,Milestones!$AA$59)&lt;=AsOfDate,EDATE($D43,Milestones!$AA$59)&gt;=SchemeStart,IF($X43=0,$AD43,IF(AND($Z43&lt;&gt;"",EDATE($D43,Milestones!$AA$59)&gt;=$Z43),$AC43,IF(AND($Y43&lt;&gt;"",EDATE($D43,Milestones!$AA$59)&gt;=$Y43),$AB43,$AA43)))=Milestones!$AB$59),UPPER(TEXT(EDATE($D43,Milestones!$AA$59),"dd mmm yy"))&amp;" "&amp;Milestones!$AB$59&amp;" "&amp;IF(AND(Milestones!$AB$59="FT",Milestones!$AA$59=FT_Y5,EDATE($D43,Milestones!$AA$59)&lt;PolicyEff),1,Milestones!$AC$59)&amp;";  ","")&amp;IF(AND(EDATE($D43,Milestones!$AA$60)&lt;=AsOfDate,EDATE($D43,Milestones!$AA$60)&gt;=SchemeStart,IF($X43=0,$AD43,IF(AND($Z43&lt;&gt;"",EDATE($D43,Milestones!$AA$60)&gt;=$Z43),$AC43,IF(AND($Y43&lt;&gt;"",EDATE($D43,Milestones!$AA$60)&gt;=$Y43),$AB43,$AA43)))=Milestones!$AB$60),UPPER(TEXT(EDATE($D43,Milestones!$AA$60),"dd mmm yy"))&amp;" "&amp;Milestones!$AB$60&amp;" "&amp;IF(AND(Milestones!$AB$60="FT",Milestones!$AA$60=FT_Y5,EDATE($D43,Milestones!$AA$60)&lt;PolicyEff),1,Milestones!$AC$60)&amp;";  ","")&amp;IF(AND(EDATE($D43,Milestones!$AA$61)&lt;=AsOfDate,EDATE($D43,Milestones!$AA$61)&gt;=SchemeStart,IF($X43=0,$AD43,IF(AND($Z43&lt;&gt;"",EDATE($D43,Milestones!$AA$61)&gt;=$Z43),$AC43,IF(AND($Y43&lt;&gt;"",EDATE($D43,Milestones!$AA$61)&gt;=$Y43),$AB43,$AA43)))=Milestones!$AB$61),UPPER(TEXT(EDATE($D43,Milestones!$AA$61),"dd mmm yy"))&amp;" "&amp;Milestones!$AB$61&amp;" "&amp;IF(AND(Milestones!$AB$61="FT",Milestones!$AA$61=FT_Y5,EDATE($D43,Milestones!$AA$61)&lt;PolicyEff),1,Milestones!$AC$61)&amp;";  ","")&amp;IF(AND(EDATE($D43,Milestones!$AA$62)&lt;=AsOfDate,EDATE($D43,Milestones!$AA$62)&gt;=SchemeStart,IF($X43=0,$AD43,IF(AND($Z43&lt;&gt;"",EDATE($D43,Milestones!$AA$62)&gt;=$Z43),$AC43,IF(AND($Y43&lt;&gt;"",EDATE($D43,Milestones!$AA$62)&gt;=$Y43),$AB43,$AA43)))=Milestones!$AB$62),UPPER(TEXT(EDATE($D43,Milestones!$AA$62),"dd mmm yy"))&amp;" "&amp;Milestones!$AB$62&amp;" "&amp;IF(AND(Milestones!$AB$62="FT",Milestones!$AA$62=FT_Y5,EDATE($D43,Milestones!$AA$62)&lt;PolicyEff),1,Milestones!$AC$62)&amp;";  ","")&amp;IF(AND(EDATE($D43,Milestones!$AA$63)&lt;=AsOfDate,EDATE($D43,Milestones!$AA$63)&gt;=SchemeStart,IF($X43=0,$AD43,IF(AND($Z43&lt;&gt;"",EDATE($D43,Milestones!$AA$63)&gt;=$Z43),$AC43,IF(AND($Y43&lt;&gt;"",EDATE($D43,Milestones!$AA$63)&gt;=$Y43),$AB43,$AA43)))=Milestones!$AB$63),UPPER(TEXT(EDATE($D43,Milestones!$AA$63),"dd mmm yy"))&amp;" "&amp;Milestones!$AB$63&amp;" "&amp;IF(AND(Milestones!$AB$63="FT",Milestones!$AA$63=FT_Y5,EDATE($D43,Milestones!$AA$63)&lt;PolicyEff),1,Milestones!$AC$63)&amp;";  ","")&amp;IF(AND(EDATE($D43,Milestones!$AA$64)&lt;=AsOfDate,EDATE($D43,Milestones!$AA$64)&gt;=SchemeStart,IF($X43=0,$AD43,IF(AND($Z43&lt;&gt;"",EDATE($D43,Milestones!$AA$64)&gt;=$Z43),$AC43,IF(AND($Y43&lt;&gt;"",EDATE($D43,Milestones!$AA$64)&gt;=$Y43),$AB43,$AA43)))=Milestones!$AB$64),UPPER(TEXT(EDATE($D43,Milestones!$AA$64),"dd mmm yy"))&amp;" "&amp;Milestones!$AB$64&amp;" "&amp;IF(AND(Milestones!$AB$64="FT",Milestones!$AA$64=FT_Y5,EDATE($D43,Milestones!$AA$64)&lt;PolicyEff),1,Milestones!$AC$64)&amp;";  ","")&amp;IF(AND(EDATE($D43,Milestones!$AA$65)&lt;=AsOfDate,EDATE($D43,Milestones!$AA$65)&gt;=SchemeStart,IF($X43=0,$AD43,IF(AND($Z43&lt;&gt;"",EDATE($D43,Milestones!$AA$65)&gt;=$Z43),$AC43,IF(AND($Y43&lt;&gt;"",EDATE($D43,Milestones!$AA$65)&gt;=$Y43),$AB43,$AA43)))=Milestones!$AB$65),UPPER(TEXT(EDATE($D43,Milestones!$AA$65),"dd mmm yy"))&amp;" "&amp;Milestones!$AB$65&amp;" "&amp;IF(AND(Milestones!$AB$65="FT",Milestones!$AA$65=FT_Y5,EDATE($D43,Milestones!$AA$65)&lt;PolicyEff),1,Milestones!$AC$65)&amp;";  ","")&amp;IF(AND(EDATE($D43,Milestones!$AA$66)&lt;=AsOfDate,EDATE($D43,Milestones!$AA$66)&gt;=SchemeStart,IF($X43=0,$AD43,IF(AND($Z43&lt;&gt;"",EDATE($D43,Milestones!$AA$66)&gt;=$Z43),$AC43,IF(AND($Y43&lt;&gt;"",EDATE($D43,Milestones!$AA$66)&gt;=$Y43),$AB43,$AA43)))=Milestones!$AB$66),UPPER(TEXT(EDATE($D43,Milestones!$AA$66),"dd mmm yy"))&amp;" "&amp;Milestones!$AB$66&amp;" "&amp;IF(AND(Milestones!$AB$66="FT",Milestones!$AA$66=FT_Y5,EDATE($D43,Milestones!$AA$66)&lt;PolicyEff),1,Milestones!$AC$66)&amp;";  ","")&amp;IF(AND(EDATE($D43,Milestones!$AA$67)&lt;=AsOfDate,EDATE($D43,Milestones!$AA$67)&gt;=SchemeStart,IF($X43=0,$AD43,IF(AND($Z43&lt;&gt;"",EDATE($D43,Milestones!$AA$67)&gt;=$Z43),$AC43,IF(AND($Y43&lt;&gt;"",EDATE($D43,Milestones!$AA$67)&gt;=$Y43),$AB43,$AA43)))=Milestones!$AB$67),UPPER(TEXT(EDATE($D43,Milestones!$AA$67),"dd mmm yy"))&amp;" "&amp;Milestones!$AB$67&amp;" "&amp;IF(AND(Milestones!$AB$67="FT",Milestones!$AA$67=FT_Y5,EDATE($D43,Milestones!$AA$67)&lt;PolicyEff),1,Milestones!$AC$67)&amp;";  ",""))</f>
        <v/>
      </c>
      <c r="M43" s="0" t="str">
        <f aca="false">IF(OR($A43="",$D43=""),"",IF(AND(EDATE($D43,Milestones!$AA$68)&lt;=AsOfDate,EDATE($D43,Milestones!$AA$68)&gt;=SchemeStart,IF($X43=0,$AD43,IF(AND($Z43&lt;&gt;"",EDATE($D43,Milestones!$AA$68)&gt;=$Z43),$AC43,IF(AND($Y43&lt;&gt;"",EDATE($D43,Milestones!$AA$68)&gt;=$Y43),$AB43,$AA43)))=Milestones!$AB$68),UPPER(TEXT(EDATE($D43,Milestones!$AA$68),"dd mmm yy"))&amp;" "&amp;Milestones!$AB$68&amp;" "&amp;IF(AND(Milestones!$AB$68="FT",Milestones!$AA$68=FT_Y5,EDATE($D43,Milestones!$AA$68)&lt;PolicyEff),1,Milestones!$AC$68)&amp;";  ","")&amp;IF(AND(EDATE($D43,Milestones!$AA$69)&lt;=AsOfDate,EDATE($D43,Milestones!$AA$69)&gt;=SchemeStart,IF($X43=0,$AD43,IF(AND($Z43&lt;&gt;"",EDATE($D43,Milestones!$AA$69)&gt;=$Z43),$AC43,IF(AND($Y43&lt;&gt;"",EDATE($D43,Milestones!$AA$69)&gt;=$Y43),$AB43,$AA43)))=Milestones!$AB$69),UPPER(TEXT(EDATE($D43,Milestones!$AA$69),"dd mmm yy"))&amp;" "&amp;Milestones!$AB$69&amp;" "&amp;IF(AND(Milestones!$AB$69="FT",Milestones!$AA$69=FT_Y5,EDATE($D43,Milestones!$AA$69)&lt;PolicyEff),1,Milestones!$AC$69)&amp;";  ","")&amp;IF(AND(EDATE($D43,Milestones!$AA$70)&lt;=AsOfDate,EDATE($D43,Milestones!$AA$70)&gt;=SchemeStart,IF($X43=0,$AD43,IF(AND($Z43&lt;&gt;"",EDATE($D43,Milestones!$AA$70)&gt;=$Z43),$AC43,IF(AND($Y43&lt;&gt;"",EDATE($D43,Milestones!$AA$70)&gt;=$Y43),$AB43,$AA43)))=Milestones!$AB$70),UPPER(TEXT(EDATE($D43,Milestones!$AA$70),"dd mmm yy"))&amp;" "&amp;Milestones!$AB$70&amp;" "&amp;IF(AND(Milestones!$AB$70="FT",Milestones!$AA$70=FT_Y5,EDATE($D43,Milestones!$AA$70)&lt;PolicyEff),1,Milestones!$AC$70)&amp;";  ","")&amp;IF(AND(EDATE($D43,Milestones!$AA$71)&lt;=AsOfDate,EDATE($D43,Milestones!$AA$71)&gt;=SchemeStart,IF($X43=0,$AD43,IF(AND($Z43&lt;&gt;"",EDATE($D43,Milestones!$AA$71)&gt;=$Z43),$AC43,IF(AND($Y43&lt;&gt;"",EDATE($D43,Milestones!$AA$71)&gt;=$Y43),$AB43,$AA43)))=Milestones!$AB$71),UPPER(TEXT(EDATE($D43,Milestones!$AA$71),"dd mmm yy"))&amp;" "&amp;Milestones!$AB$71&amp;" "&amp;IF(AND(Milestones!$AB$71="FT",Milestones!$AA$71=FT_Y5,EDATE($D43,Milestones!$AA$71)&lt;PolicyEff),1,Milestones!$AC$71)&amp;";  ","")&amp;IF(AND(EDATE($D43,Milestones!$AA$72)&lt;=AsOfDate,EDATE($D43,Milestones!$AA$72)&gt;=SchemeStart,IF($X43=0,$AD43,IF(AND($Z43&lt;&gt;"",EDATE($D43,Milestones!$AA$72)&gt;=$Z43),$AC43,IF(AND($Y43&lt;&gt;"",EDATE($D43,Milestones!$AA$72)&gt;=$Y43),$AB43,$AA43)))=Milestones!$AB$72),UPPER(TEXT(EDATE($D43,Milestones!$AA$72),"dd mmm yy"))&amp;" "&amp;Milestones!$AB$72&amp;" "&amp;IF(AND(Milestones!$AB$72="FT",Milestones!$AA$72=FT_Y5,EDATE($D43,Milestones!$AA$72)&lt;PolicyEff),1,Milestones!$AC$72)&amp;";  ","")&amp;IF(AND(EDATE($D43,Milestones!$AA$73)&lt;=AsOfDate,EDATE($D43,Milestones!$AA$73)&gt;=SchemeStart,IF($X43=0,$AD43,IF(AND($Z43&lt;&gt;"",EDATE($D43,Milestones!$AA$73)&gt;=$Z43),$AC43,IF(AND($Y43&lt;&gt;"",EDATE($D43,Milestones!$AA$73)&gt;=$Y43),$AB43,$AA43)))=Milestones!$AB$73),UPPER(TEXT(EDATE($D43,Milestones!$AA$73),"dd mmm yy"))&amp;" "&amp;Milestones!$AB$73&amp;" "&amp;IF(AND(Milestones!$AB$73="FT",Milestones!$AA$73=FT_Y5,EDATE($D43,Milestones!$AA$73)&lt;PolicyEff),1,Milestones!$AC$73)&amp;";  ","")&amp;IF(AND(EDATE($D43,Milestones!$AA$74)&lt;=AsOfDate,EDATE($D43,Milestones!$AA$74)&gt;=SchemeStart,IF($X43=0,$AD43,IF(AND($Z43&lt;&gt;"",EDATE($D43,Milestones!$AA$74)&gt;=$Z43),$AC43,IF(AND($Y43&lt;&gt;"",EDATE($D43,Milestones!$AA$74)&gt;=$Y43),$AB43,$AA43)))=Milestones!$AB$74),UPPER(TEXT(EDATE($D43,Milestones!$AA$74),"dd mmm yy"))&amp;" "&amp;Milestones!$AB$74&amp;" "&amp;IF(AND(Milestones!$AB$74="FT",Milestones!$AA$74=FT_Y5,EDATE($D43,Milestones!$AA$74)&lt;PolicyEff),1,Milestones!$AC$74)&amp;";  ","")&amp;IF(AND(EDATE($D43,Milestones!$AA$75)&lt;=AsOfDate,EDATE($D43,Milestones!$AA$75)&gt;=SchemeStart,IF($X43=0,$AD43,IF(AND($Z43&lt;&gt;"",EDATE($D43,Milestones!$AA$75)&gt;=$Z43),$AC43,IF(AND($Y43&lt;&gt;"",EDATE($D43,Milestones!$AA$75)&gt;=$Y43),$AB43,$AA43)))=Milestones!$AB$75),UPPER(TEXT(EDATE($D43,Milestones!$AA$75),"dd mmm yy"))&amp;" "&amp;Milestones!$AB$75&amp;" "&amp;IF(AND(Milestones!$AB$75="FT",Milestones!$AA$75=FT_Y5,EDATE($D43,Milestones!$AA$75)&lt;PolicyEff),1,Milestones!$AC$75)&amp;";  ","")&amp;IF(AND(EDATE($D43,Milestones!$AA$76)&lt;=AsOfDate,EDATE($D43,Milestones!$AA$76)&gt;=SchemeStart,IF($X43=0,$AD43,IF(AND($Z43&lt;&gt;"",EDATE($D43,Milestones!$AA$76)&gt;=$Z43),$AC43,IF(AND($Y43&lt;&gt;"",EDATE($D43,Milestones!$AA$76)&gt;=$Y43),$AB43,$AA43)))=Milestones!$AB$76),UPPER(TEXT(EDATE($D43,Milestones!$AA$76),"dd mmm yy"))&amp;" "&amp;Milestones!$AB$76&amp;" "&amp;IF(AND(Milestones!$AB$76="FT",Milestones!$AA$76=FT_Y5,EDATE($D43,Milestones!$AA$76)&lt;PolicyEff),1,Milestones!$AC$76)&amp;";  ","")&amp;IF(AND(EDATE($D43,Milestones!$AA$77)&lt;=AsOfDate,EDATE($D43,Milestones!$AA$77)&gt;=SchemeStart,IF($X43=0,$AD43,IF(AND($Z43&lt;&gt;"",EDATE($D43,Milestones!$AA$77)&gt;=$Z43),$AC43,IF(AND($Y43&lt;&gt;"",EDATE($D43,Milestones!$AA$77)&gt;=$Y43),$AB43,$AA43)))=Milestones!$AB$77),UPPER(TEXT(EDATE($D43,Milestones!$AA$77),"dd mmm yy"))&amp;" "&amp;Milestones!$AB$77&amp;" "&amp;IF(AND(Milestones!$AB$77="FT",Milestones!$AA$77=FT_Y5,EDATE($D43,Milestones!$AA$77)&lt;PolicyEff),1,Milestones!$AC$77)&amp;";  ","")&amp;IF(AND(EDATE($D43,Milestones!$AA$78)&lt;=AsOfDate,EDATE($D43,Milestones!$AA$78)&gt;=SchemeStart,IF($X43=0,$AD43,IF(AND($Z43&lt;&gt;"",EDATE($D43,Milestones!$AA$78)&gt;=$Z43),$AC43,IF(AND($Y43&lt;&gt;"",EDATE($D43,Milestones!$AA$78)&gt;=$Y43),$AB43,$AA43)))=Milestones!$AB$78),UPPER(TEXT(EDATE($D43,Milestones!$AA$78),"dd mmm yy"))&amp;" "&amp;Milestones!$AB$78&amp;" "&amp;IF(AND(Milestones!$AB$78="FT",Milestones!$AA$78=FT_Y5,EDATE($D43,Milestones!$AA$78)&lt;PolicyEff),1,Milestones!$AC$78)&amp;";  ","")&amp;IF(AND(EDATE($D43,Milestones!$AA$79)&lt;=AsOfDate,EDATE($D43,Milestones!$AA$79)&gt;=SchemeStart,IF($X43=0,$AD43,IF(AND($Z43&lt;&gt;"",EDATE($D43,Milestones!$AA$79)&gt;=$Z43),$AC43,IF(AND($Y43&lt;&gt;"",EDATE($D43,Milestones!$AA$79)&gt;=$Y43),$AB43,$AA43)))=Milestones!$AB$79),UPPER(TEXT(EDATE($D43,Milestones!$AA$79),"dd mmm yy"))&amp;" "&amp;Milestones!$AB$79&amp;" "&amp;IF(AND(Milestones!$AB$79="FT",Milestones!$AA$79=FT_Y5,EDATE($D43,Milestones!$AA$79)&lt;PolicyEff),1,Milestones!$AC$79)&amp;";  ",""))</f>
        <v/>
      </c>
      <c r="N43" s="0" t="str">
        <f aca="false">IF(OR($A43="",$D43=""),"",IF(AND(EDATE($D43,Milestones!$AA$80)&lt;=AsOfDate,EDATE($D43,Milestones!$AA$80)&gt;=SchemeStart,IF($X43=0,$AD43,IF(AND($Z43&lt;&gt;"",EDATE($D43,Milestones!$AA$80)&gt;=$Z43),$AC43,IF(AND($Y43&lt;&gt;"",EDATE($D43,Milestones!$AA$80)&gt;=$Y43),$AB43,$AA43)))=Milestones!$AB$80),UPPER(TEXT(EDATE($D43,Milestones!$AA$80),"dd mmm yy"))&amp;" "&amp;Milestones!$AB$80&amp;" "&amp;IF(AND(Milestones!$AB$80="FT",Milestones!$AA$80=FT_Y5,EDATE($D43,Milestones!$AA$80)&lt;PolicyEff),1,Milestones!$AC$80)&amp;";  ","")&amp;IF(AND(EDATE($D43,Milestones!$AA$81)&lt;=AsOfDate,EDATE($D43,Milestones!$AA$81)&gt;=SchemeStart,IF($X43=0,$AD43,IF(AND($Z43&lt;&gt;"",EDATE($D43,Milestones!$AA$81)&gt;=$Z43),$AC43,IF(AND($Y43&lt;&gt;"",EDATE($D43,Milestones!$AA$81)&gt;=$Y43),$AB43,$AA43)))=Milestones!$AB$81),UPPER(TEXT(EDATE($D43,Milestones!$AA$81),"dd mmm yy"))&amp;" "&amp;Milestones!$AB$81&amp;" "&amp;IF(AND(Milestones!$AB$81="FT",Milestones!$AA$81=FT_Y5,EDATE($D43,Milestones!$AA$81)&lt;PolicyEff),1,Milestones!$AC$81)&amp;";  ","")&amp;IF(AND(EDATE($D43,Milestones!$AA$82)&lt;=AsOfDate,EDATE($D43,Milestones!$AA$82)&gt;=SchemeStart,IF($X43=0,$AD43,IF(AND($Z43&lt;&gt;"",EDATE($D43,Milestones!$AA$82)&gt;=$Z43),$AC43,IF(AND($Y43&lt;&gt;"",EDATE($D43,Milestones!$AA$82)&gt;=$Y43),$AB43,$AA43)))=Milestones!$AB$82),UPPER(TEXT(EDATE($D43,Milestones!$AA$82),"dd mmm yy"))&amp;" "&amp;Milestones!$AB$82&amp;" "&amp;IF(AND(Milestones!$AB$82="FT",Milestones!$AA$82=FT_Y5,EDATE($D43,Milestones!$AA$82)&lt;PolicyEff),1,Milestones!$AC$82)&amp;";  ","")&amp;IF(AND(EDATE($D43,Milestones!$AA$83)&lt;=AsOfDate,EDATE($D43,Milestones!$AA$83)&gt;=SchemeStart,IF($X43=0,$AD43,IF(AND($Z43&lt;&gt;"",EDATE($D43,Milestones!$AA$83)&gt;=$Z43),$AC43,IF(AND($Y43&lt;&gt;"",EDATE($D43,Milestones!$AA$83)&gt;=$Y43),$AB43,$AA43)))=Milestones!$AB$83),UPPER(TEXT(EDATE($D43,Milestones!$AA$83),"dd mmm yy"))&amp;" "&amp;Milestones!$AB$83&amp;" "&amp;IF(AND(Milestones!$AB$83="FT",Milestones!$AA$83=FT_Y5,EDATE($D43,Milestones!$AA$83)&lt;PolicyEff),1,Milestones!$AC$83)&amp;";  ","")&amp;IF(AND(EDATE($D43,Milestones!$AA$84)&lt;=AsOfDate,EDATE($D43,Milestones!$AA$84)&gt;=SchemeStart,IF($X43=0,$AD43,IF(AND($Z43&lt;&gt;"",EDATE($D43,Milestones!$AA$84)&gt;=$Z43),$AC43,IF(AND($Y43&lt;&gt;"",EDATE($D43,Milestones!$AA$84)&gt;=$Y43),$AB43,$AA43)))=Milestones!$AB$84),UPPER(TEXT(EDATE($D43,Milestones!$AA$84),"dd mmm yy"))&amp;" "&amp;Milestones!$AB$84&amp;" "&amp;IF(AND(Milestones!$AB$84="FT",Milestones!$AA$84=FT_Y5,EDATE($D43,Milestones!$AA$84)&lt;PolicyEff),1,Milestones!$AC$84)&amp;";  ","")&amp;IF(AND(EDATE($D43,Milestones!$AA$85)&lt;=AsOfDate,EDATE($D43,Milestones!$AA$85)&gt;=SchemeStart,IF($X43=0,$AD43,IF(AND($Z43&lt;&gt;"",EDATE($D43,Milestones!$AA$85)&gt;=$Z43),$AC43,IF(AND($Y43&lt;&gt;"",EDATE($D43,Milestones!$AA$85)&gt;=$Y43),$AB43,$AA43)))=Milestones!$AB$85),UPPER(TEXT(EDATE($D43,Milestones!$AA$85),"dd mmm yy"))&amp;" "&amp;Milestones!$AB$85&amp;" "&amp;IF(AND(Milestones!$AB$85="FT",Milestones!$AA$85=FT_Y5,EDATE($D43,Milestones!$AA$85)&lt;PolicyEff),1,Milestones!$AC$85)&amp;";  ","")&amp;IF(AND(EDATE($D43,Milestones!$AA$86)&lt;=AsOfDate,EDATE($D43,Milestones!$AA$86)&gt;=SchemeStart,IF($X43=0,$AD43,IF(AND($Z43&lt;&gt;"",EDATE($D43,Milestones!$AA$86)&gt;=$Z43),$AC43,IF(AND($Y43&lt;&gt;"",EDATE($D43,Milestones!$AA$86)&gt;=$Y43),$AB43,$AA43)))=Milestones!$AB$86),UPPER(TEXT(EDATE($D43,Milestones!$AA$86),"dd mmm yy"))&amp;" "&amp;Milestones!$AB$86&amp;" "&amp;IF(AND(Milestones!$AB$86="FT",Milestones!$AA$86=FT_Y5,EDATE($D43,Milestones!$AA$86)&lt;PolicyEff),1,Milestones!$AC$86)&amp;";  ","")&amp;IF(AND(EDATE($D43,Milestones!$AA$87)&lt;=AsOfDate,EDATE($D43,Milestones!$AA$87)&gt;=SchemeStart,IF($X43=0,$AD43,IF(AND($Z43&lt;&gt;"",EDATE($D43,Milestones!$AA$87)&gt;=$Z43),$AC43,IF(AND($Y43&lt;&gt;"",EDATE($D43,Milestones!$AA$87)&gt;=$Y43),$AB43,$AA43)))=Milestones!$AB$87),UPPER(TEXT(EDATE($D43,Milestones!$AA$87),"dd mmm yy"))&amp;" "&amp;Milestones!$AB$87&amp;" "&amp;IF(AND(Milestones!$AB$87="FT",Milestones!$AA$87=FT_Y5,EDATE($D43,Milestones!$AA$87)&lt;PolicyEff),1,Milestones!$AC$87)&amp;";  ","")&amp;IF(AND(EDATE($D43,Milestones!$AA$88)&lt;=AsOfDate,EDATE($D43,Milestones!$AA$88)&gt;=SchemeStart,IF($X43=0,$AD43,IF(AND($Z43&lt;&gt;"",EDATE($D43,Milestones!$AA$88)&gt;=$Z43),$AC43,IF(AND($Y43&lt;&gt;"",EDATE($D43,Milestones!$AA$88)&gt;=$Y43),$AB43,$AA43)))=Milestones!$AB$88),UPPER(TEXT(EDATE($D43,Milestones!$AA$88),"dd mmm yy"))&amp;" "&amp;Milestones!$AB$88&amp;" "&amp;IF(AND(Milestones!$AB$88="FT",Milestones!$AA$88=FT_Y5,EDATE($D43,Milestones!$AA$88)&lt;PolicyEff),1,Milestones!$AC$88)&amp;";  ","")&amp;IF(AND(EDATE($D43,Milestones!$AA$89)&lt;=AsOfDate,EDATE($D43,Milestones!$AA$89)&gt;=SchemeStart,IF($X43=0,$AD43,IF(AND($Z43&lt;&gt;"",EDATE($D43,Milestones!$AA$89)&gt;=$Z43),$AC43,IF(AND($Y43&lt;&gt;"",EDATE($D43,Milestones!$AA$89)&gt;=$Y43),$AB43,$AA43)))=Milestones!$AB$89),UPPER(TEXT(EDATE($D43,Milestones!$AA$89),"dd mmm yy"))&amp;" "&amp;Milestones!$AB$89&amp;" "&amp;IF(AND(Milestones!$AB$89="FT",Milestones!$AA$89=FT_Y5,EDATE($D43,Milestones!$AA$89)&lt;PolicyEff),1,Milestones!$AC$89)&amp;";  ","")&amp;IF(AND(EDATE($D43,Milestones!$AA$90)&lt;=AsOfDate,EDATE($D43,Milestones!$AA$90)&gt;=SchemeStart,IF($X43=0,$AD43,IF(AND($Z43&lt;&gt;"",EDATE($D43,Milestones!$AA$90)&gt;=$Z43),$AC43,IF(AND($Y43&lt;&gt;"",EDATE($D43,Milestones!$AA$90)&gt;=$Y43),$AB43,$AA43)))=Milestones!$AB$90),UPPER(TEXT(EDATE($D43,Milestones!$AA$90),"dd mmm yy"))&amp;" "&amp;Milestones!$AB$90&amp;" "&amp;IF(AND(Milestones!$AB$90="FT",Milestones!$AA$90=FT_Y5,EDATE($D43,Milestones!$AA$90)&lt;PolicyEff),1,Milestones!$AC$90)&amp;";  ","")&amp;IF(AND(EDATE($D43,Milestones!$AA$91)&lt;=AsOfDate,EDATE($D43,Milestones!$AA$91)&gt;=SchemeStart,IF($X43=0,$AD43,IF(AND($Z43&lt;&gt;"",EDATE($D43,Milestones!$AA$91)&gt;=$Z43),$AC43,IF(AND($Y43&lt;&gt;"",EDATE($D43,Milestones!$AA$91)&gt;=$Y43),$AB43,$AA43)))=Milestones!$AB$91),UPPER(TEXT(EDATE($D43,Milestones!$AA$91),"dd mmm yy"))&amp;" "&amp;Milestones!$AB$91&amp;" "&amp;IF(AND(Milestones!$AB$91="FT",Milestones!$AA$91=FT_Y5,EDATE($D43,Milestones!$AA$91)&lt;PolicyEff),1,Milestones!$AC$91)&amp;";  ",""))</f>
        <v/>
      </c>
      <c r="O43" s="0" t="str">
        <f aca="false">IF(OR($A43="",$D43=""),"",IF(AND(EDATE($D43,Milestones!$AA$92)&lt;=AsOfDate,EDATE($D43,Milestones!$AA$92)&gt;=SchemeStart,IF($X43=0,$AD43,IF(AND($Z43&lt;&gt;"",EDATE($D43,Milestones!$AA$92)&gt;=$Z43),$AC43,IF(AND($Y43&lt;&gt;"",EDATE($D43,Milestones!$AA$92)&gt;=$Y43),$AB43,$AA43)))=Milestones!$AB$92),UPPER(TEXT(EDATE($D43,Milestones!$AA$92),"dd mmm yy"))&amp;" "&amp;Milestones!$AB$92&amp;" "&amp;IF(AND(Milestones!$AB$92="FT",Milestones!$AA$92=FT_Y5,EDATE($D43,Milestones!$AA$92)&lt;PolicyEff),1,Milestones!$AC$92)&amp;";  ","")&amp;IF(AND(EDATE($D43,Milestones!$AA$93)&lt;=AsOfDate,EDATE($D43,Milestones!$AA$93)&gt;=SchemeStart,IF($X43=0,$AD43,IF(AND($Z43&lt;&gt;"",EDATE($D43,Milestones!$AA$93)&gt;=$Z43),$AC43,IF(AND($Y43&lt;&gt;"",EDATE($D43,Milestones!$AA$93)&gt;=$Y43),$AB43,$AA43)))=Milestones!$AB$93),UPPER(TEXT(EDATE($D43,Milestones!$AA$93),"dd mmm yy"))&amp;" "&amp;Milestones!$AB$93&amp;" "&amp;IF(AND(Milestones!$AB$93="FT",Milestones!$AA$93=FT_Y5,EDATE($D43,Milestones!$AA$93)&lt;PolicyEff),1,Milestones!$AC$93)&amp;";  ","")&amp;IF(AND(EDATE($D43,Milestones!$AA$94)&lt;=AsOfDate,EDATE($D43,Milestones!$AA$94)&gt;=SchemeStart,IF($X43=0,$AD43,IF(AND($Z43&lt;&gt;"",EDATE($D43,Milestones!$AA$94)&gt;=$Z43),$AC43,IF(AND($Y43&lt;&gt;"",EDATE($D43,Milestones!$AA$94)&gt;=$Y43),$AB43,$AA43)))=Milestones!$AB$94),UPPER(TEXT(EDATE($D43,Milestones!$AA$94),"dd mmm yy"))&amp;" "&amp;Milestones!$AB$94&amp;" "&amp;IF(AND(Milestones!$AB$94="FT",Milestones!$AA$94=FT_Y5,EDATE($D43,Milestones!$AA$94)&lt;PolicyEff),1,Milestones!$AC$94)&amp;";  ","")&amp;IF(AND(EDATE($D43,Milestones!$AA$95)&lt;=AsOfDate,EDATE($D43,Milestones!$AA$95)&gt;=SchemeStart,IF($X43=0,$AD43,IF(AND($Z43&lt;&gt;"",EDATE($D43,Milestones!$AA$95)&gt;=$Z43),$AC43,IF(AND($Y43&lt;&gt;"",EDATE($D43,Milestones!$AA$95)&gt;=$Y43),$AB43,$AA43)))=Milestones!$AB$95),UPPER(TEXT(EDATE($D43,Milestones!$AA$95),"dd mmm yy"))&amp;" "&amp;Milestones!$AB$95&amp;" "&amp;IF(AND(Milestones!$AB$95="FT",Milestones!$AA$95=FT_Y5,EDATE($D43,Milestones!$AA$95)&lt;PolicyEff),1,Milestones!$AC$95)&amp;";  ","")&amp;IF(AND(EDATE($D43,Milestones!$AA$96)&lt;=AsOfDate,EDATE($D43,Milestones!$AA$96)&gt;=SchemeStart,IF($X43=0,$AD43,IF(AND($Z43&lt;&gt;"",EDATE($D43,Milestones!$AA$96)&gt;=$Z43),$AC43,IF(AND($Y43&lt;&gt;"",EDATE($D43,Milestones!$AA$96)&gt;=$Y43),$AB43,$AA43)))=Milestones!$AB$96),UPPER(TEXT(EDATE($D43,Milestones!$AA$96),"dd mmm yy"))&amp;" "&amp;Milestones!$AB$96&amp;" "&amp;IF(AND(Milestones!$AB$96="FT",Milestones!$AA$96=FT_Y5,EDATE($D43,Milestones!$AA$96)&lt;PolicyEff),1,Milestones!$AC$96)&amp;";  ","")&amp;IF(AND(EDATE($D43,Milestones!$AA$97)&lt;=AsOfDate,EDATE($D43,Milestones!$AA$97)&gt;=SchemeStart,IF($X43=0,$AD43,IF(AND($Z43&lt;&gt;"",EDATE($D43,Milestones!$AA$97)&gt;=$Z43),$AC43,IF(AND($Y43&lt;&gt;"",EDATE($D43,Milestones!$AA$97)&gt;=$Y43),$AB43,$AA43)))=Milestones!$AB$97),UPPER(TEXT(EDATE($D43,Milestones!$AA$97),"dd mmm yy"))&amp;" "&amp;Milestones!$AB$97&amp;" "&amp;IF(AND(Milestones!$AB$97="FT",Milestones!$AA$97=FT_Y5,EDATE($D43,Milestones!$AA$97)&lt;PolicyEff),1,Milestones!$AC$97)&amp;";  ","")&amp;IF(AND(EDATE($D43,Milestones!$AA$98)&lt;=AsOfDate,EDATE($D43,Milestones!$AA$98)&gt;=SchemeStart,IF($X43=0,$AD43,IF(AND($Z43&lt;&gt;"",EDATE($D43,Milestones!$AA$98)&gt;=$Z43),$AC43,IF(AND($Y43&lt;&gt;"",EDATE($D43,Milestones!$AA$98)&gt;=$Y43),$AB43,$AA43)))=Milestones!$AB$98),UPPER(TEXT(EDATE($D43,Milestones!$AA$98),"dd mmm yy"))&amp;" "&amp;Milestones!$AB$98&amp;" "&amp;IF(AND(Milestones!$AB$98="FT",Milestones!$AA$98=FT_Y5,EDATE($D43,Milestones!$AA$98)&lt;PolicyEff),1,Milestones!$AC$98)&amp;";  ","")&amp;IF(AND(EDATE($D43,Milestones!$AA$99)&lt;=AsOfDate,EDATE($D43,Milestones!$AA$99)&gt;=SchemeStart,IF($X43=0,$AD43,IF(AND($Z43&lt;&gt;"",EDATE($D43,Milestones!$AA$99)&gt;=$Z43),$AC43,IF(AND($Y43&lt;&gt;"",EDATE($D43,Milestones!$AA$99)&gt;=$Y43),$AB43,$AA43)))=Milestones!$AB$99),UPPER(TEXT(EDATE($D43,Milestones!$AA$99),"dd mmm yy"))&amp;" "&amp;Milestones!$AB$99&amp;" "&amp;IF(AND(Milestones!$AB$99="FT",Milestones!$AA$99=FT_Y5,EDATE($D43,Milestones!$AA$99)&lt;PolicyEff),1,Milestones!$AC$99)&amp;";  ","")&amp;IF(AND(EDATE($D43,Milestones!$AA$100)&lt;=AsOfDate,EDATE($D43,Milestones!$AA$100)&gt;=SchemeStart,IF($X43=0,$AD43,IF(AND($Z43&lt;&gt;"",EDATE($D43,Milestones!$AA$100)&gt;=$Z43),$AC43,IF(AND($Y43&lt;&gt;"",EDATE($D43,Milestones!$AA$100)&gt;=$Y43),$AB43,$AA43)))=Milestones!$AB$100),UPPER(TEXT(EDATE($D43,Milestones!$AA$100),"dd mmm yy"))&amp;" "&amp;Milestones!$AB$100&amp;" "&amp;IF(AND(Milestones!$AB$100="FT",Milestones!$AA$100=FT_Y5,EDATE($D43,Milestones!$AA$100)&lt;PolicyEff),1,Milestones!$AC$100)&amp;";  ","")&amp;IF(AND(EDATE($D43,Milestones!$AA$101)&lt;=AsOfDate,EDATE($D43,Milestones!$AA$101)&gt;=SchemeStart,IF($X43=0,$AD43,IF(AND($Z43&lt;&gt;"",EDATE($D43,Milestones!$AA$101)&gt;=$Z43),$AC43,IF(AND($Y43&lt;&gt;"",EDATE($D43,Milestones!$AA$101)&gt;=$Y43),$AB43,$AA43)))=Milestones!$AB$101),UPPER(TEXT(EDATE($D43,Milestones!$AA$101),"dd mmm yy"))&amp;" "&amp;Milestones!$AB$101&amp;" "&amp;IF(AND(Milestones!$AB$101="FT",Milestones!$AA$101=FT_Y5,EDATE($D43,Milestones!$AA$101)&lt;PolicyEff),1,Milestones!$AC$101)&amp;";  ","")&amp;IF(AND(EDATE($D43,Milestones!$AA$102)&lt;=AsOfDate,EDATE($D43,Milestones!$AA$102)&gt;=SchemeStart,IF($X43=0,$AD43,IF(AND($Z43&lt;&gt;"",EDATE($D43,Milestones!$AA$102)&gt;=$Z43),$AC43,IF(AND($Y43&lt;&gt;"",EDATE($D43,Milestones!$AA$102)&gt;=$Y43),$AB43,$AA43)))=Milestones!$AB$102),UPPER(TEXT(EDATE($D43,Milestones!$AA$102),"dd mmm yy"))&amp;" "&amp;Milestones!$AB$102&amp;" "&amp;IF(AND(Milestones!$AB$102="FT",Milestones!$AA$102=FT_Y5,EDATE($D43,Milestones!$AA$102)&lt;PolicyEff),1,Milestones!$AC$102)&amp;";  ","")&amp;IF(AND(EDATE($D43,Milestones!$AA$103)&lt;=AsOfDate,EDATE($D43,Milestones!$AA$103)&gt;=SchemeStart,IF($X43=0,$AD43,IF(AND($Z43&lt;&gt;"",EDATE($D43,Milestones!$AA$103)&gt;=$Z43),$AC43,IF(AND($Y43&lt;&gt;"",EDATE($D43,Milestones!$AA$103)&gt;=$Y43),$AB43,$AA43)))=Milestones!$AB$103),UPPER(TEXT(EDATE($D43,Milestones!$AA$103),"dd mmm yy"))&amp;" "&amp;Milestones!$AB$103&amp;" "&amp;IF(AND(Milestones!$AB$103="FT",Milestones!$AA$103=FT_Y5,EDATE($D43,Milestones!$AA$103)&lt;PolicyEff),1,Milestones!$AC$103)&amp;";  ",""))</f>
        <v/>
      </c>
      <c r="P43" s="0" t="str">
        <f aca="false">IF(OR($A43="",$D43=""),"",IF(AND(EDATE($D43,Milestones!$AA$104)&lt;=AsOfDate,EDATE($D43,Milestones!$AA$104)&gt;=SchemeStart,IF($X43=0,$AD43,IF(AND($Z43&lt;&gt;"",EDATE($D43,Milestones!$AA$104)&gt;=$Z43),$AC43,IF(AND($Y43&lt;&gt;"",EDATE($D43,Milestones!$AA$104)&gt;=$Y43),$AB43,$AA43)))=Milestones!$AB$104),UPPER(TEXT(EDATE($D43,Milestones!$AA$104),"dd mmm yy"))&amp;" "&amp;Milestones!$AB$104&amp;" "&amp;IF(AND(Milestones!$AB$104="FT",Milestones!$AA$104=FT_Y5,EDATE($D43,Milestones!$AA$104)&lt;PolicyEff),1,Milestones!$AC$104)&amp;";  ","")&amp;IF(AND(EDATE($D43,Milestones!$AA$105)&lt;=AsOfDate,EDATE($D43,Milestones!$AA$105)&gt;=SchemeStart,IF($X43=0,$AD43,IF(AND($Z43&lt;&gt;"",EDATE($D43,Milestones!$AA$105)&gt;=$Z43),$AC43,IF(AND($Y43&lt;&gt;"",EDATE($D43,Milestones!$AA$105)&gt;=$Y43),$AB43,$AA43)))=Milestones!$AB$105),UPPER(TEXT(EDATE($D43,Milestones!$AA$105),"dd mmm yy"))&amp;" "&amp;Milestones!$AB$105&amp;" "&amp;IF(AND(Milestones!$AB$105="FT",Milestones!$AA$105=FT_Y5,EDATE($D43,Milestones!$AA$105)&lt;PolicyEff),1,Milestones!$AC$105)&amp;";  ","")&amp;IF(AND(EDATE($D43,Milestones!$AA$106)&lt;=AsOfDate,EDATE($D43,Milestones!$AA$106)&gt;=SchemeStart,IF($X43=0,$AD43,IF(AND($Z43&lt;&gt;"",EDATE($D43,Milestones!$AA$106)&gt;=$Z43),$AC43,IF(AND($Y43&lt;&gt;"",EDATE($D43,Milestones!$AA$106)&gt;=$Y43),$AB43,$AA43)))=Milestones!$AB$106),UPPER(TEXT(EDATE($D43,Milestones!$AA$106),"dd mmm yy"))&amp;" "&amp;Milestones!$AB$106&amp;" "&amp;IF(AND(Milestones!$AB$106="FT",Milestones!$AA$106=FT_Y5,EDATE($D43,Milestones!$AA$106)&lt;PolicyEff),1,Milestones!$AC$106)&amp;";  ","")&amp;IF(AND(EDATE($D43,Milestones!$AA$107)&lt;=AsOfDate,EDATE($D43,Milestones!$AA$107)&gt;=SchemeStart,IF($X43=0,$AD43,IF(AND($Z43&lt;&gt;"",EDATE($D43,Milestones!$AA$107)&gt;=$Z43),$AC43,IF(AND($Y43&lt;&gt;"",EDATE($D43,Milestones!$AA$107)&gt;=$Y43),$AB43,$AA43)))=Milestones!$AB$107),UPPER(TEXT(EDATE($D43,Milestones!$AA$107),"dd mmm yy"))&amp;" "&amp;Milestones!$AB$107&amp;" "&amp;IF(AND(Milestones!$AB$107="FT",Milestones!$AA$107=FT_Y5,EDATE($D43,Milestones!$AA$107)&lt;PolicyEff),1,Milestones!$AC$107)&amp;";  ","")&amp;IF(AND(EDATE($D43,Milestones!$AA$108)&lt;=AsOfDate,EDATE($D43,Milestones!$AA$108)&gt;=SchemeStart,IF($X43=0,$AD43,IF(AND($Z43&lt;&gt;"",EDATE($D43,Milestones!$AA$108)&gt;=$Z43),$AC43,IF(AND($Y43&lt;&gt;"",EDATE($D43,Milestones!$AA$108)&gt;=$Y43),$AB43,$AA43)))=Milestones!$AB$108),UPPER(TEXT(EDATE($D43,Milestones!$AA$108),"dd mmm yy"))&amp;" "&amp;Milestones!$AB$108&amp;" "&amp;IF(AND(Milestones!$AB$108="FT",Milestones!$AA$108=FT_Y5,EDATE($D43,Milestones!$AA$108)&lt;PolicyEff),1,Milestones!$AC$108)&amp;";  ","")&amp;IF(AND(EDATE($D43,Milestones!$AA$109)&lt;=AsOfDate,EDATE($D43,Milestones!$AA$109)&gt;=SchemeStart,IF($X43=0,$AD43,IF(AND($Z43&lt;&gt;"",EDATE($D43,Milestones!$AA$109)&gt;=$Z43),$AC43,IF(AND($Y43&lt;&gt;"",EDATE($D43,Milestones!$AA$109)&gt;=$Y43),$AB43,$AA43)))=Milestones!$AB$109),UPPER(TEXT(EDATE($D43,Milestones!$AA$109),"dd mmm yy"))&amp;" "&amp;Milestones!$AB$109&amp;" "&amp;IF(AND(Milestones!$AB$109="FT",Milestones!$AA$109=FT_Y5,EDATE($D43,Milestones!$AA$109)&lt;PolicyEff),1,Milestones!$AC$109)&amp;";  ","")&amp;IF(AND(EDATE($D43,Milestones!$AA$110)&lt;=AsOfDate,EDATE($D43,Milestones!$AA$110)&gt;=SchemeStart,IF($X43=0,$AD43,IF(AND($Z43&lt;&gt;"",EDATE($D43,Milestones!$AA$110)&gt;=$Z43),$AC43,IF(AND($Y43&lt;&gt;"",EDATE($D43,Milestones!$AA$110)&gt;=$Y43),$AB43,$AA43)))=Milestones!$AB$110),UPPER(TEXT(EDATE($D43,Milestones!$AA$110),"dd mmm yy"))&amp;" "&amp;Milestones!$AB$110&amp;" "&amp;IF(AND(Milestones!$AB$110="FT",Milestones!$AA$110=FT_Y5,EDATE($D43,Milestones!$AA$110)&lt;PolicyEff),1,Milestones!$AC$110)&amp;";  ","")&amp;IF(AND(EDATE($D43,Milestones!$AA$111)&lt;=AsOfDate,EDATE($D43,Milestones!$AA$111)&gt;=SchemeStart,IF($X43=0,$AD43,IF(AND($Z43&lt;&gt;"",EDATE($D43,Milestones!$AA$111)&gt;=$Z43),$AC43,IF(AND($Y43&lt;&gt;"",EDATE($D43,Milestones!$AA$111)&gt;=$Y43),$AB43,$AA43)))=Milestones!$AB$111),UPPER(TEXT(EDATE($D43,Milestones!$AA$111),"dd mmm yy"))&amp;" "&amp;Milestones!$AB$111&amp;" "&amp;IF(AND(Milestones!$AB$111="FT",Milestones!$AA$111=FT_Y5,EDATE($D43,Milestones!$AA$111)&lt;PolicyEff),1,Milestones!$AC$111)&amp;";  ","")&amp;IF(AND(EDATE($D43,Milestones!$AA$112)&lt;=AsOfDate,EDATE($D43,Milestones!$AA$112)&gt;=SchemeStart,IF($X43=0,$AD43,IF(AND($Z43&lt;&gt;"",EDATE($D43,Milestones!$AA$112)&gt;=$Z43),$AC43,IF(AND($Y43&lt;&gt;"",EDATE($D43,Milestones!$AA$112)&gt;=$Y43),$AB43,$AA43)))=Milestones!$AB$112),UPPER(TEXT(EDATE($D43,Milestones!$AA$112),"dd mmm yy"))&amp;" "&amp;Milestones!$AB$112&amp;" "&amp;IF(AND(Milestones!$AB$112="FT",Milestones!$AA$112=FT_Y5,EDATE($D43,Milestones!$AA$112)&lt;PolicyEff),1,Milestones!$AC$112)&amp;";  ","")&amp;IF(AND(EDATE($D43,Milestones!$AA$113)&lt;=AsOfDate,EDATE($D43,Milestones!$AA$113)&gt;=SchemeStart,IF($X43=0,$AD43,IF(AND($Z43&lt;&gt;"",EDATE($D43,Milestones!$AA$113)&gt;=$Z43),$AC43,IF(AND($Y43&lt;&gt;"",EDATE($D43,Milestones!$AA$113)&gt;=$Y43),$AB43,$AA43)))=Milestones!$AB$113),UPPER(TEXT(EDATE($D43,Milestones!$AA$113),"dd mmm yy"))&amp;" "&amp;Milestones!$AB$113&amp;" "&amp;IF(AND(Milestones!$AB$113="FT",Milestones!$AA$113=FT_Y5,EDATE($D43,Milestones!$AA$113)&lt;PolicyEff),1,Milestones!$AC$113)&amp;";  ","")&amp;IF(AND(EDATE($D43,Milestones!$AA$114)&lt;=AsOfDate,EDATE($D43,Milestones!$AA$114)&gt;=SchemeStart,IF($X43=0,$AD43,IF(AND($Z43&lt;&gt;"",EDATE($D43,Milestones!$AA$114)&gt;=$Z43),$AC43,IF(AND($Y43&lt;&gt;"",EDATE($D43,Milestones!$AA$114)&gt;=$Y43),$AB43,$AA43)))=Milestones!$AB$114),UPPER(TEXT(EDATE($D43,Milestones!$AA$114),"dd mmm yy"))&amp;" "&amp;Milestones!$AB$114&amp;" "&amp;IF(AND(Milestones!$AB$114="FT",Milestones!$AA$114=FT_Y5,EDATE($D43,Milestones!$AA$114)&lt;PolicyEff),1,Milestones!$AC$114)&amp;";  ","")&amp;IF(AND(EDATE($D43,Milestones!$AA$115)&lt;=AsOfDate,EDATE($D43,Milestones!$AA$115)&gt;=SchemeStart,IF($X43=0,$AD43,IF(AND($Z43&lt;&gt;"",EDATE($D43,Milestones!$AA$115)&gt;=$Z43),$AC43,IF(AND($Y43&lt;&gt;"",EDATE($D43,Milestones!$AA$115)&gt;=$Y43),$AB43,$AA43)))=Milestones!$AB$115),UPPER(TEXT(EDATE($D43,Milestones!$AA$115),"dd mmm yy"))&amp;" "&amp;Milestones!$AB$115&amp;" "&amp;IF(AND(Milestones!$AB$115="FT",Milestones!$AA$115=FT_Y5,EDATE($D43,Milestones!$AA$115)&lt;PolicyEff),1,Milestones!$AC$115)&amp;";  ",""))</f>
        <v/>
      </c>
      <c r="Q43" s="0" t="str">
        <f aca="false">IF(OR($A43="",$D43=""),"",IF(AND(EDATE($D43,Milestones!$AA$116)&lt;=AsOfDate,EDATE($D43,Milestones!$AA$116)&gt;=SchemeStart,IF($X43=0,$AD43,IF(AND($Z43&lt;&gt;"",EDATE($D43,Milestones!$AA$116)&gt;=$Z43),$AC43,IF(AND($Y43&lt;&gt;"",EDATE($D43,Milestones!$AA$116)&gt;=$Y43),$AB43,$AA43)))=Milestones!$AB$116),UPPER(TEXT(EDATE($D43,Milestones!$AA$116),"dd mmm yy"))&amp;" "&amp;Milestones!$AB$116&amp;" "&amp;IF(AND(Milestones!$AB$116="FT",Milestones!$AA$116=FT_Y5,EDATE($D43,Milestones!$AA$116)&lt;PolicyEff),1,Milestones!$AC$116)&amp;";  ","")&amp;IF(AND(EDATE($D43,Milestones!$AA$117)&lt;=AsOfDate,EDATE($D43,Milestones!$AA$117)&gt;=SchemeStart,IF($X43=0,$AD43,IF(AND($Z43&lt;&gt;"",EDATE($D43,Milestones!$AA$117)&gt;=$Z43),$AC43,IF(AND($Y43&lt;&gt;"",EDATE($D43,Milestones!$AA$117)&gt;=$Y43),$AB43,$AA43)))=Milestones!$AB$117),UPPER(TEXT(EDATE($D43,Milestones!$AA$117),"dd mmm yy"))&amp;" "&amp;Milestones!$AB$117&amp;" "&amp;IF(AND(Milestones!$AB$117="FT",Milestones!$AA$117=FT_Y5,EDATE($D43,Milestones!$AA$117)&lt;PolicyEff),1,Milestones!$AC$117)&amp;";  ","")&amp;IF(AND(EDATE($D43,Milestones!$AA$118)&lt;=AsOfDate,EDATE($D43,Milestones!$AA$118)&gt;=SchemeStart,IF($X43=0,$AD43,IF(AND($Z43&lt;&gt;"",EDATE($D43,Milestones!$AA$118)&gt;=$Z43),$AC43,IF(AND($Y43&lt;&gt;"",EDATE($D43,Milestones!$AA$118)&gt;=$Y43),$AB43,$AA43)))=Milestones!$AB$118),UPPER(TEXT(EDATE($D43,Milestones!$AA$118),"dd mmm yy"))&amp;" "&amp;Milestones!$AB$118&amp;" "&amp;IF(AND(Milestones!$AB$118="FT",Milestones!$AA$118=FT_Y5,EDATE($D43,Milestones!$AA$118)&lt;PolicyEff),1,Milestones!$AC$118)&amp;";  ","")&amp;IF(AND(EDATE($D43,Milestones!$AA$119)&lt;=AsOfDate,EDATE($D43,Milestones!$AA$119)&gt;=SchemeStart,IF($X43=0,$AD43,IF(AND($Z43&lt;&gt;"",EDATE($D43,Milestones!$AA$119)&gt;=$Z43),$AC43,IF(AND($Y43&lt;&gt;"",EDATE($D43,Milestones!$AA$119)&gt;=$Y43),$AB43,$AA43)))=Milestones!$AB$119),UPPER(TEXT(EDATE($D43,Milestones!$AA$119),"dd mmm yy"))&amp;" "&amp;Milestones!$AB$119&amp;" "&amp;IF(AND(Milestones!$AB$119="FT",Milestones!$AA$119=FT_Y5,EDATE($D43,Milestones!$AA$119)&lt;PolicyEff),1,Milestones!$AC$119)&amp;";  ","")&amp;IF(AND(EDATE($D43,Milestones!$AA$120)&lt;=AsOfDate,EDATE($D43,Milestones!$AA$120)&gt;=SchemeStart,IF($X43=0,$AD43,IF(AND($Z43&lt;&gt;"",EDATE($D43,Milestones!$AA$120)&gt;=$Z43),$AC43,IF(AND($Y43&lt;&gt;"",EDATE($D43,Milestones!$AA$120)&gt;=$Y43),$AB43,$AA43)))=Milestones!$AB$120),UPPER(TEXT(EDATE($D43,Milestones!$AA$120),"dd mmm yy"))&amp;" "&amp;Milestones!$AB$120&amp;" "&amp;IF(AND(Milestones!$AB$120="FT",Milestones!$AA$120=FT_Y5,EDATE($D43,Milestones!$AA$120)&lt;PolicyEff),1,Milestones!$AC$120)&amp;";  ","")&amp;IF(AND(EDATE($D43,Milestones!$AA$121)&lt;=AsOfDate,EDATE($D43,Milestones!$AA$121)&gt;=SchemeStart,IF($X43=0,$AD43,IF(AND($Z43&lt;&gt;"",EDATE($D43,Milestones!$AA$121)&gt;=$Z43),$AC43,IF(AND($Y43&lt;&gt;"",EDATE($D43,Milestones!$AA$121)&gt;=$Y43),$AB43,$AA43)))=Milestones!$AB$121),UPPER(TEXT(EDATE($D43,Milestones!$AA$121),"dd mmm yy"))&amp;" "&amp;Milestones!$AB$121&amp;" "&amp;IF(AND(Milestones!$AB$121="FT",Milestones!$AA$121=FT_Y5,EDATE($D43,Milestones!$AA$121)&lt;PolicyEff),1,Milestones!$AC$121)&amp;";  ","")&amp;IF(AND(EDATE($D43,Milestones!$AA$122)&lt;=AsOfDate,EDATE($D43,Milestones!$AA$122)&gt;=SchemeStart,IF($X43=0,$AD43,IF(AND($Z43&lt;&gt;"",EDATE($D43,Milestones!$AA$122)&gt;=$Z43),$AC43,IF(AND($Y43&lt;&gt;"",EDATE($D43,Milestones!$AA$122)&gt;=$Y43),$AB43,$AA43)))=Milestones!$AB$122),UPPER(TEXT(EDATE($D43,Milestones!$AA$122),"dd mmm yy"))&amp;" "&amp;Milestones!$AB$122&amp;" "&amp;IF(AND(Milestones!$AB$122="FT",Milestones!$AA$122=FT_Y5,EDATE($D43,Milestones!$AA$122)&lt;PolicyEff),1,Milestones!$AC$122)&amp;";  ","")&amp;IF(AND(EDATE($D43,Milestones!$AA$123)&lt;=AsOfDate,EDATE($D43,Milestones!$AA$123)&gt;=SchemeStart,IF($X43=0,$AD43,IF(AND($Z43&lt;&gt;"",EDATE($D43,Milestones!$AA$123)&gt;=$Z43),$AC43,IF(AND($Y43&lt;&gt;"",EDATE($D43,Milestones!$AA$123)&gt;=$Y43),$AB43,$AA43)))=Milestones!$AB$123),UPPER(TEXT(EDATE($D43,Milestones!$AA$123),"dd mmm yy"))&amp;" "&amp;Milestones!$AB$123&amp;" "&amp;IF(AND(Milestones!$AB$123="FT",Milestones!$AA$123=FT_Y5,EDATE($D43,Milestones!$AA$123)&lt;PolicyEff),1,Milestones!$AC$123)&amp;";  ","")&amp;IF(AND(EDATE($D43,Milestones!$AA$124)&lt;=AsOfDate,EDATE($D43,Milestones!$AA$124)&gt;=SchemeStart,IF($X43=0,$AD43,IF(AND($Z43&lt;&gt;"",EDATE($D43,Milestones!$AA$124)&gt;=$Z43),$AC43,IF(AND($Y43&lt;&gt;"",EDATE($D43,Milestones!$AA$124)&gt;=$Y43),$AB43,$AA43)))=Milestones!$AB$124),UPPER(TEXT(EDATE($D43,Milestones!$AA$124),"dd mmm yy"))&amp;" "&amp;Milestones!$AB$124&amp;" "&amp;IF(AND(Milestones!$AB$124="FT",Milestones!$AA$124=FT_Y5,EDATE($D43,Milestones!$AA$124)&lt;PolicyEff),1,Milestones!$AC$124)&amp;";  ","")&amp;IF(AND(EDATE($D43,Milestones!$AA$125)&lt;=AsOfDate,EDATE($D43,Milestones!$AA$125)&gt;=SchemeStart,IF($X43=0,$AD43,IF(AND($Z43&lt;&gt;"",EDATE($D43,Milestones!$AA$125)&gt;=$Z43),$AC43,IF(AND($Y43&lt;&gt;"",EDATE($D43,Milestones!$AA$125)&gt;=$Y43),$AB43,$AA43)))=Milestones!$AB$125),UPPER(TEXT(EDATE($D43,Milestones!$AA$125),"dd mmm yy"))&amp;" "&amp;Milestones!$AB$125&amp;" "&amp;IF(AND(Milestones!$AB$125="FT",Milestones!$AA$125=FT_Y5,EDATE($D43,Milestones!$AA$125)&lt;PolicyEff),1,Milestones!$AC$125)&amp;";  ","")&amp;IF(AND(EDATE($D43,Milestones!$AA$126)&lt;=AsOfDate,EDATE($D43,Milestones!$AA$126)&gt;=SchemeStart,IF($X43=0,$AD43,IF(AND($Z43&lt;&gt;"",EDATE($D43,Milestones!$AA$126)&gt;=$Z43),$AC43,IF(AND($Y43&lt;&gt;"",EDATE($D43,Milestones!$AA$126)&gt;=$Y43),$AB43,$AA43)))=Milestones!$AB$126),UPPER(TEXT(EDATE($D43,Milestones!$AA$126),"dd mmm yy"))&amp;" "&amp;Milestones!$AB$126&amp;" "&amp;IF(AND(Milestones!$AB$126="FT",Milestones!$AA$126=FT_Y5,EDATE($D43,Milestones!$AA$126)&lt;PolicyEff),1,Milestones!$AC$126)&amp;";  ","")&amp;IF(AND(EDATE($D43,Milestones!$AA$127)&lt;=AsOfDate,EDATE($D43,Milestones!$AA$127)&gt;=SchemeStart,IF($X43=0,$AD43,IF(AND($Z43&lt;&gt;"",EDATE($D43,Milestones!$AA$127)&gt;=$Z43),$AC43,IF(AND($Y43&lt;&gt;"",EDATE($D43,Milestones!$AA$127)&gt;=$Y43),$AB43,$AA43)))=Milestones!$AB$127),UPPER(TEXT(EDATE($D43,Milestones!$AA$127),"dd mmm yy"))&amp;" "&amp;Milestones!$AB$127&amp;" "&amp;IF(AND(Milestones!$AB$127="FT",Milestones!$AA$127=FT_Y5,EDATE($D43,Milestones!$AA$127)&lt;PolicyEff),1,Milestones!$AC$127)&amp;";  ",""))</f>
        <v/>
      </c>
      <c r="R43" s="0" t="str">
        <f aca="false">IF(OR($A43="",$D43=""),"",IF(AND(EDATE($D43,Milestones!$AA$128)&lt;=AsOfDate,EDATE($D43,Milestones!$AA$128)&gt;=SchemeStart,IF($X43=0,$AD43,IF(AND($Z43&lt;&gt;"",EDATE($D43,Milestones!$AA$128)&gt;=$Z43),$AC43,IF(AND($Y43&lt;&gt;"",EDATE($D43,Milestones!$AA$128)&gt;=$Y43),$AB43,$AA43)))=Milestones!$AB$128),UPPER(TEXT(EDATE($D43,Milestones!$AA$128),"dd mmm yy"))&amp;" "&amp;Milestones!$AB$128&amp;" "&amp;IF(AND(Milestones!$AB$128="FT",Milestones!$AA$128=FT_Y5,EDATE($D43,Milestones!$AA$128)&lt;PolicyEff),1,Milestones!$AC$128)&amp;";  ","")&amp;IF(AND(EDATE($D43,Milestones!$AA$129)&lt;=AsOfDate,EDATE($D43,Milestones!$AA$129)&gt;=SchemeStart,IF($X43=0,$AD43,IF(AND($Z43&lt;&gt;"",EDATE($D43,Milestones!$AA$129)&gt;=$Z43),$AC43,IF(AND($Y43&lt;&gt;"",EDATE($D43,Milestones!$AA$129)&gt;=$Y43),$AB43,$AA43)))=Milestones!$AB$129),UPPER(TEXT(EDATE($D43,Milestones!$AA$129),"dd mmm yy"))&amp;" "&amp;Milestones!$AB$129&amp;" "&amp;IF(AND(Milestones!$AB$129="FT",Milestones!$AA$129=FT_Y5,EDATE($D43,Milestones!$AA$129)&lt;PolicyEff),1,Milestones!$AC$129)&amp;";  ","")&amp;IF(AND(EDATE($D43,Milestones!$AA$130)&lt;=AsOfDate,EDATE($D43,Milestones!$AA$130)&gt;=SchemeStart,IF($X43=0,$AD43,IF(AND($Z43&lt;&gt;"",EDATE($D43,Milestones!$AA$130)&gt;=$Z43),$AC43,IF(AND($Y43&lt;&gt;"",EDATE($D43,Milestones!$AA$130)&gt;=$Y43),$AB43,$AA43)))=Milestones!$AB$130),UPPER(TEXT(EDATE($D43,Milestones!$AA$130),"dd mmm yy"))&amp;" "&amp;Milestones!$AB$130&amp;" "&amp;IF(AND(Milestones!$AB$130="FT",Milestones!$AA$130=FT_Y5,EDATE($D43,Milestones!$AA$130)&lt;PolicyEff),1,Milestones!$AC$130)&amp;";  ","")&amp;IF(AND(EDATE($D43,Milestones!$AA$131)&lt;=AsOfDate,EDATE($D43,Milestones!$AA$131)&gt;=SchemeStart,IF($X43=0,$AD43,IF(AND($Z43&lt;&gt;"",EDATE($D43,Milestones!$AA$131)&gt;=$Z43),$AC43,IF(AND($Y43&lt;&gt;"",EDATE($D43,Milestones!$AA$131)&gt;=$Y43),$AB43,$AA43)))=Milestones!$AB$131),UPPER(TEXT(EDATE($D43,Milestones!$AA$131),"dd mmm yy"))&amp;" "&amp;Milestones!$AB$131&amp;" "&amp;IF(AND(Milestones!$AB$131="FT",Milestones!$AA$131=FT_Y5,EDATE($D43,Milestones!$AA$131)&lt;PolicyEff),1,Milestones!$AC$131)&amp;";  ","")&amp;IF(AND(EDATE($D43,Milestones!$AA$132)&lt;=AsOfDate,EDATE($D43,Milestones!$AA$132)&gt;=SchemeStart,IF($X43=0,$AD43,IF(AND($Z43&lt;&gt;"",EDATE($D43,Milestones!$AA$132)&gt;=$Z43),$AC43,IF(AND($Y43&lt;&gt;"",EDATE($D43,Milestones!$AA$132)&gt;=$Y43),$AB43,$AA43)))=Milestones!$AB$132),UPPER(TEXT(EDATE($D43,Milestones!$AA$132),"dd mmm yy"))&amp;" "&amp;Milestones!$AB$132&amp;" "&amp;IF(AND(Milestones!$AB$132="FT",Milestones!$AA$132=FT_Y5,EDATE($D43,Milestones!$AA$132)&lt;PolicyEff),1,Milestones!$AC$132)&amp;";  ","")&amp;IF(AND(EDATE($D43,Milestones!$AA$133)&lt;=AsOfDate,EDATE($D43,Milestones!$AA$133)&gt;=SchemeStart,IF($X43=0,$AD43,IF(AND($Z43&lt;&gt;"",EDATE($D43,Milestones!$AA$133)&gt;=$Z43),$AC43,IF(AND($Y43&lt;&gt;"",EDATE($D43,Milestones!$AA$133)&gt;=$Y43),$AB43,$AA43)))=Milestones!$AB$133),UPPER(TEXT(EDATE($D43,Milestones!$AA$133),"dd mmm yy"))&amp;" "&amp;Milestones!$AB$133&amp;" "&amp;IF(AND(Milestones!$AB$133="FT",Milestones!$AA$133=FT_Y5,EDATE($D43,Milestones!$AA$133)&lt;PolicyEff),1,Milestones!$AC$133)&amp;";  ","")&amp;IF(AND(EDATE($D43,Milestones!$AA$134)&lt;=AsOfDate,EDATE($D43,Milestones!$AA$134)&gt;=SchemeStart,IF($X43=0,$AD43,IF(AND($Z43&lt;&gt;"",EDATE($D43,Milestones!$AA$134)&gt;=$Z43),$AC43,IF(AND($Y43&lt;&gt;"",EDATE($D43,Milestones!$AA$134)&gt;=$Y43),$AB43,$AA43)))=Milestones!$AB$134),UPPER(TEXT(EDATE($D43,Milestones!$AA$134),"dd mmm yy"))&amp;" "&amp;Milestones!$AB$134&amp;" "&amp;IF(AND(Milestones!$AB$134="FT",Milestones!$AA$134=FT_Y5,EDATE($D43,Milestones!$AA$134)&lt;PolicyEff),1,Milestones!$AC$134)&amp;";  ","")&amp;IF(AND(EDATE($D43,Milestones!$AA$135)&lt;=AsOfDate,EDATE($D43,Milestones!$AA$135)&gt;=SchemeStart,IF($X43=0,$AD43,IF(AND($Z43&lt;&gt;"",EDATE($D43,Milestones!$AA$135)&gt;=$Z43),$AC43,IF(AND($Y43&lt;&gt;"",EDATE($D43,Milestones!$AA$135)&gt;=$Y43),$AB43,$AA43)))=Milestones!$AB$135),UPPER(TEXT(EDATE($D43,Milestones!$AA$135),"dd mmm yy"))&amp;" "&amp;Milestones!$AB$135&amp;" "&amp;IF(AND(Milestones!$AB$135="FT",Milestones!$AA$135=FT_Y5,EDATE($D43,Milestones!$AA$135)&lt;PolicyEff),1,Milestones!$AC$135)&amp;";  ","")&amp;IF(AND(EDATE($D43,Milestones!$AA$136)&lt;=AsOfDate,EDATE($D43,Milestones!$AA$136)&gt;=SchemeStart,IF($X43=0,$AD43,IF(AND($Z43&lt;&gt;"",EDATE($D43,Milestones!$AA$136)&gt;=$Z43),$AC43,IF(AND($Y43&lt;&gt;"",EDATE($D43,Milestones!$AA$136)&gt;=$Y43),$AB43,$AA43)))=Milestones!$AB$136),UPPER(TEXT(EDATE($D43,Milestones!$AA$136),"dd mmm yy"))&amp;" "&amp;Milestones!$AB$136&amp;" "&amp;IF(AND(Milestones!$AB$136="FT",Milestones!$AA$136=FT_Y5,EDATE($D43,Milestones!$AA$136)&lt;PolicyEff),1,Milestones!$AC$136)&amp;";  ","")&amp;IF(AND(EDATE($D43,Milestones!$AA$137)&lt;=AsOfDate,EDATE($D43,Milestones!$AA$137)&gt;=SchemeStart,IF($X43=0,$AD43,IF(AND($Z43&lt;&gt;"",EDATE($D43,Milestones!$AA$137)&gt;=$Z43),$AC43,IF(AND($Y43&lt;&gt;"",EDATE($D43,Milestones!$AA$137)&gt;=$Y43),$AB43,$AA43)))=Milestones!$AB$137),UPPER(TEXT(EDATE($D43,Milestones!$AA$137),"dd mmm yy"))&amp;" "&amp;Milestones!$AB$137&amp;" "&amp;IF(AND(Milestones!$AB$137="FT",Milestones!$AA$137=FT_Y5,EDATE($D43,Milestones!$AA$137)&lt;PolicyEff),1,Milestones!$AC$137)&amp;";  ","")&amp;IF(AND(EDATE($D43,Milestones!$AA$138)&lt;=AsOfDate,EDATE($D43,Milestones!$AA$138)&gt;=SchemeStart,IF($X43=0,$AD43,IF(AND($Z43&lt;&gt;"",EDATE($D43,Milestones!$AA$138)&gt;=$Z43),$AC43,IF(AND($Y43&lt;&gt;"",EDATE($D43,Milestones!$AA$138)&gt;=$Y43),$AB43,$AA43)))=Milestones!$AB$138),UPPER(TEXT(EDATE($D43,Milestones!$AA$138),"dd mmm yy"))&amp;" "&amp;Milestones!$AB$138&amp;" "&amp;IF(AND(Milestones!$AB$138="FT",Milestones!$AA$138=FT_Y5,EDATE($D43,Milestones!$AA$138)&lt;PolicyEff),1,Milestones!$AC$138)&amp;";  ","")&amp;IF(AND(EDATE($D43,Milestones!$AA$139)&lt;=AsOfDate,EDATE($D43,Milestones!$AA$139)&gt;=SchemeStart,IF($X43=0,$AD43,IF(AND($Z43&lt;&gt;"",EDATE($D43,Milestones!$AA$139)&gt;=$Z43),$AC43,IF(AND($Y43&lt;&gt;"",EDATE($D43,Milestones!$AA$139)&gt;=$Y43),$AB43,$AA43)))=Milestones!$AB$139),UPPER(TEXT(EDATE($D43,Milestones!$AA$139),"dd mmm yy"))&amp;" "&amp;Milestones!$AB$139&amp;" "&amp;IF(AND(Milestones!$AB$139="FT",Milestones!$AA$139=FT_Y5,EDATE($D43,Milestones!$AA$139)&lt;PolicyEff),1,Milestones!$AC$139)&amp;";  ",""))</f>
        <v/>
      </c>
      <c r="S43" s="0" t="str">
        <f aca="false">IF(OR($A43="",$D43=""),"",IF(AND(EDATE($D43,Milestones!$AA$140)&lt;=AsOfDate,EDATE($D43,Milestones!$AA$140)&gt;=SchemeStart,IF($X43=0,$AD43,IF(AND($Z43&lt;&gt;"",EDATE($D43,Milestones!$AA$140)&gt;=$Z43),$AC43,IF(AND($Y43&lt;&gt;"",EDATE($D43,Milestones!$AA$140)&gt;=$Y43),$AB43,$AA43)))=Milestones!$AB$140),UPPER(TEXT(EDATE($D43,Milestones!$AA$140),"dd mmm yy"))&amp;" "&amp;Milestones!$AB$140&amp;" "&amp;IF(AND(Milestones!$AB$140="FT",Milestones!$AA$140=FT_Y5,EDATE($D43,Milestones!$AA$140)&lt;PolicyEff),1,Milestones!$AC$140)&amp;";  ","")&amp;IF(AND(EDATE($D43,Milestones!$AA$141)&lt;=AsOfDate,EDATE($D43,Milestones!$AA$141)&gt;=SchemeStart,IF($X43=0,$AD43,IF(AND($Z43&lt;&gt;"",EDATE($D43,Milestones!$AA$141)&gt;=$Z43),$AC43,IF(AND($Y43&lt;&gt;"",EDATE($D43,Milestones!$AA$141)&gt;=$Y43),$AB43,$AA43)))=Milestones!$AB$141),UPPER(TEXT(EDATE($D43,Milestones!$AA$141),"dd mmm yy"))&amp;" "&amp;Milestones!$AB$141&amp;" "&amp;IF(AND(Milestones!$AB$141="FT",Milestones!$AA$141=FT_Y5,EDATE($D43,Milestones!$AA$141)&lt;PolicyEff),1,Milestones!$AC$141)&amp;";  ","")&amp;IF(AND(EDATE($D43,Milestones!$AA$142)&lt;=AsOfDate,EDATE($D43,Milestones!$AA$142)&gt;=SchemeStart,IF($X43=0,$AD43,IF(AND($Z43&lt;&gt;"",EDATE($D43,Milestones!$AA$142)&gt;=$Z43),$AC43,IF(AND($Y43&lt;&gt;"",EDATE($D43,Milestones!$AA$142)&gt;=$Y43),$AB43,$AA43)))=Milestones!$AB$142),UPPER(TEXT(EDATE($D43,Milestones!$AA$142),"dd mmm yy"))&amp;" "&amp;Milestones!$AB$142&amp;" "&amp;IF(AND(Milestones!$AB$142="FT",Milestones!$AA$142=FT_Y5,EDATE($D43,Milestones!$AA$142)&lt;PolicyEff),1,Milestones!$AC$142)&amp;";  ","")&amp;IF(AND(EDATE($D43,Milestones!$AA$143)&lt;=AsOfDate,EDATE($D43,Milestones!$AA$143)&gt;=SchemeStart,IF($X43=0,$AD43,IF(AND($Z43&lt;&gt;"",EDATE($D43,Milestones!$AA$143)&gt;=$Z43),$AC43,IF(AND($Y43&lt;&gt;"",EDATE($D43,Milestones!$AA$143)&gt;=$Y43),$AB43,$AA43)))=Milestones!$AB$143),UPPER(TEXT(EDATE($D43,Milestones!$AA$143),"dd mmm yy"))&amp;" "&amp;Milestones!$AB$143&amp;" "&amp;IF(AND(Milestones!$AB$143="FT",Milestones!$AA$143=FT_Y5,EDATE($D43,Milestones!$AA$143)&lt;PolicyEff),1,Milestones!$AC$143)&amp;";  ","")&amp;IF(AND(EDATE($D43,Milestones!$AA$144)&lt;=AsOfDate,EDATE($D43,Milestones!$AA$144)&gt;=SchemeStart,IF($X43=0,$AD43,IF(AND($Z43&lt;&gt;"",EDATE($D43,Milestones!$AA$144)&gt;=$Z43),$AC43,IF(AND($Y43&lt;&gt;"",EDATE($D43,Milestones!$AA$144)&gt;=$Y43),$AB43,$AA43)))=Milestones!$AB$144),UPPER(TEXT(EDATE($D43,Milestones!$AA$144),"dd mmm yy"))&amp;" "&amp;Milestones!$AB$144&amp;" "&amp;IF(AND(Milestones!$AB$144="FT",Milestones!$AA$144=FT_Y5,EDATE($D43,Milestones!$AA$144)&lt;PolicyEff),1,Milestones!$AC$144)&amp;";  ","")&amp;IF(AND(EDATE($D43,Milestones!$AA$145)&lt;=AsOfDate,EDATE($D43,Milestones!$AA$145)&gt;=SchemeStart,IF($X43=0,$AD43,IF(AND($Z43&lt;&gt;"",EDATE($D43,Milestones!$AA$145)&gt;=$Z43),$AC43,IF(AND($Y43&lt;&gt;"",EDATE($D43,Milestones!$AA$145)&gt;=$Y43),$AB43,$AA43)))=Milestones!$AB$145),UPPER(TEXT(EDATE($D43,Milestones!$AA$145),"dd mmm yy"))&amp;" "&amp;Milestones!$AB$145&amp;" "&amp;IF(AND(Milestones!$AB$145="FT",Milestones!$AA$145=FT_Y5,EDATE($D43,Milestones!$AA$145)&lt;PolicyEff),1,Milestones!$AC$145)&amp;";  ","")&amp;IF(AND(EDATE($D43,Milestones!$AA$146)&lt;=AsOfDate,EDATE($D43,Milestones!$AA$146)&gt;=SchemeStart,IF($X43=0,$AD43,IF(AND($Z43&lt;&gt;"",EDATE($D43,Milestones!$AA$146)&gt;=$Z43),$AC43,IF(AND($Y43&lt;&gt;"",EDATE($D43,Milestones!$AA$146)&gt;=$Y43),$AB43,$AA43)))=Milestones!$AB$146),UPPER(TEXT(EDATE($D43,Milestones!$AA$146),"dd mmm yy"))&amp;" "&amp;Milestones!$AB$146&amp;" "&amp;IF(AND(Milestones!$AB$146="FT",Milestones!$AA$146=FT_Y5,EDATE($D43,Milestones!$AA$146)&lt;PolicyEff),1,Milestones!$AC$146)&amp;";  ","")&amp;IF(AND(EDATE($D43,Milestones!$AA$147)&lt;=AsOfDate,EDATE($D43,Milestones!$AA$147)&gt;=SchemeStart,IF($X43=0,$AD43,IF(AND($Z43&lt;&gt;"",EDATE($D43,Milestones!$AA$147)&gt;=$Z43),$AC43,IF(AND($Y43&lt;&gt;"",EDATE($D43,Milestones!$AA$147)&gt;=$Y43),$AB43,$AA43)))=Milestones!$AB$147),UPPER(TEXT(EDATE($D43,Milestones!$AA$147),"dd mmm yy"))&amp;" "&amp;Milestones!$AB$147&amp;" "&amp;IF(AND(Milestones!$AB$147="FT",Milestones!$AA$147=FT_Y5,EDATE($D43,Milestones!$AA$147)&lt;PolicyEff),1,Milestones!$AC$147)&amp;";  ","")&amp;IF(AND(EDATE($D43,Milestones!$AA$148)&lt;=AsOfDate,EDATE($D43,Milestones!$AA$148)&gt;=SchemeStart,IF($X43=0,$AD43,IF(AND($Z43&lt;&gt;"",EDATE($D43,Milestones!$AA$148)&gt;=$Z43),$AC43,IF(AND($Y43&lt;&gt;"",EDATE($D43,Milestones!$AA$148)&gt;=$Y43),$AB43,$AA43)))=Milestones!$AB$148),UPPER(TEXT(EDATE($D43,Milestones!$AA$148),"dd mmm yy"))&amp;" "&amp;Milestones!$AB$148&amp;" "&amp;IF(AND(Milestones!$AB$148="FT",Milestones!$AA$148=FT_Y5,EDATE($D43,Milestones!$AA$148)&lt;PolicyEff),1,Milestones!$AC$148)&amp;";  ","")&amp;IF(AND(EDATE($D43,Milestones!$AA$149)&lt;=AsOfDate,EDATE($D43,Milestones!$AA$149)&gt;=SchemeStart,IF($X43=0,$AD43,IF(AND($Z43&lt;&gt;"",EDATE($D43,Milestones!$AA$149)&gt;=$Z43),$AC43,IF(AND($Y43&lt;&gt;"",EDATE($D43,Milestones!$AA$149)&gt;=$Y43),$AB43,$AA43)))=Milestones!$AB$149),UPPER(TEXT(EDATE($D43,Milestones!$AA$149),"dd mmm yy"))&amp;" "&amp;Milestones!$AB$149&amp;" "&amp;IF(AND(Milestones!$AB$149="FT",Milestones!$AA$149=FT_Y5,EDATE($D43,Milestones!$AA$149)&lt;PolicyEff),1,Milestones!$AC$149)&amp;";  ","")&amp;IF(AND(EDATE($D43,Milestones!$AA$150)&lt;=AsOfDate,EDATE($D43,Milestones!$AA$150)&gt;=SchemeStart,IF($X43=0,$AD43,IF(AND($Z43&lt;&gt;"",EDATE($D43,Milestones!$AA$150)&gt;=$Z43),$AC43,IF(AND($Y43&lt;&gt;"",EDATE($D43,Milestones!$AA$150)&gt;=$Y43),$AB43,$AA43)))=Milestones!$AB$150),UPPER(TEXT(EDATE($D43,Milestones!$AA$150),"dd mmm yy"))&amp;" "&amp;Milestones!$AB$150&amp;" "&amp;IF(AND(Milestones!$AB$150="FT",Milestones!$AA$150=FT_Y5,EDATE($D43,Milestones!$AA$150)&lt;PolicyEff),1,Milestones!$AC$150)&amp;";  ","")&amp;IF(AND(EDATE($D43,Milestones!$AA$151)&lt;=AsOfDate,EDATE($D43,Milestones!$AA$151)&gt;=SchemeStart,IF($X43=0,$AD43,IF(AND($Z43&lt;&gt;"",EDATE($D43,Milestones!$AA$151)&gt;=$Z43),$AC43,IF(AND($Y43&lt;&gt;"",EDATE($D43,Milestones!$AA$151)&gt;=$Y43),$AB43,$AA43)))=Milestones!$AB$151),UPPER(TEXT(EDATE($D43,Milestones!$AA$151),"dd mmm yy"))&amp;" "&amp;Milestones!$AB$151&amp;" "&amp;IF(AND(Milestones!$AB$151="FT",Milestones!$AA$151=FT_Y5,EDATE($D43,Milestones!$AA$151)&lt;PolicyEff),1,Milestones!$AC$151)&amp;";  ",""))</f>
        <v/>
      </c>
      <c r="T43" s="0" t="str">
        <f aca="false">IF(OR($A43="",$D43=""),"",IF(AND(EDATE($D43,Milestones!$AA$152)&lt;=AsOfDate,EDATE($D43,Milestones!$AA$152)&gt;=SchemeStart,IF($X43=0,$AD43,IF(AND($Z43&lt;&gt;"",EDATE($D43,Milestones!$AA$152)&gt;=$Z43),$AC43,IF(AND($Y43&lt;&gt;"",EDATE($D43,Milestones!$AA$152)&gt;=$Y43),$AB43,$AA43)))=Milestones!$AB$152),UPPER(TEXT(EDATE($D43,Milestones!$AA$152),"dd mmm yy"))&amp;" "&amp;Milestones!$AB$152&amp;" "&amp;IF(AND(Milestones!$AB$152="FT",Milestones!$AA$152=FT_Y5,EDATE($D43,Milestones!$AA$152)&lt;PolicyEff),1,Milestones!$AC$152)&amp;";  ","")&amp;IF(AND(EDATE($D43,Milestones!$AA$153)&lt;=AsOfDate,EDATE($D43,Milestones!$AA$153)&gt;=SchemeStart,IF($X43=0,$AD43,IF(AND($Z43&lt;&gt;"",EDATE($D43,Milestones!$AA$153)&gt;=$Z43),$AC43,IF(AND($Y43&lt;&gt;"",EDATE($D43,Milestones!$AA$153)&gt;=$Y43),$AB43,$AA43)))=Milestones!$AB$153),UPPER(TEXT(EDATE($D43,Milestones!$AA$153),"dd mmm yy"))&amp;" "&amp;Milestones!$AB$153&amp;" "&amp;IF(AND(Milestones!$AB$153="FT",Milestones!$AA$153=FT_Y5,EDATE($D43,Milestones!$AA$153)&lt;PolicyEff),1,Milestones!$AC$153)&amp;";  ","")&amp;IF(AND(EDATE($D43,Milestones!$AA$154)&lt;=AsOfDate,EDATE($D43,Milestones!$AA$154)&gt;=SchemeStart,IF($X43=0,$AD43,IF(AND($Z43&lt;&gt;"",EDATE($D43,Milestones!$AA$154)&gt;=$Z43),$AC43,IF(AND($Y43&lt;&gt;"",EDATE($D43,Milestones!$AA$154)&gt;=$Y43),$AB43,$AA43)))=Milestones!$AB$154),UPPER(TEXT(EDATE($D43,Milestones!$AA$154),"dd mmm yy"))&amp;" "&amp;Milestones!$AB$154&amp;" "&amp;IF(AND(Milestones!$AB$154="FT",Milestones!$AA$154=FT_Y5,EDATE($D43,Milestones!$AA$154)&lt;PolicyEff),1,Milestones!$AC$154)&amp;";  ","")&amp;IF(AND(EDATE($D43,Milestones!$AA$155)&lt;=AsOfDate,EDATE($D43,Milestones!$AA$155)&gt;=SchemeStart,IF($X43=0,$AD43,IF(AND($Z43&lt;&gt;"",EDATE($D43,Milestones!$AA$155)&gt;=$Z43),$AC43,IF(AND($Y43&lt;&gt;"",EDATE($D43,Milestones!$AA$155)&gt;=$Y43),$AB43,$AA43)))=Milestones!$AB$155),UPPER(TEXT(EDATE($D43,Milestones!$AA$155),"dd mmm yy"))&amp;" "&amp;Milestones!$AB$155&amp;" "&amp;IF(AND(Milestones!$AB$155="FT",Milestones!$AA$155=FT_Y5,EDATE($D43,Milestones!$AA$155)&lt;PolicyEff),1,Milestones!$AC$155)&amp;";  ","")&amp;IF(AND(EDATE($D43,Milestones!$AA$156)&lt;=AsOfDate,EDATE($D43,Milestones!$AA$156)&gt;=SchemeStart,IF($X43=0,$AD43,IF(AND($Z43&lt;&gt;"",EDATE($D43,Milestones!$AA$156)&gt;=$Z43),$AC43,IF(AND($Y43&lt;&gt;"",EDATE($D43,Milestones!$AA$156)&gt;=$Y43),$AB43,$AA43)))=Milestones!$AB$156),UPPER(TEXT(EDATE($D43,Milestones!$AA$156),"dd mmm yy"))&amp;" "&amp;Milestones!$AB$156&amp;" "&amp;IF(AND(Milestones!$AB$156="FT",Milestones!$AA$156=FT_Y5,EDATE($D43,Milestones!$AA$156)&lt;PolicyEff),1,Milestones!$AC$156)&amp;";  ","")&amp;IF(AND(EDATE($D43,Milestones!$AA$157)&lt;=AsOfDate,EDATE($D43,Milestones!$AA$157)&gt;=SchemeStart,IF($X43=0,$AD43,IF(AND($Z43&lt;&gt;"",EDATE($D43,Milestones!$AA$157)&gt;=$Z43),$AC43,IF(AND($Y43&lt;&gt;"",EDATE($D43,Milestones!$AA$157)&gt;=$Y43),$AB43,$AA43)))=Milestones!$AB$157),UPPER(TEXT(EDATE($D43,Milestones!$AA$157),"dd mmm yy"))&amp;" "&amp;Milestones!$AB$157&amp;" "&amp;IF(AND(Milestones!$AB$157="FT",Milestones!$AA$157=FT_Y5,EDATE($D43,Milestones!$AA$157)&lt;PolicyEff),1,Milestones!$AC$157)&amp;";  ","")&amp;IF(AND(EDATE($D43,Milestones!$AA$158)&lt;=AsOfDate,EDATE($D43,Milestones!$AA$158)&gt;=SchemeStart,IF($X43=0,$AD43,IF(AND($Z43&lt;&gt;"",EDATE($D43,Milestones!$AA$158)&gt;=$Z43),$AC43,IF(AND($Y43&lt;&gt;"",EDATE($D43,Milestones!$AA$158)&gt;=$Y43),$AB43,$AA43)))=Milestones!$AB$158),UPPER(TEXT(EDATE($D43,Milestones!$AA$158),"dd mmm yy"))&amp;" "&amp;Milestones!$AB$158&amp;" "&amp;IF(AND(Milestones!$AB$158="FT",Milestones!$AA$158=FT_Y5,EDATE($D43,Milestones!$AA$158)&lt;PolicyEff),1,Milestones!$AC$158)&amp;";  ","")&amp;IF(AND(EDATE($D43,Milestones!$AA$159)&lt;=AsOfDate,EDATE($D43,Milestones!$AA$159)&gt;=SchemeStart,IF($X43=0,$AD43,IF(AND($Z43&lt;&gt;"",EDATE($D43,Milestones!$AA$159)&gt;=$Z43),$AC43,IF(AND($Y43&lt;&gt;"",EDATE($D43,Milestones!$AA$159)&gt;=$Y43),$AB43,$AA43)))=Milestones!$AB$159),UPPER(TEXT(EDATE($D43,Milestones!$AA$159),"dd mmm yy"))&amp;" "&amp;Milestones!$AB$159&amp;" "&amp;IF(AND(Milestones!$AB$159="FT",Milestones!$AA$159=FT_Y5,EDATE($D43,Milestones!$AA$159)&lt;PolicyEff),1,Milestones!$AC$159)&amp;";  ","")&amp;IF(AND(EDATE($D43,Milestones!$AA$160)&lt;=AsOfDate,EDATE($D43,Milestones!$AA$160)&gt;=SchemeStart,IF($X43=0,$AD43,IF(AND($Z43&lt;&gt;"",EDATE($D43,Milestones!$AA$160)&gt;=$Z43),$AC43,IF(AND($Y43&lt;&gt;"",EDATE($D43,Milestones!$AA$160)&gt;=$Y43),$AB43,$AA43)))=Milestones!$AB$160),UPPER(TEXT(EDATE($D43,Milestones!$AA$160),"dd mmm yy"))&amp;" "&amp;Milestones!$AB$160&amp;" "&amp;IF(AND(Milestones!$AB$160="FT",Milestones!$AA$160=FT_Y5,EDATE($D43,Milestones!$AA$160)&lt;PolicyEff),1,Milestones!$AC$160)&amp;";  ","")&amp;IF(AND(EDATE($D43,Milestones!$AA$161)&lt;=AsOfDate,EDATE($D43,Milestones!$AA$161)&gt;=SchemeStart,IF($X43=0,$AD43,IF(AND($Z43&lt;&gt;"",EDATE($D43,Milestones!$AA$161)&gt;=$Z43),$AC43,IF(AND($Y43&lt;&gt;"",EDATE($D43,Milestones!$AA$161)&gt;=$Y43),$AB43,$AA43)))=Milestones!$AB$161),UPPER(TEXT(EDATE($D43,Milestones!$AA$161),"dd mmm yy"))&amp;" "&amp;Milestones!$AB$161&amp;" "&amp;IF(AND(Milestones!$AB$161="FT",Milestones!$AA$161=FT_Y5,EDATE($D43,Milestones!$AA$161)&lt;PolicyEff),1,Milestones!$AC$161)&amp;";  ","")&amp;IF(AND(EDATE($D43,Milestones!$AA$162)&lt;=AsOfDate,EDATE($D43,Milestones!$AA$162)&gt;=SchemeStart,IF($X43=0,$AD43,IF(AND($Z43&lt;&gt;"",EDATE($D43,Milestones!$AA$162)&gt;=$Z43),$AC43,IF(AND($Y43&lt;&gt;"",EDATE($D43,Milestones!$AA$162)&gt;=$Y43),$AB43,$AA43)))=Milestones!$AB$162),UPPER(TEXT(EDATE($D43,Milestones!$AA$162),"dd mmm yy"))&amp;" "&amp;Milestones!$AB$162&amp;" "&amp;IF(AND(Milestones!$AB$162="FT",Milestones!$AA$162=FT_Y5,EDATE($D43,Milestones!$AA$162)&lt;PolicyEff),1,Milestones!$AC$162)&amp;";  ","")&amp;IF(AND(EDATE($D43,Milestones!$AA$163)&lt;=AsOfDate,EDATE($D43,Milestones!$AA$163)&gt;=SchemeStart,IF($X43=0,$AD43,IF(AND($Z43&lt;&gt;"",EDATE($D43,Milestones!$AA$163)&gt;=$Z43),$AC43,IF(AND($Y43&lt;&gt;"",EDATE($D43,Milestones!$AA$163)&gt;=$Y43),$AB43,$AA43)))=Milestones!$AB$163),UPPER(TEXT(EDATE($D43,Milestones!$AA$163),"dd mmm yy"))&amp;" "&amp;Milestones!$AB$163&amp;" "&amp;IF(AND(Milestones!$AB$163="FT",Milestones!$AA$163=FT_Y5,EDATE($D43,Milestones!$AA$163)&lt;PolicyEff),1,Milestones!$AC$163)&amp;";  ",""))</f>
        <v/>
      </c>
      <c r="U43" s="0" t="str">
        <f aca="false">IF(OR($A43="",$D43=""),"",IF(AND(EDATE($D43,Milestones!$AA$164)&lt;=AsOfDate,EDATE($D43,Milestones!$AA$164)&gt;=SchemeStart,IF($X43=0,$AD43,IF(AND($Z43&lt;&gt;"",EDATE($D43,Milestones!$AA$164)&gt;=$Z43),$AC43,IF(AND($Y43&lt;&gt;"",EDATE($D43,Milestones!$AA$164)&gt;=$Y43),$AB43,$AA43)))=Milestones!$AB$164),UPPER(TEXT(EDATE($D43,Milestones!$AA$164),"dd mmm yy"))&amp;" "&amp;Milestones!$AB$164&amp;" "&amp;IF(AND(Milestones!$AB$164="FT",Milestones!$AA$164=FT_Y5,EDATE($D43,Milestones!$AA$164)&lt;PolicyEff),1,Milestones!$AC$164)&amp;";  ","")&amp;IF(AND(EDATE($D43,Milestones!$AA$165)&lt;=AsOfDate,EDATE($D43,Milestones!$AA$165)&gt;=SchemeStart,IF($X43=0,$AD43,IF(AND($Z43&lt;&gt;"",EDATE($D43,Milestones!$AA$165)&gt;=$Z43),$AC43,IF(AND($Y43&lt;&gt;"",EDATE($D43,Milestones!$AA$165)&gt;=$Y43),$AB43,$AA43)))=Milestones!$AB$165),UPPER(TEXT(EDATE($D43,Milestones!$AA$165),"dd mmm yy"))&amp;" "&amp;Milestones!$AB$165&amp;" "&amp;IF(AND(Milestones!$AB$165="FT",Milestones!$AA$165=FT_Y5,EDATE($D43,Milestones!$AA$165)&lt;PolicyEff),1,Milestones!$AC$165)&amp;";  ","")&amp;IF(AND(EDATE($D43,Milestones!$AA$166)&lt;=AsOfDate,EDATE($D43,Milestones!$AA$166)&gt;=SchemeStart,IF($X43=0,$AD43,IF(AND($Z43&lt;&gt;"",EDATE($D43,Milestones!$AA$166)&gt;=$Z43),$AC43,IF(AND($Y43&lt;&gt;"",EDATE($D43,Milestones!$AA$166)&gt;=$Y43),$AB43,$AA43)))=Milestones!$AB$166),UPPER(TEXT(EDATE($D43,Milestones!$AA$166),"dd mmm yy"))&amp;" "&amp;Milestones!$AB$166&amp;" "&amp;IF(AND(Milestones!$AB$166="FT",Milestones!$AA$166=FT_Y5,EDATE($D43,Milestones!$AA$166)&lt;PolicyEff),1,Milestones!$AC$166)&amp;";  ","")&amp;IF(AND(EDATE($D43,Milestones!$AA$167)&lt;=AsOfDate,EDATE($D43,Milestones!$AA$167)&gt;=SchemeStart,IF($X43=0,$AD43,IF(AND($Z43&lt;&gt;"",EDATE($D43,Milestones!$AA$167)&gt;=$Z43),$AC43,IF(AND($Y43&lt;&gt;"",EDATE($D43,Milestones!$AA$167)&gt;=$Y43),$AB43,$AA43)))=Milestones!$AB$167),UPPER(TEXT(EDATE($D43,Milestones!$AA$167),"dd mmm yy"))&amp;" "&amp;Milestones!$AB$167&amp;" "&amp;IF(AND(Milestones!$AB$167="FT",Milestones!$AA$167=FT_Y5,EDATE($D43,Milestones!$AA$167)&lt;PolicyEff),1,Milestones!$AC$167)&amp;";  ","")&amp;IF(AND(EDATE($D43,Milestones!$AA$168)&lt;=AsOfDate,EDATE($D43,Milestones!$AA$168)&gt;=SchemeStart,IF($X43=0,$AD43,IF(AND($Z43&lt;&gt;"",EDATE($D43,Milestones!$AA$168)&gt;=$Z43),$AC43,IF(AND($Y43&lt;&gt;"",EDATE($D43,Milestones!$AA$168)&gt;=$Y43),$AB43,$AA43)))=Milestones!$AB$168),UPPER(TEXT(EDATE($D43,Milestones!$AA$168),"dd mmm yy"))&amp;" "&amp;Milestones!$AB$168&amp;" "&amp;IF(AND(Milestones!$AB$168="FT",Milestones!$AA$168=FT_Y5,EDATE($D43,Milestones!$AA$168)&lt;PolicyEff),1,Milestones!$AC$168)&amp;";  ","")&amp;IF(AND(EDATE($D43,Milestones!$AA$169)&lt;=AsOfDate,EDATE($D43,Milestones!$AA$169)&gt;=SchemeStart,IF($X43=0,$AD43,IF(AND($Z43&lt;&gt;"",EDATE($D43,Milestones!$AA$169)&gt;=$Z43),$AC43,IF(AND($Y43&lt;&gt;"",EDATE($D43,Milestones!$AA$169)&gt;=$Y43),$AB43,$AA43)))=Milestones!$AB$169),UPPER(TEXT(EDATE($D43,Milestones!$AA$169),"dd mmm yy"))&amp;" "&amp;Milestones!$AB$169&amp;" "&amp;IF(AND(Milestones!$AB$169="FT",Milestones!$AA$169=FT_Y5,EDATE($D43,Milestones!$AA$169)&lt;PolicyEff),1,Milestones!$AC$169)&amp;";  ","")&amp;IF(AND(EDATE($D43,Milestones!$AA$170)&lt;=AsOfDate,EDATE($D43,Milestones!$AA$170)&gt;=SchemeStart,IF($X43=0,$AD43,IF(AND($Z43&lt;&gt;"",EDATE($D43,Milestones!$AA$170)&gt;=$Z43),$AC43,IF(AND($Y43&lt;&gt;"",EDATE($D43,Milestones!$AA$170)&gt;=$Y43),$AB43,$AA43)))=Milestones!$AB$170),UPPER(TEXT(EDATE($D43,Milestones!$AA$170),"dd mmm yy"))&amp;" "&amp;Milestones!$AB$170&amp;" "&amp;IF(AND(Milestones!$AB$170="FT",Milestones!$AA$170=FT_Y5,EDATE($D43,Milestones!$AA$170)&lt;PolicyEff),1,Milestones!$AC$170)&amp;";  ","")&amp;IF(AND(EDATE($D43,Milestones!$AA$171)&lt;=AsOfDate,EDATE($D43,Milestones!$AA$171)&gt;=SchemeStart,IF($X43=0,$AD43,IF(AND($Z43&lt;&gt;"",EDATE($D43,Milestones!$AA$171)&gt;=$Z43),$AC43,IF(AND($Y43&lt;&gt;"",EDATE($D43,Milestones!$AA$171)&gt;=$Y43),$AB43,$AA43)))=Milestones!$AB$171),UPPER(TEXT(EDATE($D43,Milestones!$AA$171),"dd mmm yy"))&amp;" "&amp;Milestones!$AB$171&amp;" "&amp;IF(AND(Milestones!$AB$171="FT",Milestones!$AA$171=FT_Y5,EDATE($D43,Milestones!$AA$171)&lt;PolicyEff),1,Milestones!$AC$171)&amp;";  ","")&amp;IF(AND(EDATE($D43,Milestones!$AA$172)&lt;=AsOfDate,EDATE($D43,Milestones!$AA$172)&gt;=SchemeStart,IF($X43=0,$AD43,IF(AND($Z43&lt;&gt;"",EDATE($D43,Milestones!$AA$172)&gt;=$Z43),$AC43,IF(AND($Y43&lt;&gt;"",EDATE($D43,Milestones!$AA$172)&gt;=$Y43),$AB43,$AA43)))=Milestones!$AB$172),UPPER(TEXT(EDATE($D43,Milestones!$AA$172),"dd mmm yy"))&amp;" "&amp;Milestones!$AB$172&amp;" "&amp;IF(AND(Milestones!$AB$172="FT",Milestones!$AA$172=FT_Y5,EDATE($D43,Milestones!$AA$172)&lt;PolicyEff),1,Milestones!$AC$172)&amp;";  ","")&amp;IF(AND(EDATE($D43,Milestones!$AA$173)&lt;=AsOfDate,EDATE($D43,Milestones!$AA$173)&gt;=SchemeStart,IF($X43=0,$AD43,IF(AND($Z43&lt;&gt;"",EDATE($D43,Milestones!$AA$173)&gt;=$Z43),$AC43,IF(AND($Y43&lt;&gt;"",EDATE($D43,Milestones!$AA$173)&gt;=$Y43),$AB43,$AA43)))=Milestones!$AB$173),UPPER(TEXT(EDATE($D43,Milestones!$AA$173),"dd mmm yy"))&amp;" "&amp;Milestones!$AB$173&amp;" "&amp;IF(AND(Milestones!$AB$173="FT",Milestones!$AA$173=FT_Y5,EDATE($D43,Milestones!$AA$173)&lt;PolicyEff),1,Milestones!$AC$173)&amp;";  ","")&amp;IF(AND(EDATE($D43,Milestones!$AA$174)&lt;=AsOfDate,EDATE($D43,Milestones!$AA$174)&gt;=SchemeStart,IF($X43=0,$AD43,IF(AND($Z43&lt;&gt;"",EDATE($D43,Milestones!$AA$174)&gt;=$Z43),$AC43,IF(AND($Y43&lt;&gt;"",EDATE($D43,Milestones!$AA$174)&gt;=$Y43),$AB43,$AA43)))=Milestones!$AB$174),UPPER(TEXT(EDATE($D43,Milestones!$AA$174),"dd mmm yy"))&amp;" "&amp;Milestones!$AB$174&amp;" "&amp;IF(AND(Milestones!$AB$174="FT",Milestones!$AA$174=FT_Y5,EDATE($D43,Milestones!$AA$174)&lt;PolicyEff),1,Milestones!$AC$174)&amp;";  ","")&amp;IF(AND(EDATE($D43,Milestones!$AA$175)&lt;=AsOfDate,EDATE($D43,Milestones!$AA$175)&gt;=SchemeStart,IF($X43=0,$AD43,IF(AND($Z43&lt;&gt;"",EDATE($D43,Milestones!$AA$175)&gt;=$Z43),$AC43,IF(AND($Y43&lt;&gt;"",EDATE($D43,Milestones!$AA$175)&gt;=$Y43),$AB43,$AA43)))=Milestones!$AB$175),UPPER(TEXT(EDATE($D43,Milestones!$AA$175),"dd mmm yy"))&amp;" "&amp;Milestones!$AB$175&amp;" "&amp;IF(AND(Milestones!$AB$175="FT",Milestones!$AA$175=FT_Y5,EDATE($D43,Milestones!$AA$175)&lt;PolicyEff),1,Milestones!$AC$175)&amp;";  ",""))</f>
        <v/>
      </c>
      <c r="V43" s="0" t="str">
        <f aca="false">IF(OR($A43="",$D43=""),"",IF(AND(EDATE($D43,Milestones!$AA$176)&lt;=AsOfDate,EDATE($D43,Milestones!$AA$176)&gt;=SchemeStart,IF($X43=0,$AD43,IF(AND($Z43&lt;&gt;"",EDATE($D43,Milestones!$AA$176)&gt;=$Z43),$AC43,IF(AND($Y43&lt;&gt;"",EDATE($D43,Milestones!$AA$176)&gt;=$Y43),$AB43,$AA43)))=Milestones!$AB$176),UPPER(TEXT(EDATE($D43,Milestones!$AA$176),"dd mmm yy"))&amp;" "&amp;Milestones!$AB$176&amp;" "&amp;IF(AND(Milestones!$AB$176="FT",Milestones!$AA$176=FT_Y5,EDATE($D43,Milestones!$AA$176)&lt;PolicyEff),1,Milestones!$AC$176)&amp;";  ","")&amp;IF(AND(EDATE($D43,Milestones!$AA$177)&lt;=AsOfDate,EDATE($D43,Milestones!$AA$177)&gt;=SchemeStart,IF($X43=0,$AD43,IF(AND($Z43&lt;&gt;"",EDATE($D43,Milestones!$AA$177)&gt;=$Z43),$AC43,IF(AND($Y43&lt;&gt;"",EDATE($D43,Milestones!$AA$177)&gt;=$Y43),$AB43,$AA43)))=Milestones!$AB$177),UPPER(TEXT(EDATE($D43,Milestones!$AA$177),"dd mmm yy"))&amp;" "&amp;Milestones!$AB$177&amp;" "&amp;IF(AND(Milestones!$AB$177="FT",Milestones!$AA$177=FT_Y5,EDATE($D43,Milestones!$AA$177)&lt;PolicyEff),1,Milestones!$AC$177)&amp;";  ","")&amp;IF(AND(EDATE($D43,Milestones!$AA$178)&lt;=AsOfDate,EDATE($D43,Milestones!$AA$178)&gt;=SchemeStart,IF($X43=0,$AD43,IF(AND($Z43&lt;&gt;"",EDATE($D43,Milestones!$AA$178)&gt;=$Z43),$AC43,IF(AND($Y43&lt;&gt;"",EDATE($D43,Milestones!$AA$178)&gt;=$Y43),$AB43,$AA43)))=Milestones!$AB$178),UPPER(TEXT(EDATE($D43,Milestones!$AA$178),"dd mmm yy"))&amp;" "&amp;Milestones!$AB$178&amp;" "&amp;IF(AND(Milestones!$AB$178="FT",Milestones!$AA$178=FT_Y5,EDATE($D43,Milestones!$AA$178)&lt;PolicyEff),1,Milestones!$AC$178)&amp;";  ","")&amp;IF(AND(EDATE($D43,Milestones!$AA$179)&lt;=AsOfDate,EDATE($D43,Milestones!$AA$179)&gt;=SchemeStart,IF($X43=0,$AD43,IF(AND($Z43&lt;&gt;"",EDATE($D43,Milestones!$AA$179)&gt;=$Z43),$AC43,IF(AND($Y43&lt;&gt;"",EDATE($D43,Milestones!$AA$179)&gt;=$Y43),$AB43,$AA43)))=Milestones!$AB$179),UPPER(TEXT(EDATE($D43,Milestones!$AA$179),"dd mmm yy"))&amp;" "&amp;Milestones!$AB$179&amp;" "&amp;IF(AND(Milestones!$AB$179="FT",Milestones!$AA$179=FT_Y5,EDATE($D43,Milestones!$AA$179)&lt;PolicyEff),1,Milestones!$AC$179)&amp;";  ","")&amp;IF(AND(EDATE($D43,Milestones!$AA$180)&lt;=AsOfDate,EDATE($D43,Milestones!$AA$180)&gt;=SchemeStart,IF($X43=0,$AD43,IF(AND($Z43&lt;&gt;"",EDATE($D43,Milestones!$AA$180)&gt;=$Z43),$AC43,IF(AND($Y43&lt;&gt;"",EDATE($D43,Milestones!$AA$180)&gt;=$Y43),$AB43,$AA43)))=Milestones!$AB$180),UPPER(TEXT(EDATE($D43,Milestones!$AA$180),"dd mmm yy"))&amp;" "&amp;Milestones!$AB$180&amp;" "&amp;IF(AND(Milestones!$AB$180="FT",Milestones!$AA$180=FT_Y5,EDATE($D43,Milestones!$AA$180)&lt;PolicyEff),1,Milestones!$AC$180)&amp;";  ","")&amp;IF(AND(EDATE($D43,Milestones!$AA$181)&lt;=AsOfDate,EDATE($D43,Milestones!$AA$181)&gt;=SchemeStart,IF($X43=0,$AD43,IF(AND($Z43&lt;&gt;"",EDATE($D43,Milestones!$AA$181)&gt;=$Z43),$AC43,IF(AND($Y43&lt;&gt;"",EDATE($D43,Milestones!$AA$181)&gt;=$Y43),$AB43,$AA43)))=Milestones!$AB$181),UPPER(TEXT(EDATE($D43,Milestones!$AA$181),"dd mmm yy"))&amp;" "&amp;Milestones!$AB$181&amp;" "&amp;IF(AND(Milestones!$AB$181="FT",Milestones!$AA$181=FT_Y5,EDATE($D43,Milestones!$AA$181)&lt;PolicyEff),1,Milestones!$AC$181)&amp;";  ","")&amp;IF(AND(EDATE($D43,Milestones!$AA$182)&lt;=AsOfDate,EDATE($D43,Milestones!$AA$182)&gt;=SchemeStart,IF($X43=0,$AD43,IF(AND($Z43&lt;&gt;"",EDATE($D43,Milestones!$AA$182)&gt;=$Z43),$AC43,IF(AND($Y43&lt;&gt;"",EDATE($D43,Milestones!$AA$182)&gt;=$Y43),$AB43,$AA43)))=Milestones!$AB$182),UPPER(TEXT(EDATE($D43,Milestones!$AA$182),"dd mmm yy"))&amp;" "&amp;Milestones!$AB$182&amp;" "&amp;IF(AND(Milestones!$AB$182="FT",Milestones!$AA$182=FT_Y5,EDATE($D43,Milestones!$AA$182)&lt;PolicyEff),1,Milestones!$AC$182)&amp;";  ","")&amp;IF(AND(EDATE($D43,Milestones!$AA$183)&lt;=AsOfDate,EDATE($D43,Milestones!$AA$183)&gt;=SchemeStart,IF($X43=0,$AD43,IF(AND($Z43&lt;&gt;"",EDATE($D43,Milestones!$AA$183)&gt;=$Z43),$AC43,IF(AND($Y43&lt;&gt;"",EDATE($D43,Milestones!$AA$183)&gt;=$Y43),$AB43,$AA43)))=Milestones!$AB$183),UPPER(TEXT(EDATE($D43,Milestones!$AA$183),"dd mmm yy"))&amp;" "&amp;Milestones!$AB$183&amp;" "&amp;IF(AND(Milestones!$AB$183="FT",Milestones!$AA$183=FT_Y5,EDATE($D43,Milestones!$AA$183)&lt;PolicyEff),1,Milestones!$AC$183)&amp;";  ","")&amp;IF(AND(EDATE($D43,Milestones!$AA$184)&lt;=AsOfDate,EDATE($D43,Milestones!$AA$184)&gt;=SchemeStart,IF($X43=0,$AD43,IF(AND($Z43&lt;&gt;"",EDATE($D43,Milestones!$AA$184)&gt;=$Z43),$AC43,IF(AND($Y43&lt;&gt;"",EDATE($D43,Milestones!$AA$184)&gt;=$Y43),$AB43,$AA43)))=Milestones!$AB$184),UPPER(TEXT(EDATE($D43,Milestones!$AA$184),"dd mmm yy"))&amp;" "&amp;Milestones!$AB$184&amp;" "&amp;IF(AND(Milestones!$AB$184="FT",Milestones!$AA$184=FT_Y5,EDATE($D43,Milestones!$AA$184)&lt;PolicyEff),1,Milestones!$AC$184)&amp;";  ","")&amp;IF(AND(EDATE($D43,Milestones!$AA$185)&lt;=AsOfDate,EDATE($D43,Milestones!$AA$185)&gt;=SchemeStart,IF($X43=0,$AD43,IF(AND($Z43&lt;&gt;"",EDATE($D43,Milestones!$AA$185)&gt;=$Z43),$AC43,IF(AND($Y43&lt;&gt;"",EDATE($D43,Milestones!$AA$185)&gt;=$Y43),$AB43,$AA43)))=Milestones!$AB$185),UPPER(TEXT(EDATE($D43,Milestones!$AA$185),"dd mmm yy"))&amp;" "&amp;Milestones!$AB$185&amp;" "&amp;IF(AND(Milestones!$AB$185="FT",Milestones!$AA$185=FT_Y5,EDATE($D43,Milestones!$AA$185)&lt;PolicyEff),1,Milestones!$AC$185)&amp;";  ","")&amp;IF(AND(EDATE($D43,Milestones!$AA$186)&lt;=AsOfDate,EDATE($D43,Milestones!$AA$186)&gt;=SchemeStart,IF($X43=0,$AD43,IF(AND($Z43&lt;&gt;"",EDATE($D43,Milestones!$AA$186)&gt;=$Z43),$AC43,IF(AND($Y43&lt;&gt;"",EDATE($D43,Milestones!$AA$186)&gt;=$Y43),$AB43,$AA43)))=Milestones!$AB$186),UPPER(TEXT(EDATE($D43,Milestones!$AA$186),"dd mmm yy"))&amp;" "&amp;Milestones!$AB$186&amp;" "&amp;IF(AND(Milestones!$AB$186="FT",Milestones!$AA$186=FT_Y5,EDATE($D43,Milestones!$AA$186)&lt;PolicyEff),1,Milestones!$AC$186)&amp;";  ","")&amp;IF(AND(EDATE($D43,Milestones!$AA$187)&lt;=AsOfDate,EDATE($D43,Milestones!$AA$187)&gt;=SchemeStart,IF($X43=0,$AD43,IF(AND($Z43&lt;&gt;"",EDATE($D43,Milestones!$AA$187)&gt;=$Z43),$AC43,IF(AND($Y43&lt;&gt;"",EDATE($D43,Milestones!$AA$187)&gt;=$Y43),$AB43,$AA43)))=Milestones!$AB$187),UPPER(TEXT(EDATE($D43,Milestones!$AA$187),"dd mmm yy"))&amp;" "&amp;Milestones!$AB$187&amp;" "&amp;IF(AND(Milestones!$AB$187="FT",Milestones!$AA$187=FT_Y5,EDATE($D43,Milestones!$AA$187)&lt;PolicyEff),1,Milestones!$AC$187)&amp;";  ",""))</f>
        <v/>
      </c>
      <c r="W43" s="0" t="str">
        <f aca="false">IF(OR($A43="",$D43=""),"",IF(AND(EDATE($D43,Milestones!$AA$188)&lt;=AsOfDate,EDATE($D43,Milestones!$AA$188)&gt;=SchemeStart,IF($X43=0,$AD43,IF(AND($Z43&lt;&gt;"",EDATE($D43,Milestones!$AA$188)&gt;=$Z43),$AC43,IF(AND($Y43&lt;&gt;"",EDATE($D43,Milestones!$AA$188)&gt;=$Y43),$AB43,$AA43)))=Milestones!$AB$188),UPPER(TEXT(EDATE($D43,Milestones!$AA$188),"dd mmm yy"))&amp;" "&amp;Milestones!$AB$188&amp;" "&amp;IF(AND(Milestones!$AB$188="FT",Milestones!$AA$188=FT_Y5,EDATE($D43,Milestones!$AA$188)&lt;PolicyEff),1,Milestones!$AC$188)&amp;";  ","")&amp;IF(AND(EDATE($D43,Milestones!$AA$189)&lt;=AsOfDate,EDATE($D43,Milestones!$AA$189)&gt;=SchemeStart,IF($X43=0,$AD43,IF(AND($Z43&lt;&gt;"",EDATE($D43,Milestones!$AA$189)&gt;=$Z43),$AC43,IF(AND($Y43&lt;&gt;"",EDATE($D43,Milestones!$AA$189)&gt;=$Y43),$AB43,$AA43)))=Milestones!$AB$189),UPPER(TEXT(EDATE($D43,Milestones!$AA$189),"dd mmm yy"))&amp;" "&amp;Milestones!$AB$189&amp;" "&amp;IF(AND(Milestones!$AB$189="FT",Milestones!$AA$189=FT_Y5,EDATE($D43,Milestones!$AA$189)&lt;PolicyEff),1,Milestones!$AC$189)&amp;";  ","")&amp;IF(AND(EDATE($D43,Milestones!$AA$190)&lt;=AsOfDate,EDATE($D43,Milestones!$AA$190)&gt;=SchemeStart,IF($X43=0,$AD43,IF(AND($Z43&lt;&gt;"",EDATE($D43,Milestones!$AA$190)&gt;=$Z43),$AC43,IF(AND($Y43&lt;&gt;"",EDATE($D43,Milestones!$AA$190)&gt;=$Y43),$AB43,$AA43)))=Milestones!$AB$190),UPPER(TEXT(EDATE($D43,Milestones!$AA$190),"dd mmm yy"))&amp;" "&amp;Milestones!$AB$190&amp;" "&amp;IF(AND(Milestones!$AB$190="FT",Milestones!$AA$190=FT_Y5,EDATE($D43,Milestones!$AA$190)&lt;PolicyEff),1,Milestones!$AC$190)&amp;";  ","")&amp;IF(AND(EDATE($D43,Milestones!$AA$191)&lt;=AsOfDate,EDATE($D43,Milestones!$AA$191)&gt;=SchemeStart,IF($X43=0,$AD43,IF(AND($Z43&lt;&gt;"",EDATE($D43,Milestones!$AA$191)&gt;=$Z43),$AC43,IF(AND($Y43&lt;&gt;"",EDATE($D43,Milestones!$AA$191)&gt;=$Y43),$AB43,$AA43)))=Milestones!$AB$191),UPPER(TEXT(EDATE($D43,Milestones!$AA$191),"dd mmm yy"))&amp;" "&amp;Milestones!$AB$191&amp;" "&amp;IF(AND(Milestones!$AB$191="FT",Milestones!$AA$191=FT_Y5,EDATE($D43,Milestones!$AA$191)&lt;PolicyEff),1,Milestones!$AC$191)&amp;";  ","")&amp;IF(AND(EDATE($D43,Milestones!$AA$192)&lt;=AsOfDate,EDATE($D43,Milestones!$AA$192)&gt;=SchemeStart,IF($X43=0,$AD43,IF(AND($Z43&lt;&gt;"",EDATE($D43,Milestones!$AA$192)&gt;=$Z43),$AC43,IF(AND($Y43&lt;&gt;"",EDATE($D43,Milestones!$AA$192)&gt;=$Y43),$AB43,$AA43)))=Milestones!$AB$192),UPPER(TEXT(EDATE($D43,Milestones!$AA$192),"dd mmm yy"))&amp;" "&amp;Milestones!$AB$192&amp;" "&amp;IF(AND(Milestones!$AB$192="FT",Milestones!$AA$192=FT_Y5,EDATE($D43,Milestones!$AA$192)&lt;PolicyEff),1,Milestones!$AC$192)&amp;";  ","")&amp;IF(AND(EDATE($D43,Milestones!$AA$193)&lt;=AsOfDate,EDATE($D43,Milestones!$AA$193)&gt;=SchemeStart,IF($X43=0,$AD43,IF(AND($Z43&lt;&gt;"",EDATE($D43,Milestones!$AA$193)&gt;=$Z43),$AC43,IF(AND($Y43&lt;&gt;"",EDATE($D43,Milestones!$AA$193)&gt;=$Y43),$AB43,$AA43)))=Milestones!$AB$193),UPPER(TEXT(EDATE($D43,Milestones!$AA$193),"dd mmm yy"))&amp;" "&amp;Milestones!$AB$193&amp;" "&amp;IF(AND(Milestones!$AB$193="FT",Milestones!$AA$193=FT_Y5,EDATE($D43,Milestones!$AA$193)&lt;PolicyEff),1,Milestones!$AC$193)&amp;";  ","")&amp;IF(AND(EDATE($D43,Milestones!$AA$194)&lt;=AsOfDate,EDATE($D43,Milestones!$AA$194)&gt;=SchemeStart,IF($X43=0,$AD43,IF(AND($Z43&lt;&gt;"",EDATE($D43,Milestones!$AA$194)&gt;=$Z43),$AC43,IF(AND($Y43&lt;&gt;"",EDATE($D43,Milestones!$AA$194)&gt;=$Y43),$AB43,$AA43)))=Milestones!$AB$194),UPPER(TEXT(EDATE($D43,Milestones!$AA$194),"dd mmm yy"))&amp;" "&amp;Milestones!$AB$194&amp;" "&amp;IF(AND(Milestones!$AB$194="FT",Milestones!$AA$194=FT_Y5,EDATE($D43,Milestones!$AA$194)&lt;PolicyEff),1,Milestones!$AC$194)&amp;";  ","")&amp;IF(AND(EDATE($D43,Milestones!$AA$195)&lt;=AsOfDate,EDATE($D43,Milestones!$AA$195)&gt;=SchemeStart,IF($X43=0,$AD43,IF(AND($Z43&lt;&gt;"",EDATE($D43,Milestones!$AA$195)&gt;=$Z43),$AC43,IF(AND($Y43&lt;&gt;"",EDATE($D43,Milestones!$AA$195)&gt;=$Y43),$AB43,$AA43)))=Milestones!$AB$195),UPPER(TEXT(EDATE($D43,Milestones!$AA$195),"dd mmm yy"))&amp;" "&amp;Milestones!$AB$195&amp;" "&amp;IF(AND(Milestones!$AB$195="FT",Milestones!$AA$195=FT_Y5,EDATE($D43,Milestones!$AA$195)&lt;PolicyEff),1,Milestones!$AC$195)&amp;";  ","")&amp;IF(AND(EDATE($D43,Milestones!$AA$196)&lt;=AsOfDate,EDATE($D43,Milestones!$AA$196)&gt;=SchemeStart,IF($X43=0,$AD43,IF(AND($Z43&lt;&gt;"",EDATE($D43,Milestones!$AA$196)&gt;=$Z43),$AC43,IF(AND($Y43&lt;&gt;"",EDATE($D43,Milestones!$AA$196)&gt;=$Y43),$AB43,$AA43)))=Milestones!$AB$196),UPPER(TEXT(EDATE($D43,Milestones!$AA$196),"dd mmm yy"))&amp;" "&amp;Milestones!$AB$196&amp;" "&amp;IF(AND(Milestones!$AB$196="FT",Milestones!$AA$196=FT_Y5,EDATE($D43,Milestones!$AA$196)&lt;PolicyEff),1,Milestones!$AC$196)&amp;";  ","")&amp;IF(AND(EDATE($D43,Milestones!$AA$197)&lt;=AsOfDate,EDATE($D43,Milestones!$AA$197)&gt;=SchemeStart,IF($X43=0,$AD43,IF(AND($Z43&lt;&gt;"",EDATE($D43,Milestones!$AA$197)&gt;=$Z43),$AC43,IF(AND($Y43&lt;&gt;"",EDATE($D43,Milestones!$AA$197)&gt;=$Y43),$AB43,$AA43)))=Milestones!$AB$197),UPPER(TEXT(EDATE($D43,Milestones!$AA$197),"dd mmm yy"))&amp;" "&amp;Milestones!$AB$197&amp;" "&amp;IF(AND(Milestones!$AB$197="FT",Milestones!$AA$197=FT_Y5,EDATE($D43,Milestones!$AA$197)&lt;PolicyEff),1,Milestones!$AC$197)&amp;";  ","")&amp;IF(AND(EDATE($D43,Milestones!$AA$198)&lt;=AsOfDate,EDATE($D43,Milestones!$AA$198)&gt;=SchemeStart,IF($X43=0,$AD43,IF(AND($Z43&lt;&gt;"",EDATE($D43,Milestones!$AA$198)&gt;=$Z43),$AC43,IF(AND($Y43&lt;&gt;"",EDATE($D43,Milestones!$AA$198)&gt;=$Y43),$AB43,$AA43)))=Milestones!$AB$198),UPPER(TEXT(EDATE($D43,Milestones!$AA$198),"dd mmm yy"))&amp;" "&amp;Milestones!$AB$198&amp;" "&amp;IF(AND(Milestones!$AB$198="FT",Milestones!$AA$198=FT_Y5,EDATE($D43,Milestones!$AA$198)&lt;PolicyEff),1,Milestones!$AC$198)&amp;";  ","")&amp;IF(AND(EDATE($D43,Milestones!$AA$199)&lt;=AsOfDate,EDATE($D43,Milestones!$AA$199)&gt;=SchemeStart,IF($X43=0,$AD43,IF(AND($Z43&lt;&gt;"",EDATE($D43,Milestones!$AA$199)&gt;=$Z43),$AC43,IF(AND($Y43&lt;&gt;"",EDATE($D43,Milestones!$AA$199)&gt;=$Y43),$AB43,$AA43)))=Milestones!$AB$199),UPPER(TEXT(EDATE($D43,Milestones!$AA$199),"dd mmm yy"))&amp;" "&amp;Milestones!$AB$199&amp;" "&amp;IF(AND(Milestones!$AB$199="FT",Milestones!$AA$199=FT_Y5,EDATE($D43,Milestones!$AA$199)&lt;PolicyEff),1,Milestones!$AC$199)&amp;";  ",""))</f>
        <v/>
      </c>
      <c r="X43" s="0" t="str">
        <f aca="false">IF(Staff!$A43="","",Staff!$AM43)</f>
        <v/>
      </c>
      <c r="Y43" s="0" t="str">
        <f aca="false">IF(Staff!$A43="","",Staff!$AO43)</f>
        <v/>
      </c>
      <c r="Z43" s="0" t="str">
        <f aca="false">IF(Staff!$A43="","",Staff!$AP43)</f>
        <v/>
      </c>
      <c r="AA43" s="0" t="str">
        <f aca="false">IF(Staff!$A43="","",Staff!$AT43)</f>
        <v/>
      </c>
      <c r="AB43" s="0" t="str">
        <f aca="false">IF(Staff!$A43="","",Staff!$AU43)</f>
        <v/>
      </c>
      <c r="AC43" s="0" t="str">
        <f aca="false">IF(Staff!$A43="","",Staff!$AV43)</f>
        <v/>
      </c>
      <c r="AD43" s="0" t="str">
        <f aca="false">IF(Staff!$A43="","",Staff!$AW43)</f>
        <v/>
      </c>
    </row>
    <row r="44" customFormat="false" ht="15" hidden="false" customHeight="false" outlineLevel="0" collapsed="false">
      <c r="A44" s="16" t="str">
        <f aca="false">IF(Staff!$A44="","",Staff!$A44)</f>
        <v/>
      </c>
      <c r="B44" s="16" t="str">
        <f aca="false">IF(Staff!$A44="","",Staff!$B44)</f>
        <v/>
      </c>
      <c r="C44" s="16" t="str">
        <f aca="false">IF(Staff!$A44="","",Staff!$C44)</f>
        <v/>
      </c>
      <c r="D44" s="14" t="str">
        <f aca="false">IF(Staff!$A44="","",Staff!$AL44)</f>
        <v/>
      </c>
      <c r="E44" s="16" t="str">
        <f aca="false">IF(Staff!$A44="","",Staff!$O44)</f>
        <v/>
      </c>
      <c r="F44" s="16" t="str">
        <f aca="false">IF(E44="","",E44*HoursPerDay)</f>
        <v/>
      </c>
      <c r="G44" s="16" t="str">
        <f aca="false">IF(Staff!$A44="","",Staff!$AE44)</f>
        <v/>
      </c>
      <c r="H44" s="28" t="str">
        <f aca="false">IF($A44="","",I44&amp;J44&amp;K44&amp;L44&amp;M44&amp;N44&amp;O44&amp;P44&amp;Q44&amp;R44&amp;S44&amp;T44&amp;U44&amp;V44&amp;W44)</f>
        <v/>
      </c>
      <c r="I44" s="0" t="str">
        <f aca="false">IF(OR($A44="",$D44=""),"",IF(AND(EDATE($D44,Milestones!$AA$20)&lt;=AsOfDate,EDATE($D44,Milestones!$AA$20)&gt;=SchemeStart,IF($X44=0,$AD44,IF(AND($Z44&lt;&gt;"",EDATE($D44,Milestones!$AA$20)&gt;=$Z44),$AC44,IF(AND($Y44&lt;&gt;"",EDATE($D44,Milestones!$AA$20)&gt;=$Y44),$AB44,$AA44)))=Milestones!$AB$20),UPPER(TEXT(EDATE($D44,Milestones!$AA$20),"dd mmm yy"))&amp;" "&amp;Milestones!$AB$20&amp;" "&amp;IF(AND(Milestones!$AB$20="FT",Milestones!$AA$20=FT_Y5,EDATE($D44,Milestones!$AA$20)&lt;PolicyEff),1,Milestones!$AC$20)&amp;";  ","")&amp;IF(AND(EDATE($D44,Milestones!$AA$21)&lt;=AsOfDate,EDATE($D44,Milestones!$AA$21)&gt;=SchemeStart,IF($X44=0,$AD44,IF(AND($Z44&lt;&gt;"",EDATE($D44,Milestones!$AA$21)&gt;=$Z44),$AC44,IF(AND($Y44&lt;&gt;"",EDATE($D44,Milestones!$AA$21)&gt;=$Y44),$AB44,$AA44)))=Milestones!$AB$21),UPPER(TEXT(EDATE($D44,Milestones!$AA$21),"dd mmm yy"))&amp;" "&amp;Milestones!$AB$21&amp;" "&amp;IF(AND(Milestones!$AB$21="FT",Milestones!$AA$21=FT_Y5,EDATE($D44,Milestones!$AA$21)&lt;PolicyEff),1,Milestones!$AC$21)&amp;";  ","")&amp;IF(AND(EDATE($D44,Milestones!$AA$22)&lt;=AsOfDate,EDATE($D44,Milestones!$AA$22)&gt;=SchemeStart,IF($X44=0,$AD44,IF(AND($Z44&lt;&gt;"",EDATE($D44,Milestones!$AA$22)&gt;=$Z44),$AC44,IF(AND($Y44&lt;&gt;"",EDATE($D44,Milestones!$AA$22)&gt;=$Y44),$AB44,$AA44)))=Milestones!$AB$22),UPPER(TEXT(EDATE($D44,Milestones!$AA$22),"dd mmm yy"))&amp;" "&amp;Milestones!$AB$22&amp;" "&amp;IF(AND(Milestones!$AB$22="FT",Milestones!$AA$22=FT_Y5,EDATE($D44,Milestones!$AA$22)&lt;PolicyEff),1,Milestones!$AC$22)&amp;";  ","")&amp;IF(AND(EDATE($D44,Milestones!$AA$23)&lt;=AsOfDate,EDATE($D44,Milestones!$AA$23)&gt;=SchemeStart,IF($X44=0,$AD44,IF(AND($Z44&lt;&gt;"",EDATE($D44,Milestones!$AA$23)&gt;=$Z44),$AC44,IF(AND($Y44&lt;&gt;"",EDATE($D44,Milestones!$AA$23)&gt;=$Y44),$AB44,$AA44)))=Milestones!$AB$23),UPPER(TEXT(EDATE($D44,Milestones!$AA$23),"dd mmm yy"))&amp;" "&amp;Milestones!$AB$23&amp;" "&amp;IF(AND(Milestones!$AB$23="FT",Milestones!$AA$23=FT_Y5,EDATE($D44,Milestones!$AA$23)&lt;PolicyEff),1,Milestones!$AC$23)&amp;";  ","")&amp;IF(AND(EDATE($D44,Milestones!$AA$24)&lt;=AsOfDate,EDATE($D44,Milestones!$AA$24)&gt;=SchemeStart,IF($X44=0,$AD44,IF(AND($Z44&lt;&gt;"",EDATE($D44,Milestones!$AA$24)&gt;=$Z44),$AC44,IF(AND($Y44&lt;&gt;"",EDATE($D44,Milestones!$AA$24)&gt;=$Y44),$AB44,$AA44)))=Milestones!$AB$24),UPPER(TEXT(EDATE($D44,Milestones!$AA$24),"dd mmm yy"))&amp;" "&amp;Milestones!$AB$24&amp;" "&amp;IF(AND(Milestones!$AB$24="FT",Milestones!$AA$24=FT_Y5,EDATE($D44,Milestones!$AA$24)&lt;PolicyEff),1,Milestones!$AC$24)&amp;";  ","")&amp;IF(AND(EDATE($D44,Milestones!$AA$25)&lt;=AsOfDate,EDATE($D44,Milestones!$AA$25)&gt;=SchemeStart,IF($X44=0,$AD44,IF(AND($Z44&lt;&gt;"",EDATE($D44,Milestones!$AA$25)&gt;=$Z44),$AC44,IF(AND($Y44&lt;&gt;"",EDATE($D44,Milestones!$AA$25)&gt;=$Y44),$AB44,$AA44)))=Milestones!$AB$25),UPPER(TEXT(EDATE($D44,Milestones!$AA$25),"dd mmm yy"))&amp;" "&amp;Milestones!$AB$25&amp;" "&amp;IF(AND(Milestones!$AB$25="FT",Milestones!$AA$25=FT_Y5,EDATE($D44,Milestones!$AA$25)&lt;PolicyEff),1,Milestones!$AC$25)&amp;";  ","")&amp;IF(AND(EDATE($D44,Milestones!$AA$26)&lt;=AsOfDate,EDATE($D44,Milestones!$AA$26)&gt;=SchemeStart,IF($X44=0,$AD44,IF(AND($Z44&lt;&gt;"",EDATE($D44,Milestones!$AA$26)&gt;=$Z44),$AC44,IF(AND($Y44&lt;&gt;"",EDATE($D44,Milestones!$AA$26)&gt;=$Y44),$AB44,$AA44)))=Milestones!$AB$26),UPPER(TEXT(EDATE($D44,Milestones!$AA$26),"dd mmm yy"))&amp;" "&amp;Milestones!$AB$26&amp;" "&amp;IF(AND(Milestones!$AB$26="FT",Milestones!$AA$26=FT_Y5,EDATE($D44,Milestones!$AA$26)&lt;PolicyEff),1,Milestones!$AC$26)&amp;";  ","")&amp;IF(AND(EDATE($D44,Milestones!$AA$27)&lt;=AsOfDate,EDATE($D44,Milestones!$AA$27)&gt;=SchemeStart,IF($X44=0,$AD44,IF(AND($Z44&lt;&gt;"",EDATE($D44,Milestones!$AA$27)&gt;=$Z44),$AC44,IF(AND($Y44&lt;&gt;"",EDATE($D44,Milestones!$AA$27)&gt;=$Y44),$AB44,$AA44)))=Milestones!$AB$27),UPPER(TEXT(EDATE($D44,Milestones!$AA$27),"dd mmm yy"))&amp;" "&amp;Milestones!$AB$27&amp;" "&amp;IF(AND(Milestones!$AB$27="FT",Milestones!$AA$27=FT_Y5,EDATE($D44,Milestones!$AA$27)&lt;PolicyEff),1,Milestones!$AC$27)&amp;";  ","")&amp;IF(AND(EDATE($D44,Milestones!$AA$28)&lt;=AsOfDate,EDATE($D44,Milestones!$AA$28)&gt;=SchemeStart,IF($X44=0,$AD44,IF(AND($Z44&lt;&gt;"",EDATE($D44,Milestones!$AA$28)&gt;=$Z44),$AC44,IF(AND($Y44&lt;&gt;"",EDATE($D44,Milestones!$AA$28)&gt;=$Y44),$AB44,$AA44)))=Milestones!$AB$28),UPPER(TEXT(EDATE($D44,Milestones!$AA$28),"dd mmm yy"))&amp;" "&amp;Milestones!$AB$28&amp;" "&amp;IF(AND(Milestones!$AB$28="FT",Milestones!$AA$28=FT_Y5,EDATE($D44,Milestones!$AA$28)&lt;PolicyEff),1,Milestones!$AC$28)&amp;";  ","")&amp;IF(AND(EDATE($D44,Milestones!$AA$29)&lt;=AsOfDate,EDATE($D44,Milestones!$AA$29)&gt;=SchemeStart,IF($X44=0,$AD44,IF(AND($Z44&lt;&gt;"",EDATE($D44,Milestones!$AA$29)&gt;=$Z44),$AC44,IF(AND($Y44&lt;&gt;"",EDATE($D44,Milestones!$AA$29)&gt;=$Y44),$AB44,$AA44)))=Milestones!$AB$29),UPPER(TEXT(EDATE($D44,Milestones!$AA$29),"dd mmm yy"))&amp;" "&amp;Milestones!$AB$29&amp;" "&amp;IF(AND(Milestones!$AB$29="FT",Milestones!$AA$29=FT_Y5,EDATE($D44,Milestones!$AA$29)&lt;PolicyEff),1,Milestones!$AC$29)&amp;";  ","")&amp;IF(AND(EDATE($D44,Milestones!$AA$30)&lt;=AsOfDate,EDATE($D44,Milestones!$AA$30)&gt;=SchemeStart,IF($X44=0,$AD44,IF(AND($Z44&lt;&gt;"",EDATE($D44,Milestones!$AA$30)&gt;=$Z44),$AC44,IF(AND($Y44&lt;&gt;"",EDATE($D44,Milestones!$AA$30)&gt;=$Y44),$AB44,$AA44)))=Milestones!$AB$30),UPPER(TEXT(EDATE($D44,Milestones!$AA$30),"dd mmm yy"))&amp;" "&amp;Milestones!$AB$30&amp;" "&amp;IF(AND(Milestones!$AB$30="FT",Milestones!$AA$30=FT_Y5,EDATE($D44,Milestones!$AA$30)&lt;PolicyEff),1,Milestones!$AC$30)&amp;";  ","")&amp;IF(AND(EDATE($D44,Milestones!$AA$31)&lt;=AsOfDate,EDATE($D44,Milestones!$AA$31)&gt;=SchemeStart,IF($X44=0,$AD44,IF(AND($Z44&lt;&gt;"",EDATE($D44,Milestones!$AA$31)&gt;=$Z44),$AC44,IF(AND($Y44&lt;&gt;"",EDATE($D44,Milestones!$AA$31)&gt;=$Y44),$AB44,$AA44)))=Milestones!$AB$31),UPPER(TEXT(EDATE($D44,Milestones!$AA$31),"dd mmm yy"))&amp;" "&amp;Milestones!$AB$31&amp;" "&amp;IF(AND(Milestones!$AB$31="FT",Milestones!$AA$31=FT_Y5,EDATE($D44,Milestones!$AA$31)&lt;PolicyEff),1,Milestones!$AC$31)&amp;";  ",""))</f>
        <v/>
      </c>
      <c r="J44" s="0" t="str">
        <f aca="false">IF(OR($A44="",$D44=""),"",IF(AND(EDATE($D44,Milestones!$AA$32)&lt;=AsOfDate,EDATE($D44,Milestones!$AA$32)&gt;=SchemeStart,IF($X44=0,$AD44,IF(AND($Z44&lt;&gt;"",EDATE($D44,Milestones!$AA$32)&gt;=$Z44),$AC44,IF(AND($Y44&lt;&gt;"",EDATE($D44,Milestones!$AA$32)&gt;=$Y44),$AB44,$AA44)))=Milestones!$AB$32),UPPER(TEXT(EDATE($D44,Milestones!$AA$32),"dd mmm yy"))&amp;" "&amp;Milestones!$AB$32&amp;" "&amp;IF(AND(Milestones!$AB$32="FT",Milestones!$AA$32=FT_Y5,EDATE($D44,Milestones!$AA$32)&lt;PolicyEff),1,Milestones!$AC$32)&amp;";  ","")&amp;IF(AND(EDATE($D44,Milestones!$AA$33)&lt;=AsOfDate,EDATE($D44,Milestones!$AA$33)&gt;=SchemeStart,IF($X44=0,$AD44,IF(AND($Z44&lt;&gt;"",EDATE($D44,Milestones!$AA$33)&gt;=$Z44),$AC44,IF(AND($Y44&lt;&gt;"",EDATE($D44,Milestones!$AA$33)&gt;=$Y44),$AB44,$AA44)))=Milestones!$AB$33),UPPER(TEXT(EDATE($D44,Milestones!$AA$33),"dd mmm yy"))&amp;" "&amp;Milestones!$AB$33&amp;" "&amp;IF(AND(Milestones!$AB$33="FT",Milestones!$AA$33=FT_Y5,EDATE($D44,Milestones!$AA$33)&lt;PolicyEff),1,Milestones!$AC$33)&amp;";  ","")&amp;IF(AND(EDATE($D44,Milestones!$AA$34)&lt;=AsOfDate,EDATE($D44,Milestones!$AA$34)&gt;=SchemeStart,IF($X44=0,$AD44,IF(AND($Z44&lt;&gt;"",EDATE($D44,Milestones!$AA$34)&gt;=$Z44),$AC44,IF(AND($Y44&lt;&gt;"",EDATE($D44,Milestones!$AA$34)&gt;=$Y44),$AB44,$AA44)))=Milestones!$AB$34),UPPER(TEXT(EDATE($D44,Milestones!$AA$34),"dd mmm yy"))&amp;" "&amp;Milestones!$AB$34&amp;" "&amp;IF(AND(Milestones!$AB$34="FT",Milestones!$AA$34=FT_Y5,EDATE($D44,Milestones!$AA$34)&lt;PolicyEff),1,Milestones!$AC$34)&amp;";  ","")&amp;IF(AND(EDATE($D44,Milestones!$AA$35)&lt;=AsOfDate,EDATE($D44,Milestones!$AA$35)&gt;=SchemeStart,IF($X44=0,$AD44,IF(AND($Z44&lt;&gt;"",EDATE($D44,Milestones!$AA$35)&gt;=$Z44),$AC44,IF(AND($Y44&lt;&gt;"",EDATE($D44,Milestones!$AA$35)&gt;=$Y44),$AB44,$AA44)))=Milestones!$AB$35),UPPER(TEXT(EDATE($D44,Milestones!$AA$35),"dd mmm yy"))&amp;" "&amp;Milestones!$AB$35&amp;" "&amp;IF(AND(Milestones!$AB$35="FT",Milestones!$AA$35=FT_Y5,EDATE($D44,Milestones!$AA$35)&lt;PolicyEff),1,Milestones!$AC$35)&amp;";  ","")&amp;IF(AND(EDATE($D44,Milestones!$AA$36)&lt;=AsOfDate,EDATE($D44,Milestones!$AA$36)&gt;=SchemeStart,IF($X44=0,$AD44,IF(AND($Z44&lt;&gt;"",EDATE($D44,Milestones!$AA$36)&gt;=$Z44),$AC44,IF(AND($Y44&lt;&gt;"",EDATE($D44,Milestones!$AA$36)&gt;=$Y44),$AB44,$AA44)))=Milestones!$AB$36),UPPER(TEXT(EDATE($D44,Milestones!$AA$36),"dd mmm yy"))&amp;" "&amp;Milestones!$AB$36&amp;" "&amp;IF(AND(Milestones!$AB$36="FT",Milestones!$AA$36=FT_Y5,EDATE($D44,Milestones!$AA$36)&lt;PolicyEff),1,Milestones!$AC$36)&amp;";  ","")&amp;IF(AND(EDATE($D44,Milestones!$AA$37)&lt;=AsOfDate,EDATE($D44,Milestones!$AA$37)&gt;=SchemeStart,IF($X44=0,$AD44,IF(AND($Z44&lt;&gt;"",EDATE($D44,Milestones!$AA$37)&gt;=$Z44),$AC44,IF(AND($Y44&lt;&gt;"",EDATE($D44,Milestones!$AA$37)&gt;=$Y44),$AB44,$AA44)))=Milestones!$AB$37),UPPER(TEXT(EDATE($D44,Milestones!$AA$37),"dd mmm yy"))&amp;" "&amp;Milestones!$AB$37&amp;" "&amp;IF(AND(Milestones!$AB$37="FT",Milestones!$AA$37=FT_Y5,EDATE($D44,Milestones!$AA$37)&lt;PolicyEff),1,Milestones!$AC$37)&amp;";  ","")&amp;IF(AND(EDATE($D44,Milestones!$AA$38)&lt;=AsOfDate,EDATE($D44,Milestones!$AA$38)&gt;=SchemeStart,IF($X44=0,$AD44,IF(AND($Z44&lt;&gt;"",EDATE($D44,Milestones!$AA$38)&gt;=$Z44),$AC44,IF(AND($Y44&lt;&gt;"",EDATE($D44,Milestones!$AA$38)&gt;=$Y44),$AB44,$AA44)))=Milestones!$AB$38),UPPER(TEXT(EDATE($D44,Milestones!$AA$38),"dd mmm yy"))&amp;" "&amp;Milestones!$AB$38&amp;" "&amp;IF(AND(Milestones!$AB$38="FT",Milestones!$AA$38=FT_Y5,EDATE($D44,Milestones!$AA$38)&lt;PolicyEff),1,Milestones!$AC$38)&amp;";  ","")&amp;IF(AND(EDATE($D44,Milestones!$AA$39)&lt;=AsOfDate,EDATE($D44,Milestones!$AA$39)&gt;=SchemeStart,IF($X44=0,$AD44,IF(AND($Z44&lt;&gt;"",EDATE($D44,Milestones!$AA$39)&gt;=$Z44),$AC44,IF(AND($Y44&lt;&gt;"",EDATE($D44,Milestones!$AA$39)&gt;=$Y44),$AB44,$AA44)))=Milestones!$AB$39),UPPER(TEXT(EDATE($D44,Milestones!$AA$39),"dd mmm yy"))&amp;" "&amp;Milestones!$AB$39&amp;" "&amp;IF(AND(Milestones!$AB$39="FT",Milestones!$AA$39=FT_Y5,EDATE($D44,Milestones!$AA$39)&lt;PolicyEff),1,Milestones!$AC$39)&amp;";  ","")&amp;IF(AND(EDATE($D44,Milestones!$AA$40)&lt;=AsOfDate,EDATE($D44,Milestones!$AA$40)&gt;=SchemeStart,IF($X44=0,$AD44,IF(AND($Z44&lt;&gt;"",EDATE($D44,Milestones!$AA$40)&gt;=$Z44),$AC44,IF(AND($Y44&lt;&gt;"",EDATE($D44,Milestones!$AA$40)&gt;=$Y44),$AB44,$AA44)))=Milestones!$AB$40),UPPER(TEXT(EDATE($D44,Milestones!$AA$40),"dd mmm yy"))&amp;" "&amp;Milestones!$AB$40&amp;" "&amp;IF(AND(Milestones!$AB$40="FT",Milestones!$AA$40=FT_Y5,EDATE($D44,Milestones!$AA$40)&lt;PolicyEff),1,Milestones!$AC$40)&amp;";  ","")&amp;IF(AND(EDATE($D44,Milestones!$AA$41)&lt;=AsOfDate,EDATE($D44,Milestones!$AA$41)&gt;=SchemeStart,IF($X44=0,$AD44,IF(AND($Z44&lt;&gt;"",EDATE($D44,Milestones!$AA$41)&gt;=$Z44),$AC44,IF(AND($Y44&lt;&gt;"",EDATE($D44,Milestones!$AA$41)&gt;=$Y44),$AB44,$AA44)))=Milestones!$AB$41),UPPER(TEXT(EDATE($D44,Milestones!$AA$41),"dd mmm yy"))&amp;" "&amp;Milestones!$AB$41&amp;" "&amp;IF(AND(Milestones!$AB$41="FT",Milestones!$AA$41=FT_Y5,EDATE($D44,Milestones!$AA$41)&lt;PolicyEff),1,Milestones!$AC$41)&amp;";  ","")&amp;IF(AND(EDATE($D44,Milestones!$AA$42)&lt;=AsOfDate,EDATE($D44,Milestones!$AA$42)&gt;=SchemeStart,IF($X44=0,$AD44,IF(AND($Z44&lt;&gt;"",EDATE($D44,Milestones!$AA$42)&gt;=$Z44),$AC44,IF(AND($Y44&lt;&gt;"",EDATE($D44,Milestones!$AA$42)&gt;=$Y44),$AB44,$AA44)))=Milestones!$AB$42),UPPER(TEXT(EDATE($D44,Milestones!$AA$42),"dd mmm yy"))&amp;" "&amp;Milestones!$AB$42&amp;" "&amp;IF(AND(Milestones!$AB$42="FT",Milestones!$AA$42=FT_Y5,EDATE($D44,Milestones!$AA$42)&lt;PolicyEff),1,Milestones!$AC$42)&amp;";  ","")&amp;IF(AND(EDATE($D44,Milestones!$AA$43)&lt;=AsOfDate,EDATE($D44,Milestones!$AA$43)&gt;=SchemeStart,IF($X44=0,$AD44,IF(AND($Z44&lt;&gt;"",EDATE($D44,Milestones!$AA$43)&gt;=$Z44),$AC44,IF(AND($Y44&lt;&gt;"",EDATE($D44,Milestones!$AA$43)&gt;=$Y44),$AB44,$AA44)))=Milestones!$AB$43),UPPER(TEXT(EDATE($D44,Milestones!$AA$43),"dd mmm yy"))&amp;" "&amp;Milestones!$AB$43&amp;" "&amp;IF(AND(Milestones!$AB$43="FT",Milestones!$AA$43=FT_Y5,EDATE($D44,Milestones!$AA$43)&lt;PolicyEff),1,Milestones!$AC$43)&amp;";  ",""))</f>
        <v/>
      </c>
      <c r="K44" s="0" t="str">
        <f aca="false">IF(OR($A44="",$D44=""),"",IF(AND(EDATE($D44,Milestones!$AA$44)&lt;=AsOfDate,EDATE($D44,Milestones!$AA$44)&gt;=SchemeStart,IF($X44=0,$AD44,IF(AND($Z44&lt;&gt;"",EDATE($D44,Milestones!$AA$44)&gt;=$Z44),$AC44,IF(AND($Y44&lt;&gt;"",EDATE($D44,Milestones!$AA$44)&gt;=$Y44),$AB44,$AA44)))=Milestones!$AB$44),UPPER(TEXT(EDATE($D44,Milestones!$AA$44),"dd mmm yy"))&amp;" "&amp;Milestones!$AB$44&amp;" "&amp;IF(AND(Milestones!$AB$44="FT",Milestones!$AA$44=FT_Y5,EDATE($D44,Milestones!$AA$44)&lt;PolicyEff),1,Milestones!$AC$44)&amp;";  ","")&amp;IF(AND(EDATE($D44,Milestones!$AA$45)&lt;=AsOfDate,EDATE($D44,Milestones!$AA$45)&gt;=SchemeStart,IF($X44=0,$AD44,IF(AND($Z44&lt;&gt;"",EDATE($D44,Milestones!$AA$45)&gt;=$Z44),$AC44,IF(AND($Y44&lt;&gt;"",EDATE($D44,Milestones!$AA$45)&gt;=$Y44),$AB44,$AA44)))=Milestones!$AB$45),UPPER(TEXT(EDATE($D44,Milestones!$AA$45),"dd mmm yy"))&amp;" "&amp;Milestones!$AB$45&amp;" "&amp;IF(AND(Milestones!$AB$45="FT",Milestones!$AA$45=FT_Y5,EDATE($D44,Milestones!$AA$45)&lt;PolicyEff),1,Milestones!$AC$45)&amp;";  ","")&amp;IF(AND(EDATE($D44,Milestones!$AA$46)&lt;=AsOfDate,EDATE($D44,Milestones!$AA$46)&gt;=SchemeStart,IF($X44=0,$AD44,IF(AND($Z44&lt;&gt;"",EDATE($D44,Milestones!$AA$46)&gt;=$Z44),$AC44,IF(AND($Y44&lt;&gt;"",EDATE($D44,Milestones!$AA$46)&gt;=$Y44),$AB44,$AA44)))=Milestones!$AB$46),UPPER(TEXT(EDATE($D44,Milestones!$AA$46),"dd mmm yy"))&amp;" "&amp;Milestones!$AB$46&amp;" "&amp;IF(AND(Milestones!$AB$46="FT",Milestones!$AA$46=FT_Y5,EDATE($D44,Milestones!$AA$46)&lt;PolicyEff),1,Milestones!$AC$46)&amp;";  ","")&amp;IF(AND(EDATE($D44,Milestones!$AA$47)&lt;=AsOfDate,EDATE($D44,Milestones!$AA$47)&gt;=SchemeStart,IF($X44=0,$AD44,IF(AND($Z44&lt;&gt;"",EDATE($D44,Milestones!$AA$47)&gt;=$Z44),$AC44,IF(AND($Y44&lt;&gt;"",EDATE($D44,Milestones!$AA$47)&gt;=$Y44),$AB44,$AA44)))=Milestones!$AB$47),UPPER(TEXT(EDATE($D44,Milestones!$AA$47),"dd mmm yy"))&amp;" "&amp;Milestones!$AB$47&amp;" "&amp;IF(AND(Milestones!$AB$47="FT",Milestones!$AA$47=FT_Y5,EDATE($D44,Milestones!$AA$47)&lt;PolicyEff),1,Milestones!$AC$47)&amp;";  ","")&amp;IF(AND(EDATE($D44,Milestones!$AA$48)&lt;=AsOfDate,EDATE($D44,Milestones!$AA$48)&gt;=SchemeStart,IF($X44=0,$AD44,IF(AND($Z44&lt;&gt;"",EDATE($D44,Milestones!$AA$48)&gt;=$Z44),$AC44,IF(AND($Y44&lt;&gt;"",EDATE($D44,Milestones!$AA$48)&gt;=$Y44),$AB44,$AA44)))=Milestones!$AB$48),UPPER(TEXT(EDATE($D44,Milestones!$AA$48),"dd mmm yy"))&amp;" "&amp;Milestones!$AB$48&amp;" "&amp;IF(AND(Milestones!$AB$48="FT",Milestones!$AA$48=FT_Y5,EDATE($D44,Milestones!$AA$48)&lt;PolicyEff),1,Milestones!$AC$48)&amp;";  ","")&amp;IF(AND(EDATE($D44,Milestones!$AA$49)&lt;=AsOfDate,EDATE($D44,Milestones!$AA$49)&gt;=SchemeStart,IF($X44=0,$AD44,IF(AND($Z44&lt;&gt;"",EDATE($D44,Milestones!$AA$49)&gt;=$Z44),$AC44,IF(AND($Y44&lt;&gt;"",EDATE($D44,Milestones!$AA$49)&gt;=$Y44),$AB44,$AA44)))=Milestones!$AB$49),UPPER(TEXT(EDATE($D44,Milestones!$AA$49),"dd mmm yy"))&amp;" "&amp;Milestones!$AB$49&amp;" "&amp;IF(AND(Milestones!$AB$49="FT",Milestones!$AA$49=FT_Y5,EDATE($D44,Milestones!$AA$49)&lt;PolicyEff),1,Milestones!$AC$49)&amp;";  ","")&amp;IF(AND(EDATE($D44,Milestones!$AA$50)&lt;=AsOfDate,EDATE($D44,Milestones!$AA$50)&gt;=SchemeStart,IF($X44=0,$AD44,IF(AND($Z44&lt;&gt;"",EDATE($D44,Milestones!$AA$50)&gt;=$Z44),$AC44,IF(AND($Y44&lt;&gt;"",EDATE($D44,Milestones!$AA$50)&gt;=$Y44),$AB44,$AA44)))=Milestones!$AB$50),UPPER(TEXT(EDATE($D44,Milestones!$AA$50),"dd mmm yy"))&amp;" "&amp;Milestones!$AB$50&amp;" "&amp;IF(AND(Milestones!$AB$50="FT",Milestones!$AA$50=FT_Y5,EDATE($D44,Milestones!$AA$50)&lt;PolicyEff),1,Milestones!$AC$50)&amp;";  ","")&amp;IF(AND(EDATE($D44,Milestones!$AA$51)&lt;=AsOfDate,EDATE($D44,Milestones!$AA$51)&gt;=SchemeStart,IF($X44=0,$AD44,IF(AND($Z44&lt;&gt;"",EDATE($D44,Milestones!$AA$51)&gt;=$Z44),$AC44,IF(AND($Y44&lt;&gt;"",EDATE($D44,Milestones!$AA$51)&gt;=$Y44),$AB44,$AA44)))=Milestones!$AB$51),UPPER(TEXT(EDATE($D44,Milestones!$AA$51),"dd mmm yy"))&amp;" "&amp;Milestones!$AB$51&amp;" "&amp;IF(AND(Milestones!$AB$51="FT",Milestones!$AA$51=FT_Y5,EDATE($D44,Milestones!$AA$51)&lt;PolicyEff),1,Milestones!$AC$51)&amp;";  ","")&amp;IF(AND(EDATE($D44,Milestones!$AA$52)&lt;=AsOfDate,EDATE($D44,Milestones!$AA$52)&gt;=SchemeStart,IF($X44=0,$AD44,IF(AND($Z44&lt;&gt;"",EDATE($D44,Milestones!$AA$52)&gt;=$Z44),$AC44,IF(AND($Y44&lt;&gt;"",EDATE($D44,Milestones!$AA$52)&gt;=$Y44),$AB44,$AA44)))=Milestones!$AB$52),UPPER(TEXT(EDATE($D44,Milestones!$AA$52),"dd mmm yy"))&amp;" "&amp;Milestones!$AB$52&amp;" "&amp;IF(AND(Milestones!$AB$52="FT",Milestones!$AA$52=FT_Y5,EDATE($D44,Milestones!$AA$52)&lt;PolicyEff),1,Milestones!$AC$52)&amp;";  ","")&amp;IF(AND(EDATE($D44,Milestones!$AA$53)&lt;=AsOfDate,EDATE($D44,Milestones!$AA$53)&gt;=SchemeStart,IF($X44=0,$AD44,IF(AND($Z44&lt;&gt;"",EDATE($D44,Milestones!$AA$53)&gt;=$Z44),$AC44,IF(AND($Y44&lt;&gt;"",EDATE($D44,Milestones!$AA$53)&gt;=$Y44),$AB44,$AA44)))=Milestones!$AB$53),UPPER(TEXT(EDATE($D44,Milestones!$AA$53),"dd mmm yy"))&amp;" "&amp;Milestones!$AB$53&amp;" "&amp;IF(AND(Milestones!$AB$53="FT",Milestones!$AA$53=FT_Y5,EDATE($D44,Milestones!$AA$53)&lt;PolicyEff),1,Milestones!$AC$53)&amp;";  ","")&amp;IF(AND(EDATE($D44,Milestones!$AA$54)&lt;=AsOfDate,EDATE($D44,Milestones!$AA$54)&gt;=SchemeStart,IF($X44=0,$AD44,IF(AND($Z44&lt;&gt;"",EDATE($D44,Milestones!$AA$54)&gt;=$Z44),$AC44,IF(AND($Y44&lt;&gt;"",EDATE($D44,Milestones!$AA$54)&gt;=$Y44),$AB44,$AA44)))=Milestones!$AB$54),UPPER(TEXT(EDATE($D44,Milestones!$AA$54),"dd mmm yy"))&amp;" "&amp;Milestones!$AB$54&amp;" "&amp;IF(AND(Milestones!$AB$54="FT",Milestones!$AA$54=FT_Y5,EDATE($D44,Milestones!$AA$54)&lt;PolicyEff),1,Milestones!$AC$54)&amp;";  ","")&amp;IF(AND(EDATE($D44,Milestones!$AA$55)&lt;=AsOfDate,EDATE($D44,Milestones!$AA$55)&gt;=SchemeStart,IF($X44=0,$AD44,IF(AND($Z44&lt;&gt;"",EDATE($D44,Milestones!$AA$55)&gt;=$Z44),$AC44,IF(AND($Y44&lt;&gt;"",EDATE($D44,Milestones!$AA$55)&gt;=$Y44),$AB44,$AA44)))=Milestones!$AB$55),UPPER(TEXT(EDATE($D44,Milestones!$AA$55),"dd mmm yy"))&amp;" "&amp;Milestones!$AB$55&amp;" "&amp;IF(AND(Milestones!$AB$55="FT",Milestones!$AA$55=FT_Y5,EDATE($D44,Milestones!$AA$55)&lt;PolicyEff),1,Milestones!$AC$55)&amp;";  ",""))</f>
        <v/>
      </c>
      <c r="L44" s="0" t="str">
        <f aca="false">IF(OR($A44="",$D44=""),"",IF(AND(EDATE($D44,Milestones!$AA$56)&lt;=AsOfDate,EDATE($D44,Milestones!$AA$56)&gt;=SchemeStart,IF($X44=0,$AD44,IF(AND($Z44&lt;&gt;"",EDATE($D44,Milestones!$AA$56)&gt;=$Z44),$AC44,IF(AND($Y44&lt;&gt;"",EDATE($D44,Milestones!$AA$56)&gt;=$Y44),$AB44,$AA44)))=Milestones!$AB$56),UPPER(TEXT(EDATE($D44,Milestones!$AA$56),"dd mmm yy"))&amp;" "&amp;Milestones!$AB$56&amp;" "&amp;IF(AND(Milestones!$AB$56="FT",Milestones!$AA$56=FT_Y5,EDATE($D44,Milestones!$AA$56)&lt;PolicyEff),1,Milestones!$AC$56)&amp;";  ","")&amp;IF(AND(EDATE($D44,Milestones!$AA$57)&lt;=AsOfDate,EDATE($D44,Milestones!$AA$57)&gt;=SchemeStart,IF($X44=0,$AD44,IF(AND($Z44&lt;&gt;"",EDATE($D44,Milestones!$AA$57)&gt;=$Z44),$AC44,IF(AND($Y44&lt;&gt;"",EDATE($D44,Milestones!$AA$57)&gt;=$Y44),$AB44,$AA44)))=Milestones!$AB$57),UPPER(TEXT(EDATE($D44,Milestones!$AA$57),"dd mmm yy"))&amp;" "&amp;Milestones!$AB$57&amp;" "&amp;IF(AND(Milestones!$AB$57="FT",Milestones!$AA$57=FT_Y5,EDATE($D44,Milestones!$AA$57)&lt;PolicyEff),1,Milestones!$AC$57)&amp;";  ","")&amp;IF(AND(EDATE($D44,Milestones!$AA$58)&lt;=AsOfDate,EDATE($D44,Milestones!$AA$58)&gt;=SchemeStart,IF($X44=0,$AD44,IF(AND($Z44&lt;&gt;"",EDATE($D44,Milestones!$AA$58)&gt;=$Z44),$AC44,IF(AND($Y44&lt;&gt;"",EDATE($D44,Milestones!$AA$58)&gt;=$Y44),$AB44,$AA44)))=Milestones!$AB$58),UPPER(TEXT(EDATE($D44,Milestones!$AA$58),"dd mmm yy"))&amp;" "&amp;Milestones!$AB$58&amp;" "&amp;IF(AND(Milestones!$AB$58="FT",Milestones!$AA$58=FT_Y5,EDATE($D44,Milestones!$AA$58)&lt;PolicyEff),1,Milestones!$AC$58)&amp;";  ","")&amp;IF(AND(EDATE($D44,Milestones!$AA$59)&lt;=AsOfDate,EDATE($D44,Milestones!$AA$59)&gt;=SchemeStart,IF($X44=0,$AD44,IF(AND($Z44&lt;&gt;"",EDATE($D44,Milestones!$AA$59)&gt;=$Z44),$AC44,IF(AND($Y44&lt;&gt;"",EDATE($D44,Milestones!$AA$59)&gt;=$Y44),$AB44,$AA44)))=Milestones!$AB$59),UPPER(TEXT(EDATE($D44,Milestones!$AA$59),"dd mmm yy"))&amp;" "&amp;Milestones!$AB$59&amp;" "&amp;IF(AND(Milestones!$AB$59="FT",Milestones!$AA$59=FT_Y5,EDATE($D44,Milestones!$AA$59)&lt;PolicyEff),1,Milestones!$AC$59)&amp;";  ","")&amp;IF(AND(EDATE($D44,Milestones!$AA$60)&lt;=AsOfDate,EDATE($D44,Milestones!$AA$60)&gt;=SchemeStart,IF($X44=0,$AD44,IF(AND($Z44&lt;&gt;"",EDATE($D44,Milestones!$AA$60)&gt;=$Z44),$AC44,IF(AND($Y44&lt;&gt;"",EDATE($D44,Milestones!$AA$60)&gt;=$Y44),$AB44,$AA44)))=Milestones!$AB$60),UPPER(TEXT(EDATE($D44,Milestones!$AA$60),"dd mmm yy"))&amp;" "&amp;Milestones!$AB$60&amp;" "&amp;IF(AND(Milestones!$AB$60="FT",Milestones!$AA$60=FT_Y5,EDATE($D44,Milestones!$AA$60)&lt;PolicyEff),1,Milestones!$AC$60)&amp;";  ","")&amp;IF(AND(EDATE($D44,Milestones!$AA$61)&lt;=AsOfDate,EDATE($D44,Milestones!$AA$61)&gt;=SchemeStart,IF($X44=0,$AD44,IF(AND($Z44&lt;&gt;"",EDATE($D44,Milestones!$AA$61)&gt;=$Z44),$AC44,IF(AND($Y44&lt;&gt;"",EDATE($D44,Milestones!$AA$61)&gt;=$Y44),$AB44,$AA44)))=Milestones!$AB$61),UPPER(TEXT(EDATE($D44,Milestones!$AA$61),"dd mmm yy"))&amp;" "&amp;Milestones!$AB$61&amp;" "&amp;IF(AND(Milestones!$AB$61="FT",Milestones!$AA$61=FT_Y5,EDATE($D44,Milestones!$AA$61)&lt;PolicyEff),1,Milestones!$AC$61)&amp;";  ","")&amp;IF(AND(EDATE($D44,Milestones!$AA$62)&lt;=AsOfDate,EDATE($D44,Milestones!$AA$62)&gt;=SchemeStart,IF($X44=0,$AD44,IF(AND($Z44&lt;&gt;"",EDATE($D44,Milestones!$AA$62)&gt;=$Z44),$AC44,IF(AND($Y44&lt;&gt;"",EDATE($D44,Milestones!$AA$62)&gt;=$Y44),$AB44,$AA44)))=Milestones!$AB$62),UPPER(TEXT(EDATE($D44,Milestones!$AA$62),"dd mmm yy"))&amp;" "&amp;Milestones!$AB$62&amp;" "&amp;IF(AND(Milestones!$AB$62="FT",Milestones!$AA$62=FT_Y5,EDATE($D44,Milestones!$AA$62)&lt;PolicyEff),1,Milestones!$AC$62)&amp;";  ","")&amp;IF(AND(EDATE($D44,Milestones!$AA$63)&lt;=AsOfDate,EDATE($D44,Milestones!$AA$63)&gt;=SchemeStart,IF($X44=0,$AD44,IF(AND($Z44&lt;&gt;"",EDATE($D44,Milestones!$AA$63)&gt;=$Z44),$AC44,IF(AND($Y44&lt;&gt;"",EDATE($D44,Milestones!$AA$63)&gt;=$Y44),$AB44,$AA44)))=Milestones!$AB$63),UPPER(TEXT(EDATE($D44,Milestones!$AA$63),"dd mmm yy"))&amp;" "&amp;Milestones!$AB$63&amp;" "&amp;IF(AND(Milestones!$AB$63="FT",Milestones!$AA$63=FT_Y5,EDATE($D44,Milestones!$AA$63)&lt;PolicyEff),1,Milestones!$AC$63)&amp;";  ","")&amp;IF(AND(EDATE($D44,Milestones!$AA$64)&lt;=AsOfDate,EDATE($D44,Milestones!$AA$64)&gt;=SchemeStart,IF($X44=0,$AD44,IF(AND($Z44&lt;&gt;"",EDATE($D44,Milestones!$AA$64)&gt;=$Z44),$AC44,IF(AND($Y44&lt;&gt;"",EDATE($D44,Milestones!$AA$64)&gt;=$Y44),$AB44,$AA44)))=Milestones!$AB$64),UPPER(TEXT(EDATE($D44,Milestones!$AA$64),"dd mmm yy"))&amp;" "&amp;Milestones!$AB$64&amp;" "&amp;IF(AND(Milestones!$AB$64="FT",Milestones!$AA$64=FT_Y5,EDATE($D44,Milestones!$AA$64)&lt;PolicyEff),1,Milestones!$AC$64)&amp;";  ","")&amp;IF(AND(EDATE($D44,Milestones!$AA$65)&lt;=AsOfDate,EDATE($D44,Milestones!$AA$65)&gt;=SchemeStart,IF($X44=0,$AD44,IF(AND($Z44&lt;&gt;"",EDATE($D44,Milestones!$AA$65)&gt;=$Z44),$AC44,IF(AND($Y44&lt;&gt;"",EDATE($D44,Milestones!$AA$65)&gt;=$Y44),$AB44,$AA44)))=Milestones!$AB$65),UPPER(TEXT(EDATE($D44,Milestones!$AA$65),"dd mmm yy"))&amp;" "&amp;Milestones!$AB$65&amp;" "&amp;IF(AND(Milestones!$AB$65="FT",Milestones!$AA$65=FT_Y5,EDATE($D44,Milestones!$AA$65)&lt;PolicyEff),1,Milestones!$AC$65)&amp;";  ","")&amp;IF(AND(EDATE($D44,Milestones!$AA$66)&lt;=AsOfDate,EDATE($D44,Milestones!$AA$66)&gt;=SchemeStart,IF($X44=0,$AD44,IF(AND($Z44&lt;&gt;"",EDATE($D44,Milestones!$AA$66)&gt;=$Z44),$AC44,IF(AND($Y44&lt;&gt;"",EDATE($D44,Milestones!$AA$66)&gt;=$Y44),$AB44,$AA44)))=Milestones!$AB$66),UPPER(TEXT(EDATE($D44,Milestones!$AA$66),"dd mmm yy"))&amp;" "&amp;Milestones!$AB$66&amp;" "&amp;IF(AND(Milestones!$AB$66="FT",Milestones!$AA$66=FT_Y5,EDATE($D44,Milestones!$AA$66)&lt;PolicyEff),1,Milestones!$AC$66)&amp;";  ","")&amp;IF(AND(EDATE($D44,Milestones!$AA$67)&lt;=AsOfDate,EDATE($D44,Milestones!$AA$67)&gt;=SchemeStart,IF($X44=0,$AD44,IF(AND($Z44&lt;&gt;"",EDATE($D44,Milestones!$AA$67)&gt;=$Z44),$AC44,IF(AND($Y44&lt;&gt;"",EDATE($D44,Milestones!$AA$67)&gt;=$Y44),$AB44,$AA44)))=Milestones!$AB$67),UPPER(TEXT(EDATE($D44,Milestones!$AA$67),"dd mmm yy"))&amp;" "&amp;Milestones!$AB$67&amp;" "&amp;IF(AND(Milestones!$AB$67="FT",Milestones!$AA$67=FT_Y5,EDATE($D44,Milestones!$AA$67)&lt;PolicyEff),1,Milestones!$AC$67)&amp;";  ",""))</f>
        <v/>
      </c>
      <c r="M44" s="0" t="str">
        <f aca="false">IF(OR($A44="",$D44=""),"",IF(AND(EDATE($D44,Milestones!$AA$68)&lt;=AsOfDate,EDATE($D44,Milestones!$AA$68)&gt;=SchemeStart,IF($X44=0,$AD44,IF(AND($Z44&lt;&gt;"",EDATE($D44,Milestones!$AA$68)&gt;=$Z44),$AC44,IF(AND($Y44&lt;&gt;"",EDATE($D44,Milestones!$AA$68)&gt;=$Y44),$AB44,$AA44)))=Milestones!$AB$68),UPPER(TEXT(EDATE($D44,Milestones!$AA$68),"dd mmm yy"))&amp;" "&amp;Milestones!$AB$68&amp;" "&amp;IF(AND(Milestones!$AB$68="FT",Milestones!$AA$68=FT_Y5,EDATE($D44,Milestones!$AA$68)&lt;PolicyEff),1,Milestones!$AC$68)&amp;";  ","")&amp;IF(AND(EDATE($D44,Milestones!$AA$69)&lt;=AsOfDate,EDATE($D44,Milestones!$AA$69)&gt;=SchemeStart,IF($X44=0,$AD44,IF(AND($Z44&lt;&gt;"",EDATE($D44,Milestones!$AA$69)&gt;=$Z44),$AC44,IF(AND($Y44&lt;&gt;"",EDATE($D44,Milestones!$AA$69)&gt;=$Y44),$AB44,$AA44)))=Milestones!$AB$69),UPPER(TEXT(EDATE($D44,Milestones!$AA$69),"dd mmm yy"))&amp;" "&amp;Milestones!$AB$69&amp;" "&amp;IF(AND(Milestones!$AB$69="FT",Milestones!$AA$69=FT_Y5,EDATE($D44,Milestones!$AA$69)&lt;PolicyEff),1,Milestones!$AC$69)&amp;";  ","")&amp;IF(AND(EDATE($D44,Milestones!$AA$70)&lt;=AsOfDate,EDATE($D44,Milestones!$AA$70)&gt;=SchemeStart,IF($X44=0,$AD44,IF(AND($Z44&lt;&gt;"",EDATE($D44,Milestones!$AA$70)&gt;=$Z44),$AC44,IF(AND($Y44&lt;&gt;"",EDATE($D44,Milestones!$AA$70)&gt;=$Y44),$AB44,$AA44)))=Milestones!$AB$70),UPPER(TEXT(EDATE($D44,Milestones!$AA$70),"dd mmm yy"))&amp;" "&amp;Milestones!$AB$70&amp;" "&amp;IF(AND(Milestones!$AB$70="FT",Milestones!$AA$70=FT_Y5,EDATE($D44,Milestones!$AA$70)&lt;PolicyEff),1,Milestones!$AC$70)&amp;";  ","")&amp;IF(AND(EDATE($D44,Milestones!$AA$71)&lt;=AsOfDate,EDATE($D44,Milestones!$AA$71)&gt;=SchemeStart,IF($X44=0,$AD44,IF(AND($Z44&lt;&gt;"",EDATE($D44,Milestones!$AA$71)&gt;=$Z44),$AC44,IF(AND($Y44&lt;&gt;"",EDATE($D44,Milestones!$AA$71)&gt;=$Y44),$AB44,$AA44)))=Milestones!$AB$71),UPPER(TEXT(EDATE($D44,Milestones!$AA$71),"dd mmm yy"))&amp;" "&amp;Milestones!$AB$71&amp;" "&amp;IF(AND(Milestones!$AB$71="FT",Milestones!$AA$71=FT_Y5,EDATE($D44,Milestones!$AA$71)&lt;PolicyEff),1,Milestones!$AC$71)&amp;";  ","")&amp;IF(AND(EDATE($D44,Milestones!$AA$72)&lt;=AsOfDate,EDATE($D44,Milestones!$AA$72)&gt;=SchemeStart,IF($X44=0,$AD44,IF(AND($Z44&lt;&gt;"",EDATE($D44,Milestones!$AA$72)&gt;=$Z44),$AC44,IF(AND($Y44&lt;&gt;"",EDATE($D44,Milestones!$AA$72)&gt;=$Y44),$AB44,$AA44)))=Milestones!$AB$72),UPPER(TEXT(EDATE($D44,Milestones!$AA$72),"dd mmm yy"))&amp;" "&amp;Milestones!$AB$72&amp;" "&amp;IF(AND(Milestones!$AB$72="FT",Milestones!$AA$72=FT_Y5,EDATE($D44,Milestones!$AA$72)&lt;PolicyEff),1,Milestones!$AC$72)&amp;";  ","")&amp;IF(AND(EDATE($D44,Milestones!$AA$73)&lt;=AsOfDate,EDATE($D44,Milestones!$AA$73)&gt;=SchemeStart,IF($X44=0,$AD44,IF(AND($Z44&lt;&gt;"",EDATE($D44,Milestones!$AA$73)&gt;=$Z44),$AC44,IF(AND($Y44&lt;&gt;"",EDATE($D44,Milestones!$AA$73)&gt;=$Y44),$AB44,$AA44)))=Milestones!$AB$73),UPPER(TEXT(EDATE($D44,Milestones!$AA$73),"dd mmm yy"))&amp;" "&amp;Milestones!$AB$73&amp;" "&amp;IF(AND(Milestones!$AB$73="FT",Milestones!$AA$73=FT_Y5,EDATE($D44,Milestones!$AA$73)&lt;PolicyEff),1,Milestones!$AC$73)&amp;";  ","")&amp;IF(AND(EDATE($D44,Milestones!$AA$74)&lt;=AsOfDate,EDATE($D44,Milestones!$AA$74)&gt;=SchemeStart,IF($X44=0,$AD44,IF(AND($Z44&lt;&gt;"",EDATE($D44,Milestones!$AA$74)&gt;=$Z44),$AC44,IF(AND($Y44&lt;&gt;"",EDATE($D44,Milestones!$AA$74)&gt;=$Y44),$AB44,$AA44)))=Milestones!$AB$74),UPPER(TEXT(EDATE($D44,Milestones!$AA$74),"dd mmm yy"))&amp;" "&amp;Milestones!$AB$74&amp;" "&amp;IF(AND(Milestones!$AB$74="FT",Milestones!$AA$74=FT_Y5,EDATE($D44,Milestones!$AA$74)&lt;PolicyEff),1,Milestones!$AC$74)&amp;";  ","")&amp;IF(AND(EDATE($D44,Milestones!$AA$75)&lt;=AsOfDate,EDATE($D44,Milestones!$AA$75)&gt;=SchemeStart,IF($X44=0,$AD44,IF(AND($Z44&lt;&gt;"",EDATE($D44,Milestones!$AA$75)&gt;=$Z44),$AC44,IF(AND($Y44&lt;&gt;"",EDATE($D44,Milestones!$AA$75)&gt;=$Y44),$AB44,$AA44)))=Milestones!$AB$75),UPPER(TEXT(EDATE($D44,Milestones!$AA$75),"dd mmm yy"))&amp;" "&amp;Milestones!$AB$75&amp;" "&amp;IF(AND(Milestones!$AB$75="FT",Milestones!$AA$75=FT_Y5,EDATE($D44,Milestones!$AA$75)&lt;PolicyEff),1,Milestones!$AC$75)&amp;";  ","")&amp;IF(AND(EDATE($D44,Milestones!$AA$76)&lt;=AsOfDate,EDATE($D44,Milestones!$AA$76)&gt;=SchemeStart,IF($X44=0,$AD44,IF(AND($Z44&lt;&gt;"",EDATE($D44,Milestones!$AA$76)&gt;=$Z44),$AC44,IF(AND($Y44&lt;&gt;"",EDATE($D44,Milestones!$AA$76)&gt;=$Y44),$AB44,$AA44)))=Milestones!$AB$76),UPPER(TEXT(EDATE($D44,Milestones!$AA$76),"dd mmm yy"))&amp;" "&amp;Milestones!$AB$76&amp;" "&amp;IF(AND(Milestones!$AB$76="FT",Milestones!$AA$76=FT_Y5,EDATE($D44,Milestones!$AA$76)&lt;PolicyEff),1,Milestones!$AC$76)&amp;";  ","")&amp;IF(AND(EDATE($D44,Milestones!$AA$77)&lt;=AsOfDate,EDATE($D44,Milestones!$AA$77)&gt;=SchemeStart,IF($X44=0,$AD44,IF(AND($Z44&lt;&gt;"",EDATE($D44,Milestones!$AA$77)&gt;=$Z44),$AC44,IF(AND($Y44&lt;&gt;"",EDATE($D44,Milestones!$AA$77)&gt;=$Y44),$AB44,$AA44)))=Milestones!$AB$77),UPPER(TEXT(EDATE($D44,Milestones!$AA$77),"dd mmm yy"))&amp;" "&amp;Milestones!$AB$77&amp;" "&amp;IF(AND(Milestones!$AB$77="FT",Milestones!$AA$77=FT_Y5,EDATE($D44,Milestones!$AA$77)&lt;PolicyEff),1,Milestones!$AC$77)&amp;";  ","")&amp;IF(AND(EDATE($D44,Milestones!$AA$78)&lt;=AsOfDate,EDATE($D44,Milestones!$AA$78)&gt;=SchemeStart,IF($X44=0,$AD44,IF(AND($Z44&lt;&gt;"",EDATE($D44,Milestones!$AA$78)&gt;=$Z44),$AC44,IF(AND($Y44&lt;&gt;"",EDATE($D44,Milestones!$AA$78)&gt;=$Y44),$AB44,$AA44)))=Milestones!$AB$78),UPPER(TEXT(EDATE($D44,Milestones!$AA$78),"dd mmm yy"))&amp;" "&amp;Milestones!$AB$78&amp;" "&amp;IF(AND(Milestones!$AB$78="FT",Milestones!$AA$78=FT_Y5,EDATE($D44,Milestones!$AA$78)&lt;PolicyEff),1,Milestones!$AC$78)&amp;";  ","")&amp;IF(AND(EDATE($D44,Milestones!$AA$79)&lt;=AsOfDate,EDATE($D44,Milestones!$AA$79)&gt;=SchemeStart,IF($X44=0,$AD44,IF(AND($Z44&lt;&gt;"",EDATE($D44,Milestones!$AA$79)&gt;=$Z44),$AC44,IF(AND($Y44&lt;&gt;"",EDATE($D44,Milestones!$AA$79)&gt;=$Y44),$AB44,$AA44)))=Milestones!$AB$79),UPPER(TEXT(EDATE($D44,Milestones!$AA$79),"dd mmm yy"))&amp;" "&amp;Milestones!$AB$79&amp;" "&amp;IF(AND(Milestones!$AB$79="FT",Milestones!$AA$79=FT_Y5,EDATE($D44,Milestones!$AA$79)&lt;PolicyEff),1,Milestones!$AC$79)&amp;";  ",""))</f>
        <v/>
      </c>
      <c r="N44" s="0" t="str">
        <f aca="false">IF(OR($A44="",$D44=""),"",IF(AND(EDATE($D44,Milestones!$AA$80)&lt;=AsOfDate,EDATE($D44,Milestones!$AA$80)&gt;=SchemeStart,IF($X44=0,$AD44,IF(AND($Z44&lt;&gt;"",EDATE($D44,Milestones!$AA$80)&gt;=$Z44),$AC44,IF(AND($Y44&lt;&gt;"",EDATE($D44,Milestones!$AA$80)&gt;=$Y44),$AB44,$AA44)))=Milestones!$AB$80),UPPER(TEXT(EDATE($D44,Milestones!$AA$80),"dd mmm yy"))&amp;" "&amp;Milestones!$AB$80&amp;" "&amp;IF(AND(Milestones!$AB$80="FT",Milestones!$AA$80=FT_Y5,EDATE($D44,Milestones!$AA$80)&lt;PolicyEff),1,Milestones!$AC$80)&amp;";  ","")&amp;IF(AND(EDATE($D44,Milestones!$AA$81)&lt;=AsOfDate,EDATE($D44,Milestones!$AA$81)&gt;=SchemeStart,IF($X44=0,$AD44,IF(AND($Z44&lt;&gt;"",EDATE($D44,Milestones!$AA$81)&gt;=$Z44),$AC44,IF(AND($Y44&lt;&gt;"",EDATE($D44,Milestones!$AA$81)&gt;=$Y44),$AB44,$AA44)))=Milestones!$AB$81),UPPER(TEXT(EDATE($D44,Milestones!$AA$81),"dd mmm yy"))&amp;" "&amp;Milestones!$AB$81&amp;" "&amp;IF(AND(Milestones!$AB$81="FT",Milestones!$AA$81=FT_Y5,EDATE($D44,Milestones!$AA$81)&lt;PolicyEff),1,Milestones!$AC$81)&amp;";  ","")&amp;IF(AND(EDATE($D44,Milestones!$AA$82)&lt;=AsOfDate,EDATE($D44,Milestones!$AA$82)&gt;=SchemeStart,IF($X44=0,$AD44,IF(AND($Z44&lt;&gt;"",EDATE($D44,Milestones!$AA$82)&gt;=$Z44),$AC44,IF(AND($Y44&lt;&gt;"",EDATE($D44,Milestones!$AA$82)&gt;=$Y44),$AB44,$AA44)))=Milestones!$AB$82),UPPER(TEXT(EDATE($D44,Milestones!$AA$82),"dd mmm yy"))&amp;" "&amp;Milestones!$AB$82&amp;" "&amp;IF(AND(Milestones!$AB$82="FT",Milestones!$AA$82=FT_Y5,EDATE($D44,Milestones!$AA$82)&lt;PolicyEff),1,Milestones!$AC$82)&amp;";  ","")&amp;IF(AND(EDATE($D44,Milestones!$AA$83)&lt;=AsOfDate,EDATE($D44,Milestones!$AA$83)&gt;=SchemeStart,IF($X44=0,$AD44,IF(AND($Z44&lt;&gt;"",EDATE($D44,Milestones!$AA$83)&gt;=$Z44),$AC44,IF(AND($Y44&lt;&gt;"",EDATE($D44,Milestones!$AA$83)&gt;=$Y44),$AB44,$AA44)))=Milestones!$AB$83),UPPER(TEXT(EDATE($D44,Milestones!$AA$83),"dd mmm yy"))&amp;" "&amp;Milestones!$AB$83&amp;" "&amp;IF(AND(Milestones!$AB$83="FT",Milestones!$AA$83=FT_Y5,EDATE($D44,Milestones!$AA$83)&lt;PolicyEff),1,Milestones!$AC$83)&amp;";  ","")&amp;IF(AND(EDATE($D44,Milestones!$AA$84)&lt;=AsOfDate,EDATE($D44,Milestones!$AA$84)&gt;=SchemeStart,IF($X44=0,$AD44,IF(AND($Z44&lt;&gt;"",EDATE($D44,Milestones!$AA$84)&gt;=$Z44),$AC44,IF(AND($Y44&lt;&gt;"",EDATE($D44,Milestones!$AA$84)&gt;=$Y44),$AB44,$AA44)))=Milestones!$AB$84),UPPER(TEXT(EDATE($D44,Milestones!$AA$84),"dd mmm yy"))&amp;" "&amp;Milestones!$AB$84&amp;" "&amp;IF(AND(Milestones!$AB$84="FT",Milestones!$AA$84=FT_Y5,EDATE($D44,Milestones!$AA$84)&lt;PolicyEff),1,Milestones!$AC$84)&amp;";  ","")&amp;IF(AND(EDATE($D44,Milestones!$AA$85)&lt;=AsOfDate,EDATE($D44,Milestones!$AA$85)&gt;=SchemeStart,IF($X44=0,$AD44,IF(AND($Z44&lt;&gt;"",EDATE($D44,Milestones!$AA$85)&gt;=$Z44),$AC44,IF(AND($Y44&lt;&gt;"",EDATE($D44,Milestones!$AA$85)&gt;=$Y44),$AB44,$AA44)))=Milestones!$AB$85),UPPER(TEXT(EDATE($D44,Milestones!$AA$85),"dd mmm yy"))&amp;" "&amp;Milestones!$AB$85&amp;" "&amp;IF(AND(Milestones!$AB$85="FT",Milestones!$AA$85=FT_Y5,EDATE($D44,Milestones!$AA$85)&lt;PolicyEff),1,Milestones!$AC$85)&amp;";  ","")&amp;IF(AND(EDATE($D44,Milestones!$AA$86)&lt;=AsOfDate,EDATE($D44,Milestones!$AA$86)&gt;=SchemeStart,IF($X44=0,$AD44,IF(AND($Z44&lt;&gt;"",EDATE($D44,Milestones!$AA$86)&gt;=$Z44),$AC44,IF(AND($Y44&lt;&gt;"",EDATE($D44,Milestones!$AA$86)&gt;=$Y44),$AB44,$AA44)))=Milestones!$AB$86),UPPER(TEXT(EDATE($D44,Milestones!$AA$86),"dd mmm yy"))&amp;" "&amp;Milestones!$AB$86&amp;" "&amp;IF(AND(Milestones!$AB$86="FT",Milestones!$AA$86=FT_Y5,EDATE($D44,Milestones!$AA$86)&lt;PolicyEff),1,Milestones!$AC$86)&amp;";  ","")&amp;IF(AND(EDATE($D44,Milestones!$AA$87)&lt;=AsOfDate,EDATE($D44,Milestones!$AA$87)&gt;=SchemeStart,IF($X44=0,$AD44,IF(AND($Z44&lt;&gt;"",EDATE($D44,Milestones!$AA$87)&gt;=$Z44),$AC44,IF(AND($Y44&lt;&gt;"",EDATE($D44,Milestones!$AA$87)&gt;=$Y44),$AB44,$AA44)))=Milestones!$AB$87),UPPER(TEXT(EDATE($D44,Milestones!$AA$87),"dd mmm yy"))&amp;" "&amp;Milestones!$AB$87&amp;" "&amp;IF(AND(Milestones!$AB$87="FT",Milestones!$AA$87=FT_Y5,EDATE($D44,Milestones!$AA$87)&lt;PolicyEff),1,Milestones!$AC$87)&amp;";  ","")&amp;IF(AND(EDATE($D44,Milestones!$AA$88)&lt;=AsOfDate,EDATE($D44,Milestones!$AA$88)&gt;=SchemeStart,IF($X44=0,$AD44,IF(AND($Z44&lt;&gt;"",EDATE($D44,Milestones!$AA$88)&gt;=$Z44),$AC44,IF(AND($Y44&lt;&gt;"",EDATE($D44,Milestones!$AA$88)&gt;=$Y44),$AB44,$AA44)))=Milestones!$AB$88),UPPER(TEXT(EDATE($D44,Milestones!$AA$88),"dd mmm yy"))&amp;" "&amp;Milestones!$AB$88&amp;" "&amp;IF(AND(Milestones!$AB$88="FT",Milestones!$AA$88=FT_Y5,EDATE($D44,Milestones!$AA$88)&lt;PolicyEff),1,Milestones!$AC$88)&amp;";  ","")&amp;IF(AND(EDATE($D44,Milestones!$AA$89)&lt;=AsOfDate,EDATE($D44,Milestones!$AA$89)&gt;=SchemeStart,IF($X44=0,$AD44,IF(AND($Z44&lt;&gt;"",EDATE($D44,Milestones!$AA$89)&gt;=$Z44),$AC44,IF(AND($Y44&lt;&gt;"",EDATE($D44,Milestones!$AA$89)&gt;=$Y44),$AB44,$AA44)))=Milestones!$AB$89),UPPER(TEXT(EDATE($D44,Milestones!$AA$89),"dd mmm yy"))&amp;" "&amp;Milestones!$AB$89&amp;" "&amp;IF(AND(Milestones!$AB$89="FT",Milestones!$AA$89=FT_Y5,EDATE($D44,Milestones!$AA$89)&lt;PolicyEff),1,Milestones!$AC$89)&amp;";  ","")&amp;IF(AND(EDATE($D44,Milestones!$AA$90)&lt;=AsOfDate,EDATE($D44,Milestones!$AA$90)&gt;=SchemeStart,IF($X44=0,$AD44,IF(AND($Z44&lt;&gt;"",EDATE($D44,Milestones!$AA$90)&gt;=$Z44),$AC44,IF(AND($Y44&lt;&gt;"",EDATE($D44,Milestones!$AA$90)&gt;=$Y44),$AB44,$AA44)))=Milestones!$AB$90),UPPER(TEXT(EDATE($D44,Milestones!$AA$90),"dd mmm yy"))&amp;" "&amp;Milestones!$AB$90&amp;" "&amp;IF(AND(Milestones!$AB$90="FT",Milestones!$AA$90=FT_Y5,EDATE($D44,Milestones!$AA$90)&lt;PolicyEff),1,Milestones!$AC$90)&amp;";  ","")&amp;IF(AND(EDATE($D44,Milestones!$AA$91)&lt;=AsOfDate,EDATE($D44,Milestones!$AA$91)&gt;=SchemeStart,IF($X44=0,$AD44,IF(AND($Z44&lt;&gt;"",EDATE($D44,Milestones!$AA$91)&gt;=$Z44),$AC44,IF(AND($Y44&lt;&gt;"",EDATE($D44,Milestones!$AA$91)&gt;=$Y44),$AB44,$AA44)))=Milestones!$AB$91),UPPER(TEXT(EDATE($D44,Milestones!$AA$91),"dd mmm yy"))&amp;" "&amp;Milestones!$AB$91&amp;" "&amp;IF(AND(Milestones!$AB$91="FT",Milestones!$AA$91=FT_Y5,EDATE($D44,Milestones!$AA$91)&lt;PolicyEff),1,Milestones!$AC$91)&amp;";  ",""))</f>
        <v/>
      </c>
      <c r="O44" s="0" t="str">
        <f aca="false">IF(OR($A44="",$D44=""),"",IF(AND(EDATE($D44,Milestones!$AA$92)&lt;=AsOfDate,EDATE($D44,Milestones!$AA$92)&gt;=SchemeStart,IF($X44=0,$AD44,IF(AND($Z44&lt;&gt;"",EDATE($D44,Milestones!$AA$92)&gt;=$Z44),$AC44,IF(AND($Y44&lt;&gt;"",EDATE($D44,Milestones!$AA$92)&gt;=$Y44),$AB44,$AA44)))=Milestones!$AB$92),UPPER(TEXT(EDATE($D44,Milestones!$AA$92),"dd mmm yy"))&amp;" "&amp;Milestones!$AB$92&amp;" "&amp;IF(AND(Milestones!$AB$92="FT",Milestones!$AA$92=FT_Y5,EDATE($D44,Milestones!$AA$92)&lt;PolicyEff),1,Milestones!$AC$92)&amp;";  ","")&amp;IF(AND(EDATE($D44,Milestones!$AA$93)&lt;=AsOfDate,EDATE($D44,Milestones!$AA$93)&gt;=SchemeStart,IF($X44=0,$AD44,IF(AND($Z44&lt;&gt;"",EDATE($D44,Milestones!$AA$93)&gt;=$Z44),$AC44,IF(AND($Y44&lt;&gt;"",EDATE($D44,Milestones!$AA$93)&gt;=$Y44),$AB44,$AA44)))=Milestones!$AB$93),UPPER(TEXT(EDATE($D44,Milestones!$AA$93),"dd mmm yy"))&amp;" "&amp;Milestones!$AB$93&amp;" "&amp;IF(AND(Milestones!$AB$93="FT",Milestones!$AA$93=FT_Y5,EDATE($D44,Milestones!$AA$93)&lt;PolicyEff),1,Milestones!$AC$93)&amp;";  ","")&amp;IF(AND(EDATE($D44,Milestones!$AA$94)&lt;=AsOfDate,EDATE($D44,Milestones!$AA$94)&gt;=SchemeStart,IF($X44=0,$AD44,IF(AND($Z44&lt;&gt;"",EDATE($D44,Milestones!$AA$94)&gt;=$Z44),$AC44,IF(AND($Y44&lt;&gt;"",EDATE($D44,Milestones!$AA$94)&gt;=$Y44),$AB44,$AA44)))=Milestones!$AB$94),UPPER(TEXT(EDATE($D44,Milestones!$AA$94),"dd mmm yy"))&amp;" "&amp;Milestones!$AB$94&amp;" "&amp;IF(AND(Milestones!$AB$94="FT",Milestones!$AA$94=FT_Y5,EDATE($D44,Milestones!$AA$94)&lt;PolicyEff),1,Milestones!$AC$94)&amp;";  ","")&amp;IF(AND(EDATE($D44,Milestones!$AA$95)&lt;=AsOfDate,EDATE($D44,Milestones!$AA$95)&gt;=SchemeStart,IF($X44=0,$AD44,IF(AND($Z44&lt;&gt;"",EDATE($D44,Milestones!$AA$95)&gt;=$Z44),$AC44,IF(AND($Y44&lt;&gt;"",EDATE($D44,Milestones!$AA$95)&gt;=$Y44),$AB44,$AA44)))=Milestones!$AB$95),UPPER(TEXT(EDATE($D44,Milestones!$AA$95),"dd mmm yy"))&amp;" "&amp;Milestones!$AB$95&amp;" "&amp;IF(AND(Milestones!$AB$95="FT",Milestones!$AA$95=FT_Y5,EDATE($D44,Milestones!$AA$95)&lt;PolicyEff),1,Milestones!$AC$95)&amp;";  ","")&amp;IF(AND(EDATE($D44,Milestones!$AA$96)&lt;=AsOfDate,EDATE($D44,Milestones!$AA$96)&gt;=SchemeStart,IF($X44=0,$AD44,IF(AND($Z44&lt;&gt;"",EDATE($D44,Milestones!$AA$96)&gt;=$Z44),$AC44,IF(AND($Y44&lt;&gt;"",EDATE($D44,Milestones!$AA$96)&gt;=$Y44),$AB44,$AA44)))=Milestones!$AB$96),UPPER(TEXT(EDATE($D44,Milestones!$AA$96),"dd mmm yy"))&amp;" "&amp;Milestones!$AB$96&amp;" "&amp;IF(AND(Milestones!$AB$96="FT",Milestones!$AA$96=FT_Y5,EDATE($D44,Milestones!$AA$96)&lt;PolicyEff),1,Milestones!$AC$96)&amp;";  ","")&amp;IF(AND(EDATE($D44,Milestones!$AA$97)&lt;=AsOfDate,EDATE($D44,Milestones!$AA$97)&gt;=SchemeStart,IF($X44=0,$AD44,IF(AND($Z44&lt;&gt;"",EDATE($D44,Milestones!$AA$97)&gt;=$Z44),$AC44,IF(AND($Y44&lt;&gt;"",EDATE($D44,Milestones!$AA$97)&gt;=$Y44),$AB44,$AA44)))=Milestones!$AB$97),UPPER(TEXT(EDATE($D44,Milestones!$AA$97),"dd mmm yy"))&amp;" "&amp;Milestones!$AB$97&amp;" "&amp;IF(AND(Milestones!$AB$97="FT",Milestones!$AA$97=FT_Y5,EDATE($D44,Milestones!$AA$97)&lt;PolicyEff),1,Milestones!$AC$97)&amp;";  ","")&amp;IF(AND(EDATE($D44,Milestones!$AA$98)&lt;=AsOfDate,EDATE($D44,Milestones!$AA$98)&gt;=SchemeStart,IF($X44=0,$AD44,IF(AND($Z44&lt;&gt;"",EDATE($D44,Milestones!$AA$98)&gt;=$Z44),$AC44,IF(AND($Y44&lt;&gt;"",EDATE($D44,Milestones!$AA$98)&gt;=$Y44),$AB44,$AA44)))=Milestones!$AB$98),UPPER(TEXT(EDATE($D44,Milestones!$AA$98),"dd mmm yy"))&amp;" "&amp;Milestones!$AB$98&amp;" "&amp;IF(AND(Milestones!$AB$98="FT",Milestones!$AA$98=FT_Y5,EDATE($D44,Milestones!$AA$98)&lt;PolicyEff),1,Milestones!$AC$98)&amp;";  ","")&amp;IF(AND(EDATE($D44,Milestones!$AA$99)&lt;=AsOfDate,EDATE($D44,Milestones!$AA$99)&gt;=SchemeStart,IF($X44=0,$AD44,IF(AND($Z44&lt;&gt;"",EDATE($D44,Milestones!$AA$99)&gt;=$Z44),$AC44,IF(AND($Y44&lt;&gt;"",EDATE($D44,Milestones!$AA$99)&gt;=$Y44),$AB44,$AA44)))=Milestones!$AB$99),UPPER(TEXT(EDATE($D44,Milestones!$AA$99),"dd mmm yy"))&amp;" "&amp;Milestones!$AB$99&amp;" "&amp;IF(AND(Milestones!$AB$99="FT",Milestones!$AA$99=FT_Y5,EDATE($D44,Milestones!$AA$99)&lt;PolicyEff),1,Milestones!$AC$99)&amp;";  ","")&amp;IF(AND(EDATE($D44,Milestones!$AA$100)&lt;=AsOfDate,EDATE($D44,Milestones!$AA$100)&gt;=SchemeStart,IF($X44=0,$AD44,IF(AND($Z44&lt;&gt;"",EDATE($D44,Milestones!$AA$100)&gt;=$Z44),$AC44,IF(AND($Y44&lt;&gt;"",EDATE($D44,Milestones!$AA$100)&gt;=$Y44),$AB44,$AA44)))=Milestones!$AB$100),UPPER(TEXT(EDATE($D44,Milestones!$AA$100),"dd mmm yy"))&amp;" "&amp;Milestones!$AB$100&amp;" "&amp;IF(AND(Milestones!$AB$100="FT",Milestones!$AA$100=FT_Y5,EDATE($D44,Milestones!$AA$100)&lt;PolicyEff),1,Milestones!$AC$100)&amp;";  ","")&amp;IF(AND(EDATE($D44,Milestones!$AA$101)&lt;=AsOfDate,EDATE($D44,Milestones!$AA$101)&gt;=SchemeStart,IF($X44=0,$AD44,IF(AND($Z44&lt;&gt;"",EDATE($D44,Milestones!$AA$101)&gt;=$Z44),$AC44,IF(AND($Y44&lt;&gt;"",EDATE($D44,Milestones!$AA$101)&gt;=$Y44),$AB44,$AA44)))=Milestones!$AB$101),UPPER(TEXT(EDATE($D44,Milestones!$AA$101),"dd mmm yy"))&amp;" "&amp;Milestones!$AB$101&amp;" "&amp;IF(AND(Milestones!$AB$101="FT",Milestones!$AA$101=FT_Y5,EDATE($D44,Milestones!$AA$101)&lt;PolicyEff),1,Milestones!$AC$101)&amp;";  ","")&amp;IF(AND(EDATE($D44,Milestones!$AA$102)&lt;=AsOfDate,EDATE($D44,Milestones!$AA$102)&gt;=SchemeStart,IF($X44=0,$AD44,IF(AND($Z44&lt;&gt;"",EDATE($D44,Milestones!$AA$102)&gt;=$Z44),$AC44,IF(AND($Y44&lt;&gt;"",EDATE($D44,Milestones!$AA$102)&gt;=$Y44),$AB44,$AA44)))=Milestones!$AB$102),UPPER(TEXT(EDATE($D44,Milestones!$AA$102),"dd mmm yy"))&amp;" "&amp;Milestones!$AB$102&amp;" "&amp;IF(AND(Milestones!$AB$102="FT",Milestones!$AA$102=FT_Y5,EDATE($D44,Milestones!$AA$102)&lt;PolicyEff),1,Milestones!$AC$102)&amp;";  ","")&amp;IF(AND(EDATE($D44,Milestones!$AA$103)&lt;=AsOfDate,EDATE($D44,Milestones!$AA$103)&gt;=SchemeStart,IF($X44=0,$AD44,IF(AND($Z44&lt;&gt;"",EDATE($D44,Milestones!$AA$103)&gt;=$Z44),$AC44,IF(AND($Y44&lt;&gt;"",EDATE($D44,Milestones!$AA$103)&gt;=$Y44),$AB44,$AA44)))=Milestones!$AB$103),UPPER(TEXT(EDATE($D44,Milestones!$AA$103),"dd mmm yy"))&amp;" "&amp;Milestones!$AB$103&amp;" "&amp;IF(AND(Milestones!$AB$103="FT",Milestones!$AA$103=FT_Y5,EDATE($D44,Milestones!$AA$103)&lt;PolicyEff),1,Milestones!$AC$103)&amp;";  ",""))</f>
        <v/>
      </c>
      <c r="P44" s="0" t="str">
        <f aca="false">IF(OR($A44="",$D44=""),"",IF(AND(EDATE($D44,Milestones!$AA$104)&lt;=AsOfDate,EDATE($D44,Milestones!$AA$104)&gt;=SchemeStart,IF($X44=0,$AD44,IF(AND($Z44&lt;&gt;"",EDATE($D44,Milestones!$AA$104)&gt;=$Z44),$AC44,IF(AND($Y44&lt;&gt;"",EDATE($D44,Milestones!$AA$104)&gt;=$Y44),$AB44,$AA44)))=Milestones!$AB$104),UPPER(TEXT(EDATE($D44,Milestones!$AA$104),"dd mmm yy"))&amp;" "&amp;Milestones!$AB$104&amp;" "&amp;IF(AND(Milestones!$AB$104="FT",Milestones!$AA$104=FT_Y5,EDATE($D44,Milestones!$AA$104)&lt;PolicyEff),1,Milestones!$AC$104)&amp;";  ","")&amp;IF(AND(EDATE($D44,Milestones!$AA$105)&lt;=AsOfDate,EDATE($D44,Milestones!$AA$105)&gt;=SchemeStart,IF($X44=0,$AD44,IF(AND($Z44&lt;&gt;"",EDATE($D44,Milestones!$AA$105)&gt;=$Z44),$AC44,IF(AND($Y44&lt;&gt;"",EDATE($D44,Milestones!$AA$105)&gt;=$Y44),$AB44,$AA44)))=Milestones!$AB$105),UPPER(TEXT(EDATE($D44,Milestones!$AA$105),"dd mmm yy"))&amp;" "&amp;Milestones!$AB$105&amp;" "&amp;IF(AND(Milestones!$AB$105="FT",Milestones!$AA$105=FT_Y5,EDATE($D44,Milestones!$AA$105)&lt;PolicyEff),1,Milestones!$AC$105)&amp;";  ","")&amp;IF(AND(EDATE($D44,Milestones!$AA$106)&lt;=AsOfDate,EDATE($D44,Milestones!$AA$106)&gt;=SchemeStart,IF($X44=0,$AD44,IF(AND($Z44&lt;&gt;"",EDATE($D44,Milestones!$AA$106)&gt;=$Z44),$AC44,IF(AND($Y44&lt;&gt;"",EDATE($D44,Milestones!$AA$106)&gt;=$Y44),$AB44,$AA44)))=Milestones!$AB$106),UPPER(TEXT(EDATE($D44,Milestones!$AA$106),"dd mmm yy"))&amp;" "&amp;Milestones!$AB$106&amp;" "&amp;IF(AND(Milestones!$AB$106="FT",Milestones!$AA$106=FT_Y5,EDATE($D44,Milestones!$AA$106)&lt;PolicyEff),1,Milestones!$AC$106)&amp;";  ","")&amp;IF(AND(EDATE($D44,Milestones!$AA$107)&lt;=AsOfDate,EDATE($D44,Milestones!$AA$107)&gt;=SchemeStart,IF($X44=0,$AD44,IF(AND($Z44&lt;&gt;"",EDATE($D44,Milestones!$AA$107)&gt;=$Z44),$AC44,IF(AND($Y44&lt;&gt;"",EDATE($D44,Milestones!$AA$107)&gt;=$Y44),$AB44,$AA44)))=Milestones!$AB$107),UPPER(TEXT(EDATE($D44,Milestones!$AA$107),"dd mmm yy"))&amp;" "&amp;Milestones!$AB$107&amp;" "&amp;IF(AND(Milestones!$AB$107="FT",Milestones!$AA$107=FT_Y5,EDATE($D44,Milestones!$AA$107)&lt;PolicyEff),1,Milestones!$AC$107)&amp;";  ","")&amp;IF(AND(EDATE($D44,Milestones!$AA$108)&lt;=AsOfDate,EDATE($D44,Milestones!$AA$108)&gt;=SchemeStart,IF($X44=0,$AD44,IF(AND($Z44&lt;&gt;"",EDATE($D44,Milestones!$AA$108)&gt;=$Z44),$AC44,IF(AND($Y44&lt;&gt;"",EDATE($D44,Milestones!$AA$108)&gt;=$Y44),$AB44,$AA44)))=Milestones!$AB$108),UPPER(TEXT(EDATE($D44,Milestones!$AA$108),"dd mmm yy"))&amp;" "&amp;Milestones!$AB$108&amp;" "&amp;IF(AND(Milestones!$AB$108="FT",Milestones!$AA$108=FT_Y5,EDATE($D44,Milestones!$AA$108)&lt;PolicyEff),1,Milestones!$AC$108)&amp;";  ","")&amp;IF(AND(EDATE($D44,Milestones!$AA$109)&lt;=AsOfDate,EDATE($D44,Milestones!$AA$109)&gt;=SchemeStart,IF($X44=0,$AD44,IF(AND($Z44&lt;&gt;"",EDATE($D44,Milestones!$AA$109)&gt;=$Z44),$AC44,IF(AND($Y44&lt;&gt;"",EDATE($D44,Milestones!$AA$109)&gt;=$Y44),$AB44,$AA44)))=Milestones!$AB$109),UPPER(TEXT(EDATE($D44,Milestones!$AA$109),"dd mmm yy"))&amp;" "&amp;Milestones!$AB$109&amp;" "&amp;IF(AND(Milestones!$AB$109="FT",Milestones!$AA$109=FT_Y5,EDATE($D44,Milestones!$AA$109)&lt;PolicyEff),1,Milestones!$AC$109)&amp;";  ","")&amp;IF(AND(EDATE($D44,Milestones!$AA$110)&lt;=AsOfDate,EDATE($D44,Milestones!$AA$110)&gt;=SchemeStart,IF($X44=0,$AD44,IF(AND($Z44&lt;&gt;"",EDATE($D44,Milestones!$AA$110)&gt;=$Z44),$AC44,IF(AND($Y44&lt;&gt;"",EDATE($D44,Milestones!$AA$110)&gt;=$Y44),$AB44,$AA44)))=Milestones!$AB$110),UPPER(TEXT(EDATE($D44,Milestones!$AA$110),"dd mmm yy"))&amp;" "&amp;Milestones!$AB$110&amp;" "&amp;IF(AND(Milestones!$AB$110="FT",Milestones!$AA$110=FT_Y5,EDATE($D44,Milestones!$AA$110)&lt;PolicyEff),1,Milestones!$AC$110)&amp;";  ","")&amp;IF(AND(EDATE($D44,Milestones!$AA$111)&lt;=AsOfDate,EDATE($D44,Milestones!$AA$111)&gt;=SchemeStart,IF($X44=0,$AD44,IF(AND($Z44&lt;&gt;"",EDATE($D44,Milestones!$AA$111)&gt;=$Z44),$AC44,IF(AND($Y44&lt;&gt;"",EDATE($D44,Milestones!$AA$111)&gt;=$Y44),$AB44,$AA44)))=Milestones!$AB$111),UPPER(TEXT(EDATE($D44,Milestones!$AA$111),"dd mmm yy"))&amp;" "&amp;Milestones!$AB$111&amp;" "&amp;IF(AND(Milestones!$AB$111="FT",Milestones!$AA$111=FT_Y5,EDATE($D44,Milestones!$AA$111)&lt;PolicyEff),1,Milestones!$AC$111)&amp;";  ","")&amp;IF(AND(EDATE($D44,Milestones!$AA$112)&lt;=AsOfDate,EDATE($D44,Milestones!$AA$112)&gt;=SchemeStart,IF($X44=0,$AD44,IF(AND($Z44&lt;&gt;"",EDATE($D44,Milestones!$AA$112)&gt;=$Z44),$AC44,IF(AND($Y44&lt;&gt;"",EDATE($D44,Milestones!$AA$112)&gt;=$Y44),$AB44,$AA44)))=Milestones!$AB$112),UPPER(TEXT(EDATE($D44,Milestones!$AA$112),"dd mmm yy"))&amp;" "&amp;Milestones!$AB$112&amp;" "&amp;IF(AND(Milestones!$AB$112="FT",Milestones!$AA$112=FT_Y5,EDATE($D44,Milestones!$AA$112)&lt;PolicyEff),1,Milestones!$AC$112)&amp;";  ","")&amp;IF(AND(EDATE($D44,Milestones!$AA$113)&lt;=AsOfDate,EDATE($D44,Milestones!$AA$113)&gt;=SchemeStart,IF($X44=0,$AD44,IF(AND($Z44&lt;&gt;"",EDATE($D44,Milestones!$AA$113)&gt;=$Z44),$AC44,IF(AND($Y44&lt;&gt;"",EDATE($D44,Milestones!$AA$113)&gt;=$Y44),$AB44,$AA44)))=Milestones!$AB$113),UPPER(TEXT(EDATE($D44,Milestones!$AA$113),"dd mmm yy"))&amp;" "&amp;Milestones!$AB$113&amp;" "&amp;IF(AND(Milestones!$AB$113="FT",Milestones!$AA$113=FT_Y5,EDATE($D44,Milestones!$AA$113)&lt;PolicyEff),1,Milestones!$AC$113)&amp;";  ","")&amp;IF(AND(EDATE($D44,Milestones!$AA$114)&lt;=AsOfDate,EDATE($D44,Milestones!$AA$114)&gt;=SchemeStart,IF($X44=0,$AD44,IF(AND($Z44&lt;&gt;"",EDATE($D44,Milestones!$AA$114)&gt;=$Z44),$AC44,IF(AND($Y44&lt;&gt;"",EDATE($D44,Milestones!$AA$114)&gt;=$Y44),$AB44,$AA44)))=Milestones!$AB$114),UPPER(TEXT(EDATE($D44,Milestones!$AA$114),"dd mmm yy"))&amp;" "&amp;Milestones!$AB$114&amp;" "&amp;IF(AND(Milestones!$AB$114="FT",Milestones!$AA$114=FT_Y5,EDATE($D44,Milestones!$AA$114)&lt;PolicyEff),1,Milestones!$AC$114)&amp;";  ","")&amp;IF(AND(EDATE($D44,Milestones!$AA$115)&lt;=AsOfDate,EDATE($D44,Milestones!$AA$115)&gt;=SchemeStart,IF($X44=0,$AD44,IF(AND($Z44&lt;&gt;"",EDATE($D44,Milestones!$AA$115)&gt;=$Z44),$AC44,IF(AND($Y44&lt;&gt;"",EDATE($D44,Milestones!$AA$115)&gt;=$Y44),$AB44,$AA44)))=Milestones!$AB$115),UPPER(TEXT(EDATE($D44,Milestones!$AA$115),"dd mmm yy"))&amp;" "&amp;Milestones!$AB$115&amp;" "&amp;IF(AND(Milestones!$AB$115="FT",Milestones!$AA$115=FT_Y5,EDATE($D44,Milestones!$AA$115)&lt;PolicyEff),1,Milestones!$AC$115)&amp;";  ",""))</f>
        <v/>
      </c>
      <c r="Q44" s="0" t="str">
        <f aca="false">IF(OR($A44="",$D44=""),"",IF(AND(EDATE($D44,Milestones!$AA$116)&lt;=AsOfDate,EDATE($D44,Milestones!$AA$116)&gt;=SchemeStart,IF($X44=0,$AD44,IF(AND($Z44&lt;&gt;"",EDATE($D44,Milestones!$AA$116)&gt;=$Z44),$AC44,IF(AND($Y44&lt;&gt;"",EDATE($D44,Milestones!$AA$116)&gt;=$Y44),$AB44,$AA44)))=Milestones!$AB$116),UPPER(TEXT(EDATE($D44,Milestones!$AA$116),"dd mmm yy"))&amp;" "&amp;Milestones!$AB$116&amp;" "&amp;IF(AND(Milestones!$AB$116="FT",Milestones!$AA$116=FT_Y5,EDATE($D44,Milestones!$AA$116)&lt;PolicyEff),1,Milestones!$AC$116)&amp;";  ","")&amp;IF(AND(EDATE($D44,Milestones!$AA$117)&lt;=AsOfDate,EDATE($D44,Milestones!$AA$117)&gt;=SchemeStart,IF($X44=0,$AD44,IF(AND($Z44&lt;&gt;"",EDATE($D44,Milestones!$AA$117)&gt;=$Z44),$AC44,IF(AND($Y44&lt;&gt;"",EDATE($D44,Milestones!$AA$117)&gt;=$Y44),$AB44,$AA44)))=Milestones!$AB$117),UPPER(TEXT(EDATE($D44,Milestones!$AA$117),"dd mmm yy"))&amp;" "&amp;Milestones!$AB$117&amp;" "&amp;IF(AND(Milestones!$AB$117="FT",Milestones!$AA$117=FT_Y5,EDATE($D44,Milestones!$AA$117)&lt;PolicyEff),1,Milestones!$AC$117)&amp;";  ","")&amp;IF(AND(EDATE($D44,Milestones!$AA$118)&lt;=AsOfDate,EDATE($D44,Milestones!$AA$118)&gt;=SchemeStart,IF($X44=0,$AD44,IF(AND($Z44&lt;&gt;"",EDATE($D44,Milestones!$AA$118)&gt;=$Z44),$AC44,IF(AND($Y44&lt;&gt;"",EDATE($D44,Milestones!$AA$118)&gt;=$Y44),$AB44,$AA44)))=Milestones!$AB$118),UPPER(TEXT(EDATE($D44,Milestones!$AA$118),"dd mmm yy"))&amp;" "&amp;Milestones!$AB$118&amp;" "&amp;IF(AND(Milestones!$AB$118="FT",Milestones!$AA$118=FT_Y5,EDATE($D44,Milestones!$AA$118)&lt;PolicyEff),1,Milestones!$AC$118)&amp;";  ","")&amp;IF(AND(EDATE($D44,Milestones!$AA$119)&lt;=AsOfDate,EDATE($D44,Milestones!$AA$119)&gt;=SchemeStart,IF($X44=0,$AD44,IF(AND($Z44&lt;&gt;"",EDATE($D44,Milestones!$AA$119)&gt;=$Z44),$AC44,IF(AND($Y44&lt;&gt;"",EDATE($D44,Milestones!$AA$119)&gt;=$Y44),$AB44,$AA44)))=Milestones!$AB$119),UPPER(TEXT(EDATE($D44,Milestones!$AA$119),"dd mmm yy"))&amp;" "&amp;Milestones!$AB$119&amp;" "&amp;IF(AND(Milestones!$AB$119="FT",Milestones!$AA$119=FT_Y5,EDATE($D44,Milestones!$AA$119)&lt;PolicyEff),1,Milestones!$AC$119)&amp;";  ","")&amp;IF(AND(EDATE($D44,Milestones!$AA$120)&lt;=AsOfDate,EDATE($D44,Milestones!$AA$120)&gt;=SchemeStart,IF($X44=0,$AD44,IF(AND($Z44&lt;&gt;"",EDATE($D44,Milestones!$AA$120)&gt;=$Z44),$AC44,IF(AND($Y44&lt;&gt;"",EDATE($D44,Milestones!$AA$120)&gt;=$Y44),$AB44,$AA44)))=Milestones!$AB$120),UPPER(TEXT(EDATE($D44,Milestones!$AA$120),"dd mmm yy"))&amp;" "&amp;Milestones!$AB$120&amp;" "&amp;IF(AND(Milestones!$AB$120="FT",Milestones!$AA$120=FT_Y5,EDATE($D44,Milestones!$AA$120)&lt;PolicyEff),1,Milestones!$AC$120)&amp;";  ","")&amp;IF(AND(EDATE($D44,Milestones!$AA$121)&lt;=AsOfDate,EDATE($D44,Milestones!$AA$121)&gt;=SchemeStart,IF($X44=0,$AD44,IF(AND($Z44&lt;&gt;"",EDATE($D44,Milestones!$AA$121)&gt;=$Z44),$AC44,IF(AND($Y44&lt;&gt;"",EDATE($D44,Milestones!$AA$121)&gt;=$Y44),$AB44,$AA44)))=Milestones!$AB$121),UPPER(TEXT(EDATE($D44,Milestones!$AA$121),"dd mmm yy"))&amp;" "&amp;Milestones!$AB$121&amp;" "&amp;IF(AND(Milestones!$AB$121="FT",Milestones!$AA$121=FT_Y5,EDATE($D44,Milestones!$AA$121)&lt;PolicyEff),1,Milestones!$AC$121)&amp;";  ","")&amp;IF(AND(EDATE($D44,Milestones!$AA$122)&lt;=AsOfDate,EDATE($D44,Milestones!$AA$122)&gt;=SchemeStart,IF($X44=0,$AD44,IF(AND($Z44&lt;&gt;"",EDATE($D44,Milestones!$AA$122)&gt;=$Z44),$AC44,IF(AND($Y44&lt;&gt;"",EDATE($D44,Milestones!$AA$122)&gt;=$Y44),$AB44,$AA44)))=Milestones!$AB$122),UPPER(TEXT(EDATE($D44,Milestones!$AA$122),"dd mmm yy"))&amp;" "&amp;Milestones!$AB$122&amp;" "&amp;IF(AND(Milestones!$AB$122="FT",Milestones!$AA$122=FT_Y5,EDATE($D44,Milestones!$AA$122)&lt;PolicyEff),1,Milestones!$AC$122)&amp;";  ","")&amp;IF(AND(EDATE($D44,Milestones!$AA$123)&lt;=AsOfDate,EDATE($D44,Milestones!$AA$123)&gt;=SchemeStart,IF($X44=0,$AD44,IF(AND($Z44&lt;&gt;"",EDATE($D44,Milestones!$AA$123)&gt;=$Z44),$AC44,IF(AND($Y44&lt;&gt;"",EDATE($D44,Milestones!$AA$123)&gt;=$Y44),$AB44,$AA44)))=Milestones!$AB$123),UPPER(TEXT(EDATE($D44,Milestones!$AA$123),"dd mmm yy"))&amp;" "&amp;Milestones!$AB$123&amp;" "&amp;IF(AND(Milestones!$AB$123="FT",Milestones!$AA$123=FT_Y5,EDATE($D44,Milestones!$AA$123)&lt;PolicyEff),1,Milestones!$AC$123)&amp;";  ","")&amp;IF(AND(EDATE($D44,Milestones!$AA$124)&lt;=AsOfDate,EDATE($D44,Milestones!$AA$124)&gt;=SchemeStart,IF($X44=0,$AD44,IF(AND($Z44&lt;&gt;"",EDATE($D44,Milestones!$AA$124)&gt;=$Z44),$AC44,IF(AND($Y44&lt;&gt;"",EDATE($D44,Milestones!$AA$124)&gt;=$Y44),$AB44,$AA44)))=Milestones!$AB$124),UPPER(TEXT(EDATE($D44,Milestones!$AA$124),"dd mmm yy"))&amp;" "&amp;Milestones!$AB$124&amp;" "&amp;IF(AND(Milestones!$AB$124="FT",Milestones!$AA$124=FT_Y5,EDATE($D44,Milestones!$AA$124)&lt;PolicyEff),1,Milestones!$AC$124)&amp;";  ","")&amp;IF(AND(EDATE($D44,Milestones!$AA$125)&lt;=AsOfDate,EDATE($D44,Milestones!$AA$125)&gt;=SchemeStart,IF($X44=0,$AD44,IF(AND($Z44&lt;&gt;"",EDATE($D44,Milestones!$AA$125)&gt;=$Z44),$AC44,IF(AND($Y44&lt;&gt;"",EDATE($D44,Milestones!$AA$125)&gt;=$Y44),$AB44,$AA44)))=Milestones!$AB$125),UPPER(TEXT(EDATE($D44,Milestones!$AA$125),"dd mmm yy"))&amp;" "&amp;Milestones!$AB$125&amp;" "&amp;IF(AND(Milestones!$AB$125="FT",Milestones!$AA$125=FT_Y5,EDATE($D44,Milestones!$AA$125)&lt;PolicyEff),1,Milestones!$AC$125)&amp;";  ","")&amp;IF(AND(EDATE($D44,Milestones!$AA$126)&lt;=AsOfDate,EDATE($D44,Milestones!$AA$126)&gt;=SchemeStart,IF($X44=0,$AD44,IF(AND($Z44&lt;&gt;"",EDATE($D44,Milestones!$AA$126)&gt;=$Z44),$AC44,IF(AND($Y44&lt;&gt;"",EDATE($D44,Milestones!$AA$126)&gt;=$Y44),$AB44,$AA44)))=Milestones!$AB$126),UPPER(TEXT(EDATE($D44,Milestones!$AA$126),"dd mmm yy"))&amp;" "&amp;Milestones!$AB$126&amp;" "&amp;IF(AND(Milestones!$AB$126="FT",Milestones!$AA$126=FT_Y5,EDATE($D44,Milestones!$AA$126)&lt;PolicyEff),1,Milestones!$AC$126)&amp;";  ","")&amp;IF(AND(EDATE($D44,Milestones!$AA$127)&lt;=AsOfDate,EDATE($D44,Milestones!$AA$127)&gt;=SchemeStart,IF($X44=0,$AD44,IF(AND($Z44&lt;&gt;"",EDATE($D44,Milestones!$AA$127)&gt;=$Z44),$AC44,IF(AND($Y44&lt;&gt;"",EDATE($D44,Milestones!$AA$127)&gt;=$Y44),$AB44,$AA44)))=Milestones!$AB$127),UPPER(TEXT(EDATE($D44,Milestones!$AA$127),"dd mmm yy"))&amp;" "&amp;Milestones!$AB$127&amp;" "&amp;IF(AND(Milestones!$AB$127="FT",Milestones!$AA$127=FT_Y5,EDATE($D44,Milestones!$AA$127)&lt;PolicyEff),1,Milestones!$AC$127)&amp;";  ",""))</f>
        <v/>
      </c>
      <c r="R44" s="0" t="str">
        <f aca="false">IF(OR($A44="",$D44=""),"",IF(AND(EDATE($D44,Milestones!$AA$128)&lt;=AsOfDate,EDATE($D44,Milestones!$AA$128)&gt;=SchemeStart,IF($X44=0,$AD44,IF(AND($Z44&lt;&gt;"",EDATE($D44,Milestones!$AA$128)&gt;=$Z44),$AC44,IF(AND($Y44&lt;&gt;"",EDATE($D44,Milestones!$AA$128)&gt;=$Y44),$AB44,$AA44)))=Milestones!$AB$128),UPPER(TEXT(EDATE($D44,Milestones!$AA$128),"dd mmm yy"))&amp;" "&amp;Milestones!$AB$128&amp;" "&amp;IF(AND(Milestones!$AB$128="FT",Milestones!$AA$128=FT_Y5,EDATE($D44,Milestones!$AA$128)&lt;PolicyEff),1,Milestones!$AC$128)&amp;";  ","")&amp;IF(AND(EDATE($D44,Milestones!$AA$129)&lt;=AsOfDate,EDATE($D44,Milestones!$AA$129)&gt;=SchemeStart,IF($X44=0,$AD44,IF(AND($Z44&lt;&gt;"",EDATE($D44,Milestones!$AA$129)&gt;=$Z44),$AC44,IF(AND($Y44&lt;&gt;"",EDATE($D44,Milestones!$AA$129)&gt;=$Y44),$AB44,$AA44)))=Milestones!$AB$129),UPPER(TEXT(EDATE($D44,Milestones!$AA$129),"dd mmm yy"))&amp;" "&amp;Milestones!$AB$129&amp;" "&amp;IF(AND(Milestones!$AB$129="FT",Milestones!$AA$129=FT_Y5,EDATE($D44,Milestones!$AA$129)&lt;PolicyEff),1,Milestones!$AC$129)&amp;";  ","")&amp;IF(AND(EDATE($D44,Milestones!$AA$130)&lt;=AsOfDate,EDATE($D44,Milestones!$AA$130)&gt;=SchemeStart,IF($X44=0,$AD44,IF(AND($Z44&lt;&gt;"",EDATE($D44,Milestones!$AA$130)&gt;=$Z44),$AC44,IF(AND($Y44&lt;&gt;"",EDATE($D44,Milestones!$AA$130)&gt;=$Y44),$AB44,$AA44)))=Milestones!$AB$130),UPPER(TEXT(EDATE($D44,Milestones!$AA$130),"dd mmm yy"))&amp;" "&amp;Milestones!$AB$130&amp;" "&amp;IF(AND(Milestones!$AB$130="FT",Milestones!$AA$130=FT_Y5,EDATE($D44,Milestones!$AA$130)&lt;PolicyEff),1,Milestones!$AC$130)&amp;";  ","")&amp;IF(AND(EDATE($D44,Milestones!$AA$131)&lt;=AsOfDate,EDATE($D44,Milestones!$AA$131)&gt;=SchemeStart,IF($X44=0,$AD44,IF(AND($Z44&lt;&gt;"",EDATE($D44,Milestones!$AA$131)&gt;=$Z44),$AC44,IF(AND($Y44&lt;&gt;"",EDATE($D44,Milestones!$AA$131)&gt;=$Y44),$AB44,$AA44)))=Milestones!$AB$131),UPPER(TEXT(EDATE($D44,Milestones!$AA$131),"dd mmm yy"))&amp;" "&amp;Milestones!$AB$131&amp;" "&amp;IF(AND(Milestones!$AB$131="FT",Milestones!$AA$131=FT_Y5,EDATE($D44,Milestones!$AA$131)&lt;PolicyEff),1,Milestones!$AC$131)&amp;";  ","")&amp;IF(AND(EDATE($D44,Milestones!$AA$132)&lt;=AsOfDate,EDATE($D44,Milestones!$AA$132)&gt;=SchemeStart,IF($X44=0,$AD44,IF(AND($Z44&lt;&gt;"",EDATE($D44,Milestones!$AA$132)&gt;=$Z44),$AC44,IF(AND($Y44&lt;&gt;"",EDATE($D44,Milestones!$AA$132)&gt;=$Y44),$AB44,$AA44)))=Milestones!$AB$132),UPPER(TEXT(EDATE($D44,Milestones!$AA$132),"dd mmm yy"))&amp;" "&amp;Milestones!$AB$132&amp;" "&amp;IF(AND(Milestones!$AB$132="FT",Milestones!$AA$132=FT_Y5,EDATE($D44,Milestones!$AA$132)&lt;PolicyEff),1,Milestones!$AC$132)&amp;";  ","")&amp;IF(AND(EDATE($D44,Milestones!$AA$133)&lt;=AsOfDate,EDATE($D44,Milestones!$AA$133)&gt;=SchemeStart,IF($X44=0,$AD44,IF(AND($Z44&lt;&gt;"",EDATE($D44,Milestones!$AA$133)&gt;=$Z44),$AC44,IF(AND($Y44&lt;&gt;"",EDATE($D44,Milestones!$AA$133)&gt;=$Y44),$AB44,$AA44)))=Milestones!$AB$133),UPPER(TEXT(EDATE($D44,Milestones!$AA$133),"dd mmm yy"))&amp;" "&amp;Milestones!$AB$133&amp;" "&amp;IF(AND(Milestones!$AB$133="FT",Milestones!$AA$133=FT_Y5,EDATE($D44,Milestones!$AA$133)&lt;PolicyEff),1,Milestones!$AC$133)&amp;";  ","")&amp;IF(AND(EDATE($D44,Milestones!$AA$134)&lt;=AsOfDate,EDATE($D44,Milestones!$AA$134)&gt;=SchemeStart,IF($X44=0,$AD44,IF(AND($Z44&lt;&gt;"",EDATE($D44,Milestones!$AA$134)&gt;=$Z44),$AC44,IF(AND($Y44&lt;&gt;"",EDATE($D44,Milestones!$AA$134)&gt;=$Y44),$AB44,$AA44)))=Milestones!$AB$134),UPPER(TEXT(EDATE($D44,Milestones!$AA$134),"dd mmm yy"))&amp;" "&amp;Milestones!$AB$134&amp;" "&amp;IF(AND(Milestones!$AB$134="FT",Milestones!$AA$134=FT_Y5,EDATE($D44,Milestones!$AA$134)&lt;PolicyEff),1,Milestones!$AC$134)&amp;";  ","")&amp;IF(AND(EDATE($D44,Milestones!$AA$135)&lt;=AsOfDate,EDATE($D44,Milestones!$AA$135)&gt;=SchemeStart,IF($X44=0,$AD44,IF(AND($Z44&lt;&gt;"",EDATE($D44,Milestones!$AA$135)&gt;=$Z44),$AC44,IF(AND($Y44&lt;&gt;"",EDATE($D44,Milestones!$AA$135)&gt;=$Y44),$AB44,$AA44)))=Milestones!$AB$135),UPPER(TEXT(EDATE($D44,Milestones!$AA$135),"dd mmm yy"))&amp;" "&amp;Milestones!$AB$135&amp;" "&amp;IF(AND(Milestones!$AB$135="FT",Milestones!$AA$135=FT_Y5,EDATE($D44,Milestones!$AA$135)&lt;PolicyEff),1,Milestones!$AC$135)&amp;";  ","")&amp;IF(AND(EDATE($D44,Milestones!$AA$136)&lt;=AsOfDate,EDATE($D44,Milestones!$AA$136)&gt;=SchemeStart,IF($X44=0,$AD44,IF(AND($Z44&lt;&gt;"",EDATE($D44,Milestones!$AA$136)&gt;=$Z44),$AC44,IF(AND($Y44&lt;&gt;"",EDATE($D44,Milestones!$AA$136)&gt;=$Y44),$AB44,$AA44)))=Milestones!$AB$136),UPPER(TEXT(EDATE($D44,Milestones!$AA$136),"dd mmm yy"))&amp;" "&amp;Milestones!$AB$136&amp;" "&amp;IF(AND(Milestones!$AB$136="FT",Milestones!$AA$136=FT_Y5,EDATE($D44,Milestones!$AA$136)&lt;PolicyEff),1,Milestones!$AC$136)&amp;";  ","")&amp;IF(AND(EDATE($D44,Milestones!$AA$137)&lt;=AsOfDate,EDATE($D44,Milestones!$AA$137)&gt;=SchemeStart,IF($X44=0,$AD44,IF(AND($Z44&lt;&gt;"",EDATE($D44,Milestones!$AA$137)&gt;=$Z44),$AC44,IF(AND($Y44&lt;&gt;"",EDATE($D44,Milestones!$AA$137)&gt;=$Y44),$AB44,$AA44)))=Milestones!$AB$137),UPPER(TEXT(EDATE($D44,Milestones!$AA$137),"dd mmm yy"))&amp;" "&amp;Milestones!$AB$137&amp;" "&amp;IF(AND(Milestones!$AB$137="FT",Milestones!$AA$137=FT_Y5,EDATE($D44,Milestones!$AA$137)&lt;PolicyEff),1,Milestones!$AC$137)&amp;";  ","")&amp;IF(AND(EDATE($D44,Milestones!$AA$138)&lt;=AsOfDate,EDATE($D44,Milestones!$AA$138)&gt;=SchemeStart,IF($X44=0,$AD44,IF(AND($Z44&lt;&gt;"",EDATE($D44,Milestones!$AA$138)&gt;=$Z44),$AC44,IF(AND($Y44&lt;&gt;"",EDATE($D44,Milestones!$AA$138)&gt;=$Y44),$AB44,$AA44)))=Milestones!$AB$138),UPPER(TEXT(EDATE($D44,Milestones!$AA$138),"dd mmm yy"))&amp;" "&amp;Milestones!$AB$138&amp;" "&amp;IF(AND(Milestones!$AB$138="FT",Milestones!$AA$138=FT_Y5,EDATE($D44,Milestones!$AA$138)&lt;PolicyEff),1,Milestones!$AC$138)&amp;";  ","")&amp;IF(AND(EDATE($D44,Milestones!$AA$139)&lt;=AsOfDate,EDATE($D44,Milestones!$AA$139)&gt;=SchemeStart,IF($X44=0,$AD44,IF(AND($Z44&lt;&gt;"",EDATE($D44,Milestones!$AA$139)&gt;=$Z44),$AC44,IF(AND($Y44&lt;&gt;"",EDATE($D44,Milestones!$AA$139)&gt;=$Y44),$AB44,$AA44)))=Milestones!$AB$139),UPPER(TEXT(EDATE($D44,Milestones!$AA$139),"dd mmm yy"))&amp;" "&amp;Milestones!$AB$139&amp;" "&amp;IF(AND(Milestones!$AB$139="FT",Milestones!$AA$139=FT_Y5,EDATE($D44,Milestones!$AA$139)&lt;PolicyEff),1,Milestones!$AC$139)&amp;";  ",""))</f>
        <v/>
      </c>
      <c r="S44" s="0" t="str">
        <f aca="false">IF(OR($A44="",$D44=""),"",IF(AND(EDATE($D44,Milestones!$AA$140)&lt;=AsOfDate,EDATE($D44,Milestones!$AA$140)&gt;=SchemeStart,IF($X44=0,$AD44,IF(AND($Z44&lt;&gt;"",EDATE($D44,Milestones!$AA$140)&gt;=$Z44),$AC44,IF(AND($Y44&lt;&gt;"",EDATE($D44,Milestones!$AA$140)&gt;=$Y44),$AB44,$AA44)))=Milestones!$AB$140),UPPER(TEXT(EDATE($D44,Milestones!$AA$140),"dd mmm yy"))&amp;" "&amp;Milestones!$AB$140&amp;" "&amp;IF(AND(Milestones!$AB$140="FT",Milestones!$AA$140=FT_Y5,EDATE($D44,Milestones!$AA$140)&lt;PolicyEff),1,Milestones!$AC$140)&amp;";  ","")&amp;IF(AND(EDATE($D44,Milestones!$AA$141)&lt;=AsOfDate,EDATE($D44,Milestones!$AA$141)&gt;=SchemeStart,IF($X44=0,$AD44,IF(AND($Z44&lt;&gt;"",EDATE($D44,Milestones!$AA$141)&gt;=$Z44),$AC44,IF(AND($Y44&lt;&gt;"",EDATE($D44,Milestones!$AA$141)&gt;=$Y44),$AB44,$AA44)))=Milestones!$AB$141),UPPER(TEXT(EDATE($D44,Milestones!$AA$141),"dd mmm yy"))&amp;" "&amp;Milestones!$AB$141&amp;" "&amp;IF(AND(Milestones!$AB$141="FT",Milestones!$AA$141=FT_Y5,EDATE($D44,Milestones!$AA$141)&lt;PolicyEff),1,Milestones!$AC$141)&amp;";  ","")&amp;IF(AND(EDATE($D44,Milestones!$AA$142)&lt;=AsOfDate,EDATE($D44,Milestones!$AA$142)&gt;=SchemeStart,IF($X44=0,$AD44,IF(AND($Z44&lt;&gt;"",EDATE($D44,Milestones!$AA$142)&gt;=$Z44),$AC44,IF(AND($Y44&lt;&gt;"",EDATE($D44,Milestones!$AA$142)&gt;=$Y44),$AB44,$AA44)))=Milestones!$AB$142),UPPER(TEXT(EDATE($D44,Milestones!$AA$142),"dd mmm yy"))&amp;" "&amp;Milestones!$AB$142&amp;" "&amp;IF(AND(Milestones!$AB$142="FT",Milestones!$AA$142=FT_Y5,EDATE($D44,Milestones!$AA$142)&lt;PolicyEff),1,Milestones!$AC$142)&amp;";  ","")&amp;IF(AND(EDATE($D44,Milestones!$AA$143)&lt;=AsOfDate,EDATE($D44,Milestones!$AA$143)&gt;=SchemeStart,IF($X44=0,$AD44,IF(AND($Z44&lt;&gt;"",EDATE($D44,Milestones!$AA$143)&gt;=$Z44),$AC44,IF(AND($Y44&lt;&gt;"",EDATE($D44,Milestones!$AA$143)&gt;=$Y44),$AB44,$AA44)))=Milestones!$AB$143),UPPER(TEXT(EDATE($D44,Milestones!$AA$143),"dd mmm yy"))&amp;" "&amp;Milestones!$AB$143&amp;" "&amp;IF(AND(Milestones!$AB$143="FT",Milestones!$AA$143=FT_Y5,EDATE($D44,Milestones!$AA$143)&lt;PolicyEff),1,Milestones!$AC$143)&amp;";  ","")&amp;IF(AND(EDATE($D44,Milestones!$AA$144)&lt;=AsOfDate,EDATE($D44,Milestones!$AA$144)&gt;=SchemeStart,IF($X44=0,$AD44,IF(AND($Z44&lt;&gt;"",EDATE($D44,Milestones!$AA$144)&gt;=$Z44),$AC44,IF(AND($Y44&lt;&gt;"",EDATE($D44,Milestones!$AA$144)&gt;=$Y44),$AB44,$AA44)))=Milestones!$AB$144),UPPER(TEXT(EDATE($D44,Milestones!$AA$144),"dd mmm yy"))&amp;" "&amp;Milestones!$AB$144&amp;" "&amp;IF(AND(Milestones!$AB$144="FT",Milestones!$AA$144=FT_Y5,EDATE($D44,Milestones!$AA$144)&lt;PolicyEff),1,Milestones!$AC$144)&amp;";  ","")&amp;IF(AND(EDATE($D44,Milestones!$AA$145)&lt;=AsOfDate,EDATE($D44,Milestones!$AA$145)&gt;=SchemeStart,IF($X44=0,$AD44,IF(AND($Z44&lt;&gt;"",EDATE($D44,Milestones!$AA$145)&gt;=$Z44),$AC44,IF(AND($Y44&lt;&gt;"",EDATE($D44,Milestones!$AA$145)&gt;=$Y44),$AB44,$AA44)))=Milestones!$AB$145),UPPER(TEXT(EDATE($D44,Milestones!$AA$145),"dd mmm yy"))&amp;" "&amp;Milestones!$AB$145&amp;" "&amp;IF(AND(Milestones!$AB$145="FT",Milestones!$AA$145=FT_Y5,EDATE($D44,Milestones!$AA$145)&lt;PolicyEff),1,Milestones!$AC$145)&amp;";  ","")&amp;IF(AND(EDATE($D44,Milestones!$AA$146)&lt;=AsOfDate,EDATE($D44,Milestones!$AA$146)&gt;=SchemeStart,IF($X44=0,$AD44,IF(AND($Z44&lt;&gt;"",EDATE($D44,Milestones!$AA$146)&gt;=$Z44),$AC44,IF(AND($Y44&lt;&gt;"",EDATE($D44,Milestones!$AA$146)&gt;=$Y44),$AB44,$AA44)))=Milestones!$AB$146),UPPER(TEXT(EDATE($D44,Milestones!$AA$146),"dd mmm yy"))&amp;" "&amp;Milestones!$AB$146&amp;" "&amp;IF(AND(Milestones!$AB$146="FT",Milestones!$AA$146=FT_Y5,EDATE($D44,Milestones!$AA$146)&lt;PolicyEff),1,Milestones!$AC$146)&amp;";  ","")&amp;IF(AND(EDATE($D44,Milestones!$AA$147)&lt;=AsOfDate,EDATE($D44,Milestones!$AA$147)&gt;=SchemeStart,IF($X44=0,$AD44,IF(AND($Z44&lt;&gt;"",EDATE($D44,Milestones!$AA$147)&gt;=$Z44),$AC44,IF(AND($Y44&lt;&gt;"",EDATE($D44,Milestones!$AA$147)&gt;=$Y44),$AB44,$AA44)))=Milestones!$AB$147),UPPER(TEXT(EDATE($D44,Milestones!$AA$147),"dd mmm yy"))&amp;" "&amp;Milestones!$AB$147&amp;" "&amp;IF(AND(Milestones!$AB$147="FT",Milestones!$AA$147=FT_Y5,EDATE($D44,Milestones!$AA$147)&lt;PolicyEff),1,Milestones!$AC$147)&amp;";  ","")&amp;IF(AND(EDATE($D44,Milestones!$AA$148)&lt;=AsOfDate,EDATE($D44,Milestones!$AA$148)&gt;=SchemeStart,IF($X44=0,$AD44,IF(AND($Z44&lt;&gt;"",EDATE($D44,Milestones!$AA$148)&gt;=$Z44),$AC44,IF(AND($Y44&lt;&gt;"",EDATE($D44,Milestones!$AA$148)&gt;=$Y44),$AB44,$AA44)))=Milestones!$AB$148),UPPER(TEXT(EDATE($D44,Milestones!$AA$148),"dd mmm yy"))&amp;" "&amp;Milestones!$AB$148&amp;" "&amp;IF(AND(Milestones!$AB$148="FT",Milestones!$AA$148=FT_Y5,EDATE($D44,Milestones!$AA$148)&lt;PolicyEff),1,Milestones!$AC$148)&amp;";  ","")&amp;IF(AND(EDATE($D44,Milestones!$AA$149)&lt;=AsOfDate,EDATE($D44,Milestones!$AA$149)&gt;=SchemeStart,IF($X44=0,$AD44,IF(AND($Z44&lt;&gt;"",EDATE($D44,Milestones!$AA$149)&gt;=$Z44),$AC44,IF(AND($Y44&lt;&gt;"",EDATE($D44,Milestones!$AA$149)&gt;=$Y44),$AB44,$AA44)))=Milestones!$AB$149),UPPER(TEXT(EDATE($D44,Milestones!$AA$149),"dd mmm yy"))&amp;" "&amp;Milestones!$AB$149&amp;" "&amp;IF(AND(Milestones!$AB$149="FT",Milestones!$AA$149=FT_Y5,EDATE($D44,Milestones!$AA$149)&lt;PolicyEff),1,Milestones!$AC$149)&amp;";  ","")&amp;IF(AND(EDATE($D44,Milestones!$AA$150)&lt;=AsOfDate,EDATE($D44,Milestones!$AA$150)&gt;=SchemeStart,IF($X44=0,$AD44,IF(AND($Z44&lt;&gt;"",EDATE($D44,Milestones!$AA$150)&gt;=$Z44),$AC44,IF(AND($Y44&lt;&gt;"",EDATE($D44,Milestones!$AA$150)&gt;=$Y44),$AB44,$AA44)))=Milestones!$AB$150),UPPER(TEXT(EDATE($D44,Milestones!$AA$150),"dd mmm yy"))&amp;" "&amp;Milestones!$AB$150&amp;" "&amp;IF(AND(Milestones!$AB$150="FT",Milestones!$AA$150=FT_Y5,EDATE($D44,Milestones!$AA$150)&lt;PolicyEff),1,Milestones!$AC$150)&amp;";  ","")&amp;IF(AND(EDATE($D44,Milestones!$AA$151)&lt;=AsOfDate,EDATE($D44,Milestones!$AA$151)&gt;=SchemeStart,IF($X44=0,$AD44,IF(AND($Z44&lt;&gt;"",EDATE($D44,Milestones!$AA$151)&gt;=$Z44),$AC44,IF(AND($Y44&lt;&gt;"",EDATE($D44,Milestones!$AA$151)&gt;=$Y44),$AB44,$AA44)))=Milestones!$AB$151),UPPER(TEXT(EDATE($D44,Milestones!$AA$151),"dd mmm yy"))&amp;" "&amp;Milestones!$AB$151&amp;" "&amp;IF(AND(Milestones!$AB$151="FT",Milestones!$AA$151=FT_Y5,EDATE($D44,Milestones!$AA$151)&lt;PolicyEff),1,Milestones!$AC$151)&amp;";  ",""))</f>
        <v/>
      </c>
      <c r="T44" s="0" t="str">
        <f aca="false">IF(OR($A44="",$D44=""),"",IF(AND(EDATE($D44,Milestones!$AA$152)&lt;=AsOfDate,EDATE($D44,Milestones!$AA$152)&gt;=SchemeStart,IF($X44=0,$AD44,IF(AND($Z44&lt;&gt;"",EDATE($D44,Milestones!$AA$152)&gt;=$Z44),$AC44,IF(AND($Y44&lt;&gt;"",EDATE($D44,Milestones!$AA$152)&gt;=$Y44),$AB44,$AA44)))=Milestones!$AB$152),UPPER(TEXT(EDATE($D44,Milestones!$AA$152),"dd mmm yy"))&amp;" "&amp;Milestones!$AB$152&amp;" "&amp;IF(AND(Milestones!$AB$152="FT",Milestones!$AA$152=FT_Y5,EDATE($D44,Milestones!$AA$152)&lt;PolicyEff),1,Milestones!$AC$152)&amp;";  ","")&amp;IF(AND(EDATE($D44,Milestones!$AA$153)&lt;=AsOfDate,EDATE($D44,Milestones!$AA$153)&gt;=SchemeStart,IF($X44=0,$AD44,IF(AND($Z44&lt;&gt;"",EDATE($D44,Milestones!$AA$153)&gt;=$Z44),$AC44,IF(AND($Y44&lt;&gt;"",EDATE($D44,Milestones!$AA$153)&gt;=$Y44),$AB44,$AA44)))=Milestones!$AB$153),UPPER(TEXT(EDATE($D44,Milestones!$AA$153),"dd mmm yy"))&amp;" "&amp;Milestones!$AB$153&amp;" "&amp;IF(AND(Milestones!$AB$153="FT",Milestones!$AA$153=FT_Y5,EDATE($D44,Milestones!$AA$153)&lt;PolicyEff),1,Milestones!$AC$153)&amp;";  ","")&amp;IF(AND(EDATE($D44,Milestones!$AA$154)&lt;=AsOfDate,EDATE($D44,Milestones!$AA$154)&gt;=SchemeStart,IF($X44=0,$AD44,IF(AND($Z44&lt;&gt;"",EDATE($D44,Milestones!$AA$154)&gt;=$Z44),$AC44,IF(AND($Y44&lt;&gt;"",EDATE($D44,Milestones!$AA$154)&gt;=$Y44),$AB44,$AA44)))=Milestones!$AB$154),UPPER(TEXT(EDATE($D44,Milestones!$AA$154),"dd mmm yy"))&amp;" "&amp;Milestones!$AB$154&amp;" "&amp;IF(AND(Milestones!$AB$154="FT",Milestones!$AA$154=FT_Y5,EDATE($D44,Milestones!$AA$154)&lt;PolicyEff),1,Milestones!$AC$154)&amp;";  ","")&amp;IF(AND(EDATE($D44,Milestones!$AA$155)&lt;=AsOfDate,EDATE($D44,Milestones!$AA$155)&gt;=SchemeStart,IF($X44=0,$AD44,IF(AND($Z44&lt;&gt;"",EDATE($D44,Milestones!$AA$155)&gt;=$Z44),$AC44,IF(AND($Y44&lt;&gt;"",EDATE($D44,Milestones!$AA$155)&gt;=$Y44),$AB44,$AA44)))=Milestones!$AB$155),UPPER(TEXT(EDATE($D44,Milestones!$AA$155),"dd mmm yy"))&amp;" "&amp;Milestones!$AB$155&amp;" "&amp;IF(AND(Milestones!$AB$155="FT",Milestones!$AA$155=FT_Y5,EDATE($D44,Milestones!$AA$155)&lt;PolicyEff),1,Milestones!$AC$155)&amp;";  ","")&amp;IF(AND(EDATE($D44,Milestones!$AA$156)&lt;=AsOfDate,EDATE($D44,Milestones!$AA$156)&gt;=SchemeStart,IF($X44=0,$AD44,IF(AND($Z44&lt;&gt;"",EDATE($D44,Milestones!$AA$156)&gt;=$Z44),$AC44,IF(AND($Y44&lt;&gt;"",EDATE($D44,Milestones!$AA$156)&gt;=$Y44),$AB44,$AA44)))=Milestones!$AB$156),UPPER(TEXT(EDATE($D44,Milestones!$AA$156),"dd mmm yy"))&amp;" "&amp;Milestones!$AB$156&amp;" "&amp;IF(AND(Milestones!$AB$156="FT",Milestones!$AA$156=FT_Y5,EDATE($D44,Milestones!$AA$156)&lt;PolicyEff),1,Milestones!$AC$156)&amp;";  ","")&amp;IF(AND(EDATE($D44,Milestones!$AA$157)&lt;=AsOfDate,EDATE($D44,Milestones!$AA$157)&gt;=SchemeStart,IF($X44=0,$AD44,IF(AND($Z44&lt;&gt;"",EDATE($D44,Milestones!$AA$157)&gt;=$Z44),$AC44,IF(AND($Y44&lt;&gt;"",EDATE($D44,Milestones!$AA$157)&gt;=$Y44),$AB44,$AA44)))=Milestones!$AB$157),UPPER(TEXT(EDATE($D44,Milestones!$AA$157),"dd mmm yy"))&amp;" "&amp;Milestones!$AB$157&amp;" "&amp;IF(AND(Milestones!$AB$157="FT",Milestones!$AA$157=FT_Y5,EDATE($D44,Milestones!$AA$157)&lt;PolicyEff),1,Milestones!$AC$157)&amp;";  ","")&amp;IF(AND(EDATE($D44,Milestones!$AA$158)&lt;=AsOfDate,EDATE($D44,Milestones!$AA$158)&gt;=SchemeStart,IF($X44=0,$AD44,IF(AND($Z44&lt;&gt;"",EDATE($D44,Milestones!$AA$158)&gt;=$Z44),$AC44,IF(AND($Y44&lt;&gt;"",EDATE($D44,Milestones!$AA$158)&gt;=$Y44),$AB44,$AA44)))=Milestones!$AB$158),UPPER(TEXT(EDATE($D44,Milestones!$AA$158),"dd mmm yy"))&amp;" "&amp;Milestones!$AB$158&amp;" "&amp;IF(AND(Milestones!$AB$158="FT",Milestones!$AA$158=FT_Y5,EDATE($D44,Milestones!$AA$158)&lt;PolicyEff),1,Milestones!$AC$158)&amp;";  ","")&amp;IF(AND(EDATE($D44,Milestones!$AA$159)&lt;=AsOfDate,EDATE($D44,Milestones!$AA$159)&gt;=SchemeStart,IF($X44=0,$AD44,IF(AND($Z44&lt;&gt;"",EDATE($D44,Milestones!$AA$159)&gt;=$Z44),$AC44,IF(AND($Y44&lt;&gt;"",EDATE($D44,Milestones!$AA$159)&gt;=$Y44),$AB44,$AA44)))=Milestones!$AB$159),UPPER(TEXT(EDATE($D44,Milestones!$AA$159),"dd mmm yy"))&amp;" "&amp;Milestones!$AB$159&amp;" "&amp;IF(AND(Milestones!$AB$159="FT",Milestones!$AA$159=FT_Y5,EDATE($D44,Milestones!$AA$159)&lt;PolicyEff),1,Milestones!$AC$159)&amp;";  ","")&amp;IF(AND(EDATE($D44,Milestones!$AA$160)&lt;=AsOfDate,EDATE($D44,Milestones!$AA$160)&gt;=SchemeStart,IF($X44=0,$AD44,IF(AND($Z44&lt;&gt;"",EDATE($D44,Milestones!$AA$160)&gt;=$Z44),$AC44,IF(AND($Y44&lt;&gt;"",EDATE($D44,Milestones!$AA$160)&gt;=$Y44),$AB44,$AA44)))=Milestones!$AB$160),UPPER(TEXT(EDATE($D44,Milestones!$AA$160),"dd mmm yy"))&amp;" "&amp;Milestones!$AB$160&amp;" "&amp;IF(AND(Milestones!$AB$160="FT",Milestones!$AA$160=FT_Y5,EDATE($D44,Milestones!$AA$160)&lt;PolicyEff),1,Milestones!$AC$160)&amp;";  ","")&amp;IF(AND(EDATE($D44,Milestones!$AA$161)&lt;=AsOfDate,EDATE($D44,Milestones!$AA$161)&gt;=SchemeStart,IF($X44=0,$AD44,IF(AND($Z44&lt;&gt;"",EDATE($D44,Milestones!$AA$161)&gt;=$Z44),$AC44,IF(AND($Y44&lt;&gt;"",EDATE($D44,Milestones!$AA$161)&gt;=$Y44),$AB44,$AA44)))=Milestones!$AB$161),UPPER(TEXT(EDATE($D44,Milestones!$AA$161),"dd mmm yy"))&amp;" "&amp;Milestones!$AB$161&amp;" "&amp;IF(AND(Milestones!$AB$161="FT",Milestones!$AA$161=FT_Y5,EDATE($D44,Milestones!$AA$161)&lt;PolicyEff),1,Milestones!$AC$161)&amp;";  ","")&amp;IF(AND(EDATE($D44,Milestones!$AA$162)&lt;=AsOfDate,EDATE($D44,Milestones!$AA$162)&gt;=SchemeStart,IF($X44=0,$AD44,IF(AND($Z44&lt;&gt;"",EDATE($D44,Milestones!$AA$162)&gt;=$Z44),$AC44,IF(AND($Y44&lt;&gt;"",EDATE($D44,Milestones!$AA$162)&gt;=$Y44),$AB44,$AA44)))=Milestones!$AB$162),UPPER(TEXT(EDATE($D44,Milestones!$AA$162),"dd mmm yy"))&amp;" "&amp;Milestones!$AB$162&amp;" "&amp;IF(AND(Milestones!$AB$162="FT",Milestones!$AA$162=FT_Y5,EDATE($D44,Milestones!$AA$162)&lt;PolicyEff),1,Milestones!$AC$162)&amp;";  ","")&amp;IF(AND(EDATE($D44,Milestones!$AA$163)&lt;=AsOfDate,EDATE($D44,Milestones!$AA$163)&gt;=SchemeStart,IF($X44=0,$AD44,IF(AND($Z44&lt;&gt;"",EDATE($D44,Milestones!$AA$163)&gt;=$Z44),$AC44,IF(AND($Y44&lt;&gt;"",EDATE($D44,Milestones!$AA$163)&gt;=$Y44),$AB44,$AA44)))=Milestones!$AB$163),UPPER(TEXT(EDATE($D44,Milestones!$AA$163),"dd mmm yy"))&amp;" "&amp;Milestones!$AB$163&amp;" "&amp;IF(AND(Milestones!$AB$163="FT",Milestones!$AA$163=FT_Y5,EDATE($D44,Milestones!$AA$163)&lt;PolicyEff),1,Milestones!$AC$163)&amp;";  ",""))</f>
        <v/>
      </c>
      <c r="U44" s="0" t="str">
        <f aca="false">IF(OR($A44="",$D44=""),"",IF(AND(EDATE($D44,Milestones!$AA$164)&lt;=AsOfDate,EDATE($D44,Milestones!$AA$164)&gt;=SchemeStart,IF($X44=0,$AD44,IF(AND($Z44&lt;&gt;"",EDATE($D44,Milestones!$AA$164)&gt;=$Z44),$AC44,IF(AND($Y44&lt;&gt;"",EDATE($D44,Milestones!$AA$164)&gt;=$Y44),$AB44,$AA44)))=Milestones!$AB$164),UPPER(TEXT(EDATE($D44,Milestones!$AA$164),"dd mmm yy"))&amp;" "&amp;Milestones!$AB$164&amp;" "&amp;IF(AND(Milestones!$AB$164="FT",Milestones!$AA$164=FT_Y5,EDATE($D44,Milestones!$AA$164)&lt;PolicyEff),1,Milestones!$AC$164)&amp;";  ","")&amp;IF(AND(EDATE($D44,Milestones!$AA$165)&lt;=AsOfDate,EDATE($D44,Milestones!$AA$165)&gt;=SchemeStart,IF($X44=0,$AD44,IF(AND($Z44&lt;&gt;"",EDATE($D44,Milestones!$AA$165)&gt;=$Z44),$AC44,IF(AND($Y44&lt;&gt;"",EDATE($D44,Milestones!$AA$165)&gt;=$Y44),$AB44,$AA44)))=Milestones!$AB$165),UPPER(TEXT(EDATE($D44,Milestones!$AA$165),"dd mmm yy"))&amp;" "&amp;Milestones!$AB$165&amp;" "&amp;IF(AND(Milestones!$AB$165="FT",Milestones!$AA$165=FT_Y5,EDATE($D44,Milestones!$AA$165)&lt;PolicyEff),1,Milestones!$AC$165)&amp;";  ","")&amp;IF(AND(EDATE($D44,Milestones!$AA$166)&lt;=AsOfDate,EDATE($D44,Milestones!$AA$166)&gt;=SchemeStart,IF($X44=0,$AD44,IF(AND($Z44&lt;&gt;"",EDATE($D44,Milestones!$AA$166)&gt;=$Z44),$AC44,IF(AND($Y44&lt;&gt;"",EDATE($D44,Milestones!$AA$166)&gt;=$Y44),$AB44,$AA44)))=Milestones!$AB$166),UPPER(TEXT(EDATE($D44,Milestones!$AA$166),"dd mmm yy"))&amp;" "&amp;Milestones!$AB$166&amp;" "&amp;IF(AND(Milestones!$AB$166="FT",Milestones!$AA$166=FT_Y5,EDATE($D44,Milestones!$AA$166)&lt;PolicyEff),1,Milestones!$AC$166)&amp;";  ","")&amp;IF(AND(EDATE($D44,Milestones!$AA$167)&lt;=AsOfDate,EDATE($D44,Milestones!$AA$167)&gt;=SchemeStart,IF($X44=0,$AD44,IF(AND($Z44&lt;&gt;"",EDATE($D44,Milestones!$AA$167)&gt;=$Z44),$AC44,IF(AND($Y44&lt;&gt;"",EDATE($D44,Milestones!$AA$167)&gt;=$Y44),$AB44,$AA44)))=Milestones!$AB$167),UPPER(TEXT(EDATE($D44,Milestones!$AA$167),"dd mmm yy"))&amp;" "&amp;Milestones!$AB$167&amp;" "&amp;IF(AND(Milestones!$AB$167="FT",Milestones!$AA$167=FT_Y5,EDATE($D44,Milestones!$AA$167)&lt;PolicyEff),1,Milestones!$AC$167)&amp;";  ","")&amp;IF(AND(EDATE($D44,Milestones!$AA$168)&lt;=AsOfDate,EDATE($D44,Milestones!$AA$168)&gt;=SchemeStart,IF($X44=0,$AD44,IF(AND($Z44&lt;&gt;"",EDATE($D44,Milestones!$AA$168)&gt;=$Z44),$AC44,IF(AND($Y44&lt;&gt;"",EDATE($D44,Milestones!$AA$168)&gt;=$Y44),$AB44,$AA44)))=Milestones!$AB$168),UPPER(TEXT(EDATE($D44,Milestones!$AA$168),"dd mmm yy"))&amp;" "&amp;Milestones!$AB$168&amp;" "&amp;IF(AND(Milestones!$AB$168="FT",Milestones!$AA$168=FT_Y5,EDATE($D44,Milestones!$AA$168)&lt;PolicyEff),1,Milestones!$AC$168)&amp;";  ","")&amp;IF(AND(EDATE($D44,Milestones!$AA$169)&lt;=AsOfDate,EDATE($D44,Milestones!$AA$169)&gt;=SchemeStart,IF($X44=0,$AD44,IF(AND($Z44&lt;&gt;"",EDATE($D44,Milestones!$AA$169)&gt;=$Z44),$AC44,IF(AND($Y44&lt;&gt;"",EDATE($D44,Milestones!$AA$169)&gt;=$Y44),$AB44,$AA44)))=Milestones!$AB$169),UPPER(TEXT(EDATE($D44,Milestones!$AA$169),"dd mmm yy"))&amp;" "&amp;Milestones!$AB$169&amp;" "&amp;IF(AND(Milestones!$AB$169="FT",Milestones!$AA$169=FT_Y5,EDATE($D44,Milestones!$AA$169)&lt;PolicyEff),1,Milestones!$AC$169)&amp;";  ","")&amp;IF(AND(EDATE($D44,Milestones!$AA$170)&lt;=AsOfDate,EDATE($D44,Milestones!$AA$170)&gt;=SchemeStart,IF($X44=0,$AD44,IF(AND($Z44&lt;&gt;"",EDATE($D44,Milestones!$AA$170)&gt;=$Z44),$AC44,IF(AND($Y44&lt;&gt;"",EDATE($D44,Milestones!$AA$170)&gt;=$Y44),$AB44,$AA44)))=Milestones!$AB$170),UPPER(TEXT(EDATE($D44,Milestones!$AA$170),"dd mmm yy"))&amp;" "&amp;Milestones!$AB$170&amp;" "&amp;IF(AND(Milestones!$AB$170="FT",Milestones!$AA$170=FT_Y5,EDATE($D44,Milestones!$AA$170)&lt;PolicyEff),1,Milestones!$AC$170)&amp;";  ","")&amp;IF(AND(EDATE($D44,Milestones!$AA$171)&lt;=AsOfDate,EDATE($D44,Milestones!$AA$171)&gt;=SchemeStart,IF($X44=0,$AD44,IF(AND($Z44&lt;&gt;"",EDATE($D44,Milestones!$AA$171)&gt;=$Z44),$AC44,IF(AND($Y44&lt;&gt;"",EDATE($D44,Milestones!$AA$171)&gt;=$Y44),$AB44,$AA44)))=Milestones!$AB$171),UPPER(TEXT(EDATE($D44,Milestones!$AA$171),"dd mmm yy"))&amp;" "&amp;Milestones!$AB$171&amp;" "&amp;IF(AND(Milestones!$AB$171="FT",Milestones!$AA$171=FT_Y5,EDATE($D44,Milestones!$AA$171)&lt;PolicyEff),1,Milestones!$AC$171)&amp;";  ","")&amp;IF(AND(EDATE($D44,Milestones!$AA$172)&lt;=AsOfDate,EDATE($D44,Milestones!$AA$172)&gt;=SchemeStart,IF($X44=0,$AD44,IF(AND($Z44&lt;&gt;"",EDATE($D44,Milestones!$AA$172)&gt;=$Z44),$AC44,IF(AND($Y44&lt;&gt;"",EDATE($D44,Milestones!$AA$172)&gt;=$Y44),$AB44,$AA44)))=Milestones!$AB$172),UPPER(TEXT(EDATE($D44,Milestones!$AA$172),"dd mmm yy"))&amp;" "&amp;Milestones!$AB$172&amp;" "&amp;IF(AND(Milestones!$AB$172="FT",Milestones!$AA$172=FT_Y5,EDATE($D44,Milestones!$AA$172)&lt;PolicyEff),1,Milestones!$AC$172)&amp;";  ","")&amp;IF(AND(EDATE($D44,Milestones!$AA$173)&lt;=AsOfDate,EDATE($D44,Milestones!$AA$173)&gt;=SchemeStart,IF($X44=0,$AD44,IF(AND($Z44&lt;&gt;"",EDATE($D44,Milestones!$AA$173)&gt;=$Z44),$AC44,IF(AND($Y44&lt;&gt;"",EDATE($D44,Milestones!$AA$173)&gt;=$Y44),$AB44,$AA44)))=Milestones!$AB$173),UPPER(TEXT(EDATE($D44,Milestones!$AA$173),"dd mmm yy"))&amp;" "&amp;Milestones!$AB$173&amp;" "&amp;IF(AND(Milestones!$AB$173="FT",Milestones!$AA$173=FT_Y5,EDATE($D44,Milestones!$AA$173)&lt;PolicyEff),1,Milestones!$AC$173)&amp;";  ","")&amp;IF(AND(EDATE($D44,Milestones!$AA$174)&lt;=AsOfDate,EDATE($D44,Milestones!$AA$174)&gt;=SchemeStart,IF($X44=0,$AD44,IF(AND($Z44&lt;&gt;"",EDATE($D44,Milestones!$AA$174)&gt;=$Z44),$AC44,IF(AND($Y44&lt;&gt;"",EDATE($D44,Milestones!$AA$174)&gt;=$Y44),$AB44,$AA44)))=Milestones!$AB$174),UPPER(TEXT(EDATE($D44,Milestones!$AA$174),"dd mmm yy"))&amp;" "&amp;Milestones!$AB$174&amp;" "&amp;IF(AND(Milestones!$AB$174="FT",Milestones!$AA$174=FT_Y5,EDATE($D44,Milestones!$AA$174)&lt;PolicyEff),1,Milestones!$AC$174)&amp;";  ","")&amp;IF(AND(EDATE($D44,Milestones!$AA$175)&lt;=AsOfDate,EDATE($D44,Milestones!$AA$175)&gt;=SchemeStart,IF($X44=0,$AD44,IF(AND($Z44&lt;&gt;"",EDATE($D44,Milestones!$AA$175)&gt;=$Z44),$AC44,IF(AND($Y44&lt;&gt;"",EDATE($D44,Milestones!$AA$175)&gt;=$Y44),$AB44,$AA44)))=Milestones!$AB$175),UPPER(TEXT(EDATE($D44,Milestones!$AA$175),"dd mmm yy"))&amp;" "&amp;Milestones!$AB$175&amp;" "&amp;IF(AND(Milestones!$AB$175="FT",Milestones!$AA$175=FT_Y5,EDATE($D44,Milestones!$AA$175)&lt;PolicyEff),1,Milestones!$AC$175)&amp;";  ",""))</f>
        <v/>
      </c>
      <c r="V44" s="0" t="str">
        <f aca="false">IF(OR($A44="",$D44=""),"",IF(AND(EDATE($D44,Milestones!$AA$176)&lt;=AsOfDate,EDATE($D44,Milestones!$AA$176)&gt;=SchemeStart,IF($X44=0,$AD44,IF(AND($Z44&lt;&gt;"",EDATE($D44,Milestones!$AA$176)&gt;=$Z44),$AC44,IF(AND($Y44&lt;&gt;"",EDATE($D44,Milestones!$AA$176)&gt;=$Y44),$AB44,$AA44)))=Milestones!$AB$176),UPPER(TEXT(EDATE($D44,Milestones!$AA$176),"dd mmm yy"))&amp;" "&amp;Milestones!$AB$176&amp;" "&amp;IF(AND(Milestones!$AB$176="FT",Milestones!$AA$176=FT_Y5,EDATE($D44,Milestones!$AA$176)&lt;PolicyEff),1,Milestones!$AC$176)&amp;";  ","")&amp;IF(AND(EDATE($D44,Milestones!$AA$177)&lt;=AsOfDate,EDATE($D44,Milestones!$AA$177)&gt;=SchemeStart,IF($X44=0,$AD44,IF(AND($Z44&lt;&gt;"",EDATE($D44,Milestones!$AA$177)&gt;=$Z44),$AC44,IF(AND($Y44&lt;&gt;"",EDATE($D44,Milestones!$AA$177)&gt;=$Y44),$AB44,$AA44)))=Milestones!$AB$177),UPPER(TEXT(EDATE($D44,Milestones!$AA$177),"dd mmm yy"))&amp;" "&amp;Milestones!$AB$177&amp;" "&amp;IF(AND(Milestones!$AB$177="FT",Milestones!$AA$177=FT_Y5,EDATE($D44,Milestones!$AA$177)&lt;PolicyEff),1,Milestones!$AC$177)&amp;";  ","")&amp;IF(AND(EDATE($D44,Milestones!$AA$178)&lt;=AsOfDate,EDATE($D44,Milestones!$AA$178)&gt;=SchemeStart,IF($X44=0,$AD44,IF(AND($Z44&lt;&gt;"",EDATE($D44,Milestones!$AA$178)&gt;=$Z44),$AC44,IF(AND($Y44&lt;&gt;"",EDATE($D44,Milestones!$AA$178)&gt;=$Y44),$AB44,$AA44)))=Milestones!$AB$178),UPPER(TEXT(EDATE($D44,Milestones!$AA$178),"dd mmm yy"))&amp;" "&amp;Milestones!$AB$178&amp;" "&amp;IF(AND(Milestones!$AB$178="FT",Milestones!$AA$178=FT_Y5,EDATE($D44,Milestones!$AA$178)&lt;PolicyEff),1,Milestones!$AC$178)&amp;";  ","")&amp;IF(AND(EDATE($D44,Milestones!$AA$179)&lt;=AsOfDate,EDATE($D44,Milestones!$AA$179)&gt;=SchemeStart,IF($X44=0,$AD44,IF(AND($Z44&lt;&gt;"",EDATE($D44,Milestones!$AA$179)&gt;=$Z44),$AC44,IF(AND($Y44&lt;&gt;"",EDATE($D44,Milestones!$AA$179)&gt;=$Y44),$AB44,$AA44)))=Milestones!$AB$179),UPPER(TEXT(EDATE($D44,Milestones!$AA$179),"dd mmm yy"))&amp;" "&amp;Milestones!$AB$179&amp;" "&amp;IF(AND(Milestones!$AB$179="FT",Milestones!$AA$179=FT_Y5,EDATE($D44,Milestones!$AA$179)&lt;PolicyEff),1,Milestones!$AC$179)&amp;";  ","")&amp;IF(AND(EDATE($D44,Milestones!$AA$180)&lt;=AsOfDate,EDATE($D44,Milestones!$AA$180)&gt;=SchemeStart,IF($X44=0,$AD44,IF(AND($Z44&lt;&gt;"",EDATE($D44,Milestones!$AA$180)&gt;=$Z44),$AC44,IF(AND($Y44&lt;&gt;"",EDATE($D44,Milestones!$AA$180)&gt;=$Y44),$AB44,$AA44)))=Milestones!$AB$180),UPPER(TEXT(EDATE($D44,Milestones!$AA$180),"dd mmm yy"))&amp;" "&amp;Milestones!$AB$180&amp;" "&amp;IF(AND(Milestones!$AB$180="FT",Milestones!$AA$180=FT_Y5,EDATE($D44,Milestones!$AA$180)&lt;PolicyEff),1,Milestones!$AC$180)&amp;";  ","")&amp;IF(AND(EDATE($D44,Milestones!$AA$181)&lt;=AsOfDate,EDATE($D44,Milestones!$AA$181)&gt;=SchemeStart,IF($X44=0,$AD44,IF(AND($Z44&lt;&gt;"",EDATE($D44,Milestones!$AA$181)&gt;=$Z44),$AC44,IF(AND($Y44&lt;&gt;"",EDATE($D44,Milestones!$AA$181)&gt;=$Y44),$AB44,$AA44)))=Milestones!$AB$181),UPPER(TEXT(EDATE($D44,Milestones!$AA$181),"dd mmm yy"))&amp;" "&amp;Milestones!$AB$181&amp;" "&amp;IF(AND(Milestones!$AB$181="FT",Milestones!$AA$181=FT_Y5,EDATE($D44,Milestones!$AA$181)&lt;PolicyEff),1,Milestones!$AC$181)&amp;";  ","")&amp;IF(AND(EDATE($D44,Milestones!$AA$182)&lt;=AsOfDate,EDATE($D44,Milestones!$AA$182)&gt;=SchemeStart,IF($X44=0,$AD44,IF(AND($Z44&lt;&gt;"",EDATE($D44,Milestones!$AA$182)&gt;=$Z44),$AC44,IF(AND($Y44&lt;&gt;"",EDATE($D44,Milestones!$AA$182)&gt;=$Y44),$AB44,$AA44)))=Milestones!$AB$182),UPPER(TEXT(EDATE($D44,Milestones!$AA$182),"dd mmm yy"))&amp;" "&amp;Milestones!$AB$182&amp;" "&amp;IF(AND(Milestones!$AB$182="FT",Milestones!$AA$182=FT_Y5,EDATE($D44,Milestones!$AA$182)&lt;PolicyEff),1,Milestones!$AC$182)&amp;";  ","")&amp;IF(AND(EDATE($D44,Milestones!$AA$183)&lt;=AsOfDate,EDATE($D44,Milestones!$AA$183)&gt;=SchemeStart,IF($X44=0,$AD44,IF(AND($Z44&lt;&gt;"",EDATE($D44,Milestones!$AA$183)&gt;=$Z44),$AC44,IF(AND($Y44&lt;&gt;"",EDATE($D44,Milestones!$AA$183)&gt;=$Y44),$AB44,$AA44)))=Milestones!$AB$183),UPPER(TEXT(EDATE($D44,Milestones!$AA$183),"dd mmm yy"))&amp;" "&amp;Milestones!$AB$183&amp;" "&amp;IF(AND(Milestones!$AB$183="FT",Milestones!$AA$183=FT_Y5,EDATE($D44,Milestones!$AA$183)&lt;PolicyEff),1,Milestones!$AC$183)&amp;";  ","")&amp;IF(AND(EDATE($D44,Milestones!$AA$184)&lt;=AsOfDate,EDATE($D44,Milestones!$AA$184)&gt;=SchemeStart,IF($X44=0,$AD44,IF(AND($Z44&lt;&gt;"",EDATE($D44,Milestones!$AA$184)&gt;=$Z44),$AC44,IF(AND($Y44&lt;&gt;"",EDATE($D44,Milestones!$AA$184)&gt;=$Y44),$AB44,$AA44)))=Milestones!$AB$184),UPPER(TEXT(EDATE($D44,Milestones!$AA$184),"dd mmm yy"))&amp;" "&amp;Milestones!$AB$184&amp;" "&amp;IF(AND(Milestones!$AB$184="FT",Milestones!$AA$184=FT_Y5,EDATE($D44,Milestones!$AA$184)&lt;PolicyEff),1,Milestones!$AC$184)&amp;";  ","")&amp;IF(AND(EDATE($D44,Milestones!$AA$185)&lt;=AsOfDate,EDATE($D44,Milestones!$AA$185)&gt;=SchemeStart,IF($X44=0,$AD44,IF(AND($Z44&lt;&gt;"",EDATE($D44,Milestones!$AA$185)&gt;=$Z44),$AC44,IF(AND($Y44&lt;&gt;"",EDATE($D44,Milestones!$AA$185)&gt;=$Y44),$AB44,$AA44)))=Milestones!$AB$185),UPPER(TEXT(EDATE($D44,Milestones!$AA$185),"dd mmm yy"))&amp;" "&amp;Milestones!$AB$185&amp;" "&amp;IF(AND(Milestones!$AB$185="FT",Milestones!$AA$185=FT_Y5,EDATE($D44,Milestones!$AA$185)&lt;PolicyEff),1,Milestones!$AC$185)&amp;";  ","")&amp;IF(AND(EDATE($D44,Milestones!$AA$186)&lt;=AsOfDate,EDATE($D44,Milestones!$AA$186)&gt;=SchemeStart,IF($X44=0,$AD44,IF(AND($Z44&lt;&gt;"",EDATE($D44,Milestones!$AA$186)&gt;=$Z44),$AC44,IF(AND($Y44&lt;&gt;"",EDATE($D44,Milestones!$AA$186)&gt;=$Y44),$AB44,$AA44)))=Milestones!$AB$186),UPPER(TEXT(EDATE($D44,Milestones!$AA$186),"dd mmm yy"))&amp;" "&amp;Milestones!$AB$186&amp;" "&amp;IF(AND(Milestones!$AB$186="FT",Milestones!$AA$186=FT_Y5,EDATE($D44,Milestones!$AA$186)&lt;PolicyEff),1,Milestones!$AC$186)&amp;";  ","")&amp;IF(AND(EDATE($D44,Milestones!$AA$187)&lt;=AsOfDate,EDATE($D44,Milestones!$AA$187)&gt;=SchemeStart,IF($X44=0,$AD44,IF(AND($Z44&lt;&gt;"",EDATE($D44,Milestones!$AA$187)&gt;=$Z44),$AC44,IF(AND($Y44&lt;&gt;"",EDATE($D44,Milestones!$AA$187)&gt;=$Y44),$AB44,$AA44)))=Milestones!$AB$187),UPPER(TEXT(EDATE($D44,Milestones!$AA$187),"dd mmm yy"))&amp;" "&amp;Milestones!$AB$187&amp;" "&amp;IF(AND(Milestones!$AB$187="FT",Milestones!$AA$187=FT_Y5,EDATE($D44,Milestones!$AA$187)&lt;PolicyEff),1,Milestones!$AC$187)&amp;";  ",""))</f>
        <v/>
      </c>
      <c r="W44" s="0" t="str">
        <f aca="false">IF(OR($A44="",$D44=""),"",IF(AND(EDATE($D44,Milestones!$AA$188)&lt;=AsOfDate,EDATE($D44,Milestones!$AA$188)&gt;=SchemeStart,IF($X44=0,$AD44,IF(AND($Z44&lt;&gt;"",EDATE($D44,Milestones!$AA$188)&gt;=$Z44),$AC44,IF(AND($Y44&lt;&gt;"",EDATE($D44,Milestones!$AA$188)&gt;=$Y44),$AB44,$AA44)))=Milestones!$AB$188),UPPER(TEXT(EDATE($D44,Milestones!$AA$188),"dd mmm yy"))&amp;" "&amp;Milestones!$AB$188&amp;" "&amp;IF(AND(Milestones!$AB$188="FT",Milestones!$AA$188=FT_Y5,EDATE($D44,Milestones!$AA$188)&lt;PolicyEff),1,Milestones!$AC$188)&amp;";  ","")&amp;IF(AND(EDATE($D44,Milestones!$AA$189)&lt;=AsOfDate,EDATE($D44,Milestones!$AA$189)&gt;=SchemeStart,IF($X44=0,$AD44,IF(AND($Z44&lt;&gt;"",EDATE($D44,Milestones!$AA$189)&gt;=$Z44),$AC44,IF(AND($Y44&lt;&gt;"",EDATE($D44,Milestones!$AA$189)&gt;=$Y44),$AB44,$AA44)))=Milestones!$AB$189),UPPER(TEXT(EDATE($D44,Milestones!$AA$189),"dd mmm yy"))&amp;" "&amp;Milestones!$AB$189&amp;" "&amp;IF(AND(Milestones!$AB$189="FT",Milestones!$AA$189=FT_Y5,EDATE($D44,Milestones!$AA$189)&lt;PolicyEff),1,Milestones!$AC$189)&amp;";  ","")&amp;IF(AND(EDATE($D44,Milestones!$AA$190)&lt;=AsOfDate,EDATE($D44,Milestones!$AA$190)&gt;=SchemeStart,IF($X44=0,$AD44,IF(AND($Z44&lt;&gt;"",EDATE($D44,Milestones!$AA$190)&gt;=$Z44),$AC44,IF(AND($Y44&lt;&gt;"",EDATE($D44,Milestones!$AA$190)&gt;=$Y44),$AB44,$AA44)))=Milestones!$AB$190),UPPER(TEXT(EDATE($D44,Milestones!$AA$190),"dd mmm yy"))&amp;" "&amp;Milestones!$AB$190&amp;" "&amp;IF(AND(Milestones!$AB$190="FT",Milestones!$AA$190=FT_Y5,EDATE($D44,Milestones!$AA$190)&lt;PolicyEff),1,Milestones!$AC$190)&amp;";  ","")&amp;IF(AND(EDATE($D44,Milestones!$AA$191)&lt;=AsOfDate,EDATE($D44,Milestones!$AA$191)&gt;=SchemeStart,IF($X44=0,$AD44,IF(AND($Z44&lt;&gt;"",EDATE($D44,Milestones!$AA$191)&gt;=$Z44),$AC44,IF(AND($Y44&lt;&gt;"",EDATE($D44,Milestones!$AA$191)&gt;=$Y44),$AB44,$AA44)))=Milestones!$AB$191),UPPER(TEXT(EDATE($D44,Milestones!$AA$191),"dd mmm yy"))&amp;" "&amp;Milestones!$AB$191&amp;" "&amp;IF(AND(Milestones!$AB$191="FT",Milestones!$AA$191=FT_Y5,EDATE($D44,Milestones!$AA$191)&lt;PolicyEff),1,Milestones!$AC$191)&amp;";  ","")&amp;IF(AND(EDATE($D44,Milestones!$AA$192)&lt;=AsOfDate,EDATE($D44,Milestones!$AA$192)&gt;=SchemeStart,IF($X44=0,$AD44,IF(AND($Z44&lt;&gt;"",EDATE($D44,Milestones!$AA$192)&gt;=$Z44),$AC44,IF(AND($Y44&lt;&gt;"",EDATE($D44,Milestones!$AA$192)&gt;=$Y44),$AB44,$AA44)))=Milestones!$AB$192),UPPER(TEXT(EDATE($D44,Milestones!$AA$192),"dd mmm yy"))&amp;" "&amp;Milestones!$AB$192&amp;" "&amp;IF(AND(Milestones!$AB$192="FT",Milestones!$AA$192=FT_Y5,EDATE($D44,Milestones!$AA$192)&lt;PolicyEff),1,Milestones!$AC$192)&amp;";  ","")&amp;IF(AND(EDATE($D44,Milestones!$AA$193)&lt;=AsOfDate,EDATE($D44,Milestones!$AA$193)&gt;=SchemeStart,IF($X44=0,$AD44,IF(AND($Z44&lt;&gt;"",EDATE($D44,Milestones!$AA$193)&gt;=$Z44),$AC44,IF(AND($Y44&lt;&gt;"",EDATE($D44,Milestones!$AA$193)&gt;=$Y44),$AB44,$AA44)))=Milestones!$AB$193),UPPER(TEXT(EDATE($D44,Milestones!$AA$193),"dd mmm yy"))&amp;" "&amp;Milestones!$AB$193&amp;" "&amp;IF(AND(Milestones!$AB$193="FT",Milestones!$AA$193=FT_Y5,EDATE($D44,Milestones!$AA$193)&lt;PolicyEff),1,Milestones!$AC$193)&amp;";  ","")&amp;IF(AND(EDATE($D44,Milestones!$AA$194)&lt;=AsOfDate,EDATE($D44,Milestones!$AA$194)&gt;=SchemeStart,IF($X44=0,$AD44,IF(AND($Z44&lt;&gt;"",EDATE($D44,Milestones!$AA$194)&gt;=$Z44),$AC44,IF(AND($Y44&lt;&gt;"",EDATE($D44,Milestones!$AA$194)&gt;=$Y44),$AB44,$AA44)))=Milestones!$AB$194),UPPER(TEXT(EDATE($D44,Milestones!$AA$194),"dd mmm yy"))&amp;" "&amp;Milestones!$AB$194&amp;" "&amp;IF(AND(Milestones!$AB$194="FT",Milestones!$AA$194=FT_Y5,EDATE($D44,Milestones!$AA$194)&lt;PolicyEff),1,Milestones!$AC$194)&amp;";  ","")&amp;IF(AND(EDATE($D44,Milestones!$AA$195)&lt;=AsOfDate,EDATE($D44,Milestones!$AA$195)&gt;=SchemeStart,IF($X44=0,$AD44,IF(AND($Z44&lt;&gt;"",EDATE($D44,Milestones!$AA$195)&gt;=$Z44),$AC44,IF(AND($Y44&lt;&gt;"",EDATE($D44,Milestones!$AA$195)&gt;=$Y44),$AB44,$AA44)))=Milestones!$AB$195),UPPER(TEXT(EDATE($D44,Milestones!$AA$195),"dd mmm yy"))&amp;" "&amp;Milestones!$AB$195&amp;" "&amp;IF(AND(Milestones!$AB$195="FT",Milestones!$AA$195=FT_Y5,EDATE($D44,Milestones!$AA$195)&lt;PolicyEff),1,Milestones!$AC$195)&amp;";  ","")&amp;IF(AND(EDATE($D44,Milestones!$AA$196)&lt;=AsOfDate,EDATE($D44,Milestones!$AA$196)&gt;=SchemeStart,IF($X44=0,$AD44,IF(AND($Z44&lt;&gt;"",EDATE($D44,Milestones!$AA$196)&gt;=$Z44),$AC44,IF(AND($Y44&lt;&gt;"",EDATE($D44,Milestones!$AA$196)&gt;=$Y44),$AB44,$AA44)))=Milestones!$AB$196),UPPER(TEXT(EDATE($D44,Milestones!$AA$196),"dd mmm yy"))&amp;" "&amp;Milestones!$AB$196&amp;" "&amp;IF(AND(Milestones!$AB$196="FT",Milestones!$AA$196=FT_Y5,EDATE($D44,Milestones!$AA$196)&lt;PolicyEff),1,Milestones!$AC$196)&amp;";  ","")&amp;IF(AND(EDATE($D44,Milestones!$AA$197)&lt;=AsOfDate,EDATE($D44,Milestones!$AA$197)&gt;=SchemeStart,IF($X44=0,$AD44,IF(AND($Z44&lt;&gt;"",EDATE($D44,Milestones!$AA$197)&gt;=$Z44),$AC44,IF(AND($Y44&lt;&gt;"",EDATE($D44,Milestones!$AA$197)&gt;=$Y44),$AB44,$AA44)))=Milestones!$AB$197),UPPER(TEXT(EDATE($D44,Milestones!$AA$197),"dd mmm yy"))&amp;" "&amp;Milestones!$AB$197&amp;" "&amp;IF(AND(Milestones!$AB$197="FT",Milestones!$AA$197=FT_Y5,EDATE($D44,Milestones!$AA$197)&lt;PolicyEff),1,Milestones!$AC$197)&amp;";  ","")&amp;IF(AND(EDATE($D44,Milestones!$AA$198)&lt;=AsOfDate,EDATE($D44,Milestones!$AA$198)&gt;=SchemeStart,IF($X44=0,$AD44,IF(AND($Z44&lt;&gt;"",EDATE($D44,Milestones!$AA$198)&gt;=$Z44),$AC44,IF(AND($Y44&lt;&gt;"",EDATE($D44,Milestones!$AA$198)&gt;=$Y44),$AB44,$AA44)))=Milestones!$AB$198),UPPER(TEXT(EDATE($D44,Milestones!$AA$198),"dd mmm yy"))&amp;" "&amp;Milestones!$AB$198&amp;" "&amp;IF(AND(Milestones!$AB$198="FT",Milestones!$AA$198=FT_Y5,EDATE($D44,Milestones!$AA$198)&lt;PolicyEff),1,Milestones!$AC$198)&amp;";  ","")&amp;IF(AND(EDATE($D44,Milestones!$AA$199)&lt;=AsOfDate,EDATE($D44,Milestones!$AA$199)&gt;=SchemeStart,IF($X44=0,$AD44,IF(AND($Z44&lt;&gt;"",EDATE($D44,Milestones!$AA$199)&gt;=$Z44),$AC44,IF(AND($Y44&lt;&gt;"",EDATE($D44,Milestones!$AA$199)&gt;=$Y44),$AB44,$AA44)))=Milestones!$AB$199),UPPER(TEXT(EDATE($D44,Milestones!$AA$199),"dd mmm yy"))&amp;" "&amp;Milestones!$AB$199&amp;" "&amp;IF(AND(Milestones!$AB$199="FT",Milestones!$AA$199=FT_Y5,EDATE($D44,Milestones!$AA$199)&lt;PolicyEff),1,Milestones!$AC$199)&amp;";  ",""))</f>
        <v/>
      </c>
      <c r="X44" s="0" t="str">
        <f aca="false">IF(Staff!$A44="","",Staff!$AM44)</f>
        <v/>
      </c>
      <c r="Y44" s="0" t="str">
        <f aca="false">IF(Staff!$A44="","",Staff!$AO44)</f>
        <v/>
      </c>
      <c r="Z44" s="0" t="str">
        <f aca="false">IF(Staff!$A44="","",Staff!$AP44)</f>
        <v/>
      </c>
      <c r="AA44" s="0" t="str">
        <f aca="false">IF(Staff!$A44="","",Staff!$AT44)</f>
        <v/>
      </c>
      <c r="AB44" s="0" t="str">
        <f aca="false">IF(Staff!$A44="","",Staff!$AU44)</f>
        <v/>
      </c>
      <c r="AC44" s="0" t="str">
        <f aca="false">IF(Staff!$A44="","",Staff!$AV44)</f>
        <v/>
      </c>
      <c r="AD44" s="0" t="str">
        <f aca="false">IF(Staff!$A44="","",Staff!$AW44)</f>
        <v/>
      </c>
    </row>
    <row r="45" customFormat="false" ht="15" hidden="false" customHeight="false" outlineLevel="0" collapsed="false">
      <c r="A45" s="16" t="str">
        <f aca="false">IF(Staff!$A45="","",Staff!$A45)</f>
        <v/>
      </c>
      <c r="B45" s="16" t="str">
        <f aca="false">IF(Staff!$A45="","",Staff!$B45)</f>
        <v/>
      </c>
      <c r="C45" s="16" t="str">
        <f aca="false">IF(Staff!$A45="","",Staff!$C45)</f>
        <v/>
      </c>
      <c r="D45" s="14" t="str">
        <f aca="false">IF(Staff!$A45="","",Staff!$AL45)</f>
        <v/>
      </c>
      <c r="E45" s="16" t="str">
        <f aca="false">IF(Staff!$A45="","",Staff!$O45)</f>
        <v/>
      </c>
      <c r="F45" s="16" t="str">
        <f aca="false">IF(E45="","",E45*HoursPerDay)</f>
        <v/>
      </c>
      <c r="G45" s="16" t="str">
        <f aca="false">IF(Staff!$A45="","",Staff!$AE45)</f>
        <v/>
      </c>
      <c r="H45" s="28" t="str">
        <f aca="false">IF($A45="","",I45&amp;J45&amp;K45&amp;L45&amp;M45&amp;N45&amp;O45&amp;P45&amp;Q45&amp;R45&amp;S45&amp;T45&amp;U45&amp;V45&amp;W45)</f>
        <v/>
      </c>
      <c r="I45" s="0" t="str">
        <f aca="false">IF(OR($A45="",$D45=""),"",IF(AND(EDATE($D45,Milestones!$AA$20)&lt;=AsOfDate,EDATE($D45,Milestones!$AA$20)&gt;=SchemeStart,IF($X45=0,$AD45,IF(AND($Z45&lt;&gt;"",EDATE($D45,Milestones!$AA$20)&gt;=$Z45),$AC45,IF(AND($Y45&lt;&gt;"",EDATE($D45,Milestones!$AA$20)&gt;=$Y45),$AB45,$AA45)))=Milestones!$AB$20),UPPER(TEXT(EDATE($D45,Milestones!$AA$20),"dd mmm yy"))&amp;" "&amp;Milestones!$AB$20&amp;" "&amp;IF(AND(Milestones!$AB$20="FT",Milestones!$AA$20=FT_Y5,EDATE($D45,Milestones!$AA$20)&lt;PolicyEff),1,Milestones!$AC$20)&amp;";  ","")&amp;IF(AND(EDATE($D45,Milestones!$AA$21)&lt;=AsOfDate,EDATE($D45,Milestones!$AA$21)&gt;=SchemeStart,IF($X45=0,$AD45,IF(AND($Z45&lt;&gt;"",EDATE($D45,Milestones!$AA$21)&gt;=$Z45),$AC45,IF(AND($Y45&lt;&gt;"",EDATE($D45,Milestones!$AA$21)&gt;=$Y45),$AB45,$AA45)))=Milestones!$AB$21),UPPER(TEXT(EDATE($D45,Milestones!$AA$21),"dd mmm yy"))&amp;" "&amp;Milestones!$AB$21&amp;" "&amp;IF(AND(Milestones!$AB$21="FT",Milestones!$AA$21=FT_Y5,EDATE($D45,Milestones!$AA$21)&lt;PolicyEff),1,Milestones!$AC$21)&amp;";  ","")&amp;IF(AND(EDATE($D45,Milestones!$AA$22)&lt;=AsOfDate,EDATE($D45,Milestones!$AA$22)&gt;=SchemeStart,IF($X45=0,$AD45,IF(AND($Z45&lt;&gt;"",EDATE($D45,Milestones!$AA$22)&gt;=$Z45),$AC45,IF(AND($Y45&lt;&gt;"",EDATE($D45,Milestones!$AA$22)&gt;=$Y45),$AB45,$AA45)))=Milestones!$AB$22),UPPER(TEXT(EDATE($D45,Milestones!$AA$22),"dd mmm yy"))&amp;" "&amp;Milestones!$AB$22&amp;" "&amp;IF(AND(Milestones!$AB$22="FT",Milestones!$AA$22=FT_Y5,EDATE($D45,Milestones!$AA$22)&lt;PolicyEff),1,Milestones!$AC$22)&amp;";  ","")&amp;IF(AND(EDATE($D45,Milestones!$AA$23)&lt;=AsOfDate,EDATE($D45,Milestones!$AA$23)&gt;=SchemeStart,IF($X45=0,$AD45,IF(AND($Z45&lt;&gt;"",EDATE($D45,Milestones!$AA$23)&gt;=$Z45),$AC45,IF(AND($Y45&lt;&gt;"",EDATE($D45,Milestones!$AA$23)&gt;=$Y45),$AB45,$AA45)))=Milestones!$AB$23),UPPER(TEXT(EDATE($D45,Milestones!$AA$23),"dd mmm yy"))&amp;" "&amp;Milestones!$AB$23&amp;" "&amp;IF(AND(Milestones!$AB$23="FT",Milestones!$AA$23=FT_Y5,EDATE($D45,Milestones!$AA$23)&lt;PolicyEff),1,Milestones!$AC$23)&amp;";  ","")&amp;IF(AND(EDATE($D45,Milestones!$AA$24)&lt;=AsOfDate,EDATE($D45,Milestones!$AA$24)&gt;=SchemeStart,IF($X45=0,$AD45,IF(AND($Z45&lt;&gt;"",EDATE($D45,Milestones!$AA$24)&gt;=$Z45),$AC45,IF(AND($Y45&lt;&gt;"",EDATE($D45,Milestones!$AA$24)&gt;=$Y45),$AB45,$AA45)))=Milestones!$AB$24),UPPER(TEXT(EDATE($D45,Milestones!$AA$24),"dd mmm yy"))&amp;" "&amp;Milestones!$AB$24&amp;" "&amp;IF(AND(Milestones!$AB$24="FT",Milestones!$AA$24=FT_Y5,EDATE($D45,Milestones!$AA$24)&lt;PolicyEff),1,Milestones!$AC$24)&amp;";  ","")&amp;IF(AND(EDATE($D45,Milestones!$AA$25)&lt;=AsOfDate,EDATE($D45,Milestones!$AA$25)&gt;=SchemeStart,IF($X45=0,$AD45,IF(AND($Z45&lt;&gt;"",EDATE($D45,Milestones!$AA$25)&gt;=$Z45),$AC45,IF(AND($Y45&lt;&gt;"",EDATE($D45,Milestones!$AA$25)&gt;=$Y45),$AB45,$AA45)))=Milestones!$AB$25),UPPER(TEXT(EDATE($D45,Milestones!$AA$25),"dd mmm yy"))&amp;" "&amp;Milestones!$AB$25&amp;" "&amp;IF(AND(Milestones!$AB$25="FT",Milestones!$AA$25=FT_Y5,EDATE($D45,Milestones!$AA$25)&lt;PolicyEff),1,Milestones!$AC$25)&amp;";  ","")&amp;IF(AND(EDATE($D45,Milestones!$AA$26)&lt;=AsOfDate,EDATE($D45,Milestones!$AA$26)&gt;=SchemeStart,IF($X45=0,$AD45,IF(AND($Z45&lt;&gt;"",EDATE($D45,Milestones!$AA$26)&gt;=$Z45),$AC45,IF(AND($Y45&lt;&gt;"",EDATE($D45,Milestones!$AA$26)&gt;=$Y45),$AB45,$AA45)))=Milestones!$AB$26),UPPER(TEXT(EDATE($D45,Milestones!$AA$26),"dd mmm yy"))&amp;" "&amp;Milestones!$AB$26&amp;" "&amp;IF(AND(Milestones!$AB$26="FT",Milestones!$AA$26=FT_Y5,EDATE($D45,Milestones!$AA$26)&lt;PolicyEff),1,Milestones!$AC$26)&amp;";  ","")&amp;IF(AND(EDATE($D45,Milestones!$AA$27)&lt;=AsOfDate,EDATE($D45,Milestones!$AA$27)&gt;=SchemeStart,IF($X45=0,$AD45,IF(AND($Z45&lt;&gt;"",EDATE($D45,Milestones!$AA$27)&gt;=$Z45),$AC45,IF(AND($Y45&lt;&gt;"",EDATE($D45,Milestones!$AA$27)&gt;=$Y45),$AB45,$AA45)))=Milestones!$AB$27),UPPER(TEXT(EDATE($D45,Milestones!$AA$27),"dd mmm yy"))&amp;" "&amp;Milestones!$AB$27&amp;" "&amp;IF(AND(Milestones!$AB$27="FT",Milestones!$AA$27=FT_Y5,EDATE($D45,Milestones!$AA$27)&lt;PolicyEff),1,Milestones!$AC$27)&amp;";  ","")&amp;IF(AND(EDATE($D45,Milestones!$AA$28)&lt;=AsOfDate,EDATE($D45,Milestones!$AA$28)&gt;=SchemeStart,IF($X45=0,$AD45,IF(AND($Z45&lt;&gt;"",EDATE($D45,Milestones!$AA$28)&gt;=$Z45),$AC45,IF(AND($Y45&lt;&gt;"",EDATE($D45,Milestones!$AA$28)&gt;=$Y45),$AB45,$AA45)))=Milestones!$AB$28),UPPER(TEXT(EDATE($D45,Milestones!$AA$28),"dd mmm yy"))&amp;" "&amp;Milestones!$AB$28&amp;" "&amp;IF(AND(Milestones!$AB$28="FT",Milestones!$AA$28=FT_Y5,EDATE($D45,Milestones!$AA$28)&lt;PolicyEff),1,Milestones!$AC$28)&amp;";  ","")&amp;IF(AND(EDATE($D45,Milestones!$AA$29)&lt;=AsOfDate,EDATE($D45,Milestones!$AA$29)&gt;=SchemeStart,IF($X45=0,$AD45,IF(AND($Z45&lt;&gt;"",EDATE($D45,Milestones!$AA$29)&gt;=$Z45),$AC45,IF(AND($Y45&lt;&gt;"",EDATE($D45,Milestones!$AA$29)&gt;=$Y45),$AB45,$AA45)))=Milestones!$AB$29),UPPER(TEXT(EDATE($D45,Milestones!$AA$29),"dd mmm yy"))&amp;" "&amp;Milestones!$AB$29&amp;" "&amp;IF(AND(Milestones!$AB$29="FT",Milestones!$AA$29=FT_Y5,EDATE($D45,Milestones!$AA$29)&lt;PolicyEff),1,Milestones!$AC$29)&amp;";  ","")&amp;IF(AND(EDATE($D45,Milestones!$AA$30)&lt;=AsOfDate,EDATE($D45,Milestones!$AA$30)&gt;=SchemeStart,IF($X45=0,$AD45,IF(AND($Z45&lt;&gt;"",EDATE($D45,Milestones!$AA$30)&gt;=$Z45),$AC45,IF(AND($Y45&lt;&gt;"",EDATE($D45,Milestones!$AA$30)&gt;=$Y45),$AB45,$AA45)))=Milestones!$AB$30),UPPER(TEXT(EDATE($D45,Milestones!$AA$30),"dd mmm yy"))&amp;" "&amp;Milestones!$AB$30&amp;" "&amp;IF(AND(Milestones!$AB$30="FT",Milestones!$AA$30=FT_Y5,EDATE($D45,Milestones!$AA$30)&lt;PolicyEff),1,Milestones!$AC$30)&amp;";  ","")&amp;IF(AND(EDATE($D45,Milestones!$AA$31)&lt;=AsOfDate,EDATE($D45,Milestones!$AA$31)&gt;=SchemeStart,IF($X45=0,$AD45,IF(AND($Z45&lt;&gt;"",EDATE($D45,Milestones!$AA$31)&gt;=$Z45),$AC45,IF(AND($Y45&lt;&gt;"",EDATE($D45,Milestones!$AA$31)&gt;=$Y45),$AB45,$AA45)))=Milestones!$AB$31),UPPER(TEXT(EDATE($D45,Milestones!$AA$31),"dd mmm yy"))&amp;" "&amp;Milestones!$AB$31&amp;" "&amp;IF(AND(Milestones!$AB$31="FT",Milestones!$AA$31=FT_Y5,EDATE($D45,Milestones!$AA$31)&lt;PolicyEff),1,Milestones!$AC$31)&amp;";  ",""))</f>
        <v/>
      </c>
      <c r="J45" s="0" t="str">
        <f aca="false">IF(OR($A45="",$D45=""),"",IF(AND(EDATE($D45,Milestones!$AA$32)&lt;=AsOfDate,EDATE($D45,Milestones!$AA$32)&gt;=SchemeStart,IF($X45=0,$AD45,IF(AND($Z45&lt;&gt;"",EDATE($D45,Milestones!$AA$32)&gt;=$Z45),$AC45,IF(AND($Y45&lt;&gt;"",EDATE($D45,Milestones!$AA$32)&gt;=$Y45),$AB45,$AA45)))=Milestones!$AB$32),UPPER(TEXT(EDATE($D45,Milestones!$AA$32),"dd mmm yy"))&amp;" "&amp;Milestones!$AB$32&amp;" "&amp;IF(AND(Milestones!$AB$32="FT",Milestones!$AA$32=FT_Y5,EDATE($D45,Milestones!$AA$32)&lt;PolicyEff),1,Milestones!$AC$32)&amp;";  ","")&amp;IF(AND(EDATE($D45,Milestones!$AA$33)&lt;=AsOfDate,EDATE($D45,Milestones!$AA$33)&gt;=SchemeStart,IF($X45=0,$AD45,IF(AND($Z45&lt;&gt;"",EDATE($D45,Milestones!$AA$33)&gt;=$Z45),$AC45,IF(AND($Y45&lt;&gt;"",EDATE($D45,Milestones!$AA$33)&gt;=$Y45),$AB45,$AA45)))=Milestones!$AB$33),UPPER(TEXT(EDATE($D45,Milestones!$AA$33),"dd mmm yy"))&amp;" "&amp;Milestones!$AB$33&amp;" "&amp;IF(AND(Milestones!$AB$33="FT",Milestones!$AA$33=FT_Y5,EDATE($D45,Milestones!$AA$33)&lt;PolicyEff),1,Milestones!$AC$33)&amp;";  ","")&amp;IF(AND(EDATE($D45,Milestones!$AA$34)&lt;=AsOfDate,EDATE($D45,Milestones!$AA$34)&gt;=SchemeStart,IF($X45=0,$AD45,IF(AND($Z45&lt;&gt;"",EDATE($D45,Milestones!$AA$34)&gt;=$Z45),$AC45,IF(AND($Y45&lt;&gt;"",EDATE($D45,Milestones!$AA$34)&gt;=$Y45),$AB45,$AA45)))=Milestones!$AB$34),UPPER(TEXT(EDATE($D45,Milestones!$AA$34),"dd mmm yy"))&amp;" "&amp;Milestones!$AB$34&amp;" "&amp;IF(AND(Milestones!$AB$34="FT",Milestones!$AA$34=FT_Y5,EDATE($D45,Milestones!$AA$34)&lt;PolicyEff),1,Milestones!$AC$34)&amp;";  ","")&amp;IF(AND(EDATE($D45,Milestones!$AA$35)&lt;=AsOfDate,EDATE($D45,Milestones!$AA$35)&gt;=SchemeStart,IF($X45=0,$AD45,IF(AND($Z45&lt;&gt;"",EDATE($D45,Milestones!$AA$35)&gt;=$Z45),$AC45,IF(AND($Y45&lt;&gt;"",EDATE($D45,Milestones!$AA$35)&gt;=$Y45),$AB45,$AA45)))=Milestones!$AB$35),UPPER(TEXT(EDATE($D45,Milestones!$AA$35),"dd mmm yy"))&amp;" "&amp;Milestones!$AB$35&amp;" "&amp;IF(AND(Milestones!$AB$35="FT",Milestones!$AA$35=FT_Y5,EDATE($D45,Milestones!$AA$35)&lt;PolicyEff),1,Milestones!$AC$35)&amp;";  ","")&amp;IF(AND(EDATE($D45,Milestones!$AA$36)&lt;=AsOfDate,EDATE($D45,Milestones!$AA$36)&gt;=SchemeStart,IF($X45=0,$AD45,IF(AND($Z45&lt;&gt;"",EDATE($D45,Milestones!$AA$36)&gt;=$Z45),$AC45,IF(AND($Y45&lt;&gt;"",EDATE($D45,Milestones!$AA$36)&gt;=$Y45),$AB45,$AA45)))=Milestones!$AB$36),UPPER(TEXT(EDATE($D45,Milestones!$AA$36),"dd mmm yy"))&amp;" "&amp;Milestones!$AB$36&amp;" "&amp;IF(AND(Milestones!$AB$36="FT",Milestones!$AA$36=FT_Y5,EDATE($D45,Milestones!$AA$36)&lt;PolicyEff),1,Milestones!$AC$36)&amp;";  ","")&amp;IF(AND(EDATE($D45,Milestones!$AA$37)&lt;=AsOfDate,EDATE($D45,Milestones!$AA$37)&gt;=SchemeStart,IF($X45=0,$AD45,IF(AND($Z45&lt;&gt;"",EDATE($D45,Milestones!$AA$37)&gt;=$Z45),$AC45,IF(AND($Y45&lt;&gt;"",EDATE($D45,Milestones!$AA$37)&gt;=$Y45),$AB45,$AA45)))=Milestones!$AB$37),UPPER(TEXT(EDATE($D45,Milestones!$AA$37),"dd mmm yy"))&amp;" "&amp;Milestones!$AB$37&amp;" "&amp;IF(AND(Milestones!$AB$37="FT",Milestones!$AA$37=FT_Y5,EDATE($D45,Milestones!$AA$37)&lt;PolicyEff),1,Milestones!$AC$37)&amp;";  ","")&amp;IF(AND(EDATE($D45,Milestones!$AA$38)&lt;=AsOfDate,EDATE($D45,Milestones!$AA$38)&gt;=SchemeStart,IF($X45=0,$AD45,IF(AND($Z45&lt;&gt;"",EDATE($D45,Milestones!$AA$38)&gt;=$Z45),$AC45,IF(AND($Y45&lt;&gt;"",EDATE($D45,Milestones!$AA$38)&gt;=$Y45),$AB45,$AA45)))=Milestones!$AB$38),UPPER(TEXT(EDATE($D45,Milestones!$AA$38),"dd mmm yy"))&amp;" "&amp;Milestones!$AB$38&amp;" "&amp;IF(AND(Milestones!$AB$38="FT",Milestones!$AA$38=FT_Y5,EDATE($D45,Milestones!$AA$38)&lt;PolicyEff),1,Milestones!$AC$38)&amp;";  ","")&amp;IF(AND(EDATE($D45,Milestones!$AA$39)&lt;=AsOfDate,EDATE($D45,Milestones!$AA$39)&gt;=SchemeStart,IF($X45=0,$AD45,IF(AND($Z45&lt;&gt;"",EDATE($D45,Milestones!$AA$39)&gt;=$Z45),$AC45,IF(AND($Y45&lt;&gt;"",EDATE($D45,Milestones!$AA$39)&gt;=$Y45),$AB45,$AA45)))=Milestones!$AB$39),UPPER(TEXT(EDATE($D45,Milestones!$AA$39),"dd mmm yy"))&amp;" "&amp;Milestones!$AB$39&amp;" "&amp;IF(AND(Milestones!$AB$39="FT",Milestones!$AA$39=FT_Y5,EDATE($D45,Milestones!$AA$39)&lt;PolicyEff),1,Milestones!$AC$39)&amp;";  ","")&amp;IF(AND(EDATE($D45,Milestones!$AA$40)&lt;=AsOfDate,EDATE($D45,Milestones!$AA$40)&gt;=SchemeStart,IF($X45=0,$AD45,IF(AND($Z45&lt;&gt;"",EDATE($D45,Milestones!$AA$40)&gt;=$Z45),$AC45,IF(AND($Y45&lt;&gt;"",EDATE($D45,Milestones!$AA$40)&gt;=$Y45),$AB45,$AA45)))=Milestones!$AB$40),UPPER(TEXT(EDATE($D45,Milestones!$AA$40),"dd mmm yy"))&amp;" "&amp;Milestones!$AB$40&amp;" "&amp;IF(AND(Milestones!$AB$40="FT",Milestones!$AA$40=FT_Y5,EDATE($D45,Milestones!$AA$40)&lt;PolicyEff),1,Milestones!$AC$40)&amp;";  ","")&amp;IF(AND(EDATE($D45,Milestones!$AA$41)&lt;=AsOfDate,EDATE($D45,Milestones!$AA$41)&gt;=SchemeStart,IF($X45=0,$AD45,IF(AND($Z45&lt;&gt;"",EDATE($D45,Milestones!$AA$41)&gt;=$Z45),$AC45,IF(AND($Y45&lt;&gt;"",EDATE($D45,Milestones!$AA$41)&gt;=$Y45),$AB45,$AA45)))=Milestones!$AB$41),UPPER(TEXT(EDATE($D45,Milestones!$AA$41),"dd mmm yy"))&amp;" "&amp;Milestones!$AB$41&amp;" "&amp;IF(AND(Milestones!$AB$41="FT",Milestones!$AA$41=FT_Y5,EDATE($D45,Milestones!$AA$41)&lt;PolicyEff),1,Milestones!$AC$41)&amp;";  ","")&amp;IF(AND(EDATE($D45,Milestones!$AA$42)&lt;=AsOfDate,EDATE($D45,Milestones!$AA$42)&gt;=SchemeStart,IF($X45=0,$AD45,IF(AND($Z45&lt;&gt;"",EDATE($D45,Milestones!$AA$42)&gt;=$Z45),$AC45,IF(AND($Y45&lt;&gt;"",EDATE($D45,Milestones!$AA$42)&gt;=$Y45),$AB45,$AA45)))=Milestones!$AB$42),UPPER(TEXT(EDATE($D45,Milestones!$AA$42),"dd mmm yy"))&amp;" "&amp;Milestones!$AB$42&amp;" "&amp;IF(AND(Milestones!$AB$42="FT",Milestones!$AA$42=FT_Y5,EDATE($D45,Milestones!$AA$42)&lt;PolicyEff),1,Milestones!$AC$42)&amp;";  ","")&amp;IF(AND(EDATE($D45,Milestones!$AA$43)&lt;=AsOfDate,EDATE($D45,Milestones!$AA$43)&gt;=SchemeStart,IF($X45=0,$AD45,IF(AND($Z45&lt;&gt;"",EDATE($D45,Milestones!$AA$43)&gt;=$Z45),$AC45,IF(AND($Y45&lt;&gt;"",EDATE($D45,Milestones!$AA$43)&gt;=$Y45),$AB45,$AA45)))=Milestones!$AB$43),UPPER(TEXT(EDATE($D45,Milestones!$AA$43),"dd mmm yy"))&amp;" "&amp;Milestones!$AB$43&amp;" "&amp;IF(AND(Milestones!$AB$43="FT",Milestones!$AA$43=FT_Y5,EDATE($D45,Milestones!$AA$43)&lt;PolicyEff),1,Milestones!$AC$43)&amp;";  ",""))</f>
        <v/>
      </c>
      <c r="K45" s="0" t="str">
        <f aca="false">IF(OR($A45="",$D45=""),"",IF(AND(EDATE($D45,Milestones!$AA$44)&lt;=AsOfDate,EDATE($D45,Milestones!$AA$44)&gt;=SchemeStart,IF($X45=0,$AD45,IF(AND($Z45&lt;&gt;"",EDATE($D45,Milestones!$AA$44)&gt;=$Z45),$AC45,IF(AND($Y45&lt;&gt;"",EDATE($D45,Milestones!$AA$44)&gt;=$Y45),$AB45,$AA45)))=Milestones!$AB$44),UPPER(TEXT(EDATE($D45,Milestones!$AA$44),"dd mmm yy"))&amp;" "&amp;Milestones!$AB$44&amp;" "&amp;IF(AND(Milestones!$AB$44="FT",Milestones!$AA$44=FT_Y5,EDATE($D45,Milestones!$AA$44)&lt;PolicyEff),1,Milestones!$AC$44)&amp;";  ","")&amp;IF(AND(EDATE($D45,Milestones!$AA$45)&lt;=AsOfDate,EDATE($D45,Milestones!$AA$45)&gt;=SchemeStart,IF($X45=0,$AD45,IF(AND($Z45&lt;&gt;"",EDATE($D45,Milestones!$AA$45)&gt;=$Z45),$AC45,IF(AND($Y45&lt;&gt;"",EDATE($D45,Milestones!$AA$45)&gt;=$Y45),$AB45,$AA45)))=Milestones!$AB$45),UPPER(TEXT(EDATE($D45,Milestones!$AA$45),"dd mmm yy"))&amp;" "&amp;Milestones!$AB$45&amp;" "&amp;IF(AND(Milestones!$AB$45="FT",Milestones!$AA$45=FT_Y5,EDATE($D45,Milestones!$AA$45)&lt;PolicyEff),1,Milestones!$AC$45)&amp;";  ","")&amp;IF(AND(EDATE($D45,Milestones!$AA$46)&lt;=AsOfDate,EDATE($D45,Milestones!$AA$46)&gt;=SchemeStart,IF($X45=0,$AD45,IF(AND($Z45&lt;&gt;"",EDATE($D45,Milestones!$AA$46)&gt;=$Z45),$AC45,IF(AND($Y45&lt;&gt;"",EDATE($D45,Milestones!$AA$46)&gt;=$Y45),$AB45,$AA45)))=Milestones!$AB$46),UPPER(TEXT(EDATE($D45,Milestones!$AA$46),"dd mmm yy"))&amp;" "&amp;Milestones!$AB$46&amp;" "&amp;IF(AND(Milestones!$AB$46="FT",Milestones!$AA$46=FT_Y5,EDATE($D45,Milestones!$AA$46)&lt;PolicyEff),1,Milestones!$AC$46)&amp;";  ","")&amp;IF(AND(EDATE($D45,Milestones!$AA$47)&lt;=AsOfDate,EDATE($D45,Milestones!$AA$47)&gt;=SchemeStart,IF($X45=0,$AD45,IF(AND($Z45&lt;&gt;"",EDATE($D45,Milestones!$AA$47)&gt;=$Z45),$AC45,IF(AND($Y45&lt;&gt;"",EDATE($D45,Milestones!$AA$47)&gt;=$Y45),$AB45,$AA45)))=Milestones!$AB$47),UPPER(TEXT(EDATE($D45,Milestones!$AA$47),"dd mmm yy"))&amp;" "&amp;Milestones!$AB$47&amp;" "&amp;IF(AND(Milestones!$AB$47="FT",Milestones!$AA$47=FT_Y5,EDATE($D45,Milestones!$AA$47)&lt;PolicyEff),1,Milestones!$AC$47)&amp;";  ","")&amp;IF(AND(EDATE($D45,Milestones!$AA$48)&lt;=AsOfDate,EDATE($D45,Milestones!$AA$48)&gt;=SchemeStart,IF($X45=0,$AD45,IF(AND($Z45&lt;&gt;"",EDATE($D45,Milestones!$AA$48)&gt;=$Z45),$AC45,IF(AND($Y45&lt;&gt;"",EDATE($D45,Milestones!$AA$48)&gt;=$Y45),$AB45,$AA45)))=Milestones!$AB$48),UPPER(TEXT(EDATE($D45,Milestones!$AA$48),"dd mmm yy"))&amp;" "&amp;Milestones!$AB$48&amp;" "&amp;IF(AND(Milestones!$AB$48="FT",Milestones!$AA$48=FT_Y5,EDATE($D45,Milestones!$AA$48)&lt;PolicyEff),1,Milestones!$AC$48)&amp;";  ","")&amp;IF(AND(EDATE($D45,Milestones!$AA$49)&lt;=AsOfDate,EDATE($D45,Milestones!$AA$49)&gt;=SchemeStart,IF($X45=0,$AD45,IF(AND($Z45&lt;&gt;"",EDATE($D45,Milestones!$AA$49)&gt;=$Z45),$AC45,IF(AND($Y45&lt;&gt;"",EDATE($D45,Milestones!$AA$49)&gt;=$Y45),$AB45,$AA45)))=Milestones!$AB$49),UPPER(TEXT(EDATE($D45,Milestones!$AA$49),"dd mmm yy"))&amp;" "&amp;Milestones!$AB$49&amp;" "&amp;IF(AND(Milestones!$AB$49="FT",Milestones!$AA$49=FT_Y5,EDATE($D45,Milestones!$AA$49)&lt;PolicyEff),1,Milestones!$AC$49)&amp;";  ","")&amp;IF(AND(EDATE($D45,Milestones!$AA$50)&lt;=AsOfDate,EDATE($D45,Milestones!$AA$50)&gt;=SchemeStart,IF($X45=0,$AD45,IF(AND($Z45&lt;&gt;"",EDATE($D45,Milestones!$AA$50)&gt;=$Z45),$AC45,IF(AND($Y45&lt;&gt;"",EDATE($D45,Milestones!$AA$50)&gt;=$Y45),$AB45,$AA45)))=Milestones!$AB$50),UPPER(TEXT(EDATE($D45,Milestones!$AA$50),"dd mmm yy"))&amp;" "&amp;Milestones!$AB$50&amp;" "&amp;IF(AND(Milestones!$AB$50="FT",Milestones!$AA$50=FT_Y5,EDATE($D45,Milestones!$AA$50)&lt;PolicyEff),1,Milestones!$AC$50)&amp;";  ","")&amp;IF(AND(EDATE($D45,Milestones!$AA$51)&lt;=AsOfDate,EDATE($D45,Milestones!$AA$51)&gt;=SchemeStart,IF($X45=0,$AD45,IF(AND($Z45&lt;&gt;"",EDATE($D45,Milestones!$AA$51)&gt;=$Z45),$AC45,IF(AND($Y45&lt;&gt;"",EDATE($D45,Milestones!$AA$51)&gt;=$Y45),$AB45,$AA45)))=Milestones!$AB$51),UPPER(TEXT(EDATE($D45,Milestones!$AA$51),"dd mmm yy"))&amp;" "&amp;Milestones!$AB$51&amp;" "&amp;IF(AND(Milestones!$AB$51="FT",Milestones!$AA$51=FT_Y5,EDATE($D45,Milestones!$AA$51)&lt;PolicyEff),1,Milestones!$AC$51)&amp;";  ","")&amp;IF(AND(EDATE($D45,Milestones!$AA$52)&lt;=AsOfDate,EDATE($D45,Milestones!$AA$52)&gt;=SchemeStart,IF($X45=0,$AD45,IF(AND($Z45&lt;&gt;"",EDATE($D45,Milestones!$AA$52)&gt;=$Z45),$AC45,IF(AND($Y45&lt;&gt;"",EDATE($D45,Milestones!$AA$52)&gt;=$Y45),$AB45,$AA45)))=Milestones!$AB$52),UPPER(TEXT(EDATE($D45,Milestones!$AA$52),"dd mmm yy"))&amp;" "&amp;Milestones!$AB$52&amp;" "&amp;IF(AND(Milestones!$AB$52="FT",Milestones!$AA$52=FT_Y5,EDATE($D45,Milestones!$AA$52)&lt;PolicyEff),1,Milestones!$AC$52)&amp;";  ","")&amp;IF(AND(EDATE($D45,Milestones!$AA$53)&lt;=AsOfDate,EDATE($D45,Milestones!$AA$53)&gt;=SchemeStart,IF($X45=0,$AD45,IF(AND($Z45&lt;&gt;"",EDATE($D45,Milestones!$AA$53)&gt;=$Z45),$AC45,IF(AND($Y45&lt;&gt;"",EDATE($D45,Milestones!$AA$53)&gt;=$Y45),$AB45,$AA45)))=Milestones!$AB$53),UPPER(TEXT(EDATE($D45,Milestones!$AA$53),"dd mmm yy"))&amp;" "&amp;Milestones!$AB$53&amp;" "&amp;IF(AND(Milestones!$AB$53="FT",Milestones!$AA$53=FT_Y5,EDATE($D45,Milestones!$AA$53)&lt;PolicyEff),1,Milestones!$AC$53)&amp;";  ","")&amp;IF(AND(EDATE($D45,Milestones!$AA$54)&lt;=AsOfDate,EDATE($D45,Milestones!$AA$54)&gt;=SchemeStart,IF($X45=0,$AD45,IF(AND($Z45&lt;&gt;"",EDATE($D45,Milestones!$AA$54)&gt;=$Z45),$AC45,IF(AND($Y45&lt;&gt;"",EDATE($D45,Milestones!$AA$54)&gt;=$Y45),$AB45,$AA45)))=Milestones!$AB$54),UPPER(TEXT(EDATE($D45,Milestones!$AA$54),"dd mmm yy"))&amp;" "&amp;Milestones!$AB$54&amp;" "&amp;IF(AND(Milestones!$AB$54="FT",Milestones!$AA$54=FT_Y5,EDATE($D45,Milestones!$AA$54)&lt;PolicyEff),1,Milestones!$AC$54)&amp;";  ","")&amp;IF(AND(EDATE($D45,Milestones!$AA$55)&lt;=AsOfDate,EDATE($D45,Milestones!$AA$55)&gt;=SchemeStart,IF($X45=0,$AD45,IF(AND($Z45&lt;&gt;"",EDATE($D45,Milestones!$AA$55)&gt;=$Z45),$AC45,IF(AND($Y45&lt;&gt;"",EDATE($D45,Milestones!$AA$55)&gt;=$Y45),$AB45,$AA45)))=Milestones!$AB$55),UPPER(TEXT(EDATE($D45,Milestones!$AA$55),"dd mmm yy"))&amp;" "&amp;Milestones!$AB$55&amp;" "&amp;IF(AND(Milestones!$AB$55="FT",Milestones!$AA$55=FT_Y5,EDATE($D45,Milestones!$AA$55)&lt;PolicyEff),1,Milestones!$AC$55)&amp;";  ",""))</f>
        <v/>
      </c>
      <c r="L45" s="0" t="str">
        <f aca="false">IF(OR($A45="",$D45=""),"",IF(AND(EDATE($D45,Milestones!$AA$56)&lt;=AsOfDate,EDATE($D45,Milestones!$AA$56)&gt;=SchemeStart,IF($X45=0,$AD45,IF(AND($Z45&lt;&gt;"",EDATE($D45,Milestones!$AA$56)&gt;=$Z45),$AC45,IF(AND($Y45&lt;&gt;"",EDATE($D45,Milestones!$AA$56)&gt;=$Y45),$AB45,$AA45)))=Milestones!$AB$56),UPPER(TEXT(EDATE($D45,Milestones!$AA$56),"dd mmm yy"))&amp;" "&amp;Milestones!$AB$56&amp;" "&amp;IF(AND(Milestones!$AB$56="FT",Milestones!$AA$56=FT_Y5,EDATE($D45,Milestones!$AA$56)&lt;PolicyEff),1,Milestones!$AC$56)&amp;";  ","")&amp;IF(AND(EDATE($D45,Milestones!$AA$57)&lt;=AsOfDate,EDATE($D45,Milestones!$AA$57)&gt;=SchemeStart,IF($X45=0,$AD45,IF(AND($Z45&lt;&gt;"",EDATE($D45,Milestones!$AA$57)&gt;=$Z45),$AC45,IF(AND($Y45&lt;&gt;"",EDATE($D45,Milestones!$AA$57)&gt;=$Y45),$AB45,$AA45)))=Milestones!$AB$57),UPPER(TEXT(EDATE($D45,Milestones!$AA$57),"dd mmm yy"))&amp;" "&amp;Milestones!$AB$57&amp;" "&amp;IF(AND(Milestones!$AB$57="FT",Milestones!$AA$57=FT_Y5,EDATE($D45,Milestones!$AA$57)&lt;PolicyEff),1,Milestones!$AC$57)&amp;";  ","")&amp;IF(AND(EDATE($D45,Milestones!$AA$58)&lt;=AsOfDate,EDATE($D45,Milestones!$AA$58)&gt;=SchemeStart,IF($X45=0,$AD45,IF(AND($Z45&lt;&gt;"",EDATE($D45,Milestones!$AA$58)&gt;=$Z45),$AC45,IF(AND($Y45&lt;&gt;"",EDATE($D45,Milestones!$AA$58)&gt;=$Y45),$AB45,$AA45)))=Milestones!$AB$58),UPPER(TEXT(EDATE($D45,Milestones!$AA$58),"dd mmm yy"))&amp;" "&amp;Milestones!$AB$58&amp;" "&amp;IF(AND(Milestones!$AB$58="FT",Milestones!$AA$58=FT_Y5,EDATE($D45,Milestones!$AA$58)&lt;PolicyEff),1,Milestones!$AC$58)&amp;";  ","")&amp;IF(AND(EDATE($D45,Milestones!$AA$59)&lt;=AsOfDate,EDATE($D45,Milestones!$AA$59)&gt;=SchemeStart,IF($X45=0,$AD45,IF(AND($Z45&lt;&gt;"",EDATE($D45,Milestones!$AA$59)&gt;=$Z45),$AC45,IF(AND($Y45&lt;&gt;"",EDATE($D45,Milestones!$AA$59)&gt;=$Y45),$AB45,$AA45)))=Milestones!$AB$59),UPPER(TEXT(EDATE($D45,Milestones!$AA$59),"dd mmm yy"))&amp;" "&amp;Milestones!$AB$59&amp;" "&amp;IF(AND(Milestones!$AB$59="FT",Milestones!$AA$59=FT_Y5,EDATE($D45,Milestones!$AA$59)&lt;PolicyEff),1,Milestones!$AC$59)&amp;";  ","")&amp;IF(AND(EDATE($D45,Milestones!$AA$60)&lt;=AsOfDate,EDATE($D45,Milestones!$AA$60)&gt;=SchemeStart,IF($X45=0,$AD45,IF(AND($Z45&lt;&gt;"",EDATE($D45,Milestones!$AA$60)&gt;=$Z45),$AC45,IF(AND($Y45&lt;&gt;"",EDATE($D45,Milestones!$AA$60)&gt;=$Y45),$AB45,$AA45)))=Milestones!$AB$60),UPPER(TEXT(EDATE($D45,Milestones!$AA$60),"dd mmm yy"))&amp;" "&amp;Milestones!$AB$60&amp;" "&amp;IF(AND(Milestones!$AB$60="FT",Milestones!$AA$60=FT_Y5,EDATE($D45,Milestones!$AA$60)&lt;PolicyEff),1,Milestones!$AC$60)&amp;";  ","")&amp;IF(AND(EDATE($D45,Milestones!$AA$61)&lt;=AsOfDate,EDATE($D45,Milestones!$AA$61)&gt;=SchemeStart,IF($X45=0,$AD45,IF(AND($Z45&lt;&gt;"",EDATE($D45,Milestones!$AA$61)&gt;=$Z45),$AC45,IF(AND($Y45&lt;&gt;"",EDATE($D45,Milestones!$AA$61)&gt;=$Y45),$AB45,$AA45)))=Milestones!$AB$61),UPPER(TEXT(EDATE($D45,Milestones!$AA$61),"dd mmm yy"))&amp;" "&amp;Milestones!$AB$61&amp;" "&amp;IF(AND(Milestones!$AB$61="FT",Milestones!$AA$61=FT_Y5,EDATE($D45,Milestones!$AA$61)&lt;PolicyEff),1,Milestones!$AC$61)&amp;";  ","")&amp;IF(AND(EDATE($D45,Milestones!$AA$62)&lt;=AsOfDate,EDATE($D45,Milestones!$AA$62)&gt;=SchemeStart,IF($X45=0,$AD45,IF(AND($Z45&lt;&gt;"",EDATE($D45,Milestones!$AA$62)&gt;=$Z45),$AC45,IF(AND($Y45&lt;&gt;"",EDATE($D45,Milestones!$AA$62)&gt;=$Y45),$AB45,$AA45)))=Milestones!$AB$62),UPPER(TEXT(EDATE($D45,Milestones!$AA$62),"dd mmm yy"))&amp;" "&amp;Milestones!$AB$62&amp;" "&amp;IF(AND(Milestones!$AB$62="FT",Milestones!$AA$62=FT_Y5,EDATE($D45,Milestones!$AA$62)&lt;PolicyEff),1,Milestones!$AC$62)&amp;";  ","")&amp;IF(AND(EDATE($D45,Milestones!$AA$63)&lt;=AsOfDate,EDATE($D45,Milestones!$AA$63)&gt;=SchemeStart,IF($X45=0,$AD45,IF(AND($Z45&lt;&gt;"",EDATE($D45,Milestones!$AA$63)&gt;=$Z45),$AC45,IF(AND($Y45&lt;&gt;"",EDATE($D45,Milestones!$AA$63)&gt;=$Y45),$AB45,$AA45)))=Milestones!$AB$63),UPPER(TEXT(EDATE($D45,Milestones!$AA$63),"dd mmm yy"))&amp;" "&amp;Milestones!$AB$63&amp;" "&amp;IF(AND(Milestones!$AB$63="FT",Milestones!$AA$63=FT_Y5,EDATE($D45,Milestones!$AA$63)&lt;PolicyEff),1,Milestones!$AC$63)&amp;";  ","")&amp;IF(AND(EDATE($D45,Milestones!$AA$64)&lt;=AsOfDate,EDATE($D45,Milestones!$AA$64)&gt;=SchemeStart,IF($X45=0,$AD45,IF(AND($Z45&lt;&gt;"",EDATE($D45,Milestones!$AA$64)&gt;=$Z45),$AC45,IF(AND($Y45&lt;&gt;"",EDATE($D45,Milestones!$AA$64)&gt;=$Y45),$AB45,$AA45)))=Milestones!$AB$64),UPPER(TEXT(EDATE($D45,Milestones!$AA$64),"dd mmm yy"))&amp;" "&amp;Milestones!$AB$64&amp;" "&amp;IF(AND(Milestones!$AB$64="FT",Milestones!$AA$64=FT_Y5,EDATE($D45,Milestones!$AA$64)&lt;PolicyEff),1,Milestones!$AC$64)&amp;";  ","")&amp;IF(AND(EDATE($D45,Milestones!$AA$65)&lt;=AsOfDate,EDATE($D45,Milestones!$AA$65)&gt;=SchemeStart,IF($X45=0,$AD45,IF(AND($Z45&lt;&gt;"",EDATE($D45,Milestones!$AA$65)&gt;=$Z45),$AC45,IF(AND($Y45&lt;&gt;"",EDATE($D45,Milestones!$AA$65)&gt;=$Y45),$AB45,$AA45)))=Milestones!$AB$65),UPPER(TEXT(EDATE($D45,Milestones!$AA$65),"dd mmm yy"))&amp;" "&amp;Milestones!$AB$65&amp;" "&amp;IF(AND(Milestones!$AB$65="FT",Milestones!$AA$65=FT_Y5,EDATE($D45,Milestones!$AA$65)&lt;PolicyEff),1,Milestones!$AC$65)&amp;";  ","")&amp;IF(AND(EDATE($D45,Milestones!$AA$66)&lt;=AsOfDate,EDATE($D45,Milestones!$AA$66)&gt;=SchemeStart,IF($X45=0,$AD45,IF(AND($Z45&lt;&gt;"",EDATE($D45,Milestones!$AA$66)&gt;=$Z45),$AC45,IF(AND($Y45&lt;&gt;"",EDATE($D45,Milestones!$AA$66)&gt;=$Y45),$AB45,$AA45)))=Milestones!$AB$66),UPPER(TEXT(EDATE($D45,Milestones!$AA$66),"dd mmm yy"))&amp;" "&amp;Milestones!$AB$66&amp;" "&amp;IF(AND(Milestones!$AB$66="FT",Milestones!$AA$66=FT_Y5,EDATE($D45,Milestones!$AA$66)&lt;PolicyEff),1,Milestones!$AC$66)&amp;";  ","")&amp;IF(AND(EDATE($D45,Milestones!$AA$67)&lt;=AsOfDate,EDATE($D45,Milestones!$AA$67)&gt;=SchemeStart,IF($X45=0,$AD45,IF(AND($Z45&lt;&gt;"",EDATE($D45,Milestones!$AA$67)&gt;=$Z45),$AC45,IF(AND($Y45&lt;&gt;"",EDATE($D45,Milestones!$AA$67)&gt;=$Y45),$AB45,$AA45)))=Milestones!$AB$67),UPPER(TEXT(EDATE($D45,Milestones!$AA$67),"dd mmm yy"))&amp;" "&amp;Milestones!$AB$67&amp;" "&amp;IF(AND(Milestones!$AB$67="FT",Milestones!$AA$67=FT_Y5,EDATE($D45,Milestones!$AA$67)&lt;PolicyEff),1,Milestones!$AC$67)&amp;";  ",""))</f>
        <v/>
      </c>
      <c r="M45" s="0" t="str">
        <f aca="false">IF(OR($A45="",$D45=""),"",IF(AND(EDATE($D45,Milestones!$AA$68)&lt;=AsOfDate,EDATE($D45,Milestones!$AA$68)&gt;=SchemeStart,IF($X45=0,$AD45,IF(AND($Z45&lt;&gt;"",EDATE($D45,Milestones!$AA$68)&gt;=$Z45),$AC45,IF(AND($Y45&lt;&gt;"",EDATE($D45,Milestones!$AA$68)&gt;=$Y45),$AB45,$AA45)))=Milestones!$AB$68),UPPER(TEXT(EDATE($D45,Milestones!$AA$68),"dd mmm yy"))&amp;" "&amp;Milestones!$AB$68&amp;" "&amp;IF(AND(Milestones!$AB$68="FT",Milestones!$AA$68=FT_Y5,EDATE($D45,Milestones!$AA$68)&lt;PolicyEff),1,Milestones!$AC$68)&amp;";  ","")&amp;IF(AND(EDATE($D45,Milestones!$AA$69)&lt;=AsOfDate,EDATE($D45,Milestones!$AA$69)&gt;=SchemeStart,IF($X45=0,$AD45,IF(AND($Z45&lt;&gt;"",EDATE($D45,Milestones!$AA$69)&gt;=$Z45),$AC45,IF(AND($Y45&lt;&gt;"",EDATE($D45,Milestones!$AA$69)&gt;=$Y45),$AB45,$AA45)))=Milestones!$AB$69),UPPER(TEXT(EDATE($D45,Milestones!$AA$69),"dd mmm yy"))&amp;" "&amp;Milestones!$AB$69&amp;" "&amp;IF(AND(Milestones!$AB$69="FT",Milestones!$AA$69=FT_Y5,EDATE($D45,Milestones!$AA$69)&lt;PolicyEff),1,Milestones!$AC$69)&amp;";  ","")&amp;IF(AND(EDATE($D45,Milestones!$AA$70)&lt;=AsOfDate,EDATE($D45,Milestones!$AA$70)&gt;=SchemeStart,IF($X45=0,$AD45,IF(AND($Z45&lt;&gt;"",EDATE($D45,Milestones!$AA$70)&gt;=$Z45),$AC45,IF(AND($Y45&lt;&gt;"",EDATE($D45,Milestones!$AA$70)&gt;=$Y45),$AB45,$AA45)))=Milestones!$AB$70),UPPER(TEXT(EDATE($D45,Milestones!$AA$70),"dd mmm yy"))&amp;" "&amp;Milestones!$AB$70&amp;" "&amp;IF(AND(Milestones!$AB$70="FT",Milestones!$AA$70=FT_Y5,EDATE($D45,Milestones!$AA$70)&lt;PolicyEff),1,Milestones!$AC$70)&amp;";  ","")&amp;IF(AND(EDATE($D45,Milestones!$AA$71)&lt;=AsOfDate,EDATE($D45,Milestones!$AA$71)&gt;=SchemeStart,IF($X45=0,$AD45,IF(AND($Z45&lt;&gt;"",EDATE($D45,Milestones!$AA$71)&gt;=$Z45),$AC45,IF(AND($Y45&lt;&gt;"",EDATE($D45,Milestones!$AA$71)&gt;=$Y45),$AB45,$AA45)))=Milestones!$AB$71),UPPER(TEXT(EDATE($D45,Milestones!$AA$71),"dd mmm yy"))&amp;" "&amp;Milestones!$AB$71&amp;" "&amp;IF(AND(Milestones!$AB$71="FT",Milestones!$AA$71=FT_Y5,EDATE($D45,Milestones!$AA$71)&lt;PolicyEff),1,Milestones!$AC$71)&amp;";  ","")&amp;IF(AND(EDATE($D45,Milestones!$AA$72)&lt;=AsOfDate,EDATE($D45,Milestones!$AA$72)&gt;=SchemeStart,IF($X45=0,$AD45,IF(AND($Z45&lt;&gt;"",EDATE($D45,Milestones!$AA$72)&gt;=$Z45),$AC45,IF(AND($Y45&lt;&gt;"",EDATE($D45,Milestones!$AA$72)&gt;=$Y45),$AB45,$AA45)))=Milestones!$AB$72),UPPER(TEXT(EDATE($D45,Milestones!$AA$72),"dd mmm yy"))&amp;" "&amp;Milestones!$AB$72&amp;" "&amp;IF(AND(Milestones!$AB$72="FT",Milestones!$AA$72=FT_Y5,EDATE($D45,Milestones!$AA$72)&lt;PolicyEff),1,Milestones!$AC$72)&amp;";  ","")&amp;IF(AND(EDATE($D45,Milestones!$AA$73)&lt;=AsOfDate,EDATE($D45,Milestones!$AA$73)&gt;=SchemeStart,IF($X45=0,$AD45,IF(AND($Z45&lt;&gt;"",EDATE($D45,Milestones!$AA$73)&gt;=$Z45),$AC45,IF(AND($Y45&lt;&gt;"",EDATE($D45,Milestones!$AA$73)&gt;=$Y45),$AB45,$AA45)))=Milestones!$AB$73),UPPER(TEXT(EDATE($D45,Milestones!$AA$73),"dd mmm yy"))&amp;" "&amp;Milestones!$AB$73&amp;" "&amp;IF(AND(Milestones!$AB$73="FT",Milestones!$AA$73=FT_Y5,EDATE($D45,Milestones!$AA$73)&lt;PolicyEff),1,Milestones!$AC$73)&amp;";  ","")&amp;IF(AND(EDATE($D45,Milestones!$AA$74)&lt;=AsOfDate,EDATE($D45,Milestones!$AA$74)&gt;=SchemeStart,IF($X45=0,$AD45,IF(AND($Z45&lt;&gt;"",EDATE($D45,Milestones!$AA$74)&gt;=$Z45),$AC45,IF(AND($Y45&lt;&gt;"",EDATE($D45,Milestones!$AA$74)&gt;=$Y45),$AB45,$AA45)))=Milestones!$AB$74),UPPER(TEXT(EDATE($D45,Milestones!$AA$74),"dd mmm yy"))&amp;" "&amp;Milestones!$AB$74&amp;" "&amp;IF(AND(Milestones!$AB$74="FT",Milestones!$AA$74=FT_Y5,EDATE($D45,Milestones!$AA$74)&lt;PolicyEff),1,Milestones!$AC$74)&amp;";  ","")&amp;IF(AND(EDATE($D45,Milestones!$AA$75)&lt;=AsOfDate,EDATE($D45,Milestones!$AA$75)&gt;=SchemeStart,IF($X45=0,$AD45,IF(AND($Z45&lt;&gt;"",EDATE($D45,Milestones!$AA$75)&gt;=$Z45),$AC45,IF(AND($Y45&lt;&gt;"",EDATE($D45,Milestones!$AA$75)&gt;=$Y45),$AB45,$AA45)))=Milestones!$AB$75),UPPER(TEXT(EDATE($D45,Milestones!$AA$75),"dd mmm yy"))&amp;" "&amp;Milestones!$AB$75&amp;" "&amp;IF(AND(Milestones!$AB$75="FT",Milestones!$AA$75=FT_Y5,EDATE($D45,Milestones!$AA$75)&lt;PolicyEff),1,Milestones!$AC$75)&amp;";  ","")&amp;IF(AND(EDATE($D45,Milestones!$AA$76)&lt;=AsOfDate,EDATE($D45,Milestones!$AA$76)&gt;=SchemeStart,IF($X45=0,$AD45,IF(AND($Z45&lt;&gt;"",EDATE($D45,Milestones!$AA$76)&gt;=$Z45),$AC45,IF(AND($Y45&lt;&gt;"",EDATE($D45,Milestones!$AA$76)&gt;=$Y45),$AB45,$AA45)))=Milestones!$AB$76),UPPER(TEXT(EDATE($D45,Milestones!$AA$76),"dd mmm yy"))&amp;" "&amp;Milestones!$AB$76&amp;" "&amp;IF(AND(Milestones!$AB$76="FT",Milestones!$AA$76=FT_Y5,EDATE($D45,Milestones!$AA$76)&lt;PolicyEff),1,Milestones!$AC$76)&amp;";  ","")&amp;IF(AND(EDATE($D45,Milestones!$AA$77)&lt;=AsOfDate,EDATE($D45,Milestones!$AA$77)&gt;=SchemeStart,IF($X45=0,$AD45,IF(AND($Z45&lt;&gt;"",EDATE($D45,Milestones!$AA$77)&gt;=$Z45),$AC45,IF(AND($Y45&lt;&gt;"",EDATE($D45,Milestones!$AA$77)&gt;=$Y45),$AB45,$AA45)))=Milestones!$AB$77),UPPER(TEXT(EDATE($D45,Milestones!$AA$77),"dd mmm yy"))&amp;" "&amp;Milestones!$AB$77&amp;" "&amp;IF(AND(Milestones!$AB$77="FT",Milestones!$AA$77=FT_Y5,EDATE($D45,Milestones!$AA$77)&lt;PolicyEff),1,Milestones!$AC$77)&amp;";  ","")&amp;IF(AND(EDATE($D45,Milestones!$AA$78)&lt;=AsOfDate,EDATE($D45,Milestones!$AA$78)&gt;=SchemeStart,IF($X45=0,$AD45,IF(AND($Z45&lt;&gt;"",EDATE($D45,Milestones!$AA$78)&gt;=$Z45),$AC45,IF(AND($Y45&lt;&gt;"",EDATE($D45,Milestones!$AA$78)&gt;=$Y45),$AB45,$AA45)))=Milestones!$AB$78),UPPER(TEXT(EDATE($D45,Milestones!$AA$78),"dd mmm yy"))&amp;" "&amp;Milestones!$AB$78&amp;" "&amp;IF(AND(Milestones!$AB$78="FT",Milestones!$AA$78=FT_Y5,EDATE($D45,Milestones!$AA$78)&lt;PolicyEff),1,Milestones!$AC$78)&amp;";  ","")&amp;IF(AND(EDATE($D45,Milestones!$AA$79)&lt;=AsOfDate,EDATE($D45,Milestones!$AA$79)&gt;=SchemeStart,IF($X45=0,$AD45,IF(AND($Z45&lt;&gt;"",EDATE($D45,Milestones!$AA$79)&gt;=$Z45),$AC45,IF(AND($Y45&lt;&gt;"",EDATE($D45,Milestones!$AA$79)&gt;=$Y45),$AB45,$AA45)))=Milestones!$AB$79),UPPER(TEXT(EDATE($D45,Milestones!$AA$79),"dd mmm yy"))&amp;" "&amp;Milestones!$AB$79&amp;" "&amp;IF(AND(Milestones!$AB$79="FT",Milestones!$AA$79=FT_Y5,EDATE($D45,Milestones!$AA$79)&lt;PolicyEff),1,Milestones!$AC$79)&amp;";  ",""))</f>
        <v/>
      </c>
      <c r="N45" s="0" t="str">
        <f aca="false">IF(OR($A45="",$D45=""),"",IF(AND(EDATE($D45,Milestones!$AA$80)&lt;=AsOfDate,EDATE($D45,Milestones!$AA$80)&gt;=SchemeStart,IF($X45=0,$AD45,IF(AND($Z45&lt;&gt;"",EDATE($D45,Milestones!$AA$80)&gt;=$Z45),$AC45,IF(AND($Y45&lt;&gt;"",EDATE($D45,Milestones!$AA$80)&gt;=$Y45),$AB45,$AA45)))=Milestones!$AB$80),UPPER(TEXT(EDATE($D45,Milestones!$AA$80),"dd mmm yy"))&amp;" "&amp;Milestones!$AB$80&amp;" "&amp;IF(AND(Milestones!$AB$80="FT",Milestones!$AA$80=FT_Y5,EDATE($D45,Milestones!$AA$80)&lt;PolicyEff),1,Milestones!$AC$80)&amp;";  ","")&amp;IF(AND(EDATE($D45,Milestones!$AA$81)&lt;=AsOfDate,EDATE($D45,Milestones!$AA$81)&gt;=SchemeStart,IF($X45=0,$AD45,IF(AND($Z45&lt;&gt;"",EDATE($D45,Milestones!$AA$81)&gt;=$Z45),$AC45,IF(AND($Y45&lt;&gt;"",EDATE($D45,Milestones!$AA$81)&gt;=$Y45),$AB45,$AA45)))=Milestones!$AB$81),UPPER(TEXT(EDATE($D45,Milestones!$AA$81),"dd mmm yy"))&amp;" "&amp;Milestones!$AB$81&amp;" "&amp;IF(AND(Milestones!$AB$81="FT",Milestones!$AA$81=FT_Y5,EDATE($D45,Milestones!$AA$81)&lt;PolicyEff),1,Milestones!$AC$81)&amp;";  ","")&amp;IF(AND(EDATE($D45,Milestones!$AA$82)&lt;=AsOfDate,EDATE($D45,Milestones!$AA$82)&gt;=SchemeStart,IF($X45=0,$AD45,IF(AND($Z45&lt;&gt;"",EDATE($D45,Milestones!$AA$82)&gt;=$Z45),$AC45,IF(AND($Y45&lt;&gt;"",EDATE($D45,Milestones!$AA$82)&gt;=$Y45),$AB45,$AA45)))=Milestones!$AB$82),UPPER(TEXT(EDATE($D45,Milestones!$AA$82),"dd mmm yy"))&amp;" "&amp;Milestones!$AB$82&amp;" "&amp;IF(AND(Milestones!$AB$82="FT",Milestones!$AA$82=FT_Y5,EDATE($D45,Milestones!$AA$82)&lt;PolicyEff),1,Milestones!$AC$82)&amp;";  ","")&amp;IF(AND(EDATE($D45,Milestones!$AA$83)&lt;=AsOfDate,EDATE($D45,Milestones!$AA$83)&gt;=SchemeStart,IF($X45=0,$AD45,IF(AND($Z45&lt;&gt;"",EDATE($D45,Milestones!$AA$83)&gt;=$Z45),$AC45,IF(AND($Y45&lt;&gt;"",EDATE($D45,Milestones!$AA$83)&gt;=$Y45),$AB45,$AA45)))=Milestones!$AB$83),UPPER(TEXT(EDATE($D45,Milestones!$AA$83),"dd mmm yy"))&amp;" "&amp;Milestones!$AB$83&amp;" "&amp;IF(AND(Milestones!$AB$83="FT",Milestones!$AA$83=FT_Y5,EDATE($D45,Milestones!$AA$83)&lt;PolicyEff),1,Milestones!$AC$83)&amp;";  ","")&amp;IF(AND(EDATE($D45,Milestones!$AA$84)&lt;=AsOfDate,EDATE($D45,Milestones!$AA$84)&gt;=SchemeStart,IF($X45=0,$AD45,IF(AND($Z45&lt;&gt;"",EDATE($D45,Milestones!$AA$84)&gt;=$Z45),$AC45,IF(AND($Y45&lt;&gt;"",EDATE($D45,Milestones!$AA$84)&gt;=$Y45),$AB45,$AA45)))=Milestones!$AB$84),UPPER(TEXT(EDATE($D45,Milestones!$AA$84),"dd mmm yy"))&amp;" "&amp;Milestones!$AB$84&amp;" "&amp;IF(AND(Milestones!$AB$84="FT",Milestones!$AA$84=FT_Y5,EDATE($D45,Milestones!$AA$84)&lt;PolicyEff),1,Milestones!$AC$84)&amp;";  ","")&amp;IF(AND(EDATE($D45,Milestones!$AA$85)&lt;=AsOfDate,EDATE($D45,Milestones!$AA$85)&gt;=SchemeStart,IF($X45=0,$AD45,IF(AND($Z45&lt;&gt;"",EDATE($D45,Milestones!$AA$85)&gt;=$Z45),$AC45,IF(AND($Y45&lt;&gt;"",EDATE($D45,Milestones!$AA$85)&gt;=$Y45),$AB45,$AA45)))=Milestones!$AB$85),UPPER(TEXT(EDATE($D45,Milestones!$AA$85),"dd mmm yy"))&amp;" "&amp;Milestones!$AB$85&amp;" "&amp;IF(AND(Milestones!$AB$85="FT",Milestones!$AA$85=FT_Y5,EDATE($D45,Milestones!$AA$85)&lt;PolicyEff),1,Milestones!$AC$85)&amp;";  ","")&amp;IF(AND(EDATE($D45,Milestones!$AA$86)&lt;=AsOfDate,EDATE($D45,Milestones!$AA$86)&gt;=SchemeStart,IF($X45=0,$AD45,IF(AND($Z45&lt;&gt;"",EDATE($D45,Milestones!$AA$86)&gt;=$Z45),$AC45,IF(AND($Y45&lt;&gt;"",EDATE($D45,Milestones!$AA$86)&gt;=$Y45),$AB45,$AA45)))=Milestones!$AB$86),UPPER(TEXT(EDATE($D45,Milestones!$AA$86),"dd mmm yy"))&amp;" "&amp;Milestones!$AB$86&amp;" "&amp;IF(AND(Milestones!$AB$86="FT",Milestones!$AA$86=FT_Y5,EDATE($D45,Milestones!$AA$86)&lt;PolicyEff),1,Milestones!$AC$86)&amp;";  ","")&amp;IF(AND(EDATE($D45,Milestones!$AA$87)&lt;=AsOfDate,EDATE($D45,Milestones!$AA$87)&gt;=SchemeStart,IF($X45=0,$AD45,IF(AND($Z45&lt;&gt;"",EDATE($D45,Milestones!$AA$87)&gt;=$Z45),$AC45,IF(AND($Y45&lt;&gt;"",EDATE($D45,Milestones!$AA$87)&gt;=$Y45),$AB45,$AA45)))=Milestones!$AB$87),UPPER(TEXT(EDATE($D45,Milestones!$AA$87),"dd mmm yy"))&amp;" "&amp;Milestones!$AB$87&amp;" "&amp;IF(AND(Milestones!$AB$87="FT",Milestones!$AA$87=FT_Y5,EDATE($D45,Milestones!$AA$87)&lt;PolicyEff),1,Milestones!$AC$87)&amp;";  ","")&amp;IF(AND(EDATE($D45,Milestones!$AA$88)&lt;=AsOfDate,EDATE($D45,Milestones!$AA$88)&gt;=SchemeStart,IF($X45=0,$AD45,IF(AND($Z45&lt;&gt;"",EDATE($D45,Milestones!$AA$88)&gt;=$Z45),$AC45,IF(AND($Y45&lt;&gt;"",EDATE($D45,Milestones!$AA$88)&gt;=$Y45),$AB45,$AA45)))=Milestones!$AB$88),UPPER(TEXT(EDATE($D45,Milestones!$AA$88),"dd mmm yy"))&amp;" "&amp;Milestones!$AB$88&amp;" "&amp;IF(AND(Milestones!$AB$88="FT",Milestones!$AA$88=FT_Y5,EDATE($D45,Milestones!$AA$88)&lt;PolicyEff),1,Milestones!$AC$88)&amp;";  ","")&amp;IF(AND(EDATE($D45,Milestones!$AA$89)&lt;=AsOfDate,EDATE($D45,Milestones!$AA$89)&gt;=SchemeStart,IF($X45=0,$AD45,IF(AND($Z45&lt;&gt;"",EDATE($D45,Milestones!$AA$89)&gt;=$Z45),$AC45,IF(AND($Y45&lt;&gt;"",EDATE($D45,Milestones!$AA$89)&gt;=$Y45),$AB45,$AA45)))=Milestones!$AB$89),UPPER(TEXT(EDATE($D45,Milestones!$AA$89),"dd mmm yy"))&amp;" "&amp;Milestones!$AB$89&amp;" "&amp;IF(AND(Milestones!$AB$89="FT",Milestones!$AA$89=FT_Y5,EDATE($D45,Milestones!$AA$89)&lt;PolicyEff),1,Milestones!$AC$89)&amp;";  ","")&amp;IF(AND(EDATE($D45,Milestones!$AA$90)&lt;=AsOfDate,EDATE($D45,Milestones!$AA$90)&gt;=SchemeStart,IF($X45=0,$AD45,IF(AND($Z45&lt;&gt;"",EDATE($D45,Milestones!$AA$90)&gt;=$Z45),$AC45,IF(AND($Y45&lt;&gt;"",EDATE($D45,Milestones!$AA$90)&gt;=$Y45),$AB45,$AA45)))=Milestones!$AB$90),UPPER(TEXT(EDATE($D45,Milestones!$AA$90),"dd mmm yy"))&amp;" "&amp;Milestones!$AB$90&amp;" "&amp;IF(AND(Milestones!$AB$90="FT",Milestones!$AA$90=FT_Y5,EDATE($D45,Milestones!$AA$90)&lt;PolicyEff),1,Milestones!$AC$90)&amp;";  ","")&amp;IF(AND(EDATE($D45,Milestones!$AA$91)&lt;=AsOfDate,EDATE($D45,Milestones!$AA$91)&gt;=SchemeStart,IF($X45=0,$AD45,IF(AND($Z45&lt;&gt;"",EDATE($D45,Milestones!$AA$91)&gt;=$Z45),$AC45,IF(AND($Y45&lt;&gt;"",EDATE($D45,Milestones!$AA$91)&gt;=$Y45),$AB45,$AA45)))=Milestones!$AB$91),UPPER(TEXT(EDATE($D45,Milestones!$AA$91),"dd mmm yy"))&amp;" "&amp;Milestones!$AB$91&amp;" "&amp;IF(AND(Milestones!$AB$91="FT",Milestones!$AA$91=FT_Y5,EDATE($D45,Milestones!$AA$91)&lt;PolicyEff),1,Milestones!$AC$91)&amp;";  ",""))</f>
        <v/>
      </c>
      <c r="O45" s="0" t="str">
        <f aca="false">IF(OR($A45="",$D45=""),"",IF(AND(EDATE($D45,Milestones!$AA$92)&lt;=AsOfDate,EDATE($D45,Milestones!$AA$92)&gt;=SchemeStart,IF($X45=0,$AD45,IF(AND($Z45&lt;&gt;"",EDATE($D45,Milestones!$AA$92)&gt;=$Z45),$AC45,IF(AND($Y45&lt;&gt;"",EDATE($D45,Milestones!$AA$92)&gt;=$Y45),$AB45,$AA45)))=Milestones!$AB$92),UPPER(TEXT(EDATE($D45,Milestones!$AA$92),"dd mmm yy"))&amp;" "&amp;Milestones!$AB$92&amp;" "&amp;IF(AND(Milestones!$AB$92="FT",Milestones!$AA$92=FT_Y5,EDATE($D45,Milestones!$AA$92)&lt;PolicyEff),1,Milestones!$AC$92)&amp;";  ","")&amp;IF(AND(EDATE($D45,Milestones!$AA$93)&lt;=AsOfDate,EDATE($D45,Milestones!$AA$93)&gt;=SchemeStart,IF($X45=0,$AD45,IF(AND($Z45&lt;&gt;"",EDATE($D45,Milestones!$AA$93)&gt;=$Z45),$AC45,IF(AND($Y45&lt;&gt;"",EDATE($D45,Milestones!$AA$93)&gt;=$Y45),$AB45,$AA45)))=Milestones!$AB$93),UPPER(TEXT(EDATE($D45,Milestones!$AA$93),"dd mmm yy"))&amp;" "&amp;Milestones!$AB$93&amp;" "&amp;IF(AND(Milestones!$AB$93="FT",Milestones!$AA$93=FT_Y5,EDATE($D45,Milestones!$AA$93)&lt;PolicyEff),1,Milestones!$AC$93)&amp;";  ","")&amp;IF(AND(EDATE($D45,Milestones!$AA$94)&lt;=AsOfDate,EDATE($D45,Milestones!$AA$94)&gt;=SchemeStart,IF($X45=0,$AD45,IF(AND($Z45&lt;&gt;"",EDATE($D45,Milestones!$AA$94)&gt;=$Z45),$AC45,IF(AND($Y45&lt;&gt;"",EDATE($D45,Milestones!$AA$94)&gt;=$Y45),$AB45,$AA45)))=Milestones!$AB$94),UPPER(TEXT(EDATE($D45,Milestones!$AA$94),"dd mmm yy"))&amp;" "&amp;Milestones!$AB$94&amp;" "&amp;IF(AND(Milestones!$AB$94="FT",Milestones!$AA$94=FT_Y5,EDATE($D45,Milestones!$AA$94)&lt;PolicyEff),1,Milestones!$AC$94)&amp;";  ","")&amp;IF(AND(EDATE($D45,Milestones!$AA$95)&lt;=AsOfDate,EDATE($D45,Milestones!$AA$95)&gt;=SchemeStart,IF($X45=0,$AD45,IF(AND($Z45&lt;&gt;"",EDATE($D45,Milestones!$AA$95)&gt;=$Z45),$AC45,IF(AND($Y45&lt;&gt;"",EDATE($D45,Milestones!$AA$95)&gt;=$Y45),$AB45,$AA45)))=Milestones!$AB$95),UPPER(TEXT(EDATE($D45,Milestones!$AA$95),"dd mmm yy"))&amp;" "&amp;Milestones!$AB$95&amp;" "&amp;IF(AND(Milestones!$AB$95="FT",Milestones!$AA$95=FT_Y5,EDATE($D45,Milestones!$AA$95)&lt;PolicyEff),1,Milestones!$AC$95)&amp;";  ","")&amp;IF(AND(EDATE($D45,Milestones!$AA$96)&lt;=AsOfDate,EDATE($D45,Milestones!$AA$96)&gt;=SchemeStart,IF($X45=0,$AD45,IF(AND($Z45&lt;&gt;"",EDATE($D45,Milestones!$AA$96)&gt;=$Z45),$AC45,IF(AND($Y45&lt;&gt;"",EDATE($D45,Milestones!$AA$96)&gt;=$Y45),$AB45,$AA45)))=Milestones!$AB$96),UPPER(TEXT(EDATE($D45,Milestones!$AA$96),"dd mmm yy"))&amp;" "&amp;Milestones!$AB$96&amp;" "&amp;IF(AND(Milestones!$AB$96="FT",Milestones!$AA$96=FT_Y5,EDATE($D45,Milestones!$AA$96)&lt;PolicyEff),1,Milestones!$AC$96)&amp;";  ","")&amp;IF(AND(EDATE($D45,Milestones!$AA$97)&lt;=AsOfDate,EDATE($D45,Milestones!$AA$97)&gt;=SchemeStart,IF($X45=0,$AD45,IF(AND($Z45&lt;&gt;"",EDATE($D45,Milestones!$AA$97)&gt;=$Z45),$AC45,IF(AND($Y45&lt;&gt;"",EDATE($D45,Milestones!$AA$97)&gt;=$Y45),$AB45,$AA45)))=Milestones!$AB$97),UPPER(TEXT(EDATE($D45,Milestones!$AA$97),"dd mmm yy"))&amp;" "&amp;Milestones!$AB$97&amp;" "&amp;IF(AND(Milestones!$AB$97="FT",Milestones!$AA$97=FT_Y5,EDATE($D45,Milestones!$AA$97)&lt;PolicyEff),1,Milestones!$AC$97)&amp;";  ","")&amp;IF(AND(EDATE($D45,Milestones!$AA$98)&lt;=AsOfDate,EDATE($D45,Milestones!$AA$98)&gt;=SchemeStart,IF($X45=0,$AD45,IF(AND($Z45&lt;&gt;"",EDATE($D45,Milestones!$AA$98)&gt;=$Z45),$AC45,IF(AND($Y45&lt;&gt;"",EDATE($D45,Milestones!$AA$98)&gt;=$Y45),$AB45,$AA45)))=Milestones!$AB$98),UPPER(TEXT(EDATE($D45,Milestones!$AA$98),"dd mmm yy"))&amp;" "&amp;Milestones!$AB$98&amp;" "&amp;IF(AND(Milestones!$AB$98="FT",Milestones!$AA$98=FT_Y5,EDATE($D45,Milestones!$AA$98)&lt;PolicyEff),1,Milestones!$AC$98)&amp;";  ","")&amp;IF(AND(EDATE($D45,Milestones!$AA$99)&lt;=AsOfDate,EDATE($D45,Milestones!$AA$99)&gt;=SchemeStart,IF($X45=0,$AD45,IF(AND($Z45&lt;&gt;"",EDATE($D45,Milestones!$AA$99)&gt;=$Z45),$AC45,IF(AND($Y45&lt;&gt;"",EDATE($D45,Milestones!$AA$99)&gt;=$Y45),$AB45,$AA45)))=Milestones!$AB$99),UPPER(TEXT(EDATE($D45,Milestones!$AA$99),"dd mmm yy"))&amp;" "&amp;Milestones!$AB$99&amp;" "&amp;IF(AND(Milestones!$AB$99="FT",Milestones!$AA$99=FT_Y5,EDATE($D45,Milestones!$AA$99)&lt;PolicyEff),1,Milestones!$AC$99)&amp;";  ","")&amp;IF(AND(EDATE($D45,Milestones!$AA$100)&lt;=AsOfDate,EDATE($D45,Milestones!$AA$100)&gt;=SchemeStart,IF($X45=0,$AD45,IF(AND($Z45&lt;&gt;"",EDATE($D45,Milestones!$AA$100)&gt;=$Z45),$AC45,IF(AND($Y45&lt;&gt;"",EDATE($D45,Milestones!$AA$100)&gt;=$Y45),$AB45,$AA45)))=Milestones!$AB$100),UPPER(TEXT(EDATE($D45,Milestones!$AA$100),"dd mmm yy"))&amp;" "&amp;Milestones!$AB$100&amp;" "&amp;IF(AND(Milestones!$AB$100="FT",Milestones!$AA$100=FT_Y5,EDATE($D45,Milestones!$AA$100)&lt;PolicyEff),1,Milestones!$AC$100)&amp;";  ","")&amp;IF(AND(EDATE($D45,Milestones!$AA$101)&lt;=AsOfDate,EDATE($D45,Milestones!$AA$101)&gt;=SchemeStart,IF($X45=0,$AD45,IF(AND($Z45&lt;&gt;"",EDATE($D45,Milestones!$AA$101)&gt;=$Z45),$AC45,IF(AND($Y45&lt;&gt;"",EDATE($D45,Milestones!$AA$101)&gt;=$Y45),$AB45,$AA45)))=Milestones!$AB$101),UPPER(TEXT(EDATE($D45,Milestones!$AA$101),"dd mmm yy"))&amp;" "&amp;Milestones!$AB$101&amp;" "&amp;IF(AND(Milestones!$AB$101="FT",Milestones!$AA$101=FT_Y5,EDATE($D45,Milestones!$AA$101)&lt;PolicyEff),1,Milestones!$AC$101)&amp;";  ","")&amp;IF(AND(EDATE($D45,Milestones!$AA$102)&lt;=AsOfDate,EDATE($D45,Milestones!$AA$102)&gt;=SchemeStart,IF($X45=0,$AD45,IF(AND($Z45&lt;&gt;"",EDATE($D45,Milestones!$AA$102)&gt;=$Z45),$AC45,IF(AND($Y45&lt;&gt;"",EDATE($D45,Milestones!$AA$102)&gt;=$Y45),$AB45,$AA45)))=Milestones!$AB$102),UPPER(TEXT(EDATE($D45,Milestones!$AA$102),"dd mmm yy"))&amp;" "&amp;Milestones!$AB$102&amp;" "&amp;IF(AND(Milestones!$AB$102="FT",Milestones!$AA$102=FT_Y5,EDATE($D45,Milestones!$AA$102)&lt;PolicyEff),1,Milestones!$AC$102)&amp;";  ","")&amp;IF(AND(EDATE($D45,Milestones!$AA$103)&lt;=AsOfDate,EDATE($D45,Milestones!$AA$103)&gt;=SchemeStart,IF($X45=0,$AD45,IF(AND($Z45&lt;&gt;"",EDATE($D45,Milestones!$AA$103)&gt;=$Z45),$AC45,IF(AND($Y45&lt;&gt;"",EDATE($D45,Milestones!$AA$103)&gt;=$Y45),$AB45,$AA45)))=Milestones!$AB$103),UPPER(TEXT(EDATE($D45,Milestones!$AA$103),"dd mmm yy"))&amp;" "&amp;Milestones!$AB$103&amp;" "&amp;IF(AND(Milestones!$AB$103="FT",Milestones!$AA$103=FT_Y5,EDATE($D45,Milestones!$AA$103)&lt;PolicyEff),1,Milestones!$AC$103)&amp;";  ",""))</f>
        <v/>
      </c>
      <c r="P45" s="0" t="str">
        <f aca="false">IF(OR($A45="",$D45=""),"",IF(AND(EDATE($D45,Milestones!$AA$104)&lt;=AsOfDate,EDATE($D45,Milestones!$AA$104)&gt;=SchemeStart,IF($X45=0,$AD45,IF(AND($Z45&lt;&gt;"",EDATE($D45,Milestones!$AA$104)&gt;=$Z45),$AC45,IF(AND($Y45&lt;&gt;"",EDATE($D45,Milestones!$AA$104)&gt;=$Y45),$AB45,$AA45)))=Milestones!$AB$104),UPPER(TEXT(EDATE($D45,Milestones!$AA$104),"dd mmm yy"))&amp;" "&amp;Milestones!$AB$104&amp;" "&amp;IF(AND(Milestones!$AB$104="FT",Milestones!$AA$104=FT_Y5,EDATE($D45,Milestones!$AA$104)&lt;PolicyEff),1,Milestones!$AC$104)&amp;";  ","")&amp;IF(AND(EDATE($D45,Milestones!$AA$105)&lt;=AsOfDate,EDATE($D45,Milestones!$AA$105)&gt;=SchemeStart,IF($X45=0,$AD45,IF(AND($Z45&lt;&gt;"",EDATE($D45,Milestones!$AA$105)&gt;=$Z45),$AC45,IF(AND($Y45&lt;&gt;"",EDATE($D45,Milestones!$AA$105)&gt;=$Y45),$AB45,$AA45)))=Milestones!$AB$105),UPPER(TEXT(EDATE($D45,Milestones!$AA$105),"dd mmm yy"))&amp;" "&amp;Milestones!$AB$105&amp;" "&amp;IF(AND(Milestones!$AB$105="FT",Milestones!$AA$105=FT_Y5,EDATE($D45,Milestones!$AA$105)&lt;PolicyEff),1,Milestones!$AC$105)&amp;";  ","")&amp;IF(AND(EDATE($D45,Milestones!$AA$106)&lt;=AsOfDate,EDATE($D45,Milestones!$AA$106)&gt;=SchemeStart,IF($X45=0,$AD45,IF(AND($Z45&lt;&gt;"",EDATE($D45,Milestones!$AA$106)&gt;=$Z45),$AC45,IF(AND($Y45&lt;&gt;"",EDATE($D45,Milestones!$AA$106)&gt;=$Y45),$AB45,$AA45)))=Milestones!$AB$106),UPPER(TEXT(EDATE($D45,Milestones!$AA$106),"dd mmm yy"))&amp;" "&amp;Milestones!$AB$106&amp;" "&amp;IF(AND(Milestones!$AB$106="FT",Milestones!$AA$106=FT_Y5,EDATE($D45,Milestones!$AA$106)&lt;PolicyEff),1,Milestones!$AC$106)&amp;";  ","")&amp;IF(AND(EDATE($D45,Milestones!$AA$107)&lt;=AsOfDate,EDATE($D45,Milestones!$AA$107)&gt;=SchemeStart,IF($X45=0,$AD45,IF(AND($Z45&lt;&gt;"",EDATE($D45,Milestones!$AA$107)&gt;=$Z45),$AC45,IF(AND($Y45&lt;&gt;"",EDATE($D45,Milestones!$AA$107)&gt;=$Y45),$AB45,$AA45)))=Milestones!$AB$107),UPPER(TEXT(EDATE($D45,Milestones!$AA$107),"dd mmm yy"))&amp;" "&amp;Milestones!$AB$107&amp;" "&amp;IF(AND(Milestones!$AB$107="FT",Milestones!$AA$107=FT_Y5,EDATE($D45,Milestones!$AA$107)&lt;PolicyEff),1,Milestones!$AC$107)&amp;";  ","")&amp;IF(AND(EDATE($D45,Milestones!$AA$108)&lt;=AsOfDate,EDATE($D45,Milestones!$AA$108)&gt;=SchemeStart,IF($X45=0,$AD45,IF(AND($Z45&lt;&gt;"",EDATE($D45,Milestones!$AA$108)&gt;=$Z45),$AC45,IF(AND($Y45&lt;&gt;"",EDATE($D45,Milestones!$AA$108)&gt;=$Y45),$AB45,$AA45)))=Milestones!$AB$108),UPPER(TEXT(EDATE($D45,Milestones!$AA$108),"dd mmm yy"))&amp;" "&amp;Milestones!$AB$108&amp;" "&amp;IF(AND(Milestones!$AB$108="FT",Milestones!$AA$108=FT_Y5,EDATE($D45,Milestones!$AA$108)&lt;PolicyEff),1,Milestones!$AC$108)&amp;";  ","")&amp;IF(AND(EDATE($D45,Milestones!$AA$109)&lt;=AsOfDate,EDATE($D45,Milestones!$AA$109)&gt;=SchemeStart,IF($X45=0,$AD45,IF(AND($Z45&lt;&gt;"",EDATE($D45,Milestones!$AA$109)&gt;=$Z45),$AC45,IF(AND($Y45&lt;&gt;"",EDATE($D45,Milestones!$AA$109)&gt;=$Y45),$AB45,$AA45)))=Milestones!$AB$109),UPPER(TEXT(EDATE($D45,Milestones!$AA$109),"dd mmm yy"))&amp;" "&amp;Milestones!$AB$109&amp;" "&amp;IF(AND(Milestones!$AB$109="FT",Milestones!$AA$109=FT_Y5,EDATE($D45,Milestones!$AA$109)&lt;PolicyEff),1,Milestones!$AC$109)&amp;";  ","")&amp;IF(AND(EDATE($D45,Milestones!$AA$110)&lt;=AsOfDate,EDATE($D45,Milestones!$AA$110)&gt;=SchemeStart,IF($X45=0,$AD45,IF(AND($Z45&lt;&gt;"",EDATE($D45,Milestones!$AA$110)&gt;=$Z45),$AC45,IF(AND($Y45&lt;&gt;"",EDATE($D45,Milestones!$AA$110)&gt;=$Y45),$AB45,$AA45)))=Milestones!$AB$110),UPPER(TEXT(EDATE($D45,Milestones!$AA$110),"dd mmm yy"))&amp;" "&amp;Milestones!$AB$110&amp;" "&amp;IF(AND(Milestones!$AB$110="FT",Milestones!$AA$110=FT_Y5,EDATE($D45,Milestones!$AA$110)&lt;PolicyEff),1,Milestones!$AC$110)&amp;";  ","")&amp;IF(AND(EDATE($D45,Milestones!$AA$111)&lt;=AsOfDate,EDATE($D45,Milestones!$AA$111)&gt;=SchemeStart,IF($X45=0,$AD45,IF(AND($Z45&lt;&gt;"",EDATE($D45,Milestones!$AA$111)&gt;=$Z45),$AC45,IF(AND($Y45&lt;&gt;"",EDATE($D45,Milestones!$AA$111)&gt;=$Y45),$AB45,$AA45)))=Milestones!$AB$111),UPPER(TEXT(EDATE($D45,Milestones!$AA$111),"dd mmm yy"))&amp;" "&amp;Milestones!$AB$111&amp;" "&amp;IF(AND(Milestones!$AB$111="FT",Milestones!$AA$111=FT_Y5,EDATE($D45,Milestones!$AA$111)&lt;PolicyEff),1,Milestones!$AC$111)&amp;";  ","")&amp;IF(AND(EDATE($D45,Milestones!$AA$112)&lt;=AsOfDate,EDATE($D45,Milestones!$AA$112)&gt;=SchemeStart,IF($X45=0,$AD45,IF(AND($Z45&lt;&gt;"",EDATE($D45,Milestones!$AA$112)&gt;=$Z45),$AC45,IF(AND($Y45&lt;&gt;"",EDATE($D45,Milestones!$AA$112)&gt;=$Y45),$AB45,$AA45)))=Milestones!$AB$112),UPPER(TEXT(EDATE($D45,Milestones!$AA$112),"dd mmm yy"))&amp;" "&amp;Milestones!$AB$112&amp;" "&amp;IF(AND(Milestones!$AB$112="FT",Milestones!$AA$112=FT_Y5,EDATE($D45,Milestones!$AA$112)&lt;PolicyEff),1,Milestones!$AC$112)&amp;";  ","")&amp;IF(AND(EDATE($D45,Milestones!$AA$113)&lt;=AsOfDate,EDATE($D45,Milestones!$AA$113)&gt;=SchemeStart,IF($X45=0,$AD45,IF(AND($Z45&lt;&gt;"",EDATE($D45,Milestones!$AA$113)&gt;=$Z45),$AC45,IF(AND($Y45&lt;&gt;"",EDATE($D45,Milestones!$AA$113)&gt;=$Y45),$AB45,$AA45)))=Milestones!$AB$113),UPPER(TEXT(EDATE($D45,Milestones!$AA$113),"dd mmm yy"))&amp;" "&amp;Milestones!$AB$113&amp;" "&amp;IF(AND(Milestones!$AB$113="FT",Milestones!$AA$113=FT_Y5,EDATE($D45,Milestones!$AA$113)&lt;PolicyEff),1,Milestones!$AC$113)&amp;";  ","")&amp;IF(AND(EDATE($D45,Milestones!$AA$114)&lt;=AsOfDate,EDATE($D45,Milestones!$AA$114)&gt;=SchemeStart,IF($X45=0,$AD45,IF(AND($Z45&lt;&gt;"",EDATE($D45,Milestones!$AA$114)&gt;=$Z45),$AC45,IF(AND($Y45&lt;&gt;"",EDATE($D45,Milestones!$AA$114)&gt;=$Y45),$AB45,$AA45)))=Milestones!$AB$114),UPPER(TEXT(EDATE($D45,Milestones!$AA$114),"dd mmm yy"))&amp;" "&amp;Milestones!$AB$114&amp;" "&amp;IF(AND(Milestones!$AB$114="FT",Milestones!$AA$114=FT_Y5,EDATE($D45,Milestones!$AA$114)&lt;PolicyEff),1,Milestones!$AC$114)&amp;";  ","")&amp;IF(AND(EDATE($D45,Milestones!$AA$115)&lt;=AsOfDate,EDATE($D45,Milestones!$AA$115)&gt;=SchemeStart,IF($X45=0,$AD45,IF(AND($Z45&lt;&gt;"",EDATE($D45,Milestones!$AA$115)&gt;=$Z45),$AC45,IF(AND($Y45&lt;&gt;"",EDATE($D45,Milestones!$AA$115)&gt;=$Y45),$AB45,$AA45)))=Milestones!$AB$115),UPPER(TEXT(EDATE($D45,Milestones!$AA$115),"dd mmm yy"))&amp;" "&amp;Milestones!$AB$115&amp;" "&amp;IF(AND(Milestones!$AB$115="FT",Milestones!$AA$115=FT_Y5,EDATE($D45,Milestones!$AA$115)&lt;PolicyEff),1,Milestones!$AC$115)&amp;";  ",""))</f>
        <v/>
      </c>
      <c r="Q45" s="0" t="str">
        <f aca="false">IF(OR($A45="",$D45=""),"",IF(AND(EDATE($D45,Milestones!$AA$116)&lt;=AsOfDate,EDATE($D45,Milestones!$AA$116)&gt;=SchemeStart,IF($X45=0,$AD45,IF(AND($Z45&lt;&gt;"",EDATE($D45,Milestones!$AA$116)&gt;=$Z45),$AC45,IF(AND($Y45&lt;&gt;"",EDATE($D45,Milestones!$AA$116)&gt;=$Y45),$AB45,$AA45)))=Milestones!$AB$116),UPPER(TEXT(EDATE($D45,Milestones!$AA$116),"dd mmm yy"))&amp;" "&amp;Milestones!$AB$116&amp;" "&amp;IF(AND(Milestones!$AB$116="FT",Milestones!$AA$116=FT_Y5,EDATE($D45,Milestones!$AA$116)&lt;PolicyEff),1,Milestones!$AC$116)&amp;";  ","")&amp;IF(AND(EDATE($D45,Milestones!$AA$117)&lt;=AsOfDate,EDATE($D45,Milestones!$AA$117)&gt;=SchemeStart,IF($X45=0,$AD45,IF(AND($Z45&lt;&gt;"",EDATE($D45,Milestones!$AA$117)&gt;=$Z45),$AC45,IF(AND($Y45&lt;&gt;"",EDATE($D45,Milestones!$AA$117)&gt;=$Y45),$AB45,$AA45)))=Milestones!$AB$117),UPPER(TEXT(EDATE($D45,Milestones!$AA$117),"dd mmm yy"))&amp;" "&amp;Milestones!$AB$117&amp;" "&amp;IF(AND(Milestones!$AB$117="FT",Milestones!$AA$117=FT_Y5,EDATE($D45,Milestones!$AA$117)&lt;PolicyEff),1,Milestones!$AC$117)&amp;";  ","")&amp;IF(AND(EDATE($D45,Milestones!$AA$118)&lt;=AsOfDate,EDATE($D45,Milestones!$AA$118)&gt;=SchemeStart,IF($X45=0,$AD45,IF(AND($Z45&lt;&gt;"",EDATE($D45,Milestones!$AA$118)&gt;=$Z45),$AC45,IF(AND($Y45&lt;&gt;"",EDATE($D45,Milestones!$AA$118)&gt;=$Y45),$AB45,$AA45)))=Milestones!$AB$118),UPPER(TEXT(EDATE($D45,Milestones!$AA$118),"dd mmm yy"))&amp;" "&amp;Milestones!$AB$118&amp;" "&amp;IF(AND(Milestones!$AB$118="FT",Milestones!$AA$118=FT_Y5,EDATE($D45,Milestones!$AA$118)&lt;PolicyEff),1,Milestones!$AC$118)&amp;";  ","")&amp;IF(AND(EDATE($D45,Milestones!$AA$119)&lt;=AsOfDate,EDATE($D45,Milestones!$AA$119)&gt;=SchemeStart,IF($X45=0,$AD45,IF(AND($Z45&lt;&gt;"",EDATE($D45,Milestones!$AA$119)&gt;=$Z45),$AC45,IF(AND($Y45&lt;&gt;"",EDATE($D45,Milestones!$AA$119)&gt;=$Y45),$AB45,$AA45)))=Milestones!$AB$119),UPPER(TEXT(EDATE($D45,Milestones!$AA$119),"dd mmm yy"))&amp;" "&amp;Milestones!$AB$119&amp;" "&amp;IF(AND(Milestones!$AB$119="FT",Milestones!$AA$119=FT_Y5,EDATE($D45,Milestones!$AA$119)&lt;PolicyEff),1,Milestones!$AC$119)&amp;";  ","")&amp;IF(AND(EDATE($D45,Milestones!$AA$120)&lt;=AsOfDate,EDATE($D45,Milestones!$AA$120)&gt;=SchemeStart,IF($X45=0,$AD45,IF(AND($Z45&lt;&gt;"",EDATE($D45,Milestones!$AA$120)&gt;=$Z45),$AC45,IF(AND($Y45&lt;&gt;"",EDATE($D45,Milestones!$AA$120)&gt;=$Y45),$AB45,$AA45)))=Milestones!$AB$120),UPPER(TEXT(EDATE($D45,Milestones!$AA$120),"dd mmm yy"))&amp;" "&amp;Milestones!$AB$120&amp;" "&amp;IF(AND(Milestones!$AB$120="FT",Milestones!$AA$120=FT_Y5,EDATE($D45,Milestones!$AA$120)&lt;PolicyEff),1,Milestones!$AC$120)&amp;";  ","")&amp;IF(AND(EDATE($D45,Milestones!$AA$121)&lt;=AsOfDate,EDATE($D45,Milestones!$AA$121)&gt;=SchemeStart,IF($X45=0,$AD45,IF(AND($Z45&lt;&gt;"",EDATE($D45,Milestones!$AA$121)&gt;=$Z45),$AC45,IF(AND($Y45&lt;&gt;"",EDATE($D45,Milestones!$AA$121)&gt;=$Y45),$AB45,$AA45)))=Milestones!$AB$121),UPPER(TEXT(EDATE($D45,Milestones!$AA$121),"dd mmm yy"))&amp;" "&amp;Milestones!$AB$121&amp;" "&amp;IF(AND(Milestones!$AB$121="FT",Milestones!$AA$121=FT_Y5,EDATE($D45,Milestones!$AA$121)&lt;PolicyEff),1,Milestones!$AC$121)&amp;";  ","")&amp;IF(AND(EDATE($D45,Milestones!$AA$122)&lt;=AsOfDate,EDATE($D45,Milestones!$AA$122)&gt;=SchemeStart,IF($X45=0,$AD45,IF(AND($Z45&lt;&gt;"",EDATE($D45,Milestones!$AA$122)&gt;=$Z45),$AC45,IF(AND($Y45&lt;&gt;"",EDATE($D45,Milestones!$AA$122)&gt;=$Y45),$AB45,$AA45)))=Milestones!$AB$122),UPPER(TEXT(EDATE($D45,Milestones!$AA$122),"dd mmm yy"))&amp;" "&amp;Milestones!$AB$122&amp;" "&amp;IF(AND(Milestones!$AB$122="FT",Milestones!$AA$122=FT_Y5,EDATE($D45,Milestones!$AA$122)&lt;PolicyEff),1,Milestones!$AC$122)&amp;";  ","")&amp;IF(AND(EDATE($D45,Milestones!$AA$123)&lt;=AsOfDate,EDATE($D45,Milestones!$AA$123)&gt;=SchemeStart,IF($X45=0,$AD45,IF(AND($Z45&lt;&gt;"",EDATE($D45,Milestones!$AA$123)&gt;=$Z45),$AC45,IF(AND($Y45&lt;&gt;"",EDATE($D45,Milestones!$AA$123)&gt;=$Y45),$AB45,$AA45)))=Milestones!$AB$123),UPPER(TEXT(EDATE($D45,Milestones!$AA$123),"dd mmm yy"))&amp;" "&amp;Milestones!$AB$123&amp;" "&amp;IF(AND(Milestones!$AB$123="FT",Milestones!$AA$123=FT_Y5,EDATE($D45,Milestones!$AA$123)&lt;PolicyEff),1,Milestones!$AC$123)&amp;";  ","")&amp;IF(AND(EDATE($D45,Milestones!$AA$124)&lt;=AsOfDate,EDATE($D45,Milestones!$AA$124)&gt;=SchemeStart,IF($X45=0,$AD45,IF(AND($Z45&lt;&gt;"",EDATE($D45,Milestones!$AA$124)&gt;=$Z45),$AC45,IF(AND($Y45&lt;&gt;"",EDATE($D45,Milestones!$AA$124)&gt;=$Y45),$AB45,$AA45)))=Milestones!$AB$124),UPPER(TEXT(EDATE($D45,Milestones!$AA$124),"dd mmm yy"))&amp;" "&amp;Milestones!$AB$124&amp;" "&amp;IF(AND(Milestones!$AB$124="FT",Milestones!$AA$124=FT_Y5,EDATE($D45,Milestones!$AA$124)&lt;PolicyEff),1,Milestones!$AC$124)&amp;";  ","")&amp;IF(AND(EDATE($D45,Milestones!$AA$125)&lt;=AsOfDate,EDATE($D45,Milestones!$AA$125)&gt;=SchemeStart,IF($X45=0,$AD45,IF(AND($Z45&lt;&gt;"",EDATE($D45,Milestones!$AA$125)&gt;=$Z45),$AC45,IF(AND($Y45&lt;&gt;"",EDATE($D45,Milestones!$AA$125)&gt;=$Y45),$AB45,$AA45)))=Milestones!$AB$125),UPPER(TEXT(EDATE($D45,Milestones!$AA$125),"dd mmm yy"))&amp;" "&amp;Milestones!$AB$125&amp;" "&amp;IF(AND(Milestones!$AB$125="FT",Milestones!$AA$125=FT_Y5,EDATE($D45,Milestones!$AA$125)&lt;PolicyEff),1,Milestones!$AC$125)&amp;";  ","")&amp;IF(AND(EDATE($D45,Milestones!$AA$126)&lt;=AsOfDate,EDATE($D45,Milestones!$AA$126)&gt;=SchemeStart,IF($X45=0,$AD45,IF(AND($Z45&lt;&gt;"",EDATE($D45,Milestones!$AA$126)&gt;=$Z45),$AC45,IF(AND($Y45&lt;&gt;"",EDATE($D45,Milestones!$AA$126)&gt;=$Y45),$AB45,$AA45)))=Milestones!$AB$126),UPPER(TEXT(EDATE($D45,Milestones!$AA$126),"dd mmm yy"))&amp;" "&amp;Milestones!$AB$126&amp;" "&amp;IF(AND(Milestones!$AB$126="FT",Milestones!$AA$126=FT_Y5,EDATE($D45,Milestones!$AA$126)&lt;PolicyEff),1,Milestones!$AC$126)&amp;";  ","")&amp;IF(AND(EDATE($D45,Milestones!$AA$127)&lt;=AsOfDate,EDATE($D45,Milestones!$AA$127)&gt;=SchemeStart,IF($X45=0,$AD45,IF(AND($Z45&lt;&gt;"",EDATE($D45,Milestones!$AA$127)&gt;=$Z45),$AC45,IF(AND($Y45&lt;&gt;"",EDATE($D45,Milestones!$AA$127)&gt;=$Y45),$AB45,$AA45)))=Milestones!$AB$127),UPPER(TEXT(EDATE($D45,Milestones!$AA$127),"dd mmm yy"))&amp;" "&amp;Milestones!$AB$127&amp;" "&amp;IF(AND(Milestones!$AB$127="FT",Milestones!$AA$127=FT_Y5,EDATE($D45,Milestones!$AA$127)&lt;PolicyEff),1,Milestones!$AC$127)&amp;";  ",""))</f>
        <v/>
      </c>
      <c r="R45" s="0" t="str">
        <f aca="false">IF(OR($A45="",$D45=""),"",IF(AND(EDATE($D45,Milestones!$AA$128)&lt;=AsOfDate,EDATE($D45,Milestones!$AA$128)&gt;=SchemeStart,IF($X45=0,$AD45,IF(AND($Z45&lt;&gt;"",EDATE($D45,Milestones!$AA$128)&gt;=$Z45),$AC45,IF(AND($Y45&lt;&gt;"",EDATE($D45,Milestones!$AA$128)&gt;=$Y45),$AB45,$AA45)))=Milestones!$AB$128),UPPER(TEXT(EDATE($D45,Milestones!$AA$128),"dd mmm yy"))&amp;" "&amp;Milestones!$AB$128&amp;" "&amp;IF(AND(Milestones!$AB$128="FT",Milestones!$AA$128=FT_Y5,EDATE($D45,Milestones!$AA$128)&lt;PolicyEff),1,Milestones!$AC$128)&amp;";  ","")&amp;IF(AND(EDATE($D45,Milestones!$AA$129)&lt;=AsOfDate,EDATE($D45,Milestones!$AA$129)&gt;=SchemeStart,IF($X45=0,$AD45,IF(AND($Z45&lt;&gt;"",EDATE($D45,Milestones!$AA$129)&gt;=$Z45),$AC45,IF(AND($Y45&lt;&gt;"",EDATE($D45,Milestones!$AA$129)&gt;=$Y45),$AB45,$AA45)))=Milestones!$AB$129),UPPER(TEXT(EDATE($D45,Milestones!$AA$129),"dd mmm yy"))&amp;" "&amp;Milestones!$AB$129&amp;" "&amp;IF(AND(Milestones!$AB$129="FT",Milestones!$AA$129=FT_Y5,EDATE($D45,Milestones!$AA$129)&lt;PolicyEff),1,Milestones!$AC$129)&amp;";  ","")&amp;IF(AND(EDATE($D45,Milestones!$AA$130)&lt;=AsOfDate,EDATE($D45,Milestones!$AA$130)&gt;=SchemeStart,IF($X45=0,$AD45,IF(AND($Z45&lt;&gt;"",EDATE($D45,Milestones!$AA$130)&gt;=$Z45),$AC45,IF(AND($Y45&lt;&gt;"",EDATE($D45,Milestones!$AA$130)&gt;=$Y45),$AB45,$AA45)))=Milestones!$AB$130),UPPER(TEXT(EDATE($D45,Milestones!$AA$130),"dd mmm yy"))&amp;" "&amp;Milestones!$AB$130&amp;" "&amp;IF(AND(Milestones!$AB$130="FT",Milestones!$AA$130=FT_Y5,EDATE($D45,Milestones!$AA$130)&lt;PolicyEff),1,Milestones!$AC$130)&amp;";  ","")&amp;IF(AND(EDATE($D45,Milestones!$AA$131)&lt;=AsOfDate,EDATE($D45,Milestones!$AA$131)&gt;=SchemeStart,IF($X45=0,$AD45,IF(AND($Z45&lt;&gt;"",EDATE($D45,Milestones!$AA$131)&gt;=$Z45),$AC45,IF(AND($Y45&lt;&gt;"",EDATE($D45,Milestones!$AA$131)&gt;=$Y45),$AB45,$AA45)))=Milestones!$AB$131),UPPER(TEXT(EDATE($D45,Milestones!$AA$131),"dd mmm yy"))&amp;" "&amp;Milestones!$AB$131&amp;" "&amp;IF(AND(Milestones!$AB$131="FT",Milestones!$AA$131=FT_Y5,EDATE($D45,Milestones!$AA$131)&lt;PolicyEff),1,Milestones!$AC$131)&amp;";  ","")&amp;IF(AND(EDATE($D45,Milestones!$AA$132)&lt;=AsOfDate,EDATE($D45,Milestones!$AA$132)&gt;=SchemeStart,IF($X45=0,$AD45,IF(AND($Z45&lt;&gt;"",EDATE($D45,Milestones!$AA$132)&gt;=$Z45),$AC45,IF(AND($Y45&lt;&gt;"",EDATE($D45,Milestones!$AA$132)&gt;=$Y45),$AB45,$AA45)))=Milestones!$AB$132),UPPER(TEXT(EDATE($D45,Milestones!$AA$132),"dd mmm yy"))&amp;" "&amp;Milestones!$AB$132&amp;" "&amp;IF(AND(Milestones!$AB$132="FT",Milestones!$AA$132=FT_Y5,EDATE($D45,Milestones!$AA$132)&lt;PolicyEff),1,Milestones!$AC$132)&amp;";  ","")&amp;IF(AND(EDATE($D45,Milestones!$AA$133)&lt;=AsOfDate,EDATE($D45,Milestones!$AA$133)&gt;=SchemeStart,IF($X45=0,$AD45,IF(AND($Z45&lt;&gt;"",EDATE($D45,Milestones!$AA$133)&gt;=$Z45),$AC45,IF(AND($Y45&lt;&gt;"",EDATE($D45,Milestones!$AA$133)&gt;=$Y45),$AB45,$AA45)))=Milestones!$AB$133),UPPER(TEXT(EDATE($D45,Milestones!$AA$133),"dd mmm yy"))&amp;" "&amp;Milestones!$AB$133&amp;" "&amp;IF(AND(Milestones!$AB$133="FT",Milestones!$AA$133=FT_Y5,EDATE($D45,Milestones!$AA$133)&lt;PolicyEff),1,Milestones!$AC$133)&amp;";  ","")&amp;IF(AND(EDATE($D45,Milestones!$AA$134)&lt;=AsOfDate,EDATE($D45,Milestones!$AA$134)&gt;=SchemeStart,IF($X45=0,$AD45,IF(AND($Z45&lt;&gt;"",EDATE($D45,Milestones!$AA$134)&gt;=$Z45),$AC45,IF(AND($Y45&lt;&gt;"",EDATE($D45,Milestones!$AA$134)&gt;=$Y45),$AB45,$AA45)))=Milestones!$AB$134),UPPER(TEXT(EDATE($D45,Milestones!$AA$134),"dd mmm yy"))&amp;" "&amp;Milestones!$AB$134&amp;" "&amp;IF(AND(Milestones!$AB$134="FT",Milestones!$AA$134=FT_Y5,EDATE($D45,Milestones!$AA$134)&lt;PolicyEff),1,Milestones!$AC$134)&amp;";  ","")&amp;IF(AND(EDATE($D45,Milestones!$AA$135)&lt;=AsOfDate,EDATE($D45,Milestones!$AA$135)&gt;=SchemeStart,IF($X45=0,$AD45,IF(AND($Z45&lt;&gt;"",EDATE($D45,Milestones!$AA$135)&gt;=$Z45),$AC45,IF(AND($Y45&lt;&gt;"",EDATE($D45,Milestones!$AA$135)&gt;=$Y45),$AB45,$AA45)))=Milestones!$AB$135),UPPER(TEXT(EDATE($D45,Milestones!$AA$135),"dd mmm yy"))&amp;" "&amp;Milestones!$AB$135&amp;" "&amp;IF(AND(Milestones!$AB$135="FT",Milestones!$AA$135=FT_Y5,EDATE($D45,Milestones!$AA$135)&lt;PolicyEff),1,Milestones!$AC$135)&amp;";  ","")&amp;IF(AND(EDATE($D45,Milestones!$AA$136)&lt;=AsOfDate,EDATE($D45,Milestones!$AA$136)&gt;=SchemeStart,IF($X45=0,$AD45,IF(AND($Z45&lt;&gt;"",EDATE($D45,Milestones!$AA$136)&gt;=$Z45),$AC45,IF(AND($Y45&lt;&gt;"",EDATE($D45,Milestones!$AA$136)&gt;=$Y45),$AB45,$AA45)))=Milestones!$AB$136),UPPER(TEXT(EDATE($D45,Milestones!$AA$136),"dd mmm yy"))&amp;" "&amp;Milestones!$AB$136&amp;" "&amp;IF(AND(Milestones!$AB$136="FT",Milestones!$AA$136=FT_Y5,EDATE($D45,Milestones!$AA$136)&lt;PolicyEff),1,Milestones!$AC$136)&amp;";  ","")&amp;IF(AND(EDATE($D45,Milestones!$AA$137)&lt;=AsOfDate,EDATE($D45,Milestones!$AA$137)&gt;=SchemeStart,IF($X45=0,$AD45,IF(AND($Z45&lt;&gt;"",EDATE($D45,Milestones!$AA$137)&gt;=$Z45),$AC45,IF(AND($Y45&lt;&gt;"",EDATE($D45,Milestones!$AA$137)&gt;=$Y45),$AB45,$AA45)))=Milestones!$AB$137),UPPER(TEXT(EDATE($D45,Milestones!$AA$137),"dd mmm yy"))&amp;" "&amp;Milestones!$AB$137&amp;" "&amp;IF(AND(Milestones!$AB$137="FT",Milestones!$AA$137=FT_Y5,EDATE($D45,Milestones!$AA$137)&lt;PolicyEff),1,Milestones!$AC$137)&amp;";  ","")&amp;IF(AND(EDATE($D45,Milestones!$AA$138)&lt;=AsOfDate,EDATE($D45,Milestones!$AA$138)&gt;=SchemeStart,IF($X45=0,$AD45,IF(AND($Z45&lt;&gt;"",EDATE($D45,Milestones!$AA$138)&gt;=$Z45),$AC45,IF(AND($Y45&lt;&gt;"",EDATE($D45,Milestones!$AA$138)&gt;=$Y45),$AB45,$AA45)))=Milestones!$AB$138),UPPER(TEXT(EDATE($D45,Milestones!$AA$138),"dd mmm yy"))&amp;" "&amp;Milestones!$AB$138&amp;" "&amp;IF(AND(Milestones!$AB$138="FT",Milestones!$AA$138=FT_Y5,EDATE($D45,Milestones!$AA$138)&lt;PolicyEff),1,Milestones!$AC$138)&amp;";  ","")&amp;IF(AND(EDATE($D45,Milestones!$AA$139)&lt;=AsOfDate,EDATE($D45,Milestones!$AA$139)&gt;=SchemeStart,IF($X45=0,$AD45,IF(AND($Z45&lt;&gt;"",EDATE($D45,Milestones!$AA$139)&gt;=$Z45),$AC45,IF(AND($Y45&lt;&gt;"",EDATE($D45,Milestones!$AA$139)&gt;=$Y45),$AB45,$AA45)))=Milestones!$AB$139),UPPER(TEXT(EDATE($D45,Milestones!$AA$139),"dd mmm yy"))&amp;" "&amp;Milestones!$AB$139&amp;" "&amp;IF(AND(Milestones!$AB$139="FT",Milestones!$AA$139=FT_Y5,EDATE($D45,Milestones!$AA$139)&lt;PolicyEff),1,Milestones!$AC$139)&amp;";  ",""))</f>
        <v/>
      </c>
      <c r="S45" s="0" t="str">
        <f aca="false">IF(OR($A45="",$D45=""),"",IF(AND(EDATE($D45,Milestones!$AA$140)&lt;=AsOfDate,EDATE($D45,Milestones!$AA$140)&gt;=SchemeStart,IF($X45=0,$AD45,IF(AND($Z45&lt;&gt;"",EDATE($D45,Milestones!$AA$140)&gt;=$Z45),$AC45,IF(AND($Y45&lt;&gt;"",EDATE($D45,Milestones!$AA$140)&gt;=$Y45),$AB45,$AA45)))=Milestones!$AB$140),UPPER(TEXT(EDATE($D45,Milestones!$AA$140),"dd mmm yy"))&amp;" "&amp;Milestones!$AB$140&amp;" "&amp;IF(AND(Milestones!$AB$140="FT",Milestones!$AA$140=FT_Y5,EDATE($D45,Milestones!$AA$140)&lt;PolicyEff),1,Milestones!$AC$140)&amp;";  ","")&amp;IF(AND(EDATE($D45,Milestones!$AA$141)&lt;=AsOfDate,EDATE($D45,Milestones!$AA$141)&gt;=SchemeStart,IF($X45=0,$AD45,IF(AND($Z45&lt;&gt;"",EDATE($D45,Milestones!$AA$141)&gt;=$Z45),$AC45,IF(AND($Y45&lt;&gt;"",EDATE($D45,Milestones!$AA$141)&gt;=$Y45),$AB45,$AA45)))=Milestones!$AB$141),UPPER(TEXT(EDATE($D45,Milestones!$AA$141),"dd mmm yy"))&amp;" "&amp;Milestones!$AB$141&amp;" "&amp;IF(AND(Milestones!$AB$141="FT",Milestones!$AA$141=FT_Y5,EDATE($D45,Milestones!$AA$141)&lt;PolicyEff),1,Milestones!$AC$141)&amp;";  ","")&amp;IF(AND(EDATE($D45,Milestones!$AA$142)&lt;=AsOfDate,EDATE($D45,Milestones!$AA$142)&gt;=SchemeStart,IF($X45=0,$AD45,IF(AND($Z45&lt;&gt;"",EDATE($D45,Milestones!$AA$142)&gt;=$Z45),$AC45,IF(AND($Y45&lt;&gt;"",EDATE($D45,Milestones!$AA$142)&gt;=$Y45),$AB45,$AA45)))=Milestones!$AB$142),UPPER(TEXT(EDATE($D45,Milestones!$AA$142),"dd mmm yy"))&amp;" "&amp;Milestones!$AB$142&amp;" "&amp;IF(AND(Milestones!$AB$142="FT",Milestones!$AA$142=FT_Y5,EDATE($D45,Milestones!$AA$142)&lt;PolicyEff),1,Milestones!$AC$142)&amp;";  ","")&amp;IF(AND(EDATE($D45,Milestones!$AA$143)&lt;=AsOfDate,EDATE($D45,Milestones!$AA$143)&gt;=SchemeStart,IF($X45=0,$AD45,IF(AND($Z45&lt;&gt;"",EDATE($D45,Milestones!$AA$143)&gt;=$Z45),$AC45,IF(AND($Y45&lt;&gt;"",EDATE($D45,Milestones!$AA$143)&gt;=$Y45),$AB45,$AA45)))=Milestones!$AB$143),UPPER(TEXT(EDATE($D45,Milestones!$AA$143),"dd mmm yy"))&amp;" "&amp;Milestones!$AB$143&amp;" "&amp;IF(AND(Milestones!$AB$143="FT",Milestones!$AA$143=FT_Y5,EDATE($D45,Milestones!$AA$143)&lt;PolicyEff),1,Milestones!$AC$143)&amp;";  ","")&amp;IF(AND(EDATE($D45,Milestones!$AA$144)&lt;=AsOfDate,EDATE($D45,Milestones!$AA$144)&gt;=SchemeStart,IF($X45=0,$AD45,IF(AND($Z45&lt;&gt;"",EDATE($D45,Milestones!$AA$144)&gt;=$Z45),$AC45,IF(AND($Y45&lt;&gt;"",EDATE($D45,Milestones!$AA$144)&gt;=$Y45),$AB45,$AA45)))=Milestones!$AB$144),UPPER(TEXT(EDATE($D45,Milestones!$AA$144),"dd mmm yy"))&amp;" "&amp;Milestones!$AB$144&amp;" "&amp;IF(AND(Milestones!$AB$144="FT",Milestones!$AA$144=FT_Y5,EDATE($D45,Milestones!$AA$144)&lt;PolicyEff),1,Milestones!$AC$144)&amp;";  ","")&amp;IF(AND(EDATE($D45,Milestones!$AA$145)&lt;=AsOfDate,EDATE($D45,Milestones!$AA$145)&gt;=SchemeStart,IF($X45=0,$AD45,IF(AND($Z45&lt;&gt;"",EDATE($D45,Milestones!$AA$145)&gt;=$Z45),$AC45,IF(AND($Y45&lt;&gt;"",EDATE($D45,Milestones!$AA$145)&gt;=$Y45),$AB45,$AA45)))=Milestones!$AB$145),UPPER(TEXT(EDATE($D45,Milestones!$AA$145),"dd mmm yy"))&amp;" "&amp;Milestones!$AB$145&amp;" "&amp;IF(AND(Milestones!$AB$145="FT",Milestones!$AA$145=FT_Y5,EDATE($D45,Milestones!$AA$145)&lt;PolicyEff),1,Milestones!$AC$145)&amp;";  ","")&amp;IF(AND(EDATE($D45,Milestones!$AA$146)&lt;=AsOfDate,EDATE($D45,Milestones!$AA$146)&gt;=SchemeStart,IF($X45=0,$AD45,IF(AND($Z45&lt;&gt;"",EDATE($D45,Milestones!$AA$146)&gt;=$Z45),$AC45,IF(AND($Y45&lt;&gt;"",EDATE($D45,Milestones!$AA$146)&gt;=$Y45),$AB45,$AA45)))=Milestones!$AB$146),UPPER(TEXT(EDATE($D45,Milestones!$AA$146),"dd mmm yy"))&amp;" "&amp;Milestones!$AB$146&amp;" "&amp;IF(AND(Milestones!$AB$146="FT",Milestones!$AA$146=FT_Y5,EDATE($D45,Milestones!$AA$146)&lt;PolicyEff),1,Milestones!$AC$146)&amp;";  ","")&amp;IF(AND(EDATE($D45,Milestones!$AA$147)&lt;=AsOfDate,EDATE($D45,Milestones!$AA$147)&gt;=SchemeStart,IF($X45=0,$AD45,IF(AND($Z45&lt;&gt;"",EDATE($D45,Milestones!$AA$147)&gt;=$Z45),$AC45,IF(AND($Y45&lt;&gt;"",EDATE($D45,Milestones!$AA$147)&gt;=$Y45),$AB45,$AA45)))=Milestones!$AB$147),UPPER(TEXT(EDATE($D45,Milestones!$AA$147),"dd mmm yy"))&amp;" "&amp;Milestones!$AB$147&amp;" "&amp;IF(AND(Milestones!$AB$147="FT",Milestones!$AA$147=FT_Y5,EDATE($D45,Milestones!$AA$147)&lt;PolicyEff),1,Milestones!$AC$147)&amp;";  ","")&amp;IF(AND(EDATE($D45,Milestones!$AA$148)&lt;=AsOfDate,EDATE($D45,Milestones!$AA$148)&gt;=SchemeStart,IF($X45=0,$AD45,IF(AND($Z45&lt;&gt;"",EDATE($D45,Milestones!$AA$148)&gt;=$Z45),$AC45,IF(AND($Y45&lt;&gt;"",EDATE($D45,Milestones!$AA$148)&gt;=$Y45),$AB45,$AA45)))=Milestones!$AB$148),UPPER(TEXT(EDATE($D45,Milestones!$AA$148),"dd mmm yy"))&amp;" "&amp;Milestones!$AB$148&amp;" "&amp;IF(AND(Milestones!$AB$148="FT",Milestones!$AA$148=FT_Y5,EDATE($D45,Milestones!$AA$148)&lt;PolicyEff),1,Milestones!$AC$148)&amp;";  ","")&amp;IF(AND(EDATE($D45,Milestones!$AA$149)&lt;=AsOfDate,EDATE($D45,Milestones!$AA$149)&gt;=SchemeStart,IF($X45=0,$AD45,IF(AND($Z45&lt;&gt;"",EDATE($D45,Milestones!$AA$149)&gt;=$Z45),$AC45,IF(AND($Y45&lt;&gt;"",EDATE($D45,Milestones!$AA$149)&gt;=$Y45),$AB45,$AA45)))=Milestones!$AB$149),UPPER(TEXT(EDATE($D45,Milestones!$AA$149),"dd mmm yy"))&amp;" "&amp;Milestones!$AB$149&amp;" "&amp;IF(AND(Milestones!$AB$149="FT",Milestones!$AA$149=FT_Y5,EDATE($D45,Milestones!$AA$149)&lt;PolicyEff),1,Milestones!$AC$149)&amp;";  ","")&amp;IF(AND(EDATE($D45,Milestones!$AA$150)&lt;=AsOfDate,EDATE($D45,Milestones!$AA$150)&gt;=SchemeStart,IF($X45=0,$AD45,IF(AND($Z45&lt;&gt;"",EDATE($D45,Milestones!$AA$150)&gt;=$Z45),$AC45,IF(AND($Y45&lt;&gt;"",EDATE($D45,Milestones!$AA$150)&gt;=$Y45),$AB45,$AA45)))=Milestones!$AB$150),UPPER(TEXT(EDATE($D45,Milestones!$AA$150),"dd mmm yy"))&amp;" "&amp;Milestones!$AB$150&amp;" "&amp;IF(AND(Milestones!$AB$150="FT",Milestones!$AA$150=FT_Y5,EDATE($D45,Milestones!$AA$150)&lt;PolicyEff),1,Milestones!$AC$150)&amp;";  ","")&amp;IF(AND(EDATE($D45,Milestones!$AA$151)&lt;=AsOfDate,EDATE($D45,Milestones!$AA$151)&gt;=SchemeStart,IF($X45=0,$AD45,IF(AND($Z45&lt;&gt;"",EDATE($D45,Milestones!$AA$151)&gt;=$Z45),$AC45,IF(AND($Y45&lt;&gt;"",EDATE($D45,Milestones!$AA$151)&gt;=$Y45),$AB45,$AA45)))=Milestones!$AB$151),UPPER(TEXT(EDATE($D45,Milestones!$AA$151),"dd mmm yy"))&amp;" "&amp;Milestones!$AB$151&amp;" "&amp;IF(AND(Milestones!$AB$151="FT",Milestones!$AA$151=FT_Y5,EDATE($D45,Milestones!$AA$151)&lt;PolicyEff),1,Milestones!$AC$151)&amp;";  ",""))</f>
        <v/>
      </c>
      <c r="T45" s="0" t="str">
        <f aca="false">IF(OR($A45="",$D45=""),"",IF(AND(EDATE($D45,Milestones!$AA$152)&lt;=AsOfDate,EDATE($D45,Milestones!$AA$152)&gt;=SchemeStart,IF($X45=0,$AD45,IF(AND($Z45&lt;&gt;"",EDATE($D45,Milestones!$AA$152)&gt;=$Z45),$AC45,IF(AND($Y45&lt;&gt;"",EDATE($D45,Milestones!$AA$152)&gt;=$Y45),$AB45,$AA45)))=Milestones!$AB$152),UPPER(TEXT(EDATE($D45,Milestones!$AA$152),"dd mmm yy"))&amp;" "&amp;Milestones!$AB$152&amp;" "&amp;IF(AND(Milestones!$AB$152="FT",Milestones!$AA$152=FT_Y5,EDATE($D45,Milestones!$AA$152)&lt;PolicyEff),1,Milestones!$AC$152)&amp;";  ","")&amp;IF(AND(EDATE($D45,Milestones!$AA$153)&lt;=AsOfDate,EDATE($D45,Milestones!$AA$153)&gt;=SchemeStart,IF($X45=0,$AD45,IF(AND($Z45&lt;&gt;"",EDATE($D45,Milestones!$AA$153)&gt;=$Z45),$AC45,IF(AND($Y45&lt;&gt;"",EDATE($D45,Milestones!$AA$153)&gt;=$Y45),$AB45,$AA45)))=Milestones!$AB$153),UPPER(TEXT(EDATE($D45,Milestones!$AA$153),"dd mmm yy"))&amp;" "&amp;Milestones!$AB$153&amp;" "&amp;IF(AND(Milestones!$AB$153="FT",Milestones!$AA$153=FT_Y5,EDATE($D45,Milestones!$AA$153)&lt;PolicyEff),1,Milestones!$AC$153)&amp;";  ","")&amp;IF(AND(EDATE($D45,Milestones!$AA$154)&lt;=AsOfDate,EDATE($D45,Milestones!$AA$154)&gt;=SchemeStart,IF($X45=0,$AD45,IF(AND($Z45&lt;&gt;"",EDATE($D45,Milestones!$AA$154)&gt;=$Z45),$AC45,IF(AND($Y45&lt;&gt;"",EDATE($D45,Milestones!$AA$154)&gt;=$Y45),$AB45,$AA45)))=Milestones!$AB$154),UPPER(TEXT(EDATE($D45,Milestones!$AA$154),"dd mmm yy"))&amp;" "&amp;Milestones!$AB$154&amp;" "&amp;IF(AND(Milestones!$AB$154="FT",Milestones!$AA$154=FT_Y5,EDATE($D45,Milestones!$AA$154)&lt;PolicyEff),1,Milestones!$AC$154)&amp;";  ","")&amp;IF(AND(EDATE($D45,Milestones!$AA$155)&lt;=AsOfDate,EDATE($D45,Milestones!$AA$155)&gt;=SchemeStart,IF($X45=0,$AD45,IF(AND($Z45&lt;&gt;"",EDATE($D45,Milestones!$AA$155)&gt;=$Z45),$AC45,IF(AND($Y45&lt;&gt;"",EDATE($D45,Milestones!$AA$155)&gt;=$Y45),$AB45,$AA45)))=Milestones!$AB$155),UPPER(TEXT(EDATE($D45,Milestones!$AA$155),"dd mmm yy"))&amp;" "&amp;Milestones!$AB$155&amp;" "&amp;IF(AND(Milestones!$AB$155="FT",Milestones!$AA$155=FT_Y5,EDATE($D45,Milestones!$AA$155)&lt;PolicyEff),1,Milestones!$AC$155)&amp;";  ","")&amp;IF(AND(EDATE($D45,Milestones!$AA$156)&lt;=AsOfDate,EDATE($D45,Milestones!$AA$156)&gt;=SchemeStart,IF($X45=0,$AD45,IF(AND($Z45&lt;&gt;"",EDATE($D45,Milestones!$AA$156)&gt;=$Z45),$AC45,IF(AND($Y45&lt;&gt;"",EDATE($D45,Milestones!$AA$156)&gt;=$Y45),$AB45,$AA45)))=Milestones!$AB$156),UPPER(TEXT(EDATE($D45,Milestones!$AA$156),"dd mmm yy"))&amp;" "&amp;Milestones!$AB$156&amp;" "&amp;IF(AND(Milestones!$AB$156="FT",Milestones!$AA$156=FT_Y5,EDATE($D45,Milestones!$AA$156)&lt;PolicyEff),1,Milestones!$AC$156)&amp;";  ","")&amp;IF(AND(EDATE($D45,Milestones!$AA$157)&lt;=AsOfDate,EDATE($D45,Milestones!$AA$157)&gt;=SchemeStart,IF($X45=0,$AD45,IF(AND($Z45&lt;&gt;"",EDATE($D45,Milestones!$AA$157)&gt;=$Z45),$AC45,IF(AND($Y45&lt;&gt;"",EDATE($D45,Milestones!$AA$157)&gt;=$Y45),$AB45,$AA45)))=Milestones!$AB$157),UPPER(TEXT(EDATE($D45,Milestones!$AA$157),"dd mmm yy"))&amp;" "&amp;Milestones!$AB$157&amp;" "&amp;IF(AND(Milestones!$AB$157="FT",Milestones!$AA$157=FT_Y5,EDATE($D45,Milestones!$AA$157)&lt;PolicyEff),1,Milestones!$AC$157)&amp;";  ","")&amp;IF(AND(EDATE($D45,Milestones!$AA$158)&lt;=AsOfDate,EDATE($D45,Milestones!$AA$158)&gt;=SchemeStart,IF($X45=0,$AD45,IF(AND($Z45&lt;&gt;"",EDATE($D45,Milestones!$AA$158)&gt;=$Z45),$AC45,IF(AND($Y45&lt;&gt;"",EDATE($D45,Milestones!$AA$158)&gt;=$Y45),$AB45,$AA45)))=Milestones!$AB$158),UPPER(TEXT(EDATE($D45,Milestones!$AA$158),"dd mmm yy"))&amp;" "&amp;Milestones!$AB$158&amp;" "&amp;IF(AND(Milestones!$AB$158="FT",Milestones!$AA$158=FT_Y5,EDATE($D45,Milestones!$AA$158)&lt;PolicyEff),1,Milestones!$AC$158)&amp;";  ","")&amp;IF(AND(EDATE($D45,Milestones!$AA$159)&lt;=AsOfDate,EDATE($D45,Milestones!$AA$159)&gt;=SchemeStart,IF($X45=0,$AD45,IF(AND($Z45&lt;&gt;"",EDATE($D45,Milestones!$AA$159)&gt;=$Z45),$AC45,IF(AND($Y45&lt;&gt;"",EDATE($D45,Milestones!$AA$159)&gt;=$Y45),$AB45,$AA45)))=Milestones!$AB$159),UPPER(TEXT(EDATE($D45,Milestones!$AA$159),"dd mmm yy"))&amp;" "&amp;Milestones!$AB$159&amp;" "&amp;IF(AND(Milestones!$AB$159="FT",Milestones!$AA$159=FT_Y5,EDATE($D45,Milestones!$AA$159)&lt;PolicyEff),1,Milestones!$AC$159)&amp;";  ","")&amp;IF(AND(EDATE($D45,Milestones!$AA$160)&lt;=AsOfDate,EDATE($D45,Milestones!$AA$160)&gt;=SchemeStart,IF($X45=0,$AD45,IF(AND($Z45&lt;&gt;"",EDATE($D45,Milestones!$AA$160)&gt;=$Z45),$AC45,IF(AND($Y45&lt;&gt;"",EDATE($D45,Milestones!$AA$160)&gt;=$Y45),$AB45,$AA45)))=Milestones!$AB$160),UPPER(TEXT(EDATE($D45,Milestones!$AA$160),"dd mmm yy"))&amp;" "&amp;Milestones!$AB$160&amp;" "&amp;IF(AND(Milestones!$AB$160="FT",Milestones!$AA$160=FT_Y5,EDATE($D45,Milestones!$AA$160)&lt;PolicyEff),1,Milestones!$AC$160)&amp;";  ","")&amp;IF(AND(EDATE($D45,Milestones!$AA$161)&lt;=AsOfDate,EDATE($D45,Milestones!$AA$161)&gt;=SchemeStart,IF($X45=0,$AD45,IF(AND($Z45&lt;&gt;"",EDATE($D45,Milestones!$AA$161)&gt;=$Z45),$AC45,IF(AND($Y45&lt;&gt;"",EDATE($D45,Milestones!$AA$161)&gt;=$Y45),$AB45,$AA45)))=Milestones!$AB$161),UPPER(TEXT(EDATE($D45,Milestones!$AA$161),"dd mmm yy"))&amp;" "&amp;Milestones!$AB$161&amp;" "&amp;IF(AND(Milestones!$AB$161="FT",Milestones!$AA$161=FT_Y5,EDATE($D45,Milestones!$AA$161)&lt;PolicyEff),1,Milestones!$AC$161)&amp;";  ","")&amp;IF(AND(EDATE($D45,Milestones!$AA$162)&lt;=AsOfDate,EDATE($D45,Milestones!$AA$162)&gt;=SchemeStart,IF($X45=0,$AD45,IF(AND($Z45&lt;&gt;"",EDATE($D45,Milestones!$AA$162)&gt;=$Z45),$AC45,IF(AND($Y45&lt;&gt;"",EDATE($D45,Milestones!$AA$162)&gt;=$Y45),$AB45,$AA45)))=Milestones!$AB$162),UPPER(TEXT(EDATE($D45,Milestones!$AA$162),"dd mmm yy"))&amp;" "&amp;Milestones!$AB$162&amp;" "&amp;IF(AND(Milestones!$AB$162="FT",Milestones!$AA$162=FT_Y5,EDATE($D45,Milestones!$AA$162)&lt;PolicyEff),1,Milestones!$AC$162)&amp;";  ","")&amp;IF(AND(EDATE($D45,Milestones!$AA$163)&lt;=AsOfDate,EDATE($D45,Milestones!$AA$163)&gt;=SchemeStart,IF($X45=0,$AD45,IF(AND($Z45&lt;&gt;"",EDATE($D45,Milestones!$AA$163)&gt;=$Z45),$AC45,IF(AND($Y45&lt;&gt;"",EDATE($D45,Milestones!$AA$163)&gt;=$Y45),$AB45,$AA45)))=Milestones!$AB$163),UPPER(TEXT(EDATE($D45,Milestones!$AA$163),"dd mmm yy"))&amp;" "&amp;Milestones!$AB$163&amp;" "&amp;IF(AND(Milestones!$AB$163="FT",Milestones!$AA$163=FT_Y5,EDATE($D45,Milestones!$AA$163)&lt;PolicyEff),1,Milestones!$AC$163)&amp;";  ",""))</f>
        <v/>
      </c>
      <c r="U45" s="0" t="str">
        <f aca="false">IF(OR($A45="",$D45=""),"",IF(AND(EDATE($D45,Milestones!$AA$164)&lt;=AsOfDate,EDATE($D45,Milestones!$AA$164)&gt;=SchemeStart,IF($X45=0,$AD45,IF(AND($Z45&lt;&gt;"",EDATE($D45,Milestones!$AA$164)&gt;=$Z45),$AC45,IF(AND($Y45&lt;&gt;"",EDATE($D45,Milestones!$AA$164)&gt;=$Y45),$AB45,$AA45)))=Milestones!$AB$164),UPPER(TEXT(EDATE($D45,Milestones!$AA$164),"dd mmm yy"))&amp;" "&amp;Milestones!$AB$164&amp;" "&amp;IF(AND(Milestones!$AB$164="FT",Milestones!$AA$164=FT_Y5,EDATE($D45,Milestones!$AA$164)&lt;PolicyEff),1,Milestones!$AC$164)&amp;";  ","")&amp;IF(AND(EDATE($D45,Milestones!$AA$165)&lt;=AsOfDate,EDATE($D45,Milestones!$AA$165)&gt;=SchemeStart,IF($X45=0,$AD45,IF(AND($Z45&lt;&gt;"",EDATE($D45,Milestones!$AA$165)&gt;=$Z45),$AC45,IF(AND($Y45&lt;&gt;"",EDATE($D45,Milestones!$AA$165)&gt;=$Y45),$AB45,$AA45)))=Milestones!$AB$165),UPPER(TEXT(EDATE($D45,Milestones!$AA$165),"dd mmm yy"))&amp;" "&amp;Milestones!$AB$165&amp;" "&amp;IF(AND(Milestones!$AB$165="FT",Milestones!$AA$165=FT_Y5,EDATE($D45,Milestones!$AA$165)&lt;PolicyEff),1,Milestones!$AC$165)&amp;";  ","")&amp;IF(AND(EDATE($D45,Milestones!$AA$166)&lt;=AsOfDate,EDATE($D45,Milestones!$AA$166)&gt;=SchemeStart,IF($X45=0,$AD45,IF(AND($Z45&lt;&gt;"",EDATE($D45,Milestones!$AA$166)&gt;=$Z45),$AC45,IF(AND($Y45&lt;&gt;"",EDATE($D45,Milestones!$AA$166)&gt;=$Y45),$AB45,$AA45)))=Milestones!$AB$166),UPPER(TEXT(EDATE($D45,Milestones!$AA$166),"dd mmm yy"))&amp;" "&amp;Milestones!$AB$166&amp;" "&amp;IF(AND(Milestones!$AB$166="FT",Milestones!$AA$166=FT_Y5,EDATE($D45,Milestones!$AA$166)&lt;PolicyEff),1,Milestones!$AC$166)&amp;";  ","")&amp;IF(AND(EDATE($D45,Milestones!$AA$167)&lt;=AsOfDate,EDATE($D45,Milestones!$AA$167)&gt;=SchemeStart,IF($X45=0,$AD45,IF(AND($Z45&lt;&gt;"",EDATE($D45,Milestones!$AA$167)&gt;=$Z45),$AC45,IF(AND($Y45&lt;&gt;"",EDATE($D45,Milestones!$AA$167)&gt;=$Y45),$AB45,$AA45)))=Milestones!$AB$167),UPPER(TEXT(EDATE($D45,Milestones!$AA$167),"dd mmm yy"))&amp;" "&amp;Milestones!$AB$167&amp;" "&amp;IF(AND(Milestones!$AB$167="FT",Milestones!$AA$167=FT_Y5,EDATE($D45,Milestones!$AA$167)&lt;PolicyEff),1,Milestones!$AC$167)&amp;";  ","")&amp;IF(AND(EDATE($D45,Milestones!$AA$168)&lt;=AsOfDate,EDATE($D45,Milestones!$AA$168)&gt;=SchemeStart,IF($X45=0,$AD45,IF(AND($Z45&lt;&gt;"",EDATE($D45,Milestones!$AA$168)&gt;=$Z45),$AC45,IF(AND($Y45&lt;&gt;"",EDATE($D45,Milestones!$AA$168)&gt;=$Y45),$AB45,$AA45)))=Milestones!$AB$168),UPPER(TEXT(EDATE($D45,Milestones!$AA$168),"dd mmm yy"))&amp;" "&amp;Milestones!$AB$168&amp;" "&amp;IF(AND(Milestones!$AB$168="FT",Milestones!$AA$168=FT_Y5,EDATE($D45,Milestones!$AA$168)&lt;PolicyEff),1,Milestones!$AC$168)&amp;";  ","")&amp;IF(AND(EDATE($D45,Milestones!$AA$169)&lt;=AsOfDate,EDATE($D45,Milestones!$AA$169)&gt;=SchemeStart,IF($X45=0,$AD45,IF(AND($Z45&lt;&gt;"",EDATE($D45,Milestones!$AA$169)&gt;=$Z45),$AC45,IF(AND($Y45&lt;&gt;"",EDATE($D45,Milestones!$AA$169)&gt;=$Y45),$AB45,$AA45)))=Milestones!$AB$169),UPPER(TEXT(EDATE($D45,Milestones!$AA$169),"dd mmm yy"))&amp;" "&amp;Milestones!$AB$169&amp;" "&amp;IF(AND(Milestones!$AB$169="FT",Milestones!$AA$169=FT_Y5,EDATE($D45,Milestones!$AA$169)&lt;PolicyEff),1,Milestones!$AC$169)&amp;";  ","")&amp;IF(AND(EDATE($D45,Milestones!$AA$170)&lt;=AsOfDate,EDATE($D45,Milestones!$AA$170)&gt;=SchemeStart,IF($X45=0,$AD45,IF(AND($Z45&lt;&gt;"",EDATE($D45,Milestones!$AA$170)&gt;=$Z45),$AC45,IF(AND($Y45&lt;&gt;"",EDATE($D45,Milestones!$AA$170)&gt;=$Y45),$AB45,$AA45)))=Milestones!$AB$170),UPPER(TEXT(EDATE($D45,Milestones!$AA$170),"dd mmm yy"))&amp;" "&amp;Milestones!$AB$170&amp;" "&amp;IF(AND(Milestones!$AB$170="FT",Milestones!$AA$170=FT_Y5,EDATE($D45,Milestones!$AA$170)&lt;PolicyEff),1,Milestones!$AC$170)&amp;";  ","")&amp;IF(AND(EDATE($D45,Milestones!$AA$171)&lt;=AsOfDate,EDATE($D45,Milestones!$AA$171)&gt;=SchemeStart,IF($X45=0,$AD45,IF(AND($Z45&lt;&gt;"",EDATE($D45,Milestones!$AA$171)&gt;=$Z45),$AC45,IF(AND($Y45&lt;&gt;"",EDATE($D45,Milestones!$AA$171)&gt;=$Y45),$AB45,$AA45)))=Milestones!$AB$171),UPPER(TEXT(EDATE($D45,Milestones!$AA$171),"dd mmm yy"))&amp;" "&amp;Milestones!$AB$171&amp;" "&amp;IF(AND(Milestones!$AB$171="FT",Milestones!$AA$171=FT_Y5,EDATE($D45,Milestones!$AA$171)&lt;PolicyEff),1,Milestones!$AC$171)&amp;";  ","")&amp;IF(AND(EDATE($D45,Milestones!$AA$172)&lt;=AsOfDate,EDATE($D45,Milestones!$AA$172)&gt;=SchemeStart,IF($X45=0,$AD45,IF(AND($Z45&lt;&gt;"",EDATE($D45,Milestones!$AA$172)&gt;=$Z45),$AC45,IF(AND($Y45&lt;&gt;"",EDATE($D45,Milestones!$AA$172)&gt;=$Y45),$AB45,$AA45)))=Milestones!$AB$172),UPPER(TEXT(EDATE($D45,Milestones!$AA$172),"dd mmm yy"))&amp;" "&amp;Milestones!$AB$172&amp;" "&amp;IF(AND(Milestones!$AB$172="FT",Milestones!$AA$172=FT_Y5,EDATE($D45,Milestones!$AA$172)&lt;PolicyEff),1,Milestones!$AC$172)&amp;";  ","")&amp;IF(AND(EDATE($D45,Milestones!$AA$173)&lt;=AsOfDate,EDATE($D45,Milestones!$AA$173)&gt;=SchemeStart,IF($X45=0,$AD45,IF(AND($Z45&lt;&gt;"",EDATE($D45,Milestones!$AA$173)&gt;=$Z45),$AC45,IF(AND($Y45&lt;&gt;"",EDATE($D45,Milestones!$AA$173)&gt;=$Y45),$AB45,$AA45)))=Milestones!$AB$173),UPPER(TEXT(EDATE($D45,Milestones!$AA$173),"dd mmm yy"))&amp;" "&amp;Milestones!$AB$173&amp;" "&amp;IF(AND(Milestones!$AB$173="FT",Milestones!$AA$173=FT_Y5,EDATE($D45,Milestones!$AA$173)&lt;PolicyEff),1,Milestones!$AC$173)&amp;";  ","")&amp;IF(AND(EDATE($D45,Milestones!$AA$174)&lt;=AsOfDate,EDATE($D45,Milestones!$AA$174)&gt;=SchemeStart,IF($X45=0,$AD45,IF(AND($Z45&lt;&gt;"",EDATE($D45,Milestones!$AA$174)&gt;=$Z45),$AC45,IF(AND($Y45&lt;&gt;"",EDATE($D45,Milestones!$AA$174)&gt;=$Y45),$AB45,$AA45)))=Milestones!$AB$174),UPPER(TEXT(EDATE($D45,Milestones!$AA$174),"dd mmm yy"))&amp;" "&amp;Milestones!$AB$174&amp;" "&amp;IF(AND(Milestones!$AB$174="FT",Milestones!$AA$174=FT_Y5,EDATE($D45,Milestones!$AA$174)&lt;PolicyEff),1,Milestones!$AC$174)&amp;";  ","")&amp;IF(AND(EDATE($D45,Milestones!$AA$175)&lt;=AsOfDate,EDATE($D45,Milestones!$AA$175)&gt;=SchemeStart,IF($X45=0,$AD45,IF(AND($Z45&lt;&gt;"",EDATE($D45,Milestones!$AA$175)&gt;=$Z45),$AC45,IF(AND($Y45&lt;&gt;"",EDATE($D45,Milestones!$AA$175)&gt;=$Y45),$AB45,$AA45)))=Milestones!$AB$175),UPPER(TEXT(EDATE($D45,Milestones!$AA$175),"dd mmm yy"))&amp;" "&amp;Milestones!$AB$175&amp;" "&amp;IF(AND(Milestones!$AB$175="FT",Milestones!$AA$175=FT_Y5,EDATE($D45,Milestones!$AA$175)&lt;PolicyEff),1,Milestones!$AC$175)&amp;";  ",""))</f>
        <v/>
      </c>
      <c r="V45" s="0" t="str">
        <f aca="false">IF(OR($A45="",$D45=""),"",IF(AND(EDATE($D45,Milestones!$AA$176)&lt;=AsOfDate,EDATE($D45,Milestones!$AA$176)&gt;=SchemeStart,IF($X45=0,$AD45,IF(AND($Z45&lt;&gt;"",EDATE($D45,Milestones!$AA$176)&gt;=$Z45),$AC45,IF(AND($Y45&lt;&gt;"",EDATE($D45,Milestones!$AA$176)&gt;=$Y45),$AB45,$AA45)))=Milestones!$AB$176),UPPER(TEXT(EDATE($D45,Milestones!$AA$176),"dd mmm yy"))&amp;" "&amp;Milestones!$AB$176&amp;" "&amp;IF(AND(Milestones!$AB$176="FT",Milestones!$AA$176=FT_Y5,EDATE($D45,Milestones!$AA$176)&lt;PolicyEff),1,Milestones!$AC$176)&amp;";  ","")&amp;IF(AND(EDATE($D45,Milestones!$AA$177)&lt;=AsOfDate,EDATE($D45,Milestones!$AA$177)&gt;=SchemeStart,IF($X45=0,$AD45,IF(AND($Z45&lt;&gt;"",EDATE($D45,Milestones!$AA$177)&gt;=$Z45),$AC45,IF(AND($Y45&lt;&gt;"",EDATE($D45,Milestones!$AA$177)&gt;=$Y45),$AB45,$AA45)))=Milestones!$AB$177),UPPER(TEXT(EDATE($D45,Milestones!$AA$177),"dd mmm yy"))&amp;" "&amp;Milestones!$AB$177&amp;" "&amp;IF(AND(Milestones!$AB$177="FT",Milestones!$AA$177=FT_Y5,EDATE($D45,Milestones!$AA$177)&lt;PolicyEff),1,Milestones!$AC$177)&amp;";  ","")&amp;IF(AND(EDATE($D45,Milestones!$AA$178)&lt;=AsOfDate,EDATE($D45,Milestones!$AA$178)&gt;=SchemeStart,IF($X45=0,$AD45,IF(AND($Z45&lt;&gt;"",EDATE($D45,Milestones!$AA$178)&gt;=$Z45),$AC45,IF(AND($Y45&lt;&gt;"",EDATE($D45,Milestones!$AA$178)&gt;=$Y45),$AB45,$AA45)))=Milestones!$AB$178),UPPER(TEXT(EDATE($D45,Milestones!$AA$178),"dd mmm yy"))&amp;" "&amp;Milestones!$AB$178&amp;" "&amp;IF(AND(Milestones!$AB$178="FT",Milestones!$AA$178=FT_Y5,EDATE($D45,Milestones!$AA$178)&lt;PolicyEff),1,Milestones!$AC$178)&amp;";  ","")&amp;IF(AND(EDATE($D45,Milestones!$AA$179)&lt;=AsOfDate,EDATE($D45,Milestones!$AA$179)&gt;=SchemeStart,IF($X45=0,$AD45,IF(AND($Z45&lt;&gt;"",EDATE($D45,Milestones!$AA$179)&gt;=$Z45),$AC45,IF(AND($Y45&lt;&gt;"",EDATE($D45,Milestones!$AA$179)&gt;=$Y45),$AB45,$AA45)))=Milestones!$AB$179),UPPER(TEXT(EDATE($D45,Milestones!$AA$179),"dd mmm yy"))&amp;" "&amp;Milestones!$AB$179&amp;" "&amp;IF(AND(Milestones!$AB$179="FT",Milestones!$AA$179=FT_Y5,EDATE($D45,Milestones!$AA$179)&lt;PolicyEff),1,Milestones!$AC$179)&amp;";  ","")&amp;IF(AND(EDATE($D45,Milestones!$AA$180)&lt;=AsOfDate,EDATE($D45,Milestones!$AA$180)&gt;=SchemeStart,IF($X45=0,$AD45,IF(AND($Z45&lt;&gt;"",EDATE($D45,Milestones!$AA$180)&gt;=$Z45),$AC45,IF(AND($Y45&lt;&gt;"",EDATE($D45,Milestones!$AA$180)&gt;=$Y45),$AB45,$AA45)))=Milestones!$AB$180),UPPER(TEXT(EDATE($D45,Milestones!$AA$180),"dd mmm yy"))&amp;" "&amp;Milestones!$AB$180&amp;" "&amp;IF(AND(Milestones!$AB$180="FT",Milestones!$AA$180=FT_Y5,EDATE($D45,Milestones!$AA$180)&lt;PolicyEff),1,Milestones!$AC$180)&amp;";  ","")&amp;IF(AND(EDATE($D45,Milestones!$AA$181)&lt;=AsOfDate,EDATE($D45,Milestones!$AA$181)&gt;=SchemeStart,IF($X45=0,$AD45,IF(AND($Z45&lt;&gt;"",EDATE($D45,Milestones!$AA$181)&gt;=$Z45),$AC45,IF(AND($Y45&lt;&gt;"",EDATE($D45,Milestones!$AA$181)&gt;=$Y45),$AB45,$AA45)))=Milestones!$AB$181),UPPER(TEXT(EDATE($D45,Milestones!$AA$181),"dd mmm yy"))&amp;" "&amp;Milestones!$AB$181&amp;" "&amp;IF(AND(Milestones!$AB$181="FT",Milestones!$AA$181=FT_Y5,EDATE($D45,Milestones!$AA$181)&lt;PolicyEff),1,Milestones!$AC$181)&amp;";  ","")&amp;IF(AND(EDATE($D45,Milestones!$AA$182)&lt;=AsOfDate,EDATE($D45,Milestones!$AA$182)&gt;=SchemeStart,IF($X45=0,$AD45,IF(AND($Z45&lt;&gt;"",EDATE($D45,Milestones!$AA$182)&gt;=$Z45),$AC45,IF(AND($Y45&lt;&gt;"",EDATE($D45,Milestones!$AA$182)&gt;=$Y45),$AB45,$AA45)))=Milestones!$AB$182),UPPER(TEXT(EDATE($D45,Milestones!$AA$182),"dd mmm yy"))&amp;" "&amp;Milestones!$AB$182&amp;" "&amp;IF(AND(Milestones!$AB$182="FT",Milestones!$AA$182=FT_Y5,EDATE($D45,Milestones!$AA$182)&lt;PolicyEff),1,Milestones!$AC$182)&amp;";  ","")&amp;IF(AND(EDATE($D45,Milestones!$AA$183)&lt;=AsOfDate,EDATE($D45,Milestones!$AA$183)&gt;=SchemeStart,IF($X45=0,$AD45,IF(AND($Z45&lt;&gt;"",EDATE($D45,Milestones!$AA$183)&gt;=$Z45),$AC45,IF(AND($Y45&lt;&gt;"",EDATE($D45,Milestones!$AA$183)&gt;=$Y45),$AB45,$AA45)))=Milestones!$AB$183),UPPER(TEXT(EDATE($D45,Milestones!$AA$183),"dd mmm yy"))&amp;" "&amp;Milestones!$AB$183&amp;" "&amp;IF(AND(Milestones!$AB$183="FT",Milestones!$AA$183=FT_Y5,EDATE($D45,Milestones!$AA$183)&lt;PolicyEff),1,Milestones!$AC$183)&amp;";  ","")&amp;IF(AND(EDATE($D45,Milestones!$AA$184)&lt;=AsOfDate,EDATE($D45,Milestones!$AA$184)&gt;=SchemeStart,IF($X45=0,$AD45,IF(AND($Z45&lt;&gt;"",EDATE($D45,Milestones!$AA$184)&gt;=$Z45),$AC45,IF(AND($Y45&lt;&gt;"",EDATE($D45,Milestones!$AA$184)&gt;=$Y45),$AB45,$AA45)))=Milestones!$AB$184),UPPER(TEXT(EDATE($D45,Milestones!$AA$184),"dd mmm yy"))&amp;" "&amp;Milestones!$AB$184&amp;" "&amp;IF(AND(Milestones!$AB$184="FT",Milestones!$AA$184=FT_Y5,EDATE($D45,Milestones!$AA$184)&lt;PolicyEff),1,Milestones!$AC$184)&amp;";  ","")&amp;IF(AND(EDATE($D45,Milestones!$AA$185)&lt;=AsOfDate,EDATE($D45,Milestones!$AA$185)&gt;=SchemeStart,IF($X45=0,$AD45,IF(AND($Z45&lt;&gt;"",EDATE($D45,Milestones!$AA$185)&gt;=$Z45),$AC45,IF(AND($Y45&lt;&gt;"",EDATE($D45,Milestones!$AA$185)&gt;=$Y45),$AB45,$AA45)))=Milestones!$AB$185),UPPER(TEXT(EDATE($D45,Milestones!$AA$185),"dd mmm yy"))&amp;" "&amp;Milestones!$AB$185&amp;" "&amp;IF(AND(Milestones!$AB$185="FT",Milestones!$AA$185=FT_Y5,EDATE($D45,Milestones!$AA$185)&lt;PolicyEff),1,Milestones!$AC$185)&amp;";  ","")&amp;IF(AND(EDATE($D45,Milestones!$AA$186)&lt;=AsOfDate,EDATE($D45,Milestones!$AA$186)&gt;=SchemeStart,IF($X45=0,$AD45,IF(AND($Z45&lt;&gt;"",EDATE($D45,Milestones!$AA$186)&gt;=$Z45),$AC45,IF(AND($Y45&lt;&gt;"",EDATE($D45,Milestones!$AA$186)&gt;=$Y45),$AB45,$AA45)))=Milestones!$AB$186),UPPER(TEXT(EDATE($D45,Milestones!$AA$186),"dd mmm yy"))&amp;" "&amp;Milestones!$AB$186&amp;" "&amp;IF(AND(Milestones!$AB$186="FT",Milestones!$AA$186=FT_Y5,EDATE($D45,Milestones!$AA$186)&lt;PolicyEff),1,Milestones!$AC$186)&amp;";  ","")&amp;IF(AND(EDATE($D45,Milestones!$AA$187)&lt;=AsOfDate,EDATE($D45,Milestones!$AA$187)&gt;=SchemeStart,IF($X45=0,$AD45,IF(AND($Z45&lt;&gt;"",EDATE($D45,Milestones!$AA$187)&gt;=$Z45),$AC45,IF(AND($Y45&lt;&gt;"",EDATE($D45,Milestones!$AA$187)&gt;=$Y45),$AB45,$AA45)))=Milestones!$AB$187),UPPER(TEXT(EDATE($D45,Milestones!$AA$187),"dd mmm yy"))&amp;" "&amp;Milestones!$AB$187&amp;" "&amp;IF(AND(Milestones!$AB$187="FT",Milestones!$AA$187=FT_Y5,EDATE($D45,Milestones!$AA$187)&lt;PolicyEff),1,Milestones!$AC$187)&amp;";  ",""))</f>
        <v/>
      </c>
      <c r="W45" s="0" t="str">
        <f aca="false">IF(OR($A45="",$D45=""),"",IF(AND(EDATE($D45,Milestones!$AA$188)&lt;=AsOfDate,EDATE($D45,Milestones!$AA$188)&gt;=SchemeStart,IF($X45=0,$AD45,IF(AND($Z45&lt;&gt;"",EDATE($D45,Milestones!$AA$188)&gt;=$Z45),$AC45,IF(AND($Y45&lt;&gt;"",EDATE($D45,Milestones!$AA$188)&gt;=$Y45),$AB45,$AA45)))=Milestones!$AB$188),UPPER(TEXT(EDATE($D45,Milestones!$AA$188),"dd mmm yy"))&amp;" "&amp;Milestones!$AB$188&amp;" "&amp;IF(AND(Milestones!$AB$188="FT",Milestones!$AA$188=FT_Y5,EDATE($D45,Milestones!$AA$188)&lt;PolicyEff),1,Milestones!$AC$188)&amp;";  ","")&amp;IF(AND(EDATE($D45,Milestones!$AA$189)&lt;=AsOfDate,EDATE($D45,Milestones!$AA$189)&gt;=SchemeStart,IF($X45=0,$AD45,IF(AND($Z45&lt;&gt;"",EDATE($D45,Milestones!$AA$189)&gt;=$Z45),$AC45,IF(AND($Y45&lt;&gt;"",EDATE($D45,Milestones!$AA$189)&gt;=$Y45),$AB45,$AA45)))=Milestones!$AB$189),UPPER(TEXT(EDATE($D45,Milestones!$AA$189),"dd mmm yy"))&amp;" "&amp;Milestones!$AB$189&amp;" "&amp;IF(AND(Milestones!$AB$189="FT",Milestones!$AA$189=FT_Y5,EDATE($D45,Milestones!$AA$189)&lt;PolicyEff),1,Milestones!$AC$189)&amp;";  ","")&amp;IF(AND(EDATE($D45,Milestones!$AA$190)&lt;=AsOfDate,EDATE($D45,Milestones!$AA$190)&gt;=SchemeStart,IF($X45=0,$AD45,IF(AND($Z45&lt;&gt;"",EDATE($D45,Milestones!$AA$190)&gt;=$Z45),$AC45,IF(AND($Y45&lt;&gt;"",EDATE($D45,Milestones!$AA$190)&gt;=$Y45),$AB45,$AA45)))=Milestones!$AB$190),UPPER(TEXT(EDATE($D45,Milestones!$AA$190),"dd mmm yy"))&amp;" "&amp;Milestones!$AB$190&amp;" "&amp;IF(AND(Milestones!$AB$190="FT",Milestones!$AA$190=FT_Y5,EDATE($D45,Milestones!$AA$190)&lt;PolicyEff),1,Milestones!$AC$190)&amp;";  ","")&amp;IF(AND(EDATE($D45,Milestones!$AA$191)&lt;=AsOfDate,EDATE($D45,Milestones!$AA$191)&gt;=SchemeStart,IF($X45=0,$AD45,IF(AND($Z45&lt;&gt;"",EDATE($D45,Milestones!$AA$191)&gt;=$Z45),$AC45,IF(AND($Y45&lt;&gt;"",EDATE($D45,Milestones!$AA$191)&gt;=$Y45),$AB45,$AA45)))=Milestones!$AB$191),UPPER(TEXT(EDATE($D45,Milestones!$AA$191),"dd mmm yy"))&amp;" "&amp;Milestones!$AB$191&amp;" "&amp;IF(AND(Milestones!$AB$191="FT",Milestones!$AA$191=FT_Y5,EDATE($D45,Milestones!$AA$191)&lt;PolicyEff),1,Milestones!$AC$191)&amp;";  ","")&amp;IF(AND(EDATE($D45,Milestones!$AA$192)&lt;=AsOfDate,EDATE($D45,Milestones!$AA$192)&gt;=SchemeStart,IF($X45=0,$AD45,IF(AND($Z45&lt;&gt;"",EDATE($D45,Milestones!$AA$192)&gt;=$Z45),$AC45,IF(AND($Y45&lt;&gt;"",EDATE($D45,Milestones!$AA$192)&gt;=$Y45),$AB45,$AA45)))=Milestones!$AB$192),UPPER(TEXT(EDATE($D45,Milestones!$AA$192),"dd mmm yy"))&amp;" "&amp;Milestones!$AB$192&amp;" "&amp;IF(AND(Milestones!$AB$192="FT",Milestones!$AA$192=FT_Y5,EDATE($D45,Milestones!$AA$192)&lt;PolicyEff),1,Milestones!$AC$192)&amp;";  ","")&amp;IF(AND(EDATE($D45,Milestones!$AA$193)&lt;=AsOfDate,EDATE($D45,Milestones!$AA$193)&gt;=SchemeStart,IF($X45=0,$AD45,IF(AND($Z45&lt;&gt;"",EDATE($D45,Milestones!$AA$193)&gt;=$Z45),$AC45,IF(AND($Y45&lt;&gt;"",EDATE($D45,Milestones!$AA$193)&gt;=$Y45),$AB45,$AA45)))=Milestones!$AB$193),UPPER(TEXT(EDATE($D45,Milestones!$AA$193),"dd mmm yy"))&amp;" "&amp;Milestones!$AB$193&amp;" "&amp;IF(AND(Milestones!$AB$193="FT",Milestones!$AA$193=FT_Y5,EDATE($D45,Milestones!$AA$193)&lt;PolicyEff),1,Milestones!$AC$193)&amp;";  ","")&amp;IF(AND(EDATE($D45,Milestones!$AA$194)&lt;=AsOfDate,EDATE($D45,Milestones!$AA$194)&gt;=SchemeStart,IF($X45=0,$AD45,IF(AND($Z45&lt;&gt;"",EDATE($D45,Milestones!$AA$194)&gt;=$Z45),$AC45,IF(AND($Y45&lt;&gt;"",EDATE($D45,Milestones!$AA$194)&gt;=$Y45),$AB45,$AA45)))=Milestones!$AB$194),UPPER(TEXT(EDATE($D45,Milestones!$AA$194),"dd mmm yy"))&amp;" "&amp;Milestones!$AB$194&amp;" "&amp;IF(AND(Milestones!$AB$194="FT",Milestones!$AA$194=FT_Y5,EDATE($D45,Milestones!$AA$194)&lt;PolicyEff),1,Milestones!$AC$194)&amp;";  ","")&amp;IF(AND(EDATE($D45,Milestones!$AA$195)&lt;=AsOfDate,EDATE($D45,Milestones!$AA$195)&gt;=SchemeStart,IF($X45=0,$AD45,IF(AND($Z45&lt;&gt;"",EDATE($D45,Milestones!$AA$195)&gt;=$Z45),$AC45,IF(AND($Y45&lt;&gt;"",EDATE($D45,Milestones!$AA$195)&gt;=$Y45),$AB45,$AA45)))=Milestones!$AB$195),UPPER(TEXT(EDATE($D45,Milestones!$AA$195),"dd mmm yy"))&amp;" "&amp;Milestones!$AB$195&amp;" "&amp;IF(AND(Milestones!$AB$195="FT",Milestones!$AA$195=FT_Y5,EDATE($D45,Milestones!$AA$195)&lt;PolicyEff),1,Milestones!$AC$195)&amp;";  ","")&amp;IF(AND(EDATE($D45,Milestones!$AA$196)&lt;=AsOfDate,EDATE($D45,Milestones!$AA$196)&gt;=SchemeStart,IF($X45=0,$AD45,IF(AND($Z45&lt;&gt;"",EDATE($D45,Milestones!$AA$196)&gt;=$Z45),$AC45,IF(AND($Y45&lt;&gt;"",EDATE($D45,Milestones!$AA$196)&gt;=$Y45),$AB45,$AA45)))=Milestones!$AB$196),UPPER(TEXT(EDATE($D45,Milestones!$AA$196),"dd mmm yy"))&amp;" "&amp;Milestones!$AB$196&amp;" "&amp;IF(AND(Milestones!$AB$196="FT",Milestones!$AA$196=FT_Y5,EDATE($D45,Milestones!$AA$196)&lt;PolicyEff),1,Milestones!$AC$196)&amp;";  ","")&amp;IF(AND(EDATE($D45,Milestones!$AA$197)&lt;=AsOfDate,EDATE($D45,Milestones!$AA$197)&gt;=SchemeStart,IF($X45=0,$AD45,IF(AND($Z45&lt;&gt;"",EDATE($D45,Milestones!$AA$197)&gt;=$Z45),$AC45,IF(AND($Y45&lt;&gt;"",EDATE($D45,Milestones!$AA$197)&gt;=$Y45),$AB45,$AA45)))=Milestones!$AB$197),UPPER(TEXT(EDATE($D45,Milestones!$AA$197),"dd mmm yy"))&amp;" "&amp;Milestones!$AB$197&amp;" "&amp;IF(AND(Milestones!$AB$197="FT",Milestones!$AA$197=FT_Y5,EDATE($D45,Milestones!$AA$197)&lt;PolicyEff),1,Milestones!$AC$197)&amp;";  ","")&amp;IF(AND(EDATE($D45,Milestones!$AA$198)&lt;=AsOfDate,EDATE($D45,Milestones!$AA$198)&gt;=SchemeStart,IF($X45=0,$AD45,IF(AND($Z45&lt;&gt;"",EDATE($D45,Milestones!$AA$198)&gt;=$Z45),$AC45,IF(AND($Y45&lt;&gt;"",EDATE($D45,Milestones!$AA$198)&gt;=$Y45),$AB45,$AA45)))=Milestones!$AB$198),UPPER(TEXT(EDATE($D45,Milestones!$AA$198),"dd mmm yy"))&amp;" "&amp;Milestones!$AB$198&amp;" "&amp;IF(AND(Milestones!$AB$198="FT",Milestones!$AA$198=FT_Y5,EDATE($D45,Milestones!$AA$198)&lt;PolicyEff),1,Milestones!$AC$198)&amp;";  ","")&amp;IF(AND(EDATE($D45,Milestones!$AA$199)&lt;=AsOfDate,EDATE($D45,Milestones!$AA$199)&gt;=SchemeStart,IF($X45=0,$AD45,IF(AND($Z45&lt;&gt;"",EDATE($D45,Milestones!$AA$199)&gt;=$Z45),$AC45,IF(AND($Y45&lt;&gt;"",EDATE($D45,Milestones!$AA$199)&gt;=$Y45),$AB45,$AA45)))=Milestones!$AB$199),UPPER(TEXT(EDATE($D45,Milestones!$AA$199),"dd mmm yy"))&amp;" "&amp;Milestones!$AB$199&amp;" "&amp;IF(AND(Milestones!$AB$199="FT",Milestones!$AA$199=FT_Y5,EDATE($D45,Milestones!$AA$199)&lt;PolicyEff),1,Milestones!$AC$199)&amp;";  ",""))</f>
        <v/>
      </c>
      <c r="X45" s="0" t="str">
        <f aca="false">IF(Staff!$A45="","",Staff!$AM45)</f>
        <v/>
      </c>
      <c r="Y45" s="0" t="str">
        <f aca="false">IF(Staff!$A45="","",Staff!$AO45)</f>
        <v/>
      </c>
      <c r="Z45" s="0" t="str">
        <f aca="false">IF(Staff!$A45="","",Staff!$AP45)</f>
        <v/>
      </c>
      <c r="AA45" s="0" t="str">
        <f aca="false">IF(Staff!$A45="","",Staff!$AT45)</f>
        <v/>
      </c>
      <c r="AB45" s="0" t="str">
        <f aca="false">IF(Staff!$A45="","",Staff!$AU45)</f>
        <v/>
      </c>
      <c r="AC45" s="0" t="str">
        <f aca="false">IF(Staff!$A45="","",Staff!$AV45)</f>
        <v/>
      </c>
      <c r="AD45" s="0" t="str">
        <f aca="false">IF(Staff!$A45="","",Staff!$AW45)</f>
        <v/>
      </c>
    </row>
    <row r="46" customFormat="false" ht="15" hidden="false" customHeight="false" outlineLevel="0" collapsed="false">
      <c r="A46" s="16" t="str">
        <f aca="false">IF(Staff!$A46="","",Staff!$A46)</f>
        <v/>
      </c>
      <c r="B46" s="16" t="str">
        <f aca="false">IF(Staff!$A46="","",Staff!$B46)</f>
        <v/>
      </c>
      <c r="C46" s="16" t="str">
        <f aca="false">IF(Staff!$A46="","",Staff!$C46)</f>
        <v/>
      </c>
      <c r="D46" s="14" t="str">
        <f aca="false">IF(Staff!$A46="","",Staff!$AL46)</f>
        <v/>
      </c>
      <c r="E46" s="16" t="str">
        <f aca="false">IF(Staff!$A46="","",Staff!$O46)</f>
        <v/>
      </c>
      <c r="F46" s="16" t="str">
        <f aca="false">IF(E46="","",E46*HoursPerDay)</f>
        <v/>
      </c>
      <c r="G46" s="16" t="str">
        <f aca="false">IF(Staff!$A46="","",Staff!$AE46)</f>
        <v/>
      </c>
      <c r="H46" s="28" t="str">
        <f aca="false">IF($A46="","",I46&amp;J46&amp;K46&amp;L46&amp;M46&amp;N46&amp;O46&amp;P46&amp;Q46&amp;R46&amp;S46&amp;T46&amp;U46&amp;V46&amp;W46)</f>
        <v/>
      </c>
      <c r="I46" s="0" t="str">
        <f aca="false">IF(OR($A46="",$D46=""),"",IF(AND(EDATE($D46,Milestones!$AA$20)&lt;=AsOfDate,EDATE($D46,Milestones!$AA$20)&gt;=SchemeStart,IF($X46=0,$AD46,IF(AND($Z46&lt;&gt;"",EDATE($D46,Milestones!$AA$20)&gt;=$Z46),$AC46,IF(AND($Y46&lt;&gt;"",EDATE($D46,Milestones!$AA$20)&gt;=$Y46),$AB46,$AA46)))=Milestones!$AB$20),UPPER(TEXT(EDATE($D46,Milestones!$AA$20),"dd mmm yy"))&amp;" "&amp;Milestones!$AB$20&amp;" "&amp;IF(AND(Milestones!$AB$20="FT",Milestones!$AA$20=FT_Y5,EDATE($D46,Milestones!$AA$20)&lt;PolicyEff),1,Milestones!$AC$20)&amp;";  ","")&amp;IF(AND(EDATE($D46,Milestones!$AA$21)&lt;=AsOfDate,EDATE($D46,Milestones!$AA$21)&gt;=SchemeStart,IF($X46=0,$AD46,IF(AND($Z46&lt;&gt;"",EDATE($D46,Milestones!$AA$21)&gt;=$Z46),$AC46,IF(AND($Y46&lt;&gt;"",EDATE($D46,Milestones!$AA$21)&gt;=$Y46),$AB46,$AA46)))=Milestones!$AB$21),UPPER(TEXT(EDATE($D46,Milestones!$AA$21),"dd mmm yy"))&amp;" "&amp;Milestones!$AB$21&amp;" "&amp;IF(AND(Milestones!$AB$21="FT",Milestones!$AA$21=FT_Y5,EDATE($D46,Milestones!$AA$21)&lt;PolicyEff),1,Milestones!$AC$21)&amp;";  ","")&amp;IF(AND(EDATE($D46,Milestones!$AA$22)&lt;=AsOfDate,EDATE($D46,Milestones!$AA$22)&gt;=SchemeStart,IF($X46=0,$AD46,IF(AND($Z46&lt;&gt;"",EDATE($D46,Milestones!$AA$22)&gt;=$Z46),$AC46,IF(AND($Y46&lt;&gt;"",EDATE($D46,Milestones!$AA$22)&gt;=$Y46),$AB46,$AA46)))=Milestones!$AB$22),UPPER(TEXT(EDATE($D46,Milestones!$AA$22),"dd mmm yy"))&amp;" "&amp;Milestones!$AB$22&amp;" "&amp;IF(AND(Milestones!$AB$22="FT",Milestones!$AA$22=FT_Y5,EDATE($D46,Milestones!$AA$22)&lt;PolicyEff),1,Milestones!$AC$22)&amp;";  ","")&amp;IF(AND(EDATE($D46,Milestones!$AA$23)&lt;=AsOfDate,EDATE($D46,Milestones!$AA$23)&gt;=SchemeStart,IF($X46=0,$AD46,IF(AND($Z46&lt;&gt;"",EDATE($D46,Milestones!$AA$23)&gt;=$Z46),$AC46,IF(AND($Y46&lt;&gt;"",EDATE($D46,Milestones!$AA$23)&gt;=$Y46),$AB46,$AA46)))=Milestones!$AB$23),UPPER(TEXT(EDATE($D46,Milestones!$AA$23),"dd mmm yy"))&amp;" "&amp;Milestones!$AB$23&amp;" "&amp;IF(AND(Milestones!$AB$23="FT",Milestones!$AA$23=FT_Y5,EDATE($D46,Milestones!$AA$23)&lt;PolicyEff),1,Milestones!$AC$23)&amp;";  ","")&amp;IF(AND(EDATE($D46,Milestones!$AA$24)&lt;=AsOfDate,EDATE($D46,Milestones!$AA$24)&gt;=SchemeStart,IF($X46=0,$AD46,IF(AND($Z46&lt;&gt;"",EDATE($D46,Milestones!$AA$24)&gt;=$Z46),$AC46,IF(AND($Y46&lt;&gt;"",EDATE($D46,Milestones!$AA$24)&gt;=$Y46),$AB46,$AA46)))=Milestones!$AB$24),UPPER(TEXT(EDATE($D46,Milestones!$AA$24),"dd mmm yy"))&amp;" "&amp;Milestones!$AB$24&amp;" "&amp;IF(AND(Milestones!$AB$24="FT",Milestones!$AA$24=FT_Y5,EDATE($D46,Milestones!$AA$24)&lt;PolicyEff),1,Milestones!$AC$24)&amp;";  ","")&amp;IF(AND(EDATE($D46,Milestones!$AA$25)&lt;=AsOfDate,EDATE($D46,Milestones!$AA$25)&gt;=SchemeStart,IF($X46=0,$AD46,IF(AND($Z46&lt;&gt;"",EDATE($D46,Milestones!$AA$25)&gt;=$Z46),$AC46,IF(AND($Y46&lt;&gt;"",EDATE($D46,Milestones!$AA$25)&gt;=$Y46),$AB46,$AA46)))=Milestones!$AB$25),UPPER(TEXT(EDATE($D46,Milestones!$AA$25),"dd mmm yy"))&amp;" "&amp;Milestones!$AB$25&amp;" "&amp;IF(AND(Milestones!$AB$25="FT",Milestones!$AA$25=FT_Y5,EDATE($D46,Milestones!$AA$25)&lt;PolicyEff),1,Milestones!$AC$25)&amp;";  ","")&amp;IF(AND(EDATE($D46,Milestones!$AA$26)&lt;=AsOfDate,EDATE($D46,Milestones!$AA$26)&gt;=SchemeStart,IF($X46=0,$AD46,IF(AND($Z46&lt;&gt;"",EDATE($D46,Milestones!$AA$26)&gt;=$Z46),$AC46,IF(AND($Y46&lt;&gt;"",EDATE($D46,Milestones!$AA$26)&gt;=$Y46),$AB46,$AA46)))=Milestones!$AB$26),UPPER(TEXT(EDATE($D46,Milestones!$AA$26),"dd mmm yy"))&amp;" "&amp;Milestones!$AB$26&amp;" "&amp;IF(AND(Milestones!$AB$26="FT",Milestones!$AA$26=FT_Y5,EDATE($D46,Milestones!$AA$26)&lt;PolicyEff),1,Milestones!$AC$26)&amp;";  ","")&amp;IF(AND(EDATE($D46,Milestones!$AA$27)&lt;=AsOfDate,EDATE($D46,Milestones!$AA$27)&gt;=SchemeStart,IF($X46=0,$AD46,IF(AND($Z46&lt;&gt;"",EDATE($D46,Milestones!$AA$27)&gt;=$Z46),$AC46,IF(AND($Y46&lt;&gt;"",EDATE($D46,Milestones!$AA$27)&gt;=$Y46),$AB46,$AA46)))=Milestones!$AB$27),UPPER(TEXT(EDATE($D46,Milestones!$AA$27),"dd mmm yy"))&amp;" "&amp;Milestones!$AB$27&amp;" "&amp;IF(AND(Milestones!$AB$27="FT",Milestones!$AA$27=FT_Y5,EDATE($D46,Milestones!$AA$27)&lt;PolicyEff),1,Milestones!$AC$27)&amp;";  ","")&amp;IF(AND(EDATE($D46,Milestones!$AA$28)&lt;=AsOfDate,EDATE($D46,Milestones!$AA$28)&gt;=SchemeStart,IF($X46=0,$AD46,IF(AND($Z46&lt;&gt;"",EDATE($D46,Milestones!$AA$28)&gt;=$Z46),$AC46,IF(AND($Y46&lt;&gt;"",EDATE($D46,Milestones!$AA$28)&gt;=$Y46),$AB46,$AA46)))=Milestones!$AB$28),UPPER(TEXT(EDATE($D46,Milestones!$AA$28),"dd mmm yy"))&amp;" "&amp;Milestones!$AB$28&amp;" "&amp;IF(AND(Milestones!$AB$28="FT",Milestones!$AA$28=FT_Y5,EDATE($D46,Milestones!$AA$28)&lt;PolicyEff),1,Milestones!$AC$28)&amp;";  ","")&amp;IF(AND(EDATE($D46,Milestones!$AA$29)&lt;=AsOfDate,EDATE($D46,Milestones!$AA$29)&gt;=SchemeStart,IF($X46=0,$AD46,IF(AND($Z46&lt;&gt;"",EDATE($D46,Milestones!$AA$29)&gt;=$Z46),$AC46,IF(AND($Y46&lt;&gt;"",EDATE($D46,Milestones!$AA$29)&gt;=$Y46),$AB46,$AA46)))=Milestones!$AB$29),UPPER(TEXT(EDATE($D46,Milestones!$AA$29),"dd mmm yy"))&amp;" "&amp;Milestones!$AB$29&amp;" "&amp;IF(AND(Milestones!$AB$29="FT",Milestones!$AA$29=FT_Y5,EDATE($D46,Milestones!$AA$29)&lt;PolicyEff),1,Milestones!$AC$29)&amp;";  ","")&amp;IF(AND(EDATE($D46,Milestones!$AA$30)&lt;=AsOfDate,EDATE($D46,Milestones!$AA$30)&gt;=SchemeStart,IF($X46=0,$AD46,IF(AND($Z46&lt;&gt;"",EDATE($D46,Milestones!$AA$30)&gt;=$Z46),$AC46,IF(AND($Y46&lt;&gt;"",EDATE($D46,Milestones!$AA$30)&gt;=$Y46),$AB46,$AA46)))=Milestones!$AB$30),UPPER(TEXT(EDATE($D46,Milestones!$AA$30),"dd mmm yy"))&amp;" "&amp;Milestones!$AB$30&amp;" "&amp;IF(AND(Milestones!$AB$30="FT",Milestones!$AA$30=FT_Y5,EDATE($D46,Milestones!$AA$30)&lt;PolicyEff),1,Milestones!$AC$30)&amp;";  ","")&amp;IF(AND(EDATE($D46,Milestones!$AA$31)&lt;=AsOfDate,EDATE($D46,Milestones!$AA$31)&gt;=SchemeStart,IF($X46=0,$AD46,IF(AND($Z46&lt;&gt;"",EDATE($D46,Milestones!$AA$31)&gt;=$Z46),$AC46,IF(AND($Y46&lt;&gt;"",EDATE($D46,Milestones!$AA$31)&gt;=$Y46),$AB46,$AA46)))=Milestones!$AB$31),UPPER(TEXT(EDATE($D46,Milestones!$AA$31),"dd mmm yy"))&amp;" "&amp;Milestones!$AB$31&amp;" "&amp;IF(AND(Milestones!$AB$31="FT",Milestones!$AA$31=FT_Y5,EDATE($D46,Milestones!$AA$31)&lt;PolicyEff),1,Milestones!$AC$31)&amp;";  ",""))</f>
        <v/>
      </c>
      <c r="J46" s="0" t="str">
        <f aca="false">IF(OR($A46="",$D46=""),"",IF(AND(EDATE($D46,Milestones!$AA$32)&lt;=AsOfDate,EDATE($D46,Milestones!$AA$32)&gt;=SchemeStart,IF($X46=0,$AD46,IF(AND($Z46&lt;&gt;"",EDATE($D46,Milestones!$AA$32)&gt;=$Z46),$AC46,IF(AND($Y46&lt;&gt;"",EDATE($D46,Milestones!$AA$32)&gt;=$Y46),$AB46,$AA46)))=Milestones!$AB$32),UPPER(TEXT(EDATE($D46,Milestones!$AA$32),"dd mmm yy"))&amp;" "&amp;Milestones!$AB$32&amp;" "&amp;IF(AND(Milestones!$AB$32="FT",Milestones!$AA$32=FT_Y5,EDATE($D46,Milestones!$AA$32)&lt;PolicyEff),1,Milestones!$AC$32)&amp;";  ","")&amp;IF(AND(EDATE($D46,Milestones!$AA$33)&lt;=AsOfDate,EDATE($D46,Milestones!$AA$33)&gt;=SchemeStart,IF($X46=0,$AD46,IF(AND($Z46&lt;&gt;"",EDATE($D46,Milestones!$AA$33)&gt;=$Z46),$AC46,IF(AND($Y46&lt;&gt;"",EDATE($D46,Milestones!$AA$33)&gt;=$Y46),$AB46,$AA46)))=Milestones!$AB$33),UPPER(TEXT(EDATE($D46,Milestones!$AA$33),"dd mmm yy"))&amp;" "&amp;Milestones!$AB$33&amp;" "&amp;IF(AND(Milestones!$AB$33="FT",Milestones!$AA$33=FT_Y5,EDATE($D46,Milestones!$AA$33)&lt;PolicyEff),1,Milestones!$AC$33)&amp;";  ","")&amp;IF(AND(EDATE($D46,Milestones!$AA$34)&lt;=AsOfDate,EDATE($D46,Milestones!$AA$34)&gt;=SchemeStart,IF($X46=0,$AD46,IF(AND($Z46&lt;&gt;"",EDATE($D46,Milestones!$AA$34)&gt;=$Z46),$AC46,IF(AND($Y46&lt;&gt;"",EDATE($D46,Milestones!$AA$34)&gt;=$Y46),$AB46,$AA46)))=Milestones!$AB$34),UPPER(TEXT(EDATE($D46,Milestones!$AA$34),"dd mmm yy"))&amp;" "&amp;Milestones!$AB$34&amp;" "&amp;IF(AND(Milestones!$AB$34="FT",Milestones!$AA$34=FT_Y5,EDATE($D46,Milestones!$AA$34)&lt;PolicyEff),1,Milestones!$AC$34)&amp;";  ","")&amp;IF(AND(EDATE($D46,Milestones!$AA$35)&lt;=AsOfDate,EDATE($D46,Milestones!$AA$35)&gt;=SchemeStart,IF($X46=0,$AD46,IF(AND($Z46&lt;&gt;"",EDATE($D46,Milestones!$AA$35)&gt;=$Z46),$AC46,IF(AND($Y46&lt;&gt;"",EDATE($D46,Milestones!$AA$35)&gt;=$Y46),$AB46,$AA46)))=Milestones!$AB$35),UPPER(TEXT(EDATE($D46,Milestones!$AA$35),"dd mmm yy"))&amp;" "&amp;Milestones!$AB$35&amp;" "&amp;IF(AND(Milestones!$AB$35="FT",Milestones!$AA$35=FT_Y5,EDATE($D46,Milestones!$AA$35)&lt;PolicyEff),1,Milestones!$AC$35)&amp;";  ","")&amp;IF(AND(EDATE($D46,Milestones!$AA$36)&lt;=AsOfDate,EDATE($D46,Milestones!$AA$36)&gt;=SchemeStart,IF($X46=0,$AD46,IF(AND($Z46&lt;&gt;"",EDATE($D46,Milestones!$AA$36)&gt;=$Z46),$AC46,IF(AND($Y46&lt;&gt;"",EDATE($D46,Milestones!$AA$36)&gt;=$Y46),$AB46,$AA46)))=Milestones!$AB$36),UPPER(TEXT(EDATE($D46,Milestones!$AA$36),"dd mmm yy"))&amp;" "&amp;Milestones!$AB$36&amp;" "&amp;IF(AND(Milestones!$AB$36="FT",Milestones!$AA$36=FT_Y5,EDATE($D46,Milestones!$AA$36)&lt;PolicyEff),1,Milestones!$AC$36)&amp;";  ","")&amp;IF(AND(EDATE($D46,Milestones!$AA$37)&lt;=AsOfDate,EDATE($D46,Milestones!$AA$37)&gt;=SchemeStart,IF($X46=0,$AD46,IF(AND($Z46&lt;&gt;"",EDATE($D46,Milestones!$AA$37)&gt;=$Z46),$AC46,IF(AND($Y46&lt;&gt;"",EDATE($D46,Milestones!$AA$37)&gt;=$Y46),$AB46,$AA46)))=Milestones!$AB$37),UPPER(TEXT(EDATE($D46,Milestones!$AA$37),"dd mmm yy"))&amp;" "&amp;Milestones!$AB$37&amp;" "&amp;IF(AND(Milestones!$AB$37="FT",Milestones!$AA$37=FT_Y5,EDATE($D46,Milestones!$AA$37)&lt;PolicyEff),1,Milestones!$AC$37)&amp;";  ","")&amp;IF(AND(EDATE($D46,Milestones!$AA$38)&lt;=AsOfDate,EDATE($D46,Milestones!$AA$38)&gt;=SchemeStart,IF($X46=0,$AD46,IF(AND($Z46&lt;&gt;"",EDATE($D46,Milestones!$AA$38)&gt;=$Z46),$AC46,IF(AND($Y46&lt;&gt;"",EDATE($D46,Milestones!$AA$38)&gt;=$Y46),$AB46,$AA46)))=Milestones!$AB$38),UPPER(TEXT(EDATE($D46,Milestones!$AA$38),"dd mmm yy"))&amp;" "&amp;Milestones!$AB$38&amp;" "&amp;IF(AND(Milestones!$AB$38="FT",Milestones!$AA$38=FT_Y5,EDATE($D46,Milestones!$AA$38)&lt;PolicyEff),1,Milestones!$AC$38)&amp;";  ","")&amp;IF(AND(EDATE($D46,Milestones!$AA$39)&lt;=AsOfDate,EDATE($D46,Milestones!$AA$39)&gt;=SchemeStart,IF($X46=0,$AD46,IF(AND($Z46&lt;&gt;"",EDATE($D46,Milestones!$AA$39)&gt;=$Z46),$AC46,IF(AND($Y46&lt;&gt;"",EDATE($D46,Milestones!$AA$39)&gt;=$Y46),$AB46,$AA46)))=Milestones!$AB$39),UPPER(TEXT(EDATE($D46,Milestones!$AA$39),"dd mmm yy"))&amp;" "&amp;Milestones!$AB$39&amp;" "&amp;IF(AND(Milestones!$AB$39="FT",Milestones!$AA$39=FT_Y5,EDATE($D46,Milestones!$AA$39)&lt;PolicyEff),1,Milestones!$AC$39)&amp;";  ","")&amp;IF(AND(EDATE($D46,Milestones!$AA$40)&lt;=AsOfDate,EDATE($D46,Milestones!$AA$40)&gt;=SchemeStart,IF($X46=0,$AD46,IF(AND($Z46&lt;&gt;"",EDATE($D46,Milestones!$AA$40)&gt;=$Z46),$AC46,IF(AND($Y46&lt;&gt;"",EDATE($D46,Milestones!$AA$40)&gt;=$Y46),$AB46,$AA46)))=Milestones!$AB$40),UPPER(TEXT(EDATE($D46,Milestones!$AA$40),"dd mmm yy"))&amp;" "&amp;Milestones!$AB$40&amp;" "&amp;IF(AND(Milestones!$AB$40="FT",Milestones!$AA$40=FT_Y5,EDATE($D46,Milestones!$AA$40)&lt;PolicyEff),1,Milestones!$AC$40)&amp;";  ","")&amp;IF(AND(EDATE($D46,Milestones!$AA$41)&lt;=AsOfDate,EDATE($D46,Milestones!$AA$41)&gt;=SchemeStart,IF($X46=0,$AD46,IF(AND($Z46&lt;&gt;"",EDATE($D46,Milestones!$AA$41)&gt;=$Z46),$AC46,IF(AND($Y46&lt;&gt;"",EDATE($D46,Milestones!$AA$41)&gt;=$Y46),$AB46,$AA46)))=Milestones!$AB$41),UPPER(TEXT(EDATE($D46,Milestones!$AA$41),"dd mmm yy"))&amp;" "&amp;Milestones!$AB$41&amp;" "&amp;IF(AND(Milestones!$AB$41="FT",Milestones!$AA$41=FT_Y5,EDATE($D46,Milestones!$AA$41)&lt;PolicyEff),1,Milestones!$AC$41)&amp;";  ","")&amp;IF(AND(EDATE($D46,Milestones!$AA$42)&lt;=AsOfDate,EDATE($D46,Milestones!$AA$42)&gt;=SchemeStart,IF($X46=0,$AD46,IF(AND($Z46&lt;&gt;"",EDATE($D46,Milestones!$AA$42)&gt;=$Z46),$AC46,IF(AND($Y46&lt;&gt;"",EDATE($D46,Milestones!$AA$42)&gt;=$Y46),$AB46,$AA46)))=Milestones!$AB$42),UPPER(TEXT(EDATE($D46,Milestones!$AA$42),"dd mmm yy"))&amp;" "&amp;Milestones!$AB$42&amp;" "&amp;IF(AND(Milestones!$AB$42="FT",Milestones!$AA$42=FT_Y5,EDATE($D46,Milestones!$AA$42)&lt;PolicyEff),1,Milestones!$AC$42)&amp;";  ","")&amp;IF(AND(EDATE($D46,Milestones!$AA$43)&lt;=AsOfDate,EDATE($D46,Milestones!$AA$43)&gt;=SchemeStart,IF($X46=0,$AD46,IF(AND($Z46&lt;&gt;"",EDATE($D46,Milestones!$AA$43)&gt;=$Z46),$AC46,IF(AND($Y46&lt;&gt;"",EDATE($D46,Milestones!$AA$43)&gt;=$Y46),$AB46,$AA46)))=Milestones!$AB$43),UPPER(TEXT(EDATE($D46,Milestones!$AA$43),"dd mmm yy"))&amp;" "&amp;Milestones!$AB$43&amp;" "&amp;IF(AND(Milestones!$AB$43="FT",Milestones!$AA$43=FT_Y5,EDATE($D46,Milestones!$AA$43)&lt;PolicyEff),1,Milestones!$AC$43)&amp;";  ",""))</f>
        <v/>
      </c>
      <c r="K46" s="0" t="str">
        <f aca="false">IF(OR($A46="",$D46=""),"",IF(AND(EDATE($D46,Milestones!$AA$44)&lt;=AsOfDate,EDATE($D46,Milestones!$AA$44)&gt;=SchemeStart,IF($X46=0,$AD46,IF(AND($Z46&lt;&gt;"",EDATE($D46,Milestones!$AA$44)&gt;=$Z46),$AC46,IF(AND($Y46&lt;&gt;"",EDATE($D46,Milestones!$AA$44)&gt;=$Y46),$AB46,$AA46)))=Milestones!$AB$44),UPPER(TEXT(EDATE($D46,Milestones!$AA$44),"dd mmm yy"))&amp;" "&amp;Milestones!$AB$44&amp;" "&amp;IF(AND(Milestones!$AB$44="FT",Milestones!$AA$44=FT_Y5,EDATE($D46,Milestones!$AA$44)&lt;PolicyEff),1,Milestones!$AC$44)&amp;";  ","")&amp;IF(AND(EDATE($D46,Milestones!$AA$45)&lt;=AsOfDate,EDATE($D46,Milestones!$AA$45)&gt;=SchemeStart,IF($X46=0,$AD46,IF(AND($Z46&lt;&gt;"",EDATE($D46,Milestones!$AA$45)&gt;=$Z46),$AC46,IF(AND($Y46&lt;&gt;"",EDATE($D46,Milestones!$AA$45)&gt;=$Y46),$AB46,$AA46)))=Milestones!$AB$45),UPPER(TEXT(EDATE($D46,Milestones!$AA$45),"dd mmm yy"))&amp;" "&amp;Milestones!$AB$45&amp;" "&amp;IF(AND(Milestones!$AB$45="FT",Milestones!$AA$45=FT_Y5,EDATE($D46,Milestones!$AA$45)&lt;PolicyEff),1,Milestones!$AC$45)&amp;";  ","")&amp;IF(AND(EDATE($D46,Milestones!$AA$46)&lt;=AsOfDate,EDATE($D46,Milestones!$AA$46)&gt;=SchemeStart,IF($X46=0,$AD46,IF(AND($Z46&lt;&gt;"",EDATE($D46,Milestones!$AA$46)&gt;=$Z46),$AC46,IF(AND($Y46&lt;&gt;"",EDATE($D46,Milestones!$AA$46)&gt;=$Y46),$AB46,$AA46)))=Milestones!$AB$46),UPPER(TEXT(EDATE($D46,Milestones!$AA$46),"dd mmm yy"))&amp;" "&amp;Milestones!$AB$46&amp;" "&amp;IF(AND(Milestones!$AB$46="FT",Milestones!$AA$46=FT_Y5,EDATE($D46,Milestones!$AA$46)&lt;PolicyEff),1,Milestones!$AC$46)&amp;";  ","")&amp;IF(AND(EDATE($D46,Milestones!$AA$47)&lt;=AsOfDate,EDATE($D46,Milestones!$AA$47)&gt;=SchemeStart,IF($X46=0,$AD46,IF(AND($Z46&lt;&gt;"",EDATE($D46,Milestones!$AA$47)&gt;=$Z46),$AC46,IF(AND($Y46&lt;&gt;"",EDATE($D46,Milestones!$AA$47)&gt;=$Y46),$AB46,$AA46)))=Milestones!$AB$47),UPPER(TEXT(EDATE($D46,Milestones!$AA$47),"dd mmm yy"))&amp;" "&amp;Milestones!$AB$47&amp;" "&amp;IF(AND(Milestones!$AB$47="FT",Milestones!$AA$47=FT_Y5,EDATE($D46,Milestones!$AA$47)&lt;PolicyEff),1,Milestones!$AC$47)&amp;";  ","")&amp;IF(AND(EDATE($D46,Milestones!$AA$48)&lt;=AsOfDate,EDATE($D46,Milestones!$AA$48)&gt;=SchemeStart,IF($X46=0,$AD46,IF(AND($Z46&lt;&gt;"",EDATE($D46,Milestones!$AA$48)&gt;=$Z46),$AC46,IF(AND($Y46&lt;&gt;"",EDATE($D46,Milestones!$AA$48)&gt;=$Y46),$AB46,$AA46)))=Milestones!$AB$48),UPPER(TEXT(EDATE($D46,Milestones!$AA$48),"dd mmm yy"))&amp;" "&amp;Milestones!$AB$48&amp;" "&amp;IF(AND(Milestones!$AB$48="FT",Milestones!$AA$48=FT_Y5,EDATE($D46,Milestones!$AA$48)&lt;PolicyEff),1,Milestones!$AC$48)&amp;";  ","")&amp;IF(AND(EDATE($D46,Milestones!$AA$49)&lt;=AsOfDate,EDATE($D46,Milestones!$AA$49)&gt;=SchemeStart,IF($X46=0,$AD46,IF(AND($Z46&lt;&gt;"",EDATE($D46,Milestones!$AA$49)&gt;=$Z46),$AC46,IF(AND($Y46&lt;&gt;"",EDATE($D46,Milestones!$AA$49)&gt;=$Y46),$AB46,$AA46)))=Milestones!$AB$49),UPPER(TEXT(EDATE($D46,Milestones!$AA$49),"dd mmm yy"))&amp;" "&amp;Milestones!$AB$49&amp;" "&amp;IF(AND(Milestones!$AB$49="FT",Milestones!$AA$49=FT_Y5,EDATE($D46,Milestones!$AA$49)&lt;PolicyEff),1,Milestones!$AC$49)&amp;";  ","")&amp;IF(AND(EDATE($D46,Milestones!$AA$50)&lt;=AsOfDate,EDATE($D46,Milestones!$AA$50)&gt;=SchemeStart,IF($X46=0,$AD46,IF(AND($Z46&lt;&gt;"",EDATE($D46,Milestones!$AA$50)&gt;=$Z46),$AC46,IF(AND($Y46&lt;&gt;"",EDATE($D46,Milestones!$AA$50)&gt;=$Y46),$AB46,$AA46)))=Milestones!$AB$50),UPPER(TEXT(EDATE($D46,Milestones!$AA$50),"dd mmm yy"))&amp;" "&amp;Milestones!$AB$50&amp;" "&amp;IF(AND(Milestones!$AB$50="FT",Milestones!$AA$50=FT_Y5,EDATE($D46,Milestones!$AA$50)&lt;PolicyEff),1,Milestones!$AC$50)&amp;";  ","")&amp;IF(AND(EDATE($D46,Milestones!$AA$51)&lt;=AsOfDate,EDATE($D46,Milestones!$AA$51)&gt;=SchemeStart,IF($X46=0,$AD46,IF(AND($Z46&lt;&gt;"",EDATE($D46,Milestones!$AA$51)&gt;=$Z46),$AC46,IF(AND($Y46&lt;&gt;"",EDATE($D46,Milestones!$AA$51)&gt;=$Y46),$AB46,$AA46)))=Milestones!$AB$51),UPPER(TEXT(EDATE($D46,Milestones!$AA$51),"dd mmm yy"))&amp;" "&amp;Milestones!$AB$51&amp;" "&amp;IF(AND(Milestones!$AB$51="FT",Milestones!$AA$51=FT_Y5,EDATE($D46,Milestones!$AA$51)&lt;PolicyEff),1,Milestones!$AC$51)&amp;";  ","")&amp;IF(AND(EDATE($D46,Milestones!$AA$52)&lt;=AsOfDate,EDATE($D46,Milestones!$AA$52)&gt;=SchemeStart,IF($X46=0,$AD46,IF(AND($Z46&lt;&gt;"",EDATE($D46,Milestones!$AA$52)&gt;=$Z46),$AC46,IF(AND($Y46&lt;&gt;"",EDATE($D46,Milestones!$AA$52)&gt;=$Y46),$AB46,$AA46)))=Milestones!$AB$52),UPPER(TEXT(EDATE($D46,Milestones!$AA$52),"dd mmm yy"))&amp;" "&amp;Milestones!$AB$52&amp;" "&amp;IF(AND(Milestones!$AB$52="FT",Milestones!$AA$52=FT_Y5,EDATE($D46,Milestones!$AA$52)&lt;PolicyEff),1,Milestones!$AC$52)&amp;";  ","")&amp;IF(AND(EDATE($D46,Milestones!$AA$53)&lt;=AsOfDate,EDATE($D46,Milestones!$AA$53)&gt;=SchemeStart,IF($X46=0,$AD46,IF(AND($Z46&lt;&gt;"",EDATE($D46,Milestones!$AA$53)&gt;=$Z46),$AC46,IF(AND($Y46&lt;&gt;"",EDATE($D46,Milestones!$AA$53)&gt;=$Y46),$AB46,$AA46)))=Milestones!$AB$53),UPPER(TEXT(EDATE($D46,Milestones!$AA$53),"dd mmm yy"))&amp;" "&amp;Milestones!$AB$53&amp;" "&amp;IF(AND(Milestones!$AB$53="FT",Milestones!$AA$53=FT_Y5,EDATE($D46,Milestones!$AA$53)&lt;PolicyEff),1,Milestones!$AC$53)&amp;";  ","")&amp;IF(AND(EDATE($D46,Milestones!$AA$54)&lt;=AsOfDate,EDATE($D46,Milestones!$AA$54)&gt;=SchemeStart,IF($X46=0,$AD46,IF(AND($Z46&lt;&gt;"",EDATE($D46,Milestones!$AA$54)&gt;=$Z46),$AC46,IF(AND($Y46&lt;&gt;"",EDATE($D46,Milestones!$AA$54)&gt;=$Y46),$AB46,$AA46)))=Milestones!$AB$54),UPPER(TEXT(EDATE($D46,Milestones!$AA$54),"dd mmm yy"))&amp;" "&amp;Milestones!$AB$54&amp;" "&amp;IF(AND(Milestones!$AB$54="FT",Milestones!$AA$54=FT_Y5,EDATE($D46,Milestones!$AA$54)&lt;PolicyEff),1,Milestones!$AC$54)&amp;";  ","")&amp;IF(AND(EDATE($D46,Milestones!$AA$55)&lt;=AsOfDate,EDATE($D46,Milestones!$AA$55)&gt;=SchemeStart,IF($X46=0,$AD46,IF(AND($Z46&lt;&gt;"",EDATE($D46,Milestones!$AA$55)&gt;=$Z46),$AC46,IF(AND($Y46&lt;&gt;"",EDATE($D46,Milestones!$AA$55)&gt;=$Y46),$AB46,$AA46)))=Milestones!$AB$55),UPPER(TEXT(EDATE($D46,Milestones!$AA$55),"dd mmm yy"))&amp;" "&amp;Milestones!$AB$55&amp;" "&amp;IF(AND(Milestones!$AB$55="FT",Milestones!$AA$55=FT_Y5,EDATE($D46,Milestones!$AA$55)&lt;PolicyEff),1,Milestones!$AC$55)&amp;";  ",""))</f>
        <v/>
      </c>
      <c r="L46" s="0" t="str">
        <f aca="false">IF(OR($A46="",$D46=""),"",IF(AND(EDATE($D46,Milestones!$AA$56)&lt;=AsOfDate,EDATE($D46,Milestones!$AA$56)&gt;=SchemeStart,IF($X46=0,$AD46,IF(AND($Z46&lt;&gt;"",EDATE($D46,Milestones!$AA$56)&gt;=$Z46),$AC46,IF(AND($Y46&lt;&gt;"",EDATE($D46,Milestones!$AA$56)&gt;=$Y46),$AB46,$AA46)))=Milestones!$AB$56),UPPER(TEXT(EDATE($D46,Milestones!$AA$56),"dd mmm yy"))&amp;" "&amp;Milestones!$AB$56&amp;" "&amp;IF(AND(Milestones!$AB$56="FT",Milestones!$AA$56=FT_Y5,EDATE($D46,Milestones!$AA$56)&lt;PolicyEff),1,Milestones!$AC$56)&amp;";  ","")&amp;IF(AND(EDATE($D46,Milestones!$AA$57)&lt;=AsOfDate,EDATE($D46,Milestones!$AA$57)&gt;=SchemeStart,IF($X46=0,$AD46,IF(AND($Z46&lt;&gt;"",EDATE($D46,Milestones!$AA$57)&gt;=$Z46),$AC46,IF(AND($Y46&lt;&gt;"",EDATE($D46,Milestones!$AA$57)&gt;=$Y46),$AB46,$AA46)))=Milestones!$AB$57),UPPER(TEXT(EDATE($D46,Milestones!$AA$57),"dd mmm yy"))&amp;" "&amp;Milestones!$AB$57&amp;" "&amp;IF(AND(Milestones!$AB$57="FT",Milestones!$AA$57=FT_Y5,EDATE($D46,Milestones!$AA$57)&lt;PolicyEff),1,Milestones!$AC$57)&amp;";  ","")&amp;IF(AND(EDATE($D46,Milestones!$AA$58)&lt;=AsOfDate,EDATE($D46,Milestones!$AA$58)&gt;=SchemeStart,IF($X46=0,$AD46,IF(AND($Z46&lt;&gt;"",EDATE($D46,Milestones!$AA$58)&gt;=$Z46),$AC46,IF(AND($Y46&lt;&gt;"",EDATE($D46,Milestones!$AA$58)&gt;=$Y46),$AB46,$AA46)))=Milestones!$AB$58),UPPER(TEXT(EDATE($D46,Milestones!$AA$58),"dd mmm yy"))&amp;" "&amp;Milestones!$AB$58&amp;" "&amp;IF(AND(Milestones!$AB$58="FT",Milestones!$AA$58=FT_Y5,EDATE($D46,Milestones!$AA$58)&lt;PolicyEff),1,Milestones!$AC$58)&amp;";  ","")&amp;IF(AND(EDATE($D46,Milestones!$AA$59)&lt;=AsOfDate,EDATE($D46,Milestones!$AA$59)&gt;=SchemeStart,IF($X46=0,$AD46,IF(AND($Z46&lt;&gt;"",EDATE($D46,Milestones!$AA$59)&gt;=$Z46),$AC46,IF(AND($Y46&lt;&gt;"",EDATE($D46,Milestones!$AA$59)&gt;=$Y46),$AB46,$AA46)))=Milestones!$AB$59),UPPER(TEXT(EDATE($D46,Milestones!$AA$59),"dd mmm yy"))&amp;" "&amp;Milestones!$AB$59&amp;" "&amp;IF(AND(Milestones!$AB$59="FT",Milestones!$AA$59=FT_Y5,EDATE($D46,Milestones!$AA$59)&lt;PolicyEff),1,Milestones!$AC$59)&amp;";  ","")&amp;IF(AND(EDATE($D46,Milestones!$AA$60)&lt;=AsOfDate,EDATE($D46,Milestones!$AA$60)&gt;=SchemeStart,IF($X46=0,$AD46,IF(AND($Z46&lt;&gt;"",EDATE($D46,Milestones!$AA$60)&gt;=$Z46),$AC46,IF(AND($Y46&lt;&gt;"",EDATE($D46,Milestones!$AA$60)&gt;=$Y46),$AB46,$AA46)))=Milestones!$AB$60),UPPER(TEXT(EDATE($D46,Milestones!$AA$60),"dd mmm yy"))&amp;" "&amp;Milestones!$AB$60&amp;" "&amp;IF(AND(Milestones!$AB$60="FT",Milestones!$AA$60=FT_Y5,EDATE($D46,Milestones!$AA$60)&lt;PolicyEff),1,Milestones!$AC$60)&amp;";  ","")&amp;IF(AND(EDATE($D46,Milestones!$AA$61)&lt;=AsOfDate,EDATE($D46,Milestones!$AA$61)&gt;=SchemeStart,IF($X46=0,$AD46,IF(AND($Z46&lt;&gt;"",EDATE($D46,Milestones!$AA$61)&gt;=$Z46),$AC46,IF(AND($Y46&lt;&gt;"",EDATE($D46,Milestones!$AA$61)&gt;=$Y46),$AB46,$AA46)))=Milestones!$AB$61),UPPER(TEXT(EDATE($D46,Milestones!$AA$61),"dd mmm yy"))&amp;" "&amp;Milestones!$AB$61&amp;" "&amp;IF(AND(Milestones!$AB$61="FT",Milestones!$AA$61=FT_Y5,EDATE($D46,Milestones!$AA$61)&lt;PolicyEff),1,Milestones!$AC$61)&amp;";  ","")&amp;IF(AND(EDATE($D46,Milestones!$AA$62)&lt;=AsOfDate,EDATE($D46,Milestones!$AA$62)&gt;=SchemeStart,IF($X46=0,$AD46,IF(AND($Z46&lt;&gt;"",EDATE($D46,Milestones!$AA$62)&gt;=$Z46),$AC46,IF(AND($Y46&lt;&gt;"",EDATE($D46,Milestones!$AA$62)&gt;=$Y46),$AB46,$AA46)))=Milestones!$AB$62),UPPER(TEXT(EDATE($D46,Milestones!$AA$62),"dd mmm yy"))&amp;" "&amp;Milestones!$AB$62&amp;" "&amp;IF(AND(Milestones!$AB$62="FT",Milestones!$AA$62=FT_Y5,EDATE($D46,Milestones!$AA$62)&lt;PolicyEff),1,Milestones!$AC$62)&amp;";  ","")&amp;IF(AND(EDATE($D46,Milestones!$AA$63)&lt;=AsOfDate,EDATE($D46,Milestones!$AA$63)&gt;=SchemeStart,IF($X46=0,$AD46,IF(AND($Z46&lt;&gt;"",EDATE($D46,Milestones!$AA$63)&gt;=$Z46),$AC46,IF(AND($Y46&lt;&gt;"",EDATE($D46,Milestones!$AA$63)&gt;=$Y46),$AB46,$AA46)))=Milestones!$AB$63),UPPER(TEXT(EDATE($D46,Milestones!$AA$63),"dd mmm yy"))&amp;" "&amp;Milestones!$AB$63&amp;" "&amp;IF(AND(Milestones!$AB$63="FT",Milestones!$AA$63=FT_Y5,EDATE($D46,Milestones!$AA$63)&lt;PolicyEff),1,Milestones!$AC$63)&amp;";  ","")&amp;IF(AND(EDATE($D46,Milestones!$AA$64)&lt;=AsOfDate,EDATE($D46,Milestones!$AA$64)&gt;=SchemeStart,IF($X46=0,$AD46,IF(AND($Z46&lt;&gt;"",EDATE($D46,Milestones!$AA$64)&gt;=$Z46),$AC46,IF(AND($Y46&lt;&gt;"",EDATE($D46,Milestones!$AA$64)&gt;=$Y46),$AB46,$AA46)))=Milestones!$AB$64),UPPER(TEXT(EDATE($D46,Milestones!$AA$64),"dd mmm yy"))&amp;" "&amp;Milestones!$AB$64&amp;" "&amp;IF(AND(Milestones!$AB$64="FT",Milestones!$AA$64=FT_Y5,EDATE($D46,Milestones!$AA$64)&lt;PolicyEff),1,Milestones!$AC$64)&amp;";  ","")&amp;IF(AND(EDATE($D46,Milestones!$AA$65)&lt;=AsOfDate,EDATE($D46,Milestones!$AA$65)&gt;=SchemeStart,IF($X46=0,$AD46,IF(AND($Z46&lt;&gt;"",EDATE($D46,Milestones!$AA$65)&gt;=$Z46),$AC46,IF(AND($Y46&lt;&gt;"",EDATE($D46,Milestones!$AA$65)&gt;=$Y46),$AB46,$AA46)))=Milestones!$AB$65),UPPER(TEXT(EDATE($D46,Milestones!$AA$65),"dd mmm yy"))&amp;" "&amp;Milestones!$AB$65&amp;" "&amp;IF(AND(Milestones!$AB$65="FT",Milestones!$AA$65=FT_Y5,EDATE($D46,Milestones!$AA$65)&lt;PolicyEff),1,Milestones!$AC$65)&amp;";  ","")&amp;IF(AND(EDATE($D46,Milestones!$AA$66)&lt;=AsOfDate,EDATE($D46,Milestones!$AA$66)&gt;=SchemeStart,IF($X46=0,$AD46,IF(AND($Z46&lt;&gt;"",EDATE($D46,Milestones!$AA$66)&gt;=$Z46),$AC46,IF(AND($Y46&lt;&gt;"",EDATE($D46,Milestones!$AA$66)&gt;=$Y46),$AB46,$AA46)))=Milestones!$AB$66),UPPER(TEXT(EDATE($D46,Milestones!$AA$66),"dd mmm yy"))&amp;" "&amp;Milestones!$AB$66&amp;" "&amp;IF(AND(Milestones!$AB$66="FT",Milestones!$AA$66=FT_Y5,EDATE($D46,Milestones!$AA$66)&lt;PolicyEff),1,Milestones!$AC$66)&amp;";  ","")&amp;IF(AND(EDATE($D46,Milestones!$AA$67)&lt;=AsOfDate,EDATE($D46,Milestones!$AA$67)&gt;=SchemeStart,IF($X46=0,$AD46,IF(AND($Z46&lt;&gt;"",EDATE($D46,Milestones!$AA$67)&gt;=$Z46),$AC46,IF(AND($Y46&lt;&gt;"",EDATE($D46,Milestones!$AA$67)&gt;=$Y46),$AB46,$AA46)))=Milestones!$AB$67),UPPER(TEXT(EDATE($D46,Milestones!$AA$67),"dd mmm yy"))&amp;" "&amp;Milestones!$AB$67&amp;" "&amp;IF(AND(Milestones!$AB$67="FT",Milestones!$AA$67=FT_Y5,EDATE($D46,Milestones!$AA$67)&lt;PolicyEff),1,Milestones!$AC$67)&amp;";  ",""))</f>
        <v/>
      </c>
      <c r="M46" s="0" t="str">
        <f aca="false">IF(OR($A46="",$D46=""),"",IF(AND(EDATE($D46,Milestones!$AA$68)&lt;=AsOfDate,EDATE($D46,Milestones!$AA$68)&gt;=SchemeStart,IF($X46=0,$AD46,IF(AND($Z46&lt;&gt;"",EDATE($D46,Milestones!$AA$68)&gt;=$Z46),$AC46,IF(AND($Y46&lt;&gt;"",EDATE($D46,Milestones!$AA$68)&gt;=$Y46),$AB46,$AA46)))=Milestones!$AB$68),UPPER(TEXT(EDATE($D46,Milestones!$AA$68),"dd mmm yy"))&amp;" "&amp;Milestones!$AB$68&amp;" "&amp;IF(AND(Milestones!$AB$68="FT",Milestones!$AA$68=FT_Y5,EDATE($D46,Milestones!$AA$68)&lt;PolicyEff),1,Milestones!$AC$68)&amp;";  ","")&amp;IF(AND(EDATE($D46,Milestones!$AA$69)&lt;=AsOfDate,EDATE($D46,Milestones!$AA$69)&gt;=SchemeStart,IF($X46=0,$AD46,IF(AND($Z46&lt;&gt;"",EDATE($D46,Milestones!$AA$69)&gt;=$Z46),$AC46,IF(AND($Y46&lt;&gt;"",EDATE($D46,Milestones!$AA$69)&gt;=$Y46),$AB46,$AA46)))=Milestones!$AB$69),UPPER(TEXT(EDATE($D46,Milestones!$AA$69),"dd mmm yy"))&amp;" "&amp;Milestones!$AB$69&amp;" "&amp;IF(AND(Milestones!$AB$69="FT",Milestones!$AA$69=FT_Y5,EDATE($D46,Milestones!$AA$69)&lt;PolicyEff),1,Milestones!$AC$69)&amp;";  ","")&amp;IF(AND(EDATE($D46,Milestones!$AA$70)&lt;=AsOfDate,EDATE($D46,Milestones!$AA$70)&gt;=SchemeStart,IF($X46=0,$AD46,IF(AND($Z46&lt;&gt;"",EDATE($D46,Milestones!$AA$70)&gt;=$Z46),$AC46,IF(AND($Y46&lt;&gt;"",EDATE($D46,Milestones!$AA$70)&gt;=$Y46),$AB46,$AA46)))=Milestones!$AB$70),UPPER(TEXT(EDATE($D46,Milestones!$AA$70),"dd mmm yy"))&amp;" "&amp;Milestones!$AB$70&amp;" "&amp;IF(AND(Milestones!$AB$70="FT",Milestones!$AA$70=FT_Y5,EDATE($D46,Milestones!$AA$70)&lt;PolicyEff),1,Milestones!$AC$70)&amp;";  ","")&amp;IF(AND(EDATE($D46,Milestones!$AA$71)&lt;=AsOfDate,EDATE($D46,Milestones!$AA$71)&gt;=SchemeStart,IF($X46=0,$AD46,IF(AND($Z46&lt;&gt;"",EDATE($D46,Milestones!$AA$71)&gt;=$Z46),$AC46,IF(AND($Y46&lt;&gt;"",EDATE($D46,Milestones!$AA$71)&gt;=$Y46),$AB46,$AA46)))=Milestones!$AB$71),UPPER(TEXT(EDATE($D46,Milestones!$AA$71),"dd mmm yy"))&amp;" "&amp;Milestones!$AB$71&amp;" "&amp;IF(AND(Milestones!$AB$71="FT",Milestones!$AA$71=FT_Y5,EDATE($D46,Milestones!$AA$71)&lt;PolicyEff),1,Milestones!$AC$71)&amp;";  ","")&amp;IF(AND(EDATE($D46,Milestones!$AA$72)&lt;=AsOfDate,EDATE($D46,Milestones!$AA$72)&gt;=SchemeStart,IF($X46=0,$AD46,IF(AND($Z46&lt;&gt;"",EDATE($D46,Milestones!$AA$72)&gt;=$Z46),$AC46,IF(AND($Y46&lt;&gt;"",EDATE($D46,Milestones!$AA$72)&gt;=$Y46),$AB46,$AA46)))=Milestones!$AB$72),UPPER(TEXT(EDATE($D46,Milestones!$AA$72),"dd mmm yy"))&amp;" "&amp;Milestones!$AB$72&amp;" "&amp;IF(AND(Milestones!$AB$72="FT",Milestones!$AA$72=FT_Y5,EDATE($D46,Milestones!$AA$72)&lt;PolicyEff),1,Milestones!$AC$72)&amp;";  ","")&amp;IF(AND(EDATE($D46,Milestones!$AA$73)&lt;=AsOfDate,EDATE($D46,Milestones!$AA$73)&gt;=SchemeStart,IF($X46=0,$AD46,IF(AND($Z46&lt;&gt;"",EDATE($D46,Milestones!$AA$73)&gt;=$Z46),$AC46,IF(AND($Y46&lt;&gt;"",EDATE($D46,Milestones!$AA$73)&gt;=$Y46),$AB46,$AA46)))=Milestones!$AB$73),UPPER(TEXT(EDATE($D46,Milestones!$AA$73),"dd mmm yy"))&amp;" "&amp;Milestones!$AB$73&amp;" "&amp;IF(AND(Milestones!$AB$73="FT",Milestones!$AA$73=FT_Y5,EDATE($D46,Milestones!$AA$73)&lt;PolicyEff),1,Milestones!$AC$73)&amp;";  ","")&amp;IF(AND(EDATE($D46,Milestones!$AA$74)&lt;=AsOfDate,EDATE($D46,Milestones!$AA$74)&gt;=SchemeStart,IF($X46=0,$AD46,IF(AND($Z46&lt;&gt;"",EDATE($D46,Milestones!$AA$74)&gt;=$Z46),$AC46,IF(AND($Y46&lt;&gt;"",EDATE($D46,Milestones!$AA$74)&gt;=$Y46),$AB46,$AA46)))=Milestones!$AB$74),UPPER(TEXT(EDATE($D46,Milestones!$AA$74),"dd mmm yy"))&amp;" "&amp;Milestones!$AB$74&amp;" "&amp;IF(AND(Milestones!$AB$74="FT",Milestones!$AA$74=FT_Y5,EDATE($D46,Milestones!$AA$74)&lt;PolicyEff),1,Milestones!$AC$74)&amp;";  ","")&amp;IF(AND(EDATE($D46,Milestones!$AA$75)&lt;=AsOfDate,EDATE($D46,Milestones!$AA$75)&gt;=SchemeStart,IF($X46=0,$AD46,IF(AND($Z46&lt;&gt;"",EDATE($D46,Milestones!$AA$75)&gt;=$Z46),$AC46,IF(AND($Y46&lt;&gt;"",EDATE($D46,Milestones!$AA$75)&gt;=$Y46),$AB46,$AA46)))=Milestones!$AB$75),UPPER(TEXT(EDATE($D46,Milestones!$AA$75),"dd mmm yy"))&amp;" "&amp;Milestones!$AB$75&amp;" "&amp;IF(AND(Milestones!$AB$75="FT",Milestones!$AA$75=FT_Y5,EDATE($D46,Milestones!$AA$75)&lt;PolicyEff),1,Milestones!$AC$75)&amp;";  ","")&amp;IF(AND(EDATE($D46,Milestones!$AA$76)&lt;=AsOfDate,EDATE($D46,Milestones!$AA$76)&gt;=SchemeStart,IF($X46=0,$AD46,IF(AND($Z46&lt;&gt;"",EDATE($D46,Milestones!$AA$76)&gt;=$Z46),$AC46,IF(AND($Y46&lt;&gt;"",EDATE($D46,Milestones!$AA$76)&gt;=$Y46),$AB46,$AA46)))=Milestones!$AB$76),UPPER(TEXT(EDATE($D46,Milestones!$AA$76),"dd mmm yy"))&amp;" "&amp;Milestones!$AB$76&amp;" "&amp;IF(AND(Milestones!$AB$76="FT",Milestones!$AA$76=FT_Y5,EDATE($D46,Milestones!$AA$76)&lt;PolicyEff),1,Milestones!$AC$76)&amp;";  ","")&amp;IF(AND(EDATE($D46,Milestones!$AA$77)&lt;=AsOfDate,EDATE($D46,Milestones!$AA$77)&gt;=SchemeStart,IF($X46=0,$AD46,IF(AND($Z46&lt;&gt;"",EDATE($D46,Milestones!$AA$77)&gt;=$Z46),$AC46,IF(AND($Y46&lt;&gt;"",EDATE($D46,Milestones!$AA$77)&gt;=$Y46),$AB46,$AA46)))=Milestones!$AB$77),UPPER(TEXT(EDATE($D46,Milestones!$AA$77),"dd mmm yy"))&amp;" "&amp;Milestones!$AB$77&amp;" "&amp;IF(AND(Milestones!$AB$77="FT",Milestones!$AA$77=FT_Y5,EDATE($D46,Milestones!$AA$77)&lt;PolicyEff),1,Milestones!$AC$77)&amp;";  ","")&amp;IF(AND(EDATE($D46,Milestones!$AA$78)&lt;=AsOfDate,EDATE($D46,Milestones!$AA$78)&gt;=SchemeStart,IF($X46=0,$AD46,IF(AND($Z46&lt;&gt;"",EDATE($D46,Milestones!$AA$78)&gt;=$Z46),$AC46,IF(AND($Y46&lt;&gt;"",EDATE($D46,Milestones!$AA$78)&gt;=$Y46),$AB46,$AA46)))=Milestones!$AB$78),UPPER(TEXT(EDATE($D46,Milestones!$AA$78),"dd mmm yy"))&amp;" "&amp;Milestones!$AB$78&amp;" "&amp;IF(AND(Milestones!$AB$78="FT",Milestones!$AA$78=FT_Y5,EDATE($D46,Milestones!$AA$78)&lt;PolicyEff),1,Milestones!$AC$78)&amp;";  ","")&amp;IF(AND(EDATE($D46,Milestones!$AA$79)&lt;=AsOfDate,EDATE($D46,Milestones!$AA$79)&gt;=SchemeStart,IF($X46=0,$AD46,IF(AND($Z46&lt;&gt;"",EDATE($D46,Milestones!$AA$79)&gt;=$Z46),$AC46,IF(AND($Y46&lt;&gt;"",EDATE($D46,Milestones!$AA$79)&gt;=$Y46),$AB46,$AA46)))=Milestones!$AB$79),UPPER(TEXT(EDATE($D46,Milestones!$AA$79),"dd mmm yy"))&amp;" "&amp;Milestones!$AB$79&amp;" "&amp;IF(AND(Milestones!$AB$79="FT",Milestones!$AA$79=FT_Y5,EDATE($D46,Milestones!$AA$79)&lt;PolicyEff),1,Milestones!$AC$79)&amp;";  ",""))</f>
        <v/>
      </c>
      <c r="N46" s="0" t="str">
        <f aca="false">IF(OR($A46="",$D46=""),"",IF(AND(EDATE($D46,Milestones!$AA$80)&lt;=AsOfDate,EDATE($D46,Milestones!$AA$80)&gt;=SchemeStart,IF($X46=0,$AD46,IF(AND($Z46&lt;&gt;"",EDATE($D46,Milestones!$AA$80)&gt;=$Z46),$AC46,IF(AND($Y46&lt;&gt;"",EDATE($D46,Milestones!$AA$80)&gt;=$Y46),$AB46,$AA46)))=Milestones!$AB$80),UPPER(TEXT(EDATE($D46,Milestones!$AA$80),"dd mmm yy"))&amp;" "&amp;Milestones!$AB$80&amp;" "&amp;IF(AND(Milestones!$AB$80="FT",Milestones!$AA$80=FT_Y5,EDATE($D46,Milestones!$AA$80)&lt;PolicyEff),1,Milestones!$AC$80)&amp;";  ","")&amp;IF(AND(EDATE($D46,Milestones!$AA$81)&lt;=AsOfDate,EDATE($D46,Milestones!$AA$81)&gt;=SchemeStart,IF($X46=0,$AD46,IF(AND($Z46&lt;&gt;"",EDATE($D46,Milestones!$AA$81)&gt;=$Z46),$AC46,IF(AND($Y46&lt;&gt;"",EDATE($D46,Milestones!$AA$81)&gt;=$Y46),$AB46,$AA46)))=Milestones!$AB$81),UPPER(TEXT(EDATE($D46,Milestones!$AA$81),"dd mmm yy"))&amp;" "&amp;Milestones!$AB$81&amp;" "&amp;IF(AND(Milestones!$AB$81="FT",Milestones!$AA$81=FT_Y5,EDATE($D46,Milestones!$AA$81)&lt;PolicyEff),1,Milestones!$AC$81)&amp;";  ","")&amp;IF(AND(EDATE($D46,Milestones!$AA$82)&lt;=AsOfDate,EDATE($D46,Milestones!$AA$82)&gt;=SchemeStart,IF($X46=0,$AD46,IF(AND($Z46&lt;&gt;"",EDATE($D46,Milestones!$AA$82)&gt;=$Z46),$AC46,IF(AND($Y46&lt;&gt;"",EDATE($D46,Milestones!$AA$82)&gt;=$Y46),$AB46,$AA46)))=Milestones!$AB$82),UPPER(TEXT(EDATE($D46,Milestones!$AA$82),"dd mmm yy"))&amp;" "&amp;Milestones!$AB$82&amp;" "&amp;IF(AND(Milestones!$AB$82="FT",Milestones!$AA$82=FT_Y5,EDATE($D46,Milestones!$AA$82)&lt;PolicyEff),1,Milestones!$AC$82)&amp;";  ","")&amp;IF(AND(EDATE($D46,Milestones!$AA$83)&lt;=AsOfDate,EDATE($D46,Milestones!$AA$83)&gt;=SchemeStart,IF($X46=0,$AD46,IF(AND($Z46&lt;&gt;"",EDATE($D46,Milestones!$AA$83)&gt;=$Z46),$AC46,IF(AND($Y46&lt;&gt;"",EDATE($D46,Milestones!$AA$83)&gt;=$Y46),$AB46,$AA46)))=Milestones!$AB$83),UPPER(TEXT(EDATE($D46,Milestones!$AA$83),"dd mmm yy"))&amp;" "&amp;Milestones!$AB$83&amp;" "&amp;IF(AND(Milestones!$AB$83="FT",Milestones!$AA$83=FT_Y5,EDATE($D46,Milestones!$AA$83)&lt;PolicyEff),1,Milestones!$AC$83)&amp;";  ","")&amp;IF(AND(EDATE($D46,Milestones!$AA$84)&lt;=AsOfDate,EDATE($D46,Milestones!$AA$84)&gt;=SchemeStart,IF($X46=0,$AD46,IF(AND($Z46&lt;&gt;"",EDATE($D46,Milestones!$AA$84)&gt;=$Z46),$AC46,IF(AND($Y46&lt;&gt;"",EDATE($D46,Milestones!$AA$84)&gt;=$Y46),$AB46,$AA46)))=Milestones!$AB$84),UPPER(TEXT(EDATE($D46,Milestones!$AA$84),"dd mmm yy"))&amp;" "&amp;Milestones!$AB$84&amp;" "&amp;IF(AND(Milestones!$AB$84="FT",Milestones!$AA$84=FT_Y5,EDATE($D46,Milestones!$AA$84)&lt;PolicyEff),1,Milestones!$AC$84)&amp;";  ","")&amp;IF(AND(EDATE($D46,Milestones!$AA$85)&lt;=AsOfDate,EDATE($D46,Milestones!$AA$85)&gt;=SchemeStart,IF($X46=0,$AD46,IF(AND($Z46&lt;&gt;"",EDATE($D46,Milestones!$AA$85)&gt;=$Z46),$AC46,IF(AND($Y46&lt;&gt;"",EDATE($D46,Milestones!$AA$85)&gt;=$Y46),$AB46,$AA46)))=Milestones!$AB$85),UPPER(TEXT(EDATE($D46,Milestones!$AA$85),"dd mmm yy"))&amp;" "&amp;Milestones!$AB$85&amp;" "&amp;IF(AND(Milestones!$AB$85="FT",Milestones!$AA$85=FT_Y5,EDATE($D46,Milestones!$AA$85)&lt;PolicyEff),1,Milestones!$AC$85)&amp;";  ","")&amp;IF(AND(EDATE($D46,Milestones!$AA$86)&lt;=AsOfDate,EDATE($D46,Milestones!$AA$86)&gt;=SchemeStart,IF($X46=0,$AD46,IF(AND($Z46&lt;&gt;"",EDATE($D46,Milestones!$AA$86)&gt;=$Z46),$AC46,IF(AND($Y46&lt;&gt;"",EDATE($D46,Milestones!$AA$86)&gt;=$Y46),$AB46,$AA46)))=Milestones!$AB$86),UPPER(TEXT(EDATE($D46,Milestones!$AA$86),"dd mmm yy"))&amp;" "&amp;Milestones!$AB$86&amp;" "&amp;IF(AND(Milestones!$AB$86="FT",Milestones!$AA$86=FT_Y5,EDATE($D46,Milestones!$AA$86)&lt;PolicyEff),1,Milestones!$AC$86)&amp;";  ","")&amp;IF(AND(EDATE($D46,Milestones!$AA$87)&lt;=AsOfDate,EDATE($D46,Milestones!$AA$87)&gt;=SchemeStart,IF($X46=0,$AD46,IF(AND($Z46&lt;&gt;"",EDATE($D46,Milestones!$AA$87)&gt;=$Z46),$AC46,IF(AND($Y46&lt;&gt;"",EDATE($D46,Milestones!$AA$87)&gt;=$Y46),$AB46,$AA46)))=Milestones!$AB$87),UPPER(TEXT(EDATE($D46,Milestones!$AA$87),"dd mmm yy"))&amp;" "&amp;Milestones!$AB$87&amp;" "&amp;IF(AND(Milestones!$AB$87="FT",Milestones!$AA$87=FT_Y5,EDATE($D46,Milestones!$AA$87)&lt;PolicyEff),1,Milestones!$AC$87)&amp;";  ","")&amp;IF(AND(EDATE($D46,Milestones!$AA$88)&lt;=AsOfDate,EDATE($D46,Milestones!$AA$88)&gt;=SchemeStart,IF($X46=0,$AD46,IF(AND($Z46&lt;&gt;"",EDATE($D46,Milestones!$AA$88)&gt;=$Z46),$AC46,IF(AND($Y46&lt;&gt;"",EDATE($D46,Milestones!$AA$88)&gt;=$Y46),$AB46,$AA46)))=Milestones!$AB$88),UPPER(TEXT(EDATE($D46,Milestones!$AA$88),"dd mmm yy"))&amp;" "&amp;Milestones!$AB$88&amp;" "&amp;IF(AND(Milestones!$AB$88="FT",Milestones!$AA$88=FT_Y5,EDATE($D46,Milestones!$AA$88)&lt;PolicyEff),1,Milestones!$AC$88)&amp;";  ","")&amp;IF(AND(EDATE($D46,Milestones!$AA$89)&lt;=AsOfDate,EDATE($D46,Milestones!$AA$89)&gt;=SchemeStart,IF($X46=0,$AD46,IF(AND($Z46&lt;&gt;"",EDATE($D46,Milestones!$AA$89)&gt;=$Z46),$AC46,IF(AND($Y46&lt;&gt;"",EDATE($D46,Milestones!$AA$89)&gt;=$Y46),$AB46,$AA46)))=Milestones!$AB$89),UPPER(TEXT(EDATE($D46,Milestones!$AA$89),"dd mmm yy"))&amp;" "&amp;Milestones!$AB$89&amp;" "&amp;IF(AND(Milestones!$AB$89="FT",Milestones!$AA$89=FT_Y5,EDATE($D46,Milestones!$AA$89)&lt;PolicyEff),1,Milestones!$AC$89)&amp;";  ","")&amp;IF(AND(EDATE($D46,Milestones!$AA$90)&lt;=AsOfDate,EDATE($D46,Milestones!$AA$90)&gt;=SchemeStart,IF($X46=0,$AD46,IF(AND($Z46&lt;&gt;"",EDATE($D46,Milestones!$AA$90)&gt;=$Z46),$AC46,IF(AND($Y46&lt;&gt;"",EDATE($D46,Milestones!$AA$90)&gt;=$Y46),$AB46,$AA46)))=Milestones!$AB$90),UPPER(TEXT(EDATE($D46,Milestones!$AA$90),"dd mmm yy"))&amp;" "&amp;Milestones!$AB$90&amp;" "&amp;IF(AND(Milestones!$AB$90="FT",Milestones!$AA$90=FT_Y5,EDATE($D46,Milestones!$AA$90)&lt;PolicyEff),1,Milestones!$AC$90)&amp;";  ","")&amp;IF(AND(EDATE($D46,Milestones!$AA$91)&lt;=AsOfDate,EDATE($D46,Milestones!$AA$91)&gt;=SchemeStart,IF($X46=0,$AD46,IF(AND($Z46&lt;&gt;"",EDATE($D46,Milestones!$AA$91)&gt;=$Z46),$AC46,IF(AND($Y46&lt;&gt;"",EDATE($D46,Milestones!$AA$91)&gt;=$Y46),$AB46,$AA46)))=Milestones!$AB$91),UPPER(TEXT(EDATE($D46,Milestones!$AA$91),"dd mmm yy"))&amp;" "&amp;Milestones!$AB$91&amp;" "&amp;IF(AND(Milestones!$AB$91="FT",Milestones!$AA$91=FT_Y5,EDATE($D46,Milestones!$AA$91)&lt;PolicyEff),1,Milestones!$AC$91)&amp;";  ",""))</f>
        <v/>
      </c>
      <c r="O46" s="0" t="str">
        <f aca="false">IF(OR($A46="",$D46=""),"",IF(AND(EDATE($D46,Milestones!$AA$92)&lt;=AsOfDate,EDATE($D46,Milestones!$AA$92)&gt;=SchemeStart,IF($X46=0,$AD46,IF(AND($Z46&lt;&gt;"",EDATE($D46,Milestones!$AA$92)&gt;=$Z46),$AC46,IF(AND($Y46&lt;&gt;"",EDATE($D46,Milestones!$AA$92)&gt;=$Y46),$AB46,$AA46)))=Milestones!$AB$92),UPPER(TEXT(EDATE($D46,Milestones!$AA$92),"dd mmm yy"))&amp;" "&amp;Milestones!$AB$92&amp;" "&amp;IF(AND(Milestones!$AB$92="FT",Milestones!$AA$92=FT_Y5,EDATE($D46,Milestones!$AA$92)&lt;PolicyEff),1,Milestones!$AC$92)&amp;";  ","")&amp;IF(AND(EDATE($D46,Milestones!$AA$93)&lt;=AsOfDate,EDATE($D46,Milestones!$AA$93)&gt;=SchemeStart,IF($X46=0,$AD46,IF(AND($Z46&lt;&gt;"",EDATE($D46,Milestones!$AA$93)&gt;=$Z46),$AC46,IF(AND($Y46&lt;&gt;"",EDATE($D46,Milestones!$AA$93)&gt;=$Y46),$AB46,$AA46)))=Milestones!$AB$93),UPPER(TEXT(EDATE($D46,Milestones!$AA$93),"dd mmm yy"))&amp;" "&amp;Milestones!$AB$93&amp;" "&amp;IF(AND(Milestones!$AB$93="FT",Milestones!$AA$93=FT_Y5,EDATE($D46,Milestones!$AA$93)&lt;PolicyEff),1,Milestones!$AC$93)&amp;";  ","")&amp;IF(AND(EDATE($D46,Milestones!$AA$94)&lt;=AsOfDate,EDATE($D46,Milestones!$AA$94)&gt;=SchemeStart,IF($X46=0,$AD46,IF(AND($Z46&lt;&gt;"",EDATE($D46,Milestones!$AA$94)&gt;=$Z46),$AC46,IF(AND($Y46&lt;&gt;"",EDATE($D46,Milestones!$AA$94)&gt;=$Y46),$AB46,$AA46)))=Milestones!$AB$94),UPPER(TEXT(EDATE($D46,Milestones!$AA$94),"dd mmm yy"))&amp;" "&amp;Milestones!$AB$94&amp;" "&amp;IF(AND(Milestones!$AB$94="FT",Milestones!$AA$94=FT_Y5,EDATE($D46,Milestones!$AA$94)&lt;PolicyEff),1,Milestones!$AC$94)&amp;";  ","")&amp;IF(AND(EDATE($D46,Milestones!$AA$95)&lt;=AsOfDate,EDATE($D46,Milestones!$AA$95)&gt;=SchemeStart,IF($X46=0,$AD46,IF(AND($Z46&lt;&gt;"",EDATE($D46,Milestones!$AA$95)&gt;=$Z46),$AC46,IF(AND($Y46&lt;&gt;"",EDATE($D46,Milestones!$AA$95)&gt;=$Y46),$AB46,$AA46)))=Milestones!$AB$95),UPPER(TEXT(EDATE($D46,Milestones!$AA$95),"dd mmm yy"))&amp;" "&amp;Milestones!$AB$95&amp;" "&amp;IF(AND(Milestones!$AB$95="FT",Milestones!$AA$95=FT_Y5,EDATE($D46,Milestones!$AA$95)&lt;PolicyEff),1,Milestones!$AC$95)&amp;";  ","")&amp;IF(AND(EDATE($D46,Milestones!$AA$96)&lt;=AsOfDate,EDATE($D46,Milestones!$AA$96)&gt;=SchemeStart,IF($X46=0,$AD46,IF(AND($Z46&lt;&gt;"",EDATE($D46,Milestones!$AA$96)&gt;=$Z46),$AC46,IF(AND($Y46&lt;&gt;"",EDATE($D46,Milestones!$AA$96)&gt;=$Y46),$AB46,$AA46)))=Milestones!$AB$96),UPPER(TEXT(EDATE($D46,Milestones!$AA$96),"dd mmm yy"))&amp;" "&amp;Milestones!$AB$96&amp;" "&amp;IF(AND(Milestones!$AB$96="FT",Milestones!$AA$96=FT_Y5,EDATE($D46,Milestones!$AA$96)&lt;PolicyEff),1,Milestones!$AC$96)&amp;";  ","")&amp;IF(AND(EDATE($D46,Milestones!$AA$97)&lt;=AsOfDate,EDATE($D46,Milestones!$AA$97)&gt;=SchemeStart,IF($X46=0,$AD46,IF(AND($Z46&lt;&gt;"",EDATE($D46,Milestones!$AA$97)&gt;=$Z46),$AC46,IF(AND($Y46&lt;&gt;"",EDATE($D46,Milestones!$AA$97)&gt;=$Y46),$AB46,$AA46)))=Milestones!$AB$97),UPPER(TEXT(EDATE($D46,Milestones!$AA$97),"dd mmm yy"))&amp;" "&amp;Milestones!$AB$97&amp;" "&amp;IF(AND(Milestones!$AB$97="FT",Milestones!$AA$97=FT_Y5,EDATE($D46,Milestones!$AA$97)&lt;PolicyEff),1,Milestones!$AC$97)&amp;";  ","")&amp;IF(AND(EDATE($D46,Milestones!$AA$98)&lt;=AsOfDate,EDATE($D46,Milestones!$AA$98)&gt;=SchemeStart,IF($X46=0,$AD46,IF(AND($Z46&lt;&gt;"",EDATE($D46,Milestones!$AA$98)&gt;=$Z46),$AC46,IF(AND($Y46&lt;&gt;"",EDATE($D46,Milestones!$AA$98)&gt;=$Y46),$AB46,$AA46)))=Milestones!$AB$98),UPPER(TEXT(EDATE($D46,Milestones!$AA$98),"dd mmm yy"))&amp;" "&amp;Milestones!$AB$98&amp;" "&amp;IF(AND(Milestones!$AB$98="FT",Milestones!$AA$98=FT_Y5,EDATE($D46,Milestones!$AA$98)&lt;PolicyEff),1,Milestones!$AC$98)&amp;";  ","")&amp;IF(AND(EDATE($D46,Milestones!$AA$99)&lt;=AsOfDate,EDATE($D46,Milestones!$AA$99)&gt;=SchemeStart,IF($X46=0,$AD46,IF(AND($Z46&lt;&gt;"",EDATE($D46,Milestones!$AA$99)&gt;=$Z46),$AC46,IF(AND($Y46&lt;&gt;"",EDATE($D46,Milestones!$AA$99)&gt;=$Y46),$AB46,$AA46)))=Milestones!$AB$99),UPPER(TEXT(EDATE($D46,Milestones!$AA$99),"dd mmm yy"))&amp;" "&amp;Milestones!$AB$99&amp;" "&amp;IF(AND(Milestones!$AB$99="FT",Milestones!$AA$99=FT_Y5,EDATE($D46,Milestones!$AA$99)&lt;PolicyEff),1,Milestones!$AC$99)&amp;";  ","")&amp;IF(AND(EDATE($D46,Milestones!$AA$100)&lt;=AsOfDate,EDATE($D46,Milestones!$AA$100)&gt;=SchemeStart,IF($X46=0,$AD46,IF(AND($Z46&lt;&gt;"",EDATE($D46,Milestones!$AA$100)&gt;=$Z46),$AC46,IF(AND($Y46&lt;&gt;"",EDATE($D46,Milestones!$AA$100)&gt;=$Y46),$AB46,$AA46)))=Milestones!$AB$100),UPPER(TEXT(EDATE($D46,Milestones!$AA$100),"dd mmm yy"))&amp;" "&amp;Milestones!$AB$100&amp;" "&amp;IF(AND(Milestones!$AB$100="FT",Milestones!$AA$100=FT_Y5,EDATE($D46,Milestones!$AA$100)&lt;PolicyEff),1,Milestones!$AC$100)&amp;";  ","")&amp;IF(AND(EDATE($D46,Milestones!$AA$101)&lt;=AsOfDate,EDATE($D46,Milestones!$AA$101)&gt;=SchemeStart,IF($X46=0,$AD46,IF(AND($Z46&lt;&gt;"",EDATE($D46,Milestones!$AA$101)&gt;=$Z46),$AC46,IF(AND($Y46&lt;&gt;"",EDATE($D46,Milestones!$AA$101)&gt;=$Y46),$AB46,$AA46)))=Milestones!$AB$101),UPPER(TEXT(EDATE($D46,Milestones!$AA$101),"dd mmm yy"))&amp;" "&amp;Milestones!$AB$101&amp;" "&amp;IF(AND(Milestones!$AB$101="FT",Milestones!$AA$101=FT_Y5,EDATE($D46,Milestones!$AA$101)&lt;PolicyEff),1,Milestones!$AC$101)&amp;";  ","")&amp;IF(AND(EDATE($D46,Milestones!$AA$102)&lt;=AsOfDate,EDATE($D46,Milestones!$AA$102)&gt;=SchemeStart,IF($X46=0,$AD46,IF(AND($Z46&lt;&gt;"",EDATE($D46,Milestones!$AA$102)&gt;=$Z46),$AC46,IF(AND($Y46&lt;&gt;"",EDATE($D46,Milestones!$AA$102)&gt;=$Y46),$AB46,$AA46)))=Milestones!$AB$102),UPPER(TEXT(EDATE($D46,Milestones!$AA$102),"dd mmm yy"))&amp;" "&amp;Milestones!$AB$102&amp;" "&amp;IF(AND(Milestones!$AB$102="FT",Milestones!$AA$102=FT_Y5,EDATE($D46,Milestones!$AA$102)&lt;PolicyEff),1,Milestones!$AC$102)&amp;";  ","")&amp;IF(AND(EDATE($D46,Milestones!$AA$103)&lt;=AsOfDate,EDATE($D46,Milestones!$AA$103)&gt;=SchemeStart,IF($X46=0,$AD46,IF(AND($Z46&lt;&gt;"",EDATE($D46,Milestones!$AA$103)&gt;=$Z46),$AC46,IF(AND($Y46&lt;&gt;"",EDATE($D46,Milestones!$AA$103)&gt;=$Y46),$AB46,$AA46)))=Milestones!$AB$103),UPPER(TEXT(EDATE($D46,Milestones!$AA$103),"dd mmm yy"))&amp;" "&amp;Milestones!$AB$103&amp;" "&amp;IF(AND(Milestones!$AB$103="FT",Milestones!$AA$103=FT_Y5,EDATE($D46,Milestones!$AA$103)&lt;PolicyEff),1,Milestones!$AC$103)&amp;";  ",""))</f>
        <v/>
      </c>
      <c r="P46" s="0" t="str">
        <f aca="false">IF(OR($A46="",$D46=""),"",IF(AND(EDATE($D46,Milestones!$AA$104)&lt;=AsOfDate,EDATE($D46,Milestones!$AA$104)&gt;=SchemeStart,IF($X46=0,$AD46,IF(AND($Z46&lt;&gt;"",EDATE($D46,Milestones!$AA$104)&gt;=$Z46),$AC46,IF(AND($Y46&lt;&gt;"",EDATE($D46,Milestones!$AA$104)&gt;=$Y46),$AB46,$AA46)))=Milestones!$AB$104),UPPER(TEXT(EDATE($D46,Milestones!$AA$104),"dd mmm yy"))&amp;" "&amp;Milestones!$AB$104&amp;" "&amp;IF(AND(Milestones!$AB$104="FT",Milestones!$AA$104=FT_Y5,EDATE($D46,Milestones!$AA$104)&lt;PolicyEff),1,Milestones!$AC$104)&amp;";  ","")&amp;IF(AND(EDATE($D46,Milestones!$AA$105)&lt;=AsOfDate,EDATE($D46,Milestones!$AA$105)&gt;=SchemeStart,IF($X46=0,$AD46,IF(AND($Z46&lt;&gt;"",EDATE($D46,Milestones!$AA$105)&gt;=$Z46),$AC46,IF(AND($Y46&lt;&gt;"",EDATE($D46,Milestones!$AA$105)&gt;=$Y46),$AB46,$AA46)))=Milestones!$AB$105),UPPER(TEXT(EDATE($D46,Milestones!$AA$105),"dd mmm yy"))&amp;" "&amp;Milestones!$AB$105&amp;" "&amp;IF(AND(Milestones!$AB$105="FT",Milestones!$AA$105=FT_Y5,EDATE($D46,Milestones!$AA$105)&lt;PolicyEff),1,Milestones!$AC$105)&amp;";  ","")&amp;IF(AND(EDATE($D46,Milestones!$AA$106)&lt;=AsOfDate,EDATE($D46,Milestones!$AA$106)&gt;=SchemeStart,IF($X46=0,$AD46,IF(AND($Z46&lt;&gt;"",EDATE($D46,Milestones!$AA$106)&gt;=$Z46),$AC46,IF(AND($Y46&lt;&gt;"",EDATE($D46,Milestones!$AA$106)&gt;=$Y46),$AB46,$AA46)))=Milestones!$AB$106),UPPER(TEXT(EDATE($D46,Milestones!$AA$106),"dd mmm yy"))&amp;" "&amp;Milestones!$AB$106&amp;" "&amp;IF(AND(Milestones!$AB$106="FT",Milestones!$AA$106=FT_Y5,EDATE($D46,Milestones!$AA$106)&lt;PolicyEff),1,Milestones!$AC$106)&amp;";  ","")&amp;IF(AND(EDATE($D46,Milestones!$AA$107)&lt;=AsOfDate,EDATE($D46,Milestones!$AA$107)&gt;=SchemeStart,IF($X46=0,$AD46,IF(AND($Z46&lt;&gt;"",EDATE($D46,Milestones!$AA$107)&gt;=$Z46),$AC46,IF(AND($Y46&lt;&gt;"",EDATE($D46,Milestones!$AA$107)&gt;=$Y46),$AB46,$AA46)))=Milestones!$AB$107),UPPER(TEXT(EDATE($D46,Milestones!$AA$107),"dd mmm yy"))&amp;" "&amp;Milestones!$AB$107&amp;" "&amp;IF(AND(Milestones!$AB$107="FT",Milestones!$AA$107=FT_Y5,EDATE($D46,Milestones!$AA$107)&lt;PolicyEff),1,Milestones!$AC$107)&amp;";  ","")&amp;IF(AND(EDATE($D46,Milestones!$AA$108)&lt;=AsOfDate,EDATE($D46,Milestones!$AA$108)&gt;=SchemeStart,IF($X46=0,$AD46,IF(AND($Z46&lt;&gt;"",EDATE($D46,Milestones!$AA$108)&gt;=$Z46),$AC46,IF(AND($Y46&lt;&gt;"",EDATE($D46,Milestones!$AA$108)&gt;=$Y46),$AB46,$AA46)))=Milestones!$AB$108),UPPER(TEXT(EDATE($D46,Milestones!$AA$108),"dd mmm yy"))&amp;" "&amp;Milestones!$AB$108&amp;" "&amp;IF(AND(Milestones!$AB$108="FT",Milestones!$AA$108=FT_Y5,EDATE($D46,Milestones!$AA$108)&lt;PolicyEff),1,Milestones!$AC$108)&amp;";  ","")&amp;IF(AND(EDATE($D46,Milestones!$AA$109)&lt;=AsOfDate,EDATE($D46,Milestones!$AA$109)&gt;=SchemeStart,IF($X46=0,$AD46,IF(AND($Z46&lt;&gt;"",EDATE($D46,Milestones!$AA$109)&gt;=$Z46),$AC46,IF(AND($Y46&lt;&gt;"",EDATE($D46,Milestones!$AA$109)&gt;=$Y46),$AB46,$AA46)))=Milestones!$AB$109),UPPER(TEXT(EDATE($D46,Milestones!$AA$109),"dd mmm yy"))&amp;" "&amp;Milestones!$AB$109&amp;" "&amp;IF(AND(Milestones!$AB$109="FT",Milestones!$AA$109=FT_Y5,EDATE($D46,Milestones!$AA$109)&lt;PolicyEff),1,Milestones!$AC$109)&amp;";  ","")&amp;IF(AND(EDATE($D46,Milestones!$AA$110)&lt;=AsOfDate,EDATE($D46,Milestones!$AA$110)&gt;=SchemeStart,IF($X46=0,$AD46,IF(AND($Z46&lt;&gt;"",EDATE($D46,Milestones!$AA$110)&gt;=$Z46),$AC46,IF(AND($Y46&lt;&gt;"",EDATE($D46,Milestones!$AA$110)&gt;=$Y46),$AB46,$AA46)))=Milestones!$AB$110),UPPER(TEXT(EDATE($D46,Milestones!$AA$110),"dd mmm yy"))&amp;" "&amp;Milestones!$AB$110&amp;" "&amp;IF(AND(Milestones!$AB$110="FT",Milestones!$AA$110=FT_Y5,EDATE($D46,Milestones!$AA$110)&lt;PolicyEff),1,Milestones!$AC$110)&amp;";  ","")&amp;IF(AND(EDATE($D46,Milestones!$AA$111)&lt;=AsOfDate,EDATE($D46,Milestones!$AA$111)&gt;=SchemeStart,IF($X46=0,$AD46,IF(AND($Z46&lt;&gt;"",EDATE($D46,Milestones!$AA$111)&gt;=$Z46),$AC46,IF(AND($Y46&lt;&gt;"",EDATE($D46,Milestones!$AA$111)&gt;=$Y46),$AB46,$AA46)))=Milestones!$AB$111),UPPER(TEXT(EDATE($D46,Milestones!$AA$111),"dd mmm yy"))&amp;" "&amp;Milestones!$AB$111&amp;" "&amp;IF(AND(Milestones!$AB$111="FT",Milestones!$AA$111=FT_Y5,EDATE($D46,Milestones!$AA$111)&lt;PolicyEff),1,Milestones!$AC$111)&amp;";  ","")&amp;IF(AND(EDATE($D46,Milestones!$AA$112)&lt;=AsOfDate,EDATE($D46,Milestones!$AA$112)&gt;=SchemeStart,IF($X46=0,$AD46,IF(AND($Z46&lt;&gt;"",EDATE($D46,Milestones!$AA$112)&gt;=$Z46),$AC46,IF(AND($Y46&lt;&gt;"",EDATE($D46,Milestones!$AA$112)&gt;=$Y46),$AB46,$AA46)))=Milestones!$AB$112),UPPER(TEXT(EDATE($D46,Milestones!$AA$112),"dd mmm yy"))&amp;" "&amp;Milestones!$AB$112&amp;" "&amp;IF(AND(Milestones!$AB$112="FT",Milestones!$AA$112=FT_Y5,EDATE($D46,Milestones!$AA$112)&lt;PolicyEff),1,Milestones!$AC$112)&amp;";  ","")&amp;IF(AND(EDATE($D46,Milestones!$AA$113)&lt;=AsOfDate,EDATE($D46,Milestones!$AA$113)&gt;=SchemeStart,IF($X46=0,$AD46,IF(AND($Z46&lt;&gt;"",EDATE($D46,Milestones!$AA$113)&gt;=$Z46),$AC46,IF(AND($Y46&lt;&gt;"",EDATE($D46,Milestones!$AA$113)&gt;=$Y46),$AB46,$AA46)))=Milestones!$AB$113),UPPER(TEXT(EDATE($D46,Milestones!$AA$113),"dd mmm yy"))&amp;" "&amp;Milestones!$AB$113&amp;" "&amp;IF(AND(Milestones!$AB$113="FT",Milestones!$AA$113=FT_Y5,EDATE($D46,Milestones!$AA$113)&lt;PolicyEff),1,Milestones!$AC$113)&amp;";  ","")&amp;IF(AND(EDATE($D46,Milestones!$AA$114)&lt;=AsOfDate,EDATE($D46,Milestones!$AA$114)&gt;=SchemeStart,IF($X46=0,$AD46,IF(AND($Z46&lt;&gt;"",EDATE($D46,Milestones!$AA$114)&gt;=$Z46),$AC46,IF(AND($Y46&lt;&gt;"",EDATE($D46,Milestones!$AA$114)&gt;=$Y46),$AB46,$AA46)))=Milestones!$AB$114),UPPER(TEXT(EDATE($D46,Milestones!$AA$114),"dd mmm yy"))&amp;" "&amp;Milestones!$AB$114&amp;" "&amp;IF(AND(Milestones!$AB$114="FT",Milestones!$AA$114=FT_Y5,EDATE($D46,Milestones!$AA$114)&lt;PolicyEff),1,Milestones!$AC$114)&amp;";  ","")&amp;IF(AND(EDATE($D46,Milestones!$AA$115)&lt;=AsOfDate,EDATE($D46,Milestones!$AA$115)&gt;=SchemeStart,IF($X46=0,$AD46,IF(AND($Z46&lt;&gt;"",EDATE($D46,Milestones!$AA$115)&gt;=$Z46),$AC46,IF(AND($Y46&lt;&gt;"",EDATE($D46,Milestones!$AA$115)&gt;=$Y46),$AB46,$AA46)))=Milestones!$AB$115),UPPER(TEXT(EDATE($D46,Milestones!$AA$115),"dd mmm yy"))&amp;" "&amp;Milestones!$AB$115&amp;" "&amp;IF(AND(Milestones!$AB$115="FT",Milestones!$AA$115=FT_Y5,EDATE($D46,Milestones!$AA$115)&lt;PolicyEff),1,Milestones!$AC$115)&amp;";  ",""))</f>
        <v/>
      </c>
      <c r="Q46" s="0" t="str">
        <f aca="false">IF(OR($A46="",$D46=""),"",IF(AND(EDATE($D46,Milestones!$AA$116)&lt;=AsOfDate,EDATE($D46,Milestones!$AA$116)&gt;=SchemeStart,IF($X46=0,$AD46,IF(AND($Z46&lt;&gt;"",EDATE($D46,Milestones!$AA$116)&gt;=$Z46),$AC46,IF(AND($Y46&lt;&gt;"",EDATE($D46,Milestones!$AA$116)&gt;=$Y46),$AB46,$AA46)))=Milestones!$AB$116),UPPER(TEXT(EDATE($D46,Milestones!$AA$116),"dd mmm yy"))&amp;" "&amp;Milestones!$AB$116&amp;" "&amp;IF(AND(Milestones!$AB$116="FT",Milestones!$AA$116=FT_Y5,EDATE($D46,Milestones!$AA$116)&lt;PolicyEff),1,Milestones!$AC$116)&amp;";  ","")&amp;IF(AND(EDATE($D46,Milestones!$AA$117)&lt;=AsOfDate,EDATE($D46,Milestones!$AA$117)&gt;=SchemeStart,IF($X46=0,$AD46,IF(AND($Z46&lt;&gt;"",EDATE($D46,Milestones!$AA$117)&gt;=$Z46),$AC46,IF(AND($Y46&lt;&gt;"",EDATE($D46,Milestones!$AA$117)&gt;=$Y46),$AB46,$AA46)))=Milestones!$AB$117),UPPER(TEXT(EDATE($D46,Milestones!$AA$117),"dd mmm yy"))&amp;" "&amp;Milestones!$AB$117&amp;" "&amp;IF(AND(Milestones!$AB$117="FT",Milestones!$AA$117=FT_Y5,EDATE($D46,Milestones!$AA$117)&lt;PolicyEff),1,Milestones!$AC$117)&amp;";  ","")&amp;IF(AND(EDATE($D46,Milestones!$AA$118)&lt;=AsOfDate,EDATE($D46,Milestones!$AA$118)&gt;=SchemeStart,IF($X46=0,$AD46,IF(AND($Z46&lt;&gt;"",EDATE($D46,Milestones!$AA$118)&gt;=$Z46),$AC46,IF(AND($Y46&lt;&gt;"",EDATE($D46,Milestones!$AA$118)&gt;=$Y46),$AB46,$AA46)))=Milestones!$AB$118),UPPER(TEXT(EDATE($D46,Milestones!$AA$118),"dd mmm yy"))&amp;" "&amp;Milestones!$AB$118&amp;" "&amp;IF(AND(Milestones!$AB$118="FT",Milestones!$AA$118=FT_Y5,EDATE($D46,Milestones!$AA$118)&lt;PolicyEff),1,Milestones!$AC$118)&amp;";  ","")&amp;IF(AND(EDATE($D46,Milestones!$AA$119)&lt;=AsOfDate,EDATE($D46,Milestones!$AA$119)&gt;=SchemeStart,IF($X46=0,$AD46,IF(AND($Z46&lt;&gt;"",EDATE($D46,Milestones!$AA$119)&gt;=$Z46),$AC46,IF(AND($Y46&lt;&gt;"",EDATE($D46,Milestones!$AA$119)&gt;=$Y46),$AB46,$AA46)))=Milestones!$AB$119),UPPER(TEXT(EDATE($D46,Milestones!$AA$119),"dd mmm yy"))&amp;" "&amp;Milestones!$AB$119&amp;" "&amp;IF(AND(Milestones!$AB$119="FT",Milestones!$AA$119=FT_Y5,EDATE($D46,Milestones!$AA$119)&lt;PolicyEff),1,Milestones!$AC$119)&amp;";  ","")&amp;IF(AND(EDATE($D46,Milestones!$AA$120)&lt;=AsOfDate,EDATE($D46,Milestones!$AA$120)&gt;=SchemeStart,IF($X46=0,$AD46,IF(AND($Z46&lt;&gt;"",EDATE($D46,Milestones!$AA$120)&gt;=$Z46),$AC46,IF(AND($Y46&lt;&gt;"",EDATE($D46,Milestones!$AA$120)&gt;=$Y46),$AB46,$AA46)))=Milestones!$AB$120),UPPER(TEXT(EDATE($D46,Milestones!$AA$120),"dd mmm yy"))&amp;" "&amp;Milestones!$AB$120&amp;" "&amp;IF(AND(Milestones!$AB$120="FT",Milestones!$AA$120=FT_Y5,EDATE($D46,Milestones!$AA$120)&lt;PolicyEff),1,Milestones!$AC$120)&amp;";  ","")&amp;IF(AND(EDATE($D46,Milestones!$AA$121)&lt;=AsOfDate,EDATE($D46,Milestones!$AA$121)&gt;=SchemeStart,IF($X46=0,$AD46,IF(AND($Z46&lt;&gt;"",EDATE($D46,Milestones!$AA$121)&gt;=$Z46),$AC46,IF(AND($Y46&lt;&gt;"",EDATE($D46,Milestones!$AA$121)&gt;=$Y46),$AB46,$AA46)))=Milestones!$AB$121),UPPER(TEXT(EDATE($D46,Milestones!$AA$121),"dd mmm yy"))&amp;" "&amp;Milestones!$AB$121&amp;" "&amp;IF(AND(Milestones!$AB$121="FT",Milestones!$AA$121=FT_Y5,EDATE($D46,Milestones!$AA$121)&lt;PolicyEff),1,Milestones!$AC$121)&amp;";  ","")&amp;IF(AND(EDATE($D46,Milestones!$AA$122)&lt;=AsOfDate,EDATE($D46,Milestones!$AA$122)&gt;=SchemeStart,IF($X46=0,$AD46,IF(AND($Z46&lt;&gt;"",EDATE($D46,Milestones!$AA$122)&gt;=$Z46),$AC46,IF(AND($Y46&lt;&gt;"",EDATE($D46,Milestones!$AA$122)&gt;=$Y46),$AB46,$AA46)))=Milestones!$AB$122),UPPER(TEXT(EDATE($D46,Milestones!$AA$122),"dd mmm yy"))&amp;" "&amp;Milestones!$AB$122&amp;" "&amp;IF(AND(Milestones!$AB$122="FT",Milestones!$AA$122=FT_Y5,EDATE($D46,Milestones!$AA$122)&lt;PolicyEff),1,Milestones!$AC$122)&amp;";  ","")&amp;IF(AND(EDATE($D46,Milestones!$AA$123)&lt;=AsOfDate,EDATE($D46,Milestones!$AA$123)&gt;=SchemeStart,IF($X46=0,$AD46,IF(AND($Z46&lt;&gt;"",EDATE($D46,Milestones!$AA$123)&gt;=$Z46),$AC46,IF(AND($Y46&lt;&gt;"",EDATE($D46,Milestones!$AA$123)&gt;=$Y46),$AB46,$AA46)))=Milestones!$AB$123),UPPER(TEXT(EDATE($D46,Milestones!$AA$123),"dd mmm yy"))&amp;" "&amp;Milestones!$AB$123&amp;" "&amp;IF(AND(Milestones!$AB$123="FT",Milestones!$AA$123=FT_Y5,EDATE($D46,Milestones!$AA$123)&lt;PolicyEff),1,Milestones!$AC$123)&amp;";  ","")&amp;IF(AND(EDATE($D46,Milestones!$AA$124)&lt;=AsOfDate,EDATE($D46,Milestones!$AA$124)&gt;=SchemeStart,IF($X46=0,$AD46,IF(AND($Z46&lt;&gt;"",EDATE($D46,Milestones!$AA$124)&gt;=$Z46),$AC46,IF(AND($Y46&lt;&gt;"",EDATE($D46,Milestones!$AA$124)&gt;=$Y46),$AB46,$AA46)))=Milestones!$AB$124),UPPER(TEXT(EDATE($D46,Milestones!$AA$124),"dd mmm yy"))&amp;" "&amp;Milestones!$AB$124&amp;" "&amp;IF(AND(Milestones!$AB$124="FT",Milestones!$AA$124=FT_Y5,EDATE($D46,Milestones!$AA$124)&lt;PolicyEff),1,Milestones!$AC$124)&amp;";  ","")&amp;IF(AND(EDATE($D46,Milestones!$AA$125)&lt;=AsOfDate,EDATE($D46,Milestones!$AA$125)&gt;=SchemeStart,IF($X46=0,$AD46,IF(AND($Z46&lt;&gt;"",EDATE($D46,Milestones!$AA$125)&gt;=$Z46),$AC46,IF(AND($Y46&lt;&gt;"",EDATE($D46,Milestones!$AA$125)&gt;=$Y46),$AB46,$AA46)))=Milestones!$AB$125),UPPER(TEXT(EDATE($D46,Milestones!$AA$125),"dd mmm yy"))&amp;" "&amp;Milestones!$AB$125&amp;" "&amp;IF(AND(Milestones!$AB$125="FT",Milestones!$AA$125=FT_Y5,EDATE($D46,Milestones!$AA$125)&lt;PolicyEff),1,Milestones!$AC$125)&amp;";  ","")&amp;IF(AND(EDATE($D46,Milestones!$AA$126)&lt;=AsOfDate,EDATE($D46,Milestones!$AA$126)&gt;=SchemeStart,IF($X46=0,$AD46,IF(AND($Z46&lt;&gt;"",EDATE($D46,Milestones!$AA$126)&gt;=$Z46),$AC46,IF(AND($Y46&lt;&gt;"",EDATE($D46,Milestones!$AA$126)&gt;=$Y46),$AB46,$AA46)))=Milestones!$AB$126),UPPER(TEXT(EDATE($D46,Milestones!$AA$126),"dd mmm yy"))&amp;" "&amp;Milestones!$AB$126&amp;" "&amp;IF(AND(Milestones!$AB$126="FT",Milestones!$AA$126=FT_Y5,EDATE($D46,Milestones!$AA$126)&lt;PolicyEff),1,Milestones!$AC$126)&amp;";  ","")&amp;IF(AND(EDATE($D46,Milestones!$AA$127)&lt;=AsOfDate,EDATE($D46,Milestones!$AA$127)&gt;=SchemeStart,IF($X46=0,$AD46,IF(AND($Z46&lt;&gt;"",EDATE($D46,Milestones!$AA$127)&gt;=$Z46),$AC46,IF(AND($Y46&lt;&gt;"",EDATE($D46,Milestones!$AA$127)&gt;=$Y46),$AB46,$AA46)))=Milestones!$AB$127),UPPER(TEXT(EDATE($D46,Milestones!$AA$127),"dd mmm yy"))&amp;" "&amp;Milestones!$AB$127&amp;" "&amp;IF(AND(Milestones!$AB$127="FT",Milestones!$AA$127=FT_Y5,EDATE($D46,Milestones!$AA$127)&lt;PolicyEff),1,Milestones!$AC$127)&amp;";  ",""))</f>
        <v/>
      </c>
      <c r="R46" s="0" t="str">
        <f aca="false">IF(OR($A46="",$D46=""),"",IF(AND(EDATE($D46,Milestones!$AA$128)&lt;=AsOfDate,EDATE($D46,Milestones!$AA$128)&gt;=SchemeStart,IF($X46=0,$AD46,IF(AND($Z46&lt;&gt;"",EDATE($D46,Milestones!$AA$128)&gt;=$Z46),$AC46,IF(AND($Y46&lt;&gt;"",EDATE($D46,Milestones!$AA$128)&gt;=$Y46),$AB46,$AA46)))=Milestones!$AB$128),UPPER(TEXT(EDATE($D46,Milestones!$AA$128),"dd mmm yy"))&amp;" "&amp;Milestones!$AB$128&amp;" "&amp;IF(AND(Milestones!$AB$128="FT",Milestones!$AA$128=FT_Y5,EDATE($D46,Milestones!$AA$128)&lt;PolicyEff),1,Milestones!$AC$128)&amp;";  ","")&amp;IF(AND(EDATE($D46,Milestones!$AA$129)&lt;=AsOfDate,EDATE($D46,Milestones!$AA$129)&gt;=SchemeStart,IF($X46=0,$AD46,IF(AND($Z46&lt;&gt;"",EDATE($D46,Milestones!$AA$129)&gt;=$Z46),$AC46,IF(AND($Y46&lt;&gt;"",EDATE($D46,Milestones!$AA$129)&gt;=$Y46),$AB46,$AA46)))=Milestones!$AB$129),UPPER(TEXT(EDATE($D46,Milestones!$AA$129),"dd mmm yy"))&amp;" "&amp;Milestones!$AB$129&amp;" "&amp;IF(AND(Milestones!$AB$129="FT",Milestones!$AA$129=FT_Y5,EDATE($D46,Milestones!$AA$129)&lt;PolicyEff),1,Milestones!$AC$129)&amp;";  ","")&amp;IF(AND(EDATE($D46,Milestones!$AA$130)&lt;=AsOfDate,EDATE($D46,Milestones!$AA$130)&gt;=SchemeStart,IF($X46=0,$AD46,IF(AND($Z46&lt;&gt;"",EDATE($D46,Milestones!$AA$130)&gt;=$Z46),$AC46,IF(AND($Y46&lt;&gt;"",EDATE($D46,Milestones!$AA$130)&gt;=$Y46),$AB46,$AA46)))=Milestones!$AB$130),UPPER(TEXT(EDATE($D46,Milestones!$AA$130),"dd mmm yy"))&amp;" "&amp;Milestones!$AB$130&amp;" "&amp;IF(AND(Milestones!$AB$130="FT",Milestones!$AA$130=FT_Y5,EDATE($D46,Milestones!$AA$130)&lt;PolicyEff),1,Milestones!$AC$130)&amp;";  ","")&amp;IF(AND(EDATE($D46,Milestones!$AA$131)&lt;=AsOfDate,EDATE($D46,Milestones!$AA$131)&gt;=SchemeStart,IF($X46=0,$AD46,IF(AND($Z46&lt;&gt;"",EDATE($D46,Milestones!$AA$131)&gt;=$Z46),$AC46,IF(AND($Y46&lt;&gt;"",EDATE($D46,Milestones!$AA$131)&gt;=$Y46),$AB46,$AA46)))=Milestones!$AB$131),UPPER(TEXT(EDATE($D46,Milestones!$AA$131),"dd mmm yy"))&amp;" "&amp;Milestones!$AB$131&amp;" "&amp;IF(AND(Milestones!$AB$131="FT",Milestones!$AA$131=FT_Y5,EDATE($D46,Milestones!$AA$131)&lt;PolicyEff),1,Milestones!$AC$131)&amp;";  ","")&amp;IF(AND(EDATE($D46,Milestones!$AA$132)&lt;=AsOfDate,EDATE($D46,Milestones!$AA$132)&gt;=SchemeStart,IF($X46=0,$AD46,IF(AND($Z46&lt;&gt;"",EDATE($D46,Milestones!$AA$132)&gt;=$Z46),$AC46,IF(AND($Y46&lt;&gt;"",EDATE($D46,Milestones!$AA$132)&gt;=$Y46),$AB46,$AA46)))=Milestones!$AB$132),UPPER(TEXT(EDATE($D46,Milestones!$AA$132),"dd mmm yy"))&amp;" "&amp;Milestones!$AB$132&amp;" "&amp;IF(AND(Milestones!$AB$132="FT",Milestones!$AA$132=FT_Y5,EDATE($D46,Milestones!$AA$132)&lt;PolicyEff),1,Milestones!$AC$132)&amp;";  ","")&amp;IF(AND(EDATE($D46,Milestones!$AA$133)&lt;=AsOfDate,EDATE($D46,Milestones!$AA$133)&gt;=SchemeStart,IF($X46=0,$AD46,IF(AND($Z46&lt;&gt;"",EDATE($D46,Milestones!$AA$133)&gt;=$Z46),$AC46,IF(AND($Y46&lt;&gt;"",EDATE($D46,Milestones!$AA$133)&gt;=$Y46),$AB46,$AA46)))=Milestones!$AB$133),UPPER(TEXT(EDATE($D46,Milestones!$AA$133),"dd mmm yy"))&amp;" "&amp;Milestones!$AB$133&amp;" "&amp;IF(AND(Milestones!$AB$133="FT",Milestones!$AA$133=FT_Y5,EDATE($D46,Milestones!$AA$133)&lt;PolicyEff),1,Milestones!$AC$133)&amp;";  ","")&amp;IF(AND(EDATE($D46,Milestones!$AA$134)&lt;=AsOfDate,EDATE($D46,Milestones!$AA$134)&gt;=SchemeStart,IF($X46=0,$AD46,IF(AND($Z46&lt;&gt;"",EDATE($D46,Milestones!$AA$134)&gt;=$Z46),$AC46,IF(AND($Y46&lt;&gt;"",EDATE($D46,Milestones!$AA$134)&gt;=$Y46),$AB46,$AA46)))=Milestones!$AB$134),UPPER(TEXT(EDATE($D46,Milestones!$AA$134),"dd mmm yy"))&amp;" "&amp;Milestones!$AB$134&amp;" "&amp;IF(AND(Milestones!$AB$134="FT",Milestones!$AA$134=FT_Y5,EDATE($D46,Milestones!$AA$134)&lt;PolicyEff),1,Milestones!$AC$134)&amp;";  ","")&amp;IF(AND(EDATE($D46,Milestones!$AA$135)&lt;=AsOfDate,EDATE($D46,Milestones!$AA$135)&gt;=SchemeStart,IF($X46=0,$AD46,IF(AND($Z46&lt;&gt;"",EDATE($D46,Milestones!$AA$135)&gt;=$Z46),$AC46,IF(AND($Y46&lt;&gt;"",EDATE($D46,Milestones!$AA$135)&gt;=$Y46),$AB46,$AA46)))=Milestones!$AB$135),UPPER(TEXT(EDATE($D46,Milestones!$AA$135),"dd mmm yy"))&amp;" "&amp;Milestones!$AB$135&amp;" "&amp;IF(AND(Milestones!$AB$135="FT",Milestones!$AA$135=FT_Y5,EDATE($D46,Milestones!$AA$135)&lt;PolicyEff),1,Milestones!$AC$135)&amp;";  ","")&amp;IF(AND(EDATE($D46,Milestones!$AA$136)&lt;=AsOfDate,EDATE($D46,Milestones!$AA$136)&gt;=SchemeStart,IF($X46=0,$AD46,IF(AND($Z46&lt;&gt;"",EDATE($D46,Milestones!$AA$136)&gt;=$Z46),$AC46,IF(AND($Y46&lt;&gt;"",EDATE($D46,Milestones!$AA$136)&gt;=$Y46),$AB46,$AA46)))=Milestones!$AB$136),UPPER(TEXT(EDATE($D46,Milestones!$AA$136),"dd mmm yy"))&amp;" "&amp;Milestones!$AB$136&amp;" "&amp;IF(AND(Milestones!$AB$136="FT",Milestones!$AA$136=FT_Y5,EDATE($D46,Milestones!$AA$136)&lt;PolicyEff),1,Milestones!$AC$136)&amp;";  ","")&amp;IF(AND(EDATE($D46,Milestones!$AA$137)&lt;=AsOfDate,EDATE($D46,Milestones!$AA$137)&gt;=SchemeStart,IF($X46=0,$AD46,IF(AND($Z46&lt;&gt;"",EDATE($D46,Milestones!$AA$137)&gt;=$Z46),$AC46,IF(AND($Y46&lt;&gt;"",EDATE($D46,Milestones!$AA$137)&gt;=$Y46),$AB46,$AA46)))=Milestones!$AB$137),UPPER(TEXT(EDATE($D46,Milestones!$AA$137),"dd mmm yy"))&amp;" "&amp;Milestones!$AB$137&amp;" "&amp;IF(AND(Milestones!$AB$137="FT",Milestones!$AA$137=FT_Y5,EDATE($D46,Milestones!$AA$137)&lt;PolicyEff),1,Milestones!$AC$137)&amp;";  ","")&amp;IF(AND(EDATE($D46,Milestones!$AA$138)&lt;=AsOfDate,EDATE($D46,Milestones!$AA$138)&gt;=SchemeStart,IF($X46=0,$AD46,IF(AND($Z46&lt;&gt;"",EDATE($D46,Milestones!$AA$138)&gt;=$Z46),$AC46,IF(AND($Y46&lt;&gt;"",EDATE($D46,Milestones!$AA$138)&gt;=$Y46),$AB46,$AA46)))=Milestones!$AB$138),UPPER(TEXT(EDATE($D46,Milestones!$AA$138),"dd mmm yy"))&amp;" "&amp;Milestones!$AB$138&amp;" "&amp;IF(AND(Milestones!$AB$138="FT",Milestones!$AA$138=FT_Y5,EDATE($D46,Milestones!$AA$138)&lt;PolicyEff),1,Milestones!$AC$138)&amp;";  ","")&amp;IF(AND(EDATE($D46,Milestones!$AA$139)&lt;=AsOfDate,EDATE($D46,Milestones!$AA$139)&gt;=SchemeStart,IF($X46=0,$AD46,IF(AND($Z46&lt;&gt;"",EDATE($D46,Milestones!$AA$139)&gt;=$Z46),$AC46,IF(AND($Y46&lt;&gt;"",EDATE($D46,Milestones!$AA$139)&gt;=$Y46),$AB46,$AA46)))=Milestones!$AB$139),UPPER(TEXT(EDATE($D46,Milestones!$AA$139),"dd mmm yy"))&amp;" "&amp;Milestones!$AB$139&amp;" "&amp;IF(AND(Milestones!$AB$139="FT",Milestones!$AA$139=FT_Y5,EDATE($D46,Milestones!$AA$139)&lt;PolicyEff),1,Milestones!$AC$139)&amp;";  ",""))</f>
        <v/>
      </c>
      <c r="S46" s="0" t="str">
        <f aca="false">IF(OR($A46="",$D46=""),"",IF(AND(EDATE($D46,Milestones!$AA$140)&lt;=AsOfDate,EDATE($D46,Milestones!$AA$140)&gt;=SchemeStart,IF($X46=0,$AD46,IF(AND($Z46&lt;&gt;"",EDATE($D46,Milestones!$AA$140)&gt;=$Z46),$AC46,IF(AND($Y46&lt;&gt;"",EDATE($D46,Milestones!$AA$140)&gt;=$Y46),$AB46,$AA46)))=Milestones!$AB$140),UPPER(TEXT(EDATE($D46,Milestones!$AA$140),"dd mmm yy"))&amp;" "&amp;Milestones!$AB$140&amp;" "&amp;IF(AND(Milestones!$AB$140="FT",Milestones!$AA$140=FT_Y5,EDATE($D46,Milestones!$AA$140)&lt;PolicyEff),1,Milestones!$AC$140)&amp;";  ","")&amp;IF(AND(EDATE($D46,Milestones!$AA$141)&lt;=AsOfDate,EDATE($D46,Milestones!$AA$141)&gt;=SchemeStart,IF($X46=0,$AD46,IF(AND($Z46&lt;&gt;"",EDATE($D46,Milestones!$AA$141)&gt;=$Z46),$AC46,IF(AND($Y46&lt;&gt;"",EDATE($D46,Milestones!$AA$141)&gt;=$Y46),$AB46,$AA46)))=Milestones!$AB$141),UPPER(TEXT(EDATE($D46,Milestones!$AA$141),"dd mmm yy"))&amp;" "&amp;Milestones!$AB$141&amp;" "&amp;IF(AND(Milestones!$AB$141="FT",Milestones!$AA$141=FT_Y5,EDATE($D46,Milestones!$AA$141)&lt;PolicyEff),1,Milestones!$AC$141)&amp;";  ","")&amp;IF(AND(EDATE($D46,Milestones!$AA$142)&lt;=AsOfDate,EDATE($D46,Milestones!$AA$142)&gt;=SchemeStart,IF($X46=0,$AD46,IF(AND($Z46&lt;&gt;"",EDATE($D46,Milestones!$AA$142)&gt;=$Z46),$AC46,IF(AND($Y46&lt;&gt;"",EDATE($D46,Milestones!$AA$142)&gt;=$Y46),$AB46,$AA46)))=Milestones!$AB$142),UPPER(TEXT(EDATE($D46,Milestones!$AA$142),"dd mmm yy"))&amp;" "&amp;Milestones!$AB$142&amp;" "&amp;IF(AND(Milestones!$AB$142="FT",Milestones!$AA$142=FT_Y5,EDATE($D46,Milestones!$AA$142)&lt;PolicyEff),1,Milestones!$AC$142)&amp;";  ","")&amp;IF(AND(EDATE($D46,Milestones!$AA$143)&lt;=AsOfDate,EDATE($D46,Milestones!$AA$143)&gt;=SchemeStart,IF($X46=0,$AD46,IF(AND($Z46&lt;&gt;"",EDATE($D46,Milestones!$AA$143)&gt;=$Z46),$AC46,IF(AND($Y46&lt;&gt;"",EDATE($D46,Milestones!$AA$143)&gt;=$Y46),$AB46,$AA46)))=Milestones!$AB$143),UPPER(TEXT(EDATE($D46,Milestones!$AA$143),"dd mmm yy"))&amp;" "&amp;Milestones!$AB$143&amp;" "&amp;IF(AND(Milestones!$AB$143="FT",Milestones!$AA$143=FT_Y5,EDATE($D46,Milestones!$AA$143)&lt;PolicyEff),1,Milestones!$AC$143)&amp;";  ","")&amp;IF(AND(EDATE($D46,Milestones!$AA$144)&lt;=AsOfDate,EDATE($D46,Milestones!$AA$144)&gt;=SchemeStart,IF($X46=0,$AD46,IF(AND($Z46&lt;&gt;"",EDATE($D46,Milestones!$AA$144)&gt;=$Z46),$AC46,IF(AND($Y46&lt;&gt;"",EDATE($D46,Milestones!$AA$144)&gt;=$Y46),$AB46,$AA46)))=Milestones!$AB$144),UPPER(TEXT(EDATE($D46,Milestones!$AA$144),"dd mmm yy"))&amp;" "&amp;Milestones!$AB$144&amp;" "&amp;IF(AND(Milestones!$AB$144="FT",Milestones!$AA$144=FT_Y5,EDATE($D46,Milestones!$AA$144)&lt;PolicyEff),1,Milestones!$AC$144)&amp;";  ","")&amp;IF(AND(EDATE($D46,Milestones!$AA$145)&lt;=AsOfDate,EDATE($D46,Milestones!$AA$145)&gt;=SchemeStart,IF($X46=0,$AD46,IF(AND($Z46&lt;&gt;"",EDATE($D46,Milestones!$AA$145)&gt;=$Z46),$AC46,IF(AND($Y46&lt;&gt;"",EDATE($D46,Milestones!$AA$145)&gt;=$Y46),$AB46,$AA46)))=Milestones!$AB$145),UPPER(TEXT(EDATE($D46,Milestones!$AA$145),"dd mmm yy"))&amp;" "&amp;Milestones!$AB$145&amp;" "&amp;IF(AND(Milestones!$AB$145="FT",Milestones!$AA$145=FT_Y5,EDATE($D46,Milestones!$AA$145)&lt;PolicyEff),1,Milestones!$AC$145)&amp;";  ","")&amp;IF(AND(EDATE($D46,Milestones!$AA$146)&lt;=AsOfDate,EDATE($D46,Milestones!$AA$146)&gt;=SchemeStart,IF($X46=0,$AD46,IF(AND($Z46&lt;&gt;"",EDATE($D46,Milestones!$AA$146)&gt;=$Z46),$AC46,IF(AND($Y46&lt;&gt;"",EDATE($D46,Milestones!$AA$146)&gt;=$Y46),$AB46,$AA46)))=Milestones!$AB$146),UPPER(TEXT(EDATE($D46,Milestones!$AA$146),"dd mmm yy"))&amp;" "&amp;Milestones!$AB$146&amp;" "&amp;IF(AND(Milestones!$AB$146="FT",Milestones!$AA$146=FT_Y5,EDATE($D46,Milestones!$AA$146)&lt;PolicyEff),1,Milestones!$AC$146)&amp;";  ","")&amp;IF(AND(EDATE($D46,Milestones!$AA$147)&lt;=AsOfDate,EDATE($D46,Milestones!$AA$147)&gt;=SchemeStart,IF($X46=0,$AD46,IF(AND($Z46&lt;&gt;"",EDATE($D46,Milestones!$AA$147)&gt;=$Z46),$AC46,IF(AND($Y46&lt;&gt;"",EDATE($D46,Milestones!$AA$147)&gt;=$Y46),$AB46,$AA46)))=Milestones!$AB$147),UPPER(TEXT(EDATE($D46,Milestones!$AA$147),"dd mmm yy"))&amp;" "&amp;Milestones!$AB$147&amp;" "&amp;IF(AND(Milestones!$AB$147="FT",Milestones!$AA$147=FT_Y5,EDATE($D46,Milestones!$AA$147)&lt;PolicyEff),1,Milestones!$AC$147)&amp;";  ","")&amp;IF(AND(EDATE($D46,Milestones!$AA$148)&lt;=AsOfDate,EDATE($D46,Milestones!$AA$148)&gt;=SchemeStart,IF($X46=0,$AD46,IF(AND($Z46&lt;&gt;"",EDATE($D46,Milestones!$AA$148)&gt;=$Z46),$AC46,IF(AND($Y46&lt;&gt;"",EDATE($D46,Milestones!$AA$148)&gt;=$Y46),$AB46,$AA46)))=Milestones!$AB$148),UPPER(TEXT(EDATE($D46,Milestones!$AA$148),"dd mmm yy"))&amp;" "&amp;Milestones!$AB$148&amp;" "&amp;IF(AND(Milestones!$AB$148="FT",Milestones!$AA$148=FT_Y5,EDATE($D46,Milestones!$AA$148)&lt;PolicyEff),1,Milestones!$AC$148)&amp;";  ","")&amp;IF(AND(EDATE($D46,Milestones!$AA$149)&lt;=AsOfDate,EDATE($D46,Milestones!$AA$149)&gt;=SchemeStart,IF($X46=0,$AD46,IF(AND($Z46&lt;&gt;"",EDATE($D46,Milestones!$AA$149)&gt;=$Z46),$AC46,IF(AND($Y46&lt;&gt;"",EDATE($D46,Milestones!$AA$149)&gt;=$Y46),$AB46,$AA46)))=Milestones!$AB$149),UPPER(TEXT(EDATE($D46,Milestones!$AA$149),"dd mmm yy"))&amp;" "&amp;Milestones!$AB$149&amp;" "&amp;IF(AND(Milestones!$AB$149="FT",Milestones!$AA$149=FT_Y5,EDATE($D46,Milestones!$AA$149)&lt;PolicyEff),1,Milestones!$AC$149)&amp;";  ","")&amp;IF(AND(EDATE($D46,Milestones!$AA$150)&lt;=AsOfDate,EDATE($D46,Milestones!$AA$150)&gt;=SchemeStart,IF($X46=0,$AD46,IF(AND($Z46&lt;&gt;"",EDATE($D46,Milestones!$AA$150)&gt;=$Z46),$AC46,IF(AND($Y46&lt;&gt;"",EDATE($D46,Milestones!$AA$150)&gt;=$Y46),$AB46,$AA46)))=Milestones!$AB$150),UPPER(TEXT(EDATE($D46,Milestones!$AA$150),"dd mmm yy"))&amp;" "&amp;Milestones!$AB$150&amp;" "&amp;IF(AND(Milestones!$AB$150="FT",Milestones!$AA$150=FT_Y5,EDATE($D46,Milestones!$AA$150)&lt;PolicyEff),1,Milestones!$AC$150)&amp;";  ","")&amp;IF(AND(EDATE($D46,Milestones!$AA$151)&lt;=AsOfDate,EDATE($D46,Milestones!$AA$151)&gt;=SchemeStart,IF($X46=0,$AD46,IF(AND($Z46&lt;&gt;"",EDATE($D46,Milestones!$AA$151)&gt;=$Z46),$AC46,IF(AND($Y46&lt;&gt;"",EDATE($D46,Milestones!$AA$151)&gt;=$Y46),$AB46,$AA46)))=Milestones!$AB$151),UPPER(TEXT(EDATE($D46,Milestones!$AA$151),"dd mmm yy"))&amp;" "&amp;Milestones!$AB$151&amp;" "&amp;IF(AND(Milestones!$AB$151="FT",Milestones!$AA$151=FT_Y5,EDATE($D46,Milestones!$AA$151)&lt;PolicyEff),1,Milestones!$AC$151)&amp;";  ",""))</f>
        <v/>
      </c>
      <c r="T46" s="0" t="str">
        <f aca="false">IF(OR($A46="",$D46=""),"",IF(AND(EDATE($D46,Milestones!$AA$152)&lt;=AsOfDate,EDATE($D46,Milestones!$AA$152)&gt;=SchemeStart,IF($X46=0,$AD46,IF(AND($Z46&lt;&gt;"",EDATE($D46,Milestones!$AA$152)&gt;=$Z46),$AC46,IF(AND($Y46&lt;&gt;"",EDATE($D46,Milestones!$AA$152)&gt;=$Y46),$AB46,$AA46)))=Milestones!$AB$152),UPPER(TEXT(EDATE($D46,Milestones!$AA$152),"dd mmm yy"))&amp;" "&amp;Milestones!$AB$152&amp;" "&amp;IF(AND(Milestones!$AB$152="FT",Milestones!$AA$152=FT_Y5,EDATE($D46,Milestones!$AA$152)&lt;PolicyEff),1,Milestones!$AC$152)&amp;";  ","")&amp;IF(AND(EDATE($D46,Milestones!$AA$153)&lt;=AsOfDate,EDATE($D46,Milestones!$AA$153)&gt;=SchemeStart,IF($X46=0,$AD46,IF(AND($Z46&lt;&gt;"",EDATE($D46,Milestones!$AA$153)&gt;=$Z46),$AC46,IF(AND($Y46&lt;&gt;"",EDATE($D46,Milestones!$AA$153)&gt;=$Y46),$AB46,$AA46)))=Milestones!$AB$153),UPPER(TEXT(EDATE($D46,Milestones!$AA$153),"dd mmm yy"))&amp;" "&amp;Milestones!$AB$153&amp;" "&amp;IF(AND(Milestones!$AB$153="FT",Milestones!$AA$153=FT_Y5,EDATE($D46,Milestones!$AA$153)&lt;PolicyEff),1,Milestones!$AC$153)&amp;";  ","")&amp;IF(AND(EDATE($D46,Milestones!$AA$154)&lt;=AsOfDate,EDATE($D46,Milestones!$AA$154)&gt;=SchemeStart,IF($X46=0,$AD46,IF(AND($Z46&lt;&gt;"",EDATE($D46,Milestones!$AA$154)&gt;=$Z46),$AC46,IF(AND($Y46&lt;&gt;"",EDATE($D46,Milestones!$AA$154)&gt;=$Y46),$AB46,$AA46)))=Milestones!$AB$154),UPPER(TEXT(EDATE($D46,Milestones!$AA$154),"dd mmm yy"))&amp;" "&amp;Milestones!$AB$154&amp;" "&amp;IF(AND(Milestones!$AB$154="FT",Milestones!$AA$154=FT_Y5,EDATE($D46,Milestones!$AA$154)&lt;PolicyEff),1,Milestones!$AC$154)&amp;";  ","")&amp;IF(AND(EDATE($D46,Milestones!$AA$155)&lt;=AsOfDate,EDATE($D46,Milestones!$AA$155)&gt;=SchemeStart,IF($X46=0,$AD46,IF(AND($Z46&lt;&gt;"",EDATE($D46,Milestones!$AA$155)&gt;=$Z46),$AC46,IF(AND($Y46&lt;&gt;"",EDATE($D46,Milestones!$AA$155)&gt;=$Y46),$AB46,$AA46)))=Milestones!$AB$155),UPPER(TEXT(EDATE($D46,Milestones!$AA$155),"dd mmm yy"))&amp;" "&amp;Milestones!$AB$155&amp;" "&amp;IF(AND(Milestones!$AB$155="FT",Milestones!$AA$155=FT_Y5,EDATE($D46,Milestones!$AA$155)&lt;PolicyEff),1,Milestones!$AC$155)&amp;";  ","")&amp;IF(AND(EDATE($D46,Milestones!$AA$156)&lt;=AsOfDate,EDATE($D46,Milestones!$AA$156)&gt;=SchemeStart,IF($X46=0,$AD46,IF(AND($Z46&lt;&gt;"",EDATE($D46,Milestones!$AA$156)&gt;=$Z46),$AC46,IF(AND($Y46&lt;&gt;"",EDATE($D46,Milestones!$AA$156)&gt;=$Y46),$AB46,$AA46)))=Milestones!$AB$156),UPPER(TEXT(EDATE($D46,Milestones!$AA$156),"dd mmm yy"))&amp;" "&amp;Milestones!$AB$156&amp;" "&amp;IF(AND(Milestones!$AB$156="FT",Milestones!$AA$156=FT_Y5,EDATE($D46,Milestones!$AA$156)&lt;PolicyEff),1,Milestones!$AC$156)&amp;";  ","")&amp;IF(AND(EDATE($D46,Milestones!$AA$157)&lt;=AsOfDate,EDATE($D46,Milestones!$AA$157)&gt;=SchemeStart,IF($X46=0,$AD46,IF(AND($Z46&lt;&gt;"",EDATE($D46,Milestones!$AA$157)&gt;=$Z46),$AC46,IF(AND($Y46&lt;&gt;"",EDATE($D46,Milestones!$AA$157)&gt;=$Y46),$AB46,$AA46)))=Milestones!$AB$157),UPPER(TEXT(EDATE($D46,Milestones!$AA$157),"dd mmm yy"))&amp;" "&amp;Milestones!$AB$157&amp;" "&amp;IF(AND(Milestones!$AB$157="FT",Milestones!$AA$157=FT_Y5,EDATE($D46,Milestones!$AA$157)&lt;PolicyEff),1,Milestones!$AC$157)&amp;";  ","")&amp;IF(AND(EDATE($D46,Milestones!$AA$158)&lt;=AsOfDate,EDATE($D46,Milestones!$AA$158)&gt;=SchemeStart,IF($X46=0,$AD46,IF(AND($Z46&lt;&gt;"",EDATE($D46,Milestones!$AA$158)&gt;=$Z46),$AC46,IF(AND($Y46&lt;&gt;"",EDATE($D46,Milestones!$AA$158)&gt;=$Y46),$AB46,$AA46)))=Milestones!$AB$158),UPPER(TEXT(EDATE($D46,Milestones!$AA$158),"dd mmm yy"))&amp;" "&amp;Milestones!$AB$158&amp;" "&amp;IF(AND(Milestones!$AB$158="FT",Milestones!$AA$158=FT_Y5,EDATE($D46,Milestones!$AA$158)&lt;PolicyEff),1,Milestones!$AC$158)&amp;";  ","")&amp;IF(AND(EDATE($D46,Milestones!$AA$159)&lt;=AsOfDate,EDATE($D46,Milestones!$AA$159)&gt;=SchemeStart,IF($X46=0,$AD46,IF(AND($Z46&lt;&gt;"",EDATE($D46,Milestones!$AA$159)&gt;=$Z46),$AC46,IF(AND($Y46&lt;&gt;"",EDATE($D46,Milestones!$AA$159)&gt;=$Y46),$AB46,$AA46)))=Milestones!$AB$159),UPPER(TEXT(EDATE($D46,Milestones!$AA$159),"dd mmm yy"))&amp;" "&amp;Milestones!$AB$159&amp;" "&amp;IF(AND(Milestones!$AB$159="FT",Milestones!$AA$159=FT_Y5,EDATE($D46,Milestones!$AA$159)&lt;PolicyEff),1,Milestones!$AC$159)&amp;";  ","")&amp;IF(AND(EDATE($D46,Milestones!$AA$160)&lt;=AsOfDate,EDATE($D46,Milestones!$AA$160)&gt;=SchemeStart,IF($X46=0,$AD46,IF(AND($Z46&lt;&gt;"",EDATE($D46,Milestones!$AA$160)&gt;=$Z46),$AC46,IF(AND($Y46&lt;&gt;"",EDATE($D46,Milestones!$AA$160)&gt;=$Y46),$AB46,$AA46)))=Milestones!$AB$160),UPPER(TEXT(EDATE($D46,Milestones!$AA$160),"dd mmm yy"))&amp;" "&amp;Milestones!$AB$160&amp;" "&amp;IF(AND(Milestones!$AB$160="FT",Milestones!$AA$160=FT_Y5,EDATE($D46,Milestones!$AA$160)&lt;PolicyEff),1,Milestones!$AC$160)&amp;";  ","")&amp;IF(AND(EDATE($D46,Milestones!$AA$161)&lt;=AsOfDate,EDATE($D46,Milestones!$AA$161)&gt;=SchemeStart,IF($X46=0,$AD46,IF(AND($Z46&lt;&gt;"",EDATE($D46,Milestones!$AA$161)&gt;=$Z46),$AC46,IF(AND($Y46&lt;&gt;"",EDATE($D46,Milestones!$AA$161)&gt;=$Y46),$AB46,$AA46)))=Milestones!$AB$161),UPPER(TEXT(EDATE($D46,Milestones!$AA$161),"dd mmm yy"))&amp;" "&amp;Milestones!$AB$161&amp;" "&amp;IF(AND(Milestones!$AB$161="FT",Milestones!$AA$161=FT_Y5,EDATE($D46,Milestones!$AA$161)&lt;PolicyEff),1,Milestones!$AC$161)&amp;";  ","")&amp;IF(AND(EDATE($D46,Milestones!$AA$162)&lt;=AsOfDate,EDATE($D46,Milestones!$AA$162)&gt;=SchemeStart,IF($X46=0,$AD46,IF(AND($Z46&lt;&gt;"",EDATE($D46,Milestones!$AA$162)&gt;=$Z46),$AC46,IF(AND($Y46&lt;&gt;"",EDATE($D46,Milestones!$AA$162)&gt;=$Y46),$AB46,$AA46)))=Milestones!$AB$162),UPPER(TEXT(EDATE($D46,Milestones!$AA$162),"dd mmm yy"))&amp;" "&amp;Milestones!$AB$162&amp;" "&amp;IF(AND(Milestones!$AB$162="FT",Milestones!$AA$162=FT_Y5,EDATE($D46,Milestones!$AA$162)&lt;PolicyEff),1,Milestones!$AC$162)&amp;";  ","")&amp;IF(AND(EDATE($D46,Milestones!$AA$163)&lt;=AsOfDate,EDATE($D46,Milestones!$AA$163)&gt;=SchemeStart,IF($X46=0,$AD46,IF(AND($Z46&lt;&gt;"",EDATE($D46,Milestones!$AA$163)&gt;=$Z46),$AC46,IF(AND($Y46&lt;&gt;"",EDATE($D46,Milestones!$AA$163)&gt;=$Y46),$AB46,$AA46)))=Milestones!$AB$163),UPPER(TEXT(EDATE($D46,Milestones!$AA$163),"dd mmm yy"))&amp;" "&amp;Milestones!$AB$163&amp;" "&amp;IF(AND(Milestones!$AB$163="FT",Milestones!$AA$163=FT_Y5,EDATE($D46,Milestones!$AA$163)&lt;PolicyEff),1,Milestones!$AC$163)&amp;";  ",""))</f>
        <v/>
      </c>
      <c r="U46" s="0" t="str">
        <f aca="false">IF(OR($A46="",$D46=""),"",IF(AND(EDATE($D46,Milestones!$AA$164)&lt;=AsOfDate,EDATE($D46,Milestones!$AA$164)&gt;=SchemeStart,IF($X46=0,$AD46,IF(AND($Z46&lt;&gt;"",EDATE($D46,Milestones!$AA$164)&gt;=$Z46),$AC46,IF(AND($Y46&lt;&gt;"",EDATE($D46,Milestones!$AA$164)&gt;=$Y46),$AB46,$AA46)))=Milestones!$AB$164),UPPER(TEXT(EDATE($D46,Milestones!$AA$164),"dd mmm yy"))&amp;" "&amp;Milestones!$AB$164&amp;" "&amp;IF(AND(Milestones!$AB$164="FT",Milestones!$AA$164=FT_Y5,EDATE($D46,Milestones!$AA$164)&lt;PolicyEff),1,Milestones!$AC$164)&amp;";  ","")&amp;IF(AND(EDATE($D46,Milestones!$AA$165)&lt;=AsOfDate,EDATE($D46,Milestones!$AA$165)&gt;=SchemeStart,IF($X46=0,$AD46,IF(AND($Z46&lt;&gt;"",EDATE($D46,Milestones!$AA$165)&gt;=$Z46),$AC46,IF(AND($Y46&lt;&gt;"",EDATE($D46,Milestones!$AA$165)&gt;=$Y46),$AB46,$AA46)))=Milestones!$AB$165),UPPER(TEXT(EDATE($D46,Milestones!$AA$165),"dd mmm yy"))&amp;" "&amp;Milestones!$AB$165&amp;" "&amp;IF(AND(Milestones!$AB$165="FT",Milestones!$AA$165=FT_Y5,EDATE($D46,Milestones!$AA$165)&lt;PolicyEff),1,Milestones!$AC$165)&amp;";  ","")&amp;IF(AND(EDATE($D46,Milestones!$AA$166)&lt;=AsOfDate,EDATE($D46,Milestones!$AA$166)&gt;=SchemeStart,IF($X46=0,$AD46,IF(AND($Z46&lt;&gt;"",EDATE($D46,Milestones!$AA$166)&gt;=$Z46),$AC46,IF(AND($Y46&lt;&gt;"",EDATE($D46,Milestones!$AA$166)&gt;=$Y46),$AB46,$AA46)))=Milestones!$AB$166),UPPER(TEXT(EDATE($D46,Milestones!$AA$166),"dd mmm yy"))&amp;" "&amp;Milestones!$AB$166&amp;" "&amp;IF(AND(Milestones!$AB$166="FT",Milestones!$AA$166=FT_Y5,EDATE($D46,Milestones!$AA$166)&lt;PolicyEff),1,Milestones!$AC$166)&amp;";  ","")&amp;IF(AND(EDATE($D46,Milestones!$AA$167)&lt;=AsOfDate,EDATE($D46,Milestones!$AA$167)&gt;=SchemeStart,IF($X46=0,$AD46,IF(AND($Z46&lt;&gt;"",EDATE($D46,Milestones!$AA$167)&gt;=$Z46),$AC46,IF(AND($Y46&lt;&gt;"",EDATE($D46,Milestones!$AA$167)&gt;=$Y46),$AB46,$AA46)))=Milestones!$AB$167),UPPER(TEXT(EDATE($D46,Milestones!$AA$167),"dd mmm yy"))&amp;" "&amp;Milestones!$AB$167&amp;" "&amp;IF(AND(Milestones!$AB$167="FT",Milestones!$AA$167=FT_Y5,EDATE($D46,Milestones!$AA$167)&lt;PolicyEff),1,Milestones!$AC$167)&amp;";  ","")&amp;IF(AND(EDATE($D46,Milestones!$AA$168)&lt;=AsOfDate,EDATE($D46,Milestones!$AA$168)&gt;=SchemeStart,IF($X46=0,$AD46,IF(AND($Z46&lt;&gt;"",EDATE($D46,Milestones!$AA$168)&gt;=$Z46),$AC46,IF(AND($Y46&lt;&gt;"",EDATE($D46,Milestones!$AA$168)&gt;=$Y46),$AB46,$AA46)))=Milestones!$AB$168),UPPER(TEXT(EDATE($D46,Milestones!$AA$168),"dd mmm yy"))&amp;" "&amp;Milestones!$AB$168&amp;" "&amp;IF(AND(Milestones!$AB$168="FT",Milestones!$AA$168=FT_Y5,EDATE($D46,Milestones!$AA$168)&lt;PolicyEff),1,Milestones!$AC$168)&amp;";  ","")&amp;IF(AND(EDATE($D46,Milestones!$AA$169)&lt;=AsOfDate,EDATE($D46,Milestones!$AA$169)&gt;=SchemeStart,IF($X46=0,$AD46,IF(AND($Z46&lt;&gt;"",EDATE($D46,Milestones!$AA$169)&gt;=$Z46),$AC46,IF(AND($Y46&lt;&gt;"",EDATE($D46,Milestones!$AA$169)&gt;=$Y46),$AB46,$AA46)))=Milestones!$AB$169),UPPER(TEXT(EDATE($D46,Milestones!$AA$169),"dd mmm yy"))&amp;" "&amp;Milestones!$AB$169&amp;" "&amp;IF(AND(Milestones!$AB$169="FT",Milestones!$AA$169=FT_Y5,EDATE($D46,Milestones!$AA$169)&lt;PolicyEff),1,Milestones!$AC$169)&amp;";  ","")&amp;IF(AND(EDATE($D46,Milestones!$AA$170)&lt;=AsOfDate,EDATE($D46,Milestones!$AA$170)&gt;=SchemeStart,IF($X46=0,$AD46,IF(AND($Z46&lt;&gt;"",EDATE($D46,Milestones!$AA$170)&gt;=$Z46),$AC46,IF(AND($Y46&lt;&gt;"",EDATE($D46,Milestones!$AA$170)&gt;=$Y46),$AB46,$AA46)))=Milestones!$AB$170),UPPER(TEXT(EDATE($D46,Milestones!$AA$170),"dd mmm yy"))&amp;" "&amp;Milestones!$AB$170&amp;" "&amp;IF(AND(Milestones!$AB$170="FT",Milestones!$AA$170=FT_Y5,EDATE($D46,Milestones!$AA$170)&lt;PolicyEff),1,Milestones!$AC$170)&amp;";  ","")&amp;IF(AND(EDATE($D46,Milestones!$AA$171)&lt;=AsOfDate,EDATE($D46,Milestones!$AA$171)&gt;=SchemeStart,IF($X46=0,$AD46,IF(AND($Z46&lt;&gt;"",EDATE($D46,Milestones!$AA$171)&gt;=$Z46),$AC46,IF(AND($Y46&lt;&gt;"",EDATE($D46,Milestones!$AA$171)&gt;=$Y46),$AB46,$AA46)))=Milestones!$AB$171),UPPER(TEXT(EDATE($D46,Milestones!$AA$171),"dd mmm yy"))&amp;" "&amp;Milestones!$AB$171&amp;" "&amp;IF(AND(Milestones!$AB$171="FT",Milestones!$AA$171=FT_Y5,EDATE($D46,Milestones!$AA$171)&lt;PolicyEff),1,Milestones!$AC$171)&amp;";  ","")&amp;IF(AND(EDATE($D46,Milestones!$AA$172)&lt;=AsOfDate,EDATE($D46,Milestones!$AA$172)&gt;=SchemeStart,IF($X46=0,$AD46,IF(AND($Z46&lt;&gt;"",EDATE($D46,Milestones!$AA$172)&gt;=$Z46),$AC46,IF(AND($Y46&lt;&gt;"",EDATE($D46,Milestones!$AA$172)&gt;=$Y46),$AB46,$AA46)))=Milestones!$AB$172),UPPER(TEXT(EDATE($D46,Milestones!$AA$172),"dd mmm yy"))&amp;" "&amp;Milestones!$AB$172&amp;" "&amp;IF(AND(Milestones!$AB$172="FT",Milestones!$AA$172=FT_Y5,EDATE($D46,Milestones!$AA$172)&lt;PolicyEff),1,Milestones!$AC$172)&amp;";  ","")&amp;IF(AND(EDATE($D46,Milestones!$AA$173)&lt;=AsOfDate,EDATE($D46,Milestones!$AA$173)&gt;=SchemeStart,IF($X46=0,$AD46,IF(AND($Z46&lt;&gt;"",EDATE($D46,Milestones!$AA$173)&gt;=$Z46),$AC46,IF(AND($Y46&lt;&gt;"",EDATE($D46,Milestones!$AA$173)&gt;=$Y46),$AB46,$AA46)))=Milestones!$AB$173),UPPER(TEXT(EDATE($D46,Milestones!$AA$173),"dd mmm yy"))&amp;" "&amp;Milestones!$AB$173&amp;" "&amp;IF(AND(Milestones!$AB$173="FT",Milestones!$AA$173=FT_Y5,EDATE($D46,Milestones!$AA$173)&lt;PolicyEff),1,Milestones!$AC$173)&amp;";  ","")&amp;IF(AND(EDATE($D46,Milestones!$AA$174)&lt;=AsOfDate,EDATE($D46,Milestones!$AA$174)&gt;=SchemeStart,IF($X46=0,$AD46,IF(AND($Z46&lt;&gt;"",EDATE($D46,Milestones!$AA$174)&gt;=$Z46),$AC46,IF(AND($Y46&lt;&gt;"",EDATE($D46,Milestones!$AA$174)&gt;=$Y46),$AB46,$AA46)))=Milestones!$AB$174),UPPER(TEXT(EDATE($D46,Milestones!$AA$174),"dd mmm yy"))&amp;" "&amp;Milestones!$AB$174&amp;" "&amp;IF(AND(Milestones!$AB$174="FT",Milestones!$AA$174=FT_Y5,EDATE($D46,Milestones!$AA$174)&lt;PolicyEff),1,Milestones!$AC$174)&amp;";  ","")&amp;IF(AND(EDATE($D46,Milestones!$AA$175)&lt;=AsOfDate,EDATE($D46,Milestones!$AA$175)&gt;=SchemeStart,IF($X46=0,$AD46,IF(AND($Z46&lt;&gt;"",EDATE($D46,Milestones!$AA$175)&gt;=$Z46),$AC46,IF(AND($Y46&lt;&gt;"",EDATE($D46,Milestones!$AA$175)&gt;=$Y46),$AB46,$AA46)))=Milestones!$AB$175),UPPER(TEXT(EDATE($D46,Milestones!$AA$175),"dd mmm yy"))&amp;" "&amp;Milestones!$AB$175&amp;" "&amp;IF(AND(Milestones!$AB$175="FT",Milestones!$AA$175=FT_Y5,EDATE($D46,Milestones!$AA$175)&lt;PolicyEff),1,Milestones!$AC$175)&amp;";  ",""))</f>
        <v/>
      </c>
      <c r="V46" s="0" t="str">
        <f aca="false">IF(OR($A46="",$D46=""),"",IF(AND(EDATE($D46,Milestones!$AA$176)&lt;=AsOfDate,EDATE($D46,Milestones!$AA$176)&gt;=SchemeStart,IF($X46=0,$AD46,IF(AND($Z46&lt;&gt;"",EDATE($D46,Milestones!$AA$176)&gt;=$Z46),$AC46,IF(AND($Y46&lt;&gt;"",EDATE($D46,Milestones!$AA$176)&gt;=$Y46),$AB46,$AA46)))=Milestones!$AB$176),UPPER(TEXT(EDATE($D46,Milestones!$AA$176),"dd mmm yy"))&amp;" "&amp;Milestones!$AB$176&amp;" "&amp;IF(AND(Milestones!$AB$176="FT",Milestones!$AA$176=FT_Y5,EDATE($D46,Milestones!$AA$176)&lt;PolicyEff),1,Milestones!$AC$176)&amp;";  ","")&amp;IF(AND(EDATE($D46,Milestones!$AA$177)&lt;=AsOfDate,EDATE($D46,Milestones!$AA$177)&gt;=SchemeStart,IF($X46=0,$AD46,IF(AND($Z46&lt;&gt;"",EDATE($D46,Milestones!$AA$177)&gt;=$Z46),$AC46,IF(AND($Y46&lt;&gt;"",EDATE($D46,Milestones!$AA$177)&gt;=$Y46),$AB46,$AA46)))=Milestones!$AB$177),UPPER(TEXT(EDATE($D46,Milestones!$AA$177),"dd mmm yy"))&amp;" "&amp;Milestones!$AB$177&amp;" "&amp;IF(AND(Milestones!$AB$177="FT",Milestones!$AA$177=FT_Y5,EDATE($D46,Milestones!$AA$177)&lt;PolicyEff),1,Milestones!$AC$177)&amp;";  ","")&amp;IF(AND(EDATE($D46,Milestones!$AA$178)&lt;=AsOfDate,EDATE($D46,Milestones!$AA$178)&gt;=SchemeStart,IF($X46=0,$AD46,IF(AND($Z46&lt;&gt;"",EDATE($D46,Milestones!$AA$178)&gt;=$Z46),$AC46,IF(AND($Y46&lt;&gt;"",EDATE($D46,Milestones!$AA$178)&gt;=$Y46),$AB46,$AA46)))=Milestones!$AB$178),UPPER(TEXT(EDATE($D46,Milestones!$AA$178),"dd mmm yy"))&amp;" "&amp;Milestones!$AB$178&amp;" "&amp;IF(AND(Milestones!$AB$178="FT",Milestones!$AA$178=FT_Y5,EDATE($D46,Milestones!$AA$178)&lt;PolicyEff),1,Milestones!$AC$178)&amp;";  ","")&amp;IF(AND(EDATE($D46,Milestones!$AA$179)&lt;=AsOfDate,EDATE($D46,Milestones!$AA$179)&gt;=SchemeStart,IF($X46=0,$AD46,IF(AND($Z46&lt;&gt;"",EDATE($D46,Milestones!$AA$179)&gt;=$Z46),$AC46,IF(AND($Y46&lt;&gt;"",EDATE($D46,Milestones!$AA$179)&gt;=$Y46),$AB46,$AA46)))=Milestones!$AB$179),UPPER(TEXT(EDATE($D46,Milestones!$AA$179),"dd mmm yy"))&amp;" "&amp;Milestones!$AB$179&amp;" "&amp;IF(AND(Milestones!$AB$179="FT",Milestones!$AA$179=FT_Y5,EDATE($D46,Milestones!$AA$179)&lt;PolicyEff),1,Milestones!$AC$179)&amp;";  ","")&amp;IF(AND(EDATE($D46,Milestones!$AA$180)&lt;=AsOfDate,EDATE($D46,Milestones!$AA$180)&gt;=SchemeStart,IF($X46=0,$AD46,IF(AND($Z46&lt;&gt;"",EDATE($D46,Milestones!$AA$180)&gt;=$Z46),$AC46,IF(AND($Y46&lt;&gt;"",EDATE($D46,Milestones!$AA$180)&gt;=$Y46),$AB46,$AA46)))=Milestones!$AB$180),UPPER(TEXT(EDATE($D46,Milestones!$AA$180),"dd mmm yy"))&amp;" "&amp;Milestones!$AB$180&amp;" "&amp;IF(AND(Milestones!$AB$180="FT",Milestones!$AA$180=FT_Y5,EDATE($D46,Milestones!$AA$180)&lt;PolicyEff),1,Milestones!$AC$180)&amp;";  ","")&amp;IF(AND(EDATE($D46,Milestones!$AA$181)&lt;=AsOfDate,EDATE($D46,Milestones!$AA$181)&gt;=SchemeStart,IF($X46=0,$AD46,IF(AND($Z46&lt;&gt;"",EDATE($D46,Milestones!$AA$181)&gt;=$Z46),$AC46,IF(AND($Y46&lt;&gt;"",EDATE($D46,Milestones!$AA$181)&gt;=$Y46),$AB46,$AA46)))=Milestones!$AB$181),UPPER(TEXT(EDATE($D46,Milestones!$AA$181),"dd mmm yy"))&amp;" "&amp;Milestones!$AB$181&amp;" "&amp;IF(AND(Milestones!$AB$181="FT",Milestones!$AA$181=FT_Y5,EDATE($D46,Milestones!$AA$181)&lt;PolicyEff),1,Milestones!$AC$181)&amp;";  ","")&amp;IF(AND(EDATE($D46,Milestones!$AA$182)&lt;=AsOfDate,EDATE($D46,Milestones!$AA$182)&gt;=SchemeStart,IF($X46=0,$AD46,IF(AND($Z46&lt;&gt;"",EDATE($D46,Milestones!$AA$182)&gt;=$Z46),$AC46,IF(AND($Y46&lt;&gt;"",EDATE($D46,Milestones!$AA$182)&gt;=$Y46),$AB46,$AA46)))=Milestones!$AB$182),UPPER(TEXT(EDATE($D46,Milestones!$AA$182),"dd mmm yy"))&amp;" "&amp;Milestones!$AB$182&amp;" "&amp;IF(AND(Milestones!$AB$182="FT",Milestones!$AA$182=FT_Y5,EDATE($D46,Milestones!$AA$182)&lt;PolicyEff),1,Milestones!$AC$182)&amp;";  ","")&amp;IF(AND(EDATE($D46,Milestones!$AA$183)&lt;=AsOfDate,EDATE($D46,Milestones!$AA$183)&gt;=SchemeStart,IF($X46=0,$AD46,IF(AND($Z46&lt;&gt;"",EDATE($D46,Milestones!$AA$183)&gt;=$Z46),$AC46,IF(AND($Y46&lt;&gt;"",EDATE($D46,Milestones!$AA$183)&gt;=$Y46),$AB46,$AA46)))=Milestones!$AB$183),UPPER(TEXT(EDATE($D46,Milestones!$AA$183),"dd mmm yy"))&amp;" "&amp;Milestones!$AB$183&amp;" "&amp;IF(AND(Milestones!$AB$183="FT",Milestones!$AA$183=FT_Y5,EDATE($D46,Milestones!$AA$183)&lt;PolicyEff),1,Milestones!$AC$183)&amp;";  ","")&amp;IF(AND(EDATE($D46,Milestones!$AA$184)&lt;=AsOfDate,EDATE($D46,Milestones!$AA$184)&gt;=SchemeStart,IF($X46=0,$AD46,IF(AND($Z46&lt;&gt;"",EDATE($D46,Milestones!$AA$184)&gt;=$Z46),$AC46,IF(AND($Y46&lt;&gt;"",EDATE($D46,Milestones!$AA$184)&gt;=$Y46),$AB46,$AA46)))=Milestones!$AB$184),UPPER(TEXT(EDATE($D46,Milestones!$AA$184),"dd mmm yy"))&amp;" "&amp;Milestones!$AB$184&amp;" "&amp;IF(AND(Milestones!$AB$184="FT",Milestones!$AA$184=FT_Y5,EDATE($D46,Milestones!$AA$184)&lt;PolicyEff),1,Milestones!$AC$184)&amp;";  ","")&amp;IF(AND(EDATE($D46,Milestones!$AA$185)&lt;=AsOfDate,EDATE($D46,Milestones!$AA$185)&gt;=SchemeStart,IF($X46=0,$AD46,IF(AND($Z46&lt;&gt;"",EDATE($D46,Milestones!$AA$185)&gt;=$Z46),$AC46,IF(AND($Y46&lt;&gt;"",EDATE($D46,Milestones!$AA$185)&gt;=$Y46),$AB46,$AA46)))=Milestones!$AB$185),UPPER(TEXT(EDATE($D46,Milestones!$AA$185),"dd mmm yy"))&amp;" "&amp;Milestones!$AB$185&amp;" "&amp;IF(AND(Milestones!$AB$185="FT",Milestones!$AA$185=FT_Y5,EDATE($D46,Milestones!$AA$185)&lt;PolicyEff),1,Milestones!$AC$185)&amp;";  ","")&amp;IF(AND(EDATE($D46,Milestones!$AA$186)&lt;=AsOfDate,EDATE($D46,Milestones!$AA$186)&gt;=SchemeStart,IF($X46=0,$AD46,IF(AND($Z46&lt;&gt;"",EDATE($D46,Milestones!$AA$186)&gt;=$Z46),$AC46,IF(AND($Y46&lt;&gt;"",EDATE($D46,Milestones!$AA$186)&gt;=$Y46),$AB46,$AA46)))=Milestones!$AB$186),UPPER(TEXT(EDATE($D46,Milestones!$AA$186),"dd mmm yy"))&amp;" "&amp;Milestones!$AB$186&amp;" "&amp;IF(AND(Milestones!$AB$186="FT",Milestones!$AA$186=FT_Y5,EDATE($D46,Milestones!$AA$186)&lt;PolicyEff),1,Milestones!$AC$186)&amp;";  ","")&amp;IF(AND(EDATE($D46,Milestones!$AA$187)&lt;=AsOfDate,EDATE($D46,Milestones!$AA$187)&gt;=SchemeStart,IF($X46=0,$AD46,IF(AND($Z46&lt;&gt;"",EDATE($D46,Milestones!$AA$187)&gt;=$Z46),$AC46,IF(AND($Y46&lt;&gt;"",EDATE($D46,Milestones!$AA$187)&gt;=$Y46),$AB46,$AA46)))=Milestones!$AB$187),UPPER(TEXT(EDATE($D46,Milestones!$AA$187),"dd mmm yy"))&amp;" "&amp;Milestones!$AB$187&amp;" "&amp;IF(AND(Milestones!$AB$187="FT",Milestones!$AA$187=FT_Y5,EDATE($D46,Milestones!$AA$187)&lt;PolicyEff),1,Milestones!$AC$187)&amp;";  ",""))</f>
        <v/>
      </c>
      <c r="W46" s="0" t="str">
        <f aca="false">IF(OR($A46="",$D46=""),"",IF(AND(EDATE($D46,Milestones!$AA$188)&lt;=AsOfDate,EDATE($D46,Milestones!$AA$188)&gt;=SchemeStart,IF($X46=0,$AD46,IF(AND($Z46&lt;&gt;"",EDATE($D46,Milestones!$AA$188)&gt;=$Z46),$AC46,IF(AND($Y46&lt;&gt;"",EDATE($D46,Milestones!$AA$188)&gt;=$Y46),$AB46,$AA46)))=Milestones!$AB$188),UPPER(TEXT(EDATE($D46,Milestones!$AA$188),"dd mmm yy"))&amp;" "&amp;Milestones!$AB$188&amp;" "&amp;IF(AND(Milestones!$AB$188="FT",Milestones!$AA$188=FT_Y5,EDATE($D46,Milestones!$AA$188)&lt;PolicyEff),1,Milestones!$AC$188)&amp;";  ","")&amp;IF(AND(EDATE($D46,Milestones!$AA$189)&lt;=AsOfDate,EDATE($D46,Milestones!$AA$189)&gt;=SchemeStart,IF($X46=0,$AD46,IF(AND($Z46&lt;&gt;"",EDATE($D46,Milestones!$AA$189)&gt;=$Z46),$AC46,IF(AND($Y46&lt;&gt;"",EDATE($D46,Milestones!$AA$189)&gt;=$Y46),$AB46,$AA46)))=Milestones!$AB$189),UPPER(TEXT(EDATE($D46,Milestones!$AA$189),"dd mmm yy"))&amp;" "&amp;Milestones!$AB$189&amp;" "&amp;IF(AND(Milestones!$AB$189="FT",Milestones!$AA$189=FT_Y5,EDATE($D46,Milestones!$AA$189)&lt;PolicyEff),1,Milestones!$AC$189)&amp;";  ","")&amp;IF(AND(EDATE($D46,Milestones!$AA$190)&lt;=AsOfDate,EDATE($D46,Milestones!$AA$190)&gt;=SchemeStart,IF($X46=0,$AD46,IF(AND($Z46&lt;&gt;"",EDATE($D46,Milestones!$AA$190)&gt;=$Z46),$AC46,IF(AND($Y46&lt;&gt;"",EDATE($D46,Milestones!$AA$190)&gt;=$Y46),$AB46,$AA46)))=Milestones!$AB$190),UPPER(TEXT(EDATE($D46,Milestones!$AA$190),"dd mmm yy"))&amp;" "&amp;Milestones!$AB$190&amp;" "&amp;IF(AND(Milestones!$AB$190="FT",Milestones!$AA$190=FT_Y5,EDATE($D46,Milestones!$AA$190)&lt;PolicyEff),1,Milestones!$AC$190)&amp;";  ","")&amp;IF(AND(EDATE($D46,Milestones!$AA$191)&lt;=AsOfDate,EDATE($D46,Milestones!$AA$191)&gt;=SchemeStart,IF($X46=0,$AD46,IF(AND($Z46&lt;&gt;"",EDATE($D46,Milestones!$AA$191)&gt;=$Z46),$AC46,IF(AND($Y46&lt;&gt;"",EDATE($D46,Milestones!$AA$191)&gt;=$Y46),$AB46,$AA46)))=Milestones!$AB$191),UPPER(TEXT(EDATE($D46,Milestones!$AA$191),"dd mmm yy"))&amp;" "&amp;Milestones!$AB$191&amp;" "&amp;IF(AND(Milestones!$AB$191="FT",Milestones!$AA$191=FT_Y5,EDATE($D46,Milestones!$AA$191)&lt;PolicyEff),1,Milestones!$AC$191)&amp;";  ","")&amp;IF(AND(EDATE($D46,Milestones!$AA$192)&lt;=AsOfDate,EDATE($D46,Milestones!$AA$192)&gt;=SchemeStart,IF($X46=0,$AD46,IF(AND($Z46&lt;&gt;"",EDATE($D46,Milestones!$AA$192)&gt;=$Z46),$AC46,IF(AND($Y46&lt;&gt;"",EDATE($D46,Milestones!$AA$192)&gt;=$Y46),$AB46,$AA46)))=Milestones!$AB$192),UPPER(TEXT(EDATE($D46,Milestones!$AA$192),"dd mmm yy"))&amp;" "&amp;Milestones!$AB$192&amp;" "&amp;IF(AND(Milestones!$AB$192="FT",Milestones!$AA$192=FT_Y5,EDATE($D46,Milestones!$AA$192)&lt;PolicyEff),1,Milestones!$AC$192)&amp;";  ","")&amp;IF(AND(EDATE($D46,Milestones!$AA$193)&lt;=AsOfDate,EDATE($D46,Milestones!$AA$193)&gt;=SchemeStart,IF($X46=0,$AD46,IF(AND($Z46&lt;&gt;"",EDATE($D46,Milestones!$AA$193)&gt;=$Z46),$AC46,IF(AND($Y46&lt;&gt;"",EDATE($D46,Milestones!$AA$193)&gt;=$Y46),$AB46,$AA46)))=Milestones!$AB$193),UPPER(TEXT(EDATE($D46,Milestones!$AA$193),"dd mmm yy"))&amp;" "&amp;Milestones!$AB$193&amp;" "&amp;IF(AND(Milestones!$AB$193="FT",Milestones!$AA$193=FT_Y5,EDATE($D46,Milestones!$AA$193)&lt;PolicyEff),1,Milestones!$AC$193)&amp;";  ","")&amp;IF(AND(EDATE($D46,Milestones!$AA$194)&lt;=AsOfDate,EDATE($D46,Milestones!$AA$194)&gt;=SchemeStart,IF($X46=0,$AD46,IF(AND($Z46&lt;&gt;"",EDATE($D46,Milestones!$AA$194)&gt;=$Z46),$AC46,IF(AND($Y46&lt;&gt;"",EDATE($D46,Milestones!$AA$194)&gt;=$Y46),$AB46,$AA46)))=Milestones!$AB$194),UPPER(TEXT(EDATE($D46,Milestones!$AA$194),"dd mmm yy"))&amp;" "&amp;Milestones!$AB$194&amp;" "&amp;IF(AND(Milestones!$AB$194="FT",Milestones!$AA$194=FT_Y5,EDATE($D46,Milestones!$AA$194)&lt;PolicyEff),1,Milestones!$AC$194)&amp;";  ","")&amp;IF(AND(EDATE($D46,Milestones!$AA$195)&lt;=AsOfDate,EDATE($D46,Milestones!$AA$195)&gt;=SchemeStart,IF($X46=0,$AD46,IF(AND($Z46&lt;&gt;"",EDATE($D46,Milestones!$AA$195)&gt;=$Z46),$AC46,IF(AND($Y46&lt;&gt;"",EDATE($D46,Milestones!$AA$195)&gt;=$Y46),$AB46,$AA46)))=Milestones!$AB$195),UPPER(TEXT(EDATE($D46,Milestones!$AA$195),"dd mmm yy"))&amp;" "&amp;Milestones!$AB$195&amp;" "&amp;IF(AND(Milestones!$AB$195="FT",Milestones!$AA$195=FT_Y5,EDATE($D46,Milestones!$AA$195)&lt;PolicyEff),1,Milestones!$AC$195)&amp;";  ","")&amp;IF(AND(EDATE($D46,Milestones!$AA$196)&lt;=AsOfDate,EDATE($D46,Milestones!$AA$196)&gt;=SchemeStart,IF($X46=0,$AD46,IF(AND($Z46&lt;&gt;"",EDATE($D46,Milestones!$AA$196)&gt;=$Z46),$AC46,IF(AND($Y46&lt;&gt;"",EDATE($D46,Milestones!$AA$196)&gt;=$Y46),$AB46,$AA46)))=Milestones!$AB$196),UPPER(TEXT(EDATE($D46,Milestones!$AA$196),"dd mmm yy"))&amp;" "&amp;Milestones!$AB$196&amp;" "&amp;IF(AND(Milestones!$AB$196="FT",Milestones!$AA$196=FT_Y5,EDATE($D46,Milestones!$AA$196)&lt;PolicyEff),1,Milestones!$AC$196)&amp;";  ","")&amp;IF(AND(EDATE($D46,Milestones!$AA$197)&lt;=AsOfDate,EDATE($D46,Milestones!$AA$197)&gt;=SchemeStart,IF($X46=0,$AD46,IF(AND($Z46&lt;&gt;"",EDATE($D46,Milestones!$AA$197)&gt;=$Z46),$AC46,IF(AND($Y46&lt;&gt;"",EDATE($D46,Milestones!$AA$197)&gt;=$Y46),$AB46,$AA46)))=Milestones!$AB$197),UPPER(TEXT(EDATE($D46,Milestones!$AA$197),"dd mmm yy"))&amp;" "&amp;Milestones!$AB$197&amp;" "&amp;IF(AND(Milestones!$AB$197="FT",Milestones!$AA$197=FT_Y5,EDATE($D46,Milestones!$AA$197)&lt;PolicyEff),1,Milestones!$AC$197)&amp;";  ","")&amp;IF(AND(EDATE($D46,Milestones!$AA$198)&lt;=AsOfDate,EDATE($D46,Milestones!$AA$198)&gt;=SchemeStart,IF($X46=0,$AD46,IF(AND($Z46&lt;&gt;"",EDATE($D46,Milestones!$AA$198)&gt;=$Z46),$AC46,IF(AND($Y46&lt;&gt;"",EDATE($D46,Milestones!$AA$198)&gt;=$Y46),$AB46,$AA46)))=Milestones!$AB$198),UPPER(TEXT(EDATE($D46,Milestones!$AA$198),"dd mmm yy"))&amp;" "&amp;Milestones!$AB$198&amp;" "&amp;IF(AND(Milestones!$AB$198="FT",Milestones!$AA$198=FT_Y5,EDATE($D46,Milestones!$AA$198)&lt;PolicyEff),1,Milestones!$AC$198)&amp;";  ","")&amp;IF(AND(EDATE($D46,Milestones!$AA$199)&lt;=AsOfDate,EDATE($D46,Milestones!$AA$199)&gt;=SchemeStart,IF($X46=0,$AD46,IF(AND($Z46&lt;&gt;"",EDATE($D46,Milestones!$AA$199)&gt;=$Z46),$AC46,IF(AND($Y46&lt;&gt;"",EDATE($D46,Milestones!$AA$199)&gt;=$Y46),$AB46,$AA46)))=Milestones!$AB$199),UPPER(TEXT(EDATE($D46,Milestones!$AA$199),"dd mmm yy"))&amp;" "&amp;Milestones!$AB$199&amp;" "&amp;IF(AND(Milestones!$AB$199="FT",Milestones!$AA$199=FT_Y5,EDATE($D46,Milestones!$AA$199)&lt;PolicyEff),1,Milestones!$AC$199)&amp;";  ",""))</f>
        <v/>
      </c>
      <c r="X46" s="0" t="str">
        <f aca="false">IF(Staff!$A46="","",Staff!$AM46)</f>
        <v/>
      </c>
      <c r="Y46" s="0" t="str">
        <f aca="false">IF(Staff!$A46="","",Staff!$AO46)</f>
        <v/>
      </c>
      <c r="Z46" s="0" t="str">
        <f aca="false">IF(Staff!$A46="","",Staff!$AP46)</f>
        <v/>
      </c>
      <c r="AA46" s="0" t="str">
        <f aca="false">IF(Staff!$A46="","",Staff!$AT46)</f>
        <v/>
      </c>
      <c r="AB46" s="0" t="str">
        <f aca="false">IF(Staff!$A46="","",Staff!$AU46)</f>
        <v/>
      </c>
      <c r="AC46" s="0" t="str">
        <f aca="false">IF(Staff!$A46="","",Staff!$AV46)</f>
        <v/>
      </c>
      <c r="AD46" s="0" t="str">
        <f aca="false">IF(Staff!$A46="","",Staff!$AW46)</f>
        <v/>
      </c>
    </row>
    <row r="47" customFormat="false" ht="15" hidden="false" customHeight="false" outlineLevel="0" collapsed="false">
      <c r="A47" s="16" t="str">
        <f aca="false">IF(Staff!$A47="","",Staff!$A47)</f>
        <v/>
      </c>
      <c r="B47" s="16" t="str">
        <f aca="false">IF(Staff!$A47="","",Staff!$B47)</f>
        <v/>
      </c>
      <c r="C47" s="16" t="str">
        <f aca="false">IF(Staff!$A47="","",Staff!$C47)</f>
        <v/>
      </c>
      <c r="D47" s="14" t="str">
        <f aca="false">IF(Staff!$A47="","",Staff!$AL47)</f>
        <v/>
      </c>
      <c r="E47" s="16" t="str">
        <f aca="false">IF(Staff!$A47="","",Staff!$O47)</f>
        <v/>
      </c>
      <c r="F47" s="16" t="str">
        <f aca="false">IF(E47="","",E47*HoursPerDay)</f>
        <v/>
      </c>
      <c r="G47" s="16" t="str">
        <f aca="false">IF(Staff!$A47="","",Staff!$AE47)</f>
        <v/>
      </c>
      <c r="H47" s="28" t="str">
        <f aca="false">IF($A47="","",I47&amp;J47&amp;K47&amp;L47&amp;M47&amp;N47&amp;O47&amp;P47&amp;Q47&amp;R47&amp;S47&amp;T47&amp;U47&amp;V47&amp;W47)</f>
        <v/>
      </c>
      <c r="I47" s="0" t="str">
        <f aca="false">IF(OR($A47="",$D47=""),"",IF(AND(EDATE($D47,Milestones!$AA$20)&lt;=AsOfDate,EDATE($D47,Milestones!$AA$20)&gt;=SchemeStart,IF($X47=0,$AD47,IF(AND($Z47&lt;&gt;"",EDATE($D47,Milestones!$AA$20)&gt;=$Z47),$AC47,IF(AND($Y47&lt;&gt;"",EDATE($D47,Milestones!$AA$20)&gt;=$Y47),$AB47,$AA47)))=Milestones!$AB$20),UPPER(TEXT(EDATE($D47,Milestones!$AA$20),"dd mmm yy"))&amp;" "&amp;Milestones!$AB$20&amp;" "&amp;IF(AND(Milestones!$AB$20="FT",Milestones!$AA$20=FT_Y5,EDATE($D47,Milestones!$AA$20)&lt;PolicyEff),1,Milestones!$AC$20)&amp;";  ","")&amp;IF(AND(EDATE($D47,Milestones!$AA$21)&lt;=AsOfDate,EDATE($D47,Milestones!$AA$21)&gt;=SchemeStart,IF($X47=0,$AD47,IF(AND($Z47&lt;&gt;"",EDATE($D47,Milestones!$AA$21)&gt;=$Z47),$AC47,IF(AND($Y47&lt;&gt;"",EDATE($D47,Milestones!$AA$21)&gt;=$Y47),$AB47,$AA47)))=Milestones!$AB$21),UPPER(TEXT(EDATE($D47,Milestones!$AA$21),"dd mmm yy"))&amp;" "&amp;Milestones!$AB$21&amp;" "&amp;IF(AND(Milestones!$AB$21="FT",Milestones!$AA$21=FT_Y5,EDATE($D47,Milestones!$AA$21)&lt;PolicyEff),1,Milestones!$AC$21)&amp;";  ","")&amp;IF(AND(EDATE($D47,Milestones!$AA$22)&lt;=AsOfDate,EDATE($D47,Milestones!$AA$22)&gt;=SchemeStart,IF($X47=0,$AD47,IF(AND($Z47&lt;&gt;"",EDATE($D47,Milestones!$AA$22)&gt;=$Z47),$AC47,IF(AND($Y47&lt;&gt;"",EDATE($D47,Milestones!$AA$22)&gt;=$Y47),$AB47,$AA47)))=Milestones!$AB$22),UPPER(TEXT(EDATE($D47,Milestones!$AA$22),"dd mmm yy"))&amp;" "&amp;Milestones!$AB$22&amp;" "&amp;IF(AND(Milestones!$AB$22="FT",Milestones!$AA$22=FT_Y5,EDATE($D47,Milestones!$AA$22)&lt;PolicyEff),1,Milestones!$AC$22)&amp;";  ","")&amp;IF(AND(EDATE($D47,Milestones!$AA$23)&lt;=AsOfDate,EDATE($D47,Milestones!$AA$23)&gt;=SchemeStart,IF($X47=0,$AD47,IF(AND($Z47&lt;&gt;"",EDATE($D47,Milestones!$AA$23)&gt;=$Z47),$AC47,IF(AND($Y47&lt;&gt;"",EDATE($D47,Milestones!$AA$23)&gt;=$Y47),$AB47,$AA47)))=Milestones!$AB$23),UPPER(TEXT(EDATE($D47,Milestones!$AA$23),"dd mmm yy"))&amp;" "&amp;Milestones!$AB$23&amp;" "&amp;IF(AND(Milestones!$AB$23="FT",Milestones!$AA$23=FT_Y5,EDATE($D47,Milestones!$AA$23)&lt;PolicyEff),1,Milestones!$AC$23)&amp;";  ","")&amp;IF(AND(EDATE($D47,Milestones!$AA$24)&lt;=AsOfDate,EDATE($D47,Milestones!$AA$24)&gt;=SchemeStart,IF($X47=0,$AD47,IF(AND($Z47&lt;&gt;"",EDATE($D47,Milestones!$AA$24)&gt;=$Z47),$AC47,IF(AND($Y47&lt;&gt;"",EDATE($D47,Milestones!$AA$24)&gt;=$Y47),$AB47,$AA47)))=Milestones!$AB$24),UPPER(TEXT(EDATE($D47,Milestones!$AA$24),"dd mmm yy"))&amp;" "&amp;Milestones!$AB$24&amp;" "&amp;IF(AND(Milestones!$AB$24="FT",Milestones!$AA$24=FT_Y5,EDATE($D47,Milestones!$AA$24)&lt;PolicyEff),1,Milestones!$AC$24)&amp;";  ","")&amp;IF(AND(EDATE($D47,Milestones!$AA$25)&lt;=AsOfDate,EDATE($D47,Milestones!$AA$25)&gt;=SchemeStart,IF($X47=0,$AD47,IF(AND($Z47&lt;&gt;"",EDATE($D47,Milestones!$AA$25)&gt;=$Z47),$AC47,IF(AND($Y47&lt;&gt;"",EDATE($D47,Milestones!$AA$25)&gt;=$Y47),$AB47,$AA47)))=Milestones!$AB$25),UPPER(TEXT(EDATE($D47,Milestones!$AA$25),"dd mmm yy"))&amp;" "&amp;Milestones!$AB$25&amp;" "&amp;IF(AND(Milestones!$AB$25="FT",Milestones!$AA$25=FT_Y5,EDATE($D47,Milestones!$AA$25)&lt;PolicyEff),1,Milestones!$AC$25)&amp;";  ","")&amp;IF(AND(EDATE($D47,Milestones!$AA$26)&lt;=AsOfDate,EDATE($D47,Milestones!$AA$26)&gt;=SchemeStart,IF($X47=0,$AD47,IF(AND($Z47&lt;&gt;"",EDATE($D47,Milestones!$AA$26)&gt;=$Z47),$AC47,IF(AND($Y47&lt;&gt;"",EDATE($D47,Milestones!$AA$26)&gt;=$Y47),$AB47,$AA47)))=Milestones!$AB$26),UPPER(TEXT(EDATE($D47,Milestones!$AA$26),"dd mmm yy"))&amp;" "&amp;Milestones!$AB$26&amp;" "&amp;IF(AND(Milestones!$AB$26="FT",Milestones!$AA$26=FT_Y5,EDATE($D47,Milestones!$AA$26)&lt;PolicyEff),1,Milestones!$AC$26)&amp;";  ","")&amp;IF(AND(EDATE($D47,Milestones!$AA$27)&lt;=AsOfDate,EDATE($D47,Milestones!$AA$27)&gt;=SchemeStart,IF($X47=0,$AD47,IF(AND($Z47&lt;&gt;"",EDATE($D47,Milestones!$AA$27)&gt;=$Z47),$AC47,IF(AND($Y47&lt;&gt;"",EDATE($D47,Milestones!$AA$27)&gt;=$Y47),$AB47,$AA47)))=Milestones!$AB$27),UPPER(TEXT(EDATE($D47,Milestones!$AA$27),"dd mmm yy"))&amp;" "&amp;Milestones!$AB$27&amp;" "&amp;IF(AND(Milestones!$AB$27="FT",Milestones!$AA$27=FT_Y5,EDATE($D47,Milestones!$AA$27)&lt;PolicyEff),1,Milestones!$AC$27)&amp;";  ","")&amp;IF(AND(EDATE($D47,Milestones!$AA$28)&lt;=AsOfDate,EDATE($D47,Milestones!$AA$28)&gt;=SchemeStart,IF($X47=0,$AD47,IF(AND($Z47&lt;&gt;"",EDATE($D47,Milestones!$AA$28)&gt;=$Z47),$AC47,IF(AND($Y47&lt;&gt;"",EDATE($D47,Milestones!$AA$28)&gt;=$Y47),$AB47,$AA47)))=Milestones!$AB$28),UPPER(TEXT(EDATE($D47,Milestones!$AA$28),"dd mmm yy"))&amp;" "&amp;Milestones!$AB$28&amp;" "&amp;IF(AND(Milestones!$AB$28="FT",Milestones!$AA$28=FT_Y5,EDATE($D47,Milestones!$AA$28)&lt;PolicyEff),1,Milestones!$AC$28)&amp;";  ","")&amp;IF(AND(EDATE($D47,Milestones!$AA$29)&lt;=AsOfDate,EDATE($D47,Milestones!$AA$29)&gt;=SchemeStart,IF($X47=0,$AD47,IF(AND($Z47&lt;&gt;"",EDATE($D47,Milestones!$AA$29)&gt;=$Z47),$AC47,IF(AND($Y47&lt;&gt;"",EDATE($D47,Milestones!$AA$29)&gt;=$Y47),$AB47,$AA47)))=Milestones!$AB$29),UPPER(TEXT(EDATE($D47,Milestones!$AA$29),"dd mmm yy"))&amp;" "&amp;Milestones!$AB$29&amp;" "&amp;IF(AND(Milestones!$AB$29="FT",Milestones!$AA$29=FT_Y5,EDATE($D47,Milestones!$AA$29)&lt;PolicyEff),1,Milestones!$AC$29)&amp;";  ","")&amp;IF(AND(EDATE($D47,Milestones!$AA$30)&lt;=AsOfDate,EDATE($D47,Milestones!$AA$30)&gt;=SchemeStart,IF($X47=0,$AD47,IF(AND($Z47&lt;&gt;"",EDATE($D47,Milestones!$AA$30)&gt;=$Z47),$AC47,IF(AND($Y47&lt;&gt;"",EDATE($D47,Milestones!$AA$30)&gt;=$Y47),$AB47,$AA47)))=Milestones!$AB$30),UPPER(TEXT(EDATE($D47,Milestones!$AA$30),"dd mmm yy"))&amp;" "&amp;Milestones!$AB$30&amp;" "&amp;IF(AND(Milestones!$AB$30="FT",Milestones!$AA$30=FT_Y5,EDATE($D47,Milestones!$AA$30)&lt;PolicyEff),1,Milestones!$AC$30)&amp;";  ","")&amp;IF(AND(EDATE($D47,Milestones!$AA$31)&lt;=AsOfDate,EDATE($D47,Milestones!$AA$31)&gt;=SchemeStart,IF($X47=0,$AD47,IF(AND($Z47&lt;&gt;"",EDATE($D47,Milestones!$AA$31)&gt;=$Z47),$AC47,IF(AND($Y47&lt;&gt;"",EDATE($D47,Milestones!$AA$31)&gt;=$Y47),$AB47,$AA47)))=Milestones!$AB$31),UPPER(TEXT(EDATE($D47,Milestones!$AA$31),"dd mmm yy"))&amp;" "&amp;Milestones!$AB$31&amp;" "&amp;IF(AND(Milestones!$AB$31="FT",Milestones!$AA$31=FT_Y5,EDATE($D47,Milestones!$AA$31)&lt;PolicyEff),1,Milestones!$AC$31)&amp;";  ",""))</f>
        <v/>
      </c>
      <c r="J47" s="0" t="str">
        <f aca="false">IF(OR($A47="",$D47=""),"",IF(AND(EDATE($D47,Milestones!$AA$32)&lt;=AsOfDate,EDATE($D47,Milestones!$AA$32)&gt;=SchemeStart,IF($X47=0,$AD47,IF(AND($Z47&lt;&gt;"",EDATE($D47,Milestones!$AA$32)&gt;=$Z47),$AC47,IF(AND($Y47&lt;&gt;"",EDATE($D47,Milestones!$AA$32)&gt;=$Y47),$AB47,$AA47)))=Milestones!$AB$32),UPPER(TEXT(EDATE($D47,Milestones!$AA$32),"dd mmm yy"))&amp;" "&amp;Milestones!$AB$32&amp;" "&amp;IF(AND(Milestones!$AB$32="FT",Milestones!$AA$32=FT_Y5,EDATE($D47,Milestones!$AA$32)&lt;PolicyEff),1,Milestones!$AC$32)&amp;";  ","")&amp;IF(AND(EDATE($D47,Milestones!$AA$33)&lt;=AsOfDate,EDATE($D47,Milestones!$AA$33)&gt;=SchemeStart,IF($X47=0,$AD47,IF(AND($Z47&lt;&gt;"",EDATE($D47,Milestones!$AA$33)&gt;=$Z47),$AC47,IF(AND($Y47&lt;&gt;"",EDATE($D47,Milestones!$AA$33)&gt;=$Y47),$AB47,$AA47)))=Milestones!$AB$33),UPPER(TEXT(EDATE($D47,Milestones!$AA$33),"dd mmm yy"))&amp;" "&amp;Milestones!$AB$33&amp;" "&amp;IF(AND(Milestones!$AB$33="FT",Milestones!$AA$33=FT_Y5,EDATE($D47,Milestones!$AA$33)&lt;PolicyEff),1,Milestones!$AC$33)&amp;";  ","")&amp;IF(AND(EDATE($D47,Milestones!$AA$34)&lt;=AsOfDate,EDATE($D47,Milestones!$AA$34)&gt;=SchemeStart,IF($X47=0,$AD47,IF(AND($Z47&lt;&gt;"",EDATE($D47,Milestones!$AA$34)&gt;=$Z47),$AC47,IF(AND($Y47&lt;&gt;"",EDATE($D47,Milestones!$AA$34)&gt;=$Y47),$AB47,$AA47)))=Milestones!$AB$34),UPPER(TEXT(EDATE($D47,Milestones!$AA$34),"dd mmm yy"))&amp;" "&amp;Milestones!$AB$34&amp;" "&amp;IF(AND(Milestones!$AB$34="FT",Milestones!$AA$34=FT_Y5,EDATE($D47,Milestones!$AA$34)&lt;PolicyEff),1,Milestones!$AC$34)&amp;";  ","")&amp;IF(AND(EDATE($D47,Milestones!$AA$35)&lt;=AsOfDate,EDATE($D47,Milestones!$AA$35)&gt;=SchemeStart,IF($X47=0,$AD47,IF(AND($Z47&lt;&gt;"",EDATE($D47,Milestones!$AA$35)&gt;=$Z47),$AC47,IF(AND($Y47&lt;&gt;"",EDATE($D47,Milestones!$AA$35)&gt;=$Y47),$AB47,$AA47)))=Milestones!$AB$35),UPPER(TEXT(EDATE($D47,Milestones!$AA$35),"dd mmm yy"))&amp;" "&amp;Milestones!$AB$35&amp;" "&amp;IF(AND(Milestones!$AB$35="FT",Milestones!$AA$35=FT_Y5,EDATE($D47,Milestones!$AA$35)&lt;PolicyEff),1,Milestones!$AC$35)&amp;";  ","")&amp;IF(AND(EDATE($D47,Milestones!$AA$36)&lt;=AsOfDate,EDATE($D47,Milestones!$AA$36)&gt;=SchemeStart,IF($X47=0,$AD47,IF(AND($Z47&lt;&gt;"",EDATE($D47,Milestones!$AA$36)&gt;=$Z47),$AC47,IF(AND($Y47&lt;&gt;"",EDATE($D47,Milestones!$AA$36)&gt;=$Y47),$AB47,$AA47)))=Milestones!$AB$36),UPPER(TEXT(EDATE($D47,Milestones!$AA$36),"dd mmm yy"))&amp;" "&amp;Milestones!$AB$36&amp;" "&amp;IF(AND(Milestones!$AB$36="FT",Milestones!$AA$36=FT_Y5,EDATE($D47,Milestones!$AA$36)&lt;PolicyEff),1,Milestones!$AC$36)&amp;";  ","")&amp;IF(AND(EDATE($D47,Milestones!$AA$37)&lt;=AsOfDate,EDATE($D47,Milestones!$AA$37)&gt;=SchemeStart,IF($X47=0,$AD47,IF(AND($Z47&lt;&gt;"",EDATE($D47,Milestones!$AA$37)&gt;=$Z47),$AC47,IF(AND($Y47&lt;&gt;"",EDATE($D47,Milestones!$AA$37)&gt;=$Y47),$AB47,$AA47)))=Milestones!$AB$37),UPPER(TEXT(EDATE($D47,Milestones!$AA$37),"dd mmm yy"))&amp;" "&amp;Milestones!$AB$37&amp;" "&amp;IF(AND(Milestones!$AB$37="FT",Milestones!$AA$37=FT_Y5,EDATE($D47,Milestones!$AA$37)&lt;PolicyEff),1,Milestones!$AC$37)&amp;";  ","")&amp;IF(AND(EDATE($D47,Milestones!$AA$38)&lt;=AsOfDate,EDATE($D47,Milestones!$AA$38)&gt;=SchemeStart,IF($X47=0,$AD47,IF(AND($Z47&lt;&gt;"",EDATE($D47,Milestones!$AA$38)&gt;=$Z47),$AC47,IF(AND($Y47&lt;&gt;"",EDATE($D47,Milestones!$AA$38)&gt;=$Y47),$AB47,$AA47)))=Milestones!$AB$38),UPPER(TEXT(EDATE($D47,Milestones!$AA$38),"dd mmm yy"))&amp;" "&amp;Milestones!$AB$38&amp;" "&amp;IF(AND(Milestones!$AB$38="FT",Milestones!$AA$38=FT_Y5,EDATE($D47,Milestones!$AA$38)&lt;PolicyEff),1,Milestones!$AC$38)&amp;";  ","")&amp;IF(AND(EDATE($D47,Milestones!$AA$39)&lt;=AsOfDate,EDATE($D47,Milestones!$AA$39)&gt;=SchemeStart,IF($X47=0,$AD47,IF(AND($Z47&lt;&gt;"",EDATE($D47,Milestones!$AA$39)&gt;=$Z47),$AC47,IF(AND($Y47&lt;&gt;"",EDATE($D47,Milestones!$AA$39)&gt;=$Y47),$AB47,$AA47)))=Milestones!$AB$39),UPPER(TEXT(EDATE($D47,Milestones!$AA$39),"dd mmm yy"))&amp;" "&amp;Milestones!$AB$39&amp;" "&amp;IF(AND(Milestones!$AB$39="FT",Milestones!$AA$39=FT_Y5,EDATE($D47,Milestones!$AA$39)&lt;PolicyEff),1,Milestones!$AC$39)&amp;";  ","")&amp;IF(AND(EDATE($D47,Milestones!$AA$40)&lt;=AsOfDate,EDATE($D47,Milestones!$AA$40)&gt;=SchemeStart,IF($X47=0,$AD47,IF(AND($Z47&lt;&gt;"",EDATE($D47,Milestones!$AA$40)&gt;=$Z47),$AC47,IF(AND($Y47&lt;&gt;"",EDATE($D47,Milestones!$AA$40)&gt;=$Y47),$AB47,$AA47)))=Milestones!$AB$40),UPPER(TEXT(EDATE($D47,Milestones!$AA$40),"dd mmm yy"))&amp;" "&amp;Milestones!$AB$40&amp;" "&amp;IF(AND(Milestones!$AB$40="FT",Milestones!$AA$40=FT_Y5,EDATE($D47,Milestones!$AA$40)&lt;PolicyEff),1,Milestones!$AC$40)&amp;";  ","")&amp;IF(AND(EDATE($D47,Milestones!$AA$41)&lt;=AsOfDate,EDATE($D47,Milestones!$AA$41)&gt;=SchemeStart,IF($X47=0,$AD47,IF(AND($Z47&lt;&gt;"",EDATE($D47,Milestones!$AA$41)&gt;=$Z47),$AC47,IF(AND($Y47&lt;&gt;"",EDATE($D47,Milestones!$AA$41)&gt;=$Y47),$AB47,$AA47)))=Milestones!$AB$41),UPPER(TEXT(EDATE($D47,Milestones!$AA$41),"dd mmm yy"))&amp;" "&amp;Milestones!$AB$41&amp;" "&amp;IF(AND(Milestones!$AB$41="FT",Milestones!$AA$41=FT_Y5,EDATE($D47,Milestones!$AA$41)&lt;PolicyEff),1,Milestones!$AC$41)&amp;";  ","")&amp;IF(AND(EDATE($D47,Milestones!$AA$42)&lt;=AsOfDate,EDATE($D47,Milestones!$AA$42)&gt;=SchemeStart,IF($X47=0,$AD47,IF(AND($Z47&lt;&gt;"",EDATE($D47,Milestones!$AA$42)&gt;=$Z47),$AC47,IF(AND($Y47&lt;&gt;"",EDATE($D47,Milestones!$AA$42)&gt;=$Y47),$AB47,$AA47)))=Milestones!$AB$42),UPPER(TEXT(EDATE($D47,Milestones!$AA$42),"dd mmm yy"))&amp;" "&amp;Milestones!$AB$42&amp;" "&amp;IF(AND(Milestones!$AB$42="FT",Milestones!$AA$42=FT_Y5,EDATE($D47,Milestones!$AA$42)&lt;PolicyEff),1,Milestones!$AC$42)&amp;";  ","")&amp;IF(AND(EDATE($D47,Milestones!$AA$43)&lt;=AsOfDate,EDATE($D47,Milestones!$AA$43)&gt;=SchemeStart,IF($X47=0,$AD47,IF(AND($Z47&lt;&gt;"",EDATE($D47,Milestones!$AA$43)&gt;=$Z47),$AC47,IF(AND($Y47&lt;&gt;"",EDATE($D47,Milestones!$AA$43)&gt;=$Y47),$AB47,$AA47)))=Milestones!$AB$43),UPPER(TEXT(EDATE($D47,Milestones!$AA$43),"dd mmm yy"))&amp;" "&amp;Milestones!$AB$43&amp;" "&amp;IF(AND(Milestones!$AB$43="FT",Milestones!$AA$43=FT_Y5,EDATE($D47,Milestones!$AA$43)&lt;PolicyEff),1,Milestones!$AC$43)&amp;";  ",""))</f>
        <v/>
      </c>
      <c r="K47" s="0" t="str">
        <f aca="false">IF(OR($A47="",$D47=""),"",IF(AND(EDATE($D47,Milestones!$AA$44)&lt;=AsOfDate,EDATE($D47,Milestones!$AA$44)&gt;=SchemeStart,IF($X47=0,$AD47,IF(AND($Z47&lt;&gt;"",EDATE($D47,Milestones!$AA$44)&gt;=$Z47),$AC47,IF(AND($Y47&lt;&gt;"",EDATE($D47,Milestones!$AA$44)&gt;=$Y47),$AB47,$AA47)))=Milestones!$AB$44),UPPER(TEXT(EDATE($D47,Milestones!$AA$44),"dd mmm yy"))&amp;" "&amp;Milestones!$AB$44&amp;" "&amp;IF(AND(Milestones!$AB$44="FT",Milestones!$AA$44=FT_Y5,EDATE($D47,Milestones!$AA$44)&lt;PolicyEff),1,Milestones!$AC$44)&amp;";  ","")&amp;IF(AND(EDATE($D47,Milestones!$AA$45)&lt;=AsOfDate,EDATE($D47,Milestones!$AA$45)&gt;=SchemeStart,IF($X47=0,$AD47,IF(AND($Z47&lt;&gt;"",EDATE($D47,Milestones!$AA$45)&gt;=$Z47),$AC47,IF(AND($Y47&lt;&gt;"",EDATE($D47,Milestones!$AA$45)&gt;=$Y47),$AB47,$AA47)))=Milestones!$AB$45),UPPER(TEXT(EDATE($D47,Milestones!$AA$45),"dd mmm yy"))&amp;" "&amp;Milestones!$AB$45&amp;" "&amp;IF(AND(Milestones!$AB$45="FT",Milestones!$AA$45=FT_Y5,EDATE($D47,Milestones!$AA$45)&lt;PolicyEff),1,Milestones!$AC$45)&amp;";  ","")&amp;IF(AND(EDATE($D47,Milestones!$AA$46)&lt;=AsOfDate,EDATE($D47,Milestones!$AA$46)&gt;=SchemeStart,IF($X47=0,$AD47,IF(AND($Z47&lt;&gt;"",EDATE($D47,Milestones!$AA$46)&gt;=$Z47),$AC47,IF(AND($Y47&lt;&gt;"",EDATE($D47,Milestones!$AA$46)&gt;=$Y47),$AB47,$AA47)))=Milestones!$AB$46),UPPER(TEXT(EDATE($D47,Milestones!$AA$46),"dd mmm yy"))&amp;" "&amp;Milestones!$AB$46&amp;" "&amp;IF(AND(Milestones!$AB$46="FT",Milestones!$AA$46=FT_Y5,EDATE($D47,Milestones!$AA$46)&lt;PolicyEff),1,Milestones!$AC$46)&amp;";  ","")&amp;IF(AND(EDATE($D47,Milestones!$AA$47)&lt;=AsOfDate,EDATE($D47,Milestones!$AA$47)&gt;=SchemeStart,IF($X47=0,$AD47,IF(AND($Z47&lt;&gt;"",EDATE($D47,Milestones!$AA$47)&gt;=$Z47),$AC47,IF(AND($Y47&lt;&gt;"",EDATE($D47,Milestones!$AA$47)&gt;=$Y47),$AB47,$AA47)))=Milestones!$AB$47),UPPER(TEXT(EDATE($D47,Milestones!$AA$47),"dd mmm yy"))&amp;" "&amp;Milestones!$AB$47&amp;" "&amp;IF(AND(Milestones!$AB$47="FT",Milestones!$AA$47=FT_Y5,EDATE($D47,Milestones!$AA$47)&lt;PolicyEff),1,Milestones!$AC$47)&amp;";  ","")&amp;IF(AND(EDATE($D47,Milestones!$AA$48)&lt;=AsOfDate,EDATE($D47,Milestones!$AA$48)&gt;=SchemeStart,IF($X47=0,$AD47,IF(AND($Z47&lt;&gt;"",EDATE($D47,Milestones!$AA$48)&gt;=$Z47),$AC47,IF(AND($Y47&lt;&gt;"",EDATE($D47,Milestones!$AA$48)&gt;=$Y47),$AB47,$AA47)))=Milestones!$AB$48),UPPER(TEXT(EDATE($D47,Milestones!$AA$48),"dd mmm yy"))&amp;" "&amp;Milestones!$AB$48&amp;" "&amp;IF(AND(Milestones!$AB$48="FT",Milestones!$AA$48=FT_Y5,EDATE($D47,Milestones!$AA$48)&lt;PolicyEff),1,Milestones!$AC$48)&amp;";  ","")&amp;IF(AND(EDATE($D47,Milestones!$AA$49)&lt;=AsOfDate,EDATE($D47,Milestones!$AA$49)&gt;=SchemeStart,IF($X47=0,$AD47,IF(AND($Z47&lt;&gt;"",EDATE($D47,Milestones!$AA$49)&gt;=$Z47),$AC47,IF(AND($Y47&lt;&gt;"",EDATE($D47,Milestones!$AA$49)&gt;=$Y47),$AB47,$AA47)))=Milestones!$AB$49),UPPER(TEXT(EDATE($D47,Milestones!$AA$49),"dd mmm yy"))&amp;" "&amp;Milestones!$AB$49&amp;" "&amp;IF(AND(Milestones!$AB$49="FT",Milestones!$AA$49=FT_Y5,EDATE($D47,Milestones!$AA$49)&lt;PolicyEff),1,Milestones!$AC$49)&amp;";  ","")&amp;IF(AND(EDATE($D47,Milestones!$AA$50)&lt;=AsOfDate,EDATE($D47,Milestones!$AA$50)&gt;=SchemeStart,IF($X47=0,$AD47,IF(AND($Z47&lt;&gt;"",EDATE($D47,Milestones!$AA$50)&gt;=$Z47),$AC47,IF(AND($Y47&lt;&gt;"",EDATE($D47,Milestones!$AA$50)&gt;=$Y47),$AB47,$AA47)))=Milestones!$AB$50),UPPER(TEXT(EDATE($D47,Milestones!$AA$50),"dd mmm yy"))&amp;" "&amp;Milestones!$AB$50&amp;" "&amp;IF(AND(Milestones!$AB$50="FT",Milestones!$AA$50=FT_Y5,EDATE($D47,Milestones!$AA$50)&lt;PolicyEff),1,Milestones!$AC$50)&amp;";  ","")&amp;IF(AND(EDATE($D47,Milestones!$AA$51)&lt;=AsOfDate,EDATE($D47,Milestones!$AA$51)&gt;=SchemeStart,IF($X47=0,$AD47,IF(AND($Z47&lt;&gt;"",EDATE($D47,Milestones!$AA$51)&gt;=$Z47),$AC47,IF(AND($Y47&lt;&gt;"",EDATE($D47,Milestones!$AA$51)&gt;=$Y47),$AB47,$AA47)))=Milestones!$AB$51),UPPER(TEXT(EDATE($D47,Milestones!$AA$51),"dd mmm yy"))&amp;" "&amp;Milestones!$AB$51&amp;" "&amp;IF(AND(Milestones!$AB$51="FT",Milestones!$AA$51=FT_Y5,EDATE($D47,Milestones!$AA$51)&lt;PolicyEff),1,Milestones!$AC$51)&amp;";  ","")&amp;IF(AND(EDATE($D47,Milestones!$AA$52)&lt;=AsOfDate,EDATE($D47,Milestones!$AA$52)&gt;=SchemeStart,IF($X47=0,$AD47,IF(AND($Z47&lt;&gt;"",EDATE($D47,Milestones!$AA$52)&gt;=$Z47),$AC47,IF(AND($Y47&lt;&gt;"",EDATE($D47,Milestones!$AA$52)&gt;=$Y47),$AB47,$AA47)))=Milestones!$AB$52),UPPER(TEXT(EDATE($D47,Milestones!$AA$52),"dd mmm yy"))&amp;" "&amp;Milestones!$AB$52&amp;" "&amp;IF(AND(Milestones!$AB$52="FT",Milestones!$AA$52=FT_Y5,EDATE($D47,Milestones!$AA$52)&lt;PolicyEff),1,Milestones!$AC$52)&amp;";  ","")&amp;IF(AND(EDATE($D47,Milestones!$AA$53)&lt;=AsOfDate,EDATE($D47,Milestones!$AA$53)&gt;=SchemeStart,IF($X47=0,$AD47,IF(AND($Z47&lt;&gt;"",EDATE($D47,Milestones!$AA$53)&gt;=$Z47),$AC47,IF(AND($Y47&lt;&gt;"",EDATE($D47,Milestones!$AA$53)&gt;=$Y47),$AB47,$AA47)))=Milestones!$AB$53),UPPER(TEXT(EDATE($D47,Milestones!$AA$53),"dd mmm yy"))&amp;" "&amp;Milestones!$AB$53&amp;" "&amp;IF(AND(Milestones!$AB$53="FT",Milestones!$AA$53=FT_Y5,EDATE($D47,Milestones!$AA$53)&lt;PolicyEff),1,Milestones!$AC$53)&amp;";  ","")&amp;IF(AND(EDATE($D47,Milestones!$AA$54)&lt;=AsOfDate,EDATE($D47,Milestones!$AA$54)&gt;=SchemeStart,IF($X47=0,$AD47,IF(AND($Z47&lt;&gt;"",EDATE($D47,Milestones!$AA$54)&gt;=$Z47),$AC47,IF(AND($Y47&lt;&gt;"",EDATE($D47,Milestones!$AA$54)&gt;=$Y47),$AB47,$AA47)))=Milestones!$AB$54),UPPER(TEXT(EDATE($D47,Milestones!$AA$54),"dd mmm yy"))&amp;" "&amp;Milestones!$AB$54&amp;" "&amp;IF(AND(Milestones!$AB$54="FT",Milestones!$AA$54=FT_Y5,EDATE($D47,Milestones!$AA$54)&lt;PolicyEff),1,Milestones!$AC$54)&amp;";  ","")&amp;IF(AND(EDATE($D47,Milestones!$AA$55)&lt;=AsOfDate,EDATE($D47,Milestones!$AA$55)&gt;=SchemeStart,IF($X47=0,$AD47,IF(AND($Z47&lt;&gt;"",EDATE($D47,Milestones!$AA$55)&gt;=$Z47),$AC47,IF(AND($Y47&lt;&gt;"",EDATE($D47,Milestones!$AA$55)&gt;=$Y47),$AB47,$AA47)))=Milestones!$AB$55),UPPER(TEXT(EDATE($D47,Milestones!$AA$55),"dd mmm yy"))&amp;" "&amp;Milestones!$AB$55&amp;" "&amp;IF(AND(Milestones!$AB$55="FT",Milestones!$AA$55=FT_Y5,EDATE($D47,Milestones!$AA$55)&lt;PolicyEff),1,Milestones!$AC$55)&amp;";  ",""))</f>
        <v/>
      </c>
      <c r="L47" s="0" t="str">
        <f aca="false">IF(OR($A47="",$D47=""),"",IF(AND(EDATE($D47,Milestones!$AA$56)&lt;=AsOfDate,EDATE($D47,Milestones!$AA$56)&gt;=SchemeStart,IF($X47=0,$AD47,IF(AND($Z47&lt;&gt;"",EDATE($D47,Milestones!$AA$56)&gt;=$Z47),$AC47,IF(AND($Y47&lt;&gt;"",EDATE($D47,Milestones!$AA$56)&gt;=$Y47),$AB47,$AA47)))=Milestones!$AB$56),UPPER(TEXT(EDATE($D47,Milestones!$AA$56),"dd mmm yy"))&amp;" "&amp;Milestones!$AB$56&amp;" "&amp;IF(AND(Milestones!$AB$56="FT",Milestones!$AA$56=FT_Y5,EDATE($D47,Milestones!$AA$56)&lt;PolicyEff),1,Milestones!$AC$56)&amp;";  ","")&amp;IF(AND(EDATE($D47,Milestones!$AA$57)&lt;=AsOfDate,EDATE($D47,Milestones!$AA$57)&gt;=SchemeStart,IF($X47=0,$AD47,IF(AND($Z47&lt;&gt;"",EDATE($D47,Milestones!$AA$57)&gt;=$Z47),$AC47,IF(AND($Y47&lt;&gt;"",EDATE($D47,Milestones!$AA$57)&gt;=$Y47),$AB47,$AA47)))=Milestones!$AB$57),UPPER(TEXT(EDATE($D47,Milestones!$AA$57),"dd mmm yy"))&amp;" "&amp;Milestones!$AB$57&amp;" "&amp;IF(AND(Milestones!$AB$57="FT",Milestones!$AA$57=FT_Y5,EDATE($D47,Milestones!$AA$57)&lt;PolicyEff),1,Milestones!$AC$57)&amp;";  ","")&amp;IF(AND(EDATE($D47,Milestones!$AA$58)&lt;=AsOfDate,EDATE($D47,Milestones!$AA$58)&gt;=SchemeStart,IF($X47=0,$AD47,IF(AND($Z47&lt;&gt;"",EDATE($D47,Milestones!$AA$58)&gt;=$Z47),$AC47,IF(AND($Y47&lt;&gt;"",EDATE($D47,Milestones!$AA$58)&gt;=$Y47),$AB47,$AA47)))=Milestones!$AB$58),UPPER(TEXT(EDATE($D47,Milestones!$AA$58),"dd mmm yy"))&amp;" "&amp;Milestones!$AB$58&amp;" "&amp;IF(AND(Milestones!$AB$58="FT",Milestones!$AA$58=FT_Y5,EDATE($D47,Milestones!$AA$58)&lt;PolicyEff),1,Milestones!$AC$58)&amp;";  ","")&amp;IF(AND(EDATE($D47,Milestones!$AA$59)&lt;=AsOfDate,EDATE($D47,Milestones!$AA$59)&gt;=SchemeStart,IF($X47=0,$AD47,IF(AND($Z47&lt;&gt;"",EDATE($D47,Milestones!$AA$59)&gt;=$Z47),$AC47,IF(AND($Y47&lt;&gt;"",EDATE($D47,Milestones!$AA$59)&gt;=$Y47),$AB47,$AA47)))=Milestones!$AB$59),UPPER(TEXT(EDATE($D47,Milestones!$AA$59),"dd mmm yy"))&amp;" "&amp;Milestones!$AB$59&amp;" "&amp;IF(AND(Milestones!$AB$59="FT",Milestones!$AA$59=FT_Y5,EDATE($D47,Milestones!$AA$59)&lt;PolicyEff),1,Milestones!$AC$59)&amp;";  ","")&amp;IF(AND(EDATE($D47,Milestones!$AA$60)&lt;=AsOfDate,EDATE($D47,Milestones!$AA$60)&gt;=SchemeStart,IF($X47=0,$AD47,IF(AND($Z47&lt;&gt;"",EDATE($D47,Milestones!$AA$60)&gt;=$Z47),$AC47,IF(AND($Y47&lt;&gt;"",EDATE($D47,Milestones!$AA$60)&gt;=$Y47),$AB47,$AA47)))=Milestones!$AB$60),UPPER(TEXT(EDATE($D47,Milestones!$AA$60),"dd mmm yy"))&amp;" "&amp;Milestones!$AB$60&amp;" "&amp;IF(AND(Milestones!$AB$60="FT",Milestones!$AA$60=FT_Y5,EDATE($D47,Milestones!$AA$60)&lt;PolicyEff),1,Milestones!$AC$60)&amp;";  ","")&amp;IF(AND(EDATE($D47,Milestones!$AA$61)&lt;=AsOfDate,EDATE($D47,Milestones!$AA$61)&gt;=SchemeStart,IF($X47=0,$AD47,IF(AND($Z47&lt;&gt;"",EDATE($D47,Milestones!$AA$61)&gt;=$Z47),$AC47,IF(AND($Y47&lt;&gt;"",EDATE($D47,Milestones!$AA$61)&gt;=$Y47),$AB47,$AA47)))=Milestones!$AB$61),UPPER(TEXT(EDATE($D47,Milestones!$AA$61),"dd mmm yy"))&amp;" "&amp;Milestones!$AB$61&amp;" "&amp;IF(AND(Milestones!$AB$61="FT",Milestones!$AA$61=FT_Y5,EDATE($D47,Milestones!$AA$61)&lt;PolicyEff),1,Milestones!$AC$61)&amp;";  ","")&amp;IF(AND(EDATE($D47,Milestones!$AA$62)&lt;=AsOfDate,EDATE($D47,Milestones!$AA$62)&gt;=SchemeStart,IF($X47=0,$AD47,IF(AND($Z47&lt;&gt;"",EDATE($D47,Milestones!$AA$62)&gt;=$Z47),$AC47,IF(AND($Y47&lt;&gt;"",EDATE($D47,Milestones!$AA$62)&gt;=$Y47),$AB47,$AA47)))=Milestones!$AB$62),UPPER(TEXT(EDATE($D47,Milestones!$AA$62),"dd mmm yy"))&amp;" "&amp;Milestones!$AB$62&amp;" "&amp;IF(AND(Milestones!$AB$62="FT",Milestones!$AA$62=FT_Y5,EDATE($D47,Milestones!$AA$62)&lt;PolicyEff),1,Milestones!$AC$62)&amp;";  ","")&amp;IF(AND(EDATE($D47,Milestones!$AA$63)&lt;=AsOfDate,EDATE($D47,Milestones!$AA$63)&gt;=SchemeStart,IF($X47=0,$AD47,IF(AND($Z47&lt;&gt;"",EDATE($D47,Milestones!$AA$63)&gt;=$Z47),$AC47,IF(AND($Y47&lt;&gt;"",EDATE($D47,Milestones!$AA$63)&gt;=$Y47),$AB47,$AA47)))=Milestones!$AB$63),UPPER(TEXT(EDATE($D47,Milestones!$AA$63),"dd mmm yy"))&amp;" "&amp;Milestones!$AB$63&amp;" "&amp;IF(AND(Milestones!$AB$63="FT",Milestones!$AA$63=FT_Y5,EDATE($D47,Milestones!$AA$63)&lt;PolicyEff),1,Milestones!$AC$63)&amp;";  ","")&amp;IF(AND(EDATE($D47,Milestones!$AA$64)&lt;=AsOfDate,EDATE($D47,Milestones!$AA$64)&gt;=SchemeStart,IF($X47=0,$AD47,IF(AND($Z47&lt;&gt;"",EDATE($D47,Milestones!$AA$64)&gt;=$Z47),$AC47,IF(AND($Y47&lt;&gt;"",EDATE($D47,Milestones!$AA$64)&gt;=$Y47),$AB47,$AA47)))=Milestones!$AB$64),UPPER(TEXT(EDATE($D47,Milestones!$AA$64),"dd mmm yy"))&amp;" "&amp;Milestones!$AB$64&amp;" "&amp;IF(AND(Milestones!$AB$64="FT",Milestones!$AA$64=FT_Y5,EDATE($D47,Milestones!$AA$64)&lt;PolicyEff),1,Milestones!$AC$64)&amp;";  ","")&amp;IF(AND(EDATE($D47,Milestones!$AA$65)&lt;=AsOfDate,EDATE($D47,Milestones!$AA$65)&gt;=SchemeStart,IF($X47=0,$AD47,IF(AND($Z47&lt;&gt;"",EDATE($D47,Milestones!$AA$65)&gt;=$Z47),$AC47,IF(AND($Y47&lt;&gt;"",EDATE($D47,Milestones!$AA$65)&gt;=$Y47),$AB47,$AA47)))=Milestones!$AB$65),UPPER(TEXT(EDATE($D47,Milestones!$AA$65),"dd mmm yy"))&amp;" "&amp;Milestones!$AB$65&amp;" "&amp;IF(AND(Milestones!$AB$65="FT",Milestones!$AA$65=FT_Y5,EDATE($D47,Milestones!$AA$65)&lt;PolicyEff),1,Milestones!$AC$65)&amp;";  ","")&amp;IF(AND(EDATE($D47,Milestones!$AA$66)&lt;=AsOfDate,EDATE($D47,Milestones!$AA$66)&gt;=SchemeStart,IF($X47=0,$AD47,IF(AND($Z47&lt;&gt;"",EDATE($D47,Milestones!$AA$66)&gt;=$Z47),$AC47,IF(AND($Y47&lt;&gt;"",EDATE($D47,Milestones!$AA$66)&gt;=$Y47),$AB47,$AA47)))=Milestones!$AB$66),UPPER(TEXT(EDATE($D47,Milestones!$AA$66),"dd mmm yy"))&amp;" "&amp;Milestones!$AB$66&amp;" "&amp;IF(AND(Milestones!$AB$66="FT",Milestones!$AA$66=FT_Y5,EDATE($D47,Milestones!$AA$66)&lt;PolicyEff),1,Milestones!$AC$66)&amp;";  ","")&amp;IF(AND(EDATE($D47,Milestones!$AA$67)&lt;=AsOfDate,EDATE($D47,Milestones!$AA$67)&gt;=SchemeStart,IF($X47=0,$AD47,IF(AND($Z47&lt;&gt;"",EDATE($D47,Milestones!$AA$67)&gt;=$Z47),$AC47,IF(AND($Y47&lt;&gt;"",EDATE($D47,Milestones!$AA$67)&gt;=$Y47),$AB47,$AA47)))=Milestones!$AB$67),UPPER(TEXT(EDATE($D47,Milestones!$AA$67),"dd mmm yy"))&amp;" "&amp;Milestones!$AB$67&amp;" "&amp;IF(AND(Milestones!$AB$67="FT",Milestones!$AA$67=FT_Y5,EDATE($D47,Milestones!$AA$67)&lt;PolicyEff),1,Milestones!$AC$67)&amp;";  ",""))</f>
        <v/>
      </c>
      <c r="M47" s="0" t="str">
        <f aca="false">IF(OR($A47="",$D47=""),"",IF(AND(EDATE($D47,Milestones!$AA$68)&lt;=AsOfDate,EDATE($D47,Milestones!$AA$68)&gt;=SchemeStart,IF($X47=0,$AD47,IF(AND($Z47&lt;&gt;"",EDATE($D47,Milestones!$AA$68)&gt;=$Z47),$AC47,IF(AND($Y47&lt;&gt;"",EDATE($D47,Milestones!$AA$68)&gt;=$Y47),$AB47,$AA47)))=Milestones!$AB$68),UPPER(TEXT(EDATE($D47,Milestones!$AA$68),"dd mmm yy"))&amp;" "&amp;Milestones!$AB$68&amp;" "&amp;IF(AND(Milestones!$AB$68="FT",Milestones!$AA$68=FT_Y5,EDATE($D47,Milestones!$AA$68)&lt;PolicyEff),1,Milestones!$AC$68)&amp;";  ","")&amp;IF(AND(EDATE($D47,Milestones!$AA$69)&lt;=AsOfDate,EDATE($D47,Milestones!$AA$69)&gt;=SchemeStart,IF($X47=0,$AD47,IF(AND($Z47&lt;&gt;"",EDATE($D47,Milestones!$AA$69)&gt;=$Z47),$AC47,IF(AND($Y47&lt;&gt;"",EDATE($D47,Milestones!$AA$69)&gt;=$Y47),$AB47,$AA47)))=Milestones!$AB$69),UPPER(TEXT(EDATE($D47,Milestones!$AA$69),"dd mmm yy"))&amp;" "&amp;Milestones!$AB$69&amp;" "&amp;IF(AND(Milestones!$AB$69="FT",Milestones!$AA$69=FT_Y5,EDATE($D47,Milestones!$AA$69)&lt;PolicyEff),1,Milestones!$AC$69)&amp;";  ","")&amp;IF(AND(EDATE($D47,Milestones!$AA$70)&lt;=AsOfDate,EDATE($D47,Milestones!$AA$70)&gt;=SchemeStart,IF($X47=0,$AD47,IF(AND($Z47&lt;&gt;"",EDATE($D47,Milestones!$AA$70)&gt;=$Z47),$AC47,IF(AND($Y47&lt;&gt;"",EDATE($D47,Milestones!$AA$70)&gt;=$Y47),$AB47,$AA47)))=Milestones!$AB$70),UPPER(TEXT(EDATE($D47,Milestones!$AA$70),"dd mmm yy"))&amp;" "&amp;Milestones!$AB$70&amp;" "&amp;IF(AND(Milestones!$AB$70="FT",Milestones!$AA$70=FT_Y5,EDATE($D47,Milestones!$AA$70)&lt;PolicyEff),1,Milestones!$AC$70)&amp;";  ","")&amp;IF(AND(EDATE($D47,Milestones!$AA$71)&lt;=AsOfDate,EDATE($D47,Milestones!$AA$71)&gt;=SchemeStart,IF($X47=0,$AD47,IF(AND($Z47&lt;&gt;"",EDATE($D47,Milestones!$AA$71)&gt;=$Z47),$AC47,IF(AND($Y47&lt;&gt;"",EDATE($D47,Milestones!$AA$71)&gt;=$Y47),$AB47,$AA47)))=Milestones!$AB$71),UPPER(TEXT(EDATE($D47,Milestones!$AA$71),"dd mmm yy"))&amp;" "&amp;Milestones!$AB$71&amp;" "&amp;IF(AND(Milestones!$AB$71="FT",Milestones!$AA$71=FT_Y5,EDATE($D47,Milestones!$AA$71)&lt;PolicyEff),1,Milestones!$AC$71)&amp;";  ","")&amp;IF(AND(EDATE($D47,Milestones!$AA$72)&lt;=AsOfDate,EDATE($D47,Milestones!$AA$72)&gt;=SchemeStart,IF($X47=0,$AD47,IF(AND($Z47&lt;&gt;"",EDATE($D47,Milestones!$AA$72)&gt;=$Z47),$AC47,IF(AND($Y47&lt;&gt;"",EDATE($D47,Milestones!$AA$72)&gt;=$Y47),$AB47,$AA47)))=Milestones!$AB$72),UPPER(TEXT(EDATE($D47,Milestones!$AA$72),"dd mmm yy"))&amp;" "&amp;Milestones!$AB$72&amp;" "&amp;IF(AND(Milestones!$AB$72="FT",Milestones!$AA$72=FT_Y5,EDATE($D47,Milestones!$AA$72)&lt;PolicyEff),1,Milestones!$AC$72)&amp;";  ","")&amp;IF(AND(EDATE($D47,Milestones!$AA$73)&lt;=AsOfDate,EDATE($D47,Milestones!$AA$73)&gt;=SchemeStart,IF($X47=0,$AD47,IF(AND($Z47&lt;&gt;"",EDATE($D47,Milestones!$AA$73)&gt;=$Z47),$AC47,IF(AND($Y47&lt;&gt;"",EDATE($D47,Milestones!$AA$73)&gt;=$Y47),$AB47,$AA47)))=Milestones!$AB$73),UPPER(TEXT(EDATE($D47,Milestones!$AA$73),"dd mmm yy"))&amp;" "&amp;Milestones!$AB$73&amp;" "&amp;IF(AND(Milestones!$AB$73="FT",Milestones!$AA$73=FT_Y5,EDATE($D47,Milestones!$AA$73)&lt;PolicyEff),1,Milestones!$AC$73)&amp;";  ","")&amp;IF(AND(EDATE($D47,Milestones!$AA$74)&lt;=AsOfDate,EDATE($D47,Milestones!$AA$74)&gt;=SchemeStart,IF($X47=0,$AD47,IF(AND($Z47&lt;&gt;"",EDATE($D47,Milestones!$AA$74)&gt;=$Z47),$AC47,IF(AND($Y47&lt;&gt;"",EDATE($D47,Milestones!$AA$74)&gt;=$Y47),$AB47,$AA47)))=Milestones!$AB$74),UPPER(TEXT(EDATE($D47,Milestones!$AA$74),"dd mmm yy"))&amp;" "&amp;Milestones!$AB$74&amp;" "&amp;IF(AND(Milestones!$AB$74="FT",Milestones!$AA$74=FT_Y5,EDATE($D47,Milestones!$AA$74)&lt;PolicyEff),1,Milestones!$AC$74)&amp;";  ","")&amp;IF(AND(EDATE($D47,Milestones!$AA$75)&lt;=AsOfDate,EDATE($D47,Milestones!$AA$75)&gt;=SchemeStart,IF($X47=0,$AD47,IF(AND($Z47&lt;&gt;"",EDATE($D47,Milestones!$AA$75)&gt;=$Z47),$AC47,IF(AND($Y47&lt;&gt;"",EDATE($D47,Milestones!$AA$75)&gt;=$Y47),$AB47,$AA47)))=Milestones!$AB$75),UPPER(TEXT(EDATE($D47,Milestones!$AA$75),"dd mmm yy"))&amp;" "&amp;Milestones!$AB$75&amp;" "&amp;IF(AND(Milestones!$AB$75="FT",Milestones!$AA$75=FT_Y5,EDATE($D47,Milestones!$AA$75)&lt;PolicyEff),1,Milestones!$AC$75)&amp;";  ","")&amp;IF(AND(EDATE($D47,Milestones!$AA$76)&lt;=AsOfDate,EDATE($D47,Milestones!$AA$76)&gt;=SchemeStart,IF($X47=0,$AD47,IF(AND($Z47&lt;&gt;"",EDATE($D47,Milestones!$AA$76)&gt;=$Z47),$AC47,IF(AND($Y47&lt;&gt;"",EDATE($D47,Milestones!$AA$76)&gt;=$Y47),$AB47,$AA47)))=Milestones!$AB$76),UPPER(TEXT(EDATE($D47,Milestones!$AA$76),"dd mmm yy"))&amp;" "&amp;Milestones!$AB$76&amp;" "&amp;IF(AND(Milestones!$AB$76="FT",Milestones!$AA$76=FT_Y5,EDATE($D47,Milestones!$AA$76)&lt;PolicyEff),1,Milestones!$AC$76)&amp;";  ","")&amp;IF(AND(EDATE($D47,Milestones!$AA$77)&lt;=AsOfDate,EDATE($D47,Milestones!$AA$77)&gt;=SchemeStart,IF($X47=0,$AD47,IF(AND($Z47&lt;&gt;"",EDATE($D47,Milestones!$AA$77)&gt;=$Z47),$AC47,IF(AND($Y47&lt;&gt;"",EDATE($D47,Milestones!$AA$77)&gt;=$Y47),$AB47,$AA47)))=Milestones!$AB$77),UPPER(TEXT(EDATE($D47,Milestones!$AA$77),"dd mmm yy"))&amp;" "&amp;Milestones!$AB$77&amp;" "&amp;IF(AND(Milestones!$AB$77="FT",Milestones!$AA$77=FT_Y5,EDATE($D47,Milestones!$AA$77)&lt;PolicyEff),1,Milestones!$AC$77)&amp;";  ","")&amp;IF(AND(EDATE($D47,Milestones!$AA$78)&lt;=AsOfDate,EDATE($D47,Milestones!$AA$78)&gt;=SchemeStart,IF($X47=0,$AD47,IF(AND($Z47&lt;&gt;"",EDATE($D47,Milestones!$AA$78)&gt;=$Z47),$AC47,IF(AND($Y47&lt;&gt;"",EDATE($D47,Milestones!$AA$78)&gt;=$Y47),$AB47,$AA47)))=Milestones!$AB$78),UPPER(TEXT(EDATE($D47,Milestones!$AA$78),"dd mmm yy"))&amp;" "&amp;Milestones!$AB$78&amp;" "&amp;IF(AND(Milestones!$AB$78="FT",Milestones!$AA$78=FT_Y5,EDATE($D47,Milestones!$AA$78)&lt;PolicyEff),1,Milestones!$AC$78)&amp;";  ","")&amp;IF(AND(EDATE($D47,Milestones!$AA$79)&lt;=AsOfDate,EDATE($D47,Milestones!$AA$79)&gt;=SchemeStart,IF($X47=0,$AD47,IF(AND($Z47&lt;&gt;"",EDATE($D47,Milestones!$AA$79)&gt;=$Z47),$AC47,IF(AND($Y47&lt;&gt;"",EDATE($D47,Milestones!$AA$79)&gt;=$Y47),$AB47,$AA47)))=Milestones!$AB$79),UPPER(TEXT(EDATE($D47,Milestones!$AA$79),"dd mmm yy"))&amp;" "&amp;Milestones!$AB$79&amp;" "&amp;IF(AND(Milestones!$AB$79="FT",Milestones!$AA$79=FT_Y5,EDATE($D47,Milestones!$AA$79)&lt;PolicyEff),1,Milestones!$AC$79)&amp;";  ",""))</f>
        <v/>
      </c>
      <c r="N47" s="0" t="str">
        <f aca="false">IF(OR($A47="",$D47=""),"",IF(AND(EDATE($D47,Milestones!$AA$80)&lt;=AsOfDate,EDATE($D47,Milestones!$AA$80)&gt;=SchemeStart,IF($X47=0,$AD47,IF(AND($Z47&lt;&gt;"",EDATE($D47,Milestones!$AA$80)&gt;=$Z47),$AC47,IF(AND($Y47&lt;&gt;"",EDATE($D47,Milestones!$AA$80)&gt;=$Y47),$AB47,$AA47)))=Milestones!$AB$80),UPPER(TEXT(EDATE($D47,Milestones!$AA$80),"dd mmm yy"))&amp;" "&amp;Milestones!$AB$80&amp;" "&amp;IF(AND(Milestones!$AB$80="FT",Milestones!$AA$80=FT_Y5,EDATE($D47,Milestones!$AA$80)&lt;PolicyEff),1,Milestones!$AC$80)&amp;";  ","")&amp;IF(AND(EDATE($D47,Milestones!$AA$81)&lt;=AsOfDate,EDATE($D47,Milestones!$AA$81)&gt;=SchemeStart,IF($X47=0,$AD47,IF(AND($Z47&lt;&gt;"",EDATE($D47,Milestones!$AA$81)&gt;=$Z47),$AC47,IF(AND($Y47&lt;&gt;"",EDATE($D47,Milestones!$AA$81)&gt;=$Y47),$AB47,$AA47)))=Milestones!$AB$81),UPPER(TEXT(EDATE($D47,Milestones!$AA$81),"dd mmm yy"))&amp;" "&amp;Milestones!$AB$81&amp;" "&amp;IF(AND(Milestones!$AB$81="FT",Milestones!$AA$81=FT_Y5,EDATE($D47,Milestones!$AA$81)&lt;PolicyEff),1,Milestones!$AC$81)&amp;";  ","")&amp;IF(AND(EDATE($D47,Milestones!$AA$82)&lt;=AsOfDate,EDATE($D47,Milestones!$AA$82)&gt;=SchemeStart,IF($X47=0,$AD47,IF(AND($Z47&lt;&gt;"",EDATE($D47,Milestones!$AA$82)&gt;=$Z47),$AC47,IF(AND($Y47&lt;&gt;"",EDATE($D47,Milestones!$AA$82)&gt;=$Y47),$AB47,$AA47)))=Milestones!$AB$82),UPPER(TEXT(EDATE($D47,Milestones!$AA$82),"dd mmm yy"))&amp;" "&amp;Milestones!$AB$82&amp;" "&amp;IF(AND(Milestones!$AB$82="FT",Milestones!$AA$82=FT_Y5,EDATE($D47,Milestones!$AA$82)&lt;PolicyEff),1,Milestones!$AC$82)&amp;";  ","")&amp;IF(AND(EDATE($D47,Milestones!$AA$83)&lt;=AsOfDate,EDATE($D47,Milestones!$AA$83)&gt;=SchemeStart,IF($X47=0,$AD47,IF(AND($Z47&lt;&gt;"",EDATE($D47,Milestones!$AA$83)&gt;=$Z47),$AC47,IF(AND($Y47&lt;&gt;"",EDATE($D47,Milestones!$AA$83)&gt;=$Y47),$AB47,$AA47)))=Milestones!$AB$83),UPPER(TEXT(EDATE($D47,Milestones!$AA$83),"dd mmm yy"))&amp;" "&amp;Milestones!$AB$83&amp;" "&amp;IF(AND(Milestones!$AB$83="FT",Milestones!$AA$83=FT_Y5,EDATE($D47,Milestones!$AA$83)&lt;PolicyEff),1,Milestones!$AC$83)&amp;";  ","")&amp;IF(AND(EDATE($D47,Milestones!$AA$84)&lt;=AsOfDate,EDATE($D47,Milestones!$AA$84)&gt;=SchemeStart,IF($X47=0,$AD47,IF(AND($Z47&lt;&gt;"",EDATE($D47,Milestones!$AA$84)&gt;=$Z47),$AC47,IF(AND($Y47&lt;&gt;"",EDATE($D47,Milestones!$AA$84)&gt;=$Y47),$AB47,$AA47)))=Milestones!$AB$84),UPPER(TEXT(EDATE($D47,Milestones!$AA$84),"dd mmm yy"))&amp;" "&amp;Milestones!$AB$84&amp;" "&amp;IF(AND(Milestones!$AB$84="FT",Milestones!$AA$84=FT_Y5,EDATE($D47,Milestones!$AA$84)&lt;PolicyEff),1,Milestones!$AC$84)&amp;";  ","")&amp;IF(AND(EDATE($D47,Milestones!$AA$85)&lt;=AsOfDate,EDATE($D47,Milestones!$AA$85)&gt;=SchemeStart,IF($X47=0,$AD47,IF(AND($Z47&lt;&gt;"",EDATE($D47,Milestones!$AA$85)&gt;=$Z47),$AC47,IF(AND($Y47&lt;&gt;"",EDATE($D47,Milestones!$AA$85)&gt;=$Y47),$AB47,$AA47)))=Milestones!$AB$85),UPPER(TEXT(EDATE($D47,Milestones!$AA$85),"dd mmm yy"))&amp;" "&amp;Milestones!$AB$85&amp;" "&amp;IF(AND(Milestones!$AB$85="FT",Milestones!$AA$85=FT_Y5,EDATE($D47,Milestones!$AA$85)&lt;PolicyEff),1,Milestones!$AC$85)&amp;";  ","")&amp;IF(AND(EDATE($D47,Milestones!$AA$86)&lt;=AsOfDate,EDATE($D47,Milestones!$AA$86)&gt;=SchemeStart,IF($X47=0,$AD47,IF(AND($Z47&lt;&gt;"",EDATE($D47,Milestones!$AA$86)&gt;=$Z47),$AC47,IF(AND($Y47&lt;&gt;"",EDATE($D47,Milestones!$AA$86)&gt;=$Y47),$AB47,$AA47)))=Milestones!$AB$86),UPPER(TEXT(EDATE($D47,Milestones!$AA$86),"dd mmm yy"))&amp;" "&amp;Milestones!$AB$86&amp;" "&amp;IF(AND(Milestones!$AB$86="FT",Milestones!$AA$86=FT_Y5,EDATE($D47,Milestones!$AA$86)&lt;PolicyEff),1,Milestones!$AC$86)&amp;";  ","")&amp;IF(AND(EDATE($D47,Milestones!$AA$87)&lt;=AsOfDate,EDATE($D47,Milestones!$AA$87)&gt;=SchemeStart,IF($X47=0,$AD47,IF(AND($Z47&lt;&gt;"",EDATE($D47,Milestones!$AA$87)&gt;=$Z47),$AC47,IF(AND($Y47&lt;&gt;"",EDATE($D47,Milestones!$AA$87)&gt;=$Y47),$AB47,$AA47)))=Milestones!$AB$87),UPPER(TEXT(EDATE($D47,Milestones!$AA$87),"dd mmm yy"))&amp;" "&amp;Milestones!$AB$87&amp;" "&amp;IF(AND(Milestones!$AB$87="FT",Milestones!$AA$87=FT_Y5,EDATE($D47,Milestones!$AA$87)&lt;PolicyEff),1,Milestones!$AC$87)&amp;";  ","")&amp;IF(AND(EDATE($D47,Milestones!$AA$88)&lt;=AsOfDate,EDATE($D47,Milestones!$AA$88)&gt;=SchemeStart,IF($X47=0,$AD47,IF(AND($Z47&lt;&gt;"",EDATE($D47,Milestones!$AA$88)&gt;=$Z47),$AC47,IF(AND($Y47&lt;&gt;"",EDATE($D47,Milestones!$AA$88)&gt;=$Y47),$AB47,$AA47)))=Milestones!$AB$88),UPPER(TEXT(EDATE($D47,Milestones!$AA$88),"dd mmm yy"))&amp;" "&amp;Milestones!$AB$88&amp;" "&amp;IF(AND(Milestones!$AB$88="FT",Milestones!$AA$88=FT_Y5,EDATE($D47,Milestones!$AA$88)&lt;PolicyEff),1,Milestones!$AC$88)&amp;";  ","")&amp;IF(AND(EDATE($D47,Milestones!$AA$89)&lt;=AsOfDate,EDATE($D47,Milestones!$AA$89)&gt;=SchemeStart,IF($X47=0,$AD47,IF(AND($Z47&lt;&gt;"",EDATE($D47,Milestones!$AA$89)&gt;=$Z47),$AC47,IF(AND($Y47&lt;&gt;"",EDATE($D47,Milestones!$AA$89)&gt;=$Y47),$AB47,$AA47)))=Milestones!$AB$89),UPPER(TEXT(EDATE($D47,Milestones!$AA$89),"dd mmm yy"))&amp;" "&amp;Milestones!$AB$89&amp;" "&amp;IF(AND(Milestones!$AB$89="FT",Milestones!$AA$89=FT_Y5,EDATE($D47,Milestones!$AA$89)&lt;PolicyEff),1,Milestones!$AC$89)&amp;";  ","")&amp;IF(AND(EDATE($D47,Milestones!$AA$90)&lt;=AsOfDate,EDATE($D47,Milestones!$AA$90)&gt;=SchemeStart,IF($X47=0,$AD47,IF(AND($Z47&lt;&gt;"",EDATE($D47,Milestones!$AA$90)&gt;=$Z47),$AC47,IF(AND($Y47&lt;&gt;"",EDATE($D47,Milestones!$AA$90)&gt;=$Y47),$AB47,$AA47)))=Milestones!$AB$90),UPPER(TEXT(EDATE($D47,Milestones!$AA$90),"dd mmm yy"))&amp;" "&amp;Milestones!$AB$90&amp;" "&amp;IF(AND(Milestones!$AB$90="FT",Milestones!$AA$90=FT_Y5,EDATE($D47,Milestones!$AA$90)&lt;PolicyEff),1,Milestones!$AC$90)&amp;";  ","")&amp;IF(AND(EDATE($D47,Milestones!$AA$91)&lt;=AsOfDate,EDATE($D47,Milestones!$AA$91)&gt;=SchemeStart,IF($X47=0,$AD47,IF(AND($Z47&lt;&gt;"",EDATE($D47,Milestones!$AA$91)&gt;=$Z47),$AC47,IF(AND($Y47&lt;&gt;"",EDATE($D47,Milestones!$AA$91)&gt;=$Y47),$AB47,$AA47)))=Milestones!$AB$91),UPPER(TEXT(EDATE($D47,Milestones!$AA$91),"dd mmm yy"))&amp;" "&amp;Milestones!$AB$91&amp;" "&amp;IF(AND(Milestones!$AB$91="FT",Milestones!$AA$91=FT_Y5,EDATE($D47,Milestones!$AA$91)&lt;PolicyEff),1,Milestones!$AC$91)&amp;";  ",""))</f>
        <v/>
      </c>
      <c r="O47" s="0" t="str">
        <f aca="false">IF(OR($A47="",$D47=""),"",IF(AND(EDATE($D47,Milestones!$AA$92)&lt;=AsOfDate,EDATE($D47,Milestones!$AA$92)&gt;=SchemeStart,IF($X47=0,$AD47,IF(AND($Z47&lt;&gt;"",EDATE($D47,Milestones!$AA$92)&gt;=$Z47),$AC47,IF(AND($Y47&lt;&gt;"",EDATE($D47,Milestones!$AA$92)&gt;=$Y47),$AB47,$AA47)))=Milestones!$AB$92),UPPER(TEXT(EDATE($D47,Milestones!$AA$92),"dd mmm yy"))&amp;" "&amp;Milestones!$AB$92&amp;" "&amp;IF(AND(Milestones!$AB$92="FT",Milestones!$AA$92=FT_Y5,EDATE($D47,Milestones!$AA$92)&lt;PolicyEff),1,Milestones!$AC$92)&amp;";  ","")&amp;IF(AND(EDATE($D47,Milestones!$AA$93)&lt;=AsOfDate,EDATE($D47,Milestones!$AA$93)&gt;=SchemeStart,IF($X47=0,$AD47,IF(AND($Z47&lt;&gt;"",EDATE($D47,Milestones!$AA$93)&gt;=$Z47),$AC47,IF(AND($Y47&lt;&gt;"",EDATE($D47,Milestones!$AA$93)&gt;=$Y47),$AB47,$AA47)))=Milestones!$AB$93),UPPER(TEXT(EDATE($D47,Milestones!$AA$93),"dd mmm yy"))&amp;" "&amp;Milestones!$AB$93&amp;" "&amp;IF(AND(Milestones!$AB$93="FT",Milestones!$AA$93=FT_Y5,EDATE($D47,Milestones!$AA$93)&lt;PolicyEff),1,Milestones!$AC$93)&amp;";  ","")&amp;IF(AND(EDATE($D47,Milestones!$AA$94)&lt;=AsOfDate,EDATE($D47,Milestones!$AA$94)&gt;=SchemeStart,IF($X47=0,$AD47,IF(AND($Z47&lt;&gt;"",EDATE($D47,Milestones!$AA$94)&gt;=$Z47),$AC47,IF(AND($Y47&lt;&gt;"",EDATE($D47,Milestones!$AA$94)&gt;=$Y47),$AB47,$AA47)))=Milestones!$AB$94),UPPER(TEXT(EDATE($D47,Milestones!$AA$94),"dd mmm yy"))&amp;" "&amp;Milestones!$AB$94&amp;" "&amp;IF(AND(Milestones!$AB$94="FT",Milestones!$AA$94=FT_Y5,EDATE($D47,Milestones!$AA$94)&lt;PolicyEff),1,Milestones!$AC$94)&amp;";  ","")&amp;IF(AND(EDATE($D47,Milestones!$AA$95)&lt;=AsOfDate,EDATE($D47,Milestones!$AA$95)&gt;=SchemeStart,IF($X47=0,$AD47,IF(AND($Z47&lt;&gt;"",EDATE($D47,Milestones!$AA$95)&gt;=$Z47),$AC47,IF(AND($Y47&lt;&gt;"",EDATE($D47,Milestones!$AA$95)&gt;=$Y47),$AB47,$AA47)))=Milestones!$AB$95),UPPER(TEXT(EDATE($D47,Milestones!$AA$95),"dd mmm yy"))&amp;" "&amp;Milestones!$AB$95&amp;" "&amp;IF(AND(Milestones!$AB$95="FT",Milestones!$AA$95=FT_Y5,EDATE($D47,Milestones!$AA$95)&lt;PolicyEff),1,Milestones!$AC$95)&amp;";  ","")&amp;IF(AND(EDATE($D47,Milestones!$AA$96)&lt;=AsOfDate,EDATE($D47,Milestones!$AA$96)&gt;=SchemeStart,IF($X47=0,$AD47,IF(AND($Z47&lt;&gt;"",EDATE($D47,Milestones!$AA$96)&gt;=$Z47),$AC47,IF(AND($Y47&lt;&gt;"",EDATE($D47,Milestones!$AA$96)&gt;=$Y47),$AB47,$AA47)))=Milestones!$AB$96),UPPER(TEXT(EDATE($D47,Milestones!$AA$96),"dd mmm yy"))&amp;" "&amp;Milestones!$AB$96&amp;" "&amp;IF(AND(Milestones!$AB$96="FT",Milestones!$AA$96=FT_Y5,EDATE($D47,Milestones!$AA$96)&lt;PolicyEff),1,Milestones!$AC$96)&amp;";  ","")&amp;IF(AND(EDATE($D47,Milestones!$AA$97)&lt;=AsOfDate,EDATE($D47,Milestones!$AA$97)&gt;=SchemeStart,IF($X47=0,$AD47,IF(AND($Z47&lt;&gt;"",EDATE($D47,Milestones!$AA$97)&gt;=$Z47),$AC47,IF(AND($Y47&lt;&gt;"",EDATE($D47,Milestones!$AA$97)&gt;=$Y47),$AB47,$AA47)))=Milestones!$AB$97),UPPER(TEXT(EDATE($D47,Milestones!$AA$97),"dd mmm yy"))&amp;" "&amp;Milestones!$AB$97&amp;" "&amp;IF(AND(Milestones!$AB$97="FT",Milestones!$AA$97=FT_Y5,EDATE($D47,Milestones!$AA$97)&lt;PolicyEff),1,Milestones!$AC$97)&amp;";  ","")&amp;IF(AND(EDATE($D47,Milestones!$AA$98)&lt;=AsOfDate,EDATE($D47,Milestones!$AA$98)&gt;=SchemeStart,IF($X47=0,$AD47,IF(AND($Z47&lt;&gt;"",EDATE($D47,Milestones!$AA$98)&gt;=$Z47),$AC47,IF(AND($Y47&lt;&gt;"",EDATE($D47,Milestones!$AA$98)&gt;=$Y47),$AB47,$AA47)))=Milestones!$AB$98),UPPER(TEXT(EDATE($D47,Milestones!$AA$98),"dd mmm yy"))&amp;" "&amp;Milestones!$AB$98&amp;" "&amp;IF(AND(Milestones!$AB$98="FT",Milestones!$AA$98=FT_Y5,EDATE($D47,Milestones!$AA$98)&lt;PolicyEff),1,Milestones!$AC$98)&amp;";  ","")&amp;IF(AND(EDATE($D47,Milestones!$AA$99)&lt;=AsOfDate,EDATE($D47,Milestones!$AA$99)&gt;=SchemeStart,IF($X47=0,$AD47,IF(AND($Z47&lt;&gt;"",EDATE($D47,Milestones!$AA$99)&gt;=$Z47),$AC47,IF(AND($Y47&lt;&gt;"",EDATE($D47,Milestones!$AA$99)&gt;=$Y47),$AB47,$AA47)))=Milestones!$AB$99),UPPER(TEXT(EDATE($D47,Milestones!$AA$99),"dd mmm yy"))&amp;" "&amp;Milestones!$AB$99&amp;" "&amp;IF(AND(Milestones!$AB$99="FT",Milestones!$AA$99=FT_Y5,EDATE($D47,Milestones!$AA$99)&lt;PolicyEff),1,Milestones!$AC$99)&amp;";  ","")&amp;IF(AND(EDATE($D47,Milestones!$AA$100)&lt;=AsOfDate,EDATE($D47,Milestones!$AA$100)&gt;=SchemeStart,IF($X47=0,$AD47,IF(AND($Z47&lt;&gt;"",EDATE($D47,Milestones!$AA$100)&gt;=$Z47),$AC47,IF(AND($Y47&lt;&gt;"",EDATE($D47,Milestones!$AA$100)&gt;=$Y47),$AB47,$AA47)))=Milestones!$AB$100),UPPER(TEXT(EDATE($D47,Milestones!$AA$100),"dd mmm yy"))&amp;" "&amp;Milestones!$AB$100&amp;" "&amp;IF(AND(Milestones!$AB$100="FT",Milestones!$AA$100=FT_Y5,EDATE($D47,Milestones!$AA$100)&lt;PolicyEff),1,Milestones!$AC$100)&amp;";  ","")&amp;IF(AND(EDATE($D47,Milestones!$AA$101)&lt;=AsOfDate,EDATE($D47,Milestones!$AA$101)&gt;=SchemeStart,IF($X47=0,$AD47,IF(AND($Z47&lt;&gt;"",EDATE($D47,Milestones!$AA$101)&gt;=$Z47),$AC47,IF(AND($Y47&lt;&gt;"",EDATE($D47,Milestones!$AA$101)&gt;=$Y47),$AB47,$AA47)))=Milestones!$AB$101),UPPER(TEXT(EDATE($D47,Milestones!$AA$101),"dd mmm yy"))&amp;" "&amp;Milestones!$AB$101&amp;" "&amp;IF(AND(Milestones!$AB$101="FT",Milestones!$AA$101=FT_Y5,EDATE($D47,Milestones!$AA$101)&lt;PolicyEff),1,Milestones!$AC$101)&amp;";  ","")&amp;IF(AND(EDATE($D47,Milestones!$AA$102)&lt;=AsOfDate,EDATE($D47,Milestones!$AA$102)&gt;=SchemeStart,IF($X47=0,$AD47,IF(AND($Z47&lt;&gt;"",EDATE($D47,Milestones!$AA$102)&gt;=$Z47),$AC47,IF(AND($Y47&lt;&gt;"",EDATE($D47,Milestones!$AA$102)&gt;=$Y47),$AB47,$AA47)))=Milestones!$AB$102),UPPER(TEXT(EDATE($D47,Milestones!$AA$102),"dd mmm yy"))&amp;" "&amp;Milestones!$AB$102&amp;" "&amp;IF(AND(Milestones!$AB$102="FT",Milestones!$AA$102=FT_Y5,EDATE($D47,Milestones!$AA$102)&lt;PolicyEff),1,Milestones!$AC$102)&amp;";  ","")&amp;IF(AND(EDATE($D47,Milestones!$AA$103)&lt;=AsOfDate,EDATE($D47,Milestones!$AA$103)&gt;=SchemeStart,IF($X47=0,$AD47,IF(AND($Z47&lt;&gt;"",EDATE($D47,Milestones!$AA$103)&gt;=$Z47),$AC47,IF(AND($Y47&lt;&gt;"",EDATE($D47,Milestones!$AA$103)&gt;=$Y47),$AB47,$AA47)))=Milestones!$AB$103),UPPER(TEXT(EDATE($D47,Milestones!$AA$103),"dd mmm yy"))&amp;" "&amp;Milestones!$AB$103&amp;" "&amp;IF(AND(Milestones!$AB$103="FT",Milestones!$AA$103=FT_Y5,EDATE($D47,Milestones!$AA$103)&lt;PolicyEff),1,Milestones!$AC$103)&amp;";  ",""))</f>
        <v/>
      </c>
      <c r="P47" s="0" t="str">
        <f aca="false">IF(OR($A47="",$D47=""),"",IF(AND(EDATE($D47,Milestones!$AA$104)&lt;=AsOfDate,EDATE($D47,Milestones!$AA$104)&gt;=SchemeStart,IF($X47=0,$AD47,IF(AND($Z47&lt;&gt;"",EDATE($D47,Milestones!$AA$104)&gt;=$Z47),$AC47,IF(AND($Y47&lt;&gt;"",EDATE($D47,Milestones!$AA$104)&gt;=$Y47),$AB47,$AA47)))=Milestones!$AB$104),UPPER(TEXT(EDATE($D47,Milestones!$AA$104),"dd mmm yy"))&amp;" "&amp;Milestones!$AB$104&amp;" "&amp;IF(AND(Milestones!$AB$104="FT",Milestones!$AA$104=FT_Y5,EDATE($D47,Milestones!$AA$104)&lt;PolicyEff),1,Milestones!$AC$104)&amp;";  ","")&amp;IF(AND(EDATE($D47,Milestones!$AA$105)&lt;=AsOfDate,EDATE($D47,Milestones!$AA$105)&gt;=SchemeStart,IF($X47=0,$AD47,IF(AND($Z47&lt;&gt;"",EDATE($D47,Milestones!$AA$105)&gt;=$Z47),$AC47,IF(AND($Y47&lt;&gt;"",EDATE($D47,Milestones!$AA$105)&gt;=$Y47),$AB47,$AA47)))=Milestones!$AB$105),UPPER(TEXT(EDATE($D47,Milestones!$AA$105),"dd mmm yy"))&amp;" "&amp;Milestones!$AB$105&amp;" "&amp;IF(AND(Milestones!$AB$105="FT",Milestones!$AA$105=FT_Y5,EDATE($D47,Milestones!$AA$105)&lt;PolicyEff),1,Milestones!$AC$105)&amp;";  ","")&amp;IF(AND(EDATE($D47,Milestones!$AA$106)&lt;=AsOfDate,EDATE($D47,Milestones!$AA$106)&gt;=SchemeStart,IF($X47=0,$AD47,IF(AND($Z47&lt;&gt;"",EDATE($D47,Milestones!$AA$106)&gt;=$Z47),$AC47,IF(AND($Y47&lt;&gt;"",EDATE($D47,Milestones!$AA$106)&gt;=$Y47),$AB47,$AA47)))=Milestones!$AB$106),UPPER(TEXT(EDATE($D47,Milestones!$AA$106),"dd mmm yy"))&amp;" "&amp;Milestones!$AB$106&amp;" "&amp;IF(AND(Milestones!$AB$106="FT",Milestones!$AA$106=FT_Y5,EDATE($D47,Milestones!$AA$106)&lt;PolicyEff),1,Milestones!$AC$106)&amp;";  ","")&amp;IF(AND(EDATE($D47,Milestones!$AA$107)&lt;=AsOfDate,EDATE($D47,Milestones!$AA$107)&gt;=SchemeStart,IF($X47=0,$AD47,IF(AND($Z47&lt;&gt;"",EDATE($D47,Milestones!$AA$107)&gt;=$Z47),$AC47,IF(AND($Y47&lt;&gt;"",EDATE($D47,Milestones!$AA$107)&gt;=$Y47),$AB47,$AA47)))=Milestones!$AB$107),UPPER(TEXT(EDATE($D47,Milestones!$AA$107),"dd mmm yy"))&amp;" "&amp;Milestones!$AB$107&amp;" "&amp;IF(AND(Milestones!$AB$107="FT",Milestones!$AA$107=FT_Y5,EDATE($D47,Milestones!$AA$107)&lt;PolicyEff),1,Milestones!$AC$107)&amp;";  ","")&amp;IF(AND(EDATE($D47,Milestones!$AA$108)&lt;=AsOfDate,EDATE($D47,Milestones!$AA$108)&gt;=SchemeStart,IF($X47=0,$AD47,IF(AND($Z47&lt;&gt;"",EDATE($D47,Milestones!$AA$108)&gt;=$Z47),$AC47,IF(AND($Y47&lt;&gt;"",EDATE($D47,Milestones!$AA$108)&gt;=$Y47),$AB47,$AA47)))=Milestones!$AB$108),UPPER(TEXT(EDATE($D47,Milestones!$AA$108),"dd mmm yy"))&amp;" "&amp;Milestones!$AB$108&amp;" "&amp;IF(AND(Milestones!$AB$108="FT",Milestones!$AA$108=FT_Y5,EDATE($D47,Milestones!$AA$108)&lt;PolicyEff),1,Milestones!$AC$108)&amp;";  ","")&amp;IF(AND(EDATE($D47,Milestones!$AA$109)&lt;=AsOfDate,EDATE($D47,Milestones!$AA$109)&gt;=SchemeStart,IF($X47=0,$AD47,IF(AND($Z47&lt;&gt;"",EDATE($D47,Milestones!$AA$109)&gt;=$Z47),$AC47,IF(AND($Y47&lt;&gt;"",EDATE($D47,Milestones!$AA$109)&gt;=$Y47),$AB47,$AA47)))=Milestones!$AB$109),UPPER(TEXT(EDATE($D47,Milestones!$AA$109),"dd mmm yy"))&amp;" "&amp;Milestones!$AB$109&amp;" "&amp;IF(AND(Milestones!$AB$109="FT",Milestones!$AA$109=FT_Y5,EDATE($D47,Milestones!$AA$109)&lt;PolicyEff),1,Milestones!$AC$109)&amp;";  ","")&amp;IF(AND(EDATE($D47,Milestones!$AA$110)&lt;=AsOfDate,EDATE($D47,Milestones!$AA$110)&gt;=SchemeStart,IF($X47=0,$AD47,IF(AND($Z47&lt;&gt;"",EDATE($D47,Milestones!$AA$110)&gt;=$Z47),$AC47,IF(AND($Y47&lt;&gt;"",EDATE($D47,Milestones!$AA$110)&gt;=$Y47),$AB47,$AA47)))=Milestones!$AB$110),UPPER(TEXT(EDATE($D47,Milestones!$AA$110),"dd mmm yy"))&amp;" "&amp;Milestones!$AB$110&amp;" "&amp;IF(AND(Milestones!$AB$110="FT",Milestones!$AA$110=FT_Y5,EDATE($D47,Milestones!$AA$110)&lt;PolicyEff),1,Milestones!$AC$110)&amp;";  ","")&amp;IF(AND(EDATE($D47,Milestones!$AA$111)&lt;=AsOfDate,EDATE($D47,Milestones!$AA$111)&gt;=SchemeStart,IF($X47=0,$AD47,IF(AND($Z47&lt;&gt;"",EDATE($D47,Milestones!$AA$111)&gt;=$Z47),$AC47,IF(AND($Y47&lt;&gt;"",EDATE($D47,Milestones!$AA$111)&gt;=$Y47),$AB47,$AA47)))=Milestones!$AB$111),UPPER(TEXT(EDATE($D47,Milestones!$AA$111),"dd mmm yy"))&amp;" "&amp;Milestones!$AB$111&amp;" "&amp;IF(AND(Milestones!$AB$111="FT",Milestones!$AA$111=FT_Y5,EDATE($D47,Milestones!$AA$111)&lt;PolicyEff),1,Milestones!$AC$111)&amp;";  ","")&amp;IF(AND(EDATE($D47,Milestones!$AA$112)&lt;=AsOfDate,EDATE($D47,Milestones!$AA$112)&gt;=SchemeStart,IF($X47=0,$AD47,IF(AND($Z47&lt;&gt;"",EDATE($D47,Milestones!$AA$112)&gt;=$Z47),$AC47,IF(AND($Y47&lt;&gt;"",EDATE($D47,Milestones!$AA$112)&gt;=$Y47),$AB47,$AA47)))=Milestones!$AB$112),UPPER(TEXT(EDATE($D47,Milestones!$AA$112),"dd mmm yy"))&amp;" "&amp;Milestones!$AB$112&amp;" "&amp;IF(AND(Milestones!$AB$112="FT",Milestones!$AA$112=FT_Y5,EDATE($D47,Milestones!$AA$112)&lt;PolicyEff),1,Milestones!$AC$112)&amp;";  ","")&amp;IF(AND(EDATE($D47,Milestones!$AA$113)&lt;=AsOfDate,EDATE($D47,Milestones!$AA$113)&gt;=SchemeStart,IF($X47=0,$AD47,IF(AND($Z47&lt;&gt;"",EDATE($D47,Milestones!$AA$113)&gt;=$Z47),$AC47,IF(AND($Y47&lt;&gt;"",EDATE($D47,Milestones!$AA$113)&gt;=$Y47),$AB47,$AA47)))=Milestones!$AB$113),UPPER(TEXT(EDATE($D47,Milestones!$AA$113),"dd mmm yy"))&amp;" "&amp;Milestones!$AB$113&amp;" "&amp;IF(AND(Milestones!$AB$113="FT",Milestones!$AA$113=FT_Y5,EDATE($D47,Milestones!$AA$113)&lt;PolicyEff),1,Milestones!$AC$113)&amp;";  ","")&amp;IF(AND(EDATE($D47,Milestones!$AA$114)&lt;=AsOfDate,EDATE($D47,Milestones!$AA$114)&gt;=SchemeStart,IF($X47=0,$AD47,IF(AND($Z47&lt;&gt;"",EDATE($D47,Milestones!$AA$114)&gt;=$Z47),$AC47,IF(AND($Y47&lt;&gt;"",EDATE($D47,Milestones!$AA$114)&gt;=$Y47),$AB47,$AA47)))=Milestones!$AB$114),UPPER(TEXT(EDATE($D47,Milestones!$AA$114),"dd mmm yy"))&amp;" "&amp;Milestones!$AB$114&amp;" "&amp;IF(AND(Milestones!$AB$114="FT",Milestones!$AA$114=FT_Y5,EDATE($D47,Milestones!$AA$114)&lt;PolicyEff),1,Milestones!$AC$114)&amp;";  ","")&amp;IF(AND(EDATE($D47,Milestones!$AA$115)&lt;=AsOfDate,EDATE($D47,Milestones!$AA$115)&gt;=SchemeStart,IF($X47=0,$AD47,IF(AND($Z47&lt;&gt;"",EDATE($D47,Milestones!$AA$115)&gt;=$Z47),$AC47,IF(AND($Y47&lt;&gt;"",EDATE($D47,Milestones!$AA$115)&gt;=$Y47),$AB47,$AA47)))=Milestones!$AB$115),UPPER(TEXT(EDATE($D47,Milestones!$AA$115),"dd mmm yy"))&amp;" "&amp;Milestones!$AB$115&amp;" "&amp;IF(AND(Milestones!$AB$115="FT",Milestones!$AA$115=FT_Y5,EDATE($D47,Milestones!$AA$115)&lt;PolicyEff),1,Milestones!$AC$115)&amp;";  ",""))</f>
        <v/>
      </c>
      <c r="Q47" s="0" t="str">
        <f aca="false">IF(OR($A47="",$D47=""),"",IF(AND(EDATE($D47,Milestones!$AA$116)&lt;=AsOfDate,EDATE($D47,Milestones!$AA$116)&gt;=SchemeStart,IF($X47=0,$AD47,IF(AND($Z47&lt;&gt;"",EDATE($D47,Milestones!$AA$116)&gt;=$Z47),$AC47,IF(AND($Y47&lt;&gt;"",EDATE($D47,Milestones!$AA$116)&gt;=$Y47),$AB47,$AA47)))=Milestones!$AB$116),UPPER(TEXT(EDATE($D47,Milestones!$AA$116),"dd mmm yy"))&amp;" "&amp;Milestones!$AB$116&amp;" "&amp;IF(AND(Milestones!$AB$116="FT",Milestones!$AA$116=FT_Y5,EDATE($D47,Milestones!$AA$116)&lt;PolicyEff),1,Milestones!$AC$116)&amp;";  ","")&amp;IF(AND(EDATE($D47,Milestones!$AA$117)&lt;=AsOfDate,EDATE($D47,Milestones!$AA$117)&gt;=SchemeStart,IF($X47=0,$AD47,IF(AND($Z47&lt;&gt;"",EDATE($D47,Milestones!$AA$117)&gt;=$Z47),$AC47,IF(AND($Y47&lt;&gt;"",EDATE($D47,Milestones!$AA$117)&gt;=$Y47),$AB47,$AA47)))=Milestones!$AB$117),UPPER(TEXT(EDATE($D47,Milestones!$AA$117),"dd mmm yy"))&amp;" "&amp;Milestones!$AB$117&amp;" "&amp;IF(AND(Milestones!$AB$117="FT",Milestones!$AA$117=FT_Y5,EDATE($D47,Milestones!$AA$117)&lt;PolicyEff),1,Milestones!$AC$117)&amp;";  ","")&amp;IF(AND(EDATE($D47,Milestones!$AA$118)&lt;=AsOfDate,EDATE($D47,Milestones!$AA$118)&gt;=SchemeStart,IF($X47=0,$AD47,IF(AND($Z47&lt;&gt;"",EDATE($D47,Milestones!$AA$118)&gt;=$Z47),$AC47,IF(AND($Y47&lt;&gt;"",EDATE($D47,Milestones!$AA$118)&gt;=$Y47),$AB47,$AA47)))=Milestones!$AB$118),UPPER(TEXT(EDATE($D47,Milestones!$AA$118),"dd mmm yy"))&amp;" "&amp;Milestones!$AB$118&amp;" "&amp;IF(AND(Milestones!$AB$118="FT",Milestones!$AA$118=FT_Y5,EDATE($D47,Milestones!$AA$118)&lt;PolicyEff),1,Milestones!$AC$118)&amp;";  ","")&amp;IF(AND(EDATE($D47,Milestones!$AA$119)&lt;=AsOfDate,EDATE($D47,Milestones!$AA$119)&gt;=SchemeStart,IF($X47=0,$AD47,IF(AND($Z47&lt;&gt;"",EDATE($D47,Milestones!$AA$119)&gt;=$Z47),$AC47,IF(AND($Y47&lt;&gt;"",EDATE($D47,Milestones!$AA$119)&gt;=$Y47),$AB47,$AA47)))=Milestones!$AB$119),UPPER(TEXT(EDATE($D47,Milestones!$AA$119),"dd mmm yy"))&amp;" "&amp;Milestones!$AB$119&amp;" "&amp;IF(AND(Milestones!$AB$119="FT",Milestones!$AA$119=FT_Y5,EDATE($D47,Milestones!$AA$119)&lt;PolicyEff),1,Milestones!$AC$119)&amp;";  ","")&amp;IF(AND(EDATE($D47,Milestones!$AA$120)&lt;=AsOfDate,EDATE($D47,Milestones!$AA$120)&gt;=SchemeStart,IF($X47=0,$AD47,IF(AND($Z47&lt;&gt;"",EDATE($D47,Milestones!$AA$120)&gt;=$Z47),$AC47,IF(AND($Y47&lt;&gt;"",EDATE($D47,Milestones!$AA$120)&gt;=$Y47),$AB47,$AA47)))=Milestones!$AB$120),UPPER(TEXT(EDATE($D47,Milestones!$AA$120),"dd mmm yy"))&amp;" "&amp;Milestones!$AB$120&amp;" "&amp;IF(AND(Milestones!$AB$120="FT",Milestones!$AA$120=FT_Y5,EDATE($D47,Milestones!$AA$120)&lt;PolicyEff),1,Milestones!$AC$120)&amp;";  ","")&amp;IF(AND(EDATE($D47,Milestones!$AA$121)&lt;=AsOfDate,EDATE($D47,Milestones!$AA$121)&gt;=SchemeStart,IF($X47=0,$AD47,IF(AND($Z47&lt;&gt;"",EDATE($D47,Milestones!$AA$121)&gt;=$Z47),$AC47,IF(AND($Y47&lt;&gt;"",EDATE($D47,Milestones!$AA$121)&gt;=$Y47),$AB47,$AA47)))=Milestones!$AB$121),UPPER(TEXT(EDATE($D47,Milestones!$AA$121),"dd mmm yy"))&amp;" "&amp;Milestones!$AB$121&amp;" "&amp;IF(AND(Milestones!$AB$121="FT",Milestones!$AA$121=FT_Y5,EDATE($D47,Milestones!$AA$121)&lt;PolicyEff),1,Milestones!$AC$121)&amp;";  ","")&amp;IF(AND(EDATE($D47,Milestones!$AA$122)&lt;=AsOfDate,EDATE($D47,Milestones!$AA$122)&gt;=SchemeStart,IF($X47=0,$AD47,IF(AND($Z47&lt;&gt;"",EDATE($D47,Milestones!$AA$122)&gt;=$Z47),$AC47,IF(AND($Y47&lt;&gt;"",EDATE($D47,Milestones!$AA$122)&gt;=$Y47),$AB47,$AA47)))=Milestones!$AB$122),UPPER(TEXT(EDATE($D47,Milestones!$AA$122),"dd mmm yy"))&amp;" "&amp;Milestones!$AB$122&amp;" "&amp;IF(AND(Milestones!$AB$122="FT",Milestones!$AA$122=FT_Y5,EDATE($D47,Milestones!$AA$122)&lt;PolicyEff),1,Milestones!$AC$122)&amp;";  ","")&amp;IF(AND(EDATE($D47,Milestones!$AA$123)&lt;=AsOfDate,EDATE($D47,Milestones!$AA$123)&gt;=SchemeStart,IF($X47=0,$AD47,IF(AND($Z47&lt;&gt;"",EDATE($D47,Milestones!$AA$123)&gt;=$Z47),$AC47,IF(AND($Y47&lt;&gt;"",EDATE($D47,Milestones!$AA$123)&gt;=$Y47),$AB47,$AA47)))=Milestones!$AB$123),UPPER(TEXT(EDATE($D47,Milestones!$AA$123),"dd mmm yy"))&amp;" "&amp;Milestones!$AB$123&amp;" "&amp;IF(AND(Milestones!$AB$123="FT",Milestones!$AA$123=FT_Y5,EDATE($D47,Milestones!$AA$123)&lt;PolicyEff),1,Milestones!$AC$123)&amp;";  ","")&amp;IF(AND(EDATE($D47,Milestones!$AA$124)&lt;=AsOfDate,EDATE($D47,Milestones!$AA$124)&gt;=SchemeStart,IF($X47=0,$AD47,IF(AND($Z47&lt;&gt;"",EDATE($D47,Milestones!$AA$124)&gt;=$Z47),$AC47,IF(AND($Y47&lt;&gt;"",EDATE($D47,Milestones!$AA$124)&gt;=$Y47),$AB47,$AA47)))=Milestones!$AB$124),UPPER(TEXT(EDATE($D47,Milestones!$AA$124),"dd mmm yy"))&amp;" "&amp;Milestones!$AB$124&amp;" "&amp;IF(AND(Milestones!$AB$124="FT",Milestones!$AA$124=FT_Y5,EDATE($D47,Milestones!$AA$124)&lt;PolicyEff),1,Milestones!$AC$124)&amp;";  ","")&amp;IF(AND(EDATE($D47,Milestones!$AA$125)&lt;=AsOfDate,EDATE($D47,Milestones!$AA$125)&gt;=SchemeStart,IF($X47=0,$AD47,IF(AND($Z47&lt;&gt;"",EDATE($D47,Milestones!$AA$125)&gt;=$Z47),$AC47,IF(AND($Y47&lt;&gt;"",EDATE($D47,Milestones!$AA$125)&gt;=$Y47),$AB47,$AA47)))=Milestones!$AB$125),UPPER(TEXT(EDATE($D47,Milestones!$AA$125),"dd mmm yy"))&amp;" "&amp;Milestones!$AB$125&amp;" "&amp;IF(AND(Milestones!$AB$125="FT",Milestones!$AA$125=FT_Y5,EDATE($D47,Milestones!$AA$125)&lt;PolicyEff),1,Milestones!$AC$125)&amp;";  ","")&amp;IF(AND(EDATE($D47,Milestones!$AA$126)&lt;=AsOfDate,EDATE($D47,Milestones!$AA$126)&gt;=SchemeStart,IF($X47=0,$AD47,IF(AND($Z47&lt;&gt;"",EDATE($D47,Milestones!$AA$126)&gt;=$Z47),$AC47,IF(AND($Y47&lt;&gt;"",EDATE($D47,Milestones!$AA$126)&gt;=$Y47),$AB47,$AA47)))=Milestones!$AB$126),UPPER(TEXT(EDATE($D47,Milestones!$AA$126),"dd mmm yy"))&amp;" "&amp;Milestones!$AB$126&amp;" "&amp;IF(AND(Milestones!$AB$126="FT",Milestones!$AA$126=FT_Y5,EDATE($D47,Milestones!$AA$126)&lt;PolicyEff),1,Milestones!$AC$126)&amp;";  ","")&amp;IF(AND(EDATE($D47,Milestones!$AA$127)&lt;=AsOfDate,EDATE($D47,Milestones!$AA$127)&gt;=SchemeStart,IF($X47=0,$AD47,IF(AND($Z47&lt;&gt;"",EDATE($D47,Milestones!$AA$127)&gt;=$Z47),$AC47,IF(AND($Y47&lt;&gt;"",EDATE($D47,Milestones!$AA$127)&gt;=$Y47),$AB47,$AA47)))=Milestones!$AB$127),UPPER(TEXT(EDATE($D47,Milestones!$AA$127),"dd mmm yy"))&amp;" "&amp;Milestones!$AB$127&amp;" "&amp;IF(AND(Milestones!$AB$127="FT",Milestones!$AA$127=FT_Y5,EDATE($D47,Milestones!$AA$127)&lt;PolicyEff),1,Milestones!$AC$127)&amp;";  ",""))</f>
        <v/>
      </c>
      <c r="R47" s="0" t="str">
        <f aca="false">IF(OR($A47="",$D47=""),"",IF(AND(EDATE($D47,Milestones!$AA$128)&lt;=AsOfDate,EDATE($D47,Milestones!$AA$128)&gt;=SchemeStart,IF($X47=0,$AD47,IF(AND($Z47&lt;&gt;"",EDATE($D47,Milestones!$AA$128)&gt;=$Z47),$AC47,IF(AND($Y47&lt;&gt;"",EDATE($D47,Milestones!$AA$128)&gt;=$Y47),$AB47,$AA47)))=Milestones!$AB$128),UPPER(TEXT(EDATE($D47,Milestones!$AA$128),"dd mmm yy"))&amp;" "&amp;Milestones!$AB$128&amp;" "&amp;IF(AND(Milestones!$AB$128="FT",Milestones!$AA$128=FT_Y5,EDATE($D47,Milestones!$AA$128)&lt;PolicyEff),1,Milestones!$AC$128)&amp;";  ","")&amp;IF(AND(EDATE($D47,Milestones!$AA$129)&lt;=AsOfDate,EDATE($D47,Milestones!$AA$129)&gt;=SchemeStart,IF($X47=0,$AD47,IF(AND($Z47&lt;&gt;"",EDATE($D47,Milestones!$AA$129)&gt;=$Z47),$AC47,IF(AND($Y47&lt;&gt;"",EDATE($D47,Milestones!$AA$129)&gt;=$Y47),$AB47,$AA47)))=Milestones!$AB$129),UPPER(TEXT(EDATE($D47,Milestones!$AA$129),"dd mmm yy"))&amp;" "&amp;Milestones!$AB$129&amp;" "&amp;IF(AND(Milestones!$AB$129="FT",Milestones!$AA$129=FT_Y5,EDATE($D47,Milestones!$AA$129)&lt;PolicyEff),1,Milestones!$AC$129)&amp;";  ","")&amp;IF(AND(EDATE($D47,Milestones!$AA$130)&lt;=AsOfDate,EDATE($D47,Milestones!$AA$130)&gt;=SchemeStart,IF($X47=0,$AD47,IF(AND($Z47&lt;&gt;"",EDATE($D47,Milestones!$AA$130)&gt;=$Z47),$AC47,IF(AND($Y47&lt;&gt;"",EDATE($D47,Milestones!$AA$130)&gt;=$Y47),$AB47,$AA47)))=Milestones!$AB$130),UPPER(TEXT(EDATE($D47,Milestones!$AA$130),"dd mmm yy"))&amp;" "&amp;Milestones!$AB$130&amp;" "&amp;IF(AND(Milestones!$AB$130="FT",Milestones!$AA$130=FT_Y5,EDATE($D47,Milestones!$AA$130)&lt;PolicyEff),1,Milestones!$AC$130)&amp;";  ","")&amp;IF(AND(EDATE($D47,Milestones!$AA$131)&lt;=AsOfDate,EDATE($D47,Milestones!$AA$131)&gt;=SchemeStart,IF($X47=0,$AD47,IF(AND($Z47&lt;&gt;"",EDATE($D47,Milestones!$AA$131)&gt;=$Z47),$AC47,IF(AND($Y47&lt;&gt;"",EDATE($D47,Milestones!$AA$131)&gt;=$Y47),$AB47,$AA47)))=Milestones!$AB$131),UPPER(TEXT(EDATE($D47,Milestones!$AA$131),"dd mmm yy"))&amp;" "&amp;Milestones!$AB$131&amp;" "&amp;IF(AND(Milestones!$AB$131="FT",Milestones!$AA$131=FT_Y5,EDATE($D47,Milestones!$AA$131)&lt;PolicyEff),1,Milestones!$AC$131)&amp;";  ","")&amp;IF(AND(EDATE($D47,Milestones!$AA$132)&lt;=AsOfDate,EDATE($D47,Milestones!$AA$132)&gt;=SchemeStart,IF($X47=0,$AD47,IF(AND($Z47&lt;&gt;"",EDATE($D47,Milestones!$AA$132)&gt;=$Z47),$AC47,IF(AND($Y47&lt;&gt;"",EDATE($D47,Milestones!$AA$132)&gt;=$Y47),$AB47,$AA47)))=Milestones!$AB$132),UPPER(TEXT(EDATE($D47,Milestones!$AA$132),"dd mmm yy"))&amp;" "&amp;Milestones!$AB$132&amp;" "&amp;IF(AND(Milestones!$AB$132="FT",Milestones!$AA$132=FT_Y5,EDATE($D47,Milestones!$AA$132)&lt;PolicyEff),1,Milestones!$AC$132)&amp;";  ","")&amp;IF(AND(EDATE($D47,Milestones!$AA$133)&lt;=AsOfDate,EDATE($D47,Milestones!$AA$133)&gt;=SchemeStart,IF($X47=0,$AD47,IF(AND($Z47&lt;&gt;"",EDATE($D47,Milestones!$AA$133)&gt;=$Z47),$AC47,IF(AND($Y47&lt;&gt;"",EDATE($D47,Milestones!$AA$133)&gt;=$Y47),$AB47,$AA47)))=Milestones!$AB$133),UPPER(TEXT(EDATE($D47,Milestones!$AA$133),"dd mmm yy"))&amp;" "&amp;Milestones!$AB$133&amp;" "&amp;IF(AND(Milestones!$AB$133="FT",Milestones!$AA$133=FT_Y5,EDATE($D47,Milestones!$AA$133)&lt;PolicyEff),1,Milestones!$AC$133)&amp;";  ","")&amp;IF(AND(EDATE($D47,Milestones!$AA$134)&lt;=AsOfDate,EDATE($D47,Milestones!$AA$134)&gt;=SchemeStart,IF($X47=0,$AD47,IF(AND($Z47&lt;&gt;"",EDATE($D47,Milestones!$AA$134)&gt;=$Z47),$AC47,IF(AND($Y47&lt;&gt;"",EDATE($D47,Milestones!$AA$134)&gt;=$Y47),$AB47,$AA47)))=Milestones!$AB$134),UPPER(TEXT(EDATE($D47,Milestones!$AA$134),"dd mmm yy"))&amp;" "&amp;Milestones!$AB$134&amp;" "&amp;IF(AND(Milestones!$AB$134="FT",Milestones!$AA$134=FT_Y5,EDATE($D47,Milestones!$AA$134)&lt;PolicyEff),1,Milestones!$AC$134)&amp;";  ","")&amp;IF(AND(EDATE($D47,Milestones!$AA$135)&lt;=AsOfDate,EDATE($D47,Milestones!$AA$135)&gt;=SchemeStart,IF($X47=0,$AD47,IF(AND($Z47&lt;&gt;"",EDATE($D47,Milestones!$AA$135)&gt;=$Z47),$AC47,IF(AND($Y47&lt;&gt;"",EDATE($D47,Milestones!$AA$135)&gt;=$Y47),$AB47,$AA47)))=Milestones!$AB$135),UPPER(TEXT(EDATE($D47,Milestones!$AA$135),"dd mmm yy"))&amp;" "&amp;Milestones!$AB$135&amp;" "&amp;IF(AND(Milestones!$AB$135="FT",Milestones!$AA$135=FT_Y5,EDATE($D47,Milestones!$AA$135)&lt;PolicyEff),1,Milestones!$AC$135)&amp;";  ","")&amp;IF(AND(EDATE($D47,Milestones!$AA$136)&lt;=AsOfDate,EDATE($D47,Milestones!$AA$136)&gt;=SchemeStart,IF($X47=0,$AD47,IF(AND($Z47&lt;&gt;"",EDATE($D47,Milestones!$AA$136)&gt;=$Z47),$AC47,IF(AND($Y47&lt;&gt;"",EDATE($D47,Milestones!$AA$136)&gt;=$Y47),$AB47,$AA47)))=Milestones!$AB$136),UPPER(TEXT(EDATE($D47,Milestones!$AA$136),"dd mmm yy"))&amp;" "&amp;Milestones!$AB$136&amp;" "&amp;IF(AND(Milestones!$AB$136="FT",Milestones!$AA$136=FT_Y5,EDATE($D47,Milestones!$AA$136)&lt;PolicyEff),1,Milestones!$AC$136)&amp;";  ","")&amp;IF(AND(EDATE($D47,Milestones!$AA$137)&lt;=AsOfDate,EDATE($D47,Milestones!$AA$137)&gt;=SchemeStart,IF($X47=0,$AD47,IF(AND($Z47&lt;&gt;"",EDATE($D47,Milestones!$AA$137)&gt;=$Z47),$AC47,IF(AND($Y47&lt;&gt;"",EDATE($D47,Milestones!$AA$137)&gt;=$Y47),$AB47,$AA47)))=Milestones!$AB$137),UPPER(TEXT(EDATE($D47,Milestones!$AA$137),"dd mmm yy"))&amp;" "&amp;Milestones!$AB$137&amp;" "&amp;IF(AND(Milestones!$AB$137="FT",Milestones!$AA$137=FT_Y5,EDATE($D47,Milestones!$AA$137)&lt;PolicyEff),1,Milestones!$AC$137)&amp;";  ","")&amp;IF(AND(EDATE($D47,Milestones!$AA$138)&lt;=AsOfDate,EDATE($D47,Milestones!$AA$138)&gt;=SchemeStart,IF($X47=0,$AD47,IF(AND($Z47&lt;&gt;"",EDATE($D47,Milestones!$AA$138)&gt;=$Z47),$AC47,IF(AND($Y47&lt;&gt;"",EDATE($D47,Milestones!$AA$138)&gt;=$Y47),$AB47,$AA47)))=Milestones!$AB$138),UPPER(TEXT(EDATE($D47,Milestones!$AA$138),"dd mmm yy"))&amp;" "&amp;Milestones!$AB$138&amp;" "&amp;IF(AND(Milestones!$AB$138="FT",Milestones!$AA$138=FT_Y5,EDATE($D47,Milestones!$AA$138)&lt;PolicyEff),1,Milestones!$AC$138)&amp;";  ","")&amp;IF(AND(EDATE($D47,Milestones!$AA$139)&lt;=AsOfDate,EDATE($D47,Milestones!$AA$139)&gt;=SchemeStart,IF($X47=0,$AD47,IF(AND($Z47&lt;&gt;"",EDATE($D47,Milestones!$AA$139)&gt;=$Z47),$AC47,IF(AND($Y47&lt;&gt;"",EDATE($D47,Milestones!$AA$139)&gt;=$Y47),$AB47,$AA47)))=Milestones!$AB$139),UPPER(TEXT(EDATE($D47,Milestones!$AA$139),"dd mmm yy"))&amp;" "&amp;Milestones!$AB$139&amp;" "&amp;IF(AND(Milestones!$AB$139="FT",Milestones!$AA$139=FT_Y5,EDATE($D47,Milestones!$AA$139)&lt;PolicyEff),1,Milestones!$AC$139)&amp;";  ",""))</f>
        <v/>
      </c>
      <c r="S47" s="0" t="str">
        <f aca="false">IF(OR($A47="",$D47=""),"",IF(AND(EDATE($D47,Milestones!$AA$140)&lt;=AsOfDate,EDATE($D47,Milestones!$AA$140)&gt;=SchemeStart,IF($X47=0,$AD47,IF(AND($Z47&lt;&gt;"",EDATE($D47,Milestones!$AA$140)&gt;=$Z47),$AC47,IF(AND($Y47&lt;&gt;"",EDATE($D47,Milestones!$AA$140)&gt;=$Y47),$AB47,$AA47)))=Milestones!$AB$140),UPPER(TEXT(EDATE($D47,Milestones!$AA$140),"dd mmm yy"))&amp;" "&amp;Milestones!$AB$140&amp;" "&amp;IF(AND(Milestones!$AB$140="FT",Milestones!$AA$140=FT_Y5,EDATE($D47,Milestones!$AA$140)&lt;PolicyEff),1,Milestones!$AC$140)&amp;";  ","")&amp;IF(AND(EDATE($D47,Milestones!$AA$141)&lt;=AsOfDate,EDATE($D47,Milestones!$AA$141)&gt;=SchemeStart,IF($X47=0,$AD47,IF(AND($Z47&lt;&gt;"",EDATE($D47,Milestones!$AA$141)&gt;=$Z47),$AC47,IF(AND($Y47&lt;&gt;"",EDATE($D47,Milestones!$AA$141)&gt;=$Y47),$AB47,$AA47)))=Milestones!$AB$141),UPPER(TEXT(EDATE($D47,Milestones!$AA$141),"dd mmm yy"))&amp;" "&amp;Milestones!$AB$141&amp;" "&amp;IF(AND(Milestones!$AB$141="FT",Milestones!$AA$141=FT_Y5,EDATE($D47,Milestones!$AA$141)&lt;PolicyEff),1,Milestones!$AC$141)&amp;";  ","")&amp;IF(AND(EDATE($D47,Milestones!$AA$142)&lt;=AsOfDate,EDATE($D47,Milestones!$AA$142)&gt;=SchemeStart,IF($X47=0,$AD47,IF(AND($Z47&lt;&gt;"",EDATE($D47,Milestones!$AA$142)&gt;=$Z47),$AC47,IF(AND($Y47&lt;&gt;"",EDATE($D47,Milestones!$AA$142)&gt;=$Y47),$AB47,$AA47)))=Milestones!$AB$142),UPPER(TEXT(EDATE($D47,Milestones!$AA$142),"dd mmm yy"))&amp;" "&amp;Milestones!$AB$142&amp;" "&amp;IF(AND(Milestones!$AB$142="FT",Milestones!$AA$142=FT_Y5,EDATE($D47,Milestones!$AA$142)&lt;PolicyEff),1,Milestones!$AC$142)&amp;";  ","")&amp;IF(AND(EDATE($D47,Milestones!$AA$143)&lt;=AsOfDate,EDATE($D47,Milestones!$AA$143)&gt;=SchemeStart,IF($X47=0,$AD47,IF(AND($Z47&lt;&gt;"",EDATE($D47,Milestones!$AA$143)&gt;=$Z47),$AC47,IF(AND($Y47&lt;&gt;"",EDATE($D47,Milestones!$AA$143)&gt;=$Y47),$AB47,$AA47)))=Milestones!$AB$143),UPPER(TEXT(EDATE($D47,Milestones!$AA$143),"dd mmm yy"))&amp;" "&amp;Milestones!$AB$143&amp;" "&amp;IF(AND(Milestones!$AB$143="FT",Milestones!$AA$143=FT_Y5,EDATE($D47,Milestones!$AA$143)&lt;PolicyEff),1,Milestones!$AC$143)&amp;";  ","")&amp;IF(AND(EDATE($D47,Milestones!$AA$144)&lt;=AsOfDate,EDATE($D47,Milestones!$AA$144)&gt;=SchemeStart,IF($X47=0,$AD47,IF(AND($Z47&lt;&gt;"",EDATE($D47,Milestones!$AA$144)&gt;=$Z47),$AC47,IF(AND($Y47&lt;&gt;"",EDATE($D47,Milestones!$AA$144)&gt;=$Y47),$AB47,$AA47)))=Milestones!$AB$144),UPPER(TEXT(EDATE($D47,Milestones!$AA$144),"dd mmm yy"))&amp;" "&amp;Milestones!$AB$144&amp;" "&amp;IF(AND(Milestones!$AB$144="FT",Milestones!$AA$144=FT_Y5,EDATE($D47,Milestones!$AA$144)&lt;PolicyEff),1,Milestones!$AC$144)&amp;";  ","")&amp;IF(AND(EDATE($D47,Milestones!$AA$145)&lt;=AsOfDate,EDATE($D47,Milestones!$AA$145)&gt;=SchemeStart,IF($X47=0,$AD47,IF(AND($Z47&lt;&gt;"",EDATE($D47,Milestones!$AA$145)&gt;=$Z47),$AC47,IF(AND($Y47&lt;&gt;"",EDATE($D47,Milestones!$AA$145)&gt;=$Y47),$AB47,$AA47)))=Milestones!$AB$145),UPPER(TEXT(EDATE($D47,Milestones!$AA$145),"dd mmm yy"))&amp;" "&amp;Milestones!$AB$145&amp;" "&amp;IF(AND(Milestones!$AB$145="FT",Milestones!$AA$145=FT_Y5,EDATE($D47,Milestones!$AA$145)&lt;PolicyEff),1,Milestones!$AC$145)&amp;";  ","")&amp;IF(AND(EDATE($D47,Milestones!$AA$146)&lt;=AsOfDate,EDATE($D47,Milestones!$AA$146)&gt;=SchemeStart,IF($X47=0,$AD47,IF(AND($Z47&lt;&gt;"",EDATE($D47,Milestones!$AA$146)&gt;=$Z47),$AC47,IF(AND($Y47&lt;&gt;"",EDATE($D47,Milestones!$AA$146)&gt;=$Y47),$AB47,$AA47)))=Milestones!$AB$146),UPPER(TEXT(EDATE($D47,Milestones!$AA$146),"dd mmm yy"))&amp;" "&amp;Milestones!$AB$146&amp;" "&amp;IF(AND(Milestones!$AB$146="FT",Milestones!$AA$146=FT_Y5,EDATE($D47,Milestones!$AA$146)&lt;PolicyEff),1,Milestones!$AC$146)&amp;";  ","")&amp;IF(AND(EDATE($D47,Milestones!$AA$147)&lt;=AsOfDate,EDATE($D47,Milestones!$AA$147)&gt;=SchemeStart,IF($X47=0,$AD47,IF(AND($Z47&lt;&gt;"",EDATE($D47,Milestones!$AA$147)&gt;=$Z47),$AC47,IF(AND($Y47&lt;&gt;"",EDATE($D47,Milestones!$AA$147)&gt;=$Y47),$AB47,$AA47)))=Milestones!$AB$147),UPPER(TEXT(EDATE($D47,Milestones!$AA$147),"dd mmm yy"))&amp;" "&amp;Milestones!$AB$147&amp;" "&amp;IF(AND(Milestones!$AB$147="FT",Milestones!$AA$147=FT_Y5,EDATE($D47,Milestones!$AA$147)&lt;PolicyEff),1,Milestones!$AC$147)&amp;";  ","")&amp;IF(AND(EDATE($D47,Milestones!$AA$148)&lt;=AsOfDate,EDATE($D47,Milestones!$AA$148)&gt;=SchemeStart,IF($X47=0,$AD47,IF(AND($Z47&lt;&gt;"",EDATE($D47,Milestones!$AA$148)&gt;=$Z47),$AC47,IF(AND($Y47&lt;&gt;"",EDATE($D47,Milestones!$AA$148)&gt;=$Y47),$AB47,$AA47)))=Milestones!$AB$148),UPPER(TEXT(EDATE($D47,Milestones!$AA$148),"dd mmm yy"))&amp;" "&amp;Milestones!$AB$148&amp;" "&amp;IF(AND(Milestones!$AB$148="FT",Milestones!$AA$148=FT_Y5,EDATE($D47,Milestones!$AA$148)&lt;PolicyEff),1,Milestones!$AC$148)&amp;";  ","")&amp;IF(AND(EDATE($D47,Milestones!$AA$149)&lt;=AsOfDate,EDATE($D47,Milestones!$AA$149)&gt;=SchemeStart,IF($X47=0,$AD47,IF(AND($Z47&lt;&gt;"",EDATE($D47,Milestones!$AA$149)&gt;=$Z47),$AC47,IF(AND($Y47&lt;&gt;"",EDATE($D47,Milestones!$AA$149)&gt;=$Y47),$AB47,$AA47)))=Milestones!$AB$149),UPPER(TEXT(EDATE($D47,Milestones!$AA$149),"dd mmm yy"))&amp;" "&amp;Milestones!$AB$149&amp;" "&amp;IF(AND(Milestones!$AB$149="FT",Milestones!$AA$149=FT_Y5,EDATE($D47,Milestones!$AA$149)&lt;PolicyEff),1,Milestones!$AC$149)&amp;";  ","")&amp;IF(AND(EDATE($D47,Milestones!$AA$150)&lt;=AsOfDate,EDATE($D47,Milestones!$AA$150)&gt;=SchemeStart,IF($X47=0,$AD47,IF(AND($Z47&lt;&gt;"",EDATE($D47,Milestones!$AA$150)&gt;=$Z47),$AC47,IF(AND($Y47&lt;&gt;"",EDATE($D47,Milestones!$AA$150)&gt;=$Y47),$AB47,$AA47)))=Milestones!$AB$150),UPPER(TEXT(EDATE($D47,Milestones!$AA$150),"dd mmm yy"))&amp;" "&amp;Milestones!$AB$150&amp;" "&amp;IF(AND(Milestones!$AB$150="FT",Milestones!$AA$150=FT_Y5,EDATE($D47,Milestones!$AA$150)&lt;PolicyEff),1,Milestones!$AC$150)&amp;";  ","")&amp;IF(AND(EDATE($D47,Milestones!$AA$151)&lt;=AsOfDate,EDATE($D47,Milestones!$AA$151)&gt;=SchemeStart,IF($X47=0,$AD47,IF(AND($Z47&lt;&gt;"",EDATE($D47,Milestones!$AA$151)&gt;=$Z47),$AC47,IF(AND($Y47&lt;&gt;"",EDATE($D47,Milestones!$AA$151)&gt;=$Y47),$AB47,$AA47)))=Milestones!$AB$151),UPPER(TEXT(EDATE($D47,Milestones!$AA$151),"dd mmm yy"))&amp;" "&amp;Milestones!$AB$151&amp;" "&amp;IF(AND(Milestones!$AB$151="FT",Milestones!$AA$151=FT_Y5,EDATE($D47,Milestones!$AA$151)&lt;PolicyEff),1,Milestones!$AC$151)&amp;";  ",""))</f>
        <v/>
      </c>
      <c r="T47" s="0" t="str">
        <f aca="false">IF(OR($A47="",$D47=""),"",IF(AND(EDATE($D47,Milestones!$AA$152)&lt;=AsOfDate,EDATE($D47,Milestones!$AA$152)&gt;=SchemeStart,IF($X47=0,$AD47,IF(AND($Z47&lt;&gt;"",EDATE($D47,Milestones!$AA$152)&gt;=$Z47),$AC47,IF(AND($Y47&lt;&gt;"",EDATE($D47,Milestones!$AA$152)&gt;=$Y47),$AB47,$AA47)))=Milestones!$AB$152),UPPER(TEXT(EDATE($D47,Milestones!$AA$152),"dd mmm yy"))&amp;" "&amp;Milestones!$AB$152&amp;" "&amp;IF(AND(Milestones!$AB$152="FT",Milestones!$AA$152=FT_Y5,EDATE($D47,Milestones!$AA$152)&lt;PolicyEff),1,Milestones!$AC$152)&amp;";  ","")&amp;IF(AND(EDATE($D47,Milestones!$AA$153)&lt;=AsOfDate,EDATE($D47,Milestones!$AA$153)&gt;=SchemeStart,IF($X47=0,$AD47,IF(AND($Z47&lt;&gt;"",EDATE($D47,Milestones!$AA$153)&gt;=$Z47),$AC47,IF(AND($Y47&lt;&gt;"",EDATE($D47,Milestones!$AA$153)&gt;=$Y47),$AB47,$AA47)))=Milestones!$AB$153),UPPER(TEXT(EDATE($D47,Milestones!$AA$153),"dd mmm yy"))&amp;" "&amp;Milestones!$AB$153&amp;" "&amp;IF(AND(Milestones!$AB$153="FT",Milestones!$AA$153=FT_Y5,EDATE($D47,Milestones!$AA$153)&lt;PolicyEff),1,Milestones!$AC$153)&amp;";  ","")&amp;IF(AND(EDATE($D47,Milestones!$AA$154)&lt;=AsOfDate,EDATE($D47,Milestones!$AA$154)&gt;=SchemeStart,IF($X47=0,$AD47,IF(AND($Z47&lt;&gt;"",EDATE($D47,Milestones!$AA$154)&gt;=$Z47),$AC47,IF(AND($Y47&lt;&gt;"",EDATE($D47,Milestones!$AA$154)&gt;=$Y47),$AB47,$AA47)))=Milestones!$AB$154),UPPER(TEXT(EDATE($D47,Milestones!$AA$154),"dd mmm yy"))&amp;" "&amp;Milestones!$AB$154&amp;" "&amp;IF(AND(Milestones!$AB$154="FT",Milestones!$AA$154=FT_Y5,EDATE($D47,Milestones!$AA$154)&lt;PolicyEff),1,Milestones!$AC$154)&amp;";  ","")&amp;IF(AND(EDATE($D47,Milestones!$AA$155)&lt;=AsOfDate,EDATE($D47,Milestones!$AA$155)&gt;=SchemeStart,IF($X47=0,$AD47,IF(AND($Z47&lt;&gt;"",EDATE($D47,Milestones!$AA$155)&gt;=$Z47),$AC47,IF(AND($Y47&lt;&gt;"",EDATE($D47,Milestones!$AA$155)&gt;=$Y47),$AB47,$AA47)))=Milestones!$AB$155),UPPER(TEXT(EDATE($D47,Milestones!$AA$155),"dd mmm yy"))&amp;" "&amp;Milestones!$AB$155&amp;" "&amp;IF(AND(Milestones!$AB$155="FT",Milestones!$AA$155=FT_Y5,EDATE($D47,Milestones!$AA$155)&lt;PolicyEff),1,Milestones!$AC$155)&amp;";  ","")&amp;IF(AND(EDATE($D47,Milestones!$AA$156)&lt;=AsOfDate,EDATE($D47,Milestones!$AA$156)&gt;=SchemeStart,IF($X47=0,$AD47,IF(AND($Z47&lt;&gt;"",EDATE($D47,Milestones!$AA$156)&gt;=$Z47),$AC47,IF(AND($Y47&lt;&gt;"",EDATE($D47,Milestones!$AA$156)&gt;=$Y47),$AB47,$AA47)))=Milestones!$AB$156),UPPER(TEXT(EDATE($D47,Milestones!$AA$156),"dd mmm yy"))&amp;" "&amp;Milestones!$AB$156&amp;" "&amp;IF(AND(Milestones!$AB$156="FT",Milestones!$AA$156=FT_Y5,EDATE($D47,Milestones!$AA$156)&lt;PolicyEff),1,Milestones!$AC$156)&amp;";  ","")&amp;IF(AND(EDATE($D47,Milestones!$AA$157)&lt;=AsOfDate,EDATE($D47,Milestones!$AA$157)&gt;=SchemeStart,IF($X47=0,$AD47,IF(AND($Z47&lt;&gt;"",EDATE($D47,Milestones!$AA$157)&gt;=$Z47),$AC47,IF(AND($Y47&lt;&gt;"",EDATE($D47,Milestones!$AA$157)&gt;=$Y47),$AB47,$AA47)))=Milestones!$AB$157),UPPER(TEXT(EDATE($D47,Milestones!$AA$157),"dd mmm yy"))&amp;" "&amp;Milestones!$AB$157&amp;" "&amp;IF(AND(Milestones!$AB$157="FT",Milestones!$AA$157=FT_Y5,EDATE($D47,Milestones!$AA$157)&lt;PolicyEff),1,Milestones!$AC$157)&amp;";  ","")&amp;IF(AND(EDATE($D47,Milestones!$AA$158)&lt;=AsOfDate,EDATE($D47,Milestones!$AA$158)&gt;=SchemeStart,IF($X47=0,$AD47,IF(AND($Z47&lt;&gt;"",EDATE($D47,Milestones!$AA$158)&gt;=$Z47),$AC47,IF(AND($Y47&lt;&gt;"",EDATE($D47,Milestones!$AA$158)&gt;=$Y47),$AB47,$AA47)))=Milestones!$AB$158),UPPER(TEXT(EDATE($D47,Milestones!$AA$158),"dd mmm yy"))&amp;" "&amp;Milestones!$AB$158&amp;" "&amp;IF(AND(Milestones!$AB$158="FT",Milestones!$AA$158=FT_Y5,EDATE($D47,Milestones!$AA$158)&lt;PolicyEff),1,Milestones!$AC$158)&amp;";  ","")&amp;IF(AND(EDATE($D47,Milestones!$AA$159)&lt;=AsOfDate,EDATE($D47,Milestones!$AA$159)&gt;=SchemeStart,IF($X47=0,$AD47,IF(AND($Z47&lt;&gt;"",EDATE($D47,Milestones!$AA$159)&gt;=$Z47),$AC47,IF(AND($Y47&lt;&gt;"",EDATE($D47,Milestones!$AA$159)&gt;=$Y47),$AB47,$AA47)))=Milestones!$AB$159),UPPER(TEXT(EDATE($D47,Milestones!$AA$159),"dd mmm yy"))&amp;" "&amp;Milestones!$AB$159&amp;" "&amp;IF(AND(Milestones!$AB$159="FT",Milestones!$AA$159=FT_Y5,EDATE($D47,Milestones!$AA$159)&lt;PolicyEff),1,Milestones!$AC$159)&amp;";  ","")&amp;IF(AND(EDATE($D47,Milestones!$AA$160)&lt;=AsOfDate,EDATE($D47,Milestones!$AA$160)&gt;=SchemeStart,IF($X47=0,$AD47,IF(AND($Z47&lt;&gt;"",EDATE($D47,Milestones!$AA$160)&gt;=$Z47),$AC47,IF(AND($Y47&lt;&gt;"",EDATE($D47,Milestones!$AA$160)&gt;=$Y47),$AB47,$AA47)))=Milestones!$AB$160),UPPER(TEXT(EDATE($D47,Milestones!$AA$160),"dd mmm yy"))&amp;" "&amp;Milestones!$AB$160&amp;" "&amp;IF(AND(Milestones!$AB$160="FT",Milestones!$AA$160=FT_Y5,EDATE($D47,Milestones!$AA$160)&lt;PolicyEff),1,Milestones!$AC$160)&amp;";  ","")&amp;IF(AND(EDATE($D47,Milestones!$AA$161)&lt;=AsOfDate,EDATE($D47,Milestones!$AA$161)&gt;=SchemeStart,IF($X47=0,$AD47,IF(AND($Z47&lt;&gt;"",EDATE($D47,Milestones!$AA$161)&gt;=$Z47),$AC47,IF(AND($Y47&lt;&gt;"",EDATE($D47,Milestones!$AA$161)&gt;=$Y47),$AB47,$AA47)))=Milestones!$AB$161),UPPER(TEXT(EDATE($D47,Milestones!$AA$161),"dd mmm yy"))&amp;" "&amp;Milestones!$AB$161&amp;" "&amp;IF(AND(Milestones!$AB$161="FT",Milestones!$AA$161=FT_Y5,EDATE($D47,Milestones!$AA$161)&lt;PolicyEff),1,Milestones!$AC$161)&amp;";  ","")&amp;IF(AND(EDATE($D47,Milestones!$AA$162)&lt;=AsOfDate,EDATE($D47,Milestones!$AA$162)&gt;=SchemeStart,IF($X47=0,$AD47,IF(AND($Z47&lt;&gt;"",EDATE($D47,Milestones!$AA$162)&gt;=$Z47),$AC47,IF(AND($Y47&lt;&gt;"",EDATE($D47,Milestones!$AA$162)&gt;=$Y47),$AB47,$AA47)))=Milestones!$AB$162),UPPER(TEXT(EDATE($D47,Milestones!$AA$162),"dd mmm yy"))&amp;" "&amp;Milestones!$AB$162&amp;" "&amp;IF(AND(Milestones!$AB$162="FT",Milestones!$AA$162=FT_Y5,EDATE($D47,Milestones!$AA$162)&lt;PolicyEff),1,Milestones!$AC$162)&amp;";  ","")&amp;IF(AND(EDATE($D47,Milestones!$AA$163)&lt;=AsOfDate,EDATE($D47,Milestones!$AA$163)&gt;=SchemeStart,IF($X47=0,$AD47,IF(AND($Z47&lt;&gt;"",EDATE($D47,Milestones!$AA$163)&gt;=$Z47),$AC47,IF(AND($Y47&lt;&gt;"",EDATE($D47,Milestones!$AA$163)&gt;=$Y47),$AB47,$AA47)))=Milestones!$AB$163),UPPER(TEXT(EDATE($D47,Milestones!$AA$163),"dd mmm yy"))&amp;" "&amp;Milestones!$AB$163&amp;" "&amp;IF(AND(Milestones!$AB$163="FT",Milestones!$AA$163=FT_Y5,EDATE($D47,Milestones!$AA$163)&lt;PolicyEff),1,Milestones!$AC$163)&amp;";  ",""))</f>
        <v/>
      </c>
      <c r="U47" s="0" t="str">
        <f aca="false">IF(OR($A47="",$D47=""),"",IF(AND(EDATE($D47,Milestones!$AA$164)&lt;=AsOfDate,EDATE($D47,Milestones!$AA$164)&gt;=SchemeStart,IF($X47=0,$AD47,IF(AND($Z47&lt;&gt;"",EDATE($D47,Milestones!$AA$164)&gt;=$Z47),$AC47,IF(AND($Y47&lt;&gt;"",EDATE($D47,Milestones!$AA$164)&gt;=$Y47),$AB47,$AA47)))=Milestones!$AB$164),UPPER(TEXT(EDATE($D47,Milestones!$AA$164),"dd mmm yy"))&amp;" "&amp;Milestones!$AB$164&amp;" "&amp;IF(AND(Milestones!$AB$164="FT",Milestones!$AA$164=FT_Y5,EDATE($D47,Milestones!$AA$164)&lt;PolicyEff),1,Milestones!$AC$164)&amp;";  ","")&amp;IF(AND(EDATE($D47,Milestones!$AA$165)&lt;=AsOfDate,EDATE($D47,Milestones!$AA$165)&gt;=SchemeStart,IF($X47=0,$AD47,IF(AND($Z47&lt;&gt;"",EDATE($D47,Milestones!$AA$165)&gt;=$Z47),$AC47,IF(AND($Y47&lt;&gt;"",EDATE($D47,Milestones!$AA$165)&gt;=$Y47),$AB47,$AA47)))=Milestones!$AB$165),UPPER(TEXT(EDATE($D47,Milestones!$AA$165),"dd mmm yy"))&amp;" "&amp;Milestones!$AB$165&amp;" "&amp;IF(AND(Milestones!$AB$165="FT",Milestones!$AA$165=FT_Y5,EDATE($D47,Milestones!$AA$165)&lt;PolicyEff),1,Milestones!$AC$165)&amp;";  ","")&amp;IF(AND(EDATE($D47,Milestones!$AA$166)&lt;=AsOfDate,EDATE($D47,Milestones!$AA$166)&gt;=SchemeStart,IF($X47=0,$AD47,IF(AND($Z47&lt;&gt;"",EDATE($D47,Milestones!$AA$166)&gt;=$Z47),$AC47,IF(AND($Y47&lt;&gt;"",EDATE($D47,Milestones!$AA$166)&gt;=$Y47),$AB47,$AA47)))=Milestones!$AB$166),UPPER(TEXT(EDATE($D47,Milestones!$AA$166),"dd mmm yy"))&amp;" "&amp;Milestones!$AB$166&amp;" "&amp;IF(AND(Milestones!$AB$166="FT",Milestones!$AA$166=FT_Y5,EDATE($D47,Milestones!$AA$166)&lt;PolicyEff),1,Milestones!$AC$166)&amp;";  ","")&amp;IF(AND(EDATE($D47,Milestones!$AA$167)&lt;=AsOfDate,EDATE($D47,Milestones!$AA$167)&gt;=SchemeStart,IF($X47=0,$AD47,IF(AND($Z47&lt;&gt;"",EDATE($D47,Milestones!$AA$167)&gt;=$Z47),$AC47,IF(AND($Y47&lt;&gt;"",EDATE($D47,Milestones!$AA$167)&gt;=$Y47),$AB47,$AA47)))=Milestones!$AB$167),UPPER(TEXT(EDATE($D47,Milestones!$AA$167),"dd mmm yy"))&amp;" "&amp;Milestones!$AB$167&amp;" "&amp;IF(AND(Milestones!$AB$167="FT",Milestones!$AA$167=FT_Y5,EDATE($D47,Milestones!$AA$167)&lt;PolicyEff),1,Milestones!$AC$167)&amp;";  ","")&amp;IF(AND(EDATE($D47,Milestones!$AA$168)&lt;=AsOfDate,EDATE($D47,Milestones!$AA$168)&gt;=SchemeStart,IF($X47=0,$AD47,IF(AND($Z47&lt;&gt;"",EDATE($D47,Milestones!$AA$168)&gt;=$Z47),$AC47,IF(AND($Y47&lt;&gt;"",EDATE($D47,Milestones!$AA$168)&gt;=$Y47),$AB47,$AA47)))=Milestones!$AB$168),UPPER(TEXT(EDATE($D47,Milestones!$AA$168),"dd mmm yy"))&amp;" "&amp;Milestones!$AB$168&amp;" "&amp;IF(AND(Milestones!$AB$168="FT",Milestones!$AA$168=FT_Y5,EDATE($D47,Milestones!$AA$168)&lt;PolicyEff),1,Milestones!$AC$168)&amp;";  ","")&amp;IF(AND(EDATE($D47,Milestones!$AA$169)&lt;=AsOfDate,EDATE($D47,Milestones!$AA$169)&gt;=SchemeStart,IF($X47=0,$AD47,IF(AND($Z47&lt;&gt;"",EDATE($D47,Milestones!$AA$169)&gt;=$Z47),$AC47,IF(AND($Y47&lt;&gt;"",EDATE($D47,Milestones!$AA$169)&gt;=$Y47),$AB47,$AA47)))=Milestones!$AB$169),UPPER(TEXT(EDATE($D47,Milestones!$AA$169),"dd mmm yy"))&amp;" "&amp;Milestones!$AB$169&amp;" "&amp;IF(AND(Milestones!$AB$169="FT",Milestones!$AA$169=FT_Y5,EDATE($D47,Milestones!$AA$169)&lt;PolicyEff),1,Milestones!$AC$169)&amp;";  ","")&amp;IF(AND(EDATE($D47,Milestones!$AA$170)&lt;=AsOfDate,EDATE($D47,Milestones!$AA$170)&gt;=SchemeStart,IF($X47=0,$AD47,IF(AND($Z47&lt;&gt;"",EDATE($D47,Milestones!$AA$170)&gt;=$Z47),$AC47,IF(AND($Y47&lt;&gt;"",EDATE($D47,Milestones!$AA$170)&gt;=$Y47),$AB47,$AA47)))=Milestones!$AB$170),UPPER(TEXT(EDATE($D47,Milestones!$AA$170),"dd mmm yy"))&amp;" "&amp;Milestones!$AB$170&amp;" "&amp;IF(AND(Milestones!$AB$170="FT",Milestones!$AA$170=FT_Y5,EDATE($D47,Milestones!$AA$170)&lt;PolicyEff),1,Milestones!$AC$170)&amp;";  ","")&amp;IF(AND(EDATE($D47,Milestones!$AA$171)&lt;=AsOfDate,EDATE($D47,Milestones!$AA$171)&gt;=SchemeStart,IF($X47=0,$AD47,IF(AND($Z47&lt;&gt;"",EDATE($D47,Milestones!$AA$171)&gt;=$Z47),$AC47,IF(AND($Y47&lt;&gt;"",EDATE($D47,Milestones!$AA$171)&gt;=$Y47),$AB47,$AA47)))=Milestones!$AB$171),UPPER(TEXT(EDATE($D47,Milestones!$AA$171),"dd mmm yy"))&amp;" "&amp;Milestones!$AB$171&amp;" "&amp;IF(AND(Milestones!$AB$171="FT",Milestones!$AA$171=FT_Y5,EDATE($D47,Milestones!$AA$171)&lt;PolicyEff),1,Milestones!$AC$171)&amp;";  ","")&amp;IF(AND(EDATE($D47,Milestones!$AA$172)&lt;=AsOfDate,EDATE($D47,Milestones!$AA$172)&gt;=SchemeStart,IF($X47=0,$AD47,IF(AND($Z47&lt;&gt;"",EDATE($D47,Milestones!$AA$172)&gt;=$Z47),$AC47,IF(AND($Y47&lt;&gt;"",EDATE($D47,Milestones!$AA$172)&gt;=$Y47),$AB47,$AA47)))=Milestones!$AB$172),UPPER(TEXT(EDATE($D47,Milestones!$AA$172),"dd mmm yy"))&amp;" "&amp;Milestones!$AB$172&amp;" "&amp;IF(AND(Milestones!$AB$172="FT",Milestones!$AA$172=FT_Y5,EDATE($D47,Milestones!$AA$172)&lt;PolicyEff),1,Milestones!$AC$172)&amp;";  ","")&amp;IF(AND(EDATE($D47,Milestones!$AA$173)&lt;=AsOfDate,EDATE($D47,Milestones!$AA$173)&gt;=SchemeStart,IF($X47=0,$AD47,IF(AND($Z47&lt;&gt;"",EDATE($D47,Milestones!$AA$173)&gt;=$Z47),$AC47,IF(AND($Y47&lt;&gt;"",EDATE($D47,Milestones!$AA$173)&gt;=$Y47),$AB47,$AA47)))=Milestones!$AB$173),UPPER(TEXT(EDATE($D47,Milestones!$AA$173),"dd mmm yy"))&amp;" "&amp;Milestones!$AB$173&amp;" "&amp;IF(AND(Milestones!$AB$173="FT",Milestones!$AA$173=FT_Y5,EDATE($D47,Milestones!$AA$173)&lt;PolicyEff),1,Milestones!$AC$173)&amp;";  ","")&amp;IF(AND(EDATE($D47,Milestones!$AA$174)&lt;=AsOfDate,EDATE($D47,Milestones!$AA$174)&gt;=SchemeStart,IF($X47=0,$AD47,IF(AND($Z47&lt;&gt;"",EDATE($D47,Milestones!$AA$174)&gt;=$Z47),$AC47,IF(AND($Y47&lt;&gt;"",EDATE($D47,Milestones!$AA$174)&gt;=$Y47),$AB47,$AA47)))=Milestones!$AB$174),UPPER(TEXT(EDATE($D47,Milestones!$AA$174),"dd mmm yy"))&amp;" "&amp;Milestones!$AB$174&amp;" "&amp;IF(AND(Milestones!$AB$174="FT",Milestones!$AA$174=FT_Y5,EDATE($D47,Milestones!$AA$174)&lt;PolicyEff),1,Milestones!$AC$174)&amp;";  ","")&amp;IF(AND(EDATE($D47,Milestones!$AA$175)&lt;=AsOfDate,EDATE($D47,Milestones!$AA$175)&gt;=SchemeStart,IF($X47=0,$AD47,IF(AND($Z47&lt;&gt;"",EDATE($D47,Milestones!$AA$175)&gt;=$Z47),$AC47,IF(AND($Y47&lt;&gt;"",EDATE($D47,Milestones!$AA$175)&gt;=$Y47),$AB47,$AA47)))=Milestones!$AB$175),UPPER(TEXT(EDATE($D47,Milestones!$AA$175),"dd mmm yy"))&amp;" "&amp;Milestones!$AB$175&amp;" "&amp;IF(AND(Milestones!$AB$175="FT",Milestones!$AA$175=FT_Y5,EDATE($D47,Milestones!$AA$175)&lt;PolicyEff),1,Milestones!$AC$175)&amp;";  ",""))</f>
        <v/>
      </c>
      <c r="V47" s="0" t="str">
        <f aca="false">IF(OR($A47="",$D47=""),"",IF(AND(EDATE($D47,Milestones!$AA$176)&lt;=AsOfDate,EDATE($D47,Milestones!$AA$176)&gt;=SchemeStart,IF($X47=0,$AD47,IF(AND($Z47&lt;&gt;"",EDATE($D47,Milestones!$AA$176)&gt;=$Z47),$AC47,IF(AND($Y47&lt;&gt;"",EDATE($D47,Milestones!$AA$176)&gt;=$Y47),$AB47,$AA47)))=Milestones!$AB$176),UPPER(TEXT(EDATE($D47,Milestones!$AA$176),"dd mmm yy"))&amp;" "&amp;Milestones!$AB$176&amp;" "&amp;IF(AND(Milestones!$AB$176="FT",Milestones!$AA$176=FT_Y5,EDATE($D47,Milestones!$AA$176)&lt;PolicyEff),1,Milestones!$AC$176)&amp;";  ","")&amp;IF(AND(EDATE($D47,Milestones!$AA$177)&lt;=AsOfDate,EDATE($D47,Milestones!$AA$177)&gt;=SchemeStart,IF($X47=0,$AD47,IF(AND($Z47&lt;&gt;"",EDATE($D47,Milestones!$AA$177)&gt;=$Z47),$AC47,IF(AND($Y47&lt;&gt;"",EDATE($D47,Milestones!$AA$177)&gt;=$Y47),$AB47,$AA47)))=Milestones!$AB$177),UPPER(TEXT(EDATE($D47,Milestones!$AA$177),"dd mmm yy"))&amp;" "&amp;Milestones!$AB$177&amp;" "&amp;IF(AND(Milestones!$AB$177="FT",Milestones!$AA$177=FT_Y5,EDATE($D47,Milestones!$AA$177)&lt;PolicyEff),1,Milestones!$AC$177)&amp;";  ","")&amp;IF(AND(EDATE($D47,Milestones!$AA$178)&lt;=AsOfDate,EDATE($D47,Milestones!$AA$178)&gt;=SchemeStart,IF($X47=0,$AD47,IF(AND($Z47&lt;&gt;"",EDATE($D47,Milestones!$AA$178)&gt;=$Z47),$AC47,IF(AND($Y47&lt;&gt;"",EDATE($D47,Milestones!$AA$178)&gt;=$Y47),$AB47,$AA47)))=Milestones!$AB$178),UPPER(TEXT(EDATE($D47,Milestones!$AA$178),"dd mmm yy"))&amp;" "&amp;Milestones!$AB$178&amp;" "&amp;IF(AND(Milestones!$AB$178="FT",Milestones!$AA$178=FT_Y5,EDATE($D47,Milestones!$AA$178)&lt;PolicyEff),1,Milestones!$AC$178)&amp;";  ","")&amp;IF(AND(EDATE($D47,Milestones!$AA$179)&lt;=AsOfDate,EDATE($D47,Milestones!$AA$179)&gt;=SchemeStart,IF($X47=0,$AD47,IF(AND($Z47&lt;&gt;"",EDATE($D47,Milestones!$AA$179)&gt;=$Z47),$AC47,IF(AND($Y47&lt;&gt;"",EDATE($D47,Milestones!$AA$179)&gt;=$Y47),$AB47,$AA47)))=Milestones!$AB$179),UPPER(TEXT(EDATE($D47,Milestones!$AA$179),"dd mmm yy"))&amp;" "&amp;Milestones!$AB$179&amp;" "&amp;IF(AND(Milestones!$AB$179="FT",Milestones!$AA$179=FT_Y5,EDATE($D47,Milestones!$AA$179)&lt;PolicyEff),1,Milestones!$AC$179)&amp;";  ","")&amp;IF(AND(EDATE($D47,Milestones!$AA$180)&lt;=AsOfDate,EDATE($D47,Milestones!$AA$180)&gt;=SchemeStart,IF($X47=0,$AD47,IF(AND($Z47&lt;&gt;"",EDATE($D47,Milestones!$AA$180)&gt;=$Z47),$AC47,IF(AND($Y47&lt;&gt;"",EDATE($D47,Milestones!$AA$180)&gt;=$Y47),$AB47,$AA47)))=Milestones!$AB$180),UPPER(TEXT(EDATE($D47,Milestones!$AA$180),"dd mmm yy"))&amp;" "&amp;Milestones!$AB$180&amp;" "&amp;IF(AND(Milestones!$AB$180="FT",Milestones!$AA$180=FT_Y5,EDATE($D47,Milestones!$AA$180)&lt;PolicyEff),1,Milestones!$AC$180)&amp;";  ","")&amp;IF(AND(EDATE($D47,Milestones!$AA$181)&lt;=AsOfDate,EDATE($D47,Milestones!$AA$181)&gt;=SchemeStart,IF($X47=0,$AD47,IF(AND($Z47&lt;&gt;"",EDATE($D47,Milestones!$AA$181)&gt;=$Z47),$AC47,IF(AND($Y47&lt;&gt;"",EDATE($D47,Milestones!$AA$181)&gt;=$Y47),$AB47,$AA47)))=Milestones!$AB$181),UPPER(TEXT(EDATE($D47,Milestones!$AA$181),"dd mmm yy"))&amp;" "&amp;Milestones!$AB$181&amp;" "&amp;IF(AND(Milestones!$AB$181="FT",Milestones!$AA$181=FT_Y5,EDATE($D47,Milestones!$AA$181)&lt;PolicyEff),1,Milestones!$AC$181)&amp;";  ","")&amp;IF(AND(EDATE($D47,Milestones!$AA$182)&lt;=AsOfDate,EDATE($D47,Milestones!$AA$182)&gt;=SchemeStart,IF($X47=0,$AD47,IF(AND($Z47&lt;&gt;"",EDATE($D47,Milestones!$AA$182)&gt;=$Z47),$AC47,IF(AND($Y47&lt;&gt;"",EDATE($D47,Milestones!$AA$182)&gt;=$Y47),$AB47,$AA47)))=Milestones!$AB$182),UPPER(TEXT(EDATE($D47,Milestones!$AA$182),"dd mmm yy"))&amp;" "&amp;Milestones!$AB$182&amp;" "&amp;IF(AND(Milestones!$AB$182="FT",Milestones!$AA$182=FT_Y5,EDATE($D47,Milestones!$AA$182)&lt;PolicyEff),1,Milestones!$AC$182)&amp;";  ","")&amp;IF(AND(EDATE($D47,Milestones!$AA$183)&lt;=AsOfDate,EDATE($D47,Milestones!$AA$183)&gt;=SchemeStart,IF($X47=0,$AD47,IF(AND($Z47&lt;&gt;"",EDATE($D47,Milestones!$AA$183)&gt;=$Z47),$AC47,IF(AND($Y47&lt;&gt;"",EDATE($D47,Milestones!$AA$183)&gt;=$Y47),$AB47,$AA47)))=Milestones!$AB$183),UPPER(TEXT(EDATE($D47,Milestones!$AA$183),"dd mmm yy"))&amp;" "&amp;Milestones!$AB$183&amp;" "&amp;IF(AND(Milestones!$AB$183="FT",Milestones!$AA$183=FT_Y5,EDATE($D47,Milestones!$AA$183)&lt;PolicyEff),1,Milestones!$AC$183)&amp;";  ","")&amp;IF(AND(EDATE($D47,Milestones!$AA$184)&lt;=AsOfDate,EDATE($D47,Milestones!$AA$184)&gt;=SchemeStart,IF($X47=0,$AD47,IF(AND($Z47&lt;&gt;"",EDATE($D47,Milestones!$AA$184)&gt;=$Z47),$AC47,IF(AND($Y47&lt;&gt;"",EDATE($D47,Milestones!$AA$184)&gt;=$Y47),$AB47,$AA47)))=Milestones!$AB$184),UPPER(TEXT(EDATE($D47,Milestones!$AA$184),"dd mmm yy"))&amp;" "&amp;Milestones!$AB$184&amp;" "&amp;IF(AND(Milestones!$AB$184="FT",Milestones!$AA$184=FT_Y5,EDATE($D47,Milestones!$AA$184)&lt;PolicyEff),1,Milestones!$AC$184)&amp;";  ","")&amp;IF(AND(EDATE($D47,Milestones!$AA$185)&lt;=AsOfDate,EDATE($D47,Milestones!$AA$185)&gt;=SchemeStart,IF($X47=0,$AD47,IF(AND($Z47&lt;&gt;"",EDATE($D47,Milestones!$AA$185)&gt;=$Z47),$AC47,IF(AND($Y47&lt;&gt;"",EDATE($D47,Milestones!$AA$185)&gt;=$Y47),$AB47,$AA47)))=Milestones!$AB$185),UPPER(TEXT(EDATE($D47,Milestones!$AA$185),"dd mmm yy"))&amp;" "&amp;Milestones!$AB$185&amp;" "&amp;IF(AND(Milestones!$AB$185="FT",Milestones!$AA$185=FT_Y5,EDATE($D47,Milestones!$AA$185)&lt;PolicyEff),1,Milestones!$AC$185)&amp;";  ","")&amp;IF(AND(EDATE($D47,Milestones!$AA$186)&lt;=AsOfDate,EDATE($D47,Milestones!$AA$186)&gt;=SchemeStart,IF($X47=0,$AD47,IF(AND($Z47&lt;&gt;"",EDATE($D47,Milestones!$AA$186)&gt;=$Z47),$AC47,IF(AND($Y47&lt;&gt;"",EDATE($D47,Milestones!$AA$186)&gt;=$Y47),$AB47,$AA47)))=Milestones!$AB$186),UPPER(TEXT(EDATE($D47,Milestones!$AA$186),"dd mmm yy"))&amp;" "&amp;Milestones!$AB$186&amp;" "&amp;IF(AND(Milestones!$AB$186="FT",Milestones!$AA$186=FT_Y5,EDATE($D47,Milestones!$AA$186)&lt;PolicyEff),1,Milestones!$AC$186)&amp;";  ","")&amp;IF(AND(EDATE($D47,Milestones!$AA$187)&lt;=AsOfDate,EDATE($D47,Milestones!$AA$187)&gt;=SchemeStart,IF($X47=0,$AD47,IF(AND($Z47&lt;&gt;"",EDATE($D47,Milestones!$AA$187)&gt;=$Z47),$AC47,IF(AND($Y47&lt;&gt;"",EDATE($D47,Milestones!$AA$187)&gt;=$Y47),$AB47,$AA47)))=Milestones!$AB$187),UPPER(TEXT(EDATE($D47,Milestones!$AA$187),"dd mmm yy"))&amp;" "&amp;Milestones!$AB$187&amp;" "&amp;IF(AND(Milestones!$AB$187="FT",Milestones!$AA$187=FT_Y5,EDATE($D47,Milestones!$AA$187)&lt;PolicyEff),1,Milestones!$AC$187)&amp;";  ",""))</f>
        <v/>
      </c>
      <c r="W47" s="0" t="str">
        <f aca="false">IF(OR($A47="",$D47=""),"",IF(AND(EDATE($D47,Milestones!$AA$188)&lt;=AsOfDate,EDATE($D47,Milestones!$AA$188)&gt;=SchemeStart,IF($X47=0,$AD47,IF(AND($Z47&lt;&gt;"",EDATE($D47,Milestones!$AA$188)&gt;=$Z47),$AC47,IF(AND($Y47&lt;&gt;"",EDATE($D47,Milestones!$AA$188)&gt;=$Y47),$AB47,$AA47)))=Milestones!$AB$188),UPPER(TEXT(EDATE($D47,Milestones!$AA$188),"dd mmm yy"))&amp;" "&amp;Milestones!$AB$188&amp;" "&amp;IF(AND(Milestones!$AB$188="FT",Milestones!$AA$188=FT_Y5,EDATE($D47,Milestones!$AA$188)&lt;PolicyEff),1,Milestones!$AC$188)&amp;";  ","")&amp;IF(AND(EDATE($D47,Milestones!$AA$189)&lt;=AsOfDate,EDATE($D47,Milestones!$AA$189)&gt;=SchemeStart,IF($X47=0,$AD47,IF(AND($Z47&lt;&gt;"",EDATE($D47,Milestones!$AA$189)&gt;=$Z47),$AC47,IF(AND($Y47&lt;&gt;"",EDATE($D47,Milestones!$AA$189)&gt;=$Y47),$AB47,$AA47)))=Milestones!$AB$189),UPPER(TEXT(EDATE($D47,Milestones!$AA$189),"dd mmm yy"))&amp;" "&amp;Milestones!$AB$189&amp;" "&amp;IF(AND(Milestones!$AB$189="FT",Milestones!$AA$189=FT_Y5,EDATE($D47,Milestones!$AA$189)&lt;PolicyEff),1,Milestones!$AC$189)&amp;";  ","")&amp;IF(AND(EDATE($D47,Milestones!$AA$190)&lt;=AsOfDate,EDATE($D47,Milestones!$AA$190)&gt;=SchemeStart,IF($X47=0,$AD47,IF(AND($Z47&lt;&gt;"",EDATE($D47,Milestones!$AA$190)&gt;=$Z47),$AC47,IF(AND($Y47&lt;&gt;"",EDATE($D47,Milestones!$AA$190)&gt;=$Y47),$AB47,$AA47)))=Milestones!$AB$190),UPPER(TEXT(EDATE($D47,Milestones!$AA$190),"dd mmm yy"))&amp;" "&amp;Milestones!$AB$190&amp;" "&amp;IF(AND(Milestones!$AB$190="FT",Milestones!$AA$190=FT_Y5,EDATE($D47,Milestones!$AA$190)&lt;PolicyEff),1,Milestones!$AC$190)&amp;";  ","")&amp;IF(AND(EDATE($D47,Milestones!$AA$191)&lt;=AsOfDate,EDATE($D47,Milestones!$AA$191)&gt;=SchemeStart,IF($X47=0,$AD47,IF(AND($Z47&lt;&gt;"",EDATE($D47,Milestones!$AA$191)&gt;=$Z47),$AC47,IF(AND($Y47&lt;&gt;"",EDATE($D47,Milestones!$AA$191)&gt;=$Y47),$AB47,$AA47)))=Milestones!$AB$191),UPPER(TEXT(EDATE($D47,Milestones!$AA$191),"dd mmm yy"))&amp;" "&amp;Milestones!$AB$191&amp;" "&amp;IF(AND(Milestones!$AB$191="FT",Milestones!$AA$191=FT_Y5,EDATE($D47,Milestones!$AA$191)&lt;PolicyEff),1,Milestones!$AC$191)&amp;";  ","")&amp;IF(AND(EDATE($D47,Milestones!$AA$192)&lt;=AsOfDate,EDATE($D47,Milestones!$AA$192)&gt;=SchemeStart,IF($X47=0,$AD47,IF(AND($Z47&lt;&gt;"",EDATE($D47,Milestones!$AA$192)&gt;=$Z47),$AC47,IF(AND($Y47&lt;&gt;"",EDATE($D47,Milestones!$AA$192)&gt;=$Y47),$AB47,$AA47)))=Milestones!$AB$192),UPPER(TEXT(EDATE($D47,Milestones!$AA$192),"dd mmm yy"))&amp;" "&amp;Milestones!$AB$192&amp;" "&amp;IF(AND(Milestones!$AB$192="FT",Milestones!$AA$192=FT_Y5,EDATE($D47,Milestones!$AA$192)&lt;PolicyEff),1,Milestones!$AC$192)&amp;";  ","")&amp;IF(AND(EDATE($D47,Milestones!$AA$193)&lt;=AsOfDate,EDATE($D47,Milestones!$AA$193)&gt;=SchemeStart,IF($X47=0,$AD47,IF(AND($Z47&lt;&gt;"",EDATE($D47,Milestones!$AA$193)&gt;=$Z47),$AC47,IF(AND($Y47&lt;&gt;"",EDATE($D47,Milestones!$AA$193)&gt;=$Y47),$AB47,$AA47)))=Milestones!$AB$193),UPPER(TEXT(EDATE($D47,Milestones!$AA$193),"dd mmm yy"))&amp;" "&amp;Milestones!$AB$193&amp;" "&amp;IF(AND(Milestones!$AB$193="FT",Milestones!$AA$193=FT_Y5,EDATE($D47,Milestones!$AA$193)&lt;PolicyEff),1,Milestones!$AC$193)&amp;";  ","")&amp;IF(AND(EDATE($D47,Milestones!$AA$194)&lt;=AsOfDate,EDATE($D47,Milestones!$AA$194)&gt;=SchemeStart,IF($X47=0,$AD47,IF(AND($Z47&lt;&gt;"",EDATE($D47,Milestones!$AA$194)&gt;=$Z47),$AC47,IF(AND($Y47&lt;&gt;"",EDATE($D47,Milestones!$AA$194)&gt;=$Y47),$AB47,$AA47)))=Milestones!$AB$194),UPPER(TEXT(EDATE($D47,Milestones!$AA$194),"dd mmm yy"))&amp;" "&amp;Milestones!$AB$194&amp;" "&amp;IF(AND(Milestones!$AB$194="FT",Milestones!$AA$194=FT_Y5,EDATE($D47,Milestones!$AA$194)&lt;PolicyEff),1,Milestones!$AC$194)&amp;";  ","")&amp;IF(AND(EDATE($D47,Milestones!$AA$195)&lt;=AsOfDate,EDATE($D47,Milestones!$AA$195)&gt;=SchemeStart,IF($X47=0,$AD47,IF(AND($Z47&lt;&gt;"",EDATE($D47,Milestones!$AA$195)&gt;=$Z47),$AC47,IF(AND($Y47&lt;&gt;"",EDATE($D47,Milestones!$AA$195)&gt;=$Y47),$AB47,$AA47)))=Milestones!$AB$195),UPPER(TEXT(EDATE($D47,Milestones!$AA$195),"dd mmm yy"))&amp;" "&amp;Milestones!$AB$195&amp;" "&amp;IF(AND(Milestones!$AB$195="FT",Milestones!$AA$195=FT_Y5,EDATE($D47,Milestones!$AA$195)&lt;PolicyEff),1,Milestones!$AC$195)&amp;";  ","")&amp;IF(AND(EDATE($D47,Milestones!$AA$196)&lt;=AsOfDate,EDATE($D47,Milestones!$AA$196)&gt;=SchemeStart,IF($X47=0,$AD47,IF(AND($Z47&lt;&gt;"",EDATE($D47,Milestones!$AA$196)&gt;=$Z47),$AC47,IF(AND($Y47&lt;&gt;"",EDATE($D47,Milestones!$AA$196)&gt;=$Y47),$AB47,$AA47)))=Milestones!$AB$196),UPPER(TEXT(EDATE($D47,Milestones!$AA$196),"dd mmm yy"))&amp;" "&amp;Milestones!$AB$196&amp;" "&amp;IF(AND(Milestones!$AB$196="FT",Milestones!$AA$196=FT_Y5,EDATE($D47,Milestones!$AA$196)&lt;PolicyEff),1,Milestones!$AC$196)&amp;";  ","")&amp;IF(AND(EDATE($D47,Milestones!$AA$197)&lt;=AsOfDate,EDATE($D47,Milestones!$AA$197)&gt;=SchemeStart,IF($X47=0,$AD47,IF(AND($Z47&lt;&gt;"",EDATE($D47,Milestones!$AA$197)&gt;=$Z47),$AC47,IF(AND($Y47&lt;&gt;"",EDATE($D47,Milestones!$AA$197)&gt;=$Y47),$AB47,$AA47)))=Milestones!$AB$197),UPPER(TEXT(EDATE($D47,Milestones!$AA$197),"dd mmm yy"))&amp;" "&amp;Milestones!$AB$197&amp;" "&amp;IF(AND(Milestones!$AB$197="FT",Milestones!$AA$197=FT_Y5,EDATE($D47,Milestones!$AA$197)&lt;PolicyEff),1,Milestones!$AC$197)&amp;";  ","")&amp;IF(AND(EDATE($D47,Milestones!$AA$198)&lt;=AsOfDate,EDATE($D47,Milestones!$AA$198)&gt;=SchemeStart,IF($X47=0,$AD47,IF(AND($Z47&lt;&gt;"",EDATE($D47,Milestones!$AA$198)&gt;=$Z47),$AC47,IF(AND($Y47&lt;&gt;"",EDATE($D47,Milestones!$AA$198)&gt;=$Y47),$AB47,$AA47)))=Milestones!$AB$198),UPPER(TEXT(EDATE($D47,Milestones!$AA$198),"dd mmm yy"))&amp;" "&amp;Milestones!$AB$198&amp;" "&amp;IF(AND(Milestones!$AB$198="FT",Milestones!$AA$198=FT_Y5,EDATE($D47,Milestones!$AA$198)&lt;PolicyEff),1,Milestones!$AC$198)&amp;";  ","")&amp;IF(AND(EDATE($D47,Milestones!$AA$199)&lt;=AsOfDate,EDATE($D47,Milestones!$AA$199)&gt;=SchemeStart,IF($X47=0,$AD47,IF(AND($Z47&lt;&gt;"",EDATE($D47,Milestones!$AA$199)&gt;=$Z47),$AC47,IF(AND($Y47&lt;&gt;"",EDATE($D47,Milestones!$AA$199)&gt;=$Y47),$AB47,$AA47)))=Milestones!$AB$199),UPPER(TEXT(EDATE($D47,Milestones!$AA$199),"dd mmm yy"))&amp;" "&amp;Milestones!$AB$199&amp;" "&amp;IF(AND(Milestones!$AB$199="FT",Milestones!$AA$199=FT_Y5,EDATE($D47,Milestones!$AA$199)&lt;PolicyEff),1,Milestones!$AC$199)&amp;";  ",""))</f>
        <v/>
      </c>
      <c r="X47" s="0" t="str">
        <f aca="false">IF(Staff!$A47="","",Staff!$AM47)</f>
        <v/>
      </c>
      <c r="Y47" s="0" t="str">
        <f aca="false">IF(Staff!$A47="","",Staff!$AO47)</f>
        <v/>
      </c>
      <c r="Z47" s="0" t="str">
        <f aca="false">IF(Staff!$A47="","",Staff!$AP47)</f>
        <v/>
      </c>
      <c r="AA47" s="0" t="str">
        <f aca="false">IF(Staff!$A47="","",Staff!$AT47)</f>
        <v/>
      </c>
      <c r="AB47" s="0" t="str">
        <f aca="false">IF(Staff!$A47="","",Staff!$AU47)</f>
        <v/>
      </c>
      <c r="AC47" s="0" t="str">
        <f aca="false">IF(Staff!$A47="","",Staff!$AV47)</f>
        <v/>
      </c>
      <c r="AD47" s="0" t="str">
        <f aca="false">IF(Staff!$A47="","",Staff!$AW47)</f>
        <v/>
      </c>
    </row>
    <row r="48" customFormat="false" ht="15" hidden="false" customHeight="false" outlineLevel="0" collapsed="false">
      <c r="A48" s="16" t="str">
        <f aca="false">IF(Staff!$A48="","",Staff!$A48)</f>
        <v/>
      </c>
      <c r="B48" s="16" t="str">
        <f aca="false">IF(Staff!$A48="","",Staff!$B48)</f>
        <v/>
      </c>
      <c r="C48" s="16" t="str">
        <f aca="false">IF(Staff!$A48="","",Staff!$C48)</f>
        <v/>
      </c>
      <c r="D48" s="14" t="str">
        <f aca="false">IF(Staff!$A48="","",Staff!$AL48)</f>
        <v/>
      </c>
      <c r="E48" s="16" t="str">
        <f aca="false">IF(Staff!$A48="","",Staff!$O48)</f>
        <v/>
      </c>
      <c r="F48" s="16" t="str">
        <f aca="false">IF(E48="","",E48*HoursPerDay)</f>
        <v/>
      </c>
      <c r="G48" s="16" t="str">
        <f aca="false">IF(Staff!$A48="","",Staff!$AE48)</f>
        <v/>
      </c>
      <c r="H48" s="28" t="str">
        <f aca="false">IF($A48="","",I48&amp;J48&amp;K48&amp;L48&amp;M48&amp;N48&amp;O48&amp;P48&amp;Q48&amp;R48&amp;S48&amp;T48&amp;U48&amp;V48&amp;W48)</f>
        <v/>
      </c>
      <c r="I48" s="0" t="str">
        <f aca="false">IF(OR($A48="",$D48=""),"",IF(AND(EDATE($D48,Milestones!$AA$20)&lt;=AsOfDate,EDATE($D48,Milestones!$AA$20)&gt;=SchemeStart,IF($X48=0,$AD48,IF(AND($Z48&lt;&gt;"",EDATE($D48,Milestones!$AA$20)&gt;=$Z48),$AC48,IF(AND($Y48&lt;&gt;"",EDATE($D48,Milestones!$AA$20)&gt;=$Y48),$AB48,$AA48)))=Milestones!$AB$20),UPPER(TEXT(EDATE($D48,Milestones!$AA$20),"dd mmm yy"))&amp;" "&amp;Milestones!$AB$20&amp;" "&amp;IF(AND(Milestones!$AB$20="FT",Milestones!$AA$20=FT_Y5,EDATE($D48,Milestones!$AA$20)&lt;PolicyEff),1,Milestones!$AC$20)&amp;";  ","")&amp;IF(AND(EDATE($D48,Milestones!$AA$21)&lt;=AsOfDate,EDATE($D48,Milestones!$AA$21)&gt;=SchemeStart,IF($X48=0,$AD48,IF(AND($Z48&lt;&gt;"",EDATE($D48,Milestones!$AA$21)&gt;=$Z48),$AC48,IF(AND($Y48&lt;&gt;"",EDATE($D48,Milestones!$AA$21)&gt;=$Y48),$AB48,$AA48)))=Milestones!$AB$21),UPPER(TEXT(EDATE($D48,Milestones!$AA$21),"dd mmm yy"))&amp;" "&amp;Milestones!$AB$21&amp;" "&amp;IF(AND(Milestones!$AB$21="FT",Milestones!$AA$21=FT_Y5,EDATE($D48,Milestones!$AA$21)&lt;PolicyEff),1,Milestones!$AC$21)&amp;";  ","")&amp;IF(AND(EDATE($D48,Milestones!$AA$22)&lt;=AsOfDate,EDATE($D48,Milestones!$AA$22)&gt;=SchemeStart,IF($X48=0,$AD48,IF(AND($Z48&lt;&gt;"",EDATE($D48,Milestones!$AA$22)&gt;=$Z48),$AC48,IF(AND($Y48&lt;&gt;"",EDATE($D48,Milestones!$AA$22)&gt;=$Y48),$AB48,$AA48)))=Milestones!$AB$22),UPPER(TEXT(EDATE($D48,Milestones!$AA$22),"dd mmm yy"))&amp;" "&amp;Milestones!$AB$22&amp;" "&amp;IF(AND(Milestones!$AB$22="FT",Milestones!$AA$22=FT_Y5,EDATE($D48,Milestones!$AA$22)&lt;PolicyEff),1,Milestones!$AC$22)&amp;";  ","")&amp;IF(AND(EDATE($D48,Milestones!$AA$23)&lt;=AsOfDate,EDATE($D48,Milestones!$AA$23)&gt;=SchemeStart,IF($X48=0,$AD48,IF(AND($Z48&lt;&gt;"",EDATE($D48,Milestones!$AA$23)&gt;=$Z48),$AC48,IF(AND($Y48&lt;&gt;"",EDATE($D48,Milestones!$AA$23)&gt;=$Y48),$AB48,$AA48)))=Milestones!$AB$23),UPPER(TEXT(EDATE($D48,Milestones!$AA$23),"dd mmm yy"))&amp;" "&amp;Milestones!$AB$23&amp;" "&amp;IF(AND(Milestones!$AB$23="FT",Milestones!$AA$23=FT_Y5,EDATE($D48,Milestones!$AA$23)&lt;PolicyEff),1,Milestones!$AC$23)&amp;";  ","")&amp;IF(AND(EDATE($D48,Milestones!$AA$24)&lt;=AsOfDate,EDATE($D48,Milestones!$AA$24)&gt;=SchemeStart,IF($X48=0,$AD48,IF(AND($Z48&lt;&gt;"",EDATE($D48,Milestones!$AA$24)&gt;=$Z48),$AC48,IF(AND($Y48&lt;&gt;"",EDATE($D48,Milestones!$AA$24)&gt;=$Y48),$AB48,$AA48)))=Milestones!$AB$24),UPPER(TEXT(EDATE($D48,Milestones!$AA$24),"dd mmm yy"))&amp;" "&amp;Milestones!$AB$24&amp;" "&amp;IF(AND(Milestones!$AB$24="FT",Milestones!$AA$24=FT_Y5,EDATE($D48,Milestones!$AA$24)&lt;PolicyEff),1,Milestones!$AC$24)&amp;";  ","")&amp;IF(AND(EDATE($D48,Milestones!$AA$25)&lt;=AsOfDate,EDATE($D48,Milestones!$AA$25)&gt;=SchemeStart,IF($X48=0,$AD48,IF(AND($Z48&lt;&gt;"",EDATE($D48,Milestones!$AA$25)&gt;=$Z48),$AC48,IF(AND($Y48&lt;&gt;"",EDATE($D48,Milestones!$AA$25)&gt;=$Y48),$AB48,$AA48)))=Milestones!$AB$25),UPPER(TEXT(EDATE($D48,Milestones!$AA$25),"dd mmm yy"))&amp;" "&amp;Milestones!$AB$25&amp;" "&amp;IF(AND(Milestones!$AB$25="FT",Milestones!$AA$25=FT_Y5,EDATE($D48,Milestones!$AA$25)&lt;PolicyEff),1,Milestones!$AC$25)&amp;";  ","")&amp;IF(AND(EDATE($D48,Milestones!$AA$26)&lt;=AsOfDate,EDATE($D48,Milestones!$AA$26)&gt;=SchemeStart,IF($X48=0,$AD48,IF(AND($Z48&lt;&gt;"",EDATE($D48,Milestones!$AA$26)&gt;=$Z48),$AC48,IF(AND($Y48&lt;&gt;"",EDATE($D48,Milestones!$AA$26)&gt;=$Y48),$AB48,$AA48)))=Milestones!$AB$26),UPPER(TEXT(EDATE($D48,Milestones!$AA$26),"dd mmm yy"))&amp;" "&amp;Milestones!$AB$26&amp;" "&amp;IF(AND(Milestones!$AB$26="FT",Milestones!$AA$26=FT_Y5,EDATE($D48,Milestones!$AA$26)&lt;PolicyEff),1,Milestones!$AC$26)&amp;";  ","")&amp;IF(AND(EDATE($D48,Milestones!$AA$27)&lt;=AsOfDate,EDATE($D48,Milestones!$AA$27)&gt;=SchemeStart,IF($X48=0,$AD48,IF(AND($Z48&lt;&gt;"",EDATE($D48,Milestones!$AA$27)&gt;=$Z48),$AC48,IF(AND($Y48&lt;&gt;"",EDATE($D48,Milestones!$AA$27)&gt;=$Y48),$AB48,$AA48)))=Milestones!$AB$27),UPPER(TEXT(EDATE($D48,Milestones!$AA$27),"dd mmm yy"))&amp;" "&amp;Milestones!$AB$27&amp;" "&amp;IF(AND(Milestones!$AB$27="FT",Milestones!$AA$27=FT_Y5,EDATE($D48,Milestones!$AA$27)&lt;PolicyEff),1,Milestones!$AC$27)&amp;";  ","")&amp;IF(AND(EDATE($D48,Milestones!$AA$28)&lt;=AsOfDate,EDATE($D48,Milestones!$AA$28)&gt;=SchemeStart,IF($X48=0,$AD48,IF(AND($Z48&lt;&gt;"",EDATE($D48,Milestones!$AA$28)&gt;=$Z48),$AC48,IF(AND($Y48&lt;&gt;"",EDATE($D48,Milestones!$AA$28)&gt;=$Y48),$AB48,$AA48)))=Milestones!$AB$28),UPPER(TEXT(EDATE($D48,Milestones!$AA$28),"dd mmm yy"))&amp;" "&amp;Milestones!$AB$28&amp;" "&amp;IF(AND(Milestones!$AB$28="FT",Milestones!$AA$28=FT_Y5,EDATE($D48,Milestones!$AA$28)&lt;PolicyEff),1,Milestones!$AC$28)&amp;";  ","")&amp;IF(AND(EDATE($D48,Milestones!$AA$29)&lt;=AsOfDate,EDATE($D48,Milestones!$AA$29)&gt;=SchemeStart,IF($X48=0,$AD48,IF(AND($Z48&lt;&gt;"",EDATE($D48,Milestones!$AA$29)&gt;=$Z48),$AC48,IF(AND($Y48&lt;&gt;"",EDATE($D48,Milestones!$AA$29)&gt;=$Y48),$AB48,$AA48)))=Milestones!$AB$29),UPPER(TEXT(EDATE($D48,Milestones!$AA$29),"dd mmm yy"))&amp;" "&amp;Milestones!$AB$29&amp;" "&amp;IF(AND(Milestones!$AB$29="FT",Milestones!$AA$29=FT_Y5,EDATE($D48,Milestones!$AA$29)&lt;PolicyEff),1,Milestones!$AC$29)&amp;";  ","")&amp;IF(AND(EDATE($D48,Milestones!$AA$30)&lt;=AsOfDate,EDATE($D48,Milestones!$AA$30)&gt;=SchemeStart,IF($X48=0,$AD48,IF(AND($Z48&lt;&gt;"",EDATE($D48,Milestones!$AA$30)&gt;=$Z48),$AC48,IF(AND($Y48&lt;&gt;"",EDATE($D48,Milestones!$AA$30)&gt;=$Y48),$AB48,$AA48)))=Milestones!$AB$30),UPPER(TEXT(EDATE($D48,Milestones!$AA$30),"dd mmm yy"))&amp;" "&amp;Milestones!$AB$30&amp;" "&amp;IF(AND(Milestones!$AB$30="FT",Milestones!$AA$30=FT_Y5,EDATE($D48,Milestones!$AA$30)&lt;PolicyEff),1,Milestones!$AC$30)&amp;";  ","")&amp;IF(AND(EDATE($D48,Milestones!$AA$31)&lt;=AsOfDate,EDATE($D48,Milestones!$AA$31)&gt;=SchemeStart,IF($X48=0,$AD48,IF(AND($Z48&lt;&gt;"",EDATE($D48,Milestones!$AA$31)&gt;=$Z48),$AC48,IF(AND($Y48&lt;&gt;"",EDATE($D48,Milestones!$AA$31)&gt;=$Y48),$AB48,$AA48)))=Milestones!$AB$31),UPPER(TEXT(EDATE($D48,Milestones!$AA$31),"dd mmm yy"))&amp;" "&amp;Milestones!$AB$31&amp;" "&amp;IF(AND(Milestones!$AB$31="FT",Milestones!$AA$31=FT_Y5,EDATE($D48,Milestones!$AA$31)&lt;PolicyEff),1,Milestones!$AC$31)&amp;";  ",""))</f>
        <v/>
      </c>
      <c r="J48" s="0" t="str">
        <f aca="false">IF(OR($A48="",$D48=""),"",IF(AND(EDATE($D48,Milestones!$AA$32)&lt;=AsOfDate,EDATE($D48,Milestones!$AA$32)&gt;=SchemeStart,IF($X48=0,$AD48,IF(AND($Z48&lt;&gt;"",EDATE($D48,Milestones!$AA$32)&gt;=$Z48),$AC48,IF(AND($Y48&lt;&gt;"",EDATE($D48,Milestones!$AA$32)&gt;=$Y48),$AB48,$AA48)))=Milestones!$AB$32),UPPER(TEXT(EDATE($D48,Milestones!$AA$32),"dd mmm yy"))&amp;" "&amp;Milestones!$AB$32&amp;" "&amp;IF(AND(Milestones!$AB$32="FT",Milestones!$AA$32=FT_Y5,EDATE($D48,Milestones!$AA$32)&lt;PolicyEff),1,Milestones!$AC$32)&amp;";  ","")&amp;IF(AND(EDATE($D48,Milestones!$AA$33)&lt;=AsOfDate,EDATE($D48,Milestones!$AA$33)&gt;=SchemeStart,IF($X48=0,$AD48,IF(AND($Z48&lt;&gt;"",EDATE($D48,Milestones!$AA$33)&gt;=$Z48),$AC48,IF(AND($Y48&lt;&gt;"",EDATE($D48,Milestones!$AA$33)&gt;=$Y48),$AB48,$AA48)))=Milestones!$AB$33),UPPER(TEXT(EDATE($D48,Milestones!$AA$33),"dd mmm yy"))&amp;" "&amp;Milestones!$AB$33&amp;" "&amp;IF(AND(Milestones!$AB$33="FT",Milestones!$AA$33=FT_Y5,EDATE($D48,Milestones!$AA$33)&lt;PolicyEff),1,Milestones!$AC$33)&amp;";  ","")&amp;IF(AND(EDATE($D48,Milestones!$AA$34)&lt;=AsOfDate,EDATE($D48,Milestones!$AA$34)&gt;=SchemeStart,IF($X48=0,$AD48,IF(AND($Z48&lt;&gt;"",EDATE($D48,Milestones!$AA$34)&gt;=$Z48),$AC48,IF(AND($Y48&lt;&gt;"",EDATE($D48,Milestones!$AA$34)&gt;=$Y48),$AB48,$AA48)))=Milestones!$AB$34),UPPER(TEXT(EDATE($D48,Milestones!$AA$34),"dd mmm yy"))&amp;" "&amp;Milestones!$AB$34&amp;" "&amp;IF(AND(Milestones!$AB$34="FT",Milestones!$AA$34=FT_Y5,EDATE($D48,Milestones!$AA$34)&lt;PolicyEff),1,Milestones!$AC$34)&amp;";  ","")&amp;IF(AND(EDATE($D48,Milestones!$AA$35)&lt;=AsOfDate,EDATE($D48,Milestones!$AA$35)&gt;=SchemeStart,IF($X48=0,$AD48,IF(AND($Z48&lt;&gt;"",EDATE($D48,Milestones!$AA$35)&gt;=$Z48),$AC48,IF(AND($Y48&lt;&gt;"",EDATE($D48,Milestones!$AA$35)&gt;=$Y48),$AB48,$AA48)))=Milestones!$AB$35),UPPER(TEXT(EDATE($D48,Milestones!$AA$35),"dd mmm yy"))&amp;" "&amp;Milestones!$AB$35&amp;" "&amp;IF(AND(Milestones!$AB$35="FT",Milestones!$AA$35=FT_Y5,EDATE($D48,Milestones!$AA$35)&lt;PolicyEff),1,Milestones!$AC$35)&amp;";  ","")&amp;IF(AND(EDATE($D48,Milestones!$AA$36)&lt;=AsOfDate,EDATE($D48,Milestones!$AA$36)&gt;=SchemeStart,IF($X48=0,$AD48,IF(AND($Z48&lt;&gt;"",EDATE($D48,Milestones!$AA$36)&gt;=$Z48),$AC48,IF(AND($Y48&lt;&gt;"",EDATE($D48,Milestones!$AA$36)&gt;=$Y48),$AB48,$AA48)))=Milestones!$AB$36),UPPER(TEXT(EDATE($D48,Milestones!$AA$36),"dd mmm yy"))&amp;" "&amp;Milestones!$AB$36&amp;" "&amp;IF(AND(Milestones!$AB$36="FT",Milestones!$AA$36=FT_Y5,EDATE($D48,Milestones!$AA$36)&lt;PolicyEff),1,Milestones!$AC$36)&amp;";  ","")&amp;IF(AND(EDATE($D48,Milestones!$AA$37)&lt;=AsOfDate,EDATE($D48,Milestones!$AA$37)&gt;=SchemeStart,IF($X48=0,$AD48,IF(AND($Z48&lt;&gt;"",EDATE($D48,Milestones!$AA$37)&gt;=$Z48),$AC48,IF(AND($Y48&lt;&gt;"",EDATE($D48,Milestones!$AA$37)&gt;=$Y48),$AB48,$AA48)))=Milestones!$AB$37),UPPER(TEXT(EDATE($D48,Milestones!$AA$37),"dd mmm yy"))&amp;" "&amp;Milestones!$AB$37&amp;" "&amp;IF(AND(Milestones!$AB$37="FT",Milestones!$AA$37=FT_Y5,EDATE($D48,Milestones!$AA$37)&lt;PolicyEff),1,Milestones!$AC$37)&amp;";  ","")&amp;IF(AND(EDATE($D48,Milestones!$AA$38)&lt;=AsOfDate,EDATE($D48,Milestones!$AA$38)&gt;=SchemeStart,IF($X48=0,$AD48,IF(AND($Z48&lt;&gt;"",EDATE($D48,Milestones!$AA$38)&gt;=$Z48),$AC48,IF(AND($Y48&lt;&gt;"",EDATE($D48,Milestones!$AA$38)&gt;=$Y48),$AB48,$AA48)))=Milestones!$AB$38),UPPER(TEXT(EDATE($D48,Milestones!$AA$38),"dd mmm yy"))&amp;" "&amp;Milestones!$AB$38&amp;" "&amp;IF(AND(Milestones!$AB$38="FT",Milestones!$AA$38=FT_Y5,EDATE($D48,Milestones!$AA$38)&lt;PolicyEff),1,Milestones!$AC$38)&amp;";  ","")&amp;IF(AND(EDATE($D48,Milestones!$AA$39)&lt;=AsOfDate,EDATE($D48,Milestones!$AA$39)&gt;=SchemeStart,IF($X48=0,$AD48,IF(AND($Z48&lt;&gt;"",EDATE($D48,Milestones!$AA$39)&gt;=$Z48),$AC48,IF(AND($Y48&lt;&gt;"",EDATE($D48,Milestones!$AA$39)&gt;=$Y48),$AB48,$AA48)))=Milestones!$AB$39),UPPER(TEXT(EDATE($D48,Milestones!$AA$39),"dd mmm yy"))&amp;" "&amp;Milestones!$AB$39&amp;" "&amp;IF(AND(Milestones!$AB$39="FT",Milestones!$AA$39=FT_Y5,EDATE($D48,Milestones!$AA$39)&lt;PolicyEff),1,Milestones!$AC$39)&amp;";  ","")&amp;IF(AND(EDATE($D48,Milestones!$AA$40)&lt;=AsOfDate,EDATE($D48,Milestones!$AA$40)&gt;=SchemeStart,IF($X48=0,$AD48,IF(AND($Z48&lt;&gt;"",EDATE($D48,Milestones!$AA$40)&gt;=$Z48),$AC48,IF(AND($Y48&lt;&gt;"",EDATE($D48,Milestones!$AA$40)&gt;=$Y48),$AB48,$AA48)))=Milestones!$AB$40),UPPER(TEXT(EDATE($D48,Milestones!$AA$40),"dd mmm yy"))&amp;" "&amp;Milestones!$AB$40&amp;" "&amp;IF(AND(Milestones!$AB$40="FT",Milestones!$AA$40=FT_Y5,EDATE($D48,Milestones!$AA$40)&lt;PolicyEff),1,Milestones!$AC$40)&amp;";  ","")&amp;IF(AND(EDATE($D48,Milestones!$AA$41)&lt;=AsOfDate,EDATE($D48,Milestones!$AA$41)&gt;=SchemeStart,IF($X48=0,$AD48,IF(AND($Z48&lt;&gt;"",EDATE($D48,Milestones!$AA$41)&gt;=$Z48),$AC48,IF(AND($Y48&lt;&gt;"",EDATE($D48,Milestones!$AA$41)&gt;=$Y48),$AB48,$AA48)))=Milestones!$AB$41),UPPER(TEXT(EDATE($D48,Milestones!$AA$41),"dd mmm yy"))&amp;" "&amp;Milestones!$AB$41&amp;" "&amp;IF(AND(Milestones!$AB$41="FT",Milestones!$AA$41=FT_Y5,EDATE($D48,Milestones!$AA$41)&lt;PolicyEff),1,Milestones!$AC$41)&amp;";  ","")&amp;IF(AND(EDATE($D48,Milestones!$AA$42)&lt;=AsOfDate,EDATE($D48,Milestones!$AA$42)&gt;=SchemeStart,IF($X48=0,$AD48,IF(AND($Z48&lt;&gt;"",EDATE($D48,Milestones!$AA$42)&gt;=$Z48),$AC48,IF(AND($Y48&lt;&gt;"",EDATE($D48,Milestones!$AA$42)&gt;=$Y48),$AB48,$AA48)))=Milestones!$AB$42),UPPER(TEXT(EDATE($D48,Milestones!$AA$42),"dd mmm yy"))&amp;" "&amp;Milestones!$AB$42&amp;" "&amp;IF(AND(Milestones!$AB$42="FT",Milestones!$AA$42=FT_Y5,EDATE($D48,Milestones!$AA$42)&lt;PolicyEff),1,Milestones!$AC$42)&amp;";  ","")&amp;IF(AND(EDATE($D48,Milestones!$AA$43)&lt;=AsOfDate,EDATE($D48,Milestones!$AA$43)&gt;=SchemeStart,IF($X48=0,$AD48,IF(AND($Z48&lt;&gt;"",EDATE($D48,Milestones!$AA$43)&gt;=$Z48),$AC48,IF(AND($Y48&lt;&gt;"",EDATE($D48,Milestones!$AA$43)&gt;=$Y48),$AB48,$AA48)))=Milestones!$AB$43),UPPER(TEXT(EDATE($D48,Milestones!$AA$43),"dd mmm yy"))&amp;" "&amp;Milestones!$AB$43&amp;" "&amp;IF(AND(Milestones!$AB$43="FT",Milestones!$AA$43=FT_Y5,EDATE($D48,Milestones!$AA$43)&lt;PolicyEff),1,Milestones!$AC$43)&amp;";  ",""))</f>
        <v/>
      </c>
      <c r="K48" s="0" t="str">
        <f aca="false">IF(OR($A48="",$D48=""),"",IF(AND(EDATE($D48,Milestones!$AA$44)&lt;=AsOfDate,EDATE($D48,Milestones!$AA$44)&gt;=SchemeStart,IF($X48=0,$AD48,IF(AND($Z48&lt;&gt;"",EDATE($D48,Milestones!$AA$44)&gt;=$Z48),$AC48,IF(AND($Y48&lt;&gt;"",EDATE($D48,Milestones!$AA$44)&gt;=$Y48),$AB48,$AA48)))=Milestones!$AB$44),UPPER(TEXT(EDATE($D48,Milestones!$AA$44),"dd mmm yy"))&amp;" "&amp;Milestones!$AB$44&amp;" "&amp;IF(AND(Milestones!$AB$44="FT",Milestones!$AA$44=FT_Y5,EDATE($D48,Milestones!$AA$44)&lt;PolicyEff),1,Milestones!$AC$44)&amp;";  ","")&amp;IF(AND(EDATE($D48,Milestones!$AA$45)&lt;=AsOfDate,EDATE($D48,Milestones!$AA$45)&gt;=SchemeStart,IF($X48=0,$AD48,IF(AND($Z48&lt;&gt;"",EDATE($D48,Milestones!$AA$45)&gt;=$Z48),$AC48,IF(AND($Y48&lt;&gt;"",EDATE($D48,Milestones!$AA$45)&gt;=$Y48),$AB48,$AA48)))=Milestones!$AB$45),UPPER(TEXT(EDATE($D48,Milestones!$AA$45),"dd mmm yy"))&amp;" "&amp;Milestones!$AB$45&amp;" "&amp;IF(AND(Milestones!$AB$45="FT",Milestones!$AA$45=FT_Y5,EDATE($D48,Milestones!$AA$45)&lt;PolicyEff),1,Milestones!$AC$45)&amp;";  ","")&amp;IF(AND(EDATE($D48,Milestones!$AA$46)&lt;=AsOfDate,EDATE($D48,Milestones!$AA$46)&gt;=SchemeStart,IF($X48=0,$AD48,IF(AND($Z48&lt;&gt;"",EDATE($D48,Milestones!$AA$46)&gt;=$Z48),$AC48,IF(AND($Y48&lt;&gt;"",EDATE($D48,Milestones!$AA$46)&gt;=$Y48),$AB48,$AA48)))=Milestones!$AB$46),UPPER(TEXT(EDATE($D48,Milestones!$AA$46),"dd mmm yy"))&amp;" "&amp;Milestones!$AB$46&amp;" "&amp;IF(AND(Milestones!$AB$46="FT",Milestones!$AA$46=FT_Y5,EDATE($D48,Milestones!$AA$46)&lt;PolicyEff),1,Milestones!$AC$46)&amp;";  ","")&amp;IF(AND(EDATE($D48,Milestones!$AA$47)&lt;=AsOfDate,EDATE($D48,Milestones!$AA$47)&gt;=SchemeStart,IF($X48=0,$AD48,IF(AND($Z48&lt;&gt;"",EDATE($D48,Milestones!$AA$47)&gt;=$Z48),$AC48,IF(AND($Y48&lt;&gt;"",EDATE($D48,Milestones!$AA$47)&gt;=$Y48),$AB48,$AA48)))=Milestones!$AB$47),UPPER(TEXT(EDATE($D48,Milestones!$AA$47),"dd mmm yy"))&amp;" "&amp;Milestones!$AB$47&amp;" "&amp;IF(AND(Milestones!$AB$47="FT",Milestones!$AA$47=FT_Y5,EDATE($D48,Milestones!$AA$47)&lt;PolicyEff),1,Milestones!$AC$47)&amp;";  ","")&amp;IF(AND(EDATE($D48,Milestones!$AA$48)&lt;=AsOfDate,EDATE($D48,Milestones!$AA$48)&gt;=SchemeStart,IF($X48=0,$AD48,IF(AND($Z48&lt;&gt;"",EDATE($D48,Milestones!$AA$48)&gt;=$Z48),$AC48,IF(AND($Y48&lt;&gt;"",EDATE($D48,Milestones!$AA$48)&gt;=$Y48),$AB48,$AA48)))=Milestones!$AB$48),UPPER(TEXT(EDATE($D48,Milestones!$AA$48),"dd mmm yy"))&amp;" "&amp;Milestones!$AB$48&amp;" "&amp;IF(AND(Milestones!$AB$48="FT",Milestones!$AA$48=FT_Y5,EDATE($D48,Milestones!$AA$48)&lt;PolicyEff),1,Milestones!$AC$48)&amp;";  ","")&amp;IF(AND(EDATE($D48,Milestones!$AA$49)&lt;=AsOfDate,EDATE($D48,Milestones!$AA$49)&gt;=SchemeStart,IF($X48=0,$AD48,IF(AND($Z48&lt;&gt;"",EDATE($D48,Milestones!$AA$49)&gt;=$Z48),$AC48,IF(AND($Y48&lt;&gt;"",EDATE($D48,Milestones!$AA$49)&gt;=$Y48),$AB48,$AA48)))=Milestones!$AB$49),UPPER(TEXT(EDATE($D48,Milestones!$AA$49),"dd mmm yy"))&amp;" "&amp;Milestones!$AB$49&amp;" "&amp;IF(AND(Milestones!$AB$49="FT",Milestones!$AA$49=FT_Y5,EDATE($D48,Milestones!$AA$49)&lt;PolicyEff),1,Milestones!$AC$49)&amp;";  ","")&amp;IF(AND(EDATE($D48,Milestones!$AA$50)&lt;=AsOfDate,EDATE($D48,Milestones!$AA$50)&gt;=SchemeStart,IF($X48=0,$AD48,IF(AND($Z48&lt;&gt;"",EDATE($D48,Milestones!$AA$50)&gt;=$Z48),$AC48,IF(AND($Y48&lt;&gt;"",EDATE($D48,Milestones!$AA$50)&gt;=$Y48),$AB48,$AA48)))=Milestones!$AB$50),UPPER(TEXT(EDATE($D48,Milestones!$AA$50),"dd mmm yy"))&amp;" "&amp;Milestones!$AB$50&amp;" "&amp;IF(AND(Milestones!$AB$50="FT",Milestones!$AA$50=FT_Y5,EDATE($D48,Milestones!$AA$50)&lt;PolicyEff),1,Milestones!$AC$50)&amp;";  ","")&amp;IF(AND(EDATE($D48,Milestones!$AA$51)&lt;=AsOfDate,EDATE($D48,Milestones!$AA$51)&gt;=SchemeStart,IF($X48=0,$AD48,IF(AND($Z48&lt;&gt;"",EDATE($D48,Milestones!$AA$51)&gt;=$Z48),$AC48,IF(AND($Y48&lt;&gt;"",EDATE($D48,Milestones!$AA$51)&gt;=$Y48),$AB48,$AA48)))=Milestones!$AB$51),UPPER(TEXT(EDATE($D48,Milestones!$AA$51),"dd mmm yy"))&amp;" "&amp;Milestones!$AB$51&amp;" "&amp;IF(AND(Milestones!$AB$51="FT",Milestones!$AA$51=FT_Y5,EDATE($D48,Milestones!$AA$51)&lt;PolicyEff),1,Milestones!$AC$51)&amp;";  ","")&amp;IF(AND(EDATE($D48,Milestones!$AA$52)&lt;=AsOfDate,EDATE($D48,Milestones!$AA$52)&gt;=SchemeStart,IF($X48=0,$AD48,IF(AND($Z48&lt;&gt;"",EDATE($D48,Milestones!$AA$52)&gt;=$Z48),$AC48,IF(AND($Y48&lt;&gt;"",EDATE($D48,Milestones!$AA$52)&gt;=$Y48),$AB48,$AA48)))=Milestones!$AB$52),UPPER(TEXT(EDATE($D48,Milestones!$AA$52),"dd mmm yy"))&amp;" "&amp;Milestones!$AB$52&amp;" "&amp;IF(AND(Milestones!$AB$52="FT",Milestones!$AA$52=FT_Y5,EDATE($D48,Milestones!$AA$52)&lt;PolicyEff),1,Milestones!$AC$52)&amp;";  ","")&amp;IF(AND(EDATE($D48,Milestones!$AA$53)&lt;=AsOfDate,EDATE($D48,Milestones!$AA$53)&gt;=SchemeStart,IF($X48=0,$AD48,IF(AND($Z48&lt;&gt;"",EDATE($D48,Milestones!$AA$53)&gt;=$Z48),$AC48,IF(AND($Y48&lt;&gt;"",EDATE($D48,Milestones!$AA$53)&gt;=$Y48),$AB48,$AA48)))=Milestones!$AB$53),UPPER(TEXT(EDATE($D48,Milestones!$AA$53),"dd mmm yy"))&amp;" "&amp;Milestones!$AB$53&amp;" "&amp;IF(AND(Milestones!$AB$53="FT",Milestones!$AA$53=FT_Y5,EDATE($D48,Milestones!$AA$53)&lt;PolicyEff),1,Milestones!$AC$53)&amp;";  ","")&amp;IF(AND(EDATE($D48,Milestones!$AA$54)&lt;=AsOfDate,EDATE($D48,Milestones!$AA$54)&gt;=SchemeStart,IF($X48=0,$AD48,IF(AND($Z48&lt;&gt;"",EDATE($D48,Milestones!$AA$54)&gt;=$Z48),$AC48,IF(AND($Y48&lt;&gt;"",EDATE($D48,Milestones!$AA$54)&gt;=$Y48),$AB48,$AA48)))=Milestones!$AB$54),UPPER(TEXT(EDATE($D48,Milestones!$AA$54),"dd mmm yy"))&amp;" "&amp;Milestones!$AB$54&amp;" "&amp;IF(AND(Milestones!$AB$54="FT",Milestones!$AA$54=FT_Y5,EDATE($D48,Milestones!$AA$54)&lt;PolicyEff),1,Milestones!$AC$54)&amp;";  ","")&amp;IF(AND(EDATE($D48,Milestones!$AA$55)&lt;=AsOfDate,EDATE($D48,Milestones!$AA$55)&gt;=SchemeStart,IF($X48=0,$AD48,IF(AND($Z48&lt;&gt;"",EDATE($D48,Milestones!$AA$55)&gt;=$Z48),$AC48,IF(AND($Y48&lt;&gt;"",EDATE($D48,Milestones!$AA$55)&gt;=$Y48),$AB48,$AA48)))=Milestones!$AB$55),UPPER(TEXT(EDATE($D48,Milestones!$AA$55),"dd mmm yy"))&amp;" "&amp;Milestones!$AB$55&amp;" "&amp;IF(AND(Milestones!$AB$55="FT",Milestones!$AA$55=FT_Y5,EDATE($D48,Milestones!$AA$55)&lt;PolicyEff),1,Milestones!$AC$55)&amp;";  ",""))</f>
        <v/>
      </c>
      <c r="L48" s="0" t="str">
        <f aca="false">IF(OR($A48="",$D48=""),"",IF(AND(EDATE($D48,Milestones!$AA$56)&lt;=AsOfDate,EDATE($D48,Milestones!$AA$56)&gt;=SchemeStart,IF($X48=0,$AD48,IF(AND($Z48&lt;&gt;"",EDATE($D48,Milestones!$AA$56)&gt;=$Z48),$AC48,IF(AND($Y48&lt;&gt;"",EDATE($D48,Milestones!$AA$56)&gt;=$Y48),$AB48,$AA48)))=Milestones!$AB$56),UPPER(TEXT(EDATE($D48,Milestones!$AA$56),"dd mmm yy"))&amp;" "&amp;Milestones!$AB$56&amp;" "&amp;IF(AND(Milestones!$AB$56="FT",Milestones!$AA$56=FT_Y5,EDATE($D48,Milestones!$AA$56)&lt;PolicyEff),1,Milestones!$AC$56)&amp;";  ","")&amp;IF(AND(EDATE($D48,Milestones!$AA$57)&lt;=AsOfDate,EDATE($D48,Milestones!$AA$57)&gt;=SchemeStart,IF($X48=0,$AD48,IF(AND($Z48&lt;&gt;"",EDATE($D48,Milestones!$AA$57)&gt;=$Z48),$AC48,IF(AND($Y48&lt;&gt;"",EDATE($D48,Milestones!$AA$57)&gt;=$Y48),$AB48,$AA48)))=Milestones!$AB$57),UPPER(TEXT(EDATE($D48,Milestones!$AA$57),"dd mmm yy"))&amp;" "&amp;Milestones!$AB$57&amp;" "&amp;IF(AND(Milestones!$AB$57="FT",Milestones!$AA$57=FT_Y5,EDATE($D48,Milestones!$AA$57)&lt;PolicyEff),1,Milestones!$AC$57)&amp;";  ","")&amp;IF(AND(EDATE($D48,Milestones!$AA$58)&lt;=AsOfDate,EDATE($D48,Milestones!$AA$58)&gt;=SchemeStart,IF($X48=0,$AD48,IF(AND($Z48&lt;&gt;"",EDATE($D48,Milestones!$AA$58)&gt;=$Z48),$AC48,IF(AND($Y48&lt;&gt;"",EDATE($D48,Milestones!$AA$58)&gt;=$Y48),$AB48,$AA48)))=Milestones!$AB$58),UPPER(TEXT(EDATE($D48,Milestones!$AA$58),"dd mmm yy"))&amp;" "&amp;Milestones!$AB$58&amp;" "&amp;IF(AND(Milestones!$AB$58="FT",Milestones!$AA$58=FT_Y5,EDATE($D48,Milestones!$AA$58)&lt;PolicyEff),1,Milestones!$AC$58)&amp;";  ","")&amp;IF(AND(EDATE($D48,Milestones!$AA$59)&lt;=AsOfDate,EDATE($D48,Milestones!$AA$59)&gt;=SchemeStart,IF($X48=0,$AD48,IF(AND($Z48&lt;&gt;"",EDATE($D48,Milestones!$AA$59)&gt;=$Z48),$AC48,IF(AND($Y48&lt;&gt;"",EDATE($D48,Milestones!$AA$59)&gt;=$Y48),$AB48,$AA48)))=Milestones!$AB$59),UPPER(TEXT(EDATE($D48,Milestones!$AA$59),"dd mmm yy"))&amp;" "&amp;Milestones!$AB$59&amp;" "&amp;IF(AND(Milestones!$AB$59="FT",Milestones!$AA$59=FT_Y5,EDATE($D48,Milestones!$AA$59)&lt;PolicyEff),1,Milestones!$AC$59)&amp;";  ","")&amp;IF(AND(EDATE($D48,Milestones!$AA$60)&lt;=AsOfDate,EDATE($D48,Milestones!$AA$60)&gt;=SchemeStart,IF($X48=0,$AD48,IF(AND($Z48&lt;&gt;"",EDATE($D48,Milestones!$AA$60)&gt;=$Z48),$AC48,IF(AND($Y48&lt;&gt;"",EDATE($D48,Milestones!$AA$60)&gt;=$Y48),$AB48,$AA48)))=Milestones!$AB$60),UPPER(TEXT(EDATE($D48,Milestones!$AA$60),"dd mmm yy"))&amp;" "&amp;Milestones!$AB$60&amp;" "&amp;IF(AND(Milestones!$AB$60="FT",Milestones!$AA$60=FT_Y5,EDATE($D48,Milestones!$AA$60)&lt;PolicyEff),1,Milestones!$AC$60)&amp;";  ","")&amp;IF(AND(EDATE($D48,Milestones!$AA$61)&lt;=AsOfDate,EDATE($D48,Milestones!$AA$61)&gt;=SchemeStart,IF($X48=0,$AD48,IF(AND($Z48&lt;&gt;"",EDATE($D48,Milestones!$AA$61)&gt;=$Z48),$AC48,IF(AND($Y48&lt;&gt;"",EDATE($D48,Milestones!$AA$61)&gt;=$Y48),$AB48,$AA48)))=Milestones!$AB$61),UPPER(TEXT(EDATE($D48,Milestones!$AA$61),"dd mmm yy"))&amp;" "&amp;Milestones!$AB$61&amp;" "&amp;IF(AND(Milestones!$AB$61="FT",Milestones!$AA$61=FT_Y5,EDATE($D48,Milestones!$AA$61)&lt;PolicyEff),1,Milestones!$AC$61)&amp;";  ","")&amp;IF(AND(EDATE($D48,Milestones!$AA$62)&lt;=AsOfDate,EDATE($D48,Milestones!$AA$62)&gt;=SchemeStart,IF($X48=0,$AD48,IF(AND($Z48&lt;&gt;"",EDATE($D48,Milestones!$AA$62)&gt;=$Z48),$AC48,IF(AND($Y48&lt;&gt;"",EDATE($D48,Milestones!$AA$62)&gt;=$Y48),$AB48,$AA48)))=Milestones!$AB$62),UPPER(TEXT(EDATE($D48,Milestones!$AA$62),"dd mmm yy"))&amp;" "&amp;Milestones!$AB$62&amp;" "&amp;IF(AND(Milestones!$AB$62="FT",Milestones!$AA$62=FT_Y5,EDATE($D48,Milestones!$AA$62)&lt;PolicyEff),1,Milestones!$AC$62)&amp;";  ","")&amp;IF(AND(EDATE($D48,Milestones!$AA$63)&lt;=AsOfDate,EDATE($D48,Milestones!$AA$63)&gt;=SchemeStart,IF($X48=0,$AD48,IF(AND($Z48&lt;&gt;"",EDATE($D48,Milestones!$AA$63)&gt;=$Z48),$AC48,IF(AND($Y48&lt;&gt;"",EDATE($D48,Milestones!$AA$63)&gt;=$Y48),$AB48,$AA48)))=Milestones!$AB$63),UPPER(TEXT(EDATE($D48,Milestones!$AA$63),"dd mmm yy"))&amp;" "&amp;Milestones!$AB$63&amp;" "&amp;IF(AND(Milestones!$AB$63="FT",Milestones!$AA$63=FT_Y5,EDATE($D48,Milestones!$AA$63)&lt;PolicyEff),1,Milestones!$AC$63)&amp;";  ","")&amp;IF(AND(EDATE($D48,Milestones!$AA$64)&lt;=AsOfDate,EDATE($D48,Milestones!$AA$64)&gt;=SchemeStart,IF($X48=0,$AD48,IF(AND($Z48&lt;&gt;"",EDATE($D48,Milestones!$AA$64)&gt;=$Z48),$AC48,IF(AND($Y48&lt;&gt;"",EDATE($D48,Milestones!$AA$64)&gt;=$Y48),$AB48,$AA48)))=Milestones!$AB$64),UPPER(TEXT(EDATE($D48,Milestones!$AA$64),"dd mmm yy"))&amp;" "&amp;Milestones!$AB$64&amp;" "&amp;IF(AND(Milestones!$AB$64="FT",Milestones!$AA$64=FT_Y5,EDATE($D48,Milestones!$AA$64)&lt;PolicyEff),1,Milestones!$AC$64)&amp;";  ","")&amp;IF(AND(EDATE($D48,Milestones!$AA$65)&lt;=AsOfDate,EDATE($D48,Milestones!$AA$65)&gt;=SchemeStart,IF($X48=0,$AD48,IF(AND($Z48&lt;&gt;"",EDATE($D48,Milestones!$AA$65)&gt;=$Z48),$AC48,IF(AND($Y48&lt;&gt;"",EDATE($D48,Milestones!$AA$65)&gt;=$Y48),$AB48,$AA48)))=Milestones!$AB$65),UPPER(TEXT(EDATE($D48,Milestones!$AA$65),"dd mmm yy"))&amp;" "&amp;Milestones!$AB$65&amp;" "&amp;IF(AND(Milestones!$AB$65="FT",Milestones!$AA$65=FT_Y5,EDATE($D48,Milestones!$AA$65)&lt;PolicyEff),1,Milestones!$AC$65)&amp;";  ","")&amp;IF(AND(EDATE($D48,Milestones!$AA$66)&lt;=AsOfDate,EDATE($D48,Milestones!$AA$66)&gt;=SchemeStart,IF($X48=0,$AD48,IF(AND($Z48&lt;&gt;"",EDATE($D48,Milestones!$AA$66)&gt;=$Z48),$AC48,IF(AND($Y48&lt;&gt;"",EDATE($D48,Milestones!$AA$66)&gt;=$Y48),$AB48,$AA48)))=Milestones!$AB$66),UPPER(TEXT(EDATE($D48,Milestones!$AA$66),"dd mmm yy"))&amp;" "&amp;Milestones!$AB$66&amp;" "&amp;IF(AND(Milestones!$AB$66="FT",Milestones!$AA$66=FT_Y5,EDATE($D48,Milestones!$AA$66)&lt;PolicyEff),1,Milestones!$AC$66)&amp;";  ","")&amp;IF(AND(EDATE($D48,Milestones!$AA$67)&lt;=AsOfDate,EDATE($D48,Milestones!$AA$67)&gt;=SchemeStart,IF($X48=0,$AD48,IF(AND($Z48&lt;&gt;"",EDATE($D48,Milestones!$AA$67)&gt;=$Z48),$AC48,IF(AND($Y48&lt;&gt;"",EDATE($D48,Milestones!$AA$67)&gt;=$Y48),$AB48,$AA48)))=Milestones!$AB$67),UPPER(TEXT(EDATE($D48,Milestones!$AA$67),"dd mmm yy"))&amp;" "&amp;Milestones!$AB$67&amp;" "&amp;IF(AND(Milestones!$AB$67="FT",Milestones!$AA$67=FT_Y5,EDATE($D48,Milestones!$AA$67)&lt;PolicyEff),1,Milestones!$AC$67)&amp;";  ",""))</f>
        <v/>
      </c>
      <c r="M48" s="0" t="str">
        <f aca="false">IF(OR($A48="",$D48=""),"",IF(AND(EDATE($D48,Milestones!$AA$68)&lt;=AsOfDate,EDATE($D48,Milestones!$AA$68)&gt;=SchemeStart,IF($X48=0,$AD48,IF(AND($Z48&lt;&gt;"",EDATE($D48,Milestones!$AA$68)&gt;=$Z48),$AC48,IF(AND($Y48&lt;&gt;"",EDATE($D48,Milestones!$AA$68)&gt;=$Y48),$AB48,$AA48)))=Milestones!$AB$68),UPPER(TEXT(EDATE($D48,Milestones!$AA$68),"dd mmm yy"))&amp;" "&amp;Milestones!$AB$68&amp;" "&amp;IF(AND(Milestones!$AB$68="FT",Milestones!$AA$68=FT_Y5,EDATE($D48,Milestones!$AA$68)&lt;PolicyEff),1,Milestones!$AC$68)&amp;";  ","")&amp;IF(AND(EDATE($D48,Milestones!$AA$69)&lt;=AsOfDate,EDATE($D48,Milestones!$AA$69)&gt;=SchemeStart,IF($X48=0,$AD48,IF(AND($Z48&lt;&gt;"",EDATE($D48,Milestones!$AA$69)&gt;=$Z48),$AC48,IF(AND($Y48&lt;&gt;"",EDATE($D48,Milestones!$AA$69)&gt;=$Y48),$AB48,$AA48)))=Milestones!$AB$69),UPPER(TEXT(EDATE($D48,Milestones!$AA$69),"dd mmm yy"))&amp;" "&amp;Milestones!$AB$69&amp;" "&amp;IF(AND(Milestones!$AB$69="FT",Milestones!$AA$69=FT_Y5,EDATE($D48,Milestones!$AA$69)&lt;PolicyEff),1,Milestones!$AC$69)&amp;";  ","")&amp;IF(AND(EDATE($D48,Milestones!$AA$70)&lt;=AsOfDate,EDATE($D48,Milestones!$AA$70)&gt;=SchemeStart,IF($X48=0,$AD48,IF(AND($Z48&lt;&gt;"",EDATE($D48,Milestones!$AA$70)&gt;=$Z48),$AC48,IF(AND($Y48&lt;&gt;"",EDATE($D48,Milestones!$AA$70)&gt;=$Y48),$AB48,$AA48)))=Milestones!$AB$70),UPPER(TEXT(EDATE($D48,Milestones!$AA$70),"dd mmm yy"))&amp;" "&amp;Milestones!$AB$70&amp;" "&amp;IF(AND(Milestones!$AB$70="FT",Milestones!$AA$70=FT_Y5,EDATE($D48,Milestones!$AA$70)&lt;PolicyEff),1,Milestones!$AC$70)&amp;";  ","")&amp;IF(AND(EDATE($D48,Milestones!$AA$71)&lt;=AsOfDate,EDATE($D48,Milestones!$AA$71)&gt;=SchemeStart,IF($X48=0,$AD48,IF(AND($Z48&lt;&gt;"",EDATE($D48,Milestones!$AA$71)&gt;=$Z48),$AC48,IF(AND($Y48&lt;&gt;"",EDATE($D48,Milestones!$AA$71)&gt;=$Y48),$AB48,$AA48)))=Milestones!$AB$71),UPPER(TEXT(EDATE($D48,Milestones!$AA$71),"dd mmm yy"))&amp;" "&amp;Milestones!$AB$71&amp;" "&amp;IF(AND(Milestones!$AB$71="FT",Milestones!$AA$71=FT_Y5,EDATE($D48,Milestones!$AA$71)&lt;PolicyEff),1,Milestones!$AC$71)&amp;";  ","")&amp;IF(AND(EDATE($D48,Milestones!$AA$72)&lt;=AsOfDate,EDATE($D48,Milestones!$AA$72)&gt;=SchemeStart,IF($X48=0,$AD48,IF(AND($Z48&lt;&gt;"",EDATE($D48,Milestones!$AA$72)&gt;=$Z48),$AC48,IF(AND($Y48&lt;&gt;"",EDATE($D48,Milestones!$AA$72)&gt;=$Y48),$AB48,$AA48)))=Milestones!$AB$72),UPPER(TEXT(EDATE($D48,Milestones!$AA$72),"dd mmm yy"))&amp;" "&amp;Milestones!$AB$72&amp;" "&amp;IF(AND(Milestones!$AB$72="FT",Milestones!$AA$72=FT_Y5,EDATE($D48,Milestones!$AA$72)&lt;PolicyEff),1,Milestones!$AC$72)&amp;";  ","")&amp;IF(AND(EDATE($D48,Milestones!$AA$73)&lt;=AsOfDate,EDATE($D48,Milestones!$AA$73)&gt;=SchemeStart,IF($X48=0,$AD48,IF(AND($Z48&lt;&gt;"",EDATE($D48,Milestones!$AA$73)&gt;=$Z48),$AC48,IF(AND($Y48&lt;&gt;"",EDATE($D48,Milestones!$AA$73)&gt;=$Y48),$AB48,$AA48)))=Milestones!$AB$73),UPPER(TEXT(EDATE($D48,Milestones!$AA$73),"dd mmm yy"))&amp;" "&amp;Milestones!$AB$73&amp;" "&amp;IF(AND(Milestones!$AB$73="FT",Milestones!$AA$73=FT_Y5,EDATE($D48,Milestones!$AA$73)&lt;PolicyEff),1,Milestones!$AC$73)&amp;";  ","")&amp;IF(AND(EDATE($D48,Milestones!$AA$74)&lt;=AsOfDate,EDATE($D48,Milestones!$AA$74)&gt;=SchemeStart,IF($X48=0,$AD48,IF(AND($Z48&lt;&gt;"",EDATE($D48,Milestones!$AA$74)&gt;=$Z48),$AC48,IF(AND($Y48&lt;&gt;"",EDATE($D48,Milestones!$AA$74)&gt;=$Y48),$AB48,$AA48)))=Milestones!$AB$74),UPPER(TEXT(EDATE($D48,Milestones!$AA$74),"dd mmm yy"))&amp;" "&amp;Milestones!$AB$74&amp;" "&amp;IF(AND(Milestones!$AB$74="FT",Milestones!$AA$74=FT_Y5,EDATE($D48,Milestones!$AA$74)&lt;PolicyEff),1,Milestones!$AC$74)&amp;";  ","")&amp;IF(AND(EDATE($D48,Milestones!$AA$75)&lt;=AsOfDate,EDATE($D48,Milestones!$AA$75)&gt;=SchemeStart,IF($X48=0,$AD48,IF(AND($Z48&lt;&gt;"",EDATE($D48,Milestones!$AA$75)&gt;=$Z48),$AC48,IF(AND($Y48&lt;&gt;"",EDATE($D48,Milestones!$AA$75)&gt;=$Y48),$AB48,$AA48)))=Milestones!$AB$75),UPPER(TEXT(EDATE($D48,Milestones!$AA$75),"dd mmm yy"))&amp;" "&amp;Milestones!$AB$75&amp;" "&amp;IF(AND(Milestones!$AB$75="FT",Milestones!$AA$75=FT_Y5,EDATE($D48,Milestones!$AA$75)&lt;PolicyEff),1,Milestones!$AC$75)&amp;";  ","")&amp;IF(AND(EDATE($D48,Milestones!$AA$76)&lt;=AsOfDate,EDATE($D48,Milestones!$AA$76)&gt;=SchemeStart,IF($X48=0,$AD48,IF(AND($Z48&lt;&gt;"",EDATE($D48,Milestones!$AA$76)&gt;=$Z48),$AC48,IF(AND($Y48&lt;&gt;"",EDATE($D48,Milestones!$AA$76)&gt;=$Y48),$AB48,$AA48)))=Milestones!$AB$76),UPPER(TEXT(EDATE($D48,Milestones!$AA$76),"dd mmm yy"))&amp;" "&amp;Milestones!$AB$76&amp;" "&amp;IF(AND(Milestones!$AB$76="FT",Milestones!$AA$76=FT_Y5,EDATE($D48,Milestones!$AA$76)&lt;PolicyEff),1,Milestones!$AC$76)&amp;";  ","")&amp;IF(AND(EDATE($D48,Milestones!$AA$77)&lt;=AsOfDate,EDATE($D48,Milestones!$AA$77)&gt;=SchemeStart,IF($X48=0,$AD48,IF(AND($Z48&lt;&gt;"",EDATE($D48,Milestones!$AA$77)&gt;=$Z48),$AC48,IF(AND($Y48&lt;&gt;"",EDATE($D48,Milestones!$AA$77)&gt;=$Y48),$AB48,$AA48)))=Milestones!$AB$77),UPPER(TEXT(EDATE($D48,Milestones!$AA$77),"dd mmm yy"))&amp;" "&amp;Milestones!$AB$77&amp;" "&amp;IF(AND(Milestones!$AB$77="FT",Milestones!$AA$77=FT_Y5,EDATE($D48,Milestones!$AA$77)&lt;PolicyEff),1,Milestones!$AC$77)&amp;";  ","")&amp;IF(AND(EDATE($D48,Milestones!$AA$78)&lt;=AsOfDate,EDATE($D48,Milestones!$AA$78)&gt;=SchemeStart,IF($X48=0,$AD48,IF(AND($Z48&lt;&gt;"",EDATE($D48,Milestones!$AA$78)&gt;=$Z48),$AC48,IF(AND($Y48&lt;&gt;"",EDATE($D48,Milestones!$AA$78)&gt;=$Y48),$AB48,$AA48)))=Milestones!$AB$78),UPPER(TEXT(EDATE($D48,Milestones!$AA$78),"dd mmm yy"))&amp;" "&amp;Milestones!$AB$78&amp;" "&amp;IF(AND(Milestones!$AB$78="FT",Milestones!$AA$78=FT_Y5,EDATE($D48,Milestones!$AA$78)&lt;PolicyEff),1,Milestones!$AC$78)&amp;";  ","")&amp;IF(AND(EDATE($D48,Milestones!$AA$79)&lt;=AsOfDate,EDATE($D48,Milestones!$AA$79)&gt;=SchemeStart,IF($X48=0,$AD48,IF(AND($Z48&lt;&gt;"",EDATE($D48,Milestones!$AA$79)&gt;=$Z48),$AC48,IF(AND($Y48&lt;&gt;"",EDATE($D48,Milestones!$AA$79)&gt;=$Y48),$AB48,$AA48)))=Milestones!$AB$79),UPPER(TEXT(EDATE($D48,Milestones!$AA$79),"dd mmm yy"))&amp;" "&amp;Milestones!$AB$79&amp;" "&amp;IF(AND(Milestones!$AB$79="FT",Milestones!$AA$79=FT_Y5,EDATE($D48,Milestones!$AA$79)&lt;PolicyEff),1,Milestones!$AC$79)&amp;";  ",""))</f>
        <v/>
      </c>
      <c r="N48" s="0" t="str">
        <f aca="false">IF(OR($A48="",$D48=""),"",IF(AND(EDATE($D48,Milestones!$AA$80)&lt;=AsOfDate,EDATE($D48,Milestones!$AA$80)&gt;=SchemeStart,IF($X48=0,$AD48,IF(AND($Z48&lt;&gt;"",EDATE($D48,Milestones!$AA$80)&gt;=$Z48),$AC48,IF(AND($Y48&lt;&gt;"",EDATE($D48,Milestones!$AA$80)&gt;=$Y48),$AB48,$AA48)))=Milestones!$AB$80),UPPER(TEXT(EDATE($D48,Milestones!$AA$80),"dd mmm yy"))&amp;" "&amp;Milestones!$AB$80&amp;" "&amp;IF(AND(Milestones!$AB$80="FT",Milestones!$AA$80=FT_Y5,EDATE($D48,Milestones!$AA$80)&lt;PolicyEff),1,Milestones!$AC$80)&amp;";  ","")&amp;IF(AND(EDATE($D48,Milestones!$AA$81)&lt;=AsOfDate,EDATE($D48,Milestones!$AA$81)&gt;=SchemeStart,IF($X48=0,$AD48,IF(AND($Z48&lt;&gt;"",EDATE($D48,Milestones!$AA$81)&gt;=$Z48),$AC48,IF(AND($Y48&lt;&gt;"",EDATE($D48,Milestones!$AA$81)&gt;=$Y48),$AB48,$AA48)))=Milestones!$AB$81),UPPER(TEXT(EDATE($D48,Milestones!$AA$81),"dd mmm yy"))&amp;" "&amp;Milestones!$AB$81&amp;" "&amp;IF(AND(Milestones!$AB$81="FT",Milestones!$AA$81=FT_Y5,EDATE($D48,Milestones!$AA$81)&lt;PolicyEff),1,Milestones!$AC$81)&amp;";  ","")&amp;IF(AND(EDATE($D48,Milestones!$AA$82)&lt;=AsOfDate,EDATE($D48,Milestones!$AA$82)&gt;=SchemeStart,IF($X48=0,$AD48,IF(AND($Z48&lt;&gt;"",EDATE($D48,Milestones!$AA$82)&gt;=$Z48),$AC48,IF(AND($Y48&lt;&gt;"",EDATE($D48,Milestones!$AA$82)&gt;=$Y48),$AB48,$AA48)))=Milestones!$AB$82),UPPER(TEXT(EDATE($D48,Milestones!$AA$82),"dd mmm yy"))&amp;" "&amp;Milestones!$AB$82&amp;" "&amp;IF(AND(Milestones!$AB$82="FT",Milestones!$AA$82=FT_Y5,EDATE($D48,Milestones!$AA$82)&lt;PolicyEff),1,Milestones!$AC$82)&amp;";  ","")&amp;IF(AND(EDATE($D48,Milestones!$AA$83)&lt;=AsOfDate,EDATE($D48,Milestones!$AA$83)&gt;=SchemeStart,IF($X48=0,$AD48,IF(AND($Z48&lt;&gt;"",EDATE($D48,Milestones!$AA$83)&gt;=$Z48),$AC48,IF(AND($Y48&lt;&gt;"",EDATE($D48,Milestones!$AA$83)&gt;=$Y48),$AB48,$AA48)))=Milestones!$AB$83),UPPER(TEXT(EDATE($D48,Milestones!$AA$83),"dd mmm yy"))&amp;" "&amp;Milestones!$AB$83&amp;" "&amp;IF(AND(Milestones!$AB$83="FT",Milestones!$AA$83=FT_Y5,EDATE($D48,Milestones!$AA$83)&lt;PolicyEff),1,Milestones!$AC$83)&amp;";  ","")&amp;IF(AND(EDATE($D48,Milestones!$AA$84)&lt;=AsOfDate,EDATE($D48,Milestones!$AA$84)&gt;=SchemeStart,IF($X48=0,$AD48,IF(AND($Z48&lt;&gt;"",EDATE($D48,Milestones!$AA$84)&gt;=$Z48),$AC48,IF(AND($Y48&lt;&gt;"",EDATE($D48,Milestones!$AA$84)&gt;=$Y48),$AB48,$AA48)))=Milestones!$AB$84),UPPER(TEXT(EDATE($D48,Milestones!$AA$84),"dd mmm yy"))&amp;" "&amp;Milestones!$AB$84&amp;" "&amp;IF(AND(Milestones!$AB$84="FT",Milestones!$AA$84=FT_Y5,EDATE($D48,Milestones!$AA$84)&lt;PolicyEff),1,Milestones!$AC$84)&amp;";  ","")&amp;IF(AND(EDATE($D48,Milestones!$AA$85)&lt;=AsOfDate,EDATE($D48,Milestones!$AA$85)&gt;=SchemeStart,IF($X48=0,$AD48,IF(AND($Z48&lt;&gt;"",EDATE($D48,Milestones!$AA$85)&gt;=$Z48),$AC48,IF(AND($Y48&lt;&gt;"",EDATE($D48,Milestones!$AA$85)&gt;=$Y48),$AB48,$AA48)))=Milestones!$AB$85),UPPER(TEXT(EDATE($D48,Milestones!$AA$85),"dd mmm yy"))&amp;" "&amp;Milestones!$AB$85&amp;" "&amp;IF(AND(Milestones!$AB$85="FT",Milestones!$AA$85=FT_Y5,EDATE($D48,Milestones!$AA$85)&lt;PolicyEff),1,Milestones!$AC$85)&amp;";  ","")&amp;IF(AND(EDATE($D48,Milestones!$AA$86)&lt;=AsOfDate,EDATE($D48,Milestones!$AA$86)&gt;=SchemeStart,IF($X48=0,$AD48,IF(AND($Z48&lt;&gt;"",EDATE($D48,Milestones!$AA$86)&gt;=$Z48),$AC48,IF(AND($Y48&lt;&gt;"",EDATE($D48,Milestones!$AA$86)&gt;=$Y48),$AB48,$AA48)))=Milestones!$AB$86),UPPER(TEXT(EDATE($D48,Milestones!$AA$86),"dd mmm yy"))&amp;" "&amp;Milestones!$AB$86&amp;" "&amp;IF(AND(Milestones!$AB$86="FT",Milestones!$AA$86=FT_Y5,EDATE($D48,Milestones!$AA$86)&lt;PolicyEff),1,Milestones!$AC$86)&amp;";  ","")&amp;IF(AND(EDATE($D48,Milestones!$AA$87)&lt;=AsOfDate,EDATE($D48,Milestones!$AA$87)&gt;=SchemeStart,IF($X48=0,$AD48,IF(AND($Z48&lt;&gt;"",EDATE($D48,Milestones!$AA$87)&gt;=$Z48),$AC48,IF(AND($Y48&lt;&gt;"",EDATE($D48,Milestones!$AA$87)&gt;=$Y48),$AB48,$AA48)))=Milestones!$AB$87),UPPER(TEXT(EDATE($D48,Milestones!$AA$87),"dd mmm yy"))&amp;" "&amp;Milestones!$AB$87&amp;" "&amp;IF(AND(Milestones!$AB$87="FT",Milestones!$AA$87=FT_Y5,EDATE($D48,Milestones!$AA$87)&lt;PolicyEff),1,Milestones!$AC$87)&amp;";  ","")&amp;IF(AND(EDATE($D48,Milestones!$AA$88)&lt;=AsOfDate,EDATE($D48,Milestones!$AA$88)&gt;=SchemeStart,IF($X48=0,$AD48,IF(AND($Z48&lt;&gt;"",EDATE($D48,Milestones!$AA$88)&gt;=$Z48),$AC48,IF(AND($Y48&lt;&gt;"",EDATE($D48,Milestones!$AA$88)&gt;=$Y48),$AB48,$AA48)))=Milestones!$AB$88),UPPER(TEXT(EDATE($D48,Milestones!$AA$88),"dd mmm yy"))&amp;" "&amp;Milestones!$AB$88&amp;" "&amp;IF(AND(Milestones!$AB$88="FT",Milestones!$AA$88=FT_Y5,EDATE($D48,Milestones!$AA$88)&lt;PolicyEff),1,Milestones!$AC$88)&amp;";  ","")&amp;IF(AND(EDATE($D48,Milestones!$AA$89)&lt;=AsOfDate,EDATE($D48,Milestones!$AA$89)&gt;=SchemeStart,IF($X48=0,$AD48,IF(AND($Z48&lt;&gt;"",EDATE($D48,Milestones!$AA$89)&gt;=$Z48),$AC48,IF(AND($Y48&lt;&gt;"",EDATE($D48,Milestones!$AA$89)&gt;=$Y48),$AB48,$AA48)))=Milestones!$AB$89),UPPER(TEXT(EDATE($D48,Milestones!$AA$89),"dd mmm yy"))&amp;" "&amp;Milestones!$AB$89&amp;" "&amp;IF(AND(Milestones!$AB$89="FT",Milestones!$AA$89=FT_Y5,EDATE($D48,Milestones!$AA$89)&lt;PolicyEff),1,Milestones!$AC$89)&amp;";  ","")&amp;IF(AND(EDATE($D48,Milestones!$AA$90)&lt;=AsOfDate,EDATE($D48,Milestones!$AA$90)&gt;=SchemeStart,IF($X48=0,$AD48,IF(AND($Z48&lt;&gt;"",EDATE($D48,Milestones!$AA$90)&gt;=$Z48),$AC48,IF(AND($Y48&lt;&gt;"",EDATE($D48,Milestones!$AA$90)&gt;=$Y48),$AB48,$AA48)))=Milestones!$AB$90),UPPER(TEXT(EDATE($D48,Milestones!$AA$90),"dd mmm yy"))&amp;" "&amp;Milestones!$AB$90&amp;" "&amp;IF(AND(Milestones!$AB$90="FT",Milestones!$AA$90=FT_Y5,EDATE($D48,Milestones!$AA$90)&lt;PolicyEff),1,Milestones!$AC$90)&amp;";  ","")&amp;IF(AND(EDATE($D48,Milestones!$AA$91)&lt;=AsOfDate,EDATE($D48,Milestones!$AA$91)&gt;=SchemeStart,IF($X48=0,$AD48,IF(AND($Z48&lt;&gt;"",EDATE($D48,Milestones!$AA$91)&gt;=$Z48),$AC48,IF(AND($Y48&lt;&gt;"",EDATE($D48,Milestones!$AA$91)&gt;=$Y48),$AB48,$AA48)))=Milestones!$AB$91),UPPER(TEXT(EDATE($D48,Milestones!$AA$91),"dd mmm yy"))&amp;" "&amp;Milestones!$AB$91&amp;" "&amp;IF(AND(Milestones!$AB$91="FT",Milestones!$AA$91=FT_Y5,EDATE($D48,Milestones!$AA$91)&lt;PolicyEff),1,Milestones!$AC$91)&amp;";  ",""))</f>
        <v/>
      </c>
      <c r="O48" s="0" t="str">
        <f aca="false">IF(OR($A48="",$D48=""),"",IF(AND(EDATE($D48,Milestones!$AA$92)&lt;=AsOfDate,EDATE($D48,Milestones!$AA$92)&gt;=SchemeStart,IF($X48=0,$AD48,IF(AND($Z48&lt;&gt;"",EDATE($D48,Milestones!$AA$92)&gt;=$Z48),$AC48,IF(AND($Y48&lt;&gt;"",EDATE($D48,Milestones!$AA$92)&gt;=$Y48),$AB48,$AA48)))=Milestones!$AB$92),UPPER(TEXT(EDATE($D48,Milestones!$AA$92),"dd mmm yy"))&amp;" "&amp;Milestones!$AB$92&amp;" "&amp;IF(AND(Milestones!$AB$92="FT",Milestones!$AA$92=FT_Y5,EDATE($D48,Milestones!$AA$92)&lt;PolicyEff),1,Milestones!$AC$92)&amp;";  ","")&amp;IF(AND(EDATE($D48,Milestones!$AA$93)&lt;=AsOfDate,EDATE($D48,Milestones!$AA$93)&gt;=SchemeStart,IF($X48=0,$AD48,IF(AND($Z48&lt;&gt;"",EDATE($D48,Milestones!$AA$93)&gt;=$Z48),$AC48,IF(AND($Y48&lt;&gt;"",EDATE($D48,Milestones!$AA$93)&gt;=$Y48),$AB48,$AA48)))=Milestones!$AB$93),UPPER(TEXT(EDATE($D48,Milestones!$AA$93),"dd mmm yy"))&amp;" "&amp;Milestones!$AB$93&amp;" "&amp;IF(AND(Milestones!$AB$93="FT",Milestones!$AA$93=FT_Y5,EDATE($D48,Milestones!$AA$93)&lt;PolicyEff),1,Milestones!$AC$93)&amp;";  ","")&amp;IF(AND(EDATE($D48,Milestones!$AA$94)&lt;=AsOfDate,EDATE($D48,Milestones!$AA$94)&gt;=SchemeStart,IF($X48=0,$AD48,IF(AND($Z48&lt;&gt;"",EDATE($D48,Milestones!$AA$94)&gt;=$Z48),$AC48,IF(AND($Y48&lt;&gt;"",EDATE($D48,Milestones!$AA$94)&gt;=$Y48),$AB48,$AA48)))=Milestones!$AB$94),UPPER(TEXT(EDATE($D48,Milestones!$AA$94),"dd mmm yy"))&amp;" "&amp;Milestones!$AB$94&amp;" "&amp;IF(AND(Milestones!$AB$94="FT",Milestones!$AA$94=FT_Y5,EDATE($D48,Milestones!$AA$94)&lt;PolicyEff),1,Milestones!$AC$94)&amp;";  ","")&amp;IF(AND(EDATE($D48,Milestones!$AA$95)&lt;=AsOfDate,EDATE($D48,Milestones!$AA$95)&gt;=SchemeStart,IF($X48=0,$AD48,IF(AND($Z48&lt;&gt;"",EDATE($D48,Milestones!$AA$95)&gt;=$Z48),$AC48,IF(AND($Y48&lt;&gt;"",EDATE($D48,Milestones!$AA$95)&gt;=$Y48),$AB48,$AA48)))=Milestones!$AB$95),UPPER(TEXT(EDATE($D48,Milestones!$AA$95),"dd mmm yy"))&amp;" "&amp;Milestones!$AB$95&amp;" "&amp;IF(AND(Milestones!$AB$95="FT",Milestones!$AA$95=FT_Y5,EDATE($D48,Milestones!$AA$95)&lt;PolicyEff),1,Milestones!$AC$95)&amp;";  ","")&amp;IF(AND(EDATE($D48,Milestones!$AA$96)&lt;=AsOfDate,EDATE($D48,Milestones!$AA$96)&gt;=SchemeStart,IF($X48=0,$AD48,IF(AND($Z48&lt;&gt;"",EDATE($D48,Milestones!$AA$96)&gt;=$Z48),$AC48,IF(AND($Y48&lt;&gt;"",EDATE($D48,Milestones!$AA$96)&gt;=$Y48),$AB48,$AA48)))=Milestones!$AB$96),UPPER(TEXT(EDATE($D48,Milestones!$AA$96),"dd mmm yy"))&amp;" "&amp;Milestones!$AB$96&amp;" "&amp;IF(AND(Milestones!$AB$96="FT",Milestones!$AA$96=FT_Y5,EDATE($D48,Milestones!$AA$96)&lt;PolicyEff),1,Milestones!$AC$96)&amp;";  ","")&amp;IF(AND(EDATE($D48,Milestones!$AA$97)&lt;=AsOfDate,EDATE($D48,Milestones!$AA$97)&gt;=SchemeStart,IF($X48=0,$AD48,IF(AND($Z48&lt;&gt;"",EDATE($D48,Milestones!$AA$97)&gt;=$Z48),$AC48,IF(AND($Y48&lt;&gt;"",EDATE($D48,Milestones!$AA$97)&gt;=$Y48),$AB48,$AA48)))=Milestones!$AB$97),UPPER(TEXT(EDATE($D48,Milestones!$AA$97),"dd mmm yy"))&amp;" "&amp;Milestones!$AB$97&amp;" "&amp;IF(AND(Milestones!$AB$97="FT",Milestones!$AA$97=FT_Y5,EDATE($D48,Milestones!$AA$97)&lt;PolicyEff),1,Milestones!$AC$97)&amp;";  ","")&amp;IF(AND(EDATE($D48,Milestones!$AA$98)&lt;=AsOfDate,EDATE($D48,Milestones!$AA$98)&gt;=SchemeStart,IF($X48=0,$AD48,IF(AND($Z48&lt;&gt;"",EDATE($D48,Milestones!$AA$98)&gt;=$Z48),$AC48,IF(AND($Y48&lt;&gt;"",EDATE($D48,Milestones!$AA$98)&gt;=$Y48),$AB48,$AA48)))=Milestones!$AB$98),UPPER(TEXT(EDATE($D48,Milestones!$AA$98),"dd mmm yy"))&amp;" "&amp;Milestones!$AB$98&amp;" "&amp;IF(AND(Milestones!$AB$98="FT",Milestones!$AA$98=FT_Y5,EDATE($D48,Milestones!$AA$98)&lt;PolicyEff),1,Milestones!$AC$98)&amp;";  ","")&amp;IF(AND(EDATE($D48,Milestones!$AA$99)&lt;=AsOfDate,EDATE($D48,Milestones!$AA$99)&gt;=SchemeStart,IF($X48=0,$AD48,IF(AND($Z48&lt;&gt;"",EDATE($D48,Milestones!$AA$99)&gt;=$Z48),$AC48,IF(AND($Y48&lt;&gt;"",EDATE($D48,Milestones!$AA$99)&gt;=$Y48),$AB48,$AA48)))=Milestones!$AB$99),UPPER(TEXT(EDATE($D48,Milestones!$AA$99),"dd mmm yy"))&amp;" "&amp;Milestones!$AB$99&amp;" "&amp;IF(AND(Milestones!$AB$99="FT",Milestones!$AA$99=FT_Y5,EDATE($D48,Milestones!$AA$99)&lt;PolicyEff),1,Milestones!$AC$99)&amp;";  ","")&amp;IF(AND(EDATE($D48,Milestones!$AA$100)&lt;=AsOfDate,EDATE($D48,Milestones!$AA$100)&gt;=SchemeStart,IF($X48=0,$AD48,IF(AND($Z48&lt;&gt;"",EDATE($D48,Milestones!$AA$100)&gt;=$Z48),$AC48,IF(AND($Y48&lt;&gt;"",EDATE($D48,Milestones!$AA$100)&gt;=$Y48),$AB48,$AA48)))=Milestones!$AB$100),UPPER(TEXT(EDATE($D48,Milestones!$AA$100),"dd mmm yy"))&amp;" "&amp;Milestones!$AB$100&amp;" "&amp;IF(AND(Milestones!$AB$100="FT",Milestones!$AA$100=FT_Y5,EDATE($D48,Milestones!$AA$100)&lt;PolicyEff),1,Milestones!$AC$100)&amp;";  ","")&amp;IF(AND(EDATE($D48,Milestones!$AA$101)&lt;=AsOfDate,EDATE($D48,Milestones!$AA$101)&gt;=SchemeStart,IF($X48=0,$AD48,IF(AND($Z48&lt;&gt;"",EDATE($D48,Milestones!$AA$101)&gt;=$Z48),$AC48,IF(AND($Y48&lt;&gt;"",EDATE($D48,Milestones!$AA$101)&gt;=$Y48),$AB48,$AA48)))=Milestones!$AB$101),UPPER(TEXT(EDATE($D48,Milestones!$AA$101),"dd mmm yy"))&amp;" "&amp;Milestones!$AB$101&amp;" "&amp;IF(AND(Milestones!$AB$101="FT",Milestones!$AA$101=FT_Y5,EDATE($D48,Milestones!$AA$101)&lt;PolicyEff),1,Milestones!$AC$101)&amp;";  ","")&amp;IF(AND(EDATE($D48,Milestones!$AA$102)&lt;=AsOfDate,EDATE($D48,Milestones!$AA$102)&gt;=SchemeStart,IF($X48=0,$AD48,IF(AND($Z48&lt;&gt;"",EDATE($D48,Milestones!$AA$102)&gt;=$Z48),$AC48,IF(AND($Y48&lt;&gt;"",EDATE($D48,Milestones!$AA$102)&gt;=$Y48),$AB48,$AA48)))=Milestones!$AB$102),UPPER(TEXT(EDATE($D48,Milestones!$AA$102),"dd mmm yy"))&amp;" "&amp;Milestones!$AB$102&amp;" "&amp;IF(AND(Milestones!$AB$102="FT",Milestones!$AA$102=FT_Y5,EDATE($D48,Milestones!$AA$102)&lt;PolicyEff),1,Milestones!$AC$102)&amp;";  ","")&amp;IF(AND(EDATE($D48,Milestones!$AA$103)&lt;=AsOfDate,EDATE($D48,Milestones!$AA$103)&gt;=SchemeStart,IF($X48=0,$AD48,IF(AND($Z48&lt;&gt;"",EDATE($D48,Milestones!$AA$103)&gt;=$Z48),$AC48,IF(AND($Y48&lt;&gt;"",EDATE($D48,Milestones!$AA$103)&gt;=$Y48),$AB48,$AA48)))=Milestones!$AB$103),UPPER(TEXT(EDATE($D48,Milestones!$AA$103),"dd mmm yy"))&amp;" "&amp;Milestones!$AB$103&amp;" "&amp;IF(AND(Milestones!$AB$103="FT",Milestones!$AA$103=FT_Y5,EDATE($D48,Milestones!$AA$103)&lt;PolicyEff),1,Milestones!$AC$103)&amp;";  ",""))</f>
        <v/>
      </c>
      <c r="P48" s="0" t="str">
        <f aca="false">IF(OR($A48="",$D48=""),"",IF(AND(EDATE($D48,Milestones!$AA$104)&lt;=AsOfDate,EDATE($D48,Milestones!$AA$104)&gt;=SchemeStart,IF($X48=0,$AD48,IF(AND($Z48&lt;&gt;"",EDATE($D48,Milestones!$AA$104)&gt;=$Z48),$AC48,IF(AND($Y48&lt;&gt;"",EDATE($D48,Milestones!$AA$104)&gt;=$Y48),$AB48,$AA48)))=Milestones!$AB$104),UPPER(TEXT(EDATE($D48,Milestones!$AA$104),"dd mmm yy"))&amp;" "&amp;Milestones!$AB$104&amp;" "&amp;IF(AND(Milestones!$AB$104="FT",Milestones!$AA$104=FT_Y5,EDATE($D48,Milestones!$AA$104)&lt;PolicyEff),1,Milestones!$AC$104)&amp;";  ","")&amp;IF(AND(EDATE($D48,Milestones!$AA$105)&lt;=AsOfDate,EDATE($D48,Milestones!$AA$105)&gt;=SchemeStart,IF($X48=0,$AD48,IF(AND($Z48&lt;&gt;"",EDATE($D48,Milestones!$AA$105)&gt;=$Z48),$AC48,IF(AND($Y48&lt;&gt;"",EDATE($D48,Milestones!$AA$105)&gt;=$Y48),$AB48,$AA48)))=Milestones!$AB$105),UPPER(TEXT(EDATE($D48,Milestones!$AA$105),"dd mmm yy"))&amp;" "&amp;Milestones!$AB$105&amp;" "&amp;IF(AND(Milestones!$AB$105="FT",Milestones!$AA$105=FT_Y5,EDATE($D48,Milestones!$AA$105)&lt;PolicyEff),1,Milestones!$AC$105)&amp;";  ","")&amp;IF(AND(EDATE($D48,Milestones!$AA$106)&lt;=AsOfDate,EDATE($D48,Milestones!$AA$106)&gt;=SchemeStart,IF($X48=0,$AD48,IF(AND($Z48&lt;&gt;"",EDATE($D48,Milestones!$AA$106)&gt;=$Z48),$AC48,IF(AND($Y48&lt;&gt;"",EDATE($D48,Milestones!$AA$106)&gt;=$Y48),$AB48,$AA48)))=Milestones!$AB$106),UPPER(TEXT(EDATE($D48,Milestones!$AA$106),"dd mmm yy"))&amp;" "&amp;Milestones!$AB$106&amp;" "&amp;IF(AND(Milestones!$AB$106="FT",Milestones!$AA$106=FT_Y5,EDATE($D48,Milestones!$AA$106)&lt;PolicyEff),1,Milestones!$AC$106)&amp;";  ","")&amp;IF(AND(EDATE($D48,Milestones!$AA$107)&lt;=AsOfDate,EDATE($D48,Milestones!$AA$107)&gt;=SchemeStart,IF($X48=0,$AD48,IF(AND($Z48&lt;&gt;"",EDATE($D48,Milestones!$AA$107)&gt;=$Z48),$AC48,IF(AND($Y48&lt;&gt;"",EDATE($D48,Milestones!$AA$107)&gt;=$Y48),$AB48,$AA48)))=Milestones!$AB$107),UPPER(TEXT(EDATE($D48,Milestones!$AA$107),"dd mmm yy"))&amp;" "&amp;Milestones!$AB$107&amp;" "&amp;IF(AND(Milestones!$AB$107="FT",Milestones!$AA$107=FT_Y5,EDATE($D48,Milestones!$AA$107)&lt;PolicyEff),1,Milestones!$AC$107)&amp;";  ","")&amp;IF(AND(EDATE($D48,Milestones!$AA$108)&lt;=AsOfDate,EDATE($D48,Milestones!$AA$108)&gt;=SchemeStart,IF($X48=0,$AD48,IF(AND($Z48&lt;&gt;"",EDATE($D48,Milestones!$AA$108)&gt;=$Z48),$AC48,IF(AND($Y48&lt;&gt;"",EDATE($D48,Milestones!$AA$108)&gt;=$Y48),$AB48,$AA48)))=Milestones!$AB$108),UPPER(TEXT(EDATE($D48,Milestones!$AA$108),"dd mmm yy"))&amp;" "&amp;Milestones!$AB$108&amp;" "&amp;IF(AND(Milestones!$AB$108="FT",Milestones!$AA$108=FT_Y5,EDATE($D48,Milestones!$AA$108)&lt;PolicyEff),1,Milestones!$AC$108)&amp;";  ","")&amp;IF(AND(EDATE($D48,Milestones!$AA$109)&lt;=AsOfDate,EDATE($D48,Milestones!$AA$109)&gt;=SchemeStart,IF($X48=0,$AD48,IF(AND($Z48&lt;&gt;"",EDATE($D48,Milestones!$AA$109)&gt;=$Z48),$AC48,IF(AND($Y48&lt;&gt;"",EDATE($D48,Milestones!$AA$109)&gt;=$Y48),$AB48,$AA48)))=Milestones!$AB$109),UPPER(TEXT(EDATE($D48,Milestones!$AA$109),"dd mmm yy"))&amp;" "&amp;Milestones!$AB$109&amp;" "&amp;IF(AND(Milestones!$AB$109="FT",Milestones!$AA$109=FT_Y5,EDATE($D48,Milestones!$AA$109)&lt;PolicyEff),1,Milestones!$AC$109)&amp;";  ","")&amp;IF(AND(EDATE($D48,Milestones!$AA$110)&lt;=AsOfDate,EDATE($D48,Milestones!$AA$110)&gt;=SchemeStart,IF($X48=0,$AD48,IF(AND($Z48&lt;&gt;"",EDATE($D48,Milestones!$AA$110)&gt;=$Z48),$AC48,IF(AND($Y48&lt;&gt;"",EDATE($D48,Milestones!$AA$110)&gt;=$Y48),$AB48,$AA48)))=Milestones!$AB$110),UPPER(TEXT(EDATE($D48,Milestones!$AA$110),"dd mmm yy"))&amp;" "&amp;Milestones!$AB$110&amp;" "&amp;IF(AND(Milestones!$AB$110="FT",Milestones!$AA$110=FT_Y5,EDATE($D48,Milestones!$AA$110)&lt;PolicyEff),1,Milestones!$AC$110)&amp;";  ","")&amp;IF(AND(EDATE($D48,Milestones!$AA$111)&lt;=AsOfDate,EDATE($D48,Milestones!$AA$111)&gt;=SchemeStart,IF($X48=0,$AD48,IF(AND($Z48&lt;&gt;"",EDATE($D48,Milestones!$AA$111)&gt;=$Z48),$AC48,IF(AND($Y48&lt;&gt;"",EDATE($D48,Milestones!$AA$111)&gt;=$Y48),$AB48,$AA48)))=Milestones!$AB$111),UPPER(TEXT(EDATE($D48,Milestones!$AA$111),"dd mmm yy"))&amp;" "&amp;Milestones!$AB$111&amp;" "&amp;IF(AND(Milestones!$AB$111="FT",Milestones!$AA$111=FT_Y5,EDATE($D48,Milestones!$AA$111)&lt;PolicyEff),1,Milestones!$AC$111)&amp;";  ","")&amp;IF(AND(EDATE($D48,Milestones!$AA$112)&lt;=AsOfDate,EDATE($D48,Milestones!$AA$112)&gt;=SchemeStart,IF($X48=0,$AD48,IF(AND($Z48&lt;&gt;"",EDATE($D48,Milestones!$AA$112)&gt;=$Z48),$AC48,IF(AND($Y48&lt;&gt;"",EDATE($D48,Milestones!$AA$112)&gt;=$Y48),$AB48,$AA48)))=Milestones!$AB$112),UPPER(TEXT(EDATE($D48,Milestones!$AA$112),"dd mmm yy"))&amp;" "&amp;Milestones!$AB$112&amp;" "&amp;IF(AND(Milestones!$AB$112="FT",Milestones!$AA$112=FT_Y5,EDATE($D48,Milestones!$AA$112)&lt;PolicyEff),1,Milestones!$AC$112)&amp;";  ","")&amp;IF(AND(EDATE($D48,Milestones!$AA$113)&lt;=AsOfDate,EDATE($D48,Milestones!$AA$113)&gt;=SchemeStart,IF($X48=0,$AD48,IF(AND($Z48&lt;&gt;"",EDATE($D48,Milestones!$AA$113)&gt;=$Z48),$AC48,IF(AND($Y48&lt;&gt;"",EDATE($D48,Milestones!$AA$113)&gt;=$Y48),$AB48,$AA48)))=Milestones!$AB$113),UPPER(TEXT(EDATE($D48,Milestones!$AA$113),"dd mmm yy"))&amp;" "&amp;Milestones!$AB$113&amp;" "&amp;IF(AND(Milestones!$AB$113="FT",Milestones!$AA$113=FT_Y5,EDATE($D48,Milestones!$AA$113)&lt;PolicyEff),1,Milestones!$AC$113)&amp;";  ","")&amp;IF(AND(EDATE($D48,Milestones!$AA$114)&lt;=AsOfDate,EDATE($D48,Milestones!$AA$114)&gt;=SchemeStart,IF($X48=0,$AD48,IF(AND($Z48&lt;&gt;"",EDATE($D48,Milestones!$AA$114)&gt;=$Z48),$AC48,IF(AND($Y48&lt;&gt;"",EDATE($D48,Milestones!$AA$114)&gt;=$Y48),$AB48,$AA48)))=Milestones!$AB$114),UPPER(TEXT(EDATE($D48,Milestones!$AA$114),"dd mmm yy"))&amp;" "&amp;Milestones!$AB$114&amp;" "&amp;IF(AND(Milestones!$AB$114="FT",Milestones!$AA$114=FT_Y5,EDATE($D48,Milestones!$AA$114)&lt;PolicyEff),1,Milestones!$AC$114)&amp;";  ","")&amp;IF(AND(EDATE($D48,Milestones!$AA$115)&lt;=AsOfDate,EDATE($D48,Milestones!$AA$115)&gt;=SchemeStart,IF($X48=0,$AD48,IF(AND($Z48&lt;&gt;"",EDATE($D48,Milestones!$AA$115)&gt;=$Z48),$AC48,IF(AND($Y48&lt;&gt;"",EDATE($D48,Milestones!$AA$115)&gt;=$Y48),$AB48,$AA48)))=Milestones!$AB$115),UPPER(TEXT(EDATE($D48,Milestones!$AA$115),"dd mmm yy"))&amp;" "&amp;Milestones!$AB$115&amp;" "&amp;IF(AND(Milestones!$AB$115="FT",Milestones!$AA$115=FT_Y5,EDATE($D48,Milestones!$AA$115)&lt;PolicyEff),1,Milestones!$AC$115)&amp;";  ",""))</f>
        <v/>
      </c>
      <c r="Q48" s="0" t="str">
        <f aca="false">IF(OR($A48="",$D48=""),"",IF(AND(EDATE($D48,Milestones!$AA$116)&lt;=AsOfDate,EDATE($D48,Milestones!$AA$116)&gt;=SchemeStart,IF($X48=0,$AD48,IF(AND($Z48&lt;&gt;"",EDATE($D48,Milestones!$AA$116)&gt;=$Z48),$AC48,IF(AND($Y48&lt;&gt;"",EDATE($D48,Milestones!$AA$116)&gt;=$Y48),$AB48,$AA48)))=Milestones!$AB$116),UPPER(TEXT(EDATE($D48,Milestones!$AA$116),"dd mmm yy"))&amp;" "&amp;Milestones!$AB$116&amp;" "&amp;IF(AND(Milestones!$AB$116="FT",Milestones!$AA$116=FT_Y5,EDATE($D48,Milestones!$AA$116)&lt;PolicyEff),1,Milestones!$AC$116)&amp;";  ","")&amp;IF(AND(EDATE($D48,Milestones!$AA$117)&lt;=AsOfDate,EDATE($D48,Milestones!$AA$117)&gt;=SchemeStart,IF($X48=0,$AD48,IF(AND($Z48&lt;&gt;"",EDATE($D48,Milestones!$AA$117)&gt;=$Z48),$AC48,IF(AND($Y48&lt;&gt;"",EDATE($D48,Milestones!$AA$117)&gt;=$Y48),$AB48,$AA48)))=Milestones!$AB$117),UPPER(TEXT(EDATE($D48,Milestones!$AA$117),"dd mmm yy"))&amp;" "&amp;Milestones!$AB$117&amp;" "&amp;IF(AND(Milestones!$AB$117="FT",Milestones!$AA$117=FT_Y5,EDATE($D48,Milestones!$AA$117)&lt;PolicyEff),1,Milestones!$AC$117)&amp;";  ","")&amp;IF(AND(EDATE($D48,Milestones!$AA$118)&lt;=AsOfDate,EDATE($D48,Milestones!$AA$118)&gt;=SchemeStart,IF($X48=0,$AD48,IF(AND($Z48&lt;&gt;"",EDATE($D48,Milestones!$AA$118)&gt;=$Z48),$AC48,IF(AND($Y48&lt;&gt;"",EDATE($D48,Milestones!$AA$118)&gt;=$Y48),$AB48,$AA48)))=Milestones!$AB$118),UPPER(TEXT(EDATE($D48,Milestones!$AA$118),"dd mmm yy"))&amp;" "&amp;Milestones!$AB$118&amp;" "&amp;IF(AND(Milestones!$AB$118="FT",Milestones!$AA$118=FT_Y5,EDATE($D48,Milestones!$AA$118)&lt;PolicyEff),1,Milestones!$AC$118)&amp;";  ","")&amp;IF(AND(EDATE($D48,Milestones!$AA$119)&lt;=AsOfDate,EDATE($D48,Milestones!$AA$119)&gt;=SchemeStart,IF($X48=0,$AD48,IF(AND($Z48&lt;&gt;"",EDATE($D48,Milestones!$AA$119)&gt;=$Z48),$AC48,IF(AND($Y48&lt;&gt;"",EDATE($D48,Milestones!$AA$119)&gt;=$Y48),$AB48,$AA48)))=Milestones!$AB$119),UPPER(TEXT(EDATE($D48,Milestones!$AA$119),"dd mmm yy"))&amp;" "&amp;Milestones!$AB$119&amp;" "&amp;IF(AND(Milestones!$AB$119="FT",Milestones!$AA$119=FT_Y5,EDATE($D48,Milestones!$AA$119)&lt;PolicyEff),1,Milestones!$AC$119)&amp;";  ","")&amp;IF(AND(EDATE($D48,Milestones!$AA$120)&lt;=AsOfDate,EDATE($D48,Milestones!$AA$120)&gt;=SchemeStart,IF($X48=0,$AD48,IF(AND($Z48&lt;&gt;"",EDATE($D48,Milestones!$AA$120)&gt;=$Z48),$AC48,IF(AND($Y48&lt;&gt;"",EDATE($D48,Milestones!$AA$120)&gt;=$Y48),$AB48,$AA48)))=Milestones!$AB$120),UPPER(TEXT(EDATE($D48,Milestones!$AA$120),"dd mmm yy"))&amp;" "&amp;Milestones!$AB$120&amp;" "&amp;IF(AND(Milestones!$AB$120="FT",Milestones!$AA$120=FT_Y5,EDATE($D48,Milestones!$AA$120)&lt;PolicyEff),1,Milestones!$AC$120)&amp;";  ","")&amp;IF(AND(EDATE($D48,Milestones!$AA$121)&lt;=AsOfDate,EDATE($D48,Milestones!$AA$121)&gt;=SchemeStart,IF($X48=0,$AD48,IF(AND($Z48&lt;&gt;"",EDATE($D48,Milestones!$AA$121)&gt;=$Z48),$AC48,IF(AND($Y48&lt;&gt;"",EDATE($D48,Milestones!$AA$121)&gt;=$Y48),$AB48,$AA48)))=Milestones!$AB$121),UPPER(TEXT(EDATE($D48,Milestones!$AA$121),"dd mmm yy"))&amp;" "&amp;Milestones!$AB$121&amp;" "&amp;IF(AND(Milestones!$AB$121="FT",Milestones!$AA$121=FT_Y5,EDATE($D48,Milestones!$AA$121)&lt;PolicyEff),1,Milestones!$AC$121)&amp;";  ","")&amp;IF(AND(EDATE($D48,Milestones!$AA$122)&lt;=AsOfDate,EDATE($D48,Milestones!$AA$122)&gt;=SchemeStart,IF($X48=0,$AD48,IF(AND($Z48&lt;&gt;"",EDATE($D48,Milestones!$AA$122)&gt;=$Z48),$AC48,IF(AND($Y48&lt;&gt;"",EDATE($D48,Milestones!$AA$122)&gt;=$Y48),$AB48,$AA48)))=Milestones!$AB$122),UPPER(TEXT(EDATE($D48,Milestones!$AA$122),"dd mmm yy"))&amp;" "&amp;Milestones!$AB$122&amp;" "&amp;IF(AND(Milestones!$AB$122="FT",Milestones!$AA$122=FT_Y5,EDATE($D48,Milestones!$AA$122)&lt;PolicyEff),1,Milestones!$AC$122)&amp;";  ","")&amp;IF(AND(EDATE($D48,Milestones!$AA$123)&lt;=AsOfDate,EDATE($D48,Milestones!$AA$123)&gt;=SchemeStart,IF($X48=0,$AD48,IF(AND($Z48&lt;&gt;"",EDATE($D48,Milestones!$AA$123)&gt;=$Z48),$AC48,IF(AND($Y48&lt;&gt;"",EDATE($D48,Milestones!$AA$123)&gt;=$Y48),$AB48,$AA48)))=Milestones!$AB$123),UPPER(TEXT(EDATE($D48,Milestones!$AA$123),"dd mmm yy"))&amp;" "&amp;Milestones!$AB$123&amp;" "&amp;IF(AND(Milestones!$AB$123="FT",Milestones!$AA$123=FT_Y5,EDATE($D48,Milestones!$AA$123)&lt;PolicyEff),1,Milestones!$AC$123)&amp;";  ","")&amp;IF(AND(EDATE($D48,Milestones!$AA$124)&lt;=AsOfDate,EDATE($D48,Milestones!$AA$124)&gt;=SchemeStart,IF($X48=0,$AD48,IF(AND($Z48&lt;&gt;"",EDATE($D48,Milestones!$AA$124)&gt;=$Z48),$AC48,IF(AND($Y48&lt;&gt;"",EDATE($D48,Milestones!$AA$124)&gt;=$Y48),$AB48,$AA48)))=Milestones!$AB$124),UPPER(TEXT(EDATE($D48,Milestones!$AA$124),"dd mmm yy"))&amp;" "&amp;Milestones!$AB$124&amp;" "&amp;IF(AND(Milestones!$AB$124="FT",Milestones!$AA$124=FT_Y5,EDATE($D48,Milestones!$AA$124)&lt;PolicyEff),1,Milestones!$AC$124)&amp;";  ","")&amp;IF(AND(EDATE($D48,Milestones!$AA$125)&lt;=AsOfDate,EDATE($D48,Milestones!$AA$125)&gt;=SchemeStart,IF($X48=0,$AD48,IF(AND($Z48&lt;&gt;"",EDATE($D48,Milestones!$AA$125)&gt;=$Z48),$AC48,IF(AND($Y48&lt;&gt;"",EDATE($D48,Milestones!$AA$125)&gt;=$Y48),$AB48,$AA48)))=Milestones!$AB$125),UPPER(TEXT(EDATE($D48,Milestones!$AA$125),"dd mmm yy"))&amp;" "&amp;Milestones!$AB$125&amp;" "&amp;IF(AND(Milestones!$AB$125="FT",Milestones!$AA$125=FT_Y5,EDATE($D48,Milestones!$AA$125)&lt;PolicyEff),1,Milestones!$AC$125)&amp;";  ","")&amp;IF(AND(EDATE($D48,Milestones!$AA$126)&lt;=AsOfDate,EDATE($D48,Milestones!$AA$126)&gt;=SchemeStart,IF($X48=0,$AD48,IF(AND($Z48&lt;&gt;"",EDATE($D48,Milestones!$AA$126)&gt;=$Z48),$AC48,IF(AND($Y48&lt;&gt;"",EDATE($D48,Milestones!$AA$126)&gt;=$Y48),$AB48,$AA48)))=Milestones!$AB$126),UPPER(TEXT(EDATE($D48,Milestones!$AA$126),"dd mmm yy"))&amp;" "&amp;Milestones!$AB$126&amp;" "&amp;IF(AND(Milestones!$AB$126="FT",Milestones!$AA$126=FT_Y5,EDATE($D48,Milestones!$AA$126)&lt;PolicyEff),1,Milestones!$AC$126)&amp;";  ","")&amp;IF(AND(EDATE($D48,Milestones!$AA$127)&lt;=AsOfDate,EDATE($D48,Milestones!$AA$127)&gt;=SchemeStart,IF($X48=0,$AD48,IF(AND($Z48&lt;&gt;"",EDATE($D48,Milestones!$AA$127)&gt;=$Z48),$AC48,IF(AND($Y48&lt;&gt;"",EDATE($D48,Milestones!$AA$127)&gt;=$Y48),$AB48,$AA48)))=Milestones!$AB$127),UPPER(TEXT(EDATE($D48,Milestones!$AA$127),"dd mmm yy"))&amp;" "&amp;Milestones!$AB$127&amp;" "&amp;IF(AND(Milestones!$AB$127="FT",Milestones!$AA$127=FT_Y5,EDATE($D48,Milestones!$AA$127)&lt;PolicyEff),1,Milestones!$AC$127)&amp;";  ",""))</f>
        <v/>
      </c>
      <c r="R48" s="0" t="str">
        <f aca="false">IF(OR($A48="",$D48=""),"",IF(AND(EDATE($D48,Milestones!$AA$128)&lt;=AsOfDate,EDATE($D48,Milestones!$AA$128)&gt;=SchemeStart,IF($X48=0,$AD48,IF(AND($Z48&lt;&gt;"",EDATE($D48,Milestones!$AA$128)&gt;=$Z48),$AC48,IF(AND($Y48&lt;&gt;"",EDATE($D48,Milestones!$AA$128)&gt;=$Y48),$AB48,$AA48)))=Milestones!$AB$128),UPPER(TEXT(EDATE($D48,Milestones!$AA$128),"dd mmm yy"))&amp;" "&amp;Milestones!$AB$128&amp;" "&amp;IF(AND(Milestones!$AB$128="FT",Milestones!$AA$128=FT_Y5,EDATE($D48,Milestones!$AA$128)&lt;PolicyEff),1,Milestones!$AC$128)&amp;";  ","")&amp;IF(AND(EDATE($D48,Milestones!$AA$129)&lt;=AsOfDate,EDATE($D48,Milestones!$AA$129)&gt;=SchemeStart,IF($X48=0,$AD48,IF(AND($Z48&lt;&gt;"",EDATE($D48,Milestones!$AA$129)&gt;=$Z48),$AC48,IF(AND($Y48&lt;&gt;"",EDATE($D48,Milestones!$AA$129)&gt;=$Y48),$AB48,$AA48)))=Milestones!$AB$129),UPPER(TEXT(EDATE($D48,Milestones!$AA$129),"dd mmm yy"))&amp;" "&amp;Milestones!$AB$129&amp;" "&amp;IF(AND(Milestones!$AB$129="FT",Milestones!$AA$129=FT_Y5,EDATE($D48,Milestones!$AA$129)&lt;PolicyEff),1,Milestones!$AC$129)&amp;";  ","")&amp;IF(AND(EDATE($D48,Milestones!$AA$130)&lt;=AsOfDate,EDATE($D48,Milestones!$AA$130)&gt;=SchemeStart,IF($X48=0,$AD48,IF(AND($Z48&lt;&gt;"",EDATE($D48,Milestones!$AA$130)&gt;=$Z48),$AC48,IF(AND($Y48&lt;&gt;"",EDATE($D48,Milestones!$AA$130)&gt;=$Y48),$AB48,$AA48)))=Milestones!$AB$130),UPPER(TEXT(EDATE($D48,Milestones!$AA$130),"dd mmm yy"))&amp;" "&amp;Milestones!$AB$130&amp;" "&amp;IF(AND(Milestones!$AB$130="FT",Milestones!$AA$130=FT_Y5,EDATE($D48,Milestones!$AA$130)&lt;PolicyEff),1,Milestones!$AC$130)&amp;";  ","")&amp;IF(AND(EDATE($D48,Milestones!$AA$131)&lt;=AsOfDate,EDATE($D48,Milestones!$AA$131)&gt;=SchemeStart,IF($X48=0,$AD48,IF(AND($Z48&lt;&gt;"",EDATE($D48,Milestones!$AA$131)&gt;=$Z48),$AC48,IF(AND($Y48&lt;&gt;"",EDATE($D48,Milestones!$AA$131)&gt;=$Y48),$AB48,$AA48)))=Milestones!$AB$131),UPPER(TEXT(EDATE($D48,Milestones!$AA$131),"dd mmm yy"))&amp;" "&amp;Milestones!$AB$131&amp;" "&amp;IF(AND(Milestones!$AB$131="FT",Milestones!$AA$131=FT_Y5,EDATE($D48,Milestones!$AA$131)&lt;PolicyEff),1,Milestones!$AC$131)&amp;";  ","")&amp;IF(AND(EDATE($D48,Milestones!$AA$132)&lt;=AsOfDate,EDATE($D48,Milestones!$AA$132)&gt;=SchemeStart,IF($X48=0,$AD48,IF(AND($Z48&lt;&gt;"",EDATE($D48,Milestones!$AA$132)&gt;=$Z48),$AC48,IF(AND($Y48&lt;&gt;"",EDATE($D48,Milestones!$AA$132)&gt;=$Y48),$AB48,$AA48)))=Milestones!$AB$132),UPPER(TEXT(EDATE($D48,Milestones!$AA$132),"dd mmm yy"))&amp;" "&amp;Milestones!$AB$132&amp;" "&amp;IF(AND(Milestones!$AB$132="FT",Milestones!$AA$132=FT_Y5,EDATE($D48,Milestones!$AA$132)&lt;PolicyEff),1,Milestones!$AC$132)&amp;";  ","")&amp;IF(AND(EDATE($D48,Milestones!$AA$133)&lt;=AsOfDate,EDATE($D48,Milestones!$AA$133)&gt;=SchemeStart,IF($X48=0,$AD48,IF(AND($Z48&lt;&gt;"",EDATE($D48,Milestones!$AA$133)&gt;=$Z48),$AC48,IF(AND($Y48&lt;&gt;"",EDATE($D48,Milestones!$AA$133)&gt;=$Y48),$AB48,$AA48)))=Milestones!$AB$133),UPPER(TEXT(EDATE($D48,Milestones!$AA$133),"dd mmm yy"))&amp;" "&amp;Milestones!$AB$133&amp;" "&amp;IF(AND(Milestones!$AB$133="FT",Milestones!$AA$133=FT_Y5,EDATE($D48,Milestones!$AA$133)&lt;PolicyEff),1,Milestones!$AC$133)&amp;";  ","")&amp;IF(AND(EDATE($D48,Milestones!$AA$134)&lt;=AsOfDate,EDATE($D48,Milestones!$AA$134)&gt;=SchemeStart,IF($X48=0,$AD48,IF(AND($Z48&lt;&gt;"",EDATE($D48,Milestones!$AA$134)&gt;=$Z48),$AC48,IF(AND($Y48&lt;&gt;"",EDATE($D48,Milestones!$AA$134)&gt;=$Y48),$AB48,$AA48)))=Milestones!$AB$134),UPPER(TEXT(EDATE($D48,Milestones!$AA$134),"dd mmm yy"))&amp;" "&amp;Milestones!$AB$134&amp;" "&amp;IF(AND(Milestones!$AB$134="FT",Milestones!$AA$134=FT_Y5,EDATE($D48,Milestones!$AA$134)&lt;PolicyEff),1,Milestones!$AC$134)&amp;";  ","")&amp;IF(AND(EDATE($D48,Milestones!$AA$135)&lt;=AsOfDate,EDATE($D48,Milestones!$AA$135)&gt;=SchemeStart,IF($X48=0,$AD48,IF(AND($Z48&lt;&gt;"",EDATE($D48,Milestones!$AA$135)&gt;=$Z48),$AC48,IF(AND($Y48&lt;&gt;"",EDATE($D48,Milestones!$AA$135)&gt;=$Y48),$AB48,$AA48)))=Milestones!$AB$135),UPPER(TEXT(EDATE($D48,Milestones!$AA$135),"dd mmm yy"))&amp;" "&amp;Milestones!$AB$135&amp;" "&amp;IF(AND(Milestones!$AB$135="FT",Milestones!$AA$135=FT_Y5,EDATE($D48,Milestones!$AA$135)&lt;PolicyEff),1,Milestones!$AC$135)&amp;";  ","")&amp;IF(AND(EDATE($D48,Milestones!$AA$136)&lt;=AsOfDate,EDATE($D48,Milestones!$AA$136)&gt;=SchemeStart,IF($X48=0,$AD48,IF(AND($Z48&lt;&gt;"",EDATE($D48,Milestones!$AA$136)&gt;=$Z48),$AC48,IF(AND($Y48&lt;&gt;"",EDATE($D48,Milestones!$AA$136)&gt;=$Y48),$AB48,$AA48)))=Milestones!$AB$136),UPPER(TEXT(EDATE($D48,Milestones!$AA$136),"dd mmm yy"))&amp;" "&amp;Milestones!$AB$136&amp;" "&amp;IF(AND(Milestones!$AB$136="FT",Milestones!$AA$136=FT_Y5,EDATE($D48,Milestones!$AA$136)&lt;PolicyEff),1,Milestones!$AC$136)&amp;";  ","")&amp;IF(AND(EDATE($D48,Milestones!$AA$137)&lt;=AsOfDate,EDATE($D48,Milestones!$AA$137)&gt;=SchemeStart,IF($X48=0,$AD48,IF(AND($Z48&lt;&gt;"",EDATE($D48,Milestones!$AA$137)&gt;=$Z48),$AC48,IF(AND($Y48&lt;&gt;"",EDATE($D48,Milestones!$AA$137)&gt;=$Y48),$AB48,$AA48)))=Milestones!$AB$137),UPPER(TEXT(EDATE($D48,Milestones!$AA$137),"dd mmm yy"))&amp;" "&amp;Milestones!$AB$137&amp;" "&amp;IF(AND(Milestones!$AB$137="FT",Milestones!$AA$137=FT_Y5,EDATE($D48,Milestones!$AA$137)&lt;PolicyEff),1,Milestones!$AC$137)&amp;";  ","")&amp;IF(AND(EDATE($D48,Milestones!$AA$138)&lt;=AsOfDate,EDATE($D48,Milestones!$AA$138)&gt;=SchemeStart,IF($X48=0,$AD48,IF(AND($Z48&lt;&gt;"",EDATE($D48,Milestones!$AA$138)&gt;=$Z48),$AC48,IF(AND($Y48&lt;&gt;"",EDATE($D48,Milestones!$AA$138)&gt;=$Y48),$AB48,$AA48)))=Milestones!$AB$138),UPPER(TEXT(EDATE($D48,Milestones!$AA$138),"dd mmm yy"))&amp;" "&amp;Milestones!$AB$138&amp;" "&amp;IF(AND(Milestones!$AB$138="FT",Milestones!$AA$138=FT_Y5,EDATE($D48,Milestones!$AA$138)&lt;PolicyEff),1,Milestones!$AC$138)&amp;";  ","")&amp;IF(AND(EDATE($D48,Milestones!$AA$139)&lt;=AsOfDate,EDATE($D48,Milestones!$AA$139)&gt;=SchemeStart,IF($X48=0,$AD48,IF(AND($Z48&lt;&gt;"",EDATE($D48,Milestones!$AA$139)&gt;=$Z48),$AC48,IF(AND($Y48&lt;&gt;"",EDATE($D48,Milestones!$AA$139)&gt;=$Y48),$AB48,$AA48)))=Milestones!$AB$139),UPPER(TEXT(EDATE($D48,Milestones!$AA$139),"dd mmm yy"))&amp;" "&amp;Milestones!$AB$139&amp;" "&amp;IF(AND(Milestones!$AB$139="FT",Milestones!$AA$139=FT_Y5,EDATE($D48,Milestones!$AA$139)&lt;PolicyEff),1,Milestones!$AC$139)&amp;";  ",""))</f>
        <v/>
      </c>
      <c r="S48" s="0" t="str">
        <f aca="false">IF(OR($A48="",$D48=""),"",IF(AND(EDATE($D48,Milestones!$AA$140)&lt;=AsOfDate,EDATE($D48,Milestones!$AA$140)&gt;=SchemeStart,IF($X48=0,$AD48,IF(AND($Z48&lt;&gt;"",EDATE($D48,Milestones!$AA$140)&gt;=$Z48),$AC48,IF(AND($Y48&lt;&gt;"",EDATE($D48,Milestones!$AA$140)&gt;=$Y48),$AB48,$AA48)))=Milestones!$AB$140),UPPER(TEXT(EDATE($D48,Milestones!$AA$140),"dd mmm yy"))&amp;" "&amp;Milestones!$AB$140&amp;" "&amp;IF(AND(Milestones!$AB$140="FT",Milestones!$AA$140=FT_Y5,EDATE($D48,Milestones!$AA$140)&lt;PolicyEff),1,Milestones!$AC$140)&amp;";  ","")&amp;IF(AND(EDATE($D48,Milestones!$AA$141)&lt;=AsOfDate,EDATE($D48,Milestones!$AA$141)&gt;=SchemeStart,IF($X48=0,$AD48,IF(AND($Z48&lt;&gt;"",EDATE($D48,Milestones!$AA$141)&gt;=$Z48),$AC48,IF(AND($Y48&lt;&gt;"",EDATE($D48,Milestones!$AA$141)&gt;=$Y48),$AB48,$AA48)))=Milestones!$AB$141),UPPER(TEXT(EDATE($D48,Milestones!$AA$141),"dd mmm yy"))&amp;" "&amp;Milestones!$AB$141&amp;" "&amp;IF(AND(Milestones!$AB$141="FT",Milestones!$AA$141=FT_Y5,EDATE($D48,Milestones!$AA$141)&lt;PolicyEff),1,Milestones!$AC$141)&amp;";  ","")&amp;IF(AND(EDATE($D48,Milestones!$AA$142)&lt;=AsOfDate,EDATE($D48,Milestones!$AA$142)&gt;=SchemeStart,IF($X48=0,$AD48,IF(AND($Z48&lt;&gt;"",EDATE($D48,Milestones!$AA$142)&gt;=$Z48),$AC48,IF(AND($Y48&lt;&gt;"",EDATE($D48,Milestones!$AA$142)&gt;=$Y48),$AB48,$AA48)))=Milestones!$AB$142),UPPER(TEXT(EDATE($D48,Milestones!$AA$142),"dd mmm yy"))&amp;" "&amp;Milestones!$AB$142&amp;" "&amp;IF(AND(Milestones!$AB$142="FT",Milestones!$AA$142=FT_Y5,EDATE($D48,Milestones!$AA$142)&lt;PolicyEff),1,Milestones!$AC$142)&amp;";  ","")&amp;IF(AND(EDATE($D48,Milestones!$AA$143)&lt;=AsOfDate,EDATE($D48,Milestones!$AA$143)&gt;=SchemeStart,IF($X48=0,$AD48,IF(AND($Z48&lt;&gt;"",EDATE($D48,Milestones!$AA$143)&gt;=$Z48),$AC48,IF(AND($Y48&lt;&gt;"",EDATE($D48,Milestones!$AA$143)&gt;=$Y48),$AB48,$AA48)))=Milestones!$AB$143),UPPER(TEXT(EDATE($D48,Milestones!$AA$143),"dd mmm yy"))&amp;" "&amp;Milestones!$AB$143&amp;" "&amp;IF(AND(Milestones!$AB$143="FT",Milestones!$AA$143=FT_Y5,EDATE($D48,Milestones!$AA$143)&lt;PolicyEff),1,Milestones!$AC$143)&amp;";  ","")&amp;IF(AND(EDATE($D48,Milestones!$AA$144)&lt;=AsOfDate,EDATE($D48,Milestones!$AA$144)&gt;=SchemeStart,IF($X48=0,$AD48,IF(AND($Z48&lt;&gt;"",EDATE($D48,Milestones!$AA$144)&gt;=$Z48),$AC48,IF(AND($Y48&lt;&gt;"",EDATE($D48,Milestones!$AA$144)&gt;=$Y48),$AB48,$AA48)))=Milestones!$AB$144),UPPER(TEXT(EDATE($D48,Milestones!$AA$144),"dd mmm yy"))&amp;" "&amp;Milestones!$AB$144&amp;" "&amp;IF(AND(Milestones!$AB$144="FT",Milestones!$AA$144=FT_Y5,EDATE($D48,Milestones!$AA$144)&lt;PolicyEff),1,Milestones!$AC$144)&amp;";  ","")&amp;IF(AND(EDATE($D48,Milestones!$AA$145)&lt;=AsOfDate,EDATE($D48,Milestones!$AA$145)&gt;=SchemeStart,IF($X48=0,$AD48,IF(AND($Z48&lt;&gt;"",EDATE($D48,Milestones!$AA$145)&gt;=$Z48),$AC48,IF(AND($Y48&lt;&gt;"",EDATE($D48,Milestones!$AA$145)&gt;=$Y48),$AB48,$AA48)))=Milestones!$AB$145),UPPER(TEXT(EDATE($D48,Milestones!$AA$145),"dd mmm yy"))&amp;" "&amp;Milestones!$AB$145&amp;" "&amp;IF(AND(Milestones!$AB$145="FT",Milestones!$AA$145=FT_Y5,EDATE($D48,Milestones!$AA$145)&lt;PolicyEff),1,Milestones!$AC$145)&amp;";  ","")&amp;IF(AND(EDATE($D48,Milestones!$AA$146)&lt;=AsOfDate,EDATE($D48,Milestones!$AA$146)&gt;=SchemeStart,IF($X48=0,$AD48,IF(AND($Z48&lt;&gt;"",EDATE($D48,Milestones!$AA$146)&gt;=$Z48),$AC48,IF(AND($Y48&lt;&gt;"",EDATE($D48,Milestones!$AA$146)&gt;=$Y48),$AB48,$AA48)))=Milestones!$AB$146),UPPER(TEXT(EDATE($D48,Milestones!$AA$146),"dd mmm yy"))&amp;" "&amp;Milestones!$AB$146&amp;" "&amp;IF(AND(Milestones!$AB$146="FT",Milestones!$AA$146=FT_Y5,EDATE($D48,Milestones!$AA$146)&lt;PolicyEff),1,Milestones!$AC$146)&amp;";  ","")&amp;IF(AND(EDATE($D48,Milestones!$AA$147)&lt;=AsOfDate,EDATE($D48,Milestones!$AA$147)&gt;=SchemeStart,IF($X48=0,$AD48,IF(AND($Z48&lt;&gt;"",EDATE($D48,Milestones!$AA$147)&gt;=$Z48),$AC48,IF(AND($Y48&lt;&gt;"",EDATE($D48,Milestones!$AA$147)&gt;=$Y48),$AB48,$AA48)))=Milestones!$AB$147),UPPER(TEXT(EDATE($D48,Milestones!$AA$147),"dd mmm yy"))&amp;" "&amp;Milestones!$AB$147&amp;" "&amp;IF(AND(Milestones!$AB$147="FT",Milestones!$AA$147=FT_Y5,EDATE($D48,Milestones!$AA$147)&lt;PolicyEff),1,Milestones!$AC$147)&amp;";  ","")&amp;IF(AND(EDATE($D48,Milestones!$AA$148)&lt;=AsOfDate,EDATE($D48,Milestones!$AA$148)&gt;=SchemeStart,IF($X48=0,$AD48,IF(AND($Z48&lt;&gt;"",EDATE($D48,Milestones!$AA$148)&gt;=$Z48),$AC48,IF(AND($Y48&lt;&gt;"",EDATE($D48,Milestones!$AA$148)&gt;=$Y48),$AB48,$AA48)))=Milestones!$AB$148),UPPER(TEXT(EDATE($D48,Milestones!$AA$148),"dd mmm yy"))&amp;" "&amp;Milestones!$AB$148&amp;" "&amp;IF(AND(Milestones!$AB$148="FT",Milestones!$AA$148=FT_Y5,EDATE($D48,Milestones!$AA$148)&lt;PolicyEff),1,Milestones!$AC$148)&amp;";  ","")&amp;IF(AND(EDATE($D48,Milestones!$AA$149)&lt;=AsOfDate,EDATE($D48,Milestones!$AA$149)&gt;=SchemeStart,IF($X48=0,$AD48,IF(AND($Z48&lt;&gt;"",EDATE($D48,Milestones!$AA$149)&gt;=$Z48),$AC48,IF(AND($Y48&lt;&gt;"",EDATE($D48,Milestones!$AA$149)&gt;=$Y48),$AB48,$AA48)))=Milestones!$AB$149),UPPER(TEXT(EDATE($D48,Milestones!$AA$149),"dd mmm yy"))&amp;" "&amp;Milestones!$AB$149&amp;" "&amp;IF(AND(Milestones!$AB$149="FT",Milestones!$AA$149=FT_Y5,EDATE($D48,Milestones!$AA$149)&lt;PolicyEff),1,Milestones!$AC$149)&amp;";  ","")&amp;IF(AND(EDATE($D48,Milestones!$AA$150)&lt;=AsOfDate,EDATE($D48,Milestones!$AA$150)&gt;=SchemeStart,IF($X48=0,$AD48,IF(AND($Z48&lt;&gt;"",EDATE($D48,Milestones!$AA$150)&gt;=$Z48),$AC48,IF(AND($Y48&lt;&gt;"",EDATE($D48,Milestones!$AA$150)&gt;=$Y48),$AB48,$AA48)))=Milestones!$AB$150),UPPER(TEXT(EDATE($D48,Milestones!$AA$150),"dd mmm yy"))&amp;" "&amp;Milestones!$AB$150&amp;" "&amp;IF(AND(Milestones!$AB$150="FT",Milestones!$AA$150=FT_Y5,EDATE($D48,Milestones!$AA$150)&lt;PolicyEff),1,Milestones!$AC$150)&amp;";  ","")&amp;IF(AND(EDATE($D48,Milestones!$AA$151)&lt;=AsOfDate,EDATE($D48,Milestones!$AA$151)&gt;=SchemeStart,IF($X48=0,$AD48,IF(AND($Z48&lt;&gt;"",EDATE($D48,Milestones!$AA$151)&gt;=$Z48),$AC48,IF(AND($Y48&lt;&gt;"",EDATE($D48,Milestones!$AA$151)&gt;=$Y48),$AB48,$AA48)))=Milestones!$AB$151),UPPER(TEXT(EDATE($D48,Milestones!$AA$151),"dd mmm yy"))&amp;" "&amp;Milestones!$AB$151&amp;" "&amp;IF(AND(Milestones!$AB$151="FT",Milestones!$AA$151=FT_Y5,EDATE($D48,Milestones!$AA$151)&lt;PolicyEff),1,Milestones!$AC$151)&amp;";  ",""))</f>
        <v/>
      </c>
      <c r="T48" s="0" t="str">
        <f aca="false">IF(OR($A48="",$D48=""),"",IF(AND(EDATE($D48,Milestones!$AA$152)&lt;=AsOfDate,EDATE($D48,Milestones!$AA$152)&gt;=SchemeStart,IF($X48=0,$AD48,IF(AND($Z48&lt;&gt;"",EDATE($D48,Milestones!$AA$152)&gt;=$Z48),$AC48,IF(AND($Y48&lt;&gt;"",EDATE($D48,Milestones!$AA$152)&gt;=$Y48),$AB48,$AA48)))=Milestones!$AB$152),UPPER(TEXT(EDATE($D48,Milestones!$AA$152),"dd mmm yy"))&amp;" "&amp;Milestones!$AB$152&amp;" "&amp;IF(AND(Milestones!$AB$152="FT",Milestones!$AA$152=FT_Y5,EDATE($D48,Milestones!$AA$152)&lt;PolicyEff),1,Milestones!$AC$152)&amp;";  ","")&amp;IF(AND(EDATE($D48,Milestones!$AA$153)&lt;=AsOfDate,EDATE($D48,Milestones!$AA$153)&gt;=SchemeStart,IF($X48=0,$AD48,IF(AND($Z48&lt;&gt;"",EDATE($D48,Milestones!$AA$153)&gt;=$Z48),$AC48,IF(AND($Y48&lt;&gt;"",EDATE($D48,Milestones!$AA$153)&gt;=$Y48),$AB48,$AA48)))=Milestones!$AB$153),UPPER(TEXT(EDATE($D48,Milestones!$AA$153),"dd mmm yy"))&amp;" "&amp;Milestones!$AB$153&amp;" "&amp;IF(AND(Milestones!$AB$153="FT",Milestones!$AA$153=FT_Y5,EDATE($D48,Milestones!$AA$153)&lt;PolicyEff),1,Milestones!$AC$153)&amp;";  ","")&amp;IF(AND(EDATE($D48,Milestones!$AA$154)&lt;=AsOfDate,EDATE($D48,Milestones!$AA$154)&gt;=SchemeStart,IF($X48=0,$AD48,IF(AND($Z48&lt;&gt;"",EDATE($D48,Milestones!$AA$154)&gt;=$Z48),$AC48,IF(AND($Y48&lt;&gt;"",EDATE($D48,Milestones!$AA$154)&gt;=$Y48),$AB48,$AA48)))=Milestones!$AB$154),UPPER(TEXT(EDATE($D48,Milestones!$AA$154),"dd mmm yy"))&amp;" "&amp;Milestones!$AB$154&amp;" "&amp;IF(AND(Milestones!$AB$154="FT",Milestones!$AA$154=FT_Y5,EDATE($D48,Milestones!$AA$154)&lt;PolicyEff),1,Milestones!$AC$154)&amp;";  ","")&amp;IF(AND(EDATE($D48,Milestones!$AA$155)&lt;=AsOfDate,EDATE($D48,Milestones!$AA$155)&gt;=SchemeStart,IF($X48=0,$AD48,IF(AND($Z48&lt;&gt;"",EDATE($D48,Milestones!$AA$155)&gt;=$Z48),$AC48,IF(AND($Y48&lt;&gt;"",EDATE($D48,Milestones!$AA$155)&gt;=$Y48),$AB48,$AA48)))=Milestones!$AB$155),UPPER(TEXT(EDATE($D48,Milestones!$AA$155),"dd mmm yy"))&amp;" "&amp;Milestones!$AB$155&amp;" "&amp;IF(AND(Milestones!$AB$155="FT",Milestones!$AA$155=FT_Y5,EDATE($D48,Milestones!$AA$155)&lt;PolicyEff),1,Milestones!$AC$155)&amp;";  ","")&amp;IF(AND(EDATE($D48,Milestones!$AA$156)&lt;=AsOfDate,EDATE($D48,Milestones!$AA$156)&gt;=SchemeStart,IF($X48=0,$AD48,IF(AND($Z48&lt;&gt;"",EDATE($D48,Milestones!$AA$156)&gt;=$Z48),$AC48,IF(AND($Y48&lt;&gt;"",EDATE($D48,Milestones!$AA$156)&gt;=$Y48),$AB48,$AA48)))=Milestones!$AB$156),UPPER(TEXT(EDATE($D48,Milestones!$AA$156),"dd mmm yy"))&amp;" "&amp;Milestones!$AB$156&amp;" "&amp;IF(AND(Milestones!$AB$156="FT",Milestones!$AA$156=FT_Y5,EDATE($D48,Milestones!$AA$156)&lt;PolicyEff),1,Milestones!$AC$156)&amp;";  ","")&amp;IF(AND(EDATE($D48,Milestones!$AA$157)&lt;=AsOfDate,EDATE($D48,Milestones!$AA$157)&gt;=SchemeStart,IF($X48=0,$AD48,IF(AND($Z48&lt;&gt;"",EDATE($D48,Milestones!$AA$157)&gt;=$Z48),$AC48,IF(AND($Y48&lt;&gt;"",EDATE($D48,Milestones!$AA$157)&gt;=$Y48),$AB48,$AA48)))=Milestones!$AB$157),UPPER(TEXT(EDATE($D48,Milestones!$AA$157),"dd mmm yy"))&amp;" "&amp;Milestones!$AB$157&amp;" "&amp;IF(AND(Milestones!$AB$157="FT",Milestones!$AA$157=FT_Y5,EDATE($D48,Milestones!$AA$157)&lt;PolicyEff),1,Milestones!$AC$157)&amp;";  ","")&amp;IF(AND(EDATE($D48,Milestones!$AA$158)&lt;=AsOfDate,EDATE($D48,Milestones!$AA$158)&gt;=SchemeStart,IF($X48=0,$AD48,IF(AND($Z48&lt;&gt;"",EDATE($D48,Milestones!$AA$158)&gt;=$Z48),$AC48,IF(AND($Y48&lt;&gt;"",EDATE($D48,Milestones!$AA$158)&gt;=$Y48),$AB48,$AA48)))=Milestones!$AB$158),UPPER(TEXT(EDATE($D48,Milestones!$AA$158),"dd mmm yy"))&amp;" "&amp;Milestones!$AB$158&amp;" "&amp;IF(AND(Milestones!$AB$158="FT",Milestones!$AA$158=FT_Y5,EDATE($D48,Milestones!$AA$158)&lt;PolicyEff),1,Milestones!$AC$158)&amp;";  ","")&amp;IF(AND(EDATE($D48,Milestones!$AA$159)&lt;=AsOfDate,EDATE($D48,Milestones!$AA$159)&gt;=SchemeStart,IF($X48=0,$AD48,IF(AND($Z48&lt;&gt;"",EDATE($D48,Milestones!$AA$159)&gt;=$Z48),$AC48,IF(AND($Y48&lt;&gt;"",EDATE($D48,Milestones!$AA$159)&gt;=$Y48),$AB48,$AA48)))=Milestones!$AB$159),UPPER(TEXT(EDATE($D48,Milestones!$AA$159),"dd mmm yy"))&amp;" "&amp;Milestones!$AB$159&amp;" "&amp;IF(AND(Milestones!$AB$159="FT",Milestones!$AA$159=FT_Y5,EDATE($D48,Milestones!$AA$159)&lt;PolicyEff),1,Milestones!$AC$159)&amp;";  ","")&amp;IF(AND(EDATE($D48,Milestones!$AA$160)&lt;=AsOfDate,EDATE($D48,Milestones!$AA$160)&gt;=SchemeStart,IF($X48=0,$AD48,IF(AND($Z48&lt;&gt;"",EDATE($D48,Milestones!$AA$160)&gt;=$Z48),$AC48,IF(AND($Y48&lt;&gt;"",EDATE($D48,Milestones!$AA$160)&gt;=$Y48),$AB48,$AA48)))=Milestones!$AB$160),UPPER(TEXT(EDATE($D48,Milestones!$AA$160),"dd mmm yy"))&amp;" "&amp;Milestones!$AB$160&amp;" "&amp;IF(AND(Milestones!$AB$160="FT",Milestones!$AA$160=FT_Y5,EDATE($D48,Milestones!$AA$160)&lt;PolicyEff),1,Milestones!$AC$160)&amp;";  ","")&amp;IF(AND(EDATE($D48,Milestones!$AA$161)&lt;=AsOfDate,EDATE($D48,Milestones!$AA$161)&gt;=SchemeStart,IF($X48=0,$AD48,IF(AND($Z48&lt;&gt;"",EDATE($D48,Milestones!$AA$161)&gt;=$Z48),$AC48,IF(AND($Y48&lt;&gt;"",EDATE($D48,Milestones!$AA$161)&gt;=$Y48),$AB48,$AA48)))=Milestones!$AB$161),UPPER(TEXT(EDATE($D48,Milestones!$AA$161),"dd mmm yy"))&amp;" "&amp;Milestones!$AB$161&amp;" "&amp;IF(AND(Milestones!$AB$161="FT",Milestones!$AA$161=FT_Y5,EDATE($D48,Milestones!$AA$161)&lt;PolicyEff),1,Milestones!$AC$161)&amp;";  ","")&amp;IF(AND(EDATE($D48,Milestones!$AA$162)&lt;=AsOfDate,EDATE($D48,Milestones!$AA$162)&gt;=SchemeStart,IF($X48=0,$AD48,IF(AND($Z48&lt;&gt;"",EDATE($D48,Milestones!$AA$162)&gt;=$Z48),$AC48,IF(AND($Y48&lt;&gt;"",EDATE($D48,Milestones!$AA$162)&gt;=$Y48),$AB48,$AA48)))=Milestones!$AB$162),UPPER(TEXT(EDATE($D48,Milestones!$AA$162),"dd mmm yy"))&amp;" "&amp;Milestones!$AB$162&amp;" "&amp;IF(AND(Milestones!$AB$162="FT",Milestones!$AA$162=FT_Y5,EDATE($D48,Milestones!$AA$162)&lt;PolicyEff),1,Milestones!$AC$162)&amp;";  ","")&amp;IF(AND(EDATE($D48,Milestones!$AA$163)&lt;=AsOfDate,EDATE($D48,Milestones!$AA$163)&gt;=SchemeStart,IF($X48=0,$AD48,IF(AND($Z48&lt;&gt;"",EDATE($D48,Milestones!$AA$163)&gt;=$Z48),$AC48,IF(AND($Y48&lt;&gt;"",EDATE($D48,Milestones!$AA$163)&gt;=$Y48),$AB48,$AA48)))=Milestones!$AB$163),UPPER(TEXT(EDATE($D48,Milestones!$AA$163),"dd mmm yy"))&amp;" "&amp;Milestones!$AB$163&amp;" "&amp;IF(AND(Milestones!$AB$163="FT",Milestones!$AA$163=FT_Y5,EDATE($D48,Milestones!$AA$163)&lt;PolicyEff),1,Milestones!$AC$163)&amp;";  ",""))</f>
        <v/>
      </c>
      <c r="U48" s="0" t="str">
        <f aca="false">IF(OR($A48="",$D48=""),"",IF(AND(EDATE($D48,Milestones!$AA$164)&lt;=AsOfDate,EDATE($D48,Milestones!$AA$164)&gt;=SchemeStart,IF($X48=0,$AD48,IF(AND($Z48&lt;&gt;"",EDATE($D48,Milestones!$AA$164)&gt;=$Z48),$AC48,IF(AND($Y48&lt;&gt;"",EDATE($D48,Milestones!$AA$164)&gt;=$Y48),$AB48,$AA48)))=Milestones!$AB$164),UPPER(TEXT(EDATE($D48,Milestones!$AA$164),"dd mmm yy"))&amp;" "&amp;Milestones!$AB$164&amp;" "&amp;IF(AND(Milestones!$AB$164="FT",Milestones!$AA$164=FT_Y5,EDATE($D48,Milestones!$AA$164)&lt;PolicyEff),1,Milestones!$AC$164)&amp;";  ","")&amp;IF(AND(EDATE($D48,Milestones!$AA$165)&lt;=AsOfDate,EDATE($D48,Milestones!$AA$165)&gt;=SchemeStart,IF($X48=0,$AD48,IF(AND($Z48&lt;&gt;"",EDATE($D48,Milestones!$AA$165)&gt;=$Z48),$AC48,IF(AND($Y48&lt;&gt;"",EDATE($D48,Milestones!$AA$165)&gt;=$Y48),$AB48,$AA48)))=Milestones!$AB$165),UPPER(TEXT(EDATE($D48,Milestones!$AA$165),"dd mmm yy"))&amp;" "&amp;Milestones!$AB$165&amp;" "&amp;IF(AND(Milestones!$AB$165="FT",Milestones!$AA$165=FT_Y5,EDATE($D48,Milestones!$AA$165)&lt;PolicyEff),1,Milestones!$AC$165)&amp;";  ","")&amp;IF(AND(EDATE($D48,Milestones!$AA$166)&lt;=AsOfDate,EDATE($D48,Milestones!$AA$166)&gt;=SchemeStart,IF($X48=0,$AD48,IF(AND($Z48&lt;&gt;"",EDATE($D48,Milestones!$AA$166)&gt;=$Z48),$AC48,IF(AND($Y48&lt;&gt;"",EDATE($D48,Milestones!$AA$166)&gt;=$Y48),$AB48,$AA48)))=Milestones!$AB$166),UPPER(TEXT(EDATE($D48,Milestones!$AA$166),"dd mmm yy"))&amp;" "&amp;Milestones!$AB$166&amp;" "&amp;IF(AND(Milestones!$AB$166="FT",Milestones!$AA$166=FT_Y5,EDATE($D48,Milestones!$AA$166)&lt;PolicyEff),1,Milestones!$AC$166)&amp;";  ","")&amp;IF(AND(EDATE($D48,Milestones!$AA$167)&lt;=AsOfDate,EDATE($D48,Milestones!$AA$167)&gt;=SchemeStart,IF($X48=0,$AD48,IF(AND($Z48&lt;&gt;"",EDATE($D48,Milestones!$AA$167)&gt;=$Z48),$AC48,IF(AND($Y48&lt;&gt;"",EDATE($D48,Milestones!$AA$167)&gt;=$Y48),$AB48,$AA48)))=Milestones!$AB$167),UPPER(TEXT(EDATE($D48,Milestones!$AA$167),"dd mmm yy"))&amp;" "&amp;Milestones!$AB$167&amp;" "&amp;IF(AND(Milestones!$AB$167="FT",Milestones!$AA$167=FT_Y5,EDATE($D48,Milestones!$AA$167)&lt;PolicyEff),1,Milestones!$AC$167)&amp;";  ","")&amp;IF(AND(EDATE($D48,Milestones!$AA$168)&lt;=AsOfDate,EDATE($D48,Milestones!$AA$168)&gt;=SchemeStart,IF($X48=0,$AD48,IF(AND($Z48&lt;&gt;"",EDATE($D48,Milestones!$AA$168)&gt;=$Z48),$AC48,IF(AND($Y48&lt;&gt;"",EDATE($D48,Milestones!$AA$168)&gt;=$Y48),$AB48,$AA48)))=Milestones!$AB$168),UPPER(TEXT(EDATE($D48,Milestones!$AA$168),"dd mmm yy"))&amp;" "&amp;Milestones!$AB$168&amp;" "&amp;IF(AND(Milestones!$AB$168="FT",Milestones!$AA$168=FT_Y5,EDATE($D48,Milestones!$AA$168)&lt;PolicyEff),1,Milestones!$AC$168)&amp;";  ","")&amp;IF(AND(EDATE($D48,Milestones!$AA$169)&lt;=AsOfDate,EDATE($D48,Milestones!$AA$169)&gt;=SchemeStart,IF($X48=0,$AD48,IF(AND($Z48&lt;&gt;"",EDATE($D48,Milestones!$AA$169)&gt;=$Z48),$AC48,IF(AND($Y48&lt;&gt;"",EDATE($D48,Milestones!$AA$169)&gt;=$Y48),$AB48,$AA48)))=Milestones!$AB$169),UPPER(TEXT(EDATE($D48,Milestones!$AA$169),"dd mmm yy"))&amp;" "&amp;Milestones!$AB$169&amp;" "&amp;IF(AND(Milestones!$AB$169="FT",Milestones!$AA$169=FT_Y5,EDATE($D48,Milestones!$AA$169)&lt;PolicyEff),1,Milestones!$AC$169)&amp;";  ","")&amp;IF(AND(EDATE($D48,Milestones!$AA$170)&lt;=AsOfDate,EDATE($D48,Milestones!$AA$170)&gt;=SchemeStart,IF($X48=0,$AD48,IF(AND($Z48&lt;&gt;"",EDATE($D48,Milestones!$AA$170)&gt;=$Z48),$AC48,IF(AND($Y48&lt;&gt;"",EDATE($D48,Milestones!$AA$170)&gt;=$Y48),$AB48,$AA48)))=Milestones!$AB$170),UPPER(TEXT(EDATE($D48,Milestones!$AA$170),"dd mmm yy"))&amp;" "&amp;Milestones!$AB$170&amp;" "&amp;IF(AND(Milestones!$AB$170="FT",Milestones!$AA$170=FT_Y5,EDATE($D48,Milestones!$AA$170)&lt;PolicyEff),1,Milestones!$AC$170)&amp;";  ","")&amp;IF(AND(EDATE($D48,Milestones!$AA$171)&lt;=AsOfDate,EDATE($D48,Milestones!$AA$171)&gt;=SchemeStart,IF($X48=0,$AD48,IF(AND($Z48&lt;&gt;"",EDATE($D48,Milestones!$AA$171)&gt;=$Z48),$AC48,IF(AND($Y48&lt;&gt;"",EDATE($D48,Milestones!$AA$171)&gt;=$Y48),$AB48,$AA48)))=Milestones!$AB$171),UPPER(TEXT(EDATE($D48,Milestones!$AA$171),"dd mmm yy"))&amp;" "&amp;Milestones!$AB$171&amp;" "&amp;IF(AND(Milestones!$AB$171="FT",Milestones!$AA$171=FT_Y5,EDATE($D48,Milestones!$AA$171)&lt;PolicyEff),1,Milestones!$AC$171)&amp;";  ","")&amp;IF(AND(EDATE($D48,Milestones!$AA$172)&lt;=AsOfDate,EDATE($D48,Milestones!$AA$172)&gt;=SchemeStart,IF($X48=0,$AD48,IF(AND($Z48&lt;&gt;"",EDATE($D48,Milestones!$AA$172)&gt;=$Z48),$AC48,IF(AND($Y48&lt;&gt;"",EDATE($D48,Milestones!$AA$172)&gt;=$Y48),$AB48,$AA48)))=Milestones!$AB$172),UPPER(TEXT(EDATE($D48,Milestones!$AA$172),"dd mmm yy"))&amp;" "&amp;Milestones!$AB$172&amp;" "&amp;IF(AND(Milestones!$AB$172="FT",Milestones!$AA$172=FT_Y5,EDATE($D48,Milestones!$AA$172)&lt;PolicyEff),1,Milestones!$AC$172)&amp;";  ","")&amp;IF(AND(EDATE($D48,Milestones!$AA$173)&lt;=AsOfDate,EDATE($D48,Milestones!$AA$173)&gt;=SchemeStart,IF($X48=0,$AD48,IF(AND($Z48&lt;&gt;"",EDATE($D48,Milestones!$AA$173)&gt;=$Z48),$AC48,IF(AND($Y48&lt;&gt;"",EDATE($D48,Milestones!$AA$173)&gt;=$Y48),$AB48,$AA48)))=Milestones!$AB$173),UPPER(TEXT(EDATE($D48,Milestones!$AA$173),"dd mmm yy"))&amp;" "&amp;Milestones!$AB$173&amp;" "&amp;IF(AND(Milestones!$AB$173="FT",Milestones!$AA$173=FT_Y5,EDATE($D48,Milestones!$AA$173)&lt;PolicyEff),1,Milestones!$AC$173)&amp;";  ","")&amp;IF(AND(EDATE($D48,Milestones!$AA$174)&lt;=AsOfDate,EDATE($D48,Milestones!$AA$174)&gt;=SchemeStart,IF($X48=0,$AD48,IF(AND($Z48&lt;&gt;"",EDATE($D48,Milestones!$AA$174)&gt;=$Z48),$AC48,IF(AND($Y48&lt;&gt;"",EDATE($D48,Milestones!$AA$174)&gt;=$Y48),$AB48,$AA48)))=Milestones!$AB$174),UPPER(TEXT(EDATE($D48,Milestones!$AA$174),"dd mmm yy"))&amp;" "&amp;Milestones!$AB$174&amp;" "&amp;IF(AND(Milestones!$AB$174="FT",Milestones!$AA$174=FT_Y5,EDATE($D48,Milestones!$AA$174)&lt;PolicyEff),1,Milestones!$AC$174)&amp;";  ","")&amp;IF(AND(EDATE($D48,Milestones!$AA$175)&lt;=AsOfDate,EDATE($D48,Milestones!$AA$175)&gt;=SchemeStart,IF($X48=0,$AD48,IF(AND($Z48&lt;&gt;"",EDATE($D48,Milestones!$AA$175)&gt;=$Z48),$AC48,IF(AND($Y48&lt;&gt;"",EDATE($D48,Milestones!$AA$175)&gt;=$Y48),$AB48,$AA48)))=Milestones!$AB$175),UPPER(TEXT(EDATE($D48,Milestones!$AA$175),"dd mmm yy"))&amp;" "&amp;Milestones!$AB$175&amp;" "&amp;IF(AND(Milestones!$AB$175="FT",Milestones!$AA$175=FT_Y5,EDATE($D48,Milestones!$AA$175)&lt;PolicyEff),1,Milestones!$AC$175)&amp;";  ",""))</f>
        <v/>
      </c>
      <c r="V48" s="0" t="str">
        <f aca="false">IF(OR($A48="",$D48=""),"",IF(AND(EDATE($D48,Milestones!$AA$176)&lt;=AsOfDate,EDATE($D48,Milestones!$AA$176)&gt;=SchemeStart,IF($X48=0,$AD48,IF(AND($Z48&lt;&gt;"",EDATE($D48,Milestones!$AA$176)&gt;=$Z48),$AC48,IF(AND($Y48&lt;&gt;"",EDATE($D48,Milestones!$AA$176)&gt;=$Y48),$AB48,$AA48)))=Milestones!$AB$176),UPPER(TEXT(EDATE($D48,Milestones!$AA$176),"dd mmm yy"))&amp;" "&amp;Milestones!$AB$176&amp;" "&amp;IF(AND(Milestones!$AB$176="FT",Milestones!$AA$176=FT_Y5,EDATE($D48,Milestones!$AA$176)&lt;PolicyEff),1,Milestones!$AC$176)&amp;";  ","")&amp;IF(AND(EDATE($D48,Milestones!$AA$177)&lt;=AsOfDate,EDATE($D48,Milestones!$AA$177)&gt;=SchemeStart,IF($X48=0,$AD48,IF(AND($Z48&lt;&gt;"",EDATE($D48,Milestones!$AA$177)&gt;=$Z48),$AC48,IF(AND($Y48&lt;&gt;"",EDATE($D48,Milestones!$AA$177)&gt;=$Y48),$AB48,$AA48)))=Milestones!$AB$177),UPPER(TEXT(EDATE($D48,Milestones!$AA$177),"dd mmm yy"))&amp;" "&amp;Milestones!$AB$177&amp;" "&amp;IF(AND(Milestones!$AB$177="FT",Milestones!$AA$177=FT_Y5,EDATE($D48,Milestones!$AA$177)&lt;PolicyEff),1,Milestones!$AC$177)&amp;";  ","")&amp;IF(AND(EDATE($D48,Milestones!$AA$178)&lt;=AsOfDate,EDATE($D48,Milestones!$AA$178)&gt;=SchemeStart,IF($X48=0,$AD48,IF(AND($Z48&lt;&gt;"",EDATE($D48,Milestones!$AA$178)&gt;=$Z48),$AC48,IF(AND($Y48&lt;&gt;"",EDATE($D48,Milestones!$AA$178)&gt;=$Y48),$AB48,$AA48)))=Milestones!$AB$178),UPPER(TEXT(EDATE($D48,Milestones!$AA$178),"dd mmm yy"))&amp;" "&amp;Milestones!$AB$178&amp;" "&amp;IF(AND(Milestones!$AB$178="FT",Milestones!$AA$178=FT_Y5,EDATE($D48,Milestones!$AA$178)&lt;PolicyEff),1,Milestones!$AC$178)&amp;";  ","")&amp;IF(AND(EDATE($D48,Milestones!$AA$179)&lt;=AsOfDate,EDATE($D48,Milestones!$AA$179)&gt;=SchemeStart,IF($X48=0,$AD48,IF(AND($Z48&lt;&gt;"",EDATE($D48,Milestones!$AA$179)&gt;=$Z48),$AC48,IF(AND($Y48&lt;&gt;"",EDATE($D48,Milestones!$AA$179)&gt;=$Y48),$AB48,$AA48)))=Milestones!$AB$179),UPPER(TEXT(EDATE($D48,Milestones!$AA$179),"dd mmm yy"))&amp;" "&amp;Milestones!$AB$179&amp;" "&amp;IF(AND(Milestones!$AB$179="FT",Milestones!$AA$179=FT_Y5,EDATE($D48,Milestones!$AA$179)&lt;PolicyEff),1,Milestones!$AC$179)&amp;";  ","")&amp;IF(AND(EDATE($D48,Milestones!$AA$180)&lt;=AsOfDate,EDATE($D48,Milestones!$AA$180)&gt;=SchemeStart,IF($X48=0,$AD48,IF(AND($Z48&lt;&gt;"",EDATE($D48,Milestones!$AA$180)&gt;=$Z48),$AC48,IF(AND($Y48&lt;&gt;"",EDATE($D48,Milestones!$AA$180)&gt;=$Y48),$AB48,$AA48)))=Milestones!$AB$180),UPPER(TEXT(EDATE($D48,Milestones!$AA$180),"dd mmm yy"))&amp;" "&amp;Milestones!$AB$180&amp;" "&amp;IF(AND(Milestones!$AB$180="FT",Milestones!$AA$180=FT_Y5,EDATE($D48,Milestones!$AA$180)&lt;PolicyEff),1,Milestones!$AC$180)&amp;";  ","")&amp;IF(AND(EDATE($D48,Milestones!$AA$181)&lt;=AsOfDate,EDATE($D48,Milestones!$AA$181)&gt;=SchemeStart,IF($X48=0,$AD48,IF(AND($Z48&lt;&gt;"",EDATE($D48,Milestones!$AA$181)&gt;=$Z48),$AC48,IF(AND($Y48&lt;&gt;"",EDATE($D48,Milestones!$AA$181)&gt;=$Y48),$AB48,$AA48)))=Milestones!$AB$181),UPPER(TEXT(EDATE($D48,Milestones!$AA$181),"dd mmm yy"))&amp;" "&amp;Milestones!$AB$181&amp;" "&amp;IF(AND(Milestones!$AB$181="FT",Milestones!$AA$181=FT_Y5,EDATE($D48,Milestones!$AA$181)&lt;PolicyEff),1,Milestones!$AC$181)&amp;";  ","")&amp;IF(AND(EDATE($D48,Milestones!$AA$182)&lt;=AsOfDate,EDATE($D48,Milestones!$AA$182)&gt;=SchemeStart,IF($X48=0,$AD48,IF(AND($Z48&lt;&gt;"",EDATE($D48,Milestones!$AA$182)&gt;=$Z48),$AC48,IF(AND($Y48&lt;&gt;"",EDATE($D48,Milestones!$AA$182)&gt;=$Y48),$AB48,$AA48)))=Milestones!$AB$182),UPPER(TEXT(EDATE($D48,Milestones!$AA$182),"dd mmm yy"))&amp;" "&amp;Milestones!$AB$182&amp;" "&amp;IF(AND(Milestones!$AB$182="FT",Milestones!$AA$182=FT_Y5,EDATE($D48,Milestones!$AA$182)&lt;PolicyEff),1,Milestones!$AC$182)&amp;";  ","")&amp;IF(AND(EDATE($D48,Milestones!$AA$183)&lt;=AsOfDate,EDATE($D48,Milestones!$AA$183)&gt;=SchemeStart,IF($X48=0,$AD48,IF(AND($Z48&lt;&gt;"",EDATE($D48,Milestones!$AA$183)&gt;=$Z48),$AC48,IF(AND($Y48&lt;&gt;"",EDATE($D48,Milestones!$AA$183)&gt;=$Y48),$AB48,$AA48)))=Milestones!$AB$183),UPPER(TEXT(EDATE($D48,Milestones!$AA$183),"dd mmm yy"))&amp;" "&amp;Milestones!$AB$183&amp;" "&amp;IF(AND(Milestones!$AB$183="FT",Milestones!$AA$183=FT_Y5,EDATE($D48,Milestones!$AA$183)&lt;PolicyEff),1,Milestones!$AC$183)&amp;";  ","")&amp;IF(AND(EDATE($D48,Milestones!$AA$184)&lt;=AsOfDate,EDATE($D48,Milestones!$AA$184)&gt;=SchemeStart,IF($X48=0,$AD48,IF(AND($Z48&lt;&gt;"",EDATE($D48,Milestones!$AA$184)&gt;=$Z48),$AC48,IF(AND($Y48&lt;&gt;"",EDATE($D48,Milestones!$AA$184)&gt;=$Y48),$AB48,$AA48)))=Milestones!$AB$184),UPPER(TEXT(EDATE($D48,Milestones!$AA$184),"dd mmm yy"))&amp;" "&amp;Milestones!$AB$184&amp;" "&amp;IF(AND(Milestones!$AB$184="FT",Milestones!$AA$184=FT_Y5,EDATE($D48,Milestones!$AA$184)&lt;PolicyEff),1,Milestones!$AC$184)&amp;";  ","")&amp;IF(AND(EDATE($D48,Milestones!$AA$185)&lt;=AsOfDate,EDATE($D48,Milestones!$AA$185)&gt;=SchemeStart,IF($X48=0,$AD48,IF(AND($Z48&lt;&gt;"",EDATE($D48,Milestones!$AA$185)&gt;=$Z48),$AC48,IF(AND($Y48&lt;&gt;"",EDATE($D48,Milestones!$AA$185)&gt;=$Y48),$AB48,$AA48)))=Milestones!$AB$185),UPPER(TEXT(EDATE($D48,Milestones!$AA$185),"dd mmm yy"))&amp;" "&amp;Milestones!$AB$185&amp;" "&amp;IF(AND(Milestones!$AB$185="FT",Milestones!$AA$185=FT_Y5,EDATE($D48,Milestones!$AA$185)&lt;PolicyEff),1,Milestones!$AC$185)&amp;";  ","")&amp;IF(AND(EDATE($D48,Milestones!$AA$186)&lt;=AsOfDate,EDATE($D48,Milestones!$AA$186)&gt;=SchemeStart,IF($X48=0,$AD48,IF(AND($Z48&lt;&gt;"",EDATE($D48,Milestones!$AA$186)&gt;=$Z48),$AC48,IF(AND($Y48&lt;&gt;"",EDATE($D48,Milestones!$AA$186)&gt;=$Y48),$AB48,$AA48)))=Milestones!$AB$186),UPPER(TEXT(EDATE($D48,Milestones!$AA$186),"dd mmm yy"))&amp;" "&amp;Milestones!$AB$186&amp;" "&amp;IF(AND(Milestones!$AB$186="FT",Milestones!$AA$186=FT_Y5,EDATE($D48,Milestones!$AA$186)&lt;PolicyEff),1,Milestones!$AC$186)&amp;";  ","")&amp;IF(AND(EDATE($D48,Milestones!$AA$187)&lt;=AsOfDate,EDATE($D48,Milestones!$AA$187)&gt;=SchemeStart,IF($X48=0,$AD48,IF(AND($Z48&lt;&gt;"",EDATE($D48,Milestones!$AA$187)&gt;=$Z48),$AC48,IF(AND($Y48&lt;&gt;"",EDATE($D48,Milestones!$AA$187)&gt;=$Y48),$AB48,$AA48)))=Milestones!$AB$187),UPPER(TEXT(EDATE($D48,Milestones!$AA$187),"dd mmm yy"))&amp;" "&amp;Milestones!$AB$187&amp;" "&amp;IF(AND(Milestones!$AB$187="FT",Milestones!$AA$187=FT_Y5,EDATE($D48,Milestones!$AA$187)&lt;PolicyEff),1,Milestones!$AC$187)&amp;";  ",""))</f>
        <v/>
      </c>
      <c r="W48" s="0" t="str">
        <f aca="false">IF(OR($A48="",$D48=""),"",IF(AND(EDATE($D48,Milestones!$AA$188)&lt;=AsOfDate,EDATE($D48,Milestones!$AA$188)&gt;=SchemeStart,IF($X48=0,$AD48,IF(AND($Z48&lt;&gt;"",EDATE($D48,Milestones!$AA$188)&gt;=$Z48),$AC48,IF(AND($Y48&lt;&gt;"",EDATE($D48,Milestones!$AA$188)&gt;=$Y48),$AB48,$AA48)))=Milestones!$AB$188),UPPER(TEXT(EDATE($D48,Milestones!$AA$188),"dd mmm yy"))&amp;" "&amp;Milestones!$AB$188&amp;" "&amp;IF(AND(Milestones!$AB$188="FT",Milestones!$AA$188=FT_Y5,EDATE($D48,Milestones!$AA$188)&lt;PolicyEff),1,Milestones!$AC$188)&amp;";  ","")&amp;IF(AND(EDATE($D48,Milestones!$AA$189)&lt;=AsOfDate,EDATE($D48,Milestones!$AA$189)&gt;=SchemeStart,IF($X48=0,$AD48,IF(AND($Z48&lt;&gt;"",EDATE($D48,Milestones!$AA$189)&gt;=$Z48),$AC48,IF(AND($Y48&lt;&gt;"",EDATE($D48,Milestones!$AA$189)&gt;=$Y48),$AB48,$AA48)))=Milestones!$AB$189),UPPER(TEXT(EDATE($D48,Milestones!$AA$189),"dd mmm yy"))&amp;" "&amp;Milestones!$AB$189&amp;" "&amp;IF(AND(Milestones!$AB$189="FT",Milestones!$AA$189=FT_Y5,EDATE($D48,Milestones!$AA$189)&lt;PolicyEff),1,Milestones!$AC$189)&amp;";  ","")&amp;IF(AND(EDATE($D48,Milestones!$AA$190)&lt;=AsOfDate,EDATE($D48,Milestones!$AA$190)&gt;=SchemeStart,IF($X48=0,$AD48,IF(AND($Z48&lt;&gt;"",EDATE($D48,Milestones!$AA$190)&gt;=$Z48),$AC48,IF(AND($Y48&lt;&gt;"",EDATE($D48,Milestones!$AA$190)&gt;=$Y48),$AB48,$AA48)))=Milestones!$AB$190),UPPER(TEXT(EDATE($D48,Milestones!$AA$190),"dd mmm yy"))&amp;" "&amp;Milestones!$AB$190&amp;" "&amp;IF(AND(Milestones!$AB$190="FT",Milestones!$AA$190=FT_Y5,EDATE($D48,Milestones!$AA$190)&lt;PolicyEff),1,Milestones!$AC$190)&amp;";  ","")&amp;IF(AND(EDATE($D48,Milestones!$AA$191)&lt;=AsOfDate,EDATE($D48,Milestones!$AA$191)&gt;=SchemeStart,IF($X48=0,$AD48,IF(AND($Z48&lt;&gt;"",EDATE($D48,Milestones!$AA$191)&gt;=$Z48),$AC48,IF(AND($Y48&lt;&gt;"",EDATE($D48,Milestones!$AA$191)&gt;=$Y48),$AB48,$AA48)))=Milestones!$AB$191),UPPER(TEXT(EDATE($D48,Milestones!$AA$191),"dd mmm yy"))&amp;" "&amp;Milestones!$AB$191&amp;" "&amp;IF(AND(Milestones!$AB$191="FT",Milestones!$AA$191=FT_Y5,EDATE($D48,Milestones!$AA$191)&lt;PolicyEff),1,Milestones!$AC$191)&amp;";  ","")&amp;IF(AND(EDATE($D48,Milestones!$AA$192)&lt;=AsOfDate,EDATE($D48,Milestones!$AA$192)&gt;=SchemeStart,IF($X48=0,$AD48,IF(AND($Z48&lt;&gt;"",EDATE($D48,Milestones!$AA$192)&gt;=$Z48),$AC48,IF(AND($Y48&lt;&gt;"",EDATE($D48,Milestones!$AA$192)&gt;=$Y48),$AB48,$AA48)))=Milestones!$AB$192),UPPER(TEXT(EDATE($D48,Milestones!$AA$192),"dd mmm yy"))&amp;" "&amp;Milestones!$AB$192&amp;" "&amp;IF(AND(Milestones!$AB$192="FT",Milestones!$AA$192=FT_Y5,EDATE($D48,Milestones!$AA$192)&lt;PolicyEff),1,Milestones!$AC$192)&amp;";  ","")&amp;IF(AND(EDATE($D48,Milestones!$AA$193)&lt;=AsOfDate,EDATE($D48,Milestones!$AA$193)&gt;=SchemeStart,IF($X48=0,$AD48,IF(AND($Z48&lt;&gt;"",EDATE($D48,Milestones!$AA$193)&gt;=$Z48),$AC48,IF(AND($Y48&lt;&gt;"",EDATE($D48,Milestones!$AA$193)&gt;=$Y48),$AB48,$AA48)))=Milestones!$AB$193),UPPER(TEXT(EDATE($D48,Milestones!$AA$193),"dd mmm yy"))&amp;" "&amp;Milestones!$AB$193&amp;" "&amp;IF(AND(Milestones!$AB$193="FT",Milestones!$AA$193=FT_Y5,EDATE($D48,Milestones!$AA$193)&lt;PolicyEff),1,Milestones!$AC$193)&amp;";  ","")&amp;IF(AND(EDATE($D48,Milestones!$AA$194)&lt;=AsOfDate,EDATE($D48,Milestones!$AA$194)&gt;=SchemeStart,IF($X48=0,$AD48,IF(AND($Z48&lt;&gt;"",EDATE($D48,Milestones!$AA$194)&gt;=$Z48),$AC48,IF(AND($Y48&lt;&gt;"",EDATE($D48,Milestones!$AA$194)&gt;=$Y48),$AB48,$AA48)))=Milestones!$AB$194),UPPER(TEXT(EDATE($D48,Milestones!$AA$194),"dd mmm yy"))&amp;" "&amp;Milestones!$AB$194&amp;" "&amp;IF(AND(Milestones!$AB$194="FT",Milestones!$AA$194=FT_Y5,EDATE($D48,Milestones!$AA$194)&lt;PolicyEff),1,Milestones!$AC$194)&amp;";  ","")&amp;IF(AND(EDATE($D48,Milestones!$AA$195)&lt;=AsOfDate,EDATE($D48,Milestones!$AA$195)&gt;=SchemeStart,IF($X48=0,$AD48,IF(AND($Z48&lt;&gt;"",EDATE($D48,Milestones!$AA$195)&gt;=$Z48),$AC48,IF(AND($Y48&lt;&gt;"",EDATE($D48,Milestones!$AA$195)&gt;=$Y48),$AB48,$AA48)))=Milestones!$AB$195),UPPER(TEXT(EDATE($D48,Milestones!$AA$195),"dd mmm yy"))&amp;" "&amp;Milestones!$AB$195&amp;" "&amp;IF(AND(Milestones!$AB$195="FT",Milestones!$AA$195=FT_Y5,EDATE($D48,Milestones!$AA$195)&lt;PolicyEff),1,Milestones!$AC$195)&amp;";  ","")&amp;IF(AND(EDATE($D48,Milestones!$AA$196)&lt;=AsOfDate,EDATE($D48,Milestones!$AA$196)&gt;=SchemeStart,IF($X48=0,$AD48,IF(AND($Z48&lt;&gt;"",EDATE($D48,Milestones!$AA$196)&gt;=$Z48),$AC48,IF(AND($Y48&lt;&gt;"",EDATE($D48,Milestones!$AA$196)&gt;=$Y48),$AB48,$AA48)))=Milestones!$AB$196),UPPER(TEXT(EDATE($D48,Milestones!$AA$196),"dd mmm yy"))&amp;" "&amp;Milestones!$AB$196&amp;" "&amp;IF(AND(Milestones!$AB$196="FT",Milestones!$AA$196=FT_Y5,EDATE($D48,Milestones!$AA$196)&lt;PolicyEff),1,Milestones!$AC$196)&amp;";  ","")&amp;IF(AND(EDATE($D48,Milestones!$AA$197)&lt;=AsOfDate,EDATE($D48,Milestones!$AA$197)&gt;=SchemeStart,IF($X48=0,$AD48,IF(AND($Z48&lt;&gt;"",EDATE($D48,Milestones!$AA$197)&gt;=$Z48),$AC48,IF(AND($Y48&lt;&gt;"",EDATE($D48,Milestones!$AA$197)&gt;=$Y48),$AB48,$AA48)))=Milestones!$AB$197),UPPER(TEXT(EDATE($D48,Milestones!$AA$197),"dd mmm yy"))&amp;" "&amp;Milestones!$AB$197&amp;" "&amp;IF(AND(Milestones!$AB$197="FT",Milestones!$AA$197=FT_Y5,EDATE($D48,Milestones!$AA$197)&lt;PolicyEff),1,Milestones!$AC$197)&amp;";  ","")&amp;IF(AND(EDATE($D48,Milestones!$AA$198)&lt;=AsOfDate,EDATE($D48,Milestones!$AA$198)&gt;=SchemeStart,IF($X48=0,$AD48,IF(AND($Z48&lt;&gt;"",EDATE($D48,Milestones!$AA$198)&gt;=$Z48),$AC48,IF(AND($Y48&lt;&gt;"",EDATE($D48,Milestones!$AA$198)&gt;=$Y48),$AB48,$AA48)))=Milestones!$AB$198),UPPER(TEXT(EDATE($D48,Milestones!$AA$198),"dd mmm yy"))&amp;" "&amp;Milestones!$AB$198&amp;" "&amp;IF(AND(Milestones!$AB$198="FT",Milestones!$AA$198=FT_Y5,EDATE($D48,Milestones!$AA$198)&lt;PolicyEff),1,Milestones!$AC$198)&amp;";  ","")&amp;IF(AND(EDATE($D48,Milestones!$AA$199)&lt;=AsOfDate,EDATE($D48,Milestones!$AA$199)&gt;=SchemeStart,IF($X48=0,$AD48,IF(AND($Z48&lt;&gt;"",EDATE($D48,Milestones!$AA$199)&gt;=$Z48),$AC48,IF(AND($Y48&lt;&gt;"",EDATE($D48,Milestones!$AA$199)&gt;=$Y48),$AB48,$AA48)))=Milestones!$AB$199),UPPER(TEXT(EDATE($D48,Milestones!$AA$199),"dd mmm yy"))&amp;" "&amp;Milestones!$AB$199&amp;" "&amp;IF(AND(Milestones!$AB$199="FT",Milestones!$AA$199=FT_Y5,EDATE($D48,Milestones!$AA$199)&lt;PolicyEff),1,Milestones!$AC$199)&amp;";  ",""))</f>
        <v/>
      </c>
      <c r="X48" s="0" t="str">
        <f aca="false">IF(Staff!$A48="","",Staff!$AM48)</f>
        <v/>
      </c>
      <c r="Y48" s="0" t="str">
        <f aca="false">IF(Staff!$A48="","",Staff!$AO48)</f>
        <v/>
      </c>
      <c r="Z48" s="0" t="str">
        <f aca="false">IF(Staff!$A48="","",Staff!$AP48)</f>
        <v/>
      </c>
      <c r="AA48" s="0" t="str">
        <f aca="false">IF(Staff!$A48="","",Staff!$AT48)</f>
        <v/>
      </c>
      <c r="AB48" s="0" t="str">
        <f aca="false">IF(Staff!$A48="","",Staff!$AU48)</f>
        <v/>
      </c>
      <c r="AC48" s="0" t="str">
        <f aca="false">IF(Staff!$A48="","",Staff!$AV48)</f>
        <v/>
      </c>
      <c r="AD48" s="0" t="str">
        <f aca="false">IF(Staff!$A48="","",Staff!$AW48)</f>
        <v/>
      </c>
    </row>
    <row r="49" customFormat="false" ht="15" hidden="false" customHeight="false" outlineLevel="0" collapsed="false">
      <c r="A49" s="16" t="str">
        <f aca="false">IF(Staff!$A49="","",Staff!$A49)</f>
        <v/>
      </c>
      <c r="B49" s="16" t="str">
        <f aca="false">IF(Staff!$A49="","",Staff!$B49)</f>
        <v/>
      </c>
      <c r="C49" s="16" t="str">
        <f aca="false">IF(Staff!$A49="","",Staff!$C49)</f>
        <v/>
      </c>
      <c r="D49" s="14" t="str">
        <f aca="false">IF(Staff!$A49="","",Staff!$AL49)</f>
        <v/>
      </c>
      <c r="E49" s="16" t="str">
        <f aca="false">IF(Staff!$A49="","",Staff!$O49)</f>
        <v/>
      </c>
      <c r="F49" s="16" t="str">
        <f aca="false">IF(E49="","",E49*HoursPerDay)</f>
        <v/>
      </c>
      <c r="G49" s="16" t="str">
        <f aca="false">IF(Staff!$A49="","",Staff!$AE49)</f>
        <v/>
      </c>
      <c r="H49" s="28" t="str">
        <f aca="false">IF($A49="","",I49&amp;J49&amp;K49&amp;L49&amp;M49&amp;N49&amp;O49&amp;P49&amp;Q49&amp;R49&amp;S49&amp;T49&amp;U49&amp;V49&amp;W49)</f>
        <v/>
      </c>
      <c r="I49" s="0" t="str">
        <f aca="false">IF(OR($A49="",$D49=""),"",IF(AND(EDATE($D49,Milestones!$AA$20)&lt;=AsOfDate,EDATE($D49,Milestones!$AA$20)&gt;=SchemeStart,IF($X49=0,$AD49,IF(AND($Z49&lt;&gt;"",EDATE($D49,Milestones!$AA$20)&gt;=$Z49),$AC49,IF(AND($Y49&lt;&gt;"",EDATE($D49,Milestones!$AA$20)&gt;=$Y49),$AB49,$AA49)))=Milestones!$AB$20),UPPER(TEXT(EDATE($D49,Milestones!$AA$20),"dd mmm yy"))&amp;" "&amp;Milestones!$AB$20&amp;" "&amp;IF(AND(Milestones!$AB$20="FT",Milestones!$AA$20=FT_Y5,EDATE($D49,Milestones!$AA$20)&lt;PolicyEff),1,Milestones!$AC$20)&amp;";  ","")&amp;IF(AND(EDATE($D49,Milestones!$AA$21)&lt;=AsOfDate,EDATE($D49,Milestones!$AA$21)&gt;=SchemeStart,IF($X49=0,$AD49,IF(AND($Z49&lt;&gt;"",EDATE($D49,Milestones!$AA$21)&gt;=$Z49),$AC49,IF(AND($Y49&lt;&gt;"",EDATE($D49,Milestones!$AA$21)&gt;=$Y49),$AB49,$AA49)))=Milestones!$AB$21),UPPER(TEXT(EDATE($D49,Milestones!$AA$21),"dd mmm yy"))&amp;" "&amp;Milestones!$AB$21&amp;" "&amp;IF(AND(Milestones!$AB$21="FT",Milestones!$AA$21=FT_Y5,EDATE($D49,Milestones!$AA$21)&lt;PolicyEff),1,Milestones!$AC$21)&amp;";  ","")&amp;IF(AND(EDATE($D49,Milestones!$AA$22)&lt;=AsOfDate,EDATE($D49,Milestones!$AA$22)&gt;=SchemeStart,IF($X49=0,$AD49,IF(AND($Z49&lt;&gt;"",EDATE($D49,Milestones!$AA$22)&gt;=$Z49),$AC49,IF(AND($Y49&lt;&gt;"",EDATE($D49,Milestones!$AA$22)&gt;=$Y49),$AB49,$AA49)))=Milestones!$AB$22),UPPER(TEXT(EDATE($D49,Milestones!$AA$22),"dd mmm yy"))&amp;" "&amp;Milestones!$AB$22&amp;" "&amp;IF(AND(Milestones!$AB$22="FT",Milestones!$AA$22=FT_Y5,EDATE($D49,Milestones!$AA$22)&lt;PolicyEff),1,Milestones!$AC$22)&amp;";  ","")&amp;IF(AND(EDATE($D49,Milestones!$AA$23)&lt;=AsOfDate,EDATE($D49,Milestones!$AA$23)&gt;=SchemeStart,IF($X49=0,$AD49,IF(AND($Z49&lt;&gt;"",EDATE($D49,Milestones!$AA$23)&gt;=$Z49),$AC49,IF(AND($Y49&lt;&gt;"",EDATE($D49,Milestones!$AA$23)&gt;=$Y49),$AB49,$AA49)))=Milestones!$AB$23),UPPER(TEXT(EDATE($D49,Milestones!$AA$23),"dd mmm yy"))&amp;" "&amp;Milestones!$AB$23&amp;" "&amp;IF(AND(Milestones!$AB$23="FT",Milestones!$AA$23=FT_Y5,EDATE($D49,Milestones!$AA$23)&lt;PolicyEff),1,Milestones!$AC$23)&amp;";  ","")&amp;IF(AND(EDATE($D49,Milestones!$AA$24)&lt;=AsOfDate,EDATE($D49,Milestones!$AA$24)&gt;=SchemeStart,IF($X49=0,$AD49,IF(AND($Z49&lt;&gt;"",EDATE($D49,Milestones!$AA$24)&gt;=$Z49),$AC49,IF(AND($Y49&lt;&gt;"",EDATE($D49,Milestones!$AA$24)&gt;=$Y49),$AB49,$AA49)))=Milestones!$AB$24),UPPER(TEXT(EDATE($D49,Milestones!$AA$24),"dd mmm yy"))&amp;" "&amp;Milestones!$AB$24&amp;" "&amp;IF(AND(Milestones!$AB$24="FT",Milestones!$AA$24=FT_Y5,EDATE($D49,Milestones!$AA$24)&lt;PolicyEff),1,Milestones!$AC$24)&amp;";  ","")&amp;IF(AND(EDATE($D49,Milestones!$AA$25)&lt;=AsOfDate,EDATE($D49,Milestones!$AA$25)&gt;=SchemeStart,IF($X49=0,$AD49,IF(AND($Z49&lt;&gt;"",EDATE($D49,Milestones!$AA$25)&gt;=$Z49),$AC49,IF(AND($Y49&lt;&gt;"",EDATE($D49,Milestones!$AA$25)&gt;=$Y49),$AB49,$AA49)))=Milestones!$AB$25),UPPER(TEXT(EDATE($D49,Milestones!$AA$25),"dd mmm yy"))&amp;" "&amp;Milestones!$AB$25&amp;" "&amp;IF(AND(Milestones!$AB$25="FT",Milestones!$AA$25=FT_Y5,EDATE($D49,Milestones!$AA$25)&lt;PolicyEff),1,Milestones!$AC$25)&amp;";  ","")&amp;IF(AND(EDATE($D49,Milestones!$AA$26)&lt;=AsOfDate,EDATE($D49,Milestones!$AA$26)&gt;=SchemeStart,IF($X49=0,$AD49,IF(AND($Z49&lt;&gt;"",EDATE($D49,Milestones!$AA$26)&gt;=$Z49),$AC49,IF(AND($Y49&lt;&gt;"",EDATE($D49,Milestones!$AA$26)&gt;=$Y49),$AB49,$AA49)))=Milestones!$AB$26),UPPER(TEXT(EDATE($D49,Milestones!$AA$26),"dd mmm yy"))&amp;" "&amp;Milestones!$AB$26&amp;" "&amp;IF(AND(Milestones!$AB$26="FT",Milestones!$AA$26=FT_Y5,EDATE($D49,Milestones!$AA$26)&lt;PolicyEff),1,Milestones!$AC$26)&amp;";  ","")&amp;IF(AND(EDATE($D49,Milestones!$AA$27)&lt;=AsOfDate,EDATE($D49,Milestones!$AA$27)&gt;=SchemeStart,IF($X49=0,$AD49,IF(AND($Z49&lt;&gt;"",EDATE($D49,Milestones!$AA$27)&gt;=$Z49),$AC49,IF(AND($Y49&lt;&gt;"",EDATE($D49,Milestones!$AA$27)&gt;=$Y49),$AB49,$AA49)))=Milestones!$AB$27),UPPER(TEXT(EDATE($D49,Milestones!$AA$27),"dd mmm yy"))&amp;" "&amp;Milestones!$AB$27&amp;" "&amp;IF(AND(Milestones!$AB$27="FT",Milestones!$AA$27=FT_Y5,EDATE($D49,Milestones!$AA$27)&lt;PolicyEff),1,Milestones!$AC$27)&amp;";  ","")&amp;IF(AND(EDATE($D49,Milestones!$AA$28)&lt;=AsOfDate,EDATE($D49,Milestones!$AA$28)&gt;=SchemeStart,IF($X49=0,$AD49,IF(AND($Z49&lt;&gt;"",EDATE($D49,Milestones!$AA$28)&gt;=$Z49),$AC49,IF(AND($Y49&lt;&gt;"",EDATE($D49,Milestones!$AA$28)&gt;=$Y49),$AB49,$AA49)))=Milestones!$AB$28),UPPER(TEXT(EDATE($D49,Milestones!$AA$28),"dd mmm yy"))&amp;" "&amp;Milestones!$AB$28&amp;" "&amp;IF(AND(Milestones!$AB$28="FT",Milestones!$AA$28=FT_Y5,EDATE($D49,Milestones!$AA$28)&lt;PolicyEff),1,Milestones!$AC$28)&amp;";  ","")&amp;IF(AND(EDATE($D49,Milestones!$AA$29)&lt;=AsOfDate,EDATE($D49,Milestones!$AA$29)&gt;=SchemeStart,IF($X49=0,$AD49,IF(AND($Z49&lt;&gt;"",EDATE($D49,Milestones!$AA$29)&gt;=$Z49),$AC49,IF(AND($Y49&lt;&gt;"",EDATE($D49,Milestones!$AA$29)&gt;=$Y49),$AB49,$AA49)))=Milestones!$AB$29),UPPER(TEXT(EDATE($D49,Milestones!$AA$29),"dd mmm yy"))&amp;" "&amp;Milestones!$AB$29&amp;" "&amp;IF(AND(Milestones!$AB$29="FT",Milestones!$AA$29=FT_Y5,EDATE($D49,Milestones!$AA$29)&lt;PolicyEff),1,Milestones!$AC$29)&amp;";  ","")&amp;IF(AND(EDATE($D49,Milestones!$AA$30)&lt;=AsOfDate,EDATE($D49,Milestones!$AA$30)&gt;=SchemeStart,IF($X49=0,$AD49,IF(AND($Z49&lt;&gt;"",EDATE($D49,Milestones!$AA$30)&gt;=$Z49),$AC49,IF(AND($Y49&lt;&gt;"",EDATE($D49,Milestones!$AA$30)&gt;=$Y49),$AB49,$AA49)))=Milestones!$AB$30),UPPER(TEXT(EDATE($D49,Milestones!$AA$30),"dd mmm yy"))&amp;" "&amp;Milestones!$AB$30&amp;" "&amp;IF(AND(Milestones!$AB$30="FT",Milestones!$AA$30=FT_Y5,EDATE($D49,Milestones!$AA$30)&lt;PolicyEff),1,Milestones!$AC$30)&amp;";  ","")&amp;IF(AND(EDATE($D49,Milestones!$AA$31)&lt;=AsOfDate,EDATE($D49,Milestones!$AA$31)&gt;=SchemeStart,IF($X49=0,$AD49,IF(AND($Z49&lt;&gt;"",EDATE($D49,Milestones!$AA$31)&gt;=$Z49),$AC49,IF(AND($Y49&lt;&gt;"",EDATE($D49,Milestones!$AA$31)&gt;=$Y49),$AB49,$AA49)))=Milestones!$AB$31),UPPER(TEXT(EDATE($D49,Milestones!$AA$31),"dd mmm yy"))&amp;" "&amp;Milestones!$AB$31&amp;" "&amp;IF(AND(Milestones!$AB$31="FT",Milestones!$AA$31=FT_Y5,EDATE($D49,Milestones!$AA$31)&lt;PolicyEff),1,Milestones!$AC$31)&amp;";  ",""))</f>
        <v/>
      </c>
      <c r="J49" s="0" t="str">
        <f aca="false">IF(OR($A49="",$D49=""),"",IF(AND(EDATE($D49,Milestones!$AA$32)&lt;=AsOfDate,EDATE($D49,Milestones!$AA$32)&gt;=SchemeStart,IF($X49=0,$AD49,IF(AND($Z49&lt;&gt;"",EDATE($D49,Milestones!$AA$32)&gt;=$Z49),$AC49,IF(AND($Y49&lt;&gt;"",EDATE($D49,Milestones!$AA$32)&gt;=$Y49),$AB49,$AA49)))=Milestones!$AB$32),UPPER(TEXT(EDATE($D49,Milestones!$AA$32),"dd mmm yy"))&amp;" "&amp;Milestones!$AB$32&amp;" "&amp;IF(AND(Milestones!$AB$32="FT",Milestones!$AA$32=FT_Y5,EDATE($D49,Milestones!$AA$32)&lt;PolicyEff),1,Milestones!$AC$32)&amp;";  ","")&amp;IF(AND(EDATE($D49,Milestones!$AA$33)&lt;=AsOfDate,EDATE($D49,Milestones!$AA$33)&gt;=SchemeStart,IF($X49=0,$AD49,IF(AND($Z49&lt;&gt;"",EDATE($D49,Milestones!$AA$33)&gt;=$Z49),$AC49,IF(AND($Y49&lt;&gt;"",EDATE($D49,Milestones!$AA$33)&gt;=$Y49),$AB49,$AA49)))=Milestones!$AB$33),UPPER(TEXT(EDATE($D49,Milestones!$AA$33),"dd mmm yy"))&amp;" "&amp;Milestones!$AB$33&amp;" "&amp;IF(AND(Milestones!$AB$33="FT",Milestones!$AA$33=FT_Y5,EDATE($D49,Milestones!$AA$33)&lt;PolicyEff),1,Milestones!$AC$33)&amp;";  ","")&amp;IF(AND(EDATE($D49,Milestones!$AA$34)&lt;=AsOfDate,EDATE($D49,Milestones!$AA$34)&gt;=SchemeStart,IF($X49=0,$AD49,IF(AND($Z49&lt;&gt;"",EDATE($D49,Milestones!$AA$34)&gt;=$Z49),$AC49,IF(AND($Y49&lt;&gt;"",EDATE($D49,Milestones!$AA$34)&gt;=$Y49),$AB49,$AA49)))=Milestones!$AB$34),UPPER(TEXT(EDATE($D49,Milestones!$AA$34),"dd mmm yy"))&amp;" "&amp;Milestones!$AB$34&amp;" "&amp;IF(AND(Milestones!$AB$34="FT",Milestones!$AA$34=FT_Y5,EDATE($D49,Milestones!$AA$34)&lt;PolicyEff),1,Milestones!$AC$34)&amp;";  ","")&amp;IF(AND(EDATE($D49,Milestones!$AA$35)&lt;=AsOfDate,EDATE($D49,Milestones!$AA$35)&gt;=SchemeStart,IF($X49=0,$AD49,IF(AND($Z49&lt;&gt;"",EDATE($D49,Milestones!$AA$35)&gt;=$Z49),$AC49,IF(AND($Y49&lt;&gt;"",EDATE($D49,Milestones!$AA$35)&gt;=$Y49),$AB49,$AA49)))=Milestones!$AB$35),UPPER(TEXT(EDATE($D49,Milestones!$AA$35),"dd mmm yy"))&amp;" "&amp;Milestones!$AB$35&amp;" "&amp;IF(AND(Milestones!$AB$35="FT",Milestones!$AA$35=FT_Y5,EDATE($D49,Milestones!$AA$35)&lt;PolicyEff),1,Milestones!$AC$35)&amp;";  ","")&amp;IF(AND(EDATE($D49,Milestones!$AA$36)&lt;=AsOfDate,EDATE($D49,Milestones!$AA$36)&gt;=SchemeStart,IF($X49=0,$AD49,IF(AND($Z49&lt;&gt;"",EDATE($D49,Milestones!$AA$36)&gt;=$Z49),$AC49,IF(AND($Y49&lt;&gt;"",EDATE($D49,Milestones!$AA$36)&gt;=$Y49),$AB49,$AA49)))=Milestones!$AB$36),UPPER(TEXT(EDATE($D49,Milestones!$AA$36),"dd mmm yy"))&amp;" "&amp;Milestones!$AB$36&amp;" "&amp;IF(AND(Milestones!$AB$36="FT",Milestones!$AA$36=FT_Y5,EDATE($D49,Milestones!$AA$36)&lt;PolicyEff),1,Milestones!$AC$36)&amp;";  ","")&amp;IF(AND(EDATE($D49,Milestones!$AA$37)&lt;=AsOfDate,EDATE($D49,Milestones!$AA$37)&gt;=SchemeStart,IF($X49=0,$AD49,IF(AND($Z49&lt;&gt;"",EDATE($D49,Milestones!$AA$37)&gt;=$Z49),$AC49,IF(AND($Y49&lt;&gt;"",EDATE($D49,Milestones!$AA$37)&gt;=$Y49),$AB49,$AA49)))=Milestones!$AB$37),UPPER(TEXT(EDATE($D49,Milestones!$AA$37),"dd mmm yy"))&amp;" "&amp;Milestones!$AB$37&amp;" "&amp;IF(AND(Milestones!$AB$37="FT",Milestones!$AA$37=FT_Y5,EDATE($D49,Milestones!$AA$37)&lt;PolicyEff),1,Milestones!$AC$37)&amp;";  ","")&amp;IF(AND(EDATE($D49,Milestones!$AA$38)&lt;=AsOfDate,EDATE($D49,Milestones!$AA$38)&gt;=SchemeStart,IF($X49=0,$AD49,IF(AND($Z49&lt;&gt;"",EDATE($D49,Milestones!$AA$38)&gt;=$Z49),$AC49,IF(AND($Y49&lt;&gt;"",EDATE($D49,Milestones!$AA$38)&gt;=$Y49),$AB49,$AA49)))=Milestones!$AB$38),UPPER(TEXT(EDATE($D49,Milestones!$AA$38),"dd mmm yy"))&amp;" "&amp;Milestones!$AB$38&amp;" "&amp;IF(AND(Milestones!$AB$38="FT",Milestones!$AA$38=FT_Y5,EDATE($D49,Milestones!$AA$38)&lt;PolicyEff),1,Milestones!$AC$38)&amp;";  ","")&amp;IF(AND(EDATE($D49,Milestones!$AA$39)&lt;=AsOfDate,EDATE($D49,Milestones!$AA$39)&gt;=SchemeStart,IF($X49=0,$AD49,IF(AND($Z49&lt;&gt;"",EDATE($D49,Milestones!$AA$39)&gt;=$Z49),$AC49,IF(AND($Y49&lt;&gt;"",EDATE($D49,Milestones!$AA$39)&gt;=$Y49),$AB49,$AA49)))=Milestones!$AB$39),UPPER(TEXT(EDATE($D49,Milestones!$AA$39),"dd mmm yy"))&amp;" "&amp;Milestones!$AB$39&amp;" "&amp;IF(AND(Milestones!$AB$39="FT",Milestones!$AA$39=FT_Y5,EDATE($D49,Milestones!$AA$39)&lt;PolicyEff),1,Milestones!$AC$39)&amp;";  ","")&amp;IF(AND(EDATE($D49,Milestones!$AA$40)&lt;=AsOfDate,EDATE($D49,Milestones!$AA$40)&gt;=SchemeStart,IF($X49=0,$AD49,IF(AND($Z49&lt;&gt;"",EDATE($D49,Milestones!$AA$40)&gt;=$Z49),$AC49,IF(AND($Y49&lt;&gt;"",EDATE($D49,Milestones!$AA$40)&gt;=$Y49),$AB49,$AA49)))=Milestones!$AB$40),UPPER(TEXT(EDATE($D49,Milestones!$AA$40),"dd mmm yy"))&amp;" "&amp;Milestones!$AB$40&amp;" "&amp;IF(AND(Milestones!$AB$40="FT",Milestones!$AA$40=FT_Y5,EDATE($D49,Milestones!$AA$40)&lt;PolicyEff),1,Milestones!$AC$40)&amp;";  ","")&amp;IF(AND(EDATE($D49,Milestones!$AA$41)&lt;=AsOfDate,EDATE($D49,Milestones!$AA$41)&gt;=SchemeStart,IF($X49=0,$AD49,IF(AND($Z49&lt;&gt;"",EDATE($D49,Milestones!$AA$41)&gt;=$Z49),$AC49,IF(AND($Y49&lt;&gt;"",EDATE($D49,Milestones!$AA$41)&gt;=$Y49),$AB49,$AA49)))=Milestones!$AB$41),UPPER(TEXT(EDATE($D49,Milestones!$AA$41),"dd mmm yy"))&amp;" "&amp;Milestones!$AB$41&amp;" "&amp;IF(AND(Milestones!$AB$41="FT",Milestones!$AA$41=FT_Y5,EDATE($D49,Milestones!$AA$41)&lt;PolicyEff),1,Milestones!$AC$41)&amp;";  ","")&amp;IF(AND(EDATE($D49,Milestones!$AA$42)&lt;=AsOfDate,EDATE($D49,Milestones!$AA$42)&gt;=SchemeStart,IF($X49=0,$AD49,IF(AND($Z49&lt;&gt;"",EDATE($D49,Milestones!$AA$42)&gt;=$Z49),$AC49,IF(AND($Y49&lt;&gt;"",EDATE($D49,Milestones!$AA$42)&gt;=$Y49),$AB49,$AA49)))=Milestones!$AB$42),UPPER(TEXT(EDATE($D49,Milestones!$AA$42),"dd mmm yy"))&amp;" "&amp;Milestones!$AB$42&amp;" "&amp;IF(AND(Milestones!$AB$42="FT",Milestones!$AA$42=FT_Y5,EDATE($D49,Milestones!$AA$42)&lt;PolicyEff),1,Milestones!$AC$42)&amp;";  ","")&amp;IF(AND(EDATE($D49,Milestones!$AA$43)&lt;=AsOfDate,EDATE($D49,Milestones!$AA$43)&gt;=SchemeStart,IF($X49=0,$AD49,IF(AND($Z49&lt;&gt;"",EDATE($D49,Milestones!$AA$43)&gt;=$Z49),$AC49,IF(AND($Y49&lt;&gt;"",EDATE($D49,Milestones!$AA$43)&gt;=$Y49),$AB49,$AA49)))=Milestones!$AB$43),UPPER(TEXT(EDATE($D49,Milestones!$AA$43),"dd mmm yy"))&amp;" "&amp;Milestones!$AB$43&amp;" "&amp;IF(AND(Milestones!$AB$43="FT",Milestones!$AA$43=FT_Y5,EDATE($D49,Milestones!$AA$43)&lt;PolicyEff),1,Milestones!$AC$43)&amp;";  ",""))</f>
        <v/>
      </c>
      <c r="K49" s="0" t="str">
        <f aca="false">IF(OR($A49="",$D49=""),"",IF(AND(EDATE($D49,Milestones!$AA$44)&lt;=AsOfDate,EDATE($D49,Milestones!$AA$44)&gt;=SchemeStart,IF($X49=0,$AD49,IF(AND($Z49&lt;&gt;"",EDATE($D49,Milestones!$AA$44)&gt;=$Z49),$AC49,IF(AND($Y49&lt;&gt;"",EDATE($D49,Milestones!$AA$44)&gt;=$Y49),$AB49,$AA49)))=Milestones!$AB$44),UPPER(TEXT(EDATE($D49,Milestones!$AA$44),"dd mmm yy"))&amp;" "&amp;Milestones!$AB$44&amp;" "&amp;IF(AND(Milestones!$AB$44="FT",Milestones!$AA$44=FT_Y5,EDATE($D49,Milestones!$AA$44)&lt;PolicyEff),1,Milestones!$AC$44)&amp;";  ","")&amp;IF(AND(EDATE($D49,Milestones!$AA$45)&lt;=AsOfDate,EDATE($D49,Milestones!$AA$45)&gt;=SchemeStart,IF($X49=0,$AD49,IF(AND($Z49&lt;&gt;"",EDATE($D49,Milestones!$AA$45)&gt;=$Z49),$AC49,IF(AND($Y49&lt;&gt;"",EDATE($D49,Milestones!$AA$45)&gt;=$Y49),$AB49,$AA49)))=Milestones!$AB$45),UPPER(TEXT(EDATE($D49,Milestones!$AA$45),"dd mmm yy"))&amp;" "&amp;Milestones!$AB$45&amp;" "&amp;IF(AND(Milestones!$AB$45="FT",Milestones!$AA$45=FT_Y5,EDATE($D49,Milestones!$AA$45)&lt;PolicyEff),1,Milestones!$AC$45)&amp;";  ","")&amp;IF(AND(EDATE($D49,Milestones!$AA$46)&lt;=AsOfDate,EDATE($D49,Milestones!$AA$46)&gt;=SchemeStart,IF($X49=0,$AD49,IF(AND($Z49&lt;&gt;"",EDATE($D49,Milestones!$AA$46)&gt;=$Z49),$AC49,IF(AND($Y49&lt;&gt;"",EDATE($D49,Milestones!$AA$46)&gt;=$Y49),$AB49,$AA49)))=Milestones!$AB$46),UPPER(TEXT(EDATE($D49,Milestones!$AA$46),"dd mmm yy"))&amp;" "&amp;Milestones!$AB$46&amp;" "&amp;IF(AND(Milestones!$AB$46="FT",Milestones!$AA$46=FT_Y5,EDATE($D49,Milestones!$AA$46)&lt;PolicyEff),1,Milestones!$AC$46)&amp;";  ","")&amp;IF(AND(EDATE($D49,Milestones!$AA$47)&lt;=AsOfDate,EDATE($D49,Milestones!$AA$47)&gt;=SchemeStart,IF($X49=0,$AD49,IF(AND($Z49&lt;&gt;"",EDATE($D49,Milestones!$AA$47)&gt;=$Z49),$AC49,IF(AND($Y49&lt;&gt;"",EDATE($D49,Milestones!$AA$47)&gt;=$Y49),$AB49,$AA49)))=Milestones!$AB$47),UPPER(TEXT(EDATE($D49,Milestones!$AA$47),"dd mmm yy"))&amp;" "&amp;Milestones!$AB$47&amp;" "&amp;IF(AND(Milestones!$AB$47="FT",Milestones!$AA$47=FT_Y5,EDATE($D49,Milestones!$AA$47)&lt;PolicyEff),1,Milestones!$AC$47)&amp;";  ","")&amp;IF(AND(EDATE($D49,Milestones!$AA$48)&lt;=AsOfDate,EDATE($D49,Milestones!$AA$48)&gt;=SchemeStart,IF($X49=0,$AD49,IF(AND($Z49&lt;&gt;"",EDATE($D49,Milestones!$AA$48)&gt;=$Z49),$AC49,IF(AND($Y49&lt;&gt;"",EDATE($D49,Milestones!$AA$48)&gt;=$Y49),$AB49,$AA49)))=Milestones!$AB$48),UPPER(TEXT(EDATE($D49,Milestones!$AA$48),"dd mmm yy"))&amp;" "&amp;Milestones!$AB$48&amp;" "&amp;IF(AND(Milestones!$AB$48="FT",Milestones!$AA$48=FT_Y5,EDATE($D49,Milestones!$AA$48)&lt;PolicyEff),1,Milestones!$AC$48)&amp;";  ","")&amp;IF(AND(EDATE($D49,Milestones!$AA$49)&lt;=AsOfDate,EDATE($D49,Milestones!$AA$49)&gt;=SchemeStart,IF($X49=0,$AD49,IF(AND($Z49&lt;&gt;"",EDATE($D49,Milestones!$AA$49)&gt;=$Z49),$AC49,IF(AND($Y49&lt;&gt;"",EDATE($D49,Milestones!$AA$49)&gt;=$Y49),$AB49,$AA49)))=Milestones!$AB$49),UPPER(TEXT(EDATE($D49,Milestones!$AA$49),"dd mmm yy"))&amp;" "&amp;Milestones!$AB$49&amp;" "&amp;IF(AND(Milestones!$AB$49="FT",Milestones!$AA$49=FT_Y5,EDATE($D49,Milestones!$AA$49)&lt;PolicyEff),1,Milestones!$AC$49)&amp;";  ","")&amp;IF(AND(EDATE($D49,Milestones!$AA$50)&lt;=AsOfDate,EDATE($D49,Milestones!$AA$50)&gt;=SchemeStart,IF($X49=0,$AD49,IF(AND($Z49&lt;&gt;"",EDATE($D49,Milestones!$AA$50)&gt;=$Z49),$AC49,IF(AND($Y49&lt;&gt;"",EDATE($D49,Milestones!$AA$50)&gt;=$Y49),$AB49,$AA49)))=Milestones!$AB$50),UPPER(TEXT(EDATE($D49,Milestones!$AA$50),"dd mmm yy"))&amp;" "&amp;Milestones!$AB$50&amp;" "&amp;IF(AND(Milestones!$AB$50="FT",Milestones!$AA$50=FT_Y5,EDATE($D49,Milestones!$AA$50)&lt;PolicyEff),1,Milestones!$AC$50)&amp;";  ","")&amp;IF(AND(EDATE($D49,Milestones!$AA$51)&lt;=AsOfDate,EDATE($D49,Milestones!$AA$51)&gt;=SchemeStart,IF($X49=0,$AD49,IF(AND($Z49&lt;&gt;"",EDATE($D49,Milestones!$AA$51)&gt;=$Z49),$AC49,IF(AND($Y49&lt;&gt;"",EDATE($D49,Milestones!$AA$51)&gt;=$Y49),$AB49,$AA49)))=Milestones!$AB$51),UPPER(TEXT(EDATE($D49,Milestones!$AA$51),"dd mmm yy"))&amp;" "&amp;Milestones!$AB$51&amp;" "&amp;IF(AND(Milestones!$AB$51="FT",Milestones!$AA$51=FT_Y5,EDATE($D49,Milestones!$AA$51)&lt;PolicyEff),1,Milestones!$AC$51)&amp;";  ","")&amp;IF(AND(EDATE($D49,Milestones!$AA$52)&lt;=AsOfDate,EDATE($D49,Milestones!$AA$52)&gt;=SchemeStart,IF($X49=0,$AD49,IF(AND($Z49&lt;&gt;"",EDATE($D49,Milestones!$AA$52)&gt;=$Z49),$AC49,IF(AND($Y49&lt;&gt;"",EDATE($D49,Milestones!$AA$52)&gt;=$Y49),$AB49,$AA49)))=Milestones!$AB$52),UPPER(TEXT(EDATE($D49,Milestones!$AA$52),"dd mmm yy"))&amp;" "&amp;Milestones!$AB$52&amp;" "&amp;IF(AND(Milestones!$AB$52="FT",Milestones!$AA$52=FT_Y5,EDATE($D49,Milestones!$AA$52)&lt;PolicyEff),1,Milestones!$AC$52)&amp;";  ","")&amp;IF(AND(EDATE($D49,Milestones!$AA$53)&lt;=AsOfDate,EDATE($D49,Milestones!$AA$53)&gt;=SchemeStart,IF($X49=0,$AD49,IF(AND($Z49&lt;&gt;"",EDATE($D49,Milestones!$AA$53)&gt;=$Z49),$AC49,IF(AND($Y49&lt;&gt;"",EDATE($D49,Milestones!$AA$53)&gt;=$Y49),$AB49,$AA49)))=Milestones!$AB$53),UPPER(TEXT(EDATE($D49,Milestones!$AA$53),"dd mmm yy"))&amp;" "&amp;Milestones!$AB$53&amp;" "&amp;IF(AND(Milestones!$AB$53="FT",Milestones!$AA$53=FT_Y5,EDATE($D49,Milestones!$AA$53)&lt;PolicyEff),1,Milestones!$AC$53)&amp;";  ","")&amp;IF(AND(EDATE($D49,Milestones!$AA$54)&lt;=AsOfDate,EDATE($D49,Milestones!$AA$54)&gt;=SchemeStart,IF($X49=0,$AD49,IF(AND($Z49&lt;&gt;"",EDATE($D49,Milestones!$AA$54)&gt;=$Z49),$AC49,IF(AND($Y49&lt;&gt;"",EDATE($D49,Milestones!$AA$54)&gt;=$Y49),$AB49,$AA49)))=Milestones!$AB$54),UPPER(TEXT(EDATE($D49,Milestones!$AA$54),"dd mmm yy"))&amp;" "&amp;Milestones!$AB$54&amp;" "&amp;IF(AND(Milestones!$AB$54="FT",Milestones!$AA$54=FT_Y5,EDATE($D49,Milestones!$AA$54)&lt;PolicyEff),1,Milestones!$AC$54)&amp;";  ","")&amp;IF(AND(EDATE($D49,Milestones!$AA$55)&lt;=AsOfDate,EDATE($D49,Milestones!$AA$55)&gt;=SchemeStart,IF($X49=0,$AD49,IF(AND($Z49&lt;&gt;"",EDATE($D49,Milestones!$AA$55)&gt;=$Z49),$AC49,IF(AND($Y49&lt;&gt;"",EDATE($D49,Milestones!$AA$55)&gt;=$Y49),$AB49,$AA49)))=Milestones!$AB$55),UPPER(TEXT(EDATE($D49,Milestones!$AA$55),"dd mmm yy"))&amp;" "&amp;Milestones!$AB$55&amp;" "&amp;IF(AND(Milestones!$AB$55="FT",Milestones!$AA$55=FT_Y5,EDATE($D49,Milestones!$AA$55)&lt;PolicyEff),1,Milestones!$AC$55)&amp;";  ",""))</f>
        <v/>
      </c>
      <c r="L49" s="0" t="str">
        <f aca="false">IF(OR($A49="",$D49=""),"",IF(AND(EDATE($D49,Milestones!$AA$56)&lt;=AsOfDate,EDATE($D49,Milestones!$AA$56)&gt;=SchemeStart,IF($X49=0,$AD49,IF(AND($Z49&lt;&gt;"",EDATE($D49,Milestones!$AA$56)&gt;=$Z49),$AC49,IF(AND($Y49&lt;&gt;"",EDATE($D49,Milestones!$AA$56)&gt;=$Y49),$AB49,$AA49)))=Milestones!$AB$56),UPPER(TEXT(EDATE($D49,Milestones!$AA$56),"dd mmm yy"))&amp;" "&amp;Milestones!$AB$56&amp;" "&amp;IF(AND(Milestones!$AB$56="FT",Milestones!$AA$56=FT_Y5,EDATE($D49,Milestones!$AA$56)&lt;PolicyEff),1,Milestones!$AC$56)&amp;";  ","")&amp;IF(AND(EDATE($D49,Milestones!$AA$57)&lt;=AsOfDate,EDATE($D49,Milestones!$AA$57)&gt;=SchemeStart,IF($X49=0,$AD49,IF(AND($Z49&lt;&gt;"",EDATE($D49,Milestones!$AA$57)&gt;=$Z49),$AC49,IF(AND($Y49&lt;&gt;"",EDATE($D49,Milestones!$AA$57)&gt;=$Y49),$AB49,$AA49)))=Milestones!$AB$57),UPPER(TEXT(EDATE($D49,Milestones!$AA$57),"dd mmm yy"))&amp;" "&amp;Milestones!$AB$57&amp;" "&amp;IF(AND(Milestones!$AB$57="FT",Milestones!$AA$57=FT_Y5,EDATE($D49,Milestones!$AA$57)&lt;PolicyEff),1,Milestones!$AC$57)&amp;";  ","")&amp;IF(AND(EDATE($D49,Milestones!$AA$58)&lt;=AsOfDate,EDATE($D49,Milestones!$AA$58)&gt;=SchemeStart,IF($X49=0,$AD49,IF(AND($Z49&lt;&gt;"",EDATE($D49,Milestones!$AA$58)&gt;=$Z49),$AC49,IF(AND($Y49&lt;&gt;"",EDATE($D49,Milestones!$AA$58)&gt;=$Y49),$AB49,$AA49)))=Milestones!$AB$58),UPPER(TEXT(EDATE($D49,Milestones!$AA$58),"dd mmm yy"))&amp;" "&amp;Milestones!$AB$58&amp;" "&amp;IF(AND(Milestones!$AB$58="FT",Milestones!$AA$58=FT_Y5,EDATE($D49,Milestones!$AA$58)&lt;PolicyEff),1,Milestones!$AC$58)&amp;";  ","")&amp;IF(AND(EDATE($D49,Milestones!$AA$59)&lt;=AsOfDate,EDATE($D49,Milestones!$AA$59)&gt;=SchemeStart,IF($X49=0,$AD49,IF(AND($Z49&lt;&gt;"",EDATE($D49,Milestones!$AA$59)&gt;=$Z49),$AC49,IF(AND($Y49&lt;&gt;"",EDATE($D49,Milestones!$AA$59)&gt;=$Y49),$AB49,$AA49)))=Milestones!$AB$59),UPPER(TEXT(EDATE($D49,Milestones!$AA$59),"dd mmm yy"))&amp;" "&amp;Milestones!$AB$59&amp;" "&amp;IF(AND(Milestones!$AB$59="FT",Milestones!$AA$59=FT_Y5,EDATE($D49,Milestones!$AA$59)&lt;PolicyEff),1,Milestones!$AC$59)&amp;";  ","")&amp;IF(AND(EDATE($D49,Milestones!$AA$60)&lt;=AsOfDate,EDATE($D49,Milestones!$AA$60)&gt;=SchemeStart,IF($X49=0,$AD49,IF(AND($Z49&lt;&gt;"",EDATE($D49,Milestones!$AA$60)&gt;=$Z49),$AC49,IF(AND($Y49&lt;&gt;"",EDATE($D49,Milestones!$AA$60)&gt;=$Y49),$AB49,$AA49)))=Milestones!$AB$60),UPPER(TEXT(EDATE($D49,Milestones!$AA$60),"dd mmm yy"))&amp;" "&amp;Milestones!$AB$60&amp;" "&amp;IF(AND(Milestones!$AB$60="FT",Milestones!$AA$60=FT_Y5,EDATE($D49,Milestones!$AA$60)&lt;PolicyEff),1,Milestones!$AC$60)&amp;";  ","")&amp;IF(AND(EDATE($D49,Milestones!$AA$61)&lt;=AsOfDate,EDATE($D49,Milestones!$AA$61)&gt;=SchemeStart,IF($X49=0,$AD49,IF(AND($Z49&lt;&gt;"",EDATE($D49,Milestones!$AA$61)&gt;=$Z49),$AC49,IF(AND($Y49&lt;&gt;"",EDATE($D49,Milestones!$AA$61)&gt;=$Y49),$AB49,$AA49)))=Milestones!$AB$61),UPPER(TEXT(EDATE($D49,Milestones!$AA$61),"dd mmm yy"))&amp;" "&amp;Milestones!$AB$61&amp;" "&amp;IF(AND(Milestones!$AB$61="FT",Milestones!$AA$61=FT_Y5,EDATE($D49,Milestones!$AA$61)&lt;PolicyEff),1,Milestones!$AC$61)&amp;";  ","")&amp;IF(AND(EDATE($D49,Milestones!$AA$62)&lt;=AsOfDate,EDATE($D49,Milestones!$AA$62)&gt;=SchemeStart,IF($X49=0,$AD49,IF(AND($Z49&lt;&gt;"",EDATE($D49,Milestones!$AA$62)&gt;=$Z49),$AC49,IF(AND($Y49&lt;&gt;"",EDATE($D49,Milestones!$AA$62)&gt;=$Y49),$AB49,$AA49)))=Milestones!$AB$62),UPPER(TEXT(EDATE($D49,Milestones!$AA$62),"dd mmm yy"))&amp;" "&amp;Milestones!$AB$62&amp;" "&amp;IF(AND(Milestones!$AB$62="FT",Milestones!$AA$62=FT_Y5,EDATE($D49,Milestones!$AA$62)&lt;PolicyEff),1,Milestones!$AC$62)&amp;";  ","")&amp;IF(AND(EDATE($D49,Milestones!$AA$63)&lt;=AsOfDate,EDATE($D49,Milestones!$AA$63)&gt;=SchemeStart,IF($X49=0,$AD49,IF(AND($Z49&lt;&gt;"",EDATE($D49,Milestones!$AA$63)&gt;=$Z49),$AC49,IF(AND($Y49&lt;&gt;"",EDATE($D49,Milestones!$AA$63)&gt;=$Y49),$AB49,$AA49)))=Milestones!$AB$63),UPPER(TEXT(EDATE($D49,Milestones!$AA$63),"dd mmm yy"))&amp;" "&amp;Milestones!$AB$63&amp;" "&amp;IF(AND(Milestones!$AB$63="FT",Milestones!$AA$63=FT_Y5,EDATE($D49,Milestones!$AA$63)&lt;PolicyEff),1,Milestones!$AC$63)&amp;";  ","")&amp;IF(AND(EDATE($D49,Milestones!$AA$64)&lt;=AsOfDate,EDATE($D49,Milestones!$AA$64)&gt;=SchemeStart,IF($X49=0,$AD49,IF(AND($Z49&lt;&gt;"",EDATE($D49,Milestones!$AA$64)&gt;=$Z49),$AC49,IF(AND($Y49&lt;&gt;"",EDATE($D49,Milestones!$AA$64)&gt;=$Y49),$AB49,$AA49)))=Milestones!$AB$64),UPPER(TEXT(EDATE($D49,Milestones!$AA$64),"dd mmm yy"))&amp;" "&amp;Milestones!$AB$64&amp;" "&amp;IF(AND(Milestones!$AB$64="FT",Milestones!$AA$64=FT_Y5,EDATE($D49,Milestones!$AA$64)&lt;PolicyEff),1,Milestones!$AC$64)&amp;";  ","")&amp;IF(AND(EDATE($D49,Milestones!$AA$65)&lt;=AsOfDate,EDATE($D49,Milestones!$AA$65)&gt;=SchemeStart,IF($X49=0,$AD49,IF(AND($Z49&lt;&gt;"",EDATE($D49,Milestones!$AA$65)&gt;=$Z49),$AC49,IF(AND($Y49&lt;&gt;"",EDATE($D49,Milestones!$AA$65)&gt;=$Y49),$AB49,$AA49)))=Milestones!$AB$65),UPPER(TEXT(EDATE($D49,Milestones!$AA$65),"dd mmm yy"))&amp;" "&amp;Milestones!$AB$65&amp;" "&amp;IF(AND(Milestones!$AB$65="FT",Milestones!$AA$65=FT_Y5,EDATE($D49,Milestones!$AA$65)&lt;PolicyEff),1,Milestones!$AC$65)&amp;";  ","")&amp;IF(AND(EDATE($D49,Milestones!$AA$66)&lt;=AsOfDate,EDATE($D49,Milestones!$AA$66)&gt;=SchemeStart,IF($X49=0,$AD49,IF(AND($Z49&lt;&gt;"",EDATE($D49,Milestones!$AA$66)&gt;=$Z49),$AC49,IF(AND($Y49&lt;&gt;"",EDATE($D49,Milestones!$AA$66)&gt;=$Y49),$AB49,$AA49)))=Milestones!$AB$66),UPPER(TEXT(EDATE($D49,Milestones!$AA$66),"dd mmm yy"))&amp;" "&amp;Milestones!$AB$66&amp;" "&amp;IF(AND(Milestones!$AB$66="FT",Milestones!$AA$66=FT_Y5,EDATE($D49,Milestones!$AA$66)&lt;PolicyEff),1,Milestones!$AC$66)&amp;";  ","")&amp;IF(AND(EDATE($D49,Milestones!$AA$67)&lt;=AsOfDate,EDATE($D49,Milestones!$AA$67)&gt;=SchemeStart,IF($X49=0,$AD49,IF(AND($Z49&lt;&gt;"",EDATE($D49,Milestones!$AA$67)&gt;=$Z49),$AC49,IF(AND($Y49&lt;&gt;"",EDATE($D49,Milestones!$AA$67)&gt;=$Y49),$AB49,$AA49)))=Milestones!$AB$67),UPPER(TEXT(EDATE($D49,Milestones!$AA$67),"dd mmm yy"))&amp;" "&amp;Milestones!$AB$67&amp;" "&amp;IF(AND(Milestones!$AB$67="FT",Milestones!$AA$67=FT_Y5,EDATE($D49,Milestones!$AA$67)&lt;PolicyEff),1,Milestones!$AC$67)&amp;";  ",""))</f>
        <v/>
      </c>
      <c r="M49" s="0" t="str">
        <f aca="false">IF(OR($A49="",$D49=""),"",IF(AND(EDATE($D49,Milestones!$AA$68)&lt;=AsOfDate,EDATE($D49,Milestones!$AA$68)&gt;=SchemeStart,IF($X49=0,$AD49,IF(AND($Z49&lt;&gt;"",EDATE($D49,Milestones!$AA$68)&gt;=$Z49),$AC49,IF(AND($Y49&lt;&gt;"",EDATE($D49,Milestones!$AA$68)&gt;=$Y49),$AB49,$AA49)))=Milestones!$AB$68),UPPER(TEXT(EDATE($D49,Milestones!$AA$68),"dd mmm yy"))&amp;" "&amp;Milestones!$AB$68&amp;" "&amp;IF(AND(Milestones!$AB$68="FT",Milestones!$AA$68=FT_Y5,EDATE($D49,Milestones!$AA$68)&lt;PolicyEff),1,Milestones!$AC$68)&amp;";  ","")&amp;IF(AND(EDATE($D49,Milestones!$AA$69)&lt;=AsOfDate,EDATE($D49,Milestones!$AA$69)&gt;=SchemeStart,IF($X49=0,$AD49,IF(AND($Z49&lt;&gt;"",EDATE($D49,Milestones!$AA$69)&gt;=$Z49),$AC49,IF(AND($Y49&lt;&gt;"",EDATE($D49,Milestones!$AA$69)&gt;=$Y49),$AB49,$AA49)))=Milestones!$AB$69),UPPER(TEXT(EDATE($D49,Milestones!$AA$69),"dd mmm yy"))&amp;" "&amp;Milestones!$AB$69&amp;" "&amp;IF(AND(Milestones!$AB$69="FT",Milestones!$AA$69=FT_Y5,EDATE($D49,Milestones!$AA$69)&lt;PolicyEff),1,Milestones!$AC$69)&amp;";  ","")&amp;IF(AND(EDATE($D49,Milestones!$AA$70)&lt;=AsOfDate,EDATE($D49,Milestones!$AA$70)&gt;=SchemeStart,IF($X49=0,$AD49,IF(AND($Z49&lt;&gt;"",EDATE($D49,Milestones!$AA$70)&gt;=$Z49),$AC49,IF(AND($Y49&lt;&gt;"",EDATE($D49,Milestones!$AA$70)&gt;=$Y49),$AB49,$AA49)))=Milestones!$AB$70),UPPER(TEXT(EDATE($D49,Milestones!$AA$70),"dd mmm yy"))&amp;" "&amp;Milestones!$AB$70&amp;" "&amp;IF(AND(Milestones!$AB$70="FT",Milestones!$AA$70=FT_Y5,EDATE($D49,Milestones!$AA$70)&lt;PolicyEff),1,Milestones!$AC$70)&amp;";  ","")&amp;IF(AND(EDATE($D49,Milestones!$AA$71)&lt;=AsOfDate,EDATE($D49,Milestones!$AA$71)&gt;=SchemeStart,IF($X49=0,$AD49,IF(AND($Z49&lt;&gt;"",EDATE($D49,Milestones!$AA$71)&gt;=$Z49),$AC49,IF(AND($Y49&lt;&gt;"",EDATE($D49,Milestones!$AA$71)&gt;=$Y49),$AB49,$AA49)))=Milestones!$AB$71),UPPER(TEXT(EDATE($D49,Milestones!$AA$71),"dd mmm yy"))&amp;" "&amp;Milestones!$AB$71&amp;" "&amp;IF(AND(Milestones!$AB$71="FT",Milestones!$AA$71=FT_Y5,EDATE($D49,Milestones!$AA$71)&lt;PolicyEff),1,Milestones!$AC$71)&amp;";  ","")&amp;IF(AND(EDATE($D49,Milestones!$AA$72)&lt;=AsOfDate,EDATE($D49,Milestones!$AA$72)&gt;=SchemeStart,IF($X49=0,$AD49,IF(AND($Z49&lt;&gt;"",EDATE($D49,Milestones!$AA$72)&gt;=$Z49),$AC49,IF(AND($Y49&lt;&gt;"",EDATE($D49,Milestones!$AA$72)&gt;=$Y49),$AB49,$AA49)))=Milestones!$AB$72),UPPER(TEXT(EDATE($D49,Milestones!$AA$72),"dd mmm yy"))&amp;" "&amp;Milestones!$AB$72&amp;" "&amp;IF(AND(Milestones!$AB$72="FT",Milestones!$AA$72=FT_Y5,EDATE($D49,Milestones!$AA$72)&lt;PolicyEff),1,Milestones!$AC$72)&amp;";  ","")&amp;IF(AND(EDATE($D49,Milestones!$AA$73)&lt;=AsOfDate,EDATE($D49,Milestones!$AA$73)&gt;=SchemeStart,IF($X49=0,$AD49,IF(AND($Z49&lt;&gt;"",EDATE($D49,Milestones!$AA$73)&gt;=$Z49),$AC49,IF(AND($Y49&lt;&gt;"",EDATE($D49,Milestones!$AA$73)&gt;=$Y49),$AB49,$AA49)))=Milestones!$AB$73),UPPER(TEXT(EDATE($D49,Milestones!$AA$73),"dd mmm yy"))&amp;" "&amp;Milestones!$AB$73&amp;" "&amp;IF(AND(Milestones!$AB$73="FT",Milestones!$AA$73=FT_Y5,EDATE($D49,Milestones!$AA$73)&lt;PolicyEff),1,Milestones!$AC$73)&amp;";  ","")&amp;IF(AND(EDATE($D49,Milestones!$AA$74)&lt;=AsOfDate,EDATE($D49,Milestones!$AA$74)&gt;=SchemeStart,IF($X49=0,$AD49,IF(AND($Z49&lt;&gt;"",EDATE($D49,Milestones!$AA$74)&gt;=$Z49),$AC49,IF(AND($Y49&lt;&gt;"",EDATE($D49,Milestones!$AA$74)&gt;=$Y49),$AB49,$AA49)))=Milestones!$AB$74),UPPER(TEXT(EDATE($D49,Milestones!$AA$74),"dd mmm yy"))&amp;" "&amp;Milestones!$AB$74&amp;" "&amp;IF(AND(Milestones!$AB$74="FT",Milestones!$AA$74=FT_Y5,EDATE($D49,Milestones!$AA$74)&lt;PolicyEff),1,Milestones!$AC$74)&amp;";  ","")&amp;IF(AND(EDATE($D49,Milestones!$AA$75)&lt;=AsOfDate,EDATE($D49,Milestones!$AA$75)&gt;=SchemeStart,IF($X49=0,$AD49,IF(AND($Z49&lt;&gt;"",EDATE($D49,Milestones!$AA$75)&gt;=$Z49),$AC49,IF(AND($Y49&lt;&gt;"",EDATE($D49,Milestones!$AA$75)&gt;=$Y49),$AB49,$AA49)))=Milestones!$AB$75),UPPER(TEXT(EDATE($D49,Milestones!$AA$75),"dd mmm yy"))&amp;" "&amp;Milestones!$AB$75&amp;" "&amp;IF(AND(Milestones!$AB$75="FT",Milestones!$AA$75=FT_Y5,EDATE($D49,Milestones!$AA$75)&lt;PolicyEff),1,Milestones!$AC$75)&amp;";  ","")&amp;IF(AND(EDATE($D49,Milestones!$AA$76)&lt;=AsOfDate,EDATE($D49,Milestones!$AA$76)&gt;=SchemeStart,IF($X49=0,$AD49,IF(AND($Z49&lt;&gt;"",EDATE($D49,Milestones!$AA$76)&gt;=$Z49),$AC49,IF(AND($Y49&lt;&gt;"",EDATE($D49,Milestones!$AA$76)&gt;=$Y49),$AB49,$AA49)))=Milestones!$AB$76),UPPER(TEXT(EDATE($D49,Milestones!$AA$76),"dd mmm yy"))&amp;" "&amp;Milestones!$AB$76&amp;" "&amp;IF(AND(Milestones!$AB$76="FT",Milestones!$AA$76=FT_Y5,EDATE($D49,Milestones!$AA$76)&lt;PolicyEff),1,Milestones!$AC$76)&amp;";  ","")&amp;IF(AND(EDATE($D49,Milestones!$AA$77)&lt;=AsOfDate,EDATE($D49,Milestones!$AA$77)&gt;=SchemeStart,IF($X49=0,$AD49,IF(AND($Z49&lt;&gt;"",EDATE($D49,Milestones!$AA$77)&gt;=$Z49),$AC49,IF(AND($Y49&lt;&gt;"",EDATE($D49,Milestones!$AA$77)&gt;=$Y49),$AB49,$AA49)))=Milestones!$AB$77),UPPER(TEXT(EDATE($D49,Milestones!$AA$77),"dd mmm yy"))&amp;" "&amp;Milestones!$AB$77&amp;" "&amp;IF(AND(Milestones!$AB$77="FT",Milestones!$AA$77=FT_Y5,EDATE($D49,Milestones!$AA$77)&lt;PolicyEff),1,Milestones!$AC$77)&amp;";  ","")&amp;IF(AND(EDATE($D49,Milestones!$AA$78)&lt;=AsOfDate,EDATE($D49,Milestones!$AA$78)&gt;=SchemeStart,IF($X49=0,$AD49,IF(AND($Z49&lt;&gt;"",EDATE($D49,Milestones!$AA$78)&gt;=$Z49),$AC49,IF(AND($Y49&lt;&gt;"",EDATE($D49,Milestones!$AA$78)&gt;=$Y49),$AB49,$AA49)))=Milestones!$AB$78),UPPER(TEXT(EDATE($D49,Milestones!$AA$78),"dd mmm yy"))&amp;" "&amp;Milestones!$AB$78&amp;" "&amp;IF(AND(Milestones!$AB$78="FT",Milestones!$AA$78=FT_Y5,EDATE($D49,Milestones!$AA$78)&lt;PolicyEff),1,Milestones!$AC$78)&amp;";  ","")&amp;IF(AND(EDATE($D49,Milestones!$AA$79)&lt;=AsOfDate,EDATE($D49,Milestones!$AA$79)&gt;=SchemeStart,IF($X49=0,$AD49,IF(AND($Z49&lt;&gt;"",EDATE($D49,Milestones!$AA$79)&gt;=$Z49),$AC49,IF(AND($Y49&lt;&gt;"",EDATE($D49,Milestones!$AA$79)&gt;=$Y49),$AB49,$AA49)))=Milestones!$AB$79),UPPER(TEXT(EDATE($D49,Milestones!$AA$79),"dd mmm yy"))&amp;" "&amp;Milestones!$AB$79&amp;" "&amp;IF(AND(Milestones!$AB$79="FT",Milestones!$AA$79=FT_Y5,EDATE($D49,Milestones!$AA$79)&lt;PolicyEff),1,Milestones!$AC$79)&amp;";  ",""))</f>
        <v/>
      </c>
      <c r="N49" s="0" t="str">
        <f aca="false">IF(OR($A49="",$D49=""),"",IF(AND(EDATE($D49,Milestones!$AA$80)&lt;=AsOfDate,EDATE($D49,Milestones!$AA$80)&gt;=SchemeStart,IF($X49=0,$AD49,IF(AND($Z49&lt;&gt;"",EDATE($D49,Milestones!$AA$80)&gt;=$Z49),$AC49,IF(AND($Y49&lt;&gt;"",EDATE($D49,Milestones!$AA$80)&gt;=$Y49),$AB49,$AA49)))=Milestones!$AB$80),UPPER(TEXT(EDATE($D49,Milestones!$AA$80),"dd mmm yy"))&amp;" "&amp;Milestones!$AB$80&amp;" "&amp;IF(AND(Milestones!$AB$80="FT",Milestones!$AA$80=FT_Y5,EDATE($D49,Milestones!$AA$80)&lt;PolicyEff),1,Milestones!$AC$80)&amp;";  ","")&amp;IF(AND(EDATE($D49,Milestones!$AA$81)&lt;=AsOfDate,EDATE($D49,Milestones!$AA$81)&gt;=SchemeStart,IF($X49=0,$AD49,IF(AND($Z49&lt;&gt;"",EDATE($D49,Milestones!$AA$81)&gt;=$Z49),$AC49,IF(AND($Y49&lt;&gt;"",EDATE($D49,Milestones!$AA$81)&gt;=$Y49),$AB49,$AA49)))=Milestones!$AB$81),UPPER(TEXT(EDATE($D49,Milestones!$AA$81),"dd mmm yy"))&amp;" "&amp;Milestones!$AB$81&amp;" "&amp;IF(AND(Milestones!$AB$81="FT",Milestones!$AA$81=FT_Y5,EDATE($D49,Milestones!$AA$81)&lt;PolicyEff),1,Milestones!$AC$81)&amp;";  ","")&amp;IF(AND(EDATE($D49,Milestones!$AA$82)&lt;=AsOfDate,EDATE($D49,Milestones!$AA$82)&gt;=SchemeStart,IF($X49=0,$AD49,IF(AND($Z49&lt;&gt;"",EDATE($D49,Milestones!$AA$82)&gt;=$Z49),$AC49,IF(AND($Y49&lt;&gt;"",EDATE($D49,Milestones!$AA$82)&gt;=$Y49),$AB49,$AA49)))=Milestones!$AB$82),UPPER(TEXT(EDATE($D49,Milestones!$AA$82),"dd mmm yy"))&amp;" "&amp;Milestones!$AB$82&amp;" "&amp;IF(AND(Milestones!$AB$82="FT",Milestones!$AA$82=FT_Y5,EDATE($D49,Milestones!$AA$82)&lt;PolicyEff),1,Milestones!$AC$82)&amp;";  ","")&amp;IF(AND(EDATE($D49,Milestones!$AA$83)&lt;=AsOfDate,EDATE($D49,Milestones!$AA$83)&gt;=SchemeStart,IF($X49=0,$AD49,IF(AND($Z49&lt;&gt;"",EDATE($D49,Milestones!$AA$83)&gt;=$Z49),$AC49,IF(AND($Y49&lt;&gt;"",EDATE($D49,Milestones!$AA$83)&gt;=$Y49),$AB49,$AA49)))=Milestones!$AB$83),UPPER(TEXT(EDATE($D49,Milestones!$AA$83),"dd mmm yy"))&amp;" "&amp;Milestones!$AB$83&amp;" "&amp;IF(AND(Milestones!$AB$83="FT",Milestones!$AA$83=FT_Y5,EDATE($D49,Milestones!$AA$83)&lt;PolicyEff),1,Milestones!$AC$83)&amp;";  ","")&amp;IF(AND(EDATE($D49,Milestones!$AA$84)&lt;=AsOfDate,EDATE($D49,Milestones!$AA$84)&gt;=SchemeStart,IF($X49=0,$AD49,IF(AND($Z49&lt;&gt;"",EDATE($D49,Milestones!$AA$84)&gt;=$Z49),$AC49,IF(AND($Y49&lt;&gt;"",EDATE($D49,Milestones!$AA$84)&gt;=$Y49),$AB49,$AA49)))=Milestones!$AB$84),UPPER(TEXT(EDATE($D49,Milestones!$AA$84),"dd mmm yy"))&amp;" "&amp;Milestones!$AB$84&amp;" "&amp;IF(AND(Milestones!$AB$84="FT",Milestones!$AA$84=FT_Y5,EDATE($D49,Milestones!$AA$84)&lt;PolicyEff),1,Milestones!$AC$84)&amp;";  ","")&amp;IF(AND(EDATE($D49,Milestones!$AA$85)&lt;=AsOfDate,EDATE($D49,Milestones!$AA$85)&gt;=SchemeStart,IF($X49=0,$AD49,IF(AND($Z49&lt;&gt;"",EDATE($D49,Milestones!$AA$85)&gt;=$Z49),$AC49,IF(AND($Y49&lt;&gt;"",EDATE($D49,Milestones!$AA$85)&gt;=$Y49),$AB49,$AA49)))=Milestones!$AB$85),UPPER(TEXT(EDATE($D49,Milestones!$AA$85),"dd mmm yy"))&amp;" "&amp;Milestones!$AB$85&amp;" "&amp;IF(AND(Milestones!$AB$85="FT",Milestones!$AA$85=FT_Y5,EDATE($D49,Milestones!$AA$85)&lt;PolicyEff),1,Milestones!$AC$85)&amp;";  ","")&amp;IF(AND(EDATE($D49,Milestones!$AA$86)&lt;=AsOfDate,EDATE($D49,Milestones!$AA$86)&gt;=SchemeStart,IF($X49=0,$AD49,IF(AND($Z49&lt;&gt;"",EDATE($D49,Milestones!$AA$86)&gt;=$Z49),$AC49,IF(AND($Y49&lt;&gt;"",EDATE($D49,Milestones!$AA$86)&gt;=$Y49),$AB49,$AA49)))=Milestones!$AB$86),UPPER(TEXT(EDATE($D49,Milestones!$AA$86),"dd mmm yy"))&amp;" "&amp;Milestones!$AB$86&amp;" "&amp;IF(AND(Milestones!$AB$86="FT",Milestones!$AA$86=FT_Y5,EDATE($D49,Milestones!$AA$86)&lt;PolicyEff),1,Milestones!$AC$86)&amp;";  ","")&amp;IF(AND(EDATE($D49,Milestones!$AA$87)&lt;=AsOfDate,EDATE($D49,Milestones!$AA$87)&gt;=SchemeStart,IF($X49=0,$AD49,IF(AND($Z49&lt;&gt;"",EDATE($D49,Milestones!$AA$87)&gt;=$Z49),$AC49,IF(AND($Y49&lt;&gt;"",EDATE($D49,Milestones!$AA$87)&gt;=$Y49),$AB49,$AA49)))=Milestones!$AB$87),UPPER(TEXT(EDATE($D49,Milestones!$AA$87),"dd mmm yy"))&amp;" "&amp;Milestones!$AB$87&amp;" "&amp;IF(AND(Milestones!$AB$87="FT",Milestones!$AA$87=FT_Y5,EDATE($D49,Milestones!$AA$87)&lt;PolicyEff),1,Milestones!$AC$87)&amp;";  ","")&amp;IF(AND(EDATE($D49,Milestones!$AA$88)&lt;=AsOfDate,EDATE($D49,Milestones!$AA$88)&gt;=SchemeStart,IF($X49=0,$AD49,IF(AND($Z49&lt;&gt;"",EDATE($D49,Milestones!$AA$88)&gt;=$Z49),$AC49,IF(AND($Y49&lt;&gt;"",EDATE($D49,Milestones!$AA$88)&gt;=$Y49),$AB49,$AA49)))=Milestones!$AB$88),UPPER(TEXT(EDATE($D49,Milestones!$AA$88),"dd mmm yy"))&amp;" "&amp;Milestones!$AB$88&amp;" "&amp;IF(AND(Milestones!$AB$88="FT",Milestones!$AA$88=FT_Y5,EDATE($D49,Milestones!$AA$88)&lt;PolicyEff),1,Milestones!$AC$88)&amp;";  ","")&amp;IF(AND(EDATE($D49,Milestones!$AA$89)&lt;=AsOfDate,EDATE($D49,Milestones!$AA$89)&gt;=SchemeStart,IF($X49=0,$AD49,IF(AND($Z49&lt;&gt;"",EDATE($D49,Milestones!$AA$89)&gt;=$Z49),$AC49,IF(AND($Y49&lt;&gt;"",EDATE($D49,Milestones!$AA$89)&gt;=$Y49),$AB49,$AA49)))=Milestones!$AB$89),UPPER(TEXT(EDATE($D49,Milestones!$AA$89),"dd mmm yy"))&amp;" "&amp;Milestones!$AB$89&amp;" "&amp;IF(AND(Milestones!$AB$89="FT",Milestones!$AA$89=FT_Y5,EDATE($D49,Milestones!$AA$89)&lt;PolicyEff),1,Milestones!$AC$89)&amp;";  ","")&amp;IF(AND(EDATE($D49,Milestones!$AA$90)&lt;=AsOfDate,EDATE($D49,Milestones!$AA$90)&gt;=SchemeStart,IF($X49=0,$AD49,IF(AND($Z49&lt;&gt;"",EDATE($D49,Milestones!$AA$90)&gt;=$Z49),$AC49,IF(AND($Y49&lt;&gt;"",EDATE($D49,Milestones!$AA$90)&gt;=$Y49),$AB49,$AA49)))=Milestones!$AB$90),UPPER(TEXT(EDATE($D49,Milestones!$AA$90),"dd mmm yy"))&amp;" "&amp;Milestones!$AB$90&amp;" "&amp;IF(AND(Milestones!$AB$90="FT",Milestones!$AA$90=FT_Y5,EDATE($D49,Milestones!$AA$90)&lt;PolicyEff),1,Milestones!$AC$90)&amp;";  ","")&amp;IF(AND(EDATE($D49,Milestones!$AA$91)&lt;=AsOfDate,EDATE($D49,Milestones!$AA$91)&gt;=SchemeStart,IF($X49=0,$AD49,IF(AND($Z49&lt;&gt;"",EDATE($D49,Milestones!$AA$91)&gt;=$Z49),$AC49,IF(AND($Y49&lt;&gt;"",EDATE($D49,Milestones!$AA$91)&gt;=$Y49),$AB49,$AA49)))=Milestones!$AB$91),UPPER(TEXT(EDATE($D49,Milestones!$AA$91),"dd mmm yy"))&amp;" "&amp;Milestones!$AB$91&amp;" "&amp;IF(AND(Milestones!$AB$91="FT",Milestones!$AA$91=FT_Y5,EDATE($D49,Milestones!$AA$91)&lt;PolicyEff),1,Milestones!$AC$91)&amp;";  ",""))</f>
        <v/>
      </c>
      <c r="O49" s="0" t="str">
        <f aca="false">IF(OR($A49="",$D49=""),"",IF(AND(EDATE($D49,Milestones!$AA$92)&lt;=AsOfDate,EDATE($D49,Milestones!$AA$92)&gt;=SchemeStart,IF($X49=0,$AD49,IF(AND($Z49&lt;&gt;"",EDATE($D49,Milestones!$AA$92)&gt;=$Z49),$AC49,IF(AND($Y49&lt;&gt;"",EDATE($D49,Milestones!$AA$92)&gt;=$Y49),$AB49,$AA49)))=Milestones!$AB$92),UPPER(TEXT(EDATE($D49,Milestones!$AA$92),"dd mmm yy"))&amp;" "&amp;Milestones!$AB$92&amp;" "&amp;IF(AND(Milestones!$AB$92="FT",Milestones!$AA$92=FT_Y5,EDATE($D49,Milestones!$AA$92)&lt;PolicyEff),1,Milestones!$AC$92)&amp;";  ","")&amp;IF(AND(EDATE($D49,Milestones!$AA$93)&lt;=AsOfDate,EDATE($D49,Milestones!$AA$93)&gt;=SchemeStart,IF($X49=0,$AD49,IF(AND($Z49&lt;&gt;"",EDATE($D49,Milestones!$AA$93)&gt;=$Z49),$AC49,IF(AND($Y49&lt;&gt;"",EDATE($D49,Milestones!$AA$93)&gt;=$Y49),$AB49,$AA49)))=Milestones!$AB$93),UPPER(TEXT(EDATE($D49,Milestones!$AA$93),"dd mmm yy"))&amp;" "&amp;Milestones!$AB$93&amp;" "&amp;IF(AND(Milestones!$AB$93="FT",Milestones!$AA$93=FT_Y5,EDATE($D49,Milestones!$AA$93)&lt;PolicyEff),1,Milestones!$AC$93)&amp;";  ","")&amp;IF(AND(EDATE($D49,Milestones!$AA$94)&lt;=AsOfDate,EDATE($D49,Milestones!$AA$94)&gt;=SchemeStart,IF($X49=0,$AD49,IF(AND($Z49&lt;&gt;"",EDATE($D49,Milestones!$AA$94)&gt;=$Z49),$AC49,IF(AND($Y49&lt;&gt;"",EDATE($D49,Milestones!$AA$94)&gt;=$Y49),$AB49,$AA49)))=Milestones!$AB$94),UPPER(TEXT(EDATE($D49,Milestones!$AA$94),"dd mmm yy"))&amp;" "&amp;Milestones!$AB$94&amp;" "&amp;IF(AND(Milestones!$AB$94="FT",Milestones!$AA$94=FT_Y5,EDATE($D49,Milestones!$AA$94)&lt;PolicyEff),1,Milestones!$AC$94)&amp;";  ","")&amp;IF(AND(EDATE($D49,Milestones!$AA$95)&lt;=AsOfDate,EDATE($D49,Milestones!$AA$95)&gt;=SchemeStart,IF($X49=0,$AD49,IF(AND($Z49&lt;&gt;"",EDATE($D49,Milestones!$AA$95)&gt;=$Z49),$AC49,IF(AND($Y49&lt;&gt;"",EDATE($D49,Milestones!$AA$95)&gt;=$Y49),$AB49,$AA49)))=Milestones!$AB$95),UPPER(TEXT(EDATE($D49,Milestones!$AA$95),"dd mmm yy"))&amp;" "&amp;Milestones!$AB$95&amp;" "&amp;IF(AND(Milestones!$AB$95="FT",Milestones!$AA$95=FT_Y5,EDATE($D49,Milestones!$AA$95)&lt;PolicyEff),1,Milestones!$AC$95)&amp;";  ","")&amp;IF(AND(EDATE($D49,Milestones!$AA$96)&lt;=AsOfDate,EDATE($D49,Milestones!$AA$96)&gt;=SchemeStart,IF($X49=0,$AD49,IF(AND($Z49&lt;&gt;"",EDATE($D49,Milestones!$AA$96)&gt;=$Z49),$AC49,IF(AND($Y49&lt;&gt;"",EDATE($D49,Milestones!$AA$96)&gt;=$Y49),$AB49,$AA49)))=Milestones!$AB$96),UPPER(TEXT(EDATE($D49,Milestones!$AA$96),"dd mmm yy"))&amp;" "&amp;Milestones!$AB$96&amp;" "&amp;IF(AND(Milestones!$AB$96="FT",Milestones!$AA$96=FT_Y5,EDATE($D49,Milestones!$AA$96)&lt;PolicyEff),1,Milestones!$AC$96)&amp;";  ","")&amp;IF(AND(EDATE($D49,Milestones!$AA$97)&lt;=AsOfDate,EDATE($D49,Milestones!$AA$97)&gt;=SchemeStart,IF($X49=0,$AD49,IF(AND($Z49&lt;&gt;"",EDATE($D49,Milestones!$AA$97)&gt;=$Z49),$AC49,IF(AND($Y49&lt;&gt;"",EDATE($D49,Milestones!$AA$97)&gt;=$Y49),$AB49,$AA49)))=Milestones!$AB$97),UPPER(TEXT(EDATE($D49,Milestones!$AA$97),"dd mmm yy"))&amp;" "&amp;Milestones!$AB$97&amp;" "&amp;IF(AND(Milestones!$AB$97="FT",Milestones!$AA$97=FT_Y5,EDATE($D49,Milestones!$AA$97)&lt;PolicyEff),1,Milestones!$AC$97)&amp;";  ","")&amp;IF(AND(EDATE($D49,Milestones!$AA$98)&lt;=AsOfDate,EDATE($D49,Milestones!$AA$98)&gt;=SchemeStart,IF($X49=0,$AD49,IF(AND($Z49&lt;&gt;"",EDATE($D49,Milestones!$AA$98)&gt;=$Z49),$AC49,IF(AND($Y49&lt;&gt;"",EDATE($D49,Milestones!$AA$98)&gt;=$Y49),$AB49,$AA49)))=Milestones!$AB$98),UPPER(TEXT(EDATE($D49,Milestones!$AA$98),"dd mmm yy"))&amp;" "&amp;Milestones!$AB$98&amp;" "&amp;IF(AND(Milestones!$AB$98="FT",Milestones!$AA$98=FT_Y5,EDATE($D49,Milestones!$AA$98)&lt;PolicyEff),1,Milestones!$AC$98)&amp;";  ","")&amp;IF(AND(EDATE($D49,Milestones!$AA$99)&lt;=AsOfDate,EDATE($D49,Milestones!$AA$99)&gt;=SchemeStart,IF($X49=0,$AD49,IF(AND($Z49&lt;&gt;"",EDATE($D49,Milestones!$AA$99)&gt;=$Z49),$AC49,IF(AND($Y49&lt;&gt;"",EDATE($D49,Milestones!$AA$99)&gt;=$Y49),$AB49,$AA49)))=Milestones!$AB$99),UPPER(TEXT(EDATE($D49,Milestones!$AA$99),"dd mmm yy"))&amp;" "&amp;Milestones!$AB$99&amp;" "&amp;IF(AND(Milestones!$AB$99="FT",Milestones!$AA$99=FT_Y5,EDATE($D49,Milestones!$AA$99)&lt;PolicyEff),1,Milestones!$AC$99)&amp;";  ","")&amp;IF(AND(EDATE($D49,Milestones!$AA$100)&lt;=AsOfDate,EDATE($D49,Milestones!$AA$100)&gt;=SchemeStart,IF($X49=0,$AD49,IF(AND($Z49&lt;&gt;"",EDATE($D49,Milestones!$AA$100)&gt;=$Z49),$AC49,IF(AND($Y49&lt;&gt;"",EDATE($D49,Milestones!$AA$100)&gt;=$Y49),$AB49,$AA49)))=Milestones!$AB$100),UPPER(TEXT(EDATE($D49,Milestones!$AA$100),"dd mmm yy"))&amp;" "&amp;Milestones!$AB$100&amp;" "&amp;IF(AND(Milestones!$AB$100="FT",Milestones!$AA$100=FT_Y5,EDATE($D49,Milestones!$AA$100)&lt;PolicyEff),1,Milestones!$AC$100)&amp;";  ","")&amp;IF(AND(EDATE($D49,Milestones!$AA$101)&lt;=AsOfDate,EDATE($D49,Milestones!$AA$101)&gt;=SchemeStart,IF($X49=0,$AD49,IF(AND($Z49&lt;&gt;"",EDATE($D49,Milestones!$AA$101)&gt;=$Z49),$AC49,IF(AND($Y49&lt;&gt;"",EDATE($D49,Milestones!$AA$101)&gt;=$Y49),$AB49,$AA49)))=Milestones!$AB$101),UPPER(TEXT(EDATE($D49,Milestones!$AA$101),"dd mmm yy"))&amp;" "&amp;Milestones!$AB$101&amp;" "&amp;IF(AND(Milestones!$AB$101="FT",Milestones!$AA$101=FT_Y5,EDATE($D49,Milestones!$AA$101)&lt;PolicyEff),1,Milestones!$AC$101)&amp;";  ","")&amp;IF(AND(EDATE($D49,Milestones!$AA$102)&lt;=AsOfDate,EDATE($D49,Milestones!$AA$102)&gt;=SchemeStart,IF($X49=0,$AD49,IF(AND($Z49&lt;&gt;"",EDATE($D49,Milestones!$AA$102)&gt;=$Z49),$AC49,IF(AND($Y49&lt;&gt;"",EDATE($D49,Milestones!$AA$102)&gt;=$Y49),$AB49,$AA49)))=Milestones!$AB$102),UPPER(TEXT(EDATE($D49,Milestones!$AA$102),"dd mmm yy"))&amp;" "&amp;Milestones!$AB$102&amp;" "&amp;IF(AND(Milestones!$AB$102="FT",Milestones!$AA$102=FT_Y5,EDATE($D49,Milestones!$AA$102)&lt;PolicyEff),1,Milestones!$AC$102)&amp;";  ","")&amp;IF(AND(EDATE($D49,Milestones!$AA$103)&lt;=AsOfDate,EDATE($D49,Milestones!$AA$103)&gt;=SchemeStart,IF($X49=0,$AD49,IF(AND($Z49&lt;&gt;"",EDATE($D49,Milestones!$AA$103)&gt;=$Z49),$AC49,IF(AND($Y49&lt;&gt;"",EDATE($D49,Milestones!$AA$103)&gt;=$Y49),$AB49,$AA49)))=Milestones!$AB$103),UPPER(TEXT(EDATE($D49,Milestones!$AA$103),"dd mmm yy"))&amp;" "&amp;Milestones!$AB$103&amp;" "&amp;IF(AND(Milestones!$AB$103="FT",Milestones!$AA$103=FT_Y5,EDATE($D49,Milestones!$AA$103)&lt;PolicyEff),1,Milestones!$AC$103)&amp;";  ",""))</f>
        <v/>
      </c>
      <c r="P49" s="0" t="str">
        <f aca="false">IF(OR($A49="",$D49=""),"",IF(AND(EDATE($D49,Milestones!$AA$104)&lt;=AsOfDate,EDATE($D49,Milestones!$AA$104)&gt;=SchemeStart,IF($X49=0,$AD49,IF(AND($Z49&lt;&gt;"",EDATE($D49,Milestones!$AA$104)&gt;=$Z49),$AC49,IF(AND($Y49&lt;&gt;"",EDATE($D49,Milestones!$AA$104)&gt;=$Y49),$AB49,$AA49)))=Milestones!$AB$104),UPPER(TEXT(EDATE($D49,Milestones!$AA$104),"dd mmm yy"))&amp;" "&amp;Milestones!$AB$104&amp;" "&amp;IF(AND(Milestones!$AB$104="FT",Milestones!$AA$104=FT_Y5,EDATE($D49,Milestones!$AA$104)&lt;PolicyEff),1,Milestones!$AC$104)&amp;";  ","")&amp;IF(AND(EDATE($D49,Milestones!$AA$105)&lt;=AsOfDate,EDATE($D49,Milestones!$AA$105)&gt;=SchemeStart,IF($X49=0,$AD49,IF(AND($Z49&lt;&gt;"",EDATE($D49,Milestones!$AA$105)&gt;=$Z49),$AC49,IF(AND($Y49&lt;&gt;"",EDATE($D49,Milestones!$AA$105)&gt;=$Y49),$AB49,$AA49)))=Milestones!$AB$105),UPPER(TEXT(EDATE($D49,Milestones!$AA$105),"dd mmm yy"))&amp;" "&amp;Milestones!$AB$105&amp;" "&amp;IF(AND(Milestones!$AB$105="FT",Milestones!$AA$105=FT_Y5,EDATE($D49,Milestones!$AA$105)&lt;PolicyEff),1,Milestones!$AC$105)&amp;";  ","")&amp;IF(AND(EDATE($D49,Milestones!$AA$106)&lt;=AsOfDate,EDATE($D49,Milestones!$AA$106)&gt;=SchemeStart,IF($X49=0,$AD49,IF(AND($Z49&lt;&gt;"",EDATE($D49,Milestones!$AA$106)&gt;=$Z49),$AC49,IF(AND($Y49&lt;&gt;"",EDATE($D49,Milestones!$AA$106)&gt;=$Y49),$AB49,$AA49)))=Milestones!$AB$106),UPPER(TEXT(EDATE($D49,Milestones!$AA$106),"dd mmm yy"))&amp;" "&amp;Milestones!$AB$106&amp;" "&amp;IF(AND(Milestones!$AB$106="FT",Milestones!$AA$106=FT_Y5,EDATE($D49,Milestones!$AA$106)&lt;PolicyEff),1,Milestones!$AC$106)&amp;";  ","")&amp;IF(AND(EDATE($D49,Milestones!$AA$107)&lt;=AsOfDate,EDATE($D49,Milestones!$AA$107)&gt;=SchemeStart,IF($X49=0,$AD49,IF(AND($Z49&lt;&gt;"",EDATE($D49,Milestones!$AA$107)&gt;=$Z49),$AC49,IF(AND($Y49&lt;&gt;"",EDATE($D49,Milestones!$AA$107)&gt;=$Y49),$AB49,$AA49)))=Milestones!$AB$107),UPPER(TEXT(EDATE($D49,Milestones!$AA$107),"dd mmm yy"))&amp;" "&amp;Milestones!$AB$107&amp;" "&amp;IF(AND(Milestones!$AB$107="FT",Milestones!$AA$107=FT_Y5,EDATE($D49,Milestones!$AA$107)&lt;PolicyEff),1,Milestones!$AC$107)&amp;";  ","")&amp;IF(AND(EDATE($D49,Milestones!$AA$108)&lt;=AsOfDate,EDATE($D49,Milestones!$AA$108)&gt;=SchemeStart,IF($X49=0,$AD49,IF(AND($Z49&lt;&gt;"",EDATE($D49,Milestones!$AA$108)&gt;=$Z49),$AC49,IF(AND($Y49&lt;&gt;"",EDATE($D49,Milestones!$AA$108)&gt;=$Y49),$AB49,$AA49)))=Milestones!$AB$108),UPPER(TEXT(EDATE($D49,Milestones!$AA$108),"dd mmm yy"))&amp;" "&amp;Milestones!$AB$108&amp;" "&amp;IF(AND(Milestones!$AB$108="FT",Milestones!$AA$108=FT_Y5,EDATE($D49,Milestones!$AA$108)&lt;PolicyEff),1,Milestones!$AC$108)&amp;";  ","")&amp;IF(AND(EDATE($D49,Milestones!$AA$109)&lt;=AsOfDate,EDATE($D49,Milestones!$AA$109)&gt;=SchemeStart,IF($X49=0,$AD49,IF(AND($Z49&lt;&gt;"",EDATE($D49,Milestones!$AA$109)&gt;=$Z49),$AC49,IF(AND($Y49&lt;&gt;"",EDATE($D49,Milestones!$AA$109)&gt;=$Y49),$AB49,$AA49)))=Milestones!$AB$109),UPPER(TEXT(EDATE($D49,Milestones!$AA$109),"dd mmm yy"))&amp;" "&amp;Milestones!$AB$109&amp;" "&amp;IF(AND(Milestones!$AB$109="FT",Milestones!$AA$109=FT_Y5,EDATE($D49,Milestones!$AA$109)&lt;PolicyEff),1,Milestones!$AC$109)&amp;";  ","")&amp;IF(AND(EDATE($D49,Milestones!$AA$110)&lt;=AsOfDate,EDATE($D49,Milestones!$AA$110)&gt;=SchemeStart,IF($X49=0,$AD49,IF(AND($Z49&lt;&gt;"",EDATE($D49,Milestones!$AA$110)&gt;=$Z49),$AC49,IF(AND($Y49&lt;&gt;"",EDATE($D49,Milestones!$AA$110)&gt;=$Y49),$AB49,$AA49)))=Milestones!$AB$110),UPPER(TEXT(EDATE($D49,Milestones!$AA$110),"dd mmm yy"))&amp;" "&amp;Milestones!$AB$110&amp;" "&amp;IF(AND(Milestones!$AB$110="FT",Milestones!$AA$110=FT_Y5,EDATE($D49,Milestones!$AA$110)&lt;PolicyEff),1,Milestones!$AC$110)&amp;";  ","")&amp;IF(AND(EDATE($D49,Milestones!$AA$111)&lt;=AsOfDate,EDATE($D49,Milestones!$AA$111)&gt;=SchemeStart,IF($X49=0,$AD49,IF(AND($Z49&lt;&gt;"",EDATE($D49,Milestones!$AA$111)&gt;=$Z49),$AC49,IF(AND($Y49&lt;&gt;"",EDATE($D49,Milestones!$AA$111)&gt;=$Y49),$AB49,$AA49)))=Milestones!$AB$111),UPPER(TEXT(EDATE($D49,Milestones!$AA$111),"dd mmm yy"))&amp;" "&amp;Milestones!$AB$111&amp;" "&amp;IF(AND(Milestones!$AB$111="FT",Milestones!$AA$111=FT_Y5,EDATE($D49,Milestones!$AA$111)&lt;PolicyEff),1,Milestones!$AC$111)&amp;";  ","")&amp;IF(AND(EDATE($D49,Milestones!$AA$112)&lt;=AsOfDate,EDATE($D49,Milestones!$AA$112)&gt;=SchemeStart,IF($X49=0,$AD49,IF(AND($Z49&lt;&gt;"",EDATE($D49,Milestones!$AA$112)&gt;=$Z49),$AC49,IF(AND($Y49&lt;&gt;"",EDATE($D49,Milestones!$AA$112)&gt;=$Y49),$AB49,$AA49)))=Milestones!$AB$112),UPPER(TEXT(EDATE($D49,Milestones!$AA$112),"dd mmm yy"))&amp;" "&amp;Milestones!$AB$112&amp;" "&amp;IF(AND(Milestones!$AB$112="FT",Milestones!$AA$112=FT_Y5,EDATE($D49,Milestones!$AA$112)&lt;PolicyEff),1,Milestones!$AC$112)&amp;";  ","")&amp;IF(AND(EDATE($D49,Milestones!$AA$113)&lt;=AsOfDate,EDATE($D49,Milestones!$AA$113)&gt;=SchemeStart,IF($X49=0,$AD49,IF(AND($Z49&lt;&gt;"",EDATE($D49,Milestones!$AA$113)&gt;=$Z49),$AC49,IF(AND($Y49&lt;&gt;"",EDATE($D49,Milestones!$AA$113)&gt;=$Y49),$AB49,$AA49)))=Milestones!$AB$113),UPPER(TEXT(EDATE($D49,Milestones!$AA$113),"dd mmm yy"))&amp;" "&amp;Milestones!$AB$113&amp;" "&amp;IF(AND(Milestones!$AB$113="FT",Milestones!$AA$113=FT_Y5,EDATE($D49,Milestones!$AA$113)&lt;PolicyEff),1,Milestones!$AC$113)&amp;";  ","")&amp;IF(AND(EDATE($D49,Milestones!$AA$114)&lt;=AsOfDate,EDATE($D49,Milestones!$AA$114)&gt;=SchemeStart,IF($X49=0,$AD49,IF(AND($Z49&lt;&gt;"",EDATE($D49,Milestones!$AA$114)&gt;=$Z49),$AC49,IF(AND($Y49&lt;&gt;"",EDATE($D49,Milestones!$AA$114)&gt;=$Y49),$AB49,$AA49)))=Milestones!$AB$114),UPPER(TEXT(EDATE($D49,Milestones!$AA$114),"dd mmm yy"))&amp;" "&amp;Milestones!$AB$114&amp;" "&amp;IF(AND(Milestones!$AB$114="FT",Milestones!$AA$114=FT_Y5,EDATE($D49,Milestones!$AA$114)&lt;PolicyEff),1,Milestones!$AC$114)&amp;";  ","")&amp;IF(AND(EDATE($D49,Milestones!$AA$115)&lt;=AsOfDate,EDATE($D49,Milestones!$AA$115)&gt;=SchemeStart,IF($X49=0,$AD49,IF(AND($Z49&lt;&gt;"",EDATE($D49,Milestones!$AA$115)&gt;=$Z49),$AC49,IF(AND($Y49&lt;&gt;"",EDATE($D49,Milestones!$AA$115)&gt;=$Y49),$AB49,$AA49)))=Milestones!$AB$115),UPPER(TEXT(EDATE($D49,Milestones!$AA$115),"dd mmm yy"))&amp;" "&amp;Milestones!$AB$115&amp;" "&amp;IF(AND(Milestones!$AB$115="FT",Milestones!$AA$115=FT_Y5,EDATE($D49,Milestones!$AA$115)&lt;PolicyEff),1,Milestones!$AC$115)&amp;";  ",""))</f>
        <v/>
      </c>
      <c r="Q49" s="0" t="str">
        <f aca="false">IF(OR($A49="",$D49=""),"",IF(AND(EDATE($D49,Milestones!$AA$116)&lt;=AsOfDate,EDATE($D49,Milestones!$AA$116)&gt;=SchemeStart,IF($X49=0,$AD49,IF(AND($Z49&lt;&gt;"",EDATE($D49,Milestones!$AA$116)&gt;=$Z49),$AC49,IF(AND($Y49&lt;&gt;"",EDATE($D49,Milestones!$AA$116)&gt;=$Y49),$AB49,$AA49)))=Milestones!$AB$116),UPPER(TEXT(EDATE($D49,Milestones!$AA$116),"dd mmm yy"))&amp;" "&amp;Milestones!$AB$116&amp;" "&amp;IF(AND(Milestones!$AB$116="FT",Milestones!$AA$116=FT_Y5,EDATE($D49,Milestones!$AA$116)&lt;PolicyEff),1,Milestones!$AC$116)&amp;";  ","")&amp;IF(AND(EDATE($D49,Milestones!$AA$117)&lt;=AsOfDate,EDATE($D49,Milestones!$AA$117)&gt;=SchemeStart,IF($X49=0,$AD49,IF(AND($Z49&lt;&gt;"",EDATE($D49,Milestones!$AA$117)&gt;=$Z49),$AC49,IF(AND($Y49&lt;&gt;"",EDATE($D49,Milestones!$AA$117)&gt;=$Y49),$AB49,$AA49)))=Milestones!$AB$117),UPPER(TEXT(EDATE($D49,Milestones!$AA$117),"dd mmm yy"))&amp;" "&amp;Milestones!$AB$117&amp;" "&amp;IF(AND(Milestones!$AB$117="FT",Milestones!$AA$117=FT_Y5,EDATE($D49,Milestones!$AA$117)&lt;PolicyEff),1,Milestones!$AC$117)&amp;";  ","")&amp;IF(AND(EDATE($D49,Milestones!$AA$118)&lt;=AsOfDate,EDATE($D49,Milestones!$AA$118)&gt;=SchemeStart,IF($X49=0,$AD49,IF(AND($Z49&lt;&gt;"",EDATE($D49,Milestones!$AA$118)&gt;=$Z49),$AC49,IF(AND($Y49&lt;&gt;"",EDATE($D49,Milestones!$AA$118)&gt;=$Y49),$AB49,$AA49)))=Milestones!$AB$118),UPPER(TEXT(EDATE($D49,Milestones!$AA$118),"dd mmm yy"))&amp;" "&amp;Milestones!$AB$118&amp;" "&amp;IF(AND(Milestones!$AB$118="FT",Milestones!$AA$118=FT_Y5,EDATE($D49,Milestones!$AA$118)&lt;PolicyEff),1,Milestones!$AC$118)&amp;";  ","")&amp;IF(AND(EDATE($D49,Milestones!$AA$119)&lt;=AsOfDate,EDATE($D49,Milestones!$AA$119)&gt;=SchemeStart,IF($X49=0,$AD49,IF(AND($Z49&lt;&gt;"",EDATE($D49,Milestones!$AA$119)&gt;=$Z49),$AC49,IF(AND($Y49&lt;&gt;"",EDATE($D49,Milestones!$AA$119)&gt;=$Y49),$AB49,$AA49)))=Milestones!$AB$119),UPPER(TEXT(EDATE($D49,Milestones!$AA$119),"dd mmm yy"))&amp;" "&amp;Milestones!$AB$119&amp;" "&amp;IF(AND(Milestones!$AB$119="FT",Milestones!$AA$119=FT_Y5,EDATE($D49,Milestones!$AA$119)&lt;PolicyEff),1,Milestones!$AC$119)&amp;";  ","")&amp;IF(AND(EDATE($D49,Milestones!$AA$120)&lt;=AsOfDate,EDATE($D49,Milestones!$AA$120)&gt;=SchemeStart,IF($X49=0,$AD49,IF(AND($Z49&lt;&gt;"",EDATE($D49,Milestones!$AA$120)&gt;=$Z49),$AC49,IF(AND($Y49&lt;&gt;"",EDATE($D49,Milestones!$AA$120)&gt;=$Y49),$AB49,$AA49)))=Milestones!$AB$120),UPPER(TEXT(EDATE($D49,Milestones!$AA$120),"dd mmm yy"))&amp;" "&amp;Milestones!$AB$120&amp;" "&amp;IF(AND(Milestones!$AB$120="FT",Milestones!$AA$120=FT_Y5,EDATE($D49,Milestones!$AA$120)&lt;PolicyEff),1,Milestones!$AC$120)&amp;";  ","")&amp;IF(AND(EDATE($D49,Milestones!$AA$121)&lt;=AsOfDate,EDATE($D49,Milestones!$AA$121)&gt;=SchemeStart,IF($X49=0,$AD49,IF(AND($Z49&lt;&gt;"",EDATE($D49,Milestones!$AA$121)&gt;=$Z49),$AC49,IF(AND($Y49&lt;&gt;"",EDATE($D49,Milestones!$AA$121)&gt;=$Y49),$AB49,$AA49)))=Milestones!$AB$121),UPPER(TEXT(EDATE($D49,Milestones!$AA$121),"dd mmm yy"))&amp;" "&amp;Milestones!$AB$121&amp;" "&amp;IF(AND(Milestones!$AB$121="FT",Milestones!$AA$121=FT_Y5,EDATE($D49,Milestones!$AA$121)&lt;PolicyEff),1,Milestones!$AC$121)&amp;";  ","")&amp;IF(AND(EDATE($D49,Milestones!$AA$122)&lt;=AsOfDate,EDATE($D49,Milestones!$AA$122)&gt;=SchemeStart,IF($X49=0,$AD49,IF(AND($Z49&lt;&gt;"",EDATE($D49,Milestones!$AA$122)&gt;=$Z49),$AC49,IF(AND($Y49&lt;&gt;"",EDATE($D49,Milestones!$AA$122)&gt;=$Y49),$AB49,$AA49)))=Milestones!$AB$122),UPPER(TEXT(EDATE($D49,Milestones!$AA$122),"dd mmm yy"))&amp;" "&amp;Milestones!$AB$122&amp;" "&amp;IF(AND(Milestones!$AB$122="FT",Milestones!$AA$122=FT_Y5,EDATE($D49,Milestones!$AA$122)&lt;PolicyEff),1,Milestones!$AC$122)&amp;";  ","")&amp;IF(AND(EDATE($D49,Milestones!$AA$123)&lt;=AsOfDate,EDATE($D49,Milestones!$AA$123)&gt;=SchemeStart,IF($X49=0,$AD49,IF(AND($Z49&lt;&gt;"",EDATE($D49,Milestones!$AA$123)&gt;=$Z49),$AC49,IF(AND($Y49&lt;&gt;"",EDATE($D49,Milestones!$AA$123)&gt;=$Y49),$AB49,$AA49)))=Milestones!$AB$123),UPPER(TEXT(EDATE($D49,Milestones!$AA$123),"dd mmm yy"))&amp;" "&amp;Milestones!$AB$123&amp;" "&amp;IF(AND(Milestones!$AB$123="FT",Milestones!$AA$123=FT_Y5,EDATE($D49,Milestones!$AA$123)&lt;PolicyEff),1,Milestones!$AC$123)&amp;";  ","")&amp;IF(AND(EDATE($D49,Milestones!$AA$124)&lt;=AsOfDate,EDATE($D49,Milestones!$AA$124)&gt;=SchemeStart,IF($X49=0,$AD49,IF(AND($Z49&lt;&gt;"",EDATE($D49,Milestones!$AA$124)&gt;=$Z49),$AC49,IF(AND($Y49&lt;&gt;"",EDATE($D49,Milestones!$AA$124)&gt;=$Y49),$AB49,$AA49)))=Milestones!$AB$124),UPPER(TEXT(EDATE($D49,Milestones!$AA$124),"dd mmm yy"))&amp;" "&amp;Milestones!$AB$124&amp;" "&amp;IF(AND(Milestones!$AB$124="FT",Milestones!$AA$124=FT_Y5,EDATE($D49,Milestones!$AA$124)&lt;PolicyEff),1,Milestones!$AC$124)&amp;";  ","")&amp;IF(AND(EDATE($D49,Milestones!$AA$125)&lt;=AsOfDate,EDATE($D49,Milestones!$AA$125)&gt;=SchemeStart,IF($X49=0,$AD49,IF(AND($Z49&lt;&gt;"",EDATE($D49,Milestones!$AA$125)&gt;=$Z49),$AC49,IF(AND($Y49&lt;&gt;"",EDATE($D49,Milestones!$AA$125)&gt;=$Y49),$AB49,$AA49)))=Milestones!$AB$125),UPPER(TEXT(EDATE($D49,Milestones!$AA$125),"dd mmm yy"))&amp;" "&amp;Milestones!$AB$125&amp;" "&amp;IF(AND(Milestones!$AB$125="FT",Milestones!$AA$125=FT_Y5,EDATE($D49,Milestones!$AA$125)&lt;PolicyEff),1,Milestones!$AC$125)&amp;";  ","")&amp;IF(AND(EDATE($D49,Milestones!$AA$126)&lt;=AsOfDate,EDATE($D49,Milestones!$AA$126)&gt;=SchemeStart,IF($X49=0,$AD49,IF(AND($Z49&lt;&gt;"",EDATE($D49,Milestones!$AA$126)&gt;=$Z49),$AC49,IF(AND($Y49&lt;&gt;"",EDATE($D49,Milestones!$AA$126)&gt;=$Y49),$AB49,$AA49)))=Milestones!$AB$126),UPPER(TEXT(EDATE($D49,Milestones!$AA$126),"dd mmm yy"))&amp;" "&amp;Milestones!$AB$126&amp;" "&amp;IF(AND(Milestones!$AB$126="FT",Milestones!$AA$126=FT_Y5,EDATE($D49,Milestones!$AA$126)&lt;PolicyEff),1,Milestones!$AC$126)&amp;";  ","")&amp;IF(AND(EDATE($D49,Milestones!$AA$127)&lt;=AsOfDate,EDATE($D49,Milestones!$AA$127)&gt;=SchemeStart,IF($X49=0,$AD49,IF(AND($Z49&lt;&gt;"",EDATE($D49,Milestones!$AA$127)&gt;=$Z49),$AC49,IF(AND($Y49&lt;&gt;"",EDATE($D49,Milestones!$AA$127)&gt;=$Y49),$AB49,$AA49)))=Milestones!$AB$127),UPPER(TEXT(EDATE($D49,Milestones!$AA$127),"dd mmm yy"))&amp;" "&amp;Milestones!$AB$127&amp;" "&amp;IF(AND(Milestones!$AB$127="FT",Milestones!$AA$127=FT_Y5,EDATE($D49,Milestones!$AA$127)&lt;PolicyEff),1,Milestones!$AC$127)&amp;";  ",""))</f>
        <v/>
      </c>
      <c r="R49" s="0" t="str">
        <f aca="false">IF(OR($A49="",$D49=""),"",IF(AND(EDATE($D49,Milestones!$AA$128)&lt;=AsOfDate,EDATE($D49,Milestones!$AA$128)&gt;=SchemeStart,IF($X49=0,$AD49,IF(AND($Z49&lt;&gt;"",EDATE($D49,Milestones!$AA$128)&gt;=$Z49),$AC49,IF(AND($Y49&lt;&gt;"",EDATE($D49,Milestones!$AA$128)&gt;=$Y49),$AB49,$AA49)))=Milestones!$AB$128),UPPER(TEXT(EDATE($D49,Milestones!$AA$128),"dd mmm yy"))&amp;" "&amp;Milestones!$AB$128&amp;" "&amp;IF(AND(Milestones!$AB$128="FT",Milestones!$AA$128=FT_Y5,EDATE($D49,Milestones!$AA$128)&lt;PolicyEff),1,Milestones!$AC$128)&amp;";  ","")&amp;IF(AND(EDATE($D49,Milestones!$AA$129)&lt;=AsOfDate,EDATE($D49,Milestones!$AA$129)&gt;=SchemeStart,IF($X49=0,$AD49,IF(AND($Z49&lt;&gt;"",EDATE($D49,Milestones!$AA$129)&gt;=$Z49),$AC49,IF(AND($Y49&lt;&gt;"",EDATE($D49,Milestones!$AA$129)&gt;=$Y49),$AB49,$AA49)))=Milestones!$AB$129),UPPER(TEXT(EDATE($D49,Milestones!$AA$129),"dd mmm yy"))&amp;" "&amp;Milestones!$AB$129&amp;" "&amp;IF(AND(Milestones!$AB$129="FT",Milestones!$AA$129=FT_Y5,EDATE($D49,Milestones!$AA$129)&lt;PolicyEff),1,Milestones!$AC$129)&amp;";  ","")&amp;IF(AND(EDATE($D49,Milestones!$AA$130)&lt;=AsOfDate,EDATE($D49,Milestones!$AA$130)&gt;=SchemeStart,IF($X49=0,$AD49,IF(AND($Z49&lt;&gt;"",EDATE($D49,Milestones!$AA$130)&gt;=$Z49),$AC49,IF(AND($Y49&lt;&gt;"",EDATE($D49,Milestones!$AA$130)&gt;=$Y49),$AB49,$AA49)))=Milestones!$AB$130),UPPER(TEXT(EDATE($D49,Milestones!$AA$130),"dd mmm yy"))&amp;" "&amp;Milestones!$AB$130&amp;" "&amp;IF(AND(Milestones!$AB$130="FT",Milestones!$AA$130=FT_Y5,EDATE($D49,Milestones!$AA$130)&lt;PolicyEff),1,Milestones!$AC$130)&amp;";  ","")&amp;IF(AND(EDATE($D49,Milestones!$AA$131)&lt;=AsOfDate,EDATE($D49,Milestones!$AA$131)&gt;=SchemeStart,IF($X49=0,$AD49,IF(AND($Z49&lt;&gt;"",EDATE($D49,Milestones!$AA$131)&gt;=$Z49),$AC49,IF(AND($Y49&lt;&gt;"",EDATE($D49,Milestones!$AA$131)&gt;=$Y49),$AB49,$AA49)))=Milestones!$AB$131),UPPER(TEXT(EDATE($D49,Milestones!$AA$131),"dd mmm yy"))&amp;" "&amp;Milestones!$AB$131&amp;" "&amp;IF(AND(Milestones!$AB$131="FT",Milestones!$AA$131=FT_Y5,EDATE($D49,Milestones!$AA$131)&lt;PolicyEff),1,Milestones!$AC$131)&amp;";  ","")&amp;IF(AND(EDATE($D49,Milestones!$AA$132)&lt;=AsOfDate,EDATE($D49,Milestones!$AA$132)&gt;=SchemeStart,IF($X49=0,$AD49,IF(AND($Z49&lt;&gt;"",EDATE($D49,Milestones!$AA$132)&gt;=$Z49),$AC49,IF(AND($Y49&lt;&gt;"",EDATE($D49,Milestones!$AA$132)&gt;=$Y49),$AB49,$AA49)))=Milestones!$AB$132),UPPER(TEXT(EDATE($D49,Milestones!$AA$132),"dd mmm yy"))&amp;" "&amp;Milestones!$AB$132&amp;" "&amp;IF(AND(Milestones!$AB$132="FT",Milestones!$AA$132=FT_Y5,EDATE($D49,Milestones!$AA$132)&lt;PolicyEff),1,Milestones!$AC$132)&amp;";  ","")&amp;IF(AND(EDATE($D49,Milestones!$AA$133)&lt;=AsOfDate,EDATE($D49,Milestones!$AA$133)&gt;=SchemeStart,IF($X49=0,$AD49,IF(AND($Z49&lt;&gt;"",EDATE($D49,Milestones!$AA$133)&gt;=$Z49),$AC49,IF(AND($Y49&lt;&gt;"",EDATE($D49,Milestones!$AA$133)&gt;=$Y49),$AB49,$AA49)))=Milestones!$AB$133),UPPER(TEXT(EDATE($D49,Milestones!$AA$133),"dd mmm yy"))&amp;" "&amp;Milestones!$AB$133&amp;" "&amp;IF(AND(Milestones!$AB$133="FT",Milestones!$AA$133=FT_Y5,EDATE($D49,Milestones!$AA$133)&lt;PolicyEff),1,Milestones!$AC$133)&amp;";  ","")&amp;IF(AND(EDATE($D49,Milestones!$AA$134)&lt;=AsOfDate,EDATE($D49,Milestones!$AA$134)&gt;=SchemeStart,IF($X49=0,$AD49,IF(AND($Z49&lt;&gt;"",EDATE($D49,Milestones!$AA$134)&gt;=$Z49),$AC49,IF(AND($Y49&lt;&gt;"",EDATE($D49,Milestones!$AA$134)&gt;=$Y49),$AB49,$AA49)))=Milestones!$AB$134),UPPER(TEXT(EDATE($D49,Milestones!$AA$134),"dd mmm yy"))&amp;" "&amp;Milestones!$AB$134&amp;" "&amp;IF(AND(Milestones!$AB$134="FT",Milestones!$AA$134=FT_Y5,EDATE($D49,Milestones!$AA$134)&lt;PolicyEff),1,Milestones!$AC$134)&amp;";  ","")&amp;IF(AND(EDATE($D49,Milestones!$AA$135)&lt;=AsOfDate,EDATE($D49,Milestones!$AA$135)&gt;=SchemeStart,IF($X49=0,$AD49,IF(AND($Z49&lt;&gt;"",EDATE($D49,Milestones!$AA$135)&gt;=$Z49),$AC49,IF(AND($Y49&lt;&gt;"",EDATE($D49,Milestones!$AA$135)&gt;=$Y49),$AB49,$AA49)))=Milestones!$AB$135),UPPER(TEXT(EDATE($D49,Milestones!$AA$135),"dd mmm yy"))&amp;" "&amp;Milestones!$AB$135&amp;" "&amp;IF(AND(Milestones!$AB$135="FT",Milestones!$AA$135=FT_Y5,EDATE($D49,Milestones!$AA$135)&lt;PolicyEff),1,Milestones!$AC$135)&amp;";  ","")&amp;IF(AND(EDATE($D49,Milestones!$AA$136)&lt;=AsOfDate,EDATE($D49,Milestones!$AA$136)&gt;=SchemeStart,IF($X49=0,$AD49,IF(AND($Z49&lt;&gt;"",EDATE($D49,Milestones!$AA$136)&gt;=$Z49),$AC49,IF(AND($Y49&lt;&gt;"",EDATE($D49,Milestones!$AA$136)&gt;=$Y49),$AB49,$AA49)))=Milestones!$AB$136),UPPER(TEXT(EDATE($D49,Milestones!$AA$136),"dd mmm yy"))&amp;" "&amp;Milestones!$AB$136&amp;" "&amp;IF(AND(Milestones!$AB$136="FT",Milestones!$AA$136=FT_Y5,EDATE($D49,Milestones!$AA$136)&lt;PolicyEff),1,Milestones!$AC$136)&amp;";  ","")&amp;IF(AND(EDATE($D49,Milestones!$AA$137)&lt;=AsOfDate,EDATE($D49,Milestones!$AA$137)&gt;=SchemeStart,IF($X49=0,$AD49,IF(AND($Z49&lt;&gt;"",EDATE($D49,Milestones!$AA$137)&gt;=$Z49),$AC49,IF(AND($Y49&lt;&gt;"",EDATE($D49,Milestones!$AA$137)&gt;=$Y49),$AB49,$AA49)))=Milestones!$AB$137),UPPER(TEXT(EDATE($D49,Milestones!$AA$137),"dd mmm yy"))&amp;" "&amp;Milestones!$AB$137&amp;" "&amp;IF(AND(Milestones!$AB$137="FT",Milestones!$AA$137=FT_Y5,EDATE($D49,Milestones!$AA$137)&lt;PolicyEff),1,Milestones!$AC$137)&amp;";  ","")&amp;IF(AND(EDATE($D49,Milestones!$AA$138)&lt;=AsOfDate,EDATE($D49,Milestones!$AA$138)&gt;=SchemeStart,IF($X49=0,$AD49,IF(AND($Z49&lt;&gt;"",EDATE($D49,Milestones!$AA$138)&gt;=$Z49),$AC49,IF(AND($Y49&lt;&gt;"",EDATE($D49,Milestones!$AA$138)&gt;=$Y49),$AB49,$AA49)))=Milestones!$AB$138),UPPER(TEXT(EDATE($D49,Milestones!$AA$138),"dd mmm yy"))&amp;" "&amp;Milestones!$AB$138&amp;" "&amp;IF(AND(Milestones!$AB$138="FT",Milestones!$AA$138=FT_Y5,EDATE($D49,Milestones!$AA$138)&lt;PolicyEff),1,Milestones!$AC$138)&amp;";  ","")&amp;IF(AND(EDATE($D49,Milestones!$AA$139)&lt;=AsOfDate,EDATE($D49,Milestones!$AA$139)&gt;=SchemeStart,IF($X49=0,$AD49,IF(AND($Z49&lt;&gt;"",EDATE($D49,Milestones!$AA$139)&gt;=$Z49),$AC49,IF(AND($Y49&lt;&gt;"",EDATE($D49,Milestones!$AA$139)&gt;=$Y49),$AB49,$AA49)))=Milestones!$AB$139),UPPER(TEXT(EDATE($D49,Milestones!$AA$139),"dd mmm yy"))&amp;" "&amp;Milestones!$AB$139&amp;" "&amp;IF(AND(Milestones!$AB$139="FT",Milestones!$AA$139=FT_Y5,EDATE($D49,Milestones!$AA$139)&lt;PolicyEff),1,Milestones!$AC$139)&amp;";  ",""))</f>
        <v/>
      </c>
      <c r="S49" s="0" t="str">
        <f aca="false">IF(OR($A49="",$D49=""),"",IF(AND(EDATE($D49,Milestones!$AA$140)&lt;=AsOfDate,EDATE($D49,Milestones!$AA$140)&gt;=SchemeStart,IF($X49=0,$AD49,IF(AND($Z49&lt;&gt;"",EDATE($D49,Milestones!$AA$140)&gt;=$Z49),$AC49,IF(AND($Y49&lt;&gt;"",EDATE($D49,Milestones!$AA$140)&gt;=$Y49),$AB49,$AA49)))=Milestones!$AB$140),UPPER(TEXT(EDATE($D49,Milestones!$AA$140),"dd mmm yy"))&amp;" "&amp;Milestones!$AB$140&amp;" "&amp;IF(AND(Milestones!$AB$140="FT",Milestones!$AA$140=FT_Y5,EDATE($D49,Milestones!$AA$140)&lt;PolicyEff),1,Milestones!$AC$140)&amp;";  ","")&amp;IF(AND(EDATE($D49,Milestones!$AA$141)&lt;=AsOfDate,EDATE($D49,Milestones!$AA$141)&gt;=SchemeStart,IF($X49=0,$AD49,IF(AND($Z49&lt;&gt;"",EDATE($D49,Milestones!$AA$141)&gt;=$Z49),$AC49,IF(AND($Y49&lt;&gt;"",EDATE($D49,Milestones!$AA$141)&gt;=$Y49),$AB49,$AA49)))=Milestones!$AB$141),UPPER(TEXT(EDATE($D49,Milestones!$AA$141),"dd mmm yy"))&amp;" "&amp;Milestones!$AB$141&amp;" "&amp;IF(AND(Milestones!$AB$141="FT",Milestones!$AA$141=FT_Y5,EDATE($D49,Milestones!$AA$141)&lt;PolicyEff),1,Milestones!$AC$141)&amp;";  ","")&amp;IF(AND(EDATE($D49,Milestones!$AA$142)&lt;=AsOfDate,EDATE($D49,Milestones!$AA$142)&gt;=SchemeStart,IF($X49=0,$AD49,IF(AND($Z49&lt;&gt;"",EDATE($D49,Milestones!$AA$142)&gt;=$Z49),$AC49,IF(AND($Y49&lt;&gt;"",EDATE($D49,Milestones!$AA$142)&gt;=$Y49),$AB49,$AA49)))=Milestones!$AB$142),UPPER(TEXT(EDATE($D49,Milestones!$AA$142),"dd mmm yy"))&amp;" "&amp;Milestones!$AB$142&amp;" "&amp;IF(AND(Milestones!$AB$142="FT",Milestones!$AA$142=FT_Y5,EDATE($D49,Milestones!$AA$142)&lt;PolicyEff),1,Milestones!$AC$142)&amp;";  ","")&amp;IF(AND(EDATE($D49,Milestones!$AA$143)&lt;=AsOfDate,EDATE($D49,Milestones!$AA$143)&gt;=SchemeStart,IF($X49=0,$AD49,IF(AND($Z49&lt;&gt;"",EDATE($D49,Milestones!$AA$143)&gt;=$Z49),$AC49,IF(AND($Y49&lt;&gt;"",EDATE($D49,Milestones!$AA$143)&gt;=$Y49),$AB49,$AA49)))=Milestones!$AB$143),UPPER(TEXT(EDATE($D49,Milestones!$AA$143),"dd mmm yy"))&amp;" "&amp;Milestones!$AB$143&amp;" "&amp;IF(AND(Milestones!$AB$143="FT",Milestones!$AA$143=FT_Y5,EDATE($D49,Milestones!$AA$143)&lt;PolicyEff),1,Milestones!$AC$143)&amp;";  ","")&amp;IF(AND(EDATE($D49,Milestones!$AA$144)&lt;=AsOfDate,EDATE($D49,Milestones!$AA$144)&gt;=SchemeStart,IF($X49=0,$AD49,IF(AND($Z49&lt;&gt;"",EDATE($D49,Milestones!$AA$144)&gt;=$Z49),$AC49,IF(AND($Y49&lt;&gt;"",EDATE($D49,Milestones!$AA$144)&gt;=$Y49),$AB49,$AA49)))=Milestones!$AB$144),UPPER(TEXT(EDATE($D49,Milestones!$AA$144),"dd mmm yy"))&amp;" "&amp;Milestones!$AB$144&amp;" "&amp;IF(AND(Milestones!$AB$144="FT",Milestones!$AA$144=FT_Y5,EDATE($D49,Milestones!$AA$144)&lt;PolicyEff),1,Milestones!$AC$144)&amp;";  ","")&amp;IF(AND(EDATE($D49,Milestones!$AA$145)&lt;=AsOfDate,EDATE($D49,Milestones!$AA$145)&gt;=SchemeStart,IF($X49=0,$AD49,IF(AND($Z49&lt;&gt;"",EDATE($D49,Milestones!$AA$145)&gt;=$Z49),$AC49,IF(AND($Y49&lt;&gt;"",EDATE($D49,Milestones!$AA$145)&gt;=$Y49),$AB49,$AA49)))=Milestones!$AB$145),UPPER(TEXT(EDATE($D49,Milestones!$AA$145),"dd mmm yy"))&amp;" "&amp;Milestones!$AB$145&amp;" "&amp;IF(AND(Milestones!$AB$145="FT",Milestones!$AA$145=FT_Y5,EDATE($D49,Milestones!$AA$145)&lt;PolicyEff),1,Milestones!$AC$145)&amp;";  ","")&amp;IF(AND(EDATE($D49,Milestones!$AA$146)&lt;=AsOfDate,EDATE($D49,Milestones!$AA$146)&gt;=SchemeStart,IF($X49=0,$AD49,IF(AND($Z49&lt;&gt;"",EDATE($D49,Milestones!$AA$146)&gt;=$Z49),$AC49,IF(AND($Y49&lt;&gt;"",EDATE($D49,Milestones!$AA$146)&gt;=$Y49),$AB49,$AA49)))=Milestones!$AB$146),UPPER(TEXT(EDATE($D49,Milestones!$AA$146),"dd mmm yy"))&amp;" "&amp;Milestones!$AB$146&amp;" "&amp;IF(AND(Milestones!$AB$146="FT",Milestones!$AA$146=FT_Y5,EDATE($D49,Milestones!$AA$146)&lt;PolicyEff),1,Milestones!$AC$146)&amp;";  ","")&amp;IF(AND(EDATE($D49,Milestones!$AA$147)&lt;=AsOfDate,EDATE($D49,Milestones!$AA$147)&gt;=SchemeStart,IF($X49=0,$AD49,IF(AND($Z49&lt;&gt;"",EDATE($D49,Milestones!$AA$147)&gt;=$Z49),$AC49,IF(AND($Y49&lt;&gt;"",EDATE($D49,Milestones!$AA$147)&gt;=$Y49),$AB49,$AA49)))=Milestones!$AB$147),UPPER(TEXT(EDATE($D49,Milestones!$AA$147),"dd mmm yy"))&amp;" "&amp;Milestones!$AB$147&amp;" "&amp;IF(AND(Milestones!$AB$147="FT",Milestones!$AA$147=FT_Y5,EDATE($D49,Milestones!$AA$147)&lt;PolicyEff),1,Milestones!$AC$147)&amp;";  ","")&amp;IF(AND(EDATE($D49,Milestones!$AA$148)&lt;=AsOfDate,EDATE($D49,Milestones!$AA$148)&gt;=SchemeStart,IF($X49=0,$AD49,IF(AND($Z49&lt;&gt;"",EDATE($D49,Milestones!$AA$148)&gt;=$Z49),$AC49,IF(AND($Y49&lt;&gt;"",EDATE($D49,Milestones!$AA$148)&gt;=$Y49),$AB49,$AA49)))=Milestones!$AB$148),UPPER(TEXT(EDATE($D49,Milestones!$AA$148),"dd mmm yy"))&amp;" "&amp;Milestones!$AB$148&amp;" "&amp;IF(AND(Milestones!$AB$148="FT",Milestones!$AA$148=FT_Y5,EDATE($D49,Milestones!$AA$148)&lt;PolicyEff),1,Milestones!$AC$148)&amp;";  ","")&amp;IF(AND(EDATE($D49,Milestones!$AA$149)&lt;=AsOfDate,EDATE($D49,Milestones!$AA$149)&gt;=SchemeStart,IF($X49=0,$AD49,IF(AND($Z49&lt;&gt;"",EDATE($D49,Milestones!$AA$149)&gt;=$Z49),$AC49,IF(AND($Y49&lt;&gt;"",EDATE($D49,Milestones!$AA$149)&gt;=$Y49),$AB49,$AA49)))=Milestones!$AB$149),UPPER(TEXT(EDATE($D49,Milestones!$AA$149),"dd mmm yy"))&amp;" "&amp;Milestones!$AB$149&amp;" "&amp;IF(AND(Milestones!$AB$149="FT",Milestones!$AA$149=FT_Y5,EDATE($D49,Milestones!$AA$149)&lt;PolicyEff),1,Milestones!$AC$149)&amp;";  ","")&amp;IF(AND(EDATE($D49,Milestones!$AA$150)&lt;=AsOfDate,EDATE($D49,Milestones!$AA$150)&gt;=SchemeStart,IF($X49=0,$AD49,IF(AND($Z49&lt;&gt;"",EDATE($D49,Milestones!$AA$150)&gt;=$Z49),$AC49,IF(AND($Y49&lt;&gt;"",EDATE($D49,Milestones!$AA$150)&gt;=$Y49),$AB49,$AA49)))=Milestones!$AB$150),UPPER(TEXT(EDATE($D49,Milestones!$AA$150),"dd mmm yy"))&amp;" "&amp;Milestones!$AB$150&amp;" "&amp;IF(AND(Milestones!$AB$150="FT",Milestones!$AA$150=FT_Y5,EDATE($D49,Milestones!$AA$150)&lt;PolicyEff),1,Milestones!$AC$150)&amp;";  ","")&amp;IF(AND(EDATE($D49,Milestones!$AA$151)&lt;=AsOfDate,EDATE($D49,Milestones!$AA$151)&gt;=SchemeStart,IF($X49=0,$AD49,IF(AND($Z49&lt;&gt;"",EDATE($D49,Milestones!$AA$151)&gt;=$Z49),$AC49,IF(AND($Y49&lt;&gt;"",EDATE($D49,Milestones!$AA$151)&gt;=$Y49),$AB49,$AA49)))=Milestones!$AB$151),UPPER(TEXT(EDATE($D49,Milestones!$AA$151),"dd mmm yy"))&amp;" "&amp;Milestones!$AB$151&amp;" "&amp;IF(AND(Milestones!$AB$151="FT",Milestones!$AA$151=FT_Y5,EDATE($D49,Milestones!$AA$151)&lt;PolicyEff),1,Milestones!$AC$151)&amp;";  ",""))</f>
        <v/>
      </c>
      <c r="T49" s="0" t="str">
        <f aca="false">IF(OR($A49="",$D49=""),"",IF(AND(EDATE($D49,Milestones!$AA$152)&lt;=AsOfDate,EDATE($D49,Milestones!$AA$152)&gt;=SchemeStart,IF($X49=0,$AD49,IF(AND($Z49&lt;&gt;"",EDATE($D49,Milestones!$AA$152)&gt;=$Z49),$AC49,IF(AND($Y49&lt;&gt;"",EDATE($D49,Milestones!$AA$152)&gt;=$Y49),$AB49,$AA49)))=Milestones!$AB$152),UPPER(TEXT(EDATE($D49,Milestones!$AA$152),"dd mmm yy"))&amp;" "&amp;Milestones!$AB$152&amp;" "&amp;IF(AND(Milestones!$AB$152="FT",Milestones!$AA$152=FT_Y5,EDATE($D49,Milestones!$AA$152)&lt;PolicyEff),1,Milestones!$AC$152)&amp;";  ","")&amp;IF(AND(EDATE($D49,Milestones!$AA$153)&lt;=AsOfDate,EDATE($D49,Milestones!$AA$153)&gt;=SchemeStart,IF($X49=0,$AD49,IF(AND($Z49&lt;&gt;"",EDATE($D49,Milestones!$AA$153)&gt;=$Z49),$AC49,IF(AND($Y49&lt;&gt;"",EDATE($D49,Milestones!$AA$153)&gt;=$Y49),$AB49,$AA49)))=Milestones!$AB$153),UPPER(TEXT(EDATE($D49,Milestones!$AA$153),"dd mmm yy"))&amp;" "&amp;Milestones!$AB$153&amp;" "&amp;IF(AND(Milestones!$AB$153="FT",Milestones!$AA$153=FT_Y5,EDATE($D49,Milestones!$AA$153)&lt;PolicyEff),1,Milestones!$AC$153)&amp;";  ","")&amp;IF(AND(EDATE($D49,Milestones!$AA$154)&lt;=AsOfDate,EDATE($D49,Milestones!$AA$154)&gt;=SchemeStart,IF($X49=0,$AD49,IF(AND($Z49&lt;&gt;"",EDATE($D49,Milestones!$AA$154)&gt;=$Z49),$AC49,IF(AND($Y49&lt;&gt;"",EDATE($D49,Milestones!$AA$154)&gt;=$Y49),$AB49,$AA49)))=Milestones!$AB$154),UPPER(TEXT(EDATE($D49,Milestones!$AA$154),"dd mmm yy"))&amp;" "&amp;Milestones!$AB$154&amp;" "&amp;IF(AND(Milestones!$AB$154="FT",Milestones!$AA$154=FT_Y5,EDATE($D49,Milestones!$AA$154)&lt;PolicyEff),1,Milestones!$AC$154)&amp;";  ","")&amp;IF(AND(EDATE($D49,Milestones!$AA$155)&lt;=AsOfDate,EDATE($D49,Milestones!$AA$155)&gt;=SchemeStart,IF($X49=0,$AD49,IF(AND($Z49&lt;&gt;"",EDATE($D49,Milestones!$AA$155)&gt;=$Z49),$AC49,IF(AND($Y49&lt;&gt;"",EDATE($D49,Milestones!$AA$155)&gt;=$Y49),$AB49,$AA49)))=Milestones!$AB$155),UPPER(TEXT(EDATE($D49,Milestones!$AA$155),"dd mmm yy"))&amp;" "&amp;Milestones!$AB$155&amp;" "&amp;IF(AND(Milestones!$AB$155="FT",Milestones!$AA$155=FT_Y5,EDATE($D49,Milestones!$AA$155)&lt;PolicyEff),1,Milestones!$AC$155)&amp;";  ","")&amp;IF(AND(EDATE($D49,Milestones!$AA$156)&lt;=AsOfDate,EDATE($D49,Milestones!$AA$156)&gt;=SchemeStart,IF($X49=0,$AD49,IF(AND($Z49&lt;&gt;"",EDATE($D49,Milestones!$AA$156)&gt;=$Z49),$AC49,IF(AND($Y49&lt;&gt;"",EDATE($D49,Milestones!$AA$156)&gt;=$Y49),$AB49,$AA49)))=Milestones!$AB$156),UPPER(TEXT(EDATE($D49,Milestones!$AA$156),"dd mmm yy"))&amp;" "&amp;Milestones!$AB$156&amp;" "&amp;IF(AND(Milestones!$AB$156="FT",Milestones!$AA$156=FT_Y5,EDATE($D49,Milestones!$AA$156)&lt;PolicyEff),1,Milestones!$AC$156)&amp;";  ","")&amp;IF(AND(EDATE($D49,Milestones!$AA$157)&lt;=AsOfDate,EDATE($D49,Milestones!$AA$157)&gt;=SchemeStart,IF($X49=0,$AD49,IF(AND($Z49&lt;&gt;"",EDATE($D49,Milestones!$AA$157)&gt;=$Z49),$AC49,IF(AND($Y49&lt;&gt;"",EDATE($D49,Milestones!$AA$157)&gt;=$Y49),$AB49,$AA49)))=Milestones!$AB$157),UPPER(TEXT(EDATE($D49,Milestones!$AA$157),"dd mmm yy"))&amp;" "&amp;Milestones!$AB$157&amp;" "&amp;IF(AND(Milestones!$AB$157="FT",Milestones!$AA$157=FT_Y5,EDATE($D49,Milestones!$AA$157)&lt;PolicyEff),1,Milestones!$AC$157)&amp;";  ","")&amp;IF(AND(EDATE($D49,Milestones!$AA$158)&lt;=AsOfDate,EDATE($D49,Milestones!$AA$158)&gt;=SchemeStart,IF($X49=0,$AD49,IF(AND($Z49&lt;&gt;"",EDATE($D49,Milestones!$AA$158)&gt;=$Z49),$AC49,IF(AND($Y49&lt;&gt;"",EDATE($D49,Milestones!$AA$158)&gt;=$Y49),$AB49,$AA49)))=Milestones!$AB$158),UPPER(TEXT(EDATE($D49,Milestones!$AA$158),"dd mmm yy"))&amp;" "&amp;Milestones!$AB$158&amp;" "&amp;IF(AND(Milestones!$AB$158="FT",Milestones!$AA$158=FT_Y5,EDATE($D49,Milestones!$AA$158)&lt;PolicyEff),1,Milestones!$AC$158)&amp;";  ","")&amp;IF(AND(EDATE($D49,Milestones!$AA$159)&lt;=AsOfDate,EDATE($D49,Milestones!$AA$159)&gt;=SchemeStart,IF($X49=0,$AD49,IF(AND($Z49&lt;&gt;"",EDATE($D49,Milestones!$AA$159)&gt;=$Z49),$AC49,IF(AND($Y49&lt;&gt;"",EDATE($D49,Milestones!$AA$159)&gt;=$Y49),$AB49,$AA49)))=Milestones!$AB$159),UPPER(TEXT(EDATE($D49,Milestones!$AA$159),"dd mmm yy"))&amp;" "&amp;Milestones!$AB$159&amp;" "&amp;IF(AND(Milestones!$AB$159="FT",Milestones!$AA$159=FT_Y5,EDATE($D49,Milestones!$AA$159)&lt;PolicyEff),1,Milestones!$AC$159)&amp;";  ","")&amp;IF(AND(EDATE($D49,Milestones!$AA$160)&lt;=AsOfDate,EDATE($D49,Milestones!$AA$160)&gt;=SchemeStart,IF($X49=0,$AD49,IF(AND($Z49&lt;&gt;"",EDATE($D49,Milestones!$AA$160)&gt;=$Z49),$AC49,IF(AND($Y49&lt;&gt;"",EDATE($D49,Milestones!$AA$160)&gt;=$Y49),$AB49,$AA49)))=Milestones!$AB$160),UPPER(TEXT(EDATE($D49,Milestones!$AA$160),"dd mmm yy"))&amp;" "&amp;Milestones!$AB$160&amp;" "&amp;IF(AND(Milestones!$AB$160="FT",Milestones!$AA$160=FT_Y5,EDATE($D49,Milestones!$AA$160)&lt;PolicyEff),1,Milestones!$AC$160)&amp;";  ","")&amp;IF(AND(EDATE($D49,Milestones!$AA$161)&lt;=AsOfDate,EDATE($D49,Milestones!$AA$161)&gt;=SchemeStart,IF($X49=0,$AD49,IF(AND($Z49&lt;&gt;"",EDATE($D49,Milestones!$AA$161)&gt;=$Z49),$AC49,IF(AND($Y49&lt;&gt;"",EDATE($D49,Milestones!$AA$161)&gt;=$Y49),$AB49,$AA49)))=Milestones!$AB$161),UPPER(TEXT(EDATE($D49,Milestones!$AA$161),"dd mmm yy"))&amp;" "&amp;Milestones!$AB$161&amp;" "&amp;IF(AND(Milestones!$AB$161="FT",Milestones!$AA$161=FT_Y5,EDATE($D49,Milestones!$AA$161)&lt;PolicyEff),1,Milestones!$AC$161)&amp;";  ","")&amp;IF(AND(EDATE($D49,Milestones!$AA$162)&lt;=AsOfDate,EDATE($D49,Milestones!$AA$162)&gt;=SchemeStart,IF($X49=0,$AD49,IF(AND($Z49&lt;&gt;"",EDATE($D49,Milestones!$AA$162)&gt;=$Z49),$AC49,IF(AND($Y49&lt;&gt;"",EDATE($D49,Milestones!$AA$162)&gt;=$Y49),$AB49,$AA49)))=Milestones!$AB$162),UPPER(TEXT(EDATE($D49,Milestones!$AA$162),"dd mmm yy"))&amp;" "&amp;Milestones!$AB$162&amp;" "&amp;IF(AND(Milestones!$AB$162="FT",Milestones!$AA$162=FT_Y5,EDATE($D49,Milestones!$AA$162)&lt;PolicyEff),1,Milestones!$AC$162)&amp;";  ","")&amp;IF(AND(EDATE($D49,Milestones!$AA$163)&lt;=AsOfDate,EDATE($D49,Milestones!$AA$163)&gt;=SchemeStart,IF($X49=0,$AD49,IF(AND($Z49&lt;&gt;"",EDATE($D49,Milestones!$AA$163)&gt;=$Z49),$AC49,IF(AND($Y49&lt;&gt;"",EDATE($D49,Milestones!$AA$163)&gt;=$Y49),$AB49,$AA49)))=Milestones!$AB$163),UPPER(TEXT(EDATE($D49,Milestones!$AA$163),"dd mmm yy"))&amp;" "&amp;Milestones!$AB$163&amp;" "&amp;IF(AND(Milestones!$AB$163="FT",Milestones!$AA$163=FT_Y5,EDATE($D49,Milestones!$AA$163)&lt;PolicyEff),1,Milestones!$AC$163)&amp;";  ",""))</f>
        <v/>
      </c>
      <c r="U49" s="0" t="str">
        <f aca="false">IF(OR($A49="",$D49=""),"",IF(AND(EDATE($D49,Milestones!$AA$164)&lt;=AsOfDate,EDATE($D49,Milestones!$AA$164)&gt;=SchemeStart,IF($X49=0,$AD49,IF(AND($Z49&lt;&gt;"",EDATE($D49,Milestones!$AA$164)&gt;=$Z49),$AC49,IF(AND($Y49&lt;&gt;"",EDATE($D49,Milestones!$AA$164)&gt;=$Y49),$AB49,$AA49)))=Milestones!$AB$164),UPPER(TEXT(EDATE($D49,Milestones!$AA$164),"dd mmm yy"))&amp;" "&amp;Milestones!$AB$164&amp;" "&amp;IF(AND(Milestones!$AB$164="FT",Milestones!$AA$164=FT_Y5,EDATE($D49,Milestones!$AA$164)&lt;PolicyEff),1,Milestones!$AC$164)&amp;";  ","")&amp;IF(AND(EDATE($D49,Milestones!$AA$165)&lt;=AsOfDate,EDATE($D49,Milestones!$AA$165)&gt;=SchemeStart,IF($X49=0,$AD49,IF(AND($Z49&lt;&gt;"",EDATE($D49,Milestones!$AA$165)&gt;=$Z49),$AC49,IF(AND($Y49&lt;&gt;"",EDATE($D49,Milestones!$AA$165)&gt;=$Y49),$AB49,$AA49)))=Milestones!$AB$165),UPPER(TEXT(EDATE($D49,Milestones!$AA$165),"dd mmm yy"))&amp;" "&amp;Milestones!$AB$165&amp;" "&amp;IF(AND(Milestones!$AB$165="FT",Milestones!$AA$165=FT_Y5,EDATE($D49,Milestones!$AA$165)&lt;PolicyEff),1,Milestones!$AC$165)&amp;";  ","")&amp;IF(AND(EDATE($D49,Milestones!$AA$166)&lt;=AsOfDate,EDATE($D49,Milestones!$AA$166)&gt;=SchemeStart,IF($X49=0,$AD49,IF(AND($Z49&lt;&gt;"",EDATE($D49,Milestones!$AA$166)&gt;=$Z49),$AC49,IF(AND($Y49&lt;&gt;"",EDATE($D49,Milestones!$AA$166)&gt;=$Y49),$AB49,$AA49)))=Milestones!$AB$166),UPPER(TEXT(EDATE($D49,Milestones!$AA$166),"dd mmm yy"))&amp;" "&amp;Milestones!$AB$166&amp;" "&amp;IF(AND(Milestones!$AB$166="FT",Milestones!$AA$166=FT_Y5,EDATE($D49,Milestones!$AA$166)&lt;PolicyEff),1,Milestones!$AC$166)&amp;";  ","")&amp;IF(AND(EDATE($D49,Milestones!$AA$167)&lt;=AsOfDate,EDATE($D49,Milestones!$AA$167)&gt;=SchemeStart,IF($X49=0,$AD49,IF(AND($Z49&lt;&gt;"",EDATE($D49,Milestones!$AA$167)&gt;=$Z49),$AC49,IF(AND($Y49&lt;&gt;"",EDATE($D49,Milestones!$AA$167)&gt;=$Y49),$AB49,$AA49)))=Milestones!$AB$167),UPPER(TEXT(EDATE($D49,Milestones!$AA$167),"dd mmm yy"))&amp;" "&amp;Milestones!$AB$167&amp;" "&amp;IF(AND(Milestones!$AB$167="FT",Milestones!$AA$167=FT_Y5,EDATE($D49,Milestones!$AA$167)&lt;PolicyEff),1,Milestones!$AC$167)&amp;";  ","")&amp;IF(AND(EDATE($D49,Milestones!$AA$168)&lt;=AsOfDate,EDATE($D49,Milestones!$AA$168)&gt;=SchemeStart,IF($X49=0,$AD49,IF(AND($Z49&lt;&gt;"",EDATE($D49,Milestones!$AA$168)&gt;=$Z49),$AC49,IF(AND($Y49&lt;&gt;"",EDATE($D49,Milestones!$AA$168)&gt;=$Y49),$AB49,$AA49)))=Milestones!$AB$168),UPPER(TEXT(EDATE($D49,Milestones!$AA$168),"dd mmm yy"))&amp;" "&amp;Milestones!$AB$168&amp;" "&amp;IF(AND(Milestones!$AB$168="FT",Milestones!$AA$168=FT_Y5,EDATE($D49,Milestones!$AA$168)&lt;PolicyEff),1,Milestones!$AC$168)&amp;";  ","")&amp;IF(AND(EDATE($D49,Milestones!$AA$169)&lt;=AsOfDate,EDATE($D49,Milestones!$AA$169)&gt;=SchemeStart,IF($X49=0,$AD49,IF(AND($Z49&lt;&gt;"",EDATE($D49,Milestones!$AA$169)&gt;=$Z49),$AC49,IF(AND($Y49&lt;&gt;"",EDATE($D49,Milestones!$AA$169)&gt;=$Y49),$AB49,$AA49)))=Milestones!$AB$169),UPPER(TEXT(EDATE($D49,Milestones!$AA$169),"dd mmm yy"))&amp;" "&amp;Milestones!$AB$169&amp;" "&amp;IF(AND(Milestones!$AB$169="FT",Milestones!$AA$169=FT_Y5,EDATE($D49,Milestones!$AA$169)&lt;PolicyEff),1,Milestones!$AC$169)&amp;";  ","")&amp;IF(AND(EDATE($D49,Milestones!$AA$170)&lt;=AsOfDate,EDATE($D49,Milestones!$AA$170)&gt;=SchemeStart,IF($X49=0,$AD49,IF(AND($Z49&lt;&gt;"",EDATE($D49,Milestones!$AA$170)&gt;=$Z49),$AC49,IF(AND($Y49&lt;&gt;"",EDATE($D49,Milestones!$AA$170)&gt;=$Y49),$AB49,$AA49)))=Milestones!$AB$170),UPPER(TEXT(EDATE($D49,Milestones!$AA$170),"dd mmm yy"))&amp;" "&amp;Milestones!$AB$170&amp;" "&amp;IF(AND(Milestones!$AB$170="FT",Milestones!$AA$170=FT_Y5,EDATE($D49,Milestones!$AA$170)&lt;PolicyEff),1,Milestones!$AC$170)&amp;";  ","")&amp;IF(AND(EDATE($D49,Milestones!$AA$171)&lt;=AsOfDate,EDATE($D49,Milestones!$AA$171)&gt;=SchemeStart,IF($X49=0,$AD49,IF(AND($Z49&lt;&gt;"",EDATE($D49,Milestones!$AA$171)&gt;=$Z49),$AC49,IF(AND($Y49&lt;&gt;"",EDATE($D49,Milestones!$AA$171)&gt;=$Y49),$AB49,$AA49)))=Milestones!$AB$171),UPPER(TEXT(EDATE($D49,Milestones!$AA$171),"dd mmm yy"))&amp;" "&amp;Milestones!$AB$171&amp;" "&amp;IF(AND(Milestones!$AB$171="FT",Milestones!$AA$171=FT_Y5,EDATE($D49,Milestones!$AA$171)&lt;PolicyEff),1,Milestones!$AC$171)&amp;";  ","")&amp;IF(AND(EDATE($D49,Milestones!$AA$172)&lt;=AsOfDate,EDATE($D49,Milestones!$AA$172)&gt;=SchemeStart,IF($X49=0,$AD49,IF(AND($Z49&lt;&gt;"",EDATE($D49,Milestones!$AA$172)&gt;=$Z49),$AC49,IF(AND($Y49&lt;&gt;"",EDATE($D49,Milestones!$AA$172)&gt;=$Y49),$AB49,$AA49)))=Milestones!$AB$172),UPPER(TEXT(EDATE($D49,Milestones!$AA$172),"dd mmm yy"))&amp;" "&amp;Milestones!$AB$172&amp;" "&amp;IF(AND(Milestones!$AB$172="FT",Milestones!$AA$172=FT_Y5,EDATE($D49,Milestones!$AA$172)&lt;PolicyEff),1,Milestones!$AC$172)&amp;";  ","")&amp;IF(AND(EDATE($D49,Milestones!$AA$173)&lt;=AsOfDate,EDATE($D49,Milestones!$AA$173)&gt;=SchemeStart,IF($X49=0,$AD49,IF(AND($Z49&lt;&gt;"",EDATE($D49,Milestones!$AA$173)&gt;=$Z49),$AC49,IF(AND($Y49&lt;&gt;"",EDATE($D49,Milestones!$AA$173)&gt;=$Y49),$AB49,$AA49)))=Milestones!$AB$173),UPPER(TEXT(EDATE($D49,Milestones!$AA$173),"dd mmm yy"))&amp;" "&amp;Milestones!$AB$173&amp;" "&amp;IF(AND(Milestones!$AB$173="FT",Milestones!$AA$173=FT_Y5,EDATE($D49,Milestones!$AA$173)&lt;PolicyEff),1,Milestones!$AC$173)&amp;";  ","")&amp;IF(AND(EDATE($D49,Milestones!$AA$174)&lt;=AsOfDate,EDATE($D49,Milestones!$AA$174)&gt;=SchemeStart,IF($X49=0,$AD49,IF(AND($Z49&lt;&gt;"",EDATE($D49,Milestones!$AA$174)&gt;=$Z49),$AC49,IF(AND($Y49&lt;&gt;"",EDATE($D49,Milestones!$AA$174)&gt;=$Y49),$AB49,$AA49)))=Milestones!$AB$174),UPPER(TEXT(EDATE($D49,Milestones!$AA$174),"dd mmm yy"))&amp;" "&amp;Milestones!$AB$174&amp;" "&amp;IF(AND(Milestones!$AB$174="FT",Milestones!$AA$174=FT_Y5,EDATE($D49,Milestones!$AA$174)&lt;PolicyEff),1,Milestones!$AC$174)&amp;";  ","")&amp;IF(AND(EDATE($D49,Milestones!$AA$175)&lt;=AsOfDate,EDATE($D49,Milestones!$AA$175)&gt;=SchemeStart,IF($X49=0,$AD49,IF(AND($Z49&lt;&gt;"",EDATE($D49,Milestones!$AA$175)&gt;=$Z49),$AC49,IF(AND($Y49&lt;&gt;"",EDATE($D49,Milestones!$AA$175)&gt;=$Y49),$AB49,$AA49)))=Milestones!$AB$175),UPPER(TEXT(EDATE($D49,Milestones!$AA$175),"dd mmm yy"))&amp;" "&amp;Milestones!$AB$175&amp;" "&amp;IF(AND(Milestones!$AB$175="FT",Milestones!$AA$175=FT_Y5,EDATE($D49,Milestones!$AA$175)&lt;PolicyEff),1,Milestones!$AC$175)&amp;";  ",""))</f>
        <v/>
      </c>
      <c r="V49" s="0" t="str">
        <f aca="false">IF(OR($A49="",$D49=""),"",IF(AND(EDATE($D49,Milestones!$AA$176)&lt;=AsOfDate,EDATE($D49,Milestones!$AA$176)&gt;=SchemeStart,IF($X49=0,$AD49,IF(AND($Z49&lt;&gt;"",EDATE($D49,Milestones!$AA$176)&gt;=$Z49),$AC49,IF(AND($Y49&lt;&gt;"",EDATE($D49,Milestones!$AA$176)&gt;=$Y49),$AB49,$AA49)))=Milestones!$AB$176),UPPER(TEXT(EDATE($D49,Milestones!$AA$176),"dd mmm yy"))&amp;" "&amp;Milestones!$AB$176&amp;" "&amp;IF(AND(Milestones!$AB$176="FT",Milestones!$AA$176=FT_Y5,EDATE($D49,Milestones!$AA$176)&lt;PolicyEff),1,Milestones!$AC$176)&amp;";  ","")&amp;IF(AND(EDATE($D49,Milestones!$AA$177)&lt;=AsOfDate,EDATE($D49,Milestones!$AA$177)&gt;=SchemeStart,IF($X49=0,$AD49,IF(AND($Z49&lt;&gt;"",EDATE($D49,Milestones!$AA$177)&gt;=$Z49),$AC49,IF(AND($Y49&lt;&gt;"",EDATE($D49,Milestones!$AA$177)&gt;=$Y49),$AB49,$AA49)))=Milestones!$AB$177),UPPER(TEXT(EDATE($D49,Milestones!$AA$177),"dd mmm yy"))&amp;" "&amp;Milestones!$AB$177&amp;" "&amp;IF(AND(Milestones!$AB$177="FT",Milestones!$AA$177=FT_Y5,EDATE($D49,Milestones!$AA$177)&lt;PolicyEff),1,Milestones!$AC$177)&amp;";  ","")&amp;IF(AND(EDATE($D49,Milestones!$AA$178)&lt;=AsOfDate,EDATE($D49,Milestones!$AA$178)&gt;=SchemeStart,IF($X49=0,$AD49,IF(AND($Z49&lt;&gt;"",EDATE($D49,Milestones!$AA$178)&gt;=$Z49),$AC49,IF(AND($Y49&lt;&gt;"",EDATE($D49,Milestones!$AA$178)&gt;=$Y49),$AB49,$AA49)))=Milestones!$AB$178),UPPER(TEXT(EDATE($D49,Milestones!$AA$178),"dd mmm yy"))&amp;" "&amp;Milestones!$AB$178&amp;" "&amp;IF(AND(Milestones!$AB$178="FT",Milestones!$AA$178=FT_Y5,EDATE($D49,Milestones!$AA$178)&lt;PolicyEff),1,Milestones!$AC$178)&amp;";  ","")&amp;IF(AND(EDATE($D49,Milestones!$AA$179)&lt;=AsOfDate,EDATE($D49,Milestones!$AA$179)&gt;=SchemeStart,IF($X49=0,$AD49,IF(AND($Z49&lt;&gt;"",EDATE($D49,Milestones!$AA$179)&gt;=$Z49),$AC49,IF(AND($Y49&lt;&gt;"",EDATE($D49,Milestones!$AA$179)&gt;=$Y49),$AB49,$AA49)))=Milestones!$AB$179),UPPER(TEXT(EDATE($D49,Milestones!$AA$179),"dd mmm yy"))&amp;" "&amp;Milestones!$AB$179&amp;" "&amp;IF(AND(Milestones!$AB$179="FT",Milestones!$AA$179=FT_Y5,EDATE($D49,Milestones!$AA$179)&lt;PolicyEff),1,Milestones!$AC$179)&amp;";  ","")&amp;IF(AND(EDATE($D49,Milestones!$AA$180)&lt;=AsOfDate,EDATE($D49,Milestones!$AA$180)&gt;=SchemeStart,IF($X49=0,$AD49,IF(AND($Z49&lt;&gt;"",EDATE($D49,Milestones!$AA$180)&gt;=$Z49),$AC49,IF(AND($Y49&lt;&gt;"",EDATE($D49,Milestones!$AA$180)&gt;=$Y49),$AB49,$AA49)))=Milestones!$AB$180),UPPER(TEXT(EDATE($D49,Milestones!$AA$180),"dd mmm yy"))&amp;" "&amp;Milestones!$AB$180&amp;" "&amp;IF(AND(Milestones!$AB$180="FT",Milestones!$AA$180=FT_Y5,EDATE($D49,Milestones!$AA$180)&lt;PolicyEff),1,Milestones!$AC$180)&amp;";  ","")&amp;IF(AND(EDATE($D49,Milestones!$AA$181)&lt;=AsOfDate,EDATE($D49,Milestones!$AA$181)&gt;=SchemeStart,IF($X49=0,$AD49,IF(AND($Z49&lt;&gt;"",EDATE($D49,Milestones!$AA$181)&gt;=$Z49),$AC49,IF(AND($Y49&lt;&gt;"",EDATE($D49,Milestones!$AA$181)&gt;=$Y49),$AB49,$AA49)))=Milestones!$AB$181),UPPER(TEXT(EDATE($D49,Milestones!$AA$181),"dd mmm yy"))&amp;" "&amp;Milestones!$AB$181&amp;" "&amp;IF(AND(Milestones!$AB$181="FT",Milestones!$AA$181=FT_Y5,EDATE($D49,Milestones!$AA$181)&lt;PolicyEff),1,Milestones!$AC$181)&amp;";  ","")&amp;IF(AND(EDATE($D49,Milestones!$AA$182)&lt;=AsOfDate,EDATE($D49,Milestones!$AA$182)&gt;=SchemeStart,IF($X49=0,$AD49,IF(AND($Z49&lt;&gt;"",EDATE($D49,Milestones!$AA$182)&gt;=$Z49),$AC49,IF(AND($Y49&lt;&gt;"",EDATE($D49,Milestones!$AA$182)&gt;=$Y49),$AB49,$AA49)))=Milestones!$AB$182),UPPER(TEXT(EDATE($D49,Milestones!$AA$182),"dd mmm yy"))&amp;" "&amp;Milestones!$AB$182&amp;" "&amp;IF(AND(Milestones!$AB$182="FT",Milestones!$AA$182=FT_Y5,EDATE($D49,Milestones!$AA$182)&lt;PolicyEff),1,Milestones!$AC$182)&amp;";  ","")&amp;IF(AND(EDATE($D49,Milestones!$AA$183)&lt;=AsOfDate,EDATE($D49,Milestones!$AA$183)&gt;=SchemeStart,IF($X49=0,$AD49,IF(AND($Z49&lt;&gt;"",EDATE($D49,Milestones!$AA$183)&gt;=$Z49),$AC49,IF(AND($Y49&lt;&gt;"",EDATE($D49,Milestones!$AA$183)&gt;=$Y49),$AB49,$AA49)))=Milestones!$AB$183),UPPER(TEXT(EDATE($D49,Milestones!$AA$183),"dd mmm yy"))&amp;" "&amp;Milestones!$AB$183&amp;" "&amp;IF(AND(Milestones!$AB$183="FT",Milestones!$AA$183=FT_Y5,EDATE($D49,Milestones!$AA$183)&lt;PolicyEff),1,Milestones!$AC$183)&amp;";  ","")&amp;IF(AND(EDATE($D49,Milestones!$AA$184)&lt;=AsOfDate,EDATE($D49,Milestones!$AA$184)&gt;=SchemeStart,IF($X49=0,$AD49,IF(AND($Z49&lt;&gt;"",EDATE($D49,Milestones!$AA$184)&gt;=$Z49),$AC49,IF(AND($Y49&lt;&gt;"",EDATE($D49,Milestones!$AA$184)&gt;=$Y49),$AB49,$AA49)))=Milestones!$AB$184),UPPER(TEXT(EDATE($D49,Milestones!$AA$184),"dd mmm yy"))&amp;" "&amp;Milestones!$AB$184&amp;" "&amp;IF(AND(Milestones!$AB$184="FT",Milestones!$AA$184=FT_Y5,EDATE($D49,Milestones!$AA$184)&lt;PolicyEff),1,Milestones!$AC$184)&amp;";  ","")&amp;IF(AND(EDATE($D49,Milestones!$AA$185)&lt;=AsOfDate,EDATE($D49,Milestones!$AA$185)&gt;=SchemeStart,IF($X49=0,$AD49,IF(AND($Z49&lt;&gt;"",EDATE($D49,Milestones!$AA$185)&gt;=$Z49),$AC49,IF(AND($Y49&lt;&gt;"",EDATE($D49,Milestones!$AA$185)&gt;=$Y49),$AB49,$AA49)))=Milestones!$AB$185),UPPER(TEXT(EDATE($D49,Milestones!$AA$185),"dd mmm yy"))&amp;" "&amp;Milestones!$AB$185&amp;" "&amp;IF(AND(Milestones!$AB$185="FT",Milestones!$AA$185=FT_Y5,EDATE($D49,Milestones!$AA$185)&lt;PolicyEff),1,Milestones!$AC$185)&amp;";  ","")&amp;IF(AND(EDATE($D49,Milestones!$AA$186)&lt;=AsOfDate,EDATE($D49,Milestones!$AA$186)&gt;=SchemeStart,IF($X49=0,$AD49,IF(AND($Z49&lt;&gt;"",EDATE($D49,Milestones!$AA$186)&gt;=$Z49),$AC49,IF(AND($Y49&lt;&gt;"",EDATE($D49,Milestones!$AA$186)&gt;=$Y49),$AB49,$AA49)))=Milestones!$AB$186),UPPER(TEXT(EDATE($D49,Milestones!$AA$186),"dd mmm yy"))&amp;" "&amp;Milestones!$AB$186&amp;" "&amp;IF(AND(Milestones!$AB$186="FT",Milestones!$AA$186=FT_Y5,EDATE($D49,Milestones!$AA$186)&lt;PolicyEff),1,Milestones!$AC$186)&amp;";  ","")&amp;IF(AND(EDATE($D49,Milestones!$AA$187)&lt;=AsOfDate,EDATE($D49,Milestones!$AA$187)&gt;=SchemeStart,IF($X49=0,$AD49,IF(AND($Z49&lt;&gt;"",EDATE($D49,Milestones!$AA$187)&gt;=$Z49),$AC49,IF(AND($Y49&lt;&gt;"",EDATE($D49,Milestones!$AA$187)&gt;=$Y49),$AB49,$AA49)))=Milestones!$AB$187),UPPER(TEXT(EDATE($D49,Milestones!$AA$187),"dd mmm yy"))&amp;" "&amp;Milestones!$AB$187&amp;" "&amp;IF(AND(Milestones!$AB$187="FT",Milestones!$AA$187=FT_Y5,EDATE($D49,Milestones!$AA$187)&lt;PolicyEff),1,Milestones!$AC$187)&amp;";  ",""))</f>
        <v/>
      </c>
      <c r="W49" s="0" t="str">
        <f aca="false">IF(OR($A49="",$D49=""),"",IF(AND(EDATE($D49,Milestones!$AA$188)&lt;=AsOfDate,EDATE($D49,Milestones!$AA$188)&gt;=SchemeStart,IF($X49=0,$AD49,IF(AND($Z49&lt;&gt;"",EDATE($D49,Milestones!$AA$188)&gt;=$Z49),$AC49,IF(AND($Y49&lt;&gt;"",EDATE($D49,Milestones!$AA$188)&gt;=$Y49),$AB49,$AA49)))=Milestones!$AB$188),UPPER(TEXT(EDATE($D49,Milestones!$AA$188),"dd mmm yy"))&amp;" "&amp;Milestones!$AB$188&amp;" "&amp;IF(AND(Milestones!$AB$188="FT",Milestones!$AA$188=FT_Y5,EDATE($D49,Milestones!$AA$188)&lt;PolicyEff),1,Milestones!$AC$188)&amp;";  ","")&amp;IF(AND(EDATE($D49,Milestones!$AA$189)&lt;=AsOfDate,EDATE($D49,Milestones!$AA$189)&gt;=SchemeStart,IF($X49=0,$AD49,IF(AND($Z49&lt;&gt;"",EDATE($D49,Milestones!$AA$189)&gt;=$Z49),$AC49,IF(AND($Y49&lt;&gt;"",EDATE($D49,Milestones!$AA$189)&gt;=$Y49),$AB49,$AA49)))=Milestones!$AB$189),UPPER(TEXT(EDATE($D49,Milestones!$AA$189),"dd mmm yy"))&amp;" "&amp;Milestones!$AB$189&amp;" "&amp;IF(AND(Milestones!$AB$189="FT",Milestones!$AA$189=FT_Y5,EDATE($D49,Milestones!$AA$189)&lt;PolicyEff),1,Milestones!$AC$189)&amp;";  ","")&amp;IF(AND(EDATE($D49,Milestones!$AA$190)&lt;=AsOfDate,EDATE($D49,Milestones!$AA$190)&gt;=SchemeStart,IF($X49=0,$AD49,IF(AND($Z49&lt;&gt;"",EDATE($D49,Milestones!$AA$190)&gt;=$Z49),$AC49,IF(AND($Y49&lt;&gt;"",EDATE($D49,Milestones!$AA$190)&gt;=$Y49),$AB49,$AA49)))=Milestones!$AB$190),UPPER(TEXT(EDATE($D49,Milestones!$AA$190),"dd mmm yy"))&amp;" "&amp;Milestones!$AB$190&amp;" "&amp;IF(AND(Milestones!$AB$190="FT",Milestones!$AA$190=FT_Y5,EDATE($D49,Milestones!$AA$190)&lt;PolicyEff),1,Milestones!$AC$190)&amp;";  ","")&amp;IF(AND(EDATE($D49,Milestones!$AA$191)&lt;=AsOfDate,EDATE($D49,Milestones!$AA$191)&gt;=SchemeStart,IF($X49=0,$AD49,IF(AND($Z49&lt;&gt;"",EDATE($D49,Milestones!$AA$191)&gt;=$Z49),$AC49,IF(AND($Y49&lt;&gt;"",EDATE($D49,Milestones!$AA$191)&gt;=$Y49),$AB49,$AA49)))=Milestones!$AB$191),UPPER(TEXT(EDATE($D49,Milestones!$AA$191),"dd mmm yy"))&amp;" "&amp;Milestones!$AB$191&amp;" "&amp;IF(AND(Milestones!$AB$191="FT",Milestones!$AA$191=FT_Y5,EDATE($D49,Milestones!$AA$191)&lt;PolicyEff),1,Milestones!$AC$191)&amp;";  ","")&amp;IF(AND(EDATE($D49,Milestones!$AA$192)&lt;=AsOfDate,EDATE($D49,Milestones!$AA$192)&gt;=SchemeStart,IF($X49=0,$AD49,IF(AND($Z49&lt;&gt;"",EDATE($D49,Milestones!$AA$192)&gt;=$Z49),$AC49,IF(AND($Y49&lt;&gt;"",EDATE($D49,Milestones!$AA$192)&gt;=$Y49),$AB49,$AA49)))=Milestones!$AB$192),UPPER(TEXT(EDATE($D49,Milestones!$AA$192),"dd mmm yy"))&amp;" "&amp;Milestones!$AB$192&amp;" "&amp;IF(AND(Milestones!$AB$192="FT",Milestones!$AA$192=FT_Y5,EDATE($D49,Milestones!$AA$192)&lt;PolicyEff),1,Milestones!$AC$192)&amp;";  ","")&amp;IF(AND(EDATE($D49,Milestones!$AA$193)&lt;=AsOfDate,EDATE($D49,Milestones!$AA$193)&gt;=SchemeStart,IF($X49=0,$AD49,IF(AND($Z49&lt;&gt;"",EDATE($D49,Milestones!$AA$193)&gt;=$Z49),$AC49,IF(AND($Y49&lt;&gt;"",EDATE($D49,Milestones!$AA$193)&gt;=$Y49),$AB49,$AA49)))=Milestones!$AB$193),UPPER(TEXT(EDATE($D49,Milestones!$AA$193),"dd mmm yy"))&amp;" "&amp;Milestones!$AB$193&amp;" "&amp;IF(AND(Milestones!$AB$193="FT",Milestones!$AA$193=FT_Y5,EDATE($D49,Milestones!$AA$193)&lt;PolicyEff),1,Milestones!$AC$193)&amp;";  ","")&amp;IF(AND(EDATE($D49,Milestones!$AA$194)&lt;=AsOfDate,EDATE($D49,Milestones!$AA$194)&gt;=SchemeStart,IF($X49=0,$AD49,IF(AND($Z49&lt;&gt;"",EDATE($D49,Milestones!$AA$194)&gt;=$Z49),$AC49,IF(AND($Y49&lt;&gt;"",EDATE($D49,Milestones!$AA$194)&gt;=$Y49),$AB49,$AA49)))=Milestones!$AB$194),UPPER(TEXT(EDATE($D49,Milestones!$AA$194),"dd mmm yy"))&amp;" "&amp;Milestones!$AB$194&amp;" "&amp;IF(AND(Milestones!$AB$194="FT",Milestones!$AA$194=FT_Y5,EDATE($D49,Milestones!$AA$194)&lt;PolicyEff),1,Milestones!$AC$194)&amp;";  ","")&amp;IF(AND(EDATE($D49,Milestones!$AA$195)&lt;=AsOfDate,EDATE($D49,Milestones!$AA$195)&gt;=SchemeStart,IF($X49=0,$AD49,IF(AND($Z49&lt;&gt;"",EDATE($D49,Milestones!$AA$195)&gt;=$Z49),$AC49,IF(AND($Y49&lt;&gt;"",EDATE($D49,Milestones!$AA$195)&gt;=$Y49),$AB49,$AA49)))=Milestones!$AB$195),UPPER(TEXT(EDATE($D49,Milestones!$AA$195),"dd mmm yy"))&amp;" "&amp;Milestones!$AB$195&amp;" "&amp;IF(AND(Milestones!$AB$195="FT",Milestones!$AA$195=FT_Y5,EDATE($D49,Milestones!$AA$195)&lt;PolicyEff),1,Milestones!$AC$195)&amp;";  ","")&amp;IF(AND(EDATE($D49,Milestones!$AA$196)&lt;=AsOfDate,EDATE($D49,Milestones!$AA$196)&gt;=SchemeStart,IF($X49=0,$AD49,IF(AND($Z49&lt;&gt;"",EDATE($D49,Milestones!$AA$196)&gt;=$Z49),$AC49,IF(AND($Y49&lt;&gt;"",EDATE($D49,Milestones!$AA$196)&gt;=$Y49),$AB49,$AA49)))=Milestones!$AB$196),UPPER(TEXT(EDATE($D49,Milestones!$AA$196),"dd mmm yy"))&amp;" "&amp;Milestones!$AB$196&amp;" "&amp;IF(AND(Milestones!$AB$196="FT",Milestones!$AA$196=FT_Y5,EDATE($D49,Milestones!$AA$196)&lt;PolicyEff),1,Milestones!$AC$196)&amp;";  ","")&amp;IF(AND(EDATE($D49,Milestones!$AA$197)&lt;=AsOfDate,EDATE($D49,Milestones!$AA$197)&gt;=SchemeStart,IF($X49=0,$AD49,IF(AND($Z49&lt;&gt;"",EDATE($D49,Milestones!$AA$197)&gt;=$Z49),$AC49,IF(AND($Y49&lt;&gt;"",EDATE($D49,Milestones!$AA$197)&gt;=$Y49),$AB49,$AA49)))=Milestones!$AB$197),UPPER(TEXT(EDATE($D49,Milestones!$AA$197),"dd mmm yy"))&amp;" "&amp;Milestones!$AB$197&amp;" "&amp;IF(AND(Milestones!$AB$197="FT",Milestones!$AA$197=FT_Y5,EDATE($D49,Milestones!$AA$197)&lt;PolicyEff),1,Milestones!$AC$197)&amp;";  ","")&amp;IF(AND(EDATE($D49,Milestones!$AA$198)&lt;=AsOfDate,EDATE($D49,Milestones!$AA$198)&gt;=SchemeStart,IF($X49=0,$AD49,IF(AND($Z49&lt;&gt;"",EDATE($D49,Milestones!$AA$198)&gt;=$Z49),$AC49,IF(AND($Y49&lt;&gt;"",EDATE($D49,Milestones!$AA$198)&gt;=$Y49),$AB49,$AA49)))=Milestones!$AB$198),UPPER(TEXT(EDATE($D49,Milestones!$AA$198),"dd mmm yy"))&amp;" "&amp;Milestones!$AB$198&amp;" "&amp;IF(AND(Milestones!$AB$198="FT",Milestones!$AA$198=FT_Y5,EDATE($D49,Milestones!$AA$198)&lt;PolicyEff),1,Milestones!$AC$198)&amp;";  ","")&amp;IF(AND(EDATE($D49,Milestones!$AA$199)&lt;=AsOfDate,EDATE($D49,Milestones!$AA$199)&gt;=SchemeStart,IF($X49=0,$AD49,IF(AND($Z49&lt;&gt;"",EDATE($D49,Milestones!$AA$199)&gt;=$Z49),$AC49,IF(AND($Y49&lt;&gt;"",EDATE($D49,Milestones!$AA$199)&gt;=$Y49),$AB49,$AA49)))=Milestones!$AB$199),UPPER(TEXT(EDATE($D49,Milestones!$AA$199),"dd mmm yy"))&amp;" "&amp;Milestones!$AB$199&amp;" "&amp;IF(AND(Milestones!$AB$199="FT",Milestones!$AA$199=FT_Y5,EDATE($D49,Milestones!$AA$199)&lt;PolicyEff),1,Milestones!$AC$199)&amp;";  ",""))</f>
        <v/>
      </c>
      <c r="X49" s="0" t="str">
        <f aca="false">IF(Staff!$A49="","",Staff!$AM49)</f>
        <v/>
      </c>
      <c r="Y49" s="0" t="str">
        <f aca="false">IF(Staff!$A49="","",Staff!$AO49)</f>
        <v/>
      </c>
      <c r="Z49" s="0" t="str">
        <f aca="false">IF(Staff!$A49="","",Staff!$AP49)</f>
        <v/>
      </c>
      <c r="AA49" s="0" t="str">
        <f aca="false">IF(Staff!$A49="","",Staff!$AT49)</f>
        <v/>
      </c>
      <c r="AB49" s="0" t="str">
        <f aca="false">IF(Staff!$A49="","",Staff!$AU49)</f>
        <v/>
      </c>
      <c r="AC49" s="0" t="str">
        <f aca="false">IF(Staff!$A49="","",Staff!$AV49)</f>
        <v/>
      </c>
      <c r="AD49" s="0" t="str">
        <f aca="false">IF(Staff!$A49="","",Staff!$AW49)</f>
        <v/>
      </c>
    </row>
    <row r="50" customFormat="false" ht="15" hidden="false" customHeight="false" outlineLevel="0" collapsed="false">
      <c r="A50" s="16" t="str">
        <f aca="false">IF(Staff!$A50="","",Staff!$A50)</f>
        <v/>
      </c>
      <c r="B50" s="16" t="str">
        <f aca="false">IF(Staff!$A50="","",Staff!$B50)</f>
        <v/>
      </c>
      <c r="C50" s="16" t="str">
        <f aca="false">IF(Staff!$A50="","",Staff!$C50)</f>
        <v/>
      </c>
      <c r="D50" s="14" t="str">
        <f aca="false">IF(Staff!$A50="","",Staff!$AL50)</f>
        <v/>
      </c>
      <c r="E50" s="16" t="str">
        <f aca="false">IF(Staff!$A50="","",Staff!$O50)</f>
        <v/>
      </c>
      <c r="F50" s="16" t="str">
        <f aca="false">IF(E50="","",E50*HoursPerDay)</f>
        <v/>
      </c>
      <c r="G50" s="16" t="str">
        <f aca="false">IF(Staff!$A50="","",Staff!$AE50)</f>
        <v/>
      </c>
      <c r="H50" s="28" t="str">
        <f aca="false">IF($A50="","",I50&amp;J50&amp;K50&amp;L50&amp;M50&amp;N50&amp;O50&amp;P50&amp;Q50&amp;R50&amp;S50&amp;T50&amp;U50&amp;V50&amp;W50)</f>
        <v/>
      </c>
      <c r="I50" s="0" t="str">
        <f aca="false">IF(OR($A50="",$D50=""),"",IF(AND(EDATE($D50,Milestones!$AA$20)&lt;=AsOfDate,EDATE($D50,Milestones!$AA$20)&gt;=SchemeStart,IF($X50=0,$AD50,IF(AND($Z50&lt;&gt;"",EDATE($D50,Milestones!$AA$20)&gt;=$Z50),$AC50,IF(AND($Y50&lt;&gt;"",EDATE($D50,Milestones!$AA$20)&gt;=$Y50),$AB50,$AA50)))=Milestones!$AB$20),UPPER(TEXT(EDATE($D50,Milestones!$AA$20),"dd mmm yy"))&amp;" "&amp;Milestones!$AB$20&amp;" "&amp;IF(AND(Milestones!$AB$20="FT",Milestones!$AA$20=FT_Y5,EDATE($D50,Milestones!$AA$20)&lt;PolicyEff),1,Milestones!$AC$20)&amp;";  ","")&amp;IF(AND(EDATE($D50,Milestones!$AA$21)&lt;=AsOfDate,EDATE($D50,Milestones!$AA$21)&gt;=SchemeStart,IF($X50=0,$AD50,IF(AND($Z50&lt;&gt;"",EDATE($D50,Milestones!$AA$21)&gt;=$Z50),$AC50,IF(AND($Y50&lt;&gt;"",EDATE($D50,Milestones!$AA$21)&gt;=$Y50),$AB50,$AA50)))=Milestones!$AB$21),UPPER(TEXT(EDATE($D50,Milestones!$AA$21),"dd mmm yy"))&amp;" "&amp;Milestones!$AB$21&amp;" "&amp;IF(AND(Milestones!$AB$21="FT",Milestones!$AA$21=FT_Y5,EDATE($D50,Milestones!$AA$21)&lt;PolicyEff),1,Milestones!$AC$21)&amp;";  ","")&amp;IF(AND(EDATE($D50,Milestones!$AA$22)&lt;=AsOfDate,EDATE($D50,Milestones!$AA$22)&gt;=SchemeStart,IF($X50=0,$AD50,IF(AND($Z50&lt;&gt;"",EDATE($D50,Milestones!$AA$22)&gt;=$Z50),$AC50,IF(AND($Y50&lt;&gt;"",EDATE($D50,Milestones!$AA$22)&gt;=$Y50),$AB50,$AA50)))=Milestones!$AB$22),UPPER(TEXT(EDATE($D50,Milestones!$AA$22),"dd mmm yy"))&amp;" "&amp;Milestones!$AB$22&amp;" "&amp;IF(AND(Milestones!$AB$22="FT",Milestones!$AA$22=FT_Y5,EDATE($D50,Milestones!$AA$22)&lt;PolicyEff),1,Milestones!$AC$22)&amp;";  ","")&amp;IF(AND(EDATE($D50,Milestones!$AA$23)&lt;=AsOfDate,EDATE($D50,Milestones!$AA$23)&gt;=SchemeStart,IF($X50=0,$AD50,IF(AND($Z50&lt;&gt;"",EDATE($D50,Milestones!$AA$23)&gt;=$Z50),$AC50,IF(AND($Y50&lt;&gt;"",EDATE($D50,Milestones!$AA$23)&gt;=$Y50),$AB50,$AA50)))=Milestones!$AB$23),UPPER(TEXT(EDATE($D50,Milestones!$AA$23),"dd mmm yy"))&amp;" "&amp;Milestones!$AB$23&amp;" "&amp;IF(AND(Milestones!$AB$23="FT",Milestones!$AA$23=FT_Y5,EDATE($D50,Milestones!$AA$23)&lt;PolicyEff),1,Milestones!$AC$23)&amp;";  ","")&amp;IF(AND(EDATE($D50,Milestones!$AA$24)&lt;=AsOfDate,EDATE($D50,Milestones!$AA$24)&gt;=SchemeStart,IF($X50=0,$AD50,IF(AND($Z50&lt;&gt;"",EDATE($D50,Milestones!$AA$24)&gt;=$Z50),$AC50,IF(AND($Y50&lt;&gt;"",EDATE($D50,Milestones!$AA$24)&gt;=$Y50),$AB50,$AA50)))=Milestones!$AB$24),UPPER(TEXT(EDATE($D50,Milestones!$AA$24),"dd mmm yy"))&amp;" "&amp;Milestones!$AB$24&amp;" "&amp;IF(AND(Milestones!$AB$24="FT",Milestones!$AA$24=FT_Y5,EDATE($D50,Milestones!$AA$24)&lt;PolicyEff),1,Milestones!$AC$24)&amp;";  ","")&amp;IF(AND(EDATE($D50,Milestones!$AA$25)&lt;=AsOfDate,EDATE($D50,Milestones!$AA$25)&gt;=SchemeStart,IF($X50=0,$AD50,IF(AND($Z50&lt;&gt;"",EDATE($D50,Milestones!$AA$25)&gt;=$Z50),$AC50,IF(AND($Y50&lt;&gt;"",EDATE($D50,Milestones!$AA$25)&gt;=$Y50),$AB50,$AA50)))=Milestones!$AB$25),UPPER(TEXT(EDATE($D50,Milestones!$AA$25),"dd mmm yy"))&amp;" "&amp;Milestones!$AB$25&amp;" "&amp;IF(AND(Milestones!$AB$25="FT",Milestones!$AA$25=FT_Y5,EDATE($D50,Milestones!$AA$25)&lt;PolicyEff),1,Milestones!$AC$25)&amp;";  ","")&amp;IF(AND(EDATE($D50,Milestones!$AA$26)&lt;=AsOfDate,EDATE($D50,Milestones!$AA$26)&gt;=SchemeStart,IF($X50=0,$AD50,IF(AND($Z50&lt;&gt;"",EDATE($D50,Milestones!$AA$26)&gt;=$Z50),$AC50,IF(AND($Y50&lt;&gt;"",EDATE($D50,Milestones!$AA$26)&gt;=$Y50),$AB50,$AA50)))=Milestones!$AB$26),UPPER(TEXT(EDATE($D50,Milestones!$AA$26),"dd mmm yy"))&amp;" "&amp;Milestones!$AB$26&amp;" "&amp;IF(AND(Milestones!$AB$26="FT",Milestones!$AA$26=FT_Y5,EDATE($D50,Milestones!$AA$26)&lt;PolicyEff),1,Milestones!$AC$26)&amp;";  ","")&amp;IF(AND(EDATE($D50,Milestones!$AA$27)&lt;=AsOfDate,EDATE($D50,Milestones!$AA$27)&gt;=SchemeStart,IF($X50=0,$AD50,IF(AND($Z50&lt;&gt;"",EDATE($D50,Milestones!$AA$27)&gt;=$Z50),$AC50,IF(AND($Y50&lt;&gt;"",EDATE($D50,Milestones!$AA$27)&gt;=$Y50),$AB50,$AA50)))=Milestones!$AB$27),UPPER(TEXT(EDATE($D50,Milestones!$AA$27),"dd mmm yy"))&amp;" "&amp;Milestones!$AB$27&amp;" "&amp;IF(AND(Milestones!$AB$27="FT",Milestones!$AA$27=FT_Y5,EDATE($D50,Milestones!$AA$27)&lt;PolicyEff),1,Milestones!$AC$27)&amp;";  ","")&amp;IF(AND(EDATE($D50,Milestones!$AA$28)&lt;=AsOfDate,EDATE($D50,Milestones!$AA$28)&gt;=SchemeStart,IF($X50=0,$AD50,IF(AND($Z50&lt;&gt;"",EDATE($D50,Milestones!$AA$28)&gt;=$Z50),$AC50,IF(AND($Y50&lt;&gt;"",EDATE($D50,Milestones!$AA$28)&gt;=$Y50),$AB50,$AA50)))=Milestones!$AB$28),UPPER(TEXT(EDATE($D50,Milestones!$AA$28),"dd mmm yy"))&amp;" "&amp;Milestones!$AB$28&amp;" "&amp;IF(AND(Milestones!$AB$28="FT",Milestones!$AA$28=FT_Y5,EDATE($D50,Milestones!$AA$28)&lt;PolicyEff),1,Milestones!$AC$28)&amp;";  ","")&amp;IF(AND(EDATE($D50,Milestones!$AA$29)&lt;=AsOfDate,EDATE($D50,Milestones!$AA$29)&gt;=SchemeStart,IF($X50=0,$AD50,IF(AND($Z50&lt;&gt;"",EDATE($D50,Milestones!$AA$29)&gt;=$Z50),$AC50,IF(AND($Y50&lt;&gt;"",EDATE($D50,Milestones!$AA$29)&gt;=$Y50),$AB50,$AA50)))=Milestones!$AB$29),UPPER(TEXT(EDATE($D50,Milestones!$AA$29),"dd mmm yy"))&amp;" "&amp;Milestones!$AB$29&amp;" "&amp;IF(AND(Milestones!$AB$29="FT",Milestones!$AA$29=FT_Y5,EDATE($D50,Milestones!$AA$29)&lt;PolicyEff),1,Milestones!$AC$29)&amp;";  ","")&amp;IF(AND(EDATE($D50,Milestones!$AA$30)&lt;=AsOfDate,EDATE($D50,Milestones!$AA$30)&gt;=SchemeStart,IF($X50=0,$AD50,IF(AND($Z50&lt;&gt;"",EDATE($D50,Milestones!$AA$30)&gt;=$Z50),$AC50,IF(AND($Y50&lt;&gt;"",EDATE($D50,Milestones!$AA$30)&gt;=$Y50),$AB50,$AA50)))=Milestones!$AB$30),UPPER(TEXT(EDATE($D50,Milestones!$AA$30),"dd mmm yy"))&amp;" "&amp;Milestones!$AB$30&amp;" "&amp;IF(AND(Milestones!$AB$30="FT",Milestones!$AA$30=FT_Y5,EDATE($D50,Milestones!$AA$30)&lt;PolicyEff),1,Milestones!$AC$30)&amp;";  ","")&amp;IF(AND(EDATE($D50,Milestones!$AA$31)&lt;=AsOfDate,EDATE($D50,Milestones!$AA$31)&gt;=SchemeStart,IF($X50=0,$AD50,IF(AND($Z50&lt;&gt;"",EDATE($D50,Milestones!$AA$31)&gt;=$Z50),$AC50,IF(AND($Y50&lt;&gt;"",EDATE($D50,Milestones!$AA$31)&gt;=$Y50),$AB50,$AA50)))=Milestones!$AB$31),UPPER(TEXT(EDATE($D50,Milestones!$AA$31),"dd mmm yy"))&amp;" "&amp;Milestones!$AB$31&amp;" "&amp;IF(AND(Milestones!$AB$31="FT",Milestones!$AA$31=FT_Y5,EDATE($D50,Milestones!$AA$31)&lt;PolicyEff),1,Milestones!$AC$31)&amp;";  ",""))</f>
        <v/>
      </c>
      <c r="J50" s="0" t="str">
        <f aca="false">IF(OR($A50="",$D50=""),"",IF(AND(EDATE($D50,Milestones!$AA$32)&lt;=AsOfDate,EDATE($D50,Milestones!$AA$32)&gt;=SchemeStart,IF($X50=0,$AD50,IF(AND($Z50&lt;&gt;"",EDATE($D50,Milestones!$AA$32)&gt;=$Z50),$AC50,IF(AND($Y50&lt;&gt;"",EDATE($D50,Milestones!$AA$32)&gt;=$Y50),$AB50,$AA50)))=Milestones!$AB$32),UPPER(TEXT(EDATE($D50,Milestones!$AA$32),"dd mmm yy"))&amp;" "&amp;Milestones!$AB$32&amp;" "&amp;IF(AND(Milestones!$AB$32="FT",Milestones!$AA$32=FT_Y5,EDATE($D50,Milestones!$AA$32)&lt;PolicyEff),1,Milestones!$AC$32)&amp;";  ","")&amp;IF(AND(EDATE($D50,Milestones!$AA$33)&lt;=AsOfDate,EDATE($D50,Milestones!$AA$33)&gt;=SchemeStart,IF($X50=0,$AD50,IF(AND($Z50&lt;&gt;"",EDATE($D50,Milestones!$AA$33)&gt;=$Z50),$AC50,IF(AND($Y50&lt;&gt;"",EDATE($D50,Milestones!$AA$33)&gt;=$Y50),$AB50,$AA50)))=Milestones!$AB$33),UPPER(TEXT(EDATE($D50,Milestones!$AA$33),"dd mmm yy"))&amp;" "&amp;Milestones!$AB$33&amp;" "&amp;IF(AND(Milestones!$AB$33="FT",Milestones!$AA$33=FT_Y5,EDATE($D50,Milestones!$AA$33)&lt;PolicyEff),1,Milestones!$AC$33)&amp;";  ","")&amp;IF(AND(EDATE($D50,Milestones!$AA$34)&lt;=AsOfDate,EDATE($D50,Milestones!$AA$34)&gt;=SchemeStart,IF($X50=0,$AD50,IF(AND($Z50&lt;&gt;"",EDATE($D50,Milestones!$AA$34)&gt;=$Z50),$AC50,IF(AND($Y50&lt;&gt;"",EDATE($D50,Milestones!$AA$34)&gt;=$Y50),$AB50,$AA50)))=Milestones!$AB$34),UPPER(TEXT(EDATE($D50,Milestones!$AA$34),"dd mmm yy"))&amp;" "&amp;Milestones!$AB$34&amp;" "&amp;IF(AND(Milestones!$AB$34="FT",Milestones!$AA$34=FT_Y5,EDATE($D50,Milestones!$AA$34)&lt;PolicyEff),1,Milestones!$AC$34)&amp;";  ","")&amp;IF(AND(EDATE($D50,Milestones!$AA$35)&lt;=AsOfDate,EDATE($D50,Milestones!$AA$35)&gt;=SchemeStart,IF($X50=0,$AD50,IF(AND($Z50&lt;&gt;"",EDATE($D50,Milestones!$AA$35)&gt;=$Z50),$AC50,IF(AND($Y50&lt;&gt;"",EDATE($D50,Milestones!$AA$35)&gt;=$Y50),$AB50,$AA50)))=Milestones!$AB$35),UPPER(TEXT(EDATE($D50,Milestones!$AA$35),"dd mmm yy"))&amp;" "&amp;Milestones!$AB$35&amp;" "&amp;IF(AND(Milestones!$AB$35="FT",Milestones!$AA$35=FT_Y5,EDATE($D50,Milestones!$AA$35)&lt;PolicyEff),1,Milestones!$AC$35)&amp;";  ","")&amp;IF(AND(EDATE($D50,Milestones!$AA$36)&lt;=AsOfDate,EDATE($D50,Milestones!$AA$36)&gt;=SchemeStart,IF($X50=0,$AD50,IF(AND($Z50&lt;&gt;"",EDATE($D50,Milestones!$AA$36)&gt;=$Z50),$AC50,IF(AND($Y50&lt;&gt;"",EDATE($D50,Milestones!$AA$36)&gt;=$Y50),$AB50,$AA50)))=Milestones!$AB$36),UPPER(TEXT(EDATE($D50,Milestones!$AA$36),"dd mmm yy"))&amp;" "&amp;Milestones!$AB$36&amp;" "&amp;IF(AND(Milestones!$AB$36="FT",Milestones!$AA$36=FT_Y5,EDATE($D50,Milestones!$AA$36)&lt;PolicyEff),1,Milestones!$AC$36)&amp;";  ","")&amp;IF(AND(EDATE($D50,Milestones!$AA$37)&lt;=AsOfDate,EDATE($D50,Milestones!$AA$37)&gt;=SchemeStart,IF($X50=0,$AD50,IF(AND($Z50&lt;&gt;"",EDATE($D50,Milestones!$AA$37)&gt;=$Z50),$AC50,IF(AND($Y50&lt;&gt;"",EDATE($D50,Milestones!$AA$37)&gt;=$Y50),$AB50,$AA50)))=Milestones!$AB$37),UPPER(TEXT(EDATE($D50,Milestones!$AA$37),"dd mmm yy"))&amp;" "&amp;Milestones!$AB$37&amp;" "&amp;IF(AND(Milestones!$AB$37="FT",Milestones!$AA$37=FT_Y5,EDATE($D50,Milestones!$AA$37)&lt;PolicyEff),1,Milestones!$AC$37)&amp;";  ","")&amp;IF(AND(EDATE($D50,Milestones!$AA$38)&lt;=AsOfDate,EDATE($D50,Milestones!$AA$38)&gt;=SchemeStart,IF($X50=0,$AD50,IF(AND($Z50&lt;&gt;"",EDATE($D50,Milestones!$AA$38)&gt;=$Z50),$AC50,IF(AND($Y50&lt;&gt;"",EDATE($D50,Milestones!$AA$38)&gt;=$Y50),$AB50,$AA50)))=Milestones!$AB$38),UPPER(TEXT(EDATE($D50,Milestones!$AA$38),"dd mmm yy"))&amp;" "&amp;Milestones!$AB$38&amp;" "&amp;IF(AND(Milestones!$AB$38="FT",Milestones!$AA$38=FT_Y5,EDATE($D50,Milestones!$AA$38)&lt;PolicyEff),1,Milestones!$AC$38)&amp;";  ","")&amp;IF(AND(EDATE($D50,Milestones!$AA$39)&lt;=AsOfDate,EDATE($D50,Milestones!$AA$39)&gt;=SchemeStart,IF($X50=0,$AD50,IF(AND($Z50&lt;&gt;"",EDATE($D50,Milestones!$AA$39)&gt;=$Z50),$AC50,IF(AND($Y50&lt;&gt;"",EDATE($D50,Milestones!$AA$39)&gt;=$Y50),$AB50,$AA50)))=Milestones!$AB$39),UPPER(TEXT(EDATE($D50,Milestones!$AA$39),"dd mmm yy"))&amp;" "&amp;Milestones!$AB$39&amp;" "&amp;IF(AND(Milestones!$AB$39="FT",Milestones!$AA$39=FT_Y5,EDATE($D50,Milestones!$AA$39)&lt;PolicyEff),1,Milestones!$AC$39)&amp;";  ","")&amp;IF(AND(EDATE($D50,Milestones!$AA$40)&lt;=AsOfDate,EDATE($D50,Milestones!$AA$40)&gt;=SchemeStart,IF($X50=0,$AD50,IF(AND($Z50&lt;&gt;"",EDATE($D50,Milestones!$AA$40)&gt;=$Z50),$AC50,IF(AND($Y50&lt;&gt;"",EDATE($D50,Milestones!$AA$40)&gt;=$Y50),$AB50,$AA50)))=Milestones!$AB$40),UPPER(TEXT(EDATE($D50,Milestones!$AA$40),"dd mmm yy"))&amp;" "&amp;Milestones!$AB$40&amp;" "&amp;IF(AND(Milestones!$AB$40="FT",Milestones!$AA$40=FT_Y5,EDATE($D50,Milestones!$AA$40)&lt;PolicyEff),1,Milestones!$AC$40)&amp;";  ","")&amp;IF(AND(EDATE($D50,Milestones!$AA$41)&lt;=AsOfDate,EDATE($D50,Milestones!$AA$41)&gt;=SchemeStart,IF($X50=0,$AD50,IF(AND($Z50&lt;&gt;"",EDATE($D50,Milestones!$AA$41)&gt;=$Z50),$AC50,IF(AND($Y50&lt;&gt;"",EDATE($D50,Milestones!$AA$41)&gt;=$Y50),$AB50,$AA50)))=Milestones!$AB$41),UPPER(TEXT(EDATE($D50,Milestones!$AA$41),"dd mmm yy"))&amp;" "&amp;Milestones!$AB$41&amp;" "&amp;IF(AND(Milestones!$AB$41="FT",Milestones!$AA$41=FT_Y5,EDATE($D50,Milestones!$AA$41)&lt;PolicyEff),1,Milestones!$AC$41)&amp;";  ","")&amp;IF(AND(EDATE($D50,Milestones!$AA$42)&lt;=AsOfDate,EDATE($D50,Milestones!$AA$42)&gt;=SchemeStart,IF($X50=0,$AD50,IF(AND($Z50&lt;&gt;"",EDATE($D50,Milestones!$AA$42)&gt;=$Z50),$AC50,IF(AND($Y50&lt;&gt;"",EDATE($D50,Milestones!$AA$42)&gt;=$Y50),$AB50,$AA50)))=Milestones!$AB$42),UPPER(TEXT(EDATE($D50,Milestones!$AA$42),"dd mmm yy"))&amp;" "&amp;Milestones!$AB$42&amp;" "&amp;IF(AND(Milestones!$AB$42="FT",Milestones!$AA$42=FT_Y5,EDATE($D50,Milestones!$AA$42)&lt;PolicyEff),1,Milestones!$AC$42)&amp;";  ","")&amp;IF(AND(EDATE($D50,Milestones!$AA$43)&lt;=AsOfDate,EDATE($D50,Milestones!$AA$43)&gt;=SchemeStart,IF($X50=0,$AD50,IF(AND($Z50&lt;&gt;"",EDATE($D50,Milestones!$AA$43)&gt;=$Z50),$AC50,IF(AND($Y50&lt;&gt;"",EDATE($D50,Milestones!$AA$43)&gt;=$Y50),$AB50,$AA50)))=Milestones!$AB$43),UPPER(TEXT(EDATE($D50,Milestones!$AA$43),"dd mmm yy"))&amp;" "&amp;Milestones!$AB$43&amp;" "&amp;IF(AND(Milestones!$AB$43="FT",Milestones!$AA$43=FT_Y5,EDATE($D50,Milestones!$AA$43)&lt;PolicyEff),1,Milestones!$AC$43)&amp;";  ",""))</f>
        <v/>
      </c>
      <c r="K50" s="0" t="str">
        <f aca="false">IF(OR($A50="",$D50=""),"",IF(AND(EDATE($D50,Milestones!$AA$44)&lt;=AsOfDate,EDATE($D50,Milestones!$AA$44)&gt;=SchemeStart,IF($X50=0,$AD50,IF(AND($Z50&lt;&gt;"",EDATE($D50,Milestones!$AA$44)&gt;=$Z50),$AC50,IF(AND($Y50&lt;&gt;"",EDATE($D50,Milestones!$AA$44)&gt;=$Y50),$AB50,$AA50)))=Milestones!$AB$44),UPPER(TEXT(EDATE($D50,Milestones!$AA$44),"dd mmm yy"))&amp;" "&amp;Milestones!$AB$44&amp;" "&amp;IF(AND(Milestones!$AB$44="FT",Milestones!$AA$44=FT_Y5,EDATE($D50,Milestones!$AA$44)&lt;PolicyEff),1,Milestones!$AC$44)&amp;";  ","")&amp;IF(AND(EDATE($D50,Milestones!$AA$45)&lt;=AsOfDate,EDATE($D50,Milestones!$AA$45)&gt;=SchemeStart,IF($X50=0,$AD50,IF(AND($Z50&lt;&gt;"",EDATE($D50,Milestones!$AA$45)&gt;=$Z50),$AC50,IF(AND($Y50&lt;&gt;"",EDATE($D50,Milestones!$AA$45)&gt;=$Y50),$AB50,$AA50)))=Milestones!$AB$45),UPPER(TEXT(EDATE($D50,Milestones!$AA$45),"dd mmm yy"))&amp;" "&amp;Milestones!$AB$45&amp;" "&amp;IF(AND(Milestones!$AB$45="FT",Milestones!$AA$45=FT_Y5,EDATE($D50,Milestones!$AA$45)&lt;PolicyEff),1,Milestones!$AC$45)&amp;";  ","")&amp;IF(AND(EDATE($D50,Milestones!$AA$46)&lt;=AsOfDate,EDATE($D50,Milestones!$AA$46)&gt;=SchemeStart,IF($X50=0,$AD50,IF(AND($Z50&lt;&gt;"",EDATE($D50,Milestones!$AA$46)&gt;=$Z50),$AC50,IF(AND($Y50&lt;&gt;"",EDATE($D50,Milestones!$AA$46)&gt;=$Y50),$AB50,$AA50)))=Milestones!$AB$46),UPPER(TEXT(EDATE($D50,Milestones!$AA$46),"dd mmm yy"))&amp;" "&amp;Milestones!$AB$46&amp;" "&amp;IF(AND(Milestones!$AB$46="FT",Milestones!$AA$46=FT_Y5,EDATE($D50,Milestones!$AA$46)&lt;PolicyEff),1,Milestones!$AC$46)&amp;";  ","")&amp;IF(AND(EDATE($D50,Milestones!$AA$47)&lt;=AsOfDate,EDATE($D50,Milestones!$AA$47)&gt;=SchemeStart,IF($X50=0,$AD50,IF(AND($Z50&lt;&gt;"",EDATE($D50,Milestones!$AA$47)&gt;=$Z50),$AC50,IF(AND($Y50&lt;&gt;"",EDATE($D50,Milestones!$AA$47)&gt;=$Y50),$AB50,$AA50)))=Milestones!$AB$47),UPPER(TEXT(EDATE($D50,Milestones!$AA$47),"dd mmm yy"))&amp;" "&amp;Milestones!$AB$47&amp;" "&amp;IF(AND(Milestones!$AB$47="FT",Milestones!$AA$47=FT_Y5,EDATE($D50,Milestones!$AA$47)&lt;PolicyEff),1,Milestones!$AC$47)&amp;";  ","")&amp;IF(AND(EDATE($D50,Milestones!$AA$48)&lt;=AsOfDate,EDATE($D50,Milestones!$AA$48)&gt;=SchemeStart,IF($X50=0,$AD50,IF(AND($Z50&lt;&gt;"",EDATE($D50,Milestones!$AA$48)&gt;=$Z50),$AC50,IF(AND($Y50&lt;&gt;"",EDATE($D50,Milestones!$AA$48)&gt;=$Y50),$AB50,$AA50)))=Milestones!$AB$48),UPPER(TEXT(EDATE($D50,Milestones!$AA$48),"dd mmm yy"))&amp;" "&amp;Milestones!$AB$48&amp;" "&amp;IF(AND(Milestones!$AB$48="FT",Milestones!$AA$48=FT_Y5,EDATE($D50,Milestones!$AA$48)&lt;PolicyEff),1,Milestones!$AC$48)&amp;";  ","")&amp;IF(AND(EDATE($D50,Milestones!$AA$49)&lt;=AsOfDate,EDATE($D50,Milestones!$AA$49)&gt;=SchemeStart,IF($X50=0,$AD50,IF(AND($Z50&lt;&gt;"",EDATE($D50,Milestones!$AA$49)&gt;=$Z50),$AC50,IF(AND($Y50&lt;&gt;"",EDATE($D50,Milestones!$AA$49)&gt;=$Y50),$AB50,$AA50)))=Milestones!$AB$49),UPPER(TEXT(EDATE($D50,Milestones!$AA$49),"dd mmm yy"))&amp;" "&amp;Milestones!$AB$49&amp;" "&amp;IF(AND(Milestones!$AB$49="FT",Milestones!$AA$49=FT_Y5,EDATE($D50,Milestones!$AA$49)&lt;PolicyEff),1,Milestones!$AC$49)&amp;";  ","")&amp;IF(AND(EDATE($D50,Milestones!$AA$50)&lt;=AsOfDate,EDATE($D50,Milestones!$AA$50)&gt;=SchemeStart,IF($X50=0,$AD50,IF(AND($Z50&lt;&gt;"",EDATE($D50,Milestones!$AA$50)&gt;=$Z50),$AC50,IF(AND($Y50&lt;&gt;"",EDATE($D50,Milestones!$AA$50)&gt;=$Y50),$AB50,$AA50)))=Milestones!$AB$50),UPPER(TEXT(EDATE($D50,Milestones!$AA$50),"dd mmm yy"))&amp;" "&amp;Milestones!$AB$50&amp;" "&amp;IF(AND(Milestones!$AB$50="FT",Milestones!$AA$50=FT_Y5,EDATE($D50,Milestones!$AA$50)&lt;PolicyEff),1,Milestones!$AC$50)&amp;";  ","")&amp;IF(AND(EDATE($D50,Milestones!$AA$51)&lt;=AsOfDate,EDATE($D50,Milestones!$AA$51)&gt;=SchemeStart,IF($X50=0,$AD50,IF(AND($Z50&lt;&gt;"",EDATE($D50,Milestones!$AA$51)&gt;=$Z50),$AC50,IF(AND($Y50&lt;&gt;"",EDATE($D50,Milestones!$AA$51)&gt;=$Y50),$AB50,$AA50)))=Milestones!$AB$51),UPPER(TEXT(EDATE($D50,Milestones!$AA$51),"dd mmm yy"))&amp;" "&amp;Milestones!$AB$51&amp;" "&amp;IF(AND(Milestones!$AB$51="FT",Milestones!$AA$51=FT_Y5,EDATE($D50,Milestones!$AA$51)&lt;PolicyEff),1,Milestones!$AC$51)&amp;";  ","")&amp;IF(AND(EDATE($D50,Milestones!$AA$52)&lt;=AsOfDate,EDATE($D50,Milestones!$AA$52)&gt;=SchemeStart,IF($X50=0,$AD50,IF(AND($Z50&lt;&gt;"",EDATE($D50,Milestones!$AA$52)&gt;=$Z50),$AC50,IF(AND($Y50&lt;&gt;"",EDATE($D50,Milestones!$AA$52)&gt;=$Y50),$AB50,$AA50)))=Milestones!$AB$52),UPPER(TEXT(EDATE($D50,Milestones!$AA$52),"dd mmm yy"))&amp;" "&amp;Milestones!$AB$52&amp;" "&amp;IF(AND(Milestones!$AB$52="FT",Milestones!$AA$52=FT_Y5,EDATE($D50,Milestones!$AA$52)&lt;PolicyEff),1,Milestones!$AC$52)&amp;";  ","")&amp;IF(AND(EDATE($D50,Milestones!$AA$53)&lt;=AsOfDate,EDATE($D50,Milestones!$AA$53)&gt;=SchemeStart,IF($X50=0,$AD50,IF(AND($Z50&lt;&gt;"",EDATE($D50,Milestones!$AA$53)&gt;=$Z50),$AC50,IF(AND($Y50&lt;&gt;"",EDATE($D50,Milestones!$AA$53)&gt;=$Y50),$AB50,$AA50)))=Milestones!$AB$53),UPPER(TEXT(EDATE($D50,Milestones!$AA$53),"dd mmm yy"))&amp;" "&amp;Milestones!$AB$53&amp;" "&amp;IF(AND(Milestones!$AB$53="FT",Milestones!$AA$53=FT_Y5,EDATE($D50,Milestones!$AA$53)&lt;PolicyEff),1,Milestones!$AC$53)&amp;";  ","")&amp;IF(AND(EDATE($D50,Milestones!$AA$54)&lt;=AsOfDate,EDATE($D50,Milestones!$AA$54)&gt;=SchemeStart,IF($X50=0,$AD50,IF(AND($Z50&lt;&gt;"",EDATE($D50,Milestones!$AA$54)&gt;=$Z50),$AC50,IF(AND($Y50&lt;&gt;"",EDATE($D50,Milestones!$AA$54)&gt;=$Y50),$AB50,$AA50)))=Milestones!$AB$54),UPPER(TEXT(EDATE($D50,Milestones!$AA$54),"dd mmm yy"))&amp;" "&amp;Milestones!$AB$54&amp;" "&amp;IF(AND(Milestones!$AB$54="FT",Milestones!$AA$54=FT_Y5,EDATE($D50,Milestones!$AA$54)&lt;PolicyEff),1,Milestones!$AC$54)&amp;";  ","")&amp;IF(AND(EDATE($D50,Milestones!$AA$55)&lt;=AsOfDate,EDATE($D50,Milestones!$AA$55)&gt;=SchemeStart,IF($X50=0,$AD50,IF(AND($Z50&lt;&gt;"",EDATE($D50,Milestones!$AA$55)&gt;=$Z50),$AC50,IF(AND($Y50&lt;&gt;"",EDATE($D50,Milestones!$AA$55)&gt;=$Y50),$AB50,$AA50)))=Milestones!$AB$55),UPPER(TEXT(EDATE($D50,Milestones!$AA$55),"dd mmm yy"))&amp;" "&amp;Milestones!$AB$55&amp;" "&amp;IF(AND(Milestones!$AB$55="FT",Milestones!$AA$55=FT_Y5,EDATE($D50,Milestones!$AA$55)&lt;PolicyEff),1,Milestones!$AC$55)&amp;";  ",""))</f>
        <v/>
      </c>
      <c r="L50" s="0" t="str">
        <f aca="false">IF(OR($A50="",$D50=""),"",IF(AND(EDATE($D50,Milestones!$AA$56)&lt;=AsOfDate,EDATE($D50,Milestones!$AA$56)&gt;=SchemeStart,IF($X50=0,$AD50,IF(AND($Z50&lt;&gt;"",EDATE($D50,Milestones!$AA$56)&gt;=$Z50),$AC50,IF(AND($Y50&lt;&gt;"",EDATE($D50,Milestones!$AA$56)&gt;=$Y50),$AB50,$AA50)))=Milestones!$AB$56),UPPER(TEXT(EDATE($D50,Milestones!$AA$56),"dd mmm yy"))&amp;" "&amp;Milestones!$AB$56&amp;" "&amp;IF(AND(Milestones!$AB$56="FT",Milestones!$AA$56=FT_Y5,EDATE($D50,Milestones!$AA$56)&lt;PolicyEff),1,Milestones!$AC$56)&amp;";  ","")&amp;IF(AND(EDATE($D50,Milestones!$AA$57)&lt;=AsOfDate,EDATE($D50,Milestones!$AA$57)&gt;=SchemeStart,IF($X50=0,$AD50,IF(AND($Z50&lt;&gt;"",EDATE($D50,Milestones!$AA$57)&gt;=$Z50),$AC50,IF(AND($Y50&lt;&gt;"",EDATE($D50,Milestones!$AA$57)&gt;=$Y50),$AB50,$AA50)))=Milestones!$AB$57),UPPER(TEXT(EDATE($D50,Milestones!$AA$57),"dd mmm yy"))&amp;" "&amp;Milestones!$AB$57&amp;" "&amp;IF(AND(Milestones!$AB$57="FT",Milestones!$AA$57=FT_Y5,EDATE($D50,Milestones!$AA$57)&lt;PolicyEff),1,Milestones!$AC$57)&amp;";  ","")&amp;IF(AND(EDATE($D50,Milestones!$AA$58)&lt;=AsOfDate,EDATE($D50,Milestones!$AA$58)&gt;=SchemeStart,IF($X50=0,$AD50,IF(AND($Z50&lt;&gt;"",EDATE($D50,Milestones!$AA$58)&gt;=$Z50),$AC50,IF(AND($Y50&lt;&gt;"",EDATE($D50,Milestones!$AA$58)&gt;=$Y50),$AB50,$AA50)))=Milestones!$AB$58),UPPER(TEXT(EDATE($D50,Milestones!$AA$58),"dd mmm yy"))&amp;" "&amp;Milestones!$AB$58&amp;" "&amp;IF(AND(Milestones!$AB$58="FT",Milestones!$AA$58=FT_Y5,EDATE($D50,Milestones!$AA$58)&lt;PolicyEff),1,Milestones!$AC$58)&amp;";  ","")&amp;IF(AND(EDATE($D50,Milestones!$AA$59)&lt;=AsOfDate,EDATE($D50,Milestones!$AA$59)&gt;=SchemeStart,IF($X50=0,$AD50,IF(AND($Z50&lt;&gt;"",EDATE($D50,Milestones!$AA$59)&gt;=$Z50),$AC50,IF(AND($Y50&lt;&gt;"",EDATE($D50,Milestones!$AA$59)&gt;=$Y50),$AB50,$AA50)))=Milestones!$AB$59),UPPER(TEXT(EDATE($D50,Milestones!$AA$59),"dd mmm yy"))&amp;" "&amp;Milestones!$AB$59&amp;" "&amp;IF(AND(Milestones!$AB$59="FT",Milestones!$AA$59=FT_Y5,EDATE($D50,Milestones!$AA$59)&lt;PolicyEff),1,Milestones!$AC$59)&amp;";  ","")&amp;IF(AND(EDATE($D50,Milestones!$AA$60)&lt;=AsOfDate,EDATE($D50,Milestones!$AA$60)&gt;=SchemeStart,IF($X50=0,$AD50,IF(AND($Z50&lt;&gt;"",EDATE($D50,Milestones!$AA$60)&gt;=$Z50),$AC50,IF(AND($Y50&lt;&gt;"",EDATE($D50,Milestones!$AA$60)&gt;=$Y50),$AB50,$AA50)))=Milestones!$AB$60),UPPER(TEXT(EDATE($D50,Milestones!$AA$60),"dd mmm yy"))&amp;" "&amp;Milestones!$AB$60&amp;" "&amp;IF(AND(Milestones!$AB$60="FT",Milestones!$AA$60=FT_Y5,EDATE($D50,Milestones!$AA$60)&lt;PolicyEff),1,Milestones!$AC$60)&amp;";  ","")&amp;IF(AND(EDATE($D50,Milestones!$AA$61)&lt;=AsOfDate,EDATE($D50,Milestones!$AA$61)&gt;=SchemeStart,IF($X50=0,$AD50,IF(AND($Z50&lt;&gt;"",EDATE($D50,Milestones!$AA$61)&gt;=$Z50),$AC50,IF(AND($Y50&lt;&gt;"",EDATE($D50,Milestones!$AA$61)&gt;=$Y50),$AB50,$AA50)))=Milestones!$AB$61),UPPER(TEXT(EDATE($D50,Milestones!$AA$61),"dd mmm yy"))&amp;" "&amp;Milestones!$AB$61&amp;" "&amp;IF(AND(Milestones!$AB$61="FT",Milestones!$AA$61=FT_Y5,EDATE($D50,Milestones!$AA$61)&lt;PolicyEff),1,Milestones!$AC$61)&amp;";  ","")&amp;IF(AND(EDATE($D50,Milestones!$AA$62)&lt;=AsOfDate,EDATE($D50,Milestones!$AA$62)&gt;=SchemeStart,IF($X50=0,$AD50,IF(AND($Z50&lt;&gt;"",EDATE($D50,Milestones!$AA$62)&gt;=$Z50),$AC50,IF(AND($Y50&lt;&gt;"",EDATE($D50,Milestones!$AA$62)&gt;=$Y50),$AB50,$AA50)))=Milestones!$AB$62),UPPER(TEXT(EDATE($D50,Milestones!$AA$62),"dd mmm yy"))&amp;" "&amp;Milestones!$AB$62&amp;" "&amp;IF(AND(Milestones!$AB$62="FT",Milestones!$AA$62=FT_Y5,EDATE($D50,Milestones!$AA$62)&lt;PolicyEff),1,Milestones!$AC$62)&amp;";  ","")&amp;IF(AND(EDATE($D50,Milestones!$AA$63)&lt;=AsOfDate,EDATE($D50,Milestones!$AA$63)&gt;=SchemeStart,IF($X50=0,$AD50,IF(AND($Z50&lt;&gt;"",EDATE($D50,Milestones!$AA$63)&gt;=$Z50),$AC50,IF(AND($Y50&lt;&gt;"",EDATE($D50,Milestones!$AA$63)&gt;=$Y50),$AB50,$AA50)))=Milestones!$AB$63),UPPER(TEXT(EDATE($D50,Milestones!$AA$63),"dd mmm yy"))&amp;" "&amp;Milestones!$AB$63&amp;" "&amp;IF(AND(Milestones!$AB$63="FT",Milestones!$AA$63=FT_Y5,EDATE($D50,Milestones!$AA$63)&lt;PolicyEff),1,Milestones!$AC$63)&amp;";  ","")&amp;IF(AND(EDATE($D50,Milestones!$AA$64)&lt;=AsOfDate,EDATE($D50,Milestones!$AA$64)&gt;=SchemeStart,IF($X50=0,$AD50,IF(AND($Z50&lt;&gt;"",EDATE($D50,Milestones!$AA$64)&gt;=$Z50),$AC50,IF(AND($Y50&lt;&gt;"",EDATE($D50,Milestones!$AA$64)&gt;=$Y50),$AB50,$AA50)))=Milestones!$AB$64),UPPER(TEXT(EDATE($D50,Milestones!$AA$64),"dd mmm yy"))&amp;" "&amp;Milestones!$AB$64&amp;" "&amp;IF(AND(Milestones!$AB$64="FT",Milestones!$AA$64=FT_Y5,EDATE($D50,Milestones!$AA$64)&lt;PolicyEff),1,Milestones!$AC$64)&amp;";  ","")&amp;IF(AND(EDATE($D50,Milestones!$AA$65)&lt;=AsOfDate,EDATE($D50,Milestones!$AA$65)&gt;=SchemeStart,IF($X50=0,$AD50,IF(AND($Z50&lt;&gt;"",EDATE($D50,Milestones!$AA$65)&gt;=$Z50),$AC50,IF(AND($Y50&lt;&gt;"",EDATE($D50,Milestones!$AA$65)&gt;=$Y50),$AB50,$AA50)))=Milestones!$AB$65),UPPER(TEXT(EDATE($D50,Milestones!$AA$65),"dd mmm yy"))&amp;" "&amp;Milestones!$AB$65&amp;" "&amp;IF(AND(Milestones!$AB$65="FT",Milestones!$AA$65=FT_Y5,EDATE($D50,Milestones!$AA$65)&lt;PolicyEff),1,Milestones!$AC$65)&amp;";  ","")&amp;IF(AND(EDATE($D50,Milestones!$AA$66)&lt;=AsOfDate,EDATE($D50,Milestones!$AA$66)&gt;=SchemeStart,IF($X50=0,$AD50,IF(AND($Z50&lt;&gt;"",EDATE($D50,Milestones!$AA$66)&gt;=$Z50),$AC50,IF(AND($Y50&lt;&gt;"",EDATE($D50,Milestones!$AA$66)&gt;=$Y50),$AB50,$AA50)))=Milestones!$AB$66),UPPER(TEXT(EDATE($D50,Milestones!$AA$66),"dd mmm yy"))&amp;" "&amp;Milestones!$AB$66&amp;" "&amp;IF(AND(Milestones!$AB$66="FT",Milestones!$AA$66=FT_Y5,EDATE($D50,Milestones!$AA$66)&lt;PolicyEff),1,Milestones!$AC$66)&amp;";  ","")&amp;IF(AND(EDATE($D50,Milestones!$AA$67)&lt;=AsOfDate,EDATE($D50,Milestones!$AA$67)&gt;=SchemeStart,IF($X50=0,$AD50,IF(AND($Z50&lt;&gt;"",EDATE($D50,Milestones!$AA$67)&gt;=$Z50),$AC50,IF(AND($Y50&lt;&gt;"",EDATE($D50,Milestones!$AA$67)&gt;=$Y50),$AB50,$AA50)))=Milestones!$AB$67),UPPER(TEXT(EDATE($D50,Milestones!$AA$67),"dd mmm yy"))&amp;" "&amp;Milestones!$AB$67&amp;" "&amp;IF(AND(Milestones!$AB$67="FT",Milestones!$AA$67=FT_Y5,EDATE($D50,Milestones!$AA$67)&lt;PolicyEff),1,Milestones!$AC$67)&amp;";  ",""))</f>
        <v/>
      </c>
      <c r="M50" s="0" t="str">
        <f aca="false">IF(OR($A50="",$D50=""),"",IF(AND(EDATE($D50,Milestones!$AA$68)&lt;=AsOfDate,EDATE($D50,Milestones!$AA$68)&gt;=SchemeStart,IF($X50=0,$AD50,IF(AND($Z50&lt;&gt;"",EDATE($D50,Milestones!$AA$68)&gt;=$Z50),$AC50,IF(AND($Y50&lt;&gt;"",EDATE($D50,Milestones!$AA$68)&gt;=$Y50),$AB50,$AA50)))=Milestones!$AB$68),UPPER(TEXT(EDATE($D50,Milestones!$AA$68),"dd mmm yy"))&amp;" "&amp;Milestones!$AB$68&amp;" "&amp;IF(AND(Milestones!$AB$68="FT",Milestones!$AA$68=FT_Y5,EDATE($D50,Milestones!$AA$68)&lt;PolicyEff),1,Milestones!$AC$68)&amp;";  ","")&amp;IF(AND(EDATE($D50,Milestones!$AA$69)&lt;=AsOfDate,EDATE($D50,Milestones!$AA$69)&gt;=SchemeStart,IF($X50=0,$AD50,IF(AND($Z50&lt;&gt;"",EDATE($D50,Milestones!$AA$69)&gt;=$Z50),$AC50,IF(AND($Y50&lt;&gt;"",EDATE($D50,Milestones!$AA$69)&gt;=$Y50),$AB50,$AA50)))=Milestones!$AB$69),UPPER(TEXT(EDATE($D50,Milestones!$AA$69),"dd mmm yy"))&amp;" "&amp;Milestones!$AB$69&amp;" "&amp;IF(AND(Milestones!$AB$69="FT",Milestones!$AA$69=FT_Y5,EDATE($D50,Milestones!$AA$69)&lt;PolicyEff),1,Milestones!$AC$69)&amp;";  ","")&amp;IF(AND(EDATE($D50,Milestones!$AA$70)&lt;=AsOfDate,EDATE($D50,Milestones!$AA$70)&gt;=SchemeStart,IF($X50=0,$AD50,IF(AND($Z50&lt;&gt;"",EDATE($D50,Milestones!$AA$70)&gt;=$Z50),$AC50,IF(AND($Y50&lt;&gt;"",EDATE($D50,Milestones!$AA$70)&gt;=$Y50),$AB50,$AA50)))=Milestones!$AB$70),UPPER(TEXT(EDATE($D50,Milestones!$AA$70),"dd mmm yy"))&amp;" "&amp;Milestones!$AB$70&amp;" "&amp;IF(AND(Milestones!$AB$70="FT",Milestones!$AA$70=FT_Y5,EDATE($D50,Milestones!$AA$70)&lt;PolicyEff),1,Milestones!$AC$70)&amp;";  ","")&amp;IF(AND(EDATE($D50,Milestones!$AA$71)&lt;=AsOfDate,EDATE($D50,Milestones!$AA$71)&gt;=SchemeStart,IF($X50=0,$AD50,IF(AND($Z50&lt;&gt;"",EDATE($D50,Milestones!$AA$71)&gt;=$Z50),$AC50,IF(AND($Y50&lt;&gt;"",EDATE($D50,Milestones!$AA$71)&gt;=$Y50),$AB50,$AA50)))=Milestones!$AB$71),UPPER(TEXT(EDATE($D50,Milestones!$AA$71),"dd mmm yy"))&amp;" "&amp;Milestones!$AB$71&amp;" "&amp;IF(AND(Milestones!$AB$71="FT",Milestones!$AA$71=FT_Y5,EDATE($D50,Milestones!$AA$71)&lt;PolicyEff),1,Milestones!$AC$71)&amp;";  ","")&amp;IF(AND(EDATE($D50,Milestones!$AA$72)&lt;=AsOfDate,EDATE($D50,Milestones!$AA$72)&gt;=SchemeStart,IF($X50=0,$AD50,IF(AND($Z50&lt;&gt;"",EDATE($D50,Milestones!$AA$72)&gt;=$Z50),$AC50,IF(AND($Y50&lt;&gt;"",EDATE($D50,Milestones!$AA$72)&gt;=$Y50),$AB50,$AA50)))=Milestones!$AB$72),UPPER(TEXT(EDATE($D50,Milestones!$AA$72),"dd mmm yy"))&amp;" "&amp;Milestones!$AB$72&amp;" "&amp;IF(AND(Milestones!$AB$72="FT",Milestones!$AA$72=FT_Y5,EDATE($D50,Milestones!$AA$72)&lt;PolicyEff),1,Milestones!$AC$72)&amp;";  ","")&amp;IF(AND(EDATE($D50,Milestones!$AA$73)&lt;=AsOfDate,EDATE($D50,Milestones!$AA$73)&gt;=SchemeStart,IF($X50=0,$AD50,IF(AND($Z50&lt;&gt;"",EDATE($D50,Milestones!$AA$73)&gt;=$Z50),$AC50,IF(AND($Y50&lt;&gt;"",EDATE($D50,Milestones!$AA$73)&gt;=$Y50),$AB50,$AA50)))=Milestones!$AB$73),UPPER(TEXT(EDATE($D50,Milestones!$AA$73),"dd mmm yy"))&amp;" "&amp;Milestones!$AB$73&amp;" "&amp;IF(AND(Milestones!$AB$73="FT",Milestones!$AA$73=FT_Y5,EDATE($D50,Milestones!$AA$73)&lt;PolicyEff),1,Milestones!$AC$73)&amp;";  ","")&amp;IF(AND(EDATE($D50,Milestones!$AA$74)&lt;=AsOfDate,EDATE($D50,Milestones!$AA$74)&gt;=SchemeStart,IF($X50=0,$AD50,IF(AND($Z50&lt;&gt;"",EDATE($D50,Milestones!$AA$74)&gt;=$Z50),$AC50,IF(AND($Y50&lt;&gt;"",EDATE($D50,Milestones!$AA$74)&gt;=$Y50),$AB50,$AA50)))=Milestones!$AB$74),UPPER(TEXT(EDATE($D50,Milestones!$AA$74),"dd mmm yy"))&amp;" "&amp;Milestones!$AB$74&amp;" "&amp;IF(AND(Milestones!$AB$74="FT",Milestones!$AA$74=FT_Y5,EDATE($D50,Milestones!$AA$74)&lt;PolicyEff),1,Milestones!$AC$74)&amp;";  ","")&amp;IF(AND(EDATE($D50,Milestones!$AA$75)&lt;=AsOfDate,EDATE($D50,Milestones!$AA$75)&gt;=SchemeStart,IF($X50=0,$AD50,IF(AND($Z50&lt;&gt;"",EDATE($D50,Milestones!$AA$75)&gt;=$Z50),$AC50,IF(AND($Y50&lt;&gt;"",EDATE($D50,Milestones!$AA$75)&gt;=$Y50),$AB50,$AA50)))=Milestones!$AB$75),UPPER(TEXT(EDATE($D50,Milestones!$AA$75),"dd mmm yy"))&amp;" "&amp;Milestones!$AB$75&amp;" "&amp;IF(AND(Milestones!$AB$75="FT",Milestones!$AA$75=FT_Y5,EDATE($D50,Milestones!$AA$75)&lt;PolicyEff),1,Milestones!$AC$75)&amp;";  ","")&amp;IF(AND(EDATE($D50,Milestones!$AA$76)&lt;=AsOfDate,EDATE($D50,Milestones!$AA$76)&gt;=SchemeStart,IF($X50=0,$AD50,IF(AND($Z50&lt;&gt;"",EDATE($D50,Milestones!$AA$76)&gt;=$Z50),$AC50,IF(AND($Y50&lt;&gt;"",EDATE($D50,Milestones!$AA$76)&gt;=$Y50),$AB50,$AA50)))=Milestones!$AB$76),UPPER(TEXT(EDATE($D50,Milestones!$AA$76),"dd mmm yy"))&amp;" "&amp;Milestones!$AB$76&amp;" "&amp;IF(AND(Milestones!$AB$76="FT",Milestones!$AA$76=FT_Y5,EDATE($D50,Milestones!$AA$76)&lt;PolicyEff),1,Milestones!$AC$76)&amp;";  ","")&amp;IF(AND(EDATE($D50,Milestones!$AA$77)&lt;=AsOfDate,EDATE($D50,Milestones!$AA$77)&gt;=SchemeStart,IF($X50=0,$AD50,IF(AND($Z50&lt;&gt;"",EDATE($D50,Milestones!$AA$77)&gt;=$Z50),$AC50,IF(AND($Y50&lt;&gt;"",EDATE($D50,Milestones!$AA$77)&gt;=$Y50),$AB50,$AA50)))=Milestones!$AB$77),UPPER(TEXT(EDATE($D50,Milestones!$AA$77),"dd mmm yy"))&amp;" "&amp;Milestones!$AB$77&amp;" "&amp;IF(AND(Milestones!$AB$77="FT",Milestones!$AA$77=FT_Y5,EDATE($D50,Milestones!$AA$77)&lt;PolicyEff),1,Milestones!$AC$77)&amp;";  ","")&amp;IF(AND(EDATE($D50,Milestones!$AA$78)&lt;=AsOfDate,EDATE($D50,Milestones!$AA$78)&gt;=SchemeStart,IF($X50=0,$AD50,IF(AND($Z50&lt;&gt;"",EDATE($D50,Milestones!$AA$78)&gt;=$Z50),$AC50,IF(AND($Y50&lt;&gt;"",EDATE($D50,Milestones!$AA$78)&gt;=$Y50),$AB50,$AA50)))=Milestones!$AB$78),UPPER(TEXT(EDATE($D50,Milestones!$AA$78),"dd mmm yy"))&amp;" "&amp;Milestones!$AB$78&amp;" "&amp;IF(AND(Milestones!$AB$78="FT",Milestones!$AA$78=FT_Y5,EDATE($D50,Milestones!$AA$78)&lt;PolicyEff),1,Milestones!$AC$78)&amp;";  ","")&amp;IF(AND(EDATE($D50,Milestones!$AA$79)&lt;=AsOfDate,EDATE($D50,Milestones!$AA$79)&gt;=SchemeStart,IF($X50=0,$AD50,IF(AND($Z50&lt;&gt;"",EDATE($D50,Milestones!$AA$79)&gt;=$Z50),$AC50,IF(AND($Y50&lt;&gt;"",EDATE($D50,Milestones!$AA$79)&gt;=$Y50),$AB50,$AA50)))=Milestones!$AB$79),UPPER(TEXT(EDATE($D50,Milestones!$AA$79),"dd mmm yy"))&amp;" "&amp;Milestones!$AB$79&amp;" "&amp;IF(AND(Milestones!$AB$79="FT",Milestones!$AA$79=FT_Y5,EDATE($D50,Milestones!$AA$79)&lt;PolicyEff),1,Milestones!$AC$79)&amp;";  ",""))</f>
        <v/>
      </c>
      <c r="N50" s="0" t="str">
        <f aca="false">IF(OR($A50="",$D50=""),"",IF(AND(EDATE($D50,Milestones!$AA$80)&lt;=AsOfDate,EDATE($D50,Milestones!$AA$80)&gt;=SchemeStart,IF($X50=0,$AD50,IF(AND($Z50&lt;&gt;"",EDATE($D50,Milestones!$AA$80)&gt;=$Z50),$AC50,IF(AND($Y50&lt;&gt;"",EDATE($D50,Milestones!$AA$80)&gt;=$Y50),$AB50,$AA50)))=Milestones!$AB$80),UPPER(TEXT(EDATE($D50,Milestones!$AA$80),"dd mmm yy"))&amp;" "&amp;Milestones!$AB$80&amp;" "&amp;IF(AND(Milestones!$AB$80="FT",Milestones!$AA$80=FT_Y5,EDATE($D50,Milestones!$AA$80)&lt;PolicyEff),1,Milestones!$AC$80)&amp;";  ","")&amp;IF(AND(EDATE($D50,Milestones!$AA$81)&lt;=AsOfDate,EDATE($D50,Milestones!$AA$81)&gt;=SchemeStart,IF($X50=0,$AD50,IF(AND($Z50&lt;&gt;"",EDATE($D50,Milestones!$AA$81)&gt;=$Z50),$AC50,IF(AND($Y50&lt;&gt;"",EDATE($D50,Milestones!$AA$81)&gt;=$Y50),$AB50,$AA50)))=Milestones!$AB$81),UPPER(TEXT(EDATE($D50,Milestones!$AA$81),"dd mmm yy"))&amp;" "&amp;Milestones!$AB$81&amp;" "&amp;IF(AND(Milestones!$AB$81="FT",Milestones!$AA$81=FT_Y5,EDATE($D50,Milestones!$AA$81)&lt;PolicyEff),1,Milestones!$AC$81)&amp;";  ","")&amp;IF(AND(EDATE($D50,Milestones!$AA$82)&lt;=AsOfDate,EDATE($D50,Milestones!$AA$82)&gt;=SchemeStart,IF($X50=0,$AD50,IF(AND($Z50&lt;&gt;"",EDATE($D50,Milestones!$AA$82)&gt;=$Z50),$AC50,IF(AND($Y50&lt;&gt;"",EDATE($D50,Milestones!$AA$82)&gt;=$Y50),$AB50,$AA50)))=Milestones!$AB$82),UPPER(TEXT(EDATE($D50,Milestones!$AA$82),"dd mmm yy"))&amp;" "&amp;Milestones!$AB$82&amp;" "&amp;IF(AND(Milestones!$AB$82="FT",Milestones!$AA$82=FT_Y5,EDATE($D50,Milestones!$AA$82)&lt;PolicyEff),1,Milestones!$AC$82)&amp;";  ","")&amp;IF(AND(EDATE($D50,Milestones!$AA$83)&lt;=AsOfDate,EDATE($D50,Milestones!$AA$83)&gt;=SchemeStart,IF($X50=0,$AD50,IF(AND($Z50&lt;&gt;"",EDATE($D50,Milestones!$AA$83)&gt;=$Z50),$AC50,IF(AND($Y50&lt;&gt;"",EDATE($D50,Milestones!$AA$83)&gt;=$Y50),$AB50,$AA50)))=Milestones!$AB$83),UPPER(TEXT(EDATE($D50,Milestones!$AA$83),"dd mmm yy"))&amp;" "&amp;Milestones!$AB$83&amp;" "&amp;IF(AND(Milestones!$AB$83="FT",Milestones!$AA$83=FT_Y5,EDATE($D50,Milestones!$AA$83)&lt;PolicyEff),1,Milestones!$AC$83)&amp;";  ","")&amp;IF(AND(EDATE($D50,Milestones!$AA$84)&lt;=AsOfDate,EDATE($D50,Milestones!$AA$84)&gt;=SchemeStart,IF($X50=0,$AD50,IF(AND($Z50&lt;&gt;"",EDATE($D50,Milestones!$AA$84)&gt;=$Z50),$AC50,IF(AND($Y50&lt;&gt;"",EDATE($D50,Milestones!$AA$84)&gt;=$Y50),$AB50,$AA50)))=Milestones!$AB$84),UPPER(TEXT(EDATE($D50,Milestones!$AA$84),"dd mmm yy"))&amp;" "&amp;Milestones!$AB$84&amp;" "&amp;IF(AND(Milestones!$AB$84="FT",Milestones!$AA$84=FT_Y5,EDATE($D50,Milestones!$AA$84)&lt;PolicyEff),1,Milestones!$AC$84)&amp;";  ","")&amp;IF(AND(EDATE($D50,Milestones!$AA$85)&lt;=AsOfDate,EDATE($D50,Milestones!$AA$85)&gt;=SchemeStart,IF($X50=0,$AD50,IF(AND($Z50&lt;&gt;"",EDATE($D50,Milestones!$AA$85)&gt;=$Z50),$AC50,IF(AND($Y50&lt;&gt;"",EDATE($D50,Milestones!$AA$85)&gt;=$Y50),$AB50,$AA50)))=Milestones!$AB$85),UPPER(TEXT(EDATE($D50,Milestones!$AA$85),"dd mmm yy"))&amp;" "&amp;Milestones!$AB$85&amp;" "&amp;IF(AND(Milestones!$AB$85="FT",Milestones!$AA$85=FT_Y5,EDATE($D50,Milestones!$AA$85)&lt;PolicyEff),1,Milestones!$AC$85)&amp;";  ","")&amp;IF(AND(EDATE($D50,Milestones!$AA$86)&lt;=AsOfDate,EDATE($D50,Milestones!$AA$86)&gt;=SchemeStart,IF($X50=0,$AD50,IF(AND($Z50&lt;&gt;"",EDATE($D50,Milestones!$AA$86)&gt;=$Z50),$AC50,IF(AND($Y50&lt;&gt;"",EDATE($D50,Milestones!$AA$86)&gt;=$Y50),$AB50,$AA50)))=Milestones!$AB$86),UPPER(TEXT(EDATE($D50,Milestones!$AA$86),"dd mmm yy"))&amp;" "&amp;Milestones!$AB$86&amp;" "&amp;IF(AND(Milestones!$AB$86="FT",Milestones!$AA$86=FT_Y5,EDATE($D50,Milestones!$AA$86)&lt;PolicyEff),1,Milestones!$AC$86)&amp;";  ","")&amp;IF(AND(EDATE($D50,Milestones!$AA$87)&lt;=AsOfDate,EDATE($D50,Milestones!$AA$87)&gt;=SchemeStart,IF($X50=0,$AD50,IF(AND($Z50&lt;&gt;"",EDATE($D50,Milestones!$AA$87)&gt;=$Z50),$AC50,IF(AND($Y50&lt;&gt;"",EDATE($D50,Milestones!$AA$87)&gt;=$Y50),$AB50,$AA50)))=Milestones!$AB$87),UPPER(TEXT(EDATE($D50,Milestones!$AA$87),"dd mmm yy"))&amp;" "&amp;Milestones!$AB$87&amp;" "&amp;IF(AND(Milestones!$AB$87="FT",Milestones!$AA$87=FT_Y5,EDATE($D50,Milestones!$AA$87)&lt;PolicyEff),1,Milestones!$AC$87)&amp;";  ","")&amp;IF(AND(EDATE($D50,Milestones!$AA$88)&lt;=AsOfDate,EDATE($D50,Milestones!$AA$88)&gt;=SchemeStart,IF($X50=0,$AD50,IF(AND($Z50&lt;&gt;"",EDATE($D50,Milestones!$AA$88)&gt;=$Z50),$AC50,IF(AND($Y50&lt;&gt;"",EDATE($D50,Milestones!$AA$88)&gt;=$Y50),$AB50,$AA50)))=Milestones!$AB$88),UPPER(TEXT(EDATE($D50,Milestones!$AA$88),"dd mmm yy"))&amp;" "&amp;Milestones!$AB$88&amp;" "&amp;IF(AND(Milestones!$AB$88="FT",Milestones!$AA$88=FT_Y5,EDATE($D50,Milestones!$AA$88)&lt;PolicyEff),1,Milestones!$AC$88)&amp;";  ","")&amp;IF(AND(EDATE($D50,Milestones!$AA$89)&lt;=AsOfDate,EDATE($D50,Milestones!$AA$89)&gt;=SchemeStart,IF($X50=0,$AD50,IF(AND($Z50&lt;&gt;"",EDATE($D50,Milestones!$AA$89)&gt;=$Z50),$AC50,IF(AND($Y50&lt;&gt;"",EDATE($D50,Milestones!$AA$89)&gt;=$Y50),$AB50,$AA50)))=Milestones!$AB$89),UPPER(TEXT(EDATE($D50,Milestones!$AA$89),"dd mmm yy"))&amp;" "&amp;Milestones!$AB$89&amp;" "&amp;IF(AND(Milestones!$AB$89="FT",Milestones!$AA$89=FT_Y5,EDATE($D50,Milestones!$AA$89)&lt;PolicyEff),1,Milestones!$AC$89)&amp;";  ","")&amp;IF(AND(EDATE($D50,Milestones!$AA$90)&lt;=AsOfDate,EDATE($D50,Milestones!$AA$90)&gt;=SchemeStart,IF($X50=0,$AD50,IF(AND($Z50&lt;&gt;"",EDATE($D50,Milestones!$AA$90)&gt;=$Z50),$AC50,IF(AND($Y50&lt;&gt;"",EDATE($D50,Milestones!$AA$90)&gt;=$Y50),$AB50,$AA50)))=Milestones!$AB$90),UPPER(TEXT(EDATE($D50,Milestones!$AA$90),"dd mmm yy"))&amp;" "&amp;Milestones!$AB$90&amp;" "&amp;IF(AND(Milestones!$AB$90="FT",Milestones!$AA$90=FT_Y5,EDATE($D50,Milestones!$AA$90)&lt;PolicyEff),1,Milestones!$AC$90)&amp;";  ","")&amp;IF(AND(EDATE($D50,Milestones!$AA$91)&lt;=AsOfDate,EDATE($D50,Milestones!$AA$91)&gt;=SchemeStart,IF($X50=0,$AD50,IF(AND($Z50&lt;&gt;"",EDATE($D50,Milestones!$AA$91)&gt;=$Z50),$AC50,IF(AND($Y50&lt;&gt;"",EDATE($D50,Milestones!$AA$91)&gt;=$Y50),$AB50,$AA50)))=Milestones!$AB$91),UPPER(TEXT(EDATE($D50,Milestones!$AA$91),"dd mmm yy"))&amp;" "&amp;Milestones!$AB$91&amp;" "&amp;IF(AND(Milestones!$AB$91="FT",Milestones!$AA$91=FT_Y5,EDATE($D50,Milestones!$AA$91)&lt;PolicyEff),1,Milestones!$AC$91)&amp;";  ",""))</f>
        <v/>
      </c>
      <c r="O50" s="0" t="str">
        <f aca="false">IF(OR($A50="",$D50=""),"",IF(AND(EDATE($D50,Milestones!$AA$92)&lt;=AsOfDate,EDATE($D50,Milestones!$AA$92)&gt;=SchemeStart,IF($X50=0,$AD50,IF(AND($Z50&lt;&gt;"",EDATE($D50,Milestones!$AA$92)&gt;=$Z50),$AC50,IF(AND($Y50&lt;&gt;"",EDATE($D50,Milestones!$AA$92)&gt;=$Y50),$AB50,$AA50)))=Milestones!$AB$92),UPPER(TEXT(EDATE($D50,Milestones!$AA$92),"dd mmm yy"))&amp;" "&amp;Milestones!$AB$92&amp;" "&amp;IF(AND(Milestones!$AB$92="FT",Milestones!$AA$92=FT_Y5,EDATE($D50,Milestones!$AA$92)&lt;PolicyEff),1,Milestones!$AC$92)&amp;";  ","")&amp;IF(AND(EDATE($D50,Milestones!$AA$93)&lt;=AsOfDate,EDATE($D50,Milestones!$AA$93)&gt;=SchemeStart,IF($X50=0,$AD50,IF(AND($Z50&lt;&gt;"",EDATE($D50,Milestones!$AA$93)&gt;=$Z50),$AC50,IF(AND($Y50&lt;&gt;"",EDATE($D50,Milestones!$AA$93)&gt;=$Y50),$AB50,$AA50)))=Milestones!$AB$93),UPPER(TEXT(EDATE($D50,Milestones!$AA$93),"dd mmm yy"))&amp;" "&amp;Milestones!$AB$93&amp;" "&amp;IF(AND(Milestones!$AB$93="FT",Milestones!$AA$93=FT_Y5,EDATE($D50,Milestones!$AA$93)&lt;PolicyEff),1,Milestones!$AC$93)&amp;";  ","")&amp;IF(AND(EDATE($D50,Milestones!$AA$94)&lt;=AsOfDate,EDATE($D50,Milestones!$AA$94)&gt;=SchemeStart,IF($X50=0,$AD50,IF(AND($Z50&lt;&gt;"",EDATE($D50,Milestones!$AA$94)&gt;=$Z50),$AC50,IF(AND($Y50&lt;&gt;"",EDATE($D50,Milestones!$AA$94)&gt;=$Y50),$AB50,$AA50)))=Milestones!$AB$94),UPPER(TEXT(EDATE($D50,Milestones!$AA$94),"dd mmm yy"))&amp;" "&amp;Milestones!$AB$94&amp;" "&amp;IF(AND(Milestones!$AB$94="FT",Milestones!$AA$94=FT_Y5,EDATE($D50,Milestones!$AA$94)&lt;PolicyEff),1,Milestones!$AC$94)&amp;";  ","")&amp;IF(AND(EDATE($D50,Milestones!$AA$95)&lt;=AsOfDate,EDATE($D50,Milestones!$AA$95)&gt;=SchemeStart,IF($X50=0,$AD50,IF(AND($Z50&lt;&gt;"",EDATE($D50,Milestones!$AA$95)&gt;=$Z50),$AC50,IF(AND($Y50&lt;&gt;"",EDATE($D50,Milestones!$AA$95)&gt;=$Y50),$AB50,$AA50)))=Milestones!$AB$95),UPPER(TEXT(EDATE($D50,Milestones!$AA$95),"dd mmm yy"))&amp;" "&amp;Milestones!$AB$95&amp;" "&amp;IF(AND(Milestones!$AB$95="FT",Milestones!$AA$95=FT_Y5,EDATE($D50,Milestones!$AA$95)&lt;PolicyEff),1,Milestones!$AC$95)&amp;";  ","")&amp;IF(AND(EDATE($D50,Milestones!$AA$96)&lt;=AsOfDate,EDATE($D50,Milestones!$AA$96)&gt;=SchemeStart,IF($X50=0,$AD50,IF(AND($Z50&lt;&gt;"",EDATE($D50,Milestones!$AA$96)&gt;=$Z50),$AC50,IF(AND($Y50&lt;&gt;"",EDATE($D50,Milestones!$AA$96)&gt;=$Y50),$AB50,$AA50)))=Milestones!$AB$96),UPPER(TEXT(EDATE($D50,Milestones!$AA$96),"dd mmm yy"))&amp;" "&amp;Milestones!$AB$96&amp;" "&amp;IF(AND(Milestones!$AB$96="FT",Milestones!$AA$96=FT_Y5,EDATE($D50,Milestones!$AA$96)&lt;PolicyEff),1,Milestones!$AC$96)&amp;";  ","")&amp;IF(AND(EDATE($D50,Milestones!$AA$97)&lt;=AsOfDate,EDATE($D50,Milestones!$AA$97)&gt;=SchemeStart,IF($X50=0,$AD50,IF(AND($Z50&lt;&gt;"",EDATE($D50,Milestones!$AA$97)&gt;=$Z50),$AC50,IF(AND($Y50&lt;&gt;"",EDATE($D50,Milestones!$AA$97)&gt;=$Y50),$AB50,$AA50)))=Milestones!$AB$97),UPPER(TEXT(EDATE($D50,Milestones!$AA$97),"dd mmm yy"))&amp;" "&amp;Milestones!$AB$97&amp;" "&amp;IF(AND(Milestones!$AB$97="FT",Milestones!$AA$97=FT_Y5,EDATE($D50,Milestones!$AA$97)&lt;PolicyEff),1,Milestones!$AC$97)&amp;";  ","")&amp;IF(AND(EDATE($D50,Milestones!$AA$98)&lt;=AsOfDate,EDATE($D50,Milestones!$AA$98)&gt;=SchemeStart,IF($X50=0,$AD50,IF(AND($Z50&lt;&gt;"",EDATE($D50,Milestones!$AA$98)&gt;=$Z50),$AC50,IF(AND($Y50&lt;&gt;"",EDATE($D50,Milestones!$AA$98)&gt;=$Y50),$AB50,$AA50)))=Milestones!$AB$98),UPPER(TEXT(EDATE($D50,Milestones!$AA$98),"dd mmm yy"))&amp;" "&amp;Milestones!$AB$98&amp;" "&amp;IF(AND(Milestones!$AB$98="FT",Milestones!$AA$98=FT_Y5,EDATE($D50,Milestones!$AA$98)&lt;PolicyEff),1,Milestones!$AC$98)&amp;";  ","")&amp;IF(AND(EDATE($D50,Milestones!$AA$99)&lt;=AsOfDate,EDATE($D50,Milestones!$AA$99)&gt;=SchemeStart,IF($X50=0,$AD50,IF(AND($Z50&lt;&gt;"",EDATE($D50,Milestones!$AA$99)&gt;=$Z50),$AC50,IF(AND($Y50&lt;&gt;"",EDATE($D50,Milestones!$AA$99)&gt;=$Y50),$AB50,$AA50)))=Milestones!$AB$99),UPPER(TEXT(EDATE($D50,Milestones!$AA$99),"dd mmm yy"))&amp;" "&amp;Milestones!$AB$99&amp;" "&amp;IF(AND(Milestones!$AB$99="FT",Milestones!$AA$99=FT_Y5,EDATE($D50,Milestones!$AA$99)&lt;PolicyEff),1,Milestones!$AC$99)&amp;";  ","")&amp;IF(AND(EDATE($D50,Milestones!$AA$100)&lt;=AsOfDate,EDATE($D50,Milestones!$AA$100)&gt;=SchemeStart,IF($X50=0,$AD50,IF(AND($Z50&lt;&gt;"",EDATE($D50,Milestones!$AA$100)&gt;=$Z50),$AC50,IF(AND($Y50&lt;&gt;"",EDATE($D50,Milestones!$AA$100)&gt;=$Y50),$AB50,$AA50)))=Milestones!$AB$100),UPPER(TEXT(EDATE($D50,Milestones!$AA$100),"dd mmm yy"))&amp;" "&amp;Milestones!$AB$100&amp;" "&amp;IF(AND(Milestones!$AB$100="FT",Milestones!$AA$100=FT_Y5,EDATE($D50,Milestones!$AA$100)&lt;PolicyEff),1,Milestones!$AC$100)&amp;";  ","")&amp;IF(AND(EDATE($D50,Milestones!$AA$101)&lt;=AsOfDate,EDATE($D50,Milestones!$AA$101)&gt;=SchemeStart,IF($X50=0,$AD50,IF(AND($Z50&lt;&gt;"",EDATE($D50,Milestones!$AA$101)&gt;=$Z50),$AC50,IF(AND($Y50&lt;&gt;"",EDATE($D50,Milestones!$AA$101)&gt;=$Y50),$AB50,$AA50)))=Milestones!$AB$101),UPPER(TEXT(EDATE($D50,Milestones!$AA$101),"dd mmm yy"))&amp;" "&amp;Milestones!$AB$101&amp;" "&amp;IF(AND(Milestones!$AB$101="FT",Milestones!$AA$101=FT_Y5,EDATE($D50,Milestones!$AA$101)&lt;PolicyEff),1,Milestones!$AC$101)&amp;";  ","")&amp;IF(AND(EDATE($D50,Milestones!$AA$102)&lt;=AsOfDate,EDATE($D50,Milestones!$AA$102)&gt;=SchemeStart,IF($X50=0,$AD50,IF(AND($Z50&lt;&gt;"",EDATE($D50,Milestones!$AA$102)&gt;=$Z50),$AC50,IF(AND($Y50&lt;&gt;"",EDATE($D50,Milestones!$AA$102)&gt;=$Y50),$AB50,$AA50)))=Milestones!$AB$102),UPPER(TEXT(EDATE($D50,Milestones!$AA$102),"dd mmm yy"))&amp;" "&amp;Milestones!$AB$102&amp;" "&amp;IF(AND(Milestones!$AB$102="FT",Milestones!$AA$102=FT_Y5,EDATE($D50,Milestones!$AA$102)&lt;PolicyEff),1,Milestones!$AC$102)&amp;";  ","")&amp;IF(AND(EDATE($D50,Milestones!$AA$103)&lt;=AsOfDate,EDATE($D50,Milestones!$AA$103)&gt;=SchemeStart,IF($X50=0,$AD50,IF(AND($Z50&lt;&gt;"",EDATE($D50,Milestones!$AA$103)&gt;=$Z50),$AC50,IF(AND($Y50&lt;&gt;"",EDATE($D50,Milestones!$AA$103)&gt;=$Y50),$AB50,$AA50)))=Milestones!$AB$103),UPPER(TEXT(EDATE($D50,Milestones!$AA$103),"dd mmm yy"))&amp;" "&amp;Milestones!$AB$103&amp;" "&amp;IF(AND(Milestones!$AB$103="FT",Milestones!$AA$103=FT_Y5,EDATE($D50,Milestones!$AA$103)&lt;PolicyEff),1,Milestones!$AC$103)&amp;";  ",""))</f>
        <v/>
      </c>
      <c r="P50" s="0" t="str">
        <f aca="false">IF(OR($A50="",$D50=""),"",IF(AND(EDATE($D50,Milestones!$AA$104)&lt;=AsOfDate,EDATE($D50,Milestones!$AA$104)&gt;=SchemeStart,IF($X50=0,$AD50,IF(AND($Z50&lt;&gt;"",EDATE($D50,Milestones!$AA$104)&gt;=$Z50),$AC50,IF(AND($Y50&lt;&gt;"",EDATE($D50,Milestones!$AA$104)&gt;=$Y50),$AB50,$AA50)))=Milestones!$AB$104),UPPER(TEXT(EDATE($D50,Milestones!$AA$104),"dd mmm yy"))&amp;" "&amp;Milestones!$AB$104&amp;" "&amp;IF(AND(Milestones!$AB$104="FT",Milestones!$AA$104=FT_Y5,EDATE($D50,Milestones!$AA$104)&lt;PolicyEff),1,Milestones!$AC$104)&amp;";  ","")&amp;IF(AND(EDATE($D50,Milestones!$AA$105)&lt;=AsOfDate,EDATE($D50,Milestones!$AA$105)&gt;=SchemeStart,IF($X50=0,$AD50,IF(AND($Z50&lt;&gt;"",EDATE($D50,Milestones!$AA$105)&gt;=$Z50),$AC50,IF(AND($Y50&lt;&gt;"",EDATE($D50,Milestones!$AA$105)&gt;=$Y50),$AB50,$AA50)))=Milestones!$AB$105),UPPER(TEXT(EDATE($D50,Milestones!$AA$105),"dd mmm yy"))&amp;" "&amp;Milestones!$AB$105&amp;" "&amp;IF(AND(Milestones!$AB$105="FT",Milestones!$AA$105=FT_Y5,EDATE($D50,Milestones!$AA$105)&lt;PolicyEff),1,Milestones!$AC$105)&amp;";  ","")&amp;IF(AND(EDATE($D50,Milestones!$AA$106)&lt;=AsOfDate,EDATE($D50,Milestones!$AA$106)&gt;=SchemeStart,IF($X50=0,$AD50,IF(AND($Z50&lt;&gt;"",EDATE($D50,Milestones!$AA$106)&gt;=$Z50),$AC50,IF(AND($Y50&lt;&gt;"",EDATE($D50,Milestones!$AA$106)&gt;=$Y50),$AB50,$AA50)))=Milestones!$AB$106),UPPER(TEXT(EDATE($D50,Milestones!$AA$106),"dd mmm yy"))&amp;" "&amp;Milestones!$AB$106&amp;" "&amp;IF(AND(Milestones!$AB$106="FT",Milestones!$AA$106=FT_Y5,EDATE($D50,Milestones!$AA$106)&lt;PolicyEff),1,Milestones!$AC$106)&amp;";  ","")&amp;IF(AND(EDATE($D50,Milestones!$AA$107)&lt;=AsOfDate,EDATE($D50,Milestones!$AA$107)&gt;=SchemeStart,IF($X50=0,$AD50,IF(AND($Z50&lt;&gt;"",EDATE($D50,Milestones!$AA$107)&gt;=$Z50),$AC50,IF(AND($Y50&lt;&gt;"",EDATE($D50,Milestones!$AA$107)&gt;=$Y50),$AB50,$AA50)))=Milestones!$AB$107),UPPER(TEXT(EDATE($D50,Milestones!$AA$107),"dd mmm yy"))&amp;" "&amp;Milestones!$AB$107&amp;" "&amp;IF(AND(Milestones!$AB$107="FT",Milestones!$AA$107=FT_Y5,EDATE($D50,Milestones!$AA$107)&lt;PolicyEff),1,Milestones!$AC$107)&amp;";  ","")&amp;IF(AND(EDATE($D50,Milestones!$AA$108)&lt;=AsOfDate,EDATE($D50,Milestones!$AA$108)&gt;=SchemeStart,IF($X50=0,$AD50,IF(AND($Z50&lt;&gt;"",EDATE($D50,Milestones!$AA$108)&gt;=$Z50),$AC50,IF(AND($Y50&lt;&gt;"",EDATE($D50,Milestones!$AA$108)&gt;=$Y50),$AB50,$AA50)))=Milestones!$AB$108),UPPER(TEXT(EDATE($D50,Milestones!$AA$108),"dd mmm yy"))&amp;" "&amp;Milestones!$AB$108&amp;" "&amp;IF(AND(Milestones!$AB$108="FT",Milestones!$AA$108=FT_Y5,EDATE($D50,Milestones!$AA$108)&lt;PolicyEff),1,Milestones!$AC$108)&amp;";  ","")&amp;IF(AND(EDATE($D50,Milestones!$AA$109)&lt;=AsOfDate,EDATE($D50,Milestones!$AA$109)&gt;=SchemeStart,IF($X50=0,$AD50,IF(AND($Z50&lt;&gt;"",EDATE($D50,Milestones!$AA$109)&gt;=$Z50),$AC50,IF(AND($Y50&lt;&gt;"",EDATE($D50,Milestones!$AA$109)&gt;=$Y50),$AB50,$AA50)))=Milestones!$AB$109),UPPER(TEXT(EDATE($D50,Milestones!$AA$109),"dd mmm yy"))&amp;" "&amp;Milestones!$AB$109&amp;" "&amp;IF(AND(Milestones!$AB$109="FT",Milestones!$AA$109=FT_Y5,EDATE($D50,Milestones!$AA$109)&lt;PolicyEff),1,Milestones!$AC$109)&amp;";  ","")&amp;IF(AND(EDATE($D50,Milestones!$AA$110)&lt;=AsOfDate,EDATE($D50,Milestones!$AA$110)&gt;=SchemeStart,IF($X50=0,$AD50,IF(AND($Z50&lt;&gt;"",EDATE($D50,Milestones!$AA$110)&gt;=$Z50),$AC50,IF(AND($Y50&lt;&gt;"",EDATE($D50,Milestones!$AA$110)&gt;=$Y50),$AB50,$AA50)))=Milestones!$AB$110),UPPER(TEXT(EDATE($D50,Milestones!$AA$110),"dd mmm yy"))&amp;" "&amp;Milestones!$AB$110&amp;" "&amp;IF(AND(Milestones!$AB$110="FT",Milestones!$AA$110=FT_Y5,EDATE($D50,Milestones!$AA$110)&lt;PolicyEff),1,Milestones!$AC$110)&amp;";  ","")&amp;IF(AND(EDATE($D50,Milestones!$AA$111)&lt;=AsOfDate,EDATE($D50,Milestones!$AA$111)&gt;=SchemeStart,IF($X50=0,$AD50,IF(AND($Z50&lt;&gt;"",EDATE($D50,Milestones!$AA$111)&gt;=$Z50),$AC50,IF(AND($Y50&lt;&gt;"",EDATE($D50,Milestones!$AA$111)&gt;=$Y50),$AB50,$AA50)))=Milestones!$AB$111),UPPER(TEXT(EDATE($D50,Milestones!$AA$111),"dd mmm yy"))&amp;" "&amp;Milestones!$AB$111&amp;" "&amp;IF(AND(Milestones!$AB$111="FT",Milestones!$AA$111=FT_Y5,EDATE($D50,Milestones!$AA$111)&lt;PolicyEff),1,Milestones!$AC$111)&amp;";  ","")&amp;IF(AND(EDATE($D50,Milestones!$AA$112)&lt;=AsOfDate,EDATE($D50,Milestones!$AA$112)&gt;=SchemeStart,IF($X50=0,$AD50,IF(AND($Z50&lt;&gt;"",EDATE($D50,Milestones!$AA$112)&gt;=$Z50),$AC50,IF(AND($Y50&lt;&gt;"",EDATE($D50,Milestones!$AA$112)&gt;=$Y50),$AB50,$AA50)))=Milestones!$AB$112),UPPER(TEXT(EDATE($D50,Milestones!$AA$112),"dd mmm yy"))&amp;" "&amp;Milestones!$AB$112&amp;" "&amp;IF(AND(Milestones!$AB$112="FT",Milestones!$AA$112=FT_Y5,EDATE($D50,Milestones!$AA$112)&lt;PolicyEff),1,Milestones!$AC$112)&amp;";  ","")&amp;IF(AND(EDATE($D50,Milestones!$AA$113)&lt;=AsOfDate,EDATE($D50,Milestones!$AA$113)&gt;=SchemeStart,IF($X50=0,$AD50,IF(AND($Z50&lt;&gt;"",EDATE($D50,Milestones!$AA$113)&gt;=$Z50),$AC50,IF(AND($Y50&lt;&gt;"",EDATE($D50,Milestones!$AA$113)&gt;=$Y50),$AB50,$AA50)))=Milestones!$AB$113),UPPER(TEXT(EDATE($D50,Milestones!$AA$113),"dd mmm yy"))&amp;" "&amp;Milestones!$AB$113&amp;" "&amp;IF(AND(Milestones!$AB$113="FT",Milestones!$AA$113=FT_Y5,EDATE($D50,Milestones!$AA$113)&lt;PolicyEff),1,Milestones!$AC$113)&amp;";  ","")&amp;IF(AND(EDATE($D50,Milestones!$AA$114)&lt;=AsOfDate,EDATE($D50,Milestones!$AA$114)&gt;=SchemeStart,IF($X50=0,$AD50,IF(AND($Z50&lt;&gt;"",EDATE($D50,Milestones!$AA$114)&gt;=$Z50),$AC50,IF(AND($Y50&lt;&gt;"",EDATE($D50,Milestones!$AA$114)&gt;=$Y50),$AB50,$AA50)))=Milestones!$AB$114),UPPER(TEXT(EDATE($D50,Milestones!$AA$114),"dd mmm yy"))&amp;" "&amp;Milestones!$AB$114&amp;" "&amp;IF(AND(Milestones!$AB$114="FT",Milestones!$AA$114=FT_Y5,EDATE($D50,Milestones!$AA$114)&lt;PolicyEff),1,Milestones!$AC$114)&amp;";  ","")&amp;IF(AND(EDATE($D50,Milestones!$AA$115)&lt;=AsOfDate,EDATE($D50,Milestones!$AA$115)&gt;=SchemeStart,IF($X50=0,$AD50,IF(AND($Z50&lt;&gt;"",EDATE($D50,Milestones!$AA$115)&gt;=$Z50),$AC50,IF(AND($Y50&lt;&gt;"",EDATE($D50,Milestones!$AA$115)&gt;=$Y50),$AB50,$AA50)))=Milestones!$AB$115),UPPER(TEXT(EDATE($D50,Milestones!$AA$115),"dd mmm yy"))&amp;" "&amp;Milestones!$AB$115&amp;" "&amp;IF(AND(Milestones!$AB$115="FT",Milestones!$AA$115=FT_Y5,EDATE($D50,Milestones!$AA$115)&lt;PolicyEff),1,Milestones!$AC$115)&amp;";  ",""))</f>
        <v/>
      </c>
      <c r="Q50" s="0" t="str">
        <f aca="false">IF(OR($A50="",$D50=""),"",IF(AND(EDATE($D50,Milestones!$AA$116)&lt;=AsOfDate,EDATE($D50,Milestones!$AA$116)&gt;=SchemeStart,IF($X50=0,$AD50,IF(AND($Z50&lt;&gt;"",EDATE($D50,Milestones!$AA$116)&gt;=$Z50),$AC50,IF(AND($Y50&lt;&gt;"",EDATE($D50,Milestones!$AA$116)&gt;=$Y50),$AB50,$AA50)))=Milestones!$AB$116),UPPER(TEXT(EDATE($D50,Milestones!$AA$116),"dd mmm yy"))&amp;" "&amp;Milestones!$AB$116&amp;" "&amp;IF(AND(Milestones!$AB$116="FT",Milestones!$AA$116=FT_Y5,EDATE($D50,Milestones!$AA$116)&lt;PolicyEff),1,Milestones!$AC$116)&amp;";  ","")&amp;IF(AND(EDATE($D50,Milestones!$AA$117)&lt;=AsOfDate,EDATE($D50,Milestones!$AA$117)&gt;=SchemeStart,IF($X50=0,$AD50,IF(AND($Z50&lt;&gt;"",EDATE($D50,Milestones!$AA$117)&gt;=$Z50),$AC50,IF(AND($Y50&lt;&gt;"",EDATE($D50,Milestones!$AA$117)&gt;=$Y50),$AB50,$AA50)))=Milestones!$AB$117),UPPER(TEXT(EDATE($D50,Milestones!$AA$117),"dd mmm yy"))&amp;" "&amp;Milestones!$AB$117&amp;" "&amp;IF(AND(Milestones!$AB$117="FT",Milestones!$AA$117=FT_Y5,EDATE($D50,Milestones!$AA$117)&lt;PolicyEff),1,Milestones!$AC$117)&amp;";  ","")&amp;IF(AND(EDATE($D50,Milestones!$AA$118)&lt;=AsOfDate,EDATE($D50,Milestones!$AA$118)&gt;=SchemeStart,IF($X50=0,$AD50,IF(AND($Z50&lt;&gt;"",EDATE($D50,Milestones!$AA$118)&gt;=$Z50),$AC50,IF(AND($Y50&lt;&gt;"",EDATE($D50,Milestones!$AA$118)&gt;=$Y50),$AB50,$AA50)))=Milestones!$AB$118),UPPER(TEXT(EDATE($D50,Milestones!$AA$118),"dd mmm yy"))&amp;" "&amp;Milestones!$AB$118&amp;" "&amp;IF(AND(Milestones!$AB$118="FT",Milestones!$AA$118=FT_Y5,EDATE($D50,Milestones!$AA$118)&lt;PolicyEff),1,Milestones!$AC$118)&amp;";  ","")&amp;IF(AND(EDATE($D50,Milestones!$AA$119)&lt;=AsOfDate,EDATE($D50,Milestones!$AA$119)&gt;=SchemeStart,IF($X50=0,$AD50,IF(AND($Z50&lt;&gt;"",EDATE($D50,Milestones!$AA$119)&gt;=$Z50),$AC50,IF(AND($Y50&lt;&gt;"",EDATE($D50,Milestones!$AA$119)&gt;=$Y50),$AB50,$AA50)))=Milestones!$AB$119),UPPER(TEXT(EDATE($D50,Milestones!$AA$119),"dd mmm yy"))&amp;" "&amp;Milestones!$AB$119&amp;" "&amp;IF(AND(Milestones!$AB$119="FT",Milestones!$AA$119=FT_Y5,EDATE($D50,Milestones!$AA$119)&lt;PolicyEff),1,Milestones!$AC$119)&amp;";  ","")&amp;IF(AND(EDATE($D50,Milestones!$AA$120)&lt;=AsOfDate,EDATE($D50,Milestones!$AA$120)&gt;=SchemeStart,IF($X50=0,$AD50,IF(AND($Z50&lt;&gt;"",EDATE($D50,Milestones!$AA$120)&gt;=$Z50),$AC50,IF(AND($Y50&lt;&gt;"",EDATE($D50,Milestones!$AA$120)&gt;=$Y50),$AB50,$AA50)))=Milestones!$AB$120),UPPER(TEXT(EDATE($D50,Milestones!$AA$120),"dd mmm yy"))&amp;" "&amp;Milestones!$AB$120&amp;" "&amp;IF(AND(Milestones!$AB$120="FT",Milestones!$AA$120=FT_Y5,EDATE($D50,Milestones!$AA$120)&lt;PolicyEff),1,Milestones!$AC$120)&amp;";  ","")&amp;IF(AND(EDATE($D50,Milestones!$AA$121)&lt;=AsOfDate,EDATE($D50,Milestones!$AA$121)&gt;=SchemeStart,IF($X50=0,$AD50,IF(AND($Z50&lt;&gt;"",EDATE($D50,Milestones!$AA$121)&gt;=$Z50),$AC50,IF(AND($Y50&lt;&gt;"",EDATE($D50,Milestones!$AA$121)&gt;=$Y50),$AB50,$AA50)))=Milestones!$AB$121),UPPER(TEXT(EDATE($D50,Milestones!$AA$121),"dd mmm yy"))&amp;" "&amp;Milestones!$AB$121&amp;" "&amp;IF(AND(Milestones!$AB$121="FT",Milestones!$AA$121=FT_Y5,EDATE($D50,Milestones!$AA$121)&lt;PolicyEff),1,Milestones!$AC$121)&amp;";  ","")&amp;IF(AND(EDATE($D50,Milestones!$AA$122)&lt;=AsOfDate,EDATE($D50,Milestones!$AA$122)&gt;=SchemeStart,IF($X50=0,$AD50,IF(AND($Z50&lt;&gt;"",EDATE($D50,Milestones!$AA$122)&gt;=$Z50),$AC50,IF(AND($Y50&lt;&gt;"",EDATE($D50,Milestones!$AA$122)&gt;=$Y50),$AB50,$AA50)))=Milestones!$AB$122),UPPER(TEXT(EDATE($D50,Milestones!$AA$122),"dd mmm yy"))&amp;" "&amp;Milestones!$AB$122&amp;" "&amp;IF(AND(Milestones!$AB$122="FT",Milestones!$AA$122=FT_Y5,EDATE($D50,Milestones!$AA$122)&lt;PolicyEff),1,Milestones!$AC$122)&amp;";  ","")&amp;IF(AND(EDATE($D50,Milestones!$AA$123)&lt;=AsOfDate,EDATE($D50,Milestones!$AA$123)&gt;=SchemeStart,IF($X50=0,$AD50,IF(AND($Z50&lt;&gt;"",EDATE($D50,Milestones!$AA$123)&gt;=$Z50),$AC50,IF(AND($Y50&lt;&gt;"",EDATE($D50,Milestones!$AA$123)&gt;=$Y50),$AB50,$AA50)))=Milestones!$AB$123),UPPER(TEXT(EDATE($D50,Milestones!$AA$123),"dd mmm yy"))&amp;" "&amp;Milestones!$AB$123&amp;" "&amp;IF(AND(Milestones!$AB$123="FT",Milestones!$AA$123=FT_Y5,EDATE($D50,Milestones!$AA$123)&lt;PolicyEff),1,Milestones!$AC$123)&amp;";  ","")&amp;IF(AND(EDATE($D50,Milestones!$AA$124)&lt;=AsOfDate,EDATE($D50,Milestones!$AA$124)&gt;=SchemeStart,IF($X50=0,$AD50,IF(AND($Z50&lt;&gt;"",EDATE($D50,Milestones!$AA$124)&gt;=$Z50),$AC50,IF(AND($Y50&lt;&gt;"",EDATE($D50,Milestones!$AA$124)&gt;=$Y50),$AB50,$AA50)))=Milestones!$AB$124),UPPER(TEXT(EDATE($D50,Milestones!$AA$124),"dd mmm yy"))&amp;" "&amp;Milestones!$AB$124&amp;" "&amp;IF(AND(Milestones!$AB$124="FT",Milestones!$AA$124=FT_Y5,EDATE($D50,Milestones!$AA$124)&lt;PolicyEff),1,Milestones!$AC$124)&amp;";  ","")&amp;IF(AND(EDATE($D50,Milestones!$AA$125)&lt;=AsOfDate,EDATE($D50,Milestones!$AA$125)&gt;=SchemeStart,IF($X50=0,$AD50,IF(AND($Z50&lt;&gt;"",EDATE($D50,Milestones!$AA$125)&gt;=$Z50),$AC50,IF(AND($Y50&lt;&gt;"",EDATE($D50,Milestones!$AA$125)&gt;=$Y50),$AB50,$AA50)))=Milestones!$AB$125),UPPER(TEXT(EDATE($D50,Milestones!$AA$125),"dd mmm yy"))&amp;" "&amp;Milestones!$AB$125&amp;" "&amp;IF(AND(Milestones!$AB$125="FT",Milestones!$AA$125=FT_Y5,EDATE($D50,Milestones!$AA$125)&lt;PolicyEff),1,Milestones!$AC$125)&amp;";  ","")&amp;IF(AND(EDATE($D50,Milestones!$AA$126)&lt;=AsOfDate,EDATE($D50,Milestones!$AA$126)&gt;=SchemeStart,IF($X50=0,$AD50,IF(AND($Z50&lt;&gt;"",EDATE($D50,Milestones!$AA$126)&gt;=$Z50),$AC50,IF(AND($Y50&lt;&gt;"",EDATE($D50,Milestones!$AA$126)&gt;=$Y50),$AB50,$AA50)))=Milestones!$AB$126),UPPER(TEXT(EDATE($D50,Milestones!$AA$126),"dd mmm yy"))&amp;" "&amp;Milestones!$AB$126&amp;" "&amp;IF(AND(Milestones!$AB$126="FT",Milestones!$AA$126=FT_Y5,EDATE($D50,Milestones!$AA$126)&lt;PolicyEff),1,Milestones!$AC$126)&amp;";  ","")&amp;IF(AND(EDATE($D50,Milestones!$AA$127)&lt;=AsOfDate,EDATE($D50,Milestones!$AA$127)&gt;=SchemeStart,IF($X50=0,$AD50,IF(AND($Z50&lt;&gt;"",EDATE($D50,Milestones!$AA$127)&gt;=$Z50),$AC50,IF(AND($Y50&lt;&gt;"",EDATE($D50,Milestones!$AA$127)&gt;=$Y50),$AB50,$AA50)))=Milestones!$AB$127),UPPER(TEXT(EDATE($D50,Milestones!$AA$127),"dd mmm yy"))&amp;" "&amp;Milestones!$AB$127&amp;" "&amp;IF(AND(Milestones!$AB$127="FT",Milestones!$AA$127=FT_Y5,EDATE($D50,Milestones!$AA$127)&lt;PolicyEff),1,Milestones!$AC$127)&amp;";  ",""))</f>
        <v/>
      </c>
      <c r="R50" s="0" t="str">
        <f aca="false">IF(OR($A50="",$D50=""),"",IF(AND(EDATE($D50,Milestones!$AA$128)&lt;=AsOfDate,EDATE($D50,Milestones!$AA$128)&gt;=SchemeStart,IF($X50=0,$AD50,IF(AND($Z50&lt;&gt;"",EDATE($D50,Milestones!$AA$128)&gt;=$Z50),$AC50,IF(AND($Y50&lt;&gt;"",EDATE($D50,Milestones!$AA$128)&gt;=$Y50),$AB50,$AA50)))=Milestones!$AB$128),UPPER(TEXT(EDATE($D50,Milestones!$AA$128),"dd mmm yy"))&amp;" "&amp;Milestones!$AB$128&amp;" "&amp;IF(AND(Milestones!$AB$128="FT",Milestones!$AA$128=FT_Y5,EDATE($D50,Milestones!$AA$128)&lt;PolicyEff),1,Milestones!$AC$128)&amp;";  ","")&amp;IF(AND(EDATE($D50,Milestones!$AA$129)&lt;=AsOfDate,EDATE($D50,Milestones!$AA$129)&gt;=SchemeStart,IF($X50=0,$AD50,IF(AND($Z50&lt;&gt;"",EDATE($D50,Milestones!$AA$129)&gt;=$Z50),$AC50,IF(AND($Y50&lt;&gt;"",EDATE($D50,Milestones!$AA$129)&gt;=$Y50),$AB50,$AA50)))=Milestones!$AB$129),UPPER(TEXT(EDATE($D50,Milestones!$AA$129),"dd mmm yy"))&amp;" "&amp;Milestones!$AB$129&amp;" "&amp;IF(AND(Milestones!$AB$129="FT",Milestones!$AA$129=FT_Y5,EDATE($D50,Milestones!$AA$129)&lt;PolicyEff),1,Milestones!$AC$129)&amp;";  ","")&amp;IF(AND(EDATE($D50,Milestones!$AA$130)&lt;=AsOfDate,EDATE($D50,Milestones!$AA$130)&gt;=SchemeStart,IF($X50=0,$AD50,IF(AND($Z50&lt;&gt;"",EDATE($D50,Milestones!$AA$130)&gt;=$Z50),$AC50,IF(AND($Y50&lt;&gt;"",EDATE($D50,Milestones!$AA$130)&gt;=$Y50),$AB50,$AA50)))=Milestones!$AB$130),UPPER(TEXT(EDATE($D50,Milestones!$AA$130),"dd mmm yy"))&amp;" "&amp;Milestones!$AB$130&amp;" "&amp;IF(AND(Milestones!$AB$130="FT",Milestones!$AA$130=FT_Y5,EDATE($D50,Milestones!$AA$130)&lt;PolicyEff),1,Milestones!$AC$130)&amp;";  ","")&amp;IF(AND(EDATE($D50,Milestones!$AA$131)&lt;=AsOfDate,EDATE($D50,Milestones!$AA$131)&gt;=SchemeStart,IF($X50=0,$AD50,IF(AND($Z50&lt;&gt;"",EDATE($D50,Milestones!$AA$131)&gt;=$Z50),$AC50,IF(AND($Y50&lt;&gt;"",EDATE($D50,Milestones!$AA$131)&gt;=$Y50),$AB50,$AA50)))=Milestones!$AB$131),UPPER(TEXT(EDATE($D50,Milestones!$AA$131),"dd mmm yy"))&amp;" "&amp;Milestones!$AB$131&amp;" "&amp;IF(AND(Milestones!$AB$131="FT",Milestones!$AA$131=FT_Y5,EDATE($D50,Milestones!$AA$131)&lt;PolicyEff),1,Milestones!$AC$131)&amp;";  ","")&amp;IF(AND(EDATE($D50,Milestones!$AA$132)&lt;=AsOfDate,EDATE($D50,Milestones!$AA$132)&gt;=SchemeStart,IF($X50=0,$AD50,IF(AND($Z50&lt;&gt;"",EDATE($D50,Milestones!$AA$132)&gt;=$Z50),$AC50,IF(AND($Y50&lt;&gt;"",EDATE($D50,Milestones!$AA$132)&gt;=$Y50),$AB50,$AA50)))=Milestones!$AB$132),UPPER(TEXT(EDATE($D50,Milestones!$AA$132),"dd mmm yy"))&amp;" "&amp;Milestones!$AB$132&amp;" "&amp;IF(AND(Milestones!$AB$132="FT",Milestones!$AA$132=FT_Y5,EDATE($D50,Milestones!$AA$132)&lt;PolicyEff),1,Milestones!$AC$132)&amp;";  ","")&amp;IF(AND(EDATE($D50,Milestones!$AA$133)&lt;=AsOfDate,EDATE($D50,Milestones!$AA$133)&gt;=SchemeStart,IF($X50=0,$AD50,IF(AND($Z50&lt;&gt;"",EDATE($D50,Milestones!$AA$133)&gt;=$Z50),$AC50,IF(AND($Y50&lt;&gt;"",EDATE($D50,Milestones!$AA$133)&gt;=$Y50),$AB50,$AA50)))=Milestones!$AB$133),UPPER(TEXT(EDATE($D50,Milestones!$AA$133),"dd mmm yy"))&amp;" "&amp;Milestones!$AB$133&amp;" "&amp;IF(AND(Milestones!$AB$133="FT",Milestones!$AA$133=FT_Y5,EDATE($D50,Milestones!$AA$133)&lt;PolicyEff),1,Milestones!$AC$133)&amp;";  ","")&amp;IF(AND(EDATE($D50,Milestones!$AA$134)&lt;=AsOfDate,EDATE($D50,Milestones!$AA$134)&gt;=SchemeStart,IF($X50=0,$AD50,IF(AND($Z50&lt;&gt;"",EDATE($D50,Milestones!$AA$134)&gt;=$Z50),$AC50,IF(AND($Y50&lt;&gt;"",EDATE($D50,Milestones!$AA$134)&gt;=$Y50),$AB50,$AA50)))=Milestones!$AB$134),UPPER(TEXT(EDATE($D50,Milestones!$AA$134),"dd mmm yy"))&amp;" "&amp;Milestones!$AB$134&amp;" "&amp;IF(AND(Milestones!$AB$134="FT",Milestones!$AA$134=FT_Y5,EDATE($D50,Milestones!$AA$134)&lt;PolicyEff),1,Milestones!$AC$134)&amp;";  ","")&amp;IF(AND(EDATE($D50,Milestones!$AA$135)&lt;=AsOfDate,EDATE($D50,Milestones!$AA$135)&gt;=SchemeStart,IF($X50=0,$AD50,IF(AND($Z50&lt;&gt;"",EDATE($D50,Milestones!$AA$135)&gt;=$Z50),$AC50,IF(AND($Y50&lt;&gt;"",EDATE($D50,Milestones!$AA$135)&gt;=$Y50),$AB50,$AA50)))=Milestones!$AB$135),UPPER(TEXT(EDATE($D50,Milestones!$AA$135),"dd mmm yy"))&amp;" "&amp;Milestones!$AB$135&amp;" "&amp;IF(AND(Milestones!$AB$135="FT",Milestones!$AA$135=FT_Y5,EDATE($D50,Milestones!$AA$135)&lt;PolicyEff),1,Milestones!$AC$135)&amp;";  ","")&amp;IF(AND(EDATE($D50,Milestones!$AA$136)&lt;=AsOfDate,EDATE($D50,Milestones!$AA$136)&gt;=SchemeStart,IF($X50=0,$AD50,IF(AND($Z50&lt;&gt;"",EDATE($D50,Milestones!$AA$136)&gt;=$Z50),$AC50,IF(AND($Y50&lt;&gt;"",EDATE($D50,Milestones!$AA$136)&gt;=$Y50),$AB50,$AA50)))=Milestones!$AB$136),UPPER(TEXT(EDATE($D50,Milestones!$AA$136),"dd mmm yy"))&amp;" "&amp;Milestones!$AB$136&amp;" "&amp;IF(AND(Milestones!$AB$136="FT",Milestones!$AA$136=FT_Y5,EDATE($D50,Milestones!$AA$136)&lt;PolicyEff),1,Milestones!$AC$136)&amp;";  ","")&amp;IF(AND(EDATE($D50,Milestones!$AA$137)&lt;=AsOfDate,EDATE($D50,Milestones!$AA$137)&gt;=SchemeStart,IF($X50=0,$AD50,IF(AND($Z50&lt;&gt;"",EDATE($D50,Milestones!$AA$137)&gt;=$Z50),$AC50,IF(AND($Y50&lt;&gt;"",EDATE($D50,Milestones!$AA$137)&gt;=$Y50),$AB50,$AA50)))=Milestones!$AB$137),UPPER(TEXT(EDATE($D50,Milestones!$AA$137),"dd mmm yy"))&amp;" "&amp;Milestones!$AB$137&amp;" "&amp;IF(AND(Milestones!$AB$137="FT",Milestones!$AA$137=FT_Y5,EDATE($D50,Milestones!$AA$137)&lt;PolicyEff),1,Milestones!$AC$137)&amp;";  ","")&amp;IF(AND(EDATE($D50,Milestones!$AA$138)&lt;=AsOfDate,EDATE($D50,Milestones!$AA$138)&gt;=SchemeStart,IF($X50=0,$AD50,IF(AND($Z50&lt;&gt;"",EDATE($D50,Milestones!$AA$138)&gt;=$Z50),$AC50,IF(AND($Y50&lt;&gt;"",EDATE($D50,Milestones!$AA$138)&gt;=$Y50),$AB50,$AA50)))=Milestones!$AB$138),UPPER(TEXT(EDATE($D50,Milestones!$AA$138),"dd mmm yy"))&amp;" "&amp;Milestones!$AB$138&amp;" "&amp;IF(AND(Milestones!$AB$138="FT",Milestones!$AA$138=FT_Y5,EDATE($D50,Milestones!$AA$138)&lt;PolicyEff),1,Milestones!$AC$138)&amp;";  ","")&amp;IF(AND(EDATE($D50,Milestones!$AA$139)&lt;=AsOfDate,EDATE($D50,Milestones!$AA$139)&gt;=SchemeStart,IF($X50=0,$AD50,IF(AND($Z50&lt;&gt;"",EDATE($D50,Milestones!$AA$139)&gt;=$Z50),$AC50,IF(AND($Y50&lt;&gt;"",EDATE($D50,Milestones!$AA$139)&gt;=$Y50),$AB50,$AA50)))=Milestones!$AB$139),UPPER(TEXT(EDATE($D50,Milestones!$AA$139),"dd mmm yy"))&amp;" "&amp;Milestones!$AB$139&amp;" "&amp;IF(AND(Milestones!$AB$139="FT",Milestones!$AA$139=FT_Y5,EDATE($D50,Milestones!$AA$139)&lt;PolicyEff),1,Milestones!$AC$139)&amp;";  ",""))</f>
        <v/>
      </c>
      <c r="S50" s="0" t="str">
        <f aca="false">IF(OR($A50="",$D50=""),"",IF(AND(EDATE($D50,Milestones!$AA$140)&lt;=AsOfDate,EDATE($D50,Milestones!$AA$140)&gt;=SchemeStart,IF($X50=0,$AD50,IF(AND($Z50&lt;&gt;"",EDATE($D50,Milestones!$AA$140)&gt;=$Z50),$AC50,IF(AND($Y50&lt;&gt;"",EDATE($D50,Milestones!$AA$140)&gt;=$Y50),$AB50,$AA50)))=Milestones!$AB$140),UPPER(TEXT(EDATE($D50,Milestones!$AA$140),"dd mmm yy"))&amp;" "&amp;Milestones!$AB$140&amp;" "&amp;IF(AND(Milestones!$AB$140="FT",Milestones!$AA$140=FT_Y5,EDATE($D50,Milestones!$AA$140)&lt;PolicyEff),1,Milestones!$AC$140)&amp;";  ","")&amp;IF(AND(EDATE($D50,Milestones!$AA$141)&lt;=AsOfDate,EDATE($D50,Milestones!$AA$141)&gt;=SchemeStart,IF($X50=0,$AD50,IF(AND($Z50&lt;&gt;"",EDATE($D50,Milestones!$AA$141)&gt;=$Z50),$AC50,IF(AND($Y50&lt;&gt;"",EDATE($D50,Milestones!$AA$141)&gt;=$Y50),$AB50,$AA50)))=Milestones!$AB$141),UPPER(TEXT(EDATE($D50,Milestones!$AA$141),"dd mmm yy"))&amp;" "&amp;Milestones!$AB$141&amp;" "&amp;IF(AND(Milestones!$AB$141="FT",Milestones!$AA$141=FT_Y5,EDATE($D50,Milestones!$AA$141)&lt;PolicyEff),1,Milestones!$AC$141)&amp;";  ","")&amp;IF(AND(EDATE($D50,Milestones!$AA$142)&lt;=AsOfDate,EDATE($D50,Milestones!$AA$142)&gt;=SchemeStart,IF($X50=0,$AD50,IF(AND($Z50&lt;&gt;"",EDATE($D50,Milestones!$AA$142)&gt;=$Z50),$AC50,IF(AND($Y50&lt;&gt;"",EDATE($D50,Milestones!$AA$142)&gt;=$Y50),$AB50,$AA50)))=Milestones!$AB$142),UPPER(TEXT(EDATE($D50,Milestones!$AA$142),"dd mmm yy"))&amp;" "&amp;Milestones!$AB$142&amp;" "&amp;IF(AND(Milestones!$AB$142="FT",Milestones!$AA$142=FT_Y5,EDATE($D50,Milestones!$AA$142)&lt;PolicyEff),1,Milestones!$AC$142)&amp;";  ","")&amp;IF(AND(EDATE($D50,Milestones!$AA$143)&lt;=AsOfDate,EDATE($D50,Milestones!$AA$143)&gt;=SchemeStart,IF($X50=0,$AD50,IF(AND($Z50&lt;&gt;"",EDATE($D50,Milestones!$AA$143)&gt;=$Z50),$AC50,IF(AND($Y50&lt;&gt;"",EDATE($D50,Milestones!$AA$143)&gt;=$Y50),$AB50,$AA50)))=Milestones!$AB$143),UPPER(TEXT(EDATE($D50,Milestones!$AA$143),"dd mmm yy"))&amp;" "&amp;Milestones!$AB$143&amp;" "&amp;IF(AND(Milestones!$AB$143="FT",Milestones!$AA$143=FT_Y5,EDATE($D50,Milestones!$AA$143)&lt;PolicyEff),1,Milestones!$AC$143)&amp;";  ","")&amp;IF(AND(EDATE($D50,Milestones!$AA$144)&lt;=AsOfDate,EDATE($D50,Milestones!$AA$144)&gt;=SchemeStart,IF($X50=0,$AD50,IF(AND($Z50&lt;&gt;"",EDATE($D50,Milestones!$AA$144)&gt;=$Z50),$AC50,IF(AND($Y50&lt;&gt;"",EDATE($D50,Milestones!$AA$144)&gt;=$Y50),$AB50,$AA50)))=Milestones!$AB$144),UPPER(TEXT(EDATE($D50,Milestones!$AA$144),"dd mmm yy"))&amp;" "&amp;Milestones!$AB$144&amp;" "&amp;IF(AND(Milestones!$AB$144="FT",Milestones!$AA$144=FT_Y5,EDATE($D50,Milestones!$AA$144)&lt;PolicyEff),1,Milestones!$AC$144)&amp;";  ","")&amp;IF(AND(EDATE($D50,Milestones!$AA$145)&lt;=AsOfDate,EDATE($D50,Milestones!$AA$145)&gt;=SchemeStart,IF($X50=0,$AD50,IF(AND($Z50&lt;&gt;"",EDATE($D50,Milestones!$AA$145)&gt;=$Z50),$AC50,IF(AND($Y50&lt;&gt;"",EDATE($D50,Milestones!$AA$145)&gt;=$Y50),$AB50,$AA50)))=Milestones!$AB$145),UPPER(TEXT(EDATE($D50,Milestones!$AA$145),"dd mmm yy"))&amp;" "&amp;Milestones!$AB$145&amp;" "&amp;IF(AND(Milestones!$AB$145="FT",Milestones!$AA$145=FT_Y5,EDATE($D50,Milestones!$AA$145)&lt;PolicyEff),1,Milestones!$AC$145)&amp;";  ","")&amp;IF(AND(EDATE($D50,Milestones!$AA$146)&lt;=AsOfDate,EDATE($D50,Milestones!$AA$146)&gt;=SchemeStart,IF($X50=0,$AD50,IF(AND($Z50&lt;&gt;"",EDATE($D50,Milestones!$AA$146)&gt;=$Z50),$AC50,IF(AND($Y50&lt;&gt;"",EDATE($D50,Milestones!$AA$146)&gt;=$Y50),$AB50,$AA50)))=Milestones!$AB$146),UPPER(TEXT(EDATE($D50,Milestones!$AA$146),"dd mmm yy"))&amp;" "&amp;Milestones!$AB$146&amp;" "&amp;IF(AND(Milestones!$AB$146="FT",Milestones!$AA$146=FT_Y5,EDATE($D50,Milestones!$AA$146)&lt;PolicyEff),1,Milestones!$AC$146)&amp;";  ","")&amp;IF(AND(EDATE($D50,Milestones!$AA$147)&lt;=AsOfDate,EDATE($D50,Milestones!$AA$147)&gt;=SchemeStart,IF($X50=0,$AD50,IF(AND($Z50&lt;&gt;"",EDATE($D50,Milestones!$AA$147)&gt;=$Z50),$AC50,IF(AND($Y50&lt;&gt;"",EDATE($D50,Milestones!$AA$147)&gt;=$Y50),$AB50,$AA50)))=Milestones!$AB$147),UPPER(TEXT(EDATE($D50,Milestones!$AA$147),"dd mmm yy"))&amp;" "&amp;Milestones!$AB$147&amp;" "&amp;IF(AND(Milestones!$AB$147="FT",Milestones!$AA$147=FT_Y5,EDATE($D50,Milestones!$AA$147)&lt;PolicyEff),1,Milestones!$AC$147)&amp;";  ","")&amp;IF(AND(EDATE($D50,Milestones!$AA$148)&lt;=AsOfDate,EDATE($D50,Milestones!$AA$148)&gt;=SchemeStart,IF($X50=0,$AD50,IF(AND($Z50&lt;&gt;"",EDATE($D50,Milestones!$AA$148)&gt;=$Z50),$AC50,IF(AND($Y50&lt;&gt;"",EDATE($D50,Milestones!$AA$148)&gt;=$Y50),$AB50,$AA50)))=Milestones!$AB$148),UPPER(TEXT(EDATE($D50,Milestones!$AA$148),"dd mmm yy"))&amp;" "&amp;Milestones!$AB$148&amp;" "&amp;IF(AND(Milestones!$AB$148="FT",Milestones!$AA$148=FT_Y5,EDATE($D50,Milestones!$AA$148)&lt;PolicyEff),1,Milestones!$AC$148)&amp;";  ","")&amp;IF(AND(EDATE($D50,Milestones!$AA$149)&lt;=AsOfDate,EDATE($D50,Milestones!$AA$149)&gt;=SchemeStart,IF($X50=0,$AD50,IF(AND($Z50&lt;&gt;"",EDATE($D50,Milestones!$AA$149)&gt;=$Z50),$AC50,IF(AND($Y50&lt;&gt;"",EDATE($D50,Milestones!$AA$149)&gt;=$Y50),$AB50,$AA50)))=Milestones!$AB$149),UPPER(TEXT(EDATE($D50,Milestones!$AA$149),"dd mmm yy"))&amp;" "&amp;Milestones!$AB$149&amp;" "&amp;IF(AND(Milestones!$AB$149="FT",Milestones!$AA$149=FT_Y5,EDATE($D50,Milestones!$AA$149)&lt;PolicyEff),1,Milestones!$AC$149)&amp;";  ","")&amp;IF(AND(EDATE($D50,Milestones!$AA$150)&lt;=AsOfDate,EDATE($D50,Milestones!$AA$150)&gt;=SchemeStart,IF($X50=0,$AD50,IF(AND($Z50&lt;&gt;"",EDATE($D50,Milestones!$AA$150)&gt;=$Z50),$AC50,IF(AND($Y50&lt;&gt;"",EDATE($D50,Milestones!$AA$150)&gt;=$Y50),$AB50,$AA50)))=Milestones!$AB$150),UPPER(TEXT(EDATE($D50,Milestones!$AA$150),"dd mmm yy"))&amp;" "&amp;Milestones!$AB$150&amp;" "&amp;IF(AND(Milestones!$AB$150="FT",Milestones!$AA$150=FT_Y5,EDATE($D50,Milestones!$AA$150)&lt;PolicyEff),1,Milestones!$AC$150)&amp;";  ","")&amp;IF(AND(EDATE($D50,Milestones!$AA$151)&lt;=AsOfDate,EDATE($D50,Milestones!$AA$151)&gt;=SchemeStart,IF($X50=0,$AD50,IF(AND($Z50&lt;&gt;"",EDATE($D50,Milestones!$AA$151)&gt;=$Z50),$AC50,IF(AND($Y50&lt;&gt;"",EDATE($D50,Milestones!$AA$151)&gt;=$Y50),$AB50,$AA50)))=Milestones!$AB$151),UPPER(TEXT(EDATE($D50,Milestones!$AA$151),"dd mmm yy"))&amp;" "&amp;Milestones!$AB$151&amp;" "&amp;IF(AND(Milestones!$AB$151="FT",Milestones!$AA$151=FT_Y5,EDATE($D50,Milestones!$AA$151)&lt;PolicyEff),1,Milestones!$AC$151)&amp;";  ",""))</f>
        <v/>
      </c>
      <c r="T50" s="0" t="str">
        <f aca="false">IF(OR($A50="",$D50=""),"",IF(AND(EDATE($D50,Milestones!$AA$152)&lt;=AsOfDate,EDATE($D50,Milestones!$AA$152)&gt;=SchemeStart,IF($X50=0,$AD50,IF(AND($Z50&lt;&gt;"",EDATE($D50,Milestones!$AA$152)&gt;=$Z50),$AC50,IF(AND($Y50&lt;&gt;"",EDATE($D50,Milestones!$AA$152)&gt;=$Y50),$AB50,$AA50)))=Milestones!$AB$152),UPPER(TEXT(EDATE($D50,Milestones!$AA$152),"dd mmm yy"))&amp;" "&amp;Milestones!$AB$152&amp;" "&amp;IF(AND(Milestones!$AB$152="FT",Milestones!$AA$152=FT_Y5,EDATE($D50,Milestones!$AA$152)&lt;PolicyEff),1,Milestones!$AC$152)&amp;";  ","")&amp;IF(AND(EDATE($D50,Milestones!$AA$153)&lt;=AsOfDate,EDATE($D50,Milestones!$AA$153)&gt;=SchemeStart,IF($X50=0,$AD50,IF(AND($Z50&lt;&gt;"",EDATE($D50,Milestones!$AA$153)&gt;=$Z50),$AC50,IF(AND($Y50&lt;&gt;"",EDATE($D50,Milestones!$AA$153)&gt;=$Y50),$AB50,$AA50)))=Milestones!$AB$153),UPPER(TEXT(EDATE($D50,Milestones!$AA$153),"dd mmm yy"))&amp;" "&amp;Milestones!$AB$153&amp;" "&amp;IF(AND(Milestones!$AB$153="FT",Milestones!$AA$153=FT_Y5,EDATE($D50,Milestones!$AA$153)&lt;PolicyEff),1,Milestones!$AC$153)&amp;";  ","")&amp;IF(AND(EDATE($D50,Milestones!$AA$154)&lt;=AsOfDate,EDATE($D50,Milestones!$AA$154)&gt;=SchemeStart,IF($X50=0,$AD50,IF(AND($Z50&lt;&gt;"",EDATE($D50,Milestones!$AA$154)&gt;=$Z50),$AC50,IF(AND($Y50&lt;&gt;"",EDATE($D50,Milestones!$AA$154)&gt;=$Y50),$AB50,$AA50)))=Milestones!$AB$154),UPPER(TEXT(EDATE($D50,Milestones!$AA$154),"dd mmm yy"))&amp;" "&amp;Milestones!$AB$154&amp;" "&amp;IF(AND(Milestones!$AB$154="FT",Milestones!$AA$154=FT_Y5,EDATE($D50,Milestones!$AA$154)&lt;PolicyEff),1,Milestones!$AC$154)&amp;";  ","")&amp;IF(AND(EDATE($D50,Milestones!$AA$155)&lt;=AsOfDate,EDATE($D50,Milestones!$AA$155)&gt;=SchemeStart,IF($X50=0,$AD50,IF(AND($Z50&lt;&gt;"",EDATE($D50,Milestones!$AA$155)&gt;=$Z50),$AC50,IF(AND($Y50&lt;&gt;"",EDATE($D50,Milestones!$AA$155)&gt;=$Y50),$AB50,$AA50)))=Milestones!$AB$155),UPPER(TEXT(EDATE($D50,Milestones!$AA$155),"dd mmm yy"))&amp;" "&amp;Milestones!$AB$155&amp;" "&amp;IF(AND(Milestones!$AB$155="FT",Milestones!$AA$155=FT_Y5,EDATE($D50,Milestones!$AA$155)&lt;PolicyEff),1,Milestones!$AC$155)&amp;";  ","")&amp;IF(AND(EDATE($D50,Milestones!$AA$156)&lt;=AsOfDate,EDATE($D50,Milestones!$AA$156)&gt;=SchemeStart,IF($X50=0,$AD50,IF(AND($Z50&lt;&gt;"",EDATE($D50,Milestones!$AA$156)&gt;=$Z50),$AC50,IF(AND($Y50&lt;&gt;"",EDATE($D50,Milestones!$AA$156)&gt;=$Y50),$AB50,$AA50)))=Milestones!$AB$156),UPPER(TEXT(EDATE($D50,Milestones!$AA$156),"dd mmm yy"))&amp;" "&amp;Milestones!$AB$156&amp;" "&amp;IF(AND(Milestones!$AB$156="FT",Milestones!$AA$156=FT_Y5,EDATE($D50,Milestones!$AA$156)&lt;PolicyEff),1,Milestones!$AC$156)&amp;";  ","")&amp;IF(AND(EDATE($D50,Milestones!$AA$157)&lt;=AsOfDate,EDATE($D50,Milestones!$AA$157)&gt;=SchemeStart,IF($X50=0,$AD50,IF(AND($Z50&lt;&gt;"",EDATE($D50,Milestones!$AA$157)&gt;=$Z50),$AC50,IF(AND($Y50&lt;&gt;"",EDATE($D50,Milestones!$AA$157)&gt;=$Y50),$AB50,$AA50)))=Milestones!$AB$157),UPPER(TEXT(EDATE($D50,Milestones!$AA$157),"dd mmm yy"))&amp;" "&amp;Milestones!$AB$157&amp;" "&amp;IF(AND(Milestones!$AB$157="FT",Milestones!$AA$157=FT_Y5,EDATE($D50,Milestones!$AA$157)&lt;PolicyEff),1,Milestones!$AC$157)&amp;";  ","")&amp;IF(AND(EDATE($D50,Milestones!$AA$158)&lt;=AsOfDate,EDATE($D50,Milestones!$AA$158)&gt;=SchemeStart,IF($X50=0,$AD50,IF(AND($Z50&lt;&gt;"",EDATE($D50,Milestones!$AA$158)&gt;=$Z50),$AC50,IF(AND($Y50&lt;&gt;"",EDATE($D50,Milestones!$AA$158)&gt;=$Y50),$AB50,$AA50)))=Milestones!$AB$158),UPPER(TEXT(EDATE($D50,Milestones!$AA$158),"dd mmm yy"))&amp;" "&amp;Milestones!$AB$158&amp;" "&amp;IF(AND(Milestones!$AB$158="FT",Milestones!$AA$158=FT_Y5,EDATE($D50,Milestones!$AA$158)&lt;PolicyEff),1,Milestones!$AC$158)&amp;";  ","")&amp;IF(AND(EDATE($D50,Milestones!$AA$159)&lt;=AsOfDate,EDATE($D50,Milestones!$AA$159)&gt;=SchemeStart,IF($X50=0,$AD50,IF(AND($Z50&lt;&gt;"",EDATE($D50,Milestones!$AA$159)&gt;=$Z50),$AC50,IF(AND($Y50&lt;&gt;"",EDATE($D50,Milestones!$AA$159)&gt;=$Y50),$AB50,$AA50)))=Milestones!$AB$159),UPPER(TEXT(EDATE($D50,Milestones!$AA$159),"dd mmm yy"))&amp;" "&amp;Milestones!$AB$159&amp;" "&amp;IF(AND(Milestones!$AB$159="FT",Milestones!$AA$159=FT_Y5,EDATE($D50,Milestones!$AA$159)&lt;PolicyEff),1,Milestones!$AC$159)&amp;";  ","")&amp;IF(AND(EDATE($D50,Milestones!$AA$160)&lt;=AsOfDate,EDATE($D50,Milestones!$AA$160)&gt;=SchemeStart,IF($X50=0,$AD50,IF(AND($Z50&lt;&gt;"",EDATE($D50,Milestones!$AA$160)&gt;=$Z50),$AC50,IF(AND($Y50&lt;&gt;"",EDATE($D50,Milestones!$AA$160)&gt;=$Y50),$AB50,$AA50)))=Milestones!$AB$160),UPPER(TEXT(EDATE($D50,Milestones!$AA$160),"dd mmm yy"))&amp;" "&amp;Milestones!$AB$160&amp;" "&amp;IF(AND(Milestones!$AB$160="FT",Milestones!$AA$160=FT_Y5,EDATE($D50,Milestones!$AA$160)&lt;PolicyEff),1,Milestones!$AC$160)&amp;";  ","")&amp;IF(AND(EDATE($D50,Milestones!$AA$161)&lt;=AsOfDate,EDATE($D50,Milestones!$AA$161)&gt;=SchemeStart,IF($X50=0,$AD50,IF(AND($Z50&lt;&gt;"",EDATE($D50,Milestones!$AA$161)&gt;=$Z50),$AC50,IF(AND($Y50&lt;&gt;"",EDATE($D50,Milestones!$AA$161)&gt;=$Y50),$AB50,$AA50)))=Milestones!$AB$161),UPPER(TEXT(EDATE($D50,Milestones!$AA$161),"dd mmm yy"))&amp;" "&amp;Milestones!$AB$161&amp;" "&amp;IF(AND(Milestones!$AB$161="FT",Milestones!$AA$161=FT_Y5,EDATE($D50,Milestones!$AA$161)&lt;PolicyEff),1,Milestones!$AC$161)&amp;";  ","")&amp;IF(AND(EDATE($D50,Milestones!$AA$162)&lt;=AsOfDate,EDATE($D50,Milestones!$AA$162)&gt;=SchemeStart,IF($X50=0,$AD50,IF(AND($Z50&lt;&gt;"",EDATE($D50,Milestones!$AA$162)&gt;=$Z50),$AC50,IF(AND($Y50&lt;&gt;"",EDATE($D50,Milestones!$AA$162)&gt;=$Y50),$AB50,$AA50)))=Milestones!$AB$162),UPPER(TEXT(EDATE($D50,Milestones!$AA$162),"dd mmm yy"))&amp;" "&amp;Milestones!$AB$162&amp;" "&amp;IF(AND(Milestones!$AB$162="FT",Milestones!$AA$162=FT_Y5,EDATE($D50,Milestones!$AA$162)&lt;PolicyEff),1,Milestones!$AC$162)&amp;";  ","")&amp;IF(AND(EDATE($D50,Milestones!$AA$163)&lt;=AsOfDate,EDATE($D50,Milestones!$AA$163)&gt;=SchemeStart,IF($X50=0,$AD50,IF(AND($Z50&lt;&gt;"",EDATE($D50,Milestones!$AA$163)&gt;=$Z50),$AC50,IF(AND($Y50&lt;&gt;"",EDATE($D50,Milestones!$AA$163)&gt;=$Y50),$AB50,$AA50)))=Milestones!$AB$163),UPPER(TEXT(EDATE($D50,Milestones!$AA$163),"dd mmm yy"))&amp;" "&amp;Milestones!$AB$163&amp;" "&amp;IF(AND(Milestones!$AB$163="FT",Milestones!$AA$163=FT_Y5,EDATE($D50,Milestones!$AA$163)&lt;PolicyEff),1,Milestones!$AC$163)&amp;";  ",""))</f>
        <v/>
      </c>
      <c r="U50" s="0" t="str">
        <f aca="false">IF(OR($A50="",$D50=""),"",IF(AND(EDATE($D50,Milestones!$AA$164)&lt;=AsOfDate,EDATE($D50,Milestones!$AA$164)&gt;=SchemeStart,IF($X50=0,$AD50,IF(AND($Z50&lt;&gt;"",EDATE($D50,Milestones!$AA$164)&gt;=$Z50),$AC50,IF(AND($Y50&lt;&gt;"",EDATE($D50,Milestones!$AA$164)&gt;=$Y50),$AB50,$AA50)))=Milestones!$AB$164),UPPER(TEXT(EDATE($D50,Milestones!$AA$164),"dd mmm yy"))&amp;" "&amp;Milestones!$AB$164&amp;" "&amp;IF(AND(Milestones!$AB$164="FT",Milestones!$AA$164=FT_Y5,EDATE($D50,Milestones!$AA$164)&lt;PolicyEff),1,Milestones!$AC$164)&amp;";  ","")&amp;IF(AND(EDATE($D50,Milestones!$AA$165)&lt;=AsOfDate,EDATE($D50,Milestones!$AA$165)&gt;=SchemeStart,IF($X50=0,$AD50,IF(AND($Z50&lt;&gt;"",EDATE($D50,Milestones!$AA$165)&gt;=$Z50),$AC50,IF(AND($Y50&lt;&gt;"",EDATE($D50,Milestones!$AA$165)&gt;=$Y50),$AB50,$AA50)))=Milestones!$AB$165),UPPER(TEXT(EDATE($D50,Milestones!$AA$165),"dd mmm yy"))&amp;" "&amp;Milestones!$AB$165&amp;" "&amp;IF(AND(Milestones!$AB$165="FT",Milestones!$AA$165=FT_Y5,EDATE($D50,Milestones!$AA$165)&lt;PolicyEff),1,Milestones!$AC$165)&amp;";  ","")&amp;IF(AND(EDATE($D50,Milestones!$AA$166)&lt;=AsOfDate,EDATE($D50,Milestones!$AA$166)&gt;=SchemeStart,IF($X50=0,$AD50,IF(AND($Z50&lt;&gt;"",EDATE($D50,Milestones!$AA$166)&gt;=$Z50),$AC50,IF(AND($Y50&lt;&gt;"",EDATE($D50,Milestones!$AA$166)&gt;=$Y50),$AB50,$AA50)))=Milestones!$AB$166),UPPER(TEXT(EDATE($D50,Milestones!$AA$166),"dd mmm yy"))&amp;" "&amp;Milestones!$AB$166&amp;" "&amp;IF(AND(Milestones!$AB$166="FT",Milestones!$AA$166=FT_Y5,EDATE($D50,Milestones!$AA$166)&lt;PolicyEff),1,Milestones!$AC$166)&amp;";  ","")&amp;IF(AND(EDATE($D50,Milestones!$AA$167)&lt;=AsOfDate,EDATE($D50,Milestones!$AA$167)&gt;=SchemeStart,IF($X50=0,$AD50,IF(AND($Z50&lt;&gt;"",EDATE($D50,Milestones!$AA$167)&gt;=$Z50),$AC50,IF(AND($Y50&lt;&gt;"",EDATE($D50,Milestones!$AA$167)&gt;=$Y50),$AB50,$AA50)))=Milestones!$AB$167),UPPER(TEXT(EDATE($D50,Milestones!$AA$167),"dd mmm yy"))&amp;" "&amp;Milestones!$AB$167&amp;" "&amp;IF(AND(Milestones!$AB$167="FT",Milestones!$AA$167=FT_Y5,EDATE($D50,Milestones!$AA$167)&lt;PolicyEff),1,Milestones!$AC$167)&amp;";  ","")&amp;IF(AND(EDATE($D50,Milestones!$AA$168)&lt;=AsOfDate,EDATE($D50,Milestones!$AA$168)&gt;=SchemeStart,IF($X50=0,$AD50,IF(AND($Z50&lt;&gt;"",EDATE($D50,Milestones!$AA$168)&gt;=$Z50),$AC50,IF(AND($Y50&lt;&gt;"",EDATE($D50,Milestones!$AA$168)&gt;=$Y50),$AB50,$AA50)))=Milestones!$AB$168),UPPER(TEXT(EDATE($D50,Milestones!$AA$168),"dd mmm yy"))&amp;" "&amp;Milestones!$AB$168&amp;" "&amp;IF(AND(Milestones!$AB$168="FT",Milestones!$AA$168=FT_Y5,EDATE($D50,Milestones!$AA$168)&lt;PolicyEff),1,Milestones!$AC$168)&amp;";  ","")&amp;IF(AND(EDATE($D50,Milestones!$AA$169)&lt;=AsOfDate,EDATE($D50,Milestones!$AA$169)&gt;=SchemeStart,IF($X50=0,$AD50,IF(AND($Z50&lt;&gt;"",EDATE($D50,Milestones!$AA$169)&gt;=$Z50),$AC50,IF(AND($Y50&lt;&gt;"",EDATE($D50,Milestones!$AA$169)&gt;=$Y50),$AB50,$AA50)))=Milestones!$AB$169),UPPER(TEXT(EDATE($D50,Milestones!$AA$169),"dd mmm yy"))&amp;" "&amp;Milestones!$AB$169&amp;" "&amp;IF(AND(Milestones!$AB$169="FT",Milestones!$AA$169=FT_Y5,EDATE($D50,Milestones!$AA$169)&lt;PolicyEff),1,Milestones!$AC$169)&amp;";  ","")&amp;IF(AND(EDATE($D50,Milestones!$AA$170)&lt;=AsOfDate,EDATE($D50,Milestones!$AA$170)&gt;=SchemeStart,IF($X50=0,$AD50,IF(AND($Z50&lt;&gt;"",EDATE($D50,Milestones!$AA$170)&gt;=$Z50),$AC50,IF(AND($Y50&lt;&gt;"",EDATE($D50,Milestones!$AA$170)&gt;=$Y50),$AB50,$AA50)))=Milestones!$AB$170),UPPER(TEXT(EDATE($D50,Milestones!$AA$170),"dd mmm yy"))&amp;" "&amp;Milestones!$AB$170&amp;" "&amp;IF(AND(Milestones!$AB$170="FT",Milestones!$AA$170=FT_Y5,EDATE($D50,Milestones!$AA$170)&lt;PolicyEff),1,Milestones!$AC$170)&amp;";  ","")&amp;IF(AND(EDATE($D50,Milestones!$AA$171)&lt;=AsOfDate,EDATE($D50,Milestones!$AA$171)&gt;=SchemeStart,IF($X50=0,$AD50,IF(AND($Z50&lt;&gt;"",EDATE($D50,Milestones!$AA$171)&gt;=$Z50),$AC50,IF(AND($Y50&lt;&gt;"",EDATE($D50,Milestones!$AA$171)&gt;=$Y50),$AB50,$AA50)))=Milestones!$AB$171),UPPER(TEXT(EDATE($D50,Milestones!$AA$171),"dd mmm yy"))&amp;" "&amp;Milestones!$AB$171&amp;" "&amp;IF(AND(Milestones!$AB$171="FT",Milestones!$AA$171=FT_Y5,EDATE($D50,Milestones!$AA$171)&lt;PolicyEff),1,Milestones!$AC$171)&amp;";  ","")&amp;IF(AND(EDATE($D50,Milestones!$AA$172)&lt;=AsOfDate,EDATE($D50,Milestones!$AA$172)&gt;=SchemeStart,IF($X50=0,$AD50,IF(AND($Z50&lt;&gt;"",EDATE($D50,Milestones!$AA$172)&gt;=$Z50),$AC50,IF(AND($Y50&lt;&gt;"",EDATE($D50,Milestones!$AA$172)&gt;=$Y50),$AB50,$AA50)))=Milestones!$AB$172),UPPER(TEXT(EDATE($D50,Milestones!$AA$172),"dd mmm yy"))&amp;" "&amp;Milestones!$AB$172&amp;" "&amp;IF(AND(Milestones!$AB$172="FT",Milestones!$AA$172=FT_Y5,EDATE($D50,Milestones!$AA$172)&lt;PolicyEff),1,Milestones!$AC$172)&amp;";  ","")&amp;IF(AND(EDATE($D50,Milestones!$AA$173)&lt;=AsOfDate,EDATE($D50,Milestones!$AA$173)&gt;=SchemeStart,IF($X50=0,$AD50,IF(AND($Z50&lt;&gt;"",EDATE($D50,Milestones!$AA$173)&gt;=$Z50),$AC50,IF(AND($Y50&lt;&gt;"",EDATE($D50,Milestones!$AA$173)&gt;=$Y50),$AB50,$AA50)))=Milestones!$AB$173),UPPER(TEXT(EDATE($D50,Milestones!$AA$173),"dd mmm yy"))&amp;" "&amp;Milestones!$AB$173&amp;" "&amp;IF(AND(Milestones!$AB$173="FT",Milestones!$AA$173=FT_Y5,EDATE($D50,Milestones!$AA$173)&lt;PolicyEff),1,Milestones!$AC$173)&amp;";  ","")&amp;IF(AND(EDATE($D50,Milestones!$AA$174)&lt;=AsOfDate,EDATE($D50,Milestones!$AA$174)&gt;=SchemeStart,IF($X50=0,$AD50,IF(AND($Z50&lt;&gt;"",EDATE($D50,Milestones!$AA$174)&gt;=$Z50),$AC50,IF(AND($Y50&lt;&gt;"",EDATE($D50,Milestones!$AA$174)&gt;=$Y50),$AB50,$AA50)))=Milestones!$AB$174),UPPER(TEXT(EDATE($D50,Milestones!$AA$174),"dd mmm yy"))&amp;" "&amp;Milestones!$AB$174&amp;" "&amp;IF(AND(Milestones!$AB$174="FT",Milestones!$AA$174=FT_Y5,EDATE($D50,Milestones!$AA$174)&lt;PolicyEff),1,Milestones!$AC$174)&amp;";  ","")&amp;IF(AND(EDATE($D50,Milestones!$AA$175)&lt;=AsOfDate,EDATE($D50,Milestones!$AA$175)&gt;=SchemeStart,IF($X50=0,$AD50,IF(AND($Z50&lt;&gt;"",EDATE($D50,Milestones!$AA$175)&gt;=$Z50),$AC50,IF(AND($Y50&lt;&gt;"",EDATE($D50,Milestones!$AA$175)&gt;=$Y50),$AB50,$AA50)))=Milestones!$AB$175),UPPER(TEXT(EDATE($D50,Milestones!$AA$175),"dd mmm yy"))&amp;" "&amp;Milestones!$AB$175&amp;" "&amp;IF(AND(Milestones!$AB$175="FT",Milestones!$AA$175=FT_Y5,EDATE($D50,Milestones!$AA$175)&lt;PolicyEff),1,Milestones!$AC$175)&amp;";  ",""))</f>
        <v/>
      </c>
      <c r="V50" s="0" t="str">
        <f aca="false">IF(OR($A50="",$D50=""),"",IF(AND(EDATE($D50,Milestones!$AA$176)&lt;=AsOfDate,EDATE($D50,Milestones!$AA$176)&gt;=SchemeStart,IF($X50=0,$AD50,IF(AND($Z50&lt;&gt;"",EDATE($D50,Milestones!$AA$176)&gt;=$Z50),$AC50,IF(AND($Y50&lt;&gt;"",EDATE($D50,Milestones!$AA$176)&gt;=$Y50),$AB50,$AA50)))=Milestones!$AB$176),UPPER(TEXT(EDATE($D50,Milestones!$AA$176),"dd mmm yy"))&amp;" "&amp;Milestones!$AB$176&amp;" "&amp;IF(AND(Milestones!$AB$176="FT",Milestones!$AA$176=FT_Y5,EDATE($D50,Milestones!$AA$176)&lt;PolicyEff),1,Milestones!$AC$176)&amp;";  ","")&amp;IF(AND(EDATE($D50,Milestones!$AA$177)&lt;=AsOfDate,EDATE($D50,Milestones!$AA$177)&gt;=SchemeStart,IF($X50=0,$AD50,IF(AND($Z50&lt;&gt;"",EDATE($D50,Milestones!$AA$177)&gt;=$Z50),$AC50,IF(AND($Y50&lt;&gt;"",EDATE($D50,Milestones!$AA$177)&gt;=$Y50),$AB50,$AA50)))=Milestones!$AB$177),UPPER(TEXT(EDATE($D50,Milestones!$AA$177),"dd mmm yy"))&amp;" "&amp;Milestones!$AB$177&amp;" "&amp;IF(AND(Milestones!$AB$177="FT",Milestones!$AA$177=FT_Y5,EDATE($D50,Milestones!$AA$177)&lt;PolicyEff),1,Milestones!$AC$177)&amp;";  ","")&amp;IF(AND(EDATE($D50,Milestones!$AA$178)&lt;=AsOfDate,EDATE($D50,Milestones!$AA$178)&gt;=SchemeStart,IF($X50=0,$AD50,IF(AND($Z50&lt;&gt;"",EDATE($D50,Milestones!$AA$178)&gt;=$Z50),$AC50,IF(AND($Y50&lt;&gt;"",EDATE($D50,Milestones!$AA$178)&gt;=$Y50),$AB50,$AA50)))=Milestones!$AB$178),UPPER(TEXT(EDATE($D50,Milestones!$AA$178),"dd mmm yy"))&amp;" "&amp;Milestones!$AB$178&amp;" "&amp;IF(AND(Milestones!$AB$178="FT",Milestones!$AA$178=FT_Y5,EDATE($D50,Milestones!$AA$178)&lt;PolicyEff),1,Milestones!$AC$178)&amp;";  ","")&amp;IF(AND(EDATE($D50,Milestones!$AA$179)&lt;=AsOfDate,EDATE($D50,Milestones!$AA$179)&gt;=SchemeStart,IF($X50=0,$AD50,IF(AND($Z50&lt;&gt;"",EDATE($D50,Milestones!$AA$179)&gt;=$Z50),$AC50,IF(AND($Y50&lt;&gt;"",EDATE($D50,Milestones!$AA$179)&gt;=$Y50),$AB50,$AA50)))=Milestones!$AB$179),UPPER(TEXT(EDATE($D50,Milestones!$AA$179),"dd mmm yy"))&amp;" "&amp;Milestones!$AB$179&amp;" "&amp;IF(AND(Milestones!$AB$179="FT",Milestones!$AA$179=FT_Y5,EDATE($D50,Milestones!$AA$179)&lt;PolicyEff),1,Milestones!$AC$179)&amp;";  ","")&amp;IF(AND(EDATE($D50,Milestones!$AA$180)&lt;=AsOfDate,EDATE($D50,Milestones!$AA$180)&gt;=SchemeStart,IF($X50=0,$AD50,IF(AND($Z50&lt;&gt;"",EDATE($D50,Milestones!$AA$180)&gt;=$Z50),$AC50,IF(AND($Y50&lt;&gt;"",EDATE($D50,Milestones!$AA$180)&gt;=$Y50),$AB50,$AA50)))=Milestones!$AB$180),UPPER(TEXT(EDATE($D50,Milestones!$AA$180),"dd mmm yy"))&amp;" "&amp;Milestones!$AB$180&amp;" "&amp;IF(AND(Milestones!$AB$180="FT",Milestones!$AA$180=FT_Y5,EDATE($D50,Milestones!$AA$180)&lt;PolicyEff),1,Milestones!$AC$180)&amp;";  ","")&amp;IF(AND(EDATE($D50,Milestones!$AA$181)&lt;=AsOfDate,EDATE($D50,Milestones!$AA$181)&gt;=SchemeStart,IF($X50=0,$AD50,IF(AND($Z50&lt;&gt;"",EDATE($D50,Milestones!$AA$181)&gt;=$Z50),$AC50,IF(AND($Y50&lt;&gt;"",EDATE($D50,Milestones!$AA$181)&gt;=$Y50),$AB50,$AA50)))=Milestones!$AB$181),UPPER(TEXT(EDATE($D50,Milestones!$AA$181),"dd mmm yy"))&amp;" "&amp;Milestones!$AB$181&amp;" "&amp;IF(AND(Milestones!$AB$181="FT",Milestones!$AA$181=FT_Y5,EDATE($D50,Milestones!$AA$181)&lt;PolicyEff),1,Milestones!$AC$181)&amp;";  ","")&amp;IF(AND(EDATE($D50,Milestones!$AA$182)&lt;=AsOfDate,EDATE($D50,Milestones!$AA$182)&gt;=SchemeStart,IF($X50=0,$AD50,IF(AND($Z50&lt;&gt;"",EDATE($D50,Milestones!$AA$182)&gt;=$Z50),$AC50,IF(AND($Y50&lt;&gt;"",EDATE($D50,Milestones!$AA$182)&gt;=$Y50),$AB50,$AA50)))=Milestones!$AB$182),UPPER(TEXT(EDATE($D50,Milestones!$AA$182),"dd mmm yy"))&amp;" "&amp;Milestones!$AB$182&amp;" "&amp;IF(AND(Milestones!$AB$182="FT",Milestones!$AA$182=FT_Y5,EDATE($D50,Milestones!$AA$182)&lt;PolicyEff),1,Milestones!$AC$182)&amp;";  ","")&amp;IF(AND(EDATE($D50,Milestones!$AA$183)&lt;=AsOfDate,EDATE($D50,Milestones!$AA$183)&gt;=SchemeStart,IF($X50=0,$AD50,IF(AND($Z50&lt;&gt;"",EDATE($D50,Milestones!$AA$183)&gt;=$Z50),$AC50,IF(AND($Y50&lt;&gt;"",EDATE($D50,Milestones!$AA$183)&gt;=$Y50),$AB50,$AA50)))=Milestones!$AB$183),UPPER(TEXT(EDATE($D50,Milestones!$AA$183),"dd mmm yy"))&amp;" "&amp;Milestones!$AB$183&amp;" "&amp;IF(AND(Milestones!$AB$183="FT",Milestones!$AA$183=FT_Y5,EDATE($D50,Milestones!$AA$183)&lt;PolicyEff),1,Milestones!$AC$183)&amp;";  ","")&amp;IF(AND(EDATE($D50,Milestones!$AA$184)&lt;=AsOfDate,EDATE($D50,Milestones!$AA$184)&gt;=SchemeStart,IF($X50=0,$AD50,IF(AND($Z50&lt;&gt;"",EDATE($D50,Milestones!$AA$184)&gt;=$Z50),$AC50,IF(AND($Y50&lt;&gt;"",EDATE($D50,Milestones!$AA$184)&gt;=$Y50),$AB50,$AA50)))=Milestones!$AB$184),UPPER(TEXT(EDATE($D50,Milestones!$AA$184),"dd mmm yy"))&amp;" "&amp;Milestones!$AB$184&amp;" "&amp;IF(AND(Milestones!$AB$184="FT",Milestones!$AA$184=FT_Y5,EDATE($D50,Milestones!$AA$184)&lt;PolicyEff),1,Milestones!$AC$184)&amp;";  ","")&amp;IF(AND(EDATE($D50,Milestones!$AA$185)&lt;=AsOfDate,EDATE($D50,Milestones!$AA$185)&gt;=SchemeStart,IF($X50=0,$AD50,IF(AND($Z50&lt;&gt;"",EDATE($D50,Milestones!$AA$185)&gt;=$Z50),$AC50,IF(AND($Y50&lt;&gt;"",EDATE($D50,Milestones!$AA$185)&gt;=$Y50),$AB50,$AA50)))=Milestones!$AB$185),UPPER(TEXT(EDATE($D50,Milestones!$AA$185),"dd mmm yy"))&amp;" "&amp;Milestones!$AB$185&amp;" "&amp;IF(AND(Milestones!$AB$185="FT",Milestones!$AA$185=FT_Y5,EDATE($D50,Milestones!$AA$185)&lt;PolicyEff),1,Milestones!$AC$185)&amp;";  ","")&amp;IF(AND(EDATE($D50,Milestones!$AA$186)&lt;=AsOfDate,EDATE($D50,Milestones!$AA$186)&gt;=SchemeStart,IF($X50=0,$AD50,IF(AND($Z50&lt;&gt;"",EDATE($D50,Milestones!$AA$186)&gt;=$Z50),$AC50,IF(AND($Y50&lt;&gt;"",EDATE($D50,Milestones!$AA$186)&gt;=$Y50),$AB50,$AA50)))=Milestones!$AB$186),UPPER(TEXT(EDATE($D50,Milestones!$AA$186),"dd mmm yy"))&amp;" "&amp;Milestones!$AB$186&amp;" "&amp;IF(AND(Milestones!$AB$186="FT",Milestones!$AA$186=FT_Y5,EDATE($D50,Milestones!$AA$186)&lt;PolicyEff),1,Milestones!$AC$186)&amp;";  ","")&amp;IF(AND(EDATE($D50,Milestones!$AA$187)&lt;=AsOfDate,EDATE($D50,Milestones!$AA$187)&gt;=SchemeStart,IF($X50=0,$AD50,IF(AND($Z50&lt;&gt;"",EDATE($D50,Milestones!$AA$187)&gt;=$Z50),$AC50,IF(AND($Y50&lt;&gt;"",EDATE($D50,Milestones!$AA$187)&gt;=$Y50),$AB50,$AA50)))=Milestones!$AB$187),UPPER(TEXT(EDATE($D50,Milestones!$AA$187),"dd mmm yy"))&amp;" "&amp;Milestones!$AB$187&amp;" "&amp;IF(AND(Milestones!$AB$187="FT",Milestones!$AA$187=FT_Y5,EDATE($D50,Milestones!$AA$187)&lt;PolicyEff),1,Milestones!$AC$187)&amp;";  ",""))</f>
        <v/>
      </c>
      <c r="W50" s="0" t="str">
        <f aca="false">IF(OR($A50="",$D50=""),"",IF(AND(EDATE($D50,Milestones!$AA$188)&lt;=AsOfDate,EDATE($D50,Milestones!$AA$188)&gt;=SchemeStart,IF($X50=0,$AD50,IF(AND($Z50&lt;&gt;"",EDATE($D50,Milestones!$AA$188)&gt;=$Z50),$AC50,IF(AND($Y50&lt;&gt;"",EDATE($D50,Milestones!$AA$188)&gt;=$Y50),$AB50,$AA50)))=Milestones!$AB$188),UPPER(TEXT(EDATE($D50,Milestones!$AA$188),"dd mmm yy"))&amp;" "&amp;Milestones!$AB$188&amp;" "&amp;IF(AND(Milestones!$AB$188="FT",Milestones!$AA$188=FT_Y5,EDATE($D50,Milestones!$AA$188)&lt;PolicyEff),1,Milestones!$AC$188)&amp;";  ","")&amp;IF(AND(EDATE($D50,Milestones!$AA$189)&lt;=AsOfDate,EDATE($D50,Milestones!$AA$189)&gt;=SchemeStart,IF($X50=0,$AD50,IF(AND($Z50&lt;&gt;"",EDATE($D50,Milestones!$AA$189)&gt;=$Z50),$AC50,IF(AND($Y50&lt;&gt;"",EDATE($D50,Milestones!$AA$189)&gt;=$Y50),$AB50,$AA50)))=Milestones!$AB$189),UPPER(TEXT(EDATE($D50,Milestones!$AA$189),"dd mmm yy"))&amp;" "&amp;Milestones!$AB$189&amp;" "&amp;IF(AND(Milestones!$AB$189="FT",Milestones!$AA$189=FT_Y5,EDATE($D50,Milestones!$AA$189)&lt;PolicyEff),1,Milestones!$AC$189)&amp;";  ","")&amp;IF(AND(EDATE($D50,Milestones!$AA$190)&lt;=AsOfDate,EDATE($D50,Milestones!$AA$190)&gt;=SchemeStart,IF($X50=0,$AD50,IF(AND($Z50&lt;&gt;"",EDATE($D50,Milestones!$AA$190)&gt;=$Z50),$AC50,IF(AND($Y50&lt;&gt;"",EDATE($D50,Milestones!$AA$190)&gt;=$Y50),$AB50,$AA50)))=Milestones!$AB$190),UPPER(TEXT(EDATE($D50,Milestones!$AA$190),"dd mmm yy"))&amp;" "&amp;Milestones!$AB$190&amp;" "&amp;IF(AND(Milestones!$AB$190="FT",Milestones!$AA$190=FT_Y5,EDATE($D50,Milestones!$AA$190)&lt;PolicyEff),1,Milestones!$AC$190)&amp;";  ","")&amp;IF(AND(EDATE($D50,Milestones!$AA$191)&lt;=AsOfDate,EDATE($D50,Milestones!$AA$191)&gt;=SchemeStart,IF($X50=0,$AD50,IF(AND($Z50&lt;&gt;"",EDATE($D50,Milestones!$AA$191)&gt;=$Z50),$AC50,IF(AND($Y50&lt;&gt;"",EDATE($D50,Milestones!$AA$191)&gt;=$Y50),$AB50,$AA50)))=Milestones!$AB$191),UPPER(TEXT(EDATE($D50,Milestones!$AA$191),"dd mmm yy"))&amp;" "&amp;Milestones!$AB$191&amp;" "&amp;IF(AND(Milestones!$AB$191="FT",Milestones!$AA$191=FT_Y5,EDATE($D50,Milestones!$AA$191)&lt;PolicyEff),1,Milestones!$AC$191)&amp;";  ","")&amp;IF(AND(EDATE($D50,Milestones!$AA$192)&lt;=AsOfDate,EDATE($D50,Milestones!$AA$192)&gt;=SchemeStart,IF($X50=0,$AD50,IF(AND($Z50&lt;&gt;"",EDATE($D50,Milestones!$AA$192)&gt;=$Z50),$AC50,IF(AND($Y50&lt;&gt;"",EDATE($D50,Milestones!$AA$192)&gt;=$Y50),$AB50,$AA50)))=Milestones!$AB$192),UPPER(TEXT(EDATE($D50,Milestones!$AA$192),"dd mmm yy"))&amp;" "&amp;Milestones!$AB$192&amp;" "&amp;IF(AND(Milestones!$AB$192="FT",Milestones!$AA$192=FT_Y5,EDATE($D50,Milestones!$AA$192)&lt;PolicyEff),1,Milestones!$AC$192)&amp;";  ","")&amp;IF(AND(EDATE($D50,Milestones!$AA$193)&lt;=AsOfDate,EDATE($D50,Milestones!$AA$193)&gt;=SchemeStart,IF($X50=0,$AD50,IF(AND($Z50&lt;&gt;"",EDATE($D50,Milestones!$AA$193)&gt;=$Z50),$AC50,IF(AND($Y50&lt;&gt;"",EDATE($D50,Milestones!$AA$193)&gt;=$Y50),$AB50,$AA50)))=Milestones!$AB$193),UPPER(TEXT(EDATE($D50,Milestones!$AA$193),"dd mmm yy"))&amp;" "&amp;Milestones!$AB$193&amp;" "&amp;IF(AND(Milestones!$AB$193="FT",Milestones!$AA$193=FT_Y5,EDATE($D50,Milestones!$AA$193)&lt;PolicyEff),1,Milestones!$AC$193)&amp;";  ","")&amp;IF(AND(EDATE($D50,Milestones!$AA$194)&lt;=AsOfDate,EDATE($D50,Milestones!$AA$194)&gt;=SchemeStart,IF($X50=0,$AD50,IF(AND($Z50&lt;&gt;"",EDATE($D50,Milestones!$AA$194)&gt;=$Z50),$AC50,IF(AND($Y50&lt;&gt;"",EDATE($D50,Milestones!$AA$194)&gt;=$Y50),$AB50,$AA50)))=Milestones!$AB$194),UPPER(TEXT(EDATE($D50,Milestones!$AA$194),"dd mmm yy"))&amp;" "&amp;Milestones!$AB$194&amp;" "&amp;IF(AND(Milestones!$AB$194="FT",Milestones!$AA$194=FT_Y5,EDATE($D50,Milestones!$AA$194)&lt;PolicyEff),1,Milestones!$AC$194)&amp;";  ","")&amp;IF(AND(EDATE($D50,Milestones!$AA$195)&lt;=AsOfDate,EDATE($D50,Milestones!$AA$195)&gt;=SchemeStart,IF($X50=0,$AD50,IF(AND($Z50&lt;&gt;"",EDATE($D50,Milestones!$AA$195)&gt;=$Z50),$AC50,IF(AND($Y50&lt;&gt;"",EDATE($D50,Milestones!$AA$195)&gt;=$Y50),$AB50,$AA50)))=Milestones!$AB$195),UPPER(TEXT(EDATE($D50,Milestones!$AA$195),"dd mmm yy"))&amp;" "&amp;Milestones!$AB$195&amp;" "&amp;IF(AND(Milestones!$AB$195="FT",Milestones!$AA$195=FT_Y5,EDATE($D50,Milestones!$AA$195)&lt;PolicyEff),1,Milestones!$AC$195)&amp;";  ","")&amp;IF(AND(EDATE($D50,Milestones!$AA$196)&lt;=AsOfDate,EDATE($D50,Milestones!$AA$196)&gt;=SchemeStart,IF($X50=0,$AD50,IF(AND($Z50&lt;&gt;"",EDATE($D50,Milestones!$AA$196)&gt;=$Z50),$AC50,IF(AND($Y50&lt;&gt;"",EDATE($D50,Milestones!$AA$196)&gt;=$Y50),$AB50,$AA50)))=Milestones!$AB$196),UPPER(TEXT(EDATE($D50,Milestones!$AA$196),"dd mmm yy"))&amp;" "&amp;Milestones!$AB$196&amp;" "&amp;IF(AND(Milestones!$AB$196="FT",Milestones!$AA$196=FT_Y5,EDATE($D50,Milestones!$AA$196)&lt;PolicyEff),1,Milestones!$AC$196)&amp;";  ","")&amp;IF(AND(EDATE($D50,Milestones!$AA$197)&lt;=AsOfDate,EDATE($D50,Milestones!$AA$197)&gt;=SchemeStart,IF($X50=0,$AD50,IF(AND($Z50&lt;&gt;"",EDATE($D50,Milestones!$AA$197)&gt;=$Z50),$AC50,IF(AND($Y50&lt;&gt;"",EDATE($D50,Milestones!$AA$197)&gt;=$Y50),$AB50,$AA50)))=Milestones!$AB$197),UPPER(TEXT(EDATE($D50,Milestones!$AA$197),"dd mmm yy"))&amp;" "&amp;Milestones!$AB$197&amp;" "&amp;IF(AND(Milestones!$AB$197="FT",Milestones!$AA$197=FT_Y5,EDATE($D50,Milestones!$AA$197)&lt;PolicyEff),1,Milestones!$AC$197)&amp;";  ","")&amp;IF(AND(EDATE($D50,Milestones!$AA$198)&lt;=AsOfDate,EDATE($D50,Milestones!$AA$198)&gt;=SchemeStart,IF($X50=0,$AD50,IF(AND($Z50&lt;&gt;"",EDATE($D50,Milestones!$AA$198)&gt;=$Z50),$AC50,IF(AND($Y50&lt;&gt;"",EDATE($D50,Milestones!$AA$198)&gt;=$Y50),$AB50,$AA50)))=Milestones!$AB$198),UPPER(TEXT(EDATE($D50,Milestones!$AA$198),"dd mmm yy"))&amp;" "&amp;Milestones!$AB$198&amp;" "&amp;IF(AND(Milestones!$AB$198="FT",Milestones!$AA$198=FT_Y5,EDATE($D50,Milestones!$AA$198)&lt;PolicyEff),1,Milestones!$AC$198)&amp;";  ","")&amp;IF(AND(EDATE($D50,Milestones!$AA$199)&lt;=AsOfDate,EDATE($D50,Milestones!$AA$199)&gt;=SchemeStart,IF($X50=0,$AD50,IF(AND($Z50&lt;&gt;"",EDATE($D50,Milestones!$AA$199)&gt;=$Z50),$AC50,IF(AND($Y50&lt;&gt;"",EDATE($D50,Milestones!$AA$199)&gt;=$Y50),$AB50,$AA50)))=Milestones!$AB$199),UPPER(TEXT(EDATE($D50,Milestones!$AA$199),"dd mmm yy"))&amp;" "&amp;Milestones!$AB$199&amp;" "&amp;IF(AND(Milestones!$AB$199="FT",Milestones!$AA$199=FT_Y5,EDATE($D50,Milestones!$AA$199)&lt;PolicyEff),1,Milestones!$AC$199)&amp;";  ",""))</f>
        <v/>
      </c>
      <c r="X50" s="0" t="str">
        <f aca="false">IF(Staff!$A50="","",Staff!$AM50)</f>
        <v/>
      </c>
      <c r="Y50" s="0" t="str">
        <f aca="false">IF(Staff!$A50="","",Staff!$AO50)</f>
        <v/>
      </c>
      <c r="Z50" s="0" t="str">
        <f aca="false">IF(Staff!$A50="","",Staff!$AP50)</f>
        <v/>
      </c>
      <c r="AA50" s="0" t="str">
        <f aca="false">IF(Staff!$A50="","",Staff!$AT50)</f>
        <v/>
      </c>
      <c r="AB50" s="0" t="str">
        <f aca="false">IF(Staff!$A50="","",Staff!$AU50)</f>
        <v/>
      </c>
      <c r="AC50" s="0" t="str">
        <f aca="false">IF(Staff!$A50="","",Staff!$AV50)</f>
        <v/>
      </c>
      <c r="AD50" s="0" t="str">
        <f aca="false">IF(Staff!$A50="","",Staff!$AW50)</f>
        <v/>
      </c>
    </row>
    <row r="51" customFormat="false" ht="15" hidden="false" customHeight="false" outlineLevel="0" collapsed="false">
      <c r="A51" s="16" t="str">
        <f aca="false">IF(Staff!$A51="","",Staff!$A51)</f>
        <v/>
      </c>
      <c r="B51" s="16" t="str">
        <f aca="false">IF(Staff!$A51="","",Staff!$B51)</f>
        <v/>
      </c>
      <c r="C51" s="16" t="str">
        <f aca="false">IF(Staff!$A51="","",Staff!$C51)</f>
        <v/>
      </c>
      <c r="D51" s="14" t="str">
        <f aca="false">IF(Staff!$A51="","",Staff!$AL51)</f>
        <v/>
      </c>
      <c r="E51" s="16" t="str">
        <f aca="false">IF(Staff!$A51="","",Staff!$O51)</f>
        <v/>
      </c>
      <c r="F51" s="16" t="str">
        <f aca="false">IF(E51="","",E51*HoursPerDay)</f>
        <v/>
      </c>
      <c r="G51" s="16" t="str">
        <f aca="false">IF(Staff!$A51="","",Staff!$AE51)</f>
        <v/>
      </c>
      <c r="H51" s="28" t="str">
        <f aca="false">IF($A51="","",I51&amp;J51&amp;K51&amp;L51&amp;M51&amp;N51&amp;O51&amp;P51&amp;Q51&amp;R51&amp;S51&amp;T51&amp;U51&amp;V51&amp;W51)</f>
        <v/>
      </c>
      <c r="I51" s="0" t="str">
        <f aca="false">IF(OR($A51="",$D51=""),"",IF(AND(EDATE($D51,Milestones!$AA$20)&lt;=AsOfDate,EDATE($D51,Milestones!$AA$20)&gt;=SchemeStart,IF($X51=0,$AD51,IF(AND($Z51&lt;&gt;"",EDATE($D51,Milestones!$AA$20)&gt;=$Z51),$AC51,IF(AND($Y51&lt;&gt;"",EDATE($D51,Milestones!$AA$20)&gt;=$Y51),$AB51,$AA51)))=Milestones!$AB$20),UPPER(TEXT(EDATE($D51,Milestones!$AA$20),"dd mmm yy"))&amp;" "&amp;Milestones!$AB$20&amp;" "&amp;IF(AND(Milestones!$AB$20="FT",Milestones!$AA$20=FT_Y5,EDATE($D51,Milestones!$AA$20)&lt;PolicyEff),1,Milestones!$AC$20)&amp;";  ","")&amp;IF(AND(EDATE($D51,Milestones!$AA$21)&lt;=AsOfDate,EDATE($D51,Milestones!$AA$21)&gt;=SchemeStart,IF($X51=0,$AD51,IF(AND($Z51&lt;&gt;"",EDATE($D51,Milestones!$AA$21)&gt;=$Z51),$AC51,IF(AND($Y51&lt;&gt;"",EDATE($D51,Milestones!$AA$21)&gt;=$Y51),$AB51,$AA51)))=Milestones!$AB$21),UPPER(TEXT(EDATE($D51,Milestones!$AA$21),"dd mmm yy"))&amp;" "&amp;Milestones!$AB$21&amp;" "&amp;IF(AND(Milestones!$AB$21="FT",Milestones!$AA$21=FT_Y5,EDATE($D51,Milestones!$AA$21)&lt;PolicyEff),1,Milestones!$AC$21)&amp;";  ","")&amp;IF(AND(EDATE($D51,Milestones!$AA$22)&lt;=AsOfDate,EDATE($D51,Milestones!$AA$22)&gt;=SchemeStart,IF($X51=0,$AD51,IF(AND($Z51&lt;&gt;"",EDATE($D51,Milestones!$AA$22)&gt;=$Z51),$AC51,IF(AND($Y51&lt;&gt;"",EDATE($D51,Milestones!$AA$22)&gt;=$Y51),$AB51,$AA51)))=Milestones!$AB$22),UPPER(TEXT(EDATE($D51,Milestones!$AA$22),"dd mmm yy"))&amp;" "&amp;Milestones!$AB$22&amp;" "&amp;IF(AND(Milestones!$AB$22="FT",Milestones!$AA$22=FT_Y5,EDATE($D51,Milestones!$AA$22)&lt;PolicyEff),1,Milestones!$AC$22)&amp;";  ","")&amp;IF(AND(EDATE($D51,Milestones!$AA$23)&lt;=AsOfDate,EDATE($D51,Milestones!$AA$23)&gt;=SchemeStart,IF($X51=0,$AD51,IF(AND($Z51&lt;&gt;"",EDATE($D51,Milestones!$AA$23)&gt;=$Z51),$AC51,IF(AND($Y51&lt;&gt;"",EDATE($D51,Milestones!$AA$23)&gt;=$Y51),$AB51,$AA51)))=Milestones!$AB$23),UPPER(TEXT(EDATE($D51,Milestones!$AA$23),"dd mmm yy"))&amp;" "&amp;Milestones!$AB$23&amp;" "&amp;IF(AND(Milestones!$AB$23="FT",Milestones!$AA$23=FT_Y5,EDATE($D51,Milestones!$AA$23)&lt;PolicyEff),1,Milestones!$AC$23)&amp;";  ","")&amp;IF(AND(EDATE($D51,Milestones!$AA$24)&lt;=AsOfDate,EDATE($D51,Milestones!$AA$24)&gt;=SchemeStart,IF($X51=0,$AD51,IF(AND($Z51&lt;&gt;"",EDATE($D51,Milestones!$AA$24)&gt;=$Z51),$AC51,IF(AND($Y51&lt;&gt;"",EDATE($D51,Milestones!$AA$24)&gt;=$Y51),$AB51,$AA51)))=Milestones!$AB$24),UPPER(TEXT(EDATE($D51,Milestones!$AA$24),"dd mmm yy"))&amp;" "&amp;Milestones!$AB$24&amp;" "&amp;IF(AND(Milestones!$AB$24="FT",Milestones!$AA$24=FT_Y5,EDATE($D51,Milestones!$AA$24)&lt;PolicyEff),1,Milestones!$AC$24)&amp;";  ","")&amp;IF(AND(EDATE($D51,Milestones!$AA$25)&lt;=AsOfDate,EDATE($D51,Milestones!$AA$25)&gt;=SchemeStart,IF($X51=0,$AD51,IF(AND($Z51&lt;&gt;"",EDATE($D51,Milestones!$AA$25)&gt;=$Z51),$AC51,IF(AND($Y51&lt;&gt;"",EDATE($D51,Milestones!$AA$25)&gt;=$Y51),$AB51,$AA51)))=Milestones!$AB$25),UPPER(TEXT(EDATE($D51,Milestones!$AA$25),"dd mmm yy"))&amp;" "&amp;Milestones!$AB$25&amp;" "&amp;IF(AND(Milestones!$AB$25="FT",Milestones!$AA$25=FT_Y5,EDATE($D51,Milestones!$AA$25)&lt;PolicyEff),1,Milestones!$AC$25)&amp;";  ","")&amp;IF(AND(EDATE($D51,Milestones!$AA$26)&lt;=AsOfDate,EDATE($D51,Milestones!$AA$26)&gt;=SchemeStart,IF($X51=0,$AD51,IF(AND($Z51&lt;&gt;"",EDATE($D51,Milestones!$AA$26)&gt;=$Z51),$AC51,IF(AND($Y51&lt;&gt;"",EDATE($D51,Milestones!$AA$26)&gt;=$Y51),$AB51,$AA51)))=Milestones!$AB$26),UPPER(TEXT(EDATE($D51,Milestones!$AA$26),"dd mmm yy"))&amp;" "&amp;Milestones!$AB$26&amp;" "&amp;IF(AND(Milestones!$AB$26="FT",Milestones!$AA$26=FT_Y5,EDATE($D51,Milestones!$AA$26)&lt;PolicyEff),1,Milestones!$AC$26)&amp;";  ","")&amp;IF(AND(EDATE($D51,Milestones!$AA$27)&lt;=AsOfDate,EDATE($D51,Milestones!$AA$27)&gt;=SchemeStart,IF($X51=0,$AD51,IF(AND($Z51&lt;&gt;"",EDATE($D51,Milestones!$AA$27)&gt;=$Z51),$AC51,IF(AND($Y51&lt;&gt;"",EDATE($D51,Milestones!$AA$27)&gt;=$Y51),$AB51,$AA51)))=Milestones!$AB$27),UPPER(TEXT(EDATE($D51,Milestones!$AA$27),"dd mmm yy"))&amp;" "&amp;Milestones!$AB$27&amp;" "&amp;IF(AND(Milestones!$AB$27="FT",Milestones!$AA$27=FT_Y5,EDATE($D51,Milestones!$AA$27)&lt;PolicyEff),1,Milestones!$AC$27)&amp;";  ","")&amp;IF(AND(EDATE($D51,Milestones!$AA$28)&lt;=AsOfDate,EDATE($D51,Milestones!$AA$28)&gt;=SchemeStart,IF($X51=0,$AD51,IF(AND($Z51&lt;&gt;"",EDATE($D51,Milestones!$AA$28)&gt;=$Z51),$AC51,IF(AND($Y51&lt;&gt;"",EDATE($D51,Milestones!$AA$28)&gt;=$Y51),$AB51,$AA51)))=Milestones!$AB$28),UPPER(TEXT(EDATE($D51,Milestones!$AA$28),"dd mmm yy"))&amp;" "&amp;Milestones!$AB$28&amp;" "&amp;IF(AND(Milestones!$AB$28="FT",Milestones!$AA$28=FT_Y5,EDATE($D51,Milestones!$AA$28)&lt;PolicyEff),1,Milestones!$AC$28)&amp;";  ","")&amp;IF(AND(EDATE($D51,Milestones!$AA$29)&lt;=AsOfDate,EDATE($D51,Milestones!$AA$29)&gt;=SchemeStart,IF($X51=0,$AD51,IF(AND($Z51&lt;&gt;"",EDATE($D51,Milestones!$AA$29)&gt;=$Z51),$AC51,IF(AND($Y51&lt;&gt;"",EDATE($D51,Milestones!$AA$29)&gt;=$Y51),$AB51,$AA51)))=Milestones!$AB$29),UPPER(TEXT(EDATE($D51,Milestones!$AA$29),"dd mmm yy"))&amp;" "&amp;Milestones!$AB$29&amp;" "&amp;IF(AND(Milestones!$AB$29="FT",Milestones!$AA$29=FT_Y5,EDATE($D51,Milestones!$AA$29)&lt;PolicyEff),1,Milestones!$AC$29)&amp;";  ","")&amp;IF(AND(EDATE($D51,Milestones!$AA$30)&lt;=AsOfDate,EDATE($D51,Milestones!$AA$30)&gt;=SchemeStart,IF($X51=0,$AD51,IF(AND($Z51&lt;&gt;"",EDATE($D51,Milestones!$AA$30)&gt;=$Z51),$AC51,IF(AND($Y51&lt;&gt;"",EDATE($D51,Milestones!$AA$30)&gt;=$Y51),$AB51,$AA51)))=Milestones!$AB$30),UPPER(TEXT(EDATE($D51,Milestones!$AA$30),"dd mmm yy"))&amp;" "&amp;Milestones!$AB$30&amp;" "&amp;IF(AND(Milestones!$AB$30="FT",Milestones!$AA$30=FT_Y5,EDATE($D51,Milestones!$AA$30)&lt;PolicyEff),1,Milestones!$AC$30)&amp;";  ","")&amp;IF(AND(EDATE($D51,Milestones!$AA$31)&lt;=AsOfDate,EDATE($D51,Milestones!$AA$31)&gt;=SchemeStart,IF($X51=0,$AD51,IF(AND($Z51&lt;&gt;"",EDATE($D51,Milestones!$AA$31)&gt;=$Z51),$AC51,IF(AND($Y51&lt;&gt;"",EDATE($D51,Milestones!$AA$31)&gt;=$Y51),$AB51,$AA51)))=Milestones!$AB$31),UPPER(TEXT(EDATE($D51,Milestones!$AA$31),"dd mmm yy"))&amp;" "&amp;Milestones!$AB$31&amp;" "&amp;IF(AND(Milestones!$AB$31="FT",Milestones!$AA$31=FT_Y5,EDATE($D51,Milestones!$AA$31)&lt;PolicyEff),1,Milestones!$AC$31)&amp;";  ",""))</f>
        <v/>
      </c>
      <c r="J51" s="0" t="str">
        <f aca="false">IF(OR($A51="",$D51=""),"",IF(AND(EDATE($D51,Milestones!$AA$32)&lt;=AsOfDate,EDATE($D51,Milestones!$AA$32)&gt;=SchemeStart,IF($X51=0,$AD51,IF(AND($Z51&lt;&gt;"",EDATE($D51,Milestones!$AA$32)&gt;=$Z51),$AC51,IF(AND($Y51&lt;&gt;"",EDATE($D51,Milestones!$AA$32)&gt;=$Y51),$AB51,$AA51)))=Milestones!$AB$32),UPPER(TEXT(EDATE($D51,Milestones!$AA$32),"dd mmm yy"))&amp;" "&amp;Milestones!$AB$32&amp;" "&amp;IF(AND(Milestones!$AB$32="FT",Milestones!$AA$32=FT_Y5,EDATE($D51,Milestones!$AA$32)&lt;PolicyEff),1,Milestones!$AC$32)&amp;";  ","")&amp;IF(AND(EDATE($D51,Milestones!$AA$33)&lt;=AsOfDate,EDATE($D51,Milestones!$AA$33)&gt;=SchemeStart,IF($X51=0,$AD51,IF(AND($Z51&lt;&gt;"",EDATE($D51,Milestones!$AA$33)&gt;=$Z51),$AC51,IF(AND($Y51&lt;&gt;"",EDATE($D51,Milestones!$AA$33)&gt;=$Y51),$AB51,$AA51)))=Milestones!$AB$33),UPPER(TEXT(EDATE($D51,Milestones!$AA$33),"dd mmm yy"))&amp;" "&amp;Milestones!$AB$33&amp;" "&amp;IF(AND(Milestones!$AB$33="FT",Milestones!$AA$33=FT_Y5,EDATE($D51,Milestones!$AA$33)&lt;PolicyEff),1,Milestones!$AC$33)&amp;";  ","")&amp;IF(AND(EDATE($D51,Milestones!$AA$34)&lt;=AsOfDate,EDATE($D51,Milestones!$AA$34)&gt;=SchemeStart,IF($X51=0,$AD51,IF(AND($Z51&lt;&gt;"",EDATE($D51,Milestones!$AA$34)&gt;=$Z51),$AC51,IF(AND($Y51&lt;&gt;"",EDATE($D51,Milestones!$AA$34)&gt;=$Y51),$AB51,$AA51)))=Milestones!$AB$34),UPPER(TEXT(EDATE($D51,Milestones!$AA$34),"dd mmm yy"))&amp;" "&amp;Milestones!$AB$34&amp;" "&amp;IF(AND(Milestones!$AB$34="FT",Milestones!$AA$34=FT_Y5,EDATE($D51,Milestones!$AA$34)&lt;PolicyEff),1,Milestones!$AC$34)&amp;";  ","")&amp;IF(AND(EDATE($D51,Milestones!$AA$35)&lt;=AsOfDate,EDATE($D51,Milestones!$AA$35)&gt;=SchemeStart,IF($X51=0,$AD51,IF(AND($Z51&lt;&gt;"",EDATE($D51,Milestones!$AA$35)&gt;=$Z51),$AC51,IF(AND($Y51&lt;&gt;"",EDATE($D51,Milestones!$AA$35)&gt;=$Y51),$AB51,$AA51)))=Milestones!$AB$35),UPPER(TEXT(EDATE($D51,Milestones!$AA$35),"dd mmm yy"))&amp;" "&amp;Milestones!$AB$35&amp;" "&amp;IF(AND(Milestones!$AB$35="FT",Milestones!$AA$35=FT_Y5,EDATE($D51,Milestones!$AA$35)&lt;PolicyEff),1,Milestones!$AC$35)&amp;";  ","")&amp;IF(AND(EDATE($D51,Milestones!$AA$36)&lt;=AsOfDate,EDATE($D51,Milestones!$AA$36)&gt;=SchemeStart,IF($X51=0,$AD51,IF(AND($Z51&lt;&gt;"",EDATE($D51,Milestones!$AA$36)&gt;=$Z51),$AC51,IF(AND($Y51&lt;&gt;"",EDATE($D51,Milestones!$AA$36)&gt;=$Y51),$AB51,$AA51)))=Milestones!$AB$36),UPPER(TEXT(EDATE($D51,Milestones!$AA$36),"dd mmm yy"))&amp;" "&amp;Milestones!$AB$36&amp;" "&amp;IF(AND(Milestones!$AB$36="FT",Milestones!$AA$36=FT_Y5,EDATE($D51,Milestones!$AA$36)&lt;PolicyEff),1,Milestones!$AC$36)&amp;";  ","")&amp;IF(AND(EDATE($D51,Milestones!$AA$37)&lt;=AsOfDate,EDATE($D51,Milestones!$AA$37)&gt;=SchemeStart,IF($X51=0,$AD51,IF(AND($Z51&lt;&gt;"",EDATE($D51,Milestones!$AA$37)&gt;=$Z51),$AC51,IF(AND($Y51&lt;&gt;"",EDATE($D51,Milestones!$AA$37)&gt;=$Y51),$AB51,$AA51)))=Milestones!$AB$37),UPPER(TEXT(EDATE($D51,Milestones!$AA$37),"dd mmm yy"))&amp;" "&amp;Milestones!$AB$37&amp;" "&amp;IF(AND(Milestones!$AB$37="FT",Milestones!$AA$37=FT_Y5,EDATE($D51,Milestones!$AA$37)&lt;PolicyEff),1,Milestones!$AC$37)&amp;";  ","")&amp;IF(AND(EDATE($D51,Milestones!$AA$38)&lt;=AsOfDate,EDATE($D51,Milestones!$AA$38)&gt;=SchemeStart,IF($X51=0,$AD51,IF(AND($Z51&lt;&gt;"",EDATE($D51,Milestones!$AA$38)&gt;=$Z51),$AC51,IF(AND($Y51&lt;&gt;"",EDATE($D51,Milestones!$AA$38)&gt;=$Y51),$AB51,$AA51)))=Milestones!$AB$38),UPPER(TEXT(EDATE($D51,Milestones!$AA$38),"dd mmm yy"))&amp;" "&amp;Milestones!$AB$38&amp;" "&amp;IF(AND(Milestones!$AB$38="FT",Milestones!$AA$38=FT_Y5,EDATE($D51,Milestones!$AA$38)&lt;PolicyEff),1,Milestones!$AC$38)&amp;";  ","")&amp;IF(AND(EDATE($D51,Milestones!$AA$39)&lt;=AsOfDate,EDATE($D51,Milestones!$AA$39)&gt;=SchemeStart,IF($X51=0,$AD51,IF(AND($Z51&lt;&gt;"",EDATE($D51,Milestones!$AA$39)&gt;=$Z51),$AC51,IF(AND($Y51&lt;&gt;"",EDATE($D51,Milestones!$AA$39)&gt;=$Y51),$AB51,$AA51)))=Milestones!$AB$39),UPPER(TEXT(EDATE($D51,Milestones!$AA$39),"dd mmm yy"))&amp;" "&amp;Milestones!$AB$39&amp;" "&amp;IF(AND(Milestones!$AB$39="FT",Milestones!$AA$39=FT_Y5,EDATE($D51,Milestones!$AA$39)&lt;PolicyEff),1,Milestones!$AC$39)&amp;";  ","")&amp;IF(AND(EDATE($D51,Milestones!$AA$40)&lt;=AsOfDate,EDATE($D51,Milestones!$AA$40)&gt;=SchemeStart,IF($X51=0,$AD51,IF(AND($Z51&lt;&gt;"",EDATE($D51,Milestones!$AA$40)&gt;=$Z51),$AC51,IF(AND($Y51&lt;&gt;"",EDATE($D51,Milestones!$AA$40)&gt;=$Y51),$AB51,$AA51)))=Milestones!$AB$40),UPPER(TEXT(EDATE($D51,Milestones!$AA$40),"dd mmm yy"))&amp;" "&amp;Milestones!$AB$40&amp;" "&amp;IF(AND(Milestones!$AB$40="FT",Milestones!$AA$40=FT_Y5,EDATE($D51,Milestones!$AA$40)&lt;PolicyEff),1,Milestones!$AC$40)&amp;";  ","")&amp;IF(AND(EDATE($D51,Milestones!$AA$41)&lt;=AsOfDate,EDATE($D51,Milestones!$AA$41)&gt;=SchemeStart,IF($X51=0,$AD51,IF(AND($Z51&lt;&gt;"",EDATE($D51,Milestones!$AA$41)&gt;=$Z51),$AC51,IF(AND($Y51&lt;&gt;"",EDATE($D51,Milestones!$AA$41)&gt;=$Y51),$AB51,$AA51)))=Milestones!$AB$41),UPPER(TEXT(EDATE($D51,Milestones!$AA$41),"dd mmm yy"))&amp;" "&amp;Milestones!$AB$41&amp;" "&amp;IF(AND(Milestones!$AB$41="FT",Milestones!$AA$41=FT_Y5,EDATE($D51,Milestones!$AA$41)&lt;PolicyEff),1,Milestones!$AC$41)&amp;";  ","")&amp;IF(AND(EDATE($D51,Milestones!$AA$42)&lt;=AsOfDate,EDATE($D51,Milestones!$AA$42)&gt;=SchemeStart,IF($X51=0,$AD51,IF(AND($Z51&lt;&gt;"",EDATE($D51,Milestones!$AA$42)&gt;=$Z51),$AC51,IF(AND($Y51&lt;&gt;"",EDATE($D51,Milestones!$AA$42)&gt;=$Y51),$AB51,$AA51)))=Milestones!$AB$42),UPPER(TEXT(EDATE($D51,Milestones!$AA$42),"dd mmm yy"))&amp;" "&amp;Milestones!$AB$42&amp;" "&amp;IF(AND(Milestones!$AB$42="FT",Milestones!$AA$42=FT_Y5,EDATE($D51,Milestones!$AA$42)&lt;PolicyEff),1,Milestones!$AC$42)&amp;";  ","")&amp;IF(AND(EDATE($D51,Milestones!$AA$43)&lt;=AsOfDate,EDATE($D51,Milestones!$AA$43)&gt;=SchemeStart,IF($X51=0,$AD51,IF(AND($Z51&lt;&gt;"",EDATE($D51,Milestones!$AA$43)&gt;=$Z51),$AC51,IF(AND($Y51&lt;&gt;"",EDATE($D51,Milestones!$AA$43)&gt;=$Y51),$AB51,$AA51)))=Milestones!$AB$43),UPPER(TEXT(EDATE($D51,Milestones!$AA$43),"dd mmm yy"))&amp;" "&amp;Milestones!$AB$43&amp;" "&amp;IF(AND(Milestones!$AB$43="FT",Milestones!$AA$43=FT_Y5,EDATE($D51,Milestones!$AA$43)&lt;PolicyEff),1,Milestones!$AC$43)&amp;";  ",""))</f>
        <v/>
      </c>
      <c r="K51" s="0" t="str">
        <f aca="false">IF(OR($A51="",$D51=""),"",IF(AND(EDATE($D51,Milestones!$AA$44)&lt;=AsOfDate,EDATE($D51,Milestones!$AA$44)&gt;=SchemeStart,IF($X51=0,$AD51,IF(AND($Z51&lt;&gt;"",EDATE($D51,Milestones!$AA$44)&gt;=$Z51),$AC51,IF(AND($Y51&lt;&gt;"",EDATE($D51,Milestones!$AA$44)&gt;=$Y51),$AB51,$AA51)))=Milestones!$AB$44),UPPER(TEXT(EDATE($D51,Milestones!$AA$44),"dd mmm yy"))&amp;" "&amp;Milestones!$AB$44&amp;" "&amp;IF(AND(Milestones!$AB$44="FT",Milestones!$AA$44=FT_Y5,EDATE($D51,Milestones!$AA$44)&lt;PolicyEff),1,Milestones!$AC$44)&amp;";  ","")&amp;IF(AND(EDATE($D51,Milestones!$AA$45)&lt;=AsOfDate,EDATE($D51,Milestones!$AA$45)&gt;=SchemeStart,IF($X51=0,$AD51,IF(AND($Z51&lt;&gt;"",EDATE($D51,Milestones!$AA$45)&gt;=$Z51),$AC51,IF(AND($Y51&lt;&gt;"",EDATE($D51,Milestones!$AA$45)&gt;=$Y51),$AB51,$AA51)))=Milestones!$AB$45),UPPER(TEXT(EDATE($D51,Milestones!$AA$45),"dd mmm yy"))&amp;" "&amp;Milestones!$AB$45&amp;" "&amp;IF(AND(Milestones!$AB$45="FT",Milestones!$AA$45=FT_Y5,EDATE($D51,Milestones!$AA$45)&lt;PolicyEff),1,Milestones!$AC$45)&amp;";  ","")&amp;IF(AND(EDATE($D51,Milestones!$AA$46)&lt;=AsOfDate,EDATE($D51,Milestones!$AA$46)&gt;=SchemeStart,IF($X51=0,$AD51,IF(AND($Z51&lt;&gt;"",EDATE($D51,Milestones!$AA$46)&gt;=$Z51),$AC51,IF(AND($Y51&lt;&gt;"",EDATE($D51,Milestones!$AA$46)&gt;=$Y51),$AB51,$AA51)))=Milestones!$AB$46),UPPER(TEXT(EDATE($D51,Milestones!$AA$46),"dd mmm yy"))&amp;" "&amp;Milestones!$AB$46&amp;" "&amp;IF(AND(Milestones!$AB$46="FT",Milestones!$AA$46=FT_Y5,EDATE($D51,Milestones!$AA$46)&lt;PolicyEff),1,Milestones!$AC$46)&amp;";  ","")&amp;IF(AND(EDATE($D51,Milestones!$AA$47)&lt;=AsOfDate,EDATE($D51,Milestones!$AA$47)&gt;=SchemeStart,IF($X51=0,$AD51,IF(AND($Z51&lt;&gt;"",EDATE($D51,Milestones!$AA$47)&gt;=$Z51),$AC51,IF(AND($Y51&lt;&gt;"",EDATE($D51,Milestones!$AA$47)&gt;=$Y51),$AB51,$AA51)))=Milestones!$AB$47),UPPER(TEXT(EDATE($D51,Milestones!$AA$47),"dd mmm yy"))&amp;" "&amp;Milestones!$AB$47&amp;" "&amp;IF(AND(Milestones!$AB$47="FT",Milestones!$AA$47=FT_Y5,EDATE($D51,Milestones!$AA$47)&lt;PolicyEff),1,Milestones!$AC$47)&amp;";  ","")&amp;IF(AND(EDATE($D51,Milestones!$AA$48)&lt;=AsOfDate,EDATE($D51,Milestones!$AA$48)&gt;=SchemeStart,IF($X51=0,$AD51,IF(AND($Z51&lt;&gt;"",EDATE($D51,Milestones!$AA$48)&gt;=$Z51),$AC51,IF(AND($Y51&lt;&gt;"",EDATE($D51,Milestones!$AA$48)&gt;=$Y51),$AB51,$AA51)))=Milestones!$AB$48),UPPER(TEXT(EDATE($D51,Milestones!$AA$48),"dd mmm yy"))&amp;" "&amp;Milestones!$AB$48&amp;" "&amp;IF(AND(Milestones!$AB$48="FT",Milestones!$AA$48=FT_Y5,EDATE($D51,Milestones!$AA$48)&lt;PolicyEff),1,Milestones!$AC$48)&amp;";  ","")&amp;IF(AND(EDATE($D51,Milestones!$AA$49)&lt;=AsOfDate,EDATE($D51,Milestones!$AA$49)&gt;=SchemeStart,IF($X51=0,$AD51,IF(AND($Z51&lt;&gt;"",EDATE($D51,Milestones!$AA$49)&gt;=$Z51),$AC51,IF(AND($Y51&lt;&gt;"",EDATE($D51,Milestones!$AA$49)&gt;=$Y51),$AB51,$AA51)))=Milestones!$AB$49),UPPER(TEXT(EDATE($D51,Milestones!$AA$49),"dd mmm yy"))&amp;" "&amp;Milestones!$AB$49&amp;" "&amp;IF(AND(Milestones!$AB$49="FT",Milestones!$AA$49=FT_Y5,EDATE($D51,Milestones!$AA$49)&lt;PolicyEff),1,Milestones!$AC$49)&amp;";  ","")&amp;IF(AND(EDATE($D51,Milestones!$AA$50)&lt;=AsOfDate,EDATE($D51,Milestones!$AA$50)&gt;=SchemeStart,IF($X51=0,$AD51,IF(AND($Z51&lt;&gt;"",EDATE($D51,Milestones!$AA$50)&gt;=$Z51),$AC51,IF(AND($Y51&lt;&gt;"",EDATE($D51,Milestones!$AA$50)&gt;=$Y51),$AB51,$AA51)))=Milestones!$AB$50),UPPER(TEXT(EDATE($D51,Milestones!$AA$50),"dd mmm yy"))&amp;" "&amp;Milestones!$AB$50&amp;" "&amp;IF(AND(Milestones!$AB$50="FT",Milestones!$AA$50=FT_Y5,EDATE($D51,Milestones!$AA$50)&lt;PolicyEff),1,Milestones!$AC$50)&amp;";  ","")&amp;IF(AND(EDATE($D51,Milestones!$AA$51)&lt;=AsOfDate,EDATE($D51,Milestones!$AA$51)&gt;=SchemeStart,IF($X51=0,$AD51,IF(AND($Z51&lt;&gt;"",EDATE($D51,Milestones!$AA$51)&gt;=$Z51),$AC51,IF(AND($Y51&lt;&gt;"",EDATE($D51,Milestones!$AA$51)&gt;=$Y51),$AB51,$AA51)))=Milestones!$AB$51),UPPER(TEXT(EDATE($D51,Milestones!$AA$51),"dd mmm yy"))&amp;" "&amp;Milestones!$AB$51&amp;" "&amp;IF(AND(Milestones!$AB$51="FT",Milestones!$AA$51=FT_Y5,EDATE($D51,Milestones!$AA$51)&lt;PolicyEff),1,Milestones!$AC$51)&amp;";  ","")&amp;IF(AND(EDATE($D51,Milestones!$AA$52)&lt;=AsOfDate,EDATE($D51,Milestones!$AA$52)&gt;=SchemeStart,IF($X51=0,$AD51,IF(AND($Z51&lt;&gt;"",EDATE($D51,Milestones!$AA$52)&gt;=$Z51),$AC51,IF(AND($Y51&lt;&gt;"",EDATE($D51,Milestones!$AA$52)&gt;=$Y51),$AB51,$AA51)))=Milestones!$AB$52),UPPER(TEXT(EDATE($D51,Milestones!$AA$52),"dd mmm yy"))&amp;" "&amp;Milestones!$AB$52&amp;" "&amp;IF(AND(Milestones!$AB$52="FT",Milestones!$AA$52=FT_Y5,EDATE($D51,Milestones!$AA$52)&lt;PolicyEff),1,Milestones!$AC$52)&amp;";  ","")&amp;IF(AND(EDATE($D51,Milestones!$AA$53)&lt;=AsOfDate,EDATE($D51,Milestones!$AA$53)&gt;=SchemeStart,IF($X51=0,$AD51,IF(AND($Z51&lt;&gt;"",EDATE($D51,Milestones!$AA$53)&gt;=$Z51),$AC51,IF(AND($Y51&lt;&gt;"",EDATE($D51,Milestones!$AA$53)&gt;=$Y51),$AB51,$AA51)))=Milestones!$AB$53),UPPER(TEXT(EDATE($D51,Milestones!$AA$53),"dd mmm yy"))&amp;" "&amp;Milestones!$AB$53&amp;" "&amp;IF(AND(Milestones!$AB$53="FT",Milestones!$AA$53=FT_Y5,EDATE($D51,Milestones!$AA$53)&lt;PolicyEff),1,Milestones!$AC$53)&amp;";  ","")&amp;IF(AND(EDATE($D51,Milestones!$AA$54)&lt;=AsOfDate,EDATE($D51,Milestones!$AA$54)&gt;=SchemeStart,IF($X51=0,$AD51,IF(AND($Z51&lt;&gt;"",EDATE($D51,Milestones!$AA$54)&gt;=$Z51),$AC51,IF(AND($Y51&lt;&gt;"",EDATE($D51,Milestones!$AA$54)&gt;=$Y51),$AB51,$AA51)))=Milestones!$AB$54),UPPER(TEXT(EDATE($D51,Milestones!$AA$54),"dd mmm yy"))&amp;" "&amp;Milestones!$AB$54&amp;" "&amp;IF(AND(Milestones!$AB$54="FT",Milestones!$AA$54=FT_Y5,EDATE($D51,Milestones!$AA$54)&lt;PolicyEff),1,Milestones!$AC$54)&amp;";  ","")&amp;IF(AND(EDATE($D51,Milestones!$AA$55)&lt;=AsOfDate,EDATE($D51,Milestones!$AA$55)&gt;=SchemeStart,IF($X51=0,$AD51,IF(AND($Z51&lt;&gt;"",EDATE($D51,Milestones!$AA$55)&gt;=$Z51),$AC51,IF(AND($Y51&lt;&gt;"",EDATE($D51,Milestones!$AA$55)&gt;=$Y51),$AB51,$AA51)))=Milestones!$AB$55),UPPER(TEXT(EDATE($D51,Milestones!$AA$55),"dd mmm yy"))&amp;" "&amp;Milestones!$AB$55&amp;" "&amp;IF(AND(Milestones!$AB$55="FT",Milestones!$AA$55=FT_Y5,EDATE($D51,Milestones!$AA$55)&lt;PolicyEff),1,Milestones!$AC$55)&amp;";  ",""))</f>
        <v/>
      </c>
      <c r="L51" s="0" t="str">
        <f aca="false">IF(OR($A51="",$D51=""),"",IF(AND(EDATE($D51,Milestones!$AA$56)&lt;=AsOfDate,EDATE($D51,Milestones!$AA$56)&gt;=SchemeStart,IF($X51=0,$AD51,IF(AND($Z51&lt;&gt;"",EDATE($D51,Milestones!$AA$56)&gt;=$Z51),$AC51,IF(AND($Y51&lt;&gt;"",EDATE($D51,Milestones!$AA$56)&gt;=$Y51),$AB51,$AA51)))=Milestones!$AB$56),UPPER(TEXT(EDATE($D51,Milestones!$AA$56),"dd mmm yy"))&amp;" "&amp;Milestones!$AB$56&amp;" "&amp;IF(AND(Milestones!$AB$56="FT",Milestones!$AA$56=FT_Y5,EDATE($D51,Milestones!$AA$56)&lt;PolicyEff),1,Milestones!$AC$56)&amp;";  ","")&amp;IF(AND(EDATE($D51,Milestones!$AA$57)&lt;=AsOfDate,EDATE($D51,Milestones!$AA$57)&gt;=SchemeStart,IF($X51=0,$AD51,IF(AND($Z51&lt;&gt;"",EDATE($D51,Milestones!$AA$57)&gt;=$Z51),$AC51,IF(AND($Y51&lt;&gt;"",EDATE($D51,Milestones!$AA$57)&gt;=$Y51),$AB51,$AA51)))=Milestones!$AB$57),UPPER(TEXT(EDATE($D51,Milestones!$AA$57),"dd mmm yy"))&amp;" "&amp;Milestones!$AB$57&amp;" "&amp;IF(AND(Milestones!$AB$57="FT",Milestones!$AA$57=FT_Y5,EDATE($D51,Milestones!$AA$57)&lt;PolicyEff),1,Milestones!$AC$57)&amp;";  ","")&amp;IF(AND(EDATE($D51,Milestones!$AA$58)&lt;=AsOfDate,EDATE($D51,Milestones!$AA$58)&gt;=SchemeStart,IF($X51=0,$AD51,IF(AND($Z51&lt;&gt;"",EDATE($D51,Milestones!$AA$58)&gt;=$Z51),$AC51,IF(AND($Y51&lt;&gt;"",EDATE($D51,Milestones!$AA$58)&gt;=$Y51),$AB51,$AA51)))=Milestones!$AB$58),UPPER(TEXT(EDATE($D51,Milestones!$AA$58),"dd mmm yy"))&amp;" "&amp;Milestones!$AB$58&amp;" "&amp;IF(AND(Milestones!$AB$58="FT",Milestones!$AA$58=FT_Y5,EDATE($D51,Milestones!$AA$58)&lt;PolicyEff),1,Milestones!$AC$58)&amp;";  ","")&amp;IF(AND(EDATE($D51,Milestones!$AA$59)&lt;=AsOfDate,EDATE($D51,Milestones!$AA$59)&gt;=SchemeStart,IF($X51=0,$AD51,IF(AND($Z51&lt;&gt;"",EDATE($D51,Milestones!$AA$59)&gt;=$Z51),$AC51,IF(AND($Y51&lt;&gt;"",EDATE($D51,Milestones!$AA$59)&gt;=$Y51),$AB51,$AA51)))=Milestones!$AB$59),UPPER(TEXT(EDATE($D51,Milestones!$AA$59),"dd mmm yy"))&amp;" "&amp;Milestones!$AB$59&amp;" "&amp;IF(AND(Milestones!$AB$59="FT",Milestones!$AA$59=FT_Y5,EDATE($D51,Milestones!$AA$59)&lt;PolicyEff),1,Milestones!$AC$59)&amp;";  ","")&amp;IF(AND(EDATE($D51,Milestones!$AA$60)&lt;=AsOfDate,EDATE($D51,Milestones!$AA$60)&gt;=SchemeStart,IF($X51=0,$AD51,IF(AND($Z51&lt;&gt;"",EDATE($D51,Milestones!$AA$60)&gt;=$Z51),$AC51,IF(AND($Y51&lt;&gt;"",EDATE($D51,Milestones!$AA$60)&gt;=$Y51),$AB51,$AA51)))=Milestones!$AB$60),UPPER(TEXT(EDATE($D51,Milestones!$AA$60),"dd mmm yy"))&amp;" "&amp;Milestones!$AB$60&amp;" "&amp;IF(AND(Milestones!$AB$60="FT",Milestones!$AA$60=FT_Y5,EDATE($D51,Milestones!$AA$60)&lt;PolicyEff),1,Milestones!$AC$60)&amp;";  ","")&amp;IF(AND(EDATE($D51,Milestones!$AA$61)&lt;=AsOfDate,EDATE($D51,Milestones!$AA$61)&gt;=SchemeStart,IF($X51=0,$AD51,IF(AND($Z51&lt;&gt;"",EDATE($D51,Milestones!$AA$61)&gt;=$Z51),$AC51,IF(AND($Y51&lt;&gt;"",EDATE($D51,Milestones!$AA$61)&gt;=$Y51),$AB51,$AA51)))=Milestones!$AB$61),UPPER(TEXT(EDATE($D51,Milestones!$AA$61),"dd mmm yy"))&amp;" "&amp;Milestones!$AB$61&amp;" "&amp;IF(AND(Milestones!$AB$61="FT",Milestones!$AA$61=FT_Y5,EDATE($D51,Milestones!$AA$61)&lt;PolicyEff),1,Milestones!$AC$61)&amp;";  ","")&amp;IF(AND(EDATE($D51,Milestones!$AA$62)&lt;=AsOfDate,EDATE($D51,Milestones!$AA$62)&gt;=SchemeStart,IF($X51=0,$AD51,IF(AND($Z51&lt;&gt;"",EDATE($D51,Milestones!$AA$62)&gt;=$Z51),$AC51,IF(AND($Y51&lt;&gt;"",EDATE($D51,Milestones!$AA$62)&gt;=$Y51),$AB51,$AA51)))=Milestones!$AB$62),UPPER(TEXT(EDATE($D51,Milestones!$AA$62),"dd mmm yy"))&amp;" "&amp;Milestones!$AB$62&amp;" "&amp;IF(AND(Milestones!$AB$62="FT",Milestones!$AA$62=FT_Y5,EDATE($D51,Milestones!$AA$62)&lt;PolicyEff),1,Milestones!$AC$62)&amp;";  ","")&amp;IF(AND(EDATE($D51,Milestones!$AA$63)&lt;=AsOfDate,EDATE($D51,Milestones!$AA$63)&gt;=SchemeStart,IF($X51=0,$AD51,IF(AND($Z51&lt;&gt;"",EDATE($D51,Milestones!$AA$63)&gt;=$Z51),$AC51,IF(AND($Y51&lt;&gt;"",EDATE($D51,Milestones!$AA$63)&gt;=$Y51),$AB51,$AA51)))=Milestones!$AB$63),UPPER(TEXT(EDATE($D51,Milestones!$AA$63),"dd mmm yy"))&amp;" "&amp;Milestones!$AB$63&amp;" "&amp;IF(AND(Milestones!$AB$63="FT",Milestones!$AA$63=FT_Y5,EDATE($D51,Milestones!$AA$63)&lt;PolicyEff),1,Milestones!$AC$63)&amp;";  ","")&amp;IF(AND(EDATE($D51,Milestones!$AA$64)&lt;=AsOfDate,EDATE($D51,Milestones!$AA$64)&gt;=SchemeStart,IF($X51=0,$AD51,IF(AND($Z51&lt;&gt;"",EDATE($D51,Milestones!$AA$64)&gt;=$Z51),$AC51,IF(AND($Y51&lt;&gt;"",EDATE($D51,Milestones!$AA$64)&gt;=$Y51),$AB51,$AA51)))=Milestones!$AB$64),UPPER(TEXT(EDATE($D51,Milestones!$AA$64),"dd mmm yy"))&amp;" "&amp;Milestones!$AB$64&amp;" "&amp;IF(AND(Milestones!$AB$64="FT",Milestones!$AA$64=FT_Y5,EDATE($D51,Milestones!$AA$64)&lt;PolicyEff),1,Milestones!$AC$64)&amp;";  ","")&amp;IF(AND(EDATE($D51,Milestones!$AA$65)&lt;=AsOfDate,EDATE($D51,Milestones!$AA$65)&gt;=SchemeStart,IF($X51=0,$AD51,IF(AND($Z51&lt;&gt;"",EDATE($D51,Milestones!$AA$65)&gt;=$Z51),$AC51,IF(AND($Y51&lt;&gt;"",EDATE($D51,Milestones!$AA$65)&gt;=$Y51),$AB51,$AA51)))=Milestones!$AB$65),UPPER(TEXT(EDATE($D51,Milestones!$AA$65),"dd mmm yy"))&amp;" "&amp;Milestones!$AB$65&amp;" "&amp;IF(AND(Milestones!$AB$65="FT",Milestones!$AA$65=FT_Y5,EDATE($D51,Milestones!$AA$65)&lt;PolicyEff),1,Milestones!$AC$65)&amp;";  ","")&amp;IF(AND(EDATE($D51,Milestones!$AA$66)&lt;=AsOfDate,EDATE($D51,Milestones!$AA$66)&gt;=SchemeStart,IF($X51=0,$AD51,IF(AND($Z51&lt;&gt;"",EDATE($D51,Milestones!$AA$66)&gt;=$Z51),$AC51,IF(AND($Y51&lt;&gt;"",EDATE($D51,Milestones!$AA$66)&gt;=$Y51),$AB51,$AA51)))=Milestones!$AB$66),UPPER(TEXT(EDATE($D51,Milestones!$AA$66),"dd mmm yy"))&amp;" "&amp;Milestones!$AB$66&amp;" "&amp;IF(AND(Milestones!$AB$66="FT",Milestones!$AA$66=FT_Y5,EDATE($D51,Milestones!$AA$66)&lt;PolicyEff),1,Milestones!$AC$66)&amp;";  ","")&amp;IF(AND(EDATE($D51,Milestones!$AA$67)&lt;=AsOfDate,EDATE($D51,Milestones!$AA$67)&gt;=SchemeStart,IF($X51=0,$AD51,IF(AND($Z51&lt;&gt;"",EDATE($D51,Milestones!$AA$67)&gt;=$Z51),$AC51,IF(AND($Y51&lt;&gt;"",EDATE($D51,Milestones!$AA$67)&gt;=$Y51),$AB51,$AA51)))=Milestones!$AB$67),UPPER(TEXT(EDATE($D51,Milestones!$AA$67),"dd mmm yy"))&amp;" "&amp;Milestones!$AB$67&amp;" "&amp;IF(AND(Milestones!$AB$67="FT",Milestones!$AA$67=FT_Y5,EDATE($D51,Milestones!$AA$67)&lt;PolicyEff),1,Milestones!$AC$67)&amp;";  ",""))</f>
        <v/>
      </c>
      <c r="M51" s="0" t="str">
        <f aca="false">IF(OR($A51="",$D51=""),"",IF(AND(EDATE($D51,Milestones!$AA$68)&lt;=AsOfDate,EDATE($D51,Milestones!$AA$68)&gt;=SchemeStart,IF($X51=0,$AD51,IF(AND($Z51&lt;&gt;"",EDATE($D51,Milestones!$AA$68)&gt;=$Z51),$AC51,IF(AND($Y51&lt;&gt;"",EDATE($D51,Milestones!$AA$68)&gt;=$Y51),$AB51,$AA51)))=Milestones!$AB$68),UPPER(TEXT(EDATE($D51,Milestones!$AA$68),"dd mmm yy"))&amp;" "&amp;Milestones!$AB$68&amp;" "&amp;IF(AND(Milestones!$AB$68="FT",Milestones!$AA$68=FT_Y5,EDATE($D51,Milestones!$AA$68)&lt;PolicyEff),1,Milestones!$AC$68)&amp;";  ","")&amp;IF(AND(EDATE($D51,Milestones!$AA$69)&lt;=AsOfDate,EDATE($D51,Milestones!$AA$69)&gt;=SchemeStart,IF($X51=0,$AD51,IF(AND($Z51&lt;&gt;"",EDATE($D51,Milestones!$AA$69)&gt;=$Z51),$AC51,IF(AND($Y51&lt;&gt;"",EDATE($D51,Milestones!$AA$69)&gt;=$Y51),$AB51,$AA51)))=Milestones!$AB$69),UPPER(TEXT(EDATE($D51,Milestones!$AA$69),"dd mmm yy"))&amp;" "&amp;Milestones!$AB$69&amp;" "&amp;IF(AND(Milestones!$AB$69="FT",Milestones!$AA$69=FT_Y5,EDATE($D51,Milestones!$AA$69)&lt;PolicyEff),1,Milestones!$AC$69)&amp;";  ","")&amp;IF(AND(EDATE($D51,Milestones!$AA$70)&lt;=AsOfDate,EDATE($D51,Milestones!$AA$70)&gt;=SchemeStart,IF($X51=0,$AD51,IF(AND($Z51&lt;&gt;"",EDATE($D51,Milestones!$AA$70)&gt;=$Z51),$AC51,IF(AND($Y51&lt;&gt;"",EDATE($D51,Milestones!$AA$70)&gt;=$Y51),$AB51,$AA51)))=Milestones!$AB$70),UPPER(TEXT(EDATE($D51,Milestones!$AA$70),"dd mmm yy"))&amp;" "&amp;Milestones!$AB$70&amp;" "&amp;IF(AND(Milestones!$AB$70="FT",Milestones!$AA$70=FT_Y5,EDATE($D51,Milestones!$AA$70)&lt;PolicyEff),1,Milestones!$AC$70)&amp;";  ","")&amp;IF(AND(EDATE($D51,Milestones!$AA$71)&lt;=AsOfDate,EDATE($D51,Milestones!$AA$71)&gt;=SchemeStart,IF($X51=0,$AD51,IF(AND($Z51&lt;&gt;"",EDATE($D51,Milestones!$AA$71)&gt;=$Z51),$AC51,IF(AND($Y51&lt;&gt;"",EDATE($D51,Milestones!$AA$71)&gt;=$Y51),$AB51,$AA51)))=Milestones!$AB$71),UPPER(TEXT(EDATE($D51,Milestones!$AA$71),"dd mmm yy"))&amp;" "&amp;Milestones!$AB$71&amp;" "&amp;IF(AND(Milestones!$AB$71="FT",Milestones!$AA$71=FT_Y5,EDATE($D51,Milestones!$AA$71)&lt;PolicyEff),1,Milestones!$AC$71)&amp;";  ","")&amp;IF(AND(EDATE($D51,Milestones!$AA$72)&lt;=AsOfDate,EDATE($D51,Milestones!$AA$72)&gt;=SchemeStart,IF($X51=0,$AD51,IF(AND($Z51&lt;&gt;"",EDATE($D51,Milestones!$AA$72)&gt;=$Z51),$AC51,IF(AND($Y51&lt;&gt;"",EDATE($D51,Milestones!$AA$72)&gt;=$Y51),$AB51,$AA51)))=Milestones!$AB$72),UPPER(TEXT(EDATE($D51,Milestones!$AA$72),"dd mmm yy"))&amp;" "&amp;Milestones!$AB$72&amp;" "&amp;IF(AND(Milestones!$AB$72="FT",Milestones!$AA$72=FT_Y5,EDATE($D51,Milestones!$AA$72)&lt;PolicyEff),1,Milestones!$AC$72)&amp;";  ","")&amp;IF(AND(EDATE($D51,Milestones!$AA$73)&lt;=AsOfDate,EDATE($D51,Milestones!$AA$73)&gt;=SchemeStart,IF($X51=0,$AD51,IF(AND($Z51&lt;&gt;"",EDATE($D51,Milestones!$AA$73)&gt;=$Z51),$AC51,IF(AND($Y51&lt;&gt;"",EDATE($D51,Milestones!$AA$73)&gt;=$Y51),$AB51,$AA51)))=Milestones!$AB$73),UPPER(TEXT(EDATE($D51,Milestones!$AA$73),"dd mmm yy"))&amp;" "&amp;Milestones!$AB$73&amp;" "&amp;IF(AND(Milestones!$AB$73="FT",Milestones!$AA$73=FT_Y5,EDATE($D51,Milestones!$AA$73)&lt;PolicyEff),1,Milestones!$AC$73)&amp;";  ","")&amp;IF(AND(EDATE($D51,Milestones!$AA$74)&lt;=AsOfDate,EDATE($D51,Milestones!$AA$74)&gt;=SchemeStart,IF($X51=0,$AD51,IF(AND($Z51&lt;&gt;"",EDATE($D51,Milestones!$AA$74)&gt;=$Z51),$AC51,IF(AND($Y51&lt;&gt;"",EDATE($D51,Milestones!$AA$74)&gt;=$Y51),$AB51,$AA51)))=Milestones!$AB$74),UPPER(TEXT(EDATE($D51,Milestones!$AA$74),"dd mmm yy"))&amp;" "&amp;Milestones!$AB$74&amp;" "&amp;IF(AND(Milestones!$AB$74="FT",Milestones!$AA$74=FT_Y5,EDATE($D51,Milestones!$AA$74)&lt;PolicyEff),1,Milestones!$AC$74)&amp;";  ","")&amp;IF(AND(EDATE($D51,Milestones!$AA$75)&lt;=AsOfDate,EDATE($D51,Milestones!$AA$75)&gt;=SchemeStart,IF($X51=0,$AD51,IF(AND($Z51&lt;&gt;"",EDATE($D51,Milestones!$AA$75)&gt;=$Z51),$AC51,IF(AND($Y51&lt;&gt;"",EDATE($D51,Milestones!$AA$75)&gt;=$Y51),$AB51,$AA51)))=Milestones!$AB$75),UPPER(TEXT(EDATE($D51,Milestones!$AA$75),"dd mmm yy"))&amp;" "&amp;Milestones!$AB$75&amp;" "&amp;IF(AND(Milestones!$AB$75="FT",Milestones!$AA$75=FT_Y5,EDATE($D51,Milestones!$AA$75)&lt;PolicyEff),1,Milestones!$AC$75)&amp;";  ","")&amp;IF(AND(EDATE($D51,Milestones!$AA$76)&lt;=AsOfDate,EDATE($D51,Milestones!$AA$76)&gt;=SchemeStart,IF($X51=0,$AD51,IF(AND($Z51&lt;&gt;"",EDATE($D51,Milestones!$AA$76)&gt;=$Z51),$AC51,IF(AND($Y51&lt;&gt;"",EDATE($D51,Milestones!$AA$76)&gt;=$Y51),$AB51,$AA51)))=Milestones!$AB$76),UPPER(TEXT(EDATE($D51,Milestones!$AA$76),"dd mmm yy"))&amp;" "&amp;Milestones!$AB$76&amp;" "&amp;IF(AND(Milestones!$AB$76="FT",Milestones!$AA$76=FT_Y5,EDATE($D51,Milestones!$AA$76)&lt;PolicyEff),1,Milestones!$AC$76)&amp;";  ","")&amp;IF(AND(EDATE($D51,Milestones!$AA$77)&lt;=AsOfDate,EDATE($D51,Milestones!$AA$77)&gt;=SchemeStart,IF($X51=0,$AD51,IF(AND($Z51&lt;&gt;"",EDATE($D51,Milestones!$AA$77)&gt;=$Z51),$AC51,IF(AND($Y51&lt;&gt;"",EDATE($D51,Milestones!$AA$77)&gt;=$Y51),$AB51,$AA51)))=Milestones!$AB$77),UPPER(TEXT(EDATE($D51,Milestones!$AA$77),"dd mmm yy"))&amp;" "&amp;Milestones!$AB$77&amp;" "&amp;IF(AND(Milestones!$AB$77="FT",Milestones!$AA$77=FT_Y5,EDATE($D51,Milestones!$AA$77)&lt;PolicyEff),1,Milestones!$AC$77)&amp;";  ","")&amp;IF(AND(EDATE($D51,Milestones!$AA$78)&lt;=AsOfDate,EDATE($D51,Milestones!$AA$78)&gt;=SchemeStart,IF($X51=0,$AD51,IF(AND($Z51&lt;&gt;"",EDATE($D51,Milestones!$AA$78)&gt;=$Z51),$AC51,IF(AND($Y51&lt;&gt;"",EDATE($D51,Milestones!$AA$78)&gt;=$Y51),$AB51,$AA51)))=Milestones!$AB$78),UPPER(TEXT(EDATE($D51,Milestones!$AA$78),"dd mmm yy"))&amp;" "&amp;Milestones!$AB$78&amp;" "&amp;IF(AND(Milestones!$AB$78="FT",Milestones!$AA$78=FT_Y5,EDATE($D51,Milestones!$AA$78)&lt;PolicyEff),1,Milestones!$AC$78)&amp;";  ","")&amp;IF(AND(EDATE($D51,Milestones!$AA$79)&lt;=AsOfDate,EDATE($D51,Milestones!$AA$79)&gt;=SchemeStart,IF($X51=0,$AD51,IF(AND($Z51&lt;&gt;"",EDATE($D51,Milestones!$AA$79)&gt;=$Z51),$AC51,IF(AND($Y51&lt;&gt;"",EDATE($D51,Milestones!$AA$79)&gt;=$Y51),$AB51,$AA51)))=Milestones!$AB$79),UPPER(TEXT(EDATE($D51,Milestones!$AA$79),"dd mmm yy"))&amp;" "&amp;Milestones!$AB$79&amp;" "&amp;IF(AND(Milestones!$AB$79="FT",Milestones!$AA$79=FT_Y5,EDATE($D51,Milestones!$AA$79)&lt;PolicyEff),1,Milestones!$AC$79)&amp;";  ",""))</f>
        <v/>
      </c>
      <c r="N51" s="0" t="str">
        <f aca="false">IF(OR($A51="",$D51=""),"",IF(AND(EDATE($D51,Milestones!$AA$80)&lt;=AsOfDate,EDATE($D51,Milestones!$AA$80)&gt;=SchemeStart,IF($X51=0,$AD51,IF(AND($Z51&lt;&gt;"",EDATE($D51,Milestones!$AA$80)&gt;=$Z51),$AC51,IF(AND($Y51&lt;&gt;"",EDATE($D51,Milestones!$AA$80)&gt;=$Y51),$AB51,$AA51)))=Milestones!$AB$80),UPPER(TEXT(EDATE($D51,Milestones!$AA$80),"dd mmm yy"))&amp;" "&amp;Milestones!$AB$80&amp;" "&amp;IF(AND(Milestones!$AB$80="FT",Milestones!$AA$80=FT_Y5,EDATE($D51,Milestones!$AA$80)&lt;PolicyEff),1,Milestones!$AC$80)&amp;";  ","")&amp;IF(AND(EDATE($D51,Milestones!$AA$81)&lt;=AsOfDate,EDATE($D51,Milestones!$AA$81)&gt;=SchemeStart,IF($X51=0,$AD51,IF(AND($Z51&lt;&gt;"",EDATE($D51,Milestones!$AA$81)&gt;=$Z51),$AC51,IF(AND($Y51&lt;&gt;"",EDATE($D51,Milestones!$AA$81)&gt;=$Y51),$AB51,$AA51)))=Milestones!$AB$81),UPPER(TEXT(EDATE($D51,Milestones!$AA$81),"dd mmm yy"))&amp;" "&amp;Milestones!$AB$81&amp;" "&amp;IF(AND(Milestones!$AB$81="FT",Milestones!$AA$81=FT_Y5,EDATE($D51,Milestones!$AA$81)&lt;PolicyEff),1,Milestones!$AC$81)&amp;";  ","")&amp;IF(AND(EDATE($D51,Milestones!$AA$82)&lt;=AsOfDate,EDATE($D51,Milestones!$AA$82)&gt;=SchemeStart,IF($X51=0,$AD51,IF(AND($Z51&lt;&gt;"",EDATE($D51,Milestones!$AA$82)&gt;=$Z51),$AC51,IF(AND($Y51&lt;&gt;"",EDATE($D51,Milestones!$AA$82)&gt;=$Y51),$AB51,$AA51)))=Milestones!$AB$82),UPPER(TEXT(EDATE($D51,Milestones!$AA$82),"dd mmm yy"))&amp;" "&amp;Milestones!$AB$82&amp;" "&amp;IF(AND(Milestones!$AB$82="FT",Milestones!$AA$82=FT_Y5,EDATE($D51,Milestones!$AA$82)&lt;PolicyEff),1,Milestones!$AC$82)&amp;";  ","")&amp;IF(AND(EDATE($D51,Milestones!$AA$83)&lt;=AsOfDate,EDATE($D51,Milestones!$AA$83)&gt;=SchemeStart,IF($X51=0,$AD51,IF(AND($Z51&lt;&gt;"",EDATE($D51,Milestones!$AA$83)&gt;=$Z51),$AC51,IF(AND($Y51&lt;&gt;"",EDATE($D51,Milestones!$AA$83)&gt;=$Y51),$AB51,$AA51)))=Milestones!$AB$83),UPPER(TEXT(EDATE($D51,Milestones!$AA$83),"dd mmm yy"))&amp;" "&amp;Milestones!$AB$83&amp;" "&amp;IF(AND(Milestones!$AB$83="FT",Milestones!$AA$83=FT_Y5,EDATE($D51,Milestones!$AA$83)&lt;PolicyEff),1,Milestones!$AC$83)&amp;";  ","")&amp;IF(AND(EDATE($D51,Milestones!$AA$84)&lt;=AsOfDate,EDATE($D51,Milestones!$AA$84)&gt;=SchemeStart,IF($X51=0,$AD51,IF(AND($Z51&lt;&gt;"",EDATE($D51,Milestones!$AA$84)&gt;=$Z51),$AC51,IF(AND($Y51&lt;&gt;"",EDATE($D51,Milestones!$AA$84)&gt;=$Y51),$AB51,$AA51)))=Milestones!$AB$84),UPPER(TEXT(EDATE($D51,Milestones!$AA$84),"dd mmm yy"))&amp;" "&amp;Milestones!$AB$84&amp;" "&amp;IF(AND(Milestones!$AB$84="FT",Milestones!$AA$84=FT_Y5,EDATE($D51,Milestones!$AA$84)&lt;PolicyEff),1,Milestones!$AC$84)&amp;";  ","")&amp;IF(AND(EDATE($D51,Milestones!$AA$85)&lt;=AsOfDate,EDATE($D51,Milestones!$AA$85)&gt;=SchemeStart,IF($X51=0,$AD51,IF(AND($Z51&lt;&gt;"",EDATE($D51,Milestones!$AA$85)&gt;=$Z51),$AC51,IF(AND($Y51&lt;&gt;"",EDATE($D51,Milestones!$AA$85)&gt;=$Y51),$AB51,$AA51)))=Milestones!$AB$85),UPPER(TEXT(EDATE($D51,Milestones!$AA$85),"dd mmm yy"))&amp;" "&amp;Milestones!$AB$85&amp;" "&amp;IF(AND(Milestones!$AB$85="FT",Milestones!$AA$85=FT_Y5,EDATE($D51,Milestones!$AA$85)&lt;PolicyEff),1,Milestones!$AC$85)&amp;";  ","")&amp;IF(AND(EDATE($D51,Milestones!$AA$86)&lt;=AsOfDate,EDATE($D51,Milestones!$AA$86)&gt;=SchemeStart,IF($X51=0,$AD51,IF(AND($Z51&lt;&gt;"",EDATE($D51,Milestones!$AA$86)&gt;=$Z51),$AC51,IF(AND($Y51&lt;&gt;"",EDATE($D51,Milestones!$AA$86)&gt;=$Y51),$AB51,$AA51)))=Milestones!$AB$86),UPPER(TEXT(EDATE($D51,Milestones!$AA$86),"dd mmm yy"))&amp;" "&amp;Milestones!$AB$86&amp;" "&amp;IF(AND(Milestones!$AB$86="FT",Milestones!$AA$86=FT_Y5,EDATE($D51,Milestones!$AA$86)&lt;PolicyEff),1,Milestones!$AC$86)&amp;";  ","")&amp;IF(AND(EDATE($D51,Milestones!$AA$87)&lt;=AsOfDate,EDATE($D51,Milestones!$AA$87)&gt;=SchemeStart,IF($X51=0,$AD51,IF(AND($Z51&lt;&gt;"",EDATE($D51,Milestones!$AA$87)&gt;=$Z51),$AC51,IF(AND($Y51&lt;&gt;"",EDATE($D51,Milestones!$AA$87)&gt;=$Y51),$AB51,$AA51)))=Milestones!$AB$87),UPPER(TEXT(EDATE($D51,Milestones!$AA$87),"dd mmm yy"))&amp;" "&amp;Milestones!$AB$87&amp;" "&amp;IF(AND(Milestones!$AB$87="FT",Milestones!$AA$87=FT_Y5,EDATE($D51,Milestones!$AA$87)&lt;PolicyEff),1,Milestones!$AC$87)&amp;";  ","")&amp;IF(AND(EDATE($D51,Milestones!$AA$88)&lt;=AsOfDate,EDATE($D51,Milestones!$AA$88)&gt;=SchemeStart,IF($X51=0,$AD51,IF(AND($Z51&lt;&gt;"",EDATE($D51,Milestones!$AA$88)&gt;=$Z51),$AC51,IF(AND($Y51&lt;&gt;"",EDATE($D51,Milestones!$AA$88)&gt;=$Y51),$AB51,$AA51)))=Milestones!$AB$88),UPPER(TEXT(EDATE($D51,Milestones!$AA$88),"dd mmm yy"))&amp;" "&amp;Milestones!$AB$88&amp;" "&amp;IF(AND(Milestones!$AB$88="FT",Milestones!$AA$88=FT_Y5,EDATE($D51,Milestones!$AA$88)&lt;PolicyEff),1,Milestones!$AC$88)&amp;";  ","")&amp;IF(AND(EDATE($D51,Milestones!$AA$89)&lt;=AsOfDate,EDATE($D51,Milestones!$AA$89)&gt;=SchemeStart,IF($X51=0,$AD51,IF(AND($Z51&lt;&gt;"",EDATE($D51,Milestones!$AA$89)&gt;=$Z51),$AC51,IF(AND($Y51&lt;&gt;"",EDATE($D51,Milestones!$AA$89)&gt;=$Y51),$AB51,$AA51)))=Milestones!$AB$89),UPPER(TEXT(EDATE($D51,Milestones!$AA$89),"dd mmm yy"))&amp;" "&amp;Milestones!$AB$89&amp;" "&amp;IF(AND(Milestones!$AB$89="FT",Milestones!$AA$89=FT_Y5,EDATE($D51,Milestones!$AA$89)&lt;PolicyEff),1,Milestones!$AC$89)&amp;";  ","")&amp;IF(AND(EDATE($D51,Milestones!$AA$90)&lt;=AsOfDate,EDATE($D51,Milestones!$AA$90)&gt;=SchemeStart,IF($X51=0,$AD51,IF(AND($Z51&lt;&gt;"",EDATE($D51,Milestones!$AA$90)&gt;=$Z51),$AC51,IF(AND($Y51&lt;&gt;"",EDATE($D51,Milestones!$AA$90)&gt;=$Y51),$AB51,$AA51)))=Milestones!$AB$90),UPPER(TEXT(EDATE($D51,Milestones!$AA$90),"dd mmm yy"))&amp;" "&amp;Milestones!$AB$90&amp;" "&amp;IF(AND(Milestones!$AB$90="FT",Milestones!$AA$90=FT_Y5,EDATE($D51,Milestones!$AA$90)&lt;PolicyEff),1,Milestones!$AC$90)&amp;";  ","")&amp;IF(AND(EDATE($D51,Milestones!$AA$91)&lt;=AsOfDate,EDATE($D51,Milestones!$AA$91)&gt;=SchemeStart,IF($X51=0,$AD51,IF(AND($Z51&lt;&gt;"",EDATE($D51,Milestones!$AA$91)&gt;=$Z51),$AC51,IF(AND($Y51&lt;&gt;"",EDATE($D51,Milestones!$AA$91)&gt;=$Y51),$AB51,$AA51)))=Milestones!$AB$91),UPPER(TEXT(EDATE($D51,Milestones!$AA$91),"dd mmm yy"))&amp;" "&amp;Milestones!$AB$91&amp;" "&amp;IF(AND(Milestones!$AB$91="FT",Milestones!$AA$91=FT_Y5,EDATE($D51,Milestones!$AA$91)&lt;PolicyEff),1,Milestones!$AC$91)&amp;";  ",""))</f>
        <v/>
      </c>
      <c r="O51" s="0" t="str">
        <f aca="false">IF(OR($A51="",$D51=""),"",IF(AND(EDATE($D51,Milestones!$AA$92)&lt;=AsOfDate,EDATE($D51,Milestones!$AA$92)&gt;=SchemeStart,IF($X51=0,$AD51,IF(AND($Z51&lt;&gt;"",EDATE($D51,Milestones!$AA$92)&gt;=$Z51),$AC51,IF(AND($Y51&lt;&gt;"",EDATE($D51,Milestones!$AA$92)&gt;=$Y51),$AB51,$AA51)))=Milestones!$AB$92),UPPER(TEXT(EDATE($D51,Milestones!$AA$92),"dd mmm yy"))&amp;" "&amp;Milestones!$AB$92&amp;" "&amp;IF(AND(Milestones!$AB$92="FT",Milestones!$AA$92=FT_Y5,EDATE($D51,Milestones!$AA$92)&lt;PolicyEff),1,Milestones!$AC$92)&amp;";  ","")&amp;IF(AND(EDATE($D51,Milestones!$AA$93)&lt;=AsOfDate,EDATE($D51,Milestones!$AA$93)&gt;=SchemeStart,IF($X51=0,$AD51,IF(AND($Z51&lt;&gt;"",EDATE($D51,Milestones!$AA$93)&gt;=$Z51),$AC51,IF(AND($Y51&lt;&gt;"",EDATE($D51,Milestones!$AA$93)&gt;=$Y51),$AB51,$AA51)))=Milestones!$AB$93),UPPER(TEXT(EDATE($D51,Milestones!$AA$93),"dd mmm yy"))&amp;" "&amp;Milestones!$AB$93&amp;" "&amp;IF(AND(Milestones!$AB$93="FT",Milestones!$AA$93=FT_Y5,EDATE($D51,Milestones!$AA$93)&lt;PolicyEff),1,Milestones!$AC$93)&amp;";  ","")&amp;IF(AND(EDATE($D51,Milestones!$AA$94)&lt;=AsOfDate,EDATE($D51,Milestones!$AA$94)&gt;=SchemeStart,IF($X51=0,$AD51,IF(AND($Z51&lt;&gt;"",EDATE($D51,Milestones!$AA$94)&gt;=$Z51),$AC51,IF(AND($Y51&lt;&gt;"",EDATE($D51,Milestones!$AA$94)&gt;=$Y51),$AB51,$AA51)))=Milestones!$AB$94),UPPER(TEXT(EDATE($D51,Milestones!$AA$94),"dd mmm yy"))&amp;" "&amp;Milestones!$AB$94&amp;" "&amp;IF(AND(Milestones!$AB$94="FT",Milestones!$AA$94=FT_Y5,EDATE($D51,Milestones!$AA$94)&lt;PolicyEff),1,Milestones!$AC$94)&amp;";  ","")&amp;IF(AND(EDATE($D51,Milestones!$AA$95)&lt;=AsOfDate,EDATE($D51,Milestones!$AA$95)&gt;=SchemeStart,IF($X51=0,$AD51,IF(AND($Z51&lt;&gt;"",EDATE($D51,Milestones!$AA$95)&gt;=$Z51),$AC51,IF(AND($Y51&lt;&gt;"",EDATE($D51,Milestones!$AA$95)&gt;=$Y51),$AB51,$AA51)))=Milestones!$AB$95),UPPER(TEXT(EDATE($D51,Milestones!$AA$95),"dd mmm yy"))&amp;" "&amp;Milestones!$AB$95&amp;" "&amp;IF(AND(Milestones!$AB$95="FT",Milestones!$AA$95=FT_Y5,EDATE($D51,Milestones!$AA$95)&lt;PolicyEff),1,Milestones!$AC$95)&amp;";  ","")&amp;IF(AND(EDATE($D51,Milestones!$AA$96)&lt;=AsOfDate,EDATE($D51,Milestones!$AA$96)&gt;=SchemeStart,IF($X51=0,$AD51,IF(AND($Z51&lt;&gt;"",EDATE($D51,Milestones!$AA$96)&gt;=$Z51),$AC51,IF(AND($Y51&lt;&gt;"",EDATE($D51,Milestones!$AA$96)&gt;=$Y51),$AB51,$AA51)))=Milestones!$AB$96),UPPER(TEXT(EDATE($D51,Milestones!$AA$96),"dd mmm yy"))&amp;" "&amp;Milestones!$AB$96&amp;" "&amp;IF(AND(Milestones!$AB$96="FT",Milestones!$AA$96=FT_Y5,EDATE($D51,Milestones!$AA$96)&lt;PolicyEff),1,Milestones!$AC$96)&amp;";  ","")&amp;IF(AND(EDATE($D51,Milestones!$AA$97)&lt;=AsOfDate,EDATE($D51,Milestones!$AA$97)&gt;=SchemeStart,IF($X51=0,$AD51,IF(AND($Z51&lt;&gt;"",EDATE($D51,Milestones!$AA$97)&gt;=$Z51),$AC51,IF(AND($Y51&lt;&gt;"",EDATE($D51,Milestones!$AA$97)&gt;=$Y51),$AB51,$AA51)))=Milestones!$AB$97),UPPER(TEXT(EDATE($D51,Milestones!$AA$97),"dd mmm yy"))&amp;" "&amp;Milestones!$AB$97&amp;" "&amp;IF(AND(Milestones!$AB$97="FT",Milestones!$AA$97=FT_Y5,EDATE($D51,Milestones!$AA$97)&lt;PolicyEff),1,Milestones!$AC$97)&amp;";  ","")&amp;IF(AND(EDATE($D51,Milestones!$AA$98)&lt;=AsOfDate,EDATE($D51,Milestones!$AA$98)&gt;=SchemeStart,IF($X51=0,$AD51,IF(AND($Z51&lt;&gt;"",EDATE($D51,Milestones!$AA$98)&gt;=$Z51),$AC51,IF(AND($Y51&lt;&gt;"",EDATE($D51,Milestones!$AA$98)&gt;=$Y51),$AB51,$AA51)))=Milestones!$AB$98),UPPER(TEXT(EDATE($D51,Milestones!$AA$98),"dd mmm yy"))&amp;" "&amp;Milestones!$AB$98&amp;" "&amp;IF(AND(Milestones!$AB$98="FT",Milestones!$AA$98=FT_Y5,EDATE($D51,Milestones!$AA$98)&lt;PolicyEff),1,Milestones!$AC$98)&amp;";  ","")&amp;IF(AND(EDATE($D51,Milestones!$AA$99)&lt;=AsOfDate,EDATE($D51,Milestones!$AA$99)&gt;=SchemeStart,IF($X51=0,$AD51,IF(AND($Z51&lt;&gt;"",EDATE($D51,Milestones!$AA$99)&gt;=$Z51),$AC51,IF(AND($Y51&lt;&gt;"",EDATE($D51,Milestones!$AA$99)&gt;=$Y51),$AB51,$AA51)))=Milestones!$AB$99),UPPER(TEXT(EDATE($D51,Milestones!$AA$99),"dd mmm yy"))&amp;" "&amp;Milestones!$AB$99&amp;" "&amp;IF(AND(Milestones!$AB$99="FT",Milestones!$AA$99=FT_Y5,EDATE($D51,Milestones!$AA$99)&lt;PolicyEff),1,Milestones!$AC$99)&amp;";  ","")&amp;IF(AND(EDATE($D51,Milestones!$AA$100)&lt;=AsOfDate,EDATE($D51,Milestones!$AA$100)&gt;=SchemeStart,IF($X51=0,$AD51,IF(AND($Z51&lt;&gt;"",EDATE($D51,Milestones!$AA$100)&gt;=$Z51),$AC51,IF(AND($Y51&lt;&gt;"",EDATE($D51,Milestones!$AA$100)&gt;=$Y51),$AB51,$AA51)))=Milestones!$AB$100),UPPER(TEXT(EDATE($D51,Milestones!$AA$100),"dd mmm yy"))&amp;" "&amp;Milestones!$AB$100&amp;" "&amp;IF(AND(Milestones!$AB$100="FT",Milestones!$AA$100=FT_Y5,EDATE($D51,Milestones!$AA$100)&lt;PolicyEff),1,Milestones!$AC$100)&amp;";  ","")&amp;IF(AND(EDATE($D51,Milestones!$AA$101)&lt;=AsOfDate,EDATE($D51,Milestones!$AA$101)&gt;=SchemeStart,IF($X51=0,$AD51,IF(AND($Z51&lt;&gt;"",EDATE($D51,Milestones!$AA$101)&gt;=$Z51),$AC51,IF(AND($Y51&lt;&gt;"",EDATE($D51,Milestones!$AA$101)&gt;=$Y51),$AB51,$AA51)))=Milestones!$AB$101),UPPER(TEXT(EDATE($D51,Milestones!$AA$101),"dd mmm yy"))&amp;" "&amp;Milestones!$AB$101&amp;" "&amp;IF(AND(Milestones!$AB$101="FT",Milestones!$AA$101=FT_Y5,EDATE($D51,Milestones!$AA$101)&lt;PolicyEff),1,Milestones!$AC$101)&amp;";  ","")&amp;IF(AND(EDATE($D51,Milestones!$AA$102)&lt;=AsOfDate,EDATE($D51,Milestones!$AA$102)&gt;=SchemeStart,IF($X51=0,$AD51,IF(AND($Z51&lt;&gt;"",EDATE($D51,Milestones!$AA$102)&gt;=$Z51),$AC51,IF(AND($Y51&lt;&gt;"",EDATE($D51,Milestones!$AA$102)&gt;=$Y51),$AB51,$AA51)))=Milestones!$AB$102),UPPER(TEXT(EDATE($D51,Milestones!$AA$102),"dd mmm yy"))&amp;" "&amp;Milestones!$AB$102&amp;" "&amp;IF(AND(Milestones!$AB$102="FT",Milestones!$AA$102=FT_Y5,EDATE($D51,Milestones!$AA$102)&lt;PolicyEff),1,Milestones!$AC$102)&amp;";  ","")&amp;IF(AND(EDATE($D51,Milestones!$AA$103)&lt;=AsOfDate,EDATE($D51,Milestones!$AA$103)&gt;=SchemeStart,IF($X51=0,$AD51,IF(AND($Z51&lt;&gt;"",EDATE($D51,Milestones!$AA$103)&gt;=$Z51),$AC51,IF(AND($Y51&lt;&gt;"",EDATE($D51,Milestones!$AA$103)&gt;=$Y51),$AB51,$AA51)))=Milestones!$AB$103),UPPER(TEXT(EDATE($D51,Milestones!$AA$103),"dd mmm yy"))&amp;" "&amp;Milestones!$AB$103&amp;" "&amp;IF(AND(Milestones!$AB$103="FT",Milestones!$AA$103=FT_Y5,EDATE($D51,Milestones!$AA$103)&lt;PolicyEff),1,Milestones!$AC$103)&amp;";  ",""))</f>
        <v/>
      </c>
      <c r="P51" s="0" t="str">
        <f aca="false">IF(OR($A51="",$D51=""),"",IF(AND(EDATE($D51,Milestones!$AA$104)&lt;=AsOfDate,EDATE($D51,Milestones!$AA$104)&gt;=SchemeStart,IF($X51=0,$AD51,IF(AND($Z51&lt;&gt;"",EDATE($D51,Milestones!$AA$104)&gt;=$Z51),$AC51,IF(AND($Y51&lt;&gt;"",EDATE($D51,Milestones!$AA$104)&gt;=$Y51),$AB51,$AA51)))=Milestones!$AB$104),UPPER(TEXT(EDATE($D51,Milestones!$AA$104),"dd mmm yy"))&amp;" "&amp;Milestones!$AB$104&amp;" "&amp;IF(AND(Milestones!$AB$104="FT",Milestones!$AA$104=FT_Y5,EDATE($D51,Milestones!$AA$104)&lt;PolicyEff),1,Milestones!$AC$104)&amp;";  ","")&amp;IF(AND(EDATE($D51,Milestones!$AA$105)&lt;=AsOfDate,EDATE($D51,Milestones!$AA$105)&gt;=SchemeStart,IF($X51=0,$AD51,IF(AND($Z51&lt;&gt;"",EDATE($D51,Milestones!$AA$105)&gt;=$Z51),$AC51,IF(AND($Y51&lt;&gt;"",EDATE($D51,Milestones!$AA$105)&gt;=$Y51),$AB51,$AA51)))=Milestones!$AB$105),UPPER(TEXT(EDATE($D51,Milestones!$AA$105),"dd mmm yy"))&amp;" "&amp;Milestones!$AB$105&amp;" "&amp;IF(AND(Milestones!$AB$105="FT",Milestones!$AA$105=FT_Y5,EDATE($D51,Milestones!$AA$105)&lt;PolicyEff),1,Milestones!$AC$105)&amp;";  ","")&amp;IF(AND(EDATE($D51,Milestones!$AA$106)&lt;=AsOfDate,EDATE($D51,Milestones!$AA$106)&gt;=SchemeStart,IF($X51=0,$AD51,IF(AND($Z51&lt;&gt;"",EDATE($D51,Milestones!$AA$106)&gt;=$Z51),$AC51,IF(AND($Y51&lt;&gt;"",EDATE($D51,Milestones!$AA$106)&gt;=$Y51),$AB51,$AA51)))=Milestones!$AB$106),UPPER(TEXT(EDATE($D51,Milestones!$AA$106),"dd mmm yy"))&amp;" "&amp;Milestones!$AB$106&amp;" "&amp;IF(AND(Milestones!$AB$106="FT",Milestones!$AA$106=FT_Y5,EDATE($D51,Milestones!$AA$106)&lt;PolicyEff),1,Milestones!$AC$106)&amp;";  ","")&amp;IF(AND(EDATE($D51,Milestones!$AA$107)&lt;=AsOfDate,EDATE($D51,Milestones!$AA$107)&gt;=SchemeStart,IF($X51=0,$AD51,IF(AND($Z51&lt;&gt;"",EDATE($D51,Milestones!$AA$107)&gt;=$Z51),$AC51,IF(AND($Y51&lt;&gt;"",EDATE($D51,Milestones!$AA$107)&gt;=$Y51),$AB51,$AA51)))=Milestones!$AB$107),UPPER(TEXT(EDATE($D51,Milestones!$AA$107),"dd mmm yy"))&amp;" "&amp;Milestones!$AB$107&amp;" "&amp;IF(AND(Milestones!$AB$107="FT",Milestones!$AA$107=FT_Y5,EDATE($D51,Milestones!$AA$107)&lt;PolicyEff),1,Milestones!$AC$107)&amp;";  ","")&amp;IF(AND(EDATE($D51,Milestones!$AA$108)&lt;=AsOfDate,EDATE($D51,Milestones!$AA$108)&gt;=SchemeStart,IF($X51=0,$AD51,IF(AND($Z51&lt;&gt;"",EDATE($D51,Milestones!$AA$108)&gt;=$Z51),$AC51,IF(AND($Y51&lt;&gt;"",EDATE($D51,Milestones!$AA$108)&gt;=$Y51),$AB51,$AA51)))=Milestones!$AB$108),UPPER(TEXT(EDATE($D51,Milestones!$AA$108),"dd mmm yy"))&amp;" "&amp;Milestones!$AB$108&amp;" "&amp;IF(AND(Milestones!$AB$108="FT",Milestones!$AA$108=FT_Y5,EDATE($D51,Milestones!$AA$108)&lt;PolicyEff),1,Milestones!$AC$108)&amp;";  ","")&amp;IF(AND(EDATE($D51,Milestones!$AA$109)&lt;=AsOfDate,EDATE($D51,Milestones!$AA$109)&gt;=SchemeStart,IF($X51=0,$AD51,IF(AND($Z51&lt;&gt;"",EDATE($D51,Milestones!$AA$109)&gt;=$Z51),$AC51,IF(AND($Y51&lt;&gt;"",EDATE($D51,Milestones!$AA$109)&gt;=$Y51),$AB51,$AA51)))=Milestones!$AB$109),UPPER(TEXT(EDATE($D51,Milestones!$AA$109),"dd mmm yy"))&amp;" "&amp;Milestones!$AB$109&amp;" "&amp;IF(AND(Milestones!$AB$109="FT",Milestones!$AA$109=FT_Y5,EDATE($D51,Milestones!$AA$109)&lt;PolicyEff),1,Milestones!$AC$109)&amp;";  ","")&amp;IF(AND(EDATE($D51,Milestones!$AA$110)&lt;=AsOfDate,EDATE($D51,Milestones!$AA$110)&gt;=SchemeStart,IF($X51=0,$AD51,IF(AND($Z51&lt;&gt;"",EDATE($D51,Milestones!$AA$110)&gt;=$Z51),$AC51,IF(AND($Y51&lt;&gt;"",EDATE($D51,Milestones!$AA$110)&gt;=$Y51),$AB51,$AA51)))=Milestones!$AB$110),UPPER(TEXT(EDATE($D51,Milestones!$AA$110),"dd mmm yy"))&amp;" "&amp;Milestones!$AB$110&amp;" "&amp;IF(AND(Milestones!$AB$110="FT",Milestones!$AA$110=FT_Y5,EDATE($D51,Milestones!$AA$110)&lt;PolicyEff),1,Milestones!$AC$110)&amp;";  ","")&amp;IF(AND(EDATE($D51,Milestones!$AA$111)&lt;=AsOfDate,EDATE($D51,Milestones!$AA$111)&gt;=SchemeStart,IF($X51=0,$AD51,IF(AND($Z51&lt;&gt;"",EDATE($D51,Milestones!$AA$111)&gt;=$Z51),$AC51,IF(AND($Y51&lt;&gt;"",EDATE($D51,Milestones!$AA$111)&gt;=$Y51),$AB51,$AA51)))=Milestones!$AB$111),UPPER(TEXT(EDATE($D51,Milestones!$AA$111),"dd mmm yy"))&amp;" "&amp;Milestones!$AB$111&amp;" "&amp;IF(AND(Milestones!$AB$111="FT",Milestones!$AA$111=FT_Y5,EDATE($D51,Milestones!$AA$111)&lt;PolicyEff),1,Milestones!$AC$111)&amp;";  ","")&amp;IF(AND(EDATE($D51,Milestones!$AA$112)&lt;=AsOfDate,EDATE($D51,Milestones!$AA$112)&gt;=SchemeStart,IF($X51=0,$AD51,IF(AND($Z51&lt;&gt;"",EDATE($D51,Milestones!$AA$112)&gt;=$Z51),$AC51,IF(AND($Y51&lt;&gt;"",EDATE($D51,Milestones!$AA$112)&gt;=$Y51),$AB51,$AA51)))=Milestones!$AB$112),UPPER(TEXT(EDATE($D51,Milestones!$AA$112),"dd mmm yy"))&amp;" "&amp;Milestones!$AB$112&amp;" "&amp;IF(AND(Milestones!$AB$112="FT",Milestones!$AA$112=FT_Y5,EDATE($D51,Milestones!$AA$112)&lt;PolicyEff),1,Milestones!$AC$112)&amp;";  ","")&amp;IF(AND(EDATE($D51,Milestones!$AA$113)&lt;=AsOfDate,EDATE($D51,Milestones!$AA$113)&gt;=SchemeStart,IF($X51=0,$AD51,IF(AND($Z51&lt;&gt;"",EDATE($D51,Milestones!$AA$113)&gt;=$Z51),$AC51,IF(AND($Y51&lt;&gt;"",EDATE($D51,Milestones!$AA$113)&gt;=$Y51),$AB51,$AA51)))=Milestones!$AB$113),UPPER(TEXT(EDATE($D51,Milestones!$AA$113),"dd mmm yy"))&amp;" "&amp;Milestones!$AB$113&amp;" "&amp;IF(AND(Milestones!$AB$113="FT",Milestones!$AA$113=FT_Y5,EDATE($D51,Milestones!$AA$113)&lt;PolicyEff),1,Milestones!$AC$113)&amp;";  ","")&amp;IF(AND(EDATE($D51,Milestones!$AA$114)&lt;=AsOfDate,EDATE($D51,Milestones!$AA$114)&gt;=SchemeStart,IF($X51=0,$AD51,IF(AND($Z51&lt;&gt;"",EDATE($D51,Milestones!$AA$114)&gt;=$Z51),$AC51,IF(AND($Y51&lt;&gt;"",EDATE($D51,Milestones!$AA$114)&gt;=$Y51),$AB51,$AA51)))=Milestones!$AB$114),UPPER(TEXT(EDATE($D51,Milestones!$AA$114),"dd mmm yy"))&amp;" "&amp;Milestones!$AB$114&amp;" "&amp;IF(AND(Milestones!$AB$114="FT",Milestones!$AA$114=FT_Y5,EDATE($D51,Milestones!$AA$114)&lt;PolicyEff),1,Milestones!$AC$114)&amp;";  ","")&amp;IF(AND(EDATE($D51,Milestones!$AA$115)&lt;=AsOfDate,EDATE($D51,Milestones!$AA$115)&gt;=SchemeStart,IF($X51=0,$AD51,IF(AND($Z51&lt;&gt;"",EDATE($D51,Milestones!$AA$115)&gt;=$Z51),$AC51,IF(AND($Y51&lt;&gt;"",EDATE($D51,Milestones!$AA$115)&gt;=$Y51),$AB51,$AA51)))=Milestones!$AB$115),UPPER(TEXT(EDATE($D51,Milestones!$AA$115),"dd mmm yy"))&amp;" "&amp;Milestones!$AB$115&amp;" "&amp;IF(AND(Milestones!$AB$115="FT",Milestones!$AA$115=FT_Y5,EDATE($D51,Milestones!$AA$115)&lt;PolicyEff),1,Milestones!$AC$115)&amp;";  ",""))</f>
        <v/>
      </c>
      <c r="Q51" s="0" t="str">
        <f aca="false">IF(OR($A51="",$D51=""),"",IF(AND(EDATE($D51,Milestones!$AA$116)&lt;=AsOfDate,EDATE($D51,Milestones!$AA$116)&gt;=SchemeStart,IF($X51=0,$AD51,IF(AND($Z51&lt;&gt;"",EDATE($D51,Milestones!$AA$116)&gt;=$Z51),$AC51,IF(AND($Y51&lt;&gt;"",EDATE($D51,Milestones!$AA$116)&gt;=$Y51),$AB51,$AA51)))=Milestones!$AB$116),UPPER(TEXT(EDATE($D51,Milestones!$AA$116),"dd mmm yy"))&amp;" "&amp;Milestones!$AB$116&amp;" "&amp;IF(AND(Milestones!$AB$116="FT",Milestones!$AA$116=FT_Y5,EDATE($D51,Milestones!$AA$116)&lt;PolicyEff),1,Milestones!$AC$116)&amp;";  ","")&amp;IF(AND(EDATE($D51,Milestones!$AA$117)&lt;=AsOfDate,EDATE($D51,Milestones!$AA$117)&gt;=SchemeStart,IF($X51=0,$AD51,IF(AND($Z51&lt;&gt;"",EDATE($D51,Milestones!$AA$117)&gt;=$Z51),$AC51,IF(AND($Y51&lt;&gt;"",EDATE($D51,Milestones!$AA$117)&gt;=$Y51),$AB51,$AA51)))=Milestones!$AB$117),UPPER(TEXT(EDATE($D51,Milestones!$AA$117),"dd mmm yy"))&amp;" "&amp;Milestones!$AB$117&amp;" "&amp;IF(AND(Milestones!$AB$117="FT",Milestones!$AA$117=FT_Y5,EDATE($D51,Milestones!$AA$117)&lt;PolicyEff),1,Milestones!$AC$117)&amp;";  ","")&amp;IF(AND(EDATE($D51,Milestones!$AA$118)&lt;=AsOfDate,EDATE($D51,Milestones!$AA$118)&gt;=SchemeStart,IF($X51=0,$AD51,IF(AND($Z51&lt;&gt;"",EDATE($D51,Milestones!$AA$118)&gt;=$Z51),$AC51,IF(AND($Y51&lt;&gt;"",EDATE($D51,Milestones!$AA$118)&gt;=$Y51),$AB51,$AA51)))=Milestones!$AB$118),UPPER(TEXT(EDATE($D51,Milestones!$AA$118),"dd mmm yy"))&amp;" "&amp;Milestones!$AB$118&amp;" "&amp;IF(AND(Milestones!$AB$118="FT",Milestones!$AA$118=FT_Y5,EDATE($D51,Milestones!$AA$118)&lt;PolicyEff),1,Milestones!$AC$118)&amp;";  ","")&amp;IF(AND(EDATE($D51,Milestones!$AA$119)&lt;=AsOfDate,EDATE($D51,Milestones!$AA$119)&gt;=SchemeStart,IF($X51=0,$AD51,IF(AND($Z51&lt;&gt;"",EDATE($D51,Milestones!$AA$119)&gt;=$Z51),$AC51,IF(AND($Y51&lt;&gt;"",EDATE($D51,Milestones!$AA$119)&gt;=$Y51),$AB51,$AA51)))=Milestones!$AB$119),UPPER(TEXT(EDATE($D51,Milestones!$AA$119),"dd mmm yy"))&amp;" "&amp;Milestones!$AB$119&amp;" "&amp;IF(AND(Milestones!$AB$119="FT",Milestones!$AA$119=FT_Y5,EDATE($D51,Milestones!$AA$119)&lt;PolicyEff),1,Milestones!$AC$119)&amp;";  ","")&amp;IF(AND(EDATE($D51,Milestones!$AA$120)&lt;=AsOfDate,EDATE($D51,Milestones!$AA$120)&gt;=SchemeStart,IF($X51=0,$AD51,IF(AND($Z51&lt;&gt;"",EDATE($D51,Milestones!$AA$120)&gt;=$Z51),$AC51,IF(AND($Y51&lt;&gt;"",EDATE($D51,Milestones!$AA$120)&gt;=$Y51),$AB51,$AA51)))=Milestones!$AB$120),UPPER(TEXT(EDATE($D51,Milestones!$AA$120),"dd mmm yy"))&amp;" "&amp;Milestones!$AB$120&amp;" "&amp;IF(AND(Milestones!$AB$120="FT",Milestones!$AA$120=FT_Y5,EDATE($D51,Milestones!$AA$120)&lt;PolicyEff),1,Milestones!$AC$120)&amp;";  ","")&amp;IF(AND(EDATE($D51,Milestones!$AA$121)&lt;=AsOfDate,EDATE($D51,Milestones!$AA$121)&gt;=SchemeStart,IF($X51=0,$AD51,IF(AND($Z51&lt;&gt;"",EDATE($D51,Milestones!$AA$121)&gt;=$Z51),$AC51,IF(AND($Y51&lt;&gt;"",EDATE($D51,Milestones!$AA$121)&gt;=$Y51),$AB51,$AA51)))=Milestones!$AB$121),UPPER(TEXT(EDATE($D51,Milestones!$AA$121),"dd mmm yy"))&amp;" "&amp;Milestones!$AB$121&amp;" "&amp;IF(AND(Milestones!$AB$121="FT",Milestones!$AA$121=FT_Y5,EDATE($D51,Milestones!$AA$121)&lt;PolicyEff),1,Milestones!$AC$121)&amp;";  ","")&amp;IF(AND(EDATE($D51,Milestones!$AA$122)&lt;=AsOfDate,EDATE($D51,Milestones!$AA$122)&gt;=SchemeStart,IF($X51=0,$AD51,IF(AND($Z51&lt;&gt;"",EDATE($D51,Milestones!$AA$122)&gt;=$Z51),$AC51,IF(AND($Y51&lt;&gt;"",EDATE($D51,Milestones!$AA$122)&gt;=$Y51),$AB51,$AA51)))=Milestones!$AB$122),UPPER(TEXT(EDATE($D51,Milestones!$AA$122),"dd mmm yy"))&amp;" "&amp;Milestones!$AB$122&amp;" "&amp;IF(AND(Milestones!$AB$122="FT",Milestones!$AA$122=FT_Y5,EDATE($D51,Milestones!$AA$122)&lt;PolicyEff),1,Milestones!$AC$122)&amp;";  ","")&amp;IF(AND(EDATE($D51,Milestones!$AA$123)&lt;=AsOfDate,EDATE($D51,Milestones!$AA$123)&gt;=SchemeStart,IF($X51=0,$AD51,IF(AND($Z51&lt;&gt;"",EDATE($D51,Milestones!$AA$123)&gt;=$Z51),$AC51,IF(AND($Y51&lt;&gt;"",EDATE($D51,Milestones!$AA$123)&gt;=$Y51),$AB51,$AA51)))=Milestones!$AB$123),UPPER(TEXT(EDATE($D51,Milestones!$AA$123),"dd mmm yy"))&amp;" "&amp;Milestones!$AB$123&amp;" "&amp;IF(AND(Milestones!$AB$123="FT",Milestones!$AA$123=FT_Y5,EDATE($D51,Milestones!$AA$123)&lt;PolicyEff),1,Milestones!$AC$123)&amp;";  ","")&amp;IF(AND(EDATE($D51,Milestones!$AA$124)&lt;=AsOfDate,EDATE($D51,Milestones!$AA$124)&gt;=SchemeStart,IF($X51=0,$AD51,IF(AND($Z51&lt;&gt;"",EDATE($D51,Milestones!$AA$124)&gt;=$Z51),$AC51,IF(AND($Y51&lt;&gt;"",EDATE($D51,Milestones!$AA$124)&gt;=$Y51),$AB51,$AA51)))=Milestones!$AB$124),UPPER(TEXT(EDATE($D51,Milestones!$AA$124),"dd mmm yy"))&amp;" "&amp;Milestones!$AB$124&amp;" "&amp;IF(AND(Milestones!$AB$124="FT",Milestones!$AA$124=FT_Y5,EDATE($D51,Milestones!$AA$124)&lt;PolicyEff),1,Milestones!$AC$124)&amp;";  ","")&amp;IF(AND(EDATE($D51,Milestones!$AA$125)&lt;=AsOfDate,EDATE($D51,Milestones!$AA$125)&gt;=SchemeStart,IF($X51=0,$AD51,IF(AND($Z51&lt;&gt;"",EDATE($D51,Milestones!$AA$125)&gt;=$Z51),$AC51,IF(AND($Y51&lt;&gt;"",EDATE($D51,Milestones!$AA$125)&gt;=$Y51),$AB51,$AA51)))=Milestones!$AB$125),UPPER(TEXT(EDATE($D51,Milestones!$AA$125),"dd mmm yy"))&amp;" "&amp;Milestones!$AB$125&amp;" "&amp;IF(AND(Milestones!$AB$125="FT",Milestones!$AA$125=FT_Y5,EDATE($D51,Milestones!$AA$125)&lt;PolicyEff),1,Milestones!$AC$125)&amp;";  ","")&amp;IF(AND(EDATE($D51,Milestones!$AA$126)&lt;=AsOfDate,EDATE($D51,Milestones!$AA$126)&gt;=SchemeStart,IF($X51=0,$AD51,IF(AND($Z51&lt;&gt;"",EDATE($D51,Milestones!$AA$126)&gt;=$Z51),$AC51,IF(AND($Y51&lt;&gt;"",EDATE($D51,Milestones!$AA$126)&gt;=$Y51),$AB51,$AA51)))=Milestones!$AB$126),UPPER(TEXT(EDATE($D51,Milestones!$AA$126),"dd mmm yy"))&amp;" "&amp;Milestones!$AB$126&amp;" "&amp;IF(AND(Milestones!$AB$126="FT",Milestones!$AA$126=FT_Y5,EDATE($D51,Milestones!$AA$126)&lt;PolicyEff),1,Milestones!$AC$126)&amp;";  ","")&amp;IF(AND(EDATE($D51,Milestones!$AA$127)&lt;=AsOfDate,EDATE($D51,Milestones!$AA$127)&gt;=SchemeStart,IF($X51=0,$AD51,IF(AND($Z51&lt;&gt;"",EDATE($D51,Milestones!$AA$127)&gt;=$Z51),$AC51,IF(AND($Y51&lt;&gt;"",EDATE($D51,Milestones!$AA$127)&gt;=$Y51),$AB51,$AA51)))=Milestones!$AB$127),UPPER(TEXT(EDATE($D51,Milestones!$AA$127),"dd mmm yy"))&amp;" "&amp;Milestones!$AB$127&amp;" "&amp;IF(AND(Milestones!$AB$127="FT",Milestones!$AA$127=FT_Y5,EDATE($D51,Milestones!$AA$127)&lt;PolicyEff),1,Milestones!$AC$127)&amp;";  ",""))</f>
        <v/>
      </c>
      <c r="R51" s="0" t="str">
        <f aca="false">IF(OR($A51="",$D51=""),"",IF(AND(EDATE($D51,Milestones!$AA$128)&lt;=AsOfDate,EDATE($D51,Milestones!$AA$128)&gt;=SchemeStart,IF($X51=0,$AD51,IF(AND($Z51&lt;&gt;"",EDATE($D51,Milestones!$AA$128)&gt;=$Z51),$AC51,IF(AND($Y51&lt;&gt;"",EDATE($D51,Milestones!$AA$128)&gt;=$Y51),$AB51,$AA51)))=Milestones!$AB$128),UPPER(TEXT(EDATE($D51,Milestones!$AA$128),"dd mmm yy"))&amp;" "&amp;Milestones!$AB$128&amp;" "&amp;IF(AND(Milestones!$AB$128="FT",Milestones!$AA$128=FT_Y5,EDATE($D51,Milestones!$AA$128)&lt;PolicyEff),1,Milestones!$AC$128)&amp;";  ","")&amp;IF(AND(EDATE($D51,Milestones!$AA$129)&lt;=AsOfDate,EDATE($D51,Milestones!$AA$129)&gt;=SchemeStart,IF($X51=0,$AD51,IF(AND($Z51&lt;&gt;"",EDATE($D51,Milestones!$AA$129)&gt;=$Z51),$AC51,IF(AND($Y51&lt;&gt;"",EDATE($D51,Milestones!$AA$129)&gt;=$Y51),$AB51,$AA51)))=Milestones!$AB$129),UPPER(TEXT(EDATE($D51,Milestones!$AA$129),"dd mmm yy"))&amp;" "&amp;Milestones!$AB$129&amp;" "&amp;IF(AND(Milestones!$AB$129="FT",Milestones!$AA$129=FT_Y5,EDATE($D51,Milestones!$AA$129)&lt;PolicyEff),1,Milestones!$AC$129)&amp;";  ","")&amp;IF(AND(EDATE($D51,Milestones!$AA$130)&lt;=AsOfDate,EDATE($D51,Milestones!$AA$130)&gt;=SchemeStart,IF($X51=0,$AD51,IF(AND($Z51&lt;&gt;"",EDATE($D51,Milestones!$AA$130)&gt;=$Z51),$AC51,IF(AND($Y51&lt;&gt;"",EDATE($D51,Milestones!$AA$130)&gt;=$Y51),$AB51,$AA51)))=Milestones!$AB$130),UPPER(TEXT(EDATE($D51,Milestones!$AA$130),"dd mmm yy"))&amp;" "&amp;Milestones!$AB$130&amp;" "&amp;IF(AND(Milestones!$AB$130="FT",Milestones!$AA$130=FT_Y5,EDATE($D51,Milestones!$AA$130)&lt;PolicyEff),1,Milestones!$AC$130)&amp;";  ","")&amp;IF(AND(EDATE($D51,Milestones!$AA$131)&lt;=AsOfDate,EDATE($D51,Milestones!$AA$131)&gt;=SchemeStart,IF($X51=0,$AD51,IF(AND($Z51&lt;&gt;"",EDATE($D51,Milestones!$AA$131)&gt;=$Z51),$AC51,IF(AND($Y51&lt;&gt;"",EDATE($D51,Milestones!$AA$131)&gt;=$Y51),$AB51,$AA51)))=Milestones!$AB$131),UPPER(TEXT(EDATE($D51,Milestones!$AA$131),"dd mmm yy"))&amp;" "&amp;Milestones!$AB$131&amp;" "&amp;IF(AND(Milestones!$AB$131="FT",Milestones!$AA$131=FT_Y5,EDATE($D51,Milestones!$AA$131)&lt;PolicyEff),1,Milestones!$AC$131)&amp;";  ","")&amp;IF(AND(EDATE($D51,Milestones!$AA$132)&lt;=AsOfDate,EDATE($D51,Milestones!$AA$132)&gt;=SchemeStart,IF($X51=0,$AD51,IF(AND($Z51&lt;&gt;"",EDATE($D51,Milestones!$AA$132)&gt;=$Z51),$AC51,IF(AND($Y51&lt;&gt;"",EDATE($D51,Milestones!$AA$132)&gt;=$Y51),$AB51,$AA51)))=Milestones!$AB$132),UPPER(TEXT(EDATE($D51,Milestones!$AA$132),"dd mmm yy"))&amp;" "&amp;Milestones!$AB$132&amp;" "&amp;IF(AND(Milestones!$AB$132="FT",Milestones!$AA$132=FT_Y5,EDATE($D51,Milestones!$AA$132)&lt;PolicyEff),1,Milestones!$AC$132)&amp;";  ","")&amp;IF(AND(EDATE($D51,Milestones!$AA$133)&lt;=AsOfDate,EDATE($D51,Milestones!$AA$133)&gt;=SchemeStart,IF($X51=0,$AD51,IF(AND($Z51&lt;&gt;"",EDATE($D51,Milestones!$AA$133)&gt;=$Z51),$AC51,IF(AND($Y51&lt;&gt;"",EDATE($D51,Milestones!$AA$133)&gt;=$Y51),$AB51,$AA51)))=Milestones!$AB$133),UPPER(TEXT(EDATE($D51,Milestones!$AA$133),"dd mmm yy"))&amp;" "&amp;Milestones!$AB$133&amp;" "&amp;IF(AND(Milestones!$AB$133="FT",Milestones!$AA$133=FT_Y5,EDATE($D51,Milestones!$AA$133)&lt;PolicyEff),1,Milestones!$AC$133)&amp;";  ","")&amp;IF(AND(EDATE($D51,Milestones!$AA$134)&lt;=AsOfDate,EDATE($D51,Milestones!$AA$134)&gt;=SchemeStart,IF($X51=0,$AD51,IF(AND($Z51&lt;&gt;"",EDATE($D51,Milestones!$AA$134)&gt;=$Z51),$AC51,IF(AND($Y51&lt;&gt;"",EDATE($D51,Milestones!$AA$134)&gt;=$Y51),$AB51,$AA51)))=Milestones!$AB$134),UPPER(TEXT(EDATE($D51,Milestones!$AA$134),"dd mmm yy"))&amp;" "&amp;Milestones!$AB$134&amp;" "&amp;IF(AND(Milestones!$AB$134="FT",Milestones!$AA$134=FT_Y5,EDATE($D51,Milestones!$AA$134)&lt;PolicyEff),1,Milestones!$AC$134)&amp;";  ","")&amp;IF(AND(EDATE($D51,Milestones!$AA$135)&lt;=AsOfDate,EDATE($D51,Milestones!$AA$135)&gt;=SchemeStart,IF($X51=0,$AD51,IF(AND($Z51&lt;&gt;"",EDATE($D51,Milestones!$AA$135)&gt;=$Z51),$AC51,IF(AND($Y51&lt;&gt;"",EDATE($D51,Milestones!$AA$135)&gt;=$Y51),$AB51,$AA51)))=Milestones!$AB$135),UPPER(TEXT(EDATE($D51,Milestones!$AA$135),"dd mmm yy"))&amp;" "&amp;Milestones!$AB$135&amp;" "&amp;IF(AND(Milestones!$AB$135="FT",Milestones!$AA$135=FT_Y5,EDATE($D51,Milestones!$AA$135)&lt;PolicyEff),1,Milestones!$AC$135)&amp;";  ","")&amp;IF(AND(EDATE($D51,Milestones!$AA$136)&lt;=AsOfDate,EDATE($D51,Milestones!$AA$136)&gt;=SchemeStart,IF($X51=0,$AD51,IF(AND($Z51&lt;&gt;"",EDATE($D51,Milestones!$AA$136)&gt;=$Z51),$AC51,IF(AND($Y51&lt;&gt;"",EDATE($D51,Milestones!$AA$136)&gt;=$Y51),$AB51,$AA51)))=Milestones!$AB$136),UPPER(TEXT(EDATE($D51,Milestones!$AA$136),"dd mmm yy"))&amp;" "&amp;Milestones!$AB$136&amp;" "&amp;IF(AND(Milestones!$AB$136="FT",Milestones!$AA$136=FT_Y5,EDATE($D51,Milestones!$AA$136)&lt;PolicyEff),1,Milestones!$AC$136)&amp;";  ","")&amp;IF(AND(EDATE($D51,Milestones!$AA$137)&lt;=AsOfDate,EDATE($D51,Milestones!$AA$137)&gt;=SchemeStart,IF($X51=0,$AD51,IF(AND($Z51&lt;&gt;"",EDATE($D51,Milestones!$AA$137)&gt;=$Z51),$AC51,IF(AND($Y51&lt;&gt;"",EDATE($D51,Milestones!$AA$137)&gt;=$Y51),$AB51,$AA51)))=Milestones!$AB$137),UPPER(TEXT(EDATE($D51,Milestones!$AA$137),"dd mmm yy"))&amp;" "&amp;Milestones!$AB$137&amp;" "&amp;IF(AND(Milestones!$AB$137="FT",Milestones!$AA$137=FT_Y5,EDATE($D51,Milestones!$AA$137)&lt;PolicyEff),1,Milestones!$AC$137)&amp;";  ","")&amp;IF(AND(EDATE($D51,Milestones!$AA$138)&lt;=AsOfDate,EDATE($D51,Milestones!$AA$138)&gt;=SchemeStart,IF($X51=0,$AD51,IF(AND($Z51&lt;&gt;"",EDATE($D51,Milestones!$AA$138)&gt;=$Z51),$AC51,IF(AND($Y51&lt;&gt;"",EDATE($D51,Milestones!$AA$138)&gt;=$Y51),$AB51,$AA51)))=Milestones!$AB$138),UPPER(TEXT(EDATE($D51,Milestones!$AA$138),"dd mmm yy"))&amp;" "&amp;Milestones!$AB$138&amp;" "&amp;IF(AND(Milestones!$AB$138="FT",Milestones!$AA$138=FT_Y5,EDATE($D51,Milestones!$AA$138)&lt;PolicyEff),1,Milestones!$AC$138)&amp;";  ","")&amp;IF(AND(EDATE($D51,Milestones!$AA$139)&lt;=AsOfDate,EDATE($D51,Milestones!$AA$139)&gt;=SchemeStart,IF($X51=0,$AD51,IF(AND($Z51&lt;&gt;"",EDATE($D51,Milestones!$AA$139)&gt;=$Z51),$AC51,IF(AND($Y51&lt;&gt;"",EDATE($D51,Milestones!$AA$139)&gt;=$Y51),$AB51,$AA51)))=Milestones!$AB$139),UPPER(TEXT(EDATE($D51,Milestones!$AA$139),"dd mmm yy"))&amp;" "&amp;Milestones!$AB$139&amp;" "&amp;IF(AND(Milestones!$AB$139="FT",Milestones!$AA$139=FT_Y5,EDATE($D51,Milestones!$AA$139)&lt;PolicyEff),1,Milestones!$AC$139)&amp;";  ",""))</f>
        <v/>
      </c>
      <c r="S51" s="0" t="str">
        <f aca="false">IF(OR($A51="",$D51=""),"",IF(AND(EDATE($D51,Milestones!$AA$140)&lt;=AsOfDate,EDATE($D51,Milestones!$AA$140)&gt;=SchemeStart,IF($X51=0,$AD51,IF(AND($Z51&lt;&gt;"",EDATE($D51,Milestones!$AA$140)&gt;=$Z51),$AC51,IF(AND($Y51&lt;&gt;"",EDATE($D51,Milestones!$AA$140)&gt;=$Y51),$AB51,$AA51)))=Milestones!$AB$140),UPPER(TEXT(EDATE($D51,Milestones!$AA$140),"dd mmm yy"))&amp;" "&amp;Milestones!$AB$140&amp;" "&amp;IF(AND(Milestones!$AB$140="FT",Milestones!$AA$140=FT_Y5,EDATE($D51,Milestones!$AA$140)&lt;PolicyEff),1,Milestones!$AC$140)&amp;";  ","")&amp;IF(AND(EDATE($D51,Milestones!$AA$141)&lt;=AsOfDate,EDATE($D51,Milestones!$AA$141)&gt;=SchemeStart,IF($X51=0,$AD51,IF(AND($Z51&lt;&gt;"",EDATE($D51,Milestones!$AA$141)&gt;=$Z51),$AC51,IF(AND($Y51&lt;&gt;"",EDATE($D51,Milestones!$AA$141)&gt;=$Y51),$AB51,$AA51)))=Milestones!$AB$141),UPPER(TEXT(EDATE($D51,Milestones!$AA$141),"dd mmm yy"))&amp;" "&amp;Milestones!$AB$141&amp;" "&amp;IF(AND(Milestones!$AB$141="FT",Milestones!$AA$141=FT_Y5,EDATE($D51,Milestones!$AA$141)&lt;PolicyEff),1,Milestones!$AC$141)&amp;";  ","")&amp;IF(AND(EDATE($D51,Milestones!$AA$142)&lt;=AsOfDate,EDATE($D51,Milestones!$AA$142)&gt;=SchemeStart,IF($X51=0,$AD51,IF(AND($Z51&lt;&gt;"",EDATE($D51,Milestones!$AA$142)&gt;=$Z51),$AC51,IF(AND($Y51&lt;&gt;"",EDATE($D51,Milestones!$AA$142)&gt;=$Y51),$AB51,$AA51)))=Milestones!$AB$142),UPPER(TEXT(EDATE($D51,Milestones!$AA$142),"dd mmm yy"))&amp;" "&amp;Milestones!$AB$142&amp;" "&amp;IF(AND(Milestones!$AB$142="FT",Milestones!$AA$142=FT_Y5,EDATE($D51,Milestones!$AA$142)&lt;PolicyEff),1,Milestones!$AC$142)&amp;";  ","")&amp;IF(AND(EDATE($D51,Milestones!$AA$143)&lt;=AsOfDate,EDATE($D51,Milestones!$AA$143)&gt;=SchemeStart,IF($X51=0,$AD51,IF(AND($Z51&lt;&gt;"",EDATE($D51,Milestones!$AA$143)&gt;=$Z51),$AC51,IF(AND($Y51&lt;&gt;"",EDATE($D51,Milestones!$AA$143)&gt;=$Y51),$AB51,$AA51)))=Milestones!$AB$143),UPPER(TEXT(EDATE($D51,Milestones!$AA$143),"dd mmm yy"))&amp;" "&amp;Milestones!$AB$143&amp;" "&amp;IF(AND(Milestones!$AB$143="FT",Milestones!$AA$143=FT_Y5,EDATE($D51,Milestones!$AA$143)&lt;PolicyEff),1,Milestones!$AC$143)&amp;";  ","")&amp;IF(AND(EDATE($D51,Milestones!$AA$144)&lt;=AsOfDate,EDATE($D51,Milestones!$AA$144)&gt;=SchemeStart,IF($X51=0,$AD51,IF(AND($Z51&lt;&gt;"",EDATE($D51,Milestones!$AA$144)&gt;=$Z51),$AC51,IF(AND($Y51&lt;&gt;"",EDATE($D51,Milestones!$AA$144)&gt;=$Y51),$AB51,$AA51)))=Milestones!$AB$144),UPPER(TEXT(EDATE($D51,Milestones!$AA$144),"dd mmm yy"))&amp;" "&amp;Milestones!$AB$144&amp;" "&amp;IF(AND(Milestones!$AB$144="FT",Milestones!$AA$144=FT_Y5,EDATE($D51,Milestones!$AA$144)&lt;PolicyEff),1,Milestones!$AC$144)&amp;";  ","")&amp;IF(AND(EDATE($D51,Milestones!$AA$145)&lt;=AsOfDate,EDATE($D51,Milestones!$AA$145)&gt;=SchemeStart,IF($X51=0,$AD51,IF(AND($Z51&lt;&gt;"",EDATE($D51,Milestones!$AA$145)&gt;=$Z51),$AC51,IF(AND($Y51&lt;&gt;"",EDATE($D51,Milestones!$AA$145)&gt;=$Y51),$AB51,$AA51)))=Milestones!$AB$145),UPPER(TEXT(EDATE($D51,Milestones!$AA$145),"dd mmm yy"))&amp;" "&amp;Milestones!$AB$145&amp;" "&amp;IF(AND(Milestones!$AB$145="FT",Milestones!$AA$145=FT_Y5,EDATE($D51,Milestones!$AA$145)&lt;PolicyEff),1,Milestones!$AC$145)&amp;";  ","")&amp;IF(AND(EDATE($D51,Milestones!$AA$146)&lt;=AsOfDate,EDATE($D51,Milestones!$AA$146)&gt;=SchemeStart,IF($X51=0,$AD51,IF(AND($Z51&lt;&gt;"",EDATE($D51,Milestones!$AA$146)&gt;=$Z51),$AC51,IF(AND($Y51&lt;&gt;"",EDATE($D51,Milestones!$AA$146)&gt;=$Y51),$AB51,$AA51)))=Milestones!$AB$146),UPPER(TEXT(EDATE($D51,Milestones!$AA$146),"dd mmm yy"))&amp;" "&amp;Milestones!$AB$146&amp;" "&amp;IF(AND(Milestones!$AB$146="FT",Milestones!$AA$146=FT_Y5,EDATE($D51,Milestones!$AA$146)&lt;PolicyEff),1,Milestones!$AC$146)&amp;";  ","")&amp;IF(AND(EDATE($D51,Milestones!$AA$147)&lt;=AsOfDate,EDATE($D51,Milestones!$AA$147)&gt;=SchemeStart,IF($X51=0,$AD51,IF(AND($Z51&lt;&gt;"",EDATE($D51,Milestones!$AA$147)&gt;=$Z51),$AC51,IF(AND($Y51&lt;&gt;"",EDATE($D51,Milestones!$AA$147)&gt;=$Y51),$AB51,$AA51)))=Milestones!$AB$147),UPPER(TEXT(EDATE($D51,Milestones!$AA$147),"dd mmm yy"))&amp;" "&amp;Milestones!$AB$147&amp;" "&amp;IF(AND(Milestones!$AB$147="FT",Milestones!$AA$147=FT_Y5,EDATE($D51,Milestones!$AA$147)&lt;PolicyEff),1,Milestones!$AC$147)&amp;";  ","")&amp;IF(AND(EDATE($D51,Milestones!$AA$148)&lt;=AsOfDate,EDATE($D51,Milestones!$AA$148)&gt;=SchemeStart,IF($X51=0,$AD51,IF(AND($Z51&lt;&gt;"",EDATE($D51,Milestones!$AA$148)&gt;=$Z51),$AC51,IF(AND($Y51&lt;&gt;"",EDATE($D51,Milestones!$AA$148)&gt;=$Y51),$AB51,$AA51)))=Milestones!$AB$148),UPPER(TEXT(EDATE($D51,Milestones!$AA$148),"dd mmm yy"))&amp;" "&amp;Milestones!$AB$148&amp;" "&amp;IF(AND(Milestones!$AB$148="FT",Milestones!$AA$148=FT_Y5,EDATE($D51,Milestones!$AA$148)&lt;PolicyEff),1,Milestones!$AC$148)&amp;";  ","")&amp;IF(AND(EDATE($D51,Milestones!$AA$149)&lt;=AsOfDate,EDATE($D51,Milestones!$AA$149)&gt;=SchemeStart,IF($X51=0,$AD51,IF(AND($Z51&lt;&gt;"",EDATE($D51,Milestones!$AA$149)&gt;=$Z51),$AC51,IF(AND($Y51&lt;&gt;"",EDATE($D51,Milestones!$AA$149)&gt;=$Y51),$AB51,$AA51)))=Milestones!$AB$149),UPPER(TEXT(EDATE($D51,Milestones!$AA$149),"dd mmm yy"))&amp;" "&amp;Milestones!$AB$149&amp;" "&amp;IF(AND(Milestones!$AB$149="FT",Milestones!$AA$149=FT_Y5,EDATE($D51,Milestones!$AA$149)&lt;PolicyEff),1,Milestones!$AC$149)&amp;";  ","")&amp;IF(AND(EDATE($D51,Milestones!$AA$150)&lt;=AsOfDate,EDATE($D51,Milestones!$AA$150)&gt;=SchemeStart,IF($X51=0,$AD51,IF(AND($Z51&lt;&gt;"",EDATE($D51,Milestones!$AA$150)&gt;=$Z51),$AC51,IF(AND($Y51&lt;&gt;"",EDATE($D51,Milestones!$AA$150)&gt;=$Y51),$AB51,$AA51)))=Milestones!$AB$150),UPPER(TEXT(EDATE($D51,Milestones!$AA$150),"dd mmm yy"))&amp;" "&amp;Milestones!$AB$150&amp;" "&amp;IF(AND(Milestones!$AB$150="FT",Milestones!$AA$150=FT_Y5,EDATE($D51,Milestones!$AA$150)&lt;PolicyEff),1,Milestones!$AC$150)&amp;";  ","")&amp;IF(AND(EDATE($D51,Milestones!$AA$151)&lt;=AsOfDate,EDATE($D51,Milestones!$AA$151)&gt;=SchemeStart,IF($X51=0,$AD51,IF(AND($Z51&lt;&gt;"",EDATE($D51,Milestones!$AA$151)&gt;=$Z51),$AC51,IF(AND($Y51&lt;&gt;"",EDATE($D51,Milestones!$AA$151)&gt;=$Y51),$AB51,$AA51)))=Milestones!$AB$151),UPPER(TEXT(EDATE($D51,Milestones!$AA$151),"dd mmm yy"))&amp;" "&amp;Milestones!$AB$151&amp;" "&amp;IF(AND(Milestones!$AB$151="FT",Milestones!$AA$151=FT_Y5,EDATE($D51,Milestones!$AA$151)&lt;PolicyEff),1,Milestones!$AC$151)&amp;";  ",""))</f>
        <v/>
      </c>
      <c r="T51" s="0" t="str">
        <f aca="false">IF(OR($A51="",$D51=""),"",IF(AND(EDATE($D51,Milestones!$AA$152)&lt;=AsOfDate,EDATE($D51,Milestones!$AA$152)&gt;=SchemeStart,IF($X51=0,$AD51,IF(AND($Z51&lt;&gt;"",EDATE($D51,Milestones!$AA$152)&gt;=$Z51),$AC51,IF(AND($Y51&lt;&gt;"",EDATE($D51,Milestones!$AA$152)&gt;=$Y51),$AB51,$AA51)))=Milestones!$AB$152),UPPER(TEXT(EDATE($D51,Milestones!$AA$152),"dd mmm yy"))&amp;" "&amp;Milestones!$AB$152&amp;" "&amp;IF(AND(Milestones!$AB$152="FT",Milestones!$AA$152=FT_Y5,EDATE($D51,Milestones!$AA$152)&lt;PolicyEff),1,Milestones!$AC$152)&amp;";  ","")&amp;IF(AND(EDATE($D51,Milestones!$AA$153)&lt;=AsOfDate,EDATE($D51,Milestones!$AA$153)&gt;=SchemeStart,IF($X51=0,$AD51,IF(AND($Z51&lt;&gt;"",EDATE($D51,Milestones!$AA$153)&gt;=$Z51),$AC51,IF(AND($Y51&lt;&gt;"",EDATE($D51,Milestones!$AA$153)&gt;=$Y51),$AB51,$AA51)))=Milestones!$AB$153),UPPER(TEXT(EDATE($D51,Milestones!$AA$153),"dd mmm yy"))&amp;" "&amp;Milestones!$AB$153&amp;" "&amp;IF(AND(Milestones!$AB$153="FT",Milestones!$AA$153=FT_Y5,EDATE($D51,Milestones!$AA$153)&lt;PolicyEff),1,Milestones!$AC$153)&amp;";  ","")&amp;IF(AND(EDATE($D51,Milestones!$AA$154)&lt;=AsOfDate,EDATE($D51,Milestones!$AA$154)&gt;=SchemeStart,IF($X51=0,$AD51,IF(AND($Z51&lt;&gt;"",EDATE($D51,Milestones!$AA$154)&gt;=$Z51),$AC51,IF(AND($Y51&lt;&gt;"",EDATE($D51,Milestones!$AA$154)&gt;=$Y51),$AB51,$AA51)))=Milestones!$AB$154),UPPER(TEXT(EDATE($D51,Milestones!$AA$154),"dd mmm yy"))&amp;" "&amp;Milestones!$AB$154&amp;" "&amp;IF(AND(Milestones!$AB$154="FT",Milestones!$AA$154=FT_Y5,EDATE($D51,Milestones!$AA$154)&lt;PolicyEff),1,Milestones!$AC$154)&amp;";  ","")&amp;IF(AND(EDATE($D51,Milestones!$AA$155)&lt;=AsOfDate,EDATE($D51,Milestones!$AA$155)&gt;=SchemeStart,IF($X51=0,$AD51,IF(AND($Z51&lt;&gt;"",EDATE($D51,Milestones!$AA$155)&gt;=$Z51),$AC51,IF(AND($Y51&lt;&gt;"",EDATE($D51,Milestones!$AA$155)&gt;=$Y51),$AB51,$AA51)))=Milestones!$AB$155),UPPER(TEXT(EDATE($D51,Milestones!$AA$155),"dd mmm yy"))&amp;" "&amp;Milestones!$AB$155&amp;" "&amp;IF(AND(Milestones!$AB$155="FT",Milestones!$AA$155=FT_Y5,EDATE($D51,Milestones!$AA$155)&lt;PolicyEff),1,Milestones!$AC$155)&amp;";  ","")&amp;IF(AND(EDATE($D51,Milestones!$AA$156)&lt;=AsOfDate,EDATE($D51,Milestones!$AA$156)&gt;=SchemeStart,IF($X51=0,$AD51,IF(AND($Z51&lt;&gt;"",EDATE($D51,Milestones!$AA$156)&gt;=$Z51),$AC51,IF(AND($Y51&lt;&gt;"",EDATE($D51,Milestones!$AA$156)&gt;=$Y51),$AB51,$AA51)))=Milestones!$AB$156),UPPER(TEXT(EDATE($D51,Milestones!$AA$156),"dd mmm yy"))&amp;" "&amp;Milestones!$AB$156&amp;" "&amp;IF(AND(Milestones!$AB$156="FT",Milestones!$AA$156=FT_Y5,EDATE($D51,Milestones!$AA$156)&lt;PolicyEff),1,Milestones!$AC$156)&amp;";  ","")&amp;IF(AND(EDATE($D51,Milestones!$AA$157)&lt;=AsOfDate,EDATE($D51,Milestones!$AA$157)&gt;=SchemeStart,IF($X51=0,$AD51,IF(AND($Z51&lt;&gt;"",EDATE($D51,Milestones!$AA$157)&gt;=$Z51),$AC51,IF(AND($Y51&lt;&gt;"",EDATE($D51,Milestones!$AA$157)&gt;=$Y51),$AB51,$AA51)))=Milestones!$AB$157),UPPER(TEXT(EDATE($D51,Milestones!$AA$157),"dd mmm yy"))&amp;" "&amp;Milestones!$AB$157&amp;" "&amp;IF(AND(Milestones!$AB$157="FT",Milestones!$AA$157=FT_Y5,EDATE($D51,Milestones!$AA$157)&lt;PolicyEff),1,Milestones!$AC$157)&amp;";  ","")&amp;IF(AND(EDATE($D51,Milestones!$AA$158)&lt;=AsOfDate,EDATE($D51,Milestones!$AA$158)&gt;=SchemeStart,IF($X51=0,$AD51,IF(AND($Z51&lt;&gt;"",EDATE($D51,Milestones!$AA$158)&gt;=$Z51),$AC51,IF(AND($Y51&lt;&gt;"",EDATE($D51,Milestones!$AA$158)&gt;=$Y51),$AB51,$AA51)))=Milestones!$AB$158),UPPER(TEXT(EDATE($D51,Milestones!$AA$158),"dd mmm yy"))&amp;" "&amp;Milestones!$AB$158&amp;" "&amp;IF(AND(Milestones!$AB$158="FT",Milestones!$AA$158=FT_Y5,EDATE($D51,Milestones!$AA$158)&lt;PolicyEff),1,Milestones!$AC$158)&amp;";  ","")&amp;IF(AND(EDATE($D51,Milestones!$AA$159)&lt;=AsOfDate,EDATE($D51,Milestones!$AA$159)&gt;=SchemeStart,IF($X51=0,$AD51,IF(AND($Z51&lt;&gt;"",EDATE($D51,Milestones!$AA$159)&gt;=$Z51),$AC51,IF(AND($Y51&lt;&gt;"",EDATE($D51,Milestones!$AA$159)&gt;=$Y51),$AB51,$AA51)))=Milestones!$AB$159),UPPER(TEXT(EDATE($D51,Milestones!$AA$159),"dd mmm yy"))&amp;" "&amp;Milestones!$AB$159&amp;" "&amp;IF(AND(Milestones!$AB$159="FT",Milestones!$AA$159=FT_Y5,EDATE($D51,Milestones!$AA$159)&lt;PolicyEff),1,Milestones!$AC$159)&amp;";  ","")&amp;IF(AND(EDATE($D51,Milestones!$AA$160)&lt;=AsOfDate,EDATE($D51,Milestones!$AA$160)&gt;=SchemeStart,IF($X51=0,$AD51,IF(AND($Z51&lt;&gt;"",EDATE($D51,Milestones!$AA$160)&gt;=$Z51),$AC51,IF(AND($Y51&lt;&gt;"",EDATE($D51,Milestones!$AA$160)&gt;=$Y51),$AB51,$AA51)))=Milestones!$AB$160),UPPER(TEXT(EDATE($D51,Milestones!$AA$160),"dd mmm yy"))&amp;" "&amp;Milestones!$AB$160&amp;" "&amp;IF(AND(Milestones!$AB$160="FT",Milestones!$AA$160=FT_Y5,EDATE($D51,Milestones!$AA$160)&lt;PolicyEff),1,Milestones!$AC$160)&amp;";  ","")&amp;IF(AND(EDATE($D51,Milestones!$AA$161)&lt;=AsOfDate,EDATE($D51,Milestones!$AA$161)&gt;=SchemeStart,IF($X51=0,$AD51,IF(AND($Z51&lt;&gt;"",EDATE($D51,Milestones!$AA$161)&gt;=$Z51),$AC51,IF(AND($Y51&lt;&gt;"",EDATE($D51,Milestones!$AA$161)&gt;=$Y51),$AB51,$AA51)))=Milestones!$AB$161),UPPER(TEXT(EDATE($D51,Milestones!$AA$161),"dd mmm yy"))&amp;" "&amp;Milestones!$AB$161&amp;" "&amp;IF(AND(Milestones!$AB$161="FT",Milestones!$AA$161=FT_Y5,EDATE($D51,Milestones!$AA$161)&lt;PolicyEff),1,Milestones!$AC$161)&amp;";  ","")&amp;IF(AND(EDATE($D51,Milestones!$AA$162)&lt;=AsOfDate,EDATE($D51,Milestones!$AA$162)&gt;=SchemeStart,IF($X51=0,$AD51,IF(AND($Z51&lt;&gt;"",EDATE($D51,Milestones!$AA$162)&gt;=$Z51),$AC51,IF(AND($Y51&lt;&gt;"",EDATE($D51,Milestones!$AA$162)&gt;=$Y51),$AB51,$AA51)))=Milestones!$AB$162),UPPER(TEXT(EDATE($D51,Milestones!$AA$162),"dd mmm yy"))&amp;" "&amp;Milestones!$AB$162&amp;" "&amp;IF(AND(Milestones!$AB$162="FT",Milestones!$AA$162=FT_Y5,EDATE($D51,Milestones!$AA$162)&lt;PolicyEff),1,Milestones!$AC$162)&amp;";  ","")&amp;IF(AND(EDATE($D51,Milestones!$AA$163)&lt;=AsOfDate,EDATE($D51,Milestones!$AA$163)&gt;=SchemeStart,IF($X51=0,$AD51,IF(AND($Z51&lt;&gt;"",EDATE($D51,Milestones!$AA$163)&gt;=$Z51),$AC51,IF(AND($Y51&lt;&gt;"",EDATE($D51,Milestones!$AA$163)&gt;=$Y51),$AB51,$AA51)))=Milestones!$AB$163),UPPER(TEXT(EDATE($D51,Milestones!$AA$163),"dd mmm yy"))&amp;" "&amp;Milestones!$AB$163&amp;" "&amp;IF(AND(Milestones!$AB$163="FT",Milestones!$AA$163=FT_Y5,EDATE($D51,Milestones!$AA$163)&lt;PolicyEff),1,Milestones!$AC$163)&amp;";  ",""))</f>
        <v/>
      </c>
      <c r="U51" s="0" t="str">
        <f aca="false">IF(OR($A51="",$D51=""),"",IF(AND(EDATE($D51,Milestones!$AA$164)&lt;=AsOfDate,EDATE($D51,Milestones!$AA$164)&gt;=SchemeStart,IF($X51=0,$AD51,IF(AND($Z51&lt;&gt;"",EDATE($D51,Milestones!$AA$164)&gt;=$Z51),$AC51,IF(AND($Y51&lt;&gt;"",EDATE($D51,Milestones!$AA$164)&gt;=$Y51),$AB51,$AA51)))=Milestones!$AB$164),UPPER(TEXT(EDATE($D51,Milestones!$AA$164),"dd mmm yy"))&amp;" "&amp;Milestones!$AB$164&amp;" "&amp;IF(AND(Milestones!$AB$164="FT",Milestones!$AA$164=FT_Y5,EDATE($D51,Milestones!$AA$164)&lt;PolicyEff),1,Milestones!$AC$164)&amp;";  ","")&amp;IF(AND(EDATE($D51,Milestones!$AA$165)&lt;=AsOfDate,EDATE($D51,Milestones!$AA$165)&gt;=SchemeStart,IF($X51=0,$AD51,IF(AND($Z51&lt;&gt;"",EDATE($D51,Milestones!$AA$165)&gt;=$Z51),$AC51,IF(AND($Y51&lt;&gt;"",EDATE($D51,Milestones!$AA$165)&gt;=$Y51),$AB51,$AA51)))=Milestones!$AB$165),UPPER(TEXT(EDATE($D51,Milestones!$AA$165),"dd mmm yy"))&amp;" "&amp;Milestones!$AB$165&amp;" "&amp;IF(AND(Milestones!$AB$165="FT",Milestones!$AA$165=FT_Y5,EDATE($D51,Milestones!$AA$165)&lt;PolicyEff),1,Milestones!$AC$165)&amp;";  ","")&amp;IF(AND(EDATE($D51,Milestones!$AA$166)&lt;=AsOfDate,EDATE($D51,Milestones!$AA$166)&gt;=SchemeStart,IF($X51=0,$AD51,IF(AND($Z51&lt;&gt;"",EDATE($D51,Milestones!$AA$166)&gt;=$Z51),$AC51,IF(AND($Y51&lt;&gt;"",EDATE($D51,Milestones!$AA$166)&gt;=$Y51),$AB51,$AA51)))=Milestones!$AB$166),UPPER(TEXT(EDATE($D51,Milestones!$AA$166),"dd mmm yy"))&amp;" "&amp;Milestones!$AB$166&amp;" "&amp;IF(AND(Milestones!$AB$166="FT",Milestones!$AA$166=FT_Y5,EDATE($D51,Milestones!$AA$166)&lt;PolicyEff),1,Milestones!$AC$166)&amp;";  ","")&amp;IF(AND(EDATE($D51,Milestones!$AA$167)&lt;=AsOfDate,EDATE($D51,Milestones!$AA$167)&gt;=SchemeStart,IF($X51=0,$AD51,IF(AND($Z51&lt;&gt;"",EDATE($D51,Milestones!$AA$167)&gt;=$Z51),$AC51,IF(AND($Y51&lt;&gt;"",EDATE($D51,Milestones!$AA$167)&gt;=$Y51),$AB51,$AA51)))=Milestones!$AB$167),UPPER(TEXT(EDATE($D51,Milestones!$AA$167),"dd mmm yy"))&amp;" "&amp;Milestones!$AB$167&amp;" "&amp;IF(AND(Milestones!$AB$167="FT",Milestones!$AA$167=FT_Y5,EDATE($D51,Milestones!$AA$167)&lt;PolicyEff),1,Milestones!$AC$167)&amp;";  ","")&amp;IF(AND(EDATE($D51,Milestones!$AA$168)&lt;=AsOfDate,EDATE($D51,Milestones!$AA$168)&gt;=SchemeStart,IF($X51=0,$AD51,IF(AND($Z51&lt;&gt;"",EDATE($D51,Milestones!$AA$168)&gt;=$Z51),$AC51,IF(AND($Y51&lt;&gt;"",EDATE($D51,Milestones!$AA$168)&gt;=$Y51),$AB51,$AA51)))=Milestones!$AB$168),UPPER(TEXT(EDATE($D51,Milestones!$AA$168),"dd mmm yy"))&amp;" "&amp;Milestones!$AB$168&amp;" "&amp;IF(AND(Milestones!$AB$168="FT",Milestones!$AA$168=FT_Y5,EDATE($D51,Milestones!$AA$168)&lt;PolicyEff),1,Milestones!$AC$168)&amp;";  ","")&amp;IF(AND(EDATE($D51,Milestones!$AA$169)&lt;=AsOfDate,EDATE($D51,Milestones!$AA$169)&gt;=SchemeStart,IF($X51=0,$AD51,IF(AND($Z51&lt;&gt;"",EDATE($D51,Milestones!$AA$169)&gt;=$Z51),$AC51,IF(AND($Y51&lt;&gt;"",EDATE($D51,Milestones!$AA$169)&gt;=$Y51),$AB51,$AA51)))=Milestones!$AB$169),UPPER(TEXT(EDATE($D51,Milestones!$AA$169),"dd mmm yy"))&amp;" "&amp;Milestones!$AB$169&amp;" "&amp;IF(AND(Milestones!$AB$169="FT",Milestones!$AA$169=FT_Y5,EDATE($D51,Milestones!$AA$169)&lt;PolicyEff),1,Milestones!$AC$169)&amp;";  ","")&amp;IF(AND(EDATE($D51,Milestones!$AA$170)&lt;=AsOfDate,EDATE($D51,Milestones!$AA$170)&gt;=SchemeStart,IF($X51=0,$AD51,IF(AND($Z51&lt;&gt;"",EDATE($D51,Milestones!$AA$170)&gt;=$Z51),$AC51,IF(AND($Y51&lt;&gt;"",EDATE($D51,Milestones!$AA$170)&gt;=$Y51),$AB51,$AA51)))=Milestones!$AB$170),UPPER(TEXT(EDATE($D51,Milestones!$AA$170),"dd mmm yy"))&amp;" "&amp;Milestones!$AB$170&amp;" "&amp;IF(AND(Milestones!$AB$170="FT",Milestones!$AA$170=FT_Y5,EDATE($D51,Milestones!$AA$170)&lt;PolicyEff),1,Milestones!$AC$170)&amp;";  ","")&amp;IF(AND(EDATE($D51,Milestones!$AA$171)&lt;=AsOfDate,EDATE($D51,Milestones!$AA$171)&gt;=SchemeStart,IF($X51=0,$AD51,IF(AND($Z51&lt;&gt;"",EDATE($D51,Milestones!$AA$171)&gt;=$Z51),$AC51,IF(AND($Y51&lt;&gt;"",EDATE($D51,Milestones!$AA$171)&gt;=$Y51),$AB51,$AA51)))=Milestones!$AB$171),UPPER(TEXT(EDATE($D51,Milestones!$AA$171),"dd mmm yy"))&amp;" "&amp;Milestones!$AB$171&amp;" "&amp;IF(AND(Milestones!$AB$171="FT",Milestones!$AA$171=FT_Y5,EDATE($D51,Milestones!$AA$171)&lt;PolicyEff),1,Milestones!$AC$171)&amp;";  ","")&amp;IF(AND(EDATE($D51,Milestones!$AA$172)&lt;=AsOfDate,EDATE($D51,Milestones!$AA$172)&gt;=SchemeStart,IF($X51=0,$AD51,IF(AND($Z51&lt;&gt;"",EDATE($D51,Milestones!$AA$172)&gt;=$Z51),$AC51,IF(AND($Y51&lt;&gt;"",EDATE($D51,Milestones!$AA$172)&gt;=$Y51),$AB51,$AA51)))=Milestones!$AB$172),UPPER(TEXT(EDATE($D51,Milestones!$AA$172),"dd mmm yy"))&amp;" "&amp;Milestones!$AB$172&amp;" "&amp;IF(AND(Milestones!$AB$172="FT",Milestones!$AA$172=FT_Y5,EDATE($D51,Milestones!$AA$172)&lt;PolicyEff),1,Milestones!$AC$172)&amp;";  ","")&amp;IF(AND(EDATE($D51,Milestones!$AA$173)&lt;=AsOfDate,EDATE($D51,Milestones!$AA$173)&gt;=SchemeStart,IF($X51=0,$AD51,IF(AND($Z51&lt;&gt;"",EDATE($D51,Milestones!$AA$173)&gt;=$Z51),$AC51,IF(AND($Y51&lt;&gt;"",EDATE($D51,Milestones!$AA$173)&gt;=$Y51),$AB51,$AA51)))=Milestones!$AB$173),UPPER(TEXT(EDATE($D51,Milestones!$AA$173),"dd mmm yy"))&amp;" "&amp;Milestones!$AB$173&amp;" "&amp;IF(AND(Milestones!$AB$173="FT",Milestones!$AA$173=FT_Y5,EDATE($D51,Milestones!$AA$173)&lt;PolicyEff),1,Milestones!$AC$173)&amp;";  ","")&amp;IF(AND(EDATE($D51,Milestones!$AA$174)&lt;=AsOfDate,EDATE($D51,Milestones!$AA$174)&gt;=SchemeStart,IF($X51=0,$AD51,IF(AND($Z51&lt;&gt;"",EDATE($D51,Milestones!$AA$174)&gt;=$Z51),$AC51,IF(AND($Y51&lt;&gt;"",EDATE($D51,Milestones!$AA$174)&gt;=$Y51),$AB51,$AA51)))=Milestones!$AB$174),UPPER(TEXT(EDATE($D51,Milestones!$AA$174),"dd mmm yy"))&amp;" "&amp;Milestones!$AB$174&amp;" "&amp;IF(AND(Milestones!$AB$174="FT",Milestones!$AA$174=FT_Y5,EDATE($D51,Milestones!$AA$174)&lt;PolicyEff),1,Milestones!$AC$174)&amp;";  ","")&amp;IF(AND(EDATE($D51,Milestones!$AA$175)&lt;=AsOfDate,EDATE($D51,Milestones!$AA$175)&gt;=SchemeStart,IF($X51=0,$AD51,IF(AND($Z51&lt;&gt;"",EDATE($D51,Milestones!$AA$175)&gt;=$Z51),$AC51,IF(AND($Y51&lt;&gt;"",EDATE($D51,Milestones!$AA$175)&gt;=$Y51),$AB51,$AA51)))=Milestones!$AB$175),UPPER(TEXT(EDATE($D51,Milestones!$AA$175),"dd mmm yy"))&amp;" "&amp;Milestones!$AB$175&amp;" "&amp;IF(AND(Milestones!$AB$175="FT",Milestones!$AA$175=FT_Y5,EDATE($D51,Milestones!$AA$175)&lt;PolicyEff),1,Milestones!$AC$175)&amp;";  ",""))</f>
        <v/>
      </c>
      <c r="V51" s="0" t="str">
        <f aca="false">IF(OR($A51="",$D51=""),"",IF(AND(EDATE($D51,Milestones!$AA$176)&lt;=AsOfDate,EDATE($D51,Milestones!$AA$176)&gt;=SchemeStart,IF($X51=0,$AD51,IF(AND($Z51&lt;&gt;"",EDATE($D51,Milestones!$AA$176)&gt;=$Z51),$AC51,IF(AND($Y51&lt;&gt;"",EDATE($D51,Milestones!$AA$176)&gt;=$Y51),$AB51,$AA51)))=Milestones!$AB$176),UPPER(TEXT(EDATE($D51,Milestones!$AA$176),"dd mmm yy"))&amp;" "&amp;Milestones!$AB$176&amp;" "&amp;IF(AND(Milestones!$AB$176="FT",Milestones!$AA$176=FT_Y5,EDATE($D51,Milestones!$AA$176)&lt;PolicyEff),1,Milestones!$AC$176)&amp;";  ","")&amp;IF(AND(EDATE($D51,Milestones!$AA$177)&lt;=AsOfDate,EDATE($D51,Milestones!$AA$177)&gt;=SchemeStart,IF($X51=0,$AD51,IF(AND($Z51&lt;&gt;"",EDATE($D51,Milestones!$AA$177)&gt;=$Z51),$AC51,IF(AND($Y51&lt;&gt;"",EDATE($D51,Milestones!$AA$177)&gt;=$Y51),$AB51,$AA51)))=Milestones!$AB$177),UPPER(TEXT(EDATE($D51,Milestones!$AA$177),"dd mmm yy"))&amp;" "&amp;Milestones!$AB$177&amp;" "&amp;IF(AND(Milestones!$AB$177="FT",Milestones!$AA$177=FT_Y5,EDATE($D51,Milestones!$AA$177)&lt;PolicyEff),1,Milestones!$AC$177)&amp;";  ","")&amp;IF(AND(EDATE($D51,Milestones!$AA$178)&lt;=AsOfDate,EDATE($D51,Milestones!$AA$178)&gt;=SchemeStart,IF($X51=0,$AD51,IF(AND($Z51&lt;&gt;"",EDATE($D51,Milestones!$AA$178)&gt;=$Z51),$AC51,IF(AND($Y51&lt;&gt;"",EDATE($D51,Milestones!$AA$178)&gt;=$Y51),$AB51,$AA51)))=Milestones!$AB$178),UPPER(TEXT(EDATE($D51,Milestones!$AA$178),"dd mmm yy"))&amp;" "&amp;Milestones!$AB$178&amp;" "&amp;IF(AND(Milestones!$AB$178="FT",Milestones!$AA$178=FT_Y5,EDATE($D51,Milestones!$AA$178)&lt;PolicyEff),1,Milestones!$AC$178)&amp;";  ","")&amp;IF(AND(EDATE($D51,Milestones!$AA$179)&lt;=AsOfDate,EDATE($D51,Milestones!$AA$179)&gt;=SchemeStart,IF($X51=0,$AD51,IF(AND($Z51&lt;&gt;"",EDATE($D51,Milestones!$AA$179)&gt;=$Z51),$AC51,IF(AND($Y51&lt;&gt;"",EDATE($D51,Milestones!$AA$179)&gt;=$Y51),$AB51,$AA51)))=Milestones!$AB$179),UPPER(TEXT(EDATE($D51,Milestones!$AA$179),"dd mmm yy"))&amp;" "&amp;Milestones!$AB$179&amp;" "&amp;IF(AND(Milestones!$AB$179="FT",Milestones!$AA$179=FT_Y5,EDATE($D51,Milestones!$AA$179)&lt;PolicyEff),1,Milestones!$AC$179)&amp;";  ","")&amp;IF(AND(EDATE($D51,Milestones!$AA$180)&lt;=AsOfDate,EDATE($D51,Milestones!$AA$180)&gt;=SchemeStart,IF($X51=0,$AD51,IF(AND($Z51&lt;&gt;"",EDATE($D51,Milestones!$AA$180)&gt;=$Z51),$AC51,IF(AND($Y51&lt;&gt;"",EDATE($D51,Milestones!$AA$180)&gt;=$Y51),$AB51,$AA51)))=Milestones!$AB$180),UPPER(TEXT(EDATE($D51,Milestones!$AA$180),"dd mmm yy"))&amp;" "&amp;Milestones!$AB$180&amp;" "&amp;IF(AND(Milestones!$AB$180="FT",Milestones!$AA$180=FT_Y5,EDATE($D51,Milestones!$AA$180)&lt;PolicyEff),1,Milestones!$AC$180)&amp;";  ","")&amp;IF(AND(EDATE($D51,Milestones!$AA$181)&lt;=AsOfDate,EDATE($D51,Milestones!$AA$181)&gt;=SchemeStart,IF($X51=0,$AD51,IF(AND($Z51&lt;&gt;"",EDATE($D51,Milestones!$AA$181)&gt;=$Z51),$AC51,IF(AND($Y51&lt;&gt;"",EDATE($D51,Milestones!$AA$181)&gt;=$Y51),$AB51,$AA51)))=Milestones!$AB$181),UPPER(TEXT(EDATE($D51,Milestones!$AA$181),"dd mmm yy"))&amp;" "&amp;Milestones!$AB$181&amp;" "&amp;IF(AND(Milestones!$AB$181="FT",Milestones!$AA$181=FT_Y5,EDATE($D51,Milestones!$AA$181)&lt;PolicyEff),1,Milestones!$AC$181)&amp;";  ","")&amp;IF(AND(EDATE($D51,Milestones!$AA$182)&lt;=AsOfDate,EDATE($D51,Milestones!$AA$182)&gt;=SchemeStart,IF($X51=0,$AD51,IF(AND($Z51&lt;&gt;"",EDATE($D51,Milestones!$AA$182)&gt;=$Z51),$AC51,IF(AND($Y51&lt;&gt;"",EDATE($D51,Milestones!$AA$182)&gt;=$Y51),$AB51,$AA51)))=Milestones!$AB$182),UPPER(TEXT(EDATE($D51,Milestones!$AA$182),"dd mmm yy"))&amp;" "&amp;Milestones!$AB$182&amp;" "&amp;IF(AND(Milestones!$AB$182="FT",Milestones!$AA$182=FT_Y5,EDATE($D51,Milestones!$AA$182)&lt;PolicyEff),1,Milestones!$AC$182)&amp;";  ","")&amp;IF(AND(EDATE($D51,Milestones!$AA$183)&lt;=AsOfDate,EDATE($D51,Milestones!$AA$183)&gt;=SchemeStart,IF($X51=0,$AD51,IF(AND($Z51&lt;&gt;"",EDATE($D51,Milestones!$AA$183)&gt;=$Z51),$AC51,IF(AND($Y51&lt;&gt;"",EDATE($D51,Milestones!$AA$183)&gt;=$Y51),$AB51,$AA51)))=Milestones!$AB$183),UPPER(TEXT(EDATE($D51,Milestones!$AA$183),"dd mmm yy"))&amp;" "&amp;Milestones!$AB$183&amp;" "&amp;IF(AND(Milestones!$AB$183="FT",Milestones!$AA$183=FT_Y5,EDATE($D51,Milestones!$AA$183)&lt;PolicyEff),1,Milestones!$AC$183)&amp;";  ","")&amp;IF(AND(EDATE($D51,Milestones!$AA$184)&lt;=AsOfDate,EDATE($D51,Milestones!$AA$184)&gt;=SchemeStart,IF($X51=0,$AD51,IF(AND($Z51&lt;&gt;"",EDATE($D51,Milestones!$AA$184)&gt;=$Z51),$AC51,IF(AND($Y51&lt;&gt;"",EDATE($D51,Milestones!$AA$184)&gt;=$Y51),$AB51,$AA51)))=Milestones!$AB$184),UPPER(TEXT(EDATE($D51,Milestones!$AA$184),"dd mmm yy"))&amp;" "&amp;Milestones!$AB$184&amp;" "&amp;IF(AND(Milestones!$AB$184="FT",Milestones!$AA$184=FT_Y5,EDATE($D51,Milestones!$AA$184)&lt;PolicyEff),1,Milestones!$AC$184)&amp;";  ","")&amp;IF(AND(EDATE($D51,Milestones!$AA$185)&lt;=AsOfDate,EDATE($D51,Milestones!$AA$185)&gt;=SchemeStart,IF($X51=0,$AD51,IF(AND($Z51&lt;&gt;"",EDATE($D51,Milestones!$AA$185)&gt;=$Z51),$AC51,IF(AND($Y51&lt;&gt;"",EDATE($D51,Milestones!$AA$185)&gt;=$Y51),$AB51,$AA51)))=Milestones!$AB$185),UPPER(TEXT(EDATE($D51,Milestones!$AA$185),"dd mmm yy"))&amp;" "&amp;Milestones!$AB$185&amp;" "&amp;IF(AND(Milestones!$AB$185="FT",Milestones!$AA$185=FT_Y5,EDATE($D51,Milestones!$AA$185)&lt;PolicyEff),1,Milestones!$AC$185)&amp;";  ","")&amp;IF(AND(EDATE($D51,Milestones!$AA$186)&lt;=AsOfDate,EDATE($D51,Milestones!$AA$186)&gt;=SchemeStart,IF($X51=0,$AD51,IF(AND($Z51&lt;&gt;"",EDATE($D51,Milestones!$AA$186)&gt;=$Z51),$AC51,IF(AND($Y51&lt;&gt;"",EDATE($D51,Milestones!$AA$186)&gt;=$Y51),$AB51,$AA51)))=Milestones!$AB$186),UPPER(TEXT(EDATE($D51,Milestones!$AA$186),"dd mmm yy"))&amp;" "&amp;Milestones!$AB$186&amp;" "&amp;IF(AND(Milestones!$AB$186="FT",Milestones!$AA$186=FT_Y5,EDATE($D51,Milestones!$AA$186)&lt;PolicyEff),1,Milestones!$AC$186)&amp;";  ","")&amp;IF(AND(EDATE($D51,Milestones!$AA$187)&lt;=AsOfDate,EDATE($D51,Milestones!$AA$187)&gt;=SchemeStart,IF($X51=0,$AD51,IF(AND($Z51&lt;&gt;"",EDATE($D51,Milestones!$AA$187)&gt;=$Z51),$AC51,IF(AND($Y51&lt;&gt;"",EDATE($D51,Milestones!$AA$187)&gt;=$Y51),$AB51,$AA51)))=Milestones!$AB$187),UPPER(TEXT(EDATE($D51,Milestones!$AA$187),"dd mmm yy"))&amp;" "&amp;Milestones!$AB$187&amp;" "&amp;IF(AND(Milestones!$AB$187="FT",Milestones!$AA$187=FT_Y5,EDATE($D51,Milestones!$AA$187)&lt;PolicyEff),1,Milestones!$AC$187)&amp;";  ",""))</f>
        <v/>
      </c>
      <c r="W51" s="0" t="str">
        <f aca="false">IF(OR($A51="",$D51=""),"",IF(AND(EDATE($D51,Milestones!$AA$188)&lt;=AsOfDate,EDATE($D51,Milestones!$AA$188)&gt;=SchemeStart,IF($X51=0,$AD51,IF(AND($Z51&lt;&gt;"",EDATE($D51,Milestones!$AA$188)&gt;=$Z51),$AC51,IF(AND($Y51&lt;&gt;"",EDATE($D51,Milestones!$AA$188)&gt;=$Y51),$AB51,$AA51)))=Milestones!$AB$188),UPPER(TEXT(EDATE($D51,Milestones!$AA$188),"dd mmm yy"))&amp;" "&amp;Milestones!$AB$188&amp;" "&amp;IF(AND(Milestones!$AB$188="FT",Milestones!$AA$188=FT_Y5,EDATE($D51,Milestones!$AA$188)&lt;PolicyEff),1,Milestones!$AC$188)&amp;";  ","")&amp;IF(AND(EDATE($D51,Milestones!$AA$189)&lt;=AsOfDate,EDATE($D51,Milestones!$AA$189)&gt;=SchemeStart,IF($X51=0,$AD51,IF(AND($Z51&lt;&gt;"",EDATE($D51,Milestones!$AA$189)&gt;=$Z51),$AC51,IF(AND($Y51&lt;&gt;"",EDATE($D51,Milestones!$AA$189)&gt;=$Y51),$AB51,$AA51)))=Milestones!$AB$189),UPPER(TEXT(EDATE($D51,Milestones!$AA$189),"dd mmm yy"))&amp;" "&amp;Milestones!$AB$189&amp;" "&amp;IF(AND(Milestones!$AB$189="FT",Milestones!$AA$189=FT_Y5,EDATE($D51,Milestones!$AA$189)&lt;PolicyEff),1,Milestones!$AC$189)&amp;";  ","")&amp;IF(AND(EDATE($D51,Milestones!$AA$190)&lt;=AsOfDate,EDATE($D51,Milestones!$AA$190)&gt;=SchemeStart,IF($X51=0,$AD51,IF(AND($Z51&lt;&gt;"",EDATE($D51,Milestones!$AA$190)&gt;=$Z51),$AC51,IF(AND($Y51&lt;&gt;"",EDATE($D51,Milestones!$AA$190)&gt;=$Y51),$AB51,$AA51)))=Milestones!$AB$190),UPPER(TEXT(EDATE($D51,Milestones!$AA$190),"dd mmm yy"))&amp;" "&amp;Milestones!$AB$190&amp;" "&amp;IF(AND(Milestones!$AB$190="FT",Milestones!$AA$190=FT_Y5,EDATE($D51,Milestones!$AA$190)&lt;PolicyEff),1,Milestones!$AC$190)&amp;";  ","")&amp;IF(AND(EDATE($D51,Milestones!$AA$191)&lt;=AsOfDate,EDATE($D51,Milestones!$AA$191)&gt;=SchemeStart,IF($X51=0,$AD51,IF(AND($Z51&lt;&gt;"",EDATE($D51,Milestones!$AA$191)&gt;=$Z51),$AC51,IF(AND($Y51&lt;&gt;"",EDATE($D51,Milestones!$AA$191)&gt;=$Y51),$AB51,$AA51)))=Milestones!$AB$191),UPPER(TEXT(EDATE($D51,Milestones!$AA$191),"dd mmm yy"))&amp;" "&amp;Milestones!$AB$191&amp;" "&amp;IF(AND(Milestones!$AB$191="FT",Milestones!$AA$191=FT_Y5,EDATE($D51,Milestones!$AA$191)&lt;PolicyEff),1,Milestones!$AC$191)&amp;";  ","")&amp;IF(AND(EDATE($D51,Milestones!$AA$192)&lt;=AsOfDate,EDATE($D51,Milestones!$AA$192)&gt;=SchemeStart,IF($X51=0,$AD51,IF(AND($Z51&lt;&gt;"",EDATE($D51,Milestones!$AA$192)&gt;=$Z51),$AC51,IF(AND($Y51&lt;&gt;"",EDATE($D51,Milestones!$AA$192)&gt;=$Y51),$AB51,$AA51)))=Milestones!$AB$192),UPPER(TEXT(EDATE($D51,Milestones!$AA$192),"dd mmm yy"))&amp;" "&amp;Milestones!$AB$192&amp;" "&amp;IF(AND(Milestones!$AB$192="FT",Milestones!$AA$192=FT_Y5,EDATE($D51,Milestones!$AA$192)&lt;PolicyEff),1,Milestones!$AC$192)&amp;";  ","")&amp;IF(AND(EDATE($D51,Milestones!$AA$193)&lt;=AsOfDate,EDATE($D51,Milestones!$AA$193)&gt;=SchemeStart,IF($X51=0,$AD51,IF(AND($Z51&lt;&gt;"",EDATE($D51,Milestones!$AA$193)&gt;=$Z51),$AC51,IF(AND($Y51&lt;&gt;"",EDATE($D51,Milestones!$AA$193)&gt;=$Y51),$AB51,$AA51)))=Milestones!$AB$193),UPPER(TEXT(EDATE($D51,Milestones!$AA$193),"dd mmm yy"))&amp;" "&amp;Milestones!$AB$193&amp;" "&amp;IF(AND(Milestones!$AB$193="FT",Milestones!$AA$193=FT_Y5,EDATE($D51,Milestones!$AA$193)&lt;PolicyEff),1,Milestones!$AC$193)&amp;";  ","")&amp;IF(AND(EDATE($D51,Milestones!$AA$194)&lt;=AsOfDate,EDATE($D51,Milestones!$AA$194)&gt;=SchemeStart,IF($X51=0,$AD51,IF(AND($Z51&lt;&gt;"",EDATE($D51,Milestones!$AA$194)&gt;=$Z51),$AC51,IF(AND($Y51&lt;&gt;"",EDATE($D51,Milestones!$AA$194)&gt;=$Y51),$AB51,$AA51)))=Milestones!$AB$194),UPPER(TEXT(EDATE($D51,Milestones!$AA$194),"dd mmm yy"))&amp;" "&amp;Milestones!$AB$194&amp;" "&amp;IF(AND(Milestones!$AB$194="FT",Milestones!$AA$194=FT_Y5,EDATE($D51,Milestones!$AA$194)&lt;PolicyEff),1,Milestones!$AC$194)&amp;";  ","")&amp;IF(AND(EDATE($D51,Milestones!$AA$195)&lt;=AsOfDate,EDATE($D51,Milestones!$AA$195)&gt;=SchemeStart,IF($X51=0,$AD51,IF(AND($Z51&lt;&gt;"",EDATE($D51,Milestones!$AA$195)&gt;=$Z51),$AC51,IF(AND($Y51&lt;&gt;"",EDATE($D51,Milestones!$AA$195)&gt;=$Y51),$AB51,$AA51)))=Milestones!$AB$195),UPPER(TEXT(EDATE($D51,Milestones!$AA$195),"dd mmm yy"))&amp;" "&amp;Milestones!$AB$195&amp;" "&amp;IF(AND(Milestones!$AB$195="FT",Milestones!$AA$195=FT_Y5,EDATE($D51,Milestones!$AA$195)&lt;PolicyEff),1,Milestones!$AC$195)&amp;";  ","")&amp;IF(AND(EDATE($D51,Milestones!$AA$196)&lt;=AsOfDate,EDATE($D51,Milestones!$AA$196)&gt;=SchemeStart,IF($X51=0,$AD51,IF(AND($Z51&lt;&gt;"",EDATE($D51,Milestones!$AA$196)&gt;=$Z51),$AC51,IF(AND($Y51&lt;&gt;"",EDATE($D51,Milestones!$AA$196)&gt;=$Y51),$AB51,$AA51)))=Milestones!$AB$196),UPPER(TEXT(EDATE($D51,Milestones!$AA$196),"dd mmm yy"))&amp;" "&amp;Milestones!$AB$196&amp;" "&amp;IF(AND(Milestones!$AB$196="FT",Milestones!$AA$196=FT_Y5,EDATE($D51,Milestones!$AA$196)&lt;PolicyEff),1,Milestones!$AC$196)&amp;";  ","")&amp;IF(AND(EDATE($D51,Milestones!$AA$197)&lt;=AsOfDate,EDATE($D51,Milestones!$AA$197)&gt;=SchemeStart,IF($X51=0,$AD51,IF(AND($Z51&lt;&gt;"",EDATE($D51,Milestones!$AA$197)&gt;=$Z51),$AC51,IF(AND($Y51&lt;&gt;"",EDATE($D51,Milestones!$AA$197)&gt;=$Y51),$AB51,$AA51)))=Milestones!$AB$197),UPPER(TEXT(EDATE($D51,Milestones!$AA$197),"dd mmm yy"))&amp;" "&amp;Milestones!$AB$197&amp;" "&amp;IF(AND(Milestones!$AB$197="FT",Milestones!$AA$197=FT_Y5,EDATE($D51,Milestones!$AA$197)&lt;PolicyEff),1,Milestones!$AC$197)&amp;";  ","")&amp;IF(AND(EDATE($D51,Milestones!$AA$198)&lt;=AsOfDate,EDATE($D51,Milestones!$AA$198)&gt;=SchemeStart,IF($X51=0,$AD51,IF(AND($Z51&lt;&gt;"",EDATE($D51,Milestones!$AA$198)&gt;=$Z51),$AC51,IF(AND($Y51&lt;&gt;"",EDATE($D51,Milestones!$AA$198)&gt;=$Y51),$AB51,$AA51)))=Milestones!$AB$198),UPPER(TEXT(EDATE($D51,Milestones!$AA$198),"dd mmm yy"))&amp;" "&amp;Milestones!$AB$198&amp;" "&amp;IF(AND(Milestones!$AB$198="FT",Milestones!$AA$198=FT_Y5,EDATE($D51,Milestones!$AA$198)&lt;PolicyEff),1,Milestones!$AC$198)&amp;";  ","")&amp;IF(AND(EDATE($D51,Milestones!$AA$199)&lt;=AsOfDate,EDATE($D51,Milestones!$AA$199)&gt;=SchemeStart,IF($X51=0,$AD51,IF(AND($Z51&lt;&gt;"",EDATE($D51,Milestones!$AA$199)&gt;=$Z51),$AC51,IF(AND($Y51&lt;&gt;"",EDATE($D51,Milestones!$AA$199)&gt;=$Y51),$AB51,$AA51)))=Milestones!$AB$199),UPPER(TEXT(EDATE($D51,Milestones!$AA$199),"dd mmm yy"))&amp;" "&amp;Milestones!$AB$199&amp;" "&amp;IF(AND(Milestones!$AB$199="FT",Milestones!$AA$199=FT_Y5,EDATE($D51,Milestones!$AA$199)&lt;PolicyEff),1,Milestones!$AC$199)&amp;";  ",""))</f>
        <v/>
      </c>
      <c r="X51" s="0" t="str">
        <f aca="false">IF(Staff!$A51="","",Staff!$AM51)</f>
        <v/>
      </c>
      <c r="Y51" s="0" t="str">
        <f aca="false">IF(Staff!$A51="","",Staff!$AO51)</f>
        <v/>
      </c>
      <c r="Z51" s="0" t="str">
        <f aca="false">IF(Staff!$A51="","",Staff!$AP51)</f>
        <v/>
      </c>
      <c r="AA51" s="0" t="str">
        <f aca="false">IF(Staff!$A51="","",Staff!$AT51)</f>
        <v/>
      </c>
      <c r="AB51" s="0" t="str">
        <f aca="false">IF(Staff!$A51="","",Staff!$AU51)</f>
        <v/>
      </c>
      <c r="AC51" s="0" t="str">
        <f aca="false">IF(Staff!$A51="","",Staff!$AV51)</f>
        <v/>
      </c>
      <c r="AD51" s="0" t="str">
        <f aca="false">IF(Staff!$A51="","",Staff!$AW51)</f>
        <v/>
      </c>
    </row>
    <row r="52" customFormat="false" ht="15" hidden="false" customHeight="false" outlineLevel="0" collapsed="false">
      <c r="A52" s="16" t="str">
        <f aca="false">IF(Staff!$A52="","",Staff!$A52)</f>
        <v/>
      </c>
      <c r="B52" s="16" t="str">
        <f aca="false">IF(Staff!$A52="","",Staff!$B52)</f>
        <v/>
      </c>
      <c r="C52" s="16" t="str">
        <f aca="false">IF(Staff!$A52="","",Staff!$C52)</f>
        <v/>
      </c>
      <c r="D52" s="14" t="str">
        <f aca="false">IF(Staff!$A52="","",Staff!$AL52)</f>
        <v/>
      </c>
      <c r="E52" s="16" t="str">
        <f aca="false">IF(Staff!$A52="","",Staff!$O52)</f>
        <v/>
      </c>
      <c r="F52" s="16" t="str">
        <f aca="false">IF(E52="","",E52*HoursPerDay)</f>
        <v/>
      </c>
      <c r="G52" s="16" t="str">
        <f aca="false">IF(Staff!$A52="","",Staff!$AE52)</f>
        <v/>
      </c>
      <c r="H52" s="28" t="str">
        <f aca="false">IF($A52="","",I52&amp;J52&amp;K52&amp;L52&amp;M52&amp;N52&amp;O52&amp;P52&amp;Q52&amp;R52&amp;S52&amp;T52&amp;U52&amp;V52&amp;W52)</f>
        <v/>
      </c>
      <c r="I52" s="0" t="str">
        <f aca="false">IF(OR($A52="",$D52=""),"",IF(AND(EDATE($D52,Milestones!$AA$20)&lt;=AsOfDate,EDATE($D52,Milestones!$AA$20)&gt;=SchemeStart,IF($X52=0,$AD52,IF(AND($Z52&lt;&gt;"",EDATE($D52,Milestones!$AA$20)&gt;=$Z52),$AC52,IF(AND($Y52&lt;&gt;"",EDATE($D52,Milestones!$AA$20)&gt;=$Y52),$AB52,$AA52)))=Milestones!$AB$20),UPPER(TEXT(EDATE($D52,Milestones!$AA$20),"dd mmm yy"))&amp;" "&amp;Milestones!$AB$20&amp;" "&amp;IF(AND(Milestones!$AB$20="FT",Milestones!$AA$20=FT_Y5,EDATE($D52,Milestones!$AA$20)&lt;PolicyEff),1,Milestones!$AC$20)&amp;";  ","")&amp;IF(AND(EDATE($D52,Milestones!$AA$21)&lt;=AsOfDate,EDATE($D52,Milestones!$AA$21)&gt;=SchemeStart,IF($X52=0,$AD52,IF(AND($Z52&lt;&gt;"",EDATE($D52,Milestones!$AA$21)&gt;=$Z52),$AC52,IF(AND($Y52&lt;&gt;"",EDATE($D52,Milestones!$AA$21)&gt;=$Y52),$AB52,$AA52)))=Milestones!$AB$21),UPPER(TEXT(EDATE($D52,Milestones!$AA$21),"dd mmm yy"))&amp;" "&amp;Milestones!$AB$21&amp;" "&amp;IF(AND(Milestones!$AB$21="FT",Milestones!$AA$21=FT_Y5,EDATE($D52,Milestones!$AA$21)&lt;PolicyEff),1,Milestones!$AC$21)&amp;";  ","")&amp;IF(AND(EDATE($D52,Milestones!$AA$22)&lt;=AsOfDate,EDATE($D52,Milestones!$AA$22)&gt;=SchemeStart,IF($X52=0,$AD52,IF(AND($Z52&lt;&gt;"",EDATE($D52,Milestones!$AA$22)&gt;=$Z52),$AC52,IF(AND($Y52&lt;&gt;"",EDATE($D52,Milestones!$AA$22)&gt;=$Y52),$AB52,$AA52)))=Milestones!$AB$22),UPPER(TEXT(EDATE($D52,Milestones!$AA$22),"dd mmm yy"))&amp;" "&amp;Milestones!$AB$22&amp;" "&amp;IF(AND(Milestones!$AB$22="FT",Milestones!$AA$22=FT_Y5,EDATE($D52,Milestones!$AA$22)&lt;PolicyEff),1,Milestones!$AC$22)&amp;";  ","")&amp;IF(AND(EDATE($D52,Milestones!$AA$23)&lt;=AsOfDate,EDATE($D52,Milestones!$AA$23)&gt;=SchemeStart,IF($X52=0,$AD52,IF(AND($Z52&lt;&gt;"",EDATE($D52,Milestones!$AA$23)&gt;=$Z52),$AC52,IF(AND($Y52&lt;&gt;"",EDATE($D52,Milestones!$AA$23)&gt;=$Y52),$AB52,$AA52)))=Milestones!$AB$23),UPPER(TEXT(EDATE($D52,Milestones!$AA$23),"dd mmm yy"))&amp;" "&amp;Milestones!$AB$23&amp;" "&amp;IF(AND(Milestones!$AB$23="FT",Milestones!$AA$23=FT_Y5,EDATE($D52,Milestones!$AA$23)&lt;PolicyEff),1,Milestones!$AC$23)&amp;";  ","")&amp;IF(AND(EDATE($D52,Milestones!$AA$24)&lt;=AsOfDate,EDATE($D52,Milestones!$AA$24)&gt;=SchemeStart,IF($X52=0,$AD52,IF(AND($Z52&lt;&gt;"",EDATE($D52,Milestones!$AA$24)&gt;=$Z52),$AC52,IF(AND($Y52&lt;&gt;"",EDATE($D52,Milestones!$AA$24)&gt;=$Y52),$AB52,$AA52)))=Milestones!$AB$24),UPPER(TEXT(EDATE($D52,Milestones!$AA$24),"dd mmm yy"))&amp;" "&amp;Milestones!$AB$24&amp;" "&amp;IF(AND(Milestones!$AB$24="FT",Milestones!$AA$24=FT_Y5,EDATE($D52,Milestones!$AA$24)&lt;PolicyEff),1,Milestones!$AC$24)&amp;";  ","")&amp;IF(AND(EDATE($D52,Milestones!$AA$25)&lt;=AsOfDate,EDATE($D52,Milestones!$AA$25)&gt;=SchemeStart,IF($X52=0,$AD52,IF(AND($Z52&lt;&gt;"",EDATE($D52,Milestones!$AA$25)&gt;=$Z52),$AC52,IF(AND($Y52&lt;&gt;"",EDATE($D52,Milestones!$AA$25)&gt;=$Y52),$AB52,$AA52)))=Milestones!$AB$25),UPPER(TEXT(EDATE($D52,Milestones!$AA$25),"dd mmm yy"))&amp;" "&amp;Milestones!$AB$25&amp;" "&amp;IF(AND(Milestones!$AB$25="FT",Milestones!$AA$25=FT_Y5,EDATE($D52,Milestones!$AA$25)&lt;PolicyEff),1,Milestones!$AC$25)&amp;";  ","")&amp;IF(AND(EDATE($D52,Milestones!$AA$26)&lt;=AsOfDate,EDATE($D52,Milestones!$AA$26)&gt;=SchemeStart,IF($X52=0,$AD52,IF(AND($Z52&lt;&gt;"",EDATE($D52,Milestones!$AA$26)&gt;=$Z52),$AC52,IF(AND($Y52&lt;&gt;"",EDATE($D52,Milestones!$AA$26)&gt;=$Y52),$AB52,$AA52)))=Milestones!$AB$26),UPPER(TEXT(EDATE($D52,Milestones!$AA$26),"dd mmm yy"))&amp;" "&amp;Milestones!$AB$26&amp;" "&amp;IF(AND(Milestones!$AB$26="FT",Milestones!$AA$26=FT_Y5,EDATE($D52,Milestones!$AA$26)&lt;PolicyEff),1,Milestones!$AC$26)&amp;";  ","")&amp;IF(AND(EDATE($D52,Milestones!$AA$27)&lt;=AsOfDate,EDATE($D52,Milestones!$AA$27)&gt;=SchemeStart,IF($X52=0,$AD52,IF(AND($Z52&lt;&gt;"",EDATE($D52,Milestones!$AA$27)&gt;=$Z52),$AC52,IF(AND($Y52&lt;&gt;"",EDATE($D52,Milestones!$AA$27)&gt;=$Y52),$AB52,$AA52)))=Milestones!$AB$27),UPPER(TEXT(EDATE($D52,Milestones!$AA$27),"dd mmm yy"))&amp;" "&amp;Milestones!$AB$27&amp;" "&amp;IF(AND(Milestones!$AB$27="FT",Milestones!$AA$27=FT_Y5,EDATE($D52,Milestones!$AA$27)&lt;PolicyEff),1,Milestones!$AC$27)&amp;";  ","")&amp;IF(AND(EDATE($D52,Milestones!$AA$28)&lt;=AsOfDate,EDATE($D52,Milestones!$AA$28)&gt;=SchemeStart,IF($X52=0,$AD52,IF(AND($Z52&lt;&gt;"",EDATE($D52,Milestones!$AA$28)&gt;=$Z52),$AC52,IF(AND($Y52&lt;&gt;"",EDATE($D52,Milestones!$AA$28)&gt;=$Y52),$AB52,$AA52)))=Milestones!$AB$28),UPPER(TEXT(EDATE($D52,Milestones!$AA$28),"dd mmm yy"))&amp;" "&amp;Milestones!$AB$28&amp;" "&amp;IF(AND(Milestones!$AB$28="FT",Milestones!$AA$28=FT_Y5,EDATE($D52,Milestones!$AA$28)&lt;PolicyEff),1,Milestones!$AC$28)&amp;";  ","")&amp;IF(AND(EDATE($D52,Milestones!$AA$29)&lt;=AsOfDate,EDATE($D52,Milestones!$AA$29)&gt;=SchemeStart,IF($X52=0,$AD52,IF(AND($Z52&lt;&gt;"",EDATE($D52,Milestones!$AA$29)&gt;=$Z52),$AC52,IF(AND($Y52&lt;&gt;"",EDATE($D52,Milestones!$AA$29)&gt;=$Y52),$AB52,$AA52)))=Milestones!$AB$29),UPPER(TEXT(EDATE($D52,Milestones!$AA$29),"dd mmm yy"))&amp;" "&amp;Milestones!$AB$29&amp;" "&amp;IF(AND(Milestones!$AB$29="FT",Milestones!$AA$29=FT_Y5,EDATE($D52,Milestones!$AA$29)&lt;PolicyEff),1,Milestones!$AC$29)&amp;";  ","")&amp;IF(AND(EDATE($D52,Milestones!$AA$30)&lt;=AsOfDate,EDATE($D52,Milestones!$AA$30)&gt;=SchemeStart,IF($X52=0,$AD52,IF(AND($Z52&lt;&gt;"",EDATE($D52,Milestones!$AA$30)&gt;=$Z52),$AC52,IF(AND($Y52&lt;&gt;"",EDATE($D52,Milestones!$AA$30)&gt;=$Y52),$AB52,$AA52)))=Milestones!$AB$30),UPPER(TEXT(EDATE($D52,Milestones!$AA$30),"dd mmm yy"))&amp;" "&amp;Milestones!$AB$30&amp;" "&amp;IF(AND(Milestones!$AB$30="FT",Milestones!$AA$30=FT_Y5,EDATE($D52,Milestones!$AA$30)&lt;PolicyEff),1,Milestones!$AC$30)&amp;";  ","")&amp;IF(AND(EDATE($D52,Milestones!$AA$31)&lt;=AsOfDate,EDATE($D52,Milestones!$AA$31)&gt;=SchemeStart,IF($X52=0,$AD52,IF(AND($Z52&lt;&gt;"",EDATE($D52,Milestones!$AA$31)&gt;=$Z52),$AC52,IF(AND($Y52&lt;&gt;"",EDATE($D52,Milestones!$AA$31)&gt;=$Y52),$AB52,$AA52)))=Milestones!$AB$31),UPPER(TEXT(EDATE($D52,Milestones!$AA$31),"dd mmm yy"))&amp;" "&amp;Milestones!$AB$31&amp;" "&amp;IF(AND(Milestones!$AB$31="FT",Milestones!$AA$31=FT_Y5,EDATE($D52,Milestones!$AA$31)&lt;PolicyEff),1,Milestones!$AC$31)&amp;";  ",""))</f>
        <v/>
      </c>
      <c r="J52" s="0" t="str">
        <f aca="false">IF(OR($A52="",$D52=""),"",IF(AND(EDATE($D52,Milestones!$AA$32)&lt;=AsOfDate,EDATE($D52,Milestones!$AA$32)&gt;=SchemeStart,IF($X52=0,$AD52,IF(AND($Z52&lt;&gt;"",EDATE($D52,Milestones!$AA$32)&gt;=$Z52),$AC52,IF(AND($Y52&lt;&gt;"",EDATE($D52,Milestones!$AA$32)&gt;=$Y52),$AB52,$AA52)))=Milestones!$AB$32),UPPER(TEXT(EDATE($D52,Milestones!$AA$32),"dd mmm yy"))&amp;" "&amp;Milestones!$AB$32&amp;" "&amp;IF(AND(Milestones!$AB$32="FT",Milestones!$AA$32=FT_Y5,EDATE($D52,Milestones!$AA$32)&lt;PolicyEff),1,Milestones!$AC$32)&amp;";  ","")&amp;IF(AND(EDATE($D52,Milestones!$AA$33)&lt;=AsOfDate,EDATE($D52,Milestones!$AA$33)&gt;=SchemeStart,IF($X52=0,$AD52,IF(AND($Z52&lt;&gt;"",EDATE($D52,Milestones!$AA$33)&gt;=$Z52),$AC52,IF(AND($Y52&lt;&gt;"",EDATE($D52,Milestones!$AA$33)&gt;=$Y52),$AB52,$AA52)))=Milestones!$AB$33),UPPER(TEXT(EDATE($D52,Milestones!$AA$33),"dd mmm yy"))&amp;" "&amp;Milestones!$AB$33&amp;" "&amp;IF(AND(Milestones!$AB$33="FT",Milestones!$AA$33=FT_Y5,EDATE($D52,Milestones!$AA$33)&lt;PolicyEff),1,Milestones!$AC$33)&amp;";  ","")&amp;IF(AND(EDATE($D52,Milestones!$AA$34)&lt;=AsOfDate,EDATE($D52,Milestones!$AA$34)&gt;=SchemeStart,IF($X52=0,$AD52,IF(AND($Z52&lt;&gt;"",EDATE($D52,Milestones!$AA$34)&gt;=$Z52),$AC52,IF(AND($Y52&lt;&gt;"",EDATE($D52,Milestones!$AA$34)&gt;=$Y52),$AB52,$AA52)))=Milestones!$AB$34),UPPER(TEXT(EDATE($D52,Milestones!$AA$34),"dd mmm yy"))&amp;" "&amp;Milestones!$AB$34&amp;" "&amp;IF(AND(Milestones!$AB$34="FT",Milestones!$AA$34=FT_Y5,EDATE($D52,Milestones!$AA$34)&lt;PolicyEff),1,Milestones!$AC$34)&amp;";  ","")&amp;IF(AND(EDATE($D52,Milestones!$AA$35)&lt;=AsOfDate,EDATE($D52,Milestones!$AA$35)&gt;=SchemeStart,IF($X52=0,$AD52,IF(AND($Z52&lt;&gt;"",EDATE($D52,Milestones!$AA$35)&gt;=$Z52),$AC52,IF(AND($Y52&lt;&gt;"",EDATE($D52,Milestones!$AA$35)&gt;=$Y52),$AB52,$AA52)))=Milestones!$AB$35),UPPER(TEXT(EDATE($D52,Milestones!$AA$35),"dd mmm yy"))&amp;" "&amp;Milestones!$AB$35&amp;" "&amp;IF(AND(Milestones!$AB$35="FT",Milestones!$AA$35=FT_Y5,EDATE($D52,Milestones!$AA$35)&lt;PolicyEff),1,Milestones!$AC$35)&amp;";  ","")&amp;IF(AND(EDATE($D52,Milestones!$AA$36)&lt;=AsOfDate,EDATE($D52,Milestones!$AA$36)&gt;=SchemeStart,IF($X52=0,$AD52,IF(AND($Z52&lt;&gt;"",EDATE($D52,Milestones!$AA$36)&gt;=$Z52),$AC52,IF(AND($Y52&lt;&gt;"",EDATE($D52,Milestones!$AA$36)&gt;=$Y52),$AB52,$AA52)))=Milestones!$AB$36),UPPER(TEXT(EDATE($D52,Milestones!$AA$36),"dd mmm yy"))&amp;" "&amp;Milestones!$AB$36&amp;" "&amp;IF(AND(Milestones!$AB$36="FT",Milestones!$AA$36=FT_Y5,EDATE($D52,Milestones!$AA$36)&lt;PolicyEff),1,Milestones!$AC$36)&amp;";  ","")&amp;IF(AND(EDATE($D52,Milestones!$AA$37)&lt;=AsOfDate,EDATE($D52,Milestones!$AA$37)&gt;=SchemeStart,IF($X52=0,$AD52,IF(AND($Z52&lt;&gt;"",EDATE($D52,Milestones!$AA$37)&gt;=$Z52),$AC52,IF(AND($Y52&lt;&gt;"",EDATE($D52,Milestones!$AA$37)&gt;=$Y52),$AB52,$AA52)))=Milestones!$AB$37),UPPER(TEXT(EDATE($D52,Milestones!$AA$37),"dd mmm yy"))&amp;" "&amp;Milestones!$AB$37&amp;" "&amp;IF(AND(Milestones!$AB$37="FT",Milestones!$AA$37=FT_Y5,EDATE($D52,Milestones!$AA$37)&lt;PolicyEff),1,Milestones!$AC$37)&amp;";  ","")&amp;IF(AND(EDATE($D52,Milestones!$AA$38)&lt;=AsOfDate,EDATE($D52,Milestones!$AA$38)&gt;=SchemeStart,IF($X52=0,$AD52,IF(AND($Z52&lt;&gt;"",EDATE($D52,Milestones!$AA$38)&gt;=$Z52),$AC52,IF(AND($Y52&lt;&gt;"",EDATE($D52,Milestones!$AA$38)&gt;=$Y52),$AB52,$AA52)))=Milestones!$AB$38),UPPER(TEXT(EDATE($D52,Milestones!$AA$38),"dd mmm yy"))&amp;" "&amp;Milestones!$AB$38&amp;" "&amp;IF(AND(Milestones!$AB$38="FT",Milestones!$AA$38=FT_Y5,EDATE($D52,Milestones!$AA$38)&lt;PolicyEff),1,Milestones!$AC$38)&amp;";  ","")&amp;IF(AND(EDATE($D52,Milestones!$AA$39)&lt;=AsOfDate,EDATE($D52,Milestones!$AA$39)&gt;=SchemeStart,IF($X52=0,$AD52,IF(AND($Z52&lt;&gt;"",EDATE($D52,Milestones!$AA$39)&gt;=$Z52),$AC52,IF(AND($Y52&lt;&gt;"",EDATE($D52,Milestones!$AA$39)&gt;=$Y52),$AB52,$AA52)))=Milestones!$AB$39),UPPER(TEXT(EDATE($D52,Milestones!$AA$39),"dd mmm yy"))&amp;" "&amp;Milestones!$AB$39&amp;" "&amp;IF(AND(Milestones!$AB$39="FT",Milestones!$AA$39=FT_Y5,EDATE($D52,Milestones!$AA$39)&lt;PolicyEff),1,Milestones!$AC$39)&amp;";  ","")&amp;IF(AND(EDATE($D52,Milestones!$AA$40)&lt;=AsOfDate,EDATE($D52,Milestones!$AA$40)&gt;=SchemeStart,IF($X52=0,$AD52,IF(AND($Z52&lt;&gt;"",EDATE($D52,Milestones!$AA$40)&gt;=$Z52),$AC52,IF(AND($Y52&lt;&gt;"",EDATE($D52,Milestones!$AA$40)&gt;=$Y52),$AB52,$AA52)))=Milestones!$AB$40),UPPER(TEXT(EDATE($D52,Milestones!$AA$40),"dd mmm yy"))&amp;" "&amp;Milestones!$AB$40&amp;" "&amp;IF(AND(Milestones!$AB$40="FT",Milestones!$AA$40=FT_Y5,EDATE($D52,Milestones!$AA$40)&lt;PolicyEff),1,Milestones!$AC$40)&amp;";  ","")&amp;IF(AND(EDATE($D52,Milestones!$AA$41)&lt;=AsOfDate,EDATE($D52,Milestones!$AA$41)&gt;=SchemeStart,IF($X52=0,$AD52,IF(AND($Z52&lt;&gt;"",EDATE($D52,Milestones!$AA$41)&gt;=$Z52),$AC52,IF(AND($Y52&lt;&gt;"",EDATE($D52,Milestones!$AA$41)&gt;=$Y52),$AB52,$AA52)))=Milestones!$AB$41),UPPER(TEXT(EDATE($D52,Milestones!$AA$41),"dd mmm yy"))&amp;" "&amp;Milestones!$AB$41&amp;" "&amp;IF(AND(Milestones!$AB$41="FT",Milestones!$AA$41=FT_Y5,EDATE($D52,Milestones!$AA$41)&lt;PolicyEff),1,Milestones!$AC$41)&amp;";  ","")&amp;IF(AND(EDATE($D52,Milestones!$AA$42)&lt;=AsOfDate,EDATE($D52,Milestones!$AA$42)&gt;=SchemeStart,IF($X52=0,$AD52,IF(AND($Z52&lt;&gt;"",EDATE($D52,Milestones!$AA$42)&gt;=$Z52),$AC52,IF(AND($Y52&lt;&gt;"",EDATE($D52,Milestones!$AA$42)&gt;=$Y52),$AB52,$AA52)))=Milestones!$AB$42),UPPER(TEXT(EDATE($D52,Milestones!$AA$42),"dd mmm yy"))&amp;" "&amp;Milestones!$AB$42&amp;" "&amp;IF(AND(Milestones!$AB$42="FT",Milestones!$AA$42=FT_Y5,EDATE($D52,Milestones!$AA$42)&lt;PolicyEff),1,Milestones!$AC$42)&amp;";  ","")&amp;IF(AND(EDATE($D52,Milestones!$AA$43)&lt;=AsOfDate,EDATE($D52,Milestones!$AA$43)&gt;=SchemeStart,IF($X52=0,$AD52,IF(AND($Z52&lt;&gt;"",EDATE($D52,Milestones!$AA$43)&gt;=$Z52),$AC52,IF(AND($Y52&lt;&gt;"",EDATE($D52,Milestones!$AA$43)&gt;=$Y52),$AB52,$AA52)))=Milestones!$AB$43),UPPER(TEXT(EDATE($D52,Milestones!$AA$43),"dd mmm yy"))&amp;" "&amp;Milestones!$AB$43&amp;" "&amp;IF(AND(Milestones!$AB$43="FT",Milestones!$AA$43=FT_Y5,EDATE($D52,Milestones!$AA$43)&lt;PolicyEff),1,Milestones!$AC$43)&amp;";  ",""))</f>
        <v/>
      </c>
      <c r="K52" s="0" t="str">
        <f aca="false">IF(OR($A52="",$D52=""),"",IF(AND(EDATE($D52,Milestones!$AA$44)&lt;=AsOfDate,EDATE($D52,Milestones!$AA$44)&gt;=SchemeStart,IF($X52=0,$AD52,IF(AND($Z52&lt;&gt;"",EDATE($D52,Milestones!$AA$44)&gt;=$Z52),$AC52,IF(AND($Y52&lt;&gt;"",EDATE($D52,Milestones!$AA$44)&gt;=$Y52),$AB52,$AA52)))=Milestones!$AB$44),UPPER(TEXT(EDATE($D52,Milestones!$AA$44),"dd mmm yy"))&amp;" "&amp;Milestones!$AB$44&amp;" "&amp;IF(AND(Milestones!$AB$44="FT",Milestones!$AA$44=FT_Y5,EDATE($D52,Milestones!$AA$44)&lt;PolicyEff),1,Milestones!$AC$44)&amp;";  ","")&amp;IF(AND(EDATE($D52,Milestones!$AA$45)&lt;=AsOfDate,EDATE($D52,Milestones!$AA$45)&gt;=SchemeStart,IF($X52=0,$AD52,IF(AND($Z52&lt;&gt;"",EDATE($D52,Milestones!$AA$45)&gt;=$Z52),$AC52,IF(AND($Y52&lt;&gt;"",EDATE($D52,Milestones!$AA$45)&gt;=$Y52),$AB52,$AA52)))=Milestones!$AB$45),UPPER(TEXT(EDATE($D52,Milestones!$AA$45),"dd mmm yy"))&amp;" "&amp;Milestones!$AB$45&amp;" "&amp;IF(AND(Milestones!$AB$45="FT",Milestones!$AA$45=FT_Y5,EDATE($D52,Milestones!$AA$45)&lt;PolicyEff),1,Milestones!$AC$45)&amp;";  ","")&amp;IF(AND(EDATE($D52,Milestones!$AA$46)&lt;=AsOfDate,EDATE($D52,Milestones!$AA$46)&gt;=SchemeStart,IF($X52=0,$AD52,IF(AND($Z52&lt;&gt;"",EDATE($D52,Milestones!$AA$46)&gt;=$Z52),$AC52,IF(AND($Y52&lt;&gt;"",EDATE($D52,Milestones!$AA$46)&gt;=$Y52),$AB52,$AA52)))=Milestones!$AB$46),UPPER(TEXT(EDATE($D52,Milestones!$AA$46),"dd mmm yy"))&amp;" "&amp;Milestones!$AB$46&amp;" "&amp;IF(AND(Milestones!$AB$46="FT",Milestones!$AA$46=FT_Y5,EDATE($D52,Milestones!$AA$46)&lt;PolicyEff),1,Milestones!$AC$46)&amp;";  ","")&amp;IF(AND(EDATE($D52,Milestones!$AA$47)&lt;=AsOfDate,EDATE($D52,Milestones!$AA$47)&gt;=SchemeStart,IF($X52=0,$AD52,IF(AND($Z52&lt;&gt;"",EDATE($D52,Milestones!$AA$47)&gt;=$Z52),$AC52,IF(AND($Y52&lt;&gt;"",EDATE($D52,Milestones!$AA$47)&gt;=$Y52),$AB52,$AA52)))=Milestones!$AB$47),UPPER(TEXT(EDATE($D52,Milestones!$AA$47),"dd mmm yy"))&amp;" "&amp;Milestones!$AB$47&amp;" "&amp;IF(AND(Milestones!$AB$47="FT",Milestones!$AA$47=FT_Y5,EDATE($D52,Milestones!$AA$47)&lt;PolicyEff),1,Milestones!$AC$47)&amp;";  ","")&amp;IF(AND(EDATE($D52,Milestones!$AA$48)&lt;=AsOfDate,EDATE($D52,Milestones!$AA$48)&gt;=SchemeStart,IF($X52=0,$AD52,IF(AND($Z52&lt;&gt;"",EDATE($D52,Milestones!$AA$48)&gt;=$Z52),$AC52,IF(AND($Y52&lt;&gt;"",EDATE($D52,Milestones!$AA$48)&gt;=$Y52),$AB52,$AA52)))=Milestones!$AB$48),UPPER(TEXT(EDATE($D52,Milestones!$AA$48),"dd mmm yy"))&amp;" "&amp;Milestones!$AB$48&amp;" "&amp;IF(AND(Milestones!$AB$48="FT",Milestones!$AA$48=FT_Y5,EDATE($D52,Milestones!$AA$48)&lt;PolicyEff),1,Milestones!$AC$48)&amp;";  ","")&amp;IF(AND(EDATE($D52,Milestones!$AA$49)&lt;=AsOfDate,EDATE($D52,Milestones!$AA$49)&gt;=SchemeStart,IF($X52=0,$AD52,IF(AND($Z52&lt;&gt;"",EDATE($D52,Milestones!$AA$49)&gt;=$Z52),$AC52,IF(AND($Y52&lt;&gt;"",EDATE($D52,Milestones!$AA$49)&gt;=$Y52),$AB52,$AA52)))=Milestones!$AB$49),UPPER(TEXT(EDATE($D52,Milestones!$AA$49),"dd mmm yy"))&amp;" "&amp;Milestones!$AB$49&amp;" "&amp;IF(AND(Milestones!$AB$49="FT",Milestones!$AA$49=FT_Y5,EDATE($D52,Milestones!$AA$49)&lt;PolicyEff),1,Milestones!$AC$49)&amp;";  ","")&amp;IF(AND(EDATE($D52,Milestones!$AA$50)&lt;=AsOfDate,EDATE($D52,Milestones!$AA$50)&gt;=SchemeStart,IF($X52=0,$AD52,IF(AND($Z52&lt;&gt;"",EDATE($D52,Milestones!$AA$50)&gt;=$Z52),$AC52,IF(AND($Y52&lt;&gt;"",EDATE($D52,Milestones!$AA$50)&gt;=$Y52),$AB52,$AA52)))=Milestones!$AB$50),UPPER(TEXT(EDATE($D52,Milestones!$AA$50),"dd mmm yy"))&amp;" "&amp;Milestones!$AB$50&amp;" "&amp;IF(AND(Milestones!$AB$50="FT",Milestones!$AA$50=FT_Y5,EDATE($D52,Milestones!$AA$50)&lt;PolicyEff),1,Milestones!$AC$50)&amp;";  ","")&amp;IF(AND(EDATE($D52,Milestones!$AA$51)&lt;=AsOfDate,EDATE($D52,Milestones!$AA$51)&gt;=SchemeStart,IF($X52=0,$AD52,IF(AND($Z52&lt;&gt;"",EDATE($D52,Milestones!$AA$51)&gt;=$Z52),$AC52,IF(AND($Y52&lt;&gt;"",EDATE($D52,Milestones!$AA$51)&gt;=$Y52),$AB52,$AA52)))=Milestones!$AB$51),UPPER(TEXT(EDATE($D52,Milestones!$AA$51),"dd mmm yy"))&amp;" "&amp;Milestones!$AB$51&amp;" "&amp;IF(AND(Milestones!$AB$51="FT",Milestones!$AA$51=FT_Y5,EDATE($D52,Milestones!$AA$51)&lt;PolicyEff),1,Milestones!$AC$51)&amp;";  ","")&amp;IF(AND(EDATE($D52,Milestones!$AA$52)&lt;=AsOfDate,EDATE($D52,Milestones!$AA$52)&gt;=SchemeStart,IF($X52=0,$AD52,IF(AND($Z52&lt;&gt;"",EDATE($D52,Milestones!$AA$52)&gt;=$Z52),$AC52,IF(AND($Y52&lt;&gt;"",EDATE($D52,Milestones!$AA$52)&gt;=$Y52),$AB52,$AA52)))=Milestones!$AB$52),UPPER(TEXT(EDATE($D52,Milestones!$AA$52),"dd mmm yy"))&amp;" "&amp;Milestones!$AB$52&amp;" "&amp;IF(AND(Milestones!$AB$52="FT",Milestones!$AA$52=FT_Y5,EDATE($D52,Milestones!$AA$52)&lt;PolicyEff),1,Milestones!$AC$52)&amp;";  ","")&amp;IF(AND(EDATE($D52,Milestones!$AA$53)&lt;=AsOfDate,EDATE($D52,Milestones!$AA$53)&gt;=SchemeStart,IF($X52=0,$AD52,IF(AND($Z52&lt;&gt;"",EDATE($D52,Milestones!$AA$53)&gt;=$Z52),$AC52,IF(AND($Y52&lt;&gt;"",EDATE($D52,Milestones!$AA$53)&gt;=$Y52),$AB52,$AA52)))=Milestones!$AB$53),UPPER(TEXT(EDATE($D52,Milestones!$AA$53),"dd mmm yy"))&amp;" "&amp;Milestones!$AB$53&amp;" "&amp;IF(AND(Milestones!$AB$53="FT",Milestones!$AA$53=FT_Y5,EDATE($D52,Milestones!$AA$53)&lt;PolicyEff),1,Milestones!$AC$53)&amp;";  ","")&amp;IF(AND(EDATE($D52,Milestones!$AA$54)&lt;=AsOfDate,EDATE($D52,Milestones!$AA$54)&gt;=SchemeStart,IF($X52=0,$AD52,IF(AND($Z52&lt;&gt;"",EDATE($D52,Milestones!$AA$54)&gt;=$Z52),$AC52,IF(AND($Y52&lt;&gt;"",EDATE($D52,Milestones!$AA$54)&gt;=$Y52),$AB52,$AA52)))=Milestones!$AB$54),UPPER(TEXT(EDATE($D52,Milestones!$AA$54),"dd mmm yy"))&amp;" "&amp;Milestones!$AB$54&amp;" "&amp;IF(AND(Milestones!$AB$54="FT",Milestones!$AA$54=FT_Y5,EDATE($D52,Milestones!$AA$54)&lt;PolicyEff),1,Milestones!$AC$54)&amp;";  ","")&amp;IF(AND(EDATE($D52,Milestones!$AA$55)&lt;=AsOfDate,EDATE($D52,Milestones!$AA$55)&gt;=SchemeStart,IF($X52=0,$AD52,IF(AND($Z52&lt;&gt;"",EDATE($D52,Milestones!$AA$55)&gt;=$Z52),$AC52,IF(AND($Y52&lt;&gt;"",EDATE($D52,Milestones!$AA$55)&gt;=$Y52),$AB52,$AA52)))=Milestones!$AB$55),UPPER(TEXT(EDATE($D52,Milestones!$AA$55),"dd mmm yy"))&amp;" "&amp;Milestones!$AB$55&amp;" "&amp;IF(AND(Milestones!$AB$55="FT",Milestones!$AA$55=FT_Y5,EDATE($D52,Milestones!$AA$55)&lt;PolicyEff),1,Milestones!$AC$55)&amp;";  ",""))</f>
        <v/>
      </c>
      <c r="L52" s="0" t="str">
        <f aca="false">IF(OR($A52="",$D52=""),"",IF(AND(EDATE($D52,Milestones!$AA$56)&lt;=AsOfDate,EDATE($D52,Milestones!$AA$56)&gt;=SchemeStart,IF($X52=0,$AD52,IF(AND($Z52&lt;&gt;"",EDATE($D52,Milestones!$AA$56)&gt;=$Z52),$AC52,IF(AND($Y52&lt;&gt;"",EDATE($D52,Milestones!$AA$56)&gt;=$Y52),$AB52,$AA52)))=Milestones!$AB$56),UPPER(TEXT(EDATE($D52,Milestones!$AA$56),"dd mmm yy"))&amp;" "&amp;Milestones!$AB$56&amp;" "&amp;IF(AND(Milestones!$AB$56="FT",Milestones!$AA$56=FT_Y5,EDATE($D52,Milestones!$AA$56)&lt;PolicyEff),1,Milestones!$AC$56)&amp;";  ","")&amp;IF(AND(EDATE($D52,Milestones!$AA$57)&lt;=AsOfDate,EDATE($D52,Milestones!$AA$57)&gt;=SchemeStart,IF($X52=0,$AD52,IF(AND($Z52&lt;&gt;"",EDATE($D52,Milestones!$AA$57)&gt;=$Z52),$AC52,IF(AND($Y52&lt;&gt;"",EDATE($D52,Milestones!$AA$57)&gt;=$Y52),$AB52,$AA52)))=Milestones!$AB$57),UPPER(TEXT(EDATE($D52,Milestones!$AA$57),"dd mmm yy"))&amp;" "&amp;Milestones!$AB$57&amp;" "&amp;IF(AND(Milestones!$AB$57="FT",Milestones!$AA$57=FT_Y5,EDATE($D52,Milestones!$AA$57)&lt;PolicyEff),1,Milestones!$AC$57)&amp;";  ","")&amp;IF(AND(EDATE($D52,Milestones!$AA$58)&lt;=AsOfDate,EDATE($D52,Milestones!$AA$58)&gt;=SchemeStart,IF($X52=0,$AD52,IF(AND($Z52&lt;&gt;"",EDATE($D52,Milestones!$AA$58)&gt;=$Z52),$AC52,IF(AND($Y52&lt;&gt;"",EDATE($D52,Milestones!$AA$58)&gt;=$Y52),$AB52,$AA52)))=Milestones!$AB$58),UPPER(TEXT(EDATE($D52,Milestones!$AA$58),"dd mmm yy"))&amp;" "&amp;Milestones!$AB$58&amp;" "&amp;IF(AND(Milestones!$AB$58="FT",Milestones!$AA$58=FT_Y5,EDATE($D52,Milestones!$AA$58)&lt;PolicyEff),1,Milestones!$AC$58)&amp;";  ","")&amp;IF(AND(EDATE($D52,Milestones!$AA$59)&lt;=AsOfDate,EDATE($D52,Milestones!$AA$59)&gt;=SchemeStart,IF($X52=0,$AD52,IF(AND($Z52&lt;&gt;"",EDATE($D52,Milestones!$AA$59)&gt;=$Z52),$AC52,IF(AND($Y52&lt;&gt;"",EDATE($D52,Milestones!$AA$59)&gt;=$Y52),$AB52,$AA52)))=Milestones!$AB$59),UPPER(TEXT(EDATE($D52,Milestones!$AA$59),"dd mmm yy"))&amp;" "&amp;Milestones!$AB$59&amp;" "&amp;IF(AND(Milestones!$AB$59="FT",Milestones!$AA$59=FT_Y5,EDATE($D52,Milestones!$AA$59)&lt;PolicyEff),1,Milestones!$AC$59)&amp;";  ","")&amp;IF(AND(EDATE($D52,Milestones!$AA$60)&lt;=AsOfDate,EDATE($D52,Milestones!$AA$60)&gt;=SchemeStart,IF($X52=0,$AD52,IF(AND($Z52&lt;&gt;"",EDATE($D52,Milestones!$AA$60)&gt;=$Z52),$AC52,IF(AND($Y52&lt;&gt;"",EDATE($D52,Milestones!$AA$60)&gt;=$Y52),$AB52,$AA52)))=Milestones!$AB$60),UPPER(TEXT(EDATE($D52,Milestones!$AA$60),"dd mmm yy"))&amp;" "&amp;Milestones!$AB$60&amp;" "&amp;IF(AND(Milestones!$AB$60="FT",Milestones!$AA$60=FT_Y5,EDATE($D52,Milestones!$AA$60)&lt;PolicyEff),1,Milestones!$AC$60)&amp;";  ","")&amp;IF(AND(EDATE($D52,Milestones!$AA$61)&lt;=AsOfDate,EDATE($D52,Milestones!$AA$61)&gt;=SchemeStart,IF($X52=0,$AD52,IF(AND($Z52&lt;&gt;"",EDATE($D52,Milestones!$AA$61)&gt;=$Z52),$AC52,IF(AND($Y52&lt;&gt;"",EDATE($D52,Milestones!$AA$61)&gt;=$Y52),$AB52,$AA52)))=Milestones!$AB$61),UPPER(TEXT(EDATE($D52,Milestones!$AA$61),"dd mmm yy"))&amp;" "&amp;Milestones!$AB$61&amp;" "&amp;IF(AND(Milestones!$AB$61="FT",Milestones!$AA$61=FT_Y5,EDATE($D52,Milestones!$AA$61)&lt;PolicyEff),1,Milestones!$AC$61)&amp;";  ","")&amp;IF(AND(EDATE($D52,Milestones!$AA$62)&lt;=AsOfDate,EDATE($D52,Milestones!$AA$62)&gt;=SchemeStart,IF($X52=0,$AD52,IF(AND($Z52&lt;&gt;"",EDATE($D52,Milestones!$AA$62)&gt;=$Z52),$AC52,IF(AND($Y52&lt;&gt;"",EDATE($D52,Milestones!$AA$62)&gt;=$Y52),$AB52,$AA52)))=Milestones!$AB$62),UPPER(TEXT(EDATE($D52,Milestones!$AA$62),"dd mmm yy"))&amp;" "&amp;Milestones!$AB$62&amp;" "&amp;IF(AND(Milestones!$AB$62="FT",Milestones!$AA$62=FT_Y5,EDATE($D52,Milestones!$AA$62)&lt;PolicyEff),1,Milestones!$AC$62)&amp;";  ","")&amp;IF(AND(EDATE($D52,Milestones!$AA$63)&lt;=AsOfDate,EDATE($D52,Milestones!$AA$63)&gt;=SchemeStart,IF($X52=0,$AD52,IF(AND($Z52&lt;&gt;"",EDATE($D52,Milestones!$AA$63)&gt;=$Z52),$AC52,IF(AND($Y52&lt;&gt;"",EDATE($D52,Milestones!$AA$63)&gt;=$Y52),$AB52,$AA52)))=Milestones!$AB$63),UPPER(TEXT(EDATE($D52,Milestones!$AA$63),"dd mmm yy"))&amp;" "&amp;Milestones!$AB$63&amp;" "&amp;IF(AND(Milestones!$AB$63="FT",Milestones!$AA$63=FT_Y5,EDATE($D52,Milestones!$AA$63)&lt;PolicyEff),1,Milestones!$AC$63)&amp;";  ","")&amp;IF(AND(EDATE($D52,Milestones!$AA$64)&lt;=AsOfDate,EDATE($D52,Milestones!$AA$64)&gt;=SchemeStart,IF($X52=0,$AD52,IF(AND($Z52&lt;&gt;"",EDATE($D52,Milestones!$AA$64)&gt;=$Z52),$AC52,IF(AND($Y52&lt;&gt;"",EDATE($D52,Milestones!$AA$64)&gt;=$Y52),$AB52,$AA52)))=Milestones!$AB$64),UPPER(TEXT(EDATE($D52,Milestones!$AA$64),"dd mmm yy"))&amp;" "&amp;Milestones!$AB$64&amp;" "&amp;IF(AND(Milestones!$AB$64="FT",Milestones!$AA$64=FT_Y5,EDATE($D52,Milestones!$AA$64)&lt;PolicyEff),1,Milestones!$AC$64)&amp;";  ","")&amp;IF(AND(EDATE($D52,Milestones!$AA$65)&lt;=AsOfDate,EDATE($D52,Milestones!$AA$65)&gt;=SchemeStart,IF($X52=0,$AD52,IF(AND($Z52&lt;&gt;"",EDATE($D52,Milestones!$AA$65)&gt;=$Z52),$AC52,IF(AND($Y52&lt;&gt;"",EDATE($D52,Milestones!$AA$65)&gt;=$Y52),$AB52,$AA52)))=Milestones!$AB$65),UPPER(TEXT(EDATE($D52,Milestones!$AA$65),"dd mmm yy"))&amp;" "&amp;Milestones!$AB$65&amp;" "&amp;IF(AND(Milestones!$AB$65="FT",Milestones!$AA$65=FT_Y5,EDATE($D52,Milestones!$AA$65)&lt;PolicyEff),1,Milestones!$AC$65)&amp;";  ","")&amp;IF(AND(EDATE($D52,Milestones!$AA$66)&lt;=AsOfDate,EDATE($D52,Milestones!$AA$66)&gt;=SchemeStart,IF($X52=0,$AD52,IF(AND($Z52&lt;&gt;"",EDATE($D52,Milestones!$AA$66)&gt;=$Z52),$AC52,IF(AND($Y52&lt;&gt;"",EDATE($D52,Milestones!$AA$66)&gt;=$Y52),$AB52,$AA52)))=Milestones!$AB$66),UPPER(TEXT(EDATE($D52,Milestones!$AA$66),"dd mmm yy"))&amp;" "&amp;Milestones!$AB$66&amp;" "&amp;IF(AND(Milestones!$AB$66="FT",Milestones!$AA$66=FT_Y5,EDATE($D52,Milestones!$AA$66)&lt;PolicyEff),1,Milestones!$AC$66)&amp;";  ","")&amp;IF(AND(EDATE($D52,Milestones!$AA$67)&lt;=AsOfDate,EDATE($D52,Milestones!$AA$67)&gt;=SchemeStart,IF($X52=0,$AD52,IF(AND($Z52&lt;&gt;"",EDATE($D52,Milestones!$AA$67)&gt;=$Z52),$AC52,IF(AND($Y52&lt;&gt;"",EDATE($D52,Milestones!$AA$67)&gt;=$Y52),$AB52,$AA52)))=Milestones!$AB$67),UPPER(TEXT(EDATE($D52,Milestones!$AA$67),"dd mmm yy"))&amp;" "&amp;Milestones!$AB$67&amp;" "&amp;IF(AND(Milestones!$AB$67="FT",Milestones!$AA$67=FT_Y5,EDATE($D52,Milestones!$AA$67)&lt;PolicyEff),1,Milestones!$AC$67)&amp;";  ",""))</f>
        <v/>
      </c>
      <c r="M52" s="0" t="str">
        <f aca="false">IF(OR($A52="",$D52=""),"",IF(AND(EDATE($D52,Milestones!$AA$68)&lt;=AsOfDate,EDATE($D52,Milestones!$AA$68)&gt;=SchemeStart,IF($X52=0,$AD52,IF(AND($Z52&lt;&gt;"",EDATE($D52,Milestones!$AA$68)&gt;=$Z52),$AC52,IF(AND($Y52&lt;&gt;"",EDATE($D52,Milestones!$AA$68)&gt;=$Y52),$AB52,$AA52)))=Milestones!$AB$68),UPPER(TEXT(EDATE($D52,Milestones!$AA$68),"dd mmm yy"))&amp;" "&amp;Milestones!$AB$68&amp;" "&amp;IF(AND(Milestones!$AB$68="FT",Milestones!$AA$68=FT_Y5,EDATE($D52,Milestones!$AA$68)&lt;PolicyEff),1,Milestones!$AC$68)&amp;";  ","")&amp;IF(AND(EDATE($D52,Milestones!$AA$69)&lt;=AsOfDate,EDATE($D52,Milestones!$AA$69)&gt;=SchemeStart,IF($X52=0,$AD52,IF(AND($Z52&lt;&gt;"",EDATE($D52,Milestones!$AA$69)&gt;=$Z52),$AC52,IF(AND($Y52&lt;&gt;"",EDATE($D52,Milestones!$AA$69)&gt;=$Y52),$AB52,$AA52)))=Milestones!$AB$69),UPPER(TEXT(EDATE($D52,Milestones!$AA$69),"dd mmm yy"))&amp;" "&amp;Milestones!$AB$69&amp;" "&amp;IF(AND(Milestones!$AB$69="FT",Milestones!$AA$69=FT_Y5,EDATE($D52,Milestones!$AA$69)&lt;PolicyEff),1,Milestones!$AC$69)&amp;";  ","")&amp;IF(AND(EDATE($D52,Milestones!$AA$70)&lt;=AsOfDate,EDATE($D52,Milestones!$AA$70)&gt;=SchemeStart,IF($X52=0,$AD52,IF(AND($Z52&lt;&gt;"",EDATE($D52,Milestones!$AA$70)&gt;=$Z52),$AC52,IF(AND($Y52&lt;&gt;"",EDATE($D52,Milestones!$AA$70)&gt;=$Y52),$AB52,$AA52)))=Milestones!$AB$70),UPPER(TEXT(EDATE($D52,Milestones!$AA$70),"dd mmm yy"))&amp;" "&amp;Milestones!$AB$70&amp;" "&amp;IF(AND(Milestones!$AB$70="FT",Milestones!$AA$70=FT_Y5,EDATE($D52,Milestones!$AA$70)&lt;PolicyEff),1,Milestones!$AC$70)&amp;";  ","")&amp;IF(AND(EDATE($D52,Milestones!$AA$71)&lt;=AsOfDate,EDATE($D52,Milestones!$AA$71)&gt;=SchemeStart,IF($X52=0,$AD52,IF(AND($Z52&lt;&gt;"",EDATE($D52,Milestones!$AA$71)&gt;=$Z52),$AC52,IF(AND($Y52&lt;&gt;"",EDATE($D52,Milestones!$AA$71)&gt;=$Y52),$AB52,$AA52)))=Milestones!$AB$71),UPPER(TEXT(EDATE($D52,Milestones!$AA$71),"dd mmm yy"))&amp;" "&amp;Milestones!$AB$71&amp;" "&amp;IF(AND(Milestones!$AB$71="FT",Milestones!$AA$71=FT_Y5,EDATE($D52,Milestones!$AA$71)&lt;PolicyEff),1,Milestones!$AC$71)&amp;";  ","")&amp;IF(AND(EDATE($D52,Milestones!$AA$72)&lt;=AsOfDate,EDATE($D52,Milestones!$AA$72)&gt;=SchemeStart,IF($X52=0,$AD52,IF(AND($Z52&lt;&gt;"",EDATE($D52,Milestones!$AA$72)&gt;=$Z52),$AC52,IF(AND($Y52&lt;&gt;"",EDATE($D52,Milestones!$AA$72)&gt;=$Y52),$AB52,$AA52)))=Milestones!$AB$72),UPPER(TEXT(EDATE($D52,Milestones!$AA$72),"dd mmm yy"))&amp;" "&amp;Milestones!$AB$72&amp;" "&amp;IF(AND(Milestones!$AB$72="FT",Milestones!$AA$72=FT_Y5,EDATE($D52,Milestones!$AA$72)&lt;PolicyEff),1,Milestones!$AC$72)&amp;";  ","")&amp;IF(AND(EDATE($D52,Milestones!$AA$73)&lt;=AsOfDate,EDATE($D52,Milestones!$AA$73)&gt;=SchemeStart,IF($X52=0,$AD52,IF(AND($Z52&lt;&gt;"",EDATE($D52,Milestones!$AA$73)&gt;=$Z52),$AC52,IF(AND($Y52&lt;&gt;"",EDATE($D52,Milestones!$AA$73)&gt;=$Y52),$AB52,$AA52)))=Milestones!$AB$73),UPPER(TEXT(EDATE($D52,Milestones!$AA$73),"dd mmm yy"))&amp;" "&amp;Milestones!$AB$73&amp;" "&amp;IF(AND(Milestones!$AB$73="FT",Milestones!$AA$73=FT_Y5,EDATE($D52,Milestones!$AA$73)&lt;PolicyEff),1,Milestones!$AC$73)&amp;";  ","")&amp;IF(AND(EDATE($D52,Milestones!$AA$74)&lt;=AsOfDate,EDATE($D52,Milestones!$AA$74)&gt;=SchemeStart,IF($X52=0,$AD52,IF(AND($Z52&lt;&gt;"",EDATE($D52,Milestones!$AA$74)&gt;=$Z52),$AC52,IF(AND($Y52&lt;&gt;"",EDATE($D52,Milestones!$AA$74)&gt;=$Y52),$AB52,$AA52)))=Milestones!$AB$74),UPPER(TEXT(EDATE($D52,Milestones!$AA$74),"dd mmm yy"))&amp;" "&amp;Milestones!$AB$74&amp;" "&amp;IF(AND(Milestones!$AB$74="FT",Milestones!$AA$74=FT_Y5,EDATE($D52,Milestones!$AA$74)&lt;PolicyEff),1,Milestones!$AC$74)&amp;";  ","")&amp;IF(AND(EDATE($D52,Milestones!$AA$75)&lt;=AsOfDate,EDATE($D52,Milestones!$AA$75)&gt;=SchemeStart,IF($X52=0,$AD52,IF(AND($Z52&lt;&gt;"",EDATE($D52,Milestones!$AA$75)&gt;=$Z52),$AC52,IF(AND($Y52&lt;&gt;"",EDATE($D52,Milestones!$AA$75)&gt;=$Y52),$AB52,$AA52)))=Milestones!$AB$75),UPPER(TEXT(EDATE($D52,Milestones!$AA$75),"dd mmm yy"))&amp;" "&amp;Milestones!$AB$75&amp;" "&amp;IF(AND(Milestones!$AB$75="FT",Milestones!$AA$75=FT_Y5,EDATE($D52,Milestones!$AA$75)&lt;PolicyEff),1,Milestones!$AC$75)&amp;";  ","")&amp;IF(AND(EDATE($D52,Milestones!$AA$76)&lt;=AsOfDate,EDATE($D52,Milestones!$AA$76)&gt;=SchemeStart,IF($X52=0,$AD52,IF(AND($Z52&lt;&gt;"",EDATE($D52,Milestones!$AA$76)&gt;=$Z52),$AC52,IF(AND($Y52&lt;&gt;"",EDATE($D52,Milestones!$AA$76)&gt;=$Y52),$AB52,$AA52)))=Milestones!$AB$76),UPPER(TEXT(EDATE($D52,Milestones!$AA$76),"dd mmm yy"))&amp;" "&amp;Milestones!$AB$76&amp;" "&amp;IF(AND(Milestones!$AB$76="FT",Milestones!$AA$76=FT_Y5,EDATE($D52,Milestones!$AA$76)&lt;PolicyEff),1,Milestones!$AC$76)&amp;";  ","")&amp;IF(AND(EDATE($D52,Milestones!$AA$77)&lt;=AsOfDate,EDATE($D52,Milestones!$AA$77)&gt;=SchemeStart,IF($X52=0,$AD52,IF(AND($Z52&lt;&gt;"",EDATE($D52,Milestones!$AA$77)&gt;=$Z52),$AC52,IF(AND($Y52&lt;&gt;"",EDATE($D52,Milestones!$AA$77)&gt;=$Y52),$AB52,$AA52)))=Milestones!$AB$77),UPPER(TEXT(EDATE($D52,Milestones!$AA$77),"dd mmm yy"))&amp;" "&amp;Milestones!$AB$77&amp;" "&amp;IF(AND(Milestones!$AB$77="FT",Milestones!$AA$77=FT_Y5,EDATE($D52,Milestones!$AA$77)&lt;PolicyEff),1,Milestones!$AC$77)&amp;";  ","")&amp;IF(AND(EDATE($D52,Milestones!$AA$78)&lt;=AsOfDate,EDATE($D52,Milestones!$AA$78)&gt;=SchemeStart,IF($X52=0,$AD52,IF(AND($Z52&lt;&gt;"",EDATE($D52,Milestones!$AA$78)&gt;=$Z52),$AC52,IF(AND($Y52&lt;&gt;"",EDATE($D52,Milestones!$AA$78)&gt;=$Y52),$AB52,$AA52)))=Milestones!$AB$78),UPPER(TEXT(EDATE($D52,Milestones!$AA$78),"dd mmm yy"))&amp;" "&amp;Milestones!$AB$78&amp;" "&amp;IF(AND(Milestones!$AB$78="FT",Milestones!$AA$78=FT_Y5,EDATE($D52,Milestones!$AA$78)&lt;PolicyEff),1,Milestones!$AC$78)&amp;";  ","")&amp;IF(AND(EDATE($D52,Milestones!$AA$79)&lt;=AsOfDate,EDATE($D52,Milestones!$AA$79)&gt;=SchemeStart,IF($X52=0,$AD52,IF(AND($Z52&lt;&gt;"",EDATE($D52,Milestones!$AA$79)&gt;=$Z52),$AC52,IF(AND($Y52&lt;&gt;"",EDATE($D52,Milestones!$AA$79)&gt;=$Y52),$AB52,$AA52)))=Milestones!$AB$79),UPPER(TEXT(EDATE($D52,Milestones!$AA$79),"dd mmm yy"))&amp;" "&amp;Milestones!$AB$79&amp;" "&amp;IF(AND(Milestones!$AB$79="FT",Milestones!$AA$79=FT_Y5,EDATE($D52,Milestones!$AA$79)&lt;PolicyEff),1,Milestones!$AC$79)&amp;";  ",""))</f>
        <v/>
      </c>
      <c r="N52" s="0" t="str">
        <f aca="false">IF(OR($A52="",$D52=""),"",IF(AND(EDATE($D52,Milestones!$AA$80)&lt;=AsOfDate,EDATE($D52,Milestones!$AA$80)&gt;=SchemeStart,IF($X52=0,$AD52,IF(AND($Z52&lt;&gt;"",EDATE($D52,Milestones!$AA$80)&gt;=$Z52),$AC52,IF(AND($Y52&lt;&gt;"",EDATE($D52,Milestones!$AA$80)&gt;=$Y52),$AB52,$AA52)))=Milestones!$AB$80),UPPER(TEXT(EDATE($D52,Milestones!$AA$80),"dd mmm yy"))&amp;" "&amp;Milestones!$AB$80&amp;" "&amp;IF(AND(Milestones!$AB$80="FT",Milestones!$AA$80=FT_Y5,EDATE($D52,Milestones!$AA$80)&lt;PolicyEff),1,Milestones!$AC$80)&amp;";  ","")&amp;IF(AND(EDATE($D52,Milestones!$AA$81)&lt;=AsOfDate,EDATE($D52,Milestones!$AA$81)&gt;=SchemeStart,IF($X52=0,$AD52,IF(AND($Z52&lt;&gt;"",EDATE($D52,Milestones!$AA$81)&gt;=$Z52),$AC52,IF(AND($Y52&lt;&gt;"",EDATE($D52,Milestones!$AA$81)&gt;=$Y52),$AB52,$AA52)))=Milestones!$AB$81),UPPER(TEXT(EDATE($D52,Milestones!$AA$81),"dd mmm yy"))&amp;" "&amp;Milestones!$AB$81&amp;" "&amp;IF(AND(Milestones!$AB$81="FT",Milestones!$AA$81=FT_Y5,EDATE($D52,Milestones!$AA$81)&lt;PolicyEff),1,Milestones!$AC$81)&amp;";  ","")&amp;IF(AND(EDATE($D52,Milestones!$AA$82)&lt;=AsOfDate,EDATE($D52,Milestones!$AA$82)&gt;=SchemeStart,IF($X52=0,$AD52,IF(AND($Z52&lt;&gt;"",EDATE($D52,Milestones!$AA$82)&gt;=$Z52),$AC52,IF(AND($Y52&lt;&gt;"",EDATE($D52,Milestones!$AA$82)&gt;=$Y52),$AB52,$AA52)))=Milestones!$AB$82),UPPER(TEXT(EDATE($D52,Milestones!$AA$82),"dd mmm yy"))&amp;" "&amp;Milestones!$AB$82&amp;" "&amp;IF(AND(Milestones!$AB$82="FT",Milestones!$AA$82=FT_Y5,EDATE($D52,Milestones!$AA$82)&lt;PolicyEff),1,Milestones!$AC$82)&amp;";  ","")&amp;IF(AND(EDATE($D52,Milestones!$AA$83)&lt;=AsOfDate,EDATE($D52,Milestones!$AA$83)&gt;=SchemeStart,IF($X52=0,$AD52,IF(AND($Z52&lt;&gt;"",EDATE($D52,Milestones!$AA$83)&gt;=$Z52),$AC52,IF(AND($Y52&lt;&gt;"",EDATE($D52,Milestones!$AA$83)&gt;=$Y52),$AB52,$AA52)))=Milestones!$AB$83),UPPER(TEXT(EDATE($D52,Milestones!$AA$83),"dd mmm yy"))&amp;" "&amp;Milestones!$AB$83&amp;" "&amp;IF(AND(Milestones!$AB$83="FT",Milestones!$AA$83=FT_Y5,EDATE($D52,Milestones!$AA$83)&lt;PolicyEff),1,Milestones!$AC$83)&amp;";  ","")&amp;IF(AND(EDATE($D52,Milestones!$AA$84)&lt;=AsOfDate,EDATE($D52,Milestones!$AA$84)&gt;=SchemeStart,IF($X52=0,$AD52,IF(AND($Z52&lt;&gt;"",EDATE($D52,Milestones!$AA$84)&gt;=$Z52),$AC52,IF(AND($Y52&lt;&gt;"",EDATE($D52,Milestones!$AA$84)&gt;=$Y52),$AB52,$AA52)))=Milestones!$AB$84),UPPER(TEXT(EDATE($D52,Milestones!$AA$84),"dd mmm yy"))&amp;" "&amp;Milestones!$AB$84&amp;" "&amp;IF(AND(Milestones!$AB$84="FT",Milestones!$AA$84=FT_Y5,EDATE($D52,Milestones!$AA$84)&lt;PolicyEff),1,Milestones!$AC$84)&amp;";  ","")&amp;IF(AND(EDATE($D52,Milestones!$AA$85)&lt;=AsOfDate,EDATE($D52,Milestones!$AA$85)&gt;=SchemeStart,IF($X52=0,$AD52,IF(AND($Z52&lt;&gt;"",EDATE($D52,Milestones!$AA$85)&gt;=$Z52),$AC52,IF(AND($Y52&lt;&gt;"",EDATE($D52,Milestones!$AA$85)&gt;=$Y52),$AB52,$AA52)))=Milestones!$AB$85),UPPER(TEXT(EDATE($D52,Milestones!$AA$85),"dd mmm yy"))&amp;" "&amp;Milestones!$AB$85&amp;" "&amp;IF(AND(Milestones!$AB$85="FT",Milestones!$AA$85=FT_Y5,EDATE($D52,Milestones!$AA$85)&lt;PolicyEff),1,Milestones!$AC$85)&amp;";  ","")&amp;IF(AND(EDATE($D52,Milestones!$AA$86)&lt;=AsOfDate,EDATE($D52,Milestones!$AA$86)&gt;=SchemeStart,IF($X52=0,$AD52,IF(AND($Z52&lt;&gt;"",EDATE($D52,Milestones!$AA$86)&gt;=$Z52),$AC52,IF(AND($Y52&lt;&gt;"",EDATE($D52,Milestones!$AA$86)&gt;=$Y52),$AB52,$AA52)))=Milestones!$AB$86),UPPER(TEXT(EDATE($D52,Milestones!$AA$86),"dd mmm yy"))&amp;" "&amp;Milestones!$AB$86&amp;" "&amp;IF(AND(Milestones!$AB$86="FT",Milestones!$AA$86=FT_Y5,EDATE($D52,Milestones!$AA$86)&lt;PolicyEff),1,Milestones!$AC$86)&amp;";  ","")&amp;IF(AND(EDATE($D52,Milestones!$AA$87)&lt;=AsOfDate,EDATE($D52,Milestones!$AA$87)&gt;=SchemeStart,IF($X52=0,$AD52,IF(AND($Z52&lt;&gt;"",EDATE($D52,Milestones!$AA$87)&gt;=$Z52),$AC52,IF(AND($Y52&lt;&gt;"",EDATE($D52,Milestones!$AA$87)&gt;=$Y52),$AB52,$AA52)))=Milestones!$AB$87),UPPER(TEXT(EDATE($D52,Milestones!$AA$87),"dd mmm yy"))&amp;" "&amp;Milestones!$AB$87&amp;" "&amp;IF(AND(Milestones!$AB$87="FT",Milestones!$AA$87=FT_Y5,EDATE($D52,Milestones!$AA$87)&lt;PolicyEff),1,Milestones!$AC$87)&amp;";  ","")&amp;IF(AND(EDATE($D52,Milestones!$AA$88)&lt;=AsOfDate,EDATE($D52,Milestones!$AA$88)&gt;=SchemeStart,IF($X52=0,$AD52,IF(AND($Z52&lt;&gt;"",EDATE($D52,Milestones!$AA$88)&gt;=$Z52),$AC52,IF(AND($Y52&lt;&gt;"",EDATE($D52,Milestones!$AA$88)&gt;=$Y52),$AB52,$AA52)))=Milestones!$AB$88),UPPER(TEXT(EDATE($D52,Milestones!$AA$88),"dd mmm yy"))&amp;" "&amp;Milestones!$AB$88&amp;" "&amp;IF(AND(Milestones!$AB$88="FT",Milestones!$AA$88=FT_Y5,EDATE($D52,Milestones!$AA$88)&lt;PolicyEff),1,Milestones!$AC$88)&amp;";  ","")&amp;IF(AND(EDATE($D52,Milestones!$AA$89)&lt;=AsOfDate,EDATE($D52,Milestones!$AA$89)&gt;=SchemeStart,IF($X52=0,$AD52,IF(AND($Z52&lt;&gt;"",EDATE($D52,Milestones!$AA$89)&gt;=$Z52),$AC52,IF(AND($Y52&lt;&gt;"",EDATE($D52,Milestones!$AA$89)&gt;=$Y52),$AB52,$AA52)))=Milestones!$AB$89),UPPER(TEXT(EDATE($D52,Milestones!$AA$89),"dd mmm yy"))&amp;" "&amp;Milestones!$AB$89&amp;" "&amp;IF(AND(Milestones!$AB$89="FT",Milestones!$AA$89=FT_Y5,EDATE($D52,Milestones!$AA$89)&lt;PolicyEff),1,Milestones!$AC$89)&amp;";  ","")&amp;IF(AND(EDATE($D52,Milestones!$AA$90)&lt;=AsOfDate,EDATE($D52,Milestones!$AA$90)&gt;=SchemeStart,IF($X52=0,$AD52,IF(AND($Z52&lt;&gt;"",EDATE($D52,Milestones!$AA$90)&gt;=$Z52),$AC52,IF(AND($Y52&lt;&gt;"",EDATE($D52,Milestones!$AA$90)&gt;=$Y52),$AB52,$AA52)))=Milestones!$AB$90),UPPER(TEXT(EDATE($D52,Milestones!$AA$90),"dd mmm yy"))&amp;" "&amp;Milestones!$AB$90&amp;" "&amp;IF(AND(Milestones!$AB$90="FT",Milestones!$AA$90=FT_Y5,EDATE($D52,Milestones!$AA$90)&lt;PolicyEff),1,Milestones!$AC$90)&amp;";  ","")&amp;IF(AND(EDATE($D52,Milestones!$AA$91)&lt;=AsOfDate,EDATE($D52,Milestones!$AA$91)&gt;=SchemeStart,IF($X52=0,$AD52,IF(AND($Z52&lt;&gt;"",EDATE($D52,Milestones!$AA$91)&gt;=$Z52),$AC52,IF(AND($Y52&lt;&gt;"",EDATE($D52,Milestones!$AA$91)&gt;=$Y52),$AB52,$AA52)))=Milestones!$AB$91),UPPER(TEXT(EDATE($D52,Milestones!$AA$91),"dd mmm yy"))&amp;" "&amp;Milestones!$AB$91&amp;" "&amp;IF(AND(Milestones!$AB$91="FT",Milestones!$AA$91=FT_Y5,EDATE($D52,Milestones!$AA$91)&lt;PolicyEff),1,Milestones!$AC$91)&amp;";  ",""))</f>
        <v/>
      </c>
      <c r="O52" s="0" t="str">
        <f aca="false">IF(OR($A52="",$D52=""),"",IF(AND(EDATE($D52,Milestones!$AA$92)&lt;=AsOfDate,EDATE($D52,Milestones!$AA$92)&gt;=SchemeStart,IF($X52=0,$AD52,IF(AND($Z52&lt;&gt;"",EDATE($D52,Milestones!$AA$92)&gt;=$Z52),$AC52,IF(AND($Y52&lt;&gt;"",EDATE($D52,Milestones!$AA$92)&gt;=$Y52),$AB52,$AA52)))=Milestones!$AB$92),UPPER(TEXT(EDATE($D52,Milestones!$AA$92),"dd mmm yy"))&amp;" "&amp;Milestones!$AB$92&amp;" "&amp;IF(AND(Milestones!$AB$92="FT",Milestones!$AA$92=FT_Y5,EDATE($D52,Milestones!$AA$92)&lt;PolicyEff),1,Milestones!$AC$92)&amp;";  ","")&amp;IF(AND(EDATE($D52,Milestones!$AA$93)&lt;=AsOfDate,EDATE($D52,Milestones!$AA$93)&gt;=SchemeStart,IF($X52=0,$AD52,IF(AND($Z52&lt;&gt;"",EDATE($D52,Milestones!$AA$93)&gt;=$Z52),$AC52,IF(AND($Y52&lt;&gt;"",EDATE($D52,Milestones!$AA$93)&gt;=$Y52),$AB52,$AA52)))=Milestones!$AB$93),UPPER(TEXT(EDATE($D52,Milestones!$AA$93),"dd mmm yy"))&amp;" "&amp;Milestones!$AB$93&amp;" "&amp;IF(AND(Milestones!$AB$93="FT",Milestones!$AA$93=FT_Y5,EDATE($D52,Milestones!$AA$93)&lt;PolicyEff),1,Milestones!$AC$93)&amp;";  ","")&amp;IF(AND(EDATE($D52,Milestones!$AA$94)&lt;=AsOfDate,EDATE($D52,Milestones!$AA$94)&gt;=SchemeStart,IF($X52=0,$AD52,IF(AND($Z52&lt;&gt;"",EDATE($D52,Milestones!$AA$94)&gt;=$Z52),$AC52,IF(AND($Y52&lt;&gt;"",EDATE($D52,Milestones!$AA$94)&gt;=$Y52),$AB52,$AA52)))=Milestones!$AB$94),UPPER(TEXT(EDATE($D52,Milestones!$AA$94),"dd mmm yy"))&amp;" "&amp;Milestones!$AB$94&amp;" "&amp;IF(AND(Milestones!$AB$94="FT",Milestones!$AA$94=FT_Y5,EDATE($D52,Milestones!$AA$94)&lt;PolicyEff),1,Milestones!$AC$94)&amp;";  ","")&amp;IF(AND(EDATE($D52,Milestones!$AA$95)&lt;=AsOfDate,EDATE($D52,Milestones!$AA$95)&gt;=SchemeStart,IF($X52=0,$AD52,IF(AND($Z52&lt;&gt;"",EDATE($D52,Milestones!$AA$95)&gt;=$Z52),$AC52,IF(AND($Y52&lt;&gt;"",EDATE($D52,Milestones!$AA$95)&gt;=$Y52),$AB52,$AA52)))=Milestones!$AB$95),UPPER(TEXT(EDATE($D52,Milestones!$AA$95),"dd mmm yy"))&amp;" "&amp;Milestones!$AB$95&amp;" "&amp;IF(AND(Milestones!$AB$95="FT",Milestones!$AA$95=FT_Y5,EDATE($D52,Milestones!$AA$95)&lt;PolicyEff),1,Milestones!$AC$95)&amp;";  ","")&amp;IF(AND(EDATE($D52,Milestones!$AA$96)&lt;=AsOfDate,EDATE($D52,Milestones!$AA$96)&gt;=SchemeStart,IF($X52=0,$AD52,IF(AND($Z52&lt;&gt;"",EDATE($D52,Milestones!$AA$96)&gt;=$Z52),$AC52,IF(AND($Y52&lt;&gt;"",EDATE($D52,Milestones!$AA$96)&gt;=$Y52),$AB52,$AA52)))=Milestones!$AB$96),UPPER(TEXT(EDATE($D52,Milestones!$AA$96),"dd mmm yy"))&amp;" "&amp;Milestones!$AB$96&amp;" "&amp;IF(AND(Milestones!$AB$96="FT",Milestones!$AA$96=FT_Y5,EDATE($D52,Milestones!$AA$96)&lt;PolicyEff),1,Milestones!$AC$96)&amp;";  ","")&amp;IF(AND(EDATE($D52,Milestones!$AA$97)&lt;=AsOfDate,EDATE($D52,Milestones!$AA$97)&gt;=SchemeStart,IF($X52=0,$AD52,IF(AND($Z52&lt;&gt;"",EDATE($D52,Milestones!$AA$97)&gt;=$Z52),$AC52,IF(AND($Y52&lt;&gt;"",EDATE($D52,Milestones!$AA$97)&gt;=$Y52),$AB52,$AA52)))=Milestones!$AB$97),UPPER(TEXT(EDATE($D52,Milestones!$AA$97),"dd mmm yy"))&amp;" "&amp;Milestones!$AB$97&amp;" "&amp;IF(AND(Milestones!$AB$97="FT",Milestones!$AA$97=FT_Y5,EDATE($D52,Milestones!$AA$97)&lt;PolicyEff),1,Milestones!$AC$97)&amp;";  ","")&amp;IF(AND(EDATE($D52,Milestones!$AA$98)&lt;=AsOfDate,EDATE($D52,Milestones!$AA$98)&gt;=SchemeStart,IF($X52=0,$AD52,IF(AND($Z52&lt;&gt;"",EDATE($D52,Milestones!$AA$98)&gt;=$Z52),$AC52,IF(AND($Y52&lt;&gt;"",EDATE($D52,Milestones!$AA$98)&gt;=$Y52),$AB52,$AA52)))=Milestones!$AB$98),UPPER(TEXT(EDATE($D52,Milestones!$AA$98),"dd mmm yy"))&amp;" "&amp;Milestones!$AB$98&amp;" "&amp;IF(AND(Milestones!$AB$98="FT",Milestones!$AA$98=FT_Y5,EDATE($D52,Milestones!$AA$98)&lt;PolicyEff),1,Milestones!$AC$98)&amp;";  ","")&amp;IF(AND(EDATE($D52,Milestones!$AA$99)&lt;=AsOfDate,EDATE($D52,Milestones!$AA$99)&gt;=SchemeStart,IF($X52=0,$AD52,IF(AND($Z52&lt;&gt;"",EDATE($D52,Milestones!$AA$99)&gt;=$Z52),$AC52,IF(AND($Y52&lt;&gt;"",EDATE($D52,Milestones!$AA$99)&gt;=$Y52),$AB52,$AA52)))=Milestones!$AB$99),UPPER(TEXT(EDATE($D52,Milestones!$AA$99),"dd mmm yy"))&amp;" "&amp;Milestones!$AB$99&amp;" "&amp;IF(AND(Milestones!$AB$99="FT",Milestones!$AA$99=FT_Y5,EDATE($D52,Milestones!$AA$99)&lt;PolicyEff),1,Milestones!$AC$99)&amp;";  ","")&amp;IF(AND(EDATE($D52,Milestones!$AA$100)&lt;=AsOfDate,EDATE($D52,Milestones!$AA$100)&gt;=SchemeStart,IF($X52=0,$AD52,IF(AND($Z52&lt;&gt;"",EDATE($D52,Milestones!$AA$100)&gt;=$Z52),$AC52,IF(AND($Y52&lt;&gt;"",EDATE($D52,Milestones!$AA$100)&gt;=$Y52),$AB52,$AA52)))=Milestones!$AB$100),UPPER(TEXT(EDATE($D52,Milestones!$AA$100),"dd mmm yy"))&amp;" "&amp;Milestones!$AB$100&amp;" "&amp;IF(AND(Milestones!$AB$100="FT",Milestones!$AA$100=FT_Y5,EDATE($D52,Milestones!$AA$100)&lt;PolicyEff),1,Milestones!$AC$100)&amp;";  ","")&amp;IF(AND(EDATE($D52,Milestones!$AA$101)&lt;=AsOfDate,EDATE($D52,Milestones!$AA$101)&gt;=SchemeStart,IF($X52=0,$AD52,IF(AND($Z52&lt;&gt;"",EDATE($D52,Milestones!$AA$101)&gt;=$Z52),$AC52,IF(AND($Y52&lt;&gt;"",EDATE($D52,Milestones!$AA$101)&gt;=$Y52),$AB52,$AA52)))=Milestones!$AB$101),UPPER(TEXT(EDATE($D52,Milestones!$AA$101),"dd mmm yy"))&amp;" "&amp;Milestones!$AB$101&amp;" "&amp;IF(AND(Milestones!$AB$101="FT",Milestones!$AA$101=FT_Y5,EDATE($D52,Milestones!$AA$101)&lt;PolicyEff),1,Milestones!$AC$101)&amp;";  ","")&amp;IF(AND(EDATE($D52,Milestones!$AA$102)&lt;=AsOfDate,EDATE($D52,Milestones!$AA$102)&gt;=SchemeStart,IF($X52=0,$AD52,IF(AND($Z52&lt;&gt;"",EDATE($D52,Milestones!$AA$102)&gt;=$Z52),$AC52,IF(AND($Y52&lt;&gt;"",EDATE($D52,Milestones!$AA$102)&gt;=$Y52),$AB52,$AA52)))=Milestones!$AB$102),UPPER(TEXT(EDATE($D52,Milestones!$AA$102),"dd mmm yy"))&amp;" "&amp;Milestones!$AB$102&amp;" "&amp;IF(AND(Milestones!$AB$102="FT",Milestones!$AA$102=FT_Y5,EDATE($D52,Milestones!$AA$102)&lt;PolicyEff),1,Milestones!$AC$102)&amp;";  ","")&amp;IF(AND(EDATE($D52,Milestones!$AA$103)&lt;=AsOfDate,EDATE($D52,Milestones!$AA$103)&gt;=SchemeStart,IF($X52=0,$AD52,IF(AND($Z52&lt;&gt;"",EDATE($D52,Milestones!$AA$103)&gt;=$Z52),$AC52,IF(AND($Y52&lt;&gt;"",EDATE($D52,Milestones!$AA$103)&gt;=$Y52),$AB52,$AA52)))=Milestones!$AB$103),UPPER(TEXT(EDATE($D52,Milestones!$AA$103),"dd mmm yy"))&amp;" "&amp;Milestones!$AB$103&amp;" "&amp;IF(AND(Milestones!$AB$103="FT",Milestones!$AA$103=FT_Y5,EDATE($D52,Milestones!$AA$103)&lt;PolicyEff),1,Milestones!$AC$103)&amp;";  ",""))</f>
        <v/>
      </c>
      <c r="P52" s="0" t="str">
        <f aca="false">IF(OR($A52="",$D52=""),"",IF(AND(EDATE($D52,Milestones!$AA$104)&lt;=AsOfDate,EDATE($D52,Milestones!$AA$104)&gt;=SchemeStart,IF($X52=0,$AD52,IF(AND($Z52&lt;&gt;"",EDATE($D52,Milestones!$AA$104)&gt;=$Z52),$AC52,IF(AND($Y52&lt;&gt;"",EDATE($D52,Milestones!$AA$104)&gt;=$Y52),$AB52,$AA52)))=Milestones!$AB$104),UPPER(TEXT(EDATE($D52,Milestones!$AA$104),"dd mmm yy"))&amp;" "&amp;Milestones!$AB$104&amp;" "&amp;IF(AND(Milestones!$AB$104="FT",Milestones!$AA$104=FT_Y5,EDATE($D52,Milestones!$AA$104)&lt;PolicyEff),1,Milestones!$AC$104)&amp;";  ","")&amp;IF(AND(EDATE($D52,Milestones!$AA$105)&lt;=AsOfDate,EDATE($D52,Milestones!$AA$105)&gt;=SchemeStart,IF($X52=0,$AD52,IF(AND($Z52&lt;&gt;"",EDATE($D52,Milestones!$AA$105)&gt;=$Z52),$AC52,IF(AND($Y52&lt;&gt;"",EDATE($D52,Milestones!$AA$105)&gt;=$Y52),$AB52,$AA52)))=Milestones!$AB$105),UPPER(TEXT(EDATE($D52,Milestones!$AA$105),"dd mmm yy"))&amp;" "&amp;Milestones!$AB$105&amp;" "&amp;IF(AND(Milestones!$AB$105="FT",Milestones!$AA$105=FT_Y5,EDATE($D52,Milestones!$AA$105)&lt;PolicyEff),1,Milestones!$AC$105)&amp;";  ","")&amp;IF(AND(EDATE($D52,Milestones!$AA$106)&lt;=AsOfDate,EDATE($D52,Milestones!$AA$106)&gt;=SchemeStart,IF($X52=0,$AD52,IF(AND($Z52&lt;&gt;"",EDATE($D52,Milestones!$AA$106)&gt;=$Z52),$AC52,IF(AND($Y52&lt;&gt;"",EDATE($D52,Milestones!$AA$106)&gt;=$Y52),$AB52,$AA52)))=Milestones!$AB$106),UPPER(TEXT(EDATE($D52,Milestones!$AA$106),"dd mmm yy"))&amp;" "&amp;Milestones!$AB$106&amp;" "&amp;IF(AND(Milestones!$AB$106="FT",Milestones!$AA$106=FT_Y5,EDATE($D52,Milestones!$AA$106)&lt;PolicyEff),1,Milestones!$AC$106)&amp;";  ","")&amp;IF(AND(EDATE($D52,Milestones!$AA$107)&lt;=AsOfDate,EDATE($D52,Milestones!$AA$107)&gt;=SchemeStart,IF($X52=0,$AD52,IF(AND($Z52&lt;&gt;"",EDATE($D52,Milestones!$AA$107)&gt;=$Z52),$AC52,IF(AND($Y52&lt;&gt;"",EDATE($D52,Milestones!$AA$107)&gt;=$Y52),$AB52,$AA52)))=Milestones!$AB$107),UPPER(TEXT(EDATE($D52,Milestones!$AA$107),"dd mmm yy"))&amp;" "&amp;Milestones!$AB$107&amp;" "&amp;IF(AND(Milestones!$AB$107="FT",Milestones!$AA$107=FT_Y5,EDATE($D52,Milestones!$AA$107)&lt;PolicyEff),1,Milestones!$AC$107)&amp;";  ","")&amp;IF(AND(EDATE($D52,Milestones!$AA$108)&lt;=AsOfDate,EDATE($D52,Milestones!$AA$108)&gt;=SchemeStart,IF($X52=0,$AD52,IF(AND($Z52&lt;&gt;"",EDATE($D52,Milestones!$AA$108)&gt;=$Z52),$AC52,IF(AND($Y52&lt;&gt;"",EDATE($D52,Milestones!$AA$108)&gt;=$Y52),$AB52,$AA52)))=Milestones!$AB$108),UPPER(TEXT(EDATE($D52,Milestones!$AA$108),"dd mmm yy"))&amp;" "&amp;Milestones!$AB$108&amp;" "&amp;IF(AND(Milestones!$AB$108="FT",Milestones!$AA$108=FT_Y5,EDATE($D52,Milestones!$AA$108)&lt;PolicyEff),1,Milestones!$AC$108)&amp;";  ","")&amp;IF(AND(EDATE($D52,Milestones!$AA$109)&lt;=AsOfDate,EDATE($D52,Milestones!$AA$109)&gt;=SchemeStart,IF($X52=0,$AD52,IF(AND($Z52&lt;&gt;"",EDATE($D52,Milestones!$AA$109)&gt;=$Z52),$AC52,IF(AND($Y52&lt;&gt;"",EDATE($D52,Milestones!$AA$109)&gt;=$Y52),$AB52,$AA52)))=Milestones!$AB$109),UPPER(TEXT(EDATE($D52,Milestones!$AA$109),"dd mmm yy"))&amp;" "&amp;Milestones!$AB$109&amp;" "&amp;IF(AND(Milestones!$AB$109="FT",Milestones!$AA$109=FT_Y5,EDATE($D52,Milestones!$AA$109)&lt;PolicyEff),1,Milestones!$AC$109)&amp;";  ","")&amp;IF(AND(EDATE($D52,Milestones!$AA$110)&lt;=AsOfDate,EDATE($D52,Milestones!$AA$110)&gt;=SchemeStart,IF($X52=0,$AD52,IF(AND($Z52&lt;&gt;"",EDATE($D52,Milestones!$AA$110)&gt;=$Z52),$AC52,IF(AND($Y52&lt;&gt;"",EDATE($D52,Milestones!$AA$110)&gt;=$Y52),$AB52,$AA52)))=Milestones!$AB$110),UPPER(TEXT(EDATE($D52,Milestones!$AA$110),"dd mmm yy"))&amp;" "&amp;Milestones!$AB$110&amp;" "&amp;IF(AND(Milestones!$AB$110="FT",Milestones!$AA$110=FT_Y5,EDATE($D52,Milestones!$AA$110)&lt;PolicyEff),1,Milestones!$AC$110)&amp;";  ","")&amp;IF(AND(EDATE($D52,Milestones!$AA$111)&lt;=AsOfDate,EDATE($D52,Milestones!$AA$111)&gt;=SchemeStart,IF($X52=0,$AD52,IF(AND($Z52&lt;&gt;"",EDATE($D52,Milestones!$AA$111)&gt;=$Z52),$AC52,IF(AND($Y52&lt;&gt;"",EDATE($D52,Milestones!$AA$111)&gt;=$Y52),$AB52,$AA52)))=Milestones!$AB$111),UPPER(TEXT(EDATE($D52,Milestones!$AA$111),"dd mmm yy"))&amp;" "&amp;Milestones!$AB$111&amp;" "&amp;IF(AND(Milestones!$AB$111="FT",Milestones!$AA$111=FT_Y5,EDATE($D52,Milestones!$AA$111)&lt;PolicyEff),1,Milestones!$AC$111)&amp;";  ","")&amp;IF(AND(EDATE($D52,Milestones!$AA$112)&lt;=AsOfDate,EDATE($D52,Milestones!$AA$112)&gt;=SchemeStart,IF($X52=0,$AD52,IF(AND($Z52&lt;&gt;"",EDATE($D52,Milestones!$AA$112)&gt;=$Z52),$AC52,IF(AND($Y52&lt;&gt;"",EDATE($D52,Milestones!$AA$112)&gt;=$Y52),$AB52,$AA52)))=Milestones!$AB$112),UPPER(TEXT(EDATE($D52,Milestones!$AA$112),"dd mmm yy"))&amp;" "&amp;Milestones!$AB$112&amp;" "&amp;IF(AND(Milestones!$AB$112="FT",Milestones!$AA$112=FT_Y5,EDATE($D52,Milestones!$AA$112)&lt;PolicyEff),1,Milestones!$AC$112)&amp;";  ","")&amp;IF(AND(EDATE($D52,Milestones!$AA$113)&lt;=AsOfDate,EDATE($D52,Milestones!$AA$113)&gt;=SchemeStart,IF($X52=0,$AD52,IF(AND($Z52&lt;&gt;"",EDATE($D52,Milestones!$AA$113)&gt;=$Z52),$AC52,IF(AND($Y52&lt;&gt;"",EDATE($D52,Milestones!$AA$113)&gt;=$Y52),$AB52,$AA52)))=Milestones!$AB$113),UPPER(TEXT(EDATE($D52,Milestones!$AA$113),"dd mmm yy"))&amp;" "&amp;Milestones!$AB$113&amp;" "&amp;IF(AND(Milestones!$AB$113="FT",Milestones!$AA$113=FT_Y5,EDATE($D52,Milestones!$AA$113)&lt;PolicyEff),1,Milestones!$AC$113)&amp;";  ","")&amp;IF(AND(EDATE($D52,Milestones!$AA$114)&lt;=AsOfDate,EDATE($D52,Milestones!$AA$114)&gt;=SchemeStart,IF($X52=0,$AD52,IF(AND($Z52&lt;&gt;"",EDATE($D52,Milestones!$AA$114)&gt;=$Z52),$AC52,IF(AND($Y52&lt;&gt;"",EDATE($D52,Milestones!$AA$114)&gt;=$Y52),$AB52,$AA52)))=Milestones!$AB$114),UPPER(TEXT(EDATE($D52,Milestones!$AA$114),"dd mmm yy"))&amp;" "&amp;Milestones!$AB$114&amp;" "&amp;IF(AND(Milestones!$AB$114="FT",Milestones!$AA$114=FT_Y5,EDATE($D52,Milestones!$AA$114)&lt;PolicyEff),1,Milestones!$AC$114)&amp;";  ","")&amp;IF(AND(EDATE($D52,Milestones!$AA$115)&lt;=AsOfDate,EDATE($D52,Milestones!$AA$115)&gt;=SchemeStart,IF($X52=0,$AD52,IF(AND($Z52&lt;&gt;"",EDATE($D52,Milestones!$AA$115)&gt;=$Z52),$AC52,IF(AND($Y52&lt;&gt;"",EDATE($D52,Milestones!$AA$115)&gt;=$Y52),$AB52,$AA52)))=Milestones!$AB$115),UPPER(TEXT(EDATE($D52,Milestones!$AA$115),"dd mmm yy"))&amp;" "&amp;Milestones!$AB$115&amp;" "&amp;IF(AND(Milestones!$AB$115="FT",Milestones!$AA$115=FT_Y5,EDATE($D52,Milestones!$AA$115)&lt;PolicyEff),1,Milestones!$AC$115)&amp;";  ",""))</f>
        <v/>
      </c>
      <c r="Q52" s="0" t="str">
        <f aca="false">IF(OR($A52="",$D52=""),"",IF(AND(EDATE($D52,Milestones!$AA$116)&lt;=AsOfDate,EDATE($D52,Milestones!$AA$116)&gt;=SchemeStart,IF($X52=0,$AD52,IF(AND($Z52&lt;&gt;"",EDATE($D52,Milestones!$AA$116)&gt;=$Z52),$AC52,IF(AND($Y52&lt;&gt;"",EDATE($D52,Milestones!$AA$116)&gt;=$Y52),$AB52,$AA52)))=Milestones!$AB$116),UPPER(TEXT(EDATE($D52,Milestones!$AA$116),"dd mmm yy"))&amp;" "&amp;Milestones!$AB$116&amp;" "&amp;IF(AND(Milestones!$AB$116="FT",Milestones!$AA$116=FT_Y5,EDATE($D52,Milestones!$AA$116)&lt;PolicyEff),1,Milestones!$AC$116)&amp;";  ","")&amp;IF(AND(EDATE($D52,Milestones!$AA$117)&lt;=AsOfDate,EDATE($D52,Milestones!$AA$117)&gt;=SchemeStart,IF($X52=0,$AD52,IF(AND($Z52&lt;&gt;"",EDATE($D52,Milestones!$AA$117)&gt;=$Z52),$AC52,IF(AND($Y52&lt;&gt;"",EDATE($D52,Milestones!$AA$117)&gt;=$Y52),$AB52,$AA52)))=Milestones!$AB$117),UPPER(TEXT(EDATE($D52,Milestones!$AA$117),"dd mmm yy"))&amp;" "&amp;Milestones!$AB$117&amp;" "&amp;IF(AND(Milestones!$AB$117="FT",Milestones!$AA$117=FT_Y5,EDATE($D52,Milestones!$AA$117)&lt;PolicyEff),1,Milestones!$AC$117)&amp;";  ","")&amp;IF(AND(EDATE($D52,Milestones!$AA$118)&lt;=AsOfDate,EDATE($D52,Milestones!$AA$118)&gt;=SchemeStart,IF($X52=0,$AD52,IF(AND($Z52&lt;&gt;"",EDATE($D52,Milestones!$AA$118)&gt;=$Z52),$AC52,IF(AND($Y52&lt;&gt;"",EDATE($D52,Milestones!$AA$118)&gt;=$Y52),$AB52,$AA52)))=Milestones!$AB$118),UPPER(TEXT(EDATE($D52,Milestones!$AA$118),"dd mmm yy"))&amp;" "&amp;Milestones!$AB$118&amp;" "&amp;IF(AND(Milestones!$AB$118="FT",Milestones!$AA$118=FT_Y5,EDATE($D52,Milestones!$AA$118)&lt;PolicyEff),1,Milestones!$AC$118)&amp;";  ","")&amp;IF(AND(EDATE($D52,Milestones!$AA$119)&lt;=AsOfDate,EDATE($D52,Milestones!$AA$119)&gt;=SchemeStart,IF($X52=0,$AD52,IF(AND($Z52&lt;&gt;"",EDATE($D52,Milestones!$AA$119)&gt;=$Z52),$AC52,IF(AND($Y52&lt;&gt;"",EDATE($D52,Milestones!$AA$119)&gt;=$Y52),$AB52,$AA52)))=Milestones!$AB$119),UPPER(TEXT(EDATE($D52,Milestones!$AA$119),"dd mmm yy"))&amp;" "&amp;Milestones!$AB$119&amp;" "&amp;IF(AND(Milestones!$AB$119="FT",Milestones!$AA$119=FT_Y5,EDATE($D52,Milestones!$AA$119)&lt;PolicyEff),1,Milestones!$AC$119)&amp;";  ","")&amp;IF(AND(EDATE($D52,Milestones!$AA$120)&lt;=AsOfDate,EDATE($D52,Milestones!$AA$120)&gt;=SchemeStart,IF($X52=0,$AD52,IF(AND($Z52&lt;&gt;"",EDATE($D52,Milestones!$AA$120)&gt;=$Z52),$AC52,IF(AND($Y52&lt;&gt;"",EDATE($D52,Milestones!$AA$120)&gt;=$Y52),$AB52,$AA52)))=Milestones!$AB$120),UPPER(TEXT(EDATE($D52,Milestones!$AA$120),"dd mmm yy"))&amp;" "&amp;Milestones!$AB$120&amp;" "&amp;IF(AND(Milestones!$AB$120="FT",Milestones!$AA$120=FT_Y5,EDATE($D52,Milestones!$AA$120)&lt;PolicyEff),1,Milestones!$AC$120)&amp;";  ","")&amp;IF(AND(EDATE($D52,Milestones!$AA$121)&lt;=AsOfDate,EDATE($D52,Milestones!$AA$121)&gt;=SchemeStart,IF($X52=0,$AD52,IF(AND($Z52&lt;&gt;"",EDATE($D52,Milestones!$AA$121)&gt;=$Z52),$AC52,IF(AND($Y52&lt;&gt;"",EDATE($D52,Milestones!$AA$121)&gt;=$Y52),$AB52,$AA52)))=Milestones!$AB$121),UPPER(TEXT(EDATE($D52,Milestones!$AA$121),"dd mmm yy"))&amp;" "&amp;Milestones!$AB$121&amp;" "&amp;IF(AND(Milestones!$AB$121="FT",Milestones!$AA$121=FT_Y5,EDATE($D52,Milestones!$AA$121)&lt;PolicyEff),1,Milestones!$AC$121)&amp;";  ","")&amp;IF(AND(EDATE($D52,Milestones!$AA$122)&lt;=AsOfDate,EDATE($D52,Milestones!$AA$122)&gt;=SchemeStart,IF($X52=0,$AD52,IF(AND($Z52&lt;&gt;"",EDATE($D52,Milestones!$AA$122)&gt;=$Z52),$AC52,IF(AND($Y52&lt;&gt;"",EDATE($D52,Milestones!$AA$122)&gt;=$Y52),$AB52,$AA52)))=Milestones!$AB$122),UPPER(TEXT(EDATE($D52,Milestones!$AA$122),"dd mmm yy"))&amp;" "&amp;Milestones!$AB$122&amp;" "&amp;IF(AND(Milestones!$AB$122="FT",Milestones!$AA$122=FT_Y5,EDATE($D52,Milestones!$AA$122)&lt;PolicyEff),1,Milestones!$AC$122)&amp;";  ","")&amp;IF(AND(EDATE($D52,Milestones!$AA$123)&lt;=AsOfDate,EDATE($D52,Milestones!$AA$123)&gt;=SchemeStart,IF($X52=0,$AD52,IF(AND($Z52&lt;&gt;"",EDATE($D52,Milestones!$AA$123)&gt;=$Z52),$AC52,IF(AND($Y52&lt;&gt;"",EDATE($D52,Milestones!$AA$123)&gt;=$Y52),$AB52,$AA52)))=Milestones!$AB$123),UPPER(TEXT(EDATE($D52,Milestones!$AA$123),"dd mmm yy"))&amp;" "&amp;Milestones!$AB$123&amp;" "&amp;IF(AND(Milestones!$AB$123="FT",Milestones!$AA$123=FT_Y5,EDATE($D52,Milestones!$AA$123)&lt;PolicyEff),1,Milestones!$AC$123)&amp;";  ","")&amp;IF(AND(EDATE($D52,Milestones!$AA$124)&lt;=AsOfDate,EDATE($D52,Milestones!$AA$124)&gt;=SchemeStart,IF($X52=0,$AD52,IF(AND($Z52&lt;&gt;"",EDATE($D52,Milestones!$AA$124)&gt;=$Z52),$AC52,IF(AND($Y52&lt;&gt;"",EDATE($D52,Milestones!$AA$124)&gt;=$Y52),$AB52,$AA52)))=Milestones!$AB$124),UPPER(TEXT(EDATE($D52,Milestones!$AA$124),"dd mmm yy"))&amp;" "&amp;Milestones!$AB$124&amp;" "&amp;IF(AND(Milestones!$AB$124="FT",Milestones!$AA$124=FT_Y5,EDATE($D52,Milestones!$AA$124)&lt;PolicyEff),1,Milestones!$AC$124)&amp;";  ","")&amp;IF(AND(EDATE($D52,Milestones!$AA$125)&lt;=AsOfDate,EDATE($D52,Milestones!$AA$125)&gt;=SchemeStart,IF($X52=0,$AD52,IF(AND($Z52&lt;&gt;"",EDATE($D52,Milestones!$AA$125)&gt;=$Z52),$AC52,IF(AND($Y52&lt;&gt;"",EDATE($D52,Milestones!$AA$125)&gt;=$Y52),$AB52,$AA52)))=Milestones!$AB$125),UPPER(TEXT(EDATE($D52,Milestones!$AA$125),"dd mmm yy"))&amp;" "&amp;Milestones!$AB$125&amp;" "&amp;IF(AND(Milestones!$AB$125="FT",Milestones!$AA$125=FT_Y5,EDATE($D52,Milestones!$AA$125)&lt;PolicyEff),1,Milestones!$AC$125)&amp;";  ","")&amp;IF(AND(EDATE($D52,Milestones!$AA$126)&lt;=AsOfDate,EDATE($D52,Milestones!$AA$126)&gt;=SchemeStart,IF($X52=0,$AD52,IF(AND($Z52&lt;&gt;"",EDATE($D52,Milestones!$AA$126)&gt;=$Z52),$AC52,IF(AND($Y52&lt;&gt;"",EDATE($D52,Milestones!$AA$126)&gt;=$Y52),$AB52,$AA52)))=Milestones!$AB$126),UPPER(TEXT(EDATE($D52,Milestones!$AA$126),"dd mmm yy"))&amp;" "&amp;Milestones!$AB$126&amp;" "&amp;IF(AND(Milestones!$AB$126="FT",Milestones!$AA$126=FT_Y5,EDATE($D52,Milestones!$AA$126)&lt;PolicyEff),1,Milestones!$AC$126)&amp;";  ","")&amp;IF(AND(EDATE($D52,Milestones!$AA$127)&lt;=AsOfDate,EDATE($D52,Milestones!$AA$127)&gt;=SchemeStart,IF($X52=0,$AD52,IF(AND($Z52&lt;&gt;"",EDATE($D52,Milestones!$AA$127)&gt;=$Z52),$AC52,IF(AND($Y52&lt;&gt;"",EDATE($D52,Milestones!$AA$127)&gt;=$Y52),$AB52,$AA52)))=Milestones!$AB$127),UPPER(TEXT(EDATE($D52,Milestones!$AA$127),"dd mmm yy"))&amp;" "&amp;Milestones!$AB$127&amp;" "&amp;IF(AND(Milestones!$AB$127="FT",Milestones!$AA$127=FT_Y5,EDATE($D52,Milestones!$AA$127)&lt;PolicyEff),1,Milestones!$AC$127)&amp;";  ",""))</f>
        <v/>
      </c>
      <c r="R52" s="0" t="str">
        <f aca="false">IF(OR($A52="",$D52=""),"",IF(AND(EDATE($D52,Milestones!$AA$128)&lt;=AsOfDate,EDATE($D52,Milestones!$AA$128)&gt;=SchemeStart,IF($X52=0,$AD52,IF(AND($Z52&lt;&gt;"",EDATE($D52,Milestones!$AA$128)&gt;=$Z52),$AC52,IF(AND($Y52&lt;&gt;"",EDATE($D52,Milestones!$AA$128)&gt;=$Y52),$AB52,$AA52)))=Milestones!$AB$128),UPPER(TEXT(EDATE($D52,Milestones!$AA$128),"dd mmm yy"))&amp;" "&amp;Milestones!$AB$128&amp;" "&amp;IF(AND(Milestones!$AB$128="FT",Milestones!$AA$128=FT_Y5,EDATE($D52,Milestones!$AA$128)&lt;PolicyEff),1,Milestones!$AC$128)&amp;";  ","")&amp;IF(AND(EDATE($D52,Milestones!$AA$129)&lt;=AsOfDate,EDATE($D52,Milestones!$AA$129)&gt;=SchemeStart,IF($X52=0,$AD52,IF(AND($Z52&lt;&gt;"",EDATE($D52,Milestones!$AA$129)&gt;=$Z52),$AC52,IF(AND($Y52&lt;&gt;"",EDATE($D52,Milestones!$AA$129)&gt;=$Y52),$AB52,$AA52)))=Milestones!$AB$129),UPPER(TEXT(EDATE($D52,Milestones!$AA$129),"dd mmm yy"))&amp;" "&amp;Milestones!$AB$129&amp;" "&amp;IF(AND(Milestones!$AB$129="FT",Milestones!$AA$129=FT_Y5,EDATE($D52,Milestones!$AA$129)&lt;PolicyEff),1,Milestones!$AC$129)&amp;";  ","")&amp;IF(AND(EDATE($D52,Milestones!$AA$130)&lt;=AsOfDate,EDATE($D52,Milestones!$AA$130)&gt;=SchemeStart,IF($X52=0,$AD52,IF(AND($Z52&lt;&gt;"",EDATE($D52,Milestones!$AA$130)&gt;=$Z52),$AC52,IF(AND($Y52&lt;&gt;"",EDATE($D52,Milestones!$AA$130)&gt;=$Y52),$AB52,$AA52)))=Milestones!$AB$130),UPPER(TEXT(EDATE($D52,Milestones!$AA$130),"dd mmm yy"))&amp;" "&amp;Milestones!$AB$130&amp;" "&amp;IF(AND(Milestones!$AB$130="FT",Milestones!$AA$130=FT_Y5,EDATE($D52,Milestones!$AA$130)&lt;PolicyEff),1,Milestones!$AC$130)&amp;";  ","")&amp;IF(AND(EDATE($D52,Milestones!$AA$131)&lt;=AsOfDate,EDATE($D52,Milestones!$AA$131)&gt;=SchemeStart,IF($X52=0,$AD52,IF(AND($Z52&lt;&gt;"",EDATE($D52,Milestones!$AA$131)&gt;=$Z52),$AC52,IF(AND($Y52&lt;&gt;"",EDATE($D52,Milestones!$AA$131)&gt;=$Y52),$AB52,$AA52)))=Milestones!$AB$131),UPPER(TEXT(EDATE($D52,Milestones!$AA$131),"dd mmm yy"))&amp;" "&amp;Milestones!$AB$131&amp;" "&amp;IF(AND(Milestones!$AB$131="FT",Milestones!$AA$131=FT_Y5,EDATE($D52,Milestones!$AA$131)&lt;PolicyEff),1,Milestones!$AC$131)&amp;";  ","")&amp;IF(AND(EDATE($D52,Milestones!$AA$132)&lt;=AsOfDate,EDATE($D52,Milestones!$AA$132)&gt;=SchemeStart,IF($X52=0,$AD52,IF(AND($Z52&lt;&gt;"",EDATE($D52,Milestones!$AA$132)&gt;=$Z52),$AC52,IF(AND($Y52&lt;&gt;"",EDATE($D52,Milestones!$AA$132)&gt;=$Y52),$AB52,$AA52)))=Milestones!$AB$132),UPPER(TEXT(EDATE($D52,Milestones!$AA$132),"dd mmm yy"))&amp;" "&amp;Milestones!$AB$132&amp;" "&amp;IF(AND(Milestones!$AB$132="FT",Milestones!$AA$132=FT_Y5,EDATE($D52,Milestones!$AA$132)&lt;PolicyEff),1,Milestones!$AC$132)&amp;";  ","")&amp;IF(AND(EDATE($D52,Milestones!$AA$133)&lt;=AsOfDate,EDATE($D52,Milestones!$AA$133)&gt;=SchemeStart,IF($X52=0,$AD52,IF(AND($Z52&lt;&gt;"",EDATE($D52,Milestones!$AA$133)&gt;=$Z52),$AC52,IF(AND($Y52&lt;&gt;"",EDATE($D52,Milestones!$AA$133)&gt;=$Y52),$AB52,$AA52)))=Milestones!$AB$133),UPPER(TEXT(EDATE($D52,Milestones!$AA$133),"dd mmm yy"))&amp;" "&amp;Milestones!$AB$133&amp;" "&amp;IF(AND(Milestones!$AB$133="FT",Milestones!$AA$133=FT_Y5,EDATE($D52,Milestones!$AA$133)&lt;PolicyEff),1,Milestones!$AC$133)&amp;";  ","")&amp;IF(AND(EDATE($D52,Milestones!$AA$134)&lt;=AsOfDate,EDATE($D52,Milestones!$AA$134)&gt;=SchemeStart,IF($X52=0,$AD52,IF(AND($Z52&lt;&gt;"",EDATE($D52,Milestones!$AA$134)&gt;=$Z52),$AC52,IF(AND($Y52&lt;&gt;"",EDATE($D52,Milestones!$AA$134)&gt;=$Y52),$AB52,$AA52)))=Milestones!$AB$134),UPPER(TEXT(EDATE($D52,Milestones!$AA$134),"dd mmm yy"))&amp;" "&amp;Milestones!$AB$134&amp;" "&amp;IF(AND(Milestones!$AB$134="FT",Milestones!$AA$134=FT_Y5,EDATE($D52,Milestones!$AA$134)&lt;PolicyEff),1,Milestones!$AC$134)&amp;";  ","")&amp;IF(AND(EDATE($D52,Milestones!$AA$135)&lt;=AsOfDate,EDATE($D52,Milestones!$AA$135)&gt;=SchemeStart,IF($X52=0,$AD52,IF(AND($Z52&lt;&gt;"",EDATE($D52,Milestones!$AA$135)&gt;=$Z52),$AC52,IF(AND($Y52&lt;&gt;"",EDATE($D52,Milestones!$AA$135)&gt;=$Y52),$AB52,$AA52)))=Milestones!$AB$135),UPPER(TEXT(EDATE($D52,Milestones!$AA$135),"dd mmm yy"))&amp;" "&amp;Milestones!$AB$135&amp;" "&amp;IF(AND(Milestones!$AB$135="FT",Milestones!$AA$135=FT_Y5,EDATE($D52,Milestones!$AA$135)&lt;PolicyEff),1,Milestones!$AC$135)&amp;";  ","")&amp;IF(AND(EDATE($D52,Milestones!$AA$136)&lt;=AsOfDate,EDATE($D52,Milestones!$AA$136)&gt;=SchemeStart,IF($X52=0,$AD52,IF(AND($Z52&lt;&gt;"",EDATE($D52,Milestones!$AA$136)&gt;=$Z52),$AC52,IF(AND($Y52&lt;&gt;"",EDATE($D52,Milestones!$AA$136)&gt;=$Y52),$AB52,$AA52)))=Milestones!$AB$136),UPPER(TEXT(EDATE($D52,Milestones!$AA$136),"dd mmm yy"))&amp;" "&amp;Milestones!$AB$136&amp;" "&amp;IF(AND(Milestones!$AB$136="FT",Milestones!$AA$136=FT_Y5,EDATE($D52,Milestones!$AA$136)&lt;PolicyEff),1,Milestones!$AC$136)&amp;";  ","")&amp;IF(AND(EDATE($D52,Milestones!$AA$137)&lt;=AsOfDate,EDATE($D52,Milestones!$AA$137)&gt;=SchemeStart,IF($X52=0,$AD52,IF(AND($Z52&lt;&gt;"",EDATE($D52,Milestones!$AA$137)&gt;=$Z52),$AC52,IF(AND($Y52&lt;&gt;"",EDATE($D52,Milestones!$AA$137)&gt;=$Y52),$AB52,$AA52)))=Milestones!$AB$137),UPPER(TEXT(EDATE($D52,Milestones!$AA$137),"dd mmm yy"))&amp;" "&amp;Milestones!$AB$137&amp;" "&amp;IF(AND(Milestones!$AB$137="FT",Milestones!$AA$137=FT_Y5,EDATE($D52,Milestones!$AA$137)&lt;PolicyEff),1,Milestones!$AC$137)&amp;";  ","")&amp;IF(AND(EDATE($D52,Milestones!$AA$138)&lt;=AsOfDate,EDATE($D52,Milestones!$AA$138)&gt;=SchemeStart,IF($X52=0,$AD52,IF(AND($Z52&lt;&gt;"",EDATE($D52,Milestones!$AA$138)&gt;=$Z52),$AC52,IF(AND($Y52&lt;&gt;"",EDATE($D52,Milestones!$AA$138)&gt;=$Y52),$AB52,$AA52)))=Milestones!$AB$138),UPPER(TEXT(EDATE($D52,Milestones!$AA$138),"dd mmm yy"))&amp;" "&amp;Milestones!$AB$138&amp;" "&amp;IF(AND(Milestones!$AB$138="FT",Milestones!$AA$138=FT_Y5,EDATE($D52,Milestones!$AA$138)&lt;PolicyEff),1,Milestones!$AC$138)&amp;";  ","")&amp;IF(AND(EDATE($D52,Milestones!$AA$139)&lt;=AsOfDate,EDATE($D52,Milestones!$AA$139)&gt;=SchemeStart,IF($X52=0,$AD52,IF(AND($Z52&lt;&gt;"",EDATE($D52,Milestones!$AA$139)&gt;=$Z52),$AC52,IF(AND($Y52&lt;&gt;"",EDATE($D52,Milestones!$AA$139)&gt;=$Y52),$AB52,$AA52)))=Milestones!$AB$139),UPPER(TEXT(EDATE($D52,Milestones!$AA$139),"dd mmm yy"))&amp;" "&amp;Milestones!$AB$139&amp;" "&amp;IF(AND(Milestones!$AB$139="FT",Milestones!$AA$139=FT_Y5,EDATE($D52,Milestones!$AA$139)&lt;PolicyEff),1,Milestones!$AC$139)&amp;";  ",""))</f>
        <v/>
      </c>
      <c r="S52" s="0" t="str">
        <f aca="false">IF(OR($A52="",$D52=""),"",IF(AND(EDATE($D52,Milestones!$AA$140)&lt;=AsOfDate,EDATE($D52,Milestones!$AA$140)&gt;=SchemeStart,IF($X52=0,$AD52,IF(AND($Z52&lt;&gt;"",EDATE($D52,Milestones!$AA$140)&gt;=$Z52),$AC52,IF(AND($Y52&lt;&gt;"",EDATE($D52,Milestones!$AA$140)&gt;=$Y52),$AB52,$AA52)))=Milestones!$AB$140),UPPER(TEXT(EDATE($D52,Milestones!$AA$140),"dd mmm yy"))&amp;" "&amp;Milestones!$AB$140&amp;" "&amp;IF(AND(Milestones!$AB$140="FT",Milestones!$AA$140=FT_Y5,EDATE($D52,Milestones!$AA$140)&lt;PolicyEff),1,Milestones!$AC$140)&amp;";  ","")&amp;IF(AND(EDATE($D52,Milestones!$AA$141)&lt;=AsOfDate,EDATE($D52,Milestones!$AA$141)&gt;=SchemeStart,IF($X52=0,$AD52,IF(AND($Z52&lt;&gt;"",EDATE($D52,Milestones!$AA$141)&gt;=$Z52),$AC52,IF(AND($Y52&lt;&gt;"",EDATE($D52,Milestones!$AA$141)&gt;=$Y52),$AB52,$AA52)))=Milestones!$AB$141),UPPER(TEXT(EDATE($D52,Milestones!$AA$141),"dd mmm yy"))&amp;" "&amp;Milestones!$AB$141&amp;" "&amp;IF(AND(Milestones!$AB$141="FT",Milestones!$AA$141=FT_Y5,EDATE($D52,Milestones!$AA$141)&lt;PolicyEff),1,Milestones!$AC$141)&amp;";  ","")&amp;IF(AND(EDATE($D52,Milestones!$AA$142)&lt;=AsOfDate,EDATE($D52,Milestones!$AA$142)&gt;=SchemeStart,IF($X52=0,$AD52,IF(AND($Z52&lt;&gt;"",EDATE($D52,Milestones!$AA$142)&gt;=$Z52),$AC52,IF(AND($Y52&lt;&gt;"",EDATE($D52,Milestones!$AA$142)&gt;=$Y52),$AB52,$AA52)))=Milestones!$AB$142),UPPER(TEXT(EDATE($D52,Milestones!$AA$142),"dd mmm yy"))&amp;" "&amp;Milestones!$AB$142&amp;" "&amp;IF(AND(Milestones!$AB$142="FT",Milestones!$AA$142=FT_Y5,EDATE($D52,Milestones!$AA$142)&lt;PolicyEff),1,Milestones!$AC$142)&amp;";  ","")&amp;IF(AND(EDATE($D52,Milestones!$AA$143)&lt;=AsOfDate,EDATE($D52,Milestones!$AA$143)&gt;=SchemeStart,IF($X52=0,$AD52,IF(AND($Z52&lt;&gt;"",EDATE($D52,Milestones!$AA$143)&gt;=$Z52),$AC52,IF(AND($Y52&lt;&gt;"",EDATE($D52,Milestones!$AA$143)&gt;=$Y52),$AB52,$AA52)))=Milestones!$AB$143),UPPER(TEXT(EDATE($D52,Milestones!$AA$143),"dd mmm yy"))&amp;" "&amp;Milestones!$AB$143&amp;" "&amp;IF(AND(Milestones!$AB$143="FT",Milestones!$AA$143=FT_Y5,EDATE($D52,Milestones!$AA$143)&lt;PolicyEff),1,Milestones!$AC$143)&amp;";  ","")&amp;IF(AND(EDATE($D52,Milestones!$AA$144)&lt;=AsOfDate,EDATE($D52,Milestones!$AA$144)&gt;=SchemeStart,IF($X52=0,$AD52,IF(AND($Z52&lt;&gt;"",EDATE($D52,Milestones!$AA$144)&gt;=$Z52),$AC52,IF(AND($Y52&lt;&gt;"",EDATE($D52,Milestones!$AA$144)&gt;=$Y52),$AB52,$AA52)))=Milestones!$AB$144),UPPER(TEXT(EDATE($D52,Milestones!$AA$144),"dd mmm yy"))&amp;" "&amp;Milestones!$AB$144&amp;" "&amp;IF(AND(Milestones!$AB$144="FT",Milestones!$AA$144=FT_Y5,EDATE($D52,Milestones!$AA$144)&lt;PolicyEff),1,Milestones!$AC$144)&amp;";  ","")&amp;IF(AND(EDATE($D52,Milestones!$AA$145)&lt;=AsOfDate,EDATE($D52,Milestones!$AA$145)&gt;=SchemeStart,IF($X52=0,$AD52,IF(AND($Z52&lt;&gt;"",EDATE($D52,Milestones!$AA$145)&gt;=$Z52),$AC52,IF(AND($Y52&lt;&gt;"",EDATE($D52,Milestones!$AA$145)&gt;=$Y52),$AB52,$AA52)))=Milestones!$AB$145),UPPER(TEXT(EDATE($D52,Milestones!$AA$145),"dd mmm yy"))&amp;" "&amp;Milestones!$AB$145&amp;" "&amp;IF(AND(Milestones!$AB$145="FT",Milestones!$AA$145=FT_Y5,EDATE($D52,Milestones!$AA$145)&lt;PolicyEff),1,Milestones!$AC$145)&amp;";  ","")&amp;IF(AND(EDATE($D52,Milestones!$AA$146)&lt;=AsOfDate,EDATE($D52,Milestones!$AA$146)&gt;=SchemeStart,IF($X52=0,$AD52,IF(AND($Z52&lt;&gt;"",EDATE($D52,Milestones!$AA$146)&gt;=$Z52),$AC52,IF(AND($Y52&lt;&gt;"",EDATE($D52,Milestones!$AA$146)&gt;=$Y52),$AB52,$AA52)))=Milestones!$AB$146),UPPER(TEXT(EDATE($D52,Milestones!$AA$146),"dd mmm yy"))&amp;" "&amp;Milestones!$AB$146&amp;" "&amp;IF(AND(Milestones!$AB$146="FT",Milestones!$AA$146=FT_Y5,EDATE($D52,Milestones!$AA$146)&lt;PolicyEff),1,Milestones!$AC$146)&amp;";  ","")&amp;IF(AND(EDATE($D52,Milestones!$AA$147)&lt;=AsOfDate,EDATE($D52,Milestones!$AA$147)&gt;=SchemeStart,IF($X52=0,$AD52,IF(AND($Z52&lt;&gt;"",EDATE($D52,Milestones!$AA$147)&gt;=$Z52),$AC52,IF(AND($Y52&lt;&gt;"",EDATE($D52,Milestones!$AA$147)&gt;=$Y52),$AB52,$AA52)))=Milestones!$AB$147),UPPER(TEXT(EDATE($D52,Milestones!$AA$147),"dd mmm yy"))&amp;" "&amp;Milestones!$AB$147&amp;" "&amp;IF(AND(Milestones!$AB$147="FT",Milestones!$AA$147=FT_Y5,EDATE($D52,Milestones!$AA$147)&lt;PolicyEff),1,Milestones!$AC$147)&amp;";  ","")&amp;IF(AND(EDATE($D52,Milestones!$AA$148)&lt;=AsOfDate,EDATE($D52,Milestones!$AA$148)&gt;=SchemeStart,IF($X52=0,$AD52,IF(AND($Z52&lt;&gt;"",EDATE($D52,Milestones!$AA$148)&gt;=$Z52),$AC52,IF(AND($Y52&lt;&gt;"",EDATE($D52,Milestones!$AA$148)&gt;=$Y52),$AB52,$AA52)))=Milestones!$AB$148),UPPER(TEXT(EDATE($D52,Milestones!$AA$148),"dd mmm yy"))&amp;" "&amp;Milestones!$AB$148&amp;" "&amp;IF(AND(Milestones!$AB$148="FT",Milestones!$AA$148=FT_Y5,EDATE($D52,Milestones!$AA$148)&lt;PolicyEff),1,Milestones!$AC$148)&amp;";  ","")&amp;IF(AND(EDATE($D52,Milestones!$AA$149)&lt;=AsOfDate,EDATE($D52,Milestones!$AA$149)&gt;=SchemeStart,IF($X52=0,$AD52,IF(AND($Z52&lt;&gt;"",EDATE($D52,Milestones!$AA$149)&gt;=$Z52),$AC52,IF(AND($Y52&lt;&gt;"",EDATE($D52,Milestones!$AA$149)&gt;=$Y52),$AB52,$AA52)))=Milestones!$AB$149),UPPER(TEXT(EDATE($D52,Milestones!$AA$149),"dd mmm yy"))&amp;" "&amp;Milestones!$AB$149&amp;" "&amp;IF(AND(Milestones!$AB$149="FT",Milestones!$AA$149=FT_Y5,EDATE($D52,Milestones!$AA$149)&lt;PolicyEff),1,Milestones!$AC$149)&amp;";  ","")&amp;IF(AND(EDATE($D52,Milestones!$AA$150)&lt;=AsOfDate,EDATE($D52,Milestones!$AA$150)&gt;=SchemeStart,IF($X52=0,$AD52,IF(AND($Z52&lt;&gt;"",EDATE($D52,Milestones!$AA$150)&gt;=$Z52),$AC52,IF(AND($Y52&lt;&gt;"",EDATE($D52,Milestones!$AA$150)&gt;=$Y52),$AB52,$AA52)))=Milestones!$AB$150),UPPER(TEXT(EDATE($D52,Milestones!$AA$150),"dd mmm yy"))&amp;" "&amp;Milestones!$AB$150&amp;" "&amp;IF(AND(Milestones!$AB$150="FT",Milestones!$AA$150=FT_Y5,EDATE($D52,Milestones!$AA$150)&lt;PolicyEff),1,Milestones!$AC$150)&amp;";  ","")&amp;IF(AND(EDATE($D52,Milestones!$AA$151)&lt;=AsOfDate,EDATE($D52,Milestones!$AA$151)&gt;=SchemeStart,IF($X52=0,$AD52,IF(AND($Z52&lt;&gt;"",EDATE($D52,Milestones!$AA$151)&gt;=$Z52),$AC52,IF(AND($Y52&lt;&gt;"",EDATE($D52,Milestones!$AA$151)&gt;=$Y52),$AB52,$AA52)))=Milestones!$AB$151),UPPER(TEXT(EDATE($D52,Milestones!$AA$151),"dd mmm yy"))&amp;" "&amp;Milestones!$AB$151&amp;" "&amp;IF(AND(Milestones!$AB$151="FT",Milestones!$AA$151=FT_Y5,EDATE($D52,Milestones!$AA$151)&lt;PolicyEff),1,Milestones!$AC$151)&amp;";  ",""))</f>
        <v/>
      </c>
      <c r="T52" s="0" t="str">
        <f aca="false">IF(OR($A52="",$D52=""),"",IF(AND(EDATE($D52,Milestones!$AA$152)&lt;=AsOfDate,EDATE($D52,Milestones!$AA$152)&gt;=SchemeStart,IF($X52=0,$AD52,IF(AND($Z52&lt;&gt;"",EDATE($D52,Milestones!$AA$152)&gt;=$Z52),$AC52,IF(AND($Y52&lt;&gt;"",EDATE($D52,Milestones!$AA$152)&gt;=$Y52),$AB52,$AA52)))=Milestones!$AB$152),UPPER(TEXT(EDATE($D52,Milestones!$AA$152),"dd mmm yy"))&amp;" "&amp;Milestones!$AB$152&amp;" "&amp;IF(AND(Milestones!$AB$152="FT",Milestones!$AA$152=FT_Y5,EDATE($D52,Milestones!$AA$152)&lt;PolicyEff),1,Milestones!$AC$152)&amp;";  ","")&amp;IF(AND(EDATE($D52,Milestones!$AA$153)&lt;=AsOfDate,EDATE($D52,Milestones!$AA$153)&gt;=SchemeStart,IF($X52=0,$AD52,IF(AND($Z52&lt;&gt;"",EDATE($D52,Milestones!$AA$153)&gt;=$Z52),$AC52,IF(AND($Y52&lt;&gt;"",EDATE($D52,Milestones!$AA$153)&gt;=$Y52),$AB52,$AA52)))=Milestones!$AB$153),UPPER(TEXT(EDATE($D52,Milestones!$AA$153),"dd mmm yy"))&amp;" "&amp;Milestones!$AB$153&amp;" "&amp;IF(AND(Milestones!$AB$153="FT",Milestones!$AA$153=FT_Y5,EDATE($D52,Milestones!$AA$153)&lt;PolicyEff),1,Milestones!$AC$153)&amp;";  ","")&amp;IF(AND(EDATE($D52,Milestones!$AA$154)&lt;=AsOfDate,EDATE($D52,Milestones!$AA$154)&gt;=SchemeStart,IF($X52=0,$AD52,IF(AND($Z52&lt;&gt;"",EDATE($D52,Milestones!$AA$154)&gt;=$Z52),$AC52,IF(AND($Y52&lt;&gt;"",EDATE($D52,Milestones!$AA$154)&gt;=$Y52),$AB52,$AA52)))=Milestones!$AB$154),UPPER(TEXT(EDATE($D52,Milestones!$AA$154),"dd mmm yy"))&amp;" "&amp;Milestones!$AB$154&amp;" "&amp;IF(AND(Milestones!$AB$154="FT",Milestones!$AA$154=FT_Y5,EDATE($D52,Milestones!$AA$154)&lt;PolicyEff),1,Milestones!$AC$154)&amp;";  ","")&amp;IF(AND(EDATE($D52,Milestones!$AA$155)&lt;=AsOfDate,EDATE($D52,Milestones!$AA$155)&gt;=SchemeStart,IF($X52=0,$AD52,IF(AND($Z52&lt;&gt;"",EDATE($D52,Milestones!$AA$155)&gt;=$Z52),$AC52,IF(AND($Y52&lt;&gt;"",EDATE($D52,Milestones!$AA$155)&gt;=$Y52),$AB52,$AA52)))=Milestones!$AB$155),UPPER(TEXT(EDATE($D52,Milestones!$AA$155),"dd mmm yy"))&amp;" "&amp;Milestones!$AB$155&amp;" "&amp;IF(AND(Milestones!$AB$155="FT",Milestones!$AA$155=FT_Y5,EDATE($D52,Milestones!$AA$155)&lt;PolicyEff),1,Milestones!$AC$155)&amp;";  ","")&amp;IF(AND(EDATE($D52,Milestones!$AA$156)&lt;=AsOfDate,EDATE($D52,Milestones!$AA$156)&gt;=SchemeStart,IF($X52=0,$AD52,IF(AND($Z52&lt;&gt;"",EDATE($D52,Milestones!$AA$156)&gt;=$Z52),$AC52,IF(AND($Y52&lt;&gt;"",EDATE($D52,Milestones!$AA$156)&gt;=$Y52),$AB52,$AA52)))=Milestones!$AB$156),UPPER(TEXT(EDATE($D52,Milestones!$AA$156),"dd mmm yy"))&amp;" "&amp;Milestones!$AB$156&amp;" "&amp;IF(AND(Milestones!$AB$156="FT",Milestones!$AA$156=FT_Y5,EDATE($D52,Milestones!$AA$156)&lt;PolicyEff),1,Milestones!$AC$156)&amp;";  ","")&amp;IF(AND(EDATE($D52,Milestones!$AA$157)&lt;=AsOfDate,EDATE($D52,Milestones!$AA$157)&gt;=SchemeStart,IF($X52=0,$AD52,IF(AND($Z52&lt;&gt;"",EDATE($D52,Milestones!$AA$157)&gt;=$Z52),$AC52,IF(AND($Y52&lt;&gt;"",EDATE($D52,Milestones!$AA$157)&gt;=$Y52),$AB52,$AA52)))=Milestones!$AB$157),UPPER(TEXT(EDATE($D52,Milestones!$AA$157),"dd mmm yy"))&amp;" "&amp;Milestones!$AB$157&amp;" "&amp;IF(AND(Milestones!$AB$157="FT",Milestones!$AA$157=FT_Y5,EDATE($D52,Milestones!$AA$157)&lt;PolicyEff),1,Milestones!$AC$157)&amp;";  ","")&amp;IF(AND(EDATE($D52,Milestones!$AA$158)&lt;=AsOfDate,EDATE($D52,Milestones!$AA$158)&gt;=SchemeStart,IF($X52=0,$AD52,IF(AND($Z52&lt;&gt;"",EDATE($D52,Milestones!$AA$158)&gt;=$Z52),$AC52,IF(AND($Y52&lt;&gt;"",EDATE($D52,Milestones!$AA$158)&gt;=$Y52),$AB52,$AA52)))=Milestones!$AB$158),UPPER(TEXT(EDATE($D52,Milestones!$AA$158),"dd mmm yy"))&amp;" "&amp;Milestones!$AB$158&amp;" "&amp;IF(AND(Milestones!$AB$158="FT",Milestones!$AA$158=FT_Y5,EDATE($D52,Milestones!$AA$158)&lt;PolicyEff),1,Milestones!$AC$158)&amp;";  ","")&amp;IF(AND(EDATE($D52,Milestones!$AA$159)&lt;=AsOfDate,EDATE($D52,Milestones!$AA$159)&gt;=SchemeStart,IF($X52=0,$AD52,IF(AND($Z52&lt;&gt;"",EDATE($D52,Milestones!$AA$159)&gt;=$Z52),$AC52,IF(AND($Y52&lt;&gt;"",EDATE($D52,Milestones!$AA$159)&gt;=$Y52),$AB52,$AA52)))=Milestones!$AB$159),UPPER(TEXT(EDATE($D52,Milestones!$AA$159),"dd mmm yy"))&amp;" "&amp;Milestones!$AB$159&amp;" "&amp;IF(AND(Milestones!$AB$159="FT",Milestones!$AA$159=FT_Y5,EDATE($D52,Milestones!$AA$159)&lt;PolicyEff),1,Milestones!$AC$159)&amp;";  ","")&amp;IF(AND(EDATE($D52,Milestones!$AA$160)&lt;=AsOfDate,EDATE($D52,Milestones!$AA$160)&gt;=SchemeStart,IF($X52=0,$AD52,IF(AND($Z52&lt;&gt;"",EDATE($D52,Milestones!$AA$160)&gt;=$Z52),$AC52,IF(AND($Y52&lt;&gt;"",EDATE($D52,Milestones!$AA$160)&gt;=$Y52),$AB52,$AA52)))=Milestones!$AB$160),UPPER(TEXT(EDATE($D52,Milestones!$AA$160),"dd mmm yy"))&amp;" "&amp;Milestones!$AB$160&amp;" "&amp;IF(AND(Milestones!$AB$160="FT",Milestones!$AA$160=FT_Y5,EDATE($D52,Milestones!$AA$160)&lt;PolicyEff),1,Milestones!$AC$160)&amp;";  ","")&amp;IF(AND(EDATE($D52,Milestones!$AA$161)&lt;=AsOfDate,EDATE($D52,Milestones!$AA$161)&gt;=SchemeStart,IF($X52=0,$AD52,IF(AND($Z52&lt;&gt;"",EDATE($D52,Milestones!$AA$161)&gt;=$Z52),$AC52,IF(AND($Y52&lt;&gt;"",EDATE($D52,Milestones!$AA$161)&gt;=$Y52),$AB52,$AA52)))=Milestones!$AB$161),UPPER(TEXT(EDATE($D52,Milestones!$AA$161),"dd mmm yy"))&amp;" "&amp;Milestones!$AB$161&amp;" "&amp;IF(AND(Milestones!$AB$161="FT",Milestones!$AA$161=FT_Y5,EDATE($D52,Milestones!$AA$161)&lt;PolicyEff),1,Milestones!$AC$161)&amp;";  ","")&amp;IF(AND(EDATE($D52,Milestones!$AA$162)&lt;=AsOfDate,EDATE($D52,Milestones!$AA$162)&gt;=SchemeStart,IF($X52=0,$AD52,IF(AND($Z52&lt;&gt;"",EDATE($D52,Milestones!$AA$162)&gt;=$Z52),$AC52,IF(AND($Y52&lt;&gt;"",EDATE($D52,Milestones!$AA$162)&gt;=$Y52),$AB52,$AA52)))=Milestones!$AB$162),UPPER(TEXT(EDATE($D52,Milestones!$AA$162),"dd mmm yy"))&amp;" "&amp;Milestones!$AB$162&amp;" "&amp;IF(AND(Milestones!$AB$162="FT",Milestones!$AA$162=FT_Y5,EDATE($D52,Milestones!$AA$162)&lt;PolicyEff),1,Milestones!$AC$162)&amp;";  ","")&amp;IF(AND(EDATE($D52,Milestones!$AA$163)&lt;=AsOfDate,EDATE($D52,Milestones!$AA$163)&gt;=SchemeStart,IF($X52=0,$AD52,IF(AND($Z52&lt;&gt;"",EDATE($D52,Milestones!$AA$163)&gt;=$Z52),$AC52,IF(AND($Y52&lt;&gt;"",EDATE($D52,Milestones!$AA$163)&gt;=$Y52),$AB52,$AA52)))=Milestones!$AB$163),UPPER(TEXT(EDATE($D52,Milestones!$AA$163),"dd mmm yy"))&amp;" "&amp;Milestones!$AB$163&amp;" "&amp;IF(AND(Milestones!$AB$163="FT",Milestones!$AA$163=FT_Y5,EDATE($D52,Milestones!$AA$163)&lt;PolicyEff),1,Milestones!$AC$163)&amp;";  ",""))</f>
        <v/>
      </c>
      <c r="U52" s="0" t="str">
        <f aca="false">IF(OR($A52="",$D52=""),"",IF(AND(EDATE($D52,Milestones!$AA$164)&lt;=AsOfDate,EDATE($D52,Milestones!$AA$164)&gt;=SchemeStart,IF($X52=0,$AD52,IF(AND($Z52&lt;&gt;"",EDATE($D52,Milestones!$AA$164)&gt;=$Z52),$AC52,IF(AND($Y52&lt;&gt;"",EDATE($D52,Milestones!$AA$164)&gt;=$Y52),$AB52,$AA52)))=Milestones!$AB$164),UPPER(TEXT(EDATE($D52,Milestones!$AA$164),"dd mmm yy"))&amp;" "&amp;Milestones!$AB$164&amp;" "&amp;IF(AND(Milestones!$AB$164="FT",Milestones!$AA$164=FT_Y5,EDATE($D52,Milestones!$AA$164)&lt;PolicyEff),1,Milestones!$AC$164)&amp;";  ","")&amp;IF(AND(EDATE($D52,Milestones!$AA$165)&lt;=AsOfDate,EDATE($D52,Milestones!$AA$165)&gt;=SchemeStart,IF($X52=0,$AD52,IF(AND($Z52&lt;&gt;"",EDATE($D52,Milestones!$AA$165)&gt;=$Z52),$AC52,IF(AND($Y52&lt;&gt;"",EDATE($D52,Milestones!$AA$165)&gt;=$Y52),$AB52,$AA52)))=Milestones!$AB$165),UPPER(TEXT(EDATE($D52,Milestones!$AA$165),"dd mmm yy"))&amp;" "&amp;Milestones!$AB$165&amp;" "&amp;IF(AND(Milestones!$AB$165="FT",Milestones!$AA$165=FT_Y5,EDATE($D52,Milestones!$AA$165)&lt;PolicyEff),1,Milestones!$AC$165)&amp;";  ","")&amp;IF(AND(EDATE($D52,Milestones!$AA$166)&lt;=AsOfDate,EDATE($D52,Milestones!$AA$166)&gt;=SchemeStart,IF($X52=0,$AD52,IF(AND($Z52&lt;&gt;"",EDATE($D52,Milestones!$AA$166)&gt;=$Z52),$AC52,IF(AND($Y52&lt;&gt;"",EDATE($D52,Milestones!$AA$166)&gt;=$Y52),$AB52,$AA52)))=Milestones!$AB$166),UPPER(TEXT(EDATE($D52,Milestones!$AA$166),"dd mmm yy"))&amp;" "&amp;Milestones!$AB$166&amp;" "&amp;IF(AND(Milestones!$AB$166="FT",Milestones!$AA$166=FT_Y5,EDATE($D52,Milestones!$AA$166)&lt;PolicyEff),1,Milestones!$AC$166)&amp;";  ","")&amp;IF(AND(EDATE($D52,Milestones!$AA$167)&lt;=AsOfDate,EDATE($D52,Milestones!$AA$167)&gt;=SchemeStart,IF($X52=0,$AD52,IF(AND($Z52&lt;&gt;"",EDATE($D52,Milestones!$AA$167)&gt;=$Z52),$AC52,IF(AND($Y52&lt;&gt;"",EDATE($D52,Milestones!$AA$167)&gt;=$Y52),$AB52,$AA52)))=Milestones!$AB$167),UPPER(TEXT(EDATE($D52,Milestones!$AA$167),"dd mmm yy"))&amp;" "&amp;Milestones!$AB$167&amp;" "&amp;IF(AND(Milestones!$AB$167="FT",Milestones!$AA$167=FT_Y5,EDATE($D52,Milestones!$AA$167)&lt;PolicyEff),1,Milestones!$AC$167)&amp;";  ","")&amp;IF(AND(EDATE($D52,Milestones!$AA$168)&lt;=AsOfDate,EDATE($D52,Milestones!$AA$168)&gt;=SchemeStart,IF($X52=0,$AD52,IF(AND($Z52&lt;&gt;"",EDATE($D52,Milestones!$AA$168)&gt;=$Z52),$AC52,IF(AND($Y52&lt;&gt;"",EDATE($D52,Milestones!$AA$168)&gt;=$Y52),$AB52,$AA52)))=Milestones!$AB$168),UPPER(TEXT(EDATE($D52,Milestones!$AA$168),"dd mmm yy"))&amp;" "&amp;Milestones!$AB$168&amp;" "&amp;IF(AND(Milestones!$AB$168="FT",Milestones!$AA$168=FT_Y5,EDATE($D52,Milestones!$AA$168)&lt;PolicyEff),1,Milestones!$AC$168)&amp;";  ","")&amp;IF(AND(EDATE($D52,Milestones!$AA$169)&lt;=AsOfDate,EDATE($D52,Milestones!$AA$169)&gt;=SchemeStart,IF($X52=0,$AD52,IF(AND($Z52&lt;&gt;"",EDATE($D52,Milestones!$AA$169)&gt;=$Z52),$AC52,IF(AND($Y52&lt;&gt;"",EDATE($D52,Milestones!$AA$169)&gt;=$Y52),$AB52,$AA52)))=Milestones!$AB$169),UPPER(TEXT(EDATE($D52,Milestones!$AA$169),"dd mmm yy"))&amp;" "&amp;Milestones!$AB$169&amp;" "&amp;IF(AND(Milestones!$AB$169="FT",Milestones!$AA$169=FT_Y5,EDATE($D52,Milestones!$AA$169)&lt;PolicyEff),1,Milestones!$AC$169)&amp;";  ","")&amp;IF(AND(EDATE($D52,Milestones!$AA$170)&lt;=AsOfDate,EDATE($D52,Milestones!$AA$170)&gt;=SchemeStart,IF($X52=0,$AD52,IF(AND($Z52&lt;&gt;"",EDATE($D52,Milestones!$AA$170)&gt;=$Z52),$AC52,IF(AND($Y52&lt;&gt;"",EDATE($D52,Milestones!$AA$170)&gt;=$Y52),$AB52,$AA52)))=Milestones!$AB$170),UPPER(TEXT(EDATE($D52,Milestones!$AA$170),"dd mmm yy"))&amp;" "&amp;Milestones!$AB$170&amp;" "&amp;IF(AND(Milestones!$AB$170="FT",Milestones!$AA$170=FT_Y5,EDATE($D52,Milestones!$AA$170)&lt;PolicyEff),1,Milestones!$AC$170)&amp;";  ","")&amp;IF(AND(EDATE($D52,Milestones!$AA$171)&lt;=AsOfDate,EDATE($D52,Milestones!$AA$171)&gt;=SchemeStart,IF($X52=0,$AD52,IF(AND($Z52&lt;&gt;"",EDATE($D52,Milestones!$AA$171)&gt;=$Z52),$AC52,IF(AND($Y52&lt;&gt;"",EDATE($D52,Milestones!$AA$171)&gt;=$Y52),$AB52,$AA52)))=Milestones!$AB$171),UPPER(TEXT(EDATE($D52,Milestones!$AA$171),"dd mmm yy"))&amp;" "&amp;Milestones!$AB$171&amp;" "&amp;IF(AND(Milestones!$AB$171="FT",Milestones!$AA$171=FT_Y5,EDATE($D52,Milestones!$AA$171)&lt;PolicyEff),1,Milestones!$AC$171)&amp;";  ","")&amp;IF(AND(EDATE($D52,Milestones!$AA$172)&lt;=AsOfDate,EDATE($D52,Milestones!$AA$172)&gt;=SchemeStart,IF($X52=0,$AD52,IF(AND($Z52&lt;&gt;"",EDATE($D52,Milestones!$AA$172)&gt;=$Z52),$AC52,IF(AND($Y52&lt;&gt;"",EDATE($D52,Milestones!$AA$172)&gt;=$Y52),$AB52,$AA52)))=Milestones!$AB$172),UPPER(TEXT(EDATE($D52,Milestones!$AA$172),"dd mmm yy"))&amp;" "&amp;Milestones!$AB$172&amp;" "&amp;IF(AND(Milestones!$AB$172="FT",Milestones!$AA$172=FT_Y5,EDATE($D52,Milestones!$AA$172)&lt;PolicyEff),1,Milestones!$AC$172)&amp;";  ","")&amp;IF(AND(EDATE($D52,Milestones!$AA$173)&lt;=AsOfDate,EDATE($D52,Milestones!$AA$173)&gt;=SchemeStart,IF($X52=0,$AD52,IF(AND($Z52&lt;&gt;"",EDATE($D52,Milestones!$AA$173)&gt;=$Z52),$AC52,IF(AND($Y52&lt;&gt;"",EDATE($D52,Milestones!$AA$173)&gt;=$Y52),$AB52,$AA52)))=Milestones!$AB$173),UPPER(TEXT(EDATE($D52,Milestones!$AA$173),"dd mmm yy"))&amp;" "&amp;Milestones!$AB$173&amp;" "&amp;IF(AND(Milestones!$AB$173="FT",Milestones!$AA$173=FT_Y5,EDATE($D52,Milestones!$AA$173)&lt;PolicyEff),1,Milestones!$AC$173)&amp;";  ","")&amp;IF(AND(EDATE($D52,Milestones!$AA$174)&lt;=AsOfDate,EDATE($D52,Milestones!$AA$174)&gt;=SchemeStart,IF($X52=0,$AD52,IF(AND($Z52&lt;&gt;"",EDATE($D52,Milestones!$AA$174)&gt;=$Z52),$AC52,IF(AND($Y52&lt;&gt;"",EDATE($D52,Milestones!$AA$174)&gt;=$Y52),$AB52,$AA52)))=Milestones!$AB$174),UPPER(TEXT(EDATE($D52,Milestones!$AA$174),"dd mmm yy"))&amp;" "&amp;Milestones!$AB$174&amp;" "&amp;IF(AND(Milestones!$AB$174="FT",Milestones!$AA$174=FT_Y5,EDATE($D52,Milestones!$AA$174)&lt;PolicyEff),1,Milestones!$AC$174)&amp;";  ","")&amp;IF(AND(EDATE($D52,Milestones!$AA$175)&lt;=AsOfDate,EDATE($D52,Milestones!$AA$175)&gt;=SchemeStart,IF($X52=0,$AD52,IF(AND($Z52&lt;&gt;"",EDATE($D52,Milestones!$AA$175)&gt;=$Z52),$AC52,IF(AND($Y52&lt;&gt;"",EDATE($D52,Milestones!$AA$175)&gt;=$Y52),$AB52,$AA52)))=Milestones!$AB$175),UPPER(TEXT(EDATE($D52,Milestones!$AA$175),"dd mmm yy"))&amp;" "&amp;Milestones!$AB$175&amp;" "&amp;IF(AND(Milestones!$AB$175="FT",Milestones!$AA$175=FT_Y5,EDATE($D52,Milestones!$AA$175)&lt;PolicyEff),1,Milestones!$AC$175)&amp;";  ",""))</f>
        <v/>
      </c>
      <c r="V52" s="0" t="str">
        <f aca="false">IF(OR($A52="",$D52=""),"",IF(AND(EDATE($D52,Milestones!$AA$176)&lt;=AsOfDate,EDATE($D52,Milestones!$AA$176)&gt;=SchemeStart,IF($X52=0,$AD52,IF(AND($Z52&lt;&gt;"",EDATE($D52,Milestones!$AA$176)&gt;=$Z52),$AC52,IF(AND($Y52&lt;&gt;"",EDATE($D52,Milestones!$AA$176)&gt;=$Y52),$AB52,$AA52)))=Milestones!$AB$176),UPPER(TEXT(EDATE($D52,Milestones!$AA$176),"dd mmm yy"))&amp;" "&amp;Milestones!$AB$176&amp;" "&amp;IF(AND(Milestones!$AB$176="FT",Milestones!$AA$176=FT_Y5,EDATE($D52,Milestones!$AA$176)&lt;PolicyEff),1,Milestones!$AC$176)&amp;";  ","")&amp;IF(AND(EDATE($D52,Milestones!$AA$177)&lt;=AsOfDate,EDATE($D52,Milestones!$AA$177)&gt;=SchemeStart,IF($X52=0,$AD52,IF(AND($Z52&lt;&gt;"",EDATE($D52,Milestones!$AA$177)&gt;=$Z52),$AC52,IF(AND($Y52&lt;&gt;"",EDATE($D52,Milestones!$AA$177)&gt;=$Y52),$AB52,$AA52)))=Milestones!$AB$177),UPPER(TEXT(EDATE($D52,Milestones!$AA$177),"dd mmm yy"))&amp;" "&amp;Milestones!$AB$177&amp;" "&amp;IF(AND(Milestones!$AB$177="FT",Milestones!$AA$177=FT_Y5,EDATE($D52,Milestones!$AA$177)&lt;PolicyEff),1,Milestones!$AC$177)&amp;";  ","")&amp;IF(AND(EDATE($D52,Milestones!$AA$178)&lt;=AsOfDate,EDATE($D52,Milestones!$AA$178)&gt;=SchemeStart,IF($X52=0,$AD52,IF(AND($Z52&lt;&gt;"",EDATE($D52,Milestones!$AA$178)&gt;=$Z52),$AC52,IF(AND($Y52&lt;&gt;"",EDATE($D52,Milestones!$AA$178)&gt;=$Y52),$AB52,$AA52)))=Milestones!$AB$178),UPPER(TEXT(EDATE($D52,Milestones!$AA$178),"dd mmm yy"))&amp;" "&amp;Milestones!$AB$178&amp;" "&amp;IF(AND(Milestones!$AB$178="FT",Milestones!$AA$178=FT_Y5,EDATE($D52,Milestones!$AA$178)&lt;PolicyEff),1,Milestones!$AC$178)&amp;";  ","")&amp;IF(AND(EDATE($D52,Milestones!$AA$179)&lt;=AsOfDate,EDATE($D52,Milestones!$AA$179)&gt;=SchemeStart,IF($X52=0,$AD52,IF(AND($Z52&lt;&gt;"",EDATE($D52,Milestones!$AA$179)&gt;=$Z52),$AC52,IF(AND($Y52&lt;&gt;"",EDATE($D52,Milestones!$AA$179)&gt;=$Y52),$AB52,$AA52)))=Milestones!$AB$179),UPPER(TEXT(EDATE($D52,Milestones!$AA$179),"dd mmm yy"))&amp;" "&amp;Milestones!$AB$179&amp;" "&amp;IF(AND(Milestones!$AB$179="FT",Milestones!$AA$179=FT_Y5,EDATE($D52,Milestones!$AA$179)&lt;PolicyEff),1,Milestones!$AC$179)&amp;";  ","")&amp;IF(AND(EDATE($D52,Milestones!$AA$180)&lt;=AsOfDate,EDATE($D52,Milestones!$AA$180)&gt;=SchemeStart,IF($X52=0,$AD52,IF(AND($Z52&lt;&gt;"",EDATE($D52,Milestones!$AA$180)&gt;=$Z52),$AC52,IF(AND($Y52&lt;&gt;"",EDATE($D52,Milestones!$AA$180)&gt;=$Y52),$AB52,$AA52)))=Milestones!$AB$180),UPPER(TEXT(EDATE($D52,Milestones!$AA$180),"dd mmm yy"))&amp;" "&amp;Milestones!$AB$180&amp;" "&amp;IF(AND(Milestones!$AB$180="FT",Milestones!$AA$180=FT_Y5,EDATE($D52,Milestones!$AA$180)&lt;PolicyEff),1,Milestones!$AC$180)&amp;";  ","")&amp;IF(AND(EDATE($D52,Milestones!$AA$181)&lt;=AsOfDate,EDATE($D52,Milestones!$AA$181)&gt;=SchemeStart,IF($X52=0,$AD52,IF(AND($Z52&lt;&gt;"",EDATE($D52,Milestones!$AA$181)&gt;=$Z52),$AC52,IF(AND($Y52&lt;&gt;"",EDATE($D52,Milestones!$AA$181)&gt;=$Y52),$AB52,$AA52)))=Milestones!$AB$181),UPPER(TEXT(EDATE($D52,Milestones!$AA$181),"dd mmm yy"))&amp;" "&amp;Milestones!$AB$181&amp;" "&amp;IF(AND(Milestones!$AB$181="FT",Milestones!$AA$181=FT_Y5,EDATE($D52,Milestones!$AA$181)&lt;PolicyEff),1,Milestones!$AC$181)&amp;";  ","")&amp;IF(AND(EDATE($D52,Milestones!$AA$182)&lt;=AsOfDate,EDATE($D52,Milestones!$AA$182)&gt;=SchemeStart,IF($X52=0,$AD52,IF(AND($Z52&lt;&gt;"",EDATE($D52,Milestones!$AA$182)&gt;=$Z52),$AC52,IF(AND($Y52&lt;&gt;"",EDATE($D52,Milestones!$AA$182)&gt;=$Y52),$AB52,$AA52)))=Milestones!$AB$182),UPPER(TEXT(EDATE($D52,Milestones!$AA$182),"dd mmm yy"))&amp;" "&amp;Milestones!$AB$182&amp;" "&amp;IF(AND(Milestones!$AB$182="FT",Milestones!$AA$182=FT_Y5,EDATE($D52,Milestones!$AA$182)&lt;PolicyEff),1,Milestones!$AC$182)&amp;";  ","")&amp;IF(AND(EDATE($D52,Milestones!$AA$183)&lt;=AsOfDate,EDATE($D52,Milestones!$AA$183)&gt;=SchemeStart,IF($X52=0,$AD52,IF(AND($Z52&lt;&gt;"",EDATE($D52,Milestones!$AA$183)&gt;=$Z52),$AC52,IF(AND($Y52&lt;&gt;"",EDATE($D52,Milestones!$AA$183)&gt;=$Y52),$AB52,$AA52)))=Milestones!$AB$183),UPPER(TEXT(EDATE($D52,Milestones!$AA$183),"dd mmm yy"))&amp;" "&amp;Milestones!$AB$183&amp;" "&amp;IF(AND(Milestones!$AB$183="FT",Milestones!$AA$183=FT_Y5,EDATE($D52,Milestones!$AA$183)&lt;PolicyEff),1,Milestones!$AC$183)&amp;";  ","")&amp;IF(AND(EDATE($D52,Milestones!$AA$184)&lt;=AsOfDate,EDATE($D52,Milestones!$AA$184)&gt;=SchemeStart,IF($X52=0,$AD52,IF(AND($Z52&lt;&gt;"",EDATE($D52,Milestones!$AA$184)&gt;=$Z52),$AC52,IF(AND($Y52&lt;&gt;"",EDATE($D52,Milestones!$AA$184)&gt;=$Y52),$AB52,$AA52)))=Milestones!$AB$184),UPPER(TEXT(EDATE($D52,Milestones!$AA$184),"dd mmm yy"))&amp;" "&amp;Milestones!$AB$184&amp;" "&amp;IF(AND(Milestones!$AB$184="FT",Milestones!$AA$184=FT_Y5,EDATE($D52,Milestones!$AA$184)&lt;PolicyEff),1,Milestones!$AC$184)&amp;";  ","")&amp;IF(AND(EDATE($D52,Milestones!$AA$185)&lt;=AsOfDate,EDATE($D52,Milestones!$AA$185)&gt;=SchemeStart,IF($X52=0,$AD52,IF(AND($Z52&lt;&gt;"",EDATE($D52,Milestones!$AA$185)&gt;=$Z52),$AC52,IF(AND($Y52&lt;&gt;"",EDATE($D52,Milestones!$AA$185)&gt;=$Y52),$AB52,$AA52)))=Milestones!$AB$185),UPPER(TEXT(EDATE($D52,Milestones!$AA$185),"dd mmm yy"))&amp;" "&amp;Milestones!$AB$185&amp;" "&amp;IF(AND(Milestones!$AB$185="FT",Milestones!$AA$185=FT_Y5,EDATE($D52,Milestones!$AA$185)&lt;PolicyEff),1,Milestones!$AC$185)&amp;";  ","")&amp;IF(AND(EDATE($D52,Milestones!$AA$186)&lt;=AsOfDate,EDATE($D52,Milestones!$AA$186)&gt;=SchemeStart,IF($X52=0,$AD52,IF(AND($Z52&lt;&gt;"",EDATE($D52,Milestones!$AA$186)&gt;=$Z52),$AC52,IF(AND($Y52&lt;&gt;"",EDATE($D52,Milestones!$AA$186)&gt;=$Y52),$AB52,$AA52)))=Milestones!$AB$186),UPPER(TEXT(EDATE($D52,Milestones!$AA$186),"dd mmm yy"))&amp;" "&amp;Milestones!$AB$186&amp;" "&amp;IF(AND(Milestones!$AB$186="FT",Milestones!$AA$186=FT_Y5,EDATE($D52,Milestones!$AA$186)&lt;PolicyEff),1,Milestones!$AC$186)&amp;";  ","")&amp;IF(AND(EDATE($D52,Milestones!$AA$187)&lt;=AsOfDate,EDATE($D52,Milestones!$AA$187)&gt;=SchemeStart,IF($X52=0,$AD52,IF(AND($Z52&lt;&gt;"",EDATE($D52,Milestones!$AA$187)&gt;=$Z52),$AC52,IF(AND($Y52&lt;&gt;"",EDATE($D52,Milestones!$AA$187)&gt;=$Y52),$AB52,$AA52)))=Milestones!$AB$187),UPPER(TEXT(EDATE($D52,Milestones!$AA$187),"dd mmm yy"))&amp;" "&amp;Milestones!$AB$187&amp;" "&amp;IF(AND(Milestones!$AB$187="FT",Milestones!$AA$187=FT_Y5,EDATE($D52,Milestones!$AA$187)&lt;PolicyEff),1,Milestones!$AC$187)&amp;";  ",""))</f>
        <v/>
      </c>
      <c r="W52" s="0" t="str">
        <f aca="false">IF(OR($A52="",$D52=""),"",IF(AND(EDATE($D52,Milestones!$AA$188)&lt;=AsOfDate,EDATE($D52,Milestones!$AA$188)&gt;=SchemeStart,IF($X52=0,$AD52,IF(AND($Z52&lt;&gt;"",EDATE($D52,Milestones!$AA$188)&gt;=$Z52),$AC52,IF(AND($Y52&lt;&gt;"",EDATE($D52,Milestones!$AA$188)&gt;=$Y52),$AB52,$AA52)))=Milestones!$AB$188),UPPER(TEXT(EDATE($D52,Milestones!$AA$188),"dd mmm yy"))&amp;" "&amp;Milestones!$AB$188&amp;" "&amp;IF(AND(Milestones!$AB$188="FT",Milestones!$AA$188=FT_Y5,EDATE($D52,Milestones!$AA$188)&lt;PolicyEff),1,Milestones!$AC$188)&amp;";  ","")&amp;IF(AND(EDATE($D52,Milestones!$AA$189)&lt;=AsOfDate,EDATE($D52,Milestones!$AA$189)&gt;=SchemeStart,IF($X52=0,$AD52,IF(AND($Z52&lt;&gt;"",EDATE($D52,Milestones!$AA$189)&gt;=$Z52),$AC52,IF(AND($Y52&lt;&gt;"",EDATE($D52,Milestones!$AA$189)&gt;=$Y52),$AB52,$AA52)))=Milestones!$AB$189),UPPER(TEXT(EDATE($D52,Milestones!$AA$189),"dd mmm yy"))&amp;" "&amp;Milestones!$AB$189&amp;" "&amp;IF(AND(Milestones!$AB$189="FT",Milestones!$AA$189=FT_Y5,EDATE($D52,Milestones!$AA$189)&lt;PolicyEff),1,Milestones!$AC$189)&amp;";  ","")&amp;IF(AND(EDATE($D52,Milestones!$AA$190)&lt;=AsOfDate,EDATE($D52,Milestones!$AA$190)&gt;=SchemeStart,IF($X52=0,$AD52,IF(AND($Z52&lt;&gt;"",EDATE($D52,Milestones!$AA$190)&gt;=$Z52),$AC52,IF(AND($Y52&lt;&gt;"",EDATE($D52,Milestones!$AA$190)&gt;=$Y52),$AB52,$AA52)))=Milestones!$AB$190),UPPER(TEXT(EDATE($D52,Milestones!$AA$190),"dd mmm yy"))&amp;" "&amp;Milestones!$AB$190&amp;" "&amp;IF(AND(Milestones!$AB$190="FT",Milestones!$AA$190=FT_Y5,EDATE($D52,Milestones!$AA$190)&lt;PolicyEff),1,Milestones!$AC$190)&amp;";  ","")&amp;IF(AND(EDATE($D52,Milestones!$AA$191)&lt;=AsOfDate,EDATE($D52,Milestones!$AA$191)&gt;=SchemeStart,IF($X52=0,$AD52,IF(AND($Z52&lt;&gt;"",EDATE($D52,Milestones!$AA$191)&gt;=$Z52),$AC52,IF(AND($Y52&lt;&gt;"",EDATE($D52,Milestones!$AA$191)&gt;=$Y52),$AB52,$AA52)))=Milestones!$AB$191),UPPER(TEXT(EDATE($D52,Milestones!$AA$191),"dd mmm yy"))&amp;" "&amp;Milestones!$AB$191&amp;" "&amp;IF(AND(Milestones!$AB$191="FT",Milestones!$AA$191=FT_Y5,EDATE($D52,Milestones!$AA$191)&lt;PolicyEff),1,Milestones!$AC$191)&amp;";  ","")&amp;IF(AND(EDATE($D52,Milestones!$AA$192)&lt;=AsOfDate,EDATE($D52,Milestones!$AA$192)&gt;=SchemeStart,IF($X52=0,$AD52,IF(AND($Z52&lt;&gt;"",EDATE($D52,Milestones!$AA$192)&gt;=$Z52),$AC52,IF(AND($Y52&lt;&gt;"",EDATE($D52,Milestones!$AA$192)&gt;=$Y52),$AB52,$AA52)))=Milestones!$AB$192),UPPER(TEXT(EDATE($D52,Milestones!$AA$192),"dd mmm yy"))&amp;" "&amp;Milestones!$AB$192&amp;" "&amp;IF(AND(Milestones!$AB$192="FT",Milestones!$AA$192=FT_Y5,EDATE($D52,Milestones!$AA$192)&lt;PolicyEff),1,Milestones!$AC$192)&amp;";  ","")&amp;IF(AND(EDATE($D52,Milestones!$AA$193)&lt;=AsOfDate,EDATE($D52,Milestones!$AA$193)&gt;=SchemeStart,IF($X52=0,$AD52,IF(AND($Z52&lt;&gt;"",EDATE($D52,Milestones!$AA$193)&gt;=$Z52),$AC52,IF(AND($Y52&lt;&gt;"",EDATE($D52,Milestones!$AA$193)&gt;=$Y52),$AB52,$AA52)))=Milestones!$AB$193),UPPER(TEXT(EDATE($D52,Milestones!$AA$193),"dd mmm yy"))&amp;" "&amp;Milestones!$AB$193&amp;" "&amp;IF(AND(Milestones!$AB$193="FT",Milestones!$AA$193=FT_Y5,EDATE($D52,Milestones!$AA$193)&lt;PolicyEff),1,Milestones!$AC$193)&amp;";  ","")&amp;IF(AND(EDATE($D52,Milestones!$AA$194)&lt;=AsOfDate,EDATE($D52,Milestones!$AA$194)&gt;=SchemeStart,IF($X52=0,$AD52,IF(AND($Z52&lt;&gt;"",EDATE($D52,Milestones!$AA$194)&gt;=$Z52),$AC52,IF(AND($Y52&lt;&gt;"",EDATE($D52,Milestones!$AA$194)&gt;=$Y52),$AB52,$AA52)))=Milestones!$AB$194),UPPER(TEXT(EDATE($D52,Milestones!$AA$194),"dd mmm yy"))&amp;" "&amp;Milestones!$AB$194&amp;" "&amp;IF(AND(Milestones!$AB$194="FT",Milestones!$AA$194=FT_Y5,EDATE($D52,Milestones!$AA$194)&lt;PolicyEff),1,Milestones!$AC$194)&amp;";  ","")&amp;IF(AND(EDATE($D52,Milestones!$AA$195)&lt;=AsOfDate,EDATE($D52,Milestones!$AA$195)&gt;=SchemeStart,IF($X52=0,$AD52,IF(AND($Z52&lt;&gt;"",EDATE($D52,Milestones!$AA$195)&gt;=$Z52),$AC52,IF(AND($Y52&lt;&gt;"",EDATE($D52,Milestones!$AA$195)&gt;=$Y52),$AB52,$AA52)))=Milestones!$AB$195),UPPER(TEXT(EDATE($D52,Milestones!$AA$195),"dd mmm yy"))&amp;" "&amp;Milestones!$AB$195&amp;" "&amp;IF(AND(Milestones!$AB$195="FT",Milestones!$AA$195=FT_Y5,EDATE($D52,Milestones!$AA$195)&lt;PolicyEff),1,Milestones!$AC$195)&amp;";  ","")&amp;IF(AND(EDATE($D52,Milestones!$AA$196)&lt;=AsOfDate,EDATE($D52,Milestones!$AA$196)&gt;=SchemeStart,IF($X52=0,$AD52,IF(AND($Z52&lt;&gt;"",EDATE($D52,Milestones!$AA$196)&gt;=$Z52),$AC52,IF(AND($Y52&lt;&gt;"",EDATE($D52,Milestones!$AA$196)&gt;=$Y52),$AB52,$AA52)))=Milestones!$AB$196),UPPER(TEXT(EDATE($D52,Milestones!$AA$196),"dd mmm yy"))&amp;" "&amp;Milestones!$AB$196&amp;" "&amp;IF(AND(Milestones!$AB$196="FT",Milestones!$AA$196=FT_Y5,EDATE($D52,Milestones!$AA$196)&lt;PolicyEff),1,Milestones!$AC$196)&amp;";  ","")&amp;IF(AND(EDATE($D52,Milestones!$AA$197)&lt;=AsOfDate,EDATE($D52,Milestones!$AA$197)&gt;=SchemeStart,IF($X52=0,$AD52,IF(AND($Z52&lt;&gt;"",EDATE($D52,Milestones!$AA$197)&gt;=$Z52),$AC52,IF(AND($Y52&lt;&gt;"",EDATE($D52,Milestones!$AA$197)&gt;=$Y52),$AB52,$AA52)))=Milestones!$AB$197),UPPER(TEXT(EDATE($D52,Milestones!$AA$197),"dd mmm yy"))&amp;" "&amp;Milestones!$AB$197&amp;" "&amp;IF(AND(Milestones!$AB$197="FT",Milestones!$AA$197=FT_Y5,EDATE($D52,Milestones!$AA$197)&lt;PolicyEff),1,Milestones!$AC$197)&amp;";  ","")&amp;IF(AND(EDATE($D52,Milestones!$AA$198)&lt;=AsOfDate,EDATE($D52,Milestones!$AA$198)&gt;=SchemeStart,IF($X52=0,$AD52,IF(AND($Z52&lt;&gt;"",EDATE($D52,Milestones!$AA$198)&gt;=$Z52),$AC52,IF(AND($Y52&lt;&gt;"",EDATE($D52,Milestones!$AA$198)&gt;=$Y52),$AB52,$AA52)))=Milestones!$AB$198),UPPER(TEXT(EDATE($D52,Milestones!$AA$198),"dd mmm yy"))&amp;" "&amp;Milestones!$AB$198&amp;" "&amp;IF(AND(Milestones!$AB$198="FT",Milestones!$AA$198=FT_Y5,EDATE($D52,Milestones!$AA$198)&lt;PolicyEff),1,Milestones!$AC$198)&amp;";  ","")&amp;IF(AND(EDATE($D52,Milestones!$AA$199)&lt;=AsOfDate,EDATE($D52,Milestones!$AA$199)&gt;=SchemeStart,IF($X52=0,$AD52,IF(AND($Z52&lt;&gt;"",EDATE($D52,Milestones!$AA$199)&gt;=$Z52),$AC52,IF(AND($Y52&lt;&gt;"",EDATE($D52,Milestones!$AA$199)&gt;=$Y52),$AB52,$AA52)))=Milestones!$AB$199),UPPER(TEXT(EDATE($D52,Milestones!$AA$199),"dd mmm yy"))&amp;" "&amp;Milestones!$AB$199&amp;" "&amp;IF(AND(Milestones!$AB$199="FT",Milestones!$AA$199=FT_Y5,EDATE($D52,Milestones!$AA$199)&lt;PolicyEff),1,Milestones!$AC$199)&amp;";  ",""))</f>
        <v/>
      </c>
      <c r="X52" s="0" t="str">
        <f aca="false">IF(Staff!$A52="","",Staff!$AM52)</f>
        <v/>
      </c>
      <c r="Y52" s="0" t="str">
        <f aca="false">IF(Staff!$A52="","",Staff!$AO52)</f>
        <v/>
      </c>
      <c r="Z52" s="0" t="str">
        <f aca="false">IF(Staff!$A52="","",Staff!$AP52)</f>
        <v/>
      </c>
      <c r="AA52" s="0" t="str">
        <f aca="false">IF(Staff!$A52="","",Staff!$AT52)</f>
        <v/>
      </c>
      <c r="AB52" s="0" t="str">
        <f aca="false">IF(Staff!$A52="","",Staff!$AU52)</f>
        <v/>
      </c>
      <c r="AC52" s="0" t="str">
        <f aca="false">IF(Staff!$A52="","",Staff!$AV52)</f>
        <v/>
      </c>
      <c r="AD52" s="0" t="str">
        <f aca="false">IF(Staff!$A52="","",Staff!$AW52)</f>
        <v/>
      </c>
    </row>
    <row r="53" customFormat="false" ht="15" hidden="false" customHeight="false" outlineLevel="0" collapsed="false">
      <c r="A53" s="16" t="str">
        <f aca="false">IF(Staff!$A53="","",Staff!$A53)</f>
        <v/>
      </c>
      <c r="B53" s="16" t="str">
        <f aca="false">IF(Staff!$A53="","",Staff!$B53)</f>
        <v/>
      </c>
      <c r="C53" s="16" t="str">
        <f aca="false">IF(Staff!$A53="","",Staff!$C53)</f>
        <v/>
      </c>
      <c r="D53" s="14" t="str">
        <f aca="false">IF(Staff!$A53="","",Staff!$AL53)</f>
        <v/>
      </c>
      <c r="E53" s="16" t="str">
        <f aca="false">IF(Staff!$A53="","",Staff!$O53)</f>
        <v/>
      </c>
      <c r="F53" s="16" t="str">
        <f aca="false">IF(E53="","",E53*HoursPerDay)</f>
        <v/>
      </c>
      <c r="G53" s="16" t="str">
        <f aca="false">IF(Staff!$A53="","",Staff!$AE53)</f>
        <v/>
      </c>
      <c r="H53" s="28" t="str">
        <f aca="false">IF($A53="","",I53&amp;J53&amp;K53&amp;L53&amp;M53&amp;N53&amp;O53&amp;P53&amp;Q53&amp;R53&amp;S53&amp;T53&amp;U53&amp;V53&amp;W53)</f>
        <v/>
      </c>
      <c r="I53" s="0" t="str">
        <f aca="false">IF(OR($A53="",$D53=""),"",IF(AND(EDATE($D53,Milestones!$AA$20)&lt;=AsOfDate,EDATE($D53,Milestones!$AA$20)&gt;=SchemeStart,IF($X53=0,$AD53,IF(AND($Z53&lt;&gt;"",EDATE($D53,Milestones!$AA$20)&gt;=$Z53),$AC53,IF(AND($Y53&lt;&gt;"",EDATE($D53,Milestones!$AA$20)&gt;=$Y53),$AB53,$AA53)))=Milestones!$AB$20),UPPER(TEXT(EDATE($D53,Milestones!$AA$20),"dd mmm yy"))&amp;" "&amp;Milestones!$AB$20&amp;" "&amp;IF(AND(Milestones!$AB$20="FT",Milestones!$AA$20=FT_Y5,EDATE($D53,Milestones!$AA$20)&lt;PolicyEff),1,Milestones!$AC$20)&amp;";  ","")&amp;IF(AND(EDATE($D53,Milestones!$AA$21)&lt;=AsOfDate,EDATE($D53,Milestones!$AA$21)&gt;=SchemeStart,IF($X53=0,$AD53,IF(AND($Z53&lt;&gt;"",EDATE($D53,Milestones!$AA$21)&gt;=$Z53),$AC53,IF(AND($Y53&lt;&gt;"",EDATE($D53,Milestones!$AA$21)&gt;=$Y53),$AB53,$AA53)))=Milestones!$AB$21),UPPER(TEXT(EDATE($D53,Milestones!$AA$21),"dd mmm yy"))&amp;" "&amp;Milestones!$AB$21&amp;" "&amp;IF(AND(Milestones!$AB$21="FT",Milestones!$AA$21=FT_Y5,EDATE($D53,Milestones!$AA$21)&lt;PolicyEff),1,Milestones!$AC$21)&amp;";  ","")&amp;IF(AND(EDATE($D53,Milestones!$AA$22)&lt;=AsOfDate,EDATE($D53,Milestones!$AA$22)&gt;=SchemeStart,IF($X53=0,$AD53,IF(AND($Z53&lt;&gt;"",EDATE($D53,Milestones!$AA$22)&gt;=$Z53),$AC53,IF(AND($Y53&lt;&gt;"",EDATE($D53,Milestones!$AA$22)&gt;=$Y53),$AB53,$AA53)))=Milestones!$AB$22),UPPER(TEXT(EDATE($D53,Milestones!$AA$22),"dd mmm yy"))&amp;" "&amp;Milestones!$AB$22&amp;" "&amp;IF(AND(Milestones!$AB$22="FT",Milestones!$AA$22=FT_Y5,EDATE($D53,Milestones!$AA$22)&lt;PolicyEff),1,Milestones!$AC$22)&amp;";  ","")&amp;IF(AND(EDATE($D53,Milestones!$AA$23)&lt;=AsOfDate,EDATE($D53,Milestones!$AA$23)&gt;=SchemeStart,IF($X53=0,$AD53,IF(AND($Z53&lt;&gt;"",EDATE($D53,Milestones!$AA$23)&gt;=$Z53),$AC53,IF(AND($Y53&lt;&gt;"",EDATE($D53,Milestones!$AA$23)&gt;=$Y53),$AB53,$AA53)))=Milestones!$AB$23),UPPER(TEXT(EDATE($D53,Milestones!$AA$23),"dd mmm yy"))&amp;" "&amp;Milestones!$AB$23&amp;" "&amp;IF(AND(Milestones!$AB$23="FT",Milestones!$AA$23=FT_Y5,EDATE($D53,Milestones!$AA$23)&lt;PolicyEff),1,Milestones!$AC$23)&amp;";  ","")&amp;IF(AND(EDATE($D53,Milestones!$AA$24)&lt;=AsOfDate,EDATE($D53,Milestones!$AA$24)&gt;=SchemeStart,IF($X53=0,$AD53,IF(AND($Z53&lt;&gt;"",EDATE($D53,Milestones!$AA$24)&gt;=$Z53),$AC53,IF(AND($Y53&lt;&gt;"",EDATE($D53,Milestones!$AA$24)&gt;=$Y53),$AB53,$AA53)))=Milestones!$AB$24),UPPER(TEXT(EDATE($D53,Milestones!$AA$24),"dd mmm yy"))&amp;" "&amp;Milestones!$AB$24&amp;" "&amp;IF(AND(Milestones!$AB$24="FT",Milestones!$AA$24=FT_Y5,EDATE($D53,Milestones!$AA$24)&lt;PolicyEff),1,Milestones!$AC$24)&amp;";  ","")&amp;IF(AND(EDATE($D53,Milestones!$AA$25)&lt;=AsOfDate,EDATE($D53,Milestones!$AA$25)&gt;=SchemeStart,IF($X53=0,$AD53,IF(AND($Z53&lt;&gt;"",EDATE($D53,Milestones!$AA$25)&gt;=$Z53),$AC53,IF(AND($Y53&lt;&gt;"",EDATE($D53,Milestones!$AA$25)&gt;=$Y53),$AB53,$AA53)))=Milestones!$AB$25),UPPER(TEXT(EDATE($D53,Milestones!$AA$25),"dd mmm yy"))&amp;" "&amp;Milestones!$AB$25&amp;" "&amp;IF(AND(Milestones!$AB$25="FT",Milestones!$AA$25=FT_Y5,EDATE($D53,Milestones!$AA$25)&lt;PolicyEff),1,Milestones!$AC$25)&amp;";  ","")&amp;IF(AND(EDATE($D53,Milestones!$AA$26)&lt;=AsOfDate,EDATE($D53,Milestones!$AA$26)&gt;=SchemeStart,IF($X53=0,$AD53,IF(AND($Z53&lt;&gt;"",EDATE($D53,Milestones!$AA$26)&gt;=$Z53),$AC53,IF(AND($Y53&lt;&gt;"",EDATE($D53,Milestones!$AA$26)&gt;=$Y53),$AB53,$AA53)))=Milestones!$AB$26),UPPER(TEXT(EDATE($D53,Milestones!$AA$26),"dd mmm yy"))&amp;" "&amp;Milestones!$AB$26&amp;" "&amp;IF(AND(Milestones!$AB$26="FT",Milestones!$AA$26=FT_Y5,EDATE($D53,Milestones!$AA$26)&lt;PolicyEff),1,Milestones!$AC$26)&amp;";  ","")&amp;IF(AND(EDATE($D53,Milestones!$AA$27)&lt;=AsOfDate,EDATE($D53,Milestones!$AA$27)&gt;=SchemeStart,IF($X53=0,$AD53,IF(AND($Z53&lt;&gt;"",EDATE($D53,Milestones!$AA$27)&gt;=$Z53),$AC53,IF(AND($Y53&lt;&gt;"",EDATE($D53,Milestones!$AA$27)&gt;=$Y53),$AB53,$AA53)))=Milestones!$AB$27),UPPER(TEXT(EDATE($D53,Milestones!$AA$27),"dd mmm yy"))&amp;" "&amp;Milestones!$AB$27&amp;" "&amp;IF(AND(Milestones!$AB$27="FT",Milestones!$AA$27=FT_Y5,EDATE($D53,Milestones!$AA$27)&lt;PolicyEff),1,Milestones!$AC$27)&amp;";  ","")&amp;IF(AND(EDATE($D53,Milestones!$AA$28)&lt;=AsOfDate,EDATE($D53,Milestones!$AA$28)&gt;=SchemeStart,IF($X53=0,$AD53,IF(AND($Z53&lt;&gt;"",EDATE($D53,Milestones!$AA$28)&gt;=$Z53),$AC53,IF(AND($Y53&lt;&gt;"",EDATE($D53,Milestones!$AA$28)&gt;=$Y53),$AB53,$AA53)))=Milestones!$AB$28),UPPER(TEXT(EDATE($D53,Milestones!$AA$28),"dd mmm yy"))&amp;" "&amp;Milestones!$AB$28&amp;" "&amp;IF(AND(Milestones!$AB$28="FT",Milestones!$AA$28=FT_Y5,EDATE($D53,Milestones!$AA$28)&lt;PolicyEff),1,Milestones!$AC$28)&amp;";  ","")&amp;IF(AND(EDATE($D53,Milestones!$AA$29)&lt;=AsOfDate,EDATE($D53,Milestones!$AA$29)&gt;=SchemeStart,IF($X53=0,$AD53,IF(AND($Z53&lt;&gt;"",EDATE($D53,Milestones!$AA$29)&gt;=$Z53),$AC53,IF(AND($Y53&lt;&gt;"",EDATE($D53,Milestones!$AA$29)&gt;=$Y53),$AB53,$AA53)))=Milestones!$AB$29),UPPER(TEXT(EDATE($D53,Milestones!$AA$29),"dd mmm yy"))&amp;" "&amp;Milestones!$AB$29&amp;" "&amp;IF(AND(Milestones!$AB$29="FT",Milestones!$AA$29=FT_Y5,EDATE($D53,Milestones!$AA$29)&lt;PolicyEff),1,Milestones!$AC$29)&amp;";  ","")&amp;IF(AND(EDATE($D53,Milestones!$AA$30)&lt;=AsOfDate,EDATE($D53,Milestones!$AA$30)&gt;=SchemeStart,IF($X53=0,$AD53,IF(AND($Z53&lt;&gt;"",EDATE($D53,Milestones!$AA$30)&gt;=$Z53),$AC53,IF(AND($Y53&lt;&gt;"",EDATE($D53,Milestones!$AA$30)&gt;=$Y53),$AB53,$AA53)))=Milestones!$AB$30),UPPER(TEXT(EDATE($D53,Milestones!$AA$30),"dd mmm yy"))&amp;" "&amp;Milestones!$AB$30&amp;" "&amp;IF(AND(Milestones!$AB$30="FT",Milestones!$AA$30=FT_Y5,EDATE($D53,Milestones!$AA$30)&lt;PolicyEff),1,Milestones!$AC$30)&amp;";  ","")&amp;IF(AND(EDATE($D53,Milestones!$AA$31)&lt;=AsOfDate,EDATE($D53,Milestones!$AA$31)&gt;=SchemeStart,IF($X53=0,$AD53,IF(AND($Z53&lt;&gt;"",EDATE($D53,Milestones!$AA$31)&gt;=$Z53),$AC53,IF(AND($Y53&lt;&gt;"",EDATE($D53,Milestones!$AA$31)&gt;=$Y53),$AB53,$AA53)))=Milestones!$AB$31),UPPER(TEXT(EDATE($D53,Milestones!$AA$31),"dd mmm yy"))&amp;" "&amp;Milestones!$AB$31&amp;" "&amp;IF(AND(Milestones!$AB$31="FT",Milestones!$AA$31=FT_Y5,EDATE($D53,Milestones!$AA$31)&lt;PolicyEff),1,Milestones!$AC$31)&amp;";  ",""))</f>
        <v/>
      </c>
      <c r="J53" s="0" t="str">
        <f aca="false">IF(OR($A53="",$D53=""),"",IF(AND(EDATE($D53,Milestones!$AA$32)&lt;=AsOfDate,EDATE($D53,Milestones!$AA$32)&gt;=SchemeStart,IF($X53=0,$AD53,IF(AND($Z53&lt;&gt;"",EDATE($D53,Milestones!$AA$32)&gt;=$Z53),$AC53,IF(AND($Y53&lt;&gt;"",EDATE($D53,Milestones!$AA$32)&gt;=$Y53),$AB53,$AA53)))=Milestones!$AB$32),UPPER(TEXT(EDATE($D53,Milestones!$AA$32),"dd mmm yy"))&amp;" "&amp;Milestones!$AB$32&amp;" "&amp;IF(AND(Milestones!$AB$32="FT",Milestones!$AA$32=FT_Y5,EDATE($D53,Milestones!$AA$32)&lt;PolicyEff),1,Milestones!$AC$32)&amp;";  ","")&amp;IF(AND(EDATE($D53,Milestones!$AA$33)&lt;=AsOfDate,EDATE($D53,Milestones!$AA$33)&gt;=SchemeStart,IF($X53=0,$AD53,IF(AND($Z53&lt;&gt;"",EDATE($D53,Milestones!$AA$33)&gt;=$Z53),$AC53,IF(AND($Y53&lt;&gt;"",EDATE($D53,Milestones!$AA$33)&gt;=$Y53),$AB53,$AA53)))=Milestones!$AB$33),UPPER(TEXT(EDATE($D53,Milestones!$AA$33),"dd mmm yy"))&amp;" "&amp;Milestones!$AB$33&amp;" "&amp;IF(AND(Milestones!$AB$33="FT",Milestones!$AA$33=FT_Y5,EDATE($D53,Milestones!$AA$33)&lt;PolicyEff),1,Milestones!$AC$33)&amp;";  ","")&amp;IF(AND(EDATE($D53,Milestones!$AA$34)&lt;=AsOfDate,EDATE($D53,Milestones!$AA$34)&gt;=SchemeStart,IF($X53=0,$AD53,IF(AND($Z53&lt;&gt;"",EDATE($D53,Milestones!$AA$34)&gt;=$Z53),$AC53,IF(AND($Y53&lt;&gt;"",EDATE($D53,Milestones!$AA$34)&gt;=$Y53),$AB53,$AA53)))=Milestones!$AB$34),UPPER(TEXT(EDATE($D53,Milestones!$AA$34),"dd mmm yy"))&amp;" "&amp;Milestones!$AB$34&amp;" "&amp;IF(AND(Milestones!$AB$34="FT",Milestones!$AA$34=FT_Y5,EDATE($D53,Milestones!$AA$34)&lt;PolicyEff),1,Milestones!$AC$34)&amp;";  ","")&amp;IF(AND(EDATE($D53,Milestones!$AA$35)&lt;=AsOfDate,EDATE($D53,Milestones!$AA$35)&gt;=SchemeStart,IF($X53=0,$AD53,IF(AND($Z53&lt;&gt;"",EDATE($D53,Milestones!$AA$35)&gt;=$Z53),$AC53,IF(AND($Y53&lt;&gt;"",EDATE($D53,Milestones!$AA$35)&gt;=$Y53),$AB53,$AA53)))=Milestones!$AB$35),UPPER(TEXT(EDATE($D53,Milestones!$AA$35),"dd mmm yy"))&amp;" "&amp;Milestones!$AB$35&amp;" "&amp;IF(AND(Milestones!$AB$35="FT",Milestones!$AA$35=FT_Y5,EDATE($D53,Milestones!$AA$35)&lt;PolicyEff),1,Milestones!$AC$35)&amp;";  ","")&amp;IF(AND(EDATE($D53,Milestones!$AA$36)&lt;=AsOfDate,EDATE($D53,Milestones!$AA$36)&gt;=SchemeStart,IF($X53=0,$AD53,IF(AND($Z53&lt;&gt;"",EDATE($D53,Milestones!$AA$36)&gt;=$Z53),$AC53,IF(AND($Y53&lt;&gt;"",EDATE($D53,Milestones!$AA$36)&gt;=$Y53),$AB53,$AA53)))=Milestones!$AB$36),UPPER(TEXT(EDATE($D53,Milestones!$AA$36),"dd mmm yy"))&amp;" "&amp;Milestones!$AB$36&amp;" "&amp;IF(AND(Milestones!$AB$36="FT",Milestones!$AA$36=FT_Y5,EDATE($D53,Milestones!$AA$36)&lt;PolicyEff),1,Milestones!$AC$36)&amp;";  ","")&amp;IF(AND(EDATE($D53,Milestones!$AA$37)&lt;=AsOfDate,EDATE($D53,Milestones!$AA$37)&gt;=SchemeStart,IF($X53=0,$AD53,IF(AND($Z53&lt;&gt;"",EDATE($D53,Milestones!$AA$37)&gt;=$Z53),$AC53,IF(AND($Y53&lt;&gt;"",EDATE($D53,Milestones!$AA$37)&gt;=$Y53),$AB53,$AA53)))=Milestones!$AB$37),UPPER(TEXT(EDATE($D53,Milestones!$AA$37),"dd mmm yy"))&amp;" "&amp;Milestones!$AB$37&amp;" "&amp;IF(AND(Milestones!$AB$37="FT",Milestones!$AA$37=FT_Y5,EDATE($D53,Milestones!$AA$37)&lt;PolicyEff),1,Milestones!$AC$37)&amp;";  ","")&amp;IF(AND(EDATE($D53,Milestones!$AA$38)&lt;=AsOfDate,EDATE($D53,Milestones!$AA$38)&gt;=SchemeStart,IF($X53=0,$AD53,IF(AND($Z53&lt;&gt;"",EDATE($D53,Milestones!$AA$38)&gt;=$Z53),$AC53,IF(AND($Y53&lt;&gt;"",EDATE($D53,Milestones!$AA$38)&gt;=$Y53),$AB53,$AA53)))=Milestones!$AB$38),UPPER(TEXT(EDATE($D53,Milestones!$AA$38),"dd mmm yy"))&amp;" "&amp;Milestones!$AB$38&amp;" "&amp;IF(AND(Milestones!$AB$38="FT",Milestones!$AA$38=FT_Y5,EDATE($D53,Milestones!$AA$38)&lt;PolicyEff),1,Milestones!$AC$38)&amp;";  ","")&amp;IF(AND(EDATE($D53,Milestones!$AA$39)&lt;=AsOfDate,EDATE($D53,Milestones!$AA$39)&gt;=SchemeStart,IF($X53=0,$AD53,IF(AND($Z53&lt;&gt;"",EDATE($D53,Milestones!$AA$39)&gt;=$Z53),$AC53,IF(AND($Y53&lt;&gt;"",EDATE($D53,Milestones!$AA$39)&gt;=$Y53),$AB53,$AA53)))=Milestones!$AB$39),UPPER(TEXT(EDATE($D53,Milestones!$AA$39),"dd mmm yy"))&amp;" "&amp;Milestones!$AB$39&amp;" "&amp;IF(AND(Milestones!$AB$39="FT",Milestones!$AA$39=FT_Y5,EDATE($D53,Milestones!$AA$39)&lt;PolicyEff),1,Milestones!$AC$39)&amp;";  ","")&amp;IF(AND(EDATE($D53,Milestones!$AA$40)&lt;=AsOfDate,EDATE($D53,Milestones!$AA$40)&gt;=SchemeStart,IF($X53=0,$AD53,IF(AND($Z53&lt;&gt;"",EDATE($D53,Milestones!$AA$40)&gt;=$Z53),$AC53,IF(AND($Y53&lt;&gt;"",EDATE($D53,Milestones!$AA$40)&gt;=$Y53),$AB53,$AA53)))=Milestones!$AB$40),UPPER(TEXT(EDATE($D53,Milestones!$AA$40),"dd mmm yy"))&amp;" "&amp;Milestones!$AB$40&amp;" "&amp;IF(AND(Milestones!$AB$40="FT",Milestones!$AA$40=FT_Y5,EDATE($D53,Milestones!$AA$40)&lt;PolicyEff),1,Milestones!$AC$40)&amp;";  ","")&amp;IF(AND(EDATE($D53,Milestones!$AA$41)&lt;=AsOfDate,EDATE($D53,Milestones!$AA$41)&gt;=SchemeStart,IF($X53=0,$AD53,IF(AND($Z53&lt;&gt;"",EDATE($D53,Milestones!$AA$41)&gt;=$Z53),$AC53,IF(AND($Y53&lt;&gt;"",EDATE($D53,Milestones!$AA$41)&gt;=$Y53),$AB53,$AA53)))=Milestones!$AB$41),UPPER(TEXT(EDATE($D53,Milestones!$AA$41),"dd mmm yy"))&amp;" "&amp;Milestones!$AB$41&amp;" "&amp;IF(AND(Milestones!$AB$41="FT",Milestones!$AA$41=FT_Y5,EDATE($D53,Milestones!$AA$41)&lt;PolicyEff),1,Milestones!$AC$41)&amp;";  ","")&amp;IF(AND(EDATE($D53,Milestones!$AA$42)&lt;=AsOfDate,EDATE($D53,Milestones!$AA$42)&gt;=SchemeStart,IF($X53=0,$AD53,IF(AND($Z53&lt;&gt;"",EDATE($D53,Milestones!$AA$42)&gt;=$Z53),$AC53,IF(AND($Y53&lt;&gt;"",EDATE($D53,Milestones!$AA$42)&gt;=$Y53),$AB53,$AA53)))=Milestones!$AB$42),UPPER(TEXT(EDATE($D53,Milestones!$AA$42),"dd mmm yy"))&amp;" "&amp;Milestones!$AB$42&amp;" "&amp;IF(AND(Milestones!$AB$42="FT",Milestones!$AA$42=FT_Y5,EDATE($D53,Milestones!$AA$42)&lt;PolicyEff),1,Milestones!$AC$42)&amp;";  ","")&amp;IF(AND(EDATE($D53,Milestones!$AA$43)&lt;=AsOfDate,EDATE($D53,Milestones!$AA$43)&gt;=SchemeStart,IF($X53=0,$AD53,IF(AND($Z53&lt;&gt;"",EDATE($D53,Milestones!$AA$43)&gt;=$Z53),$AC53,IF(AND($Y53&lt;&gt;"",EDATE($D53,Milestones!$AA$43)&gt;=$Y53),$AB53,$AA53)))=Milestones!$AB$43),UPPER(TEXT(EDATE($D53,Milestones!$AA$43),"dd mmm yy"))&amp;" "&amp;Milestones!$AB$43&amp;" "&amp;IF(AND(Milestones!$AB$43="FT",Milestones!$AA$43=FT_Y5,EDATE($D53,Milestones!$AA$43)&lt;PolicyEff),1,Milestones!$AC$43)&amp;";  ",""))</f>
        <v/>
      </c>
      <c r="K53" s="0" t="str">
        <f aca="false">IF(OR($A53="",$D53=""),"",IF(AND(EDATE($D53,Milestones!$AA$44)&lt;=AsOfDate,EDATE($D53,Milestones!$AA$44)&gt;=SchemeStart,IF($X53=0,$AD53,IF(AND($Z53&lt;&gt;"",EDATE($D53,Milestones!$AA$44)&gt;=$Z53),$AC53,IF(AND($Y53&lt;&gt;"",EDATE($D53,Milestones!$AA$44)&gt;=$Y53),$AB53,$AA53)))=Milestones!$AB$44),UPPER(TEXT(EDATE($D53,Milestones!$AA$44),"dd mmm yy"))&amp;" "&amp;Milestones!$AB$44&amp;" "&amp;IF(AND(Milestones!$AB$44="FT",Milestones!$AA$44=FT_Y5,EDATE($D53,Milestones!$AA$44)&lt;PolicyEff),1,Milestones!$AC$44)&amp;";  ","")&amp;IF(AND(EDATE($D53,Milestones!$AA$45)&lt;=AsOfDate,EDATE($D53,Milestones!$AA$45)&gt;=SchemeStart,IF($X53=0,$AD53,IF(AND($Z53&lt;&gt;"",EDATE($D53,Milestones!$AA$45)&gt;=$Z53),$AC53,IF(AND($Y53&lt;&gt;"",EDATE($D53,Milestones!$AA$45)&gt;=$Y53),$AB53,$AA53)))=Milestones!$AB$45),UPPER(TEXT(EDATE($D53,Milestones!$AA$45),"dd mmm yy"))&amp;" "&amp;Milestones!$AB$45&amp;" "&amp;IF(AND(Milestones!$AB$45="FT",Milestones!$AA$45=FT_Y5,EDATE($D53,Milestones!$AA$45)&lt;PolicyEff),1,Milestones!$AC$45)&amp;";  ","")&amp;IF(AND(EDATE($D53,Milestones!$AA$46)&lt;=AsOfDate,EDATE($D53,Milestones!$AA$46)&gt;=SchemeStart,IF($X53=0,$AD53,IF(AND($Z53&lt;&gt;"",EDATE($D53,Milestones!$AA$46)&gt;=$Z53),$AC53,IF(AND($Y53&lt;&gt;"",EDATE($D53,Milestones!$AA$46)&gt;=$Y53),$AB53,$AA53)))=Milestones!$AB$46),UPPER(TEXT(EDATE($D53,Milestones!$AA$46),"dd mmm yy"))&amp;" "&amp;Milestones!$AB$46&amp;" "&amp;IF(AND(Milestones!$AB$46="FT",Milestones!$AA$46=FT_Y5,EDATE($D53,Milestones!$AA$46)&lt;PolicyEff),1,Milestones!$AC$46)&amp;";  ","")&amp;IF(AND(EDATE($D53,Milestones!$AA$47)&lt;=AsOfDate,EDATE($D53,Milestones!$AA$47)&gt;=SchemeStart,IF($X53=0,$AD53,IF(AND($Z53&lt;&gt;"",EDATE($D53,Milestones!$AA$47)&gt;=$Z53),$AC53,IF(AND($Y53&lt;&gt;"",EDATE($D53,Milestones!$AA$47)&gt;=$Y53),$AB53,$AA53)))=Milestones!$AB$47),UPPER(TEXT(EDATE($D53,Milestones!$AA$47),"dd mmm yy"))&amp;" "&amp;Milestones!$AB$47&amp;" "&amp;IF(AND(Milestones!$AB$47="FT",Milestones!$AA$47=FT_Y5,EDATE($D53,Milestones!$AA$47)&lt;PolicyEff),1,Milestones!$AC$47)&amp;";  ","")&amp;IF(AND(EDATE($D53,Milestones!$AA$48)&lt;=AsOfDate,EDATE($D53,Milestones!$AA$48)&gt;=SchemeStart,IF($X53=0,$AD53,IF(AND($Z53&lt;&gt;"",EDATE($D53,Milestones!$AA$48)&gt;=$Z53),$AC53,IF(AND($Y53&lt;&gt;"",EDATE($D53,Milestones!$AA$48)&gt;=$Y53),$AB53,$AA53)))=Milestones!$AB$48),UPPER(TEXT(EDATE($D53,Milestones!$AA$48),"dd mmm yy"))&amp;" "&amp;Milestones!$AB$48&amp;" "&amp;IF(AND(Milestones!$AB$48="FT",Milestones!$AA$48=FT_Y5,EDATE($D53,Milestones!$AA$48)&lt;PolicyEff),1,Milestones!$AC$48)&amp;";  ","")&amp;IF(AND(EDATE($D53,Milestones!$AA$49)&lt;=AsOfDate,EDATE($D53,Milestones!$AA$49)&gt;=SchemeStart,IF($X53=0,$AD53,IF(AND($Z53&lt;&gt;"",EDATE($D53,Milestones!$AA$49)&gt;=$Z53),$AC53,IF(AND($Y53&lt;&gt;"",EDATE($D53,Milestones!$AA$49)&gt;=$Y53),$AB53,$AA53)))=Milestones!$AB$49),UPPER(TEXT(EDATE($D53,Milestones!$AA$49),"dd mmm yy"))&amp;" "&amp;Milestones!$AB$49&amp;" "&amp;IF(AND(Milestones!$AB$49="FT",Milestones!$AA$49=FT_Y5,EDATE($D53,Milestones!$AA$49)&lt;PolicyEff),1,Milestones!$AC$49)&amp;";  ","")&amp;IF(AND(EDATE($D53,Milestones!$AA$50)&lt;=AsOfDate,EDATE($D53,Milestones!$AA$50)&gt;=SchemeStart,IF($X53=0,$AD53,IF(AND($Z53&lt;&gt;"",EDATE($D53,Milestones!$AA$50)&gt;=$Z53),$AC53,IF(AND($Y53&lt;&gt;"",EDATE($D53,Milestones!$AA$50)&gt;=$Y53),$AB53,$AA53)))=Milestones!$AB$50),UPPER(TEXT(EDATE($D53,Milestones!$AA$50),"dd mmm yy"))&amp;" "&amp;Milestones!$AB$50&amp;" "&amp;IF(AND(Milestones!$AB$50="FT",Milestones!$AA$50=FT_Y5,EDATE($D53,Milestones!$AA$50)&lt;PolicyEff),1,Milestones!$AC$50)&amp;";  ","")&amp;IF(AND(EDATE($D53,Milestones!$AA$51)&lt;=AsOfDate,EDATE($D53,Milestones!$AA$51)&gt;=SchemeStart,IF($X53=0,$AD53,IF(AND($Z53&lt;&gt;"",EDATE($D53,Milestones!$AA$51)&gt;=$Z53),$AC53,IF(AND($Y53&lt;&gt;"",EDATE($D53,Milestones!$AA$51)&gt;=$Y53),$AB53,$AA53)))=Milestones!$AB$51),UPPER(TEXT(EDATE($D53,Milestones!$AA$51),"dd mmm yy"))&amp;" "&amp;Milestones!$AB$51&amp;" "&amp;IF(AND(Milestones!$AB$51="FT",Milestones!$AA$51=FT_Y5,EDATE($D53,Milestones!$AA$51)&lt;PolicyEff),1,Milestones!$AC$51)&amp;";  ","")&amp;IF(AND(EDATE($D53,Milestones!$AA$52)&lt;=AsOfDate,EDATE($D53,Milestones!$AA$52)&gt;=SchemeStart,IF($X53=0,$AD53,IF(AND($Z53&lt;&gt;"",EDATE($D53,Milestones!$AA$52)&gt;=$Z53),$AC53,IF(AND($Y53&lt;&gt;"",EDATE($D53,Milestones!$AA$52)&gt;=$Y53),$AB53,$AA53)))=Milestones!$AB$52),UPPER(TEXT(EDATE($D53,Milestones!$AA$52),"dd mmm yy"))&amp;" "&amp;Milestones!$AB$52&amp;" "&amp;IF(AND(Milestones!$AB$52="FT",Milestones!$AA$52=FT_Y5,EDATE($D53,Milestones!$AA$52)&lt;PolicyEff),1,Milestones!$AC$52)&amp;";  ","")&amp;IF(AND(EDATE($D53,Milestones!$AA$53)&lt;=AsOfDate,EDATE($D53,Milestones!$AA$53)&gt;=SchemeStart,IF($X53=0,$AD53,IF(AND($Z53&lt;&gt;"",EDATE($D53,Milestones!$AA$53)&gt;=$Z53),$AC53,IF(AND($Y53&lt;&gt;"",EDATE($D53,Milestones!$AA$53)&gt;=$Y53),$AB53,$AA53)))=Milestones!$AB$53),UPPER(TEXT(EDATE($D53,Milestones!$AA$53),"dd mmm yy"))&amp;" "&amp;Milestones!$AB$53&amp;" "&amp;IF(AND(Milestones!$AB$53="FT",Milestones!$AA$53=FT_Y5,EDATE($D53,Milestones!$AA$53)&lt;PolicyEff),1,Milestones!$AC$53)&amp;";  ","")&amp;IF(AND(EDATE($D53,Milestones!$AA$54)&lt;=AsOfDate,EDATE($D53,Milestones!$AA$54)&gt;=SchemeStart,IF($X53=0,$AD53,IF(AND($Z53&lt;&gt;"",EDATE($D53,Milestones!$AA$54)&gt;=$Z53),$AC53,IF(AND($Y53&lt;&gt;"",EDATE($D53,Milestones!$AA$54)&gt;=$Y53),$AB53,$AA53)))=Milestones!$AB$54),UPPER(TEXT(EDATE($D53,Milestones!$AA$54),"dd mmm yy"))&amp;" "&amp;Milestones!$AB$54&amp;" "&amp;IF(AND(Milestones!$AB$54="FT",Milestones!$AA$54=FT_Y5,EDATE($D53,Milestones!$AA$54)&lt;PolicyEff),1,Milestones!$AC$54)&amp;";  ","")&amp;IF(AND(EDATE($D53,Milestones!$AA$55)&lt;=AsOfDate,EDATE($D53,Milestones!$AA$55)&gt;=SchemeStart,IF($X53=0,$AD53,IF(AND($Z53&lt;&gt;"",EDATE($D53,Milestones!$AA$55)&gt;=$Z53),$AC53,IF(AND($Y53&lt;&gt;"",EDATE($D53,Milestones!$AA$55)&gt;=$Y53),$AB53,$AA53)))=Milestones!$AB$55),UPPER(TEXT(EDATE($D53,Milestones!$AA$55),"dd mmm yy"))&amp;" "&amp;Milestones!$AB$55&amp;" "&amp;IF(AND(Milestones!$AB$55="FT",Milestones!$AA$55=FT_Y5,EDATE($D53,Milestones!$AA$55)&lt;PolicyEff),1,Milestones!$AC$55)&amp;";  ",""))</f>
        <v/>
      </c>
      <c r="L53" s="0" t="str">
        <f aca="false">IF(OR($A53="",$D53=""),"",IF(AND(EDATE($D53,Milestones!$AA$56)&lt;=AsOfDate,EDATE($D53,Milestones!$AA$56)&gt;=SchemeStart,IF($X53=0,$AD53,IF(AND($Z53&lt;&gt;"",EDATE($D53,Milestones!$AA$56)&gt;=$Z53),$AC53,IF(AND($Y53&lt;&gt;"",EDATE($D53,Milestones!$AA$56)&gt;=$Y53),$AB53,$AA53)))=Milestones!$AB$56),UPPER(TEXT(EDATE($D53,Milestones!$AA$56),"dd mmm yy"))&amp;" "&amp;Milestones!$AB$56&amp;" "&amp;IF(AND(Milestones!$AB$56="FT",Milestones!$AA$56=FT_Y5,EDATE($D53,Milestones!$AA$56)&lt;PolicyEff),1,Milestones!$AC$56)&amp;";  ","")&amp;IF(AND(EDATE($D53,Milestones!$AA$57)&lt;=AsOfDate,EDATE($D53,Milestones!$AA$57)&gt;=SchemeStart,IF($X53=0,$AD53,IF(AND($Z53&lt;&gt;"",EDATE($D53,Milestones!$AA$57)&gt;=$Z53),$AC53,IF(AND($Y53&lt;&gt;"",EDATE($D53,Milestones!$AA$57)&gt;=$Y53),$AB53,$AA53)))=Milestones!$AB$57),UPPER(TEXT(EDATE($D53,Milestones!$AA$57),"dd mmm yy"))&amp;" "&amp;Milestones!$AB$57&amp;" "&amp;IF(AND(Milestones!$AB$57="FT",Milestones!$AA$57=FT_Y5,EDATE($D53,Milestones!$AA$57)&lt;PolicyEff),1,Milestones!$AC$57)&amp;";  ","")&amp;IF(AND(EDATE($D53,Milestones!$AA$58)&lt;=AsOfDate,EDATE($D53,Milestones!$AA$58)&gt;=SchemeStart,IF($X53=0,$AD53,IF(AND($Z53&lt;&gt;"",EDATE($D53,Milestones!$AA$58)&gt;=$Z53),$AC53,IF(AND($Y53&lt;&gt;"",EDATE($D53,Milestones!$AA$58)&gt;=$Y53),$AB53,$AA53)))=Milestones!$AB$58),UPPER(TEXT(EDATE($D53,Milestones!$AA$58),"dd mmm yy"))&amp;" "&amp;Milestones!$AB$58&amp;" "&amp;IF(AND(Milestones!$AB$58="FT",Milestones!$AA$58=FT_Y5,EDATE($D53,Milestones!$AA$58)&lt;PolicyEff),1,Milestones!$AC$58)&amp;";  ","")&amp;IF(AND(EDATE($D53,Milestones!$AA$59)&lt;=AsOfDate,EDATE($D53,Milestones!$AA$59)&gt;=SchemeStart,IF($X53=0,$AD53,IF(AND($Z53&lt;&gt;"",EDATE($D53,Milestones!$AA$59)&gt;=$Z53),$AC53,IF(AND($Y53&lt;&gt;"",EDATE($D53,Milestones!$AA$59)&gt;=$Y53),$AB53,$AA53)))=Milestones!$AB$59),UPPER(TEXT(EDATE($D53,Milestones!$AA$59),"dd mmm yy"))&amp;" "&amp;Milestones!$AB$59&amp;" "&amp;IF(AND(Milestones!$AB$59="FT",Milestones!$AA$59=FT_Y5,EDATE($D53,Milestones!$AA$59)&lt;PolicyEff),1,Milestones!$AC$59)&amp;";  ","")&amp;IF(AND(EDATE($D53,Milestones!$AA$60)&lt;=AsOfDate,EDATE($D53,Milestones!$AA$60)&gt;=SchemeStart,IF($X53=0,$AD53,IF(AND($Z53&lt;&gt;"",EDATE($D53,Milestones!$AA$60)&gt;=$Z53),$AC53,IF(AND($Y53&lt;&gt;"",EDATE($D53,Milestones!$AA$60)&gt;=$Y53),$AB53,$AA53)))=Milestones!$AB$60),UPPER(TEXT(EDATE($D53,Milestones!$AA$60),"dd mmm yy"))&amp;" "&amp;Milestones!$AB$60&amp;" "&amp;IF(AND(Milestones!$AB$60="FT",Milestones!$AA$60=FT_Y5,EDATE($D53,Milestones!$AA$60)&lt;PolicyEff),1,Milestones!$AC$60)&amp;";  ","")&amp;IF(AND(EDATE($D53,Milestones!$AA$61)&lt;=AsOfDate,EDATE($D53,Milestones!$AA$61)&gt;=SchemeStart,IF($X53=0,$AD53,IF(AND($Z53&lt;&gt;"",EDATE($D53,Milestones!$AA$61)&gt;=$Z53),$AC53,IF(AND($Y53&lt;&gt;"",EDATE($D53,Milestones!$AA$61)&gt;=$Y53),$AB53,$AA53)))=Milestones!$AB$61),UPPER(TEXT(EDATE($D53,Milestones!$AA$61),"dd mmm yy"))&amp;" "&amp;Milestones!$AB$61&amp;" "&amp;IF(AND(Milestones!$AB$61="FT",Milestones!$AA$61=FT_Y5,EDATE($D53,Milestones!$AA$61)&lt;PolicyEff),1,Milestones!$AC$61)&amp;";  ","")&amp;IF(AND(EDATE($D53,Milestones!$AA$62)&lt;=AsOfDate,EDATE($D53,Milestones!$AA$62)&gt;=SchemeStart,IF($X53=0,$AD53,IF(AND($Z53&lt;&gt;"",EDATE($D53,Milestones!$AA$62)&gt;=$Z53),$AC53,IF(AND($Y53&lt;&gt;"",EDATE($D53,Milestones!$AA$62)&gt;=$Y53),$AB53,$AA53)))=Milestones!$AB$62),UPPER(TEXT(EDATE($D53,Milestones!$AA$62),"dd mmm yy"))&amp;" "&amp;Milestones!$AB$62&amp;" "&amp;IF(AND(Milestones!$AB$62="FT",Milestones!$AA$62=FT_Y5,EDATE($D53,Milestones!$AA$62)&lt;PolicyEff),1,Milestones!$AC$62)&amp;";  ","")&amp;IF(AND(EDATE($D53,Milestones!$AA$63)&lt;=AsOfDate,EDATE($D53,Milestones!$AA$63)&gt;=SchemeStart,IF($X53=0,$AD53,IF(AND($Z53&lt;&gt;"",EDATE($D53,Milestones!$AA$63)&gt;=$Z53),$AC53,IF(AND($Y53&lt;&gt;"",EDATE($D53,Milestones!$AA$63)&gt;=$Y53),$AB53,$AA53)))=Milestones!$AB$63),UPPER(TEXT(EDATE($D53,Milestones!$AA$63),"dd mmm yy"))&amp;" "&amp;Milestones!$AB$63&amp;" "&amp;IF(AND(Milestones!$AB$63="FT",Milestones!$AA$63=FT_Y5,EDATE($D53,Milestones!$AA$63)&lt;PolicyEff),1,Milestones!$AC$63)&amp;";  ","")&amp;IF(AND(EDATE($D53,Milestones!$AA$64)&lt;=AsOfDate,EDATE($D53,Milestones!$AA$64)&gt;=SchemeStart,IF($X53=0,$AD53,IF(AND($Z53&lt;&gt;"",EDATE($D53,Milestones!$AA$64)&gt;=$Z53),$AC53,IF(AND($Y53&lt;&gt;"",EDATE($D53,Milestones!$AA$64)&gt;=$Y53),$AB53,$AA53)))=Milestones!$AB$64),UPPER(TEXT(EDATE($D53,Milestones!$AA$64),"dd mmm yy"))&amp;" "&amp;Milestones!$AB$64&amp;" "&amp;IF(AND(Milestones!$AB$64="FT",Milestones!$AA$64=FT_Y5,EDATE($D53,Milestones!$AA$64)&lt;PolicyEff),1,Milestones!$AC$64)&amp;";  ","")&amp;IF(AND(EDATE($D53,Milestones!$AA$65)&lt;=AsOfDate,EDATE($D53,Milestones!$AA$65)&gt;=SchemeStart,IF($X53=0,$AD53,IF(AND($Z53&lt;&gt;"",EDATE($D53,Milestones!$AA$65)&gt;=$Z53),$AC53,IF(AND($Y53&lt;&gt;"",EDATE($D53,Milestones!$AA$65)&gt;=$Y53),$AB53,$AA53)))=Milestones!$AB$65),UPPER(TEXT(EDATE($D53,Milestones!$AA$65),"dd mmm yy"))&amp;" "&amp;Milestones!$AB$65&amp;" "&amp;IF(AND(Milestones!$AB$65="FT",Milestones!$AA$65=FT_Y5,EDATE($D53,Milestones!$AA$65)&lt;PolicyEff),1,Milestones!$AC$65)&amp;";  ","")&amp;IF(AND(EDATE($D53,Milestones!$AA$66)&lt;=AsOfDate,EDATE($D53,Milestones!$AA$66)&gt;=SchemeStart,IF($X53=0,$AD53,IF(AND($Z53&lt;&gt;"",EDATE($D53,Milestones!$AA$66)&gt;=$Z53),$AC53,IF(AND($Y53&lt;&gt;"",EDATE($D53,Milestones!$AA$66)&gt;=$Y53),$AB53,$AA53)))=Milestones!$AB$66),UPPER(TEXT(EDATE($D53,Milestones!$AA$66),"dd mmm yy"))&amp;" "&amp;Milestones!$AB$66&amp;" "&amp;IF(AND(Milestones!$AB$66="FT",Milestones!$AA$66=FT_Y5,EDATE($D53,Milestones!$AA$66)&lt;PolicyEff),1,Milestones!$AC$66)&amp;";  ","")&amp;IF(AND(EDATE($D53,Milestones!$AA$67)&lt;=AsOfDate,EDATE($D53,Milestones!$AA$67)&gt;=SchemeStart,IF($X53=0,$AD53,IF(AND($Z53&lt;&gt;"",EDATE($D53,Milestones!$AA$67)&gt;=$Z53),$AC53,IF(AND($Y53&lt;&gt;"",EDATE($D53,Milestones!$AA$67)&gt;=$Y53),$AB53,$AA53)))=Milestones!$AB$67),UPPER(TEXT(EDATE($D53,Milestones!$AA$67),"dd mmm yy"))&amp;" "&amp;Milestones!$AB$67&amp;" "&amp;IF(AND(Milestones!$AB$67="FT",Milestones!$AA$67=FT_Y5,EDATE($D53,Milestones!$AA$67)&lt;PolicyEff),1,Milestones!$AC$67)&amp;";  ",""))</f>
        <v/>
      </c>
      <c r="M53" s="0" t="str">
        <f aca="false">IF(OR($A53="",$D53=""),"",IF(AND(EDATE($D53,Milestones!$AA$68)&lt;=AsOfDate,EDATE($D53,Milestones!$AA$68)&gt;=SchemeStart,IF($X53=0,$AD53,IF(AND($Z53&lt;&gt;"",EDATE($D53,Milestones!$AA$68)&gt;=$Z53),$AC53,IF(AND($Y53&lt;&gt;"",EDATE($D53,Milestones!$AA$68)&gt;=$Y53),$AB53,$AA53)))=Milestones!$AB$68),UPPER(TEXT(EDATE($D53,Milestones!$AA$68),"dd mmm yy"))&amp;" "&amp;Milestones!$AB$68&amp;" "&amp;IF(AND(Milestones!$AB$68="FT",Milestones!$AA$68=FT_Y5,EDATE($D53,Milestones!$AA$68)&lt;PolicyEff),1,Milestones!$AC$68)&amp;";  ","")&amp;IF(AND(EDATE($D53,Milestones!$AA$69)&lt;=AsOfDate,EDATE($D53,Milestones!$AA$69)&gt;=SchemeStart,IF($X53=0,$AD53,IF(AND($Z53&lt;&gt;"",EDATE($D53,Milestones!$AA$69)&gt;=$Z53),$AC53,IF(AND($Y53&lt;&gt;"",EDATE($D53,Milestones!$AA$69)&gt;=$Y53),$AB53,$AA53)))=Milestones!$AB$69),UPPER(TEXT(EDATE($D53,Milestones!$AA$69),"dd mmm yy"))&amp;" "&amp;Milestones!$AB$69&amp;" "&amp;IF(AND(Milestones!$AB$69="FT",Milestones!$AA$69=FT_Y5,EDATE($D53,Milestones!$AA$69)&lt;PolicyEff),1,Milestones!$AC$69)&amp;";  ","")&amp;IF(AND(EDATE($D53,Milestones!$AA$70)&lt;=AsOfDate,EDATE($D53,Milestones!$AA$70)&gt;=SchemeStart,IF($X53=0,$AD53,IF(AND($Z53&lt;&gt;"",EDATE($D53,Milestones!$AA$70)&gt;=$Z53),$AC53,IF(AND($Y53&lt;&gt;"",EDATE($D53,Milestones!$AA$70)&gt;=$Y53),$AB53,$AA53)))=Milestones!$AB$70),UPPER(TEXT(EDATE($D53,Milestones!$AA$70),"dd mmm yy"))&amp;" "&amp;Milestones!$AB$70&amp;" "&amp;IF(AND(Milestones!$AB$70="FT",Milestones!$AA$70=FT_Y5,EDATE($D53,Milestones!$AA$70)&lt;PolicyEff),1,Milestones!$AC$70)&amp;";  ","")&amp;IF(AND(EDATE($D53,Milestones!$AA$71)&lt;=AsOfDate,EDATE($D53,Milestones!$AA$71)&gt;=SchemeStart,IF($X53=0,$AD53,IF(AND($Z53&lt;&gt;"",EDATE($D53,Milestones!$AA$71)&gt;=$Z53),$AC53,IF(AND($Y53&lt;&gt;"",EDATE($D53,Milestones!$AA$71)&gt;=$Y53),$AB53,$AA53)))=Milestones!$AB$71),UPPER(TEXT(EDATE($D53,Milestones!$AA$71),"dd mmm yy"))&amp;" "&amp;Milestones!$AB$71&amp;" "&amp;IF(AND(Milestones!$AB$71="FT",Milestones!$AA$71=FT_Y5,EDATE($D53,Milestones!$AA$71)&lt;PolicyEff),1,Milestones!$AC$71)&amp;";  ","")&amp;IF(AND(EDATE($D53,Milestones!$AA$72)&lt;=AsOfDate,EDATE($D53,Milestones!$AA$72)&gt;=SchemeStart,IF($X53=0,$AD53,IF(AND($Z53&lt;&gt;"",EDATE($D53,Milestones!$AA$72)&gt;=$Z53),$AC53,IF(AND($Y53&lt;&gt;"",EDATE($D53,Milestones!$AA$72)&gt;=$Y53),$AB53,$AA53)))=Milestones!$AB$72),UPPER(TEXT(EDATE($D53,Milestones!$AA$72),"dd mmm yy"))&amp;" "&amp;Milestones!$AB$72&amp;" "&amp;IF(AND(Milestones!$AB$72="FT",Milestones!$AA$72=FT_Y5,EDATE($D53,Milestones!$AA$72)&lt;PolicyEff),1,Milestones!$AC$72)&amp;";  ","")&amp;IF(AND(EDATE($D53,Milestones!$AA$73)&lt;=AsOfDate,EDATE($D53,Milestones!$AA$73)&gt;=SchemeStart,IF($X53=0,$AD53,IF(AND($Z53&lt;&gt;"",EDATE($D53,Milestones!$AA$73)&gt;=$Z53),$AC53,IF(AND($Y53&lt;&gt;"",EDATE($D53,Milestones!$AA$73)&gt;=$Y53),$AB53,$AA53)))=Milestones!$AB$73),UPPER(TEXT(EDATE($D53,Milestones!$AA$73),"dd mmm yy"))&amp;" "&amp;Milestones!$AB$73&amp;" "&amp;IF(AND(Milestones!$AB$73="FT",Milestones!$AA$73=FT_Y5,EDATE($D53,Milestones!$AA$73)&lt;PolicyEff),1,Milestones!$AC$73)&amp;";  ","")&amp;IF(AND(EDATE($D53,Milestones!$AA$74)&lt;=AsOfDate,EDATE($D53,Milestones!$AA$74)&gt;=SchemeStart,IF($X53=0,$AD53,IF(AND($Z53&lt;&gt;"",EDATE($D53,Milestones!$AA$74)&gt;=$Z53),$AC53,IF(AND($Y53&lt;&gt;"",EDATE($D53,Milestones!$AA$74)&gt;=$Y53),$AB53,$AA53)))=Milestones!$AB$74),UPPER(TEXT(EDATE($D53,Milestones!$AA$74),"dd mmm yy"))&amp;" "&amp;Milestones!$AB$74&amp;" "&amp;IF(AND(Milestones!$AB$74="FT",Milestones!$AA$74=FT_Y5,EDATE($D53,Milestones!$AA$74)&lt;PolicyEff),1,Milestones!$AC$74)&amp;";  ","")&amp;IF(AND(EDATE($D53,Milestones!$AA$75)&lt;=AsOfDate,EDATE($D53,Milestones!$AA$75)&gt;=SchemeStart,IF($X53=0,$AD53,IF(AND($Z53&lt;&gt;"",EDATE($D53,Milestones!$AA$75)&gt;=$Z53),$AC53,IF(AND($Y53&lt;&gt;"",EDATE($D53,Milestones!$AA$75)&gt;=$Y53),$AB53,$AA53)))=Milestones!$AB$75),UPPER(TEXT(EDATE($D53,Milestones!$AA$75),"dd mmm yy"))&amp;" "&amp;Milestones!$AB$75&amp;" "&amp;IF(AND(Milestones!$AB$75="FT",Milestones!$AA$75=FT_Y5,EDATE($D53,Milestones!$AA$75)&lt;PolicyEff),1,Milestones!$AC$75)&amp;";  ","")&amp;IF(AND(EDATE($D53,Milestones!$AA$76)&lt;=AsOfDate,EDATE($D53,Milestones!$AA$76)&gt;=SchemeStart,IF($X53=0,$AD53,IF(AND($Z53&lt;&gt;"",EDATE($D53,Milestones!$AA$76)&gt;=$Z53),$AC53,IF(AND($Y53&lt;&gt;"",EDATE($D53,Milestones!$AA$76)&gt;=$Y53),$AB53,$AA53)))=Milestones!$AB$76),UPPER(TEXT(EDATE($D53,Milestones!$AA$76),"dd mmm yy"))&amp;" "&amp;Milestones!$AB$76&amp;" "&amp;IF(AND(Milestones!$AB$76="FT",Milestones!$AA$76=FT_Y5,EDATE($D53,Milestones!$AA$76)&lt;PolicyEff),1,Milestones!$AC$76)&amp;";  ","")&amp;IF(AND(EDATE($D53,Milestones!$AA$77)&lt;=AsOfDate,EDATE($D53,Milestones!$AA$77)&gt;=SchemeStart,IF($X53=0,$AD53,IF(AND($Z53&lt;&gt;"",EDATE($D53,Milestones!$AA$77)&gt;=$Z53),$AC53,IF(AND($Y53&lt;&gt;"",EDATE($D53,Milestones!$AA$77)&gt;=$Y53),$AB53,$AA53)))=Milestones!$AB$77),UPPER(TEXT(EDATE($D53,Milestones!$AA$77),"dd mmm yy"))&amp;" "&amp;Milestones!$AB$77&amp;" "&amp;IF(AND(Milestones!$AB$77="FT",Milestones!$AA$77=FT_Y5,EDATE($D53,Milestones!$AA$77)&lt;PolicyEff),1,Milestones!$AC$77)&amp;";  ","")&amp;IF(AND(EDATE($D53,Milestones!$AA$78)&lt;=AsOfDate,EDATE($D53,Milestones!$AA$78)&gt;=SchemeStart,IF($X53=0,$AD53,IF(AND($Z53&lt;&gt;"",EDATE($D53,Milestones!$AA$78)&gt;=$Z53),$AC53,IF(AND($Y53&lt;&gt;"",EDATE($D53,Milestones!$AA$78)&gt;=$Y53),$AB53,$AA53)))=Milestones!$AB$78),UPPER(TEXT(EDATE($D53,Milestones!$AA$78),"dd mmm yy"))&amp;" "&amp;Milestones!$AB$78&amp;" "&amp;IF(AND(Milestones!$AB$78="FT",Milestones!$AA$78=FT_Y5,EDATE($D53,Milestones!$AA$78)&lt;PolicyEff),1,Milestones!$AC$78)&amp;";  ","")&amp;IF(AND(EDATE($D53,Milestones!$AA$79)&lt;=AsOfDate,EDATE($D53,Milestones!$AA$79)&gt;=SchemeStart,IF($X53=0,$AD53,IF(AND($Z53&lt;&gt;"",EDATE($D53,Milestones!$AA$79)&gt;=$Z53),$AC53,IF(AND($Y53&lt;&gt;"",EDATE($D53,Milestones!$AA$79)&gt;=$Y53),$AB53,$AA53)))=Milestones!$AB$79),UPPER(TEXT(EDATE($D53,Milestones!$AA$79),"dd mmm yy"))&amp;" "&amp;Milestones!$AB$79&amp;" "&amp;IF(AND(Milestones!$AB$79="FT",Milestones!$AA$79=FT_Y5,EDATE($D53,Milestones!$AA$79)&lt;PolicyEff),1,Milestones!$AC$79)&amp;";  ",""))</f>
        <v/>
      </c>
      <c r="N53" s="0" t="str">
        <f aca="false">IF(OR($A53="",$D53=""),"",IF(AND(EDATE($D53,Milestones!$AA$80)&lt;=AsOfDate,EDATE($D53,Milestones!$AA$80)&gt;=SchemeStart,IF($X53=0,$AD53,IF(AND($Z53&lt;&gt;"",EDATE($D53,Milestones!$AA$80)&gt;=$Z53),$AC53,IF(AND($Y53&lt;&gt;"",EDATE($D53,Milestones!$AA$80)&gt;=$Y53),$AB53,$AA53)))=Milestones!$AB$80),UPPER(TEXT(EDATE($D53,Milestones!$AA$80),"dd mmm yy"))&amp;" "&amp;Milestones!$AB$80&amp;" "&amp;IF(AND(Milestones!$AB$80="FT",Milestones!$AA$80=FT_Y5,EDATE($D53,Milestones!$AA$80)&lt;PolicyEff),1,Milestones!$AC$80)&amp;";  ","")&amp;IF(AND(EDATE($D53,Milestones!$AA$81)&lt;=AsOfDate,EDATE($D53,Milestones!$AA$81)&gt;=SchemeStart,IF($X53=0,$AD53,IF(AND($Z53&lt;&gt;"",EDATE($D53,Milestones!$AA$81)&gt;=$Z53),$AC53,IF(AND($Y53&lt;&gt;"",EDATE($D53,Milestones!$AA$81)&gt;=$Y53),$AB53,$AA53)))=Milestones!$AB$81),UPPER(TEXT(EDATE($D53,Milestones!$AA$81),"dd mmm yy"))&amp;" "&amp;Milestones!$AB$81&amp;" "&amp;IF(AND(Milestones!$AB$81="FT",Milestones!$AA$81=FT_Y5,EDATE($D53,Milestones!$AA$81)&lt;PolicyEff),1,Milestones!$AC$81)&amp;";  ","")&amp;IF(AND(EDATE($D53,Milestones!$AA$82)&lt;=AsOfDate,EDATE($D53,Milestones!$AA$82)&gt;=SchemeStart,IF($X53=0,$AD53,IF(AND($Z53&lt;&gt;"",EDATE($D53,Milestones!$AA$82)&gt;=$Z53),$AC53,IF(AND($Y53&lt;&gt;"",EDATE($D53,Milestones!$AA$82)&gt;=$Y53),$AB53,$AA53)))=Milestones!$AB$82),UPPER(TEXT(EDATE($D53,Milestones!$AA$82),"dd mmm yy"))&amp;" "&amp;Milestones!$AB$82&amp;" "&amp;IF(AND(Milestones!$AB$82="FT",Milestones!$AA$82=FT_Y5,EDATE($D53,Milestones!$AA$82)&lt;PolicyEff),1,Milestones!$AC$82)&amp;";  ","")&amp;IF(AND(EDATE($D53,Milestones!$AA$83)&lt;=AsOfDate,EDATE($D53,Milestones!$AA$83)&gt;=SchemeStart,IF($X53=0,$AD53,IF(AND($Z53&lt;&gt;"",EDATE($D53,Milestones!$AA$83)&gt;=$Z53),$AC53,IF(AND($Y53&lt;&gt;"",EDATE($D53,Milestones!$AA$83)&gt;=$Y53),$AB53,$AA53)))=Milestones!$AB$83),UPPER(TEXT(EDATE($D53,Milestones!$AA$83),"dd mmm yy"))&amp;" "&amp;Milestones!$AB$83&amp;" "&amp;IF(AND(Milestones!$AB$83="FT",Milestones!$AA$83=FT_Y5,EDATE($D53,Milestones!$AA$83)&lt;PolicyEff),1,Milestones!$AC$83)&amp;";  ","")&amp;IF(AND(EDATE($D53,Milestones!$AA$84)&lt;=AsOfDate,EDATE($D53,Milestones!$AA$84)&gt;=SchemeStart,IF($X53=0,$AD53,IF(AND($Z53&lt;&gt;"",EDATE($D53,Milestones!$AA$84)&gt;=$Z53),$AC53,IF(AND($Y53&lt;&gt;"",EDATE($D53,Milestones!$AA$84)&gt;=$Y53),$AB53,$AA53)))=Milestones!$AB$84),UPPER(TEXT(EDATE($D53,Milestones!$AA$84),"dd mmm yy"))&amp;" "&amp;Milestones!$AB$84&amp;" "&amp;IF(AND(Milestones!$AB$84="FT",Milestones!$AA$84=FT_Y5,EDATE($D53,Milestones!$AA$84)&lt;PolicyEff),1,Milestones!$AC$84)&amp;";  ","")&amp;IF(AND(EDATE($D53,Milestones!$AA$85)&lt;=AsOfDate,EDATE($D53,Milestones!$AA$85)&gt;=SchemeStart,IF($X53=0,$AD53,IF(AND($Z53&lt;&gt;"",EDATE($D53,Milestones!$AA$85)&gt;=$Z53),$AC53,IF(AND($Y53&lt;&gt;"",EDATE($D53,Milestones!$AA$85)&gt;=$Y53),$AB53,$AA53)))=Milestones!$AB$85),UPPER(TEXT(EDATE($D53,Milestones!$AA$85),"dd mmm yy"))&amp;" "&amp;Milestones!$AB$85&amp;" "&amp;IF(AND(Milestones!$AB$85="FT",Milestones!$AA$85=FT_Y5,EDATE($D53,Milestones!$AA$85)&lt;PolicyEff),1,Milestones!$AC$85)&amp;";  ","")&amp;IF(AND(EDATE($D53,Milestones!$AA$86)&lt;=AsOfDate,EDATE($D53,Milestones!$AA$86)&gt;=SchemeStart,IF($X53=0,$AD53,IF(AND($Z53&lt;&gt;"",EDATE($D53,Milestones!$AA$86)&gt;=$Z53),$AC53,IF(AND($Y53&lt;&gt;"",EDATE($D53,Milestones!$AA$86)&gt;=$Y53),$AB53,$AA53)))=Milestones!$AB$86),UPPER(TEXT(EDATE($D53,Milestones!$AA$86),"dd mmm yy"))&amp;" "&amp;Milestones!$AB$86&amp;" "&amp;IF(AND(Milestones!$AB$86="FT",Milestones!$AA$86=FT_Y5,EDATE($D53,Milestones!$AA$86)&lt;PolicyEff),1,Milestones!$AC$86)&amp;";  ","")&amp;IF(AND(EDATE($D53,Milestones!$AA$87)&lt;=AsOfDate,EDATE($D53,Milestones!$AA$87)&gt;=SchemeStart,IF($X53=0,$AD53,IF(AND($Z53&lt;&gt;"",EDATE($D53,Milestones!$AA$87)&gt;=$Z53),$AC53,IF(AND($Y53&lt;&gt;"",EDATE($D53,Milestones!$AA$87)&gt;=$Y53),$AB53,$AA53)))=Milestones!$AB$87),UPPER(TEXT(EDATE($D53,Milestones!$AA$87),"dd mmm yy"))&amp;" "&amp;Milestones!$AB$87&amp;" "&amp;IF(AND(Milestones!$AB$87="FT",Milestones!$AA$87=FT_Y5,EDATE($D53,Milestones!$AA$87)&lt;PolicyEff),1,Milestones!$AC$87)&amp;";  ","")&amp;IF(AND(EDATE($D53,Milestones!$AA$88)&lt;=AsOfDate,EDATE($D53,Milestones!$AA$88)&gt;=SchemeStart,IF($X53=0,$AD53,IF(AND($Z53&lt;&gt;"",EDATE($D53,Milestones!$AA$88)&gt;=$Z53),$AC53,IF(AND($Y53&lt;&gt;"",EDATE($D53,Milestones!$AA$88)&gt;=$Y53),$AB53,$AA53)))=Milestones!$AB$88),UPPER(TEXT(EDATE($D53,Milestones!$AA$88),"dd mmm yy"))&amp;" "&amp;Milestones!$AB$88&amp;" "&amp;IF(AND(Milestones!$AB$88="FT",Milestones!$AA$88=FT_Y5,EDATE($D53,Milestones!$AA$88)&lt;PolicyEff),1,Milestones!$AC$88)&amp;";  ","")&amp;IF(AND(EDATE($D53,Milestones!$AA$89)&lt;=AsOfDate,EDATE($D53,Milestones!$AA$89)&gt;=SchemeStart,IF($X53=0,$AD53,IF(AND($Z53&lt;&gt;"",EDATE($D53,Milestones!$AA$89)&gt;=$Z53),$AC53,IF(AND($Y53&lt;&gt;"",EDATE($D53,Milestones!$AA$89)&gt;=$Y53),$AB53,$AA53)))=Milestones!$AB$89),UPPER(TEXT(EDATE($D53,Milestones!$AA$89),"dd mmm yy"))&amp;" "&amp;Milestones!$AB$89&amp;" "&amp;IF(AND(Milestones!$AB$89="FT",Milestones!$AA$89=FT_Y5,EDATE($D53,Milestones!$AA$89)&lt;PolicyEff),1,Milestones!$AC$89)&amp;";  ","")&amp;IF(AND(EDATE($D53,Milestones!$AA$90)&lt;=AsOfDate,EDATE($D53,Milestones!$AA$90)&gt;=SchemeStart,IF($X53=0,$AD53,IF(AND($Z53&lt;&gt;"",EDATE($D53,Milestones!$AA$90)&gt;=$Z53),$AC53,IF(AND($Y53&lt;&gt;"",EDATE($D53,Milestones!$AA$90)&gt;=$Y53),$AB53,$AA53)))=Milestones!$AB$90),UPPER(TEXT(EDATE($D53,Milestones!$AA$90),"dd mmm yy"))&amp;" "&amp;Milestones!$AB$90&amp;" "&amp;IF(AND(Milestones!$AB$90="FT",Milestones!$AA$90=FT_Y5,EDATE($D53,Milestones!$AA$90)&lt;PolicyEff),1,Milestones!$AC$90)&amp;";  ","")&amp;IF(AND(EDATE($D53,Milestones!$AA$91)&lt;=AsOfDate,EDATE($D53,Milestones!$AA$91)&gt;=SchemeStart,IF($X53=0,$AD53,IF(AND($Z53&lt;&gt;"",EDATE($D53,Milestones!$AA$91)&gt;=$Z53),$AC53,IF(AND($Y53&lt;&gt;"",EDATE($D53,Milestones!$AA$91)&gt;=$Y53),$AB53,$AA53)))=Milestones!$AB$91),UPPER(TEXT(EDATE($D53,Milestones!$AA$91),"dd mmm yy"))&amp;" "&amp;Milestones!$AB$91&amp;" "&amp;IF(AND(Milestones!$AB$91="FT",Milestones!$AA$91=FT_Y5,EDATE($D53,Milestones!$AA$91)&lt;PolicyEff),1,Milestones!$AC$91)&amp;";  ",""))</f>
        <v/>
      </c>
      <c r="O53" s="0" t="str">
        <f aca="false">IF(OR($A53="",$D53=""),"",IF(AND(EDATE($D53,Milestones!$AA$92)&lt;=AsOfDate,EDATE($D53,Milestones!$AA$92)&gt;=SchemeStart,IF($X53=0,$AD53,IF(AND($Z53&lt;&gt;"",EDATE($D53,Milestones!$AA$92)&gt;=$Z53),$AC53,IF(AND($Y53&lt;&gt;"",EDATE($D53,Milestones!$AA$92)&gt;=$Y53),$AB53,$AA53)))=Milestones!$AB$92),UPPER(TEXT(EDATE($D53,Milestones!$AA$92),"dd mmm yy"))&amp;" "&amp;Milestones!$AB$92&amp;" "&amp;IF(AND(Milestones!$AB$92="FT",Milestones!$AA$92=FT_Y5,EDATE($D53,Milestones!$AA$92)&lt;PolicyEff),1,Milestones!$AC$92)&amp;";  ","")&amp;IF(AND(EDATE($D53,Milestones!$AA$93)&lt;=AsOfDate,EDATE($D53,Milestones!$AA$93)&gt;=SchemeStart,IF($X53=0,$AD53,IF(AND($Z53&lt;&gt;"",EDATE($D53,Milestones!$AA$93)&gt;=$Z53),$AC53,IF(AND($Y53&lt;&gt;"",EDATE($D53,Milestones!$AA$93)&gt;=$Y53),$AB53,$AA53)))=Milestones!$AB$93),UPPER(TEXT(EDATE($D53,Milestones!$AA$93),"dd mmm yy"))&amp;" "&amp;Milestones!$AB$93&amp;" "&amp;IF(AND(Milestones!$AB$93="FT",Milestones!$AA$93=FT_Y5,EDATE($D53,Milestones!$AA$93)&lt;PolicyEff),1,Milestones!$AC$93)&amp;";  ","")&amp;IF(AND(EDATE($D53,Milestones!$AA$94)&lt;=AsOfDate,EDATE($D53,Milestones!$AA$94)&gt;=SchemeStart,IF($X53=0,$AD53,IF(AND($Z53&lt;&gt;"",EDATE($D53,Milestones!$AA$94)&gt;=$Z53),$AC53,IF(AND($Y53&lt;&gt;"",EDATE($D53,Milestones!$AA$94)&gt;=$Y53),$AB53,$AA53)))=Milestones!$AB$94),UPPER(TEXT(EDATE($D53,Milestones!$AA$94),"dd mmm yy"))&amp;" "&amp;Milestones!$AB$94&amp;" "&amp;IF(AND(Milestones!$AB$94="FT",Milestones!$AA$94=FT_Y5,EDATE($D53,Milestones!$AA$94)&lt;PolicyEff),1,Milestones!$AC$94)&amp;";  ","")&amp;IF(AND(EDATE($D53,Milestones!$AA$95)&lt;=AsOfDate,EDATE($D53,Milestones!$AA$95)&gt;=SchemeStart,IF($X53=0,$AD53,IF(AND($Z53&lt;&gt;"",EDATE($D53,Milestones!$AA$95)&gt;=$Z53),$AC53,IF(AND($Y53&lt;&gt;"",EDATE($D53,Milestones!$AA$95)&gt;=$Y53),$AB53,$AA53)))=Milestones!$AB$95),UPPER(TEXT(EDATE($D53,Milestones!$AA$95),"dd mmm yy"))&amp;" "&amp;Milestones!$AB$95&amp;" "&amp;IF(AND(Milestones!$AB$95="FT",Milestones!$AA$95=FT_Y5,EDATE($D53,Milestones!$AA$95)&lt;PolicyEff),1,Milestones!$AC$95)&amp;";  ","")&amp;IF(AND(EDATE($D53,Milestones!$AA$96)&lt;=AsOfDate,EDATE($D53,Milestones!$AA$96)&gt;=SchemeStart,IF($X53=0,$AD53,IF(AND($Z53&lt;&gt;"",EDATE($D53,Milestones!$AA$96)&gt;=$Z53),$AC53,IF(AND($Y53&lt;&gt;"",EDATE($D53,Milestones!$AA$96)&gt;=$Y53),$AB53,$AA53)))=Milestones!$AB$96),UPPER(TEXT(EDATE($D53,Milestones!$AA$96),"dd mmm yy"))&amp;" "&amp;Milestones!$AB$96&amp;" "&amp;IF(AND(Milestones!$AB$96="FT",Milestones!$AA$96=FT_Y5,EDATE($D53,Milestones!$AA$96)&lt;PolicyEff),1,Milestones!$AC$96)&amp;";  ","")&amp;IF(AND(EDATE($D53,Milestones!$AA$97)&lt;=AsOfDate,EDATE($D53,Milestones!$AA$97)&gt;=SchemeStart,IF($X53=0,$AD53,IF(AND($Z53&lt;&gt;"",EDATE($D53,Milestones!$AA$97)&gt;=$Z53),$AC53,IF(AND($Y53&lt;&gt;"",EDATE($D53,Milestones!$AA$97)&gt;=$Y53),$AB53,$AA53)))=Milestones!$AB$97),UPPER(TEXT(EDATE($D53,Milestones!$AA$97),"dd mmm yy"))&amp;" "&amp;Milestones!$AB$97&amp;" "&amp;IF(AND(Milestones!$AB$97="FT",Milestones!$AA$97=FT_Y5,EDATE($D53,Milestones!$AA$97)&lt;PolicyEff),1,Milestones!$AC$97)&amp;";  ","")&amp;IF(AND(EDATE($D53,Milestones!$AA$98)&lt;=AsOfDate,EDATE($D53,Milestones!$AA$98)&gt;=SchemeStart,IF($X53=0,$AD53,IF(AND($Z53&lt;&gt;"",EDATE($D53,Milestones!$AA$98)&gt;=$Z53),$AC53,IF(AND($Y53&lt;&gt;"",EDATE($D53,Milestones!$AA$98)&gt;=$Y53),$AB53,$AA53)))=Milestones!$AB$98),UPPER(TEXT(EDATE($D53,Milestones!$AA$98),"dd mmm yy"))&amp;" "&amp;Milestones!$AB$98&amp;" "&amp;IF(AND(Milestones!$AB$98="FT",Milestones!$AA$98=FT_Y5,EDATE($D53,Milestones!$AA$98)&lt;PolicyEff),1,Milestones!$AC$98)&amp;";  ","")&amp;IF(AND(EDATE($D53,Milestones!$AA$99)&lt;=AsOfDate,EDATE($D53,Milestones!$AA$99)&gt;=SchemeStart,IF($X53=0,$AD53,IF(AND($Z53&lt;&gt;"",EDATE($D53,Milestones!$AA$99)&gt;=$Z53),$AC53,IF(AND($Y53&lt;&gt;"",EDATE($D53,Milestones!$AA$99)&gt;=$Y53),$AB53,$AA53)))=Milestones!$AB$99),UPPER(TEXT(EDATE($D53,Milestones!$AA$99),"dd mmm yy"))&amp;" "&amp;Milestones!$AB$99&amp;" "&amp;IF(AND(Milestones!$AB$99="FT",Milestones!$AA$99=FT_Y5,EDATE($D53,Milestones!$AA$99)&lt;PolicyEff),1,Milestones!$AC$99)&amp;";  ","")&amp;IF(AND(EDATE($D53,Milestones!$AA$100)&lt;=AsOfDate,EDATE($D53,Milestones!$AA$100)&gt;=SchemeStart,IF($X53=0,$AD53,IF(AND($Z53&lt;&gt;"",EDATE($D53,Milestones!$AA$100)&gt;=$Z53),$AC53,IF(AND($Y53&lt;&gt;"",EDATE($D53,Milestones!$AA$100)&gt;=$Y53),$AB53,$AA53)))=Milestones!$AB$100),UPPER(TEXT(EDATE($D53,Milestones!$AA$100),"dd mmm yy"))&amp;" "&amp;Milestones!$AB$100&amp;" "&amp;IF(AND(Milestones!$AB$100="FT",Milestones!$AA$100=FT_Y5,EDATE($D53,Milestones!$AA$100)&lt;PolicyEff),1,Milestones!$AC$100)&amp;";  ","")&amp;IF(AND(EDATE($D53,Milestones!$AA$101)&lt;=AsOfDate,EDATE($D53,Milestones!$AA$101)&gt;=SchemeStart,IF($X53=0,$AD53,IF(AND($Z53&lt;&gt;"",EDATE($D53,Milestones!$AA$101)&gt;=$Z53),$AC53,IF(AND($Y53&lt;&gt;"",EDATE($D53,Milestones!$AA$101)&gt;=$Y53),$AB53,$AA53)))=Milestones!$AB$101),UPPER(TEXT(EDATE($D53,Milestones!$AA$101),"dd mmm yy"))&amp;" "&amp;Milestones!$AB$101&amp;" "&amp;IF(AND(Milestones!$AB$101="FT",Milestones!$AA$101=FT_Y5,EDATE($D53,Milestones!$AA$101)&lt;PolicyEff),1,Milestones!$AC$101)&amp;";  ","")&amp;IF(AND(EDATE($D53,Milestones!$AA$102)&lt;=AsOfDate,EDATE($D53,Milestones!$AA$102)&gt;=SchemeStart,IF($X53=0,$AD53,IF(AND($Z53&lt;&gt;"",EDATE($D53,Milestones!$AA$102)&gt;=$Z53),$AC53,IF(AND($Y53&lt;&gt;"",EDATE($D53,Milestones!$AA$102)&gt;=$Y53),$AB53,$AA53)))=Milestones!$AB$102),UPPER(TEXT(EDATE($D53,Milestones!$AA$102),"dd mmm yy"))&amp;" "&amp;Milestones!$AB$102&amp;" "&amp;IF(AND(Milestones!$AB$102="FT",Milestones!$AA$102=FT_Y5,EDATE($D53,Milestones!$AA$102)&lt;PolicyEff),1,Milestones!$AC$102)&amp;";  ","")&amp;IF(AND(EDATE($D53,Milestones!$AA$103)&lt;=AsOfDate,EDATE($D53,Milestones!$AA$103)&gt;=SchemeStart,IF($X53=0,$AD53,IF(AND($Z53&lt;&gt;"",EDATE($D53,Milestones!$AA$103)&gt;=$Z53),$AC53,IF(AND($Y53&lt;&gt;"",EDATE($D53,Milestones!$AA$103)&gt;=$Y53),$AB53,$AA53)))=Milestones!$AB$103),UPPER(TEXT(EDATE($D53,Milestones!$AA$103),"dd mmm yy"))&amp;" "&amp;Milestones!$AB$103&amp;" "&amp;IF(AND(Milestones!$AB$103="FT",Milestones!$AA$103=FT_Y5,EDATE($D53,Milestones!$AA$103)&lt;PolicyEff),1,Milestones!$AC$103)&amp;";  ",""))</f>
        <v/>
      </c>
      <c r="P53" s="0" t="str">
        <f aca="false">IF(OR($A53="",$D53=""),"",IF(AND(EDATE($D53,Milestones!$AA$104)&lt;=AsOfDate,EDATE($D53,Milestones!$AA$104)&gt;=SchemeStart,IF($X53=0,$AD53,IF(AND($Z53&lt;&gt;"",EDATE($D53,Milestones!$AA$104)&gt;=$Z53),$AC53,IF(AND($Y53&lt;&gt;"",EDATE($D53,Milestones!$AA$104)&gt;=$Y53),$AB53,$AA53)))=Milestones!$AB$104),UPPER(TEXT(EDATE($D53,Milestones!$AA$104),"dd mmm yy"))&amp;" "&amp;Milestones!$AB$104&amp;" "&amp;IF(AND(Milestones!$AB$104="FT",Milestones!$AA$104=FT_Y5,EDATE($D53,Milestones!$AA$104)&lt;PolicyEff),1,Milestones!$AC$104)&amp;";  ","")&amp;IF(AND(EDATE($D53,Milestones!$AA$105)&lt;=AsOfDate,EDATE($D53,Milestones!$AA$105)&gt;=SchemeStart,IF($X53=0,$AD53,IF(AND($Z53&lt;&gt;"",EDATE($D53,Milestones!$AA$105)&gt;=$Z53),$AC53,IF(AND($Y53&lt;&gt;"",EDATE($D53,Milestones!$AA$105)&gt;=$Y53),$AB53,$AA53)))=Milestones!$AB$105),UPPER(TEXT(EDATE($D53,Milestones!$AA$105),"dd mmm yy"))&amp;" "&amp;Milestones!$AB$105&amp;" "&amp;IF(AND(Milestones!$AB$105="FT",Milestones!$AA$105=FT_Y5,EDATE($D53,Milestones!$AA$105)&lt;PolicyEff),1,Milestones!$AC$105)&amp;";  ","")&amp;IF(AND(EDATE($D53,Milestones!$AA$106)&lt;=AsOfDate,EDATE($D53,Milestones!$AA$106)&gt;=SchemeStart,IF($X53=0,$AD53,IF(AND($Z53&lt;&gt;"",EDATE($D53,Milestones!$AA$106)&gt;=$Z53),$AC53,IF(AND($Y53&lt;&gt;"",EDATE($D53,Milestones!$AA$106)&gt;=$Y53),$AB53,$AA53)))=Milestones!$AB$106),UPPER(TEXT(EDATE($D53,Milestones!$AA$106),"dd mmm yy"))&amp;" "&amp;Milestones!$AB$106&amp;" "&amp;IF(AND(Milestones!$AB$106="FT",Milestones!$AA$106=FT_Y5,EDATE($D53,Milestones!$AA$106)&lt;PolicyEff),1,Milestones!$AC$106)&amp;";  ","")&amp;IF(AND(EDATE($D53,Milestones!$AA$107)&lt;=AsOfDate,EDATE($D53,Milestones!$AA$107)&gt;=SchemeStart,IF($X53=0,$AD53,IF(AND($Z53&lt;&gt;"",EDATE($D53,Milestones!$AA$107)&gt;=$Z53),$AC53,IF(AND($Y53&lt;&gt;"",EDATE($D53,Milestones!$AA$107)&gt;=$Y53),$AB53,$AA53)))=Milestones!$AB$107),UPPER(TEXT(EDATE($D53,Milestones!$AA$107),"dd mmm yy"))&amp;" "&amp;Milestones!$AB$107&amp;" "&amp;IF(AND(Milestones!$AB$107="FT",Milestones!$AA$107=FT_Y5,EDATE($D53,Milestones!$AA$107)&lt;PolicyEff),1,Milestones!$AC$107)&amp;";  ","")&amp;IF(AND(EDATE($D53,Milestones!$AA$108)&lt;=AsOfDate,EDATE($D53,Milestones!$AA$108)&gt;=SchemeStart,IF($X53=0,$AD53,IF(AND($Z53&lt;&gt;"",EDATE($D53,Milestones!$AA$108)&gt;=$Z53),$AC53,IF(AND($Y53&lt;&gt;"",EDATE($D53,Milestones!$AA$108)&gt;=$Y53),$AB53,$AA53)))=Milestones!$AB$108),UPPER(TEXT(EDATE($D53,Milestones!$AA$108),"dd mmm yy"))&amp;" "&amp;Milestones!$AB$108&amp;" "&amp;IF(AND(Milestones!$AB$108="FT",Milestones!$AA$108=FT_Y5,EDATE($D53,Milestones!$AA$108)&lt;PolicyEff),1,Milestones!$AC$108)&amp;";  ","")&amp;IF(AND(EDATE($D53,Milestones!$AA$109)&lt;=AsOfDate,EDATE($D53,Milestones!$AA$109)&gt;=SchemeStart,IF($X53=0,$AD53,IF(AND($Z53&lt;&gt;"",EDATE($D53,Milestones!$AA$109)&gt;=$Z53),$AC53,IF(AND($Y53&lt;&gt;"",EDATE($D53,Milestones!$AA$109)&gt;=$Y53),$AB53,$AA53)))=Milestones!$AB$109),UPPER(TEXT(EDATE($D53,Milestones!$AA$109),"dd mmm yy"))&amp;" "&amp;Milestones!$AB$109&amp;" "&amp;IF(AND(Milestones!$AB$109="FT",Milestones!$AA$109=FT_Y5,EDATE($D53,Milestones!$AA$109)&lt;PolicyEff),1,Milestones!$AC$109)&amp;";  ","")&amp;IF(AND(EDATE($D53,Milestones!$AA$110)&lt;=AsOfDate,EDATE($D53,Milestones!$AA$110)&gt;=SchemeStart,IF($X53=0,$AD53,IF(AND($Z53&lt;&gt;"",EDATE($D53,Milestones!$AA$110)&gt;=$Z53),$AC53,IF(AND($Y53&lt;&gt;"",EDATE($D53,Milestones!$AA$110)&gt;=$Y53),$AB53,$AA53)))=Milestones!$AB$110),UPPER(TEXT(EDATE($D53,Milestones!$AA$110),"dd mmm yy"))&amp;" "&amp;Milestones!$AB$110&amp;" "&amp;IF(AND(Milestones!$AB$110="FT",Milestones!$AA$110=FT_Y5,EDATE($D53,Milestones!$AA$110)&lt;PolicyEff),1,Milestones!$AC$110)&amp;";  ","")&amp;IF(AND(EDATE($D53,Milestones!$AA$111)&lt;=AsOfDate,EDATE($D53,Milestones!$AA$111)&gt;=SchemeStart,IF($X53=0,$AD53,IF(AND($Z53&lt;&gt;"",EDATE($D53,Milestones!$AA$111)&gt;=$Z53),$AC53,IF(AND($Y53&lt;&gt;"",EDATE($D53,Milestones!$AA$111)&gt;=$Y53),$AB53,$AA53)))=Milestones!$AB$111),UPPER(TEXT(EDATE($D53,Milestones!$AA$111),"dd mmm yy"))&amp;" "&amp;Milestones!$AB$111&amp;" "&amp;IF(AND(Milestones!$AB$111="FT",Milestones!$AA$111=FT_Y5,EDATE($D53,Milestones!$AA$111)&lt;PolicyEff),1,Milestones!$AC$111)&amp;";  ","")&amp;IF(AND(EDATE($D53,Milestones!$AA$112)&lt;=AsOfDate,EDATE($D53,Milestones!$AA$112)&gt;=SchemeStart,IF($X53=0,$AD53,IF(AND($Z53&lt;&gt;"",EDATE($D53,Milestones!$AA$112)&gt;=$Z53),$AC53,IF(AND($Y53&lt;&gt;"",EDATE($D53,Milestones!$AA$112)&gt;=$Y53),$AB53,$AA53)))=Milestones!$AB$112),UPPER(TEXT(EDATE($D53,Milestones!$AA$112),"dd mmm yy"))&amp;" "&amp;Milestones!$AB$112&amp;" "&amp;IF(AND(Milestones!$AB$112="FT",Milestones!$AA$112=FT_Y5,EDATE($D53,Milestones!$AA$112)&lt;PolicyEff),1,Milestones!$AC$112)&amp;";  ","")&amp;IF(AND(EDATE($D53,Milestones!$AA$113)&lt;=AsOfDate,EDATE($D53,Milestones!$AA$113)&gt;=SchemeStart,IF($X53=0,$AD53,IF(AND($Z53&lt;&gt;"",EDATE($D53,Milestones!$AA$113)&gt;=$Z53),$AC53,IF(AND($Y53&lt;&gt;"",EDATE($D53,Milestones!$AA$113)&gt;=$Y53),$AB53,$AA53)))=Milestones!$AB$113),UPPER(TEXT(EDATE($D53,Milestones!$AA$113),"dd mmm yy"))&amp;" "&amp;Milestones!$AB$113&amp;" "&amp;IF(AND(Milestones!$AB$113="FT",Milestones!$AA$113=FT_Y5,EDATE($D53,Milestones!$AA$113)&lt;PolicyEff),1,Milestones!$AC$113)&amp;";  ","")&amp;IF(AND(EDATE($D53,Milestones!$AA$114)&lt;=AsOfDate,EDATE($D53,Milestones!$AA$114)&gt;=SchemeStart,IF($X53=0,$AD53,IF(AND($Z53&lt;&gt;"",EDATE($D53,Milestones!$AA$114)&gt;=$Z53),$AC53,IF(AND($Y53&lt;&gt;"",EDATE($D53,Milestones!$AA$114)&gt;=$Y53),$AB53,$AA53)))=Milestones!$AB$114),UPPER(TEXT(EDATE($D53,Milestones!$AA$114),"dd mmm yy"))&amp;" "&amp;Milestones!$AB$114&amp;" "&amp;IF(AND(Milestones!$AB$114="FT",Milestones!$AA$114=FT_Y5,EDATE($D53,Milestones!$AA$114)&lt;PolicyEff),1,Milestones!$AC$114)&amp;";  ","")&amp;IF(AND(EDATE($D53,Milestones!$AA$115)&lt;=AsOfDate,EDATE($D53,Milestones!$AA$115)&gt;=SchemeStart,IF($X53=0,$AD53,IF(AND($Z53&lt;&gt;"",EDATE($D53,Milestones!$AA$115)&gt;=$Z53),$AC53,IF(AND($Y53&lt;&gt;"",EDATE($D53,Milestones!$AA$115)&gt;=$Y53),$AB53,$AA53)))=Milestones!$AB$115),UPPER(TEXT(EDATE($D53,Milestones!$AA$115),"dd mmm yy"))&amp;" "&amp;Milestones!$AB$115&amp;" "&amp;IF(AND(Milestones!$AB$115="FT",Milestones!$AA$115=FT_Y5,EDATE($D53,Milestones!$AA$115)&lt;PolicyEff),1,Milestones!$AC$115)&amp;";  ",""))</f>
        <v/>
      </c>
      <c r="Q53" s="0" t="str">
        <f aca="false">IF(OR($A53="",$D53=""),"",IF(AND(EDATE($D53,Milestones!$AA$116)&lt;=AsOfDate,EDATE($D53,Milestones!$AA$116)&gt;=SchemeStart,IF($X53=0,$AD53,IF(AND($Z53&lt;&gt;"",EDATE($D53,Milestones!$AA$116)&gt;=$Z53),$AC53,IF(AND($Y53&lt;&gt;"",EDATE($D53,Milestones!$AA$116)&gt;=$Y53),$AB53,$AA53)))=Milestones!$AB$116),UPPER(TEXT(EDATE($D53,Milestones!$AA$116),"dd mmm yy"))&amp;" "&amp;Milestones!$AB$116&amp;" "&amp;IF(AND(Milestones!$AB$116="FT",Milestones!$AA$116=FT_Y5,EDATE($D53,Milestones!$AA$116)&lt;PolicyEff),1,Milestones!$AC$116)&amp;";  ","")&amp;IF(AND(EDATE($D53,Milestones!$AA$117)&lt;=AsOfDate,EDATE($D53,Milestones!$AA$117)&gt;=SchemeStart,IF($X53=0,$AD53,IF(AND($Z53&lt;&gt;"",EDATE($D53,Milestones!$AA$117)&gt;=$Z53),$AC53,IF(AND($Y53&lt;&gt;"",EDATE($D53,Milestones!$AA$117)&gt;=$Y53),$AB53,$AA53)))=Milestones!$AB$117),UPPER(TEXT(EDATE($D53,Milestones!$AA$117),"dd mmm yy"))&amp;" "&amp;Milestones!$AB$117&amp;" "&amp;IF(AND(Milestones!$AB$117="FT",Milestones!$AA$117=FT_Y5,EDATE($D53,Milestones!$AA$117)&lt;PolicyEff),1,Milestones!$AC$117)&amp;";  ","")&amp;IF(AND(EDATE($D53,Milestones!$AA$118)&lt;=AsOfDate,EDATE($D53,Milestones!$AA$118)&gt;=SchemeStart,IF($X53=0,$AD53,IF(AND($Z53&lt;&gt;"",EDATE($D53,Milestones!$AA$118)&gt;=$Z53),$AC53,IF(AND($Y53&lt;&gt;"",EDATE($D53,Milestones!$AA$118)&gt;=$Y53),$AB53,$AA53)))=Milestones!$AB$118),UPPER(TEXT(EDATE($D53,Milestones!$AA$118),"dd mmm yy"))&amp;" "&amp;Milestones!$AB$118&amp;" "&amp;IF(AND(Milestones!$AB$118="FT",Milestones!$AA$118=FT_Y5,EDATE($D53,Milestones!$AA$118)&lt;PolicyEff),1,Milestones!$AC$118)&amp;";  ","")&amp;IF(AND(EDATE($D53,Milestones!$AA$119)&lt;=AsOfDate,EDATE($D53,Milestones!$AA$119)&gt;=SchemeStart,IF($X53=0,$AD53,IF(AND($Z53&lt;&gt;"",EDATE($D53,Milestones!$AA$119)&gt;=$Z53),$AC53,IF(AND($Y53&lt;&gt;"",EDATE($D53,Milestones!$AA$119)&gt;=$Y53),$AB53,$AA53)))=Milestones!$AB$119),UPPER(TEXT(EDATE($D53,Milestones!$AA$119),"dd mmm yy"))&amp;" "&amp;Milestones!$AB$119&amp;" "&amp;IF(AND(Milestones!$AB$119="FT",Milestones!$AA$119=FT_Y5,EDATE($D53,Milestones!$AA$119)&lt;PolicyEff),1,Milestones!$AC$119)&amp;";  ","")&amp;IF(AND(EDATE($D53,Milestones!$AA$120)&lt;=AsOfDate,EDATE($D53,Milestones!$AA$120)&gt;=SchemeStart,IF($X53=0,$AD53,IF(AND($Z53&lt;&gt;"",EDATE($D53,Milestones!$AA$120)&gt;=$Z53),$AC53,IF(AND($Y53&lt;&gt;"",EDATE($D53,Milestones!$AA$120)&gt;=$Y53),$AB53,$AA53)))=Milestones!$AB$120),UPPER(TEXT(EDATE($D53,Milestones!$AA$120),"dd mmm yy"))&amp;" "&amp;Milestones!$AB$120&amp;" "&amp;IF(AND(Milestones!$AB$120="FT",Milestones!$AA$120=FT_Y5,EDATE($D53,Milestones!$AA$120)&lt;PolicyEff),1,Milestones!$AC$120)&amp;";  ","")&amp;IF(AND(EDATE($D53,Milestones!$AA$121)&lt;=AsOfDate,EDATE($D53,Milestones!$AA$121)&gt;=SchemeStart,IF($X53=0,$AD53,IF(AND($Z53&lt;&gt;"",EDATE($D53,Milestones!$AA$121)&gt;=$Z53),$AC53,IF(AND($Y53&lt;&gt;"",EDATE($D53,Milestones!$AA$121)&gt;=$Y53),$AB53,$AA53)))=Milestones!$AB$121),UPPER(TEXT(EDATE($D53,Milestones!$AA$121),"dd mmm yy"))&amp;" "&amp;Milestones!$AB$121&amp;" "&amp;IF(AND(Milestones!$AB$121="FT",Milestones!$AA$121=FT_Y5,EDATE($D53,Milestones!$AA$121)&lt;PolicyEff),1,Milestones!$AC$121)&amp;";  ","")&amp;IF(AND(EDATE($D53,Milestones!$AA$122)&lt;=AsOfDate,EDATE($D53,Milestones!$AA$122)&gt;=SchemeStart,IF($X53=0,$AD53,IF(AND($Z53&lt;&gt;"",EDATE($D53,Milestones!$AA$122)&gt;=$Z53),$AC53,IF(AND($Y53&lt;&gt;"",EDATE($D53,Milestones!$AA$122)&gt;=$Y53),$AB53,$AA53)))=Milestones!$AB$122),UPPER(TEXT(EDATE($D53,Milestones!$AA$122),"dd mmm yy"))&amp;" "&amp;Milestones!$AB$122&amp;" "&amp;IF(AND(Milestones!$AB$122="FT",Milestones!$AA$122=FT_Y5,EDATE($D53,Milestones!$AA$122)&lt;PolicyEff),1,Milestones!$AC$122)&amp;";  ","")&amp;IF(AND(EDATE($D53,Milestones!$AA$123)&lt;=AsOfDate,EDATE($D53,Milestones!$AA$123)&gt;=SchemeStart,IF($X53=0,$AD53,IF(AND($Z53&lt;&gt;"",EDATE($D53,Milestones!$AA$123)&gt;=$Z53),$AC53,IF(AND($Y53&lt;&gt;"",EDATE($D53,Milestones!$AA$123)&gt;=$Y53),$AB53,$AA53)))=Milestones!$AB$123),UPPER(TEXT(EDATE($D53,Milestones!$AA$123),"dd mmm yy"))&amp;" "&amp;Milestones!$AB$123&amp;" "&amp;IF(AND(Milestones!$AB$123="FT",Milestones!$AA$123=FT_Y5,EDATE($D53,Milestones!$AA$123)&lt;PolicyEff),1,Milestones!$AC$123)&amp;";  ","")&amp;IF(AND(EDATE($D53,Milestones!$AA$124)&lt;=AsOfDate,EDATE($D53,Milestones!$AA$124)&gt;=SchemeStart,IF($X53=0,$AD53,IF(AND($Z53&lt;&gt;"",EDATE($D53,Milestones!$AA$124)&gt;=$Z53),$AC53,IF(AND($Y53&lt;&gt;"",EDATE($D53,Milestones!$AA$124)&gt;=$Y53),$AB53,$AA53)))=Milestones!$AB$124),UPPER(TEXT(EDATE($D53,Milestones!$AA$124),"dd mmm yy"))&amp;" "&amp;Milestones!$AB$124&amp;" "&amp;IF(AND(Milestones!$AB$124="FT",Milestones!$AA$124=FT_Y5,EDATE($D53,Milestones!$AA$124)&lt;PolicyEff),1,Milestones!$AC$124)&amp;";  ","")&amp;IF(AND(EDATE($D53,Milestones!$AA$125)&lt;=AsOfDate,EDATE($D53,Milestones!$AA$125)&gt;=SchemeStart,IF($X53=0,$AD53,IF(AND($Z53&lt;&gt;"",EDATE($D53,Milestones!$AA$125)&gt;=$Z53),$AC53,IF(AND($Y53&lt;&gt;"",EDATE($D53,Milestones!$AA$125)&gt;=$Y53),$AB53,$AA53)))=Milestones!$AB$125),UPPER(TEXT(EDATE($D53,Milestones!$AA$125),"dd mmm yy"))&amp;" "&amp;Milestones!$AB$125&amp;" "&amp;IF(AND(Milestones!$AB$125="FT",Milestones!$AA$125=FT_Y5,EDATE($D53,Milestones!$AA$125)&lt;PolicyEff),1,Milestones!$AC$125)&amp;";  ","")&amp;IF(AND(EDATE($D53,Milestones!$AA$126)&lt;=AsOfDate,EDATE($D53,Milestones!$AA$126)&gt;=SchemeStart,IF($X53=0,$AD53,IF(AND($Z53&lt;&gt;"",EDATE($D53,Milestones!$AA$126)&gt;=$Z53),$AC53,IF(AND($Y53&lt;&gt;"",EDATE($D53,Milestones!$AA$126)&gt;=$Y53),$AB53,$AA53)))=Milestones!$AB$126),UPPER(TEXT(EDATE($D53,Milestones!$AA$126),"dd mmm yy"))&amp;" "&amp;Milestones!$AB$126&amp;" "&amp;IF(AND(Milestones!$AB$126="FT",Milestones!$AA$126=FT_Y5,EDATE($D53,Milestones!$AA$126)&lt;PolicyEff),1,Milestones!$AC$126)&amp;";  ","")&amp;IF(AND(EDATE($D53,Milestones!$AA$127)&lt;=AsOfDate,EDATE($D53,Milestones!$AA$127)&gt;=SchemeStart,IF($X53=0,$AD53,IF(AND($Z53&lt;&gt;"",EDATE($D53,Milestones!$AA$127)&gt;=$Z53),$AC53,IF(AND($Y53&lt;&gt;"",EDATE($D53,Milestones!$AA$127)&gt;=$Y53),$AB53,$AA53)))=Milestones!$AB$127),UPPER(TEXT(EDATE($D53,Milestones!$AA$127),"dd mmm yy"))&amp;" "&amp;Milestones!$AB$127&amp;" "&amp;IF(AND(Milestones!$AB$127="FT",Milestones!$AA$127=FT_Y5,EDATE($D53,Milestones!$AA$127)&lt;PolicyEff),1,Milestones!$AC$127)&amp;";  ",""))</f>
        <v/>
      </c>
      <c r="R53" s="0" t="str">
        <f aca="false">IF(OR($A53="",$D53=""),"",IF(AND(EDATE($D53,Milestones!$AA$128)&lt;=AsOfDate,EDATE($D53,Milestones!$AA$128)&gt;=SchemeStart,IF($X53=0,$AD53,IF(AND($Z53&lt;&gt;"",EDATE($D53,Milestones!$AA$128)&gt;=$Z53),$AC53,IF(AND($Y53&lt;&gt;"",EDATE($D53,Milestones!$AA$128)&gt;=$Y53),$AB53,$AA53)))=Milestones!$AB$128),UPPER(TEXT(EDATE($D53,Milestones!$AA$128),"dd mmm yy"))&amp;" "&amp;Milestones!$AB$128&amp;" "&amp;IF(AND(Milestones!$AB$128="FT",Milestones!$AA$128=FT_Y5,EDATE($D53,Milestones!$AA$128)&lt;PolicyEff),1,Milestones!$AC$128)&amp;";  ","")&amp;IF(AND(EDATE($D53,Milestones!$AA$129)&lt;=AsOfDate,EDATE($D53,Milestones!$AA$129)&gt;=SchemeStart,IF($X53=0,$AD53,IF(AND($Z53&lt;&gt;"",EDATE($D53,Milestones!$AA$129)&gt;=$Z53),$AC53,IF(AND($Y53&lt;&gt;"",EDATE($D53,Milestones!$AA$129)&gt;=$Y53),$AB53,$AA53)))=Milestones!$AB$129),UPPER(TEXT(EDATE($D53,Milestones!$AA$129),"dd mmm yy"))&amp;" "&amp;Milestones!$AB$129&amp;" "&amp;IF(AND(Milestones!$AB$129="FT",Milestones!$AA$129=FT_Y5,EDATE($D53,Milestones!$AA$129)&lt;PolicyEff),1,Milestones!$AC$129)&amp;";  ","")&amp;IF(AND(EDATE($D53,Milestones!$AA$130)&lt;=AsOfDate,EDATE($D53,Milestones!$AA$130)&gt;=SchemeStart,IF($X53=0,$AD53,IF(AND($Z53&lt;&gt;"",EDATE($D53,Milestones!$AA$130)&gt;=$Z53),$AC53,IF(AND($Y53&lt;&gt;"",EDATE($D53,Milestones!$AA$130)&gt;=$Y53),$AB53,$AA53)))=Milestones!$AB$130),UPPER(TEXT(EDATE($D53,Milestones!$AA$130),"dd mmm yy"))&amp;" "&amp;Milestones!$AB$130&amp;" "&amp;IF(AND(Milestones!$AB$130="FT",Milestones!$AA$130=FT_Y5,EDATE($D53,Milestones!$AA$130)&lt;PolicyEff),1,Milestones!$AC$130)&amp;";  ","")&amp;IF(AND(EDATE($D53,Milestones!$AA$131)&lt;=AsOfDate,EDATE($D53,Milestones!$AA$131)&gt;=SchemeStart,IF($X53=0,$AD53,IF(AND($Z53&lt;&gt;"",EDATE($D53,Milestones!$AA$131)&gt;=$Z53),$AC53,IF(AND($Y53&lt;&gt;"",EDATE($D53,Milestones!$AA$131)&gt;=$Y53),$AB53,$AA53)))=Milestones!$AB$131),UPPER(TEXT(EDATE($D53,Milestones!$AA$131),"dd mmm yy"))&amp;" "&amp;Milestones!$AB$131&amp;" "&amp;IF(AND(Milestones!$AB$131="FT",Milestones!$AA$131=FT_Y5,EDATE($D53,Milestones!$AA$131)&lt;PolicyEff),1,Milestones!$AC$131)&amp;";  ","")&amp;IF(AND(EDATE($D53,Milestones!$AA$132)&lt;=AsOfDate,EDATE($D53,Milestones!$AA$132)&gt;=SchemeStart,IF($X53=0,$AD53,IF(AND($Z53&lt;&gt;"",EDATE($D53,Milestones!$AA$132)&gt;=$Z53),$AC53,IF(AND($Y53&lt;&gt;"",EDATE($D53,Milestones!$AA$132)&gt;=$Y53),$AB53,$AA53)))=Milestones!$AB$132),UPPER(TEXT(EDATE($D53,Milestones!$AA$132),"dd mmm yy"))&amp;" "&amp;Milestones!$AB$132&amp;" "&amp;IF(AND(Milestones!$AB$132="FT",Milestones!$AA$132=FT_Y5,EDATE($D53,Milestones!$AA$132)&lt;PolicyEff),1,Milestones!$AC$132)&amp;";  ","")&amp;IF(AND(EDATE($D53,Milestones!$AA$133)&lt;=AsOfDate,EDATE($D53,Milestones!$AA$133)&gt;=SchemeStart,IF($X53=0,$AD53,IF(AND($Z53&lt;&gt;"",EDATE($D53,Milestones!$AA$133)&gt;=$Z53),$AC53,IF(AND($Y53&lt;&gt;"",EDATE($D53,Milestones!$AA$133)&gt;=$Y53),$AB53,$AA53)))=Milestones!$AB$133),UPPER(TEXT(EDATE($D53,Milestones!$AA$133),"dd mmm yy"))&amp;" "&amp;Milestones!$AB$133&amp;" "&amp;IF(AND(Milestones!$AB$133="FT",Milestones!$AA$133=FT_Y5,EDATE($D53,Milestones!$AA$133)&lt;PolicyEff),1,Milestones!$AC$133)&amp;";  ","")&amp;IF(AND(EDATE($D53,Milestones!$AA$134)&lt;=AsOfDate,EDATE($D53,Milestones!$AA$134)&gt;=SchemeStart,IF($X53=0,$AD53,IF(AND($Z53&lt;&gt;"",EDATE($D53,Milestones!$AA$134)&gt;=$Z53),$AC53,IF(AND($Y53&lt;&gt;"",EDATE($D53,Milestones!$AA$134)&gt;=$Y53),$AB53,$AA53)))=Milestones!$AB$134),UPPER(TEXT(EDATE($D53,Milestones!$AA$134),"dd mmm yy"))&amp;" "&amp;Milestones!$AB$134&amp;" "&amp;IF(AND(Milestones!$AB$134="FT",Milestones!$AA$134=FT_Y5,EDATE($D53,Milestones!$AA$134)&lt;PolicyEff),1,Milestones!$AC$134)&amp;";  ","")&amp;IF(AND(EDATE($D53,Milestones!$AA$135)&lt;=AsOfDate,EDATE($D53,Milestones!$AA$135)&gt;=SchemeStart,IF($X53=0,$AD53,IF(AND($Z53&lt;&gt;"",EDATE($D53,Milestones!$AA$135)&gt;=$Z53),$AC53,IF(AND($Y53&lt;&gt;"",EDATE($D53,Milestones!$AA$135)&gt;=$Y53),$AB53,$AA53)))=Milestones!$AB$135),UPPER(TEXT(EDATE($D53,Milestones!$AA$135),"dd mmm yy"))&amp;" "&amp;Milestones!$AB$135&amp;" "&amp;IF(AND(Milestones!$AB$135="FT",Milestones!$AA$135=FT_Y5,EDATE($D53,Milestones!$AA$135)&lt;PolicyEff),1,Milestones!$AC$135)&amp;";  ","")&amp;IF(AND(EDATE($D53,Milestones!$AA$136)&lt;=AsOfDate,EDATE($D53,Milestones!$AA$136)&gt;=SchemeStart,IF($X53=0,$AD53,IF(AND($Z53&lt;&gt;"",EDATE($D53,Milestones!$AA$136)&gt;=$Z53),$AC53,IF(AND($Y53&lt;&gt;"",EDATE($D53,Milestones!$AA$136)&gt;=$Y53),$AB53,$AA53)))=Milestones!$AB$136),UPPER(TEXT(EDATE($D53,Milestones!$AA$136),"dd mmm yy"))&amp;" "&amp;Milestones!$AB$136&amp;" "&amp;IF(AND(Milestones!$AB$136="FT",Milestones!$AA$136=FT_Y5,EDATE($D53,Milestones!$AA$136)&lt;PolicyEff),1,Milestones!$AC$136)&amp;";  ","")&amp;IF(AND(EDATE($D53,Milestones!$AA$137)&lt;=AsOfDate,EDATE($D53,Milestones!$AA$137)&gt;=SchemeStart,IF($X53=0,$AD53,IF(AND($Z53&lt;&gt;"",EDATE($D53,Milestones!$AA$137)&gt;=$Z53),$AC53,IF(AND($Y53&lt;&gt;"",EDATE($D53,Milestones!$AA$137)&gt;=$Y53),$AB53,$AA53)))=Milestones!$AB$137),UPPER(TEXT(EDATE($D53,Milestones!$AA$137),"dd mmm yy"))&amp;" "&amp;Milestones!$AB$137&amp;" "&amp;IF(AND(Milestones!$AB$137="FT",Milestones!$AA$137=FT_Y5,EDATE($D53,Milestones!$AA$137)&lt;PolicyEff),1,Milestones!$AC$137)&amp;";  ","")&amp;IF(AND(EDATE($D53,Milestones!$AA$138)&lt;=AsOfDate,EDATE($D53,Milestones!$AA$138)&gt;=SchemeStart,IF($X53=0,$AD53,IF(AND($Z53&lt;&gt;"",EDATE($D53,Milestones!$AA$138)&gt;=$Z53),$AC53,IF(AND($Y53&lt;&gt;"",EDATE($D53,Milestones!$AA$138)&gt;=$Y53),$AB53,$AA53)))=Milestones!$AB$138),UPPER(TEXT(EDATE($D53,Milestones!$AA$138),"dd mmm yy"))&amp;" "&amp;Milestones!$AB$138&amp;" "&amp;IF(AND(Milestones!$AB$138="FT",Milestones!$AA$138=FT_Y5,EDATE($D53,Milestones!$AA$138)&lt;PolicyEff),1,Milestones!$AC$138)&amp;";  ","")&amp;IF(AND(EDATE($D53,Milestones!$AA$139)&lt;=AsOfDate,EDATE($D53,Milestones!$AA$139)&gt;=SchemeStart,IF($X53=0,$AD53,IF(AND($Z53&lt;&gt;"",EDATE($D53,Milestones!$AA$139)&gt;=$Z53),$AC53,IF(AND($Y53&lt;&gt;"",EDATE($D53,Milestones!$AA$139)&gt;=$Y53),$AB53,$AA53)))=Milestones!$AB$139),UPPER(TEXT(EDATE($D53,Milestones!$AA$139),"dd mmm yy"))&amp;" "&amp;Milestones!$AB$139&amp;" "&amp;IF(AND(Milestones!$AB$139="FT",Milestones!$AA$139=FT_Y5,EDATE($D53,Milestones!$AA$139)&lt;PolicyEff),1,Milestones!$AC$139)&amp;";  ",""))</f>
        <v/>
      </c>
      <c r="S53" s="0" t="str">
        <f aca="false">IF(OR($A53="",$D53=""),"",IF(AND(EDATE($D53,Milestones!$AA$140)&lt;=AsOfDate,EDATE($D53,Milestones!$AA$140)&gt;=SchemeStart,IF($X53=0,$AD53,IF(AND($Z53&lt;&gt;"",EDATE($D53,Milestones!$AA$140)&gt;=$Z53),$AC53,IF(AND($Y53&lt;&gt;"",EDATE($D53,Milestones!$AA$140)&gt;=$Y53),$AB53,$AA53)))=Milestones!$AB$140),UPPER(TEXT(EDATE($D53,Milestones!$AA$140),"dd mmm yy"))&amp;" "&amp;Milestones!$AB$140&amp;" "&amp;IF(AND(Milestones!$AB$140="FT",Milestones!$AA$140=FT_Y5,EDATE($D53,Milestones!$AA$140)&lt;PolicyEff),1,Milestones!$AC$140)&amp;";  ","")&amp;IF(AND(EDATE($D53,Milestones!$AA$141)&lt;=AsOfDate,EDATE($D53,Milestones!$AA$141)&gt;=SchemeStart,IF($X53=0,$AD53,IF(AND($Z53&lt;&gt;"",EDATE($D53,Milestones!$AA$141)&gt;=$Z53),$AC53,IF(AND($Y53&lt;&gt;"",EDATE($D53,Milestones!$AA$141)&gt;=$Y53),$AB53,$AA53)))=Milestones!$AB$141),UPPER(TEXT(EDATE($D53,Milestones!$AA$141),"dd mmm yy"))&amp;" "&amp;Milestones!$AB$141&amp;" "&amp;IF(AND(Milestones!$AB$141="FT",Milestones!$AA$141=FT_Y5,EDATE($D53,Milestones!$AA$141)&lt;PolicyEff),1,Milestones!$AC$141)&amp;";  ","")&amp;IF(AND(EDATE($D53,Milestones!$AA$142)&lt;=AsOfDate,EDATE($D53,Milestones!$AA$142)&gt;=SchemeStart,IF($X53=0,$AD53,IF(AND($Z53&lt;&gt;"",EDATE($D53,Milestones!$AA$142)&gt;=$Z53),$AC53,IF(AND($Y53&lt;&gt;"",EDATE($D53,Milestones!$AA$142)&gt;=$Y53),$AB53,$AA53)))=Milestones!$AB$142),UPPER(TEXT(EDATE($D53,Milestones!$AA$142),"dd mmm yy"))&amp;" "&amp;Milestones!$AB$142&amp;" "&amp;IF(AND(Milestones!$AB$142="FT",Milestones!$AA$142=FT_Y5,EDATE($D53,Milestones!$AA$142)&lt;PolicyEff),1,Milestones!$AC$142)&amp;";  ","")&amp;IF(AND(EDATE($D53,Milestones!$AA$143)&lt;=AsOfDate,EDATE($D53,Milestones!$AA$143)&gt;=SchemeStart,IF($X53=0,$AD53,IF(AND($Z53&lt;&gt;"",EDATE($D53,Milestones!$AA$143)&gt;=$Z53),$AC53,IF(AND($Y53&lt;&gt;"",EDATE($D53,Milestones!$AA$143)&gt;=$Y53),$AB53,$AA53)))=Milestones!$AB$143),UPPER(TEXT(EDATE($D53,Milestones!$AA$143),"dd mmm yy"))&amp;" "&amp;Milestones!$AB$143&amp;" "&amp;IF(AND(Milestones!$AB$143="FT",Milestones!$AA$143=FT_Y5,EDATE($D53,Milestones!$AA$143)&lt;PolicyEff),1,Milestones!$AC$143)&amp;";  ","")&amp;IF(AND(EDATE($D53,Milestones!$AA$144)&lt;=AsOfDate,EDATE($D53,Milestones!$AA$144)&gt;=SchemeStart,IF($X53=0,$AD53,IF(AND($Z53&lt;&gt;"",EDATE($D53,Milestones!$AA$144)&gt;=$Z53),$AC53,IF(AND($Y53&lt;&gt;"",EDATE($D53,Milestones!$AA$144)&gt;=$Y53),$AB53,$AA53)))=Milestones!$AB$144),UPPER(TEXT(EDATE($D53,Milestones!$AA$144),"dd mmm yy"))&amp;" "&amp;Milestones!$AB$144&amp;" "&amp;IF(AND(Milestones!$AB$144="FT",Milestones!$AA$144=FT_Y5,EDATE($D53,Milestones!$AA$144)&lt;PolicyEff),1,Milestones!$AC$144)&amp;";  ","")&amp;IF(AND(EDATE($D53,Milestones!$AA$145)&lt;=AsOfDate,EDATE($D53,Milestones!$AA$145)&gt;=SchemeStart,IF($X53=0,$AD53,IF(AND($Z53&lt;&gt;"",EDATE($D53,Milestones!$AA$145)&gt;=$Z53),$AC53,IF(AND($Y53&lt;&gt;"",EDATE($D53,Milestones!$AA$145)&gt;=$Y53),$AB53,$AA53)))=Milestones!$AB$145),UPPER(TEXT(EDATE($D53,Milestones!$AA$145),"dd mmm yy"))&amp;" "&amp;Milestones!$AB$145&amp;" "&amp;IF(AND(Milestones!$AB$145="FT",Milestones!$AA$145=FT_Y5,EDATE($D53,Milestones!$AA$145)&lt;PolicyEff),1,Milestones!$AC$145)&amp;";  ","")&amp;IF(AND(EDATE($D53,Milestones!$AA$146)&lt;=AsOfDate,EDATE($D53,Milestones!$AA$146)&gt;=SchemeStart,IF($X53=0,$AD53,IF(AND($Z53&lt;&gt;"",EDATE($D53,Milestones!$AA$146)&gt;=$Z53),$AC53,IF(AND($Y53&lt;&gt;"",EDATE($D53,Milestones!$AA$146)&gt;=$Y53),$AB53,$AA53)))=Milestones!$AB$146),UPPER(TEXT(EDATE($D53,Milestones!$AA$146),"dd mmm yy"))&amp;" "&amp;Milestones!$AB$146&amp;" "&amp;IF(AND(Milestones!$AB$146="FT",Milestones!$AA$146=FT_Y5,EDATE($D53,Milestones!$AA$146)&lt;PolicyEff),1,Milestones!$AC$146)&amp;";  ","")&amp;IF(AND(EDATE($D53,Milestones!$AA$147)&lt;=AsOfDate,EDATE($D53,Milestones!$AA$147)&gt;=SchemeStart,IF($X53=0,$AD53,IF(AND($Z53&lt;&gt;"",EDATE($D53,Milestones!$AA$147)&gt;=$Z53),$AC53,IF(AND($Y53&lt;&gt;"",EDATE($D53,Milestones!$AA$147)&gt;=$Y53),$AB53,$AA53)))=Milestones!$AB$147),UPPER(TEXT(EDATE($D53,Milestones!$AA$147),"dd mmm yy"))&amp;" "&amp;Milestones!$AB$147&amp;" "&amp;IF(AND(Milestones!$AB$147="FT",Milestones!$AA$147=FT_Y5,EDATE($D53,Milestones!$AA$147)&lt;PolicyEff),1,Milestones!$AC$147)&amp;";  ","")&amp;IF(AND(EDATE($D53,Milestones!$AA$148)&lt;=AsOfDate,EDATE($D53,Milestones!$AA$148)&gt;=SchemeStart,IF($X53=0,$AD53,IF(AND($Z53&lt;&gt;"",EDATE($D53,Milestones!$AA$148)&gt;=$Z53),$AC53,IF(AND($Y53&lt;&gt;"",EDATE($D53,Milestones!$AA$148)&gt;=$Y53),$AB53,$AA53)))=Milestones!$AB$148),UPPER(TEXT(EDATE($D53,Milestones!$AA$148),"dd mmm yy"))&amp;" "&amp;Milestones!$AB$148&amp;" "&amp;IF(AND(Milestones!$AB$148="FT",Milestones!$AA$148=FT_Y5,EDATE($D53,Milestones!$AA$148)&lt;PolicyEff),1,Milestones!$AC$148)&amp;";  ","")&amp;IF(AND(EDATE($D53,Milestones!$AA$149)&lt;=AsOfDate,EDATE($D53,Milestones!$AA$149)&gt;=SchemeStart,IF($X53=0,$AD53,IF(AND($Z53&lt;&gt;"",EDATE($D53,Milestones!$AA$149)&gt;=$Z53),$AC53,IF(AND($Y53&lt;&gt;"",EDATE($D53,Milestones!$AA$149)&gt;=$Y53),$AB53,$AA53)))=Milestones!$AB$149),UPPER(TEXT(EDATE($D53,Milestones!$AA$149),"dd mmm yy"))&amp;" "&amp;Milestones!$AB$149&amp;" "&amp;IF(AND(Milestones!$AB$149="FT",Milestones!$AA$149=FT_Y5,EDATE($D53,Milestones!$AA$149)&lt;PolicyEff),1,Milestones!$AC$149)&amp;";  ","")&amp;IF(AND(EDATE($D53,Milestones!$AA$150)&lt;=AsOfDate,EDATE($D53,Milestones!$AA$150)&gt;=SchemeStart,IF($X53=0,$AD53,IF(AND($Z53&lt;&gt;"",EDATE($D53,Milestones!$AA$150)&gt;=$Z53),$AC53,IF(AND($Y53&lt;&gt;"",EDATE($D53,Milestones!$AA$150)&gt;=$Y53),$AB53,$AA53)))=Milestones!$AB$150),UPPER(TEXT(EDATE($D53,Milestones!$AA$150),"dd mmm yy"))&amp;" "&amp;Milestones!$AB$150&amp;" "&amp;IF(AND(Milestones!$AB$150="FT",Milestones!$AA$150=FT_Y5,EDATE($D53,Milestones!$AA$150)&lt;PolicyEff),1,Milestones!$AC$150)&amp;";  ","")&amp;IF(AND(EDATE($D53,Milestones!$AA$151)&lt;=AsOfDate,EDATE($D53,Milestones!$AA$151)&gt;=SchemeStart,IF($X53=0,$AD53,IF(AND($Z53&lt;&gt;"",EDATE($D53,Milestones!$AA$151)&gt;=$Z53),$AC53,IF(AND($Y53&lt;&gt;"",EDATE($D53,Milestones!$AA$151)&gt;=$Y53),$AB53,$AA53)))=Milestones!$AB$151),UPPER(TEXT(EDATE($D53,Milestones!$AA$151),"dd mmm yy"))&amp;" "&amp;Milestones!$AB$151&amp;" "&amp;IF(AND(Milestones!$AB$151="FT",Milestones!$AA$151=FT_Y5,EDATE($D53,Milestones!$AA$151)&lt;PolicyEff),1,Milestones!$AC$151)&amp;";  ",""))</f>
        <v/>
      </c>
      <c r="T53" s="0" t="str">
        <f aca="false">IF(OR($A53="",$D53=""),"",IF(AND(EDATE($D53,Milestones!$AA$152)&lt;=AsOfDate,EDATE($D53,Milestones!$AA$152)&gt;=SchemeStart,IF($X53=0,$AD53,IF(AND($Z53&lt;&gt;"",EDATE($D53,Milestones!$AA$152)&gt;=$Z53),$AC53,IF(AND($Y53&lt;&gt;"",EDATE($D53,Milestones!$AA$152)&gt;=$Y53),$AB53,$AA53)))=Milestones!$AB$152),UPPER(TEXT(EDATE($D53,Milestones!$AA$152),"dd mmm yy"))&amp;" "&amp;Milestones!$AB$152&amp;" "&amp;IF(AND(Milestones!$AB$152="FT",Milestones!$AA$152=FT_Y5,EDATE($D53,Milestones!$AA$152)&lt;PolicyEff),1,Milestones!$AC$152)&amp;";  ","")&amp;IF(AND(EDATE($D53,Milestones!$AA$153)&lt;=AsOfDate,EDATE($D53,Milestones!$AA$153)&gt;=SchemeStart,IF($X53=0,$AD53,IF(AND($Z53&lt;&gt;"",EDATE($D53,Milestones!$AA$153)&gt;=$Z53),$AC53,IF(AND($Y53&lt;&gt;"",EDATE($D53,Milestones!$AA$153)&gt;=$Y53),$AB53,$AA53)))=Milestones!$AB$153),UPPER(TEXT(EDATE($D53,Milestones!$AA$153),"dd mmm yy"))&amp;" "&amp;Milestones!$AB$153&amp;" "&amp;IF(AND(Milestones!$AB$153="FT",Milestones!$AA$153=FT_Y5,EDATE($D53,Milestones!$AA$153)&lt;PolicyEff),1,Milestones!$AC$153)&amp;";  ","")&amp;IF(AND(EDATE($D53,Milestones!$AA$154)&lt;=AsOfDate,EDATE($D53,Milestones!$AA$154)&gt;=SchemeStart,IF($X53=0,$AD53,IF(AND($Z53&lt;&gt;"",EDATE($D53,Milestones!$AA$154)&gt;=$Z53),$AC53,IF(AND($Y53&lt;&gt;"",EDATE($D53,Milestones!$AA$154)&gt;=$Y53),$AB53,$AA53)))=Milestones!$AB$154),UPPER(TEXT(EDATE($D53,Milestones!$AA$154),"dd mmm yy"))&amp;" "&amp;Milestones!$AB$154&amp;" "&amp;IF(AND(Milestones!$AB$154="FT",Milestones!$AA$154=FT_Y5,EDATE($D53,Milestones!$AA$154)&lt;PolicyEff),1,Milestones!$AC$154)&amp;";  ","")&amp;IF(AND(EDATE($D53,Milestones!$AA$155)&lt;=AsOfDate,EDATE($D53,Milestones!$AA$155)&gt;=SchemeStart,IF($X53=0,$AD53,IF(AND($Z53&lt;&gt;"",EDATE($D53,Milestones!$AA$155)&gt;=$Z53),$AC53,IF(AND($Y53&lt;&gt;"",EDATE($D53,Milestones!$AA$155)&gt;=$Y53),$AB53,$AA53)))=Milestones!$AB$155),UPPER(TEXT(EDATE($D53,Milestones!$AA$155),"dd mmm yy"))&amp;" "&amp;Milestones!$AB$155&amp;" "&amp;IF(AND(Milestones!$AB$155="FT",Milestones!$AA$155=FT_Y5,EDATE($D53,Milestones!$AA$155)&lt;PolicyEff),1,Milestones!$AC$155)&amp;";  ","")&amp;IF(AND(EDATE($D53,Milestones!$AA$156)&lt;=AsOfDate,EDATE($D53,Milestones!$AA$156)&gt;=SchemeStart,IF($X53=0,$AD53,IF(AND($Z53&lt;&gt;"",EDATE($D53,Milestones!$AA$156)&gt;=$Z53),$AC53,IF(AND($Y53&lt;&gt;"",EDATE($D53,Milestones!$AA$156)&gt;=$Y53),$AB53,$AA53)))=Milestones!$AB$156),UPPER(TEXT(EDATE($D53,Milestones!$AA$156),"dd mmm yy"))&amp;" "&amp;Milestones!$AB$156&amp;" "&amp;IF(AND(Milestones!$AB$156="FT",Milestones!$AA$156=FT_Y5,EDATE($D53,Milestones!$AA$156)&lt;PolicyEff),1,Milestones!$AC$156)&amp;";  ","")&amp;IF(AND(EDATE($D53,Milestones!$AA$157)&lt;=AsOfDate,EDATE($D53,Milestones!$AA$157)&gt;=SchemeStart,IF($X53=0,$AD53,IF(AND($Z53&lt;&gt;"",EDATE($D53,Milestones!$AA$157)&gt;=$Z53),$AC53,IF(AND($Y53&lt;&gt;"",EDATE($D53,Milestones!$AA$157)&gt;=$Y53),$AB53,$AA53)))=Milestones!$AB$157),UPPER(TEXT(EDATE($D53,Milestones!$AA$157),"dd mmm yy"))&amp;" "&amp;Milestones!$AB$157&amp;" "&amp;IF(AND(Milestones!$AB$157="FT",Milestones!$AA$157=FT_Y5,EDATE($D53,Milestones!$AA$157)&lt;PolicyEff),1,Milestones!$AC$157)&amp;";  ","")&amp;IF(AND(EDATE($D53,Milestones!$AA$158)&lt;=AsOfDate,EDATE($D53,Milestones!$AA$158)&gt;=SchemeStart,IF($X53=0,$AD53,IF(AND($Z53&lt;&gt;"",EDATE($D53,Milestones!$AA$158)&gt;=$Z53),$AC53,IF(AND($Y53&lt;&gt;"",EDATE($D53,Milestones!$AA$158)&gt;=$Y53),$AB53,$AA53)))=Milestones!$AB$158),UPPER(TEXT(EDATE($D53,Milestones!$AA$158),"dd mmm yy"))&amp;" "&amp;Milestones!$AB$158&amp;" "&amp;IF(AND(Milestones!$AB$158="FT",Milestones!$AA$158=FT_Y5,EDATE($D53,Milestones!$AA$158)&lt;PolicyEff),1,Milestones!$AC$158)&amp;";  ","")&amp;IF(AND(EDATE($D53,Milestones!$AA$159)&lt;=AsOfDate,EDATE($D53,Milestones!$AA$159)&gt;=SchemeStart,IF($X53=0,$AD53,IF(AND($Z53&lt;&gt;"",EDATE($D53,Milestones!$AA$159)&gt;=$Z53),$AC53,IF(AND($Y53&lt;&gt;"",EDATE($D53,Milestones!$AA$159)&gt;=$Y53),$AB53,$AA53)))=Milestones!$AB$159),UPPER(TEXT(EDATE($D53,Milestones!$AA$159),"dd mmm yy"))&amp;" "&amp;Milestones!$AB$159&amp;" "&amp;IF(AND(Milestones!$AB$159="FT",Milestones!$AA$159=FT_Y5,EDATE($D53,Milestones!$AA$159)&lt;PolicyEff),1,Milestones!$AC$159)&amp;";  ","")&amp;IF(AND(EDATE($D53,Milestones!$AA$160)&lt;=AsOfDate,EDATE($D53,Milestones!$AA$160)&gt;=SchemeStart,IF($X53=0,$AD53,IF(AND($Z53&lt;&gt;"",EDATE($D53,Milestones!$AA$160)&gt;=$Z53),$AC53,IF(AND($Y53&lt;&gt;"",EDATE($D53,Milestones!$AA$160)&gt;=$Y53),$AB53,$AA53)))=Milestones!$AB$160),UPPER(TEXT(EDATE($D53,Milestones!$AA$160),"dd mmm yy"))&amp;" "&amp;Milestones!$AB$160&amp;" "&amp;IF(AND(Milestones!$AB$160="FT",Milestones!$AA$160=FT_Y5,EDATE($D53,Milestones!$AA$160)&lt;PolicyEff),1,Milestones!$AC$160)&amp;";  ","")&amp;IF(AND(EDATE($D53,Milestones!$AA$161)&lt;=AsOfDate,EDATE($D53,Milestones!$AA$161)&gt;=SchemeStart,IF($X53=0,$AD53,IF(AND($Z53&lt;&gt;"",EDATE($D53,Milestones!$AA$161)&gt;=$Z53),$AC53,IF(AND($Y53&lt;&gt;"",EDATE($D53,Milestones!$AA$161)&gt;=$Y53),$AB53,$AA53)))=Milestones!$AB$161),UPPER(TEXT(EDATE($D53,Milestones!$AA$161),"dd mmm yy"))&amp;" "&amp;Milestones!$AB$161&amp;" "&amp;IF(AND(Milestones!$AB$161="FT",Milestones!$AA$161=FT_Y5,EDATE($D53,Milestones!$AA$161)&lt;PolicyEff),1,Milestones!$AC$161)&amp;";  ","")&amp;IF(AND(EDATE($D53,Milestones!$AA$162)&lt;=AsOfDate,EDATE($D53,Milestones!$AA$162)&gt;=SchemeStart,IF($X53=0,$AD53,IF(AND($Z53&lt;&gt;"",EDATE($D53,Milestones!$AA$162)&gt;=$Z53),$AC53,IF(AND($Y53&lt;&gt;"",EDATE($D53,Milestones!$AA$162)&gt;=$Y53),$AB53,$AA53)))=Milestones!$AB$162),UPPER(TEXT(EDATE($D53,Milestones!$AA$162),"dd mmm yy"))&amp;" "&amp;Milestones!$AB$162&amp;" "&amp;IF(AND(Milestones!$AB$162="FT",Milestones!$AA$162=FT_Y5,EDATE($D53,Milestones!$AA$162)&lt;PolicyEff),1,Milestones!$AC$162)&amp;";  ","")&amp;IF(AND(EDATE($D53,Milestones!$AA$163)&lt;=AsOfDate,EDATE($D53,Milestones!$AA$163)&gt;=SchemeStart,IF($X53=0,$AD53,IF(AND($Z53&lt;&gt;"",EDATE($D53,Milestones!$AA$163)&gt;=$Z53),$AC53,IF(AND($Y53&lt;&gt;"",EDATE($D53,Milestones!$AA$163)&gt;=$Y53),$AB53,$AA53)))=Milestones!$AB$163),UPPER(TEXT(EDATE($D53,Milestones!$AA$163),"dd mmm yy"))&amp;" "&amp;Milestones!$AB$163&amp;" "&amp;IF(AND(Milestones!$AB$163="FT",Milestones!$AA$163=FT_Y5,EDATE($D53,Milestones!$AA$163)&lt;PolicyEff),1,Milestones!$AC$163)&amp;";  ",""))</f>
        <v/>
      </c>
      <c r="U53" s="0" t="str">
        <f aca="false">IF(OR($A53="",$D53=""),"",IF(AND(EDATE($D53,Milestones!$AA$164)&lt;=AsOfDate,EDATE($D53,Milestones!$AA$164)&gt;=SchemeStart,IF($X53=0,$AD53,IF(AND($Z53&lt;&gt;"",EDATE($D53,Milestones!$AA$164)&gt;=$Z53),$AC53,IF(AND($Y53&lt;&gt;"",EDATE($D53,Milestones!$AA$164)&gt;=$Y53),$AB53,$AA53)))=Milestones!$AB$164),UPPER(TEXT(EDATE($D53,Milestones!$AA$164),"dd mmm yy"))&amp;" "&amp;Milestones!$AB$164&amp;" "&amp;IF(AND(Milestones!$AB$164="FT",Milestones!$AA$164=FT_Y5,EDATE($D53,Milestones!$AA$164)&lt;PolicyEff),1,Milestones!$AC$164)&amp;";  ","")&amp;IF(AND(EDATE($D53,Milestones!$AA$165)&lt;=AsOfDate,EDATE($D53,Milestones!$AA$165)&gt;=SchemeStart,IF($X53=0,$AD53,IF(AND($Z53&lt;&gt;"",EDATE($D53,Milestones!$AA$165)&gt;=$Z53),$AC53,IF(AND($Y53&lt;&gt;"",EDATE($D53,Milestones!$AA$165)&gt;=$Y53),$AB53,$AA53)))=Milestones!$AB$165),UPPER(TEXT(EDATE($D53,Milestones!$AA$165),"dd mmm yy"))&amp;" "&amp;Milestones!$AB$165&amp;" "&amp;IF(AND(Milestones!$AB$165="FT",Milestones!$AA$165=FT_Y5,EDATE($D53,Milestones!$AA$165)&lt;PolicyEff),1,Milestones!$AC$165)&amp;";  ","")&amp;IF(AND(EDATE($D53,Milestones!$AA$166)&lt;=AsOfDate,EDATE($D53,Milestones!$AA$166)&gt;=SchemeStart,IF($X53=0,$AD53,IF(AND($Z53&lt;&gt;"",EDATE($D53,Milestones!$AA$166)&gt;=$Z53),$AC53,IF(AND($Y53&lt;&gt;"",EDATE($D53,Milestones!$AA$166)&gt;=$Y53),$AB53,$AA53)))=Milestones!$AB$166),UPPER(TEXT(EDATE($D53,Milestones!$AA$166),"dd mmm yy"))&amp;" "&amp;Milestones!$AB$166&amp;" "&amp;IF(AND(Milestones!$AB$166="FT",Milestones!$AA$166=FT_Y5,EDATE($D53,Milestones!$AA$166)&lt;PolicyEff),1,Milestones!$AC$166)&amp;";  ","")&amp;IF(AND(EDATE($D53,Milestones!$AA$167)&lt;=AsOfDate,EDATE($D53,Milestones!$AA$167)&gt;=SchemeStart,IF($X53=0,$AD53,IF(AND($Z53&lt;&gt;"",EDATE($D53,Milestones!$AA$167)&gt;=$Z53),$AC53,IF(AND($Y53&lt;&gt;"",EDATE($D53,Milestones!$AA$167)&gt;=$Y53),$AB53,$AA53)))=Milestones!$AB$167),UPPER(TEXT(EDATE($D53,Milestones!$AA$167),"dd mmm yy"))&amp;" "&amp;Milestones!$AB$167&amp;" "&amp;IF(AND(Milestones!$AB$167="FT",Milestones!$AA$167=FT_Y5,EDATE($D53,Milestones!$AA$167)&lt;PolicyEff),1,Milestones!$AC$167)&amp;";  ","")&amp;IF(AND(EDATE($D53,Milestones!$AA$168)&lt;=AsOfDate,EDATE($D53,Milestones!$AA$168)&gt;=SchemeStart,IF($X53=0,$AD53,IF(AND($Z53&lt;&gt;"",EDATE($D53,Milestones!$AA$168)&gt;=$Z53),$AC53,IF(AND($Y53&lt;&gt;"",EDATE($D53,Milestones!$AA$168)&gt;=$Y53),$AB53,$AA53)))=Milestones!$AB$168),UPPER(TEXT(EDATE($D53,Milestones!$AA$168),"dd mmm yy"))&amp;" "&amp;Milestones!$AB$168&amp;" "&amp;IF(AND(Milestones!$AB$168="FT",Milestones!$AA$168=FT_Y5,EDATE($D53,Milestones!$AA$168)&lt;PolicyEff),1,Milestones!$AC$168)&amp;";  ","")&amp;IF(AND(EDATE($D53,Milestones!$AA$169)&lt;=AsOfDate,EDATE($D53,Milestones!$AA$169)&gt;=SchemeStart,IF($X53=0,$AD53,IF(AND($Z53&lt;&gt;"",EDATE($D53,Milestones!$AA$169)&gt;=$Z53),$AC53,IF(AND($Y53&lt;&gt;"",EDATE($D53,Milestones!$AA$169)&gt;=$Y53),$AB53,$AA53)))=Milestones!$AB$169),UPPER(TEXT(EDATE($D53,Milestones!$AA$169),"dd mmm yy"))&amp;" "&amp;Milestones!$AB$169&amp;" "&amp;IF(AND(Milestones!$AB$169="FT",Milestones!$AA$169=FT_Y5,EDATE($D53,Milestones!$AA$169)&lt;PolicyEff),1,Milestones!$AC$169)&amp;";  ","")&amp;IF(AND(EDATE($D53,Milestones!$AA$170)&lt;=AsOfDate,EDATE($D53,Milestones!$AA$170)&gt;=SchemeStart,IF($X53=0,$AD53,IF(AND($Z53&lt;&gt;"",EDATE($D53,Milestones!$AA$170)&gt;=$Z53),$AC53,IF(AND($Y53&lt;&gt;"",EDATE($D53,Milestones!$AA$170)&gt;=$Y53),$AB53,$AA53)))=Milestones!$AB$170),UPPER(TEXT(EDATE($D53,Milestones!$AA$170),"dd mmm yy"))&amp;" "&amp;Milestones!$AB$170&amp;" "&amp;IF(AND(Milestones!$AB$170="FT",Milestones!$AA$170=FT_Y5,EDATE($D53,Milestones!$AA$170)&lt;PolicyEff),1,Milestones!$AC$170)&amp;";  ","")&amp;IF(AND(EDATE($D53,Milestones!$AA$171)&lt;=AsOfDate,EDATE($D53,Milestones!$AA$171)&gt;=SchemeStart,IF($X53=0,$AD53,IF(AND($Z53&lt;&gt;"",EDATE($D53,Milestones!$AA$171)&gt;=$Z53),$AC53,IF(AND($Y53&lt;&gt;"",EDATE($D53,Milestones!$AA$171)&gt;=$Y53),$AB53,$AA53)))=Milestones!$AB$171),UPPER(TEXT(EDATE($D53,Milestones!$AA$171),"dd mmm yy"))&amp;" "&amp;Milestones!$AB$171&amp;" "&amp;IF(AND(Milestones!$AB$171="FT",Milestones!$AA$171=FT_Y5,EDATE($D53,Milestones!$AA$171)&lt;PolicyEff),1,Milestones!$AC$171)&amp;";  ","")&amp;IF(AND(EDATE($D53,Milestones!$AA$172)&lt;=AsOfDate,EDATE($D53,Milestones!$AA$172)&gt;=SchemeStart,IF($X53=0,$AD53,IF(AND($Z53&lt;&gt;"",EDATE($D53,Milestones!$AA$172)&gt;=$Z53),$AC53,IF(AND($Y53&lt;&gt;"",EDATE($D53,Milestones!$AA$172)&gt;=$Y53),$AB53,$AA53)))=Milestones!$AB$172),UPPER(TEXT(EDATE($D53,Milestones!$AA$172),"dd mmm yy"))&amp;" "&amp;Milestones!$AB$172&amp;" "&amp;IF(AND(Milestones!$AB$172="FT",Milestones!$AA$172=FT_Y5,EDATE($D53,Milestones!$AA$172)&lt;PolicyEff),1,Milestones!$AC$172)&amp;";  ","")&amp;IF(AND(EDATE($D53,Milestones!$AA$173)&lt;=AsOfDate,EDATE($D53,Milestones!$AA$173)&gt;=SchemeStart,IF($X53=0,$AD53,IF(AND($Z53&lt;&gt;"",EDATE($D53,Milestones!$AA$173)&gt;=$Z53),$AC53,IF(AND($Y53&lt;&gt;"",EDATE($D53,Milestones!$AA$173)&gt;=$Y53),$AB53,$AA53)))=Milestones!$AB$173),UPPER(TEXT(EDATE($D53,Milestones!$AA$173),"dd mmm yy"))&amp;" "&amp;Milestones!$AB$173&amp;" "&amp;IF(AND(Milestones!$AB$173="FT",Milestones!$AA$173=FT_Y5,EDATE($D53,Milestones!$AA$173)&lt;PolicyEff),1,Milestones!$AC$173)&amp;";  ","")&amp;IF(AND(EDATE($D53,Milestones!$AA$174)&lt;=AsOfDate,EDATE($D53,Milestones!$AA$174)&gt;=SchemeStart,IF($X53=0,$AD53,IF(AND($Z53&lt;&gt;"",EDATE($D53,Milestones!$AA$174)&gt;=$Z53),$AC53,IF(AND($Y53&lt;&gt;"",EDATE($D53,Milestones!$AA$174)&gt;=$Y53),$AB53,$AA53)))=Milestones!$AB$174),UPPER(TEXT(EDATE($D53,Milestones!$AA$174),"dd mmm yy"))&amp;" "&amp;Milestones!$AB$174&amp;" "&amp;IF(AND(Milestones!$AB$174="FT",Milestones!$AA$174=FT_Y5,EDATE($D53,Milestones!$AA$174)&lt;PolicyEff),1,Milestones!$AC$174)&amp;";  ","")&amp;IF(AND(EDATE($D53,Milestones!$AA$175)&lt;=AsOfDate,EDATE($D53,Milestones!$AA$175)&gt;=SchemeStart,IF($X53=0,$AD53,IF(AND($Z53&lt;&gt;"",EDATE($D53,Milestones!$AA$175)&gt;=$Z53),$AC53,IF(AND($Y53&lt;&gt;"",EDATE($D53,Milestones!$AA$175)&gt;=$Y53),$AB53,$AA53)))=Milestones!$AB$175),UPPER(TEXT(EDATE($D53,Milestones!$AA$175),"dd mmm yy"))&amp;" "&amp;Milestones!$AB$175&amp;" "&amp;IF(AND(Milestones!$AB$175="FT",Milestones!$AA$175=FT_Y5,EDATE($D53,Milestones!$AA$175)&lt;PolicyEff),1,Milestones!$AC$175)&amp;";  ",""))</f>
        <v/>
      </c>
      <c r="V53" s="0" t="str">
        <f aca="false">IF(OR($A53="",$D53=""),"",IF(AND(EDATE($D53,Milestones!$AA$176)&lt;=AsOfDate,EDATE($D53,Milestones!$AA$176)&gt;=SchemeStart,IF($X53=0,$AD53,IF(AND($Z53&lt;&gt;"",EDATE($D53,Milestones!$AA$176)&gt;=$Z53),$AC53,IF(AND($Y53&lt;&gt;"",EDATE($D53,Milestones!$AA$176)&gt;=$Y53),$AB53,$AA53)))=Milestones!$AB$176),UPPER(TEXT(EDATE($D53,Milestones!$AA$176),"dd mmm yy"))&amp;" "&amp;Milestones!$AB$176&amp;" "&amp;IF(AND(Milestones!$AB$176="FT",Milestones!$AA$176=FT_Y5,EDATE($D53,Milestones!$AA$176)&lt;PolicyEff),1,Milestones!$AC$176)&amp;";  ","")&amp;IF(AND(EDATE($D53,Milestones!$AA$177)&lt;=AsOfDate,EDATE($D53,Milestones!$AA$177)&gt;=SchemeStart,IF($X53=0,$AD53,IF(AND($Z53&lt;&gt;"",EDATE($D53,Milestones!$AA$177)&gt;=$Z53),$AC53,IF(AND($Y53&lt;&gt;"",EDATE($D53,Milestones!$AA$177)&gt;=$Y53),$AB53,$AA53)))=Milestones!$AB$177),UPPER(TEXT(EDATE($D53,Milestones!$AA$177),"dd mmm yy"))&amp;" "&amp;Milestones!$AB$177&amp;" "&amp;IF(AND(Milestones!$AB$177="FT",Milestones!$AA$177=FT_Y5,EDATE($D53,Milestones!$AA$177)&lt;PolicyEff),1,Milestones!$AC$177)&amp;";  ","")&amp;IF(AND(EDATE($D53,Milestones!$AA$178)&lt;=AsOfDate,EDATE($D53,Milestones!$AA$178)&gt;=SchemeStart,IF($X53=0,$AD53,IF(AND($Z53&lt;&gt;"",EDATE($D53,Milestones!$AA$178)&gt;=$Z53),$AC53,IF(AND($Y53&lt;&gt;"",EDATE($D53,Milestones!$AA$178)&gt;=$Y53),$AB53,$AA53)))=Milestones!$AB$178),UPPER(TEXT(EDATE($D53,Milestones!$AA$178),"dd mmm yy"))&amp;" "&amp;Milestones!$AB$178&amp;" "&amp;IF(AND(Milestones!$AB$178="FT",Milestones!$AA$178=FT_Y5,EDATE($D53,Milestones!$AA$178)&lt;PolicyEff),1,Milestones!$AC$178)&amp;";  ","")&amp;IF(AND(EDATE($D53,Milestones!$AA$179)&lt;=AsOfDate,EDATE($D53,Milestones!$AA$179)&gt;=SchemeStart,IF($X53=0,$AD53,IF(AND($Z53&lt;&gt;"",EDATE($D53,Milestones!$AA$179)&gt;=$Z53),$AC53,IF(AND($Y53&lt;&gt;"",EDATE($D53,Milestones!$AA$179)&gt;=$Y53),$AB53,$AA53)))=Milestones!$AB$179),UPPER(TEXT(EDATE($D53,Milestones!$AA$179),"dd mmm yy"))&amp;" "&amp;Milestones!$AB$179&amp;" "&amp;IF(AND(Milestones!$AB$179="FT",Milestones!$AA$179=FT_Y5,EDATE($D53,Milestones!$AA$179)&lt;PolicyEff),1,Milestones!$AC$179)&amp;";  ","")&amp;IF(AND(EDATE($D53,Milestones!$AA$180)&lt;=AsOfDate,EDATE($D53,Milestones!$AA$180)&gt;=SchemeStart,IF($X53=0,$AD53,IF(AND($Z53&lt;&gt;"",EDATE($D53,Milestones!$AA$180)&gt;=$Z53),$AC53,IF(AND($Y53&lt;&gt;"",EDATE($D53,Milestones!$AA$180)&gt;=$Y53),$AB53,$AA53)))=Milestones!$AB$180),UPPER(TEXT(EDATE($D53,Milestones!$AA$180),"dd mmm yy"))&amp;" "&amp;Milestones!$AB$180&amp;" "&amp;IF(AND(Milestones!$AB$180="FT",Milestones!$AA$180=FT_Y5,EDATE($D53,Milestones!$AA$180)&lt;PolicyEff),1,Milestones!$AC$180)&amp;";  ","")&amp;IF(AND(EDATE($D53,Milestones!$AA$181)&lt;=AsOfDate,EDATE($D53,Milestones!$AA$181)&gt;=SchemeStart,IF($X53=0,$AD53,IF(AND($Z53&lt;&gt;"",EDATE($D53,Milestones!$AA$181)&gt;=$Z53),$AC53,IF(AND($Y53&lt;&gt;"",EDATE($D53,Milestones!$AA$181)&gt;=$Y53),$AB53,$AA53)))=Milestones!$AB$181),UPPER(TEXT(EDATE($D53,Milestones!$AA$181),"dd mmm yy"))&amp;" "&amp;Milestones!$AB$181&amp;" "&amp;IF(AND(Milestones!$AB$181="FT",Milestones!$AA$181=FT_Y5,EDATE($D53,Milestones!$AA$181)&lt;PolicyEff),1,Milestones!$AC$181)&amp;";  ","")&amp;IF(AND(EDATE($D53,Milestones!$AA$182)&lt;=AsOfDate,EDATE($D53,Milestones!$AA$182)&gt;=SchemeStart,IF($X53=0,$AD53,IF(AND($Z53&lt;&gt;"",EDATE($D53,Milestones!$AA$182)&gt;=$Z53),$AC53,IF(AND($Y53&lt;&gt;"",EDATE($D53,Milestones!$AA$182)&gt;=$Y53),$AB53,$AA53)))=Milestones!$AB$182),UPPER(TEXT(EDATE($D53,Milestones!$AA$182),"dd mmm yy"))&amp;" "&amp;Milestones!$AB$182&amp;" "&amp;IF(AND(Milestones!$AB$182="FT",Milestones!$AA$182=FT_Y5,EDATE($D53,Milestones!$AA$182)&lt;PolicyEff),1,Milestones!$AC$182)&amp;";  ","")&amp;IF(AND(EDATE($D53,Milestones!$AA$183)&lt;=AsOfDate,EDATE($D53,Milestones!$AA$183)&gt;=SchemeStart,IF($X53=0,$AD53,IF(AND($Z53&lt;&gt;"",EDATE($D53,Milestones!$AA$183)&gt;=$Z53),$AC53,IF(AND($Y53&lt;&gt;"",EDATE($D53,Milestones!$AA$183)&gt;=$Y53),$AB53,$AA53)))=Milestones!$AB$183),UPPER(TEXT(EDATE($D53,Milestones!$AA$183),"dd mmm yy"))&amp;" "&amp;Milestones!$AB$183&amp;" "&amp;IF(AND(Milestones!$AB$183="FT",Milestones!$AA$183=FT_Y5,EDATE($D53,Milestones!$AA$183)&lt;PolicyEff),1,Milestones!$AC$183)&amp;";  ","")&amp;IF(AND(EDATE($D53,Milestones!$AA$184)&lt;=AsOfDate,EDATE($D53,Milestones!$AA$184)&gt;=SchemeStart,IF($X53=0,$AD53,IF(AND($Z53&lt;&gt;"",EDATE($D53,Milestones!$AA$184)&gt;=$Z53),$AC53,IF(AND($Y53&lt;&gt;"",EDATE($D53,Milestones!$AA$184)&gt;=$Y53),$AB53,$AA53)))=Milestones!$AB$184),UPPER(TEXT(EDATE($D53,Milestones!$AA$184),"dd mmm yy"))&amp;" "&amp;Milestones!$AB$184&amp;" "&amp;IF(AND(Milestones!$AB$184="FT",Milestones!$AA$184=FT_Y5,EDATE($D53,Milestones!$AA$184)&lt;PolicyEff),1,Milestones!$AC$184)&amp;";  ","")&amp;IF(AND(EDATE($D53,Milestones!$AA$185)&lt;=AsOfDate,EDATE($D53,Milestones!$AA$185)&gt;=SchemeStart,IF($X53=0,$AD53,IF(AND($Z53&lt;&gt;"",EDATE($D53,Milestones!$AA$185)&gt;=$Z53),$AC53,IF(AND($Y53&lt;&gt;"",EDATE($D53,Milestones!$AA$185)&gt;=$Y53),$AB53,$AA53)))=Milestones!$AB$185),UPPER(TEXT(EDATE($D53,Milestones!$AA$185),"dd mmm yy"))&amp;" "&amp;Milestones!$AB$185&amp;" "&amp;IF(AND(Milestones!$AB$185="FT",Milestones!$AA$185=FT_Y5,EDATE($D53,Milestones!$AA$185)&lt;PolicyEff),1,Milestones!$AC$185)&amp;";  ","")&amp;IF(AND(EDATE($D53,Milestones!$AA$186)&lt;=AsOfDate,EDATE($D53,Milestones!$AA$186)&gt;=SchemeStart,IF($X53=0,$AD53,IF(AND($Z53&lt;&gt;"",EDATE($D53,Milestones!$AA$186)&gt;=$Z53),$AC53,IF(AND($Y53&lt;&gt;"",EDATE($D53,Milestones!$AA$186)&gt;=$Y53),$AB53,$AA53)))=Milestones!$AB$186),UPPER(TEXT(EDATE($D53,Milestones!$AA$186),"dd mmm yy"))&amp;" "&amp;Milestones!$AB$186&amp;" "&amp;IF(AND(Milestones!$AB$186="FT",Milestones!$AA$186=FT_Y5,EDATE($D53,Milestones!$AA$186)&lt;PolicyEff),1,Milestones!$AC$186)&amp;";  ","")&amp;IF(AND(EDATE($D53,Milestones!$AA$187)&lt;=AsOfDate,EDATE($D53,Milestones!$AA$187)&gt;=SchemeStart,IF($X53=0,$AD53,IF(AND($Z53&lt;&gt;"",EDATE($D53,Milestones!$AA$187)&gt;=$Z53),$AC53,IF(AND($Y53&lt;&gt;"",EDATE($D53,Milestones!$AA$187)&gt;=$Y53),$AB53,$AA53)))=Milestones!$AB$187),UPPER(TEXT(EDATE($D53,Milestones!$AA$187),"dd mmm yy"))&amp;" "&amp;Milestones!$AB$187&amp;" "&amp;IF(AND(Milestones!$AB$187="FT",Milestones!$AA$187=FT_Y5,EDATE($D53,Milestones!$AA$187)&lt;PolicyEff),1,Milestones!$AC$187)&amp;";  ",""))</f>
        <v/>
      </c>
      <c r="W53" s="0" t="str">
        <f aca="false">IF(OR($A53="",$D53=""),"",IF(AND(EDATE($D53,Milestones!$AA$188)&lt;=AsOfDate,EDATE($D53,Milestones!$AA$188)&gt;=SchemeStart,IF($X53=0,$AD53,IF(AND($Z53&lt;&gt;"",EDATE($D53,Milestones!$AA$188)&gt;=$Z53),$AC53,IF(AND($Y53&lt;&gt;"",EDATE($D53,Milestones!$AA$188)&gt;=$Y53),$AB53,$AA53)))=Milestones!$AB$188),UPPER(TEXT(EDATE($D53,Milestones!$AA$188),"dd mmm yy"))&amp;" "&amp;Milestones!$AB$188&amp;" "&amp;IF(AND(Milestones!$AB$188="FT",Milestones!$AA$188=FT_Y5,EDATE($D53,Milestones!$AA$188)&lt;PolicyEff),1,Milestones!$AC$188)&amp;";  ","")&amp;IF(AND(EDATE($D53,Milestones!$AA$189)&lt;=AsOfDate,EDATE($D53,Milestones!$AA$189)&gt;=SchemeStart,IF($X53=0,$AD53,IF(AND($Z53&lt;&gt;"",EDATE($D53,Milestones!$AA$189)&gt;=$Z53),$AC53,IF(AND($Y53&lt;&gt;"",EDATE($D53,Milestones!$AA$189)&gt;=$Y53),$AB53,$AA53)))=Milestones!$AB$189),UPPER(TEXT(EDATE($D53,Milestones!$AA$189),"dd mmm yy"))&amp;" "&amp;Milestones!$AB$189&amp;" "&amp;IF(AND(Milestones!$AB$189="FT",Milestones!$AA$189=FT_Y5,EDATE($D53,Milestones!$AA$189)&lt;PolicyEff),1,Milestones!$AC$189)&amp;";  ","")&amp;IF(AND(EDATE($D53,Milestones!$AA$190)&lt;=AsOfDate,EDATE($D53,Milestones!$AA$190)&gt;=SchemeStart,IF($X53=0,$AD53,IF(AND($Z53&lt;&gt;"",EDATE($D53,Milestones!$AA$190)&gt;=$Z53),$AC53,IF(AND($Y53&lt;&gt;"",EDATE($D53,Milestones!$AA$190)&gt;=$Y53),$AB53,$AA53)))=Milestones!$AB$190),UPPER(TEXT(EDATE($D53,Milestones!$AA$190),"dd mmm yy"))&amp;" "&amp;Milestones!$AB$190&amp;" "&amp;IF(AND(Milestones!$AB$190="FT",Milestones!$AA$190=FT_Y5,EDATE($D53,Milestones!$AA$190)&lt;PolicyEff),1,Milestones!$AC$190)&amp;";  ","")&amp;IF(AND(EDATE($D53,Milestones!$AA$191)&lt;=AsOfDate,EDATE($D53,Milestones!$AA$191)&gt;=SchemeStart,IF($X53=0,$AD53,IF(AND($Z53&lt;&gt;"",EDATE($D53,Milestones!$AA$191)&gt;=$Z53),$AC53,IF(AND($Y53&lt;&gt;"",EDATE($D53,Milestones!$AA$191)&gt;=$Y53),$AB53,$AA53)))=Milestones!$AB$191),UPPER(TEXT(EDATE($D53,Milestones!$AA$191),"dd mmm yy"))&amp;" "&amp;Milestones!$AB$191&amp;" "&amp;IF(AND(Milestones!$AB$191="FT",Milestones!$AA$191=FT_Y5,EDATE($D53,Milestones!$AA$191)&lt;PolicyEff),1,Milestones!$AC$191)&amp;";  ","")&amp;IF(AND(EDATE($D53,Milestones!$AA$192)&lt;=AsOfDate,EDATE($D53,Milestones!$AA$192)&gt;=SchemeStart,IF($X53=0,$AD53,IF(AND($Z53&lt;&gt;"",EDATE($D53,Milestones!$AA$192)&gt;=$Z53),$AC53,IF(AND($Y53&lt;&gt;"",EDATE($D53,Milestones!$AA$192)&gt;=$Y53),$AB53,$AA53)))=Milestones!$AB$192),UPPER(TEXT(EDATE($D53,Milestones!$AA$192),"dd mmm yy"))&amp;" "&amp;Milestones!$AB$192&amp;" "&amp;IF(AND(Milestones!$AB$192="FT",Milestones!$AA$192=FT_Y5,EDATE($D53,Milestones!$AA$192)&lt;PolicyEff),1,Milestones!$AC$192)&amp;";  ","")&amp;IF(AND(EDATE($D53,Milestones!$AA$193)&lt;=AsOfDate,EDATE($D53,Milestones!$AA$193)&gt;=SchemeStart,IF($X53=0,$AD53,IF(AND($Z53&lt;&gt;"",EDATE($D53,Milestones!$AA$193)&gt;=$Z53),$AC53,IF(AND($Y53&lt;&gt;"",EDATE($D53,Milestones!$AA$193)&gt;=$Y53),$AB53,$AA53)))=Milestones!$AB$193),UPPER(TEXT(EDATE($D53,Milestones!$AA$193),"dd mmm yy"))&amp;" "&amp;Milestones!$AB$193&amp;" "&amp;IF(AND(Milestones!$AB$193="FT",Milestones!$AA$193=FT_Y5,EDATE($D53,Milestones!$AA$193)&lt;PolicyEff),1,Milestones!$AC$193)&amp;";  ","")&amp;IF(AND(EDATE($D53,Milestones!$AA$194)&lt;=AsOfDate,EDATE($D53,Milestones!$AA$194)&gt;=SchemeStart,IF($X53=0,$AD53,IF(AND($Z53&lt;&gt;"",EDATE($D53,Milestones!$AA$194)&gt;=$Z53),$AC53,IF(AND($Y53&lt;&gt;"",EDATE($D53,Milestones!$AA$194)&gt;=$Y53),$AB53,$AA53)))=Milestones!$AB$194),UPPER(TEXT(EDATE($D53,Milestones!$AA$194),"dd mmm yy"))&amp;" "&amp;Milestones!$AB$194&amp;" "&amp;IF(AND(Milestones!$AB$194="FT",Milestones!$AA$194=FT_Y5,EDATE($D53,Milestones!$AA$194)&lt;PolicyEff),1,Milestones!$AC$194)&amp;";  ","")&amp;IF(AND(EDATE($D53,Milestones!$AA$195)&lt;=AsOfDate,EDATE($D53,Milestones!$AA$195)&gt;=SchemeStart,IF($X53=0,$AD53,IF(AND($Z53&lt;&gt;"",EDATE($D53,Milestones!$AA$195)&gt;=$Z53),$AC53,IF(AND($Y53&lt;&gt;"",EDATE($D53,Milestones!$AA$195)&gt;=$Y53),$AB53,$AA53)))=Milestones!$AB$195),UPPER(TEXT(EDATE($D53,Milestones!$AA$195),"dd mmm yy"))&amp;" "&amp;Milestones!$AB$195&amp;" "&amp;IF(AND(Milestones!$AB$195="FT",Milestones!$AA$195=FT_Y5,EDATE($D53,Milestones!$AA$195)&lt;PolicyEff),1,Milestones!$AC$195)&amp;";  ","")&amp;IF(AND(EDATE($D53,Milestones!$AA$196)&lt;=AsOfDate,EDATE($D53,Milestones!$AA$196)&gt;=SchemeStart,IF($X53=0,$AD53,IF(AND($Z53&lt;&gt;"",EDATE($D53,Milestones!$AA$196)&gt;=$Z53),$AC53,IF(AND($Y53&lt;&gt;"",EDATE($D53,Milestones!$AA$196)&gt;=$Y53),$AB53,$AA53)))=Milestones!$AB$196),UPPER(TEXT(EDATE($D53,Milestones!$AA$196),"dd mmm yy"))&amp;" "&amp;Milestones!$AB$196&amp;" "&amp;IF(AND(Milestones!$AB$196="FT",Milestones!$AA$196=FT_Y5,EDATE($D53,Milestones!$AA$196)&lt;PolicyEff),1,Milestones!$AC$196)&amp;";  ","")&amp;IF(AND(EDATE($D53,Milestones!$AA$197)&lt;=AsOfDate,EDATE($D53,Milestones!$AA$197)&gt;=SchemeStart,IF($X53=0,$AD53,IF(AND($Z53&lt;&gt;"",EDATE($D53,Milestones!$AA$197)&gt;=$Z53),$AC53,IF(AND($Y53&lt;&gt;"",EDATE($D53,Milestones!$AA$197)&gt;=$Y53),$AB53,$AA53)))=Milestones!$AB$197),UPPER(TEXT(EDATE($D53,Milestones!$AA$197),"dd mmm yy"))&amp;" "&amp;Milestones!$AB$197&amp;" "&amp;IF(AND(Milestones!$AB$197="FT",Milestones!$AA$197=FT_Y5,EDATE($D53,Milestones!$AA$197)&lt;PolicyEff),1,Milestones!$AC$197)&amp;";  ","")&amp;IF(AND(EDATE($D53,Milestones!$AA$198)&lt;=AsOfDate,EDATE($D53,Milestones!$AA$198)&gt;=SchemeStart,IF($X53=0,$AD53,IF(AND($Z53&lt;&gt;"",EDATE($D53,Milestones!$AA$198)&gt;=$Z53),$AC53,IF(AND($Y53&lt;&gt;"",EDATE($D53,Milestones!$AA$198)&gt;=$Y53),$AB53,$AA53)))=Milestones!$AB$198),UPPER(TEXT(EDATE($D53,Milestones!$AA$198),"dd mmm yy"))&amp;" "&amp;Milestones!$AB$198&amp;" "&amp;IF(AND(Milestones!$AB$198="FT",Milestones!$AA$198=FT_Y5,EDATE($D53,Milestones!$AA$198)&lt;PolicyEff),1,Milestones!$AC$198)&amp;";  ","")&amp;IF(AND(EDATE($D53,Milestones!$AA$199)&lt;=AsOfDate,EDATE($D53,Milestones!$AA$199)&gt;=SchemeStart,IF($X53=0,$AD53,IF(AND($Z53&lt;&gt;"",EDATE($D53,Milestones!$AA$199)&gt;=$Z53),$AC53,IF(AND($Y53&lt;&gt;"",EDATE($D53,Milestones!$AA$199)&gt;=$Y53),$AB53,$AA53)))=Milestones!$AB$199),UPPER(TEXT(EDATE($D53,Milestones!$AA$199),"dd mmm yy"))&amp;" "&amp;Milestones!$AB$199&amp;" "&amp;IF(AND(Milestones!$AB$199="FT",Milestones!$AA$199=FT_Y5,EDATE($D53,Milestones!$AA$199)&lt;PolicyEff),1,Milestones!$AC$199)&amp;";  ",""))</f>
        <v/>
      </c>
      <c r="X53" s="0" t="str">
        <f aca="false">IF(Staff!$A53="","",Staff!$AM53)</f>
        <v/>
      </c>
      <c r="Y53" s="0" t="str">
        <f aca="false">IF(Staff!$A53="","",Staff!$AO53)</f>
        <v/>
      </c>
      <c r="Z53" s="0" t="str">
        <f aca="false">IF(Staff!$A53="","",Staff!$AP53)</f>
        <v/>
      </c>
      <c r="AA53" s="0" t="str">
        <f aca="false">IF(Staff!$A53="","",Staff!$AT53)</f>
        <v/>
      </c>
      <c r="AB53" s="0" t="str">
        <f aca="false">IF(Staff!$A53="","",Staff!$AU53)</f>
        <v/>
      </c>
      <c r="AC53" s="0" t="str">
        <f aca="false">IF(Staff!$A53="","",Staff!$AV53)</f>
        <v/>
      </c>
      <c r="AD53" s="0" t="str">
        <f aca="false">IF(Staff!$A53="","",Staff!$AW53)</f>
        <v/>
      </c>
    </row>
    <row r="54" customFormat="false" ht="15" hidden="false" customHeight="false" outlineLevel="0" collapsed="false">
      <c r="A54" s="16" t="str">
        <f aca="false">IF(Staff!$A54="","",Staff!$A54)</f>
        <v/>
      </c>
      <c r="B54" s="16" t="str">
        <f aca="false">IF(Staff!$A54="","",Staff!$B54)</f>
        <v/>
      </c>
      <c r="C54" s="16" t="str">
        <f aca="false">IF(Staff!$A54="","",Staff!$C54)</f>
        <v/>
      </c>
      <c r="D54" s="14" t="str">
        <f aca="false">IF(Staff!$A54="","",Staff!$AL54)</f>
        <v/>
      </c>
      <c r="E54" s="16" t="str">
        <f aca="false">IF(Staff!$A54="","",Staff!$O54)</f>
        <v/>
      </c>
      <c r="F54" s="16" t="str">
        <f aca="false">IF(E54="","",E54*HoursPerDay)</f>
        <v/>
      </c>
      <c r="G54" s="16" t="str">
        <f aca="false">IF(Staff!$A54="","",Staff!$AE54)</f>
        <v/>
      </c>
      <c r="H54" s="28" t="str">
        <f aca="false">IF($A54="","",I54&amp;J54&amp;K54&amp;L54&amp;M54&amp;N54&amp;O54&amp;P54&amp;Q54&amp;R54&amp;S54&amp;T54&amp;U54&amp;V54&amp;W54)</f>
        <v/>
      </c>
      <c r="I54" s="0" t="str">
        <f aca="false">IF(OR($A54="",$D54=""),"",IF(AND(EDATE($D54,Milestones!$AA$20)&lt;=AsOfDate,EDATE($D54,Milestones!$AA$20)&gt;=SchemeStart,IF($X54=0,$AD54,IF(AND($Z54&lt;&gt;"",EDATE($D54,Milestones!$AA$20)&gt;=$Z54),$AC54,IF(AND($Y54&lt;&gt;"",EDATE($D54,Milestones!$AA$20)&gt;=$Y54),$AB54,$AA54)))=Milestones!$AB$20),UPPER(TEXT(EDATE($D54,Milestones!$AA$20),"dd mmm yy"))&amp;" "&amp;Milestones!$AB$20&amp;" "&amp;IF(AND(Milestones!$AB$20="FT",Milestones!$AA$20=FT_Y5,EDATE($D54,Milestones!$AA$20)&lt;PolicyEff),1,Milestones!$AC$20)&amp;";  ","")&amp;IF(AND(EDATE($D54,Milestones!$AA$21)&lt;=AsOfDate,EDATE($D54,Milestones!$AA$21)&gt;=SchemeStart,IF($X54=0,$AD54,IF(AND($Z54&lt;&gt;"",EDATE($D54,Milestones!$AA$21)&gt;=$Z54),$AC54,IF(AND($Y54&lt;&gt;"",EDATE($D54,Milestones!$AA$21)&gt;=$Y54),$AB54,$AA54)))=Milestones!$AB$21),UPPER(TEXT(EDATE($D54,Milestones!$AA$21),"dd mmm yy"))&amp;" "&amp;Milestones!$AB$21&amp;" "&amp;IF(AND(Milestones!$AB$21="FT",Milestones!$AA$21=FT_Y5,EDATE($D54,Milestones!$AA$21)&lt;PolicyEff),1,Milestones!$AC$21)&amp;";  ","")&amp;IF(AND(EDATE($D54,Milestones!$AA$22)&lt;=AsOfDate,EDATE($D54,Milestones!$AA$22)&gt;=SchemeStart,IF($X54=0,$AD54,IF(AND($Z54&lt;&gt;"",EDATE($D54,Milestones!$AA$22)&gt;=$Z54),$AC54,IF(AND($Y54&lt;&gt;"",EDATE($D54,Milestones!$AA$22)&gt;=$Y54),$AB54,$AA54)))=Milestones!$AB$22),UPPER(TEXT(EDATE($D54,Milestones!$AA$22),"dd mmm yy"))&amp;" "&amp;Milestones!$AB$22&amp;" "&amp;IF(AND(Milestones!$AB$22="FT",Milestones!$AA$22=FT_Y5,EDATE($D54,Milestones!$AA$22)&lt;PolicyEff),1,Milestones!$AC$22)&amp;";  ","")&amp;IF(AND(EDATE($D54,Milestones!$AA$23)&lt;=AsOfDate,EDATE($D54,Milestones!$AA$23)&gt;=SchemeStart,IF($X54=0,$AD54,IF(AND($Z54&lt;&gt;"",EDATE($D54,Milestones!$AA$23)&gt;=$Z54),$AC54,IF(AND($Y54&lt;&gt;"",EDATE($D54,Milestones!$AA$23)&gt;=$Y54),$AB54,$AA54)))=Milestones!$AB$23),UPPER(TEXT(EDATE($D54,Milestones!$AA$23),"dd mmm yy"))&amp;" "&amp;Milestones!$AB$23&amp;" "&amp;IF(AND(Milestones!$AB$23="FT",Milestones!$AA$23=FT_Y5,EDATE($D54,Milestones!$AA$23)&lt;PolicyEff),1,Milestones!$AC$23)&amp;";  ","")&amp;IF(AND(EDATE($D54,Milestones!$AA$24)&lt;=AsOfDate,EDATE($D54,Milestones!$AA$24)&gt;=SchemeStart,IF($X54=0,$AD54,IF(AND($Z54&lt;&gt;"",EDATE($D54,Milestones!$AA$24)&gt;=$Z54),$AC54,IF(AND($Y54&lt;&gt;"",EDATE($D54,Milestones!$AA$24)&gt;=$Y54),$AB54,$AA54)))=Milestones!$AB$24),UPPER(TEXT(EDATE($D54,Milestones!$AA$24),"dd mmm yy"))&amp;" "&amp;Milestones!$AB$24&amp;" "&amp;IF(AND(Milestones!$AB$24="FT",Milestones!$AA$24=FT_Y5,EDATE($D54,Milestones!$AA$24)&lt;PolicyEff),1,Milestones!$AC$24)&amp;";  ","")&amp;IF(AND(EDATE($D54,Milestones!$AA$25)&lt;=AsOfDate,EDATE($D54,Milestones!$AA$25)&gt;=SchemeStart,IF($X54=0,$AD54,IF(AND($Z54&lt;&gt;"",EDATE($D54,Milestones!$AA$25)&gt;=$Z54),$AC54,IF(AND($Y54&lt;&gt;"",EDATE($D54,Milestones!$AA$25)&gt;=$Y54),$AB54,$AA54)))=Milestones!$AB$25),UPPER(TEXT(EDATE($D54,Milestones!$AA$25),"dd mmm yy"))&amp;" "&amp;Milestones!$AB$25&amp;" "&amp;IF(AND(Milestones!$AB$25="FT",Milestones!$AA$25=FT_Y5,EDATE($D54,Milestones!$AA$25)&lt;PolicyEff),1,Milestones!$AC$25)&amp;";  ","")&amp;IF(AND(EDATE($D54,Milestones!$AA$26)&lt;=AsOfDate,EDATE($D54,Milestones!$AA$26)&gt;=SchemeStart,IF($X54=0,$AD54,IF(AND($Z54&lt;&gt;"",EDATE($D54,Milestones!$AA$26)&gt;=$Z54),$AC54,IF(AND($Y54&lt;&gt;"",EDATE($D54,Milestones!$AA$26)&gt;=$Y54),$AB54,$AA54)))=Milestones!$AB$26),UPPER(TEXT(EDATE($D54,Milestones!$AA$26),"dd mmm yy"))&amp;" "&amp;Milestones!$AB$26&amp;" "&amp;IF(AND(Milestones!$AB$26="FT",Milestones!$AA$26=FT_Y5,EDATE($D54,Milestones!$AA$26)&lt;PolicyEff),1,Milestones!$AC$26)&amp;";  ","")&amp;IF(AND(EDATE($D54,Milestones!$AA$27)&lt;=AsOfDate,EDATE($D54,Milestones!$AA$27)&gt;=SchemeStart,IF($X54=0,$AD54,IF(AND($Z54&lt;&gt;"",EDATE($D54,Milestones!$AA$27)&gt;=$Z54),$AC54,IF(AND($Y54&lt;&gt;"",EDATE($D54,Milestones!$AA$27)&gt;=$Y54),$AB54,$AA54)))=Milestones!$AB$27),UPPER(TEXT(EDATE($D54,Milestones!$AA$27),"dd mmm yy"))&amp;" "&amp;Milestones!$AB$27&amp;" "&amp;IF(AND(Milestones!$AB$27="FT",Milestones!$AA$27=FT_Y5,EDATE($D54,Milestones!$AA$27)&lt;PolicyEff),1,Milestones!$AC$27)&amp;";  ","")&amp;IF(AND(EDATE($D54,Milestones!$AA$28)&lt;=AsOfDate,EDATE($D54,Milestones!$AA$28)&gt;=SchemeStart,IF($X54=0,$AD54,IF(AND($Z54&lt;&gt;"",EDATE($D54,Milestones!$AA$28)&gt;=$Z54),$AC54,IF(AND($Y54&lt;&gt;"",EDATE($D54,Milestones!$AA$28)&gt;=$Y54),$AB54,$AA54)))=Milestones!$AB$28),UPPER(TEXT(EDATE($D54,Milestones!$AA$28),"dd mmm yy"))&amp;" "&amp;Milestones!$AB$28&amp;" "&amp;IF(AND(Milestones!$AB$28="FT",Milestones!$AA$28=FT_Y5,EDATE($D54,Milestones!$AA$28)&lt;PolicyEff),1,Milestones!$AC$28)&amp;";  ","")&amp;IF(AND(EDATE($D54,Milestones!$AA$29)&lt;=AsOfDate,EDATE($D54,Milestones!$AA$29)&gt;=SchemeStart,IF($X54=0,$AD54,IF(AND($Z54&lt;&gt;"",EDATE($D54,Milestones!$AA$29)&gt;=$Z54),$AC54,IF(AND($Y54&lt;&gt;"",EDATE($D54,Milestones!$AA$29)&gt;=$Y54),$AB54,$AA54)))=Milestones!$AB$29),UPPER(TEXT(EDATE($D54,Milestones!$AA$29),"dd mmm yy"))&amp;" "&amp;Milestones!$AB$29&amp;" "&amp;IF(AND(Milestones!$AB$29="FT",Milestones!$AA$29=FT_Y5,EDATE($D54,Milestones!$AA$29)&lt;PolicyEff),1,Milestones!$AC$29)&amp;";  ","")&amp;IF(AND(EDATE($D54,Milestones!$AA$30)&lt;=AsOfDate,EDATE($D54,Milestones!$AA$30)&gt;=SchemeStart,IF($X54=0,$AD54,IF(AND($Z54&lt;&gt;"",EDATE($D54,Milestones!$AA$30)&gt;=$Z54),$AC54,IF(AND($Y54&lt;&gt;"",EDATE($D54,Milestones!$AA$30)&gt;=$Y54),$AB54,$AA54)))=Milestones!$AB$30),UPPER(TEXT(EDATE($D54,Milestones!$AA$30),"dd mmm yy"))&amp;" "&amp;Milestones!$AB$30&amp;" "&amp;IF(AND(Milestones!$AB$30="FT",Milestones!$AA$30=FT_Y5,EDATE($D54,Milestones!$AA$30)&lt;PolicyEff),1,Milestones!$AC$30)&amp;";  ","")&amp;IF(AND(EDATE($D54,Milestones!$AA$31)&lt;=AsOfDate,EDATE($D54,Milestones!$AA$31)&gt;=SchemeStart,IF($X54=0,$AD54,IF(AND($Z54&lt;&gt;"",EDATE($D54,Milestones!$AA$31)&gt;=$Z54),$AC54,IF(AND($Y54&lt;&gt;"",EDATE($D54,Milestones!$AA$31)&gt;=$Y54),$AB54,$AA54)))=Milestones!$AB$31),UPPER(TEXT(EDATE($D54,Milestones!$AA$31),"dd mmm yy"))&amp;" "&amp;Milestones!$AB$31&amp;" "&amp;IF(AND(Milestones!$AB$31="FT",Milestones!$AA$31=FT_Y5,EDATE($D54,Milestones!$AA$31)&lt;PolicyEff),1,Milestones!$AC$31)&amp;";  ",""))</f>
        <v/>
      </c>
      <c r="J54" s="0" t="str">
        <f aca="false">IF(OR($A54="",$D54=""),"",IF(AND(EDATE($D54,Milestones!$AA$32)&lt;=AsOfDate,EDATE($D54,Milestones!$AA$32)&gt;=SchemeStart,IF($X54=0,$AD54,IF(AND($Z54&lt;&gt;"",EDATE($D54,Milestones!$AA$32)&gt;=$Z54),$AC54,IF(AND($Y54&lt;&gt;"",EDATE($D54,Milestones!$AA$32)&gt;=$Y54),$AB54,$AA54)))=Milestones!$AB$32),UPPER(TEXT(EDATE($D54,Milestones!$AA$32),"dd mmm yy"))&amp;" "&amp;Milestones!$AB$32&amp;" "&amp;IF(AND(Milestones!$AB$32="FT",Milestones!$AA$32=FT_Y5,EDATE($D54,Milestones!$AA$32)&lt;PolicyEff),1,Milestones!$AC$32)&amp;";  ","")&amp;IF(AND(EDATE($D54,Milestones!$AA$33)&lt;=AsOfDate,EDATE($D54,Milestones!$AA$33)&gt;=SchemeStart,IF($X54=0,$AD54,IF(AND($Z54&lt;&gt;"",EDATE($D54,Milestones!$AA$33)&gt;=$Z54),$AC54,IF(AND($Y54&lt;&gt;"",EDATE($D54,Milestones!$AA$33)&gt;=$Y54),$AB54,$AA54)))=Milestones!$AB$33),UPPER(TEXT(EDATE($D54,Milestones!$AA$33),"dd mmm yy"))&amp;" "&amp;Milestones!$AB$33&amp;" "&amp;IF(AND(Milestones!$AB$33="FT",Milestones!$AA$33=FT_Y5,EDATE($D54,Milestones!$AA$33)&lt;PolicyEff),1,Milestones!$AC$33)&amp;";  ","")&amp;IF(AND(EDATE($D54,Milestones!$AA$34)&lt;=AsOfDate,EDATE($D54,Milestones!$AA$34)&gt;=SchemeStart,IF($X54=0,$AD54,IF(AND($Z54&lt;&gt;"",EDATE($D54,Milestones!$AA$34)&gt;=$Z54),$AC54,IF(AND($Y54&lt;&gt;"",EDATE($D54,Milestones!$AA$34)&gt;=$Y54),$AB54,$AA54)))=Milestones!$AB$34),UPPER(TEXT(EDATE($D54,Milestones!$AA$34),"dd mmm yy"))&amp;" "&amp;Milestones!$AB$34&amp;" "&amp;IF(AND(Milestones!$AB$34="FT",Milestones!$AA$34=FT_Y5,EDATE($D54,Milestones!$AA$34)&lt;PolicyEff),1,Milestones!$AC$34)&amp;";  ","")&amp;IF(AND(EDATE($D54,Milestones!$AA$35)&lt;=AsOfDate,EDATE($D54,Milestones!$AA$35)&gt;=SchemeStart,IF($X54=0,$AD54,IF(AND($Z54&lt;&gt;"",EDATE($D54,Milestones!$AA$35)&gt;=$Z54),$AC54,IF(AND($Y54&lt;&gt;"",EDATE($D54,Milestones!$AA$35)&gt;=$Y54),$AB54,$AA54)))=Milestones!$AB$35),UPPER(TEXT(EDATE($D54,Milestones!$AA$35),"dd mmm yy"))&amp;" "&amp;Milestones!$AB$35&amp;" "&amp;IF(AND(Milestones!$AB$35="FT",Milestones!$AA$35=FT_Y5,EDATE($D54,Milestones!$AA$35)&lt;PolicyEff),1,Milestones!$AC$35)&amp;";  ","")&amp;IF(AND(EDATE($D54,Milestones!$AA$36)&lt;=AsOfDate,EDATE($D54,Milestones!$AA$36)&gt;=SchemeStart,IF($X54=0,$AD54,IF(AND($Z54&lt;&gt;"",EDATE($D54,Milestones!$AA$36)&gt;=$Z54),$AC54,IF(AND($Y54&lt;&gt;"",EDATE($D54,Milestones!$AA$36)&gt;=$Y54),$AB54,$AA54)))=Milestones!$AB$36),UPPER(TEXT(EDATE($D54,Milestones!$AA$36),"dd mmm yy"))&amp;" "&amp;Milestones!$AB$36&amp;" "&amp;IF(AND(Milestones!$AB$36="FT",Milestones!$AA$36=FT_Y5,EDATE($D54,Milestones!$AA$36)&lt;PolicyEff),1,Milestones!$AC$36)&amp;";  ","")&amp;IF(AND(EDATE($D54,Milestones!$AA$37)&lt;=AsOfDate,EDATE($D54,Milestones!$AA$37)&gt;=SchemeStart,IF($X54=0,$AD54,IF(AND($Z54&lt;&gt;"",EDATE($D54,Milestones!$AA$37)&gt;=$Z54),$AC54,IF(AND($Y54&lt;&gt;"",EDATE($D54,Milestones!$AA$37)&gt;=$Y54),$AB54,$AA54)))=Milestones!$AB$37),UPPER(TEXT(EDATE($D54,Milestones!$AA$37),"dd mmm yy"))&amp;" "&amp;Milestones!$AB$37&amp;" "&amp;IF(AND(Milestones!$AB$37="FT",Milestones!$AA$37=FT_Y5,EDATE($D54,Milestones!$AA$37)&lt;PolicyEff),1,Milestones!$AC$37)&amp;";  ","")&amp;IF(AND(EDATE($D54,Milestones!$AA$38)&lt;=AsOfDate,EDATE($D54,Milestones!$AA$38)&gt;=SchemeStart,IF($X54=0,$AD54,IF(AND($Z54&lt;&gt;"",EDATE($D54,Milestones!$AA$38)&gt;=$Z54),$AC54,IF(AND($Y54&lt;&gt;"",EDATE($D54,Milestones!$AA$38)&gt;=$Y54),$AB54,$AA54)))=Milestones!$AB$38),UPPER(TEXT(EDATE($D54,Milestones!$AA$38),"dd mmm yy"))&amp;" "&amp;Milestones!$AB$38&amp;" "&amp;IF(AND(Milestones!$AB$38="FT",Milestones!$AA$38=FT_Y5,EDATE($D54,Milestones!$AA$38)&lt;PolicyEff),1,Milestones!$AC$38)&amp;";  ","")&amp;IF(AND(EDATE($D54,Milestones!$AA$39)&lt;=AsOfDate,EDATE($D54,Milestones!$AA$39)&gt;=SchemeStart,IF($X54=0,$AD54,IF(AND($Z54&lt;&gt;"",EDATE($D54,Milestones!$AA$39)&gt;=$Z54),$AC54,IF(AND($Y54&lt;&gt;"",EDATE($D54,Milestones!$AA$39)&gt;=$Y54),$AB54,$AA54)))=Milestones!$AB$39),UPPER(TEXT(EDATE($D54,Milestones!$AA$39),"dd mmm yy"))&amp;" "&amp;Milestones!$AB$39&amp;" "&amp;IF(AND(Milestones!$AB$39="FT",Milestones!$AA$39=FT_Y5,EDATE($D54,Milestones!$AA$39)&lt;PolicyEff),1,Milestones!$AC$39)&amp;";  ","")&amp;IF(AND(EDATE($D54,Milestones!$AA$40)&lt;=AsOfDate,EDATE($D54,Milestones!$AA$40)&gt;=SchemeStart,IF($X54=0,$AD54,IF(AND($Z54&lt;&gt;"",EDATE($D54,Milestones!$AA$40)&gt;=$Z54),$AC54,IF(AND($Y54&lt;&gt;"",EDATE($D54,Milestones!$AA$40)&gt;=$Y54),$AB54,$AA54)))=Milestones!$AB$40),UPPER(TEXT(EDATE($D54,Milestones!$AA$40),"dd mmm yy"))&amp;" "&amp;Milestones!$AB$40&amp;" "&amp;IF(AND(Milestones!$AB$40="FT",Milestones!$AA$40=FT_Y5,EDATE($D54,Milestones!$AA$40)&lt;PolicyEff),1,Milestones!$AC$40)&amp;";  ","")&amp;IF(AND(EDATE($D54,Milestones!$AA$41)&lt;=AsOfDate,EDATE($D54,Milestones!$AA$41)&gt;=SchemeStart,IF($X54=0,$AD54,IF(AND($Z54&lt;&gt;"",EDATE($D54,Milestones!$AA$41)&gt;=$Z54),$AC54,IF(AND($Y54&lt;&gt;"",EDATE($D54,Milestones!$AA$41)&gt;=$Y54),$AB54,$AA54)))=Milestones!$AB$41),UPPER(TEXT(EDATE($D54,Milestones!$AA$41),"dd mmm yy"))&amp;" "&amp;Milestones!$AB$41&amp;" "&amp;IF(AND(Milestones!$AB$41="FT",Milestones!$AA$41=FT_Y5,EDATE($D54,Milestones!$AA$41)&lt;PolicyEff),1,Milestones!$AC$41)&amp;";  ","")&amp;IF(AND(EDATE($D54,Milestones!$AA$42)&lt;=AsOfDate,EDATE($D54,Milestones!$AA$42)&gt;=SchemeStart,IF($X54=0,$AD54,IF(AND($Z54&lt;&gt;"",EDATE($D54,Milestones!$AA$42)&gt;=$Z54),$AC54,IF(AND($Y54&lt;&gt;"",EDATE($D54,Milestones!$AA$42)&gt;=$Y54),$AB54,$AA54)))=Milestones!$AB$42),UPPER(TEXT(EDATE($D54,Milestones!$AA$42),"dd mmm yy"))&amp;" "&amp;Milestones!$AB$42&amp;" "&amp;IF(AND(Milestones!$AB$42="FT",Milestones!$AA$42=FT_Y5,EDATE($D54,Milestones!$AA$42)&lt;PolicyEff),1,Milestones!$AC$42)&amp;";  ","")&amp;IF(AND(EDATE($D54,Milestones!$AA$43)&lt;=AsOfDate,EDATE($D54,Milestones!$AA$43)&gt;=SchemeStart,IF($X54=0,$AD54,IF(AND($Z54&lt;&gt;"",EDATE($D54,Milestones!$AA$43)&gt;=$Z54),$AC54,IF(AND($Y54&lt;&gt;"",EDATE($D54,Milestones!$AA$43)&gt;=$Y54),$AB54,$AA54)))=Milestones!$AB$43),UPPER(TEXT(EDATE($D54,Milestones!$AA$43),"dd mmm yy"))&amp;" "&amp;Milestones!$AB$43&amp;" "&amp;IF(AND(Milestones!$AB$43="FT",Milestones!$AA$43=FT_Y5,EDATE($D54,Milestones!$AA$43)&lt;PolicyEff),1,Milestones!$AC$43)&amp;";  ",""))</f>
        <v/>
      </c>
      <c r="K54" s="0" t="str">
        <f aca="false">IF(OR($A54="",$D54=""),"",IF(AND(EDATE($D54,Milestones!$AA$44)&lt;=AsOfDate,EDATE($D54,Milestones!$AA$44)&gt;=SchemeStart,IF($X54=0,$AD54,IF(AND($Z54&lt;&gt;"",EDATE($D54,Milestones!$AA$44)&gt;=$Z54),$AC54,IF(AND($Y54&lt;&gt;"",EDATE($D54,Milestones!$AA$44)&gt;=$Y54),$AB54,$AA54)))=Milestones!$AB$44),UPPER(TEXT(EDATE($D54,Milestones!$AA$44),"dd mmm yy"))&amp;" "&amp;Milestones!$AB$44&amp;" "&amp;IF(AND(Milestones!$AB$44="FT",Milestones!$AA$44=FT_Y5,EDATE($D54,Milestones!$AA$44)&lt;PolicyEff),1,Milestones!$AC$44)&amp;";  ","")&amp;IF(AND(EDATE($D54,Milestones!$AA$45)&lt;=AsOfDate,EDATE($D54,Milestones!$AA$45)&gt;=SchemeStart,IF($X54=0,$AD54,IF(AND($Z54&lt;&gt;"",EDATE($D54,Milestones!$AA$45)&gt;=$Z54),$AC54,IF(AND($Y54&lt;&gt;"",EDATE($D54,Milestones!$AA$45)&gt;=$Y54),$AB54,$AA54)))=Milestones!$AB$45),UPPER(TEXT(EDATE($D54,Milestones!$AA$45),"dd mmm yy"))&amp;" "&amp;Milestones!$AB$45&amp;" "&amp;IF(AND(Milestones!$AB$45="FT",Milestones!$AA$45=FT_Y5,EDATE($D54,Milestones!$AA$45)&lt;PolicyEff),1,Milestones!$AC$45)&amp;";  ","")&amp;IF(AND(EDATE($D54,Milestones!$AA$46)&lt;=AsOfDate,EDATE($D54,Milestones!$AA$46)&gt;=SchemeStart,IF($X54=0,$AD54,IF(AND($Z54&lt;&gt;"",EDATE($D54,Milestones!$AA$46)&gt;=$Z54),$AC54,IF(AND($Y54&lt;&gt;"",EDATE($D54,Milestones!$AA$46)&gt;=$Y54),$AB54,$AA54)))=Milestones!$AB$46),UPPER(TEXT(EDATE($D54,Milestones!$AA$46),"dd mmm yy"))&amp;" "&amp;Milestones!$AB$46&amp;" "&amp;IF(AND(Milestones!$AB$46="FT",Milestones!$AA$46=FT_Y5,EDATE($D54,Milestones!$AA$46)&lt;PolicyEff),1,Milestones!$AC$46)&amp;";  ","")&amp;IF(AND(EDATE($D54,Milestones!$AA$47)&lt;=AsOfDate,EDATE($D54,Milestones!$AA$47)&gt;=SchemeStart,IF($X54=0,$AD54,IF(AND($Z54&lt;&gt;"",EDATE($D54,Milestones!$AA$47)&gt;=$Z54),$AC54,IF(AND($Y54&lt;&gt;"",EDATE($D54,Milestones!$AA$47)&gt;=$Y54),$AB54,$AA54)))=Milestones!$AB$47),UPPER(TEXT(EDATE($D54,Milestones!$AA$47),"dd mmm yy"))&amp;" "&amp;Milestones!$AB$47&amp;" "&amp;IF(AND(Milestones!$AB$47="FT",Milestones!$AA$47=FT_Y5,EDATE($D54,Milestones!$AA$47)&lt;PolicyEff),1,Milestones!$AC$47)&amp;";  ","")&amp;IF(AND(EDATE($D54,Milestones!$AA$48)&lt;=AsOfDate,EDATE($D54,Milestones!$AA$48)&gt;=SchemeStart,IF($X54=0,$AD54,IF(AND($Z54&lt;&gt;"",EDATE($D54,Milestones!$AA$48)&gt;=$Z54),$AC54,IF(AND($Y54&lt;&gt;"",EDATE($D54,Milestones!$AA$48)&gt;=$Y54),$AB54,$AA54)))=Milestones!$AB$48),UPPER(TEXT(EDATE($D54,Milestones!$AA$48),"dd mmm yy"))&amp;" "&amp;Milestones!$AB$48&amp;" "&amp;IF(AND(Milestones!$AB$48="FT",Milestones!$AA$48=FT_Y5,EDATE($D54,Milestones!$AA$48)&lt;PolicyEff),1,Milestones!$AC$48)&amp;";  ","")&amp;IF(AND(EDATE($D54,Milestones!$AA$49)&lt;=AsOfDate,EDATE($D54,Milestones!$AA$49)&gt;=SchemeStart,IF($X54=0,$AD54,IF(AND($Z54&lt;&gt;"",EDATE($D54,Milestones!$AA$49)&gt;=$Z54),$AC54,IF(AND($Y54&lt;&gt;"",EDATE($D54,Milestones!$AA$49)&gt;=$Y54),$AB54,$AA54)))=Milestones!$AB$49),UPPER(TEXT(EDATE($D54,Milestones!$AA$49),"dd mmm yy"))&amp;" "&amp;Milestones!$AB$49&amp;" "&amp;IF(AND(Milestones!$AB$49="FT",Milestones!$AA$49=FT_Y5,EDATE($D54,Milestones!$AA$49)&lt;PolicyEff),1,Milestones!$AC$49)&amp;";  ","")&amp;IF(AND(EDATE($D54,Milestones!$AA$50)&lt;=AsOfDate,EDATE($D54,Milestones!$AA$50)&gt;=SchemeStart,IF($X54=0,$AD54,IF(AND($Z54&lt;&gt;"",EDATE($D54,Milestones!$AA$50)&gt;=$Z54),$AC54,IF(AND($Y54&lt;&gt;"",EDATE($D54,Milestones!$AA$50)&gt;=$Y54),$AB54,$AA54)))=Milestones!$AB$50),UPPER(TEXT(EDATE($D54,Milestones!$AA$50),"dd mmm yy"))&amp;" "&amp;Milestones!$AB$50&amp;" "&amp;IF(AND(Milestones!$AB$50="FT",Milestones!$AA$50=FT_Y5,EDATE($D54,Milestones!$AA$50)&lt;PolicyEff),1,Milestones!$AC$50)&amp;";  ","")&amp;IF(AND(EDATE($D54,Milestones!$AA$51)&lt;=AsOfDate,EDATE($D54,Milestones!$AA$51)&gt;=SchemeStart,IF($X54=0,$AD54,IF(AND($Z54&lt;&gt;"",EDATE($D54,Milestones!$AA$51)&gt;=$Z54),$AC54,IF(AND($Y54&lt;&gt;"",EDATE($D54,Milestones!$AA$51)&gt;=$Y54),$AB54,$AA54)))=Milestones!$AB$51),UPPER(TEXT(EDATE($D54,Milestones!$AA$51),"dd mmm yy"))&amp;" "&amp;Milestones!$AB$51&amp;" "&amp;IF(AND(Milestones!$AB$51="FT",Milestones!$AA$51=FT_Y5,EDATE($D54,Milestones!$AA$51)&lt;PolicyEff),1,Milestones!$AC$51)&amp;";  ","")&amp;IF(AND(EDATE($D54,Milestones!$AA$52)&lt;=AsOfDate,EDATE($D54,Milestones!$AA$52)&gt;=SchemeStart,IF($X54=0,$AD54,IF(AND($Z54&lt;&gt;"",EDATE($D54,Milestones!$AA$52)&gt;=$Z54),$AC54,IF(AND($Y54&lt;&gt;"",EDATE($D54,Milestones!$AA$52)&gt;=$Y54),$AB54,$AA54)))=Milestones!$AB$52),UPPER(TEXT(EDATE($D54,Milestones!$AA$52),"dd mmm yy"))&amp;" "&amp;Milestones!$AB$52&amp;" "&amp;IF(AND(Milestones!$AB$52="FT",Milestones!$AA$52=FT_Y5,EDATE($D54,Milestones!$AA$52)&lt;PolicyEff),1,Milestones!$AC$52)&amp;";  ","")&amp;IF(AND(EDATE($D54,Milestones!$AA$53)&lt;=AsOfDate,EDATE($D54,Milestones!$AA$53)&gt;=SchemeStart,IF($X54=0,$AD54,IF(AND($Z54&lt;&gt;"",EDATE($D54,Milestones!$AA$53)&gt;=$Z54),$AC54,IF(AND($Y54&lt;&gt;"",EDATE($D54,Milestones!$AA$53)&gt;=$Y54),$AB54,$AA54)))=Milestones!$AB$53),UPPER(TEXT(EDATE($D54,Milestones!$AA$53),"dd mmm yy"))&amp;" "&amp;Milestones!$AB$53&amp;" "&amp;IF(AND(Milestones!$AB$53="FT",Milestones!$AA$53=FT_Y5,EDATE($D54,Milestones!$AA$53)&lt;PolicyEff),1,Milestones!$AC$53)&amp;";  ","")&amp;IF(AND(EDATE($D54,Milestones!$AA$54)&lt;=AsOfDate,EDATE($D54,Milestones!$AA$54)&gt;=SchemeStart,IF($X54=0,$AD54,IF(AND($Z54&lt;&gt;"",EDATE($D54,Milestones!$AA$54)&gt;=$Z54),$AC54,IF(AND($Y54&lt;&gt;"",EDATE($D54,Milestones!$AA$54)&gt;=$Y54),$AB54,$AA54)))=Milestones!$AB$54),UPPER(TEXT(EDATE($D54,Milestones!$AA$54),"dd mmm yy"))&amp;" "&amp;Milestones!$AB$54&amp;" "&amp;IF(AND(Milestones!$AB$54="FT",Milestones!$AA$54=FT_Y5,EDATE($D54,Milestones!$AA$54)&lt;PolicyEff),1,Milestones!$AC$54)&amp;";  ","")&amp;IF(AND(EDATE($D54,Milestones!$AA$55)&lt;=AsOfDate,EDATE($D54,Milestones!$AA$55)&gt;=SchemeStart,IF($X54=0,$AD54,IF(AND($Z54&lt;&gt;"",EDATE($D54,Milestones!$AA$55)&gt;=$Z54),$AC54,IF(AND($Y54&lt;&gt;"",EDATE($D54,Milestones!$AA$55)&gt;=$Y54),$AB54,$AA54)))=Milestones!$AB$55),UPPER(TEXT(EDATE($D54,Milestones!$AA$55),"dd mmm yy"))&amp;" "&amp;Milestones!$AB$55&amp;" "&amp;IF(AND(Milestones!$AB$55="FT",Milestones!$AA$55=FT_Y5,EDATE($D54,Milestones!$AA$55)&lt;PolicyEff),1,Milestones!$AC$55)&amp;";  ",""))</f>
        <v/>
      </c>
      <c r="L54" s="0" t="str">
        <f aca="false">IF(OR($A54="",$D54=""),"",IF(AND(EDATE($D54,Milestones!$AA$56)&lt;=AsOfDate,EDATE($D54,Milestones!$AA$56)&gt;=SchemeStart,IF($X54=0,$AD54,IF(AND($Z54&lt;&gt;"",EDATE($D54,Milestones!$AA$56)&gt;=$Z54),$AC54,IF(AND($Y54&lt;&gt;"",EDATE($D54,Milestones!$AA$56)&gt;=$Y54),$AB54,$AA54)))=Milestones!$AB$56),UPPER(TEXT(EDATE($D54,Milestones!$AA$56),"dd mmm yy"))&amp;" "&amp;Milestones!$AB$56&amp;" "&amp;IF(AND(Milestones!$AB$56="FT",Milestones!$AA$56=FT_Y5,EDATE($D54,Milestones!$AA$56)&lt;PolicyEff),1,Milestones!$AC$56)&amp;";  ","")&amp;IF(AND(EDATE($D54,Milestones!$AA$57)&lt;=AsOfDate,EDATE($D54,Milestones!$AA$57)&gt;=SchemeStart,IF($X54=0,$AD54,IF(AND($Z54&lt;&gt;"",EDATE($D54,Milestones!$AA$57)&gt;=$Z54),$AC54,IF(AND($Y54&lt;&gt;"",EDATE($D54,Milestones!$AA$57)&gt;=$Y54),$AB54,$AA54)))=Milestones!$AB$57),UPPER(TEXT(EDATE($D54,Milestones!$AA$57),"dd mmm yy"))&amp;" "&amp;Milestones!$AB$57&amp;" "&amp;IF(AND(Milestones!$AB$57="FT",Milestones!$AA$57=FT_Y5,EDATE($D54,Milestones!$AA$57)&lt;PolicyEff),1,Milestones!$AC$57)&amp;";  ","")&amp;IF(AND(EDATE($D54,Milestones!$AA$58)&lt;=AsOfDate,EDATE($D54,Milestones!$AA$58)&gt;=SchemeStart,IF($X54=0,$AD54,IF(AND($Z54&lt;&gt;"",EDATE($D54,Milestones!$AA$58)&gt;=$Z54),$AC54,IF(AND($Y54&lt;&gt;"",EDATE($D54,Milestones!$AA$58)&gt;=$Y54),$AB54,$AA54)))=Milestones!$AB$58),UPPER(TEXT(EDATE($D54,Milestones!$AA$58),"dd mmm yy"))&amp;" "&amp;Milestones!$AB$58&amp;" "&amp;IF(AND(Milestones!$AB$58="FT",Milestones!$AA$58=FT_Y5,EDATE($D54,Milestones!$AA$58)&lt;PolicyEff),1,Milestones!$AC$58)&amp;";  ","")&amp;IF(AND(EDATE($D54,Milestones!$AA$59)&lt;=AsOfDate,EDATE($D54,Milestones!$AA$59)&gt;=SchemeStart,IF($X54=0,$AD54,IF(AND($Z54&lt;&gt;"",EDATE($D54,Milestones!$AA$59)&gt;=$Z54),$AC54,IF(AND($Y54&lt;&gt;"",EDATE($D54,Milestones!$AA$59)&gt;=$Y54),$AB54,$AA54)))=Milestones!$AB$59),UPPER(TEXT(EDATE($D54,Milestones!$AA$59),"dd mmm yy"))&amp;" "&amp;Milestones!$AB$59&amp;" "&amp;IF(AND(Milestones!$AB$59="FT",Milestones!$AA$59=FT_Y5,EDATE($D54,Milestones!$AA$59)&lt;PolicyEff),1,Milestones!$AC$59)&amp;";  ","")&amp;IF(AND(EDATE($D54,Milestones!$AA$60)&lt;=AsOfDate,EDATE($D54,Milestones!$AA$60)&gt;=SchemeStart,IF($X54=0,$AD54,IF(AND($Z54&lt;&gt;"",EDATE($D54,Milestones!$AA$60)&gt;=$Z54),$AC54,IF(AND($Y54&lt;&gt;"",EDATE($D54,Milestones!$AA$60)&gt;=$Y54),$AB54,$AA54)))=Milestones!$AB$60),UPPER(TEXT(EDATE($D54,Milestones!$AA$60),"dd mmm yy"))&amp;" "&amp;Milestones!$AB$60&amp;" "&amp;IF(AND(Milestones!$AB$60="FT",Milestones!$AA$60=FT_Y5,EDATE($D54,Milestones!$AA$60)&lt;PolicyEff),1,Milestones!$AC$60)&amp;";  ","")&amp;IF(AND(EDATE($D54,Milestones!$AA$61)&lt;=AsOfDate,EDATE($D54,Milestones!$AA$61)&gt;=SchemeStart,IF($X54=0,$AD54,IF(AND($Z54&lt;&gt;"",EDATE($D54,Milestones!$AA$61)&gt;=$Z54),$AC54,IF(AND($Y54&lt;&gt;"",EDATE($D54,Milestones!$AA$61)&gt;=$Y54),$AB54,$AA54)))=Milestones!$AB$61),UPPER(TEXT(EDATE($D54,Milestones!$AA$61),"dd mmm yy"))&amp;" "&amp;Milestones!$AB$61&amp;" "&amp;IF(AND(Milestones!$AB$61="FT",Milestones!$AA$61=FT_Y5,EDATE($D54,Milestones!$AA$61)&lt;PolicyEff),1,Milestones!$AC$61)&amp;";  ","")&amp;IF(AND(EDATE($D54,Milestones!$AA$62)&lt;=AsOfDate,EDATE($D54,Milestones!$AA$62)&gt;=SchemeStart,IF($X54=0,$AD54,IF(AND($Z54&lt;&gt;"",EDATE($D54,Milestones!$AA$62)&gt;=$Z54),$AC54,IF(AND($Y54&lt;&gt;"",EDATE($D54,Milestones!$AA$62)&gt;=$Y54),$AB54,$AA54)))=Milestones!$AB$62),UPPER(TEXT(EDATE($D54,Milestones!$AA$62),"dd mmm yy"))&amp;" "&amp;Milestones!$AB$62&amp;" "&amp;IF(AND(Milestones!$AB$62="FT",Milestones!$AA$62=FT_Y5,EDATE($D54,Milestones!$AA$62)&lt;PolicyEff),1,Milestones!$AC$62)&amp;";  ","")&amp;IF(AND(EDATE($D54,Milestones!$AA$63)&lt;=AsOfDate,EDATE($D54,Milestones!$AA$63)&gt;=SchemeStart,IF($X54=0,$AD54,IF(AND($Z54&lt;&gt;"",EDATE($D54,Milestones!$AA$63)&gt;=$Z54),$AC54,IF(AND($Y54&lt;&gt;"",EDATE($D54,Milestones!$AA$63)&gt;=$Y54),$AB54,$AA54)))=Milestones!$AB$63),UPPER(TEXT(EDATE($D54,Milestones!$AA$63),"dd mmm yy"))&amp;" "&amp;Milestones!$AB$63&amp;" "&amp;IF(AND(Milestones!$AB$63="FT",Milestones!$AA$63=FT_Y5,EDATE($D54,Milestones!$AA$63)&lt;PolicyEff),1,Milestones!$AC$63)&amp;";  ","")&amp;IF(AND(EDATE($D54,Milestones!$AA$64)&lt;=AsOfDate,EDATE($D54,Milestones!$AA$64)&gt;=SchemeStart,IF($X54=0,$AD54,IF(AND($Z54&lt;&gt;"",EDATE($D54,Milestones!$AA$64)&gt;=$Z54),$AC54,IF(AND($Y54&lt;&gt;"",EDATE($D54,Milestones!$AA$64)&gt;=$Y54),$AB54,$AA54)))=Milestones!$AB$64),UPPER(TEXT(EDATE($D54,Milestones!$AA$64),"dd mmm yy"))&amp;" "&amp;Milestones!$AB$64&amp;" "&amp;IF(AND(Milestones!$AB$64="FT",Milestones!$AA$64=FT_Y5,EDATE($D54,Milestones!$AA$64)&lt;PolicyEff),1,Milestones!$AC$64)&amp;";  ","")&amp;IF(AND(EDATE($D54,Milestones!$AA$65)&lt;=AsOfDate,EDATE($D54,Milestones!$AA$65)&gt;=SchemeStart,IF($X54=0,$AD54,IF(AND($Z54&lt;&gt;"",EDATE($D54,Milestones!$AA$65)&gt;=$Z54),$AC54,IF(AND($Y54&lt;&gt;"",EDATE($D54,Milestones!$AA$65)&gt;=$Y54),$AB54,$AA54)))=Milestones!$AB$65),UPPER(TEXT(EDATE($D54,Milestones!$AA$65),"dd mmm yy"))&amp;" "&amp;Milestones!$AB$65&amp;" "&amp;IF(AND(Milestones!$AB$65="FT",Milestones!$AA$65=FT_Y5,EDATE($D54,Milestones!$AA$65)&lt;PolicyEff),1,Milestones!$AC$65)&amp;";  ","")&amp;IF(AND(EDATE($D54,Milestones!$AA$66)&lt;=AsOfDate,EDATE($D54,Milestones!$AA$66)&gt;=SchemeStart,IF($X54=0,$AD54,IF(AND($Z54&lt;&gt;"",EDATE($D54,Milestones!$AA$66)&gt;=$Z54),$AC54,IF(AND($Y54&lt;&gt;"",EDATE($D54,Milestones!$AA$66)&gt;=$Y54),$AB54,$AA54)))=Milestones!$AB$66),UPPER(TEXT(EDATE($D54,Milestones!$AA$66),"dd mmm yy"))&amp;" "&amp;Milestones!$AB$66&amp;" "&amp;IF(AND(Milestones!$AB$66="FT",Milestones!$AA$66=FT_Y5,EDATE($D54,Milestones!$AA$66)&lt;PolicyEff),1,Milestones!$AC$66)&amp;";  ","")&amp;IF(AND(EDATE($D54,Milestones!$AA$67)&lt;=AsOfDate,EDATE($D54,Milestones!$AA$67)&gt;=SchemeStart,IF($X54=0,$AD54,IF(AND($Z54&lt;&gt;"",EDATE($D54,Milestones!$AA$67)&gt;=$Z54),$AC54,IF(AND($Y54&lt;&gt;"",EDATE($D54,Milestones!$AA$67)&gt;=$Y54),$AB54,$AA54)))=Milestones!$AB$67),UPPER(TEXT(EDATE($D54,Milestones!$AA$67),"dd mmm yy"))&amp;" "&amp;Milestones!$AB$67&amp;" "&amp;IF(AND(Milestones!$AB$67="FT",Milestones!$AA$67=FT_Y5,EDATE($D54,Milestones!$AA$67)&lt;PolicyEff),1,Milestones!$AC$67)&amp;";  ",""))</f>
        <v/>
      </c>
      <c r="M54" s="0" t="str">
        <f aca="false">IF(OR($A54="",$D54=""),"",IF(AND(EDATE($D54,Milestones!$AA$68)&lt;=AsOfDate,EDATE($D54,Milestones!$AA$68)&gt;=SchemeStart,IF($X54=0,$AD54,IF(AND($Z54&lt;&gt;"",EDATE($D54,Milestones!$AA$68)&gt;=$Z54),$AC54,IF(AND($Y54&lt;&gt;"",EDATE($D54,Milestones!$AA$68)&gt;=$Y54),$AB54,$AA54)))=Milestones!$AB$68),UPPER(TEXT(EDATE($D54,Milestones!$AA$68),"dd mmm yy"))&amp;" "&amp;Milestones!$AB$68&amp;" "&amp;IF(AND(Milestones!$AB$68="FT",Milestones!$AA$68=FT_Y5,EDATE($D54,Milestones!$AA$68)&lt;PolicyEff),1,Milestones!$AC$68)&amp;";  ","")&amp;IF(AND(EDATE($D54,Milestones!$AA$69)&lt;=AsOfDate,EDATE($D54,Milestones!$AA$69)&gt;=SchemeStart,IF($X54=0,$AD54,IF(AND($Z54&lt;&gt;"",EDATE($D54,Milestones!$AA$69)&gt;=$Z54),$AC54,IF(AND($Y54&lt;&gt;"",EDATE($D54,Milestones!$AA$69)&gt;=$Y54),$AB54,$AA54)))=Milestones!$AB$69),UPPER(TEXT(EDATE($D54,Milestones!$AA$69),"dd mmm yy"))&amp;" "&amp;Milestones!$AB$69&amp;" "&amp;IF(AND(Milestones!$AB$69="FT",Milestones!$AA$69=FT_Y5,EDATE($D54,Milestones!$AA$69)&lt;PolicyEff),1,Milestones!$AC$69)&amp;";  ","")&amp;IF(AND(EDATE($D54,Milestones!$AA$70)&lt;=AsOfDate,EDATE($D54,Milestones!$AA$70)&gt;=SchemeStart,IF($X54=0,$AD54,IF(AND($Z54&lt;&gt;"",EDATE($D54,Milestones!$AA$70)&gt;=$Z54),$AC54,IF(AND($Y54&lt;&gt;"",EDATE($D54,Milestones!$AA$70)&gt;=$Y54),$AB54,$AA54)))=Milestones!$AB$70),UPPER(TEXT(EDATE($D54,Milestones!$AA$70),"dd mmm yy"))&amp;" "&amp;Milestones!$AB$70&amp;" "&amp;IF(AND(Milestones!$AB$70="FT",Milestones!$AA$70=FT_Y5,EDATE($D54,Milestones!$AA$70)&lt;PolicyEff),1,Milestones!$AC$70)&amp;";  ","")&amp;IF(AND(EDATE($D54,Milestones!$AA$71)&lt;=AsOfDate,EDATE($D54,Milestones!$AA$71)&gt;=SchemeStart,IF($X54=0,$AD54,IF(AND($Z54&lt;&gt;"",EDATE($D54,Milestones!$AA$71)&gt;=$Z54),$AC54,IF(AND($Y54&lt;&gt;"",EDATE($D54,Milestones!$AA$71)&gt;=$Y54),$AB54,$AA54)))=Milestones!$AB$71),UPPER(TEXT(EDATE($D54,Milestones!$AA$71),"dd mmm yy"))&amp;" "&amp;Milestones!$AB$71&amp;" "&amp;IF(AND(Milestones!$AB$71="FT",Milestones!$AA$71=FT_Y5,EDATE($D54,Milestones!$AA$71)&lt;PolicyEff),1,Milestones!$AC$71)&amp;";  ","")&amp;IF(AND(EDATE($D54,Milestones!$AA$72)&lt;=AsOfDate,EDATE($D54,Milestones!$AA$72)&gt;=SchemeStart,IF($X54=0,$AD54,IF(AND($Z54&lt;&gt;"",EDATE($D54,Milestones!$AA$72)&gt;=$Z54),$AC54,IF(AND($Y54&lt;&gt;"",EDATE($D54,Milestones!$AA$72)&gt;=$Y54),$AB54,$AA54)))=Milestones!$AB$72),UPPER(TEXT(EDATE($D54,Milestones!$AA$72),"dd mmm yy"))&amp;" "&amp;Milestones!$AB$72&amp;" "&amp;IF(AND(Milestones!$AB$72="FT",Milestones!$AA$72=FT_Y5,EDATE($D54,Milestones!$AA$72)&lt;PolicyEff),1,Milestones!$AC$72)&amp;";  ","")&amp;IF(AND(EDATE($D54,Milestones!$AA$73)&lt;=AsOfDate,EDATE($D54,Milestones!$AA$73)&gt;=SchemeStart,IF($X54=0,$AD54,IF(AND($Z54&lt;&gt;"",EDATE($D54,Milestones!$AA$73)&gt;=$Z54),$AC54,IF(AND($Y54&lt;&gt;"",EDATE($D54,Milestones!$AA$73)&gt;=$Y54),$AB54,$AA54)))=Milestones!$AB$73),UPPER(TEXT(EDATE($D54,Milestones!$AA$73),"dd mmm yy"))&amp;" "&amp;Milestones!$AB$73&amp;" "&amp;IF(AND(Milestones!$AB$73="FT",Milestones!$AA$73=FT_Y5,EDATE($D54,Milestones!$AA$73)&lt;PolicyEff),1,Milestones!$AC$73)&amp;";  ","")&amp;IF(AND(EDATE($D54,Milestones!$AA$74)&lt;=AsOfDate,EDATE($D54,Milestones!$AA$74)&gt;=SchemeStart,IF($X54=0,$AD54,IF(AND($Z54&lt;&gt;"",EDATE($D54,Milestones!$AA$74)&gt;=$Z54),$AC54,IF(AND($Y54&lt;&gt;"",EDATE($D54,Milestones!$AA$74)&gt;=$Y54),$AB54,$AA54)))=Milestones!$AB$74),UPPER(TEXT(EDATE($D54,Milestones!$AA$74),"dd mmm yy"))&amp;" "&amp;Milestones!$AB$74&amp;" "&amp;IF(AND(Milestones!$AB$74="FT",Milestones!$AA$74=FT_Y5,EDATE($D54,Milestones!$AA$74)&lt;PolicyEff),1,Milestones!$AC$74)&amp;";  ","")&amp;IF(AND(EDATE($D54,Milestones!$AA$75)&lt;=AsOfDate,EDATE($D54,Milestones!$AA$75)&gt;=SchemeStart,IF($X54=0,$AD54,IF(AND($Z54&lt;&gt;"",EDATE($D54,Milestones!$AA$75)&gt;=$Z54),$AC54,IF(AND($Y54&lt;&gt;"",EDATE($D54,Milestones!$AA$75)&gt;=$Y54),$AB54,$AA54)))=Milestones!$AB$75),UPPER(TEXT(EDATE($D54,Milestones!$AA$75),"dd mmm yy"))&amp;" "&amp;Milestones!$AB$75&amp;" "&amp;IF(AND(Milestones!$AB$75="FT",Milestones!$AA$75=FT_Y5,EDATE($D54,Milestones!$AA$75)&lt;PolicyEff),1,Milestones!$AC$75)&amp;";  ","")&amp;IF(AND(EDATE($D54,Milestones!$AA$76)&lt;=AsOfDate,EDATE($D54,Milestones!$AA$76)&gt;=SchemeStart,IF($X54=0,$AD54,IF(AND($Z54&lt;&gt;"",EDATE($D54,Milestones!$AA$76)&gt;=$Z54),$AC54,IF(AND($Y54&lt;&gt;"",EDATE($D54,Milestones!$AA$76)&gt;=$Y54),$AB54,$AA54)))=Milestones!$AB$76),UPPER(TEXT(EDATE($D54,Milestones!$AA$76),"dd mmm yy"))&amp;" "&amp;Milestones!$AB$76&amp;" "&amp;IF(AND(Milestones!$AB$76="FT",Milestones!$AA$76=FT_Y5,EDATE($D54,Milestones!$AA$76)&lt;PolicyEff),1,Milestones!$AC$76)&amp;";  ","")&amp;IF(AND(EDATE($D54,Milestones!$AA$77)&lt;=AsOfDate,EDATE($D54,Milestones!$AA$77)&gt;=SchemeStart,IF($X54=0,$AD54,IF(AND($Z54&lt;&gt;"",EDATE($D54,Milestones!$AA$77)&gt;=$Z54),$AC54,IF(AND($Y54&lt;&gt;"",EDATE($D54,Milestones!$AA$77)&gt;=$Y54),$AB54,$AA54)))=Milestones!$AB$77),UPPER(TEXT(EDATE($D54,Milestones!$AA$77),"dd mmm yy"))&amp;" "&amp;Milestones!$AB$77&amp;" "&amp;IF(AND(Milestones!$AB$77="FT",Milestones!$AA$77=FT_Y5,EDATE($D54,Milestones!$AA$77)&lt;PolicyEff),1,Milestones!$AC$77)&amp;";  ","")&amp;IF(AND(EDATE($D54,Milestones!$AA$78)&lt;=AsOfDate,EDATE($D54,Milestones!$AA$78)&gt;=SchemeStart,IF($X54=0,$AD54,IF(AND($Z54&lt;&gt;"",EDATE($D54,Milestones!$AA$78)&gt;=$Z54),$AC54,IF(AND($Y54&lt;&gt;"",EDATE($D54,Milestones!$AA$78)&gt;=$Y54),$AB54,$AA54)))=Milestones!$AB$78),UPPER(TEXT(EDATE($D54,Milestones!$AA$78),"dd mmm yy"))&amp;" "&amp;Milestones!$AB$78&amp;" "&amp;IF(AND(Milestones!$AB$78="FT",Milestones!$AA$78=FT_Y5,EDATE($D54,Milestones!$AA$78)&lt;PolicyEff),1,Milestones!$AC$78)&amp;";  ","")&amp;IF(AND(EDATE($D54,Milestones!$AA$79)&lt;=AsOfDate,EDATE($D54,Milestones!$AA$79)&gt;=SchemeStart,IF($X54=0,$AD54,IF(AND($Z54&lt;&gt;"",EDATE($D54,Milestones!$AA$79)&gt;=$Z54),$AC54,IF(AND($Y54&lt;&gt;"",EDATE($D54,Milestones!$AA$79)&gt;=$Y54),$AB54,$AA54)))=Milestones!$AB$79),UPPER(TEXT(EDATE($D54,Milestones!$AA$79),"dd mmm yy"))&amp;" "&amp;Milestones!$AB$79&amp;" "&amp;IF(AND(Milestones!$AB$79="FT",Milestones!$AA$79=FT_Y5,EDATE($D54,Milestones!$AA$79)&lt;PolicyEff),1,Milestones!$AC$79)&amp;";  ",""))</f>
        <v/>
      </c>
      <c r="N54" s="0" t="str">
        <f aca="false">IF(OR($A54="",$D54=""),"",IF(AND(EDATE($D54,Milestones!$AA$80)&lt;=AsOfDate,EDATE($D54,Milestones!$AA$80)&gt;=SchemeStart,IF($X54=0,$AD54,IF(AND($Z54&lt;&gt;"",EDATE($D54,Milestones!$AA$80)&gt;=$Z54),$AC54,IF(AND($Y54&lt;&gt;"",EDATE($D54,Milestones!$AA$80)&gt;=$Y54),$AB54,$AA54)))=Milestones!$AB$80),UPPER(TEXT(EDATE($D54,Milestones!$AA$80),"dd mmm yy"))&amp;" "&amp;Milestones!$AB$80&amp;" "&amp;IF(AND(Milestones!$AB$80="FT",Milestones!$AA$80=FT_Y5,EDATE($D54,Milestones!$AA$80)&lt;PolicyEff),1,Milestones!$AC$80)&amp;";  ","")&amp;IF(AND(EDATE($D54,Milestones!$AA$81)&lt;=AsOfDate,EDATE($D54,Milestones!$AA$81)&gt;=SchemeStart,IF($X54=0,$AD54,IF(AND($Z54&lt;&gt;"",EDATE($D54,Milestones!$AA$81)&gt;=$Z54),$AC54,IF(AND($Y54&lt;&gt;"",EDATE($D54,Milestones!$AA$81)&gt;=$Y54),$AB54,$AA54)))=Milestones!$AB$81),UPPER(TEXT(EDATE($D54,Milestones!$AA$81),"dd mmm yy"))&amp;" "&amp;Milestones!$AB$81&amp;" "&amp;IF(AND(Milestones!$AB$81="FT",Milestones!$AA$81=FT_Y5,EDATE($D54,Milestones!$AA$81)&lt;PolicyEff),1,Milestones!$AC$81)&amp;";  ","")&amp;IF(AND(EDATE($D54,Milestones!$AA$82)&lt;=AsOfDate,EDATE($D54,Milestones!$AA$82)&gt;=SchemeStart,IF($X54=0,$AD54,IF(AND($Z54&lt;&gt;"",EDATE($D54,Milestones!$AA$82)&gt;=$Z54),$AC54,IF(AND($Y54&lt;&gt;"",EDATE($D54,Milestones!$AA$82)&gt;=$Y54),$AB54,$AA54)))=Milestones!$AB$82),UPPER(TEXT(EDATE($D54,Milestones!$AA$82),"dd mmm yy"))&amp;" "&amp;Milestones!$AB$82&amp;" "&amp;IF(AND(Milestones!$AB$82="FT",Milestones!$AA$82=FT_Y5,EDATE($D54,Milestones!$AA$82)&lt;PolicyEff),1,Milestones!$AC$82)&amp;";  ","")&amp;IF(AND(EDATE($D54,Milestones!$AA$83)&lt;=AsOfDate,EDATE($D54,Milestones!$AA$83)&gt;=SchemeStart,IF($X54=0,$AD54,IF(AND($Z54&lt;&gt;"",EDATE($D54,Milestones!$AA$83)&gt;=$Z54),$AC54,IF(AND($Y54&lt;&gt;"",EDATE($D54,Milestones!$AA$83)&gt;=$Y54),$AB54,$AA54)))=Milestones!$AB$83),UPPER(TEXT(EDATE($D54,Milestones!$AA$83),"dd mmm yy"))&amp;" "&amp;Milestones!$AB$83&amp;" "&amp;IF(AND(Milestones!$AB$83="FT",Milestones!$AA$83=FT_Y5,EDATE($D54,Milestones!$AA$83)&lt;PolicyEff),1,Milestones!$AC$83)&amp;";  ","")&amp;IF(AND(EDATE($D54,Milestones!$AA$84)&lt;=AsOfDate,EDATE($D54,Milestones!$AA$84)&gt;=SchemeStart,IF($X54=0,$AD54,IF(AND($Z54&lt;&gt;"",EDATE($D54,Milestones!$AA$84)&gt;=$Z54),$AC54,IF(AND($Y54&lt;&gt;"",EDATE($D54,Milestones!$AA$84)&gt;=$Y54),$AB54,$AA54)))=Milestones!$AB$84),UPPER(TEXT(EDATE($D54,Milestones!$AA$84),"dd mmm yy"))&amp;" "&amp;Milestones!$AB$84&amp;" "&amp;IF(AND(Milestones!$AB$84="FT",Milestones!$AA$84=FT_Y5,EDATE($D54,Milestones!$AA$84)&lt;PolicyEff),1,Milestones!$AC$84)&amp;";  ","")&amp;IF(AND(EDATE($D54,Milestones!$AA$85)&lt;=AsOfDate,EDATE($D54,Milestones!$AA$85)&gt;=SchemeStart,IF($X54=0,$AD54,IF(AND($Z54&lt;&gt;"",EDATE($D54,Milestones!$AA$85)&gt;=$Z54),$AC54,IF(AND($Y54&lt;&gt;"",EDATE($D54,Milestones!$AA$85)&gt;=$Y54),$AB54,$AA54)))=Milestones!$AB$85),UPPER(TEXT(EDATE($D54,Milestones!$AA$85),"dd mmm yy"))&amp;" "&amp;Milestones!$AB$85&amp;" "&amp;IF(AND(Milestones!$AB$85="FT",Milestones!$AA$85=FT_Y5,EDATE($D54,Milestones!$AA$85)&lt;PolicyEff),1,Milestones!$AC$85)&amp;";  ","")&amp;IF(AND(EDATE($D54,Milestones!$AA$86)&lt;=AsOfDate,EDATE($D54,Milestones!$AA$86)&gt;=SchemeStart,IF($X54=0,$AD54,IF(AND($Z54&lt;&gt;"",EDATE($D54,Milestones!$AA$86)&gt;=$Z54),$AC54,IF(AND($Y54&lt;&gt;"",EDATE($D54,Milestones!$AA$86)&gt;=$Y54),$AB54,$AA54)))=Milestones!$AB$86),UPPER(TEXT(EDATE($D54,Milestones!$AA$86),"dd mmm yy"))&amp;" "&amp;Milestones!$AB$86&amp;" "&amp;IF(AND(Milestones!$AB$86="FT",Milestones!$AA$86=FT_Y5,EDATE($D54,Milestones!$AA$86)&lt;PolicyEff),1,Milestones!$AC$86)&amp;";  ","")&amp;IF(AND(EDATE($D54,Milestones!$AA$87)&lt;=AsOfDate,EDATE($D54,Milestones!$AA$87)&gt;=SchemeStart,IF($X54=0,$AD54,IF(AND($Z54&lt;&gt;"",EDATE($D54,Milestones!$AA$87)&gt;=$Z54),$AC54,IF(AND($Y54&lt;&gt;"",EDATE($D54,Milestones!$AA$87)&gt;=$Y54),$AB54,$AA54)))=Milestones!$AB$87),UPPER(TEXT(EDATE($D54,Milestones!$AA$87),"dd mmm yy"))&amp;" "&amp;Milestones!$AB$87&amp;" "&amp;IF(AND(Milestones!$AB$87="FT",Milestones!$AA$87=FT_Y5,EDATE($D54,Milestones!$AA$87)&lt;PolicyEff),1,Milestones!$AC$87)&amp;";  ","")&amp;IF(AND(EDATE($D54,Milestones!$AA$88)&lt;=AsOfDate,EDATE($D54,Milestones!$AA$88)&gt;=SchemeStart,IF($X54=0,$AD54,IF(AND($Z54&lt;&gt;"",EDATE($D54,Milestones!$AA$88)&gt;=$Z54),$AC54,IF(AND($Y54&lt;&gt;"",EDATE($D54,Milestones!$AA$88)&gt;=$Y54),$AB54,$AA54)))=Milestones!$AB$88),UPPER(TEXT(EDATE($D54,Milestones!$AA$88),"dd mmm yy"))&amp;" "&amp;Milestones!$AB$88&amp;" "&amp;IF(AND(Milestones!$AB$88="FT",Milestones!$AA$88=FT_Y5,EDATE($D54,Milestones!$AA$88)&lt;PolicyEff),1,Milestones!$AC$88)&amp;";  ","")&amp;IF(AND(EDATE($D54,Milestones!$AA$89)&lt;=AsOfDate,EDATE($D54,Milestones!$AA$89)&gt;=SchemeStart,IF($X54=0,$AD54,IF(AND($Z54&lt;&gt;"",EDATE($D54,Milestones!$AA$89)&gt;=$Z54),$AC54,IF(AND($Y54&lt;&gt;"",EDATE($D54,Milestones!$AA$89)&gt;=$Y54),$AB54,$AA54)))=Milestones!$AB$89),UPPER(TEXT(EDATE($D54,Milestones!$AA$89),"dd mmm yy"))&amp;" "&amp;Milestones!$AB$89&amp;" "&amp;IF(AND(Milestones!$AB$89="FT",Milestones!$AA$89=FT_Y5,EDATE($D54,Milestones!$AA$89)&lt;PolicyEff),1,Milestones!$AC$89)&amp;";  ","")&amp;IF(AND(EDATE($D54,Milestones!$AA$90)&lt;=AsOfDate,EDATE($D54,Milestones!$AA$90)&gt;=SchemeStart,IF($X54=0,$AD54,IF(AND($Z54&lt;&gt;"",EDATE($D54,Milestones!$AA$90)&gt;=$Z54),$AC54,IF(AND($Y54&lt;&gt;"",EDATE($D54,Milestones!$AA$90)&gt;=$Y54),$AB54,$AA54)))=Milestones!$AB$90),UPPER(TEXT(EDATE($D54,Milestones!$AA$90),"dd mmm yy"))&amp;" "&amp;Milestones!$AB$90&amp;" "&amp;IF(AND(Milestones!$AB$90="FT",Milestones!$AA$90=FT_Y5,EDATE($D54,Milestones!$AA$90)&lt;PolicyEff),1,Milestones!$AC$90)&amp;";  ","")&amp;IF(AND(EDATE($D54,Milestones!$AA$91)&lt;=AsOfDate,EDATE($D54,Milestones!$AA$91)&gt;=SchemeStart,IF($X54=0,$AD54,IF(AND($Z54&lt;&gt;"",EDATE($D54,Milestones!$AA$91)&gt;=$Z54),$AC54,IF(AND($Y54&lt;&gt;"",EDATE($D54,Milestones!$AA$91)&gt;=$Y54),$AB54,$AA54)))=Milestones!$AB$91),UPPER(TEXT(EDATE($D54,Milestones!$AA$91),"dd mmm yy"))&amp;" "&amp;Milestones!$AB$91&amp;" "&amp;IF(AND(Milestones!$AB$91="FT",Milestones!$AA$91=FT_Y5,EDATE($D54,Milestones!$AA$91)&lt;PolicyEff),1,Milestones!$AC$91)&amp;";  ",""))</f>
        <v/>
      </c>
      <c r="O54" s="0" t="str">
        <f aca="false">IF(OR($A54="",$D54=""),"",IF(AND(EDATE($D54,Milestones!$AA$92)&lt;=AsOfDate,EDATE($D54,Milestones!$AA$92)&gt;=SchemeStart,IF($X54=0,$AD54,IF(AND($Z54&lt;&gt;"",EDATE($D54,Milestones!$AA$92)&gt;=$Z54),$AC54,IF(AND($Y54&lt;&gt;"",EDATE($D54,Milestones!$AA$92)&gt;=$Y54),$AB54,$AA54)))=Milestones!$AB$92),UPPER(TEXT(EDATE($D54,Milestones!$AA$92),"dd mmm yy"))&amp;" "&amp;Milestones!$AB$92&amp;" "&amp;IF(AND(Milestones!$AB$92="FT",Milestones!$AA$92=FT_Y5,EDATE($D54,Milestones!$AA$92)&lt;PolicyEff),1,Milestones!$AC$92)&amp;";  ","")&amp;IF(AND(EDATE($D54,Milestones!$AA$93)&lt;=AsOfDate,EDATE($D54,Milestones!$AA$93)&gt;=SchemeStart,IF($X54=0,$AD54,IF(AND($Z54&lt;&gt;"",EDATE($D54,Milestones!$AA$93)&gt;=$Z54),$AC54,IF(AND($Y54&lt;&gt;"",EDATE($D54,Milestones!$AA$93)&gt;=$Y54),$AB54,$AA54)))=Milestones!$AB$93),UPPER(TEXT(EDATE($D54,Milestones!$AA$93),"dd mmm yy"))&amp;" "&amp;Milestones!$AB$93&amp;" "&amp;IF(AND(Milestones!$AB$93="FT",Milestones!$AA$93=FT_Y5,EDATE($D54,Milestones!$AA$93)&lt;PolicyEff),1,Milestones!$AC$93)&amp;";  ","")&amp;IF(AND(EDATE($D54,Milestones!$AA$94)&lt;=AsOfDate,EDATE($D54,Milestones!$AA$94)&gt;=SchemeStart,IF($X54=0,$AD54,IF(AND($Z54&lt;&gt;"",EDATE($D54,Milestones!$AA$94)&gt;=$Z54),$AC54,IF(AND($Y54&lt;&gt;"",EDATE($D54,Milestones!$AA$94)&gt;=$Y54),$AB54,$AA54)))=Milestones!$AB$94),UPPER(TEXT(EDATE($D54,Milestones!$AA$94),"dd mmm yy"))&amp;" "&amp;Milestones!$AB$94&amp;" "&amp;IF(AND(Milestones!$AB$94="FT",Milestones!$AA$94=FT_Y5,EDATE($D54,Milestones!$AA$94)&lt;PolicyEff),1,Milestones!$AC$94)&amp;";  ","")&amp;IF(AND(EDATE($D54,Milestones!$AA$95)&lt;=AsOfDate,EDATE($D54,Milestones!$AA$95)&gt;=SchemeStart,IF($X54=0,$AD54,IF(AND($Z54&lt;&gt;"",EDATE($D54,Milestones!$AA$95)&gt;=$Z54),$AC54,IF(AND($Y54&lt;&gt;"",EDATE($D54,Milestones!$AA$95)&gt;=$Y54),$AB54,$AA54)))=Milestones!$AB$95),UPPER(TEXT(EDATE($D54,Milestones!$AA$95),"dd mmm yy"))&amp;" "&amp;Milestones!$AB$95&amp;" "&amp;IF(AND(Milestones!$AB$95="FT",Milestones!$AA$95=FT_Y5,EDATE($D54,Milestones!$AA$95)&lt;PolicyEff),1,Milestones!$AC$95)&amp;";  ","")&amp;IF(AND(EDATE($D54,Milestones!$AA$96)&lt;=AsOfDate,EDATE($D54,Milestones!$AA$96)&gt;=SchemeStart,IF($X54=0,$AD54,IF(AND($Z54&lt;&gt;"",EDATE($D54,Milestones!$AA$96)&gt;=$Z54),$AC54,IF(AND($Y54&lt;&gt;"",EDATE($D54,Milestones!$AA$96)&gt;=$Y54),$AB54,$AA54)))=Milestones!$AB$96),UPPER(TEXT(EDATE($D54,Milestones!$AA$96),"dd mmm yy"))&amp;" "&amp;Milestones!$AB$96&amp;" "&amp;IF(AND(Milestones!$AB$96="FT",Milestones!$AA$96=FT_Y5,EDATE($D54,Milestones!$AA$96)&lt;PolicyEff),1,Milestones!$AC$96)&amp;";  ","")&amp;IF(AND(EDATE($D54,Milestones!$AA$97)&lt;=AsOfDate,EDATE($D54,Milestones!$AA$97)&gt;=SchemeStart,IF($X54=0,$AD54,IF(AND($Z54&lt;&gt;"",EDATE($D54,Milestones!$AA$97)&gt;=$Z54),$AC54,IF(AND($Y54&lt;&gt;"",EDATE($D54,Milestones!$AA$97)&gt;=$Y54),$AB54,$AA54)))=Milestones!$AB$97),UPPER(TEXT(EDATE($D54,Milestones!$AA$97),"dd mmm yy"))&amp;" "&amp;Milestones!$AB$97&amp;" "&amp;IF(AND(Milestones!$AB$97="FT",Milestones!$AA$97=FT_Y5,EDATE($D54,Milestones!$AA$97)&lt;PolicyEff),1,Milestones!$AC$97)&amp;";  ","")&amp;IF(AND(EDATE($D54,Milestones!$AA$98)&lt;=AsOfDate,EDATE($D54,Milestones!$AA$98)&gt;=SchemeStart,IF($X54=0,$AD54,IF(AND($Z54&lt;&gt;"",EDATE($D54,Milestones!$AA$98)&gt;=$Z54),$AC54,IF(AND($Y54&lt;&gt;"",EDATE($D54,Milestones!$AA$98)&gt;=$Y54),$AB54,$AA54)))=Milestones!$AB$98),UPPER(TEXT(EDATE($D54,Milestones!$AA$98),"dd mmm yy"))&amp;" "&amp;Milestones!$AB$98&amp;" "&amp;IF(AND(Milestones!$AB$98="FT",Milestones!$AA$98=FT_Y5,EDATE($D54,Milestones!$AA$98)&lt;PolicyEff),1,Milestones!$AC$98)&amp;";  ","")&amp;IF(AND(EDATE($D54,Milestones!$AA$99)&lt;=AsOfDate,EDATE($D54,Milestones!$AA$99)&gt;=SchemeStart,IF($X54=0,$AD54,IF(AND($Z54&lt;&gt;"",EDATE($D54,Milestones!$AA$99)&gt;=$Z54),$AC54,IF(AND($Y54&lt;&gt;"",EDATE($D54,Milestones!$AA$99)&gt;=$Y54),$AB54,$AA54)))=Milestones!$AB$99),UPPER(TEXT(EDATE($D54,Milestones!$AA$99),"dd mmm yy"))&amp;" "&amp;Milestones!$AB$99&amp;" "&amp;IF(AND(Milestones!$AB$99="FT",Milestones!$AA$99=FT_Y5,EDATE($D54,Milestones!$AA$99)&lt;PolicyEff),1,Milestones!$AC$99)&amp;";  ","")&amp;IF(AND(EDATE($D54,Milestones!$AA$100)&lt;=AsOfDate,EDATE($D54,Milestones!$AA$100)&gt;=SchemeStart,IF($X54=0,$AD54,IF(AND($Z54&lt;&gt;"",EDATE($D54,Milestones!$AA$100)&gt;=$Z54),$AC54,IF(AND($Y54&lt;&gt;"",EDATE($D54,Milestones!$AA$100)&gt;=$Y54),$AB54,$AA54)))=Milestones!$AB$100),UPPER(TEXT(EDATE($D54,Milestones!$AA$100),"dd mmm yy"))&amp;" "&amp;Milestones!$AB$100&amp;" "&amp;IF(AND(Milestones!$AB$100="FT",Milestones!$AA$100=FT_Y5,EDATE($D54,Milestones!$AA$100)&lt;PolicyEff),1,Milestones!$AC$100)&amp;";  ","")&amp;IF(AND(EDATE($D54,Milestones!$AA$101)&lt;=AsOfDate,EDATE($D54,Milestones!$AA$101)&gt;=SchemeStart,IF($X54=0,$AD54,IF(AND($Z54&lt;&gt;"",EDATE($D54,Milestones!$AA$101)&gt;=$Z54),$AC54,IF(AND($Y54&lt;&gt;"",EDATE($D54,Milestones!$AA$101)&gt;=$Y54),$AB54,$AA54)))=Milestones!$AB$101),UPPER(TEXT(EDATE($D54,Milestones!$AA$101),"dd mmm yy"))&amp;" "&amp;Milestones!$AB$101&amp;" "&amp;IF(AND(Milestones!$AB$101="FT",Milestones!$AA$101=FT_Y5,EDATE($D54,Milestones!$AA$101)&lt;PolicyEff),1,Milestones!$AC$101)&amp;";  ","")&amp;IF(AND(EDATE($D54,Milestones!$AA$102)&lt;=AsOfDate,EDATE($D54,Milestones!$AA$102)&gt;=SchemeStart,IF($X54=0,$AD54,IF(AND($Z54&lt;&gt;"",EDATE($D54,Milestones!$AA$102)&gt;=$Z54),$AC54,IF(AND($Y54&lt;&gt;"",EDATE($D54,Milestones!$AA$102)&gt;=$Y54),$AB54,$AA54)))=Milestones!$AB$102),UPPER(TEXT(EDATE($D54,Milestones!$AA$102),"dd mmm yy"))&amp;" "&amp;Milestones!$AB$102&amp;" "&amp;IF(AND(Milestones!$AB$102="FT",Milestones!$AA$102=FT_Y5,EDATE($D54,Milestones!$AA$102)&lt;PolicyEff),1,Milestones!$AC$102)&amp;";  ","")&amp;IF(AND(EDATE($D54,Milestones!$AA$103)&lt;=AsOfDate,EDATE($D54,Milestones!$AA$103)&gt;=SchemeStart,IF($X54=0,$AD54,IF(AND($Z54&lt;&gt;"",EDATE($D54,Milestones!$AA$103)&gt;=$Z54),$AC54,IF(AND($Y54&lt;&gt;"",EDATE($D54,Milestones!$AA$103)&gt;=$Y54),$AB54,$AA54)))=Milestones!$AB$103),UPPER(TEXT(EDATE($D54,Milestones!$AA$103),"dd mmm yy"))&amp;" "&amp;Milestones!$AB$103&amp;" "&amp;IF(AND(Milestones!$AB$103="FT",Milestones!$AA$103=FT_Y5,EDATE($D54,Milestones!$AA$103)&lt;PolicyEff),1,Milestones!$AC$103)&amp;";  ",""))</f>
        <v/>
      </c>
      <c r="P54" s="0" t="str">
        <f aca="false">IF(OR($A54="",$D54=""),"",IF(AND(EDATE($D54,Milestones!$AA$104)&lt;=AsOfDate,EDATE($D54,Milestones!$AA$104)&gt;=SchemeStart,IF($X54=0,$AD54,IF(AND($Z54&lt;&gt;"",EDATE($D54,Milestones!$AA$104)&gt;=$Z54),$AC54,IF(AND($Y54&lt;&gt;"",EDATE($D54,Milestones!$AA$104)&gt;=$Y54),$AB54,$AA54)))=Milestones!$AB$104),UPPER(TEXT(EDATE($D54,Milestones!$AA$104),"dd mmm yy"))&amp;" "&amp;Milestones!$AB$104&amp;" "&amp;IF(AND(Milestones!$AB$104="FT",Milestones!$AA$104=FT_Y5,EDATE($D54,Milestones!$AA$104)&lt;PolicyEff),1,Milestones!$AC$104)&amp;";  ","")&amp;IF(AND(EDATE($D54,Milestones!$AA$105)&lt;=AsOfDate,EDATE($D54,Milestones!$AA$105)&gt;=SchemeStart,IF($X54=0,$AD54,IF(AND($Z54&lt;&gt;"",EDATE($D54,Milestones!$AA$105)&gt;=$Z54),$AC54,IF(AND($Y54&lt;&gt;"",EDATE($D54,Milestones!$AA$105)&gt;=$Y54),$AB54,$AA54)))=Milestones!$AB$105),UPPER(TEXT(EDATE($D54,Milestones!$AA$105),"dd mmm yy"))&amp;" "&amp;Milestones!$AB$105&amp;" "&amp;IF(AND(Milestones!$AB$105="FT",Milestones!$AA$105=FT_Y5,EDATE($D54,Milestones!$AA$105)&lt;PolicyEff),1,Milestones!$AC$105)&amp;";  ","")&amp;IF(AND(EDATE($D54,Milestones!$AA$106)&lt;=AsOfDate,EDATE($D54,Milestones!$AA$106)&gt;=SchemeStart,IF($X54=0,$AD54,IF(AND($Z54&lt;&gt;"",EDATE($D54,Milestones!$AA$106)&gt;=$Z54),$AC54,IF(AND($Y54&lt;&gt;"",EDATE($D54,Milestones!$AA$106)&gt;=$Y54),$AB54,$AA54)))=Milestones!$AB$106),UPPER(TEXT(EDATE($D54,Milestones!$AA$106),"dd mmm yy"))&amp;" "&amp;Milestones!$AB$106&amp;" "&amp;IF(AND(Milestones!$AB$106="FT",Milestones!$AA$106=FT_Y5,EDATE($D54,Milestones!$AA$106)&lt;PolicyEff),1,Milestones!$AC$106)&amp;";  ","")&amp;IF(AND(EDATE($D54,Milestones!$AA$107)&lt;=AsOfDate,EDATE($D54,Milestones!$AA$107)&gt;=SchemeStart,IF($X54=0,$AD54,IF(AND($Z54&lt;&gt;"",EDATE($D54,Milestones!$AA$107)&gt;=$Z54),$AC54,IF(AND($Y54&lt;&gt;"",EDATE($D54,Milestones!$AA$107)&gt;=$Y54),$AB54,$AA54)))=Milestones!$AB$107),UPPER(TEXT(EDATE($D54,Milestones!$AA$107),"dd mmm yy"))&amp;" "&amp;Milestones!$AB$107&amp;" "&amp;IF(AND(Milestones!$AB$107="FT",Milestones!$AA$107=FT_Y5,EDATE($D54,Milestones!$AA$107)&lt;PolicyEff),1,Milestones!$AC$107)&amp;";  ","")&amp;IF(AND(EDATE($D54,Milestones!$AA$108)&lt;=AsOfDate,EDATE($D54,Milestones!$AA$108)&gt;=SchemeStart,IF($X54=0,$AD54,IF(AND($Z54&lt;&gt;"",EDATE($D54,Milestones!$AA$108)&gt;=$Z54),$AC54,IF(AND($Y54&lt;&gt;"",EDATE($D54,Milestones!$AA$108)&gt;=$Y54),$AB54,$AA54)))=Milestones!$AB$108),UPPER(TEXT(EDATE($D54,Milestones!$AA$108),"dd mmm yy"))&amp;" "&amp;Milestones!$AB$108&amp;" "&amp;IF(AND(Milestones!$AB$108="FT",Milestones!$AA$108=FT_Y5,EDATE($D54,Milestones!$AA$108)&lt;PolicyEff),1,Milestones!$AC$108)&amp;";  ","")&amp;IF(AND(EDATE($D54,Milestones!$AA$109)&lt;=AsOfDate,EDATE($D54,Milestones!$AA$109)&gt;=SchemeStart,IF($X54=0,$AD54,IF(AND($Z54&lt;&gt;"",EDATE($D54,Milestones!$AA$109)&gt;=$Z54),$AC54,IF(AND($Y54&lt;&gt;"",EDATE($D54,Milestones!$AA$109)&gt;=$Y54),$AB54,$AA54)))=Milestones!$AB$109),UPPER(TEXT(EDATE($D54,Milestones!$AA$109),"dd mmm yy"))&amp;" "&amp;Milestones!$AB$109&amp;" "&amp;IF(AND(Milestones!$AB$109="FT",Milestones!$AA$109=FT_Y5,EDATE($D54,Milestones!$AA$109)&lt;PolicyEff),1,Milestones!$AC$109)&amp;";  ","")&amp;IF(AND(EDATE($D54,Milestones!$AA$110)&lt;=AsOfDate,EDATE($D54,Milestones!$AA$110)&gt;=SchemeStart,IF($X54=0,$AD54,IF(AND($Z54&lt;&gt;"",EDATE($D54,Milestones!$AA$110)&gt;=$Z54),$AC54,IF(AND($Y54&lt;&gt;"",EDATE($D54,Milestones!$AA$110)&gt;=$Y54),$AB54,$AA54)))=Milestones!$AB$110),UPPER(TEXT(EDATE($D54,Milestones!$AA$110),"dd mmm yy"))&amp;" "&amp;Milestones!$AB$110&amp;" "&amp;IF(AND(Milestones!$AB$110="FT",Milestones!$AA$110=FT_Y5,EDATE($D54,Milestones!$AA$110)&lt;PolicyEff),1,Milestones!$AC$110)&amp;";  ","")&amp;IF(AND(EDATE($D54,Milestones!$AA$111)&lt;=AsOfDate,EDATE($D54,Milestones!$AA$111)&gt;=SchemeStart,IF($X54=0,$AD54,IF(AND($Z54&lt;&gt;"",EDATE($D54,Milestones!$AA$111)&gt;=$Z54),$AC54,IF(AND($Y54&lt;&gt;"",EDATE($D54,Milestones!$AA$111)&gt;=$Y54),$AB54,$AA54)))=Milestones!$AB$111),UPPER(TEXT(EDATE($D54,Milestones!$AA$111),"dd mmm yy"))&amp;" "&amp;Milestones!$AB$111&amp;" "&amp;IF(AND(Milestones!$AB$111="FT",Milestones!$AA$111=FT_Y5,EDATE($D54,Milestones!$AA$111)&lt;PolicyEff),1,Milestones!$AC$111)&amp;";  ","")&amp;IF(AND(EDATE($D54,Milestones!$AA$112)&lt;=AsOfDate,EDATE($D54,Milestones!$AA$112)&gt;=SchemeStart,IF($X54=0,$AD54,IF(AND($Z54&lt;&gt;"",EDATE($D54,Milestones!$AA$112)&gt;=$Z54),$AC54,IF(AND($Y54&lt;&gt;"",EDATE($D54,Milestones!$AA$112)&gt;=$Y54),$AB54,$AA54)))=Milestones!$AB$112),UPPER(TEXT(EDATE($D54,Milestones!$AA$112),"dd mmm yy"))&amp;" "&amp;Milestones!$AB$112&amp;" "&amp;IF(AND(Milestones!$AB$112="FT",Milestones!$AA$112=FT_Y5,EDATE($D54,Milestones!$AA$112)&lt;PolicyEff),1,Milestones!$AC$112)&amp;";  ","")&amp;IF(AND(EDATE($D54,Milestones!$AA$113)&lt;=AsOfDate,EDATE($D54,Milestones!$AA$113)&gt;=SchemeStart,IF($X54=0,$AD54,IF(AND($Z54&lt;&gt;"",EDATE($D54,Milestones!$AA$113)&gt;=$Z54),$AC54,IF(AND($Y54&lt;&gt;"",EDATE($D54,Milestones!$AA$113)&gt;=$Y54),$AB54,$AA54)))=Milestones!$AB$113),UPPER(TEXT(EDATE($D54,Milestones!$AA$113),"dd mmm yy"))&amp;" "&amp;Milestones!$AB$113&amp;" "&amp;IF(AND(Milestones!$AB$113="FT",Milestones!$AA$113=FT_Y5,EDATE($D54,Milestones!$AA$113)&lt;PolicyEff),1,Milestones!$AC$113)&amp;";  ","")&amp;IF(AND(EDATE($D54,Milestones!$AA$114)&lt;=AsOfDate,EDATE($D54,Milestones!$AA$114)&gt;=SchemeStart,IF($X54=0,$AD54,IF(AND($Z54&lt;&gt;"",EDATE($D54,Milestones!$AA$114)&gt;=$Z54),$AC54,IF(AND($Y54&lt;&gt;"",EDATE($D54,Milestones!$AA$114)&gt;=$Y54),$AB54,$AA54)))=Milestones!$AB$114),UPPER(TEXT(EDATE($D54,Milestones!$AA$114),"dd mmm yy"))&amp;" "&amp;Milestones!$AB$114&amp;" "&amp;IF(AND(Milestones!$AB$114="FT",Milestones!$AA$114=FT_Y5,EDATE($D54,Milestones!$AA$114)&lt;PolicyEff),1,Milestones!$AC$114)&amp;";  ","")&amp;IF(AND(EDATE($D54,Milestones!$AA$115)&lt;=AsOfDate,EDATE($D54,Milestones!$AA$115)&gt;=SchemeStart,IF($X54=0,$AD54,IF(AND($Z54&lt;&gt;"",EDATE($D54,Milestones!$AA$115)&gt;=$Z54),$AC54,IF(AND($Y54&lt;&gt;"",EDATE($D54,Milestones!$AA$115)&gt;=$Y54),$AB54,$AA54)))=Milestones!$AB$115),UPPER(TEXT(EDATE($D54,Milestones!$AA$115),"dd mmm yy"))&amp;" "&amp;Milestones!$AB$115&amp;" "&amp;IF(AND(Milestones!$AB$115="FT",Milestones!$AA$115=FT_Y5,EDATE($D54,Milestones!$AA$115)&lt;PolicyEff),1,Milestones!$AC$115)&amp;";  ",""))</f>
        <v/>
      </c>
      <c r="Q54" s="0" t="str">
        <f aca="false">IF(OR($A54="",$D54=""),"",IF(AND(EDATE($D54,Milestones!$AA$116)&lt;=AsOfDate,EDATE($D54,Milestones!$AA$116)&gt;=SchemeStart,IF($X54=0,$AD54,IF(AND($Z54&lt;&gt;"",EDATE($D54,Milestones!$AA$116)&gt;=$Z54),$AC54,IF(AND($Y54&lt;&gt;"",EDATE($D54,Milestones!$AA$116)&gt;=$Y54),$AB54,$AA54)))=Milestones!$AB$116),UPPER(TEXT(EDATE($D54,Milestones!$AA$116),"dd mmm yy"))&amp;" "&amp;Milestones!$AB$116&amp;" "&amp;IF(AND(Milestones!$AB$116="FT",Milestones!$AA$116=FT_Y5,EDATE($D54,Milestones!$AA$116)&lt;PolicyEff),1,Milestones!$AC$116)&amp;";  ","")&amp;IF(AND(EDATE($D54,Milestones!$AA$117)&lt;=AsOfDate,EDATE($D54,Milestones!$AA$117)&gt;=SchemeStart,IF($X54=0,$AD54,IF(AND($Z54&lt;&gt;"",EDATE($D54,Milestones!$AA$117)&gt;=$Z54),$AC54,IF(AND($Y54&lt;&gt;"",EDATE($D54,Milestones!$AA$117)&gt;=$Y54),$AB54,$AA54)))=Milestones!$AB$117),UPPER(TEXT(EDATE($D54,Milestones!$AA$117),"dd mmm yy"))&amp;" "&amp;Milestones!$AB$117&amp;" "&amp;IF(AND(Milestones!$AB$117="FT",Milestones!$AA$117=FT_Y5,EDATE($D54,Milestones!$AA$117)&lt;PolicyEff),1,Milestones!$AC$117)&amp;";  ","")&amp;IF(AND(EDATE($D54,Milestones!$AA$118)&lt;=AsOfDate,EDATE($D54,Milestones!$AA$118)&gt;=SchemeStart,IF($X54=0,$AD54,IF(AND($Z54&lt;&gt;"",EDATE($D54,Milestones!$AA$118)&gt;=$Z54),$AC54,IF(AND($Y54&lt;&gt;"",EDATE($D54,Milestones!$AA$118)&gt;=$Y54),$AB54,$AA54)))=Milestones!$AB$118),UPPER(TEXT(EDATE($D54,Milestones!$AA$118),"dd mmm yy"))&amp;" "&amp;Milestones!$AB$118&amp;" "&amp;IF(AND(Milestones!$AB$118="FT",Milestones!$AA$118=FT_Y5,EDATE($D54,Milestones!$AA$118)&lt;PolicyEff),1,Milestones!$AC$118)&amp;";  ","")&amp;IF(AND(EDATE($D54,Milestones!$AA$119)&lt;=AsOfDate,EDATE($D54,Milestones!$AA$119)&gt;=SchemeStart,IF($X54=0,$AD54,IF(AND($Z54&lt;&gt;"",EDATE($D54,Milestones!$AA$119)&gt;=$Z54),$AC54,IF(AND($Y54&lt;&gt;"",EDATE($D54,Milestones!$AA$119)&gt;=$Y54),$AB54,$AA54)))=Milestones!$AB$119),UPPER(TEXT(EDATE($D54,Milestones!$AA$119),"dd mmm yy"))&amp;" "&amp;Milestones!$AB$119&amp;" "&amp;IF(AND(Milestones!$AB$119="FT",Milestones!$AA$119=FT_Y5,EDATE($D54,Milestones!$AA$119)&lt;PolicyEff),1,Milestones!$AC$119)&amp;";  ","")&amp;IF(AND(EDATE($D54,Milestones!$AA$120)&lt;=AsOfDate,EDATE($D54,Milestones!$AA$120)&gt;=SchemeStart,IF($X54=0,$AD54,IF(AND($Z54&lt;&gt;"",EDATE($D54,Milestones!$AA$120)&gt;=$Z54),$AC54,IF(AND($Y54&lt;&gt;"",EDATE($D54,Milestones!$AA$120)&gt;=$Y54),$AB54,$AA54)))=Milestones!$AB$120),UPPER(TEXT(EDATE($D54,Milestones!$AA$120),"dd mmm yy"))&amp;" "&amp;Milestones!$AB$120&amp;" "&amp;IF(AND(Milestones!$AB$120="FT",Milestones!$AA$120=FT_Y5,EDATE($D54,Milestones!$AA$120)&lt;PolicyEff),1,Milestones!$AC$120)&amp;";  ","")&amp;IF(AND(EDATE($D54,Milestones!$AA$121)&lt;=AsOfDate,EDATE($D54,Milestones!$AA$121)&gt;=SchemeStart,IF($X54=0,$AD54,IF(AND($Z54&lt;&gt;"",EDATE($D54,Milestones!$AA$121)&gt;=$Z54),$AC54,IF(AND($Y54&lt;&gt;"",EDATE($D54,Milestones!$AA$121)&gt;=$Y54),$AB54,$AA54)))=Milestones!$AB$121),UPPER(TEXT(EDATE($D54,Milestones!$AA$121),"dd mmm yy"))&amp;" "&amp;Milestones!$AB$121&amp;" "&amp;IF(AND(Milestones!$AB$121="FT",Milestones!$AA$121=FT_Y5,EDATE($D54,Milestones!$AA$121)&lt;PolicyEff),1,Milestones!$AC$121)&amp;";  ","")&amp;IF(AND(EDATE($D54,Milestones!$AA$122)&lt;=AsOfDate,EDATE($D54,Milestones!$AA$122)&gt;=SchemeStart,IF($X54=0,$AD54,IF(AND($Z54&lt;&gt;"",EDATE($D54,Milestones!$AA$122)&gt;=$Z54),$AC54,IF(AND($Y54&lt;&gt;"",EDATE($D54,Milestones!$AA$122)&gt;=$Y54),$AB54,$AA54)))=Milestones!$AB$122),UPPER(TEXT(EDATE($D54,Milestones!$AA$122),"dd mmm yy"))&amp;" "&amp;Milestones!$AB$122&amp;" "&amp;IF(AND(Milestones!$AB$122="FT",Milestones!$AA$122=FT_Y5,EDATE($D54,Milestones!$AA$122)&lt;PolicyEff),1,Milestones!$AC$122)&amp;";  ","")&amp;IF(AND(EDATE($D54,Milestones!$AA$123)&lt;=AsOfDate,EDATE($D54,Milestones!$AA$123)&gt;=SchemeStart,IF($X54=0,$AD54,IF(AND($Z54&lt;&gt;"",EDATE($D54,Milestones!$AA$123)&gt;=$Z54),$AC54,IF(AND($Y54&lt;&gt;"",EDATE($D54,Milestones!$AA$123)&gt;=$Y54),$AB54,$AA54)))=Milestones!$AB$123),UPPER(TEXT(EDATE($D54,Milestones!$AA$123),"dd mmm yy"))&amp;" "&amp;Milestones!$AB$123&amp;" "&amp;IF(AND(Milestones!$AB$123="FT",Milestones!$AA$123=FT_Y5,EDATE($D54,Milestones!$AA$123)&lt;PolicyEff),1,Milestones!$AC$123)&amp;";  ","")&amp;IF(AND(EDATE($D54,Milestones!$AA$124)&lt;=AsOfDate,EDATE($D54,Milestones!$AA$124)&gt;=SchemeStart,IF($X54=0,$AD54,IF(AND($Z54&lt;&gt;"",EDATE($D54,Milestones!$AA$124)&gt;=$Z54),$AC54,IF(AND($Y54&lt;&gt;"",EDATE($D54,Milestones!$AA$124)&gt;=$Y54),$AB54,$AA54)))=Milestones!$AB$124),UPPER(TEXT(EDATE($D54,Milestones!$AA$124),"dd mmm yy"))&amp;" "&amp;Milestones!$AB$124&amp;" "&amp;IF(AND(Milestones!$AB$124="FT",Milestones!$AA$124=FT_Y5,EDATE($D54,Milestones!$AA$124)&lt;PolicyEff),1,Milestones!$AC$124)&amp;";  ","")&amp;IF(AND(EDATE($D54,Milestones!$AA$125)&lt;=AsOfDate,EDATE($D54,Milestones!$AA$125)&gt;=SchemeStart,IF($X54=0,$AD54,IF(AND($Z54&lt;&gt;"",EDATE($D54,Milestones!$AA$125)&gt;=$Z54),$AC54,IF(AND($Y54&lt;&gt;"",EDATE($D54,Milestones!$AA$125)&gt;=$Y54),$AB54,$AA54)))=Milestones!$AB$125),UPPER(TEXT(EDATE($D54,Milestones!$AA$125),"dd mmm yy"))&amp;" "&amp;Milestones!$AB$125&amp;" "&amp;IF(AND(Milestones!$AB$125="FT",Milestones!$AA$125=FT_Y5,EDATE($D54,Milestones!$AA$125)&lt;PolicyEff),1,Milestones!$AC$125)&amp;";  ","")&amp;IF(AND(EDATE($D54,Milestones!$AA$126)&lt;=AsOfDate,EDATE($D54,Milestones!$AA$126)&gt;=SchemeStart,IF($X54=0,$AD54,IF(AND($Z54&lt;&gt;"",EDATE($D54,Milestones!$AA$126)&gt;=$Z54),$AC54,IF(AND($Y54&lt;&gt;"",EDATE($D54,Milestones!$AA$126)&gt;=$Y54),$AB54,$AA54)))=Milestones!$AB$126),UPPER(TEXT(EDATE($D54,Milestones!$AA$126),"dd mmm yy"))&amp;" "&amp;Milestones!$AB$126&amp;" "&amp;IF(AND(Milestones!$AB$126="FT",Milestones!$AA$126=FT_Y5,EDATE($D54,Milestones!$AA$126)&lt;PolicyEff),1,Milestones!$AC$126)&amp;";  ","")&amp;IF(AND(EDATE($D54,Milestones!$AA$127)&lt;=AsOfDate,EDATE($D54,Milestones!$AA$127)&gt;=SchemeStart,IF($X54=0,$AD54,IF(AND($Z54&lt;&gt;"",EDATE($D54,Milestones!$AA$127)&gt;=$Z54),$AC54,IF(AND($Y54&lt;&gt;"",EDATE($D54,Milestones!$AA$127)&gt;=$Y54),$AB54,$AA54)))=Milestones!$AB$127),UPPER(TEXT(EDATE($D54,Milestones!$AA$127),"dd mmm yy"))&amp;" "&amp;Milestones!$AB$127&amp;" "&amp;IF(AND(Milestones!$AB$127="FT",Milestones!$AA$127=FT_Y5,EDATE($D54,Milestones!$AA$127)&lt;PolicyEff),1,Milestones!$AC$127)&amp;";  ",""))</f>
        <v/>
      </c>
      <c r="R54" s="0" t="str">
        <f aca="false">IF(OR($A54="",$D54=""),"",IF(AND(EDATE($D54,Milestones!$AA$128)&lt;=AsOfDate,EDATE($D54,Milestones!$AA$128)&gt;=SchemeStart,IF($X54=0,$AD54,IF(AND($Z54&lt;&gt;"",EDATE($D54,Milestones!$AA$128)&gt;=$Z54),$AC54,IF(AND($Y54&lt;&gt;"",EDATE($D54,Milestones!$AA$128)&gt;=$Y54),$AB54,$AA54)))=Milestones!$AB$128),UPPER(TEXT(EDATE($D54,Milestones!$AA$128),"dd mmm yy"))&amp;" "&amp;Milestones!$AB$128&amp;" "&amp;IF(AND(Milestones!$AB$128="FT",Milestones!$AA$128=FT_Y5,EDATE($D54,Milestones!$AA$128)&lt;PolicyEff),1,Milestones!$AC$128)&amp;";  ","")&amp;IF(AND(EDATE($D54,Milestones!$AA$129)&lt;=AsOfDate,EDATE($D54,Milestones!$AA$129)&gt;=SchemeStart,IF($X54=0,$AD54,IF(AND($Z54&lt;&gt;"",EDATE($D54,Milestones!$AA$129)&gt;=$Z54),$AC54,IF(AND($Y54&lt;&gt;"",EDATE($D54,Milestones!$AA$129)&gt;=$Y54),$AB54,$AA54)))=Milestones!$AB$129),UPPER(TEXT(EDATE($D54,Milestones!$AA$129),"dd mmm yy"))&amp;" "&amp;Milestones!$AB$129&amp;" "&amp;IF(AND(Milestones!$AB$129="FT",Milestones!$AA$129=FT_Y5,EDATE($D54,Milestones!$AA$129)&lt;PolicyEff),1,Milestones!$AC$129)&amp;";  ","")&amp;IF(AND(EDATE($D54,Milestones!$AA$130)&lt;=AsOfDate,EDATE($D54,Milestones!$AA$130)&gt;=SchemeStart,IF($X54=0,$AD54,IF(AND($Z54&lt;&gt;"",EDATE($D54,Milestones!$AA$130)&gt;=$Z54),$AC54,IF(AND($Y54&lt;&gt;"",EDATE($D54,Milestones!$AA$130)&gt;=$Y54),$AB54,$AA54)))=Milestones!$AB$130),UPPER(TEXT(EDATE($D54,Milestones!$AA$130),"dd mmm yy"))&amp;" "&amp;Milestones!$AB$130&amp;" "&amp;IF(AND(Milestones!$AB$130="FT",Milestones!$AA$130=FT_Y5,EDATE($D54,Milestones!$AA$130)&lt;PolicyEff),1,Milestones!$AC$130)&amp;";  ","")&amp;IF(AND(EDATE($D54,Milestones!$AA$131)&lt;=AsOfDate,EDATE($D54,Milestones!$AA$131)&gt;=SchemeStart,IF($X54=0,$AD54,IF(AND($Z54&lt;&gt;"",EDATE($D54,Milestones!$AA$131)&gt;=$Z54),$AC54,IF(AND($Y54&lt;&gt;"",EDATE($D54,Milestones!$AA$131)&gt;=$Y54),$AB54,$AA54)))=Milestones!$AB$131),UPPER(TEXT(EDATE($D54,Milestones!$AA$131),"dd mmm yy"))&amp;" "&amp;Milestones!$AB$131&amp;" "&amp;IF(AND(Milestones!$AB$131="FT",Milestones!$AA$131=FT_Y5,EDATE($D54,Milestones!$AA$131)&lt;PolicyEff),1,Milestones!$AC$131)&amp;";  ","")&amp;IF(AND(EDATE($D54,Milestones!$AA$132)&lt;=AsOfDate,EDATE($D54,Milestones!$AA$132)&gt;=SchemeStart,IF($X54=0,$AD54,IF(AND($Z54&lt;&gt;"",EDATE($D54,Milestones!$AA$132)&gt;=$Z54),$AC54,IF(AND($Y54&lt;&gt;"",EDATE($D54,Milestones!$AA$132)&gt;=$Y54),$AB54,$AA54)))=Milestones!$AB$132),UPPER(TEXT(EDATE($D54,Milestones!$AA$132),"dd mmm yy"))&amp;" "&amp;Milestones!$AB$132&amp;" "&amp;IF(AND(Milestones!$AB$132="FT",Milestones!$AA$132=FT_Y5,EDATE($D54,Milestones!$AA$132)&lt;PolicyEff),1,Milestones!$AC$132)&amp;";  ","")&amp;IF(AND(EDATE($D54,Milestones!$AA$133)&lt;=AsOfDate,EDATE($D54,Milestones!$AA$133)&gt;=SchemeStart,IF($X54=0,$AD54,IF(AND($Z54&lt;&gt;"",EDATE($D54,Milestones!$AA$133)&gt;=$Z54),$AC54,IF(AND($Y54&lt;&gt;"",EDATE($D54,Milestones!$AA$133)&gt;=$Y54),$AB54,$AA54)))=Milestones!$AB$133),UPPER(TEXT(EDATE($D54,Milestones!$AA$133),"dd mmm yy"))&amp;" "&amp;Milestones!$AB$133&amp;" "&amp;IF(AND(Milestones!$AB$133="FT",Milestones!$AA$133=FT_Y5,EDATE($D54,Milestones!$AA$133)&lt;PolicyEff),1,Milestones!$AC$133)&amp;";  ","")&amp;IF(AND(EDATE($D54,Milestones!$AA$134)&lt;=AsOfDate,EDATE($D54,Milestones!$AA$134)&gt;=SchemeStart,IF($X54=0,$AD54,IF(AND($Z54&lt;&gt;"",EDATE($D54,Milestones!$AA$134)&gt;=$Z54),$AC54,IF(AND($Y54&lt;&gt;"",EDATE($D54,Milestones!$AA$134)&gt;=$Y54),$AB54,$AA54)))=Milestones!$AB$134),UPPER(TEXT(EDATE($D54,Milestones!$AA$134),"dd mmm yy"))&amp;" "&amp;Milestones!$AB$134&amp;" "&amp;IF(AND(Milestones!$AB$134="FT",Milestones!$AA$134=FT_Y5,EDATE($D54,Milestones!$AA$134)&lt;PolicyEff),1,Milestones!$AC$134)&amp;";  ","")&amp;IF(AND(EDATE($D54,Milestones!$AA$135)&lt;=AsOfDate,EDATE($D54,Milestones!$AA$135)&gt;=SchemeStart,IF($X54=0,$AD54,IF(AND($Z54&lt;&gt;"",EDATE($D54,Milestones!$AA$135)&gt;=$Z54),$AC54,IF(AND($Y54&lt;&gt;"",EDATE($D54,Milestones!$AA$135)&gt;=$Y54),$AB54,$AA54)))=Milestones!$AB$135),UPPER(TEXT(EDATE($D54,Milestones!$AA$135),"dd mmm yy"))&amp;" "&amp;Milestones!$AB$135&amp;" "&amp;IF(AND(Milestones!$AB$135="FT",Milestones!$AA$135=FT_Y5,EDATE($D54,Milestones!$AA$135)&lt;PolicyEff),1,Milestones!$AC$135)&amp;";  ","")&amp;IF(AND(EDATE($D54,Milestones!$AA$136)&lt;=AsOfDate,EDATE($D54,Milestones!$AA$136)&gt;=SchemeStart,IF($X54=0,$AD54,IF(AND($Z54&lt;&gt;"",EDATE($D54,Milestones!$AA$136)&gt;=$Z54),$AC54,IF(AND($Y54&lt;&gt;"",EDATE($D54,Milestones!$AA$136)&gt;=$Y54),$AB54,$AA54)))=Milestones!$AB$136),UPPER(TEXT(EDATE($D54,Milestones!$AA$136),"dd mmm yy"))&amp;" "&amp;Milestones!$AB$136&amp;" "&amp;IF(AND(Milestones!$AB$136="FT",Milestones!$AA$136=FT_Y5,EDATE($D54,Milestones!$AA$136)&lt;PolicyEff),1,Milestones!$AC$136)&amp;";  ","")&amp;IF(AND(EDATE($D54,Milestones!$AA$137)&lt;=AsOfDate,EDATE($D54,Milestones!$AA$137)&gt;=SchemeStart,IF($X54=0,$AD54,IF(AND($Z54&lt;&gt;"",EDATE($D54,Milestones!$AA$137)&gt;=$Z54),$AC54,IF(AND($Y54&lt;&gt;"",EDATE($D54,Milestones!$AA$137)&gt;=$Y54),$AB54,$AA54)))=Milestones!$AB$137),UPPER(TEXT(EDATE($D54,Milestones!$AA$137),"dd mmm yy"))&amp;" "&amp;Milestones!$AB$137&amp;" "&amp;IF(AND(Milestones!$AB$137="FT",Milestones!$AA$137=FT_Y5,EDATE($D54,Milestones!$AA$137)&lt;PolicyEff),1,Milestones!$AC$137)&amp;";  ","")&amp;IF(AND(EDATE($D54,Milestones!$AA$138)&lt;=AsOfDate,EDATE($D54,Milestones!$AA$138)&gt;=SchemeStart,IF($X54=0,$AD54,IF(AND($Z54&lt;&gt;"",EDATE($D54,Milestones!$AA$138)&gt;=$Z54),$AC54,IF(AND($Y54&lt;&gt;"",EDATE($D54,Milestones!$AA$138)&gt;=$Y54),$AB54,$AA54)))=Milestones!$AB$138),UPPER(TEXT(EDATE($D54,Milestones!$AA$138),"dd mmm yy"))&amp;" "&amp;Milestones!$AB$138&amp;" "&amp;IF(AND(Milestones!$AB$138="FT",Milestones!$AA$138=FT_Y5,EDATE($D54,Milestones!$AA$138)&lt;PolicyEff),1,Milestones!$AC$138)&amp;";  ","")&amp;IF(AND(EDATE($D54,Milestones!$AA$139)&lt;=AsOfDate,EDATE($D54,Milestones!$AA$139)&gt;=SchemeStart,IF($X54=0,$AD54,IF(AND($Z54&lt;&gt;"",EDATE($D54,Milestones!$AA$139)&gt;=$Z54),$AC54,IF(AND($Y54&lt;&gt;"",EDATE($D54,Milestones!$AA$139)&gt;=$Y54),$AB54,$AA54)))=Milestones!$AB$139),UPPER(TEXT(EDATE($D54,Milestones!$AA$139),"dd mmm yy"))&amp;" "&amp;Milestones!$AB$139&amp;" "&amp;IF(AND(Milestones!$AB$139="FT",Milestones!$AA$139=FT_Y5,EDATE($D54,Milestones!$AA$139)&lt;PolicyEff),1,Milestones!$AC$139)&amp;";  ",""))</f>
        <v/>
      </c>
      <c r="S54" s="0" t="str">
        <f aca="false">IF(OR($A54="",$D54=""),"",IF(AND(EDATE($D54,Milestones!$AA$140)&lt;=AsOfDate,EDATE($D54,Milestones!$AA$140)&gt;=SchemeStart,IF($X54=0,$AD54,IF(AND($Z54&lt;&gt;"",EDATE($D54,Milestones!$AA$140)&gt;=$Z54),$AC54,IF(AND($Y54&lt;&gt;"",EDATE($D54,Milestones!$AA$140)&gt;=$Y54),$AB54,$AA54)))=Milestones!$AB$140),UPPER(TEXT(EDATE($D54,Milestones!$AA$140),"dd mmm yy"))&amp;" "&amp;Milestones!$AB$140&amp;" "&amp;IF(AND(Milestones!$AB$140="FT",Milestones!$AA$140=FT_Y5,EDATE($D54,Milestones!$AA$140)&lt;PolicyEff),1,Milestones!$AC$140)&amp;";  ","")&amp;IF(AND(EDATE($D54,Milestones!$AA$141)&lt;=AsOfDate,EDATE($D54,Milestones!$AA$141)&gt;=SchemeStart,IF($X54=0,$AD54,IF(AND($Z54&lt;&gt;"",EDATE($D54,Milestones!$AA$141)&gt;=$Z54),$AC54,IF(AND($Y54&lt;&gt;"",EDATE($D54,Milestones!$AA$141)&gt;=$Y54),$AB54,$AA54)))=Milestones!$AB$141),UPPER(TEXT(EDATE($D54,Milestones!$AA$141),"dd mmm yy"))&amp;" "&amp;Milestones!$AB$141&amp;" "&amp;IF(AND(Milestones!$AB$141="FT",Milestones!$AA$141=FT_Y5,EDATE($D54,Milestones!$AA$141)&lt;PolicyEff),1,Milestones!$AC$141)&amp;";  ","")&amp;IF(AND(EDATE($D54,Milestones!$AA$142)&lt;=AsOfDate,EDATE($D54,Milestones!$AA$142)&gt;=SchemeStart,IF($X54=0,$AD54,IF(AND($Z54&lt;&gt;"",EDATE($D54,Milestones!$AA$142)&gt;=$Z54),$AC54,IF(AND($Y54&lt;&gt;"",EDATE($D54,Milestones!$AA$142)&gt;=$Y54),$AB54,$AA54)))=Milestones!$AB$142),UPPER(TEXT(EDATE($D54,Milestones!$AA$142),"dd mmm yy"))&amp;" "&amp;Milestones!$AB$142&amp;" "&amp;IF(AND(Milestones!$AB$142="FT",Milestones!$AA$142=FT_Y5,EDATE($D54,Milestones!$AA$142)&lt;PolicyEff),1,Milestones!$AC$142)&amp;";  ","")&amp;IF(AND(EDATE($D54,Milestones!$AA$143)&lt;=AsOfDate,EDATE($D54,Milestones!$AA$143)&gt;=SchemeStart,IF($X54=0,$AD54,IF(AND($Z54&lt;&gt;"",EDATE($D54,Milestones!$AA$143)&gt;=$Z54),$AC54,IF(AND($Y54&lt;&gt;"",EDATE($D54,Milestones!$AA$143)&gt;=$Y54),$AB54,$AA54)))=Milestones!$AB$143),UPPER(TEXT(EDATE($D54,Milestones!$AA$143),"dd mmm yy"))&amp;" "&amp;Milestones!$AB$143&amp;" "&amp;IF(AND(Milestones!$AB$143="FT",Milestones!$AA$143=FT_Y5,EDATE($D54,Milestones!$AA$143)&lt;PolicyEff),1,Milestones!$AC$143)&amp;";  ","")&amp;IF(AND(EDATE($D54,Milestones!$AA$144)&lt;=AsOfDate,EDATE($D54,Milestones!$AA$144)&gt;=SchemeStart,IF($X54=0,$AD54,IF(AND($Z54&lt;&gt;"",EDATE($D54,Milestones!$AA$144)&gt;=$Z54),$AC54,IF(AND($Y54&lt;&gt;"",EDATE($D54,Milestones!$AA$144)&gt;=$Y54),$AB54,$AA54)))=Milestones!$AB$144),UPPER(TEXT(EDATE($D54,Milestones!$AA$144),"dd mmm yy"))&amp;" "&amp;Milestones!$AB$144&amp;" "&amp;IF(AND(Milestones!$AB$144="FT",Milestones!$AA$144=FT_Y5,EDATE($D54,Milestones!$AA$144)&lt;PolicyEff),1,Milestones!$AC$144)&amp;";  ","")&amp;IF(AND(EDATE($D54,Milestones!$AA$145)&lt;=AsOfDate,EDATE($D54,Milestones!$AA$145)&gt;=SchemeStart,IF($X54=0,$AD54,IF(AND($Z54&lt;&gt;"",EDATE($D54,Milestones!$AA$145)&gt;=$Z54),$AC54,IF(AND($Y54&lt;&gt;"",EDATE($D54,Milestones!$AA$145)&gt;=$Y54),$AB54,$AA54)))=Milestones!$AB$145),UPPER(TEXT(EDATE($D54,Milestones!$AA$145),"dd mmm yy"))&amp;" "&amp;Milestones!$AB$145&amp;" "&amp;IF(AND(Milestones!$AB$145="FT",Milestones!$AA$145=FT_Y5,EDATE($D54,Milestones!$AA$145)&lt;PolicyEff),1,Milestones!$AC$145)&amp;";  ","")&amp;IF(AND(EDATE($D54,Milestones!$AA$146)&lt;=AsOfDate,EDATE($D54,Milestones!$AA$146)&gt;=SchemeStart,IF($X54=0,$AD54,IF(AND($Z54&lt;&gt;"",EDATE($D54,Milestones!$AA$146)&gt;=$Z54),$AC54,IF(AND($Y54&lt;&gt;"",EDATE($D54,Milestones!$AA$146)&gt;=$Y54),$AB54,$AA54)))=Milestones!$AB$146),UPPER(TEXT(EDATE($D54,Milestones!$AA$146),"dd mmm yy"))&amp;" "&amp;Milestones!$AB$146&amp;" "&amp;IF(AND(Milestones!$AB$146="FT",Milestones!$AA$146=FT_Y5,EDATE($D54,Milestones!$AA$146)&lt;PolicyEff),1,Milestones!$AC$146)&amp;";  ","")&amp;IF(AND(EDATE($D54,Milestones!$AA$147)&lt;=AsOfDate,EDATE($D54,Milestones!$AA$147)&gt;=SchemeStart,IF($X54=0,$AD54,IF(AND($Z54&lt;&gt;"",EDATE($D54,Milestones!$AA$147)&gt;=$Z54),$AC54,IF(AND($Y54&lt;&gt;"",EDATE($D54,Milestones!$AA$147)&gt;=$Y54),$AB54,$AA54)))=Milestones!$AB$147),UPPER(TEXT(EDATE($D54,Milestones!$AA$147),"dd mmm yy"))&amp;" "&amp;Milestones!$AB$147&amp;" "&amp;IF(AND(Milestones!$AB$147="FT",Milestones!$AA$147=FT_Y5,EDATE($D54,Milestones!$AA$147)&lt;PolicyEff),1,Milestones!$AC$147)&amp;";  ","")&amp;IF(AND(EDATE($D54,Milestones!$AA$148)&lt;=AsOfDate,EDATE($D54,Milestones!$AA$148)&gt;=SchemeStart,IF($X54=0,$AD54,IF(AND($Z54&lt;&gt;"",EDATE($D54,Milestones!$AA$148)&gt;=$Z54),$AC54,IF(AND($Y54&lt;&gt;"",EDATE($D54,Milestones!$AA$148)&gt;=$Y54),$AB54,$AA54)))=Milestones!$AB$148),UPPER(TEXT(EDATE($D54,Milestones!$AA$148),"dd mmm yy"))&amp;" "&amp;Milestones!$AB$148&amp;" "&amp;IF(AND(Milestones!$AB$148="FT",Milestones!$AA$148=FT_Y5,EDATE($D54,Milestones!$AA$148)&lt;PolicyEff),1,Milestones!$AC$148)&amp;";  ","")&amp;IF(AND(EDATE($D54,Milestones!$AA$149)&lt;=AsOfDate,EDATE($D54,Milestones!$AA$149)&gt;=SchemeStart,IF($X54=0,$AD54,IF(AND($Z54&lt;&gt;"",EDATE($D54,Milestones!$AA$149)&gt;=$Z54),$AC54,IF(AND($Y54&lt;&gt;"",EDATE($D54,Milestones!$AA$149)&gt;=$Y54),$AB54,$AA54)))=Milestones!$AB$149),UPPER(TEXT(EDATE($D54,Milestones!$AA$149),"dd mmm yy"))&amp;" "&amp;Milestones!$AB$149&amp;" "&amp;IF(AND(Milestones!$AB$149="FT",Milestones!$AA$149=FT_Y5,EDATE($D54,Milestones!$AA$149)&lt;PolicyEff),1,Milestones!$AC$149)&amp;";  ","")&amp;IF(AND(EDATE($D54,Milestones!$AA$150)&lt;=AsOfDate,EDATE($D54,Milestones!$AA$150)&gt;=SchemeStart,IF($X54=0,$AD54,IF(AND($Z54&lt;&gt;"",EDATE($D54,Milestones!$AA$150)&gt;=$Z54),$AC54,IF(AND($Y54&lt;&gt;"",EDATE($D54,Milestones!$AA$150)&gt;=$Y54),$AB54,$AA54)))=Milestones!$AB$150),UPPER(TEXT(EDATE($D54,Milestones!$AA$150),"dd mmm yy"))&amp;" "&amp;Milestones!$AB$150&amp;" "&amp;IF(AND(Milestones!$AB$150="FT",Milestones!$AA$150=FT_Y5,EDATE($D54,Milestones!$AA$150)&lt;PolicyEff),1,Milestones!$AC$150)&amp;";  ","")&amp;IF(AND(EDATE($D54,Milestones!$AA$151)&lt;=AsOfDate,EDATE($D54,Milestones!$AA$151)&gt;=SchemeStart,IF($X54=0,$AD54,IF(AND($Z54&lt;&gt;"",EDATE($D54,Milestones!$AA$151)&gt;=$Z54),$AC54,IF(AND($Y54&lt;&gt;"",EDATE($D54,Milestones!$AA$151)&gt;=$Y54),$AB54,$AA54)))=Milestones!$AB$151),UPPER(TEXT(EDATE($D54,Milestones!$AA$151),"dd mmm yy"))&amp;" "&amp;Milestones!$AB$151&amp;" "&amp;IF(AND(Milestones!$AB$151="FT",Milestones!$AA$151=FT_Y5,EDATE($D54,Milestones!$AA$151)&lt;PolicyEff),1,Milestones!$AC$151)&amp;";  ",""))</f>
        <v/>
      </c>
      <c r="T54" s="0" t="str">
        <f aca="false">IF(OR($A54="",$D54=""),"",IF(AND(EDATE($D54,Milestones!$AA$152)&lt;=AsOfDate,EDATE($D54,Milestones!$AA$152)&gt;=SchemeStart,IF($X54=0,$AD54,IF(AND($Z54&lt;&gt;"",EDATE($D54,Milestones!$AA$152)&gt;=$Z54),$AC54,IF(AND($Y54&lt;&gt;"",EDATE($D54,Milestones!$AA$152)&gt;=$Y54),$AB54,$AA54)))=Milestones!$AB$152),UPPER(TEXT(EDATE($D54,Milestones!$AA$152),"dd mmm yy"))&amp;" "&amp;Milestones!$AB$152&amp;" "&amp;IF(AND(Milestones!$AB$152="FT",Milestones!$AA$152=FT_Y5,EDATE($D54,Milestones!$AA$152)&lt;PolicyEff),1,Milestones!$AC$152)&amp;";  ","")&amp;IF(AND(EDATE($D54,Milestones!$AA$153)&lt;=AsOfDate,EDATE($D54,Milestones!$AA$153)&gt;=SchemeStart,IF($X54=0,$AD54,IF(AND($Z54&lt;&gt;"",EDATE($D54,Milestones!$AA$153)&gt;=$Z54),$AC54,IF(AND($Y54&lt;&gt;"",EDATE($D54,Milestones!$AA$153)&gt;=$Y54),$AB54,$AA54)))=Milestones!$AB$153),UPPER(TEXT(EDATE($D54,Milestones!$AA$153),"dd mmm yy"))&amp;" "&amp;Milestones!$AB$153&amp;" "&amp;IF(AND(Milestones!$AB$153="FT",Milestones!$AA$153=FT_Y5,EDATE($D54,Milestones!$AA$153)&lt;PolicyEff),1,Milestones!$AC$153)&amp;";  ","")&amp;IF(AND(EDATE($D54,Milestones!$AA$154)&lt;=AsOfDate,EDATE($D54,Milestones!$AA$154)&gt;=SchemeStart,IF($X54=0,$AD54,IF(AND($Z54&lt;&gt;"",EDATE($D54,Milestones!$AA$154)&gt;=$Z54),$AC54,IF(AND($Y54&lt;&gt;"",EDATE($D54,Milestones!$AA$154)&gt;=$Y54),$AB54,$AA54)))=Milestones!$AB$154),UPPER(TEXT(EDATE($D54,Milestones!$AA$154),"dd mmm yy"))&amp;" "&amp;Milestones!$AB$154&amp;" "&amp;IF(AND(Milestones!$AB$154="FT",Milestones!$AA$154=FT_Y5,EDATE($D54,Milestones!$AA$154)&lt;PolicyEff),1,Milestones!$AC$154)&amp;";  ","")&amp;IF(AND(EDATE($D54,Milestones!$AA$155)&lt;=AsOfDate,EDATE($D54,Milestones!$AA$155)&gt;=SchemeStart,IF($X54=0,$AD54,IF(AND($Z54&lt;&gt;"",EDATE($D54,Milestones!$AA$155)&gt;=$Z54),$AC54,IF(AND($Y54&lt;&gt;"",EDATE($D54,Milestones!$AA$155)&gt;=$Y54),$AB54,$AA54)))=Milestones!$AB$155),UPPER(TEXT(EDATE($D54,Milestones!$AA$155),"dd mmm yy"))&amp;" "&amp;Milestones!$AB$155&amp;" "&amp;IF(AND(Milestones!$AB$155="FT",Milestones!$AA$155=FT_Y5,EDATE($D54,Milestones!$AA$155)&lt;PolicyEff),1,Milestones!$AC$155)&amp;";  ","")&amp;IF(AND(EDATE($D54,Milestones!$AA$156)&lt;=AsOfDate,EDATE($D54,Milestones!$AA$156)&gt;=SchemeStart,IF($X54=0,$AD54,IF(AND($Z54&lt;&gt;"",EDATE($D54,Milestones!$AA$156)&gt;=$Z54),$AC54,IF(AND($Y54&lt;&gt;"",EDATE($D54,Milestones!$AA$156)&gt;=$Y54),$AB54,$AA54)))=Milestones!$AB$156),UPPER(TEXT(EDATE($D54,Milestones!$AA$156),"dd mmm yy"))&amp;" "&amp;Milestones!$AB$156&amp;" "&amp;IF(AND(Milestones!$AB$156="FT",Milestones!$AA$156=FT_Y5,EDATE($D54,Milestones!$AA$156)&lt;PolicyEff),1,Milestones!$AC$156)&amp;";  ","")&amp;IF(AND(EDATE($D54,Milestones!$AA$157)&lt;=AsOfDate,EDATE($D54,Milestones!$AA$157)&gt;=SchemeStart,IF($X54=0,$AD54,IF(AND($Z54&lt;&gt;"",EDATE($D54,Milestones!$AA$157)&gt;=$Z54),$AC54,IF(AND($Y54&lt;&gt;"",EDATE($D54,Milestones!$AA$157)&gt;=$Y54),$AB54,$AA54)))=Milestones!$AB$157),UPPER(TEXT(EDATE($D54,Milestones!$AA$157),"dd mmm yy"))&amp;" "&amp;Milestones!$AB$157&amp;" "&amp;IF(AND(Milestones!$AB$157="FT",Milestones!$AA$157=FT_Y5,EDATE($D54,Milestones!$AA$157)&lt;PolicyEff),1,Milestones!$AC$157)&amp;";  ","")&amp;IF(AND(EDATE($D54,Milestones!$AA$158)&lt;=AsOfDate,EDATE($D54,Milestones!$AA$158)&gt;=SchemeStart,IF($X54=0,$AD54,IF(AND($Z54&lt;&gt;"",EDATE($D54,Milestones!$AA$158)&gt;=$Z54),$AC54,IF(AND($Y54&lt;&gt;"",EDATE($D54,Milestones!$AA$158)&gt;=$Y54),$AB54,$AA54)))=Milestones!$AB$158),UPPER(TEXT(EDATE($D54,Milestones!$AA$158),"dd mmm yy"))&amp;" "&amp;Milestones!$AB$158&amp;" "&amp;IF(AND(Milestones!$AB$158="FT",Milestones!$AA$158=FT_Y5,EDATE($D54,Milestones!$AA$158)&lt;PolicyEff),1,Milestones!$AC$158)&amp;";  ","")&amp;IF(AND(EDATE($D54,Milestones!$AA$159)&lt;=AsOfDate,EDATE($D54,Milestones!$AA$159)&gt;=SchemeStart,IF($X54=0,$AD54,IF(AND($Z54&lt;&gt;"",EDATE($D54,Milestones!$AA$159)&gt;=$Z54),$AC54,IF(AND($Y54&lt;&gt;"",EDATE($D54,Milestones!$AA$159)&gt;=$Y54),$AB54,$AA54)))=Milestones!$AB$159),UPPER(TEXT(EDATE($D54,Milestones!$AA$159),"dd mmm yy"))&amp;" "&amp;Milestones!$AB$159&amp;" "&amp;IF(AND(Milestones!$AB$159="FT",Milestones!$AA$159=FT_Y5,EDATE($D54,Milestones!$AA$159)&lt;PolicyEff),1,Milestones!$AC$159)&amp;";  ","")&amp;IF(AND(EDATE($D54,Milestones!$AA$160)&lt;=AsOfDate,EDATE($D54,Milestones!$AA$160)&gt;=SchemeStart,IF($X54=0,$AD54,IF(AND($Z54&lt;&gt;"",EDATE($D54,Milestones!$AA$160)&gt;=$Z54),$AC54,IF(AND($Y54&lt;&gt;"",EDATE($D54,Milestones!$AA$160)&gt;=$Y54),$AB54,$AA54)))=Milestones!$AB$160),UPPER(TEXT(EDATE($D54,Milestones!$AA$160),"dd mmm yy"))&amp;" "&amp;Milestones!$AB$160&amp;" "&amp;IF(AND(Milestones!$AB$160="FT",Milestones!$AA$160=FT_Y5,EDATE($D54,Milestones!$AA$160)&lt;PolicyEff),1,Milestones!$AC$160)&amp;";  ","")&amp;IF(AND(EDATE($D54,Milestones!$AA$161)&lt;=AsOfDate,EDATE($D54,Milestones!$AA$161)&gt;=SchemeStart,IF($X54=0,$AD54,IF(AND($Z54&lt;&gt;"",EDATE($D54,Milestones!$AA$161)&gt;=$Z54),$AC54,IF(AND($Y54&lt;&gt;"",EDATE($D54,Milestones!$AA$161)&gt;=$Y54),$AB54,$AA54)))=Milestones!$AB$161),UPPER(TEXT(EDATE($D54,Milestones!$AA$161),"dd mmm yy"))&amp;" "&amp;Milestones!$AB$161&amp;" "&amp;IF(AND(Milestones!$AB$161="FT",Milestones!$AA$161=FT_Y5,EDATE($D54,Milestones!$AA$161)&lt;PolicyEff),1,Milestones!$AC$161)&amp;";  ","")&amp;IF(AND(EDATE($D54,Milestones!$AA$162)&lt;=AsOfDate,EDATE($D54,Milestones!$AA$162)&gt;=SchemeStart,IF($X54=0,$AD54,IF(AND($Z54&lt;&gt;"",EDATE($D54,Milestones!$AA$162)&gt;=$Z54),$AC54,IF(AND($Y54&lt;&gt;"",EDATE($D54,Milestones!$AA$162)&gt;=$Y54),$AB54,$AA54)))=Milestones!$AB$162),UPPER(TEXT(EDATE($D54,Milestones!$AA$162),"dd mmm yy"))&amp;" "&amp;Milestones!$AB$162&amp;" "&amp;IF(AND(Milestones!$AB$162="FT",Milestones!$AA$162=FT_Y5,EDATE($D54,Milestones!$AA$162)&lt;PolicyEff),1,Milestones!$AC$162)&amp;";  ","")&amp;IF(AND(EDATE($D54,Milestones!$AA$163)&lt;=AsOfDate,EDATE($D54,Milestones!$AA$163)&gt;=SchemeStart,IF($X54=0,$AD54,IF(AND($Z54&lt;&gt;"",EDATE($D54,Milestones!$AA$163)&gt;=$Z54),$AC54,IF(AND($Y54&lt;&gt;"",EDATE($D54,Milestones!$AA$163)&gt;=$Y54),$AB54,$AA54)))=Milestones!$AB$163),UPPER(TEXT(EDATE($D54,Milestones!$AA$163),"dd mmm yy"))&amp;" "&amp;Milestones!$AB$163&amp;" "&amp;IF(AND(Milestones!$AB$163="FT",Milestones!$AA$163=FT_Y5,EDATE($D54,Milestones!$AA$163)&lt;PolicyEff),1,Milestones!$AC$163)&amp;";  ",""))</f>
        <v/>
      </c>
      <c r="U54" s="0" t="str">
        <f aca="false">IF(OR($A54="",$D54=""),"",IF(AND(EDATE($D54,Milestones!$AA$164)&lt;=AsOfDate,EDATE($D54,Milestones!$AA$164)&gt;=SchemeStart,IF($X54=0,$AD54,IF(AND($Z54&lt;&gt;"",EDATE($D54,Milestones!$AA$164)&gt;=$Z54),$AC54,IF(AND($Y54&lt;&gt;"",EDATE($D54,Milestones!$AA$164)&gt;=$Y54),$AB54,$AA54)))=Milestones!$AB$164),UPPER(TEXT(EDATE($D54,Milestones!$AA$164),"dd mmm yy"))&amp;" "&amp;Milestones!$AB$164&amp;" "&amp;IF(AND(Milestones!$AB$164="FT",Milestones!$AA$164=FT_Y5,EDATE($D54,Milestones!$AA$164)&lt;PolicyEff),1,Milestones!$AC$164)&amp;";  ","")&amp;IF(AND(EDATE($D54,Milestones!$AA$165)&lt;=AsOfDate,EDATE($D54,Milestones!$AA$165)&gt;=SchemeStart,IF($X54=0,$AD54,IF(AND($Z54&lt;&gt;"",EDATE($D54,Milestones!$AA$165)&gt;=$Z54),$AC54,IF(AND($Y54&lt;&gt;"",EDATE($D54,Milestones!$AA$165)&gt;=$Y54),$AB54,$AA54)))=Milestones!$AB$165),UPPER(TEXT(EDATE($D54,Milestones!$AA$165),"dd mmm yy"))&amp;" "&amp;Milestones!$AB$165&amp;" "&amp;IF(AND(Milestones!$AB$165="FT",Milestones!$AA$165=FT_Y5,EDATE($D54,Milestones!$AA$165)&lt;PolicyEff),1,Milestones!$AC$165)&amp;";  ","")&amp;IF(AND(EDATE($D54,Milestones!$AA$166)&lt;=AsOfDate,EDATE($D54,Milestones!$AA$166)&gt;=SchemeStart,IF($X54=0,$AD54,IF(AND($Z54&lt;&gt;"",EDATE($D54,Milestones!$AA$166)&gt;=$Z54),$AC54,IF(AND($Y54&lt;&gt;"",EDATE($D54,Milestones!$AA$166)&gt;=$Y54),$AB54,$AA54)))=Milestones!$AB$166),UPPER(TEXT(EDATE($D54,Milestones!$AA$166),"dd mmm yy"))&amp;" "&amp;Milestones!$AB$166&amp;" "&amp;IF(AND(Milestones!$AB$166="FT",Milestones!$AA$166=FT_Y5,EDATE($D54,Milestones!$AA$166)&lt;PolicyEff),1,Milestones!$AC$166)&amp;";  ","")&amp;IF(AND(EDATE($D54,Milestones!$AA$167)&lt;=AsOfDate,EDATE($D54,Milestones!$AA$167)&gt;=SchemeStart,IF($X54=0,$AD54,IF(AND($Z54&lt;&gt;"",EDATE($D54,Milestones!$AA$167)&gt;=$Z54),$AC54,IF(AND($Y54&lt;&gt;"",EDATE($D54,Milestones!$AA$167)&gt;=$Y54),$AB54,$AA54)))=Milestones!$AB$167),UPPER(TEXT(EDATE($D54,Milestones!$AA$167),"dd mmm yy"))&amp;" "&amp;Milestones!$AB$167&amp;" "&amp;IF(AND(Milestones!$AB$167="FT",Milestones!$AA$167=FT_Y5,EDATE($D54,Milestones!$AA$167)&lt;PolicyEff),1,Milestones!$AC$167)&amp;";  ","")&amp;IF(AND(EDATE($D54,Milestones!$AA$168)&lt;=AsOfDate,EDATE($D54,Milestones!$AA$168)&gt;=SchemeStart,IF($X54=0,$AD54,IF(AND($Z54&lt;&gt;"",EDATE($D54,Milestones!$AA$168)&gt;=$Z54),$AC54,IF(AND($Y54&lt;&gt;"",EDATE($D54,Milestones!$AA$168)&gt;=$Y54),$AB54,$AA54)))=Milestones!$AB$168),UPPER(TEXT(EDATE($D54,Milestones!$AA$168),"dd mmm yy"))&amp;" "&amp;Milestones!$AB$168&amp;" "&amp;IF(AND(Milestones!$AB$168="FT",Milestones!$AA$168=FT_Y5,EDATE($D54,Milestones!$AA$168)&lt;PolicyEff),1,Milestones!$AC$168)&amp;";  ","")&amp;IF(AND(EDATE($D54,Milestones!$AA$169)&lt;=AsOfDate,EDATE($D54,Milestones!$AA$169)&gt;=SchemeStart,IF($X54=0,$AD54,IF(AND($Z54&lt;&gt;"",EDATE($D54,Milestones!$AA$169)&gt;=$Z54),$AC54,IF(AND($Y54&lt;&gt;"",EDATE($D54,Milestones!$AA$169)&gt;=$Y54),$AB54,$AA54)))=Milestones!$AB$169),UPPER(TEXT(EDATE($D54,Milestones!$AA$169),"dd mmm yy"))&amp;" "&amp;Milestones!$AB$169&amp;" "&amp;IF(AND(Milestones!$AB$169="FT",Milestones!$AA$169=FT_Y5,EDATE($D54,Milestones!$AA$169)&lt;PolicyEff),1,Milestones!$AC$169)&amp;";  ","")&amp;IF(AND(EDATE($D54,Milestones!$AA$170)&lt;=AsOfDate,EDATE($D54,Milestones!$AA$170)&gt;=SchemeStart,IF($X54=0,$AD54,IF(AND($Z54&lt;&gt;"",EDATE($D54,Milestones!$AA$170)&gt;=$Z54),$AC54,IF(AND($Y54&lt;&gt;"",EDATE($D54,Milestones!$AA$170)&gt;=$Y54),$AB54,$AA54)))=Milestones!$AB$170),UPPER(TEXT(EDATE($D54,Milestones!$AA$170),"dd mmm yy"))&amp;" "&amp;Milestones!$AB$170&amp;" "&amp;IF(AND(Milestones!$AB$170="FT",Milestones!$AA$170=FT_Y5,EDATE($D54,Milestones!$AA$170)&lt;PolicyEff),1,Milestones!$AC$170)&amp;";  ","")&amp;IF(AND(EDATE($D54,Milestones!$AA$171)&lt;=AsOfDate,EDATE($D54,Milestones!$AA$171)&gt;=SchemeStart,IF($X54=0,$AD54,IF(AND($Z54&lt;&gt;"",EDATE($D54,Milestones!$AA$171)&gt;=$Z54),$AC54,IF(AND($Y54&lt;&gt;"",EDATE($D54,Milestones!$AA$171)&gt;=$Y54),$AB54,$AA54)))=Milestones!$AB$171),UPPER(TEXT(EDATE($D54,Milestones!$AA$171),"dd mmm yy"))&amp;" "&amp;Milestones!$AB$171&amp;" "&amp;IF(AND(Milestones!$AB$171="FT",Milestones!$AA$171=FT_Y5,EDATE($D54,Milestones!$AA$171)&lt;PolicyEff),1,Milestones!$AC$171)&amp;";  ","")&amp;IF(AND(EDATE($D54,Milestones!$AA$172)&lt;=AsOfDate,EDATE($D54,Milestones!$AA$172)&gt;=SchemeStart,IF($X54=0,$AD54,IF(AND($Z54&lt;&gt;"",EDATE($D54,Milestones!$AA$172)&gt;=$Z54),$AC54,IF(AND($Y54&lt;&gt;"",EDATE($D54,Milestones!$AA$172)&gt;=$Y54),$AB54,$AA54)))=Milestones!$AB$172),UPPER(TEXT(EDATE($D54,Milestones!$AA$172),"dd mmm yy"))&amp;" "&amp;Milestones!$AB$172&amp;" "&amp;IF(AND(Milestones!$AB$172="FT",Milestones!$AA$172=FT_Y5,EDATE($D54,Milestones!$AA$172)&lt;PolicyEff),1,Milestones!$AC$172)&amp;";  ","")&amp;IF(AND(EDATE($D54,Milestones!$AA$173)&lt;=AsOfDate,EDATE($D54,Milestones!$AA$173)&gt;=SchemeStart,IF($X54=0,$AD54,IF(AND($Z54&lt;&gt;"",EDATE($D54,Milestones!$AA$173)&gt;=$Z54),$AC54,IF(AND($Y54&lt;&gt;"",EDATE($D54,Milestones!$AA$173)&gt;=$Y54),$AB54,$AA54)))=Milestones!$AB$173),UPPER(TEXT(EDATE($D54,Milestones!$AA$173),"dd mmm yy"))&amp;" "&amp;Milestones!$AB$173&amp;" "&amp;IF(AND(Milestones!$AB$173="FT",Milestones!$AA$173=FT_Y5,EDATE($D54,Milestones!$AA$173)&lt;PolicyEff),1,Milestones!$AC$173)&amp;";  ","")&amp;IF(AND(EDATE($D54,Milestones!$AA$174)&lt;=AsOfDate,EDATE($D54,Milestones!$AA$174)&gt;=SchemeStart,IF($X54=0,$AD54,IF(AND($Z54&lt;&gt;"",EDATE($D54,Milestones!$AA$174)&gt;=$Z54),$AC54,IF(AND($Y54&lt;&gt;"",EDATE($D54,Milestones!$AA$174)&gt;=$Y54),$AB54,$AA54)))=Milestones!$AB$174),UPPER(TEXT(EDATE($D54,Milestones!$AA$174),"dd mmm yy"))&amp;" "&amp;Milestones!$AB$174&amp;" "&amp;IF(AND(Milestones!$AB$174="FT",Milestones!$AA$174=FT_Y5,EDATE($D54,Milestones!$AA$174)&lt;PolicyEff),1,Milestones!$AC$174)&amp;";  ","")&amp;IF(AND(EDATE($D54,Milestones!$AA$175)&lt;=AsOfDate,EDATE($D54,Milestones!$AA$175)&gt;=SchemeStart,IF($X54=0,$AD54,IF(AND($Z54&lt;&gt;"",EDATE($D54,Milestones!$AA$175)&gt;=$Z54),$AC54,IF(AND($Y54&lt;&gt;"",EDATE($D54,Milestones!$AA$175)&gt;=$Y54),$AB54,$AA54)))=Milestones!$AB$175),UPPER(TEXT(EDATE($D54,Milestones!$AA$175),"dd mmm yy"))&amp;" "&amp;Milestones!$AB$175&amp;" "&amp;IF(AND(Milestones!$AB$175="FT",Milestones!$AA$175=FT_Y5,EDATE($D54,Milestones!$AA$175)&lt;PolicyEff),1,Milestones!$AC$175)&amp;";  ",""))</f>
        <v/>
      </c>
      <c r="V54" s="0" t="str">
        <f aca="false">IF(OR($A54="",$D54=""),"",IF(AND(EDATE($D54,Milestones!$AA$176)&lt;=AsOfDate,EDATE($D54,Milestones!$AA$176)&gt;=SchemeStart,IF($X54=0,$AD54,IF(AND($Z54&lt;&gt;"",EDATE($D54,Milestones!$AA$176)&gt;=$Z54),$AC54,IF(AND($Y54&lt;&gt;"",EDATE($D54,Milestones!$AA$176)&gt;=$Y54),$AB54,$AA54)))=Milestones!$AB$176),UPPER(TEXT(EDATE($D54,Milestones!$AA$176),"dd mmm yy"))&amp;" "&amp;Milestones!$AB$176&amp;" "&amp;IF(AND(Milestones!$AB$176="FT",Milestones!$AA$176=FT_Y5,EDATE($D54,Milestones!$AA$176)&lt;PolicyEff),1,Milestones!$AC$176)&amp;";  ","")&amp;IF(AND(EDATE($D54,Milestones!$AA$177)&lt;=AsOfDate,EDATE($D54,Milestones!$AA$177)&gt;=SchemeStart,IF($X54=0,$AD54,IF(AND($Z54&lt;&gt;"",EDATE($D54,Milestones!$AA$177)&gt;=$Z54),$AC54,IF(AND($Y54&lt;&gt;"",EDATE($D54,Milestones!$AA$177)&gt;=$Y54),$AB54,$AA54)))=Milestones!$AB$177),UPPER(TEXT(EDATE($D54,Milestones!$AA$177),"dd mmm yy"))&amp;" "&amp;Milestones!$AB$177&amp;" "&amp;IF(AND(Milestones!$AB$177="FT",Milestones!$AA$177=FT_Y5,EDATE($D54,Milestones!$AA$177)&lt;PolicyEff),1,Milestones!$AC$177)&amp;";  ","")&amp;IF(AND(EDATE($D54,Milestones!$AA$178)&lt;=AsOfDate,EDATE($D54,Milestones!$AA$178)&gt;=SchemeStart,IF($X54=0,$AD54,IF(AND($Z54&lt;&gt;"",EDATE($D54,Milestones!$AA$178)&gt;=$Z54),$AC54,IF(AND($Y54&lt;&gt;"",EDATE($D54,Milestones!$AA$178)&gt;=$Y54),$AB54,$AA54)))=Milestones!$AB$178),UPPER(TEXT(EDATE($D54,Milestones!$AA$178),"dd mmm yy"))&amp;" "&amp;Milestones!$AB$178&amp;" "&amp;IF(AND(Milestones!$AB$178="FT",Milestones!$AA$178=FT_Y5,EDATE($D54,Milestones!$AA$178)&lt;PolicyEff),1,Milestones!$AC$178)&amp;";  ","")&amp;IF(AND(EDATE($D54,Milestones!$AA$179)&lt;=AsOfDate,EDATE($D54,Milestones!$AA$179)&gt;=SchemeStart,IF($X54=0,$AD54,IF(AND($Z54&lt;&gt;"",EDATE($D54,Milestones!$AA$179)&gt;=$Z54),$AC54,IF(AND($Y54&lt;&gt;"",EDATE($D54,Milestones!$AA$179)&gt;=$Y54),$AB54,$AA54)))=Milestones!$AB$179),UPPER(TEXT(EDATE($D54,Milestones!$AA$179),"dd mmm yy"))&amp;" "&amp;Milestones!$AB$179&amp;" "&amp;IF(AND(Milestones!$AB$179="FT",Milestones!$AA$179=FT_Y5,EDATE($D54,Milestones!$AA$179)&lt;PolicyEff),1,Milestones!$AC$179)&amp;";  ","")&amp;IF(AND(EDATE($D54,Milestones!$AA$180)&lt;=AsOfDate,EDATE($D54,Milestones!$AA$180)&gt;=SchemeStart,IF($X54=0,$AD54,IF(AND($Z54&lt;&gt;"",EDATE($D54,Milestones!$AA$180)&gt;=$Z54),$AC54,IF(AND($Y54&lt;&gt;"",EDATE($D54,Milestones!$AA$180)&gt;=$Y54),$AB54,$AA54)))=Milestones!$AB$180),UPPER(TEXT(EDATE($D54,Milestones!$AA$180),"dd mmm yy"))&amp;" "&amp;Milestones!$AB$180&amp;" "&amp;IF(AND(Milestones!$AB$180="FT",Milestones!$AA$180=FT_Y5,EDATE($D54,Milestones!$AA$180)&lt;PolicyEff),1,Milestones!$AC$180)&amp;";  ","")&amp;IF(AND(EDATE($D54,Milestones!$AA$181)&lt;=AsOfDate,EDATE($D54,Milestones!$AA$181)&gt;=SchemeStart,IF($X54=0,$AD54,IF(AND($Z54&lt;&gt;"",EDATE($D54,Milestones!$AA$181)&gt;=$Z54),$AC54,IF(AND($Y54&lt;&gt;"",EDATE($D54,Milestones!$AA$181)&gt;=$Y54),$AB54,$AA54)))=Milestones!$AB$181),UPPER(TEXT(EDATE($D54,Milestones!$AA$181),"dd mmm yy"))&amp;" "&amp;Milestones!$AB$181&amp;" "&amp;IF(AND(Milestones!$AB$181="FT",Milestones!$AA$181=FT_Y5,EDATE($D54,Milestones!$AA$181)&lt;PolicyEff),1,Milestones!$AC$181)&amp;";  ","")&amp;IF(AND(EDATE($D54,Milestones!$AA$182)&lt;=AsOfDate,EDATE($D54,Milestones!$AA$182)&gt;=SchemeStart,IF($X54=0,$AD54,IF(AND($Z54&lt;&gt;"",EDATE($D54,Milestones!$AA$182)&gt;=$Z54),$AC54,IF(AND($Y54&lt;&gt;"",EDATE($D54,Milestones!$AA$182)&gt;=$Y54),$AB54,$AA54)))=Milestones!$AB$182),UPPER(TEXT(EDATE($D54,Milestones!$AA$182),"dd mmm yy"))&amp;" "&amp;Milestones!$AB$182&amp;" "&amp;IF(AND(Milestones!$AB$182="FT",Milestones!$AA$182=FT_Y5,EDATE($D54,Milestones!$AA$182)&lt;PolicyEff),1,Milestones!$AC$182)&amp;";  ","")&amp;IF(AND(EDATE($D54,Milestones!$AA$183)&lt;=AsOfDate,EDATE($D54,Milestones!$AA$183)&gt;=SchemeStart,IF($X54=0,$AD54,IF(AND($Z54&lt;&gt;"",EDATE($D54,Milestones!$AA$183)&gt;=$Z54),$AC54,IF(AND($Y54&lt;&gt;"",EDATE($D54,Milestones!$AA$183)&gt;=$Y54),$AB54,$AA54)))=Milestones!$AB$183),UPPER(TEXT(EDATE($D54,Milestones!$AA$183),"dd mmm yy"))&amp;" "&amp;Milestones!$AB$183&amp;" "&amp;IF(AND(Milestones!$AB$183="FT",Milestones!$AA$183=FT_Y5,EDATE($D54,Milestones!$AA$183)&lt;PolicyEff),1,Milestones!$AC$183)&amp;";  ","")&amp;IF(AND(EDATE($D54,Milestones!$AA$184)&lt;=AsOfDate,EDATE($D54,Milestones!$AA$184)&gt;=SchemeStart,IF($X54=0,$AD54,IF(AND($Z54&lt;&gt;"",EDATE($D54,Milestones!$AA$184)&gt;=$Z54),$AC54,IF(AND($Y54&lt;&gt;"",EDATE($D54,Milestones!$AA$184)&gt;=$Y54),$AB54,$AA54)))=Milestones!$AB$184),UPPER(TEXT(EDATE($D54,Milestones!$AA$184),"dd mmm yy"))&amp;" "&amp;Milestones!$AB$184&amp;" "&amp;IF(AND(Milestones!$AB$184="FT",Milestones!$AA$184=FT_Y5,EDATE($D54,Milestones!$AA$184)&lt;PolicyEff),1,Milestones!$AC$184)&amp;";  ","")&amp;IF(AND(EDATE($D54,Milestones!$AA$185)&lt;=AsOfDate,EDATE($D54,Milestones!$AA$185)&gt;=SchemeStart,IF($X54=0,$AD54,IF(AND($Z54&lt;&gt;"",EDATE($D54,Milestones!$AA$185)&gt;=$Z54),$AC54,IF(AND($Y54&lt;&gt;"",EDATE($D54,Milestones!$AA$185)&gt;=$Y54),$AB54,$AA54)))=Milestones!$AB$185),UPPER(TEXT(EDATE($D54,Milestones!$AA$185),"dd mmm yy"))&amp;" "&amp;Milestones!$AB$185&amp;" "&amp;IF(AND(Milestones!$AB$185="FT",Milestones!$AA$185=FT_Y5,EDATE($D54,Milestones!$AA$185)&lt;PolicyEff),1,Milestones!$AC$185)&amp;";  ","")&amp;IF(AND(EDATE($D54,Milestones!$AA$186)&lt;=AsOfDate,EDATE($D54,Milestones!$AA$186)&gt;=SchemeStart,IF($X54=0,$AD54,IF(AND($Z54&lt;&gt;"",EDATE($D54,Milestones!$AA$186)&gt;=$Z54),$AC54,IF(AND($Y54&lt;&gt;"",EDATE($D54,Milestones!$AA$186)&gt;=$Y54),$AB54,$AA54)))=Milestones!$AB$186),UPPER(TEXT(EDATE($D54,Milestones!$AA$186),"dd mmm yy"))&amp;" "&amp;Milestones!$AB$186&amp;" "&amp;IF(AND(Milestones!$AB$186="FT",Milestones!$AA$186=FT_Y5,EDATE($D54,Milestones!$AA$186)&lt;PolicyEff),1,Milestones!$AC$186)&amp;";  ","")&amp;IF(AND(EDATE($D54,Milestones!$AA$187)&lt;=AsOfDate,EDATE($D54,Milestones!$AA$187)&gt;=SchemeStart,IF($X54=0,$AD54,IF(AND($Z54&lt;&gt;"",EDATE($D54,Milestones!$AA$187)&gt;=$Z54),$AC54,IF(AND($Y54&lt;&gt;"",EDATE($D54,Milestones!$AA$187)&gt;=$Y54),$AB54,$AA54)))=Milestones!$AB$187),UPPER(TEXT(EDATE($D54,Milestones!$AA$187),"dd mmm yy"))&amp;" "&amp;Milestones!$AB$187&amp;" "&amp;IF(AND(Milestones!$AB$187="FT",Milestones!$AA$187=FT_Y5,EDATE($D54,Milestones!$AA$187)&lt;PolicyEff),1,Milestones!$AC$187)&amp;";  ",""))</f>
        <v/>
      </c>
      <c r="W54" s="0" t="str">
        <f aca="false">IF(OR($A54="",$D54=""),"",IF(AND(EDATE($D54,Milestones!$AA$188)&lt;=AsOfDate,EDATE($D54,Milestones!$AA$188)&gt;=SchemeStart,IF($X54=0,$AD54,IF(AND($Z54&lt;&gt;"",EDATE($D54,Milestones!$AA$188)&gt;=$Z54),$AC54,IF(AND($Y54&lt;&gt;"",EDATE($D54,Milestones!$AA$188)&gt;=$Y54),$AB54,$AA54)))=Milestones!$AB$188),UPPER(TEXT(EDATE($D54,Milestones!$AA$188),"dd mmm yy"))&amp;" "&amp;Milestones!$AB$188&amp;" "&amp;IF(AND(Milestones!$AB$188="FT",Milestones!$AA$188=FT_Y5,EDATE($D54,Milestones!$AA$188)&lt;PolicyEff),1,Milestones!$AC$188)&amp;";  ","")&amp;IF(AND(EDATE($D54,Milestones!$AA$189)&lt;=AsOfDate,EDATE($D54,Milestones!$AA$189)&gt;=SchemeStart,IF($X54=0,$AD54,IF(AND($Z54&lt;&gt;"",EDATE($D54,Milestones!$AA$189)&gt;=$Z54),$AC54,IF(AND($Y54&lt;&gt;"",EDATE($D54,Milestones!$AA$189)&gt;=$Y54),$AB54,$AA54)))=Milestones!$AB$189),UPPER(TEXT(EDATE($D54,Milestones!$AA$189),"dd mmm yy"))&amp;" "&amp;Milestones!$AB$189&amp;" "&amp;IF(AND(Milestones!$AB$189="FT",Milestones!$AA$189=FT_Y5,EDATE($D54,Milestones!$AA$189)&lt;PolicyEff),1,Milestones!$AC$189)&amp;";  ","")&amp;IF(AND(EDATE($D54,Milestones!$AA$190)&lt;=AsOfDate,EDATE($D54,Milestones!$AA$190)&gt;=SchemeStart,IF($X54=0,$AD54,IF(AND($Z54&lt;&gt;"",EDATE($D54,Milestones!$AA$190)&gt;=$Z54),$AC54,IF(AND($Y54&lt;&gt;"",EDATE($D54,Milestones!$AA$190)&gt;=$Y54),$AB54,$AA54)))=Milestones!$AB$190),UPPER(TEXT(EDATE($D54,Milestones!$AA$190),"dd mmm yy"))&amp;" "&amp;Milestones!$AB$190&amp;" "&amp;IF(AND(Milestones!$AB$190="FT",Milestones!$AA$190=FT_Y5,EDATE($D54,Milestones!$AA$190)&lt;PolicyEff),1,Milestones!$AC$190)&amp;";  ","")&amp;IF(AND(EDATE($D54,Milestones!$AA$191)&lt;=AsOfDate,EDATE($D54,Milestones!$AA$191)&gt;=SchemeStart,IF($X54=0,$AD54,IF(AND($Z54&lt;&gt;"",EDATE($D54,Milestones!$AA$191)&gt;=$Z54),$AC54,IF(AND($Y54&lt;&gt;"",EDATE($D54,Milestones!$AA$191)&gt;=$Y54),$AB54,$AA54)))=Milestones!$AB$191),UPPER(TEXT(EDATE($D54,Milestones!$AA$191),"dd mmm yy"))&amp;" "&amp;Milestones!$AB$191&amp;" "&amp;IF(AND(Milestones!$AB$191="FT",Milestones!$AA$191=FT_Y5,EDATE($D54,Milestones!$AA$191)&lt;PolicyEff),1,Milestones!$AC$191)&amp;";  ","")&amp;IF(AND(EDATE($D54,Milestones!$AA$192)&lt;=AsOfDate,EDATE($D54,Milestones!$AA$192)&gt;=SchemeStart,IF($X54=0,$AD54,IF(AND($Z54&lt;&gt;"",EDATE($D54,Milestones!$AA$192)&gt;=$Z54),$AC54,IF(AND($Y54&lt;&gt;"",EDATE($D54,Milestones!$AA$192)&gt;=$Y54),$AB54,$AA54)))=Milestones!$AB$192),UPPER(TEXT(EDATE($D54,Milestones!$AA$192),"dd mmm yy"))&amp;" "&amp;Milestones!$AB$192&amp;" "&amp;IF(AND(Milestones!$AB$192="FT",Milestones!$AA$192=FT_Y5,EDATE($D54,Milestones!$AA$192)&lt;PolicyEff),1,Milestones!$AC$192)&amp;";  ","")&amp;IF(AND(EDATE($D54,Milestones!$AA$193)&lt;=AsOfDate,EDATE($D54,Milestones!$AA$193)&gt;=SchemeStart,IF($X54=0,$AD54,IF(AND($Z54&lt;&gt;"",EDATE($D54,Milestones!$AA$193)&gt;=$Z54),$AC54,IF(AND($Y54&lt;&gt;"",EDATE($D54,Milestones!$AA$193)&gt;=$Y54),$AB54,$AA54)))=Milestones!$AB$193),UPPER(TEXT(EDATE($D54,Milestones!$AA$193),"dd mmm yy"))&amp;" "&amp;Milestones!$AB$193&amp;" "&amp;IF(AND(Milestones!$AB$193="FT",Milestones!$AA$193=FT_Y5,EDATE($D54,Milestones!$AA$193)&lt;PolicyEff),1,Milestones!$AC$193)&amp;";  ","")&amp;IF(AND(EDATE($D54,Milestones!$AA$194)&lt;=AsOfDate,EDATE($D54,Milestones!$AA$194)&gt;=SchemeStart,IF($X54=0,$AD54,IF(AND($Z54&lt;&gt;"",EDATE($D54,Milestones!$AA$194)&gt;=$Z54),$AC54,IF(AND($Y54&lt;&gt;"",EDATE($D54,Milestones!$AA$194)&gt;=$Y54),$AB54,$AA54)))=Milestones!$AB$194),UPPER(TEXT(EDATE($D54,Milestones!$AA$194),"dd mmm yy"))&amp;" "&amp;Milestones!$AB$194&amp;" "&amp;IF(AND(Milestones!$AB$194="FT",Milestones!$AA$194=FT_Y5,EDATE($D54,Milestones!$AA$194)&lt;PolicyEff),1,Milestones!$AC$194)&amp;";  ","")&amp;IF(AND(EDATE($D54,Milestones!$AA$195)&lt;=AsOfDate,EDATE($D54,Milestones!$AA$195)&gt;=SchemeStart,IF($X54=0,$AD54,IF(AND($Z54&lt;&gt;"",EDATE($D54,Milestones!$AA$195)&gt;=$Z54),$AC54,IF(AND($Y54&lt;&gt;"",EDATE($D54,Milestones!$AA$195)&gt;=$Y54),$AB54,$AA54)))=Milestones!$AB$195),UPPER(TEXT(EDATE($D54,Milestones!$AA$195),"dd mmm yy"))&amp;" "&amp;Milestones!$AB$195&amp;" "&amp;IF(AND(Milestones!$AB$195="FT",Milestones!$AA$195=FT_Y5,EDATE($D54,Milestones!$AA$195)&lt;PolicyEff),1,Milestones!$AC$195)&amp;";  ","")&amp;IF(AND(EDATE($D54,Milestones!$AA$196)&lt;=AsOfDate,EDATE($D54,Milestones!$AA$196)&gt;=SchemeStart,IF($X54=0,$AD54,IF(AND($Z54&lt;&gt;"",EDATE($D54,Milestones!$AA$196)&gt;=$Z54),$AC54,IF(AND($Y54&lt;&gt;"",EDATE($D54,Milestones!$AA$196)&gt;=$Y54),$AB54,$AA54)))=Milestones!$AB$196),UPPER(TEXT(EDATE($D54,Milestones!$AA$196),"dd mmm yy"))&amp;" "&amp;Milestones!$AB$196&amp;" "&amp;IF(AND(Milestones!$AB$196="FT",Milestones!$AA$196=FT_Y5,EDATE($D54,Milestones!$AA$196)&lt;PolicyEff),1,Milestones!$AC$196)&amp;";  ","")&amp;IF(AND(EDATE($D54,Milestones!$AA$197)&lt;=AsOfDate,EDATE($D54,Milestones!$AA$197)&gt;=SchemeStart,IF($X54=0,$AD54,IF(AND($Z54&lt;&gt;"",EDATE($D54,Milestones!$AA$197)&gt;=$Z54),$AC54,IF(AND($Y54&lt;&gt;"",EDATE($D54,Milestones!$AA$197)&gt;=$Y54),$AB54,$AA54)))=Milestones!$AB$197),UPPER(TEXT(EDATE($D54,Milestones!$AA$197),"dd mmm yy"))&amp;" "&amp;Milestones!$AB$197&amp;" "&amp;IF(AND(Milestones!$AB$197="FT",Milestones!$AA$197=FT_Y5,EDATE($D54,Milestones!$AA$197)&lt;PolicyEff),1,Milestones!$AC$197)&amp;";  ","")&amp;IF(AND(EDATE($D54,Milestones!$AA$198)&lt;=AsOfDate,EDATE($D54,Milestones!$AA$198)&gt;=SchemeStart,IF($X54=0,$AD54,IF(AND($Z54&lt;&gt;"",EDATE($D54,Milestones!$AA$198)&gt;=$Z54),$AC54,IF(AND($Y54&lt;&gt;"",EDATE($D54,Milestones!$AA$198)&gt;=$Y54),$AB54,$AA54)))=Milestones!$AB$198),UPPER(TEXT(EDATE($D54,Milestones!$AA$198),"dd mmm yy"))&amp;" "&amp;Milestones!$AB$198&amp;" "&amp;IF(AND(Milestones!$AB$198="FT",Milestones!$AA$198=FT_Y5,EDATE($D54,Milestones!$AA$198)&lt;PolicyEff),1,Milestones!$AC$198)&amp;";  ","")&amp;IF(AND(EDATE($D54,Milestones!$AA$199)&lt;=AsOfDate,EDATE($D54,Milestones!$AA$199)&gt;=SchemeStart,IF($X54=0,$AD54,IF(AND($Z54&lt;&gt;"",EDATE($D54,Milestones!$AA$199)&gt;=$Z54),$AC54,IF(AND($Y54&lt;&gt;"",EDATE($D54,Milestones!$AA$199)&gt;=$Y54),$AB54,$AA54)))=Milestones!$AB$199),UPPER(TEXT(EDATE($D54,Milestones!$AA$199),"dd mmm yy"))&amp;" "&amp;Milestones!$AB$199&amp;" "&amp;IF(AND(Milestones!$AB$199="FT",Milestones!$AA$199=FT_Y5,EDATE($D54,Milestones!$AA$199)&lt;PolicyEff),1,Milestones!$AC$199)&amp;";  ",""))</f>
        <v/>
      </c>
      <c r="X54" s="0" t="str">
        <f aca="false">IF(Staff!$A54="","",Staff!$AM54)</f>
        <v/>
      </c>
      <c r="Y54" s="0" t="str">
        <f aca="false">IF(Staff!$A54="","",Staff!$AO54)</f>
        <v/>
      </c>
      <c r="Z54" s="0" t="str">
        <f aca="false">IF(Staff!$A54="","",Staff!$AP54)</f>
        <v/>
      </c>
      <c r="AA54" s="0" t="str">
        <f aca="false">IF(Staff!$A54="","",Staff!$AT54)</f>
        <v/>
      </c>
      <c r="AB54" s="0" t="str">
        <f aca="false">IF(Staff!$A54="","",Staff!$AU54)</f>
        <v/>
      </c>
      <c r="AC54" s="0" t="str">
        <f aca="false">IF(Staff!$A54="","",Staff!$AV54)</f>
        <v/>
      </c>
      <c r="AD54" s="0" t="str">
        <f aca="false">IF(Staff!$A54="","",Staff!$AW54)</f>
        <v/>
      </c>
    </row>
    <row r="55" customFormat="false" ht="15" hidden="false" customHeight="false" outlineLevel="0" collapsed="false">
      <c r="A55" s="16" t="str">
        <f aca="false">IF(Staff!$A55="","",Staff!$A55)</f>
        <v/>
      </c>
      <c r="B55" s="16" t="str">
        <f aca="false">IF(Staff!$A55="","",Staff!$B55)</f>
        <v/>
      </c>
      <c r="C55" s="16" t="str">
        <f aca="false">IF(Staff!$A55="","",Staff!$C55)</f>
        <v/>
      </c>
      <c r="D55" s="14" t="str">
        <f aca="false">IF(Staff!$A55="","",Staff!$AL55)</f>
        <v/>
      </c>
      <c r="E55" s="16" t="str">
        <f aca="false">IF(Staff!$A55="","",Staff!$O55)</f>
        <v/>
      </c>
      <c r="F55" s="16" t="str">
        <f aca="false">IF(E55="","",E55*HoursPerDay)</f>
        <v/>
      </c>
      <c r="G55" s="16" t="str">
        <f aca="false">IF(Staff!$A55="","",Staff!$AE55)</f>
        <v/>
      </c>
      <c r="H55" s="28" t="str">
        <f aca="false">IF($A55="","",I55&amp;J55&amp;K55&amp;L55&amp;M55&amp;N55&amp;O55&amp;P55&amp;Q55&amp;R55&amp;S55&amp;T55&amp;U55&amp;V55&amp;W55)</f>
        <v/>
      </c>
      <c r="I55" s="0" t="str">
        <f aca="false">IF(OR($A55="",$D55=""),"",IF(AND(EDATE($D55,Milestones!$AA$20)&lt;=AsOfDate,EDATE($D55,Milestones!$AA$20)&gt;=SchemeStart,IF($X55=0,$AD55,IF(AND($Z55&lt;&gt;"",EDATE($D55,Milestones!$AA$20)&gt;=$Z55),$AC55,IF(AND($Y55&lt;&gt;"",EDATE($D55,Milestones!$AA$20)&gt;=$Y55),$AB55,$AA55)))=Milestones!$AB$20),UPPER(TEXT(EDATE($D55,Milestones!$AA$20),"dd mmm yy"))&amp;" "&amp;Milestones!$AB$20&amp;" "&amp;IF(AND(Milestones!$AB$20="FT",Milestones!$AA$20=FT_Y5,EDATE($D55,Milestones!$AA$20)&lt;PolicyEff),1,Milestones!$AC$20)&amp;";  ","")&amp;IF(AND(EDATE($D55,Milestones!$AA$21)&lt;=AsOfDate,EDATE($D55,Milestones!$AA$21)&gt;=SchemeStart,IF($X55=0,$AD55,IF(AND($Z55&lt;&gt;"",EDATE($D55,Milestones!$AA$21)&gt;=$Z55),$AC55,IF(AND($Y55&lt;&gt;"",EDATE($D55,Milestones!$AA$21)&gt;=$Y55),$AB55,$AA55)))=Milestones!$AB$21),UPPER(TEXT(EDATE($D55,Milestones!$AA$21),"dd mmm yy"))&amp;" "&amp;Milestones!$AB$21&amp;" "&amp;IF(AND(Milestones!$AB$21="FT",Milestones!$AA$21=FT_Y5,EDATE($D55,Milestones!$AA$21)&lt;PolicyEff),1,Milestones!$AC$21)&amp;";  ","")&amp;IF(AND(EDATE($D55,Milestones!$AA$22)&lt;=AsOfDate,EDATE($D55,Milestones!$AA$22)&gt;=SchemeStart,IF($X55=0,$AD55,IF(AND($Z55&lt;&gt;"",EDATE($D55,Milestones!$AA$22)&gt;=$Z55),$AC55,IF(AND($Y55&lt;&gt;"",EDATE($D55,Milestones!$AA$22)&gt;=$Y55),$AB55,$AA55)))=Milestones!$AB$22),UPPER(TEXT(EDATE($D55,Milestones!$AA$22),"dd mmm yy"))&amp;" "&amp;Milestones!$AB$22&amp;" "&amp;IF(AND(Milestones!$AB$22="FT",Milestones!$AA$22=FT_Y5,EDATE($D55,Milestones!$AA$22)&lt;PolicyEff),1,Milestones!$AC$22)&amp;";  ","")&amp;IF(AND(EDATE($D55,Milestones!$AA$23)&lt;=AsOfDate,EDATE($D55,Milestones!$AA$23)&gt;=SchemeStart,IF($X55=0,$AD55,IF(AND($Z55&lt;&gt;"",EDATE($D55,Milestones!$AA$23)&gt;=$Z55),$AC55,IF(AND($Y55&lt;&gt;"",EDATE($D55,Milestones!$AA$23)&gt;=$Y55),$AB55,$AA55)))=Milestones!$AB$23),UPPER(TEXT(EDATE($D55,Milestones!$AA$23),"dd mmm yy"))&amp;" "&amp;Milestones!$AB$23&amp;" "&amp;IF(AND(Milestones!$AB$23="FT",Milestones!$AA$23=FT_Y5,EDATE($D55,Milestones!$AA$23)&lt;PolicyEff),1,Milestones!$AC$23)&amp;";  ","")&amp;IF(AND(EDATE($D55,Milestones!$AA$24)&lt;=AsOfDate,EDATE($D55,Milestones!$AA$24)&gt;=SchemeStart,IF($X55=0,$AD55,IF(AND($Z55&lt;&gt;"",EDATE($D55,Milestones!$AA$24)&gt;=$Z55),$AC55,IF(AND($Y55&lt;&gt;"",EDATE($D55,Milestones!$AA$24)&gt;=$Y55),$AB55,$AA55)))=Milestones!$AB$24),UPPER(TEXT(EDATE($D55,Milestones!$AA$24),"dd mmm yy"))&amp;" "&amp;Milestones!$AB$24&amp;" "&amp;IF(AND(Milestones!$AB$24="FT",Milestones!$AA$24=FT_Y5,EDATE($D55,Milestones!$AA$24)&lt;PolicyEff),1,Milestones!$AC$24)&amp;";  ","")&amp;IF(AND(EDATE($D55,Milestones!$AA$25)&lt;=AsOfDate,EDATE($D55,Milestones!$AA$25)&gt;=SchemeStart,IF($X55=0,$AD55,IF(AND($Z55&lt;&gt;"",EDATE($D55,Milestones!$AA$25)&gt;=$Z55),$AC55,IF(AND($Y55&lt;&gt;"",EDATE($D55,Milestones!$AA$25)&gt;=$Y55),$AB55,$AA55)))=Milestones!$AB$25),UPPER(TEXT(EDATE($D55,Milestones!$AA$25),"dd mmm yy"))&amp;" "&amp;Milestones!$AB$25&amp;" "&amp;IF(AND(Milestones!$AB$25="FT",Milestones!$AA$25=FT_Y5,EDATE($D55,Milestones!$AA$25)&lt;PolicyEff),1,Milestones!$AC$25)&amp;";  ","")&amp;IF(AND(EDATE($D55,Milestones!$AA$26)&lt;=AsOfDate,EDATE($D55,Milestones!$AA$26)&gt;=SchemeStart,IF($X55=0,$AD55,IF(AND($Z55&lt;&gt;"",EDATE($D55,Milestones!$AA$26)&gt;=$Z55),$AC55,IF(AND($Y55&lt;&gt;"",EDATE($D55,Milestones!$AA$26)&gt;=$Y55),$AB55,$AA55)))=Milestones!$AB$26),UPPER(TEXT(EDATE($D55,Milestones!$AA$26),"dd mmm yy"))&amp;" "&amp;Milestones!$AB$26&amp;" "&amp;IF(AND(Milestones!$AB$26="FT",Milestones!$AA$26=FT_Y5,EDATE($D55,Milestones!$AA$26)&lt;PolicyEff),1,Milestones!$AC$26)&amp;";  ","")&amp;IF(AND(EDATE($D55,Milestones!$AA$27)&lt;=AsOfDate,EDATE($D55,Milestones!$AA$27)&gt;=SchemeStart,IF($X55=0,$AD55,IF(AND($Z55&lt;&gt;"",EDATE($D55,Milestones!$AA$27)&gt;=$Z55),$AC55,IF(AND($Y55&lt;&gt;"",EDATE($D55,Milestones!$AA$27)&gt;=$Y55),$AB55,$AA55)))=Milestones!$AB$27),UPPER(TEXT(EDATE($D55,Milestones!$AA$27),"dd mmm yy"))&amp;" "&amp;Milestones!$AB$27&amp;" "&amp;IF(AND(Milestones!$AB$27="FT",Milestones!$AA$27=FT_Y5,EDATE($D55,Milestones!$AA$27)&lt;PolicyEff),1,Milestones!$AC$27)&amp;";  ","")&amp;IF(AND(EDATE($D55,Milestones!$AA$28)&lt;=AsOfDate,EDATE($D55,Milestones!$AA$28)&gt;=SchemeStart,IF($X55=0,$AD55,IF(AND($Z55&lt;&gt;"",EDATE($D55,Milestones!$AA$28)&gt;=$Z55),$AC55,IF(AND($Y55&lt;&gt;"",EDATE($D55,Milestones!$AA$28)&gt;=$Y55),$AB55,$AA55)))=Milestones!$AB$28),UPPER(TEXT(EDATE($D55,Milestones!$AA$28),"dd mmm yy"))&amp;" "&amp;Milestones!$AB$28&amp;" "&amp;IF(AND(Milestones!$AB$28="FT",Milestones!$AA$28=FT_Y5,EDATE($D55,Milestones!$AA$28)&lt;PolicyEff),1,Milestones!$AC$28)&amp;";  ","")&amp;IF(AND(EDATE($D55,Milestones!$AA$29)&lt;=AsOfDate,EDATE($D55,Milestones!$AA$29)&gt;=SchemeStart,IF($X55=0,$AD55,IF(AND($Z55&lt;&gt;"",EDATE($D55,Milestones!$AA$29)&gt;=$Z55),$AC55,IF(AND($Y55&lt;&gt;"",EDATE($D55,Milestones!$AA$29)&gt;=$Y55),$AB55,$AA55)))=Milestones!$AB$29),UPPER(TEXT(EDATE($D55,Milestones!$AA$29),"dd mmm yy"))&amp;" "&amp;Milestones!$AB$29&amp;" "&amp;IF(AND(Milestones!$AB$29="FT",Milestones!$AA$29=FT_Y5,EDATE($D55,Milestones!$AA$29)&lt;PolicyEff),1,Milestones!$AC$29)&amp;";  ","")&amp;IF(AND(EDATE($D55,Milestones!$AA$30)&lt;=AsOfDate,EDATE($D55,Milestones!$AA$30)&gt;=SchemeStart,IF($X55=0,$AD55,IF(AND($Z55&lt;&gt;"",EDATE($D55,Milestones!$AA$30)&gt;=$Z55),$AC55,IF(AND($Y55&lt;&gt;"",EDATE($D55,Milestones!$AA$30)&gt;=$Y55),$AB55,$AA55)))=Milestones!$AB$30),UPPER(TEXT(EDATE($D55,Milestones!$AA$30),"dd mmm yy"))&amp;" "&amp;Milestones!$AB$30&amp;" "&amp;IF(AND(Milestones!$AB$30="FT",Milestones!$AA$30=FT_Y5,EDATE($D55,Milestones!$AA$30)&lt;PolicyEff),1,Milestones!$AC$30)&amp;";  ","")&amp;IF(AND(EDATE($D55,Milestones!$AA$31)&lt;=AsOfDate,EDATE($D55,Milestones!$AA$31)&gt;=SchemeStart,IF($X55=0,$AD55,IF(AND($Z55&lt;&gt;"",EDATE($D55,Milestones!$AA$31)&gt;=$Z55),$AC55,IF(AND($Y55&lt;&gt;"",EDATE($D55,Milestones!$AA$31)&gt;=$Y55),$AB55,$AA55)))=Milestones!$AB$31),UPPER(TEXT(EDATE($D55,Milestones!$AA$31),"dd mmm yy"))&amp;" "&amp;Milestones!$AB$31&amp;" "&amp;IF(AND(Milestones!$AB$31="FT",Milestones!$AA$31=FT_Y5,EDATE($D55,Milestones!$AA$31)&lt;PolicyEff),1,Milestones!$AC$31)&amp;";  ",""))</f>
        <v/>
      </c>
      <c r="J55" s="0" t="str">
        <f aca="false">IF(OR($A55="",$D55=""),"",IF(AND(EDATE($D55,Milestones!$AA$32)&lt;=AsOfDate,EDATE($D55,Milestones!$AA$32)&gt;=SchemeStart,IF($X55=0,$AD55,IF(AND($Z55&lt;&gt;"",EDATE($D55,Milestones!$AA$32)&gt;=$Z55),$AC55,IF(AND($Y55&lt;&gt;"",EDATE($D55,Milestones!$AA$32)&gt;=$Y55),$AB55,$AA55)))=Milestones!$AB$32),UPPER(TEXT(EDATE($D55,Milestones!$AA$32),"dd mmm yy"))&amp;" "&amp;Milestones!$AB$32&amp;" "&amp;IF(AND(Milestones!$AB$32="FT",Milestones!$AA$32=FT_Y5,EDATE($D55,Milestones!$AA$32)&lt;PolicyEff),1,Milestones!$AC$32)&amp;";  ","")&amp;IF(AND(EDATE($D55,Milestones!$AA$33)&lt;=AsOfDate,EDATE($D55,Milestones!$AA$33)&gt;=SchemeStart,IF($X55=0,$AD55,IF(AND($Z55&lt;&gt;"",EDATE($D55,Milestones!$AA$33)&gt;=$Z55),$AC55,IF(AND($Y55&lt;&gt;"",EDATE($D55,Milestones!$AA$33)&gt;=$Y55),$AB55,$AA55)))=Milestones!$AB$33),UPPER(TEXT(EDATE($D55,Milestones!$AA$33),"dd mmm yy"))&amp;" "&amp;Milestones!$AB$33&amp;" "&amp;IF(AND(Milestones!$AB$33="FT",Milestones!$AA$33=FT_Y5,EDATE($D55,Milestones!$AA$33)&lt;PolicyEff),1,Milestones!$AC$33)&amp;";  ","")&amp;IF(AND(EDATE($D55,Milestones!$AA$34)&lt;=AsOfDate,EDATE($D55,Milestones!$AA$34)&gt;=SchemeStart,IF($X55=0,$AD55,IF(AND($Z55&lt;&gt;"",EDATE($D55,Milestones!$AA$34)&gt;=$Z55),$AC55,IF(AND($Y55&lt;&gt;"",EDATE($D55,Milestones!$AA$34)&gt;=$Y55),$AB55,$AA55)))=Milestones!$AB$34),UPPER(TEXT(EDATE($D55,Milestones!$AA$34),"dd mmm yy"))&amp;" "&amp;Milestones!$AB$34&amp;" "&amp;IF(AND(Milestones!$AB$34="FT",Milestones!$AA$34=FT_Y5,EDATE($D55,Milestones!$AA$34)&lt;PolicyEff),1,Milestones!$AC$34)&amp;";  ","")&amp;IF(AND(EDATE($D55,Milestones!$AA$35)&lt;=AsOfDate,EDATE($D55,Milestones!$AA$35)&gt;=SchemeStart,IF($X55=0,$AD55,IF(AND($Z55&lt;&gt;"",EDATE($D55,Milestones!$AA$35)&gt;=$Z55),$AC55,IF(AND($Y55&lt;&gt;"",EDATE($D55,Milestones!$AA$35)&gt;=$Y55),$AB55,$AA55)))=Milestones!$AB$35),UPPER(TEXT(EDATE($D55,Milestones!$AA$35),"dd mmm yy"))&amp;" "&amp;Milestones!$AB$35&amp;" "&amp;IF(AND(Milestones!$AB$35="FT",Milestones!$AA$35=FT_Y5,EDATE($D55,Milestones!$AA$35)&lt;PolicyEff),1,Milestones!$AC$35)&amp;";  ","")&amp;IF(AND(EDATE($D55,Milestones!$AA$36)&lt;=AsOfDate,EDATE($D55,Milestones!$AA$36)&gt;=SchemeStart,IF($X55=0,$AD55,IF(AND($Z55&lt;&gt;"",EDATE($D55,Milestones!$AA$36)&gt;=$Z55),$AC55,IF(AND($Y55&lt;&gt;"",EDATE($D55,Milestones!$AA$36)&gt;=$Y55),$AB55,$AA55)))=Milestones!$AB$36),UPPER(TEXT(EDATE($D55,Milestones!$AA$36),"dd mmm yy"))&amp;" "&amp;Milestones!$AB$36&amp;" "&amp;IF(AND(Milestones!$AB$36="FT",Milestones!$AA$36=FT_Y5,EDATE($D55,Milestones!$AA$36)&lt;PolicyEff),1,Milestones!$AC$36)&amp;";  ","")&amp;IF(AND(EDATE($D55,Milestones!$AA$37)&lt;=AsOfDate,EDATE($D55,Milestones!$AA$37)&gt;=SchemeStart,IF($X55=0,$AD55,IF(AND($Z55&lt;&gt;"",EDATE($D55,Milestones!$AA$37)&gt;=$Z55),$AC55,IF(AND($Y55&lt;&gt;"",EDATE($D55,Milestones!$AA$37)&gt;=$Y55),$AB55,$AA55)))=Milestones!$AB$37),UPPER(TEXT(EDATE($D55,Milestones!$AA$37),"dd mmm yy"))&amp;" "&amp;Milestones!$AB$37&amp;" "&amp;IF(AND(Milestones!$AB$37="FT",Milestones!$AA$37=FT_Y5,EDATE($D55,Milestones!$AA$37)&lt;PolicyEff),1,Milestones!$AC$37)&amp;";  ","")&amp;IF(AND(EDATE($D55,Milestones!$AA$38)&lt;=AsOfDate,EDATE($D55,Milestones!$AA$38)&gt;=SchemeStart,IF($X55=0,$AD55,IF(AND($Z55&lt;&gt;"",EDATE($D55,Milestones!$AA$38)&gt;=$Z55),$AC55,IF(AND($Y55&lt;&gt;"",EDATE($D55,Milestones!$AA$38)&gt;=$Y55),$AB55,$AA55)))=Milestones!$AB$38),UPPER(TEXT(EDATE($D55,Milestones!$AA$38),"dd mmm yy"))&amp;" "&amp;Milestones!$AB$38&amp;" "&amp;IF(AND(Milestones!$AB$38="FT",Milestones!$AA$38=FT_Y5,EDATE($D55,Milestones!$AA$38)&lt;PolicyEff),1,Milestones!$AC$38)&amp;";  ","")&amp;IF(AND(EDATE($D55,Milestones!$AA$39)&lt;=AsOfDate,EDATE($D55,Milestones!$AA$39)&gt;=SchemeStart,IF($X55=0,$AD55,IF(AND($Z55&lt;&gt;"",EDATE($D55,Milestones!$AA$39)&gt;=$Z55),$AC55,IF(AND($Y55&lt;&gt;"",EDATE($D55,Milestones!$AA$39)&gt;=$Y55),$AB55,$AA55)))=Milestones!$AB$39),UPPER(TEXT(EDATE($D55,Milestones!$AA$39),"dd mmm yy"))&amp;" "&amp;Milestones!$AB$39&amp;" "&amp;IF(AND(Milestones!$AB$39="FT",Milestones!$AA$39=FT_Y5,EDATE($D55,Milestones!$AA$39)&lt;PolicyEff),1,Milestones!$AC$39)&amp;";  ","")&amp;IF(AND(EDATE($D55,Milestones!$AA$40)&lt;=AsOfDate,EDATE($D55,Milestones!$AA$40)&gt;=SchemeStart,IF($X55=0,$AD55,IF(AND($Z55&lt;&gt;"",EDATE($D55,Milestones!$AA$40)&gt;=$Z55),$AC55,IF(AND($Y55&lt;&gt;"",EDATE($D55,Milestones!$AA$40)&gt;=$Y55),$AB55,$AA55)))=Milestones!$AB$40),UPPER(TEXT(EDATE($D55,Milestones!$AA$40),"dd mmm yy"))&amp;" "&amp;Milestones!$AB$40&amp;" "&amp;IF(AND(Milestones!$AB$40="FT",Milestones!$AA$40=FT_Y5,EDATE($D55,Milestones!$AA$40)&lt;PolicyEff),1,Milestones!$AC$40)&amp;";  ","")&amp;IF(AND(EDATE($D55,Milestones!$AA$41)&lt;=AsOfDate,EDATE($D55,Milestones!$AA$41)&gt;=SchemeStart,IF($X55=0,$AD55,IF(AND($Z55&lt;&gt;"",EDATE($D55,Milestones!$AA$41)&gt;=$Z55),$AC55,IF(AND($Y55&lt;&gt;"",EDATE($D55,Milestones!$AA$41)&gt;=$Y55),$AB55,$AA55)))=Milestones!$AB$41),UPPER(TEXT(EDATE($D55,Milestones!$AA$41),"dd mmm yy"))&amp;" "&amp;Milestones!$AB$41&amp;" "&amp;IF(AND(Milestones!$AB$41="FT",Milestones!$AA$41=FT_Y5,EDATE($D55,Milestones!$AA$41)&lt;PolicyEff),1,Milestones!$AC$41)&amp;";  ","")&amp;IF(AND(EDATE($D55,Milestones!$AA$42)&lt;=AsOfDate,EDATE($D55,Milestones!$AA$42)&gt;=SchemeStart,IF($X55=0,$AD55,IF(AND($Z55&lt;&gt;"",EDATE($D55,Milestones!$AA$42)&gt;=$Z55),$AC55,IF(AND($Y55&lt;&gt;"",EDATE($D55,Milestones!$AA$42)&gt;=$Y55),$AB55,$AA55)))=Milestones!$AB$42),UPPER(TEXT(EDATE($D55,Milestones!$AA$42),"dd mmm yy"))&amp;" "&amp;Milestones!$AB$42&amp;" "&amp;IF(AND(Milestones!$AB$42="FT",Milestones!$AA$42=FT_Y5,EDATE($D55,Milestones!$AA$42)&lt;PolicyEff),1,Milestones!$AC$42)&amp;";  ","")&amp;IF(AND(EDATE($D55,Milestones!$AA$43)&lt;=AsOfDate,EDATE($D55,Milestones!$AA$43)&gt;=SchemeStart,IF($X55=0,$AD55,IF(AND($Z55&lt;&gt;"",EDATE($D55,Milestones!$AA$43)&gt;=$Z55),$AC55,IF(AND($Y55&lt;&gt;"",EDATE($D55,Milestones!$AA$43)&gt;=$Y55),$AB55,$AA55)))=Milestones!$AB$43),UPPER(TEXT(EDATE($D55,Milestones!$AA$43),"dd mmm yy"))&amp;" "&amp;Milestones!$AB$43&amp;" "&amp;IF(AND(Milestones!$AB$43="FT",Milestones!$AA$43=FT_Y5,EDATE($D55,Milestones!$AA$43)&lt;PolicyEff),1,Milestones!$AC$43)&amp;";  ",""))</f>
        <v/>
      </c>
      <c r="K55" s="0" t="str">
        <f aca="false">IF(OR($A55="",$D55=""),"",IF(AND(EDATE($D55,Milestones!$AA$44)&lt;=AsOfDate,EDATE($D55,Milestones!$AA$44)&gt;=SchemeStart,IF($X55=0,$AD55,IF(AND($Z55&lt;&gt;"",EDATE($D55,Milestones!$AA$44)&gt;=$Z55),$AC55,IF(AND($Y55&lt;&gt;"",EDATE($D55,Milestones!$AA$44)&gt;=$Y55),$AB55,$AA55)))=Milestones!$AB$44),UPPER(TEXT(EDATE($D55,Milestones!$AA$44),"dd mmm yy"))&amp;" "&amp;Milestones!$AB$44&amp;" "&amp;IF(AND(Milestones!$AB$44="FT",Milestones!$AA$44=FT_Y5,EDATE($D55,Milestones!$AA$44)&lt;PolicyEff),1,Milestones!$AC$44)&amp;";  ","")&amp;IF(AND(EDATE($D55,Milestones!$AA$45)&lt;=AsOfDate,EDATE($D55,Milestones!$AA$45)&gt;=SchemeStart,IF($X55=0,$AD55,IF(AND($Z55&lt;&gt;"",EDATE($D55,Milestones!$AA$45)&gt;=$Z55),$AC55,IF(AND($Y55&lt;&gt;"",EDATE($D55,Milestones!$AA$45)&gt;=$Y55),$AB55,$AA55)))=Milestones!$AB$45),UPPER(TEXT(EDATE($D55,Milestones!$AA$45),"dd mmm yy"))&amp;" "&amp;Milestones!$AB$45&amp;" "&amp;IF(AND(Milestones!$AB$45="FT",Milestones!$AA$45=FT_Y5,EDATE($D55,Milestones!$AA$45)&lt;PolicyEff),1,Milestones!$AC$45)&amp;";  ","")&amp;IF(AND(EDATE($D55,Milestones!$AA$46)&lt;=AsOfDate,EDATE($D55,Milestones!$AA$46)&gt;=SchemeStart,IF($X55=0,$AD55,IF(AND($Z55&lt;&gt;"",EDATE($D55,Milestones!$AA$46)&gt;=$Z55),$AC55,IF(AND($Y55&lt;&gt;"",EDATE($D55,Milestones!$AA$46)&gt;=$Y55),$AB55,$AA55)))=Milestones!$AB$46),UPPER(TEXT(EDATE($D55,Milestones!$AA$46),"dd mmm yy"))&amp;" "&amp;Milestones!$AB$46&amp;" "&amp;IF(AND(Milestones!$AB$46="FT",Milestones!$AA$46=FT_Y5,EDATE($D55,Milestones!$AA$46)&lt;PolicyEff),1,Milestones!$AC$46)&amp;";  ","")&amp;IF(AND(EDATE($D55,Milestones!$AA$47)&lt;=AsOfDate,EDATE($D55,Milestones!$AA$47)&gt;=SchemeStart,IF($X55=0,$AD55,IF(AND($Z55&lt;&gt;"",EDATE($D55,Milestones!$AA$47)&gt;=$Z55),$AC55,IF(AND($Y55&lt;&gt;"",EDATE($D55,Milestones!$AA$47)&gt;=$Y55),$AB55,$AA55)))=Milestones!$AB$47),UPPER(TEXT(EDATE($D55,Milestones!$AA$47),"dd mmm yy"))&amp;" "&amp;Milestones!$AB$47&amp;" "&amp;IF(AND(Milestones!$AB$47="FT",Milestones!$AA$47=FT_Y5,EDATE($D55,Milestones!$AA$47)&lt;PolicyEff),1,Milestones!$AC$47)&amp;";  ","")&amp;IF(AND(EDATE($D55,Milestones!$AA$48)&lt;=AsOfDate,EDATE($D55,Milestones!$AA$48)&gt;=SchemeStart,IF($X55=0,$AD55,IF(AND($Z55&lt;&gt;"",EDATE($D55,Milestones!$AA$48)&gt;=$Z55),$AC55,IF(AND($Y55&lt;&gt;"",EDATE($D55,Milestones!$AA$48)&gt;=$Y55),$AB55,$AA55)))=Milestones!$AB$48),UPPER(TEXT(EDATE($D55,Milestones!$AA$48),"dd mmm yy"))&amp;" "&amp;Milestones!$AB$48&amp;" "&amp;IF(AND(Milestones!$AB$48="FT",Milestones!$AA$48=FT_Y5,EDATE($D55,Milestones!$AA$48)&lt;PolicyEff),1,Milestones!$AC$48)&amp;";  ","")&amp;IF(AND(EDATE($D55,Milestones!$AA$49)&lt;=AsOfDate,EDATE($D55,Milestones!$AA$49)&gt;=SchemeStart,IF($X55=0,$AD55,IF(AND($Z55&lt;&gt;"",EDATE($D55,Milestones!$AA$49)&gt;=$Z55),$AC55,IF(AND($Y55&lt;&gt;"",EDATE($D55,Milestones!$AA$49)&gt;=$Y55),$AB55,$AA55)))=Milestones!$AB$49),UPPER(TEXT(EDATE($D55,Milestones!$AA$49),"dd mmm yy"))&amp;" "&amp;Milestones!$AB$49&amp;" "&amp;IF(AND(Milestones!$AB$49="FT",Milestones!$AA$49=FT_Y5,EDATE($D55,Milestones!$AA$49)&lt;PolicyEff),1,Milestones!$AC$49)&amp;";  ","")&amp;IF(AND(EDATE($D55,Milestones!$AA$50)&lt;=AsOfDate,EDATE($D55,Milestones!$AA$50)&gt;=SchemeStart,IF($X55=0,$AD55,IF(AND($Z55&lt;&gt;"",EDATE($D55,Milestones!$AA$50)&gt;=$Z55),$AC55,IF(AND($Y55&lt;&gt;"",EDATE($D55,Milestones!$AA$50)&gt;=$Y55),$AB55,$AA55)))=Milestones!$AB$50),UPPER(TEXT(EDATE($D55,Milestones!$AA$50),"dd mmm yy"))&amp;" "&amp;Milestones!$AB$50&amp;" "&amp;IF(AND(Milestones!$AB$50="FT",Milestones!$AA$50=FT_Y5,EDATE($D55,Milestones!$AA$50)&lt;PolicyEff),1,Milestones!$AC$50)&amp;";  ","")&amp;IF(AND(EDATE($D55,Milestones!$AA$51)&lt;=AsOfDate,EDATE($D55,Milestones!$AA$51)&gt;=SchemeStart,IF($X55=0,$AD55,IF(AND($Z55&lt;&gt;"",EDATE($D55,Milestones!$AA$51)&gt;=$Z55),$AC55,IF(AND($Y55&lt;&gt;"",EDATE($D55,Milestones!$AA$51)&gt;=$Y55),$AB55,$AA55)))=Milestones!$AB$51),UPPER(TEXT(EDATE($D55,Milestones!$AA$51),"dd mmm yy"))&amp;" "&amp;Milestones!$AB$51&amp;" "&amp;IF(AND(Milestones!$AB$51="FT",Milestones!$AA$51=FT_Y5,EDATE($D55,Milestones!$AA$51)&lt;PolicyEff),1,Milestones!$AC$51)&amp;";  ","")&amp;IF(AND(EDATE($D55,Milestones!$AA$52)&lt;=AsOfDate,EDATE($D55,Milestones!$AA$52)&gt;=SchemeStart,IF($X55=0,$AD55,IF(AND($Z55&lt;&gt;"",EDATE($D55,Milestones!$AA$52)&gt;=$Z55),$AC55,IF(AND($Y55&lt;&gt;"",EDATE($D55,Milestones!$AA$52)&gt;=$Y55),$AB55,$AA55)))=Milestones!$AB$52),UPPER(TEXT(EDATE($D55,Milestones!$AA$52),"dd mmm yy"))&amp;" "&amp;Milestones!$AB$52&amp;" "&amp;IF(AND(Milestones!$AB$52="FT",Milestones!$AA$52=FT_Y5,EDATE($D55,Milestones!$AA$52)&lt;PolicyEff),1,Milestones!$AC$52)&amp;";  ","")&amp;IF(AND(EDATE($D55,Milestones!$AA$53)&lt;=AsOfDate,EDATE($D55,Milestones!$AA$53)&gt;=SchemeStart,IF($X55=0,$AD55,IF(AND($Z55&lt;&gt;"",EDATE($D55,Milestones!$AA$53)&gt;=$Z55),$AC55,IF(AND($Y55&lt;&gt;"",EDATE($D55,Milestones!$AA$53)&gt;=$Y55),$AB55,$AA55)))=Milestones!$AB$53),UPPER(TEXT(EDATE($D55,Milestones!$AA$53),"dd mmm yy"))&amp;" "&amp;Milestones!$AB$53&amp;" "&amp;IF(AND(Milestones!$AB$53="FT",Milestones!$AA$53=FT_Y5,EDATE($D55,Milestones!$AA$53)&lt;PolicyEff),1,Milestones!$AC$53)&amp;";  ","")&amp;IF(AND(EDATE($D55,Milestones!$AA$54)&lt;=AsOfDate,EDATE($D55,Milestones!$AA$54)&gt;=SchemeStart,IF($X55=0,$AD55,IF(AND($Z55&lt;&gt;"",EDATE($D55,Milestones!$AA$54)&gt;=$Z55),$AC55,IF(AND($Y55&lt;&gt;"",EDATE($D55,Milestones!$AA$54)&gt;=$Y55),$AB55,$AA55)))=Milestones!$AB$54),UPPER(TEXT(EDATE($D55,Milestones!$AA$54),"dd mmm yy"))&amp;" "&amp;Milestones!$AB$54&amp;" "&amp;IF(AND(Milestones!$AB$54="FT",Milestones!$AA$54=FT_Y5,EDATE($D55,Milestones!$AA$54)&lt;PolicyEff),1,Milestones!$AC$54)&amp;";  ","")&amp;IF(AND(EDATE($D55,Milestones!$AA$55)&lt;=AsOfDate,EDATE($D55,Milestones!$AA$55)&gt;=SchemeStart,IF($X55=0,$AD55,IF(AND($Z55&lt;&gt;"",EDATE($D55,Milestones!$AA$55)&gt;=$Z55),$AC55,IF(AND($Y55&lt;&gt;"",EDATE($D55,Milestones!$AA$55)&gt;=$Y55),$AB55,$AA55)))=Milestones!$AB$55),UPPER(TEXT(EDATE($D55,Milestones!$AA$55),"dd mmm yy"))&amp;" "&amp;Milestones!$AB$55&amp;" "&amp;IF(AND(Milestones!$AB$55="FT",Milestones!$AA$55=FT_Y5,EDATE($D55,Milestones!$AA$55)&lt;PolicyEff),1,Milestones!$AC$55)&amp;";  ",""))</f>
        <v/>
      </c>
      <c r="L55" s="0" t="str">
        <f aca="false">IF(OR($A55="",$D55=""),"",IF(AND(EDATE($D55,Milestones!$AA$56)&lt;=AsOfDate,EDATE($D55,Milestones!$AA$56)&gt;=SchemeStart,IF($X55=0,$AD55,IF(AND($Z55&lt;&gt;"",EDATE($D55,Milestones!$AA$56)&gt;=$Z55),$AC55,IF(AND($Y55&lt;&gt;"",EDATE($D55,Milestones!$AA$56)&gt;=$Y55),$AB55,$AA55)))=Milestones!$AB$56),UPPER(TEXT(EDATE($D55,Milestones!$AA$56),"dd mmm yy"))&amp;" "&amp;Milestones!$AB$56&amp;" "&amp;IF(AND(Milestones!$AB$56="FT",Milestones!$AA$56=FT_Y5,EDATE($D55,Milestones!$AA$56)&lt;PolicyEff),1,Milestones!$AC$56)&amp;";  ","")&amp;IF(AND(EDATE($D55,Milestones!$AA$57)&lt;=AsOfDate,EDATE($D55,Milestones!$AA$57)&gt;=SchemeStart,IF($X55=0,$AD55,IF(AND($Z55&lt;&gt;"",EDATE($D55,Milestones!$AA$57)&gt;=$Z55),$AC55,IF(AND($Y55&lt;&gt;"",EDATE($D55,Milestones!$AA$57)&gt;=$Y55),$AB55,$AA55)))=Milestones!$AB$57),UPPER(TEXT(EDATE($D55,Milestones!$AA$57),"dd mmm yy"))&amp;" "&amp;Milestones!$AB$57&amp;" "&amp;IF(AND(Milestones!$AB$57="FT",Milestones!$AA$57=FT_Y5,EDATE($D55,Milestones!$AA$57)&lt;PolicyEff),1,Milestones!$AC$57)&amp;";  ","")&amp;IF(AND(EDATE($D55,Milestones!$AA$58)&lt;=AsOfDate,EDATE($D55,Milestones!$AA$58)&gt;=SchemeStart,IF($X55=0,$AD55,IF(AND($Z55&lt;&gt;"",EDATE($D55,Milestones!$AA$58)&gt;=$Z55),$AC55,IF(AND($Y55&lt;&gt;"",EDATE($D55,Milestones!$AA$58)&gt;=$Y55),$AB55,$AA55)))=Milestones!$AB$58),UPPER(TEXT(EDATE($D55,Milestones!$AA$58),"dd mmm yy"))&amp;" "&amp;Milestones!$AB$58&amp;" "&amp;IF(AND(Milestones!$AB$58="FT",Milestones!$AA$58=FT_Y5,EDATE($D55,Milestones!$AA$58)&lt;PolicyEff),1,Milestones!$AC$58)&amp;";  ","")&amp;IF(AND(EDATE($D55,Milestones!$AA$59)&lt;=AsOfDate,EDATE($D55,Milestones!$AA$59)&gt;=SchemeStart,IF($X55=0,$AD55,IF(AND($Z55&lt;&gt;"",EDATE($D55,Milestones!$AA$59)&gt;=$Z55),$AC55,IF(AND($Y55&lt;&gt;"",EDATE($D55,Milestones!$AA$59)&gt;=$Y55),$AB55,$AA55)))=Milestones!$AB$59),UPPER(TEXT(EDATE($D55,Milestones!$AA$59),"dd mmm yy"))&amp;" "&amp;Milestones!$AB$59&amp;" "&amp;IF(AND(Milestones!$AB$59="FT",Milestones!$AA$59=FT_Y5,EDATE($D55,Milestones!$AA$59)&lt;PolicyEff),1,Milestones!$AC$59)&amp;";  ","")&amp;IF(AND(EDATE($D55,Milestones!$AA$60)&lt;=AsOfDate,EDATE($D55,Milestones!$AA$60)&gt;=SchemeStart,IF($X55=0,$AD55,IF(AND($Z55&lt;&gt;"",EDATE($D55,Milestones!$AA$60)&gt;=$Z55),$AC55,IF(AND($Y55&lt;&gt;"",EDATE($D55,Milestones!$AA$60)&gt;=$Y55),$AB55,$AA55)))=Milestones!$AB$60),UPPER(TEXT(EDATE($D55,Milestones!$AA$60),"dd mmm yy"))&amp;" "&amp;Milestones!$AB$60&amp;" "&amp;IF(AND(Milestones!$AB$60="FT",Milestones!$AA$60=FT_Y5,EDATE($D55,Milestones!$AA$60)&lt;PolicyEff),1,Milestones!$AC$60)&amp;";  ","")&amp;IF(AND(EDATE($D55,Milestones!$AA$61)&lt;=AsOfDate,EDATE($D55,Milestones!$AA$61)&gt;=SchemeStart,IF($X55=0,$AD55,IF(AND($Z55&lt;&gt;"",EDATE($D55,Milestones!$AA$61)&gt;=$Z55),$AC55,IF(AND($Y55&lt;&gt;"",EDATE($D55,Milestones!$AA$61)&gt;=$Y55),$AB55,$AA55)))=Milestones!$AB$61),UPPER(TEXT(EDATE($D55,Milestones!$AA$61),"dd mmm yy"))&amp;" "&amp;Milestones!$AB$61&amp;" "&amp;IF(AND(Milestones!$AB$61="FT",Milestones!$AA$61=FT_Y5,EDATE($D55,Milestones!$AA$61)&lt;PolicyEff),1,Milestones!$AC$61)&amp;";  ","")&amp;IF(AND(EDATE($D55,Milestones!$AA$62)&lt;=AsOfDate,EDATE($D55,Milestones!$AA$62)&gt;=SchemeStart,IF($X55=0,$AD55,IF(AND($Z55&lt;&gt;"",EDATE($D55,Milestones!$AA$62)&gt;=$Z55),$AC55,IF(AND($Y55&lt;&gt;"",EDATE($D55,Milestones!$AA$62)&gt;=$Y55),$AB55,$AA55)))=Milestones!$AB$62),UPPER(TEXT(EDATE($D55,Milestones!$AA$62),"dd mmm yy"))&amp;" "&amp;Milestones!$AB$62&amp;" "&amp;IF(AND(Milestones!$AB$62="FT",Milestones!$AA$62=FT_Y5,EDATE($D55,Milestones!$AA$62)&lt;PolicyEff),1,Milestones!$AC$62)&amp;";  ","")&amp;IF(AND(EDATE($D55,Milestones!$AA$63)&lt;=AsOfDate,EDATE($D55,Milestones!$AA$63)&gt;=SchemeStart,IF($X55=0,$AD55,IF(AND($Z55&lt;&gt;"",EDATE($D55,Milestones!$AA$63)&gt;=$Z55),$AC55,IF(AND($Y55&lt;&gt;"",EDATE($D55,Milestones!$AA$63)&gt;=$Y55),$AB55,$AA55)))=Milestones!$AB$63),UPPER(TEXT(EDATE($D55,Milestones!$AA$63),"dd mmm yy"))&amp;" "&amp;Milestones!$AB$63&amp;" "&amp;IF(AND(Milestones!$AB$63="FT",Milestones!$AA$63=FT_Y5,EDATE($D55,Milestones!$AA$63)&lt;PolicyEff),1,Milestones!$AC$63)&amp;";  ","")&amp;IF(AND(EDATE($D55,Milestones!$AA$64)&lt;=AsOfDate,EDATE($D55,Milestones!$AA$64)&gt;=SchemeStart,IF($X55=0,$AD55,IF(AND($Z55&lt;&gt;"",EDATE($D55,Milestones!$AA$64)&gt;=$Z55),$AC55,IF(AND($Y55&lt;&gt;"",EDATE($D55,Milestones!$AA$64)&gt;=$Y55),$AB55,$AA55)))=Milestones!$AB$64),UPPER(TEXT(EDATE($D55,Milestones!$AA$64),"dd mmm yy"))&amp;" "&amp;Milestones!$AB$64&amp;" "&amp;IF(AND(Milestones!$AB$64="FT",Milestones!$AA$64=FT_Y5,EDATE($D55,Milestones!$AA$64)&lt;PolicyEff),1,Milestones!$AC$64)&amp;";  ","")&amp;IF(AND(EDATE($D55,Milestones!$AA$65)&lt;=AsOfDate,EDATE($D55,Milestones!$AA$65)&gt;=SchemeStart,IF($X55=0,$AD55,IF(AND($Z55&lt;&gt;"",EDATE($D55,Milestones!$AA$65)&gt;=$Z55),$AC55,IF(AND($Y55&lt;&gt;"",EDATE($D55,Milestones!$AA$65)&gt;=$Y55),$AB55,$AA55)))=Milestones!$AB$65),UPPER(TEXT(EDATE($D55,Milestones!$AA$65),"dd mmm yy"))&amp;" "&amp;Milestones!$AB$65&amp;" "&amp;IF(AND(Milestones!$AB$65="FT",Milestones!$AA$65=FT_Y5,EDATE($D55,Milestones!$AA$65)&lt;PolicyEff),1,Milestones!$AC$65)&amp;";  ","")&amp;IF(AND(EDATE($D55,Milestones!$AA$66)&lt;=AsOfDate,EDATE($D55,Milestones!$AA$66)&gt;=SchemeStart,IF($X55=0,$AD55,IF(AND($Z55&lt;&gt;"",EDATE($D55,Milestones!$AA$66)&gt;=$Z55),$AC55,IF(AND($Y55&lt;&gt;"",EDATE($D55,Milestones!$AA$66)&gt;=$Y55),$AB55,$AA55)))=Milestones!$AB$66),UPPER(TEXT(EDATE($D55,Milestones!$AA$66),"dd mmm yy"))&amp;" "&amp;Milestones!$AB$66&amp;" "&amp;IF(AND(Milestones!$AB$66="FT",Milestones!$AA$66=FT_Y5,EDATE($D55,Milestones!$AA$66)&lt;PolicyEff),1,Milestones!$AC$66)&amp;";  ","")&amp;IF(AND(EDATE($D55,Milestones!$AA$67)&lt;=AsOfDate,EDATE($D55,Milestones!$AA$67)&gt;=SchemeStart,IF($X55=0,$AD55,IF(AND($Z55&lt;&gt;"",EDATE($D55,Milestones!$AA$67)&gt;=$Z55),$AC55,IF(AND($Y55&lt;&gt;"",EDATE($D55,Milestones!$AA$67)&gt;=$Y55),$AB55,$AA55)))=Milestones!$AB$67),UPPER(TEXT(EDATE($D55,Milestones!$AA$67),"dd mmm yy"))&amp;" "&amp;Milestones!$AB$67&amp;" "&amp;IF(AND(Milestones!$AB$67="FT",Milestones!$AA$67=FT_Y5,EDATE($D55,Milestones!$AA$67)&lt;PolicyEff),1,Milestones!$AC$67)&amp;";  ",""))</f>
        <v/>
      </c>
      <c r="M55" s="0" t="str">
        <f aca="false">IF(OR($A55="",$D55=""),"",IF(AND(EDATE($D55,Milestones!$AA$68)&lt;=AsOfDate,EDATE($D55,Milestones!$AA$68)&gt;=SchemeStart,IF($X55=0,$AD55,IF(AND($Z55&lt;&gt;"",EDATE($D55,Milestones!$AA$68)&gt;=$Z55),$AC55,IF(AND($Y55&lt;&gt;"",EDATE($D55,Milestones!$AA$68)&gt;=$Y55),$AB55,$AA55)))=Milestones!$AB$68),UPPER(TEXT(EDATE($D55,Milestones!$AA$68),"dd mmm yy"))&amp;" "&amp;Milestones!$AB$68&amp;" "&amp;IF(AND(Milestones!$AB$68="FT",Milestones!$AA$68=FT_Y5,EDATE($D55,Milestones!$AA$68)&lt;PolicyEff),1,Milestones!$AC$68)&amp;";  ","")&amp;IF(AND(EDATE($D55,Milestones!$AA$69)&lt;=AsOfDate,EDATE($D55,Milestones!$AA$69)&gt;=SchemeStart,IF($X55=0,$AD55,IF(AND($Z55&lt;&gt;"",EDATE($D55,Milestones!$AA$69)&gt;=$Z55),$AC55,IF(AND($Y55&lt;&gt;"",EDATE($D55,Milestones!$AA$69)&gt;=$Y55),$AB55,$AA55)))=Milestones!$AB$69),UPPER(TEXT(EDATE($D55,Milestones!$AA$69),"dd mmm yy"))&amp;" "&amp;Milestones!$AB$69&amp;" "&amp;IF(AND(Milestones!$AB$69="FT",Milestones!$AA$69=FT_Y5,EDATE($D55,Milestones!$AA$69)&lt;PolicyEff),1,Milestones!$AC$69)&amp;";  ","")&amp;IF(AND(EDATE($D55,Milestones!$AA$70)&lt;=AsOfDate,EDATE($D55,Milestones!$AA$70)&gt;=SchemeStart,IF($X55=0,$AD55,IF(AND($Z55&lt;&gt;"",EDATE($D55,Milestones!$AA$70)&gt;=$Z55),$AC55,IF(AND($Y55&lt;&gt;"",EDATE($D55,Milestones!$AA$70)&gt;=$Y55),$AB55,$AA55)))=Milestones!$AB$70),UPPER(TEXT(EDATE($D55,Milestones!$AA$70),"dd mmm yy"))&amp;" "&amp;Milestones!$AB$70&amp;" "&amp;IF(AND(Milestones!$AB$70="FT",Milestones!$AA$70=FT_Y5,EDATE($D55,Milestones!$AA$70)&lt;PolicyEff),1,Milestones!$AC$70)&amp;";  ","")&amp;IF(AND(EDATE($D55,Milestones!$AA$71)&lt;=AsOfDate,EDATE($D55,Milestones!$AA$71)&gt;=SchemeStart,IF($X55=0,$AD55,IF(AND($Z55&lt;&gt;"",EDATE($D55,Milestones!$AA$71)&gt;=$Z55),$AC55,IF(AND($Y55&lt;&gt;"",EDATE($D55,Milestones!$AA$71)&gt;=$Y55),$AB55,$AA55)))=Milestones!$AB$71),UPPER(TEXT(EDATE($D55,Milestones!$AA$71),"dd mmm yy"))&amp;" "&amp;Milestones!$AB$71&amp;" "&amp;IF(AND(Milestones!$AB$71="FT",Milestones!$AA$71=FT_Y5,EDATE($D55,Milestones!$AA$71)&lt;PolicyEff),1,Milestones!$AC$71)&amp;";  ","")&amp;IF(AND(EDATE($D55,Milestones!$AA$72)&lt;=AsOfDate,EDATE($D55,Milestones!$AA$72)&gt;=SchemeStart,IF($X55=0,$AD55,IF(AND($Z55&lt;&gt;"",EDATE($D55,Milestones!$AA$72)&gt;=$Z55),$AC55,IF(AND($Y55&lt;&gt;"",EDATE($D55,Milestones!$AA$72)&gt;=$Y55),$AB55,$AA55)))=Milestones!$AB$72),UPPER(TEXT(EDATE($D55,Milestones!$AA$72),"dd mmm yy"))&amp;" "&amp;Milestones!$AB$72&amp;" "&amp;IF(AND(Milestones!$AB$72="FT",Milestones!$AA$72=FT_Y5,EDATE($D55,Milestones!$AA$72)&lt;PolicyEff),1,Milestones!$AC$72)&amp;";  ","")&amp;IF(AND(EDATE($D55,Milestones!$AA$73)&lt;=AsOfDate,EDATE($D55,Milestones!$AA$73)&gt;=SchemeStart,IF($X55=0,$AD55,IF(AND($Z55&lt;&gt;"",EDATE($D55,Milestones!$AA$73)&gt;=$Z55),$AC55,IF(AND($Y55&lt;&gt;"",EDATE($D55,Milestones!$AA$73)&gt;=$Y55),$AB55,$AA55)))=Milestones!$AB$73),UPPER(TEXT(EDATE($D55,Milestones!$AA$73),"dd mmm yy"))&amp;" "&amp;Milestones!$AB$73&amp;" "&amp;IF(AND(Milestones!$AB$73="FT",Milestones!$AA$73=FT_Y5,EDATE($D55,Milestones!$AA$73)&lt;PolicyEff),1,Milestones!$AC$73)&amp;";  ","")&amp;IF(AND(EDATE($D55,Milestones!$AA$74)&lt;=AsOfDate,EDATE($D55,Milestones!$AA$74)&gt;=SchemeStart,IF($X55=0,$AD55,IF(AND($Z55&lt;&gt;"",EDATE($D55,Milestones!$AA$74)&gt;=$Z55),$AC55,IF(AND($Y55&lt;&gt;"",EDATE($D55,Milestones!$AA$74)&gt;=$Y55),$AB55,$AA55)))=Milestones!$AB$74),UPPER(TEXT(EDATE($D55,Milestones!$AA$74),"dd mmm yy"))&amp;" "&amp;Milestones!$AB$74&amp;" "&amp;IF(AND(Milestones!$AB$74="FT",Milestones!$AA$74=FT_Y5,EDATE($D55,Milestones!$AA$74)&lt;PolicyEff),1,Milestones!$AC$74)&amp;";  ","")&amp;IF(AND(EDATE($D55,Milestones!$AA$75)&lt;=AsOfDate,EDATE($D55,Milestones!$AA$75)&gt;=SchemeStart,IF($X55=0,$AD55,IF(AND($Z55&lt;&gt;"",EDATE($D55,Milestones!$AA$75)&gt;=$Z55),$AC55,IF(AND($Y55&lt;&gt;"",EDATE($D55,Milestones!$AA$75)&gt;=$Y55),$AB55,$AA55)))=Milestones!$AB$75),UPPER(TEXT(EDATE($D55,Milestones!$AA$75),"dd mmm yy"))&amp;" "&amp;Milestones!$AB$75&amp;" "&amp;IF(AND(Milestones!$AB$75="FT",Milestones!$AA$75=FT_Y5,EDATE($D55,Milestones!$AA$75)&lt;PolicyEff),1,Milestones!$AC$75)&amp;";  ","")&amp;IF(AND(EDATE($D55,Milestones!$AA$76)&lt;=AsOfDate,EDATE($D55,Milestones!$AA$76)&gt;=SchemeStart,IF($X55=0,$AD55,IF(AND($Z55&lt;&gt;"",EDATE($D55,Milestones!$AA$76)&gt;=$Z55),$AC55,IF(AND($Y55&lt;&gt;"",EDATE($D55,Milestones!$AA$76)&gt;=$Y55),$AB55,$AA55)))=Milestones!$AB$76),UPPER(TEXT(EDATE($D55,Milestones!$AA$76),"dd mmm yy"))&amp;" "&amp;Milestones!$AB$76&amp;" "&amp;IF(AND(Milestones!$AB$76="FT",Milestones!$AA$76=FT_Y5,EDATE($D55,Milestones!$AA$76)&lt;PolicyEff),1,Milestones!$AC$76)&amp;";  ","")&amp;IF(AND(EDATE($D55,Milestones!$AA$77)&lt;=AsOfDate,EDATE($D55,Milestones!$AA$77)&gt;=SchemeStart,IF($X55=0,$AD55,IF(AND($Z55&lt;&gt;"",EDATE($D55,Milestones!$AA$77)&gt;=$Z55),$AC55,IF(AND($Y55&lt;&gt;"",EDATE($D55,Milestones!$AA$77)&gt;=$Y55),$AB55,$AA55)))=Milestones!$AB$77),UPPER(TEXT(EDATE($D55,Milestones!$AA$77),"dd mmm yy"))&amp;" "&amp;Milestones!$AB$77&amp;" "&amp;IF(AND(Milestones!$AB$77="FT",Milestones!$AA$77=FT_Y5,EDATE($D55,Milestones!$AA$77)&lt;PolicyEff),1,Milestones!$AC$77)&amp;";  ","")&amp;IF(AND(EDATE($D55,Milestones!$AA$78)&lt;=AsOfDate,EDATE($D55,Milestones!$AA$78)&gt;=SchemeStart,IF($X55=0,$AD55,IF(AND($Z55&lt;&gt;"",EDATE($D55,Milestones!$AA$78)&gt;=$Z55),$AC55,IF(AND($Y55&lt;&gt;"",EDATE($D55,Milestones!$AA$78)&gt;=$Y55),$AB55,$AA55)))=Milestones!$AB$78),UPPER(TEXT(EDATE($D55,Milestones!$AA$78),"dd mmm yy"))&amp;" "&amp;Milestones!$AB$78&amp;" "&amp;IF(AND(Milestones!$AB$78="FT",Milestones!$AA$78=FT_Y5,EDATE($D55,Milestones!$AA$78)&lt;PolicyEff),1,Milestones!$AC$78)&amp;";  ","")&amp;IF(AND(EDATE($D55,Milestones!$AA$79)&lt;=AsOfDate,EDATE($D55,Milestones!$AA$79)&gt;=SchemeStart,IF($X55=0,$AD55,IF(AND($Z55&lt;&gt;"",EDATE($D55,Milestones!$AA$79)&gt;=$Z55),$AC55,IF(AND($Y55&lt;&gt;"",EDATE($D55,Milestones!$AA$79)&gt;=$Y55),$AB55,$AA55)))=Milestones!$AB$79),UPPER(TEXT(EDATE($D55,Milestones!$AA$79),"dd mmm yy"))&amp;" "&amp;Milestones!$AB$79&amp;" "&amp;IF(AND(Milestones!$AB$79="FT",Milestones!$AA$79=FT_Y5,EDATE($D55,Milestones!$AA$79)&lt;PolicyEff),1,Milestones!$AC$79)&amp;";  ",""))</f>
        <v/>
      </c>
      <c r="N55" s="0" t="str">
        <f aca="false">IF(OR($A55="",$D55=""),"",IF(AND(EDATE($D55,Milestones!$AA$80)&lt;=AsOfDate,EDATE($D55,Milestones!$AA$80)&gt;=SchemeStart,IF($X55=0,$AD55,IF(AND($Z55&lt;&gt;"",EDATE($D55,Milestones!$AA$80)&gt;=$Z55),$AC55,IF(AND($Y55&lt;&gt;"",EDATE($D55,Milestones!$AA$80)&gt;=$Y55),$AB55,$AA55)))=Milestones!$AB$80),UPPER(TEXT(EDATE($D55,Milestones!$AA$80),"dd mmm yy"))&amp;" "&amp;Milestones!$AB$80&amp;" "&amp;IF(AND(Milestones!$AB$80="FT",Milestones!$AA$80=FT_Y5,EDATE($D55,Milestones!$AA$80)&lt;PolicyEff),1,Milestones!$AC$80)&amp;";  ","")&amp;IF(AND(EDATE($D55,Milestones!$AA$81)&lt;=AsOfDate,EDATE($D55,Milestones!$AA$81)&gt;=SchemeStart,IF($X55=0,$AD55,IF(AND($Z55&lt;&gt;"",EDATE($D55,Milestones!$AA$81)&gt;=$Z55),$AC55,IF(AND($Y55&lt;&gt;"",EDATE($D55,Milestones!$AA$81)&gt;=$Y55),$AB55,$AA55)))=Milestones!$AB$81),UPPER(TEXT(EDATE($D55,Milestones!$AA$81),"dd mmm yy"))&amp;" "&amp;Milestones!$AB$81&amp;" "&amp;IF(AND(Milestones!$AB$81="FT",Milestones!$AA$81=FT_Y5,EDATE($D55,Milestones!$AA$81)&lt;PolicyEff),1,Milestones!$AC$81)&amp;";  ","")&amp;IF(AND(EDATE($D55,Milestones!$AA$82)&lt;=AsOfDate,EDATE($D55,Milestones!$AA$82)&gt;=SchemeStart,IF($X55=0,$AD55,IF(AND($Z55&lt;&gt;"",EDATE($D55,Milestones!$AA$82)&gt;=$Z55),$AC55,IF(AND($Y55&lt;&gt;"",EDATE($D55,Milestones!$AA$82)&gt;=$Y55),$AB55,$AA55)))=Milestones!$AB$82),UPPER(TEXT(EDATE($D55,Milestones!$AA$82),"dd mmm yy"))&amp;" "&amp;Milestones!$AB$82&amp;" "&amp;IF(AND(Milestones!$AB$82="FT",Milestones!$AA$82=FT_Y5,EDATE($D55,Milestones!$AA$82)&lt;PolicyEff),1,Milestones!$AC$82)&amp;";  ","")&amp;IF(AND(EDATE($D55,Milestones!$AA$83)&lt;=AsOfDate,EDATE($D55,Milestones!$AA$83)&gt;=SchemeStart,IF($X55=0,$AD55,IF(AND($Z55&lt;&gt;"",EDATE($D55,Milestones!$AA$83)&gt;=$Z55),$AC55,IF(AND($Y55&lt;&gt;"",EDATE($D55,Milestones!$AA$83)&gt;=$Y55),$AB55,$AA55)))=Milestones!$AB$83),UPPER(TEXT(EDATE($D55,Milestones!$AA$83),"dd mmm yy"))&amp;" "&amp;Milestones!$AB$83&amp;" "&amp;IF(AND(Milestones!$AB$83="FT",Milestones!$AA$83=FT_Y5,EDATE($D55,Milestones!$AA$83)&lt;PolicyEff),1,Milestones!$AC$83)&amp;";  ","")&amp;IF(AND(EDATE($D55,Milestones!$AA$84)&lt;=AsOfDate,EDATE($D55,Milestones!$AA$84)&gt;=SchemeStart,IF($X55=0,$AD55,IF(AND($Z55&lt;&gt;"",EDATE($D55,Milestones!$AA$84)&gt;=$Z55),$AC55,IF(AND($Y55&lt;&gt;"",EDATE($D55,Milestones!$AA$84)&gt;=$Y55),$AB55,$AA55)))=Milestones!$AB$84),UPPER(TEXT(EDATE($D55,Milestones!$AA$84),"dd mmm yy"))&amp;" "&amp;Milestones!$AB$84&amp;" "&amp;IF(AND(Milestones!$AB$84="FT",Milestones!$AA$84=FT_Y5,EDATE($D55,Milestones!$AA$84)&lt;PolicyEff),1,Milestones!$AC$84)&amp;";  ","")&amp;IF(AND(EDATE($D55,Milestones!$AA$85)&lt;=AsOfDate,EDATE($D55,Milestones!$AA$85)&gt;=SchemeStart,IF($X55=0,$AD55,IF(AND($Z55&lt;&gt;"",EDATE($D55,Milestones!$AA$85)&gt;=$Z55),$AC55,IF(AND($Y55&lt;&gt;"",EDATE($D55,Milestones!$AA$85)&gt;=$Y55),$AB55,$AA55)))=Milestones!$AB$85),UPPER(TEXT(EDATE($D55,Milestones!$AA$85),"dd mmm yy"))&amp;" "&amp;Milestones!$AB$85&amp;" "&amp;IF(AND(Milestones!$AB$85="FT",Milestones!$AA$85=FT_Y5,EDATE($D55,Milestones!$AA$85)&lt;PolicyEff),1,Milestones!$AC$85)&amp;";  ","")&amp;IF(AND(EDATE($D55,Milestones!$AA$86)&lt;=AsOfDate,EDATE($D55,Milestones!$AA$86)&gt;=SchemeStart,IF($X55=0,$AD55,IF(AND($Z55&lt;&gt;"",EDATE($D55,Milestones!$AA$86)&gt;=$Z55),$AC55,IF(AND($Y55&lt;&gt;"",EDATE($D55,Milestones!$AA$86)&gt;=$Y55),$AB55,$AA55)))=Milestones!$AB$86),UPPER(TEXT(EDATE($D55,Milestones!$AA$86),"dd mmm yy"))&amp;" "&amp;Milestones!$AB$86&amp;" "&amp;IF(AND(Milestones!$AB$86="FT",Milestones!$AA$86=FT_Y5,EDATE($D55,Milestones!$AA$86)&lt;PolicyEff),1,Milestones!$AC$86)&amp;";  ","")&amp;IF(AND(EDATE($D55,Milestones!$AA$87)&lt;=AsOfDate,EDATE($D55,Milestones!$AA$87)&gt;=SchemeStart,IF($X55=0,$AD55,IF(AND($Z55&lt;&gt;"",EDATE($D55,Milestones!$AA$87)&gt;=$Z55),$AC55,IF(AND($Y55&lt;&gt;"",EDATE($D55,Milestones!$AA$87)&gt;=$Y55),$AB55,$AA55)))=Milestones!$AB$87),UPPER(TEXT(EDATE($D55,Milestones!$AA$87),"dd mmm yy"))&amp;" "&amp;Milestones!$AB$87&amp;" "&amp;IF(AND(Milestones!$AB$87="FT",Milestones!$AA$87=FT_Y5,EDATE($D55,Milestones!$AA$87)&lt;PolicyEff),1,Milestones!$AC$87)&amp;";  ","")&amp;IF(AND(EDATE($D55,Milestones!$AA$88)&lt;=AsOfDate,EDATE($D55,Milestones!$AA$88)&gt;=SchemeStart,IF($X55=0,$AD55,IF(AND($Z55&lt;&gt;"",EDATE($D55,Milestones!$AA$88)&gt;=$Z55),$AC55,IF(AND($Y55&lt;&gt;"",EDATE($D55,Milestones!$AA$88)&gt;=$Y55),$AB55,$AA55)))=Milestones!$AB$88),UPPER(TEXT(EDATE($D55,Milestones!$AA$88),"dd mmm yy"))&amp;" "&amp;Milestones!$AB$88&amp;" "&amp;IF(AND(Milestones!$AB$88="FT",Milestones!$AA$88=FT_Y5,EDATE($D55,Milestones!$AA$88)&lt;PolicyEff),1,Milestones!$AC$88)&amp;";  ","")&amp;IF(AND(EDATE($D55,Milestones!$AA$89)&lt;=AsOfDate,EDATE($D55,Milestones!$AA$89)&gt;=SchemeStart,IF($X55=0,$AD55,IF(AND($Z55&lt;&gt;"",EDATE($D55,Milestones!$AA$89)&gt;=$Z55),$AC55,IF(AND($Y55&lt;&gt;"",EDATE($D55,Milestones!$AA$89)&gt;=$Y55),$AB55,$AA55)))=Milestones!$AB$89),UPPER(TEXT(EDATE($D55,Milestones!$AA$89),"dd mmm yy"))&amp;" "&amp;Milestones!$AB$89&amp;" "&amp;IF(AND(Milestones!$AB$89="FT",Milestones!$AA$89=FT_Y5,EDATE($D55,Milestones!$AA$89)&lt;PolicyEff),1,Milestones!$AC$89)&amp;";  ","")&amp;IF(AND(EDATE($D55,Milestones!$AA$90)&lt;=AsOfDate,EDATE($D55,Milestones!$AA$90)&gt;=SchemeStart,IF($X55=0,$AD55,IF(AND($Z55&lt;&gt;"",EDATE($D55,Milestones!$AA$90)&gt;=$Z55),$AC55,IF(AND($Y55&lt;&gt;"",EDATE($D55,Milestones!$AA$90)&gt;=$Y55),$AB55,$AA55)))=Milestones!$AB$90),UPPER(TEXT(EDATE($D55,Milestones!$AA$90),"dd mmm yy"))&amp;" "&amp;Milestones!$AB$90&amp;" "&amp;IF(AND(Milestones!$AB$90="FT",Milestones!$AA$90=FT_Y5,EDATE($D55,Milestones!$AA$90)&lt;PolicyEff),1,Milestones!$AC$90)&amp;";  ","")&amp;IF(AND(EDATE($D55,Milestones!$AA$91)&lt;=AsOfDate,EDATE($D55,Milestones!$AA$91)&gt;=SchemeStart,IF($X55=0,$AD55,IF(AND($Z55&lt;&gt;"",EDATE($D55,Milestones!$AA$91)&gt;=$Z55),$AC55,IF(AND($Y55&lt;&gt;"",EDATE($D55,Milestones!$AA$91)&gt;=$Y55),$AB55,$AA55)))=Milestones!$AB$91),UPPER(TEXT(EDATE($D55,Milestones!$AA$91),"dd mmm yy"))&amp;" "&amp;Milestones!$AB$91&amp;" "&amp;IF(AND(Milestones!$AB$91="FT",Milestones!$AA$91=FT_Y5,EDATE($D55,Milestones!$AA$91)&lt;PolicyEff),1,Milestones!$AC$91)&amp;";  ",""))</f>
        <v/>
      </c>
      <c r="O55" s="0" t="str">
        <f aca="false">IF(OR($A55="",$D55=""),"",IF(AND(EDATE($D55,Milestones!$AA$92)&lt;=AsOfDate,EDATE($D55,Milestones!$AA$92)&gt;=SchemeStart,IF($X55=0,$AD55,IF(AND($Z55&lt;&gt;"",EDATE($D55,Milestones!$AA$92)&gt;=$Z55),$AC55,IF(AND($Y55&lt;&gt;"",EDATE($D55,Milestones!$AA$92)&gt;=$Y55),$AB55,$AA55)))=Milestones!$AB$92),UPPER(TEXT(EDATE($D55,Milestones!$AA$92),"dd mmm yy"))&amp;" "&amp;Milestones!$AB$92&amp;" "&amp;IF(AND(Milestones!$AB$92="FT",Milestones!$AA$92=FT_Y5,EDATE($D55,Milestones!$AA$92)&lt;PolicyEff),1,Milestones!$AC$92)&amp;";  ","")&amp;IF(AND(EDATE($D55,Milestones!$AA$93)&lt;=AsOfDate,EDATE($D55,Milestones!$AA$93)&gt;=SchemeStart,IF($X55=0,$AD55,IF(AND($Z55&lt;&gt;"",EDATE($D55,Milestones!$AA$93)&gt;=$Z55),$AC55,IF(AND($Y55&lt;&gt;"",EDATE($D55,Milestones!$AA$93)&gt;=$Y55),$AB55,$AA55)))=Milestones!$AB$93),UPPER(TEXT(EDATE($D55,Milestones!$AA$93),"dd mmm yy"))&amp;" "&amp;Milestones!$AB$93&amp;" "&amp;IF(AND(Milestones!$AB$93="FT",Milestones!$AA$93=FT_Y5,EDATE($D55,Milestones!$AA$93)&lt;PolicyEff),1,Milestones!$AC$93)&amp;";  ","")&amp;IF(AND(EDATE($D55,Milestones!$AA$94)&lt;=AsOfDate,EDATE($D55,Milestones!$AA$94)&gt;=SchemeStart,IF($X55=0,$AD55,IF(AND($Z55&lt;&gt;"",EDATE($D55,Milestones!$AA$94)&gt;=$Z55),$AC55,IF(AND($Y55&lt;&gt;"",EDATE($D55,Milestones!$AA$94)&gt;=$Y55),$AB55,$AA55)))=Milestones!$AB$94),UPPER(TEXT(EDATE($D55,Milestones!$AA$94),"dd mmm yy"))&amp;" "&amp;Milestones!$AB$94&amp;" "&amp;IF(AND(Milestones!$AB$94="FT",Milestones!$AA$94=FT_Y5,EDATE($D55,Milestones!$AA$94)&lt;PolicyEff),1,Milestones!$AC$94)&amp;";  ","")&amp;IF(AND(EDATE($D55,Milestones!$AA$95)&lt;=AsOfDate,EDATE($D55,Milestones!$AA$95)&gt;=SchemeStart,IF($X55=0,$AD55,IF(AND($Z55&lt;&gt;"",EDATE($D55,Milestones!$AA$95)&gt;=$Z55),$AC55,IF(AND($Y55&lt;&gt;"",EDATE($D55,Milestones!$AA$95)&gt;=$Y55),$AB55,$AA55)))=Milestones!$AB$95),UPPER(TEXT(EDATE($D55,Milestones!$AA$95),"dd mmm yy"))&amp;" "&amp;Milestones!$AB$95&amp;" "&amp;IF(AND(Milestones!$AB$95="FT",Milestones!$AA$95=FT_Y5,EDATE($D55,Milestones!$AA$95)&lt;PolicyEff),1,Milestones!$AC$95)&amp;";  ","")&amp;IF(AND(EDATE($D55,Milestones!$AA$96)&lt;=AsOfDate,EDATE($D55,Milestones!$AA$96)&gt;=SchemeStart,IF($X55=0,$AD55,IF(AND($Z55&lt;&gt;"",EDATE($D55,Milestones!$AA$96)&gt;=$Z55),$AC55,IF(AND($Y55&lt;&gt;"",EDATE($D55,Milestones!$AA$96)&gt;=$Y55),$AB55,$AA55)))=Milestones!$AB$96),UPPER(TEXT(EDATE($D55,Milestones!$AA$96),"dd mmm yy"))&amp;" "&amp;Milestones!$AB$96&amp;" "&amp;IF(AND(Milestones!$AB$96="FT",Milestones!$AA$96=FT_Y5,EDATE($D55,Milestones!$AA$96)&lt;PolicyEff),1,Milestones!$AC$96)&amp;";  ","")&amp;IF(AND(EDATE($D55,Milestones!$AA$97)&lt;=AsOfDate,EDATE($D55,Milestones!$AA$97)&gt;=SchemeStart,IF($X55=0,$AD55,IF(AND($Z55&lt;&gt;"",EDATE($D55,Milestones!$AA$97)&gt;=$Z55),$AC55,IF(AND($Y55&lt;&gt;"",EDATE($D55,Milestones!$AA$97)&gt;=$Y55),$AB55,$AA55)))=Milestones!$AB$97),UPPER(TEXT(EDATE($D55,Milestones!$AA$97),"dd mmm yy"))&amp;" "&amp;Milestones!$AB$97&amp;" "&amp;IF(AND(Milestones!$AB$97="FT",Milestones!$AA$97=FT_Y5,EDATE($D55,Milestones!$AA$97)&lt;PolicyEff),1,Milestones!$AC$97)&amp;";  ","")&amp;IF(AND(EDATE($D55,Milestones!$AA$98)&lt;=AsOfDate,EDATE($D55,Milestones!$AA$98)&gt;=SchemeStart,IF($X55=0,$AD55,IF(AND($Z55&lt;&gt;"",EDATE($D55,Milestones!$AA$98)&gt;=$Z55),$AC55,IF(AND($Y55&lt;&gt;"",EDATE($D55,Milestones!$AA$98)&gt;=$Y55),$AB55,$AA55)))=Milestones!$AB$98),UPPER(TEXT(EDATE($D55,Milestones!$AA$98),"dd mmm yy"))&amp;" "&amp;Milestones!$AB$98&amp;" "&amp;IF(AND(Milestones!$AB$98="FT",Milestones!$AA$98=FT_Y5,EDATE($D55,Milestones!$AA$98)&lt;PolicyEff),1,Milestones!$AC$98)&amp;";  ","")&amp;IF(AND(EDATE($D55,Milestones!$AA$99)&lt;=AsOfDate,EDATE($D55,Milestones!$AA$99)&gt;=SchemeStart,IF($X55=0,$AD55,IF(AND($Z55&lt;&gt;"",EDATE($D55,Milestones!$AA$99)&gt;=$Z55),$AC55,IF(AND($Y55&lt;&gt;"",EDATE($D55,Milestones!$AA$99)&gt;=$Y55),$AB55,$AA55)))=Milestones!$AB$99),UPPER(TEXT(EDATE($D55,Milestones!$AA$99),"dd mmm yy"))&amp;" "&amp;Milestones!$AB$99&amp;" "&amp;IF(AND(Milestones!$AB$99="FT",Milestones!$AA$99=FT_Y5,EDATE($D55,Milestones!$AA$99)&lt;PolicyEff),1,Milestones!$AC$99)&amp;";  ","")&amp;IF(AND(EDATE($D55,Milestones!$AA$100)&lt;=AsOfDate,EDATE($D55,Milestones!$AA$100)&gt;=SchemeStart,IF($X55=0,$AD55,IF(AND($Z55&lt;&gt;"",EDATE($D55,Milestones!$AA$100)&gt;=$Z55),$AC55,IF(AND($Y55&lt;&gt;"",EDATE($D55,Milestones!$AA$100)&gt;=$Y55),$AB55,$AA55)))=Milestones!$AB$100),UPPER(TEXT(EDATE($D55,Milestones!$AA$100),"dd mmm yy"))&amp;" "&amp;Milestones!$AB$100&amp;" "&amp;IF(AND(Milestones!$AB$100="FT",Milestones!$AA$100=FT_Y5,EDATE($D55,Milestones!$AA$100)&lt;PolicyEff),1,Milestones!$AC$100)&amp;";  ","")&amp;IF(AND(EDATE($D55,Milestones!$AA$101)&lt;=AsOfDate,EDATE($D55,Milestones!$AA$101)&gt;=SchemeStart,IF($X55=0,$AD55,IF(AND($Z55&lt;&gt;"",EDATE($D55,Milestones!$AA$101)&gt;=$Z55),$AC55,IF(AND($Y55&lt;&gt;"",EDATE($D55,Milestones!$AA$101)&gt;=$Y55),$AB55,$AA55)))=Milestones!$AB$101),UPPER(TEXT(EDATE($D55,Milestones!$AA$101),"dd mmm yy"))&amp;" "&amp;Milestones!$AB$101&amp;" "&amp;IF(AND(Milestones!$AB$101="FT",Milestones!$AA$101=FT_Y5,EDATE($D55,Milestones!$AA$101)&lt;PolicyEff),1,Milestones!$AC$101)&amp;";  ","")&amp;IF(AND(EDATE($D55,Milestones!$AA$102)&lt;=AsOfDate,EDATE($D55,Milestones!$AA$102)&gt;=SchemeStart,IF($X55=0,$AD55,IF(AND($Z55&lt;&gt;"",EDATE($D55,Milestones!$AA$102)&gt;=$Z55),$AC55,IF(AND($Y55&lt;&gt;"",EDATE($D55,Milestones!$AA$102)&gt;=$Y55),$AB55,$AA55)))=Milestones!$AB$102),UPPER(TEXT(EDATE($D55,Milestones!$AA$102),"dd mmm yy"))&amp;" "&amp;Milestones!$AB$102&amp;" "&amp;IF(AND(Milestones!$AB$102="FT",Milestones!$AA$102=FT_Y5,EDATE($D55,Milestones!$AA$102)&lt;PolicyEff),1,Milestones!$AC$102)&amp;";  ","")&amp;IF(AND(EDATE($D55,Milestones!$AA$103)&lt;=AsOfDate,EDATE($D55,Milestones!$AA$103)&gt;=SchemeStart,IF($X55=0,$AD55,IF(AND($Z55&lt;&gt;"",EDATE($D55,Milestones!$AA$103)&gt;=$Z55),$AC55,IF(AND($Y55&lt;&gt;"",EDATE($D55,Milestones!$AA$103)&gt;=$Y55),$AB55,$AA55)))=Milestones!$AB$103),UPPER(TEXT(EDATE($D55,Milestones!$AA$103),"dd mmm yy"))&amp;" "&amp;Milestones!$AB$103&amp;" "&amp;IF(AND(Milestones!$AB$103="FT",Milestones!$AA$103=FT_Y5,EDATE($D55,Milestones!$AA$103)&lt;PolicyEff),1,Milestones!$AC$103)&amp;";  ",""))</f>
        <v/>
      </c>
      <c r="P55" s="0" t="str">
        <f aca="false">IF(OR($A55="",$D55=""),"",IF(AND(EDATE($D55,Milestones!$AA$104)&lt;=AsOfDate,EDATE($D55,Milestones!$AA$104)&gt;=SchemeStart,IF($X55=0,$AD55,IF(AND($Z55&lt;&gt;"",EDATE($D55,Milestones!$AA$104)&gt;=$Z55),$AC55,IF(AND($Y55&lt;&gt;"",EDATE($D55,Milestones!$AA$104)&gt;=$Y55),$AB55,$AA55)))=Milestones!$AB$104),UPPER(TEXT(EDATE($D55,Milestones!$AA$104),"dd mmm yy"))&amp;" "&amp;Milestones!$AB$104&amp;" "&amp;IF(AND(Milestones!$AB$104="FT",Milestones!$AA$104=FT_Y5,EDATE($D55,Milestones!$AA$104)&lt;PolicyEff),1,Milestones!$AC$104)&amp;";  ","")&amp;IF(AND(EDATE($D55,Milestones!$AA$105)&lt;=AsOfDate,EDATE($D55,Milestones!$AA$105)&gt;=SchemeStart,IF($X55=0,$AD55,IF(AND($Z55&lt;&gt;"",EDATE($D55,Milestones!$AA$105)&gt;=$Z55),$AC55,IF(AND($Y55&lt;&gt;"",EDATE($D55,Milestones!$AA$105)&gt;=$Y55),$AB55,$AA55)))=Milestones!$AB$105),UPPER(TEXT(EDATE($D55,Milestones!$AA$105),"dd mmm yy"))&amp;" "&amp;Milestones!$AB$105&amp;" "&amp;IF(AND(Milestones!$AB$105="FT",Milestones!$AA$105=FT_Y5,EDATE($D55,Milestones!$AA$105)&lt;PolicyEff),1,Milestones!$AC$105)&amp;";  ","")&amp;IF(AND(EDATE($D55,Milestones!$AA$106)&lt;=AsOfDate,EDATE($D55,Milestones!$AA$106)&gt;=SchemeStart,IF($X55=0,$AD55,IF(AND($Z55&lt;&gt;"",EDATE($D55,Milestones!$AA$106)&gt;=$Z55),$AC55,IF(AND($Y55&lt;&gt;"",EDATE($D55,Milestones!$AA$106)&gt;=$Y55),$AB55,$AA55)))=Milestones!$AB$106),UPPER(TEXT(EDATE($D55,Milestones!$AA$106),"dd mmm yy"))&amp;" "&amp;Milestones!$AB$106&amp;" "&amp;IF(AND(Milestones!$AB$106="FT",Milestones!$AA$106=FT_Y5,EDATE($D55,Milestones!$AA$106)&lt;PolicyEff),1,Milestones!$AC$106)&amp;";  ","")&amp;IF(AND(EDATE($D55,Milestones!$AA$107)&lt;=AsOfDate,EDATE($D55,Milestones!$AA$107)&gt;=SchemeStart,IF($X55=0,$AD55,IF(AND($Z55&lt;&gt;"",EDATE($D55,Milestones!$AA$107)&gt;=$Z55),$AC55,IF(AND($Y55&lt;&gt;"",EDATE($D55,Milestones!$AA$107)&gt;=$Y55),$AB55,$AA55)))=Milestones!$AB$107),UPPER(TEXT(EDATE($D55,Milestones!$AA$107),"dd mmm yy"))&amp;" "&amp;Milestones!$AB$107&amp;" "&amp;IF(AND(Milestones!$AB$107="FT",Milestones!$AA$107=FT_Y5,EDATE($D55,Milestones!$AA$107)&lt;PolicyEff),1,Milestones!$AC$107)&amp;";  ","")&amp;IF(AND(EDATE($D55,Milestones!$AA$108)&lt;=AsOfDate,EDATE($D55,Milestones!$AA$108)&gt;=SchemeStart,IF($X55=0,$AD55,IF(AND($Z55&lt;&gt;"",EDATE($D55,Milestones!$AA$108)&gt;=$Z55),$AC55,IF(AND($Y55&lt;&gt;"",EDATE($D55,Milestones!$AA$108)&gt;=$Y55),$AB55,$AA55)))=Milestones!$AB$108),UPPER(TEXT(EDATE($D55,Milestones!$AA$108),"dd mmm yy"))&amp;" "&amp;Milestones!$AB$108&amp;" "&amp;IF(AND(Milestones!$AB$108="FT",Milestones!$AA$108=FT_Y5,EDATE($D55,Milestones!$AA$108)&lt;PolicyEff),1,Milestones!$AC$108)&amp;";  ","")&amp;IF(AND(EDATE($D55,Milestones!$AA$109)&lt;=AsOfDate,EDATE($D55,Milestones!$AA$109)&gt;=SchemeStart,IF($X55=0,$AD55,IF(AND($Z55&lt;&gt;"",EDATE($D55,Milestones!$AA$109)&gt;=$Z55),$AC55,IF(AND($Y55&lt;&gt;"",EDATE($D55,Milestones!$AA$109)&gt;=$Y55),$AB55,$AA55)))=Milestones!$AB$109),UPPER(TEXT(EDATE($D55,Milestones!$AA$109),"dd mmm yy"))&amp;" "&amp;Milestones!$AB$109&amp;" "&amp;IF(AND(Milestones!$AB$109="FT",Milestones!$AA$109=FT_Y5,EDATE($D55,Milestones!$AA$109)&lt;PolicyEff),1,Milestones!$AC$109)&amp;";  ","")&amp;IF(AND(EDATE($D55,Milestones!$AA$110)&lt;=AsOfDate,EDATE($D55,Milestones!$AA$110)&gt;=SchemeStart,IF($X55=0,$AD55,IF(AND($Z55&lt;&gt;"",EDATE($D55,Milestones!$AA$110)&gt;=$Z55),$AC55,IF(AND($Y55&lt;&gt;"",EDATE($D55,Milestones!$AA$110)&gt;=$Y55),$AB55,$AA55)))=Milestones!$AB$110),UPPER(TEXT(EDATE($D55,Milestones!$AA$110),"dd mmm yy"))&amp;" "&amp;Milestones!$AB$110&amp;" "&amp;IF(AND(Milestones!$AB$110="FT",Milestones!$AA$110=FT_Y5,EDATE($D55,Milestones!$AA$110)&lt;PolicyEff),1,Milestones!$AC$110)&amp;";  ","")&amp;IF(AND(EDATE($D55,Milestones!$AA$111)&lt;=AsOfDate,EDATE($D55,Milestones!$AA$111)&gt;=SchemeStart,IF($X55=0,$AD55,IF(AND($Z55&lt;&gt;"",EDATE($D55,Milestones!$AA$111)&gt;=$Z55),$AC55,IF(AND($Y55&lt;&gt;"",EDATE($D55,Milestones!$AA$111)&gt;=$Y55),$AB55,$AA55)))=Milestones!$AB$111),UPPER(TEXT(EDATE($D55,Milestones!$AA$111),"dd mmm yy"))&amp;" "&amp;Milestones!$AB$111&amp;" "&amp;IF(AND(Milestones!$AB$111="FT",Milestones!$AA$111=FT_Y5,EDATE($D55,Milestones!$AA$111)&lt;PolicyEff),1,Milestones!$AC$111)&amp;";  ","")&amp;IF(AND(EDATE($D55,Milestones!$AA$112)&lt;=AsOfDate,EDATE($D55,Milestones!$AA$112)&gt;=SchemeStart,IF($X55=0,$AD55,IF(AND($Z55&lt;&gt;"",EDATE($D55,Milestones!$AA$112)&gt;=$Z55),$AC55,IF(AND($Y55&lt;&gt;"",EDATE($D55,Milestones!$AA$112)&gt;=$Y55),$AB55,$AA55)))=Milestones!$AB$112),UPPER(TEXT(EDATE($D55,Milestones!$AA$112),"dd mmm yy"))&amp;" "&amp;Milestones!$AB$112&amp;" "&amp;IF(AND(Milestones!$AB$112="FT",Milestones!$AA$112=FT_Y5,EDATE($D55,Milestones!$AA$112)&lt;PolicyEff),1,Milestones!$AC$112)&amp;";  ","")&amp;IF(AND(EDATE($D55,Milestones!$AA$113)&lt;=AsOfDate,EDATE($D55,Milestones!$AA$113)&gt;=SchemeStart,IF($X55=0,$AD55,IF(AND($Z55&lt;&gt;"",EDATE($D55,Milestones!$AA$113)&gt;=$Z55),$AC55,IF(AND($Y55&lt;&gt;"",EDATE($D55,Milestones!$AA$113)&gt;=$Y55),$AB55,$AA55)))=Milestones!$AB$113),UPPER(TEXT(EDATE($D55,Milestones!$AA$113),"dd mmm yy"))&amp;" "&amp;Milestones!$AB$113&amp;" "&amp;IF(AND(Milestones!$AB$113="FT",Milestones!$AA$113=FT_Y5,EDATE($D55,Milestones!$AA$113)&lt;PolicyEff),1,Milestones!$AC$113)&amp;";  ","")&amp;IF(AND(EDATE($D55,Milestones!$AA$114)&lt;=AsOfDate,EDATE($D55,Milestones!$AA$114)&gt;=SchemeStart,IF($X55=0,$AD55,IF(AND($Z55&lt;&gt;"",EDATE($D55,Milestones!$AA$114)&gt;=$Z55),$AC55,IF(AND($Y55&lt;&gt;"",EDATE($D55,Milestones!$AA$114)&gt;=$Y55),$AB55,$AA55)))=Milestones!$AB$114),UPPER(TEXT(EDATE($D55,Milestones!$AA$114),"dd mmm yy"))&amp;" "&amp;Milestones!$AB$114&amp;" "&amp;IF(AND(Milestones!$AB$114="FT",Milestones!$AA$114=FT_Y5,EDATE($D55,Milestones!$AA$114)&lt;PolicyEff),1,Milestones!$AC$114)&amp;";  ","")&amp;IF(AND(EDATE($D55,Milestones!$AA$115)&lt;=AsOfDate,EDATE($D55,Milestones!$AA$115)&gt;=SchemeStart,IF($X55=0,$AD55,IF(AND($Z55&lt;&gt;"",EDATE($D55,Milestones!$AA$115)&gt;=$Z55),$AC55,IF(AND($Y55&lt;&gt;"",EDATE($D55,Milestones!$AA$115)&gt;=$Y55),$AB55,$AA55)))=Milestones!$AB$115),UPPER(TEXT(EDATE($D55,Milestones!$AA$115),"dd mmm yy"))&amp;" "&amp;Milestones!$AB$115&amp;" "&amp;IF(AND(Milestones!$AB$115="FT",Milestones!$AA$115=FT_Y5,EDATE($D55,Milestones!$AA$115)&lt;PolicyEff),1,Milestones!$AC$115)&amp;";  ",""))</f>
        <v/>
      </c>
      <c r="Q55" s="0" t="str">
        <f aca="false">IF(OR($A55="",$D55=""),"",IF(AND(EDATE($D55,Milestones!$AA$116)&lt;=AsOfDate,EDATE($D55,Milestones!$AA$116)&gt;=SchemeStart,IF($X55=0,$AD55,IF(AND($Z55&lt;&gt;"",EDATE($D55,Milestones!$AA$116)&gt;=$Z55),$AC55,IF(AND($Y55&lt;&gt;"",EDATE($D55,Milestones!$AA$116)&gt;=$Y55),$AB55,$AA55)))=Milestones!$AB$116),UPPER(TEXT(EDATE($D55,Milestones!$AA$116),"dd mmm yy"))&amp;" "&amp;Milestones!$AB$116&amp;" "&amp;IF(AND(Milestones!$AB$116="FT",Milestones!$AA$116=FT_Y5,EDATE($D55,Milestones!$AA$116)&lt;PolicyEff),1,Milestones!$AC$116)&amp;";  ","")&amp;IF(AND(EDATE($D55,Milestones!$AA$117)&lt;=AsOfDate,EDATE($D55,Milestones!$AA$117)&gt;=SchemeStart,IF($X55=0,$AD55,IF(AND($Z55&lt;&gt;"",EDATE($D55,Milestones!$AA$117)&gt;=$Z55),$AC55,IF(AND($Y55&lt;&gt;"",EDATE($D55,Milestones!$AA$117)&gt;=$Y55),$AB55,$AA55)))=Milestones!$AB$117),UPPER(TEXT(EDATE($D55,Milestones!$AA$117),"dd mmm yy"))&amp;" "&amp;Milestones!$AB$117&amp;" "&amp;IF(AND(Milestones!$AB$117="FT",Milestones!$AA$117=FT_Y5,EDATE($D55,Milestones!$AA$117)&lt;PolicyEff),1,Milestones!$AC$117)&amp;";  ","")&amp;IF(AND(EDATE($D55,Milestones!$AA$118)&lt;=AsOfDate,EDATE($D55,Milestones!$AA$118)&gt;=SchemeStart,IF($X55=0,$AD55,IF(AND($Z55&lt;&gt;"",EDATE($D55,Milestones!$AA$118)&gt;=$Z55),$AC55,IF(AND($Y55&lt;&gt;"",EDATE($D55,Milestones!$AA$118)&gt;=$Y55),$AB55,$AA55)))=Milestones!$AB$118),UPPER(TEXT(EDATE($D55,Milestones!$AA$118),"dd mmm yy"))&amp;" "&amp;Milestones!$AB$118&amp;" "&amp;IF(AND(Milestones!$AB$118="FT",Milestones!$AA$118=FT_Y5,EDATE($D55,Milestones!$AA$118)&lt;PolicyEff),1,Milestones!$AC$118)&amp;";  ","")&amp;IF(AND(EDATE($D55,Milestones!$AA$119)&lt;=AsOfDate,EDATE($D55,Milestones!$AA$119)&gt;=SchemeStart,IF($X55=0,$AD55,IF(AND($Z55&lt;&gt;"",EDATE($D55,Milestones!$AA$119)&gt;=$Z55),$AC55,IF(AND($Y55&lt;&gt;"",EDATE($D55,Milestones!$AA$119)&gt;=$Y55),$AB55,$AA55)))=Milestones!$AB$119),UPPER(TEXT(EDATE($D55,Milestones!$AA$119),"dd mmm yy"))&amp;" "&amp;Milestones!$AB$119&amp;" "&amp;IF(AND(Milestones!$AB$119="FT",Milestones!$AA$119=FT_Y5,EDATE($D55,Milestones!$AA$119)&lt;PolicyEff),1,Milestones!$AC$119)&amp;";  ","")&amp;IF(AND(EDATE($D55,Milestones!$AA$120)&lt;=AsOfDate,EDATE($D55,Milestones!$AA$120)&gt;=SchemeStart,IF($X55=0,$AD55,IF(AND($Z55&lt;&gt;"",EDATE($D55,Milestones!$AA$120)&gt;=$Z55),$AC55,IF(AND($Y55&lt;&gt;"",EDATE($D55,Milestones!$AA$120)&gt;=$Y55),$AB55,$AA55)))=Milestones!$AB$120),UPPER(TEXT(EDATE($D55,Milestones!$AA$120),"dd mmm yy"))&amp;" "&amp;Milestones!$AB$120&amp;" "&amp;IF(AND(Milestones!$AB$120="FT",Milestones!$AA$120=FT_Y5,EDATE($D55,Milestones!$AA$120)&lt;PolicyEff),1,Milestones!$AC$120)&amp;";  ","")&amp;IF(AND(EDATE($D55,Milestones!$AA$121)&lt;=AsOfDate,EDATE($D55,Milestones!$AA$121)&gt;=SchemeStart,IF($X55=0,$AD55,IF(AND($Z55&lt;&gt;"",EDATE($D55,Milestones!$AA$121)&gt;=$Z55),$AC55,IF(AND($Y55&lt;&gt;"",EDATE($D55,Milestones!$AA$121)&gt;=$Y55),$AB55,$AA55)))=Milestones!$AB$121),UPPER(TEXT(EDATE($D55,Milestones!$AA$121),"dd mmm yy"))&amp;" "&amp;Milestones!$AB$121&amp;" "&amp;IF(AND(Milestones!$AB$121="FT",Milestones!$AA$121=FT_Y5,EDATE($D55,Milestones!$AA$121)&lt;PolicyEff),1,Milestones!$AC$121)&amp;";  ","")&amp;IF(AND(EDATE($D55,Milestones!$AA$122)&lt;=AsOfDate,EDATE($D55,Milestones!$AA$122)&gt;=SchemeStart,IF($X55=0,$AD55,IF(AND($Z55&lt;&gt;"",EDATE($D55,Milestones!$AA$122)&gt;=$Z55),$AC55,IF(AND($Y55&lt;&gt;"",EDATE($D55,Milestones!$AA$122)&gt;=$Y55),$AB55,$AA55)))=Milestones!$AB$122),UPPER(TEXT(EDATE($D55,Milestones!$AA$122),"dd mmm yy"))&amp;" "&amp;Milestones!$AB$122&amp;" "&amp;IF(AND(Milestones!$AB$122="FT",Milestones!$AA$122=FT_Y5,EDATE($D55,Milestones!$AA$122)&lt;PolicyEff),1,Milestones!$AC$122)&amp;";  ","")&amp;IF(AND(EDATE($D55,Milestones!$AA$123)&lt;=AsOfDate,EDATE($D55,Milestones!$AA$123)&gt;=SchemeStart,IF($X55=0,$AD55,IF(AND($Z55&lt;&gt;"",EDATE($D55,Milestones!$AA$123)&gt;=$Z55),$AC55,IF(AND($Y55&lt;&gt;"",EDATE($D55,Milestones!$AA$123)&gt;=$Y55),$AB55,$AA55)))=Milestones!$AB$123),UPPER(TEXT(EDATE($D55,Milestones!$AA$123),"dd mmm yy"))&amp;" "&amp;Milestones!$AB$123&amp;" "&amp;IF(AND(Milestones!$AB$123="FT",Milestones!$AA$123=FT_Y5,EDATE($D55,Milestones!$AA$123)&lt;PolicyEff),1,Milestones!$AC$123)&amp;";  ","")&amp;IF(AND(EDATE($D55,Milestones!$AA$124)&lt;=AsOfDate,EDATE($D55,Milestones!$AA$124)&gt;=SchemeStart,IF($X55=0,$AD55,IF(AND($Z55&lt;&gt;"",EDATE($D55,Milestones!$AA$124)&gt;=$Z55),$AC55,IF(AND($Y55&lt;&gt;"",EDATE($D55,Milestones!$AA$124)&gt;=$Y55),$AB55,$AA55)))=Milestones!$AB$124),UPPER(TEXT(EDATE($D55,Milestones!$AA$124),"dd mmm yy"))&amp;" "&amp;Milestones!$AB$124&amp;" "&amp;IF(AND(Milestones!$AB$124="FT",Milestones!$AA$124=FT_Y5,EDATE($D55,Milestones!$AA$124)&lt;PolicyEff),1,Milestones!$AC$124)&amp;";  ","")&amp;IF(AND(EDATE($D55,Milestones!$AA$125)&lt;=AsOfDate,EDATE($D55,Milestones!$AA$125)&gt;=SchemeStart,IF($X55=0,$AD55,IF(AND($Z55&lt;&gt;"",EDATE($D55,Milestones!$AA$125)&gt;=$Z55),$AC55,IF(AND($Y55&lt;&gt;"",EDATE($D55,Milestones!$AA$125)&gt;=$Y55),$AB55,$AA55)))=Milestones!$AB$125),UPPER(TEXT(EDATE($D55,Milestones!$AA$125),"dd mmm yy"))&amp;" "&amp;Milestones!$AB$125&amp;" "&amp;IF(AND(Milestones!$AB$125="FT",Milestones!$AA$125=FT_Y5,EDATE($D55,Milestones!$AA$125)&lt;PolicyEff),1,Milestones!$AC$125)&amp;";  ","")&amp;IF(AND(EDATE($D55,Milestones!$AA$126)&lt;=AsOfDate,EDATE($D55,Milestones!$AA$126)&gt;=SchemeStart,IF($X55=0,$AD55,IF(AND($Z55&lt;&gt;"",EDATE($D55,Milestones!$AA$126)&gt;=$Z55),$AC55,IF(AND($Y55&lt;&gt;"",EDATE($D55,Milestones!$AA$126)&gt;=$Y55),$AB55,$AA55)))=Milestones!$AB$126),UPPER(TEXT(EDATE($D55,Milestones!$AA$126),"dd mmm yy"))&amp;" "&amp;Milestones!$AB$126&amp;" "&amp;IF(AND(Milestones!$AB$126="FT",Milestones!$AA$126=FT_Y5,EDATE($D55,Milestones!$AA$126)&lt;PolicyEff),1,Milestones!$AC$126)&amp;";  ","")&amp;IF(AND(EDATE($D55,Milestones!$AA$127)&lt;=AsOfDate,EDATE($D55,Milestones!$AA$127)&gt;=SchemeStart,IF($X55=0,$AD55,IF(AND($Z55&lt;&gt;"",EDATE($D55,Milestones!$AA$127)&gt;=$Z55),$AC55,IF(AND($Y55&lt;&gt;"",EDATE($D55,Milestones!$AA$127)&gt;=$Y55),$AB55,$AA55)))=Milestones!$AB$127),UPPER(TEXT(EDATE($D55,Milestones!$AA$127),"dd mmm yy"))&amp;" "&amp;Milestones!$AB$127&amp;" "&amp;IF(AND(Milestones!$AB$127="FT",Milestones!$AA$127=FT_Y5,EDATE($D55,Milestones!$AA$127)&lt;PolicyEff),1,Milestones!$AC$127)&amp;";  ",""))</f>
        <v/>
      </c>
      <c r="R55" s="0" t="str">
        <f aca="false">IF(OR($A55="",$D55=""),"",IF(AND(EDATE($D55,Milestones!$AA$128)&lt;=AsOfDate,EDATE($D55,Milestones!$AA$128)&gt;=SchemeStart,IF($X55=0,$AD55,IF(AND($Z55&lt;&gt;"",EDATE($D55,Milestones!$AA$128)&gt;=$Z55),$AC55,IF(AND($Y55&lt;&gt;"",EDATE($D55,Milestones!$AA$128)&gt;=$Y55),$AB55,$AA55)))=Milestones!$AB$128),UPPER(TEXT(EDATE($D55,Milestones!$AA$128),"dd mmm yy"))&amp;" "&amp;Milestones!$AB$128&amp;" "&amp;IF(AND(Milestones!$AB$128="FT",Milestones!$AA$128=FT_Y5,EDATE($D55,Milestones!$AA$128)&lt;PolicyEff),1,Milestones!$AC$128)&amp;";  ","")&amp;IF(AND(EDATE($D55,Milestones!$AA$129)&lt;=AsOfDate,EDATE($D55,Milestones!$AA$129)&gt;=SchemeStart,IF($X55=0,$AD55,IF(AND($Z55&lt;&gt;"",EDATE($D55,Milestones!$AA$129)&gt;=$Z55),$AC55,IF(AND($Y55&lt;&gt;"",EDATE($D55,Milestones!$AA$129)&gt;=$Y55),$AB55,$AA55)))=Milestones!$AB$129),UPPER(TEXT(EDATE($D55,Milestones!$AA$129),"dd mmm yy"))&amp;" "&amp;Milestones!$AB$129&amp;" "&amp;IF(AND(Milestones!$AB$129="FT",Milestones!$AA$129=FT_Y5,EDATE($D55,Milestones!$AA$129)&lt;PolicyEff),1,Milestones!$AC$129)&amp;";  ","")&amp;IF(AND(EDATE($D55,Milestones!$AA$130)&lt;=AsOfDate,EDATE($D55,Milestones!$AA$130)&gt;=SchemeStart,IF($X55=0,$AD55,IF(AND($Z55&lt;&gt;"",EDATE($D55,Milestones!$AA$130)&gt;=$Z55),$AC55,IF(AND($Y55&lt;&gt;"",EDATE($D55,Milestones!$AA$130)&gt;=$Y55),$AB55,$AA55)))=Milestones!$AB$130),UPPER(TEXT(EDATE($D55,Milestones!$AA$130),"dd mmm yy"))&amp;" "&amp;Milestones!$AB$130&amp;" "&amp;IF(AND(Milestones!$AB$130="FT",Milestones!$AA$130=FT_Y5,EDATE($D55,Milestones!$AA$130)&lt;PolicyEff),1,Milestones!$AC$130)&amp;";  ","")&amp;IF(AND(EDATE($D55,Milestones!$AA$131)&lt;=AsOfDate,EDATE($D55,Milestones!$AA$131)&gt;=SchemeStart,IF($X55=0,$AD55,IF(AND($Z55&lt;&gt;"",EDATE($D55,Milestones!$AA$131)&gt;=$Z55),$AC55,IF(AND($Y55&lt;&gt;"",EDATE($D55,Milestones!$AA$131)&gt;=$Y55),$AB55,$AA55)))=Milestones!$AB$131),UPPER(TEXT(EDATE($D55,Milestones!$AA$131),"dd mmm yy"))&amp;" "&amp;Milestones!$AB$131&amp;" "&amp;IF(AND(Milestones!$AB$131="FT",Milestones!$AA$131=FT_Y5,EDATE($D55,Milestones!$AA$131)&lt;PolicyEff),1,Milestones!$AC$131)&amp;";  ","")&amp;IF(AND(EDATE($D55,Milestones!$AA$132)&lt;=AsOfDate,EDATE($D55,Milestones!$AA$132)&gt;=SchemeStart,IF($X55=0,$AD55,IF(AND($Z55&lt;&gt;"",EDATE($D55,Milestones!$AA$132)&gt;=$Z55),$AC55,IF(AND($Y55&lt;&gt;"",EDATE($D55,Milestones!$AA$132)&gt;=$Y55),$AB55,$AA55)))=Milestones!$AB$132),UPPER(TEXT(EDATE($D55,Milestones!$AA$132),"dd mmm yy"))&amp;" "&amp;Milestones!$AB$132&amp;" "&amp;IF(AND(Milestones!$AB$132="FT",Milestones!$AA$132=FT_Y5,EDATE($D55,Milestones!$AA$132)&lt;PolicyEff),1,Milestones!$AC$132)&amp;";  ","")&amp;IF(AND(EDATE($D55,Milestones!$AA$133)&lt;=AsOfDate,EDATE($D55,Milestones!$AA$133)&gt;=SchemeStart,IF($X55=0,$AD55,IF(AND($Z55&lt;&gt;"",EDATE($D55,Milestones!$AA$133)&gt;=$Z55),$AC55,IF(AND($Y55&lt;&gt;"",EDATE($D55,Milestones!$AA$133)&gt;=$Y55),$AB55,$AA55)))=Milestones!$AB$133),UPPER(TEXT(EDATE($D55,Milestones!$AA$133),"dd mmm yy"))&amp;" "&amp;Milestones!$AB$133&amp;" "&amp;IF(AND(Milestones!$AB$133="FT",Milestones!$AA$133=FT_Y5,EDATE($D55,Milestones!$AA$133)&lt;PolicyEff),1,Milestones!$AC$133)&amp;";  ","")&amp;IF(AND(EDATE($D55,Milestones!$AA$134)&lt;=AsOfDate,EDATE($D55,Milestones!$AA$134)&gt;=SchemeStart,IF($X55=0,$AD55,IF(AND($Z55&lt;&gt;"",EDATE($D55,Milestones!$AA$134)&gt;=$Z55),$AC55,IF(AND($Y55&lt;&gt;"",EDATE($D55,Milestones!$AA$134)&gt;=$Y55),$AB55,$AA55)))=Milestones!$AB$134),UPPER(TEXT(EDATE($D55,Milestones!$AA$134),"dd mmm yy"))&amp;" "&amp;Milestones!$AB$134&amp;" "&amp;IF(AND(Milestones!$AB$134="FT",Milestones!$AA$134=FT_Y5,EDATE($D55,Milestones!$AA$134)&lt;PolicyEff),1,Milestones!$AC$134)&amp;";  ","")&amp;IF(AND(EDATE($D55,Milestones!$AA$135)&lt;=AsOfDate,EDATE($D55,Milestones!$AA$135)&gt;=SchemeStart,IF($X55=0,$AD55,IF(AND($Z55&lt;&gt;"",EDATE($D55,Milestones!$AA$135)&gt;=$Z55),$AC55,IF(AND($Y55&lt;&gt;"",EDATE($D55,Milestones!$AA$135)&gt;=$Y55),$AB55,$AA55)))=Milestones!$AB$135),UPPER(TEXT(EDATE($D55,Milestones!$AA$135),"dd mmm yy"))&amp;" "&amp;Milestones!$AB$135&amp;" "&amp;IF(AND(Milestones!$AB$135="FT",Milestones!$AA$135=FT_Y5,EDATE($D55,Milestones!$AA$135)&lt;PolicyEff),1,Milestones!$AC$135)&amp;";  ","")&amp;IF(AND(EDATE($D55,Milestones!$AA$136)&lt;=AsOfDate,EDATE($D55,Milestones!$AA$136)&gt;=SchemeStart,IF($X55=0,$AD55,IF(AND($Z55&lt;&gt;"",EDATE($D55,Milestones!$AA$136)&gt;=$Z55),$AC55,IF(AND($Y55&lt;&gt;"",EDATE($D55,Milestones!$AA$136)&gt;=$Y55),$AB55,$AA55)))=Milestones!$AB$136),UPPER(TEXT(EDATE($D55,Milestones!$AA$136),"dd mmm yy"))&amp;" "&amp;Milestones!$AB$136&amp;" "&amp;IF(AND(Milestones!$AB$136="FT",Milestones!$AA$136=FT_Y5,EDATE($D55,Milestones!$AA$136)&lt;PolicyEff),1,Milestones!$AC$136)&amp;";  ","")&amp;IF(AND(EDATE($D55,Milestones!$AA$137)&lt;=AsOfDate,EDATE($D55,Milestones!$AA$137)&gt;=SchemeStart,IF($X55=0,$AD55,IF(AND($Z55&lt;&gt;"",EDATE($D55,Milestones!$AA$137)&gt;=$Z55),$AC55,IF(AND($Y55&lt;&gt;"",EDATE($D55,Milestones!$AA$137)&gt;=$Y55),$AB55,$AA55)))=Milestones!$AB$137),UPPER(TEXT(EDATE($D55,Milestones!$AA$137),"dd mmm yy"))&amp;" "&amp;Milestones!$AB$137&amp;" "&amp;IF(AND(Milestones!$AB$137="FT",Milestones!$AA$137=FT_Y5,EDATE($D55,Milestones!$AA$137)&lt;PolicyEff),1,Milestones!$AC$137)&amp;";  ","")&amp;IF(AND(EDATE($D55,Milestones!$AA$138)&lt;=AsOfDate,EDATE($D55,Milestones!$AA$138)&gt;=SchemeStart,IF($X55=0,$AD55,IF(AND($Z55&lt;&gt;"",EDATE($D55,Milestones!$AA$138)&gt;=$Z55),$AC55,IF(AND($Y55&lt;&gt;"",EDATE($D55,Milestones!$AA$138)&gt;=$Y55),$AB55,$AA55)))=Milestones!$AB$138),UPPER(TEXT(EDATE($D55,Milestones!$AA$138),"dd mmm yy"))&amp;" "&amp;Milestones!$AB$138&amp;" "&amp;IF(AND(Milestones!$AB$138="FT",Milestones!$AA$138=FT_Y5,EDATE($D55,Milestones!$AA$138)&lt;PolicyEff),1,Milestones!$AC$138)&amp;";  ","")&amp;IF(AND(EDATE($D55,Milestones!$AA$139)&lt;=AsOfDate,EDATE($D55,Milestones!$AA$139)&gt;=SchemeStart,IF($X55=0,$AD55,IF(AND($Z55&lt;&gt;"",EDATE($D55,Milestones!$AA$139)&gt;=$Z55),$AC55,IF(AND($Y55&lt;&gt;"",EDATE($D55,Milestones!$AA$139)&gt;=$Y55),$AB55,$AA55)))=Milestones!$AB$139),UPPER(TEXT(EDATE($D55,Milestones!$AA$139),"dd mmm yy"))&amp;" "&amp;Milestones!$AB$139&amp;" "&amp;IF(AND(Milestones!$AB$139="FT",Milestones!$AA$139=FT_Y5,EDATE($D55,Milestones!$AA$139)&lt;PolicyEff),1,Milestones!$AC$139)&amp;";  ",""))</f>
        <v/>
      </c>
      <c r="S55" s="0" t="str">
        <f aca="false">IF(OR($A55="",$D55=""),"",IF(AND(EDATE($D55,Milestones!$AA$140)&lt;=AsOfDate,EDATE($D55,Milestones!$AA$140)&gt;=SchemeStart,IF($X55=0,$AD55,IF(AND($Z55&lt;&gt;"",EDATE($D55,Milestones!$AA$140)&gt;=$Z55),$AC55,IF(AND($Y55&lt;&gt;"",EDATE($D55,Milestones!$AA$140)&gt;=$Y55),$AB55,$AA55)))=Milestones!$AB$140),UPPER(TEXT(EDATE($D55,Milestones!$AA$140),"dd mmm yy"))&amp;" "&amp;Milestones!$AB$140&amp;" "&amp;IF(AND(Milestones!$AB$140="FT",Milestones!$AA$140=FT_Y5,EDATE($D55,Milestones!$AA$140)&lt;PolicyEff),1,Milestones!$AC$140)&amp;";  ","")&amp;IF(AND(EDATE($D55,Milestones!$AA$141)&lt;=AsOfDate,EDATE($D55,Milestones!$AA$141)&gt;=SchemeStart,IF($X55=0,$AD55,IF(AND($Z55&lt;&gt;"",EDATE($D55,Milestones!$AA$141)&gt;=$Z55),$AC55,IF(AND($Y55&lt;&gt;"",EDATE($D55,Milestones!$AA$141)&gt;=$Y55),$AB55,$AA55)))=Milestones!$AB$141),UPPER(TEXT(EDATE($D55,Milestones!$AA$141),"dd mmm yy"))&amp;" "&amp;Milestones!$AB$141&amp;" "&amp;IF(AND(Milestones!$AB$141="FT",Milestones!$AA$141=FT_Y5,EDATE($D55,Milestones!$AA$141)&lt;PolicyEff),1,Milestones!$AC$141)&amp;";  ","")&amp;IF(AND(EDATE($D55,Milestones!$AA$142)&lt;=AsOfDate,EDATE($D55,Milestones!$AA$142)&gt;=SchemeStart,IF($X55=0,$AD55,IF(AND($Z55&lt;&gt;"",EDATE($D55,Milestones!$AA$142)&gt;=$Z55),$AC55,IF(AND($Y55&lt;&gt;"",EDATE($D55,Milestones!$AA$142)&gt;=$Y55),$AB55,$AA55)))=Milestones!$AB$142),UPPER(TEXT(EDATE($D55,Milestones!$AA$142),"dd mmm yy"))&amp;" "&amp;Milestones!$AB$142&amp;" "&amp;IF(AND(Milestones!$AB$142="FT",Milestones!$AA$142=FT_Y5,EDATE($D55,Milestones!$AA$142)&lt;PolicyEff),1,Milestones!$AC$142)&amp;";  ","")&amp;IF(AND(EDATE($D55,Milestones!$AA$143)&lt;=AsOfDate,EDATE($D55,Milestones!$AA$143)&gt;=SchemeStart,IF($X55=0,$AD55,IF(AND($Z55&lt;&gt;"",EDATE($D55,Milestones!$AA$143)&gt;=$Z55),$AC55,IF(AND($Y55&lt;&gt;"",EDATE($D55,Milestones!$AA$143)&gt;=$Y55),$AB55,$AA55)))=Milestones!$AB$143),UPPER(TEXT(EDATE($D55,Milestones!$AA$143),"dd mmm yy"))&amp;" "&amp;Milestones!$AB$143&amp;" "&amp;IF(AND(Milestones!$AB$143="FT",Milestones!$AA$143=FT_Y5,EDATE($D55,Milestones!$AA$143)&lt;PolicyEff),1,Milestones!$AC$143)&amp;";  ","")&amp;IF(AND(EDATE($D55,Milestones!$AA$144)&lt;=AsOfDate,EDATE($D55,Milestones!$AA$144)&gt;=SchemeStart,IF($X55=0,$AD55,IF(AND($Z55&lt;&gt;"",EDATE($D55,Milestones!$AA$144)&gt;=$Z55),$AC55,IF(AND($Y55&lt;&gt;"",EDATE($D55,Milestones!$AA$144)&gt;=$Y55),$AB55,$AA55)))=Milestones!$AB$144),UPPER(TEXT(EDATE($D55,Milestones!$AA$144),"dd mmm yy"))&amp;" "&amp;Milestones!$AB$144&amp;" "&amp;IF(AND(Milestones!$AB$144="FT",Milestones!$AA$144=FT_Y5,EDATE($D55,Milestones!$AA$144)&lt;PolicyEff),1,Milestones!$AC$144)&amp;";  ","")&amp;IF(AND(EDATE($D55,Milestones!$AA$145)&lt;=AsOfDate,EDATE($D55,Milestones!$AA$145)&gt;=SchemeStart,IF($X55=0,$AD55,IF(AND($Z55&lt;&gt;"",EDATE($D55,Milestones!$AA$145)&gt;=$Z55),$AC55,IF(AND($Y55&lt;&gt;"",EDATE($D55,Milestones!$AA$145)&gt;=$Y55),$AB55,$AA55)))=Milestones!$AB$145),UPPER(TEXT(EDATE($D55,Milestones!$AA$145),"dd mmm yy"))&amp;" "&amp;Milestones!$AB$145&amp;" "&amp;IF(AND(Milestones!$AB$145="FT",Milestones!$AA$145=FT_Y5,EDATE($D55,Milestones!$AA$145)&lt;PolicyEff),1,Milestones!$AC$145)&amp;";  ","")&amp;IF(AND(EDATE($D55,Milestones!$AA$146)&lt;=AsOfDate,EDATE($D55,Milestones!$AA$146)&gt;=SchemeStart,IF($X55=0,$AD55,IF(AND($Z55&lt;&gt;"",EDATE($D55,Milestones!$AA$146)&gt;=$Z55),$AC55,IF(AND($Y55&lt;&gt;"",EDATE($D55,Milestones!$AA$146)&gt;=$Y55),$AB55,$AA55)))=Milestones!$AB$146),UPPER(TEXT(EDATE($D55,Milestones!$AA$146),"dd mmm yy"))&amp;" "&amp;Milestones!$AB$146&amp;" "&amp;IF(AND(Milestones!$AB$146="FT",Milestones!$AA$146=FT_Y5,EDATE($D55,Milestones!$AA$146)&lt;PolicyEff),1,Milestones!$AC$146)&amp;";  ","")&amp;IF(AND(EDATE($D55,Milestones!$AA$147)&lt;=AsOfDate,EDATE($D55,Milestones!$AA$147)&gt;=SchemeStart,IF($X55=0,$AD55,IF(AND($Z55&lt;&gt;"",EDATE($D55,Milestones!$AA$147)&gt;=$Z55),$AC55,IF(AND($Y55&lt;&gt;"",EDATE($D55,Milestones!$AA$147)&gt;=$Y55),$AB55,$AA55)))=Milestones!$AB$147),UPPER(TEXT(EDATE($D55,Milestones!$AA$147),"dd mmm yy"))&amp;" "&amp;Milestones!$AB$147&amp;" "&amp;IF(AND(Milestones!$AB$147="FT",Milestones!$AA$147=FT_Y5,EDATE($D55,Milestones!$AA$147)&lt;PolicyEff),1,Milestones!$AC$147)&amp;";  ","")&amp;IF(AND(EDATE($D55,Milestones!$AA$148)&lt;=AsOfDate,EDATE($D55,Milestones!$AA$148)&gt;=SchemeStart,IF($X55=0,$AD55,IF(AND($Z55&lt;&gt;"",EDATE($D55,Milestones!$AA$148)&gt;=$Z55),$AC55,IF(AND($Y55&lt;&gt;"",EDATE($D55,Milestones!$AA$148)&gt;=$Y55),$AB55,$AA55)))=Milestones!$AB$148),UPPER(TEXT(EDATE($D55,Milestones!$AA$148),"dd mmm yy"))&amp;" "&amp;Milestones!$AB$148&amp;" "&amp;IF(AND(Milestones!$AB$148="FT",Milestones!$AA$148=FT_Y5,EDATE($D55,Milestones!$AA$148)&lt;PolicyEff),1,Milestones!$AC$148)&amp;";  ","")&amp;IF(AND(EDATE($D55,Milestones!$AA$149)&lt;=AsOfDate,EDATE($D55,Milestones!$AA$149)&gt;=SchemeStart,IF($X55=0,$AD55,IF(AND($Z55&lt;&gt;"",EDATE($D55,Milestones!$AA$149)&gt;=$Z55),$AC55,IF(AND($Y55&lt;&gt;"",EDATE($D55,Milestones!$AA$149)&gt;=$Y55),$AB55,$AA55)))=Milestones!$AB$149),UPPER(TEXT(EDATE($D55,Milestones!$AA$149),"dd mmm yy"))&amp;" "&amp;Milestones!$AB$149&amp;" "&amp;IF(AND(Milestones!$AB$149="FT",Milestones!$AA$149=FT_Y5,EDATE($D55,Milestones!$AA$149)&lt;PolicyEff),1,Milestones!$AC$149)&amp;";  ","")&amp;IF(AND(EDATE($D55,Milestones!$AA$150)&lt;=AsOfDate,EDATE($D55,Milestones!$AA$150)&gt;=SchemeStart,IF($X55=0,$AD55,IF(AND($Z55&lt;&gt;"",EDATE($D55,Milestones!$AA$150)&gt;=$Z55),$AC55,IF(AND($Y55&lt;&gt;"",EDATE($D55,Milestones!$AA$150)&gt;=$Y55),$AB55,$AA55)))=Milestones!$AB$150),UPPER(TEXT(EDATE($D55,Milestones!$AA$150),"dd mmm yy"))&amp;" "&amp;Milestones!$AB$150&amp;" "&amp;IF(AND(Milestones!$AB$150="FT",Milestones!$AA$150=FT_Y5,EDATE($D55,Milestones!$AA$150)&lt;PolicyEff),1,Milestones!$AC$150)&amp;";  ","")&amp;IF(AND(EDATE($D55,Milestones!$AA$151)&lt;=AsOfDate,EDATE($D55,Milestones!$AA$151)&gt;=SchemeStart,IF($X55=0,$AD55,IF(AND($Z55&lt;&gt;"",EDATE($D55,Milestones!$AA$151)&gt;=$Z55),$AC55,IF(AND($Y55&lt;&gt;"",EDATE($D55,Milestones!$AA$151)&gt;=$Y55),$AB55,$AA55)))=Milestones!$AB$151),UPPER(TEXT(EDATE($D55,Milestones!$AA$151),"dd mmm yy"))&amp;" "&amp;Milestones!$AB$151&amp;" "&amp;IF(AND(Milestones!$AB$151="FT",Milestones!$AA$151=FT_Y5,EDATE($D55,Milestones!$AA$151)&lt;PolicyEff),1,Milestones!$AC$151)&amp;";  ",""))</f>
        <v/>
      </c>
      <c r="T55" s="0" t="str">
        <f aca="false">IF(OR($A55="",$D55=""),"",IF(AND(EDATE($D55,Milestones!$AA$152)&lt;=AsOfDate,EDATE($D55,Milestones!$AA$152)&gt;=SchemeStart,IF($X55=0,$AD55,IF(AND($Z55&lt;&gt;"",EDATE($D55,Milestones!$AA$152)&gt;=$Z55),$AC55,IF(AND($Y55&lt;&gt;"",EDATE($D55,Milestones!$AA$152)&gt;=$Y55),$AB55,$AA55)))=Milestones!$AB$152),UPPER(TEXT(EDATE($D55,Milestones!$AA$152),"dd mmm yy"))&amp;" "&amp;Milestones!$AB$152&amp;" "&amp;IF(AND(Milestones!$AB$152="FT",Milestones!$AA$152=FT_Y5,EDATE($D55,Milestones!$AA$152)&lt;PolicyEff),1,Milestones!$AC$152)&amp;";  ","")&amp;IF(AND(EDATE($D55,Milestones!$AA$153)&lt;=AsOfDate,EDATE($D55,Milestones!$AA$153)&gt;=SchemeStart,IF($X55=0,$AD55,IF(AND($Z55&lt;&gt;"",EDATE($D55,Milestones!$AA$153)&gt;=$Z55),$AC55,IF(AND($Y55&lt;&gt;"",EDATE($D55,Milestones!$AA$153)&gt;=$Y55),$AB55,$AA55)))=Milestones!$AB$153),UPPER(TEXT(EDATE($D55,Milestones!$AA$153),"dd mmm yy"))&amp;" "&amp;Milestones!$AB$153&amp;" "&amp;IF(AND(Milestones!$AB$153="FT",Milestones!$AA$153=FT_Y5,EDATE($D55,Milestones!$AA$153)&lt;PolicyEff),1,Milestones!$AC$153)&amp;";  ","")&amp;IF(AND(EDATE($D55,Milestones!$AA$154)&lt;=AsOfDate,EDATE($D55,Milestones!$AA$154)&gt;=SchemeStart,IF($X55=0,$AD55,IF(AND($Z55&lt;&gt;"",EDATE($D55,Milestones!$AA$154)&gt;=$Z55),$AC55,IF(AND($Y55&lt;&gt;"",EDATE($D55,Milestones!$AA$154)&gt;=$Y55),$AB55,$AA55)))=Milestones!$AB$154),UPPER(TEXT(EDATE($D55,Milestones!$AA$154),"dd mmm yy"))&amp;" "&amp;Milestones!$AB$154&amp;" "&amp;IF(AND(Milestones!$AB$154="FT",Milestones!$AA$154=FT_Y5,EDATE($D55,Milestones!$AA$154)&lt;PolicyEff),1,Milestones!$AC$154)&amp;";  ","")&amp;IF(AND(EDATE($D55,Milestones!$AA$155)&lt;=AsOfDate,EDATE($D55,Milestones!$AA$155)&gt;=SchemeStart,IF($X55=0,$AD55,IF(AND($Z55&lt;&gt;"",EDATE($D55,Milestones!$AA$155)&gt;=$Z55),$AC55,IF(AND($Y55&lt;&gt;"",EDATE($D55,Milestones!$AA$155)&gt;=$Y55),$AB55,$AA55)))=Milestones!$AB$155),UPPER(TEXT(EDATE($D55,Milestones!$AA$155),"dd mmm yy"))&amp;" "&amp;Milestones!$AB$155&amp;" "&amp;IF(AND(Milestones!$AB$155="FT",Milestones!$AA$155=FT_Y5,EDATE($D55,Milestones!$AA$155)&lt;PolicyEff),1,Milestones!$AC$155)&amp;";  ","")&amp;IF(AND(EDATE($D55,Milestones!$AA$156)&lt;=AsOfDate,EDATE($D55,Milestones!$AA$156)&gt;=SchemeStart,IF($X55=0,$AD55,IF(AND($Z55&lt;&gt;"",EDATE($D55,Milestones!$AA$156)&gt;=$Z55),$AC55,IF(AND($Y55&lt;&gt;"",EDATE($D55,Milestones!$AA$156)&gt;=$Y55),$AB55,$AA55)))=Milestones!$AB$156),UPPER(TEXT(EDATE($D55,Milestones!$AA$156),"dd mmm yy"))&amp;" "&amp;Milestones!$AB$156&amp;" "&amp;IF(AND(Milestones!$AB$156="FT",Milestones!$AA$156=FT_Y5,EDATE($D55,Milestones!$AA$156)&lt;PolicyEff),1,Milestones!$AC$156)&amp;";  ","")&amp;IF(AND(EDATE($D55,Milestones!$AA$157)&lt;=AsOfDate,EDATE($D55,Milestones!$AA$157)&gt;=SchemeStart,IF($X55=0,$AD55,IF(AND($Z55&lt;&gt;"",EDATE($D55,Milestones!$AA$157)&gt;=$Z55),$AC55,IF(AND($Y55&lt;&gt;"",EDATE($D55,Milestones!$AA$157)&gt;=$Y55),$AB55,$AA55)))=Milestones!$AB$157),UPPER(TEXT(EDATE($D55,Milestones!$AA$157),"dd mmm yy"))&amp;" "&amp;Milestones!$AB$157&amp;" "&amp;IF(AND(Milestones!$AB$157="FT",Milestones!$AA$157=FT_Y5,EDATE($D55,Milestones!$AA$157)&lt;PolicyEff),1,Milestones!$AC$157)&amp;";  ","")&amp;IF(AND(EDATE($D55,Milestones!$AA$158)&lt;=AsOfDate,EDATE($D55,Milestones!$AA$158)&gt;=SchemeStart,IF($X55=0,$AD55,IF(AND($Z55&lt;&gt;"",EDATE($D55,Milestones!$AA$158)&gt;=$Z55),$AC55,IF(AND($Y55&lt;&gt;"",EDATE($D55,Milestones!$AA$158)&gt;=$Y55),$AB55,$AA55)))=Milestones!$AB$158),UPPER(TEXT(EDATE($D55,Milestones!$AA$158),"dd mmm yy"))&amp;" "&amp;Milestones!$AB$158&amp;" "&amp;IF(AND(Milestones!$AB$158="FT",Milestones!$AA$158=FT_Y5,EDATE($D55,Milestones!$AA$158)&lt;PolicyEff),1,Milestones!$AC$158)&amp;";  ","")&amp;IF(AND(EDATE($D55,Milestones!$AA$159)&lt;=AsOfDate,EDATE($D55,Milestones!$AA$159)&gt;=SchemeStart,IF($X55=0,$AD55,IF(AND($Z55&lt;&gt;"",EDATE($D55,Milestones!$AA$159)&gt;=$Z55),$AC55,IF(AND($Y55&lt;&gt;"",EDATE($D55,Milestones!$AA$159)&gt;=$Y55),$AB55,$AA55)))=Milestones!$AB$159),UPPER(TEXT(EDATE($D55,Milestones!$AA$159),"dd mmm yy"))&amp;" "&amp;Milestones!$AB$159&amp;" "&amp;IF(AND(Milestones!$AB$159="FT",Milestones!$AA$159=FT_Y5,EDATE($D55,Milestones!$AA$159)&lt;PolicyEff),1,Milestones!$AC$159)&amp;";  ","")&amp;IF(AND(EDATE($D55,Milestones!$AA$160)&lt;=AsOfDate,EDATE($D55,Milestones!$AA$160)&gt;=SchemeStart,IF($X55=0,$AD55,IF(AND($Z55&lt;&gt;"",EDATE($D55,Milestones!$AA$160)&gt;=$Z55),$AC55,IF(AND($Y55&lt;&gt;"",EDATE($D55,Milestones!$AA$160)&gt;=$Y55),$AB55,$AA55)))=Milestones!$AB$160),UPPER(TEXT(EDATE($D55,Milestones!$AA$160),"dd mmm yy"))&amp;" "&amp;Milestones!$AB$160&amp;" "&amp;IF(AND(Milestones!$AB$160="FT",Milestones!$AA$160=FT_Y5,EDATE($D55,Milestones!$AA$160)&lt;PolicyEff),1,Milestones!$AC$160)&amp;";  ","")&amp;IF(AND(EDATE($D55,Milestones!$AA$161)&lt;=AsOfDate,EDATE($D55,Milestones!$AA$161)&gt;=SchemeStart,IF($X55=0,$AD55,IF(AND($Z55&lt;&gt;"",EDATE($D55,Milestones!$AA$161)&gt;=$Z55),$AC55,IF(AND($Y55&lt;&gt;"",EDATE($D55,Milestones!$AA$161)&gt;=$Y55),$AB55,$AA55)))=Milestones!$AB$161),UPPER(TEXT(EDATE($D55,Milestones!$AA$161),"dd mmm yy"))&amp;" "&amp;Milestones!$AB$161&amp;" "&amp;IF(AND(Milestones!$AB$161="FT",Milestones!$AA$161=FT_Y5,EDATE($D55,Milestones!$AA$161)&lt;PolicyEff),1,Milestones!$AC$161)&amp;";  ","")&amp;IF(AND(EDATE($D55,Milestones!$AA$162)&lt;=AsOfDate,EDATE($D55,Milestones!$AA$162)&gt;=SchemeStart,IF($X55=0,$AD55,IF(AND($Z55&lt;&gt;"",EDATE($D55,Milestones!$AA$162)&gt;=$Z55),$AC55,IF(AND($Y55&lt;&gt;"",EDATE($D55,Milestones!$AA$162)&gt;=$Y55),$AB55,$AA55)))=Milestones!$AB$162),UPPER(TEXT(EDATE($D55,Milestones!$AA$162),"dd mmm yy"))&amp;" "&amp;Milestones!$AB$162&amp;" "&amp;IF(AND(Milestones!$AB$162="FT",Milestones!$AA$162=FT_Y5,EDATE($D55,Milestones!$AA$162)&lt;PolicyEff),1,Milestones!$AC$162)&amp;";  ","")&amp;IF(AND(EDATE($D55,Milestones!$AA$163)&lt;=AsOfDate,EDATE($D55,Milestones!$AA$163)&gt;=SchemeStart,IF($X55=0,$AD55,IF(AND($Z55&lt;&gt;"",EDATE($D55,Milestones!$AA$163)&gt;=$Z55),$AC55,IF(AND($Y55&lt;&gt;"",EDATE($D55,Milestones!$AA$163)&gt;=$Y55),$AB55,$AA55)))=Milestones!$AB$163),UPPER(TEXT(EDATE($D55,Milestones!$AA$163),"dd mmm yy"))&amp;" "&amp;Milestones!$AB$163&amp;" "&amp;IF(AND(Milestones!$AB$163="FT",Milestones!$AA$163=FT_Y5,EDATE($D55,Milestones!$AA$163)&lt;PolicyEff),1,Milestones!$AC$163)&amp;";  ",""))</f>
        <v/>
      </c>
      <c r="U55" s="0" t="str">
        <f aca="false">IF(OR($A55="",$D55=""),"",IF(AND(EDATE($D55,Milestones!$AA$164)&lt;=AsOfDate,EDATE($D55,Milestones!$AA$164)&gt;=SchemeStart,IF($X55=0,$AD55,IF(AND($Z55&lt;&gt;"",EDATE($D55,Milestones!$AA$164)&gt;=$Z55),$AC55,IF(AND($Y55&lt;&gt;"",EDATE($D55,Milestones!$AA$164)&gt;=$Y55),$AB55,$AA55)))=Milestones!$AB$164),UPPER(TEXT(EDATE($D55,Milestones!$AA$164),"dd mmm yy"))&amp;" "&amp;Milestones!$AB$164&amp;" "&amp;IF(AND(Milestones!$AB$164="FT",Milestones!$AA$164=FT_Y5,EDATE($D55,Milestones!$AA$164)&lt;PolicyEff),1,Milestones!$AC$164)&amp;";  ","")&amp;IF(AND(EDATE($D55,Milestones!$AA$165)&lt;=AsOfDate,EDATE($D55,Milestones!$AA$165)&gt;=SchemeStart,IF($X55=0,$AD55,IF(AND($Z55&lt;&gt;"",EDATE($D55,Milestones!$AA$165)&gt;=$Z55),$AC55,IF(AND($Y55&lt;&gt;"",EDATE($D55,Milestones!$AA$165)&gt;=$Y55),$AB55,$AA55)))=Milestones!$AB$165),UPPER(TEXT(EDATE($D55,Milestones!$AA$165),"dd mmm yy"))&amp;" "&amp;Milestones!$AB$165&amp;" "&amp;IF(AND(Milestones!$AB$165="FT",Milestones!$AA$165=FT_Y5,EDATE($D55,Milestones!$AA$165)&lt;PolicyEff),1,Milestones!$AC$165)&amp;";  ","")&amp;IF(AND(EDATE($D55,Milestones!$AA$166)&lt;=AsOfDate,EDATE($D55,Milestones!$AA$166)&gt;=SchemeStart,IF($X55=0,$AD55,IF(AND($Z55&lt;&gt;"",EDATE($D55,Milestones!$AA$166)&gt;=$Z55),$AC55,IF(AND($Y55&lt;&gt;"",EDATE($D55,Milestones!$AA$166)&gt;=$Y55),$AB55,$AA55)))=Milestones!$AB$166),UPPER(TEXT(EDATE($D55,Milestones!$AA$166),"dd mmm yy"))&amp;" "&amp;Milestones!$AB$166&amp;" "&amp;IF(AND(Milestones!$AB$166="FT",Milestones!$AA$166=FT_Y5,EDATE($D55,Milestones!$AA$166)&lt;PolicyEff),1,Milestones!$AC$166)&amp;";  ","")&amp;IF(AND(EDATE($D55,Milestones!$AA$167)&lt;=AsOfDate,EDATE($D55,Milestones!$AA$167)&gt;=SchemeStart,IF($X55=0,$AD55,IF(AND($Z55&lt;&gt;"",EDATE($D55,Milestones!$AA$167)&gt;=$Z55),$AC55,IF(AND($Y55&lt;&gt;"",EDATE($D55,Milestones!$AA$167)&gt;=$Y55),$AB55,$AA55)))=Milestones!$AB$167),UPPER(TEXT(EDATE($D55,Milestones!$AA$167),"dd mmm yy"))&amp;" "&amp;Milestones!$AB$167&amp;" "&amp;IF(AND(Milestones!$AB$167="FT",Milestones!$AA$167=FT_Y5,EDATE($D55,Milestones!$AA$167)&lt;PolicyEff),1,Milestones!$AC$167)&amp;";  ","")&amp;IF(AND(EDATE($D55,Milestones!$AA$168)&lt;=AsOfDate,EDATE($D55,Milestones!$AA$168)&gt;=SchemeStart,IF($X55=0,$AD55,IF(AND($Z55&lt;&gt;"",EDATE($D55,Milestones!$AA$168)&gt;=$Z55),$AC55,IF(AND($Y55&lt;&gt;"",EDATE($D55,Milestones!$AA$168)&gt;=$Y55),$AB55,$AA55)))=Milestones!$AB$168),UPPER(TEXT(EDATE($D55,Milestones!$AA$168),"dd mmm yy"))&amp;" "&amp;Milestones!$AB$168&amp;" "&amp;IF(AND(Milestones!$AB$168="FT",Milestones!$AA$168=FT_Y5,EDATE($D55,Milestones!$AA$168)&lt;PolicyEff),1,Milestones!$AC$168)&amp;";  ","")&amp;IF(AND(EDATE($D55,Milestones!$AA$169)&lt;=AsOfDate,EDATE($D55,Milestones!$AA$169)&gt;=SchemeStart,IF($X55=0,$AD55,IF(AND($Z55&lt;&gt;"",EDATE($D55,Milestones!$AA$169)&gt;=$Z55),$AC55,IF(AND($Y55&lt;&gt;"",EDATE($D55,Milestones!$AA$169)&gt;=$Y55),$AB55,$AA55)))=Milestones!$AB$169),UPPER(TEXT(EDATE($D55,Milestones!$AA$169),"dd mmm yy"))&amp;" "&amp;Milestones!$AB$169&amp;" "&amp;IF(AND(Milestones!$AB$169="FT",Milestones!$AA$169=FT_Y5,EDATE($D55,Milestones!$AA$169)&lt;PolicyEff),1,Milestones!$AC$169)&amp;";  ","")&amp;IF(AND(EDATE($D55,Milestones!$AA$170)&lt;=AsOfDate,EDATE($D55,Milestones!$AA$170)&gt;=SchemeStart,IF($X55=0,$AD55,IF(AND($Z55&lt;&gt;"",EDATE($D55,Milestones!$AA$170)&gt;=$Z55),$AC55,IF(AND($Y55&lt;&gt;"",EDATE($D55,Milestones!$AA$170)&gt;=$Y55),$AB55,$AA55)))=Milestones!$AB$170),UPPER(TEXT(EDATE($D55,Milestones!$AA$170),"dd mmm yy"))&amp;" "&amp;Milestones!$AB$170&amp;" "&amp;IF(AND(Milestones!$AB$170="FT",Milestones!$AA$170=FT_Y5,EDATE($D55,Milestones!$AA$170)&lt;PolicyEff),1,Milestones!$AC$170)&amp;";  ","")&amp;IF(AND(EDATE($D55,Milestones!$AA$171)&lt;=AsOfDate,EDATE($D55,Milestones!$AA$171)&gt;=SchemeStart,IF($X55=0,$AD55,IF(AND($Z55&lt;&gt;"",EDATE($D55,Milestones!$AA$171)&gt;=$Z55),$AC55,IF(AND($Y55&lt;&gt;"",EDATE($D55,Milestones!$AA$171)&gt;=$Y55),$AB55,$AA55)))=Milestones!$AB$171),UPPER(TEXT(EDATE($D55,Milestones!$AA$171),"dd mmm yy"))&amp;" "&amp;Milestones!$AB$171&amp;" "&amp;IF(AND(Milestones!$AB$171="FT",Milestones!$AA$171=FT_Y5,EDATE($D55,Milestones!$AA$171)&lt;PolicyEff),1,Milestones!$AC$171)&amp;";  ","")&amp;IF(AND(EDATE($D55,Milestones!$AA$172)&lt;=AsOfDate,EDATE($D55,Milestones!$AA$172)&gt;=SchemeStart,IF($X55=0,$AD55,IF(AND($Z55&lt;&gt;"",EDATE($D55,Milestones!$AA$172)&gt;=$Z55),$AC55,IF(AND($Y55&lt;&gt;"",EDATE($D55,Milestones!$AA$172)&gt;=$Y55),$AB55,$AA55)))=Milestones!$AB$172),UPPER(TEXT(EDATE($D55,Milestones!$AA$172),"dd mmm yy"))&amp;" "&amp;Milestones!$AB$172&amp;" "&amp;IF(AND(Milestones!$AB$172="FT",Milestones!$AA$172=FT_Y5,EDATE($D55,Milestones!$AA$172)&lt;PolicyEff),1,Milestones!$AC$172)&amp;";  ","")&amp;IF(AND(EDATE($D55,Milestones!$AA$173)&lt;=AsOfDate,EDATE($D55,Milestones!$AA$173)&gt;=SchemeStart,IF($X55=0,$AD55,IF(AND($Z55&lt;&gt;"",EDATE($D55,Milestones!$AA$173)&gt;=$Z55),$AC55,IF(AND($Y55&lt;&gt;"",EDATE($D55,Milestones!$AA$173)&gt;=$Y55),$AB55,$AA55)))=Milestones!$AB$173),UPPER(TEXT(EDATE($D55,Milestones!$AA$173),"dd mmm yy"))&amp;" "&amp;Milestones!$AB$173&amp;" "&amp;IF(AND(Milestones!$AB$173="FT",Milestones!$AA$173=FT_Y5,EDATE($D55,Milestones!$AA$173)&lt;PolicyEff),1,Milestones!$AC$173)&amp;";  ","")&amp;IF(AND(EDATE($D55,Milestones!$AA$174)&lt;=AsOfDate,EDATE($D55,Milestones!$AA$174)&gt;=SchemeStart,IF($X55=0,$AD55,IF(AND($Z55&lt;&gt;"",EDATE($D55,Milestones!$AA$174)&gt;=$Z55),$AC55,IF(AND($Y55&lt;&gt;"",EDATE($D55,Milestones!$AA$174)&gt;=$Y55),$AB55,$AA55)))=Milestones!$AB$174),UPPER(TEXT(EDATE($D55,Milestones!$AA$174),"dd mmm yy"))&amp;" "&amp;Milestones!$AB$174&amp;" "&amp;IF(AND(Milestones!$AB$174="FT",Milestones!$AA$174=FT_Y5,EDATE($D55,Milestones!$AA$174)&lt;PolicyEff),1,Milestones!$AC$174)&amp;";  ","")&amp;IF(AND(EDATE($D55,Milestones!$AA$175)&lt;=AsOfDate,EDATE($D55,Milestones!$AA$175)&gt;=SchemeStart,IF($X55=0,$AD55,IF(AND($Z55&lt;&gt;"",EDATE($D55,Milestones!$AA$175)&gt;=$Z55),$AC55,IF(AND($Y55&lt;&gt;"",EDATE($D55,Milestones!$AA$175)&gt;=$Y55),$AB55,$AA55)))=Milestones!$AB$175),UPPER(TEXT(EDATE($D55,Milestones!$AA$175),"dd mmm yy"))&amp;" "&amp;Milestones!$AB$175&amp;" "&amp;IF(AND(Milestones!$AB$175="FT",Milestones!$AA$175=FT_Y5,EDATE($D55,Milestones!$AA$175)&lt;PolicyEff),1,Milestones!$AC$175)&amp;";  ",""))</f>
        <v/>
      </c>
      <c r="V55" s="0" t="str">
        <f aca="false">IF(OR($A55="",$D55=""),"",IF(AND(EDATE($D55,Milestones!$AA$176)&lt;=AsOfDate,EDATE($D55,Milestones!$AA$176)&gt;=SchemeStart,IF($X55=0,$AD55,IF(AND($Z55&lt;&gt;"",EDATE($D55,Milestones!$AA$176)&gt;=$Z55),$AC55,IF(AND($Y55&lt;&gt;"",EDATE($D55,Milestones!$AA$176)&gt;=$Y55),$AB55,$AA55)))=Milestones!$AB$176),UPPER(TEXT(EDATE($D55,Milestones!$AA$176),"dd mmm yy"))&amp;" "&amp;Milestones!$AB$176&amp;" "&amp;IF(AND(Milestones!$AB$176="FT",Milestones!$AA$176=FT_Y5,EDATE($D55,Milestones!$AA$176)&lt;PolicyEff),1,Milestones!$AC$176)&amp;";  ","")&amp;IF(AND(EDATE($D55,Milestones!$AA$177)&lt;=AsOfDate,EDATE($D55,Milestones!$AA$177)&gt;=SchemeStart,IF($X55=0,$AD55,IF(AND($Z55&lt;&gt;"",EDATE($D55,Milestones!$AA$177)&gt;=$Z55),$AC55,IF(AND($Y55&lt;&gt;"",EDATE($D55,Milestones!$AA$177)&gt;=$Y55),$AB55,$AA55)))=Milestones!$AB$177),UPPER(TEXT(EDATE($D55,Milestones!$AA$177),"dd mmm yy"))&amp;" "&amp;Milestones!$AB$177&amp;" "&amp;IF(AND(Milestones!$AB$177="FT",Milestones!$AA$177=FT_Y5,EDATE($D55,Milestones!$AA$177)&lt;PolicyEff),1,Milestones!$AC$177)&amp;";  ","")&amp;IF(AND(EDATE($D55,Milestones!$AA$178)&lt;=AsOfDate,EDATE($D55,Milestones!$AA$178)&gt;=SchemeStart,IF($X55=0,$AD55,IF(AND($Z55&lt;&gt;"",EDATE($D55,Milestones!$AA$178)&gt;=$Z55),$AC55,IF(AND($Y55&lt;&gt;"",EDATE($D55,Milestones!$AA$178)&gt;=$Y55),$AB55,$AA55)))=Milestones!$AB$178),UPPER(TEXT(EDATE($D55,Milestones!$AA$178),"dd mmm yy"))&amp;" "&amp;Milestones!$AB$178&amp;" "&amp;IF(AND(Milestones!$AB$178="FT",Milestones!$AA$178=FT_Y5,EDATE($D55,Milestones!$AA$178)&lt;PolicyEff),1,Milestones!$AC$178)&amp;";  ","")&amp;IF(AND(EDATE($D55,Milestones!$AA$179)&lt;=AsOfDate,EDATE($D55,Milestones!$AA$179)&gt;=SchemeStart,IF($X55=0,$AD55,IF(AND($Z55&lt;&gt;"",EDATE($D55,Milestones!$AA$179)&gt;=$Z55),$AC55,IF(AND($Y55&lt;&gt;"",EDATE($D55,Milestones!$AA$179)&gt;=$Y55),$AB55,$AA55)))=Milestones!$AB$179),UPPER(TEXT(EDATE($D55,Milestones!$AA$179),"dd mmm yy"))&amp;" "&amp;Milestones!$AB$179&amp;" "&amp;IF(AND(Milestones!$AB$179="FT",Milestones!$AA$179=FT_Y5,EDATE($D55,Milestones!$AA$179)&lt;PolicyEff),1,Milestones!$AC$179)&amp;";  ","")&amp;IF(AND(EDATE($D55,Milestones!$AA$180)&lt;=AsOfDate,EDATE($D55,Milestones!$AA$180)&gt;=SchemeStart,IF($X55=0,$AD55,IF(AND($Z55&lt;&gt;"",EDATE($D55,Milestones!$AA$180)&gt;=$Z55),$AC55,IF(AND($Y55&lt;&gt;"",EDATE($D55,Milestones!$AA$180)&gt;=$Y55),$AB55,$AA55)))=Milestones!$AB$180),UPPER(TEXT(EDATE($D55,Milestones!$AA$180),"dd mmm yy"))&amp;" "&amp;Milestones!$AB$180&amp;" "&amp;IF(AND(Milestones!$AB$180="FT",Milestones!$AA$180=FT_Y5,EDATE($D55,Milestones!$AA$180)&lt;PolicyEff),1,Milestones!$AC$180)&amp;";  ","")&amp;IF(AND(EDATE($D55,Milestones!$AA$181)&lt;=AsOfDate,EDATE($D55,Milestones!$AA$181)&gt;=SchemeStart,IF($X55=0,$AD55,IF(AND($Z55&lt;&gt;"",EDATE($D55,Milestones!$AA$181)&gt;=$Z55),$AC55,IF(AND($Y55&lt;&gt;"",EDATE($D55,Milestones!$AA$181)&gt;=$Y55),$AB55,$AA55)))=Milestones!$AB$181),UPPER(TEXT(EDATE($D55,Milestones!$AA$181),"dd mmm yy"))&amp;" "&amp;Milestones!$AB$181&amp;" "&amp;IF(AND(Milestones!$AB$181="FT",Milestones!$AA$181=FT_Y5,EDATE($D55,Milestones!$AA$181)&lt;PolicyEff),1,Milestones!$AC$181)&amp;";  ","")&amp;IF(AND(EDATE($D55,Milestones!$AA$182)&lt;=AsOfDate,EDATE($D55,Milestones!$AA$182)&gt;=SchemeStart,IF($X55=0,$AD55,IF(AND($Z55&lt;&gt;"",EDATE($D55,Milestones!$AA$182)&gt;=$Z55),$AC55,IF(AND($Y55&lt;&gt;"",EDATE($D55,Milestones!$AA$182)&gt;=$Y55),$AB55,$AA55)))=Milestones!$AB$182),UPPER(TEXT(EDATE($D55,Milestones!$AA$182),"dd mmm yy"))&amp;" "&amp;Milestones!$AB$182&amp;" "&amp;IF(AND(Milestones!$AB$182="FT",Milestones!$AA$182=FT_Y5,EDATE($D55,Milestones!$AA$182)&lt;PolicyEff),1,Milestones!$AC$182)&amp;";  ","")&amp;IF(AND(EDATE($D55,Milestones!$AA$183)&lt;=AsOfDate,EDATE($D55,Milestones!$AA$183)&gt;=SchemeStart,IF($X55=0,$AD55,IF(AND($Z55&lt;&gt;"",EDATE($D55,Milestones!$AA$183)&gt;=$Z55),$AC55,IF(AND($Y55&lt;&gt;"",EDATE($D55,Milestones!$AA$183)&gt;=$Y55),$AB55,$AA55)))=Milestones!$AB$183),UPPER(TEXT(EDATE($D55,Milestones!$AA$183),"dd mmm yy"))&amp;" "&amp;Milestones!$AB$183&amp;" "&amp;IF(AND(Milestones!$AB$183="FT",Milestones!$AA$183=FT_Y5,EDATE($D55,Milestones!$AA$183)&lt;PolicyEff),1,Milestones!$AC$183)&amp;";  ","")&amp;IF(AND(EDATE($D55,Milestones!$AA$184)&lt;=AsOfDate,EDATE($D55,Milestones!$AA$184)&gt;=SchemeStart,IF($X55=0,$AD55,IF(AND($Z55&lt;&gt;"",EDATE($D55,Milestones!$AA$184)&gt;=$Z55),$AC55,IF(AND($Y55&lt;&gt;"",EDATE($D55,Milestones!$AA$184)&gt;=$Y55),$AB55,$AA55)))=Milestones!$AB$184),UPPER(TEXT(EDATE($D55,Milestones!$AA$184),"dd mmm yy"))&amp;" "&amp;Milestones!$AB$184&amp;" "&amp;IF(AND(Milestones!$AB$184="FT",Milestones!$AA$184=FT_Y5,EDATE($D55,Milestones!$AA$184)&lt;PolicyEff),1,Milestones!$AC$184)&amp;";  ","")&amp;IF(AND(EDATE($D55,Milestones!$AA$185)&lt;=AsOfDate,EDATE($D55,Milestones!$AA$185)&gt;=SchemeStart,IF($X55=0,$AD55,IF(AND($Z55&lt;&gt;"",EDATE($D55,Milestones!$AA$185)&gt;=$Z55),$AC55,IF(AND($Y55&lt;&gt;"",EDATE($D55,Milestones!$AA$185)&gt;=$Y55),$AB55,$AA55)))=Milestones!$AB$185),UPPER(TEXT(EDATE($D55,Milestones!$AA$185),"dd mmm yy"))&amp;" "&amp;Milestones!$AB$185&amp;" "&amp;IF(AND(Milestones!$AB$185="FT",Milestones!$AA$185=FT_Y5,EDATE($D55,Milestones!$AA$185)&lt;PolicyEff),1,Milestones!$AC$185)&amp;";  ","")&amp;IF(AND(EDATE($D55,Milestones!$AA$186)&lt;=AsOfDate,EDATE($D55,Milestones!$AA$186)&gt;=SchemeStart,IF($X55=0,$AD55,IF(AND($Z55&lt;&gt;"",EDATE($D55,Milestones!$AA$186)&gt;=$Z55),$AC55,IF(AND($Y55&lt;&gt;"",EDATE($D55,Milestones!$AA$186)&gt;=$Y55),$AB55,$AA55)))=Milestones!$AB$186),UPPER(TEXT(EDATE($D55,Milestones!$AA$186),"dd mmm yy"))&amp;" "&amp;Milestones!$AB$186&amp;" "&amp;IF(AND(Milestones!$AB$186="FT",Milestones!$AA$186=FT_Y5,EDATE($D55,Milestones!$AA$186)&lt;PolicyEff),1,Milestones!$AC$186)&amp;";  ","")&amp;IF(AND(EDATE($D55,Milestones!$AA$187)&lt;=AsOfDate,EDATE($D55,Milestones!$AA$187)&gt;=SchemeStart,IF($X55=0,$AD55,IF(AND($Z55&lt;&gt;"",EDATE($D55,Milestones!$AA$187)&gt;=$Z55),$AC55,IF(AND($Y55&lt;&gt;"",EDATE($D55,Milestones!$AA$187)&gt;=$Y55),$AB55,$AA55)))=Milestones!$AB$187),UPPER(TEXT(EDATE($D55,Milestones!$AA$187),"dd mmm yy"))&amp;" "&amp;Milestones!$AB$187&amp;" "&amp;IF(AND(Milestones!$AB$187="FT",Milestones!$AA$187=FT_Y5,EDATE($D55,Milestones!$AA$187)&lt;PolicyEff),1,Milestones!$AC$187)&amp;";  ",""))</f>
        <v/>
      </c>
      <c r="W55" s="0" t="str">
        <f aca="false">IF(OR($A55="",$D55=""),"",IF(AND(EDATE($D55,Milestones!$AA$188)&lt;=AsOfDate,EDATE($D55,Milestones!$AA$188)&gt;=SchemeStart,IF($X55=0,$AD55,IF(AND($Z55&lt;&gt;"",EDATE($D55,Milestones!$AA$188)&gt;=$Z55),$AC55,IF(AND($Y55&lt;&gt;"",EDATE($D55,Milestones!$AA$188)&gt;=$Y55),$AB55,$AA55)))=Milestones!$AB$188),UPPER(TEXT(EDATE($D55,Milestones!$AA$188),"dd mmm yy"))&amp;" "&amp;Milestones!$AB$188&amp;" "&amp;IF(AND(Milestones!$AB$188="FT",Milestones!$AA$188=FT_Y5,EDATE($D55,Milestones!$AA$188)&lt;PolicyEff),1,Milestones!$AC$188)&amp;";  ","")&amp;IF(AND(EDATE($D55,Milestones!$AA$189)&lt;=AsOfDate,EDATE($D55,Milestones!$AA$189)&gt;=SchemeStart,IF($X55=0,$AD55,IF(AND($Z55&lt;&gt;"",EDATE($D55,Milestones!$AA$189)&gt;=$Z55),$AC55,IF(AND($Y55&lt;&gt;"",EDATE($D55,Milestones!$AA$189)&gt;=$Y55),$AB55,$AA55)))=Milestones!$AB$189),UPPER(TEXT(EDATE($D55,Milestones!$AA$189),"dd mmm yy"))&amp;" "&amp;Milestones!$AB$189&amp;" "&amp;IF(AND(Milestones!$AB$189="FT",Milestones!$AA$189=FT_Y5,EDATE($D55,Milestones!$AA$189)&lt;PolicyEff),1,Milestones!$AC$189)&amp;";  ","")&amp;IF(AND(EDATE($D55,Milestones!$AA$190)&lt;=AsOfDate,EDATE($D55,Milestones!$AA$190)&gt;=SchemeStart,IF($X55=0,$AD55,IF(AND($Z55&lt;&gt;"",EDATE($D55,Milestones!$AA$190)&gt;=$Z55),$AC55,IF(AND($Y55&lt;&gt;"",EDATE($D55,Milestones!$AA$190)&gt;=$Y55),$AB55,$AA55)))=Milestones!$AB$190),UPPER(TEXT(EDATE($D55,Milestones!$AA$190),"dd mmm yy"))&amp;" "&amp;Milestones!$AB$190&amp;" "&amp;IF(AND(Milestones!$AB$190="FT",Milestones!$AA$190=FT_Y5,EDATE($D55,Milestones!$AA$190)&lt;PolicyEff),1,Milestones!$AC$190)&amp;";  ","")&amp;IF(AND(EDATE($D55,Milestones!$AA$191)&lt;=AsOfDate,EDATE($D55,Milestones!$AA$191)&gt;=SchemeStart,IF($X55=0,$AD55,IF(AND($Z55&lt;&gt;"",EDATE($D55,Milestones!$AA$191)&gt;=$Z55),$AC55,IF(AND($Y55&lt;&gt;"",EDATE($D55,Milestones!$AA$191)&gt;=$Y55),$AB55,$AA55)))=Milestones!$AB$191),UPPER(TEXT(EDATE($D55,Milestones!$AA$191),"dd mmm yy"))&amp;" "&amp;Milestones!$AB$191&amp;" "&amp;IF(AND(Milestones!$AB$191="FT",Milestones!$AA$191=FT_Y5,EDATE($D55,Milestones!$AA$191)&lt;PolicyEff),1,Milestones!$AC$191)&amp;";  ","")&amp;IF(AND(EDATE($D55,Milestones!$AA$192)&lt;=AsOfDate,EDATE($D55,Milestones!$AA$192)&gt;=SchemeStart,IF($X55=0,$AD55,IF(AND($Z55&lt;&gt;"",EDATE($D55,Milestones!$AA$192)&gt;=$Z55),$AC55,IF(AND($Y55&lt;&gt;"",EDATE($D55,Milestones!$AA$192)&gt;=$Y55),$AB55,$AA55)))=Milestones!$AB$192),UPPER(TEXT(EDATE($D55,Milestones!$AA$192),"dd mmm yy"))&amp;" "&amp;Milestones!$AB$192&amp;" "&amp;IF(AND(Milestones!$AB$192="FT",Milestones!$AA$192=FT_Y5,EDATE($D55,Milestones!$AA$192)&lt;PolicyEff),1,Milestones!$AC$192)&amp;";  ","")&amp;IF(AND(EDATE($D55,Milestones!$AA$193)&lt;=AsOfDate,EDATE($D55,Milestones!$AA$193)&gt;=SchemeStart,IF($X55=0,$AD55,IF(AND($Z55&lt;&gt;"",EDATE($D55,Milestones!$AA$193)&gt;=$Z55),$AC55,IF(AND($Y55&lt;&gt;"",EDATE($D55,Milestones!$AA$193)&gt;=$Y55),$AB55,$AA55)))=Milestones!$AB$193),UPPER(TEXT(EDATE($D55,Milestones!$AA$193),"dd mmm yy"))&amp;" "&amp;Milestones!$AB$193&amp;" "&amp;IF(AND(Milestones!$AB$193="FT",Milestones!$AA$193=FT_Y5,EDATE($D55,Milestones!$AA$193)&lt;PolicyEff),1,Milestones!$AC$193)&amp;";  ","")&amp;IF(AND(EDATE($D55,Milestones!$AA$194)&lt;=AsOfDate,EDATE($D55,Milestones!$AA$194)&gt;=SchemeStart,IF($X55=0,$AD55,IF(AND($Z55&lt;&gt;"",EDATE($D55,Milestones!$AA$194)&gt;=$Z55),$AC55,IF(AND($Y55&lt;&gt;"",EDATE($D55,Milestones!$AA$194)&gt;=$Y55),$AB55,$AA55)))=Milestones!$AB$194),UPPER(TEXT(EDATE($D55,Milestones!$AA$194),"dd mmm yy"))&amp;" "&amp;Milestones!$AB$194&amp;" "&amp;IF(AND(Milestones!$AB$194="FT",Milestones!$AA$194=FT_Y5,EDATE($D55,Milestones!$AA$194)&lt;PolicyEff),1,Milestones!$AC$194)&amp;";  ","")&amp;IF(AND(EDATE($D55,Milestones!$AA$195)&lt;=AsOfDate,EDATE($D55,Milestones!$AA$195)&gt;=SchemeStart,IF($X55=0,$AD55,IF(AND($Z55&lt;&gt;"",EDATE($D55,Milestones!$AA$195)&gt;=$Z55),$AC55,IF(AND($Y55&lt;&gt;"",EDATE($D55,Milestones!$AA$195)&gt;=$Y55),$AB55,$AA55)))=Milestones!$AB$195),UPPER(TEXT(EDATE($D55,Milestones!$AA$195),"dd mmm yy"))&amp;" "&amp;Milestones!$AB$195&amp;" "&amp;IF(AND(Milestones!$AB$195="FT",Milestones!$AA$195=FT_Y5,EDATE($D55,Milestones!$AA$195)&lt;PolicyEff),1,Milestones!$AC$195)&amp;";  ","")&amp;IF(AND(EDATE($D55,Milestones!$AA$196)&lt;=AsOfDate,EDATE($D55,Milestones!$AA$196)&gt;=SchemeStart,IF($X55=0,$AD55,IF(AND($Z55&lt;&gt;"",EDATE($D55,Milestones!$AA$196)&gt;=$Z55),$AC55,IF(AND($Y55&lt;&gt;"",EDATE($D55,Milestones!$AA$196)&gt;=$Y55),$AB55,$AA55)))=Milestones!$AB$196),UPPER(TEXT(EDATE($D55,Milestones!$AA$196),"dd mmm yy"))&amp;" "&amp;Milestones!$AB$196&amp;" "&amp;IF(AND(Milestones!$AB$196="FT",Milestones!$AA$196=FT_Y5,EDATE($D55,Milestones!$AA$196)&lt;PolicyEff),1,Milestones!$AC$196)&amp;";  ","")&amp;IF(AND(EDATE($D55,Milestones!$AA$197)&lt;=AsOfDate,EDATE($D55,Milestones!$AA$197)&gt;=SchemeStart,IF($X55=0,$AD55,IF(AND($Z55&lt;&gt;"",EDATE($D55,Milestones!$AA$197)&gt;=$Z55),$AC55,IF(AND($Y55&lt;&gt;"",EDATE($D55,Milestones!$AA$197)&gt;=$Y55),$AB55,$AA55)))=Milestones!$AB$197),UPPER(TEXT(EDATE($D55,Milestones!$AA$197),"dd mmm yy"))&amp;" "&amp;Milestones!$AB$197&amp;" "&amp;IF(AND(Milestones!$AB$197="FT",Milestones!$AA$197=FT_Y5,EDATE($D55,Milestones!$AA$197)&lt;PolicyEff),1,Milestones!$AC$197)&amp;";  ","")&amp;IF(AND(EDATE($D55,Milestones!$AA$198)&lt;=AsOfDate,EDATE($D55,Milestones!$AA$198)&gt;=SchemeStart,IF($X55=0,$AD55,IF(AND($Z55&lt;&gt;"",EDATE($D55,Milestones!$AA$198)&gt;=$Z55),$AC55,IF(AND($Y55&lt;&gt;"",EDATE($D55,Milestones!$AA$198)&gt;=$Y55),$AB55,$AA55)))=Milestones!$AB$198),UPPER(TEXT(EDATE($D55,Milestones!$AA$198),"dd mmm yy"))&amp;" "&amp;Milestones!$AB$198&amp;" "&amp;IF(AND(Milestones!$AB$198="FT",Milestones!$AA$198=FT_Y5,EDATE($D55,Milestones!$AA$198)&lt;PolicyEff),1,Milestones!$AC$198)&amp;";  ","")&amp;IF(AND(EDATE($D55,Milestones!$AA$199)&lt;=AsOfDate,EDATE($D55,Milestones!$AA$199)&gt;=SchemeStart,IF($X55=0,$AD55,IF(AND($Z55&lt;&gt;"",EDATE($D55,Milestones!$AA$199)&gt;=$Z55),$AC55,IF(AND($Y55&lt;&gt;"",EDATE($D55,Milestones!$AA$199)&gt;=$Y55),$AB55,$AA55)))=Milestones!$AB$199),UPPER(TEXT(EDATE($D55,Milestones!$AA$199),"dd mmm yy"))&amp;" "&amp;Milestones!$AB$199&amp;" "&amp;IF(AND(Milestones!$AB$199="FT",Milestones!$AA$199=FT_Y5,EDATE($D55,Milestones!$AA$199)&lt;PolicyEff),1,Milestones!$AC$199)&amp;";  ",""))</f>
        <v/>
      </c>
      <c r="X55" s="0" t="str">
        <f aca="false">IF(Staff!$A55="","",Staff!$AM55)</f>
        <v/>
      </c>
      <c r="Y55" s="0" t="str">
        <f aca="false">IF(Staff!$A55="","",Staff!$AO55)</f>
        <v/>
      </c>
      <c r="Z55" s="0" t="str">
        <f aca="false">IF(Staff!$A55="","",Staff!$AP55)</f>
        <v/>
      </c>
      <c r="AA55" s="0" t="str">
        <f aca="false">IF(Staff!$A55="","",Staff!$AT55)</f>
        <v/>
      </c>
      <c r="AB55" s="0" t="str">
        <f aca="false">IF(Staff!$A55="","",Staff!$AU55)</f>
        <v/>
      </c>
      <c r="AC55" s="0" t="str">
        <f aca="false">IF(Staff!$A55="","",Staff!$AV55)</f>
        <v/>
      </c>
      <c r="AD55" s="0" t="str">
        <f aca="false">IF(Staff!$A55="","",Staff!$AW55)</f>
        <v/>
      </c>
    </row>
    <row r="56" customFormat="false" ht="15" hidden="false" customHeight="false" outlineLevel="0" collapsed="false">
      <c r="A56" s="16" t="str">
        <f aca="false">IF(Staff!$A56="","",Staff!$A56)</f>
        <v/>
      </c>
      <c r="B56" s="16" t="str">
        <f aca="false">IF(Staff!$A56="","",Staff!$B56)</f>
        <v/>
      </c>
      <c r="C56" s="16" t="str">
        <f aca="false">IF(Staff!$A56="","",Staff!$C56)</f>
        <v/>
      </c>
      <c r="D56" s="14" t="str">
        <f aca="false">IF(Staff!$A56="","",Staff!$AL56)</f>
        <v/>
      </c>
      <c r="E56" s="16" t="str">
        <f aca="false">IF(Staff!$A56="","",Staff!$O56)</f>
        <v/>
      </c>
      <c r="F56" s="16" t="str">
        <f aca="false">IF(E56="","",E56*HoursPerDay)</f>
        <v/>
      </c>
      <c r="G56" s="16" t="str">
        <f aca="false">IF(Staff!$A56="","",Staff!$AE56)</f>
        <v/>
      </c>
      <c r="H56" s="28" t="str">
        <f aca="false">IF($A56="","",I56&amp;J56&amp;K56&amp;L56&amp;M56&amp;N56&amp;O56&amp;P56&amp;Q56&amp;R56&amp;S56&amp;T56&amp;U56&amp;V56&amp;W56)</f>
        <v/>
      </c>
      <c r="I56" s="0" t="str">
        <f aca="false">IF(OR($A56="",$D56=""),"",IF(AND(EDATE($D56,Milestones!$AA$20)&lt;=AsOfDate,EDATE($D56,Milestones!$AA$20)&gt;=SchemeStart,IF($X56=0,$AD56,IF(AND($Z56&lt;&gt;"",EDATE($D56,Milestones!$AA$20)&gt;=$Z56),$AC56,IF(AND($Y56&lt;&gt;"",EDATE($D56,Milestones!$AA$20)&gt;=$Y56),$AB56,$AA56)))=Milestones!$AB$20),UPPER(TEXT(EDATE($D56,Milestones!$AA$20),"dd mmm yy"))&amp;" "&amp;Milestones!$AB$20&amp;" "&amp;IF(AND(Milestones!$AB$20="FT",Milestones!$AA$20=FT_Y5,EDATE($D56,Milestones!$AA$20)&lt;PolicyEff),1,Milestones!$AC$20)&amp;";  ","")&amp;IF(AND(EDATE($D56,Milestones!$AA$21)&lt;=AsOfDate,EDATE($D56,Milestones!$AA$21)&gt;=SchemeStart,IF($X56=0,$AD56,IF(AND($Z56&lt;&gt;"",EDATE($D56,Milestones!$AA$21)&gt;=$Z56),$AC56,IF(AND($Y56&lt;&gt;"",EDATE($D56,Milestones!$AA$21)&gt;=$Y56),$AB56,$AA56)))=Milestones!$AB$21),UPPER(TEXT(EDATE($D56,Milestones!$AA$21),"dd mmm yy"))&amp;" "&amp;Milestones!$AB$21&amp;" "&amp;IF(AND(Milestones!$AB$21="FT",Milestones!$AA$21=FT_Y5,EDATE($D56,Milestones!$AA$21)&lt;PolicyEff),1,Milestones!$AC$21)&amp;";  ","")&amp;IF(AND(EDATE($D56,Milestones!$AA$22)&lt;=AsOfDate,EDATE($D56,Milestones!$AA$22)&gt;=SchemeStart,IF($X56=0,$AD56,IF(AND($Z56&lt;&gt;"",EDATE($D56,Milestones!$AA$22)&gt;=$Z56),$AC56,IF(AND($Y56&lt;&gt;"",EDATE($D56,Milestones!$AA$22)&gt;=$Y56),$AB56,$AA56)))=Milestones!$AB$22),UPPER(TEXT(EDATE($D56,Milestones!$AA$22),"dd mmm yy"))&amp;" "&amp;Milestones!$AB$22&amp;" "&amp;IF(AND(Milestones!$AB$22="FT",Milestones!$AA$22=FT_Y5,EDATE($D56,Milestones!$AA$22)&lt;PolicyEff),1,Milestones!$AC$22)&amp;";  ","")&amp;IF(AND(EDATE($D56,Milestones!$AA$23)&lt;=AsOfDate,EDATE($D56,Milestones!$AA$23)&gt;=SchemeStart,IF($X56=0,$AD56,IF(AND($Z56&lt;&gt;"",EDATE($D56,Milestones!$AA$23)&gt;=$Z56),$AC56,IF(AND($Y56&lt;&gt;"",EDATE($D56,Milestones!$AA$23)&gt;=$Y56),$AB56,$AA56)))=Milestones!$AB$23),UPPER(TEXT(EDATE($D56,Milestones!$AA$23),"dd mmm yy"))&amp;" "&amp;Milestones!$AB$23&amp;" "&amp;IF(AND(Milestones!$AB$23="FT",Milestones!$AA$23=FT_Y5,EDATE($D56,Milestones!$AA$23)&lt;PolicyEff),1,Milestones!$AC$23)&amp;";  ","")&amp;IF(AND(EDATE($D56,Milestones!$AA$24)&lt;=AsOfDate,EDATE($D56,Milestones!$AA$24)&gt;=SchemeStart,IF($X56=0,$AD56,IF(AND($Z56&lt;&gt;"",EDATE($D56,Milestones!$AA$24)&gt;=$Z56),$AC56,IF(AND($Y56&lt;&gt;"",EDATE($D56,Milestones!$AA$24)&gt;=$Y56),$AB56,$AA56)))=Milestones!$AB$24),UPPER(TEXT(EDATE($D56,Milestones!$AA$24),"dd mmm yy"))&amp;" "&amp;Milestones!$AB$24&amp;" "&amp;IF(AND(Milestones!$AB$24="FT",Milestones!$AA$24=FT_Y5,EDATE($D56,Milestones!$AA$24)&lt;PolicyEff),1,Milestones!$AC$24)&amp;";  ","")&amp;IF(AND(EDATE($D56,Milestones!$AA$25)&lt;=AsOfDate,EDATE($D56,Milestones!$AA$25)&gt;=SchemeStart,IF($X56=0,$AD56,IF(AND($Z56&lt;&gt;"",EDATE($D56,Milestones!$AA$25)&gt;=$Z56),$AC56,IF(AND($Y56&lt;&gt;"",EDATE($D56,Milestones!$AA$25)&gt;=$Y56),$AB56,$AA56)))=Milestones!$AB$25),UPPER(TEXT(EDATE($D56,Milestones!$AA$25),"dd mmm yy"))&amp;" "&amp;Milestones!$AB$25&amp;" "&amp;IF(AND(Milestones!$AB$25="FT",Milestones!$AA$25=FT_Y5,EDATE($D56,Milestones!$AA$25)&lt;PolicyEff),1,Milestones!$AC$25)&amp;";  ","")&amp;IF(AND(EDATE($D56,Milestones!$AA$26)&lt;=AsOfDate,EDATE($D56,Milestones!$AA$26)&gt;=SchemeStart,IF($X56=0,$AD56,IF(AND($Z56&lt;&gt;"",EDATE($D56,Milestones!$AA$26)&gt;=$Z56),$AC56,IF(AND($Y56&lt;&gt;"",EDATE($D56,Milestones!$AA$26)&gt;=$Y56),$AB56,$AA56)))=Milestones!$AB$26),UPPER(TEXT(EDATE($D56,Milestones!$AA$26),"dd mmm yy"))&amp;" "&amp;Milestones!$AB$26&amp;" "&amp;IF(AND(Milestones!$AB$26="FT",Milestones!$AA$26=FT_Y5,EDATE($D56,Milestones!$AA$26)&lt;PolicyEff),1,Milestones!$AC$26)&amp;";  ","")&amp;IF(AND(EDATE($D56,Milestones!$AA$27)&lt;=AsOfDate,EDATE($D56,Milestones!$AA$27)&gt;=SchemeStart,IF($X56=0,$AD56,IF(AND($Z56&lt;&gt;"",EDATE($D56,Milestones!$AA$27)&gt;=$Z56),$AC56,IF(AND($Y56&lt;&gt;"",EDATE($D56,Milestones!$AA$27)&gt;=$Y56),$AB56,$AA56)))=Milestones!$AB$27),UPPER(TEXT(EDATE($D56,Milestones!$AA$27),"dd mmm yy"))&amp;" "&amp;Milestones!$AB$27&amp;" "&amp;IF(AND(Milestones!$AB$27="FT",Milestones!$AA$27=FT_Y5,EDATE($D56,Milestones!$AA$27)&lt;PolicyEff),1,Milestones!$AC$27)&amp;";  ","")&amp;IF(AND(EDATE($D56,Milestones!$AA$28)&lt;=AsOfDate,EDATE($D56,Milestones!$AA$28)&gt;=SchemeStart,IF($X56=0,$AD56,IF(AND($Z56&lt;&gt;"",EDATE($D56,Milestones!$AA$28)&gt;=$Z56),$AC56,IF(AND($Y56&lt;&gt;"",EDATE($D56,Milestones!$AA$28)&gt;=$Y56),$AB56,$AA56)))=Milestones!$AB$28),UPPER(TEXT(EDATE($D56,Milestones!$AA$28),"dd mmm yy"))&amp;" "&amp;Milestones!$AB$28&amp;" "&amp;IF(AND(Milestones!$AB$28="FT",Milestones!$AA$28=FT_Y5,EDATE($D56,Milestones!$AA$28)&lt;PolicyEff),1,Milestones!$AC$28)&amp;";  ","")&amp;IF(AND(EDATE($D56,Milestones!$AA$29)&lt;=AsOfDate,EDATE($D56,Milestones!$AA$29)&gt;=SchemeStart,IF($X56=0,$AD56,IF(AND($Z56&lt;&gt;"",EDATE($D56,Milestones!$AA$29)&gt;=$Z56),$AC56,IF(AND($Y56&lt;&gt;"",EDATE($D56,Milestones!$AA$29)&gt;=$Y56),$AB56,$AA56)))=Milestones!$AB$29),UPPER(TEXT(EDATE($D56,Milestones!$AA$29),"dd mmm yy"))&amp;" "&amp;Milestones!$AB$29&amp;" "&amp;IF(AND(Milestones!$AB$29="FT",Milestones!$AA$29=FT_Y5,EDATE($D56,Milestones!$AA$29)&lt;PolicyEff),1,Milestones!$AC$29)&amp;";  ","")&amp;IF(AND(EDATE($D56,Milestones!$AA$30)&lt;=AsOfDate,EDATE($D56,Milestones!$AA$30)&gt;=SchemeStart,IF($X56=0,$AD56,IF(AND($Z56&lt;&gt;"",EDATE($D56,Milestones!$AA$30)&gt;=$Z56),$AC56,IF(AND($Y56&lt;&gt;"",EDATE($D56,Milestones!$AA$30)&gt;=$Y56),$AB56,$AA56)))=Milestones!$AB$30),UPPER(TEXT(EDATE($D56,Milestones!$AA$30),"dd mmm yy"))&amp;" "&amp;Milestones!$AB$30&amp;" "&amp;IF(AND(Milestones!$AB$30="FT",Milestones!$AA$30=FT_Y5,EDATE($D56,Milestones!$AA$30)&lt;PolicyEff),1,Milestones!$AC$30)&amp;";  ","")&amp;IF(AND(EDATE($D56,Milestones!$AA$31)&lt;=AsOfDate,EDATE($D56,Milestones!$AA$31)&gt;=SchemeStart,IF($X56=0,$AD56,IF(AND($Z56&lt;&gt;"",EDATE($D56,Milestones!$AA$31)&gt;=$Z56),$AC56,IF(AND($Y56&lt;&gt;"",EDATE($D56,Milestones!$AA$31)&gt;=$Y56),$AB56,$AA56)))=Milestones!$AB$31),UPPER(TEXT(EDATE($D56,Milestones!$AA$31),"dd mmm yy"))&amp;" "&amp;Milestones!$AB$31&amp;" "&amp;IF(AND(Milestones!$AB$31="FT",Milestones!$AA$31=FT_Y5,EDATE($D56,Milestones!$AA$31)&lt;PolicyEff),1,Milestones!$AC$31)&amp;";  ",""))</f>
        <v/>
      </c>
      <c r="J56" s="0" t="str">
        <f aca="false">IF(OR($A56="",$D56=""),"",IF(AND(EDATE($D56,Milestones!$AA$32)&lt;=AsOfDate,EDATE($D56,Milestones!$AA$32)&gt;=SchemeStart,IF($X56=0,$AD56,IF(AND($Z56&lt;&gt;"",EDATE($D56,Milestones!$AA$32)&gt;=$Z56),$AC56,IF(AND($Y56&lt;&gt;"",EDATE($D56,Milestones!$AA$32)&gt;=$Y56),$AB56,$AA56)))=Milestones!$AB$32),UPPER(TEXT(EDATE($D56,Milestones!$AA$32),"dd mmm yy"))&amp;" "&amp;Milestones!$AB$32&amp;" "&amp;IF(AND(Milestones!$AB$32="FT",Milestones!$AA$32=FT_Y5,EDATE($D56,Milestones!$AA$32)&lt;PolicyEff),1,Milestones!$AC$32)&amp;";  ","")&amp;IF(AND(EDATE($D56,Milestones!$AA$33)&lt;=AsOfDate,EDATE($D56,Milestones!$AA$33)&gt;=SchemeStart,IF($X56=0,$AD56,IF(AND($Z56&lt;&gt;"",EDATE($D56,Milestones!$AA$33)&gt;=$Z56),$AC56,IF(AND($Y56&lt;&gt;"",EDATE($D56,Milestones!$AA$33)&gt;=$Y56),$AB56,$AA56)))=Milestones!$AB$33),UPPER(TEXT(EDATE($D56,Milestones!$AA$33),"dd mmm yy"))&amp;" "&amp;Milestones!$AB$33&amp;" "&amp;IF(AND(Milestones!$AB$33="FT",Milestones!$AA$33=FT_Y5,EDATE($D56,Milestones!$AA$33)&lt;PolicyEff),1,Milestones!$AC$33)&amp;";  ","")&amp;IF(AND(EDATE($D56,Milestones!$AA$34)&lt;=AsOfDate,EDATE($D56,Milestones!$AA$34)&gt;=SchemeStart,IF($X56=0,$AD56,IF(AND($Z56&lt;&gt;"",EDATE($D56,Milestones!$AA$34)&gt;=$Z56),$AC56,IF(AND($Y56&lt;&gt;"",EDATE($D56,Milestones!$AA$34)&gt;=$Y56),$AB56,$AA56)))=Milestones!$AB$34),UPPER(TEXT(EDATE($D56,Milestones!$AA$34),"dd mmm yy"))&amp;" "&amp;Milestones!$AB$34&amp;" "&amp;IF(AND(Milestones!$AB$34="FT",Milestones!$AA$34=FT_Y5,EDATE($D56,Milestones!$AA$34)&lt;PolicyEff),1,Milestones!$AC$34)&amp;";  ","")&amp;IF(AND(EDATE($D56,Milestones!$AA$35)&lt;=AsOfDate,EDATE($D56,Milestones!$AA$35)&gt;=SchemeStart,IF($X56=0,$AD56,IF(AND($Z56&lt;&gt;"",EDATE($D56,Milestones!$AA$35)&gt;=$Z56),$AC56,IF(AND($Y56&lt;&gt;"",EDATE($D56,Milestones!$AA$35)&gt;=$Y56),$AB56,$AA56)))=Milestones!$AB$35),UPPER(TEXT(EDATE($D56,Milestones!$AA$35),"dd mmm yy"))&amp;" "&amp;Milestones!$AB$35&amp;" "&amp;IF(AND(Milestones!$AB$35="FT",Milestones!$AA$35=FT_Y5,EDATE($D56,Milestones!$AA$35)&lt;PolicyEff),1,Milestones!$AC$35)&amp;";  ","")&amp;IF(AND(EDATE($D56,Milestones!$AA$36)&lt;=AsOfDate,EDATE($D56,Milestones!$AA$36)&gt;=SchemeStart,IF($X56=0,$AD56,IF(AND($Z56&lt;&gt;"",EDATE($D56,Milestones!$AA$36)&gt;=$Z56),$AC56,IF(AND($Y56&lt;&gt;"",EDATE($D56,Milestones!$AA$36)&gt;=$Y56),$AB56,$AA56)))=Milestones!$AB$36),UPPER(TEXT(EDATE($D56,Milestones!$AA$36),"dd mmm yy"))&amp;" "&amp;Milestones!$AB$36&amp;" "&amp;IF(AND(Milestones!$AB$36="FT",Milestones!$AA$36=FT_Y5,EDATE($D56,Milestones!$AA$36)&lt;PolicyEff),1,Milestones!$AC$36)&amp;";  ","")&amp;IF(AND(EDATE($D56,Milestones!$AA$37)&lt;=AsOfDate,EDATE($D56,Milestones!$AA$37)&gt;=SchemeStart,IF($X56=0,$AD56,IF(AND($Z56&lt;&gt;"",EDATE($D56,Milestones!$AA$37)&gt;=$Z56),$AC56,IF(AND($Y56&lt;&gt;"",EDATE($D56,Milestones!$AA$37)&gt;=$Y56),$AB56,$AA56)))=Milestones!$AB$37),UPPER(TEXT(EDATE($D56,Milestones!$AA$37),"dd mmm yy"))&amp;" "&amp;Milestones!$AB$37&amp;" "&amp;IF(AND(Milestones!$AB$37="FT",Milestones!$AA$37=FT_Y5,EDATE($D56,Milestones!$AA$37)&lt;PolicyEff),1,Milestones!$AC$37)&amp;";  ","")&amp;IF(AND(EDATE($D56,Milestones!$AA$38)&lt;=AsOfDate,EDATE($D56,Milestones!$AA$38)&gt;=SchemeStart,IF($X56=0,$AD56,IF(AND($Z56&lt;&gt;"",EDATE($D56,Milestones!$AA$38)&gt;=$Z56),$AC56,IF(AND($Y56&lt;&gt;"",EDATE($D56,Milestones!$AA$38)&gt;=$Y56),$AB56,$AA56)))=Milestones!$AB$38),UPPER(TEXT(EDATE($D56,Milestones!$AA$38),"dd mmm yy"))&amp;" "&amp;Milestones!$AB$38&amp;" "&amp;IF(AND(Milestones!$AB$38="FT",Milestones!$AA$38=FT_Y5,EDATE($D56,Milestones!$AA$38)&lt;PolicyEff),1,Milestones!$AC$38)&amp;";  ","")&amp;IF(AND(EDATE($D56,Milestones!$AA$39)&lt;=AsOfDate,EDATE($D56,Milestones!$AA$39)&gt;=SchemeStart,IF($X56=0,$AD56,IF(AND($Z56&lt;&gt;"",EDATE($D56,Milestones!$AA$39)&gt;=$Z56),$AC56,IF(AND($Y56&lt;&gt;"",EDATE($D56,Milestones!$AA$39)&gt;=$Y56),$AB56,$AA56)))=Milestones!$AB$39),UPPER(TEXT(EDATE($D56,Milestones!$AA$39),"dd mmm yy"))&amp;" "&amp;Milestones!$AB$39&amp;" "&amp;IF(AND(Milestones!$AB$39="FT",Milestones!$AA$39=FT_Y5,EDATE($D56,Milestones!$AA$39)&lt;PolicyEff),1,Milestones!$AC$39)&amp;";  ","")&amp;IF(AND(EDATE($D56,Milestones!$AA$40)&lt;=AsOfDate,EDATE($D56,Milestones!$AA$40)&gt;=SchemeStart,IF($X56=0,$AD56,IF(AND($Z56&lt;&gt;"",EDATE($D56,Milestones!$AA$40)&gt;=$Z56),$AC56,IF(AND($Y56&lt;&gt;"",EDATE($D56,Milestones!$AA$40)&gt;=$Y56),$AB56,$AA56)))=Milestones!$AB$40),UPPER(TEXT(EDATE($D56,Milestones!$AA$40),"dd mmm yy"))&amp;" "&amp;Milestones!$AB$40&amp;" "&amp;IF(AND(Milestones!$AB$40="FT",Milestones!$AA$40=FT_Y5,EDATE($D56,Milestones!$AA$40)&lt;PolicyEff),1,Milestones!$AC$40)&amp;";  ","")&amp;IF(AND(EDATE($D56,Milestones!$AA$41)&lt;=AsOfDate,EDATE($D56,Milestones!$AA$41)&gt;=SchemeStart,IF($X56=0,$AD56,IF(AND($Z56&lt;&gt;"",EDATE($D56,Milestones!$AA$41)&gt;=$Z56),$AC56,IF(AND($Y56&lt;&gt;"",EDATE($D56,Milestones!$AA$41)&gt;=$Y56),$AB56,$AA56)))=Milestones!$AB$41),UPPER(TEXT(EDATE($D56,Milestones!$AA$41),"dd mmm yy"))&amp;" "&amp;Milestones!$AB$41&amp;" "&amp;IF(AND(Milestones!$AB$41="FT",Milestones!$AA$41=FT_Y5,EDATE($D56,Milestones!$AA$41)&lt;PolicyEff),1,Milestones!$AC$41)&amp;";  ","")&amp;IF(AND(EDATE($D56,Milestones!$AA$42)&lt;=AsOfDate,EDATE($D56,Milestones!$AA$42)&gt;=SchemeStart,IF($X56=0,$AD56,IF(AND($Z56&lt;&gt;"",EDATE($D56,Milestones!$AA$42)&gt;=$Z56),$AC56,IF(AND($Y56&lt;&gt;"",EDATE($D56,Milestones!$AA$42)&gt;=$Y56),$AB56,$AA56)))=Milestones!$AB$42),UPPER(TEXT(EDATE($D56,Milestones!$AA$42),"dd mmm yy"))&amp;" "&amp;Milestones!$AB$42&amp;" "&amp;IF(AND(Milestones!$AB$42="FT",Milestones!$AA$42=FT_Y5,EDATE($D56,Milestones!$AA$42)&lt;PolicyEff),1,Milestones!$AC$42)&amp;";  ","")&amp;IF(AND(EDATE($D56,Milestones!$AA$43)&lt;=AsOfDate,EDATE($D56,Milestones!$AA$43)&gt;=SchemeStart,IF($X56=0,$AD56,IF(AND($Z56&lt;&gt;"",EDATE($D56,Milestones!$AA$43)&gt;=$Z56),$AC56,IF(AND($Y56&lt;&gt;"",EDATE($D56,Milestones!$AA$43)&gt;=$Y56),$AB56,$AA56)))=Milestones!$AB$43),UPPER(TEXT(EDATE($D56,Milestones!$AA$43),"dd mmm yy"))&amp;" "&amp;Milestones!$AB$43&amp;" "&amp;IF(AND(Milestones!$AB$43="FT",Milestones!$AA$43=FT_Y5,EDATE($D56,Milestones!$AA$43)&lt;PolicyEff),1,Milestones!$AC$43)&amp;";  ",""))</f>
        <v/>
      </c>
      <c r="K56" s="0" t="str">
        <f aca="false">IF(OR($A56="",$D56=""),"",IF(AND(EDATE($D56,Milestones!$AA$44)&lt;=AsOfDate,EDATE($D56,Milestones!$AA$44)&gt;=SchemeStart,IF($X56=0,$AD56,IF(AND($Z56&lt;&gt;"",EDATE($D56,Milestones!$AA$44)&gt;=$Z56),$AC56,IF(AND($Y56&lt;&gt;"",EDATE($D56,Milestones!$AA$44)&gt;=$Y56),$AB56,$AA56)))=Milestones!$AB$44),UPPER(TEXT(EDATE($D56,Milestones!$AA$44),"dd mmm yy"))&amp;" "&amp;Milestones!$AB$44&amp;" "&amp;IF(AND(Milestones!$AB$44="FT",Milestones!$AA$44=FT_Y5,EDATE($D56,Milestones!$AA$44)&lt;PolicyEff),1,Milestones!$AC$44)&amp;";  ","")&amp;IF(AND(EDATE($D56,Milestones!$AA$45)&lt;=AsOfDate,EDATE($D56,Milestones!$AA$45)&gt;=SchemeStart,IF($X56=0,$AD56,IF(AND($Z56&lt;&gt;"",EDATE($D56,Milestones!$AA$45)&gt;=$Z56),$AC56,IF(AND($Y56&lt;&gt;"",EDATE($D56,Milestones!$AA$45)&gt;=$Y56),$AB56,$AA56)))=Milestones!$AB$45),UPPER(TEXT(EDATE($D56,Milestones!$AA$45),"dd mmm yy"))&amp;" "&amp;Milestones!$AB$45&amp;" "&amp;IF(AND(Milestones!$AB$45="FT",Milestones!$AA$45=FT_Y5,EDATE($D56,Milestones!$AA$45)&lt;PolicyEff),1,Milestones!$AC$45)&amp;";  ","")&amp;IF(AND(EDATE($D56,Milestones!$AA$46)&lt;=AsOfDate,EDATE($D56,Milestones!$AA$46)&gt;=SchemeStart,IF($X56=0,$AD56,IF(AND($Z56&lt;&gt;"",EDATE($D56,Milestones!$AA$46)&gt;=$Z56),$AC56,IF(AND($Y56&lt;&gt;"",EDATE($D56,Milestones!$AA$46)&gt;=$Y56),$AB56,$AA56)))=Milestones!$AB$46),UPPER(TEXT(EDATE($D56,Milestones!$AA$46),"dd mmm yy"))&amp;" "&amp;Milestones!$AB$46&amp;" "&amp;IF(AND(Milestones!$AB$46="FT",Milestones!$AA$46=FT_Y5,EDATE($D56,Milestones!$AA$46)&lt;PolicyEff),1,Milestones!$AC$46)&amp;";  ","")&amp;IF(AND(EDATE($D56,Milestones!$AA$47)&lt;=AsOfDate,EDATE($D56,Milestones!$AA$47)&gt;=SchemeStart,IF($X56=0,$AD56,IF(AND($Z56&lt;&gt;"",EDATE($D56,Milestones!$AA$47)&gt;=$Z56),$AC56,IF(AND($Y56&lt;&gt;"",EDATE($D56,Milestones!$AA$47)&gt;=$Y56),$AB56,$AA56)))=Milestones!$AB$47),UPPER(TEXT(EDATE($D56,Milestones!$AA$47),"dd mmm yy"))&amp;" "&amp;Milestones!$AB$47&amp;" "&amp;IF(AND(Milestones!$AB$47="FT",Milestones!$AA$47=FT_Y5,EDATE($D56,Milestones!$AA$47)&lt;PolicyEff),1,Milestones!$AC$47)&amp;";  ","")&amp;IF(AND(EDATE($D56,Milestones!$AA$48)&lt;=AsOfDate,EDATE($D56,Milestones!$AA$48)&gt;=SchemeStart,IF($X56=0,$AD56,IF(AND($Z56&lt;&gt;"",EDATE($D56,Milestones!$AA$48)&gt;=$Z56),$AC56,IF(AND($Y56&lt;&gt;"",EDATE($D56,Milestones!$AA$48)&gt;=$Y56),$AB56,$AA56)))=Milestones!$AB$48),UPPER(TEXT(EDATE($D56,Milestones!$AA$48),"dd mmm yy"))&amp;" "&amp;Milestones!$AB$48&amp;" "&amp;IF(AND(Milestones!$AB$48="FT",Milestones!$AA$48=FT_Y5,EDATE($D56,Milestones!$AA$48)&lt;PolicyEff),1,Milestones!$AC$48)&amp;";  ","")&amp;IF(AND(EDATE($D56,Milestones!$AA$49)&lt;=AsOfDate,EDATE($D56,Milestones!$AA$49)&gt;=SchemeStart,IF($X56=0,$AD56,IF(AND($Z56&lt;&gt;"",EDATE($D56,Milestones!$AA$49)&gt;=$Z56),$AC56,IF(AND($Y56&lt;&gt;"",EDATE($D56,Milestones!$AA$49)&gt;=$Y56),$AB56,$AA56)))=Milestones!$AB$49),UPPER(TEXT(EDATE($D56,Milestones!$AA$49),"dd mmm yy"))&amp;" "&amp;Milestones!$AB$49&amp;" "&amp;IF(AND(Milestones!$AB$49="FT",Milestones!$AA$49=FT_Y5,EDATE($D56,Milestones!$AA$49)&lt;PolicyEff),1,Milestones!$AC$49)&amp;";  ","")&amp;IF(AND(EDATE($D56,Milestones!$AA$50)&lt;=AsOfDate,EDATE($D56,Milestones!$AA$50)&gt;=SchemeStart,IF($X56=0,$AD56,IF(AND($Z56&lt;&gt;"",EDATE($D56,Milestones!$AA$50)&gt;=$Z56),$AC56,IF(AND($Y56&lt;&gt;"",EDATE($D56,Milestones!$AA$50)&gt;=$Y56),$AB56,$AA56)))=Milestones!$AB$50),UPPER(TEXT(EDATE($D56,Milestones!$AA$50),"dd mmm yy"))&amp;" "&amp;Milestones!$AB$50&amp;" "&amp;IF(AND(Milestones!$AB$50="FT",Milestones!$AA$50=FT_Y5,EDATE($D56,Milestones!$AA$50)&lt;PolicyEff),1,Milestones!$AC$50)&amp;";  ","")&amp;IF(AND(EDATE($D56,Milestones!$AA$51)&lt;=AsOfDate,EDATE($D56,Milestones!$AA$51)&gt;=SchemeStart,IF($X56=0,$AD56,IF(AND($Z56&lt;&gt;"",EDATE($D56,Milestones!$AA$51)&gt;=$Z56),$AC56,IF(AND($Y56&lt;&gt;"",EDATE($D56,Milestones!$AA$51)&gt;=$Y56),$AB56,$AA56)))=Milestones!$AB$51),UPPER(TEXT(EDATE($D56,Milestones!$AA$51),"dd mmm yy"))&amp;" "&amp;Milestones!$AB$51&amp;" "&amp;IF(AND(Milestones!$AB$51="FT",Milestones!$AA$51=FT_Y5,EDATE($D56,Milestones!$AA$51)&lt;PolicyEff),1,Milestones!$AC$51)&amp;";  ","")&amp;IF(AND(EDATE($D56,Milestones!$AA$52)&lt;=AsOfDate,EDATE($D56,Milestones!$AA$52)&gt;=SchemeStart,IF($X56=0,$AD56,IF(AND($Z56&lt;&gt;"",EDATE($D56,Milestones!$AA$52)&gt;=$Z56),$AC56,IF(AND($Y56&lt;&gt;"",EDATE($D56,Milestones!$AA$52)&gt;=$Y56),$AB56,$AA56)))=Milestones!$AB$52),UPPER(TEXT(EDATE($D56,Milestones!$AA$52),"dd mmm yy"))&amp;" "&amp;Milestones!$AB$52&amp;" "&amp;IF(AND(Milestones!$AB$52="FT",Milestones!$AA$52=FT_Y5,EDATE($D56,Milestones!$AA$52)&lt;PolicyEff),1,Milestones!$AC$52)&amp;";  ","")&amp;IF(AND(EDATE($D56,Milestones!$AA$53)&lt;=AsOfDate,EDATE($D56,Milestones!$AA$53)&gt;=SchemeStart,IF($X56=0,$AD56,IF(AND($Z56&lt;&gt;"",EDATE($D56,Milestones!$AA$53)&gt;=$Z56),$AC56,IF(AND($Y56&lt;&gt;"",EDATE($D56,Milestones!$AA$53)&gt;=$Y56),$AB56,$AA56)))=Milestones!$AB$53),UPPER(TEXT(EDATE($D56,Milestones!$AA$53),"dd mmm yy"))&amp;" "&amp;Milestones!$AB$53&amp;" "&amp;IF(AND(Milestones!$AB$53="FT",Milestones!$AA$53=FT_Y5,EDATE($D56,Milestones!$AA$53)&lt;PolicyEff),1,Milestones!$AC$53)&amp;";  ","")&amp;IF(AND(EDATE($D56,Milestones!$AA$54)&lt;=AsOfDate,EDATE($D56,Milestones!$AA$54)&gt;=SchemeStart,IF($X56=0,$AD56,IF(AND($Z56&lt;&gt;"",EDATE($D56,Milestones!$AA$54)&gt;=$Z56),$AC56,IF(AND($Y56&lt;&gt;"",EDATE($D56,Milestones!$AA$54)&gt;=$Y56),$AB56,$AA56)))=Milestones!$AB$54),UPPER(TEXT(EDATE($D56,Milestones!$AA$54),"dd mmm yy"))&amp;" "&amp;Milestones!$AB$54&amp;" "&amp;IF(AND(Milestones!$AB$54="FT",Milestones!$AA$54=FT_Y5,EDATE($D56,Milestones!$AA$54)&lt;PolicyEff),1,Milestones!$AC$54)&amp;";  ","")&amp;IF(AND(EDATE($D56,Milestones!$AA$55)&lt;=AsOfDate,EDATE($D56,Milestones!$AA$55)&gt;=SchemeStart,IF($X56=0,$AD56,IF(AND($Z56&lt;&gt;"",EDATE($D56,Milestones!$AA$55)&gt;=$Z56),$AC56,IF(AND($Y56&lt;&gt;"",EDATE($D56,Milestones!$AA$55)&gt;=$Y56),$AB56,$AA56)))=Milestones!$AB$55),UPPER(TEXT(EDATE($D56,Milestones!$AA$55),"dd mmm yy"))&amp;" "&amp;Milestones!$AB$55&amp;" "&amp;IF(AND(Milestones!$AB$55="FT",Milestones!$AA$55=FT_Y5,EDATE($D56,Milestones!$AA$55)&lt;PolicyEff),1,Milestones!$AC$55)&amp;";  ",""))</f>
        <v/>
      </c>
      <c r="L56" s="0" t="str">
        <f aca="false">IF(OR($A56="",$D56=""),"",IF(AND(EDATE($D56,Milestones!$AA$56)&lt;=AsOfDate,EDATE($D56,Milestones!$AA$56)&gt;=SchemeStart,IF($X56=0,$AD56,IF(AND($Z56&lt;&gt;"",EDATE($D56,Milestones!$AA$56)&gt;=$Z56),$AC56,IF(AND($Y56&lt;&gt;"",EDATE($D56,Milestones!$AA$56)&gt;=$Y56),$AB56,$AA56)))=Milestones!$AB$56),UPPER(TEXT(EDATE($D56,Milestones!$AA$56),"dd mmm yy"))&amp;" "&amp;Milestones!$AB$56&amp;" "&amp;IF(AND(Milestones!$AB$56="FT",Milestones!$AA$56=FT_Y5,EDATE($D56,Milestones!$AA$56)&lt;PolicyEff),1,Milestones!$AC$56)&amp;";  ","")&amp;IF(AND(EDATE($D56,Milestones!$AA$57)&lt;=AsOfDate,EDATE($D56,Milestones!$AA$57)&gt;=SchemeStart,IF($X56=0,$AD56,IF(AND($Z56&lt;&gt;"",EDATE($D56,Milestones!$AA$57)&gt;=$Z56),$AC56,IF(AND($Y56&lt;&gt;"",EDATE($D56,Milestones!$AA$57)&gt;=$Y56),$AB56,$AA56)))=Milestones!$AB$57),UPPER(TEXT(EDATE($D56,Milestones!$AA$57),"dd mmm yy"))&amp;" "&amp;Milestones!$AB$57&amp;" "&amp;IF(AND(Milestones!$AB$57="FT",Milestones!$AA$57=FT_Y5,EDATE($D56,Milestones!$AA$57)&lt;PolicyEff),1,Milestones!$AC$57)&amp;";  ","")&amp;IF(AND(EDATE($D56,Milestones!$AA$58)&lt;=AsOfDate,EDATE($D56,Milestones!$AA$58)&gt;=SchemeStart,IF($X56=0,$AD56,IF(AND($Z56&lt;&gt;"",EDATE($D56,Milestones!$AA$58)&gt;=$Z56),$AC56,IF(AND($Y56&lt;&gt;"",EDATE($D56,Milestones!$AA$58)&gt;=$Y56),$AB56,$AA56)))=Milestones!$AB$58),UPPER(TEXT(EDATE($D56,Milestones!$AA$58),"dd mmm yy"))&amp;" "&amp;Milestones!$AB$58&amp;" "&amp;IF(AND(Milestones!$AB$58="FT",Milestones!$AA$58=FT_Y5,EDATE($D56,Milestones!$AA$58)&lt;PolicyEff),1,Milestones!$AC$58)&amp;";  ","")&amp;IF(AND(EDATE($D56,Milestones!$AA$59)&lt;=AsOfDate,EDATE($D56,Milestones!$AA$59)&gt;=SchemeStart,IF($X56=0,$AD56,IF(AND($Z56&lt;&gt;"",EDATE($D56,Milestones!$AA$59)&gt;=$Z56),$AC56,IF(AND($Y56&lt;&gt;"",EDATE($D56,Milestones!$AA$59)&gt;=$Y56),$AB56,$AA56)))=Milestones!$AB$59),UPPER(TEXT(EDATE($D56,Milestones!$AA$59),"dd mmm yy"))&amp;" "&amp;Milestones!$AB$59&amp;" "&amp;IF(AND(Milestones!$AB$59="FT",Milestones!$AA$59=FT_Y5,EDATE($D56,Milestones!$AA$59)&lt;PolicyEff),1,Milestones!$AC$59)&amp;";  ","")&amp;IF(AND(EDATE($D56,Milestones!$AA$60)&lt;=AsOfDate,EDATE($D56,Milestones!$AA$60)&gt;=SchemeStart,IF($X56=0,$AD56,IF(AND($Z56&lt;&gt;"",EDATE($D56,Milestones!$AA$60)&gt;=$Z56),$AC56,IF(AND($Y56&lt;&gt;"",EDATE($D56,Milestones!$AA$60)&gt;=$Y56),$AB56,$AA56)))=Milestones!$AB$60),UPPER(TEXT(EDATE($D56,Milestones!$AA$60),"dd mmm yy"))&amp;" "&amp;Milestones!$AB$60&amp;" "&amp;IF(AND(Milestones!$AB$60="FT",Milestones!$AA$60=FT_Y5,EDATE($D56,Milestones!$AA$60)&lt;PolicyEff),1,Milestones!$AC$60)&amp;";  ","")&amp;IF(AND(EDATE($D56,Milestones!$AA$61)&lt;=AsOfDate,EDATE($D56,Milestones!$AA$61)&gt;=SchemeStart,IF($X56=0,$AD56,IF(AND($Z56&lt;&gt;"",EDATE($D56,Milestones!$AA$61)&gt;=$Z56),$AC56,IF(AND($Y56&lt;&gt;"",EDATE($D56,Milestones!$AA$61)&gt;=$Y56),$AB56,$AA56)))=Milestones!$AB$61),UPPER(TEXT(EDATE($D56,Milestones!$AA$61),"dd mmm yy"))&amp;" "&amp;Milestones!$AB$61&amp;" "&amp;IF(AND(Milestones!$AB$61="FT",Milestones!$AA$61=FT_Y5,EDATE($D56,Milestones!$AA$61)&lt;PolicyEff),1,Milestones!$AC$61)&amp;";  ","")&amp;IF(AND(EDATE($D56,Milestones!$AA$62)&lt;=AsOfDate,EDATE($D56,Milestones!$AA$62)&gt;=SchemeStart,IF($X56=0,$AD56,IF(AND($Z56&lt;&gt;"",EDATE($D56,Milestones!$AA$62)&gt;=$Z56),$AC56,IF(AND($Y56&lt;&gt;"",EDATE($D56,Milestones!$AA$62)&gt;=$Y56),$AB56,$AA56)))=Milestones!$AB$62),UPPER(TEXT(EDATE($D56,Milestones!$AA$62),"dd mmm yy"))&amp;" "&amp;Milestones!$AB$62&amp;" "&amp;IF(AND(Milestones!$AB$62="FT",Milestones!$AA$62=FT_Y5,EDATE($D56,Milestones!$AA$62)&lt;PolicyEff),1,Milestones!$AC$62)&amp;";  ","")&amp;IF(AND(EDATE($D56,Milestones!$AA$63)&lt;=AsOfDate,EDATE($D56,Milestones!$AA$63)&gt;=SchemeStart,IF($X56=0,$AD56,IF(AND($Z56&lt;&gt;"",EDATE($D56,Milestones!$AA$63)&gt;=$Z56),$AC56,IF(AND($Y56&lt;&gt;"",EDATE($D56,Milestones!$AA$63)&gt;=$Y56),$AB56,$AA56)))=Milestones!$AB$63),UPPER(TEXT(EDATE($D56,Milestones!$AA$63),"dd mmm yy"))&amp;" "&amp;Milestones!$AB$63&amp;" "&amp;IF(AND(Milestones!$AB$63="FT",Milestones!$AA$63=FT_Y5,EDATE($D56,Milestones!$AA$63)&lt;PolicyEff),1,Milestones!$AC$63)&amp;";  ","")&amp;IF(AND(EDATE($D56,Milestones!$AA$64)&lt;=AsOfDate,EDATE($D56,Milestones!$AA$64)&gt;=SchemeStart,IF($X56=0,$AD56,IF(AND($Z56&lt;&gt;"",EDATE($D56,Milestones!$AA$64)&gt;=$Z56),$AC56,IF(AND($Y56&lt;&gt;"",EDATE($D56,Milestones!$AA$64)&gt;=$Y56),$AB56,$AA56)))=Milestones!$AB$64),UPPER(TEXT(EDATE($D56,Milestones!$AA$64),"dd mmm yy"))&amp;" "&amp;Milestones!$AB$64&amp;" "&amp;IF(AND(Milestones!$AB$64="FT",Milestones!$AA$64=FT_Y5,EDATE($D56,Milestones!$AA$64)&lt;PolicyEff),1,Milestones!$AC$64)&amp;";  ","")&amp;IF(AND(EDATE($D56,Milestones!$AA$65)&lt;=AsOfDate,EDATE($D56,Milestones!$AA$65)&gt;=SchemeStart,IF($X56=0,$AD56,IF(AND($Z56&lt;&gt;"",EDATE($D56,Milestones!$AA$65)&gt;=$Z56),$AC56,IF(AND($Y56&lt;&gt;"",EDATE($D56,Milestones!$AA$65)&gt;=$Y56),$AB56,$AA56)))=Milestones!$AB$65),UPPER(TEXT(EDATE($D56,Milestones!$AA$65),"dd mmm yy"))&amp;" "&amp;Milestones!$AB$65&amp;" "&amp;IF(AND(Milestones!$AB$65="FT",Milestones!$AA$65=FT_Y5,EDATE($D56,Milestones!$AA$65)&lt;PolicyEff),1,Milestones!$AC$65)&amp;";  ","")&amp;IF(AND(EDATE($D56,Milestones!$AA$66)&lt;=AsOfDate,EDATE($D56,Milestones!$AA$66)&gt;=SchemeStart,IF($X56=0,$AD56,IF(AND($Z56&lt;&gt;"",EDATE($D56,Milestones!$AA$66)&gt;=$Z56),$AC56,IF(AND($Y56&lt;&gt;"",EDATE($D56,Milestones!$AA$66)&gt;=$Y56),$AB56,$AA56)))=Milestones!$AB$66),UPPER(TEXT(EDATE($D56,Milestones!$AA$66),"dd mmm yy"))&amp;" "&amp;Milestones!$AB$66&amp;" "&amp;IF(AND(Milestones!$AB$66="FT",Milestones!$AA$66=FT_Y5,EDATE($D56,Milestones!$AA$66)&lt;PolicyEff),1,Milestones!$AC$66)&amp;";  ","")&amp;IF(AND(EDATE($D56,Milestones!$AA$67)&lt;=AsOfDate,EDATE($D56,Milestones!$AA$67)&gt;=SchemeStart,IF($X56=0,$AD56,IF(AND($Z56&lt;&gt;"",EDATE($D56,Milestones!$AA$67)&gt;=$Z56),$AC56,IF(AND($Y56&lt;&gt;"",EDATE($D56,Milestones!$AA$67)&gt;=$Y56),$AB56,$AA56)))=Milestones!$AB$67),UPPER(TEXT(EDATE($D56,Milestones!$AA$67),"dd mmm yy"))&amp;" "&amp;Milestones!$AB$67&amp;" "&amp;IF(AND(Milestones!$AB$67="FT",Milestones!$AA$67=FT_Y5,EDATE($D56,Milestones!$AA$67)&lt;PolicyEff),1,Milestones!$AC$67)&amp;";  ",""))</f>
        <v/>
      </c>
      <c r="M56" s="0" t="str">
        <f aca="false">IF(OR($A56="",$D56=""),"",IF(AND(EDATE($D56,Milestones!$AA$68)&lt;=AsOfDate,EDATE($D56,Milestones!$AA$68)&gt;=SchemeStart,IF($X56=0,$AD56,IF(AND($Z56&lt;&gt;"",EDATE($D56,Milestones!$AA$68)&gt;=$Z56),$AC56,IF(AND($Y56&lt;&gt;"",EDATE($D56,Milestones!$AA$68)&gt;=$Y56),$AB56,$AA56)))=Milestones!$AB$68),UPPER(TEXT(EDATE($D56,Milestones!$AA$68),"dd mmm yy"))&amp;" "&amp;Milestones!$AB$68&amp;" "&amp;IF(AND(Milestones!$AB$68="FT",Milestones!$AA$68=FT_Y5,EDATE($D56,Milestones!$AA$68)&lt;PolicyEff),1,Milestones!$AC$68)&amp;";  ","")&amp;IF(AND(EDATE($D56,Milestones!$AA$69)&lt;=AsOfDate,EDATE($D56,Milestones!$AA$69)&gt;=SchemeStart,IF($X56=0,$AD56,IF(AND($Z56&lt;&gt;"",EDATE($D56,Milestones!$AA$69)&gt;=$Z56),$AC56,IF(AND($Y56&lt;&gt;"",EDATE($D56,Milestones!$AA$69)&gt;=$Y56),$AB56,$AA56)))=Milestones!$AB$69),UPPER(TEXT(EDATE($D56,Milestones!$AA$69),"dd mmm yy"))&amp;" "&amp;Milestones!$AB$69&amp;" "&amp;IF(AND(Milestones!$AB$69="FT",Milestones!$AA$69=FT_Y5,EDATE($D56,Milestones!$AA$69)&lt;PolicyEff),1,Milestones!$AC$69)&amp;";  ","")&amp;IF(AND(EDATE($D56,Milestones!$AA$70)&lt;=AsOfDate,EDATE($D56,Milestones!$AA$70)&gt;=SchemeStart,IF($X56=0,$AD56,IF(AND($Z56&lt;&gt;"",EDATE($D56,Milestones!$AA$70)&gt;=$Z56),$AC56,IF(AND($Y56&lt;&gt;"",EDATE($D56,Milestones!$AA$70)&gt;=$Y56),$AB56,$AA56)))=Milestones!$AB$70),UPPER(TEXT(EDATE($D56,Milestones!$AA$70),"dd mmm yy"))&amp;" "&amp;Milestones!$AB$70&amp;" "&amp;IF(AND(Milestones!$AB$70="FT",Milestones!$AA$70=FT_Y5,EDATE($D56,Milestones!$AA$70)&lt;PolicyEff),1,Milestones!$AC$70)&amp;";  ","")&amp;IF(AND(EDATE($D56,Milestones!$AA$71)&lt;=AsOfDate,EDATE($D56,Milestones!$AA$71)&gt;=SchemeStart,IF($X56=0,$AD56,IF(AND($Z56&lt;&gt;"",EDATE($D56,Milestones!$AA$71)&gt;=$Z56),$AC56,IF(AND($Y56&lt;&gt;"",EDATE($D56,Milestones!$AA$71)&gt;=$Y56),$AB56,$AA56)))=Milestones!$AB$71),UPPER(TEXT(EDATE($D56,Milestones!$AA$71),"dd mmm yy"))&amp;" "&amp;Milestones!$AB$71&amp;" "&amp;IF(AND(Milestones!$AB$71="FT",Milestones!$AA$71=FT_Y5,EDATE($D56,Milestones!$AA$71)&lt;PolicyEff),1,Milestones!$AC$71)&amp;";  ","")&amp;IF(AND(EDATE($D56,Milestones!$AA$72)&lt;=AsOfDate,EDATE($D56,Milestones!$AA$72)&gt;=SchemeStart,IF($X56=0,$AD56,IF(AND($Z56&lt;&gt;"",EDATE($D56,Milestones!$AA$72)&gt;=$Z56),$AC56,IF(AND($Y56&lt;&gt;"",EDATE($D56,Milestones!$AA$72)&gt;=$Y56),$AB56,$AA56)))=Milestones!$AB$72),UPPER(TEXT(EDATE($D56,Milestones!$AA$72),"dd mmm yy"))&amp;" "&amp;Milestones!$AB$72&amp;" "&amp;IF(AND(Milestones!$AB$72="FT",Milestones!$AA$72=FT_Y5,EDATE($D56,Milestones!$AA$72)&lt;PolicyEff),1,Milestones!$AC$72)&amp;";  ","")&amp;IF(AND(EDATE($D56,Milestones!$AA$73)&lt;=AsOfDate,EDATE($D56,Milestones!$AA$73)&gt;=SchemeStart,IF($X56=0,$AD56,IF(AND($Z56&lt;&gt;"",EDATE($D56,Milestones!$AA$73)&gt;=$Z56),$AC56,IF(AND($Y56&lt;&gt;"",EDATE($D56,Milestones!$AA$73)&gt;=$Y56),$AB56,$AA56)))=Milestones!$AB$73),UPPER(TEXT(EDATE($D56,Milestones!$AA$73),"dd mmm yy"))&amp;" "&amp;Milestones!$AB$73&amp;" "&amp;IF(AND(Milestones!$AB$73="FT",Milestones!$AA$73=FT_Y5,EDATE($D56,Milestones!$AA$73)&lt;PolicyEff),1,Milestones!$AC$73)&amp;";  ","")&amp;IF(AND(EDATE($D56,Milestones!$AA$74)&lt;=AsOfDate,EDATE($D56,Milestones!$AA$74)&gt;=SchemeStart,IF($X56=0,$AD56,IF(AND($Z56&lt;&gt;"",EDATE($D56,Milestones!$AA$74)&gt;=$Z56),$AC56,IF(AND($Y56&lt;&gt;"",EDATE($D56,Milestones!$AA$74)&gt;=$Y56),$AB56,$AA56)))=Milestones!$AB$74),UPPER(TEXT(EDATE($D56,Milestones!$AA$74),"dd mmm yy"))&amp;" "&amp;Milestones!$AB$74&amp;" "&amp;IF(AND(Milestones!$AB$74="FT",Milestones!$AA$74=FT_Y5,EDATE($D56,Milestones!$AA$74)&lt;PolicyEff),1,Milestones!$AC$74)&amp;";  ","")&amp;IF(AND(EDATE($D56,Milestones!$AA$75)&lt;=AsOfDate,EDATE($D56,Milestones!$AA$75)&gt;=SchemeStart,IF($X56=0,$AD56,IF(AND($Z56&lt;&gt;"",EDATE($D56,Milestones!$AA$75)&gt;=$Z56),$AC56,IF(AND($Y56&lt;&gt;"",EDATE($D56,Milestones!$AA$75)&gt;=$Y56),$AB56,$AA56)))=Milestones!$AB$75),UPPER(TEXT(EDATE($D56,Milestones!$AA$75),"dd mmm yy"))&amp;" "&amp;Milestones!$AB$75&amp;" "&amp;IF(AND(Milestones!$AB$75="FT",Milestones!$AA$75=FT_Y5,EDATE($D56,Milestones!$AA$75)&lt;PolicyEff),1,Milestones!$AC$75)&amp;";  ","")&amp;IF(AND(EDATE($D56,Milestones!$AA$76)&lt;=AsOfDate,EDATE($D56,Milestones!$AA$76)&gt;=SchemeStart,IF($X56=0,$AD56,IF(AND($Z56&lt;&gt;"",EDATE($D56,Milestones!$AA$76)&gt;=$Z56),$AC56,IF(AND($Y56&lt;&gt;"",EDATE($D56,Milestones!$AA$76)&gt;=$Y56),$AB56,$AA56)))=Milestones!$AB$76),UPPER(TEXT(EDATE($D56,Milestones!$AA$76),"dd mmm yy"))&amp;" "&amp;Milestones!$AB$76&amp;" "&amp;IF(AND(Milestones!$AB$76="FT",Milestones!$AA$76=FT_Y5,EDATE($D56,Milestones!$AA$76)&lt;PolicyEff),1,Milestones!$AC$76)&amp;";  ","")&amp;IF(AND(EDATE($D56,Milestones!$AA$77)&lt;=AsOfDate,EDATE($D56,Milestones!$AA$77)&gt;=SchemeStart,IF($X56=0,$AD56,IF(AND($Z56&lt;&gt;"",EDATE($D56,Milestones!$AA$77)&gt;=$Z56),$AC56,IF(AND($Y56&lt;&gt;"",EDATE($D56,Milestones!$AA$77)&gt;=$Y56),$AB56,$AA56)))=Milestones!$AB$77),UPPER(TEXT(EDATE($D56,Milestones!$AA$77),"dd mmm yy"))&amp;" "&amp;Milestones!$AB$77&amp;" "&amp;IF(AND(Milestones!$AB$77="FT",Milestones!$AA$77=FT_Y5,EDATE($D56,Milestones!$AA$77)&lt;PolicyEff),1,Milestones!$AC$77)&amp;";  ","")&amp;IF(AND(EDATE($D56,Milestones!$AA$78)&lt;=AsOfDate,EDATE($D56,Milestones!$AA$78)&gt;=SchemeStart,IF($X56=0,$AD56,IF(AND($Z56&lt;&gt;"",EDATE($D56,Milestones!$AA$78)&gt;=$Z56),$AC56,IF(AND($Y56&lt;&gt;"",EDATE($D56,Milestones!$AA$78)&gt;=$Y56),$AB56,$AA56)))=Milestones!$AB$78),UPPER(TEXT(EDATE($D56,Milestones!$AA$78),"dd mmm yy"))&amp;" "&amp;Milestones!$AB$78&amp;" "&amp;IF(AND(Milestones!$AB$78="FT",Milestones!$AA$78=FT_Y5,EDATE($D56,Milestones!$AA$78)&lt;PolicyEff),1,Milestones!$AC$78)&amp;";  ","")&amp;IF(AND(EDATE($D56,Milestones!$AA$79)&lt;=AsOfDate,EDATE($D56,Milestones!$AA$79)&gt;=SchemeStart,IF($X56=0,$AD56,IF(AND($Z56&lt;&gt;"",EDATE($D56,Milestones!$AA$79)&gt;=$Z56),$AC56,IF(AND($Y56&lt;&gt;"",EDATE($D56,Milestones!$AA$79)&gt;=$Y56),$AB56,$AA56)))=Milestones!$AB$79),UPPER(TEXT(EDATE($D56,Milestones!$AA$79),"dd mmm yy"))&amp;" "&amp;Milestones!$AB$79&amp;" "&amp;IF(AND(Milestones!$AB$79="FT",Milestones!$AA$79=FT_Y5,EDATE($D56,Milestones!$AA$79)&lt;PolicyEff),1,Milestones!$AC$79)&amp;";  ",""))</f>
        <v/>
      </c>
      <c r="N56" s="0" t="str">
        <f aca="false">IF(OR($A56="",$D56=""),"",IF(AND(EDATE($D56,Milestones!$AA$80)&lt;=AsOfDate,EDATE($D56,Milestones!$AA$80)&gt;=SchemeStart,IF($X56=0,$AD56,IF(AND($Z56&lt;&gt;"",EDATE($D56,Milestones!$AA$80)&gt;=$Z56),$AC56,IF(AND($Y56&lt;&gt;"",EDATE($D56,Milestones!$AA$80)&gt;=$Y56),$AB56,$AA56)))=Milestones!$AB$80),UPPER(TEXT(EDATE($D56,Milestones!$AA$80),"dd mmm yy"))&amp;" "&amp;Milestones!$AB$80&amp;" "&amp;IF(AND(Milestones!$AB$80="FT",Milestones!$AA$80=FT_Y5,EDATE($D56,Milestones!$AA$80)&lt;PolicyEff),1,Milestones!$AC$80)&amp;";  ","")&amp;IF(AND(EDATE($D56,Milestones!$AA$81)&lt;=AsOfDate,EDATE($D56,Milestones!$AA$81)&gt;=SchemeStart,IF($X56=0,$AD56,IF(AND($Z56&lt;&gt;"",EDATE($D56,Milestones!$AA$81)&gt;=$Z56),$AC56,IF(AND($Y56&lt;&gt;"",EDATE($D56,Milestones!$AA$81)&gt;=$Y56),$AB56,$AA56)))=Milestones!$AB$81),UPPER(TEXT(EDATE($D56,Milestones!$AA$81),"dd mmm yy"))&amp;" "&amp;Milestones!$AB$81&amp;" "&amp;IF(AND(Milestones!$AB$81="FT",Milestones!$AA$81=FT_Y5,EDATE($D56,Milestones!$AA$81)&lt;PolicyEff),1,Milestones!$AC$81)&amp;";  ","")&amp;IF(AND(EDATE($D56,Milestones!$AA$82)&lt;=AsOfDate,EDATE($D56,Milestones!$AA$82)&gt;=SchemeStart,IF($X56=0,$AD56,IF(AND($Z56&lt;&gt;"",EDATE($D56,Milestones!$AA$82)&gt;=$Z56),$AC56,IF(AND($Y56&lt;&gt;"",EDATE($D56,Milestones!$AA$82)&gt;=$Y56),$AB56,$AA56)))=Milestones!$AB$82),UPPER(TEXT(EDATE($D56,Milestones!$AA$82),"dd mmm yy"))&amp;" "&amp;Milestones!$AB$82&amp;" "&amp;IF(AND(Milestones!$AB$82="FT",Milestones!$AA$82=FT_Y5,EDATE($D56,Milestones!$AA$82)&lt;PolicyEff),1,Milestones!$AC$82)&amp;";  ","")&amp;IF(AND(EDATE($D56,Milestones!$AA$83)&lt;=AsOfDate,EDATE($D56,Milestones!$AA$83)&gt;=SchemeStart,IF($X56=0,$AD56,IF(AND($Z56&lt;&gt;"",EDATE($D56,Milestones!$AA$83)&gt;=$Z56),$AC56,IF(AND($Y56&lt;&gt;"",EDATE($D56,Milestones!$AA$83)&gt;=$Y56),$AB56,$AA56)))=Milestones!$AB$83),UPPER(TEXT(EDATE($D56,Milestones!$AA$83),"dd mmm yy"))&amp;" "&amp;Milestones!$AB$83&amp;" "&amp;IF(AND(Milestones!$AB$83="FT",Milestones!$AA$83=FT_Y5,EDATE($D56,Milestones!$AA$83)&lt;PolicyEff),1,Milestones!$AC$83)&amp;";  ","")&amp;IF(AND(EDATE($D56,Milestones!$AA$84)&lt;=AsOfDate,EDATE($D56,Milestones!$AA$84)&gt;=SchemeStart,IF($X56=0,$AD56,IF(AND($Z56&lt;&gt;"",EDATE($D56,Milestones!$AA$84)&gt;=$Z56),$AC56,IF(AND($Y56&lt;&gt;"",EDATE($D56,Milestones!$AA$84)&gt;=$Y56),$AB56,$AA56)))=Milestones!$AB$84),UPPER(TEXT(EDATE($D56,Milestones!$AA$84),"dd mmm yy"))&amp;" "&amp;Milestones!$AB$84&amp;" "&amp;IF(AND(Milestones!$AB$84="FT",Milestones!$AA$84=FT_Y5,EDATE($D56,Milestones!$AA$84)&lt;PolicyEff),1,Milestones!$AC$84)&amp;";  ","")&amp;IF(AND(EDATE($D56,Milestones!$AA$85)&lt;=AsOfDate,EDATE($D56,Milestones!$AA$85)&gt;=SchemeStart,IF($X56=0,$AD56,IF(AND($Z56&lt;&gt;"",EDATE($D56,Milestones!$AA$85)&gt;=$Z56),$AC56,IF(AND($Y56&lt;&gt;"",EDATE($D56,Milestones!$AA$85)&gt;=$Y56),$AB56,$AA56)))=Milestones!$AB$85),UPPER(TEXT(EDATE($D56,Milestones!$AA$85),"dd mmm yy"))&amp;" "&amp;Milestones!$AB$85&amp;" "&amp;IF(AND(Milestones!$AB$85="FT",Milestones!$AA$85=FT_Y5,EDATE($D56,Milestones!$AA$85)&lt;PolicyEff),1,Milestones!$AC$85)&amp;";  ","")&amp;IF(AND(EDATE($D56,Milestones!$AA$86)&lt;=AsOfDate,EDATE($D56,Milestones!$AA$86)&gt;=SchemeStart,IF($X56=0,$AD56,IF(AND($Z56&lt;&gt;"",EDATE($D56,Milestones!$AA$86)&gt;=$Z56),$AC56,IF(AND($Y56&lt;&gt;"",EDATE($D56,Milestones!$AA$86)&gt;=$Y56),$AB56,$AA56)))=Milestones!$AB$86),UPPER(TEXT(EDATE($D56,Milestones!$AA$86),"dd mmm yy"))&amp;" "&amp;Milestones!$AB$86&amp;" "&amp;IF(AND(Milestones!$AB$86="FT",Milestones!$AA$86=FT_Y5,EDATE($D56,Milestones!$AA$86)&lt;PolicyEff),1,Milestones!$AC$86)&amp;";  ","")&amp;IF(AND(EDATE($D56,Milestones!$AA$87)&lt;=AsOfDate,EDATE($D56,Milestones!$AA$87)&gt;=SchemeStart,IF($X56=0,$AD56,IF(AND($Z56&lt;&gt;"",EDATE($D56,Milestones!$AA$87)&gt;=$Z56),$AC56,IF(AND($Y56&lt;&gt;"",EDATE($D56,Milestones!$AA$87)&gt;=$Y56),$AB56,$AA56)))=Milestones!$AB$87),UPPER(TEXT(EDATE($D56,Milestones!$AA$87),"dd mmm yy"))&amp;" "&amp;Milestones!$AB$87&amp;" "&amp;IF(AND(Milestones!$AB$87="FT",Milestones!$AA$87=FT_Y5,EDATE($D56,Milestones!$AA$87)&lt;PolicyEff),1,Milestones!$AC$87)&amp;";  ","")&amp;IF(AND(EDATE($D56,Milestones!$AA$88)&lt;=AsOfDate,EDATE($D56,Milestones!$AA$88)&gt;=SchemeStart,IF($X56=0,$AD56,IF(AND($Z56&lt;&gt;"",EDATE($D56,Milestones!$AA$88)&gt;=$Z56),$AC56,IF(AND($Y56&lt;&gt;"",EDATE($D56,Milestones!$AA$88)&gt;=$Y56),$AB56,$AA56)))=Milestones!$AB$88),UPPER(TEXT(EDATE($D56,Milestones!$AA$88),"dd mmm yy"))&amp;" "&amp;Milestones!$AB$88&amp;" "&amp;IF(AND(Milestones!$AB$88="FT",Milestones!$AA$88=FT_Y5,EDATE($D56,Milestones!$AA$88)&lt;PolicyEff),1,Milestones!$AC$88)&amp;";  ","")&amp;IF(AND(EDATE($D56,Milestones!$AA$89)&lt;=AsOfDate,EDATE($D56,Milestones!$AA$89)&gt;=SchemeStart,IF($X56=0,$AD56,IF(AND($Z56&lt;&gt;"",EDATE($D56,Milestones!$AA$89)&gt;=$Z56),$AC56,IF(AND($Y56&lt;&gt;"",EDATE($D56,Milestones!$AA$89)&gt;=$Y56),$AB56,$AA56)))=Milestones!$AB$89),UPPER(TEXT(EDATE($D56,Milestones!$AA$89),"dd mmm yy"))&amp;" "&amp;Milestones!$AB$89&amp;" "&amp;IF(AND(Milestones!$AB$89="FT",Milestones!$AA$89=FT_Y5,EDATE($D56,Milestones!$AA$89)&lt;PolicyEff),1,Milestones!$AC$89)&amp;";  ","")&amp;IF(AND(EDATE($D56,Milestones!$AA$90)&lt;=AsOfDate,EDATE($D56,Milestones!$AA$90)&gt;=SchemeStart,IF($X56=0,$AD56,IF(AND($Z56&lt;&gt;"",EDATE($D56,Milestones!$AA$90)&gt;=$Z56),$AC56,IF(AND($Y56&lt;&gt;"",EDATE($D56,Milestones!$AA$90)&gt;=$Y56),$AB56,$AA56)))=Milestones!$AB$90),UPPER(TEXT(EDATE($D56,Milestones!$AA$90),"dd mmm yy"))&amp;" "&amp;Milestones!$AB$90&amp;" "&amp;IF(AND(Milestones!$AB$90="FT",Milestones!$AA$90=FT_Y5,EDATE($D56,Milestones!$AA$90)&lt;PolicyEff),1,Milestones!$AC$90)&amp;";  ","")&amp;IF(AND(EDATE($D56,Milestones!$AA$91)&lt;=AsOfDate,EDATE($D56,Milestones!$AA$91)&gt;=SchemeStart,IF($X56=0,$AD56,IF(AND($Z56&lt;&gt;"",EDATE($D56,Milestones!$AA$91)&gt;=$Z56),$AC56,IF(AND($Y56&lt;&gt;"",EDATE($D56,Milestones!$AA$91)&gt;=$Y56),$AB56,$AA56)))=Milestones!$AB$91),UPPER(TEXT(EDATE($D56,Milestones!$AA$91),"dd mmm yy"))&amp;" "&amp;Milestones!$AB$91&amp;" "&amp;IF(AND(Milestones!$AB$91="FT",Milestones!$AA$91=FT_Y5,EDATE($D56,Milestones!$AA$91)&lt;PolicyEff),1,Milestones!$AC$91)&amp;";  ",""))</f>
        <v/>
      </c>
      <c r="O56" s="0" t="str">
        <f aca="false">IF(OR($A56="",$D56=""),"",IF(AND(EDATE($D56,Milestones!$AA$92)&lt;=AsOfDate,EDATE($D56,Milestones!$AA$92)&gt;=SchemeStart,IF($X56=0,$AD56,IF(AND($Z56&lt;&gt;"",EDATE($D56,Milestones!$AA$92)&gt;=$Z56),$AC56,IF(AND($Y56&lt;&gt;"",EDATE($D56,Milestones!$AA$92)&gt;=$Y56),$AB56,$AA56)))=Milestones!$AB$92),UPPER(TEXT(EDATE($D56,Milestones!$AA$92),"dd mmm yy"))&amp;" "&amp;Milestones!$AB$92&amp;" "&amp;IF(AND(Milestones!$AB$92="FT",Milestones!$AA$92=FT_Y5,EDATE($D56,Milestones!$AA$92)&lt;PolicyEff),1,Milestones!$AC$92)&amp;";  ","")&amp;IF(AND(EDATE($D56,Milestones!$AA$93)&lt;=AsOfDate,EDATE($D56,Milestones!$AA$93)&gt;=SchemeStart,IF($X56=0,$AD56,IF(AND($Z56&lt;&gt;"",EDATE($D56,Milestones!$AA$93)&gt;=$Z56),$AC56,IF(AND($Y56&lt;&gt;"",EDATE($D56,Milestones!$AA$93)&gt;=$Y56),$AB56,$AA56)))=Milestones!$AB$93),UPPER(TEXT(EDATE($D56,Milestones!$AA$93),"dd mmm yy"))&amp;" "&amp;Milestones!$AB$93&amp;" "&amp;IF(AND(Milestones!$AB$93="FT",Milestones!$AA$93=FT_Y5,EDATE($D56,Milestones!$AA$93)&lt;PolicyEff),1,Milestones!$AC$93)&amp;";  ","")&amp;IF(AND(EDATE($D56,Milestones!$AA$94)&lt;=AsOfDate,EDATE($D56,Milestones!$AA$94)&gt;=SchemeStart,IF($X56=0,$AD56,IF(AND($Z56&lt;&gt;"",EDATE($D56,Milestones!$AA$94)&gt;=$Z56),$AC56,IF(AND($Y56&lt;&gt;"",EDATE($D56,Milestones!$AA$94)&gt;=$Y56),$AB56,$AA56)))=Milestones!$AB$94),UPPER(TEXT(EDATE($D56,Milestones!$AA$94),"dd mmm yy"))&amp;" "&amp;Milestones!$AB$94&amp;" "&amp;IF(AND(Milestones!$AB$94="FT",Milestones!$AA$94=FT_Y5,EDATE($D56,Milestones!$AA$94)&lt;PolicyEff),1,Milestones!$AC$94)&amp;";  ","")&amp;IF(AND(EDATE($D56,Milestones!$AA$95)&lt;=AsOfDate,EDATE($D56,Milestones!$AA$95)&gt;=SchemeStart,IF($X56=0,$AD56,IF(AND($Z56&lt;&gt;"",EDATE($D56,Milestones!$AA$95)&gt;=$Z56),$AC56,IF(AND($Y56&lt;&gt;"",EDATE($D56,Milestones!$AA$95)&gt;=$Y56),$AB56,$AA56)))=Milestones!$AB$95),UPPER(TEXT(EDATE($D56,Milestones!$AA$95),"dd mmm yy"))&amp;" "&amp;Milestones!$AB$95&amp;" "&amp;IF(AND(Milestones!$AB$95="FT",Milestones!$AA$95=FT_Y5,EDATE($D56,Milestones!$AA$95)&lt;PolicyEff),1,Milestones!$AC$95)&amp;";  ","")&amp;IF(AND(EDATE($D56,Milestones!$AA$96)&lt;=AsOfDate,EDATE($D56,Milestones!$AA$96)&gt;=SchemeStart,IF($X56=0,$AD56,IF(AND($Z56&lt;&gt;"",EDATE($D56,Milestones!$AA$96)&gt;=$Z56),$AC56,IF(AND($Y56&lt;&gt;"",EDATE($D56,Milestones!$AA$96)&gt;=$Y56),$AB56,$AA56)))=Milestones!$AB$96),UPPER(TEXT(EDATE($D56,Milestones!$AA$96),"dd mmm yy"))&amp;" "&amp;Milestones!$AB$96&amp;" "&amp;IF(AND(Milestones!$AB$96="FT",Milestones!$AA$96=FT_Y5,EDATE($D56,Milestones!$AA$96)&lt;PolicyEff),1,Milestones!$AC$96)&amp;";  ","")&amp;IF(AND(EDATE($D56,Milestones!$AA$97)&lt;=AsOfDate,EDATE($D56,Milestones!$AA$97)&gt;=SchemeStart,IF($X56=0,$AD56,IF(AND($Z56&lt;&gt;"",EDATE($D56,Milestones!$AA$97)&gt;=$Z56),$AC56,IF(AND($Y56&lt;&gt;"",EDATE($D56,Milestones!$AA$97)&gt;=$Y56),$AB56,$AA56)))=Milestones!$AB$97),UPPER(TEXT(EDATE($D56,Milestones!$AA$97),"dd mmm yy"))&amp;" "&amp;Milestones!$AB$97&amp;" "&amp;IF(AND(Milestones!$AB$97="FT",Milestones!$AA$97=FT_Y5,EDATE($D56,Milestones!$AA$97)&lt;PolicyEff),1,Milestones!$AC$97)&amp;";  ","")&amp;IF(AND(EDATE($D56,Milestones!$AA$98)&lt;=AsOfDate,EDATE($D56,Milestones!$AA$98)&gt;=SchemeStart,IF($X56=0,$AD56,IF(AND($Z56&lt;&gt;"",EDATE($D56,Milestones!$AA$98)&gt;=$Z56),$AC56,IF(AND($Y56&lt;&gt;"",EDATE($D56,Milestones!$AA$98)&gt;=$Y56),$AB56,$AA56)))=Milestones!$AB$98),UPPER(TEXT(EDATE($D56,Milestones!$AA$98),"dd mmm yy"))&amp;" "&amp;Milestones!$AB$98&amp;" "&amp;IF(AND(Milestones!$AB$98="FT",Milestones!$AA$98=FT_Y5,EDATE($D56,Milestones!$AA$98)&lt;PolicyEff),1,Milestones!$AC$98)&amp;";  ","")&amp;IF(AND(EDATE($D56,Milestones!$AA$99)&lt;=AsOfDate,EDATE($D56,Milestones!$AA$99)&gt;=SchemeStart,IF($X56=0,$AD56,IF(AND($Z56&lt;&gt;"",EDATE($D56,Milestones!$AA$99)&gt;=$Z56),$AC56,IF(AND($Y56&lt;&gt;"",EDATE($D56,Milestones!$AA$99)&gt;=$Y56),$AB56,$AA56)))=Milestones!$AB$99),UPPER(TEXT(EDATE($D56,Milestones!$AA$99),"dd mmm yy"))&amp;" "&amp;Milestones!$AB$99&amp;" "&amp;IF(AND(Milestones!$AB$99="FT",Milestones!$AA$99=FT_Y5,EDATE($D56,Milestones!$AA$99)&lt;PolicyEff),1,Milestones!$AC$99)&amp;";  ","")&amp;IF(AND(EDATE($D56,Milestones!$AA$100)&lt;=AsOfDate,EDATE($D56,Milestones!$AA$100)&gt;=SchemeStart,IF($X56=0,$AD56,IF(AND($Z56&lt;&gt;"",EDATE($D56,Milestones!$AA$100)&gt;=$Z56),$AC56,IF(AND($Y56&lt;&gt;"",EDATE($D56,Milestones!$AA$100)&gt;=$Y56),$AB56,$AA56)))=Milestones!$AB$100),UPPER(TEXT(EDATE($D56,Milestones!$AA$100),"dd mmm yy"))&amp;" "&amp;Milestones!$AB$100&amp;" "&amp;IF(AND(Milestones!$AB$100="FT",Milestones!$AA$100=FT_Y5,EDATE($D56,Milestones!$AA$100)&lt;PolicyEff),1,Milestones!$AC$100)&amp;";  ","")&amp;IF(AND(EDATE($D56,Milestones!$AA$101)&lt;=AsOfDate,EDATE($D56,Milestones!$AA$101)&gt;=SchemeStart,IF($X56=0,$AD56,IF(AND($Z56&lt;&gt;"",EDATE($D56,Milestones!$AA$101)&gt;=$Z56),$AC56,IF(AND($Y56&lt;&gt;"",EDATE($D56,Milestones!$AA$101)&gt;=$Y56),$AB56,$AA56)))=Milestones!$AB$101),UPPER(TEXT(EDATE($D56,Milestones!$AA$101),"dd mmm yy"))&amp;" "&amp;Milestones!$AB$101&amp;" "&amp;IF(AND(Milestones!$AB$101="FT",Milestones!$AA$101=FT_Y5,EDATE($D56,Milestones!$AA$101)&lt;PolicyEff),1,Milestones!$AC$101)&amp;";  ","")&amp;IF(AND(EDATE($D56,Milestones!$AA$102)&lt;=AsOfDate,EDATE($D56,Milestones!$AA$102)&gt;=SchemeStart,IF($X56=0,$AD56,IF(AND($Z56&lt;&gt;"",EDATE($D56,Milestones!$AA$102)&gt;=$Z56),$AC56,IF(AND($Y56&lt;&gt;"",EDATE($D56,Milestones!$AA$102)&gt;=$Y56),$AB56,$AA56)))=Milestones!$AB$102),UPPER(TEXT(EDATE($D56,Milestones!$AA$102),"dd mmm yy"))&amp;" "&amp;Milestones!$AB$102&amp;" "&amp;IF(AND(Milestones!$AB$102="FT",Milestones!$AA$102=FT_Y5,EDATE($D56,Milestones!$AA$102)&lt;PolicyEff),1,Milestones!$AC$102)&amp;";  ","")&amp;IF(AND(EDATE($D56,Milestones!$AA$103)&lt;=AsOfDate,EDATE($D56,Milestones!$AA$103)&gt;=SchemeStart,IF($X56=0,$AD56,IF(AND($Z56&lt;&gt;"",EDATE($D56,Milestones!$AA$103)&gt;=$Z56),$AC56,IF(AND($Y56&lt;&gt;"",EDATE($D56,Milestones!$AA$103)&gt;=$Y56),$AB56,$AA56)))=Milestones!$AB$103),UPPER(TEXT(EDATE($D56,Milestones!$AA$103),"dd mmm yy"))&amp;" "&amp;Milestones!$AB$103&amp;" "&amp;IF(AND(Milestones!$AB$103="FT",Milestones!$AA$103=FT_Y5,EDATE($D56,Milestones!$AA$103)&lt;PolicyEff),1,Milestones!$AC$103)&amp;";  ",""))</f>
        <v/>
      </c>
      <c r="P56" s="0" t="str">
        <f aca="false">IF(OR($A56="",$D56=""),"",IF(AND(EDATE($D56,Milestones!$AA$104)&lt;=AsOfDate,EDATE($D56,Milestones!$AA$104)&gt;=SchemeStart,IF($X56=0,$AD56,IF(AND($Z56&lt;&gt;"",EDATE($D56,Milestones!$AA$104)&gt;=$Z56),$AC56,IF(AND($Y56&lt;&gt;"",EDATE($D56,Milestones!$AA$104)&gt;=$Y56),$AB56,$AA56)))=Milestones!$AB$104),UPPER(TEXT(EDATE($D56,Milestones!$AA$104),"dd mmm yy"))&amp;" "&amp;Milestones!$AB$104&amp;" "&amp;IF(AND(Milestones!$AB$104="FT",Milestones!$AA$104=FT_Y5,EDATE($D56,Milestones!$AA$104)&lt;PolicyEff),1,Milestones!$AC$104)&amp;";  ","")&amp;IF(AND(EDATE($D56,Milestones!$AA$105)&lt;=AsOfDate,EDATE($D56,Milestones!$AA$105)&gt;=SchemeStart,IF($X56=0,$AD56,IF(AND($Z56&lt;&gt;"",EDATE($D56,Milestones!$AA$105)&gt;=$Z56),$AC56,IF(AND($Y56&lt;&gt;"",EDATE($D56,Milestones!$AA$105)&gt;=$Y56),$AB56,$AA56)))=Milestones!$AB$105),UPPER(TEXT(EDATE($D56,Milestones!$AA$105),"dd mmm yy"))&amp;" "&amp;Milestones!$AB$105&amp;" "&amp;IF(AND(Milestones!$AB$105="FT",Milestones!$AA$105=FT_Y5,EDATE($D56,Milestones!$AA$105)&lt;PolicyEff),1,Milestones!$AC$105)&amp;";  ","")&amp;IF(AND(EDATE($D56,Milestones!$AA$106)&lt;=AsOfDate,EDATE($D56,Milestones!$AA$106)&gt;=SchemeStart,IF($X56=0,$AD56,IF(AND($Z56&lt;&gt;"",EDATE($D56,Milestones!$AA$106)&gt;=$Z56),$AC56,IF(AND($Y56&lt;&gt;"",EDATE($D56,Milestones!$AA$106)&gt;=$Y56),$AB56,$AA56)))=Milestones!$AB$106),UPPER(TEXT(EDATE($D56,Milestones!$AA$106),"dd mmm yy"))&amp;" "&amp;Milestones!$AB$106&amp;" "&amp;IF(AND(Milestones!$AB$106="FT",Milestones!$AA$106=FT_Y5,EDATE($D56,Milestones!$AA$106)&lt;PolicyEff),1,Milestones!$AC$106)&amp;";  ","")&amp;IF(AND(EDATE($D56,Milestones!$AA$107)&lt;=AsOfDate,EDATE($D56,Milestones!$AA$107)&gt;=SchemeStart,IF($X56=0,$AD56,IF(AND($Z56&lt;&gt;"",EDATE($D56,Milestones!$AA$107)&gt;=$Z56),$AC56,IF(AND($Y56&lt;&gt;"",EDATE($D56,Milestones!$AA$107)&gt;=$Y56),$AB56,$AA56)))=Milestones!$AB$107),UPPER(TEXT(EDATE($D56,Milestones!$AA$107),"dd mmm yy"))&amp;" "&amp;Milestones!$AB$107&amp;" "&amp;IF(AND(Milestones!$AB$107="FT",Milestones!$AA$107=FT_Y5,EDATE($D56,Milestones!$AA$107)&lt;PolicyEff),1,Milestones!$AC$107)&amp;";  ","")&amp;IF(AND(EDATE($D56,Milestones!$AA$108)&lt;=AsOfDate,EDATE($D56,Milestones!$AA$108)&gt;=SchemeStart,IF($X56=0,$AD56,IF(AND($Z56&lt;&gt;"",EDATE($D56,Milestones!$AA$108)&gt;=$Z56),$AC56,IF(AND($Y56&lt;&gt;"",EDATE($D56,Milestones!$AA$108)&gt;=$Y56),$AB56,$AA56)))=Milestones!$AB$108),UPPER(TEXT(EDATE($D56,Milestones!$AA$108),"dd mmm yy"))&amp;" "&amp;Milestones!$AB$108&amp;" "&amp;IF(AND(Milestones!$AB$108="FT",Milestones!$AA$108=FT_Y5,EDATE($D56,Milestones!$AA$108)&lt;PolicyEff),1,Milestones!$AC$108)&amp;";  ","")&amp;IF(AND(EDATE($D56,Milestones!$AA$109)&lt;=AsOfDate,EDATE($D56,Milestones!$AA$109)&gt;=SchemeStart,IF($X56=0,$AD56,IF(AND($Z56&lt;&gt;"",EDATE($D56,Milestones!$AA$109)&gt;=$Z56),$AC56,IF(AND($Y56&lt;&gt;"",EDATE($D56,Milestones!$AA$109)&gt;=$Y56),$AB56,$AA56)))=Milestones!$AB$109),UPPER(TEXT(EDATE($D56,Milestones!$AA$109),"dd mmm yy"))&amp;" "&amp;Milestones!$AB$109&amp;" "&amp;IF(AND(Milestones!$AB$109="FT",Milestones!$AA$109=FT_Y5,EDATE($D56,Milestones!$AA$109)&lt;PolicyEff),1,Milestones!$AC$109)&amp;";  ","")&amp;IF(AND(EDATE($D56,Milestones!$AA$110)&lt;=AsOfDate,EDATE($D56,Milestones!$AA$110)&gt;=SchemeStart,IF($X56=0,$AD56,IF(AND($Z56&lt;&gt;"",EDATE($D56,Milestones!$AA$110)&gt;=$Z56),$AC56,IF(AND($Y56&lt;&gt;"",EDATE($D56,Milestones!$AA$110)&gt;=$Y56),$AB56,$AA56)))=Milestones!$AB$110),UPPER(TEXT(EDATE($D56,Milestones!$AA$110),"dd mmm yy"))&amp;" "&amp;Milestones!$AB$110&amp;" "&amp;IF(AND(Milestones!$AB$110="FT",Milestones!$AA$110=FT_Y5,EDATE($D56,Milestones!$AA$110)&lt;PolicyEff),1,Milestones!$AC$110)&amp;";  ","")&amp;IF(AND(EDATE($D56,Milestones!$AA$111)&lt;=AsOfDate,EDATE($D56,Milestones!$AA$111)&gt;=SchemeStart,IF($X56=0,$AD56,IF(AND($Z56&lt;&gt;"",EDATE($D56,Milestones!$AA$111)&gt;=$Z56),$AC56,IF(AND($Y56&lt;&gt;"",EDATE($D56,Milestones!$AA$111)&gt;=$Y56),$AB56,$AA56)))=Milestones!$AB$111),UPPER(TEXT(EDATE($D56,Milestones!$AA$111),"dd mmm yy"))&amp;" "&amp;Milestones!$AB$111&amp;" "&amp;IF(AND(Milestones!$AB$111="FT",Milestones!$AA$111=FT_Y5,EDATE($D56,Milestones!$AA$111)&lt;PolicyEff),1,Milestones!$AC$111)&amp;";  ","")&amp;IF(AND(EDATE($D56,Milestones!$AA$112)&lt;=AsOfDate,EDATE($D56,Milestones!$AA$112)&gt;=SchemeStart,IF($X56=0,$AD56,IF(AND($Z56&lt;&gt;"",EDATE($D56,Milestones!$AA$112)&gt;=$Z56),$AC56,IF(AND($Y56&lt;&gt;"",EDATE($D56,Milestones!$AA$112)&gt;=$Y56),$AB56,$AA56)))=Milestones!$AB$112),UPPER(TEXT(EDATE($D56,Milestones!$AA$112),"dd mmm yy"))&amp;" "&amp;Milestones!$AB$112&amp;" "&amp;IF(AND(Milestones!$AB$112="FT",Milestones!$AA$112=FT_Y5,EDATE($D56,Milestones!$AA$112)&lt;PolicyEff),1,Milestones!$AC$112)&amp;";  ","")&amp;IF(AND(EDATE($D56,Milestones!$AA$113)&lt;=AsOfDate,EDATE($D56,Milestones!$AA$113)&gt;=SchemeStart,IF($X56=0,$AD56,IF(AND($Z56&lt;&gt;"",EDATE($D56,Milestones!$AA$113)&gt;=$Z56),$AC56,IF(AND($Y56&lt;&gt;"",EDATE($D56,Milestones!$AA$113)&gt;=$Y56),$AB56,$AA56)))=Milestones!$AB$113),UPPER(TEXT(EDATE($D56,Milestones!$AA$113),"dd mmm yy"))&amp;" "&amp;Milestones!$AB$113&amp;" "&amp;IF(AND(Milestones!$AB$113="FT",Milestones!$AA$113=FT_Y5,EDATE($D56,Milestones!$AA$113)&lt;PolicyEff),1,Milestones!$AC$113)&amp;";  ","")&amp;IF(AND(EDATE($D56,Milestones!$AA$114)&lt;=AsOfDate,EDATE($D56,Milestones!$AA$114)&gt;=SchemeStart,IF($X56=0,$AD56,IF(AND($Z56&lt;&gt;"",EDATE($D56,Milestones!$AA$114)&gt;=$Z56),$AC56,IF(AND($Y56&lt;&gt;"",EDATE($D56,Milestones!$AA$114)&gt;=$Y56),$AB56,$AA56)))=Milestones!$AB$114),UPPER(TEXT(EDATE($D56,Milestones!$AA$114),"dd mmm yy"))&amp;" "&amp;Milestones!$AB$114&amp;" "&amp;IF(AND(Milestones!$AB$114="FT",Milestones!$AA$114=FT_Y5,EDATE($D56,Milestones!$AA$114)&lt;PolicyEff),1,Milestones!$AC$114)&amp;";  ","")&amp;IF(AND(EDATE($D56,Milestones!$AA$115)&lt;=AsOfDate,EDATE($D56,Milestones!$AA$115)&gt;=SchemeStart,IF($X56=0,$AD56,IF(AND($Z56&lt;&gt;"",EDATE($D56,Milestones!$AA$115)&gt;=$Z56),$AC56,IF(AND($Y56&lt;&gt;"",EDATE($D56,Milestones!$AA$115)&gt;=$Y56),$AB56,$AA56)))=Milestones!$AB$115),UPPER(TEXT(EDATE($D56,Milestones!$AA$115),"dd mmm yy"))&amp;" "&amp;Milestones!$AB$115&amp;" "&amp;IF(AND(Milestones!$AB$115="FT",Milestones!$AA$115=FT_Y5,EDATE($D56,Milestones!$AA$115)&lt;PolicyEff),1,Milestones!$AC$115)&amp;";  ",""))</f>
        <v/>
      </c>
      <c r="Q56" s="0" t="str">
        <f aca="false">IF(OR($A56="",$D56=""),"",IF(AND(EDATE($D56,Milestones!$AA$116)&lt;=AsOfDate,EDATE($D56,Milestones!$AA$116)&gt;=SchemeStart,IF($X56=0,$AD56,IF(AND($Z56&lt;&gt;"",EDATE($D56,Milestones!$AA$116)&gt;=$Z56),$AC56,IF(AND($Y56&lt;&gt;"",EDATE($D56,Milestones!$AA$116)&gt;=$Y56),$AB56,$AA56)))=Milestones!$AB$116),UPPER(TEXT(EDATE($D56,Milestones!$AA$116),"dd mmm yy"))&amp;" "&amp;Milestones!$AB$116&amp;" "&amp;IF(AND(Milestones!$AB$116="FT",Milestones!$AA$116=FT_Y5,EDATE($D56,Milestones!$AA$116)&lt;PolicyEff),1,Milestones!$AC$116)&amp;";  ","")&amp;IF(AND(EDATE($D56,Milestones!$AA$117)&lt;=AsOfDate,EDATE($D56,Milestones!$AA$117)&gt;=SchemeStart,IF($X56=0,$AD56,IF(AND($Z56&lt;&gt;"",EDATE($D56,Milestones!$AA$117)&gt;=$Z56),$AC56,IF(AND($Y56&lt;&gt;"",EDATE($D56,Milestones!$AA$117)&gt;=$Y56),$AB56,$AA56)))=Milestones!$AB$117),UPPER(TEXT(EDATE($D56,Milestones!$AA$117),"dd mmm yy"))&amp;" "&amp;Milestones!$AB$117&amp;" "&amp;IF(AND(Milestones!$AB$117="FT",Milestones!$AA$117=FT_Y5,EDATE($D56,Milestones!$AA$117)&lt;PolicyEff),1,Milestones!$AC$117)&amp;";  ","")&amp;IF(AND(EDATE($D56,Milestones!$AA$118)&lt;=AsOfDate,EDATE($D56,Milestones!$AA$118)&gt;=SchemeStart,IF($X56=0,$AD56,IF(AND($Z56&lt;&gt;"",EDATE($D56,Milestones!$AA$118)&gt;=$Z56),$AC56,IF(AND($Y56&lt;&gt;"",EDATE($D56,Milestones!$AA$118)&gt;=$Y56),$AB56,$AA56)))=Milestones!$AB$118),UPPER(TEXT(EDATE($D56,Milestones!$AA$118),"dd mmm yy"))&amp;" "&amp;Milestones!$AB$118&amp;" "&amp;IF(AND(Milestones!$AB$118="FT",Milestones!$AA$118=FT_Y5,EDATE($D56,Milestones!$AA$118)&lt;PolicyEff),1,Milestones!$AC$118)&amp;";  ","")&amp;IF(AND(EDATE($D56,Milestones!$AA$119)&lt;=AsOfDate,EDATE($D56,Milestones!$AA$119)&gt;=SchemeStart,IF($X56=0,$AD56,IF(AND($Z56&lt;&gt;"",EDATE($D56,Milestones!$AA$119)&gt;=$Z56),$AC56,IF(AND($Y56&lt;&gt;"",EDATE($D56,Milestones!$AA$119)&gt;=$Y56),$AB56,$AA56)))=Milestones!$AB$119),UPPER(TEXT(EDATE($D56,Milestones!$AA$119),"dd mmm yy"))&amp;" "&amp;Milestones!$AB$119&amp;" "&amp;IF(AND(Milestones!$AB$119="FT",Milestones!$AA$119=FT_Y5,EDATE($D56,Milestones!$AA$119)&lt;PolicyEff),1,Milestones!$AC$119)&amp;";  ","")&amp;IF(AND(EDATE($D56,Milestones!$AA$120)&lt;=AsOfDate,EDATE($D56,Milestones!$AA$120)&gt;=SchemeStart,IF($X56=0,$AD56,IF(AND($Z56&lt;&gt;"",EDATE($D56,Milestones!$AA$120)&gt;=$Z56),$AC56,IF(AND($Y56&lt;&gt;"",EDATE($D56,Milestones!$AA$120)&gt;=$Y56),$AB56,$AA56)))=Milestones!$AB$120),UPPER(TEXT(EDATE($D56,Milestones!$AA$120),"dd mmm yy"))&amp;" "&amp;Milestones!$AB$120&amp;" "&amp;IF(AND(Milestones!$AB$120="FT",Milestones!$AA$120=FT_Y5,EDATE($D56,Milestones!$AA$120)&lt;PolicyEff),1,Milestones!$AC$120)&amp;";  ","")&amp;IF(AND(EDATE($D56,Milestones!$AA$121)&lt;=AsOfDate,EDATE($D56,Milestones!$AA$121)&gt;=SchemeStart,IF($X56=0,$AD56,IF(AND($Z56&lt;&gt;"",EDATE($D56,Milestones!$AA$121)&gt;=$Z56),$AC56,IF(AND($Y56&lt;&gt;"",EDATE($D56,Milestones!$AA$121)&gt;=$Y56),$AB56,$AA56)))=Milestones!$AB$121),UPPER(TEXT(EDATE($D56,Milestones!$AA$121),"dd mmm yy"))&amp;" "&amp;Milestones!$AB$121&amp;" "&amp;IF(AND(Milestones!$AB$121="FT",Milestones!$AA$121=FT_Y5,EDATE($D56,Milestones!$AA$121)&lt;PolicyEff),1,Milestones!$AC$121)&amp;";  ","")&amp;IF(AND(EDATE($D56,Milestones!$AA$122)&lt;=AsOfDate,EDATE($D56,Milestones!$AA$122)&gt;=SchemeStart,IF($X56=0,$AD56,IF(AND($Z56&lt;&gt;"",EDATE($D56,Milestones!$AA$122)&gt;=$Z56),$AC56,IF(AND($Y56&lt;&gt;"",EDATE($D56,Milestones!$AA$122)&gt;=$Y56),$AB56,$AA56)))=Milestones!$AB$122),UPPER(TEXT(EDATE($D56,Milestones!$AA$122),"dd mmm yy"))&amp;" "&amp;Milestones!$AB$122&amp;" "&amp;IF(AND(Milestones!$AB$122="FT",Milestones!$AA$122=FT_Y5,EDATE($D56,Milestones!$AA$122)&lt;PolicyEff),1,Milestones!$AC$122)&amp;";  ","")&amp;IF(AND(EDATE($D56,Milestones!$AA$123)&lt;=AsOfDate,EDATE($D56,Milestones!$AA$123)&gt;=SchemeStart,IF($X56=0,$AD56,IF(AND($Z56&lt;&gt;"",EDATE($D56,Milestones!$AA$123)&gt;=$Z56),$AC56,IF(AND($Y56&lt;&gt;"",EDATE($D56,Milestones!$AA$123)&gt;=$Y56),$AB56,$AA56)))=Milestones!$AB$123),UPPER(TEXT(EDATE($D56,Milestones!$AA$123),"dd mmm yy"))&amp;" "&amp;Milestones!$AB$123&amp;" "&amp;IF(AND(Milestones!$AB$123="FT",Milestones!$AA$123=FT_Y5,EDATE($D56,Milestones!$AA$123)&lt;PolicyEff),1,Milestones!$AC$123)&amp;";  ","")&amp;IF(AND(EDATE($D56,Milestones!$AA$124)&lt;=AsOfDate,EDATE($D56,Milestones!$AA$124)&gt;=SchemeStart,IF($X56=0,$AD56,IF(AND($Z56&lt;&gt;"",EDATE($D56,Milestones!$AA$124)&gt;=$Z56),$AC56,IF(AND($Y56&lt;&gt;"",EDATE($D56,Milestones!$AA$124)&gt;=$Y56),$AB56,$AA56)))=Milestones!$AB$124),UPPER(TEXT(EDATE($D56,Milestones!$AA$124),"dd mmm yy"))&amp;" "&amp;Milestones!$AB$124&amp;" "&amp;IF(AND(Milestones!$AB$124="FT",Milestones!$AA$124=FT_Y5,EDATE($D56,Milestones!$AA$124)&lt;PolicyEff),1,Milestones!$AC$124)&amp;";  ","")&amp;IF(AND(EDATE($D56,Milestones!$AA$125)&lt;=AsOfDate,EDATE($D56,Milestones!$AA$125)&gt;=SchemeStart,IF($X56=0,$AD56,IF(AND($Z56&lt;&gt;"",EDATE($D56,Milestones!$AA$125)&gt;=$Z56),$AC56,IF(AND($Y56&lt;&gt;"",EDATE($D56,Milestones!$AA$125)&gt;=$Y56),$AB56,$AA56)))=Milestones!$AB$125),UPPER(TEXT(EDATE($D56,Milestones!$AA$125),"dd mmm yy"))&amp;" "&amp;Milestones!$AB$125&amp;" "&amp;IF(AND(Milestones!$AB$125="FT",Milestones!$AA$125=FT_Y5,EDATE($D56,Milestones!$AA$125)&lt;PolicyEff),1,Milestones!$AC$125)&amp;";  ","")&amp;IF(AND(EDATE($D56,Milestones!$AA$126)&lt;=AsOfDate,EDATE($D56,Milestones!$AA$126)&gt;=SchemeStart,IF($X56=0,$AD56,IF(AND($Z56&lt;&gt;"",EDATE($D56,Milestones!$AA$126)&gt;=$Z56),$AC56,IF(AND($Y56&lt;&gt;"",EDATE($D56,Milestones!$AA$126)&gt;=$Y56),$AB56,$AA56)))=Milestones!$AB$126),UPPER(TEXT(EDATE($D56,Milestones!$AA$126),"dd mmm yy"))&amp;" "&amp;Milestones!$AB$126&amp;" "&amp;IF(AND(Milestones!$AB$126="FT",Milestones!$AA$126=FT_Y5,EDATE($D56,Milestones!$AA$126)&lt;PolicyEff),1,Milestones!$AC$126)&amp;";  ","")&amp;IF(AND(EDATE($D56,Milestones!$AA$127)&lt;=AsOfDate,EDATE($D56,Milestones!$AA$127)&gt;=SchemeStart,IF($X56=0,$AD56,IF(AND($Z56&lt;&gt;"",EDATE($D56,Milestones!$AA$127)&gt;=$Z56),$AC56,IF(AND($Y56&lt;&gt;"",EDATE($D56,Milestones!$AA$127)&gt;=$Y56),$AB56,$AA56)))=Milestones!$AB$127),UPPER(TEXT(EDATE($D56,Milestones!$AA$127),"dd mmm yy"))&amp;" "&amp;Milestones!$AB$127&amp;" "&amp;IF(AND(Milestones!$AB$127="FT",Milestones!$AA$127=FT_Y5,EDATE($D56,Milestones!$AA$127)&lt;PolicyEff),1,Milestones!$AC$127)&amp;";  ",""))</f>
        <v/>
      </c>
      <c r="R56" s="0" t="str">
        <f aca="false">IF(OR($A56="",$D56=""),"",IF(AND(EDATE($D56,Milestones!$AA$128)&lt;=AsOfDate,EDATE($D56,Milestones!$AA$128)&gt;=SchemeStart,IF($X56=0,$AD56,IF(AND($Z56&lt;&gt;"",EDATE($D56,Milestones!$AA$128)&gt;=$Z56),$AC56,IF(AND($Y56&lt;&gt;"",EDATE($D56,Milestones!$AA$128)&gt;=$Y56),$AB56,$AA56)))=Milestones!$AB$128),UPPER(TEXT(EDATE($D56,Milestones!$AA$128),"dd mmm yy"))&amp;" "&amp;Milestones!$AB$128&amp;" "&amp;IF(AND(Milestones!$AB$128="FT",Milestones!$AA$128=FT_Y5,EDATE($D56,Milestones!$AA$128)&lt;PolicyEff),1,Milestones!$AC$128)&amp;";  ","")&amp;IF(AND(EDATE($D56,Milestones!$AA$129)&lt;=AsOfDate,EDATE($D56,Milestones!$AA$129)&gt;=SchemeStart,IF($X56=0,$AD56,IF(AND($Z56&lt;&gt;"",EDATE($D56,Milestones!$AA$129)&gt;=$Z56),$AC56,IF(AND($Y56&lt;&gt;"",EDATE($D56,Milestones!$AA$129)&gt;=$Y56),$AB56,$AA56)))=Milestones!$AB$129),UPPER(TEXT(EDATE($D56,Milestones!$AA$129),"dd mmm yy"))&amp;" "&amp;Milestones!$AB$129&amp;" "&amp;IF(AND(Milestones!$AB$129="FT",Milestones!$AA$129=FT_Y5,EDATE($D56,Milestones!$AA$129)&lt;PolicyEff),1,Milestones!$AC$129)&amp;";  ","")&amp;IF(AND(EDATE($D56,Milestones!$AA$130)&lt;=AsOfDate,EDATE($D56,Milestones!$AA$130)&gt;=SchemeStart,IF($X56=0,$AD56,IF(AND($Z56&lt;&gt;"",EDATE($D56,Milestones!$AA$130)&gt;=$Z56),$AC56,IF(AND($Y56&lt;&gt;"",EDATE($D56,Milestones!$AA$130)&gt;=$Y56),$AB56,$AA56)))=Milestones!$AB$130),UPPER(TEXT(EDATE($D56,Milestones!$AA$130),"dd mmm yy"))&amp;" "&amp;Milestones!$AB$130&amp;" "&amp;IF(AND(Milestones!$AB$130="FT",Milestones!$AA$130=FT_Y5,EDATE($D56,Milestones!$AA$130)&lt;PolicyEff),1,Milestones!$AC$130)&amp;";  ","")&amp;IF(AND(EDATE($D56,Milestones!$AA$131)&lt;=AsOfDate,EDATE($D56,Milestones!$AA$131)&gt;=SchemeStart,IF($X56=0,$AD56,IF(AND($Z56&lt;&gt;"",EDATE($D56,Milestones!$AA$131)&gt;=$Z56),$AC56,IF(AND($Y56&lt;&gt;"",EDATE($D56,Milestones!$AA$131)&gt;=$Y56),$AB56,$AA56)))=Milestones!$AB$131),UPPER(TEXT(EDATE($D56,Milestones!$AA$131),"dd mmm yy"))&amp;" "&amp;Milestones!$AB$131&amp;" "&amp;IF(AND(Milestones!$AB$131="FT",Milestones!$AA$131=FT_Y5,EDATE($D56,Milestones!$AA$131)&lt;PolicyEff),1,Milestones!$AC$131)&amp;";  ","")&amp;IF(AND(EDATE($D56,Milestones!$AA$132)&lt;=AsOfDate,EDATE($D56,Milestones!$AA$132)&gt;=SchemeStart,IF($X56=0,$AD56,IF(AND($Z56&lt;&gt;"",EDATE($D56,Milestones!$AA$132)&gt;=$Z56),$AC56,IF(AND($Y56&lt;&gt;"",EDATE($D56,Milestones!$AA$132)&gt;=$Y56),$AB56,$AA56)))=Milestones!$AB$132),UPPER(TEXT(EDATE($D56,Milestones!$AA$132),"dd mmm yy"))&amp;" "&amp;Milestones!$AB$132&amp;" "&amp;IF(AND(Milestones!$AB$132="FT",Milestones!$AA$132=FT_Y5,EDATE($D56,Milestones!$AA$132)&lt;PolicyEff),1,Milestones!$AC$132)&amp;";  ","")&amp;IF(AND(EDATE($D56,Milestones!$AA$133)&lt;=AsOfDate,EDATE($D56,Milestones!$AA$133)&gt;=SchemeStart,IF($X56=0,$AD56,IF(AND($Z56&lt;&gt;"",EDATE($D56,Milestones!$AA$133)&gt;=$Z56),$AC56,IF(AND($Y56&lt;&gt;"",EDATE($D56,Milestones!$AA$133)&gt;=$Y56),$AB56,$AA56)))=Milestones!$AB$133),UPPER(TEXT(EDATE($D56,Milestones!$AA$133),"dd mmm yy"))&amp;" "&amp;Milestones!$AB$133&amp;" "&amp;IF(AND(Milestones!$AB$133="FT",Milestones!$AA$133=FT_Y5,EDATE($D56,Milestones!$AA$133)&lt;PolicyEff),1,Milestones!$AC$133)&amp;";  ","")&amp;IF(AND(EDATE($D56,Milestones!$AA$134)&lt;=AsOfDate,EDATE($D56,Milestones!$AA$134)&gt;=SchemeStart,IF($X56=0,$AD56,IF(AND($Z56&lt;&gt;"",EDATE($D56,Milestones!$AA$134)&gt;=$Z56),$AC56,IF(AND($Y56&lt;&gt;"",EDATE($D56,Milestones!$AA$134)&gt;=$Y56),$AB56,$AA56)))=Milestones!$AB$134),UPPER(TEXT(EDATE($D56,Milestones!$AA$134),"dd mmm yy"))&amp;" "&amp;Milestones!$AB$134&amp;" "&amp;IF(AND(Milestones!$AB$134="FT",Milestones!$AA$134=FT_Y5,EDATE($D56,Milestones!$AA$134)&lt;PolicyEff),1,Milestones!$AC$134)&amp;";  ","")&amp;IF(AND(EDATE($D56,Milestones!$AA$135)&lt;=AsOfDate,EDATE($D56,Milestones!$AA$135)&gt;=SchemeStart,IF($X56=0,$AD56,IF(AND($Z56&lt;&gt;"",EDATE($D56,Milestones!$AA$135)&gt;=$Z56),$AC56,IF(AND($Y56&lt;&gt;"",EDATE($D56,Milestones!$AA$135)&gt;=$Y56),$AB56,$AA56)))=Milestones!$AB$135),UPPER(TEXT(EDATE($D56,Milestones!$AA$135),"dd mmm yy"))&amp;" "&amp;Milestones!$AB$135&amp;" "&amp;IF(AND(Milestones!$AB$135="FT",Milestones!$AA$135=FT_Y5,EDATE($D56,Milestones!$AA$135)&lt;PolicyEff),1,Milestones!$AC$135)&amp;";  ","")&amp;IF(AND(EDATE($D56,Milestones!$AA$136)&lt;=AsOfDate,EDATE($D56,Milestones!$AA$136)&gt;=SchemeStart,IF($X56=0,$AD56,IF(AND($Z56&lt;&gt;"",EDATE($D56,Milestones!$AA$136)&gt;=$Z56),$AC56,IF(AND($Y56&lt;&gt;"",EDATE($D56,Milestones!$AA$136)&gt;=$Y56),$AB56,$AA56)))=Milestones!$AB$136),UPPER(TEXT(EDATE($D56,Milestones!$AA$136),"dd mmm yy"))&amp;" "&amp;Milestones!$AB$136&amp;" "&amp;IF(AND(Milestones!$AB$136="FT",Milestones!$AA$136=FT_Y5,EDATE($D56,Milestones!$AA$136)&lt;PolicyEff),1,Milestones!$AC$136)&amp;";  ","")&amp;IF(AND(EDATE($D56,Milestones!$AA$137)&lt;=AsOfDate,EDATE($D56,Milestones!$AA$137)&gt;=SchemeStart,IF($X56=0,$AD56,IF(AND($Z56&lt;&gt;"",EDATE($D56,Milestones!$AA$137)&gt;=$Z56),$AC56,IF(AND($Y56&lt;&gt;"",EDATE($D56,Milestones!$AA$137)&gt;=$Y56),$AB56,$AA56)))=Milestones!$AB$137),UPPER(TEXT(EDATE($D56,Milestones!$AA$137),"dd mmm yy"))&amp;" "&amp;Milestones!$AB$137&amp;" "&amp;IF(AND(Milestones!$AB$137="FT",Milestones!$AA$137=FT_Y5,EDATE($D56,Milestones!$AA$137)&lt;PolicyEff),1,Milestones!$AC$137)&amp;";  ","")&amp;IF(AND(EDATE($D56,Milestones!$AA$138)&lt;=AsOfDate,EDATE($D56,Milestones!$AA$138)&gt;=SchemeStart,IF($X56=0,$AD56,IF(AND($Z56&lt;&gt;"",EDATE($D56,Milestones!$AA$138)&gt;=$Z56),$AC56,IF(AND($Y56&lt;&gt;"",EDATE($D56,Milestones!$AA$138)&gt;=$Y56),$AB56,$AA56)))=Milestones!$AB$138),UPPER(TEXT(EDATE($D56,Milestones!$AA$138),"dd mmm yy"))&amp;" "&amp;Milestones!$AB$138&amp;" "&amp;IF(AND(Milestones!$AB$138="FT",Milestones!$AA$138=FT_Y5,EDATE($D56,Milestones!$AA$138)&lt;PolicyEff),1,Milestones!$AC$138)&amp;";  ","")&amp;IF(AND(EDATE($D56,Milestones!$AA$139)&lt;=AsOfDate,EDATE($D56,Milestones!$AA$139)&gt;=SchemeStart,IF($X56=0,$AD56,IF(AND($Z56&lt;&gt;"",EDATE($D56,Milestones!$AA$139)&gt;=$Z56),$AC56,IF(AND($Y56&lt;&gt;"",EDATE($D56,Milestones!$AA$139)&gt;=$Y56),$AB56,$AA56)))=Milestones!$AB$139),UPPER(TEXT(EDATE($D56,Milestones!$AA$139),"dd mmm yy"))&amp;" "&amp;Milestones!$AB$139&amp;" "&amp;IF(AND(Milestones!$AB$139="FT",Milestones!$AA$139=FT_Y5,EDATE($D56,Milestones!$AA$139)&lt;PolicyEff),1,Milestones!$AC$139)&amp;";  ",""))</f>
        <v/>
      </c>
      <c r="S56" s="0" t="str">
        <f aca="false">IF(OR($A56="",$D56=""),"",IF(AND(EDATE($D56,Milestones!$AA$140)&lt;=AsOfDate,EDATE($D56,Milestones!$AA$140)&gt;=SchemeStart,IF($X56=0,$AD56,IF(AND($Z56&lt;&gt;"",EDATE($D56,Milestones!$AA$140)&gt;=$Z56),$AC56,IF(AND($Y56&lt;&gt;"",EDATE($D56,Milestones!$AA$140)&gt;=$Y56),$AB56,$AA56)))=Milestones!$AB$140),UPPER(TEXT(EDATE($D56,Milestones!$AA$140),"dd mmm yy"))&amp;" "&amp;Milestones!$AB$140&amp;" "&amp;IF(AND(Milestones!$AB$140="FT",Milestones!$AA$140=FT_Y5,EDATE($D56,Milestones!$AA$140)&lt;PolicyEff),1,Milestones!$AC$140)&amp;";  ","")&amp;IF(AND(EDATE($D56,Milestones!$AA$141)&lt;=AsOfDate,EDATE($D56,Milestones!$AA$141)&gt;=SchemeStart,IF($X56=0,$AD56,IF(AND($Z56&lt;&gt;"",EDATE($D56,Milestones!$AA$141)&gt;=$Z56),$AC56,IF(AND($Y56&lt;&gt;"",EDATE($D56,Milestones!$AA$141)&gt;=$Y56),$AB56,$AA56)))=Milestones!$AB$141),UPPER(TEXT(EDATE($D56,Milestones!$AA$141),"dd mmm yy"))&amp;" "&amp;Milestones!$AB$141&amp;" "&amp;IF(AND(Milestones!$AB$141="FT",Milestones!$AA$141=FT_Y5,EDATE($D56,Milestones!$AA$141)&lt;PolicyEff),1,Milestones!$AC$141)&amp;";  ","")&amp;IF(AND(EDATE($D56,Milestones!$AA$142)&lt;=AsOfDate,EDATE($D56,Milestones!$AA$142)&gt;=SchemeStart,IF($X56=0,$AD56,IF(AND($Z56&lt;&gt;"",EDATE($D56,Milestones!$AA$142)&gt;=$Z56),$AC56,IF(AND($Y56&lt;&gt;"",EDATE($D56,Milestones!$AA$142)&gt;=$Y56),$AB56,$AA56)))=Milestones!$AB$142),UPPER(TEXT(EDATE($D56,Milestones!$AA$142),"dd mmm yy"))&amp;" "&amp;Milestones!$AB$142&amp;" "&amp;IF(AND(Milestones!$AB$142="FT",Milestones!$AA$142=FT_Y5,EDATE($D56,Milestones!$AA$142)&lt;PolicyEff),1,Milestones!$AC$142)&amp;";  ","")&amp;IF(AND(EDATE($D56,Milestones!$AA$143)&lt;=AsOfDate,EDATE($D56,Milestones!$AA$143)&gt;=SchemeStart,IF($X56=0,$AD56,IF(AND($Z56&lt;&gt;"",EDATE($D56,Milestones!$AA$143)&gt;=$Z56),$AC56,IF(AND($Y56&lt;&gt;"",EDATE($D56,Milestones!$AA$143)&gt;=$Y56),$AB56,$AA56)))=Milestones!$AB$143),UPPER(TEXT(EDATE($D56,Milestones!$AA$143),"dd mmm yy"))&amp;" "&amp;Milestones!$AB$143&amp;" "&amp;IF(AND(Milestones!$AB$143="FT",Milestones!$AA$143=FT_Y5,EDATE($D56,Milestones!$AA$143)&lt;PolicyEff),1,Milestones!$AC$143)&amp;";  ","")&amp;IF(AND(EDATE($D56,Milestones!$AA$144)&lt;=AsOfDate,EDATE($D56,Milestones!$AA$144)&gt;=SchemeStart,IF($X56=0,$AD56,IF(AND($Z56&lt;&gt;"",EDATE($D56,Milestones!$AA$144)&gt;=$Z56),$AC56,IF(AND($Y56&lt;&gt;"",EDATE($D56,Milestones!$AA$144)&gt;=$Y56),$AB56,$AA56)))=Milestones!$AB$144),UPPER(TEXT(EDATE($D56,Milestones!$AA$144),"dd mmm yy"))&amp;" "&amp;Milestones!$AB$144&amp;" "&amp;IF(AND(Milestones!$AB$144="FT",Milestones!$AA$144=FT_Y5,EDATE($D56,Milestones!$AA$144)&lt;PolicyEff),1,Milestones!$AC$144)&amp;";  ","")&amp;IF(AND(EDATE($D56,Milestones!$AA$145)&lt;=AsOfDate,EDATE($D56,Milestones!$AA$145)&gt;=SchemeStart,IF($X56=0,$AD56,IF(AND($Z56&lt;&gt;"",EDATE($D56,Milestones!$AA$145)&gt;=$Z56),$AC56,IF(AND($Y56&lt;&gt;"",EDATE($D56,Milestones!$AA$145)&gt;=$Y56),$AB56,$AA56)))=Milestones!$AB$145),UPPER(TEXT(EDATE($D56,Milestones!$AA$145),"dd mmm yy"))&amp;" "&amp;Milestones!$AB$145&amp;" "&amp;IF(AND(Milestones!$AB$145="FT",Milestones!$AA$145=FT_Y5,EDATE($D56,Milestones!$AA$145)&lt;PolicyEff),1,Milestones!$AC$145)&amp;";  ","")&amp;IF(AND(EDATE($D56,Milestones!$AA$146)&lt;=AsOfDate,EDATE($D56,Milestones!$AA$146)&gt;=SchemeStart,IF($X56=0,$AD56,IF(AND($Z56&lt;&gt;"",EDATE($D56,Milestones!$AA$146)&gt;=$Z56),$AC56,IF(AND($Y56&lt;&gt;"",EDATE($D56,Milestones!$AA$146)&gt;=$Y56),$AB56,$AA56)))=Milestones!$AB$146),UPPER(TEXT(EDATE($D56,Milestones!$AA$146),"dd mmm yy"))&amp;" "&amp;Milestones!$AB$146&amp;" "&amp;IF(AND(Milestones!$AB$146="FT",Milestones!$AA$146=FT_Y5,EDATE($D56,Milestones!$AA$146)&lt;PolicyEff),1,Milestones!$AC$146)&amp;";  ","")&amp;IF(AND(EDATE($D56,Milestones!$AA$147)&lt;=AsOfDate,EDATE($D56,Milestones!$AA$147)&gt;=SchemeStart,IF($X56=0,$AD56,IF(AND($Z56&lt;&gt;"",EDATE($D56,Milestones!$AA$147)&gt;=$Z56),$AC56,IF(AND($Y56&lt;&gt;"",EDATE($D56,Milestones!$AA$147)&gt;=$Y56),$AB56,$AA56)))=Milestones!$AB$147),UPPER(TEXT(EDATE($D56,Milestones!$AA$147),"dd mmm yy"))&amp;" "&amp;Milestones!$AB$147&amp;" "&amp;IF(AND(Milestones!$AB$147="FT",Milestones!$AA$147=FT_Y5,EDATE($D56,Milestones!$AA$147)&lt;PolicyEff),1,Milestones!$AC$147)&amp;";  ","")&amp;IF(AND(EDATE($D56,Milestones!$AA$148)&lt;=AsOfDate,EDATE($D56,Milestones!$AA$148)&gt;=SchemeStart,IF($X56=0,$AD56,IF(AND($Z56&lt;&gt;"",EDATE($D56,Milestones!$AA$148)&gt;=$Z56),$AC56,IF(AND($Y56&lt;&gt;"",EDATE($D56,Milestones!$AA$148)&gt;=$Y56),$AB56,$AA56)))=Milestones!$AB$148),UPPER(TEXT(EDATE($D56,Milestones!$AA$148),"dd mmm yy"))&amp;" "&amp;Milestones!$AB$148&amp;" "&amp;IF(AND(Milestones!$AB$148="FT",Milestones!$AA$148=FT_Y5,EDATE($D56,Milestones!$AA$148)&lt;PolicyEff),1,Milestones!$AC$148)&amp;";  ","")&amp;IF(AND(EDATE($D56,Milestones!$AA$149)&lt;=AsOfDate,EDATE($D56,Milestones!$AA$149)&gt;=SchemeStart,IF($X56=0,$AD56,IF(AND($Z56&lt;&gt;"",EDATE($D56,Milestones!$AA$149)&gt;=$Z56),$AC56,IF(AND($Y56&lt;&gt;"",EDATE($D56,Milestones!$AA$149)&gt;=$Y56),$AB56,$AA56)))=Milestones!$AB$149),UPPER(TEXT(EDATE($D56,Milestones!$AA$149),"dd mmm yy"))&amp;" "&amp;Milestones!$AB$149&amp;" "&amp;IF(AND(Milestones!$AB$149="FT",Milestones!$AA$149=FT_Y5,EDATE($D56,Milestones!$AA$149)&lt;PolicyEff),1,Milestones!$AC$149)&amp;";  ","")&amp;IF(AND(EDATE($D56,Milestones!$AA$150)&lt;=AsOfDate,EDATE($D56,Milestones!$AA$150)&gt;=SchemeStart,IF($X56=0,$AD56,IF(AND($Z56&lt;&gt;"",EDATE($D56,Milestones!$AA$150)&gt;=$Z56),$AC56,IF(AND($Y56&lt;&gt;"",EDATE($D56,Milestones!$AA$150)&gt;=$Y56),$AB56,$AA56)))=Milestones!$AB$150),UPPER(TEXT(EDATE($D56,Milestones!$AA$150),"dd mmm yy"))&amp;" "&amp;Milestones!$AB$150&amp;" "&amp;IF(AND(Milestones!$AB$150="FT",Milestones!$AA$150=FT_Y5,EDATE($D56,Milestones!$AA$150)&lt;PolicyEff),1,Milestones!$AC$150)&amp;";  ","")&amp;IF(AND(EDATE($D56,Milestones!$AA$151)&lt;=AsOfDate,EDATE($D56,Milestones!$AA$151)&gt;=SchemeStart,IF($X56=0,$AD56,IF(AND($Z56&lt;&gt;"",EDATE($D56,Milestones!$AA$151)&gt;=$Z56),$AC56,IF(AND($Y56&lt;&gt;"",EDATE($D56,Milestones!$AA$151)&gt;=$Y56),$AB56,$AA56)))=Milestones!$AB$151),UPPER(TEXT(EDATE($D56,Milestones!$AA$151),"dd mmm yy"))&amp;" "&amp;Milestones!$AB$151&amp;" "&amp;IF(AND(Milestones!$AB$151="FT",Milestones!$AA$151=FT_Y5,EDATE($D56,Milestones!$AA$151)&lt;PolicyEff),1,Milestones!$AC$151)&amp;";  ",""))</f>
        <v/>
      </c>
      <c r="T56" s="0" t="str">
        <f aca="false">IF(OR($A56="",$D56=""),"",IF(AND(EDATE($D56,Milestones!$AA$152)&lt;=AsOfDate,EDATE($D56,Milestones!$AA$152)&gt;=SchemeStart,IF($X56=0,$AD56,IF(AND($Z56&lt;&gt;"",EDATE($D56,Milestones!$AA$152)&gt;=$Z56),$AC56,IF(AND($Y56&lt;&gt;"",EDATE($D56,Milestones!$AA$152)&gt;=$Y56),$AB56,$AA56)))=Milestones!$AB$152),UPPER(TEXT(EDATE($D56,Milestones!$AA$152),"dd mmm yy"))&amp;" "&amp;Milestones!$AB$152&amp;" "&amp;IF(AND(Milestones!$AB$152="FT",Milestones!$AA$152=FT_Y5,EDATE($D56,Milestones!$AA$152)&lt;PolicyEff),1,Milestones!$AC$152)&amp;";  ","")&amp;IF(AND(EDATE($D56,Milestones!$AA$153)&lt;=AsOfDate,EDATE($D56,Milestones!$AA$153)&gt;=SchemeStart,IF($X56=0,$AD56,IF(AND($Z56&lt;&gt;"",EDATE($D56,Milestones!$AA$153)&gt;=$Z56),$AC56,IF(AND($Y56&lt;&gt;"",EDATE($D56,Milestones!$AA$153)&gt;=$Y56),$AB56,$AA56)))=Milestones!$AB$153),UPPER(TEXT(EDATE($D56,Milestones!$AA$153),"dd mmm yy"))&amp;" "&amp;Milestones!$AB$153&amp;" "&amp;IF(AND(Milestones!$AB$153="FT",Milestones!$AA$153=FT_Y5,EDATE($D56,Milestones!$AA$153)&lt;PolicyEff),1,Milestones!$AC$153)&amp;";  ","")&amp;IF(AND(EDATE($D56,Milestones!$AA$154)&lt;=AsOfDate,EDATE($D56,Milestones!$AA$154)&gt;=SchemeStart,IF($X56=0,$AD56,IF(AND($Z56&lt;&gt;"",EDATE($D56,Milestones!$AA$154)&gt;=$Z56),$AC56,IF(AND($Y56&lt;&gt;"",EDATE($D56,Milestones!$AA$154)&gt;=$Y56),$AB56,$AA56)))=Milestones!$AB$154),UPPER(TEXT(EDATE($D56,Milestones!$AA$154),"dd mmm yy"))&amp;" "&amp;Milestones!$AB$154&amp;" "&amp;IF(AND(Milestones!$AB$154="FT",Milestones!$AA$154=FT_Y5,EDATE($D56,Milestones!$AA$154)&lt;PolicyEff),1,Milestones!$AC$154)&amp;";  ","")&amp;IF(AND(EDATE($D56,Milestones!$AA$155)&lt;=AsOfDate,EDATE($D56,Milestones!$AA$155)&gt;=SchemeStart,IF($X56=0,$AD56,IF(AND($Z56&lt;&gt;"",EDATE($D56,Milestones!$AA$155)&gt;=$Z56),$AC56,IF(AND($Y56&lt;&gt;"",EDATE($D56,Milestones!$AA$155)&gt;=$Y56),$AB56,$AA56)))=Milestones!$AB$155),UPPER(TEXT(EDATE($D56,Milestones!$AA$155),"dd mmm yy"))&amp;" "&amp;Milestones!$AB$155&amp;" "&amp;IF(AND(Milestones!$AB$155="FT",Milestones!$AA$155=FT_Y5,EDATE($D56,Milestones!$AA$155)&lt;PolicyEff),1,Milestones!$AC$155)&amp;";  ","")&amp;IF(AND(EDATE($D56,Milestones!$AA$156)&lt;=AsOfDate,EDATE($D56,Milestones!$AA$156)&gt;=SchemeStart,IF($X56=0,$AD56,IF(AND($Z56&lt;&gt;"",EDATE($D56,Milestones!$AA$156)&gt;=$Z56),$AC56,IF(AND($Y56&lt;&gt;"",EDATE($D56,Milestones!$AA$156)&gt;=$Y56),$AB56,$AA56)))=Milestones!$AB$156),UPPER(TEXT(EDATE($D56,Milestones!$AA$156),"dd mmm yy"))&amp;" "&amp;Milestones!$AB$156&amp;" "&amp;IF(AND(Milestones!$AB$156="FT",Milestones!$AA$156=FT_Y5,EDATE($D56,Milestones!$AA$156)&lt;PolicyEff),1,Milestones!$AC$156)&amp;";  ","")&amp;IF(AND(EDATE($D56,Milestones!$AA$157)&lt;=AsOfDate,EDATE($D56,Milestones!$AA$157)&gt;=SchemeStart,IF($X56=0,$AD56,IF(AND($Z56&lt;&gt;"",EDATE($D56,Milestones!$AA$157)&gt;=$Z56),$AC56,IF(AND($Y56&lt;&gt;"",EDATE($D56,Milestones!$AA$157)&gt;=$Y56),$AB56,$AA56)))=Milestones!$AB$157),UPPER(TEXT(EDATE($D56,Milestones!$AA$157),"dd mmm yy"))&amp;" "&amp;Milestones!$AB$157&amp;" "&amp;IF(AND(Milestones!$AB$157="FT",Milestones!$AA$157=FT_Y5,EDATE($D56,Milestones!$AA$157)&lt;PolicyEff),1,Milestones!$AC$157)&amp;";  ","")&amp;IF(AND(EDATE($D56,Milestones!$AA$158)&lt;=AsOfDate,EDATE($D56,Milestones!$AA$158)&gt;=SchemeStart,IF($X56=0,$AD56,IF(AND($Z56&lt;&gt;"",EDATE($D56,Milestones!$AA$158)&gt;=$Z56),$AC56,IF(AND($Y56&lt;&gt;"",EDATE($D56,Milestones!$AA$158)&gt;=$Y56),$AB56,$AA56)))=Milestones!$AB$158),UPPER(TEXT(EDATE($D56,Milestones!$AA$158),"dd mmm yy"))&amp;" "&amp;Milestones!$AB$158&amp;" "&amp;IF(AND(Milestones!$AB$158="FT",Milestones!$AA$158=FT_Y5,EDATE($D56,Milestones!$AA$158)&lt;PolicyEff),1,Milestones!$AC$158)&amp;";  ","")&amp;IF(AND(EDATE($D56,Milestones!$AA$159)&lt;=AsOfDate,EDATE($D56,Milestones!$AA$159)&gt;=SchemeStart,IF($X56=0,$AD56,IF(AND($Z56&lt;&gt;"",EDATE($D56,Milestones!$AA$159)&gt;=$Z56),$AC56,IF(AND($Y56&lt;&gt;"",EDATE($D56,Milestones!$AA$159)&gt;=$Y56),$AB56,$AA56)))=Milestones!$AB$159),UPPER(TEXT(EDATE($D56,Milestones!$AA$159),"dd mmm yy"))&amp;" "&amp;Milestones!$AB$159&amp;" "&amp;IF(AND(Milestones!$AB$159="FT",Milestones!$AA$159=FT_Y5,EDATE($D56,Milestones!$AA$159)&lt;PolicyEff),1,Milestones!$AC$159)&amp;";  ","")&amp;IF(AND(EDATE($D56,Milestones!$AA$160)&lt;=AsOfDate,EDATE($D56,Milestones!$AA$160)&gt;=SchemeStart,IF($X56=0,$AD56,IF(AND($Z56&lt;&gt;"",EDATE($D56,Milestones!$AA$160)&gt;=$Z56),$AC56,IF(AND($Y56&lt;&gt;"",EDATE($D56,Milestones!$AA$160)&gt;=$Y56),$AB56,$AA56)))=Milestones!$AB$160),UPPER(TEXT(EDATE($D56,Milestones!$AA$160),"dd mmm yy"))&amp;" "&amp;Milestones!$AB$160&amp;" "&amp;IF(AND(Milestones!$AB$160="FT",Milestones!$AA$160=FT_Y5,EDATE($D56,Milestones!$AA$160)&lt;PolicyEff),1,Milestones!$AC$160)&amp;";  ","")&amp;IF(AND(EDATE($D56,Milestones!$AA$161)&lt;=AsOfDate,EDATE($D56,Milestones!$AA$161)&gt;=SchemeStart,IF($X56=0,$AD56,IF(AND($Z56&lt;&gt;"",EDATE($D56,Milestones!$AA$161)&gt;=$Z56),$AC56,IF(AND($Y56&lt;&gt;"",EDATE($D56,Milestones!$AA$161)&gt;=$Y56),$AB56,$AA56)))=Milestones!$AB$161),UPPER(TEXT(EDATE($D56,Milestones!$AA$161),"dd mmm yy"))&amp;" "&amp;Milestones!$AB$161&amp;" "&amp;IF(AND(Milestones!$AB$161="FT",Milestones!$AA$161=FT_Y5,EDATE($D56,Milestones!$AA$161)&lt;PolicyEff),1,Milestones!$AC$161)&amp;";  ","")&amp;IF(AND(EDATE($D56,Milestones!$AA$162)&lt;=AsOfDate,EDATE($D56,Milestones!$AA$162)&gt;=SchemeStart,IF($X56=0,$AD56,IF(AND($Z56&lt;&gt;"",EDATE($D56,Milestones!$AA$162)&gt;=$Z56),$AC56,IF(AND($Y56&lt;&gt;"",EDATE($D56,Milestones!$AA$162)&gt;=$Y56),$AB56,$AA56)))=Milestones!$AB$162),UPPER(TEXT(EDATE($D56,Milestones!$AA$162),"dd mmm yy"))&amp;" "&amp;Milestones!$AB$162&amp;" "&amp;IF(AND(Milestones!$AB$162="FT",Milestones!$AA$162=FT_Y5,EDATE($D56,Milestones!$AA$162)&lt;PolicyEff),1,Milestones!$AC$162)&amp;";  ","")&amp;IF(AND(EDATE($D56,Milestones!$AA$163)&lt;=AsOfDate,EDATE($D56,Milestones!$AA$163)&gt;=SchemeStart,IF($X56=0,$AD56,IF(AND($Z56&lt;&gt;"",EDATE($D56,Milestones!$AA$163)&gt;=$Z56),$AC56,IF(AND($Y56&lt;&gt;"",EDATE($D56,Milestones!$AA$163)&gt;=$Y56),$AB56,$AA56)))=Milestones!$AB$163),UPPER(TEXT(EDATE($D56,Milestones!$AA$163),"dd mmm yy"))&amp;" "&amp;Milestones!$AB$163&amp;" "&amp;IF(AND(Milestones!$AB$163="FT",Milestones!$AA$163=FT_Y5,EDATE($D56,Milestones!$AA$163)&lt;PolicyEff),1,Milestones!$AC$163)&amp;";  ",""))</f>
        <v/>
      </c>
      <c r="U56" s="0" t="str">
        <f aca="false">IF(OR($A56="",$D56=""),"",IF(AND(EDATE($D56,Milestones!$AA$164)&lt;=AsOfDate,EDATE($D56,Milestones!$AA$164)&gt;=SchemeStart,IF($X56=0,$AD56,IF(AND($Z56&lt;&gt;"",EDATE($D56,Milestones!$AA$164)&gt;=$Z56),$AC56,IF(AND($Y56&lt;&gt;"",EDATE($D56,Milestones!$AA$164)&gt;=$Y56),$AB56,$AA56)))=Milestones!$AB$164),UPPER(TEXT(EDATE($D56,Milestones!$AA$164),"dd mmm yy"))&amp;" "&amp;Milestones!$AB$164&amp;" "&amp;IF(AND(Milestones!$AB$164="FT",Milestones!$AA$164=FT_Y5,EDATE($D56,Milestones!$AA$164)&lt;PolicyEff),1,Milestones!$AC$164)&amp;";  ","")&amp;IF(AND(EDATE($D56,Milestones!$AA$165)&lt;=AsOfDate,EDATE($D56,Milestones!$AA$165)&gt;=SchemeStart,IF($X56=0,$AD56,IF(AND($Z56&lt;&gt;"",EDATE($D56,Milestones!$AA$165)&gt;=$Z56),$AC56,IF(AND($Y56&lt;&gt;"",EDATE($D56,Milestones!$AA$165)&gt;=$Y56),$AB56,$AA56)))=Milestones!$AB$165),UPPER(TEXT(EDATE($D56,Milestones!$AA$165),"dd mmm yy"))&amp;" "&amp;Milestones!$AB$165&amp;" "&amp;IF(AND(Milestones!$AB$165="FT",Milestones!$AA$165=FT_Y5,EDATE($D56,Milestones!$AA$165)&lt;PolicyEff),1,Milestones!$AC$165)&amp;";  ","")&amp;IF(AND(EDATE($D56,Milestones!$AA$166)&lt;=AsOfDate,EDATE($D56,Milestones!$AA$166)&gt;=SchemeStart,IF($X56=0,$AD56,IF(AND($Z56&lt;&gt;"",EDATE($D56,Milestones!$AA$166)&gt;=$Z56),$AC56,IF(AND($Y56&lt;&gt;"",EDATE($D56,Milestones!$AA$166)&gt;=$Y56),$AB56,$AA56)))=Milestones!$AB$166),UPPER(TEXT(EDATE($D56,Milestones!$AA$166),"dd mmm yy"))&amp;" "&amp;Milestones!$AB$166&amp;" "&amp;IF(AND(Milestones!$AB$166="FT",Milestones!$AA$166=FT_Y5,EDATE($D56,Milestones!$AA$166)&lt;PolicyEff),1,Milestones!$AC$166)&amp;";  ","")&amp;IF(AND(EDATE($D56,Milestones!$AA$167)&lt;=AsOfDate,EDATE($D56,Milestones!$AA$167)&gt;=SchemeStart,IF($X56=0,$AD56,IF(AND($Z56&lt;&gt;"",EDATE($D56,Milestones!$AA$167)&gt;=$Z56),$AC56,IF(AND($Y56&lt;&gt;"",EDATE($D56,Milestones!$AA$167)&gt;=$Y56),$AB56,$AA56)))=Milestones!$AB$167),UPPER(TEXT(EDATE($D56,Milestones!$AA$167),"dd mmm yy"))&amp;" "&amp;Milestones!$AB$167&amp;" "&amp;IF(AND(Milestones!$AB$167="FT",Milestones!$AA$167=FT_Y5,EDATE($D56,Milestones!$AA$167)&lt;PolicyEff),1,Milestones!$AC$167)&amp;";  ","")&amp;IF(AND(EDATE($D56,Milestones!$AA$168)&lt;=AsOfDate,EDATE($D56,Milestones!$AA$168)&gt;=SchemeStart,IF($X56=0,$AD56,IF(AND($Z56&lt;&gt;"",EDATE($D56,Milestones!$AA$168)&gt;=$Z56),$AC56,IF(AND($Y56&lt;&gt;"",EDATE($D56,Milestones!$AA$168)&gt;=$Y56),$AB56,$AA56)))=Milestones!$AB$168),UPPER(TEXT(EDATE($D56,Milestones!$AA$168),"dd mmm yy"))&amp;" "&amp;Milestones!$AB$168&amp;" "&amp;IF(AND(Milestones!$AB$168="FT",Milestones!$AA$168=FT_Y5,EDATE($D56,Milestones!$AA$168)&lt;PolicyEff),1,Milestones!$AC$168)&amp;";  ","")&amp;IF(AND(EDATE($D56,Milestones!$AA$169)&lt;=AsOfDate,EDATE($D56,Milestones!$AA$169)&gt;=SchemeStart,IF($X56=0,$AD56,IF(AND($Z56&lt;&gt;"",EDATE($D56,Milestones!$AA$169)&gt;=$Z56),$AC56,IF(AND($Y56&lt;&gt;"",EDATE($D56,Milestones!$AA$169)&gt;=$Y56),$AB56,$AA56)))=Milestones!$AB$169),UPPER(TEXT(EDATE($D56,Milestones!$AA$169),"dd mmm yy"))&amp;" "&amp;Milestones!$AB$169&amp;" "&amp;IF(AND(Milestones!$AB$169="FT",Milestones!$AA$169=FT_Y5,EDATE($D56,Milestones!$AA$169)&lt;PolicyEff),1,Milestones!$AC$169)&amp;";  ","")&amp;IF(AND(EDATE($D56,Milestones!$AA$170)&lt;=AsOfDate,EDATE($D56,Milestones!$AA$170)&gt;=SchemeStart,IF($X56=0,$AD56,IF(AND($Z56&lt;&gt;"",EDATE($D56,Milestones!$AA$170)&gt;=$Z56),$AC56,IF(AND($Y56&lt;&gt;"",EDATE($D56,Milestones!$AA$170)&gt;=$Y56),$AB56,$AA56)))=Milestones!$AB$170),UPPER(TEXT(EDATE($D56,Milestones!$AA$170),"dd mmm yy"))&amp;" "&amp;Milestones!$AB$170&amp;" "&amp;IF(AND(Milestones!$AB$170="FT",Milestones!$AA$170=FT_Y5,EDATE($D56,Milestones!$AA$170)&lt;PolicyEff),1,Milestones!$AC$170)&amp;";  ","")&amp;IF(AND(EDATE($D56,Milestones!$AA$171)&lt;=AsOfDate,EDATE($D56,Milestones!$AA$171)&gt;=SchemeStart,IF($X56=0,$AD56,IF(AND($Z56&lt;&gt;"",EDATE($D56,Milestones!$AA$171)&gt;=$Z56),$AC56,IF(AND($Y56&lt;&gt;"",EDATE($D56,Milestones!$AA$171)&gt;=$Y56),$AB56,$AA56)))=Milestones!$AB$171),UPPER(TEXT(EDATE($D56,Milestones!$AA$171),"dd mmm yy"))&amp;" "&amp;Milestones!$AB$171&amp;" "&amp;IF(AND(Milestones!$AB$171="FT",Milestones!$AA$171=FT_Y5,EDATE($D56,Milestones!$AA$171)&lt;PolicyEff),1,Milestones!$AC$171)&amp;";  ","")&amp;IF(AND(EDATE($D56,Milestones!$AA$172)&lt;=AsOfDate,EDATE($D56,Milestones!$AA$172)&gt;=SchemeStart,IF($X56=0,$AD56,IF(AND($Z56&lt;&gt;"",EDATE($D56,Milestones!$AA$172)&gt;=$Z56),$AC56,IF(AND($Y56&lt;&gt;"",EDATE($D56,Milestones!$AA$172)&gt;=$Y56),$AB56,$AA56)))=Milestones!$AB$172),UPPER(TEXT(EDATE($D56,Milestones!$AA$172),"dd mmm yy"))&amp;" "&amp;Milestones!$AB$172&amp;" "&amp;IF(AND(Milestones!$AB$172="FT",Milestones!$AA$172=FT_Y5,EDATE($D56,Milestones!$AA$172)&lt;PolicyEff),1,Milestones!$AC$172)&amp;";  ","")&amp;IF(AND(EDATE($D56,Milestones!$AA$173)&lt;=AsOfDate,EDATE($D56,Milestones!$AA$173)&gt;=SchemeStart,IF($X56=0,$AD56,IF(AND($Z56&lt;&gt;"",EDATE($D56,Milestones!$AA$173)&gt;=$Z56),$AC56,IF(AND($Y56&lt;&gt;"",EDATE($D56,Milestones!$AA$173)&gt;=$Y56),$AB56,$AA56)))=Milestones!$AB$173),UPPER(TEXT(EDATE($D56,Milestones!$AA$173),"dd mmm yy"))&amp;" "&amp;Milestones!$AB$173&amp;" "&amp;IF(AND(Milestones!$AB$173="FT",Milestones!$AA$173=FT_Y5,EDATE($D56,Milestones!$AA$173)&lt;PolicyEff),1,Milestones!$AC$173)&amp;";  ","")&amp;IF(AND(EDATE($D56,Milestones!$AA$174)&lt;=AsOfDate,EDATE($D56,Milestones!$AA$174)&gt;=SchemeStart,IF($X56=0,$AD56,IF(AND($Z56&lt;&gt;"",EDATE($D56,Milestones!$AA$174)&gt;=$Z56),$AC56,IF(AND($Y56&lt;&gt;"",EDATE($D56,Milestones!$AA$174)&gt;=$Y56),$AB56,$AA56)))=Milestones!$AB$174),UPPER(TEXT(EDATE($D56,Milestones!$AA$174),"dd mmm yy"))&amp;" "&amp;Milestones!$AB$174&amp;" "&amp;IF(AND(Milestones!$AB$174="FT",Milestones!$AA$174=FT_Y5,EDATE($D56,Milestones!$AA$174)&lt;PolicyEff),1,Milestones!$AC$174)&amp;";  ","")&amp;IF(AND(EDATE($D56,Milestones!$AA$175)&lt;=AsOfDate,EDATE($D56,Milestones!$AA$175)&gt;=SchemeStart,IF($X56=0,$AD56,IF(AND($Z56&lt;&gt;"",EDATE($D56,Milestones!$AA$175)&gt;=$Z56),$AC56,IF(AND($Y56&lt;&gt;"",EDATE($D56,Milestones!$AA$175)&gt;=$Y56),$AB56,$AA56)))=Milestones!$AB$175),UPPER(TEXT(EDATE($D56,Milestones!$AA$175),"dd mmm yy"))&amp;" "&amp;Milestones!$AB$175&amp;" "&amp;IF(AND(Milestones!$AB$175="FT",Milestones!$AA$175=FT_Y5,EDATE($D56,Milestones!$AA$175)&lt;PolicyEff),1,Milestones!$AC$175)&amp;";  ",""))</f>
        <v/>
      </c>
      <c r="V56" s="0" t="str">
        <f aca="false">IF(OR($A56="",$D56=""),"",IF(AND(EDATE($D56,Milestones!$AA$176)&lt;=AsOfDate,EDATE($D56,Milestones!$AA$176)&gt;=SchemeStart,IF($X56=0,$AD56,IF(AND($Z56&lt;&gt;"",EDATE($D56,Milestones!$AA$176)&gt;=$Z56),$AC56,IF(AND($Y56&lt;&gt;"",EDATE($D56,Milestones!$AA$176)&gt;=$Y56),$AB56,$AA56)))=Milestones!$AB$176),UPPER(TEXT(EDATE($D56,Milestones!$AA$176),"dd mmm yy"))&amp;" "&amp;Milestones!$AB$176&amp;" "&amp;IF(AND(Milestones!$AB$176="FT",Milestones!$AA$176=FT_Y5,EDATE($D56,Milestones!$AA$176)&lt;PolicyEff),1,Milestones!$AC$176)&amp;";  ","")&amp;IF(AND(EDATE($D56,Milestones!$AA$177)&lt;=AsOfDate,EDATE($D56,Milestones!$AA$177)&gt;=SchemeStart,IF($X56=0,$AD56,IF(AND($Z56&lt;&gt;"",EDATE($D56,Milestones!$AA$177)&gt;=$Z56),$AC56,IF(AND($Y56&lt;&gt;"",EDATE($D56,Milestones!$AA$177)&gt;=$Y56),$AB56,$AA56)))=Milestones!$AB$177),UPPER(TEXT(EDATE($D56,Milestones!$AA$177),"dd mmm yy"))&amp;" "&amp;Milestones!$AB$177&amp;" "&amp;IF(AND(Milestones!$AB$177="FT",Milestones!$AA$177=FT_Y5,EDATE($D56,Milestones!$AA$177)&lt;PolicyEff),1,Milestones!$AC$177)&amp;";  ","")&amp;IF(AND(EDATE($D56,Milestones!$AA$178)&lt;=AsOfDate,EDATE($D56,Milestones!$AA$178)&gt;=SchemeStart,IF($X56=0,$AD56,IF(AND($Z56&lt;&gt;"",EDATE($D56,Milestones!$AA$178)&gt;=$Z56),$AC56,IF(AND($Y56&lt;&gt;"",EDATE($D56,Milestones!$AA$178)&gt;=$Y56),$AB56,$AA56)))=Milestones!$AB$178),UPPER(TEXT(EDATE($D56,Milestones!$AA$178),"dd mmm yy"))&amp;" "&amp;Milestones!$AB$178&amp;" "&amp;IF(AND(Milestones!$AB$178="FT",Milestones!$AA$178=FT_Y5,EDATE($D56,Milestones!$AA$178)&lt;PolicyEff),1,Milestones!$AC$178)&amp;";  ","")&amp;IF(AND(EDATE($D56,Milestones!$AA$179)&lt;=AsOfDate,EDATE($D56,Milestones!$AA$179)&gt;=SchemeStart,IF($X56=0,$AD56,IF(AND($Z56&lt;&gt;"",EDATE($D56,Milestones!$AA$179)&gt;=$Z56),$AC56,IF(AND($Y56&lt;&gt;"",EDATE($D56,Milestones!$AA$179)&gt;=$Y56),$AB56,$AA56)))=Milestones!$AB$179),UPPER(TEXT(EDATE($D56,Milestones!$AA$179),"dd mmm yy"))&amp;" "&amp;Milestones!$AB$179&amp;" "&amp;IF(AND(Milestones!$AB$179="FT",Milestones!$AA$179=FT_Y5,EDATE($D56,Milestones!$AA$179)&lt;PolicyEff),1,Milestones!$AC$179)&amp;";  ","")&amp;IF(AND(EDATE($D56,Milestones!$AA$180)&lt;=AsOfDate,EDATE($D56,Milestones!$AA$180)&gt;=SchemeStart,IF($X56=0,$AD56,IF(AND($Z56&lt;&gt;"",EDATE($D56,Milestones!$AA$180)&gt;=$Z56),$AC56,IF(AND($Y56&lt;&gt;"",EDATE($D56,Milestones!$AA$180)&gt;=$Y56),$AB56,$AA56)))=Milestones!$AB$180),UPPER(TEXT(EDATE($D56,Milestones!$AA$180),"dd mmm yy"))&amp;" "&amp;Milestones!$AB$180&amp;" "&amp;IF(AND(Milestones!$AB$180="FT",Milestones!$AA$180=FT_Y5,EDATE($D56,Milestones!$AA$180)&lt;PolicyEff),1,Milestones!$AC$180)&amp;";  ","")&amp;IF(AND(EDATE($D56,Milestones!$AA$181)&lt;=AsOfDate,EDATE($D56,Milestones!$AA$181)&gt;=SchemeStart,IF($X56=0,$AD56,IF(AND($Z56&lt;&gt;"",EDATE($D56,Milestones!$AA$181)&gt;=$Z56),$AC56,IF(AND($Y56&lt;&gt;"",EDATE($D56,Milestones!$AA$181)&gt;=$Y56),$AB56,$AA56)))=Milestones!$AB$181),UPPER(TEXT(EDATE($D56,Milestones!$AA$181),"dd mmm yy"))&amp;" "&amp;Milestones!$AB$181&amp;" "&amp;IF(AND(Milestones!$AB$181="FT",Milestones!$AA$181=FT_Y5,EDATE($D56,Milestones!$AA$181)&lt;PolicyEff),1,Milestones!$AC$181)&amp;";  ","")&amp;IF(AND(EDATE($D56,Milestones!$AA$182)&lt;=AsOfDate,EDATE($D56,Milestones!$AA$182)&gt;=SchemeStart,IF($X56=0,$AD56,IF(AND($Z56&lt;&gt;"",EDATE($D56,Milestones!$AA$182)&gt;=$Z56),$AC56,IF(AND($Y56&lt;&gt;"",EDATE($D56,Milestones!$AA$182)&gt;=$Y56),$AB56,$AA56)))=Milestones!$AB$182),UPPER(TEXT(EDATE($D56,Milestones!$AA$182),"dd mmm yy"))&amp;" "&amp;Milestones!$AB$182&amp;" "&amp;IF(AND(Milestones!$AB$182="FT",Milestones!$AA$182=FT_Y5,EDATE($D56,Milestones!$AA$182)&lt;PolicyEff),1,Milestones!$AC$182)&amp;";  ","")&amp;IF(AND(EDATE($D56,Milestones!$AA$183)&lt;=AsOfDate,EDATE($D56,Milestones!$AA$183)&gt;=SchemeStart,IF($X56=0,$AD56,IF(AND($Z56&lt;&gt;"",EDATE($D56,Milestones!$AA$183)&gt;=$Z56),$AC56,IF(AND($Y56&lt;&gt;"",EDATE($D56,Milestones!$AA$183)&gt;=$Y56),$AB56,$AA56)))=Milestones!$AB$183),UPPER(TEXT(EDATE($D56,Milestones!$AA$183),"dd mmm yy"))&amp;" "&amp;Milestones!$AB$183&amp;" "&amp;IF(AND(Milestones!$AB$183="FT",Milestones!$AA$183=FT_Y5,EDATE($D56,Milestones!$AA$183)&lt;PolicyEff),1,Milestones!$AC$183)&amp;";  ","")&amp;IF(AND(EDATE($D56,Milestones!$AA$184)&lt;=AsOfDate,EDATE($D56,Milestones!$AA$184)&gt;=SchemeStart,IF($X56=0,$AD56,IF(AND($Z56&lt;&gt;"",EDATE($D56,Milestones!$AA$184)&gt;=$Z56),$AC56,IF(AND($Y56&lt;&gt;"",EDATE($D56,Milestones!$AA$184)&gt;=$Y56),$AB56,$AA56)))=Milestones!$AB$184),UPPER(TEXT(EDATE($D56,Milestones!$AA$184),"dd mmm yy"))&amp;" "&amp;Milestones!$AB$184&amp;" "&amp;IF(AND(Milestones!$AB$184="FT",Milestones!$AA$184=FT_Y5,EDATE($D56,Milestones!$AA$184)&lt;PolicyEff),1,Milestones!$AC$184)&amp;";  ","")&amp;IF(AND(EDATE($D56,Milestones!$AA$185)&lt;=AsOfDate,EDATE($D56,Milestones!$AA$185)&gt;=SchemeStart,IF($X56=0,$AD56,IF(AND($Z56&lt;&gt;"",EDATE($D56,Milestones!$AA$185)&gt;=$Z56),$AC56,IF(AND($Y56&lt;&gt;"",EDATE($D56,Milestones!$AA$185)&gt;=$Y56),$AB56,$AA56)))=Milestones!$AB$185),UPPER(TEXT(EDATE($D56,Milestones!$AA$185),"dd mmm yy"))&amp;" "&amp;Milestones!$AB$185&amp;" "&amp;IF(AND(Milestones!$AB$185="FT",Milestones!$AA$185=FT_Y5,EDATE($D56,Milestones!$AA$185)&lt;PolicyEff),1,Milestones!$AC$185)&amp;";  ","")&amp;IF(AND(EDATE($D56,Milestones!$AA$186)&lt;=AsOfDate,EDATE($D56,Milestones!$AA$186)&gt;=SchemeStart,IF($X56=0,$AD56,IF(AND($Z56&lt;&gt;"",EDATE($D56,Milestones!$AA$186)&gt;=$Z56),$AC56,IF(AND($Y56&lt;&gt;"",EDATE($D56,Milestones!$AA$186)&gt;=$Y56),$AB56,$AA56)))=Milestones!$AB$186),UPPER(TEXT(EDATE($D56,Milestones!$AA$186),"dd mmm yy"))&amp;" "&amp;Milestones!$AB$186&amp;" "&amp;IF(AND(Milestones!$AB$186="FT",Milestones!$AA$186=FT_Y5,EDATE($D56,Milestones!$AA$186)&lt;PolicyEff),1,Milestones!$AC$186)&amp;";  ","")&amp;IF(AND(EDATE($D56,Milestones!$AA$187)&lt;=AsOfDate,EDATE($D56,Milestones!$AA$187)&gt;=SchemeStart,IF($X56=0,$AD56,IF(AND($Z56&lt;&gt;"",EDATE($D56,Milestones!$AA$187)&gt;=$Z56),$AC56,IF(AND($Y56&lt;&gt;"",EDATE($D56,Milestones!$AA$187)&gt;=$Y56),$AB56,$AA56)))=Milestones!$AB$187),UPPER(TEXT(EDATE($D56,Milestones!$AA$187),"dd mmm yy"))&amp;" "&amp;Milestones!$AB$187&amp;" "&amp;IF(AND(Milestones!$AB$187="FT",Milestones!$AA$187=FT_Y5,EDATE($D56,Milestones!$AA$187)&lt;PolicyEff),1,Milestones!$AC$187)&amp;";  ",""))</f>
        <v/>
      </c>
      <c r="W56" s="0" t="str">
        <f aca="false">IF(OR($A56="",$D56=""),"",IF(AND(EDATE($D56,Milestones!$AA$188)&lt;=AsOfDate,EDATE($D56,Milestones!$AA$188)&gt;=SchemeStart,IF($X56=0,$AD56,IF(AND($Z56&lt;&gt;"",EDATE($D56,Milestones!$AA$188)&gt;=$Z56),$AC56,IF(AND($Y56&lt;&gt;"",EDATE($D56,Milestones!$AA$188)&gt;=$Y56),$AB56,$AA56)))=Milestones!$AB$188),UPPER(TEXT(EDATE($D56,Milestones!$AA$188),"dd mmm yy"))&amp;" "&amp;Milestones!$AB$188&amp;" "&amp;IF(AND(Milestones!$AB$188="FT",Milestones!$AA$188=FT_Y5,EDATE($D56,Milestones!$AA$188)&lt;PolicyEff),1,Milestones!$AC$188)&amp;";  ","")&amp;IF(AND(EDATE($D56,Milestones!$AA$189)&lt;=AsOfDate,EDATE($D56,Milestones!$AA$189)&gt;=SchemeStart,IF($X56=0,$AD56,IF(AND($Z56&lt;&gt;"",EDATE($D56,Milestones!$AA$189)&gt;=$Z56),$AC56,IF(AND($Y56&lt;&gt;"",EDATE($D56,Milestones!$AA$189)&gt;=$Y56),$AB56,$AA56)))=Milestones!$AB$189),UPPER(TEXT(EDATE($D56,Milestones!$AA$189),"dd mmm yy"))&amp;" "&amp;Milestones!$AB$189&amp;" "&amp;IF(AND(Milestones!$AB$189="FT",Milestones!$AA$189=FT_Y5,EDATE($D56,Milestones!$AA$189)&lt;PolicyEff),1,Milestones!$AC$189)&amp;";  ","")&amp;IF(AND(EDATE($D56,Milestones!$AA$190)&lt;=AsOfDate,EDATE($D56,Milestones!$AA$190)&gt;=SchemeStart,IF($X56=0,$AD56,IF(AND($Z56&lt;&gt;"",EDATE($D56,Milestones!$AA$190)&gt;=$Z56),$AC56,IF(AND($Y56&lt;&gt;"",EDATE($D56,Milestones!$AA$190)&gt;=$Y56),$AB56,$AA56)))=Milestones!$AB$190),UPPER(TEXT(EDATE($D56,Milestones!$AA$190),"dd mmm yy"))&amp;" "&amp;Milestones!$AB$190&amp;" "&amp;IF(AND(Milestones!$AB$190="FT",Milestones!$AA$190=FT_Y5,EDATE($D56,Milestones!$AA$190)&lt;PolicyEff),1,Milestones!$AC$190)&amp;";  ","")&amp;IF(AND(EDATE($D56,Milestones!$AA$191)&lt;=AsOfDate,EDATE($D56,Milestones!$AA$191)&gt;=SchemeStart,IF($X56=0,$AD56,IF(AND($Z56&lt;&gt;"",EDATE($D56,Milestones!$AA$191)&gt;=$Z56),$AC56,IF(AND($Y56&lt;&gt;"",EDATE($D56,Milestones!$AA$191)&gt;=$Y56),$AB56,$AA56)))=Milestones!$AB$191),UPPER(TEXT(EDATE($D56,Milestones!$AA$191),"dd mmm yy"))&amp;" "&amp;Milestones!$AB$191&amp;" "&amp;IF(AND(Milestones!$AB$191="FT",Milestones!$AA$191=FT_Y5,EDATE($D56,Milestones!$AA$191)&lt;PolicyEff),1,Milestones!$AC$191)&amp;";  ","")&amp;IF(AND(EDATE($D56,Milestones!$AA$192)&lt;=AsOfDate,EDATE($D56,Milestones!$AA$192)&gt;=SchemeStart,IF($X56=0,$AD56,IF(AND($Z56&lt;&gt;"",EDATE($D56,Milestones!$AA$192)&gt;=$Z56),$AC56,IF(AND($Y56&lt;&gt;"",EDATE($D56,Milestones!$AA$192)&gt;=$Y56),$AB56,$AA56)))=Milestones!$AB$192),UPPER(TEXT(EDATE($D56,Milestones!$AA$192),"dd mmm yy"))&amp;" "&amp;Milestones!$AB$192&amp;" "&amp;IF(AND(Milestones!$AB$192="FT",Milestones!$AA$192=FT_Y5,EDATE($D56,Milestones!$AA$192)&lt;PolicyEff),1,Milestones!$AC$192)&amp;";  ","")&amp;IF(AND(EDATE($D56,Milestones!$AA$193)&lt;=AsOfDate,EDATE($D56,Milestones!$AA$193)&gt;=SchemeStart,IF($X56=0,$AD56,IF(AND($Z56&lt;&gt;"",EDATE($D56,Milestones!$AA$193)&gt;=$Z56),$AC56,IF(AND($Y56&lt;&gt;"",EDATE($D56,Milestones!$AA$193)&gt;=$Y56),$AB56,$AA56)))=Milestones!$AB$193),UPPER(TEXT(EDATE($D56,Milestones!$AA$193),"dd mmm yy"))&amp;" "&amp;Milestones!$AB$193&amp;" "&amp;IF(AND(Milestones!$AB$193="FT",Milestones!$AA$193=FT_Y5,EDATE($D56,Milestones!$AA$193)&lt;PolicyEff),1,Milestones!$AC$193)&amp;";  ","")&amp;IF(AND(EDATE($D56,Milestones!$AA$194)&lt;=AsOfDate,EDATE($D56,Milestones!$AA$194)&gt;=SchemeStart,IF($X56=0,$AD56,IF(AND($Z56&lt;&gt;"",EDATE($D56,Milestones!$AA$194)&gt;=$Z56),$AC56,IF(AND($Y56&lt;&gt;"",EDATE($D56,Milestones!$AA$194)&gt;=$Y56),$AB56,$AA56)))=Milestones!$AB$194),UPPER(TEXT(EDATE($D56,Milestones!$AA$194),"dd mmm yy"))&amp;" "&amp;Milestones!$AB$194&amp;" "&amp;IF(AND(Milestones!$AB$194="FT",Milestones!$AA$194=FT_Y5,EDATE($D56,Milestones!$AA$194)&lt;PolicyEff),1,Milestones!$AC$194)&amp;";  ","")&amp;IF(AND(EDATE($D56,Milestones!$AA$195)&lt;=AsOfDate,EDATE($D56,Milestones!$AA$195)&gt;=SchemeStart,IF($X56=0,$AD56,IF(AND($Z56&lt;&gt;"",EDATE($D56,Milestones!$AA$195)&gt;=$Z56),$AC56,IF(AND($Y56&lt;&gt;"",EDATE($D56,Milestones!$AA$195)&gt;=$Y56),$AB56,$AA56)))=Milestones!$AB$195),UPPER(TEXT(EDATE($D56,Milestones!$AA$195),"dd mmm yy"))&amp;" "&amp;Milestones!$AB$195&amp;" "&amp;IF(AND(Milestones!$AB$195="FT",Milestones!$AA$195=FT_Y5,EDATE($D56,Milestones!$AA$195)&lt;PolicyEff),1,Milestones!$AC$195)&amp;";  ","")&amp;IF(AND(EDATE($D56,Milestones!$AA$196)&lt;=AsOfDate,EDATE($D56,Milestones!$AA$196)&gt;=SchemeStart,IF($X56=0,$AD56,IF(AND($Z56&lt;&gt;"",EDATE($D56,Milestones!$AA$196)&gt;=$Z56),$AC56,IF(AND($Y56&lt;&gt;"",EDATE($D56,Milestones!$AA$196)&gt;=$Y56),$AB56,$AA56)))=Milestones!$AB$196),UPPER(TEXT(EDATE($D56,Milestones!$AA$196),"dd mmm yy"))&amp;" "&amp;Milestones!$AB$196&amp;" "&amp;IF(AND(Milestones!$AB$196="FT",Milestones!$AA$196=FT_Y5,EDATE($D56,Milestones!$AA$196)&lt;PolicyEff),1,Milestones!$AC$196)&amp;";  ","")&amp;IF(AND(EDATE($D56,Milestones!$AA$197)&lt;=AsOfDate,EDATE($D56,Milestones!$AA$197)&gt;=SchemeStart,IF($X56=0,$AD56,IF(AND($Z56&lt;&gt;"",EDATE($D56,Milestones!$AA$197)&gt;=$Z56),$AC56,IF(AND($Y56&lt;&gt;"",EDATE($D56,Milestones!$AA$197)&gt;=$Y56),$AB56,$AA56)))=Milestones!$AB$197),UPPER(TEXT(EDATE($D56,Milestones!$AA$197),"dd mmm yy"))&amp;" "&amp;Milestones!$AB$197&amp;" "&amp;IF(AND(Milestones!$AB$197="FT",Milestones!$AA$197=FT_Y5,EDATE($D56,Milestones!$AA$197)&lt;PolicyEff),1,Milestones!$AC$197)&amp;";  ","")&amp;IF(AND(EDATE($D56,Milestones!$AA$198)&lt;=AsOfDate,EDATE($D56,Milestones!$AA$198)&gt;=SchemeStart,IF($X56=0,$AD56,IF(AND($Z56&lt;&gt;"",EDATE($D56,Milestones!$AA$198)&gt;=$Z56),$AC56,IF(AND($Y56&lt;&gt;"",EDATE($D56,Milestones!$AA$198)&gt;=$Y56),$AB56,$AA56)))=Milestones!$AB$198),UPPER(TEXT(EDATE($D56,Milestones!$AA$198),"dd mmm yy"))&amp;" "&amp;Milestones!$AB$198&amp;" "&amp;IF(AND(Milestones!$AB$198="FT",Milestones!$AA$198=FT_Y5,EDATE($D56,Milestones!$AA$198)&lt;PolicyEff),1,Milestones!$AC$198)&amp;";  ","")&amp;IF(AND(EDATE($D56,Milestones!$AA$199)&lt;=AsOfDate,EDATE($D56,Milestones!$AA$199)&gt;=SchemeStart,IF($X56=0,$AD56,IF(AND($Z56&lt;&gt;"",EDATE($D56,Milestones!$AA$199)&gt;=$Z56),$AC56,IF(AND($Y56&lt;&gt;"",EDATE($D56,Milestones!$AA$199)&gt;=$Y56),$AB56,$AA56)))=Milestones!$AB$199),UPPER(TEXT(EDATE($D56,Milestones!$AA$199),"dd mmm yy"))&amp;" "&amp;Milestones!$AB$199&amp;" "&amp;IF(AND(Milestones!$AB$199="FT",Milestones!$AA$199=FT_Y5,EDATE($D56,Milestones!$AA$199)&lt;PolicyEff),1,Milestones!$AC$199)&amp;";  ",""))</f>
        <v/>
      </c>
      <c r="X56" s="0" t="str">
        <f aca="false">IF(Staff!$A56="","",Staff!$AM56)</f>
        <v/>
      </c>
      <c r="Y56" s="0" t="str">
        <f aca="false">IF(Staff!$A56="","",Staff!$AO56)</f>
        <v/>
      </c>
      <c r="Z56" s="0" t="str">
        <f aca="false">IF(Staff!$A56="","",Staff!$AP56)</f>
        <v/>
      </c>
      <c r="AA56" s="0" t="str">
        <f aca="false">IF(Staff!$A56="","",Staff!$AT56)</f>
        <v/>
      </c>
      <c r="AB56" s="0" t="str">
        <f aca="false">IF(Staff!$A56="","",Staff!$AU56)</f>
        <v/>
      </c>
      <c r="AC56" s="0" t="str">
        <f aca="false">IF(Staff!$A56="","",Staff!$AV56)</f>
        <v/>
      </c>
      <c r="AD56" s="0" t="str">
        <f aca="false">IF(Staff!$A56="","",Staff!$AW56)</f>
        <v/>
      </c>
    </row>
    <row r="57" customFormat="false" ht="15" hidden="false" customHeight="false" outlineLevel="0" collapsed="false">
      <c r="A57" s="16" t="str">
        <f aca="false">IF(Staff!$A57="","",Staff!$A57)</f>
        <v/>
      </c>
      <c r="B57" s="16" t="str">
        <f aca="false">IF(Staff!$A57="","",Staff!$B57)</f>
        <v/>
      </c>
      <c r="C57" s="16" t="str">
        <f aca="false">IF(Staff!$A57="","",Staff!$C57)</f>
        <v/>
      </c>
      <c r="D57" s="14" t="str">
        <f aca="false">IF(Staff!$A57="","",Staff!$AL57)</f>
        <v/>
      </c>
      <c r="E57" s="16" t="str">
        <f aca="false">IF(Staff!$A57="","",Staff!$O57)</f>
        <v/>
      </c>
      <c r="F57" s="16" t="str">
        <f aca="false">IF(E57="","",E57*HoursPerDay)</f>
        <v/>
      </c>
      <c r="G57" s="16" t="str">
        <f aca="false">IF(Staff!$A57="","",Staff!$AE57)</f>
        <v/>
      </c>
      <c r="H57" s="28" t="str">
        <f aca="false">IF($A57="","",I57&amp;J57&amp;K57&amp;L57&amp;M57&amp;N57&amp;O57&amp;P57&amp;Q57&amp;R57&amp;S57&amp;T57&amp;U57&amp;V57&amp;W57)</f>
        <v/>
      </c>
      <c r="I57" s="0" t="str">
        <f aca="false">IF(OR($A57="",$D57=""),"",IF(AND(EDATE($D57,Milestones!$AA$20)&lt;=AsOfDate,EDATE($D57,Milestones!$AA$20)&gt;=SchemeStart,IF($X57=0,$AD57,IF(AND($Z57&lt;&gt;"",EDATE($D57,Milestones!$AA$20)&gt;=$Z57),$AC57,IF(AND($Y57&lt;&gt;"",EDATE($D57,Milestones!$AA$20)&gt;=$Y57),$AB57,$AA57)))=Milestones!$AB$20),UPPER(TEXT(EDATE($D57,Milestones!$AA$20),"dd mmm yy"))&amp;" "&amp;Milestones!$AB$20&amp;" "&amp;IF(AND(Milestones!$AB$20="FT",Milestones!$AA$20=FT_Y5,EDATE($D57,Milestones!$AA$20)&lt;PolicyEff),1,Milestones!$AC$20)&amp;";  ","")&amp;IF(AND(EDATE($D57,Milestones!$AA$21)&lt;=AsOfDate,EDATE($D57,Milestones!$AA$21)&gt;=SchemeStart,IF($X57=0,$AD57,IF(AND($Z57&lt;&gt;"",EDATE($D57,Milestones!$AA$21)&gt;=$Z57),$AC57,IF(AND($Y57&lt;&gt;"",EDATE($D57,Milestones!$AA$21)&gt;=$Y57),$AB57,$AA57)))=Milestones!$AB$21),UPPER(TEXT(EDATE($D57,Milestones!$AA$21),"dd mmm yy"))&amp;" "&amp;Milestones!$AB$21&amp;" "&amp;IF(AND(Milestones!$AB$21="FT",Milestones!$AA$21=FT_Y5,EDATE($D57,Milestones!$AA$21)&lt;PolicyEff),1,Milestones!$AC$21)&amp;";  ","")&amp;IF(AND(EDATE($D57,Milestones!$AA$22)&lt;=AsOfDate,EDATE($D57,Milestones!$AA$22)&gt;=SchemeStart,IF($X57=0,$AD57,IF(AND($Z57&lt;&gt;"",EDATE($D57,Milestones!$AA$22)&gt;=$Z57),$AC57,IF(AND($Y57&lt;&gt;"",EDATE($D57,Milestones!$AA$22)&gt;=$Y57),$AB57,$AA57)))=Milestones!$AB$22),UPPER(TEXT(EDATE($D57,Milestones!$AA$22),"dd mmm yy"))&amp;" "&amp;Milestones!$AB$22&amp;" "&amp;IF(AND(Milestones!$AB$22="FT",Milestones!$AA$22=FT_Y5,EDATE($D57,Milestones!$AA$22)&lt;PolicyEff),1,Milestones!$AC$22)&amp;";  ","")&amp;IF(AND(EDATE($D57,Milestones!$AA$23)&lt;=AsOfDate,EDATE($D57,Milestones!$AA$23)&gt;=SchemeStart,IF($X57=0,$AD57,IF(AND($Z57&lt;&gt;"",EDATE($D57,Milestones!$AA$23)&gt;=$Z57),$AC57,IF(AND($Y57&lt;&gt;"",EDATE($D57,Milestones!$AA$23)&gt;=$Y57),$AB57,$AA57)))=Milestones!$AB$23),UPPER(TEXT(EDATE($D57,Milestones!$AA$23),"dd mmm yy"))&amp;" "&amp;Milestones!$AB$23&amp;" "&amp;IF(AND(Milestones!$AB$23="FT",Milestones!$AA$23=FT_Y5,EDATE($D57,Milestones!$AA$23)&lt;PolicyEff),1,Milestones!$AC$23)&amp;";  ","")&amp;IF(AND(EDATE($D57,Milestones!$AA$24)&lt;=AsOfDate,EDATE($D57,Milestones!$AA$24)&gt;=SchemeStart,IF($X57=0,$AD57,IF(AND($Z57&lt;&gt;"",EDATE($D57,Milestones!$AA$24)&gt;=$Z57),$AC57,IF(AND($Y57&lt;&gt;"",EDATE($D57,Milestones!$AA$24)&gt;=$Y57),$AB57,$AA57)))=Milestones!$AB$24),UPPER(TEXT(EDATE($D57,Milestones!$AA$24),"dd mmm yy"))&amp;" "&amp;Milestones!$AB$24&amp;" "&amp;IF(AND(Milestones!$AB$24="FT",Milestones!$AA$24=FT_Y5,EDATE($D57,Milestones!$AA$24)&lt;PolicyEff),1,Milestones!$AC$24)&amp;";  ","")&amp;IF(AND(EDATE($D57,Milestones!$AA$25)&lt;=AsOfDate,EDATE($D57,Milestones!$AA$25)&gt;=SchemeStart,IF($X57=0,$AD57,IF(AND($Z57&lt;&gt;"",EDATE($D57,Milestones!$AA$25)&gt;=$Z57),$AC57,IF(AND($Y57&lt;&gt;"",EDATE($D57,Milestones!$AA$25)&gt;=$Y57),$AB57,$AA57)))=Milestones!$AB$25),UPPER(TEXT(EDATE($D57,Milestones!$AA$25),"dd mmm yy"))&amp;" "&amp;Milestones!$AB$25&amp;" "&amp;IF(AND(Milestones!$AB$25="FT",Milestones!$AA$25=FT_Y5,EDATE($D57,Milestones!$AA$25)&lt;PolicyEff),1,Milestones!$AC$25)&amp;";  ","")&amp;IF(AND(EDATE($D57,Milestones!$AA$26)&lt;=AsOfDate,EDATE($D57,Milestones!$AA$26)&gt;=SchemeStart,IF($X57=0,$AD57,IF(AND($Z57&lt;&gt;"",EDATE($D57,Milestones!$AA$26)&gt;=$Z57),$AC57,IF(AND($Y57&lt;&gt;"",EDATE($D57,Milestones!$AA$26)&gt;=$Y57),$AB57,$AA57)))=Milestones!$AB$26),UPPER(TEXT(EDATE($D57,Milestones!$AA$26),"dd mmm yy"))&amp;" "&amp;Milestones!$AB$26&amp;" "&amp;IF(AND(Milestones!$AB$26="FT",Milestones!$AA$26=FT_Y5,EDATE($D57,Milestones!$AA$26)&lt;PolicyEff),1,Milestones!$AC$26)&amp;";  ","")&amp;IF(AND(EDATE($D57,Milestones!$AA$27)&lt;=AsOfDate,EDATE($D57,Milestones!$AA$27)&gt;=SchemeStart,IF($X57=0,$AD57,IF(AND($Z57&lt;&gt;"",EDATE($D57,Milestones!$AA$27)&gt;=$Z57),$AC57,IF(AND($Y57&lt;&gt;"",EDATE($D57,Milestones!$AA$27)&gt;=$Y57),$AB57,$AA57)))=Milestones!$AB$27),UPPER(TEXT(EDATE($D57,Milestones!$AA$27),"dd mmm yy"))&amp;" "&amp;Milestones!$AB$27&amp;" "&amp;IF(AND(Milestones!$AB$27="FT",Milestones!$AA$27=FT_Y5,EDATE($D57,Milestones!$AA$27)&lt;PolicyEff),1,Milestones!$AC$27)&amp;";  ","")&amp;IF(AND(EDATE($D57,Milestones!$AA$28)&lt;=AsOfDate,EDATE($D57,Milestones!$AA$28)&gt;=SchemeStart,IF($X57=0,$AD57,IF(AND($Z57&lt;&gt;"",EDATE($D57,Milestones!$AA$28)&gt;=$Z57),$AC57,IF(AND($Y57&lt;&gt;"",EDATE($D57,Milestones!$AA$28)&gt;=$Y57),$AB57,$AA57)))=Milestones!$AB$28),UPPER(TEXT(EDATE($D57,Milestones!$AA$28),"dd mmm yy"))&amp;" "&amp;Milestones!$AB$28&amp;" "&amp;IF(AND(Milestones!$AB$28="FT",Milestones!$AA$28=FT_Y5,EDATE($D57,Milestones!$AA$28)&lt;PolicyEff),1,Milestones!$AC$28)&amp;";  ","")&amp;IF(AND(EDATE($D57,Milestones!$AA$29)&lt;=AsOfDate,EDATE($D57,Milestones!$AA$29)&gt;=SchemeStart,IF($X57=0,$AD57,IF(AND($Z57&lt;&gt;"",EDATE($D57,Milestones!$AA$29)&gt;=$Z57),$AC57,IF(AND($Y57&lt;&gt;"",EDATE($D57,Milestones!$AA$29)&gt;=$Y57),$AB57,$AA57)))=Milestones!$AB$29),UPPER(TEXT(EDATE($D57,Milestones!$AA$29),"dd mmm yy"))&amp;" "&amp;Milestones!$AB$29&amp;" "&amp;IF(AND(Milestones!$AB$29="FT",Milestones!$AA$29=FT_Y5,EDATE($D57,Milestones!$AA$29)&lt;PolicyEff),1,Milestones!$AC$29)&amp;";  ","")&amp;IF(AND(EDATE($D57,Milestones!$AA$30)&lt;=AsOfDate,EDATE($D57,Milestones!$AA$30)&gt;=SchemeStart,IF($X57=0,$AD57,IF(AND($Z57&lt;&gt;"",EDATE($D57,Milestones!$AA$30)&gt;=$Z57),$AC57,IF(AND($Y57&lt;&gt;"",EDATE($D57,Milestones!$AA$30)&gt;=$Y57),$AB57,$AA57)))=Milestones!$AB$30),UPPER(TEXT(EDATE($D57,Milestones!$AA$30),"dd mmm yy"))&amp;" "&amp;Milestones!$AB$30&amp;" "&amp;IF(AND(Milestones!$AB$30="FT",Milestones!$AA$30=FT_Y5,EDATE($D57,Milestones!$AA$30)&lt;PolicyEff),1,Milestones!$AC$30)&amp;";  ","")&amp;IF(AND(EDATE($D57,Milestones!$AA$31)&lt;=AsOfDate,EDATE($D57,Milestones!$AA$31)&gt;=SchemeStart,IF($X57=0,$AD57,IF(AND($Z57&lt;&gt;"",EDATE($D57,Milestones!$AA$31)&gt;=$Z57),$AC57,IF(AND($Y57&lt;&gt;"",EDATE($D57,Milestones!$AA$31)&gt;=$Y57),$AB57,$AA57)))=Milestones!$AB$31),UPPER(TEXT(EDATE($D57,Milestones!$AA$31),"dd mmm yy"))&amp;" "&amp;Milestones!$AB$31&amp;" "&amp;IF(AND(Milestones!$AB$31="FT",Milestones!$AA$31=FT_Y5,EDATE($D57,Milestones!$AA$31)&lt;PolicyEff),1,Milestones!$AC$31)&amp;";  ",""))</f>
        <v/>
      </c>
      <c r="J57" s="0" t="str">
        <f aca="false">IF(OR($A57="",$D57=""),"",IF(AND(EDATE($D57,Milestones!$AA$32)&lt;=AsOfDate,EDATE($D57,Milestones!$AA$32)&gt;=SchemeStart,IF($X57=0,$AD57,IF(AND($Z57&lt;&gt;"",EDATE($D57,Milestones!$AA$32)&gt;=$Z57),$AC57,IF(AND($Y57&lt;&gt;"",EDATE($D57,Milestones!$AA$32)&gt;=$Y57),$AB57,$AA57)))=Milestones!$AB$32),UPPER(TEXT(EDATE($D57,Milestones!$AA$32),"dd mmm yy"))&amp;" "&amp;Milestones!$AB$32&amp;" "&amp;IF(AND(Milestones!$AB$32="FT",Milestones!$AA$32=FT_Y5,EDATE($D57,Milestones!$AA$32)&lt;PolicyEff),1,Milestones!$AC$32)&amp;";  ","")&amp;IF(AND(EDATE($D57,Milestones!$AA$33)&lt;=AsOfDate,EDATE($D57,Milestones!$AA$33)&gt;=SchemeStart,IF($X57=0,$AD57,IF(AND($Z57&lt;&gt;"",EDATE($D57,Milestones!$AA$33)&gt;=$Z57),$AC57,IF(AND($Y57&lt;&gt;"",EDATE($D57,Milestones!$AA$33)&gt;=$Y57),$AB57,$AA57)))=Milestones!$AB$33),UPPER(TEXT(EDATE($D57,Milestones!$AA$33),"dd mmm yy"))&amp;" "&amp;Milestones!$AB$33&amp;" "&amp;IF(AND(Milestones!$AB$33="FT",Milestones!$AA$33=FT_Y5,EDATE($D57,Milestones!$AA$33)&lt;PolicyEff),1,Milestones!$AC$33)&amp;";  ","")&amp;IF(AND(EDATE($D57,Milestones!$AA$34)&lt;=AsOfDate,EDATE($D57,Milestones!$AA$34)&gt;=SchemeStart,IF($X57=0,$AD57,IF(AND($Z57&lt;&gt;"",EDATE($D57,Milestones!$AA$34)&gt;=$Z57),$AC57,IF(AND($Y57&lt;&gt;"",EDATE($D57,Milestones!$AA$34)&gt;=$Y57),$AB57,$AA57)))=Milestones!$AB$34),UPPER(TEXT(EDATE($D57,Milestones!$AA$34),"dd mmm yy"))&amp;" "&amp;Milestones!$AB$34&amp;" "&amp;IF(AND(Milestones!$AB$34="FT",Milestones!$AA$34=FT_Y5,EDATE($D57,Milestones!$AA$34)&lt;PolicyEff),1,Milestones!$AC$34)&amp;";  ","")&amp;IF(AND(EDATE($D57,Milestones!$AA$35)&lt;=AsOfDate,EDATE($D57,Milestones!$AA$35)&gt;=SchemeStart,IF($X57=0,$AD57,IF(AND($Z57&lt;&gt;"",EDATE($D57,Milestones!$AA$35)&gt;=$Z57),$AC57,IF(AND($Y57&lt;&gt;"",EDATE($D57,Milestones!$AA$35)&gt;=$Y57),$AB57,$AA57)))=Milestones!$AB$35),UPPER(TEXT(EDATE($D57,Milestones!$AA$35),"dd mmm yy"))&amp;" "&amp;Milestones!$AB$35&amp;" "&amp;IF(AND(Milestones!$AB$35="FT",Milestones!$AA$35=FT_Y5,EDATE($D57,Milestones!$AA$35)&lt;PolicyEff),1,Milestones!$AC$35)&amp;";  ","")&amp;IF(AND(EDATE($D57,Milestones!$AA$36)&lt;=AsOfDate,EDATE($D57,Milestones!$AA$36)&gt;=SchemeStart,IF($X57=0,$AD57,IF(AND($Z57&lt;&gt;"",EDATE($D57,Milestones!$AA$36)&gt;=$Z57),$AC57,IF(AND($Y57&lt;&gt;"",EDATE($D57,Milestones!$AA$36)&gt;=$Y57),$AB57,$AA57)))=Milestones!$AB$36),UPPER(TEXT(EDATE($D57,Milestones!$AA$36),"dd mmm yy"))&amp;" "&amp;Milestones!$AB$36&amp;" "&amp;IF(AND(Milestones!$AB$36="FT",Milestones!$AA$36=FT_Y5,EDATE($D57,Milestones!$AA$36)&lt;PolicyEff),1,Milestones!$AC$36)&amp;";  ","")&amp;IF(AND(EDATE($D57,Milestones!$AA$37)&lt;=AsOfDate,EDATE($D57,Milestones!$AA$37)&gt;=SchemeStart,IF($X57=0,$AD57,IF(AND($Z57&lt;&gt;"",EDATE($D57,Milestones!$AA$37)&gt;=$Z57),$AC57,IF(AND($Y57&lt;&gt;"",EDATE($D57,Milestones!$AA$37)&gt;=$Y57),$AB57,$AA57)))=Milestones!$AB$37),UPPER(TEXT(EDATE($D57,Milestones!$AA$37),"dd mmm yy"))&amp;" "&amp;Milestones!$AB$37&amp;" "&amp;IF(AND(Milestones!$AB$37="FT",Milestones!$AA$37=FT_Y5,EDATE($D57,Milestones!$AA$37)&lt;PolicyEff),1,Milestones!$AC$37)&amp;";  ","")&amp;IF(AND(EDATE($D57,Milestones!$AA$38)&lt;=AsOfDate,EDATE($D57,Milestones!$AA$38)&gt;=SchemeStart,IF($X57=0,$AD57,IF(AND($Z57&lt;&gt;"",EDATE($D57,Milestones!$AA$38)&gt;=$Z57),$AC57,IF(AND($Y57&lt;&gt;"",EDATE($D57,Milestones!$AA$38)&gt;=$Y57),$AB57,$AA57)))=Milestones!$AB$38),UPPER(TEXT(EDATE($D57,Milestones!$AA$38),"dd mmm yy"))&amp;" "&amp;Milestones!$AB$38&amp;" "&amp;IF(AND(Milestones!$AB$38="FT",Milestones!$AA$38=FT_Y5,EDATE($D57,Milestones!$AA$38)&lt;PolicyEff),1,Milestones!$AC$38)&amp;";  ","")&amp;IF(AND(EDATE($D57,Milestones!$AA$39)&lt;=AsOfDate,EDATE($D57,Milestones!$AA$39)&gt;=SchemeStart,IF($X57=0,$AD57,IF(AND($Z57&lt;&gt;"",EDATE($D57,Milestones!$AA$39)&gt;=$Z57),$AC57,IF(AND($Y57&lt;&gt;"",EDATE($D57,Milestones!$AA$39)&gt;=$Y57),$AB57,$AA57)))=Milestones!$AB$39),UPPER(TEXT(EDATE($D57,Milestones!$AA$39),"dd mmm yy"))&amp;" "&amp;Milestones!$AB$39&amp;" "&amp;IF(AND(Milestones!$AB$39="FT",Milestones!$AA$39=FT_Y5,EDATE($D57,Milestones!$AA$39)&lt;PolicyEff),1,Milestones!$AC$39)&amp;";  ","")&amp;IF(AND(EDATE($D57,Milestones!$AA$40)&lt;=AsOfDate,EDATE($D57,Milestones!$AA$40)&gt;=SchemeStart,IF($X57=0,$AD57,IF(AND($Z57&lt;&gt;"",EDATE($D57,Milestones!$AA$40)&gt;=$Z57),$AC57,IF(AND($Y57&lt;&gt;"",EDATE($D57,Milestones!$AA$40)&gt;=$Y57),$AB57,$AA57)))=Milestones!$AB$40),UPPER(TEXT(EDATE($D57,Milestones!$AA$40),"dd mmm yy"))&amp;" "&amp;Milestones!$AB$40&amp;" "&amp;IF(AND(Milestones!$AB$40="FT",Milestones!$AA$40=FT_Y5,EDATE($D57,Milestones!$AA$40)&lt;PolicyEff),1,Milestones!$AC$40)&amp;";  ","")&amp;IF(AND(EDATE($D57,Milestones!$AA$41)&lt;=AsOfDate,EDATE($D57,Milestones!$AA$41)&gt;=SchemeStart,IF($X57=0,$AD57,IF(AND($Z57&lt;&gt;"",EDATE($D57,Milestones!$AA$41)&gt;=$Z57),$AC57,IF(AND($Y57&lt;&gt;"",EDATE($D57,Milestones!$AA$41)&gt;=$Y57),$AB57,$AA57)))=Milestones!$AB$41),UPPER(TEXT(EDATE($D57,Milestones!$AA$41),"dd mmm yy"))&amp;" "&amp;Milestones!$AB$41&amp;" "&amp;IF(AND(Milestones!$AB$41="FT",Milestones!$AA$41=FT_Y5,EDATE($D57,Milestones!$AA$41)&lt;PolicyEff),1,Milestones!$AC$41)&amp;";  ","")&amp;IF(AND(EDATE($D57,Milestones!$AA$42)&lt;=AsOfDate,EDATE($D57,Milestones!$AA$42)&gt;=SchemeStart,IF($X57=0,$AD57,IF(AND($Z57&lt;&gt;"",EDATE($D57,Milestones!$AA$42)&gt;=$Z57),$AC57,IF(AND($Y57&lt;&gt;"",EDATE($D57,Milestones!$AA$42)&gt;=$Y57),$AB57,$AA57)))=Milestones!$AB$42),UPPER(TEXT(EDATE($D57,Milestones!$AA$42),"dd mmm yy"))&amp;" "&amp;Milestones!$AB$42&amp;" "&amp;IF(AND(Milestones!$AB$42="FT",Milestones!$AA$42=FT_Y5,EDATE($D57,Milestones!$AA$42)&lt;PolicyEff),1,Milestones!$AC$42)&amp;";  ","")&amp;IF(AND(EDATE($D57,Milestones!$AA$43)&lt;=AsOfDate,EDATE($D57,Milestones!$AA$43)&gt;=SchemeStart,IF($X57=0,$AD57,IF(AND($Z57&lt;&gt;"",EDATE($D57,Milestones!$AA$43)&gt;=$Z57),$AC57,IF(AND($Y57&lt;&gt;"",EDATE($D57,Milestones!$AA$43)&gt;=$Y57),$AB57,$AA57)))=Milestones!$AB$43),UPPER(TEXT(EDATE($D57,Milestones!$AA$43),"dd mmm yy"))&amp;" "&amp;Milestones!$AB$43&amp;" "&amp;IF(AND(Milestones!$AB$43="FT",Milestones!$AA$43=FT_Y5,EDATE($D57,Milestones!$AA$43)&lt;PolicyEff),1,Milestones!$AC$43)&amp;";  ",""))</f>
        <v/>
      </c>
      <c r="K57" s="0" t="str">
        <f aca="false">IF(OR($A57="",$D57=""),"",IF(AND(EDATE($D57,Milestones!$AA$44)&lt;=AsOfDate,EDATE($D57,Milestones!$AA$44)&gt;=SchemeStart,IF($X57=0,$AD57,IF(AND($Z57&lt;&gt;"",EDATE($D57,Milestones!$AA$44)&gt;=$Z57),$AC57,IF(AND($Y57&lt;&gt;"",EDATE($D57,Milestones!$AA$44)&gt;=$Y57),$AB57,$AA57)))=Milestones!$AB$44),UPPER(TEXT(EDATE($D57,Milestones!$AA$44),"dd mmm yy"))&amp;" "&amp;Milestones!$AB$44&amp;" "&amp;IF(AND(Milestones!$AB$44="FT",Milestones!$AA$44=FT_Y5,EDATE($D57,Milestones!$AA$44)&lt;PolicyEff),1,Milestones!$AC$44)&amp;";  ","")&amp;IF(AND(EDATE($D57,Milestones!$AA$45)&lt;=AsOfDate,EDATE($D57,Milestones!$AA$45)&gt;=SchemeStart,IF($X57=0,$AD57,IF(AND($Z57&lt;&gt;"",EDATE($D57,Milestones!$AA$45)&gt;=$Z57),$AC57,IF(AND($Y57&lt;&gt;"",EDATE($D57,Milestones!$AA$45)&gt;=$Y57),$AB57,$AA57)))=Milestones!$AB$45),UPPER(TEXT(EDATE($D57,Milestones!$AA$45),"dd mmm yy"))&amp;" "&amp;Milestones!$AB$45&amp;" "&amp;IF(AND(Milestones!$AB$45="FT",Milestones!$AA$45=FT_Y5,EDATE($D57,Milestones!$AA$45)&lt;PolicyEff),1,Milestones!$AC$45)&amp;";  ","")&amp;IF(AND(EDATE($D57,Milestones!$AA$46)&lt;=AsOfDate,EDATE($D57,Milestones!$AA$46)&gt;=SchemeStart,IF($X57=0,$AD57,IF(AND($Z57&lt;&gt;"",EDATE($D57,Milestones!$AA$46)&gt;=$Z57),$AC57,IF(AND($Y57&lt;&gt;"",EDATE($D57,Milestones!$AA$46)&gt;=$Y57),$AB57,$AA57)))=Milestones!$AB$46),UPPER(TEXT(EDATE($D57,Milestones!$AA$46),"dd mmm yy"))&amp;" "&amp;Milestones!$AB$46&amp;" "&amp;IF(AND(Milestones!$AB$46="FT",Milestones!$AA$46=FT_Y5,EDATE($D57,Milestones!$AA$46)&lt;PolicyEff),1,Milestones!$AC$46)&amp;";  ","")&amp;IF(AND(EDATE($D57,Milestones!$AA$47)&lt;=AsOfDate,EDATE($D57,Milestones!$AA$47)&gt;=SchemeStart,IF($X57=0,$AD57,IF(AND($Z57&lt;&gt;"",EDATE($D57,Milestones!$AA$47)&gt;=$Z57),$AC57,IF(AND($Y57&lt;&gt;"",EDATE($D57,Milestones!$AA$47)&gt;=$Y57),$AB57,$AA57)))=Milestones!$AB$47),UPPER(TEXT(EDATE($D57,Milestones!$AA$47),"dd mmm yy"))&amp;" "&amp;Milestones!$AB$47&amp;" "&amp;IF(AND(Milestones!$AB$47="FT",Milestones!$AA$47=FT_Y5,EDATE($D57,Milestones!$AA$47)&lt;PolicyEff),1,Milestones!$AC$47)&amp;";  ","")&amp;IF(AND(EDATE($D57,Milestones!$AA$48)&lt;=AsOfDate,EDATE($D57,Milestones!$AA$48)&gt;=SchemeStart,IF($X57=0,$AD57,IF(AND($Z57&lt;&gt;"",EDATE($D57,Milestones!$AA$48)&gt;=$Z57),$AC57,IF(AND($Y57&lt;&gt;"",EDATE($D57,Milestones!$AA$48)&gt;=$Y57),$AB57,$AA57)))=Milestones!$AB$48),UPPER(TEXT(EDATE($D57,Milestones!$AA$48),"dd mmm yy"))&amp;" "&amp;Milestones!$AB$48&amp;" "&amp;IF(AND(Milestones!$AB$48="FT",Milestones!$AA$48=FT_Y5,EDATE($D57,Milestones!$AA$48)&lt;PolicyEff),1,Milestones!$AC$48)&amp;";  ","")&amp;IF(AND(EDATE($D57,Milestones!$AA$49)&lt;=AsOfDate,EDATE($D57,Milestones!$AA$49)&gt;=SchemeStart,IF($X57=0,$AD57,IF(AND($Z57&lt;&gt;"",EDATE($D57,Milestones!$AA$49)&gt;=$Z57),$AC57,IF(AND($Y57&lt;&gt;"",EDATE($D57,Milestones!$AA$49)&gt;=$Y57),$AB57,$AA57)))=Milestones!$AB$49),UPPER(TEXT(EDATE($D57,Milestones!$AA$49),"dd mmm yy"))&amp;" "&amp;Milestones!$AB$49&amp;" "&amp;IF(AND(Milestones!$AB$49="FT",Milestones!$AA$49=FT_Y5,EDATE($D57,Milestones!$AA$49)&lt;PolicyEff),1,Milestones!$AC$49)&amp;";  ","")&amp;IF(AND(EDATE($D57,Milestones!$AA$50)&lt;=AsOfDate,EDATE($D57,Milestones!$AA$50)&gt;=SchemeStart,IF($X57=0,$AD57,IF(AND($Z57&lt;&gt;"",EDATE($D57,Milestones!$AA$50)&gt;=$Z57),$AC57,IF(AND($Y57&lt;&gt;"",EDATE($D57,Milestones!$AA$50)&gt;=$Y57),$AB57,$AA57)))=Milestones!$AB$50),UPPER(TEXT(EDATE($D57,Milestones!$AA$50),"dd mmm yy"))&amp;" "&amp;Milestones!$AB$50&amp;" "&amp;IF(AND(Milestones!$AB$50="FT",Milestones!$AA$50=FT_Y5,EDATE($D57,Milestones!$AA$50)&lt;PolicyEff),1,Milestones!$AC$50)&amp;";  ","")&amp;IF(AND(EDATE($D57,Milestones!$AA$51)&lt;=AsOfDate,EDATE($D57,Milestones!$AA$51)&gt;=SchemeStart,IF($X57=0,$AD57,IF(AND($Z57&lt;&gt;"",EDATE($D57,Milestones!$AA$51)&gt;=$Z57),$AC57,IF(AND($Y57&lt;&gt;"",EDATE($D57,Milestones!$AA$51)&gt;=$Y57),$AB57,$AA57)))=Milestones!$AB$51),UPPER(TEXT(EDATE($D57,Milestones!$AA$51),"dd mmm yy"))&amp;" "&amp;Milestones!$AB$51&amp;" "&amp;IF(AND(Milestones!$AB$51="FT",Milestones!$AA$51=FT_Y5,EDATE($D57,Milestones!$AA$51)&lt;PolicyEff),1,Milestones!$AC$51)&amp;";  ","")&amp;IF(AND(EDATE($D57,Milestones!$AA$52)&lt;=AsOfDate,EDATE($D57,Milestones!$AA$52)&gt;=SchemeStart,IF($X57=0,$AD57,IF(AND($Z57&lt;&gt;"",EDATE($D57,Milestones!$AA$52)&gt;=$Z57),$AC57,IF(AND($Y57&lt;&gt;"",EDATE($D57,Milestones!$AA$52)&gt;=$Y57),$AB57,$AA57)))=Milestones!$AB$52),UPPER(TEXT(EDATE($D57,Milestones!$AA$52),"dd mmm yy"))&amp;" "&amp;Milestones!$AB$52&amp;" "&amp;IF(AND(Milestones!$AB$52="FT",Milestones!$AA$52=FT_Y5,EDATE($D57,Milestones!$AA$52)&lt;PolicyEff),1,Milestones!$AC$52)&amp;";  ","")&amp;IF(AND(EDATE($D57,Milestones!$AA$53)&lt;=AsOfDate,EDATE($D57,Milestones!$AA$53)&gt;=SchemeStart,IF($X57=0,$AD57,IF(AND($Z57&lt;&gt;"",EDATE($D57,Milestones!$AA$53)&gt;=$Z57),$AC57,IF(AND($Y57&lt;&gt;"",EDATE($D57,Milestones!$AA$53)&gt;=$Y57),$AB57,$AA57)))=Milestones!$AB$53),UPPER(TEXT(EDATE($D57,Milestones!$AA$53),"dd mmm yy"))&amp;" "&amp;Milestones!$AB$53&amp;" "&amp;IF(AND(Milestones!$AB$53="FT",Milestones!$AA$53=FT_Y5,EDATE($D57,Milestones!$AA$53)&lt;PolicyEff),1,Milestones!$AC$53)&amp;";  ","")&amp;IF(AND(EDATE($D57,Milestones!$AA$54)&lt;=AsOfDate,EDATE($D57,Milestones!$AA$54)&gt;=SchemeStart,IF($X57=0,$AD57,IF(AND($Z57&lt;&gt;"",EDATE($D57,Milestones!$AA$54)&gt;=$Z57),$AC57,IF(AND($Y57&lt;&gt;"",EDATE($D57,Milestones!$AA$54)&gt;=$Y57),$AB57,$AA57)))=Milestones!$AB$54),UPPER(TEXT(EDATE($D57,Milestones!$AA$54),"dd mmm yy"))&amp;" "&amp;Milestones!$AB$54&amp;" "&amp;IF(AND(Milestones!$AB$54="FT",Milestones!$AA$54=FT_Y5,EDATE($D57,Milestones!$AA$54)&lt;PolicyEff),1,Milestones!$AC$54)&amp;";  ","")&amp;IF(AND(EDATE($D57,Milestones!$AA$55)&lt;=AsOfDate,EDATE($D57,Milestones!$AA$55)&gt;=SchemeStart,IF($X57=0,$AD57,IF(AND($Z57&lt;&gt;"",EDATE($D57,Milestones!$AA$55)&gt;=$Z57),$AC57,IF(AND($Y57&lt;&gt;"",EDATE($D57,Milestones!$AA$55)&gt;=$Y57),$AB57,$AA57)))=Milestones!$AB$55),UPPER(TEXT(EDATE($D57,Milestones!$AA$55),"dd mmm yy"))&amp;" "&amp;Milestones!$AB$55&amp;" "&amp;IF(AND(Milestones!$AB$55="FT",Milestones!$AA$55=FT_Y5,EDATE($D57,Milestones!$AA$55)&lt;PolicyEff),1,Milestones!$AC$55)&amp;";  ",""))</f>
        <v/>
      </c>
      <c r="L57" s="0" t="str">
        <f aca="false">IF(OR($A57="",$D57=""),"",IF(AND(EDATE($D57,Milestones!$AA$56)&lt;=AsOfDate,EDATE($D57,Milestones!$AA$56)&gt;=SchemeStart,IF($X57=0,$AD57,IF(AND($Z57&lt;&gt;"",EDATE($D57,Milestones!$AA$56)&gt;=$Z57),$AC57,IF(AND($Y57&lt;&gt;"",EDATE($D57,Milestones!$AA$56)&gt;=$Y57),$AB57,$AA57)))=Milestones!$AB$56),UPPER(TEXT(EDATE($D57,Milestones!$AA$56),"dd mmm yy"))&amp;" "&amp;Milestones!$AB$56&amp;" "&amp;IF(AND(Milestones!$AB$56="FT",Milestones!$AA$56=FT_Y5,EDATE($D57,Milestones!$AA$56)&lt;PolicyEff),1,Milestones!$AC$56)&amp;";  ","")&amp;IF(AND(EDATE($D57,Milestones!$AA$57)&lt;=AsOfDate,EDATE($D57,Milestones!$AA$57)&gt;=SchemeStart,IF($X57=0,$AD57,IF(AND($Z57&lt;&gt;"",EDATE($D57,Milestones!$AA$57)&gt;=$Z57),$AC57,IF(AND($Y57&lt;&gt;"",EDATE($D57,Milestones!$AA$57)&gt;=$Y57),$AB57,$AA57)))=Milestones!$AB$57),UPPER(TEXT(EDATE($D57,Milestones!$AA$57),"dd mmm yy"))&amp;" "&amp;Milestones!$AB$57&amp;" "&amp;IF(AND(Milestones!$AB$57="FT",Milestones!$AA$57=FT_Y5,EDATE($D57,Milestones!$AA$57)&lt;PolicyEff),1,Milestones!$AC$57)&amp;";  ","")&amp;IF(AND(EDATE($D57,Milestones!$AA$58)&lt;=AsOfDate,EDATE($D57,Milestones!$AA$58)&gt;=SchemeStart,IF($X57=0,$AD57,IF(AND($Z57&lt;&gt;"",EDATE($D57,Milestones!$AA$58)&gt;=$Z57),$AC57,IF(AND($Y57&lt;&gt;"",EDATE($D57,Milestones!$AA$58)&gt;=$Y57),$AB57,$AA57)))=Milestones!$AB$58),UPPER(TEXT(EDATE($D57,Milestones!$AA$58),"dd mmm yy"))&amp;" "&amp;Milestones!$AB$58&amp;" "&amp;IF(AND(Milestones!$AB$58="FT",Milestones!$AA$58=FT_Y5,EDATE($D57,Milestones!$AA$58)&lt;PolicyEff),1,Milestones!$AC$58)&amp;";  ","")&amp;IF(AND(EDATE($D57,Milestones!$AA$59)&lt;=AsOfDate,EDATE($D57,Milestones!$AA$59)&gt;=SchemeStart,IF($X57=0,$AD57,IF(AND($Z57&lt;&gt;"",EDATE($D57,Milestones!$AA$59)&gt;=$Z57),$AC57,IF(AND($Y57&lt;&gt;"",EDATE($D57,Milestones!$AA$59)&gt;=$Y57),$AB57,$AA57)))=Milestones!$AB$59),UPPER(TEXT(EDATE($D57,Milestones!$AA$59),"dd mmm yy"))&amp;" "&amp;Milestones!$AB$59&amp;" "&amp;IF(AND(Milestones!$AB$59="FT",Milestones!$AA$59=FT_Y5,EDATE($D57,Milestones!$AA$59)&lt;PolicyEff),1,Milestones!$AC$59)&amp;";  ","")&amp;IF(AND(EDATE($D57,Milestones!$AA$60)&lt;=AsOfDate,EDATE($D57,Milestones!$AA$60)&gt;=SchemeStart,IF($X57=0,$AD57,IF(AND($Z57&lt;&gt;"",EDATE($D57,Milestones!$AA$60)&gt;=$Z57),$AC57,IF(AND($Y57&lt;&gt;"",EDATE($D57,Milestones!$AA$60)&gt;=$Y57),$AB57,$AA57)))=Milestones!$AB$60),UPPER(TEXT(EDATE($D57,Milestones!$AA$60),"dd mmm yy"))&amp;" "&amp;Milestones!$AB$60&amp;" "&amp;IF(AND(Milestones!$AB$60="FT",Milestones!$AA$60=FT_Y5,EDATE($D57,Milestones!$AA$60)&lt;PolicyEff),1,Milestones!$AC$60)&amp;";  ","")&amp;IF(AND(EDATE($D57,Milestones!$AA$61)&lt;=AsOfDate,EDATE($D57,Milestones!$AA$61)&gt;=SchemeStart,IF($X57=0,$AD57,IF(AND($Z57&lt;&gt;"",EDATE($D57,Milestones!$AA$61)&gt;=$Z57),$AC57,IF(AND($Y57&lt;&gt;"",EDATE($D57,Milestones!$AA$61)&gt;=$Y57),$AB57,$AA57)))=Milestones!$AB$61),UPPER(TEXT(EDATE($D57,Milestones!$AA$61),"dd mmm yy"))&amp;" "&amp;Milestones!$AB$61&amp;" "&amp;IF(AND(Milestones!$AB$61="FT",Milestones!$AA$61=FT_Y5,EDATE($D57,Milestones!$AA$61)&lt;PolicyEff),1,Milestones!$AC$61)&amp;";  ","")&amp;IF(AND(EDATE($D57,Milestones!$AA$62)&lt;=AsOfDate,EDATE($D57,Milestones!$AA$62)&gt;=SchemeStart,IF($X57=0,$AD57,IF(AND($Z57&lt;&gt;"",EDATE($D57,Milestones!$AA$62)&gt;=$Z57),$AC57,IF(AND($Y57&lt;&gt;"",EDATE($D57,Milestones!$AA$62)&gt;=$Y57),$AB57,$AA57)))=Milestones!$AB$62),UPPER(TEXT(EDATE($D57,Milestones!$AA$62),"dd mmm yy"))&amp;" "&amp;Milestones!$AB$62&amp;" "&amp;IF(AND(Milestones!$AB$62="FT",Milestones!$AA$62=FT_Y5,EDATE($D57,Milestones!$AA$62)&lt;PolicyEff),1,Milestones!$AC$62)&amp;";  ","")&amp;IF(AND(EDATE($D57,Milestones!$AA$63)&lt;=AsOfDate,EDATE($D57,Milestones!$AA$63)&gt;=SchemeStart,IF($X57=0,$AD57,IF(AND($Z57&lt;&gt;"",EDATE($D57,Milestones!$AA$63)&gt;=$Z57),$AC57,IF(AND($Y57&lt;&gt;"",EDATE($D57,Milestones!$AA$63)&gt;=$Y57),$AB57,$AA57)))=Milestones!$AB$63),UPPER(TEXT(EDATE($D57,Milestones!$AA$63),"dd mmm yy"))&amp;" "&amp;Milestones!$AB$63&amp;" "&amp;IF(AND(Milestones!$AB$63="FT",Milestones!$AA$63=FT_Y5,EDATE($D57,Milestones!$AA$63)&lt;PolicyEff),1,Milestones!$AC$63)&amp;";  ","")&amp;IF(AND(EDATE($D57,Milestones!$AA$64)&lt;=AsOfDate,EDATE($D57,Milestones!$AA$64)&gt;=SchemeStart,IF($X57=0,$AD57,IF(AND($Z57&lt;&gt;"",EDATE($D57,Milestones!$AA$64)&gt;=$Z57),$AC57,IF(AND($Y57&lt;&gt;"",EDATE($D57,Milestones!$AA$64)&gt;=$Y57),$AB57,$AA57)))=Milestones!$AB$64),UPPER(TEXT(EDATE($D57,Milestones!$AA$64),"dd mmm yy"))&amp;" "&amp;Milestones!$AB$64&amp;" "&amp;IF(AND(Milestones!$AB$64="FT",Milestones!$AA$64=FT_Y5,EDATE($D57,Milestones!$AA$64)&lt;PolicyEff),1,Milestones!$AC$64)&amp;";  ","")&amp;IF(AND(EDATE($D57,Milestones!$AA$65)&lt;=AsOfDate,EDATE($D57,Milestones!$AA$65)&gt;=SchemeStart,IF($X57=0,$AD57,IF(AND($Z57&lt;&gt;"",EDATE($D57,Milestones!$AA$65)&gt;=$Z57),$AC57,IF(AND($Y57&lt;&gt;"",EDATE($D57,Milestones!$AA$65)&gt;=$Y57),$AB57,$AA57)))=Milestones!$AB$65),UPPER(TEXT(EDATE($D57,Milestones!$AA$65),"dd mmm yy"))&amp;" "&amp;Milestones!$AB$65&amp;" "&amp;IF(AND(Milestones!$AB$65="FT",Milestones!$AA$65=FT_Y5,EDATE($D57,Milestones!$AA$65)&lt;PolicyEff),1,Milestones!$AC$65)&amp;";  ","")&amp;IF(AND(EDATE($D57,Milestones!$AA$66)&lt;=AsOfDate,EDATE($D57,Milestones!$AA$66)&gt;=SchemeStart,IF($X57=0,$AD57,IF(AND($Z57&lt;&gt;"",EDATE($D57,Milestones!$AA$66)&gt;=$Z57),$AC57,IF(AND($Y57&lt;&gt;"",EDATE($D57,Milestones!$AA$66)&gt;=$Y57),$AB57,$AA57)))=Milestones!$AB$66),UPPER(TEXT(EDATE($D57,Milestones!$AA$66),"dd mmm yy"))&amp;" "&amp;Milestones!$AB$66&amp;" "&amp;IF(AND(Milestones!$AB$66="FT",Milestones!$AA$66=FT_Y5,EDATE($D57,Milestones!$AA$66)&lt;PolicyEff),1,Milestones!$AC$66)&amp;";  ","")&amp;IF(AND(EDATE($D57,Milestones!$AA$67)&lt;=AsOfDate,EDATE($D57,Milestones!$AA$67)&gt;=SchemeStart,IF($X57=0,$AD57,IF(AND($Z57&lt;&gt;"",EDATE($D57,Milestones!$AA$67)&gt;=$Z57),$AC57,IF(AND($Y57&lt;&gt;"",EDATE($D57,Milestones!$AA$67)&gt;=$Y57),$AB57,$AA57)))=Milestones!$AB$67),UPPER(TEXT(EDATE($D57,Milestones!$AA$67),"dd mmm yy"))&amp;" "&amp;Milestones!$AB$67&amp;" "&amp;IF(AND(Milestones!$AB$67="FT",Milestones!$AA$67=FT_Y5,EDATE($D57,Milestones!$AA$67)&lt;PolicyEff),1,Milestones!$AC$67)&amp;";  ",""))</f>
        <v/>
      </c>
      <c r="M57" s="0" t="str">
        <f aca="false">IF(OR($A57="",$D57=""),"",IF(AND(EDATE($D57,Milestones!$AA$68)&lt;=AsOfDate,EDATE($D57,Milestones!$AA$68)&gt;=SchemeStart,IF($X57=0,$AD57,IF(AND($Z57&lt;&gt;"",EDATE($D57,Milestones!$AA$68)&gt;=$Z57),$AC57,IF(AND($Y57&lt;&gt;"",EDATE($D57,Milestones!$AA$68)&gt;=$Y57),$AB57,$AA57)))=Milestones!$AB$68),UPPER(TEXT(EDATE($D57,Milestones!$AA$68),"dd mmm yy"))&amp;" "&amp;Milestones!$AB$68&amp;" "&amp;IF(AND(Milestones!$AB$68="FT",Milestones!$AA$68=FT_Y5,EDATE($D57,Milestones!$AA$68)&lt;PolicyEff),1,Milestones!$AC$68)&amp;";  ","")&amp;IF(AND(EDATE($D57,Milestones!$AA$69)&lt;=AsOfDate,EDATE($D57,Milestones!$AA$69)&gt;=SchemeStart,IF($X57=0,$AD57,IF(AND($Z57&lt;&gt;"",EDATE($D57,Milestones!$AA$69)&gt;=$Z57),$AC57,IF(AND($Y57&lt;&gt;"",EDATE($D57,Milestones!$AA$69)&gt;=$Y57),$AB57,$AA57)))=Milestones!$AB$69),UPPER(TEXT(EDATE($D57,Milestones!$AA$69),"dd mmm yy"))&amp;" "&amp;Milestones!$AB$69&amp;" "&amp;IF(AND(Milestones!$AB$69="FT",Milestones!$AA$69=FT_Y5,EDATE($D57,Milestones!$AA$69)&lt;PolicyEff),1,Milestones!$AC$69)&amp;";  ","")&amp;IF(AND(EDATE($D57,Milestones!$AA$70)&lt;=AsOfDate,EDATE($D57,Milestones!$AA$70)&gt;=SchemeStart,IF($X57=0,$AD57,IF(AND($Z57&lt;&gt;"",EDATE($D57,Milestones!$AA$70)&gt;=$Z57),$AC57,IF(AND($Y57&lt;&gt;"",EDATE($D57,Milestones!$AA$70)&gt;=$Y57),$AB57,$AA57)))=Milestones!$AB$70),UPPER(TEXT(EDATE($D57,Milestones!$AA$70),"dd mmm yy"))&amp;" "&amp;Milestones!$AB$70&amp;" "&amp;IF(AND(Milestones!$AB$70="FT",Milestones!$AA$70=FT_Y5,EDATE($D57,Milestones!$AA$70)&lt;PolicyEff),1,Milestones!$AC$70)&amp;";  ","")&amp;IF(AND(EDATE($D57,Milestones!$AA$71)&lt;=AsOfDate,EDATE($D57,Milestones!$AA$71)&gt;=SchemeStart,IF($X57=0,$AD57,IF(AND($Z57&lt;&gt;"",EDATE($D57,Milestones!$AA$71)&gt;=$Z57),$AC57,IF(AND($Y57&lt;&gt;"",EDATE($D57,Milestones!$AA$71)&gt;=$Y57),$AB57,$AA57)))=Milestones!$AB$71),UPPER(TEXT(EDATE($D57,Milestones!$AA$71),"dd mmm yy"))&amp;" "&amp;Milestones!$AB$71&amp;" "&amp;IF(AND(Milestones!$AB$71="FT",Milestones!$AA$71=FT_Y5,EDATE($D57,Milestones!$AA$71)&lt;PolicyEff),1,Milestones!$AC$71)&amp;";  ","")&amp;IF(AND(EDATE($D57,Milestones!$AA$72)&lt;=AsOfDate,EDATE($D57,Milestones!$AA$72)&gt;=SchemeStart,IF($X57=0,$AD57,IF(AND($Z57&lt;&gt;"",EDATE($D57,Milestones!$AA$72)&gt;=$Z57),$AC57,IF(AND($Y57&lt;&gt;"",EDATE($D57,Milestones!$AA$72)&gt;=$Y57),$AB57,$AA57)))=Milestones!$AB$72),UPPER(TEXT(EDATE($D57,Milestones!$AA$72),"dd mmm yy"))&amp;" "&amp;Milestones!$AB$72&amp;" "&amp;IF(AND(Milestones!$AB$72="FT",Milestones!$AA$72=FT_Y5,EDATE($D57,Milestones!$AA$72)&lt;PolicyEff),1,Milestones!$AC$72)&amp;";  ","")&amp;IF(AND(EDATE($D57,Milestones!$AA$73)&lt;=AsOfDate,EDATE($D57,Milestones!$AA$73)&gt;=SchemeStart,IF($X57=0,$AD57,IF(AND($Z57&lt;&gt;"",EDATE($D57,Milestones!$AA$73)&gt;=$Z57),$AC57,IF(AND($Y57&lt;&gt;"",EDATE($D57,Milestones!$AA$73)&gt;=$Y57),$AB57,$AA57)))=Milestones!$AB$73),UPPER(TEXT(EDATE($D57,Milestones!$AA$73),"dd mmm yy"))&amp;" "&amp;Milestones!$AB$73&amp;" "&amp;IF(AND(Milestones!$AB$73="FT",Milestones!$AA$73=FT_Y5,EDATE($D57,Milestones!$AA$73)&lt;PolicyEff),1,Milestones!$AC$73)&amp;";  ","")&amp;IF(AND(EDATE($D57,Milestones!$AA$74)&lt;=AsOfDate,EDATE($D57,Milestones!$AA$74)&gt;=SchemeStart,IF($X57=0,$AD57,IF(AND($Z57&lt;&gt;"",EDATE($D57,Milestones!$AA$74)&gt;=$Z57),$AC57,IF(AND($Y57&lt;&gt;"",EDATE($D57,Milestones!$AA$74)&gt;=$Y57),$AB57,$AA57)))=Milestones!$AB$74),UPPER(TEXT(EDATE($D57,Milestones!$AA$74),"dd mmm yy"))&amp;" "&amp;Milestones!$AB$74&amp;" "&amp;IF(AND(Milestones!$AB$74="FT",Milestones!$AA$74=FT_Y5,EDATE($D57,Milestones!$AA$74)&lt;PolicyEff),1,Milestones!$AC$74)&amp;";  ","")&amp;IF(AND(EDATE($D57,Milestones!$AA$75)&lt;=AsOfDate,EDATE($D57,Milestones!$AA$75)&gt;=SchemeStart,IF($X57=0,$AD57,IF(AND($Z57&lt;&gt;"",EDATE($D57,Milestones!$AA$75)&gt;=$Z57),$AC57,IF(AND($Y57&lt;&gt;"",EDATE($D57,Milestones!$AA$75)&gt;=$Y57),$AB57,$AA57)))=Milestones!$AB$75),UPPER(TEXT(EDATE($D57,Milestones!$AA$75),"dd mmm yy"))&amp;" "&amp;Milestones!$AB$75&amp;" "&amp;IF(AND(Milestones!$AB$75="FT",Milestones!$AA$75=FT_Y5,EDATE($D57,Milestones!$AA$75)&lt;PolicyEff),1,Milestones!$AC$75)&amp;";  ","")&amp;IF(AND(EDATE($D57,Milestones!$AA$76)&lt;=AsOfDate,EDATE($D57,Milestones!$AA$76)&gt;=SchemeStart,IF($X57=0,$AD57,IF(AND($Z57&lt;&gt;"",EDATE($D57,Milestones!$AA$76)&gt;=$Z57),$AC57,IF(AND($Y57&lt;&gt;"",EDATE($D57,Milestones!$AA$76)&gt;=$Y57),$AB57,$AA57)))=Milestones!$AB$76),UPPER(TEXT(EDATE($D57,Milestones!$AA$76),"dd mmm yy"))&amp;" "&amp;Milestones!$AB$76&amp;" "&amp;IF(AND(Milestones!$AB$76="FT",Milestones!$AA$76=FT_Y5,EDATE($D57,Milestones!$AA$76)&lt;PolicyEff),1,Milestones!$AC$76)&amp;";  ","")&amp;IF(AND(EDATE($D57,Milestones!$AA$77)&lt;=AsOfDate,EDATE($D57,Milestones!$AA$77)&gt;=SchemeStart,IF($X57=0,$AD57,IF(AND($Z57&lt;&gt;"",EDATE($D57,Milestones!$AA$77)&gt;=$Z57),$AC57,IF(AND($Y57&lt;&gt;"",EDATE($D57,Milestones!$AA$77)&gt;=$Y57),$AB57,$AA57)))=Milestones!$AB$77),UPPER(TEXT(EDATE($D57,Milestones!$AA$77),"dd mmm yy"))&amp;" "&amp;Milestones!$AB$77&amp;" "&amp;IF(AND(Milestones!$AB$77="FT",Milestones!$AA$77=FT_Y5,EDATE($D57,Milestones!$AA$77)&lt;PolicyEff),1,Milestones!$AC$77)&amp;";  ","")&amp;IF(AND(EDATE($D57,Milestones!$AA$78)&lt;=AsOfDate,EDATE($D57,Milestones!$AA$78)&gt;=SchemeStart,IF($X57=0,$AD57,IF(AND($Z57&lt;&gt;"",EDATE($D57,Milestones!$AA$78)&gt;=$Z57),$AC57,IF(AND($Y57&lt;&gt;"",EDATE($D57,Milestones!$AA$78)&gt;=$Y57),$AB57,$AA57)))=Milestones!$AB$78),UPPER(TEXT(EDATE($D57,Milestones!$AA$78),"dd mmm yy"))&amp;" "&amp;Milestones!$AB$78&amp;" "&amp;IF(AND(Milestones!$AB$78="FT",Milestones!$AA$78=FT_Y5,EDATE($D57,Milestones!$AA$78)&lt;PolicyEff),1,Milestones!$AC$78)&amp;";  ","")&amp;IF(AND(EDATE($D57,Milestones!$AA$79)&lt;=AsOfDate,EDATE($D57,Milestones!$AA$79)&gt;=SchemeStart,IF($X57=0,$AD57,IF(AND($Z57&lt;&gt;"",EDATE($D57,Milestones!$AA$79)&gt;=$Z57),$AC57,IF(AND($Y57&lt;&gt;"",EDATE($D57,Milestones!$AA$79)&gt;=$Y57),$AB57,$AA57)))=Milestones!$AB$79),UPPER(TEXT(EDATE($D57,Milestones!$AA$79),"dd mmm yy"))&amp;" "&amp;Milestones!$AB$79&amp;" "&amp;IF(AND(Milestones!$AB$79="FT",Milestones!$AA$79=FT_Y5,EDATE($D57,Milestones!$AA$79)&lt;PolicyEff),1,Milestones!$AC$79)&amp;";  ",""))</f>
        <v/>
      </c>
      <c r="N57" s="0" t="str">
        <f aca="false">IF(OR($A57="",$D57=""),"",IF(AND(EDATE($D57,Milestones!$AA$80)&lt;=AsOfDate,EDATE($D57,Milestones!$AA$80)&gt;=SchemeStart,IF($X57=0,$AD57,IF(AND($Z57&lt;&gt;"",EDATE($D57,Milestones!$AA$80)&gt;=$Z57),$AC57,IF(AND($Y57&lt;&gt;"",EDATE($D57,Milestones!$AA$80)&gt;=$Y57),$AB57,$AA57)))=Milestones!$AB$80),UPPER(TEXT(EDATE($D57,Milestones!$AA$80),"dd mmm yy"))&amp;" "&amp;Milestones!$AB$80&amp;" "&amp;IF(AND(Milestones!$AB$80="FT",Milestones!$AA$80=FT_Y5,EDATE($D57,Milestones!$AA$80)&lt;PolicyEff),1,Milestones!$AC$80)&amp;";  ","")&amp;IF(AND(EDATE($D57,Milestones!$AA$81)&lt;=AsOfDate,EDATE($D57,Milestones!$AA$81)&gt;=SchemeStart,IF($X57=0,$AD57,IF(AND($Z57&lt;&gt;"",EDATE($D57,Milestones!$AA$81)&gt;=$Z57),$AC57,IF(AND($Y57&lt;&gt;"",EDATE($D57,Milestones!$AA$81)&gt;=$Y57),$AB57,$AA57)))=Milestones!$AB$81),UPPER(TEXT(EDATE($D57,Milestones!$AA$81),"dd mmm yy"))&amp;" "&amp;Milestones!$AB$81&amp;" "&amp;IF(AND(Milestones!$AB$81="FT",Milestones!$AA$81=FT_Y5,EDATE($D57,Milestones!$AA$81)&lt;PolicyEff),1,Milestones!$AC$81)&amp;";  ","")&amp;IF(AND(EDATE($D57,Milestones!$AA$82)&lt;=AsOfDate,EDATE($D57,Milestones!$AA$82)&gt;=SchemeStart,IF($X57=0,$AD57,IF(AND($Z57&lt;&gt;"",EDATE($D57,Milestones!$AA$82)&gt;=$Z57),$AC57,IF(AND($Y57&lt;&gt;"",EDATE($D57,Milestones!$AA$82)&gt;=$Y57),$AB57,$AA57)))=Milestones!$AB$82),UPPER(TEXT(EDATE($D57,Milestones!$AA$82),"dd mmm yy"))&amp;" "&amp;Milestones!$AB$82&amp;" "&amp;IF(AND(Milestones!$AB$82="FT",Milestones!$AA$82=FT_Y5,EDATE($D57,Milestones!$AA$82)&lt;PolicyEff),1,Milestones!$AC$82)&amp;";  ","")&amp;IF(AND(EDATE($D57,Milestones!$AA$83)&lt;=AsOfDate,EDATE($D57,Milestones!$AA$83)&gt;=SchemeStart,IF($X57=0,$AD57,IF(AND($Z57&lt;&gt;"",EDATE($D57,Milestones!$AA$83)&gt;=$Z57),$AC57,IF(AND($Y57&lt;&gt;"",EDATE($D57,Milestones!$AA$83)&gt;=$Y57),$AB57,$AA57)))=Milestones!$AB$83),UPPER(TEXT(EDATE($D57,Milestones!$AA$83),"dd mmm yy"))&amp;" "&amp;Milestones!$AB$83&amp;" "&amp;IF(AND(Milestones!$AB$83="FT",Milestones!$AA$83=FT_Y5,EDATE($D57,Milestones!$AA$83)&lt;PolicyEff),1,Milestones!$AC$83)&amp;";  ","")&amp;IF(AND(EDATE($D57,Milestones!$AA$84)&lt;=AsOfDate,EDATE($D57,Milestones!$AA$84)&gt;=SchemeStart,IF($X57=0,$AD57,IF(AND($Z57&lt;&gt;"",EDATE($D57,Milestones!$AA$84)&gt;=$Z57),$AC57,IF(AND($Y57&lt;&gt;"",EDATE($D57,Milestones!$AA$84)&gt;=$Y57),$AB57,$AA57)))=Milestones!$AB$84),UPPER(TEXT(EDATE($D57,Milestones!$AA$84),"dd mmm yy"))&amp;" "&amp;Milestones!$AB$84&amp;" "&amp;IF(AND(Milestones!$AB$84="FT",Milestones!$AA$84=FT_Y5,EDATE($D57,Milestones!$AA$84)&lt;PolicyEff),1,Milestones!$AC$84)&amp;";  ","")&amp;IF(AND(EDATE($D57,Milestones!$AA$85)&lt;=AsOfDate,EDATE($D57,Milestones!$AA$85)&gt;=SchemeStart,IF($X57=0,$AD57,IF(AND($Z57&lt;&gt;"",EDATE($D57,Milestones!$AA$85)&gt;=$Z57),$AC57,IF(AND($Y57&lt;&gt;"",EDATE($D57,Milestones!$AA$85)&gt;=$Y57),$AB57,$AA57)))=Milestones!$AB$85),UPPER(TEXT(EDATE($D57,Milestones!$AA$85),"dd mmm yy"))&amp;" "&amp;Milestones!$AB$85&amp;" "&amp;IF(AND(Milestones!$AB$85="FT",Milestones!$AA$85=FT_Y5,EDATE($D57,Milestones!$AA$85)&lt;PolicyEff),1,Milestones!$AC$85)&amp;";  ","")&amp;IF(AND(EDATE($D57,Milestones!$AA$86)&lt;=AsOfDate,EDATE($D57,Milestones!$AA$86)&gt;=SchemeStart,IF($X57=0,$AD57,IF(AND($Z57&lt;&gt;"",EDATE($D57,Milestones!$AA$86)&gt;=$Z57),$AC57,IF(AND($Y57&lt;&gt;"",EDATE($D57,Milestones!$AA$86)&gt;=$Y57),$AB57,$AA57)))=Milestones!$AB$86),UPPER(TEXT(EDATE($D57,Milestones!$AA$86),"dd mmm yy"))&amp;" "&amp;Milestones!$AB$86&amp;" "&amp;IF(AND(Milestones!$AB$86="FT",Milestones!$AA$86=FT_Y5,EDATE($D57,Milestones!$AA$86)&lt;PolicyEff),1,Milestones!$AC$86)&amp;";  ","")&amp;IF(AND(EDATE($D57,Milestones!$AA$87)&lt;=AsOfDate,EDATE($D57,Milestones!$AA$87)&gt;=SchemeStart,IF($X57=0,$AD57,IF(AND($Z57&lt;&gt;"",EDATE($D57,Milestones!$AA$87)&gt;=$Z57),$AC57,IF(AND($Y57&lt;&gt;"",EDATE($D57,Milestones!$AA$87)&gt;=$Y57),$AB57,$AA57)))=Milestones!$AB$87),UPPER(TEXT(EDATE($D57,Milestones!$AA$87),"dd mmm yy"))&amp;" "&amp;Milestones!$AB$87&amp;" "&amp;IF(AND(Milestones!$AB$87="FT",Milestones!$AA$87=FT_Y5,EDATE($D57,Milestones!$AA$87)&lt;PolicyEff),1,Milestones!$AC$87)&amp;";  ","")&amp;IF(AND(EDATE($D57,Milestones!$AA$88)&lt;=AsOfDate,EDATE($D57,Milestones!$AA$88)&gt;=SchemeStart,IF($X57=0,$AD57,IF(AND($Z57&lt;&gt;"",EDATE($D57,Milestones!$AA$88)&gt;=$Z57),$AC57,IF(AND($Y57&lt;&gt;"",EDATE($D57,Milestones!$AA$88)&gt;=$Y57),$AB57,$AA57)))=Milestones!$AB$88),UPPER(TEXT(EDATE($D57,Milestones!$AA$88),"dd mmm yy"))&amp;" "&amp;Milestones!$AB$88&amp;" "&amp;IF(AND(Milestones!$AB$88="FT",Milestones!$AA$88=FT_Y5,EDATE($D57,Milestones!$AA$88)&lt;PolicyEff),1,Milestones!$AC$88)&amp;";  ","")&amp;IF(AND(EDATE($D57,Milestones!$AA$89)&lt;=AsOfDate,EDATE($D57,Milestones!$AA$89)&gt;=SchemeStart,IF($X57=0,$AD57,IF(AND($Z57&lt;&gt;"",EDATE($D57,Milestones!$AA$89)&gt;=$Z57),$AC57,IF(AND($Y57&lt;&gt;"",EDATE($D57,Milestones!$AA$89)&gt;=$Y57),$AB57,$AA57)))=Milestones!$AB$89),UPPER(TEXT(EDATE($D57,Milestones!$AA$89),"dd mmm yy"))&amp;" "&amp;Milestones!$AB$89&amp;" "&amp;IF(AND(Milestones!$AB$89="FT",Milestones!$AA$89=FT_Y5,EDATE($D57,Milestones!$AA$89)&lt;PolicyEff),1,Milestones!$AC$89)&amp;";  ","")&amp;IF(AND(EDATE($D57,Milestones!$AA$90)&lt;=AsOfDate,EDATE($D57,Milestones!$AA$90)&gt;=SchemeStart,IF($X57=0,$AD57,IF(AND($Z57&lt;&gt;"",EDATE($D57,Milestones!$AA$90)&gt;=$Z57),$AC57,IF(AND($Y57&lt;&gt;"",EDATE($D57,Milestones!$AA$90)&gt;=$Y57),$AB57,$AA57)))=Milestones!$AB$90),UPPER(TEXT(EDATE($D57,Milestones!$AA$90),"dd mmm yy"))&amp;" "&amp;Milestones!$AB$90&amp;" "&amp;IF(AND(Milestones!$AB$90="FT",Milestones!$AA$90=FT_Y5,EDATE($D57,Milestones!$AA$90)&lt;PolicyEff),1,Milestones!$AC$90)&amp;";  ","")&amp;IF(AND(EDATE($D57,Milestones!$AA$91)&lt;=AsOfDate,EDATE($D57,Milestones!$AA$91)&gt;=SchemeStart,IF($X57=0,$AD57,IF(AND($Z57&lt;&gt;"",EDATE($D57,Milestones!$AA$91)&gt;=$Z57),$AC57,IF(AND($Y57&lt;&gt;"",EDATE($D57,Milestones!$AA$91)&gt;=$Y57),$AB57,$AA57)))=Milestones!$AB$91),UPPER(TEXT(EDATE($D57,Milestones!$AA$91),"dd mmm yy"))&amp;" "&amp;Milestones!$AB$91&amp;" "&amp;IF(AND(Milestones!$AB$91="FT",Milestones!$AA$91=FT_Y5,EDATE($D57,Milestones!$AA$91)&lt;PolicyEff),1,Milestones!$AC$91)&amp;";  ",""))</f>
        <v/>
      </c>
      <c r="O57" s="0" t="str">
        <f aca="false">IF(OR($A57="",$D57=""),"",IF(AND(EDATE($D57,Milestones!$AA$92)&lt;=AsOfDate,EDATE($D57,Milestones!$AA$92)&gt;=SchemeStart,IF($X57=0,$AD57,IF(AND($Z57&lt;&gt;"",EDATE($D57,Milestones!$AA$92)&gt;=$Z57),$AC57,IF(AND($Y57&lt;&gt;"",EDATE($D57,Milestones!$AA$92)&gt;=$Y57),$AB57,$AA57)))=Milestones!$AB$92),UPPER(TEXT(EDATE($D57,Milestones!$AA$92),"dd mmm yy"))&amp;" "&amp;Milestones!$AB$92&amp;" "&amp;IF(AND(Milestones!$AB$92="FT",Milestones!$AA$92=FT_Y5,EDATE($D57,Milestones!$AA$92)&lt;PolicyEff),1,Milestones!$AC$92)&amp;";  ","")&amp;IF(AND(EDATE($D57,Milestones!$AA$93)&lt;=AsOfDate,EDATE($D57,Milestones!$AA$93)&gt;=SchemeStart,IF($X57=0,$AD57,IF(AND($Z57&lt;&gt;"",EDATE($D57,Milestones!$AA$93)&gt;=$Z57),$AC57,IF(AND($Y57&lt;&gt;"",EDATE($D57,Milestones!$AA$93)&gt;=$Y57),$AB57,$AA57)))=Milestones!$AB$93),UPPER(TEXT(EDATE($D57,Milestones!$AA$93),"dd mmm yy"))&amp;" "&amp;Milestones!$AB$93&amp;" "&amp;IF(AND(Milestones!$AB$93="FT",Milestones!$AA$93=FT_Y5,EDATE($D57,Milestones!$AA$93)&lt;PolicyEff),1,Milestones!$AC$93)&amp;";  ","")&amp;IF(AND(EDATE($D57,Milestones!$AA$94)&lt;=AsOfDate,EDATE($D57,Milestones!$AA$94)&gt;=SchemeStart,IF($X57=0,$AD57,IF(AND($Z57&lt;&gt;"",EDATE($D57,Milestones!$AA$94)&gt;=$Z57),$AC57,IF(AND($Y57&lt;&gt;"",EDATE($D57,Milestones!$AA$94)&gt;=$Y57),$AB57,$AA57)))=Milestones!$AB$94),UPPER(TEXT(EDATE($D57,Milestones!$AA$94),"dd mmm yy"))&amp;" "&amp;Milestones!$AB$94&amp;" "&amp;IF(AND(Milestones!$AB$94="FT",Milestones!$AA$94=FT_Y5,EDATE($D57,Milestones!$AA$94)&lt;PolicyEff),1,Milestones!$AC$94)&amp;";  ","")&amp;IF(AND(EDATE($D57,Milestones!$AA$95)&lt;=AsOfDate,EDATE($D57,Milestones!$AA$95)&gt;=SchemeStart,IF($X57=0,$AD57,IF(AND($Z57&lt;&gt;"",EDATE($D57,Milestones!$AA$95)&gt;=$Z57),$AC57,IF(AND($Y57&lt;&gt;"",EDATE($D57,Milestones!$AA$95)&gt;=$Y57),$AB57,$AA57)))=Milestones!$AB$95),UPPER(TEXT(EDATE($D57,Milestones!$AA$95),"dd mmm yy"))&amp;" "&amp;Milestones!$AB$95&amp;" "&amp;IF(AND(Milestones!$AB$95="FT",Milestones!$AA$95=FT_Y5,EDATE($D57,Milestones!$AA$95)&lt;PolicyEff),1,Milestones!$AC$95)&amp;";  ","")&amp;IF(AND(EDATE($D57,Milestones!$AA$96)&lt;=AsOfDate,EDATE($D57,Milestones!$AA$96)&gt;=SchemeStart,IF($X57=0,$AD57,IF(AND($Z57&lt;&gt;"",EDATE($D57,Milestones!$AA$96)&gt;=$Z57),$AC57,IF(AND($Y57&lt;&gt;"",EDATE($D57,Milestones!$AA$96)&gt;=$Y57),$AB57,$AA57)))=Milestones!$AB$96),UPPER(TEXT(EDATE($D57,Milestones!$AA$96),"dd mmm yy"))&amp;" "&amp;Milestones!$AB$96&amp;" "&amp;IF(AND(Milestones!$AB$96="FT",Milestones!$AA$96=FT_Y5,EDATE($D57,Milestones!$AA$96)&lt;PolicyEff),1,Milestones!$AC$96)&amp;";  ","")&amp;IF(AND(EDATE($D57,Milestones!$AA$97)&lt;=AsOfDate,EDATE($D57,Milestones!$AA$97)&gt;=SchemeStart,IF($X57=0,$AD57,IF(AND($Z57&lt;&gt;"",EDATE($D57,Milestones!$AA$97)&gt;=$Z57),$AC57,IF(AND($Y57&lt;&gt;"",EDATE($D57,Milestones!$AA$97)&gt;=$Y57),$AB57,$AA57)))=Milestones!$AB$97),UPPER(TEXT(EDATE($D57,Milestones!$AA$97),"dd mmm yy"))&amp;" "&amp;Milestones!$AB$97&amp;" "&amp;IF(AND(Milestones!$AB$97="FT",Milestones!$AA$97=FT_Y5,EDATE($D57,Milestones!$AA$97)&lt;PolicyEff),1,Milestones!$AC$97)&amp;";  ","")&amp;IF(AND(EDATE($D57,Milestones!$AA$98)&lt;=AsOfDate,EDATE($D57,Milestones!$AA$98)&gt;=SchemeStart,IF($X57=0,$AD57,IF(AND($Z57&lt;&gt;"",EDATE($D57,Milestones!$AA$98)&gt;=$Z57),$AC57,IF(AND($Y57&lt;&gt;"",EDATE($D57,Milestones!$AA$98)&gt;=$Y57),$AB57,$AA57)))=Milestones!$AB$98),UPPER(TEXT(EDATE($D57,Milestones!$AA$98),"dd mmm yy"))&amp;" "&amp;Milestones!$AB$98&amp;" "&amp;IF(AND(Milestones!$AB$98="FT",Milestones!$AA$98=FT_Y5,EDATE($D57,Milestones!$AA$98)&lt;PolicyEff),1,Milestones!$AC$98)&amp;";  ","")&amp;IF(AND(EDATE($D57,Milestones!$AA$99)&lt;=AsOfDate,EDATE($D57,Milestones!$AA$99)&gt;=SchemeStart,IF($X57=0,$AD57,IF(AND($Z57&lt;&gt;"",EDATE($D57,Milestones!$AA$99)&gt;=$Z57),$AC57,IF(AND($Y57&lt;&gt;"",EDATE($D57,Milestones!$AA$99)&gt;=$Y57),$AB57,$AA57)))=Milestones!$AB$99),UPPER(TEXT(EDATE($D57,Milestones!$AA$99),"dd mmm yy"))&amp;" "&amp;Milestones!$AB$99&amp;" "&amp;IF(AND(Milestones!$AB$99="FT",Milestones!$AA$99=FT_Y5,EDATE($D57,Milestones!$AA$99)&lt;PolicyEff),1,Milestones!$AC$99)&amp;";  ","")&amp;IF(AND(EDATE($D57,Milestones!$AA$100)&lt;=AsOfDate,EDATE($D57,Milestones!$AA$100)&gt;=SchemeStart,IF($X57=0,$AD57,IF(AND($Z57&lt;&gt;"",EDATE($D57,Milestones!$AA$100)&gt;=$Z57),$AC57,IF(AND($Y57&lt;&gt;"",EDATE($D57,Milestones!$AA$100)&gt;=$Y57),$AB57,$AA57)))=Milestones!$AB$100),UPPER(TEXT(EDATE($D57,Milestones!$AA$100),"dd mmm yy"))&amp;" "&amp;Milestones!$AB$100&amp;" "&amp;IF(AND(Milestones!$AB$100="FT",Milestones!$AA$100=FT_Y5,EDATE($D57,Milestones!$AA$100)&lt;PolicyEff),1,Milestones!$AC$100)&amp;";  ","")&amp;IF(AND(EDATE($D57,Milestones!$AA$101)&lt;=AsOfDate,EDATE($D57,Milestones!$AA$101)&gt;=SchemeStart,IF($X57=0,$AD57,IF(AND($Z57&lt;&gt;"",EDATE($D57,Milestones!$AA$101)&gt;=$Z57),$AC57,IF(AND($Y57&lt;&gt;"",EDATE($D57,Milestones!$AA$101)&gt;=$Y57),$AB57,$AA57)))=Milestones!$AB$101),UPPER(TEXT(EDATE($D57,Milestones!$AA$101),"dd mmm yy"))&amp;" "&amp;Milestones!$AB$101&amp;" "&amp;IF(AND(Milestones!$AB$101="FT",Milestones!$AA$101=FT_Y5,EDATE($D57,Milestones!$AA$101)&lt;PolicyEff),1,Milestones!$AC$101)&amp;";  ","")&amp;IF(AND(EDATE($D57,Milestones!$AA$102)&lt;=AsOfDate,EDATE($D57,Milestones!$AA$102)&gt;=SchemeStart,IF($X57=0,$AD57,IF(AND($Z57&lt;&gt;"",EDATE($D57,Milestones!$AA$102)&gt;=$Z57),$AC57,IF(AND($Y57&lt;&gt;"",EDATE($D57,Milestones!$AA$102)&gt;=$Y57),$AB57,$AA57)))=Milestones!$AB$102),UPPER(TEXT(EDATE($D57,Milestones!$AA$102),"dd mmm yy"))&amp;" "&amp;Milestones!$AB$102&amp;" "&amp;IF(AND(Milestones!$AB$102="FT",Milestones!$AA$102=FT_Y5,EDATE($D57,Milestones!$AA$102)&lt;PolicyEff),1,Milestones!$AC$102)&amp;";  ","")&amp;IF(AND(EDATE($D57,Milestones!$AA$103)&lt;=AsOfDate,EDATE($D57,Milestones!$AA$103)&gt;=SchemeStart,IF($X57=0,$AD57,IF(AND($Z57&lt;&gt;"",EDATE($D57,Milestones!$AA$103)&gt;=$Z57),$AC57,IF(AND($Y57&lt;&gt;"",EDATE($D57,Milestones!$AA$103)&gt;=$Y57),$AB57,$AA57)))=Milestones!$AB$103),UPPER(TEXT(EDATE($D57,Milestones!$AA$103),"dd mmm yy"))&amp;" "&amp;Milestones!$AB$103&amp;" "&amp;IF(AND(Milestones!$AB$103="FT",Milestones!$AA$103=FT_Y5,EDATE($D57,Milestones!$AA$103)&lt;PolicyEff),1,Milestones!$AC$103)&amp;";  ",""))</f>
        <v/>
      </c>
      <c r="P57" s="0" t="str">
        <f aca="false">IF(OR($A57="",$D57=""),"",IF(AND(EDATE($D57,Milestones!$AA$104)&lt;=AsOfDate,EDATE($D57,Milestones!$AA$104)&gt;=SchemeStart,IF($X57=0,$AD57,IF(AND($Z57&lt;&gt;"",EDATE($D57,Milestones!$AA$104)&gt;=$Z57),$AC57,IF(AND($Y57&lt;&gt;"",EDATE($D57,Milestones!$AA$104)&gt;=$Y57),$AB57,$AA57)))=Milestones!$AB$104),UPPER(TEXT(EDATE($D57,Milestones!$AA$104),"dd mmm yy"))&amp;" "&amp;Milestones!$AB$104&amp;" "&amp;IF(AND(Milestones!$AB$104="FT",Milestones!$AA$104=FT_Y5,EDATE($D57,Milestones!$AA$104)&lt;PolicyEff),1,Milestones!$AC$104)&amp;";  ","")&amp;IF(AND(EDATE($D57,Milestones!$AA$105)&lt;=AsOfDate,EDATE($D57,Milestones!$AA$105)&gt;=SchemeStart,IF($X57=0,$AD57,IF(AND($Z57&lt;&gt;"",EDATE($D57,Milestones!$AA$105)&gt;=$Z57),$AC57,IF(AND($Y57&lt;&gt;"",EDATE($D57,Milestones!$AA$105)&gt;=$Y57),$AB57,$AA57)))=Milestones!$AB$105),UPPER(TEXT(EDATE($D57,Milestones!$AA$105),"dd mmm yy"))&amp;" "&amp;Milestones!$AB$105&amp;" "&amp;IF(AND(Milestones!$AB$105="FT",Milestones!$AA$105=FT_Y5,EDATE($D57,Milestones!$AA$105)&lt;PolicyEff),1,Milestones!$AC$105)&amp;";  ","")&amp;IF(AND(EDATE($D57,Milestones!$AA$106)&lt;=AsOfDate,EDATE($D57,Milestones!$AA$106)&gt;=SchemeStart,IF($X57=0,$AD57,IF(AND($Z57&lt;&gt;"",EDATE($D57,Milestones!$AA$106)&gt;=$Z57),$AC57,IF(AND($Y57&lt;&gt;"",EDATE($D57,Milestones!$AA$106)&gt;=$Y57),$AB57,$AA57)))=Milestones!$AB$106),UPPER(TEXT(EDATE($D57,Milestones!$AA$106),"dd mmm yy"))&amp;" "&amp;Milestones!$AB$106&amp;" "&amp;IF(AND(Milestones!$AB$106="FT",Milestones!$AA$106=FT_Y5,EDATE($D57,Milestones!$AA$106)&lt;PolicyEff),1,Milestones!$AC$106)&amp;";  ","")&amp;IF(AND(EDATE($D57,Milestones!$AA$107)&lt;=AsOfDate,EDATE($D57,Milestones!$AA$107)&gt;=SchemeStart,IF($X57=0,$AD57,IF(AND($Z57&lt;&gt;"",EDATE($D57,Milestones!$AA$107)&gt;=$Z57),$AC57,IF(AND($Y57&lt;&gt;"",EDATE($D57,Milestones!$AA$107)&gt;=$Y57),$AB57,$AA57)))=Milestones!$AB$107),UPPER(TEXT(EDATE($D57,Milestones!$AA$107),"dd mmm yy"))&amp;" "&amp;Milestones!$AB$107&amp;" "&amp;IF(AND(Milestones!$AB$107="FT",Milestones!$AA$107=FT_Y5,EDATE($D57,Milestones!$AA$107)&lt;PolicyEff),1,Milestones!$AC$107)&amp;";  ","")&amp;IF(AND(EDATE($D57,Milestones!$AA$108)&lt;=AsOfDate,EDATE($D57,Milestones!$AA$108)&gt;=SchemeStart,IF($X57=0,$AD57,IF(AND($Z57&lt;&gt;"",EDATE($D57,Milestones!$AA$108)&gt;=$Z57),$AC57,IF(AND($Y57&lt;&gt;"",EDATE($D57,Milestones!$AA$108)&gt;=$Y57),$AB57,$AA57)))=Milestones!$AB$108),UPPER(TEXT(EDATE($D57,Milestones!$AA$108),"dd mmm yy"))&amp;" "&amp;Milestones!$AB$108&amp;" "&amp;IF(AND(Milestones!$AB$108="FT",Milestones!$AA$108=FT_Y5,EDATE($D57,Milestones!$AA$108)&lt;PolicyEff),1,Milestones!$AC$108)&amp;";  ","")&amp;IF(AND(EDATE($D57,Milestones!$AA$109)&lt;=AsOfDate,EDATE($D57,Milestones!$AA$109)&gt;=SchemeStart,IF($X57=0,$AD57,IF(AND($Z57&lt;&gt;"",EDATE($D57,Milestones!$AA$109)&gt;=$Z57),$AC57,IF(AND($Y57&lt;&gt;"",EDATE($D57,Milestones!$AA$109)&gt;=$Y57),$AB57,$AA57)))=Milestones!$AB$109),UPPER(TEXT(EDATE($D57,Milestones!$AA$109),"dd mmm yy"))&amp;" "&amp;Milestones!$AB$109&amp;" "&amp;IF(AND(Milestones!$AB$109="FT",Milestones!$AA$109=FT_Y5,EDATE($D57,Milestones!$AA$109)&lt;PolicyEff),1,Milestones!$AC$109)&amp;";  ","")&amp;IF(AND(EDATE($D57,Milestones!$AA$110)&lt;=AsOfDate,EDATE($D57,Milestones!$AA$110)&gt;=SchemeStart,IF($X57=0,$AD57,IF(AND($Z57&lt;&gt;"",EDATE($D57,Milestones!$AA$110)&gt;=$Z57),$AC57,IF(AND($Y57&lt;&gt;"",EDATE($D57,Milestones!$AA$110)&gt;=$Y57),$AB57,$AA57)))=Milestones!$AB$110),UPPER(TEXT(EDATE($D57,Milestones!$AA$110),"dd mmm yy"))&amp;" "&amp;Milestones!$AB$110&amp;" "&amp;IF(AND(Milestones!$AB$110="FT",Milestones!$AA$110=FT_Y5,EDATE($D57,Milestones!$AA$110)&lt;PolicyEff),1,Milestones!$AC$110)&amp;";  ","")&amp;IF(AND(EDATE($D57,Milestones!$AA$111)&lt;=AsOfDate,EDATE($D57,Milestones!$AA$111)&gt;=SchemeStart,IF($X57=0,$AD57,IF(AND($Z57&lt;&gt;"",EDATE($D57,Milestones!$AA$111)&gt;=$Z57),$AC57,IF(AND($Y57&lt;&gt;"",EDATE($D57,Milestones!$AA$111)&gt;=$Y57),$AB57,$AA57)))=Milestones!$AB$111),UPPER(TEXT(EDATE($D57,Milestones!$AA$111),"dd mmm yy"))&amp;" "&amp;Milestones!$AB$111&amp;" "&amp;IF(AND(Milestones!$AB$111="FT",Milestones!$AA$111=FT_Y5,EDATE($D57,Milestones!$AA$111)&lt;PolicyEff),1,Milestones!$AC$111)&amp;";  ","")&amp;IF(AND(EDATE($D57,Milestones!$AA$112)&lt;=AsOfDate,EDATE($D57,Milestones!$AA$112)&gt;=SchemeStart,IF($X57=0,$AD57,IF(AND($Z57&lt;&gt;"",EDATE($D57,Milestones!$AA$112)&gt;=$Z57),$AC57,IF(AND($Y57&lt;&gt;"",EDATE($D57,Milestones!$AA$112)&gt;=$Y57),$AB57,$AA57)))=Milestones!$AB$112),UPPER(TEXT(EDATE($D57,Milestones!$AA$112),"dd mmm yy"))&amp;" "&amp;Milestones!$AB$112&amp;" "&amp;IF(AND(Milestones!$AB$112="FT",Milestones!$AA$112=FT_Y5,EDATE($D57,Milestones!$AA$112)&lt;PolicyEff),1,Milestones!$AC$112)&amp;";  ","")&amp;IF(AND(EDATE($D57,Milestones!$AA$113)&lt;=AsOfDate,EDATE($D57,Milestones!$AA$113)&gt;=SchemeStart,IF($X57=0,$AD57,IF(AND($Z57&lt;&gt;"",EDATE($D57,Milestones!$AA$113)&gt;=$Z57),$AC57,IF(AND($Y57&lt;&gt;"",EDATE($D57,Milestones!$AA$113)&gt;=$Y57),$AB57,$AA57)))=Milestones!$AB$113),UPPER(TEXT(EDATE($D57,Milestones!$AA$113),"dd mmm yy"))&amp;" "&amp;Milestones!$AB$113&amp;" "&amp;IF(AND(Milestones!$AB$113="FT",Milestones!$AA$113=FT_Y5,EDATE($D57,Milestones!$AA$113)&lt;PolicyEff),1,Milestones!$AC$113)&amp;";  ","")&amp;IF(AND(EDATE($D57,Milestones!$AA$114)&lt;=AsOfDate,EDATE($D57,Milestones!$AA$114)&gt;=SchemeStart,IF($X57=0,$AD57,IF(AND($Z57&lt;&gt;"",EDATE($D57,Milestones!$AA$114)&gt;=$Z57),$AC57,IF(AND($Y57&lt;&gt;"",EDATE($D57,Milestones!$AA$114)&gt;=$Y57),$AB57,$AA57)))=Milestones!$AB$114),UPPER(TEXT(EDATE($D57,Milestones!$AA$114),"dd mmm yy"))&amp;" "&amp;Milestones!$AB$114&amp;" "&amp;IF(AND(Milestones!$AB$114="FT",Milestones!$AA$114=FT_Y5,EDATE($D57,Milestones!$AA$114)&lt;PolicyEff),1,Milestones!$AC$114)&amp;";  ","")&amp;IF(AND(EDATE($D57,Milestones!$AA$115)&lt;=AsOfDate,EDATE($D57,Milestones!$AA$115)&gt;=SchemeStart,IF($X57=0,$AD57,IF(AND($Z57&lt;&gt;"",EDATE($D57,Milestones!$AA$115)&gt;=$Z57),$AC57,IF(AND($Y57&lt;&gt;"",EDATE($D57,Milestones!$AA$115)&gt;=$Y57),$AB57,$AA57)))=Milestones!$AB$115),UPPER(TEXT(EDATE($D57,Milestones!$AA$115),"dd mmm yy"))&amp;" "&amp;Milestones!$AB$115&amp;" "&amp;IF(AND(Milestones!$AB$115="FT",Milestones!$AA$115=FT_Y5,EDATE($D57,Milestones!$AA$115)&lt;PolicyEff),1,Milestones!$AC$115)&amp;";  ",""))</f>
        <v/>
      </c>
      <c r="Q57" s="0" t="str">
        <f aca="false">IF(OR($A57="",$D57=""),"",IF(AND(EDATE($D57,Milestones!$AA$116)&lt;=AsOfDate,EDATE($D57,Milestones!$AA$116)&gt;=SchemeStart,IF($X57=0,$AD57,IF(AND($Z57&lt;&gt;"",EDATE($D57,Milestones!$AA$116)&gt;=$Z57),$AC57,IF(AND($Y57&lt;&gt;"",EDATE($D57,Milestones!$AA$116)&gt;=$Y57),$AB57,$AA57)))=Milestones!$AB$116),UPPER(TEXT(EDATE($D57,Milestones!$AA$116),"dd mmm yy"))&amp;" "&amp;Milestones!$AB$116&amp;" "&amp;IF(AND(Milestones!$AB$116="FT",Milestones!$AA$116=FT_Y5,EDATE($D57,Milestones!$AA$116)&lt;PolicyEff),1,Milestones!$AC$116)&amp;";  ","")&amp;IF(AND(EDATE($D57,Milestones!$AA$117)&lt;=AsOfDate,EDATE($D57,Milestones!$AA$117)&gt;=SchemeStart,IF($X57=0,$AD57,IF(AND($Z57&lt;&gt;"",EDATE($D57,Milestones!$AA$117)&gt;=$Z57),$AC57,IF(AND($Y57&lt;&gt;"",EDATE($D57,Milestones!$AA$117)&gt;=$Y57),$AB57,$AA57)))=Milestones!$AB$117),UPPER(TEXT(EDATE($D57,Milestones!$AA$117),"dd mmm yy"))&amp;" "&amp;Milestones!$AB$117&amp;" "&amp;IF(AND(Milestones!$AB$117="FT",Milestones!$AA$117=FT_Y5,EDATE($D57,Milestones!$AA$117)&lt;PolicyEff),1,Milestones!$AC$117)&amp;";  ","")&amp;IF(AND(EDATE($D57,Milestones!$AA$118)&lt;=AsOfDate,EDATE($D57,Milestones!$AA$118)&gt;=SchemeStart,IF($X57=0,$AD57,IF(AND($Z57&lt;&gt;"",EDATE($D57,Milestones!$AA$118)&gt;=$Z57),$AC57,IF(AND($Y57&lt;&gt;"",EDATE($D57,Milestones!$AA$118)&gt;=$Y57),$AB57,$AA57)))=Milestones!$AB$118),UPPER(TEXT(EDATE($D57,Milestones!$AA$118),"dd mmm yy"))&amp;" "&amp;Milestones!$AB$118&amp;" "&amp;IF(AND(Milestones!$AB$118="FT",Milestones!$AA$118=FT_Y5,EDATE($D57,Milestones!$AA$118)&lt;PolicyEff),1,Milestones!$AC$118)&amp;";  ","")&amp;IF(AND(EDATE($D57,Milestones!$AA$119)&lt;=AsOfDate,EDATE($D57,Milestones!$AA$119)&gt;=SchemeStart,IF($X57=0,$AD57,IF(AND($Z57&lt;&gt;"",EDATE($D57,Milestones!$AA$119)&gt;=$Z57),$AC57,IF(AND($Y57&lt;&gt;"",EDATE($D57,Milestones!$AA$119)&gt;=$Y57),$AB57,$AA57)))=Milestones!$AB$119),UPPER(TEXT(EDATE($D57,Milestones!$AA$119),"dd mmm yy"))&amp;" "&amp;Milestones!$AB$119&amp;" "&amp;IF(AND(Milestones!$AB$119="FT",Milestones!$AA$119=FT_Y5,EDATE($D57,Milestones!$AA$119)&lt;PolicyEff),1,Milestones!$AC$119)&amp;";  ","")&amp;IF(AND(EDATE($D57,Milestones!$AA$120)&lt;=AsOfDate,EDATE($D57,Milestones!$AA$120)&gt;=SchemeStart,IF($X57=0,$AD57,IF(AND($Z57&lt;&gt;"",EDATE($D57,Milestones!$AA$120)&gt;=$Z57),$AC57,IF(AND($Y57&lt;&gt;"",EDATE($D57,Milestones!$AA$120)&gt;=$Y57),$AB57,$AA57)))=Milestones!$AB$120),UPPER(TEXT(EDATE($D57,Milestones!$AA$120),"dd mmm yy"))&amp;" "&amp;Milestones!$AB$120&amp;" "&amp;IF(AND(Milestones!$AB$120="FT",Milestones!$AA$120=FT_Y5,EDATE($D57,Milestones!$AA$120)&lt;PolicyEff),1,Milestones!$AC$120)&amp;";  ","")&amp;IF(AND(EDATE($D57,Milestones!$AA$121)&lt;=AsOfDate,EDATE($D57,Milestones!$AA$121)&gt;=SchemeStart,IF($X57=0,$AD57,IF(AND($Z57&lt;&gt;"",EDATE($D57,Milestones!$AA$121)&gt;=$Z57),$AC57,IF(AND($Y57&lt;&gt;"",EDATE($D57,Milestones!$AA$121)&gt;=$Y57),$AB57,$AA57)))=Milestones!$AB$121),UPPER(TEXT(EDATE($D57,Milestones!$AA$121),"dd mmm yy"))&amp;" "&amp;Milestones!$AB$121&amp;" "&amp;IF(AND(Milestones!$AB$121="FT",Milestones!$AA$121=FT_Y5,EDATE($D57,Milestones!$AA$121)&lt;PolicyEff),1,Milestones!$AC$121)&amp;";  ","")&amp;IF(AND(EDATE($D57,Milestones!$AA$122)&lt;=AsOfDate,EDATE($D57,Milestones!$AA$122)&gt;=SchemeStart,IF($X57=0,$AD57,IF(AND($Z57&lt;&gt;"",EDATE($D57,Milestones!$AA$122)&gt;=$Z57),$AC57,IF(AND($Y57&lt;&gt;"",EDATE($D57,Milestones!$AA$122)&gt;=$Y57),$AB57,$AA57)))=Milestones!$AB$122),UPPER(TEXT(EDATE($D57,Milestones!$AA$122),"dd mmm yy"))&amp;" "&amp;Milestones!$AB$122&amp;" "&amp;IF(AND(Milestones!$AB$122="FT",Milestones!$AA$122=FT_Y5,EDATE($D57,Milestones!$AA$122)&lt;PolicyEff),1,Milestones!$AC$122)&amp;";  ","")&amp;IF(AND(EDATE($D57,Milestones!$AA$123)&lt;=AsOfDate,EDATE($D57,Milestones!$AA$123)&gt;=SchemeStart,IF($X57=0,$AD57,IF(AND($Z57&lt;&gt;"",EDATE($D57,Milestones!$AA$123)&gt;=$Z57),$AC57,IF(AND($Y57&lt;&gt;"",EDATE($D57,Milestones!$AA$123)&gt;=$Y57),$AB57,$AA57)))=Milestones!$AB$123),UPPER(TEXT(EDATE($D57,Milestones!$AA$123),"dd mmm yy"))&amp;" "&amp;Milestones!$AB$123&amp;" "&amp;IF(AND(Milestones!$AB$123="FT",Milestones!$AA$123=FT_Y5,EDATE($D57,Milestones!$AA$123)&lt;PolicyEff),1,Milestones!$AC$123)&amp;";  ","")&amp;IF(AND(EDATE($D57,Milestones!$AA$124)&lt;=AsOfDate,EDATE($D57,Milestones!$AA$124)&gt;=SchemeStart,IF($X57=0,$AD57,IF(AND($Z57&lt;&gt;"",EDATE($D57,Milestones!$AA$124)&gt;=$Z57),$AC57,IF(AND($Y57&lt;&gt;"",EDATE($D57,Milestones!$AA$124)&gt;=$Y57),$AB57,$AA57)))=Milestones!$AB$124),UPPER(TEXT(EDATE($D57,Milestones!$AA$124),"dd mmm yy"))&amp;" "&amp;Milestones!$AB$124&amp;" "&amp;IF(AND(Milestones!$AB$124="FT",Milestones!$AA$124=FT_Y5,EDATE($D57,Milestones!$AA$124)&lt;PolicyEff),1,Milestones!$AC$124)&amp;";  ","")&amp;IF(AND(EDATE($D57,Milestones!$AA$125)&lt;=AsOfDate,EDATE($D57,Milestones!$AA$125)&gt;=SchemeStart,IF($X57=0,$AD57,IF(AND($Z57&lt;&gt;"",EDATE($D57,Milestones!$AA$125)&gt;=$Z57),$AC57,IF(AND($Y57&lt;&gt;"",EDATE($D57,Milestones!$AA$125)&gt;=$Y57),$AB57,$AA57)))=Milestones!$AB$125),UPPER(TEXT(EDATE($D57,Milestones!$AA$125),"dd mmm yy"))&amp;" "&amp;Milestones!$AB$125&amp;" "&amp;IF(AND(Milestones!$AB$125="FT",Milestones!$AA$125=FT_Y5,EDATE($D57,Milestones!$AA$125)&lt;PolicyEff),1,Milestones!$AC$125)&amp;";  ","")&amp;IF(AND(EDATE($D57,Milestones!$AA$126)&lt;=AsOfDate,EDATE($D57,Milestones!$AA$126)&gt;=SchemeStart,IF($X57=0,$AD57,IF(AND($Z57&lt;&gt;"",EDATE($D57,Milestones!$AA$126)&gt;=$Z57),$AC57,IF(AND($Y57&lt;&gt;"",EDATE($D57,Milestones!$AA$126)&gt;=$Y57),$AB57,$AA57)))=Milestones!$AB$126),UPPER(TEXT(EDATE($D57,Milestones!$AA$126),"dd mmm yy"))&amp;" "&amp;Milestones!$AB$126&amp;" "&amp;IF(AND(Milestones!$AB$126="FT",Milestones!$AA$126=FT_Y5,EDATE($D57,Milestones!$AA$126)&lt;PolicyEff),1,Milestones!$AC$126)&amp;";  ","")&amp;IF(AND(EDATE($D57,Milestones!$AA$127)&lt;=AsOfDate,EDATE($D57,Milestones!$AA$127)&gt;=SchemeStart,IF($X57=0,$AD57,IF(AND($Z57&lt;&gt;"",EDATE($D57,Milestones!$AA$127)&gt;=$Z57),$AC57,IF(AND($Y57&lt;&gt;"",EDATE($D57,Milestones!$AA$127)&gt;=$Y57),$AB57,$AA57)))=Milestones!$AB$127),UPPER(TEXT(EDATE($D57,Milestones!$AA$127),"dd mmm yy"))&amp;" "&amp;Milestones!$AB$127&amp;" "&amp;IF(AND(Milestones!$AB$127="FT",Milestones!$AA$127=FT_Y5,EDATE($D57,Milestones!$AA$127)&lt;PolicyEff),1,Milestones!$AC$127)&amp;";  ",""))</f>
        <v/>
      </c>
      <c r="R57" s="0" t="str">
        <f aca="false">IF(OR($A57="",$D57=""),"",IF(AND(EDATE($D57,Milestones!$AA$128)&lt;=AsOfDate,EDATE($D57,Milestones!$AA$128)&gt;=SchemeStart,IF($X57=0,$AD57,IF(AND($Z57&lt;&gt;"",EDATE($D57,Milestones!$AA$128)&gt;=$Z57),$AC57,IF(AND($Y57&lt;&gt;"",EDATE($D57,Milestones!$AA$128)&gt;=$Y57),$AB57,$AA57)))=Milestones!$AB$128),UPPER(TEXT(EDATE($D57,Milestones!$AA$128),"dd mmm yy"))&amp;" "&amp;Milestones!$AB$128&amp;" "&amp;IF(AND(Milestones!$AB$128="FT",Milestones!$AA$128=FT_Y5,EDATE($D57,Milestones!$AA$128)&lt;PolicyEff),1,Milestones!$AC$128)&amp;";  ","")&amp;IF(AND(EDATE($D57,Milestones!$AA$129)&lt;=AsOfDate,EDATE($D57,Milestones!$AA$129)&gt;=SchemeStart,IF($X57=0,$AD57,IF(AND($Z57&lt;&gt;"",EDATE($D57,Milestones!$AA$129)&gt;=$Z57),$AC57,IF(AND($Y57&lt;&gt;"",EDATE($D57,Milestones!$AA$129)&gt;=$Y57),$AB57,$AA57)))=Milestones!$AB$129),UPPER(TEXT(EDATE($D57,Milestones!$AA$129),"dd mmm yy"))&amp;" "&amp;Milestones!$AB$129&amp;" "&amp;IF(AND(Milestones!$AB$129="FT",Milestones!$AA$129=FT_Y5,EDATE($D57,Milestones!$AA$129)&lt;PolicyEff),1,Milestones!$AC$129)&amp;";  ","")&amp;IF(AND(EDATE($D57,Milestones!$AA$130)&lt;=AsOfDate,EDATE($D57,Milestones!$AA$130)&gt;=SchemeStart,IF($X57=0,$AD57,IF(AND($Z57&lt;&gt;"",EDATE($D57,Milestones!$AA$130)&gt;=$Z57),$AC57,IF(AND($Y57&lt;&gt;"",EDATE($D57,Milestones!$AA$130)&gt;=$Y57),$AB57,$AA57)))=Milestones!$AB$130),UPPER(TEXT(EDATE($D57,Milestones!$AA$130),"dd mmm yy"))&amp;" "&amp;Milestones!$AB$130&amp;" "&amp;IF(AND(Milestones!$AB$130="FT",Milestones!$AA$130=FT_Y5,EDATE($D57,Milestones!$AA$130)&lt;PolicyEff),1,Milestones!$AC$130)&amp;";  ","")&amp;IF(AND(EDATE($D57,Milestones!$AA$131)&lt;=AsOfDate,EDATE($D57,Milestones!$AA$131)&gt;=SchemeStart,IF($X57=0,$AD57,IF(AND($Z57&lt;&gt;"",EDATE($D57,Milestones!$AA$131)&gt;=$Z57),$AC57,IF(AND($Y57&lt;&gt;"",EDATE($D57,Milestones!$AA$131)&gt;=$Y57),$AB57,$AA57)))=Milestones!$AB$131),UPPER(TEXT(EDATE($D57,Milestones!$AA$131),"dd mmm yy"))&amp;" "&amp;Milestones!$AB$131&amp;" "&amp;IF(AND(Milestones!$AB$131="FT",Milestones!$AA$131=FT_Y5,EDATE($D57,Milestones!$AA$131)&lt;PolicyEff),1,Milestones!$AC$131)&amp;";  ","")&amp;IF(AND(EDATE($D57,Milestones!$AA$132)&lt;=AsOfDate,EDATE($D57,Milestones!$AA$132)&gt;=SchemeStart,IF($X57=0,$AD57,IF(AND($Z57&lt;&gt;"",EDATE($D57,Milestones!$AA$132)&gt;=$Z57),$AC57,IF(AND($Y57&lt;&gt;"",EDATE($D57,Milestones!$AA$132)&gt;=$Y57),$AB57,$AA57)))=Milestones!$AB$132),UPPER(TEXT(EDATE($D57,Milestones!$AA$132),"dd mmm yy"))&amp;" "&amp;Milestones!$AB$132&amp;" "&amp;IF(AND(Milestones!$AB$132="FT",Milestones!$AA$132=FT_Y5,EDATE($D57,Milestones!$AA$132)&lt;PolicyEff),1,Milestones!$AC$132)&amp;";  ","")&amp;IF(AND(EDATE($D57,Milestones!$AA$133)&lt;=AsOfDate,EDATE($D57,Milestones!$AA$133)&gt;=SchemeStart,IF($X57=0,$AD57,IF(AND($Z57&lt;&gt;"",EDATE($D57,Milestones!$AA$133)&gt;=$Z57),$AC57,IF(AND($Y57&lt;&gt;"",EDATE($D57,Milestones!$AA$133)&gt;=$Y57),$AB57,$AA57)))=Milestones!$AB$133),UPPER(TEXT(EDATE($D57,Milestones!$AA$133),"dd mmm yy"))&amp;" "&amp;Milestones!$AB$133&amp;" "&amp;IF(AND(Milestones!$AB$133="FT",Milestones!$AA$133=FT_Y5,EDATE($D57,Milestones!$AA$133)&lt;PolicyEff),1,Milestones!$AC$133)&amp;";  ","")&amp;IF(AND(EDATE($D57,Milestones!$AA$134)&lt;=AsOfDate,EDATE($D57,Milestones!$AA$134)&gt;=SchemeStart,IF($X57=0,$AD57,IF(AND($Z57&lt;&gt;"",EDATE($D57,Milestones!$AA$134)&gt;=$Z57),$AC57,IF(AND($Y57&lt;&gt;"",EDATE($D57,Milestones!$AA$134)&gt;=$Y57),$AB57,$AA57)))=Milestones!$AB$134),UPPER(TEXT(EDATE($D57,Milestones!$AA$134),"dd mmm yy"))&amp;" "&amp;Milestones!$AB$134&amp;" "&amp;IF(AND(Milestones!$AB$134="FT",Milestones!$AA$134=FT_Y5,EDATE($D57,Milestones!$AA$134)&lt;PolicyEff),1,Milestones!$AC$134)&amp;";  ","")&amp;IF(AND(EDATE($D57,Milestones!$AA$135)&lt;=AsOfDate,EDATE($D57,Milestones!$AA$135)&gt;=SchemeStart,IF($X57=0,$AD57,IF(AND($Z57&lt;&gt;"",EDATE($D57,Milestones!$AA$135)&gt;=$Z57),$AC57,IF(AND($Y57&lt;&gt;"",EDATE($D57,Milestones!$AA$135)&gt;=$Y57),$AB57,$AA57)))=Milestones!$AB$135),UPPER(TEXT(EDATE($D57,Milestones!$AA$135),"dd mmm yy"))&amp;" "&amp;Milestones!$AB$135&amp;" "&amp;IF(AND(Milestones!$AB$135="FT",Milestones!$AA$135=FT_Y5,EDATE($D57,Milestones!$AA$135)&lt;PolicyEff),1,Milestones!$AC$135)&amp;";  ","")&amp;IF(AND(EDATE($D57,Milestones!$AA$136)&lt;=AsOfDate,EDATE($D57,Milestones!$AA$136)&gt;=SchemeStart,IF($X57=0,$AD57,IF(AND($Z57&lt;&gt;"",EDATE($D57,Milestones!$AA$136)&gt;=$Z57),$AC57,IF(AND($Y57&lt;&gt;"",EDATE($D57,Milestones!$AA$136)&gt;=$Y57),$AB57,$AA57)))=Milestones!$AB$136),UPPER(TEXT(EDATE($D57,Milestones!$AA$136),"dd mmm yy"))&amp;" "&amp;Milestones!$AB$136&amp;" "&amp;IF(AND(Milestones!$AB$136="FT",Milestones!$AA$136=FT_Y5,EDATE($D57,Milestones!$AA$136)&lt;PolicyEff),1,Milestones!$AC$136)&amp;";  ","")&amp;IF(AND(EDATE($D57,Milestones!$AA$137)&lt;=AsOfDate,EDATE($D57,Milestones!$AA$137)&gt;=SchemeStart,IF($X57=0,$AD57,IF(AND($Z57&lt;&gt;"",EDATE($D57,Milestones!$AA$137)&gt;=$Z57),$AC57,IF(AND($Y57&lt;&gt;"",EDATE($D57,Milestones!$AA$137)&gt;=$Y57),$AB57,$AA57)))=Milestones!$AB$137),UPPER(TEXT(EDATE($D57,Milestones!$AA$137),"dd mmm yy"))&amp;" "&amp;Milestones!$AB$137&amp;" "&amp;IF(AND(Milestones!$AB$137="FT",Milestones!$AA$137=FT_Y5,EDATE($D57,Milestones!$AA$137)&lt;PolicyEff),1,Milestones!$AC$137)&amp;";  ","")&amp;IF(AND(EDATE($D57,Milestones!$AA$138)&lt;=AsOfDate,EDATE($D57,Milestones!$AA$138)&gt;=SchemeStart,IF($X57=0,$AD57,IF(AND($Z57&lt;&gt;"",EDATE($D57,Milestones!$AA$138)&gt;=$Z57),$AC57,IF(AND($Y57&lt;&gt;"",EDATE($D57,Milestones!$AA$138)&gt;=$Y57),$AB57,$AA57)))=Milestones!$AB$138),UPPER(TEXT(EDATE($D57,Milestones!$AA$138),"dd mmm yy"))&amp;" "&amp;Milestones!$AB$138&amp;" "&amp;IF(AND(Milestones!$AB$138="FT",Milestones!$AA$138=FT_Y5,EDATE($D57,Milestones!$AA$138)&lt;PolicyEff),1,Milestones!$AC$138)&amp;";  ","")&amp;IF(AND(EDATE($D57,Milestones!$AA$139)&lt;=AsOfDate,EDATE($D57,Milestones!$AA$139)&gt;=SchemeStart,IF($X57=0,$AD57,IF(AND($Z57&lt;&gt;"",EDATE($D57,Milestones!$AA$139)&gt;=$Z57),$AC57,IF(AND($Y57&lt;&gt;"",EDATE($D57,Milestones!$AA$139)&gt;=$Y57),$AB57,$AA57)))=Milestones!$AB$139),UPPER(TEXT(EDATE($D57,Milestones!$AA$139),"dd mmm yy"))&amp;" "&amp;Milestones!$AB$139&amp;" "&amp;IF(AND(Milestones!$AB$139="FT",Milestones!$AA$139=FT_Y5,EDATE($D57,Milestones!$AA$139)&lt;PolicyEff),1,Milestones!$AC$139)&amp;";  ",""))</f>
        <v/>
      </c>
      <c r="S57" s="0" t="str">
        <f aca="false">IF(OR($A57="",$D57=""),"",IF(AND(EDATE($D57,Milestones!$AA$140)&lt;=AsOfDate,EDATE($D57,Milestones!$AA$140)&gt;=SchemeStart,IF($X57=0,$AD57,IF(AND($Z57&lt;&gt;"",EDATE($D57,Milestones!$AA$140)&gt;=$Z57),$AC57,IF(AND($Y57&lt;&gt;"",EDATE($D57,Milestones!$AA$140)&gt;=$Y57),$AB57,$AA57)))=Milestones!$AB$140),UPPER(TEXT(EDATE($D57,Milestones!$AA$140),"dd mmm yy"))&amp;" "&amp;Milestones!$AB$140&amp;" "&amp;IF(AND(Milestones!$AB$140="FT",Milestones!$AA$140=FT_Y5,EDATE($D57,Milestones!$AA$140)&lt;PolicyEff),1,Milestones!$AC$140)&amp;";  ","")&amp;IF(AND(EDATE($D57,Milestones!$AA$141)&lt;=AsOfDate,EDATE($D57,Milestones!$AA$141)&gt;=SchemeStart,IF($X57=0,$AD57,IF(AND($Z57&lt;&gt;"",EDATE($D57,Milestones!$AA$141)&gt;=$Z57),$AC57,IF(AND($Y57&lt;&gt;"",EDATE($D57,Milestones!$AA$141)&gt;=$Y57),$AB57,$AA57)))=Milestones!$AB$141),UPPER(TEXT(EDATE($D57,Milestones!$AA$141),"dd mmm yy"))&amp;" "&amp;Milestones!$AB$141&amp;" "&amp;IF(AND(Milestones!$AB$141="FT",Milestones!$AA$141=FT_Y5,EDATE($D57,Milestones!$AA$141)&lt;PolicyEff),1,Milestones!$AC$141)&amp;";  ","")&amp;IF(AND(EDATE($D57,Milestones!$AA$142)&lt;=AsOfDate,EDATE($D57,Milestones!$AA$142)&gt;=SchemeStart,IF($X57=0,$AD57,IF(AND($Z57&lt;&gt;"",EDATE($D57,Milestones!$AA$142)&gt;=$Z57),$AC57,IF(AND($Y57&lt;&gt;"",EDATE($D57,Milestones!$AA$142)&gt;=$Y57),$AB57,$AA57)))=Milestones!$AB$142),UPPER(TEXT(EDATE($D57,Milestones!$AA$142),"dd mmm yy"))&amp;" "&amp;Milestones!$AB$142&amp;" "&amp;IF(AND(Milestones!$AB$142="FT",Milestones!$AA$142=FT_Y5,EDATE($D57,Milestones!$AA$142)&lt;PolicyEff),1,Milestones!$AC$142)&amp;";  ","")&amp;IF(AND(EDATE($D57,Milestones!$AA$143)&lt;=AsOfDate,EDATE($D57,Milestones!$AA$143)&gt;=SchemeStart,IF($X57=0,$AD57,IF(AND($Z57&lt;&gt;"",EDATE($D57,Milestones!$AA$143)&gt;=$Z57),$AC57,IF(AND($Y57&lt;&gt;"",EDATE($D57,Milestones!$AA$143)&gt;=$Y57),$AB57,$AA57)))=Milestones!$AB$143),UPPER(TEXT(EDATE($D57,Milestones!$AA$143),"dd mmm yy"))&amp;" "&amp;Milestones!$AB$143&amp;" "&amp;IF(AND(Milestones!$AB$143="FT",Milestones!$AA$143=FT_Y5,EDATE($D57,Milestones!$AA$143)&lt;PolicyEff),1,Milestones!$AC$143)&amp;";  ","")&amp;IF(AND(EDATE($D57,Milestones!$AA$144)&lt;=AsOfDate,EDATE($D57,Milestones!$AA$144)&gt;=SchemeStart,IF($X57=0,$AD57,IF(AND($Z57&lt;&gt;"",EDATE($D57,Milestones!$AA$144)&gt;=$Z57),$AC57,IF(AND($Y57&lt;&gt;"",EDATE($D57,Milestones!$AA$144)&gt;=$Y57),$AB57,$AA57)))=Milestones!$AB$144),UPPER(TEXT(EDATE($D57,Milestones!$AA$144),"dd mmm yy"))&amp;" "&amp;Milestones!$AB$144&amp;" "&amp;IF(AND(Milestones!$AB$144="FT",Milestones!$AA$144=FT_Y5,EDATE($D57,Milestones!$AA$144)&lt;PolicyEff),1,Milestones!$AC$144)&amp;";  ","")&amp;IF(AND(EDATE($D57,Milestones!$AA$145)&lt;=AsOfDate,EDATE($D57,Milestones!$AA$145)&gt;=SchemeStart,IF($X57=0,$AD57,IF(AND($Z57&lt;&gt;"",EDATE($D57,Milestones!$AA$145)&gt;=$Z57),$AC57,IF(AND($Y57&lt;&gt;"",EDATE($D57,Milestones!$AA$145)&gt;=$Y57),$AB57,$AA57)))=Milestones!$AB$145),UPPER(TEXT(EDATE($D57,Milestones!$AA$145),"dd mmm yy"))&amp;" "&amp;Milestones!$AB$145&amp;" "&amp;IF(AND(Milestones!$AB$145="FT",Milestones!$AA$145=FT_Y5,EDATE($D57,Milestones!$AA$145)&lt;PolicyEff),1,Milestones!$AC$145)&amp;";  ","")&amp;IF(AND(EDATE($D57,Milestones!$AA$146)&lt;=AsOfDate,EDATE($D57,Milestones!$AA$146)&gt;=SchemeStart,IF($X57=0,$AD57,IF(AND($Z57&lt;&gt;"",EDATE($D57,Milestones!$AA$146)&gt;=$Z57),$AC57,IF(AND($Y57&lt;&gt;"",EDATE($D57,Milestones!$AA$146)&gt;=$Y57),$AB57,$AA57)))=Milestones!$AB$146),UPPER(TEXT(EDATE($D57,Milestones!$AA$146),"dd mmm yy"))&amp;" "&amp;Milestones!$AB$146&amp;" "&amp;IF(AND(Milestones!$AB$146="FT",Milestones!$AA$146=FT_Y5,EDATE($D57,Milestones!$AA$146)&lt;PolicyEff),1,Milestones!$AC$146)&amp;";  ","")&amp;IF(AND(EDATE($D57,Milestones!$AA$147)&lt;=AsOfDate,EDATE($D57,Milestones!$AA$147)&gt;=SchemeStart,IF($X57=0,$AD57,IF(AND($Z57&lt;&gt;"",EDATE($D57,Milestones!$AA$147)&gt;=$Z57),$AC57,IF(AND($Y57&lt;&gt;"",EDATE($D57,Milestones!$AA$147)&gt;=$Y57),$AB57,$AA57)))=Milestones!$AB$147),UPPER(TEXT(EDATE($D57,Milestones!$AA$147),"dd mmm yy"))&amp;" "&amp;Milestones!$AB$147&amp;" "&amp;IF(AND(Milestones!$AB$147="FT",Milestones!$AA$147=FT_Y5,EDATE($D57,Milestones!$AA$147)&lt;PolicyEff),1,Milestones!$AC$147)&amp;";  ","")&amp;IF(AND(EDATE($D57,Milestones!$AA$148)&lt;=AsOfDate,EDATE($D57,Milestones!$AA$148)&gt;=SchemeStart,IF($X57=0,$AD57,IF(AND($Z57&lt;&gt;"",EDATE($D57,Milestones!$AA$148)&gt;=$Z57),$AC57,IF(AND($Y57&lt;&gt;"",EDATE($D57,Milestones!$AA$148)&gt;=$Y57),$AB57,$AA57)))=Milestones!$AB$148),UPPER(TEXT(EDATE($D57,Milestones!$AA$148),"dd mmm yy"))&amp;" "&amp;Milestones!$AB$148&amp;" "&amp;IF(AND(Milestones!$AB$148="FT",Milestones!$AA$148=FT_Y5,EDATE($D57,Milestones!$AA$148)&lt;PolicyEff),1,Milestones!$AC$148)&amp;";  ","")&amp;IF(AND(EDATE($D57,Milestones!$AA$149)&lt;=AsOfDate,EDATE($D57,Milestones!$AA$149)&gt;=SchemeStart,IF($X57=0,$AD57,IF(AND($Z57&lt;&gt;"",EDATE($D57,Milestones!$AA$149)&gt;=$Z57),$AC57,IF(AND($Y57&lt;&gt;"",EDATE($D57,Milestones!$AA$149)&gt;=$Y57),$AB57,$AA57)))=Milestones!$AB$149),UPPER(TEXT(EDATE($D57,Milestones!$AA$149),"dd mmm yy"))&amp;" "&amp;Milestones!$AB$149&amp;" "&amp;IF(AND(Milestones!$AB$149="FT",Milestones!$AA$149=FT_Y5,EDATE($D57,Milestones!$AA$149)&lt;PolicyEff),1,Milestones!$AC$149)&amp;";  ","")&amp;IF(AND(EDATE($D57,Milestones!$AA$150)&lt;=AsOfDate,EDATE($D57,Milestones!$AA$150)&gt;=SchemeStart,IF($X57=0,$AD57,IF(AND($Z57&lt;&gt;"",EDATE($D57,Milestones!$AA$150)&gt;=$Z57),$AC57,IF(AND($Y57&lt;&gt;"",EDATE($D57,Milestones!$AA$150)&gt;=$Y57),$AB57,$AA57)))=Milestones!$AB$150),UPPER(TEXT(EDATE($D57,Milestones!$AA$150),"dd mmm yy"))&amp;" "&amp;Milestones!$AB$150&amp;" "&amp;IF(AND(Milestones!$AB$150="FT",Milestones!$AA$150=FT_Y5,EDATE($D57,Milestones!$AA$150)&lt;PolicyEff),1,Milestones!$AC$150)&amp;";  ","")&amp;IF(AND(EDATE($D57,Milestones!$AA$151)&lt;=AsOfDate,EDATE($D57,Milestones!$AA$151)&gt;=SchemeStart,IF($X57=0,$AD57,IF(AND($Z57&lt;&gt;"",EDATE($D57,Milestones!$AA$151)&gt;=$Z57),$AC57,IF(AND($Y57&lt;&gt;"",EDATE($D57,Milestones!$AA$151)&gt;=$Y57),$AB57,$AA57)))=Milestones!$AB$151),UPPER(TEXT(EDATE($D57,Milestones!$AA$151),"dd mmm yy"))&amp;" "&amp;Milestones!$AB$151&amp;" "&amp;IF(AND(Milestones!$AB$151="FT",Milestones!$AA$151=FT_Y5,EDATE($D57,Milestones!$AA$151)&lt;PolicyEff),1,Milestones!$AC$151)&amp;";  ",""))</f>
        <v/>
      </c>
      <c r="T57" s="0" t="str">
        <f aca="false">IF(OR($A57="",$D57=""),"",IF(AND(EDATE($D57,Milestones!$AA$152)&lt;=AsOfDate,EDATE($D57,Milestones!$AA$152)&gt;=SchemeStart,IF($X57=0,$AD57,IF(AND($Z57&lt;&gt;"",EDATE($D57,Milestones!$AA$152)&gt;=$Z57),$AC57,IF(AND($Y57&lt;&gt;"",EDATE($D57,Milestones!$AA$152)&gt;=$Y57),$AB57,$AA57)))=Milestones!$AB$152),UPPER(TEXT(EDATE($D57,Milestones!$AA$152),"dd mmm yy"))&amp;" "&amp;Milestones!$AB$152&amp;" "&amp;IF(AND(Milestones!$AB$152="FT",Milestones!$AA$152=FT_Y5,EDATE($D57,Milestones!$AA$152)&lt;PolicyEff),1,Milestones!$AC$152)&amp;";  ","")&amp;IF(AND(EDATE($D57,Milestones!$AA$153)&lt;=AsOfDate,EDATE($D57,Milestones!$AA$153)&gt;=SchemeStart,IF($X57=0,$AD57,IF(AND($Z57&lt;&gt;"",EDATE($D57,Milestones!$AA$153)&gt;=$Z57),$AC57,IF(AND($Y57&lt;&gt;"",EDATE($D57,Milestones!$AA$153)&gt;=$Y57),$AB57,$AA57)))=Milestones!$AB$153),UPPER(TEXT(EDATE($D57,Milestones!$AA$153),"dd mmm yy"))&amp;" "&amp;Milestones!$AB$153&amp;" "&amp;IF(AND(Milestones!$AB$153="FT",Milestones!$AA$153=FT_Y5,EDATE($D57,Milestones!$AA$153)&lt;PolicyEff),1,Milestones!$AC$153)&amp;";  ","")&amp;IF(AND(EDATE($D57,Milestones!$AA$154)&lt;=AsOfDate,EDATE($D57,Milestones!$AA$154)&gt;=SchemeStart,IF($X57=0,$AD57,IF(AND($Z57&lt;&gt;"",EDATE($D57,Milestones!$AA$154)&gt;=$Z57),$AC57,IF(AND($Y57&lt;&gt;"",EDATE($D57,Milestones!$AA$154)&gt;=$Y57),$AB57,$AA57)))=Milestones!$AB$154),UPPER(TEXT(EDATE($D57,Milestones!$AA$154),"dd mmm yy"))&amp;" "&amp;Milestones!$AB$154&amp;" "&amp;IF(AND(Milestones!$AB$154="FT",Milestones!$AA$154=FT_Y5,EDATE($D57,Milestones!$AA$154)&lt;PolicyEff),1,Milestones!$AC$154)&amp;";  ","")&amp;IF(AND(EDATE($D57,Milestones!$AA$155)&lt;=AsOfDate,EDATE($D57,Milestones!$AA$155)&gt;=SchemeStart,IF($X57=0,$AD57,IF(AND($Z57&lt;&gt;"",EDATE($D57,Milestones!$AA$155)&gt;=$Z57),$AC57,IF(AND($Y57&lt;&gt;"",EDATE($D57,Milestones!$AA$155)&gt;=$Y57),$AB57,$AA57)))=Milestones!$AB$155),UPPER(TEXT(EDATE($D57,Milestones!$AA$155),"dd mmm yy"))&amp;" "&amp;Milestones!$AB$155&amp;" "&amp;IF(AND(Milestones!$AB$155="FT",Milestones!$AA$155=FT_Y5,EDATE($D57,Milestones!$AA$155)&lt;PolicyEff),1,Milestones!$AC$155)&amp;";  ","")&amp;IF(AND(EDATE($D57,Milestones!$AA$156)&lt;=AsOfDate,EDATE($D57,Milestones!$AA$156)&gt;=SchemeStart,IF($X57=0,$AD57,IF(AND($Z57&lt;&gt;"",EDATE($D57,Milestones!$AA$156)&gt;=$Z57),$AC57,IF(AND($Y57&lt;&gt;"",EDATE($D57,Milestones!$AA$156)&gt;=$Y57),$AB57,$AA57)))=Milestones!$AB$156),UPPER(TEXT(EDATE($D57,Milestones!$AA$156),"dd mmm yy"))&amp;" "&amp;Milestones!$AB$156&amp;" "&amp;IF(AND(Milestones!$AB$156="FT",Milestones!$AA$156=FT_Y5,EDATE($D57,Milestones!$AA$156)&lt;PolicyEff),1,Milestones!$AC$156)&amp;";  ","")&amp;IF(AND(EDATE($D57,Milestones!$AA$157)&lt;=AsOfDate,EDATE($D57,Milestones!$AA$157)&gt;=SchemeStart,IF($X57=0,$AD57,IF(AND($Z57&lt;&gt;"",EDATE($D57,Milestones!$AA$157)&gt;=$Z57),$AC57,IF(AND($Y57&lt;&gt;"",EDATE($D57,Milestones!$AA$157)&gt;=$Y57),$AB57,$AA57)))=Milestones!$AB$157),UPPER(TEXT(EDATE($D57,Milestones!$AA$157),"dd mmm yy"))&amp;" "&amp;Milestones!$AB$157&amp;" "&amp;IF(AND(Milestones!$AB$157="FT",Milestones!$AA$157=FT_Y5,EDATE($D57,Milestones!$AA$157)&lt;PolicyEff),1,Milestones!$AC$157)&amp;";  ","")&amp;IF(AND(EDATE($D57,Milestones!$AA$158)&lt;=AsOfDate,EDATE($D57,Milestones!$AA$158)&gt;=SchemeStart,IF($X57=0,$AD57,IF(AND($Z57&lt;&gt;"",EDATE($D57,Milestones!$AA$158)&gt;=$Z57),$AC57,IF(AND($Y57&lt;&gt;"",EDATE($D57,Milestones!$AA$158)&gt;=$Y57),$AB57,$AA57)))=Milestones!$AB$158),UPPER(TEXT(EDATE($D57,Milestones!$AA$158),"dd mmm yy"))&amp;" "&amp;Milestones!$AB$158&amp;" "&amp;IF(AND(Milestones!$AB$158="FT",Milestones!$AA$158=FT_Y5,EDATE($D57,Milestones!$AA$158)&lt;PolicyEff),1,Milestones!$AC$158)&amp;";  ","")&amp;IF(AND(EDATE($D57,Milestones!$AA$159)&lt;=AsOfDate,EDATE($D57,Milestones!$AA$159)&gt;=SchemeStart,IF($X57=0,$AD57,IF(AND($Z57&lt;&gt;"",EDATE($D57,Milestones!$AA$159)&gt;=$Z57),$AC57,IF(AND($Y57&lt;&gt;"",EDATE($D57,Milestones!$AA$159)&gt;=$Y57),$AB57,$AA57)))=Milestones!$AB$159),UPPER(TEXT(EDATE($D57,Milestones!$AA$159),"dd mmm yy"))&amp;" "&amp;Milestones!$AB$159&amp;" "&amp;IF(AND(Milestones!$AB$159="FT",Milestones!$AA$159=FT_Y5,EDATE($D57,Milestones!$AA$159)&lt;PolicyEff),1,Milestones!$AC$159)&amp;";  ","")&amp;IF(AND(EDATE($D57,Milestones!$AA$160)&lt;=AsOfDate,EDATE($D57,Milestones!$AA$160)&gt;=SchemeStart,IF($X57=0,$AD57,IF(AND($Z57&lt;&gt;"",EDATE($D57,Milestones!$AA$160)&gt;=$Z57),$AC57,IF(AND($Y57&lt;&gt;"",EDATE($D57,Milestones!$AA$160)&gt;=$Y57),$AB57,$AA57)))=Milestones!$AB$160),UPPER(TEXT(EDATE($D57,Milestones!$AA$160),"dd mmm yy"))&amp;" "&amp;Milestones!$AB$160&amp;" "&amp;IF(AND(Milestones!$AB$160="FT",Milestones!$AA$160=FT_Y5,EDATE($D57,Milestones!$AA$160)&lt;PolicyEff),1,Milestones!$AC$160)&amp;";  ","")&amp;IF(AND(EDATE($D57,Milestones!$AA$161)&lt;=AsOfDate,EDATE($D57,Milestones!$AA$161)&gt;=SchemeStart,IF($X57=0,$AD57,IF(AND($Z57&lt;&gt;"",EDATE($D57,Milestones!$AA$161)&gt;=$Z57),$AC57,IF(AND($Y57&lt;&gt;"",EDATE($D57,Milestones!$AA$161)&gt;=$Y57),$AB57,$AA57)))=Milestones!$AB$161),UPPER(TEXT(EDATE($D57,Milestones!$AA$161),"dd mmm yy"))&amp;" "&amp;Milestones!$AB$161&amp;" "&amp;IF(AND(Milestones!$AB$161="FT",Milestones!$AA$161=FT_Y5,EDATE($D57,Milestones!$AA$161)&lt;PolicyEff),1,Milestones!$AC$161)&amp;";  ","")&amp;IF(AND(EDATE($D57,Milestones!$AA$162)&lt;=AsOfDate,EDATE($D57,Milestones!$AA$162)&gt;=SchemeStart,IF($X57=0,$AD57,IF(AND($Z57&lt;&gt;"",EDATE($D57,Milestones!$AA$162)&gt;=$Z57),$AC57,IF(AND($Y57&lt;&gt;"",EDATE($D57,Milestones!$AA$162)&gt;=$Y57),$AB57,$AA57)))=Milestones!$AB$162),UPPER(TEXT(EDATE($D57,Milestones!$AA$162),"dd mmm yy"))&amp;" "&amp;Milestones!$AB$162&amp;" "&amp;IF(AND(Milestones!$AB$162="FT",Milestones!$AA$162=FT_Y5,EDATE($D57,Milestones!$AA$162)&lt;PolicyEff),1,Milestones!$AC$162)&amp;";  ","")&amp;IF(AND(EDATE($D57,Milestones!$AA$163)&lt;=AsOfDate,EDATE($D57,Milestones!$AA$163)&gt;=SchemeStart,IF($X57=0,$AD57,IF(AND($Z57&lt;&gt;"",EDATE($D57,Milestones!$AA$163)&gt;=$Z57),$AC57,IF(AND($Y57&lt;&gt;"",EDATE($D57,Milestones!$AA$163)&gt;=$Y57),$AB57,$AA57)))=Milestones!$AB$163),UPPER(TEXT(EDATE($D57,Milestones!$AA$163),"dd mmm yy"))&amp;" "&amp;Milestones!$AB$163&amp;" "&amp;IF(AND(Milestones!$AB$163="FT",Milestones!$AA$163=FT_Y5,EDATE($D57,Milestones!$AA$163)&lt;PolicyEff),1,Milestones!$AC$163)&amp;";  ",""))</f>
        <v/>
      </c>
      <c r="U57" s="0" t="str">
        <f aca="false">IF(OR($A57="",$D57=""),"",IF(AND(EDATE($D57,Milestones!$AA$164)&lt;=AsOfDate,EDATE($D57,Milestones!$AA$164)&gt;=SchemeStart,IF($X57=0,$AD57,IF(AND($Z57&lt;&gt;"",EDATE($D57,Milestones!$AA$164)&gt;=$Z57),$AC57,IF(AND($Y57&lt;&gt;"",EDATE($D57,Milestones!$AA$164)&gt;=$Y57),$AB57,$AA57)))=Milestones!$AB$164),UPPER(TEXT(EDATE($D57,Milestones!$AA$164),"dd mmm yy"))&amp;" "&amp;Milestones!$AB$164&amp;" "&amp;IF(AND(Milestones!$AB$164="FT",Milestones!$AA$164=FT_Y5,EDATE($D57,Milestones!$AA$164)&lt;PolicyEff),1,Milestones!$AC$164)&amp;";  ","")&amp;IF(AND(EDATE($D57,Milestones!$AA$165)&lt;=AsOfDate,EDATE($D57,Milestones!$AA$165)&gt;=SchemeStart,IF($X57=0,$AD57,IF(AND($Z57&lt;&gt;"",EDATE($D57,Milestones!$AA$165)&gt;=$Z57),$AC57,IF(AND($Y57&lt;&gt;"",EDATE($D57,Milestones!$AA$165)&gt;=$Y57),$AB57,$AA57)))=Milestones!$AB$165),UPPER(TEXT(EDATE($D57,Milestones!$AA$165),"dd mmm yy"))&amp;" "&amp;Milestones!$AB$165&amp;" "&amp;IF(AND(Milestones!$AB$165="FT",Milestones!$AA$165=FT_Y5,EDATE($D57,Milestones!$AA$165)&lt;PolicyEff),1,Milestones!$AC$165)&amp;";  ","")&amp;IF(AND(EDATE($D57,Milestones!$AA$166)&lt;=AsOfDate,EDATE($D57,Milestones!$AA$166)&gt;=SchemeStart,IF($X57=0,$AD57,IF(AND($Z57&lt;&gt;"",EDATE($D57,Milestones!$AA$166)&gt;=$Z57),$AC57,IF(AND($Y57&lt;&gt;"",EDATE($D57,Milestones!$AA$166)&gt;=$Y57),$AB57,$AA57)))=Milestones!$AB$166),UPPER(TEXT(EDATE($D57,Milestones!$AA$166),"dd mmm yy"))&amp;" "&amp;Milestones!$AB$166&amp;" "&amp;IF(AND(Milestones!$AB$166="FT",Milestones!$AA$166=FT_Y5,EDATE($D57,Milestones!$AA$166)&lt;PolicyEff),1,Milestones!$AC$166)&amp;";  ","")&amp;IF(AND(EDATE($D57,Milestones!$AA$167)&lt;=AsOfDate,EDATE($D57,Milestones!$AA$167)&gt;=SchemeStart,IF($X57=0,$AD57,IF(AND($Z57&lt;&gt;"",EDATE($D57,Milestones!$AA$167)&gt;=$Z57),$AC57,IF(AND($Y57&lt;&gt;"",EDATE($D57,Milestones!$AA$167)&gt;=$Y57),$AB57,$AA57)))=Milestones!$AB$167),UPPER(TEXT(EDATE($D57,Milestones!$AA$167),"dd mmm yy"))&amp;" "&amp;Milestones!$AB$167&amp;" "&amp;IF(AND(Milestones!$AB$167="FT",Milestones!$AA$167=FT_Y5,EDATE($D57,Milestones!$AA$167)&lt;PolicyEff),1,Milestones!$AC$167)&amp;";  ","")&amp;IF(AND(EDATE($D57,Milestones!$AA$168)&lt;=AsOfDate,EDATE($D57,Milestones!$AA$168)&gt;=SchemeStart,IF($X57=0,$AD57,IF(AND($Z57&lt;&gt;"",EDATE($D57,Milestones!$AA$168)&gt;=$Z57),$AC57,IF(AND($Y57&lt;&gt;"",EDATE($D57,Milestones!$AA$168)&gt;=$Y57),$AB57,$AA57)))=Milestones!$AB$168),UPPER(TEXT(EDATE($D57,Milestones!$AA$168),"dd mmm yy"))&amp;" "&amp;Milestones!$AB$168&amp;" "&amp;IF(AND(Milestones!$AB$168="FT",Milestones!$AA$168=FT_Y5,EDATE($D57,Milestones!$AA$168)&lt;PolicyEff),1,Milestones!$AC$168)&amp;";  ","")&amp;IF(AND(EDATE($D57,Milestones!$AA$169)&lt;=AsOfDate,EDATE($D57,Milestones!$AA$169)&gt;=SchemeStart,IF($X57=0,$AD57,IF(AND($Z57&lt;&gt;"",EDATE($D57,Milestones!$AA$169)&gt;=$Z57),$AC57,IF(AND($Y57&lt;&gt;"",EDATE($D57,Milestones!$AA$169)&gt;=$Y57),$AB57,$AA57)))=Milestones!$AB$169),UPPER(TEXT(EDATE($D57,Milestones!$AA$169),"dd mmm yy"))&amp;" "&amp;Milestones!$AB$169&amp;" "&amp;IF(AND(Milestones!$AB$169="FT",Milestones!$AA$169=FT_Y5,EDATE($D57,Milestones!$AA$169)&lt;PolicyEff),1,Milestones!$AC$169)&amp;";  ","")&amp;IF(AND(EDATE($D57,Milestones!$AA$170)&lt;=AsOfDate,EDATE($D57,Milestones!$AA$170)&gt;=SchemeStart,IF($X57=0,$AD57,IF(AND($Z57&lt;&gt;"",EDATE($D57,Milestones!$AA$170)&gt;=$Z57),$AC57,IF(AND($Y57&lt;&gt;"",EDATE($D57,Milestones!$AA$170)&gt;=$Y57),$AB57,$AA57)))=Milestones!$AB$170),UPPER(TEXT(EDATE($D57,Milestones!$AA$170),"dd mmm yy"))&amp;" "&amp;Milestones!$AB$170&amp;" "&amp;IF(AND(Milestones!$AB$170="FT",Milestones!$AA$170=FT_Y5,EDATE($D57,Milestones!$AA$170)&lt;PolicyEff),1,Milestones!$AC$170)&amp;";  ","")&amp;IF(AND(EDATE($D57,Milestones!$AA$171)&lt;=AsOfDate,EDATE($D57,Milestones!$AA$171)&gt;=SchemeStart,IF($X57=0,$AD57,IF(AND($Z57&lt;&gt;"",EDATE($D57,Milestones!$AA$171)&gt;=$Z57),$AC57,IF(AND($Y57&lt;&gt;"",EDATE($D57,Milestones!$AA$171)&gt;=$Y57),$AB57,$AA57)))=Milestones!$AB$171),UPPER(TEXT(EDATE($D57,Milestones!$AA$171),"dd mmm yy"))&amp;" "&amp;Milestones!$AB$171&amp;" "&amp;IF(AND(Milestones!$AB$171="FT",Milestones!$AA$171=FT_Y5,EDATE($D57,Milestones!$AA$171)&lt;PolicyEff),1,Milestones!$AC$171)&amp;";  ","")&amp;IF(AND(EDATE($D57,Milestones!$AA$172)&lt;=AsOfDate,EDATE($D57,Milestones!$AA$172)&gt;=SchemeStart,IF($X57=0,$AD57,IF(AND($Z57&lt;&gt;"",EDATE($D57,Milestones!$AA$172)&gt;=$Z57),$AC57,IF(AND($Y57&lt;&gt;"",EDATE($D57,Milestones!$AA$172)&gt;=$Y57),$AB57,$AA57)))=Milestones!$AB$172),UPPER(TEXT(EDATE($D57,Milestones!$AA$172),"dd mmm yy"))&amp;" "&amp;Milestones!$AB$172&amp;" "&amp;IF(AND(Milestones!$AB$172="FT",Milestones!$AA$172=FT_Y5,EDATE($D57,Milestones!$AA$172)&lt;PolicyEff),1,Milestones!$AC$172)&amp;";  ","")&amp;IF(AND(EDATE($D57,Milestones!$AA$173)&lt;=AsOfDate,EDATE($D57,Milestones!$AA$173)&gt;=SchemeStart,IF($X57=0,$AD57,IF(AND($Z57&lt;&gt;"",EDATE($D57,Milestones!$AA$173)&gt;=$Z57),$AC57,IF(AND($Y57&lt;&gt;"",EDATE($D57,Milestones!$AA$173)&gt;=$Y57),$AB57,$AA57)))=Milestones!$AB$173),UPPER(TEXT(EDATE($D57,Milestones!$AA$173),"dd mmm yy"))&amp;" "&amp;Milestones!$AB$173&amp;" "&amp;IF(AND(Milestones!$AB$173="FT",Milestones!$AA$173=FT_Y5,EDATE($D57,Milestones!$AA$173)&lt;PolicyEff),1,Milestones!$AC$173)&amp;";  ","")&amp;IF(AND(EDATE($D57,Milestones!$AA$174)&lt;=AsOfDate,EDATE($D57,Milestones!$AA$174)&gt;=SchemeStart,IF($X57=0,$AD57,IF(AND($Z57&lt;&gt;"",EDATE($D57,Milestones!$AA$174)&gt;=$Z57),$AC57,IF(AND($Y57&lt;&gt;"",EDATE($D57,Milestones!$AA$174)&gt;=$Y57),$AB57,$AA57)))=Milestones!$AB$174),UPPER(TEXT(EDATE($D57,Milestones!$AA$174),"dd mmm yy"))&amp;" "&amp;Milestones!$AB$174&amp;" "&amp;IF(AND(Milestones!$AB$174="FT",Milestones!$AA$174=FT_Y5,EDATE($D57,Milestones!$AA$174)&lt;PolicyEff),1,Milestones!$AC$174)&amp;";  ","")&amp;IF(AND(EDATE($D57,Milestones!$AA$175)&lt;=AsOfDate,EDATE($D57,Milestones!$AA$175)&gt;=SchemeStart,IF($X57=0,$AD57,IF(AND($Z57&lt;&gt;"",EDATE($D57,Milestones!$AA$175)&gt;=$Z57),$AC57,IF(AND($Y57&lt;&gt;"",EDATE($D57,Milestones!$AA$175)&gt;=$Y57),$AB57,$AA57)))=Milestones!$AB$175),UPPER(TEXT(EDATE($D57,Milestones!$AA$175),"dd mmm yy"))&amp;" "&amp;Milestones!$AB$175&amp;" "&amp;IF(AND(Milestones!$AB$175="FT",Milestones!$AA$175=FT_Y5,EDATE($D57,Milestones!$AA$175)&lt;PolicyEff),1,Milestones!$AC$175)&amp;";  ",""))</f>
        <v/>
      </c>
      <c r="V57" s="0" t="str">
        <f aca="false">IF(OR($A57="",$D57=""),"",IF(AND(EDATE($D57,Milestones!$AA$176)&lt;=AsOfDate,EDATE($D57,Milestones!$AA$176)&gt;=SchemeStart,IF($X57=0,$AD57,IF(AND($Z57&lt;&gt;"",EDATE($D57,Milestones!$AA$176)&gt;=$Z57),$AC57,IF(AND($Y57&lt;&gt;"",EDATE($D57,Milestones!$AA$176)&gt;=$Y57),$AB57,$AA57)))=Milestones!$AB$176),UPPER(TEXT(EDATE($D57,Milestones!$AA$176),"dd mmm yy"))&amp;" "&amp;Milestones!$AB$176&amp;" "&amp;IF(AND(Milestones!$AB$176="FT",Milestones!$AA$176=FT_Y5,EDATE($D57,Milestones!$AA$176)&lt;PolicyEff),1,Milestones!$AC$176)&amp;";  ","")&amp;IF(AND(EDATE($D57,Milestones!$AA$177)&lt;=AsOfDate,EDATE($D57,Milestones!$AA$177)&gt;=SchemeStart,IF($X57=0,$AD57,IF(AND($Z57&lt;&gt;"",EDATE($D57,Milestones!$AA$177)&gt;=$Z57),$AC57,IF(AND($Y57&lt;&gt;"",EDATE($D57,Milestones!$AA$177)&gt;=$Y57),$AB57,$AA57)))=Milestones!$AB$177),UPPER(TEXT(EDATE($D57,Milestones!$AA$177),"dd mmm yy"))&amp;" "&amp;Milestones!$AB$177&amp;" "&amp;IF(AND(Milestones!$AB$177="FT",Milestones!$AA$177=FT_Y5,EDATE($D57,Milestones!$AA$177)&lt;PolicyEff),1,Milestones!$AC$177)&amp;";  ","")&amp;IF(AND(EDATE($D57,Milestones!$AA$178)&lt;=AsOfDate,EDATE($D57,Milestones!$AA$178)&gt;=SchemeStart,IF($X57=0,$AD57,IF(AND($Z57&lt;&gt;"",EDATE($D57,Milestones!$AA$178)&gt;=$Z57),$AC57,IF(AND($Y57&lt;&gt;"",EDATE($D57,Milestones!$AA$178)&gt;=$Y57),$AB57,$AA57)))=Milestones!$AB$178),UPPER(TEXT(EDATE($D57,Milestones!$AA$178),"dd mmm yy"))&amp;" "&amp;Milestones!$AB$178&amp;" "&amp;IF(AND(Milestones!$AB$178="FT",Milestones!$AA$178=FT_Y5,EDATE($D57,Milestones!$AA$178)&lt;PolicyEff),1,Milestones!$AC$178)&amp;";  ","")&amp;IF(AND(EDATE($D57,Milestones!$AA$179)&lt;=AsOfDate,EDATE($D57,Milestones!$AA$179)&gt;=SchemeStart,IF($X57=0,$AD57,IF(AND($Z57&lt;&gt;"",EDATE($D57,Milestones!$AA$179)&gt;=$Z57),$AC57,IF(AND($Y57&lt;&gt;"",EDATE($D57,Milestones!$AA$179)&gt;=$Y57),$AB57,$AA57)))=Milestones!$AB$179),UPPER(TEXT(EDATE($D57,Milestones!$AA$179),"dd mmm yy"))&amp;" "&amp;Milestones!$AB$179&amp;" "&amp;IF(AND(Milestones!$AB$179="FT",Milestones!$AA$179=FT_Y5,EDATE($D57,Milestones!$AA$179)&lt;PolicyEff),1,Milestones!$AC$179)&amp;";  ","")&amp;IF(AND(EDATE($D57,Milestones!$AA$180)&lt;=AsOfDate,EDATE($D57,Milestones!$AA$180)&gt;=SchemeStart,IF($X57=0,$AD57,IF(AND($Z57&lt;&gt;"",EDATE($D57,Milestones!$AA$180)&gt;=$Z57),$AC57,IF(AND($Y57&lt;&gt;"",EDATE($D57,Milestones!$AA$180)&gt;=$Y57),$AB57,$AA57)))=Milestones!$AB$180),UPPER(TEXT(EDATE($D57,Milestones!$AA$180),"dd mmm yy"))&amp;" "&amp;Milestones!$AB$180&amp;" "&amp;IF(AND(Milestones!$AB$180="FT",Milestones!$AA$180=FT_Y5,EDATE($D57,Milestones!$AA$180)&lt;PolicyEff),1,Milestones!$AC$180)&amp;";  ","")&amp;IF(AND(EDATE($D57,Milestones!$AA$181)&lt;=AsOfDate,EDATE($D57,Milestones!$AA$181)&gt;=SchemeStart,IF($X57=0,$AD57,IF(AND($Z57&lt;&gt;"",EDATE($D57,Milestones!$AA$181)&gt;=$Z57),$AC57,IF(AND($Y57&lt;&gt;"",EDATE($D57,Milestones!$AA$181)&gt;=$Y57),$AB57,$AA57)))=Milestones!$AB$181),UPPER(TEXT(EDATE($D57,Milestones!$AA$181),"dd mmm yy"))&amp;" "&amp;Milestones!$AB$181&amp;" "&amp;IF(AND(Milestones!$AB$181="FT",Milestones!$AA$181=FT_Y5,EDATE($D57,Milestones!$AA$181)&lt;PolicyEff),1,Milestones!$AC$181)&amp;";  ","")&amp;IF(AND(EDATE($D57,Milestones!$AA$182)&lt;=AsOfDate,EDATE($D57,Milestones!$AA$182)&gt;=SchemeStart,IF($X57=0,$AD57,IF(AND($Z57&lt;&gt;"",EDATE($D57,Milestones!$AA$182)&gt;=$Z57),$AC57,IF(AND($Y57&lt;&gt;"",EDATE($D57,Milestones!$AA$182)&gt;=$Y57),$AB57,$AA57)))=Milestones!$AB$182),UPPER(TEXT(EDATE($D57,Milestones!$AA$182),"dd mmm yy"))&amp;" "&amp;Milestones!$AB$182&amp;" "&amp;IF(AND(Milestones!$AB$182="FT",Milestones!$AA$182=FT_Y5,EDATE($D57,Milestones!$AA$182)&lt;PolicyEff),1,Milestones!$AC$182)&amp;";  ","")&amp;IF(AND(EDATE($D57,Milestones!$AA$183)&lt;=AsOfDate,EDATE($D57,Milestones!$AA$183)&gt;=SchemeStart,IF($X57=0,$AD57,IF(AND($Z57&lt;&gt;"",EDATE($D57,Milestones!$AA$183)&gt;=$Z57),$AC57,IF(AND($Y57&lt;&gt;"",EDATE($D57,Milestones!$AA$183)&gt;=$Y57),$AB57,$AA57)))=Milestones!$AB$183),UPPER(TEXT(EDATE($D57,Milestones!$AA$183),"dd mmm yy"))&amp;" "&amp;Milestones!$AB$183&amp;" "&amp;IF(AND(Milestones!$AB$183="FT",Milestones!$AA$183=FT_Y5,EDATE($D57,Milestones!$AA$183)&lt;PolicyEff),1,Milestones!$AC$183)&amp;";  ","")&amp;IF(AND(EDATE($D57,Milestones!$AA$184)&lt;=AsOfDate,EDATE($D57,Milestones!$AA$184)&gt;=SchemeStart,IF($X57=0,$AD57,IF(AND($Z57&lt;&gt;"",EDATE($D57,Milestones!$AA$184)&gt;=$Z57),$AC57,IF(AND($Y57&lt;&gt;"",EDATE($D57,Milestones!$AA$184)&gt;=$Y57),$AB57,$AA57)))=Milestones!$AB$184),UPPER(TEXT(EDATE($D57,Milestones!$AA$184),"dd mmm yy"))&amp;" "&amp;Milestones!$AB$184&amp;" "&amp;IF(AND(Milestones!$AB$184="FT",Milestones!$AA$184=FT_Y5,EDATE($D57,Milestones!$AA$184)&lt;PolicyEff),1,Milestones!$AC$184)&amp;";  ","")&amp;IF(AND(EDATE($D57,Milestones!$AA$185)&lt;=AsOfDate,EDATE($D57,Milestones!$AA$185)&gt;=SchemeStart,IF($X57=0,$AD57,IF(AND($Z57&lt;&gt;"",EDATE($D57,Milestones!$AA$185)&gt;=$Z57),$AC57,IF(AND($Y57&lt;&gt;"",EDATE($D57,Milestones!$AA$185)&gt;=$Y57),$AB57,$AA57)))=Milestones!$AB$185),UPPER(TEXT(EDATE($D57,Milestones!$AA$185),"dd mmm yy"))&amp;" "&amp;Milestones!$AB$185&amp;" "&amp;IF(AND(Milestones!$AB$185="FT",Milestones!$AA$185=FT_Y5,EDATE($D57,Milestones!$AA$185)&lt;PolicyEff),1,Milestones!$AC$185)&amp;";  ","")&amp;IF(AND(EDATE($D57,Milestones!$AA$186)&lt;=AsOfDate,EDATE($D57,Milestones!$AA$186)&gt;=SchemeStart,IF($X57=0,$AD57,IF(AND($Z57&lt;&gt;"",EDATE($D57,Milestones!$AA$186)&gt;=$Z57),$AC57,IF(AND($Y57&lt;&gt;"",EDATE($D57,Milestones!$AA$186)&gt;=$Y57),$AB57,$AA57)))=Milestones!$AB$186),UPPER(TEXT(EDATE($D57,Milestones!$AA$186),"dd mmm yy"))&amp;" "&amp;Milestones!$AB$186&amp;" "&amp;IF(AND(Milestones!$AB$186="FT",Milestones!$AA$186=FT_Y5,EDATE($D57,Milestones!$AA$186)&lt;PolicyEff),1,Milestones!$AC$186)&amp;";  ","")&amp;IF(AND(EDATE($D57,Milestones!$AA$187)&lt;=AsOfDate,EDATE($D57,Milestones!$AA$187)&gt;=SchemeStart,IF($X57=0,$AD57,IF(AND($Z57&lt;&gt;"",EDATE($D57,Milestones!$AA$187)&gt;=$Z57),$AC57,IF(AND($Y57&lt;&gt;"",EDATE($D57,Milestones!$AA$187)&gt;=$Y57),$AB57,$AA57)))=Milestones!$AB$187),UPPER(TEXT(EDATE($D57,Milestones!$AA$187),"dd mmm yy"))&amp;" "&amp;Milestones!$AB$187&amp;" "&amp;IF(AND(Milestones!$AB$187="FT",Milestones!$AA$187=FT_Y5,EDATE($D57,Milestones!$AA$187)&lt;PolicyEff),1,Milestones!$AC$187)&amp;";  ",""))</f>
        <v/>
      </c>
      <c r="W57" s="0" t="str">
        <f aca="false">IF(OR($A57="",$D57=""),"",IF(AND(EDATE($D57,Milestones!$AA$188)&lt;=AsOfDate,EDATE($D57,Milestones!$AA$188)&gt;=SchemeStart,IF($X57=0,$AD57,IF(AND($Z57&lt;&gt;"",EDATE($D57,Milestones!$AA$188)&gt;=$Z57),$AC57,IF(AND($Y57&lt;&gt;"",EDATE($D57,Milestones!$AA$188)&gt;=$Y57),$AB57,$AA57)))=Milestones!$AB$188),UPPER(TEXT(EDATE($D57,Milestones!$AA$188),"dd mmm yy"))&amp;" "&amp;Milestones!$AB$188&amp;" "&amp;IF(AND(Milestones!$AB$188="FT",Milestones!$AA$188=FT_Y5,EDATE($D57,Milestones!$AA$188)&lt;PolicyEff),1,Milestones!$AC$188)&amp;";  ","")&amp;IF(AND(EDATE($D57,Milestones!$AA$189)&lt;=AsOfDate,EDATE($D57,Milestones!$AA$189)&gt;=SchemeStart,IF($X57=0,$AD57,IF(AND($Z57&lt;&gt;"",EDATE($D57,Milestones!$AA$189)&gt;=$Z57),$AC57,IF(AND($Y57&lt;&gt;"",EDATE($D57,Milestones!$AA$189)&gt;=$Y57),$AB57,$AA57)))=Milestones!$AB$189),UPPER(TEXT(EDATE($D57,Milestones!$AA$189),"dd mmm yy"))&amp;" "&amp;Milestones!$AB$189&amp;" "&amp;IF(AND(Milestones!$AB$189="FT",Milestones!$AA$189=FT_Y5,EDATE($D57,Milestones!$AA$189)&lt;PolicyEff),1,Milestones!$AC$189)&amp;";  ","")&amp;IF(AND(EDATE($D57,Milestones!$AA$190)&lt;=AsOfDate,EDATE($D57,Milestones!$AA$190)&gt;=SchemeStart,IF($X57=0,$AD57,IF(AND($Z57&lt;&gt;"",EDATE($D57,Milestones!$AA$190)&gt;=$Z57),$AC57,IF(AND($Y57&lt;&gt;"",EDATE($D57,Milestones!$AA$190)&gt;=$Y57),$AB57,$AA57)))=Milestones!$AB$190),UPPER(TEXT(EDATE($D57,Milestones!$AA$190),"dd mmm yy"))&amp;" "&amp;Milestones!$AB$190&amp;" "&amp;IF(AND(Milestones!$AB$190="FT",Milestones!$AA$190=FT_Y5,EDATE($D57,Milestones!$AA$190)&lt;PolicyEff),1,Milestones!$AC$190)&amp;";  ","")&amp;IF(AND(EDATE($D57,Milestones!$AA$191)&lt;=AsOfDate,EDATE($D57,Milestones!$AA$191)&gt;=SchemeStart,IF($X57=0,$AD57,IF(AND($Z57&lt;&gt;"",EDATE($D57,Milestones!$AA$191)&gt;=$Z57),$AC57,IF(AND($Y57&lt;&gt;"",EDATE($D57,Milestones!$AA$191)&gt;=$Y57),$AB57,$AA57)))=Milestones!$AB$191),UPPER(TEXT(EDATE($D57,Milestones!$AA$191),"dd mmm yy"))&amp;" "&amp;Milestones!$AB$191&amp;" "&amp;IF(AND(Milestones!$AB$191="FT",Milestones!$AA$191=FT_Y5,EDATE($D57,Milestones!$AA$191)&lt;PolicyEff),1,Milestones!$AC$191)&amp;";  ","")&amp;IF(AND(EDATE($D57,Milestones!$AA$192)&lt;=AsOfDate,EDATE($D57,Milestones!$AA$192)&gt;=SchemeStart,IF($X57=0,$AD57,IF(AND($Z57&lt;&gt;"",EDATE($D57,Milestones!$AA$192)&gt;=$Z57),$AC57,IF(AND($Y57&lt;&gt;"",EDATE($D57,Milestones!$AA$192)&gt;=$Y57),$AB57,$AA57)))=Milestones!$AB$192),UPPER(TEXT(EDATE($D57,Milestones!$AA$192),"dd mmm yy"))&amp;" "&amp;Milestones!$AB$192&amp;" "&amp;IF(AND(Milestones!$AB$192="FT",Milestones!$AA$192=FT_Y5,EDATE($D57,Milestones!$AA$192)&lt;PolicyEff),1,Milestones!$AC$192)&amp;";  ","")&amp;IF(AND(EDATE($D57,Milestones!$AA$193)&lt;=AsOfDate,EDATE($D57,Milestones!$AA$193)&gt;=SchemeStart,IF($X57=0,$AD57,IF(AND($Z57&lt;&gt;"",EDATE($D57,Milestones!$AA$193)&gt;=$Z57),$AC57,IF(AND($Y57&lt;&gt;"",EDATE($D57,Milestones!$AA$193)&gt;=$Y57),$AB57,$AA57)))=Milestones!$AB$193),UPPER(TEXT(EDATE($D57,Milestones!$AA$193),"dd mmm yy"))&amp;" "&amp;Milestones!$AB$193&amp;" "&amp;IF(AND(Milestones!$AB$193="FT",Milestones!$AA$193=FT_Y5,EDATE($D57,Milestones!$AA$193)&lt;PolicyEff),1,Milestones!$AC$193)&amp;";  ","")&amp;IF(AND(EDATE($D57,Milestones!$AA$194)&lt;=AsOfDate,EDATE($D57,Milestones!$AA$194)&gt;=SchemeStart,IF($X57=0,$AD57,IF(AND($Z57&lt;&gt;"",EDATE($D57,Milestones!$AA$194)&gt;=$Z57),$AC57,IF(AND($Y57&lt;&gt;"",EDATE($D57,Milestones!$AA$194)&gt;=$Y57),$AB57,$AA57)))=Milestones!$AB$194),UPPER(TEXT(EDATE($D57,Milestones!$AA$194),"dd mmm yy"))&amp;" "&amp;Milestones!$AB$194&amp;" "&amp;IF(AND(Milestones!$AB$194="FT",Milestones!$AA$194=FT_Y5,EDATE($D57,Milestones!$AA$194)&lt;PolicyEff),1,Milestones!$AC$194)&amp;";  ","")&amp;IF(AND(EDATE($D57,Milestones!$AA$195)&lt;=AsOfDate,EDATE($D57,Milestones!$AA$195)&gt;=SchemeStart,IF($X57=0,$AD57,IF(AND($Z57&lt;&gt;"",EDATE($D57,Milestones!$AA$195)&gt;=$Z57),$AC57,IF(AND($Y57&lt;&gt;"",EDATE($D57,Milestones!$AA$195)&gt;=$Y57),$AB57,$AA57)))=Milestones!$AB$195),UPPER(TEXT(EDATE($D57,Milestones!$AA$195),"dd mmm yy"))&amp;" "&amp;Milestones!$AB$195&amp;" "&amp;IF(AND(Milestones!$AB$195="FT",Milestones!$AA$195=FT_Y5,EDATE($D57,Milestones!$AA$195)&lt;PolicyEff),1,Milestones!$AC$195)&amp;";  ","")&amp;IF(AND(EDATE($D57,Milestones!$AA$196)&lt;=AsOfDate,EDATE($D57,Milestones!$AA$196)&gt;=SchemeStart,IF($X57=0,$AD57,IF(AND($Z57&lt;&gt;"",EDATE($D57,Milestones!$AA$196)&gt;=$Z57),$AC57,IF(AND($Y57&lt;&gt;"",EDATE($D57,Milestones!$AA$196)&gt;=$Y57),$AB57,$AA57)))=Milestones!$AB$196),UPPER(TEXT(EDATE($D57,Milestones!$AA$196),"dd mmm yy"))&amp;" "&amp;Milestones!$AB$196&amp;" "&amp;IF(AND(Milestones!$AB$196="FT",Milestones!$AA$196=FT_Y5,EDATE($D57,Milestones!$AA$196)&lt;PolicyEff),1,Milestones!$AC$196)&amp;";  ","")&amp;IF(AND(EDATE($D57,Milestones!$AA$197)&lt;=AsOfDate,EDATE($D57,Milestones!$AA$197)&gt;=SchemeStart,IF($X57=0,$AD57,IF(AND($Z57&lt;&gt;"",EDATE($D57,Milestones!$AA$197)&gt;=$Z57),$AC57,IF(AND($Y57&lt;&gt;"",EDATE($D57,Milestones!$AA$197)&gt;=$Y57),$AB57,$AA57)))=Milestones!$AB$197),UPPER(TEXT(EDATE($D57,Milestones!$AA$197),"dd mmm yy"))&amp;" "&amp;Milestones!$AB$197&amp;" "&amp;IF(AND(Milestones!$AB$197="FT",Milestones!$AA$197=FT_Y5,EDATE($D57,Milestones!$AA$197)&lt;PolicyEff),1,Milestones!$AC$197)&amp;";  ","")&amp;IF(AND(EDATE($D57,Milestones!$AA$198)&lt;=AsOfDate,EDATE($D57,Milestones!$AA$198)&gt;=SchemeStart,IF($X57=0,$AD57,IF(AND($Z57&lt;&gt;"",EDATE($D57,Milestones!$AA$198)&gt;=$Z57),$AC57,IF(AND($Y57&lt;&gt;"",EDATE($D57,Milestones!$AA$198)&gt;=$Y57),$AB57,$AA57)))=Milestones!$AB$198),UPPER(TEXT(EDATE($D57,Milestones!$AA$198),"dd mmm yy"))&amp;" "&amp;Milestones!$AB$198&amp;" "&amp;IF(AND(Milestones!$AB$198="FT",Milestones!$AA$198=FT_Y5,EDATE($D57,Milestones!$AA$198)&lt;PolicyEff),1,Milestones!$AC$198)&amp;";  ","")&amp;IF(AND(EDATE($D57,Milestones!$AA$199)&lt;=AsOfDate,EDATE($D57,Milestones!$AA$199)&gt;=SchemeStart,IF($X57=0,$AD57,IF(AND($Z57&lt;&gt;"",EDATE($D57,Milestones!$AA$199)&gt;=$Z57),$AC57,IF(AND($Y57&lt;&gt;"",EDATE($D57,Milestones!$AA$199)&gt;=$Y57),$AB57,$AA57)))=Milestones!$AB$199),UPPER(TEXT(EDATE($D57,Milestones!$AA$199),"dd mmm yy"))&amp;" "&amp;Milestones!$AB$199&amp;" "&amp;IF(AND(Milestones!$AB$199="FT",Milestones!$AA$199=FT_Y5,EDATE($D57,Milestones!$AA$199)&lt;PolicyEff),1,Milestones!$AC$199)&amp;";  ",""))</f>
        <v/>
      </c>
      <c r="X57" s="0" t="str">
        <f aca="false">IF(Staff!$A57="","",Staff!$AM57)</f>
        <v/>
      </c>
      <c r="Y57" s="0" t="str">
        <f aca="false">IF(Staff!$A57="","",Staff!$AO57)</f>
        <v/>
      </c>
      <c r="Z57" s="0" t="str">
        <f aca="false">IF(Staff!$A57="","",Staff!$AP57)</f>
        <v/>
      </c>
      <c r="AA57" s="0" t="str">
        <f aca="false">IF(Staff!$A57="","",Staff!$AT57)</f>
        <v/>
      </c>
      <c r="AB57" s="0" t="str">
        <f aca="false">IF(Staff!$A57="","",Staff!$AU57)</f>
        <v/>
      </c>
      <c r="AC57" s="0" t="str">
        <f aca="false">IF(Staff!$A57="","",Staff!$AV57)</f>
        <v/>
      </c>
      <c r="AD57" s="0" t="str">
        <f aca="false">IF(Staff!$A57="","",Staff!$AW57)</f>
        <v/>
      </c>
    </row>
    <row r="58" customFormat="false" ht="15" hidden="false" customHeight="false" outlineLevel="0" collapsed="false">
      <c r="A58" s="16" t="str">
        <f aca="false">IF(Staff!$A58="","",Staff!$A58)</f>
        <v/>
      </c>
      <c r="B58" s="16" t="str">
        <f aca="false">IF(Staff!$A58="","",Staff!$B58)</f>
        <v/>
      </c>
      <c r="C58" s="16" t="str">
        <f aca="false">IF(Staff!$A58="","",Staff!$C58)</f>
        <v/>
      </c>
      <c r="D58" s="14" t="str">
        <f aca="false">IF(Staff!$A58="","",Staff!$AL58)</f>
        <v/>
      </c>
      <c r="E58" s="16" t="str">
        <f aca="false">IF(Staff!$A58="","",Staff!$O58)</f>
        <v/>
      </c>
      <c r="F58" s="16" t="str">
        <f aca="false">IF(E58="","",E58*HoursPerDay)</f>
        <v/>
      </c>
      <c r="G58" s="16" t="str">
        <f aca="false">IF(Staff!$A58="","",Staff!$AE58)</f>
        <v/>
      </c>
      <c r="H58" s="28" t="str">
        <f aca="false">IF($A58="","",I58&amp;J58&amp;K58&amp;L58&amp;M58&amp;N58&amp;O58&amp;P58&amp;Q58&amp;R58&amp;S58&amp;T58&amp;U58&amp;V58&amp;W58)</f>
        <v/>
      </c>
      <c r="I58" s="0" t="str">
        <f aca="false">IF(OR($A58="",$D58=""),"",IF(AND(EDATE($D58,Milestones!$AA$20)&lt;=AsOfDate,EDATE($D58,Milestones!$AA$20)&gt;=SchemeStart,IF($X58=0,$AD58,IF(AND($Z58&lt;&gt;"",EDATE($D58,Milestones!$AA$20)&gt;=$Z58),$AC58,IF(AND($Y58&lt;&gt;"",EDATE($D58,Milestones!$AA$20)&gt;=$Y58),$AB58,$AA58)))=Milestones!$AB$20),UPPER(TEXT(EDATE($D58,Milestones!$AA$20),"dd mmm yy"))&amp;" "&amp;Milestones!$AB$20&amp;" "&amp;IF(AND(Milestones!$AB$20="FT",Milestones!$AA$20=FT_Y5,EDATE($D58,Milestones!$AA$20)&lt;PolicyEff),1,Milestones!$AC$20)&amp;";  ","")&amp;IF(AND(EDATE($D58,Milestones!$AA$21)&lt;=AsOfDate,EDATE($D58,Milestones!$AA$21)&gt;=SchemeStart,IF($X58=0,$AD58,IF(AND($Z58&lt;&gt;"",EDATE($D58,Milestones!$AA$21)&gt;=$Z58),$AC58,IF(AND($Y58&lt;&gt;"",EDATE($D58,Milestones!$AA$21)&gt;=$Y58),$AB58,$AA58)))=Milestones!$AB$21),UPPER(TEXT(EDATE($D58,Milestones!$AA$21),"dd mmm yy"))&amp;" "&amp;Milestones!$AB$21&amp;" "&amp;IF(AND(Milestones!$AB$21="FT",Milestones!$AA$21=FT_Y5,EDATE($D58,Milestones!$AA$21)&lt;PolicyEff),1,Milestones!$AC$21)&amp;";  ","")&amp;IF(AND(EDATE($D58,Milestones!$AA$22)&lt;=AsOfDate,EDATE($D58,Milestones!$AA$22)&gt;=SchemeStart,IF($X58=0,$AD58,IF(AND($Z58&lt;&gt;"",EDATE($D58,Milestones!$AA$22)&gt;=$Z58),$AC58,IF(AND($Y58&lt;&gt;"",EDATE($D58,Milestones!$AA$22)&gt;=$Y58),$AB58,$AA58)))=Milestones!$AB$22),UPPER(TEXT(EDATE($D58,Milestones!$AA$22),"dd mmm yy"))&amp;" "&amp;Milestones!$AB$22&amp;" "&amp;IF(AND(Milestones!$AB$22="FT",Milestones!$AA$22=FT_Y5,EDATE($D58,Milestones!$AA$22)&lt;PolicyEff),1,Milestones!$AC$22)&amp;";  ","")&amp;IF(AND(EDATE($D58,Milestones!$AA$23)&lt;=AsOfDate,EDATE($D58,Milestones!$AA$23)&gt;=SchemeStart,IF($X58=0,$AD58,IF(AND($Z58&lt;&gt;"",EDATE($D58,Milestones!$AA$23)&gt;=$Z58),$AC58,IF(AND($Y58&lt;&gt;"",EDATE($D58,Milestones!$AA$23)&gt;=$Y58),$AB58,$AA58)))=Milestones!$AB$23),UPPER(TEXT(EDATE($D58,Milestones!$AA$23),"dd mmm yy"))&amp;" "&amp;Milestones!$AB$23&amp;" "&amp;IF(AND(Milestones!$AB$23="FT",Milestones!$AA$23=FT_Y5,EDATE($D58,Milestones!$AA$23)&lt;PolicyEff),1,Milestones!$AC$23)&amp;";  ","")&amp;IF(AND(EDATE($D58,Milestones!$AA$24)&lt;=AsOfDate,EDATE($D58,Milestones!$AA$24)&gt;=SchemeStart,IF($X58=0,$AD58,IF(AND($Z58&lt;&gt;"",EDATE($D58,Milestones!$AA$24)&gt;=$Z58),$AC58,IF(AND($Y58&lt;&gt;"",EDATE($D58,Milestones!$AA$24)&gt;=$Y58),$AB58,$AA58)))=Milestones!$AB$24),UPPER(TEXT(EDATE($D58,Milestones!$AA$24),"dd mmm yy"))&amp;" "&amp;Milestones!$AB$24&amp;" "&amp;IF(AND(Milestones!$AB$24="FT",Milestones!$AA$24=FT_Y5,EDATE($D58,Milestones!$AA$24)&lt;PolicyEff),1,Milestones!$AC$24)&amp;";  ","")&amp;IF(AND(EDATE($D58,Milestones!$AA$25)&lt;=AsOfDate,EDATE($D58,Milestones!$AA$25)&gt;=SchemeStart,IF($X58=0,$AD58,IF(AND($Z58&lt;&gt;"",EDATE($D58,Milestones!$AA$25)&gt;=$Z58),$AC58,IF(AND($Y58&lt;&gt;"",EDATE($D58,Milestones!$AA$25)&gt;=$Y58),$AB58,$AA58)))=Milestones!$AB$25),UPPER(TEXT(EDATE($D58,Milestones!$AA$25),"dd mmm yy"))&amp;" "&amp;Milestones!$AB$25&amp;" "&amp;IF(AND(Milestones!$AB$25="FT",Milestones!$AA$25=FT_Y5,EDATE($D58,Milestones!$AA$25)&lt;PolicyEff),1,Milestones!$AC$25)&amp;";  ","")&amp;IF(AND(EDATE($D58,Milestones!$AA$26)&lt;=AsOfDate,EDATE($D58,Milestones!$AA$26)&gt;=SchemeStart,IF($X58=0,$AD58,IF(AND($Z58&lt;&gt;"",EDATE($D58,Milestones!$AA$26)&gt;=$Z58),$AC58,IF(AND($Y58&lt;&gt;"",EDATE($D58,Milestones!$AA$26)&gt;=$Y58),$AB58,$AA58)))=Milestones!$AB$26),UPPER(TEXT(EDATE($D58,Milestones!$AA$26),"dd mmm yy"))&amp;" "&amp;Milestones!$AB$26&amp;" "&amp;IF(AND(Milestones!$AB$26="FT",Milestones!$AA$26=FT_Y5,EDATE($D58,Milestones!$AA$26)&lt;PolicyEff),1,Milestones!$AC$26)&amp;";  ","")&amp;IF(AND(EDATE($D58,Milestones!$AA$27)&lt;=AsOfDate,EDATE($D58,Milestones!$AA$27)&gt;=SchemeStart,IF($X58=0,$AD58,IF(AND($Z58&lt;&gt;"",EDATE($D58,Milestones!$AA$27)&gt;=$Z58),$AC58,IF(AND($Y58&lt;&gt;"",EDATE($D58,Milestones!$AA$27)&gt;=$Y58),$AB58,$AA58)))=Milestones!$AB$27),UPPER(TEXT(EDATE($D58,Milestones!$AA$27),"dd mmm yy"))&amp;" "&amp;Milestones!$AB$27&amp;" "&amp;IF(AND(Milestones!$AB$27="FT",Milestones!$AA$27=FT_Y5,EDATE($D58,Milestones!$AA$27)&lt;PolicyEff),1,Milestones!$AC$27)&amp;";  ","")&amp;IF(AND(EDATE($D58,Milestones!$AA$28)&lt;=AsOfDate,EDATE($D58,Milestones!$AA$28)&gt;=SchemeStart,IF($X58=0,$AD58,IF(AND($Z58&lt;&gt;"",EDATE($D58,Milestones!$AA$28)&gt;=$Z58),$AC58,IF(AND($Y58&lt;&gt;"",EDATE($D58,Milestones!$AA$28)&gt;=$Y58),$AB58,$AA58)))=Milestones!$AB$28),UPPER(TEXT(EDATE($D58,Milestones!$AA$28),"dd mmm yy"))&amp;" "&amp;Milestones!$AB$28&amp;" "&amp;IF(AND(Milestones!$AB$28="FT",Milestones!$AA$28=FT_Y5,EDATE($D58,Milestones!$AA$28)&lt;PolicyEff),1,Milestones!$AC$28)&amp;";  ","")&amp;IF(AND(EDATE($D58,Milestones!$AA$29)&lt;=AsOfDate,EDATE($D58,Milestones!$AA$29)&gt;=SchemeStart,IF($X58=0,$AD58,IF(AND($Z58&lt;&gt;"",EDATE($D58,Milestones!$AA$29)&gt;=$Z58),$AC58,IF(AND($Y58&lt;&gt;"",EDATE($D58,Milestones!$AA$29)&gt;=$Y58),$AB58,$AA58)))=Milestones!$AB$29),UPPER(TEXT(EDATE($D58,Milestones!$AA$29),"dd mmm yy"))&amp;" "&amp;Milestones!$AB$29&amp;" "&amp;IF(AND(Milestones!$AB$29="FT",Milestones!$AA$29=FT_Y5,EDATE($D58,Milestones!$AA$29)&lt;PolicyEff),1,Milestones!$AC$29)&amp;";  ","")&amp;IF(AND(EDATE($D58,Milestones!$AA$30)&lt;=AsOfDate,EDATE($D58,Milestones!$AA$30)&gt;=SchemeStart,IF($X58=0,$AD58,IF(AND($Z58&lt;&gt;"",EDATE($D58,Milestones!$AA$30)&gt;=$Z58),$AC58,IF(AND($Y58&lt;&gt;"",EDATE($D58,Milestones!$AA$30)&gt;=$Y58),$AB58,$AA58)))=Milestones!$AB$30),UPPER(TEXT(EDATE($D58,Milestones!$AA$30),"dd mmm yy"))&amp;" "&amp;Milestones!$AB$30&amp;" "&amp;IF(AND(Milestones!$AB$30="FT",Milestones!$AA$30=FT_Y5,EDATE($D58,Milestones!$AA$30)&lt;PolicyEff),1,Milestones!$AC$30)&amp;";  ","")&amp;IF(AND(EDATE($D58,Milestones!$AA$31)&lt;=AsOfDate,EDATE($D58,Milestones!$AA$31)&gt;=SchemeStart,IF($X58=0,$AD58,IF(AND($Z58&lt;&gt;"",EDATE($D58,Milestones!$AA$31)&gt;=$Z58),$AC58,IF(AND($Y58&lt;&gt;"",EDATE($D58,Milestones!$AA$31)&gt;=$Y58),$AB58,$AA58)))=Milestones!$AB$31),UPPER(TEXT(EDATE($D58,Milestones!$AA$31),"dd mmm yy"))&amp;" "&amp;Milestones!$AB$31&amp;" "&amp;IF(AND(Milestones!$AB$31="FT",Milestones!$AA$31=FT_Y5,EDATE($D58,Milestones!$AA$31)&lt;PolicyEff),1,Milestones!$AC$31)&amp;";  ",""))</f>
        <v/>
      </c>
      <c r="J58" s="0" t="str">
        <f aca="false">IF(OR($A58="",$D58=""),"",IF(AND(EDATE($D58,Milestones!$AA$32)&lt;=AsOfDate,EDATE($D58,Milestones!$AA$32)&gt;=SchemeStart,IF($X58=0,$AD58,IF(AND($Z58&lt;&gt;"",EDATE($D58,Milestones!$AA$32)&gt;=$Z58),$AC58,IF(AND($Y58&lt;&gt;"",EDATE($D58,Milestones!$AA$32)&gt;=$Y58),$AB58,$AA58)))=Milestones!$AB$32),UPPER(TEXT(EDATE($D58,Milestones!$AA$32),"dd mmm yy"))&amp;" "&amp;Milestones!$AB$32&amp;" "&amp;IF(AND(Milestones!$AB$32="FT",Milestones!$AA$32=FT_Y5,EDATE($D58,Milestones!$AA$32)&lt;PolicyEff),1,Milestones!$AC$32)&amp;";  ","")&amp;IF(AND(EDATE($D58,Milestones!$AA$33)&lt;=AsOfDate,EDATE($D58,Milestones!$AA$33)&gt;=SchemeStart,IF($X58=0,$AD58,IF(AND($Z58&lt;&gt;"",EDATE($D58,Milestones!$AA$33)&gt;=$Z58),$AC58,IF(AND($Y58&lt;&gt;"",EDATE($D58,Milestones!$AA$33)&gt;=$Y58),$AB58,$AA58)))=Milestones!$AB$33),UPPER(TEXT(EDATE($D58,Milestones!$AA$33),"dd mmm yy"))&amp;" "&amp;Milestones!$AB$33&amp;" "&amp;IF(AND(Milestones!$AB$33="FT",Milestones!$AA$33=FT_Y5,EDATE($D58,Milestones!$AA$33)&lt;PolicyEff),1,Milestones!$AC$33)&amp;";  ","")&amp;IF(AND(EDATE($D58,Milestones!$AA$34)&lt;=AsOfDate,EDATE($D58,Milestones!$AA$34)&gt;=SchemeStart,IF($X58=0,$AD58,IF(AND($Z58&lt;&gt;"",EDATE($D58,Milestones!$AA$34)&gt;=$Z58),$AC58,IF(AND($Y58&lt;&gt;"",EDATE($D58,Milestones!$AA$34)&gt;=$Y58),$AB58,$AA58)))=Milestones!$AB$34),UPPER(TEXT(EDATE($D58,Milestones!$AA$34),"dd mmm yy"))&amp;" "&amp;Milestones!$AB$34&amp;" "&amp;IF(AND(Milestones!$AB$34="FT",Milestones!$AA$34=FT_Y5,EDATE($D58,Milestones!$AA$34)&lt;PolicyEff),1,Milestones!$AC$34)&amp;";  ","")&amp;IF(AND(EDATE($D58,Milestones!$AA$35)&lt;=AsOfDate,EDATE($D58,Milestones!$AA$35)&gt;=SchemeStart,IF($X58=0,$AD58,IF(AND($Z58&lt;&gt;"",EDATE($D58,Milestones!$AA$35)&gt;=$Z58),$AC58,IF(AND($Y58&lt;&gt;"",EDATE($D58,Milestones!$AA$35)&gt;=$Y58),$AB58,$AA58)))=Milestones!$AB$35),UPPER(TEXT(EDATE($D58,Milestones!$AA$35),"dd mmm yy"))&amp;" "&amp;Milestones!$AB$35&amp;" "&amp;IF(AND(Milestones!$AB$35="FT",Milestones!$AA$35=FT_Y5,EDATE($D58,Milestones!$AA$35)&lt;PolicyEff),1,Milestones!$AC$35)&amp;";  ","")&amp;IF(AND(EDATE($D58,Milestones!$AA$36)&lt;=AsOfDate,EDATE($D58,Milestones!$AA$36)&gt;=SchemeStart,IF($X58=0,$AD58,IF(AND($Z58&lt;&gt;"",EDATE($D58,Milestones!$AA$36)&gt;=$Z58),$AC58,IF(AND($Y58&lt;&gt;"",EDATE($D58,Milestones!$AA$36)&gt;=$Y58),$AB58,$AA58)))=Milestones!$AB$36),UPPER(TEXT(EDATE($D58,Milestones!$AA$36),"dd mmm yy"))&amp;" "&amp;Milestones!$AB$36&amp;" "&amp;IF(AND(Milestones!$AB$36="FT",Milestones!$AA$36=FT_Y5,EDATE($D58,Milestones!$AA$36)&lt;PolicyEff),1,Milestones!$AC$36)&amp;";  ","")&amp;IF(AND(EDATE($D58,Milestones!$AA$37)&lt;=AsOfDate,EDATE($D58,Milestones!$AA$37)&gt;=SchemeStart,IF($X58=0,$AD58,IF(AND($Z58&lt;&gt;"",EDATE($D58,Milestones!$AA$37)&gt;=$Z58),$AC58,IF(AND($Y58&lt;&gt;"",EDATE($D58,Milestones!$AA$37)&gt;=$Y58),$AB58,$AA58)))=Milestones!$AB$37),UPPER(TEXT(EDATE($D58,Milestones!$AA$37),"dd mmm yy"))&amp;" "&amp;Milestones!$AB$37&amp;" "&amp;IF(AND(Milestones!$AB$37="FT",Milestones!$AA$37=FT_Y5,EDATE($D58,Milestones!$AA$37)&lt;PolicyEff),1,Milestones!$AC$37)&amp;";  ","")&amp;IF(AND(EDATE($D58,Milestones!$AA$38)&lt;=AsOfDate,EDATE($D58,Milestones!$AA$38)&gt;=SchemeStart,IF($X58=0,$AD58,IF(AND($Z58&lt;&gt;"",EDATE($D58,Milestones!$AA$38)&gt;=$Z58),$AC58,IF(AND($Y58&lt;&gt;"",EDATE($D58,Milestones!$AA$38)&gt;=$Y58),$AB58,$AA58)))=Milestones!$AB$38),UPPER(TEXT(EDATE($D58,Milestones!$AA$38),"dd mmm yy"))&amp;" "&amp;Milestones!$AB$38&amp;" "&amp;IF(AND(Milestones!$AB$38="FT",Milestones!$AA$38=FT_Y5,EDATE($D58,Milestones!$AA$38)&lt;PolicyEff),1,Milestones!$AC$38)&amp;";  ","")&amp;IF(AND(EDATE($D58,Milestones!$AA$39)&lt;=AsOfDate,EDATE($D58,Milestones!$AA$39)&gt;=SchemeStart,IF($X58=0,$AD58,IF(AND($Z58&lt;&gt;"",EDATE($D58,Milestones!$AA$39)&gt;=$Z58),$AC58,IF(AND($Y58&lt;&gt;"",EDATE($D58,Milestones!$AA$39)&gt;=$Y58),$AB58,$AA58)))=Milestones!$AB$39),UPPER(TEXT(EDATE($D58,Milestones!$AA$39),"dd mmm yy"))&amp;" "&amp;Milestones!$AB$39&amp;" "&amp;IF(AND(Milestones!$AB$39="FT",Milestones!$AA$39=FT_Y5,EDATE($D58,Milestones!$AA$39)&lt;PolicyEff),1,Milestones!$AC$39)&amp;";  ","")&amp;IF(AND(EDATE($D58,Milestones!$AA$40)&lt;=AsOfDate,EDATE($D58,Milestones!$AA$40)&gt;=SchemeStart,IF($X58=0,$AD58,IF(AND($Z58&lt;&gt;"",EDATE($D58,Milestones!$AA$40)&gt;=$Z58),$AC58,IF(AND($Y58&lt;&gt;"",EDATE($D58,Milestones!$AA$40)&gt;=$Y58),$AB58,$AA58)))=Milestones!$AB$40),UPPER(TEXT(EDATE($D58,Milestones!$AA$40),"dd mmm yy"))&amp;" "&amp;Milestones!$AB$40&amp;" "&amp;IF(AND(Milestones!$AB$40="FT",Milestones!$AA$40=FT_Y5,EDATE($D58,Milestones!$AA$40)&lt;PolicyEff),1,Milestones!$AC$40)&amp;";  ","")&amp;IF(AND(EDATE($D58,Milestones!$AA$41)&lt;=AsOfDate,EDATE($D58,Milestones!$AA$41)&gt;=SchemeStart,IF($X58=0,$AD58,IF(AND($Z58&lt;&gt;"",EDATE($D58,Milestones!$AA$41)&gt;=$Z58),$AC58,IF(AND($Y58&lt;&gt;"",EDATE($D58,Milestones!$AA$41)&gt;=$Y58),$AB58,$AA58)))=Milestones!$AB$41),UPPER(TEXT(EDATE($D58,Milestones!$AA$41),"dd mmm yy"))&amp;" "&amp;Milestones!$AB$41&amp;" "&amp;IF(AND(Milestones!$AB$41="FT",Milestones!$AA$41=FT_Y5,EDATE($D58,Milestones!$AA$41)&lt;PolicyEff),1,Milestones!$AC$41)&amp;";  ","")&amp;IF(AND(EDATE($D58,Milestones!$AA$42)&lt;=AsOfDate,EDATE($D58,Milestones!$AA$42)&gt;=SchemeStart,IF($X58=0,$AD58,IF(AND($Z58&lt;&gt;"",EDATE($D58,Milestones!$AA$42)&gt;=$Z58),$AC58,IF(AND($Y58&lt;&gt;"",EDATE($D58,Milestones!$AA$42)&gt;=$Y58),$AB58,$AA58)))=Milestones!$AB$42),UPPER(TEXT(EDATE($D58,Milestones!$AA$42),"dd mmm yy"))&amp;" "&amp;Milestones!$AB$42&amp;" "&amp;IF(AND(Milestones!$AB$42="FT",Milestones!$AA$42=FT_Y5,EDATE($D58,Milestones!$AA$42)&lt;PolicyEff),1,Milestones!$AC$42)&amp;";  ","")&amp;IF(AND(EDATE($D58,Milestones!$AA$43)&lt;=AsOfDate,EDATE($D58,Milestones!$AA$43)&gt;=SchemeStart,IF($X58=0,$AD58,IF(AND($Z58&lt;&gt;"",EDATE($D58,Milestones!$AA$43)&gt;=$Z58),$AC58,IF(AND($Y58&lt;&gt;"",EDATE($D58,Milestones!$AA$43)&gt;=$Y58),$AB58,$AA58)))=Milestones!$AB$43),UPPER(TEXT(EDATE($D58,Milestones!$AA$43),"dd mmm yy"))&amp;" "&amp;Milestones!$AB$43&amp;" "&amp;IF(AND(Milestones!$AB$43="FT",Milestones!$AA$43=FT_Y5,EDATE($D58,Milestones!$AA$43)&lt;PolicyEff),1,Milestones!$AC$43)&amp;";  ",""))</f>
        <v/>
      </c>
      <c r="K58" s="0" t="str">
        <f aca="false">IF(OR($A58="",$D58=""),"",IF(AND(EDATE($D58,Milestones!$AA$44)&lt;=AsOfDate,EDATE($D58,Milestones!$AA$44)&gt;=SchemeStart,IF($X58=0,$AD58,IF(AND($Z58&lt;&gt;"",EDATE($D58,Milestones!$AA$44)&gt;=$Z58),$AC58,IF(AND($Y58&lt;&gt;"",EDATE($D58,Milestones!$AA$44)&gt;=$Y58),$AB58,$AA58)))=Milestones!$AB$44),UPPER(TEXT(EDATE($D58,Milestones!$AA$44),"dd mmm yy"))&amp;" "&amp;Milestones!$AB$44&amp;" "&amp;IF(AND(Milestones!$AB$44="FT",Milestones!$AA$44=FT_Y5,EDATE($D58,Milestones!$AA$44)&lt;PolicyEff),1,Milestones!$AC$44)&amp;";  ","")&amp;IF(AND(EDATE($D58,Milestones!$AA$45)&lt;=AsOfDate,EDATE($D58,Milestones!$AA$45)&gt;=SchemeStart,IF($X58=0,$AD58,IF(AND($Z58&lt;&gt;"",EDATE($D58,Milestones!$AA$45)&gt;=$Z58),$AC58,IF(AND($Y58&lt;&gt;"",EDATE($D58,Milestones!$AA$45)&gt;=$Y58),$AB58,$AA58)))=Milestones!$AB$45),UPPER(TEXT(EDATE($D58,Milestones!$AA$45),"dd mmm yy"))&amp;" "&amp;Milestones!$AB$45&amp;" "&amp;IF(AND(Milestones!$AB$45="FT",Milestones!$AA$45=FT_Y5,EDATE($D58,Milestones!$AA$45)&lt;PolicyEff),1,Milestones!$AC$45)&amp;";  ","")&amp;IF(AND(EDATE($D58,Milestones!$AA$46)&lt;=AsOfDate,EDATE($D58,Milestones!$AA$46)&gt;=SchemeStart,IF($X58=0,$AD58,IF(AND($Z58&lt;&gt;"",EDATE($D58,Milestones!$AA$46)&gt;=$Z58),$AC58,IF(AND($Y58&lt;&gt;"",EDATE($D58,Milestones!$AA$46)&gt;=$Y58),$AB58,$AA58)))=Milestones!$AB$46),UPPER(TEXT(EDATE($D58,Milestones!$AA$46),"dd mmm yy"))&amp;" "&amp;Milestones!$AB$46&amp;" "&amp;IF(AND(Milestones!$AB$46="FT",Milestones!$AA$46=FT_Y5,EDATE($D58,Milestones!$AA$46)&lt;PolicyEff),1,Milestones!$AC$46)&amp;";  ","")&amp;IF(AND(EDATE($D58,Milestones!$AA$47)&lt;=AsOfDate,EDATE($D58,Milestones!$AA$47)&gt;=SchemeStart,IF($X58=0,$AD58,IF(AND($Z58&lt;&gt;"",EDATE($D58,Milestones!$AA$47)&gt;=$Z58),$AC58,IF(AND($Y58&lt;&gt;"",EDATE($D58,Milestones!$AA$47)&gt;=$Y58),$AB58,$AA58)))=Milestones!$AB$47),UPPER(TEXT(EDATE($D58,Milestones!$AA$47),"dd mmm yy"))&amp;" "&amp;Milestones!$AB$47&amp;" "&amp;IF(AND(Milestones!$AB$47="FT",Milestones!$AA$47=FT_Y5,EDATE($D58,Milestones!$AA$47)&lt;PolicyEff),1,Milestones!$AC$47)&amp;";  ","")&amp;IF(AND(EDATE($D58,Milestones!$AA$48)&lt;=AsOfDate,EDATE($D58,Milestones!$AA$48)&gt;=SchemeStart,IF($X58=0,$AD58,IF(AND($Z58&lt;&gt;"",EDATE($D58,Milestones!$AA$48)&gt;=$Z58),$AC58,IF(AND($Y58&lt;&gt;"",EDATE($D58,Milestones!$AA$48)&gt;=$Y58),$AB58,$AA58)))=Milestones!$AB$48),UPPER(TEXT(EDATE($D58,Milestones!$AA$48),"dd mmm yy"))&amp;" "&amp;Milestones!$AB$48&amp;" "&amp;IF(AND(Milestones!$AB$48="FT",Milestones!$AA$48=FT_Y5,EDATE($D58,Milestones!$AA$48)&lt;PolicyEff),1,Milestones!$AC$48)&amp;";  ","")&amp;IF(AND(EDATE($D58,Milestones!$AA$49)&lt;=AsOfDate,EDATE($D58,Milestones!$AA$49)&gt;=SchemeStart,IF($X58=0,$AD58,IF(AND($Z58&lt;&gt;"",EDATE($D58,Milestones!$AA$49)&gt;=$Z58),$AC58,IF(AND($Y58&lt;&gt;"",EDATE($D58,Milestones!$AA$49)&gt;=$Y58),$AB58,$AA58)))=Milestones!$AB$49),UPPER(TEXT(EDATE($D58,Milestones!$AA$49),"dd mmm yy"))&amp;" "&amp;Milestones!$AB$49&amp;" "&amp;IF(AND(Milestones!$AB$49="FT",Milestones!$AA$49=FT_Y5,EDATE($D58,Milestones!$AA$49)&lt;PolicyEff),1,Milestones!$AC$49)&amp;";  ","")&amp;IF(AND(EDATE($D58,Milestones!$AA$50)&lt;=AsOfDate,EDATE($D58,Milestones!$AA$50)&gt;=SchemeStart,IF($X58=0,$AD58,IF(AND($Z58&lt;&gt;"",EDATE($D58,Milestones!$AA$50)&gt;=$Z58),$AC58,IF(AND($Y58&lt;&gt;"",EDATE($D58,Milestones!$AA$50)&gt;=$Y58),$AB58,$AA58)))=Milestones!$AB$50),UPPER(TEXT(EDATE($D58,Milestones!$AA$50),"dd mmm yy"))&amp;" "&amp;Milestones!$AB$50&amp;" "&amp;IF(AND(Milestones!$AB$50="FT",Milestones!$AA$50=FT_Y5,EDATE($D58,Milestones!$AA$50)&lt;PolicyEff),1,Milestones!$AC$50)&amp;";  ","")&amp;IF(AND(EDATE($D58,Milestones!$AA$51)&lt;=AsOfDate,EDATE($D58,Milestones!$AA$51)&gt;=SchemeStart,IF($X58=0,$AD58,IF(AND($Z58&lt;&gt;"",EDATE($D58,Milestones!$AA$51)&gt;=$Z58),$AC58,IF(AND($Y58&lt;&gt;"",EDATE($D58,Milestones!$AA$51)&gt;=$Y58),$AB58,$AA58)))=Milestones!$AB$51),UPPER(TEXT(EDATE($D58,Milestones!$AA$51),"dd mmm yy"))&amp;" "&amp;Milestones!$AB$51&amp;" "&amp;IF(AND(Milestones!$AB$51="FT",Milestones!$AA$51=FT_Y5,EDATE($D58,Milestones!$AA$51)&lt;PolicyEff),1,Milestones!$AC$51)&amp;";  ","")&amp;IF(AND(EDATE($D58,Milestones!$AA$52)&lt;=AsOfDate,EDATE($D58,Milestones!$AA$52)&gt;=SchemeStart,IF($X58=0,$AD58,IF(AND($Z58&lt;&gt;"",EDATE($D58,Milestones!$AA$52)&gt;=$Z58),$AC58,IF(AND($Y58&lt;&gt;"",EDATE($D58,Milestones!$AA$52)&gt;=$Y58),$AB58,$AA58)))=Milestones!$AB$52),UPPER(TEXT(EDATE($D58,Milestones!$AA$52),"dd mmm yy"))&amp;" "&amp;Milestones!$AB$52&amp;" "&amp;IF(AND(Milestones!$AB$52="FT",Milestones!$AA$52=FT_Y5,EDATE($D58,Milestones!$AA$52)&lt;PolicyEff),1,Milestones!$AC$52)&amp;";  ","")&amp;IF(AND(EDATE($D58,Milestones!$AA$53)&lt;=AsOfDate,EDATE($D58,Milestones!$AA$53)&gt;=SchemeStart,IF($X58=0,$AD58,IF(AND($Z58&lt;&gt;"",EDATE($D58,Milestones!$AA$53)&gt;=$Z58),$AC58,IF(AND($Y58&lt;&gt;"",EDATE($D58,Milestones!$AA$53)&gt;=$Y58),$AB58,$AA58)))=Milestones!$AB$53),UPPER(TEXT(EDATE($D58,Milestones!$AA$53),"dd mmm yy"))&amp;" "&amp;Milestones!$AB$53&amp;" "&amp;IF(AND(Milestones!$AB$53="FT",Milestones!$AA$53=FT_Y5,EDATE($D58,Milestones!$AA$53)&lt;PolicyEff),1,Milestones!$AC$53)&amp;";  ","")&amp;IF(AND(EDATE($D58,Milestones!$AA$54)&lt;=AsOfDate,EDATE($D58,Milestones!$AA$54)&gt;=SchemeStart,IF($X58=0,$AD58,IF(AND($Z58&lt;&gt;"",EDATE($D58,Milestones!$AA$54)&gt;=$Z58),$AC58,IF(AND($Y58&lt;&gt;"",EDATE($D58,Milestones!$AA$54)&gt;=$Y58),$AB58,$AA58)))=Milestones!$AB$54),UPPER(TEXT(EDATE($D58,Milestones!$AA$54),"dd mmm yy"))&amp;" "&amp;Milestones!$AB$54&amp;" "&amp;IF(AND(Milestones!$AB$54="FT",Milestones!$AA$54=FT_Y5,EDATE($D58,Milestones!$AA$54)&lt;PolicyEff),1,Milestones!$AC$54)&amp;";  ","")&amp;IF(AND(EDATE($D58,Milestones!$AA$55)&lt;=AsOfDate,EDATE($D58,Milestones!$AA$55)&gt;=SchemeStart,IF($X58=0,$AD58,IF(AND($Z58&lt;&gt;"",EDATE($D58,Milestones!$AA$55)&gt;=$Z58),$AC58,IF(AND($Y58&lt;&gt;"",EDATE($D58,Milestones!$AA$55)&gt;=$Y58),$AB58,$AA58)))=Milestones!$AB$55),UPPER(TEXT(EDATE($D58,Milestones!$AA$55),"dd mmm yy"))&amp;" "&amp;Milestones!$AB$55&amp;" "&amp;IF(AND(Milestones!$AB$55="FT",Milestones!$AA$55=FT_Y5,EDATE($D58,Milestones!$AA$55)&lt;PolicyEff),1,Milestones!$AC$55)&amp;";  ",""))</f>
        <v/>
      </c>
      <c r="L58" s="0" t="str">
        <f aca="false">IF(OR($A58="",$D58=""),"",IF(AND(EDATE($D58,Milestones!$AA$56)&lt;=AsOfDate,EDATE($D58,Milestones!$AA$56)&gt;=SchemeStart,IF($X58=0,$AD58,IF(AND($Z58&lt;&gt;"",EDATE($D58,Milestones!$AA$56)&gt;=$Z58),$AC58,IF(AND($Y58&lt;&gt;"",EDATE($D58,Milestones!$AA$56)&gt;=$Y58),$AB58,$AA58)))=Milestones!$AB$56),UPPER(TEXT(EDATE($D58,Milestones!$AA$56),"dd mmm yy"))&amp;" "&amp;Milestones!$AB$56&amp;" "&amp;IF(AND(Milestones!$AB$56="FT",Milestones!$AA$56=FT_Y5,EDATE($D58,Milestones!$AA$56)&lt;PolicyEff),1,Milestones!$AC$56)&amp;";  ","")&amp;IF(AND(EDATE($D58,Milestones!$AA$57)&lt;=AsOfDate,EDATE($D58,Milestones!$AA$57)&gt;=SchemeStart,IF($X58=0,$AD58,IF(AND($Z58&lt;&gt;"",EDATE($D58,Milestones!$AA$57)&gt;=$Z58),$AC58,IF(AND($Y58&lt;&gt;"",EDATE($D58,Milestones!$AA$57)&gt;=$Y58),$AB58,$AA58)))=Milestones!$AB$57),UPPER(TEXT(EDATE($D58,Milestones!$AA$57),"dd mmm yy"))&amp;" "&amp;Milestones!$AB$57&amp;" "&amp;IF(AND(Milestones!$AB$57="FT",Milestones!$AA$57=FT_Y5,EDATE($D58,Milestones!$AA$57)&lt;PolicyEff),1,Milestones!$AC$57)&amp;";  ","")&amp;IF(AND(EDATE($D58,Milestones!$AA$58)&lt;=AsOfDate,EDATE($D58,Milestones!$AA$58)&gt;=SchemeStart,IF($X58=0,$AD58,IF(AND($Z58&lt;&gt;"",EDATE($D58,Milestones!$AA$58)&gt;=$Z58),$AC58,IF(AND($Y58&lt;&gt;"",EDATE($D58,Milestones!$AA$58)&gt;=$Y58),$AB58,$AA58)))=Milestones!$AB$58),UPPER(TEXT(EDATE($D58,Milestones!$AA$58),"dd mmm yy"))&amp;" "&amp;Milestones!$AB$58&amp;" "&amp;IF(AND(Milestones!$AB$58="FT",Milestones!$AA$58=FT_Y5,EDATE($D58,Milestones!$AA$58)&lt;PolicyEff),1,Milestones!$AC$58)&amp;";  ","")&amp;IF(AND(EDATE($D58,Milestones!$AA$59)&lt;=AsOfDate,EDATE($D58,Milestones!$AA$59)&gt;=SchemeStart,IF($X58=0,$AD58,IF(AND($Z58&lt;&gt;"",EDATE($D58,Milestones!$AA$59)&gt;=$Z58),$AC58,IF(AND($Y58&lt;&gt;"",EDATE($D58,Milestones!$AA$59)&gt;=$Y58),$AB58,$AA58)))=Milestones!$AB$59),UPPER(TEXT(EDATE($D58,Milestones!$AA$59),"dd mmm yy"))&amp;" "&amp;Milestones!$AB$59&amp;" "&amp;IF(AND(Milestones!$AB$59="FT",Milestones!$AA$59=FT_Y5,EDATE($D58,Milestones!$AA$59)&lt;PolicyEff),1,Milestones!$AC$59)&amp;";  ","")&amp;IF(AND(EDATE($D58,Milestones!$AA$60)&lt;=AsOfDate,EDATE($D58,Milestones!$AA$60)&gt;=SchemeStart,IF($X58=0,$AD58,IF(AND($Z58&lt;&gt;"",EDATE($D58,Milestones!$AA$60)&gt;=$Z58),$AC58,IF(AND($Y58&lt;&gt;"",EDATE($D58,Milestones!$AA$60)&gt;=$Y58),$AB58,$AA58)))=Milestones!$AB$60),UPPER(TEXT(EDATE($D58,Milestones!$AA$60),"dd mmm yy"))&amp;" "&amp;Milestones!$AB$60&amp;" "&amp;IF(AND(Milestones!$AB$60="FT",Milestones!$AA$60=FT_Y5,EDATE($D58,Milestones!$AA$60)&lt;PolicyEff),1,Milestones!$AC$60)&amp;";  ","")&amp;IF(AND(EDATE($D58,Milestones!$AA$61)&lt;=AsOfDate,EDATE($D58,Milestones!$AA$61)&gt;=SchemeStart,IF($X58=0,$AD58,IF(AND($Z58&lt;&gt;"",EDATE($D58,Milestones!$AA$61)&gt;=$Z58),$AC58,IF(AND($Y58&lt;&gt;"",EDATE($D58,Milestones!$AA$61)&gt;=$Y58),$AB58,$AA58)))=Milestones!$AB$61),UPPER(TEXT(EDATE($D58,Milestones!$AA$61),"dd mmm yy"))&amp;" "&amp;Milestones!$AB$61&amp;" "&amp;IF(AND(Milestones!$AB$61="FT",Milestones!$AA$61=FT_Y5,EDATE($D58,Milestones!$AA$61)&lt;PolicyEff),1,Milestones!$AC$61)&amp;";  ","")&amp;IF(AND(EDATE($D58,Milestones!$AA$62)&lt;=AsOfDate,EDATE($D58,Milestones!$AA$62)&gt;=SchemeStart,IF($X58=0,$AD58,IF(AND($Z58&lt;&gt;"",EDATE($D58,Milestones!$AA$62)&gt;=$Z58),$AC58,IF(AND($Y58&lt;&gt;"",EDATE($D58,Milestones!$AA$62)&gt;=$Y58),$AB58,$AA58)))=Milestones!$AB$62),UPPER(TEXT(EDATE($D58,Milestones!$AA$62),"dd mmm yy"))&amp;" "&amp;Milestones!$AB$62&amp;" "&amp;IF(AND(Milestones!$AB$62="FT",Milestones!$AA$62=FT_Y5,EDATE($D58,Milestones!$AA$62)&lt;PolicyEff),1,Milestones!$AC$62)&amp;";  ","")&amp;IF(AND(EDATE($D58,Milestones!$AA$63)&lt;=AsOfDate,EDATE($D58,Milestones!$AA$63)&gt;=SchemeStart,IF($X58=0,$AD58,IF(AND($Z58&lt;&gt;"",EDATE($D58,Milestones!$AA$63)&gt;=$Z58),$AC58,IF(AND($Y58&lt;&gt;"",EDATE($D58,Milestones!$AA$63)&gt;=$Y58),$AB58,$AA58)))=Milestones!$AB$63),UPPER(TEXT(EDATE($D58,Milestones!$AA$63),"dd mmm yy"))&amp;" "&amp;Milestones!$AB$63&amp;" "&amp;IF(AND(Milestones!$AB$63="FT",Milestones!$AA$63=FT_Y5,EDATE($D58,Milestones!$AA$63)&lt;PolicyEff),1,Milestones!$AC$63)&amp;";  ","")&amp;IF(AND(EDATE($D58,Milestones!$AA$64)&lt;=AsOfDate,EDATE($D58,Milestones!$AA$64)&gt;=SchemeStart,IF($X58=0,$AD58,IF(AND($Z58&lt;&gt;"",EDATE($D58,Milestones!$AA$64)&gt;=$Z58),$AC58,IF(AND($Y58&lt;&gt;"",EDATE($D58,Milestones!$AA$64)&gt;=$Y58),$AB58,$AA58)))=Milestones!$AB$64),UPPER(TEXT(EDATE($D58,Milestones!$AA$64),"dd mmm yy"))&amp;" "&amp;Milestones!$AB$64&amp;" "&amp;IF(AND(Milestones!$AB$64="FT",Milestones!$AA$64=FT_Y5,EDATE($D58,Milestones!$AA$64)&lt;PolicyEff),1,Milestones!$AC$64)&amp;";  ","")&amp;IF(AND(EDATE($D58,Milestones!$AA$65)&lt;=AsOfDate,EDATE($D58,Milestones!$AA$65)&gt;=SchemeStart,IF($X58=0,$AD58,IF(AND($Z58&lt;&gt;"",EDATE($D58,Milestones!$AA$65)&gt;=$Z58),$AC58,IF(AND($Y58&lt;&gt;"",EDATE($D58,Milestones!$AA$65)&gt;=$Y58),$AB58,$AA58)))=Milestones!$AB$65),UPPER(TEXT(EDATE($D58,Milestones!$AA$65),"dd mmm yy"))&amp;" "&amp;Milestones!$AB$65&amp;" "&amp;IF(AND(Milestones!$AB$65="FT",Milestones!$AA$65=FT_Y5,EDATE($D58,Milestones!$AA$65)&lt;PolicyEff),1,Milestones!$AC$65)&amp;";  ","")&amp;IF(AND(EDATE($D58,Milestones!$AA$66)&lt;=AsOfDate,EDATE($D58,Milestones!$AA$66)&gt;=SchemeStart,IF($X58=0,$AD58,IF(AND($Z58&lt;&gt;"",EDATE($D58,Milestones!$AA$66)&gt;=$Z58),$AC58,IF(AND($Y58&lt;&gt;"",EDATE($D58,Milestones!$AA$66)&gt;=$Y58),$AB58,$AA58)))=Milestones!$AB$66),UPPER(TEXT(EDATE($D58,Milestones!$AA$66),"dd mmm yy"))&amp;" "&amp;Milestones!$AB$66&amp;" "&amp;IF(AND(Milestones!$AB$66="FT",Milestones!$AA$66=FT_Y5,EDATE($D58,Milestones!$AA$66)&lt;PolicyEff),1,Milestones!$AC$66)&amp;";  ","")&amp;IF(AND(EDATE($D58,Milestones!$AA$67)&lt;=AsOfDate,EDATE($D58,Milestones!$AA$67)&gt;=SchemeStart,IF($X58=0,$AD58,IF(AND($Z58&lt;&gt;"",EDATE($D58,Milestones!$AA$67)&gt;=$Z58),$AC58,IF(AND($Y58&lt;&gt;"",EDATE($D58,Milestones!$AA$67)&gt;=$Y58),$AB58,$AA58)))=Milestones!$AB$67),UPPER(TEXT(EDATE($D58,Milestones!$AA$67),"dd mmm yy"))&amp;" "&amp;Milestones!$AB$67&amp;" "&amp;IF(AND(Milestones!$AB$67="FT",Milestones!$AA$67=FT_Y5,EDATE($D58,Milestones!$AA$67)&lt;PolicyEff),1,Milestones!$AC$67)&amp;";  ",""))</f>
        <v/>
      </c>
      <c r="M58" s="0" t="str">
        <f aca="false">IF(OR($A58="",$D58=""),"",IF(AND(EDATE($D58,Milestones!$AA$68)&lt;=AsOfDate,EDATE($D58,Milestones!$AA$68)&gt;=SchemeStart,IF($X58=0,$AD58,IF(AND($Z58&lt;&gt;"",EDATE($D58,Milestones!$AA$68)&gt;=$Z58),$AC58,IF(AND($Y58&lt;&gt;"",EDATE($D58,Milestones!$AA$68)&gt;=$Y58),$AB58,$AA58)))=Milestones!$AB$68),UPPER(TEXT(EDATE($D58,Milestones!$AA$68),"dd mmm yy"))&amp;" "&amp;Milestones!$AB$68&amp;" "&amp;IF(AND(Milestones!$AB$68="FT",Milestones!$AA$68=FT_Y5,EDATE($D58,Milestones!$AA$68)&lt;PolicyEff),1,Milestones!$AC$68)&amp;";  ","")&amp;IF(AND(EDATE($D58,Milestones!$AA$69)&lt;=AsOfDate,EDATE($D58,Milestones!$AA$69)&gt;=SchemeStart,IF($X58=0,$AD58,IF(AND($Z58&lt;&gt;"",EDATE($D58,Milestones!$AA$69)&gt;=$Z58),$AC58,IF(AND($Y58&lt;&gt;"",EDATE($D58,Milestones!$AA$69)&gt;=$Y58),$AB58,$AA58)))=Milestones!$AB$69),UPPER(TEXT(EDATE($D58,Milestones!$AA$69),"dd mmm yy"))&amp;" "&amp;Milestones!$AB$69&amp;" "&amp;IF(AND(Milestones!$AB$69="FT",Milestones!$AA$69=FT_Y5,EDATE($D58,Milestones!$AA$69)&lt;PolicyEff),1,Milestones!$AC$69)&amp;";  ","")&amp;IF(AND(EDATE($D58,Milestones!$AA$70)&lt;=AsOfDate,EDATE($D58,Milestones!$AA$70)&gt;=SchemeStart,IF($X58=0,$AD58,IF(AND($Z58&lt;&gt;"",EDATE($D58,Milestones!$AA$70)&gt;=$Z58),$AC58,IF(AND($Y58&lt;&gt;"",EDATE($D58,Milestones!$AA$70)&gt;=$Y58),$AB58,$AA58)))=Milestones!$AB$70),UPPER(TEXT(EDATE($D58,Milestones!$AA$70),"dd mmm yy"))&amp;" "&amp;Milestones!$AB$70&amp;" "&amp;IF(AND(Milestones!$AB$70="FT",Milestones!$AA$70=FT_Y5,EDATE($D58,Milestones!$AA$70)&lt;PolicyEff),1,Milestones!$AC$70)&amp;";  ","")&amp;IF(AND(EDATE($D58,Milestones!$AA$71)&lt;=AsOfDate,EDATE($D58,Milestones!$AA$71)&gt;=SchemeStart,IF($X58=0,$AD58,IF(AND($Z58&lt;&gt;"",EDATE($D58,Milestones!$AA$71)&gt;=$Z58),$AC58,IF(AND($Y58&lt;&gt;"",EDATE($D58,Milestones!$AA$71)&gt;=$Y58),$AB58,$AA58)))=Milestones!$AB$71),UPPER(TEXT(EDATE($D58,Milestones!$AA$71),"dd mmm yy"))&amp;" "&amp;Milestones!$AB$71&amp;" "&amp;IF(AND(Milestones!$AB$71="FT",Milestones!$AA$71=FT_Y5,EDATE($D58,Milestones!$AA$71)&lt;PolicyEff),1,Milestones!$AC$71)&amp;";  ","")&amp;IF(AND(EDATE($D58,Milestones!$AA$72)&lt;=AsOfDate,EDATE($D58,Milestones!$AA$72)&gt;=SchemeStart,IF($X58=0,$AD58,IF(AND($Z58&lt;&gt;"",EDATE($D58,Milestones!$AA$72)&gt;=$Z58),$AC58,IF(AND($Y58&lt;&gt;"",EDATE($D58,Milestones!$AA$72)&gt;=$Y58),$AB58,$AA58)))=Milestones!$AB$72),UPPER(TEXT(EDATE($D58,Milestones!$AA$72),"dd mmm yy"))&amp;" "&amp;Milestones!$AB$72&amp;" "&amp;IF(AND(Milestones!$AB$72="FT",Milestones!$AA$72=FT_Y5,EDATE($D58,Milestones!$AA$72)&lt;PolicyEff),1,Milestones!$AC$72)&amp;";  ","")&amp;IF(AND(EDATE($D58,Milestones!$AA$73)&lt;=AsOfDate,EDATE($D58,Milestones!$AA$73)&gt;=SchemeStart,IF($X58=0,$AD58,IF(AND($Z58&lt;&gt;"",EDATE($D58,Milestones!$AA$73)&gt;=$Z58),$AC58,IF(AND($Y58&lt;&gt;"",EDATE($D58,Milestones!$AA$73)&gt;=$Y58),$AB58,$AA58)))=Milestones!$AB$73),UPPER(TEXT(EDATE($D58,Milestones!$AA$73),"dd mmm yy"))&amp;" "&amp;Milestones!$AB$73&amp;" "&amp;IF(AND(Milestones!$AB$73="FT",Milestones!$AA$73=FT_Y5,EDATE($D58,Milestones!$AA$73)&lt;PolicyEff),1,Milestones!$AC$73)&amp;";  ","")&amp;IF(AND(EDATE($D58,Milestones!$AA$74)&lt;=AsOfDate,EDATE($D58,Milestones!$AA$74)&gt;=SchemeStart,IF($X58=0,$AD58,IF(AND($Z58&lt;&gt;"",EDATE($D58,Milestones!$AA$74)&gt;=$Z58),$AC58,IF(AND($Y58&lt;&gt;"",EDATE($D58,Milestones!$AA$74)&gt;=$Y58),$AB58,$AA58)))=Milestones!$AB$74),UPPER(TEXT(EDATE($D58,Milestones!$AA$74),"dd mmm yy"))&amp;" "&amp;Milestones!$AB$74&amp;" "&amp;IF(AND(Milestones!$AB$74="FT",Milestones!$AA$74=FT_Y5,EDATE($D58,Milestones!$AA$74)&lt;PolicyEff),1,Milestones!$AC$74)&amp;";  ","")&amp;IF(AND(EDATE($D58,Milestones!$AA$75)&lt;=AsOfDate,EDATE($D58,Milestones!$AA$75)&gt;=SchemeStart,IF($X58=0,$AD58,IF(AND($Z58&lt;&gt;"",EDATE($D58,Milestones!$AA$75)&gt;=$Z58),$AC58,IF(AND($Y58&lt;&gt;"",EDATE($D58,Milestones!$AA$75)&gt;=$Y58),$AB58,$AA58)))=Milestones!$AB$75),UPPER(TEXT(EDATE($D58,Milestones!$AA$75),"dd mmm yy"))&amp;" "&amp;Milestones!$AB$75&amp;" "&amp;IF(AND(Milestones!$AB$75="FT",Milestones!$AA$75=FT_Y5,EDATE($D58,Milestones!$AA$75)&lt;PolicyEff),1,Milestones!$AC$75)&amp;";  ","")&amp;IF(AND(EDATE($D58,Milestones!$AA$76)&lt;=AsOfDate,EDATE($D58,Milestones!$AA$76)&gt;=SchemeStart,IF($X58=0,$AD58,IF(AND($Z58&lt;&gt;"",EDATE($D58,Milestones!$AA$76)&gt;=$Z58),$AC58,IF(AND($Y58&lt;&gt;"",EDATE($D58,Milestones!$AA$76)&gt;=$Y58),$AB58,$AA58)))=Milestones!$AB$76),UPPER(TEXT(EDATE($D58,Milestones!$AA$76),"dd mmm yy"))&amp;" "&amp;Milestones!$AB$76&amp;" "&amp;IF(AND(Milestones!$AB$76="FT",Milestones!$AA$76=FT_Y5,EDATE($D58,Milestones!$AA$76)&lt;PolicyEff),1,Milestones!$AC$76)&amp;";  ","")&amp;IF(AND(EDATE($D58,Milestones!$AA$77)&lt;=AsOfDate,EDATE($D58,Milestones!$AA$77)&gt;=SchemeStart,IF($X58=0,$AD58,IF(AND($Z58&lt;&gt;"",EDATE($D58,Milestones!$AA$77)&gt;=$Z58),$AC58,IF(AND($Y58&lt;&gt;"",EDATE($D58,Milestones!$AA$77)&gt;=$Y58),$AB58,$AA58)))=Milestones!$AB$77),UPPER(TEXT(EDATE($D58,Milestones!$AA$77),"dd mmm yy"))&amp;" "&amp;Milestones!$AB$77&amp;" "&amp;IF(AND(Milestones!$AB$77="FT",Milestones!$AA$77=FT_Y5,EDATE($D58,Milestones!$AA$77)&lt;PolicyEff),1,Milestones!$AC$77)&amp;";  ","")&amp;IF(AND(EDATE($D58,Milestones!$AA$78)&lt;=AsOfDate,EDATE($D58,Milestones!$AA$78)&gt;=SchemeStart,IF($X58=0,$AD58,IF(AND($Z58&lt;&gt;"",EDATE($D58,Milestones!$AA$78)&gt;=$Z58),$AC58,IF(AND($Y58&lt;&gt;"",EDATE($D58,Milestones!$AA$78)&gt;=$Y58),$AB58,$AA58)))=Milestones!$AB$78),UPPER(TEXT(EDATE($D58,Milestones!$AA$78),"dd mmm yy"))&amp;" "&amp;Milestones!$AB$78&amp;" "&amp;IF(AND(Milestones!$AB$78="FT",Milestones!$AA$78=FT_Y5,EDATE($D58,Milestones!$AA$78)&lt;PolicyEff),1,Milestones!$AC$78)&amp;";  ","")&amp;IF(AND(EDATE($D58,Milestones!$AA$79)&lt;=AsOfDate,EDATE($D58,Milestones!$AA$79)&gt;=SchemeStart,IF($X58=0,$AD58,IF(AND($Z58&lt;&gt;"",EDATE($D58,Milestones!$AA$79)&gt;=$Z58),$AC58,IF(AND($Y58&lt;&gt;"",EDATE($D58,Milestones!$AA$79)&gt;=$Y58),$AB58,$AA58)))=Milestones!$AB$79),UPPER(TEXT(EDATE($D58,Milestones!$AA$79),"dd mmm yy"))&amp;" "&amp;Milestones!$AB$79&amp;" "&amp;IF(AND(Milestones!$AB$79="FT",Milestones!$AA$79=FT_Y5,EDATE($D58,Milestones!$AA$79)&lt;PolicyEff),1,Milestones!$AC$79)&amp;";  ",""))</f>
        <v/>
      </c>
      <c r="N58" s="0" t="str">
        <f aca="false">IF(OR($A58="",$D58=""),"",IF(AND(EDATE($D58,Milestones!$AA$80)&lt;=AsOfDate,EDATE($D58,Milestones!$AA$80)&gt;=SchemeStart,IF($X58=0,$AD58,IF(AND($Z58&lt;&gt;"",EDATE($D58,Milestones!$AA$80)&gt;=$Z58),$AC58,IF(AND($Y58&lt;&gt;"",EDATE($D58,Milestones!$AA$80)&gt;=$Y58),$AB58,$AA58)))=Milestones!$AB$80),UPPER(TEXT(EDATE($D58,Milestones!$AA$80),"dd mmm yy"))&amp;" "&amp;Milestones!$AB$80&amp;" "&amp;IF(AND(Milestones!$AB$80="FT",Milestones!$AA$80=FT_Y5,EDATE($D58,Milestones!$AA$80)&lt;PolicyEff),1,Milestones!$AC$80)&amp;";  ","")&amp;IF(AND(EDATE($D58,Milestones!$AA$81)&lt;=AsOfDate,EDATE($D58,Milestones!$AA$81)&gt;=SchemeStart,IF($X58=0,$AD58,IF(AND($Z58&lt;&gt;"",EDATE($D58,Milestones!$AA$81)&gt;=$Z58),$AC58,IF(AND($Y58&lt;&gt;"",EDATE($D58,Milestones!$AA$81)&gt;=$Y58),$AB58,$AA58)))=Milestones!$AB$81),UPPER(TEXT(EDATE($D58,Milestones!$AA$81),"dd mmm yy"))&amp;" "&amp;Milestones!$AB$81&amp;" "&amp;IF(AND(Milestones!$AB$81="FT",Milestones!$AA$81=FT_Y5,EDATE($D58,Milestones!$AA$81)&lt;PolicyEff),1,Milestones!$AC$81)&amp;";  ","")&amp;IF(AND(EDATE($D58,Milestones!$AA$82)&lt;=AsOfDate,EDATE($D58,Milestones!$AA$82)&gt;=SchemeStart,IF($X58=0,$AD58,IF(AND($Z58&lt;&gt;"",EDATE($D58,Milestones!$AA$82)&gt;=$Z58),$AC58,IF(AND($Y58&lt;&gt;"",EDATE($D58,Milestones!$AA$82)&gt;=$Y58),$AB58,$AA58)))=Milestones!$AB$82),UPPER(TEXT(EDATE($D58,Milestones!$AA$82),"dd mmm yy"))&amp;" "&amp;Milestones!$AB$82&amp;" "&amp;IF(AND(Milestones!$AB$82="FT",Milestones!$AA$82=FT_Y5,EDATE($D58,Milestones!$AA$82)&lt;PolicyEff),1,Milestones!$AC$82)&amp;";  ","")&amp;IF(AND(EDATE($D58,Milestones!$AA$83)&lt;=AsOfDate,EDATE($D58,Milestones!$AA$83)&gt;=SchemeStart,IF($X58=0,$AD58,IF(AND($Z58&lt;&gt;"",EDATE($D58,Milestones!$AA$83)&gt;=$Z58),$AC58,IF(AND($Y58&lt;&gt;"",EDATE($D58,Milestones!$AA$83)&gt;=$Y58),$AB58,$AA58)))=Milestones!$AB$83),UPPER(TEXT(EDATE($D58,Milestones!$AA$83),"dd mmm yy"))&amp;" "&amp;Milestones!$AB$83&amp;" "&amp;IF(AND(Milestones!$AB$83="FT",Milestones!$AA$83=FT_Y5,EDATE($D58,Milestones!$AA$83)&lt;PolicyEff),1,Milestones!$AC$83)&amp;";  ","")&amp;IF(AND(EDATE($D58,Milestones!$AA$84)&lt;=AsOfDate,EDATE($D58,Milestones!$AA$84)&gt;=SchemeStart,IF($X58=0,$AD58,IF(AND($Z58&lt;&gt;"",EDATE($D58,Milestones!$AA$84)&gt;=$Z58),$AC58,IF(AND($Y58&lt;&gt;"",EDATE($D58,Milestones!$AA$84)&gt;=$Y58),$AB58,$AA58)))=Milestones!$AB$84),UPPER(TEXT(EDATE($D58,Milestones!$AA$84),"dd mmm yy"))&amp;" "&amp;Milestones!$AB$84&amp;" "&amp;IF(AND(Milestones!$AB$84="FT",Milestones!$AA$84=FT_Y5,EDATE($D58,Milestones!$AA$84)&lt;PolicyEff),1,Milestones!$AC$84)&amp;";  ","")&amp;IF(AND(EDATE($D58,Milestones!$AA$85)&lt;=AsOfDate,EDATE($D58,Milestones!$AA$85)&gt;=SchemeStart,IF($X58=0,$AD58,IF(AND($Z58&lt;&gt;"",EDATE($D58,Milestones!$AA$85)&gt;=$Z58),$AC58,IF(AND($Y58&lt;&gt;"",EDATE($D58,Milestones!$AA$85)&gt;=$Y58),$AB58,$AA58)))=Milestones!$AB$85),UPPER(TEXT(EDATE($D58,Milestones!$AA$85),"dd mmm yy"))&amp;" "&amp;Milestones!$AB$85&amp;" "&amp;IF(AND(Milestones!$AB$85="FT",Milestones!$AA$85=FT_Y5,EDATE($D58,Milestones!$AA$85)&lt;PolicyEff),1,Milestones!$AC$85)&amp;";  ","")&amp;IF(AND(EDATE($D58,Milestones!$AA$86)&lt;=AsOfDate,EDATE($D58,Milestones!$AA$86)&gt;=SchemeStart,IF($X58=0,$AD58,IF(AND($Z58&lt;&gt;"",EDATE($D58,Milestones!$AA$86)&gt;=$Z58),$AC58,IF(AND($Y58&lt;&gt;"",EDATE($D58,Milestones!$AA$86)&gt;=$Y58),$AB58,$AA58)))=Milestones!$AB$86),UPPER(TEXT(EDATE($D58,Milestones!$AA$86),"dd mmm yy"))&amp;" "&amp;Milestones!$AB$86&amp;" "&amp;IF(AND(Milestones!$AB$86="FT",Milestones!$AA$86=FT_Y5,EDATE($D58,Milestones!$AA$86)&lt;PolicyEff),1,Milestones!$AC$86)&amp;";  ","")&amp;IF(AND(EDATE($D58,Milestones!$AA$87)&lt;=AsOfDate,EDATE($D58,Milestones!$AA$87)&gt;=SchemeStart,IF($X58=0,$AD58,IF(AND($Z58&lt;&gt;"",EDATE($D58,Milestones!$AA$87)&gt;=$Z58),$AC58,IF(AND($Y58&lt;&gt;"",EDATE($D58,Milestones!$AA$87)&gt;=$Y58),$AB58,$AA58)))=Milestones!$AB$87),UPPER(TEXT(EDATE($D58,Milestones!$AA$87),"dd mmm yy"))&amp;" "&amp;Milestones!$AB$87&amp;" "&amp;IF(AND(Milestones!$AB$87="FT",Milestones!$AA$87=FT_Y5,EDATE($D58,Milestones!$AA$87)&lt;PolicyEff),1,Milestones!$AC$87)&amp;";  ","")&amp;IF(AND(EDATE($D58,Milestones!$AA$88)&lt;=AsOfDate,EDATE($D58,Milestones!$AA$88)&gt;=SchemeStart,IF($X58=0,$AD58,IF(AND($Z58&lt;&gt;"",EDATE($D58,Milestones!$AA$88)&gt;=$Z58),$AC58,IF(AND($Y58&lt;&gt;"",EDATE($D58,Milestones!$AA$88)&gt;=$Y58),$AB58,$AA58)))=Milestones!$AB$88),UPPER(TEXT(EDATE($D58,Milestones!$AA$88),"dd mmm yy"))&amp;" "&amp;Milestones!$AB$88&amp;" "&amp;IF(AND(Milestones!$AB$88="FT",Milestones!$AA$88=FT_Y5,EDATE($D58,Milestones!$AA$88)&lt;PolicyEff),1,Milestones!$AC$88)&amp;";  ","")&amp;IF(AND(EDATE($D58,Milestones!$AA$89)&lt;=AsOfDate,EDATE($D58,Milestones!$AA$89)&gt;=SchemeStart,IF($X58=0,$AD58,IF(AND($Z58&lt;&gt;"",EDATE($D58,Milestones!$AA$89)&gt;=$Z58),$AC58,IF(AND($Y58&lt;&gt;"",EDATE($D58,Milestones!$AA$89)&gt;=$Y58),$AB58,$AA58)))=Milestones!$AB$89),UPPER(TEXT(EDATE($D58,Milestones!$AA$89),"dd mmm yy"))&amp;" "&amp;Milestones!$AB$89&amp;" "&amp;IF(AND(Milestones!$AB$89="FT",Milestones!$AA$89=FT_Y5,EDATE($D58,Milestones!$AA$89)&lt;PolicyEff),1,Milestones!$AC$89)&amp;";  ","")&amp;IF(AND(EDATE($D58,Milestones!$AA$90)&lt;=AsOfDate,EDATE($D58,Milestones!$AA$90)&gt;=SchemeStart,IF($X58=0,$AD58,IF(AND($Z58&lt;&gt;"",EDATE($D58,Milestones!$AA$90)&gt;=$Z58),$AC58,IF(AND($Y58&lt;&gt;"",EDATE($D58,Milestones!$AA$90)&gt;=$Y58),$AB58,$AA58)))=Milestones!$AB$90),UPPER(TEXT(EDATE($D58,Milestones!$AA$90),"dd mmm yy"))&amp;" "&amp;Milestones!$AB$90&amp;" "&amp;IF(AND(Milestones!$AB$90="FT",Milestones!$AA$90=FT_Y5,EDATE($D58,Milestones!$AA$90)&lt;PolicyEff),1,Milestones!$AC$90)&amp;";  ","")&amp;IF(AND(EDATE($D58,Milestones!$AA$91)&lt;=AsOfDate,EDATE($D58,Milestones!$AA$91)&gt;=SchemeStart,IF($X58=0,$AD58,IF(AND($Z58&lt;&gt;"",EDATE($D58,Milestones!$AA$91)&gt;=$Z58),$AC58,IF(AND($Y58&lt;&gt;"",EDATE($D58,Milestones!$AA$91)&gt;=$Y58),$AB58,$AA58)))=Milestones!$AB$91),UPPER(TEXT(EDATE($D58,Milestones!$AA$91),"dd mmm yy"))&amp;" "&amp;Milestones!$AB$91&amp;" "&amp;IF(AND(Milestones!$AB$91="FT",Milestones!$AA$91=FT_Y5,EDATE($D58,Milestones!$AA$91)&lt;PolicyEff),1,Milestones!$AC$91)&amp;";  ",""))</f>
        <v/>
      </c>
      <c r="O58" s="0" t="str">
        <f aca="false">IF(OR($A58="",$D58=""),"",IF(AND(EDATE($D58,Milestones!$AA$92)&lt;=AsOfDate,EDATE($D58,Milestones!$AA$92)&gt;=SchemeStart,IF($X58=0,$AD58,IF(AND($Z58&lt;&gt;"",EDATE($D58,Milestones!$AA$92)&gt;=$Z58),$AC58,IF(AND($Y58&lt;&gt;"",EDATE($D58,Milestones!$AA$92)&gt;=$Y58),$AB58,$AA58)))=Milestones!$AB$92),UPPER(TEXT(EDATE($D58,Milestones!$AA$92),"dd mmm yy"))&amp;" "&amp;Milestones!$AB$92&amp;" "&amp;IF(AND(Milestones!$AB$92="FT",Milestones!$AA$92=FT_Y5,EDATE($D58,Milestones!$AA$92)&lt;PolicyEff),1,Milestones!$AC$92)&amp;";  ","")&amp;IF(AND(EDATE($D58,Milestones!$AA$93)&lt;=AsOfDate,EDATE($D58,Milestones!$AA$93)&gt;=SchemeStart,IF($X58=0,$AD58,IF(AND($Z58&lt;&gt;"",EDATE($D58,Milestones!$AA$93)&gt;=$Z58),$AC58,IF(AND($Y58&lt;&gt;"",EDATE($D58,Milestones!$AA$93)&gt;=$Y58),$AB58,$AA58)))=Milestones!$AB$93),UPPER(TEXT(EDATE($D58,Milestones!$AA$93),"dd mmm yy"))&amp;" "&amp;Milestones!$AB$93&amp;" "&amp;IF(AND(Milestones!$AB$93="FT",Milestones!$AA$93=FT_Y5,EDATE($D58,Milestones!$AA$93)&lt;PolicyEff),1,Milestones!$AC$93)&amp;";  ","")&amp;IF(AND(EDATE($D58,Milestones!$AA$94)&lt;=AsOfDate,EDATE($D58,Milestones!$AA$94)&gt;=SchemeStart,IF($X58=0,$AD58,IF(AND($Z58&lt;&gt;"",EDATE($D58,Milestones!$AA$94)&gt;=$Z58),$AC58,IF(AND($Y58&lt;&gt;"",EDATE($D58,Milestones!$AA$94)&gt;=$Y58),$AB58,$AA58)))=Milestones!$AB$94),UPPER(TEXT(EDATE($D58,Milestones!$AA$94),"dd mmm yy"))&amp;" "&amp;Milestones!$AB$94&amp;" "&amp;IF(AND(Milestones!$AB$94="FT",Milestones!$AA$94=FT_Y5,EDATE($D58,Milestones!$AA$94)&lt;PolicyEff),1,Milestones!$AC$94)&amp;";  ","")&amp;IF(AND(EDATE($D58,Milestones!$AA$95)&lt;=AsOfDate,EDATE($D58,Milestones!$AA$95)&gt;=SchemeStart,IF($X58=0,$AD58,IF(AND($Z58&lt;&gt;"",EDATE($D58,Milestones!$AA$95)&gt;=$Z58),$AC58,IF(AND($Y58&lt;&gt;"",EDATE($D58,Milestones!$AA$95)&gt;=$Y58),$AB58,$AA58)))=Milestones!$AB$95),UPPER(TEXT(EDATE($D58,Milestones!$AA$95),"dd mmm yy"))&amp;" "&amp;Milestones!$AB$95&amp;" "&amp;IF(AND(Milestones!$AB$95="FT",Milestones!$AA$95=FT_Y5,EDATE($D58,Milestones!$AA$95)&lt;PolicyEff),1,Milestones!$AC$95)&amp;";  ","")&amp;IF(AND(EDATE($D58,Milestones!$AA$96)&lt;=AsOfDate,EDATE($D58,Milestones!$AA$96)&gt;=SchemeStart,IF($X58=0,$AD58,IF(AND($Z58&lt;&gt;"",EDATE($D58,Milestones!$AA$96)&gt;=$Z58),$AC58,IF(AND($Y58&lt;&gt;"",EDATE($D58,Milestones!$AA$96)&gt;=$Y58),$AB58,$AA58)))=Milestones!$AB$96),UPPER(TEXT(EDATE($D58,Milestones!$AA$96),"dd mmm yy"))&amp;" "&amp;Milestones!$AB$96&amp;" "&amp;IF(AND(Milestones!$AB$96="FT",Milestones!$AA$96=FT_Y5,EDATE($D58,Milestones!$AA$96)&lt;PolicyEff),1,Milestones!$AC$96)&amp;";  ","")&amp;IF(AND(EDATE($D58,Milestones!$AA$97)&lt;=AsOfDate,EDATE($D58,Milestones!$AA$97)&gt;=SchemeStart,IF($X58=0,$AD58,IF(AND($Z58&lt;&gt;"",EDATE($D58,Milestones!$AA$97)&gt;=$Z58),$AC58,IF(AND($Y58&lt;&gt;"",EDATE($D58,Milestones!$AA$97)&gt;=$Y58),$AB58,$AA58)))=Milestones!$AB$97),UPPER(TEXT(EDATE($D58,Milestones!$AA$97),"dd mmm yy"))&amp;" "&amp;Milestones!$AB$97&amp;" "&amp;IF(AND(Milestones!$AB$97="FT",Milestones!$AA$97=FT_Y5,EDATE($D58,Milestones!$AA$97)&lt;PolicyEff),1,Milestones!$AC$97)&amp;";  ","")&amp;IF(AND(EDATE($D58,Milestones!$AA$98)&lt;=AsOfDate,EDATE($D58,Milestones!$AA$98)&gt;=SchemeStart,IF($X58=0,$AD58,IF(AND($Z58&lt;&gt;"",EDATE($D58,Milestones!$AA$98)&gt;=$Z58),$AC58,IF(AND($Y58&lt;&gt;"",EDATE($D58,Milestones!$AA$98)&gt;=$Y58),$AB58,$AA58)))=Milestones!$AB$98),UPPER(TEXT(EDATE($D58,Milestones!$AA$98),"dd mmm yy"))&amp;" "&amp;Milestones!$AB$98&amp;" "&amp;IF(AND(Milestones!$AB$98="FT",Milestones!$AA$98=FT_Y5,EDATE($D58,Milestones!$AA$98)&lt;PolicyEff),1,Milestones!$AC$98)&amp;";  ","")&amp;IF(AND(EDATE($D58,Milestones!$AA$99)&lt;=AsOfDate,EDATE($D58,Milestones!$AA$99)&gt;=SchemeStart,IF($X58=0,$AD58,IF(AND($Z58&lt;&gt;"",EDATE($D58,Milestones!$AA$99)&gt;=$Z58),$AC58,IF(AND($Y58&lt;&gt;"",EDATE($D58,Milestones!$AA$99)&gt;=$Y58),$AB58,$AA58)))=Milestones!$AB$99),UPPER(TEXT(EDATE($D58,Milestones!$AA$99),"dd mmm yy"))&amp;" "&amp;Milestones!$AB$99&amp;" "&amp;IF(AND(Milestones!$AB$99="FT",Milestones!$AA$99=FT_Y5,EDATE($D58,Milestones!$AA$99)&lt;PolicyEff),1,Milestones!$AC$99)&amp;";  ","")&amp;IF(AND(EDATE($D58,Milestones!$AA$100)&lt;=AsOfDate,EDATE($D58,Milestones!$AA$100)&gt;=SchemeStart,IF($X58=0,$AD58,IF(AND($Z58&lt;&gt;"",EDATE($D58,Milestones!$AA$100)&gt;=$Z58),$AC58,IF(AND($Y58&lt;&gt;"",EDATE($D58,Milestones!$AA$100)&gt;=$Y58),$AB58,$AA58)))=Milestones!$AB$100),UPPER(TEXT(EDATE($D58,Milestones!$AA$100),"dd mmm yy"))&amp;" "&amp;Milestones!$AB$100&amp;" "&amp;IF(AND(Milestones!$AB$100="FT",Milestones!$AA$100=FT_Y5,EDATE($D58,Milestones!$AA$100)&lt;PolicyEff),1,Milestones!$AC$100)&amp;";  ","")&amp;IF(AND(EDATE($D58,Milestones!$AA$101)&lt;=AsOfDate,EDATE($D58,Milestones!$AA$101)&gt;=SchemeStart,IF($X58=0,$AD58,IF(AND($Z58&lt;&gt;"",EDATE($D58,Milestones!$AA$101)&gt;=$Z58),$AC58,IF(AND($Y58&lt;&gt;"",EDATE($D58,Milestones!$AA$101)&gt;=$Y58),$AB58,$AA58)))=Milestones!$AB$101),UPPER(TEXT(EDATE($D58,Milestones!$AA$101),"dd mmm yy"))&amp;" "&amp;Milestones!$AB$101&amp;" "&amp;IF(AND(Milestones!$AB$101="FT",Milestones!$AA$101=FT_Y5,EDATE($D58,Milestones!$AA$101)&lt;PolicyEff),1,Milestones!$AC$101)&amp;";  ","")&amp;IF(AND(EDATE($D58,Milestones!$AA$102)&lt;=AsOfDate,EDATE($D58,Milestones!$AA$102)&gt;=SchemeStart,IF($X58=0,$AD58,IF(AND($Z58&lt;&gt;"",EDATE($D58,Milestones!$AA$102)&gt;=$Z58),$AC58,IF(AND($Y58&lt;&gt;"",EDATE($D58,Milestones!$AA$102)&gt;=$Y58),$AB58,$AA58)))=Milestones!$AB$102),UPPER(TEXT(EDATE($D58,Milestones!$AA$102),"dd mmm yy"))&amp;" "&amp;Milestones!$AB$102&amp;" "&amp;IF(AND(Milestones!$AB$102="FT",Milestones!$AA$102=FT_Y5,EDATE($D58,Milestones!$AA$102)&lt;PolicyEff),1,Milestones!$AC$102)&amp;";  ","")&amp;IF(AND(EDATE($D58,Milestones!$AA$103)&lt;=AsOfDate,EDATE($D58,Milestones!$AA$103)&gt;=SchemeStart,IF($X58=0,$AD58,IF(AND($Z58&lt;&gt;"",EDATE($D58,Milestones!$AA$103)&gt;=$Z58),$AC58,IF(AND($Y58&lt;&gt;"",EDATE($D58,Milestones!$AA$103)&gt;=$Y58),$AB58,$AA58)))=Milestones!$AB$103),UPPER(TEXT(EDATE($D58,Milestones!$AA$103),"dd mmm yy"))&amp;" "&amp;Milestones!$AB$103&amp;" "&amp;IF(AND(Milestones!$AB$103="FT",Milestones!$AA$103=FT_Y5,EDATE($D58,Milestones!$AA$103)&lt;PolicyEff),1,Milestones!$AC$103)&amp;";  ",""))</f>
        <v/>
      </c>
      <c r="P58" s="0" t="str">
        <f aca="false">IF(OR($A58="",$D58=""),"",IF(AND(EDATE($D58,Milestones!$AA$104)&lt;=AsOfDate,EDATE($D58,Milestones!$AA$104)&gt;=SchemeStart,IF($X58=0,$AD58,IF(AND($Z58&lt;&gt;"",EDATE($D58,Milestones!$AA$104)&gt;=$Z58),$AC58,IF(AND($Y58&lt;&gt;"",EDATE($D58,Milestones!$AA$104)&gt;=$Y58),$AB58,$AA58)))=Milestones!$AB$104),UPPER(TEXT(EDATE($D58,Milestones!$AA$104),"dd mmm yy"))&amp;" "&amp;Milestones!$AB$104&amp;" "&amp;IF(AND(Milestones!$AB$104="FT",Milestones!$AA$104=FT_Y5,EDATE($D58,Milestones!$AA$104)&lt;PolicyEff),1,Milestones!$AC$104)&amp;";  ","")&amp;IF(AND(EDATE($D58,Milestones!$AA$105)&lt;=AsOfDate,EDATE($D58,Milestones!$AA$105)&gt;=SchemeStart,IF($X58=0,$AD58,IF(AND($Z58&lt;&gt;"",EDATE($D58,Milestones!$AA$105)&gt;=$Z58),$AC58,IF(AND($Y58&lt;&gt;"",EDATE($D58,Milestones!$AA$105)&gt;=$Y58),$AB58,$AA58)))=Milestones!$AB$105),UPPER(TEXT(EDATE($D58,Milestones!$AA$105),"dd mmm yy"))&amp;" "&amp;Milestones!$AB$105&amp;" "&amp;IF(AND(Milestones!$AB$105="FT",Milestones!$AA$105=FT_Y5,EDATE($D58,Milestones!$AA$105)&lt;PolicyEff),1,Milestones!$AC$105)&amp;";  ","")&amp;IF(AND(EDATE($D58,Milestones!$AA$106)&lt;=AsOfDate,EDATE($D58,Milestones!$AA$106)&gt;=SchemeStart,IF($X58=0,$AD58,IF(AND($Z58&lt;&gt;"",EDATE($D58,Milestones!$AA$106)&gt;=$Z58),$AC58,IF(AND($Y58&lt;&gt;"",EDATE($D58,Milestones!$AA$106)&gt;=$Y58),$AB58,$AA58)))=Milestones!$AB$106),UPPER(TEXT(EDATE($D58,Milestones!$AA$106),"dd mmm yy"))&amp;" "&amp;Milestones!$AB$106&amp;" "&amp;IF(AND(Milestones!$AB$106="FT",Milestones!$AA$106=FT_Y5,EDATE($D58,Milestones!$AA$106)&lt;PolicyEff),1,Milestones!$AC$106)&amp;";  ","")&amp;IF(AND(EDATE($D58,Milestones!$AA$107)&lt;=AsOfDate,EDATE($D58,Milestones!$AA$107)&gt;=SchemeStart,IF($X58=0,$AD58,IF(AND($Z58&lt;&gt;"",EDATE($D58,Milestones!$AA$107)&gt;=$Z58),$AC58,IF(AND($Y58&lt;&gt;"",EDATE($D58,Milestones!$AA$107)&gt;=$Y58),$AB58,$AA58)))=Milestones!$AB$107),UPPER(TEXT(EDATE($D58,Milestones!$AA$107),"dd mmm yy"))&amp;" "&amp;Milestones!$AB$107&amp;" "&amp;IF(AND(Milestones!$AB$107="FT",Milestones!$AA$107=FT_Y5,EDATE($D58,Milestones!$AA$107)&lt;PolicyEff),1,Milestones!$AC$107)&amp;";  ","")&amp;IF(AND(EDATE($D58,Milestones!$AA$108)&lt;=AsOfDate,EDATE($D58,Milestones!$AA$108)&gt;=SchemeStart,IF($X58=0,$AD58,IF(AND($Z58&lt;&gt;"",EDATE($D58,Milestones!$AA$108)&gt;=$Z58),$AC58,IF(AND($Y58&lt;&gt;"",EDATE($D58,Milestones!$AA$108)&gt;=$Y58),$AB58,$AA58)))=Milestones!$AB$108),UPPER(TEXT(EDATE($D58,Milestones!$AA$108),"dd mmm yy"))&amp;" "&amp;Milestones!$AB$108&amp;" "&amp;IF(AND(Milestones!$AB$108="FT",Milestones!$AA$108=FT_Y5,EDATE($D58,Milestones!$AA$108)&lt;PolicyEff),1,Milestones!$AC$108)&amp;";  ","")&amp;IF(AND(EDATE($D58,Milestones!$AA$109)&lt;=AsOfDate,EDATE($D58,Milestones!$AA$109)&gt;=SchemeStart,IF($X58=0,$AD58,IF(AND($Z58&lt;&gt;"",EDATE($D58,Milestones!$AA$109)&gt;=$Z58),$AC58,IF(AND($Y58&lt;&gt;"",EDATE($D58,Milestones!$AA$109)&gt;=$Y58),$AB58,$AA58)))=Milestones!$AB$109),UPPER(TEXT(EDATE($D58,Milestones!$AA$109),"dd mmm yy"))&amp;" "&amp;Milestones!$AB$109&amp;" "&amp;IF(AND(Milestones!$AB$109="FT",Milestones!$AA$109=FT_Y5,EDATE($D58,Milestones!$AA$109)&lt;PolicyEff),1,Milestones!$AC$109)&amp;";  ","")&amp;IF(AND(EDATE($D58,Milestones!$AA$110)&lt;=AsOfDate,EDATE($D58,Milestones!$AA$110)&gt;=SchemeStart,IF($X58=0,$AD58,IF(AND($Z58&lt;&gt;"",EDATE($D58,Milestones!$AA$110)&gt;=$Z58),$AC58,IF(AND($Y58&lt;&gt;"",EDATE($D58,Milestones!$AA$110)&gt;=$Y58),$AB58,$AA58)))=Milestones!$AB$110),UPPER(TEXT(EDATE($D58,Milestones!$AA$110),"dd mmm yy"))&amp;" "&amp;Milestones!$AB$110&amp;" "&amp;IF(AND(Milestones!$AB$110="FT",Milestones!$AA$110=FT_Y5,EDATE($D58,Milestones!$AA$110)&lt;PolicyEff),1,Milestones!$AC$110)&amp;";  ","")&amp;IF(AND(EDATE($D58,Milestones!$AA$111)&lt;=AsOfDate,EDATE($D58,Milestones!$AA$111)&gt;=SchemeStart,IF($X58=0,$AD58,IF(AND($Z58&lt;&gt;"",EDATE($D58,Milestones!$AA$111)&gt;=$Z58),$AC58,IF(AND($Y58&lt;&gt;"",EDATE($D58,Milestones!$AA$111)&gt;=$Y58),$AB58,$AA58)))=Milestones!$AB$111),UPPER(TEXT(EDATE($D58,Milestones!$AA$111),"dd mmm yy"))&amp;" "&amp;Milestones!$AB$111&amp;" "&amp;IF(AND(Milestones!$AB$111="FT",Milestones!$AA$111=FT_Y5,EDATE($D58,Milestones!$AA$111)&lt;PolicyEff),1,Milestones!$AC$111)&amp;";  ","")&amp;IF(AND(EDATE($D58,Milestones!$AA$112)&lt;=AsOfDate,EDATE($D58,Milestones!$AA$112)&gt;=SchemeStart,IF($X58=0,$AD58,IF(AND($Z58&lt;&gt;"",EDATE($D58,Milestones!$AA$112)&gt;=$Z58),$AC58,IF(AND($Y58&lt;&gt;"",EDATE($D58,Milestones!$AA$112)&gt;=$Y58),$AB58,$AA58)))=Milestones!$AB$112),UPPER(TEXT(EDATE($D58,Milestones!$AA$112),"dd mmm yy"))&amp;" "&amp;Milestones!$AB$112&amp;" "&amp;IF(AND(Milestones!$AB$112="FT",Milestones!$AA$112=FT_Y5,EDATE($D58,Milestones!$AA$112)&lt;PolicyEff),1,Milestones!$AC$112)&amp;";  ","")&amp;IF(AND(EDATE($D58,Milestones!$AA$113)&lt;=AsOfDate,EDATE($D58,Milestones!$AA$113)&gt;=SchemeStart,IF($X58=0,$AD58,IF(AND($Z58&lt;&gt;"",EDATE($D58,Milestones!$AA$113)&gt;=$Z58),$AC58,IF(AND($Y58&lt;&gt;"",EDATE($D58,Milestones!$AA$113)&gt;=$Y58),$AB58,$AA58)))=Milestones!$AB$113),UPPER(TEXT(EDATE($D58,Milestones!$AA$113),"dd mmm yy"))&amp;" "&amp;Milestones!$AB$113&amp;" "&amp;IF(AND(Milestones!$AB$113="FT",Milestones!$AA$113=FT_Y5,EDATE($D58,Milestones!$AA$113)&lt;PolicyEff),1,Milestones!$AC$113)&amp;";  ","")&amp;IF(AND(EDATE($D58,Milestones!$AA$114)&lt;=AsOfDate,EDATE($D58,Milestones!$AA$114)&gt;=SchemeStart,IF($X58=0,$AD58,IF(AND($Z58&lt;&gt;"",EDATE($D58,Milestones!$AA$114)&gt;=$Z58),$AC58,IF(AND($Y58&lt;&gt;"",EDATE($D58,Milestones!$AA$114)&gt;=$Y58),$AB58,$AA58)))=Milestones!$AB$114),UPPER(TEXT(EDATE($D58,Milestones!$AA$114),"dd mmm yy"))&amp;" "&amp;Milestones!$AB$114&amp;" "&amp;IF(AND(Milestones!$AB$114="FT",Milestones!$AA$114=FT_Y5,EDATE($D58,Milestones!$AA$114)&lt;PolicyEff),1,Milestones!$AC$114)&amp;";  ","")&amp;IF(AND(EDATE($D58,Milestones!$AA$115)&lt;=AsOfDate,EDATE($D58,Milestones!$AA$115)&gt;=SchemeStart,IF($X58=0,$AD58,IF(AND($Z58&lt;&gt;"",EDATE($D58,Milestones!$AA$115)&gt;=$Z58),$AC58,IF(AND($Y58&lt;&gt;"",EDATE($D58,Milestones!$AA$115)&gt;=$Y58),$AB58,$AA58)))=Milestones!$AB$115),UPPER(TEXT(EDATE($D58,Milestones!$AA$115),"dd mmm yy"))&amp;" "&amp;Milestones!$AB$115&amp;" "&amp;IF(AND(Milestones!$AB$115="FT",Milestones!$AA$115=FT_Y5,EDATE($D58,Milestones!$AA$115)&lt;PolicyEff),1,Milestones!$AC$115)&amp;";  ",""))</f>
        <v/>
      </c>
      <c r="Q58" s="0" t="str">
        <f aca="false">IF(OR($A58="",$D58=""),"",IF(AND(EDATE($D58,Milestones!$AA$116)&lt;=AsOfDate,EDATE($D58,Milestones!$AA$116)&gt;=SchemeStart,IF($X58=0,$AD58,IF(AND($Z58&lt;&gt;"",EDATE($D58,Milestones!$AA$116)&gt;=$Z58),$AC58,IF(AND($Y58&lt;&gt;"",EDATE($D58,Milestones!$AA$116)&gt;=$Y58),$AB58,$AA58)))=Milestones!$AB$116),UPPER(TEXT(EDATE($D58,Milestones!$AA$116),"dd mmm yy"))&amp;" "&amp;Milestones!$AB$116&amp;" "&amp;IF(AND(Milestones!$AB$116="FT",Milestones!$AA$116=FT_Y5,EDATE($D58,Milestones!$AA$116)&lt;PolicyEff),1,Milestones!$AC$116)&amp;";  ","")&amp;IF(AND(EDATE($D58,Milestones!$AA$117)&lt;=AsOfDate,EDATE($D58,Milestones!$AA$117)&gt;=SchemeStart,IF($X58=0,$AD58,IF(AND($Z58&lt;&gt;"",EDATE($D58,Milestones!$AA$117)&gt;=$Z58),$AC58,IF(AND($Y58&lt;&gt;"",EDATE($D58,Milestones!$AA$117)&gt;=$Y58),$AB58,$AA58)))=Milestones!$AB$117),UPPER(TEXT(EDATE($D58,Milestones!$AA$117),"dd mmm yy"))&amp;" "&amp;Milestones!$AB$117&amp;" "&amp;IF(AND(Milestones!$AB$117="FT",Milestones!$AA$117=FT_Y5,EDATE($D58,Milestones!$AA$117)&lt;PolicyEff),1,Milestones!$AC$117)&amp;";  ","")&amp;IF(AND(EDATE($D58,Milestones!$AA$118)&lt;=AsOfDate,EDATE($D58,Milestones!$AA$118)&gt;=SchemeStart,IF($X58=0,$AD58,IF(AND($Z58&lt;&gt;"",EDATE($D58,Milestones!$AA$118)&gt;=$Z58),$AC58,IF(AND($Y58&lt;&gt;"",EDATE($D58,Milestones!$AA$118)&gt;=$Y58),$AB58,$AA58)))=Milestones!$AB$118),UPPER(TEXT(EDATE($D58,Milestones!$AA$118),"dd mmm yy"))&amp;" "&amp;Milestones!$AB$118&amp;" "&amp;IF(AND(Milestones!$AB$118="FT",Milestones!$AA$118=FT_Y5,EDATE($D58,Milestones!$AA$118)&lt;PolicyEff),1,Milestones!$AC$118)&amp;";  ","")&amp;IF(AND(EDATE($D58,Milestones!$AA$119)&lt;=AsOfDate,EDATE($D58,Milestones!$AA$119)&gt;=SchemeStart,IF($X58=0,$AD58,IF(AND($Z58&lt;&gt;"",EDATE($D58,Milestones!$AA$119)&gt;=$Z58),$AC58,IF(AND($Y58&lt;&gt;"",EDATE($D58,Milestones!$AA$119)&gt;=$Y58),$AB58,$AA58)))=Milestones!$AB$119),UPPER(TEXT(EDATE($D58,Milestones!$AA$119),"dd mmm yy"))&amp;" "&amp;Milestones!$AB$119&amp;" "&amp;IF(AND(Milestones!$AB$119="FT",Milestones!$AA$119=FT_Y5,EDATE($D58,Milestones!$AA$119)&lt;PolicyEff),1,Milestones!$AC$119)&amp;";  ","")&amp;IF(AND(EDATE($D58,Milestones!$AA$120)&lt;=AsOfDate,EDATE($D58,Milestones!$AA$120)&gt;=SchemeStart,IF($X58=0,$AD58,IF(AND($Z58&lt;&gt;"",EDATE($D58,Milestones!$AA$120)&gt;=$Z58),$AC58,IF(AND($Y58&lt;&gt;"",EDATE($D58,Milestones!$AA$120)&gt;=$Y58),$AB58,$AA58)))=Milestones!$AB$120),UPPER(TEXT(EDATE($D58,Milestones!$AA$120),"dd mmm yy"))&amp;" "&amp;Milestones!$AB$120&amp;" "&amp;IF(AND(Milestones!$AB$120="FT",Milestones!$AA$120=FT_Y5,EDATE($D58,Milestones!$AA$120)&lt;PolicyEff),1,Milestones!$AC$120)&amp;";  ","")&amp;IF(AND(EDATE($D58,Milestones!$AA$121)&lt;=AsOfDate,EDATE($D58,Milestones!$AA$121)&gt;=SchemeStart,IF($X58=0,$AD58,IF(AND($Z58&lt;&gt;"",EDATE($D58,Milestones!$AA$121)&gt;=$Z58),$AC58,IF(AND($Y58&lt;&gt;"",EDATE($D58,Milestones!$AA$121)&gt;=$Y58),$AB58,$AA58)))=Milestones!$AB$121),UPPER(TEXT(EDATE($D58,Milestones!$AA$121),"dd mmm yy"))&amp;" "&amp;Milestones!$AB$121&amp;" "&amp;IF(AND(Milestones!$AB$121="FT",Milestones!$AA$121=FT_Y5,EDATE($D58,Milestones!$AA$121)&lt;PolicyEff),1,Milestones!$AC$121)&amp;";  ","")&amp;IF(AND(EDATE($D58,Milestones!$AA$122)&lt;=AsOfDate,EDATE($D58,Milestones!$AA$122)&gt;=SchemeStart,IF($X58=0,$AD58,IF(AND($Z58&lt;&gt;"",EDATE($D58,Milestones!$AA$122)&gt;=$Z58),$AC58,IF(AND($Y58&lt;&gt;"",EDATE($D58,Milestones!$AA$122)&gt;=$Y58),$AB58,$AA58)))=Milestones!$AB$122),UPPER(TEXT(EDATE($D58,Milestones!$AA$122),"dd mmm yy"))&amp;" "&amp;Milestones!$AB$122&amp;" "&amp;IF(AND(Milestones!$AB$122="FT",Milestones!$AA$122=FT_Y5,EDATE($D58,Milestones!$AA$122)&lt;PolicyEff),1,Milestones!$AC$122)&amp;";  ","")&amp;IF(AND(EDATE($D58,Milestones!$AA$123)&lt;=AsOfDate,EDATE($D58,Milestones!$AA$123)&gt;=SchemeStart,IF($X58=0,$AD58,IF(AND($Z58&lt;&gt;"",EDATE($D58,Milestones!$AA$123)&gt;=$Z58),$AC58,IF(AND($Y58&lt;&gt;"",EDATE($D58,Milestones!$AA$123)&gt;=$Y58),$AB58,$AA58)))=Milestones!$AB$123),UPPER(TEXT(EDATE($D58,Milestones!$AA$123),"dd mmm yy"))&amp;" "&amp;Milestones!$AB$123&amp;" "&amp;IF(AND(Milestones!$AB$123="FT",Milestones!$AA$123=FT_Y5,EDATE($D58,Milestones!$AA$123)&lt;PolicyEff),1,Milestones!$AC$123)&amp;";  ","")&amp;IF(AND(EDATE($D58,Milestones!$AA$124)&lt;=AsOfDate,EDATE($D58,Milestones!$AA$124)&gt;=SchemeStart,IF($X58=0,$AD58,IF(AND($Z58&lt;&gt;"",EDATE($D58,Milestones!$AA$124)&gt;=$Z58),$AC58,IF(AND($Y58&lt;&gt;"",EDATE($D58,Milestones!$AA$124)&gt;=$Y58),$AB58,$AA58)))=Milestones!$AB$124),UPPER(TEXT(EDATE($D58,Milestones!$AA$124),"dd mmm yy"))&amp;" "&amp;Milestones!$AB$124&amp;" "&amp;IF(AND(Milestones!$AB$124="FT",Milestones!$AA$124=FT_Y5,EDATE($D58,Milestones!$AA$124)&lt;PolicyEff),1,Milestones!$AC$124)&amp;";  ","")&amp;IF(AND(EDATE($D58,Milestones!$AA$125)&lt;=AsOfDate,EDATE($D58,Milestones!$AA$125)&gt;=SchemeStart,IF($X58=0,$AD58,IF(AND($Z58&lt;&gt;"",EDATE($D58,Milestones!$AA$125)&gt;=$Z58),$AC58,IF(AND($Y58&lt;&gt;"",EDATE($D58,Milestones!$AA$125)&gt;=$Y58),$AB58,$AA58)))=Milestones!$AB$125),UPPER(TEXT(EDATE($D58,Milestones!$AA$125),"dd mmm yy"))&amp;" "&amp;Milestones!$AB$125&amp;" "&amp;IF(AND(Milestones!$AB$125="FT",Milestones!$AA$125=FT_Y5,EDATE($D58,Milestones!$AA$125)&lt;PolicyEff),1,Milestones!$AC$125)&amp;";  ","")&amp;IF(AND(EDATE($D58,Milestones!$AA$126)&lt;=AsOfDate,EDATE($D58,Milestones!$AA$126)&gt;=SchemeStart,IF($X58=0,$AD58,IF(AND($Z58&lt;&gt;"",EDATE($D58,Milestones!$AA$126)&gt;=$Z58),$AC58,IF(AND($Y58&lt;&gt;"",EDATE($D58,Milestones!$AA$126)&gt;=$Y58),$AB58,$AA58)))=Milestones!$AB$126),UPPER(TEXT(EDATE($D58,Milestones!$AA$126),"dd mmm yy"))&amp;" "&amp;Milestones!$AB$126&amp;" "&amp;IF(AND(Milestones!$AB$126="FT",Milestones!$AA$126=FT_Y5,EDATE($D58,Milestones!$AA$126)&lt;PolicyEff),1,Milestones!$AC$126)&amp;";  ","")&amp;IF(AND(EDATE($D58,Milestones!$AA$127)&lt;=AsOfDate,EDATE($D58,Milestones!$AA$127)&gt;=SchemeStart,IF($X58=0,$AD58,IF(AND($Z58&lt;&gt;"",EDATE($D58,Milestones!$AA$127)&gt;=$Z58),$AC58,IF(AND($Y58&lt;&gt;"",EDATE($D58,Milestones!$AA$127)&gt;=$Y58),$AB58,$AA58)))=Milestones!$AB$127),UPPER(TEXT(EDATE($D58,Milestones!$AA$127),"dd mmm yy"))&amp;" "&amp;Milestones!$AB$127&amp;" "&amp;IF(AND(Milestones!$AB$127="FT",Milestones!$AA$127=FT_Y5,EDATE($D58,Milestones!$AA$127)&lt;PolicyEff),1,Milestones!$AC$127)&amp;";  ",""))</f>
        <v/>
      </c>
      <c r="R58" s="0" t="str">
        <f aca="false">IF(OR($A58="",$D58=""),"",IF(AND(EDATE($D58,Milestones!$AA$128)&lt;=AsOfDate,EDATE($D58,Milestones!$AA$128)&gt;=SchemeStart,IF($X58=0,$AD58,IF(AND($Z58&lt;&gt;"",EDATE($D58,Milestones!$AA$128)&gt;=$Z58),$AC58,IF(AND($Y58&lt;&gt;"",EDATE($D58,Milestones!$AA$128)&gt;=$Y58),$AB58,$AA58)))=Milestones!$AB$128),UPPER(TEXT(EDATE($D58,Milestones!$AA$128),"dd mmm yy"))&amp;" "&amp;Milestones!$AB$128&amp;" "&amp;IF(AND(Milestones!$AB$128="FT",Milestones!$AA$128=FT_Y5,EDATE($D58,Milestones!$AA$128)&lt;PolicyEff),1,Milestones!$AC$128)&amp;";  ","")&amp;IF(AND(EDATE($D58,Milestones!$AA$129)&lt;=AsOfDate,EDATE($D58,Milestones!$AA$129)&gt;=SchemeStart,IF($X58=0,$AD58,IF(AND($Z58&lt;&gt;"",EDATE($D58,Milestones!$AA$129)&gt;=$Z58),$AC58,IF(AND($Y58&lt;&gt;"",EDATE($D58,Milestones!$AA$129)&gt;=$Y58),$AB58,$AA58)))=Milestones!$AB$129),UPPER(TEXT(EDATE($D58,Milestones!$AA$129),"dd mmm yy"))&amp;" "&amp;Milestones!$AB$129&amp;" "&amp;IF(AND(Milestones!$AB$129="FT",Milestones!$AA$129=FT_Y5,EDATE($D58,Milestones!$AA$129)&lt;PolicyEff),1,Milestones!$AC$129)&amp;";  ","")&amp;IF(AND(EDATE($D58,Milestones!$AA$130)&lt;=AsOfDate,EDATE($D58,Milestones!$AA$130)&gt;=SchemeStart,IF($X58=0,$AD58,IF(AND($Z58&lt;&gt;"",EDATE($D58,Milestones!$AA$130)&gt;=$Z58),$AC58,IF(AND($Y58&lt;&gt;"",EDATE($D58,Milestones!$AA$130)&gt;=$Y58),$AB58,$AA58)))=Milestones!$AB$130),UPPER(TEXT(EDATE($D58,Milestones!$AA$130),"dd mmm yy"))&amp;" "&amp;Milestones!$AB$130&amp;" "&amp;IF(AND(Milestones!$AB$130="FT",Milestones!$AA$130=FT_Y5,EDATE($D58,Milestones!$AA$130)&lt;PolicyEff),1,Milestones!$AC$130)&amp;";  ","")&amp;IF(AND(EDATE($D58,Milestones!$AA$131)&lt;=AsOfDate,EDATE($D58,Milestones!$AA$131)&gt;=SchemeStart,IF($X58=0,$AD58,IF(AND($Z58&lt;&gt;"",EDATE($D58,Milestones!$AA$131)&gt;=$Z58),$AC58,IF(AND($Y58&lt;&gt;"",EDATE($D58,Milestones!$AA$131)&gt;=$Y58),$AB58,$AA58)))=Milestones!$AB$131),UPPER(TEXT(EDATE($D58,Milestones!$AA$131),"dd mmm yy"))&amp;" "&amp;Milestones!$AB$131&amp;" "&amp;IF(AND(Milestones!$AB$131="FT",Milestones!$AA$131=FT_Y5,EDATE($D58,Milestones!$AA$131)&lt;PolicyEff),1,Milestones!$AC$131)&amp;";  ","")&amp;IF(AND(EDATE($D58,Milestones!$AA$132)&lt;=AsOfDate,EDATE($D58,Milestones!$AA$132)&gt;=SchemeStart,IF($X58=0,$AD58,IF(AND($Z58&lt;&gt;"",EDATE($D58,Milestones!$AA$132)&gt;=$Z58),$AC58,IF(AND($Y58&lt;&gt;"",EDATE($D58,Milestones!$AA$132)&gt;=$Y58),$AB58,$AA58)))=Milestones!$AB$132),UPPER(TEXT(EDATE($D58,Milestones!$AA$132),"dd mmm yy"))&amp;" "&amp;Milestones!$AB$132&amp;" "&amp;IF(AND(Milestones!$AB$132="FT",Milestones!$AA$132=FT_Y5,EDATE($D58,Milestones!$AA$132)&lt;PolicyEff),1,Milestones!$AC$132)&amp;";  ","")&amp;IF(AND(EDATE($D58,Milestones!$AA$133)&lt;=AsOfDate,EDATE($D58,Milestones!$AA$133)&gt;=SchemeStart,IF($X58=0,$AD58,IF(AND($Z58&lt;&gt;"",EDATE($D58,Milestones!$AA$133)&gt;=$Z58),$AC58,IF(AND($Y58&lt;&gt;"",EDATE($D58,Milestones!$AA$133)&gt;=$Y58),$AB58,$AA58)))=Milestones!$AB$133),UPPER(TEXT(EDATE($D58,Milestones!$AA$133),"dd mmm yy"))&amp;" "&amp;Milestones!$AB$133&amp;" "&amp;IF(AND(Milestones!$AB$133="FT",Milestones!$AA$133=FT_Y5,EDATE($D58,Milestones!$AA$133)&lt;PolicyEff),1,Milestones!$AC$133)&amp;";  ","")&amp;IF(AND(EDATE($D58,Milestones!$AA$134)&lt;=AsOfDate,EDATE($D58,Milestones!$AA$134)&gt;=SchemeStart,IF($X58=0,$AD58,IF(AND($Z58&lt;&gt;"",EDATE($D58,Milestones!$AA$134)&gt;=$Z58),$AC58,IF(AND($Y58&lt;&gt;"",EDATE($D58,Milestones!$AA$134)&gt;=$Y58),$AB58,$AA58)))=Milestones!$AB$134),UPPER(TEXT(EDATE($D58,Milestones!$AA$134),"dd mmm yy"))&amp;" "&amp;Milestones!$AB$134&amp;" "&amp;IF(AND(Milestones!$AB$134="FT",Milestones!$AA$134=FT_Y5,EDATE($D58,Milestones!$AA$134)&lt;PolicyEff),1,Milestones!$AC$134)&amp;";  ","")&amp;IF(AND(EDATE($D58,Milestones!$AA$135)&lt;=AsOfDate,EDATE($D58,Milestones!$AA$135)&gt;=SchemeStart,IF($X58=0,$AD58,IF(AND($Z58&lt;&gt;"",EDATE($D58,Milestones!$AA$135)&gt;=$Z58),$AC58,IF(AND($Y58&lt;&gt;"",EDATE($D58,Milestones!$AA$135)&gt;=$Y58),$AB58,$AA58)))=Milestones!$AB$135),UPPER(TEXT(EDATE($D58,Milestones!$AA$135),"dd mmm yy"))&amp;" "&amp;Milestones!$AB$135&amp;" "&amp;IF(AND(Milestones!$AB$135="FT",Milestones!$AA$135=FT_Y5,EDATE($D58,Milestones!$AA$135)&lt;PolicyEff),1,Milestones!$AC$135)&amp;";  ","")&amp;IF(AND(EDATE($D58,Milestones!$AA$136)&lt;=AsOfDate,EDATE($D58,Milestones!$AA$136)&gt;=SchemeStart,IF($X58=0,$AD58,IF(AND($Z58&lt;&gt;"",EDATE($D58,Milestones!$AA$136)&gt;=$Z58),$AC58,IF(AND($Y58&lt;&gt;"",EDATE($D58,Milestones!$AA$136)&gt;=$Y58),$AB58,$AA58)))=Milestones!$AB$136),UPPER(TEXT(EDATE($D58,Milestones!$AA$136),"dd mmm yy"))&amp;" "&amp;Milestones!$AB$136&amp;" "&amp;IF(AND(Milestones!$AB$136="FT",Milestones!$AA$136=FT_Y5,EDATE($D58,Milestones!$AA$136)&lt;PolicyEff),1,Milestones!$AC$136)&amp;";  ","")&amp;IF(AND(EDATE($D58,Milestones!$AA$137)&lt;=AsOfDate,EDATE($D58,Milestones!$AA$137)&gt;=SchemeStart,IF($X58=0,$AD58,IF(AND($Z58&lt;&gt;"",EDATE($D58,Milestones!$AA$137)&gt;=$Z58),$AC58,IF(AND($Y58&lt;&gt;"",EDATE($D58,Milestones!$AA$137)&gt;=$Y58),$AB58,$AA58)))=Milestones!$AB$137),UPPER(TEXT(EDATE($D58,Milestones!$AA$137),"dd mmm yy"))&amp;" "&amp;Milestones!$AB$137&amp;" "&amp;IF(AND(Milestones!$AB$137="FT",Milestones!$AA$137=FT_Y5,EDATE($D58,Milestones!$AA$137)&lt;PolicyEff),1,Milestones!$AC$137)&amp;";  ","")&amp;IF(AND(EDATE($D58,Milestones!$AA$138)&lt;=AsOfDate,EDATE($D58,Milestones!$AA$138)&gt;=SchemeStart,IF($X58=0,$AD58,IF(AND($Z58&lt;&gt;"",EDATE($D58,Milestones!$AA$138)&gt;=$Z58),$AC58,IF(AND($Y58&lt;&gt;"",EDATE($D58,Milestones!$AA$138)&gt;=$Y58),$AB58,$AA58)))=Milestones!$AB$138),UPPER(TEXT(EDATE($D58,Milestones!$AA$138),"dd mmm yy"))&amp;" "&amp;Milestones!$AB$138&amp;" "&amp;IF(AND(Milestones!$AB$138="FT",Milestones!$AA$138=FT_Y5,EDATE($D58,Milestones!$AA$138)&lt;PolicyEff),1,Milestones!$AC$138)&amp;";  ","")&amp;IF(AND(EDATE($D58,Milestones!$AA$139)&lt;=AsOfDate,EDATE($D58,Milestones!$AA$139)&gt;=SchemeStart,IF($X58=0,$AD58,IF(AND($Z58&lt;&gt;"",EDATE($D58,Milestones!$AA$139)&gt;=$Z58),$AC58,IF(AND($Y58&lt;&gt;"",EDATE($D58,Milestones!$AA$139)&gt;=$Y58),$AB58,$AA58)))=Milestones!$AB$139),UPPER(TEXT(EDATE($D58,Milestones!$AA$139),"dd mmm yy"))&amp;" "&amp;Milestones!$AB$139&amp;" "&amp;IF(AND(Milestones!$AB$139="FT",Milestones!$AA$139=FT_Y5,EDATE($D58,Milestones!$AA$139)&lt;PolicyEff),1,Milestones!$AC$139)&amp;";  ",""))</f>
        <v/>
      </c>
      <c r="S58" s="0" t="str">
        <f aca="false">IF(OR($A58="",$D58=""),"",IF(AND(EDATE($D58,Milestones!$AA$140)&lt;=AsOfDate,EDATE($D58,Milestones!$AA$140)&gt;=SchemeStart,IF($X58=0,$AD58,IF(AND($Z58&lt;&gt;"",EDATE($D58,Milestones!$AA$140)&gt;=$Z58),$AC58,IF(AND($Y58&lt;&gt;"",EDATE($D58,Milestones!$AA$140)&gt;=$Y58),$AB58,$AA58)))=Milestones!$AB$140),UPPER(TEXT(EDATE($D58,Milestones!$AA$140),"dd mmm yy"))&amp;" "&amp;Milestones!$AB$140&amp;" "&amp;IF(AND(Milestones!$AB$140="FT",Milestones!$AA$140=FT_Y5,EDATE($D58,Milestones!$AA$140)&lt;PolicyEff),1,Milestones!$AC$140)&amp;";  ","")&amp;IF(AND(EDATE($D58,Milestones!$AA$141)&lt;=AsOfDate,EDATE($D58,Milestones!$AA$141)&gt;=SchemeStart,IF($X58=0,$AD58,IF(AND($Z58&lt;&gt;"",EDATE($D58,Milestones!$AA$141)&gt;=$Z58),$AC58,IF(AND($Y58&lt;&gt;"",EDATE($D58,Milestones!$AA$141)&gt;=$Y58),$AB58,$AA58)))=Milestones!$AB$141),UPPER(TEXT(EDATE($D58,Milestones!$AA$141),"dd mmm yy"))&amp;" "&amp;Milestones!$AB$141&amp;" "&amp;IF(AND(Milestones!$AB$141="FT",Milestones!$AA$141=FT_Y5,EDATE($D58,Milestones!$AA$141)&lt;PolicyEff),1,Milestones!$AC$141)&amp;";  ","")&amp;IF(AND(EDATE($D58,Milestones!$AA$142)&lt;=AsOfDate,EDATE($D58,Milestones!$AA$142)&gt;=SchemeStart,IF($X58=0,$AD58,IF(AND($Z58&lt;&gt;"",EDATE($D58,Milestones!$AA$142)&gt;=$Z58),$AC58,IF(AND($Y58&lt;&gt;"",EDATE($D58,Milestones!$AA$142)&gt;=$Y58),$AB58,$AA58)))=Milestones!$AB$142),UPPER(TEXT(EDATE($D58,Milestones!$AA$142),"dd mmm yy"))&amp;" "&amp;Milestones!$AB$142&amp;" "&amp;IF(AND(Milestones!$AB$142="FT",Milestones!$AA$142=FT_Y5,EDATE($D58,Milestones!$AA$142)&lt;PolicyEff),1,Milestones!$AC$142)&amp;";  ","")&amp;IF(AND(EDATE($D58,Milestones!$AA$143)&lt;=AsOfDate,EDATE($D58,Milestones!$AA$143)&gt;=SchemeStart,IF($X58=0,$AD58,IF(AND($Z58&lt;&gt;"",EDATE($D58,Milestones!$AA$143)&gt;=$Z58),$AC58,IF(AND($Y58&lt;&gt;"",EDATE($D58,Milestones!$AA$143)&gt;=$Y58),$AB58,$AA58)))=Milestones!$AB$143),UPPER(TEXT(EDATE($D58,Milestones!$AA$143),"dd mmm yy"))&amp;" "&amp;Milestones!$AB$143&amp;" "&amp;IF(AND(Milestones!$AB$143="FT",Milestones!$AA$143=FT_Y5,EDATE($D58,Milestones!$AA$143)&lt;PolicyEff),1,Milestones!$AC$143)&amp;";  ","")&amp;IF(AND(EDATE($D58,Milestones!$AA$144)&lt;=AsOfDate,EDATE($D58,Milestones!$AA$144)&gt;=SchemeStart,IF($X58=0,$AD58,IF(AND($Z58&lt;&gt;"",EDATE($D58,Milestones!$AA$144)&gt;=$Z58),$AC58,IF(AND($Y58&lt;&gt;"",EDATE($D58,Milestones!$AA$144)&gt;=$Y58),$AB58,$AA58)))=Milestones!$AB$144),UPPER(TEXT(EDATE($D58,Milestones!$AA$144),"dd mmm yy"))&amp;" "&amp;Milestones!$AB$144&amp;" "&amp;IF(AND(Milestones!$AB$144="FT",Milestones!$AA$144=FT_Y5,EDATE($D58,Milestones!$AA$144)&lt;PolicyEff),1,Milestones!$AC$144)&amp;";  ","")&amp;IF(AND(EDATE($D58,Milestones!$AA$145)&lt;=AsOfDate,EDATE($D58,Milestones!$AA$145)&gt;=SchemeStart,IF($X58=0,$AD58,IF(AND($Z58&lt;&gt;"",EDATE($D58,Milestones!$AA$145)&gt;=$Z58),$AC58,IF(AND($Y58&lt;&gt;"",EDATE($D58,Milestones!$AA$145)&gt;=$Y58),$AB58,$AA58)))=Milestones!$AB$145),UPPER(TEXT(EDATE($D58,Milestones!$AA$145),"dd mmm yy"))&amp;" "&amp;Milestones!$AB$145&amp;" "&amp;IF(AND(Milestones!$AB$145="FT",Milestones!$AA$145=FT_Y5,EDATE($D58,Milestones!$AA$145)&lt;PolicyEff),1,Milestones!$AC$145)&amp;";  ","")&amp;IF(AND(EDATE($D58,Milestones!$AA$146)&lt;=AsOfDate,EDATE($D58,Milestones!$AA$146)&gt;=SchemeStart,IF($X58=0,$AD58,IF(AND($Z58&lt;&gt;"",EDATE($D58,Milestones!$AA$146)&gt;=$Z58),$AC58,IF(AND($Y58&lt;&gt;"",EDATE($D58,Milestones!$AA$146)&gt;=$Y58),$AB58,$AA58)))=Milestones!$AB$146),UPPER(TEXT(EDATE($D58,Milestones!$AA$146),"dd mmm yy"))&amp;" "&amp;Milestones!$AB$146&amp;" "&amp;IF(AND(Milestones!$AB$146="FT",Milestones!$AA$146=FT_Y5,EDATE($D58,Milestones!$AA$146)&lt;PolicyEff),1,Milestones!$AC$146)&amp;";  ","")&amp;IF(AND(EDATE($D58,Milestones!$AA$147)&lt;=AsOfDate,EDATE($D58,Milestones!$AA$147)&gt;=SchemeStart,IF($X58=0,$AD58,IF(AND($Z58&lt;&gt;"",EDATE($D58,Milestones!$AA$147)&gt;=$Z58),$AC58,IF(AND($Y58&lt;&gt;"",EDATE($D58,Milestones!$AA$147)&gt;=$Y58),$AB58,$AA58)))=Milestones!$AB$147),UPPER(TEXT(EDATE($D58,Milestones!$AA$147),"dd mmm yy"))&amp;" "&amp;Milestones!$AB$147&amp;" "&amp;IF(AND(Milestones!$AB$147="FT",Milestones!$AA$147=FT_Y5,EDATE($D58,Milestones!$AA$147)&lt;PolicyEff),1,Milestones!$AC$147)&amp;";  ","")&amp;IF(AND(EDATE($D58,Milestones!$AA$148)&lt;=AsOfDate,EDATE($D58,Milestones!$AA$148)&gt;=SchemeStart,IF($X58=0,$AD58,IF(AND($Z58&lt;&gt;"",EDATE($D58,Milestones!$AA$148)&gt;=$Z58),$AC58,IF(AND($Y58&lt;&gt;"",EDATE($D58,Milestones!$AA$148)&gt;=$Y58),$AB58,$AA58)))=Milestones!$AB$148),UPPER(TEXT(EDATE($D58,Milestones!$AA$148),"dd mmm yy"))&amp;" "&amp;Milestones!$AB$148&amp;" "&amp;IF(AND(Milestones!$AB$148="FT",Milestones!$AA$148=FT_Y5,EDATE($D58,Milestones!$AA$148)&lt;PolicyEff),1,Milestones!$AC$148)&amp;";  ","")&amp;IF(AND(EDATE($D58,Milestones!$AA$149)&lt;=AsOfDate,EDATE($D58,Milestones!$AA$149)&gt;=SchemeStart,IF($X58=0,$AD58,IF(AND($Z58&lt;&gt;"",EDATE($D58,Milestones!$AA$149)&gt;=$Z58),$AC58,IF(AND($Y58&lt;&gt;"",EDATE($D58,Milestones!$AA$149)&gt;=$Y58),$AB58,$AA58)))=Milestones!$AB$149),UPPER(TEXT(EDATE($D58,Milestones!$AA$149),"dd mmm yy"))&amp;" "&amp;Milestones!$AB$149&amp;" "&amp;IF(AND(Milestones!$AB$149="FT",Milestones!$AA$149=FT_Y5,EDATE($D58,Milestones!$AA$149)&lt;PolicyEff),1,Milestones!$AC$149)&amp;";  ","")&amp;IF(AND(EDATE($D58,Milestones!$AA$150)&lt;=AsOfDate,EDATE($D58,Milestones!$AA$150)&gt;=SchemeStart,IF($X58=0,$AD58,IF(AND($Z58&lt;&gt;"",EDATE($D58,Milestones!$AA$150)&gt;=$Z58),$AC58,IF(AND($Y58&lt;&gt;"",EDATE($D58,Milestones!$AA$150)&gt;=$Y58),$AB58,$AA58)))=Milestones!$AB$150),UPPER(TEXT(EDATE($D58,Milestones!$AA$150),"dd mmm yy"))&amp;" "&amp;Milestones!$AB$150&amp;" "&amp;IF(AND(Milestones!$AB$150="FT",Milestones!$AA$150=FT_Y5,EDATE($D58,Milestones!$AA$150)&lt;PolicyEff),1,Milestones!$AC$150)&amp;";  ","")&amp;IF(AND(EDATE($D58,Milestones!$AA$151)&lt;=AsOfDate,EDATE($D58,Milestones!$AA$151)&gt;=SchemeStart,IF($X58=0,$AD58,IF(AND($Z58&lt;&gt;"",EDATE($D58,Milestones!$AA$151)&gt;=$Z58),$AC58,IF(AND($Y58&lt;&gt;"",EDATE($D58,Milestones!$AA$151)&gt;=$Y58),$AB58,$AA58)))=Milestones!$AB$151),UPPER(TEXT(EDATE($D58,Milestones!$AA$151),"dd mmm yy"))&amp;" "&amp;Milestones!$AB$151&amp;" "&amp;IF(AND(Milestones!$AB$151="FT",Milestones!$AA$151=FT_Y5,EDATE($D58,Milestones!$AA$151)&lt;PolicyEff),1,Milestones!$AC$151)&amp;";  ",""))</f>
        <v/>
      </c>
      <c r="T58" s="0" t="str">
        <f aca="false">IF(OR($A58="",$D58=""),"",IF(AND(EDATE($D58,Milestones!$AA$152)&lt;=AsOfDate,EDATE($D58,Milestones!$AA$152)&gt;=SchemeStart,IF($X58=0,$AD58,IF(AND($Z58&lt;&gt;"",EDATE($D58,Milestones!$AA$152)&gt;=$Z58),$AC58,IF(AND($Y58&lt;&gt;"",EDATE($D58,Milestones!$AA$152)&gt;=$Y58),$AB58,$AA58)))=Milestones!$AB$152),UPPER(TEXT(EDATE($D58,Milestones!$AA$152),"dd mmm yy"))&amp;" "&amp;Milestones!$AB$152&amp;" "&amp;IF(AND(Milestones!$AB$152="FT",Milestones!$AA$152=FT_Y5,EDATE($D58,Milestones!$AA$152)&lt;PolicyEff),1,Milestones!$AC$152)&amp;";  ","")&amp;IF(AND(EDATE($D58,Milestones!$AA$153)&lt;=AsOfDate,EDATE($D58,Milestones!$AA$153)&gt;=SchemeStart,IF($X58=0,$AD58,IF(AND($Z58&lt;&gt;"",EDATE($D58,Milestones!$AA$153)&gt;=$Z58),$AC58,IF(AND($Y58&lt;&gt;"",EDATE($D58,Milestones!$AA$153)&gt;=$Y58),$AB58,$AA58)))=Milestones!$AB$153),UPPER(TEXT(EDATE($D58,Milestones!$AA$153),"dd mmm yy"))&amp;" "&amp;Milestones!$AB$153&amp;" "&amp;IF(AND(Milestones!$AB$153="FT",Milestones!$AA$153=FT_Y5,EDATE($D58,Milestones!$AA$153)&lt;PolicyEff),1,Milestones!$AC$153)&amp;";  ","")&amp;IF(AND(EDATE($D58,Milestones!$AA$154)&lt;=AsOfDate,EDATE($D58,Milestones!$AA$154)&gt;=SchemeStart,IF($X58=0,$AD58,IF(AND($Z58&lt;&gt;"",EDATE($D58,Milestones!$AA$154)&gt;=$Z58),$AC58,IF(AND($Y58&lt;&gt;"",EDATE($D58,Milestones!$AA$154)&gt;=$Y58),$AB58,$AA58)))=Milestones!$AB$154),UPPER(TEXT(EDATE($D58,Milestones!$AA$154),"dd mmm yy"))&amp;" "&amp;Milestones!$AB$154&amp;" "&amp;IF(AND(Milestones!$AB$154="FT",Milestones!$AA$154=FT_Y5,EDATE($D58,Milestones!$AA$154)&lt;PolicyEff),1,Milestones!$AC$154)&amp;";  ","")&amp;IF(AND(EDATE($D58,Milestones!$AA$155)&lt;=AsOfDate,EDATE($D58,Milestones!$AA$155)&gt;=SchemeStart,IF($X58=0,$AD58,IF(AND($Z58&lt;&gt;"",EDATE($D58,Milestones!$AA$155)&gt;=$Z58),$AC58,IF(AND($Y58&lt;&gt;"",EDATE($D58,Milestones!$AA$155)&gt;=$Y58),$AB58,$AA58)))=Milestones!$AB$155),UPPER(TEXT(EDATE($D58,Milestones!$AA$155),"dd mmm yy"))&amp;" "&amp;Milestones!$AB$155&amp;" "&amp;IF(AND(Milestones!$AB$155="FT",Milestones!$AA$155=FT_Y5,EDATE($D58,Milestones!$AA$155)&lt;PolicyEff),1,Milestones!$AC$155)&amp;";  ","")&amp;IF(AND(EDATE($D58,Milestones!$AA$156)&lt;=AsOfDate,EDATE($D58,Milestones!$AA$156)&gt;=SchemeStart,IF($X58=0,$AD58,IF(AND($Z58&lt;&gt;"",EDATE($D58,Milestones!$AA$156)&gt;=$Z58),$AC58,IF(AND($Y58&lt;&gt;"",EDATE($D58,Milestones!$AA$156)&gt;=$Y58),$AB58,$AA58)))=Milestones!$AB$156),UPPER(TEXT(EDATE($D58,Milestones!$AA$156),"dd mmm yy"))&amp;" "&amp;Milestones!$AB$156&amp;" "&amp;IF(AND(Milestones!$AB$156="FT",Milestones!$AA$156=FT_Y5,EDATE($D58,Milestones!$AA$156)&lt;PolicyEff),1,Milestones!$AC$156)&amp;";  ","")&amp;IF(AND(EDATE($D58,Milestones!$AA$157)&lt;=AsOfDate,EDATE($D58,Milestones!$AA$157)&gt;=SchemeStart,IF($X58=0,$AD58,IF(AND($Z58&lt;&gt;"",EDATE($D58,Milestones!$AA$157)&gt;=$Z58),$AC58,IF(AND($Y58&lt;&gt;"",EDATE($D58,Milestones!$AA$157)&gt;=$Y58),$AB58,$AA58)))=Milestones!$AB$157),UPPER(TEXT(EDATE($D58,Milestones!$AA$157),"dd mmm yy"))&amp;" "&amp;Milestones!$AB$157&amp;" "&amp;IF(AND(Milestones!$AB$157="FT",Milestones!$AA$157=FT_Y5,EDATE($D58,Milestones!$AA$157)&lt;PolicyEff),1,Milestones!$AC$157)&amp;";  ","")&amp;IF(AND(EDATE($D58,Milestones!$AA$158)&lt;=AsOfDate,EDATE($D58,Milestones!$AA$158)&gt;=SchemeStart,IF($X58=0,$AD58,IF(AND($Z58&lt;&gt;"",EDATE($D58,Milestones!$AA$158)&gt;=$Z58),$AC58,IF(AND($Y58&lt;&gt;"",EDATE($D58,Milestones!$AA$158)&gt;=$Y58),$AB58,$AA58)))=Milestones!$AB$158),UPPER(TEXT(EDATE($D58,Milestones!$AA$158),"dd mmm yy"))&amp;" "&amp;Milestones!$AB$158&amp;" "&amp;IF(AND(Milestones!$AB$158="FT",Milestones!$AA$158=FT_Y5,EDATE($D58,Milestones!$AA$158)&lt;PolicyEff),1,Milestones!$AC$158)&amp;";  ","")&amp;IF(AND(EDATE($D58,Milestones!$AA$159)&lt;=AsOfDate,EDATE($D58,Milestones!$AA$159)&gt;=SchemeStart,IF($X58=0,$AD58,IF(AND($Z58&lt;&gt;"",EDATE($D58,Milestones!$AA$159)&gt;=$Z58),$AC58,IF(AND($Y58&lt;&gt;"",EDATE($D58,Milestones!$AA$159)&gt;=$Y58),$AB58,$AA58)))=Milestones!$AB$159),UPPER(TEXT(EDATE($D58,Milestones!$AA$159),"dd mmm yy"))&amp;" "&amp;Milestones!$AB$159&amp;" "&amp;IF(AND(Milestones!$AB$159="FT",Milestones!$AA$159=FT_Y5,EDATE($D58,Milestones!$AA$159)&lt;PolicyEff),1,Milestones!$AC$159)&amp;";  ","")&amp;IF(AND(EDATE($D58,Milestones!$AA$160)&lt;=AsOfDate,EDATE($D58,Milestones!$AA$160)&gt;=SchemeStart,IF($X58=0,$AD58,IF(AND($Z58&lt;&gt;"",EDATE($D58,Milestones!$AA$160)&gt;=$Z58),$AC58,IF(AND($Y58&lt;&gt;"",EDATE($D58,Milestones!$AA$160)&gt;=$Y58),$AB58,$AA58)))=Milestones!$AB$160),UPPER(TEXT(EDATE($D58,Milestones!$AA$160),"dd mmm yy"))&amp;" "&amp;Milestones!$AB$160&amp;" "&amp;IF(AND(Milestones!$AB$160="FT",Milestones!$AA$160=FT_Y5,EDATE($D58,Milestones!$AA$160)&lt;PolicyEff),1,Milestones!$AC$160)&amp;";  ","")&amp;IF(AND(EDATE($D58,Milestones!$AA$161)&lt;=AsOfDate,EDATE($D58,Milestones!$AA$161)&gt;=SchemeStart,IF($X58=0,$AD58,IF(AND($Z58&lt;&gt;"",EDATE($D58,Milestones!$AA$161)&gt;=$Z58),$AC58,IF(AND($Y58&lt;&gt;"",EDATE($D58,Milestones!$AA$161)&gt;=$Y58),$AB58,$AA58)))=Milestones!$AB$161),UPPER(TEXT(EDATE($D58,Milestones!$AA$161),"dd mmm yy"))&amp;" "&amp;Milestones!$AB$161&amp;" "&amp;IF(AND(Milestones!$AB$161="FT",Milestones!$AA$161=FT_Y5,EDATE($D58,Milestones!$AA$161)&lt;PolicyEff),1,Milestones!$AC$161)&amp;";  ","")&amp;IF(AND(EDATE($D58,Milestones!$AA$162)&lt;=AsOfDate,EDATE($D58,Milestones!$AA$162)&gt;=SchemeStart,IF($X58=0,$AD58,IF(AND($Z58&lt;&gt;"",EDATE($D58,Milestones!$AA$162)&gt;=$Z58),$AC58,IF(AND($Y58&lt;&gt;"",EDATE($D58,Milestones!$AA$162)&gt;=$Y58),$AB58,$AA58)))=Milestones!$AB$162),UPPER(TEXT(EDATE($D58,Milestones!$AA$162),"dd mmm yy"))&amp;" "&amp;Milestones!$AB$162&amp;" "&amp;IF(AND(Milestones!$AB$162="FT",Milestones!$AA$162=FT_Y5,EDATE($D58,Milestones!$AA$162)&lt;PolicyEff),1,Milestones!$AC$162)&amp;";  ","")&amp;IF(AND(EDATE($D58,Milestones!$AA$163)&lt;=AsOfDate,EDATE($D58,Milestones!$AA$163)&gt;=SchemeStart,IF($X58=0,$AD58,IF(AND($Z58&lt;&gt;"",EDATE($D58,Milestones!$AA$163)&gt;=$Z58),$AC58,IF(AND($Y58&lt;&gt;"",EDATE($D58,Milestones!$AA$163)&gt;=$Y58),$AB58,$AA58)))=Milestones!$AB$163),UPPER(TEXT(EDATE($D58,Milestones!$AA$163),"dd mmm yy"))&amp;" "&amp;Milestones!$AB$163&amp;" "&amp;IF(AND(Milestones!$AB$163="FT",Milestones!$AA$163=FT_Y5,EDATE($D58,Milestones!$AA$163)&lt;PolicyEff),1,Milestones!$AC$163)&amp;";  ",""))</f>
        <v/>
      </c>
      <c r="U58" s="0" t="str">
        <f aca="false">IF(OR($A58="",$D58=""),"",IF(AND(EDATE($D58,Milestones!$AA$164)&lt;=AsOfDate,EDATE($D58,Milestones!$AA$164)&gt;=SchemeStart,IF($X58=0,$AD58,IF(AND($Z58&lt;&gt;"",EDATE($D58,Milestones!$AA$164)&gt;=$Z58),$AC58,IF(AND($Y58&lt;&gt;"",EDATE($D58,Milestones!$AA$164)&gt;=$Y58),$AB58,$AA58)))=Milestones!$AB$164),UPPER(TEXT(EDATE($D58,Milestones!$AA$164),"dd mmm yy"))&amp;" "&amp;Milestones!$AB$164&amp;" "&amp;IF(AND(Milestones!$AB$164="FT",Milestones!$AA$164=FT_Y5,EDATE($D58,Milestones!$AA$164)&lt;PolicyEff),1,Milestones!$AC$164)&amp;";  ","")&amp;IF(AND(EDATE($D58,Milestones!$AA$165)&lt;=AsOfDate,EDATE($D58,Milestones!$AA$165)&gt;=SchemeStart,IF($X58=0,$AD58,IF(AND($Z58&lt;&gt;"",EDATE($D58,Milestones!$AA$165)&gt;=$Z58),$AC58,IF(AND($Y58&lt;&gt;"",EDATE($D58,Milestones!$AA$165)&gt;=$Y58),$AB58,$AA58)))=Milestones!$AB$165),UPPER(TEXT(EDATE($D58,Milestones!$AA$165),"dd mmm yy"))&amp;" "&amp;Milestones!$AB$165&amp;" "&amp;IF(AND(Milestones!$AB$165="FT",Milestones!$AA$165=FT_Y5,EDATE($D58,Milestones!$AA$165)&lt;PolicyEff),1,Milestones!$AC$165)&amp;";  ","")&amp;IF(AND(EDATE($D58,Milestones!$AA$166)&lt;=AsOfDate,EDATE($D58,Milestones!$AA$166)&gt;=SchemeStart,IF($X58=0,$AD58,IF(AND($Z58&lt;&gt;"",EDATE($D58,Milestones!$AA$166)&gt;=$Z58),$AC58,IF(AND($Y58&lt;&gt;"",EDATE($D58,Milestones!$AA$166)&gt;=$Y58),$AB58,$AA58)))=Milestones!$AB$166),UPPER(TEXT(EDATE($D58,Milestones!$AA$166),"dd mmm yy"))&amp;" "&amp;Milestones!$AB$166&amp;" "&amp;IF(AND(Milestones!$AB$166="FT",Milestones!$AA$166=FT_Y5,EDATE($D58,Milestones!$AA$166)&lt;PolicyEff),1,Milestones!$AC$166)&amp;";  ","")&amp;IF(AND(EDATE($D58,Milestones!$AA$167)&lt;=AsOfDate,EDATE($D58,Milestones!$AA$167)&gt;=SchemeStart,IF($X58=0,$AD58,IF(AND($Z58&lt;&gt;"",EDATE($D58,Milestones!$AA$167)&gt;=$Z58),$AC58,IF(AND($Y58&lt;&gt;"",EDATE($D58,Milestones!$AA$167)&gt;=$Y58),$AB58,$AA58)))=Milestones!$AB$167),UPPER(TEXT(EDATE($D58,Milestones!$AA$167),"dd mmm yy"))&amp;" "&amp;Milestones!$AB$167&amp;" "&amp;IF(AND(Milestones!$AB$167="FT",Milestones!$AA$167=FT_Y5,EDATE($D58,Milestones!$AA$167)&lt;PolicyEff),1,Milestones!$AC$167)&amp;";  ","")&amp;IF(AND(EDATE($D58,Milestones!$AA$168)&lt;=AsOfDate,EDATE($D58,Milestones!$AA$168)&gt;=SchemeStart,IF($X58=0,$AD58,IF(AND($Z58&lt;&gt;"",EDATE($D58,Milestones!$AA$168)&gt;=$Z58),$AC58,IF(AND($Y58&lt;&gt;"",EDATE($D58,Milestones!$AA$168)&gt;=$Y58),$AB58,$AA58)))=Milestones!$AB$168),UPPER(TEXT(EDATE($D58,Milestones!$AA$168),"dd mmm yy"))&amp;" "&amp;Milestones!$AB$168&amp;" "&amp;IF(AND(Milestones!$AB$168="FT",Milestones!$AA$168=FT_Y5,EDATE($D58,Milestones!$AA$168)&lt;PolicyEff),1,Milestones!$AC$168)&amp;";  ","")&amp;IF(AND(EDATE($D58,Milestones!$AA$169)&lt;=AsOfDate,EDATE($D58,Milestones!$AA$169)&gt;=SchemeStart,IF($X58=0,$AD58,IF(AND($Z58&lt;&gt;"",EDATE($D58,Milestones!$AA$169)&gt;=$Z58),$AC58,IF(AND($Y58&lt;&gt;"",EDATE($D58,Milestones!$AA$169)&gt;=$Y58),$AB58,$AA58)))=Milestones!$AB$169),UPPER(TEXT(EDATE($D58,Milestones!$AA$169),"dd mmm yy"))&amp;" "&amp;Milestones!$AB$169&amp;" "&amp;IF(AND(Milestones!$AB$169="FT",Milestones!$AA$169=FT_Y5,EDATE($D58,Milestones!$AA$169)&lt;PolicyEff),1,Milestones!$AC$169)&amp;";  ","")&amp;IF(AND(EDATE($D58,Milestones!$AA$170)&lt;=AsOfDate,EDATE($D58,Milestones!$AA$170)&gt;=SchemeStart,IF($X58=0,$AD58,IF(AND($Z58&lt;&gt;"",EDATE($D58,Milestones!$AA$170)&gt;=$Z58),$AC58,IF(AND($Y58&lt;&gt;"",EDATE($D58,Milestones!$AA$170)&gt;=$Y58),$AB58,$AA58)))=Milestones!$AB$170),UPPER(TEXT(EDATE($D58,Milestones!$AA$170),"dd mmm yy"))&amp;" "&amp;Milestones!$AB$170&amp;" "&amp;IF(AND(Milestones!$AB$170="FT",Milestones!$AA$170=FT_Y5,EDATE($D58,Milestones!$AA$170)&lt;PolicyEff),1,Milestones!$AC$170)&amp;";  ","")&amp;IF(AND(EDATE($D58,Milestones!$AA$171)&lt;=AsOfDate,EDATE($D58,Milestones!$AA$171)&gt;=SchemeStart,IF($X58=0,$AD58,IF(AND($Z58&lt;&gt;"",EDATE($D58,Milestones!$AA$171)&gt;=$Z58),$AC58,IF(AND($Y58&lt;&gt;"",EDATE($D58,Milestones!$AA$171)&gt;=$Y58),$AB58,$AA58)))=Milestones!$AB$171),UPPER(TEXT(EDATE($D58,Milestones!$AA$171),"dd mmm yy"))&amp;" "&amp;Milestones!$AB$171&amp;" "&amp;IF(AND(Milestones!$AB$171="FT",Milestones!$AA$171=FT_Y5,EDATE($D58,Milestones!$AA$171)&lt;PolicyEff),1,Milestones!$AC$171)&amp;";  ","")&amp;IF(AND(EDATE($D58,Milestones!$AA$172)&lt;=AsOfDate,EDATE($D58,Milestones!$AA$172)&gt;=SchemeStart,IF($X58=0,$AD58,IF(AND($Z58&lt;&gt;"",EDATE($D58,Milestones!$AA$172)&gt;=$Z58),$AC58,IF(AND($Y58&lt;&gt;"",EDATE($D58,Milestones!$AA$172)&gt;=$Y58),$AB58,$AA58)))=Milestones!$AB$172),UPPER(TEXT(EDATE($D58,Milestones!$AA$172),"dd mmm yy"))&amp;" "&amp;Milestones!$AB$172&amp;" "&amp;IF(AND(Milestones!$AB$172="FT",Milestones!$AA$172=FT_Y5,EDATE($D58,Milestones!$AA$172)&lt;PolicyEff),1,Milestones!$AC$172)&amp;";  ","")&amp;IF(AND(EDATE($D58,Milestones!$AA$173)&lt;=AsOfDate,EDATE($D58,Milestones!$AA$173)&gt;=SchemeStart,IF($X58=0,$AD58,IF(AND($Z58&lt;&gt;"",EDATE($D58,Milestones!$AA$173)&gt;=$Z58),$AC58,IF(AND($Y58&lt;&gt;"",EDATE($D58,Milestones!$AA$173)&gt;=$Y58),$AB58,$AA58)))=Milestones!$AB$173),UPPER(TEXT(EDATE($D58,Milestones!$AA$173),"dd mmm yy"))&amp;" "&amp;Milestones!$AB$173&amp;" "&amp;IF(AND(Milestones!$AB$173="FT",Milestones!$AA$173=FT_Y5,EDATE($D58,Milestones!$AA$173)&lt;PolicyEff),1,Milestones!$AC$173)&amp;";  ","")&amp;IF(AND(EDATE($D58,Milestones!$AA$174)&lt;=AsOfDate,EDATE($D58,Milestones!$AA$174)&gt;=SchemeStart,IF($X58=0,$AD58,IF(AND($Z58&lt;&gt;"",EDATE($D58,Milestones!$AA$174)&gt;=$Z58),$AC58,IF(AND($Y58&lt;&gt;"",EDATE($D58,Milestones!$AA$174)&gt;=$Y58),$AB58,$AA58)))=Milestones!$AB$174),UPPER(TEXT(EDATE($D58,Milestones!$AA$174),"dd mmm yy"))&amp;" "&amp;Milestones!$AB$174&amp;" "&amp;IF(AND(Milestones!$AB$174="FT",Milestones!$AA$174=FT_Y5,EDATE($D58,Milestones!$AA$174)&lt;PolicyEff),1,Milestones!$AC$174)&amp;";  ","")&amp;IF(AND(EDATE($D58,Milestones!$AA$175)&lt;=AsOfDate,EDATE($D58,Milestones!$AA$175)&gt;=SchemeStart,IF($X58=0,$AD58,IF(AND($Z58&lt;&gt;"",EDATE($D58,Milestones!$AA$175)&gt;=$Z58),$AC58,IF(AND($Y58&lt;&gt;"",EDATE($D58,Milestones!$AA$175)&gt;=$Y58),$AB58,$AA58)))=Milestones!$AB$175),UPPER(TEXT(EDATE($D58,Milestones!$AA$175),"dd mmm yy"))&amp;" "&amp;Milestones!$AB$175&amp;" "&amp;IF(AND(Milestones!$AB$175="FT",Milestones!$AA$175=FT_Y5,EDATE($D58,Milestones!$AA$175)&lt;PolicyEff),1,Milestones!$AC$175)&amp;";  ",""))</f>
        <v/>
      </c>
      <c r="V58" s="0" t="str">
        <f aca="false">IF(OR($A58="",$D58=""),"",IF(AND(EDATE($D58,Milestones!$AA$176)&lt;=AsOfDate,EDATE($D58,Milestones!$AA$176)&gt;=SchemeStart,IF($X58=0,$AD58,IF(AND($Z58&lt;&gt;"",EDATE($D58,Milestones!$AA$176)&gt;=$Z58),$AC58,IF(AND($Y58&lt;&gt;"",EDATE($D58,Milestones!$AA$176)&gt;=$Y58),$AB58,$AA58)))=Milestones!$AB$176),UPPER(TEXT(EDATE($D58,Milestones!$AA$176),"dd mmm yy"))&amp;" "&amp;Milestones!$AB$176&amp;" "&amp;IF(AND(Milestones!$AB$176="FT",Milestones!$AA$176=FT_Y5,EDATE($D58,Milestones!$AA$176)&lt;PolicyEff),1,Milestones!$AC$176)&amp;";  ","")&amp;IF(AND(EDATE($D58,Milestones!$AA$177)&lt;=AsOfDate,EDATE($D58,Milestones!$AA$177)&gt;=SchemeStart,IF($X58=0,$AD58,IF(AND($Z58&lt;&gt;"",EDATE($D58,Milestones!$AA$177)&gt;=$Z58),$AC58,IF(AND($Y58&lt;&gt;"",EDATE($D58,Milestones!$AA$177)&gt;=$Y58),$AB58,$AA58)))=Milestones!$AB$177),UPPER(TEXT(EDATE($D58,Milestones!$AA$177),"dd mmm yy"))&amp;" "&amp;Milestones!$AB$177&amp;" "&amp;IF(AND(Milestones!$AB$177="FT",Milestones!$AA$177=FT_Y5,EDATE($D58,Milestones!$AA$177)&lt;PolicyEff),1,Milestones!$AC$177)&amp;";  ","")&amp;IF(AND(EDATE($D58,Milestones!$AA$178)&lt;=AsOfDate,EDATE($D58,Milestones!$AA$178)&gt;=SchemeStart,IF($X58=0,$AD58,IF(AND($Z58&lt;&gt;"",EDATE($D58,Milestones!$AA$178)&gt;=$Z58),$AC58,IF(AND($Y58&lt;&gt;"",EDATE($D58,Milestones!$AA$178)&gt;=$Y58),$AB58,$AA58)))=Milestones!$AB$178),UPPER(TEXT(EDATE($D58,Milestones!$AA$178),"dd mmm yy"))&amp;" "&amp;Milestones!$AB$178&amp;" "&amp;IF(AND(Milestones!$AB$178="FT",Milestones!$AA$178=FT_Y5,EDATE($D58,Milestones!$AA$178)&lt;PolicyEff),1,Milestones!$AC$178)&amp;";  ","")&amp;IF(AND(EDATE($D58,Milestones!$AA$179)&lt;=AsOfDate,EDATE($D58,Milestones!$AA$179)&gt;=SchemeStart,IF($X58=0,$AD58,IF(AND($Z58&lt;&gt;"",EDATE($D58,Milestones!$AA$179)&gt;=$Z58),$AC58,IF(AND($Y58&lt;&gt;"",EDATE($D58,Milestones!$AA$179)&gt;=$Y58),$AB58,$AA58)))=Milestones!$AB$179),UPPER(TEXT(EDATE($D58,Milestones!$AA$179),"dd mmm yy"))&amp;" "&amp;Milestones!$AB$179&amp;" "&amp;IF(AND(Milestones!$AB$179="FT",Milestones!$AA$179=FT_Y5,EDATE($D58,Milestones!$AA$179)&lt;PolicyEff),1,Milestones!$AC$179)&amp;";  ","")&amp;IF(AND(EDATE($D58,Milestones!$AA$180)&lt;=AsOfDate,EDATE($D58,Milestones!$AA$180)&gt;=SchemeStart,IF($X58=0,$AD58,IF(AND($Z58&lt;&gt;"",EDATE($D58,Milestones!$AA$180)&gt;=$Z58),$AC58,IF(AND($Y58&lt;&gt;"",EDATE($D58,Milestones!$AA$180)&gt;=$Y58),$AB58,$AA58)))=Milestones!$AB$180),UPPER(TEXT(EDATE($D58,Milestones!$AA$180),"dd mmm yy"))&amp;" "&amp;Milestones!$AB$180&amp;" "&amp;IF(AND(Milestones!$AB$180="FT",Milestones!$AA$180=FT_Y5,EDATE($D58,Milestones!$AA$180)&lt;PolicyEff),1,Milestones!$AC$180)&amp;";  ","")&amp;IF(AND(EDATE($D58,Milestones!$AA$181)&lt;=AsOfDate,EDATE($D58,Milestones!$AA$181)&gt;=SchemeStart,IF($X58=0,$AD58,IF(AND($Z58&lt;&gt;"",EDATE($D58,Milestones!$AA$181)&gt;=$Z58),$AC58,IF(AND($Y58&lt;&gt;"",EDATE($D58,Milestones!$AA$181)&gt;=$Y58),$AB58,$AA58)))=Milestones!$AB$181),UPPER(TEXT(EDATE($D58,Milestones!$AA$181),"dd mmm yy"))&amp;" "&amp;Milestones!$AB$181&amp;" "&amp;IF(AND(Milestones!$AB$181="FT",Milestones!$AA$181=FT_Y5,EDATE($D58,Milestones!$AA$181)&lt;PolicyEff),1,Milestones!$AC$181)&amp;";  ","")&amp;IF(AND(EDATE($D58,Milestones!$AA$182)&lt;=AsOfDate,EDATE($D58,Milestones!$AA$182)&gt;=SchemeStart,IF($X58=0,$AD58,IF(AND($Z58&lt;&gt;"",EDATE($D58,Milestones!$AA$182)&gt;=$Z58),$AC58,IF(AND($Y58&lt;&gt;"",EDATE($D58,Milestones!$AA$182)&gt;=$Y58),$AB58,$AA58)))=Milestones!$AB$182),UPPER(TEXT(EDATE($D58,Milestones!$AA$182),"dd mmm yy"))&amp;" "&amp;Milestones!$AB$182&amp;" "&amp;IF(AND(Milestones!$AB$182="FT",Milestones!$AA$182=FT_Y5,EDATE($D58,Milestones!$AA$182)&lt;PolicyEff),1,Milestones!$AC$182)&amp;";  ","")&amp;IF(AND(EDATE($D58,Milestones!$AA$183)&lt;=AsOfDate,EDATE($D58,Milestones!$AA$183)&gt;=SchemeStart,IF($X58=0,$AD58,IF(AND($Z58&lt;&gt;"",EDATE($D58,Milestones!$AA$183)&gt;=$Z58),$AC58,IF(AND($Y58&lt;&gt;"",EDATE($D58,Milestones!$AA$183)&gt;=$Y58),$AB58,$AA58)))=Milestones!$AB$183),UPPER(TEXT(EDATE($D58,Milestones!$AA$183),"dd mmm yy"))&amp;" "&amp;Milestones!$AB$183&amp;" "&amp;IF(AND(Milestones!$AB$183="FT",Milestones!$AA$183=FT_Y5,EDATE($D58,Milestones!$AA$183)&lt;PolicyEff),1,Milestones!$AC$183)&amp;";  ","")&amp;IF(AND(EDATE($D58,Milestones!$AA$184)&lt;=AsOfDate,EDATE($D58,Milestones!$AA$184)&gt;=SchemeStart,IF($X58=0,$AD58,IF(AND($Z58&lt;&gt;"",EDATE($D58,Milestones!$AA$184)&gt;=$Z58),$AC58,IF(AND($Y58&lt;&gt;"",EDATE($D58,Milestones!$AA$184)&gt;=$Y58),$AB58,$AA58)))=Milestones!$AB$184),UPPER(TEXT(EDATE($D58,Milestones!$AA$184),"dd mmm yy"))&amp;" "&amp;Milestones!$AB$184&amp;" "&amp;IF(AND(Milestones!$AB$184="FT",Milestones!$AA$184=FT_Y5,EDATE($D58,Milestones!$AA$184)&lt;PolicyEff),1,Milestones!$AC$184)&amp;";  ","")&amp;IF(AND(EDATE($D58,Milestones!$AA$185)&lt;=AsOfDate,EDATE($D58,Milestones!$AA$185)&gt;=SchemeStart,IF($X58=0,$AD58,IF(AND($Z58&lt;&gt;"",EDATE($D58,Milestones!$AA$185)&gt;=$Z58),$AC58,IF(AND($Y58&lt;&gt;"",EDATE($D58,Milestones!$AA$185)&gt;=$Y58),$AB58,$AA58)))=Milestones!$AB$185),UPPER(TEXT(EDATE($D58,Milestones!$AA$185),"dd mmm yy"))&amp;" "&amp;Milestones!$AB$185&amp;" "&amp;IF(AND(Milestones!$AB$185="FT",Milestones!$AA$185=FT_Y5,EDATE($D58,Milestones!$AA$185)&lt;PolicyEff),1,Milestones!$AC$185)&amp;";  ","")&amp;IF(AND(EDATE($D58,Milestones!$AA$186)&lt;=AsOfDate,EDATE($D58,Milestones!$AA$186)&gt;=SchemeStart,IF($X58=0,$AD58,IF(AND($Z58&lt;&gt;"",EDATE($D58,Milestones!$AA$186)&gt;=$Z58),$AC58,IF(AND($Y58&lt;&gt;"",EDATE($D58,Milestones!$AA$186)&gt;=$Y58),$AB58,$AA58)))=Milestones!$AB$186),UPPER(TEXT(EDATE($D58,Milestones!$AA$186),"dd mmm yy"))&amp;" "&amp;Milestones!$AB$186&amp;" "&amp;IF(AND(Milestones!$AB$186="FT",Milestones!$AA$186=FT_Y5,EDATE($D58,Milestones!$AA$186)&lt;PolicyEff),1,Milestones!$AC$186)&amp;";  ","")&amp;IF(AND(EDATE($D58,Milestones!$AA$187)&lt;=AsOfDate,EDATE($D58,Milestones!$AA$187)&gt;=SchemeStart,IF($X58=0,$AD58,IF(AND($Z58&lt;&gt;"",EDATE($D58,Milestones!$AA$187)&gt;=$Z58),$AC58,IF(AND($Y58&lt;&gt;"",EDATE($D58,Milestones!$AA$187)&gt;=$Y58),$AB58,$AA58)))=Milestones!$AB$187),UPPER(TEXT(EDATE($D58,Milestones!$AA$187),"dd mmm yy"))&amp;" "&amp;Milestones!$AB$187&amp;" "&amp;IF(AND(Milestones!$AB$187="FT",Milestones!$AA$187=FT_Y5,EDATE($D58,Milestones!$AA$187)&lt;PolicyEff),1,Milestones!$AC$187)&amp;";  ",""))</f>
        <v/>
      </c>
      <c r="W58" s="0" t="str">
        <f aca="false">IF(OR($A58="",$D58=""),"",IF(AND(EDATE($D58,Milestones!$AA$188)&lt;=AsOfDate,EDATE($D58,Milestones!$AA$188)&gt;=SchemeStart,IF($X58=0,$AD58,IF(AND($Z58&lt;&gt;"",EDATE($D58,Milestones!$AA$188)&gt;=$Z58),$AC58,IF(AND($Y58&lt;&gt;"",EDATE($D58,Milestones!$AA$188)&gt;=$Y58),$AB58,$AA58)))=Milestones!$AB$188),UPPER(TEXT(EDATE($D58,Milestones!$AA$188),"dd mmm yy"))&amp;" "&amp;Milestones!$AB$188&amp;" "&amp;IF(AND(Milestones!$AB$188="FT",Milestones!$AA$188=FT_Y5,EDATE($D58,Milestones!$AA$188)&lt;PolicyEff),1,Milestones!$AC$188)&amp;";  ","")&amp;IF(AND(EDATE($D58,Milestones!$AA$189)&lt;=AsOfDate,EDATE($D58,Milestones!$AA$189)&gt;=SchemeStart,IF($X58=0,$AD58,IF(AND($Z58&lt;&gt;"",EDATE($D58,Milestones!$AA$189)&gt;=$Z58),$AC58,IF(AND($Y58&lt;&gt;"",EDATE($D58,Milestones!$AA$189)&gt;=$Y58),$AB58,$AA58)))=Milestones!$AB$189),UPPER(TEXT(EDATE($D58,Milestones!$AA$189),"dd mmm yy"))&amp;" "&amp;Milestones!$AB$189&amp;" "&amp;IF(AND(Milestones!$AB$189="FT",Milestones!$AA$189=FT_Y5,EDATE($D58,Milestones!$AA$189)&lt;PolicyEff),1,Milestones!$AC$189)&amp;";  ","")&amp;IF(AND(EDATE($D58,Milestones!$AA$190)&lt;=AsOfDate,EDATE($D58,Milestones!$AA$190)&gt;=SchemeStart,IF($X58=0,$AD58,IF(AND($Z58&lt;&gt;"",EDATE($D58,Milestones!$AA$190)&gt;=$Z58),$AC58,IF(AND($Y58&lt;&gt;"",EDATE($D58,Milestones!$AA$190)&gt;=$Y58),$AB58,$AA58)))=Milestones!$AB$190),UPPER(TEXT(EDATE($D58,Milestones!$AA$190),"dd mmm yy"))&amp;" "&amp;Milestones!$AB$190&amp;" "&amp;IF(AND(Milestones!$AB$190="FT",Milestones!$AA$190=FT_Y5,EDATE($D58,Milestones!$AA$190)&lt;PolicyEff),1,Milestones!$AC$190)&amp;";  ","")&amp;IF(AND(EDATE($D58,Milestones!$AA$191)&lt;=AsOfDate,EDATE($D58,Milestones!$AA$191)&gt;=SchemeStart,IF($X58=0,$AD58,IF(AND($Z58&lt;&gt;"",EDATE($D58,Milestones!$AA$191)&gt;=$Z58),$AC58,IF(AND($Y58&lt;&gt;"",EDATE($D58,Milestones!$AA$191)&gt;=$Y58),$AB58,$AA58)))=Milestones!$AB$191),UPPER(TEXT(EDATE($D58,Milestones!$AA$191),"dd mmm yy"))&amp;" "&amp;Milestones!$AB$191&amp;" "&amp;IF(AND(Milestones!$AB$191="FT",Milestones!$AA$191=FT_Y5,EDATE($D58,Milestones!$AA$191)&lt;PolicyEff),1,Milestones!$AC$191)&amp;";  ","")&amp;IF(AND(EDATE($D58,Milestones!$AA$192)&lt;=AsOfDate,EDATE($D58,Milestones!$AA$192)&gt;=SchemeStart,IF($X58=0,$AD58,IF(AND($Z58&lt;&gt;"",EDATE($D58,Milestones!$AA$192)&gt;=$Z58),$AC58,IF(AND($Y58&lt;&gt;"",EDATE($D58,Milestones!$AA$192)&gt;=$Y58),$AB58,$AA58)))=Milestones!$AB$192),UPPER(TEXT(EDATE($D58,Milestones!$AA$192),"dd mmm yy"))&amp;" "&amp;Milestones!$AB$192&amp;" "&amp;IF(AND(Milestones!$AB$192="FT",Milestones!$AA$192=FT_Y5,EDATE($D58,Milestones!$AA$192)&lt;PolicyEff),1,Milestones!$AC$192)&amp;";  ","")&amp;IF(AND(EDATE($D58,Milestones!$AA$193)&lt;=AsOfDate,EDATE($D58,Milestones!$AA$193)&gt;=SchemeStart,IF($X58=0,$AD58,IF(AND($Z58&lt;&gt;"",EDATE($D58,Milestones!$AA$193)&gt;=$Z58),$AC58,IF(AND($Y58&lt;&gt;"",EDATE($D58,Milestones!$AA$193)&gt;=$Y58),$AB58,$AA58)))=Milestones!$AB$193),UPPER(TEXT(EDATE($D58,Milestones!$AA$193),"dd mmm yy"))&amp;" "&amp;Milestones!$AB$193&amp;" "&amp;IF(AND(Milestones!$AB$193="FT",Milestones!$AA$193=FT_Y5,EDATE($D58,Milestones!$AA$193)&lt;PolicyEff),1,Milestones!$AC$193)&amp;";  ","")&amp;IF(AND(EDATE($D58,Milestones!$AA$194)&lt;=AsOfDate,EDATE($D58,Milestones!$AA$194)&gt;=SchemeStart,IF($X58=0,$AD58,IF(AND($Z58&lt;&gt;"",EDATE($D58,Milestones!$AA$194)&gt;=$Z58),$AC58,IF(AND($Y58&lt;&gt;"",EDATE($D58,Milestones!$AA$194)&gt;=$Y58),$AB58,$AA58)))=Milestones!$AB$194),UPPER(TEXT(EDATE($D58,Milestones!$AA$194),"dd mmm yy"))&amp;" "&amp;Milestones!$AB$194&amp;" "&amp;IF(AND(Milestones!$AB$194="FT",Milestones!$AA$194=FT_Y5,EDATE($D58,Milestones!$AA$194)&lt;PolicyEff),1,Milestones!$AC$194)&amp;";  ","")&amp;IF(AND(EDATE($D58,Milestones!$AA$195)&lt;=AsOfDate,EDATE($D58,Milestones!$AA$195)&gt;=SchemeStart,IF($X58=0,$AD58,IF(AND($Z58&lt;&gt;"",EDATE($D58,Milestones!$AA$195)&gt;=$Z58),$AC58,IF(AND($Y58&lt;&gt;"",EDATE($D58,Milestones!$AA$195)&gt;=$Y58),$AB58,$AA58)))=Milestones!$AB$195),UPPER(TEXT(EDATE($D58,Milestones!$AA$195),"dd mmm yy"))&amp;" "&amp;Milestones!$AB$195&amp;" "&amp;IF(AND(Milestones!$AB$195="FT",Milestones!$AA$195=FT_Y5,EDATE($D58,Milestones!$AA$195)&lt;PolicyEff),1,Milestones!$AC$195)&amp;";  ","")&amp;IF(AND(EDATE($D58,Milestones!$AA$196)&lt;=AsOfDate,EDATE($D58,Milestones!$AA$196)&gt;=SchemeStart,IF($X58=0,$AD58,IF(AND($Z58&lt;&gt;"",EDATE($D58,Milestones!$AA$196)&gt;=$Z58),$AC58,IF(AND($Y58&lt;&gt;"",EDATE($D58,Milestones!$AA$196)&gt;=$Y58),$AB58,$AA58)))=Milestones!$AB$196),UPPER(TEXT(EDATE($D58,Milestones!$AA$196),"dd mmm yy"))&amp;" "&amp;Milestones!$AB$196&amp;" "&amp;IF(AND(Milestones!$AB$196="FT",Milestones!$AA$196=FT_Y5,EDATE($D58,Milestones!$AA$196)&lt;PolicyEff),1,Milestones!$AC$196)&amp;";  ","")&amp;IF(AND(EDATE($D58,Milestones!$AA$197)&lt;=AsOfDate,EDATE($D58,Milestones!$AA$197)&gt;=SchemeStart,IF($X58=0,$AD58,IF(AND($Z58&lt;&gt;"",EDATE($D58,Milestones!$AA$197)&gt;=$Z58),$AC58,IF(AND($Y58&lt;&gt;"",EDATE($D58,Milestones!$AA$197)&gt;=$Y58),$AB58,$AA58)))=Milestones!$AB$197),UPPER(TEXT(EDATE($D58,Milestones!$AA$197),"dd mmm yy"))&amp;" "&amp;Milestones!$AB$197&amp;" "&amp;IF(AND(Milestones!$AB$197="FT",Milestones!$AA$197=FT_Y5,EDATE($D58,Milestones!$AA$197)&lt;PolicyEff),1,Milestones!$AC$197)&amp;";  ","")&amp;IF(AND(EDATE($D58,Milestones!$AA$198)&lt;=AsOfDate,EDATE($D58,Milestones!$AA$198)&gt;=SchemeStart,IF($X58=0,$AD58,IF(AND($Z58&lt;&gt;"",EDATE($D58,Milestones!$AA$198)&gt;=$Z58),$AC58,IF(AND($Y58&lt;&gt;"",EDATE($D58,Milestones!$AA$198)&gt;=$Y58),$AB58,$AA58)))=Milestones!$AB$198),UPPER(TEXT(EDATE($D58,Milestones!$AA$198),"dd mmm yy"))&amp;" "&amp;Milestones!$AB$198&amp;" "&amp;IF(AND(Milestones!$AB$198="FT",Milestones!$AA$198=FT_Y5,EDATE($D58,Milestones!$AA$198)&lt;PolicyEff),1,Milestones!$AC$198)&amp;";  ","")&amp;IF(AND(EDATE($D58,Milestones!$AA$199)&lt;=AsOfDate,EDATE($D58,Milestones!$AA$199)&gt;=SchemeStart,IF($X58=0,$AD58,IF(AND($Z58&lt;&gt;"",EDATE($D58,Milestones!$AA$199)&gt;=$Z58),$AC58,IF(AND($Y58&lt;&gt;"",EDATE($D58,Milestones!$AA$199)&gt;=$Y58),$AB58,$AA58)))=Milestones!$AB$199),UPPER(TEXT(EDATE($D58,Milestones!$AA$199),"dd mmm yy"))&amp;" "&amp;Milestones!$AB$199&amp;" "&amp;IF(AND(Milestones!$AB$199="FT",Milestones!$AA$199=FT_Y5,EDATE($D58,Milestones!$AA$199)&lt;PolicyEff),1,Milestones!$AC$199)&amp;";  ",""))</f>
        <v/>
      </c>
      <c r="X58" s="0" t="str">
        <f aca="false">IF(Staff!$A58="","",Staff!$AM58)</f>
        <v/>
      </c>
      <c r="Y58" s="0" t="str">
        <f aca="false">IF(Staff!$A58="","",Staff!$AO58)</f>
        <v/>
      </c>
      <c r="Z58" s="0" t="str">
        <f aca="false">IF(Staff!$A58="","",Staff!$AP58)</f>
        <v/>
      </c>
      <c r="AA58" s="0" t="str">
        <f aca="false">IF(Staff!$A58="","",Staff!$AT58)</f>
        <v/>
      </c>
      <c r="AB58" s="0" t="str">
        <f aca="false">IF(Staff!$A58="","",Staff!$AU58)</f>
        <v/>
      </c>
      <c r="AC58" s="0" t="str">
        <f aca="false">IF(Staff!$A58="","",Staff!$AV58)</f>
        <v/>
      </c>
      <c r="AD58" s="0" t="str">
        <f aca="false">IF(Staff!$A58="","",Staff!$AW58)</f>
        <v/>
      </c>
    </row>
    <row r="59" customFormat="false" ht="15" hidden="false" customHeight="false" outlineLevel="0" collapsed="false">
      <c r="A59" s="16" t="str">
        <f aca="false">IF(Staff!$A59="","",Staff!$A59)</f>
        <v/>
      </c>
      <c r="B59" s="16" t="str">
        <f aca="false">IF(Staff!$A59="","",Staff!$B59)</f>
        <v/>
      </c>
      <c r="C59" s="16" t="str">
        <f aca="false">IF(Staff!$A59="","",Staff!$C59)</f>
        <v/>
      </c>
      <c r="D59" s="14" t="str">
        <f aca="false">IF(Staff!$A59="","",Staff!$AL59)</f>
        <v/>
      </c>
      <c r="E59" s="16" t="str">
        <f aca="false">IF(Staff!$A59="","",Staff!$O59)</f>
        <v/>
      </c>
      <c r="F59" s="16" t="str">
        <f aca="false">IF(E59="","",E59*HoursPerDay)</f>
        <v/>
      </c>
      <c r="G59" s="16" t="str">
        <f aca="false">IF(Staff!$A59="","",Staff!$AE59)</f>
        <v/>
      </c>
      <c r="H59" s="28" t="str">
        <f aca="false">IF($A59="","",I59&amp;J59&amp;K59&amp;L59&amp;M59&amp;N59&amp;O59&amp;P59&amp;Q59&amp;R59&amp;S59&amp;T59&amp;U59&amp;V59&amp;W59)</f>
        <v/>
      </c>
      <c r="I59" s="0" t="str">
        <f aca="false">IF(OR($A59="",$D59=""),"",IF(AND(EDATE($D59,Milestones!$AA$20)&lt;=AsOfDate,EDATE($D59,Milestones!$AA$20)&gt;=SchemeStart,IF($X59=0,$AD59,IF(AND($Z59&lt;&gt;"",EDATE($D59,Milestones!$AA$20)&gt;=$Z59),$AC59,IF(AND($Y59&lt;&gt;"",EDATE($D59,Milestones!$AA$20)&gt;=$Y59),$AB59,$AA59)))=Milestones!$AB$20),UPPER(TEXT(EDATE($D59,Milestones!$AA$20),"dd mmm yy"))&amp;" "&amp;Milestones!$AB$20&amp;" "&amp;IF(AND(Milestones!$AB$20="FT",Milestones!$AA$20=FT_Y5,EDATE($D59,Milestones!$AA$20)&lt;PolicyEff),1,Milestones!$AC$20)&amp;";  ","")&amp;IF(AND(EDATE($D59,Milestones!$AA$21)&lt;=AsOfDate,EDATE($D59,Milestones!$AA$21)&gt;=SchemeStart,IF($X59=0,$AD59,IF(AND($Z59&lt;&gt;"",EDATE($D59,Milestones!$AA$21)&gt;=$Z59),$AC59,IF(AND($Y59&lt;&gt;"",EDATE($D59,Milestones!$AA$21)&gt;=$Y59),$AB59,$AA59)))=Milestones!$AB$21),UPPER(TEXT(EDATE($D59,Milestones!$AA$21),"dd mmm yy"))&amp;" "&amp;Milestones!$AB$21&amp;" "&amp;IF(AND(Milestones!$AB$21="FT",Milestones!$AA$21=FT_Y5,EDATE($D59,Milestones!$AA$21)&lt;PolicyEff),1,Milestones!$AC$21)&amp;";  ","")&amp;IF(AND(EDATE($D59,Milestones!$AA$22)&lt;=AsOfDate,EDATE($D59,Milestones!$AA$22)&gt;=SchemeStart,IF($X59=0,$AD59,IF(AND($Z59&lt;&gt;"",EDATE($D59,Milestones!$AA$22)&gt;=$Z59),$AC59,IF(AND($Y59&lt;&gt;"",EDATE($D59,Milestones!$AA$22)&gt;=$Y59),$AB59,$AA59)))=Milestones!$AB$22),UPPER(TEXT(EDATE($D59,Milestones!$AA$22),"dd mmm yy"))&amp;" "&amp;Milestones!$AB$22&amp;" "&amp;IF(AND(Milestones!$AB$22="FT",Milestones!$AA$22=FT_Y5,EDATE($D59,Milestones!$AA$22)&lt;PolicyEff),1,Milestones!$AC$22)&amp;";  ","")&amp;IF(AND(EDATE($D59,Milestones!$AA$23)&lt;=AsOfDate,EDATE($D59,Milestones!$AA$23)&gt;=SchemeStart,IF($X59=0,$AD59,IF(AND($Z59&lt;&gt;"",EDATE($D59,Milestones!$AA$23)&gt;=$Z59),$AC59,IF(AND($Y59&lt;&gt;"",EDATE($D59,Milestones!$AA$23)&gt;=$Y59),$AB59,$AA59)))=Milestones!$AB$23),UPPER(TEXT(EDATE($D59,Milestones!$AA$23),"dd mmm yy"))&amp;" "&amp;Milestones!$AB$23&amp;" "&amp;IF(AND(Milestones!$AB$23="FT",Milestones!$AA$23=FT_Y5,EDATE($D59,Milestones!$AA$23)&lt;PolicyEff),1,Milestones!$AC$23)&amp;";  ","")&amp;IF(AND(EDATE($D59,Milestones!$AA$24)&lt;=AsOfDate,EDATE($D59,Milestones!$AA$24)&gt;=SchemeStart,IF($X59=0,$AD59,IF(AND($Z59&lt;&gt;"",EDATE($D59,Milestones!$AA$24)&gt;=$Z59),$AC59,IF(AND($Y59&lt;&gt;"",EDATE($D59,Milestones!$AA$24)&gt;=$Y59),$AB59,$AA59)))=Milestones!$AB$24),UPPER(TEXT(EDATE($D59,Milestones!$AA$24),"dd mmm yy"))&amp;" "&amp;Milestones!$AB$24&amp;" "&amp;IF(AND(Milestones!$AB$24="FT",Milestones!$AA$24=FT_Y5,EDATE($D59,Milestones!$AA$24)&lt;PolicyEff),1,Milestones!$AC$24)&amp;";  ","")&amp;IF(AND(EDATE($D59,Milestones!$AA$25)&lt;=AsOfDate,EDATE($D59,Milestones!$AA$25)&gt;=SchemeStart,IF($X59=0,$AD59,IF(AND($Z59&lt;&gt;"",EDATE($D59,Milestones!$AA$25)&gt;=$Z59),$AC59,IF(AND($Y59&lt;&gt;"",EDATE($D59,Milestones!$AA$25)&gt;=$Y59),$AB59,$AA59)))=Milestones!$AB$25),UPPER(TEXT(EDATE($D59,Milestones!$AA$25),"dd mmm yy"))&amp;" "&amp;Milestones!$AB$25&amp;" "&amp;IF(AND(Milestones!$AB$25="FT",Milestones!$AA$25=FT_Y5,EDATE($D59,Milestones!$AA$25)&lt;PolicyEff),1,Milestones!$AC$25)&amp;";  ","")&amp;IF(AND(EDATE($D59,Milestones!$AA$26)&lt;=AsOfDate,EDATE($D59,Milestones!$AA$26)&gt;=SchemeStart,IF($X59=0,$AD59,IF(AND($Z59&lt;&gt;"",EDATE($D59,Milestones!$AA$26)&gt;=$Z59),$AC59,IF(AND($Y59&lt;&gt;"",EDATE($D59,Milestones!$AA$26)&gt;=$Y59),$AB59,$AA59)))=Milestones!$AB$26),UPPER(TEXT(EDATE($D59,Milestones!$AA$26),"dd mmm yy"))&amp;" "&amp;Milestones!$AB$26&amp;" "&amp;IF(AND(Milestones!$AB$26="FT",Milestones!$AA$26=FT_Y5,EDATE($D59,Milestones!$AA$26)&lt;PolicyEff),1,Milestones!$AC$26)&amp;";  ","")&amp;IF(AND(EDATE($D59,Milestones!$AA$27)&lt;=AsOfDate,EDATE($D59,Milestones!$AA$27)&gt;=SchemeStart,IF($X59=0,$AD59,IF(AND($Z59&lt;&gt;"",EDATE($D59,Milestones!$AA$27)&gt;=$Z59),$AC59,IF(AND($Y59&lt;&gt;"",EDATE($D59,Milestones!$AA$27)&gt;=$Y59),$AB59,$AA59)))=Milestones!$AB$27),UPPER(TEXT(EDATE($D59,Milestones!$AA$27),"dd mmm yy"))&amp;" "&amp;Milestones!$AB$27&amp;" "&amp;IF(AND(Milestones!$AB$27="FT",Milestones!$AA$27=FT_Y5,EDATE($D59,Milestones!$AA$27)&lt;PolicyEff),1,Milestones!$AC$27)&amp;";  ","")&amp;IF(AND(EDATE($D59,Milestones!$AA$28)&lt;=AsOfDate,EDATE($D59,Milestones!$AA$28)&gt;=SchemeStart,IF($X59=0,$AD59,IF(AND($Z59&lt;&gt;"",EDATE($D59,Milestones!$AA$28)&gt;=$Z59),$AC59,IF(AND($Y59&lt;&gt;"",EDATE($D59,Milestones!$AA$28)&gt;=$Y59),$AB59,$AA59)))=Milestones!$AB$28),UPPER(TEXT(EDATE($D59,Milestones!$AA$28),"dd mmm yy"))&amp;" "&amp;Milestones!$AB$28&amp;" "&amp;IF(AND(Milestones!$AB$28="FT",Milestones!$AA$28=FT_Y5,EDATE($D59,Milestones!$AA$28)&lt;PolicyEff),1,Milestones!$AC$28)&amp;";  ","")&amp;IF(AND(EDATE($D59,Milestones!$AA$29)&lt;=AsOfDate,EDATE($D59,Milestones!$AA$29)&gt;=SchemeStart,IF($X59=0,$AD59,IF(AND($Z59&lt;&gt;"",EDATE($D59,Milestones!$AA$29)&gt;=$Z59),$AC59,IF(AND($Y59&lt;&gt;"",EDATE($D59,Milestones!$AA$29)&gt;=$Y59),$AB59,$AA59)))=Milestones!$AB$29),UPPER(TEXT(EDATE($D59,Milestones!$AA$29),"dd mmm yy"))&amp;" "&amp;Milestones!$AB$29&amp;" "&amp;IF(AND(Milestones!$AB$29="FT",Milestones!$AA$29=FT_Y5,EDATE($D59,Milestones!$AA$29)&lt;PolicyEff),1,Milestones!$AC$29)&amp;";  ","")&amp;IF(AND(EDATE($D59,Milestones!$AA$30)&lt;=AsOfDate,EDATE($D59,Milestones!$AA$30)&gt;=SchemeStart,IF($X59=0,$AD59,IF(AND($Z59&lt;&gt;"",EDATE($D59,Milestones!$AA$30)&gt;=$Z59),$AC59,IF(AND($Y59&lt;&gt;"",EDATE($D59,Milestones!$AA$30)&gt;=$Y59),$AB59,$AA59)))=Milestones!$AB$30),UPPER(TEXT(EDATE($D59,Milestones!$AA$30),"dd mmm yy"))&amp;" "&amp;Milestones!$AB$30&amp;" "&amp;IF(AND(Milestones!$AB$30="FT",Milestones!$AA$30=FT_Y5,EDATE($D59,Milestones!$AA$30)&lt;PolicyEff),1,Milestones!$AC$30)&amp;";  ","")&amp;IF(AND(EDATE($D59,Milestones!$AA$31)&lt;=AsOfDate,EDATE($D59,Milestones!$AA$31)&gt;=SchemeStart,IF($X59=0,$AD59,IF(AND($Z59&lt;&gt;"",EDATE($D59,Milestones!$AA$31)&gt;=$Z59),$AC59,IF(AND($Y59&lt;&gt;"",EDATE($D59,Milestones!$AA$31)&gt;=$Y59),$AB59,$AA59)))=Milestones!$AB$31),UPPER(TEXT(EDATE($D59,Milestones!$AA$31),"dd mmm yy"))&amp;" "&amp;Milestones!$AB$31&amp;" "&amp;IF(AND(Milestones!$AB$31="FT",Milestones!$AA$31=FT_Y5,EDATE($D59,Milestones!$AA$31)&lt;PolicyEff),1,Milestones!$AC$31)&amp;";  ",""))</f>
        <v/>
      </c>
      <c r="J59" s="0" t="str">
        <f aca="false">IF(OR($A59="",$D59=""),"",IF(AND(EDATE($D59,Milestones!$AA$32)&lt;=AsOfDate,EDATE($D59,Milestones!$AA$32)&gt;=SchemeStart,IF($X59=0,$AD59,IF(AND($Z59&lt;&gt;"",EDATE($D59,Milestones!$AA$32)&gt;=$Z59),$AC59,IF(AND($Y59&lt;&gt;"",EDATE($D59,Milestones!$AA$32)&gt;=$Y59),$AB59,$AA59)))=Milestones!$AB$32),UPPER(TEXT(EDATE($D59,Milestones!$AA$32),"dd mmm yy"))&amp;" "&amp;Milestones!$AB$32&amp;" "&amp;IF(AND(Milestones!$AB$32="FT",Milestones!$AA$32=FT_Y5,EDATE($D59,Milestones!$AA$32)&lt;PolicyEff),1,Milestones!$AC$32)&amp;";  ","")&amp;IF(AND(EDATE($D59,Milestones!$AA$33)&lt;=AsOfDate,EDATE($D59,Milestones!$AA$33)&gt;=SchemeStart,IF($X59=0,$AD59,IF(AND($Z59&lt;&gt;"",EDATE($D59,Milestones!$AA$33)&gt;=$Z59),$AC59,IF(AND($Y59&lt;&gt;"",EDATE($D59,Milestones!$AA$33)&gt;=$Y59),$AB59,$AA59)))=Milestones!$AB$33),UPPER(TEXT(EDATE($D59,Milestones!$AA$33),"dd mmm yy"))&amp;" "&amp;Milestones!$AB$33&amp;" "&amp;IF(AND(Milestones!$AB$33="FT",Milestones!$AA$33=FT_Y5,EDATE($D59,Milestones!$AA$33)&lt;PolicyEff),1,Milestones!$AC$33)&amp;";  ","")&amp;IF(AND(EDATE($D59,Milestones!$AA$34)&lt;=AsOfDate,EDATE($D59,Milestones!$AA$34)&gt;=SchemeStart,IF($X59=0,$AD59,IF(AND($Z59&lt;&gt;"",EDATE($D59,Milestones!$AA$34)&gt;=$Z59),$AC59,IF(AND($Y59&lt;&gt;"",EDATE($D59,Milestones!$AA$34)&gt;=$Y59),$AB59,$AA59)))=Milestones!$AB$34),UPPER(TEXT(EDATE($D59,Milestones!$AA$34),"dd mmm yy"))&amp;" "&amp;Milestones!$AB$34&amp;" "&amp;IF(AND(Milestones!$AB$34="FT",Milestones!$AA$34=FT_Y5,EDATE($D59,Milestones!$AA$34)&lt;PolicyEff),1,Milestones!$AC$34)&amp;";  ","")&amp;IF(AND(EDATE($D59,Milestones!$AA$35)&lt;=AsOfDate,EDATE($D59,Milestones!$AA$35)&gt;=SchemeStart,IF($X59=0,$AD59,IF(AND($Z59&lt;&gt;"",EDATE($D59,Milestones!$AA$35)&gt;=$Z59),$AC59,IF(AND($Y59&lt;&gt;"",EDATE($D59,Milestones!$AA$35)&gt;=$Y59),$AB59,$AA59)))=Milestones!$AB$35),UPPER(TEXT(EDATE($D59,Milestones!$AA$35),"dd mmm yy"))&amp;" "&amp;Milestones!$AB$35&amp;" "&amp;IF(AND(Milestones!$AB$35="FT",Milestones!$AA$35=FT_Y5,EDATE($D59,Milestones!$AA$35)&lt;PolicyEff),1,Milestones!$AC$35)&amp;";  ","")&amp;IF(AND(EDATE($D59,Milestones!$AA$36)&lt;=AsOfDate,EDATE($D59,Milestones!$AA$36)&gt;=SchemeStart,IF($X59=0,$AD59,IF(AND($Z59&lt;&gt;"",EDATE($D59,Milestones!$AA$36)&gt;=$Z59),$AC59,IF(AND($Y59&lt;&gt;"",EDATE($D59,Milestones!$AA$36)&gt;=$Y59),$AB59,$AA59)))=Milestones!$AB$36),UPPER(TEXT(EDATE($D59,Milestones!$AA$36),"dd mmm yy"))&amp;" "&amp;Milestones!$AB$36&amp;" "&amp;IF(AND(Milestones!$AB$36="FT",Milestones!$AA$36=FT_Y5,EDATE($D59,Milestones!$AA$36)&lt;PolicyEff),1,Milestones!$AC$36)&amp;";  ","")&amp;IF(AND(EDATE($D59,Milestones!$AA$37)&lt;=AsOfDate,EDATE($D59,Milestones!$AA$37)&gt;=SchemeStart,IF($X59=0,$AD59,IF(AND($Z59&lt;&gt;"",EDATE($D59,Milestones!$AA$37)&gt;=$Z59),$AC59,IF(AND($Y59&lt;&gt;"",EDATE($D59,Milestones!$AA$37)&gt;=$Y59),$AB59,$AA59)))=Milestones!$AB$37),UPPER(TEXT(EDATE($D59,Milestones!$AA$37),"dd mmm yy"))&amp;" "&amp;Milestones!$AB$37&amp;" "&amp;IF(AND(Milestones!$AB$37="FT",Milestones!$AA$37=FT_Y5,EDATE($D59,Milestones!$AA$37)&lt;PolicyEff),1,Milestones!$AC$37)&amp;";  ","")&amp;IF(AND(EDATE($D59,Milestones!$AA$38)&lt;=AsOfDate,EDATE($D59,Milestones!$AA$38)&gt;=SchemeStart,IF($X59=0,$AD59,IF(AND($Z59&lt;&gt;"",EDATE($D59,Milestones!$AA$38)&gt;=$Z59),$AC59,IF(AND($Y59&lt;&gt;"",EDATE($D59,Milestones!$AA$38)&gt;=$Y59),$AB59,$AA59)))=Milestones!$AB$38),UPPER(TEXT(EDATE($D59,Milestones!$AA$38),"dd mmm yy"))&amp;" "&amp;Milestones!$AB$38&amp;" "&amp;IF(AND(Milestones!$AB$38="FT",Milestones!$AA$38=FT_Y5,EDATE($D59,Milestones!$AA$38)&lt;PolicyEff),1,Milestones!$AC$38)&amp;";  ","")&amp;IF(AND(EDATE($D59,Milestones!$AA$39)&lt;=AsOfDate,EDATE($D59,Milestones!$AA$39)&gt;=SchemeStart,IF($X59=0,$AD59,IF(AND($Z59&lt;&gt;"",EDATE($D59,Milestones!$AA$39)&gt;=$Z59),$AC59,IF(AND($Y59&lt;&gt;"",EDATE($D59,Milestones!$AA$39)&gt;=$Y59),$AB59,$AA59)))=Milestones!$AB$39),UPPER(TEXT(EDATE($D59,Milestones!$AA$39),"dd mmm yy"))&amp;" "&amp;Milestones!$AB$39&amp;" "&amp;IF(AND(Milestones!$AB$39="FT",Milestones!$AA$39=FT_Y5,EDATE($D59,Milestones!$AA$39)&lt;PolicyEff),1,Milestones!$AC$39)&amp;";  ","")&amp;IF(AND(EDATE($D59,Milestones!$AA$40)&lt;=AsOfDate,EDATE($D59,Milestones!$AA$40)&gt;=SchemeStart,IF($X59=0,$AD59,IF(AND($Z59&lt;&gt;"",EDATE($D59,Milestones!$AA$40)&gt;=$Z59),$AC59,IF(AND($Y59&lt;&gt;"",EDATE($D59,Milestones!$AA$40)&gt;=$Y59),$AB59,$AA59)))=Milestones!$AB$40),UPPER(TEXT(EDATE($D59,Milestones!$AA$40),"dd mmm yy"))&amp;" "&amp;Milestones!$AB$40&amp;" "&amp;IF(AND(Milestones!$AB$40="FT",Milestones!$AA$40=FT_Y5,EDATE($D59,Milestones!$AA$40)&lt;PolicyEff),1,Milestones!$AC$40)&amp;";  ","")&amp;IF(AND(EDATE($D59,Milestones!$AA$41)&lt;=AsOfDate,EDATE($D59,Milestones!$AA$41)&gt;=SchemeStart,IF($X59=0,$AD59,IF(AND($Z59&lt;&gt;"",EDATE($D59,Milestones!$AA$41)&gt;=$Z59),$AC59,IF(AND($Y59&lt;&gt;"",EDATE($D59,Milestones!$AA$41)&gt;=$Y59),$AB59,$AA59)))=Milestones!$AB$41),UPPER(TEXT(EDATE($D59,Milestones!$AA$41),"dd mmm yy"))&amp;" "&amp;Milestones!$AB$41&amp;" "&amp;IF(AND(Milestones!$AB$41="FT",Milestones!$AA$41=FT_Y5,EDATE($D59,Milestones!$AA$41)&lt;PolicyEff),1,Milestones!$AC$41)&amp;";  ","")&amp;IF(AND(EDATE($D59,Milestones!$AA$42)&lt;=AsOfDate,EDATE($D59,Milestones!$AA$42)&gt;=SchemeStart,IF($X59=0,$AD59,IF(AND($Z59&lt;&gt;"",EDATE($D59,Milestones!$AA$42)&gt;=$Z59),$AC59,IF(AND($Y59&lt;&gt;"",EDATE($D59,Milestones!$AA$42)&gt;=$Y59),$AB59,$AA59)))=Milestones!$AB$42),UPPER(TEXT(EDATE($D59,Milestones!$AA$42),"dd mmm yy"))&amp;" "&amp;Milestones!$AB$42&amp;" "&amp;IF(AND(Milestones!$AB$42="FT",Milestones!$AA$42=FT_Y5,EDATE($D59,Milestones!$AA$42)&lt;PolicyEff),1,Milestones!$AC$42)&amp;";  ","")&amp;IF(AND(EDATE($D59,Milestones!$AA$43)&lt;=AsOfDate,EDATE($D59,Milestones!$AA$43)&gt;=SchemeStart,IF($X59=0,$AD59,IF(AND($Z59&lt;&gt;"",EDATE($D59,Milestones!$AA$43)&gt;=$Z59),$AC59,IF(AND($Y59&lt;&gt;"",EDATE($D59,Milestones!$AA$43)&gt;=$Y59),$AB59,$AA59)))=Milestones!$AB$43),UPPER(TEXT(EDATE($D59,Milestones!$AA$43),"dd mmm yy"))&amp;" "&amp;Milestones!$AB$43&amp;" "&amp;IF(AND(Milestones!$AB$43="FT",Milestones!$AA$43=FT_Y5,EDATE($D59,Milestones!$AA$43)&lt;PolicyEff),1,Milestones!$AC$43)&amp;";  ",""))</f>
        <v/>
      </c>
      <c r="K59" s="0" t="str">
        <f aca="false">IF(OR($A59="",$D59=""),"",IF(AND(EDATE($D59,Milestones!$AA$44)&lt;=AsOfDate,EDATE($D59,Milestones!$AA$44)&gt;=SchemeStart,IF($X59=0,$AD59,IF(AND($Z59&lt;&gt;"",EDATE($D59,Milestones!$AA$44)&gt;=$Z59),$AC59,IF(AND($Y59&lt;&gt;"",EDATE($D59,Milestones!$AA$44)&gt;=$Y59),$AB59,$AA59)))=Milestones!$AB$44),UPPER(TEXT(EDATE($D59,Milestones!$AA$44),"dd mmm yy"))&amp;" "&amp;Milestones!$AB$44&amp;" "&amp;IF(AND(Milestones!$AB$44="FT",Milestones!$AA$44=FT_Y5,EDATE($D59,Milestones!$AA$44)&lt;PolicyEff),1,Milestones!$AC$44)&amp;";  ","")&amp;IF(AND(EDATE($D59,Milestones!$AA$45)&lt;=AsOfDate,EDATE($D59,Milestones!$AA$45)&gt;=SchemeStart,IF($X59=0,$AD59,IF(AND($Z59&lt;&gt;"",EDATE($D59,Milestones!$AA$45)&gt;=$Z59),$AC59,IF(AND($Y59&lt;&gt;"",EDATE($D59,Milestones!$AA$45)&gt;=$Y59),$AB59,$AA59)))=Milestones!$AB$45),UPPER(TEXT(EDATE($D59,Milestones!$AA$45),"dd mmm yy"))&amp;" "&amp;Milestones!$AB$45&amp;" "&amp;IF(AND(Milestones!$AB$45="FT",Milestones!$AA$45=FT_Y5,EDATE($D59,Milestones!$AA$45)&lt;PolicyEff),1,Milestones!$AC$45)&amp;";  ","")&amp;IF(AND(EDATE($D59,Milestones!$AA$46)&lt;=AsOfDate,EDATE($D59,Milestones!$AA$46)&gt;=SchemeStart,IF($X59=0,$AD59,IF(AND($Z59&lt;&gt;"",EDATE($D59,Milestones!$AA$46)&gt;=$Z59),$AC59,IF(AND($Y59&lt;&gt;"",EDATE($D59,Milestones!$AA$46)&gt;=$Y59),$AB59,$AA59)))=Milestones!$AB$46),UPPER(TEXT(EDATE($D59,Milestones!$AA$46),"dd mmm yy"))&amp;" "&amp;Milestones!$AB$46&amp;" "&amp;IF(AND(Milestones!$AB$46="FT",Milestones!$AA$46=FT_Y5,EDATE($D59,Milestones!$AA$46)&lt;PolicyEff),1,Milestones!$AC$46)&amp;";  ","")&amp;IF(AND(EDATE($D59,Milestones!$AA$47)&lt;=AsOfDate,EDATE($D59,Milestones!$AA$47)&gt;=SchemeStart,IF($X59=0,$AD59,IF(AND($Z59&lt;&gt;"",EDATE($D59,Milestones!$AA$47)&gt;=$Z59),$AC59,IF(AND($Y59&lt;&gt;"",EDATE($D59,Milestones!$AA$47)&gt;=$Y59),$AB59,$AA59)))=Milestones!$AB$47),UPPER(TEXT(EDATE($D59,Milestones!$AA$47),"dd mmm yy"))&amp;" "&amp;Milestones!$AB$47&amp;" "&amp;IF(AND(Milestones!$AB$47="FT",Milestones!$AA$47=FT_Y5,EDATE($D59,Milestones!$AA$47)&lt;PolicyEff),1,Milestones!$AC$47)&amp;";  ","")&amp;IF(AND(EDATE($D59,Milestones!$AA$48)&lt;=AsOfDate,EDATE($D59,Milestones!$AA$48)&gt;=SchemeStart,IF($X59=0,$AD59,IF(AND($Z59&lt;&gt;"",EDATE($D59,Milestones!$AA$48)&gt;=$Z59),$AC59,IF(AND($Y59&lt;&gt;"",EDATE($D59,Milestones!$AA$48)&gt;=$Y59),$AB59,$AA59)))=Milestones!$AB$48),UPPER(TEXT(EDATE($D59,Milestones!$AA$48),"dd mmm yy"))&amp;" "&amp;Milestones!$AB$48&amp;" "&amp;IF(AND(Milestones!$AB$48="FT",Milestones!$AA$48=FT_Y5,EDATE($D59,Milestones!$AA$48)&lt;PolicyEff),1,Milestones!$AC$48)&amp;";  ","")&amp;IF(AND(EDATE($D59,Milestones!$AA$49)&lt;=AsOfDate,EDATE($D59,Milestones!$AA$49)&gt;=SchemeStart,IF($X59=0,$AD59,IF(AND($Z59&lt;&gt;"",EDATE($D59,Milestones!$AA$49)&gt;=$Z59),$AC59,IF(AND($Y59&lt;&gt;"",EDATE($D59,Milestones!$AA$49)&gt;=$Y59),$AB59,$AA59)))=Milestones!$AB$49),UPPER(TEXT(EDATE($D59,Milestones!$AA$49),"dd mmm yy"))&amp;" "&amp;Milestones!$AB$49&amp;" "&amp;IF(AND(Milestones!$AB$49="FT",Milestones!$AA$49=FT_Y5,EDATE($D59,Milestones!$AA$49)&lt;PolicyEff),1,Milestones!$AC$49)&amp;";  ","")&amp;IF(AND(EDATE($D59,Milestones!$AA$50)&lt;=AsOfDate,EDATE($D59,Milestones!$AA$50)&gt;=SchemeStart,IF($X59=0,$AD59,IF(AND($Z59&lt;&gt;"",EDATE($D59,Milestones!$AA$50)&gt;=$Z59),$AC59,IF(AND($Y59&lt;&gt;"",EDATE($D59,Milestones!$AA$50)&gt;=$Y59),$AB59,$AA59)))=Milestones!$AB$50),UPPER(TEXT(EDATE($D59,Milestones!$AA$50),"dd mmm yy"))&amp;" "&amp;Milestones!$AB$50&amp;" "&amp;IF(AND(Milestones!$AB$50="FT",Milestones!$AA$50=FT_Y5,EDATE($D59,Milestones!$AA$50)&lt;PolicyEff),1,Milestones!$AC$50)&amp;";  ","")&amp;IF(AND(EDATE($D59,Milestones!$AA$51)&lt;=AsOfDate,EDATE($D59,Milestones!$AA$51)&gt;=SchemeStart,IF($X59=0,$AD59,IF(AND($Z59&lt;&gt;"",EDATE($D59,Milestones!$AA$51)&gt;=$Z59),$AC59,IF(AND($Y59&lt;&gt;"",EDATE($D59,Milestones!$AA$51)&gt;=$Y59),$AB59,$AA59)))=Milestones!$AB$51),UPPER(TEXT(EDATE($D59,Milestones!$AA$51),"dd mmm yy"))&amp;" "&amp;Milestones!$AB$51&amp;" "&amp;IF(AND(Milestones!$AB$51="FT",Milestones!$AA$51=FT_Y5,EDATE($D59,Milestones!$AA$51)&lt;PolicyEff),1,Milestones!$AC$51)&amp;";  ","")&amp;IF(AND(EDATE($D59,Milestones!$AA$52)&lt;=AsOfDate,EDATE($D59,Milestones!$AA$52)&gt;=SchemeStart,IF($X59=0,$AD59,IF(AND($Z59&lt;&gt;"",EDATE($D59,Milestones!$AA$52)&gt;=$Z59),$AC59,IF(AND($Y59&lt;&gt;"",EDATE($D59,Milestones!$AA$52)&gt;=$Y59),$AB59,$AA59)))=Milestones!$AB$52),UPPER(TEXT(EDATE($D59,Milestones!$AA$52),"dd mmm yy"))&amp;" "&amp;Milestones!$AB$52&amp;" "&amp;IF(AND(Milestones!$AB$52="FT",Milestones!$AA$52=FT_Y5,EDATE($D59,Milestones!$AA$52)&lt;PolicyEff),1,Milestones!$AC$52)&amp;";  ","")&amp;IF(AND(EDATE($D59,Milestones!$AA$53)&lt;=AsOfDate,EDATE($D59,Milestones!$AA$53)&gt;=SchemeStart,IF($X59=0,$AD59,IF(AND($Z59&lt;&gt;"",EDATE($D59,Milestones!$AA$53)&gt;=$Z59),$AC59,IF(AND($Y59&lt;&gt;"",EDATE($D59,Milestones!$AA$53)&gt;=$Y59),$AB59,$AA59)))=Milestones!$AB$53),UPPER(TEXT(EDATE($D59,Milestones!$AA$53),"dd mmm yy"))&amp;" "&amp;Milestones!$AB$53&amp;" "&amp;IF(AND(Milestones!$AB$53="FT",Milestones!$AA$53=FT_Y5,EDATE($D59,Milestones!$AA$53)&lt;PolicyEff),1,Milestones!$AC$53)&amp;";  ","")&amp;IF(AND(EDATE($D59,Milestones!$AA$54)&lt;=AsOfDate,EDATE($D59,Milestones!$AA$54)&gt;=SchemeStart,IF($X59=0,$AD59,IF(AND($Z59&lt;&gt;"",EDATE($D59,Milestones!$AA$54)&gt;=$Z59),$AC59,IF(AND($Y59&lt;&gt;"",EDATE($D59,Milestones!$AA$54)&gt;=$Y59),$AB59,$AA59)))=Milestones!$AB$54),UPPER(TEXT(EDATE($D59,Milestones!$AA$54),"dd mmm yy"))&amp;" "&amp;Milestones!$AB$54&amp;" "&amp;IF(AND(Milestones!$AB$54="FT",Milestones!$AA$54=FT_Y5,EDATE($D59,Milestones!$AA$54)&lt;PolicyEff),1,Milestones!$AC$54)&amp;";  ","")&amp;IF(AND(EDATE($D59,Milestones!$AA$55)&lt;=AsOfDate,EDATE($D59,Milestones!$AA$55)&gt;=SchemeStart,IF($X59=0,$AD59,IF(AND($Z59&lt;&gt;"",EDATE($D59,Milestones!$AA$55)&gt;=$Z59),$AC59,IF(AND($Y59&lt;&gt;"",EDATE($D59,Milestones!$AA$55)&gt;=$Y59),$AB59,$AA59)))=Milestones!$AB$55),UPPER(TEXT(EDATE($D59,Milestones!$AA$55),"dd mmm yy"))&amp;" "&amp;Milestones!$AB$55&amp;" "&amp;IF(AND(Milestones!$AB$55="FT",Milestones!$AA$55=FT_Y5,EDATE($D59,Milestones!$AA$55)&lt;PolicyEff),1,Milestones!$AC$55)&amp;";  ",""))</f>
        <v/>
      </c>
      <c r="L59" s="0" t="str">
        <f aca="false">IF(OR($A59="",$D59=""),"",IF(AND(EDATE($D59,Milestones!$AA$56)&lt;=AsOfDate,EDATE($D59,Milestones!$AA$56)&gt;=SchemeStart,IF($X59=0,$AD59,IF(AND($Z59&lt;&gt;"",EDATE($D59,Milestones!$AA$56)&gt;=$Z59),$AC59,IF(AND($Y59&lt;&gt;"",EDATE($D59,Milestones!$AA$56)&gt;=$Y59),$AB59,$AA59)))=Milestones!$AB$56),UPPER(TEXT(EDATE($D59,Milestones!$AA$56),"dd mmm yy"))&amp;" "&amp;Milestones!$AB$56&amp;" "&amp;IF(AND(Milestones!$AB$56="FT",Milestones!$AA$56=FT_Y5,EDATE($D59,Milestones!$AA$56)&lt;PolicyEff),1,Milestones!$AC$56)&amp;";  ","")&amp;IF(AND(EDATE($D59,Milestones!$AA$57)&lt;=AsOfDate,EDATE($D59,Milestones!$AA$57)&gt;=SchemeStart,IF($X59=0,$AD59,IF(AND($Z59&lt;&gt;"",EDATE($D59,Milestones!$AA$57)&gt;=$Z59),$AC59,IF(AND($Y59&lt;&gt;"",EDATE($D59,Milestones!$AA$57)&gt;=$Y59),$AB59,$AA59)))=Milestones!$AB$57),UPPER(TEXT(EDATE($D59,Milestones!$AA$57),"dd mmm yy"))&amp;" "&amp;Milestones!$AB$57&amp;" "&amp;IF(AND(Milestones!$AB$57="FT",Milestones!$AA$57=FT_Y5,EDATE($D59,Milestones!$AA$57)&lt;PolicyEff),1,Milestones!$AC$57)&amp;";  ","")&amp;IF(AND(EDATE($D59,Milestones!$AA$58)&lt;=AsOfDate,EDATE($D59,Milestones!$AA$58)&gt;=SchemeStart,IF($X59=0,$AD59,IF(AND($Z59&lt;&gt;"",EDATE($D59,Milestones!$AA$58)&gt;=$Z59),$AC59,IF(AND($Y59&lt;&gt;"",EDATE($D59,Milestones!$AA$58)&gt;=$Y59),$AB59,$AA59)))=Milestones!$AB$58),UPPER(TEXT(EDATE($D59,Milestones!$AA$58),"dd mmm yy"))&amp;" "&amp;Milestones!$AB$58&amp;" "&amp;IF(AND(Milestones!$AB$58="FT",Milestones!$AA$58=FT_Y5,EDATE($D59,Milestones!$AA$58)&lt;PolicyEff),1,Milestones!$AC$58)&amp;";  ","")&amp;IF(AND(EDATE($D59,Milestones!$AA$59)&lt;=AsOfDate,EDATE($D59,Milestones!$AA$59)&gt;=SchemeStart,IF($X59=0,$AD59,IF(AND($Z59&lt;&gt;"",EDATE($D59,Milestones!$AA$59)&gt;=$Z59),$AC59,IF(AND($Y59&lt;&gt;"",EDATE($D59,Milestones!$AA$59)&gt;=$Y59),$AB59,$AA59)))=Milestones!$AB$59),UPPER(TEXT(EDATE($D59,Milestones!$AA$59),"dd mmm yy"))&amp;" "&amp;Milestones!$AB$59&amp;" "&amp;IF(AND(Milestones!$AB$59="FT",Milestones!$AA$59=FT_Y5,EDATE($D59,Milestones!$AA$59)&lt;PolicyEff),1,Milestones!$AC$59)&amp;";  ","")&amp;IF(AND(EDATE($D59,Milestones!$AA$60)&lt;=AsOfDate,EDATE($D59,Milestones!$AA$60)&gt;=SchemeStart,IF($X59=0,$AD59,IF(AND($Z59&lt;&gt;"",EDATE($D59,Milestones!$AA$60)&gt;=$Z59),$AC59,IF(AND($Y59&lt;&gt;"",EDATE($D59,Milestones!$AA$60)&gt;=$Y59),$AB59,$AA59)))=Milestones!$AB$60),UPPER(TEXT(EDATE($D59,Milestones!$AA$60),"dd mmm yy"))&amp;" "&amp;Milestones!$AB$60&amp;" "&amp;IF(AND(Milestones!$AB$60="FT",Milestones!$AA$60=FT_Y5,EDATE($D59,Milestones!$AA$60)&lt;PolicyEff),1,Milestones!$AC$60)&amp;";  ","")&amp;IF(AND(EDATE($D59,Milestones!$AA$61)&lt;=AsOfDate,EDATE($D59,Milestones!$AA$61)&gt;=SchemeStart,IF($X59=0,$AD59,IF(AND($Z59&lt;&gt;"",EDATE($D59,Milestones!$AA$61)&gt;=$Z59),$AC59,IF(AND($Y59&lt;&gt;"",EDATE($D59,Milestones!$AA$61)&gt;=$Y59),$AB59,$AA59)))=Milestones!$AB$61),UPPER(TEXT(EDATE($D59,Milestones!$AA$61),"dd mmm yy"))&amp;" "&amp;Milestones!$AB$61&amp;" "&amp;IF(AND(Milestones!$AB$61="FT",Milestones!$AA$61=FT_Y5,EDATE($D59,Milestones!$AA$61)&lt;PolicyEff),1,Milestones!$AC$61)&amp;";  ","")&amp;IF(AND(EDATE($D59,Milestones!$AA$62)&lt;=AsOfDate,EDATE($D59,Milestones!$AA$62)&gt;=SchemeStart,IF($X59=0,$AD59,IF(AND($Z59&lt;&gt;"",EDATE($D59,Milestones!$AA$62)&gt;=$Z59),$AC59,IF(AND($Y59&lt;&gt;"",EDATE($D59,Milestones!$AA$62)&gt;=$Y59),$AB59,$AA59)))=Milestones!$AB$62),UPPER(TEXT(EDATE($D59,Milestones!$AA$62),"dd mmm yy"))&amp;" "&amp;Milestones!$AB$62&amp;" "&amp;IF(AND(Milestones!$AB$62="FT",Milestones!$AA$62=FT_Y5,EDATE($D59,Milestones!$AA$62)&lt;PolicyEff),1,Milestones!$AC$62)&amp;";  ","")&amp;IF(AND(EDATE($D59,Milestones!$AA$63)&lt;=AsOfDate,EDATE($D59,Milestones!$AA$63)&gt;=SchemeStart,IF($X59=0,$AD59,IF(AND($Z59&lt;&gt;"",EDATE($D59,Milestones!$AA$63)&gt;=$Z59),$AC59,IF(AND($Y59&lt;&gt;"",EDATE($D59,Milestones!$AA$63)&gt;=$Y59),$AB59,$AA59)))=Milestones!$AB$63),UPPER(TEXT(EDATE($D59,Milestones!$AA$63),"dd mmm yy"))&amp;" "&amp;Milestones!$AB$63&amp;" "&amp;IF(AND(Milestones!$AB$63="FT",Milestones!$AA$63=FT_Y5,EDATE($D59,Milestones!$AA$63)&lt;PolicyEff),1,Milestones!$AC$63)&amp;";  ","")&amp;IF(AND(EDATE($D59,Milestones!$AA$64)&lt;=AsOfDate,EDATE($D59,Milestones!$AA$64)&gt;=SchemeStart,IF($X59=0,$AD59,IF(AND($Z59&lt;&gt;"",EDATE($D59,Milestones!$AA$64)&gt;=$Z59),$AC59,IF(AND($Y59&lt;&gt;"",EDATE($D59,Milestones!$AA$64)&gt;=$Y59),$AB59,$AA59)))=Milestones!$AB$64),UPPER(TEXT(EDATE($D59,Milestones!$AA$64),"dd mmm yy"))&amp;" "&amp;Milestones!$AB$64&amp;" "&amp;IF(AND(Milestones!$AB$64="FT",Milestones!$AA$64=FT_Y5,EDATE($D59,Milestones!$AA$64)&lt;PolicyEff),1,Milestones!$AC$64)&amp;";  ","")&amp;IF(AND(EDATE($D59,Milestones!$AA$65)&lt;=AsOfDate,EDATE($D59,Milestones!$AA$65)&gt;=SchemeStart,IF($X59=0,$AD59,IF(AND($Z59&lt;&gt;"",EDATE($D59,Milestones!$AA$65)&gt;=$Z59),$AC59,IF(AND($Y59&lt;&gt;"",EDATE($D59,Milestones!$AA$65)&gt;=$Y59),$AB59,$AA59)))=Milestones!$AB$65),UPPER(TEXT(EDATE($D59,Milestones!$AA$65),"dd mmm yy"))&amp;" "&amp;Milestones!$AB$65&amp;" "&amp;IF(AND(Milestones!$AB$65="FT",Milestones!$AA$65=FT_Y5,EDATE($D59,Milestones!$AA$65)&lt;PolicyEff),1,Milestones!$AC$65)&amp;";  ","")&amp;IF(AND(EDATE($D59,Milestones!$AA$66)&lt;=AsOfDate,EDATE($D59,Milestones!$AA$66)&gt;=SchemeStart,IF($X59=0,$AD59,IF(AND($Z59&lt;&gt;"",EDATE($D59,Milestones!$AA$66)&gt;=$Z59),$AC59,IF(AND($Y59&lt;&gt;"",EDATE($D59,Milestones!$AA$66)&gt;=$Y59),$AB59,$AA59)))=Milestones!$AB$66),UPPER(TEXT(EDATE($D59,Milestones!$AA$66),"dd mmm yy"))&amp;" "&amp;Milestones!$AB$66&amp;" "&amp;IF(AND(Milestones!$AB$66="FT",Milestones!$AA$66=FT_Y5,EDATE($D59,Milestones!$AA$66)&lt;PolicyEff),1,Milestones!$AC$66)&amp;";  ","")&amp;IF(AND(EDATE($D59,Milestones!$AA$67)&lt;=AsOfDate,EDATE($D59,Milestones!$AA$67)&gt;=SchemeStart,IF($X59=0,$AD59,IF(AND($Z59&lt;&gt;"",EDATE($D59,Milestones!$AA$67)&gt;=$Z59),$AC59,IF(AND($Y59&lt;&gt;"",EDATE($D59,Milestones!$AA$67)&gt;=$Y59),$AB59,$AA59)))=Milestones!$AB$67),UPPER(TEXT(EDATE($D59,Milestones!$AA$67),"dd mmm yy"))&amp;" "&amp;Milestones!$AB$67&amp;" "&amp;IF(AND(Milestones!$AB$67="FT",Milestones!$AA$67=FT_Y5,EDATE($D59,Milestones!$AA$67)&lt;PolicyEff),1,Milestones!$AC$67)&amp;";  ",""))</f>
        <v/>
      </c>
      <c r="M59" s="0" t="str">
        <f aca="false">IF(OR($A59="",$D59=""),"",IF(AND(EDATE($D59,Milestones!$AA$68)&lt;=AsOfDate,EDATE($D59,Milestones!$AA$68)&gt;=SchemeStart,IF($X59=0,$AD59,IF(AND($Z59&lt;&gt;"",EDATE($D59,Milestones!$AA$68)&gt;=$Z59),$AC59,IF(AND($Y59&lt;&gt;"",EDATE($D59,Milestones!$AA$68)&gt;=$Y59),$AB59,$AA59)))=Milestones!$AB$68),UPPER(TEXT(EDATE($D59,Milestones!$AA$68),"dd mmm yy"))&amp;" "&amp;Milestones!$AB$68&amp;" "&amp;IF(AND(Milestones!$AB$68="FT",Milestones!$AA$68=FT_Y5,EDATE($D59,Milestones!$AA$68)&lt;PolicyEff),1,Milestones!$AC$68)&amp;";  ","")&amp;IF(AND(EDATE($D59,Milestones!$AA$69)&lt;=AsOfDate,EDATE($D59,Milestones!$AA$69)&gt;=SchemeStart,IF($X59=0,$AD59,IF(AND($Z59&lt;&gt;"",EDATE($D59,Milestones!$AA$69)&gt;=$Z59),$AC59,IF(AND($Y59&lt;&gt;"",EDATE($D59,Milestones!$AA$69)&gt;=$Y59),$AB59,$AA59)))=Milestones!$AB$69),UPPER(TEXT(EDATE($D59,Milestones!$AA$69),"dd mmm yy"))&amp;" "&amp;Milestones!$AB$69&amp;" "&amp;IF(AND(Milestones!$AB$69="FT",Milestones!$AA$69=FT_Y5,EDATE($D59,Milestones!$AA$69)&lt;PolicyEff),1,Milestones!$AC$69)&amp;";  ","")&amp;IF(AND(EDATE($D59,Milestones!$AA$70)&lt;=AsOfDate,EDATE($D59,Milestones!$AA$70)&gt;=SchemeStart,IF($X59=0,$AD59,IF(AND($Z59&lt;&gt;"",EDATE($D59,Milestones!$AA$70)&gt;=$Z59),$AC59,IF(AND($Y59&lt;&gt;"",EDATE($D59,Milestones!$AA$70)&gt;=$Y59),$AB59,$AA59)))=Milestones!$AB$70),UPPER(TEXT(EDATE($D59,Milestones!$AA$70),"dd mmm yy"))&amp;" "&amp;Milestones!$AB$70&amp;" "&amp;IF(AND(Milestones!$AB$70="FT",Milestones!$AA$70=FT_Y5,EDATE($D59,Milestones!$AA$70)&lt;PolicyEff),1,Milestones!$AC$70)&amp;";  ","")&amp;IF(AND(EDATE($D59,Milestones!$AA$71)&lt;=AsOfDate,EDATE($D59,Milestones!$AA$71)&gt;=SchemeStart,IF($X59=0,$AD59,IF(AND($Z59&lt;&gt;"",EDATE($D59,Milestones!$AA$71)&gt;=$Z59),$AC59,IF(AND($Y59&lt;&gt;"",EDATE($D59,Milestones!$AA$71)&gt;=$Y59),$AB59,$AA59)))=Milestones!$AB$71),UPPER(TEXT(EDATE($D59,Milestones!$AA$71),"dd mmm yy"))&amp;" "&amp;Milestones!$AB$71&amp;" "&amp;IF(AND(Milestones!$AB$71="FT",Milestones!$AA$71=FT_Y5,EDATE($D59,Milestones!$AA$71)&lt;PolicyEff),1,Milestones!$AC$71)&amp;";  ","")&amp;IF(AND(EDATE($D59,Milestones!$AA$72)&lt;=AsOfDate,EDATE($D59,Milestones!$AA$72)&gt;=SchemeStart,IF($X59=0,$AD59,IF(AND($Z59&lt;&gt;"",EDATE($D59,Milestones!$AA$72)&gt;=$Z59),$AC59,IF(AND($Y59&lt;&gt;"",EDATE($D59,Milestones!$AA$72)&gt;=$Y59),$AB59,$AA59)))=Milestones!$AB$72),UPPER(TEXT(EDATE($D59,Milestones!$AA$72),"dd mmm yy"))&amp;" "&amp;Milestones!$AB$72&amp;" "&amp;IF(AND(Milestones!$AB$72="FT",Milestones!$AA$72=FT_Y5,EDATE($D59,Milestones!$AA$72)&lt;PolicyEff),1,Milestones!$AC$72)&amp;";  ","")&amp;IF(AND(EDATE($D59,Milestones!$AA$73)&lt;=AsOfDate,EDATE($D59,Milestones!$AA$73)&gt;=SchemeStart,IF($X59=0,$AD59,IF(AND($Z59&lt;&gt;"",EDATE($D59,Milestones!$AA$73)&gt;=$Z59),$AC59,IF(AND($Y59&lt;&gt;"",EDATE($D59,Milestones!$AA$73)&gt;=$Y59),$AB59,$AA59)))=Milestones!$AB$73),UPPER(TEXT(EDATE($D59,Milestones!$AA$73),"dd mmm yy"))&amp;" "&amp;Milestones!$AB$73&amp;" "&amp;IF(AND(Milestones!$AB$73="FT",Milestones!$AA$73=FT_Y5,EDATE($D59,Milestones!$AA$73)&lt;PolicyEff),1,Milestones!$AC$73)&amp;";  ","")&amp;IF(AND(EDATE($D59,Milestones!$AA$74)&lt;=AsOfDate,EDATE($D59,Milestones!$AA$74)&gt;=SchemeStart,IF($X59=0,$AD59,IF(AND($Z59&lt;&gt;"",EDATE($D59,Milestones!$AA$74)&gt;=$Z59),$AC59,IF(AND($Y59&lt;&gt;"",EDATE($D59,Milestones!$AA$74)&gt;=$Y59),$AB59,$AA59)))=Milestones!$AB$74),UPPER(TEXT(EDATE($D59,Milestones!$AA$74),"dd mmm yy"))&amp;" "&amp;Milestones!$AB$74&amp;" "&amp;IF(AND(Milestones!$AB$74="FT",Milestones!$AA$74=FT_Y5,EDATE($D59,Milestones!$AA$74)&lt;PolicyEff),1,Milestones!$AC$74)&amp;";  ","")&amp;IF(AND(EDATE($D59,Milestones!$AA$75)&lt;=AsOfDate,EDATE($D59,Milestones!$AA$75)&gt;=SchemeStart,IF($X59=0,$AD59,IF(AND($Z59&lt;&gt;"",EDATE($D59,Milestones!$AA$75)&gt;=$Z59),$AC59,IF(AND($Y59&lt;&gt;"",EDATE($D59,Milestones!$AA$75)&gt;=$Y59),$AB59,$AA59)))=Milestones!$AB$75),UPPER(TEXT(EDATE($D59,Milestones!$AA$75),"dd mmm yy"))&amp;" "&amp;Milestones!$AB$75&amp;" "&amp;IF(AND(Milestones!$AB$75="FT",Milestones!$AA$75=FT_Y5,EDATE($D59,Milestones!$AA$75)&lt;PolicyEff),1,Milestones!$AC$75)&amp;";  ","")&amp;IF(AND(EDATE($D59,Milestones!$AA$76)&lt;=AsOfDate,EDATE($D59,Milestones!$AA$76)&gt;=SchemeStart,IF($X59=0,$AD59,IF(AND($Z59&lt;&gt;"",EDATE($D59,Milestones!$AA$76)&gt;=$Z59),$AC59,IF(AND($Y59&lt;&gt;"",EDATE($D59,Milestones!$AA$76)&gt;=$Y59),$AB59,$AA59)))=Milestones!$AB$76),UPPER(TEXT(EDATE($D59,Milestones!$AA$76),"dd mmm yy"))&amp;" "&amp;Milestones!$AB$76&amp;" "&amp;IF(AND(Milestones!$AB$76="FT",Milestones!$AA$76=FT_Y5,EDATE($D59,Milestones!$AA$76)&lt;PolicyEff),1,Milestones!$AC$76)&amp;";  ","")&amp;IF(AND(EDATE($D59,Milestones!$AA$77)&lt;=AsOfDate,EDATE($D59,Milestones!$AA$77)&gt;=SchemeStart,IF($X59=0,$AD59,IF(AND($Z59&lt;&gt;"",EDATE($D59,Milestones!$AA$77)&gt;=$Z59),$AC59,IF(AND($Y59&lt;&gt;"",EDATE($D59,Milestones!$AA$77)&gt;=$Y59),$AB59,$AA59)))=Milestones!$AB$77),UPPER(TEXT(EDATE($D59,Milestones!$AA$77),"dd mmm yy"))&amp;" "&amp;Milestones!$AB$77&amp;" "&amp;IF(AND(Milestones!$AB$77="FT",Milestones!$AA$77=FT_Y5,EDATE($D59,Milestones!$AA$77)&lt;PolicyEff),1,Milestones!$AC$77)&amp;";  ","")&amp;IF(AND(EDATE($D59,Milestones!$AA$78)&lt;=AsOfDate,EDATE($D59,Milestones!$AA$78)&gt;=SchemeStart,IF($X59=0,$AD59,IF(AND($Z59&lt;&gt;"",EDATE($D59,Milestones!$AA$78)&gt;=$Z59),$AC59,IF(AND($Y59&lt;&gt;"",EDATE($D59,Milestones!$AA$78)&gt;=$Y59),$AB59,$AA59)))=Milestones!$AB$78),UPPER(TEXT(EDATE($D59,Milestones!$AA$78),"dd mmm yy"))&amp;" "&amp;Milestones!$AB$78&amp;" "&amp;IF(AND(Milestones!$AB$78="FT",Milestones!$AA$78=FT_Y5,EDATE($D59,Milestones!$AA$78)&lt;PolicyEff),1,Milestones!$AC$78)&amp;";  ","")&amp;IF(AND(EDATE($D59,Milestones!$AA$79)&lt;=AsOfDate,EDATE($D59,Milestones!$AA$79)&gt;=SchemeStart,IF($X59=0,$AD59,IF(AND($Z59&lt;&gt;"",EDATE($D59,Milestones!$AA$79)&gt;=$Z59),$AC59,IF(AND($Y59&lt;&gt;"",EDATE($D59,Milestones!$AA$79)&gt;=$Y59),$AB59,$AA59)))=Milestones!$AB$79),UPPER(TEXT(EDATE($D59,Milestones!$AA$79),"dd mmm yy"))&amp;" "&amp;Milestones!$AB$79&amp;" "&amp;IF(AND(Milestones!$AB$79="FT",Milestones!$AA$79=FT_Y5,EDATE($D59,Milestones!$AA$79)&lt;PolicyEff),1,Milestones!$AC$79)&amp;";  ",""))</f>
        <v/>
      </c>
      <c r="N59" s="0" t="str">
        <f aca="false">IF(OR($A59="",$D59=""),"",IF(AND(EDATE($D59,Milestones!$AA$80)&lt;=AsOfDate,EDATE($D59,Milestones!$AA$80)&gt;=SchemeStart,IF($X59=0,$AD59,IF(AND($Z59&lt;&gt;"",EDATE($D59,Milestones!$AA$80)&gt;=$Z59),$AC59,IF(AND($Y59&lt;&gt;"",EDATE($D59,Milestones!$AA$80)&gt;=$Y59),$AB59,$AA59)))=Milestones!$AB$80),UPPER(TEXT(EDATE($D59,Milestones!$AA$80),"dd mmm yy"))&amp;" "&amp;Milestones!$AB$80&amp;" "&amp;IF(AND(Milestones!$AB$80="FT",Milestones!$AA$80=FT_Y5,EDATE($D59,Milestones!$AA$80)&lt;PolicyEff),1,Milestones!$AC$80)&amp;";  ","")&amp;IF(AND(EDATE($D59,Milestones!$AA$81)&lt;=AsOfDate,EDATE($D59,Milestones!$AA$81)&gt;=SchemeStart,IF($X59=0,$AD59,IF(AND($Z59&lt;&gt;"",EDATE($D59,Milestones!$AA$81)&gt;=$Z59),$AC59,IF(AND($Y59&lt;&gt;"",EDATE($D59,Milestones!$AA$81)&gt;=$Y59),$AB59,$AA59)))=Milestones!$AB$81),UPPER(TEXT(EDATE($D59,Milestones!$AA$81),"dd mmm yy"))&amp;" "&amp;Milestones!$AB$81&amp;" "&amp;IF(AND(Milestones!$AB$81="FT",Milestones!$AA$81=FT_Y5,EDATE($D59,Milestones!$AA$81)&lt;PolicyEff),1,Milestones!$AC$81)&amp;";  ","")&amp;IF(AND(EDATE($D59,Milestones!$AA$82)&lt;=AsOfDate,EDATE($D59,Milestones!$AA$82)&gt;=SchemeStart,IF($X59=0,$AD59,IF(AND($Z59&lt;&gt;"",EDATE($D59,Milestones!$AA$82)&gt;=$Z59),$AC59,IF(AND($Y59&lt;&gt;"",EDATE($D59,Milestones!$AA$82)&gt;=$Y59),$AB59,$AA59)))=Milestones!$AB$82),UPPER(TEXT(EDATE($D59,Milestones!$AA$82),"dd mmm yy"))&amp;" "&amp;Milestones!$AB$82&amp;" "&amp;IF(AND(Milestones!$AB$82="FT",Milestones!$AA$82=FT_Y5,EDATE($D59,Milestones!$AA$82)&lt;PolicyEff),1,Milestones!$AC$82)&amp;";  ","")&amp;IF(AND(EDATE($D59,Milestones!$AA$83)&lt;=AsOfDate,EDATE($D59,Milestones!$AA$83)&gt;=SchemeStart,IF($X59=0,$AD59,IF(AND($Z59&lt;&gt;"",EDATE($D59,Milestones!$AA$83)&gt;=$Z59),$AC59,IF(AND($Y59&lt;&gt;"",EDATE($D59,Milestones!$AA$83)&gt;=$Y59),$AB59,$AA59)))=Milestones!$AB$83),UPPER(TEXT(EDATE($D59,Milestones!$AA$83),"dd mmm yy"))&amp;" "&amp;Milestones!$AB$83&amp;" "&amp;IF(AND(Milestones!$AB$83="FT",Milestones!$AA$83=FT_Y5,EDATE($D59,Milestones!$AA$83)&lt;PolicyEff),1,Milestones!$AC$83)&amp;";  ","")&amp;IF(AND(EDATE($D59,Milestones!$AA$84)&lt;=AsOfDate,EDATE($D59,Milestones!$AA$84)&gt;=SchemeStart,IF($X59=0,$AD59,IF(AND($Z59&lt;&gt;"",EDATE($D59,Milestones!$AA$84)&gt;=$Z59),$AC59,IF(AND($Y59&lt;&gt;"",EDATE($D59,Milestones!$AA$84)&gt;=$Y59),$AB59,$AA59)))=Milestones!$AB$84),UPPER(TEXT(EDATE($D59,Milestones!$AA$84),"dd mmm yy"))&amp;" "&amp;Milestones!$AB$84&amp;" "&amp;IF(AND(Milestones!$AB$84="FT",Milestones!$AA$84=FT_Y5,EDATE($D59,Milestones!$AA$84)&lt;PolicyEff),1,Milestones!$AC$84)&amp;";  ","")&amp;IF(AND(EDATE($D59,Milestones!$AA$85)&lt;=AsOfDate,EDATE($D59,Milestones!$AA$85)&gt;=SchemeStart,IF($X59=0,$AD59,IF(AND($Z59&lt;&gt;"",EDATE($D59,Milestones!$AA$85)&gt;=$Z59),$AC59,IF(AND($Y59&lt;&gt;"",EDATE($D59,Milestones!$AA$85)&gt;=$Y59),$AB59,$AA59)))=Milestones!$AB$85),UPPER(TEXT(EDATE($D59,Milestones!$AA$85),"dd mmm yy"))&amp;" "&amp;Milestones!$AB$85&amp;" "&amp;IF(AND(Milestones!$AB$85="FT",Milestones!$AA$85=FT_Y5,EDATE($D59,Milestones!$AA$85)&lt;PolicyEff),1,Milestones!$AC$85)&amp;";  ","")&amp;IF(AND(EDATE($D59,Milestones!$AA$86)&lt;=AsOfDate,EDATE($D59,Milestones!$AA$86)&gt;=SchemeStart,IF($X59=0,$AD59,IF(AND($Z59&lt;&gt;"",EDATE($D59,Milestones!$AA$86)&gt;=$Z59),$AC59,IF(AND($Y59&lt;&gt;"",EDATE($D59,Milestones!$AA$86)&gt;=$Y59),$AB59,$AA59)))=Milestones!$AB$86),UPPER(TEXT(EDATE($D59,Milestones!$AA$86),"dd mmm yy"))&amp;" "&amp;Milestones!$AB$86&amp;" "&amp;IF(AND(Milestones!$AB$86="FT",Milestones!$AA$86=FT_Y5,EDATE($D59,Milestones!$AA$86)&lt;PolicyEff),1,Milestones!$AC$86)&amp;";  ","")&amp;IF(AND(EDATE($D59,Milestones!$AA$87)&lt;=AsOfDate,EDATE($D59,Milestones!$AA$87)&gt;=SchemeStart,IF($X59=0,$AD59,IF(AND($Z59&lt;&gt;"",EDATE($D59,Milestones!$AA$87)&gt;=$Z59),$AC59,IF(AND($Y59&lt;&gt;"",EDATE($D59,Milestones!$AA$87)&gt;=$Y59),$AB59,$AA59)))=Milestones!$AB$87),UPPER(TEXT(EDATE($D59,Milestones!$AA$87),"dd mmm yy"))&amp;" "&amp;Milestones!$AB$87&amp;" "&amp;IF(AND(Milestones!$AB$87="FT",Milestones!$AA$87=FT_Y5,EDATE($D59,Milestones!$AA$87)&lt;PolicyEff),1,Milestones!$AC$87)&amp;";  ","")&amp;IF(AND(EDATE($D59,Milestones!$AA$88)&lt;=AsOfDate,EDATE($D59,Milestones!$AA$88)&gt;=SchemeStart,IF($X59=0,$AD59,IF(AND($Z59&lt;&gt;"",EDATE($D59,Milestones!$AA$88)&gt;=$Z59),$AC59,IF(AND($Y59&lt;&gt;"",EDATE($D59,Milestones!$AA$88)&gt;=$Y59),$AB59,$AA59)))=Milestones!$AB$88),UPPER(TEXT(EDATE($D59,Milestones!$AA$88),"dd mmm yy"))&amp;" "&amp;Milestones!$AB$88&amp;" "&amp;IF(AND(Milestones!$AB$88="FT",Milestones!$AA$88=FT_Y5,EDATE($D59,Milestones!$AA$88)&lt;PolicyEff),1,Milestones!$AC$88)&amp;";  ","")&amp;IF(AND(EDATE($D59,Milestones!$AA$89)&lt;=AsOfDate,EDATE($D59,Milestones!$AA$89)&gt;=SchemeStart,IF($X59=0,$AD59,IF(AND($Z59&lt;&gt;"",EDATE($D59,Milestones!$AA$89)&gt;=$Z59),$AC59,IF(AND($Y59&lt;&gt;"",EDATE($D59,Milestones!$AA$89)&gt;=$Y59),$AB59,$AA59)))=Milestones!$AB$89),UPPER(TEXT(EDATE($D59,Milestones!$AA$89),"dd mmm yy"))&amp;" "&amp;Milestones!$AB$89&amp;" "&amp;IF(AND(Milestones!$AB$89="FT",Milestones!$AA$89=FT_Y5,EDATE($D59,Milestones!$AA$89)&lt;PolicyEff),1,Milestones!$AC$89)&amp;";  ","")&amp;IF(AND(EDATE($D59,Milestones!$AA$90)&lt;=AsOfDate,EDATE($D59,Milestones!$AA$90)&gt;=SchemeStart,IF($X59=0,$AD59,IF(AND($Z59&lt;&gt;"",EDATE($D59,Milestones!$AA$90)&gt;=$Z59),$AC59,IF(AND($Y59&lt;&gt;"",EDATE($D59,Milestones!$AA$90)&gt;=$Y59),$AB59,$AA59)))=Milestones!$AB$90),UPPER(TEXT(EDATE($D59,Milestones!$AA$90),"dd mmm yy"))&amp;" "&amp;Milestones!$AB$90&amp;" "&amp;IF(AND(Milestones!$AB$90="FT",Milestones!$AA$90=FT_Y5,EDATE($D59,Milestones!$AA$90)&lt;PolicyEff),1,Milestones!$AC$90)&amp;";  ","")&amp;IF(AND(EDATE($D59,Milestones!$AA$91)&lt;=AsOfDate,EDATE($D59,Milestones!$AA$91)&gt;=SchemeStart,IF($X59=0,$AD59,IF(AND($Z59&lt;&gt;"",EDATE($D59,Milestones!$AA$91)&gt;=$Z59),$AC59,IF(AND($Y59&lt;&gt;"",EDATE($D59,Milestones!$AA$91)&gt;=$Y59),$AB59,$AA59)))=Milestones!$AB$91),UPPER(TEXT(EDATE($D59,Milestones!$AA$91),"dd mmm yy"))&amp;" "&amp;Milestones!$AB$91&amp;" "&amp;IF(AND(Milestones!$AB$91="FT",Milestones!$AA$91=FT_Y5,EDATE($D59,Milestones!$AA$91)&lt;PolicyEff),1,Milestones!$AC$91)&amp;";  ",""))</f>
        <v/>
      </c>
      <c r="O59" s="0" t="str">
        <f aca="false">IF(OR($A59="",$D59=""),"",IF(AND(EDATE($D59,Milestones!$AA$92)&lt;=AsOfDate,EDATE($D59,Milestones!$AA$92)&gt;=SchemeStart,IF($X59=0,$AD59,IF(AND($Z59&lt;&gt;"",EDATE($D59,Milestones!$AA$92)&gt;=$Z59),$AC59,IF(AND($Y59&lt;&gt;"",EDATE($D59,Milestones!$AA$92)&gt;=$Y59),$AB59,$AA59)))=Milestones!$AB$92),UPPER(TEXT(EDATE($D59,Milestones!$AA$92),"dd mmm yy"))&amp;" "&amp;Milestones!$AB$92&amp;" "&amp;IF(AND(Milestones!$AB$92="FT",Milestones!$AA$92=FT_Y5,EDATE($D59,Milestones!$AA$92)&lt;PolicyEff),1,Milestones!$AC$92)&amp;";  ","")&amp;IF(AND(EDATE($D59,Milestones!$AA$93)&lt;=AsOfDate,EDATE($D59,Milestones!$AA$93)&gt;=SchemeStart,IF($X59=0,$AD59,IF(AND($Z59&lt;&gt;"",EDATE($D59,Milestones!$AA$93)&gt;=$Z59),$AC59,IF(AND($Y59&lt;&gt;"",EDATE($D59,Milestones!$AA$93)&gt;=$Y59),$AB59,$AA59)))=Milestones!$AB$93),UPPER(TEXT(EDATE($D59,Milestones!$AA$93),"dd mmm yy"))&amp;" "&amp;Milestones!$AB$93&amp;" "&amp;IF(AND(Milestones!$AB$93="FT",Milestones!$AA$93=FT_Y5,EDATE($D59,Milestones!$AA$93)&lt;PolicyEff),1,Milestones!$AC$93)&amp;";  ","")&amp;IF(AND(EDATE($D59,Milestones!$AA$94)&lt;=AsOfDate,EDATE($D59,Milestones!$AA$94)&gt;=SchemeStart,IF($X59=0,$AD59,IF(AND($Z59&lt;&gt;"",EDATE($D59,Milestones!$AA$94)&gt;=$Z59),$AC59,IF(AND($Y59&lt;&gt;"",EDATE($D59,Milestones!$AA$94)&gt;=$Y59),$AB59,$AA59)))=Milestones!$AB$94),UPPER(TEXT(EDATE($D59,Milestones!$AA$94),"dd mmm yy"))&amp;" "&amp;Milestones!$AB$94&amp;" "&amp;IF(AND(Milestones!$AB$94="FT",Milestones!$AA$94=FT_Y5,EDATE($D59,Milestones!$AA$94)&lt;PolicyEff),1,Milestones!$AC$94)&amp;";  ","")&amp;IF(AND(EDATE($D59,Milestones!$AA$95)&lt;=AsOfDate,EDATE($D59,Milestones!$AA$95)&gt;=SchemeStart,IF($X59=0,$AD59,IF(AND($Z59&lt;&gt;"",EDATE($D59,Milestones!$AA$95)&gt;=$Z59),$AC59,IF(AND($Y59&lt;&gt;"",EDATE($D59,Milestones!$AA$95)&gt;=$Y59),$AB59,$AA59)))=Milestones!$AB$95),UPPER(TEXT(EDATE($D59,Milestones!$AA$95),"dd mmm yy"))&amp;" "&amp;Milestones!$AB$95&amp;" "&amp;IF(AND(Milestones!$AB$95="FT",Milestones!$AA$95=FT_Y5,EDATE($D59,Milestones!$AA$95)&lt;PolicyEff),1,Milestones!$AC$95)&amp;";  ","")&amp;IF(AND(EDATE($D59,Milestones!$AA$96)&lt;=AsOfDate,EDATE($D59,Milestones!$AA$96)&gt;=SchemeStart,IF($X59=0,$AD59,IF(AND($Z59&lt;&gt;"",EDATE($D59,Milestones!$AA$96)&gt;=$Z59),$AC59,IF(AND($Y59&lt;&gt;"",EDATE($D59,Milestones!$AA$96)&gt;=$Y59),$AB59,$AA59)))=Milestones!$AB$96),UPPER(TEXT(EDATE($D59,Milestones!$AA$96),"dd mmm yy"))&amp;" "&amp;Milestones!$AB$96&amp;" "&amp;IF(AND(Milestones!$AB$96="FT",Milestones!$AA$96=FT_Y5,EDATE($D59,Milestones!$AA$96)&lt;PolicyEff),1,Milestones!$AC$96)&amp;";  ","")&amp;IF(AND(EDATE($D59,Milestones!$AA$97)&lt;=AsOfDate,EDATE($D59,Milestones!$AA$97)&gt;=SchemeStart,IF($X59=0,$AD59,IF(AND($Z59&lt;&gt;"",EDATE($D59,Milestones!$AA$97)&gt;=$Z59),$AC59,IF(AND($Y59&lt;&gt;"",EDATE($D59,Milestones!$AA$97)&gt;=$Y59),$AB59,$AA59)))=Milestones!$AB$97),UPPER(TEXT(EDATE($D59,Milestones!$AA$97),"dd mmm yy"))&amp;" "&amp;Milestones!$AB$97&amp;" "&amp;IF(AND(Milestones!$AB$97="FT",Milestones!$AA$97=FT_Y5,EDATE($D59,Milestones!$AA$97)&lt;PolicyEff),1,Milestones!$AC$97)&amp;";  ","")&amp;IF(AND(EDATE($D59,Milestones!$AA$98)&lt;=AsOfDate,EDATE($D59,Milestones!$AA$98)&gt;=SchemeStart,IF($X59=0,$AD59,IF(AND($Z59&lt;&gt;"",EDATE($D59,Milestones!$AA$98)&gt;=$Z59),$AC59,IF(AND($Y59&lt;&gt;"",EDATE($D59,Milestones!$AA$98)&gt;=$Y59),$AB59,$AA59)))=Milestones!$AB$98),UPPER(TEXT(EDATE($D59,Milestones!$AA$98),"dd mmm yy"))&amp;" "&amp;Milestones!$AB$98&amp;" "&amp;IF(AND(Milestones!$AB$98="FT",Milestones!$AA$98=FT_Y5,EDATE($D59,Milestones!$AA$98)&lt;PolicyEff),1,Milestones!$AC$98)&amp;";  ","")&amp;IF(AND(EDATE($D59,Milestones!$AA$99)&lt;=AsOfDate,EDATE($D59,Milestones!$AA$99)&gt;=SchemeStart,IF($X59=0,$AD59,IF(AND($Z59&lt;&gt;"",EDATE($D59,Milestones!$AA$99)&gt;=$Z59),$AC59,IF(AND($Y59&lt;&gt;"",EDATE($D59,Milestones!$AA$99)&gt;=$Y59),$AB59,$AA59)))=Milestones!$AB$99),UPPER(TEXT(EDATE($D59,Milestones!$AA$99),"dd mmm yy"))&amp;" "&amp;Milestones!$AB$99&amp;" "&amp;IF(AND(Milestones!$AB$99="FT",Milestones!$AA$99=FT_Y5,EDATE($D59,Milestones!$AA$99)&lt;PolicyEff),1,Milestones!$AC$99)&amp;";  ","")&amp;IF(AND(EDATE($D59,Milestones!$AA$100)&lt;=AsOfDate,EDATE($D59,Milestones!$AA$100)&gt;=SchemeStart,IF($X59=0,$AD59,IF(AND($Z59&lt;&gt;"",EDATE($D59,Milestones!$AA$100)&gt;=$Z59),$AC59,IF(AND($Y59&lt;&gt;"",EDATE($D59,Milestones!$AA$100)&gt;=$Y59),$AB59,$AA59)))=Milestones!$AB$100),UPPER(TEXT(EDATE($D59,Milestones!$AA$100),"dd mmm yy"))&amp;" "&amp;Milestones!$AB$100&amp;" "&amp;IF(AND(Milestones!$AB$100="FT",Milestones!$AA$100=FT_Y5,EDATE($D59,Milestones!$AA$100)&lt;PolicyEff),1,Milestones!$AC$100)&amp;";  ","")&amp;IF(AND(EDATE($D59,Milestones!$AA$101)&lt;=AsOfDate,EDATE($D59,Milestones!$AA$101)&gt;=SchemeStart,IF($X59=0,$AD59,IF(AND($Z59&lt;&gt;"",EDATE($D59,Milestones!$AA$101)&gt;=$Z59),$AC59,IF(AND($Y59&lt;&gt;"",EDATE($D59,Milestones!$AA$101)&gt;=$Y59),$AB59,$AA59)))=Milestones!$AB$101),UPPER(TEXT(EDATE($D59,Milestones!$AA$101),"dd mmm yy"))&amp;" "&amp;Milestones!$AB$101&amp;" "&amp;IF(AND(Milestones!$AB$101="FT",Milestones!$AA$101=FT_Y5,EDATE($D59,Milestones!$AA$101)&lt;PolicyEff),1,Milestones!$AC$101)&amp;";  ","")&amp;IF(AND(EDATE($D59,Milestones!$AA$102)&lt;=AsOfDate,EDATE($D59,Milestones!$AA$102)&gt;=SchemeStart,IF($X59=0,$AD59,IF(AND($Z59&lt;&gt;"",EDATE($D59,Milestones!$AA$102)&gt;=$Z59),$AC59,IF(AND($Y59&lt;&gt;"",EDATE($D59,Milestones!$AA$102)&gt;=$Y59),$AB59,$AA59)))=Milestones!$AB$102),UPPER(TEXT(EDATE($D59,Milestones!$AA$102),"dd mmm yy"))&amp;" "&amp;Milestones!$AB$102&amp;" "&amp;IF(AND(Milestones!$AB$102="FT",Milestones!$AA$102=FT_Y5,EDATE($D59,Milestones!$AA$102)&lt;PolicyEff),1,Milestones!$AC$102)&amp;";  ","")&amp;IF(AND(EDATE($D59,Milestones!$AA$103)&lt;=AsOfDate,EDATE($D59,Milestones!$AA$103)&gt;=SchemeStart,IF($X59=0,$AD59,IF(AND($Z59&lt;&gt;"",EDATE($D59,Milestones!$AA$103)&gt;=$Z59),$AC59,IF(AND($Y59&lt;&gt;"",EDATE($D59,Milestones!$AA$103)&gt;=$Y59),$AB59,$AA59)))=Milestones!$AB$103),UPPER(TEXT(EDATE($D59,Milestones!$AA$103),"dd mmm yy"))&amp;" "&amp;Milestones!$AB$103&amp;" "&amp;IF(AND(Milestones!$AB$103="FT",Milestones!$AA$103=FT_Y5,EDATE($D59,Milestones!$AA$103)&lt;PolicyEff),1,Milestones!$AC$103)&amp;";  ",""))</f>
        <v/>
      </c>
      <c r="P59" s="0" t="str">
        <f aca="false">IF(OR($A59="",$D59=""),"",IF(AND(EDATE($D59,Milestones!$AA$104)&lt;=AsOfDate,EDATE($D59,Milestones!$AA$104)&gt;=SchemeStart,IF($X59=0,$AD59,IF(AND($Z59&lt;&gt;"",EDATE($D59,Milestones!$AA$104)&gt;=$Z59),$AC59,IF(AND($Y59&lt;&gt;"",EDATE($D59,Milestones!$AA$104)&gt;=$Y59),$AB59,$AA59)))=Milestones!$AB$104),UPPER(TEXT(EDATE($D59,Milestones!$AA$104),"dd mmm yy"))&amp;" "&amp;Milestones!$AB$104&amp;" "&amp;IF(AND(Milestones!$AB$104="FT",Milestones!$AA$104=FT_Y5,EDATE($D59,Milestones!$AA$104)&lt;PolicyEff),1,Milestones!$AC$104)&amp;";  ","")&amp;IF(AND(EDATE($D59,Milestones!$AA$105)&lt;=AsOfDate,EDATE($D59,Milestones!$AA$105)&gt;=SchemeStart,IF($X59=0,$AD59,IF(AND($Z59&lt;&gt;"",EDATE($D59,Milestones!$AA$105)&gt;=$Z59),$AC59,IF(AND($Y59&lt;&gt;"",EDATE($D59,Milestones!$AA$105)&gt;=$Y59),$AB59,$AA59)))=Milestones!$AB$105),UPPER(TEXT(EDATE($D59,Milestones!$AA$105),"dd mmm yy"))&amp;" "&amp;Milestones!$AB$105&amp;" "&amp;IF(AND(Milestones!$AB$105="FT",Milestones!$AA$105=FT_Y5,EDATE($D59,Milestones!$AA$105)&lt;PolicyEff),1,Milestones!$AC$105)&amp;";  ","")&amp;IF(AND(EDATE($D59,Milestones!$AA$106)&lt;=AsOfDate,EDATE($D59,Milestones!$AA$106)&gt;=SchemeStart,IF($X59=0,$AD59,IF(AND($Z59&lt;&gt;"",EDATE($D59,Milestones!$AA$106)&gt;=$Z59),$AC59,IF(AND($Y59&lt;&gt;"",EDATE($D59,Milestones!$AA$106)&gt;=$Y59),$AB59,$AA59)))=Milestones!$AB$106),UPPER(TEXT(EDATE($D59,Milestones!$AA$106),"dd mmm yy"))&amp;" "&amp;Milestones!$AB$106&amp;" "&amp;IF(AND(Milestones!$AB$106="FT",Milestones!$AA$106=FT_Y5,EDATE($D59,Milestones!$AA$106)&lt;PolicyEff),1,Milestones!$AC$106)&amp;";  ","")&amp;IF(AND(EDATE($D59,Milestones!$AA$107)&lt;=AsOfDate,EDATE($D59,Milestones!$AA$107)&gt;=SchemeStart,IF($X59=0,$AD59,IF(AND($Z59&lt;&gt;"",EDATE($D59,Milestones!$AA$107)&gt;=$Z59),$AC59,IF(AND($Y59&lt;&gt;"",EDATE($D59,Milestones!$AA$107)&gt;=$Y59),$AB59,$AA59)))=Milestones!$AB$107),UPPER(TEXT(EDATE($D59,Milestones!$AA$107),"dd mmm yy"))&amp;" "&amp;Milestones!$AB$107&amp;" "&amp;IF(AND(Milestones!$AB$107="FT",Milestones!$AA$107=FT_Y5,EDATE($D59,Milestones!$AA$107)&lt;PolicyEff),1,Milestones!$AC$107)&amp;";  ","")&amp;IF(AND(EDATE($D59,Milestones!$AA$108)&lt;=AsOfDate,EDATE($D59,Milestones!$AA$108)&gt;=SchemeStart,IF($X59=0,$AD59,IF(AND($Z59&lt;&gt;"",EDATE($D59,Milestones!$AA$108)&gt;=$Z59),$AC59,IF(AND($Y59&lt;&gt;"",EDATE($D59,Milestones!$AA$108)&gt;=$Y59),$AB59,$AA59)))=Milestones!$AB$108),UPPER(TEXT(EDATE($D59,Milestones!$AA$108),"dd mmm yy"))&amp;" "&amp;Milestones!$AB$108&amp;" "&amp;IF(AND(Milestones!$AB$108="FT",Milestones!$AA$108=FT_Y5,EDATE($D59,Milestones!$AA$108)&lt;PolicyEff),1,Milestones!$AC$108)&amp;";  ","")&amp;IF(AND(EDATE($D59,Milestones!$AA$109)&lt;=AsOfDate,EDATE($D59,Milestones!$AA$109)&gt;=SchemeStart,IF($X59=0,$AD59,IF(AND($Z59&lt;&gt;"",EDATE($D59,Milestones!$AA$109)&gt;=$Z59),$AC59,IF(AND($Y59&lt;&gt;"",EDATE($D59,Milestones!$AA$109)&gt;=$Y59),$AB59,$AA59)))=Milestones!$AB$109),UPPER(TEXT(EDATE($D59,Milestones!$AA$109),"dd mmm yy"))&amp;" "&amp;Milestones!$AB$109&amp;" "&amp;IF(AND(Milestones!$AB$109="FT",Milestones!$AA$109=FT_Y5,EDATE($D59,Milestones!$AA$109)&lt;PolicyEff),1,Milestones!$AC$109)&amp;";  ","")&amp;IF(AND(EDATE($D59,Milestones!$AA$110)&lt;=AsOfDate,EDATE($D59,Milestones!$AA$110)&gt;=SchemeStart,IF($X59=0,$AD59,IF(AND($Z59&lt;&gt;"",EDATE($D59,Milestones!$AA$110)&gt;=$Z59),$AC59,IF(AND($Y59&lt;&gt;"",EDATE($D59,Milestones!$AA$110)&gt;=$Y59),$AB59,$AA59)))=Milestones!$AB$110),UPPER(TEXT(EDATE($D59,Milestones!$AA$110),"dd mmm yy"))&amp;" "&amp;Milestones!$AB$110&amp;" "&amp;IF(AND(Milestones!$AB$110="FT",Milestones!$AA$110=FT_Y5,EDATE($D59,Milestones!$AA$110)&lt;PolicyEff),1,Milestones!$AC$110)&amp;";  ","")&amp;IF(AND(EDATE($D59,Milestones!$AA$111)&lt;=AsOfDate,EDATE($D59,Milestones!$AA$111)&gt;=SchemeStart,IF($X59=0,$AD59,IF(AND($Z59&lt;&gt;"",EDATE($D59,Milestones!$AA$111)&gt;=$Z59),$AC59,IF(AND($Y59&lt;&gt;"",EDATE($D59,Milestones!$AA$111)&gt;=$Y59),$AB59,$AA59)))=Milestones!$AB$111),UPPER(TEXT(EDATE($D59,Milestones!$AA$111),"dd mmm yy"))&amp;" "&amp;Milestones!$AB$111&amp;" "&amp;IF(AND(Milestones!$AB$111="FT",Milestones!$AA$111=FT_Y5,EDATE($D59,Milestones!$AA$111)&lt;PolicyEff),1,Milestones!$AC$111)&amp;";  ","")&amp;IF(AND(EDATE($D59,Milestones!$AA$112)&lt;=AsOfDate,EDATE($D59,Milestones!$AA$112)&gt;=SchemeStart,IF($X59=0,$AD59,IF(AND($Z59&lt;&gt;"",EDATE($D59,Milestones!$AA$112)&gt;=$Z59),$AC59,IF(AND($Y59&lt;&gt;"",EDATE($D59,Milestones!$AA$112)&gt;=$Y59),$AB59,$AA59)))=Milestones!$AB$112),UPPER(TEXT(EDATE($D59,Milestones!$AA$112),"dd mmm yy"))&amp;" "&amp;Milestones!$AB$112&amp;" "&amp;IF(AND(Milestones!$AB$112="FT",Milestones!$AA$112=FT_Y5,EDATE($D59,Milestones!$AA$112)&lt;PolicyEff),1,Milestones!$AC$112)&amp;";  ","")&amp;IF(AND(EDATE($D59,Milestones!$AA$113)&lt;=AsOfDate,EDATE($D59,Milestones!$AA$113)&gt;=SchemeStart,IF($X59=0,$AD59,IF(AND($Z59&lt;&gt;"",EDATE($D59,Milestones!$AA$113)&gt;=$Z59),$AC59,IF(AND($Y59&lt;&gt;"",EDATE($D59,Milestones!$AA$113)&gt;=$Y59),$AB59,$AA59)))=Milestones!$AB$113),UPPER(TEXT(EDATE($D59,Milestones!$AA$113),"dd mmm yy"))&amp;" "&amp;Milestones!$AB$113&amp;" "&amp;IF(AND(Milestones!$AB$113="FT",Milestones!$AA$113=FT_Y5,EDATE($D59,Milestones!$AA$113)&lt;PolicyEff),1,Milestones!$AC$113)&amp;";  ","")&amp;IF(AND(EDATE($D59,Milestones!$AA$114)&lt;=AsOfDate,EDATE($D59,Milestones!$AA$114)&gt;=SchemeStart,IF($X59=0,$AD59,IF(AND($Z59&lt;&gt;"",EDATE($D59,Milestones!$AA$114)&gt;=$Z59),$AC59,IF(AND($Y59&lt;&gt;"",EDATE($D59,Milestones!$AA$114)&gt;=$Y59),$AB59,$AA59)))=Milestones!$AB$114),UPPER(TEXT(EDATE($D59,Milestones!$AA$114),"dd mmm yy"))&amp;" "&amp;Milestones!$AB$114&amp;" "&amp;IF(AND(Milestones!$AB$114="FT",Milestones!$AA$114=FT_Y5,EDATE($D59,Milestones!$AA$114)&lt;PolicyEff),1,Milestones!$AC$114)&amp;";  ","")&amp;IF(AND(EDATE($D59,Milestones!$AA$115)&lt;=AsOfDate,EDATE($D59,Milestones!$AA$115)&gt;=SchemeStart,IF($X59=0,$AD59,IF(AND($Z59&lt;&gt;"",EDATE($D59,Milestones!$AA$115)&gt;=$Z59),$AC59,IF(AND($Y59&lt;&gt;"",EDATE($D59,Milestones!$AA$115)&gt;=$Y59),$AB59,$AA59)))=Milestones!$AB$115),UPPER(TEXT(EDATE($D59,Milestones!$AA$115),"dd mmm yy"))&amp;" "&amp;Milestones!$AB$115&amp;" "&amp;IF(AND(Milestones!$AB$115="FT",Milestones!$AA$115=FT_Y5,EDATE($D59,Milestones!$AA$115)&lt;PolicyEff),1,Milestones!$AC$115)&amp;";  ",""))</f>
        <v/>
      </c>
      <c r="Q59" s="0" t="str">
        <f aca="false">IF(OR($A59="",$D59=""),"",IF(AND(EDATE($D59,Milestones!$AA$116)&lt;=AsOfDate,EDATE($D59,Milestones!$AA$116)&gt;=SchemeStart,IF($X59=0,$AD59,IF(AND($Z59&lt;&gt;"",EDATE($D59,Milestones!$AA$116)&gt;=$Z59),$AC59,IF(AND($Y59&lt;&gt;"",EDATE($D59,Milestones!$AA$116)&gt;=$Y59),$AB59,$AA59)))=Milestones!$AB$116),UPPER(TEXT(EDATE($D59,Milestones!$AA$116),"dd mmm yy"))&amp;" "&amp;Milestones!$AB$116&amp;" "&amp;IF(AND(Milestones!$AB$116="FT",Milestones!$AA$116=FT_Y5,EDATE($D59,Milestones!$AA$116)&lt;PolicyEff),1,Milestones!$AC$116)&amp;";  ","")&amp;IF(AND(EDATE($D59,Milestones!$AA$117)&lt;=AsOfDate,EDATE($D59,Milestones!$AA$117)&gt;=SchemeStart,IF($X59=0,$AD59,IF(AND($Z59&lt;&gt;"",EDATE($D59,Milestones!$AA$117)&gt;=$Z59),$AC59,IF(AND($Y59&lt;&gt;"",EDATE($D59,Milestones!$AA$117)&gt;=$Y59),$AB59,$AA59)))=Milestones!$AB$117),UPPER(TEXT(EDATE($D59,Milestones!$AA$117),"dd mmm yy"))&amp;" "&amp;Milestones!$AB$117&amp;" "&amp;IF(AND(Milestones!$AB$117="FT",Milestones!$AA$117=FT_Y5,EDATE($D59,Milestones!$AA$117)&lt;PolicyEff),1,Milestones!$AC$117)&amp;";  ","")&amp;IF(AND(EDATE($D59,Milestones!$AA$118)&lt;=AsOfDate,EDATE($D59,Milestones!$AA$118)&gt;=SchemeStart,IF($X59=0,$AD59,IF(AND($Z59&lt;&gt;"",EDATE($D59,Milestones!$AA$118)&gt;=$Z59),$AC59,IF(AND($Y59&lt;&gt;"",EDATE($D59,Milestones!$AA$118)&gt;=$Y59),$AB59,$AA59)))=Milestones!$AB$118),UPPER(TEXT(EDATE($D59,Milestones!$AA$118),"dd mmm yy"))&amp;" "&amp;Milestones!$AB$118&amp;" "&amp;IF(AND(Milestones!$AB$118="FT",Milestones!$AA$118=FT_Y5,EDATE($D59,Milestones!$AA$118)&lt;PolicyEff),1,Milestones!$AC$118)&amp;";  ","")&amp;IF(AND(EDATE($D59,Milestones!$AA$119)&lt;=AsOfDate,EDATE($D59,Milestones!$AA$119)&gt;=SchemeStart,IF($X59=0,$AD59,IF(AND($Z59&lt;&gt;"",EDATE($D59,Milestones!$AA$119)&gt;=$Z59),$AC59,IF(AND($Y59&lt;&gt;"",EDATE($D59,Milestones!$AA$119)&gt;=$Y59),$AB59,$AA59)))=Milestones!$AB$119),UPPER(TEXT(EDATE($D59,Milestones!$AA$119),"dd mmm yy"))&amp;" "&amp;Milestones!$AB$119&amp;" "&amp;IF(AND(Milestones!$AB$119="FT",Milestones!$AA$119=FT_Y5,EDATE($D59,Milestones!$AA$119)&lt;PolicyEff),1,Milestones!$AC$119)&amp;";  ","")&amp;IF(AND(EDATE($D59,Milestones!$AA$120)&lt;=AsOfDate,EDATE($D59,Milestones!$AA$120)&gt;=SchemeStart,IF($X59=0,$AD59,IF(AND($Z59&lt;&gt;"",EDATE($D59,Milestones!$AA$120)&gt;=$Z59),$AC59,IF(AND($Y59&lt;&gt;"",EDATE($D59,Milestones!$AA$120)&gt;=$Y59),$AB59,$AA59)))=Milestones!$AB$120),UPPER(TEXT(EDATE($D59,Milestones!$AA$120),"dd mmm yy"))&amp;" "&amp;Milestones!$AB$120&amp;" "&amp;IF(AND(Milestones!$AB$120="FT",Milestones!$AA$120=FT_Y5,EDATE($D59,Milestones!$AA$120)&lt;PolicyEff),1,Milestones!$AC$120)&amp;";  ","")&amp;IF(AND(EDATE($D59,Milestones!$AA$121)&lt;=AsOfDate,EDATE($D59,Milestones!$AA$121)&gt;=SchemeStart,IF($X59=0,$AD59,IF(AND($Z59&lt;&gt;"",EDATE($D59,Milestones!$AA$121)&gt;=$Z59),$AC59,IF(AND($Y59&lt;&gt;"",EDATE($D59,Milestones!$AA$121)&gt;=$Y59),$AB59,$AA59)))=Milestones!$AB$121),UPPER(TEXT(EDATE($D59,Milestones!$AA$121),"dd mmm yy"))&amp;" "&amp;Milestones!$AB$121&amp;" "&amp;IF(AND(Milestones!$AB$121="FT",Milestones!$AA$121=FT_Y5,EDATE($D59,Milestones!$AA$121)&lt;PolicyEff),1,Milestones!$AC$121)&amp;";  ","")&amp;IF(AND(EDATE($D59,Milestones!$AA$122)&lt;=AsOfDate,EDATE($D59,Milestones!$AA$122)&gt;=SchemeStart,IF($X59=0,$AD59,IF(AND($Z59&lt;&gt;"",EDATE($D59,Milestones!$AA$122)&gt;=$Z59),$AC59,IF(AND($Y59&lt;&gt;"",EDATE($D59,Milestones!$AA$122)&gt;=$Y59),$AB59,$AA59)))=Milestones!$AB$122),UPPER(TEXT(EDATE($D59,Milestones!$AA$122),"dd mmm yy"))&amp;" "&amp;Milestones!$AB$122&amp;" "&amp;IF(AND(Milestones!$AB$122="FT",Milestones!$AA$122=FT_Y5,EDATE($D59,Milestones!$AA$122)&lt;PolicyEff),1,Milestones!$AC$122)&amp;";  ","")&amp;IF(AND(EDATE($D59,Milestones!$AA$123)&lt;=AsOfDate,EDATE($D59,Milestones!$AA$123)&gt;=SchemeStart,IF($X59=0,$AD59,IF(AND($Z59&lt;&gt;"",EDATE($D59,Milestones!$AA$123)&gt;=$Z59),$AC59,IF(AND($Y59&lt;&gt;"",EDATE($D59,Milestones!$AA$123)&gt;=$Y59),$AB59,$AA59)))=Milestones!$AB$123),UPPER(TEXT(EDATE($D59,Milestones!$AA$123),"dd mmm yy"))&amp;" "&amp;Milestones!$AB$123&amp;" "&amp;IF(AND(Milestones!$AB$123="FT",Milestones!$AA$123=FT_Y5,EDATE($D59,Milestones!$AA$123)&lt;PolicyEff),1,Milestones!$AC$123)&amp;";  ","")&amp;IF(AND(EDATE($D59,Milestones!$AA$124)&lt;=AsOfDate,EDATE($D59,Milestones!$AA$124)&gt;=SchemeStart,IF($X59=0,$AD59,IF(AND($Z59&lt;&gt;"",EDATE($D59,Milestones!$AA$124)&gt;=$Z59),$AC59,IF(AND($Y59&lt;&gt;"",EDATE($D59,Milestones!$AA$124)&gt;=$Y59),$AB59,$AA59)))=Milestones!$AB$124),UPPER(TEXT(EDATE($D59,Milestones!$AA$124),"dd mmm yy"))&amp;" "&amp;Milestones!$AB$124&amp;" "&amp;IF(AND(Milestones!$AB$124="FT",Milestones!$AA$124=FT_Y5,EDATE($D59,Milestones!$AA$124)&lt;PolicyEff),1,Milestones!$AC$124)&amp;";  ","")&amp;IF(AND(EDATE($D59,Milestones!$AA$125)&lt;=AsOfDate,EDATE($D59,Milestones!$AA$125)&gt;=SchemeStart,IF($X59=0,$AD59,IF(AND($Z59&lt;&gt;"",EDATE($D59,Milestones!$AA$125)&gt;=$Z59),$AC59,IF(AND($Y59&lt;&gt;"",EDATE($D59,Milestones!$AA$125)&gt;=$Y59),$AB59,$AA59)))=Milestones!$AB$125),UPPER(TEXT(EDATE($D59,Milestones!$AA$125),"dd mmm yy"))&amp;" "&amp;Milestones!$AB$125&amp;" "&amp;IF(AND(Milestones!$AB$125="FT",Milestones!$AA$125=FT_Y5,EDATE($D59,Milestones!$AA$125)&lt;PolicyEff),1,Milestones!$AC$125)&amp;";  ","")&amp;IF(AND(EDATE($D59,Milestones!$AA$126)&lt;=AsOfDate,EDATE($D59,Milestones!$AA$126)&gt;=SchemeStart,IF($X59=0,$AD59,IF(AND($Z59&lt;&gt;"",EDATE($D59,Milestones!$AA$126)&gt;=$Z59),$AC59,IF(AND($Y59&lt;&gt;"",EDATE($D59,Milestones!$AA$126)&gt;=$Y59),$AB59,$AA59)))=Milestones!$AB$126),UPPER(TEXT(EDATE($D59,Milestones!$AA$126),"dd mmm yy"))&amp;" "&amp;Milestones!$AB$126&amp;" "&amp;IF(AND(Milestones!$AB$126="FT",Milestones!$AA$126=FT_Y5,EDATE($D59,Milestones!$AA$126)&lt;PolicyEff),1,Milestones!$AC$126)&amp;";  ","")&amp;IF(AND(EDATE($D59,Milestones!$AA$127)&lt;=AsOfDate,EDATE($D59,Milestones!$AA$127)&gt;=SchemeStart,IF($X59=0,$AD59,IF(AND($Z59&lt;&gt;"",EDATE($D59,Milestones!$AA$127)&gt;=$Z59),$AC59,IF(AND($Y59&lt;&gt;"",EDATE($D59,Milestones!$AA$127)&gt;=$Y59),$AB59,$AA59)))=Milestones!$AB$127),UPPER(TEXT(EDATE($D59,Milestones!$AA$127),"dd mmm yy"))&amp;" "&amp;Milestones!$AB$127&amp;" "&amp;IF(AND(Milestones!$AB$127="FT",Milestones!$AA$127=FT_Y5,EDATE($D59,Milestones!$AA$127)&lt;PolicyEff),1,Milestones!$AC$127)&amp;";  ",""))</f>
        <v/>
      </c>
      <c r="R59" s="0" t="str">
        <f aca="false">IF(OR($A59="",$D59=""),"",IF(AND(EDATE($D59,Milestones!$AA$128)&lt;=AsOfDate,EDATE($D59,Milestones!$AA$128)&gt;=SchemeStart,IF($X59=0,$AD59,IF(AND($Z59&lt;&gt;"",EDATE($D59,Milestones!$AA$128)&gt;=$Z59),$AC59,IF(AND($Y59&lt;&gt;"",EDATE($D59,Milestones!$AA$128)&gt;=$Y59),$AB59,$AA59)))=Milestones!$AB$128),UPPER(TEXT(EDATE($D59,Milestones!$AA$128),"dd mmm yy"))&amp;" "&amp;Milestones!$AB$128&amp;" "&amp;IF(AND(Milestones!$AB$128="FT",Milestones!$AA$128=FT_Y5,EDATE($D59,Milestones!$AA$128)&lt;PolicyEff),1,Milestones!$AC$128)&amp;";  ","")&amp;IF(AND(EDATE($D59,Milestones!$AA$129)&lt;=AsOfDate,EDATE($D59,Milestones!$AA$129)&gt;=SchemeStart,IF($X59=0,$AD59,IF(AND($Z59&lt;&gt;"",EDATE($D59,Milestones!$AA$129)&gt;=$Z59),$AC59,IF(AND($Y59&lt;&gt;"",EDATE($D59,Milestones!$AA$129)&gt;=$Y59),$AB59,$AA59)))=Milestones!$AB$129),UPPER(TEXT(EDATE($D59,Milestones!$AA$129),"dd mmm yy"))&amp;" "&amp;Milestones!$AB$129&amp;" "&amp;IF(AND(Milestones!$AB$129="FT",Milestones!$AA$129=FT_Y5,EDATE($D59,Milestones!$AA$129)&lt;PolicyEff),1,Milestones!$AC$129)&amp;";  ","")&amp;IF(AND(EDATE($D59,Milestones!$AA$130)&lt;=AsOfDate,EDATE($D59,Milestones!$AA$130)&gt;=SchemeStart,IF($X59=0,$AD59,IF(AND($Z59&lt;&gt;"",EDATE($D59,Milestones!$AA$130)&gt;=$Z59),$AC59,IF(AND($Y59&lt;&gt;"",EDATE($D59,Milestones!$AA$130)&gt;=$Y59),$AB59,$AA59)))=Milestones!$AB$130),UPPER(TEXT(EDATE($D59,Milestones!$AA$130),"dd mmm yy"))&amp;" "&amp;Milestones!$AB$130&amp;" "&amp;IF(AND(Milestones!$AB$130="FT",Milestones!$AA$130=FT_Y5,EDATE($D59,Milestones!$AA$130)&lt;PolicyEff),1,Milestones!$AC$130)&amp;";  ","")&amp;IF(AND(EDATE($D59,Milestones!$AA$131)&lt;=AsOfDate,EDATE($D59,Milestones!$AA$131)&gt;=SchemeStart,IF($X59=0,$AD59,IF(AND($Z59&lt;&gt;"",EDATE($D59,Milestones!$AA$131)&gt;=$Z59),$AC59,IF(AND($Y59&lt;&gt;"",EDATE($D59,Milestones!$AA$131)&gt;=$Y59),$AB59,$AA59)))=Milestones!$AB$131),UPPER(TEXT(EDATE($D59,Milestones!$AA$131),"dd mmm yy"))&amp;" "&amp;Milestones!$AB$131&amp;" "&amp;IF(AND(Milestones!$AB$131="FT",Milestones!$AA$131=FT_Y5,EDATE($D59,Milestones!$AA$131)&lt;PolicyEff),1,Milestones!$AC$131)&amp;";  ","")&amp;IF(AND(EDATE($D59,Milestones!$AA$132)&lt;=AsOfDate,EDATE($D59,Milestones!$AA$132)&gt;=SchemeStart,IF($X59=0,$AD59,IF(AND($Z59&lt;&gt;"",EDATE($D59,Milestones!$AA$132)&gt;=$Z59),$AC59,IF(AND($Y59&lt;&gt;"",EDATE($D59,Milestones!$AA$132)&gt;=$Y59),$AB59,$AA59)))=Milestones!$AB$132),UPPER(TEXT(EDATE($D59,Milestones!$AA$132),"dd mmm yy"))&amp;" "&amp;Milestones!$AB$132&amp;" "&amp;IF(AND(Milestones!$AB$132="FT",Milestones!$AA$132=FT_Y5,EDATE($D59,Milestones!$AA$132)&lt;PolicyEff),1,Milestones!$AC$132)&amp;";  ","")&amp;IF(AND(EDATE($D59,Milestones!$AA$133)&lt;=AsOfDate,EDATE($D59,Milestones!$AA$133)&gt;=SchemeStart,IF($X59=0,$AD59,IF(AND($Z59&lt;&gt;"",EDATE($D59,Milestones!$AA$133)&gt;=$Z59),$AC59,IF(AND($Y59&lt;&gt;"",EDATE($D59,Milestones!$AA$133)&gt;=$Y59),$AB59,$AA59)))=Milestones!$AB$133),UPPER(TEXT(EDATE($D59,Milestones!$AA$133),"dd mmm yy"))&amp;" "&amp;Milestones!$AB$133&amp;" "&amp;IF(AND(Milestones!$AB$133="FT",Milestones!$AA$133=FT_Y5,EDATE($D59,Milestones!$AA$133)&lt;PolicyEff),1,Milestones!$AC$133)&amp;";  ","")&amp;IF(AND(EDATE($D59,Milestones!$AA$134)&lt;=AsOfDate,EDATE($D59,Milestones!$AA$134)&gt;=SchemeStart,IF($X59=0,$AD59,IF(AND($Z59&lt;&gt;"",EDATE($D59,Milestones!$AA$134)&gt;=$Z59),$AC59,IF(AND($Y59&lt;&gt;"",EDATE($D59,Milestones!$AA$134)&gt;=$Y59),$AB59,$AA59)))=Milestones!$AB$134),UPPER(TEXT(EDATE($D59,Milestones!$AA$134),"dd mmm yy"))&amp;" "&amp;Milestones!$AB$134&amp;" "&amp;IF(AND(Milestones!$AB$134="FT",Milestones!$AA$134=FT_Y5,EDATE($D59,Milestones!$AA$134)&lt;PolicyEff),1,Milestones!$AC$134)&amp;";  ","")&amp;IF(AND(EDATE($D59,Milestones!$AA$135)&lt;=AsOfDate,EDATE($D59,Milestones!$AA$135)&gt;=SchemeStart,IF($X59=0,$AD59,IF(AND($Z59&lt;&gt;"",EDATE($D59,Milestones!$AA$135)&gt;=$Z59),$AC59,IF(AND($Y59&lt;&gt;"",EDATE($D59,Milestones!$AA$135)&gt;=$Y59),$AB59,$AA59)))=Milestones!$AB$135),UPPER(TEXT(EDATE($D59,Milestones!$AA$135),"dd mmm yy"))&amp;" "&amp;Milestones!$AB$135&amp;" "&amp;IF(AND(Milestones!$AB$135="FT",Milestones!$AA$135=FT_Y5,EDATE($D59,Milestones!$AA$135)&lt;PolicyEff),1,Milestones!$AC$135)&amp;";  ","")&amp;IF(AND(EDATE($D59,Milestones!$AA$136)&lt;=AsOfDate,EDATE($D59,Milestones!$AA$136)&gt;=SchemeStart,IF($X59=0,$AD59,IF(AND($Z59&lt;&gt;"",EDATE($D59,Milestones!$AA$136)&gt;=$Z59),$AC59,IF(AND($Y59&lt;&gt;"",EDATE($D59,Milestones!$AA$136)&gt;=$Y59),$AB59,$AA59)))=Milestones!$AB$136),UPPER(TEXT(EDATE($D59,Milestones!$AA$136),"dd mmm yy"))&amp;" "&amp;Milestones!$AB$136&amp;" "&amp;IF(AND(Milestones!$AB$136="FT",Milestones!$AA$136=FT_Y5,EDATE($D59,Milestones!$AA$136)&lt;PolicyEff),1,Milestones!$AC$136)&amp;";  ","")&amp;IF(AND(EDATE($D59,Milestones!$AA$137)&lt;=AsOfDate,EDATE($D59,Milestones!$AA$137)&gt;=SchemeStart,IF($X59=0,$AD59,IF(AND($Z59&lt;&gt;"",EDATE($D59,Milestones!$AA$137)&gt;=$Z59),$AC59,IF(AND($Y59&lt;&gt;"",EDATE($D59,Milestones!$AA$137)&gt;=$Y59),$AB59,$AA59)))=Milestones!$AB$137),UPPER(TEXT(EDATE($D59,Milestones!$AA$137),"dd mmm yy"))&amp;" "&amp;Milestones!$AB$137&amp;" "&amp;IF(AND(Milestones!$AB$137="FT",Milestones!$AA$137=FT_Y5,EDATE($D59,Milestones!$AA$137)&lt;PolicyEff),1,Milestones!$AC$137)&amp;";  ","")&amp;IF(AND(EDATE($D59,Milestones!$AA$138)&lt;=AsOfDate,EDATE($D59,Milestones!$AA$138)&gt;=SchemeStart,IF($X59=0,$AD59,IF(AND($Z59&lt;&gt;"",EDATE($D59,Milestones!$AA$138)&gt;=$Z59),$AC59,IF(AND($Y59&lt;&gt;"",EDATE($D59,Milestones!$AA$138)&gt;=$Y59),$AB59,$AA59)))=Milestones!$AB$138),UPPER(TEXT(EDATE($D59,Milestones!$AA$138),"dd mmm yy"))&amp;" "&amp;Milestones!$AB$138&amp;" "&amp;IF(AND(Milestones!$AB$138="FT",Milestones!$AA$138=FT_Y5,EDATE($D59,Milestones!$AA$138)&lt;PolicyEff),1,Milestones!$AC$138)&amp;";  ","")&amp;IF(AND(EDATE($D59,Milestones!$AA$139)&lt;=AsOfDate,EDATE($D59,Milestones!$AA$139)&gt;=SchemeStart,IF($X59=0,$AD59,IF(AND($Z59&lt;&gt;"",EDATE($D59,Milestones!$AA$139)&gt;=$Z59),$AC59,IF(AND($Y59&lt;&gt;"",EDATE($D59,Milestones!$AA$139)&gt;=$Y59),$AB59,$AA59)))=Milestones!$AB$139),UPPER(TEXT(EDATE($D59,Milestones!$AA$139),"dd mmm yy"))&amp;" "&amp;Milestones!$AB$139&amp;" "&amp;IF(AND(Milestones!$AB$139="FT",Milestones!$AA$139=FT_Y5,EDATE($D59,Milestones!$AA$139)&lt;PolicyEff),1,Milestones!$AC$139)&amp;";  ",""))</f>
        <v/>
      </c>
      <c r="S59" s="0" t="str">
        <f aca="false">IF(OR($A59="",$D59=""),"",IF(AND(EDATE($D59,Milestones!$AA$140)&lt;=AsOfDate,EDATE($D59,Milestones!$AA$140)&gt;=SchemeStart,IF($X59=0,$AD59,IF(AND($Z59&lt;&gt;"",EDATE($D59,Milestones!$AA$140)&gt;=$Z59),$AC59,IF(AND($Y59&lt;&gt;"",EDATE($D59,Milestones!$AA$140)&gt;=$Y59),$AB59,$AA59)))=Milestones!$AB$140),UPPER(TEXT(EDATE($D59,Milestones!$AA$140),"dd mmm yy"))&amp;" "&amp;Milestones!$AB$140&amp;" "&amp;IF(AND(Milestones!$AB$140="FT",Milestones!$AA$140=FT_Y5,EDATE($D59,Milestones!$AA$140)&lt;PolicyEff),1,Milestones!$AC$140)&amp;";  ","")&amp;IF(AND(EDATE($D59,Milestones!$AA$141)&lt;=AsOfDate,EDATE($D59,Milestones!$AA$141)&gt;=SchemeStart,IF($X59=0,$AD59,IF(AND($Z59&lt;&gt;"",EDATE($D59,Milestones!$AA$141)&gt;=$Z59),$AC59,IF(AND($Y59&lt;&gt;"",EDATE($D59,Milestones!$AA$141)&gt;=$Y59),$AB59,$AA59)))=Milestones!$AB$141),UPPER(TEXT(EDATE($D59,Milestones!$AA$141),"dd mmm yy"))&amp;" "&amp;Milestones!$AB$141&amp;" "&amp;IF(AND(Milestones!$AB$141="FT",Milestones!$AA$141=FT_Y5,EDATE($D59,Milestones!$AA$141)&lt;PolicyEff),1,Milestones!$AC$141)&amp;";  ","")&amp;IF(AND(EDATE($D59,Milestones!$AA$142)&lt;=AsOfDate,EDATE($D59,Milestones!$AA$142)&gt;=SchemeStart,IF($X59=0,$AD59,IF(AND($Z59&lt;&gt;"",EDATE($D59,Milestones!$AA$142)&gt;=$Z59),$AC59,IF(AND($Y59&lt;&gt;"",EDATE($D59,Milestones!$AA$142)&gt;=$Y59),$AB59,$AA59)))=Milestones!$AB$142),UPPER(TEXT(EDATE($D59,Milestones!$AA$142),"dd mmm yy"))&amp;" "&amp;Milestones!$AB$142&amp;" "&amp;IF(AND(Milestones!$AB$142="FT",Milestones!$AA$142=FT_Y5,EDATE($D59,Milestones!$AA$142)&lt;PolicyEff),1,Milestones!$AC$142)&amp;";  ","")&amp;IF(AND(EDATE($D59,Milestones!$AA$143)&lt;=AsOfDate,EDATE($D59,Milestones!$AA$143)&gt;=SchemeStart,IF($X59=0,$AD59,IF(AND($Z59&lt;&gt;"",EDATE($D59,Milestones!$AA$143)&gt;=$Z59),$AC59,IF(AND($Y59&lt;&gt;"",EDATE($D59,Milestones!$AA$143)&gt;=$Y59),$AB59,$AA59)))=Milestones!$AB$143),UPPER(TEXT(EDATE($D59,Milestones!$AA$143),"dd mmm yy"))&amp;" "&amp;Milestones!$AB$143&amp;" "&amp;IF(AND(Milestones!$AB$143="FT",Milestones!$AA$143=FT_Y5,EDATE($D59,Milestones!$AA$143)&lt;PolicyEff),1,Milestones!$AC$143)&amp;";  ","")&amp;IF(AND(EDATE($D59,Milestones!$AA$144)&lt;=AsOfDate,EDATE($D59,Milestones!$AA$144)&gt;=SchemeStart,IF($X59=0,$AD59,IF(AND($Z59&lt;&gt;"",EDATE($D59,Milestones!$AA$144)&gt;=$Z59),$AC59,IF(AND($Y59&lt;&gt;"",EDATE($D59,Milestones!$AA$144)&gt;=$Y59),$AB59,$AA59)))=Milestones!$AB$144),UPPER(TEXT(EDATE($D59,Milestones!$AA$144),"dd mmm yy"))&amp;" "&amp;Milestones!$AB$144&amp;" "&amp;IF(AND(Milestones!$AB$144="FT",Milestones!$AA$144=FT_Y5,EDATE($D59,Milestones!$AA$144)&lt;PolicyEff),1,Milestones!$AC$144)&amp;";  ","")&amp;IF(AND(EDATE($D59,Milestones!$AA$145)&lt;=AsOfDate,EDATE($D59,Milestones!$AA$145)&gt;=SchemeStart,IF($X59=0,$AD59,IF(AND($Z59&lt;&gt;"",EDATE($D59,Milestones!$AA$145)&gt;=$Z59),$AC59,IF(AND($Y59&lt;&gt;"",EDATE($D59,Milestones!$AA$145)&gt;=$Y59),$AB59,$AA59)))=Milestones!$AB$145),UPPER(TEXT(EDATE($D59,Milestones!$AA$145),"dd mmm yy"))&amp;" "&amp;Milestones!$AB$145&amp;" "&amp;IF(AND(Milestones!$AB$145="FT",Milestones!$AA$145=FT_Y5,EDATE($D59,Milestones!$AA$145)&lt;PolicyEff),1,Milestones!$AC$145)&amp;";  ","")&amp;IF(AND(EDATE($D59,Milestones!$AA$146)&lt;=AsOfDate,EDATE($D59,Milestones!$AA$146)&gt;=SchemeStart,IF($X59=0,$AD59,IF(AND($Z59&lt;&gt;"",EDATE($D59,Milestones!$AA$146)&gt;=$Z59),$AC59,IF(AND($Y59&lt;&gt;"",EDATE($D59,Milestones!$AA$146)&gt;=$Y59),$AB59,$AA59)))=Milestones!$AB$146),UPPER(TEXT(EDATE($D59,Milestones!$AA$146),"dd mmm yy"))&amp;" "&amp;Milestones!$AB$146&amp;" "&amp;IF(AND(Milestones!$AB$146="FT",Milestones!$AA$146=FT_Y5,EDATE($D59,Milestones!$AA$146)&lt;PolicyEff),1,Milestones!$AC$146)&amp;";  ","")&amp;IF(AND(EDATE($D59,Milestones!$AA$147)&lt;=AsOfDate,EDATE($D59,Milestones!$AA$147)&gt;=SchemeStart,IF($X59=0,$AD59,IF(AND($Z59&lt;&gt;"",EDATE($D59,Milestones!$AA$147)&gt;=$Z59),$AC59,IF(AND($Y59&lt;&gt;"",EDATE($D59,Milestones!$AA$147)&gt;=$Y59),$AB59,$AA59)))=Milestones!$AB$147),UPPER(TEXT(EDATE($D59,Milestones!$AA$147),"dd mmm yy"))&amp;" "&amp;Milestones!$AB$147&amp;" "&amp;IF(AND(Milestones!$AB$147="FT",Milestones!$AA$147=FT_Y5,EDATE($D59,Milestones!$AA$147)&lt;PolicyEff),1,Milestones!$AC$147)&amp;";  ","")&amp;IF(AND(EDATE($D59,Milestones!$AA$148)&lt;=AsOfDate,EDATE($D59,Milestones!$AA$148)&gt;=SchemeStart,IF($X59=0,$AD59,IF(AND($Z59&lt;&gt;"",EDATE($D59,Milestones!$AA$148)&gt;=$Z59),$AC59,IF(AND($Y59&lt;&gt;"",EDATE($D59,Milestones!$AA$148)&gt;=$Y59),$AB59,$AA59)))=Milestones!$AB$148),UPPER(TEXT(EDATE($D59,Milestones!$AA$148),"dd mmm yy"))&amp;" "&amp;Milestones!$AB$148&amp;" "&amp;IF(AND(Milestones!$AB$148="FT",Milestones!$AA$148=FT_Y5,EDATE($D59,Milestones!$AA$148)&lt;PolicyEff),1,Milestones!$AC$148)&amp;";  ","")&amp;IF(AND(EDATE($D59,Milestones!$AA$149)&lt;=AsOfDate,EDATE($D59,Milestones!$AA$149)&gt;=SchemeStart,IF($X59=0,$AD59,IF(AND($Z59&lt;&gt;"",EDATE($D59,Milestones!$AA$149)&gt;=$Z59),$AC59,IF(AND($Y59&lt;&gt;"",EDATE($D59,Milestones!$AA$149)&gt;=$Y59),$AB59,$AA59)))=Milestones!$AB$149),UPPER(TEXT(EDATE($D59,Milestones!$AA$149),"dd mmm yy"))&amp;" "&amp;Milestones!$AB$149&amp;" "&amp;IF(AND(Milestones!$AB$149="FT",Milestones!$AA$149=FT_Y5,EDATE($D59,Milestones!$AA$149)&lt;PolicyEff),1,Milestones!$AC$149)&amp;";  ","")&amp;IF(AND(EDATE($D59,Milestones!$AA$150)&lt;=AsOfDate,EDATE($D59,Milestones!$AA$150)&gt;=SchemeStart,IF($X59=0,$AD59,IF(AND($Z59&lt;&gt;"",EDATE($D59,Milestones!$AA$150)&gt;=$Z59),$AC59,IF(AND($Y59&lt;&gt;"",EDATE($D59,Milestones!$AA$150)&gt;=$Y59),$AB59,$AA59)))=Milestones!$AB$150),UPPER(TEXT(EDATE($D59,Milestones!$AA$150),"dd mmm yy"))&amp;" "&amp;Milestones!$AB$150&amp;" "&amp;IF(AND(Milestones!$AB$150="FT",Milestones!$AA$150=FT_Y5,EDATE($D59,Milestones!$AA$150)&lt;PolicyEff),1,Milestones!$AC$150)&amp;";  ","")&amp;IF(AND(EDATE($D59,Milestones!$AA$151)&lt;=AsOfDate,EDATE($D59,Milestones!$AA$151)&gt;=SchemeStart,IF($X59=0,$AD59,IF(AND($Z59&lt;&gt;"",EDATE($D59,Milestones!$AA$151)&gt;=$Z59),$AC59,IF(AND($Y59&lt;&gt;"",EDATE($D59,Milestones!$AA$151)&gt;=$Y59),$AB59,$AA59)))=Milestones!$AB$151),UPPER(TEXT(EDATE($D59,Milestones!$AA$151),"dd mmm yy"))&amp;" "&amp;Milestones!$AB$151&amp;" "&amp;IF(AND(Milestones!$AB$151="FT",Milestones!$AA$151=FT_Y5,EDATE($D59,Milestones!$AA$151)&lt;PolicyEff),1,Milestones!$AC$151)&amp;";  ",""))</f>
        <v/>
      </c>
      <c r="T59" s="0" t="str">
        <f aca="false">IF(OR($A59="",$D59=""),"",IF(AND(EDATE($D59,Milestones!$AA$152)&lt;=AsOfDate,EDATE($D59,Milestones!$AA$152)&gt;=SchemeStart,IF($X59=0,$AD59,IF(AND($Z59&lt;&gt;"",EDATE($D59,Milestones!$AA$152)&gt;=$Z59),$AC59,IF(AND($Y59&lt;&gt;"",EDATE($D59,Milestones!$AA$152)&gt;=$Y59),$AB59,$AA59)))=Milestones!$AB$152),UPPER(TEXT(EDATE($D59,Milestones!$AA$152),"dd mmm yy"))&amp;" "&amp;Milestones!$AB$152&amp;" "&amp;IF(AND(Milestones!$AB$152="FT",Milestones!$AA$152=FT_Y5,EDATE($D59,Milestones!$AA$152)&lt;PolicyEff),1,Milestones!$AC$152)&amp;";  ","")&amp;IF(AND(EDATE($D59,Milestones!$AA$153)&lt;=AsOfDate,EDATE($D59,Milestones!$AA$153)&gt;=SchemeStart,IF($X59=0,$AD59,IF(AND($Z59&lt;&gt;"",EDATE($D59,Milestones!$AA$153)&gt;=$Z59),$AC59,IF(AND($Y59&lt;&gt;"",EDATE($D59,Milestones!$AA$153)&gt;=$Y59),$AB59,$AA59)))=Milestones!$AB$153),UPPER(TEXT(EDATE($D59,Milestones!$AA$153),"dd mmm yy"))&amp;" "&amp;Milestones!$AB$153&amp;" "&amp;IF(AND(Milestones!$AB$153="FT",Milestones!$AA$153=FT_Y5,EDATE($D59,Milestones!$AA$153)&lt;PolicyEff),1,Milestones!$AC$153)&amp;";  ","")&amp;IF(AND(EDATE($D59,Milestones!$AA$154)&lt;=AsOfDate,EDATE($D59,Milestones!$AA$154)&gt;=SchemeStart,IF($X59=0,$AD59,IF(AND($Z59&lt;&gt;"",EDATE($D59,Milestones!$AA$154)&gt;=$Z59),$AC59,IF(AND($Y59&lt;&gt;"",EDATE($D59,Milestones!$AA$154)&gt;=$Y59),$AB59,$AA59)))=Milestones!$AB$154),UPPER(TEXT(EDATE($D59,Milestones!$AA$154),"dd mmm yy"))&amp;" "&amp;Milestones!$AB$154&amp;" "&amp;IF(AND(Milestones!$AB$154="FT",Milestones!$AA$154=FT_Y5,EDATE($D59,Milestones!$AA$154)&lt;PolicyEff),1,Milestones!$AC$154)&amp;";  ","")&amp;IF(AND(EDATE($D59,Milestones!$AA$155)&lt;=AsOfDate,EDATE($D59,Milestones!$AA$155)&gt;=SchemeStart,IF($X59=0,$AD59,IF(AND($Z59&lt;&gt;"",EDATE($D59,Milestones!$AA$155)&gt;=$Z59),$AC59,IF(AND($Y59&lt;&gt;"",EDATE($D59,Milestones!$AA$155)&gt;=$Y59),$AB59,$AA59)))=Milestones!$AB$155),UPPER(TEXT(EDATE($D59,Milestones!$AA$155),"dd mmm yy"))&amp;" "&amp;Milestones!$AB$155&amp;" "&amp;IF(AND(Milestones!$AB$155="FT",Milestones!$AA$155=FT_Y5,EDATE($D59,Milestones!$AA$155)&lt;PolicyEff),1,Milestones!$AC$155)&amp;";  ","")&amp;IF(AND(EDATE($D59,Milestones!$AA$156)&lt;=AsOfDate,EDATE($D59,Milestones!$AA$156)&gt;=SchemeStart,IF($X59=0,$AD59,IF(AND($Z59&lt;&gt;"",EDATE($D59,Milestones!$AA$156)&gt;=$Z59),$AC59,IF(AND($Y59&lt;&gt;"",EDATE($D59,Milestones!$AA$156)&gt;=$Y59),$AB59,$AA59)))=Milestones!$AB$156),UPPER(TEXT(EDATE($D59,Milestones!$AA$156),"dd mmm yy"))&amp;" "&amp;Milestones!$AB$156&amp;" "&amp;IF(AND(Milestones!$AB$156="FT",Milestones!$AA$156=FT_Y5,EDATE($D59,Milestones!$AA$156)&lt;PolicyEff),1,Milestones!$AC$156)&amp;";  ","")&amp;IF(AND(EDATE($D59,Milestones!$AA$157)&lt;=AsOfDate,EDATE($D59,Milestones!$AA$157)&gt;=SchemeStart,IF($X59=0,$AD59,IF(AND($Z59&lt;&gt;"",EDATE($D59,Milestones!$AA$157)&gt;=$Z59),$AC59,IF(AND($Y59&lt;&gt;"",EDATE($D59,Milestones!$AA$157)&gt;=$Y59),$AB59,$AA59)))=Milestones!$AB$157),UPPER(TEXT(EDATE($D59,Milestones!$AA$157),"dd mmm yy"))&amp;" "&amp;Milestones!$AB$157&amp;" "&amp;IF(AND(Milestones!$AB$157="FT",Milestones!$AA$157=FT_Y5,EDATE($D59,Milestones!$AA$157)&lt;PolicyEff),1,Milestones!$AC$157)&amp;";  ","")&amp;IF(AND(EDATE($D59,Milestones!$AA$158)&lt;=AsOfDate,EDATE($D59,Milestones!$AA$158)&gt;=SchemeStart,IF($X59=0,$AD59,IF(AND($Z59&lt;&gt;"",EDATE($D59,Milestones!$AA$158)&gt;=$Z59),$AC59,IF(AND($Y59&lt;&gt;"",EDATE($D59,Milestones!$AA$158)&gt;=$Y59),$AB59,$AA59)))=Milestones!$AB$158),UPPER(TEXT(EDATE($D59,Milestones!$AA$158),"dd mmm yy"))&amp;" "&amp;Milestones!$AB$158&amp;" "&amp;IF(AND(Milestones!$AB$158="FT",Milestones!$AA$158=FT_Y5,EDATE($D59,Milestones!$AA$158)&lt;PolicyEff),1,Milestones!$AC$158)&amp;";  ","")&amp;IF(AND(EDATE($D59,Milestones!$AA$159)&lt;=AsOfDate,EDATE($D59,Milestones!$AA$159)&gt;=SchemeStart,IF($X59=0,$AD59,IF(AND($Z59&lt;&gt;"",EDATE($D59,Milestones!$AA$159)&gt;=$Z59),$AC59,IF(AND($Y59&lt;&gt;"",EDATE($D59,Milestones!$AA$159)&gt;=$Y59),$AB59,$AA59)))=Milestones!$AB$159),UPPER(TEXT(EDATE($D59,Milestones!$AA$159),"dd mmm yy"))&amp;" "&amp;Milestones!$AB$159&amp;" "&amp;IF(AND(Milestones!$AB$159="FT",Milestones!$AA$159=FT_Y5,EDATE($D59,Milestones!$AA$159)&lt;PolicyEff),1,Milestones!$AC$159)&amp;";  ","")&amp;IF(AND(EDATE($D59,Milestones!$AA$160)&lt;=AsOfDate,EDATE($D59,Milestones!$AA$160)&gt;=SchemeStart,IF($X59=0,$AD59,IF(AND($Z59&lt;&gt;"",EDATE($D59,Milestones!$AA$160)&gt;=$Z59),$AC59,IF(AND($Y59&lt;&gt;"",EDATE($D59,Milestones!$AA$160)&gt;=$Y59),$AB59,$AA59)))=Milestones!$AB$160),UPPER(TEXT(EDATE($D59,Milestones!$AA$160),"dd mmm yy"))&amp;" "&amp;Milestones!$AB$160&amp;" "&amp;IF(AND(Milestones!$AB$160="FT",Milestones!$AA$160=FT_Y5,EDATE($D59,Milestones!$AA$160)&lt;PolicyEff),1,Milestones!$AC$160)&amp;";  ","")&amp;IF(AND(EDATE($D59,Milestones!$AA$161)&lt;=AsOfDate,EDATE($D59,Milestones!$AA$161)&gt;=SchemeStart,IF($X59=0,$AD59,IF(AND($Z59&lt;&gt;"",EDATE($D59,Milestones!$AA$161)&gt;=$Z59),$AC59,IF(AND($Y59&lt;&gt;"",EDATE($D59,Milestones!$AA$161)&gt;=$Y59),$AB59,$AA59)))=Milestones!$AB$161),UPPER(TEXT(EDATE($D59,Milestones!$AA$161),"dd mmm yy"))&amp;" "&amp;Milestones!$AB$161&amp;" "&amp;IF(AND(Milestones!$AB$161="FT",Milestones!$AA$161=FT_Y5,EDATE($D59,Milestones!$AA$161)&lt;PolicyEff),1,Milestones!$AC$161)&amp;";  ","")&amp;IF(AND(EDATE($D59,Milestones!$AA$162)&lt;=AsOfDate,EDATE($D59,Milestones!$AA$162)&gt;=SchemeStart,IF($X59=0,$AD59,IF(AND($Z59&lt;&gt;"",EDATE($D59,Milestones!$AA$162)&gt;=$Z59),$AC59,IF(AND($Y59&lt;&gt;"",EDATE($D59,Milestones!$AA$162)&gt;=$Y59),$AB59,$AA59)))=Milestones!$AB$162),UPPER(TEXT(EDATE($D59,Milestones!$AA$162),"dd mmm yy"))&amp;" "&amp;Milestones!$AB$162&amp;" "&amp;IF(AND(Milestones!$AB$162="FT",Milestones!$AA$162=FT_Y5,EDATE($D59,Milestones!$AA$162)&lt;PolicyEff),1,Milestones!$AC$162)&amp;";  ","")&amp;IF(AND(EDATE($D59,Milestones!$AA$163)&lt;=AsOfDate,EDATE($D59,Milestones!$AA$163)&gt;=SchemeStart,IF($X59=0,$AD59,IF(AND($Z59&lt;&gt;"",EDATE($D59,Milestones!$AA$163)&gt;=$Z59),$AC59,IF(AND($Y59&lt;&gt;"",EDATE($D59,Milestones!$AA$163)&gt;=$Y59),$AB59,$AA59)))=Milestones!$AB$163),UPPER(TEXT(EDATE($D59,Milestones!$AA$163),"dd mmm yy"))&amp;" "&amp;Milestones!$AB$163&amp;" "&amp;IF(AND(Milestones!$AB$163="FT",Milestones!$AA$163=FT_Y5,EDATE($D59,Milestones!$AA$163)&lt;PolicyEff),1,Milestones!$AC$163)&amp;";  ",""))</f>
        <v/>
      </c>
      <c r="U59" s="0" t="str">
        <f aca="false">IF(OR($A59="",$D59=""),"",IF(AND(EDATE($D59,Milestones!$AA$164)&lt;=AsOfDate,EDATE($D59,Milestones!$AA$164)&gt;=SchemeStart,IF($X59=0,$AD59,IF(AND($Z59&lt;&gt;"",EDATE($D59,Milestones!$AA$164)&gt;=$Z59),$AC59,IF(AND($Y59&lt;&gt;"",EDATE($D59,Milestones!$AA$164)&gt;=$Y59),$AB59,$AA59)))=Milestones!$AB$164),UPPER(TEXT(EDATE($D59,Milestones!$AA$164),"dd mmm yy"))&amp;" "&amp;Milestones!$AB$164&amp;" "&amp;IF(AND(Milestones!$AB$164="FT",Milestones!$AA$164=FT_Y5,EDATE($D59,Milestones!$AA$164)&lt;PolicyEff),1,Milestones!$AC$164)&amp;";  ","")&amp;IF(AND(EDATE($D59,Milestones!$AA$165)&lt;=AsOfDate,EDATE($D59,Milestones!$AA$165)&gt;=SchemeStart,IF($X59=0,$AD59,IF(AND($Z59&lt;&gt;"",EDATE($D59,Milestones!$AA$165)&gt;=$Z59),$AC59,IF(AND($Y59&lt;&gt;"",EDATE($D59,Milestones!$AA$165)&gt;=$Y59),$AB59,$AA59)))=Milestones!$AB$165),UPPER(TEXT(EDATE($D59,Milestones!$AA$165),"dd mmm yy"))&amp;" "&amp;Milestones!$AB$165&amp;" "&amp;IF(AND(Milestones!$AB$165="FT",Milestones!$AA$165=FT_Y5,EDATE($D59,Milestones!$AA$165)&lt;PolicyEff),1,Milestones!$AC$165)&amp;";  ","")&amp;IF(AND(EDATE($D59,Milestones!$AA$166)&lt;=AsOfDate,EDATE($D59,Milestones!$AA$166)&gt;=SchemeStart,IF($X59=0,$AD59,IF(AND($Z59&lt;&gt;"",EDATE($D59,Milestones!$AA$166)&gt;=$Z59),$AC59,IF(AND($Y59&lt;&gt;"",EDATE($D59,Milestones!$AA$166)&gt;=$Y59),$AB59,$AA59)))=Milestones!$AB$166),UPPER(TEXT(EDATE($D59,Milestones!$AA$166),"dd mmm yy"))&amp;" "&amp;Milestones!$AB$166&amp;" "&amp;IF(AND(Milestones!$AB$166="FT",Milestones!$AA$166=FT_Y5,EDATE($D59,Milestones!$AA$166)&lt;PolicyEff),1,Milestones!$AC$166)&amp;";  ","")&amp;IF(AND(EDATE($D59,Milestones!$AA$167)&lt;=AsOfDate,EDATE($D59,Milestones!$AA$167)&gt;=SchemeStart,IF($X59=0,$AD59,IF(AND($Z59&lt;&gt;"",EDATE($D59,Milestones!$AA$167)&gt;=$Z59),$AC59,IF(AND($Y59&lt;&gt;"",EDATE($D59,Milestones!$AA$167)&gt;=$Y59),$AB59,$AA59)))=Milestones!$AB$167),UPPER(TEXT(EDATE($D59,Milestones!$AA$167),"dd mmm yy"))&amp;" "&amp;Milestones!$AB$167&amp;" "&amp;IF(AND(Milestones!$AB$167="FT",Milestones!$AA$167=FT_Y5,EDATE($D59,Milestones!$AA$167)&lt;PolicyEff),1,Milestones!$AC$167)&amp;";  ","")&amp;IF(AND(EDATE($D59,Milestones!$AA$168)&lt;=AsOfDate,EDATE($D59,Milestones!$AA$168)&gt;=SchemeStart,IF($X59=0,$AD59,IF(AND($Z59&lt;&gt;"",EDATE($D59,Milestones!$AA$168)&gt;=$Z59),$AC59,IF(AND($Y59&lt;&gt;"",EDATE($D59,Milestones!$AA$168)&gt;=$Y59),$AB59,$AA59)))=Milestones!$AB$168),UPPER(TEXT(EDATE($D59,Milestones!$AA$168),"dd mmm yy"))&amp;" "&amp;Milestones!$AB$168&amp;" "&amp;IF(AND(Milestones!$AB$168="FT",Milestones!$AA$168=FT_Y5,EDATE($D59,Milestones!$AA$168)&lt;PolicyEff),1,Milestones!$AC$168)&amp;";  ","")&amp;IF(AND(EDATE($D59,Milestones!$AA$169)&lt;=AsOfDate,EDATE($D59,Milestones!$AA$169)&gt;=SchemeStart,IF($X59=0,$AD59,IF(AND($Z59&lt;&gt;"",EDATE($D59,Milestones!$AA$169)&gt;=$Z59),$AC59,IF(AND($Y59&lt;&gt;"",EDATE($D59,Milestones!$AA$169)&gt;=$Y59),$AB59,$AA59)))=Milestones!$AB$169),UPPER(TEXT(EDATE($D59,Milestones!$AA$169),"dd mmm yy"))&amp;" "&amp;Milestones!$AB$169&amp;" "&amp;IF(AND(Milestones!$AB$169="FT",Milestones!$AA$169=FT_Y5,EDATE($D59,Milestones!$AA$169)&lt;PolicyEff),1,Milestones!$AC$169)&amp;";  ","")&amp;IF(AND(EDATE($D59,Milestones!$AA$170)&lt;=AsOfDate,EDATE($D59,Milestones!$AA$170)&gt;=SchemeStart,IF($X59=0,$AD59,IF(AND($Z59&lt;&gt;"",EDATE($D59,Milestones!$AA$170)&gt;=$Z59),$AC59,IF(AND($Y59&lt;&gt;"",EDATE($D59,Milestones!$AA$170)&gt;=$Y59),$AB59,$AA59)))=Milestones!$AB$170),UPPER(TEXT(EDATE($D59,Milestones!$AA$170),"dd mmm yy"))&amp;" "&amp;Milestones!$AB$170&amp;" "&amp;IF(AND(Milestones!$AB$170="FT",Milestones!$AA$170=FT_Y5,EDATE($D59,Milestones!$AA$170)&lt;PolicyEff),1,Milestones!$AC$170)&amp;";  ","")&amp;IF(AND(EDATE($D59,Milestones!$AA$171)&lt;=AsOfDate,EDATE($D59,Milestones!$AA$171)&gt;=SchemeStart,IF($X59=0,$AD59,IF(AND($Z59&lt;&gt;"",EDATE($D59,Milestones!$AA$171)&gt;=$Z59),$AC59,IF(AND($Y59&lt;&gt;"",EDATE($D59,Milestones!$AA$171)&gt;=$Y59),$AB59,$AA59)))=Milestones!$AB$171),UPPER(TEXT(EDATE($D59,Milestones!$AA$171),"dd mmm yy"))&amp;" "&amp;Milestones!$AB$171&amp;" "&amp;IF(AND(Milestones!$AB$171="FT",Milestones!$AA$171=FT_Y5,EDATE($D59,Milestones!$AA$171)&lt;PolicyEff),1,Milestones!$AC$171)&amp;";  ","")&amp;IF(AND(EDATE($D59,Milestones!$AA$172)&lt;=AsOfDate,EDATE($D59,Milestones!$AA$172)&gt;=SchemeStart,IF($X59=0,$AD59,IF(AND($Z59&lt;&gt;"",EDATE($D59,Milestones!$AA$172)&gt;=$Z59),$AC59,IF(AND($Y59&lt;&gt;"",EDATE($D59,Milestones!$AA$172)&gt;=$Y59),$AB59,$AA59)))=Milestones!$AB$172),UPPER(TEXT(EDATE($D59,Milestones!$AA$172),"dd mmm yy"))&amp;" "&amp;Milestones!$AB$172&amp;" "&amp;IF(AND(Milestones!$AB$172="FT",Milestones!$AA$172=FT_Y5,EDATE($D59,Milestones!$AA$172)&lt;PolicyEff),1,Milestones!$AC$172)&amp;";  ","")&amp;IF(AND(EDATE($D59,Milestones!$AA$173)&lt;=AsOfDate,EDATE($D59,Milestones!$AA$173)&gt;=SchemeStart,IF($X59=0,$AD59,IF(AND($Z59&lt;&gt;"",EDATE($D59,Milestones!$AA$173)&gt;=$Z59),$AC59,IF(AND($Y59&lt;&gt;"",EDATE($D59,Milestones!$AA$173)&gt;=$Y59),$AB59,$AA59)))=Milestones!$AB$173),UPPER(TEXT(EDATE($D59,Milestones!$AA$173),"dd mmm yy"))&amp;" "&amp;Milestones!$AB$173&amp;" "&amp;IF(AND(Milestones!$AB$173="FT",Milestones!$AA$173=FT_Y5,EDATE($D59,Milestones!$AA$173)&lt;PolicyEff),1,Milestones!$AC$173)&amp;";  ","")&amp;IF(AND(EDATE($D59,Milestones!$AA$174)&lt;=AsOfDate,EDATE($D59,Milestones!$AA$174)&gt;=SchemeStart,IF($X59=0,$AD59,IF(AND($Z59&lt;&gt;"",EDATE($D59,Milestones!$AA$174)&gt;=$Z59),$AC59,IF(AND($Y59&lt;&gt;"",EDATE($D59,Milestones!$AA$174)&gt;=$Y59),$AB59,$AA59)))=Milestones!$AB$174),UPPER(TEXT(EDATE($D59,Milestones!$AA$174),"dd mmm yy"))&amp;" "&amp;Milestones!$AB$174&amp;" "&amp;IF(AND(Milestones!$AB$174="FT",Milestones!$AA$174=FT_Y5,EDATE($D59,Milestones!$AA$174)&lt;PolicyEff),1,Milestones!$AC$174)&amp;";  ","")&amp;IF(AND(EDATE($D59,Milestones!$AA$175)&lt;=AsOfDate,EDATE($D59,Milestones!$AA$175)&gt;=SchemeStart,IF($X59=0,$AD59,IF(AND($Z59&lt;&gt;"",EDATE($D59,Milestones!$AA$175)&gt;=$Z59),$AC59,IF(AND($Y59&lt;&gt;"",EDATE($D59,Milestones!$AA$175)&gt;=$Y59),$AB59,$AA59)))=Milestones!$AB$175),UPPER(TEXT(EDATE($D59,Milestones!$AA$175),"dd mmm yy"))&amp;" "&amp;Milestones!$AB$175&amp;" "&amp;IF(AND(Milestones!$AB$175="FT",Milestones!$AA$175=FT_Y5,EDATE($D59,Milestones!$AA$175)&lt;PolicyEff),1,Milestones!$AC$175)&amp;";  ",""))</f>
        <v/>
      </c>
      <c r="V59" s="0" t="str">
        <f aca="false">IF(OR($A59="",$D59=""),"",IF(AND(EDATE($D59,Milestones!$AA$176)&lt;=AsOfDate,EDATE($D59,Milestones!$AA$176)&gt;=SchemeStart,IF($X59=0,$AD59,IF(AND($Z59&lt;&gt;"",EDATE($D59,Milestones!$AA$176)&gt;=$Z59),$AC59,IF(AND($Y59&lt;&gt;"",EDATE($D59,Milestones!$AA$176)&gt;=$Y59),$AB59,$AA59)))=Milestones!$AB$176),UPPER(TEXT(EDATE($D59,Milestones!$AA$176),"dd mmm yy"))&amp;" "&amp;Milestones!$AB$176&amp;" "&amp;IF(AND(Milestones!$AB$176="FT",Milestones!$AA$176=FT_Y5,EDATE($D59,Milestones!$AA$176)&lt;PolicyEff),1,Milestones!$AC$176)&amp;";  ","")&amp;IF(AND(EDATE($D59,Milestones!$AA$177)&lt;=AsOfDate,EDATE($D59,Milestones!$AA$177)&gt;=SchemeStart,IF($X59=0,$AD59,IF(AND($Z59&lt;&gt;"",EDATE($D59,Milestones!$AA$177)&gt;=$Z59),$AC59,IF(AND($Y59&lt;&gt;"",EDATE($D59,Milestones!$AA$177)&gt;=$Y59),$AB59,$AA59)))=Milestones!$AB$177),UPPER(TEXT(EDATE($D59,Milestones!$AA$177),"dd mmm yy"))&amp;" "&amp;Milestones!$AB$177&amp;" "&amp;IF(AND(Milestones!$AB$177="FT",Milestones!$AA$177=FT_Y5,EDATE($D59,Milestones!$AA$177)&lt;PolicyEff),1,Milestones!$AC$177)&amp;";  ","")&amp;IF(AND(EDATE($D59,Milestones!$AA$178)&lt;=AsOfDate,EDATE($D59,Milestones!$AA$178)&gt;=SchemeStart,IF($X59=0,$AD59,IF(AND($Z59&lt;&gt;"",EDATE($D59,Milestones!$AA$178)&gt;=$Z59),$AC59,IF(AND($Y59&lt;&gt;"",EDATE($D59,Milestones!$AA$178)&gt;=$Y59),$AB59,$AA59)))=Milestones!$AB$178),UPPER(TEXT(EDATE($D59,Milestones!$AA$178),"dd mmm yy"))&amp;" "&amp;Milestones!$AB$178&amp;" "&amp;IF(AND(Milestones!$AB$178="FT",Milestones!$AA$178=FT_Y5,EDATE($D59,Milestones!$AA$178)&lt;PolicyEff),1,Milestones!$AC$178)&amp;";  ","")&amp;IF(AND(EDATE($D59,Milestones!$AA$179)&lt;=AsOfDate,EDATE($D59,Milestones!$AA$179)&gt;=SchemeStart,IF($X59=0,$AD59,IF(AND($Z59&lt;&gt;"",EDATE($D59,Milestones!$AA$179)&gt;=$Z59),$AC59,IF(AND($Y59&lt;&gt;"",EDATE($D59,Milestones!$AA$179)&gt;=$Y59),$AB59,$AA59)))=Milestones!$AB$179),UPPER(TEXT(EDATE($D59,Milestones!$AA$179),"dd mmm yy"))&amp;" "&amp;Milestones!$AB$179&amp;" "&amp;IF(AND(Milestones!$AB$179="FT",Milestones!$AA$179=FT_Y5,EDATE($D59,Milestones!$AA$179)&lt;PolicyEff),1,Milestones!$AC$179)&amp;";  ","")&amp;IF(AND(EDATE($D59,Milestones!$AA$180)&lt;=AsOfDate,EDATE($D59,Milestones!$AA$180)&gt;=SchemeStart,IF($X59=0,$AD59,IF(AND($Z59&lt;&gt;"",EDATE($D59,Milestones!$AA$180)&gt;=$Z59),$AC59,IF(AND($Y59&lt;&gt;"",EDATE($D59,Milestones!$AA$180)&gt;=$Y59),$AB59,$AA59)))=Milestones!$AB$180),UPPER(TEXT(EDATE($D59,Milestones!$AA$180),"dd mmm yy"))&amp;" "&amp;Milestones!$AB$180&amp;" "&amp;IF(AND(Milestones!$AB$180="FT",Milestones!$AA$180=FT_Y5,EDATE($D59,Milestones!$AA$180)&lt;PolicyEff),1,Milestones!$AC$180)&amp;";  ","")&amp;IF(AND(EDATE($D59,Milestones!$AA$181)&lt;=AsOfDate,EDATE($D59,Milestones!$AA$181)&gt;=SchemeStart,IF($X59=0,$AD59,IF(AND($Z59&lt;&gt;"",EDATE($D59,Milestones!$AA$181)&gt;=$Z59),$AC59,IF(AND($Y59&lt;&gt;"",EDATE($D59,Milestones!$AA$181)&gt;=$Y59),$AB59,$AA59)))=Milestones!$AB$181),UPPER(TEXT(EDATE($D59,Milestones!$AA$181),"dd mmm yy"))&amp;" "&amp;Milestones!$AB$181&amp;" "&amp;IF(AND(Milestones!$AB$181="FT",Milestones!$AA$181=FT_Y5,EDATE($D59,Milestones!$AA$181)&lt;PolicyEff),1,Milestones!$AC$181)&amp;";  ","")&amp;IF(AND(EDATE($D59,Milestones!$AA$182)&lt;=AsOfDate,EDATE($D59,Milestones!$AA$182)&gt;=SchemeStart,IF($X59=0,$AD59,IF(AND($Z59&lt;&gt;"",EDATE($D59,Milestones!$AA$182)&gt;=$Z59),$AC59,IF(AND($Y59&lt;&gt;"",EDATE($D59,Milestones!$AA$182)&gt;=$Y59),$AB59,$AA59)))=Milestones!$AB$182),UPPER(TEXT(EDATE($D59,Milestones!$AA$182),"dd mmm yy"))&amp;" "&amp;Milestones!$AB$182&amp;" "&amp;IF(AND(Milestones!$AB$182="FT",Milestones!$AA$182=FT_Y5,EDATE($D59,Milestones!$AA$182)&lt;PolicyEff),1,Milestones!$AC$182)&amp;";  ","")&amp;IF(AND(EDATE($D59,Milestones!$AA$183)&lt;=AsOfDate,EDATE($D59,Milestones!$AA$183)&gt;=SchemeStart,IF($X59=0,$AD59,IF(AND($Z59&lt;&gt;"",EDATE($D59,Milestones!$AA$183)&gt;=$Z59),$AC59,IF(AND($Y59&lt;&gt;"",EDATE($D59,Milestones!$AA$183)&gt;=$Y59),$AB59,$AA59)))=Milestones!$AB$183),UPPER(TEXT(EDATE($D59,Milestones!$AA$183),"dd mmm yy"))&amp;" "&amp;Milestones!$AB$183&amp;" "&amp;IF(AND(Milestones!$AB$183="FT",Milestones!$AA$183=FT_Y5,EDATE($D59,Milestones!$AA$183)&lt;PolicyEff),1,Milestones!$AC$183)&amp;";  ","")&amp;IF(AND(EDATE($D59,Milestones!$AA$184)&lt;=AsOfDate,EDATE($D59,Milestones!$AA$184)&gt;=SchemeStart,IF($X59=0,$AD59,IF(AND($Z59&lt;&gt;"",EDATE($D59,Milestones!$AA$184)&gt;=$Z59),$AC59,IF(AND($Y59&lt;&gt;"",EDATE($D59,Milestones!$AA$184)&gt;=$Y59),$AB59,$AA59)))=Milestones!$AB$184),UPPER(TEXT(EDATE($D59,Milestones!$AA$184),"dd mmm yy"))&amp;" "&amp;Milestones!$AB$184&amp;" "&amp;IF(AND(Milestones!$AB$184="FT",Milestones!$AA$184=FT_Y5,EDATE($D59,Milestones!$AA$184)&lt;PolicyEff),1,Milestones!$AC$184)&amp;";  ","")&amp;IF(AND(EDATE($D59,Milestones!$AA$185)&lt;=AsOfDate,EDATE($D59,Milestones!$AA$185)&gt;=SchemeStart,IF($X59=0,$AD59,IF(AND($Z59&lt;&gt;"",EDATE($D59,Milestones!$AA$185)&gt;=$Z59),$AC59,IF(AND($Y59&lt;&gt;"",EDATE($D59,Milestones!$AA$185)&gt;=$Y59),$AB59,$AA59)))=Milestones!$AB$185),UPPER(TEXT(EDATE($D59,Milestones!$AA$185),"dd mmm yy"))&amp;" "&amp;Milestones!$AB$185&amp;" "&amp;IF(AND(Milestones!$AB$185="FT",Milestones!$AA$185=FT_Y5,EDATE($D59,Milestones!$AA$185)&lt;PolicyEff),1,Milestones!$AC$185)&amp;";  ","")&amp;IF(AND(EDATE($D59,Milestones!$AA$186)&lt;=AsOfDate,EDATE($D59,Milestones!$AA$186)&gt;=SchemeStart,IF($X59=0,$AD59,IF(AND($Z59&lt;&gt;"",EDATE($D59,Milestones!$AA$186)&gt;=$Z59),$AC59,IF(AND($Y59&lt;&gt;"",EDATE($D59,Milestones!$AA$186)&gt;=$Y59),$AB59,$AA59)))=Milestones!$AB$186),UPPER(TEXT(EDATE($D59,Milestones!$AA$186),"dd mmm yy"))&amp;" "&amp;Milestones!$AB$186&amp;" "&amp;IF(AND(Milestones!$AB$186="FT",Milestones!$AA$186=FT_Y5,EDATE($D59,Milestones!$AA$186)&lt;PolicyEff),1,Milestones!$AC$186)&amp;";  ","")&amp;IF(AND(EDATE($D59,Milestones!$AA$187)&lt;=AsOfDate,EDATE($D59,Milestones!$AA$187)&gt;=SchemeStart,IF($X59=0,$AD59,IF(AND($Z59&lt;&gt;"",EDATE($D59,Milestones!$AA$187)&gt;=$Z59),$AC59,IF(AND($Y59&lt;&gt;"",EDATE($D59,Milestones!$AA$187)&gt;=$Y59),$AB59,$AA59)))=Milestones!$AB$187),UPPER(TEXT(EDATE($D59,Milestones!$AA$187),"dd mmm yy"))&amp;" "&amp;Milestones!$AB$187&amp;" "&amp;IF(AND(Milestones!$AB$187="FT",Milestones!$AA$187=FT_Y5,EDATE($D59,Milestones!$AA$187)&lt;PolicyEff),1,Milestones!$AC$187)&amp;";  ",""))</f>
        <v/>
      </c>
      <c r="W59" s="0" t="str">
        <f aca="false">IF(OR($A59="",$D59=""),"",IF(AND(EDATE($D59,Milestones!$AA$188)&lt;=AsOfDate,EDATE($D59,Milestones!$AA$188)&gt;=SchemeStart,IF($X59=0,$AD59,IF(AND($Z59&lt;&gt;"",EDATE($D59,Milestones!$AA$188)&gt;=$Z59),$AC59,IF(AND($Y59&lt;&gt;"",EDATE($D59,Milestones!$AA$188)&gt;=$Y59),$AB59,$AA59)))=Milestones!$AB$188),UPPER(TEXT(EDATE($D59,Milestones!$AA$188),"dd mmm yy"))&amp;" "&amp;Milestones!$AB$188&amp;" "&amp;IF(AND(Milestones!$AB$188="FT",Milestones!$AA$188=FT_Y5,EDATE($D59,Milestones!$AA$188)&lt;PolicyEff),1,Milestones!$AC$188)&amp;";  ","")&amp;IF(AND(EDATE($D59,Milestones!$AA$189)&lt;=AsOfDate,EDATE($D59,Milestones!$AA$189)&gt;=SchemeStart,IF($X59=0,$AD59,IF(AND($Z59&lt;&gt;"",EDATE($D59,Milestones!$AA$189)&gt;=$Z59),$AC59,IF(AND($Y59&lt;&gt;"",EDATE($D59,Milestones!$AA$189)&gt;=$Y59),$AB59,$AA59)))=Milestones!$AB$189),UPPER(TEXT(EDATE($D59,Milestones!$AA$189),"dd mmm yy"))&amp;" "&amp;Milestones!$AB$189&amp;" "&amp;IF(AND(Milestones!$AB$189="FT",Milestones!$AA$189=FT_Y5,EDATE($D59,Milestones!$AA$189)&lt;PolicyEff),1,Milestones!$AC$189)&amp;";  ","")&amp;IF(AND(EDATE($D59,Milestones!$AA$190)&lt;=AsOfDate,EDATE($D59,Milestones!$AA$190)&gt;=SchemeStart,IF($X59=0,$AD59,IF(AND($Z59&lt;&gt;"",EDATE($D59,Milestones!$AA$190)&gt;=$Z59),$AC59,IF(AND($Y59&lt;&gt;"",EDATE($D59,Milestones!$AA$190)&gt;=$Y59),$AB59,$AA59)))=Milestones!$AB$190),UPPER(TEXT(EDATE($D59,Milestones!$AA$190),"dd mmm yy"))&amp;" "&amp;Milestones!$AB$190&amp;" "&amp;IF(AND(Milestones!$AB$190="FT",Milestones!$AA$190=FT_Y5,EDATE($D59,Milestones!$AA$190)&lt;PolicyEff),1,Milestones!$AC$190)&amp;";  ","")&amp;IF(AND(EDATE($D59,Milestones!$AA$191)&lt;=AsOfDate,EDATE($D59,Milestones!$AA$191)&gt;=SchemeStart,IF($X59=0,$AD59,IF(AND($Z59&lt;&gt;"",EDATE($D59,Milestones!$AA$191)&gt;=$Z59),$AC59,IF(AND($Y59&lt;&gt;"",EDATE($D59,Milestones!$AA$191)&gt;=$Y59),$AB59,$AA59)))=Milestones!$AB$191),UPPER(TEXT(EDATE($D59,Milestones!$AA$191),"dd mmm yy"))&amp;" "&amp;Milestones!$AB$191&amp;" "&amp;IF(AND(Milestones!$AB$191="FT",Milestones!$AA$191=FT_Y5,EDATE($D59,Milestones!$AA$191)&lt;PolicyEff),1,Milestones!$AC$191)&amp;";  ","")&amp;IF(AND(EDATE($D59,Milestones!$AA$192)&lt;=AsOfDate,EDATE($D59,Milestones!$AA$192)&gt;=SchemeStart,IF($X59=0,$AD59,IF(AND($Z59&lt;&gt;"",EDATE($D59,Milestones!$AA$192)&gt;=$Z59),$AC59,IF(AND($Y59&lt;&gt;"",EDATE($D59,Milestones!$AA$192)&gt;=$Y59),$AB59,$AA59)))=Milestones!$AB$192),UPPER(TEXT(EDATE($D59,Milestones!$AA$192),"dd mmm yy"))&amp;" "&amp;Milestones!$AB$192&amp;" "&amp;IF(AND(Milestones!$AB$192="FT",Milestones!$AA$192=FT_Y5,EDATE($D59,Milestones!$AA$192)&lt;PolicyEff),1,Milestones!$AC$192)&amp;";  ","")&amp;IF(AND(EDATE($D59,Milestones!$AA$193)&lt;=AsOfDate,EDATE($D59,Milestones!$AA$193)&gt;=SchemeStart,IF($X59=0,$AD59,IF(AND($Z59&lt;&gt;"",EDATE($D59,Milestones!$AA$193)&gt;=$Z59),$AC59,IF(AND($Y59&lt;&gt;"",EDATE($D59,Milestones!$AA$193)&gt;=$Y59),$AB59,$AA59)))=Milestones!$AB$193),UPPER(TEXT(EDATE($D59,Milestones!$AA$193),"dd mmm yy"))&amp;" "&amp;Milestones!$AB$193&amp;" "&amp;IF(AND(Milestones!$AB$193="FT",Milestones!$AA$193=FT_Y5,EDATE($D59,Milestones!$AA$193)&lt;PolicyEff),1,Milestones!$AC$193)&amp;";  ","")&amp;IF(AND(EDATE($D59,Milestones!$AA$194)&lt;=AsOfDate,EDATE($D59,Milestones!$AA$194)&gt;=SchemeStart,IF($X59=0,$AD59,IF(AND($Z59&lt;&gt;"",EDATE($D59,Milestones!$AA$194)&gt;=$Z59),$AC59,IF(AND($Y59&lt;&gt;"",EDATE($D59,Milestones!$AA$194)&gt;=$Y59),$AB59,$AA59)))=Milestones!$AB$194),UPPER(TEXT(EDATE($D59,Milestones!$AA$194),"dd mmm yy"))&amp;" "&amp;Milestones!$AB$194&amp;" "&amp;IF(AND(Milestones!$AB$194="FT",Milestones!$AA$194=FT_Y5,EDATE($D59,Milestones!$AA$194)&lt;PolicyEff),1,Milestones!$AC$194)&amp;";  ","")&amp;IF(AND(EDATE($D59,Milestones!$AA$195)&lt;=AsOfDate,EDATE($D59,Milestones!$AA$195)&gt;=SchemeStart,IF($X59=0,$AD59,IF(AND($Z59&lt;&gt;"",EDATE($D59,Milestones!$AA$195)&gt;=$Z59),$AC59,IF(AND($Y59&lt;&gt;"",EDATE($D59,Milestones!$AA$195)&gt;=$Y59),$AB59,$AA59)))=Milestones!$AB$195),UPPER(TEXT(EDATE($D59,Milestones!$AA$195),"dd mmm yy"))&amp;" "&amp;Milestones!$AB$195&amp;" "&amp;IF(AND(Milestones!$AB$195="FT",Milestones!$AA$195=FT_Y5,EDATE($D59,Milestones!$AA$195)&lt;PolicyEff),1,Milestones!$AC$195)&amp;";  ","")&amp;IF(AND(EDATE($D59,Milestones!$AA$196)&lt;=AsOfDate,EDATE($D59,Milestones!$AA$196)&gt;=SchemeStart,IF($X59=0,$AD59,IF(AND($Z59&lt;&gt;"",EDATE($D59,Milestones!$AA$196)&gt;=$Z59),$AC59,IF(AND($Y59&lt;&gt;"",EDATE($D59,Milestones!$AA$196)&gt;=$Y59),$AB59,$AA59)))=Milestones!$AB$196),UPPER(TEXT(EDATE($D59,Milestones!$AA$196),"dd mmm yy"))&amp;" "&amp;Milestones!$AB$196&amp;" "&amp;IF(AND(Milestones!$AB$196="FT",Milestones!$AA$196=FT_Y5,EDATE($D59,Milestones!$AA$196)&lt;PolicyEff),1,Milestones!$AC$196)&amp;";  ","")&amp;IF(AND(EDATE($D59,Milestones!$AA$197)&lt;=AsOfDate,EDATE($D59,Milestones!$AA$197)&gt;=SchemeStart,IF($X59=0,$AD59,IF(AND($Z59&lt;&gt;"",EDATE($D59,Milestones!$AA$197)&gt;=$Z59),$AC59,IF(AND($Y59&lt;&gt;"",EDATE($D59,Milestones!$AA$197)&gt;=$Y59),$AB59,$AA59)))=Milestones!$AB$197),UPPER(TEXT(EDATE($D59,Milestones!$AA$197),"dd mmm yy"))&amp;" "&amp;Milestones!$AB$197&amp;" "&amp;IF(AND(Milestones!$AB$197="FT",Milestones!$AA$197=FT_Y5,EDATE($D59,Milestones!$AA$197)&lt;PolicyEff),1,Milestones!$AC$197)&amp;";  ","")&amp;IF(AND(EDATE($D59,Milestones!$AA$198)&lt;=AsOfDate,EDATE($D59,Milestones!$AA$198)&gt;=SchemeStart,IF($X59=0,$AD59,IF(AND($Z59&lt;&gt;"",EDATE($D59,Milestones!$AA$198)&gt;=$Z59),$AC59,IF(AND($Y59&lt;&gt;"",EDATE($D59,Milestones!$AA$198)&gt;=$Y59),$AB59,$AA59)))=Milestones!$AB$198),UPPER(TEXT(EDATE($D59,Milestones!$AA$198),"dd mmm yy"))&amp;" "&amp;Milestones!$AB$198&amp;" "&amp;IF(AND(Milestones!$AB$198="FT",Milestones!$AA$198=FT_Y5,EDATE($D59,Milestones!$AA$198)&lt;PolicyEff),1,Milestones!$AC$198)&amp;";  ","")&amp;IF(AND(EDATE($D59,Milestones!$AA$199)&lt;=AsOfDate,EDATE($D59,Milestones!$AA$199)&gt;=SchemeStart,IF($X59=0,$AD59,IF(AND($Z59&lt;&gt;"",EDATE($D59,Milestones!$AA$199)&gt;=$Z59),$AC59,IF(AND($Y59&lt;&gt;"",EDATE($D59,Milestones!$AA$199)&gt;=$Y59),$AB59,$AA59)))=Milestones!$AB$199),UPPER(TEXT(EDATE($D59,Milestones!$AA$199),"dd mmm yy"))&amp;" "&amp;Milestones!$AB$199&amp;" "&amp;IF(AND(Milestones!$AB$199="FT",Milestones!$AA$199=FT_Y5,EDATE($D59,Milestones!$AA$199)&lt;PolicyEff),1,Milestones!$AC$199)&amp;";  ",""))</f>
        <v/>
      </c>
      <c r="X59" s="0" t="str">
        <f aca="false">IF(Staff!$A59="","",Staff!$AM59)</f>
        <v/>
      </c>
      <c r="Y59" s="0" t="str">
        <f aca="false">IF(Staff!$A59="","",Staff!$AO59)</f>
        <v/>
      </c>
      <c r="Z59" s="0" t="str">
        <f aca="false">IF(Staff!$A59="","",Staff!$AP59)</f>
        <v/>
      </c>
      <c r="AA59" s="0" t="str">
        <f aca="false">IF(Staff!$A59="","",Staff!$AT59)</f>
        <v/>
      </c>
      <c r="AB59" s="0" t="str">
        <f aca="false">IF(Staff!$A59="","",Staff!$AU59)</f>
        <v/>
      </c>
      <c r="AC59" s="0" t="str">
        <f aca="false">IF(Staff!$A59="","",Staff!$AV59)</f>
        <v/>
      </c>
      <c r="AD59" s="0" t="str">
        <f aca="false">IF(Staff!$A59="","",Staff!$AW59)</f>
        <v/>
      </c>
    </row>
    <row r="60" customFormat="false" ht="15" hidden="false" customHeight="false" outlineLevel="0" collapsed="false">
      <c r="A60" s="16" t="str">
        <f aca="false">IF(Staff!$A60="","",Staff!$A60)</f>
        <v/>
      </c>
      <c r="B60" s="16" t="str">
        <f aca="false">IF(Staff!$A60="","",Staff!$B60)</f>
        <v/>
      </c>
      <c r="C60" s="16" t="str">
        <f aca="false">IF(Staff!$A60="","",Staff!$C60)</f>
        <v/>
      </c>
      <c r="D60" s="14" t="str">
        <f aca="false">IF(Staff!$A60="","",Staff!$AL60)</f>
        <v/>
      </c>
      <c r="E60" s="16" t="str">
        <f aca="false">IF(Staff!$A60="","",Staff!$O60)</f>
        <v/>
      </c>
      <c r="F60" s="16" t="str">
        <f aca="false">IF(E60="","",E60*HoursPerDay)</f>
        <v/>
      </c>
      <c r="G60" s="16" t="str">
        <f aca="false">IF(Staff!$A60="","",Staff!$AE60)</f>
        <v/>
      </c>
      <c r="H60" s="28" t="str">
        <f aca="false">IF($A60="","",I60&amp;J60&amp;K60&amp;L60&amp;M60&amp;N60&amp;O60&amp;P60&amp;Q60&amp;R60&amp;S60&amp;T60&amp;U60&amp;V60&amp;W60)</f>
        <v/>
      </c>
      <c r="I60" s="0" t="str">
        <f aca="false">IF(OR($A60="",$D60=""),"",IF(AND(EDATE($D60,Milestones!$AA$20)&lt;=AsOfDate,EDATE($D60,Milestones!$AA$20)&gt;=SchemeStart,IF($X60=0,$AD60,IF(AND($Z60&lt;&gt;"",EDATE($D60,Milestones!$AA$20)&gt;=$Z60),$AC60,IF(AND($Y60&lt;&gt;"",EDATE($D60,Milestones!$AA$20)&gt;=$Y60),$AB60,$AA60)))=Milestones!$AB$20),UPPER(TEXT(EDATE($D60,Milestones!$AA$20),"dd mmm yy"))&amp;" "&amp;Milestones!$AB$20&amp;" "&amp;IF(AND(Milestones!$AB$20="FT",Milestones!$AA$20=FT_Y5,EDATE($D60,Milestones!$AA$20)&lt;PolicyEff),1,Milestones!$AC$20)&amp;";  ","")&amp;IF(AND(EDATE($D60,Milestones!$AA$21)&lt;=AsOfDate,EDATE($D60,Milestones!$AA$21)&gt;=SchemeStart,IF($X60=0,$AD60,IF(AND($Z60&lt;&gt;"",EDATE($D60,Milestones!$AA$21)&gt;=$Z60),$AC60,IF(AND($Y60&lt;&gt;"",EDATE($D60,Milestones!$AA$21)&gt;=$Y60),$AB60,$AA60)))=Milestones!$AB$21),UPPER(TEXT(EDATE($D60,Milestones!$AA$21),"dd mmm yy"))&amp;" "&amp;Milestones!$AB$21&amp;" "&amp;IF(AND(Milestones!$AB$21="FT",Milestones!$AA$21=FT_Y5,EDATE($D60,Milestones!$AA$21)&lt;PolicyEff),1,Milestones!$AC$21)&amp;";  ","")&amp;IF(AND(EDATE($D60,Milestones!$AA$22)&lt;=AsOfDate,EDATE($D60,Milestones!$AA$22)&gt;=SchemeStart,IF($X60=0,$AD60,IF(AND($Z60&lt;&gt;"",EDATE($D60,Milestones!$AA$22)&gt;=$Z60),$AC60,IF(AND($Y60&lt;&gt;"",EDATE($D60,Milestones!$AA$22)&gt;=$Y60),$AB60,$AA60)))=Milestones!$AB$22),UPPER(TEXT(EDATE($D60,Milestones!$AA$22),"dd mmm yy"))&amp;" "&amp;Milestones!$AB$22&amp;" "&amp;IF(AND(Milestones!$AB$22="FT",Milestones!$AA$22=FT_Y5,EDATE($D60,Milestones!$AA$22)&lt;PolicyEff),1,Milestones!$AC$22)&amp;";  ","")&amp;IF(AND(EDATE($D60,Milestones!$AA$23)&lt;=AsOfDate,EDATE($D60,Milestones!$AA$23)&gt;=SchemeStart,IF($X60=0,$AD60,IF(AND($Z60&lt;&gt;"",EDATE($D60,Milestones!$AA$23)&gt;=$Z60),$AC60,IF(AND($Y60&lt;&gt;"",EDATE($D60,Milestones!$AA$23)&gt;=$Y60),$AB60,$AA60)))=Milestones!$AB$23),UPPER(TEXT(EDATE($D60,Milestones!$AA$23),"dd mmm yy"))&amp;" "&amp;Milestones!$AB$23&amp;" "&amp;IF(AND(Milestones!$AB$23="FT",Milestones!$AA$23=FT_Y5,EDATE($D60,Milestones!$AA$23)&lt;PolicyEff),1,Milestones!$AC$23)&amp;";  ","")&amp;IF(AND(EDATE($D60,Milestones!$AA$24)&lt;=AsOfDate,EDATE($D60,Milestones!$AA$24)&gt;=SchemeStart,IF($X60=0,$AD60,IF(AND($Z60&lt;&gt;"",EDATE($D60,Milestones!$AA$24)&gt;=$Z60),$AC60,IF(AND($Y60&lt;&gt;"",EDATE($D60,Milestones!$AA$24)&gt;=$Y60),$AB60,$AA60)))=Milestones!$AB$24),UPPER(TEXT(EDATE($D60,Milestones!$AA$24),"dd mmm yy"))&amp;" "&amp;Milestones!$AB$24&amp;" "&amp;IF(AND(Milestones!$AB$24="FT",Milestones!$AA$24=FT_Y5,EDATE($D60,Milestones!$AA$24)&lt;PolicyEff),1,Milestones!$AC$24)&amp;";  ","")&amp;IF(AND(EDATE($D60,Milestones!$AA$25)&lt;=AsOfDate,EDATE($D60,Milestones!$AA$25)&gt;=SchemeStart,IF($X60=0,$AD60,IF(AND($Z60&lt;&gt;"",EDATE($D60,Milestones!$AA$25)&gt;=$Z60),$AC60,IF(AND($Y60&lt;&gt;"",EDATE($D60,Milestones!$AA$25)&gt;=$Y60),$AB60,$AA60)))=Milestones!$AB$25),UPPER(TEXT(EDATE($D60,Milestones!$AA$25),"dd mmm yy"))&amp;" "&amp;Milestones!$AB$25&amp;" "&amp;IF(AND(Milestones!$AB$25="FT",Milestones!$AA$25=FT_Y5,EDATE($D60,Milestones!$AA$25)&lt;PolicyEff),1,Milestones!$AC$25)&amp;";  ","")&amp;IF(AND(EDATE($D60,Milestones!$AA$26)&lt;=AsOfDate,EDATE($D60,Milestones!$AA$26)&gt;=SchemeStart,IF($X60=0,$AD60,IF(AND($Z60&lt;&gt;"",EDATE($D60,Milestones!$AA$26)&gt;=$Z60),$AC60,IF(AND($Y60&lt;&gt;"",EDATE($D60,Milestones!$AA$26)&gt;=$Y60),$AB60,$AA60)))=Milestones!$AB$26),UPPER(TEXT(EDATE($D60,Milestones!$AA$26),"dd mmm yy"))&amp;" "&amp;Milestones!$AB$26&amp;" "&amp;IF(AND(Milestones!$AB$26="FT",Milestones!$AA$26=FT_Y5,EDATE($D60,Milestones!$AA$26)&lt;PolicyEff),1,Milestones!$AC$26)&amp;";  ","")&amp;IF(AND(EDATE($D60,Milestones!$AA$27)&lt;=AsOfDate,EDATE($D60,Milestones!$AA$27)&gt;=SchemeStart,IF($X60=0,$AD60,IF(AND($Z60&lt;&gt;"",EDATE($D60,Milestones!$AA$27)&gt;=$Z60),$AC60,IF(AND($Y60&lt;&gt;"",EDATE($D60,Milestones!$AA$27)&gt;=$Y60),$AB60,$AA60)))=Milestones!$AB$27),UPPER(TEXT(EDATE($D60,Milestones!$AA$27),"dd mmm yy"))&amp;" "&amp;Milestones!$AB$27&amp;" "&amp;IF(AND(Milestones!$AB$27="FT",Milestones!$AA$27=FT_Y5,EDATE($D60,Milestones!$AA$27)&lt;PolicyEff),1,Milestones!$AC$27)&amp;";  ","")&amp;IF(AND(EDATE($D60,Milestones!$AA$28)&lt;=AsOfDate,EDATE($D60,Milestones!$AA$28)&gt;=SchemeStart,IF($X60=0,$AD60,IF(AND($Z60&lt;&gt;"",EDATE($D60,Milestones!$AA$28)&gt;=$Z60),$AC60,IF(AND($Y60&lt;&gt;"",EDATE($D60,Milestones!$AA$28)&gt;=$Y60),$AB60,$AA60)))=Milestones!$AB$28),UPPER(TEXT(EDATE($D60,Milestones!$AA$28),"dd mmm yy"))&amp;" "&amp;Milestones!$AB$28&amp;" "&amp;IF(AND(Milestones!$AB$28="FT",Milestones!$AA$28=FT_Y5,EDATE($D60,Milestones!$AA$28)&lt;PolicyEff),1,Milestones!$AC$28)&amp;";  ","")&amp;IF(AND(EDATE($D60,Milestones!$AA$29)&lt;=AsOfDate,EDATE($D60,Milestones!$AA$29)&gt;=SchemeStart,IF($X60=0,$AD60,IF(AND($Z60&lt;&gt;"",EDATE($D60,Milestones!$AA$29)&gt;=$Z60),$AC60,IF(AND($Y60&lt;&gt;"",EDATE($D60,Milestones!$AA$29)&gt;=$Y60),$AB60,$AA60)))=Milestones!$AB$29),UPPER(TEXT(EDATE($D60,Milestones!$AA$29),"dd mmm yy"))&amp;" "&amp;Milestones!$AB$29&amp;" "&amp;IF(AND(Milestones!$AB$29="FT",Milestones!$AA$29=FT_Y5,EDATE($D60,Milestones!$AA$29)&lt;PolicyEff),1,Milestones!$AC$29)&amp;";  ","")&amp;IF(AND(EDATE($D60,Milestones!$AA$30)&lt;=AsOfDate,EDATE($D60,Milestones!$AA$30)&gt;=SchemeStart,IF($X60=0,$AD60,IF(AND($Z60&lt;&gt;"",EDATE($D60,Milestones!$AA$30)&gt;=$Z60),$AC60,IF(AND($Y60&lt;&gt;"",EDATE($D60,Milestones!$AA$30)&gt;=$Y60),$AB60,$AA60)))=Milestones!$AB$30),UPPER(TEXT(EDATE($D60,Milestones!$AA$30),"dd mmm yy"))&amp;" "&amp;Milestones!$AB$30&amp;" "&amp;IF(AND(Milestones!$AB$30="FT",Milestones!$AA$30=FT_Y5,EDATE($D60,Milestones!$AA$30)&lt;PolicyEff),1,Milestones!$AC$30)&amp;";  ","")&amp;IF(AND(EDATE($D60,Milestones!$AA$31)&lt;=AsOfDate,EDATE($D60,Milestones!$AA$31)&gt;=SchemeStart,IF($X60=0,$AD60,IF(AND($Z60&lt;&gt;"",EDATE($D60,Milestones!$AA$31)&gt;=$Z60),$AC60,IF(AND($Y60&lt;&gt;"",EDATE($D60,Milestones!$AA$31)&gt;=$Y60),$AB60,$AA60)))=Milestones!$AB$31),UPPER(TEXT(EDATE($D60,Milestones!$AA$31),"dd mmm yy"))&amp;" "&amp;Milestones!$AB$31&amp;" "&amp;IF(AND(Milestones!$AB$31="FT",Milestones!$AA$31=FT_Y5,EDATE($D60,Milestones!$AA$31)&lt;PolicyEff),1,Milestones!$AC$31)&amp;";  ",""))</f>
        <v/>
      </c>
      <c r="J60" s="0" t="str">
        <f aca="false">IF(OR($A60="",$D60=""),"",IF(AND(EDATE($D60,Milestones!$AA$32)&lt;=AsOfDate,EDATE($D60,Milestones!$AA$32)&gt;=SchemeStart,IF($X60=0,$AD60,IF(AND($Z60&lt;&gt;"",EDATE($D60,Milestones!$AA$32)&gt;=$Z60),$AC60,IF(AND($Y60&lt;&gt;"",EDATE($D60,Milestones!$AA$32)&gt;=$Y60),$AB60,$AA60)))=Milestones!$AB$32),UPPER(TEXT(EDATE($D60,Milestones!$AA$32),"dd mmm yy"))&amp;" "&amp;Milestones!$AB$32&amp;" "&amp;IF(AND(Milestones!$AB$32="FT",Milestones!$AA$32=FT_Y5,EDATE($D60,Milestones!$AA$32)&lt;PolicyEff),1,Milestones!$AC$32)&amp;";  ","")&amp;IF(AND(EDATE($D60,Milestones!$AA$33)&lt;=AsOfDate,EDATE($D60,Milestones!$AA$33)&gt;=SchemeStart,IF($X60=0,$AD60,IF(AND($Z60&lt;&gt;"",EDATE($D60,Milestones!$AA$33)&gt;=$Z60),$AC60,IF(AND($Y60&lt;&gt;"",EDATE($D60,Milestones!$AA$33)&gt;=$Y60),$AB60,$AA60)))=Milestones!$AB$33),UPPER(TEXT(EDATE($D60,Milestones!$AA$33),"dd mmm yy"))&amp;" "&amp;Milestones!$AB$33&amp;" "&amp;IF(AND(Milestones!$AB$33="FT",Milestones!$AA$33=FT_Y5,EDATE($D60,Milestones!$AA$33)&lt;PolicyEff),1,Milestones!$AC$33)&amp;";  ","")&amp;IF(AND(EDATE($D60,Milestones!$AA$34)&lt;=AsOfDate,EDATE($D60,Milestones!$AA$34)&gt;=SchemeStart,IF($X60=0,$AD60,IF(AND($Z60&lt;&gt;"",EDATE($D60,Milestones!$AA$34)&gt;=$Z60),$AC60,IF(AND($Y60&lt;&gt;"",EDATE($D60,Milestones!$AA$34)&gt;=$Y60),$AB60,$AA60)))=Milestones!$AB$34),UPPER(TEXT(EDATE($D60,Milestones!$AA$34),"dd mmm yy"))&amp;" "&amp;Milestones!$AB$34&amp;" "&amp;IF(AND(Milestones!$AB$34="FT",Milestones!$AA$34=FT_Y5,EDATE($D60,Milestones!$AA$34)&lt;PolicyEff),1,Milestones!$AC$34)&amp;";  ","")&amp;IF(AND(EDATE($D60,Milestones!$AA$35)&lt;=AsOfDate,EDATE($D60,Milestones!$AA$35)&gt;=SchemeStart,IF($X60=0,$AD60,IF(AND($Z60&lt;&gt;"",EDATE($D60,Milestones!$AA$35)&gt;=$Z60),$AC60,IF(AND($Y60&lt;&gt;"",EDATE($D60,Milestones!$AA$35)&gt;=$Y60),$AB60,$AA60)))=Milestones!$AB$35),UPPER(TEXT(EDATE($D60,Milestones!$AA$35),"dd mmm yy"))&amp;" "&amp;Milestones!$AB$35&amp;" "&amp;IF(AND(Milestones!$AB$35="FT",Milestones!$AA$35=FT_Y5,EDATE($D60,Milestones!$AA$35)&lt;PolicyEff),1,Milestones!$AC$35)&amp;";  ","")&amp;IF(AND(EDATE($D60,Milestones!$AA$36)&lt;=AsOfDate,EDATE($D60,Milestones!$AA$36)&gt;=SchemeStart,IF($X60=0,$AD60,IF(AND($Z60&lt;&gt;"",EDATE($D60,Milestones!$AA$36)&gt;=$Z60),$AC60,IF(AND($Y60&lt;&gt;"",EDATE($D60,Milestones!$AA$36)&gt;=$Y60),$AB60,$AA60)))=Milestones!$AB$36),UPPER(TEXT(EDATE($D60,Milestones!$AA$36),"dd mmm yy"))&amp;" "&amp;Milestones!$AB$36&amp;" "&amp;IF(AND(Milestones!$AB$36="FT",Milestones!$AA$36=FT_Y5,EDATE($D60,Milestones!$AA$36)&lt;PolicyEff),1,Milestones!$AC$36)&amp;";  ","")&amp;IF(AND(EDATE($D60,Milestones!$AA$37)&lt;=AsOfDate,EDATE($D60,Milestones!$AA$37)&gt;=SchemeStart,IF($X60=0,$AD60,IF(AND($Z60&lt;&gt;"",EDATE($D60,Milestones!$AA$37)&gt;=$Z60),$AC60,IF(AND($Y60&lt;&gt;"",EDATE($D60,Milestones!$AA$37)&gt;=$Y60),$AB60,$AA60)))=Milestones!$AB$37),UPPER(TEXT(EDATE($D60,Milestones!$AA$37),"dd mmm yy"))&amp;" "&amp;Milestones!$AB$37&amp;" "&amp;IF(AND(Milestones!$AB$37="FT",Milestones!$AA$37=FT_Y5,EDATE($D60,Milestones!$AA$37)&lt;PolicyEff),1,Milestones!$AC$37)&amp;";  ","")&amp;IF(AND(EDATE($D60,Milestones!$AA$38)&lt;=AsOfDate,EDATE($D60,Milestones!$AA$38)&gt;=SchemeStart,IF($X60=0,$AD60,IF(AND($Z60&lt;&gt;"",EDATE($D60,Milestones!$AA$38)&gt;=$Z60),$AC60,IF(AND($Y60&lt;&gt;"",EDATE($D60,Milestones!$AA$38)&gt;=$Y60),$AB60,$AA60)))=Milestones!$AB$38),UPPER(TEXT(EDATE($D60,Milestones!$AA$38),"dd mmm yy"))&amp;" "&amp;Milestones!$AB$38&amp;" "&amp;IF(AND(Milestones!$AB$38="FT",Milestones!$AA$38=FT_Y5,EDATE($D60,Milestones!$AA$38)&lt;PolicyEff),1,Milestones!$AC$38)&amp;";  ","")&amp;IF(AND(EDATE($D60,Milestones!$AA$39)&lt;=AsOfDate,EDATE($D60,Milestones!$AA$39)&gt;=SchemeStart,IF($X60=0,$AD60,IF(AND($Z60&lt;&gt;"",EDATE($D60,Milestones!$AA$39)&gt;=$Z60),$AC60,IF(AND($Y60&lt;&gt;"",EDATE($D60,Milestones!$AA$39)&gt;=$Y60),$AB60,$AA60)))=Milestones!$AB$39),UPPER(TEXT(EDATE($D60,Milestones!$AA$39),"dd mmm yy"))&amp;" "&amp;Milestones!$AB$39&amp;" "&amp;IF(AND(Milestones!$AB$39="FT",Milestones!$AA$39=FT_Y5,EDATE($D60,Milestones!$AA$39)&lt;PolicyEff),1,Milestones!$AC$39)&amp;";  ","")&amp;IF(AND(EDATE($D60,Milestones!$AA$40)&lt;=AsOfDate,EDATE($D60,Milestones!$AA$40)&gt;=SchemeStart,IF($X60=0,$AD60,IF(AND($Z60&lt;&gt;"",EDATE($D60,Milestones!$AA$40)&gt;=$Z60),$AC60,IF(AND($Y60&lt;&gt;"",EDATE($D60,Milestones!$AA$40)&gt;=$Y60),$AB60,$AA60)))=Milestones!$AB$40),UPPER(TEXT(EDATE($D60,Milestones!$AA$40),"dd mmm yy"))&amp;" "&amp;Milestones!$AB$40&amp;" "&amp;IF(AND(Milestones!$AB$40="FT",Milestones!$AA$40=FT_Y5,EDATE($D60,Milestones!$AA$40)&lt;PolicyEff),1,Milestones!$AC$40)&amp;";  ","")&amp;IF(AND(EDATE($D60,Milestones!$AA$41)&lt;=AsOfDate,EDATE($D60,Milestones!$AA$41)&gt;=SchemeStart,IF($X60=0,$AD60,IF(AND($Z60&lt;&gt;"",EDATE($D60,Milestones!$AA$41)&gt;=$Z60),$AC60,IF(AND($Y60&lt;&gt;"",EDATE($D60,Milestones!$AA$41)&gt;=$Y60),$AB60,$AA60)))=Milestones!$AB$41),UPPER(TEXT(EDATE($D60,Milestones!$AA$41),"dd mmm yy"))&amp;" "&amp;Milestones!$AB$41&amp;" "&amp;IF(AND(Milestones!$AB$41="FT",Milestones!$AA$41=FT_Y5,EDATE($D60,Milestones!$AA$41)&lt;PolicyEff),1,Milestones!$AC$41)&amp;";  ","")&amp;IF(AND(EDATE($D60,Milestones!$AA$42)&lt;=AsOfDate,EDATE($D60,Milestones!$AA$42)&gt;=SchemeStart,IF($X60=0,$AD60,IF(AND($Z60&lt;&gt;"",EDATE($D60,Milestones!$AA$42)&gt;=$Z60),$AC60,IF(AND($Y60&lt;&gt;"",EDATE($D60,Milestones!$AA$42)&gt;=$Y60),$AB60,$AA60)))=Milestones!$AB$42),UPPER(TEXT(EDATE($D60,Milestones!$AA$42),"dd mmm yy"))&amp;" "&amp;Milestones!$AB$42&amp;" "&amp;IF(AND(Milestones!$AB$42="FT",Milestones!$AA$42=FT_Y5,EDATE($D60,Milestones!$AA$42)&lt;PolicyEff),1,Milestones!$AC$42)&amp;";  ","")&amp;IF(AND(EDATE($D60,Milestones!$AA$43)&lt;=AsOfDate,EDATE($D60,Milestones!$AA$43)&gt;=SchemeStart,IF($X60=0,$AD60,IF(AND($Z60&lt;&gt;"",EDATE($D60,Milestones!$AA$43)&gt;=$Z60),$AC60,IF(AND($Y60&lt;&gt;"",EDATE($D60,Milestones!$AA$43)&gt;=$Y60),$AB60,$AA60)))=Milestones!$AB$43),UPPER(TEXT(EDATE($D60,Milestones!$AA$43),"dd mmm yy"))&amp;" "&amp;Milestones!$AB$43&amp;" "&amp;IF(AND(Milestones!$AB$43="FT",Milestones!$AA$43=FT_Y5,EDATE($D60,Milestones!$AA$43)&lt;PolicyEff),1,Milestones!$AC$43)&amp;";  ",""))</f>
        <v/>
      </c>
      <c r="K60" s="0" t="str">
        <f aca="false">IF(OR($A60="",$D60=""),"",IF(AND(EDATE($D60,Milestones!$AA$44)&lt;=AsOfDate,EDATE($D60,Milestones!$AA$44)&gt;=SchemeStart,IF($X60=0,$AD60,IF(AND($Z60&lt;&gt;"",EDATE($D60,Milestones!$AA$44)&gt;=$Z60),$AC60,IF(AND($Y60&lt;&gt;"",EDATE($D60,Milestones!$AA$44)&gt;=$Y60),$AB60,$AA60)))=Milestones!$AB$44),UPPER(TEXT(EDATE($D60,Milestones!$AA$44),"dd mmm yy"))&amp;" "&amp;Milestones!$AB$44&amp;" "&amp;IF(AND(Milestones!$AB$44="FT",Milestones!$AA$44=FT_Y5,EDATE($D60,Milestones!$AA$44)&lt;PolicyEff),1,Milestones!$AC$44)&amp;";  ","")&amp;IF(AND(EDATE($D60,Milestones!$AA$45)&lt;=AsOfDate,EDATE($D60,Milestones!$AA$45)&gt;=SchemeStart,IF($X60=0,$AD60,IF(AND($Z60&lt;&gt;"",EDATE($D60,Milestones!$AA$45)&gt;=$Z60),$AC60,IF(AND($Y60&lt;&gt;"",EDATE($D60,Milestones!$AA$45)&gt;=$Y60),$AB60,$AA60)))=Milestones!$AB$45),UPPER(TEXT(EDATE($D60,Milestones!$AA$45),"dd mmm yy"))&amp;" "&amp;Milestones!$AB$45&amp;" "&amp;IF(AND(Milestones!$AB$45="FT",Milestones!$AA$45=FT_Y5,EDATE($D60,Milestones!$AA$45)&lt;PolicyEff),1,Milestones!$AC$45)&amp;";  ","")&amp;IF(AND(EDATE($D60,Milestones!$AA$46)&lt;=AsOfDate,EDATE($D60,Milestones!$AA$46)&gt;=SchemeStart,IF($X60=0,$AD60,IF(AND($Z60&lt;&gt;"",EDATE($D60,Milestones!$AA$46)&gt;=$Z60),$AC60,IF(AND($Y60&lt;&gt;"",EDATE($D60,Milestones!$AA$46)&gt;=$Y60),$AB60,$AA60)))=Milestones!$AB$46),UPPER(TEXT(EDATE($D60,Milestones!$AA$46),"dd mmm yy"))&amp;" "&amp;Milestones!$AB$46&amp;" "&amp;IF(AND(Milestones!$AB$46="FT",Milestones!$AA$46=FT_Y5,EDATE($D60,Milestones!$AA$46)&lt;PolicyEff),1,Milestones!$AC$46)&amp;";  ","")&amp;IF(AND(EDATE($D60,Milestones!$AA$47)&lt;=AsOfDate,EDATE($D60,Milestones!$AA$47)&gt;=SchemeStart,IF($X60=0,$AD60,IF(AND($Z60&lt;&gt;"",EDATE($D60,Milestones!$AA$47)&gt;=$Z60),$AC60,IF(AND($Y60&lt;&gt;"",EDATE($D60,Milestones!$AA$47)&gt;=$Y60),$AB60,$AA60)))=Milestones!$AB$47),UPPER(TEXT(EDATE($D60,Milestones!$AA$47),"dd mmm yy"))&amp;" "&amp;Milestones!$AB$47&amp;" "&amp;IF(AND(Milestones!$AB$47="FT",Milestones!$AA$47=FT_Y5,EDATE($D60,Milestones!$AA$47)&lt;PolicyEff),1,Milestones!$AC$47)&amp;";  ","")&amp;IF(AND(EDATE($D60,Milestones!$AA$48)&lt;=AsOfDate,EDATE($D60,Milestones!$AA$48)&gt;=SchemeStart,IF($X60=0,$AD60,IF(AND($Z60&lt;&gt;"",EDATE($D60,Milestones!$AA$48)&gt;=$Z60),$AC60,IF(AND($Y60&lt;&gt;"",EDATE($D60,Milestones!$AA$48)&gt;=$Y60),$AB60,$AA60)))=Milestones!$AB$48),UPPER(TEXT(EDATE($D60,Milestones!$AA$48),"dd mmm yy"))&amp;" "&amp;Milestones!$AB$48&amp;" "&amp;IF(AND(Milestones!$AB$48="FT",Milestones!$AA$48=FT_Y5,EDATE($D60,Milestones!$AA$48)&lt;PolicyEff),1,Milestones!$AC$48)&amp;";  ","")&amp;IF(AND(EDATE($D60,Milestones!$AA$49)&lt;=AsOfDate,EDATE($D60,Milestones!$AA$49)&gt;=SchemeStart,IF($X60=0,$AD60,IF(AND($Z60&lt;&gt;"",EDATE($D60,Milestones!$AA$49)&gt;=$Z60),$AC60,IF(AND($Y60&lt;&gt;"",EDATE($D60,Milestones!$AA$49)&gt;=$Y60),$AB60,$AA60)))=Milestones!$AB$49),UPPER(TEXT(EDATE($D60,Milestones!$AA$49),"dd mmm yy"))&amp;" "&amp;Milestones!$AB$49&amp;" "&amp;IF(AND(Milestones!$AB$49="FT",Milestones!$AA$49=FT_Y5,EDATE($D60,Milestones!$AA$49)&lt;PolicyEff),1,Milestones!$AC$49)&amp;";  ","")&amp;IF(AND(EDATE($D60,Milestones!$AA$50)&lt;=AsOfDate,EDATE($D60,Milestones!$AA$50)&gt;=SchemeStart,IF($X60=0,$AD60,IF(AND($Z60&lt;&gt;"",EDATE($D60,Milestones!$AA$50)&gt;=$Z60),$AC60,IF(AND($Y60&lt;&gt;"",EDATE($D60,Milestones!$AA$50)&gt;=$Y60),$AB60,$AA60)))=Milestones!$AB$50),UPPER(TEXT(EDATE($D60,Milestones!$AA$50),"dd mmm yy"))&amp;" "&amp;Milestones!$AB$50&amp;" "&amp;IF(AND(Milestones!$AB$50="FT",Milestones!$AA$50=FT_Y5,EDATE($D60,Milestones!$AA$50)&lt;PolicyEff),1,Milestones!$AC$50)&amp;";  ","")&amp;IF(AND(EDATE($D60,Milestones!$AA$51)&lt;=AsOfDate,EDATE($D60,Milestones!$AA$51)&gt;=SchemeStart,IF($X60=0,$AD60,IF(AND($Z60&lt;&gt;"",EDATE($D60,Milestones!$AA$51)&gt;=$Z60),$AC60,IF(AND($Y60&lt;&gt;"",EDATE($D60,Milestones!$AA$51)&gt;=$Y60),$AB60,$AA60)))=Milestones!$AB$51),UPPER(TEXT(EDATE($D60,Milestones!$AA$51),"dd mmm yy"))&amp;" "&amp;Milestones!$AB$51&amp;" "&amp;IF(AND(Milestones!$AB$51="FT",Milestones!$AA$51=FT_Y5,EDATE($D60,Milestones!$AA$51)&lt;PolicyEff),1,Milestones!$AC$51)&amp;";  ","")&amp;IF(AND(EDATE($D60,Milestones!$AA$52)&lt;=AsOfDate,EDATE($D60,Milestones!$AA$52)&gt;=SchemeStart,IF($X60=0,$AD60,IF(AND($Z60&lt;&gt;"",EDATE($D60,Milestones!$AA$52)&gt;=$Z60),$AC60,IF(AND($Y60&lt;&gt;"",EDATE($D60,Milestones!$AA$52)&gt;=$Y60),$AB60,$AA60)))=Milestones!$AB$52),UPPER(TEXT(EDATE($D60,Milestones!$AA$52),"dd mmm yy"))&amp;" "&amp;Milestones!$AB$52&amp;" "&amp;IF(AND(Milestones!$AB$52="FT",Milestones!$AA$52=FT_Y5,EDATE($D60,Milestones!$AA$52)&lt;PolicyEff),1,Milestones!$AC$52)&amp;";  ","")&amp;IF(AND(EDATE($D60,Milestones!$AA$53)&lt;=AsOfDate,EDATE($D60,Milestones!$AA$53)&gt;=SchemeStart,IF($X60=0,$AD60,IF(AND($Z60&lt;&gt;"",EDATE($D60,Milestones!$AA$53)&gt;=$Z60),$AC60,IF(AND($Y60&lt;&gt;"",EDATE($D60,Milestones!$AA$53)&gt;=$Y60),$AB60,$AA60)))=Milestones!$AB$53),UPPER(TEXT(EDATE($D60,Milestones!$AA$53),"dd mmm yy"))&amp;" "&amp;Milestones!$AB$53&amp;" "&amp;IF(AND(Milestones!$AB$53="FT",Milestones!$AA$53=FT_Y5,EDATE($D60,Milestones!$AA$53)&lt;PolicyEff),1,Milestones!$AC$53)&amp;";  ","")&amp;IF(AND(EDATE($D60,Milestones!$AA$54)&lt;=AsOfDate,EDATE($D60,Milestones!$AA$54)&gt;=SchemeStart,IF($X60=0,$AD60,IF(AND($Z60&lt;&gt;"",EDATE($D60,Milestones!$AA$54)&gt;=$Z60),$AC60,IF(AND($Y60&lt;&gt;"",EDATE($D60,Milestones!$AA$54)&gt;=$Y60),$AB60,$AA60)))=Milestones!$AB$54),UPPER(TEXT(EDATE($D60,Milestones!$AA$54),"dd mmm yy"))&amp;" "&amp;Milestones!$AB$54&amp;" "&amp;IF(AND(Milestones!$AB$54="FT",Milestones!$AA$54=FT_Y5,EDATE($D60,Milestones!$AA$54)&lt;PolicyEff),1,Milestones!$AC$54)&amp;";  ","")&amp;IF(AND(EDATE($D60,Milestones!$AA$55)&lt;=AsOfDate,EDATE($D60,Milestones!$AA$55)&gt;=SchemeStart,IF($X60=0,$AD60,IF(AND($Z60&lt;&gt;"",EDATE($D60,Milestones!$AA$55)&gt;=$Z60),$AC60,IF(AND($Y60&lt;&gt;"",EDATE($D60,Milestones!$AA$55)&gt;=$Y60),$AB60,$AA60)))=Milestones!$AB$55),UPPER(TEXT(EDATE($D60,Milestones!$AA$55),"dd mmm yy"))&amp;" "&amp;Milestones!$AB$55&amp;" "&amp;IF(AND(Milestones!$AB$55="FT",Milestones!$AA$55=FT_Y5,EDATE($D60,Milestones!$AA$55)&lt;PolicyEff),1,Milestones!$AC$55)&amp;";  ",""))</f>
        <v/>
      </c>
      <c r="L60" s="0" t="str">
        <f aca="false">IF(OR($A60="",$D60=""),"",IF(AND(EDATE($D60,Milestones!$AA$56)&lt;=AsOfDate,EDATE($D60,Milestones!$AA$56)&gt;=SchemeStart,IF($X60=0,$AD60,IF(AND($Z60&lt;&gt;"",EDATE($D60,Milestones!$AA$56)&gt;=$Z60),$AC60,IF(AND($Y60&lt;&gt;"",EDATE($D60,Milestones!$AA$56)&gt;=$Y60),$AB60,$AA60)))=Milestones!$AB$56),UPPER(TEXT(EDATE($D60,Milestones!$AA$56),"dd mmm yy"))&amp;" "&amp;Milestones!$AB$56&amp;" "&amp;IF(AND(Milestones!$AB$56="FT",Milestones!$AA$56=FT_Y5,EDATE($D60,Milestones!$AA$56)&lt;PolicyEff),1,Milestones!$AC$56)&amp;";  ","")&amp;IF(AND(EDATE($D60,Milestones!$AA$57)&lt;=AsOfDate,EDATE($D60,Milestones!$AA$57)&gt;=SchemeStart,IF($X60=0,$AD60,IF(AND($Z60&lt;&gt;"",EDATE($D60,Milestones!$AA$57)&gt;=$Z60),$AC60,IF(AND($Y60&lt;&gt;"",EDATE($D60,Milestones!$AA$57)&gt;=$Y60),$AB60,$AA60)))=Milestones!$AB$57),UPPER(TEXT(EDATE($D60,Milestones!$AA$57),"dd mmm yy"))&amp;" "&amp;Milestones!$AB$57&amp;" "&amp;IF(AND(Milestones!$AB$57="FT",Milestones!$AA$57=FT_Y5,EDATE($D60,Milestones!$AA$57)&lt;PolicyEff),1,Milestones!$AC$57)&amp;";  ","")&amp;IF(AND(EDATE($D60,Milestones!$AA$58)&lt;=AsOfDate,EDATE($D60,Milestones!$AA$58)&gt;=SchemeStart,IF($X60=0,$AD60,IF(AND($Z60&lt;&gt;"",EDATE($D60,Milestones!$AA$58)&gt;=$Z60),$AC60,IF(AND($Y60&lt;&gt;"",EDATE($D60,Milestones!$AA$58)&gt;=$Y60),$AB60,$AA60)))=Milestones!$AB$58),UPPER(TEXT(EDATE($D60,Milestones!$AA$58),"dd mmm yy"))&amp;" "&amp;Milestones!$AB$58&amp;" "&amp;IF(AND(Milestones!$AB$58="FT",Milestones!$AA$58=FT_Y5,EDATE($D60,Milestones!$AA$58)&lt;PolicyEff),1,Milestones!$AC$58)&amp;";  ","")&amp;IF(AND(EDATE($D60,Milestones!$AA$59)&lt;=AsOfDate,EDATE($D60,Milestones!$AA$59)&gt;=SchemeStart,IF($X60=0,$AD60,IF(AND($Z60&lt;&gt;"",EDATE($D60,Milestones!$AA$59)&gt;=$Z60),$AC60,IF(AND($Y60&lt;&gt;"",EDATE($D60,Milestones!$AA$59)&gt;=$Y60),$AB60,$AA60)))=Milestones!$AB$59),UPPER(TEXT(EDATE($D60,Milestones!$AA$59),"dd mmm yy"))&amp;" "&amp;Milestones!$AB$59&amp;" "&amp;IF(AND(Milestones!$AB$59="FT",Milestones!$AA$59=FT_Y5,EDATE($D60,Milestones!$AA$59)&lt;PolicyEff),1,Milestones!$AC$59)&amp;";  ","")&amp;IF(AND(EDATE($D60,Milestones!$AA$60)&lt;=AsOfDate,EDATE($D60,Milestones!$AA$60)&gt;=SchemeStart,IF($X60=0,$AD60,IF(AND($Z60&lt;&gt;"",EDATE($D60,Milestones!$AA$60)&gt;=$Z60),$AC60,IF(AND($Y60&lt;&gt;"",EDATE($D60,Milestones!$AA$60)&gt;=$Y60),$AB60,$AA60)))=Milestones!$AB$60),UPPER(TEXT(EDATE($D60,Milestones!$AA$60),"dd mmm yy"))&amp;" "&amp;Milestones!$AB$60&amp;" "&amp;IF(AND(Milestones!$AB$60="FT",Milestones!$AA$60=FT_Y5,EDATE($D60,Milestones!$AA$60)&lt;PolicyEff),1,Milestones!$AC$60)&amp;";  ","")&amp;IF(AND(EDATE($D60,Milestones!$AA$61)&lt;=AsOfDate,EDATE($D60,Milestones!$AA$61)&gt;=SchemeStart,IF($X60=0,$AD60,IF(AND($Z60&lt;&gt;"",EDATE($D60,Milestones!$AA$61)&gt;=$Z60),$AC60,IF(AND($Y60&lt;&gt;"",EDATE($D60,Milestones!$AA$61)&gt;=$Y60),$AB60,$AA60)))=Milestones!$AB$61),UPPER(TEXT(EDATE($D60,Milestones!$AA$61),"dd mmm yy"))&amp;" "&amp;Milestones!$AB$61&amp;" "&amp;IF(AND(Milestones!$AB$61="FT",Milestones!$AA$61=FT_Y5,EDATE($D60,Milestones!$AA$61)&lt;PolicyEff),1,Milestones!$AC$61)&amp;";  ","")&amp;IF(AND(EDATE($D60,Milestones!$AA$62)&lt;=AsOfDate,EDATE($D60,Milestones!$AA$62)&gt;=SchemeStart,IF($X60=0,$AD60,IF(AND($Z60&lt;&gt;"",EDATE($D60,Milestones!$AA$62)&gt;=$Z60),$AC60,IF(AND($Y60&lt;&gt;"",EDATE($D60,Milestones!$AA$62)&gt;=$Y60),$AB60,$AA60)))=Milestones!$AB$62),UPPER(TEXT(EDATE($D60,Milestones!$AA$62),"dd mmm yy"))&amp;" "&amp;Milestones!$AB$62&amp;" "&amp;IF(AND(Milestones!$AB$62="FT",Milestones!$AA$62=FT_Y5,EDATE($D60,Milestones!$AA$62)&lt;PolicyEff),1,Milestones!$AC$62)&amp;";  ","")&amp;IF(AND(EDATE($D60,Milestones!$AA$63)&lt;=AsOfDate,EDATE($D60,Milestones!$AA$63)&gt;=SchemeStart,IF($X60=0,$AD60,IF(AND($Z60&lt;&gt;"",EDATE($D60,Milestones!$AA$63)&gt;=$Z60),$AC60,IF(AND($Y60&lt;&gt;"",EDATE($D60,Milestones!$AA$63)&gt;=$Y60),$AB60,$AA60)))=Milestones!$AB$63),UPPER(TEXT(EDATE($D60,Milestones!$AA$63),"dd mmm yy"))&amp;" "&amp;Milestones!$AB$63&amp;" "&amp;IF(AND(Milestones!$AB$63="FT",Milestones!$AA$63=FT_Y5,EDATE($D60,Milestones!$AA$63)&lt;PolicyEff),1,Milestones!$AC$63)&amp;";  ","")&amp;IF(AND(EDATE($D60,Milestones!$AA$64)&lt;=AsOfDate,EDATE($D60,Milestones!$AA$64)&gt;=SchemeStart,IF($X60=0,$AD60,IF(AND($Z60&lt;&gt;"",EDATE($D60,Milestones!$AA$64)&gt;=$Z60),$AC60,IF(AND($Y60&lt;&gt;"",EDATE($D60,Milestones!$AA$64)&gt;=$Y60),$AB60,$AA60)))=Milestones!$AB$64),UPPER(TEXT(EDATE($D60,Milestones!$AA$64),"dd mmm yy"))&amp;" "&amp;Milestones!$AB$64&amp;" "&amp;IF(AND(Milestones!$AB$64="FT",Milestones!$AA$64=FT_Y5,EDATE($D60,Milestones!$AA$64)&lt;PolicyEff),1,Milestones!$AC$64)&amp;";  ","")&amp;IF(AND(EDATE($D60,Milestones!$AA$65)&lt;=AsOfDate,EDATE($D60,Milestones!$AA$65)&gt;=SchemeStart,IF($X60=0,$AD60,IF(AND($Z60&lt;&gt;"",EDATE($D60,Milestones!$AA$65)&gt;=$Z60),$AC60,IF(AND($Y60&lt;&gt;"",EDATE($D60,Milestones!$AA$65)&gt;=$Y60),$AB60,$AA60)))=Milestones!$AB$65),UPPER(TEXT(EDATE($D60,Milestones!$AA$65),"dd mmm yy"))&amp;" "&amp;Milestones!$AB$65&amp;" "&amp;IF(AND(Milestones!$AB$65="FT",Milestones!$AA$65=FT_Y5,EDATE($D60,Milestones!$AA$65)&lt;PolicyEff),1,Milestones!$AC$65)&amp;";  ","")&amp;IF(AND(EDATE($D60,Milestones!$AA$66)&lt;=AsOfDate,EDATE($D60,Milestones!$AA$66)&gt;=SchemeStart,IF($X60=0,$AD60,IF(AND($Z60&lt;&gt;"",EDATE($D60,Milestones!$AA$66)&gt;=$Z60),$AC60,IF(AND($Y60&lt;&gt;"",EDATE($D60,Milestones!$AA$66)&gt;=$Y60),$AB60,$AA60)))=Milestones!$AB$66),UPPER(TEXT(EDATE($D60,Milestones!$AA$66),"dd mmm yy"))&amp;" "&amp;Milestones!$AB$66&amp;" "&amp;IF(AND(Milestones!$AB$66="FT",Milestones!$AA$66=FT_Y5,EDATE($D60,Milestones!$AA$66)&lt;PolicyEff),1,Milestones!$AC$66)&amp;";  ","")&amp;IF(AND(EDATE($D60,Milestones!$AA$67)&lt;=AsOfDate,EDATE($D60,Milestones!$AA$67)&gt;=SchemeStart,IF($X60=0,$AD60,IF(AND($Z60&lt;&gt;"",EDATE($D60,Milestones!$AA$67)&gt;=$Z60),$AC60,IF(AND($Y60&lt;&gt;"",EDATE($D60,Milestones!$AA$67)&gt;=$Y60),$AB60,$AA60)))=Milestones!$AB$67),UPPER(TEXT(EDATE($D60,Milestones!$AA$67),"dd mmm yy"))&amp;" "&amp;Milestones!$AB$67&amp;" "&amp;IF(AND(Milestones!$AB$67="FT",Milestones!$AA$67=FT_Y5,EDATE($D60,Milestones!$AA$67)&lt;PolicyEff),1,Milestones!$AC$67)&amp;";  ",""))</f>
        <v/>
      </c>
      <c r="M60" s="0" t="str">
        <f aca="false">IF(OR($A60="",$D60=""),"",IF(AND(EDATE($D60,Milestones!$AA$68)&lt;=AsOfDate,EDATE($D60,Milestones!$AA$68)&gt;=SchemeStart,IF($X60=0,$AD60,IF(AND($Z60&lt;&gt;"",EDATE($D60,Milestones!$AA$68)&gt;=$Z60),$AC60,IF(AND($Y60&lt;&gt;"",EDATE($D60,Milestones!$AA$68)&gt;=$Y60),$AB60,$AA60)))=Milestones!$AB$68),UPPER(TEXT(EDATE($D60,Milestones!$AA$68),"dd mmm yy"))&amp;" "&amp;Milestones!$AB$68&amp;" "&amp;IF(AND(Milestones!$AB$68="FT",Milestones!$AA$68=FT_Y5,EDATE($D60,Milestones!$AA$68)&lt;PolicyEff),1,Milestones!$AC$68)&amp;";  ","")&amp;IF(AND(EDATE($D60,Milestones!$AA$69)&lt;=AsOfDate,EDATE($D60,Milestones!$AA$69)&gt;=SchemeStart,IF($X60=0,$AD60,IF(AND($Z60&lt;&gt;"",EDATE($D60,Milestones!$AA$69)&gt;=$Z60),$AC60,IF(AND($Y60&lt;&gt;"",EDATE($D60,Milestones!$AA$69)&gt;=$Y60),$AB60,$AA60)))=Milestones!$AB$69),UPPER(TEXT(EDATE($D60,Milestones!$AA$69),"dd mmm yy"))&amp;" "&amp;Milestones!$AB$69&amp;" "&amp;IF(AND(Milestones!$AB$69="FT",Milestones!$AA$69=FT_Y5,EDATE($D60,Milestones!$AA$69)&lt;PolicyEff),1,Milestones!$AC$69)&amp;";  ","")&amp;IF(AND(EDATE($D60,Milestones!$AA$70)&lt;=AsOfDate,EDATE($D60,Milestones!$AA$70)&gt;=SchemeStart,IF($X60=0,$AD60,IF(AND($Z60&lt;&gt;"",EDATE($D60,Milestones!$AA$70)&gt;=$Z60),$AC60,IF(AND($Y60&lt;&gt;"",EDATE($D60,Milestones!$AA$70)&gt;=$Y60),$AB60,$AA60)))=Milestones!$AB$70),UPPER(TEXT(EDATE($D60,Milestones!$AA$70),"dd mmm yy"))&amp;" "&amp;Milestones!$AB$70&amp;" "&amp;IF(AND(Milestones!$AB$70="FT",Milestones!$AA$70=FT_Y5,EDATE($D60,Milestones!$AA$70)&lt;PolicyEff),1,Milestones!$AC$70)&amp;";  ","")&amp;IF(AND(EDATE($D60,Milestones!$AA$71)&lt;=AsOfDate,EDATE($D60,Milestones!$AA$71)&gt;=SchemeStart,IF($X60=0,$AD60,IF(AND($Z60&lt;&gt;"",EDATE($D60,Milestones!$AA$71)&gt;=$Z60),$AC60,IF(AND($Y60&lt;&gt;"",EDATE($D60,Milestones!$AA$71)&gt;=$Y60),$AB60,$AA60)))=Milestones!$AB$71),UPPER(TEXT(EDATE($D60,Milestones!$AA$71),"dd mmm yy"))&amp;" "&amp;Milestones!$AB$71&amp;" "&amp;IF(AND(Milestones!$AB$71="FT",Milestones!$AA$71=FT_Y5,EDATE($D60,Milestones!$AA$71)&lt;PolicyEff),1,Milestones!$AC$71)&amp;";  ","")&amp;IF(AND(EDATE($D60,Milestones!$AA$72)&lt;=AsOfDate,EDATE($D60,Milestones!$AA$72)&gt;=SchemeStart,IF($X60=0,$AD60,IF(AND($Z60&lt;&gt;"",EDATE($D60,Milestones!$AA$72)&gt;=$Z60),$AC60,IF(AND($Y60&lt;&gt;"",EDATE($D60,Milestones!$AA$72)&gt;=$Y60),$AB60,$AA60)))=Milestones!$AB$72),UPPER(TEXT(EDATE($D60,Milestones!$AA$72),"dd mmm yy"))&amp;" "&amp;Milestones!$AB$72&amp;" "&amp;IF(AND(Milestones!$AB$72="FT",Milestones!$AA$72=FT_Y5,EDATE($D60,Milestones!$AA$72)&lt;PolicyEff),1,Milestones!$AC$72)&amp;";  ","")&amp;IF(AND(EDATE($D60,Milestones!$AA$73)&lt;=AsOfDate,EDATE($D60,Milestones!$AA$73)&gt;=SchemeStart,IF($X60=0,$AD60,IF(AND($Z60&lt;&gt;"",EDATE($D60,Milestones!$AA$73)&gt;=$Z60),$AC60,IF(AND($Y60&lt;&gt;"",EDATE($D60,Milestones!$AA$73)&gt;=$Y60),$AB60,$AA60)))=Milestones!$AB$73),UPPER(TEXT(EDATE($D60,Milestones!$AA$73),"dd mmm yy"))&amp;" "&amp;Milestones!$AB$73&amp;" "&amp;IF(AND(Milestones!$AB$73="FT",Milestones!$AA$73=FT_Y5,EDATE($D60,Milestones!$AA$73)&lt;PolicyEff),1,Milestones!$AC$73)&amp;";  ","")&amp;IF(AND(EDATE($D60,Milestones!$AA$74)&lt;=AsOfDate,EDATE($D60,Milestones!$AA$74)&gt;=SchemeStart,IF($X60=0,$AD60,IF(AND($Z60&lt;&gt;"",EDATE($D60,Milestones!$AA$74)&gt;=$Z60),$AC60,IF(AND($Y60&lt;&gt;"",EDATE($D60,Milestones!$AA$74)&gt;=$Y60),$AB60,$AA60)))=Milestones!$AB$74),UPPER(TEXT(EDATE($D60,Milestones!$AA$74),"dd mmm yy"))&amp;" "&amp;Milestones!$AB$74&amp;" "&amp;IF(AND(Milestones!$AB$74="FT",Milestones!$AA$74=FT_Y5,EDATE($D60,Milestones!$AA$74)&lt;PolicyEff),1,Milestones!$AC$74)&amp;";  ","")&amp;IF(AND(EDATE($D60,Milestones!$AA$75)&lt;=AsOfDate,EDATE($D60,Milestones!$AA$75)&gt;=SchemeStart,IF($X60=0,$AD60,IF(AND($Z60&lt;&gt;"",EDATE($D60,Milestones!$AA$75)&gt;=$Z60),$AC60,IF(AND($Y60&lt;&gt;"",EDATE($D60,Milestones!$AA$75)&gt;=$Y60),$AB60,$AA60)))=Milestones!$AB$75),UPPER(TEXT(EDATE($D60,Milestones!$AA$75),"dd mmm yy"))&amp;" "&amp;Milestones!$AB$75&amp;" "&amp;IF(AND(Milestones!$AB$75="FT",Milestones!$AA$75=FT_Y5,EDATE($D60,Milestones!$AA$75)&lt;PolicyEff),1,Milestones!$AC$75)&amp;";  ","")&amp;IF(AND(EDATE($D60,Milestones!$AA$76)&lt;=AsOfDate,EDATE($D60,Milestones!$AA$76)&gt;=SchemeStart,IF($X60=0,$AD60,IF(AND($Z60&lt;&gt;"",EDATE($D60,Milestones!$AA$76)&gt;=$Z60),$AC60,IF(AND($Y60&lt;&gt;"",EDATE($D60,Milestones!$AA$76)&gt;=$Y60),$AB60,$AA60)))=Milestones!$AB$76),UPPER(TEXT(EDATE($D60,Milestones!$AA$76),"dd mmm yy"))&amp;" "&amp;Milestones!$AB$76&amp;" "&amp;IF(AND(Milestones!$AB$76="FT",Milestones!$AA$76=FT_Y5,EDATE($D60,Milestones!$AA$76)&lt;PolicyEff),1,Milestones!$AC$76)&amp;";  ","")&amp;IF(AND(EDATE($D60,Milestones!$AA$77)&lt;=AsOfDate,EDATE($D60,Milestones!$AA$77)&gt;=SchemeStart,IF($X60=0,$AD60,IF(AND($Z60&lt;&gt;"",EDATE($D60,Milestones!$AA$77)&gt;=$Z60),$AC60,IF(AND($Y60&lt;&gt;"",EDATE($D60,Milestones!$AA$77)&gt;=$Y60),$AB60,$AA60)))=Milestones!$AB$77),UPPER(TEXT(EDATE($D60,Milestones!$AA$77),"dd mmm yy"))&amp;" "&amp;Milestones!$AB$77&amp;" "&amp;IF(AND(Milestones!$AB$77="FT",Milestones!$AA$77=FT_Y5,EDATE($D60,Milestones!$AA$77)&lt;PolicyEff),1,Milestones!$AC$77)&amp;";  ","")&amp;IF(AND(EDATE($D60,Milestones!$AA$78)&lt;=AsOfDate,EDATE($D60,Milestones!$AA$78)&gt;=SchemeStart,IF($X60=0,$AD60,IF(AND($Z60&lt;&gt;"",EDATE($D60,Milestones!$AA$78)&gt;=$Z60),$AC60,IF(AND($Y60&lt;&gt;"",EDATE($D60,Milestones!$AA$78)&gt;=$Y60),$AB60,$AA60)))=Milestones!$AB$78),UPPER(TEXT(EDATE($D60,Milestones!$AA$78),"dd mmm yy"))&amp;" "&amp;Milestones!$AB$78&amp;" "&amp;IF(AND(Milestones!$AB$78="FT",Milestones!$AA$78=FT_Y5,EDATE($D60,Milestones!$AA$78)&lt;PolicyEff),1,Milestones!$AC$78)&amp;";  ","")&amp;IF(AND(EDATE($D60,Milestones!$AA$79)&lt;=AsOfDate,EDATE($D60,Milestones!$AA$79)&gt;=SchemeStart,IF($X60=0,$AD60,IF(AND($Z60&lt;&gt;"",EDATE($D60,Milestones!$AA$79)&gt;=$Z60),$AC60,IF(AND($Y60&lt;&gt;"",EDATE($D60,Milestones!$AA$79)&gt;=$Y60),$AB60,$AA60)))=Milestones!$AB$79),UPPER(TEXT(EDATE($D60,Milestones!$AA$79),"dd mmm yy"))&amp;" "&amp;Milestones!$AB$79&amp;" "&amp;IF(AND(Milestones!$AB$79="FT",Milestones!$AA$79=FT_Y5,EDATE($D60,Milestones!$AA$79)&lt;PolicyEff),1,Milestones!$AC$79)&amp;";  ",""))</f>
        <v/>
      </c>
      <c r="N60" s="0" t="str">
        <f aca="false">IF(OR($A60="",$D60=""),"",IF(AND(EDATE($D60,Milestones!$AA$80)&lt;=AsOfDate,EDATE($D60,Milestones!$AA$80)&gt;=SchemeStart,IF($X60=0,$AD60,IF(AND($Z60&lt;&gt;"",EDATE($D60,Milestones!$AA$80)&gt;=$Z60),$AC60,IF(AND($Y60&lt;&gt;"",EDATE($D60,Milestones!$AA$80)&gt;=$Y60),$AB60,$AA60)))=Milestones!$AB$80),UPPER(TEXT(EDATE($D60,Milestones!$AA$80),"dd mmm yy"))&amp;" "&amp;Milestones!$AB$80&amp;" "&amp;IF(AND(Milestones!$AB$80="FT",Milestones!$AA$80=FT_Y5,EDATE($D60,Milestones!$AA$80)&lt;PolicyEff),1,Milestones!$AC$80)&amp;";  ","")&amp;IF(AND(EDATE($D60,Milestones!$AA$81)&lt;=AsOfDate,EDATE($D60,Milestones!$AA$81)&gt;=SchemeStart,IF($X60=0,$AD60,IF(AND($Z60&lt;&gt;"",EDATE($D60,Milestones!$AA$81)&gt;=$Z60),$AC60,IF(AND($Y60&lt;&gt;"",EDATE($D60,Milestones!$AA$81)&gt;=$Y60),$AB60,$AA60)))=Milestones!$AB$81),UPPER(TEXT(EDATE($D60,Milestones!$AA$81),"dd mmm yy"))&amp;" "&amp;Milestones!$AB$81&amp;" "&amp;IF(AND(Milestones!$AB$81="FT",Milestones!$AA$81=FT_Y5,EDATE($D60,Milestones!$AA$81)&lt;PolicyEff),1,Milestones!$AC$81)&amp;";  ","")&amp;IF(AND(EDATE($D60,Milestones!$AA$82)&lt;=AsOfDate,EDATE($D60,Milestones!$AA$82)&gt;=SchemeStart,IF($X60=0,$AD60,IF(AND($Z60&lt;&gt;"",EDATE($D60,Milestones!$AA$82)&gt;=$Z60),$AC60,IF(AND($Y60&lt;&gt;"",EDATE($D60,Milestones!$AA$82)&gt;=$Y60),$AB60,$AA60)))=Milestones!$AB$82),UPPER(TEXT(EDATE($D60,Milestones!$AA$82),"dd mmm yy"))&amp;" "&amp;Milestones!$AB$82&amp;" "&amp;IF(AND(Milestones!$AB$82="FT",Milestones!$AA$82=FT_Y5,EDATE($D60,Milestones!$AA$82)&lt;PolicyEff),1,Milestones!$AC$82)&amp;";  ","")&amp;IF(AND(EDATE($D60,Milestones!$AA$83)&lt;=AsOfDate,EDATE($D60,Milestones!$AA$83)&gt;=SchemeStart,IF($X60=0,$AD60,IF(AND($Z60&lt;&gt;"",EDATE($D60,Milestones!$AA$83)&gt;=$Z60),$AC60,IF(AND($Y60&lt;&gt;"",EDATE($D60,Milestones!$AA$83)&gt;=$Y60),$AB60,$AA60)))=Milestones!$AB$83),UPPER(TEXT(EDATE($D60,Milestones!$AA$83),"dd mmm yy"))&amp;" "&amp;Milestones!$AB$83&amp;" "&amp;IF(AND(Milestones!$AB$83="FT",Milestones!$AA$83=FT_Y5,EDATE($D60,Milestones!$AA$83)&lt;PolicyEff),1,Milestones!$AC$83)&amp;";  ","")&amp;IF(AND(EDATE($D60,Milestones!$AA$84)&lt;=AsOfDate,EDATE($D60,Milestones!$AA$84)&gt;=SchemeStart,IF($X60=0,$AD60,IF(AND($Z60&lt;&gt;"",EDATE($D60,Milestones!$AA$84)&gt;=$Z60),$AC60,IF(AND($Y60&lt;&gt;"",EDATE($D60,Milestones!$AA$84)&gt;=$Y60),$AB60,$AA60)))=Milestones!$AB$84),UPPER(TEXT(EDATE($D60,Milestones!$AA$84),"dd mmm yy"))&amp;" "&amp;Milestones!$AB$84&amp;" "&amp;IF(AND(Milestones!$AB$84="FT",Milestones!$AA$84=FT_Y5,EDATE($D60,Milestones!$AA$84)&lt;PolicyEff),1,Milestones!$AC$84)&amp;";  ","")&amp;IF(AND(EDATE($D60,Milestones!$AA$85)&lt;=AsOfDate,EDATE($D60,Milestones!$AA$85)&gt;=SchemeStart,IF($X60=0,$AD60,IF(AND($Z60&lt;&gt;"",EDATE($D60,Milestones!$AA$85)&gt;=$Z60),$AC60,IF(AND($Y60&lt;&gt;"",EDATE($D60,Milestones!$AA$85)&gt;=$Y60),$AB60,$AA60)))=Milestones!$AB$85),UPPER(TEXT(EDATE($D60,Milestones!$AA$85),"dd mmm yy"))&amp;" "&amp;Milestones!$AB$85&amp;" "&amp;IF(AND(Milestones!$AB$85="FT",Milestones!$AA$85=FT_Y5,EDATE($D60,Milestones!$AA$85)&lt;PolicyEff),1,Milestones!$AC$85)&amp;";  ","")&amp;IF(AND(EDATE($D60,Milestones!$AA$86)&lt;=AsOfDate,EDATE($D60,Milestones!$AA$86)&gt;=SchemeStart,IF($X60=0,$AD60,IF(AND($Z60&lt;&gt;"",EDATE($D60,Milestones!$AA$86)&gt;=$Z60),$AC60,IF(AND($Y60&lt;&gt;"",EDATE($D60,Milestones!$AA$86)&gt;=$Y60),$AB60,$AA60)))=Milestones!$AB$86),UPPER(TEXT(EDATE($D60,Milestones!$AA$86),"dd mmm yy"))&amp;" "&amp;Milestones!$AB$86&amp;" "&amp;IF(AND(Milestones!$AB$86="FT",Milestones!$AA$86=FT_Y5,EDATE($D60,Milestones!$AA$86)&lt;PolicyEff),1,Milestones!$AC$86)&amp;";  ","")&amp;IF(AND(EDATE($D60,Milestones!$AA$87)&lt;=AsOfDate,EDATE($D60,Milestones!$AA$87)&gt;=SchemeStart,IF($X60=0,$AD60,IF(AND($Z60&lt;&gt;"",EDATE($D60,Milestones!$AA$87)&gt;=$Z60),$AC60,IF(AND($Y60&lt;&gt;"",EDATE($D60,Milestones!$AA$87)&gt;=$Y60),$AB60,$AA60)))=Milestones!$AB$87),UPPER(TEXT(EDATE($D60,Milestones!$AA$87),"dd mmm yy"))&amp;" "&amp;Milestones!$AB$87&amp;" "&amp;IF(AND(Milestones!$AB$87="FT",Milestones!$AA$87=FT_Y5,EDATE($D60,Milestones!$AA$87)&lt;PolicyEff),1,Milestones!$AC$87)&amp;";  ","")&amp;IF(AND(EDATE($D60,Milestones!$AA$88)&lt;=AsOfDate,EDATE($D60,Milestones!$AA$88)&gt;=SchemeStart,IF($X60=0,$AD60,IF(AND($Z60&lt;&gt;"",EDATE($D60,Milestones!$AA$88)&gt;=$Z60),$AC60,IF(AND($Y60&lt;&gt;"",EDATE($D60,Milestones!$AA$88)&gt;=$Y60),$AB60,$AA60)))=Milestones!$AB$88),UPPER(TEXT(EDATE($D60,Milestones!$AA$88),"dd mmm yy"))&amp;" "&amp;Milestones!$AB$88&amp;" "&amp;IF(AND(Milestones!$AB$88="FT",Milestones!$AA$88=FT_Y5,EDATE($D60,Milestones!$AA$88)&lt;PolicyEff),1,Milestones!$AC$88)&amp;";  ","")&amp;IF(AND(EDATE($D60,Milestones!$AA$89)&lt;=AsOfDate,EDATE($D60,Milestones!$AA$89)&gt;=SchemeStart,IF($X60=0,$AD60,IF(AND($Z60&lt;&gt;"",EDATE($D60,Milestones!$AA$89)&gt;=$Z60),$AC60,IF(AND($Y60&lt;&gt;"",EDATE($D60,Milestones!$AA$89)&gt;=$Y60),$AB60,$AA60)))=Milestones!$AB$89),UPPER(TEXT(EDATE($D60,Milestones!$AA$89),"dd mmm yy"))&amp;" "&amp;Milestones!$AB$89&amp;" "&amp;IF(AND(Milestones!$AB$89="FT",Milestones!$AA$89=FT_Y5,EDATE($D60,Milestones!$AA$89)&lt;PolicyEff),1,Milestones!$AC$89)&amp;";  ","")&amp;IF(AND(EDATE($D60,Milestones!$AA$90)&lt;=AsOfDate,EDATE($D60,Milestones!$AA$90)&gt;=SchemeStart,IF($X60=0,$AD60,IF(AND($Z60&lt;&gt;"",EDATE($D60,Milestones!$AA$90)&gt;=$Z60),$AC60,IF(AND($Y60&lt;&gt;"",EDATE($D60,Milestones!$AA$90)&gt;=$Y60),$AB60,$AA60)))=Milestones!$AB$90),UPPER(TEXT(EDATE($D60,Milestones!$AA$90),"dd mmm yy"))&amp;" "&amp;Milestones!$AB$90&amp;" "&amp;IF(AND(Milestones!$AB$90="FT",Milestones!$AA$90=FT_Y5,EDATE($D60,Milestones!$AA$90)&lt;PolicyEff),1,Milestones!$AC$90)&amp;";  ","")&amp;IF(AND(EDATE($D60,Milestones!$AA$91)&lt;=AsOfDate,EDATE($D60,Milestones!$AA$91)&gt;=SchemeStart,IF($X60=0,$AD60,IF(AND($Z60&lt;&gt;"",EDATE($D60,Milestones!$AA$91)&gt;=$Z60),$AC60,IF(AND($Y60&lt;&gt;"",EDATE($D60,Milestones!$AA$91)&gt;=$Y60),$AB60,$AA60)))=Milestones!$AB$91),UPPER(TEXT(EDATE($D60,Milestones!$AA$91),"dd mmm yy"))&amp;" "&amp;Milestones!$AB$91&amp;" "&amp;IF(AND(Milestones!$AB$91="FT",Milestones!$AA$91=FT_Y5,EDATE($D60,Milestones!$AA$91)&lt;PolicyEff),1,Milestones!$AC$91)&amp;";  ",""))</f>
        <v/>
      </c>
      <c r="O60" s="0" t="str">
        <f aca="false">IF(OR($A60="",$D60=""),"",IF(AND(EDATE($D60,Milestones!$AA$92)&lt;=AsOfDate,EDATE($D60,Milestones!$AA$92)&gt;=SchemeStart,IF($X60=0,$AD60,IF(AND($Z60&lt;&gt;"",EDATE($D60,Milestones!$AA$92)&gt;=$Z60),$AC60,IF(AND($Y60&lt;&gt;"",EDATE($D60,Milestones!$AA$92)&gt;=$Y60),$AB60,$AA60)))=Milestones!$AB$92),UPPER(TEXT(EDATE($D60,Milestones!$AA$92),"dd mmm yy"))&amp;" "&amp;Milestones!$AB$92&amp;" "&amp;IF(AND(Milestones!$AB$92="FT",Milestones!$AA$92=FT_Y5,EDATE($D60,Milestones!$AA$92)&lt;PolicyEff),1,Milestones!$AC$92)&amp;";  ","")&amp;IF(AND(EDATE($D60,Milestones!$AA$93)&lt;=AsOfDate,EDATE($D60,Milestones!$AA$93)&gt;=SchemeStart,IF($X60=0,$AD60,IF(AND($Z60&lt;&gt;"",EDATE($D60,Milestones!$AA$93)&gt;=$Z60),$AC60,IF(AND($Y60&lt;&gt;"",EDATE($D60,Milestones!$AA$93)&gt;=$Y60),$AB60,$AA60)))=Milestones!$AB$93),UPPER(TEXT(EDATE($D60,Milestones!$AA$93),"dd mmm yy"))&amp;" "&amp;Milestones!$AB$93&amp;" "&amp;IF(AND(Milestones!$AB$93="FT",Milestones!$AA$93=FT_Y5,EDATE($D60,Milestones!$AA$93)&lt;PolicyEff),1,Milestones!$AC$93)&amp;";  ","")&amp;IF(AND(EDATE($D60,Milestones!$AA$94)&lt;=AsOfDate,EDATE($D60,Milestones!$AA$94)&gt;=SchemeStart,IF($X60=0,$AD60,IF(AND($Z60&lt;&gt;"",EDATE($D60,Milestones!$AA$94)&gt;=$Z60),$AC60,IF(AND($Y60&lt;&gt;"",EDATE($D60,Milestones!$AA$94)&gt;=$Y60),$AB60,$AA60)))=Milestones!$AB$94),UPPER(TEXT(EDATE($D60,Milestones!$AA$94),"dd mmm yy"))&amp;" "&amp;Milestones!$AB$94&amp;" "&amp;IF(AND(Milestones!$AB$94="FT",Milestones!$AA$94=FT_Y5,EDATE($D60,Milestones!$AA$94)&lt;PolicyEff),1,Milestones!$AC$94)&amp;";  ","")&amp;IF(AND(EDATE($D60,Milestones!$AA$95)&lt;=AsOfDate,EDATE($D60,Milestones!$AA$95)&gt;=SchemeStart,IF($X60=0,$AD60,IF(AND($Z60&lt;&gt;"",EDATE($D60,Milestones!$AA$95)&gt;=$Z60),$AC60,IF(AND($Y60&lt;&gt;"",EDATE($D60,Milestones!$AA$95)&gt;=$Y60),$AB60,$AA60)))=Milestones!$AB$95),UPPER(TEXT(EDATE($D60,Milestones!$AA$95),"dd mmm yy"))&amp;" "&amp;Milestones!$AB$95&amp;" "&amp;IF(AND(Milestones!$AB$95="FT",Milestones!$AA$95=FT_Y5,EDATE($D60,Milestones!$AA$95)&lt;PolicyEff),1,Milestones!$AC$95)&amp;";  ","")&amp;IF(AND(EDATE($D60,Milestones!$AA$96)&lt;=AsOfDate,EDATE($D60,Milestones!$AA$96)&gt;=SchemeStart,IF($X60=0,$AD60,IF(AND($Z60&lt;&gt;"",EDATE($D60,Milestones!$AA$96)&gt;=$Z60),$AC60,IF(AND($Y60&lt;&gt;"",EDATE($D60,Milestones!$AA$96)&gt;=$Y60),$AB60,$AA60)))=Milestones!$AB$96),UPPER(TEXT(EDATE($D60,Milestones!$AA$96),"dd mmm yy"))&amp;" "&amp;Milestones!$AB$96&amp;" "&amp;IF(AND(Milestones!$AB$96="FT",Milestones!$AA$96=FT_Y5,EDATE($D60,Milestones!$AA$96)&lt;PolicyEff),1,Milestones!$AC$96)&amp;";  ","")&amp;IF(AND(EDATE($D60,Milestones!$AA$97)&lt;=AsOfDate,EDATE($D60,Milestones!$AA$97)&gt;=SchemeStart,IF($X60=0,$AD60,IF(AND($Z60&lt;&gt;"",EDATE($D60,Milestones!$AA$97)&gt;=$Z60),$AC60,IF(AND($Y60&lt;&gt;"",EDATE($D60,Milestones!$AA$97)&gt;=$Y60),$AB60,$AA60)))=Milestones!$AB$97),UPPER(TEXT(EDATE($D60,Milestones!$AA$97),"dd mmm yy"))&amp;" "&amp;Milestones!$AB$97&amp;" "&amp;IF(AND(Milestones!$AB$97="FT",Milestones!$AA$97=FT_Y5,EDATE($D60,Milestones!$AA$97)&lt;PolicyEff),1,Milestones!$AC$97)&amp;";  ","")&amp;IF(AND(EDATE($D60,Milestones!$AA$98)&lt;=AsOfDate,EDATE($D60,Milestones!$AA$98)&gt;=SchemeStart,IF($X60=0,$AD60,IF(AND($Z60&lt;&gt;"",EDATE($D60,Milestones!$AA$98)&gt;=$Z60),$AC60,IF(AND($Y60&lt;&gt;"",EDATE($D60,Milestones!$AA$98)&gt;=$Y60),$AB60,$AA60)))=Milestones!$AB$98),UPPER(TEXT(EDATE($D60,Milestones!$AA$98),"dd mmm yy"))&amp;" "&amp;Milestones!$AB$98&amp;" "&amp;IF(AND(Milestones!$AB$98="FT",Milestones!$AA$98=FT_Y5,EDATE($D60,Milestones!$AA$98)&lt;PolicyEff),1,Milestones!$AC$98)&amp;";  ","")&amp;IF(AND(EDATE($D60,Milestones!$AA$99)&lt;=AsOfDate,EDATE($D60,Milestones!$AA$99)&gt;=SchemeStart,IF($X60=0,$AD60,IF(AND($Z60&lt;&gt;"",EDATE($D60,Milestones!$AA$99)&gt;=$Z60),$AC60,IF(AND($Y60&lt;&gt;"",EDATE($D60,Milestones!$AA$99)&gt;=$Y60),$AB60,$AA60)))=Milestones!$AB$99),UPPER(TEXT(EDATE($D60,Milestones!$AA$99),"dd mmm yy"))&amp;" "&amp;Milestones!$AB$99&amp;" "&amp;IF(AND(Milestones!$AB$99="FT",Milestones!$AA$99=FT_Y5,EDATE($D60,Milestones!$AA$99)&lt;PolicyEff),1,Milestones!$AC$99)&amp;";  ","")&amp;IF(AND(EDATE($D60,Milestones!$AA$100)&lt;=AsOfDate,EDATE($D60,Milestones!$AA$100)&gt;=SchemeStart,IF($X60=0,$AD60,IF(AND($Z60&lt;&gt;"",EDATE($D60,Milestones!$AA$100)&gt;=$Z60),$AC60,IF(AND($Y60&lt;&gt;"",EDATE($D60,Milestones!$AA$100)&gt;=$Y60),$AB60,$AA60)))=Milestones!$AB$100),UPPER(TEXT(EDATE($D60,Milestones!$AA$100),"dd mmm yy"))&amp;" "&amp;Milestones!$AB$100&amp;" "&amp;IF(AND(Milestones!$AB$100="FT",Milestones!$AA$100=FT_Y5,EDATE($D60,Milestones!$AA$100)&lt;PolicyEff),1,Milestones!$AC$100)&amp;";  ","")&amp;IF(AND(EDATE($D60,Milestones!$AA$101)&lt;=AsOfDate,EDATE($D60,Milestones!$AA$101)&gt;=SchemeStart,IF($X60=0,$AD60,IF(AND($Z60&lt;&gt;"",EDATE($D60,Milestones!$AA$101)&gt;=$Z60),$AC60,IF(AND($Y60&lt;&gt;"",EDATE($D60,Milestones!$AA$101)&gt;=$Y60),$AB60,$AA60)))=Milestones!$AB$101),UPPER(TEXT(EDATE($D60,Milestones!$AA$101),"dd mmm yy"))&amp;" "&amp;Milestones!$AB$101&amp;" "&amp;IF(AND(Milestones!$AB$101="FT",Milestones!$AA$101=FT_Y5,EDATE($D60,Milestones!$AA$101)&lt;PolicyEff),1,Milestones!$AC$101)&amp;";  ","")&amp;IF(AND(EDATE($D60,Milestones!$AA$102)&lt;=AsOfDate,EDATE($D60,Milestones!$AA$102)&gt;=SchemeStart,IF($X60=0,$AD60,IF(AND($Z60&lt;&gt;"",EDATE($D60,Milestones!$AA$102)&gt;=$Z60),$AC60,IF(AND($Y60&lt;&gt;"",EDATE($D60,Milestones!$AA$102)&gt;=$Y60),$AB60,$AA60)))=Milestones!$AB$102),UPPER(TEXT(EDATE($D60,Milestones!$AA$102),"dd mmm yy"))&amp;" "&amp;Milestones!$AB$102&amp;" "&amp;IF(AND(Milestones!$AB$102="FT",Milestones!$AA$102=FT_Y5,EDATE($D60,Milestones!$AA$102)&lt;PolicyEff),1,Milestones!$AC$102)&amp;";  ","")&amp;IF(AND(EDATE($D60,Milestones!$AA$103)&lt;=AsOfDate,EDATE($D60,Milestones!$AA$103)&gt;=SchemeStart,IF($X60=0,$AD60,IF(AND($Z60&lt;&gt;"",EDATE($D60,Milestones!$AA$103)&gt;=$Z60),$AC60,IF(AND($Y60&lt;&gt;"",EDATE($D60,Milestones!$AA$103)&gt;=$Y60),$AB60,$AA60)))=Milestones!$AB$103),UPPER(TEXT(EDATE($D60,Milestones!$AA$103),"dd mmm yy"))&amp;" "&amp;Milestones!$AB$103&amp;" "&amp;IF(AND(Milestones!$AB$103="FT",Milestones!$AA$103=FT_Y5,EDATE($D60,Milestones!$AA$103)&lt;PolicyEff),1,Milestones!$AC$103)&amp;";  ",""))</f>
        <v/>
      </c>
      <c r="P60" s="0" t="str">
        <f aca="false">IF(OR($A60="",$D60=""),"",IF(AND(EDATE($D60,Milestones!$AA$104)&lt;=AsOfDate,EDATE($D60,Milestones!$AA$104)&gt;=SchemeStart,IF($X60=0,$AD60,IF(AND($Z60&lt;&gt;"",EDATE($D60,Milestones!$AA$104)&gt;=$Z60),$AC60,IF(AND($Y60&lt;&gt;"",EDATE($D60,Milestones!$AA$104)&gt;=$Y60),$AB60,$AA60)))=Milestones!$AB$104),UPPER(TEXT(EDATE($D60,Milestones!$AA$104),"dd mmm yy"))&amp;" "&amp;Milestones!$AB$104&amp;" "&amp;IF(AND(Milestones!$AB$104="FT",Milestones!$AA$104=FT_Y5,EDATE($D60,Milestones!$AA$104)&lt;PolicyEff),1,Milestones!$AC$104)&amp;";  ","")&amp;IF(AND(EDATE($D60,Milestones!$AA$105)&lt;=AsOfDate,EDATE($D60,Milestones!$AA$105)&gt;=SchemeStart,IF($X60=0,$AD60,IF(AND($Z60&lt;&gt;"",EDATE($D60,Milestones!$AA$105)&gt;=$Z60),$AC60,IF(AND($Y60&lt;&gt;"",EDATE($D60,Milestones!$AA$105)&gt;=$Y60),$AB60,$AA60)))=Milestones!$AB$105),UPPER(TEXT(EDATE($D60,Milestones!$AA$105),"dd mmm yy"))&amp;" "&amp;Milestones!$AB$105&amp;" "&amp;IF(AND(Milestones!$AB$105="FT",Milestones!$AA$105=FT_Y5,EDATE($D60,Milestones!$AA$105)&lt;PolicyEff),1,Milestones!$AC$105)&amp;";  ","")&amp;IF(AND(EDATE($D60,Milestones!$AA$106)&lt;=AsOfDate,EDATE($D60,Milestones!$AA$106)&gt;=SchemeStart,IF($X60=0,$AD60,IF(AND($Z60&lt;&gt;"",EDATE($D60,Milestones!$AA$106)&gt;=$Z60),$AC60,IF(AND($Y60&lt;&gt;"",EDATE($D60,Milestones!$AA$106)&gt;=$Y60),$AB60,$AA60)))=Milestones!$AB$106),UPPER(TEXT(EDATE($D60,Milestones!$AA$106),"dd mmm yy"))&amp;" "&amp;Milestones!$AB$106&amp;" "&amp;IF(AND(Milestones!$AB$106="FT",Milestones!$AA$106=FT_Y5,EDATE($D60,Milestones!$AA$106)&lt;PolicyEff),1,Milestones!$AC$106)&amp;";  ","")&amp;IF(AND(EDATE($D60,Milestones!$AA$107)&lt;=AsOfDate,EDATE($D60,Milestones!$AA$107)&gt;=SchemeStart,IF($X60=0,$AD60,IF(AND($Z60&lt;&gt;"",EDATE($D60,Milestones!$AA$107)&gt;=$Z60),$AC60,IF(AND($Y60&lt;&gt;"",EDATE($D60,Milestones!$AA$107)&gt;=$Y60),$AB60,$AA60)))=Milestones!$AB$107),UPPER(TEXT(EDATE($D60,Milestones!$AA$107),"dd mmm yy"))&amp;" "&amp;Milestones!$AB$107&amp;" "&amp;IF(AND(Milestones!$AB$107="FT",Milestones!$AA$107=FT_Y5,EDATE($D60,Milestones!$AA$107)&lt;PolicyEff),1,Milestones!$AC$107)&amp;";  ","")&amp;IF(AND(EDATE($D60,Milestones!$AA$108)&lt;=AsOfDate,EDATE($D60,Milestones!$AA$108)&gt;=SchemeStart,IF($X60=0,$AD60,IF(AND($Z60&lt;&gt;"",EDATE($D60,Milestones!$AA$108)&gt;=$Z60),$AC60,IF(AND($Y60&lt;&gt;"",EDATE($D60,Milestones!$AA$108)&gt;=$Y60),$AB60,$AA60)))=Milestones!$AB$108),UPPER(TEXT(EDATE($D60,Milestones!$AA$108),"dd mmm yy"))&amp;" "&amp;Milestones!$AB$108&amp;" "&amp;IF(AND(Milestones!$AB$108="FT",Milestones!$AA$108=FT_Y5,EDATE($D60,Milestones!$AA$108)&lt;PolicyEff),1,Milestones!$AC$108)&amp;";  ","")&amp;IF(AND(EDATE($D60,Milestones!$AA$109)&lt;=AsOfDate,EDATE($D60,Milestones!$AA$109)&gt;=SchemeStart,IF($X60=0,$AD60,IF(AND($Z60&lt;&gt;"",EDATE($D60,Milestones!$AA$109)&gt;=$Z60),$AC60,IF(AND($Y60&lt;&gt;"",EDATE($D60,Milestones!$AA$109)&gt;=$Y60),$AB60,$AA60)))=Milestones!$AB$109),UPPER(TEXT(EDATE($D60,Milestones!$AA$109),"dd mmm yy"))&amp;" "&amp;Milestones!$AB$109&amp;" "&amp;IF(AND(Milestones!$AB$109="FT",Milestones!$AA$109=FT_Y5,EDATE($D60,Milestones!$AA$109)&lt;PolicyEff),1,Milestones!$AC$109)&amp;";  ","")&amp;IF(AND(EDATE($D60,Milestones!$AA$110)&lt;=AsOfDate,EDATE($D60,Milestones!$AA$110)&gt;=SchemeStart,IF($X60=0,$AD60,IF(AND($Z60&lt;&gt;"",EDATE($D60,Milestones!$AA$110)&gt;=$Z60),$AC60,IF(AND($Y60&lt;&gt;"",EDATE($D60,Milestones!$AA$110)&gt;=$Y60),$AB60,$AA60)))=Milestones!$AB$110),UPPER(TEXT(EDATE($D60,Milestones!$AA$110),"dd mmm yy"))&amp;" "&amp;Milestones!$AB$110&amp;" "&amp;IF(AND(Milestones!$AB$110="FT",Milestones!$AA$110=FT_Y5,EDATE($D60,Milestones!$AA$110)&lt;PolicyEff),1,Milestones!$AC$110)&amp;";  ","")&amp;IF(AND(EDATE($D60,Milestones!$AA$111)&lt;=AsOfDate,EDATE($D60,Milestones!$AA$111)&gt;=SchemeStart,IF($X60=0,$AD60,IF(AND($Z60&lt;&gt;"",EDATE($D60,Milestones!$AA$111)&gt;=$Z60),$AC60,IF(AND($Y60&lt;&gt;"",EDATE($D60,Milestones!$AA$111)&gt;=$Y60),$AB60,$AA60)))=Milestones!$AB$111),UPPER(TEXT(EDATE($D60,Milestones!$AA$111),"dd mmm yy"))&amp;" "&amp;Milestones!$AB$111&amp;" "&amp;IF(AND(Milestones!$AB$111="FT",Milestones!$AA$111=FT_Y5,EDATE($D60,Milestones!$AA$111)&lt;PolicyEff),1,Milestones!$AC$111)&amp;";  ","")&amp;IF(AND(EDATE($D60,Milestones!$AA$112)&lt;=AsOfDate,EDATE($D60,Milestones!$AA$112)&gt;=SchemeStart,IF($X60=0,$AD60,IF(AND($Z60&lt;&gt;"",EDATE($D60,Milestones!$AA$112)&gt;=$Z60),$AC60,IF(AND($Y60&lt;&gt;"",EDATE($D60,Milestones!$AA$112)&gt;=$Y60),$AB60,$AA60)))=Milestones!$AB$112),UPPER(TEXT(EDATE($D60,Milestones!$AA$112),"dd mmm yy"))&amp;" "&amp;Milestones!$AB$112&amp;" "&amp;IF(AND(Milestones!$AB$112="FT",Milestones!$AA$112=FT_Y5,EDATE($D60,Milestones!$AA$112)&lt;PolicyEff),1,Milestones!$AC$112)&amp;";  ","")&amp;IF(AND(EDATE($D60,Milestones!$AA$113)&lt;=AsOfDate,EDATE($D60,Milestones!$AA$113)&gt;=SchemeStart,IF($X60=0,$AD60,IF(AND($Z60&lt;&gt;"",EDATE($D60,Milestones!$AA$113)&gt;=$Z60),$AC60,IF(AND($Y60&lt;&gt;"",EDATE($D60,Milestones!$AA$113)&gt;=$Y60),$AB60,$AA60)))=Milestones!$AB$113),UPPER(TEXT(EDATE($D60,Milestones!$AA$113),"dd mmm yy"))&amp;" "&amp;Milestones!$AB$113&amp;" "&amp;IF(AND(Milestones!$AB$113="FT",Milestones!$AA$113=FT_Y5,EDATE($D60,Milestones!$AA$113)&lt;PolicyEff),1,Milestones!$AC$113)&amp;";  ","")&amp;IF(AND(EDATE($D60,Milestones!$AA$114)&lt;=AsOfDate,EDATE($D60,Milestones!$AA$114)&gt;=SchemeStart,IF($X60=0,$AD60,IF(AND($Z60&lt;&gt;"",EDATE($D60,Milestones!$AA$114)&gt;=$Z60),$AC60,IF(AND($Y60&lt;&gt;"",EDATE($D60,Milestones!$AA$114)&gt;=$Y60),$AB60,$AA60)))=Milestones!$AB$114),UPPER(TEXT(EDATE($D60,Milestones!$AA$114),"dd mmm yy"))&amp;" "&amp;Milestones!$AB$114&amp;" "&amp;IF(AND(Milestones!$AB$114="FT",Milestones!$AA$114=FT_Y5,EDATE($D60,Milestones!$AA$114)&lt;PolicyEff),1,Milestones!$AC$114)&amp;";  ","")&amp;IF(AND(EDATE($D60,Milestones!$AA$115)&lt;=AsOfDate,EDATE($D60,Milestones!$AA$115)&gt;=SchemeStart,IF($X60=0,$AD60,IF(AND($Z60&lt;&gt;"",EDATE($D60,Milestones!$AA$115)&gt;=$Z60),$AC60,IF(AND($Y60&lt;&gt;"",EDATE($D60,Milestones!$AA$115)&gt;=$Y60),$AB60,$AA60)))=Milestones!$AB$115),UPPER(TEXT(EDATE($D60,Milestones!$AA$115),"dd mmm yy"))&amp;" "&amp;Milestones!$AB$115&amp;" "&amp;IF(AND(Milestones!$AB$115="FT",Milestones!$AA$115=FT_Y5,EDATE($D60,Milestones!$AA$115)&lt;PolicyEff),1,Milestones!$AC$115)&amp;";  ",""))</f>
        <v/>
      </c>
      <c r="Q60" s="0" t="str">
        <f aca="false">IF(OR($A60="",$D60=""),"",IF(AND(EDATE($D60,Milestones!$AA$116)&lt;=AsOfDate,EDATE($D60,Milestones!$AA$116)&gt;=SchemeStart,IF($X60=0,$AD60,IF(AND($Z60&lt;&gt;"",EDATE($D60,Milestones!$AA$116)&gt;=$Z60),$AC60,IF(AND($Y60&lt;&gt;"",EDATE($D60,Milestones!$AA$116)&gt;=$Y60),$AB60,$AA60)))=Milestones!$AB$116),UPPER(TEXT(EDATE($D60,Milestones!$AA$116),"dd mmm yy"))&amp;" "&amp;Milestones!$AB$116&amp;" "&amp;IF(AND(Milestones!$AB$116="FT",Milestones!$AA$116=FT_Y5,EDATE($D60,Milestones!$AA$116)&lt;PolicyEff),1,Milestones!$AC$116)&amp;";  ","")&amp;IF(AND(EDATE($D60,Milestones!$AA$117)&lt;=AsOfDate,EDATE($D60,Milestones!$AA$117)&gt;=SchemeStart,IF($X60=0,$AD60,IF(AND($Z60&lt;&gt;"",EDATE($D60,Milestones!$AA$117)&gt;=$Z60),$AC60,IF(AND($Y60&lt;&gt;"",EDATE($D60,Milestones!$AA$117)&gt;=$Y60),$AB60,$AA60)))=Milestones!$AB$117),UPPER(TEXT(EDATE($D60,Milestones!$AA$117),"dd mmm yy"))&amp;" "&amp;Milestones!$AB$117&amp;" "&amp;IF(AND(Milestones!$AB$117="FT",Milestones!$AA$117=FT_Y5,EDATE($D60,Milestones!$AA$117)&lt;PolicyEff),1,Milestones!$AC$117)&amp;";  ","")&amp;IF(AND(EDATE($D60,Milestones!$AA$118)&lt;=AsOfDate,EDATE($D60,Milestones!$AA$118)&gt;=SchemeStart,IF($X60=0,$AD60,IF(AND($Z60&lt;&gt;"",EDATE($D60,Milestones!$AA$118)&gt;=$Z60),$AC60,IF(AND($Y60&lt;&gt;"",EDATE($D60,Milestones!$AA$118)&gt;=$Y60),$AB60,$AA60)))=Milestones!$AB$118),UPPER(TEXT(EDATE($D60,Milestones!$AA$118),"dd mmm yy"))&amp;" "&amp;Milestones!$AB$118&amp;" "&amp;IF(AND(Milestones!$AB$118="FT",Milestones!$AA$118=FT_Y5,EDATE($D60,Milestones!$AA$118)&lt;PolicyEff),1,Milestones!$AC$118)&amp;";  ","")&amp;IF(AND(EDATE($D60,Milestones!$AA$119)&lt;=AsOfDate,EDATE($D60,Milestones!$AA$119)&gt;=SchemeStart,IF($X60=0,$AD60,IF(AND($Z60&lt;&gt;"",EDATE($D60,Milestones!$AA$119)&gt;=$Z60),$AC60,IF(AND($Y60&lt;&gt;"",EDATE($D60,Milestones!$AA$119)&gt;=$Y60),$AB60,$AA60)))=Milestones!$AB$119),UPPER(TEXT(EDATE($D60,Milestones!$AA$119),"dd mmm yy"))&amp;" "&amp;Milestones!$AB$119&amp;" "&amp;IF(AND(Milestones!$AB$119="FT",Milestones!$AA$119=FT_Y5,EDATE($D60,Milestones!$AA$119)&lt;PolicyEff),1,Milestones!$AC$119)&amp;";  ","")&amp;IF(AND(EDATE($D60,Milestones!$AA$120)&lt;=AsOfDate,EDATE($D60,Milestones!$AA$120)&gt;=SchemeStart,IF($X60=0,$AD60,IF(AND($Z60&lt;&gt;"",EDATE($D60,Milestones!$AA$120)&gt;=$Z60),$AC60,IF(AND($Y60&lt;&gt;"",EDATE($D60,Milestones!$AA$120)&gt;=$Y60),$AB60,$AA60)))=Milestones!$AB$120),UPPER(TEXT(EDATE($D60,Milestones!$AA$120),"dd mmm yy"))&amp;" "&amp;Milestones!$AB$120&amp;" "&amp;IF(AND(Milestones!$AB$120="FT",Milestones!$AA$120=FT_Y5,EDATE($D60,Milestones!$AA$120)&lt;PolicyEff),1,Milestones!$AC$120)&amp;";  ","")&amp;IF(AND(EDATE($D60,Milestones!$AA$121)&lt;=AsOfDate,EDATE($D60,Milestones!$AA$121)&gt;=SchemeStart,IF($X60=0,$AD60,IF(AND($Z60&lt;&gt;"",EDATE($D60,Milestones!$AA$121)&gt;=$Z60),$AC60,IF(AND($Y60&lt;&gt;"",EDATE($D60,Milestones!$AA$121)&gt;=$Y60),$AB60,$AA60)))=Milestones!$AB$121),UPPER(TEXT(EDATE($D60,Milestones!$AA$121),"dd mmm yy"))&amp;" "&amp;Milestones!$AB$121&amp;" "&amp;IF(AND(Milestones!$AB$121="FT",Milestones!$AA$121=FT_Y5,EDATE($D60,Milestones!$AA$121)&lt;PolicyEff),1,Milestones!$AC$121)&amp;";  ","")&amp;IF(AND(EDATE($D60,Milestones!$AA$122)&lt;=AsOfDate,EDATE($D60,Milestones!$AA$122)&gt;=SchemeStart,IF($X60=0,$AD60,IF(AND($Z60&lt;&gt;"",EDATE($D60,Milestones!$AA$122)&gt;=$Z60),$AC60,IF(AND($Y60&lt;&gt;"",EDATE($D60,Milestones!$AA$122)&gt;=$Y60),$AB60,$AA60)))=Milestones!$AB$122),UPPER(TEXT(EDATE($D60,Milestones!$AA$122),"dd mmm yy"))&amp;" "&amp;Milestones!$AB$122&amp;" "&amp;IF(AND(Milestones!$AB$122="FT",Milestones!$AA$122=FT_Y5,EDATE($D60,Milestones!$AA$122)&lt;PolicyEff),1,Milestones!$AC$122)&amp;";  ","")&amp;IF(AND(EDATE($D60,Milestones!$AA$123)&lt;=AsOfDate,EDATE($D60,Milestones!$AA$123)&gt;=SchemeStart,IF($X60=0,$AD60,IF(AND($Z60&lt;&gt;"",EDATE($D60,Milestones!$AA$123)&gt;=$Z60),$AC60,IF(AND($Y60&lt;&gt;"",EDATE($D60,Milestones!$AA$123)&gt;=$Y60),$AB60,$AA60)))=Milestones!$AB$123),UPPER(TEXT(EDATE($D60,Milestones!$AA$123),"dd mmm yy"))&amp;" "&amp;Milestones!$AB$123&amp;" "&amp;IF(AND(Milestones!$AB$123="FT",Milestones!$AA$123=FT_Y5,EDATE($D60,Milestones!$AA$123)&lt;PolicyEff),1,Milestones!$AC$123)&amp;";  ","")&amp;IF(AND(EDATE($D60,Milestones!$AA$124)&lt;=AsOfDate,EDATE($D60,Milestones!$AA$124)&gt;=SchemeStart,IF($X60=0,$AD60,IF(AND($Z60&lt;&gt;"",EDATE($D60,Milestones!$AA$124)&gt;=$Z60),$AC60,IF(AND($Y60&lt;&gt;"",EDATE($D60,Milestones!$AA$124)&gt;=$Y60),$AB60,$AA60)))=Milestones!$AB$124),UPPER(TEXT(EDATE($D60,Milestones!$AA$124),"dd mmm yy"))&amp;" "&amp;Milestones!$AB$124&amp;" "&amp;IF(AND(Milestones!$AB$124="FT",Milestones!$AA$124=FT_Y5,EDATE($D60,Milestones!$AA$124)&lt;PolicyEff),1,Milestones!$AC$124)&amp;";  ","")&amp;IF(AND(EDATE($D60,Milestones!$AA$125)&lt;=AsOfDate,EDATE($D60,Milestones!$AA$125)&gt;=SchemeStart,IF($X60=0,$AD60,IF(AND($Z60&lt;&gt;"",EDATE($D60,Milestones!$AA$125)&gt;=$Z60),$AC60,IF(AND($Y60&lt;&gt;"",EDATE($D60,Milestones!$AA$125)&gt;=$Y60),$AB60,$AA60)))=Milestones!$AB$125),UPPER(TEXT(EDATE($D60,Milestones!$AA$125),"dd mmm yy"))&amp;" "&amp;Milestones!$AB$125&amp;" "&amp;IF(AND(Milestones!$AB$125="FT",Milestones!$AA$125=FT_Y5,EDATE($D60,Milestones!$AA$125)&lt;PolicyEff),1,Milestones!$AC$125)&amp;";  ","")&amp;IF(AND(EDATE($D60,Milestones!$AA$126)&lt;=AsOfDate,EDATE($D60,Milestones!$AA$126)&gt;=SchemeStart,IF($X60=0,$AD60,IF(AND($Z60&lt;&gt;"",EDATE($D60,Milestones!$AA$126)&gt;=$Z60),$AC60,IF(AND($Y60&lt;&gt;"",EDATE($D60,Milestones!$AA$126)&gt;=$Y60),$AB60,$AA60)))=Milestones!$AB$126),UPPER(TEXT(EDATE($D60,Milestones!$AA$126),"dd mmm yy"))&amp;" "&amp;Milestones!$AB$126&amp;" "&amp;IF(AND(Milestones!$AB$126="FT",Milestones!$AA$126=FT_Y5,EDATE($D60,Milestones!$AA$126)&lt;PolicyEff),1,Milestones!$AC$126)&amp;";  ","")&amp;IF(AND(EDATE($D60,Milestones!$AA$127)&lt;=AsOfDate,EDATE($D60,Milestones!$AA$127)&gt;=SchemeStart,IF($X60=0,$AD60,IF(AND($Z60&lt;&gt;"",EDATE($D60,Milestones!$AA$127)&gt;=$Z60),$AC60,IF(AND($Y60&lt;&gt;"",EDATE($D60,Milestones!$AA$127)&gt;=$Y60),$AB60,$AA60)))=Milestones!$AB$127),UPPER(TEXT(EDATE($D60,Milestones!$AA$127),"dd mmm yy"))&amp;" "&amp;Milestones!$AB$127&amp;" "&amp;IF(AND(Milestones!$AB$127="FT",Milestones!$AA$127=FT_Y5,EDATE($D60,Milestones!$AA$127)&lt;PolicyEff),1,Milestones!$AC$127)&amp;";  ",""))</f>
        <v/>
      </c>
      <c r="R60" s="0" t="str">
        <f aca="false">IF(OR($A60="",$D60=""),"",IF(AND(EDATE($D60,Milestones!$AA$128)&lt;=AsOfDate,EDATE($D60,Milestones!$AA$128)&gt;=SchemeStart,IF($X60=0,$AD60,IF(AND($Z60&lt;&gt;"",EDATE($D60,Milestones!$AA$128)&gt;=$Z60),$AC60,IF(AND($Y60&lt;&gt;"",EDATE($D60,Milestones!$AA$128)&gt;=$Y60),$AB60,$AA60)))=Milestones!$AB$128),UPPER(TEXT(EDATE($D60,Milestones!$AA$128),"dd mmm yy"))&amp;" "&amp;Milestones!$AB$128&amp;" "&amp;IF(AND(Milestones!$AB$128="FT",Milestones!$AA$128=FT_Y5,EDATE($D60,Milestones!$AA$128)&lt;PolicyEff),1,Milestones!$AC$128)&amp;";  ","")&amp;IF(AND(EDATE($D60,Milestones!$AA$129)&lt;=AsOfDate,EDATE($D60,Milestones!$AA$129)&gt;=SchemeStart,IF($X60=0,$AD60,IF(AND($Z60&lt;&gt;"",EDATE($D60,Milestones!$AA$129)&gt;=$Z60),$AC60,IF(AND($Y60&lt;&gt;"",EDATE($D60,Milestones!$AA$129)&gt;=$Y60),$AB60,$AA60)))=Milestones!$AB$129),UPPER(TEXT(EDATE($D60,Milestones!$AA$129),"dd mmm yy"))&amp;" "&amp;Milestones!$AB$129&amp;" "&amp;IF(AND(Milestones!$AB$129="FT",Milestones!$AA$129=FT_Y5,EDATE($D60,Milestones!$AA$129)&lt;PolicyEff),1,Milestones!$AC$129)&amp;";  ","")&amp;IF(AND(EDATE($D60,Milestones!$AA$130)&lt;=AsOfDate,EDATE($D60,Milestones!$AA$130)&gt;=SchemeStart,IF($X60=0,$AD60,IF(AND($Z60&lt;&gt;"",EDATE($D60,Milestones!$AA$130)&gt;=$Z60),$AC60,IF(AND($Y60&lt;&gt;"",EDATE($D60,Milestones!$AA$130)&gt;=$Y60),$AB60,$AA60)))=Milestones!$AB$130),UPPER(TEXT(EDATE($D60,Milestones!$AA$130),"dd mmm yy"))&amp;" "&amp;Milestones!$AB$130&amp;" "&amp;IF(AND(Milestones!$AB$130="FT",Milestones!$AA$130=FT_Y5,EDATE($D60,Milestones!$AA$130)&lt;PolicyEff),1,Milestones!$AC$130)&amp;";  ","")&amp;IF(AND(EDATE($D60,Milestones!$AA$131)&lt;=AsOfDate,EDATE($D60,Milestones!$AA$131)&gt;=SchemeStart,IF($X60=0,$AD60,IF(AND($Z60&lt;&gt;"",EDATE($D60,Milestones!$AA$131)&gt;=$Z60),$AC60,IF(AND($Y60&lt;&gt;"",EDATE($D60,Milestones!$AA$131)&gt;=$Y60),$AB60,$AA60)))=Milestones!$AB$131),UPPER(TEXT(EDATE($D60,Milestones!$AA$131),"dd mmm yy"))&amp;" "&amp;Milestones!$AB$131&amp;" "&amp;IF(AND(Milestones!$AB$131="FT",Milestones!$AA$131=FT_Y5,EDATE($D60,Milestones!$AA$131)&lt;PolicyEff),1,Milestones!$AC$131)&amp;";  ","")&amp;IF(AND(EDATE($D60,Milestones!$AA$132)&lt;=AsOfDate,EDATE($D60,Milestones!$AA$132)&gt;=SchemeStart,IF($X60=0,$AD60,IF(AND($Z60&lt;&gt;"",EDATE($D60,Milestones!$AA$132)&gt;=$Z60),$AC60,IF(AND($Y60&lt;&gt;"",EDATE($D60,Milestones!$AA$132)&gt;=$Y60),$AB60,$AA60)))=Milestones!$AB$132),UPPER(TEXT(EDATE($D60,Milestones!$AA$132),"dd mmm yy"))&amp;" "&amp;Milestones!$AB$132&amp;" "&amp;IF(AND(Milestones!$AB$132="FT",Milestones!$AA$132=FT_Y5,EDATE($D60,Milestones!$AA$132)&lt;PolicyEff),1,Milestones!$AC$132)&amp;";  ","")&amp;IF(AND(EDATE($D60,Milestones!$AA$133)&lt;=AsOfDate,EDATE($D60,Milestones!$AA$133)&gt;=SchemeStart,IF($X60=0,$AD60,IF(AND($Z60&lt;&gt;"",EDATE($D60,Milestones!$AA$133)&gt;=$Z60),$AC60,IF(AND($Y60&lt;&gt;"",EDATE($D60,Milestones!$AA$133)&gt;=$Y60),$AB60,$AA60)))=Milestones!$AB$133),UPPER(TEXT(EDATE($D60,Milestones!$AA$133),"dd mmm yy"))&amp;" "&amp;Milestones!$AB$133&amp;" "&amp;IF(AND(Milestones!$AB$133="FT",Milestones!$AA$133=FT_Y5,EDATE($D60,Milestones!$AA$133)&lt;PolicyEff),1,Milestones!$AC$133)&amp;";  ","")&amp;IF(AND(EDATE($D60,Milestones!$AA$134)&lt;=AsOfDate,EDATE($D60,Milestones!$AA$134)&gt;=SchemeStart,IF($X60=0,$AD60,IF(AND($Z60&lt;&gt;"",EDATE($D60,Milestones!$AA$134)&gt;=$Z60),$AC60,IF(AND($Y60&lt;&gt;"",EDATE($D60,Milestones!$AA$134)&gt;=$Y60),$AB60,$AA60)))=Milestones!$AB$134),UPPER(TEXT(EDATE($D60,Milestones!$AA$134),"dd mmm yy"))&amp;" "&amp;Milestones!$AB$134&amp;" "&amp;IF(AND(Milestones!$AB$134="FT",Milestones!$AA$134=FT_Y5,EDATE($D60,Milestones!$AA$134)&lt;PolicyEff),1,Milestones!$AC$134)&amp;";  ","")&amp;IF(AND(EDATE($D60,Milestones!$AA$135)&lt;=AsOfDate,EDATE($D60,Milestones!$AA$135)&gt;=SchemeStart,IF($X60=0,$AD60,IF(AND($Z60&lt;&gt;"",EDATE($D60,Milestones!$AA$135)&gt;=$Z60),$AC60,IF(AND($Y60&lt;&gt;"",EDATE($D60,Milestones!$AA$135)&gt;=$Y60),$AB60,$AA60)))=Milestones!$AB$135),UPPER(TEXT(EDATE($D60,Milestones!$AA$135),"dd mmm yy"))&amp;" "&amp;Milestones!$AB$135&amp;" "&amp;IF(AND(Milestones!$AB$135="FT",Milestones!$AA$135=FT_Y5,EDATE($D60,Milestones!$AA$135)&lt;PolicyEff),1,Milestones!$AC$135)&amp;";  ","")&amp;IF(AND(EDATE($D60,Milestones!$AA$136)&lt;=AsOfDate,EDATE($D60,Milestones!$AA$136)&gt;=SchemeStart,IF($X60=0,$AD60,IF(AND($Z60&lt;&gt;"",EDATE($D60,Milestones!$AA$136)&gt;=$Z60),$AC60,IF(AND($Y60&lt;&gt;"",EDATE($D60,Milestones!$AA$136)&gt;=$Y60),$AB60,$AA60)))=Milestones!$AB$136),UPPER(TEXT(EDATE($D60,Milestones!$AA$136),"dd mmm yy"))&amp;" "&amp;Milestones!$AB$136&amp;" "&amp;IF(AND(Milestones!$AB$136="FT",Milestones!$AA$136=FT_Y5,EDATE($D60,Milestones!$AA$136)&lt;PolicyEff),1,Milestones!$AC$136)&amp;";  ","")&amp;IF(AND(EDATE($D60,Milestones!$AA$137)&lt;=AsOfDate,EDATE($D60,Milestones!$AA$137)&gt;=SchemeStart,IF($X60=0,$AD60,IF(AND($Z60&lt;&gt;"",EDATE($D60,Milestones!$AA$137)&gt;=$Z60),$AC60,IF(AND($Y60&lt;&gt;"",EDATE($D60,Milestones!$AA$137)&gt;=$Y60),$AB60,$AA60)))=Milestones!$AB$137),UPPER(TEXT(EDATE($D60,Milestones!$AA$137),"dd mmm yy"))&amp;" "&amp;Milestones!$AB$137&amp;" "&amp;IF(AND(Milestones!$AB$137="FT",Milestones!$AA$137=FT_Y5,EDATE($D60,Milestones!$AA$137)&lt;PolicyEff),1,Milestones!$AC$137)&amp;";  ","")&amp;IF(AND(EDATE($D60,Milestones!$AA$138)&lt;=AsOfDate,EDATE($D60,Milestones!$AA$138)&gt;=SchemeStart,IF($X60=0,$AD60,IF(AND($Z60&lt;&gt;"",EDATE($D60,Milestones!$AA$138)&gt;=$Z60),$AC60,IF(AND($Y60&lt;&gt;"",EDATE($D60,Milestones!$AA$138)&gt;=$Y60),$AB60,$AA60)))=Milestones!$AB$138),UPPER(TEXT(EDATE($D60,Milestones!$AA$138),"dd mmm yy"))&amp;" "&amp;Milestones!$AB$138&amp;" "&amp;IF(AND(Milestones!$AB$138="FT",Milestones!$AA$138=FT_Y5,EDATE($D60,Milestones!$AA$138)&lt;PolicyEff),1,Milestones!$AC$138)&amp;";  ","")&amp;IF(AND(EDATE($D60,Milestones!$AA$139)&lt;=AsOfDate,EDATE($D60,Milestones!$AA$139)&gt;=SchemeStart,IF($X60=0,$AD60,IF(AND($Z60&lt;&gt;"",EDATE($D60,Milestones!$AA$139)&gt;=$Z60),$AC60,IF(AND($Y60&lt;&gt;"",EDATE($D60,Milestones!$AA$139)&gt;=$Y60),$AB60,$AA60)))=Milestones!$AB$139),UPPER(TEXT(EDATE($D60,Milestones!$AA$139),"dd mmm yy"))&amp;" "&amp;Milestones!$AB$139&amp;" "&amp;IF(AND(Milestones!$AB$139="FT",Milestones!$AA$139=FT_Y5,EDATE($D60,Milestones!$AA$139)&lt;PolicyEff),1,Milestones!$AC$139)&amp;";  ",""))</f>
        <v/>
      </c>
      <c r="S60" s="0" t="str">
        <f aca="false">IF(OR($A60="",$D60=""),"",IF(AND(EDATE($D60,Milestones!$AA$140)&lt;=AsOfDate,EDATE($D60,Milestones!$AA$140)&gt;=SchemeStart,IF($X60=0,$AD60,IF(AND($Z60&lt;&gt;"",EDATE($D60,Milestones!$AA$140)&gt;=$Z60),$AC60,IF(AND($Y60&lt;&gt;"",EDATE($D60,Milestones!$AA$140)&gt;=$Y60),$AB60,$AA60)))=Milestones!$AB$140),UPPER(TEXT(EDATE($D60,Milestones!$AA$140),"dd mmm yy"))&amp;" "&amp;Milestones!$AB$140&amp;" "&amp;IF(AND(Milestones!$AB$140="FT",Milestones!$AA$140=FT_Y5,EDATE($D60,Milestones!$AA$140)&lt;PolicyEff),1,Milestones!$AC$140)&amp;";  ","")&amp;IF(AND(EDATE($D60,Milestones!$AA$141)&lt;=AsOfDate,EDATE($D60,Milestones!$AA$141)&gt;=SchemeStart,IF($X60=0,$AD60,IF(AND($Z60&lt;&gt;"",EDATE($D60,Milestones!$AA$141)&gt;=$Z60),$AC60,IF(AND($Y60&lt;&gt;"",EDATE($D60,Milestones!$AA$141)&gt;=$Y60),$AB60,$AA60)))=Milestones!$AB$141),UPPER(TEXT(EDATE($D60,Milestones!$AA$141),"dd mmm yy"))&amp;" "&amp;Milestones!$AB$141&amp;" "&amp;IF(AND(Milestones!$AB$141="FT",Milestones!$AA$141=FT_Y5,EDATE($D60,Milestones!$AA$141)&lt;PolicyEff),1,Milestones!$AC$141)&amp;";  ","")&amp;IF(AND(EDATE($D60,Milestones!$AA$142)&lt;=AsOfDate,EDATE($D60,Milestones!$AA$142)&gt;=SchemeStart,IF($X60=0,$AD60,IF(AND($Z60&lt;&gt;"",EDATE($D60,Milestones!$AA$142)&gt;=$Z60),$AC60,IF(AND($Y60&lt;&gt;"",EDATE($D60,Milestones!$AA$142)&gt;=$Y60),$AB60,$AA60)))=Milestones!$AB$142),UPPER(TEXT(EDATE($D60,Milestones!$AA$142),"dd mmm yy"))&amp;" "&amp;Milestones!$AB$142&amp;" "&amp;IF(AND(Milestones!$AB$142="FT",Milestones!$AA$142=FT_Y5,EDATE($D60,Milestones!$AA$142)&lt;PolicyEff),1,Milestones!$AC$142)&amp;";  ","")&amp;IF(AND(EDATE($D60,Milestones!$AA$143)&lt;=AsOfDate,EDATE($D60,Milestones!$AA$143)&gt;=SchemeStart,IF($X60=0,$AD60,IF(AND($Z60&lt;&gt;"",EDATE($D60,Milestones!$AA$143)&gt;=$Z60),$AC60,IF(AND($Y60&lt;&gt;"",EDATE($D60,Milestones!$AA$143)&gt;=$Y60),$AB60,$AA60)))=Milestones!$AB$143),UPPER(TEXT(EDATE($D60,Milestones!$AA$143),"dd mmm yy"))&amp;" "&amp;Milestones!$AB$143&amp;" "&amp;IF(AND(Milestones!$AB$143="FT",Milestones!$AA$143=FT_Y5,EDATE($D60,Milestones!$AA$143)&lt;PolicyEff),1,Milestones!$AC$143)&amp;";  ","")&amp;IF(AND(EDATE($D60,Milestones!$AA$144)&lt;=AsOfDate,EDATE($D60,Milestones!$AA$144)&gt;=SchemeStart,IF($X60=0,$AD60,IF(AND($Z60&lt;&gt;"",EDATE($D60,Milestones!$AA$144)&gt;=$Z60),$AC60,IF(AND($Y60&lt;&gt;"",EDATE($D60,Milestones!$AA$144)&gt;=$Y60),$AB60,$AA60)))=Milestones!$AB$144),UPPER(TEXT(EDATE($D60,Milestones!$AA$144),"dd mmm yy"))&amp;" "&amp;Milestones!$AB$144&amp;" "&amp;IF(AND(Milestones!$AB$144="FT",Milestones!$AA$144=FT_Y5,EDATE($D60,Milestones!$AA$144)&lt;PolicyEff),1,Milestones!$AC$144)&amp;";  ","")&amp;IF(AND(EDATE($D60,Milestones!$AA$145)&lt;=AsOfDate,EDATE($D60,Milestones!$AA$145)&gt;=SchemeStart,IF($X60=0,$AD60,IF(AND($Z60&lt;&gt;"",EDATE($D60,Milestones!$AA$145)&gt;=$Z60),$AC60,IF(AND($Y60&lt;&gt;"",EDATE($D60,Milestones!$AA$145)&gt;=$Y60),$AB60,$AA60)))=Milestones!$AB$145),UPPER(TEXT(EDATE($D60,Milestones!$AA$145),"dd mmm yy"))&amp;" "&amp;Milestones!$AB$145&amp;" "&amp;IF(AND(Milestones!$AB$145="FT",Milestones!$AA$145=FT_Y5,EDATE($D60,Milestones!$AA$145)&lt;PolicyEff),1,Milestones!$AC$145)&amp;";  ","")&amp;IF(AND(EDATE($D60,Milestones!$AA$146)&lt;=AsOfDate,EDATE($D60,Milestones!$AA$146)&gt;=SchemeStart,IF($X60=0,$AD60,IF(AND($Z60&lt;&gt;"",EDATE($D60,Milestones!$AA$146)&gt;=$Z60),$AC60,IF(AND($Y60&lt;&gt;"",EDATE($D60,Milestones!$AA$146)&gt;=$Y60),$AB60,$AA60)))=Milestones!$AB$146),UPPER(TEXT(EDATE($D60,Milestones!$AA$146),"dd mmm yy"))&amp;" "&amp;Milestones!$AB$146&amp;" "&amp;IF(AND(Milestones!$AB$146="FT",Milestones!$AA$146=FT_Y5,EDATE($D60,Milestones!$AA$146)&lt;PolicyEff),1,Milestones!$AC$146)&amp;";  ","")&amp;IF(AND(EDATE($D60,Milestones!$AA$147)&lt;=AsOfDate,EDATE($D60,Milestones!$AA$147)&gt;=SchemeStart,IF($X60=0,$AD60,IF(AND($Z60&lt;&gt;"",EDATE($D60,Milestones!$AA$147)&gt;=$Z60),$AC60,IF(AND($Y60&lt;&gt;"",EDATE($D60,Milestones!$AA$147)&gt;=$Y60),$AB60,$AA60)))=Milestones!$AB$147),UPPER(TEXT(EDATE($D60,Milestones!$AA$147),"dd mmm yy"))&amp;" "&amp;Milestones!$AB$147&amp;" "&amp;IF(AND(Milestones!$AB$147="FT",Milestones!$AA$147=FT_Y5,EDATE($D60,Milestones!$AA$147)&lt;PolicyEff),1,Milestones!$AC$147)&amp;";  ","")&amp;IF(AND(EDATE($D60,Milestones!$AA$148)&lt;=AsOfDate,EDATE($D60,Milestones!$AA$148)&gt;=SchemeStart,IF($X60=0,$AD60,IF(AND($Z60&lt;&gt;"",EDATE($D60,Milestones!$AA$148)&gt;=$Z60),$AC60,IF(AND($Y60&lt;&gt;"",EDATE($D60,Milestones!$AA$148)&gt;=$Y60),$AB60,$AA60)))=Milestones!$AB$148),UPPER(TEXT(EDATE($D60,Milestones!$AA$148),"dd mmm yy"))&amp;" "&amp;Milestones!$AB$148&amp;" "&amp;IF(AND(Milestones!$AB$148="FT",Milestones!$AA$148=FT_Y5,EDATE($D60,Milestones!$AA$148)&lt;PolicyEff),1,Milestones!$AC$148)&amp;";  ","")&amp;IF(AND(EDATE($D60,Milestones!$AA$149)&lt;=AsOfDate,EDATE($D60,Milestones!$AA$149)&gt;=SchemeStart,IF($X60=0,$AD60,IF(AND($Z60&lt;&gt;"",EDATE($D60,Milestones!$AA$149)&gt;=$Z60),$AC60,IF(AND($Y60&lt;&gt;"",EDATE($D60,Milestones!$AA$149)&gt;=$Y60),$AB60,$AA60)))=Milestones!$AB$149),UPPER(TEXT(EDATE($D60,Milestones!$AA$149),"dd mmm yy"))&amp;" "&amp;Milestones!$AB$149&amp;" "&amp;IF(AND(Milestones!$AB$149="FT",Milestones!$AA$149=FT_Y5,EDATE($D60,Milestones!$AA$149)&lt;PolicyEff),1,Milestones!$AC$149)&amp;";  ","")&amp;IF(AND(EDATE($D60,Milestones!$AA$150)&lt;=AsOfDate,EDATE($D60,Milestones!$AA$150)&gt;=SchemeStart,IF($X60=0,$AD60,IF(AND($Z60&lt;&gt;"",EDATE($D60,Milestones!$AA$150)&gt;=$Z60),$AC60,IF(AND($Y60&lt;&gt;"",EDATE($D60,Milestones!$AA$150)&gt;=$Y60),$AB60,$AA60)))=Milestones!$AB$150),UPPER(TEXT(EDATE($D60,Milestones!$AA$150),"dd mmm yy"))&amp;" "&amp;Milestones!$AB$150&amp;" "&amp;IF(AND(Milestones!$AB$150="FT",Milestones!$AA$150=FT_Y5,EDATE($D60,Milestones!$AA$150)&lt;PolicyEff),1,Milestones!$AC$150)&amp;";  ","")&amp;IF(AND(EDATE($D60,Milestones!$AA$151)&lt;=AsOfDate,EDATE($D60,Milestones!$AA$151)&gt;=SchemeStart,IF($X60=0,$AD60,IF(AND($Z60&lt;&gt;"",EDATE($D60,Milestones!$AA$151)&gt;=$Z60),$AC60,IF(AND($Y60&lt;&gt;"",EDATE($D60,Milestones!$AA$151)&gt;=$Y60),$AB60,$AA60)))=Milestones!$AB$151),UPPER(TEXT(EDATE($D60,Milestones!$AA$151),"dd mmm yy"))&amp;" "&amp;Milestones!$AB$151&amp;" "&amp;IF(AND(Milestones!$AB$151="FT",Milestones!$AA$151=FT_Y5,EDATE($D60,Milestones!$AA$151)&lt;PolicyEff),1,Milestones!$AC$151)&amp;";  ",""))</f>
        <v/>
      </c>
      <c r="T60" s="0" t="str">
        <f aca="false">IF(OR($A60="",$D60=""),"",IF(AND(EDATE($D60,Milestones!$AA$152)&lt;=AsOfDate,EDATE($D60,Milestones!$AA$152)&gt;=SchemeStart,IF($X60=0,$AD60,IF(AND($Z60&lt;&gt;"",EDATE($D60,Milestones!$AA$152)&gt;=$Z60),$AC60,IF(AND($Y60&lt;&gt;"",EDATE($D60,Milestones!$AA$152)&gt;=$Y60),$AB60,$AA60)))=Milestones!$AB$152),UPPER(TEXT(EDATE($D60,Milestones!$AA$152),"dd mmm yy"))&amp;" "&amp;Milestones!$AB$152&amp;" "&amp;IF(AND(Milestones!$AB$152="FT",Milestones!$AA$152=FT_Y5,EDATE($D60,Milestones!$AA$152)&lt;PolicyEff),1,Milestones!$AC$152)&amp;";  ","")&amp;IF(AND(EDATE($D60,Milestones!$AA$153)&lt;=AsOfDate,EDATE($D60,Milestones!$AA$153)&gt;=SchemeStart,IF($X60=0,$AD60,IF(AND($Z60&lt;&gt;"",EDATE($D60,Milestones!$AA$153)&gt;=$Z60),$AC60,IF(AND($Y60&lt;&gt;"",EDATE($D60,Milestones!$AA$153)&gt;=$Y60),$AB60,$AA60)))=Milestones!$AB$153),UPPER(TEXT(EDATE($D60,Milestones!$AA$153),"dd mmm yy"))&amp;" "&amp;Milestones!$AB$153&amp;" "&amp;IF(AND(Milestones!$AB$153="FT",Milestones!$AA$153=FT_Y5,EDATE($D60,Milestones!$AA$153)&lt;PolicyEff),1,Milestones!$AC$153)&amp;";  ","")&amp;IF(AND(EDATE($D60,Milestones!$AA$154)&lt;=AsOfDate,EDATE($D60,Milestones!$AA$154)&gt;=SchemeStart,IF($X60=0,$AD60,IF(AND($Z60&lt;&gt;"",EDATE($D60,Milestones!$AA$154)&gt;=$Z60),$AC60,IF(AND($Y60&lt;&gt;"",EDATE($D60,Milestones!$AA$154)&gt;=$Y60),$AB60,$AA60)))=Milestones!$AB$154),UPPER(TEXT(EDATE($D60,Milestones!$AA$154),"dd mmm yy"))&amp;" "&amp;Milestones!$AB$154&amp;" "&amp;IF(AND(Milestones!$AB$154="FT",Milestones!$AA$154=FT_Y5,EDATE($D60,Milestones!$AA$154)&lt;PolicyEff),1,Milestones!$AC$154)&amp;";  ","")&amp;IF(AND(EDATE($D60,Milestones!$AA$155)&lt;=AsOfDate,EDATE($D60,Milestones!$AA$155)&gt;=SchemeStart,IF($X60=0,$AD60,IF(AND($Z60&lt;&gt;"",EDATE($D60,Milestones!$AA$155)&gt;=$Z60),$AC60,IF(AND($Y60&lt;&gt;"",EDATE($D60,Milestones!$AA$155)&gt;=$Y60),$AB60,$AA60)))=Milestones!$AB$155),UPPER(TEXT(EDATE($D60,Milestones!$AA$155),"dd mmm yy"))&amp;" "&amp;Milestones!$AB$155&amp;" "&amp;IF(AND(Milestones!$AB$155="FT",Milestones!$AA$155=FT_Y5,EDATE($D60,Milestones!$AA$155)&lt;PolicyEff),1,Milestones!$AC$155)&amp;";  ","")&amp;IF(AND(EDATE($D60,Milestones!$AA$156)&lt;=AsOfDate,EDATE($D60,Milestones!$AA$156)&gt;=SchemeStart,IF($X60=0,$AD60,IF(AND($Z60&lt;&gt;"",EDATE($D60,Milestones!$AA$156)&gt;=$Z60),$AC60,IF(AND($Y60&lt;&gt;"",EDATE($D60,Milestones!$AA$156)&gt;=$Y60),$AB60,$AA60)))=Milestones!$AB$156),UPPER(TEXT(EDATE($D60,Milestones!$AA$156),"dd mmm yy"))&amp;" "&amp;Milestones!$AB$156&amp;" "&amp;IF(AND(Milestones!$AB$156="FT",Milestones!$AA$156=FT_Y5,EDATE($D60,Milestones!$AA$156)&lt;PolicyEff),1,Milestones!$AC$156)&amp;";  ","")&amp;IF(AND(EDATE($D60,Milestones!$AA$157)&lt;=AsOfDate,EDATE($D60,Milestones!$AA$157)&gt;=SchemeStart,IF($X60=0,$AD60,IF(AND($Z60&lt;&gt;"",EDATE($D60,Milestones!$AA$157)&gt;=$Z60),$AC60,IF(AND($Y60&lt;&gt;"",EDATE($D60,Milestones!$AA$157)&gt;=$Y60),$AB60,$AA60)))=Milestones!$AB$157),UPPER(TEXT(EDATE($D60,Milestones!$AA$157),"dd mmm yy"))&amp;" "&amp;Milestones!$AB$157&amp;" "&amp;IF(AND(Milestones!$AB$157="FT",Milestones!$AA$157=FT_Y5,EDATE($D60,Milestones!$AA$157)&lt;PolicyEff),1,Milestones!$AC$157)&amp;";  ","")&amp;IF(AND(EDATE($D60,Milestones!$AA$158)&lt;=AsOfDate,EDATE($D60,Milestones!$AA$158)&gt;=SchemeStart,IF($X60=0,$AD60,IF(AND($Z60&lt;&gt;"",EDATE($D60,Milestones!$AA$158)&gt;=$Z60),$AC60,IF(AND($Y60&lt;&gt;"",EDATE($D60,Milestones!$AA$158)&gt;=$Y60),$AB60,$AA60)))=Milestones!$AB$158),UPPER(TEXT(EDATE($D60,Milestones!$AA$158),"dd mmm yy"))&amp;" "&amp;Milestones!$AB$158&amp;" "&amp;IF(AND(Milestones!$AB$158="FT",Milestones!$AA$158=FT_Y5,EDATE($D60,Milestones!$AA$158)&lt;PolicyEff),1,Milestones!$AC$158)&amp;";  ","")&amp;IF(AND(EDATE($D60,Milestones!$AA$159)&lt;=AsOfDate,EDATE($D60,Milestones!$AA$159)&gt;=SchemeStart,IF($X60=0,$AD60,IF(AND($Z60&lt;&gt;"",EDATE($D60,Milestones!$AA$159)&gt;=$Z60),$AC60,IF(AND($Y60&lt;&gt;"",EDATE($D60,Milestones!$AA$159)&gt;=$Y60),$AB60,$AA60)))=Milestones!$AB$159),UPPER(TEXT(EDATE($D60,Milestones!$AA$159),"dd mmm yy"))&amp;" "&amp;Milestones!$AB$159&amp;" "&amp;IF(AND(Milestones!$AB$159="FT",Milestones!$AA$159=FT_Y5,EDATE($D60,Milestones!$AA$159)&lt;PolicyEff),1,Milestones!$AC$159)&amp;";  ","")&amp;IF(AND(EDATE($D60,Milestones!$AA$160)&lt;=AsOfDate,EDATE($D60,Milestones!$AA$160)&gt;=SchemeStart,IF($X60=0,$AD60,IF(AND($Z60&lt;&gt;"",EDATE($D60,Milestones!$AA$160)&gt;=$Z60),$AC60,IF(AND($Y60&lt;&gt;"",EDATE($D60,Milestones!$AA$160)&gt;=$Y60),$AB60,$AA60)))=Milestones!$AB$160),UPPER(TEXT(EDATE($D60,Milestones!$AA$160),"dd mmm yy"))&amp;" "&amp;Milestones!$AB$160&amp;" "&amp;IF(AND(Milestones!$AB$160="FT",Milestones!$AA$160=FT_Y5,EDATE($D60,Milestones!$AA$160)&lt;PolicyEff),1,Milestones!$AC$160)&amp;";  ","")&amp;IF(AND(EDATE($D60,Milestones!$AA$161)&lt;=AsOfDate,EDATE($D60,Milestones!$AA$161)&gt;=SchemeStart,IF($X60=0,$AD60,IF(AND($Z60&lt;&gt;"",EDATE($D60,Milestones!$AA$161)&gt;=$Z60),$AC60,IF(AND($Y60&lt;&gt;"",EDATE($D60,Milestones!$AA$161)&gt;=$Y60),$AB60,$AA60)))=Milestones!$AB$161),UPPER(TEXT(EDATE($D60,Milestones!$AA$161),"dd mmm yy"))&amp;" "&amp;Milestones!$AB$161&amp;" "&amp;IF(AND(Milestones!$AB$161="FT",Milestones!$AA$161=FT_Y5,EDATE($D60,Milestones!$AA$161)&lt;PolicyEff),1,Milestones!$AC$161)&amp;";  ","")&amp;IF(AND(EDATE($D60,Milestones!$AA$162)&lt;=AsOfDate,EDATE($D60,Milestones!$AA$162)&gt;=SchemeStart,IF($X60=0,$AD60,IF(AND($Z60&lt;&gt;"",EDATE($D60,Milestones!$AA$162)&gt;=$Z60),$AC60,IF(AND($Y60&lt;&gt;"",EDATE($D60,Milestones!$AA$162)&gt;=$Y60),$AB60,$AA60)))=Milestones!$AB$162),UPPER(TEXT(EDATE($D60,Milestones!$AA$162),"dd mmm yy"))&amp;" "&amp;Milestones!$AB$162&amp;" "&amp;IF(AND(Milestones!$AB$162="FT",Milestones!$AA$162=FT_Y5,EDATE($D60,Milestones!$AA$162)&lt;PolicyEff),1,Milestones!$AC$162)&amp;";  ","")&amp;IF(AND(EDATE($D60,Milestones!$AA$163)&lt;=AsOfDate,EDATE($D60,Milestones!$AA$163)&gt;=SchemeStart,IF($X60=0,$AD60,IF(AND($Z60&lt;&gt;"",EDATE($D60,Milestones!$AA$163)&gt;=$Z60),$AC60,IF(AND($Y60&lt;&gt;"",EDATE($D60,Milestones!$AA$163)&gt;=$Y60),$AB60,$AA60)))=Milestones!$AB$163),UPPER(TEXT(EDATE($D60,Milestones!$AA$163),"dd mmm yy"))&amp;" "&amp;Milestones!$AB$163&amp;" "&amp;IF(AND(Milestones!$AB$163="FT",Milestones!$AA$163=FT_Y5,EDATE($D60,Milestones!$AA$163)&lt;PolicyEff),1,Milestones!$AC$163)&amp;";  ",""))</f>
        <v/>
      </c>
      <c r="U60" s="0" t="str">
        <f aca="false">IF(OR($A60="",$D60=""),"",IF(AND(EDATE($D60,Milestones!$AA$164)&lt;=AsOfDate,EDATE($D60,Milestones!$AA$164)&gt;=SchemeStart,IF($X60=0,$AD60,IF(AND($Z60&lt;&gt;"",EDATE($D60,Milestones!$AA$164)&gt;=$Z60),$AC60,IF(AND($Y60&lt;&gt;"",EDATE($D60,Milestones!$AA$164)&gt;=$Y60),$AB60,$AA60)))=Milestones!$AB$164),UPPER(TEXT(EDATE($D60,Milestones!$AA$164),"dd mmm yy"))&amp;" "&amp;Milestones!$AB$164&amp;" "&amp;IF(AND(Milestones!$AB$164="FT",Milestones!$AA$164=FT_Y5,EDATE($D60,Milestones!$AA$164)&lt;PolicyEff),1,Milestones!$AC$164)&amp;";  ","")&amp;IF(AND(EDATE($D60,Milestones!$AA$165)&lt;=AsOfDate,EDATE($D60,Milestones!$AA$165)&gt;=SchemeStart,IF($X60=0,$AD60,IF(AND($Z60&lt;&gt;"",EDATE($D60,Milestones!$AA$165)&gt;=$Z60),$AC60,IF(AND($Y60&lt;&gt;"",EDATE($D60,Milestones!$AA$165)&gt;=$Y60),$AB60,$AA60)))=Milestones!$AB$165),UPPER(TEXT(EDATE($D60,Milestones!$AA$165),"dd mmm yy"))&amp;" "&amp;Milestones!$AB$165&amp;" "&amp;IF(AND(Milestones!$AB$165="FT",Milestones!$AA$165=FT_Y5,EDATE($D60,Milestones!$AA$165)&lt;PolicyEff),1,Milestones!$AC$165)&amp;";  ","")&amp;IF(AND(EDATE($D60,Milestones!$AA$166)&lt;=AsOfDate,EDATE($D60,Milestones!$AA$166)&gt;=SchemeStart,IF($X60=0,$AD60,IF(AND($Z60&lt;&gt;"",EDATE($D60,Milestones!$AA$166)&gt;=$Z60),$AC60,IF(AND($Y60&lt;&gt;"",EDATE($D60,Milestones!$AA$166)&gt;=$Y60),$AB60,$AA60)))=Milestones!$AB$166),UPPER(TEXT(EDATE($D60,Milestones!$AA$166),"dd mmm yy"))&amp;" "&amp;Milestones!$AB$166&amp;" "&amp;IF(AND(Milestones!$AB$166="FT",Milestones!$AA$166=FT_Y5,EDATE($D60,Milestones!$AA$166)&lt;PolicyEff),1,Milestones!$AC$166)&amp;";  ","")&amp;IF(AND(EDATE($D60,Milestones!$AA$167)&lt;=AsOfDate,EDATE($D60,Milestones!$AA$167)&gt;=SchemeStart,IF($X60=0,$AD60,IF(AND($Z60&lt;&gt;"",EDATE($D60,Milestones!$AA$167)&gt;=$Z60),$AC60,IF(AND($Y60&lt;&gt;"",EDATE($D60,Milestones!$AA$167)&gt;=$Y60),$AB60,$AA60)))=Milestones!$AB$167),UPPER(TEXT(EDATE($D60,Milestones!$AA$167),"dd mmm yy"))&amp;" "&amp;Milestones!$AB$167&amp;" "&amp;IF(AND(Milestones!$AB$167="FT",Milestones!$AA$167=FT_Y5,EDATE($D60,Milestones!$AA$167)&lt;PolicyEff),1,Milestones!$AC$167)&amp;";  ","")&amp;IF(AND(EDATE($D60,Milestones!$AA$168)&lt;=AsOfDate,EDATE($D60,Milestones!$AA$168)&gt;=SchemeStart,IF($X60=0,$AD60,IF(AND($Z60&lt;&gt;"",EDATE($D60,Milestones!$AA$168)&gt;=$Z60),$AC60,IF(AND($Y60&lt;&gt;"",EDATE($D60,Milestones!$AA$168)&gt;=$Y60),$AB60,$AA60)))=Milestones!$AB$168),UPPER(TEXT(EDATE($D60,Milestones!$AA$168),"dd mmm yy"))&amp;" "&amp;Milestones!$AB$168&amp;" "&amp;IF(AND(Milestones!$AB$168="FT",Milestones!$AA$168=FT_Y5,EDATE($D60,Milestones!$AA$168)&lt;PolicyEff),1,Milestones!$AC$168)&amp;";  ","")&amp;IF(AND(EDATE($D60,Milestones!$AA$169)&lt;=AsOfDate,EDATE($D60,Milestones!$AA$169)&gt;=SchemeStart,IF($X60=0,$AD60,IF(AND($Z60&lt;&gt;"",EDATE($D60,Milestones!$AA$169)&gt;=$Z60),$AC60,IF(AND($Y60&lt;&gt;"",EDATE($D60,Milestones!$AA$169)&gt;=$Y60),$AB60,$AA60)))=Milestones!$AB$169),UPPER(TEXT(EDATE($D60,Milestones!$AA$169),"dd mmm yy"))&amp;" "&amp;Milestones!$AB$169&amp;" "&amp;IF(AND(Milestones!$AB$169="FT",Milestones!$AA$169=FT_Y5,EDATE($D60,Milestones!$AA$169)&lt;PolicyEff),1,Milestones!$AC$169)&amp;";  ","")&amp;IF(AND(EDATE($D60,Milestones!$AA$170)&lt;=AsOfDate,EDATE($D60,Milestones!$AA$170)&gt;=SchemeStart,IF($X60=0,$AD60,IF(AND($Z60&lt;&gt;"",EDATE($D60,Milestones!$AA$170)&gt;=$Z60),$AC60,IF(AND($Y60&lt;&gt;"",EDATE($D60,Milestones!$AA$170)&gt;=$Y60),$AB60,$AA60)))=Milestones!$AB$170),UPPER(TEXT(EDATE($D60,Milestones!$AA$170),"dd mmm yy"))&amp;" "&amp;Milestones!$AB$170&amp;" "&amp;IF(AND(Milestones!$AB$170="FT",Milestones!$AA$170=FT_Y5,EDATE($D60,Milestones!$AA$170)&lt;PolicyEff),1,Milestones!$AC$170)&amp;";  ","")&amp;IF(AND(EDATE($D60,Milestones!$AA$171)&lt;=AsOfDate,EDATE($D60,Milestones!$AA$171)&gt;=SchemeStart,IF($X60=0,$AD60,IF(AND($Z60&lt;&gt;"",EDATE($D60,Milestones!$AA$171)&gt;=$Z60),$AC60,IF(AND($Y60&lt;&gt;"",EDATE($D60,Milestones!$AA$171)&gt;=$Y60),$AB60,$AA60)))=Milestones!$AB$171),UPPER(TEXT(EDATE($D60,Milestones!$AA$171),"dd mmm yy"))&amp;" "&amp;Milestones!$AB$171&amp;" "&amp;IF(AND(Milestones!$AB$171="FT",Milestones!$AA$171=FT_Y5,EDATE($D60,Milestones!$AA$171)&lt;PolicyEff),1,Milestones!$AC$171)&amp;";  ","")&amp;IF(AND(EDATE($D60,Milestones!$AA$172)&lt;=AsOfDate,EDATE($D60,Milestones!$AA$172)&gt;=SchemeStart,IF($X60=0,$AD60,IF(AND($Z60&lt;&gt;"",EDATE($D60,Milestones!$AA$172)&gt;=$Z60),$AC60,IF(AND($Y60&lt;&gt;"",EDATE($D60,Milestones!$AA$172)&gt;=$Y60),$AB60,$AA60)))=Milestones!$AB$172),UPPER(TEXT(EDATE($D60,Milestones!$AA$172),"dd mmm yy"))&amp;" "&amp;Milestones!$AB$172&amp;" "&amp;IF(AND(Milestones!$AB$172="FT",Milestones!$AA$172=FT_Y5,EDATE($D60,Milestones!$AA$172)&lt;PolicyEff),1,Milestones!$AC$172)&amp;";  ","")&amp;IF(AND(EDATE($D60,Milestones!$AA$173)&lt;=AsOfDate,EDATE($D60,Milestones!$AA$173)&gt;=SchemeStart,IF($X60=0,$AD60,IF(AND($Z60&lt;&gt;"",EDATE($D60,Milestones!$AA$173)&gt;=$Z60),$AC60,IF(AND($Y60&lt;&gt;"",EDATE($D60,Milestones!$AA$173)&gt;=$Y60),$AB60,$AA60)))=Milestones!$AB$173),UPPER(TEXT(EDATE($D60,Milestones!$AA$173),"dd mmm yy"))&amp;" "&amp;Milestones!$AB$173&amp;" "&amp;IF(AND(Milestones!$AB$173="FT",Milestones!$AA$173=FT_Y5,EDATE($D60,Milestones!$AA$173)&lt;PolicyEff),1,Milestones!$AC$173)&amp;";  ","")&amp;IF(AND(EDATE($D60,Milestones!$AA$174)&lt;=AsOfDate,EDATE($D60,Milestones!$AA$174)&gt;=SchemeStart,IF($X60=0,$AD60,IF(AND($Z60&lt;&gt;"",EDATE($D60,Milestones!$AA$174)&gt;=$Z60),$AC60,IF(AND($Y60&lt;&gt;"",EDATE($D60,Milestones!$AA$174)&gt;=$Y60),$AB60,$AA60)))=Milestones!$AB$174),UPPER(TEXT(EDATE($D60,Milestones!$AA$174),"dd mmm yy"))&amp;" "&amp;Milestones!$AB$174&amp;" "&amp;IF(AND(Milestones!$AB$174="FT",Milestones!$AA$174=FT_Y5,EDATE($D60,Milestones!$AA$174)&lt;PolicyEff),1,Milestones!$AC$174)&amp;";  ","")&amp;IF(AND(EDATE($D60,Milestones!$AA$175)&lt;=AsOfDate,EDATE($D60,Milestones!$AA$175)&gt;=SchemeStart,IF($X60=0,$AD60,IF(AND($Z60&lt;&gt;"",EDATE($D60,Milestones!$AA$175)&gt;=$Z60),$AC60,IF(AND($Y60&lt;&gt;"",EDATE($D60,Milestones!$AA$175)&gt;=$Y60),$AB60,$AA60)))=Milestones!$AB$175),UPPER(TEXT(EDATE($D60,Milestones!$AA$175),"dd mmm yy"))&amp;" "&amp;Milestones!$AB$175&amp;" "&amp;IF(AND(Milestones!$AB$175="FT",Milestones!$AA$175=FT_Y5,EDATE($D60,Milestones!$AA$175)&lt;PolicyEff),1,Milestones!$AC$175)&amp;";  ",""))</f>
        <v/>
      </c>
      <c r="V60" s="0" t="str">
        <f aca="false">IF(OR($A60="",$D60=""),"",IF(AND(EDATE($D60,Milestones!$AA$176)&lt;=AsOfDate,EDATE($D60,Milestones!$AA$176)&gt;=SchemeStart,IF($X60=0,$AD60,IF(AND($Z60&lt;&gt;"",EDATE($D60,Milestones!$AA$176)&gt;=$Z60),$AC60,IF(AND($Y60&lt;&gt;"",EDATE($D60,Milestones!$AA$176)&gt;=$Y60),$AB60,$AA60)))=Milestones!$AB$176),UPPER(TEXT(EDATE($D60,Milestones!$AA$176),"dd mmm yy"))&amp;" "&amp;Milestones!$AB$176&amp;" "&amp;IF(AND(Milestones!$AB$176="FT",Milestones!$AA$176=FT_Y5,EDATE($D60,Milestones!$AA$176)&lt;PolicyEff),1,Milestones!$AC$176)&amp;";  ","")&amp;IF(AND(EDATE($D60,Milestones!$AA$177)&lt;=AsOfDate,EDATE($D60,Milestones!$AA$177)&gt;=SchemeStart,IF($X60=0,$AD60,IF(AND($Z60&lt;&gt;"",EDATE($D60,Milestones!$AA$177)&gt;=$Z60),$AC60,IF(AND($Y60&lt;&gt;"",EDATE($D60,Milestones!$AA$177)&gt;=$Y60),$AB60,$AA60)))=Milestones!$AB$177),UPPER(TEXT(EDATE($D60,Milestones!$AA$177),"dd mmm yy"))&amp;" "&amp;Milestones!$AB$177&amp;" "&amp;IF(AND(Milestones!$AB$177="FT",Milestones!$AA$177=FT_Y5,EDATE($D60,Milestones!$AA$177)&lt;PolicyEff),1,Milestones!$AC$177)&amp;";  ","")&amp;IF(AND(EDATE($D60,Milestones!$AA$178)&lt;=AsOfDate,EDATE($D60,Milestones!$AA$178)&gt;=SchemeStart,IF($X60=0,$AD60,IF(AND($Z60&lt;&gt;"",EDATE($D60,Milestones!$AA$178)&gt;=$Z60),$AC60,IF(AND($Y60&lt;&gt;"",EDATE($D60,Milestones!$AA$178)&gt;=$Y60),$AB60,$AA60)))=Milestones!$AB$178),UPPER(TEXT(EDATE($D60,Milestones!$AA$178),"dd mmm yy"))&amp;" "&amp;Milestones!$AB$178&amp;" "&amp;IF(AND(Milestones!$AB$178="FT",Milestones!$AA$178=FT_Y5,EDATE($D60,Milestones!$AA$178)&lt;PolicyEff),1,Milestones!$AC$178)&amp;";  ","")&amp;IF(AND(EDATE($D60,Milestones!$AA$179)&lt;=AsOfDate,EDATE($D60,Milestones!$AA$179)&gt;=SchemeStart,IF($X60=0,$AD60,IF(AND($Z60&lt;&gt;"",EDATE($D60,Milestones!$AA$179)&gt;=$Z60),$AC60,IF(AND($Y60&lt;&gt;"",EDATE($D60,Milestones!$AA$179)&gt;=$Y60),$AB60,$AA60)))=Milestones!$AB$179),UPPER(TEXT(EDATE($D60,Milestones!$AA$179),"dd mmm yy"))&amp;" "&amp;Milestones!$AB$179&amp;" "&amp;IF(AND(Milestones!$AB$179="FT",Milestones!$AA$179=FT_Y5,EDATE($D60,Milestones!$AA$179)&lt;PolicyEff),1,Milestones!$AC$179)&amp;";  ","")&amp;IF(AND(EDATE($D60,Milestones!$AA$180)&lt;=AsOfDate,EDATE($D60,Milestones!$AA$180)&gt;=SchemeStart,IF($X60=0,$AD60,IF(AND($Z60&lt;&gt;"",EDATE($D60,Milestones!$AA$180)&gt;=$Z60),$AC60,IF(AND($Y60&lt;&gt;"",EDATE($D60,Milestones!$AA$180)&gt;=$Y60),$AB60,$AA60)))=Milestones!$AB$180),UPPER(TEXT(EDATE($D60,Milestones!$AA$180),"dd mmm yy"))&amp;" "&amp;Milestones!$AB$180&amp;" "&amp;IF(AND(Milestones!$AB$180="FT",Milestones!$AA$180=FT_Y5,EDATE($D60,Milestones!$AA$180)&lt;PolicyEff),1,Milestones!$AC$180)&amp;";  ","")&amp;IF(AND(EDATE($D60,Milestones!$AA$181)&lt;=AsOfDate,EDATE($D60,Milestones!$AA$181)&gt;=SchemeStart,IF($X60=0,$AD60,IF(AND($Z60&lt;&gt;"",EDATE($D60,Milestones!$AA$181)&gt;=$Z60),$AC60,IF(AND($Y60&lt;&gt;"",EDATE($D60,Milestones!$AA$181)&gt;=$Y60),$AB60,$AA60)))=Milestones!$AB$181),UPPER(TEXT(EDATE($D60,Milestones!$AA$181),"dd mmm yy"))&amp;" "&amp;Milestones!$AB$181&amp;" "&amp;IF(AND(Milestones!$AB$181="FT",Milestones!$AA$181=FT_Y5,EDATE($D60,Milestones!$AA$181)&lt;PolicyEff),1,Milestones!$AC$181)&amp;";  ","")&amp;IF(AND(EDATE($D60,Milestones!$AA$182)&lt;=AsOfDate,EDATE($D60,Milestones!$AA$182)&gt;=SchemeStart,IF($X60=0,$AD60,IF(AND($Z60&lt;&gt;"",EDATE($D60,Milestones!$AA$182)&gt;=$Z60),$AC60,IF(AND($Y60&lt;&gt;"",EDATE($D60,Milestones!$AA$182)&gt;=$Y60),$AB60,$AA60)))=Milestones!$AB$182),UPPER(TEXT(EDATE($D60,Milestones!$AA$182),"dd mmm yy"))&amp;" "&amp;Milestones!$AB$182&amp;" "&amp;IF(AND(Milestones!$AB$182="FT",Milestones!$AA$182=FT_Y5,EDATE($D60,Milestones!$AA$182)&lt;PolicyEff),1,Milestones!$AC$182)&amp;";  ","")&amp;IF(AND(EDATE($D60,Milestones!$AA$183)&lt;=AsOfDate,EDATE($D60,Milestones!$AA$183)&gt;=SchemeStart,IF($X60=0,$AD60,IF(AND($Z60&lt;&gt;"",EDATE($D60,Milestones!$AA$183)&gt;=$Z60),$AC60,IF(AND($Y60&lt;&gt;"",EDATE($D60,Milestones!$AA$183)&gt;=$Y60),$AB60,$AA60)))=Milestones!$AB$183),UPPER(TEXT(EDATE($D60,Milestones!$AA$183),"dd mmm yy"))&amp;" "&amp;Milestones!$AB$183&amp;" "&amp;IF(AND(Milestones!$AB$183="FT",Milestones!$AA$183=FT_Y5,EDATE($D60,Milestones!$AA$183)&lt;PolicyEff),1,Milestones!$AC$183)&amp;";  ","")&amp;IF(AND(EDATE($D60,Milestones!$AA$184)&lt;=AsOfDate,EDATE($D60,Milestones!$AA$184)&gt;=SchemeStart,IF($X60=0,$AD60,IF(AND($Z60&lt;&gt;"",EDATE($D60,Milestones!$AA$184)&gt;=$Z60),$AC60,IF(AND($Y60&lt;&gt;"",EDATE($D60,Milestones!$AA$184)&gt;=$Y60),$AB60,$AA60)))=Milestones!$AB$184),UPPER(TEXT(EDATE($D60,Milestones!$AA$184),"dd mmm yy"))&amp;" "&amp;Milestones!$AB$184&amp;" "&amp;IF(AND(Milestones!$AB$184="FT",Milestones!$AA$184=FT_Y5,EDATE($D60,Milestones!$AA$184)&lt;PolicyEff),1,Milestones!$AC$184)&amp;";  ","")&amp;IF(AND(EDATE($D60,Milestones!$AA$185)&lt;=AsOfDate,EDATE($D60,Milestones!$AA$185)&gt;=SchemeStart,IF($X60=0,$AD60,IF(AND($Z60&lt;&gt;"",EDATE($D60,Milestones!$AA$185)&gt;=$Z60),$AC60,IF(AND($Y60&lt;&gt;"",EDATE($D60,Milestones!$AA$185)&gt;=$Y60),$AB60,$AA60)))=Milestones!$AB$185),UPPER(TEXT(EDATE($D60,Milestones!$AA$185),"dd mmm yy"))&amp;" "&amp;Milestones!$AB$185&amp;" "&amp;IF(AND(Milestones!$AB$185="FT",Milestones!$AA$185=FT_Y5,EDATE($D60,Milestones!$AA$185)&lt;PolicyEff),1,Milestones!$AC$185)&amp;";  ","")&amp;IF(AND(EDATE($D60,Milestones!$AA$186)&lt;=AsOfDate,EDATE($D60,Milestones!$AA$186)&gt;=SchemeStart,IF($X60=0,$AD60,IF(AND($Z60&lt;&gt;"",EDATE($D60,Milestones!$AA$186)&gt;=$Z60),$AC60,IF(AND($Y60&lt;&gt;"",EDATE($D60,Milestones!$AA$186)&gt;=$Y60),$AB60,$AA60)))=Milestones!$AB$186),UPPER(TEXT(EDATE($D60,Milestones!$AA$186),"dd mmm yy"))&amp;" "&amp;Milestones!$AB$186&amp;" "&amp;IF(AND(Milestones!$AB$186="FT",Milestones!$AA$186=FT_Y5,EDATE($D60,Milestones!$AA$186)&lt;PolicyEff),1,Milestones!$AC$186)&amp;";  ","")&amp;IF(AND(EDATE($D60,Milestones!$AA$187)&lt;=AsOfDate,EDATE($D60,Milestones!$AA$187)&gt;=SchemeStart,IF($X60=0,$AD60,IF(AND($Z60&lt;&gt;"",EDATE($D60,Milestones!$AA$187)&gt;=$Z60),$AC60,IF(AND($Y60&lt;&gt;"",EDATE($D60,Milestones!$AA$187)&gt;=$Y60),$AB60,$AA60)))=Milestones!$AB$187),UPPER(TEXT(EDATE($D60,Milestones!$AA$187),"dd mmm yy"))&amp;" "&amp;Milestones!$AB$187&amp;" "&amp;IF(AND(Milestones!$AB$187="FT",Milestones!$AA$187=FT_Y5,EDATE($D60,Milestones!$AA$187)&lt;PolicyEff),1,Milestones!$AC$187)&amp;";  ",""))</f>
        <v/>
      </c>
      <c r="W60" s="0" t="str">
        <f aca="false">IF(OR($A60="",$D60=""),"",IF(AND(EDATE($D60,Milestones!$AA$188)&lt;=AsOfDate,EDATE($D60,Milestones!$AA$188)&gt;=SchemeStart,IF($X60=0,$AD60,IF(AND($Z60&lt;&gt;"",EDATE($D60,Milestones!$AA$188)&gt;=$Z60),$AC60,IF(AND($Y60&lt;&gt;"",EDATE($D60,Milestones!$AA$188)&gt;=$Y60),$AB60,$AA60)))=Milestones!$AB$188),UPPER(TEXT(EDATE($D60,Milestones!$AA$188),"dd mmm yy"))&amp;" "&amp;Milestones!$AB$188&amp;" "&amp;IF(AND(Milestones!$AB$188="FT",Milestones!$AA$188=FT_Y5,EDATE($D60,Milestones!$AA$188)&lt;PolicyEff),1,Milestones!$AC$188)&amp;";  ","")&amp;IF(AND(EDATE($D60,Milestones!$AA$189)&lt;=AsOfDate,EDATE($D60,Milestones!$AA$189)&gt;=SchemeStart,IF($X60=0,$AD60,IF(AND($Z60&lt;&gt;"",EDATE($D60,Milestones!$AA$189)&gt;=$Z60),$AC60,IF(AND($Y60&lt;&gt;"",EDATE($D60,Milestones!$AA$189)&gt;=$Y60),$AB60,$AA60)))=Milestones!$AB$189),UPPER(TEXT(EDATE($D60,Milestones!$AA$189),"dd mmm yy"))&amp;" "&amp;Milestones!$AB$189&amp;" "&amp;IF(AND(Milestones!$AB$189="FT",Milestones!$AA$189=FT_Y5,EDATE($D60,Milestones!$AA$189)&lt;PolicyEff),1,Milestones!$AC$189)&amp;";  ","")&amp;IF(AND(EDATE($D60,Milestones!$AA$190)&lt;=AsOfDate,EDATE($D60,Milestones!$AA$190)&gt;=SchemeStart,IF($X60=0,$AD60,IF(AND($Z60&lt;&gt;"",EDATE($D60,Milestones!$AA$190)&gt;=$Z60),$AC60,IF(AND($Y60&lt;&gt;"",EDATE($D60,Milestones!$AA$190)&gt;=$Y60),$AB60,$AA60)))=Milestones!$AB$190),UPPER(TEXT(EDATE($D60,Milestones!$AA$190),"dd mmm yy"))&amp;" "&amp;Milestones!$AB$190&amp;" "&amp;IF(AND(Milestones!$AB$190="FT",Milestones!$AA$190=FT_Y5,EDATE($D60,Milestones!$AA$190)&lt;PolicyEff),1,Milestones!$AC$190)&amp;";  ","")&amp;IF(AND(EDATE($D60,Milestones!$AA$191)&lt;=AsOfDate,EDATE($D60,Milestones!$AA$191)&gt;=SchemeStart,IF($X60=0,$AD60,IF(AND($Z60&lt;&gt;"",EDATE($D60,Milestones!$AA$191)&gt;=$Z60),$AC60,IF(AND($Y60&lt;&gt;"",EDATE($D60,Milestones!$AA$191)&gt;=$Y60),$AB60,$AA60)))=Milestones!$AB$191),UPPER(TEXT(EDATE($D60,Milestones!$AA$191),"dd mmm yy"))&amp;" "&amp;Milestones!$AB$191&amp;" "&amp;IF(AND(Milestones!$AB$191="FT",Milestones!$AA$191=FT_Y5,EDATE($D60,Milestones!$AA$191)&lt;PolicyEff),1,Milestones!$AC$191)&amp;";  ","")&amp;IF(AND(EDATE($D60,Milestones!$AA$192)&lt;=AsOfDate,EDATE($D60,Milestones!$AA$192)&gt;=SchemeStart,IF($X60=0,$AD60,IF(AND($Z60&lt;&gt;"",EDATE($D60,Milestones!$AA$192)&gt;=$Z60),$AC60,IF(AND($Y60&lt;&gt;"",EDATE($D60,Milestones!$AA$192)&gt;=$Y60),$AB60,$AA60)))=Milestones!$AB$192),UPPER(TEXT(EDATE($D60,Milestones!$AA$192),"dd mmm yy"))&amp;" "&amp;Milestones!$AB$192&amp;" "&amp;IF(AND(Milestones!$AB$192="FT",Milestones!$AA$192=FT_Y5,EDATE($D60,Milestones!$AA$192)&lt;PolicyEff),1,Milestones!$AC$192)&amp;";  ","")&amp;IF(AND(EDATE($D60,Milestones!$AA$193)&lt;=AsOfDate,EDATE($D60,Milestones!$AA$193)&gt;=SchemeStart,IF($X60=0,$AD60,IF(AND($Z60&lt;&gt;"",EDATE($D60,Milestones!$AA$193)&gt;=$Z60),$AC60,IF(AND($Y60&lt;&gt;"",EDATE($D60,Milestones!$AA$193)&gt;=$Y60),$AB60,$AA60)))=Milestones!$AB$193),UPPER(TEXT(EDATE($D60,Milestones!$AA$193),"dd mmm yy"))&amp;" "&amp;Milestones!$AB$193&amp;" "&amp;IF(AND(Milestones!$AB$193="FT",Milestones!$AA$193=FT_Y5,EDATE($D60,Milestones!$AA$193)&lt;PolicyEff),1,Milestones!$AC$193)&amp;";  ","")&amp;IF(AND(EDATE($D60,Milestones!$AA$194)&lt;=AsOfDate,EDATE($D60,Milestones!$AA$194)&gt;=SchemeStart,IF($X60=0,$AD60,IF(AND($Z60&lt;&gt;"",EDATE($D60,Milestones!$AA$194)&gt;=$Z60),$AC60,IF(AND($Y60&lt;&gt;"",EDATE($D60,Milestones!$AA$194)&gt;=$Y60),$AB60,$AA60)))=Milestones!$AB$194),UPPER(TEXT(EDATE($D60,Milestones!$AA$194),"dd mmm yy"))&amp;" "&amp;Milestones!$AB$194&amp;" "&amp;IF(AND(Milestones!$AB$194="FT",Milestones!$AA$194=FT_Y5,EDATE($D60,Milestones!$AA$194)&lt;PolicyEff),1,Milestones!$AC$194)&amp;";  ","")&amp;IF(AND(EDATE($D60,Milestones!$AA$195)&lt;=AsOfDate,EDATE($D60,Milestones!$AA$195)&gt;=SchemeStart,IF($X60=0,$AD60,IF(AND($Z60&lt;&gt;"",EDATE($D60,Milestones!$AA$195)&gt;=$Z60),$AC60,IF(AND($Y60&lt;&gt;"",EDATE($D60,Milestones!$AA$195)&gt;=$Y60),$AB60,$AA60)))=Milestones!$AB$195),UPPER(TEXT(EDATE($D60,Milestones!$AA$195),"dd mmm yy"))&amp;" "&amp;Milestones!$AB$195&amp;" "&amp;IF(AND(Milestones!$AB$195="FT",Milestones!$AA$195=FT_Y5,EDATE($D60,Milestones!$AA$195)&lt;PolicyEff),1,Milestones!$AC$195)&amp;";  ","")&amp;IF(AND(EDATE($D60,Milestones!$AA$196)&lt;=AsOfDate,EDATE($D60,Milestones!$AA$196)&gt;=SchemeStart,IF($X60=0,$AD60,IF(AND($Z60&lt;&gt;"",EDATE($D60,Milestones!$AA$196)&gt;=$Z60),$AC60,IF(AND($Y60&lt;&gt;"",EDATE($D60,Milestones!$AA$196)&gt;=$Y60),$AB60,$AA60)))=Milestones!$AB$196),UPPER(TEXT(EDATE($D60,Milestones!$AA$196),"dd mmm yy"))&amp;" "&amp;Milestones!$AB$196&amp;" "&amp;IF(AND(Milestones!$AB$196="FT",Milestones!$AA$196=FT_Y5,EDATE($D60,Milestones!$AA$196)&lt;PolicyEff),1,Milestones!$AC$196)&amp;";  ","")&amp;IF(AND(EDATE($D60,Milestones!$AA$197)&lt;=AsOfDate,EDATE($D60,Milestones!$AA$197)&gt;=SchemeStart,IF($X60=0,$AD60,IF(AND($Z60&lt;&gt;"",EDATE($D60,Milestones!$AA$197)&gt;=$Z60),$AC60,IF(AND($Y60&lt;&gt;"",EDATE($D60,Milestones!$AA$197)&gt;=$Y60),$AB60,$AA60)))=Milestones!$AB$197),UPPER(TEXT(EDATE($D60,Milestones!$AA$197),"dd mmm yy"))&amp;" "&amp;Milestones!$AB$197&amp;" "&amp;IF(AND(Milestones!$AB$197="FT",Milestones!$AA$197=FT_Y5,EDATE($D60,Milestones!$AA$197)&lt;PolicyEff),1,Milestones!$AC$197)&amp;";  ","")&amp;IF(AND(EDATE($D60,Milestones!$AA$198)&lt;=AsOfDate,EDATE($D60,Milestones!$AA$198)&gt;=SchemeStart,IF($X60=0,$AD60,IF(AND($Z60&lt;&gt;"",EDATE($D60,Milestones!$AA$198)&gt;=$Z60),$AC60,IF(AND($Y60&lt;&gt;"",EDATE($D60,Milestones!$AA$198)&gt;=$Y60),$AB60,$AA60)))=Milestones!$AB$198),UPPER(TEXT(EDATE($D60,Milestones!$AA$198),"dd mmm yy"))&amp;" "&amp;Milestones!$AB$198&amp;" "&amp;IF(AND(Milestones!$AB$198="FT",Milestones!$AA$198=FT_Y5,EDATE($D60,Milestones!$AA$198)&lt;PolicyEff),1,Milestones!$AC$198)&amp;";  ","")&amp;IF(AND(EDATE($D60,Milestones!$AA$199)&lt;=AsOfDate,EDATE($D60,Milestones!$AA$199)&gt;=SchemeStart,IF($X60=0,$AD60,IF(AND($Z60&lt;&gt;"",EDATE($D60,Milestones!$AA$199)&gt;=$Z60),$AC60,IF(AND($Y60&lt;&gt;"",EDATE($D60,Milestones!$AA$199)&gt;=$Y60),$AB60,$AA60)))=Milestones!$AB$199),UPPER(TEXT(EDATE($D60,Milestones!$AA$199),"dd mmm yy"))&amp;" "&amp;Milestones!$AB$199&amp;" "&amp;IF(AND(Milestones!$AB$199="FT",Milestones!$AA$199=FT_Y5,EDATE($D60,Milestones!$AA$199)&lt;PolicyEff),1,Milestones!$AC$199)&amp;";  ",""))</f>
        <v/>
      </c>
      <c r="X60" s="0" t="str">
        <f aca="false">IF(Staff!$A60="","",Staff!$AM60)</f>
        <v/>
      </c>
      <c r="Y60" s="0" t="str">
        <f aca="false">IF(Staff!$A60="","",Staff!$AO60)</f>
        <v/>
      </c>
      <c r="Z60" s="0" t="str">
        <f aca="false">IF(Staff!$A60="","",Staff!$AP60)</f>
        <v/>
      </c>
      <c r="AA60" s="0" t="str">
        <f aca="false">IF(Staff!$A60="","",Staff!$AT60)</f>
        <v/>
      </c>
      <c r="AB60" s="0" t="str">
        <f aca="false">IF(Staff!$A60="","",Staff!$AU60)</f>
        <v/>
      </c>
      <c r="AC60" s="0" t="str">
        <f aca="false">IF(Staff!$A60="","",Staff!$AV60)</f>
        <v/>
      </c>
      <c r="AD60" s="0" t="str">
        <f aca="false">IF(Staff!$A60="","",Staff!$AW60)</f>
        <v/>
      </c>
    </row>
    <row r="61" customFormat="false" ht="15" hidden="false" customHeight="false" outlineLevel="0" collapsed="false">
      <c r="A61" s="16" t="str">
        <f aca="false">IF(Staff!$A61="","",Staff!$A61)</f>
        <v/>
      </c>
      <c r="B61" s="16" t="str">
        <f aca="false">IF(Staff!$A61="","",Staff!$B61)</f>
        <v/>
      </c>
      <c r="C61" s="16" t="str">
        <f aca="false">IF(Staff!$A61="","",Staff!$C61)</f>
        <v/>
      </c>
      <c r="D61" s="14" t="str">
        <f aca="false">IF(Staff!$A61="","",Staff!$AL61)</f>
        <v/>
      </c>
      <c r="E61" s="16" t="str">
        <f aca="false">IF(Staff!$A61="","",Staff!$O61)</f>
        <v/>
      </c>
      <c r="F61" s="16" t="str">
        <f aca="false">IF(E61="","",E61*HoursPerDay)</f>
        <v/>
      </c>
      <c r="G61" s="16" t="str">
        <f aca="false">IF(Staff!$A61="","",Staff!$AE61)</f>
        <v/>
      </c>
      <c r="H61" s="28" t="str">
        <f aca="false">IF($A61="","",I61&amp;J61&amp;K61&amp;L61&amp;M61&amp;N61&amp;O61&amp;P61&amp;Q61&amp;R61&amp;S61&amp;T61&amp;U61&amp;V61&amp;W61)</f>
        <v/>
      </c>
      <c r="I61" s="0" t="str">
        <f aca="false">IF(OR($A61="",$D61=""),"",IF(AND(EDATE($D61,Milestones!$AA$20)&lt;=AsOfDate,EDATE($D61,Milestones!$AA$20)&gt;=SchemeStart,IF($X61=0,$AD61,IF(AND($Z61&lt;&gt;"",EDATE($D61,Milestones!$AA$20)&gt;=$Z61),$AC61,IF(AND($Y61&lt;&gt;"",EDATE($D61,Milestones!$AA$20)&gt;=$Y61),$AB61,$AA61)))=Milestones!$AB$20),UPPER(TEXT(EDATE($D61,Milestones!$AA$20),"dd mmm yy"))&amp;" "&amp;Milestones!$AB$20&amp;" "&amp;IF(AND(Milestones!$AB$20="FT",Milestones!$AA$20=FT_Y5,EDATE($D61,Milestones!$AA$20)&lt;PolicyEff),1,Milestones!$AC$20)&amp;";  ","")&amp;IF(AND(EDATE($D61,Milestones!$AA$21)&lt;=AsOfDate,EDATE($D61,Milestones!$AA$21)&gt;=SchemeStart,IF($X61=0,$AD61,IF(AND($Z61&lt;&gt;"",EDATE($D61,Milestones!$AA$21)&gt;=$Z61),$AC61,IF(AND($Y61&lt;&gt;"",EDATE($D61,Milestones!$AA$21)&gt;=$Y61),$AB61,$AA61)))=Milestones!$AB$21),UPPER(TEXT(EDATE($D61,Milestones!$AA$21),"dd mmm yy"))&amp;" "&amp;Milestones!$AB$21&amp;" "&amp;IF(AND(Milestones!$AB$21="FT",Milestones!$AA$21=FT_Y5,EDATE($D61,Milestones!$AA$21)&lt;PolicyEff),1,Milestones!$AC$21)&amp;";  ","")&amp;IF(AND(EDATE($D61,Milestones!$AA$22)&lt;=AsOfDate,EDATE($D61,Milestones!$AA$22)&gt;=SchemeStart,IF($X61=0,$AD61,IF(AND($Z61&lt;&gt;"",EDATE($D61,Milestones!$AA$22)&gt;=$Z61),$AC61,IF(AND($Y61&lt;&gt;"",EDATE($D61,Milestones!$AA$22)&gt;=$Y61),$AB61,$AA61)))=Milestones!$AB$22),UPPER(TEXT(EDATE($D61,Milestones!$AA$22),"dd mmm yy"))&amp;" "&amp;Milestones!$AB$22&amp;" "&amp;IF(AND(Milestones!$AB$22="FT",Milestones!$AA$22=FT_Y5,EDATE($D61,Milestones!$AA$22)&lt;PolicyEff),1,Milestones!$AC$22)&amp;";  ","")&amp;IF(AND(EDATE($D61,Milestones!$AA$23)&lt;=AsOfDate,EDATE($D61,Milestones!$AA$23)&gt;=SchemeStart,IF($X61=0,$AD61,IF(AND($Z61&lt;&gt;"",EDATE($D61,Milestones!$AA$23)&gt;=$Z61),$AC61,IF(AND($Y61&lt;&gt;"",EDATE($D61,Milestones!$AA$23)&gt;=$Y61),$AB61,$AA61)))=Milestones!$AB$23),UPPER(TEXT(EDATE($D61,Milestones!$AA$23),"dd mmm yy"))&amp;" "&amp;Milestones!$AB$23&amp;" "&amp;IF(AND(Milestones!$AB$23="FT",Milestones!$AA$23=FT_Y5,EDATE($D61,Milestones!$AA$23)&lt;PolicyEff),1,Milestones!$AC$23)&amp;";  ","")&amp;IF(AND(EDATE($D61,Milestones!$AA$24)&lt;=AsOfDate,EDATE($D61,Milestones!$AA$24)&gt;=SchemeStart,IF($X61=0,$AD61,IF(AND($Z61&lt;&gt;"",EDATE($D61,Milestones!$AA$24)&gt;=$Z61),$AC61,IF(AND($Y61&lt;&gt;"",EDATE($D61,Milestones!$AA$24)&gt;=$Y61),$AB61,$AA61)))=Milestones!$AB$24),UPPER(TEXT(EDATE($D61,Milestones!$AA$24),"dd mmm yy"))&amp;" "&amp;Milestones!$AB$24&amp;" "&amp;IF(AND(Milestones!$AB$24="FT",Milestones!$AA$24=FT_Y5,EDATE($D61,Milestones!$AA$24)&lt;PolicyEff),1,Milestones!$AC$24)&amp;";  ","")&amp;IF(AND(EDATE($D61,Milestones!$AA$25)&lt;=AsOfDate,EDATE($D61,Milestones!$AA$25)&gt;=SchemeStart,IF($X61=0,$AD61,IF(AND($Z61&lt;&gt;"",EDATE($D61,Milestones!$AA$25)&gt;=$Z61),$AC61,IF(AND($Y61&lt;&gt;"",EDATE($D61,Milestones!$AA$25)&gt;=$Y61),$AB61,$AA61)))=Milestones!$AB$25),UPPER(TEXT(EDATE($D61,Milestones!$AA$25),"dd mmm yy"))&amp;" "&amp;Milestones!$AB$25&amp;" "&amp;IF(AND(Milestones!$AB$25="FT",Milestones!$AA$25=FT_Y5,EDATE($D61,Milestones!$AA$25)&lt;PolicyEff),1,Milestones!$AC$25)&amp;";  ","")&amp;IF(AND(EDATE($D61,Milestones!$AA$26)&lt;=AsOfDate,EDATE($D61,Milestones!$AA$26)&gt;=SchemeStart,IF($X61=0,$AD61,IF(AND($Z61&lt;&gt;"",EDATE($D61,Milestones!$AA$26)&gt;=$Z61),$AC61,IF(AND($Y61&lt;&gt;"",EDATE($D61,Milestones!$AA$26)&gt;=$Y61),$AB61,$AA61)))=Milestones!$AB$26),UPPER(TEXT(EDATE($D61,Milestones!$AA$26),"dd mmm yy"))&amp;" "&amp;Milestones!$AB$26&amp;" "&amp;IF(AND(Milestones!$AB$26="FT",Milestones!$AA$26=FT_Y5,EDATE($D61,Milestones!$AA$26)&lt;PolicyEff),1,Milestones!$AC$26)&amp;";  ","")&amp;IF(AND(EDATE($D61,Milestones!$AA$27)&lt;=AsOfDate,EDATE($D61,Milestones!$AA$27)&gt;=SchemeStart,IF($X61=0,$AD61,IF(AND($Z61&lt;&gt;"",EDATE($D61,Milestones!$AA$27)&gt;=$Z61),$AC61,IF(AND($Y61&lt;&gt;"",EDATE($D61,Milestones!$AA$27)&gt;=$Y61),$AB61,$AA61)))=Milestones!$AB$27),UPPER(TEXT(EDATE($D61,Milestones!$AA$27),"dd mmm yy"))&amp;" "&amp;Milestones!$AB$27&amp;" "&amp;IF(AND(Milestones!$AB$27="FT",Milestones!$AA$27=FT_Y5,EDATE($D61,Milestones!$AA$27)&lt;PolicyEff),1,Milestones!$AC$27)&amp;";  ","")&amp;IF(AND(EDATE($D61,Milestones!$AA$28)&lt;=AsOfDate,EDATE($D61,Milestones!$AA$28)&gt;=SchemeStart,IF($X61=0,$AD61,IF(AND($Z61&lt;&gt;"",EDATE($D61,Milestones!$AA$28)&gt;=$Z61),$AC61,IF(AND($Y61&lt;&gt;"",EDATE($D61,Milestones!$AA$28)&gt;=$Y61),$AB61,$AA61)))=Milestones!$AB$28),UPPER(TEXT(EDATE($D61,Milestones!$AA$28),"dd mmm yy"))&amp;" "&amp;Milestones!$AB$28&amp;" "&amp;IF(AND(Milestones!$AB$28="FT",Milestones!$AA$28=FT_Y5,EDATE($D61,Milestones!$AA$28)&lt;PolicyEff),1,Milestones!$AC$28)&amp;";  ","")&amp;IF(AND(EDATE($D61,Milestones!$AA$29)&lt;=AsOfDate,EDATE($D61,Milestones!$AA$29)&gt;=SchemeStart,IF($X61=0,$AD61,IF(AND($Z61&lt;&gt;"",EDATE($D61,Milestones!$AA$29)&gt;=$Z61),$AC61,IF(AND($Y61&lt;&gt;"",EDATE($D61,Milestones!$AA$29)&gt;=$Y61),$AB61,$AA61)))=Milestones!$AB$29),UPPER(TEXT(EDATE($D61,Milestones!$AA$29),"dd mmm yy"))&amp;" "&amp;Milestones!$AB$29&amp;" "&amp;IF(AND(Milestones!$AB$29="FT",Milestones!$AA$29=FT_Y5,EDATE($D61,Milestones!$AA$29)&lt;PolicyEff),1,Milestones!$AC$29)&amp;";  ","")&amp;IF(AND(EDATE($D61,Milestones!$AA$30)&lt;=AsOfDate,EDATE($D61,Milestones!$AA$30)&gt;=SchemeStart,IF($X61=0,$AD61,IF(AND($Z61&lt;&gt;"",EDATE($D61,Milestones!$AA$30)&gt;=$Z61),$AC61,IF(AND($Y61&lt;&gt;"",EDATE($D61,Milestones!$AA$30)&gt;=$Y61),$AB61,$AA61)))=Milestones!$AB$30),UPPER(TEXT(EDATE($D61,Milestones!$AA$30),"dd mmm yy"))&amp;" "&amp;Milestones!$AB$30&amp;" "&amp;IF(AND(Milestones!$AB$30="FT",Milestones!$AA$30=FT_Y5,EDATE($D61,Milestones!$AA$30)&lt;PolicyEff),1,Milestones!$AC$30)&amp;";  ","")&amp;IF(AND(EDATE($D61,Milestones!$AA$31)&lt;=AsOfDate,EDATE($D61,Milestones!$AA$31)&gt;=SchemeStart,IF($X61=0,$AD61,IF(AND($Z61&lt;&gt;"",EDATE($D61,Milestones!$AA$31)&gt;=$Z61),$AC61,IF(AND($Y61&lt;&gt;"",EDATE($D61,Milestones!$AA$31)&gt;=$Y61),$AB61,$AA61)))=Milestones!$AB$31),UPPER(TEXT(EDATE($D61,Milestones!$AA$31),"dd mmm yy"))&amp;" "&amp;Milestones!$AB$31&amp;" "&amp;IF(AND(Milestones!$AB$31="FT",Milestones!$AA$31=FT_Y5,EDATE($D61,Milestones!$AA$31)&lt;PolicyEff),1,Milestones!$AC$31)&amp;";  ",""))</f>
        <v/>
      </c>
      <c r="J61" s="0" t="str">
        <f aca="false">IF(OR($A61="",$D61=""),"",IF(AND(EDATE($D61,Milestones!$AA$32)&lt;=AsOfDate,EDATE($D61,Milestones!$AA$32)&gt;=SchemeStart,IF($X61=0,$AD61,IF(AND($Z61&lt;&gt;"",EDATE($D61,Milestones!$AA$32)&gt;=$Z61),$AC61,IF(AND($Y61&lt;&gt;"",EDATE($D61,Milestones!$AA$32)&gt;=$Y61),$AB61,$AA61)))=Milestones!$AB$32),UPPER(TEXT(EDATE($D61,Milestones!$AA$32),"dd mmm yy"))&amp;" "&amp;Milestones!$AB$32&amp;" "&amp;IF(AND(Milestones!$AB$32="FT",Milestones!$AA$32=FT_Y5,EDATE($D61,Milestones!$AA$32)&lt;PolicyEff),1,Milestones!$AC$32)&amp;";  ","")&amp;IF(AND(EDATE($D61,Milestones!$AA$33)&lt;=AsOfDate,EDATE($D61,Milestones!$AA$33)&gt;=SchemeStart,IF($X61=0,$AD61,IF(AND($Z61&lt;&gt;"",EDATE($D61,Milestones!$AA$33)&gt;=$Z61),$AC61,IF(AND($Y61&lt;&gt;"",EDATE($D61,Milestones!$AA$33)&gt;=$Y61),$AB61,$AA61)))=Milestones!$AB$33),UPPER(TEXT(EDATE($D61,Milestones!$AA$33),"dd mmm yy"))&amp;" "&amp;Milestones!$AB$33&amp;" "&amp;IF(AND(Milestones!$AB$33="FT",Milestones!$AA$33=FT_Y5,EDATE($D61,Milestones!$AA$33)&lt;PolicyEff),1,Milestones!$AC$33)&amp;";  ","")&amp;IF(AND(EDATE($D61,Milestones!$AA$34)&lt;=AsOfDate,EDATE($D61,Milestones!$AA$34)&gt;=SchemeStart,IF($X61=0,$AD61,IF(AND($Z61&lt;&gt;"",EDATE($D61,Milestones!$AA$34)&gt;=$Z61),$AC61,IF(AND($Y61&lt;&gt;"",EDATE($D61,Milestones!$AA$34)&gt;=$Y61),$AB61,$AA61)))=Milestones!$AB$34),UPPER(TEXT(EDATE($D61,Milestones!$AA$34),"dd mmm yy"))&amp;" "&amp;Milestones!$AB$34&amp;" "&amp;IF(AND(Milestones!$AB$34="FT",Milestones!$AA$34=FT_Y5,EDATE($D61,Milestones!$AA$34)&lt;PolicyEff),1,Milestones!$AC$34)&amp;";  ","")&amp;IF(AND(EDATE($D61,Milestones!$AA$35)&lt;=AsOfDate,EDATE($D61,Milestones!$AA$35)&gt;=SchemeStart,IF($X61=0,$AD61,IF(AND($Z61&lt;&gt;"",EDATE($D61,Milestones!$AA$35)&gt;=$Z61),$AC61,IF(AND($Y61&lt;&gt;"",EDATE($D61,Milestones!$AA$35)&gt;=$Y61),$AB61,$AA61)))=Milestones!$AB$35),UPPER(TEXT(EDATE($D61,Milestones!$AA$35),"dd mmm yy"))&amp;" "&amp;Milestones!$AB$35&amp;" "&amp;IF(AND(Milestones!$AB$35="FT",Milestones!$AA$35=FT_Y5,EDATE($D61,Milestones!$AA$35)&lt;PolicyEff),1,Milestones!$AC$35)&amp;";  ","")&amp;IF(AND(EDATE($D61,Milestones!$AA$36)&lt;=AsOfDate,EDATE($D61,Milestones!$AA$36)&gt;=SchemeStart,IF($X61=0,$AD61,IF(AND($Z61&lt;&gt;"",EDATE($D61,Milestones!$AA$36)&gt;=$Z61),$AC61,IF(AND($Y61&lt;&gt;"",EDATE($D61,Milestones!$AA$36)&gt;=$Y61),$AB61,$AA61)))=Milestones!$AB$36),UPPER(TEXT(EDATE($D61,Milestones!$AA$36),"dd mmm yy"))&amp;" "&amp;Milestones!$AB$36&amp;" "&amp;IF(AND(Milestones!$AB$36="FT",Milestones!$AA$36=FT_Y5,EDATE($D61,Milestones!$AA$36)&lt;PolicyEff),1,Milestones!$AC$36)&amp;";  ","")&amp;IF(AND(EDATE($D61,Milestones!$AA$37)&lt;=AsOfDate,EDATE($D61,Milestones!$AA$37)&gt;=SchemeStart,IF($X61=0,$AD61,IF(AND($Z61&lt;&gt;"",EDATE($D61,Milestones!$AA$37)&gt;=$Z61),$AC61,IF(AND($Y61&lt;&gt;"",EDATE($D61,Milestones!$AA$37)&gt;=$Y61),$AB61,$AA61)))=Milestones!$AB$37),UPPER(TEXT(EDATE($D61,Milestones!$AA$37),"dd mmm yy"))&amp;" "&amp;Milestones!$AB$37&amp;" "&amp;IF(AND(Milestones!$AB$37="FT",Milestones!$AA$37=FT_Y5,EDATE($D61,Milestones!$AA$37)&lt;PolicyEff),1,Milestones!$AC$37)&amp;";  ","")&amp;IF(AND(EDATE($D61,Milestones!$AA$38)&lt;=AsOfDate,EDATE($D61,Milestones!$AA$38)&gt;=SchemeStart,IF($X61=0,$AD61,IF(AND($Z61&lt;&gt;"",EDATE($D61,Milestones!$AA$38)&gt;=$Z61),$AC61,IF(AND($Y61&lt;&gt;"",EDATE($D61,Milestones!$AA$38)&gt;=$Y61),$AB61,$AA61)))=Milestones!$AB$38),UPPER(TEXT(EDATE($D61,Milestones!$AA$38),"dd mmm yy"))&amp;" "&amp;Milestones!$AB$38&amp;" "&amp;IF(AND(Milestones!$AB$38="FT",Milestones!$AA$38=FT_Y5,EDATE($D61,Milestones!$AA$38)&lt;PolicyEff),1,Milestones!$AC$38)&amp;";  ","")&amp;IF(AND(EDATE($D61,Milestones!$AA$39)&lt;=AsOfDate,EDATE($D61,Milestones!$AA$39)&gt;=SchemeStart,IF($X61=0,$AD61,IF(AND($Z61&lt;&gt;"",EDATE($D61,Milestones!$AA$39)&gt;=$Z61),$AC61,IF(AND($Y61&lt;&gt;"",EDATE($D61,Milestones!$AA$39)&gt;=$Y61),$AB61,$AA61)))=Milestones!$AB$39),UPPER(TEXT(EDATE($D61,Milestones!$AA$39),"dd mmm yy"))&amp;" "&amp;Milestones!$AB$39&amp;" "&amp;IF(AND(Milestones!$AB$39="FT",Milestones!$AA$39=FT_Y5,EDATE($D61,Milestones!$AA$39)&lt;PolicyEff),1,Milestones!$AC$39)&amp;";  ","")&amp;IF(AND(EDATE($D61,Milestones!$AA$40)&lt;=AsOfDate,EDATE($D61,Milestones!$AA$40)&gt;=SchemeStart,IF($X61=0,$AD61,IF(AND($Z61&lt;&gt;"",EDATE($D61,Milestones!$AA$40)&gt;=$Z61),$AC61,IF(AND($Y61&lt;&gt;"",EDATE($D61,Milestones!$AA$40)&gt;=$Y61),$AB61,$AA61)))=Milestones!$AB$40),UPPER(TEXT(EDATE($D61,Milestones!$AA$40),"dd mmm yy"))&amp;" "&amp;Milestones!$AB$40&amp;" "&amp;IF(AND(Milestones!$AB$40="FT",Milestones!$AA$40=FT_Y5,EDATE($D61,Milestones!$AA$40)&lt;PolicyEff),1,Milestones!$AC$40)&amp;";  ","")&amp;IF(AND(EDATE($D61,Milestones!$AA$41)&lt;=AsOfDate,EDATE($D61,Milestones!$AA$41)&gt;=SchemeStart,IF($X61=0,$AD61,IF(AND($Z61&lt;&gt;"",EDATE($D61,Milestones!$AA$41)&gt;=$Z61),$AC61,IF(AND($Y61&lt;&gt;"",EDATE($D61,Milestones!$AA$41)&gt;=$Y61),$AB61,$AA61)))=Milestones!$AB$41),UPPER(TEXT(EDATE($D61,Milestones!$AA$41),"dd mmm yy"))&amp;" "&amp;Milestones!$AB$41&amp;" "&amp;IF(AND(Milestones!$AB$41="FT",Milestones!$AA$41=FT_Y5,EDATE($D61,Milestones!$AA$41)&lt;PolicyEff),1,Milestones!$AC$41)&amp;";  ","")&amp;IF(AND(EDATE($D61,Milestones!$AA$42)&lt;=AsOfDate,EDATE($D61,Milestones!$AA$42)&gt;=SchemeStart,IF($X61=0,$AD61,IF(AND($Z61&lt;&gt;"",EDATE($D61,Milestones!$AA$42)&gt;=$Z61),$AC61,IF(AND($Y61&lt;&gt;"",EDATE($D61,Milestones!$AA$42)&gt;=$Y61),$AB61,$AA61)))=Milestones!$AB$42),UPPER(TEXT(EDATE($D61,Milestones!$AA$42),"dd mmm yy"))&amp;" "&amp;Milestones!$AB$42&amp;" "&amp;IF(AND(Milestones!$AB$42="FT",Milestones!$AA$42=FT_Y5,EDATE($D61,Milestones!$AA$42)&lt;PolicyEff),1,Milestones!$AC$42)&amp;";  ","")&amp;IF(AND(EDATE($D61,Milestones!$AA$43)&lt;=AsOfDate,EDATE($D61,Milestones!$AA$43)&gt;=SchemeStart,IF($X61=0,$AD61,IF(AND($Z61&lt;&gt;"",EDATE($D61,Milestones!$AA$43)&gt;=$Z61),$AC61,IF(AND($Y61&lt;&gt;"",EDATE($D61,Milestones!$AA$43)&gt;=$Y61),$AB61,$AA61)))=Milestones!$AB$43),UPPER(TEXT(EDATE($D61,Milestones!$AA$43),"dd mmm yy"))&amp;" "&amp;Milestones!$AB$43&amp;" "&amp;IF(AND(Milestones!$AB$43="FT",Milestones!$AA$43=FT_Y5,EDATE($D61,Milestones!$AA$43)&lt;PolicyEff),1,Milestones!$AC$43)&amp;";  ",""))</f>
        <v/>
      </c>
      <c r="K61" s="0" t="str">
        <f aca="false">IF(OR($A61="",$D61=""),"",IF(AND(EDATE($D61,Milestones!$AA$44)&lt;=AsOfDate,EDATE($D61,Milestones!$AA$44)&gt;=SchemeStart,IF($X61=0,$AD61,IF(AND($Z61&lt;&gt;"",EDATE($D61,Milestones!$AA$44)&gt;=$Z61),$AC61,IF(AND($Y61&lt;&gt;"",EDATE($D61,Milestones!$AA$44)&gt;=$Y61),$AB61,$AA61)))=Milestones!$AB$44),UPPER(TEXT(EDATE($D61,Milestones!$AA$44),"dd mmm yy"))&amp;" "&amp;Milestones!$AB$44&amp;" "&amp;IF(AND(Milestones!$AB$44="FT",Milestones!$AA$44=FT_Y5,EDATE($D61,Milestones!$AA$44)&lt;PolicyEff),1,Milestones!$AC$44)&amp;";  ","")&amp;IF(AND(EDATE($D61,Milestones!$AA$45)&lt;=AsOfDate,EDATE($D61,Milestones!$AA$45)&gt;=SchemeStart,IF($X61=0,$AD61,IF(AND($Z61&lt;&gt;"",EDATE($D61,Milestones!$AA$45)&gt;=$Z61),$AC61,IF(AND($Y61&lt;&gt;"",EDATE($D61,Milestones!$AA$45)&gt;=$Y61),$AB61,$AA61)))=Milestones!$AB$45),UPPER(TEXT(EDATE($D61,Milestones!$AA$45),"dd mmm yy"))&amp;" "&amp;Milestones!$AB$45&amp;" "&amp;IF(AND(Milestones!$AB$45="FT",Milestones!$AA$45=FT_Y5,EDATE($D61,Milestones!$AA$45)&lt;PolicyEff),1,Milestones!$AC$45)&amp;";  ","")&amp;IF(AND(EDATE($D61,Milestones!$AA$46)&lt;=AsOfDate,EDATE($D61,Milestones!$AA$46)&gt;=SchemeStart,IF($X61=0,$AD61,IF(AND($Z61&lt;&gt;"",EDATE($D61,Milestones!$AA$46)&gt;=$Z61),$AC61,IF(AND($Y61&lt;&gt;"",EDATE($D61,Milestones!$AA$46)&gt;=$Y61),$AB61,$AA61)))=Milestones!$AB$46),UPPER(TEXT(EDATE($D61,Milestones!$AA$46),"dd mmm yy"))&amp;" "&amp;Milestones!$AB$46&amp;" "&amp;IF(AND(Milestones!$AB$46="FT",Milestones!$AA$46=FT_Y5,EDATE($D61,Milestones!$AA$46)&lt;PolicyEff),1,Milestones!$AC$46)&amp;";  ","")&amp;IF(AND(EDATE($D61,Milestones!$AA$47)&lt;=AsOfDate,EDATE($D61,Milestones!$AA$47)&gt;=SchemeStart,IF($X61=0,$AD61,IF(AND($Z61&lt;&gt;"",EDATE($D61,Milestones!$AA$47)&gt;=$Z61),$AC61,IF(AND($Y61&lt;&gt;"",EDATE($D61,Milestones!$AA$47)&gt;=$Y61),$AB61,$AA61)))=Milestones!$AB$47),UPPER(TEXT(EDATE($D61,Milestones!$AA$47),"dd mmm yy"))&amp;" "&amp;Milestones!$AB$47&amp;" "&amp;IF(AND(Milestones!$AB$47="FT",Milestones!$AA$47=FT_Y5,EDATE($D61,Milestones!$AA$47)&lt;PolicyEff),1,Milestones!$AC$47)&amp;";  ","")&amp;IF(AND(EDATE($D61,Milestones!$AA$48)&lt;=AsOfDate,EDATE($D61,Milestones!$AA$48)&gt;=SchemeStart,IF($X61=0,$AD61,IF(AND($Z61&lt;&gt;"",EDATE($D61,Milestones!$AA$48)&gt;=$Z61),$AC61,IF(AND($Y61&lt;&gt;"",EDATE($D61,Milestones!$AA$48)&gt;=$Y61),$AB61,$AA61)))=Milestones!$AB$48),UPPER(TEXT(EDATE($D61,Milestones!$AA$48),"dd mmm yy"))&amp;" "&amp;Milestones!$AB$48&amp;" "&amp;IF(AND(Milestones!$AB$48="FT",Milestones!$AA$48=FT_Y5,EDATE($D61,Milestones!$AA$48)&lt;PolicyEff),1,Milestones!$AC$48)&amp;";  ","")&amp;IF(AND(EDATE($D61,Milestones!$AA$49)&lt;=AsOfDate,EDATE($D61,Milestones!$AA$49)&gt;=SchemeStart,IF($X61=0,$AD61,IF(AND($Z61&lt;&gt;"",EDATE($D61,Milestones!$AA$49)&gt;=$Z61),$AC61,IF(AND($Y61&lt;&gt;"",EDATE($D61,Milestones!$AA$49)&gt;=$Y61),$AB61,$AA61)))=Milestones!$AB$49),UPPER(TEXT(EDATE($D61,Milestones!$AA$49),"dd mmm yy"))&amp;" "&amp;Milestones!$AB$49&amp;" "&amp;IF(AND(Milestones!$AB$49="FT",Milestones!$AA$49=FT_Y5,EDATE($D61,Milestones!$AA$49)&lt;PolicyEff),1,Milestones!$AC$49)&amp;";  ","")&amp;IF(AND(EDATE($D61,Milestones!$AA$50)&lt;=AsOfDate,EDATE($D61,Milestones!$AA$50)&gt;=SchemeStart,IF($X61=0,$AD61,IF(AND($Z61&lt;&gt;"",EDATE($D61,Milestones!$AA$50)&gt;=$Z61),$AC61,IF(AND($Y61&lt;&gt;"",EDATE($D61,Milestones!$AA$50)&gt;=$Y61),$AB61,$AA61)))=Milestones!$AB$50),UPPER(TEXT(EDATE($D61,Milestones!$AA$50),"dd mmm yy"))&amp;" "&amp;Milestones!$AB$50&amp;" "&amp;IF(AND(Milestones!$AB$50="FT",Milestones!$AA$50=FT_Y5,EDATE($D61,Milestones!$AA$50)&lt;PolicyEff),1,Milestones!$AC$50)&amp;";  ","")&amp;IF(AND(EDATE($D61,Milestones!$AA$51)&lt;=AsOfDate,EDATE($D61,Milestones!$AA$51)&gt;=SchemeStart,IF($X61=0,$AD61,IF(AND($Z61&lt;&gt;"",EDATE($D61,Milestones!$AA$51)&gt;=$Z61),$AC61,IF(AND($Y61&lt;&gt;"",EDATE($D61,Milestones!$AA$51)&gt;=$Y61),$AB61,$AA61)))=Milestones!$AB$51),UPPER(TEXT(EDATE($D61,Milestones!$AA$51),"dd mmm yy"))&amp;" "&amp;Milestones!$AB$51&amp;" "&amp;IF(AND(Milestones!$AB$51="FT",Milestones!$AA$51=FT_Y5,EDATE($D61,Milestones!$AA$51)&lt;PolicyEff),1,Milestones!$AC$51)&amp;";  ","")&amp;IF(AND(EDATE($D61,Milestones!$AA$52)&lt;=AsOfDate,EDATE($D61,Milestones!$AA$52)&gt;=SchemeStart,IF($X61=0,$AD61,IF(AND($Z61&lt;&gt;"",EDATE($D61,Milestones!$AA$52)&gt;=$Z61),$AC61,IF(AND($Y61&lt;&gt;"",EDATE($D61,Milestones!$AA$52)&gt;=$Y61),$AB61,$AA61)))=Milestones!$AB$52),UPPER(TEXT(EDATE($D61,Milestones!$AA$52),"dd mmm yy"))&amp;" "&amp;Milestones!$AB$52&amp;" "&amp;IF(AND(Milestones!$AB$52="FT",Milestones!$AA$52=FT_Y5,EDATE($D61,Milestones!$AA$52)&lt;PolicyEff),1,Milestones!$AC$52)&amp;";  ","")&amp;IF(AND(EDATE($D61,Milestones!$AA$53)&lt;=AsOfDate,EDATE($D61,Milestones!$AA$53)&gt;=SchemeStart,IF($X61=0,$AD61,IF(AND($Z61&lt;&gt;"",EDATE($D61,Milestones!$AA$53)&gt;=$Z61),$AC61,IF(AND($Y61&lt;&gt;"",EDATE($D61,Milestones!$AA$53)&gt;=$Y61),$AB61,$AA61)))=Milestones!$AB$53),UPPER(TEXT(EDATE($D61,Milestones!$AA$53),"dd mmm yy"))&amp;" "&amp;Milestones!$AB$53&amp;" "&amp;IF(AND(Milestones!$AB$53="FT",Milestones!$AA$53=FT_Y5,EDATE($D61,Milestones!$AA$53)&lt;PolicyEff),1,Milestones!$AC$53)&amp;";  ","")&amp;IF(AND(EDATE($D61,Milestones!$AA$54)&lt;=AsOfDate,EDATE($D61,Milestones!$AA$54)&gt;=SchemeStart,IF($X61=0,$AD61,IF(AND($Z61&lt;&gt;"",EDATE($D61,Milestones!$AA$54)&gt;=$Z61),$AC61,IF(AND($Y61&lt;&gt;"",EDATE($D61,Milestones!$AA$54)&gt;=$Y61),$AB61,$AA61)))=Milestones!$AB$54),UPPER(TEXT(EDATE($D61,Milestones!$AA$54),"dd mmm yy"))&amp;" "&amp;Milestones!$AB$54&amp;" "&amp;IF(AND(Milestones!$AB$54="FT",Milestones!$AA$54=FT_Y5,EDATE($D61,Milestones!$AA$54)&lt;PolicyEff),1,Milestones!$AC$54)&amp;";  ","")&amp;IF(AND(EDATE($D61,Milestones!$AA$55)&lt;=AsOfDate,EDATE($D61,Milestones!$AA$55)&gt;=SchemeStart,IF($X61=0,$AD61,IF(AND($Z61&lt;&gt;"",EDATE($D61,Milestones!$AA$55)&gt;=$Z61),$AC61,IF(AND($Y61&lt;&gt;"",EDATE($D61,Milestones!$AA$55)&gt;=$Y61),$AB61,$AA61)))=Milestones!$AB$55),UPPER(TEXT(EDATE($D61,Milestones!$AA$55),"dd mmm yy"))&amp;" "&amp;Milestones!$AB$55&amp;" "&amp;IF(AND(Milestones!$AB$55="FT",Milestones!$AA$55=FT_Y5,EDATE($D61,Milestones!$AA$55)&lt;PolicyEff),1,Milestones!$AC$55)&amp;";  ",""))</f>
        <v/>
      </c>
      <c r="L61" s="0" t="str">
        <f aca="false">IF(OR($A61="",$D61=""),"",IF(AND(EDATE($D61,Milestones!$AA$56)&lt;=AsOfDate,EDATE($D61,Milestones!$AA$56)&gt;=SchemeStart,IF($X61=0,$AD61,IF(AND($Z61&lt;&gt;"",EDATE($D61,Milestones!$AA$56)&gt;=$Z61),$AC61,IF(AND($Y61&lt;&gt;"",EDATE($D61,Milestones!$AA$56)&gt;=$Y61),$AB61,$AA61)))=Milestones!$AB$56),UPPER(TEXT(EDATE($D61,Milestones!$AA$56),"dd mmm yy"))&amp;" "&amp;Milestones!$AB$56&amp;" "&amp;IF(AND(Milestones!$AB$56="FT",Milestones!$AA$56=FT_Y5,EDATE($D61,Milestones!$AA$56)&lt;PolicyEff),1,Milestones!$AC$56)&amp;";  ","")&amp;IF(AND(EDATE($D61,Milestones!$AA$57)&lt;=AsOfDate,EDATE($D61,Milestones!$AA$57)&gt;=SchemeStart,IF($X61=0,$AD61,IF(AND($Z61&lt;&gt;"",EDATE($D61,Milestones!$AA$57)&gt;=$Z61),$AC61,IF(AND($Y61&lt;&gt;"",EDATE($D61,Milestones!$AA$57)&gt;=$Y61),$AB61,$AA61)))=Milestones!$AB$57),UPPER(TEXT(EDATE($D61,Milestones!$AA$57),"dd mmm yy"))&amp;" "&amp;Milestones!$AB$57&amp;" "&amp;IF(AND(Milestones!$AB$57="FT",Milestones!$AA$57=FT_Y5,EDATE($D61,Milestones!$AA$57)&lt;PolicyEff),1,Milestones!$AC$57)&amp;";  ","")&amp;IF(AND(EDATE($D61,Milestones!$AA$58)&lt;=AsOfDate,EDATE($D61,Milestones!$AA$58)&gt;=SchemeStart,IF($X61=0,$AD61,IF(AND($Z61&lt;&gt;"",EDATE($D61,Milestones!$AA$58)&gt;=$Z61),$AC61,IF(AND($Y61&lt;&gt;"",EDATE($D61,Milestones!$AA$58)&gt;=$Y61),$AB61,$AA61)))=Milestones!$AB$58),UPPER(TEXT(EDATE($D61,Milestones!$AA$58),"dd mmm yy"))&amp;" "&amp;Milestones!$AB$58&amp;" "&amp;IF(AND(Milestones!$AB$58="FT",Milestones!$AA$58=FT_Y5,EDATE($D61,Milestones!$AA$58)&lt;PolicyEff),1,Milestones!$AC$58)&amp;";  ","")&amp;IF(AND(EDATE($D61,Milestones!$AA$59)&lt;=AsOfDate,EDATE($D61,Milestones!$AA$59)&gt;=SchemeStart,IF($X61=0,$AD61,IF(AND($Z61&lt;&gt;"",EDATE($D61,Milestones!$AA$59)&gt;=$Z61),$AC61,IF(AND($Y61&lt;&gt;"",EDATE($D61,Milestones!$AA$59)&gt;=$Y61),$AB61,$AA61)))=Milestones!$AB$59),UPPER(TEXT(EDATE($D61,Milestones!$AA$59),"dd mmm yy"))&amp;" "&amp;Milestones!$AB$59&amp;" "&amp;IF(AND(Milestones!$AB$59="FT",Milestones!$AA$59=FT_Y5,EDATE($D61,Milestones!$AA$59)&lt;PolicyEff),1,Milestones!$AC$59)&amp;";  ","")&amp;IF(AND(EDATE($D61,Milestones!$AA$60)&lt;=AsOfDate,EDATE($D61,Milestones!$AA$60)&gt;=SchemeStart,IF($X61=0,$AD61,IF(AND($Z61&lt;&gt;"",EDATE($D61,Milestones!$AA$60)&gt;=$Z61),$AC61,IF(AND($Y61&lt;&gt;"",EDATE($D61,Milestones!$AA$60)&gt;=$Y61),$AB61,$AA61)))=Milestones!$AB$60),UPPER(TEXT(EDATE($D61,Milestones!$AA$60),"dd mmm yy"))&amp;" "&amp;Milestones!$AB$60&amp;" "&amp;IF(AND(Milestones!$AB$60="FT",Milestones!$AA$60=FT_Y5,EDATE($D61,Milestones!$AA$60)&lt;PolicyEff),1,Milestones!$AC$60)&amp;";  ","")&amp;IF(AND(EDATE($D61,Milestones!$AA$61)&lt;=AsOfDate,EDATE($D61,Milestones!$AA$61)&gt;=SchemeStart,IF($X61=0,$AD61,IF(AND($Z61&lt;&gt;"",EDATE($D61,Milestones!$AA$61)&gt;=$Z61),$AC61,IF(AND($Y61&lt;&gt;"",EDATE($D61,Milestones!$AA$61)&gt;=$Y61),$AB61,$AA61)))=Milestones!$AB$61),UPPER(TEXT(EDATE($D61,Milestones!$AA$61),"dd mmm yy"))&amp;" "&amp;Milestones!$AB$61&amp;" "&amp;IF(AND(Milestones!$AB$61="FT",Milestones!$AA$61=FT_Y5,EDATE($D61,Milestones!$AA$61)&lt;PolicyEff),1,Milestones!$AC$61)&amp;";  ","")&amp;IF(AND(EDATE($D61,Milestones!$AA$62)&lt;=AsOfDate,EDATE($D61,Milestones!$AA$62)&gt;=SchemeStart,IF($X61=0,$AD61,IF(AND($Z61&lt;&gt;"",EDATE($D61,Milestones!$AA$62)&gt;=$Z61),$AC61,IF(AND($Y61&lt;&gt;"",EDATE($D61,Milestones!$AA$62)&gt;=$Y61),$AB61,$AA61)))=Milestones!$AB$62),UPPER(TEXT(EDATE($D61,Milestones!$AA$62),"dd mmm yy"))&amp;" "&amp;Milestones!$AB$62&amp;" "&amp;IF(AND(Milestones!$AB$62="FT",Milestones!$AA$62=FT_Y5,EDATE($D61,Milestones!$AA$62)&lt;PolicyEff),1,Milestones!$AC$62)&amp;";  ","")&amp;IF(AND(EDATE($D61,Milestones!$AA$63)&lt;=AsOfDate,EDATE($D61,Milestones!$AA$63)&gt;=SchemeStart,IF($X61=0,$AD61,IF(AND($Z61&lt;&gt;"",EDATE($D61,Milestones!$AA$63)&gt;=$Z61),$AC61,IF(AND($Y61&lt;&gt;"",EDATE($D61,Milestones!$AA$63)&gt;=$Y61),$AB61,$AA61)))=Milestones!$AB$63),UPPER(TEXT(EDATE($D61,Milestones!$AA$63),"dd mmm yy"))&amp;" "&amp;Milestones!$AB$63&amp;" "&amp;IF(AND(Milestones!$AB$63="FT",Milestones!$AA$63=FT_Y5,EDATE($D61,Milestones!$AA$63)&lt;PolicyEff),1,Milestones!$AC$63)&amp;";  ","")&amp;IF(AND(EDATE($D61,Milestones!$AA$64)&lt;=AsOfDate,EDATE($D61,Milestones!$AA$64)&gt;=SchemeStart,IF($X61=0,$AD61,IF(AND($Z61&lt;&gt;"",EDATE($D61,Milestones!$AA$64)&gt;=$Z61),$AC61,IF(AND($Y61&lt;&gt;"",EDATE($D61,Milestones!$AA$64)&gt;=$Y61),$AB61,$AA61)))=Milestones!$AB$64),UPPER(TEXT(EDATE($D61,Milestones!$AA$64),"dd mmm yy"))&amp;" "&amp;Milestones!$AB$64&amp;" "&amp;IF(AND(Milestones!$AB$64="FT",Milestones!$AA$64=FT_Y5,EDATE($D61,Milestones!$AA$64)&lt;PolicyEff),1,Milestones!$AC$64)&amp;";  ","")&amp;IF(AND(EDATE($D61,Milestones!$AA$65)&lt;=AsOfDate,EDATE($D61,Milestones!$AA$65)&gt;=SchemeStart,IF($X61=0,$AD61,IF(AND($Z61&lt;&gt;"",EDATE($D61,Milestones!$AA$65)&gt;=$Z61),$AC61,IF(AND($Y61&lt;&gt;"",EDATE($D61,Milestones!$AA$65)&gt;=$Y61),$AB61,$AA61)))=Milestones!$AB$65),UPPER(TEXT(EDATE($D61,Milestones!$AA$65),"dd mmm yy"))&amp;" "&amp;Milestones!$AB$65&amp;" "&amp;IF(AND(Milestones!$AB$65="FT",Milestones!$AA$65=FT_Y5,EDATE($D61,Milestones!$AA$65)&lt;PolicyEff),1,Milestones!$AC$65)&amp;";  ","")&amp;IF(AND(EDATE($D61,Milestones!$AA$66)&lt;=AsOfDate,EDATE($D61,Milestones!$AA$66)&gt;=SchemeStart,IF($X61=0,$AD61,IF(AND($Z61&lt;&gt;"",EDATE($D61,Milestones!$AA$66)&gt;=$Z61),$AC61,IF(AND($Y61&lt;&gt;"",EDATE($D61,Milestones!$AA$66)&gt;=$Y61),$AB61,$AA61)))=Milestones!$AB$66),UPPER(TEXT(EDATE($D61,Milestones!$AA$66),"dd mmm yy"))&amp;" "&amp;Milestones!$AB$66&amp;" "&amp;IF(AND(Milestones!$AB$66="FT",Milestones!$AA$66=FT_Y5,EDATE($D61,Milestones!$AA$66)&lt;PolicyEff),1,Milestones!$AC$66)&amp;";  ","")&amp;IF(AND(EDATE($D61,Milestones!$AA$67)&lt;=AsOfDate,EDATE($D61,Milestones!$AA$67)&gt;=SchemeStart,IF($X61=0,$AD61,IF(AND($Z61&lt;&gt;"",EDATE($D61,Milestones!$AA$67)&gt;=$Z61),$AC61,IF(AND($Y61&lt;&gt;"",EDATE($D61,Milestones!$AA$67)&gt;=$Y61),$AB61,$AA61)))=Milestones!$AB$67),UPPER(TEXT(EDATE($D61,Milestones!$AA$67),"dd mmm yy"))&amp;" "&amp;Milestones!$AB$67&amp;" "&amp;IF(AND(Milestones!$AB$67="FT",Milestones!$AA$67=FT_Y5,EDATE($D61,Milestones!$AA$67)&lt;PolicyEff),1,Milestones!$AC$67)&amp;";  ",""))</f>
        <v/>
      </c>
      <c r="M61" s="0" t="str">
        <f aca="false">IF(OR($A61="",$D61=""),"",IF(AND(EDATE($D61,Milestones!$AA$68)&lt;=AsOfDate,EDATE($D61,Milestones!$AA$68)&gt;=SchemeStart,IF($X61=0,$AD61,IF(AND($Z61&lt;&gt;"",EDATE($D61,Milestones!$AA$68)&gt;=$Z61),$AC61,IF(AND($Y61&lt;&gt;"",EDATE($D61,Milestones!$AA$68)&gt;=$Y61),$AB61,$AA61)))=Milestones!$AB$68),UPPER(TEXT(EDATE($D61,Milestones!$AA$68),"dd mmm yy"))&amp;" "&amp;Milestones!$AB$68&amp;" "&amp;IF(AND(Milestones!$AB$68="FT",Milestones!$AA$68=FT_Y5,EDATE($D61,Milestones!$AA$68)&lt;PolicyEff),1,Milestones!$AC$68)&amp;";  ","")&amp;IF(AND(EDATE($D61,Milestones!$AA$69)&lt;=AsOfDate,EDATE($D61,Milestones!$AA$69)&gt;=SchemeStart,IF($X61=0,$AD61,IF(AND($Z61&lt;&gt;"",EDATE($D61,Milestones!$AA$69)&gt;=$Z61),$AC61,IF(AND($Y61&lt;&gt;"",EDATE($D61,Milestones!$AA$69)&gt;=$Y61),$AB61,$AA61)))=Milestones!$AB$69),UPPER(TEXT(EDATE($D61,Milestones!$AA$69),"dd mmm yy"))&amp;" "&amp;Milestones!$AB$69&amp;" "&amp;IF(AND(Milestones!$AB$69="FT",Milestones!$AA$69=FT_Y5,EDATE($D61,Milestones!$AA$69)&lt;PolicyEff),1,Milestones!$AC$69)&amp;";  ","")&amp;IF(AND(EDATE($D61,Milestones!$AA$70)&lt;=AsOfDate,EDATE($D61,Milestones!$AA$70)&gt;=SchemeStart,IF($X61=0,$AD61,IF(AND($Z61&lt;&gt;"",EDATE($D61,Milestones!$AA$70)&gt;=$Z61),$AC61,IF(AND($Y61&lt;&gt;"",EDATE($D61,Milestones!$AA$70)&gt;=$Y61),$AB61,$AA61)))=Milestones!$AB$70),UPPER(TEXT(EDATE($D61,Milestones!$AA$70),"dd mmm yy"))&amp;" "&amp;Milestones!$AB$70&amp;" "&amp;IF(AND(Milestones!$AB$70="FT",Milestones!$AA$70=FT_Y5,EDATE($D61,Milestones!$AA$70)&lt;PolicyEff),1,Milestones!$AC$70)&amp;";  ","")&amp;IF(AND(EDATE($D61,Milestones!$AA$71)&lt;=AsOfDate,EDATE($D61,Milestones!$AA$71)&gt;=SchemeStart,IF($X61=0,$AD61,IF(AND($Z61&lt;&gt;"",EDATE($D61,Milestones!$AA$71)&gt;=$Z61),$AC61,IF(AND($Y61&lt;&gt;"",EDATE($D61,Milestones!$AA$71)&gt;=$Y61),$AB61,$AA61)))=Milestones!$AB$71),UPPER(TEXT(EDATE($D61,Milestones!$AA$71),"dd mmm yy"))&amp;" "&amp;Milestones!$AB$71&amp;" "&amp;IF(AND(Milestones!$AB$71="FT",Milestones!$AA$71=FT_Y5,EDATE($D61,Milestones!$AA$71)&lt;PolicyEff),1,Milestones!$AC$71)&amp;";  ","")&amp;IF(AND(EDATE($D61,Milestones!$AA$72)&lt;=AsOfDate,EDATE($D61,Milestones!$AA$72)&gt;=SchemeStart,IF($X61=0,$AD61,IF(AND($Z61&lt;&gt;"",EDATE($D61,Milestones!$AA$72)&gt;=$Z61),$AC61,IF(AND($Y61&lt;&gt;"",EDATE($D61,Milestones!$AA$72)&gt;=$Y61),$AB61,$AA61)))=Milestones!$AB$72),UPPER(TEXT(EDATE($D61,Milestones!$AA$72),"dd mmm yy"))&amp;" "&amp;Milestones!$AB$72&amp;" "&amp;IF(AND(Milestones!$AB$72="FT",Milestones!$AA$72=FT_Y5,EDATE($D61,Milestones!$AA$72)&lt;PolicyEff),1,Milestones!$AC$72)&amp;";  ","")&amp;IF(AND(EDATE($D61,Milestones!$AA$73)&lt;=AsOfDate,EDATE($D61,Milestones!$AA$73)&gt;=SchemeStart,IF($X61=0,$AD61,IF(AND($Z61&lt;&gt;"",EDATE($D61,Milestones!$AA$73)&gt;=$Z61),$AC61,IF(AND($Y61&lt;&gt;"",EDATE($D61,Milestones!$AA$73)&gt;=$Y61),$AB61,$AA61)))=Milestones!$AB$73),UPPER(TEXT(EDATE($D61,Milestones!$AA$73),"dd mmm yy"))&amp;" "&amp;Milestones!$AB$73&amp;" "&amp;IF(AND(Milestones!$AB$73="FT",Milestones!$AA$73=FT_Y5,EDATE($D61,Milestones!$AA$73)&lt;PolicyEff),1,Milestones!$AC$73)&amp;";  ","")&amp;IF(AND(EDATE($D61,Milestones!$AA$74)&lt;=AsOfDate,EDATE($D61,Milestones!$AA$74)&gt;=SchemeStart,IF($X61=0,$AD61,IF(AND($Z61&lt;&gt;"",EDATE($D61,Milestones!$AA$74)&gt;=$Z61),$AC61,IF(AND($Y61&lt;&gt;"",EDATE($D61,Milestones!$AA$74)&gt;=$Y61),$AB61,$AA61)))=Milestones!$AB$74),UPPER(TEXT(EDATE($D61,Milestones!$AA$74),"dd mmm yy"))&amp;" "&amp;Milestones!$AB$74&amp;" "&amp;IF(AND(Milestones!$AB$74="FT",Milestones!$AA$74=FT_Y5,EDATE($D61,Milestones!$AA$74)&lt;PolicyEff),1,Milestones!$AC$74)&amp;";  ","")&amp;IF(AND(EDATE($D61,Milestones!$AA$75)&lt;=AsOfDate,EDATE($D61,Milestones!$AA$75)&gt;=SchemeStart,IF($X61=0,$AD61,IF(AND($Z61&lt;&gt;"",EDATE($D61,Milestones!$AA$75)&gt;=$Z61),$AC61,IF(AND($Y61&lt;&gt;"",EDATE($D61,Milestones!$AA$75)&gt;=$Y61),$AB61,$AA61)))=Milestones!$AB$75),UPPER(TEXT(EDATE($D61,Milestones!$AA$75),"dd mmm yy"))&amp;" "&amp;Milestones!$AB$75&amp;" "&amp;IF(AND(Milestones!$AB$75="FT",Milestones!$AA$75=FT_Y5,EDATE($D61,Milestones!$AA$75)&lt;PolicyEff),1,Milestones!$AC$75)&amp;";  ","")&amp;IF(AND(EDATE($D61,Milestones!$AA$76)&lt;=AsOfDate,EDATE($D61,Milestones!$AA$76)&gt;=SchemeStart,IF($X61=0,$AD61,IF(AND($Z61&lt;&gt;"",EDATE($D61,Milestones!$AA$76)&gt;=$Z61),$AC61,IF(AND($Y61&lt;&gt;"",EDATE($D61,Milestones!$AA$76)&gt;=$Y61),$AB61,$AA61)))=Milestones!$AB$76),UPPER(TEXT(EDATE($D61,Milestones!$AA$76),"dd mmm yy"))&amp;" "&amp;Milestones!$AB$76&amp;" "&amp;IF(AND(Milestones!$AB$76="FT",Milestones!$AA$76=FT_Y5,EDATE($D61,Milestones!$AA$76)&lt;PolicyEff),1,Milestones!$AC$76)&amp;";  ","")&amp;IF(AND(EDATE($D61,Milestones!$AA$77)&lt;=AsOfDate,EDATE($D61,Milestones!$AA$77)&gt;=SchemeStart,IF($X61=0,$AD61,IF(AND($Z61&lt;&gt;"",EDATE($D61,Milestones!$AA$77)&gt;=$Z61),$AC61,IF(AND($Y61&lt;&gt;"",EDATE($D61,Milestones!$AA$77)&gt;=$Y61),$AB61,$AA61)))=Milestones!$AB$77),UPPER(TEXT(EDATE($D61,Milestones!$AA$77),"dd mmm yy"))&amp;" "&amp;Milestones!$AB$77&amp;" "&amp;IF(AND(Milestones!$AB$77="FT",Milestones!$AA$77=FT_Y5,EDATE($D61,Milestones!$AA$77)&lt;PolicyEff),1,Milestones!$AC$77)&amp;";  ","")&amp;IF(AND(EDATE($D61,Milestones!$AA$78)&lt;=AsOfDate,EDATE($D61,Milestones!$AA$78)&gt;=SchemeStart,IF($X61=0,$AD61,IF(AND($Z61&lt;&gt;"",EDATE($D61,Milestones!$AA$78)&gt;=$Z61),$AC61,IF(AND($Y61&lt;&gt;"",EDATE($D61,Milestones!$AA$78)&gt;=$Y61),$AB61,$AA61)))=Milestones!$AB$78),UPPER(TEXT(EDATE($D61,Milestones!$AA$78),"dd mmm yy"))&amp;" "&amp;Milestones!$AB$78&amp;" "&amp;IF(AND(Milestones!$AB$78="FT",Milestones!$AA$78=FT_Y5,EDATE($D61,Milestones!$AA$78)&lt;PolicyEff),1,Milestones!$AC$78)&amp;";  ","")&amp;IF(AND(EDATE($D61,Milestones!$AA$79)&lt;=AsOfDate,EDATE($D61,Milestones!$AA$79)&gt;=SchemeStart,IF($X61=0,$AD61,IF(AND($Z61&lt;&gt;"",EDATE($D61,Milestones!$AA$79)&gt;=$Z61),$AC61,IF(AND($Y61&lt;&gt;"",EDATE($D61,Milestones!$AA$79)&gt;=$Y61),$AB61,$AA61)))=Milestones!$AB$79),UPPER(TEXT(EDATE($D61,Milestones!$AA$79),"dd mmm yy"))&amp;" "&amp;Milestones!$AB$79&amp;" "&amp;IF(AND(Milestones!$AB$79="FT",Milestones!$AA$79=FT_Y5,EDATE($D61,Milestones!$AA$79)&lt;PolicyEff),1,Milestones!$AC$79)&amp;";  ",""))</f>
        <v/>
      </c>
      <c r="N61" s="0" t="str">
        <f aca="false">IF(OR($A61="",$D61=""),"",IF(AND(EDATE($D61,Milestones!$AA$80)&lt;=AsOfDate,EDATE($D61,Milestones!$AA$80)&gt;=SchemeStart,IF($X61=0,$AD61,IF(AND($Z61&lt;&gt;"",EDATE($D61,Milestones!$AA$80)&gt;=$Z61),$AC61,IF(AND($Y61&lt;&gt;"",EDATE($D61,Milestones!$AA$80)&gt;=$Y61),$AB61,$AA61)))=Milestones!$AB$80),UPPER(TEXT(EDATE($D61,Milestones!$AA$80),"dd mmm yy"))&amp;" "&amp;Milestones!$AB$80&amp;" "&amp;IF(AND(Milestones!$AB$80="FT",Milestones!$AA$80=FT_Y5,EDATE($D61,Milestones!$AA$80)&lt;PolicyEff),1,Milestones!$AC$80)&amp;";  ","")&amp;IF(AND(EDATE($D61,Milestones!$AA$81)&lt;=AsOfDate,EDATE($D61,Milestones!$AA$81)&gt;=SchemeStart,IF($X61=0,$AD61,IF(AND($Z61&lt;&gt;"",EDATE($D61,Milestones!$AA$81)&gt;=$Z61),$AC61,IF(AND($Y61&lt;&gt;"",EDATE($D61,Milestones!$AA$81)&gt;=$Y61),$AB61,$AA61)))=Milestones!$AB$81),UPPER(TEXT(EDATE($D61,Milestones!$AA$81),"dd mmm yy"))&amp;" "&amp;Milestones!$AB$81&amp;" "&amp;IF(AND(Milestones!$AB$81="FT",Milestones!$AA$81=FT_Y5,EDATE($D61,Milestones!$AA$81)&lt;PolicyEff),1,Milestones!$AC$81)&amp;";  ","")&amp;IF(AND(EDATE($D61,Milestones!$AA$82)&lt;=AsOfDate,EDATE($D61,Milestones!$AA$82)&gt;=SchemeStart,IF($X61=0,$AD61,IF(AND($Z61&lt;&gt;"",EDATE($D61,Milestones!$AA$82)&gt;=$Z61),$AC61,IF(AND($Y61&lt;&gt;"",EDATE($D61,Milestones!$AA$82)&gt;=$Y61),$AB61,$AA61)))=Milestones!$AB$82),UPPER(TEXT(EDATE($D61,Milestones!$AA$82),"dd mmm yy"))&amp;" "&amp;Milestones!$AB$82&amp;" "&amp;IF(AND(Milestones!$AB$82="FT",Milestones!$AA$82=FT_Y5,EDATE($D61,Milestones!$AA$82)&lt;PolicyEff),1,Milestones!$AC$82)&amp;";  ","")&amp;IF(AND(EDATE($D61,Milestones!$AA$83)&lt;=AsOfDate,EDATE($D61,Milestones!$AA$83)&gt;=SchemeStart,IF($X61=0,$AD61,IF(AND($Z61&lt;&gt;"",EDATE($D61,Milestones!$AA$83)&gt;=$Z61),$AC61,IF(AND($Y61&lt;&gt;"",EDATE($D61,Milestones!$AA$83)&gt;=$Y61),$AB61,$AA61)))=Milestones!$AB$83),UPPER(TEXT(EDATE($D61,Milestones!$AA$83),"dd mmm yy"))&amp;" "&amp;Milestones!$AB$83&amp;" "&amp;IF(AND(Milestones!$AB$83="FT",Milestones!$AA$83=FT_Y5,EDATE($D61,Milestones!$AA$83)&lt;PolicyEff),1,Milestones!$AC$83)&amp;";  ","")&amp;IF(AND(EDATE($D61,Milestones!$AA$84)&lt;=AsOfDate,EDATE($D61,Milestones!$AA$84)&gt;=SchemeStart,IF($X61=0,$AD61,IF(AND($Z61&lt;&gt;"",EDATE($D61,Milestones!$AA$84)&gt;=$Z61),$AC61,IF(AND($Y61&lt;&gt;"",EDATE($D61,Milestones!$AA$84)&gt;=$Y61),$AB61,$AA61)))=Milestones!$AB$84),UPPER(TEXT(EDATE($D61,Milestones!$AA$84),"dd mmm yy"))&amp;" "&amp;Milestones!$AB$84&amp;" "&amp;IF(AND(Milestones!$AB$84="FT",Milestones!$AA$84=FT_Y5,EDATE($D61,Milestones!$AA$84)&lt;PolicyEff),1,Milestones!$AC$84)&amp;";  ","")&amp;IF(AND(EDATE($D61,Milestones!$AA$85)&lt;=AsOfDate,EDATE($D61,Milestones!$AA$85)&gt;=SchemeStart,IF($X61=0,$AD61,IF(AND($Z61&lt;&gt;"",EDATE($D61,Milestones!$AA$85)&gt;=$Z61),$AC61,IF(AND($Y61&lt;&gt;"",EDATE($D61,Milestones!$AA$85)&gt;=$Y61),$AB61,$AA61)))=Milestones!$AB$85),UPPER(TEXT(EDATE($D61,Milestones!$AA$85),"dd mmm yy"))&amp;" "&amp;Milestones!$AB$85&amp;" "&amp;IF(AND(Milestones!$AB$85="FT",Milestones!$AA$85=FT_Y5,EDATE($D61,Milestones!$AA$85)&lt;PolicyEff),1,Milestones!$AC$85)&amp;";  ","")&amp;IF(AND(EDATE($D61,Milestones!$AA$86)&lt;=AsOfDate,EDATE($D61,Milestones!$AA$86)&gt;=SchemeStart,IF($X61=0,$AD61,IF(AND($Z61&lt;&gt;"",EDATE($D61,Milestones!$AA$86)&gt;=$Z61),$AC61,IF(AND($Y61&lt;&gt;"",EDATE($D61,Milestones!$AA$86)&gt;=$Y61),$AB61,$AA61)))=Milestones!$AB$86),UPPER(TEXT(EDATE($D61,Milestones!$AA$86),"dd mmm yy"))&amp;" "&amp;Milestones!$AB$86&amp;" "&amp;IF(AND(Milestones!$AB$86="FT",Milestones!$AA$86=FT_Y5,EDATE($D61,Milestones!$AA$86)&lt;PolicyEff),1,Milestones!$AC$86)&amp;";  ","")&amp;IF(AND(EDATE($D61,Milestones!$AA$87)&lt;=AsOfDate,EDATE($D61,Milestones!$AA$87)&gt;=SchemeStart,IF($X61=0,$AD61,IF(AND($Z61&lt;&gt;"",EDATE($D61,Milestones!$AA$87)&gt;=$Z61),$AC61,IF(AND($Y61&lt;&gt;"",EDATE($D61,Milestones!$AA$87)&gt;=$Y61),$AB61,$AA61)))=Milestones!$AB$87),UPPER(TEXT(EDATE($D61,Milestones!$AA$87),"dd mmm yy"))&amp;" "&amp;Milestones!$AB$87&amp;" "&amp;IF(AND(Milestones!$AB$87="FT",Milestones!$AA$87=FT_Y5,EDATE($D61,Milestones!$AA$87)&lt;PolicyEff),1,Milestones!$AC$87)&amp;";  ","")&amp;IF(AND(EDATE($D61,Milestones!$AA$88)&lt;=AsOfDate,EDATE($D61,Milestones!$AA$88)&gt;=SchemeStart,IF($X61=0,$AD61,IF(AND($Z61&lt;&gt;"",EDATE($D61,Milestones!$AA$88)&gt;=$Z61),$AC61,IF(AND($Y61&lt;&gt;"",EDATE($D61,Milestones!$AA$88)&gt;=$Y61),$AB61,$AA61)))=Milestones!$AB$88),UPPER(TEXT(EDATE($D61,Milestones!$AA$88),"dd mmm yy"))&amp;" "&amp;Milestones!$AB$88&amp;" "&amp;IF(AND(Milestones!$AB$88="FT",Milestones!$AA$88=FT_Y5,EDATE($D61,Milestones!$AA$88)&lt;PolicyEff),1,Milestones!$AC$88)&amp;";  ","")&amp;IF(AND(EDATE($D61,Milestones!$AA$89)&lt;=AsOfDate,EDATE($D61,Milestones!$AA$89)&gt;=SchemeStart,IF($X61=0,$AD61,IF(AND($Z61&lt;&gt;"",EDATE($D61,Milestones!$AA$89)&gt;=$Z61),$AC61,IF(AND($Y61&lt;&gt;"",EDATE($D61,Milestones!$AA$89)&gt;=$Y61),$AB61,$AA61)))=Milestones!$AB$89),UPPER(TEXT(EDATE($D61,Milestones!$AA$89),"dd mmm yy"))&amp;" "&amp;Milestones!$AB$89&amp;" "&amp;IF(AND(Milestones!$AB$89="FT",Milestones!$AA$89=FT_Y5,EDATE($D61,Milestones!$AA$89)&lt;PolicyEff),1,Milestones!$AC$89)&amp;";  ","")&amp;IF(AND(EDATE($D61,Milestones!$AA$90)&lt;=AsOfDate,EDATE($D61,Milestones!$AA$90)&gt;=SchemeStart,IF($X61=0,$AD61,IF(AND($Z61&lt;&gt;"",EDATE($D61,Milestones!$AA$90)&gt;=$Z61),$AC61,IF(AND($Y61&lt;&gt;"",EDATE($D61,Milestones!$AA$90)&gt;=$Y61),$AB61,$AA61)))=Milestones!$AB$90),UPPER(TEXT(EDATE($D61,Milestones!$AA$90),"dd mmm yy"))&amp;" "&amp;Milestones!$AB$90&amp;" "&amp;IF(AND(Milestones!$AB$90="FT",Milestones!$AA$90=FT_Y5,EDATE($D61,Milestones!$AA$90)&lt;PolicyEff),1,Milestones!$AC$90)&amp;";  ","")&amp;IF(AND(EDATE($D61,Milestones!$AA$91)&lt;=AsOfDate,EDATE($D61,Milestones!$AA$91)&gt;=SchemeStart,IF($X61=0,$AD61,IF(AND($Z61&lt;&gt;"",EDATE($D61,Milestones!$AA$91)&gt;=$Z61),$AC61,IF(AND($Y61&lt;&gt;"",EDATE($D61,Milestones!$AA$91)&gt;=$Y61),$AB61,$AA61)))=Milestones!$AB$91),UPPER(TEXT(EDATE($D61,Milestones!$AA$91),"dd mmm yy"))&amp;" "&amp;Milestones!$AB$91&amp;" "&amp;IF(AND(Milestones!$AB$91="FT",Milestones!$AA$91=FT_Y5,EDATE($D61,Milestones!$AA$91)&lt;PolicyEff),1,Milestones!$AC$91)&amp;";  ",""))</f>
        <v/>
      </c>
      <c r="O61" s="0" t="str">
        <f aca="false">IF(OR($A61="",$D61=""),"",IF(AND(EDATE($D61,Milestones!$AA$92)&lt;=AsOfDate,EDATE($D61,Milestones!$AA$92)&gt;=SchemeStart,IF($X61=0,$AD61,IF(AND($Z61&lt;&gt;"",EDATE($D61,Milestones!$AA$92)&gt;=$Z61),$AC61,IF(AND($Y61&lt;&gt;"",EDATE($D61,Milestones!$AA$92)&gt;=$Y61),$AB61,$AA61)))=Milestones!$AB$92),UPPER(TEXT(EDATE($D61,Milestones!$AA$92),"dd mmm yy"))&amp;" "&amp;Milestones!$AB$92&amp;" "&amp;IF(AND(Milestones!$AB$92="FT",Milestones!$AA$92=FT_Y5,EDATE($D61,Milestones!$AA$92)&lt;PolicyEff),1,Milestones!$AC$92)&amp;";  ","")&amp;IF(AND(EDATE($D61,Milestones!$AA$93)&lt;=AsOfDate,EDATE($D61,Milestones!$AA$93)&gt;=SchemeStart,IF($X61=0,$AD61,IF(AND($Z61&lt;&gt;"",EDATE($D61,Milestones!$AA$93)&gt;=$Z61),$AC61,IF(AND($Y61&lt;&gt;"",EDATE($D61,Milestones!$AA$93)&gt;=$Y61),$AB61,$AA61)))=Milestones!$AB$93),UPPER(TEXT(EDATE($D61,Milestones!$AA$93),"dd mmm yy"))&amp;" "&amp;Milestones!$AB$93&amp;" "&amp;IF(AND(Milestones!$AB$93="FT",Milestones!$AA$93=FT_Y5,EDATE($D61,Milestones!$AA$93)&lt;PolicyEff),1,Milestones!$AC$93)&amp;";  ","")&amp;IF(AND(EDATE($D61,Milestones!$AA$94)&lt;=AsOfDate,EDATE($D61,Milestones!$AA$94)&gt;=SchemeStart,IF($X61=0,$AD61,IF(AND($Z61&lt;&gt;"",EDATE($D61,Milestones!$AA$94)&gt;=$Z61),$AC61,IF(AND($Y61&lt;&gt;"",EDATE($D61,Milestones!$AA$94)&gt;=$Y61),$AB61,$AA61)))=Milestones!$AB$94),UPPER(TEXT(EDATE($D61,Milestones!$AA$94),"dd mmm yy"))&amp;" "&amp;Milestones!$AB$94&amp;" "&amp;IF(AND(Milestones!$AB$94="FT",Milestones!$AA$94=FT_Y5,EDATE($D61,Milestones!$AA$94)&lt;PolicyEff),1,Milestones!$AC$94)&amp;";  ","")&amp;IF(AND(EDATE($D61,Milestones!$AA$95)&lt;=AsOfDate,EDATE($D61,Milestones!$AA$95)&gt;=SchemeStart,IF($X61=0,$AD61,IF(AND($Z61&lt;&gt;"",EDATE($D61,Milestones!$AA$95)&gt;=$Z61),$AC61,IF(AND($Y61&lt;&gt;"",EDATE($D61,Milestones!$AA$95)&gt;=$Y61),$AB61,$AA61)))=Milestones!$AB$95),UPPER(TEXT(EDATE($D61,Milestones!$AA$95),"dd mmm yy"))&amp;" "&amp;Milestones!$AB$95&amp;" "&amp;IF(AND(Milestones!$AB$95="FT",Milestones!$AA$95=FT_Y5,EDATE($D61,Milestones!$AA$95)&lt;PolicyEff),1,Milestones!$AC$95)&amp;";  ","")&amp;IF(AND(EDATE($D61,Milestones!$AA$96)&lt;=AsOfDate,EDATE($D61,Milestones!$AA$96)&gt;=SchemeStart,IF($X61=0,$AD61,IF(AND($Z61&lt;&gt;"",EDATE($D61,Milestones!$AA$96)&gt;=$Z61),$AC61,IF(AND($Y61&lt;&gt;"",EDATE($D61,Milestones!$AA$96)&gt;=$Y61),$AB61,$AA61)))=Milestones!$AB$96),UPPER(TEXT(EDATE($D61,Milestones!$AA$96),"dd mmm yy"))&amp;" "&amp;Milestones!$AB$96&amp;" "&amp;IF(AND(Milestones!$AB$96="FT",Milestones!$AA$96=FT_Y5,EDATE($D61,Milestones!$AA$96)&lt;PolicyEff),1,Milestones!$AC$96)&amp;";  ","")&amp;IF(AND(EDATE($D61,Milestones!$AA$97)&lt;=AsOfDate,EDATE($D61,Milestones!$AA$97)&gt;=SchemeStart,IF($X61=0,$AD61,IF(AND($Z61&lt;&gt;"",EDATE($D61,Milestones!$AA$97)&gt;=$Z61),$AC61,IF(AND($Y61&lt;&gt;"",EDATE($D61,Milestones!$AA$97)&gt;=$Y61),$AB61,$AA61)))=Milestones!$AB$97),UPPER(TEXT(EDATE($D61,Milestones!$AA$97),"dd mmm yy"))&amp;" "&amp;Milestones!$AB$97&amp;" "&amp;IF(AND(Milestones!$AB$97="FT",Milestones!$AA$97=FT_Y5,EDATE($D61,Milestones!$AA$97)&lt;PolicyEff),1,Milestones!$AC$97)&amp;";  ","")&amp;IF(AND(EDATE($D61,Milestones!$AA$98)&lt;=AsOfDate,EDATE($D61,Milestones!$AA$98)&gt;=SchemeStart,IF($X61=0,$AD61,IF(AND($Z61&lt;&gt;"",EDATE($D61,Milestones!$AA$98)&gt;=$Z61),$AC61,IF(AND($Y61&lt;&gt;"",EDATE($D61,Milestones!$AA$98)&gt;=$Y61),$AB61,$AA61)))=Milestones!$AB$98),UPPER(TEXT(EDATE($D61,Milestones!$AA$98),"dd mmm yy"))&amp;" "&amp;Milestones!$AB$98&amp;" "&amp;IF(AND(Milestones!$AB$98="FT",Milestones!$AA$98=FT_Y5,EDATE($D61,Milestones!$AA$98)&lt;PolicyEff),1,Milestones!$AC$98)&amp;";  ","")&amp;IF(AND(EDATE($D61,Milestones!$AA$99)&lt;=AsOfDate,EDATE($D61,Milestones!$AA$99)&gt;=SchemeStart,IF($X61=0,$AD61,IF(AND($Z61&lt;&gt;"",EDATE($D61,Milestones!$AA$99)&gt;=$Z61),$AC61,IF(AND($Y61&lt;&gt;"",EDATE($D61,Milestones!$AA$99)&gt;=$Y61),$AB61,$AA61)))=Milestones!$AB$99),UPPER(TEXT(EDATE($D61,Milestones!$AA$99),"dd mmm yy"))&amp;" "&amp;Milestones!$AB$99&amp;" "&amp;IF(AND(Milestones!$AB$99="FT",Milestones!$AA$99=FT_Y5,EDATE($D61,Milestones!$AA$99)&lt;PolicyEff),1,Milestones!$AC$99)&amp;";  ","")&amp;IF(AND(EDATE($D61,Milestones!$AA$100)&lt;=AsOfDate,EDATE($D61,Milestones!$AA$100)&gt;=SchemeStart,IF($X61=0,$AD61,IF(AND($Z61&lt;&gt;"",EDATE($D61,Milestones!$AA$100)&gt;=$Z61),$AC61,IF(AND($Y61&lt;&gt;"",EDATE($D61,Milestones!$AA$100)&gt;=$Y61),$AB61,$AA61)))=Milestones!$AB$100),UPPER(TEXT(EDATE($D61,Milestones!$AA$100),"dd mmm yy"))&amp;" "&amp;Milestones!$AB$100&amp;" "&amp;IF(AND(Milestones!$AB$100="FT",Milestones!$AA$100=FT_Y5,EDATE($D61,Milestones!$AA$100)&lt;PolicyEff),1,Milestones!$AC$100)&amp;";  ","")&amp;IF(AND(EDATE($D61,Milestones!$AA$101)&lt;=AsOfDate,EDATE($D61,Milestones!$AA$101)&gt;=SchemeStart,IF($X61=0,$AD61,IF(AND($Z61&lt;&gt;"",EDATE($D61,Milestones!$AA$101)&gt;=$Z61),$AC61,IF(AND($Y61&lt;&gt;"",EDATE($D61,Milestones!$AA$101)&gt;=$Y61),$AB61,$AA61)))=Milestones!$AB$101),UPPER(TEXT(EDATE($D61,Milestones!$AA$101),"dd mmm yy"))&amp;" "&amp;Milestones!$AB$101&amp;" "&amp;IF(AND(Milestones!$AB$101="FT",Milestones!$AA$101=FT_Y5,EDATE($D61,Milestones!$AA$101)&lt;PolicyEff),1,Milestones!$AC$101)&amp;";  ","")&amp;IF(AND(EDATE($D61,Milestones!$AA$102)&lt;=AsOfDate,EDATE($D61,Milestones!$AA$102)&gt;=SchemeStart,IF($X61=0,$AD61,IF(AND($Z61&lt;&gt;"",EDATE($D61,Milestones!$AA$102)&gt;=$Z61),$AC61,IF(AND($Y61&lt;&gt;"",EDATE($D61,Milestones!$AA$102)&gt;=$Y61),$AB61,$AA61)))=Milestones!$AB$102),UPPER(TEXT(EDATE($D61,Milestones!$AA$102),"dd mmm yy"))&amp;" "&amp;Milestones!$AB$102&amp;" "&amp;IF(AND(Milestones!$AB$102="FT",Milestones!$AA$102=FT_Y5,EDATE($D61,Milestones!$AA$102)&lt;PolicyEff),1,Milestones!$AC$102)&amp;";  ","")&amp;IF(AND(EDATE($D61,Milestones!$AA$103)&lt;=AsOfDate,EDATE($D61,Milestones!$AA$103)&gt;=SchemeStart,IF($X61=0,$AD61,IF(AND($Z61&lt;&gt;"",EDATE($D61,Milestones!$AA$103)&gt;=$Z61),$AC61,IF(AND($Y61&lt;&gt;"",EDATE($D61,Milestones!$AA$103)&gt;=$Y61),$AB61,$AA61)))=Milestones!$AB$103),UPPER(TEXT(EDATE($D61,Milestones!$AA$103),"dd mmm yy"))&amp;" "&amp;Milestones!$AB$103&amp;" "&amp;IF(AND(Milestones!$AB$103="FT",Milestones!$AA$103=FT_Y5,EDATE($D61,Milestones!$AA$103)&lt;PolicyEff),1,Milestones!$AC$103)&amp;";  ",""))</f>
        <v/>
      </c>
      <c r="P61" s="0" t="str">
        <f aca="false">IF(OR($A61="",$D61=""),"",IF(AND(EDATE($D61,Milestones!$AA$104)&lt;=AsOfDate,EDATE($D61,Milestones!$AA$104)&gt;=SchemeStart,IF($X61=0,$AD61,IF(AND($Z61&lt;&gt;"",EDATE($D61,Milestones!$AA$104)&gt;=$Z61),$AC61,IF(AND($Y61&lt;&gt;"",EDATE($D61,Milestones!$AA$104)&gt;=$Y61),$AB61,$AA61)))=Milestones!$AB$104),UPPER(TEXT(EDATE($D61,Milestones!$AA$104),"dd mmm yy"))&amp;" "&amp;Milestones!$AB$104&amp;" "&amp;IF(AND(Milestones!$AB$104="FT",Milestones!$AA$104=FT_Y5,EDATE($D61,Milestones!$AA$104)&lt;PolicyEff),1,Milestones!$AC$104)&amp;";  ","")&amp;IF(AND(EDATE($D61,Milestones!$AA$105)&lt;=AsOfDate,EDATE($D61,Milestones!$AA$105)&gt;=SchemeStart,IF($X61=0,$AD61,IF(AND($Z61&lt;&gt;"",EDATE($D61,Milestones!$AA$105)&gt;=$Z61),$AC61,IF(AND($Y61&lt;&gt;"",EDATE($D61,Milestones!$AA$105)&gt;=$Y61),$AB61,$AA61)))=Milestones!$AB$105),UPPER(TEXT(EDATE($D61,Milestones!$AA$105),"dd mmm yy"))&amp;" "&amp;Milestones!$AB$105&amp;" "&amp;IF(AND(Milestones!$AB$105="FT",Milestones!$AA$105=FT_Y5,EDATE($D61,Milestones!$AA$105)&lt;PolicyEff),1,Milestones!$AC$105)&amp;";  ","")&amp;IF(AND(EDATE($D61,Milestones!$AA$106)&lt;=AsOfDate,EDATE($D61,Milestones!$AA$106)&gt;=SchemeStart,IF($X61=0,$AD61,IF(AND($Z61&lt;&gt;"",EDATE($D61,Milestones!$AA$106)&gt;=$Z61),$AC61,IF(AND($Y61&lt;&gt;"",EDATE($D61,Milestones!$AA$106)&gt;=$Y61),$AB61,$AA61)))=Milestones!$AB$106),UPPER(TEXT(EDATE($D61,Milestones!$AA$106),"dd mmm yy"))&amp;" "&amp;Milestones!$AB$106&amp;" "&amp;IF(AND(Milestones!$AB$106="FT",Milestones!$AA$106=FT_Y5,EDATE($D61,Milestones!$AA$106)&lt;PolicyEff),1,Milestones!$AC$106)&amp;";  ","")&amp;IF(AND(EDATE($D61,Milestones!$AA$107)&lt;=AsOfDate,EDATE($D61,Milestones!$AA$107)&gt;=SchemeStart,IF($X61=0,$AD61,IF(AND($Z61&lt;&gt;"",EDATE($D61,Milestones!$AA$107)&gt;=$Z61),$AC61,IF(AND($Y61&lt;&gt;"",EDATE($D61,Milestones!$AA$107)&gt;=$Y61),$AB61,$AA61)))=Milestones!$AB$107),UPPER(TEXT(EDATE($D61,Milestones!$AA$107),"dd mmm yy"))&amp;" "&amp;Milestones!$AB$107&amp;" "&amp;IF(AND(Milestones!$AB$107="FT",Milestones!$AA$107=FT_Y5,EDATE($D61,Milestones!$AA$107)&lt;PolicyEff),1,Milestones!$AC$107)&amp;";  ","")&amp;IF(AND(EDATE($D61,Milestones!$AA$108)&lt;=AsOfDate,EDATE($D61,Milestones!$AA$108)&gt;=SchemeStart,IF($X61=0,$AD61,IF(AND($Z61&lt;&gt;"",EDATE($D61,Milestones!$AA$108)&gt;=$Z61),$AC61,IF(AND($Y61&lt;&gt;"",EDATE($D61,Milestones!$AA$108)&gt;=$Y61),$AB61,$AA61)))=Milestones!$AB$108),UPPER(TEXT(EDATE($D61,Milestones!$AA$108),"dd mmm yy"))&amp;" "&amp;Milestones!$AB$108&amp;" "&amp;IF(AND(Milestones!$AB$108="FT",Milestones!$AA$108=FT_Y5,EDATE($D61,Milestones!$AA$108)&lt;PolicyEff),1,Milestones!$AC$108)&amp;";  ","")&amp;IF(AND(EDATE($D61,Milestones!$AA$109)&lt;=AsOfDate,EDATE($D61,Milestones!$AA$109)&gt;=SchemeStart,IF($X61=0,$AD61,IF(AND($Z61&lt;&gt;"",EDATE($D61,Milestones!$AA$109)&gt;=$Z61),$AC61,IF(AND($Y61&lt;&gt;"",EDATE($D61,Milestones!$AA$109)&gt;=$Y61),$AB61,$AA61)))=Milestones!$AB$109),UPPER(TEXT(EDATE($D61,Milestones!$AA$109),"dd mmm yy"))&amp;" "&amp;Milestones!$AB$109&amp;" "&amp;IF(AND(Milestones!$AB$109="FT",Milestones!$AA$109=FT_Y5,EDATE($D61,Milestones!$AA$109)&lt;PolicyEff),1,Milestones!$AC$109)&amp;";  ","")&amp;IF(AND(EDATE($D61,Milestones!$AA$110)&lt;=AsOfDate,EDATE($D61,Milestones!$AA$110)&gt;=SchemeStart,IF($X61=0,$AD61,IF(AND($Z61&lt;&gt;"",EDATE($D61,Milestones!$AA$110)&gt;=$Z61),$AC61,IF(AND($Y61&lt;&gt;"",EDATE($D61,Milestones!$AA$110)&gt;=$Y61),$AB61,$AA61)))=Milestones!$AB$110),UPPER(TEXT(EDATE($D61,Milestones!$AA$110),"dd mmm yy"))&amp;" "&amp;Milestones!$AB$110&amp;" "&amp;IF(AND(Milestones!$AB$110="FT",Milestones!$AA$110=FT_Y5,EDATE($D61,Milestones!$AA$110)&lt;PolicyEff),1,Milestones!$AC$110)&amp;";  ","")&amp;IF(AND(EDATE($D61,Milestones!$AA$111)&lt;=AsOfDate,EDATE($D61,Milestones!$AA$111)&gt;=SchemeStart,IF($X61=0,$AD61,IF(AND($Z61&lt;&gt;"",EDATE($D61,Milestones!$AA$111)&gt;=$Z61),$AC61,IF(AND($Y61&lt;&gt;"",EDATE($D61,Milestones!$AA$111)&gt;=$Y61),$AB61,$AA61)))=Milestones!$AB$111),UPPER(TEXT(EDATE($D61,Milestones!$AA$111),"dd mmm yy"))&amp;" "&amp;Milestones!$AB$111&amp;" "&amp;IF(AND(Milestones!$AB$111="FT",Milestones!$AA$111=FT_Y5,EDATE($D61,Milestones!$AA$111)&lt;PolicyEff),1,Milestones!$AC$111)&amp;";  ","")&amp;IF(AND(EDATE($D61,Milestones!$AA$112)&lt;=AsOfDate,EDATE($D61,Milestones!$AA$112)&gt;=SchemeStart,IF($X61=0,$AD61,IF(AND($Z61&lt;&gt;"",EDATE($D61,Milestones!$AA$112)&gt;=$Z61),$AC61,IF(AND($Y61&lt;&gt;"",EDATE($D61,Milestones!$AA$112)&gt;=$Y61),$AB61,$AA61)))=Milestones!$AB$112),UPPER(TEXT(EDATE($D61,Milestones!$AA$112),"dd mmm yy"))&amp;" "&amp;Milestones!$AB$112&amp;" "&amp;IF(AND(Milestones!$AB$112="FT",Milestones!$AA$112=FT_Y5,EDATE($D61,Milestones!$AA$112)&lt;PolicyEff),1,Milestones!$AC$112)&amp;";  ","")&amp;IF(AND(EDATE($D61,Milestones!$AA$113)&lt;=AsOfDate,EDATE($D61,Milestones!$AA$113)&gt;=SchemeStart,IF($X61=0,$AD61,IF(AND($Z61&lt;&gt;"",EDATE($D61,Milestones!$AA$113)&gt;=$Z61),$AC61,IF(AND($Y61&lt;&gt;"",EDATE($D61,Milestones!$AA$113)&gt;=$Y61),$AB61,$AA61)))=Milestones!$AB$113),UPPER(TEXT(EDATE($D61,Milestones!$AA$113),"dd mmm yy"))&amp;" "&amp;Milestones!$AB$113&amp;" "&amp;IF(AND(Milestones!$AB$113="FT",Milestones!$AA$113=FT_Y5,EDATE($D61,Milestones!$AA$113)&lt;PolicyEff),1,Milestones!$AC$113)&amp;";  ","")&amp;IF(AND(EDATE($D61,Milestones!$AA$114)&lt;=AsOfDate,EDATE($D61,Milestones!$AA$114)&gt;=SchemeStart,IF($X61=0,$AD61,IF(AND($Z61&lt;&gt;"",EDATE($D61,Milestones!$AA$114)&gt;=$Z61),$AC61,IF(AND($Y61&lt;&gt;"",EDATE($D61,Milestones!$AA$114)&gt;=$Y61),$AB61,$AA61)))=Milestones!$AB$114),UPPER(TEXT(EDATE($D61,Milestones!$AA$114),"dd mmm yy"))&amp;" "&amp;Milestones!$AB$114&amp;" "&amp;IF(AND(Milestones!$AB$114="FT",Milestones!$AA$114=FT_Y5,EDATE($D61,Milestones!$AA$114)&lt;PolicyEff),1,Milestones!$AC$114)&amp;";  ","")&amp;IF(AND(EDATE($D61,Milestones!$AA$115)&lt;=AsOfDate,EDATE($D61,Milestones!$AA$115)&gt;=SchemeStart,IF($X61=0,$AD61,IF(AND($Z61&lt;&gt;"",EDATE($D61,Milestones!$AA$115)&gt;=$Z61),$AC61,IF(AND($Y61&lt;&gt;"",EDATE($D61,Milestones!$AA$115)&gt;=$Y61),$AB61,$AA61)))=Milestones!$AB$115),UPPER(TEXT(EDATE($D61,Milestones!$AA$115),"dd mmm yy"))&amp;" "&amp;Milestones!$AB$115&amp;" "&amp;IF(AND(Milestones!$AB$115="FT",Milestones!$AA$115=FT_Y5,EDATE($D61,Milestones!$AA$115)&lt;PolicyEff),1,Milestones!$AC$115)&amp;";  ",""))</f>
        <v/>
      </c>
      <c r="Q61" s="0" t="str">
        <f aca="false">IF(OR($A61="",$D61=""),"",IF(AND(EDATE($D61,Milestones!$AA$116)&lt;=AsOfDate,EDATE($D61,Milestones!$AA$116)&gt;=SchemeStart,IF($X61=0,$AD61,IF(AND($Z61&lt;&gt;"",EDATE($D61,Milestones!$AA$116)&gt;=$Z61),$AC61,IF(AND($Y61&lt;&gt;"",EDATE($D61,Milestones!$AA$116)&gt;=$Y61),$AB61,$AA61)))=Milestones!$AB$116),UPPER(TEXT(EDATE($D61,Milestones!$AA$116),"dd mmm yy"))&amp;" "&amp;Milestones!$AB$116&amp;" "&amp;IF(AND(Milestones!$AB$116="FT",Milestones!$AA$116=FT_Y5,EDATE($D61,Milestones!$AA$116)&lt;PolicyEff),1,Milestones!$AC$116)&amp;";  ","")&amp;IF(AND(EDATE($D61,Milestones!$AA$117)&lt;=AsOfDate,EDATE($D61,Milestones!$AA$117)&gt;=SchemeStart,IF($X61=0,$AD61,IF(AND($Z61&lt;&gt;"",EDATE($D61,Milestones!$AA$117)&gt;=$Z61),$AC61,IF(AND($Y61&lt;&gt;"",EDATE($D61,Milestones!$AA$117)&gt;=$Y61),$AB61,$AA61)))=Milestones!$AB$117),UPPER(TEXT(EDATE($D61,Milestones!$AA$117),"dd mmm yy"))&amp;" "&amp;Milestones!$AB$117&amp;" "&amp;IF(AND(Milestones!$AB$117="FT",Milestones!$AA$117=FT_Y5,EDATE($D61,Milestones!$AA$117)&lt;PolicyEff),1,Milestones!$AC$117)&amp;";  ","")&amp;IF(AND(EDATE($D61,Milestones!$AA$118)&lt;=AsOfDate,EDATE($D61,Milestones!$AA$118)&gt;=SchemeStart,IF($X61=0,$AD61,IF(AND($Z61&lt;&gt;"",EDATE($D61,Milestones!$AA$118)&gt;=$Z61),$AC61,IF(AND($Y61&lt;&gt;"",EDATE($D61,Milestones!$AA$118)&gt;=$Y61),$AB61,$AA61)))=Milestones!$AB$118),UPPER(TEXT(EDATE($D61,Milestones!$AA$118),"dd mmm yy"))&amp;" "&amp;Milestones!$AB$118&amp;" "&amp;IF(AND(Milestones!$AB$118="FT",Milestones!$AA$118=FT_Y5,EDATE($D61,Milestones!$AA$118)&lt;PolicyEff),1,Milestones!$AC$118)&amp;";  ","")&amp;IF(AND(EDATE($D61,Milestones!$AA$119)&lt;=AsOfDate,EDATE($D61,Milestones!$AA$119)&gt;=SchemeStart,IF($X61=0,$AD61,IF(AND($Z61&lt;&gt;"",EDATE($D61,Milestones!$AA$119)&gt;=$Z61),$AC61,IF(AND($Y61&lt;&gt;"",EDATE($D61,Milestones!$AA$119)&gt;=$Y61),$AB61,$AA61)))=Milestones!$AB$119),UPPER(TEXT(EDATE($D61,Milestones!$AA$119),"dd mmm yy"))&amp;" "&amp;Milestones!$AB$119&amp;" "&amp;IF(AND(Milestones!$AB$119="FT",Milestones!$AA$119=FT_Y5,EDATE($D61,Milestones!$AA$119)&lt;PolicyEff),1,Milestones!$AC$119)&amp;";  ","")&amp;IF(AND(EDATE($D61,Milestones!$AA$120)&lt;=AsOfDate,EDATE($D61,Milestones!$AA$120)&gt;=SchemeStart,IF($X61=0,$AD61,IF(AND($Z61&lt;&gt;"",EDATE($D61,Milestones!$AA$120)&gt;=$Z61),$AC61,IF(AND($Y61&lt;&gt;"",EDATE($D61,Milestones!$AA$120)&gt;=$Y61),$AB61,$AA61)))=Milestones!$AB$120),UPPER(TEXT(EDATE($D61,Milestones!$AA$120),"dd mmm yy"))&amp;" "&amp;Milestones!$AB$120&amp;" "&amp;IF(AND(Milestones!$AB$120="FT",Milestones!$AA$120=FT_Y5,EDATE($D61,Milestones!$AA$120)&lt;PolicyEff),1,Milestones!$AC$120)&amp;";  ","")&amp;IF(AND(EDATE($D61,Milestones!$AA$121)&lt;=AsOfDate,EDATE($D61,Milestones!$AA$121)&gt;=SchemeStart,IF($X61=0,$AD61,IF(AND($Z61&lt;&gt;"",EDATE($D61,Milestones!$AA$121)&gt;=$Z61),$AC61,IF(AND($Y61&lt;&gt;"",EDATE($D61,Milestones!$AA$121)&gt;=$Y61),$AB61,$AA61)))=Milestones!$AB$121),UPPER(TEXT(EDATE($D61,Milestones!$AA$121),"dd mmm yy"))&amp;" "&amp;Milestones!$AB$121&amp;" "&amp;IF(AND(Milestones!$AB$121="FT",Milestones!$AA$121=FT_Y5,EDATE($D61,Milestones!$AA$121)&lt;PolicyEff),1,Milestones!$AC$121)&amp;";  ","")&amp;IF(AND(EDATE($D61,Milestones!$AA$122)&lt;=AsOfDate,EDATE($D61,Milestones!$AA$122)&gt;=SchemeStart,IF($X61=0,$AD61,IF(AND($Z61&lt;&gt;"",EDATE($D61,Milestones!$AA$122)&gt;=$Z61),$AC61,IF(AND($Y61&lt;&gt;"",EDATE($D61,Milestones!$AA$122)&gt;=$Y61),$AB61,$AA61)))=Milestones!$AB$122),UPPER(TEXT(EDATE($D61,Milestones!$AA$122),"dd mmm yy"))&amp;" "&amp;Milestones!$AB$122&amp;" "&amp;IF(AND(Milestones!$AB$122="FT",Milestones!$AA$122=FT_Y5,EDATE($D61,Milestones!$AA$122)&lt;PolicyEff),1,Milestones!$AC$122)&amp;";  ","")&amp;IF(AND(EDATE($D61,Milestones!$AA$123)&lt;=AsOfDate,EDATE($D61,Milestones!$AA$123)&gt;=SchemeStart,IF($X61=0,$AD61,IF(AND($Z61&lt;&gt;"",EDATE($D61,Milestones!$AA$123)&gt;=$Z61),$AC61,IF(AND($Y61&lt;&gt;"",EDATE($D61,Milestones!$AA$123)&gt;=$Y61),$AB61,$AA61)))=Milestones!$AB$123),UPPER(TEXT(EDATE($D61,Milestones!$AA$123),"dd mmm yy"))&amp;" "&amp;Milestones!$AB$123&amp;" "&amp;IF(AND(Milestones!$AB$123="FT",Milestones!$AA$123=FT_Y5,EDATE($D61,Milestones!$AA$123)&lt;PolicyEff),1,Milestones!$AC$123)&amp;";  ","")&amp;IF(AND(EDATE($D61,Milestones!$AA$124)&lt;=AsOfDate,EDATE($D61,Milestones!$AA$124)&gt;=SchemeStart,IF($X61=0,$AD61,IF(AND($Z61&lt;&gt;"",EDATE($D61,Milestones!$AA$124)&gt;=$Z61),$AC61,IF(AND($Y61&lt;&gt;"",EDATE($D61,Milestones!$AA$124)&gt;=$Y61),$AB61,$AA61)))=Milestones!$AB$124),UPPER(TEXT(EDATE($D61,Milestones!$AA$124),"dd mmm yy"))&amp;" "&amp;Milestones!$AB$124&amp;" "&amp;IF(AND(Milestones!$AB$124="FT",Milestones!$AA$124=FT_Y5,EDATE($D61,Milestones!$AA$124)&lt;PolicyEff),1,Milestones!$AC$124)&amp;";  ","")&amp;IF(AND(EDATE($D61,Milestones!$AA$125)&lt;=AsOfDate,EDATE($D61,Milestones!$AA$125)&gt;=SchemeStart,IF($X61=0,$AD61,IF(AND($Z61&lt;&gt;"",EDATE($D61,Milestones!$AA$125)&gt;=$Z61),$AC61,IF(AND($Y61&lt;&gt;"",EDATE($D61,Milestones!$AA$125)&gt;=$Y61),$AB61,$AA61)))=Milestones!$AB$125),UPPER(TEXT(EDATE($D61,Milestones!$AA$125),"dd mmm yy"))&amp;" "&amp;Milestones!$AB$125&amp;" "&amp;IF(AND(Milestones!$AB$125="FT",Milestones!$AA$125=FT_Y5,EDATE($D61,Milestones!$AA$125)&lt;PolicyEff),1,Milestones!$AC$125)&amp;";  ","")&amp;IF(AND(EDATE($D61,Milestones!$AA$126)&lt;=AsOfDate,EDATE($D61,Milestones!$AA$126)&gt;=SchemeStart,IF($X61=0,$AD61,IF(AND($Z61&lt;&gt;"",EDATE($D61,Milestones!$AA$126)&gt;=$Z61),$AC61,IF(AND($Y61&lt;&gt;"",EDATE($D61,Milestones!$AA$126)&gt;=$Y61),$AB61,$AA61)))=Milestones!$AB$126),UPPER(TEXT(EDATE($D61,Milestones!$AA$126),"dd mmm yy"))&amp;" "&amp;Milestones!$AB$126&amp;" "&amp;IF(AND(Milestones!$AB$126="FT",Milestones!$AA$126=FT_Y5,EDATE($D61,Milestones!$AA$126)&lt;PolicyEff),1,Milestones!$AC$126)&amp;";  ","")&amp;IF(AND(EDATE($D61,Milestones!$AA$127)&lt;=AsOfDate,EDATE($D61,Milestones!$AA$127)&gt;=SchemeStart,IF($X61=0,$AD61,IF(AND($Z61&lt;&gt;"",EDATE($D61,Milestones!$AA$127)&gt;=$Z61),$AC61,IF(AND($Y61&lt;&gt;"",EDATE($D61,Milestones!$AA$127)&gt;=$Y61),$AB61,$AA61)))=Milestones!$AB$127),UPPER(TEXT(EDATE($D61,Milestones!$AA$127),"dd mmm yy"))&amp;" "&amp;Milestones!$AB$127&amp;" "&amp;IF(AND(Milestones!$AB$127="FT",Milestones!$AA$127=FT_Y5,EDATE($D61,Milestones!$AA$127)&lt;PolicyEff),1,Milestones!$AC$127)&amp;";  ",""))</f>
        <v/>
      </c>
      <c r="R61" s="0" t="str">
        <f aca="false">IF(OR($A61="",$D61=""),"",IF(AND(EDATE($D61,Milestones!$AA$128)&lt;=AsOfDate,EDATE($D61,Milestones!$AA$128)&gt;=SchemeStart,IF($X61=0,$AD61,IF(AND($Z61&lt;&gt;"",EDATE($D61,Milestones!$AA$128)&gt;=$Z61),$AC61,IF(AND($Y61&lt;&gt;"",EDATE($D61,Milestones!$AA$128)&gt;=$Y61),$AB61,$AA61)))=Milestones!$AB$128),UPPER(TEXT(EDATE($D61,Milestones!$AA$128),"dd mmm yy"))&amp;" "&amp;Milestones!$AB$128&amp;" "&amp;IF(AND(Milestones!$AB$128="FT",Milestones!$AA$128=FT_Y5,EDATE($D61,Milestones!$AA$128)&lt;PolicyEff),1,Milestones!$AC$128)&amp;";  ","")&amp;IF(AND(EDATE($D61,Milestones!$AA$129)&lt;=AsOfDate,EDATE($D61,Milestones!$AA$129)&gt;=SchemeStart,IF($X61=0,$AD61,IF(AND($Z61&lt;&gt;"",EDATE($D61,Milestones!$AA$129)&gt;=$Z61),$AC61,IF(AND($Y61&lt;&gt;"",EDATE($D61,Milestones!$AA$129)&gt;=$Y61),$AB61,$AA61)))=Milestones!$AB$129),UPPER(TEXT(EDATE($D61,Milestones!$AA$129),"dd mmm yy"))&amp;" "&amp;Milestones!$AB$129&amp;" "&amp;IF(AND(Milestones!$AB$129="FT",Milestones!$AA$129=FT_Y5,EDATE($D61,Milestones!$AA$129)&lt;PolicyEff),1,Milestones!$AC$129)&amp;";  ","")&amp;IF(AND(EDATE($D61,Milestones!$AA$130)&lt;=AsOfDate,EDATE($D61,Milestones!$AA$130)&gt;=SchemeStart,IF($X61=0,$AD61,IF(AND($Z61&lt;&gt;"",EDATE($D61,Milestones!$AA$130)&gt;=$Z61),$AC61,IF(AND($Y61&lt;&gt;"",EDATE($D61,Milestones!$AA$130)&gt;=$Y61),$AB61,$AA61)))=Milestones!$AB$130),UPPER(TEXT(EDATE($D61,Milestones!$AA$130),"dd mmm yy"))&amp;" "&amp;Milestones!$AB$130&amp;" "&amp;IF(AND(Milestones!$AB$130="FT",Milestones!$AA$130=FT_Y5,EDATE($D61,Milestones!$AA$130)&lt;PolicyEff),1,Milestones!$AC$130)&amp;";  ","")&amp;IF(AND(EDATE($D61,Milestones!$AA$131)&lt;=AsOfDate,EDATE($D61,Milestones!$AA$131)&gt;=SchemeStart,IF($X61=0,$AD61,IF(AND($Z61&lt;&gt;"",EDATE($D61,Milestones!$AA$131)&gt;=$Z61),$AC61,IF(AND($Y61&lt;&gt;"",EDATE($D61,Milestones!$AA$131)&gt;=$Y61),$AB61,$AA61)))=Milestones!$AB$131),UPPER(TEXT(EDATE($D61,Milestones!$AA$131),"dd mmm yy"))&amp;" "&amp;Milestones!$AB$131&amp;" "&amp;IF(AND(Milestones!$AB$131="FT",Milestones!$AA$131=FT_Y5,EDATE($D61,Milestones!$AA$131)&lt;PolicyEff),1,Milestones!$AC$131)&amp;";  ","")&amp;IF(AND(EDATE($D61,Milestones!$AA$132)&lt;=AsOfDate,EDATE($D61,Milestones!$AA$132)&gt;=SchemeStart,IF($X61=0,$AD61,IF(AND($Z61&lt;&gt;"",EDATE($D61,Milestones!$AA$132)&gt;=$Z61),$AC61,IF(AND($Y61&lt;&gt;"",EDATE($D61,Milestones!$AA$132)&gt;=$Y61),$AB61,$AA61)))=Milestones!$AB$132),UPPER(TEXT(EDATE($D61,Milestones!$AA$132),"dd mmm yy"))&amp;" "&amp;Milestones!$AB$132&amp;" "&amp;IF(AND(Milestones!$AB$132="FT",Milestones!$AA$132=FT_Y5,EDATE($D61,Milestones!$AA$132)&lt;PolicyEff),1,Milestones!$AC$132)&amp;";  ","")&amp;IF(AND(EDATE($D61,Milestones!$AA$133)&lt;=AsOfDate,EDATE($D61,Milestones!$AA$133)&gt;=SchemeStart,IF($X61=0,$AD61,IF(AND($Z61&lt;&gt;"",EDATE($D61,Milestones!$AA$133)&gt;=$Z61),$AC61,IF(AND($Y61&lt;&gt;"",EDATE($D61,Milestones!$AA$133)&gt;=$Y61),$AB61,$AA61)))=Milestones!$AB$133),UPPER(TEXT(EDATE($D61,Milestones!$AA$133),"dd mmm yy"))&amp;" "&amp;Milestones!$AB$133&amp;" "&amp;IF(AND(Milestones!$AB$133="FT",Milestones!$AA$133=FT_Y5,EDATE($D61,Milestones!$AA$133)&lt;PolicyEff),1,Milestones!$AC$133)&amp;";  ","")&amp;IF(AND(EDATE($D61,Milestones!$AA$134)&lt;=AsOfDate,EDATE($D61,Milestones!$AA$134)&gt;=SchemeStart,IF($X61=0,$AD61,IF(AND($Z61&lt;&gt;"",EDATE($D61,Milestones!$AA$134)&gt;=$Z61),$AC61,IF(AND($Y61&lt;&gt;"",EDATE($D61,Milestones!$AA$134)&gt;=$Y61),$AB61,$AA61)))=Milestones!$AB$134),UPPER(TEXT(EDATE($D61,Milestones!$AA$134),"dd mmm yy"))&amp;" "&amp;Milestones!$AB$134&amp;" "&amp;IF(AND(Milestones!$AB$134="FT",Milestones!$AA$134=FT_Y5,EDATE($D61,Milestones!$AA$134)&lt;PolicyEff),1,Milestones!$AC$134)&amp;";  ","")&amp;IF(AND(EDATE($D61,Milestones!$AA$135)&lt;=AsOfDate,EDATE($D61,Milestones!$AA$135)&gt;=SchemeStart,IF($X61=0,$AD61,IF(AND($Z61&lt;&gt;"",EDATE($D61,Milestones!$AA$135)&gt;=$Z61),$AC61,IF(AND($Y61&lt;&gt;"",EDATE($D61,Milestones!$AA$135)&gt;=$Y61),$AB61,$AA61)))=Milestones!$AB$135),UPPER(TEXT(EDATE($D61,Milestones!$AA$135),"dd mmm yy"))&amp;" "&amp;Milestones!$AB$135&amp;" "&amp;IF(AND(Milestones!$AB$135="FT",Milestones!$AA$135=FT_Y5,EDATE($D61,Milestones!$AA$135)&lt;PolicyEff),1,Milestones!$AC$135)&amp;";  ","")&amp;IF(AND(EDATE($D61,Milestones!$AA$136)&lt;=AsOfDate,EDATE($D61,Milestones!$AA$136)&gt;=SchemeStart,IF($X61=0,$AD61,IF(AND($Z61&lt;&gt;"",EDATE($D61,Milestones!$AA$136)&gt;=$Z61),$AC61,IF(AND($Y61&lt;&gt;"",EDATE($D61,Milestones!$AA$136)&gt;=$Y61),$AB61,$AA61)))=Milestones!$AB$136),UPPER(TEXT(EDATE($D61,Milestones!$AA$136),"dd mmm yy"))&amp;" "&amp;Milestones!$AB$136&amp;" "&amp;IF(AND(Milestones!$AB$136="FT",Milestones!$AA$136=FT_Y5,EDATE($D61,Milestones!$AA$136)&lt;PolicyEff),1,Milestones!$AC$136)&amp;";  ","")&amp;IF(AND(EDATE($D61,Milestones!$AA$137)&lt;=AsOfDate,EDATE($D61,Milestones!$AA$137)&gt;=SchemeStart,IF($X61=0,$AD61,IF(AND($Z61&lt;&gt;"",EDATE($D61,Milestones!$AA$137)&gt;=$Z61),$AC61,IF(AND($Y61&lt;&gt;"",EDATE($D61,Milestones!$AA$137)&gt;=$Y61),$AB61,$AA61)))=Milestones!$AB$137),UPPER(TEXT(EDATE($D61,Milestones!$AA$137),"dd mmm yy"))&amp;" "&amp;Milestones!$AB$137&amp;" "&amp;IF(AND(Milestones!$AB$137="FT",Milestones!$AA$137=FT_Y5,EDATE($D61,Milestones!$AA$137)&lt;PolicyEff),1,Milestones!$AC$137)&amp;";  ","")&amp;IF(AND(EDATE($D61,Milestones!$AA$138)&lt;=AsOfDate,EDATE($D61,Milestones!$AA$138)&gt;=SchemeStart,IF($X61=0,$AD61,IF(AND($Z61&lt;&gt;"",EDATE($D61,Milestones!$AA$138)&gt;=$Z61),$AC61,IF(AND($Y61&lt;&gt;"",EDATE($D61,Milestones!$AA$138)&gt;=$Y61),$AB61,$AA61)))=Milestones!$AB$138),UPPER(TEXT(EDATE($D61,Milestones!$AA$138),"dd mmm yy"))&amp;" "&amp;Milestones!$AB$138&amp;" "&amp;IF(AND(Milestones!$AB$138="FT",Milestones!$AA$138=FT_Y5,EDATE($D61,Milestones!$AA$138)&lt;PolicyEff),1,Milestones!$AC$138)&amp;";  ","")&amp;IF(AND(EDATE($D61,Milestones!$AA$139)&lt;=AsOfDate,EDATE($D61,Milestones!$AA$139)&gt;=SchemeStart,IF($X61=0,$AD61,IF(AND($Z61&lt;&gt;"",EDATE($D61,Milestones!$AA$139)&gt;=$Z61),$AC61,IF(AND($Y61&lt;&gt;"",EDATE($D61,Milestones!$AA$139)&gt;=$Y61),$AB61,$AA61)))=Milestones!$AB$139),UPPER(TEXT(EDATE($D61,Milestones!$AA$139),"dd mmm yy"))&amp;" "&amp;Milestones!$AB$139&amp;" "&amp;IF(AND(Milestones!$AB$139="FT",Milestones!$AA$139=FT_Y5,EDATE($D61,Milestones!$AA$139)&lt;PolicyEff),1,Milestones!$AC$139)&amp;";  ",""))</f>
        <v/>
      </c>
      <c r="S61" s="0" t="str">
        <f aca="false">IF(OR($A61="",$D61=""),"",IF(AND(EDATE($D61,Milestones!$AA$140)&lt;=AsOfDate,EDATE($D61,Milestones!$AA$140)&gt;=SchemeStart,IF($X61=0,$AD61,IF(AND($Z61&lt;&gt;"",EDATE($D61,Milestones!$AA$140)&gt;=$Z61),$AC61,IF(AND($Y61&lt;&gt;"",EDATE($D61,Milestones!$AA$140)&gt;=$Y61),$AB61,$AA61)))=Milestones!$AB$140),UPPER(TEXT(EDATE($D61,Milestones!$AA$140),"dd mmm yy"))&amp;" "&amp;Milestones!$AB$140&amp;" "&amp;IF(AND(Milestones!$AB$140="FT",Milestones!$AA$140=FT_Y5,EDATE($D61,Milestones!$AA$140)&lt;PolicyEff),1,Milestones!$AC$140)&amp;";  ","")&amp;IF(AND(EDATE($D61,Milestones!$AA$141)&lt;=AsOfDate,EDATE($D61,Milestones!$AA$141)&gt;=SchemeStart,IF($X61=0,$AD61,IF(AND($Z61&lt;&gt;"",EDATE($D61,Milestones!$AA$141)&gt;=$Z61),$AC61,IF(AND($Y61&lt;&gt;"",EDATE($D61,Milestones!$AA$141)&gt;=$Y61),$AB61,$AA61)))=Milestones!$AB$141),UPPER(TEXT(EDATE($D61,Milestones!$AA$141),"dd mmm yy"))&amp;" "&amp;Milestones!$AB$141&amp;" "&amp;IF(AND(Milestones!$AB$141="FT",Milestones!$AA$141=FT_Y5,EDATE($D61,Milestones!$AA$141)&lt;PolicyEff),1,Milestones!$AC$141)&amp;";  ","")&amp;IF(AND(EDATE($D61,Milestones!$AA$142)&lt;=AsOfDate,EDATE($D61,Milestones!$AA$142)&gt;=SchemeStart,IF($X61=0,$AD61,IF(AND($Z61&lt;&gt;"",EDATE($D61,Milestones!$AA$142)&gt;=$Z61),$AC61,IF(AND($Y61&lt;&gt;"",EDATE($D61,Milestones!$AA$142)&gt;=$Y61),$AB61,$AA61)))=Milestones!$AB$142),UPPER(TEXT(EDATE($D61,Milestones!$AA$142),"dd mmm yy"))&amp;" "&amp;Milestones!$AB$142&amp;" "&amp;IF(AND(Milestones!$AB$142="FT",Milestones!$AA$142=FT_Y5,EDATE($D61,Milestones!$AA$142)&lt;PolicyEff),1,Milestones!$AC$142)&amp;";  ","")&amp;IF(AND(EDATE($D61,Milestones!$AA$143)&lt;=AsOfDate,EDATE($D61,Milestones!$AA$143)&gt;=SchemeStart,IF($X61=0,$AD61,IF(AND($Z61&lt;&gt;"",EDATE($D61,Milestones!$AA$143)&gt;=$Z61),$AC61,IF(AND($Y61&lt;&gt;"",EDATE($D61,Milestones!$AA$143)&gt;=$Y61),$AB61,$AA61)))=Milestones!$AB$143),UPPER(TEXT(EDATE($D61,Milestones!$AA$143),"dd mmm yy"))&amp;" "&amp;Milestones!$AB$143&amp;" "&amp;IF(AND(Milestones!$AB$143="FT",Milestones!$AA$143=FT_Y5,EDATE($D61,Milestones!$AA$143)&lt;PolicyEff),1,Milestones!$AC$143)&amp;";  ","")&amp;IF(AND(EDATE($D61,Milestones!$AA$144)&lt;=AsOfDate,EDATE($D61,Milestones!$AA$144)&gt;=SchemeStart,IF($X61=0,$AD61,IF(AND($Z61&lt;&gt;"",EDATE($D61,Milestones!$AA$144)&gt;=$Z61),$AC61,IF(AND($Y61&lt;&gt;"",EDATE($D61,Milestones!$AA$144)&gt;=$Y61),$AB61,$AA61)))=Milestones!$AB$144),UPPER(TEXT(EDATE($D61,Milestones!$AA$144),"dd mmm yy"))&amp;" "&amp;Milestones!$AB$144&amp;" "&amp;IF(AND(Milestones!$AB$144="FT",Milestones!$AA$144=FT_Y5,EDATE($D61,Milestones!$AA$144)&lt;PolicyEff),1,Milestones!$AC$144)&amp;";  ","")&amp;IF(AND(EDATE($D61,Milestones!$AA$145)&lt;=AsOfDate,EDATE($D61,Milestones!$AA$145)&gt;=SchemeStart,IF($X61=0,$AD61,IF(AND($Z61&lt;&gt;"",EDATE($D61,Milestones!$AA$145)&gt;=$Z61),$AC61,IF(AND($Y61&lt;&gt;"",EDATE($D61,Milestones!$AA$145)&gt;=$Y61),$AB61,$AA61)))=Milestones!$AB$145),UPPER(TEXT(EDATE($D61,Milestones!$AA$145),"dd mmm yy"))&amp;" "&amp;Milestones!$AB$145&amp;" "&amp;IF(AND(Milestones!$AB$145="FT",Milestones!$AA$145=FT_Y5,EDATE($D61,Milestones!$AA$145)&lt;PolicyEff),1,Milestones!$AC$145)&amp;";  ","")&amp;IF(AND(EDATE($D61,Milestones!$AA$146)&lt;=AsOfDate,EDATE($D61,Milestones!$AA$146)&gt;=SchemeStart,IF($X61=0,$AD61,IF(AND($Z61&lt;&gt;"",EDATE($D61,Milestones!$AA$146)&gt;=$Z61),$AC61,IF(AND($Y61&lt;&gt;"",EDATE($D61,Milestones!$AA$146)&gt;=$Y61),$AB61,$AA61)))=Milestones!$AB$146),UPPER(TEXT(EDATE($D61,Milestones!$AA$146),"dd mmm yy"))&amp;" "&amp;Milestones!$AB$146&amp;" "&amp;IF(AND(Milestones!$AB$146="FT",Milestones!$AA$146=FT_Y5,EDATE($D61,Milestones!$AA$146)&lt;PolicyEff),1,Milestones!$AC$146)&amp;";  ","")&amp;IF(AND(EDATE($D61,Milestones!$AA$147)&lt;=AsOfDate,EDATE($D61,Milestones!$AA$147)&gt;=SchemeStart,IF($X61=0,$AD61,IF(AND($Z61&lt;&gt;"",EDATE($D61,Milestones!$AA$147)&gt;=$Z61),$AC61,IF(AND($Y61&lt;&gt;"",EDATE($D61,Milestones!$AA$147)&gt;=$Y61),$AB61,$AA61)))=Milestones!$AB$147),UPPER(TEXT(EDATE($D61,Milestones!$AA$147),"dd mmm yy"))&amp;" "&amp;Milestones!$AB$147&amp;" "&amp;IF(AND(Milestones!$AB$147="FT",Milestones!$AA$147=FT_Y5,EDATE($D61,Milestones!$AA$147)&lt;PolicyEff),1,Milestones!$AC$147)&amp;";  ","")&amp;IF(AND(EDATE($D61,Milestones!$AA$148)&lt;=AsOfDate,EDATE($D61,Milestones!$AA$148)&gt;=SchemeStart,IF($X61=0,$AD61,IF(AND($Z61&lt;&gt;"",EDATE($D61,Milestones!$AA$148)&gt;=$Z61),$AC61,IF(AND($Y61&lt;&gt;"",EDATE($D61,Milestones!$AA$148)&gt;=$Y61),$AB61,$AA61)))=Milestones!$AB$148),UPPER(TEXT(EDATE($D61,Milestones!$AA$148),"dd mmm yy"))&amp;" "&amp;Milestones!$AB$148&amp;" "&amp;IF(AND(Milestones!$AB$148="FT",Milestones!$AA$148=FT_Y5,EDATE($D61,Milestones!$AA$148)&lt;PolicyEff),1,Milestones!$AC$148)&amp;";  ","")&amp;IF(AND(EDATE($D61,Milestones!$AA$149)&lt;=AsOfDate,EDATE($D61,Milestones!$AA$149)&gt;=SchemeStart,IF($X61=0,$AD61,IF(AND($Z61&lt;&gt;"",EDATE($D61,Milestones!$AA$149)&gt;=$Z61),$AC61,IF(AND($Y61&lt;&gt;"",EDATE($D61,Milestones!$AA$149)&gt;=$Y61),$AB61,$AA61)))=Milestones!$AB$149),UPPER(TEXT(EDATE($D61,Milestones!$AA$149),"dd mmm yy"))&amp;" "&amp;Milestones!$AB$149&amp;" "&amp;IF(AND(Milestones!$AB$149="FT",Milestones!$AA$149=FT_Y5,EDATE($D61,Milestones!$AA$149)&lt;PolicyEff),1,Milestones!$AC$149)&amp;";  ","")&amp;IF(AND(EDATE($D61,Milestones!$AA$150)&lt;=AsOfDate,EDATE($D61,Milestones!$AA$150)&gt;=SchemeStart,IF($X61=0,$AD61,IF(AND($Z61&lt;&gt;"",EDATE($D61,Milestones!$AA$150)&gt;=$Z61),$AC61,IF(AND($Y61&lt;&gt;"",EDATE($D61,Milestones!$AA$150)&gt;=$Y61),$AB61,$AA61)))=Milestones!$AB$150),UPPER(TEXT(EDATE($D61,Milestones!$AA$150),"dd mmm yy"))&amp;" "&amp;Milestones!$AB$150&amp;" "&amp;IF(AND(Milestones!$AB$150="FT",Milestones!$AA$150=FT_Y5,EDATE($D61,Milestones!$AA$150)&lt;PolicyEff),1,Milestones!$AC$150)&amp;";  ","")&amp;IF(AND(EDATE($D61,Milestones!$AA$151)&lt;=AsOfDate,EDATE($D61,Milestones!$AA$151)&gt;=SchemeStart,IF($X61=0,$AD61,IF(AND($Z61&lt;&gt;"",EDATE($D61,Milestones!$AA$151)&gt;=$Z61),$AC61,IF(AND($Y61&lt;&gt;"",EDATE($D61,Milestones!$AA$151)&gt;=$Y61),$AB61,$AA61)))=Milestones!$AB$151),UPPER(TEXT(EDATE($D61,Milestones!$AA$151),"dd mmm yy"))&amp;" "&amp;Milestones!$AB$151&amp;" "&amp;IF(AND(Milestones!$AB$151="FT",Milestones!$AA$151=FT_Y5,EDATE($D61,Milestones!$AA$151)&lt;PolicyEff),1,Milestones!$AC$151)&amp;";  ",""))</f>
        <v/>
      </c>
      <c r="T61" s="0" t="str">
        <f aca="false">IF(OR($A61="",$D61=""),"",IF(AND(EDATE($D61,Milestones!$AA$152)&lt;=AsOfDate,EDATE($D61,Milestones!$AA$152)&gt;=SchemeStart,IF($X61=0,$AD61,IF(AND($Z61&lt;&gt;"",EDATE($D61,Milestones!$AA$152)&gt;=$Z61),$AC61,IF(AND($Y61&lt;&gt;"",EDATE($D61,Milestones!$AA$152)&gt;=$Y61),$AB61,$AA61)))=Milestones!$AB$152),UPPER(TEXT(EDATE($D61,Milestones!$AA$152),"dd mmm yy"))&amp;" "&amp;Milestones!$AB$152&amp;" "&amp;IF(AND(Milestones!$AB$152="FT",Milestones!$AA$152=FT_Y5,EDATE($D61,Milestones!$AA$152)&lt;PolicyEff),1,Milestones!$AC$152)&amp;";  ","")&amp;IF(AND(EDATE($D61,Milestones!$AA$153)&lt;=AsOfDate,EDATE($D61,Milestones!$AA$153)&gt;=SchemeStart,IF($X61=0,$AD61,IF(AND($Z61&lt;&gt;"",EDATE($D61,Milestones!$AA$153)&gt;=$Z61),$AC61,IF(AND($Y61&lt;&gt;"",EDATE($D61,Milestones!$AA$153)&gt;=$Y61),$AB61,$AA61)))=Milestones!$AB$153),UPPER(TEXT(EDATE($D61,Milestones!$AA$153),"dd mmm yy"))&amp;" "&amp;Milestones!$AB$153&amp;" "&amp;IF(AND(Milestones!$AB$153="FT",Milestones!$AA$153=FT_Y5,EDATE($D61,Milestones!$AA$153)&lt;PolicyEff),1,Milestones!$AC$153)&amp;";  ","")&amp;IF(AND(EDATE($D61,Milestones!$AA$154)&lt;=AsOfDate,EDATE($D61,Milestones!$AA$154)&gt;=SchemeStart,IF($X61=0,$AD61,IF(AND($Z61&lt;&gt;"",EDATE($D61,Milestones!$AA$154)&gt;=$Z61),$AC61,IF(AND($Y61&lt;&gt;"",EDATE($D61,Milestones!$AA$154)&gt;=$Y61),$AB61,$AA61)))=Milestones!$AB$154),UPPER(TEXT(EDATE($D61,Milestones!$AA$154),"dd mmm yy"))&amp;" "&amp;Milestones!$AB$154&amp;" "&amp;IF(AND(Milestones!$AB$154="FT",Milestones!$AA$154=FT_Y5,EDATE($D61,Milestones!$AA$154)&lt;PolicyEff),1,Milestones!$AC$154)&amp;";  ","")&amp;IF(AND(EDATE($D61,Milestones!$AA$155)&lt;=AsOfDate,EDATE($D61,Milestones!$AA$155)&gt;=SchemeStart,IF($X61=0,$AD61,IF(AND($Z61&lt;&gt;"",EDATE($D61,Milestones!$AA$155)&gt;=$Z61),$AC61,IF(AND($Y61&lt;&gt;"",EDATE($D61,Milestones!$AA$155)&gt;=$Y61),$AB61,$AA61)))=Milestones!$AB$155),UPPER(TEXT(EDATE($D61,Milestones!$AA$155),"dd mmm yy"))&amp;" "&amp;Milestones!$AB$155&amp;" "&amp;IF(AND(Milestones!$AB$155="FT",Milestones!$AA$155=FT_Y5,EDATE($D61,Milestones!$AA$155)&lt;PolicyEff),1,Milestones!$AC$155)&amp;";  ","")&amp;IF(AND(EDATE($D61,Milestones!$AA$156)&lt;=AsOfDate,EDATE($D61,Milestones!$AA$156)&gt;=SchemeStart,IF($X61=0,$AD61,IF(AND($Z61&lt;&gt;"",EDATE($D61,Milestones!$AA$156)&gt;=$Z61),$AC61,IF(AND($Y61&lt;&gt;"",EDATE($D61,Milestones!$AA$156)&gt;=$Y61),$AB61,$AA61)))=Milestones!$AB$156),UPPER(TEXT(EDATE($D61,Milestones!$AA$156),"dd mmm yy"))&amp;" "&amp;Milestones!$AB$156&amp;" "&amp;IF(AND(Milestones!$AB$156="FT",Milestones!$AA$156=FT_Y5,EDATE($D61,Milestones!$AA$156)&lt;PolicyEff),1,Milestones!$AC$156)&amp;";  ","")&amp;IF(AND(EDATE($D61,Milestones!$AA$157)&lt;=AsOfDate,EDATE($D61,Milestones!$AA$157)&gt;=SchemeStart,IF($X61=0,$AD61,IF(AND($Z61&lt;&gt;"",EDATE($D61,Milestones!$AA$157)&gt;=$Z61),$AC61,IF(AND($Y61&lt;&gt;"",EDATE($D61,Milestones!$AA$157)&gt;=$Y61),$AB61,$AA61)))=Milestones!$AB$157),UPPER(TEXT(EDATE($D61,Milestones!$AA$157),"dd mmm yy"))&amp;" "&amp;Milestones!$AB$157&amp;" "&amp;IF(AND(Milestones!$AB$157="FT",Milestones!$AA$157=FT_Y5,EDATE($D61,Milestones!$AA$157)&lt;PolicyEff),1,Milestones!$AC$157)&amp;";  ","")&amp;IF(AND(EDATE($D61,Milestones!$AA$158)&lt;=AsOfDate,EDATE($D61,Milestones!$AA$158)&gt;=SchemeStart,IF($X61=0,$AD61,IF(AND($Z61&lt;&gt;"",EDATE($D61,Milestones!$AA$158)&gt;=$Z61),$AC61,IF(AND($Y61&lt;&gt;"",EDATE($D61,Milestones!$AA$158)&gt;=$Y61),$AB61,$AA61)))=Milestones!$AB$158),UPPER(TEXT(EDATE($D61,Milestones!$AA$158),"dd mmm yy"))&amp;" "&amp;Milestones!$AB$158&amp;" "&amp;IF(AND(Milestones!$AB$158="FT",Milestones!$AA$158=FT_Y5,EDATE($D61,Milestones!$AA$158)&lt;PolicyEff),1,Milestones!$AC$158)&amp;";  ","")&amp;IF(AND(EDATE($D61,Milestones!$AA$159)&lt;=AsOfDate,EDATE($D61,Milestones!$AA$159)&gt;=SchemeStart,IF($X61=0,$AD61,IF(AND($Z61&lt;&gt;"",EDATE($D61,Milestones!$AA$159)&gt;=$Z61),$AC61,IF(AND($Y61&lt;&gt;"",EDATE($D61,Milestones!$AA$159)&gt;=$Y61),$AB61,$AA61)))=Milestones!$AB$159),UPPER(TEXT(EDATE($D61,Milestones!$AA$159),"dd mmm yy"))&amp;" "&amp;Milestones!$AB$159&amp;" "&amp;IF(AND(Milestones!$AB$159="FT",Milestones!$AA$159=FT_Y5,EDATE($D61,Milestones!$AA$159)&lt;PolicyEff),1,Milestones!$AC$159)&amp;";  ","")&amp;IF(AND(EDATE($D61,Milestones!$AA$160)&lt;=AsOfDate,EDATE($D61,Milestones!$AA$160)&gt;=SchemeStart,IF($X61=0,$AD61,IF(AND($Z61&lt;&gt;"",EDATE($D61,Milestones!$AA$160)&gt;=$Z61),$AC61,IF(AND($Y61&lt;&gt;"",EDATE($D61,Milestones!$AA$160)&gt;=$Y61),$AB61,$AA61)))=Milestones!$AB$160),UPPER(TEXT(EDATE($D61,Milestones!$AA$160),"dd mmm yy"))&amp;" "&amp;Milestones!$AB$160&amp;" "&amp;IF(AND(Milestones!$AB$160="FT",Milestones!$AA$160=FT_Y5,EDATE($D61,Milestones!$AA$160)&lt;PolicyEff),1,Milestones!$AC$160)&amp;";  ","")&amp;IF(AND(EDATE($D61,Milestones!$AA$161)&lt;=AsOfDate,EDATE($D61,Milestones!$AA$161)&gt;=SchemeStart,IF($X61=0,$AD61,IF(AND($Z61&lt;&gt;"",EDATE($D61,Milestones!$AA$161)&gt;=$Z61),$AC61,IF(AND($Y61&lt;&gt;"",EDATE($D61,Milestones!$AA$161)&gt;=$Y61),$AB61,$AA61)))=Milestones!$AB$161),UPPER(TEXT(EDATE($D61,Milestones!$AA$161),"dd mmm yy"))&amp;" "&amp;Milestones!$AB$161&amp;" "&amp;IF(AND(Milestones!$AB$161="FT",Milestones!$AA$161=FT_Y5,EDATE($D61,Milestones!$AA$161)&lt;PolicyEff),1,Milestones!$AC$161)&amp;";  ","")&amp;IF(AND(EDATE($D61,Milestones!$AA$162)&lt;=AsOfDate,EDATE($D61,Milestones!$AA$162)&gt;=SchemeStart,IF($X61=0,$AD61,IF(AND($Z61&lt;&gt;"",EDATE($D61,Milestones!$AA$162)&gt;=$Z61),$AC61,IF(AND($Y61&lt;&gt;"",EDATE($D61,Milestones!$AA$162)&gt;=$Y61),$AB61,$AA61)))=Milestones!$AB$162),UPPER(TEXT(EDATE($D61,Milestones!$AA$162),"dd mmm yy"))&amp;" "&amp;Milestones!$AB$162&amp;" "&amp;IF(AND(Milestones!$AB$162="FT",Milestones!$AA$162=FT_Y5,EDATE($D61,Milestones!$AA$162)&lt;PolicyEff),1,Milestones!$AC$162)&amp;";  ","")&amp;IF(AND(EDATE($D61,Milestones!$AA$163)&lt;=AsOfDate,EDATE($D61,Milestones!$AA$163)&gt;=SchemeStart,IF($X61=0,$AD61,IF(AND($Z61&lt;&gt;"",EDATE($D61,Milestones!$AA$163)&gt;=$Z61),$AC61,IF(AND($Y61&lt;&gt;"",EDATE($D61,Milestones!$AA$163)&gt;=$Y61),$AB61,$AA61)))=Milestones!$AB$163),UPPER(TEXT(EDATE($D61,Milestones!$AA$163),"dd mmm yy"))&amp;" "&amp;Milestones!$AB$163&amp;" "&amp;IF(AND(Milestones!$AB$163="FT",Milestones!$AA$163=FT_Y5,EDATE($D61,Milestones!$AA$163)&lt;PolicyEff),1,Milestones!$AC$163)&amp;";  ",""))</f>
        <v/>
      </c>
      <c r="U61" s="0" t="str">
        <f aca="false">IF(OR($A61="",$D61=""),"",IF(AND(EDATE($D61,Milestones!$AA$164)&lt;=AsOfDate,EDATE($D61,Milestones!$AA$164)&gt;=SchemeStart,IF($X61=0,$AD61,IF(AND($Z61&lt;&gt;"",EDATE($D61,Milestones!$AA$164)&gt;=$Z61),$AC61,IF(AND($Y61&lt;&gt;"",EDATE($D61,Milestones!$AA$164)&gt;=$Y61),$AB61,$AA61)))=Milestones!$AB$164),UPPER(TEXT(EDATE($D61,Milestones!$AA$164),"dd mmm yy"))&amp;" "&amp;Milestones!$AB$164&amp;" "&amp;IF(AND(Milestones!$AB$164="FT",Milestones!$AA$164=FT_Y5,EDATE($D61,Milestones!$AA$164)&lt;PolicyEff),1,Milestones!$AC$164)&amp;";  ","")&amp;IF(AND(EDATE($D61,Milestones!$AA$165)&lt;=AsOfDate,EDATE($D61,Milestones!$AA$165)&gt;=SchemeStart,IF($X61=0,$AD61,IF(AND($Z61&lt;&gt;"",EDATE($D61,Milestones!$AA$165)&gt;=$Z61),$AC61,IF(AND($Y61&lt;&gt;"",EDATE($D61,Milestones!$AA$165)&gt;=$Y61),$AB61,$AA61)))=Milestones!$AB$165),UPPER(TEXT(EDATE($D61,Milestones!$AA$165),"dd mmm yy"))&amp;" "&amp;Milestones!$AB$165&amp;" "&amp;IF(AND(Milestones!$AB$165="FT",Milestones!$AA$165=FT_Y5,EDATE($D61,Milestones!$AA$165)&lt;PolicyEff),1,Milestones!$AC$165)&amp;";  ","")&amp;IF(AND(EDATE($D61,Milestones!$AA$166)&lt;=AsOfDate,EDATE($D61,Milestones!$AA$166)&gt;=SchemeStart,IF($X61=0,$AD61,IF(AND($Z61&lt;&gt;"",EDATE($D61,Milestones!$AA$166)&gt;=$Z61),$AC61,IF(AND($Y61&lt;&gt;"",EDATE($D61,Milestones!$AA$166)&gt;=$Y61),$AB61,$AA61)))=Milestones!$AB$166),UPPER(TEXT(EDATE($D61,Milestones!$AA$166),"dd mmm yy"))&amp;" "&amp;Milestones!$AB$166&amp;" "&amp;IF(AND(Milestones!$AB$166="FT",Milestones!$AA$166=FT_Y5,EDATE($D61,Milestones!$AA$166)&lt;PolicyEff),1,Milestones!$AC$166)&amp;";  ","")&amp;IF(AND(EDATE($D61,Milestones!$AA$167)&lt;=AsOfDate,EDATE($D61,Milestones!$AA$167)&gt;=SchemeStart,IF($X61=0,$AD61,IF(AND($Z61&lt;&gt;"",EDATE($D61,Milestones!$AA$167)&gt;=$Z61),$AC61,IF(AND($Y61&lt;&gt;"",EDATE($D61,Milestones!$AA$167)&gt;=$Y61),$AB61,$AA61)))=Milestones!$AB$167),UPPER(TEXT(EDATE($D61,Milestones!$AA$167),"dd mmm yy"))&amp;" "&amp;Milestones!$AB$167&amp;" "&amp;IF(AND(Milestones!$AB$167="FT",Milestones!$AA$167=FT_Y5,EDATE($D61,Milestones!$AA$167)&lt;PolicyEff),1,Milestones!$AC$167)&amp;";  ","")&amp;IF(AND(EDATE($D61,Milestones!$AA$168)&lt;=AsOfDate,EDATE($D61,Milestones!$AA$168)&gt;=SchemeStart,IF($X61=0,$AD61,IF(AND($Z61&lt;&gt;"",EDATE($D61,Milestones!$AA$168)&gt;=$Z61),$AC61,IF(AND($Y61&lt;&gt;"",EDATE($D61,Milestones!$AA$168)&gt;=$Y61),$AB61,$AA61)))=Milestones!$AB$168),UPPER(TEXT(EDATE($D61,Milestones!$AA$168),"dd mmm yy"))&amp;" "&amp;Milestones!$AB$168&amp;" "&amp;IF(AND(Milestones!$AB$168="FT",Milestones!$AA$168=FT_Y5,EDATE($D61,Milestones!$AA$168)&lt;PolicyEff),1,Milestones!$AC$168)&amp;";  ","")&amp;IF(AND(EDATE($D61,Milestones!$AA$169)&lt;=AsOfDate,EDATE($D61,Milestones!$AA$169)&gt;=SchemeStart,IF($X61=0,$AD61,IF(AND($Z61&lt;&gt;"",EDATE($D61,Milestones!$AA$169)&gt;=$Z61),$AC61,IF(AND($Y61&lt;&gt;"",EDATE($D61,Milestones!$AA$169)&gt;=$Y61),$AB61,$AA61)))=Milestones!$AB$169),UPPER(TEXT(EDATE($D61,Milestones!$AA$169),"dd mmm yy"))&amp;" "&amp;Milestones!$AB$169&amp;" "&amp;IF(AND(Milestones!$AB$169="FT",Milestones!$AA$169=FT_Y5,EDATE($D61,Milestones!$AA$169)&lt;PolicyEff),1,Milestones!$AC$169)&amp;";  ","")&amp;IF(AND(EDATE($D61,Milestones!$AA$170)&lt;=AsOfDate,EDATE($D61,Milestones!$AA$170)&gt;=SchemeStart,IF($X61=0,$AD61,IF(AND($Z61&lt;&gt;"",EDATE($D61,Milestones!$AA$170)&gt;=$Z61),$AC61,IF(AND($Y61&lt;&gt;"",EDATE($D61,Milestones!$AA$170)&gt;=$Y61),$AB61,$AA61)))=Milestones!$AB$170),UPPER(TEXT(EDATE($D61,Milestones!$AA$170),"dd mmm yy"))&amp;" "&amp;Milestones!$AB$170&amp;" "&amp;IF(AND(Milestones!$AB$170="FT",Milestones!$AA$170=FT_Y5,EDATE($D61,Milestones!$AA$170)&lt;PolicyEff),1,Milestones!$AC$170)&amp;";  ","")&amp;IF(AND(EDATE($D61,Milestones!$AA$171)&lt;=AsOfDate,EDATE($D61,Milestones!$AA$171)&gt;=SchemeStart,IF($X61=0,$AD61,IF(AND($Z61&lt;&gt;"",EDATE($D61,Milestones!$AA$171)&gt;=$Z61),$AC61,IF(AND($Y61&lt;&gt;"",EDATE($D61,Milestones!$AA$171)&gt;=$Y61),$AB61,$AA61)))=Milestones!$AB$171),UPPER(TEXT(EDATE($D61,Milestones!$AA$171),"dd mmm yy"))&amp;" "&amp;Milestones!$AB$171&amp;" "&amp;IF(AND(Milestones!$AB$171="FT",Milestones!$AA$171=FT_Y5,EDATE($D61,Milestones!$AA$171)&lt;PolicyEff),1,Milestones!$AC$171)&amp;";  ","")&amp;IF(AND(EDATE($D61,Milestones!$AA$172)&lt;=AsOfDate,EDATE($D61,Milestones!$AA$172)&gt;=SchemeStart,IF($X61=0,$AD61,IF(AND($Z61&lt;&gt;"",EDATE($D61,Milestones!$AA$172)&gt;=$Z61),$AC61,IF(AND($Y61&lt;&gt;"",EDATE($D61,Milestones!$AA$172)&gt;=$Y61),$AB61,$AA61)))=Milestones!$AB$172),UPPER(TEXT(EDATE($D61,Milestones!$AA$172),"dd mmm yy"))&amp;" "&amp;Milestones!$AB$172&amp;" "&amp;IF(AND(Milestones!$AB$172="FT",Milestones!$AA$172=FT_Y5,EDATE($D61,Milestones!$AA$172)&lt;PolicyEff),1,Milestones!$AC$172)&amp;";  ","")&amp;IF(AND(EDATE($D61,Milestones!$AA$173)&lt;=AsOfDate,EDATE($D61,Milestones!$AA$173)&gt;=SchemeStart,IF($X61=0,$AD61,IF(AND($Z61&lt;&gt;"",EDATE($D61,Milestones!$AA$173)&gt;=$Z61),$AC61,IF(AND($Y61&lt;&gt;"",EDATE($D61,Milestones!$AA$173)&gt;=$Y61),$AB61,$AA61)))=Milestones!$AB$173),UPPER(TEXT(EDATE($D61,Milestones!$AA$173),"dd mmm yy"))&amp;" "&amp;Milestones!$AB$173&amp;" "&amp;IF(AND(Milestones!$AB$173="FT",Milestones!$AA$173=FT_Y5,EDATE($D61,Milestones!$AA$173)&lt;PolicyEff),1,Milestones!$AC$173)&amp;";  ","")&amp;IF(AND(EDATE($D61,Milestones!$AA$174)&lt;=AsOfDate,EDATE($D61,Milestones!$AA$174)&gt;=SchemeStart,IF($X61=0,$AD61,IF(AND($Z61&lt;&gt;"",EDATE($D61,Milestones!$AA$174)&gt;=$Z61),$AC61,IF(AND($Y61&lt;&gt;"",EDATE($D61,Milestones!$AA$174)&gt;=$Y61),$AB61,$AA61)))=Milestones!$AB$174),UPPER(TEXT(EDATE($D61,Milestones!$AA$174),"dd mmm yy"))&amp;" "&amp;Milestones!$AB$174&amp;" "&amp;IF(AND(Milestones!$AB$174="FT",Milestones!$AA$174=FT_Y5,EDATE($D61,Milestones!$AA$174)&lt;PolicyEff),1,Milestones!$AC$174)&amp;";  ","")&amp;IF(AND(EDATE($D61,Milestones!$AA$175)&lt;=AsOfDate,EDATE($D61,Milestones!$AA$175)&gt;=SchemeStart,IF($X61=0,$AD61,IF(AND($Z61&lt;&gt;"",EDATE($D61,Milestones!$AA$175)&gt;=$Z61),$AC61,IF(AND($Y61&lt;&gt;"",EDATE($D61,Milestones!$AA$175)&gt;=$Y61),$AB61,$AA61)))=Milestones!$AB$175),UPPER(TEXT(EDATE($D61,Milestones!$AA$175),"dd mmm yy"))&amp;" "&amp;Milestones!$AB$175&amp;" "&amp;IF(AND(Milestones!$AB$175="FT",Milestones!$AA$175=FT_Y5,EDATE($D61,Milestones!$AA$175)&lt;PolicyEff),1,Milestones!$AC$175)&amp;";  ",""))</f>
        <v/>
      </c>
      <c r="V61" s="0" t="str">
        <f aca="false">IF(OR($A61="",$D61=""),"",IF(AND(EDATE($D61,Milestones!$AA$176)&lt;=AsOfDate,EDATE($D61,Milestones!$AA$176)&gt;=SchemeStart,IF($X61=0,$AD61,IF(AND($Z61&lt;&gt;"",EDATE($D61,Milestones!$AA$176)&gt;=$Z61),$AC61,IF(AND($Y61&lt;&gt;"",EDATE($D61,Milestones!$AA$176)&gt;=$Y61),$AB61,$AA61)))=Milestones!$AB$176),UPPER(TEXT(EDATE($D61,Milestones!$AA$176),"dd mmm yy"))&amp;" "&amp;Milestones!$AB$176&amp;" "&amp;IF(AND(Milestones!$AB$176="FT",Milestones!$AA$176=FT_Y5,EDATE($D61,Milestones!$AA$176)&lt;PolicyEff),1,Milestones!$AC$176)&amp;";  ","")&amp;IF(AND(EDATE($D61,Milestones!$AA$177)&lt;=AsOfDate,EDATE($D61,Milestones!$AA$177)&gt;=SchemeStart,IF($X61=0,$AD61,IF(AND($Z61&lt;&gt;"",EDATE($D61,Milestones!$AA$177)&gt;=$Z61),$AC61,IF(AND($Y61&lt;&gt;"",EDATE($D61,Milestones!$AA$177)&gt;=$Y61),$AB61,$AA61)))=Milestones!$AB$177),UPPER(TEXT(EDATE($D61,Milestones!$AA$177),"dd mmm yy"))&amp;" "&amp;Milestones!$AB$177&amp;" "&amp;IF(AND(Milestones!$AB$177="FT",Milestones!$AA$177=FT_Y5,EDATE($D61,Milestones!$AA$177)&lt;PolicyEff),1,Milestones!$AC$177)&amp;";  ","")&amp;IF(AND(EDATE($D61,Milestones!$AA$178)&lt;=AsOfDate,EDATE($D61,Milestones!$AA$178)&gt;=SchemeStart,IF($X61=0,$AD61,IF(AND($Z61&lt;&gt;"",EDATE($D61,Milestones!$AA$178)&gt;=$Z61),$AC61,IF(AND($Y61&lt;&gt;"",EDATE($D61,Milestones!$AA$178)&gt;=$Y61),$AB61,$AA61)))=Milestones!$AB$178),UPPER(TEXT(EDATE($D61,Milestones!$AA$178),"dd mmm yy"))&amp;" "&amp;Milestones!$AB$178&amp;" "&amp;IF(AND(Milestones!$AB$178="FT",Milestones!$AA$178=FT_Y5,EDATE($D61,Milestones!$AA$178)&lt;PolicyEff),1,Milestones!$AC$178)&amp;";  ","")&amp;IF(AND(EDATE($D61,Milestones!$AA$179)&lt;=AsOfDate,EDATE($D61,Milestones!$AA$179)&gt;=SchemeStart,IF($X61=0,$AD61,IF(AND($Z61&lt;&gt;"",EDATE($D61,Milestones!$AA$179)&gt;=$Z61),$AC61,IF(AND($Y61&lt;&gt;"",EDATE($D61,Milestones!$AA$179)&gt;=$Y61),$AB61,$AA61)))=Milestones!$AB$179),UPPER(TEXT(EDATE($D61,Milestones!$AA$179),"dd mmm yy"))&amp;" "&amp;Milestones!$AB$179&amp;" "&amp;IF(AND(Milestones!$AB$179="FT",Milestones!$AA$179=FT_Y5,EDATE($D61,Milestones!$AA$179)&lt;PolicyEff),1,Milestones!$AC$179)&amp;";  ","")&amp;IF(AND(EDATE($D61,Milestones!$AA$180)&lt;=AsOfDate,EDATE($D61,Milestones!$AA$180)&gt;=SchemeStart,IF($X61=0,$AD61,IF(AND($Z61&lt;&gt;"",EDATE($D61,Milestones!$AA$180)&gt;=$Z61),$AC61,IF(AND($Y61&lt;&gt;"",EDATE($D61,Milestones!$AA$180)&gt;=$Y61),$AB61,$AA61)))=Milestones!$AB$180),UPPER(TEXT(EDATE($D61,Milestones!$AA$180),"dd mmm yy"))&amp;" "&amp;Milestones!$AB$180&amp;" "&amp;IF(AND(Milestones!$AB$180="FT",Milestones!$AA$180=FT_Y5,EDATE($D61,Milestones!$AA$180)&lt;PolicyEff),1,Milestones!$AC$180)&amp;";  ","")&amp;IF(AND(EDATE($D61,Milestones!$AA$181)&lt;=AsOfDate,EDATE($D61,Milestones!$AA$181)&gt;=SchemeStart,IF($X61=0,$AD61,IF(AND($Z61&lt;&gt;"",EDATE($D61,Milestones!$AA$181)&gt;=$Z61),$AC61,IF(AND($Y61&lt;&gt;"",EDATE($D61,Milestones!$AA$181)&gt;=$Y61),$AB61,$AA61)))=Milestones!$AB$181),UPPER(TEXT(EDATE($D61,Milestones!$AA$181),"dd mmm yy"))&amp;" "&amp;Milestones!$AB$181&amp;" "&amp;IF(AND(Milestones!$AB$181="FT",Milestones!$AA$181=FT_Y5,EDATE($D61,Milestones!$AA$181)&lt;PolicyEff),1,Milestones!$AC$181)&amp;";  ","")&amp;IF(AND(EDATE($D61,Milestones!$AA$182)&lt;=AsOfDate,EDATE($D61,Milestones!$AA$182)&gt;=SchemeStart,IF($X61=0,$AD61,IF(AND($Z61&lt;&gt;"",EDATE($D61,Milestones!$AA$182)&gt;=$Z61),$AC61,IF(AND($Y61&lt;&gt;"",EDATE($D61,Milestones!$AA$182)&gt;=$Y61),$AB61,$AA61)))=Milestones!$AB$182),UPPER(TEXT(EDATE($D61,Milestones!$AA$182),"dd mmm yy"))&amp;" "&amp;Milestones!$AB$182&amp;" "&amp;IF(AND(Milestones!$AB$182="FT",Milestones!$AA$182=FT_Y5,EDATE($D61,Milestones!$AA$182)&lt;PolicyEff),1,Milestones!$AC$182)&amp;";  ","")&amp;IF(AND(EDATE($D61,Milestones!$AA$183)&lt;=AsOfDate,EDATE($D61,Milestones!$AA$183)&gt;=SchemeStart,IF($X61=0,$AD61,IF(AND($Z61&lt;&gt;"",EDATE($D61,Milestones!$AA$183)&gt;=$Z61),$AC61,IF(AND($Y61&lt;&gt;"",EDATE($D61,Milestones!$AA$183)&gt;=$Y61),$AB61,$AA61)))=Milestones!$AB$183),UPPER(TEXT(EDATE($D61,Milestones!$AA$183),"dd mmm yy"))&amp;" "&amp;Milestones!$AB$183&amp;" "&amp;IF(AND(Milestones!$AB$183="FT",Milestones!$AA$183=FT_Y5,EDATE($D61,Milestones!$AA$183)&lt;PolicyEff),1,Milestones!$AC$183)&amp;";  ","")&amp;IF(AND(EDATE($D61,Milestones!$AA$184)&lt;=AsOfDate,EDATE($D61,Milestones!$AA$184)&gt;=SchemeStart,IF($X61=0,$AD61,IF(AND($Z61&lt;&gt;"",EDATE($D61,Milestones!$AA$184)&gt;=$Z61),$AC61,IF(AND($Y61&lt;&gt;"",EDATE($D61,Milestones!$AA$184)&gt;=$Y61),$AB61,$AA61)))=Milestones!$AB$184),UPPER(TEXT(EDATE($D61,Milestones!$AA$184),"dd mmm yy"))&amp;" "&amp;Milestones!$AB$184&amp;" "&amp;IF(AND(Milestones!$AB$184="FT",Milestones!$AA$184=FT_Y5,EDATE($D61,Milestones!$AA$184)&lt;PolicyEff),1,Milestones!$AC$184)&amp;";  ","")&amp;IF(AND(EDATE($D61,Milestones!$AA$185)&lt;=AsOfDate,EDATE($D61,Milestones!$AA$185)&gt;=SchemeStart,IF($X61=0,$AD61,IF(AND($Z61&lt;&gt;"",EDATE($D61,Milestones!$AA$185)&gt;=$Z61),$AC61,IF(AND($Y61&lt;&gt;"",EDATE($D61,Milestones!$AA$185)&gt;=$Y61),$AB61,$AA61)))=Milestones!$AB$185),UPPER(TEXT(EDATE($D61,Milestones!$AA$185),"dd mmm yy"))&amp;" "&amp;Milestones!$AB$185&amp;" "&amp;IF(AND(Milestones!$AB$185="FT",Milestones!$AA$185=FT_Y5,EDATE($D61,Milestones!$AA$185)&lt;PolicyEff),1,Milestones!$AC$185)&amp;";  ","")&amp;IF(AND(EDATE($D61,Milestones!$AA$186)&lt;=AsOfDate,EDATE($D61,Milestones!$AA$186)&gt;=SchemeStart,IF($X61=0,$AD61,IF(AND($Z61&lt;&gt;"",EDATE($D61,Milestones!$AA$186)&gt;=$Z61),$AC61,IF(AND($Y61&lt;&gt;"",EDATE($D61,Milestones!$AA$186)&gt;=$Y61),$AB61,$AA61)))=Milestones!$AB$186),UPPER(TEXT(EDATE($D61,Milestones!$AA$186),"dd mmm yy"))&amp;" "&amp;Milestones!$AB$186&amp;" "&amp;IF(AND(Milestones!$AB$186="FT",Milestones!$AA$186=FT_Y5,EDATE($D61,Milestones!$AA$186)&lt;PolicyEff),1,Milestones!$AC$186)&amp;";  ","")&amp;IF(AND(EDATE($D61,Milestones!$AA$187)&lt;=AsOfDate,EDATE($D61,Milestones!$AA$187)&gt;=SchemeStart,IF($X61=0,$AD61,IF(AND($Z61&lt;&gt;"",EDATE($D61,Milestones!$AA$187)&gt;=$Z61),$AC61,IF(AND($Y61&lt;&gt;"",EDATE($D61,Milestones!$AA$187)&gt;=$Y61),$AB61,$AA61)))=Milestones!$AB$187),UPPER(TEXT(EDATE($D61,Milestones!$AA$187),"dd mmm yy"))&amp;" "&amp;Milestones!$AB$187&amp;" "&amp;IF(AND(Milestones!$AB$187="FT",Milestones!$AA$187=FT_Y5,EDATE($D61,Milestones!$AA$187)&lt;PolicyEff),1,Milestones!$AC$187)&amp;";  ",""))</f>
        <v/>
      </c>
      <c r="W61" s="0" t="str">
        <f aca="false">IF(OR($A61="",$D61=""),"",IF(AND(EDATE($D61,Milestones!$AA$188)&lt;=AsOfDate,EDATE($D61,Milestones!$AA$188)&gt;=SchemeStart,IF($X61=0,$AD61,IF(AND($Z61&lt;&gt;"",EDATE($D61,Milestones!$AA$188)&gt;=$Z61),$AC61,IF(AND($Y61&lt;&gt;"",EDATE($D61,Milestones!$AA$188)&gt;=$Y61),$AB61,$AA61)))=Milestones!$AB$188),UPPER(TEXT(EDATE($D61,Milestones!$AA$188),"dd mmm yy"))&amp;" "&amp;Milestones!$AB$188&amp;" "&amp;IF(AND(Milestones!$AB$188="FT",Milestones!$AA$188=FT_Y5,EDATE($D61,Milestones!$AA$188)&lt;PolicyEff),1,Milestones!$AC$188)&amp;";  ","")&amp;IF(AND(EDATE($D61,Milestones!$AA$189)&lt;=AsOfDate,EDATE($D61,Milestones!$AA$189)&gt;=SchemeStart,IF($X61=0,$AD61,IF(AND($Z61&lt;&gt;"",EDATE($D61,Milestones!$AA$189)&gt;=$Z61),$AC61,IF(AND($Y61&lt;&gt;"",EDATE($D61,Milestones!$AA$189)&gt;=$Y61),$AB61,$AA61)))=Milestones!$AB$189),UPPER(TEXT(EDATE($D61,Milestones!$AA$189),"dd mmm yy"))&amp;" "&amp;Milestones!$AB$189&amp;" "&amp;IF(AND(Milestones!$AB$189="FT",Milestones!$AA$189=FT_Y5,EDATE($D61,Milestones!$AA$189)&lt;PolicyEff),1,Milestones!$AC$189)&amp;";  ","")&amp;IF(AND(EDATE($D61,Milestones!$AA$190)&lt;=AsOfDate,EDATE($D61,Milestones!$AA$190)&gt;=SchemeStart,IF($X61=0,$AD61,IF(AND($Z61&lt;&gt;"",EDATE($D61,Milestones!$AA$190)&gt;=$Z61),$AC61,IF(AND($Y61&lt;&gt;"",EDATE($D61,Milestones!$AA$190)&gt;=$Y61),$AB61,$AA61)))=Milestones!$AB$190),UPPER(TEXT(EDATE($D61,Milestones!$AA$190),"dd mmm yy"))&amp;" "&amp;Milestones!$AB$190&amp;" "&amp;IF(AND(Milestones!$AB$190="FT",Milestones!$AA$190=FT_Y5,EDATE($D61,Milestones!$AA$190)&lt;PolicyEff),1,Milestones!$AC$190)&amp;";  ","")&amp;IF(AND(EDATE($D61,Milestones!$AA$191)&lt;=AsOfDate,EDATE($D61,Milestones!$AA$191)&gt;=SchemeStart,IF($X61=0,$AD61,IF(AND($Z61&lt;&gt;"",EDATE($D61,Milestones!$AA$191)&gt;=$Z61),$AC61,IF(AND($Y61&lt;&gt;"",EDATE($D61,Milestones!$AA$191)&gt;=$Y61),$AB61,$AA61)))=Milestones!$AB$191),UPPER(TEXT(EDATE($D61,Milestones!$AA$191),"dd mmm yy"))&amp;" "&amp;Milestones!$AB$191&amp;" "&amp;IF(AND(Milestones!$AB$191="FT",Milestones!$AA$191=FT_Y5,EDATE($D61,Milestones!$AA$191)&lt;PolicyEff),1,Milestones!$AC$191)&amp;";  ","")&amp;IF(AND(EDATE($D61,Milestones!$AA$192)&lt;=AsOfDate,EDATE($D61,Milestones!$AA$192)&gt;=SchemeStart,IF($X61=0,$AD61,IF(AND($Z61&lt;&gt;"",EDATE($D61,Milestones!$AA$192)&gt;=$Z61),$AC61,IF(AND($Y61&lt;&gt;"",EDATE($D61,Milestones!$AA$192)&gt;=$Y61),$AB61,$AA61)))=Milestones!$AB$192),UPPER(TEXT(EDATE($D61,Milestones!$AA$192),"dd mmm yy"))&amp;" "&amp;Milestones!$AB$192&amp;" "&amp;IF(AND(Milestones!$AB$192="FT",Milestones!$AA$192=FT_Y5,EDATE($D61,Milestones!$AA$192)&lt;PolicyEff),1,Milestones!$AC$192)&amp;";  ","")&amp;IF(AND(EDATE($D61,Milestones!$AA$193)&lt;=AsOfDate,EDATE($D61,Milestones!$AA$193)&gt;=SchemeStart,IF($X61=0,$AD61,IF(AND($Z61&lt;&gt;"",EDATE($D61,Milestones!$AA$193)&gt;=$Z61),$AC61,IF(AND($Y61&lt;&gt;"",EDATE($D61,Milestones!$AA$193)&gt;=$Y61),$AB61,$AA61)))=Milestones!$AB$193),UPPER(TEXT(EDATE($D61,Milestones!$AA$193),"dd mmm yy"))&amp;" "&amp;Milestones!$AB$193&amp;" "&amp;IF(AND(Milestones!$AB$193="FT",Milestones!$AA$193=FT_Y5,EDATE($D61,Milestones!$AA$193)&lt;PolicyEff),1,Milestones!$AC$193)&amp;";  ","")&amp;IF(AND(EDATE($D61,Milestones!$AA$194)&lt;=AsOfDate,EDATE($D61,Milestones!$AA$194)&gt;=SchemeStart,IF($X61=0,$AD61,IF(AND($Z61&lt;&gt;"",EDATE($D61,Milestones!$AA$194)&gt;=$Z61),$AC61,IF(AND($Y61&lt;&gt;"",EDATE($D61,Milestones!$AA$194)&gt;=$Y61),$AB61,$AA61)))=Milestones!$AB$194),UPPER(TEXT(EDATE($D61,Milestones!$AA$194),"dd mmm yy"))&amp;" "&amp;Milestones!$AB$194&amp;" "&amp;IF(AND(Milestones!$AB$194="FT",Milestones!$AA$194=FT_Y5,EDATE($D61,Milestones!$AA$194)&lt;PolicyEff),1,Milestones!$AC$194)&amp;";  ","")&amp;IF(AND(EDATE($D61,Milestones!$AA$195)&lt;=AsOfDate,EDATE($D61,Milestones!$AA$195)&gt;=SchemeStart,IF($X61=0,$AD61,IF(AND($Z61&lt;&gt;"",EDATE($D61,Milestones!$AA$195)&gt;=$Z61),$AC61,IF(AND($Y61&lt;&gt;"",EDATE($D61,Milestones!$AA$195)&gt;=$Y61),$AB61,$AA61)))=Milestones!$AB$195),UPPER(TEXT(EDATE($D61,Milestones!$AA$195),"dd mmm yy"))&amp;" "&amp;Milestones!$AB$195&amp;" "&amp;IF(AND(Milestones!$AB$195="FT",Milestones!$AA$195=FT_Y5,EDATE($D61,Milestones!$AA$195)&lt;PolicyEff),1,Milestones!$AC$195)&amp;";  ","")&amp;IF(AND(EDATE($D61,Milestones!$AA$196)&lt;=AsOfDate,EDATE($D61,Milestones!$AA$196)&gt;=SchemeStart,IF($X61=0,$AD61,IF(AND($Z61&lt;&gt;"",EDATE($D61,Milestones!$AA$196)&gt;=$Z61),$AC61,IF(AND($Y61&lt;&gt;"",EDATE($D61,Milestones!$AA$196)&gt;=$Y61),$AB61,$AA61)))=Milestones!$AB$196),UPPER(TEXT(EDATE($D61,Milestones!$AA$196),"dd mmm yy"))&amp;" "&amp;Milestones!$AB$196&amp;" "&amp;IF(AND(Milestones!$AB$196="FT",Milestones!$AA$196=FT_Y5,EDATE($D61,Milestones!$AA$196)&lt;PolicyEff),1,Milestones!$AC$196)&amp;";  ","")&amp;IF(AND(EDATE($D61,Milestones!$AA$197)&lt;=AsOfDate,EDATE($D61,Milestones!$AA$197)&gt;=SchemeStart,IF($X61=0,$AD61,IF(AND($Z61&lt;&gt;"",EDATE($D61,Milestones!$AA$197)&gt;=$Z61),$AC61,IF(AND($Y61&lt;&gt;"",EDATE($D61,Milestones!$AA$197)&gt;=$Y61),$AB61,$AA61)))=Milestones!$AB$197),UPPER(TEXT(EDATE($D61,Milestones!$AA$197),"dd mmm yy"))&amp;" "&amp;Milestones!$AB$197&amp;" "&amp;IF(AND(Milestones!$AB$197="FT",Milestones!$AA$197=FT_Y5,EDATE($D61,Milestones!$AA$197)&lt;PolicyEff),1,Milestones!$AC$197)&amp;";  ","")&amp;IF(AND(EDATE($D61,Milestones!$AA$198)&lt;=AsOfDate,EDATE($D61,Milestones!$AA$198)&gt;=SchemeStart,IF($X61=0,$AD61,IF(AND($Z61&lt;&gt;"",EDATE($D61,Milestones!$AA$198)&gt;=$Z61),$AC61,IF(AND($Y61&lt;&gt;"",EDATE($D61,Milestones!$AA$198)&gt;=$Y61),$AB61,$AA61)))=Milestones!$AB$198),UPPER(TEXT(EDATE($D61,Milestones!$AA$198),"dd mmm yy"))&amp;" "&amp;Milestones!$AB$198&amp;" "&amp;IF(AND(Milestones!$AB$198="FT",Milestones!$AA$198=FT_Y5,EDATE($D61,Milestones!$AA$198)&lt;PolicyEff),1,Milestones!$AC$198)&amp;";  ","")&amp;IF(AND(EDATE($D61,Milestones!$AA$199)&lt;=AsOfDate,EDATE($D61,Milestones!$AA$199)&gt;=SchemeStart,IF($X61=0,$AD61,IF(AND($Z61&lt;&gt;"",EDATE($D61,Milestones!$AA$199)&gt;=$Z61),$AC61,IF(AND($Y61&lt;&gt;"",EDATE($D61,Milestones!$AA$199)&gt;=$Y61),$AB61,$AA61)))=Milestones!$AB$199),UPPER(TEXT(EDATE($D61,Milestones!$AA$199),"dd mmm yy"))&amp;" "&amp;Milestones!$AB$199&amp;" "&amp;IF(AND(Milestones!$AB$199="FT",Milestones!$AA$199=FT_Y5,EDATE($D61,Milestones!$AA$199)&lt;PolicyEff),1,Milestones!$AC$199)&amp;";  ",""))</f>
        <v/>
      </c>
      <c r="X61" s="0" t="str">
        <f aca="false">IF(Staff!$A61="","",Staff!$AM61)</f>
        <v/>
      </c>
      <c r="Y61" s="0" t="str">
        <f aca="false">IF(Staff!$A61="","",Staff!$AO61)</f>
        <v/>
      </c>
      <c r="Z61" s="0" t="str">
        <f aca="false">IF(Staff!$A61="","",Staff!$AP61)</f>
        <v/>
      </c>
      <c r="AA61" s="0" t="str">
        <f aca="false">IF(Staff!$A61="","",Staff!$AT61)</f>
        <v/>
      </c>
      <c r="AB61" s="0" t="str">
        <f aca="false">IF(Staff!$A61="","",Staff!$AU61)</f>
        <v/>
      </c>
      <c r="AC61" s="0" t="str">
        <f aca="false">IF(Staff!$A61="","",Staff!$AV61)</f>
        <v/>
      </c>
      <c r="AD61" s="0" t="str">
        <f aca="false">IF(Staff!$A61="","",Staff!$AW61)</f>
        <v/>
      </c>
    </row>
    <row r="62" customFormat="false" ht="15" hidden="false" customHeight="false" outlineLevel="0" collapsed="false">
      <c r="A62" s="16" t="str">
        <f aca="false">IF(Staff!$A62="","",Staff!$A62)</f>
        <v/>
      </c>
      <c r="B62" s="16" t="str">
        <f aca="false">IF(Staff!$A62="","",Staff!$B62)</f>
        <v/>
      </c>
      <c r="C62" s="16" t="str">
        <f aca="false">IF(Staff!$A62="","",Staff!$C62)</f>
        <v/>
      </c>
      <c r="D62" s="14" t="str">
        <f aca="false">IF(Staff!$A62="","",Staff!$AL62)</f>
        <v/>
      </c>
      <c r="E62" s="16" t="str">
        <f aca="false">IF(Staff!$A62="","",Staff!$O62)</f>
        <v/>
      </c>
      <c r="F62" s="16" t="str">
        <f aca="false">IF(E62="","",E62*HoursPerDay)</f>
        <v/>
      </c>
      <c r="G62" s="16" t="str">
        <f aca="false">IF(Staff!$A62="","",Staff!$AE62)</f>
        <v/>
      </c>
      <c r="H62" s="28" t="str">
        <f aca="false">IF($A62="","",I62&amp;J62&amp;K62&amp;L62&amp;M62&amp;N62&amp;O62&amp;P62&amp;Q62&amp;R62&amp;S62&amp;T62&amp;U62&amp;V62&amp;W62)</f>
        <v/>
      </c>
      <c r="I62" s="0" t="str">
        <f aca="false">IF(OR($A62="",$D62=""),"",IF(AND(EDATE($D62,Milestones!$AA$20)&lt;=AsOfDate,EDATE($D62,Milestones!$AA$20)&gt;=SchemeStart,IF($X62=0,$AD62,IF(AND($Z62&lt;&gt;"",EDATE($D62,Milestones!$AA$20)&gt;=$Z62),$AC62,IF(AND($Y62&lt;&gt;"",EDATE($D62,Milestones!$AA$20)&gt;=$Y62),$AB62,$AA62)))=Milestones!$AB$20),UPPER(TEXT(EDATE($D62,Milestones!$AA$20),"dd mmm yy"))&amp;" "&amp;Milestones!$AB$20&amp;" "&amp;IF(AND(Milestones!$AB$20="FT",Milestones!$AA$20=FT_Y5,EDATE($D62,Milestones!$AA$20)&lt;PolicyEff),1,Milestones!$AC$20)&amp;";  ","")&amp;IF(AND(EDATE($D62,Milestones!$AA$21)&lt;=AsOfDate,EDATE($D62,Milestones!$AA$21)&gt;=SchemeStart,IF($X62=0,$AD62,IF(AND($Z62&lt;&gt;"",EDATE($D62,Milestones!$AA$21)&gt;=$Z62),$AC62,IF(AND($Y62&lt;&gt;"",EDATE($D62,Milestones!$AA$21)&gt;=$Y62),$AB62,$AA62)))=Milestones!$AB$21),UPPER(TEXT(EDATE($D62,Milestones!$AA$21),"dd mmm yy"))&amp;" "&amp;Milestones!$AB$21&amp;" "&amp;IF(AND(Milestones!$AB$21="FT",Milestones!$AA$21=FT_Y5,EDATE($D62,Milestones!$AA$21)&lt;PolicyEff),1,Milestones!$AC$21)&amp;";  ","")&amp;IF(AND(EDATE($D62,Milestones!$AA$22)&lt;=AsOfDate,EDATE($D62,Milestones!$AA$22)&gt;=SchemeStart,IF($X62=0,$AD62,IF(AND($Z62&lt;&gt;"",EDATE($D62,Milestones!$AA$22)&gt;=$Z62),$AC62,IF(AND($Y62&lt;&gt;"",EDATE($D62,Milestones!$AA$22)&gt;=$Y62),$AB62,$AA62)))=Milestones!$AB$22),UPPER(TEXT(EDATE($D62,Milestones!$AA$22),"dd mmm yy"))&amp;" "&amp;Milestones!$AB$22&amp;" "&amp;IF(AND(Milestones!$AB$22="FT",Milestones!$AA$22=FT_Y5,EDATE($D62,Milestones!$AA$22)&lt;PolicyEff),1,Milestones!$AC$22)&amp;";  ","")&amp;IF(AND(EDATE($D62,Milestones!$AA$23)&lt;=AsOfDate,EDATE($D62,Milestones!$AA$23)&gt;=SchemeStart,IF($X62=0,$AD62,IF(AND($Z62&lt;&gt;"",EDATE($D62,Milestones!$AA$23)&gt;=$Z62),$AC62,IF(AND($Y62&lt;&gt;"",EDATE($D62,Milestones!$AA$23)&gt;=$Y62),$AB62,$AA62)))=Milestones!$AB$23),UPPER(TEXT(EDATE($D62,Milestones!$AA$23),"dd mmm yy"))&amp;" "&amp;Milestones!$AB$23&amp;" "&amp;IF(AND(Milestones!$AB$23="FT",Milestones!$AA$23=FT_Y5,EDATE($D62,Milestones!$AA$23)&lt;PolicyEff),1,Milestones!$AC$23)&amp;";  ","")&amp;IF(AND(EDATE($D62,Milestones!$AA$24)&lt;=AsOfDate,EDATE($D62,Milestones!$AA$24)&gt;=SchemeStart,IF($X62=0,$AD62,IF(AND($Z62&lt;&gt;"",EDATE($D62,Milestones!$AA$24)&gt;=$Z62),$AC62,IF(AND($Y62&lt;&gt;"",EDATE($D62,Milestones!$AA$24)&gt;=$Y62),$AB62,$AA62)))=Milestones!$AB$24),UPPER(TEXT(EDATE($D62,Milestones!$AA$24),"dd mmm yy"))&amp;" "&amp;Milestones!$AB$24&amp;" "&amp;IF(AND(Milestones!$AB$24="FT",Milestones!$AA$24=FT_Y5,EDATE($D62,Milestones!$AA$24)&lt;PolicyEff),1,Milestones!$AC$24)&amp;";  ","")&amp;IF(AND(EDATE($D62,Milestones!$AA$25)&lt;=AsOfDate,EDATE($D62,Milestones!$AA$25)&gt;=SchemeStart,IF($X62=0,$AD62,IF(AND($Z62&lt;&gt;"",EDATE($D62,Milestones!$AA$25)&gt;=$Z62),$AC62,IF(AND($Y62&lt;&gt;"",EDATE($D62,Milestones!$AA$25)&gt;=$Y62),$AB62,$AA62)))=Milestones!$AB$25),UPPER(TEXT(EDATE($D62,Milestones!$AA$25),"dd mmm yy"))&amp;" "&amp;Milestones!$AB$25&amp;" "&amp;IF(AND(Milestones!$AB$25="FT",Milestones!$AA$25=FT_Y5,EDATE($D62,Milestones!$AA$25)&lt;PolicyEff),1,Milestones!$AC$25)&amp;";  ","")&amp;IF(AND(EDATE($D62,Milestones!$AA$26)&lt;=AsOfDate,EDATE($D62,Milestones!$AA$26)&gt;=SchemeStart,IF($X62=0,$AD62,IF(AND($Z62&lt;&gt;"",EDATE($D62,Milestones!$AA$26)&gt;=$Z62),$AC62,IF(AND($Y62&lt;&gt;"",EDATE($D62,Milestones!$AA$26)&gt;=$Y62),$AB62,$AA62)))=Milestones!$AB$26),UPPER(TEXT(EDATE($D62,Milestones!$AA$26),"dd mmm yy"))&amp;" "&amp;Milestones!$AB$26&amp;" "&amp;IF(AND(Milestones!$AB$26="FT",Milestones!$AA$26=FT_Y5,EDATE($D62,Milestones!$AA$26)&lt;PolicyEff),1,Milestones!$AC$26)&amp;";  ","")&amp;IF(AND(EDATE($D62,Milestones!$AA$27)&lt;=AsOfDate,EDATE($D62,Milestones!$AA$27)&gt;=SchemeStart,IF($X62=0,$AD62,IF(AND($Z62&lt;&gt;"",EDATE($D62,Milestones!$AA$27)&gt;=$Z62),$AC62,IF(AND($Y62&lt;&gt;"",EDATE($D62,Milestones!$AA$27)&gt;=$Y62),$AB62,$AA62)))=Milestones!$AB$27),UPPER(TEXT(EDATE($D62,Milestones!$AA$27),"dd mmm yy"))&amp;" "&amp;Milestones!$AB$27&amp;" "&amp;IF(AND(Milestones!$AB$27="FT",Milestones!$AA$27=FT_Y5,EDATE($D62,Milestones!$AA$27)&lt;PolicyEff),1,Milestones!$AC$27)&amp;";  ","")&amp;IF(AND(EDATE($D62,Milestones!$AA$28)&lt;=AsOfDate,EDATE($D62,Milestones!$AA$28)&gt;=SchemeStart,IF($X62=0,$AD62,IF(AND($Z62&lt;&gt;"",EDATE($D62,Milestones!$AA$28)&gt;=$Z62),$AC62,IF(AND($Y62&lt;&gt;"",EDATE($D62,Milestones!$AA$28)&gt;=$Y62),$AB62,$AA62)))=Milestones!$AB$28),UPPER(TEXT(EDATE($D62,Milestones!$AA$28),"dd mmm yy"))&amp;" "&amp;Milestones!$AB$28&amp;" "&amp;IF(AND(Milestones!$AB$28="FT",Milestones!$AA$28=FT_Y5,EDATE($D62,Milestones!$AA$28)&lt;PolicyEff),1,Milestones!$AC$28)&amp;";  ","")&amp;IF(AND(EDATE($D62,Milestones!$AA$29)&lt;=AsOfDate,EDATE($D62,Milestones!$AA$29)&gt;=SchemeStart,IF($X62=0,$AD62,IF(AND($Z62&lt;&gt;"",EDATE($D62,Milestones!$AA$29)&gt;=$Z62),$AC62,IF(AND($Y62&lt;&gt;"",EDATE($D62,Milestones!$AA$29)&gt;=$Y62),$AB62,$AA62)))=Milestones!$AB$29),UPPER(TEXT(EDATE($D62,Milestones!$AA$29),"dd mmm yy"))&amp;" "&amp;Milestones!$AB$29&amp;" "&amp;IF(AND(Milestones!$AB$29="FT",Milestones!$AA$29=FT_Y5,EDATE($D62,Milestones!$AA$29)&lt;PolicyEff),1,Milestones!$AC$29)&amp;";  ","")&amp;IF(AND(EDATE($D62,Milestones!$AA$30)&lt;=AsOfDate,EDATE($D62,Milestones!$AA$30)&gt;=SchemeStart,IF($X62=0,$AD62,IF(AND($Z62&lt;&gt;"",EDATE($D62,Milestones!$AA$30)&gt;=$Z62),$AC62,IF(AND($Y62&lt;&gt;"",EDATE($D62,Milestones!$AA$30)&gt;=$Y62),$AB62,$AA62)))=Milestones!$AB$30),UPPER(TEXT(EDATE($D62,Milestones!$AA$30),"dd mmm yy"))&amp;" "&amp;Milestones!$AB$30&amp;" "&amp;IF(AND(Milestones!$AB$30="FT",Milestones!$AA$30=FT_Y5,EDATE($D62,Milestones!$AA$30)&lt;PolicyEff),1,Milestones!$AC$30)&amp;";  ","")&amp;IF(AND(EDATE($D62,Milestones!$AA$31)&lt;=AsOfDate,EDATE($D62,Milestones!$AA$31)&gt;=SchemeStart,IF($X62=0,$AD62,IF(AND($Z62&lt;&gt;"",EDATE($D62,Milestones!$AA$31)&gt;=$Z62),$AC62,IF(AND($Y62&lt;&gt;"",EDATE($D62,Milestones!$AA$31)&gt;=$Y62),$AB62,$AA62)))=Milestones!$AB$31),UPPER(TEXT(EDATE($D62,Milestones!$AA$31),"dd mmm yy"))&amp;" "&amp;Milestones!$AB$31&amp;" "&amp;IF(AND(Milestones!$AB$31="FT",Milestones!$AA$31=FT_Y5,EDATE($D62,Milestones!$AA$31)&lt;PolicyEff),1,Milestones!$AC$31)&amp;";  ",""))</f>
        <v/>
      </c>
      <c r="J62" s="0" t="str">
        <f aca="false">IF(OR($A62="",$D62=""),"",IF(AND(EDATE($D62,Milestones!$AA$32)&lt;=AsOfDate,EDATE($D62,Milestones!$AA$32)&gt;=SchemeStart,IF($X62=0,$AD62,IF(AND($Z62&lt;&gt;"",EDATE($D62,Milestones!$AA$32)&gt;=$Z62),$AC62,IF(AND($Y62&lt;&gt;"",EDATE($D62,Milestones!$AA$32)&gt;=$Y62),$AB62,$AA62)))=Milestones!$AB$32),UPPER(TEXT(EDATE($D62,Milestones!$AA$32),"dd mmm yy"))&amp;" "&amp;Milestones!$AB$32&amp;" "&amp;IF(AND(Milestones!$AB$32="FT",Milestones!$AA$32=FT_Y5,EDATE($D62,Milestones!$AA$32)&lt;PolicyEff),1,Milestones!$AC$32)&amp;";  ","")&amp;IF(AND(EDATE($D62,Milestones!$AA$33)&lt;=AsOfDate,EDATE($D62,Milestones!$AA$33)&gt;=SchemeStart,IF($X62=0,$AD62,IF(AND($Z62&lt;&gt;"",EDATE($D62,Milestones!$AA$33)&gt;=$Z62),$AC62,IF(AND($Y62&lt;&gt;"",EDATE($D62,Milestones!$AA$33)&gt;=$Y62),$AB62,$AA62)))=Milestones!$AB$33),UPPER(TEXT(EDATE($D62,Milestones!$AA$33),"dd mmm yy"))&amp;" "&amp;Milestones!$AB$33&amp;" "&amp;IF(AND(Milestones!$AB$33="FT",Milestones!$AA$33=FT_Y5,EDATE($D62,Milestones!$AA$33)&lt;PolicyEff),1,Milestones!$AC$33)&amp;";  ","")&amp;IF(AND(EDATE($D62,Milestones!$AA$34)&lt;=AsOfDate,EDATE($D62,Milestones!$AA$34)&gt;=SchemeStart,IF($X62=0,$AD62,IF(AND($Z62&lt;&gt;"",EDATE($D62,Milestones!$AA$34)&gt;=$Z62),$AC62,IF(AND($Y62&lt;&gt;"",EDATE($D62,Milestones!$AA$34)&gt;=$Y62),$AB62,$AA62)))=Milestones!$AB$34),UPPER(TEXT(EDATE($D62,Milestones!$AA$34),"dd mmm yy"))&amp;" "&amp;Milestones!$AB$34&amp;" "&amp;IF(AND(Milestones!$AB$34="FT",Milestones!$AA$34=FT_Y5,EDATE($D62,Milestones!$AA$34)&lt;PolicyEff),1,Milestones!$AC$34)&amp;";  ","")&amp;IF(AND(EDATE($D62,Milestones!$AA$35)&lt;=AsOfDate,EDATE($D62,Milestones!$AA$35)&gt;=SchemeStart,IF($X62=0,$AD62,IF(AND($Z62&lt;&gt;"",EDATE($D62,Milestones!$AA$35)&gt;=$Z62),$AC62,IF(AND($Y62&lt;&gt;"",EDATE($D62,Milestones!$AA$35)&gt;=$Y62),$AB62,$AA62)))=Milestones!$AB$35),UPPER(TEXT(EDATE($D62,Milestones!$AA$35),"dd mmm yy"))&amp;" "&amp;Milestones!$AB$35&amp;" "&amp;IF(AND(Milestones!$AB$35="FT",Milestones!$AA$35=FT_Y5,EDATE($D62,Milestones!$AA$35)&lt;PolicyEff),1,Milestones!$AC$35)&amp;";  ","")&amp;IF(AND(EDATE($D62,Milestones!$AA$36)&lt;=AsOfDate,EDATE($D62,Milestones!$AA$36)&gt;=SchemeStart,IF($X62=0,$AD62,IF(AND($Z62&lt;&gt;"",EDATE($D62,Milestones!$AA$36)&gt;=$Z62),$AC62,IF(AND($Y62&lt;&gt;"",EDATE($D62,Milestones!$AA$36)&gt;=$Y62),$AB62,$AA62)))=Milestones!$AB$36),UPPER(TEXT(EDATE($D62,Milestones!$AA$36),"dd mmm yy"))&amp;" "&amp;Milestones!$AB$36&amp;" "&amp;IF(AND(Milestones!$AB$36="FT",Milestones!$AA$36=FT_Y5,EDATE($D62,Milestones!$AA$36)&lt;PolicyEff),1,Milestones!$AC$36)&amp;";  ","")&amp;IF(AND(EDATE($D62,Milestones!$AA$37)&lt;=AsOfDate,EDATE($D62,Milestones!$AA$37)&gt;=SchemeStart,IF($X62=0,$AD62,IF(AND($Z62&lt;&gt;"",EDATE($D62,Milestones!$AA$37)&gt;=$Z62),$AC62,IF(AND($Y62&lt;&gt;"",EDATE($D62,Milestones!$AA$37)&gt;=$Y62),$AB62,$AA62)))=Milestones!$AB$37),UPPER(TEXT(EDATE($D62,Milestones!$AA$37),"dd mmm yy"))&amp;" "&amp;Milestones!$AB$37&amp;" "&amp;IF(AND(Milestones!$AB$37="FT",Milestones!$AA$37=FT_Y5,EDATE($D62,Milestones!$AA$37)&lt;PolicyEff),1,Milestones!$AC$37)&amp;";  ","")&amp;IF(AND(EDATE($D62,Milestones!$AA$38)&lt;=AsOfDate,EDATE($D62,Milestones!$AA$38)&gt;=SchemeStart,IF($X62=0,$AD62,IF(AND($Z62&lt;&gt;"",EDATE($D62,Milestones!$AA$38)&gt;=$Z62),$AC62,IF(AND($Y62&lt;&gt;"",EDATE($D62,Milestones!$AA$38)&gt;=$Y62),$AB62,$AA62)))=Milestones!$AB$38),UPPER(TEXT(EDATE($D62,Milestones!$AA$38),"dd mmm yy"))&amp;" "&amp;Milestones!$AB$38&amp;" "&amp;IF(AND(Milestones!$AB$38="FT",Milestones!$AA$38=FT_Y5,EDATE($D62,Milestones!$AA$38)&lt;PolicyEff),1,Milestones!$AC$38)&amp;";  ","")&amp;IF(AND(EDATE($D62,Milestones!$AA$39)&lt;=AsOfDate,EDATE($D62,Milestones!$AA$39)&gt;=SchemeStart,IF($X62=0,$AD62,IF(AND($Z62&lt;&gt;"",EDATE($D62,Milestones!$AA$39)&gt;=$Z62),$AC62,IF(AND($Y62&lt;&gt;"",EDATE($D62,Milestones!$AA$39)&gt;=$Y62),$AB62,$AA62)))=Milestones!$AB$39),UPPER(TEXT(EDATE($D62,Milestones!$AA$39),"dd mmm yy"))&amp;" "&amp;Milestones!$AB$39&amp;" "&amp;IF(AND(Milestones!$AB$39="FT",Milestones!$AA$39=FT_Y5,EDATE($D62,Milestones!$AA$39)&lt;PolicyEff),1,Milestones!$AC$39)&amp;";  ","")&amp;IF(AND(EDATE($D62,Milestones!$AA$40)&lt;=AsOfDate,EDATE($D62,Milestones!$AA$40)&gt;=SchemeStart,IF($X62=0,$AD62,IF(AND($Z62&lt;&gt;"",EDATE($D62,Milestones!$AA$40)&gt;=$Z62),$AC62,IF(AND($Y62&lt;&gt;"",EDATE($D62,Milestones!$AA$40)&gt;=$Y62),$AB62,$AA62)))=Milestones!$AB$40),UPPER(TEXT(EDATE($D62,Milestones!$AA$40),"dd mmm yy"))&amp;" "&amp;Milestones!$AB$40&amp;" "&amp;IF(AND(Milestones!$AB$40="FT",Milestones!$AA$40=FT_Y5,EDATE($D62,Milestones!$AA$40)&lt;PolicyEff),1,Milestones!$AC$40)&amp;";  ","")&amp;IF(AND(EDATE($D62,Milestones!$AA$41)&lt;=AsOfDate,EDATE($D62,Milestones!$AA$41)&gt;=SchemeStart,IF($X62=0,$AD62,IF(AND($Z62&lt;&gt;"",EDATE($D62,Milestones!$AA$41)&gt;=$Z62),$AC62,IF(AND($Y62&lt;&gt;"",EDATE($D62,Milestones!$AA$41)&gt;=$Y62),$AB62,$AA62)))=Milestones!$AB$41),UPPER(TEXT(EDATE($D62,Milestones!$AA$41),"dd mmm yy"))&amp;" "&amp;Milestones!$AB$41&amp;" "&amp;IF(AND(Milestones!$AB$41="FT",Milestones!$AA$41=FT_Y5,EDATE($D62,Milestones!$AA$41)&lt;PolicyEff),1,Milestones!$AC$41)&amp;";  ","")&amp;IF(AND(EDATE($D62,Milestones!$AA$42)&lt;=AsOfDate,EDATE($D62,Milestones!$AA$42)&gt;=SchemeStart,IF($X62=0,$AD62,IF(AND($Z62&lt;&gt;"",EDATE($D62,Milestones!$AA$42)&gt;=$Z62),$AC62,IF(AND($Y62&lt;&gt;"",EDATE($D62,Milestones!$AA$42)&gt;=$Y62),$AB62,$AA62)))=Milestones!$AB$42),UPPER(TEXT(EDATE($D62,Milestones!$AA$42),"dd mmm yy"))&amp;" "&amp;Milestones!$AB$42&amp;" "&amp;IF(AND(Milestones!$AB$42="FT",Milestones!$AA$42=FT_Y5,EDATE($D62,Milestones!$AA$42)&lt;PolicyEff),1,Milestones!$AC$42)&amp;";  ","")&amp;IF(AND(EDATE($D62,Milestones!$AA$43)&lt;=AsOfDate,EDATE($D62,Milestones!$AA$43)&gt;=SchemeStart,IF($X62=0,$AD62,IF(AND($Z62&lt;&gt;"",EDATE($D62,Milestones!$AA$43)&gt;=$Z62),$AC62,IF(AND($Y62&lt;&gt;"",EDATE($D62,Milestones!$AA$43)&gt;=$Y62),$AB62,$AA62)))=Milestones!$AB$43),UPPER(TEXT(EDATE($D62,Milestones!$AA$43),"dd mmm yy"))&amp;" "&amp;Milestones!$AB$43&amp;" "&amp;IF(AND(Milestones!$AB$43="FT",Milestones!$AA$43=FT_Y5,EDATE($D62,Milestones!$AA$43)&lt;PolicyEff),1,Milestones!$AC$43)&amp;";  ",""))</f>
        <v/>
      </c>
      <c r="K62" s="0" t="str">
        <f aca="false">IF(OR($A62="",$D62=""),"",IF(AND(EDATE($D62,Milestones!$AA$44)&lt;=AsOfDate,EDATE($D62,Milestones!$AA$44)&gt;=SchemeStart,IF($X62=0,$AD62,IF(AND($Z62&lt;&gt;"",EDATE($D62,Milestones!$AA$44)&gt;=$Z62),$AC62,IF(AND($Y62&lt;&gt;"",EDATE($D62,Milestones!$AA$44)&gt;=$Y62),$AB62,$AA62)))=Milestones!$AB$44),UPPER(TEXT(EDATE($D62,Milestones!$AA$44),"dd mmm yy"))&amp;" "&amp;Milestones!$AB$44&amp;" "&amp;IF(AND(Milestones!$AB$44="FT",Milestones!$AA$44=FT_Y5,EDATE($D62,Milestones!$AA$44)&lt;PolicyEff),1,Milestones!$AC$44)&amp;";  ","")&amp;IF(AND(EDATE($D62,Milestones!$AA$45)&lt;=AsOfDate,EDATE($D62,Milestones!$AA$45)&gt;=SchemeStart,IF($X62=0,$AD62,IF(AND($Z62&lt;&gt;"",EDATE($D62,Milestones!$AA$45)&gt;=$Z62),$AC62,IF(AND($Y62&lt;&gt;"",EDATE($D62,Milestones!$AA$45)&gt;=$Y62),$AB62,$AA62)))=Milestones!$AB$45),UPPER(TEXT(EDATE($D62,Milestones!$AA$45),"dd mmm yy"))&amp;" "&amp;Milestones!$AB$45&amp;" "&amp;IF(AND(Milestones!$AB$45="FT",Milestones!$AA$45=FT_Y5,EDATE($D62,Milestones!$AA$45)&lt;PolicyEff),1,Milestones!$AC$45)&amp;";  ","")&amp;IF(AND(EDATE($D62,Milestones!$AA$46)&lt;=AsOfDate,EDATE($D62,Milestones!$AA$46)&gt;=SchemeStart,IF($X62=0,$AD62,IF(AND($Z62&lt;&gt;"",EDATE($D62,Milestones!$AA$46)&gt;=$Z62),$AC62,IF(AND($Y62&lt;&gt;"",EDATE($D62,Milestones!$AA$46)&gt;=$Y62),$AB62,$AA62)))=Milestones!$AB$46),UPPER(TEXT(EDATE($D62,Milestones!$AA$46),"dd mmm yy"))&amp;" "&amp;Milestones!$AB$46&amp;" "&amp;IF(AND(Milestones!$AB$46="FT",Milestones!$AA$46=FT_Y5,EDATE($D62,Milestones!$AA$46)&lt;PolicyEff),1,Milestones!$AC$46)&amp;";  ","")&amp;IF(AND(EDATE($D62,Milestones!$AA$47)&lt;=AsOfDate,EDATE($D62,Milestones!$AA$47)&gt;=SchemeStart,IF($X62=0,$AD62,IF(AND($Z62&lt;&gt;"",EDATE($D62,Milestones!$AA$47)&gt;=$Z62),$AC62,IF(AND($Y62&lt;&gt;"",EDATE($D62,Milestones!$AA$47)&gt;=$Y62),$AB62,$AA62)))=Milestones!$AB$47),UPPER(TEXT(EDATE($D62,Milestones!$AA$47),"dd mmm yy"))&amp;" "&amp;Milestones!$AB$47&amp;" "&amp;IF(AND(Milestones!$AB$47="FT",Milestones!$AA$47=FT_Y5,EDATE($D62,Milestones!$AA$47)&lt;PolicyEff),1,Milestones!$AC$47)&amp;";  ","")&amp;IF(AND(EDATE($D62,Milestones!$AA$48)&lt;=AsOfDate,EDATE($D62,Milestones!$AA$48)&gt;=SchemeStart,IF($X62=0,$AD62,IF(AND($Z62&lt;&gt;"",EDATE($D62,Milestones!$AA$48)&gt;=$Z62),$AC62,IF(AND($Y62&lt;&gt;"",EDATE($D62,Milestones!$AA$48)&gt;=$Y62),$AB62,$AA62)))=Milestones!$AB$48),UPPER(TEXT(EDATE($D62,Milestones!$AA$48),"dd mmm yy"))&amp;" "&amp;Milestones!$AB$48&amp;" "&amp;IF(AND(Milestones!$AB$48="FT",Milestones!$AA$48=FT_Y5,EDATE($D62,Milestones!$AA$48)&lt;PolicyEff),1,Milestones!$AC$48)&amp;";  ","")&amp;IF(AND(EDATE($D62,Milestones!$AA$49)&lt;=AsOfDate,EDATE($D62,Milestones!$AA$49)&gt;=SchemeStart,IF($X62=0,$AD62,IF(AND($Z62&lt;&gt;"",EDATE($D62,Milestones!$AA$49)&gt;=$Z62),$AC62,IF(AND($Y62&lt;&gt;"",EDATE($D62,Milestones!$AA$49)&gt;=$Y62),$AB62,$AA62)))=Milestones!$AB$49),UPPER(TEXT(EDATE($D62,Milestones!$AA$49),"dd mmm yy"))&amp;" "&amp;Milestones!$AB$49&amp;" "&amp;IF(AND(Milestones!$AB$49="FT",Milestones!$AA$49=FT_Y5,EDATE($D62,Milestones!$AA$49)&lt;PolicyEff),1,Milestones!$AC$49)&amp;";  ","")&amp;IF(AND(EDATE($D62,Milestones!$AA$50)&lt;=AsOfDate,EDATE($D62,Milestones!$AA$50)&gt;=SchemeStart,IF($X62=0,$AD62,IF(AND($Z62&lt;&gt;"",EDATE($D62,Milestones!$AA$50)&gt;=$Z62),$AC62,IF(AND($Y62&lt;&gt;"",EDATE($D62,Milestones!$AA$50)&gt;=$Y62),$AB62,$AA62)))=Milestones!$AB$50),UPPER(TEXT(EDATE($D62,Milestones!$AA$50),"dd mmm yy"))&amp;" "&amp;Milestones!$AB$50&amp;" "&amp;IF(AND(Milestones!$AB$50="FT",Milestones!$AA$50=FT_Y5,EDATE($D62,Milestones!$AA$50)&lt;PolicyEff),1,Milestones!$AC$50)&amp;";  ","")&amp;IF(AND(EDATE($D62,Milestones!$AA$51)&lt;=AsOfDate,EDATE($D62,Milestones!$AA$51)&gt;=SchemeStart,IF($X62=0,$AD62,IF(AND($Z62&lt;&gt;"",EDATE($D62,Milestones!$AA$51)&gt;=$Z62),$AC62,IF(AND($Y62&lt;&gt;"",EDATE($D62,Milestones!$AA$51)&gt;=$Y62),$AB62,$AA62)))=Milestones!$AB$51),UPPER(TEXT(EDATE($D62,Milestones!$AA$51),"dd mmm yy"))&amp;" "&amp;Milestones!$AB$51&amp;" "&amp;IF(AND(Milestones!$AB$51="FT",Milestones!$AA$51=FT_Y5,EDATE($D62,Milestones!$AA$51)&lt;PolicyEff),1,Milestones!$AC$51)&amp;";  ","")&amp;IF(AND(EDATE($D62,Milestones!$AA$52)&lt;=AsOfDate,EDATE($D62,Milestones!$AA$52)&gt;=SchemeStart,IF($X62=0,$AD62,IF(AND($Z62&lt;&gt;"",EDATE($D62,Milestones!$AA$52)&gt;=$Z62),$AC62,IF(AND($Y62&lt;&gt;"",EDATE($D62,Milestones!$AA$52)&gt;=$Y62),$AB62,$AA62)))=Milestones!$AB$52),UPPER(TEXT(EDATE($D62,Milestones!$AA$52),"dd mmm yy"))&amp;" "&amp;Milestones!$AB$52&amp;" "&amp;IF(AND(Milestones!$AB$52="FT",Milestones!$AA$52=FT_Y5,EDATE($D62,Milestones!$AA$52)&lt;PolicyEff),1,Milestones!$AC$52)&amp;";  ","")&amp;IF(AND(EDATE($D62,Milestones!$AA$53)&lt;=AsOfDate,EDATE($D62,Milestones!$AA$53)&gt;=SchemeStart,IF($X62=0,$AD62,IF(AND($Z62&lt;&gt;"",EDATE($D62,Milestones!$AA$53)&gt;=$Z62),$AC62,IF(AND($Y62&lt;&gt;"",EDATE($D62,Milestones!$AA$53)&gt;=$Y62),$AB62,$AA62)))=Milestones!$AB$53),UPPER(TEXT(EDATE($D62,Milestones!$AA$53),"dd mmm yy"))&amp;" "&amp;Milestones!$AB$53&amp;" "&amp;IF(AND(Milestones!$AB$53="FT",Milestones!$AA$53=FT_Y5,EDATE($D62,Milestones!$AA$53)&lt;PolicyEff),1,Milestones!$AC$53)&amp;";  ","")&amp;IF(AND(EDATE($D62,Milestones!$AA$54)&lt;=AsOfDate,EDATE($D62,Milestones!$AA$54)&gt;=SchemeStart,IF($X62=0,$AD62,IF(AND($Z62&lt;&gt;"",EDATE($D62,Milestones!$AA$54)&gt;=$Z62),$AC62,IF(AND($Y62&lt;&gt;"",EDATE($D62,Milestones!$AA$54)&gt;=$Y62),$AB62,$AA62)))=Milestones!$AB$54),UPPER(TEXT(EDATE($D62,Milestones!$AA$54),"dd mmm yy"))&amp;" "&amp;Milestones!$AB$54&amp;" "&amp;IF(AND(Milestones!$AB$54="FT",Milestones!$AA$54=FT_Y5,EDATE($D62,Milestones!$AA$54)&lt;PolicyEff),1,Milestones!$AC$54)&amp;";  ","")&amp;IF(AND(EDATE($D62,Milestones!$AA$55)&lt;=AsOfDate,EDATE($D62,Milestones!$AA$55)&gt;=SchemeStart,IF($X62=0,$AD62,IF(AND($Z62&lt;&gt;"",EDATE($D62,Milestones!$AA$55)&gt;=$Z62),$AC62,IF(AND($Y62&lt;&gt;"",EDATE($D62,Milestones!$AA$55)&gt;=$Y62),$AB62,$AA62)))=Milestones!$AB$55),UPPER(TEXT(EDATE($D62,Milestones!$AA$55),"dd mmm yy"))&amp;" "&amp;Milestones!$AB$55&amp;" "&amp;IF(AND(Milestones!$AB$55="FT",Milestones!$AA$55=FT_Y5,EDATE($D62,Milestones!$AA$55)&lt;PolicyEff),1,Milestones!$AC$55)&amp;";  ",""))</f>
        <v/>
      </c>
      <c r="L62" s="0" t="str">
        <f aca="false">IF(OR($A62="",$D62=""),"",IF(AND(EDATE($D62,Milestones!$AA$56)&lt;=AsOfDate,EDATE($D62,Milestones!$AA$56)&gt;=SchemeStart,IF($X62=0,$AD62,IF(AND($Z62&lt;&gt;"",EDATE($D62,Milestones!$AA$56)&gt;=$Z62),$AC62,IF(AND($Y62&lt;&gt;"",EDATE($D62,Milestones!$AA$56)&gt;=$Y62),$AB62,$AA62)))=Milestones!$AB$56),UPPER(TEXT(EDATE($D62,Milestones!$AA$56),"dd mmm yy"))&amp;" "&amp;Milestones!$AB$56&amp;" "&amp;IF(AND(Milestones!$AB$56="FT",Milestones!$AA$56=FT_Y5,EDATE($D62,Milestones!$AA$56)&lt;PolicyEff),1,Milestones!$AC$56)&amp;";  ","")&amp;IF(AND(EDATE($D62,Milestones!$AA$57)&lt;=AsOfDate,EDATE($D62,Milestones!$AA$57)&gt;=SchemeStart,IF($X62=0,$AD62,IF(AND($Z62&lt;&gt;"",EDATE($D62,Milestones!$AA$57)&gt;=$Z62),$AC62,IF(AND($Y62&lt;&gt;"",EDATE($D62,Milestones!$AA$57)&gt;=$Y62),$AB62,$AA62)))=Milestones!$AB$57),UPPER(TEXT(EDATE($D62,Milestones!$AA$57),"dd mmm yy"))&amp;" "&amp;Milestones!$AB$57&amp;" "&amp;IF(AND(Milestones!$AB$57="FT",Milestones!$AA$57=FT_Y5,EDATE($D62,Milestones!$AA$57)&lt;PolicyEff),1,Milestones!$AC$57)&amp;";  ","")&amp;IF(AND(EDATE($D62,Milestones!$AA$58)&lt;=AsOfDate,EDATE($D62,Milestones!$AA$58)&gt;=SchemeStart,IF($X62=0,$AD62,IF(AND($Z62&lt;&gt;"",EDATE($D62,Milestones!$AA$58)&gt;=$Z62),$AC62,IF(AND($Y62&lt;&gt;"",EDATE($D62,Milestones!$AA$58)&gt;=$Y62),$AB62,$AA62)))=Milestones!$AB$58),UPPER(TEXT(EDATE($D62,Milestones!$AA$58),"dd mmm yy"))&amp;" "&amp;Milestones!$AB$58&amp;" "&amp;IF(AND(Milestones!$AB$58="FT",Milestones!$AA$58=FT_Y5,EDATE($D62,Milestones!$AA$58)&lt;PolicyEff),1,Milestones!$AC$58)&amp;";  ","")&amp;IF(AND(EDATE($D62,Milestones!$AA$59)&lt;=AsOfDate,EDATE($D62,Milestones!$AA$59)&gt;=SchemeStart,IF($X62=0,$AD62,IF(AND($Z62&lt;&gt;"",EDATE($D62,Milestones!$AA$59)&gt;=$Z62),$AC62,IF(AND($Y62&lt;&gt;"",EDATE($D62,Milestones!$AA$59)&gt;=$Y62),$AB62,$AA62)))=Milestones!$AB$59),UPPER(TEXT(EDATE($D62,Milestones!$AA$59),"dd mmm yy"))&amp;" "&amp;Milestones!$AB$59&amp;" "&amp;IF(AND(Milestones!$AB$59="FT",Milestones!$AA$59=FT_Y5,EDATE($D62,Milestones!$AA$59)&lt;PolicyEff),1,Milestones!$AC$59)&amp;";  ","")&amp;IF(AND(EDATE($D62,Milestones!$AA$60)&lt;=AsOfDate,EDATE($D62,Milestones!$AA$60)&gt;=SchemeStart,IF($X62=0,$AD62,IF(AND($Z62&lt;&gt;"",EDATE($D62,Milestones!$AA$60)&gt;=$Z62),$AC62,IF(AND($Y62&lt;&gt;"",EDATE($D62,Milestones!$AA$60)&gt;=$Y62),$AB62,$AA62)))=Milestones!$AB$60),UPPER(TEXT(EDATE($D62,Milestones!$AA$60),"dd mmm yy"))&amp;" "&amp;Milestones!$AB$60&amp;" "&amp;IF(AND(Milestones!$AB$60="FT",Milestones!$AA$60=FT_Y5,EDATE($D62,Milestones!$AA$60)&lt;PolicyEff),1,Milestones!$AC$60)&amp;";  ","")&amp;IF(AND(EDATE($D62,Milestones!$AA$61)&lt;=AsOfDate,EDATE($D62,Milestones!$AA$61)&gt;=SchemeStart,IF($X62=0,$AD62,IF(AND($Z62&lt;&gt;"",EDATE($D62,Milestones!$AA$61)&gt;=$Z62),$AC62,IF(AND($Y62&lt;&gt;"",EDATE($D62,Milestones!$AA$61)&gt;=$Y62),$AB62,$AA62)))=Milestones!$AB$61),UPPER(TEXT(EDATE($D62,Milestones!$AA$61),"dd mmm yy"))&amp;" "&amp;Milestones!$AB$61&amp;" "&amp;IF(AND(Milestones!$AB$61="FT",Milestones!$AA$61=FT_Y5,EDATE($D62,Milestones!$AA$61)&lt;PolicyEff),1,Milestones!$AC$61)&amp;";  ","")&amp;IF(AND(EDATE($D62,Milestones!$AA$62)&lt;=AsOfDate,EDATE($D62,Milestones!$AA$62)&gt;=SchemeStart,IF($X62=0,$AD62,IF(AND($Z62&lt;&gt;"",EDATE($D62,Milestones!$AA$62)&gt;=$Z62),$AC62,IF(AND($Y62&lt;&gt;"",EDATE($D62,Milestones!$AA$62)&gt;=$Y62),$AB62,$AA62)))=Milestones!$AB$62),UPPER(TEXT(EDATE($D62,Milestones!$AA$62),"dd mmm yy"))&amp;" "&amp;Milestones!$AB$62&amp;" "&amp;IF(AND(Milestones!$AB$62="FT",Milestones!$AA$62=FT_Y5,EDATE($D62,Milestones!$AA$62)&lt;PolicyEff),1,Milestones!$AC$62)&amp;";  ","")&amp;IF(AND(EDATE($D62,Milestones!$AA$63)&lt;=AsOfDate,EDATE($D62,Milestones!$AA$63)&gt;=SchemeStart,IF($X62=0,$AD62,IF(AND($Z62&lt;&gt;"",EDATE($D62,Milestones!$AA$63)&gt;=$Z62),$AC62,IF(AND($Y62&lt;&gt;"",EDATE($D62,Milestones!$AA$63)&gt;=$Y62),$AB62,$AA62)))=Milestones!$AB$63),UPPER(TEXT(EDATE($D62,Milestones!$AA$63),"dd mmm yy"))&amp;" "&amp;Milestones!$AB$63&amp;" "&amp;IF(AND(Milestones!$AB$63="FT",Milestones!$AA$63=FT_Y5,EDATE($D62,Milestones!$AA$63)&lt;PolicyEff),1,Milestones!$AC$63)&amp;";  ","")&amp;IF(AND(EDATE($D62,Milestones!$AA$64)&lt;=AsOfDate,EDATE($D62,Milestones!$AA$64)&gt;=SchemeStart,IF($X62=0,$AD62,IF(AND($Z62&lt;&gt;"",EDATE($D62,Milestones!$AA$64)&gt;=$Z62),$AC62,IF(AND($Y62&lt;&gt;"",EDATE($D62,Milestones!$AA$64)&gt;=$Y62),$AB62,$AA62)))=Milestones!$AB$64),UPPER(TEXT(EDATE($D62,Milestones!$AA$64),"dd mmm yy"))&amp;" "&amp;Milestones!$AB$64&amp;" "&amp;IF(AND(Milestones!$AB$64="FT",Milestones!$AA$64=FT_Y5,EDATE($D62,Milestones!$AA$64)&lt;PolicyEff),1,Milestones!$AC$64)&amp;";  ","")&amp;IF(AND(EDATE($D62,Milestones!$AA$65)&lt;=AsOfDate,EDATE($D62,Milestones!$AA$65)&gt;=SchemeStart,IF($X62=0,$AD62,IF(AND($Z62&lt;&gt;"",EDATE($D62,Milestones!$AA$65)&gt;=$Z62),$AC62,IF(AND($Y62&lt;&gt;"",EDATE($D62,Milestones!$AA$65)&gt;=$Y62),$AB62,$AA62)))=Milestones!$AB$65),UPPER(TEXT(EDATE($D62,Milestones!$AA$65),"dd mmm yy"))&amp;" "&amp;Milestones!$AB$65&amp;" "&amp;IF(AND(Milestones!$AB$65="FT",Milestones!$AA$65=FT_Y5,EDATE($D62,Milestones!$AA$65)&lt;PolicyEff),1,Milestones!$AC$65)&amp;";  ","")&amp;IF(AND(EDATE($D62,Milestones!$AA$66)&lt;=AsOfDate,EDATE($D62,Milestones!$AA$66)&gt;=SchemeStart,IF($X62=0,$AD62,IF(AND($Z62&lt;&gt;"",EDATE($D62,Milestones!$AA$66)&gt;=$Z62),$AC62,IF(AND($Y62&lt;&gt;"",EDATE($D62,Milestones!$AA$66)&gt;=$Y62),$AB62,$AA62)))=Milestones!$AB$66),UPPER(TEXT(EDATE($D62,Milestones!$AA$66),"dd mmm yy"))&amp;" "&amp;Milestones!$AB$66&amp;" "&amp;IF(AND(Milestones!$AB$66="FT",Milestones!$AA$66=FT_Y5,EDATE($D62,Milestones!$AA$66)&lt;PolicyEff),1,Milestones!$AC$66)&amp;";  ","")&amp;IF(AND(EDATE($D62,Milestones!$AA$67)&lt;=AsOfDate,EDATE($D62,Milestones!$AA$67)&gt;=SchemeStart,IF($X62=0,$AD62,IF(AND($Z62&lt;&gt;"",EDATE($D62,Milestones!$AA$67)&gt;=$Z62),$AC62,IF(AND($Y62&lt;&gt;"",EDATE($D62,Milestones!$AA$67)&gt;=$Y62),$AB62,$AA62)))=Milestones!$AB$67),UPPER(TEXT(EDATE($D62,Milestones!$AA$67),"dd mmm yy"))&amp;" "&amp;Milestones!$AB$67&amp;" "&amp;IF(AND(Milestones!$AB$67="FT",Milestones!$AA$67=FT_Y5,EDATE($D62,Milestones!$AA$67)&lt;PolicyEff),1,Milestones!$AC$67)&amp;";  ",""))</f>
        <v/>
      </c>
      <c r="M62" s="0" t="str">
        <f aca="false">IF(OR($A62="",$D62=""),"",IF(AND(EDATE($D62,Milestones!$AA$68)&lt;=AsOfDate,EDATE($D62,Milestones!$AA$68)&gt;=SchemeStart,IF($X62=0,$AD62,IF(AND($Z62&lt;&gt;"",EDATE($D62,Milestones!$AA$68)&gt;=$Z62),$AC62,IF(AND($Y62&lt;&gt;"",EDATE($D62,Milestones!$AA$68)&gt;=$Y62),$AB62,$AA62)))=Milestones!$AB$68),UPPER(TEXT(EDATE($D62,Milestones!$AA$68),"dd mmm yy"))&amp;" "&amp;Milestones!$AB$68&amp;" "&amp;IF(AND(Milestones!$AB$68="FT",Milestones!$AA$68=FT_Y5,EDATE($D62,Milestones!$AA$68)&lt;PolicyEff),1,Milestones!$AC$68)&amp;";  ","")&amp;IF(AND(EDATE($D62,Milestones!$AA$69)&lt;=AsOfDate,EDATE($D62,Milestones!$AA$69)&gt;=SchemeStart,IF($X62=0,$AD62,IF(AND($Z62&lt;&gt;"",EDATE($D62,Milestones!$AA$69)&gt;=$Z62),$AC62,IF(AND($Y62&lt;&gt;"",EDATE($D62,Milestones!$AA$69)&gt;=$Y62),$AB62,$AA62)))=Milestones!$AB$69),UPPER(TEXT(EDATE($D62,Milestones!$AA$69),"dd mmm yy"))&amp;" "&amp;Milestones!$AB$69&amp;" "&amp;IF(AND(Milestones!$AB$69="FT",Milestones!$AA$69=FT_Y5,EDATE($D62,Milestones!$AA$69)&lt;PolicyEff),1,Milestones!$AC$69)&amp;";  ","")&amp;IF(AND(EDATE($D62,Milestones!$AA$70)&lt;=AsOfDate,EDATE($D62,Milestones!$AA$70)&gt;=SchemeStart,IF($X62=0,$AD62,IF(AND($Z62&lt;&gt;"",EDATE($D62,Milestones!$AA$70)&gt;=$Z62),$AC62,IF(AND($Y62&lt;&gt;"",EDATE($D62,Milestones!$AA$70)&gt;=$Y62),$AB62,$AA62)))=Milestones!$AB$70),UPPER(TEXT(EDATE($D62,Milestones!$AA$70),"dd mmm yy"))&amp;" "&amp;Milestones!$AB$70&amp;" "&amp;IF(AND(Milestones!$AB$70="FT",Milestones!$AA$70=FT_Y5,EDATE($D62,Milestones!$AA$70)&lt;PolicyEff),1,Milestones!$AC$70)&amp;";  ","")&amp;IF(AND(EDATE($D62,Milestones!$AA$71)&lt;=AsOfDate,EDATE($D62,Milestones!$AA$71)&gt;=SchemeStart,IF($X62=0,$AD62,IF(AND($Z62&lt;&gt;"",EDATE($D62,Milestones!$AA$71)&gt;=$Z62),$AC62,IF(AND($Y62&lt;&gt;"",EDATE($D62,Milestones!$AA$71)&gt;=$Y62),$AB62,$AA62)))=Milestones!$AB$71),UPPER(TEXT(EDATE($D62,Milestones!$AA$71),"dd mmm yy"))&amp;" "&amp;Milestones!$AB$71&amp;" "&amp;IF(AND(Milestones!$AB$71="FT",Milestones!$AA$71=FT_Y5,EDATE($D62,Milestones!$AA$71)&lt;PolicyEff),1,Milestones!$AC$71)&amp;";  ","")&amp;IF(AND(EDATE($D62,Milestones!$AA$72)&lt;=AsOfDate,EDATE($D62,Milestones!$AA$72)&gt;=SchemeStart,IF($X62=0,$AD62,IF(AND($Z62&lt;&gt;"",EDATE($D62,Milestones!$AA$72)&gt;=$Z62),$AC62,IF(AND($Y62&lt;&gt;"",EDATE($D62,Milestones!$AA$72)&gt;=$Y62),$AB62,$AA62)))=Milestones!$AB$72),UPPER(TEXT(EDATE($D62,Milestones!$AA$72),"dd mmm yy"))&amp;" "&amp;Milestones!$AB$72&amp;" "&amp;IF(AND(Milestones!$AB$72="FT",Milestones!$AA$72=FT_Y5,EDATE($D62,Milestones!$AA$72)&lt;PolicyEff),1,Milestones!$AC$72)&amp;";  ","")&amp;IF(AND(EDATE($D62,Milestones!$AA$73)&lt;=AsOfDate,EDATE($D62,Milestones!$AA$73)&gt;=SchemeStart,IF($X62=0,$AD62,IF(AND($Z62&lt;&gt;"",EDATE($D62,Milestones!$AA$73)&gt;=$Z62),$AC62,IF(AND($Y62&lt;&gt;"",EDATE($D62,Milestones!$AA$73)&gt;=$Y62),$AB62,$AA62)))=Milestones!$AB$73),UPPER(TEXT(EDATE($D62,Milestones!$AA$73),"dd mmm yy"))&amp;" "&amp;Milestones!$AB$73&amp;" "&amp;IF(AND(Milestones!$AB$73="FT",Milestones!$AA$73=FT_Y5,EDATE($D62,Milestones!$AA$73)&lt;PolicyEff),1,Milestones!$AC$73)&amp;";  ","")&amp;IF(AND(EDATE($D62,Milestones!$AA$74)&lt;=AsOfDate,EDATE($D62,Milestones!$AA$74)&gt;=SchemeStart,IF($X62=0,$AD62,IF(AND($Z62&lt;&gt;"",EDATE($D62,Milestones!$AA$74)&gt;=$Z62),$AC62,IF(AND($Y62&lt;&gt;"",EDATE($D62,Milestones!$AA$74)&gt;=$Y62),$AB62,$AA62)))=Milestones!$AB$74),UPPER(TEXT(EDATE($D62,Milestones!$AA$74),"dd mmm yy"))&amp;" "&amp;Milestones!$AB$74&amp;" "&amp;IF(AND(Milestones!$AB$74="FT",Milestones!$AA$74=FT_Y5,EDATE($D62,Milestones!$AA$74)&lt;PolicyEff),1,Milestones!$AC$74)&amp;";  ","")&amp;IF(AND(EDATE($D62,Milestones!$AA$75)&lt;=AsOfDate,EDATE($D62,Milestones!$AA$75)&gt;=SchemeStart,IF($X62=0,$AD62,IF(AND($Z62&lt;&gt;"",EDATE($D62,Milestones!$AA$75)&gt;=$Z62),$AC62,IF(AND($Y62&lt;&gt;"",EDATE($D62,Milestones!$AA$75)&gt;=$Y62),$AB62,$AA62)))=Milestones!$AB$75),UPPER(TEXT(EDATE($D62,Milestones!$AA$75),"dd mmm yy"))&amp;" "&amp;Milestones!$AB$75&amp;" "&amp;IF(AND(Milestones!$AB$75="FT",Milestones!$AA$75=FT_Y5,EDATE($D62,Milestones!$AA$75)&lt;PolicyEff),1,Milestones!$AC$75)&amp;";  ","")&amp;IF(AND(EDATE($D62,Milestones!$AA$76)&lt;=AsOfDate,EDATE($D62,Milestones!$AA$76)&gt;=SchemeStart,IF($X62=0,$AD62,IF(AND($Z62&lt;&gt;"",EDATE($D62,Milestones!$AA$76)&gt;=$Z62),$AC62,IF(AND($Y62&lt;&gt;"",EDATE($D62,Milestones!$AA$76)&gt;=$Y62),$AB62,$AA62)))=Milestones!$AB$76),UPPER(TEXT(EDATE($D62,Milestones!$AA$76),"dd mmm yy"))&amp;" "&amp;Milestones!$AB$76&amp;" "&amp;IF(AND(Milestones!$AB$76="FT",Milestones!$AA$76=FT_Y5,EDATE($D62,Milestones!$AA$76)&lt;PolicyEff),1,Milestones!$AC$76)&amp;";  ","")&amp;IF(AND(EDATE($D62,Milestones!$AA$77)&lt;=AsOfDate,EDATE($D62,Milestones!$AA$77)&gt;=SchemeStart,IF($X62=0,$AD62,IF(AND($Z62&lt;&gt;"",EDATE($D62,Milestones!$AA$77)&gt;=$Z62),$AC62,IF(AND($Y62&lt;&gt;"",EDATE($D62,Milestones!$AA$77)&gt;=$Y62),$AB62,$AA62)))=Milestones!$AB$77),UPPER(TEXT(EDATE($D62,Milestones!$AA$77),"dd mmm yy"))&amp;" "&amp;Milestones!$AB$77&amp;" "&amp;IF(AND(Milestones!$AB$77="FT",Milestones!$AA$77=FT_Y5,EDATE($D62,Milestones!$AA$77)&lt;PolicyEff),1,Milestones!$AC$77)&amp;";  ","")&amp;IF(AND(EDATE($D62,Milestones!$AA$78)&lt;=AsOfDate,EDATE($D62,Milestones!$AA$78)&gt;=SchemeStart,IF($X62=0,$AD62,IF(AND($Z62&lt;&gt;"",EDATE($D62,Milestones!$AA$78)&gt;=$Z62),$AC62,IF(AND($Y62&lt;&gt;"",EDATE($D62,Milestones!$AA$78)&gt;=$Y62),$AB62,$AA62)))=Milestones!$AB$78),UPPER(TEXT(EDATE($D62,Milestones!$AA$78),"dd mmm yy"))&amp;" "&amp;Milestones!$AB$78&amp;" "&amp;IF(AND(Milestones!$AB$78="FT",Milestones!$AA$78=FT_Y5,EDATE($D62,Milestones!$AA$78)&lt;PolicyEff),1,Milestones!$AC$78)&amp;";  ","")&amp;IF(AND(EDATE($D62,Milestones!$AA$79)&lt;=AsOfDate,EDATE($D62,Milestones!$AA$79)&gt;=SchemeStart,IF($X62=0,$AD62,IF(AND($Z62&lt;&gt;"",EDATE($D62,Milestones!$AA$79)&gt;=$Z62),$AC62,IF(AND($Y62&lt;&gt;"",EDATE($D62,Milestones!$AA$79)&gt;=$Y62),$AB62,$AA62)))=Milestones!$AB$79),UPPER(TEXT(EDATE($D62,Milestones!$AA$79),"dd mmm yy"))&amp;" "&amp;Milestones!$AB$79&amp;" "&amp;IF(AND(Milestones!$AB$79="FT",Milestones!$AA$79=FT_Y5,EDATE($D62,Milestones!$AA$79)&lt;PolicyEff),1,Milestones!$AC$79)&amp;";  ",""))</f>
        <v/>
      </c>
      <c r="N62" s="0" t="str">
        <f aca="false">IF(OR($A62="",$D62=""),"",IF(AND(EDATE($D62,Milestones!$AA$80)&lt;=AsOfDate,EDATE($D62,Milestones!$AA$80)&gt;=SchemeStart,IF($X62=0,$AD62,IF(AND($Z62&lt;&gt;"",EDATE($D62,Milestones!$AA$80)&gt;=$Z62),$AC62,IF(AND($Y62&lt;&gt;"",EDATE($D62,Milestones!$AA$80)&gt;=$Y62),$AB62,$AA62)))=Milestones!$AB$80),UPPER(TEXT(EDATE($D62,Milestones!$AA$80),"dd mmm yy"))&amp;" "&amp;Milestones!$AB$80&amp;" "&amp;IF(AND(Milestones!$AB$80="FT",Milestones!$AA$80=FT_Y5,EDATE($D62,Milestones!$AA$80)&lt;PolicyEff),1,Milestones!$AC$80)&amp;";  ","")&amp;IF(AND(EDATE($D62,Milestones!$AA$81)&lt;=AsOfDate,EDATE($D62,Milestones!$AA$81)&gt;=SchemeStart,IF($X62=0,$AD62,IF(AND($Z62&lt;&gt;"",EDATE($D62,Milestones!$AA$81)&gt;=$Z62),$AC62,IF(AND($Y62&lt;&gt;"",EDATE($D62,Milestones!$AA$81)&gt;=$Y62),$AB62,$AA62)))=Milestones!$AB$81),UPPER(TEXT(EDATE($D62,Milestones!$AA$81),"dd mmm yy"))&amp;" "&amp;Milestones!$AB$81&amp;" "&amp;IF(AND(Milestones!$AB$81="FT",Milestones!$AA$81=FT_Y5,EDATE($D62,Milestones!$AA$81)&lt;PolicyEff),1,Milestones!$AC$81)&amp;";  ","")&amp;IF(AND(EDATE($D62,Milestones!$AA$82)&lt;=AsOfDate,EDATE($D62,Milestones!$AA$82)&gt;=SchemeStart,IF($X62=0,$AD62,IF(AND($Z62&lt;&gt;"",EDATE($D62,Milestones!$AA$82)&gt;=$Z62),$AC62,IF(AND($Y62&lt;&gt;"",EDATE($D62,Milestones!$AA$82)&gt;=$Y62),$AB62,$AA62)))=Milestones!$AB$82),UPPER(TEXT(EDATE($D62,Milestones!$AA$82),"dd mmm yy"))&amp;" "&amp;Milestones!$AB$82&amp;" "&amp;IF(AND(Milestones!$AB$82="FT",Milestones!$AA$82=FT_Y5,EDATE($D62,Milestones!$AA$82)&lt;PolicyEff),1,Milestones!$AC$82)&amp;";  ","")&amp;IF(AND(EDATE($D62,Milestones!$AA$83)&lt;=AsOfDate,EDATE($D62,Milestones!$AA$83)&gt;=SchemeStart,IF($X62=0,$AD62,IF(AND($Z62&lt;&gt;"",EDATE($D62,Milestones!$AA$83)&gt;=$Z62),$AC62,IF(AND($Y62&lt;&gt;"",EDATE($D62,Milestones!$AA$83)&gt;=$Y62),$AB62,$AA62)))=Milestones!$AB$83),UPPER(TEXT(EDATE($D62,Milestones!$AA$83),"dd mmm yy"))&amp;" "&amp;Milestones!$AB$83&amp;" "&amp;IF(AND(Milestones!$AB$83="FT",Milestones!$AA$83=FT_Y5,EDATE($D62,Milestones!$AA$83)&lt;PolicyEff),1,Milestones!$AC$83)&amp;";  ","")&amp;IF(AND(EDATE($D62,Milestones!$AA$84)&lt;=AsOfDate,EDATE($D62,Milestones!$AA$84)&gt;=SchemeStart,IF($X62=0,$AD62,IF(AND($Z62&lt;&gt;"",EDATE($D62,Milestones!$AA$84)&gt;=$Z62),$AC62,IF(AND($Y62&lt;&gt;"",EDATE($D62,Milestones!$AA$84)&gt;=$Y62),$AB62,$AA62)))=Milestones!$AB$84),UPPER(TEXT(EDATE($D62,Milestones!$AA$84),"dd mmm yy"))&amp;" "&amp;Milestones!$AB$84&amp;" "&amp;IF(AND(Milestones!$AB$84="FT",Milestones!$AA$84=FT_Y5,EDATE($D62,Milestones!$AA$84)&lt;PolicyEff),1,Milestones!$AC$84)&amp;";  ","")&amp;IF(AND(EDATE($D62,Milestones!$AA$85)&lt;=AsOfDate,EDATE($D62,Milestones!$AA$85)&gt;=SchemeStart,IF($X62=0,$AD62,IF(AND($Z62&lt;&gt;"",EDATE($D62,Milestones!$AA$85)&gt;=$Z62),$AC62,IF(AND($Y62&lt;&gt;"",EDATE($D62,Milestones!$AA$85)&gt;=$Y62),$AB62,$AA62)))=Milestones!$AB$85),UPPER(TEXT(EDATE($D62,Milestones!$AA$85),"dd mmm yy"))&amp;" "&amp;Milestones!$AB$85&amp;" "&amp;IF(AND(Milestones!$AB$85="FT",Milestones!$AA$85=FT_Y5,EDATE($D62,Milestones!$AA$85)&lt;PolicyEff),1,Milestones!$AC$85)&amp;";  ","")&amp;IF(AND(EDATE($D62,Milestones!$AA$86)&lt;=AsOfDate,EDATE($D62,Milestones!$AA$86)&gt;=SchemeStart,IF($X62=0,$AD62,IF(AND($Z62&lt;&gt;"",EDATE($D62,Milestones!$AA$86)&gt;=$Z62),$AC62,IF(AND($Y62&lt;&gt;"",EDATE($D62,Milestones!$AA$86)&gt;=$Y62),$AB62,$AA62)))=Milestones!$AB$86),UPPER(TEXT(EDATE($D62,Milestones!$AA$86),"dd mmm yy"))&amp;" "&amp;Milestones!$AB$86&amp;" "&amp;IF(AND(Milestones!$AB$86="FT",Milestones!$AA$86=FT_Y5,EDATE($D62,Milestones!$AA$86)&lt;PolicyEff),1,Milestones!$AC$86)&amp;";  ","")&amp;IF(AND(EDATE($D62,Milestones!$AA$87)&lt;=AsOfDate,EDATE($D62,Milestones!$AA$87)&gt;=SchemeStart,IF($X62=0,$AD62,IF(AND($Z62&lt;&gt;"",EDATE($D62,Milestones!$AA$87)&gt;=$Z62),$AC62,IF(AND($Y62&lt;&gt;"",EDATE($D62,Milestones!$AA$87)&gt;=$Y62),$AB62,$AA62)))=Milestones!$AB$87),UPPER(TEXT(EDATE($D62,Milestones!$AA$87),"dd mmm yy"))&amp;" "&amp;Milestones!$AB$87&amp;" "&amp;IF(AND(Milestones!$AB$87="FT",Milestones!$AA$87=FT_Y5,EDATE($D62,Milestones!$AA$87)&lt;PolicyEff),1,Milestones!$AC$87)&amp;";  ","")&amp;IF(AND(EDATE($D62,Milestones!$AA$88)&lt;=AsOfDate,EDATE($D62,Milestones!$AA$88)&gt;=SchemeStart,IF($X62=0,$AD62,IF(AND($Z62&lt;&gt;"",EDATE($D62,Milestones!$AA$88)&gt;=$Z62),$AC62,IF(AND($Y62&lt;&gt;"",EDATE($D62,Milestones!$AA$88)&gt;=$Y62),$AB62,$AA62)))=Milestones!$AB$88),UPPER(TEXT(EDATE($D62,Milestones!$AA$88),"dd mmm yy"))&amp;" "&amp;Milestones!$AB$88&amp;" "&amp;IF(AND(Milestones!$AB$88="FT",Milestones!$AA$88=FT_Y5,EDATE($D62,Milestones!$AA$88)&lt;PolicyEff),1,Milestones!$AC$88)&amp;";  ","")&amp;IF(AND(EDATE($D62,Milestones!$AA$89)&lt;=AsOfDate,EDATE($D62,Milestones!$AA$89)&gt;=SchemeStart,IF($X62=0,$AD62,IF(AND($Z62&lt;&gt;"",EDATE($D62,Milestones!$AA$89)&gt;=$Z62),$AC62,IF(AND($Y62&lt;&gt;"",EDATE($D62,Milestones!$AA$89)&gt;=$Y62),$AB62,$AA62)))=Milestones!$AB$89),UPPER(TEXT(EDATE($D62,Milestones!$AA$89),"dd mmm yy"))&amp;" "&amp;Milestones!$AB$89&amp;" "&amp;IF(AND(Milestones!$AB$89="FT",Milestones!$AA$89=FT_Y5,EDATE($D62,Milestones!$AA$89)&lt;PolicyEff),1,Milestones!$AC$89)&amp;";  ","")&amp;IF(AND(EDATE($D62,Milestones!$AA$90)&lt;=AsOfDate,EDATE($D62,Milestones!$AA$90)&gt;=SchemeStart,IF($X62=0,$AD62,IF(AND($Z62&lt;&gt;"",EDATE($D62,Milestones!$AA$90)&gt;=$Z62),$AC62,IF(AND($Y62&lt;&gt;"",EDATE($D62,Milestones!$AA$90)&gt;=$Y62),$AB62,$AA62)))=Milestones!$AB$90),UPPER(TEXT(EDATE($D62,Milestones!$AA$90),"dd mmm yy"))&amp;" "&amp;Milestones!$AB$90&amp;" "&amp;IF(AND(Milestones!$AB$90="FT",Milestones!$AA$90=FT_Y5,EDATE($D62,Milestones!$AA$90)&lt;PolicyEff),1,Milestones!$AC$90)&amp;";  ","")&amp;IF(AND(EDATE($D62,Milestones!$AA$91)&lt;=AsOfDate,EDATE($D62,Milestones!$AA$91)&gt;=SchemeStart,IF($X62=0,$AD62,IF(AND($Z62&lt;&gt;"",EDATE($D62,Milestones!$AA$91)&gt;=$Z62),$AC62,IF(AND($Y62&lt;&gt;"",EDATE($D62,Milestones!$AA$91)&gt;=$Y62),$AB62,$AA62)))=Milestones!$AB$91),UPPER(TEXT(EDATE($D62,Milestones!$AA$91),"dd mmm yy"))&amp;" "&amp;Milestones!$AB$91&amp;" "&amp;IF(AND(Milestones!$AB$91="FT",Milestones!$AA$91=FT_Y5,EDATE($D62,Milestones!$AA$91)&lt;PolicyEff),1,Milestones!$AC$91)&amp;";  ",""))</f>
        <v/>
      </c>
      <c r="O62" s="0" t="str">
        <f aca="false">IF(OR($A62="",$D62=""),"",IF(AND(EDATE($D62,Milestones!$AA$92)&lt;=AsOfDate,EDATE($D62,Milestones!$AA$92)&gt;=SchemeStart,IF($X62=0,$AD62,IF(AND($Z62&lt;&gt;"",EDATE($D62,Milestones!$AA$92)&gt;=$Z62),$AC62,IF(AND($Y62&lt;&gt;"",EDATE($D62,Milestones!$AA$92)&gt;=$Y62),$AB62,$AA62)))=Milestones!$AB$92),UPPER(TEXT(EDATE($D62,Milestones!$AA$92),"dd mmm yy"))&amp;" "&amp;Milestones!$AB$92&amp;" "&amp;IF(AND(Milestones!$AB$92="FT",Milestones!$AA$92=FT_Y5,EDATE($D62,Milestones!$AA$92)&lt;PolicyEff),1,Milestones!$AC$92)&amp;";  ","")&amp;IF(AND(EDATE($D62,Milestones!$AA$93)&lt;=AsOfDate,EDATE($D62,Milestones!$AA$93)&gt;=SchemeStart,IF($X62=0,$AD62,IF(AND($Z62&lt;&gt;"",EDATE($D62,Milestones!$AA$93)&gt;=$Z62),$AC62,IF(AND($Y62&lt;&gt;"",EDATE($D62,Milestones!$AA$93)&gt;=$Y62),$AB62,$AA62)))=Milestones!$AB$93),UPPER(TEXT(EDATE($D62,Milestones!$AA$93),"dd mmm yy"))&amp;" "&amp;Milestones!$AB$93&amp;" "&amp;IF(AND(Milestones!$AB$93="FT",Milestones!$AA$93=FT_Y5,EDATE($D62,Milestones!$AA$93)&lt;PolicyEff),1,Milestones!$AC$93)&amp;";  ","")&amp;IF(AND(EDATE($D62,Milestones!$AA$94)&lt;=AsOfDate,EDATE($D62,Milestones!$AA$94)&gt;=SchemeStart,IF($X62=0,$AD62,IF(AND($Z62&lt;&gt;"",EDATE($D62,Milestones!$AA$94)&gt;=$Z62),$AC62,IF(AND($Y62&lt;&gt;"",EDATE($D62,Milestones!$AA$94)&gt;=$Y62),$AB62,$AA62)))=Milestones!$AB$94),UPPER(TEXT(EDATE($D62,Milestones!$AA$94),"dd mmm yy"))&amp;" "&amp;Milestones!$AB$94&amp;" "&amp;IF(AND(Milestones!$AB$94="FT",Milestones!$AA$94=FT_Y5,EDATE($D62,Milestones!$AA$94)&lt;PolicyEff),1,Milestones!$AC$94)&amp;";  ","")&amp;IF(AND(EDATE($D62,Milestones!$AA$95)&lt;=AsOfDate,EDATE($D62,Milestones!$AA$95)&gt;=SchemeStart,IF($X62=0,$AD62,IF(AND($Z62&lt;&gt;"",EDATE($D62,Milestones!$AA$95)&gt;=$Z62),$AC62,IF(AND($Y62&lt;&gt;"",EDATE($D62,Milestones!$AA$95)&gt;=$Y62),$AB62,$AA62)))=Milestones!$AB$95),UPPER(TEXT(EDATE($D62,Milestones!$AA$95),"dd mmm yy"))&amp;" "&amp;Milestones!$AB$95&amp;" "&amp;IF(AND(Milestones!$AB$95="FT",Milestones!$AA$95=FT_Y5,EDATE($D62,Milestones!$AA$95)&lt;PolicyEff),1,Milestones!$AC$95)&amp;";  ","")&amp;IF(AND(EDATE($D62,Milestones!$AA$96)&lt;=AsOfDate,EDATE($D62,Milestones!$AA$96)&gt;=SchemeStart,IF($X62=0,$AD62,IF(AND($Z62&lt;&gt;"",EDATE($D62,Milestones!$AA$96)&gt;=$Z62),$AC62,IF(AND($Y62&lt;&gt;"",EDATE($D62,Milestones!$AA$96)&gt;=$Y62),$AB62,$AA62)))=Milestones!$AB$96),UPPER(TEXT(EDATE($D62,Milestones!$AA$96),"dd mmm yy"))&amp;" "&amp;Milestones!$AB$96&amp;" "&amp;IF(AND(Milestones!$AB$96="FT",Milestones!$AA$96=FT_Y5,EDATE($D62,Milestones!$AA$96)&lt;PolicyEff),1,Milestones!$AC$96)&amp;";  ","")&amp;IF(AND(EDATE($D62,Milestones!$AA$97)&lt;=AsOfDate,EDATE($D62,Milestones!$AA$97)&gt;=SchemeStart,IF($X62=0,$AD62,IF(AND($Z62&lt;&gt;"",EDATE($D62,Milestones!$AA$97)&gt;=$Z62),$AC62,IF(AND($Y62&lt;&gt;"",EDATE($D62,Milestones!$AA$97)&gt;=$Y62),$AB62,$AA62)))=Milestones!$AB$97),UPPER(TEXT(EDATE($D62,Milestones!$AA$97),"dd mmm yy"))&amp;" "&amp;Milestones!$AB$97&amp;" "&amp;IF(AND(Milestones!$AB$97="FT",Milestones!$AA$97=FT_Y5,EDATE($D62,Milestones!$AA$97)&lt;PolicyEff),1,Milestones!$AC$97)&amp;";  ","")&amp;IF(AND(EDATE($D62,Milestones!$AA$98)&lt;=AsOfDate,EDATE($D62,Milestones!$AA$98)&gt;=SchemeStart,IF($X62=0,$AD62,IF(AND($Z62&lt;&gt;"",EDATE($D62,Milestones!$AA$98)&gt;=$Z62),$AC62,IF(AND($Y62&lt;&gt;"",EDATE($D62,Milestones!$AA$98)&gt;=$Y62),$AB62,$AA62)))=Milestones!$AB$98),UPPER(TEXT(EDATE($D62,Milestones!$AA$98),"dd mmm yy"))&amp;" "&amp;Milestones!$AB$98&amp;" "&amp;IF(AND(Milestones!$AB$98="FT",Milestones!$AA$98=FT_Y5,EDATE($D62,Milestones!$AA$98)&lt;PolicyEff),1,Milestones!$AC$98)&amp;";  ","")&amp;IF(AND(EDATE($D62,Milestones!$AA$99)&lt;=AsOfDate,EDATE($D62,Milestones!$AA$99)&gt;=SchemeStart,IF($X62=0,$AD62,IF(AND($Z62&lt;&gt;"",EDATE($D62,Milestones!$AA$99)&gt;=$Z62),$AC62,IF(AND($Y62&lt;&gt;"",EDATE($D62,Milestones!$AA$99)&gt;=$Y62),$AB62,$AA62)))=Milestones!$AB$99),UPPER(TEXT(EDATE($D62,Milestones!$AA$99),"dd mmm yy"))&amp;" "&amp;Milestones!$AB$99&amp;" "&amp;IF(AND(Milestones!$AB$99="FT",Milestones!$AA$99=FT_Y5,EDATE($D62,Milestones!$AA$99)&lt;PolicyEff),1,Milestones!$AC$99)&amp;";  ","")&amp;IF(AND(EDATE($D62,Milestones!$AA$100)&lt;=AsOfDate,EDATE($D62,Milestones!$AA$100)&gt;=SchemeStart,IF($X62=0,$AD62,IF(AND($Z62&lt;&gt;"",EDATE($D62,Milestones!$AA$100)&gt;=$Z62),$AC62,IF(AND($Y62&lt;&gt;"",EDATE($D62,Milestones!$AA$100)&gt;=$Y62),$AB62,$AA62)))=Milestones!$AB$100),UPPER(TEXT(EDATE($D62,Milestones!$AA$100),"dd mmm yy"))&amp;" "&amp;Milestones!$AB$100&amp;" "&amp;IF(AND(Milestones!$AB$100="FT",Milestones!$AA$100=FT_Y5,EDATE($D62,Milestones!$AA$100)&lt;PolicyEff),1,Milestones!$AC$100)&amp;";  ","")&amp;IF(AND(EDATE($D62,Milestones!$AA$101)&lt;=AsOfDate,EDATE($D62,Milestones!$AA$101)&gt;=SchemeStart,IF($X62=0,$AD62,IF(AND($Z62&lt;&gt;"",EDATE($D62,Milestones!$AA$101)&gt;=$Z62),$AC62,IF(AND($Y62&lt;&gt;"",EDATE($D62,Milestones!$AA$101)&gt;=$Y62),$AB62,$AA62)))=Milestones!$AB$101),UPPER(TEXT(EDATE($D62,Milestones!$AA$101),"dd mmm yy"))&amp;" "&amp;Milestones!$AB$101&amp;" "&amp;IF(AND(Milestones!$AB$101="FT",Milestones!$AA$101=FT_Y5,EDATE($D62,Milestones!$AA$101)&lt;PolicyEff),1,Milestones!$AC$101)&amp;";  ","")&amp;IF(AND(EDATE($D62,Milestones!$AA$102)&lt;=AsOfDate,EDATE($D62,Milestones!$AA$102)&gt;=SchemeStart,IF($X62=0,$AD62,IF(AND($Z62&lt;&gt;"",EDATE($D62,Milestones!$AA$102)&gt;=$Z62),$AC62,IF(AND($Y62&lt;&gt;"",EDATE($D62,Milestones!$AA$102)&gt;=$Y62),$AB62,$AA62)))=Milestones!$AB$102),UPPER(TEXT(EDATE($D62,Milestones!$AA$102),"dd mmm yy"))&amp;" "&amp;Milestones!$AB$102&amp;" "&amp;IF(AND(Milestones!$AB$102="FT",Milestones!$AA$102=FT_Y5,EDATE($D62,Milestones!$AA$102)&lt;PolicyEff),1,Milestones!$AC$102)&amp;";  ","")&amp;IF(AND(EDATE($D62,Milestones!$AA$103)&lt;=AsOfDate,EDATE($D62,Milestones!$AA$103)&gt;=SchemeStart,IF($X62=0,$AD62,IF(AND($Z62&lt;&gt;"",EDATE($D62,Milestones!$AA$103)&gt;=$Z62),$AC62,IF(AND($Y62&lt;&gt;"",EDATE($D62,Milestones!$AA$103)&gt;=$Y62),$AB62,$AA62)))=Milestones!$AB$103),UPPER(TEXT(EDATE($D62,Milestones!$AA$103),"dd mmm yy"))&amp;" "&amp;Milestones!$AB$103&amp;" "&amp;IF(AND(Milestones!$AB$103="FT",Milestones!$AA$103=FT_Y5,EDATE($D62,Milestones!$AA$103)&lt;PolicyEff),1,Milestones!$AC$103)&amp;";  ",""))</f>
        <v/>
      </c>
      <c r="P62" s="0" t="str">
        <f aca="false">IF(OR($A62="",$D62=""),"",IF(AND(EDATE($D62,Milestones!$AA$104)&lt;=AsOfDate,EDATE($D62,Milestones!$AA$104)&gt;=SchemeStart,IF($X62=0,$AD62,IF(AND($Z62&lt;&gt;"",EDATE($D62,Milestones!$AA$104)&gt;=$Z62),$AC62,IF(AND($Y62&lt;&gt;"",EDATE($D62,Milestones!$AA$104)&gt;=$Y62),$AB62,$AA62)))=Milestones!$AB$104),UPPER(TEXT(EDATE($D62,Milestones!$AA$104),"dd mmm yy"))&amp;" "&amp;Milestones!$AB$104&amp;" "&amp;IF(AND(Milestones!$AB$104="FT",Milestones!$AA$104=FT_Y5,EDATE($D62,Milestones!$AA$104)&lt;PolicyEff),1,Milestones!$AC$104)&amp;";  ","")&amp;IF(AND(EDATE($D62,Milestones!$AA$105)&lt;=AsOfDate,EDATE($D62,Milestones!$AA$105)&gt;=SchemeStart,IF($X62=0,$AD62,IF(AND($Z62&lt;&gt;"",EDATE($D62,Milestones!$AA$105)&gt;=$Z62),$AC62,IF(AND($Y62&lt;&gt;"",EDATE($D62,Milestones!$AA$105)&gt;=$Y62),$AB62,$AA62)))=Milestones!$AB$105),UPPER(TEXT(EDATE($D62,Milestones!$AA$105),"dd mmm yy"))&amp;" "&amp;Milestones!$AB$105&amp;" "&amp;IF(AND(Milestones!$AB$105="FT",Milestones!$AA$105=FT_Y5,EDATE($D62,Milestones!$AA$105)&lt;PolicyEff),1,Milestones!$AC$105)&amp;";  ","")&amp;IF(AND(EDATE($D62,Milestones!$AA$106)&lt;=AsOfDate,EDATE($D62,Milestones!$AA$106)&gt;=SchemeStart,IF($X62=0,$AD62,IF(AND($Z62&lt;&gt;"",EDATE($D62,Milestones!$AA$106)&gt;=$Z62),$AC62,IF(AND($Y62&lt;&gt;"",EDATE($D62,Milestones!$AA$106)&gt;=$Y62),$AB62,$AA62)))=Milestones!$AB$106),UPPER(TEXT(EDATE($D62,Milestones!$AA$106),"dd mmm yy"))&amp;" "&amp;Milestones!$AB$106&amp;" "&amp;IF(AND(Milestones!$AB$106="FT",Milestones!$AA$106=FT_Y5,EDATE($D62,Milestones!$AA$106)&lt;PolicyEff),1,Milestones!$AC$106)&amp;";  ","")&amp;IF(AND(EDATE($D62,Milestones!$AA$107)&lt;=AsOfDate,EDATE($D62,Milestones!$AA$107)&gt;=SchemeStart,IF($X62=0,$AD62,IF(AND($Z62&lt;&gt;"",EDATE($D62,Milestones!$AA$107)&gt;=$Z62),$AC62,IF(AND($Y62&lt;&gt;"",EDATE($D62,Milestones!$AA$107)&gt;=$Y62),$AB62,$AA62)))=Milestones!$AB$107),UPPER(TEXT(EDATE($D62,Milestones!$AA$107),"dd mmm yy"))&amp;" "&amp;Milestones!$AB$107&amp;" "&amp;IF(AND(Milestones!$AB$107="FT",Milestones!$AA$107=FT_Y5,EDATE($D62,Milestones!$AA$107)&lt;PolicyEff),1,Milestones!$AC$107)&amp;";  ","")&amp;IF(AND(EDATE($D62,Milestones!$AA$108)&lt;=AsOfDate,EDATE($D62,Milestones!$AA$108)&gt;=SchemeStart,IF($X62=0,$AD62,IF(AND($Z62&lt;&gt;"",EDATE($D62,Milestones!$AA$108)&gt;=$Z62),$AC62,IF(AND($Y62&lt;&gt;"",EDATE($D62,Milestones!$AA$108)&gt;=$Y62),$AB62,$AA62)))=Milestones!$AB$108),UPPER(TEXT(EDATE($D62,Milestones!$AA$108),"dd mmm yy"))&amp;" "&amp;Milestones!$AB$108&amp;" "&amp;IF(AND(Milestones!$AB$108="FT",Milestones!$AA$108=FT_Y5,EDATE($D62,Milestones!$AA$108)&lt;PolicyEff),1,Milestones!$AC$108)&amp;";  ","")&amp;IF(AND(EDATE($D62,Milestones!$AA$109)&lt;=AsOfDate,EDATE($D62,Milestones!$AA$109)&gt;=SchemeStart,IF($X62=0,$AD62,IF(AND($Z62&lt;&gt;"",EDATE($D62,Milestones!$AA$109)&gt;=$Z62),$AC62,IF(AND($Y62&lt;&gt;"",EDATE($D62,Milestones!$AA$109)&gt;=$Y62),$AB62,$AA62)))=Milestones!$AB$109),UPPER(TEXT(EDATE($D62,Milestones!$AA$109),"dd mmm yy"))&amp;" "&amp;Milestones!$AB$109&amp;" "&amp;IF(AND(Milestones!$AB$109="FT",Milestones!$AA$109=FT_Y5,EDATE($D62,Milestones!$AA$109)&lt;PolicyEff),1,Milestones!$AC$109)&amp;";  ","")&amp;IF(AND(EDATE($D62,Milestones!$AA$110)&lt;=AsOfDate,EDATE($D62,Milestones!$AA$110)&gt;=SchemeStart,IF($X62=0,$AD62,IF(AND($Z62&lt;&gt;"",EDATE($D62,Milestones!$AA$110)&gt;=$Z62),$AC62,IF(AND($Y62&lt;&gt;"",EDATE($D62,Milestones!$AA$110)&gt;=$Y62),$AB62,$AA62)))=Milestones!$AB$110),UPPER(TEXT(EDATE($D62,Milestones!$AA$110),"dd mmm yy"))&amp;" "&amp;Milestones!$AB$110&amp;" "&amp;IF(AND(Milestones!$AB$110="FT",Milestones!$AA$110=FT_Y5,EDATE($D62,Milestones!$AA$110)&lt;PolicyEff),1,Milestones!$AC$110)&amp;";  ","")&amp;IF(AND(EDATE($D62,Milestones!$AA$111)&lt;=AsOfDate,EDATE($D62,Milestones!$AA$111)&gt;=SchemeStart,IF($X62=0,$AD62,IF(AND($Z62&lt;&gt;"",EDATE($D62,Milestones!$AA$111)&gt;=$Z62),$AC62,IF(AND($Y62&lt;&gt;"",EDATE($D62,Milestones!$AA$111)&gt;=$Y62),$AB62,$AA62)))=Milestones!$AB$111),UPPER(TEXT(EDATE($D62,Milestones!$AA$111),"dd mmm yy"))&amp;" "&amp;Milestones!$AB$111&amp;" "&amp;IF(AND(Milestones!$AB$111="FT",Milestones!$AA$111=FT_Y5,EDATE($D62,Milestones!$AA$111)&lt;PolicyEff),1,Milestones!$AC$111)&amp;";  ","")&amp;IF(AND(EDATE($D62,Milestones!$AA$112)&lt;=AsOfDate,EDATE($D62,Milestones!$AA$112)&gt;=SchemeStart,IF($X62=0,$AD62,IF(AND($Z62&lt;&gt;"",EDATE($D62,Milestones!$AA$112)&gt;=$Z62),$AC62,IF(AND($Y62&lt;&gt;"",EDATE($D62,Milestones!$AA$112)&gt;=$Y62),$AB62,$AA62)))=Milestones!$AB$112),UPPER(TEXT(EDATE($D62,Milestones!$AA$112),"dd mmm yy"))&amp;" "&amp;Milestones!$AB$112&amp;" "&amp;IF(AND(Milestones!$AB$112="FT",Milestones!$AA$112=FT_Y5,EDATE($D62,Milestones!$AA$112)&lt;PolicyEff),1,Milestones!$AC$112)&amp;";  ","")&amp;IF(AND(EDATE($D62,Milestones!$AA$113)&lt;=AsOfDate,EDATE($D62,Milestones!$AA$113)&gt;=SchemeStart,IF($X62=0,$AD62,IF(AND($Z62&lt;&gt;"",EDATE($D62,Milestones!$AA$113)&gt;=$Z62),$AC62,IF(AND($Y62&lt;&gt;"",EDATE($D62,Milestones!$AA$113)&gt;=$Y62),$AB62,$AA62)))=Milestones!$AB$113),UPPER(TEXT(EDATE($D62,Milestones!$AA$113),"dd mmm yy"))&amp;" "&amp;Milestones!$AB$113&amp;" "&amp;IF(AND(Milestones!$AB$113="FT",Milestones!$AA$113=FT_Y5,EDATE($D62,Milestones!$AA$113)&lt;PolicyEff),1,Milestones!$AC$113)&amp;";  ","")&amp;IF(AND(EDATE($D62,Milestones!$AA$114)&lt;=AsOfDate,EDATE($D62,Milestones!$AA$114)&gt;=SchemeStart,IF($X62=0,$AD62,IF(AND($Z62&lt;&gt;"",EDATE($D62,Milestones!$AA$114)&gt;=$Z62),$AC62,IF(AND($Y62&lt;&gt;"",EDATE($D62,Milestones!$AA$114)&gt;=$Y62),$AB62,$AA62)))=Milestones!$AB$114),UPPER(TEXT(EDATE($D62,Milestones!$AA$114),"dd mmm yy"))&amp;" "&amp;Milestones!$AB$114&amp;" "&amp;IF(AND(Milestones!$AB$114="FT",Milestones!$AA$114=FT_Y5,EDATE($D62,Milestones!$AA$114)&lt;PolicyEff),1,Milestones!$AC$114)&amp;";  ","")&amp;IF(AND(EDATE($D62,Milestones!$AA$115)&lt;=AsOfDate,EDATE($D62,Milestones!$AA$115)&gt;=SchemeStart,IF($X62=0,$AD62,IF(AND($Z62&lt;&gt;"",EDATE($D62,Milestones!$AA$115)&gt;=$Z62),$AC62,IF(AND($Y62&lt;&gt;"",EDATE($D62,Milestones!$AA$115)&gt;=$Y62),$AB62,$AA62)))=Milestones!$AB$115),UPPER(TEXT(EDATE($D62,Milestones!$AA$115),"dd mmm yy"))&amp;" "&amp;Milestones!$AB$115&amp;" "&amp;IF(AND(Milestones!$AB$115="FT",Milestones!$AA$115=FT_Y5,EDATE($D62,Milestones!$AA$115)&lt;PolicyEff),1,Milestones!$AC$115)&amp;";  ",""))</f>
        <v/>
      </c>
      <c r="Q62" s="0" t="str">
        <f aca="false">IF(OR($A62="",$D62=""),"",IF(AND(EDATE($D62,Milestones!$AA$116)&lt;=AsOfDate,EDATE($D62,Milestones!$AA$116)&gt;=SchemeStart,IF($X62=0,$AD62,IF(AND($Z62&lt;&gt;"",EDATE($D62,Milestones!$AA$116)&gt;=$Z62),$AC62,IF(AND($Y62&lt;&gt;"",EDATE($D62,Milestones!$AA$116)&gt;=$Y62),$AB62,$AA62)))=Milestones!$AB$116),UPPER(TEXT(EDATE($D62,Milestones!$AA$116),"dd mmm yy"))&amp;" "&amp;Milestones!$AB$116&amp;" "&amp;IF(AND(Milestones!$AB$116="FT",Milestones!$AA$116=FT_Y5,EDATE($D62,Milestones!$AA$116)&lt;PolicyEff),1,Milestones!$AC$116)&amp;";  ","")&amp;IF(AND(EDATE($D62,Milestones!$AA$117)&lt;=AsOfDate,EDATE($D62,Milestones!$AA$117)&gt;=SchemeStart,IF($X62=0,$AD62,IF(AND($Z62&lt;&gt;"",EDATE($D62,Milestones!$AA$117)&gt;=$Z62),$AC62,IF(AND($Y62&lt;&gt;"",EDATE($D62,Milestones!$AA$117)&gt;=$Y62),$AB62,$AA62)))=Milestones!$AB$117),UPPER(TEXT(EDATE($D62,Milestones!$AA$117),"dd mmm yy"))&amp;" "&amp;Milestones!$AB$117&amp;" "&amp;IF(AND(Milestones!$AB$117="FT",Milestones!$AA$117=FT_Y5,EDATE($D62,Milestones!$AA$117)&lt;PolicyEff),1,Milestones!$AC$117)&amp;";  ","")&amp;IF(AND(EDATE($D62,Milestones!$AA$118)&lt;=AsOfDate,EDATE($D62,Milestones!$AA$118)&gt;=SchemeStart,IF($X62=0,$AD62,IF(AND($Z62&lt;&gt;"",EDATE($D62,Milestones!$AA$118)&gt;=$Z62),$AC62,IF(AND($Y62&lt;&gt;"",EDATE($D62,Milestones!$AA$118)&gt;=$Y62),$AB62,$AA62)))=Milestones!$AB$118),UPPER(TEXT(EDATE($D62,Milestones!$AA$118),"dd mmm yy"))&amp;" "&amp;Milestones!$AB$118&amp;" "&amp;IF(AND(Milestones!$AB$118="FT",Milestones!$AA$118=FT_Y5,EDATE($D62,Milestones!$AA$118)&lt;PolicyEff),1,Milestones!$AC$118)&amp;";  ","")&amp;IF(AND(EDATE($D62,Milestones!$AA$119)&lt;=AsOfDate,EDATE($D62,Milestones!$AA$119)&gt;=SchemeStart,IF($X62=0,$AD62,IF(AND($Z62&lt;&gt;"",EDATE($D62,Milestones!$AA$119)&gt;=$Z62),$AC62,IF(AND($Y62&lt;&gt;"",EDATE($D62,Milestones!$AA$119)&gt;=$Y62),$AB62,$AA62)))=Milestones!$AB$119),UPPER(TEXT(EDATE($D62,Milestones!$AA$119),"dd mmm yy"))&amp;" "&amp;Milestones!$AB$119&amp;" "&amp;IF(AND(Milestones!$AB$119="FT",Milestones!$AA$119=FT_Y5,EDATE($D62,Milestones!$AA$119)&lt;PolicyEff),1,Milestones!$AC$119)&amp;";  ","")&amp;IF(AND(EDATE($D62,Milestones!$AA$120)&lt;=AsOfDate,EDATE($D62,Milestones!$AA$120)&gt;=SchemeStart,IF($X62=0,$AD62,IF(AND($Z62&lt;&gt;"",EDATE($D62,Milestones!$AA$120)&gt;=$Z62),$AC62,IF(AND($Y62&lt;&gt;"",EDATE($D62,Milestones!$AA$120)&gt;=$Y62),$AB62,$AA62)))=Milestones!$AB$120),UPPER(TEXT(EDATE($D62,Milestones!$AA$120),"dd mmm yy"))&amp;" "&amp;Milestones!$AB$120&amp;" "&amp;IF(AND(Milestones!$AB$120="FT",Milestones!$AA$120=FT_Y5,EDATE($D62,Milestones!$AA$120)&lt;PolicyEff),1,Milestones!$AC$120)&amp;";  ","")&amp;IF(AND(EDATE($D62,Milestones!$AA$121)&lt;=AsOfDate,EDATE($D62,Milestones!$AA$121)&gt;=SchemeStart,IF($X62=0,$AD62,IF(AND($Z62&lt;&gt;"",EDATE($D62,Milestones!$AA$121)&gt;=$Z62),$AC62,IF(AND($Y62&lt;&gt;"",EDATE($D62,Milestones!$AA$121)&gt;=$Y62),$AB62,$AA62)))=Milestones!$AB$121),UPPER(TEXT(EDATE($D62,Milestones!$AA$121),"dd mmm yy"))&amp;" "&amp;Milestones!$AB$121&amp;" "&amp;IF(AND(Milestones!$AB$121="FT",Milestones!$AA$121=FT_Y5,EDATE($D62,Milestones!$AA$121)&lt;PolicyEff),1,Milestones!$AC$121)&amp;";  ","")&amp;IF(AND(EDATE($D62,Milestones!$AA$122)&lt;=AsOfDate,EDATE($D62,Milestones!$AA$122)&gt;=SchemeStart,IF($X62=0,$AD62,IF(AND($Z62&lt;&gt;"",EDATE($D62,Milestones!$AA$122)&gt;=$Z62),$AC62,IF(AND($Y62&lt;&gt;"",EDATE($D62,Milestones!$AA$122)&gt;=$Y62),$AB62,$AA62)))=Milestones!$AB$122),UPPER(TEXT(EDATE($D62,Milestones!$AA$122),"dd mmm yy"))&amp;" "&amp;Milestones!$AB$122&amp;" "&amp;IF(AND(Milestones!$AB$122="FT",Milestones!$AA$122=FT_Y5,EDATE($D62,Milestones!$AA$122)&lt;PolicyEff),1,Milestones!$AC$122)&amp;";  ","")&amp;IF(AND(EDATE($D62,Milestones!$AA$123)&lt;=AsOfDate,EDATE($D62,Milestones!$AA$123)&gt;=SchemeStart,IF($X62=0,$AD62,IF(AND($Z62&lt;&gt;"",EDATE($D62,Milestones!$AA$123)&gt;=$Z62),$AC62,IF(AND($Y62&lt;&gt;"",EDATE($D62,Milestones!$AA$123)&gt;=$Y62),$AB62,$AA62)))=Milestones!$AB$123),UPPER(TEXT(EDATE($D62,Milestones!$AA$123),"dd mmm yy"))&amp;" "&amp;Milestones!$AB$123&amp;" "&amp;IF(AND(Milestones!$AB$123="FT",Milestones!$AA$123=FT_Y5,EDATE($D62,Milestones!$AA$123)&lt;PolicyEff),1,Milestones!$AC$123)&amp;";  ","")&amp;IF(AND(EDATE($D62,Milestones!$AA$124)&lt;=AsOfDate,EDATE($D62,Milestones!$AA$124)&gt;=SchemeStart,IF($X62=0,$AD62,IF(AND($Z62&lt;&gt;"",EDATE($D62,Milestones!$AA$124)&gt;=$Z62),$AC62,IF(AND($Y62&lt;&gt;"",EDATE($D62,Milestones!$AA$124)&gt;=$Y62),$AB62,$AA62)))=Milestones!$AB$124),UPPER(TEXT(EDATE($D62,Milestones!$AA$124),"dd mmm yy"))&amp;" "&amp;Milestones!$AB$124&amp;" "&amp;IF(AND(Milestones!$AB$124="FT",Milestones!$AA$124=FT_Y5,EDATE($D62,Milestones!$AA$124)&lt;PolicyEff),1,Milestones!$AC$124)&amp;";  ","")&amp;IF(AND(EDATE($D62,Milestones!$AA$125)&lt;=AsOfDate,EDATE($D62,Milestones!$AA$125)&gt;=SchemeStart,IF($X62=0,$AD62,IF(AND($Z62&lt;&gt;"",EDATE($D62,Milestones!$AA$125)&gt;=$Z62),$AC62,IF(AND($Y62&lt;&gt;"",EDATE($D62,Milestones!$AA$125)&gt;=$Y62),$AB62,$AA62)))=Milestones!$AB$125),UPPER(TEXT(EDATE($D62,Milestones!$AA$125),"dd mmm yy"))&amp;" "&amp;Milestones!$AB$125&amp;" "&amp;IF(AND(Milestones!$AB$125="FT",Milestones!$AA$125=FT_Y5,EDATE($D62,Milestones!$AA$125)&lt;PolicyEff),1,Milestones!$AC$125)&amp;";  ","")&amp;IF(AND(EDATE($D62,Milestones!$AA$126)&lt;=AsOfDate,EDATE($D62,Milestones!$AA$126)&gt;=SchemeStart,IF($X62=0,$AD62,IF(AND($Z62&lt;&gt;"",EDATE($D62,Milestones!$AA$126)&gt;=$Z62),$AC62,IF(AND($Y62&lt;&gt;"",EDATE($D62,Milestones!$AA$126)&gt;=$Y62),$AB62,$AA62)))=Milestones!$AB$126),UPPER(TEXT(EDATE($D62,Milestones!$AA$126),"dd mmm yy"))&amp;" "&amp;Milestones!$AB$126&amp;" "&amp;IF(AND(Milestones!$AB$126="FT",Milestones!$AA$126=FT_Y5,EDATE($D62,Milestones!$AA$126)&lt;PolicyEff),1,Milestones!$AC$126)&amp;";  ","")&amp;IF(AND(EDATE($D62,Milestones!$AA$127)&lt;=AsOfDate,EDATE($D62,Milestones!$AA$127)&gt;=SchemeStart,IF($X62=0,$AD62,IF(AND($Z62&lt;&gt;"",EDATE($D62,Milestones!$AA$127)&gt;=$Z62),$AC62,IF(AND($Y62&lt;&gt;"",EDATE($D62,Milestones!$AA$127)&gt;=$Y62),$AB62,$AA62)))=Milestones!$AB$127),UPPER(TEXT(EDATE($D62,Milestones!$AA$127),"dd mmm yy"))&amp;" "&amp;Milestones!$AB$127&amp;" "&amp;IF(AND(Milestones!$AB$127="FT",Milestones!$AA$127=FT_Y5,EDATE($D62,Milestones!$AA$127)&lt;PolicyEff),1,Milestones!$AC$127)&amp;";  ",""))</f>
        <v/>
      </c>
      <c r="R62" s="0" t="str">
        <f aca="false">IF(OR($A62="",$D62=""),"",IF(AND(EDATE($D62,Milestones!$AA$128)&lt;=AsOfDate,EDATE($D62,Milestones!$AA$128)&gt;=SchemeStart,IF($X62=0,$AD62,IF(AND($Z62&lt;&gt;"",EDATE($D62,Milestones!$AA$128)&gt;=$Z62),$AC62,IF(AND($Y62&lt;&gt;"",EDATE($D62,Milestones!$AA$128)&gt;=$Y62),$AB62,$AA62)))=Milestones!$AB$128),UPPER(TEXT(EDATE($D62,Milestones!$AA$128),"dd mmm yy"))&amp;" "&amp;Milestones!$AB$128&amp;" "&amp;IF(AND(Milestones!$AB$128="FT",Milestones!$AA$128=FT_Y5,EDATE($D62,Milestones!$AA$128)&lt;PolicyEff),1,Milestones!$AC$128)&amp;";  ","")&amp;IF(AND(EDATE($D62,Milestones!$AA$129)&lt;=AsOfDate,EDATE($D62,Milestones!$AA$129)&gt;=SchemeStart,IF($X62=0,$AD62,IF(AND($Z62&lt;&gt;"",EDATE($D62,Milestones!$AA$129)&gt;=$Z62),$AC62,IF(AND($Y62&lt;&gt;"",EDATE($D62,Milestones!$AA$129)&gt;=$Y62),$AB62,$AA62)))=Milestones!$AB$129),UPPER(TEXT(EDATE($D62,Milestones!$AA$129),"dd mmm yy"))&amp;" "&amp;Milestones!$AB$129&amp;" "&amp;IF(AND(Milestones!$AB$129="FT",Milestones!$AA$129=FT_Y5,EDATE($D62,Milestones!$AA$129)&lt;PolicyEff),1,Milestones!$AC$129)&amp;";  ","")&amp;IF(AND(EDATE($D62,Milestones!$AA$130)&lt;=AsOfDate,EDATE($D62,Milestones!$AA$130)&gt;=SchemeStart,IF($X62=0,$AD62,IF(AND($Z62&lt;&gt;"",EDATE($D62,Milestones!$AA$130)&gt;=$Z62),$AC62,IF(AND($Y62&lt;&gt;"",EDATE($D62,Milestones!$AA$130)&gt;=$Y62),$AB62,$AA62)))=Milestones!$AB$130),UPPER(TEXT(EDATE($D62,Milestones!$AA$130),"dd mmm yy"))&amp;" "&amp;Milestones!$AB$130&amp;" "&amp;IF(AND(Milestones!$AB$130="FT",Milestones!$AA$130=FT_Y5,EDATE($D62,Milestones!$AA$130)&lt;PolicyEff),1,Milestones!$AC$130)&amp;";  ","")&amp;IF(AND(EDATE($D62,Milestones!$AA$131)&lt;=AsOfDate,EDATE($D62,Milestones!$AA$131)&gt;=SchemeStart,IF($X62=0,$AD62,IF(AND($Z62&lt;&gt;"",EDATE($D62,Milestones!$AA$131)&gt;=$Z62),$AC62,IF(AND($Y62&lt;&gt;"",EDATE($D62,Milestones!$AA$131)&gt;=$Y62),$AB62,$AA62)))=Milestones!$AB$131),UPPER(TEXT(EDATE($D62,Milestones!$AA$131),"dd mmm yy"))&amp;" "&amp;Milestones!$AB$131&amp;" "&amp;IF(AND(Milestones!$AB$131="FT",Milestones!$AA$131=FT_Y5,EDATE($D62,Milestones!$AA$131)&lt;PolicyEff),1,Milestones!$AC$131)&amp;";  ","")&amp;IF(AND(EDATE($D62,Milestones!$AA$132)&lt;=AsOfDate,EDATE($D62,Milestones!$AA$132)&gt;=SchemeStart,IF($X62=0,$AD62,IF(AND($Z62&lt;&gt;"",EDATE($D62,Milestones!$AA$132)&gt;=$Z62),$AC62,IF(AND($Y62&lt;&gt;"",EDATE($D62,Milestones!$AA$132)&gt;=$Y62),$AB62,$AA62)))=Milestones!$AB$132),UPPER(TEXT(EDATE($D62,Milestones!$AA$132),"dd mmm yy"))&amp;" "&amp;Milestones!$AB$132&amp;" "&amp;IF(AND(Milestones!$AB$132="FT",Milestones!$AA$132=FT_Y5,EDATE($D62,Milestones!$AA$132)&lt;PolicyEff),1,Milestones!$AC$132)&amp;";  ","")&amp;IF(AND(EDATE($D62,Milestones!$AA$133)&lt;=AsOfDate,EDATE($D62,Milestones!$AA$133)&gt;=SchemeStart,IF($X62=0,$AD62,IF(AND($Z62&lt;&gt;"",EDATE($D62,Milestones!$AA$133)&gt;=$Z62),$AC62,IF(AND($Y62&lt;&gt;"",EDATE($D62,Milestones!$AA$133)&gt;=$Y62),$AB62,$AA62)))=Milestones!$AB$133),UPPER(TEXT(EDATE($D62,Milestones!$AA$133),"dd mmm yy"))&amp;" "&amp;Milestones!$AB$133&amp;" "&amp;IF(AND(Milestones!$AB$133="FT",Milestones!$AA$133=FT_Y5,EDATE($D62,Milestones!$AA$133)&lt;PolicyEff),1,Milestones!$AC$133)&amp;";  ","")&amp;IF(AND(EDATE($D62,Milestones!$AA$134)&lt;=AsOfDate,EDATE($D62,Milestones!$AA$134)&gt;=SchemeStart,IF($X62=0,$AD62,IF(AND($Z62&lt;&gt;"",EDATE($D62,Milestones!$AA$134)&gt;=$Z62),$AC62,IF(AND($Y62&lt;&gt;"",EDATE($D62,Milestones!$AA$134)&gt;=$Y62),$AB62,$AA62)))=Milestones!$AB$134),UPPER(TEXT(EDATE($D62,Milestones!$AA$134),"dd mmm yy"))&amp;" "&amp;Milestones!$AB$134&amp;" "&amp;IF(AND(Milestones!$AB$134="FT",Milestones!$AA$134=FT_Y5,EDATE($D62,Milestones!$AA$134)&lt;PolicyEff),1,Milestones!$AC$134)&amp;";  ","")&amp;IF(AND(EDATE($D62,Milestones!$AA$135)&lt;=AsOfDate,EDATE($D62,Milestones!$AA$135)&gt;=SchemeStart,IF($X62=0,$AD62,IF(AND($Z62&lt;&gt;"",EDATE($D62,Milestones!$AA$135)&gt;=$Z62),$AC62,IF(AND($Y62&lt;&gt;"",EDATE($D62,Milestones!$AA$135)&gt;=$Y62),$AB62,$AA62)))=Milestones!$AB$135),UPPER(TEXT(EDATE($D62,Milestones!$AA$135),"dd mmm yy"))&amp;" "&amp;Milestones!$AB$135&amp;" "&amp;IF(AND(Milestones!$AB$135="FT",Milestones!$AA$135=FT_Y5,EDATE($D62,Milestones!$AA$135)&lt;PolicyEff),1,Milestones!$AC$135)&amp;";  ","")&amp;IF(AND(EDATE($D62,Milestones!$AA$136)&lt;=AsOfDate,EDATE($D62,Milestones!$AA$136)&gt;=SchemeStart,IF($X62=0,$AD62,IF(AND($Z62&lt;&gt;"",EDATE($D62,Milestones!$AA$136)&gt;=$Z62),$AC62,IF(AND($Y62&lt;&gt;"",EDATE($D62,Milestones!$AA$136)&gt;=$Y62),$AB62,$AA62)))=Milestones!$AB$136),UPPER(TEXT(EDATE($D62,Milestones!$AA$136),"dd mmm yy"))&amp;" "&amp;Milestones!$AB$136&amp;" "&amp;IF(AND(Milestones!$AB$136="FT",Milestones!$AA$136=FT_Y5,EDATE($D62,Milestones!$AA$136)&lt;PolicyEff),1,Milestones!$AC$136)&amp;";  ","")&amp;IF(AND(EDATE($D62,Milestones!$AA$137)&lt;=AsOfDate,EDATE($D62,Milestones!$AA$137)&gt;=SchemeStart,IF($X62=0,$AD62,IF(AND($Z62&lt;&gt;"",EDATE($D62,Milestones!$AA$137)&gt;=$Z62),$AC62,IF(AND($Y62&lt;&gt;"",EDATE($D62,Milestones!$AA$137)&gt;=$Y62),$AB62,$AA62)))=Milestones!$AB$137),UPPER(TEXT(EDATE($D62,Milestones!$AA$137),"dd mmm yy"))&amp;" "&amp;Milestones!$AB$137&amp;" "&amp;IF(AND(Milestones!$AB$137="FT",Milestones!$AA$137=FT_Y5,EDATE($D62,Milestones!$AA$137)&lt;PolicyEff),1,Milestones!$AC$137)&amp;";  ","")&amp;IF(AND(EDATE($D62,Milestones!$AA$138)&lt;=AsOfDate,EDATE($D62,Milestones!$AA$138)&gt;=SchemeStart,IF($X62=0,$AD62,IF(AND($Z62&lt;&gt;"",EDATE($D62,Milestones!$AA$138)&gt;=$Z62),$AC62,IF(AND($Y62&lt;&gt;"",EDATE($D62,Milestones!$AA$138)&gt;=$Y62),$AB62,$AA62)))=Milestones!$AB$138),UPPER(TEXT(EDATE($D62,Milestones!$AA$138),"dd mmm yy"))&amp;" "&amp;Milestones!$AB$138&amp;" "&amp;IF(AND(Milestones!$AB$138="FT",Milestones!$AA$138=FT_Y5,EDATE($D62,Milestones!$AA$138)&lt;PolicyEff),1,Milestones!$AC$138)&amp;";  ","")&amp;IF(AND(EDATE($D62,Milestones!$AA$139)&lt;=AsOfDate,EDATE($D62,Milestones!$AA$139)&gt;=SchemeStart,IF($X62=0,$AD62,IF(AND($Z62&lt;&gt;"",EDATE($D62,Milestones!$AA$139)&gt;=$Z62),$AC62,IF(AND($Y62&lt;&gt;"",EDATE($D62,Milestones!$AA$139)&gt;=$Y62),$AB62,$AA62)))=Milestones!$AB$139),UPPER(TEXT(EDATE($D62,Milestones!$AA$139),"dd mmm yy"))&amp;" "&amp;Milestones!$AB$139&amp;" "&amp;IF(AND(Milestones!$AB$139="FT",Milestones!$AA$139=FT_Y5,EDATE($D62,Milestones!$AA$139)&lt;PolicyEff),1,Milestones!$AC$139)&amp;";  ",""))</f>
        <v/>
      </c>
      <c r="S62" s="0" t="str">
        <f aca="false">IF(OR($A62="",$D62=""),"",IF(AND(EDATE($D62,Milestones!$AA$140)&lt;=AsOfDate,EDATE($D62,Milestones!$AA$140)&gt;=SchemeStart,IF($X62=0,$AD62,IF(AND($Z62&lt;&gt;"",EDATE($D62,Milestones!$AA$140)&gt;=$Z62),$AC62,IF(AND($Y62&lt;&gt;"",EDATE($D62,Milestones!$AA$140)&gt;=$Y62),$AB62,$AA62)))=Milestones!$AB$140),UPPER(TEXT(EDATE($D62,Milestones!$AA$140),"dd mmm yy"))&amp;" "&amp;Milestones!$AB$140&amp;" "&amp;IF(AND(Milestones!$AB$140="FT",Milestones!$AA$140=FT_Y5,EDATE($D62,Milestones!$AA$140)&lt;PolicyEff),1,Milestones!$AC$140)&amp;";  ","")&amp;IF(AND(EDATE($D62,Milestones!$AA$141)&lt;=AsOfDate,EDATE($D62,Milestones!$AA$141)&gt;=SchemeStart,IF($X62=0,$AD62,IF(AND($Z62&lt;&gt;"",EDATE($D62,Milestones!$AA$141)&gt;=$Z62),$AC62,IF(AND($Y62&lt;&gt;"",EDATE($D62,Milestones!$AA$141)&gt;=$Y62),$AB62,$AA62)))=Milestones!$AB$141),UPPER(TEXT(EDATE($D62,Milestones!$AA$141),"dd mmm yy"))&amp;" "&amp;Milestones!$AB$141&amp;" "&amp;IF(AND(Milestones!$AB$141="FT",Milestones!$AA$141=FT_Y5,EDATE($D62,Milestones!$AA$141)&lt;PolicyEff),1,Milestones!$AC$141)&amp;";  ","")&amp;IF(AND(EDATE($D62,Milestones!$AA$142)&lt;=AsOfDate,EDATE($D62,Milestones!$AA$142)&gt;=SchemeStart,IF($X62=0,$AD62,IF(AND($Z62&lt;&gt;"",EDATE($D62,Milestones!$AA$142)&gt;=$Z62),$AC62,IF(AND($Y62&lt;&gt;"",EDATE($D62,Milestones!$AA$142)&gt;=$Y62),$AB62,$AA62)))=Milestones!$AB$142),UPPER(TEXT(EDATE($D62,Milestones!$AA$142),"dd mmm yy"))&amp;" "&amp;Milestones!$AB$142&amp;" "&amp;IF(AND(Milestones!$AB$142="FT",Milestones!$AA$142=FT_Y5,EDATE($D62,Milestones!$AA$142)&lt;PolicyEff),1,Milestones!$AC$142)&amp;";  ","")&amp;IF(AND(EDATE($D62,Milestones!$AA$143)&lt;=AsOfDate,EDATE($D62,Milestones!$AA$143)&gt;=SchemeStart,IF($X62=0,$AD62,IF(AND($Z62&lt;&gt;"",EDATE($D62,Milestones!$AA$143)&gt;=$Z62),$AC62,IF(AND($Y62&lt;&gt;"",EDATE($D62,Milestones!$AA$143)&gt;=$Y62),$AB62,$AA62)))=Milestones!$AB$143),UPPER(TEXT(EDATE($D62,Milestones!$AA$143),"dd mmm yy"))&amp;" "&amp;Milestones!$AB$143&amp;" "&amp;IF(AND(Milestones!$AB$143="FT",Milestones!$AA$143=FT_Y5,EDATE($D62,Milestones!$AA$143)&lt;PolicyEff),1,Milestones!$AC$143)&amp;";  ","")&amp;IF(AND(EDATE($D62,Milestones!$AA$144)&lt;=AsOfDate,EDATE($D62,Milestones!$AA$144)&gt;=SchemeStart,IF($X62=0,$AD62,IF(AND($Z62&lt;&gt;"",EDATE($D62,Milestones!$AA$144)&gt;=$Z62),$AC62,IF(AND($Y62&lt;&gt;"",EDATE($D62,Milestones!$AA$144)&gt;=$Y62),$AB62,$AA62)))=Milestones!$AB$144),UPPER(TEXT(EDATE($D62,Milestones!$AA$144),"dd mmm yy"))&amp;" "&amp;Milestones!$AB$144&amp;" "&amp;IF(AND(Milestones!$AB$144="FT",Milestones!$AA$144=FT_Y5,EDATE($D62,Milestones!$AA$144)&lt;PolicyEff),1,Milestones!$AC$144)&amp;";  ","")&amp;IF(AND(EDATE($D62,Milestones!$AA$145)&lt;=AsOfDate,EDATE($D62,Milestones!$AA$145)&gt;=SchemeStart,IF($X62=0,$AD62,IF(AND($Z62&lt;&gt;"",EDATE($D62,Milestones!$AA$145)&gt;=$Z62),$AC62,IF(AND($Y62&lt;&gt;"",EDATE($D62,Milestones!$AA$145)&gt;=$Y62),$AB62,$AA62)))=Milestones!$AB$145),UPPER(TEXT(EDATE($D62,Milestones!$AA$145),"dd mmm yy"))&amp;" "&amp;Milestones!$AB$145&amp;" "&amp;IF(AND(Milestones!$AB$145="FT",Milestones!$AA$145=FT_Y5,EDATE($D62,Milestones!$AA$145)&lt;PolicyEff),1,Milestones!$AC$145)&amp;";  ","")&amp;IF(AND(EDATE($D62,Milestones!$AA$146)&lt;=AsOfDate,EDATE($D62,Milestones!$AA$146)&gt;=SchemeStart,IF($X62=0,$AD62,IF(AND($Z62&lt;&gt;"",EDATE($D62,Milestones!$AA$146)&gt;=$Z62),$AC62,IF(AND($Y62&lt;&gt;"",EDATE($D62,Milestones!$AA$146)&gt;=$Y62),$AB62,$AA62)))=Milestones!$AB$146),UPPER(TEXT(EDATE($D62,Milestones!$AA$146),"dd mmm yy"))&amp;" "&amp;Milestones!$AB$146&amp;" "&amp;IF(AND(Milestones!$AB$146="FT",Milestones!$AA$146=FT_Y5,EDATE($D62,Milestones!$AA$146)&lt;PolicyEff),1,Milestones!$AC$146)&amp;";  ","")&amp;IF(AND(EDATE($D62,Milestones!$AA$147)&lt;=AsOfDate,EDATE($D62,Milestones!$AA$147)&gt;=SchemeStart,IF($X62=0,$AD62,IF(AND($Z62&lt;&gt;"",EDATE($D62,Milestones!$AA$147)&gt;=$Z62),$AC62,IF(AND($Y62&lt;&gt;"",EDATE($D62,Milestones!$AA$147)&gt;=$Y62),$AB62,$AA62)))=Milestones!$AB$147),UPPER(TEXT(EDATE($D62,Milestones!$AA$147),"dd mmm yy"))&amp;" "&amp;Milestones!$AB$147&amp;" "&amp;IF(AND(Milestones!$AB$147="FT",Milestones!$AA$147=FT_Y5,EDATE($D62,Milestones!$AA$147)&lt;PolicyEff),1,Milestones!$AC$147)&amp;";  ","")&amp;IF(AND(EDATE($D62,Milestones!$AA$148)&lt;=AsOfDate,EDATE($D62,Milestones!$AA$148)&gt;=SchemeStart,IF($X62=0,$AD62,IF(AND($Z62&lt;&gt;"",EDATE($D62,Milestones!$AA$148)&gt;=$Z62),$AC62,IF(AND($Y62&lt;&gt;"",EDATE($D62,Milestones!$AA$148)&gt;=$Y62),$AB62,$AA62)))=Milestones!$AB$148),UPPER(TEXT(EDATE($D62,Milestones!$AA$148),"dd mmm yy"))&amp;" "&amp;Milestones!$AB$148&amp;" "&amp;IF(AND(Milestones!$AB$148="FT",Milestones!$AA$148=FT_Y5,EDATE($D62,Milestones!$AA$148)&lt;PolicyEff),1,Milestones!$AC$148)&amp;";  ","")&amp;IF(AND(EDATE($D62,Milestones!$AA$149)&lt;=AsOfDate,EDATE($D62,Milestones!$AA$149)&gt;=SchemeStart,IF($X62=0,$AD62,IF(AND($Z62&lt;&gt;"",EDATE($D62,Milestones!$AA$149)&gt;=$Z62),$AC62,IF(AND($Y62&lt;&gt;"",EDATE($D62,Milestones!$AA$149)&gt;=$Y62),$AB62,$AA62)))=Milestones!$AB$149),UPPER(TEXT(EDATE($D62,Milestones!$AA$149),"dd mmm yy"))&amp;" "&amp;Milestones!$AB$149&amp;" "&amp;IF(AND(Milestones!$AB$149="FT",Milestones!$AA$149=FT_Y5,EDATE($D62,Milestones!$AA$149)&lt;PolicyEff),1,Milestones!$AC$149)&amp;";  ","")&amp;IF(AND(EDATE($D62,Milestones!$AA$150)&lt;=AsOfDate,EDATE($D62,Milestones!$AA$150)&gt;=SchemeStart,IF($X62=0,$AD62,IF(AND($Z62&lt;&gt;"",EDATE($D62,Milestones!$AA$150)&gt;=$Z62),$AC62,IF(AND($Y62&lt;&gt;"",EDATE($D62,Milestones!$AA$150)&gt;=$Y62),$AB62,$AA62)))=Milestones!$AB$150),UPPER(TEXT(EDATE($D62,Milestones!$AA$150),"dd mmm yy"))&amp;" "&amp;Milestones!$AB$150&amp;" "&amp;IF(AND(Milestones!$AB$150="FT",Milestones!$AA$150=FT_Y5,EDATE($D62,Milestones!$AA$150)&lt;PolicyEff),1,Milestones!$AC$150)&amp;";  ","")&amp;IF(AND(EDATE($D62,Milestones!$AA$151)&lt;=AsOfDate,EDATE($D62,Milestones!$AA$151)&gt;=SchemeStart,IF($X62=0,$AD62,IF(AND($Z62&lt;&gt;"",EDATE($D62,Milestones!$AA$151)&gt;=$Z62),$AC62,IF(AND($Y62&lt;&gt;"",EDATE($D62,Milestones!$AA$151)&gt;=$Y62),$AB62,$AA62)))=Milestones!$AB$151),UPPER(TEXT(EDATE($D62,Milestones!$AA$151),"dd mmm yy"))&amp;" "&amp;Milestones!$AB$151&amp;" "&amp;IF(AND(Milestones!$AB$151="FT",Milestones!$AA$151=FT_Y5,EDATE($D62,Milestones!$AA$151)&lt;PolicyEff),1,Milestones!$AC$151)&amp;";  ",""))</f>
        <v/>
      </c>
      <c r="T62" s="0" t="str">
        <f aca="false">IF(OR($A62="",$D62=""),"",IF(AND(EDATE($D62,Milestones!$AA$152)&lt;=AsOfDate,EDATE($D62,Milestones!$AA$152)&gt;=SchemeStart,IF($X62=0,$AD62,IF(AND($Z62&lt;&gt;"",EDATE($D62,Milestones!$AA$152)&gt;=$Z62),$AC62,IF(AND($Y62&lt;&gt;"",EDATE($D62,Milestones!$AA$152)&gt;=$Y62),$AB62,$AA62)))=Milestones!$AB$152),UPPER(TEXT(EDATE($D62,Milestones!$AA$152),"dd mmm yy"))&amp;" "&amp;Milestones!$AB$152&amp;" "&amp;IF(AND(Milestones!$AB$152="FT",Milestones!$AA$152=FT_Y5,EDATE($D62,Milestones!$AA$152)&lt;PolicyEff),1,Milestones!$AC$152)&amp;";  ","")&amp;IF(AND(EDATE($D62,Milestones!$AA$153)&lt;=AsOfDate,EDATE($D62,Milestones!$AA$153)&gt;=SchemeStart,IF($X62=0,$AD62,IF(AND($Z62&lt;&gt;"",EDATE($D62,Milestones!$AA$153)&gt;=$Z62),$AC62,IF(AND($Y62&lt;&gt;"",EDATE($D62,Milestones!$AA$153)&gt;=$Y62),$AB62,$AA62)))=Milestones!$AB$153),UPPER(TEXT(EDATE($D62,Milestones!$AA$153),"dd mmm yy"))&amp;" "&amp;Milestones!$AB$153&amp;" "&amp;IF(AND(Milestones!$AB$153="FT",Milestones!$AA$153=FT_Y5,EDATE($D62,Milestones!$AA$153)&lt;PolicyEff),1,Milestones!$AC$153)&amp;";  ","")&amp;IF(AND(EDATE($D62,Milestones!$AA$154)&lt;=AsOfDate,EDATE($D62,Milestones!$AA$154)&gt;=SchemeStart,IF($X62=0,$AD62,IF(AND($Z62&lt;&gt;"",EDATE($D62,Milestones!$AA$154)&gt;=$Z62),$AC62,IF(AND($Y62&lt;&gt;"",EDATE($D62,Milestones!$AA$154)&gt;=$Y62),$AB62,$AA62)))=Milestones!$AB$154),UPPER(TEXT(EDATE($D62,Milestones!$AA$154),"dd mmm yy"))&amp;" "&amp;Milestones!$AB$154&amp;" "&amp;IF(AND(Milestones!$AB$154="FT",Milestones!$AA$154=FT_Y5,EDATE($D62,Milestones!$AA$154)&lt;PolicyEff),1,Milestones!$AC$154)&amp;";  ","")&amp;IF(AND(EDATE($D62,Milestones!$AA$155)&lt;=AsOfDate,EDATE($D62,Milestones!$AA$155)&gt;=SchemeStart,IF($X62=0,$AD62,IF(AND($Z62&lt;&gt;"",EDATE($D62,Milestones!$AA$155)&gt;=$Z62),$AC62,IF(AND($Y62&lt;&gt;"",EDATE($D62,Milestones!$AA$155)&gt;=$Y62),$AB62,$AA62)))=Milestones!$AB$155),UPPER(TEXT(EDATE($D62,Milestones!$AA$155),"dd mmm yy"))&amp;" "&amp;Milestones!$AB$155&amp;" "&amp;IF(AND(Milestones!$AB$155="FT",Milestones!$AA$155=FT_Y5,EDATE($D62,Milestones!$AA$155)&lt;PolicyEff),1,Milestones!$AC$155)&amp;";  ","")&amp;IF(AND(EDATE($D62,Milestones!$AA$156)&lt;=AsOfDate,EDATE($D62,Milestones!$AA$156)&gt;=SchemeStart,IF($X62=0,$AD62,IF(AND($Z62&lt;&gt;"",EDATE($D62,Milestones!$AA$156)&gt;=$Z62),$AC62,IF(AND($Y62&lt;&gt;"",EDATE($D62,Milestones!$AA$156)&gt;=$Y62),$AB62,$AA62)))=Milestones!$AB$156),UPPER(TEXT(EDATE($D62,Milestones!$AA$156),"dd mmm yy"))&amp;" "&amp;Milestones!$AB$156&amp;" "&amp;IF(AND(Milestones!$AB$156="FT",Milestones!$AA$156=FT_Y5,EDATE($D62,Milestones!$AA$156)&lt;PolicyEff),1,Milestones!$AC$156)&amp;";  ","")&amp;IF(AND(EDATE($D62,Milestones!$AA$157)&lt;=AsOfDate,EDATE($D62,Milestones!$AA$157)&gt;=SchemeStart,IF($X62=0,$AD62,IF(AND($Z62&lt;&gt;"",EDATE($D62,Milestones!$AA$157)&gt;=$Z62),$AC62,IF(AND($Y62&lt;&gt;"",EDATE($D62,Milestones!$AA$157)&gt;=$Y62),$AB62,$AA62)))=Milestones!$AB$157),UPPER(TEXT(EDATE($D62,Milestones!$AA$157),"dd mmm yy"))&amp;" "&amp;Milestones!$AB$157&amp;" "&amp;IF(AND(Milestones!$AB$157="FT",Milestones!$AA$157=FT_Y5,EDATE($D62,Milestones!$AA$157)&lt;PolicyEff),1,Milestones!$AC$157)&amp;";  ","")&amp;IF(AND(EDATE($D62,Milestones!$AA$158)&lt;=AsOfDate,EDATE($D62,Milestones!$AA$158)&gt;=SchemeStart,IF($X62=0,$AD62,IF(AND($Z62&lt;&gt;"",EDATE($D62,Milestones!$AA$158)&gt;=$Z62),$AC62,IF(AND($Y62&lt;&gt;"",EDATE($D62,Milestones!$AA$158)&gt;=$Y62),$AB62,$AA62)))=Milestones!$AB$158),UPPER(TEXT(EDATE($D62,Milestones!$AA$158),"dd mmm yy"))&amp;" "&amp;Milestones!$AB$158&amp;" "&amp;IF(AND(Milestones!$AB$158="FT",Milestones!$AA$158=FT_Y5,EDATE($D62,Milestones!$AA$158)&lt;PolicyEff),1,Milestones!$AC$158)&amp;";  ","")&amp;IF(AND(EDATE($D62,Milestones!$AA$159)&lt;=AsOfDate,EDATE($D62,Milestones!$AA$159)&gt;=SchemeStart,IF($X62=0,$AD62,IF(AND($Z62&lt;&gt;"",EDATE($D62,Milestones!$AA$159)&gt;=$Z62),$AC62,IF(AND($Y62&lt;&gt;"",EDATE($D62,Milestones!$AA$159)&gt;=$Y62),$AB62,$AA62)))=Milestones!$AB$159),UPPER(TEXT(EDATE($D62,Milestones!$AA$159),"dd mmm yy"))&amp;" "&amp;Milestones!$AB$159&amp;" "&amp;IF(AND(Milestones!$AB$159="FT",Milestones!$AA$159=FT_Y5,EDATE($D62,Milestones!$AA$159)&lt;PolicyEff),1,Milestones!$AC$159)&amp;";  ","")&amp;IF(AND(EDATE($D62,Milestones!$AA$160)&lt;=AsOfDate,EDATE($D62,Milestones!$AA$160)&gt;=SchemeStart,IF($X62=0,$AD62,IF(AND($Z62&lt;&gt;"",EDATE($D62,Milestones!$AA$160)&gt;=$Z62),$AC62,IF(AND($Y62&lt;&gt;"",EDATE($D62,Milestones!$AA$160)&gt;=$Y62),$AB62,$AA62)))=Milestones!$AB$160),UPPER(TEXT(EDATE($D62,Milestones!$AA$160),"dd mmm yy"))&amp;" "&amp;Milestones!$AB$160&amp;" "&amp;IF(AND(Milestones!$AB$160="FT",Milestones!$AA$160=FT_Y5,EDATE($D62,Milestones!$AA$160)&lt;PolicyEff),1,Milestones!$AC$160)&amp;";  ","")&amp;IF(AND(EDATE($D62,Milestones!$AA$161)&lt;=AsOfDate,EDATE($D62,Milestones!$AA$161)&gt;=SchemeStart,IF($X62=0,$AD62,IF(AND($Z62&lt;&gt;"",EDATE($D62,Milestones!$AA$161)&gt;=$Z62),$AC62,IF(AND($Y62&lt;&gt;"",EDATE($D62,Milestones!$AA$161)&gt;=$Y62),$AB62,$AA62)))=Milestones!$AB$161),UPPER(TEXT(EDATE($D62,Milestones!$AA$161),"dd mmm yy"))&amp;" "&amp;Milestones!$AB$161&amp;" "&amp;IF(AND(Milestones!$AB$161="FT",Milestones!$AA$161=FT_Y5,EDATE($D62,Milestones!$AA$161)&lt;PolicyEff),1,Milestones!$AC$161)&amp;";  ","")&amp;IF(AND(EDATE($D62,Milestones!$AA$162)&lt;=AsOfDate,EDATE($D62,Milestones!$AA$162)&gt;=SchemeStart,IF($X62=0,$AD62,IF(AND($Z62&lt;&gt;"",EDATE($D62,Milestones!$AA$162)&gt;=$Z62),$AC62,IF(AND($Y62&lt;&gt;"",EDATE($D62,Milestones!$AA$162)&gt;=$Y62),$AB62,$AA62)))=Milestones!$AB$162),UPPER(TEXT(EDATE($D62,Milestones!$AA$162),"dd mmm yy"))&amp;" "&amp;Milestones!$AB$162&amp;" "&amp;IF(AND(Milestones!$AB$162="FT",Milestones!$AA$162=FT_Y5,EDATE($D62,Milestones!$AA$162)&lt;PolicyEff),1,Milestones!$AC$162)&amp;";  ","")&amp;IF(AND(EDATE($D62,Milestones!$AA$163)&lt;=AsOfDate,EDATE($D62,Milestones!$AA$163)&gt;=SchemeStart,IF($X62=0,$AD62,IF(AND($Z62&lt;&gt;"",EDATE($D62,Milestones!$AA$163)&gt;=$Z62),$AC62,IF(AND($Y62&lt;&gt;"",EDATE($D62,Milestones!$AA$163)&gt;=$Y62),$AB62,$AA62)))=Milestones!$AB$163),UPPER(TEXT(EDATE($D62,Milestones!$AA$163),"dd mmm yy"))&amp;" "&amp;Milestones!$AB$163&amp;" "&amp;IF(AND(Milestones!$AB$163="FT",Milestones!$AA$163=FT_Y5,EDATE($D62,Milestones!$AA$163)&lt;PolicyEff),1,Milestones!$AC$163)&amp;";  ",""))</f>
        <v/>
      </c>
      <c r="U62" s="0" t="str">
        <f aca="false">IF(OR($A62="",$D62=""),"",IF(AND(EDATE($D62,Milestones!$AA$164)&lt;=AsOfDate,EDATE($D62,Milestones!$AA$164)&gt;=SchemeStart,IF($X62=0,$AD62,IF(AND($Z62&lt;&gt;"",EDATE($D62,Milestones!$AA$164)&gt;=$Z62),$AC62,IF(AND($Y62&lt;&gt;"",EDATE($D62,Milestones!$AA$164)&gt;=$Y62),$AB62,$AA62)))=Milestones!$AB$164),UPPER(TEXT(EDATE($D62,Milestones!$AA$164),"dd mmm yy"))&amp;" "&amp;Milestones!$AB$164&amp;" "&amp;IF(AND(Milestones!$AB$164="FT",Milestones!$AA$164=FT_Y5,EDATE($D62,Milestones!$AA$164)&lt;PolicyEff),1,Milestones!$AC$164)&amp;";  ","")&amp;IF(AND(EDATE($D62,Milestones!$AA$165)&lt;=AsOfDate,EDATE($D62,Milestones!$AA$165)&gt;=SchemeStart,IF($X62=0,$AD62,IF(AND($Z62&lt;&gt;"",EDATE($D62,Milestones!$AA$165)&gt;=$Z62),$AC62,IF(AND($Y62&lt;&gt;"",EDATE($D62,Milestones!$AA$165)&gt;=$Y62),$AB62,$AA62)))=Milestones!$AB$165),UPPER(TEXT(EDATE($D62,Milestones!$AA$165),"dd mmm yy"))&amp;" "&amp;Milestones!$AB$165&amp;" "&amp;IF(AND(Milestones!$AB$165="FT",Milestones!$AA$165=FT_Y5,EDATE($D62,Milestones!$AA$165)&lt;PolicyEff),1,Milestones!$AC$165)&amp;";  ","")&amp;IF(AND(EDATE($D62,Milestones!$AA$166)&lt;=AsOfDate,EDATE($D62,Milestones!$AA$166)&gt;=SchemeStart,IF($X62=0,$AD62,IF(AND($Z62&lt;&gt;"",EDATE($D62,Milestones!$AA$166)&gt;=$Z62),$AC62,IF(AND($Y62&lt;&gt;"",EDATE($D62,Milestones!$AA$166)&gt;=$Y62),$AB62,$AA62)))=Milestones!$AB$166),UPPER(TEXT(EDATE($D62,Milestones!$AA$166),"dd mmm yy"))&amp;" "&amp;Milestones!$AB$166&amp;" "&amp;IF(AND(Milestones!$AB$166="FT",Milestones!$AA$166=FT_Y5,EDATE($D62,Milestones!$AA$166)&lt;PolicyEff),1,Milestones!$AC$166)&amp;";  ","")&amp;IF(AND(EDATE($D62,Milestones!$AA$167)&lt;=AsOfDate,EDATE($D62,Milestones!$AA$167)&gt;=SchemeStart,IF($X62=0,$AD62,IF(AND($Z62&lt;&gt;"",EDATE($D62,Milestones!$AA$167)&gt;=$Z62),$AC62,IF(AND($Y62&lt;&gt;"",EDATE($D62,Milestones!$AA$167)&gt;=$Y62),$AB62,$AA62)))=Milestones!$AB$167),UPPER(TEXT(EDATE($D62,Milestones!$AA$167),"dd mmm yy"))&amp;" "&amp;Milestones!$AB$167&amp;" "&amp;IF(AND(Milestones!$AB$167="FT",Milestones!$AA$167=FT_Y5,EDATE($D62,Milestones!$AA$167)&lt;PolicyEff),1,Milestones!$AC$167)&amp;";  ","")&amp;IF(AND(EDATE($D62,Milestones!$AA$168)&lt;=AsOfDate,EDATE($D62,Milestones!$AA$168)&gt;=SchemeStart,IF($X62=0,$AD62,IF(AND($Z62&lt;&gt;"",EDATE($D62,Milestones!$AA$168)&gt;=$Z62),$AC62,IF(AND($Y62&lt;&gt;"",EDATE($D62,Milestones!$AA$168)&gt;=$Y62),$AB62,$AA62)))=Milestones!$AB$168),UPPER(TEXT(EDATE($D62,Milestones!$AA$168),"dd mmm yy"))&amp;" "&amp;Milestones!$AB$168&amp;" "&amp;IF(AND(Milestones!$AB$168="FT",Milestones!$AA$168=FT_Y5,EDATE($D62,Milestones!$AA$168)&lt;PolicyEff),1,Milestones!$AC$168)&amp;";  ","")&amp;IF(AND(EDATE($D62,Milestones!$AA$169)&lt;=AsOfDate,EDATE($D62,Milestones!$AA$169)&gt;=SchemeStart,IF($X62=0,$AD62,IF(AND($Z62&lt;&gt;"",EDATE($D62,Milestones!$AA$169)&gt;=$Z62),$AC62,IF(AND($Y62&lt;&gt;"",EDATE($D62,Milestones!$AA$169)&gt;=$Y62),$AB62,$AA62)))=Milestones!$AB$169),UPPER(TEXT(EDATE($D62,Milestones!$AA$169),"dd mmm yy"))&amp;" "&amp;Milestones!$AB$169&amp;" "&amp;IF(AND(Milestones!$AB$169="FT",Milestones!$AA$169=FT_Y5,EDATE($D62,Milestones!$AA$169)&lt;PolicyEff),1,Milestones!$AC$169)&amp;";  ","")&amp;IF(AND(EDATE($D62,Milestones!$AA$170)&lt;=AsOfDate,EDATE($D62,Milestones!$AA$170)&gt;=SchemeStart,IF($X62=0,$AD62,IF(AND($Z62&lt;&gt;"",EDATE($D62,Milestones!$AA$170)&gt;=$Z62),$AC62,IF(AND($Y62&lt;&gt;"",EDATE($D62,Milestones!$AA$170)&gt;=$Y62),$AB62,$AA62)))=Milestones!$AB$170),UPPER(TEXT(EDATE($D62,Milestones!$AA$170),"dd mmm yy"))&amp;" "&amp;Milestones!$AB$170&amp;" "&amp;IF(AND(Milestones!$AB$170="FT",Milestones!$AA$170=FT_Y5,EDATE($D62,Milestones!$AA$170)&lt;PolicyEff),1,Milestones!$AC$170)&amp;";  ","")&amp;IF(AND(EDATE($D62,Milestones!$AA$171)&lt;=AsOfDate,EDATE($D62,Milestones!$AA$171)&gt;=SchemeStart,IF($X62=0,$AD62,IF(AND($Z62&lt;&gt;"",EDATE($D62,Milestones!$AA$171)&gt;=$Z62),$AC62,IF(AND($Y62&lt;&gt;"",EDATE($D62,Milestones!$AA$171)&gt;=$Y62),$AB62,$AA62)))=Milestones!$AB$171),UPPER(TEXT(EDATE($D62,Milestones!$AA$171),"dd mmm yy"))&amp;" "&amp;Milestones!$AB$171&amp;" "&amp;IF(AND(Milestones!$AB$171="FT",Milestones!$AA$171=FT_Y5,EDATE($D62,Milestones!$AA$171)&lt;PolicyEff),1,Milestones!$AC$171)&amp;";  ","")&amp;IF(AND(EDATE($D62,Milestones!$AA$172)&lt;=AsOfDate,EDATE($D62,Milestones!$AA$172)&gt;=SchemeStart,IF($X62=0,$AD62,IF(AND($Z62&lt;&gt;"",EDATE($D62,Milestones!$AA$172)&gt;=$Z62),$AC62,IF(AND($Y62&lt;&gt;"",EDATE($D62,Milestones!$AA$172)&gt;=$Y62),$AB62,$AA62)))=Milestones!$AB$172),UPPER(TEXT(EDATE($D62,Milestones!$AA$172),"dd mmm yy"))&amp;" "&amp;Milestones!$AB$172&amp;" "&amp;IF(AND(Milestones!$AB$172="FT",Milestones!$AA$172=FT_Y5,EDATE($D62,Milestones!$AA$172)&lt;PolicyEff),1,Milestones!$AC$172)&amp;";  ","")&amp;IF(AND(EDATE($D62,Milestones!$AA$173)&lt;=AsOfDate,EDATE($D62,Milestones!$AA$173)&gt;=SchemeStart,IF($X62=0,$AD62,IF(AND($Z62&lt;&gt;"",EDATE($D62,Milestones!$AA$173)&gt;=$Z62),$AC62,IF(AND($Y62&lt;&gt;"",EDATE($D62,Milestones!$AA$173)&gt;=$Y62),$AB62,$AA62)))=Milestones!$AB$173),UPPER(TEXT(EDATE($D62,Milestones!$AA$173),"dd mmm yy"))&amp;" "&amp;Milestones!$AB$173&amp;" "&amp;IF(AND(Milestones!$AB$173="FT",Milestones!$AA$173=FT_Y5,EDATE($D62,Milestones!$AA$173)&lt;PolicyEff),1,Milestones!$AC$173)&amp;";  ","")&amp;IF(AND(EDATE($D62,Milestones!$AA$174)&lt;=AsOfDate,EDATE($D62,Milestones!$AA$174)&gt;=SchemeStart,IF($X62=0,$AD62,IF(AND($Z62&lt;&gt;"",EDATE($D62,Milestones!$AA$174)&gt;=$Z62),$AC62,IF(AND($Y62&lt;&gt;"",EDATE($D62,Milestones!$AA$174)&gt;=$Y62),$AB62,$AA62)))=Milestones!$AB$174),UPPER(TEXT(EDATE($D62,Milestones!$AA$174),"dd mmm yy"))&amp;" "&amp;Milestones!$AB$174&amp;" "&amp;IF(AND(Milestones!$AB$174="FT",Milestones!$AA$174=FT_Y5,EDATE($D62,Milestones!$AA$174)&lt;PolicyEff),1,Milestones!$AC$174)&amp;";  ","")&amp;IF(AND(EDATE($D62,Milestones!$AA$175)&lt;=AsOfDate,EDATE($D62,Milestones!$AA$175)&gt;=SchemeStart,IF($X62=0,$AD62,IF(AND($Z62&lt;&gt;"",EDATE($D62,Milestones!$AA$175)&gt;=$Z62),$AC62,IF(AND($Y62&lt;&gt;"",EDATE($D62,Milestones!$AA$175)&gt;=$Y62),$AB62,$AA62)))=Milestones!$AB$175),UPPER(TEXT(EDATE($D62,Milestones!$AA$175),"dd mmm yy"))&amp;" "&amp;Milestones!$AB$175&amp;" "&amp;IF(AND(Milestones!$AB$175="FT",Milestones!$AA$175=FT_Y5,EDATE($D62,Milestones!$AA$175)&lt;PolicyEff),1,Milestones!$AC$175)&amp;";  ",""))</f>
        <v/>
      </c>
      <c r="V62" s="0" t="str">
        <f aca="false">IF(OR($A62="",$D62=""),"",IF(AND(EDATE($D62,Milestones!$AA$176)&lt;=AsOfDate,EDATE($D62,Milestones!$AA$176)&gt;=SchemeStart,IF($X62=0,$AD62,IF(AND($Z62&lt;&gt;"",EDATE($D62,Milestones!$AA$176)&gt;=$Z62),$AC62,IF(AND($Y62&lt;&gt;"",EDATE($D62,Milestones!$AA$176)&gt;=$Y62),$AB62,$AA62)))=Milestones!$AB$176),UPPER(TEXT(EDATE($D62,Milestones!$AA$176),"dd mmm yy"))&amp;" "&amp;Milestones!$AB$176&amp;" "&amp;IF(AND(Milestones!$AB$176="FT",Milestones!$AA$176=FT_Y5,EDATE($D62,Milestones!$AA$176)&lt;PolicyEff),1,Milestones!$AC$176)&amp;";  ","")&amp;IF(AND(EDATE($D62,Milestones!$AA$177)&lt;=AsOfDate,EDATE($D62,Milestones!$AA$177)&gt;=SchemeStart,IF($X62=0,$AD62,IF(AND($Z62&lt;&gt;"",EDATE($D62,Milestones!$AA$177)&gt;=$Z62),$AC62,IF(AND($Y62&lt;&gt;"",EDATE($D62,Milestones!$AA$177)&gt;=$Y62),$AB62,$AA62)))=Milestones!$AB$177),UPPER(TEXT(EDATE($D62,Milestones!$AA$177),"dd mmm yy"))&amp;" "&amp;Milestones!$AB$177&amp;" "&amp;IF(AND(Milestones!$AB$177="FT",Milestones!$AA$177=FT_Y5,EDATE($D62,Milestones!$AA$177)&lt;PolicyEff),1,Milestones!$AC$177)&amp;";  ","")&amp;IF(AND(EDATE($D62,Milestones!$AA$178)&lt;=AsOfDate,EDATE($D62,Milestones!$AA$178)&gt;=SchemeStart,IF($X62=0,$AD62,IF(AND($Z62&lt;&gt;"",EDATE($D62,Milestones!$AA$178)&gt;=$Z62),$AC62,IF(AND($Y62&lt;&gt;"",EDATE($D62,Milestones!$AA$178)&gt;=$Y62),$AB62,$AA62)))=Milestones!$AB$178),UPPER(TEXT(EDATE($D62,Milestones!$AA$178),"dd mmm yy"))&amp;" "&amp;Milestones!$AB$178&amp;" "&amp;IF(AND(Milestones!$AB$178="FT",Milestones!$AA$178=FT_Y5,EDATE($D62,Milestones!$AA$178)&lt;PolicyEff),1,Milestones!$AC$178)&amp;";  ","")&amp;IF(AND(EDATE($D62,Milestones!$AA$179)&lt;=AsOfDate,EDATE($D62,Milestones!$AA$179)&gt;=SchemeStart,IF($X62=0,$AD62,IF(AND($Z62&lt;&gt;"",EDATE($D62,Milestones!$AA$179)&gt;=$Z62),$AC62,IF(AND($Y62&lt;&gt;"",EDATE($D62,Milestones!$AA$179)&gt;=$Y62),$AB62,$AA62)))=Milestones!$AB$179),UPPER(TEXT(EDATE($D62,Milestones!$AA$179),"dd mmm yy"))&amp;" "&amp;Milestones!$AB$179&amp;" "&amp;IF(AND(Milestones!$AB$179="FT",Milestones!$AA$179=FT_Y5,EDATE($D62,Milestones!$AA$179)&lt;PolicyEff),1,Milestones!$AC$179)&amp;";  ","")&amp;IF(AND(EDATE($D62,Milestones!$AA$180)&lt;=AsOfDate,EDATE($D62,Milestones!$AA$180)&gt;=SchemeStart,IF($X62=0,$AD62,IF(AND($Z62&lt;&gt;"",EDATE($D62,Milestones!$AA$180)&gt;=$Z62),$AC62,IF(AND($Y62&lt;&gt;"",EDATE($D62,Milestones!$AA$180)&gt;=$Y62),$AB62,$AA62)))=Milestones!$AB$180),UPPER(TEXT(EDATE($D62,Milestones!$AA$180),"dd mmm yy"))&amp;" "&amp;Milestones!$AB$180&amp;" "&amp;IF(AND(Milestones!$AB$180="FT",Milestones!$AA$180=FT_Y5,EDATE($D62,Milestones!$AA$180)&lt;PolicyEff),1,Milestones!$AC$180)&amp;";  ","")&amp;IF(AND(EDATE($D62,Milestones!$AA$181)&lt;=AsOfDate,EDATE($D62,Milestones!$AA$181)&gt;=SchemeStart,IF($X62=0,$AD62,IF(AND($Z62&lt;&gt;"",EDATE($D62,Milestones!$AA$181)&gt;=$Z62),$AC62,IF(AND($Y62&lt;&gt;"",EDATE($D62,Milestones!$AA$181)&gt;=$Y62),$AB62,$AA62)))=Milestones!$AB$181),UPPER(TEXT(EDATE($D62,Milestones!$AA$181),"dd mmm yy"))&amp;" "&amp;Milestones!$AB$181&amp;" "&amp;IF(AND(Milestones!$AB$181="FT",Milestones!$AA$181=FT_Y5,EDATE($D62,Milestones!$AA$181)&lt;PolicyEff),1,Milestones!$AC$181)&amp;";  ","")&amp;IF(AND(EDATE($D62,Milestones!$AA$182)&lt;=AsOfDate,EDATE($D62,Milestones!$AA$182)&gt;=SchemeStart,IF($X62=0,$AD62,IF(AND($Z62&lt;&gt;"",EDATE($D62,Milestones!$AA$182)&gt;=$Z62),$AC62,IF(AND($Y62&lt;&gt;"",EDATE($D62,Milestones!$AA$182)&gt;=$Y62),$AB62,$AA62)))=Milestones!$AB$182),UPPER(TEXT(EDATE($D62,Milestones!$AA$182),"dd mmm yy"))&amp;" "&amp;Milestones!$AB$182&amp;" "&amp;IF(AND(Milestones!$AB$182="FT",Milestones!$AA$182=FT_Y5,EDATE($D62,Milestones!$AA$182)&lt;PolicyEff),1,Milestones!$AC$182)&amp;";  ","")&amp;IF(AND(EDATE($D62,Milestones!$AA$183)&lt;=AsOfDate,EDATE($D62,Milestones!$AA$183)&gt;=SchemeStart,IF($X62=0,$AD62,IF(AND($Z62&lt;&gt;"",EDATE($D62,Milestones!$AA$183)&gt;=$Z62),$AC62,IF(AND($Y62&lt;&gt;"",EDATE($D62,Milestones!$AA$183)&gt;=$Y62),$AB62,$AA62)))=Milestones!$AB$183),UPPER(TEXT(EDATE($D62,Milestones!$AA$183),"dd mmm yy"))&amp;" "&amp;Milestones!$AB$183&amp;" "&amp;IF(AND(Milestones!$AB$183="FT",Milestones!$AA$183=FT_Y5,EDATE($D62,Milestones!$AA$183)&lt;PolicyEff),1,Milestones!$AC$183)&amp;";  ","")&amp;IF(AND(EDATE($D62,Milestones!$AA$184)&lt;=AsOfDate,EDATE($D62,Milestones!$AA$184)&gt;=SchemeStart,IF($X62=0,$AD62,IF(AND($Z62&lt;&gt;"",EDATE($D62,Milestones!$AA$184)&gt;=$Z62),$AC62,IF(AND($Y62&lt;&gt;"",EDATE($D62,Milestones!$AA$184)&gt;=$Y62),$AB62,$AA62)))=Milestones!$AB$184),UPPER(TEXT(EDATE($D62,Milestones!$AA$184),"dd mmm yy"))&amp;" "&amp;Milestones!$AB$184&amp;" "&amp;IF(AND(Milestones!$AB$184="FT",Milestones!$AA$184=FT_Y5,EDATE($D62,Milestones!$AA$184)&lt;PolicyEff),1,Milestones!$AC$184)&amp;";  ","")&amp;IF(AND(EDATE($D62,Milestones!$AA$185)&lt;=AsOfDate,EDATE($D62,Milestones!$AA$185)&gt;=SchemeStart,IF($X62=0,$AD62,IF(AND($Z62&lt;&gt;"",EDATE($D62,Milestones!$AA$185)&gt;=$Z62),$AC62,IF(AND($Y62&lt;&gt;"",EDATE($D62,Milestones!$AA$185)&gt;=$Y62),$AB62,$AA62)))=Milestones!$AB$185),UPPER(TEXT(EDATE($D62,Milestones!$AA$185),"dd mmm yy"))&amp;" "&amp;Milestones!$AB$185&amp;" "&amp;IF(AND(Milestones!$AB$185="FT",Milestones!$AA$185=FT_Y5,EDATE($D62,Milestones!$AA$185)&lt;PolicyEff),1,Milestones!$AC$185)&amp;";  ","")&amp;IF(AND(EDATE($D62,Milestones!$AA$186)&lt;=AsOfDate,EDATE($D62,Milestones!$AA$186)&gt;=SchemeStart,IF($X62=0,$AD62,IF(AND($Z62&lt;&gt;"",EDATE($D62,Milestones!$AA$186)&gt;=$Z62),$AC62,IF(AND($Y62&lt;&gt;"",EDATE($D62,Milestones!$AA$186)&gt;=$Y62),$AB62,$AA62)))=Milestones!$AB$186),UPPER(TEXT(EDATE($D62,Milestones!$AA$186),"dd mmm yy"))&amp;" "&amp;Milestones!$AB$186&amp;" "&amp;IF(AND(Milestones!$AB$186="FT",Milestones!$AA$186=FT_Y5,EDATE($D62,Milestones!$AA$186)&lt;PolicyEff),1,Milestones!$AC$186)&amp;";  ","")&amp;IF(AND(EDATE($D62,Milestones!$AA$187)&lt;=AsOfDate,EDATE($D62,Milestones!$AA$187)&gt;=SchemeStart,IF($X62=0,$AD62,IF(AND($Z62&lt;&gt;"",EDATE($D62,Milestones!$AA$187)&gt;=$Z62),$AC62,IF(AND($Y62&lt;&gt;"",EDATE($D62,Milestones!$AA$187)&gt;=$Y62),$AB62,$AA62)))=Milestones!$AB$187),UPPER(TEXT(EDATE($D62,Milestones!$AA$187),"dd mmm yy"))&amp;" "&amp;Milestones!$AB$187&amp;" "&amp;IF(AND(Milestones!$AB$187="FT",Milestones!$AA$187=FT_Y5,EDATE($D62,Milestones!$AA$187)&lt;PolicyEff),1,Milestones!$AC$187)&amp;";  ",""))</f>
        <v/>
      </c>
      <c r="W62" s="0" t="str">
        <f aca="false">IF(OR($A62="",$D62=""),"",IF(AND(EDATE($D62,Milestones!$AA$188)&lt;=AsOfDate,EDATE($D62,Milestones!$AA$188)&gt;=SchemeStart,IF($X62=0,$AD62,IF(AND($Z62&lt;&gt;"",EDATE($D62,Milestones!$AA$188)&gt;=$Z62),$AC62,IF(AND($Y62&lt;&gt;"",EDATE($D62,Milestones!$AA$188)&gt;=$Y62),$AB62,$AA62)))=Milestones!$AB$188),UPPER(TEXT(EDATE($D62,Milestones!$AA$188),"dd mmm yy"))&amp;" "&amp;Milestones!$AB$188&amp;" "&amp;IF(AND(Milestones!$AB$188="FT",Milestones!$AA$188=FT_Y5,EDATE($D62,Milestones!$AA$188)&lt;PolicyEff),1,Milestones!$AC$188)&amp;";  ","")&amp;IF(AND(EDATE($D62,Milestones!$AA$189)&lt;=AsOfDate,EDATE($D62,Milestones!$AA$189)&gt;=SchemeStart,IF($X62=0,$AD62,IF(AND($Z62&lt;&gt;"",EDATE($D62,Milestones!$AA$189)&gt;=$Z62),$AC62,IF(AND($Y62&lt;&gt;"",EDATE($D62,Milestones!$AA$189)&gt;=$Y62),$AB62,$AA62)))=Milestones!$AB$189),UPPER(TEXT(EDATE($D62,Milestones!$AA$189),"dd mmm yy"))&amp;" "&amp;Milestones!$AB$189&amp;" "&amp;IF(AND(Milestones!$AB$189="FT",Milestones!$AA$189=FT_Y5,EDATE($D62,Milestones!$AA$189)&lt;PolicyEff),1,Milestones!$AC$189)&amp;";  ","")&amp;IF(AND(EDATE($D62,Milestones!$AA$190)&lt;=AsOfDate,EDATE($D62,Milestones!$AA$190)&gt;=SchemeStart,IF($X62=0,$AD62,IF(AND($Z62&lt;&gt;"",EDATE($D62,Milestones!$AA$190)&gt;=$Z62),$AC62,IF(AND($Y62&lt;&gt;"",EDATE($D62,Milestones!$AA$190)&gt;=$Y62),$AB62,$AA62)))=Milestones!$AB$190),UPPER(TEXT(EDATE($D62,Milestones!$AA$190),"dd mmm yy"))&amp;" "&amp;Milestones!$AB$190&amp;" "&amp;IF(AND(Milestones!$AB$190="FT",Milestones!$AA$190=FT_Y5,EDATE($D62,Milestones!$AA$190)&lt;PolicyEff),1,Milestones!$AC$190)&amp;";  ","")&amp;IF(AND(EDATE($D62,Milestones!$AA$191)&lt;=AsOfDate,EDATE($D62,Milestones!$AA$191)&gt;=SchemeStart,IF($X62=0,$AD62,IF(AND($Z62&lt;&gt;"",EDATE($D62,Milestones!$AA$191)&gt;=$Z62),$AC62,IF(AND($Y62&lt;&gt;"",EDATE($D62,Milestones!$AA$191)&gt;=$Y62),$AB62,$AA62)))=Milestones!$AB$191),UPPER(TEXT(EDATE($D62,Milestones!$AA$191),"dd mmm yy"))&amp;" "&amp;Milestones!$AB$191&amp;" "&amp;IF(AND(Milestones!$AB$191="FT",Milestones!$AA$191=FT_Y5,EDATE($D62,Milestones!$AA$191)&lt;PolicyEff),1,Milestones!$AC$191)&amp;";  ","")&amp;IF(AND(EDATE($D62,Milestones!$AA$192)&lt;=AsOfDate,EDATE($D62,Milestones!$AA$192)&gt;=SchemeStart,IF($X62=0,$AD62,IF(AND($Z62&lt;&gt;"",EDATE($D62,Milestones!$AA$192)&gt;=$Z62),$AC62,IF(AND($Y62&lt;&gt;"",EDATE($D62,Milestones!$AA$192)&gt;=$Y62),$AB62,$AA62)))=Milestones!$AB$192),UPPER(TEXT(EDATE($D62,Milestones!$AA$192),"dd mmm yy"))&amp;" "&amp;Milestones!$AB$192&amp;" "&amp;IF(AND(Milestones!$AB$192="FT",Milestones!$AA$192=FT_Y5,EDATE($D62,Milestones!$AA$192)&lt;PolicyEff),1,Milestones!$AC$192)&amp;";  ","")&amp;IF(AND(EDATE($D62,Milestones!$AA$193)&lt;=AsOfDate,EDATE($D62,Milestones!$AA$193)&gt;=SchemeStart,IF($X62=0,$AD62,IF(AND($Z62&lt;&gt;"",EDATE($D62,Milestones!$AA$193)&gt;=$Z62),$AC62,IF(AND($Y62&lt;&gt;"",EDATE($D62,Milestones!$AA$193)&gt;=$Y62),$AB62,$AA62)))=Milestones!$AB$193),UPPER(TEXT(EDATE($D62,Milestones!$AA$193),"dd mmm yy"))&amp;" "&amp;Milestones!$AB$193&amp;" "&amp;IF(AND(Milestones!$AB$193="FT",Milestones!$AA$193=FT_Y5,EDATE($D62,Milestones!$AA$193)&lt;PolicyEff),1,Milestones!$AC$193)&amp;";  ","")&amp;IF(AND(EDATE($D62,Milestones!$AA$194)&lt;=AsOfDate,EDATE($D62,Milestones!$AA$194)&gt;=SchemeStart,IF($X62=0,$AD62,IF(AND($Z62&lt;&gt;"",EDATE($D62,Milestones!$AA$194)&gt;=$Z62),$AC62,IF(AND($Y62&lt;&gt;"",EDATE($D62,Milestones!$AA$194)&gt;=$Y62),$AB62,$AA62)))=Milestones!$AB$194),UPPER(TEXT(EDATE($D62,Milestones!$AA$194),"dd mmm yy"))&amp;" "&amp;Milestones!$AB$194&amp;" "&amp;IF(AND(Milestones!$AB$194="FT",Milestones!$AA$194=FT_Y5,EDATE($D62,Milestones!$AA$194)&lt;PolicyEff),1,Milestones!$AC$194)&amp;";  ","")&amp;IF(AND(EDATE($D62,Milestones!$AA$195)&lt;=AsOfDate,EDATE($D62,Milestones!$AA$195)&gt;=SchemeStart,IF($X62=0,$AD62,IF(AND($Z62&lt;&gt;"",EDATE($D62,Milestones!$AA$195)&gt;=$Z62),$AC62,IF(AND($Y62&lt;&gt;"",EDATE($D62,Milestones!$AA$195)&gt;=$Y62),$AB62,$AA62)))=Milestones!$AB$195),UPPER(TEXT(EDATE($D62,Milestones!$AA$195),"dd mmm yy"))&amp;" "&amp;Milestones!$AB$195&amp;" "&amp;IF(AND(Milestones!$AB$195="FT",Milestones!$AA$195=FT_Y5,EDATE($D62,Milestones!$AA$195)&lt;PolicyEff),1,Milestones!$AC$195)&amp;";  ","")&amp;IF(AND(EDATE($D62,Milestones!$AA$196)&lt;=AsOfDate,EDATE($D62,Milestones!$AA$196)&gt;=SchemeStart,IF($X62=0,$AD62,IF(AND($Z62&lt;&gt;"",EDATE($D62,Milestones!$AA$196)&gt;=$Z62),$AC62,IF(AND($Y62&lt;&gt;"",EDATE($D62,Milestones!$AA$196)&gt;=$Y62),$AB62,$AA62)))=Milestones!$AB$196),UPPER(TEXT(EDATE($D62,Milestones!$AA$196),"dd mmm yy"))&amp;" "&amp;Milestones!$AB$196&amp;" "&amp;IF(AND(Milestones!$AB$196="FT",Milestones!$AA$196=FT_Y5,EDATE($D62,Milestones!$AA$196)&lt;PolicyEff),1,Milestones!$AC$196)&amp;";  ","")&amp;IF(AND(EDATE($D62,Milestones!$AA$197)&lt;=AsOfDate,EDATE($D62,Milestones!$AA$197)&gt;=SchemeStart,IF($X62=0,$AD62,IF(AND($Z62&lt;&gt;"",EDATE($D62,Milestones!$AA$197)&gt;=$Z62),$AC62,IF(AND($Y62&lt;&gt;"",EDATE($D62,Milestones!$AA$197)&gt;=$Y62),$AB62,$AA62)))=Milestones!$AB$197),UPPER(TEXT(EDATE($D62,Milestones!$AA$197),"dd mmm yy"))&amp;" "&amp;Milestones!$AB$197&amp;" "&amp;IF(AND(Milestones!$AB$197="FT",Milestones!$AA$197=FT_Y5,EDATE($D62,Milestones!$AA$197)&lt;PolicyEff),1,Milestones!$AC$197)&amp;";  ","")&amp;IF(AND(EDATE($D62,Milestones!$AA$198)&lt;=AsOfDate,EDATE($D62,Milestones!$AA$198)&gt;=SchemeStart,IF($X62=0,$AD62,IF(AND($Z62&lt;&gt;"",EDATE($D62,Milestones!$AA$198)&gt;=$Z62),$AC62,IF(AND($Y62&lt;&gt;"",EDATE($D62,Milestones!$AA$198)&gt;=$Y62),$AB62,$AA62)))=Milestones!$AB$198),UPPER(TEXT(EDATE($D62,Milestones!$AA$198),"dd mmm yy"))&amp;" "&amp;Milestones!$AB$198&amp;" "&amp;IF(AND(Milestones!$AB$198="FT",Milestones!$AA$198=FT_Y5,EDATE($D62,Milestones!$AA$198)&lt;PolicyEff),1,Milestones!$AC$198)&amp;";  ","")&amp;IF(AND(EDATE($D62,Milestones!$AA$199)&lt;=AsOfDate,EDATE($D62,Milestones!$AA$199)&gt;=SchemeStart,IF($X62=0,$AD62,IF(AND($Z62&lt;&gt;"",EDATE($D62,Milestones!$AA$199)&gt;=$Z62),$AC62,IF(AND($Y62&lt;&gt;"",EDATE($D62,Milestones!$AA$199)&gt;=$Y62),$AB62,$AA62)))=Milestones!$AB$199),UPPER(TEXT(EDATE($D62,Milestones!$AA$199),"dd mmm yy"))&amp;" "&amp;Milestones!$AB$199&amp;" "&amp;IF(AND(Milestones!$AB$199="FT",Milestones!$AA$199=FT_Y5,EDATE($D62,Milestones!$AA$199)&lt;PolicyEff),1,Milestones!$AC$199)&amp;";  ",""))</f>
        <v/>
      </c>
      <c r="X62" s="0" t="str">
        <f aca="false">IF(Staff!$A62="","",Staff!$AM62)</f>
        <v/>
      </c>
      <c r="Y62" s="0" t="str">
        <f aca="false">IF(Staff!$A62="","",Staff!$AO62)</f>
        <v/>
      </c>
      <c r="Z62" s="0" t="str">
        <f aca="false">IF(Staff!$A62="","",Staff!$AP62)</f>
        <v/>
      </c>
      <c r="AA62" s="0" t="str">
        <f aca="false">IF(Staff!$A62="","",Staff!$AT62)</f>
        <v/>
      </c>
      <c r="AB62" s="0" t="str">
        <f aca="false">IF(Staff!$A62="","",Staff!$AU62)</f>
        <v/>
      </c>
      <c r="AC62" s="0" t="str">
        <f aca="false">IF(Staff!$A62="","",Staff!$AV62)</f>
        <v/>
      </c>
      <c r="AD62" s="0" t="str">
        <f aca="false">IF(Staff!$A62="","",Staff!$AW62)</f>
        <v/>
      </c>
    </row>
    <row r="63" customFormat="false" ht="15" hidden="false" customHeight="false" outlineLevel="0" collapsed="false">
      <c r="A63" s="16" t="str">
        <f aca="false">IF(Staff!$A63="","",Staff!$A63)</f>
        <v/>
      </c>
      <c r="B63" s="16" t="str">
        <f aca="false">IF(Staff!$A63="","",Staff!$B63)</f>
        <v/>
      </c>
      <c r="C63" s="16" t="str">
        <f aca="false">IF(Staff!$A63="","",Staff!$C63)</f>
        <v/>
      </c>
      <c r="D63" s="14" t="str">
        <f aca="false">IF(Staff!$A63="","",Staff!$AL63)</f>
        <v/>
      </c>
      <c r="E63" s="16" t="str">
        <f aca="false">IF(Staff!$A63="","",Staff!$O63)</f>
        <v/>
      </c>
      <c r="F63" s="16" t="str">
        <f aca="false">IF(E63="","",E63*HoursPerDay)</f>
        <v/>
      </c>
      <c r="G63" s="16" t="str">
        <f aca="false">IF(Staff!$A63="","",Staff!$AE63)</f>
        <v/>
      </c>
      <c r="H63" s="28" t="str">
        <f aca="false">IF($A63="","",I63&amp;J63&amp;K63&amp;L63&amp;M63&amp;N63&amp;O63&amp;P63&amp;Q63&amp;R63&amp;S63&amp;T63&amp;U63&amp;V63&amp;W63)</f>
        <v/>
      </c>
      <c r="I63" s="0" t="str">
        <f aca="false">IF(OR($A63="",$D63=""),"",IF(AND(EDATE($D63,Milestones!$AA$20)&lt;=AsOfDate,EDATE($D63,Milestones!$AA$20)&gt;=SchemeStart,IF($X63=0,$AD63,IF(AND($Z63&lt;&gt;"",EDATE($D63,Milestones!$AA$20)&gt;=$Z63),$AC63,IF(AND($Y63&lt;&gt;"",EDATE($D63,Milestones!$AA$20)&gt;=$Y63),$AB63,$AA63)))=Milestones!$AB$20),UPPER(TEXT(EDATE($D63,Milestones!$AA$20),"dd mmm yy"))&amp;" "&amp;Milestones!$AB$20&amp;" "&amp;IF(AND(Milestones!$AB$20="FT",Milestones!$AA$20=FT_Y5,EDATE($D63,Milestones!$AA$20)&lt;PolicyEff),1,Milestones!$AC$20)&amp;";  ","")&amp;IF(AND(EDATE($D63,Milestones!$AA$21)&lt;=AsOfDate,EDATE($D63,Milestones!$AA$21)&gt;=SchemeStart,IF($X63=0,$AD63,IF(AND($Z63&lt;&gt;"",EDATE($D63,Milestones!$AA$21)&gt;=$Z63),$AC63,IF(AND($Y63&lt;&gt;"",EDATE($D63,Milestones!$AA$21)&gt;=$Y63),$AB63,$AA63)))=Milestones!$AB$21),UPPER(TEXT(EDATE($D63,Milestones!$AA$21),"dd mmm yy"))&amp;" "&amp;Milestones!$AB$21&amp;" "&amp;IF(AND(Milestones!$AB$21="FT",Milestones!$AA$21=FT_Y5,EDATE($D63,Milestones!$AA$21)&lt;PolicyEff),1,Milestones!$AC$21)&amp;";  ","")&amp;IF(AND(EDATE($D63,Milestones!$AA$22)&lt;=AsOfDate,EDATE($D63,Milestones!$AA$22)&gt;=SchemeStart,IF($X63=0,$AD63,IF(AND($Z63&lt;&gt;"",EDATE($D63,Milestones!$AA$22)&gt;=$Z63),$AC63,IF(AND($Y63&lt;&gt;"",EDATE($D63,Milestones!$AA$22)&gt;=$Y63),$AB63,$AA63)))=Milestones!$AB$22),UPPER(TEXT(EDATE($D63,Milestones!$AA$22),"dd mmm yy"))&amp;" "&amp;Milestones!$AB$22&amp;" "&amp;IF(AND(Milestones!$AB$22="FT",Milestones!$AA$22=FT_Y5,EDATE($D63,Milestones!$AA$22)&lt;PolicyEff),1,Milestones!$AC$22)&amp;";  ","")&amp;IF(AND(EDATE($D63,Milestones!$AA$23)&lt;=AsOfDate,EDATE($D63,Milestones!$AA$23)&gt;=SchemeStart,IF($X63=0,$AD63,IF(AND($Z63&lt;&gt;"",EDATE($D63,Milestones!$AA$23)&gt;=$Z63),$AC63,IF(AND($Y63&lt;&gt;"",EDATE($D63,Milestones!$AA$23)&gt;=$Y63),$AB63,$AA63)))=Milestones!$AB$23),UPPER(TEXT(EDATE($D63,Milestones!$AA$23),"dd mmm yy"))&amp;" "&amp;Milestones!$AB$23&amp;" "&amp;IF(AND(Milestones!$AB$23="FT",Milestones!$AA$23=FT_Y5,EDATE($D63,Milestones!$AA$23)&lt;PolicyEff),1,Milestones!$AC$23)&amp;";  ","")&amp;IF(AND(EDATE($D63,Milestones!$AA$24)&lt;=AsOfDate,EDATE($D63,Milestones!$AA$24)&gt;=SchemeStart,IF($X63=0,$AD63,IF(AND($Z63&lt;&gt;"",EDATE($D63,Milestones!$AA$24)&gt;=$Z63),$AC63,IF(AND($Y63&lt;&gt;"",EDATE($D63,Milestones!$AA$24)&gt;=$Y63),$AB63,$AA63)))=Milestones!$AB$24),UPPER(TEXT(EDATE($D63,Milestones!$AA$24),"dd mmm yy"))&amp;" "&amp;Milestones!$AB$24&amp;" "&amp;IF(AND(Milestones!$AB$24="FT",Milestones!$AA$24=FT_Y5,EDATE($D63,Milestones!$AA$24)&lt;PolicyEff),1,Milestones!$AC$24)&amp;";  ","")&amp;IF(AND(EDATE($D63,Milestones!$AA$25)&lt;=AsOfDate,EDATE($D63,Milestones!$AA$25)&gt;=SchemeStart,IF($X63=0,$AD63,IF(AND($Z63&lt;&gt;"",EDATE($D63,Milestones!$AA$25)&gt;=$Z63),$AC63,IF(AND($Y63&lt;&gt;"",EDATE($D63,Milestones!$AA$25)&gt;=$Y63),$AB63,$AA63)))=Milestones!$AB$25),UPPER(TEXT(EDATE($D63,Milestones!$AA$25),"dd mmm yy"))&amp;" "&amp;Milestones!$AB$25&amp;" "&amp;IF(AND(Milestones!$AB$25="FT",Milestones!$AA$25=FT_Y5,EDATE($D63,Milestones!$AA$25)&lt;PolicyEff),1,Milestones!$AC$25)&amp;";  ","")&amp;IF(AND(EDATE($D63,Milestones!$AA$26)&lt;=AsOfDate,EDATE($D63,Milestones!$AA$26)&gt;=SchemeStart,IF($X63=0,$AD63,IF(AND($Z63&lt;&gt;"",EDATE($D63,Milestones!$AA$26)&gt;=$Z63),$AC63,IF(AND($Y63&lt;&gt;"",EDATE($D63,Milestones!$AA$26)&gt;=$Y63),$AB63,$AA63)))=Milestones!$AB$26),UPPER(TEXT(EDATE($D63,Milestones!$AA$26),"dd mmm yy"))&amp;" "&amp;Milestones!$AB$26&amp;" "&amp;IF(AND(Milestones!$AB$26="FT",Milestones!$AA$26=FT_Y5,EDATE($D63,Milestones!$AA$26)&lt;PolicyEff),1,Milestones!$AC$26)&amp;";  ","")&amp;IF(AND(EDATE($D63,Milestones!$AA$27)&lt;=AsOfDate,EDATE($D63,Milestones!$AA$27)&gt;=SchemeStart,IF($X63=0,$AD63,IF(AND($Z63&lt;&gt;"",EDATE($D63,Milestones!$AA$27)&gt;=$Z63),$AC63,IF(AND($Y63&lt;&gt;"",EDATE($D63,Milestones!$AA$27)&gt;=$Y63),$AB63,$AA63)))=Milestones!$AB$27),UPPER(TEXT(EDATE($D63,Milestones!$AA$27),"dd mmm yy"))&amp;" "&amp;Milestones!$AB$27&amp;" "&amp;IF(AND(Milestones!$AB$27="FT",Milestones!$AA$27=FT_Y5,EDATE($D63,Milestones!$AA$27)&lt;PolicyEff),1,Milestones!$AC$27)&amp;";  ","")&amp;IF(AND(EDATE($D63,Milestones!$AA$28)&lt;=AsOfDate,EDATE($D63,Milestones!$AA$28)&gt;=SchemeStart,IF($X63=0,$AD63,IF(AND($Z63&lt;&gt;"",EDATE($D63,Milestones!$AA$28)&gt;=$Z63),$AC63,IF(AND($Y63&lt;&gt;"",EDATE($D63,Milestones!$AA$28)&gt;=$Y63),$AB63,$AA63)))=Milestones!$AB$28),UPPER(TEXT(EDATE($D63,Milestones!$AA$28),"dd mmm yy"))&amp;" "&amp;Milestones!$AB$28&amp;" "&amp;IF(AND(Milestones!$AB$28="FT",Milestones!$AA$28=FT_Y5,EDATE($D63,Milestones!$AA$28)&lt;PolicyEff),1,Milestones!$AC$28)&amp;";  ","")&amp;IF(AND(EDATE($D63,Milestones!$AA$29)&lt;=AsOfDate,EDATE($D63,Milestones!$AA$29)&gt;=SchemeStart,IF($X63=0,$AD63,IF(AND($Z63&lt;&gt;"",EDATE($D63,Milestones!$AA$29)&gt;=$Z63),$AC63,IF(AND($Y63&lt;&gt;"",EDATE($D63,Milestones!$AA$29)&gt;=$Y63),$AB63,$AA63)))=Milestones!$AB$29),UPPER(TEXT(EDATE($D63,Milestones!$AA$29),"dd mmm yy"))&amp;" "&amp;Milestones!$AB$29&amp;" "&amp;IF(AND(Milestones!$AB$29="FT",Milestones!$AA$29=FT_Y5,EDATE($D63,Milestones!$AA$29)&lt;PolicyEff),1,Milestones!$AC$29)&amp;";  ","")&amp;IF(AND(EDATE($D63,Milestones!$AA$30)&lt;=AsOfDate,EDATE($D63,Milestones!$AA$30)&gt;=SchemeStart,IF($X63=0,$AD63,IF(AND($Z63&lt;&gt;"",EDATE($D63,Milestones!$AA$30)&gt;=$Z63),$AC63,IF(AND($Y63&lt;&gt;"",EDATE($D63,Milestones!$AA$30)&gt;=$Y63),$AB63,$AA63)))=Milestones!$AB$30),UPPER(TEXT(EDATE($D63,Milestones!$AA$30),"dd mmm yy"))&amp;" "&amp;Milestones!$AB$30&amp;" "&amp;IF(AND(Milestones!$AB$30="FT",Milestones!$AA$30=FT_Y5,EDATE($D63,Milestones!$AA$30)&lt;PolicyEff),1,Milestones!$AC$30)&amp;";  ","")&amp;IF(AND(EDATE($D63,Milestones!$AA$31)&lt;=AsOfDate,EDATE($D63,Milestones!$AA$31)&gt;=SchemeStart,IF($X63=0,$AD63,IF(AND($Z63&lt;&gt;"",EDATE($D63,Milestones!$AA$31)&gt;=$Z63),$AC63,IF(AND($Y63&lt;&gt;"",EDATE($D63,Milestones!$AA$31)&gt;=$Y63),$AB63,$AA63)))=Milestones!$AB$31),UPPER(TEXT(EDATE($D63,Milestones!$AA$31),"dd mmm yy"))&amp;" "&amp;Milestones!$AB$31&amp;" "&amp;IF(AND(Milestones!$AB$31="FT",Milestones!$AA$31=FT_Y5,EDATE($D63,Milestones!$AA$31)&lt;PolicyEff),1,Milestones!$AC$31)&amp;";  ",""))</f>
        <v/>
      </c>
      <c r="J63" s="0" t="str">
        <f aca="false">IF(OR($A63="",$D63=""),"",IF(AND(EDATE($D63,Milestones!$AA$32)&lt;=AsOfDate,EDATE($D63,Milestones!$AA$32)&gt;=SchemeStart,IF($X63=0,$AD63,IF(AND($Z63&lt;&gt;"",EDATE($D63,Milestones!$AA$32)&gt;=$Z63),$AC63,IF(AND($Y63&lt;&gt;"",EDATE($D63,Milestones!$AA$32)&gt;=$Y63),$AB63,$AA63)))=Milestones!$AB$32),UPPER(TEXT(EDATE($D63,Milestones!$AA$32),"dd mmm yy"))&amp;" "&amp;Milestones!$AB$32&amp;" "&amp;IF(AND(Milestones!$AB$32="FT",Milestones!$AA$32=FT_Y5,EDATE($D63,Milestones!$AA$32)&lt;PolicyEff),1,Milestones!$AC$32)&amp;";  ","")&amp;IF(AND(EDATE($D63,Milestones!$AA$33)&lt;=AsOfDate,EDATE($D63,Milestones!$AA$33)&gt;=SchemeStart,IF($X63=0,$AD63,IF(AND($Z63&lt;&gt;"",EDATE($D63,Milestones!$AA$33)&gt;=$Z63),$AC63,IF(AND($Y63&lt;&gt;"",EDATE($D63,Milestones!$AA$33)&gt;=$Y63),$AB63,$AA63)))=Milestones!$AB$33),UPPER(TEXT(EDATE($D63,Milestones!$AA$33),"dd mmm yy"))&amp;" "&amp;Milestones!$AB$33&amp;" "&amp;IF(AND(Milestones!$AB$33="FT",Milestones!$AA$33=FT_Y5,EDATE($D63,Milestones!$AA$33)&lt;PolicyEff),1,Milestones!$AC$33)&amp;";  ","")&amp;IF(AND(EDATE($D63,Milestones!$AA$34)&lt;=AsOfDate,EDATE($D63,Milestones!$AA$34)&gt;=SchemeStart,IF($X63=0,$AD63,IF(AND($Z63&lt;&gt;"",EDATE($D63,Milestones!$AA$34)&gt;=$Z63),$AC63,IF(AND($Y63&lt;&gt;"",EDATE($D63,Milestones!$AA$34)&gt;=$Y63),$AB63,$AA63)))=Milestones!$AB$34),UPPER(TEXT(EDATE($D63,Milestones!$AA$34),"dd mmm yy"))&amp;" "&amp;Milestones!$AB$34&amp;" "&amp;IF(AND(Milestones!$AB$34="FT",Milestones!$AA$34=FT_Y5,EDATE($D63,Milestones!$AA$34)&lt;PolicyEff),1,Milestones!$AC$34)&amp;";  ","")&amp;IF(AND(EDATE($D63,Milestones!$AA$35)&lt;=AsOfDate,EDATE($D63,Milestones!$AA$35)&gt;=SchemeStart,IF($X63=0,$AD63,IF(AND($Z63&lt;&gt;"",EDATE($D63,Milestones!$AA$35)&gt;=$Z63),$AC63,IF(AND($Y63&lt;&gt;"",EDATE($D63,Milestones!$AA$35)&gt;=$Y63),$AB63,$AA63)))=Milestones!$AB$35),UPPER(TEXT(EDATE($D63,Milestones!$AA$35),"dd mmm yy"))&amp;" "&amp;Milestones!$AB$35&amp;" "&amp;IF(AND(Milestones!$AB$35="FT",Milestones!$AA$35=FT_Y5,EDATE($D63,Milestones!$AA$35)&lt;PolicyEff),1,Milestones!$AC$35)&amp;";  ","")&amp;IF(AND(EDATE($D63,Milestones!$AA$36)&lt;=AsOfDate,EDATE($D63,Milestones!$AA$36)&gt;=SchemeStart,IF($X63=0,$AD63,IF(AND($Z63&lt;&gt;"",EDATE($D63,Milestones!$AA$36)&gt;=$Z63),$AC63,IF(AND($Y63&lt;&gt;"",EDATE($D63,Milestones!$AA$36)&gt;=$Y63),$AB63,$AA63)))=Milestones!$AB$36),UPPER(TEXT(EDATE($D63,Milestones!$AA$36),"dd mmm yy"))&amp;" "&amp;Milestones!$AB$36&amp;" "&amp;IF(AND(Milestones!$AB$36="FT",Milestones!$AA$36=FT_Y5,EDATE($D63,Milestones!$AA$36)&lt;PolicyEff),1,Milestones!$AC$36)&amp;";  ","")&amp;IF(AND(EDATE($D63,Milestones!$AA$37)&lt;=AsOfDate,EDATE($D63,Milestones!$AA$37)&gt;=SchemeStart,IF($X63=0,$AD63,IF(AND($Z63&lt;&gt;"",EDATE($D63,Milestones!$AA$37)&gt;=$Z63),$AC63,IF(AND($Y63&lt;&gt;"",EDATE($D63,Milestones!$AA$37)&gt;=$Y63),$AB63,$AA63)))=Milestones!$AB$37),UPPER(TEXT(EDATE($D63,Milestones!$AA$37),"dd mmm yy"))&amp;" "&amp;Milestones!$AB$37&amp;" "&amp;IF(AND(Milestones!$AB$37="FT",Milestones!$AA$37=FT_Y5,EDATE($D63,Milestones!$AA$37)&lt;PolicyEff),1,Milestones!$AC$37)&amp;";  ","")&amp;IF(AND(EDATE($D63,Milestones!$AA$38)&lt;=AsOfDate,EDATE($D63,Milestones!$AA$38)&gt;=SchemeStart,IF($X63=0,$AD63,IF(AND($Z63&lt;&gt;"",EDATE($D63,Milestones!$AA$38)&gt;=$Z63),$AC63,IF(AND($Y63&lt;&gt;"",EDATE($D63,Milestones!$AA$38)&gt;=$Y63),$AB63,$AA63)))=Milestones!$AB$38),UPPER(TEXT(EDATE($D63,Milestones!$AA$38),"dd mmm yy"))&amp;" "&amp;Milestones!$AB$38&amp;" "&amp;IF(AND(Milestones!$AB$38="FT",Milestones!$AA$38=FT_Y5,EDATE($D63,Milestones!$AA$38)&lt;PolicyEff),1,Milestones!$AC$38)&amp;";  ","")&amp;IF(AND(EDATE($D63,Milestones!$AA$39)&lt;=AsOfDate,EDATE($D63,Milestones!$AA$39)&gt;=SchemeStart,IF($X63=0,$AD63,IF(AND($Z63&lt;&gt;"",EDATE($D63,Milestones!$AA$39)&gt;=$Z63),$AC63,IF(AND($Y63&lt;&gt;"",EDATE($D63,Milestones!$AA$39)&gt;=$Y63),$AB63,$AA63)))=Milestones!$AB$39),UPPER(TEXT(EDATE($D63,Milestones!$AA$39),"dd mmm yy"))&amp;" "&amp;Milestones!$AB$39&amp;" "&amp;IF(AND(Milestones!$AB$39="FT",Milestones!$AA$39=FT_Y5,EDATE($D63,Milestones!$AA$39)&lt;PolicyEff),1,Milestones!$AC$39)&amp;";  ","")&amp;IF(AND(EDATE($D63,Milestones!$AA$40)&lt;=AsOfDate,EDATE($D63,Milestones!$AA$40)&gt;=SchemeStart,IF($X63=0,$AD63,IF(AND($Z63&lt;&gt;"",EDATE($D63,Milestones!$AA$40)&gt;=$Z63),$AC63,IF(AND($Y63&lt;&gt;"",EDATE($D63,Milestones!$AA$40)&gt;=$Y63),$AB63,$AA63)))=Milestones!$AB$40),UPPER(TEXT(EDATE($D63,Milestones!$AA$40),"dd mmm yy"))&amp;" "&amp;Milestones!$AB$40&amp;" "&amp;IF(AND(Milestones!$AB$40="FT",Milestones!$AA$40=FT_Y5,EDATE($D63,Milestones!$AA$40)&lt;PolicyEff),1,Milestones!$AC$40)&amp;";  ","")&amp;IF(AND(EDATE($D63,Milestones!$AA$41)&lt;=AsOfDate,EDATE($D63,Milestones!$AA$41)&gt;=SchemeStart,IF($X63=0,$AD63,IF(AND($Z63&lt;&gt;"",EDATE($D63,Milestones!$AA$41)&gt;=$Z63),$AC63,IF(AND($Y63&lt;&gt;"",EDATE($D63,Milestones!$AA$41)&gt;=$Y63),$AB63,$AA63)))=Milestones!$AB$41),UPPER(TEXT(EDATE($D63,Milestones!$AA$41),"dd mmm yy"))&amp;" "&amp;Milestones!$AB$41&amp;" "&amp;IF(AND(Milestones!$AB$41="FT",Milestones!$AA$41=FT_Y5,EDATE($D63,Milestones!$AA$41)&lt;PolicyEff),1,Milestones!$AC$41)&amp;";  ","")&amp;IF(AND(EDATE($D63,Milestones!$AA$42)&lt;=AsOfDate,EDATE($D63,Milestones!$AA$42)&gt;=SchemeStart,IF($X63=0,$AD63,IF(AND($Z63&lt;&gt;"",EDATE($D63,Milestones!$AA$42)&gt;=$Z63),$AC63,IF(AND($Y63&lt;&gt;"",EDATE($D63,Milestones!$AA$42)&gt;=$Y63),$AB63,$AA63)))=Milestones!$AB$42),UPPER(TEXT(EDATE($D63,Milestones!$AA$42),"dd mmm yy"))&amp;" "&amp;Milestones!$AB$42&amp;" "&amp;IF(AND(Milestones!$AB$42="FT",Milestones!$AA$42=FT_Y5,EDATE($D63,Milestones!$AA$42)&lt;PolicyEff),1,Milestones!$AC$42)&amp;";  ","")&amp;IF(AND(EDATE($D63,Milestones!$AA$43)&lt;=AsOfDate,EDATE($D63,Milestones!$AA$43)&gt;=SchemeStart,IF($X63=0,$AD63,IF(AND($Z63&lt;&gt;"",EDATE($D63,Milestones!$AA$43)&gt;=$Z63),$AC63,IF(AND($Y63&lt;&gt;"",EDATE($D63,Milestones!$AA$43)&gt;=$Y63),$AB63,$AA63)))=Milestones!$AB$43),UPPER(TEXT(EDATE($D63,Milestones!$AA$43),"dd mmm yy"))&amp;" "&amp;Milestones!$AB$43&amp;" "&amp;IF(AND(Milestones!$AB$43="FT",Milestones!$AA$43=FT_Y5,EDATE($D63,Milestones!$AA$43)&lt;PolicyEff),1,Milestones!$AC$43)&amp;";  ",""))</f>
        <v/>
      </c>
      <c r="K63" s="0" t="str">
        <f aca="false">IF(OR($A63="",$D63=""),"",IF(AND(EDATE($D63,Milestones!$AA$44)&lt;=AsOfDate,EDATE($D63,Milestones!$AA$44)&gt;=SchemeStart,IF($X63=0,$AD63,IF(AND($Z63&lt;&gt;"",EDATE($D63,Milestones!$AA$44)&gt;=$Z63),$AC63,IF(AND($Y63&lt;&gt;"",EDATE($D63,Milestones!$AA$44)&gt;=$Y63),$AB63,$AA63)))=Milestones!$AB$44),UPPER(TEXT(EDATE($D63,Milestones!$AA$44),"dd mmm yy"))&amp;" "&amp;Milestones!$AB$44&amp;" "&amp;IF(AND(Milestones!$AB$44="FT",Milestones!$AA$44=FT_Y5,EDATE($D63,Milestones!$AA$44)&lt;PolicyEff),1,Milestones!$AC$44)&amp;";  ","")&amp;IF(AND(EDATE($D63,Milestones!$AA$45)&lt;=AsOfDate,EDATE($D63,Milestones!$AA$45)&gt;=SchemeStart,IF($X63=0,$AD63,IF(AND($Z63&lt;&gt;"",EDATE($D63,Milestones!$AA$45)&gt;=$Z63),$AC63,IF(AND($Y63&lt;&gt;"",EDATE($D63,Milestones!$AA$45)&gt;=$Y63),$AB63,$AA63)))=Milestones!$AB$45),UPPER(TEXT(EDATE($D63,Milestones!$AA$45),"dd mmm yy"))&amp;" "&amp;Milestones!$AB$45&amp;" "&amp;IF(AND(Milestones!$AB$45="FT",Milestones!$AA$45=FT_Y5,EDATE($D63,Milestones!$AA$45)&lt;PolicyEff),1,Milestones!$AC$45)&amp;";  ","")&amp;IF(AND(EDATE($D63,Milestones!$AA$46)&lt;=AsOfDate,EDATE($D63,Milestones!$AA$46)&gt;=SchemeStart,IF($X63=0,$AD63,IF(AND($Z63&lt;&gt;"",EDATE($D63,Milestones!$AA$46)&gt;=$Z63),$AC63,IF(AND($Y63&lt;&gt;"",EDATE($D63,Milestones!$AA$46)&gt;=$Y63),$AB63,$AA63)))=Milestones!$AB$46),UPPER(TEXT(EDATE($D63,Milestones!$AA$46),"dd mmm yy"))&amp;" "&amp;Milestones!$AB$46&amp;" "&amp;IF(AND(Milestones!$AB$46="FT",Milestones!$AA$46=FT_Y5,EDATE($D63,Milestones!$AA$46)&lt;PolicyEff),1,Milestones!$AC$46)&amp;";  ","")&amp;IF(AND(EDATE($D63,Milestones!$AA$47)&lt;=AsOfDate,EDATE($D63,Milestones!$AA$47)&gt;=SchemeStart,IF($X63=0,$AD63,IF(AND($Z63&lt;&gt;"",EDATE($D63,Milestones!$AA$47)&gt;=$Z63),$AC63,IF(AND($Y63&lt;&gt;"",EDATE($D63,Milestones!$AA$47)&gt;=$Y63),$AB63,$AA63)))=Milestones!$AB$47),UPPER(TEXT(EDATE($D63,Milestones!$AA$47),"dd mmm yy"))&amp;" "&amp;Milestones!$AB$47&amp;" "&amp;IF(AND(Milestones!$AB$47="FT",Milestones!$AA$47=FT_Y5,EDATE($D63,Milestones!$AA$47)&lt;PolicyEff),1,Milestones!$AC$47)&amp;";  ","")&amp;IF(AND(EDATE($D63,Milestones!$AA$48)&lt;=AsOfDate,EDATE($D63,Milestones!$AA$48)&gt;=SchemeStart,IF($X63=0,$AD63,IF(AND($Z63&lt;&gt;"",EDATE($D63,Milestones!$AA$48)&gt;=$Z63),$AC63,IF(AND($Y63&lt;&gt;"",EDATE($D63,Milestones!$AA$48)&gt;=$Y63),$AB63,$AA63)))=Milestones!$AB$48),UPPER(TEXT(EDATE($D63,Milestones!$AA$48),"dd mmm yy"))&amp;" "&amp;Milestones!$AB$48&amp;" "&amp;IF(AND(Milestones!$AB$48="FT",Milestones!$AA$48=FT_Y5,EDATE($D63,Milestones!$AA$48)&lt;PolicyEff),1,Milestones!$AC$48)&amp;";  ","")&amp;IF(AND(EDATE($D63,Milestones!$AA$49)&lt;=AsOfDate,EDATE($D63,Milestones!$AA$49)&gt;=SchemeStart,IF($X63=0,$AD63,IF(AND($Z63&lt;&gt;"",EDATE($D63,Milestones!$AA$49)&gt;=$Z63),$AC63,IF(AND($Y63&lt;&gt;"",EDATE($D63,Milestones!$AA$49)&gt;=$Y63),$AB63,$AA63)))=Milestones!$AB$49),UPPER(TEXT(EDATE($D63,Milestones!$AA$49),"dd mmm yy"))&amp;" "&amp;Milestones!$AB$49&amp;" "&amp;IF(AND(Milestones!$AB$49="FT",Milestones!$AA$49=FT_Y5,EDATE($D63,Milestones!$AA$49)&lt;PolicyEff),1,Milestones!$AC$49)&amp;";  ","")&amp;IF(AND(EDATE($D63,Milestones!$AA$50)&lt;=AsOfDate,EDATE($D63,Milestones!$AA$50)&gt;=SchemeStart,IF($X63=0,$AD63,IF(AND($Z63&lt;&gt;"",EDATE($D63,Milestones!$AA$50)&gt;=$Z63),$AC63,IF(AND($Y63&lt;&gt;"",EDATE($D63,Milestones!$AA$50)&gt;=$Y63),$AB63,$AA63)))=Milestones!$AB$50),UPPER(TEXT(EDATE($D63,Milestones!$AA$50),"dd mmm yy"))&amp;" "&amp;Milestones!$AB$50&amp;" "&amp;IF(AND(Milestones!$AB$50="FT",Milestones!$AA$50=FT_Y5,EDATE($D63,Milestones!$AA$50)&lt;PolicyEff),1,Milestones!$AC$50)&amp;";  ","")&amp;IF(AND(EDATE($D63,Milestones!$AA$51)&lt;=AsOfDate,EDATE($D63,Milestones!$AA$51)&gt;=SchemeStart,IF($X63=0,$AD63,IF(AND($Z63&lt;&gt;"",EDATE($D63,Milestones!$AA$51)&gt;=$Z63),$AC63,IF(AND($Y63&lt;&gt;"",EDATE($D63,Milestones!$AA$51)&gt;=$Y63),$AB63,$AA63)))=Milestones!$AB$51),UPPER(TEXT(EDATE($D63,Milestones!$AA$51),"dd mmm yy"))&amp;" "&amp;Milestones!$AB$51&amp;" "&amp;IF(AND(Milestones!$AB$51="FT",Milestones!$AA$51=FT_Y5,EDATE($D63,Milestones!$AA$51)&lt;PolicyEff),1,Milestones!$AC$51)&amp;";  ","")&amp;IF(AND(EDATE($D63,Milestones!$AA$52)&lt;=AsOfDate,EDATE($D63,Milestones!$AA$52)&gt;=SchemeStart,IF($X63=0,$AD63,IF(AND($Z63&lt;&gt;"",EDATE($D63,Milestones!$AA$52)&gt;=$Z63),$AC63,IF(AND($Y63&lt;&gt;"",EDATE($D63,Milestones!$AA$52)&gt;=$Y63),$AB63,$AA63)))=Milestones!$AB$52),UPPER(TEXT(EDATE($D63,Milestones!$AA$52),"dd mmm yy"))&amp;" "&amp;Milestones!$AB$52&amp;" "&amp;IF(AND(Milestones!$AB$52="FT",Milestones!$AA$52=FT_Y5,EDATE($D63,Milestones!$AA$52)&lt;PolicyEff),1,Milestones!$AC$52)&amp;";  ","")&amp;IF(AND(EDATE($D63,Milestones!$AA$53)&lt;=AsOfDate,EDATE($D63,Milestones!$AA$53)&gt;=SchemeStart,IF($X63=0,$AD63,IF(AND($Z63&lt;&gt;"",EDATE($D63,Milestones!$AA$53)&gt;=$Z63),$AC63,IF(AND($Y63&lt;&gt;"",EDATE($D63,Milestones!$AA$53)&gt;=$Y63),$AB63,$AA63)))=Milestones!$AB$53),UPPER(TEXT(EDATE($D63,Milestones!$AA$53),"dd mmm yy"))&amp;" "&amp;Milestones!$AB$53&amp;" "&amp;IF(AND(Milestones!$AB$53="FT",Milestones!$AA$53=FT_Y5,EDATE($D63,Milestones!$AA$53)&lt;PolicyEff),1,Milestones!$AC$53)&amp;";  ","")&amp;IF(AND(EDATE($D63,Milestones!$AA$54)&lt;=AsOfDate,EDATE($D63,Milestones!$AA$54)&gt;=SchemeStart,IF($X63=0,$AD63,IF(AND($Z63&lt;&gt;"",EDATE($D63,Milestones!$AA$54)&gt;=$Z63),$AC63,IF(AND($Y63&lt;&gt;"",EDATE($D63,Milestones!$AA$54)&gt;=$Y63),$AB63,$AA63)))=Milestones!$AB$54),UPPER(TEXT(EDATE($D63,Milestones!$AA$54),"dd mmm yy"))&amp;" "&amp;Milestones!$AB$54&amp;" "&amp;IF(AND(Milestones!$AB$54="FT",Milestones!$AA$54=FT_Y5,EDATE($D63,Milestones!$AA$54)&lt;PolicyEff),1,Milestones!$AC$54)&amp;";  ","")&amp;IF(AND(EDATE($D63,Milestones!$AA$55)&lt;=AsOfDate,EDATE($D63,Milestones!$AA$55)&gt;=SchemeStart,IF($X63=0,$AD63,IF(AND($Z63&lt;&gt;"",EDATE($D63,Milestones!$AA$55)&gt;=$Z63),$AC63,IF(AND($Y63&lt;&gt;"",EDATE($D63,Milestones!$AA$55)&gt;=$Y63),$AB63,$AA63)))=Milestones!$AB$55),UPPER(TEXT(EDATE($D63,Milestones!$AA$55),"dd mmm yy"))&amp;" "&amp;Milestones!$AB$55&amp;" "&amp;IF(AND(Milestones!$AB$55="FT",Milestones!$AA$55=FT_Y5,EDATE($D63,Milestones!$AA$55)&lt;PolicyEff),1,Milestones!$AC$55)&amp;";  ",""))</f>
        <v/>
      </c>
      <c r="L63" s="0" t="str">
        <f aca="false">IF(OR($A63="",$D63=""),"",IF(AND(EDATE($D63,Milestones!$AA$56)&lt;=AsOfDate,EDATE($D63,Milestones!$AA$56)&gt;=SchemeStart,IF($X63=0,$AD63,IF(AND($Z63&lt;&gt;"",EDATE($D63,Milestones!$AA$56)&gt;=$Z63),$AC63,IF(AND($Y63&lt;&gt;"",EDATE($D63,Milestones!$AA$56)&gt;=$Y63),$AB63,$AA63)))=Milestones!$AB$56),UPPER(TEXT(EDATE($D63,Milestones!$AA$56),"dd mmm yy"))&amp;" "&amp;Milestones!$AB$56&amp;" "&amp;IF(AND(Milestones!$AB$56="FT",Milestones!$AA$56=FT_Y5,EDATE($D63,Milestones!$AA$56)&lt;PolicyEff),1,Milestones!$AC$56)&amp;";  ","")&amp;IF(AND(EDATE($D63,Milestones!$AA$57)&lt;=AsOfDate,EDATE($D63,Milestones!$AA$57)&gt;=SchemeStart,IF($X63=0,$AD63,IF(AND($Z63&lt;&gt;"",EDATE($D63,Milestones!$AA$57)&gt;=$Z63),$AC63,IF(AND($Y63&lt;&gt;"",EDATE($D63,Milestones!$AA$57)&gt;=$Y63),$AB63,$AA63)))=Milestones!$AB$57),UPPER(TEXT(EDATE($D63,Milestones!$AA$57),"dd mmm yy"))&amp;" "&amp;Milestones!$AB$57&amp;" "&amp;IF(AND(Milestones!$AB$57="FT",Milestones!$AA$57=FT_Y5,EDATE($D63,Milestones!$AA$57)&lt;PolicyEff),1,Milestones!$AC$57)&amp;";  ","")&amp;IF(AND(EDATE($D63,Milestones!$AA$58)&lt;=AsOfDate,EDATE($D63,Milestones!$AA$58)&gt;=SchemeStart,IF($X63=0,$AD63,IF(AND($Z63&lt;&gt;"",EDATE($D63,Milestones!$AA$58)&gt;=$Z63),$AC63,IF(AND($Y63&lt;&gt;"",EDATE($D63,Milestones!$AA$58)&gt;=$Y63),$AB63,$AA63)))=Milestones!$AB$58),UPPER(TEXT(EDATE($D63,Milestones!$AA$58),"dd mmm yy"))&amp;" "&amp;Milestones!$AB$58&amp;" "&amp;IF(AND(Milestones!$AB$58="FT",Milestones!$AA$58=FT_Y5,EDATE($D63,Milestones!$AA$58)&lt;PolicyEff),1,Milestones!$AC$58)&amp;";  ","")&amp;IF(AND(EDATE($D63,Milestones!$AA$59)&lt;=AsOfDate,EDATE($D63,Milestones!$AA$59)&gt;=SchemeStart,IF($X63=0,$AD63,IF(AND($Z63&lt;&gt;"",EDATE($D63,Milestones!$AA$59)&gt;=$Z63),$AC63,IF(AND($Y63&lt;&gt;"",EDATE($D63,Milestones!$AA$59)&gt;=$Y63),$AB63,$AA63)))=Milestones!$AB$59),UPPER(TEXT(EDATE($D63,Milestones!$AA$59),"dd mmm yy"))&amp;" "&amp;Milestones!$AB$59&amp;" "&amp;IF(AND(Milestones!$AB$59="FT",Milestones!$AA$59=FT_Y5,EDATE($D63,Milestones!$AA$59)&lt;PolicyEff),1,Milestones!$AC$59)&amp;";  ","")&amp;IF(AND(EDATE($D63,Milestones!$AA$60)&lt;=AsOfDate,EDATE($D63,Milestones!$AA$60)&gt;=SchemeStart,IF($X63=0,$AD63,IF(AND($Z63&lt;&gt;"",EDATE($D63,Milestones!$AA$60)&gt;=$Z63),$AC63,IF(AND($Y63&lt;&gt;"",EDATE($D63,Milestones!$AA$60)&gt;=$Y63),$AB63,$AA63)))=Milestones!$AB$60),UPPER(TEXT(EDATE($D63,Milestones!$AA$60),"dd mmm yy"))&amp;" "&amp;Milestones!$AB$60&amp;" "&amp;IF(AND(Milestones!$AB$60="FT",Milestones!$AA$60=FT_Y5,EDATE($D63,Milestones!$AA$60)&lt;PolicyEff),1,Milestones!$AC$60)&amp;";  ","")&amp;IF(AND(EDATE($D63,Milestones!$AA$61)&lt;=AsOfDate,EDATE($D63,Milestones!$AA$61)&gt;=SchemeStart,IF($X63=0,$AD63,IF(AND($Z63&lt;&gt;"",EDATE($D63,Milestones!$AA$61)&gt;=$Z63),$AC63,IF(AND($Y63&lt;&gt;"",EDATE($D63,Milestones!$AA$61)&gt;=$Y63),$AB63,$AA63)))=Milestones!$AB$61),UPPER(TEXT(EDATE($D63,Milestones!$AA$61),"dd mmm yy"))&amp;" "&amp;Milestones!$AB$61&amp;" "&amp;IF(AND(Milestones!$AB$61="FT",Milestones!$AA$61=FT_Y5,EDATE($D63,Milestones!$AA$61)&lt;PolicyEff),1,Milestones!$AC$61)&amp;";  ","")&amp;IF(AND(EDATE($D63,Milestones!$AA$62)&lt;=AsOfDate,EDATE($D63,Milestones!$AA$62)&gt;=SchemeStart,IF($X63=0,$AD63,IF(AND($Z63&lt;&gt;"",EDATE($D63,Milestones!$AA$62)&gt;=$Z63),$AC63,IF(AND($Y63&lt;&gt;"",EDATE($D63,Milestones!$AA$62)&gt;=$Y63),$AB63,$AA63)))=Milestones!$AB$62),UPPER(TEXT(EDATE($D63,Milestones!$AA$62),"dd mmm yy"))&amp;" "&amp;Milestones!$AB$62&amp;" "&amp;IF(AND(Milestones!$AB$62="FT",Milestones!$AA$62=FT_Y5,EDATE($D63,Milestones!$AA$62)&lt;PolicyEff),1,Milestones!$AC$62)&amp;";  ","")&amp;IF(AND(EDATE($D63,Milestones!$AA$63)&lt;=AsOfDate,EDATE($D63,Milestones!$AA$63)&gt;=SchemeStart,IF($X63=0,$AD63,IF(AND($Z63&lt;&gt;"",EDATE($D63,Milestones!$AA$63)&gt;=$Z63),$AC63,IF(AND($Y63&lt;&gt;"",EDATE($D63,Milestones!$AA$63)&gt;=$Y63),$AB63,$AA63)))=Milestones!$AB$63),UPPER(TEXT(EDATE($D63,Milestones!$AA$63),"dd mmm yy"))&amp;" "&amp;Milestones!$AB$63&amp;" "&amp;IF(AND(Milestones!$AB$63="FT",Milestones!$AA$63=FT_Y5,EDATE($D63,Milestones!$AA$63)&lt;PolicyEff),1,Milestones!$AC$63)&amp;";  ","")&amp;IF(AND(EDATE($D63,Milestones!$AA$64)&lt;=AsOfDate,EDATE($D63,Milestones!$AA$64)&gt;=SchemeStart,IF($X63=0,$AD63,IF(AND($Z63&lt;&gt;"",EDATE($D63,Milestones!$AA$64)&gt;=$Z63),$AC63,IF(AND($Y63&lt;&gt;"",EDATE($D63,Milestones!$AA$64)&gt;=$Y63),$AB63,$AA63)))=Milestones!$AB$64),UPPER(TEXT(EDATE($D63,Milestones!$AA$64),"dd mmm yy"))&amp;" "&amp;Milestones!$AB$64&amp;" "&amp;IF(AND(Milestones!$AB$64="FT",Milestones!$AA$64=FT_Y5,EDATE($D63,Milestones!$AA$64)&lt;PolicyEff),1,Milestones!$AC$64)&amp;";  ","")&amp;IF(AND(EDATE($D63,Milestones!$AA$65)&lt;=AsOfDate,EDATE($D63,Milestones!$AA$65)&gt;=SchemeStart,IF($X63=0,$AD63,IF(AND($Z63&lt;&gt;"",EDATE($D63,Milestones!$AA$65)&gt;=$Z63),$AC63,IF(AND($Y63&lt;&gt;"",EDATE($D63,Milestones!$AA$65)&gt;=$Y63),$AB63,$AA63)))=Milestones!$AB$65),UPPER(TEXT(EDATE($D63,Milestones!$AA$65),"dd mmm yy"))&amp;" "&amp;Milestones!$AB$65&amp;" "&amp;IF(AND(Milestones!$AB$65="FT",Milestones!$AA$65=FT_Y5,EDATE($D63,Milestones!$AA$65)&lt;PolicyEff),1,Milestones!$AC$65)&amp;";  ","")&amp;IF(AND(EDATE($D63,Milestones!$AA$66)&lt;=AsOfDate,EDATE($D63,Milestones!$AA$66)&gt;=SchemeStart,IF($X63=0,$AD63,IF(AND($Z63&lt;&gt;"",EDATE($D63,Milestones!$AA$66)&gt;=$Z63),$AC63,IF(AND($Y63&lt;&gt;"",EDATE($D63,Milestones!$AA$66)&gt;=$Y63),$AB63,$AA63)))=Milestones!$AB$66),UPPER(TEXT(EDATE($D63,Milestones!$AA$66),"dd mmm yy"))&amp;" "&amp;Milestones!$AB$66&amp;" "&amp;IF(AND(Milestones!$AB$66="FT",Milestones!$AA$66=FT_Y5,EDATE($D63,Milestones!$AA$66)&lt;PolicyEff),1,Milestones!$AC$66)&amp;";  ","")&amp;IF(AND(EDATE($D63,Milestones!$AA$67)&lt;=AsOfDate,EDATE($D63,Milestones!$AA$67)&gt;=SchemeStart,IF($X63=0,$AD63,IF(AND($Z63&lt;&gt;"",EDATE($D63,Milestones!$AA$67)&gt;=$Z63),$AC63,IF(AND($Y63&lt;&gt;"",EDATE($D63,Milestones!$AA$67)&gt;=$Y63),$AB63,$AA63)))=Milestones!$AB$67),UPPER(TEXT(EDATE($D63,Milestones!$AA$67),"dd mmm yy"))&amp;" "&amp;Milestones!$AB$67&amp;" "&amp;IF(AND(Milestones!$AB$67="FT",Milestones!$AA$67=FT_Y5,EDATE($D63,Milestones!$AA$67)&lt;PolicyEff),1,Milestones!$AC$67)&amp;";  ",""))</f>
        <v/>
      </c>
      <c r="M63" s="0" t="str">
        <f aca="false">IF(OR($A63="",$D63=""),"",IF(AND(EDATE($D63,Milestones!$AA$68)&lt;=AsOfDate,EDATE($D63,Milestones!$AA$68)&gt;=SchemeStart,IF($X63=0,$AD63,IF(AND($Z63&lt;&gt;"",EDATE($D63,Milestones!$AA$68)&gt;=$Z63),$AC63,IF(AND($Y63&lt;&gt;"",EDATE($D63,Milestones!$AA$68)&gt;=$Y63),$AB63,$AA63)))=Milestones!$AB$68),UPPER(TEXT(EDATE($D63,Milestones!$AA$68),"dd mmm yy"))&amp;" "&amp;Milestones!$AB$68&amp;" "&amp;IF(AND(Milestones!$AB$68="FT",Milestones!$AA$68=FT_Y5,EDATE($D63,Milestones!$AA$68)&lt;PolicyEff),1,Milestones!$AC$68)&amp;";  ","")&amp;IF(AND(EDATE($D63,Milestones!$AA$69)&lt;=AsOfDate,EDATE($D63,Milestones!$AA$69)&gt;=SchemeStart,IF($X63=0,$AD63,IF(AND($Z63&lt;&gt;"",EDATE($D63,Milestones!$AA$69)&gt;=$Z63),$AC63,IF(AND($Y63&lt;&gt;"",EDATE($D63,Milestones!$AA$69)&gt;=$Y63),$AB63,$AA63)))=Milestones!$AB$69),UPPER(TEXT(EDATE($D63,Milestones!$AA$69),"dd mmm yy"))&amp;" "&amp;Milestones!$AB$69&amp;" "&amp;IF(AND(Milestones!$AB$69="FT",Milestones!$AA$69=FT_Y5,EDATE($D63,Milestones!$AA$69)&lt;PolicyEff),1,Milestones!$AC$69)&amp;";  ","")&amp;IF(AND(EDATE($D63,Milestones!$AA$70)&lt;=AsOfDate,EDATE($D63,Milestones!$AA$70)&gt;=SchemeStart,IF($X63=0,$AD63,IF(AND($Z63&lt;&gt;"",EDATE($D63,Milestones!$AA$70)&gt;=$Z63),$AC63,IF(AND($Y63&lt;&gt;"",EDATE($D63,Milestones!$AA$70)&gt;=$Y63),$AB63,$AA63)))=Milestones!$AB$70),UPPER(TEXT(EDATE($D63,Milestones!$AA$70),"dd mmm yy"))&amp;" "&amp;Milestones!$AB$70&amp;" "&amp;IF(AND(Milestones!$AB$70="FT",Milestones!$AA$70=FT_Y5,EDATE($D63,Milestones!$AA$70)&lt;PolicyEff),1,Milestones!$AC$70)&amp;";  ","")&amp;IF(AND(EDATE($D63,Milestones!$AA$71)&lt;=AsOfDate,EDATE($D63,Milestones!$AA$71)&gt;=SchemeStart,IF($X63=0,$AD63,IF(AND($Z63&lt;&gt;"",EDATE($D63,Milestones!$AA$71)&gt;=$Z63),$AC63,IF(AND($Y63&lt;&gt;"",EDATE($D63,Milestones!$AA$71)&gt;=$Y63),$AB63,$AA63)))=Milestones!$AB$71),UPPER(TEXT(EDATE($D63,Milestones!$AA$71),"dd mmm yy"))&amp;" "&amp;Milestones!$AB$71&amp;" "&amp;IF(AND(Milestones!$AB$71="FT",Milestones!$AA$71=FT_Y5,EDATE($D63,Milestones!$AA$71)&lt;PolicyEff),1,Milestones!$AC$71)&amp;";  ","")&amp;IF(AND(EDATE($D63,Milestones!$AA$72)&lt;=AsOfDate,EDATE($D63,Milestones!$AA$72)&gt;=SchemeStart,IF($X63=0,$AD63,IF(AND($Z63&lt;&gt;"",EDATE($D63,Milestones!$AA$72)&gt;=$Z63),$AC63,IF(AND($Y63&lt;&gt;"",EDATE($D63,Milestones!$AA$72)&gt;=$Y63),$AB63,$AA63)))=Milestones!$AB$72),UPPER(TEXT(EDATE($D63,Milestones!$AA$72),"dd mmm yy"))&amp;" "&amp;Milestones!$AB$72&amp;" "&amp;IF(AND(Milestones!$AB$72="FT",Milestones!$AA$72=FT_Y5,EDATE($D63,Milestones!$AA$72)&lt;PolicyEff),1,Milestones!$AC$72)&amp;";  ","")&amp;IF(AND(EDATE($D63,Milestones!$AA$73)&lt;=AsOfDate,EDATE($D63,Milestones!$AA$73)&gt;=SchemeStart,IF($X63=0,$AD63,IF(AND($Z63&lt;&gt;"",EDATE($D63,Milestones!$AA$73)&gt;=$Z63),$AC63,IF(AND($Y63&lt;&gt;"",EDATE($D63,Milestones!$AA$73)&gt;=$Y63),$AB63,$AA63)))=Milestones!$AB$73),UPPER(TEXT(EDATE($D63,Milestones!$AA$73),"dd mmm yy"))&amp;" "&amp;Milestones!$AB$73&amp;" "&amp;IF(AND(Milestones!$AB$73="FT",Milestones!$AA$73=FT_Y5,EDATE($D63,Milestones!$AA$73)&lt;PolicyEff),1,Milestones!$AC$73)&amp;";  ","")&amp;IF(AND(EDATE($D63,Milestones!$AA$74)&lt;=AsOfDate,EDATE($D63,Milestones!$AA$74)&gt;=SchemeStart,IF($X63=0,$AD63,IF(AND($Z63&lt;&gt;"",EDATE($D63,Milestones!$AA$74)&gt;=$Z63),$AC63,IF(AND($Y63&lt;&gt;"",EDATE($D63,Milestones!$AA$74)&gt;=$Y63),$AB63,$AA63)))=Milestones!$AB$74),UPPER(TEXT(EDATE($D63,Milestones!$AA$74),"dd mmm yy"))&amp;" "&amp;Milestones!$AB$74&amp;" "&amp;IF(AND(Milestones!$AB$74="FT",Milestones!$AA$74=FT_Y5,EDATE($D63,Milestones!$AA$74)&lt;PolicyEff),1,Milestones!$AC$74)&amp;";  ","")&amp;IF(AND(EDATE($D63,Milestones!$AA$75)&lt;=AsOfDate,EDATE($D63,Milestones!$AA$75)&gt;=SchemeStart,IF($X63=0,$AD63,IF(AND($Z63&lt;&gt;"",EDATE($D63,Milestones!$AA$75)&gt;=$Z63),$AC63,IF(AND($Y63&lt;&gt;"",EDATE($D63,Milestones!$AA$75)&gt;=$Y63),$AB63,$AA63)))=Milestones!$AB$75),UPPER(TEXT(EDATE($D63,Milestones!$AA$75),"dd mmm yy"))&amp;" "&amp;Milestones!$AB$75&amp;" "&amp;IF(AND(Milestones!$AB$75="FT",Milestones!$AA$75=FT_Y5,EDATE($D63,Milestones!$AA$75)&lt;PolicyEff),1,Milestones!$AC$75)&amp;";  ","")&amp;IF(AND(EDATE($D63,Milestones!$AA$76)&lt;=AsOfDate,EDATE($D63,Milestones!$AA$76)&gt;=SchemeStart,IF($X63=0,$AD63,IF(AND($Z63&lt;&gt;"",EDATE($D63,Milestones!$AA$76)&gt;=$Z63),$AC63,IF(AND($Y63&lt;&gt;"",EDATE($D63,Milestones!$AA$76)&gt;=$Y63),$AB63,$AA63)))=Milestones!$AB$76),UPPER(TEXT(EDATE($D63,Milestones!$AA$76),"dd mmm yy"))&amp;" "&amp;Milestones!$AB$76&amp;" "&amp;IF(AND(Milestones!$AB$76="FT",Milestones!$AA$76=FT_Y5,EDATE($D63,Milestones!$AA$76)&lt;PolicyEff),1,Milestones!$AC$76)&amp;";  ","")&amp;IF(AND(EDATE($D63,Milestones!$AA$77)&lt;=AsOfDate,EDATE($D63,Milestones!$AA$77)&gt;=SchemeStart,IF($X63=0,$AD63,IF(AND($Z63&lt;&gt;"",EDATE($D63,Milestones!$AA$77)&gt;=$Z63),$AC63,IF(AND($Y63&lt;&gt;"",EDATE($D63,Milestones!$AA$77)&gt;=$Y63),$AB63,$AA63)))=Milestones!$AB$77),UPPER(TEXT(EDATE($D63,Milestones!$AA$77),"dd mmm yy"))&amp;" "&amp;Milestones!$AB$77&amp;" "&amp;IF(AND(Milestones!$AB$77="FT",Milestones!$AA$77=FT_Y5,EDATE($D63,Milestones!$AA$77)&lt;PolicyEff),1,Milestones!$AC$77)&amp;";  ","")&amp;IF(AND(EDATE($D63,Milestones!$AA$78)&lt;=AsOfDate,EDATE($D63,Milestones!$AA$78)&gt;=SchemeStart,IF($X63=0,$AD63,IF(AND($Z63&lt;&gt;"",EDATE($D63,Milestones!$AA$78)&gt;=$Z63),$AC63,IF(AND($Y63&lt;&gt;"",EDATE($D63,Milestones!$AA$78)&gt;=$Y63),$AB63,$AA63)))=Milestones!$AB$78),UPPER(TEXT(EDATE($D63,Milestones!$AA$78),"dd mmm yy"))&amp;" "&amp;Milestones!$AB$78&amp;" "&amp;IF(AND(Milestones!$AB$78="FT",Milestones!$AA$78=FT_Y5,EDATE($D63,Milestones!$AA$78)&lt;PolicyEff),1,Milestones!$AC$78)&amp;";  ","")&amp;IF(AND(EDATE($D63,Milestones!$AA$79)&lt;=AsOfDate,EDATE($D63,Milestones!$AA$79)&gt;=SchemeStart,IF($X63=0,$AD63,IF(AND($Z63&lt;&gt;"",EDATE($D63,Milestones!$AA$79)&gt;=$Z63),$AC63,IF(AND($Y63&lt;&gt;"",EDATE($D63,Milestones!$AA$79)&gt;=$Y63),$AB63,$AA63)))=Milestones!$AB$79),UPPER(TEXT(EDATE($D63,Milestones!$AA$79),"dd mmm yy"))&amp;" "&amp;Milestones!$AB$79&amp;" "&amp;IF(AND(Milestones!$AB$79="FT",Milestones!$AA$79=FT_Y5,EDATE($D63,Milestones!$AA$79)&lt;PolicyEff),1,Milestones!$AC$79)&amp;";  ",""))</f>
        <v/>
      </c>
      <c r="N63" s="0" t="str">
        <f aca="false">IF(OR($A63="",$D63=""),"",IF(AND(EDATE($D63,Milestones!$AA$80)&lt;=AsOfDate,EDATE($D63,Milestones!$AA$80)&gt;=SchemeStart,IF($X63=0,$AD63,IF(AND($Z63&lt;&gt;"",EDATE($D63,Milestones!$AA$80)&gt;=$Z63),$AC63,IF(AND($Y63&lt;&gt;"",EDATE($D63,Milestones!$AA$80)&gt;=$Y63),$AB63,$AA63)))=Milestones!$AB$80),UPPER(TEXT(EDATE($D63,Milestones!$AA$80),"dd mmm yy"))&amp;" "&amp;Milestones!$AB$80&amp;" "&amp;IF(AND(Milestones!$AB$80="FT",Milestones!$AA$80=FT_Y5,EDATE($D63,Milestones!$AA$80)&lt;PolicyEff),1,Milestones!$AC$80)&amp;";  ","")&amp;IF(AND(EDATE($D63,Milestones!$AA$81)&lt;=AsOfDate,EDATE($D63,Milestones!$AA$81)&gt;=SchemeStart,IF($X63=0,$AD63,IF(AND($Z63&lt;&gt;"",EDATE($D63,Milestones!$AA$81)&gt;=$Z63),$AC63,IF(AND($Y63&lt;&gt;"",EDATE($D63,Milestones!$AA$81)&gt;=$Y63),$AB63,$AA63)))=Milestones!$AB$81),UPPER(TEXT(EDATE($D63,Milestones!$AA$81),"dd mmm yy"))&amp;" "&amp;Milestones!$AB$81&amp;" "&amp;IF(AND(Milestones!$AB$81="FT",Milestones!$AA$81=FT_Y5,EDATE($D63,Milestones!$AA$81)&lt;PolicyEff),1,Milestones!$AC$81)&amp;";  ","")&amp;IF(AND(EDATE($D63,Milestones!$AA$82)&lt;=AsOfDate,EDATE($D63,Milestones!$AA$82)&gt;=SchemeStart,IF($X63=0,$AD63,IF(AND($Z63&lt;&gt;"",EDATE($D63,Milestones!$AA$82)&gt;=$Z63),$AC63,IF(AND($Y63&lt;&gt;"",EDATE($D63,Milestones!$AA$82)&gt;=$Y63),$AB63,$AA63)))=Milestones!$AB$82),UPPER(TEXT(EDATE($D63,Milestones!$AA$82),"dd mmm yy"))&amp;" "&amp;Milestones!$AB$82&amp;" "&amp;IF(AND(Milestones!$AB$82="FT",Milestones!$AA$82=FT_Y5,EDATE($D63,Milestones!$AA$82)&lt;PolicyEff),1,Milestones!$AC$82)&amp;";  ","")&amp;IF(AND(EDATE($D63,Milestones!$AA$83)&lt;=AsOfDate,EDATE($D63,Milestones!$AA$83)&gt;=SchemeStart,IF($X63=0,$AD63,IF(AND($Z63&lt;&gt;"",EDATE($D63,Milestones!$AA$83)&gt;=$Z63),$AC63,IF(AND($Y63&lt;&gt;"",EDATE($D63,Milestones!$AA$83)&gt;=$Y63),$AB63,$AA63)))=Milestones!$AB$83),UPPER(TEXT(EDATE($D63,Milestones!$AA$83),"dd mmm yy"))&amp;" "&amp;Milestones!$AB$83&amp;" "&amp;IF(AND(Milestones!$AB$83="FT",Milestones!$AA$83=FT_Y5,EDATE($D63,Milestones!$AA$83)&lt;PolicyEff),1,Milestones!$AC$83)&amp;";  ","")&amp;IF(AND(EDATE($D63,Milestones!$AA$84)&lt;=AsOfDate,EDATE($D63,Milestones!$AA$84)&gt;=SchemeStart,IF($X63=0,$AD63,IF(AND($Z63&lt;&gt;"",EDATE($D63,Milestones!$AA$84)&gt;=$Z63),$AC63,IF(AND($Y63&lt;&gt;"",EDATE($D63,Milestones!$AA$84)&gt;=$Y63),$AB63,$AA63)))=Milestones!$AB$84),UPPER(TEXT(EDATE($D63,Milestones!$AA$84),"dd mmm yy"))&amp;" "&amp;Milestones!$AB$84&amp;" "&amp;IF(AND(Milestones!$AB$84="FT",Milestones!$AA$84=FT_Y5,EDATE($D63,Milestones!$AA$84)&lt;PolicyEff),1,Milestones!$AC$84)&amp;";  ","")&amp;IF(AND(EDATE($D63,Milestones!$AA$85)&lt;=AsOfDate,EDATE($D63,Milestones!$AA$85)&gt;=SchemeStart,IF($X63=0,$AD63,IF(AND($Z63&lt;&gt;"",EDATE($D63,Milestones!$AA$85)&gt;=$Z63),$AC63,IF(AND($Y63&lt;&gt;"",EDATE($D63,Milestones!$AA$85)&gt;=$Y63),$AB63,$AA63)))=Milestones!$AB$85),UPPER(TEXT(EDATE($D63,Milestones!$AA$85),"dd mmm yy"))&amp;" "&amp;Milestones!$AB$85&amp;" "&amp;IF(AND(Milestones!$AB$85="FT",Milestones!$AA$85=FT_Y5,EDATE($D63,Milestones!$AA$85)&lt;PolicyEff),1,Milestones!$AC$85)&amp;";  ","")&amp;IF(AND(EDATE($D63,Milestones!$AA$86)&lt;=AsOfDate,EDATE($D63,Milestones!$AA$86)&gt;=SchemeStart,IF($X63=0,$AD63,IF(AND($Z63&lt;&gt;"",EDATE($D63,Milestones!$AA$86)&gt;=$Z63),$AC63,IF(AND($Y63&lt;&gt;"",EDATE($D63,Milestones!$AA$86)&gt;=$Y63),$AB63,$AA63)))=Milestones!$AB$86),UPPER(TEXT(EDATE($D63,Milestones!$AA$86),"dd mmm yy"))&amp;" "&amp;Milestones!$AB$86&amp;" "&amp;IF(AND(Milestones!$AB$86="FT",Milestones!$AA$86=FT_Y5,EDATE($D63,Milestones!$AA$86)&lt;PolicyEff),1,Milestones!$AC$86)&amp;";  ","")&amp;IF(AND(EDATE($D63,Milestones!$AA$87)&lt;=AsOfDate,EDATE($D63,Milestones!$AA$87)&gt;=SchemeStart,IF($X63=0,$AD63,IF(AND($Z63&lt;&gt;"",EDATE($D63,Milestones!$AA$87)&gt;=$Z63),$AC63,IF(AND($Y63&lt;&gt;"",EDATE($D63,Milestones!$AA$87)&gt;=$Y63),$AB63,$AA63)))=Milestones!$AB$87),UPPER(TEXT(EDATE($D63,Milestones!$AA$87),"dd mmm yy"))&amp;" "&amp;Milestones!$AB$87&amp;" "&amp;IF(AND(Milestones!$AB$87="FT",Milestones!$AA$87=FT_Y5,EDATE($D63,Milestones!$AA$87)&lt;PolicyEff),1,Milestones!$AC$87)&amp;";  ","")&amp;IF(AND(EDATE($D63,Milestones!$AA$88)&lt;=AsOfDate,EDATE($D63,Milestones!$AA$88)&gt;=SchemeStart,IF($X63=0,$AD63,IF(AND($Z63&lt;&gt;"",EDATE($D63,Milestones!$AA$88)&gt;=$Z63),$AC63,IF(AND($Y63&lt;&gt;"",EDATE($D63,Milestones!$AA$88)&gt;=$Y63),$AB63,$AA63)))=Milestones!$AB$88),UPPER(TEXT(EDATE($D63,Milestones!$AA$88),"dd mmm yy"))&amp;" "&amp;Milestones!$AB$88&amp;" "&amp;IF(AND(Milestones!$AB$88="FT",Milestones!$AA$88=FT_Y5,EDATE($D63,Milestones!$AA$88)&lt;PolicyEff),1,Milestones!$AC$88)&amp;";  ","")&amp;IF(AND(EDATE($D63,Milestones!$AA$89)&lt;=AsOfDate,EDATE($D63,Milestones!$AA$89)&gt;=SchemeStart,IF($X63=0,$AD63,IF(AND($Z63&lt;&gt;"",EDATE($D63,Milestones!$AA$89)&gt;=$Z63),$AC63,IF(AND($Y63&lt;&gt;"",EDATE($D63,Milestones!$AA$89)&gt;=$Y63),$AB63,$AA63)))=Milestones!$AB$89),UPPER(TEXT(EDATE($D63,Milestones!$AA$89),"dd mmm yy"))&amp;" "&amp;Milestones!$AB$89&amp;" "&amp;IF(AND(Milestones!$AB$89="FT",Milestones!$AA$89=FT_Y5,EDATE($D63,Milestones!$AA$89)&lt;PolicyEff),1,Milestones!$AC$89)&amp;";  ","")&amp;IF(AND(EDATE($D63,Milestones!$AA$90)&lt;=AsOfDate,EDATE($D63,Milestones!$AA$90)&gt;=SchemeStart,IF($X63=0,$AD63,IF(AND($Z63&lt;&gt;"",EDATE($D63,Milestones!$AA$90)&gt;=$Z63),$AC63,IF(AND($Y63&lt;&gt;"",EDATE($D63,Milestones!$AA$90)&gt;=$Y63),$AB63,$AA63)))=Milestones!$AB$90),UPPER(TEXT(EDATE($D63,Milestones!$AA$90),"dd mmm yy"))&amp;" "&amp;Milestones!$AB$90&amp;" "&amp;IF(AND(Milestones!$AB$90="FT",Milestones!$AA$90=FT_Y5,EDATE($D63,Milestones!$AA$90)&lt;PolicyEff),1,Milestones!$AC$90)&amp;";  ","")&amp;IF(AND(EDATE($D63,Milestones!$AA$91)&lt;=AsOfDate,EDATE($D63,Milestones!$AA$91)&gt;=SchemeStart,IF($X63=0,$AD63,IF(AND($Z63&lt;&gt;"",EDATE($D63,Milestones!$AA$91)&gt;=$Z63),$AC63,IF(AND($Y63&lt;&gt;"",EDATE($D63,Milestones!$AA$91)&gt;=$Y63),$AB63,$AA63)))=Milestones!$AB$91),UPPER(TEXT(EDATE($D63,Milestones!$AA$91),"dd mmm yy"))&amp;" "&amp;Milestones!$AB$91&amp;" "&amp;IF(AND(Milestones!$AB$91="FT",Milestones!$AA$91=FT_Y5,EDATE($D63,Milestones!$AA$91)&lt;PolicyEff),1,Milestones!$AC$91)&amp;";  ",""))</f>
        <v/>
      </c>
      <c r="O63" s="0" t="str">
        <f aca="false">IF(OR($A63="",$D63=""),"",IF(AND(EDATE($D63,Milestones!$AA$92)&lt;=AsOfDate,EDATE($D63,Milestones!$AA$92)&gt;=SchemeStart,IF($X63=0,$AD63,IF(AND($Z63&lt;&gt;"",EDATE($D63,Milestones!$AA$92)&gt;=$Z63),$AC63,IF(AND($Y63&lt;&gt;"",EDATE($D63,Milestones!$AA$92)&gt;=$Y63),$AB63,$AA63)))=Milestones!$AB$92),UPPER(TEXT(EDATE($D63,Milestones!$AA$92),"dd mmm yy"))&amp;" "&amp;Milestones!$AB$92&amp;" "&amp;IF(AND(Milestones!$AB$92="FT",Milestones!$AA$92=FT_Y5,EDATE($D63,Milestones!$AA$92)&lt;PolicyEff),1,Milestones!$AC$92)&amp;";  ","")&amp;IF(AND(EDATE($D63,Milestones!$AA$93)&lt;=AsOfDate,EDATE($D63,Milestones!$AA$93)&gt;=SchemeStart,IF($X63=0,$AD63,IF(AND($Z63&lt;&gt;"",EDATE($D63,Milestones!$AA$93)&gt;=$Z63),$AC63,IF(AND($Y63&lt;&gt;"",EDATE($D63,Milestones!$AA$93)&gt;=$Y63),$AB63,$AA63)))=Milestones!$AB$93),UPPER(TEXT(EDATE($D63,Milestones!$AA$93),"dd mmm yy"))&amp;" "&amp;Milestones!$AB$93&amp;" "&amp;IF(AND(Milestones!$AB$93="FT",Milestones!$AA$93=FT_Y5,EDATE($D63,Milestones!$AA$93)&lt;PolicyEff),1,Milestones!$AC$93)&amp;";  ","")&amp;IF(AND(EDATE($D63,Milestones!$AA$94)&lt;=AsOfDate,EDATE($D63,Milestones!$AA$94)&gt;=SchemeStart,IF($X63=0,$AD63,IF(AND($Z63&lt;&gt;"",EDATE($D63,Milestones!$AA$94)&gt;=$Z63),$AC63,IF(AND($Y63&lt;&gt;"",EDATE($D63,Milestones!$AA$94)&gt;=$Y63),$AB63,$AA63)))=Milestones!$AB$94),UPPER(TEXT(EDATE($D63,Milestones!$AA$94),"dd mmm yy"))&amp;" "&amp;Milestones!$AB$94&amp;" "&amp;IF(AND(Milestones!$AB$94="FT",Milestones!$AA$94=FT_Y5,EDATE($D63,Milestones!$AA$94)&lt;PolicyEff),1,Milestones!$AC$94)&amp;";  ","")&amp;IF(AND(EDATE($D63,Milestones!$AA$95)&lt;=AsOfDate,EDATE($D63,Milestones!$AA$95)&gt;=SchemeStart,IF($X63=0,$AD63,IF(AND($Z63&lt;&gt;"",EDATE($D63,Milestones!$AA$95)&gt;=$Z63),$AC63,IF(AND($Y63&lt;&gt;"",EDATE($D63,Milestones!$AA$95)&gt;=$Y63),$AB63,$AA63)))=Milestones!$AB$95),UPPER(TEXT(EDATE($D63,Milestones!$AA$95),"dd mmm yy"))&amp;" "&amp;Milestones!$AB$95&amp;" "&amp;IF(AND(Milestones!$AB$95="FT",Milestones!$AA$95=FT_Y5,EDATE($D63,Milestones!$AA$95)&lt;PolicyEff),1,Milestones!$AC$95)&amp;";  ","")&amp;IF(AND(EDATE($D63,Milestones!$AA$96)&lt;=AsOfDate,EDATE($D63,Milestones!$AA$96)&gt;=SchemeStart,IF($X63=0,$AD63,IF(AND($Z63&lt;&gt;"",EDATE($D63,Milestones!$AA$96)&gt;=$Z63),$AC63,IF(AND($Y63&lt;&gt;"",EDATE($D63,Milestones!$AA$96)&gt;=$Y63),$AB63,$AA63)))=Milestones!$AB$96),UPPER(TEXT(EDATE($D63,Milestones!$AA$96),"dd mmm yy"))&amp;" "&amp;Milestones!$AB$96&amp;" "&amp;IF(AND(Milestones!$AB$96="FT",Milestones!$AA$96=FT_Y5,EDATE($D63,Milestones!$AA$96)&lt;PolicyEff),1,Milestones!$AC$96)&amp;";  ","")&amp;IF(AND(EDATE($D63,Milestones!$AA$97)&lt;=AsOfDate,EDATE($D63,Milestones!$AA$97)&gt;=SchemeStart,IF($X63=0,$AD63,IF(AND($Z63&lt;&gt;"",EDATE($D63,Milestones!$AA$97)&gt;=$Z63),$AC63,IF(AND($Y63&lt;&gt;"",EDATE($D63,Milestones!$AA$97)&gt;=$Y63),$AB63,$AA63)))=Milestones!$AB$97),UPPER(TEXT(EDATE($D63,Milestones!$AA$97),"dd mmm yy"))&amp;" "&amp;Milestones!$AB$97&amp;" "&amp;IF(AND(Milestones!$AB$97="FT",Milestones!$AA$97=FT_Y5,EDATE($D63,Milestones!$AA$97)&lt;PolicyEff),1,Milestones!$AC$97)&amp;";  ","")&amp;IF(AND(EDATE($D63,Milestones!$AA$98)&lt;=AsOfDate,EDATE($D63,Milestones!$AA$98)&gt;=SchemeStart,IF($X63=0,$AD63,IF(AND($Z63&lt;&gt;"",EDATE($D63,Milestones!$AA$98)&gt;=$Z63),$AC63,IF(AND($Y63&lt;&gt;"",EDATE($D63,Milestones!$AA$98)&gt;=$Y63),$AB63,$AA63)))=Milestones!$AB$98),UPPER(TEXT(EDATE($D63,Milestones!$AA$98),"dd mmm yy"))&amp;" "&amp;Milestones!$AB$98&amp;" "&amp;IF(AND(Milestones!$AB$98="FT",Milestones!$AA$98=FT_Y5,EDATE($D63,Milestones!$AA$98)&lt;PolicyEff),1,Milestones!$AC$98)&amp;";  ","")&amp;IF(AND(EDATE($D63,Milestones!$AA$99)&lt;=AsOfDate,EDATE($D63,Milestones!$AA$99)&gt;=SchemeStart,IF($X63=0,$AD63,IF(AND($Z63&lt;&gt;"",EDATE($D63,Milestones!$AA$99)&gt;=$Z63),$AC63,IF(AND($Y63&lt;&gt;"",EDATE($D63,Milestones!$AA$99)&gt;=$Y63),$AB63,$AA63)))=Milestones!$AB$99),UPPER(TEXT(EDATE($D63,Milestones!$AA$99),"dd mmm yy"))&amp;" "&amp;Milestones!$AB$99&amp;" "&amp;IF(AND(Milestones!$AB$99="FT",Milestones!$AA$99=FT_Y5,EDATE($D63,Milestones!$AA$99)&lt;PolicyEff),1,Milestones!$AC$99)&amp;";  ","")&amp;IF(AND(EDATE($D63,Milestones!$AA$100)&lt;=AsOfDate,EDATE($D63,Milestones!$AA$100)&gt;=SchemeStart,IF($X63=0,$AD63,IF(AND($Z63&lt;&gt;"",EDATE($D63,Milestones!$AA$100)&gt;=$Z63),$AC63,IF(AND($Y63&lt;&gt;"",EDATE($D63,Milestones!$AA$100)&gt;=$Y63),$AB63,$AA63)))=Milestones!$AB$100),UPPER(TEXT(EDATE($D63,Milestones!$AA$100),"dd mmm yy"))&amp;" "&amp;Milestones!$AB$100&amp;" "&amp;IF(AND(Milestones!$AB$100="FT",Milestones!$AA$100=FT_Y5,EDATE($D63,Milestones!$AA$100)&lt;PolicyEff),1,Milestones!$AC$100)&amp;";  ","")&amp;IF(AND(EDATE($D63,Milestones!$AA$101)&lt;=AsOfDate,EDATE($D63,Milestones!$AA$101)&gt;=SchemeStart,IF($X63=0,$AD63,IF(AND($Z63&lt;&gt;"",EDATE($D63,Milestones!$AA$101)&gt;=$Z63),$AC63,IF(AND($Y63&lt;&gt;"",EDATE($D63,Milestones!$AA$101)&gt;=$Y63),$AB63,$AA63)))=Milestones!$AB$101),UPPER(TEXT(EDATE($D63,Milestones!$AA$101),"dd mmm yy"))&amp;" "&amp;Milestones!$AB$101&amp;" "&amp;IF(AND(Milestones!$AB$101="FT",Milestones!$AA$101=FT_Y5,EDATE($D63,Milestones!$AA$101)&lt;PolicyEff),1,Milestones!$AC$101)&amp;";  ","")&amp;IF(AND(EDATE($D63,Milestones!$AA$102)&lt;=AsOfDate,EDATE($D63,Milestones!$AA$102)&gt;=SchemeStart,IF($X63=0,$AD63,IF(AND($Z63&lt;&gt;"",EDATE($D63,Milestones!$AA$102)&gt;=$Z63),$AC63,IF(AND($Y63&lt;&gt;"",EDATE($D63,Milestones!$AA$102)&gt;=$Y63),$AB63,$AA63)))=Milestones!$AB$102),UPPER(TEXT(EDATE($D63,Milestones!$AA$102),"dd mmm yy"))&amp;" "&amp;Milestones!$AB$102&amp;" "&amp;IF(AND(Milestones!$AB$102="FT",Milestones!$AA$102=FT_Y5,EDATE($D63,Milestones!$AA$102)&lt;PolicyEff),1,Milestones!$AC$102)&amp;";  ","")&amp;IF(AND(EDATE($D63,Milestones!$AA$103)&lt;=AsOfDate,EDATE($D63,Milestones!$AA$103)&gt;=SchemeStart,IF($X63=0,$AD63,IF(AND($Z63&lt;&gt;"",EDATE($D63,Milestones!$AA$103)&gt;=$Z63),$AC63,IF(AND($Y63&lt;&gt;"",EDATE($D63,Milestones!$AA$103)&gt;=$Y63),$AB63,$AA63)))=Milestones!$AB$103),UPPER(TEXT(EDATE($D63,Milestones!$AA$103),"dd mmm yy"))&amp;" "&amp;Milestones!$AB$103&amp;" "&amp;IF(AND(Milestones!$AB$103="FT",Milestones!$AA$103=FT_Y5,EDATE($D63,Milestones!$AA$103)&lt;PolicyEff),1,Milestones!$AC$103)&amp;";  ",""))</f>
        <v/>
      </c>
      <c r="P63" s="0" t="str">
        <f aca="false">IF(OR($A63="",$D63=""),"",IF(AND(EDATE($D63,Milestones!$AA$104)&lt;=AsOfDate,EDATE($D63,Milestones!$AA$104)&gt;=SchemeStart,IF($X63=0,$AD63,IF(AND($Z63&lt;&gt;"",EDATE($D63,Milestones!$AA$104)&gt;=$Z63),$AC63,IF(AND($Y63&lt;&gt;"",EDATE($D63,Milestones!$AA$104)&gt;=$Y63),$AB63,$AA63)))=Milestones!$AB$104),UPPER(TEXT(EDATE($D63,Milestones!$AA$104),"dd mmm yy"))&amp;" "&amp;Milestones!$AB$104&amp;" "&amp;IF(AND(Milestones!$AB$104="FT",Milestones!$AA$104=FT_Y5,EDATE($D63,Milestones!$AA$104)&lt;PolicyEff),1,Milestones!$AC$104)&amp;";  ","")&amp;IF(AND(EDATE($D63,Milestones!$AA$105)&lt;=AsOfDate,EDATE($D63,Milestones!$AA$105)&gt;=SchemeStart,IF($X63=0,$AD63,IF(AND($Z63&lt;&gt;"",EDATE($D63,Milestones!$AA$105)&gt;=$Z63),$AC63,IF(AND($Y63&lt;&gt;"",EDATE($D63,Milestones!$AA$105)&gt;=$Y63),$AB63,$AA63)))=Milestones!$AB$105),UPPER(TEXT(EDATE($D63,Milestones!$AA$105),"dd mmm yy"))&amp;" "&amp;Milestones!$AB$105&amp;" "&amp;IF(AND(Milestones!$AB$105="FT",Milestones!$AA$105=FT_Y5,EDATE($D63,Milestones!$AA$105)&lt;PolicyEff),1,Milestones!$AC$105)&amp;";  ","")&amp;IF(AND(EDATE($D63,Milestones!$AA$106)&lt;=AsOfDate,EDATE($D63,Milestones!$AA$106)&gt;=SchemeStart,IF($X63=0,$AD63,IF(AND($Z63&lt;&gt;"",EDATE($D63,Milestones!$AA$106)&gt;=$Z63),$AC63,IF(AND($Y63&lt;&gt;"",EDATE($D63,Milestones!$AA$106)&gt;=$Y63),$AB63,$AA63)))=Milestones!$AB$106),UPPER(TEXT(EDATE($D63,Milestones!$AA$106),"dd mmm yy"))&amp;" "&amp;Milestones!$AB$106&amp;" "&amp;IF(AND(Milestones!$AB$106="FT",Milestones!$AA$106=FT_Y5,EDATE($D63,Milestones!$AA$106)&lt;PolicyEff),1,Milestones!$AC$106)&amp;";  ","")&amp;IF(AND(EDATE($D63,Milestones!$AA$107)&lt;=AsOfDate,EDATE($D63,Milestones!$AA$107)&gt;=SchemeStart,IF($X63=0,$AD63,IF(AND($Z63&lt;&gt;"",EDATE($D63,Milestones!$AA$107)&gt;=$Z63),$AC63,IF(AND($Y63&lt;&gt;"",EDATE($D63,Milestones!$AA$107)&gt;=$Y63),$AB63,$AA63)))=Milestones!$AB$107),UPPER(TEXT(EDATE($D63,Milestones!$AA$107),"dd mmm yy"))&amp;" "&amp;Milestones!$AB$107&amp;" "&amp;IF(AND(Milestones!$AB$107="FT",Milestones!$AA$107=FT_Y5,EDATE($D63,Milestones!$AA$107)&lt;PolicyEff),1,Milestones!$AC$107)&amp;";  ","")&amp;IF(AND(EDATE($D63,Milestones!$AA$108)&lt;=AsOfDate,EDATE($D63,Milestones!$AA$108)&gt;=SchemeStart,IF($X63=0,$AD63,IF(AND($Z63&lt;&gt;"",EDATE($D63,Milestones!$AA$108)&gt;=$Z63),$AC63,IF(AND($Y63&lt;&gt;"",EDATE($D63,Milestones!$AA$108)&gt;=$Y63),$AB63,$AA63)))=Milestones!$AB$108),UPPER(TEXT(EDATE($D63,Milestones!$AA$108),"dd mmm yy"))&amp;" "&amp;Milestones!$AB$108&amp;" "&amp;IF(AND(Milestones!$AB$108="FT",Milestones!$AA$108=FT_Y5,EDATE($D63,Milestones!$AA$108)&lt;PolicyEff),1,Milestones!$AC$108)&amp;";  ","")&amp;IF(AND(EDATE($D63,Milestones!$AA$109)&lt;=AsOfDate,EDATE($D63,Milestones!$AA$109)&gt;=SchemeStart,IF($X63=0,$AD63,IF(AND($Z63&lt;&gt;"",EDATE($D63,Milestones!$AA$109)&gt;=$Z63),$AC63,IF(AND($Y63&lt;&gt;"",EDATE($D63,Milestones!$AA$109)&gt;=$Y63),$AB63,$AA63)))=Milestones!$AB$109),UPPER(TEXT(EDATE($D63,Milestones!$AA$109),"dd mmm yy"))&amp;" "&amp;Milestones!$AB$109&amp;" "&amp;IF(AND(Milestones!$AB$109="FT",Milestones!$AA$109=FT_Y5,EDATE($D63,Milestones!$AA$109)&lt;PolicyEff),1,Milestones!$AC$109)&amp;";  ","")&amp;IF(AND(EDATE($D63,Milestones!$AA$110)&lt;=AsOfDate,EDATE($D63,Milestones!$AA$110)&gt;=SchemeStart,IF($X63=0,$AD63,IF(AND($Z63&lt;&gt;"",EDATE($D63,Milestones!$AA$110)&gt;=$Z63),$AC63,IF(AND($Y63&lt;&gt;"",EDATE($D63,Milestones!$AA$110)&gt;=$Y63),$AB63,$AA63)))=Milestones!$AB$110),UPPER(TEXT(EDATE($D63,Milestones!$AA$110),"dd mmm yy"))&amp;" "&amp;Milestones!$AB$110&amp;" "&amp;IF(AND(Milestones!$AB$110="FT",Milestones!$AA$110=FT_Y5,EDATE($D63,Milestones!$AA$110)&lt;PolicyEff),1,Milestones!$AC$110)&amp;";  ","")&amp;IF(AND(EDATE($D63,Milestones!$AA$111)&lt;=AsOfDate,EDATE($D63,Milestones!$AA$111)&gt;=SchemeStart,IF($X63=0,$AD63,IF(AND($Z63&lt;&gt;"",EDATE($D63,Milestones!$AA$111)&gt;=$Z63),$AC63,IF(AND($Y63&lt;&gt;"",EDATE($D63,Milestones!$AA$111)&gt;=$Y63),$AB63,$AA63)))=Milestones!$AB$111),UPPER(TEXT(EDATE($D63,Milestones!$AA$111),"dd mmm yy"))&amp;" "&amp;Milestones!$AB$111&amp;" "&amp;IF(AND(Milestones!$AB$111="FT",Milestones!$AA$111=FT_Y5,EDATE($D63,Milestones!$AA$111)&lt;PolicyEff),1,Milestones!$AC$111)&amp;";  ","")&amp;IF(AND(EDATE($D63,Milestones!$AA$112)&lt;=AsOfDate,EDATE($D63,Milestones!$AA$112)&gt;=SchemeStart,IF($X63=0,$AD63,IF(AND($Z63&lt;&gt;"",EDATE($D63,Milestones!$AA$112)&gt;=$Z63),$AC63,IF(AND($Y63&lt;&gt;"",EDATE($D63,Milestones!$AA$112)&gt;=$Y63),$AB63,$AA63)))=Milestones!$AB$112),UPPER(TEXT(EDATE($D63,Milestones!$AA$112),"dd mmm yy"))&amp;" "&amp;Milestones!$AB$112&amp;" "&amp;IF(AND(Milestones!$AB$112="FT",Milestones!$AA$112=FT_Y5,EDATE($D63,Milestones!$AA$112)&lt;PolicyEff),1,Milestones!$AC$112)&amp;";  ","")&amp;IF(AND(EDATE($D63,Milestones!$AA$113)&lt;=AsOfDate,EDATE($D63,Milestones!$AA$113)&gt;=SchemeStart,IF($X63=0,$AD63,IF(AND($Z63&lt;&gt;"",EDATE($D63,Milestones!$AA$113)&gt;=$Z63),$AC63,IF(AND($Y63&lt;&gt;"",EDATE($D63,Milestones!$AA$113)&gt;=$Y63),$AB63,$AA63)))=Milestones!$AB$113),UPPER(TEXT(EDATE($D63,Milestones!$AA$113),"dd mmm yy"))&amp;" "&amp;Milestones!$AB$113&amp;" "&amp;IF(AND(Milestones!$AB$113="FT",Milestones!$AA$113=FT_Y5,EDATE($D63,Milestones!$AA$113)&lt;PolicyEff),1,Milestones!$AC$113)&amp;";  ","")&amp;IF(AND(EDATE($D63,Milestones!$AA$114)&lt;=AsOfDate,EDATE($D63,Milestones!$AA$114)&gt;=SchemeStart,IF($X63=0,$AD63,IF(AND($Z63&lt;&gt;"",EDATE($D63,Milestones!$AA$114)&gt;=$Z63),$AC63,IF(AND($Y63&lt;&gt;"",EDATE($D63,Milestones!$AA$114)&gt;=$Y63),$AB63,$AA63)))=Milestones!$AB$114),UPPER(TEXT(EDATE($D63,Milestones!$AA$114),"dd mmm yy"))&amp;" "&amp;Milestones!$AB$114&amp;" "&amp;IF(AND(Milestones!$AB$114="FT",Milestones!$AA$114=FT_Y5,EDATE($D63,Milestones!$AA$114)&lt;PolicyEff),1,Milestones!$AC$114)&amp;";  ","")&amp;IF(AND(EDATE($D63,Milestones!$AA$115)&lt;=AsOfDate,EDATE($D63,Milestones!$AA$115)&gt;=SchemeStart,IF($X63=0,$AD63,IF(AND($Z63&lt;&gt;"",EDATE($D63,Milestones!$AA$115)&gt;=$Z63),$AC63,IF(AND($Y63&lt;&gt;"",EDATE($D63,Milestones!$AA$115)&gt;=$Y63),$AB63,$AA63)))=Milestones!$AB$115),UPPER(TEXT(EDATE($D63,Milestones!$AA$115),"dd mmm yy"))&amp;" "&amp;Milestones!$AB$115&amp;" "&amp;IF(AND(Milestones!$AB$115="FT",Milestones!$AA$115=FT_Y5,EDATE($D63,Milestones!$AA$115)&lt;PolicyEff),1,Milestones!$AC$115)&amp;";  ",""))</f>
        <v/>
      </c>
      <c r="Q63" s="0" t="str">
        <f aca="false">IF(OR($A63="",$D63=""),"",IF(AND(EDATE($D63,Milestones!$AA$116)&lt;=AsOfDate,EDATE($D63,Milestones!$AA$116)&gt;=SchemeStart,IF($X63=0,$AD63,IF(AND($Z63&lt;&gt;"",EDATE($D63,Milestones!$AA$116)&gt;=$Z63),$AC63,IF(AND($Y63&lt;&gt;"",EDATE($D63,Milestones!$AA$116)&gt;=$Y63),$AB63,$AA63)))=Milestones!$AB$116),UPPER(TEXT(EDATE($D63,Milestones!$AA$116),"dd mmm yy"))&amp;" "&amp;Milestones!$AB$116&amp;" "&amp;IF(AND(Milestones!$AB$116="FT",Milestones!$AA$116=FT_Y5,EDATE($D63,Milestones!$AA$116)&lt;PolicyEff),1,Milestones!$AC$116)&amp;";  ","")&amp;IF(AND(EDATE($D63,Milestones!$AA$117)&lt;=AsOfDate,EDATE($D63,Milestones!$AA$117)&gt;=SchemeStart,IF($X63=0,$AD63,IF(AND($Z63&lt;&gt;"",EDATE($D63,Milestones!$AA$117)&gt;=$Z63),$AC63,IF(AND($Y63&lt;&gt;"",EDATE($D63,Milestones!$AA$117)&gt;=$Y63),$AB63,$AA63)))=Milestones!$AB$117),UPPER(TEXT(EDATE($D63,Milestones!$AA$117),"dd mmm yy"))&amp;" "&amp;Milestones!$AB$117&amp;" "&amp;IF(AND(Milestones!$AB$117="FT",Milestones!$AA$117=FT_Y5,EDATE($D63,Milestones!$AA$117)&lt;PolicyEff),1,Milestones!$AC$117)&amp;";  ","")&amp;IF(AND(EDATE($D63,Milestones!$AA$118)&lt;=AsOfDate,EDATE($D63,Milestones!$AA$118)&gt;=SchemeStart,IF($X63=0,$AD63,IF(AND($Z63&lt;&gt;"",EDATE($D63,Milestones!$AA$118)&gt;=$Z63),$AC63,IF(AND($Y63&lt;&gt;"",EDATE($D63,Milestones!$AA$118)&gt;=$Y63),$AB63,$AA63)))=Milestones!$AB$118),UPPER(TEXT(EDATE($D63,Milestones!$AA$118),"dd mmm yy"))&amp;" "&amp;Milestones!$AB$118&amp;" "&amp;IF(AND(Milestones!$AB$118="FT",Milestones!$AA$118=FT_Y5,EDATE($D63,Milestones!$AA$118)&lt;PolicyEff),1,Milestones!$AC$118)&amp;";  ","")&amp;IF(AND(EDATE($D63,Milestones!$AA$119)&lt;=AsOfDate,EDATE($D63,Milestones!$AA$119)&gt;=SchemeStart,IF($X63=0,$AD63,IF(AND($Z63&lt;&gt;"",EDATE($D63,Milestones!$AA$119)&gt;=$Z63),$AC63,IF(AND($Y63&lt;&gt;"",EDATE($D63,Milestones!$AA$119)&gt;=$Y63),$AB63,$AA63)))=Milestones!$AB$119),UPPER(TEXT(EDATE($D63,Milestones!$AA$119),"dd mmm yy"))&amp;" "&amp;Milestones!$AB$119&amp;" "&amp;IF(AND(Milestones!$AB$119="FT",Milestones!$AA$119=FT_Y5,EDATE($D63,Milestones!$AA$119)&lt;PolicyEff),1,Milestones!$AC$119)&amp;";  ","")&amp;IF(AND(EDATE($D63,Milestones!$AA$120)&lt;=AsOfDate,EDATE($D63,Milestones!$AA$120)&gt;=SchemeStart,IF($X63=0,$AD63,IF(AND($Z63&lt;&gt;"",EDATE($D63,Milestones!$AA$120)&gt;=$Z63),$AC63,IF(AND($Y63&lt;&gt;"",EDATE($D63,Milestones!$AA$120)&gt;=$Y63),$AB63,$AA63)))=Milestones!$AB$120),UPPER(TEXT(EDATE($D63,Milestones!$AA$120),"dd mmm yy"))&amp;" "&amp;Milestones!$AB$120&amp;" "&amp;IF(AND(Milestones!$AB$120="FT",Milestones!$AA$120=FT_Y5,EDATE($D63,Milestones!$AA$120)&lt;PolicyEff),1,Milestones!$AC$120)&amp;";  ","")&amp;IF(AND(EDATE($D63,Milestones!$AA$121)&lt;=AsOfDate,EDATE($D63,Milestones!$AA$121)&gt;=SchemeStart,IF($X63=0,$AD63,IF(AND($Z63&lt;&gt;"",EDATE($D63,Milestones!$AA$121)&gt;=$Z63),$AC63,IF(AND($Y63&lt;&gt;"",EDATE($D63,Milestones!$AA$121)&gt;=$Y63),$AB63,$AA63)))=Milestones!$AB$121),UPPER(TEXT(EDATE($D63,Milestones!$AA$121),"dd mmm yy"))&amp;" "&amp;Milestones!$AB$121&amp;" "&amp;IF(AND(Milestones!$AB$121="FT",Milestones!$AA$121=FT_Y5,EDATE($D63,Milestones!$AA$121)&lt;PolicyEff),1,Milestones!$AC$121)&amp;";  ","")&amp;IF(AND(EDATE($D63,Milestones!$AA$122)&lt;=AsOfDate,EDATE($D63,Milestones!$AA$122)&gt;=SchemeStart,IF($X63=0,$AD63,IF(AND($Z63&lt;&gt;"",EDATE($D63,Milestones!$AA$122)&gt;=$Z63),$AC63,IF(AND($Y63&lt;&gt;"",EDATE($D63,Milestones!$AA$122)&gt;=$Y63),$AB63,$AA63)))=Milestones!$AB$122),UPPER(TEXT(EDATE($D63,Milestones!$AA$122),"dd mmm yy"))&amp;" "&amp;Milestones!$AB$122&amp;" "&amp;IF(AND(Milestones!$AB$122="FT",Milestones!$AA$122=FT_Y5,EDATE($D63,Milestones!$AA$122)&lt;PolicyEff),1,Milestones!$AC$122)&amp;";  ","")&amp;IF(AND(EDATE($D63,Milestones!$AA$123)&lt;=AsOfDate,EDATE($D63,Milestones!$AA$123)&gt;=SchemeStart,IF($X63=0,$AD63,IF(AND($Z63&lt;&gt;"",EDATE($D63,Milestones!$AA$123)&gt;=$Z63),$AC63,IF(AND($Y63&lt;&gt;"",EDATE($D63,Milestones!$AA$123)&gt;=$Y63),$AB63,$AA63)))=Milestones!$AB$123),UPPER(TEXT(EDATE($D63,Milestones!$AA$123),"dd mmm yy"))&amp;" "&amp;Milestones!$AB$123&amp;" "&amp;IF(AND(Milestones!$AB$123="FT",Milestones!$AA$123=FT_Y5,EDATE($D63,Milestones!$AA$123)&lt;PolicyEff),1,Milestones!$AC$123)&amp;";  ","")&amp;IF(AND(EDATE($D63,Milestones!$AA$124)&lt;=AsOfDate,EDATE($D63,Milestones!$AA$124)&gt;=SchemeStart,IF($X63=0,$AD63,IF(AND($Z63&lt;&gt;"",EDATE($D63,Milestones!$AA$124)&gt;=$Z63),$AC63,IF(AND($Y63&lt;&gt;"",EDATE($D63,Milestones!$AA$124)&gt;=$Y63),$AB63,$AA63)))=Milestones!$AB$124),UPPER(TEXT(EDATE($D63,Milestones!$AA$124),"dd mmm yy"))&amp;" "&amp;Milestones!$AB$124&amp;" "&amp;IF(AND(Milestones!$AB$124="FT",Milestones!$AA$124=FT_Y5,EDATE($D63,Milestones!$AA$124)&lt;PolicyEff),1,Milestones!$AC$124)&amp;";  ","")&amp;IF(AND(EDATE($D63,Milestones!$AA$125)&lt;=AsOfDate,EDATE($D63,Milestones!$AA$125)&gt;=SchemeStart,IF($X63=0,$AD63,IF(AND($Z63&lt;&gt;"",EDATE($D63,Milestones!$AA$125)&gt;=$Z63),$AC63,IF(AND($Y63&lt;&gt;"",EDATE($D63,Milestones!$AA$125)&gt;=$Y63),$AB63,$AA63)))=Milestones!$AB$125),UPPER(TEXT(EDATE($D63,Milestones!$AA$125),"dd mmm yy"))&amp;" "&amp;Milestones!$AB$125&amp;" "&amp;IF(AND(Milestones!$AB$125="FT",Milestones!$AA$125=FT_Y5,EDATE($D63,Milestones!$AA$125)&lt;PolicyEff),1,Milestones!$AC$125)&amp;";  ","")&amp;IF(AND(EDATE($D63,Milestones!$AA$126)&lt;=AsOfDate,EDATE($D63,Milestones!$AA$126)&gt;=SchemeStart,IF($X63=0,$AD63,IF(AND($Z63&lt;&gt;"",EDATE($D63,Milestones!$AA$126)&gt;=$Z63),$AC63,IF(AND($Y63&lt;&gt;"",EDATE($D63,Milestones!$AA$126)&gt;=$Y63),$AB63,$AA63)))=Milestones!$AB$126),UPPER(TEXT(EDATE($D63,Milestones!$AA$126),"dd mmm yy"))&amp;" "&amp;Milestones!$AB$126&amp;" "&amp;IF(AND(Milestones!$AB$126="FT",Milestones!$AA$126=FT_Y5,EDATE($D63,Milestones!$AA$126)&lt;PolicyEff),1,Milestones!$AC$126)&amp;";  ","")&amp;IF(AND(EDATE($D63,Milestones!$AA$127)&lt;=AsOfDate,EDATE($D63,Milestones!$AA$127)&gt;=SchemeStart,IF($X63=0,$AD63,IF(AND($Z63&lt;&gt;"",EDATE($D63,Milestones!$AA$127)&gt;=$Z63),$AC63,IF(AND($Y63&lt;&gt;"",EDATE($D63,Milestones!$AA$127)&gt;=$Y63),$AB63,$AA63)))=Milestones!$AB$127),UPPER(TEXT(EDATE($D63,Milestones!$AA$127),"dd mmm yy"))&amp;" "&amp;Milestones!$AB$127&amp;" "&amp;IF(AND(Milestones!$AB$127="FT",Milestones!$AA$127=FT_Y5,EDATE($D63,Milestones!$AA$127)&lt;PolicyEff),1,Milestones!$AC$127)&amp;";  ",""))</f>
        <v/>
      </c>
      <c r="R63" s="0" t="str">
        <f aca="false">IF(OR($A63="",$D63=""),"",IF(AND(EDATE($D63,Milestones!$AA$128)&lt;=AsOfDate,EDATE($D63,Milestones!$AA$128)&gt;=SchemeStart,IF($X63=0,$AD63,IF(AND($Z63&lt;&gt;"",EDATE($D63,Milestones!$AA$128)&gt;=$Z63),$AC63,IF(AND($Y63&lt;&gt;"",EDATE($D63,Milestones!$AA$128)&gt;=$Y63),$AB63,$AA63)))=Milestones!$AB$128),UPPER(TEXT(EDATE($D63,Milestones!$AA$128),"dd mmm yy"))&amp;" "&amp;Milestones!$AB$128&amp;" "&amp;IF(AND(Milestones!$AB$128="FT",Milestones!$AA$128=FT_Y5,EDATE($D63,Milestones!$AA$128)&lt;PolicyEff),1,Milestones!$AC$128)&amp;";  ","")&amp;IF(AND(EDATE($D63,Milestones!$AA$129)&lt;=AsOfDate,EDATE($D63,Milestones!$AA$129)&gt;=SchemeStart,IF($X63=0,$AD63,IF(AND($Z63&lt;&gt;"",EDATE($D63,Milestones!$AA$129)&gt;=$Z63),$AC63,IF(AND($Y63&lt;&gt;"",EDATE($D63,Milestones!$AA$129)&gt;=$Y63),$AB63,$AA63)))=Milestones!$AB$129),UPPER(TEXT(EDATE($D63,Milestones!$AA$129),"dd mmm yy"))&amp;" "&amp;Milestones!$AB$129&amp;" "&amp;IF(AND(Milestones!$AB$129="FT",Milestones!$AA$129=FT_Y5,EDATE($D63,Milestones!$AA$129)&lt;PolicyEff),1,Milestones!$AC$129)&amp;";  ","")&amp;IF(AND(EDATE($D63,Milestones!$AA$130)&lt;=AsOfDate,EDATE($D63,Milestones!$AA$130)&gt;=SchemeStart,IF($X63=0,$AD63,IF(AND($Z63&lt;&gt;"",EDATE($D63,Milestones!$AA$130)&gt;=$Z63),$AC63,IF(AND($Y63&lt;&gt;"",EDATE($D63,Milestones!$AA$130)&gt;=$Y63),$AB63,$AA63)))=Milestones!$AB$130),UPPER(TEXT(EDATE($D63,Milestones!$AA$130),"dd mmm yy"))&amp;" "&amp;Milestones!$AB$130&amp;" "&amp;IF(AND(Milestones!$AB$130="FT",Milestones!$AA$130=FT_Y5,EDATE($D63,Milestones!$AA$130)&lt;PolicyEff),1,Milestones!$AC$130)&amp;";  ","")&amp;IF(AND(EDATE($D63,Milestones!$AA$131)&lt;=AsOfDate,EDATE($D63,Milestones!$AA$131)&gt;=SchemeStart,IF($X63=0,$AD63,IF(AND($Z63&lt;&gt;"",EDATE($D63,Milestones!$AA$131)&gt;=$Z63),$AC63,IF(AND($Y63&lt;&gt;"",EDATE($D63,Milestones!$AA$131)&gt;=$Y63),$AB63,$AA63)))=Milestones!$AB$131),UPPER(TEXT(EDATE($D63,Milestones!$AA$131),"dd mmm yy"))&amp;" "&amp;Milestones!$AB$131&amp;" "&amp;IF(AND(Milestones!$AB$131="FT",Milestones!$AA$131=FT_Y5,EDATE($D63,Milestones!$AA$131)&lt;PolicyEff),1,Milestones!$AC$131)&amp;";  ","")&amp;IF(AND(EDATE($D63,Milestones!$AA$132)&lt;=AsOfDate,EDATE($D63,Milestones!$AA$132)&gt;=SchemeStart,IF($X63=0,$AD63,IF(AND($Z63&lt;&gt;"",EDATE($D63,Milestones!$AA$132)&gt;=$Z63),$AC63,IF(AND($Y63&lt;&gt;"",EDATE($D63,Milestones!$AA$132)&gt;=$Y63),$AB63,$AA63)))=Milestones!$AB$132),UPPER(TEXT(EDATE($D63,Milestones!$AA$132),"dd mmm yy"))&amp;" "&amp;Milestones!$AB$132&amp;" "&amp;IF(AND(Milestones!$AB$132="FT",Milestones!$AA$132=FT_Y5,EDATE($D63,Milestones!$AA$132)&lt;PolicyEff),1,Milestones!$AC$132)&amp;";  ","")&amp;IF(AND(EDATE($D63,Milestones!$AA$133)&lt;=AsOfDate,EDATE($D63,Milestones!$AA$133)&gt;=SchemeStart,IF($X63=0,$AD63,IF(AND($Z63&lt;&gt;"",EDATE($D63,Milestones!$AA$133)&gt;=$Z63),$AC63,IF(AND($Y63&lt;&gt;"",EDATE($D63,Milestones!$AA$133)&gt;=$Y63),$AB63,$AA63)))=Milestones!$AB$133),UPPER(TEXT(EDATE($D63,Milestones!$AA$133),"dd mmm yy"))&amp;" "&amp;Milestones!$AB$133&amp;" "&amp;IF(AND(Milestones!$AB$133="FT",Milestones!$AA$133=FT_Y5,EDATE($D63,Milestones!$AA$133)&lt;PolicyEff),1,Milestones!$AC$133)&amp;";  ","")&amp;IF(AND(EDATE($D63,Milestones!$AA$134)&lt;=AsOfDate,EDATE($D63,Milestones!$AA$134)&gt;=SchemeStart,IF($X63=0,$AD63,IF(AND($Z63&lt;&gt;"",EDATE($D63,Milestones!$AA$134)&gt;=$Z63),$AC63,IF(AND($Y63&lt;&gt;"",EDATE($D63,Milestones!$AA$134)&gt;=$Y63),$AB63,$AA63)))=Milestones!$AB$134),UPPER(TEXT(EDATE($D63,Milestones!$AA$134),"dd mmm yy"))&amp;" "&amp;Milestones!$AB$134&amp;" "&amp;IF(AND(Milestones!$AB$134="FT",Milestones!$AA$134=FT_Y5,EDATE($D63,Milestones!$AA$134)&lt;PolicyEff),1,Milestones!$AC$134)&amp;";  ","")&amp;IF(AND(EDATE($D63,Milestones!$AA$135)&lt;=AsOfDate,EDATE($D63,Milestones!$AA$135)&gt;=SchemeStart,IF($X63=0,$AD63,IF(AND($Z63&lt;&gt;"",EDATE($D63,Milestones!$AA$135)&gt;=$Z63),$AC63,IF(AND($Y63&lt;&gt;"",EDATE($D63,Milestones!$AA$135)&gt;=$Y63),$AB63,$AA63)))=Milestones!$AB$135),UPPER(TEXT(EDATE($D63,Milestones!$AA$135),"dd mmm yy"))&amp;" "&amp;Milestones!$AB$135&amp;" "&amp;IF(AND(Milestones!$AB$135="FT",Milestones!$AA$135=FT_Y5,EDATE($D63,Milestones!$AA$135)&lt;PolicyEff),1,Milestones!$AC$135)&amp;";  ","")&amp;IF(AND(EDATE($D63,Milestones!$AA$136)&lt;=AsOfDate,EDATE($D63,Milestones!$AA$136)&gt;=SchemeStart,IF($X63=0,$AD63,IF(AND($Z63&lt;&gt;"",EDATE($D63,Milestones!$AA$136)&gt;=$Z63),$AC63,IF(AND($Y63&lt;&gt;"",EDATE($D63,Milestones!$AA$136)&gt;=$Y63),$AB63,$AA63)))=Milestones!$AB$136),UPPER(TEXT(EDATE($D63,Milestones!$AA$136),"dd mmm yy"))&amp;" "&amp;Milestones!$AB$136&amp;" "&amp;IF(AND(Milestones!$AB$136="FT",Milestones!$AA$136=FT_Y5,EDATE($D63,Milestones!$AA$136)&lt;PolicyEff),1,Milestones!$AC$136)&amp;";  ","")&amp;IF(AND(EDATE($D63,Milestones!$AA$137)&lt;=AsOfDate,EDATE($D63,Milestones!$AA$137)&gt;=SchemeStart,IF($X63=0,$AD63,IF(AND($Z63&lt;&gt;"",EDATE($D63,Milestones!$AA$137)&gt;=$Z63),$AC63,IF(AND($Y63&lt;&gt;"",EDATE($D63,Milestones!$AA$137)&gt;=$Y63),$AB63,$AA63)))=Milestones!$AB$137),UPPER(TEXT(EDATE($D63,Milestones!$AA$137),"dd mmm yy"))&amp;" "&amp;Milestones!$AB$137&amp;" "&amp;IF(AND(Milestones!$AB$137="FT",Milestones!$AA$137=FT_Y5,EDATE($D63,Milestones!$AA$137)&lt;PolicyEff),1,Milestones!$AC$137)&amp;";  ","")&amp;IF(AND(EDATE($D63,Milestones!$AA$138)&lt;=AsOfDate,EDATE($D63,Milestones!$AA$138)&gt;=SchemeStart,IF($X63=0,$AD63,IF(AND($Z63&lt;&gt;"",EDATE($D63,Milestones!$AA$138)&gt;=$Z63),$AC63,IF(AND($Y63&lt;&gt;"",EDATE($D63,Milestones!$AA$138)&gt;=$Y63),$AB63,$AA63)))=Milestones!$AB$138),UPPER(TEXT(EDATE($D63,Milestones!$AA$138),"dd mmm yy"))&amp;" "&amp;Milestones!$AB$138&amp;" "&amp;IF(AND(Milestones!$AB$138="FT",Milestones!$AA$138=FT_Y5,EDATE($D63,Milestones!$AA$138)&lt;PolicyEff),1,Milestones!$AC$138)&amp;";  ","")&amp;IF(AND(EDATE($D63,Milestones!$AA$139)&lt;=AsOfDate,EDATE($D63,Milestones!$AA$139)&gt;=SchemeStart,IF($X63=0,$AD63,IF(AND($Z63&lt;&gt;"",EDATE($D63,Milestones!$AA$139)&gt;=$Z63),$AC63,IF(AND($Y63&lt;&gt;"",EDATE($D63,Milestones!$AA$139)&gt;=$Y63),$AB63,$AA63)))=Milestones!$AB$139),UPPER(TEXT(EDATE($D63,Milestones!$AA$139),"dd mmm yy"))&amp;" "&amp;Milestones!$AB$139&amp;" "&amp;IF(AND(Milestones!$AB$139="FT",Milestones!$AA$139=FT_Y5,EDATE($D63,Milestones!$AA$139)&lt;PolicyEff),1,Milestones!$AC$139)&amp;";  ",""))</f>
        <v/>
      </c>
      <c r="S63" s="0" t="str">
        <f aca="false">IF(OR($A63="",$D63=""),"",IF(AND(EDATE($D63,Milestones!$AA$140)&lt;=AsOfDate,EDATE($D63,Milestones!$AA$140)&gt;=SchemeStart,IF($X63=0,$AD63,IF(AND($Z63&lt;&gt;"",EDATE($D63,Milestones!$AA$140)&gt;=$Z63),$AC63,IF(AND($Y63&lt;&gt;"",EDATE($D63,Milestones!$AA$140)&gt;=$Y63),$AB63,$AA63)))=Milestones!$AB$140),UPPER(TEXT(EDATE($D63,Milestones!$AA$140),"dd mmm yy"))&amp;" "&amp;Milestones!$AB$140&amp;" "&amp;IF(AND(Milestones!$AB$140="FT",Milestones!$AA$140=FT_Y5,EDATE($D63,Milestones!$AA$140)&lt;PolicyEff),1,Milestones!$AC$140)&amp;";  ","")&amp;IF(AND(EDATE($D63,Milestones!$AA$141)&lt;=AsOfDate,EDATE($D63,Milestones!$AA$141)&gt;=SchemeStart,IF($X63=0,$AD63,IF(AND($Z63&lt;&gt;"",EDATE($D63,Milestones!$AA$141)&gt;=$Z63),$AC63,IF(AND($Y63&lt;&gt;"",EDATE($D63,Milestones!$AA$141)&gt;=$Y63),$AB63,$AA63)))=Milestones!$AB$141),UPPER(TEXT(EDATE($D63,Milestones!$AA$141),"dd mmm yy"))&amp;" "&amp;Milestones!$AB$141&amp;" "&amp;IF(AND(Milestones!$AB$141="FT",Milestones!$AA$141=FT_Y5,EDATE($D63,Milestones!$AA$141)&lt;PolicyEff),1,Milestones!$AC$141)&amp;";  ","")&amp;IF(AND(EDATE($D63,Milestones!$AA$142)&lt;=AsOfDate,EDATE($D63,Milestones!$AA$142)&gt;=SchemeStart,IF($X63=0,$AD63,IF(AND($Z63&lt;&gt;"",EDATE($D63,Milestones!$AA$142)&gt;=$Z63),$AC63,IF(AND($Y63&lt;&gt;"",EDATE($D63,Milestones!$AA$142)&gt;=$Y63),$AB63,$AA63)))=Milestones!$AB$142),UPPER(TEXT(EDATE($D63,Milestones!$AA$142),"dd mmm yy"))&amp;" "&amp;Milestones!$AB$142&amp;" "&amp;IF(AND(Milestones!$AB$142="FT",Milestones!$AA$142=FT_Y5,EDATE($D63,Milestones!$AA$142)&lt;PolicyEff),1,Milestones!$AC$142)&amp;";  ","")&amp;IF(AND(EDATE($D63,Milestones!$AA$143)&lt;=AsOfDate,EDATE($D63,Milestones!$AA$143)&gt;=SchemeStart,IF($X63=0,$AD63,IF(AND($Z63&lt;&gt;"",EDATE($D63,Milestones!$AA$143)&gt;=$Z63),$AC63,IF(AND($Y63&lt;&gt;"",EDATE($D63,Milestones!$AA$143)&gt;=$Y63),$AB63,$AA63)))=Milestones!$AB$143),UPPER(TEXT(EDATE($D63,Milestones!$AA$143),"dd mmm yy"))&amp;" "&amp;Milestones!$AB$143&amp;" "&amp;IF(AND(Milestones!$AB$143="FT",Milestones!$AA$143=FT_Y5,EDATE($D63,Milestones!$AA$143)&lt;PolicyEff),1,Milestones!$AC$143)&amp;";  ","")&amp;IF(AND(EDATE($D63,Milestones!$AA$144)&lt;=AsOfDate,EDATE($D63,Milestones!$AA$144)&gt;=SchemeStart,IF($X63=0,$AD63,IF(AND($Z63&lt;&gt;"",EDATE($D63,Milestones!$AA$144)&gt;=$Z63),$AC63,IF(AND($Y63&lt;&gt;"",EDATE($D63,Milestones!$AA$144)&gt;=$Y63),$AB63,$AA63)))=Milestones!$AB$144),UPPER(TEXT(EDATE($D63,Milestones!$AA$144),"dd mmm yy"))&amp;" "&amp;Milestones!$AB$144&amp;" "&amp;IF(AND(Milestones!$AB$144="FT",Milestones!$AA$144=FT_Y5,EDATE($D63,Milestones!$AA$144)&lt;PolicyEff),1,Milestones!$AC$144)&amp;";  ","")&amp;IF(AND(EDATE($D63,Milestones!$AA$145)&lt;=AsOfDate,EDATE($D63,Milestones!$AA$145)&gt;=SchemeStart,IF($X63=0,$AD63,IF(AND($Z63&lt;&gt;"",EDATE($D63,Milestones!$AA$145)&gt;=$Z63),$AC63,IF(AND($Y63&lt;&gt;"",EDATE($D63,Milestones!$AA$145)&gt;=$Y63),$AB63,$AA63)))=Milestones!$AB$145),UPPER(TEXT(EDATE($D63,Milestones!$AA$145),"dd mmm yy"))&amp;" "&amp;Milestones!$AB$145&amp;" "&amp;IF(AND(Milestones!$AB$145="FT",Milestones!$AA$145=FT_Y5,EDATE($D63,Milestones!$AA$145)&lt;PolicyEff),1,Milestones!$AC$145)&amp;";  ","")&amp;IF(AND(EDATE($D63,Milestones!$AA$146)&lt;=AsOfDate,EDATE($D63,Milestones!$AA$146)&gt;=SchemeStart,IF($X63=0,$AD63,IF(AND($Z63&lt;&gt;"",EDATE($D63,Milestones!$AA$146)&gt;=$Z63),$AC63,IF(AND($Y63&lt;&gt;"",EDATE($D63,Milestones!$AA$146)&gt;=$Y63),$AB63,$AA63)))=Milestones!$AB$146),UPPER(TEXT(EDATE($D63,Milestones!$AA$146),"dd mmm yy"))&amp;" "&amp;Milestones!$AB$146&amp;" "&amp;IF(AND(Milestones!$AB$146="FT",Milestones!$AA$146=FT_Y5,EDATE($D63,Milestones!$AA$146)&lt;PolicyEff),1,Milestones!$AC$146)&amp;";  ","")&amp;IF(AND(EDATE($D63,Milestones!$AA$147)&lt;=AsOfDate,EDATE($D63,Milestones!$AA$147)&gt;=SchemeStart,IF($X63=0,$AD63,IF(AND($Z63&lt;&gt;"",EDATE($D63,Milestones!$AA$147)&gt;=$Z63),$AC63,IF(AND($Y63&lt;&gt;"",EDATE($D63,Milestones!$AA$147)&gt;=$Y63),$AB63,$AA63)))=Milestones!$AB$147),UPPER(TEXT(EDATE($D63,Milestones!$AA$147),"dd mmm yy"))&amp;" "&amp;Milestones!$AB$147&amp;" "&amp;IF(AND(Milestones!$AB$147="FT",Milestones!$AA$147=FT_Y5,EDATE($D63,Milestones!$AA$147)&lt;PolicyEff),1,Milestones!$AC$147)&amp;";  ","")&amp;IF(AND(EDATE($D63,Milestones!$AA$148)&lt;=AsOfDate,EDATE($D63,Milestones!$AA$148)&gt;=SchemeStart,IF($X63=0,$AD63,IF(AND($Z63&lt;&gt;"",EDATE($D63,Milestones!$AA$148)&gt;=$Z63),$AC63,IF(AND($Y63&lt;&gt;"",EDATE($D63,Milestones!$AA$148)&gt;=$Y63),$AB63,$AA63)))=Milestones!$AB$148),UPPER(TEXT(EDATE($D63,Milestones!$AA$148),"dd mmm yy"))&amp;" "&amp;Milestones!$AB$148&amp;" "&amp;IF(AND(Milestones!$AB$148="FT",Milestones!$AA$148=FT_Y5,EDATE($D63,Milestones!$AA$148)&lt;PolicyEff),1,Milestones!$AC$148)&amp;";  ","")&amp;IF(AND(EDATE($D63,Milestones!$AA$149)&lt;=AsOfDate,EDATE($D63,Milestones!$AA$149)&gt;=SchemeStart,IF($X63=0,$AD63,IF(AND($Z63&lt;&gt;"",EDATE($D63,Milestones!$AA$149)&gt;=$Z63),$AC63,IF(AND($Y63&lt;&gt;"",EDATE($D63,Milestones!$AA$149)&gt;=$Y63),$AB63,$AA63)))=Milestones!$AB$149),UPPER(TEXT(EDATE($D63,Milestones!$AA$149),"dd mmm yy"))&amp;" "&amp;Milestones!$AB$149&amp;" "&amp;IF(AND(Milestones!$AB$149="FT",Milestones!$AA$149=FT_Y5,EDATE($D63,Milestones!$AA$149)&lt;PolicyEff),1,Milestones!$AC$149)&amp;";  ","")&amp;IF(AND(EDATE($D63,Milestones!$AA$150)&lt;=AsOfDate,EDATE($D63,Milestones!$AA$150)&gt;=SchemeStart,IF($X63=0,$AD63,IF(AND($Z63&lt;&gt;"",EDATE($D63,Milestones!$AA$150)&gt;=$Z63),$AC63,IF(AND($Y63&lt;&gt;"",EDATE($D63,Milestones!$AA$150)&gt;=$Y63),$AB63,$AA63)))=Milestones!$AB$150),UPPER(TEXT(EDATE($D63,Milestones!$AA$150),"dd mmm yy"))&amp;" "&amp;Milestones!$AB$150&amp;" "&amp;IF(AND(Milestones!$AB$150="FT",Milestones!$AA$150=FT_Y5,EDATE($D63,Milestones!$AA$150)&lt;PolicyEff),1,Milestones!$AC$150)&amp;";  ","")&amp;IF(AND(EDATE($D63,Milestones!$AA$151)&lt;=AsOfDate,EDATE($D63,Milestones!$AA$151)&gt;=SchemeStart,IF($X63=0,$AD63,IF(AND($Z63&lt;&gt;"",EDATE($D63,Milestones!$AA$151)&gt;=$Z63),$AC63,IF(AND($Y63&lt;&gt;"",EDATE($D63,Milestones!$AA$151)&gt;=$Y63),$AB63,$AA63)))=Milestones!$AB$151),UPPER(TEXT(EDATE($D63,Milestones!$AA$151),"dd mmm yy"))&amp;" "&amp;Milestones!$AB$151&amp;" "&amp;IF(AND(Milestones!$AB$151="FT",Milestones!$AA$151=FT_Y5,EDATE($D63,Milestones!$AA$151)&lt;PolicyEff),1,Milestones!$AC$151)&amp;";  ",""))</f>
        <v/>
      </c>
      <c r="T63" s="0" t="str">
        <f aca="false">IF(OR($A63="",$D63=""),"",IF(AND(EDATE($D63,Milestones!$AA$152)&lt;=AsOfDate,EDATE($D63,Milestones!$AA$152)&gt;=SchemeStart,IF($X63=0,$AD63,IF(AND($Z63&lt;&gt;"",EDATE($D63,Milestones!$AA$152)&gt;=$Z63),$AC63,IF(AND($Y63&lt;&gt;"",EDATE($D63,Milestones!$AA$152)&gt;=$Y63),$AB63,$AA63)))=Milestones!$AB$152),UPPER(TEXT(EDATE($D63,Milestones!$AA$152),"dd mmm yy"))&amp;" "&amp;Milestones!$AB$152&amp;" "&amp;IF(AND(Milestones!$AB$152="FT",Milestones!$AA$152=FT_Y5,EDATE($D63,Milestones!$AA$152)&lt;PolicyEff),1,Milestones!$AC$152)&amp;";  ","")&amp;IF(AND(EDATE($D63,Milestones!$AA$153)&lt;=AsOfDate,EDATE($D63,Milestones!$AA$153)&gt;=SchemeStart,IF($X63=0,$AD63,IF(AND($Z63&lt;&gt;"",EDATE($D63,Milestones!$AA$153)&gt;=$Z63),$AC63,IF(AND($Y63&lt;&gt;"",EDATE($D63,Milestones!$AA$153)&gt;=$Y63),$AB63,$AA63)))=Milestones!$AB$153),UPPER(TEXT(EDATE($D63,Milestones!$AA$153),"dd mmm yy"))&amp;" "&amp;Milestones!$AB$153&amp;" "&amp;IF(AND(Milestones!$AB$153="FT",Milestones!$AA$153=FT_Y5,EDATE($D63,Milestones!$AA$153)&lt;PolicyEff),1,Milestones!$AC$153)&amp;";  ","")&amp;IF(AND(EDATE($D63,Milestones!$AA$154)&lt;=AsOfDate,EDATE($D63,Milestones!$AA$154)&gt;=SchemeStart,IF($X63=0,$AD63,IF(AND($Z63&lt;&gt;"",EDATE($D63,Milestones!$AA$154)&gt;=$Z63),$AC63,IF(AND($Y63&lt;&gt;"",EDATE($D63,Milestones!$AA$154)&gt;=$Y63),$AB63,$AA63)))=Milestones!$AB$154),UPPER(TEXT(EDATE($D63,Milestones!$AA$154),"dd mmm yy"))&amp;" "&amp;Milestones!$AB$154&amp;" "&amp;IF(AND(Milestones!$AB$154="FT",Milestones!$AA$154=FT_Y5,EDATE($D63,Milestones!$AA$154)&lt;PolicyEff),1,Milestones!$AC$154)&amp;";  ","")&amp;IF(AND(EDATE($D63,Milestones!$AA$155)&lt;=AsOfDate,EDATE($D63,Milestones!$AA$155)&gt;=SchemeStart,IF($X63=0,$AD63,IF(AND($Z63&lt;&gt;"",EDATE($D63,Milestones!$AA$155)&gt;=$Z63),$AC63,IF(AND($Y63&lt;&gt;"",EDATE($D63,Milestones!$AA$155)&gt;=$Y63),$AB63,$AA63)))=Milestones!$AB$155),UPPER(TEXT(EDATE($D63,Milestones!$AA$155),"dd mmm yy"))&amp;" "&amp;Milestones!$AB$155&amp;" "&amp;IF(AND(Milestones!$AB$155="FT",Milestones!$AA$155=FT_Y5,EDATE($D63,Milestones!$AA$155)&lt;PolicyEff),1,Milestones!$AC$155)&amp;";  ","")&amp;IF(AND(EDATE($D63,Milestones!$AA$156)&lt;=AsOfDate,EDATE($D63,Milestones!$AA$156)&gt;=SchemeStart,IF($X63=0,$AD63,IF(AND($Z63&lt;&gt;"",EDATE($D63,Milestones!$AA$156)&gt;=$Z63),$AC63,IF(AND($Y63&lt;&gt;"",EDATE($D63,Milestones!$AA$156)&gt;=$Y63),$AB63,$AA63)))=Milestones!$AB$156),UPPER(TEXT(EDATE($D63,Milestones!$AA$156),"dd mmm yy"))&amp;" "&amp;Milestones!$AB$156&amp;" "&amp;IF(AND(Milestones!$AB$156="FT",Milestones!$AA$156=FT_Y5,EDATE($D63,Milestones!$AA$156)&lt;PolicyEff),1,Milestones!$AC$156)&amp;";  ","")&amp;IF(AND(EDATE($D63,Milestones!$AA$157)&lt;=AsOfDate,EDATE($D63,Milestones!$AA$157)&gt;=SchemeStart,IF($X63=0,$AD63,IF(AND($Z63&lt;&gt;"",EDATE($D63,Milestones!$AA$157)&gt;=$Z63),$AC63,IF(AND($Y63&lt;&gt;"",EDATE($D63,Milestones!$AA$157)&gt;=$Y63),$AB63,$AA63)))=Milestones!$AB$157),UPPER(TEXT(EDATE($D63,Milestones!$AA$157),"dd mmm yy"))&amp;" "&amp;Milestones!$AB$157&amp;" "&amp;IF(AND(Milestones!$AB$157="FT",Milestones!$AA$157=FT_Y5,EDATE($D63,Milestones!$AA$157)&lt;PolicyEff),1,Milestones!$AC$157)&amp;";  ","")&amp;IF(AND(EDATE($D63,Milestones!$AA$158)&lt;=AsOfDate,EDATE($D63,Milestones!$AA$158)&gt;=SchemeStart,IF($X63=0,$AD63,IF(AND($Z63&lt;&gt;"",EDATE($D63,Milestones!$AA$158)&gt;=$Z63),$AC63,IF(AND($Y63&lt;&gt;"",EDATE($D63,Milestones!$AA$158)&gt;=$Y63),$AB63,$AA63)))=Milestones!$AB$158),UPPER(TEXT(EDATE($D63,Milestones!$AA$158),"dd mmm yy"))&amp;" "&amp;Milestones!$AB$158&amp;" "&amp;IF(AND(Milestones!$AB$158="FT",Milestones!$AA$158=FT_Y5,EDATE($D63,Milestones!$AA$158)&lt;PolicyEff),1,Milestones!$AC$158)&amp;";  ","")&amp;IF(AND(EDATE($D63,Milestones!$AA$159)&lt;=AsOfDate,EDATE($D63,Milestones!$AA$159)&gt;=SchemeStart,IF($X63=0,$AD63,IF(AND($Z63&lt;&gt;"",EDATE($D63,Milestones!$AA$159)&gt;=$Z63),$AC63,IF(AND($Y63&lt;&gt;"",EDATE($D63,Milestones!$AA$159)&gt;=$Y63),$AB63,$AA63)))=Milestones!$AB$159),UPPER(TEXT(EDATE($D63,Milestones!$AA$159),"dd mmm yy"))&amp;" "&amp;Milestones!$AB$159&amp;" "&amp;IF(AND(Milestones!$AB$159="FT",Milestones!$AA$159=FT_Y5,EDATE($D63,Milestones!$AA$159)&lt;PolicyEff),1,Milestones!$AC$159)&amp;";  ","")&amp;IF(AND(EDATE($D63,Milestones!$AA$160)&lt;=AsOfDate,EDATE($D63,Milestones!$AA$160)&gt;=SchemeStart,IF($X63=0,$AD63,IF(AND($Z63&lt;&gt;"",EDATE($D63,Milestones!$AA$160)&gt;=$Z63),$AC63,IF(AND($Y63&lt;&gt;"",EDATE($D63,Milestones!$AA$160)&gt;=$Y63),$AB63,$AA63)))=Milestones!$AB$160),UPPER(TEXT(EDATE($D63,Milestones!$AA$160),"dd mmm yy"))&amp;" "&amp;Milestones!$AB$160&amp;" "&amp;IF(AND(Milestones!$AB$160="FT",Milestones!$AA$160=FT_Y5,EDATE($D63,Milestones!$AA$160)&lt;PolicyEff),1,Milestones!$AC$160)&amp;";  ","")&amp;IF(AND(EDATE($D63,Milestones!$AA$161)&lt;=AsOfDate,EDATE($D63,Milestones!$AA$161)&gt;=SchemeStart,IF($X63=0,$AD63,IF(AND($Z63&lt;&gt;"",EDATE($D63,Milestones!$AA$161)&gt;=$Z63),$AC63,IF(AND($Y63&lt;&gt;"",EDATE($D63,Milestones!$AA$161)&gt;=$Y63),$AB63,$AA63)))=Milestones!$AB$161),UPPER(TEXT(EDATE($D63,Milestones!$AA$161),"dd mmm yy"))&amp;" "&amp;Milestones!$AB$161&amp;" "&amp;IF(AND(Milestones!$AB$161="FT",Milestones!$AA$161=FT_Y5,EDATE($D63,Milestones!$AA$161)&lt;PolicyEff),1,Milestones!$AC$161)&amp;";  ","")&amp;IF(AND(EDATE($D63,Milestones!$AA$162)&lt;=AsOfDate,EDATE($D63,Milestones!$AA$162)&gt;=SchemeStart,IF($X63=0,$AD63,IF(AND($Z63&lt;&gt;"",EDATE($D63,Milestones!$AA$162)&gt;=$Z63),$AC63,IF(AND($Y63&lt;&gt;"",EDATE($D63,Milestones!$AA$162)&gt;=$Y63),$AB63,$AA63)))=Milestones!$AB$162),UPPER(TEXT(EDATE($D63,Milestones!$AA$162),"dd mmm yy"))&amp;" "&amp;Milestones!$AB$162&amp;" "&amp;IF(AND(Milestones!$AB$162="FT",Milestones!$AA$162=FT_Y5,EDATE($D63,Milestones!$AA$162)&lt;PolicyEff),1,Milestones!$AC$162)&amp;";  ","")&amp;IF(AND(EDATE($D63,Milestones!$AA$163)&lt;=AsOfDate,EDATE($D63,Milestones!$AA$163)&gt;=SchemeStart,IF($X63=0,$AD63,IF(AND($Z63&lt;&gt;"",EDATE($D63,Milestones!$AA$163)&gt;=$Z63),$AC63,IF(AND($Y63&lt;&gt;"",EDATE($D63,Milestones!$AA$163)&gt;=$Y63),$AB63,$AA63)))=Milestones!$AB$163),UPPER(TEXT(EDATE($D63,Milestones!$AA$163),"dd mmm yy"))&amp;" "&amp;Milestones!$AB$163&amp;" "&amp;IF(AND(Milestones!$AB$163="FT",Milestones!$AA$163=FT_Y5,EDATE($D63,Milestones!$AA$163)&lt;PolicyEff),1,Milestones!$AC$163)&amp;";  ",""))</f>
        <v/>
      </c>
      <c r="U63" s="0" t="str">
        <f aca="false">IF(OR($A63="",$D63=""),"",IF(AND(EDATE($D63,Milestones!$AA$164)&lt;=AsOfDate,EDATE($D63,Milestones!$AA$164)&gt;=SchemeStart,IF($X63=0,$AD63,IF(AND($Z63&lt;&gt;"",EDATE($D63,Milestones!$AA$164)&gt;=$Z63),$AC63,IF(AND($Y63&lt;&gt;"",EDATE($D63,Milestones!$AA$164)&gt;=$Y63),$AB63,$AA63)))=Milestones!$AB$164),UPPER(TEXT(EDATE($D63,Milestones!$AA$164),"dd mmm yy"))&amp;" "&amp;Milestones!$AB$164&amp;" "&amp;IF(AND(Milestones!$AB$164="FT",Milestones!$AA$164=FT_Y5,EDATE($D63,Milestones!$AA$164)&lt;PolicyEff),1,Milestones!$AC$164)&amp;";  ","")&amp;IF(AND(EDATE($D63,Milestones!$AA$165)&lt;=AsOfDate,EDATE($D63,Milestones!$AA$165)&gt;=SchemeStart,IF($X63=0,$AD63,IF(AND($Z63&lt;&gt;"",EDATE($D63,Milestones!$AA$165)&gt;=$Z63),$AC63,IF(AND($Y63&lt;&gt;"",EDATE($D63,Milestones!$AA$165)&gt;=$Y63),$AB63,$AA63)))=Milestones!$AB$165),UPPER(TEXT(EDATE($D63,Milestones!$AA$165),"dd mmm yy"))&amp;" "&amp;Milestones!$AB$165&amp;" "&amp;IF(AND(Milestones!$AB$165="FT",Milestones!$AA$165=FT_Y5,EDATE($D63,Milestones!$AA$165)&lt;PolicyEff),1,Milestones!$AC$165)&amp;";  ","")&amp;IF(AND(EDATE($D63,Milestones!$AA$166)&lt;=AsOfDate,EDATE($D63,Milestones!$AA$166)&gt;=SchemeStart,IF($X63=0,$AD63,IF(AND($Z63&lt;&gt;"",EDATE($D63,Milestones!$AA$166)&gt;=$Z63),$AC63,IF(AND($Y63&lt;&gt;"",EDATE($D63,Milestones!$AA$166)&gt;=$Y63),$AB63,$AA63)))=Milestones!$AB$166),UPPER(TEXT(EDATE($D63,Milestones!$AA$166),"dd mmm yy"))&amp;" "&amp;Milestones!$AB$166&amp;" "&amp;IF(AND(Milestones!$AB$166="FT",Milestones!$AA$166=FT_Y5,EDATE($D63,Milestones!$AA$166)&lt;PolicyEff),1,Milestones!$AC$166)&amp;";  ","")&amp;IF(AND(EDATE($D63,Milestones!$AA$167)&lt;=AsOfDate,EDATE($D63,Milestones!$AA$167)&gt;=SchemeStart,IF($X63=0,$AD63,IF(AND($Z63&lt;&gt;"",EDATE($D63,Milestones!$AA$167)&gt;=$Z63),$AC63,IF(AND($Y63&lt;&gt;"",EDATE($D63,Milestones!$AA$167)&gt;=$Y63),$AB63,$AA63)))=Milestones!$AB$167),UPPER(TEXT(EDATE($D63,Milestones!$AA$167),"dd mmm yy"))&amp;" "&amp;Milestones!$AB$167&amp;" "&amp;IF(AND(Milestones!$AB$167="FT",Milestones!$AA$167=FT_Y5,EDATE($D63,Milestones!$AA$167)&lt;PolicyEff),1,Milestones!$AC$167)&amp;";  ","")&amp;IF(AND(EDATE($D63,Milestones!$AA$168)&lt;=AsOfDate,EDATE($D63,Milestones!$AA$168)&gt;=SchemeStart,IF($X63=0,$AD63,IF(AND($Z63&lt;&gt;"",EDATE($D63,Milestones!$AA$168)&gt;=$Z63),$AC63,IF(AND($Y63&lt;&gt;"",EDATE($D63,Milestones!$AA$168)&gt;=$Y63),$AB63,$AA63)))=Milestones!$AB$168),UPPER(TEXT(EDATE($D63,Milestones!$AA$168),"dd mmm yy"))&amp;" "&amp;Milestones!$AB$168&amp;" "&amp;IF(AND(Milestones!$AB$168="FT",Milestones!$AA$168=FT_Y5,EDATE($D63,Milestones!$AA$168)&lt;PolicyEff),1,Milestones!$AC$168)&amp;";  ","")&amp;IF(AND(EDATE($D63,Milestones!$AA$169)&lt;=AsOfDate,EDATE($D63,Milestones!$AA$169)&gt;=SchemeStart,IF($X63=0,$AD63,IF(AND($Z63&lt;&gt;"",EDATE($D63,Milestones!$AA$169)&gt;=$Z63),$AC63,IF(AND($Y63&lt;&gt;"",EDATE($D63,Milestones!$AA$169)&gt;=$Y63),$AB63,$AA63)))=Milestones!$AB$169),UPPER(TEXT(EDATE($D63,Milestones!$AA$169),"dd mmm yy"))&amp;" "&amp;Milestones!$AB$169&amp;" "&amp;IF(AND(Milestones!$AB$169="FT",Milestones!$AA$169=FT_Y5,EDATE($D63,Milestones!$AA$169)&lt;PolicyEff),1,Milestones!$AC$169)&amp;";  ","")&amp;IF(AND(EDATE($D63,Milestones!$AA$170)&lt;=AsOfDate,EDATE($D63,Milestones!$AA$170)&gt;=SchemeStart,IF($X63=0,$AD63,IF(AND($Z63&lt;&gt;"",EDATE($D63,Milestones!$AA$170)&gt;=$Z63),$AC63,IF(AND($Y63&lt;&gt;"",EDATE($D63,Milestones!$AA$170)&gt;=$Y63),$AB63,$AA63)))=Milestones!$AB$170),UPPER(TEXT(EDATE($D63,Milestones!$AA$170),"dd mmm yy"))&amp;" "&amp;Milestones!$AB$170&amp;" "&amp;IF(AND(Milestones!$AB$170="FT",Milestones!$AA$170=FT_Y5,EDATE($D63,Milestones!$AA$170)&lt;PolicyEff),1,Milestones!$AC$170)&amp;";  ","")&amp;IF(AND(EDATE($D63,Milestones!$AA$171)&lt;=AsOfDate,EDATE($D63,Milestones!$AA$171)&gt;=SchemeStart,IF($X63=0,$AD63,IF(AND($Z63&lt;&gt;"",EDATE($D63,Milestones!$AA$171)&gt;=$Z63),$AC63,IF(AND($Y63&lt;&gt;"",EDATE($D63,Milestones!$AA$171)&gt;=$Y63),$AB63,$AA63)))=Milestones!$AB$171),UPPER(TEXT(EDATE($D63,Milestones!$AA$171),"dd mmm yy"))&amp;" "&amp;Milestones!$AB$171&amp;" "&amp;IF(AND(Milestones!$AB$171="FT",Milestones!$AA$171=FT_Y5,EDATE($D63,Milestones!$AA$171)&lt;PolicyEff),1,Milestones!$AC$171)&amp;";  ","")&amp;IF(AND(EDATE($D63,Milestones!$AA$172)&lt;=AsOfDate,EDATE($D63,Milestones!$AA$172)&gt;=SchemeStart,IF($X63=0,$AD63,IF(AND($Z63&lt;&gt;"",EDATE($D63,Milestones!$AA$172)&gt;=$Z63),$AC63,IF(AND($Y63&lt;&gt;"",EDATE($D63,Milestones!$AA$172)&gt;=$Y63),$AB63,$AA63)))=Milestones!$AB$172),UPPER(TEXT(EDATE($D63,Milestones!$AA$172),"dd mmm yy"))&amp;" "&amp;Milestones!$AB$172&amp;" "&amp;IF(AND(Milestones!$AB$172="FT",Milestones!$AA$172=FT_Y5,EDATE($D63,Milestones!$AA$172)&lt;PolicyEff),1,Milestones!$AC$172)&amp;";  ","")&amp;IF(AND(EDATE($D63,Milestones!$AA$173)&lt;=AsOfDate,EDATE($D63,Milestones!$AA$173)&gt;=SchemeStart,IF($X63=0,$AD63,IF(AND($Z63&lt;&gt;"",EDATE($D63,Milestones!$AA$173)&gt;=$Z63),$AC63,IF(AND($Y63&lt;&gt;"",EDATE($D63,Milestones!$AA$173)&gt;=$Y63),$AB63,$AA63)))=Milestones!$AB$173),UPPER(TEXT(EDATE($D63,Milestones!$AA$173),"dd mmm yy"))&amp;" "&amp;Milestones!$AB$173&amp;" "&amp;IF(AND(Milestones!$AB$173="FT",Milestones!$AA$173=FT_Y5,EDATE($D63,Milestones!$AA$173)&lt;PolicyEff),1,Milestones!$AC$173)&amp;";  ","")&amp;IF(AND(EDATE($D63,Milestones!$AA$174)&lt;=AsOfDate,EDATE($D63,Milestones!$AA$174)&gt;=SchemeStart,IF($X63=0,$AD63,IF(AND($Z63&lt;&gt;"",EDATE($D63,Milestones!$AA$174)&gt;=$Z63),$AC63,IF(AND($Y63&lt;&gt;"",EDATE($D63,Milestones!$AA$174)&gt;=$Y63),$AB63,$AA63)))=Milestones!$AB$174),UPPER(TEXT(EDATE($D63,Milestones!$AA$174),"dd mmm yy"))&amp;" "&amp;Milestones!$AB$174&amp;" "&amp;IF(AND(Milestones!$AB$174="FT",Milestones!$AA$174=FT_Y5,EDATE($D63,Milestones!$AA$174)&lt;PolicyEff),1,Milestones!$AC$174)&amp;";  ","")&amp;IF(AND(EDATE($D63,Milestones!$AA$175)&lt;=AsOfDate,EDATE($D63,Milestones!$AA$175)&gt;=SchemeStart,IF($X63=0,$AD63,IF(AND($Z63&lt;&gt;"",EDATE($D63,Milestones!$AA$175)&gt;=$Z63),$AC63,IF(AND($Y63&lt;&gt;"",EDATE($D63,Milestones!$AA$175)&gt;=$Y63),$AB63,$AA63)))=Milestones!$AB$175),UPPER(TEXT(EDATE($D63,Milestones!$AA$175),"dd mmm yy"))&amp;" "&amp;Milestones!$AB$175&amp;" "&amp;IF(AND(Milestones!$AB$175="FT",Milestones!$AA$175=FT_Y5,EDATE($D63,Milestones!$AA$175)&lt;PolicyEff),1,Milestones!$AC$175)&amp;";  ",""))</f>
        <v/>
      </c>
      <c r="V63" s="0" t="str">
        <f aca="false">IF(OR($A63="",$D63=""),"",IF(AND(EDATE($D63,Milestones!$AA$176)&lt;=AsOfDate,EDATE($D63,Milestones!$AA$176)&gt;=SchemeStart,IF($X63=0,$AD63,IF(AND($Z63&lt;&gt;"",EDATE($D63,Milestones!$AA$176)&gt;=$Z63),$AC63,IF(AND($Y63&lt;&gt;"",EDATE($D63,Milestones!$AA$176)&gt;=$Y63),$AB63,$AA63)))=Milestones!$AB$176),UPPER(TEXT(EDATE($D63,Milestones!$AA$176),"dd mmm yy"))&amp;" "&amp;Milestones!$AB$176&amp;" "&amp;IF(AND(Milestones!$AB$176="FT",Milestones!$AA$176=FT_Y5,EDATE($D63,Milestones!$AA$176)&lt;PolicyEff),1,Milestones!$AC$176)&amp;";  ","")&amp;IF(AND(EDATE($D63,Milestones!$AA$177)&lt;=AsOfDate,EDATE($D63,Milestones!$AA$177)&gt;=SchemeStart,IF($X63=0,$AD63,IF(AND($Z63&lt;&gt;"",EDATE($D63,Milestones!$AA$177)&gt;=$Z63),$AC63,IF(AND($Y63&lt;&gt;"",EDATE($D63,Milestones!$AA$177)&gt;=$Y63),$AB63,$AA63)))=Milestones!$AB$177),UPPER(TEXT(EDATE($D63,Milestones!$AA$177),"dd mmm yy"))&amp;" "&amp;Milestones!$AB$177&amp;" "&amp;IF(AND(Milestones!$AB$177="FT",Milestones!$AA$177=FT_Y5,EDATE($D63,Milestones!$AA$177)&lt;PolicyEff),1,Milestones!$AC$177)&amp;";  ","")&amp;IF(AND(EDATE($D63,Milestones!$AA$178)&lt;=AsOfDate,EDATE($D63,Milestones!$AA$178)&gt;=SchemeStart,IF($X63=0,$AD63,IF(AND($Z63&lt;&gt;"",EDATE($D63,Milestones!$AA$178)&gt;=$Z63),$AC63,IF(AND($Y63&lt;&gt;"",EDATE($D63,Milestones!$AA$178)&gt;=$Y63),$AB63,$AA63)))=Milestones!$AB$178),UPPER(TEXT(EDATE($D63,Milestones!$AA$178),"dd mmm yy"))&amp;" "&amp;Milestones!$AB$178&amp;" "&amp;IF(AND(Milestones!$AB$178="FT",Milestones!$AA$178=FT_Y5,EDATE($D63,Milestones!$AA$178)&lt;PolicyEff),1,Milestones!$AC$178)&amp;";  ","")&amp;IF(AND(EDATE($D63,Milestones!$AA$179)&lt;=AsOfDate,EDATE($D63,Milestones!$AA$179)&gt;=SchemeStart,IF($X63=0,$AD63,IF(AND($Z63&lt;&gt;"",EDATE($D63,Milestones!$AA$179)&gt;=$Z63),$AC63,IF(AND($Y63&lt;&gt;"",EDATE($D63,Milestones!$AA$179)&gt;=$Y63),$AB63,$AA63)))=Milestones!$AB$179),UPPER(TEXT(EDATE($D63,Milestones!$AA$179),"dd mmm yy"))&amp;" "&amp;Milestones!$AB$179&amp;" "&amp;IF(AND(Milestones!$AB$179="FT",Milestones!$AA$179=FT_Y5,EDATE($D63,Milestones!$AA$179)&lt;PolicyEff),1,Milestones!$AC$179)&amp;";  ","")&amp;IF(AND(EDATE($D63,Milestones!$AA$180)&lt;=AsOfDate,EDATE($D63,Milestones!$AA$180)&gt;=SchemeStart,IF($X63=0,$AD63,IF(AND($Z63&lt;&gt;"",EDATE($D63,Milestones!$AA$180)&gt;=$Z63),$AC63,IF(AND($Y63&lt;&gt;"",EDATE($D63,Milestones!$AA$180)&gt;=$Y63),$AB63,$AA63)))=Milestones!$AB$180),UPPER(TEXT(EDATE($D63,Milestones!$AA$180),"dd mmm yy"))&amp;" "&amp;Milestones!$AB$180&amp;" "&amp;IF(AND(Milestones!$AB$180="FT",Milestones!$AA$180=FT_Y5,EDATE($D63,Milestones!$AA$180)&lt;PolicyEff),1,Milestones!$AC$180)&amp;";  ","")&amp;IF(AND(EDATE($D63,Milestones!$AA$181)&lt;=AsOfDate,EDATE($D63,Milestones!$AA$181)&gt;=SchemeStart,IF($X63=0,$AD63,IF(AND($Z63&lt;&gt;"",EDATE($D63,Milestones!$AA$181)&gt;=$Z63),$AC63,IF(AND($Y63&lt;&gt;"",EDATE($D63,Milestones!$AA$181)&gt;=$Y63),$AB63,$AA63)))=Milestones!$AB$181),UPPER(TEXT(EDATE($D63,Milestones!$AA$181),"dd mmm yy"))&amp;" "&amp;Milestones!$AB$181&amp;" "&amp;IF(AND(Milestones!$AB$181="FT",Milestones!$AA$181=FT_Y5,EDATE($D63,Milestones!$AA$181)&lt;PolicyEff),1,Milestones!$AC$181)&amp;";  ","")&amp;IF(AND(EDATE($D63,Milestones!$AA$182)&lt;=AsOfDate,EDATE($D63,Milestones!$AA$182)&gt;=SchemeStart,IF($X63=0,$AD63,IF(AND($Z63&lt;&gt;"",EDATE($D63,Milestones!$AA$182)&gt;=$Z63),$AC63,IF(AND($Y63&lt;&gt;"",EDATE($D63,Milestones!$AA$182)&gt;=$Y63),$AB63,$AA63)))=Milestones!$AB$182),UPPER(TEXT(EDATE($D63,Milestones!$AA$182),"dd mmm yy"))&amp;" "&amp;Milestones!$AB$182&amp;" "&amp;IF(AND(Milestones!$AB$182="FT",Milestones!$AA$182=FT_Y5,EDATE($D63,Milestones!$AA$182)&lt;PolicyEff),1,Milestones!$AC$182)&amp;";  ","")&amp;IF(AND(EDATE($D63,Milestones!$AA$183)&lt;=AsOfDate,EDATE($D63,Milestones!$AA$183)&gt;=SchemeStart,IF($X63=0,$AD63,IF(AND($Z63&lt;&gt;"",EDATE($D63,Milestones!$AA$183)&gt;=$Z63),$AC63,IF(AND($Y63&lt;&gt;"",EDATE($D63,Milestones!$AA$183)&gt;=$Y63),$AB63,$AA63)))=Milestones!$AB$183),UPPER(TEXT(EDATE($D63,Milestones!$AA$183),"dd mmm yy"))&amp;" "&amp;Milestones!$AB$183&amp;" "&amp;IF(AND(Milestones!$AB$183="FT",Milestones!$AA$183=FT_Y5,EDATE($D63,Milestones!$AA$183)&lt;PolicyEff),1,Milestones!$AC$183)&amp;";  ","")&amp;IF(AND(EDATE($D63,Milestones!$AA$184)&lt;=AsOfDate,EDATE($D63,Milestones!$AA$184)&gt;=SchemeStart,IF($X63=0,$AD63,IF(AND($Z63&lt;&gt;"",EDATE($D63,Milestones!$AA$184)&gt;=$Z63),$AC63,IF(AND($Y63&lt;&gt;"",EDATE($D63,Milestones!$AA$184)&gt;=$Y63),$AB63,$AA63)))=Milestones!$AB$184),UPPER(TEXT(EDATE($D63,Milestones!$AA$184),"dd mmm yy"))&amp;" "&amp;Milestones!$AB$184&amp;" "&amp;IF(AND(Milestones!$AB$184="FT",Milestones!$AA$184=FT_Y5,EDATE($D63,Milestones!$AA$184)&lt;PolicyEff),1,Milestones!$AC$184)&amp;";  ","")&amp;IF(AND(EDATE($D63,Milestones!$AA$185)&lt;=AsOfDate,EDATE($D63,Milestones!$AA$185)&gt;=SchemeStart,IF($X63=0,$AD63,IF(AND($Z63&lt;&gt;"",EDATE($D63,Milestones!$AA$185)&gt;=$Z63),$AC63,IF(AND($Y63&lt;&gt;"",EDATE($D63,Milestones!$AA$185)&gt;=$Y63),$AB63,$AA63)))=Milestones!$AB$185),UPPER(TEXT(EDATE($D63,Milestones!$AA$185),"dd mmm yy"))&amp;" "&amp;Milestones!$AB$185&amp;" "&amp;IF(AND(Milestones!$AB$185="FT",Milestones!$AA$185=FT_Y5,EDATE($D63,Milestones!$AA$185)&lt;PolicyEff),1,Milestones!$AC$185)&amp;";  ","")&amp;IF(AND(EDATE($D63,Milestones!$AA$186)&lt;=AsOfDate,EDATE($D63,Milestones!$AA$186)&gt;=SchemeStart,IF($X63=0,$AD63,IF(AND($Z63&lt;&gt;"",EDATE($D63,Milestones!$AA$186)&gt;=$Z63),$AC63,IF(AND($Y63&lt;&gt;"",EDATE($D63,Milestones!$AA$186)&gt;=$Y63),$AB63,$AA63)))=Milestones!$AB$186),UPPER(TEXT(EDATE($D63,Milestones!$AA$186),"dd mmm yy"))&amp;" "&amp;Milestones!$AB$186&amp;" "&amp;IF(AND(Milestones!$AB$186="FT",Milestones!$AA$186=FT_Y5,EDATE($D63,Milestones!$AA$186)&lt;PolicyEff),1,Milestones!$AC$186)&amp;";  ","")&amp;IF(AND(EDATE($D63,Milestones!$AA$187)&lt;=AsOfDate,EDATE($D63,Milestones!$AA$187)&gt;=SchemeStart,IF($X63=0,$AD63,IF(AND($Z63&lt;&gt;"",EDATE($D63,Milestones!$AA$187)&gt;=$Z63),$AC63,IF(AND($Y63&lt;&gt;"",EDATE($D63,Milestones!$AA$187)&gt;=$Y63),$AB63,$AA63)))=Milestones!$AB$187),UPPER(TEXT(EDATE($D63,Milestones!$AA$187),"dd mmm yy"))&amp;" "&amp;Milestones!$AB$187&amp;" "&amp;IF(AND(Milestones!$AB$187="FT",Milestones!$AA$187=FT_Y5,EDATE($D63,Milestones!$AA$187)&lt;PolicyEff),1,Milestones!$AC$187)&amp;";  ",""))</f>
        <v/>
      </c>
      <c r="W63" s="0" t="str">
        <f aca="false">IF(OR($A63="",$D63=""),"",IF(AND(EDATE($D63,Milestones!$AA$188)&lt;=AsOfDate,EDATE($D63,Milestones!$AA$188)&gt;=SchemeStart,IF($X63=0,$AD63,IF(AND($Z63&lt;&gt;"",EDATE($D63,Milestones!$AA$188)&gt;=$Z63),$AC63,IF(AND($Y63&lt;&gt;"",EDATE($D63,Milestones!$AA$188)&gt;=$Y63),$AB63,$AA63)))=Milestones!$AB$188),UPPER(TEXT(EDATE($D63,Milestones!$AA$188),"dd mmm yy"))&amp;" "&amp;Milestones!$AB$188&amp;" "&amp;IF(AND(Milestones!$AB$188="FT",Milestones!$AA$188=FT_Y5,EDATE($D63,Milestones!$AA$188)&lt;PolicyEff),1,Milestones!$AC$188)&amp;";  ","")&amp;IF(AND(EDATE($D63,Milestones!$AA$189)&lt;=AsOfDate,EDATE($D63,Milestones!$AA$189)&gt;=SchemeStart,IF($X63=0,$AD63,IF(AND($Z63&lt;&gt;"",EDATE($D63,Milestones!$AA$189)&gt;=$Z63),$AC63,IF(AND($Y63&lt;&gt;"",EDATE($D63,Milestones!$AA$189)&gt;=$Y63),$AB63,$AA63)))=Milestones!$AB$189),UPPER(TEXT(EDATE($D63,Milestones!$AA$189),"dd mmm yy"))&amp;" "&amp;Milestones!$AB$189&amp;" "&amp;IF(AND(Milestones!$AB$189="FT",Milestones!$AA$189=FT_Y5,EDATE($D63,Milestones!$AA$189)&lt;PolicyEff),1,Milestones!$AC$189)&amp;";  ","")&amp;IF(AND(EDATE($D63,Milestones!$AA$190)&lt;=AsOfDate,EDATE($D63,Milestones!$AA$190)&gt;=SchemeStart,IF($X63=0,$AD63,IF(AND($Z63&lt;&gt;"",EDATE($D63,Milestones!$AA$190)&gt;=$Z63),$AC63,IF(AND($Y63&lt;&gt;"",EDATE($D63,Milestones!$AA$190)&gt;=$Y63),$AB63,$AA63)))=Milestones!$AB$190),UPPER(TEXT(EDATE($D63,Milestones!$AA$190),"dd mmm yy"))&amp;" "&amp;Milestones!$AB$190&amp;" "&amp;IF(AND(Milestones!$AB$190="FT",Milestones!$AA$190=FT_Y5,EDATE($D63,Milestones!$AA$190)&lt;PolicyEff),1,Milestones!$AC$190)&amp;";  ","")&amp;IF(AND(EDATE($D63,Milestones!$AA$191)&lt;=AsOfDate,EDATE($D63,Milestones!$AA$191)&gt;=SchemeStart,IF($X63=0,$AD63,IF(AND($Z63&lt;&gt;"",EDATE($D63,Milestones!$AA$191)&gt;=$Z63),$AC63,IF(AND($Y63&lt;&gt;"",EDATE($D63,Milestones!$AA$191)&gt;=$Y63),$AB63,$AA63)))=Milestones!$AB$191),UPPER(TEXT(EDATE($D63,Milestones!$AA$191),"dd mmm yy"))&amp;" "&amp;Milestones!$AB$191&amp;" "&amp;IF(AND(Milestones!$AB$191="FT",Milestones!$AA$191=FT_Y5,EDATE($D63,Milestones!$AA$191)&lt;PolicyEff),1,Milestones!$AC$191)&amp;";  ","")&amp;IF(AND(EDATE($D63,Milestones!$AA$192)&lt;=AsOfDate,EDATE($D63,Milestones!$AA$192)&gt;=SchemeStart,IF($X63=0,$AD63,IF(AND($Z63&lt;&gt;"",EDATE($D63,Milestones!$AA$192)&gt;=$Z63),$AC63,IF(AND($Y63&lt;&gt;"",EDATE($D63,Milestones!$AA$192)&gt;=$Y63),$AB63,$AA63)))=Milestones!$AB$192),UPPER(TEXT(EDATE($D63,Milestones!$AA$192),"dd mmm yy"))&amp;" "&amp;Milestones!$AB$192&amp;" "&amp;IF(AND(Milestones!$AB$192="FT",Milestones!$AA$192=FT_Y5,EDATE($D63,Milestones!$AA$192)&lt;PolicyEff),1,Milestones!$AC$192)&amp;";  ","")&amp;IF(AND(EDATE($D63,Milestones!$AA$193)&lt;=AsOfDate,EDATE($D63,Milestones!$AA$193)&gt;=SchemeStart,IF($X63=0,$AD63,IF(AND($Z63&lt;&gt;"",EDATE($D63,Milestones!$AA$193)&gt;=$Z63),$AC63,IF(AND($Y63&lt;&gt;"",EDATE($D63,Milestones!$AA$193)&gt;=$Y63),$AB63,$AA63)))=Milestones!$AB$193),UPPER(TEXT(EDATE($D63,Milestones!$AA$193),"dd mmm yy"))&amp;" "&amp;Milestones!$AB$193&amp;" "&amp;IF(AND(Milestones!$AB$193="FT",Milestones!$AA$193=FT_Y5,EDATE($D63,Milestones!$AA$193)&lt;PolicyEff),1,Milestones!$AC$193)&amp;";  ","")&amp;IF(AND(EDATE($D63,Milestones!$AA$194)&lt;=AsOfDate,EDATE($D63,Milestones!$AA$194)&gt;=SchemeStart,IF($X63=0,$AD63,IF(AND($Z63&lt;&gt;"",EDATE($D63,Milestones!$AA$194)&gt;=$Z63),$AC63,IF(AND($Y63&lt;&gt;"",EDATE($D63,Milestones!$AA$194)&gt;=$Y63),$AB63,$AA63)))=Milestones!$AB$194),UPPER(TEXT(EDATE($D63,Milestones!$AA$194),"dd mmm yy"))&amp;" "&amp;Milestones!$AB$194&amp;" "&amp;IF(AND(Milestones!$AB$194="FT",Milestones!$AA$194=FT_Y5,EDATE($D63,Milestones!$AA$194)&lt;PolicyEff),1,Milestones!$AC$194)&amp;";  ","")&amp;IF(AND(EDATE($D63,Milestones!$AA$195)&lt;=AsOfDate,EDATE($D63,Milestones!$AA$195)&gt;=SchemeStart,IF($X63=0,$AD63,IF(AND($Z63&lt;&gt;"",EDATE($D63,Milestones!$AA$195)&gt;=$Z63),$AC63,IF(AND($Y63&lt;&gt;"",EDATE($D63,Milestones!$AA$195)&gt;=$Y63),$AB63,$AA63)))=Milestones!$AB$195),UPPER(TEXT(EDATE($D63,Milestones!$AA$195),"dd mmm yy"))&amp;" "&amp;Milestones!$AB$195&amp;" "&amp;IF(AND(Milestones!$AB$195="FT",Milestones!$AA$195=FT_Y5,EDATE($D63,Milestones!$AA$195)&lt;PolicyEff),1,Milestones!$AC$195)&amp;";  ","")&amp;IF(AND(EDATE($D63,Milestones!$AA$196)&lt;=AsOfDate,EDATE($D63,Milestones!$AA$196)&gt;=SchemeStart,IF($X63=0,$AD63,IF(AND($Z63&lt;&gt;"",EDATE($D63,Milestones!$AA$196)&gt;=$Z63),$AC63,IF(AND($Y63&lt;&gt;"",EDATE($D63,Milestones!$AA$196)&gt;=$Y63),$AB63,$AA63)))=Milestones!$AB$196),UPPER(TEXT(EDATE($D63,Milestones!$AA$196),"dd mmm yy"))&amp;" "&amp;Milestones!$AB$196&amp;" "&amp;IF(AND(Milestones!$AB$196="FT",Milestones!$AA$196=FT_Y5,EDATE($D63,Milestones!$AA$196)&lt;PolicyEff),1,Milestones!$AC$196)&amp;";  ","")&amp;IF(AND(EDATE($D63,Milestones!$AA$197)&lt;=AsOfDate,EDATE($D63,Milestones!$AA$197)&gt;=SchemeStart,IF($X63=0,$AD63,IF(AND($Z63&lt;&gt;"",EDATE($D63,Milestones!$AA$197)&gt;=$Z63),$AC63,IF(AND($Y63&lt;&gt;"",EDATE($D63,Milestones!$AA$197)&gt;=$Y63),$AB63,$AA63)))=Milestones!$AB$197),UPPER(TEXT(EDATE($D63,Milestones!$AA$197),"dd mmm yy"))&amp;" "&amp;Milestones!$AB$197&amp;" "&amp;IF(AND(Milestones!$AB$197="FT",Milestones!$AA$197=FT_Y5,EDATE($D63,Milestones!$AA$197)&lt;PolicyEff),1,Milestones!$AC$197)&amp;";  ","")&amp;IF(AND(EDATE($D63,Milestones!$AA$198)&lt;=AsOfDate,EDATE($D63,Milestones!$AA$198)&gt;=SchemeStart,IF($X63=0,$AD63,IF(AND($Z63&lt;&gt;"",EDATE($D63,Milestones!$AA$198)&gt;=$Z63),$AC63,IF(AND($Y63&lt;&gt;"",EDATE($D63,Milestones!$AA$198)&gt;=$Y63),$AB63,$AA63)))=Milestones!$AB$198),UPPER(TEXT(EDATE($D63,Milestones!$AA$198),"dd mmm yy"))&amp;" "&amp;Milestones!$AB$198&amp;" "&amp;IF(AND(Milestones!$AB$198="FT",Milestones!$AA$198=FT_Y5,EDATE($D63,Milestones!$AA$198)&lt;PolicyEff),1,Milestones!$AC$198)&amp;";  ","")&amp;IF(AND(EDATE($D63,Milestones!$AA$199)&lt;=AsOfDate,EDATE($D63,Milestones!$AA$199)&gt;=SchemeStart,IF($X63=0,$AD63,IF(AND($Z63&lt;&gt;"",EDATE($D63,Milestones!$AA$199)&gt;=$Z63),$AC63,IF(AND($Y63&lt;&gt;"",EDATE($D63,Milestones!$AA$199)&gt;=$Y63),$AB63,$AA63)))=Milestones!$AB$199),UPPER(TEXT(EDATE($D63,Milestones!$AA$199),"dd mmm yy"))&amp;" "&amp;Milestones!$AB$199&amp;" "&amp;IF(AND(Milestones!$AB$199="FT",Milestones!$AA$199=FT_Y5,EDATE($D63,Milestones!$AA$199)&lt;PolicyEff),1,Milestones!$AC$199)&amp;";  ",""))</f>
        <v/>
      </c>
      <c r="X63" s="0" t="str">
        <f aca="false">IF(Staff!$A63="","",Staff!$AM63)</f>
        <v/>
      </c>
      <c r="Y63" s="0" t="str">
        <f aca="false">IF(Staff!$A63="","",Staff!$AO63)</f>
        <v/>
      </c>
      <c r="Z63" s="0" t="str">
        <f aca="false">IF(Staff!$A63="","",Staff!$AP63)</f>
        <v/>
      </c>
      <c r="AA63" s="0" t="str">
        <f aca="false">IF(Staff!$A63="","",Staff!$AT63)</f>
        <v/>
      </c>
      <c r="AB63" s="0" t="str">
        <f aca="false">IF(Staff!$A63="","",Staff!$AU63)</f>
        <v/>
      </c>
      <c r="AC63" s="0" t="str">
        <f aca="false">IF(Staff!$A63="","",Staff!$AV63)</f>
        <v/>
      </c>
      <c r="AD63" s="0" t="str">
        <f aca="false">IF(Staff!$A63="","",Staff!$AW63)</f>
        <v/>
      </c>
    </row>
    <row r="64" customFormat="false" ht="15" hidden="false" customHeight="false" outlineLevel="0" collapsed="false">
      <c r="A64" s="16" t="str">
        <f aca="false">IF(Staff!$A64="","",Staff!$A64)</f>
        <v/>
      </c>
      <c r="B64" s="16" t="str">
        <f aca="false">IF(Staff!$A64="","",Staff!$B64)</f>
        <v/>
      </c>
      <c r="C64" s="16" t="str">
        <f aca="false">IF(Staff!$A64="","",Staff!$C64)</f>
        <v/>
      </c>
      <c r="D64" s="14" t="str">
        <f aca="false">IF(Staff!$A64="","",Staff!$AL64)</f>
        <v/>
      </c>
      <c r="E64" s="16" t="str">
        <f aca="false">IF(Staff!$A64="","",Staff!$O64)</f>
        <v/>
      </c>
      <c r="F64" s="16" t="str">
        <f aca="false">IF(E64="","",E64*HoursPerDay)</f>
        <v/>
      </c>
      <c r="G64" s="16" t="str">
        <f aca="false">IF(Staff!$A64="","",Staff!$AE64)</f>
        <v/>
      </c>
      <c r="H64" s="28" t="str">
        <f aca="false">IF($A64="","",I64&amp;J64&amp;K64&amp;L64&amp;M64&amp;N64&amp;O64&amp;P64&amp;Q64&amp;R64&amp;S64&amp;T64&amp;U64&amp;V64&amp;W64)</f>
        <v/>
      </c>
      <c r="I64" s="0" t="str">
        <f aca="false">IF(OR($A64="",$D64=""),"",IF(AND(EDATE($D64,Milestones!$AA$20)&lt;=AsOfDate,EDATE($D64,Milestones!$AA$20)&gt;=SchemeStart,IF($X64=0,$AD64,IF(AND($Z64&lt;&gt;"",EDATE($D64,Milestones!$AA$20)&gt;=$Z64),$AC64,IF(AND($Y64&lt;&gt;"",EDATE($D64,Milestones!$AA$20)&gt;=$Y64),$AB64,$AA64)))=Milestones!$AB$20),UPPER(TEXT(EDATE($D64,Milestones!$AA$20),"dd mmm yy"))&amp;" "&amp;Milestones!$AB$20&amp;" "&amp;IF(AND(Milestones!$AB$20="FT",Milestones!$AA$20=FT_Y5,EDATE($D64,Milestones!$AA$20)&lt;PolicyEff),1,Milestones!$AC$20)&amp;";  ","")&amp;IF(AND(EDATE($D64,Milestones!$AA$21)&lt;=AsOfDate,EDATE($D64,Milestones!$AA$21)&gt;=SchemeStart,IF($X64=0,$AD64,IF(AND($Z64&lt;&gt;"",EDATE($D64,Milestones!$AA$21)&gt;=$Z64),$AC64,IF(AND($Y64&lt;&gt;"",EDATE($D64,Milestones!$AA$21)&gt;=$Y64),$AB64,$AA64)))=Milestones!$AB$21),UPPER(TEXT(EDATE($D64,Milestones!$AA$21),"dd mmm yy"))&amp;" "&amp;Milestones!$AB$21&amp;" "&amp;IF(AND(Milestones!$AB$21="FT",Milestones!$AA$21=FT_Y5,EDATE($D64,Milestones!$AA$21)&lt;PolicyEff),1,Milestones!$AC$21)&amp;";  ","")&amp;IF(AND(EDATE($D64,Milestones!$AA$22)&lt;=AsOfDate,EDATE($D64,Milestones!$AA$22)&gt;=SchemeStart,IF($X64=0,$AD64,IF(AND($Z64&lt;&gt;"",EDATE($D64,Milestones!$AA$22)&gt;=$Z64),$AC64,IF(AND($Y64&lt;&gt;"",EDATE($D64,Milestones!$AA$22)&gt;=$Y64),$AB64,$AA64)))=Milestones!$AB$22),UPPER(TEXT(EDATE($D64,Milestones!$AA$22),"dd mmm yy"))&amp;" "&amp;Milestones!$AB$22&amp;" "&amp;IF(AND(Milestones!$AB$22="FT",Milestones!$AA$22=FT_Y5,EDATE($D64,Milestones!$AA$22)&lt;PolicyEff),1,Milestones!$AC$22)&amp;";  ","")&amp;IF(AND(EDATE($D64,Milestones!$AA$23)&lt;=AsOfDate,EDATE($D64,Milestones!$AA$23)&gt;=SchemeStart,IF($X64=0,$AD64,IF(AND($Z64&lt;&gt;"",EDATE($D64,Milestones!$AA$23)&gt;=$Z64),$AC64,IF(AND($Y64&lt;&gt;"",EDATE($D64,Milestones!$AA$23)&gt;=$Y64),$AB64,$AA64)))=Milestones!$AB$23),UPPER(TEXT(EDATE($D64,Milestones!$AA$23),"dd mmm yy"))&amp;" "&amp;Milestones!$AB$23&amp;" "&amp;IF(AND(Milestones!$AB$23="FT",Milestones!$AA$23=FT_Y5,EDATE($D64,Milestones!$AA$23)&lt;PolicyEff),1,Milestones!$AC$23)&amp;";  ","")&amp;IF(AND(EDATE($D64,Milestones!$AA$24)&lt;=AsOfDate,EDATE($D64,Milestones!$AA$24)&gt;=SchemeStart,IF($X64=0,$AD64,IF(AND($Z64&lt;&gt;"",EDATE($D64,Milestones!$AA$24)&gt;=$Z64),$AC64,IF(AND($Y64&lt;&gt;"",EDATE($D64,Milestones!$AA$24)&gt;=$Y64),$AB64,$AA64)))=Milestones!$AB$24),UPPER(TEXT(EDATE($D64,Milestones!$AA$24),"dd mmm yy"))&amp;" "&amp;Milestones!$AB$24&amp;" "&amp;IF(AND(Milestones!$AB$24="FT",Milestones!$AA$24=FT_Y5,EDATE($D64,Milestones!$AA$24)&lt;PolicyEff),1,Milestones!$AC$24)&amp;";  ","")&amp;IF(AND(EDATE($D64,Milestones!$AA$25)&lt;=AsOfDate,EDATE($D64,Milestones!$AA$25)&gt;=SchemeStart,IF($X64=0,$AD64,IF(AND($Z64&lt;&gt;"",EDATE($D64,Milestones!$AA$25)&gt;=$Z64),$AC64,IF(AND($Y64&lt;&gt;"",EDATE($D64,Milestones!$AA$25)&gt;=$Y64),$AB64,$AA64)))=Milestones!$AB$25),UPPER(TEXT(EDATE($D64,Milestones!$AA$25),"dd mmm yy"))&amp;" "&amp;Milestones!$AB$25&amp;" "&amp;IF(AND(Milestones!$AB$25="FT",Milestones!$AA$25=FT_Y5,EDATE($D64,Milestones!$AA$25)&lt;PolicyEff),1,Milestones!$AC$25)&amp;";  ","")&amp;IF(AND(EDATE($D64,Milestones!$AA$26)&lt;=AsOfDate,EDATE($D64,Milestones!$AA$26)&gt;=SchemeStart,IF($X64=0,$AD64,IF(AND($Z64&lt;&gt;"",EDATE($D64,Milestones!$AA$26)&gt;=$Z64),$AC64,IF(AND($Y64&lt;&gt;"",EDATE($D64,Milestones!$AA$26)&gt;=$Y64),$AB64,$AA64)))=Milestones!$AB$26),UPPER(TEXT(EDATE($D64,Milestones!$AA$26),"dd mmm yy"))&amp;" "&amp;Milestones!$AB$26&amp;" "&amp;IF(AND(Milestones!$AB$26="FT",Milestones!$AA$26=FT_Y5,EDATE($D64,Milestones!$AA$26)&lt;PolicyEff),1,Milestones!$AC$26)&amp;";  ","")&amp;IF(AND(EDATE($D64,Milestones!$AA$27)&lt;=AsOfDate,EDATE($D64,Milestones!$AA$27)&gt;=SchemeStart,IF($X64=0,$AD64,IF(AND($Z64&lt;&gt;"",EDATE($D64,Milestones!$AA$27)&gt;=$Z64),$AC64,IF(AND($Y64&lt;&gt;"",EDATE($D64,Milestones!$AA$27)&gt;=$Y64),$AB64,$AA64)))=Milestones!$AB$27),UPPER(TEXT(EDATE($D64,Milestones!$AA$27),"dd mmm yy"))&amp;" "&amp;Milestones!$AB$27&amp;" "&amp;IF(AND(Milestones!$AB$27="FT",Milestones!$AA$27=FT_Y5,EDATE($D64,Milestones!$AA$27)&lt;PolicyEff),1,Milestones!$AC$27)&amp;";  ","")&amp;IF(AND(EDATE($D64,Milestones!$AA$28)&lt;=AsOfDate,EDATE($D64,Milestones!$AA$28)&gt;=SchemeStart,IF($X64=0,$AD64,IF(AND($Z64&lt;&gt;"",EDATE($D64,Milestones!$AA$28)&gt;=$Z64),$AC64,IF(AND($Y64&lt;&gt;"",EDATE($D64,Milestones!$AA$28)&gt;=$Y64),$AB64,$AA64)))=Milestones!$AB$28),UPPER(TEXT(EDATE($D64,Milestones!$AA$28),"dd mmm yy"))&amp;" "&amp;Milestones!$AB$28&amp;" "&amp;IF(AND(Milestones!$AB$28="FT",Milestones!$AA$28=FT_Y5,EDATE($D64,Milestones!$AA$28)&lt;PolicyEff),1,Milestones!$AC$28)&amp;";  ","")&amp;IF(AND(EDATE($D64,Milestones!$AA$29)&lt;=AsOfDate,EDATE($D64,Milestones!$AA$29)&gt;=SchemeStart,IF($X64=0,$AD64,IF(AND($Z64&lt;&gt;"",EDATE($D64,Milestones!$AA$29)&gt;=$Z64),$AC64,IF(AND($Y64&lt;&gt;"",EDATE($D64,Milestones!$AA$29)&gt;=$Y64),$AB64,$AA64)))=Milestones!$AB$29),UPPER(TEXT(EDATE($D64,Milestones!$AA$29),"dd mmm yy"))&amp;" "&amp;Milestones!$AB$29&amp;" "&amp;IF(AND(Milestones!$AB$29="FT",Milestones!$AA$29=FT_Y5,EDATE($D64,Milestones!$AA$29)&lt;PolicyEff),1,Milestones!$AC$29)&amp;";  ","")&amp;IF(AND(EDATE($D64,Milestones!$AA$30)&lt;=AsOfDate,EDATE($D64,Milestones!$AA$30)&gt;=SchemeStart,IF($X64=0,$AD64,IF(AND($Z64&lt;&gt;"",EDATE($D64,Milestones!$AA$30)&gt;=$Z64),$AC64,IF(AND($Y64&lt;&gt;"",EDATE($D64,Milestones!$AA$30)&gt;=$Y64),$AB64,$AA64)))=Milestones!$AB$30),UPPER(TEXT(EDATE($D64,Milestones!$AA$30),"dd mmm yy"))&amp;" "&amp;Milestones!$AB$30&amp;" "&amp;IF(AND(Milestones!$AB$30="FT",Milestones!$AA$30=FT_Y5,EDATE($D64,Milestones!$AA$30)&lt;PolicyEff),1,Milestones!$AC$30)&amp;";  ","")&amp;IF(AND(EDATE($D64,Milestones!$AA$31)&lt;=AsOfDate,EDATE($D64,Milestones!$AA$31)&gt;=SchemeStart,IF($X64=0,$AD64,IF(AND($Z64&lt;&gt;"",EDATE($D64,Milestones!$AA$31)&gt;=$Z64),$AC64,IF(AND($Y64&lt;&gt;"",EDATE($D64,Milestones!$AA$31)&gt;=$Y64),$AB64,$AA64)))=Milestones!$AB$31),UPPER(TEXT(EDATE($D64,Milestones!$AA$31),"dd mmm yy"))&amp;" "&amp;Milestones!$AB$31&amp;" "&amp;IF(AND(Milestones!$AB$31="FT",Milestones!$AA$31=FT_Y5,EDATE($D64,Milestones!$AA$31)&lt;PolicyEff),1,Milestones!$AC$31)&amp;";  ",""))</f>
        <v/>
      </c>
      <c r="J64" s="0" t="str">
        <f aca="false">IF(OR($A64="",$D64=""),"",IF(AND(EDATE($D64,Milestones!$AA$32)&lt;=AsOfDate,EDATE($D64,Milestones!$AA$32)&gt;=SchemeStart,IF($X64=0,$AD64,IF(AND($Z64&lt;&gt;"",EDATE($D64,Milestones!$AA$32)&gt;=$Z64),$AC64,IF(AND($Y64&lt;&gt;"",EDATE($D64,Milestones!$AA$32)&gt;=$Y64),$AB64,$AA64)))=Milestones!$AB$32),UPPER(TEXT(EDATE($D64,Milestones!$AA$32),"dd mmm yy"))&amp;" "&amp;Milestones!$AB$32&amp;" "&amp;IF(AND(Milestones!$AB$32="FT",Milestones!$AA$32=FT_Y5,EDATE($D64,Milestones!$AA$32)&lt;PolicyEff),1,Milestones!$AC$32)&amp;";  ","")&amp;IF(AND(EDATE($D64,Milestones!$AA$33)&lt;=AsOfDate,EDATE($D64,Milestones!$AA$33)&gt;=SchemeStart,IF($X64=0,$AD64,IF(AND($Z64&lt;&gt;"",EDATE($D64,Milestones!$AA$33)&gt;=$Z64),$AC64,IF(AND($Y64&lt;&gt;"",EDATE($D64,Milestones!$AA$33)&gt;=$Y64),$AB64,$AA64)))=Milestones!$AB$33),UPPER(TEXT(EDATE($D64,Milestones!$AA$33),"dd mmm yy"))&amp;" "&amp;Milestones!$AB$33&amp;" "&amp;IF(AND(Milestones!$AB$33="FT",Milestones!$AA$33=FT_Y5,EDATE($D64,Milestones!$AA$33)&lt;PolicyEff),1,Milestones!$AC$33)&amp;";  ","")&amp;IF(AND(EDATE($D64,Milestones!$AA$34)&lt;=AsOfDate,EDATE($D64,Milestones!$AA$34)&gt;=SchemeStart,IF($X64=0,$AD64,IF(AND($Z64&lt;&gt;"",EDATE($D64,Milestones!$AA$34)&gt;=$Z64),$AC64,IF(AND($Y64&lt;&gt;"",EDATE($D64,Milestones!$AA$34)&gt;=$Y64),$AB64,$AA64)))=Milestones!$AB$34),UPPER(TEXT(EDATE($D64,Milestones!$AA$34),"dd mmm yy"))&amp;" "&amp;Milestones!$AB$34&amp;" "&amp;IF(AND(Milestones!$AB$34="FT",Milestones!$AA$34=FT_Y5,EDATE($D64,Milestones!$AA$34)&lt;PolicyEff),1,Milestones!$AC$34)&amp;";  ","")&amp;IF(AND(EDATE($D64,Milestones!$AA$35)&lt;=AsOfDate,EDATE($D64,Milestones!$AA$35)&gt;=SchemeStart,IF($X64=0,$AD64,IF(AND($Z64&lt;&gt;"",EDATE($D64,Milestones!$AA$35)&gt;=$Z64),$AC64,IF(AND($Y64&lt;&gt;"",EDATE($D64,Milestones!$AA$35)&gt;=$Y64),$AB64,$AA64)))=Milestones!$AB$35),UPPER(TEXT(EDATE($D64,Milestones!$AA$35),"dd mmm yy"))&amp;" "&amp;Milestones!$AB$35&amp;" "&amp;IF(AND(Milestones!$AB$35="FT",Milestones!$AA$35=FT_Y5,EDATE($D64,Milestones!$AA$35)&lt;PolicyEff),1,Milestones!$AC$35)&amp;";  ","")&amp;IF(AND(EDATE($D64,Milestones!$AA$36)&lt;=AsOfDate,EDATE($D64,Milestones!$AA$36)&gt;=SchemeStart,IF($X64=0,$AD64,IF(AND($Z64&lt;&gt;"",EDATE($D64,Milestones!$AA$36)&gt;=$Z64),$AC64,IF(AND($Y64&lt;&gt;"",EDATE($D64,Milestones!$AA$36)&gt;=$Y64),$AB64,$AA64)))=Milestones!$AB$36),UPPER(TEXT(EDATE($D64,Milestones!$AA$36),"dd mmm yy"))&amp;" "&amp;Milestones!$AB$36&amp;" "&amp;IF(AND(Milestones!$AB$36="FT",Milestones!$AA$36=FT_Y5,EDATE($D64,Milestones!$AA$36)&lt;PolicyEff),1,Milestones!$AC$36)&amp;";  ","")&amp;IF(AND(EDATE($D64,Milestones!$AA$37)&lt;=AsOfDate,EDATE($D64,Milestones!$AA$37)&gt;=SchemeStart,IF($X64=0,$AD64,IF(AND($Z64&lt;&gt;"",EDATE($D64,Milestones!$AA$37)&gt;=$Z64),$AC64,IF(AND($Y64&lt;&gt;"",EDATE($D64,Milestones!$AA$37)&gt;=$Y64),$AB64,$AA64)))=Milestones!$AB$37),UPPER(TEXT(EDATE($D64,Milestones!$AA$37),"dd mmm yy"))&amp;" "&amp;Milestones!$AB$37&amp;" "&amp;IF(AND(Milestones!$AB$37="FT",Milestones!$AA$37=FT_Y5,EDATE($D64,Milestones!$AA$37)&lt;PolicyEff),1,Milestones!$AC$37)&amp;";  ","")&amp;IF(AND(EDATE($D64,Milestones!$AA$38)&lt;=AsOfDate,EDATE($D64,Milestones!$AA$38)&gt;=SchemeStart,IF($X64=0,$AD64,IF(AND($Z64&lt;&gt;"",EDATE($D64,Milestones!$AA$38)&gt;=$Z64),$AC64,IF(AND($Y64&lt;&gt;"",EDATE($D64,Milestones!$AA$38)&gt;=$Y64),$AB64,$AA64)))=Milestones!$AB$38),UPPER(TEXT(EDATE($D64,Milestones!$AA$38),"dd mmm yy"))&amp;" "&amp;Milestones!$AB$38&amp;" "&amp;IF(AND(Milestones!$AB$38="FT",Milestones!$AA$38=FT_Y5,EDATE($D64,Milestones!$AA$38)&lt;PolicyEff),1,Milestones!$AC$38)&amp;";  ","")&amp;IF(AND(EDATE($D64,Milestones!$AA$39)&lt;=AsOfDate,EDATE($D64,Milestones!$AA$39)&gt;=SchemeStart,IF($X64=0,$AD64,IF(AND($Z64&lt;&gt;"",EDATE($D64,Milestones!$AA$39)&gt;=$Z64),$AC64,IF(AND($Y64&lt;&gt;"",EDATE($D64,Milestones!$AA$39)&gt;=$Y64),$AB64,$AA64)))=Milestones!$AB$39),UPPER(TEXT(EDATE($D64,Milestones!$AA$39),"dd mmm yy"))&amp;" "&amp;Milestones!$AB$39&amp;" "&amp;IF(AND(Milestones!$AB$39="FT",Milestones!$AA$39=FT_Y5,EDATE($D64,Milestones!$AA$39)&lt;PolicyEff),1,Milestones!$AC$39)&amp;";  ","")&amp;IF(AND(EDATE($D64,Milestones!$AA$40)&lt;=AsOfDate,EDATE($D64,Milestones!$AA$40)&gt;=SchemeStart,IF($X64=0,$AD64,IF(AND($Z64&lt;&gt;"",EDATE($D64,Milestones!$AA$40)&gt;=$Z64),$AC64,IF(AND($Y64&lt;&gt;"",EDATE($D64,Milestones!$AA$40)&gt;=$Y64),$AB64,$AA64)))=Milestones!$AB$40),UPPER(TEXT(EDATE($D64,Milestones!$AA$40),"dd mmm yy"))&amp;" "&amp;Milestones!$AB$40&amp;" "&amp;IF(AND(Milestones!$AB$40="FT",Milestones!$AA$40=FT_Y5,EDATE($D64,Milestones!$AA$40)&lt;PolicyEff),1,Milestones!$AC$40)&amp;";  ","")&amp;IF(AND(EDATE($D64,Milestones!$AA$41)&lt;=AsOfDate,EDATE($D64,Milestones!$AA$41)&gt;=SchemeStart,IF($X64=0,$AD64,IF(AND($Z64&lt;&gt;"",EDATE($D64,Milestones!$AA$41)&gt;=$Z64),$AC64,IF(AND($Y64&lt;&gt;"",EDATE($D64,Milestones!$AA$41)&gt;=$Y64),$AB64,$AA64)))=Milestones!$AB$41),UPPER(TEXT(EDATE($D64,Milestones!$AA$41),"dd mmm yy"))&amp;" "&amp;Milestones!$AB$41&amp;" "&amp;IF(AND(Milestones!$AB$41="FT",Milestones!$AA$41=FT_Y5,EDATE($D64,Milestones!$AA$41)&lt;PolicyEff),1,Milestones!$AC$41)&amp;";  ","")&amp;IF(AND(EDATE($D64,Milestones!$AA$42)&lt;=AsOfDate,EDATE($D64,Milestones!$AA$42)&gt;=SchemeStart,IF($X64=0,$AD64,IF(AND($Z64&lt;&gt;"",EDATE($D64,Milestones!$AA$42)&gt;=$Z64),$AC64,IF(AND($Y64&lt;&gt;"",EDATE($D64,Milestones!$AA$42)&gt;=$Y64),$AB64,$AA64)))=Milestones!$AB$42),UPPER(TEXT(EDATE($D64,Milestones!$AA$42),"dd mmm yy"))&amp;" "&amp;Milestones!$AB$42&amp;" "&amp;IF(AND(Milestones!$AB$42="FT",Milestones!$AA$42=FT_Y5,EDATE($D64,Milestones!$AA$42)&lt;PolicyEff),1,Milestones!$AC$42)&amp;";  ","")&amp;IF(AND(EDATE($D64,Milestones!$AA$43)&lt;=AsOfDate,EDATE($D64,Milestones!$AA$43)&gt;=SchemeStart,IF($X64=0,$AD64,IF(AND($Z64&lt;&gt;"",EDATE($D64,Milestones!$AA$43)&gt;=$Z64),$AC64,IF(AND($Y64&lt;&gt;"",EDATE($D64,Milestones!$AA$43)&gt;=$Y64),$AB64,$AA64)))=Milestones!$AB$43),UPPER(TEXT(EDATE($D64,Milestones!$AA$43),"dd mmm yy"))&amp;" "&amp;Milestones!$AB$43&amp;" "&amp;IF(AND(Milestones!$AB$43="FT",Milestones!$AA$43=FT_Y5,EDATE($D64,Milestones!$AA$43)&lt;PolicyEff),1,Milestones!$AC$43)&amp;";  ",""))</f>
        <v/>
      </c>
      <c r="K64" s="0" t="str">
        <f aca="false">IF(OR($A64="",$D64=""),"",IF(AND(EDATE($D64,Milestones!$AA$44)&lt;=AsOfDate,EDATE($D64,Milestones!$AA$44)&gt;=SchemeStart,IF($X64=0,$AD64,IF(AND($Z64&lt;&gt;"",EDATE($D64,Milestones!$AA$44)&gt;=$Z64),$AC64,IF(AND($Y64&lt;&gt;"",EDATE($D64,Milestones!$AA$44)&gt;=$Y64),$AB64,$AA64)))=Milestones!$AB$44),UPPER(TEXT(EDATE($D64,Milestones!$AA$44),"dd mmm yy"))&amp;" "&amp;Milestones!$AB$44&amp;" "&amp;IF(AND(Milestones!$AB$44="FT",Milestones!$AA$44=FT_Y5,EDATE($D64,Milestones!$AA$44)&lt;PolicyEff),1,Milestones!$AC$44)&amp;";  ","")&amp;IF(AND(EDATE($D64,Milestones!$AA$45)&lt;=AsOfDate,EDATE($D64,Milestones!$AA$45)&gt;=SchemeStart,IF($X64=0,$AD64,IF(AND($Z64&lt;&gt;"",EDATE($D64,Milestones!$AA$45)&gt;=$Z64),$AC64,IF(AND($Y64&lt;&gt;"",EDATE($D64,Milestones!$AA$45)&gt;=$Y64),$AB64,$AA64)))=Milestones!$AB$45),UPPER(TEXT(EDATE($D64,Milestones!$AA$45),"dd mmm yy"))&amp;" "&amp;Milestones!$AB$45&amp;" "&amp;IF(AND(Milestones!$AB$45="FT",Milestones!$AA$45=FT_Y5,EDATE($D64,Milestones!$AA$45)&lt;PolicyEff),1,Milestones!$AC$45)&amp;";  ","")&amp;IF(AND(EDATE($D64,Milestones!$AA$46)&lt;=AsOfDate,EDATE($D64,Milestones!$AA$46)&gt;=SchemeStart,IF($X64=0,$AD64,IF(AND($Z64&lt;&gt;"",EDATE($D64,Milestones!$AA$46)&gt;=$Z64),$AC64,IF(AND($Y64&lt;&gt;"",EDATE($D64,Milestones!$AA$46)&gt;=$Y64),$AB64,$AA64)))=Milestones!$AB$46),UPPER(TEXT(EDATE($D64,Milestones!$AA$46),"dd mmm yy"))&amp;" "&amp;Milestones!$AB$46&amp;" "&amp;IF(AND(Milestones!$AB$46="FT",Milestones!$AA$46=FT_Y5,EDATE($D64,Milestones!$AA$46)&lt;PolicyEff),1,Milestones!$AC$46)&amp;";  ","")&amp;IF(AND(EDATE($D64,Milestones!$AA$47)&lt;=AsOfDate,EDATE($D64,Milestones!$AA$47)&gt;=SchemeStart,IF($X64=0,$AD64,IF(AND($Z64&lt;&gt;"",EDATE($D64,Milestones!$AA$47)&gt;=$Z64),$AC64,IF(AND($Y64&lt;&gt;"",EDATE($D64,Milestones!$AA$47)&gt;=$Y64),$AB64,$AA64)))=Milestones!$AB$47),UPPER(TEXT(EDATE($D64,Milestones!$AA$47),"dd mmm yy"))&amp;" "&amp;Milestones!$AB$47&amp;" "&amp;IF(AND(Milestones!$AB$47="FT",Milestones!$AA$47=FT_Y5,EDATE($D64,Milestones!$AA$47)&lt;PolicyEff),1,Milestones!$AC$47)&amp;";  ","")&amp;IF(AND(EDATE($D64,Milestones!$AA$48)&lt;=AsOfDate,EDATE($D64,Milestones!$AA$48)&gt;=SchemeStart,IF($X64=0,$AD64,IF(AND($Z64&lt;&gt;"",EDATE($D64,Milestones!$AA$48)&gt;=$Z64),$AC64,IF(AND($Y64&lt;&gt;"",EDATE($D64,Milestones!$AA$48)&gt;=$Y64),$AB64,$AA64)))=Milestones!$AB$48),UPPER(TEXT(EDATE($D64,Milestones!$AA$48),"dd mmm yy"))&amp;" "&amp;Milestones!$AB$48&amp;" "&amp;IF(AND(Milestones!$AB$48="FT",Milestones!$AA$48=FT_Y5,EDATE($D64,Milestones!$AA$48)&lt;PolicyEff),1,Milestones!$AC$48)&amp;";  ","")&amp;IF(AND(EDATE($D64,Milestones!$AA$49)&lt;=AsOfDate,EDATE($D64,Milestones!$AA$49)&gt;=SchemeStart,IF($X64=0,$AD64,IF(AND($Z64&lt;&gt;"",EDATE($D64,Milestones!$AA$49)&gt;=$Z64),$AC64,IF(AND($Y64&lt;&gt;"",EDATE($D64,Milestones!$AA$49)&gt;=$Y64),$AB64,$AA64)))=Milestones!$AB$49),UPPER(TEXT(EDATE($D64,Milestones!$AA$49),"dd mmm yy"))&amp;" "&amp;Milestones!$AB$49&amp;" "&amp;IF(AND(Milestones!$AB$49="FT",Milestones!$AA$49=FT_Y5,EDATE($D64,Milestones!$AA$49)&lt;PolicyEff),1,Milestones!$AC$49)&amp;";  ","")&amp;IF(AND(EDATE($D64,Milestones!$AA$50)&lt;=AsOfDate,EDATE($D64,Milestones!$AA$50)&gt;=SchemeStart,IF($X64=0,$AD64,IF(AND($Z64&lt;&gt;"",EDATE($D64,Milestones!$AA$50)&gt;=$Z64),$AC64,IF(AND($Y64&lt;&gt;"",EDATE($D64,Milestones!$AA$50)&gt;=$Y64),$AB64,$AA64)))=Milestones!$AB$50),UPPER(TEXT(EDATE($D64,Milestones!$AA$50),"dd mmm yy"))&amp;" "&amp;Milestones!$AB$50&amp;" "&amp;IF(AND(Milestones!$AB$50="FT",Milestones!$AA$50=FT_Y5,EDATE($D64,Milestones!$AA$50)&lt;PolicyEff),1,Milestones!$AC$50)&amp;";  ","")&amp;IF(AND(EDATE($D64,Milestones!$AA$51)&lt;=AsOfDate,EDATE($D64,Milestones!$AA$51)&gt;=SchemeStart,IF($X64=0,$AD64,IF(AND($Z64&lt;&gt;"",EDATE($D64,Milestones!$AA$51)&gt;=$Z64),$AC64,IF(AND($Y64&lt;&gt;"",EDATE($D64,Milestones!$AA$51)&gt;=$Y64),$AB64,$AA64)))=Milestones!$AB$51),UPPER(TEXT(EDATE($D64,Milestones!$AA$51),"dd mmm yy"))&amp;" "&amp;Milestones!$AB$51&amp;" "&amp;IF(AND(Milestones!$AB$51="FT",Milestones!$AA$51=FT_Y5,EDATE($D64,Milestones!$AA$51)&lt;PolicyEff),1,Milestones!$AC$51)&amp;";  ","")&amp;IF(AND(EDATE($D64,Milestones!$AA$52)&lt;=AsOfDate,EDATE($D64,Milestones!$AA$52)&gt;=SchemeStart,IF($X64=0,$AD64,IF(AND($Z64&lt;&gt;"",EDATE($D64,Milestones!$AA$52)&gt;=$Z64),$AC64,IF(AND($Y64&lt;&gt;"",EDATE($D64,Milestones!$AA$52)&gt;=$Y64),$AB64,$AA64)))=Milestones!$AB$52),UPPER(TEXT(EDATE($D64,Milestones!$AA$52),"dd mmm yy"))&amp;" "&amp;Milestones!$AB$52&amp;" "&amp;IF(AND(Milestones!$AB$52="FT",Milestones!$AA$52=FT_Y5,EDATE($D64,Milestones!$AA$52)&lt;PolicyEff),1,Milestones!$AC$52)&amp;";  ","")&amp;IF(AND(EDATE($D64,Milestones!$AA$53)&lt;=AsOfDate,EDATE($D64,Milestones!$AA$53)&gt;=SchemeStart,IF($X64=0,$AD64,IF(AND($Z64&lt;&gt;"",EDATE($D64,Milestones!$AA$53)&gt;=$Z64),$AC64,IF(AND($Y64&lt;&gt;"",EDATE($D64,Milestones!$AA$53)&gt;=$Y64),$AB64,$AA64)))=Milestones!$AB$53),UPPER(TEXT(EDATE($D64,Milestones!$AA$53),"dd mmm yy"))&amp;" "&amp;Milestones!$AB$53&amp;" "&amp;IF(AND(Milestones!$AB$53="FT",Milestones!$AA$53=FT_Y5,EDATE($D64,Milestones!$AA$53)&lt;PolicyEff),1,Milestones!$AC$53)&amp;";  ","")&amp;IF(AND(EDATE($D64,Milestones!$AA$54)&lt;=AsOfDate,EDATE($D64,Milestones!$AA$54)&gt;=SchemeStart,IF($X64=0,$AD64,IF(AND($Z64&lt;&gt;"",EDATE($D64,Milestones!$AA$54)&gt;=$Z64),$AC64,IF(AND($Y64&lt;&gt;"",EDATE($D64,Milestones!$AA$54)&gt;=$Y64),$AB64,$AA64)))=Milestones!$AB$54),UPPER(TEXT(EDATE($D64,Milestones!$AA$54),"dd mmm yy"))&amp;" "&amp;Milestones!$AB$54&amp;" "&amp;IF(AND(Milestones!$AB$54="FT",Milestones!$AA$54=FT_Y5,EDATE($D64,Milestones!$AA$54)&lt;PolicyEff),1,Milestones!$AC$54)&amp;";  ","")&amp;IF(AND(EDATE($D64,Milestones!$AA$55)&lt;=AsOfDate,EDATE($D64,Milestones!$AA$55)&gt;=SchemeStart,IF($X64=0,$AD64,IF(AND($Z64&lt;&gt;"",EDATE($D64,Milestones!$AA$55)&gt;=$Z64),$AC64,IF(AND($Y64&lt;&gt;"",EDATE($D64,Milestones!$AA$55)&gt;=$Y64),$AB64,$AA64)))=Milestones!$AB$55),UPPER(TEXT(EDATE($D64,Milestones!$AA$55),"dd mmm yy"))&amp;" "&amp;Milestones!$AB$55&amp;" "&amp;IF(AND(Milestones!$AB$55="FT",Milestones!$AA$55=FT_Y5,EDATE($D64,Milestones!$AA$55)&lt;PolicyEff),1,Milestones!$AC$55)&amp;";  ",""))</f>
        <v/>
      </c>
      <c r="L64" s="0" t="str">
        <f aca="false">IF(OR($A64="",$D64=""),"",IF(AND(EDATE($D64,Milestones!$AA$56)&lt;=AsOfDate,EDATE($D64,Milestones!$AA$56)&gt;=SchemeStart,IF($X64=0,$AD64,IF(AND($Z64&lt;&gt;"",EDATE($D64,Milestones!$AA$56)&gt;=$Z64),$AC64,IF(AND($Y64&lt;&gt;"",EDATE($D64,Milestones!$AA$56)&gt;=$Y64),$AB64,$AA64)))=Milestones!$AB$56),UPPER(TEXT(EDATE($D64,Milestones!$AA$56),"dd mmm yy"))&amp;" "&amp;Milestones!$AB$56&amp;" "&amp;IF(AND(Milestones!$AB$56="FT",Milestones!$AA$56=FT_Y5,EDATE($D64,Milestones!$AA$56)&lt;PolicyEff),1,Milestones!$AC$56)&amp;";  ","")&amp;IF(AND(EDATE($D64,Milestones!$AA$57)&lt;=AsOfDate,EDATE($D64,Milestones!$AA$57)&gt;=SchemeStart,IF($X64=0,$AD64,IF(AND($Z64&lt;&gt;"",EDATE($D64,Milestones!$AA$57)&gt;=$Z64),$AC64,IF(AND($Y64&lt;&gt;"",EDATE($D64,Milestones!$AA$57)&gt;=$Y64),$AB64,$AA64)))=Milestones!$AB$57),UPPER(TEXT(EDATE($D64,Milestones!$AA$57),"dd mmm yy"))&amp;" "&amp;Milestones!$AB$57&amp;" "&amp;IF(AND(Milestones!$AB$57="FT",Milestones!$AA$57=FT_Y5,EDATE($D64,Milestones!$AA$57)&lt;PolicyEff),1,Milestones!$AC$57)&amp;";  ","")&amp;IF(AND(EDATE($D64,Milestones!$AA$58)&lt;=AsOfDate,EDATE($D64,Milestones!$AA$58)&gt;=SchemeStart,IF($X64=0,$AD64,IF(AND($Z64&lt;&gt;"",EDATE($D64,Milestones!$AA$58)&gt;=$Z64),$AC64,IF(AND($Y64&lt;&gt;"",EDATE($D64,Milestones!$AA$58)&gt;=$Y64),$AB64,$AA64)))=Milestones!$AB$58),UPPER(TEXT(EDATE($D64,Milestones!$AA$58),"dd mmm yy"))&amp;" "&amp;Milestones!$AB$58&amp;" "&amp;IF(AND(Milestones!$AB$58="FT",Milestones!$AA$58=FT_Y5,EDATE($D64,Milestones!$AA$58)&lt;PolicyEff),1,Milestones!$AC$58)&amp;";  ","")&amp;IF(AND(EDATE($D64,Milestones!$AA$59)&lt;=AsOfDate,EDATE($D64,Milestones!$AA$59)&gt;=SchemeStart,IF($X64=0,$AD64,IF(AND($Z64&lt;&gt;"",EDATE($D64,Milestones!$AA$59)&gt;=$Z64),$AC64,IF(AND($Y64&lt;&gt;"",EDATE($D64,Milestones!$AA$59)&gt;=$Y64),$AB64,$AA64)))=Milestones!$AB$59),UPPER(TEXT(EDATE($D64,Milestones!$AA$59),"dd mmm yy"))&amp;" "&amp;Milestones!$AB$59&amp;" "&amp;IF(AND(Milestones!$AB$59="FT",Milestones!$AA$59=FT_Y5,EDATE($D64,Milestones!$AA$59)&lt;PolicyEff),1,Milestones!$AC$59)&amp;";  ","")&amp;IF(AND(EDATE($D64,Milestones!$AA$60)&lt;=AsOfDate,EDATE($D64,Milestones!$AA$60)&gt;=SchemeStart,IF($X64=0,$AD64,IF(AND($Z64&lt;&gt;"",EDATE($D64,Milestones!$AA$60)&gt;=$Z64),$AC64,IF(AND($Y64&lt;&gt;"",EDATE($D64,Milestones!$AA$60)&gt;=$Y64),$AB64,$AA64)))=Milestones!$AB$60),UPPER(TEXT(EDATE($D64,Milestones!$AA$60),"dd mmm yy"))&amp;" "&amp;Milestones!$AB$60&amp;" "&amp;IF(AND(Milestones!$AB$60="FT",Milestones!$AA$60=FT_Y5,EDATE($D64,Milestones!$AA$60)&lt;PolicyEff),1,Milestones!$AC$60)&amp;";  ","")&amp;IF(AND(EDATE($D64,Milestones!$AA$61)&lt;=AsOfDate,EDATE($D64,Milestones!$AA$61)&gt;=SchemeStart,IF($X64=0,$AD64,IF(AND($Z64&lt;&gt;"",EDATE($D64,Milestones!$AA$61)&gt;=$Z64),$AC64,IF(AND($Y64&lt;&gt;"",EDATE($D64,Milestones!$AA$61)&gt;=$Y64),$AB64,$AA64)))=Milestones!$AB$61),UPPER(TEXT(EDATE($D64,Milestones!$AA$61),"dd mmm yy"))&amp;" "&amp;Milestones!$AB$61&amp;" "&amp;IF(AND(Milestones!$AB$61="FT",Milestones!$AA$61=FT_Y5,EDATE($D64,Milestones!$AA$61)&lt;PolicyEff),1,Milestones!$AC$61)&amp;";  ","")&amp;IF(AND(EDATE($D64,Milestones!$AA$62)&lt;=AsOfDate,EDATE($D64,Milestones!$AA$62)&gt;=SchemeStart,IF($X64=0,$AD64,IF(AND($Z64&lt;&gt;"",EDATE($D64,Milestones!$AA$62)&gt;=$Z64),$AC64,IF(AND($Y64&lt;&gt;"",EDATE($D64,Milestones!$AA$62)&gt;=$Y64),$AB64,$AA64)))=Milestones!$AB$62),UPPER(TEXT(EDATE($D64,Milestones!$AA$62),"dd mmm yy"))&amp;" "&amp;Milestones!$AB$62&amp;" "&amp;IF(AND(Milestones!$AB$62="FT",Milestones!$AA$62=FT_Y5,EDATE($D64,Milestones!$AA$62)&lt;PolicyEff),1,Milestones!$AC$62)&amp;";  ","")&amp;IF(AND(EDATE($D64,Milestones!$AA$63)&lt;=AsOfDate,EDATE($D64,Milestones!$AA$63)&gt;=SchemeStart,IF($X64=0,$AD64,IF(AND($Z64&lt;&gt;"",EDATE($D64,Milestones!$AA$63)&gt;=$Z64),$AC64,IF(AND($Y64&lt;&gt;"",EDATE($D64,Milestones!$AA$63)&gt;=$Y64),$AB64,$AA64)))=Milestones!$AB$63),UPPER(TEXT(EDATE($D64,Milestones!$AA$63),"dd mmm yy"))&amp;" "&amp;Milestones!$AB$63&amp;" "&amp;IF(AND(Milestones!$AB$63="FT",Milestones!$AA$63=FT_Y5,EDATE($D64,Milestones!$AA$63)&lt;PolicyEff),1,Milestones!$AC$63)&amp;";  ","")&amp;IF(AND(EDATE($D64,Milestones!$AA$64)&lt;=AsOfDate,EDATE($D64,Milestones!$AA$64)&gt;=SchemeStart,IF($X64=0,$AD64,IF(AND($Z64&lt;&gt;"",EDATE($D64,Milestones!$AA$64)&gt;=$Z64),$AC64,IF(AND($Y64&lt;&gt;"",EDATE($D64,Milestones!$AA$64)&gt;=$Y64),$AB64,$AA64)))=Milestones!$AB$64),UPPER(TEXT(EDATE($D64,Milestones!$AA$64),"dd mmm yy"))&amp;" "&amp;Milestones!$AB$64&amp;" "&amp;IF(AND(Milestones!$AB$64="FT",Milestones!$AA$64=FT_Y5,EDATE($D64,Milestones!$AA$64)&lt;PolicyEff),1,Milestones!$AC$64)&amp;";  ","")&amp;IF(AND(EDATE($D64,Milestones!$AA$65)&lt;=AsOfDate,EDATE($D64,Milestones!$AA$65)&gt;=SchemeStart,IF($X64=0,$AD64,IF(AND($Z64&lt;&gt;"",EDATE($D64,Milestones!$AA$65)&gt;=$Z64),$AC64,IF(AND($Y64&lt;&gt;"",EDATE($D64,Milestones!$AA$65)&gt;=$Y64),$AB64,$AA64)))=Milestones!$AB$65),UPPER(TEXT(EDATE($D64,Milestones!$AA$65),"dd mmm yy"))&amp;" "&amp;Milestones!$AB$65&amp;" "&amp;IF(AND(Milestones!$AB$65="FT",Milestones!$AA$65=FT_Y5,EDATE($D64,Milestones!$AA$65)&lt;PolicyEff),1,Milestones!$AC$65)&amp;";  ","")&amp;IF(AND(EDATE($D64,Milestones!$AA$66)&lt;=AsOfDate,EDATE($D64,Milestones!$AA$66)&gt;=SchemeStart,IF($X64=0,$AD64,IF(AND($Z64&lt;&gt;"",EDATE($D64,Milestones!$AA$66)&gt;=$Z64),$AC64,IF(AND($Y64&lt;&gt;"",EDATE($D64,Milestones!$AA$66)&gt;=$Y64),$AB64,$AA64)))=Milestones!$AB$66),UPPER(TEXT(EDATE($D64,Milestones!$AA$66),"dd mmm yy"))&amp;" "&amp;Milestones!$AB$66&amp;" "&amp;IF(AND(Milestones!$AB$66="FT",Milestones!$AA$66=FT_Y5,EDATE($D64,Milestones!$AA$66)&lt;PolicyEff),1,Milestones!$AC$66)&amp;";  ","")&amp;IF(AND(EDATE($D64,Milestones!$AA$67)&lt;=AsOfDate,EDATE($D64,Milestones!$AA$67)&gt;=SchemeStart,IF($X64=0,$AD64,IF(AND($Z64&lt;&gt;"",EDATE($D64,Milestones!$AA$67)&gt;=$Z64),$AC64,IF(AND($Y64&lt;&gt;"",EDATE($D64,Milestones!$AA$67)&gt;=$Y64),$AB64,$AA64)))=Milestones!$AB$67),UPPER(TEXT(EDATE($D64,Milestones!$AA$67),"dd mmm yy"))&amp;" "&amp;Milestones!$AB$67&amp;" "&amp;IF(AND(Milestones!$AB$67="FT",Milestones!$AA$67=FT_Y5,EDATE($D64,Milestones!$AA$67)&lt;PolicyEff),1,Milestones!$AC$67)&amp;";  ",""))</f>
        <v/>
      </c>
      <c r="M64" s="0" t="str">
        <f aca="false">IF(OR($A64="",$D64=""),"",IF(AND(EDATE($D64,Milestones!$AA$68)&lt;=AsOfDate,EDATE($D64,Milestones!$AA$68)&gt;=SchemeStart,IF($X64=0,$AD64,IF(AND($Z64&lt;&gt;"",EDATE($D64,Milestones!$AA$68)&gt;=$Z64),$AC64,IF(AND($Y64&lt;&gt;"",EDATE($D64,Milestones!$AA$68)&gt;=$Y64),$AB64,$AA64)))=Milestones!$AB$68),UPPER(TEXT(EDATE($D64,Milestones!$AA$68),"dd mmm yy"))&amp;" "&amp;Milestones!$AB$68&amp;" "&amp;IF(AND(Milestones!$AB$68="FT",Milestones!$AA$68=FT_Y5,EDATE($D64,Milestones!$AA$68)&lt;PolicyEff),1,Milestones!$AC$68)&amp;";  ","")&amp;IF(AND(EDATE($D64,Milestones!$AA$69)&lt;=AsOfDate,EDATE($D64,Milestones!$AA$69)&gt;=SchemeStart,IF($X64=0,$AD64,IF(AND($Z64&lt;&gt;"",EDATE($D64,Milestones!$AA$69)&gt;=$Z64),$AC64,IF(AND($Y64&lt;&gt;"",EDATE($D64,Milestones!$AA$69)&gt;=$Y64),$AB64,$AA64)))=Milestones!$AB$69),UPPER(TEXT(EDATE($D64,Milestones!$AA$69),"dd mmm yy"))&amp;" "&amp;Milestones!$AB$69&amp;" "&amp;IF(AND(Milestones!$AB$69="FT",Milestones!$AA$69=FT_Y5,EDATE($D64,Milestones!$AA$69)&lt;PolicyEff),1,Milestones!$AC$69)&amp;";  ","")&amp;IF(AND(EDATE($D64,Milestones!$AA$70)&lt;=AsOfDate,EDATE($D64,Milestones!$AA$70)&gt;=SchemeStart,IF($X64=0,$AD64,IF(AND($Z64&lt;&gt;"",EDATE($D64,Milestones!$AA$70)&gt;=$Z64),$AC64,IF(AND($Y64&lt;&gt;"",EDATE($D64,Milestones!$AA$70)&gt;=$Y64),$AB64,$AA64)))=Milestones!$AB$70),UPPER(TEXT(EDATE($D64,Milestones!$AA$70),"dd mmm yy"))&amp;" "&amp;Milestones!$AB$70&amp;" "&amp;IF(AND(Milestones!$AB$70="FT",Milestones!$AA$70=FT_Y5,EDATE($D64,Milestones!$AA$70)&lt;PolicyEff),1,Milestones!$AC$70)&amp;";  ","")&amp;IF(AND(EDATE($D64,Milestones!$AA$71)&lt;=AsOfDate,EDATE($D64,Milestones!$AA$71)&gt;=SchemeStart,IF($X64=0,$AD64,IF(AND($Z64&lt;&gt;"",EDATE($D64,Milestones!$AA$71)&gt;=$Z64),$AC64,IF(AND($Y64&lt;&gt;"",EDATE($D64,Milestones!$AA$71)&gt;=$Y64),$AB64,$AA64)))=Milestones!$AB$71),UPPER(TEXT(EDATE($D64,Milestones!$AA$71),"dd mmm yy"))&amp;" "&amp;Milestones!$AB$71&amp;" "&amp;IF(AND(Milestones!$AB$71="FT",Milestones!$AA$71=FT_Y5,EDATE($D64,Milestones!$AA$71)&lt;PolicyEff),1,Milestones!$AC$71)&amp;";  ","")&amp;IF(AND(EDATE($D64,Milestones!$AA$72)&lt;=AsOfDate,EDATE($D64,Milestones!$AA$72)&gt;=SchemeStart,IF($X64=0,$AD64,IF(AND($Z64&lt;&gt;"",EDATE($D64,Milestones!$AA$72)&gt;=$Z64),$AC64,IF(AND($Y64&lt;&gt;"",EDATE($D64,Milestones!$AA$72)&gt;=$Y64),$AB64,$AA64)))=Milestones!$AB$72),UPPER(TEXT(EDATE($D64,Milestones!$AA$72),"dd mmm yy"))&amp;" "&amp;Milestones!$AB$72&amp;" "&amp;IF(AND(Milestones!$AB$72="FT",Milestones!$AA$72=FT_Y5,EDATE($D64,Milestones!$AA$72)&lt;PolicyEff),1,Milestones!$AC$72)&amp;";  ","")&amp;IF(AND(EDATE($D64,Milestones!$AA$73)&lt;=AsOfDate,EDATE($D64,Milestones!$AA$73)&gt;=SchemeStart,IF($X64=0,$AD64,IF(AND($Z64&lt;&gt;"",EDATE($D64,Milestones!$AA$73)&gt;=$Z64),$AC64,IF(AND($Y64&lt;&gt;"",EDATE($D64,Milestones!$AA$73)&gt;=$Y64),$AB64,$AA64)))=Milestones!$AB$73),UPPER(TEXT(EDATE($D64,Milestones!$AA$73),"dd mmm yy"))&amp;" "&amp;Milestones!$AB$73&amp;" "&amp;IF(AND(Milestones!$AB$73="FT",Milestones!$AA$73=FT_Y5,EDATE($D64,Milestones!$AA$73)&lt;PolicyEff),1,Milestones!$AC$73)&amp;";  ","")&amp;IF(AND(EDATE($D64,Milestones!$AA$74)&lt;=AsOfDate,EDATE($D64,Milestones!$AA$74)&gt;=SchemeStart,IF($X64=0,$AD64,IF(AND($Z64&lt;&gt;"",EDATE($D64,Milestones!$AA$74)&gt;=$Z64),$AC64,IF(AND($Y64&lt;&gt;"",EDATE($D64,Milestones!$AA$74)&gt;=$Y64),$AB64,$AA64)))=Milestones!$AB$74),UPPER(TEXT(EDATE($D64,Milestones!$AA$74),"dd mmm yy"))&amp;" "&amp;Milestones!$AB$74&amp;" "&amp;IF(AND(Milestones!$AB$74="FT",Milestones!$AA$74=FT_Y5,EDATE($D64,Milestones!$AA$74)&lt;PolicyEff),1,Milestones!$AC$74)&amp;";  ","")&amp;IF(AND(EDATE($D64,Milestones!$AA$75)&lt;=AsOfDate,EDATE($D64,Milestones!$AA$75)&gt;=SchemeStart,IF($X64=0,$AD64,IF(AND($Z64&lt;&gt;"",EDATE($D64,Milestones!$AA$75)&gt;=$Z64),$AC64,IF(AND($Y64&lt;&gt;"",EDATE($D64,Milestones!$AA$75)&gt;=$Y64),$AB64,$AA64)))=Milestones!$AB$75),UPPER(TEXT(EDATE($D64,Milestones!$AA$75),"dd mmm yy"))&amp;" "&amp;Milestones!$AB$75&amp;" "&amp;IF(AND(Milestones!$AB$75="FT",Milestones!$AA$75=FT_Y5,EDATE($D64,Milestones!$AA$75)&lt;PolicyEff),1,Milestones!$AC$75)&amp;";  ","")&amp;IF(AND(EDATE($D64,Milestones!$AA$76)&lt;=AsOfDate,EDATE($D64,Milestones!$AA$76)&gt;=SchemeStart,IF($X64=0,$AD64,IF(AND($Z64&lt;&gt;"",EDATE($D64,Milestones!$AA$76)&gt;=$Z64),$AC64,IF(AND($Y64&lt;&gt;"",EDATE($D64,Milestones!$AA$76)&gt;=$Y64),$AB64,$AA64)))=Milestones!$AB$76),UPPER(TEXT(EDATE($D64,Milestones!$AA$76),"dd mmm yy"))&amp;" "&amp;Milestones!$AB$76&amp;" "&amp;IF(AND(Milestones!$AB$76="FT",Milestones!$AA$76=FT_Y5,EDATE($D64,Milestones!$AA$76)&lt;PolicyEff),1,Milestones!$AC$76)&amp;";  ","")&amp;IF(AND(EDATE($D64,Milestones!$AA$77)&lt;=AsOfDate,EDATE($D64,Milestones!$AA$77)&gt;=SchemeStart,IF($X64=0,$AD64,IF(AND($Z64&lt;&gt;"",EDATE($D64,Milestones!$AA$77)&gt;=$Z64),$AC64,IF(AND($Y64&lt;&gt;"",EDATE($D64,Milestones!$AA$77)&gt;=$Y64),$AB64,$AA64)))=Milestones!$AB$77),UPPER(TEXT(EDATE($D64,Milestones!$AA$77),"dd mmm yy"))&amp;" "&amp;Milestones!$AB$77&amp;" "&amp;IF(AND(Milestones!$AB$77="FT",Milestones!$AA$77=FT_Y5,EDATE($D64,Milestones!$AA$77)&lt;PolicyEff),1,Milestones!$AC$77)&amp;";  ","")&amp;IF(AND(EDATE($D64,Milestones!$AA$78)&lt;=AsOfDate,EDATE($D64,Milestones!$AA$78)&gt;=SchemeStart,IF($X64=0,$AD64,IF(AND($Z64&lt;&gt;"",EDATE($D64,Milestones!$AA$78)&gt;=$Z64),$AC64,IF(AND($Y64&lt;&gt;"",EDATE($D64,Milestones!$AA$78)&gt;=$Y64),$AB64,$AA64)))=Milestones!$AB$78),UPPER(TEXT(EDATE($D64,Milestones!$AA$78),"dd mmm yy"))&amp;" "&amp;Milestones!$AB$78&amp;" "&amp;IF(AND(Milestones!$AB$78="FT",Milestones!$AA$78=FT_Y5,EDATE($D64,Milestones!$AA$78)&lt;PolicyEff),1,Milestones!$AC$78)&amp;";  ","")&amp;IF(AND(EDATE($D64,Milestones!$AA$79)&lt;=AsOfDate,EDATE($D64,Milestones!$AA$79)&gt;=SchemeStart,IF($X64=0,$AD64,IF(AND($Z64&lt;&gt;"",EDATE($D64,Milestones!$AA$79)&gt;=$Z64),$AC64,IF(AND($Y64&lt;&gt;"",EDATE($D64,Milestones!$AA$79)&gt;=$Y64),$AB64,$AA64)))=Milestones!$AB$79),UPPER(TEXT(EDATE($D64,Milestones!$AA$79),"dd mmm yy"))&amp;" "&amp;Milestones!$AB$79&amp;" "&amp;IF(AND(Milestones!$AB$79="FT",Milestones!$AA$79=FT_Y5,EDATE($D64,Milestones!$AA$79)&lt;PolicyEff),1,Milestones!$AC$79)&amp;";  ",""))</f>
        <v/>
      </c>
      <c r="N64" s="0" t="str">
        <f aca="false">IF(OR($A64="",$D64=""),"",IF(AND(EDATE($D64,Milestones!$AA$80)&lt;=AsOfDate,EDATE($D64,Milestones!$AA$80)&gt;=SchemeStart,IF($X64=0,$AD64,IF(AND($Z64&lt;&gt;"",EDATE($D64,Milestones!$AA$80)&gt;=$Z64),$AC64,IF(AND($Y64&lt;&gt;"",EDATE($D64,Milestones!$AA$80)&gt;=$Y64),$AB64,$AA64)))=Milestones!$AB$80),UPPER(TEXT(EDATE($D64,Milestones!$AA$80),"dd mmm yy"))&amp;" "&amp;Milestones!$AB$80&amp;" "&amp;IF(AND(Milestones!$AB$80="FT",Milestones!$AA$80=FT_Y5,EDATE($D64,Milestones!$AA$80)&lt;PolicyEff),1,Milestones!$AC$80)&amp;";  ","")&amp;IF(AND(EDATE($D64,Milestones!$AA$81)&lt;=AsOfDate,EDATE($D64,Milestones!$AA$81)&gt;=SchemeStart,IF($X64=0,$AD64,IF(AND($Z64&lt;&gt;"",EDATE($D64,Milestones!$AA$81)&gt;=$Z64),$AC64,IF(AND($Y64&lt;&gt;"",EDATE($D64,Milestones!$AA$81)&gt;=$Y64),$AB64,$AA64)))=Milestones!$AB$81),UPPER(TEXT(EDATE($D64,Milestones!$AA$81),"dd mmm yy"))&amp;" "&amp;Milestones!$AB$81&amp;" "&amp;IF(AND(Milestones!$AB$81="FT",Milestones!$AA$81=FT_Y5,EDATE($D64,Milestones!$AA$81)&lt;PolicyEff),1,Milestones!$AC$81)&amp;";  ","")&amp;IF(AND(EDATE($D64,Milestones!$AA$82)&lt;=AsOfDate,EDATE($D64,Milestones!$AA$82)&gt;=SchemeStart,IF($X64=0,$AD64,IF(AND($Z64&lt;&gt;"",EDATE($D64,Milestones!$AA$82)&gt;=$Z64),$AC64,IF(AND($Y64&lt;&gt;"",EDATE($D64,Milestones!$AA$82)&gt;=$Y64),$AB64,$AA64)))=Milestones!$AB$82),UPPER(TEXT(EDATE($D64,Milestones!$AA$82),"dd mmm yy"))&amp;" "&amp;Milestones!$AB$82&amp;" "&amp;IF(AND(Milestones!$AB$82="FT",Milestones!$AA$82=FT_Y5,EDATE($D64,Milestones!$AA$82)&lt;PolicyEff),1,Milestones!$AC$82)&amp;";  ","")&amp;IF(AND(EDATE($D64,Milestones!$AA$83)&lt;=AsOfDate,EDATE($D64,Milestones!$AA$83)&gt;=SchemeStart,IF($X64=0,$AD64,IF(AND($Z64&lt;&gt;"",EDATE($D64,Milestones!$AA$83)&gt;=$Z64),$AC64,IF(AND($Y64&lt;&gt;"",EDATE($D64,Milestones!$AA$83)&gt;=$Y64),$AB64,$AA64)))=Milestones!$AB$83),UPPER(TEXT(EDATE($D64,Milestones!$AA$83),"dd mmm yy"))&amp;" "&amp;Milestones!$AB$83&amp;" "&amp;IF(AND(Milestones!$AB$83="FT",Milestones!$AA$83=FT_Y5,EDATE($D64,Milestones!$AA$83)&lt;PolicyEff),1,Milestones!$AC$83)&amp;";  ","")&amp;IF(AND(EDATE($D64,Milestones!$AA$84)&lt;=AsOfDate,EDATE($D64,Milestones!$AA$84)&gt;=SchemeStart,IF($X64=0,$AD64,IF(AND($Z64&lt;&gt;"",EDATE($D64,Milestones!$AA$84)&gt;=$Z64),$AC64,IF(AND($Y64&lt;&gt;"",EDATE($D64,Milestones!$AA$84)&gt;=$Y64),$AB64,$AA64)))=Milestones!$AB$84),UPPER(TEXT(EDATE($D64,Milestones!$AA$84),"dd mmm yy"))&amp;" "&amp;Milestones!$AB$84&amp;" "&amp;IF(AND(Milestones!$AB$84="FT",Milestones!$AA$84=FT_Y5,EDATE($D64,Milestones!$AA$84)&lt;PolicyEff),1,Milestones!$AC$84)&amp;";  ","")&amp;IF(AND(EDATE($D64,Milestones!$AA$85)&lt;=AsOfDate,EDATE($D64,Milestones!$AA$85)&gt;=SchemeStart,IF($X64=0,$AD64,IF(AND($Z64&lt;&gt;"",EDATE($D64,Milestones!$AA$85)&gt;=$Z64),$AC64,IF(AND($Y64&lt;&gt;"",EDATE($D64,Milestones!$AA$85)&gt;=$Y64),$AB64,$AA64)))=Milestones!$AB$85),UPPER(TEXT(EDATE($D64,Milestones!$AA$85),"dd mmm yy"))&amp;" "&amp;Milestones!$AB$85&amp;" "&amp;IF(AND(Milestones!$AB$85="FT",Milestones!$AA$85=FT_Y5,EDATE($D64,Milestones!$AA$85)&lt;PolicyEff),1,Milestones!$AC$85)&amp;";  ","")&amp;IF(AND(EDATE($D64,Milestones!$AA$86)&lt;=AsOfDate,EDATE($D64,Milestones!$AA$86)&gt;=SchemeStart,IF($X64=0,$AD64,IF(AND($Z64&lt;&gt;"",EDATE($D64,Milestones!$AA$86)&gt;=$Z64),$AC64,IF(AND($Y64&lt;&gt;"",EDATE($D64,Milestones!$AA$86)&gt;=$Y64),$AB64,$AA64)))=Milestones!$AB$86),UPPER(TEXT(EDATE($D64,Milestones!$AA$86),"dd mmm yy"))&amp;" "&amp;Milestones!$AB$86&amp;" "&amp;IF(AND(Milestones!$AB$86="FT",Milestones!$AA$86=FT_Y5,EDATE($D64,Milestones!$AA$86)&lt;PolicyEff),1,Milestones!$AC$86)&amp;";  ","")&amp;IF(AND(EDATE($D64,Milestones!$AA$87)&lt;=AsOfDate,EDATE($D64,Milestones!$AA$87)&gt;=SchemeStart,IF($X64=0,$AD64,IF(AND($Z64&lt;&gt;"",EDATE($D64,Milestones!$AA$87)&gt;=$Z64),$AC64,IF(AND($Y64&lt;&gt;"",EDATE($D64,Milestones!$AA$87)&gt;=$Y64),$AB64,$AA64)))=Milestones!$AB$87),UPPER(TEXT(EDATE($D64,Milestones!$AA$87),"dd mmm yy"))&amp;" "&amp;Milestones!$AB$87&amp;" "&amp;IF(AND(Milestones!$AB$87="FT",Milestones!$AA$87=FT_Y5,EDATE($D64,Milestones!$AA$87)&lt;PolicyEff),1,Milestones!$AC$87)&amp;";  ","")&amp;IF(AND(EDATE($D64,Milestones!$AA$88)&lt;=AsOfDate,EDATE($D64,Milestones!$AA$88)&gt;=SchemeStart,IF($X64=0,$AD64,IF(AND($Z64&lt;&gt;"",EDATE($D64,Milestones!$AA$88)&gt;=$Z64),$AC64,IF(AND($Y64&lt;&gt;"",EDATE($D64,Milestones!$AA$88)&gt;=$Y64),$AB64,$AA64)))=Milestones!$AB$88),UPPER(TEXT(EDATE($D64,Milestones!$AA$88),"dd mmm yy"))&amp;" "&amp;Milestones!$AB$88&amp;" "&amp;IF(AND(Milestones!$AB$88="FT",Milestones!$AA$88=FT_Y5,EDATE($D64,Milestones!$AA$88)&lt;PolicyEff),1,Milestones!$AC$88)&amp;";  ","")&amp;IF(AND(EDATE($D64,Milestones!$AA$89)&lt;=AsOfDate,EDATE($D64,Milestones!$AA$89)&gt;=SchemeStart,IF($X64=0,$AD64,IF(AND($Z64&lt;&gt;"",EDATE($D64,Milestones!$AA$89)&gt;=$Z64),$AC64,IF(AND($Y64&lt;&gt;"",EDATE($D64,Milestones!$AA$89)&gt;=$Y64),$AB64,$AA64)))=Milestones!$AB$89),UPPER(TEXT(EDATE($D64,Milestones!$AA$89),"dd mmm yy"))&amp;" "&amp;Milestones!$AB$89&amp;" "&amp;IF(AND(Milestones!$AB$89="FT",Milestones!$AA$89=FT_Y5,EDATE($D64,Milestones!$AA$89)&lt;PolicyEff),1,Milestones!$AC$89)&amp;";  ","")&amp;IF(AND(EDATE($D64,Milestones!$AA$90)&lt;=AsOfDate,EDATE($D64,Milestones!$AA$90)&gt;=SchemeStart,IF($X64=0,$AD64,IF(AND($Z64&lt;&gt;"",EDATE($D64,Milestones!$AA$90)&gt;=$Z64),$AC64,IF(AND($Y64&lt;&gt;"",EDATE($D64,Milestones!$AA$90)&gt;=$Y64),$AB64,$AA64)))=Milestones!$AB$90),UPPER(TEXT(EDATE($D64,Milestones!$AA$90),"dd mmm yy"))&amp;" "&amp;Milestones!$AB$90&amp;" "&amp;IF(AND(Milestones!$AB$90="FT",Milestones!$AA$90=FT_Y5,EDATE($D64,Milestones!$AA$90)&lt;PolicyEff),1,Milestones!$AC$90)&amp;";  ","")&amp;IF(AND(EDATE($D64,Milestones!$AA$91)&lt;=AsOfDate,EDATE($D64,Milestones!$AA$91)&gt;=SchemeStart,IF($X64=0,$AD64,IF(AND($Z64&lt;&gt;"",EDATE($D64,Milestones!$AA$91)&gt;=$Z64),$AC64,IF(AND($Y64&lt;&gt;"",EDATE($D64,Milestones!$AA$91)&gt;=$Y64),$AB64,$AA64)))=Milestones!$AB$91),UPPER(TEXT(EDATE($D64,Milestones!$AA$91),"dd mmm yy"))&amp;" "&amp;Milestones!$AB$91&amp;" "&amp;IF(AND(Milestones!$AB$91="FT",Milestones!$AA$91=FT_Y5,EDATE($D64,Milestones!$AA$91)&lt;PolicyEff),1,Milestones!$AC$91)&amp;";  ",""))</f>
        <v/>
      </c>
      <c r="O64" s="0" t="str">
        <f aca="false">IF(OR($A64="",$D64=""),"",IF(AND(EDATE($D64,Milestones!$AA$92)&lt;=AsOfDate,EDATE($D64,Milestones!$AA$92)&gt;=SchemeStart,IF($X64=0,$AD64,IF(AND($Z64&lt;&gt;"",EDATE($D64,Milestones!$AA$92)&gt;=$Z64),$AC64,IF(AND($Y64&lt;&gt;"",EDATE($D64,Milestones!$AA$92)&gt;=$Y64),$AB64,$AA64)))=Milestones!$AB$92),UPPER(TEXT(EDATE($D64,Milestones!$AA$92),"dd mmm yy"))&amp;" "&amp;Milestones!$AB$92&amp;" "&amp;IF(AND(Milestones!$AB$92="FT",Milestones!$AA$92=FT_Y5,EDATE($D64,Milestones!$AA$92)&lt;PolicyEff),1,Milestones!$AC$92)&amp;";  ","")&amp;IF(AND(EDATE($D64,Milestones!$AA$93)&lt;=AsOfDate,EDATE($D64,Milestones!$AA$93)&gt;=SchemeStart,IF($X64=0,$AD64,IF(AND($Z64&lt;&gt;"",EDATE($D64,Milestones!$AA$93)&gt;=$Z64),$AC64,IF(AND($Y64&lt;&gt;"",EDATE($D64,Milestones!$AA$93)&gt;=$Y64),$AB64,$AA64)))=Milestones!$AB$93),UPPER(TEXT(EDATE($D64,Milestones!$AA$93),"dd mmm yy"))&amp;" "&amp;Milestones!$AB$93&amp;" "&amp;IF(AND(Milestones!$AB$93="FT",Milestones!$AA$93=FT_Y5,EDATE($D64,Milestones!$AA$93)&lt;PolicyEff),1,Milestones!$AC$93)&amp;";  ","")&amp;IF(AND(EDATE($D64,Milestones!$AA$94)&lt;=AsOfDate,EDATE($D64,Milestones!$AA$94)&gt;=SchemeStart,IF($X64=0,$AD64,IF(AND($Z64&lt;&gt;"",EDATE($D64,Milestones!$AA$94)&gt;=$Z64),$AC64,IF(AND($Y64&lt;&gt;"",EDATE($D64,Milestones!$AA$94)&gt;=$Y64),$AB64,$AA64)))=Milestones!$AB$94),UPPER(TEXT(EDATE($D64,Milestones!$AA$94),"dd mmm yy"))&amp;" "&amp;Milestones!$AB$94&amp;" "&amp;IF(AND(Milestones!$AB$94="FT",Milestones!$AA$94=FT_Y5,EDATE($D64,Milestones!$AA$94)&lt;PolicyEff),1,Milestones!$AC$94)&amp;";  ","")&amp;IF(AND(EDATE($D64,Milestones!$AA$95)&lt;=AsOfDate,EDATE($D64,Milestones!$AA$95)&gt;=SchemeStart,IF($X64=0,$AD64,IF(AND($Z64&lt;&gt;"",EDATE($D64,Milestones!$AA$95)&gt;=$Z64),$AC64,IF(AND($Y64&lt;&gt;"",EDATE($D64,Milestones!$AA$95)&gt;=$Y64),$AB64,$AA64)))=Milestones!$AB$95),UPPER(TEXT(EDATE($D64,Milestones!$AA$95),"dd mmm yy"))&amp;" "&amp;Milestones!$AB$95&amp;" "&amp;IF(AND(Milestones!$AB$95="FT",Milestones!$AA$95=FT_Y5,EDATE($D64,Milestones!$AA$95)&lt;PolicyEff),1,Milestones!$AC$95)&amp;";  ","")&amp;IF(AND(EDATE($D64,Milestones!$AA$96)&lt;=AsOfDate,EDATE($D64,Milestones!$AA$96)&gt;=SchemeStart,IF($X64=0,$AD64,IF(AND($Z64&lt;&gt;"",EDATE($D64,Milestones!$AA$96)&gt;=$Z64),$AC64,IF(AND($Y64&lt;&gt;"",EDATE($D64,Milestones!$AA$96)&gt;=$Y64),$AB64,$AA64)))=Milestones!$AB$96),UPPER(TEXT(EDATE($D64,Milestones!$AA$96),"dd mmm yy"))&amp;" "&amp;Milestones!$AB$96&amp;" "&amp;IF(AND(Milestones!$AB$96="FT",Milestones!$AA$96=FT_Y5,EDATE($D64,Milestones!$AA$96)&lt;PolicyEff),1,Milestones!$AC$96)&amp;";  ","")&amp;IF(AND(EDATE($D64,Milestones!$AA$97)&lt;=AsOfDate,EDATE($D64,Milestones!$AA$97)&gt;=SchemeStart,IF($X64=0,$AD64,IF(AND($Z64&lt;&gt;"",EDATE($D64,Milestones!$AA$97)&gt;=$Z64),$AC64,IF(AND($Y64&lt;&gt;"",EDATE($D64,Milestones!$AA$97)&gt;=$Y64),$AB64,$AA64)))=Milestones!$AB$97),UPPER(TEXT(EDATE($D64,Milestones!$AA$97),"dd mmm yy"))&amp;" "&amp;Milestones!$AB$97&amp;" "&amp;IF(AND(Milestones!$AB$97="FT",Milestones!$AA$97=FT_Y5,EDATE($D64,Milestones!$AA$97)&lt;PolicyEff),1,Milestones!$AC$97)&amp;";  ","")&amp;IF(AND(EDATE($D64,Milestones!$AA$98)&lt;=AsOfDate,EDATE($D64,Milestones!$AA$98)&gt;=SchemeStart,IF($X64=0,$AD64,IF(AND($Z64&lt;&gt;"",EDATE($D64,Milestones!$AA$98)&gt;=$Z64),$AC64,IF(AND($Y64&lt;&gt;"",EDATE($D64,Milestones!$AA$98)&gt;=$Y64),$AB64,$AA64)))=Milestones!$AB$98),UPPER(TEXT(EDATE($D64,Milestones!$AA$98),"dd mmm yy"))&amp;" "&amp;Milestones!$AB$98&amp;" "&amp;IF(AND(Milestones!$AB$98="FT",Milestones!$AA$98=FT_Y5,EDATE($D64,Milestones!$AA$98)&lt;PolicyEff),1,Milestones!$AC$98)&amp;";  ","")&amp;IF(AND(EDATE($D64,Milestones!$AA$99)&lt;=AsOfDate,EDATE($D64,Milestones!$AA$99)&gt;=SchemeStart,IF($X64=0,$AD64,IF(AND($Z64&lt;&gt;"",EDATE($D64,Milestones!$AA$99)&gt;=$Z64),$AC64,IF(AND($Y64&lt;&gt;"",EDATE($D64,Milestones!$AA$99)&gt;=$Y64),$AB64,$AA64)))=Milestones!$AB$99),UPPER(TEXT(EDATE($D64,Milestones!$AA$99),"dd mmm yy"))&amp;" "&amp;Milestones!$AB$99&amp;" "&amp;IF(AND(Milestones!$AB$99="FT",Milestones!$AA$99=FT_Y5,EDATE($D64,Milestones!$AA$99)&lt;PolicyEff),1,Milestones!$AC$99)&amp;";  ","")&amp;IF(AND(EDATE($D64,Milestones!$AA$100)&lt;=AsOfDate,EDATE($D64,Milestones!$AA$100)&gt;=SchemeStart,IF($X64=0,$AD64,IF(AND($Z64&lt;&gt;"",EDATE($D64,Milestones!$AA$100)&gt;=$Z64),$AC64,IF(AND($Y64&lt;&gt;"",EDATE($D64,Milestones!$AA$100)&gt;=$Y64),$AB64,$AA64)))=Milestones!$AB$100),UPPER(TEXT(EDATE($D64,Milestones!$AA$100),"dd mmm yy"))&amp;" "&amp;Milestones!$AB$100&amp;" "&amp;IF(AND(Milestones!$AB$100="FT",Milestones!$AA$100=FT_Y5,EDATE($D64,Milestones!$AA$100)&lt;PolicyEff),1,Milestones!$AC$100)&amp;";  ","")&amp;IF(AND(EDATE($D64,Milestones!$AA$101)&lt;=AsOfDate,EDATE($D64,Milestones!$AA$101)&gt;=SchemeStart,IF($X64=0,$AD64,IF(AND($Z64&lt;&gt;"",EDATE($D64,Milestones!$AA$101)&gt;=$Z64),$AC64,IF(AND($Y64&lt;&gt;"",EDATE($D64,Milestones!$AA$101)&gt;=$Y64),$AB64,$AA64)))=Milestones!$AB$101),UPPER(TEXT(EDATE($D64,Milestones!$AA$101),"dd mmm yy"))&amp;" "&amp;Milestones!$AB$101&amp;" "&amp;IF(AND(Milestones!$AB$101="FT",Milestones!$AA$101=FT_Y5,EDATE($D64,Milestones!$AA$101)&lt;PolicyEff),1,Milestones!$AC$101)&amp;";  ","")&amp;IF(AND(EDATE($D64,Milestones!$AA$102)&lt;=AsOfDate,EDATE($D64,Milestones!$AA$102)&gt;=SchemeStart,IF($X64=0,$AD64,IF(AND($Z64&lt;&gt;"",EDATE($D64,Milestones!$AA$102)&gt;=$Z64),$AC64,IF(AND($Y64&lt;&gt;"",EDATE($D64,Milestones!$AA$102)&gt;=$Y64),$AB64,$AA64)))=Milestones!$AB$102),UPPER(TEXT(EDATE($D64,Milestones!$AA$102),"dd mmm yy"))&amp;" "&amp;Milestones!$AB$102&amp;" "&amp;IF(AND(Milestones!$AB$102="FT",Milestones!$AA$102=FT_Y5,EDATE($D64,Milestones!$AA$102)&lt;PolicyEff),1,Milestones!$AC$102)&amp;";  ","")&amp;IF(AND(EDATE($D64,Milestones!$AA$103)&lt;=AsOfDate,EDATE($D64,Milestones!$AA$103)&gt;=SchemeStart,IF($X64=0,$AD64,IF(AND($Z64&lt;&gt;"",EDATE($D64,Milestones!$AA$103)&gt;=$Z64),$AC64,IF(AND($Y64&lt;&gt;"",EDATE($D64,Milestones!$AA$103)&gt;=$Y64),$AB64,$AA64)))=Milestones!$AB$103),UPPER(TEXT(EDATE($D64,Milestones!$AA$103),"dd mmm yy"))&amp;" "&amp;Milestones!$AB$103&amp;" "&amp;IF(AND(Milestones!$AB$103="FT",Milestones!$AA$103=FT_Y5,EDATE($D64,Milestones!$AA$103)&lt;PolicyEff),1,Milestones!$AC$103)&amp;";  ",""))</f>
        <v/>
      </c>
      <c r="P64" s="0" t="str">
        <f aca="false">IF(OR($A64="",$D64=""),"",IF(AND(EDATE($D64,Milestones!$AA$104)&lt;=AsOfDate,EDATE($D64,Milestones!$AA$104)&gt;=SchemeStart,IF($X64=0,$AD64,IF(AND($Z64&lt;&gt;"",EDATE($D64,Milestones!$AA$104)&gt;=$Z64),$AC64,IF(AND($Y64&lt;&gt;"",EDATE($D64,Milestones!$AA$104)&gt;=$Y64),$AB64,$AA64)))=Milestones!$AB$104),UPPER(TEXT(EDATE($D64,Milestones!$AA$104),"dd mmm yy"))&amp;" "&amp;Milestones!$AB$104&amp;" "&amp;IF(AND(Milestones!$AB$104="FT",Milestones!$AA$104=FT_Y5,EDATE($D64,Milestones!$AA$104)&lt;PolicyEff),1,Milestones!$AC$104)&amp;";  ","")&amp;IF(AND(EDATE($D64,Milestones!$AA$105)&lt;=AsOfDate,EDATE($D64,Milestones!$AA$105)&gt;=SchemeStart,IF($X64=0,$AD64,IF(AND($Z64&lt;&gt;"",EDATE($D64,Milestones!$AA$105)&gt;=$Z64),$AC64,IF(AND($Y64&lt;&gt;"",EDATE($D64,Milestones!$AA$105)&gt;=$Y64),$AB64,$AA64)))=Milestones!$AB$105),UPPER(TEXT(EDATE($D64,Milestones!$AA$105),"dd mmm yy"))&amp;" "&amp;Milestones!$AB$105&amp;" "&amp;IF(AND(Milestones!$AB$105="FT",Milestones!$AA$105=FT_Y5,EDATE($D64,Milestones!$AA$105)&lt;PolicyEff),1,Milestones!$AC$105)&amp;";  ","")&amp;IF(AND(EDATE($D64,Milestones!$AA$106)&lt;=AsOfDate,EDATE($D64,Milestones!$AA$106)&gt;=SchemeStart,IF($X64=0,$AD64,IF(AND($Z64&lt;&gt;"",EDATE($D64,Milestones!$AA$106)&gt;=$Z64),$AC64,IF(AND($Y64&lt;&gt;"",EDATE($D64,Milestones!$AA$106)&gt;=$Y64),$AB64,$AA64)))=Milestones!$AB$106),UPPER(TEXT(EDATE($D64,Milestones!$AA$106),"dd mmm yy"))&amp;" "&amp;Milestones!$AB$106&amp;" "&amp;IF(AND(Milestones!$AB$106="FT",Milestones!$AA$106=FT_Y5,EDATE($D64,Milestones!$AA$106)&lt;PolicyEff),1,Milestones!$AC$106)&amp;";  ","")&amp;IF(AND(EDATE($D64,Milestones!$AA$107)&lt;=AsOfDate,EDATE($D64,Milestones!$AA$107)&gt;=SchemeStart,IF($X64=0,$AD64,IF(AND($Z64&lt;&gt;"",EDATE($D64,Milestones!$AA$107)&gt;=$Z64),$AC64,IF(AND($Y64&lt;&gt;"",EDATE($D64,Milestones!$AA$107)&gt;=$Y64),$AB64,$AA64)))=Milestones!$AB$107),UPPER(TEXT(EDATE($D64,Milestones!$AA$107),"dd mmm yy"))&amp;" "&amp;Milestones!$AB$107&amp;" "&amp;IF(AND(Milestones!$AB$107="FT",Milestones!$AA$107=FT_Y5,EDATE($D64,Milestones!$AA$107)&lt;PolicyEff),1,Milestones!$AC$107)&amp;";  ","")&amp;IF(AND(EDATE($D64,Milestones!$AA$108)&lt;=AsOfDate,EDATE($D64,Milestones!$AA$108)&gt;=SchemeStart,IF($X64=0,$AD64,IF(AND($Z64&lt;&gt;"",EDATE($D64,Milestones!$AA$108)&gt;=$Z64),$AC64,IF(AND($Y64&lt;&gt;"",EDATE($D64,Milestones!$AA$108)&gt;=$Y64),$AB64,$AA64)))=Milestones!$AB$108),UPPER(TEXT(EDATE($D64,Milestones!$AA$108),"dd mmm yy"))&amp;" "&amp;Milestones!$AB$108&amp;" "&amp;IF(AND(Milestones!$AB$108="FT",Milestones!$AA$108=FT_Y5,EDATE($D64,Milestones!$AA$108)&lt;PolicyEff),1,Milestones!$AC$108)&amp;";  ","")&amp;IF(AND(EDATE($D64,Milestones!$AA$109)&lt;=AsOfDate,EDATE($D64,Milestones!$AA$109)&gt;=SchemeStart,IF($X64=0,$AD64,IF(AND($Z64&lt;&gt;"",EDATE($D64,Milestones!$AA$109)&gt;=$Z64),$AC64,IF(AND($Y64&lt;&gt;"",EDATE($D64,Milestones!$AA$109)&gt;=$Y64),$AB64,$AA64)))=Milestones!$AB$109),UPPER(TEXT(EDATE($D64,Milestones!$AA$109),"dd mmm yy"))&amp;" "&amp;Milestones!$AB$109&amp;" "&amp;IF(AND(Milestones!$AB$109="FT",Milestones!$AA$109=FT_Y5,EDATE($D64,Milestones!$AA$109)&lt;PolicyEff),1,Milestones!$AC$109)&amp;";  ","")&amp;IF(AND(EDATE($D64,Milestones!$AA$110)&lt;=AsOfDate,EDATE($D64,Milestones!$AA$110)&gt;=SchemeStart,IF($X64=0,$AD64,IF(AND($Z64&lt;&gt;"",EDATE($D64,Milestones!$AA$110)&gt;=$Z64),$AC64,IF(AND($Y64&lt;&gt;"",EDATE($D64,Milestones!$AA$110)&gt;=$Y64),$AB64,$AA64)))=Milestones!$AB$110),UPPER(TEXT(EDATE($D64,Milestones!$AA$110),"dd mmm yy"))&amp;" "&amp;Milestones!$AB$110&amp;" "&amp;IF(AND(Milestones!$AB$110="FT",Milestones!$AA$110=FT_Y5,EDATE($D64,Milestones!$AA$110)&lt;PolicyEff),1,Milestones!$AC$110)&amp;";  ","")&amp;IF(AND(EDATE($D64,Milestones!$AA$111)&lt;=AsOfDate,EDATE($D64,Milestones!$AA$111)&gt;=SchemeStart,IF($X64=0,$AD64,IF(AND($Z64&lt;&gt;"",EDATE($D64,Milestones!$AA$111)&gt;=$Z64),$AC64,IF(AND($Y64&lt;&gt;"",EDATE($D64,Milestones!$AA$111)&gt;=$Y64),$AB64,$AA64)))=Milestones!$AB$111),UPPER(TEXT(EDATE($D64,Milestones!$AA$111),"dd mmm yy"))&amp;" "&amp;Milestones!$AB$111&amp;" "&amp;IF(AND(Milestones!$AB$111="FT",Milestones!$AA$111=FT_Y5,EDATE($D64,Milestones!$AA$111)&lt;PolicyEff),1,Milestones!$AC$111)&amp;";  ","")&amp;IF(AND(EDATE($D64,Milestones!$AA$112)&lt;=AsOfDate,EDATE($D64,Milestones!$AA$112)&gt;=SchemeStart,IF($X64=0,$AD64,IF(AND($Z64&lt;&gt;"",EDATE($D64,Milestones!$AA$112)&gt;=$Z64),$AC64,IF(AND($Y64&lt;&gt;"",EDATE($D64,Milestones!$AA$112)&gt;=$Y64),$AB64,$AA64)))=Milestones!$AB$112),UPPER(TEXT(EDATE($D64,Milestones!$AA$112),"dd mmm yy"))&amp;" "&amp;Milestones!$AB$112&amp;" "&amp;IF(AND(Milestones!$AB$112="FT",Milestones!$AA$112=FT_Y5,EDATE($D64,Milestones!$AA$112)&lt;PolicyEff),1,Milestones!$AC$112)&amp;";  ","")&amp;IF(AND(EDATE($D64,Milestones!$AA$113)&lt;=AsOfDate,EDATE($D64,Milestones!$AA$113)&gt;=SchemeStart,IF($X64=0,$AD64,IF(AND($Z64&lt;&gt;"",EDATE($D64,Milestones!$AA$113)&gt;=$Z64),$AC64,IF(AND($Y64&lt;&gt;"",EDATE($D64,Milestones!$AA$113)&gt;=$Y64),$AB64,$AA64)))=Milestones!$AB$113),UPPER(TEXT(EDATE($D64,Milestones!$AA$113),"dd mmm yy"))&amp;" "&amp;Milestones!$AB$113&amp;" "&amp;IF(AND(Milestones!$AB$113="FT",Milestones!$AA$113=FT_Y5,EDATE($D64,Milestones!$AA$113)&lt;PolicyEff),1,Milestones!$AC$113)&amp;";  ","")&amp;IF(AND(EDATE($D64,Milestones!$AA$114)&lt;=AsOfDate,EDATE($D64,Milestones!$AA$114)&gt;=SchemeStart,IF($X64=0,$AD64,IF(AND($Z64&lt;&gt;"",EDATE($D64,Milestones!$AA$114)&gt;=$Z64),$AC64,IF(AND($Y64&lt;&gt;"",EDATE($D64,Milestones!$AA$114)&gt;=$Y64),$AB64,$AA64)))=Milestones!$AB$114),UPPER(TEXT(EDATE($D64,Milestones!$AA$114),"dd mmm yy"))&amp;" "&amp;Milestones!$AB$114&amp;" "&amp;IF(AND(Milestones!$AB$114="FT",Milestones!$AA$114=FT_Y5,EDATE($D64,Milestones!$AA$114)&lt;PolicyEff),1,Milestones!$AC$114)&amp;";  ","")&amp;IF(AND(EDATE($D64,Milestones!$AA$115)&lt;=AsOfDate,EDATE($D64,Milestones!$AA$115)&gt;=SchemeStart,IF($X64=0,$AD64,IF(AND($Z64&lt;&gt;"",EDATE($D64,Milestones!$AA$115)&gt;=$Z64),$AC64,IF(AND($Y64&lt;&gt;"",EDATE($D64,Milestones!$AA$115)&gt;=$Y64),$AB64,$AA64)))=Milestones!$AB$115),UPPER(TEXT(EDATE($D64,Milestones!$AA$115),"dd mmm yy"))&amp;" "&amp;Milestones!$AB$115&amp;" "&amp;IF(AND(Milestones!$AB$115="FT",Milestones!$AA$115=FT_Y5,EDATE($D64,Milestones!$AA$115)&lt;PolicyEff),1,Milestones!$AC$115)&amp;";  ",""))</f>
        <v/>
      </c>
      <c r="Q64" s="0" t="str">
        <f aca="false">IF(OR($A64="",$D64=""),"",IF(AND(EDATE($D64,Milestones!$AA$116)&lt;=AsOfDate,EDATE($D64,Milestones!$AA$116)&gt;=SchemeStart,IF($X64=0,$AD64,IF(AND($Z64&lt;&gt;"",EDATE($D64,Milestones!$AA$116)&gt;=$Z64),$AC64,IF(AND($Y64&lt;&gt;"",EDATE($D64,Milestones!$AA$116)&gt;=$Y64),$AB64,$AA64)))=Milestones!$AB$116),UPPER(TEXT(EDATE($D64,Milestones!$AA$116),"dd mmm yy"))&amp;" "&amp;Milestones!$AB$116&amp;" "&amp;IF(AND(Milestones!$AB$116="FT",Milestones!$AA$116=FT_Y5,EDATE($D64,Milestones!$AA$116)&lt;PolicyEff),1,Milestones!$AC$116)&amp;";  ","")&amp;IF(AND(EDATE($D64,Milestones!$AA$117)&lt;=AsOfDate,EDATE($D64,Milestones!$AA$117)&gt;=SchemeStart,IF($X64=0,$AD64,IF(AND($Z64&lt;&gt;"",EDATE($D64,Milestones!$AA$117)&gt;=$Z64),$AC64,IF(AND($Y64&lt;&gt;"",EDATE($D64,Milestones!$AA$117)&gt;=$Y64),$AB64,$AA64)))=Milestones!$AB$117),UPPER(TEXT(EDATE($D64,Milestones!$AA$117),"dd mmm yy"))&amp;" "&amp;Milestones!$AB$117&amp;" "&amp;IF(AND(Milestones!$AB$117="FT",Milestones!$AA$117=FT_Y5,EDATE($D64,Milestones!$AA$117)&lt;PolicyEff),1,Milestones!$AC$117)&amp;";  ","")&amp;IF(AND(EDATE($D64,Milestones!$AA$118)&lt;=AsOfDate,EDATE($D64,Milestones!$AA$118)&gt;=SchemeStart,IF($X64=0,$AD64,IF(AND($Z64&lt;&gt;"",EDATE($D64,Milestones!$AA$118)&gt;=$Z64),$AC64,IF(AND($Y64&lt;&gt;"",EDATE($D64,Milestones!$AA$118)&gt;=$Y64),$AB64,$AA64)))=Milestones!$AB$118),UPPER(TEXT(EDATE($D64,Milestones!$AA$118),"dd mmm yy"))&amp;" "&amp;Milestones!$AB$118&amp;" "&amp;IF(AND(Milestones!$AB$118="FT",Milestones!$AA$118=FT_Y5,EDATE($D64,Milestones!$AA$118)&lt;PolicyEff),1,Milestones!$AC$118)&amp;";  ","")&amp;IF(AND(EDATE($D64,Milestones!$AA$119)&lt;=AsOfDate,EDATE($D64,Milestones!$AA$119)&gt;=SchemeStart,IF($X64=0,$AD64,IF(AND($Z64&lt;&gt;"",EDATE($D64,Milestones!$AA$119)&gt;=$Z64),$AC64,IF(AND($Y64&lt;&gt;"",EDATE($D64,Milestones!$AA$119)&gt;=$Y64),$AB64,$AA64)))=Milestones!$AB$119),UPPER(TEXT(EDATE($D64,Milestones!$AA$119),"dd mmm yy"))&amp;" "&amp;Milestones!$AB$119&amp;" "&amp;IF(AND(Milestones!$AB$119="FT",Milestones!$AA$119=FT_Y5,EDATE($D64,Milestones!$AA$119)&lt;PolicyEff),1,Milestones!$AC$119)&amp;";  ","")&amp;IF(AND(EDATE($D64,Milestones!$AA$120)&lt;=AsOfDate,EDATE($D64,Milestones!$AA$120)&gt;=SchemeStart,IF($X64=0,$AD64,IF(AND($Z64&lt;&gt;"",EDATE($D64,Milestones!$AA$120)&gt;=$Z64),$AC64,IF(AND($Y64&lt;&gt;"",EDATE($D64,Milestones!$AA$120)&gt;=$Y64),$AB64,$AA64)))=Milestones!$AB$120),UPPER(TEXT(EDATE($D64,Milestones!$AA$120),"dd mmm yy"))&amp;" "&amp;Milestones!$AB$120&amp;" "&amp;IF(AND(Milestones!$AB$120="FT",Milestones!$AA$120=FT_Y5,EDATE($D64,Milestones!$AA$120)&lt;PolicyEff),1,Milestones!$AC$120)&amp;";  ","")&amp;IF(AND(EDATE($D64,Milestones!$AA$121)&lt;=AsOfDate,EDATE($D64,Milestones!$AA$121)&gt;=SchemeStart,IF($X64=0,$AD64,IF(AND($Z64&lt;&gt;"",EDATE($D64,Milestones!$AA$121)&gt;=$Z64),$AC64,IF(AND($Y64&lt;&gt;"",EDATE($D64,Milestones!$AA$121)&gt;=$Y64),$AB64,$AA64)))=Milestones!$AB$121),UPPER(TEXT(EDATE($D64,Milestones!$AA$121),"dd mmm yy"))&amp;" "&amp;Milestones!$AB$121&amp;" "&amp;IF(AND(Milestones!$AB$121="FT",Milestones!$AA$121=FT_Y5,EDATE($D64,Milestones!$AA$121)&lt;PolicyEff),1,Milestones!$AC$121)&amp;";  ","")&amp;IF(AND(EDATE($D64,Milestones!$AA$122)&lt;=AsOfDate,EDATE($D64,Milestones!$AA$122)&gt;=SchemeStart,IF($X64=0,$AD64,IF(AND($Z64&lt;&gt;"",EDATE($D64,Milestones!$AA$122)&gt;=$Z64),$AC64,IF(AND($Y64&lt;&gt;"",EDATE($D64,Milestones!$AA$122)&gt;=$Y64),$AB64,$AA64)))=Milestones!$AB$122),UPPER(TEXT(EDATE($D64,Milestones!$AA$122),"dd mmm yy"))&amp;" "&amp;Milestones!$AB$122&amp;" "&amp;IF(AND(Milestones!$AB$122="FT",Milestones!$AA$122=FT_Y5,EDATE($D64,Milestones!$AA$122)&lt;PolicyEff),1,Milestones!$AC$122)&amp;";  ","")&amp;IF(AND(EDATE($D64,Milestones!$AA$123)&lt;=AsOfDate,EDATE($D64,Milestones!$AA$123)&gt;=SchemeStart,IF($X64=0,$AD64,IF(AND($Z64&lt;&gt;"",EDATE($D64,Milestones!$AA$123)&gt;=$Z64),$AC64,IF(AND($Y64&lt;&gt;"",EDATE($D64,Milestones!$AA$123)&gt;=$Y64),$AB64,$AA64)))=Milestones!$AB$123),UPPER(TEXT(EDATE($D64,Milestones!$AA$123),"dd mmm yy"))&amp;" "&amp;Milestones!$AB$123&amp;" "&amp;IF(AND(Milestones!$AB$123="FT",Milestones!$AA$123=FT_Y5,EDATE($D64,Milestones!$AA$123)&lt;PolicyEff),1,Milestones!$AC$123)&amp;";  ","")&amp;IF(AND(EDATE($D64,Milestones!$AA$124)&lt;=AsOfDate,EDATE($D64,Milestones!$AA$124)&gt;=SchemeStart,IF($X64=0,$AD64,IF(AND($Z64&lt;&gt;"",EDATE($D64,Milestones!$AA$124)&gt;=$Z64),$AC64,IF(AND($Y64&lt;&gt;"",EDATE($D64,Milestones!$AA$124)&gt;=$Y64),$AB64,$AA64)))=Milestones!$AB$124),UPPER(TEXT(EDATE($D64,Milestones!$AA$124),"dd mmm yy"))&amp;" "&amp;Milestones!$AB$124&amp;" "&amp;IF(AND(Milestones!$AB$124="FT",Milestones!$AA$124=FT_Y5,EDATE($D64,Milestones!$AA$124)&lt;PolicyEff),1,Milestones!$AC$124)&amp;";  ","")&amp;IF(AND(EDATE($D64,Milestones!$AA$125)&lt;=AsOfDate,EDATE($D64,Milestones!$AA$125)&gt;=SchemeStart,IF($X64=0,$AD64,IF(AND($Z64&lt;&gt;"",EDATE($D64,Milestones!$AA$125)&gt;=$Z64),$AC64,IF(AND($Y64&lt;&gt;"",EDATE($D64,Milestones!$AA$125)&gt;=$Y64),$AB64,$AA64)))=Milestones!$AB$125),UPPER(TEXT(EDATE($D64,Milestones!$AA$125),"dd mmm yy"))&amp;" "&amp;Milestones!$AB$125&amp;" "&amp;IF(AND(Milestones!$AB$125="FT",Milestones!$AA$125=FT_Y5,EDATE($D64,Milestones!$AA$125)&lt;PolicyEff),1,Milestones!$AC$125)&amp;";  ","")&amp;IF(AND(EDATE($D64,Milestones!$AA$126)&lt;=AsOfDate,EDATE($D64,Milestones!$AA$126)&gt;=SchemeStart,IF($X64=0,$AD64,IF(AND($Z64&lt;&gt;"",EDATE($D64,Milestones!$AA$126)&gt;=$Z64),$AC64,IF(AND($Y64&lt;&gt;"",EDATE($D64,Milestones!$AA$126)&gt;=$Y64),$AB64,$AA64)))=Milestones!$AB$126),UPPER(TEXT(EDATE($D64,Milestones!$AA$126),"dd mmm yy"))&amp;" "&amp;Milestones!$AB$126&amp;" "&amp;IF(AND(Milestones!$AB$126="FT",Milestones!$AA$126=FT_Y5,EDATE($D64,Milestones!$AA$126)&lt;PolicyEff),1,Milestones!$AC$126)&amp;";  ","")&amp;IF(AND(EDATE($D64,Milestones!$AA$127)&lt;=AsOfDate,EDATE($D64,Milestones!$AA$127)&gt;=SchemeStart,IF($X64=0,$AD64,IF(AND($Z64&lt;&gt;"",EDATE($D64,Milestones!$AA$127)&gt;=$Z64),$AC64,IF(AND($Y64&lt;&gt;"",EDATE($D64,Milestones!$AA$127)&gt;=$Y64),$AB64,$AA64)))=Milestones!$AB$127),UPPER(TEXT(EDATE($D64,Milestones!$AA$127),"dd mmm yy"))&amp;" "&amp;Milestones!$AB$127&amp;" "&amp;IF(AND(Milestones!$AB$127="FT",Milestones!$AA$127=FT_Y5,EDATE($D64,Milestones!$AA$127)&lt;PolicyEff),1,Milestones!$AC$127)&amp;";  ",""))</f>
        <v/>
      </c>
      <c r="R64" s="0" t="str">
        <f aca="false">IF(OR($A64="",$D64=""),"",IF(AND(EDATE($D64,Milestones!$AA$128)&lt;=AsOfDate,EDATE($D64,Milestones!$AA$128)&gt;=SchemeStart,IF($X64=0,$AD64,IF(AND($Z64&lt;&gt;"",EDATE($D64,Milestones!$AA$128)&gt;=$Z64),$AC64,IF(AND($Y64&lt;&gt;"",EDATE($D64,Milestones!$AA$128)&gt;=$Y64),$AB64,$AA64)))=Milestones!$AB$128),UPPER(TEXT(EDATE($D64,Milestones!$AA$128),"dd mmm yy"))&amp;" "&amp;Milestones!$AB$128&amp;" "&amp;IF(AND(Milestones!$AB$128="FT",Milestones!$AA$128=FT_Y5,EDATE($D64,Milestones!$AA$128)&lt;PolicyEff),1,Milestones!$AC$128)&amp;";  ","")&amp;IF(AND(EDATE($D64,Milestones!$AA$129)&lt;=AsOfDate,EDATE($D64,Milestones!$AA$129)&gt;=SchemeStart,IF($X64=0,$AD64,IF(AND($Z64&lt;&gt;"",EDATE($D64,Milestones!$AA$129)&gt;=$Z64),$AC64,IF(AND($Y64&lt;&gt;"",EDATE($D64,Milestones!$AA$129)&gt;=$Y64),$AB64,$AA64)))=Milestones!$AB$129),UPPER(TEXT(EDATE($D64,Milestones!$AA$129),"dd mmm yy"))&amp;" "&amp;Milestones!$AB$129&amp;" "&amp;IF(AND(Milestones!$AB$129="FT",Milestones!$AA$129=FT_Y5,EDATE($D64,Milestones!$AA$129)&lt;PolicyEff),1,Milestones!$AC$129)&amp;";  ","")&amp;IF(AND(EDATE($D64,Milestones!$AA$130)&lt;=AsOfDate,EDATE($D64,Milestones!$AA$130)&gt;=SchemeStart,IF($X64=0,$AD64,IF(AND($Z64&lt;&gt;"",EDATE($D64,Milestones!$AA$130)&gt;=$Z64),$AC64,IF(AND($Y64&lt;&gt;"",EDATE($D64,Milestones!$AA$130)&gt;=$Y64),$AB64,$AA64)))=Milestones!$AB$130),UPPER(TEXT(EDATE($D64,Milestones!$AA$130),"dd mmm yy"))&amp;" "&amp;Milestones!$AB$130&amp;" "&amp;IF(AND(Milestones!$AB$130="FT",Milestones!$AA$130=FT_Y5,EDATE($D64,Milestones!$AA$130)&lt;PolicyEff),1,Milestones!$AC$130)&amp;";  ","")&amp;IF(AND(EDATE($D64,Milestones!$AA$131)&lt;=AsOfDate,EDATE($D64,Milestones!$AA$131)&gt;=SchemeStart,IF($X64=0,$AD64,IF(AND($Z64&lt;&gt;"",EDATE($D64,Milestones!$AA$131)&gt;=$Z64),$AC64,IF(AND($Y64&lt;&gt;"",EDATE($D64,Milestones!$AA$131)&gt;=$Y64),$AB64,$AA64)))=Milestones!$AB$131),UPPER(TEXT(EDATE($D64,Milestones!$AA$131),"dd mmm yy"))&amp;" "&amp;Milestones!$AB$131&amp;" "&amp;IF(AND(Milestones!$AB$131="FT",Milestones!$AA$131=FT_Y5,EDATE($D64,Milestones!$AA$131)&lt;PolicyEff),1,Milestones!$AC$131)&amp;";  ","")&amp;IF(AND(EDATE($D64,Milestones!$AA$132)&lt;=AsOfDate,EDATE($D64,Milestones!$AA$132)&gt;=SchemeStart,IF($X64=0,$AD64,IF(AND($Z64&lt;&gt;"",EDATE($D64,Milestones!$AA$132)&gt;=$Z64),$AC64,IF(AND($Y64&lt;&gt;"",EDATE($D64,Milestones!$AA$132)&gt;=$Y64),$AB64,$AA64)))=Milestones!$AB$132),UPPER(TEXT(EDATE($D64,Milestones!$AA$132),"dd mmm yy"))&amp;" "&amp;Milestones!$AB$132&amp;" "&amp;IF(AND(Milestones!$AB$132="FT",Milestones!$AA$132=FT_Y5,EDATE($D64,Milestones!$AA$132)&lt;PolicyEff),1,Milestones!$AC$132)&amp;";  ","")&amp;IF(AND(EDATE($D64,Milestones!$AA$133)&lt;=AsOfDate,EDATE($D64,Milestones!$AA$133)&gt;=SchemeStart,IF($X64=0,$AD64,IF(AND($Z64&lt;&gt;"",EDATE($D64,Milestones!$AA$133)&gt;=$Z64),$AC64,IF(AND($Y64&lt;&gt;"",EDATE($D64,Milestones!$AA$133)&gt;=$Y64),$AB64,$AA64)))=Milestones!$AB$133),UPPER(TEXT(EDATE($D64,Milestones!$AA$133),"dd mmm yy"))&amp;" "&amp;Milestones!$AB$133&amp;" "&amp;IF(AND(Milestones!$AB$133="FT",Milestones!$AA$133=FT_Y5,EDATE($D64,Milestones!$AA$133)&lt;PolicyEff),1,Milestones!$AC$133)&amp;";  ","")&amp;IF(AND(EDATE($D64,Milestones!$AA$134)&lt;=AsOfDate,EDATE($D64,Milestones!$AA$134)&gt;=SchemeStart,IF($X64=0,$AD64,IF(AND($Z64&lt;&gt;"",EDATE($D64,Milestones!$AA$134)&gt;=$Z64),$AC64,IF(AND($Y64&lt;&gt;"",EDATE($D64,Milestones!$AA$134)&gt;=$Y64),$AB64,$AA64)))=Milestones!$AB$134),UPPER(TEXT(EDATE($D64,Milestones!$AA$134),"dd mmm yy"))&amp;" "&amp;Milestones!$AB$134&amp;" "&amp;IF(AND(Milestones!$AB$134="FT",Milestones!$AA$134=FT_Y5,EDATE($D64,Milestones!$AA$134)&lt;PolicyEff),1,Milestones!$AC$134)&amp;";  ","")&amp;IF(AND(EDATE($D64,Milestones!$AA$135)&lt;=AsOfDate,EDATE($D64,Milestones!$AA$135)&gt;=SchemeStart,IF($X64=0,$AD64,IF(AND($Z64&lt;&gt;"",EDATE($D64,Milestones!$AA$135)&gt;=$Z64),$AC64,IF(AND($Y64&lt;&gt;"",EDATE($D64,Milestones!$AA$135)&gt;=$Y64),$AB64,$AA64)))=Milestones!$AB$135),UPPER(TEXT(EDATE($D64,Milestones!$AA$135),"dd mmm yy"))&amp;" "&amp;Milestones!$AB$135&amp;" "&amp;IF(AND(Milestones!$AB$135="FT",Milestones!$AA$135=FT_Y5,EDATE($D64,Milestones!$AA$135)&lt;PolicyEff),1,Milestones!$AC$135)&amp;";  ","")&amp;IF(AND(EDATE($D64,Milestones!$AA$136)&lt;=AsOfDate,EDATE($D64,Milestones!$AA$136)&gt;=SchemeStart,IF($X64=0,$AD64,IF(AND($Z64&lt;&gt;"",EDATE($D64,Milestones!$AA$136)&gt;=$Z64),$AC64,IF(AND($Y64&lt;&gt;"",EDATE($D64,Milestones!$AA$136)&gt;=$Y64),$AB64,$AA64)))=Milestones!$AB$136),UPPER(TEXT(EDATE($D64,Milestones!$AA$136),"dd mmm yy"))&amp;" "&amp;Milestones!$AB$136&amp;" "&amp;IF(AND(Milestones!$AB$136="FT",Milestones!$AA$136=FT_Y5,EDATE($D64,Milestones!$AA$136)&lt;PolicyEff),1,Milestones!$AC$136)&amp;";  ","")&amp;IF(AND(EDATE($D64,Milestones!$AA$137)&lt;=AsOfDate,EDATE($D64,Milestones!$AA$137)&gt;=SchemeStart,IF($X64=0,$AD64,IF(AND($Z64&lt;&gt;"",EDATE($D64,Milestones!$AA$137)&gt;=$Z64),$AC64,IF(AND($Y64&lt;&gt;"",EDATE($D64,Milestones!$AA$137)&gt;=$Y64),$AB64,$AA64)))=Milestones!$AB$137),UPPER(TEXT(EDATE($D64,Milestones!$AA$137),"dd mmm yy"))&amp;" "&amp;Milestones!$AB$137&amp;" "&amp;IF(AND(Milestones!$AB$137="FT",Milestones!$AA$137=FT_Y5,EDATE($D64,Milestones!$AA$137)&lt;PolicyEff),1,Milestones!$AC$137)&amp;";  ","")&amp;IF(AND(EDATE($D64,Milestones!$AA$138)&lt;=AsOfDate,EDATE($D64,Milestones!$AA$138)&gt;=SchemeStart,IF($X64=0,$AD64,IF(AND($Z64&lt;&gt;"",EDATE($D64,Milestones!$AA$138)&gt;=$Z64),$AC64,IF(AND($Y64&lt;&gt;"",EDATE($D64,Milestones!$AA$138)&gt;=$Y64),$AB64,$AA64)))=Milestones!$AB$138),UPPER(TEXT(EDATE($D64,Milestones!$AA$138),"dd mmm yy"))&amp;" "&amp;Milestones!$AB$138&amp;" "&amp;IF(AND(Milestones!$AB$138="FT",Milestones!$AA$138=FT_Y5,EDATE($D64,Milestones!$AA$138)&lt;PolicyEff),1,Milestones!$AC$138)&amp;";  ","")&amp;IF(AND(EDATE($D64,Milestones!$AA$139)&lt;=AsOfDate,EDATE($D64,Milestones!$AA$139)&gt;=SchemeStart,IF($X64=0,$AD64,IF(AND($Z64&lt;&gt;"",EDATE($D64,Milestones!$AA$139)&gt;=$Z64),$AC64,IF(AND($Y64&lt;&gt;"",EDATE($D64,Milestones!$AA$139)&gt;=$Y64),$AB64,$AA64)))=Milestones!$AB$139),UPPER(TEXT(EDATE($D64,Milestones!$AA$139),"dd mmm yy"))&amp;" "&amp;Milestones!$AB$139&amp;" "&amp;IF(AND(Milestones!$AB$139="FT",Milestones!$AA$139=FT_Y5,EDATE($D64,Milestones!$AA$139)&lt;PolicyEff),1,Milestones!$AC$139)&amp;";  ",""))</f>
        <v/>
      </c>
      <c r="S64" s="0" t="str">
        <f aca="false">IF(OR($A64="",$D64=""),"",IF(AND(EDATE($D64,Milestones!$AA$140)&lt;=AsOfDate,EDATE($D64,Milestones!$AA$140)&gt;=SchemeStart,IF($X64=0,$AD64,IF(AND($Z64&lt;&gt;"",EDATE($D64,Milestones!$AA$140)&gt;=$Z64),$AC64,IF(AND($Y64&lt;&gt;"",EDATE($D64,Milestones!$AA$140)&gt;=$Y64),$AB64,$AA64)))=Milestones!$AB$140),UPPER(TEXT(EDATE($D64,Milestones!$AA$140),"dd mmm yy"))&amp;" "&amp;Milestones!$AB$140&amp;" "&amp;IF(AND(Milestones!$AB$140="FT",Milestones!$AA$140=FT_Y5,EDATE($D64,Milestones!$AA$140)&lt;PolicyEff),1,Milestones!$AC$140)&amp;";  ","")&amp;IF(AND(EDATE($D64,Milestones!$AA$141)&lt;=AsOfDate,EDATE($D64,Milestones!$AA$141)&gt;=SchemeStart,IF($X64=0,$AD64,IF(AND($Z64&lt;&gt;"",EDATE($D64,Milestones!$AA$141)&gt;=$Z64),$AC64,IF(AND($Y64&lt;&gt;"",EDATE($D64,Milestones!$AA$141)&gt;=$Y64),$AB64,$AA64)))=Milestones!$AB$141),UPPER(TEXT(EDATE($D64,Milestones!$AA$141),"dd mmm yy"))&amp;" "&amp;Milestones!$AB$141&amp;" "&amp;IF(AND(Milestones!$AB$141="FT",Milestones!$AA$141=FT_Y5,EDATE($D64,Milestones!$AA$141)&lt;PolicyEff),1,Milestones!$AC$141)&amp;";  ","")&amp;IF(AND(EDATE($D64,Milestones!$AA$142)&lt;=AsOfDate,EDATE($D64,Milestones!$AA$142)&gt;=SchemeStart,IF($X64=0,$AD64,IF(AND($Z64&lt;&gt;"",EDATE($D64,Milestones!$AA$142)&gt;=$Z64),$AC64,IF(AND($Y64&lt;&gt;"",EDATE($D64,Milestones!$AA$142)&gt;=$Y64),$AB64,$AA64)))=Milestones!$AB$142),UPPER(TEXT(EDATE($D64,Milestones!$AA$142),"dd mmm yy"))&amp;" "&amp;Milestones!$AB$142&amp;" "&amp;IF(AND(Milestones!$AB$142="FT",Milestones!$AA$142=FT_Y5,EDATE($D64,Milestones!$AA$142)&lt;PolicyEff),1,Milestones!$AC$142)&amp;";  ","")&amp;IF(AND(EDATE($D64,Milestones!$AA$143)&lt;=AsOfDate,EDATE($D64,Milestones!$AA$143)&gt;=SchemeStart,IF($X64=0,$AD64,IF(AND($Z64&lt;&gt;"",EDATE($D64,Milestones!$AA$143)&gt;=$Z64),$AC64,IF(AND($Y64&lt;&gt;"",EDATE($D64,Milestones!$AA$143)&gt;=$Y64),$AB64,$AA64)))=Milestones!$AB$143),UPPER(TEXT(EDATE($D64,Milestones!$AA$143),"dd mmm yy"))&amp;" "&amp;Milestones!$AB$143&amp;" "&amp;IF(AND(Milestones!$AB$143="FT",Milestones!$AA$143=FT_Y5,EDATE($D64,Milestones!$AA$143)&lt;PolicyEff),1,Milestones!$AC$143)&amp;";  ","")&amp;IF(AND(EDATE($D64,Milestones!$AA$144)&lt;=AsOfDate,EDATE($D64,Milestones!$AA$144)&gt;=SchemeStart,IF($X64=0,$AD64,IF(AND($Z64&lt;&gt;"",EDATE($D64,Milestones!$AA$144)&gt;=$Z64),$AC64,IF(AND($Y64&lt;&gt;"",EDATE($D64,Milestones!$AA$144)&gt;=$Y64),$AB64,$AA64)))=Milestones!$AB$144),UPPER(TEXT(EDATE($D64,Milestones!$AA$144),"dd mmm yy"))&amp;" "&amp;Milestones!$AB$144&amp;" "&amp;IF(AND(Milestones!$AB$144="FT",Milestones!$AA$144=FT_Y5,EDATE($D64,Milestones!$AA$144)&lt;PolicyEff),1,Milestones!$AC$144)&amp;";  ","")&amp;IF(AND(EDATE($D64,Milestones!$AA$145)&lt;=AsOfDate,EDATE($D64,Milestones!$AA$145)&gt;=SchemeStart,IF($X64=0,$AD64,IF(AND($Z64&lt;&gt;"",EDATE($D64,Milestones!$AA$145)&gt;=$Z64),$AC64,IF(AND($Y64&lt;&gt;"",EDATE($D64,Milestones!$AA$145)&gt;=$Y64),$AB64,$AA64)))=Milestones!$AB$145),UPPER(TEXT(EDATE($D64,Milestones!$AA$145),"dd mmm yy"))&amp;" "&amp;Milestones!$AB$145&amp;" "&amp;IF(AND(Milestones!$AB$145="FT",Milestones!$AA$145=FT_Y5,EDATE($D64,Milestones!$AA$145)&lt;PolicyEff),1,Milestones!$AC$145)&amp;";  ","")&amp;IF(AND(EDATE($D64,Milestones!$AA$146)&lt;=AsOfDate,EDATE($D64,Milestones!$AA$146)&gt;=SchemeStart,IF($X64=0,$AD64,IF(AND($Z64&lt;&gt;"",EDATE($D64,Milestones!$AA$146)&gt;=$Z64),$AC64,IF(AND($Y64&lt;&gt;"",EDATE($D64,Milestones!$AA$146)&gt;=$Y64),$AB64,$AA64)))=Milestones!$AB$146),UPPER(TEXT(EDATE($D64,Milestones!$AA$146),"dd mmm yy"))&amp;" "&amp;Milestones!$AB$146&amp;" "&amp;IF(AND(Milestones!$AB$146="FT",Milestones!$AA$146=FT_Y5,EDATE($D64,Milestones!$AA$146)&lt;PolicyEff),1,Milestones!$AC$146)&amp;";  ","")&amp;IF(AND(EDATE($D64,Milestones!$AA$147)&lt;=AsOfDate,EDATE($D64,Milestones!$AA$147)&gt;=SchemeStart,IF($X64=0,$AD64,IF(AND($Z64&lt;&gt;"",EDATE($D64,Milestones!$AA$147)&gt;=$Z64),$AC64,IF(AND($Y64&lt;&gt;"",EDATE($D64,Milestones!$AA$147)&gt;=$Y64),$AB64,$AA64)))=Milestones!$AB$147),UPPER(TEXT(EDATE($D64,Milestones!$AA$147),"dd mmm yy"))&amp;" "&amp;Milestones!$AB$147&amp;" "&amp;IF(AND(Milestones!$AB$147="FT",Milestones!$AA$147=FT_Y5,EDATE($D64,Milestones!$AA$147)&lt;PolicyEff),1,Milestones!$AC$147)&amp;";  ","")&amp;IF(AND(EDATE($D64,Milestones!$AA$148)&lt;=AsOfDate,EDATE($D64,Milestones!$AA$148)&gt;=SchemeStart,IF($X64=0,$AD64,IF(AND($Z64&lt;&gt;"",EDATE($D64,Milestones!$AA$148)&gt;=$Z64),$AC64,IF(AND($Y64&lt;&gt;"",EDATE($D64,Milestones!$AA$148)&gt;=$Y64),$AB64,$AA64)))=Milestones!$AB$148),UPPER(TEXT(EDATE($D64,Milestones!$AA$148),"dd mmm yy"))&amp;" "&amp;Milestones!$AB$148&amp;" "&amp;IF(AND(Milestones!$AB$148="FT",Milestones!$AA$148=FT_Y5,EDATE($D64,Milestones!$AA$148)&lt;PolicyEff),1,Milestones!$AC$148)&amp;";  ","")&amp;IF(AND(EDATE($D64,Milestones!$AA$149)&lt;=AsOfDate,EDATE($D64,Milestones!$AA$149)&gt;=SchemeStart,IF($X64=0,$AD64,IF(AND($Z64&lt;&gt;"",EDATE($D64,Milestones!$AA$149)&gt;=$Z64),$AC64,IF(AND($Y64&lt;&gt;"",EDATE($D64,Milestones!$AA$149)&gt;=$Y64),$AB64,$AA64)))=Milestones!$AB$149),UPPER(TEXT(EDATE($D64,Milestones!$AA$149),"dd mmm yy"))&amp;" "&amp;Milestones!$AB$149&amp;" "&amp;IF(AND(Milestones!$AB$149="FT",Milestones!$AA$149=FT_Y5,EDATE($D64,Milestones!$AA$149)&lt;PolicyEff),1,Milestones!$AC$149)&amp;";  ","")&amp;IF(AND(EDATE($D64,Milestones!$AA$150)&lt;=AsOfDate,EDATE($D64,Milestones!$AA$150)&gt;=SchemeStart,IF($X64=0,$AD64,IF(AND($Z64&lt;&gt;"",EDATE($D64,Milestones!$AA$150)&gt;=$Z64),$AC64,IF(AND($Y64&lt;&gt;"",EDATE($D64,Milestones!$AA$150)&gt;=$Y64),$AB64,$AA64)))=Milestones!$AB$150),UPPER(TEXT(EDATE($D64,Milestones!$AA$150),"dd mmm yy"))&amp;" "&amp;Milestones!$AB$150&amp;" "&amp;IF(AND(Milestones!$AB$150="FT",Milestones!$AA$150=FT_Y5,EDATE($D64,Milestones!$AA$150)&lt;PolicyEff),1,Milestones!$AC$150)&amp;";  ","")&amp;IF(AND(EDATE($D64,Milestones!$AA$151)&lt;=AsOfDate,EDATE($D64,Milestones!$AA$151)&gt;=SchemeStart,IF($X64=0,$AD64,IF(AND($Z64&lt;&gt;"",EDATE($D64,Milestones!$AA$151)&gt;=$Z64),$AC64,IF(AND($Y64&lt;&gt;"",EDATE($D64,Milestones!$AA$151)&gt;=$Y64),$AB64,$AA64)))=Milestones!$AB$151),UPPER(TEXT(EDATE($D64,Milestones!$AA$151),"dd mmm yy"))&amp;" "&amp;Milestones!$AB$151&amp;" "&amp;IF(AND(Milestones!$AB$151="FT",Milestones!$AA$151=FT_Y5,EDATE($D64,Milestones!$AA$151)&lt;PolicyEff),1,Milestones!$AC$151)&amp;";  ",""))</f>
        <v/>
      </c>
      <c r="T64" s="0" t="str">
        <f aca="false">IF(OR($A64="",$D64=""),"",IF(AND(EDATE($D64,Milestones!$AA$152)&lt;=AsOfDate,EDATE($D64,Milestones!$AA$152)&gt;=SchemeStart,IF($X64=0,$AD64,IF(AND($Z64&lt;&gt;"",EDATE($D64,Milestones!$AA$152)&gt;=$Z64),$AC64,IF(AND($Y64&lt;&gt;"",EDATE($D64,Milestones!$AA$152)&gt;=$Y64),$AB64,$AA64)))=Milestones!$AB$152),UPPER(TEXT(EDATE($D64,Milestones!$AA$152),"dd mmm yy"))&amp;" "&amp;Milestones!$AB$152&amp;" "&amp;IF(AND(Milestones!$AB$152="FT",Milestones!$AA$152=FT_Y5,EDATE($D64,Milestones!$AA$152)&lt;PolicyEff),1,Milestones!$AC$152)&amp;";  ","")&amp;IF(AND(EDATE($D64,Milestones!$AA$153)&lt;=AsOfDate,EDATE($D64,Milestones!$AA$153)&gt;=SchemeStart,IF($X64=0,$AD64,IF(AND($Z64&lt;&gt;"",EDATE($D64,Milestones!$AA$153)&gt;=$Z64),$AC64,IF(AND($Y64&lt;&gt;"",EDATE($D64,Milestones!$AA$153)&gt;=$Y64),$AB64,$AA64)))=Milestones!$AB$153),UPPER(TEXT(EDATE($D64,Milestones!$AA$153),"dd mmm yy"))&amp;" "&amp;Milestones!$AB$153&amp;" "&amp;IF(AND(Milestones!$AB$153="FT",Milestones!$AA$153=FT_Y5,EDATE($D64,Milestones!$AA$153)&lt;PolicyEff),1,Milestones!$AC$153)&amp;";  ","")&amp;IF(AND(EDATE($D64,Milestones!$AA$154)&lt;=AsOfDate,EDATE($D64,Milestones!$AA$154)&gt;=SchemeStart,IF($X64=0,$AD64,IF(AND($Z64&lt;&gt;"",EDATE($D64,Milestones!$AA$154)&gt;=$Z64),$AC64,IF(AND($Y64&lt;&gt;"",EDATE($D64,Milestones!$AA$154)&gt;=$Y64),$AB64,$AA64)))=Milestones!$AB$154),UPPER(TEXT(EDATE($D64,Milestones!$AA$154),"dd mmm yy"))&amp;" "&amp;Milestones!$AB$154&amp;" "&amp;IF(AND(Milestones!$AB$154="FT",Milestones!$AA$154=FT_Y5,EDATE($D64,Milestones!$AA$154)&lt;PolicyEff),1,Milestones!$AC$154)&amp;";  ","")&amp;IF(AND(EDATE($D64,Milestones!$AA$155)&lt;=AsOfDate,EDATE($D64,Milestones!$AA$155)&gt;=SchemeStart,IF($X64=0,$AD64,IF(AND($Z64&lt;&gt;"",EDATE($D64,Milestones!$AA$155)&gt;=$Z64),$AC64,IF(AND($Y64&lt;&gt;"",EDATE($D64,Milestones!$AA$155)&gt;=$Y64),$AB64,$AA64)))=Milestones!$AB$155),UPPER(TEXT(EDATE($D64,Milestones!$AA$155),"dd mmm yy"))&amp;" "&amp;Milestones!$AB$155&amp;" "&amp;IF(AND(Milestones!$AB$155="FT",Milestones!$AA$155=FT_Y5,EDATE($D64,Milestones!$AA$155)&lt;PolicyEff),1,Milestones!$AC$155)&amp;";  ","")&amp;IF(AND(EDATE($D64,Milestones!$AA$156)&lt;=AsOfDate,EDATE($D64,Milestones!$AA$156)&gt;=SchemeStart,IF($X64=0,$AD64,IF(AND($Z64&lt;&gt;"",EDATE($D64,Milestones!$AA$156)&gt;=$Z64),$AC64,IF(AND($Y64&lt;&gt;"",EDATE($D64,Milestones!$AA$156)&gt;=$Y64),$AB64,$AA64)))=Milestones!$AB$156),UPPER(TEXT(EDATE($D64,Milestones!$AA$156),"dd mmm yy"))&amp;" "&amp;Milestones!$AB$156&amp;" "&amp;IF(AND(Milestones!$AB$156="FT",Milestones!$AA$156=FT_Y5,EDATE($D64,Milestones!$AA$156)&lt;PolicyEff),1,Milestones!$AC$156)&amp;";  ","")&amp;IF(AND(EDATE($D64,Milestones!$AA$157)&lt;=AsOfDate,EDATE($D64,Milestones!$AA$157)&gt;=SchemeStart,IF($X64=0,$AD64,IF(AND($Z64&lt;&gt;"",EDATE($D64,Milestones!$AA$157)&gt;=$Z64),$AC64,IF(AND($Y64&lt;&gt;"",EDATE($D64,Milestones!$AA$157)&gt;=$Y64),$AB64,$AA64)))=Milestones!$AB$157),UPPER(TEXT(EDATE($D64,Milestones!$AA$157),"dd mmm yy"))&amp;" "&amp;Milestones!$AB$157&amp;" "&amp;IF(AND(Milestones!$AB$157="FT",Milestones!$AA$157=FT_Y5,EDATE($D64,Milestones!$AA$157)&lt;PolicyEff),1,Milestones!$AC$157)&amp;";  ","")&amp;IF(AND(EDATE($D64,Milestones!$AA$158)&lt;=AsOfDate,EDATE($D64,Milestones!$AA$158)&gt;=SchemeStart,IF($X64=0,$AD64,IF(AND($Z64&lt;&gt;"",EDATE($D64,Milestones!$AA$158)&gt;=$Z64),$AC64,IF(AND($Y64&lt;&gt;"",EDATE($D64,Milestones!$AA$158)&gt;=$Y64),$AB64,$AA64)))=Milestones!$AB$158),UPPER(TEXT(EDATE($D64,Milestones!$AA$158),"dd mmm yy"))&amp;" "&amp;Milestones!$AB$158&amp;" "&amp;IF(AND(Milestones!$AB$158="FT",Milestones!$AA$158=FT_Y5,EDATE($D64,Milestones!$AA$158)&lt;PolicyEff),1,Milestones!$AC$158)&amp;";  ","")&amp;IF(AND(EDATE($D64,Milestones!$AA$159)&lt;=AsOfDate,EDATE($D64,Milestones!$AA$159)&gt;=SchemeStart,IF($X64=0,$AD64,IF(AND($Z64&lt;&gt;"",EDATE($D64,Milestones!$AA$159)&gt;=$Z64),$AC64,IF(AND($Y64&lt;&gt;"",EDATE($D64,Milestones!$AA$159)&gt;=$Y64),$AB64,$AA64)))=Milestones!$AB$159),UPPER(TEXT(EDATE($D64,Milestones!$AA$159),"dd mmm yy"))&amp;" "&amp;Milestones!$AB$159&amp;" "&amp;IF(AND(Milestones!$AB$159="FT",Milestones!$AA$159=FT_Y5,EDATE($D64,Milestones!$AA$159)&lt;PolicyEff),1,Milestones!$AC$159)&amp;";  ","")&amp;IF(AND(EDATE($D64,Milestones!$AA$160)&lt;=AsOfDate,EDATE($D64,Milestones!$AA$160)&gt;=SchemeStart,IF($X64=0,$AD64,IF(AND($Z64&lt;&gt;"",EDATE($D64,Milestones!$AA$160)&gt;=$Z64),$AC64,IF(AND($Y64&lt;&gt;"",EDATE($D64,Milestones!$AA$160)&gt;=$Y64),$AB64,$AA64)))=Milestones!$AB$160),UPPER(TEXT(EDATE($D64,Milestones!$AA$160),"dd mmm yy"))&amp;" "&amp;Milestones!$AB$160&amp;" "&amp;IF(AND(Milestones!$AB$160="FT",Milestones!$AA$160=FT_Y5,EDATE($D64,Milestones!$AA$160)&lt;PolicyEff),1,Milestones!$AC$160)&amp;";  ","")&amp;IF(AND(EDATE($D64,Milestones!$AA$161)&lt;=AsOfDate,EDATE($D64,Milestones!$AA$161)&gt;=SchemeStart,IF($X64=0,$AD64,IF(AND($Z64&lt;&gt;"",EDATE($D64,Milestones!$AA$161)&gt;=$Z64),$AC64,IF(AND($Y64&lt;&gt;"",EDATE($D64,Milestones!$AA$161)&gt;=$Y64),$AB64,$AA64)))=Milestones!$AB$161),UPPER(TEXT(EDATE($D64,Milestones!$AA$161),"dd mmm yy"))&amp;" "&amp;Milestones!$AB$161&amp;" "&amp;IF(AND(Milestones!$AB$161="FT",Milestones!$AA$161=FT_Y5,EDATE($D64,Milestones!$AA$161)&lt;PolicyEff),1,Milestones!$AC$161)&amp;";  ","")&amp;IF(AND(EDATE($D64,Milestones!$AA$162)&lt;=AsOfDate,EDATE($D64,Milestones!$AA$162)&gt;=SchemeStart,IF($X64=0,$AD64,IF(AND($Z64&lt;&gt;"",EDATE($D64,Milestones!$AA$162)&gt;=$Z64),$AC64,IF(AND($Y64&lt;&gt;"",EDATE($D64,Milestones!$AA$162)&gt;=$Y64),$AB64,$AA64)))=Milestones!$AB$162),UPPER(TEXT(EDATE($D64,Milestones!$AA$162),"dd mmm yy"))&amp;" "&amp;Milestones!$AB$162&amp;" "&amp;IF(AND(Milestones!$AB$162="FT",Milestones!$AA$162=FT_Y5,EDATE($D64,Milestones!$AA$162)&lt;PolicyEff),1,Milestones!$AC$162)&amp;";  ","")&amp;IF(AND(EDATE($D64,Milestones!$AA$163)&lt;=AsOfDate,EDATE($D64,Milestones!$AA$163)&gt;=SchemeStart,IF($X64=0,$AD64,IF(AND($Z64&lt;&gt;"",EDATE($D64,Milestones!$AA$163)&gt;=$Z64),$AC64,IF(AND($Y64&lt;&gt;"",EDATE($D64,Milestones!$AA$163)&gt;=$Y64),$AB64,$AA64)))=Milestones!$AB$163),UPPER(TEXT(EDATE($D64,Milestones!$AA$163),"dd mmm yy"))&amp;" "&amp;Milestones!$AB$163&amp;" "&amp;IF(AND(Milestones!$AB$163="FT",Milestones!$AA$163=FT_Y5,EDATE($D64,Milestones!$AA$163)&lt;PolicyEff),1,Milestones!$AC$163)&amp;";  ",""))</f>
        <v/>
      </c>
      <c r="U64" s="0" t="str">
        <f aca="false">IF(OR($A64="",$D64=""),"",IF(AND(EDATE($D64,Milestones!$AA$164)&lt;=AsOfDate,EDATE($D64,Milestones!$AA$164)&gt;=SchemeStart,IF($X64=0,$AD64,IF(AND($Z64&lt;&gt;"",EDATE($D64,Milestones!$AA$164)&gt;=$Z64),$AC64,IF(AND($Y64&lt;&gt;"",EDATE($D64,Milestones!$AA$164)&gt;=$Y64),$AB64,$AA64)))=Milestones!$AB$164),UPPER(TEXT(EDATE($D64,Milestones!$AA$164),"dd mmm yy"))&amp;" "&amp;Milestones!$AB$164&amp;" "&amp;IF(AND(Milestones!$AB$164="FT",Milestones!$AA$164=FT_Y5,EDATE($D64,Milestones!$AA$164)&lt;PolicyEff),1,Milestones!$AC$164)&amp;";  ","")&amp;IF(AND(EDATE($D64,Milestones!$AA$165)&lt;=AsOfDate,EDATE($D64,Milestones!$AA$165)&gt;=SchemeStart,IF($X64=0,$AD64,IF(AND($Z64&lt;&gt;"",EDATE($D64,Milestones!$AA$165)&gt;=$Z64),$AC64,IF(AND($Y64&lt;&gt;"",EDATE($D64,Milestones!$AA$165)&gt;=$Y64),$AB64,$AA64)))=Milestones!$AB$165),UPPER(TEXT(EDATE($D64,Milestones!$AA$165),"dd mmm yy"))&amp;" "&amp;Milestones!$AB$165&amp;" "&amp;IF(AND(Milestones!$AB$165="FT",Milestones!$AA$165=FT_Y5,EDATE($D64,Milestones!$AA$165)&lt;PolicyEff),1,Milestones!$AC$165)&amp;";  ","")&amp;IF(AND(EDATE($D64,Milestones!$AA$166)&lt;=AsOfDate,EDATE($D64,Milestones!$AA$166)&gt;=SchemeStart,IF($X64=0,$AD64,IF(AND($Z64&lt;&gt;"",EDATE($D64,Milestones!$AA$166)&gt;=$Z64),$AC64,IF(AND($Y64&lt;&gt;"",EDATE($D64,Milestones!$AA$166)&gt;=$Y64),$AB64,$AA64)))=Milestones!$AB$166),UPPER(TEXT(EDATE($D64,Milestones!$AA$166),"dd mmm yy"))&amp;" "&amp;Milestones!$AB$166&amp;" "&amp;IF(AND(Milestones!$AB$166="FT",Milestones!$AA$166=FT_Y5,EDATE($D64,Milestones!$AA$166)&lt;PolicyEff),1,Milestones!$AC$166)&amp;";  ","")&amp;IF(AND(EDATE($D64,Milestones!$AA$167)&lt;=AsOfDate,EDATE($D64,Milestones!$AA$167)&gt;=SchemeStart,IF($X64=0,$AD64,IF(AND($Z64&lt;&gt;"",EDATE($D64,Milestones!$AA$167)&gt;=$Z64),$AC64,IF(AND($Y64&lt;&gt;"",EDATE($D64,Milestones!$AA$167)&gt;=$Y64),$AB64,$AA64)))=Milestones!$AB$167),UPPER(TEXT(EDATE($D64,Milestones!$AA$167),"dd mmm yy"))&amp;" "&amp;Milestones!$AB$167&amp;" "&amp;IF(AND(Milestones!$AB$167="FT",Milestones!$AA$167=FT_Y5,EDATE($D64,Milestones!$AA$167)&lt;PolicyEff),1,Milestones!$AC$167)&amp;";  ","")&amp;IF(AND(EDATE($D64,Milestones!$AA$168)&lt;=AsOfDate,EDATE($D64,Milestones!$AA$168)&gt;=SchemeStart,IF($X64=0,$AD64,IF(AND($Z64&lt;&gt;"",EDATE($D64,Milestones!$AA$168)&gt;=$Z64),$AC64,IF(AND($Y64&lt;&gt;"",EDATE($D64,Milestones!$AA$168)&gt;=$Y64),$AB64,$AA64)))=Milestones!$AB$168),UPPER(TEXT(EDATE($D64,Milestones!$AA$168),"dd mmm yy"))&amp;" "&amp;Milestones!$AB$168&amp;" "&amp;IF(AND(Milestones!$AB$168="FT",Milestones!$AA$168=FT_Y5,EDATE($D64,Milestones!$AA$168)&lt;PolicyEff),1,Milestones!$AC$168)&amp;";  ","")&amp;IF(AND(EDATE($D64,Milestones!$AA$169)&lt;=AsOfDate,EDATE($D64,Milestones!$AA$169)&gt;=SchemeStart,IF($X64=0,$AD64,IF(AND($Z64&lt;&gt;"",EDATE($D64,Milestones!$AA$169)&gt;=$Z64),$AC64,IF(AND($Y64&lt;&gt;"",EDATE($D64,Milestones!$AA$169)&gt;=$Y64),$AB64,$AA64)))=Milestones!$AB$169),UPPER(TEXT(EDATE($D64,Milestones!$AA$169),"dd mmm yy"))&amp;" "&amp;Milestones!$AB$169&amp;" "&amp;IF(AND(Milestones!$AB$169="FT",Milestones!$AA$169=FT_Y5,EDATE($D64,Milestones!$AA$169)&lt;PolicyEff),1,Milestones!$AC$169)&amp;";  ","")&amp;IF(AND(EDATE($D64,Milestones!$AA$170)&lt;=AsOfDate,EDATE($D64,Milestones!$AA$170)&gt;=SchemeStart,IF($X64=0,$AD64,IF(AND($Z64&lt;&gt;"",EDATE($D64,Milestones!$AA$170)&gt;=$Z64),$AC64,IF(AND($Y64&lt;&gt;"",EDATE($D64,Milestones!$AA$170)&gt;=$Y64),$AB64,$AA64)))=Milestones!$AB$170),UPPER(TEXT(EDATE($D64,Milestones!$AA$170),"dd mmm yy"))&amp;" "&amp;Milestones!$AB$170&amp;" "&amp;IF(AND(Milestones!$AB$170="FT",Milestones!$AA$170=FT_Y5,EDATE($D64,Milestones!$AA$170)&lt;PolicyEff),1,Milestones!$AC$170)&amp;";  ","")&amp;IF(AND(EDATE($D64,Milestones!$AA$171)&lt;=AsOfDate,EDATE($D64,Milestones!$AA$171)&gt;=SchemeStart,IF($X64=0,$AD64,IF(AND($Z64&lt;&gt;"",EDATE($D64,Milestones!$AA$171)&gt;=$Z64),$AC64,IF(AND($Y64&lt;&gt;"",EDATE($D64,Milestones!$AA$171)&gt;=$Y64),$AB64,$AA64)))=Milestones!$AB$171),UPPER(TEXT(EDATE($D64,Milestones!$AA$171),"dd mmm yy"))&amp;" "&amp;Milestones!$AB$171&amp;" "&amp;IF(AND(Milestones!$AB$171="FT",Milestones!$AA$171=FT_Y5,EDATE($D64,Milestones!$AA$171)&lt;PolicyEff),1,Milestones!$AC$171)&amp;";  ","")&amp;IF(AND(EDATE($D64,Milestones!$AA$172)&lt;=AsOfDate,EDATE($D64,Milestones!$AA$172)&gt;=SchemeStart,IF($X64=0,$AD64,IF(AND($Z64&lt;&gt;"",EDATE($D64,Milestones!$AA$172)&gt;=$Z64),$AC64,IF(AND($Y64&lt;&gt;"",EDATE($D64,Milestones!$AA$172)&gt;=$Y64),$AB64,$AA64)))=Milestones!$AB$172),UPPER(TEXT(EDATE($D64,Milestones!$AA$172),"dd mmm yy"))&amp;" "&amp;Milestones!$AB$172&amp;" "&amp;IF(AND(Milestones!$AB$172="FT",Milestones!$AA$172=FT_Y5,EDATE($D64,Milestones!$AA$172)&lt;PolicyEff),1,Milestones!$AC$172)&amp;";  ","")&amp;IF(AND(EDATE($D64,Milestones!$AA$173)&lt;=AsOfDate,EDATE($D64,Milestones!$AA$173)&gt;=SchemeStart,IF($X64=0,$AD64,IF(AND($Z64&lt;&gt;"",EDATE($D64,Milestones!$AA$173)&gt;=$Z64),$AC64,IF(AND($Y64&lt;&gt;"",EDATE($D64,Milestones!$AA$173)&gt;=$Y64),$AB64,$AA64)))=Milestones!$AB$173),UPPER(TEXT(EDATE($D64,Milestones!$AA$173),"dd mmm yy"))&amp;" "&amp;Milestones!$AB$173&amp;" "&amp;IF(AND(Milestones!$AB$173="FT",Milestones!$AA$173=FT_Y5,EDATE($D64,Milestones!$AA$173)&lt;PolicyEff),1,Milestones!$AC$173)&amp;";  ","")&amp;IF(AND(EDATE($D64,Milestones!$AA$174)&lt;=AsOfDate,EDATE($D64,Milestones!$AA$174)&gt;=SchemeStart,IF($X64=0,$AD64,IF(AND($Z64&lt;&gt;"",EDATE($D64,Milestones!$AA$174)&gt;=$Z64),$AC64,IF(AND($Y64&lt;&gt;"",EDATE($D64,Milestones!$AA$174)&gt;=$Y64),$AB64,$AA64)))=Milestones!$AB$174),UPPER(TEXT(EDATE($D64,Milestones!$AA$174),"dd mmm yy"))&amp;" "&amp;Milestones!$AB$174&amp;" "&amp;IF(AND(Milestones!$AB$174="FT",Milestones!$AA$174=FT_Y5,EDATE($D64,Milestones!$AA$174)&lt;PolicyEff),1,Milestones!$AC$174)&amp;";  ","")&amp;IF(AND(EDATE($D64,Milestones!$AA$175)&lt;=AsOfDate,EDATE($D64,Milestones!$AA$175)&gt;=SchemeStart,IF($X64=0,$AD64,IF(AND($Z64&lt;&gt;"",EDATE($D64,Milestones!$AA$175)&gt;=$Z64),$AC64,IF(AND($Y64&lt;&gt;"",EDATE($D64,Milestones!$AA$175)&gt;=$Y64),$AB64,$AA64)))=Milestones!$AB$175),UPPER(TEXT(EDATE($D64,Milestones!$AA$175),"dd mmm yy"))&amp;" "&amp;Milestones!$AB$175&amp;" "&amp;IF(AND(Milestones!$AB$175="FT",Milestones!$AA$175=FT_Y5,EDATE($D64,Milestones!$AA$175)&lt;PolicyEff),1,Milestones!$AC$175)&amp;";  ",""))</f>
        <v/>
      </c>
      <c r="V64" s="0" t="str">
        <f aca="false">IF(OR($A64="",$D64=""),"",IF(AND(EDATE($D64,Milestones!$AA$176)&lt;=AsOfDate,EDATE($D64,Milestones!$AA$176)&gt;=SchemeStart,IF($X64=0,$AD64,IF(AND($Z64&lt;&gt;"",EDATE($D64,Milestones!$AA$176)&gt;=$Z64),$AC64,IF(AND($Y64&lt;&gt;"",EDATE($D64,Milestones!$AA$176)&gt;=$Y64),$AB64,$AA64)))=Milestones!$AB$176),UPPER(TEXT(EDATE($D64,Milestones!$AA$176),"dd mmm yy"))&amp;" "&amp;Milestones!$AB$176&amp;" "&amp;IF(AND(Milestones!$AB$176="FT",Milestones!$AA$176=FT_Y5,EDATE($D64,Milestones!$AA$176)&lt;PolicyEff),1,Milestones!$AC$176)&amp;";  ","")&amp;IF(AND(EDATE($D64,Milestones!$AA$177)&lt;=AsOfDate,EDATE($D64,Milestones!$AA$177)&gt;=SchemeStart,IF($X64=0,$AD64,IF(AND($Z64&lt;&gt;"",EDATE($D64,Milestones!$AA$177)&gt;=$Z64),$AC64,IF(AND($Y64&lt;&gt;"",EDATE($D64,Milestones!$AA$177)&gt;=$Y64),$AB64,$AA64)))=Milestones!$AB$177),UPPER(TEXT(EDATE($D64,Milestones!$AA$177),"dd mmm yy"))&amp;" "&amp;Milestones!$AB$177&amp;" "&amp;IF(AND(Milestones!$AB$177="FT",Milestones!$AA$177=FT_Y5,EDATE($D64,Milestones!$AA$177)&lt;PolicyEff),1,Milestones!$AC$177)&amp;";  ","")&amp;IF(AND(EDATE($D64,Milestones!$AA$178)&lt;=AsOfDate,EDATE($D64,Milestones!$AA$178)&gt;=SchemeStart,IF($X64=0,$AD64,IF(AND($Z64&lt;&gt;"",EDATE($D64,Milestones!$AA$178)&gt;=$Z64),$AC64,IF(AND($Y64&lt;&gt;"",EDATE($D64,Milestones!$AA$178)&gt;=$Y64),$AB64,$AA64)))=Milestones!$AB$178),UPPER(TEXT(EDATE($D64,Milestones!$AA$178),"dd mmm yy"))&amp;" "&amp;Milestones!$AB$178&amp;" "&amp;IF(AND(Milestones!$AB$178="FT",Milestones!$AA$178=FT_Y5,EDATE($D64,Milestones!$AA$178)&lt;PolicyEff),1,Milestones!$AC$178)&amp;";  ","")&amp;IF(AND(EDATE($D64,Milestones!$AA$179)&lt;=AsOfDate,EDATE($D64,Milestones!$AA$179)&gt;=SchemeStart,IF($X64=0,$AD64,IF(AND($Z64&lt;&gt;"",EDATE($D64,Milestones!$AA$179)&gt;=$Z64),$AC64,IF(AND($Y64&lt;&gt;"",EDATE($D64,Milestones!$AA$179)&gt;=$Y64),$AB64,$AA64)))=Milestones!$AB$179),UPPER(TEXT(EDATE($D64,Milestones!$AA$179),"dd mmm yy"))&amp;" "&amp;Milestones!$AB$179&amp;" "&amp;IF(AND(Milestones!$AB$179="FT",Milestones!$AA$179=FT_Y5,EDATE($D64,Milestones!$AA$179)&lt;PolicyEff),1,Milestones!$AC$179)&amp;";  ","")&amp;IF(AND(EDATE($D64,Milestones!$AA$180)&lt;=AsOfDate,EDATE($D64,Milestones!$AA$180)&gt;=SchemeStart,IF($X64=0,$AD64,IF(AND($Z64&lt;&gt;"",EDATE($D64,Milestones!$AA$180)&gt;=$Z64),$AC64,IF(AND($Y64&lt;&gt;"",EDATE($D64,Milestones!$AA$180)&gt;=$Y64),$AB64,$AA64)))=Milestones!$AB$180),UPPER(TEXT(EDATE($D64,Milestones!$AA$180),"dd mmm yy"))&amp;" "&amp;Milestones!$AB$180&amp;" "&amp;IF(AND(Milestones!$AB$180="FT",Milestones!$AA$180=FT_Y5,EDATE($D64,Milestones!$AA$180)&lt;PolicyEff),1,Milestones!$AC$180)&amp;";  ","")&amp;IF(AND(EDATE($D64,Milestones!$AA$181)&lt;=AsOfDate,EDATE($D64,Milestones!$AA$181)&gt;=SchemeStart,IF($X64=0,$AD64,IF(AND($Z64&lt;&gt;"",EDATE($D64,Milestones!$AA$181)&gt;=$Z64),$AC64,IF(AND($Y64&lt;&gt;"",EDATE($D64,Milestones!$AA$181)&gt;=$Y64),$AB64,$AA64)))=Milestones!$AB$181),UPPER(TEXT(EDATE($D64,Milestones!$AA$181),"dd mmm yy"))&amp;" "&amp;Milestones!$AB$181&amp;" "&amp;IF(AND(Milestones!$AB$181="FT",Milestones!$AA$181=FT_Y5,EDATE($D64,Milestones!$AA$181)&lt;PolicyEff),1,Milestones!$AC$181)&amp;";  ","")&amp;IF(AND(EDATE($D64,Milestones!$AA$182)&lt;=AsOfDate,EDATE($D64,Milestones!$AA$182)&gt;=SchemeStart,IF($X64=0,$AD64,IF(AND($Z64&lt;&gt;"",EDATE($D64,Milestones!$AA$182)&gt;=$Z64),$AC64,IF(AND($Y64&lt;&gt;"",EDATE($D64,Milestones!$AA$182)&gt;=$Y64),$AB64,$AA64)))=Milestones!$AB$182),UPPER(TEXT(EDATE($D64,Milestones!$AA$182),"dd mmm yy"))&amp;" "&amp;Milestones!$AB$182&amp;" "&amp;IF(AND(Milestones!$AB$182="FT",Milestones!$AA$182=FT_Y5,EDATE($D64,Milestones!$AA$182)&lt;PolicyEff),1,Milestones!$AC$182)&amp;";  ","")&amp;IF(AND(EDATE($D64,Milestones!$AA$183)&lt;=AsOfDate,EDATE($D64,Milestones!$AA$183)&gt;=SchemeStart,IF($X64=0,$AD64,IF(AND($Z64&lt;&gt;"",EDATE($D64,Milestones!$AA$183)&gt;=$Z64),$AC64,IF(AND($Y64&lt;&gt;"",EDATE($D64,Milestones!$AA$183)&gt;=$Y64),$AB64,$AA64)))=Milestones!$AB$183),UPPER(TEXT(EDATE($D64,Milestones!$AA$183),"dd mmm yy"))&amp;" "&amp;Milestones!$AB$183&amp;" "&amp;IF(AND(Milestones!$AB$183="FT",Milestones!$AA$183=FT_Y5,EDATE($D64,Milestones!$AA$183)&lt;PolicyEff),1,Milestones!$AC$183)&amp;";  ","")&amp;IF(AND(EDATE($D64,Milestones!$AA$184)&lt;=AsOfDate,EDATE($D64,Milestones!$AA$184)&gt;=SchemeStart,IF($X64=0,$AD64,IF(AND($Z64&lt;&gt;"",EDATE($D64,Milestones!$AA$184)&gt;=$Z64),$AC64,IF(AND($Y64&lt;&gt;"",EDATE($D64,Milestones!$AA$184)&gt;=$Y64),$AB64,$AA64)))=Milestones!$AB$184),UPPER(TEXT(EDATE($D64,Milestones!$AA$184),"dd mmm yy"))&amp;" "&amp;Milestones!$AB$184&amp;" "&amp;IF(AND(Milestones!$AB$184="FT",Milestones!$AA$184=FT_Y5,EDATE($D64,Milestones!$AA$184)&lt;PolicyEff),1,Milestones!$AC$184)&amp;";  ","")&amp;IF(AND(EDATE($D64,Milestones!$AA$185)&lt;=AsOfDate,EDATE($D64,Milestones!$AA$185)&gt;=SchemeStart,IF($X64=0,$AD64,IF(AND($Z64&lt;&gt;"",EDATE($D64,Milestones!$AA$185)&gt;=$Z64),$AC64,IF(AND($Y64&lt;&gt;"",EDATE($D64,Milestones!$AA$185)&gt;=$Y64),$AB64,$AA64)))=Milestones!$AB$185),UPPER(TEXT(EDATE($D64,Milestones!$AA$185),"dd mmm yy"))&amp;" "&amp;Milestones!$AB$185&amp;" "&amp;IF(AND(Milestones!$AB$185="FT",Milestones!$AA$185=FT_Y5,EDATE($D64,Milestones!$AA$185)&lt;PolicyEff),1,Milestones!$AC$185)&amp;";  ","")&amp;IF(AND(EDATE($D64,Milestones!$AA$186)&lt;=AsOfDate,EDATE($D64,Milestones!$AA$186)&gt;=SchemeStart,IF($X64=0,$AD64,IF(AND($Z64&lt;&gt;"",EDATE($D64,Milestones!$AA$186)&gt;=$Z64),$AC64,IF(AND($Y64&lt;&gt;"",EDATE($D64,Milestones!$AA$186)&gt;=$Y64),$AB64,$AA64)))=Milestones!$AB$186),UPPER(TEXT(EDATE($D64,Milestones!$AA$186),"dd mmm yy"))&amp;" "&amp;Milestones!$AB$186&amp;" "&amp;IF(AND(Milestones!$AB$186="FT",Milestones!$AA$186=FT_Y5,EDATE($D64,Milestones!$AA$186)&lt;PolicyEff),1,Milestones!$AC$186)&amp;";  ","")&amp;IF(AND(EDATE($D64,Milestones!$AA$187)&lt;=AsOfDate,EDATE($D64,Milestones!$AA$187)&gt;=SchemeStart,IF($X64=0,$AD64,IF(AND($Z64&lt;&gt;"",EDATE($D64,Milestones!$AA$187)&gt;=$Z64),$AC64,IF(AND($Y64&lt;&gt;"",EDATE($D64,Milestones!$AA$187)&gt;=$Y64),$AB64,$AA64)))=Milestones!$AB$187),UPPER(TEXT(EDATE($D64,Milestones!$AA$187),"dd mmm yy"))&amp;" "&amp;Milestones!$AB$187&amp;" "&amp;IF(AND(Milestones!$AB$187="FT",Milestones!$AA$187=FT_Y5,EDATE($D64,Milestones!$AA$187)&lt;PolicyEff),1,Milestones!$AC$187)&amp;";  ",""))</f>
        <v/>
      </c>
      <c r="W64" s="0" t="str">
        <f aca="false">IF(OR($A64="",$D64=""),"",IF(AND(EDATE($D64,Milestones!$AA$188)&lt;=AsOfDate,EDATE($D64,Milestones!$AA$188)&gt;=SchemeStart,IF($X64=0,$AD64,IF(AND($Z64&lt;&gt;"",EDATE($D64,Milestones!$AA$188)&gt;=$Z64),$AC64,IF(AND($Y64&lt;&gt;"",EDATE($D64,Milestones!$AA$188)&gt;=$Y64),$AB64,$AA64)))=Milestones!$AB$188),UPPER(TEXT(EDATE($D64,Milestones!$AA$188),"dd mmm yy"))&amp;" "&amp;Milestones!$AB$188&amp;" "&amp;IF(AND(Milestones!$AB$188="FT",Milestones!$AA$188=FT_Y5,EDATE($D64,Milestones!$AA$188)&lt;PolicyEff),1,Milestones!$AC$188)&amp;";  ","")&amp;IF(AND(EDATE($D64,Milestones!$AA$189)&lt;=AsOfDate,EDATE($D64,Milestones!$AA$189)&gt;=SchemeStart,IF($X64=0,$AD64,IF(AND($Z64&lt;&gt;"",EDATE($D64,Milestones!$AA$189)&gt;=$Z64),$AC64,IF(AND($Y64&lt;&gt;"",EDATE($D64,Milestones!$AA$189)&gt;=$Y64),$AB64,$AA64)))=Milestones!$AB$189),UPPER(TEXT(EDATE($D64,Milestones!$AA$189),"dd mmm yy"))&amp;" "&amp;Milestones!$AB$189&amp;" "&amp;IF(AND(Milestones!$AB$189="FT",Milestones!$AA$189=FT_Y5,EDATE($D64,Milestones!$AA$189)&lt;PolicyEff),1,Milestones!$AC$189)&amp;";  ","")&amp;IF(AND(EDATE($D64,Milestones!$AA$190)&lt;=AsOfDate,EDATE($D64,Milestones!$AA$190)&gt;=SchemeStart,IF($X64=0,$AD64,IF(AND($Z64&lt;&gt;"",EDATE($D64,Milestones!$AA$190)&gt;=$Z64),$AC64,IF(AND($Y64&lt;&gt;"",EDATE($D64,Milestones!$AA$190)&gt;=$Y64),$AB64,$AA64)))=Milestones!$AB$190),UPPER(TEXT(EDATE($D64,Milestones!$AA$190),"dd mmm yy"))&amp;" "&amp;Milestones!$AB$190&amp;" "&amp;IF(AND(Milestones!$AB$190="FT",Milestones!$AA$190=FT_Y5,EDATE($D64,Milestones!$AA$190)&lt;PolicyEff),1,Milestones!$AC$190)&amp;";  ","")&amp;IF(AND(EDATE($D64,Milestones!$AA$191)&lt;=AsOfDate,EDATE($D64,Milestones!$AA$191)&gt;=SchemeStart,IF($X64=0,$AD64,IF(AND($Z64&lt;&gt;"",EDATE($D64,Milestones!$AA$191)&gt;=$Z64),$AC64,IF(AND($Y64&lt;&gt;"",EDATE($D64,Milestones!$AA$191)&gt;=$Y64),$AB64,$AA64)))=Milestones!$AB$191),UPPER(TEXT(EDATE($D64,Milestones!$AA$191),"dd mmm yy"))&amp;" "&amp;Milestones!$AB$191&amp;" "&amp;IF(AND(Milestones!$AB$191="FT",Milestones!$AA$191=FT_Y5,EDATE($D64,Milestones!$AA$191)&lt;PolicyEff),1,Milestones!$AC$191)&amp;";  ","")&amp;IF(AND(EDATE($D64,Milestones!$AA$192)&lt;=AsOfDate,EDATE($D64,Milestones!$AA$192)&gt;=SchemeStart,IF($X64=0,$AD64,IF(AND($Z64&lt;&gt;"",EDATE($D64,Milestones!$AA$192)&gt;=$Z64),$AC64,IF(AND($Y64&lt;&gt;"",EDATE($D64,Milestones!$AA$192)&gt;=$Y64),$AB64,$AA64)))=Milestones!$AB$192),UPPER(TEXT(EDATE($D64,Milestones!$AA$192),"dd mmm yy"))&amp;" "&amp;Milestones!$AB$192&amp;" "&amp;IF(AND(Milestones!$AB$192="FT",Milestones!$AA$192=FT_Y5,EDATE($D64,Milestones!$AA$192)&lt;PolicyEff),1,Milestones!$AC$192)&amp;";  ","")&amp;IF(AND(EDATE($D64,Milestones!$AA$193)&lt;=AsOfDate,EDATE($D64,Milestones!$AA$193)&gt;=SchemeStart,IF($X64=0,$AD64,IF(AND($Z64&lt;&gt;"",EDATE($D64,Milestones!$AA$193)&gt;=$Z64),$AC64,IF(AND($Y64&lt;&gt;"",EDATE($D64,Milestones!$AA$193)&gt;=$Y64),$AB64,$AA64)))=Milestones!$AB$193),UPPER(TEXT(EDATE($D64,Milestones!$AA$193),"dd mmm yy"))&amp;" "&amp;Milestones!$AB$193&amp;" "&amp;IF(AND(Milestones!$AB$193="FT",Milestones!$AA$193=FT_Y5,EDATE($D64,Milestones!$AA$193)&lt;PolicyEff),1,Milestones!$AC$193)&amp;";  ","")&amp;IF(AND(EDATE($D64,Milestones!$AA$194)&lt;=AsOfDate,EDATE($D64,Milestones!$AA$194)&gt;=SchemeStart,IF($X64=0,$AD64,IF(AND($Z64&lt;&gt;"",EDATE($D64,Milestones!$AA$194)&gt;=$Z64),$AC64,IF(AND($Y64&lt;&gt;"",EDATE($D64,Milestones!$AA$194)&gt;=$Y64),$AB64,$AA64)))=Milestones!$AB$194),UPPER(TEXT(EDATE($D64,Milestones!$AA$194),"dd mmm yy"))&amp;" "&amp;Milestones!$AB$194&amp;" "&amp;IF(AND(Milestones!$AB$194="FT",Milestones!$AA$194=FT_Y5,EDATE($D64,Milestones!$AA$194)&lt;PolicyEff),1,Milestones!$AC$194)&amp;";  ","")&amp;IF(AND(EDATE($D64,Milestones!$AA$195)&lt;=AsOfDate,EDATE($D64,Milestones!$AA$195)&gt;=SchemeStart,IF($X64=0,$AD64,IF(AND($Z64&lt;&gt;"",EDATE($D64,Milestones!$AA$195)&gt;=$Z64),$AC64,IF(AND($Y64&lt;&gt;"",EDATE($D64,Milestones!$AA$195)&gt;=$Y64),$AB64,$AA64)))=Milestones!$AB$195),UPPER(TEXT(EDATE($D64,Milestones!$AA$195),"dd mmm yy"))&amp;" "&amp;Milestones!$AB$195&amp;" "&amp;IF(AND(Milestones!$AB$195="FT",Milestones!$AA$195=FT_Y5,EDATE($D64,Milestones!$AA$195)&lt;PolicyEff),1,Milestones!$AC$195)&amp;";  ","")&amp;IF(AND(EDATE($D64,Milestones!$AA$196)&lt;=AsOfDate,EDATE($D64,Milestones!$AA$196)&gt;=SchemeStart,IF($X64=0,$AD64,IF(AND($Z64&lt;&gt;"",EDATE($D64,Milestones!$AA$196)&gt;=$Z64),$AC64,IF(AND($Y64&lt;&gt;"",EDATE($D64,Milestones!$AA$196)&gt;=$Y64),$AB64,$AA64)))=Milestones!$AB$196),UPPER(TEXT(EDATE($D64,Milestones!$AA$196),"dd mmm yy"))&amp;" "&amp;Milestones!$AB$196&amp;" "&amp;IF(AND(Milestones!$AB$196="FT",Milestones!$AA$196=FT_Y5,EDATE($D64,Milestones!$AA$196)&lt;PolicyEff),1,Milestones!$AC$196)&amp;";  ","")&amp;IF(AND(EDATE($D64,Milestones!$AA$197)&lt;=AsOfDate,EDATE($D64,Milestones!$AA$197)&gt;=SchemeStart,IF($X64=0,$AD64,IF(AND($Z64&lt;&gt;"",EDATE($D64,Milestones!$AA$197)&gt;=$Z64),$AC64,IF(AND($Y64&lt;&gt;"",EDATE($D64,Milestones!$AA$197)&gt;=$Y64),$AB64,$AA64)))=Milestones!$AB$197),UPPER(TEXT(EDATE($D64,Milestones!$AA$197),"dd mmm yy"))&amp;" "&amp;Milestones!$AB$197&amp;" "&amp;IF(AND(Milestones!$AB$197="FT",Milestones!$AA$197=FT_Y5,EDATE($D64,Milestones!$AA$197)&lt;PolicyEff),1,Milestones!$AC$197)&amp;";  ","")&amp;IF(AND(EDATE($D64,Milestones!$AA$198)&lt;=AsOfDate,EDATE($D64,Milestones!$AA$198)&gt;=SchemeStart,IF($X64=0,$AD64,IF(AND($Z64&lt;&gt;"",EDATE($D64,Milestones!$AA$198)&gt;=$Z64),$AC64,IF(AND($Y64&lt;&gt;"",EDATE($D64,Milestones!$AA$198)&gt;=$Y64),$AB64,$AA64)))=Milestones!$AB$198),UPPER(TEXT(EDATE($D64,Milestones!$AA$198),"dd mmm yy"))&amp;" "&amp;Milestones!$AB$198&amp;" "&amp;IF(AND(Milestones!$AB$198="FT",Milestones!$AA$198=FT_Y5,EDATE($D64,Milestones!$AA$198)&lt;PolicyEff),1,Milestones!$AC$198)&amp;";  ","")&amp;IF(AND(EDATE($D64,Milestones!$AA$199)&lt;=AsOfDate,EDATE($D64,Milestones!$AA$199)&gt;=SchemeStart,IF($X64=0,$AD64,IF(AND($Z64&lt;&gt;"",EDATE($D64,Milestones!$AA$199)&gt;=$Z64),$AC64,IF(AND($Y64&lt;&gt;"",EDATE($D64,Milestones!$AA$199)&gt;=$Y64),$AB64,$AA64)))=Milestones!$AB$199),UPPER(TEXT(EDATE($D64,Milestones!$AA$199),"dd mmm yy"))&amp;" "&amp;Milestones!$AB$199&amp;" "&amp;IF(AND(Milestones!$AB$199="FT",Milestones!$AA$199=FT_Y5,EDATE($D64,Milestones!$AA$199)&lt;PolicyEff),1,Milestones!$AC$199)&amp;";  ",""))</f>
        <v/>
      </c>
      <c r="X64" s="0" t="str">
        <f aca="false">IF(Staff!$A64="","",Staff!$AM64)</f>
        <v/>
      </c>
      <c r="Y64" s="0" t="str">
        <f aca="false">IF(Staff!$A64="","",Staff!$AO64)</f>
        <v/>
      </c>
      <c r="Z64" s="0" t="str">
        <f aca="false">IF(Staff!$A64="","",Staff!$AP64)</f>
        <v/>
      </c>
      <c r="AA64" s="0" t="str">
        <f aca="false">IF(Staff!$A64="","",Staff!$AT64)</f>
        <v/>
      </c>
      <c r="AB64" s="0" t="str">
        <f aca="false">IF(Staff!$A64="","",Staff!$AU64)</f>
        <v/>
      </c>
      <c r="AC64" s="0" t="str">
        <f aca="false">IF(Staff!$A64="","",Staff!$AV64)</f>
        <v/>
      </c>
      <c r="AD64" s="0" t="str">
        <f aca="false">IF(Staff!$A64="","",Staff!$AW64)</f>
        <v/>
      </c>
    </row>
    <row r="65" customFormat="false" ht="15" hidden="false" customHeight="false" outlineLevel="0" collapsed="false">
      <c r="A65" s="16" t="str">
        <f aca="false">IF(Staff!$A65="","",Staff!$A65)</f>
        <v/>
      </c>
      <c r="B65" s="16" t="str">
        <f aca="false">IF(Staff!$A65="","",Staff!$B65)</f>
        <v/>
      </c>
      <c r="C65" s="16" t="str">
        <f aca="false">IF(Staff!$A65="","",Staff!$C65)</f>
        <v/>
      </c>
      <c r="D65" s="14" t="str">
        <f aca="false">IF(Staff!$A65="","",Staff!$AL65)</f>
        <v/>
      </c>
      <c r="E65" s="16" t="str">
        <f aca="false">IF(Staff!$A65="","",Staff!$O65)</f>
        <v/>
      </c>
      <c r="F65" s="16" t="str">
        <f aca="false">IF(E65="","",E65*HoursPerDay)</f>
        <v/>
      </c>
      <c r="G65" s="16" t="str">
        <f aca="false">IF(Staff!$A65="","",Staff!$AE65)</f>
        <v/>
      </c>
      <c r="H65" s="28" t="str">
        <f aca="false">IF($A65="","",I65&amp;J65&amp;K65&amp;L65&amp;M65&amp;N65&amp;O65&amp;P65&amp;Q65&amp;R65&amp;S65&amp;T65&amp;U65&amp;V65&amp;W65)</f>
        <v/>
      </c>
      <c r="I65" s="0" t="str">
        <f aca="false">IF(OR($A65="",$D65=""),"",IF(AND(EDATE($D65,Milestones!$AA$20)&lt;=AsOfDate,EDATE($D65,Milestones!$AA$20)&gt;=SchemeStart,IF($X65=0,$AD65,IF(AND($Z65&lt;&gt;"",EDATE($D65,Milestones!$AA$20)&gt;=$Z65),$AC65,IF(AND($Y65&lt;&gt;"",EDATE($D65,Milestones!$AA$20)&gt;=$Y65),$AB65,$AA65)))=Milestones!$AB$20),UPPER(TEXT(EDATE($D65,Milestones!$AA$20),"dd mmm yy"))&amp;" "&amp;Milestones!$AB$20&amp;" "&amp;IF(AND(Milestones!$AB$20="FT",Milestones!$AA$20=FT_Y5,EDATE($D65,Milestones!$AA$20)&lt;PolicyEff),1,Milestones!$AC$20)&amp;";  ","")&amp;IF(AND(EDATE($D65,Milestones!$AA$21)&lt;=AsOfDate,EDATE($D65,Milestones!$AA$21)&gt;=SchemeStart,IF($X65=0,$AD65,IF(AND($Z65&lt;&gt;"",EDATE($D65,Milestones!$AA$21)&gt;=$Z65),$AC65,IF(AND($Y65&lt;&gt;"",EDATE($D65,Milestones!$AA$21)&gt;=$Y65),$AB65,$AA65)))=Milestones!$AB$21),UPPER(TEXT(EDATE($D65,Milestones!$AA$21),"dd mmm yy"))&amp;" "&amp;Milestones!$AB$21&amp;" "&amp;IF(AND(Milestones!$AB$21="FT",Milestones!$AA$21=FT_Y5,EDATE($D65,Milestones!$AA$21)&lt;PolicyEff),1,Milestones!$AC$21)&amp;";  ","")&amp;IF(AND(EDATE($D65,Milestones!$AA$22)&lt;=AsOfDate,EDATE($D65,Milestones!$AA$22)&gt;=SchemeStart,IF($X65=0,$AD65,IF(AND($Z65&lt;&gt;"",EDATE($D65,Milestones!$AA$22)&gt;=$Z65),$AC65,IF(AND($Y65&lt;&gt;"",EDATE($D65,Milestones!$AA$22)&gt;=$Y65),$AB65,$AA65)))=Milestones!$AB$22),UPPER(TEXT(EDATE($D65,Milestones!$AA$22),"dd mmm yy"))&amp;" "&amp;Milestones!$AB$22&amp;" "&amp;IF(AND(Milestones!$AB$22="FT",Milestones!$AA$22=FT_Y5,EDATE($D65,Milestones!$AA$22)&lt;PolicyEff),1,Milestones!$AC$22)&amp;";  ","")&amp;IF(AND(EDATE($D65,Milestones!$AA$23)&lt;=AsOfDate,EDATE($D65,Milestones!$AA$23)&gt;=SchemeStart,IF($X65=0,$AD65,IF(AND($Z65&lt;&gt;"",EDATE($D65,Milestones!$AA$23)&gt;=$Z65),$AC65,IF(AND($Y65&lt;&gt;"",EDATE($D65,Milestones!$AA$23)&gt;=$Y65),$AB65,$AA65)))=Milestones!$AB$23),UPPER(TEXT(EDATE($D65,Milestones!$AA$23),"dd mmm yy"))&amp;" "&amp;Milestones!$AB$23&amp;" "&amp;IF(AND(Milestones!$AB$23="FT",Milestones!$AA$23=FT_Y5,EDATE($D65,Milestones!$AA$23)&lt;PolicyEff),1,Milestones!$AC$23)&amp;";  ","")&amp;IF(AND(EDATE($D65,Milestones!$AA$24)&lt;=AsOfDate,EDATE($D65,Milestones!$AA$24)&gt;=SchemeStart,IF($X65=0,$AD65,IF(AND($Z65&lt;&gt;"",EDATE($D65,Milestones!$AA$24)&gt;=$Z65),$AC65,IF(AND($Y65&lt;&gt;"",EDATE($D65,Milestones!$AA$24)&gt;=$Y65),$AB65,$AA65)))=Milestones!$AB$24),UPPER(TEXT(EDATE($D65,Milestones!$AA$24),"dd mmm yy"))&amp;" "&amp;Milestones!$AB$24&amp;" "&amp;IF(AND(Milestones!$AB$24="FT",Milestones!$AA$24=FT_Y5,EDATE($D65,Milestones!$AA$24)&lt;PolicyEff),1,Milestones!$AC$24)&amp;";  ","")&amp;IF(AND(EDATE($D65,Milestones!$AA$25)&lt;=AsOfDate,EDATE($D65,Milestones!$AA$25)&gt;=SchemeStart,IF($X65=0,$AD65,IF(AND($Z65&lt;&gt;"",EDATE($D65,Milestones!$AA$25)&gt;=$Z65),$AC65,IF(AND($Y65&lt;&gt;"",EDATE($D65,Milestones!$AA$25)&gt;=$Y65),$AB65,$AA65)))=Milestones!$AB$25),UPPER(TEXT(EDATE($D65,Milestones!$AA$25),"dd mmm yy"))&amp;" "&amp;Milestones!$AB$25&amp;" "&amp;IF(AND(Milestones!$AB$25="FT",Milestones!$AA$25=FT_Y5,EDATE($D65,Milestones!$AA$25)&lt;PolicyEff),1,Milestones!$AC$25)&amp;";  ","")&amp;IF(AND(EDATE($D65,Milestones!$AA$26)&lt;=AsOfDate,EDATE($D65,Milestones!$AA$26)&gt;=SchemeStart,IF($X65=0,$AD65,IF(AND($Z65&lt;&gt;"",EDATE($D65,Milestones!$AA$26)&gt;=$Z65),$AC65,IF(AND($Y65&lt;&gt;"",EDATE($D65,Milestones!$AA$26)&gt;=$Y65),$AB65,$AA65)))=Milestones!$AB$26),UPPER(TEXT(EDATE($D65,Milestones!$AA$26),"dd mmm yy"))&amp;" "&amp;Milestones!$AB$26&amp;" "&amp;IF(AND(Milestones!$AB$26="FT",Milestones!$AA$26=FT_Y5,EDATE($D65,Milestones!$AA$26)&lt;PolicyEff),1,Milestones!$AC$26)&amp;";  ","")&amp;IF(AND(EDATE($D65,Milestones!$AA$27)&lt;=AsOfDate,EDATE($D65,Milestones!$AA$27)&gt;=SchemeStart,IF($X65=0,$AD65,IF(AND($Z65&lt;&gt;"",EDATE($D65,Milestones!$AA$27)&gt;=$Z65),$AC65,IF(AND($Y65&lt;&gt;"",EDATE($D65,Milestones!$AA$27)&gt;=$Y65),$AB65,$AA65)))=Milestones!$AB$27),UPPER(TEXT(EDATE($D65,Milestones!$AA$27),"dd mmm yy"))&amp;" "&amp;Milestones!$AB$27&amp;" "&amp;IF(AND(Milestones!$AB$27="FT",Milestones!$AA$27=FT_Y5,EDATE($D65,Milestones!$AA$27)&lt;PolicyEff),1,Milestones!$AC$27)&amp;";  ","")&amp;IF(AND(EDATE($D65,Milestones!$AA$28)&lt;=AsOfDate,EDATE($D65,Milestones!$AA$28)&gt;=SchemeStart,IF($X65=0,$AD65,IF(AND($Z65&lt;&gt;"",EDATE($D65,Milestones!$AA$28)&gt;=$Z65),$AC65,IF(AND($Y65&lt;&gt;"",EDATE($D65,Milestones!$AA$28)&gt;=$Y65),$AB65,$AA65)))=Milestones!$AB$28),UPPER(TEXT(EDATE($D65,Milestones!$AA$28),"dd mmm yy"))&amp;" "&amp;Milestones!$AB$28&amp;" "&amp;IF(AND(Milestones!$AB$28="FT",Milestones!$AA$28=FT_Y5,EDATE($D65,Milestones!$AA$28)&lt;PolicyEff),1,Milestones!$AC$28)&amp;";  ","")&amp;IF(AND(EDATE($D65,Milestones!$AA$29)&lt;=AsOfDate,EDATE($D65,Milestones!$AA$29)&gt;=SchemeStart,IF($X65=0,$AD65,IF(AND($Z65&lt;&gt;"",EDATE($D65,Milestones!$AA$29)&gt;=$Z65),$AC65,IF(AND($Y65&lt;&gt;"",EDATE($D65,Milestones!$AA$29)&gt;=$Y65),$AB65,$AA65)))=Milestones!$AB$29),UPPER(TEXT(EDATE($D65,Milestones!$AA$29),"dd mmm yy"))&amp;" "&amp;Milestones!$AB$29&amp;" "&amp;IF(AND(Milestones!$AB$29="FT",Milestones!$AA$29=FT_Y5,EDATE($D65,Milestones!$AA$29)&lt;PolicyEff),1,Milestones!$AC$29)&amp;";  ","")&amp;IF(AND(EDATE($D65,Milestones!$AA$30)&lt;=AsOfDate,EDATE($D65,Milestones!$AA$30)&gt;=SchemeStart,IF($X65=0,$AD65,IF(AND($Z65&lt;&gt;"",EDATE($D65,Milestones!$AA$30)&gt;=$Z65),$AC65,IF(AND($Y65&lt;&gt;"",EDATE($D65,Milestones!$AA$30)&gt;=$Y65),$AB65,$AA65)))=Milestones!$AB$30),UPPER(TEXT(EDATE($D65,Milestones!$AA$30),"dd mmm yy"))&amp;" "&amp;Milestones!$AB$30&amp;" "&amp;IF(AND(Milestones!$AB$30="FT",Milestones!$AA$30=FT_Y5,EDATE($D65,Milestones!$AA$30)&lt;PolicyEff),1,Milestones!$AC$30)&amp;";  ","")&amp;IF(AND(EDATE($D65,Milestones!$AA$31)&lt;=AsOfDate,EDATE($D65,Milestones!$AA$31)&gt;=SchemeStart,IF($X65=0,$AD65,IF(AND($Z65&lt;&gt;"",EDATE($D65,Milestones!$AA$31)&gt;=$Z65),$AC65,IF(AND($Y65&lt;&gt;"",EDATE($D65,Milestones!$AA$31)&gt;=$Y65),$AB65,$AA65)))=Milestones!$AB$31),UPPER(TEXT(EDATE($D65,Milestones!$AA$31),"dd mmm yy"))&amp;" "&amp;Milestones!$AB$31&amp;" "&amp;IF(AND(Milestones!$AB$31="FT",Milestones!$AA$31=FT_Y5,EDATE($D65,Milestones!$AA$31)&lt;PolicyEff),1,Milestones!$AC$31)&amp;";  ",""))</f>
        <v/>
      </c>
      <c r="J65" s="0" t="str">
        <f aca="false">IF(OR($A65="",$D65=""),"",IF(AND(EDATE($D65,Milestones!$AA$32)&lt;=AsOfDate,EDATE($D65,Milestones!$AA$32)&gt;=SchemeStart,IF($X65=0,$AD65,IF(AND($Z65&lt;&gt;"",EDATE($D65,Milestones!$AA$32)&gt;=$Z65),$AC65,IF(AND($Y65&lt;&gt;"",EDATE($D65,Milestones!$AA$32)&gt;=$Y65),$AB65,$AA65)))=Milestones!$AB$32),UPPER(TEXT(EDATE($D65,Milestones!$AA$32),"dd mmm yy"))&amp;" "&amp;Milestones!$AB$32&amp;" "&amp;IF(AND(Milestones!$AB$32="FT",Milestones!$AA$32=FT_Y5,EDATE($D65,Milestones!$AA$32)&lt;PolicyEff),1,Milestones!$AC$32)&amp;";  ","")&amp;IF(AND(EDATE($D65,Milestones!$AA$33)&lt;=AsOfDate,EDATE($D65,Milestones!$AA$33)&gt;=SchemeStart,IF($X65=0,$AD65,IF(AND($Z65&lt;&gt;"",EDATE($D65,Milestones!$AA$33)&gt;=$Z65),$AC65,IF(AND($Y65&lt;&gt;"",EDATE($D65,Milestones!$AA$33)&gt;=$Y65),$AB65,$AA65)))=Milestones!$AB$33),UPPER(TEXT(EDATE($D65,Milestones!$AA$33),"dd mmm yy"))&amp;" "&amp;Milestones!$AB$33&amp;" "&amp;IF(AND(Milestones!$AB$33="FT",Milestones!$AA$33=FT_Y5,EDATE($D65,Milestones!$AA$33)&lt;PolicyEff),1,Milestones!$AC$33)&amp;";  ","")&amp;IF(AND(EDATE($D65,Milestones!$AA$34)&lt;=AsOfDate,EDATE($D65,Milestones!$AA$34)&gt;=SchemeStart,IF($X65=0,$AD65,IF(AND($Z65&lt;&gt;"",EDATE($D65,Milestones!$AA$34)&gt;=$Z65),$AC65,IF(AND($Y65&lt;&gt;"",EDATE($D65,Milestones!$AA$34)&gt;=$Y65),$AB65,$AA65)))=Milestones!$AB$34),UPPER(TEXT(EDATE($D65,Milestones!$AA$34),"dd mmm yy"))&amp;" "&amp;Milestones!$AB$34&amp;" "&amp;IF(AND(Milestones!$AB$34="FT",Milestones!$AA$34=FT_Y5,EDATE($D65,Milestones!$AA$34)&lt;PolicyEff),1,Milestones!$AC$34)&amp;";  ","")&amp;IF(AND(EDATE($D65,Milestones!$AA$35)&lt;=AsOfDate,EDATE($D65,Milestones!$AA$35)&gt;=SchemeStart,IF($X65=0,$AD65,IF(AND($Z65&lt;&gt;"",EDATE($D65,Milestones!$AA$35)&gt;=$Z65),$AC65,IF(AND($Y65&lt;&gt;"",EDATE($D65,Milestones!$AA$35)&gt;=$Y65),$AB65,$AA65)))=Milestones!$AB$35),UPPER(TEXT(EDATE($D65,Milestones!$AA$35),"dd mmm yy"))&amp;" "&amp;Milestones!$AB$35&amp;" "&amp;IF(AND(Milestones!$AB$35="FT",Milestones!$AA$35=FT_Y5,EDATE($D65,Milestones!$AA$35)&lt;PolicyEff),1,Milestones!$AC$35)&amp;";  ","")&amp;IF(AND(EDATE($D65,Milestones!$AA$36)&lt;=AsOfDate,EDATE($D65,Milestones!$AA$36)&gt;=SchemeStart,IF($X65=0,$AD65,IF(AND($Z65&lt;&gt;"",EDATE($D65,Milestones!$AA$36)&gt;=$Z65),$AC65,IF(AND($Y65&lt;&gt;"",EDATE($D65,Milestones!$AA$36)&gt;=$Y65),$AB65,$AA65)))=Milestones!$AB$36),UPPER(TEXT(EDATE($D65,Milestones!$AA$36),"dd mmm yy"))&amp;" "&amp;Milestones!$AB$36&amp;" "&amp;IF(AND(Milestones!$AB$36="FT",Milestones!$AA$36=FT_Y5,EDATE($D65,Milestones!$AA$36)&lt;PolicyEff),1,Milestones!$AC$36)&amp;";  ","")&amp;IF(AND(EDATE($D65,Milestones!$AA$37)&lt;=AsOfDate,EDATE($D65,Milestones!$AA$37)&gt;=SchemeStart,IF($X65=0,$AD65,IF(AND($Z65&lt;&gt;"",EDATE($D65,Milestones!$AA$37)&gt;=$Z65),$AC65,IF(AND($Y65&lt;&gt;"",EDATE($D65,Milestones!$AA$37)&gt;=$Y65),$AB65,$AA65)))=Milestones!$AB$37),UPPER(TEXT(EDATE($D65,Milestones!$AA$37),"dd mmm yy"))&amp;" "&amp;Milestones!$AB$37&amp;" "&amp;IF(AND(Milestones!$AB$37="FT",Milestones!$AA$37=FT_Y5,EDATE($D65,Milestones!$AA$37)&lt;PolicyEff),1,Milestones!$AC$37)&amp;";  ","")&amp;IF(AND(EDATE($D65,Milestones!$AA$38)&lt;=AsOfDate,EDATE($D65,Milestones!$AA$38)&gt;=SchemeStart,IF($X65=0,$AD65,IF(AND($Z65&lt;&gt;"",EDATE($D65,Milestones!$AA$38)&gt;=$Z65),$AC65,IF(AND($Y65&lt;&gt;"",EDATE($D65,Milestones!$AA$38)&gt;=$Y65),$AB65,$AA65)))=Milestones!$AB$38),UPPER(TEXT(EDATE($D65,Milestones!$AA$38),"dd mmm yy"))&amp;" "&amp;Milestones!$AB$38&amp;" "&amp;IF(AND(Milestones!$AB$38="FT",Milestones!$AA$38=FT_Y5,EDATE($D65,Milestones!$AA$38)&lt;PolicyEff),1,Milestones!$AC$38)&amp;";  ","")&amp;IF(AND(EDATE($D65,Milestones!$AA$39)&lt;=AsOfDate,EDATE($D65,Milestones!$AA$39)&gt;=SchemeStart,IF($X65=0,$AD65,IF(AND($Z65&lt;&gt;"",EDATE($D65,Milestones!$AA$39)&gt;=$Z65),$AC65,IF(AND($Y65&lt;&gt;"",EDATE($D65,Milestones!$AA$39)&gt;=$Y65),$AB65,$AA65)))=Milestones!$AB$39),UPPER(TEXT(EDATE($D65,Milestones!$AA$39),"dd mmm yy"))&amp;" "&amp;Milestones!$AB$39&amp;" "&amp;IF(AND(Milestones!$AB$39="FT",Milestones!$AA$39=FT_Y5,EDATE($D65,Milestones!$AA$39)&lt;PolicyEff),1,Milestones!$AC$39)&amp;";  ","")&amp;IF(AND(EDATE($D65,Milestones!$AA$40)&lt;=AsOfDate,EDATE($D65,Milestones!$AA$40)&gt;=SchemeStart,IF($X65=0,$AD65,IF(AND($Z65&lt;&gt;"",EDATE($D65,Milestones!$AA$40)&gt;=$Z65),$AC65,IF(AND($Y65&lt;&gt;"",EDATE($D65,Milestones!$AA$40)&gt;=$Y65),$AB65,$AA65)))=Milestones!$AB$40),UPPER(TEXT(EDATE($D65,Milestones!$AA$40),"dd mmm yy"))&amp;" "&amp;Milestones!$AB$40&amp;" "&amp;IF(AND(Milestones!$AB$40="FT",Milestones!$AA$40=FT_Y5,EDATE($D65,Milestones!$AA$40)&lt;PolicyEff),1,Milestones!$AC$40)&amp;";  ","")&amp;IF(AND(EDATE($D65,Milestones!$AA$41)&lt;=AsOfDate,EDATE($D65,Milestones!$AA$41)&gt;=SchemeStart,IF($X65=0,$AD65,IF(AND($Z65&lt;&gt;"",EDATE($D65,Milestones!$AA$41)&gt;=$Z65),$AC65,IF(AND($Y65&lt;&gt;"",EDATE($D65,Milestones!$AA$41)&gt;=$Y65),$AB65,$AA65)))=Milestones!$AB$41),UPPER(TEXT(EDATE($D65,Milestones!$AA$41),"dd mmm yy"))&amp;" "&amp;Milestones!$AB$41&amp;" "&amp;IF(AND(Milestones!$AB$41="FT",Milestones!$AA$41=FT_Y5,EDATE($D65,Milestones!$AA$41)&lt;PolicyEff),1,Milestones!$AC$41)&amp;";  ","")&amp;IF(AND(EDATE($D65,Milestones!$AA$42)&lt;=AsOfDate,EDATE($D65,Milestones!$AA$42)&gt;=SchemeStart,IF($X65=0,$AD65,IF(AND($Z65&lt;&gt;"",EDATE($D65,Milestones!$AA$42)&gt;=$Z65),$AC65,IF(AND($Y65&lt;&gt;"",EDATE($D65,Milestones!$AA$42)&gt;=$Y65),$AB65,$AA65)))=Milestones!$AB$42),UPPER(TEXT(EDATE($D65,Milestones!$AA$42),"dd mmm yy"))&amp;" "&amp;Milestones!$AB$42&amp;" "&amp;IF(AND(Milestones!$AB$42="FT",Milestones!$AA$42=FT_Y5,EDATE($D65,Milestones!$AA$42)&lt;PolicyEff),1,Milestones!$AC$42)&amp;";  ","")&amp;IF(AND(EDATE($D65,Milestones!$AA$43)&lt;=AsOfDate,EDATE($D65,Milestones!$AA$43)&gt;=SchemeStart,IF($X65=0,$AD65,IF(AND($Z65&lt;&gt;"",EDATE($D65,Milestones!$AA$43)&gt;=$Z65),$AC65,IF(AND($Y65&lt;&gt;"",EDATE($D65,Milestones!$AA$43)&gt;=$Y65),$AB65,$AA65)))=Milestones!$AB$43),UPPER(TEXT(EDATE($D65,Milestones!$AA$43),"dd mmm yy"))&amp;" "&amp;Milestones!$AB$43&amp;" "&amp;IF(AND(Milestones!$AB$43="FT",Milestones!$AA$43=FT_Y5,EDATE($D65,Milestones!$AA$43)&lt;PolicyEff),1,Milestones!$AC$43)&amp;";  ",""))</f>
        <v/>
      </c>
      <c r="K65" s="0" t="str">
        <f aca="false">IF(OR($A65="",$D65=""),"",IF(AND(EDATE($D65,Milestones!$AA$44)&lt;=AsOfDate,EDATE($D65,Milestones!$AA$44)&gt;=SchemeStart,IF($X65=0,$AD65,IF(AND($Z65&lt;&gt;"",EDATE($D65,Milestones!$AA$44)&gt;=$Z65),$AC65,IF(AND($Y65&lt;&gt;"",EDATE($D65,Milestones!$AA$44)&gt;=$Y65),$AB65,$AA65)))=Milestones!$AB$44),UPPER(TEXT(EDATE($D65,Milestones!$AA$44),"dd mmm yy"))&amp;" "&amp;Milestones!$AB$44&amp;" "&amp;IF(AND(Milestones!$AB$44="FT",Milestones!$AA$44=FT_Y5,EDATE($D65,Milestones!$AA$44)&lt;PolicyEff),1,Milestones!$AC$44)&amp;";  ","")&amp;IF(AND(EDATE($D65,Milestones!$AA$45)&lt;=AsOfDate,EDATE($D65,Milestones!$AA$45)&gt;=SchemeStart,IF($X65=0,$AD65,IF(AND($Z65&lt;&gt;"",EDATE($D65,Milestones!$AA$45)&gt;=$Z65),$AC65,IF(AND($Y65&lt;&gt;"",EDATE($D65,Milestones!$AA$45)&gt;=$Y65),$AB65,$AA65)))=Milestones!$AB$45),UPPER(TEXT(EDATE($D65,Milestones!$AA$45),"dd mmm yy"))&amp;" "&amp;Milestones!$AB$45&amp;" "&amp;IF(AND(Milestones!$AB$45="FT",Milestones!$AA$45=FT_Y5,EDATE($D65,Milestones!$AA$45)&lt;PolicyEff),1,Milestones!$AC$45)&amp;";  ","")&amp;IF(AND(EDATE($D65,Milestones!$AA$46)&lt;=AsOfDate,EDATE($D65,Milestones!$AA$46)&gt;=SchemeStart,IF($X65=0,$AD65,IF(AND($Z65&lt;&gt;"",EDATE($D65,Milestones!$AA$46)&gt;=$Z65),$AC65,IF(AND($Y65&lt;&gt;"",EDATE($D65,Milestones!$AA$46)&gt;=$Y65),$AB65,$AA65)))=Milestones!$AB$46),UPPER(TEXT(EDATE($D65,Milestones!$AA$46),"dd mmm yy"))&amp;" "&amp;Milestones!$AB$46&amp;" "&amp;IF(AND(Milestones!$AB$46="FT",Milestones!$AA$46=FT_Y5,EDATE($D65,Milestones!$AA$46)&lt;PolicyEff),1,Milestones!$AC$46)&amp;";  ","")&amp;IF(AND(EDATE($D65,Milestones!$AA$47)&lt;=AsOfDate,EDATE($D65,Milestones!$AA$47)&gt;=SchemeStart,IF($X65=0,$AD65,IF(AND($Z65&lt;&gt;"",EDATE($D65,Milestones!$AA$47)&gt;=$Z65),$AC65,IF(AND($Y65&lt;&gt;"",EDATE($D65,Milestones!$AA$47)&gt;=$Y65),$AB65,$AA65)))=Milestones!$AB$47),UPPER(TEXT(EDATE($D65,Milestones!$AA$47),"dd mmm yy"))&amp;" "&amp;Milestones!$AB$47&amp;" "&amp;IF(AND(Milestones!$AB$47="FT",Milestones!$AA$47=FT_Y5,EDATE($D65,Milestones!$AA$47)&lt;PolicyEff),1,Milestones!$AC$47)&amp;";  ","")&amp;IF(AND(EDATE($D65,Milestones!$AA$48)&lt;=AsOfDate,EDATE($D65,Milestones!$AA$48)&gt;=SchemeStart,IF($X65=0,$AD65,IF(AND($Z65&lt;&gt;"",EDATE($D65,Milestones!$AA$48)&gt;=$Z65),$AC65,IF(AND($Y65&lt;&gt;"",EDATE($D65,Milestones!$AA$48)&gt;=$Y65),$AB65,$AA65)))=Milestones!$AB$48),UPPER(TEXT(EDATE($D65,Milestones!$AA$48),"dd mmm yy"))&amp;" "&amp;Milestones!$AB$48&amp;" "&amp;IF(AND(Milestones!$AB$48="FT",Milestones!$AA$48=FT_Y5,EDATE($D65,Milestones!$AA$48)&lt;PolicyEff),1,Milestones!$AC$48)&amp;";  ","")&amp;IF(AND(EDATE($D65,Milestones!$AA$49)&lt;=AsOfDate,EDATE($D65,Milestones!$AA$49)&gt;=SchemeStart,IF($X65=0,$AD65,IF(AND($Z65&lt;&gt;"",EDATE($D65,Milestones!$AA$49)&gt;=$Z65),$AC65,IF(AND($Y65&lt;&gt;"",EDATE($D65,Milestones!$AA$49)&gt;=$Y65),$AB65,$AA65)))=Milestones!$AB$49),UPPER(TEXT(EDATE($D65,Milestones!$AA$49),"dd mmm yy"))&amp;" "&amp;Milestones!$AB$49&amp;" "&amp;IF(AND(Milestones!$AB$49="FT",Milestones!$AA$49=FT_Y5,EDATE($D65,Milestones!$AA$49)&lt;PolicyEff),1,Milestones!$AC$49)&amp;";  ","")&amp;IF(AND(EDATE($D65,Milestones!$AA$50)&lt;=AsOfDate,EDATE($D65,Milestones!$AA$50)&gt;=SchemeStart,IF($X65=0,$AD65,IF(AND($Z65&lt;&gt;"",EDATE($D65,Milestones!$AA$50)&gt;=$Z65),$AC65,IF(AND($Y65&lt;&gt;"",EDATE($D65,Milestones!$AA$50)&gt;=$Y65),$AB65,$AA65)))=Milestones!$AB$50),UPPER(TEXT(EDATE($D65,Milestones!$AA$50),"dd mmm yy"))&amp;" "&amp;Milestones!$AB$50&amp;" "&amp;IF(AND(Milestones!$AB$50="FT",Milestones!$AA$50=FT_Y5,EDATE($D65,Milestones!$AA$50)&lt;PolicyEff),1,Milestones!$AC$50)&amp;";  ","")&amp;IF(AND(EDATE($D65,Milestones!$AA$51)&lt;=AsOfDate,EDATE($D65,Milestones!$AA$51)&gt;=SchemeStart,IF($X65=0,$AD65,IF(AND($Z65&lt;&gt;"",EDATE($D65,Milestones!$AA$51)&gt;=$Z65),$AC65,IF(AND($Y65&lt;&gt;"",EDATE($D65,Milestones!$AA$51)&gt;=$Y65),$AB65,$AA65)))=Milestones!$AB$51),UPPER(TEXT(EDATE($D65,Milestones!$AA$51),"dd mmm yy"))&amp;" "&amp;Milestones!$AB$51&amp;" "&amp;IF(AND(Milestones!$AB$51="FT",Milestones!$AA$51=FT_Y5,EDATE($D65,Milestones!$AA$51)&lt;PolicyEff),1,Milestones!$AC$51)&amp;";  ","")&amp;IF(AND(EDATE($D65,Milestones!$AA$52)&lt;=AsOfDate,EDATE($D65,Milestones!$AA$52)&gt;=SchemeStart,IF($X65=0,$AD65,IF(AND($Z65&lt;&gt;"",EDATE($D65,Milestones!$AA$52)&gt;=$Z65),$AC65,IF(AND($Y65&lt;&gt;"",EDATE($D65,Milestones!$AA$52)&gt;=$Y65),$AB65,$AA65)))=Milestones!$AB$52),UPPER(TEXT(EDATE($D65,Milestones!$AA$52),"dd mmm yy"))&amp;" "&amp;Milestones!$AB$52&amp;" "&amp;IF(AND(Milestones!$AB$52="FT",Milestones!$AA$52=FT_Y5,EDATE($D65,Milestones!$AA$52)&lt;PolicyEff),1,Milestones!$AC$52)&amp;";  ","")&amp;IF(AND(EDATE($D65,Milestones!$AA$53)&lt;=AsOfDate,EDATE($D65,Milestones!$AA$53)&gt;=SchemeStart,IF($X65=0,$AD65,IF(AND($Z65&lt;&gt;"",EDATE($D65,Milestones!$AA$53)&gt;=$Z65),$AC65,IF(AND($Y65&lt;&gt;"",EDATE($D65,Milestones!$AA$53)&gt;=$Y65),$AB65,$AA65)))=Milestones!$AB$53),UPPER(TEXT(EDATE($D65,Milestones!$AA$53),"dd mmm yy"))&amp;" "&amp;Milestones!$AB$53&amp;" "&amp;IF(AND(Milestones!$AB$53="FT",Milestones!$AA$53=FT_Y5,EDATE($D65,Milestones!$AA$53)&lt;PolicyEff),1,Milestones!$AC$53)&amp;";  ","")&amp;IF(AND(EDATE($D65,Milestones!$AA$54)&lt;=AsOfDate,EDATE($D65,Milestones!$AA$54)&gt;=SchemeStart,IF($X65=0,$AD65,IF(AND($Z65&lt;&gt;"",EDATE($D65,Milestones!$AA$54)&gt;=$Z65),$AC65,IF(AND($Y65&lt;&gt;"",EDATE($D65,Milestones!$AA$54)&gt;=$Y65),$AB65,$AA65)))=Milestones!$AB$54),UPPER(TEXT(EDATE($D65,Milestones!$AA$54),"dd mmm yy"))&amp;" "&amp;Milestones!$AB$54&amp;" "&amp;IF(AND(Milestones!$AB$54="FT",Milestones!$AA$54=FT_Y5,EDATE($D65,Milestones!$AA$54)&lt;PolicyEff),1,Milestones!$AC$54)&amp;";  ","")&amp;IF(AND(EDATE($D65,Milestones!$AA$55)&lt;=AsOfDate,EDATE($D65,Milestones!$AA$55)&gt;=SchemeStart,IF($X65=0,$AD65,IF(AND($Z65&lt;&gt;"",EDATE($D65,Milestones!$AA$55)&gt;=$Z65),$AC65,IF(AND($Y65&lt;&gt;"",EDATE($D65,Milestones!$AA$55)&gt;=$Y65),$AB65,$AA65)))=Milestones!$AB$55),UPPER(TEXT(EDATE($D65,Milestones!$AA$55),"dd mmm yy"))&amp;" "&amp;Milestones!$AB$55&amp;" "&amp;IF(AND(Milestones!$AB$55="FT",Milestones!$AA$55=FT_Y5,EDATE($D65,Milestones!$AA$55)&lt;PolicyEff),1,Milestones!$AC$55)&amp;";  ",""))</f>
        <v/>
      </c>
      <c r="L65" s="0" t="str">
        <f aca="false">IF(OR($A65="",$D65=""),"",IF(AND(EDATE($D65,Milestones!$AA$56)&lt;=AsOfDate,EDATE($D65,Milestones!$AA$56)&gt;=SchemeStart,IF($X65=0,$AD65,IF(AND($Z65&lt;&gt;"",EDATE($D65,Milestones!$AA$56)&gt;=$Z65),$AC65,IF(AND($Y65&lt;&gt;"",EDATE($D65,Milestones!$AA$56)&gt;=$Y65),$AB65,$AA65)))=Milestones!$AB$56),UPPER(TEXT(EDATE($D65,Milestones!$AA$56),"dd mmm yy"))&amp;" "&amp;Milestones!$AB$56&amp;" "&amp;IF(AND(Milestones!$AB$56="FT",Milestones!$AA$56=FT_Y5,EDATE($D65,Milestones!$AA$56)&lt;PolicyEff),1,Milestones!$AC$56)&amp;";  ","")&amp;IF(AND(EDATE($D65,Milestones!$AA$57)&lt;=AsOfDate,EDATE($D65,Milestones!$AA$57)&gt;=SchemeStart,IF($X65=0,$AD65,IF(AND($Z65&lt;&gt;"",EDATE($D65,Milestones!$AA$57)&gt;=$Z65),$AC65,IF(AND($Y65&lt;&gt;"",EDATE($D65,Milestones!$AA$57)&gt;=$Y65),$AB65,$AA65)))=Milestones!$AB$57),UPPER(TEXT(EDATE($D65,Milestones!$AA$57),"dd mmm yy"))&amp;" "&amp;Milestones!$AB$57&amp;" "&amp;IF(AND(Milestones!$AB$57="FT",Milestones!$AA$57=FT_Y5,EDATE($D65,Milestones!$AA$57)&lt;PolicyEff),1,Milestones!$AC$57)&amp;";  ","")&amp;IF(AND(EDATE($D65,Milestones!$AA$58)&lt;=AsOfDate,EDATE($D65,Milestones!$AA$58)&gt;=SchemeStart,IF($X65=0,$AD65,IF(AND($Z65&lt;&gt;"",EDATE($D65,Milestones!$AA$58)&gt;=$Z65),$AC65,IF(AND($Y65&lt;&gt;"",EDATE($D65,Milestones!$AA$58)&gt;=$Y65),$AB65,$AA65)))=Milestones!$AB$58),UPPER(TEXT(EDATE($D65,Milestones!$AA$58),"dd mmm yy"))&amp;" "&amp;Milestones!$AB$58&amp;" "&amp;IF(AND(Milestones!$AB$58="FT",Milestones!$AA$58=FT_Y5,EDATE($D65,Milestones!$AA$58)&lt;PolicyEff),1,Milestones!$AC$58)&amp;";  ","")&amp;IF(AND(EDATE($D65,Milestones!$AA$59)&lt;=AsOfDate,EDATE($D65,Milestones!$AA$59)&gt;=SchemeStart,IF($X65=0,$AD65,IF(AND($Z65&lt;&gt;"",EDATE($D65,Milestones!$AA$59)&gt;=$Z65),$AC65,IF(AND($Y65&lt;&gt;"",EDATE($D65,Milestones!$AA$59)&gt;=$Y65),$AB65,$AA65)))=Milestones!$AB$59),UPPER(TEXT(EDATE($D65,Milestones!$AA$59),"dd mmm yy"))&amp;" "&amp;Milestones!$AB$59&amp;" "&amp;IF(AND(Milestones!$AB$59="FT",Milestones!$AA$59=FT_Y5,EDATE($D65,Milestones!$AA$59)&lt;PolicyEff),1,Milestones!$AC$59)&amp;";  ","")&amp;IF(AND(EDATE($D65,Milestones!$AA$60)&lt;=AsOfDate,EDATE($D65,Milestones!$AA$60)&gt;=SchemeStart,IF($X65=0,$AD65,IF(AND($Z65&lt;&gt;"",EDATE($D65,Milestones!$AA$60)&gt;=$Z65),$AC65,IF(AND($Y65&lt;&gt;"",EDATE($D65,Milestones!$AA$60)&gt;=$Y65),$AB65,$AA65)))=Milestones!$AB$60),UPPER(TEXT(EDATE($D65,Milestones!$AA$60),"dd mmm yy"))&amp;" "&amp;Milestones!$AB$60&amp;" "&amp;IF(AND(Milestones!$AB$60="FT",Milestones!$AA$60=FT_Y5,EDATE($D65,Milestones!$AA$60)&lt;PolicyEff),1,Milestones!$AC$60)&amp;";  ","")&amp;IF(AND(EDATE($D65,Milestones!$AA$61)&lt;=AsOfDate,EDATE($D65,Milestones!$AA$61)&gt;=SchemeStart,IF($X65=0,$AD65,IF(AND($Z65&lt;&gt;"",EDATE($D65,Milestones!$AA$61)&gt;=$Z65),$AC65,IF(AND($Y65&lt;&gt;"",EDATE($D65,Milestones!$AA$61)&gt;=$Y65),$AB65,$AA65)))=Milestones!$AB$61),UPPER(TEXT(EDATE($D65,Milestones!$AA$61),"dd mmm yy"))&amp;" "&amp;Milestones!$AB$61&amp;" "&amp;IF(AND(Milestones!$AB$61="FT",Milestones!$AA$61=FT_Y5,EDATE($D65,Milestones!$AA$61)&lt;PolicyEff),1,Milestones!$AC$61)&amp;";  ","")&amp;IF(AND(EDATE($D65,Milestones!$AA$62)&lt;=AsOfDate,EDATE($D65,Milestones!$AA$62)&gt;=SchemeStart,IF($X65=0,$AD65,IF(AND($Z65&lt;&gt;"",EDATE($D65,Milestones!$AA$62)&gt;=$Z65),$AC65,IF(AND($Y65&lt;&gt;"",EDATE($D65,Milestones!$AA$62)&gt;=$Y65),$AB65,$AA65)))=Milestones!$AB$62),UPPER(TEXT(EDATE($D65,Milestones!$AA$62),"dd mmm yy"))&amp;" "&amp;Milestones!$AB$62&amp;" "&amp;IF(AND(Milestones!$AB$62="FT",Milestones!$AA$62=FT_Y5,EDATE($D65,Milestones!$AA$62)&lt;PolicyEff),1,Milestones!$AC$62)&amp;";  ","")&amp;IF(AND(EDATE($D65,Milestones!$AA$63)&lt;=AsOfDate,EDATE($D65,Milestones!$AA$63)&gt;=SchemeStart,IF($X65=0,$AD65,IF(AND($Z65&lt;&gt;"",EDATE($D65,Milestones!$AA$63)&gt;=$Z65),$AC65,IF(AND($Y65&lt;&gt;"",EDATE($D65,Milestones!$AA$63)&gt;=$Y65),$AB65,$AA65)))=Milestones!$AB$63),UPPER(TEXT(EDATE($D65,Milestones!$AA$63),"dd mmm yy"))&amp;" "&amp;Milestones!$AB$63&amp;" "&amp;IF(AND(Milestones!$AB$63="FT",Milestones!$AA$63=FT_Y5,EDATE($D65,Milestones!$AA$63)&lt;PolicyEff),1,Milestones!$AC$63)&amp;";  ","")&amp;IF(AND(EDATE($D65,Milestones!$AA$64)&lt;=AsOfDate,EDATE($D65,Milestones!$AA$64)&gt;=SchemeStart,IF($X65=0,$AD65,IF(AND($Z65&lt;&gt;"",EDATE($D65,Milestones!$AA$64)&gt;=$Z65),$AC65,IF(AND($Y65&lt;&gt;"",EDATE($D65,Milestones!$AA$64)&gt;=$Y65),$AB65,$AA65)))=Milestones!$AB$64),UPPER(TEXT(EDATE($D65,Milestones!$AA$64),"dd mmm yy"))&amp;" "&amp;Milestones!$AB$64&amp;" "&amp;IF(AND(Milestones!$AB$64="FT",Milestones!$AA$64=FT_Y5,EDATE($D65,Milestones!$AA$64)&lt;PolicyEff),1,Milestones!$AC$64)&amp;";  ","")&amp;IF(AND(EDATE($D65,Milestones!$AA$65)&lt;=AsOfDate,EDATE($D65,Milestones!$AA$65)&gt;=SchemeStart,IF($X65=0,$AD65,IF(AND($Z65&lt;&gt;"",EDATE($D65,Milestones!$AA$65)&gt;=$Z65),$AC65,IF(AND($Y65&lt;&gt;"",EDATE($D65,Milestones!$AA$65)&gt;=$Y65),$AB65,$AA65)))=Milestones!$AB$65),UPPER(TEXT(EDATE($D65,Milestones!$AA$65),"dd mmm yy"))&amp;" "&amp;Milestones!$AB$65&amp;" "&amp;IF(AND(Milestones!$AB$65="FT",Milestones!$AA$65=FT_Y5,EDATE($D65,Milestones!$AA$65)&lt;PolicyEff),1,Milestones!$AC$65)&amp;";  ","")&amp;IF(AND(EDATE($D65,Milestones!$AA$66)&lt;=AsOfDate,EDATE($D65,Milestones!$AA$66)&gt;=SchemeStart,IF($X65=0,$AD65,IF(AND($Z65&lt;&gt;"",EDATE($D65,Milestones!$AA$66)&gt;=$Z65),$AC65,IF(AND($Y65&lt;&gt;"",EDATE($D65,Milestones!$AA$66)&gt;=$Y65),$AB65,$AA65)))=Milestones!$AB$66),UPPER(TEXT(EDATE($D65,Milestones!$AA$66),"dd mmm yy"))&amp;" "&amp;Milestones!$AB$66&amp;" "&amp;IF(AND(Milestones!$AB$66="FT",Milestones!$AA$66=FT_Y5,EDATE($D65,Milestones!$AA$66)&lt;PolicyEff),1,Milestones!$AC$66)&amp;";  ","")&amp;IF(AND(EDATE($D65,Milestones!$AA$67)&lt;=AsOfDate,EDATE($D65,Milestones!$AA$67)&gt;=SchemeStart,IF($X65=0,$AD65,IF(AND($Z65&lt;&gt;"",EDATE($D65,Milestones!$AA$67)&gt;=$Z65),$AC65,IF(AND($Y65&lt;&gt;"",EDATE($D65,Milestones!$AA$67)&gt;=$Y65),$AB65,$AA65)))=Milestones!$AB$67),UPPER(TEXT(EDATE($D65,Milestones!$AA$67),"dd mmm yy"))&amp;" "&amp;Milestones!$AB$67&amp;" "&amp;IF(AND(Milestones!$AB$67="FT",Milestones!$AA$67=FT_Y5,EDATE($D65,Milestones!$AA$67)&lt;PolicyEff),1,Milestones!$AC$67)&amp;";  ",""))</f>
        <v/>
      </c>
      <c r="M65" s="0" t="str">
        <f aca="false">IF(OR($A65="",$D65=""),"",IF(AND(EDATE($D65,Milestones!$AA$68)&lt;=AsOfDate,EDATE($D65,Milestones!$AA$68)&gt;=SchemeStart,IF($X65=0,$AD65,IF(AND($Z65&lt;&gt;"",EDATE($D65,Milestones!$AA$68)&gt;=$Z65),$AC65,IF(AND($Y65&lt;&gt;"",EDATE($D65,Milestones!$AA$68)&gt;=$Y65),$AB65,$AA65)))=Milestones!$AB$68),UPPER(TEXT(EDATE($D65,Milestones!$AA$68),"dd mmm yy"))&amp;" "&amp;Milestones!$AB$68&amp;" "&amp;IF(AND(Milestones!$AB$68="FT",Milestones!$AA$68=FT_Y5,EDATE($D65,Milestones!$AA$68)&lt;PolicyEff),1,Milestones!$AC$68)&amp;";  ","")&amp;IF(AND(EDATE($D65,Milestones!$AA$69)&lt;=AsOfDate,EDATE($D65,Milestones!$AA$69)&gt;=SchemeStart,IF($X65=0,$AD65,IF(AND($Z65&lt;&gt;"",EDATE($D65,Milestones!$AA$69)&gt;=$Z65),$AC65,IF(AND($Y65&lt;&gt;"",EDATE($D65,Milestones!$AA$69)&gt;=$Y65),$AB65,$AA65)))=Milestones!$AB$69),UPPER(TEXT(EDATE($D65,Milestones!$AA$69),"dd mmm yy"))&amp;" "&amp;Milestones!$AB$69&amp;" "&amp;IF(AND(Milestones!$AB$69="FT",Milestones!$AA$69=FT_Y5,EDATE($D65,Milestones!$AA$69)&lt;PolicyEff),1,Milestones!$AC$69)&amp;";  ","")&amp;IF(AND(EDATE($D65,Milestones!$AA$70)&lt;=AsOfDate,EDATE($D65,Milestones!$AA$70)&gt;=SchemeStart,IF($X65=0,$AD65,IF(AND($Z65&lt;&gt;"",EDATE($D65,Milestones!$AA$70)&gt;=$Z65),$AC65,IF(AND($Y65&lt;&gt;"",EDATE($D65,Milestones!$AA$70)&gt;=$Y65),$AB65,$AA65)))=Milestones!$AB$70),UPPER(TEXT(EDATE($D65,Milestones!$AA$70),"dd mmm yy"))&amp;" "&amp;Milestones!$AB$70&amp;" "&amp;IF(AND(Milestones!$AB$70="FT",Milestones!$AA$70=FT_Y5,EDATE($D65,Milestones!$AA$70)&lt;PolicyEff),1,Milestones!$AC$70)&amp;";  ","")&amp;IF(AND(EDATE($D65,Milestones!$AA$71)&lt;=AsOfDate,EDATE($D65,Milestones!$AA$71)&gt;=SchemeStart,IF($X65=0,$AD65,IF(AND($Z65&lt;&gt;"",EDATE($D65,Milestones!$AA$71)&gt;=$Z65),$AC65,IF(AND($Y65&lt;&gt;"",EDATE($D65,Milestones!$AA$71)&gt;=$Y65),$AB65,$AA65)))=Milestones!$AB$71),UPPER(TEXT(EDATE($D65,Milestones!$AA$71),"dd mmm yy"))&amp;" "&amp;Milestones!$AB$71&amp;" "&amp;IF(AND(Milestones!$AB$71="FT",Milestones!$AA$71=FT_Y5,EDATE($D65,Milestones!$AA$71)&lt;PolicyEff),1,Milestones!$AC$71)&amp;";  ","")&amp;IF(AND(EDATE($D65,Milestones!$AA$72)&lt;=AsOfDate,EDATE($D65,Milestones!$AA$72)&gt;=SchemeStart,IF($X65=0,$AD65,IF(AND($Z65&lt;&gt;"",EDATE($D65,Milestones!$AA$72)&gt;=$Z65),$AC65,IF(AND($Y65&lt;&gt;"",EDATE($D65,Milestones!$AA$72)&gt;=$Y65),$AB65,$AA65)))=Milestones!$AB$72),UPPER(TEXT(EDATE($D65,Milestones!$AA$72),"dd mmm yy"))&amp;" "&amp;Milestones!$AB$72&amp;" "&amp;IF(AND(Milestones!$AB$72="FT",Milestones!$AA$72=FT_Y5,EDATE($D65,Milestones!$AA$72)&lt;PolicyEff),1,Milestones!$AC$72)&amp;";  ","")&amp;IF(AND(EDATE($D65,Milestones!$AA$73)&lt;=AsOfDate,EDATE($D65,Milestones!$AA$73)&gt;=SchemeStart,IF($X65=0,$AD65,IF(AND($Z65&lt;&gt;"",EDATE($D65,Milestones!$AA$73)&gt;=$Z65),$AC65,IF(AND($Y65&lt;&gt;"",EDATE($D65,Milestones!$AA$73)&gt;=$Y65),$AB65,$AA65)))=Milestones!$AB$73),UPPER(TEXT(EDATE($D65,Milestones!$AA$73),"dd mmm yy"))&amp;" "&amp;Milestones!$AB$73&amp;" "&amp;IF(AND(Milestones!$AB$73="FT",Milestones!$AA$73=FT_Y5,EDATE($D65,Milestones!$AA$73)&lt;PolicyEff),1,Milestones!$AC$73)&amp;";  ","")&amp;IF(AND(EDATE($D65,Milestones!$AA$74)&lt;=AsOfDate,EDATE($D65,Milestones!$AA$74)&gt;=SchemeStart,IF($X65=0,$AD65,IF(AND($Z65&lt;&gt;"",EDATE($D65,Milestones!$AA$74)&gt;=$Z65),$AC65,IF(AND($Y65&lt;&gt;"",EDATE($D65,Milestones!$AA$74)&gt;=$Y65),$AB65,$AA65)))=Milestones!$AB$74),UPPER(TEXT(EDATE($D65,Milestones!$AA$74),"dd mmm yy"))&amp;" "&amp;Milestones!$AB$74&amp;" "&amp;IF(AND(Milestones!$AB$74="FT",Milestones!$AA$74=FT_Y5,EDATE($D65,Milestones!$AA$74)&lt;PolicyEff),1,Milestones!$AC$74)&amp;";  ","")&amp;IF(AND(EDATE($D65,Milestones!$AA$75)&lt;=AsOfDate,EDATE($D65,Milestones!$AA$75)&gt;=SchemeStart,IF($X65=0,$AD65,IF(AND($Z65&lt;&gt;"",EDATE($D65,Milestones!$AA$75)&gt;=$Z65),$AC65,IF(AND($Y65&lt;&gt;"",EDATE($D65,Milestones!$AA$75)&gt;=$Y65),$AB65,$AA65)))=Milestones!$AB$75),UPPER(TEXT(EDATE($D65,Milestones!$AA$75),"dd mmm yy"))&amp;" "&amp;Milestones!$AB$75&amp;" "&amp;IF(AND(Milestones!$AB$75="FT",Milestones!$AA$75=FT_Y5,EDATE($D65,Milestones!$AA$75)&lt;PolicyEff),1,Milestones!$AC$75)&amp;";  ","")&amp;IF(AND(EDATE($D65,Milestones!$AA$76)&lt;=AsOfDate,EDATE($D65,Milestones!$AA$76)&gt;=SchemeStart,IF($X65=0,$AD65,IF(AND($Z65&lt;&gt;"",EDATE($D65,Milestones!$AA$76)&gt;=$Z65),$AC65,IF(AND($Y65&lt;&gt;"",EDATE($D65,Milestones!$AA$76)&gt;=$Y65),$AB65,$AA65)))=Milestones!$AB$76),UPPER(TEXT(EDATE($D65,Milestones!$AA$76),"dd mmm yy"))&amp;" "&amp;Milestones!$AB$76&amp;" "&amp;IF(AND(Milestones!$AB$76="FT",Milestones!$AA$76=FT_Y5,EDATE($D65,Milestones!$AA$76)&lt;PolicyEff),1,Milestones!$AC$76)&amp;";  ","")&amp;IF(AND(EDATE($D65,Milestones!$AA$77)&lt;=AsOfDate,EDATE($D65,Milestones!$AA$77)&gt;=SchemeStart,IF($X65=0,$AD65,IF(AND($Z65&lt;&gt;"",EDATE($D65,Milestones!$AA$77)&gt;=$Z65),$AC65,IF(AND($Y65&lt;&gt;"",EDATE($D65,Milestones!$AA$77)&gt;=$Y65),$AB65,$AA65)))=Milestones!$AB$77),UPPER(TEXT(EDATE($D65,Milestones!$AA$77),"dd mmm yy"))&amp;" "&amp;Milestones!$AB$77&amp;" "&amp;IF(AND(Milestones!$AB$77="FT",Milestones!$AA$77=FT_Y5,EDATE($D65,Milestones!$AA$77)&lt;PolicyEff),1,Milestones!$AC$77)&amp;";  ","")&amp;IF(AND(EDATE($D65,Milestones!$AA$78)&lt;=AsOfDate,EDATE($D65,Milestones!$AA$78)&gt;=SchemeStart,IF($X65=0,$AD65,IF(AND($Z65&lt;&gt;"",EDATE($D65,Milestones!$AA$78)&gt;=$Z65),$AC65,IF(AND($Y65&lt;&gt;"",EDATE($D65,Milestones!$AA$78)&gt;=$Y65),$AB65,$AA65)))=Milestones!$AB$78),UPPER(TEXT(EDATE($D65,Milestones!$AA$78),"dd mmm yy"))&amp;" "&amp;Milestones!$AB$78&amp;" "&amp;IF(AND(Milestones!$AB$78="FT",Milestones!$AA$78=FT_Y5,EDATE($D65,Milestones!$AA$78)&lt;PolicyEff),1,Milestones!$AC$78)&amp;";  ","")&amp;IF(AND(EDATE($D65,Milestones!$AA$79)&lt;=AsOfDate,EDATE($D65,Milestones!$AA$79)&gt;=SchemeStart,IF($X65=0,$AD65,IF(AND($Z65&lt;&gt;"",EDATE($D65,Milestones!$AA$79)&gt;=$Z65),$AC65,IF(AND($Y65&lt;&gt;"",EDATE($D65,Milestones!$AA$79)&gt;=$Y65),$AB65,$AA65)))=Milestones!$AB$79),UPPER(TEXT(EDATE($D65,Milestones!$AA$79),"dd mmm yy"))&amp;" "&amp;Milestones!$AB$79&amp;" "&amp;IF(AND(Milestones!$AB$79="FT",Milestones!$AA$79=FT_Y5,EDATE($D65,Milestones!$AA$79)&lt;PolicyEff),1,Milestones!$AC$79)&amp;";  ",""))</f>
        <v/>
      </c>
      <c r="N65" s="0" t="str">
        <f aca="false">IF(OR($A65="",$D65=""),"",IF(AND(EDATE($D65,Milestones!$AA$80)&lt;=AsOfDate,EDATE($D65,Milestones!$AA$80)&gt;=SchemeStart,IF($X65=0,$AD65,IF(AND($Z65&lt;&gt;"",EDATE($D65,Milestones!$AA$80)&gt;=$Z65),$AC65,IF(AND($Y65&lt;&gt;"",EDATE($D65,Milestones!$AA$80)&gt;=$Y65),$AB65,$AA65)))=Milestones!$AB$80),UPPER(TEXT(EDATE($D65,Milestones!$AA$80),"dd mmm yy"))&amp;" "&amp;Milestones!$AB$80&amp;" "&amp;IF(AND(Milestones!$AB$80="FT",Milestones!$AA$80=FT_Y5,EDATE($D65,Milestones!$AA$80)&lt;PolicyEff),1,Milestones!$AC$80)&amp;";  ","")&amp;IF(AND(EDATE($D65,Milestones!$AA$81)&lt;=AsOfDate,EDATE($D65,Milestones!$AA$81)&gt;=SchemeStart,IF($X65=0,$AD65,IF(AND($Z65&lt;&gt;"",EDATE($D65,Milestones!$AA$81)&gt;=$Z65),$AC65,IF(AND($Y65&lt;&gt;"",EDATE($D65,Milestones!$AA$81)&gt;=$Y65),$AB65,$AA65)))=Milestones!$AB$81),UPPER(TEXT(EDATE($D65,Milestones!$AA$81),"dd mmm yy"))&amp;" "&amp;Milestones!$AB$81&amp;" "&amp;IF(AND(Milestones!$AB$81="FT",Milestones!$AA$81=FT_Y5,EDATE($D65,Milestones!$AA$81)&lt;PolicyEff),1,Milestones!$AC$81)&amp;";  ","")&amp;IF(AND(EDATE($D65,Milestones!$AA$82)&lt;=AsOfDate,EDATE($D65,Milestones!$AA$82)&gt;=SchemeStart,IF($X65=0,$AD65,IF(AND($Z65&lt;&gt;"",EDATE($D65,Milestones!$AA$82)&gt;=$Z65),$AC65,IF(AND($Y65&lt;&gt;"",EDATE($D65,Milestones!$AA$82)&gt;=$Y65),$AB65,$AA65)))=Milestones!$AB$82),UPPER(TEXT(EDATE($D65,Milestones!$AA$82),"dd mmm yy"))&amp;" "&amp;Milestones!$AB$82&amp;" "&amp;IF(AND(Milestones!$AB$82="FT",Milestones!$AA$82=FT_Y5,EDATE($D65,Milestones!$AA$82)&lt;PolicyEff),1,Milestones!$AC$82)&amp;";  ","")&amp;IF(AND(EDATE($D65,Milestones!$AA$83)&lt;=AsOfDate,EDATE($D65,Milestones!$AA$83)&gt;=SchemeStart,IF($X65=0,$AD65,IF(AND($Z65&lt;&gt;"",EDATE($D65,Milestones!$AA$83)&gt;=$Z65),$AC65,IF(AND($Y65&lt;&gt;"",EDATE($D65,Milestones!$AA$83)&gt;=$Y65),$AB65,$AA65)))=Milestones!$AB$83),UPPER(TEXT(EDATE($D65,Milestones!$AA$83),"dd mmm yy"))&amp;" "&amp;Milestones!$AB$83&amp;" "&amp;IF(AND(Milestones!$AB$83="FT",Milestones!$AA$83=FT_Y5,EDATE($D65,Milestones!$AA$83)&lt;PolicyEff),1,Milestones!$AC$83)&amp;";  ","")&amp;IF(AND(EDATE($D65,Milestones!$AA$84)&lt;=AsOfDate,EDATE($D65,Milestones!$AA$84)&gt;=SchemeStart,IF($X65=0,$AD65,IF(AND($Z65&lt;&gt;"",EDATE($D65,Milestones!$AA$84)&gt;=$Z65),$AC65,IF(AND($Y65&lt;&gt;"",EDATE($D65,Milestones!$AA$84)&gt;=$Y65),$AB65,$AA65)))=Milestones!$AB$84),UPPER(TEXT(EDATE($D65,Milestones!$AA$84),"dd mmm yy"))&amp;" "&amp;Milestones!$AB$84&amp;" "&amp;IF(AND(Milestones!$AB$84="FT",Milestones!$AA$84=FT_Y5,EDATE($D65,Milestones!$AA$84)&lt;PolicyEff),1,Milestones!$AC$84)&amp;";  ","")&amp;IF(AND(EDATE($D65,Milestones!$AA$85)&lt;=AsOfDate,EDATE($D65,Milestones!$AA$85)&gt;=SchemeStart,IF($X65=0,$AD65,IF(AND($Z65&lt;&gt;"",EDATE($D65,Milestones!$AA$85)&gt;=$Z65),$AC65,IF(AND($Y65&lt;&gt;"",EDATE($D65,Milestones!$AA$85)&gt;=$Y65),$AB65,$AA65)))=Milestones!$AB$85),UPPER(TEXT(EDATE($D65,Milestones!$AA$85),"dd mmm yy"))&amp;" "&amp;Milestones!$AB$85&amp;" "&amp;IF(AND(Milestones!$AB$85="FT",Milestones!$AA$85=FT_Y5,EDATE($D65,Milestones!$AA$85)&lt;PolicyEff),1,Milestones!$AC$85)&amp;";  ","")&amp;IF(AND(EDATE($D65,Milestones!$AA$86)&lt;=AsOfDate,EDATE($D65,Milestones!$AA$86)&gt;=SchemeStart,IF($X65=0,$AD65,IF(AND($Z65&lt;&gt;"",EDATE($D65,Milestones!$AA$86)&gt;=$Z65),$AC65,IF(AND($Y65&lt;&gt;"",EDATE($D65,Milestones!$AA$86)&gt;=$Y65),$AB65,$AA65)))=Milestones!$AB$86),UPPER(TEXT(EDATE($D65,Milestones!$AA$86),"dd mmm yy"))&amp;" "&amp;Milestones!$AB$86&amp;" "&amp;IF(AND(Milestones!$AB$86="FT",Milestones!$AA$86=FT_Y5,EDATE($D65,Milestones!$AA$86)&lt;PolicyEff),1,Milestones!$AC$86)&amp;";  ","")&amp;IF(AND(EDATE($D65,Milestones!$AA$87)&lt;=AsOfDate,EDATE($D65,Milestones!$AA$87)&gt;=SchemeStart,IF($X65=0,$AD65,IF(AND($Z65&lt;&gt;"",EDATE($D65,Milestones!$AA$87)&gt;=$Z65),$AC65,IF(AND($Y65&lt;&gt;"",EDATE($D65,Milestones!$AA$87)&gt;=$Y65),$AB65,$AA65)))=Milestones!$AB$87),UPPER(TEXT(EDATE($D65,Milestones!$AA$87),"dd mmm yy"))&amp;" "&amp;Milestones!$AB$87&amp;" "&amp;IF(AND(Milestones!$AB$87="FT",Milestones!$AA$87=FT_Y5,EDATE($D65,Milestones!$AA$87)&lt;PolicyEff),1,Milestones!$AC$87)&amp;";  ","")&amp;IF(AND(EDATE($D65,Milestones!$AA$88)&lt;=AsOfDate,EDATE($D65,Milestones!$AA$88)&gt;=SchemeStart,IF($X65=0,$AD65,IF(AND($Z65&lt;&gt;"",EDATE($D65,Milestones!$AA$88)&gt;=$Z65),$AC65,IF(AND($Y65&lt;&gt;"",EDATE($D65,Milestones!$AA$88)&gt;=$Y65),$AB65,$AA65)))=Milestones!$AB$88),UPPER(TEXT(EDATE($D65,Milestones!$AA$88),"dd mmm yy"))&amp;" "&amp;Milestones!$AB$88&amp;" "&amp;IF(AND(Milestones!$AB$88="FT",Milestones!$AA$88=FT_Y5,EDATE($D65,Milestones!$AA$88)&lt;PolicyEff),1,Milestones!$AC$88)&amp;";  ","")&amp;IF(AND(EDATE($D65,Milestones!$AA$89)&lt;=AsOfDate,EDATE($D65,Milestones!$AA$89)&gt;=SchemeStart,IF($X65=0,$AD65,IF(AND($Z65&lt;&gt;"",EDATE($D65,Milestones!$AA$89)&gt;=$Z65),$AC65,IF(AND($Y65&lt;&gt;"",EDATE($D65,Milestones!$AA$89)&gt;=$Y65),$AB65,$AA65)))=Milestones!$AB$89),UPPER(TEXT(EDATE($D65,Milestones!$AA$89),"dd mmm yy"))&amp;" "&amp;Milestones!$AB$89&amp;" "&amp;IF(AND(Milestones!$AB$89="FT",Milestones!$AA$89=FT_Y5,EDATE($D65,Milestones!$AA$89)&lt;PolicyEff),1,Milestones!$AC$89)&amp;";  ","")&amp;IF(AND(EDATE($D65,Milestones!$AA$90)&lt;=AsOfDate,EDATE($D65,Milestones!$AA$90)&gt;=SchemeStart,IF($X65=0,$AD65,IF(AND($Z65&lt;&gt;"",EDATE($D65,Milestones!$AA$90)&gt;=$Z65),$AC65,IF(AND($Y65&lt;&gt;"",EDATE($D65,Milestones!$AA$90)&gt;=$Y65),$AB65,$AA65)))=Milestones!$AB$90),UPPER(TEXT(EDATE($D65,Milestones!$AA$90),"dd mmm yy"))&amp;" "&amp;Milestones!$AB$90&amp;" "&amp;IF(AND(Milestones!$AB$90="FT",Milestones!$AA$90=FT_Y5,EDATE($D65,Milestones!$AA$90)&lt;PolicyEff),1,Milestones!$AC$90)&amp;";  ","")&amp;IF(AND(EDATE($D65,Milestones!$AA$91)&lt;=AsOfDate,EDATE($D65,Milestones!$AA$91)&gt;=SchemeStart,IF($X65=0,$AD65,IF(AND($Z65&lt;&gt;"",EDATE($D65,Milestones!$AA$91)&gt;=$Z65),$AC65,IF(AND($Y65&lt;&gt;"",EDATE($D65,Milestones!$AA$91)&gt;=$Y65),$AB65,$AA65)))=Milestones!$AB$91),UPPER(TEXT(EDATE($D65,Milestones!$AA$91),"dd mmm yy"))&amp;" "&amp;Milestones!$AB$91&amp;" "&amp;IF(AND(Milestones!$AB$91="FT",Milestones!$AA$91=FT_Y5,EDATE($D65,Milestones!$AA$91)&lt;PolicyEff),1,Milestones!$AC$91)&amp;";  ",""))</f>
        <v/>
      </c>
      <c r="O65" s="0" t="str">
        <f aca="false">IF(OR($A65="",$D65=""),"",IF(AND(EDATE($D65,Milestones!$AA$92)&lt;=AsOfDate,EDATE($D65,Milestones!$AA$92)&gt;=SchemeStart,IF($X65=0,$AD65,IF(AND($Z65&lt;&gt;"",EDATE($D65,Milestones!$AA$92)&gt;=$Z65),$AC65,IF(AND($Y65&lt;&gt;"",EDATE($D65,Milestones!$AA$92)&gt;=$Y65),$AB65,$AA65)))=Milestones!$AB$92),UPPER(TEXT(EDATE($D65,Milestones!$AA$92),"dd mmm yy"))&amp;" "&amp;Milestones!$AB$92&amp;" "&amp;IF(AND(Milestones!$AB$92="FT",Milestones!$AA$92=FT_Y5,EDATE($D65,Milestones!$AA$92)&lt;PolicyEff),1,Milestones!$AC$92)&amp;";  ","")&amp;IF(AND(EDATE($D65,Milestones!$AA$93)&lt;=AsOfDate,EDATE($D65,Milestones!$AA$93)&gt;=SchemeStart,IF($X65=0,$AD65,IF(AND($Z65&lt;&gt;"",EDATE($D65,Milestones!$AA$93)&gt;=$Z65),$AC65,IF(AND($Y65&lt;&gt;"",EDATE($D65,Milestones!$AA$93)&gt;=$Y65),$AB65,$AA65)))=Milestones!$AB$93),UPPER(TEXT(EDATE($D65,Milestones!$AA$93),"dd mmm yy"))&amp;" "&amp;Milestones!$AB$93&amp;" "&amp;IF(AND(Milestones!$AB$93="FT",Milestones!$AA$93=FT_Y5,EDATE($D65,Milestones!$AA$93)&lt;PolicyEff),1,Milestones!$AC$93)&amp;";  ","")&amp;IF(AND(EDATE($D65,Milestones!$AA$94)&lt;=AsOfDate,EDATE($D65,Milestones!$AA$94)&gt;=SchemeStart,IF($X65=0,$AD65,IF(AND($Z65&lt;&gt;"",EDATE($D65,Milestones!$AA$94)&gt;=$Z65),$AC65,IF(AND($Y65&lt;&gt;"",EDATE($D65,Milestones!$AA$94)&gt;=$Y65),$AB65,$AA65)))=Milestones!$AB$94),UPPER(TEXT(EDATE($D65,Milestones!$AA$94),"dd mmm yy"))&amp;" "&amp;Milestones!$AB$94&amp;" "&amp;IF(AND(Milestones!$AB$94="FT",Milestones!$AA$94=FT_Y5,EDATE($D65,Milestones!$AA$94)&lt;PolicyEff),1,Milestones!$AC$94)&amp;";  ","")&amp;IF(AND(EDATE($D65,Milestones!$AA$95)&lt;=AsOfDate,EDATE($D65,Milestones!$AA$95)&gt;=SchemeStart,IF($X65=0,$AD65,IF(AND($Z65&lt;&gt;"",EDATE($D65,Milestones!$AA$95)&gt;=$Z65),$AC65,IF(AND($Y65&lt;&gt;"",EDATE($D65,Milestones!$AA$95)&gt;=$Y65),$AB65,$AA65)))=Milestones!$AB$95),UPPER(TEXT(EDATE($D65,Milestones!$AA$95),"dd mmm yy"))&amp;" "&amp;Milestones!$AB$95&amp;" "&amp;IF(AND(Milestones!$AB$95="FT",Milestones!$AA$95=FT_Y5,EDATE($D65,Milestones!$AA$95)&lt;PolicyEff),1,Milestones!$AC$95)&amp;";  ","")&amp;IF(AND(EDATE($D65,Milestones!$AA$96)&lt;=AsOfDate,EDATE($D65,Milestones!$AA$96)&gt;=SchemeStart,IF($X65=0,$AD65,IF(AND($Z65&lt;&gt;"",EDATE($D65,Milestones!$AA$96)&gt;=$Z65),$AC65,IF(AND($Y65&lt;&gt;"",EDATE($D65,Milestones!$AA$96)&gt;=$Y65),$AB65,$AA65)))=Milestones!$AB$96),UPPER(TEXT(EDATE($D65,Milestones!$AA$96),"dd mmm yy"))&amp;" "&amp;Milestones!$AB$96&amp;" "&amp;IF(AND(Milestones!$AB$96="FT",Milestones!$AA$96=FT_Y5,EDATE($D65,Milestones!$AA$96)&lt;PolicyEff),1,Milestones!$AC$96)&amp;";  ","")&amp;IF(AND(EDATE($D65,Milestones!$AA$97)&lt;=AsOfDate,EDATE($D65,Milestones!$AA$97)&gt;=SchemeStart,IF($X65=0,$AD65,IF(AND($Z65&lt;&gt;"",EDATE($D65,Milestones!$AA$97)&gt;=$Z65),$AC65,IF(AND($Y65&lt;&gt;"",EDATE($D65,Milestones!$AA$97)&gt;=$Y65),$AB65,$AA65)))=Milestones!$AB$97),UPPER(TEXT(EDATE($D65,Milestones!$AA$97),"dd mmm yy"))&amp;" "&amp;Milestones!$AB$97&amp;" "&amp;IF(AND(Milestones!$AB$97="FT",Milestones!$AA$97=FT_Y5,EDATE($D65,Milestones!$AA$97)&lt;PolicyEff),1,Milestones!$AC$97)&amp;";  ","")&amp;IF(AND(EDATE($D65,Milestones!$AA$98)&lt;=AsOfDate,EDATE($D65,Milestones!$AA$98)&gt;=SchemeStart,IF($X65=0,$AD65,IF(AND($Z65&lt;&gt;"",EDATE($D65,Milestones!$AA$98)&gt;=$Z65),$AC65,IF(AND($Y65&lt;&gt;"",EDATE($D65,Milestones!$AA$98)&gt;=$Y65),$AB65,$AA65)))=Milestones!$AB$98),UPPER(TEXT(EDATE($D65,Milestones!$AA$98),"dd mmm yy"))&amp;" "&amp;Milestones!$AB$98&amp;" "&amp;IF(AND(Milestones!$AB$98="FT",Milestones!$AA$98=FT_Y5,EDATE($D65,Milestones!$AA$98)&lt;PolicyEff),1,Milestones!$AC$98)&amp;";  ","")&amp;IF(AND(EDATE($D65,Milestones!$AA$99)&lt;=AsOfDate,EDATE($D65,Milestones!$AA$99)&gt;=SchemeStart,IF($X65=0,$AD65,IF(AND($Z65&lt;&gt;"",EDATE($D65,Milestones!$AA$99)&gt;=$Z65),$AC65,IF(AND($Y65&lt;&gt;"",EDATE($D65,Milestones!$AA$99)&gt;=$Y65),$AB65,$AA65)))=Milestones!$AB$99),UPPER(TEXT(EDATE($D65,Milestones!$AA$99),"dd mmm yy"))&amp;" "&amp;Milestones!$AB$99&amp;" "&amp;IF(AND(Milestones!$AB$99="FT",Milestones!$AA$99=FT_Y5,EDATE($D65,Milestones!$AA$99)&lt;PolicyEff),1,Milestones!$AC$99)&amp;";  ","")&amp;IF(AND(EDATE($D65,Milestones!$AA$100)&lt;=AsOfDate,EDATE($D65,Milestones!$AA$100)&gt;=SchemeStart,IF($X65=0,$AD65,IF(AND($Z65&lt;&gt;"",EDATE($D65,Milestones!$AA$100)&gt;=$Z65),$AC65,IF(AND($Y65&lt;&gt;"",EDATE($D65,Milestones!$AA$100)&gt;=$Y65),$AB65,$AA65)))=Milestones!$AB$100),UPPER(TEXT(EDATE($D65,Milestones!$AA$100),"dd mmm yy"))&amp;" "&amp;Milestones!$AB$100&amp;" "&amp;IF(AND(Milestones!$AB$100="FT",Milestones!$AA$100=FT_Y5,EDATE($D65,Milestones!$AA$100)&lt;PolicyEff),1,Milestones!$AC$100)&amp;";  ","")&amp;IF(AND(EDATE($D65,Milestones!$AA$101)&lt;=AsOfDate,EDATE($D65,Milestones!$AA$101)&gt;=SchemeStart,IF($X65=0,$AD65,IF(AND($Z65&lt;&gt;"",EDATE($D65,Milestones!$AA$101)&gt;=$Z65),$AC65,IF(AND($Y65&lt;&gt;"",EDATE($D65,Milestones!$AA$101)&gt;=$Y65),$AB65,$AA65)))=Milestones!$AB$101),UPPER(TEXT(EDATE($D65,Milestones!$AA$101),"dd mmm yy"))&amp;" "&amp;Milestones!$AB$101&amp;" "&amp;IF(AND(Milestones!$AB$101="FT",Milestones!$AA$101=FT_Y5,EDATE($D65,Milestones!$AA$101)&lt;PolicyEff),1,Milestones!$AC$101)&amp;";  ","")&amp;IF(AND(EDATE($D65,Milestones!$AA$102)&lt;=AsOfDate,EDATE($D65,Milestones!$AA$102)&gt;=SchemeStart,IF($X65=0,$AD65,IF(AND($Z65&lt;&gt;"",EDATE($D65,Milestones!$AA$102)&gt;=$Z65),$AC65,IF(AND($Y65&lt;&gt;"",EDATE($D65,Milestones!$AA$102)&gt;=$Y65),$AB65,$AA65)))=Milestones!$AB$102),UPPER(TEXT(EDATE($D65,Milestones!$AA$102),"dd mmm yy"))&amp;" "&amp;Milestones!$AB$102&amp;" "&amp;IF(AND(Milestones!$AB$102="FT",Milestones!$AA$102=FT_Y5,EDATE($D65,Milestones!$AA$102)&lt;PolicyEff),1,Milestones!$AC$102)&amp;";  ","")&amp;IF(AND(EDATE($D65,Milestones!$AA$103)&lt;=AsOfDate,EDATE($D65,Milestones!$AA$103)&gt;=SchemeStart,IF($X65=0,$AD65,IF(AND($Z65&lt;&gt;"",EDATE($D65,Milestones!$AA$103)&gt;=$Z65),$AC65,IF(AND($Y65&lt;&gt;"",EDATE($D65,Milestones!$AA$103)&gt;=$Y65),$AB65,$AA65)))=Milestones!$AB$103),UPPER(TEXT(EDATE($D65,Milestones!$AA$103),"dd mmm yy"))&amp;" "&amp;Milestones!$AB$103&amp;" "&amp;IF(AND(Milestones!$AB$103="FT",Milestones!$AA$103=FT_Y5,EDATE($D65,Milestones!$AA$103)&lt;PolicyEff),1,Milestones!$AC$103)&amp;";  ",""))</f>
        <v/>
      </c>
      <c r="P65" s="0" t="str">
        <f aca="false">IF(OR($A65="",$D65=""),"",IF(AND(EDATE($D65,Milestones!$AA$104)&lt;=AsOfDate,EDATE($D65,Milestones!$AA$104)&gt;=SchemeStart,IF($X65=0,$AD65,IF(AND($Z65&lt;&gt;"",EDATE($D65,Milestones!$AA$104)&gt;=$Z65),$AC65,IF(AND($Y65&lt;&gt;"",EDATE($D65,Milestones!$AA$104)&gt;=$Y65),$AB65,$AA65)))=Milestones!$AB$104),UPPER(TEXT(EDATE($D65,Milestones!$AA$104),"dd mmm yy"))&amp;" "&amp;Milestones!$AB$104&amp;" "&amp;IF(AND(Milestones!$AB$104="FT",Milestones!$AA$104=FT_Y5,EDATE($D65,Milestones!$AA$104)&lt;PolicyEff),1,Milestones!$AC$104)&amp;";  ","")&amp;IF(AND(EDATE($D65,Milestones!$AA$105)&lt;=AsOfDate,EDATE($D65,Milestones!$AA$105)&gt;=SchemeStart,IF($X65=0,$AD65,IF(AND($Z65&lt;&gt;"",EDATE($D65,Milestones!$AA$105)&gt;=$Z65),$AC65,IF(AND($Y65&lt;&gt;"",EDATE($D65,Milestones!$AA$105)&gt;=$Y65),$AB65,$AA65)))=Milestones!$AB$105),UPPER(TEXT(EDATE($D65,Milestones!$AA$105),"dd mmm yy"))&amp;" "&amp;Milestones!$AB$105&amp;" "&amp;IF(AND(Milestones!$AB$105="FT",Milestones!$AA$105=FT_Y5,EDATE($D65,Milestones!$AA$105)&lt;PolicyEff),1,Milestones!$AC$105)&amp;";  ","")&amp;IF(AND(EDATE($D65,Milestones!$AA$106)&lt;=AsOfDate,EDATE($D65,Milestones!$AA$106)&gt;=SchemeStart,IF($X65=0,$AD65,IF(AND($Z65&lt;&gt;"",EDATE($D65,Milestones!$AA$106)&gt;=$Z65),$AC65,IF(AND($Y65&lt;&gt;"",EDATE($D65,Milestones!$AA$106)&gt;=$Y65),$AB65,$AA65)))=Milestones!$AB$106),UPPER(TEXT(EDATE($D65,Milestones!$AA$106),"dd mmm yy"))&amp;" "&amp;Milestones!$AB$106&amp;" "&amp;IF(AND(Milestones!$AB$106="FT",Milestones!$AA$106=FT_Y5,EDATE($D65,Milestones!$AA$106)&lt;PolicyEff),1,Milestones!$AC$106)&amp;";  ","")&amp;IF(AND(EDATE($D65,Milestones!$AA$107)&lt;=AsOfDate,EDATE($D65,Milestones!$AA$107)&gt;=SchemeStart,IF($X65=0,$AD65,IF(AND($Z65&lt;&gt;"",EDATE($D65,Milestones!$AA$107)&gt;=$Z65),$AC65,IF(AND($Y65&lt;&gt;"",EDATE($D65,Milestones!$AA$107)&gt;=$Y65),$AB65,$AA65)))=Milestones!$AB$107),UPPER(TEXT(EDATE($D65,Milestones!$AA$107),"dd mmm yy"))&amp;" "&amp;Milestones!$AB$107&amp;" "&amp;IF(AND(Milestones!$AB$107="FT",Milestones!$AA$107=FT_Y5,EDATE($D65,Milestones!$AA$107)&lt;PolicyEff),1,Milestones!$AC$107)&amp;";  ","")&amp;IF(AND(EDATE($D65,Milestones!$AA$108)&lt;=AsOfDate,EDATE($D65,Milestones!$AA$108)&gt;=SchemeStart,IF($X65=0,$AD65,IF(AND($Z65&lt;&gt;"",EDATE($D65,Milestones!$AA$108)&gt;=$Z65),$AC65,IF(AND($Y65&lt;&gt;"",EDATE($D65,Milestones!$AA$108)&gt;=$Y65),$AB65,$AA65)))=Milestones!$AB$108),UPPER(TEXT(EDATE($D65,Milestones!$AA$108),"dd mmm yy"))&amp;" "&amp;Milestones!$AB$108&amp;" "&amp;IF(AND(Milestones!$AB$108="FT",Milestones!$AA$108=FT_Y5,EDATE($D65,Milestones!$AA$108)&lt;PolicyEff),1,Milestones!$AC$108)&amp;";  ","")&amp;IF(AND(EDATE($D65,Milestones!$AA$109)&lt;=AsOfDate,EDATE($D65,Milestones!$AA$109)&gt;=SchemeStart,IF($X65=0,$AD65,IF(AND($Z65&lt;&gt;"",EDATE($D65,Milestones!$AA$109)&gt;=$Z65),$AC65,IF(AND($Y65&lt;&gt;"",EDATE($D65,Milestones!$AA$109)&gt;=$Y65),$AB65,$AA65)))=Milestones!$AB$109),UPPER(TEXT(EDATE($D65,Milestones!$AA$109),"dd mmm yy"))&amp;" "&amp;Milestones!$AB$109&amp;" "&amp;IF(AND(Milestones!$AB$109="FT",Milestones!$AA$109=FT_Y5,EDATE($D65,Milestones!$AA$109)&lt;PolicyEff),1,Milestones!$AC$109)&amp;";  ","")&amp;IF(AND(EDATE($D65,Milestones!$AA$110)&lt;=AsOfDate,EDATE($D65,Milestones!$AA$110)&gt;=SchemeStart,IF($X65=0,$AD65,IF(AND($Z65&lt;&gt;"",EDATE($D65,Milestones!$AA$110)&gt;=$Z65),$AC65,IF(AND($Y65&lt;&gt;"",EDATE($D65,Milestones!$AA$110)&gt;=$Y65),$AB65,$AA65)))=Milestones!$AB$110),UPPER(TEXT(EDATE($D65,Milestones!$AA$110),"dd mmm yy"))&amp;" "&amp;Milestones!$AB$110&amp;" "&amp;IF(AND(Milestones!$AB$110="FT",Milestones!$AA$110=FT_Y5,EDATE($D65,Milestones!$AA$110)&lt;PolicyEff),1,Milestones!$AC$110)&amp;";  ","")&amp;IF(AND(EDATE($D65,Milestones!$AA$111)&lt;=AsOfDate,EDATE($D65,Milestones!$AA$111)&gt;=SchemeStart,IF($X65=0,$AD65,IF(AND($Z65&lt;&gt;"",EDATE($D65,Milestones!$AA$111)&gt;=$Z65),$AC65,IF(AND($Y65&lt;&gt;"",EDATE($D65,Milestones!$AA$111)&gt;=$Y65),$AB65,$AA65)))=Milestones!$AB$111),UPPER(TEXT(EDATE($D65,Milestones!$AA$111),"dd mmm yy"))&amp;" "&amp;Milestones!$AB$111&amp;" "&amp;IF(AND(Milestones!$AB$111="FT",Milestones!$AA$111=FT_Y5,EDATE($D65,Milestones!$AA$111)&lt;PolicyEff),1,Milestones!$AC$111)&amp;";  ","")&amp;IF(AND(EDATE($D65,Milestones!$AA$112)&lt;=AsOfDate,EDATE($D65,Milestones!$AA$112)&gt;=SchemeStart,IF($X65=0,$AD65,IF(AND($Z65&lt;&gt;"",EDATE($D65,Milestones!$AA$112)&gt;=$Z65),$AC65,IF(AND($Y65&lt;&gt;"",EDATE($D65,Milestones!$AA$112)&gt;=$Y65),$AB65,$AA65)))=Milestones!$AB$112),UPPER(TEXT(EDATE($D65,Milestones!$AA$112),"dd mmm yy"))&amp;" "&amp;Milestones!$AB$112&amp;" "&amp;IF(AND(Milestones!$AB$112="FT",Milestones!$AA$112=FT_Y5,EDATE($D65,Milestones!$AA$112)&lt;PolicyEff),1,Milestones!$AC$112)&amp;";  ","")&amp;IF(AND(EDATE($D65,Milestones!$AA$113)&lt;=AsOfDate,EDATE($D65,Milestones!$AA$113)&gt;=SchemeStart,IF($X65=0,$AD65,IF(AND($Z65&lt;&gt;"",EDATE($D65,Milestones!$AA$113)&gt;=$Z65),$AC65,IF(AND($Y65&lt;&gt;"",EDATE($D65,Milestones!$AA$113)&gt;=$Y65),$AB65,$AA65)))=Milestones!$AB$113),UPPER(TEXT(EDATE($D65,Milestones!$AA$113),"dd mmm yy"))&amp;" "&amp;Milestones!$AB$113&amp;" "&amp;IF(AND(Milestones!$AB$113="FT",Milestones!$AA$113=FT_Y5,EDATE($D65,Milestones!$AA$113)&lt;PolicyEff),1,Milestones!$AC$113)&amp;";  ","")&amp;IF(AND(EDATE($D65,Milestones!$AA$114)&lt;=AsOfDate,EDATE($D65,Milestones!$AA$114)&gt;=SchemeStart,IF($X65=0,$AD65,IF(AND($Z65&lt;&gt;"",EDATE($D65,Milestones!$AA$114)&gt;=$Z65),$AC65,IF(AND($Y65&lt;&gt;"",EDATE($D65,Milestones!$AA$114)&gt;=$Y65),$AB65,$AA65)))=Milestones!$AB$114),UPPER(TEXT(EDATE($D65,Milestones!$AA$114),"dd mmm yy"))&amp;" "&amp;Milestones!$AB$114&amp;" "&amp;IF(AND(Milestones!$AB$114="FT",Milestones!$AA$114=FT_Y5,EDATE($D65,Milestones!$AA$114)&lt;PolicyEff),1,Milestones!$AC$114)&amp;";  ","")&amp;IF(AND(EDATE($D65,Milestones!$AA$115)&lt;=AsOfDate,EDATE($D65,Milestones!$AA$115)&gt;=SchemeStart,IF($X65=0,$AD65,IF(AND($Z65&lt;&gt;"",EDATE($D65,Milestones!$AA$115)&gt;=$Z65),$AC65,IF(AND($Y65&lt;&gt;"",EDATE($D65,Milestones!$AA$115)&gt;=$Y65),$AB65,$AA65)))=Milestones!$AB$115),UPPER(TEXT(EDATE($D65,Milestones!$AA$115),"dd mmm yy"))&amp;" "&amp;Milestones!$AB$115&amp;" "&amp;IF(AND(Milestones!$AB$115="FT",Milestones!$AA$115=FT_Y5,EDATE($D65,Milestones!$AA$115)&lt;PolicyEff),1,Milestones!$AC$115)&amp;";  ",""))</f>
        <v/>
      </c>
      <c r="Q65" s="0" t="str">
        <f aca="false">IF(OR($A65="",$D65=""),"",IF(AND(EDATE($D65,Milestones!$AA$116)&lt;=AsOfDate,EDATE($D65,Milestones!$AA$116)&gt;=SchemeStart,IF($X65=0,$AD65,IF(AND($Z65&lt;&gt;"",EDATE($D65,Milestones!$AA$116)&gt;=$Z65),$AC65,IF(AND($Y65&lt;&gt;"",EDATE($D65,Milestones!$AA$116)&gt;=$Y65),$AB65,$AA65)))=Milestones!$AB$116),UPPER(TEXT(EDATE($D65,Milestones!$AA$116),"dd mmm yy"))&amp;" "&amp;Milestones!$AB$116&amp;" "&amp;IF(AND(Milestones!$AB$116="FT",Milestones!$AA$116=FT_Y5,EDATE($D65,Milestones!$AA$116)&lt;PolicyEff),1,Milestones!$AC$116)&amp;";  ","")&amp;IF(AND(EDATE($D65,Milestones!$AA$117)&lt;=AsOfDate,EDATE($D65,Milestones!$AA$117)&gt;=SchemeStart,IF($X65=0,$AD65,IF(AND($Z65&lt;&gt;"",EDATE($D65,Milestones!$AA$117)&gt;=$Z65),$AC65,IF(AND($Y65&lt;&gt;"",EDATE($D65,Milestones!$AA$117)&gt;=$Y65),$AB65,$AA65)))=Milestones!$AB$117),UPPER(TEXT(EDATE($D65,Milestones!$AA$117),"dd mmm yy"))&amp;" "&amp;Milestones!$AB$117&amp;" "&amp;IF(AND(Milestones!$AB$117="FT",Milestones!$AA$117=FT_Y5,EDATE($D65,Milestones!$AA$117)&lt;PolicyEff),1,Milestones!$AC$117)&amp;";  ","")&amp;IF(AND(EDATE($D65,Milestones!$AA$118)&lt;=AsOfDate,EDATE($D65,Milestones!$AA$118)&gt;=SchemeStart,IF($X65=0,$AD65,IF(AND($Z65&lt;&gt;"",EDATE($D65,Milestones!$AA$118)&gt;=$Z65),$AC65,IF(AND($Y65&lt;&gt;"",EDATE($D65,Milestones!$AA$118)&gt;=$Y65),$AB65,$AA65)))=Milestones!$AB$118),UPPER(TEXT(EDATE($D65,Milestones!$AA$118),"dd mmm yy"))&amp;" "&amp;Milestones!$AB$118&amp;" "&amp;IF(AND(Milestones!$AB$118="FT",Milestones!$AA$118=FT_Y5,EDATE($D65,Milestones!$AA$118)&lt;PolicyEff),1,Milestones!$AC$118)&amp;";  ","")&amp;IF(AND(EDATE($D65,Milestones!$AA$119)&lt;=AsOfDate,EDATE($D65,Milestones!$AA$119)&gt;=SchemeStart,IF($X65=0,$AD65,IF(AND($Z65&lt;&gt;"",EDATE($D65,Milestones!$AA$119)&gt;=$Z65),$AC65,IF(AND($Y65&lt;&gt;"",EDATE($D65,Milestones!$AA$119)&gt;=$Y65),$AB65,$AA65)))=Milestones!$AB$119),UPPER(TEXT(EDATE($D65,Milestones!$AA$119),"dd mmm yy"))&amp;" "&amp;Milestones!$AB$119&amp;" "&amp;IF(AND(Milestones!$AB$119="FT",Milestones!$AA$119=FT_Y5,EDATE($D65,Milestones!$AA$119)&lt;PolicyEff),1,Milestones!$AC$119)&amp;";  ","")&amp;IF(AND(EDATE($D65,Milestones!$AA$120)&lt;=AsOfDate,EDATE($D65,Milestones!$AA$120)&gt;=SchemeStart,IF($X65=0,$AD65,IF(AND($Z65&lt;&gt;"",EDATE($D65,Milestones!$AA$120)&gt;=$Z65),$AC65,IF(AND($Y65&lt;&gt;"",EDATE($D65,Milestones!$AA$120)&gt;=$Y65),$AB65,$AA65)))=Milestones!$AB$120),UPPER(TEXT(EDATE($D65,Milestones!$AA$120),"dd mmm yy"))&amp;" "&amp;Milestones!$AB$120&amp;" "&amp;IF(AND(Milestones!$AB$120="FT",Milestones!$AA$120=FT_Y5,EDATE($D65,Milestones!$AA$120)&lt;PolicyEff),1,Milestones!$AC$120)&amp;";  ","")&amp;IF(AND(EDATE($D65,Milestones!$AA$121)&lt;=AsOfDate,EDATE($D65,Milestones!$AA$121)&gt;=SchemeStart,IF($X65=0,$AD65,IF(AND($Z65&lt;&gt;"",EDATE($D65,Milestones!$AA$121)&gt;=$Z65),$AC65,IF(AND($Y65&lt;&gt;"",EDATE($D65,Milestones!$AA$121)&gt;=$Y65),$AB65,$AA65)))=Milestones!$AB$121),UPPER(TEXT(EDATE($D65,Milestones!$AA$121),"dd mmm yy"))&amp;" "&amp;Milestones!$AB$121&amp;" "&amp;IF(AND(Milestones!$AB$121="FT",Milestones!$AA$121=FT_Y5,EDATE($D65,Milestones!$AA$121)&lt;PolicyEff),1,Milestones!$AC$121)&amp;";  ","")&amp;IF(AND(EDATE($D65,Milestones!$AA$122)&lt;=AsOfDate,EDATE($D65,Milestones!$AA$122)&gt;=SchemeStart,IF($X65=0,$AD65,IF(AND($Z65&lt;&gt;"",EDATE($D65,Milestones!$AA$122)&gt;=$Z65),$AC65,IF(AND($Y65&lt;&gt;"",EDATE($D65,Milestones!$AA$122)&gt;=$Y65),$AB65,$AA65)))=Milestones!$AB$122),UPPER(TEXT(EDATE($D65,Milestones!$AA$122),"dd mmm yy"))&amp;" "&amp;Milestones!$AB$122&amp;" "&amp;IF(AND(Milestones!$AB$122="FT",Milestones!$AA$122=FT_Y5,EDATE($D65,Milestones!$AA$122)&lt;PolicyEff),1,Milestones!$AC$122)&amp;";  ","")&amp;IF(AND(EDATE($D65,Milestones!$AA$123)&lt;=AsOfDate,EDATE($D65,Milestones!$AA$123)&gt;=SchemeStart,IF($X65=0,$AD65,IF(AND($Z65&lt;&gt;"",EDATE($D65,Milestones!$AA$123)&gt;=$Z65),$AC65,IF(AND($Y65&lt;&gt;"",EDATE($D65,Milestones!$AA$123)&gt;=$Y65),$AB65,$AA65)))=Milestones!$AB$123),UPPER(TEXT(EDATE($D65,Milestones!$AA$123),"dd mmm yy"))&amp;" "&amp;Milestones!$AB$123&amp;" "&amp;IF(AND(Milestones!$AB$123="FT",Milestones!$AA$123=FT_Y5,EDATE($D65,Milestones!$AA$123)&lt;PolicyEff),1,Milestones!$AC$123)&amp;";  ","")&amp;IF(AND(EDATE($D65,Milestones!$AA$124)&lt;=AsOfDate,EDATE($D65,Milestones!$AA$124)&gt;=SchemeStart,IF($X65=0,$AD65,IF(AND($Z65&lt;&gt;"",EDATE($D65,Milestones!$AA$124)&gt;=$Z65),$AC65,IF(AND($Y65&lt;&gt;"",EDATE($D65,Milestones!$AA$124)&gt;=$Y65),$AB65,$AA65)))=Milestones!$AB$124),UPPER(TEXT(EDATE($D65,Milestones!$AA$124),"dd mmm yy"))&amp;" "&amp;Milestones!$AB$124&amp;" "&amp;IF(AND(Milestones!$AB$124="FT",Milestones!$AA$124=FT_Y5,EDATE($D65,Milestones!$AA$124)&lt;PolicyEff),1,Milestones!$AC$124)&amp;";  ","")&amp;IF(AND(EDATE($D65,Milestones!$AA$125)&lt;=AsOfDate,EDATE($D65,Milestones!$AA$125)&gt;=SchemeStart,IF($X65=0,$AD65,IF(AND($Z65&lt;&gt;"",EDATE($D65,Milestones!$AA$125)&gt;=$Z65),$AC65,IF(AND($Y65&lt;&gt;"",EDATE($D65,Milestones!$AA$125)&gt;=$Y65),$AB65,$AA65)))=Milestones!$AB$125),UPPER(TEXT(EDATE($D65,Milestones!$AA$125),"dd mmm yy"))&amp;" "&amp;Milestones!$AB$125&amp;" "&amp;IF(AND(Milestones!$AB$125="FT",Milestones!$AA$125=FT_Y5,EDATE($D65,Milestones!$AA$125)&lt;PolicyEff),1,Milestones!$AC$125)&amp;";  ","")&amp;IF(AND(EDATE($D65,Milestones!$AA$126)&lt;=AsOfDate,EDATE($D65,Milestones!$AA$126)&gt;=SchemeStart,IF($X65=0,$AD65,IF(AND($Z65&lt;&gt;"",EDATE($D65,Milestones!$AA$126)&gt;=$Z65),$AC65,IF(AND($Y65&lt;&gt;"",EDATE($D65,Milestones!$AA$126)&gt;=$Y65),$AB65,$AA65)))=Milestones!$AB$126),UPPER(TEXT(EDATE($D65,Milestones!$AA$126),"dd mmm yy"))&amp;" "&amp;Milestones!$AB$126&amp;" "&amp;IF(AND(Milestones!$AB$126="FT",Milestones!$AA$126=FT_Y5,EDATE($D65,Milestones!$AA$126)&lt;PolicyEff),1,Milestones!$AC$126)&amp;";  ","")&amp;IF(AND(EDATE($D65,Milestones!$AA$127)&lt;=AsOfDate,EDATE($D65,Milestones!$AA$127)&gt;=SchemeStart,IF($X65=0,$AD65,IF(AND($Z65&lt;&gt;"",EDATE($D65,Milestones!$AA$127)&gt;=$Z65),$AC65,IF(AND($Y65&lt;&gt;"",EDATE($D65,Milestones!$AA$127)&gt;=$Y65),$AB65,$AA65)))=Milestones!$AB$127),UPPER(TEXT(EDATE($D65,Milestones!$AA$127),"dd mmm yy"))&amp;" "&amp;Milestones!$AB$127&amp;" "&amp;IF(AND(Milestones!$AB$127="FT",Milestones!$AA$127=FT_Y5,EDATE($D65,Milestones!$AA$127)&lt;PolicyEff),1,Milestones!$AC$127)&amp;";  ",""))</f>
        <v/>
      </c>
      <c r="R65" s="0" t="str">
        <f aca="false">IF(OR($A65="",$D65=""),"",IF(AND(EDATE($D65,Milestones!$AA$128)&lt;=AsOfDate,EDATE($D65,Milestones!$AA$128)&gt;=SchemeStart,IF($X65=0,$AD65,IF(AND($Z65&lt;&gt;"",EDATE($D65,Milestones!$AA$128)&gt;=$Z65),$AC65,IF(AND($Y65&lt;&gt;"",EDATE($D65,Milestones!$AA$128)&gt;=$Y65),$AB65,$AA65)))=Milestones!$AB$128),UPPER(TEXT(EDATE($D65,Milestones!$AA$128),"dd mmm yy"))&amp;" "&amp;Milestones!$AB$128&amp;" "&amp;IF(AND(Milestones!$AB$128="FT",Milestones!$AA$128=FT_Y5,EDATE($D65,Milestones!$AA$128)&lt;PolicyEff),1,Milestones!$AC$128)&amp;";  ","")&amp;IF(AND(EDATE($D65,Milestones!$AA$129)&lt;=AsOfDate,EDATE($D65,Milestones!$AA$129)&gt;=SchemeStart,IF($X65=0,$AD65,IF(AND($Z65&lt;&gt;"",EDATE($D65,Milestones!$AA$129)&gt;=$Z65),$AC65,IF(AND($Y65&lt;&gt;"",EDATE($D65,Milestones!$AA$129)&gt;=$Y65),$AB65,$AA65)))=Milestones!$AB$129),UPPER(TEXT(EDATE($D65,Milestones!$AA$129),"dd mmm yy"))&amp;" "&amp;Milestones!$AB$129&amp;" "&amp;IF(AND(Milestones!$AB$129="FT",Milestones!$AA$129=FT_Y5,EDATE($D65,Milestones!$AA$129)&lt;PolicyEff),1,Milestones!$AC$129)&amp;";  ","")&amp;IF(AND(EDATE($D65,Milestones!$AA$130)&lt;=AsOfDate,EDATE($D65,Milestones!$AA$130)&gt;=SchemeStart,IF($X65=0,$AD65,IF(AND($Z65&lt;&gt;"",EDATE($D65,Milestones!$AA$130)&gt;=$Z65),$AC65,IF(AND($Y65&lt;&gt;"",EDATE($D65,Milestones!$AA$130)&gt;=$Y65),$AB65,$AA65)))=Milestones!$AB$130),UPPER(TEXT(EDATE($D65,Milestones!$AA$130),"dd mmm yy"))&amp;" "&amp;Milestones!$AB$130&amp;" "&amp;IF(AND(Milestones!$AB$130="FT",Milestones!$AA$130=FT_Y5,EDATE($D65,Milestones!$AA$130)&lt;PolicyEff),1,Milestones!$AC$130)&amp;";  ","")&amp;IF(AND(EDATE($D65,Milestones!$AA$131)&lt;=AsOfDate,EDATE($D65,Milestones!$AA$131)&gt;=SchemeStart,IF($X65=0,$AD65,IF(AND($Z65&lt;&gt;"",EDATE($D65,Milestones!$AA$131)&gt;=$Z65),$AC65,IF(AND($Y65&lt;&gt;"",EDATE($D65,Milestones!$AA$131)&gt;=$Y65),$AB65,$AA65)))=Milestones!$AB$131),UPPER(TEXT(EDATE($D65,Milestones!$AA$131),"dd mmm yy"))&amp;" "&amp;Milestones!$AB$131&amp;" "&amp;IF(AND(Milestones!$AB$131="FT",Milestones!$AA$131=FT_Y5,EDATE($D65,Milestones!$AA$131)&lt;PolicyEff),1,Milestones!$AC$131)&amp;";  ","")&amp;IF(AND(EDATE($D65,Milestones!$AA$132)&lt;=AsOfDate,EDATE($D65,Milestones!$AA$132)&gt;=SchemeStart,IF($X65=0,$AD65,IF(AND($Z65&lt;&gt;"",EDATE($D65,Milestones!$AA$132)&gt;=$Z65),$AC65,IF(AND($Y65&lt;&gt;"",EDATE($D65,Milestones!$AA$132)&gt;=$Y65),$AB65,$AA65)))=Milestones!$AB$132),UPPER(TEXT(EDATE($D65,Milestones!$AA$132),"dd mmm yy"))&amp;" "&amp;Milestones!$AB$132&amp;" "&amp;IF(AND(Milestones!$AB$132="FT",Milestones!$AA$132=FT_Y5,EDATE($D65,Milestones!$AA$132)&lt;PolicyEff),1,Milestones!$AC$132)&amp;";  ","")&amp;IF(AND(EDATE($D65,Milestones!$AA$133)&lt;=AsOfDate,EDATE($D65,Milestones!$AA$133)&gt;=SchemeStart,IF($X65=0,$AD65,IF(AND($Z65&lt;&gt;"",EDATE($D65,Milestones!$AA$133)&gt;=$Z65),$AC65,IF(AND($Y65&lt;&gt;"",EDATE($D65,Milestones!$AA$133)&gt;=$Y65),$AB65,$AA65)))=Milestones!$AB$133),UPPER(TEXT(EDATE($D65,Milestones!$AA$133),"dd mmm yy"))&amp;" "&amp;Milestones!$AB$133&amp;" "&amp;IF(AND(Milestones!$AB$133="FT",Milestones!$AA$133=FT_Y5,EDATE($D65,Milestones!$AA$133)&lt;PolicyEff),1,Milestones!$AC$133)&amp;";  ","")&amp;IF(AND(EDATE($D65,Milestones!$AA$134)&lt;=AsOfDate,EDATE($D65,Milestones!$AA$134)&gt;=SchemeStart,IF($X65=0,$AD65,IF(AND($Z65&lt;&gt;"",EDATE($D65,Milestones!$AA$134)&gt;=$Z65),$AC65,IF(AND($Y65&lt;&gt;"",EDATE($D65,Milestones!$AA$134)&gt;=$Y65),$AB65,$AA65)))=Milestones!$AB$134),UPPER(TEXT(EDATE($D65,Milestones!$AA$134),"dd mmm yy"))&amp;" "&amp;Milestones!$AB$134&amp;" "&amp;IF(AND(Milestones!$AB$134="FT",Milestones!$AA$134=FT_Y5,EDATE($D65,Milestones!$AA$134)&lt;PolicyEff),1,Milestones!$AC$134)&amp;";  ","")&amp;IF(AND(EDATE($D65,Milestones!$AA$135)&lt;=AsOfDate,EDATE($D65,Milestones!$AA$135)&gt;=SchemeStart,IF($X65=0,$AD65,IF(AND($Z65&lt;&gt;"",EDATE($D65,Milestones!$AA$135)&gt;=$Z65),$AC65,IF(AND($Y65&lt;&gt;"",EDATE($D65,Milestones!$AA$135)&gt;=$Y65),$AB65,$AA65)))=Milestones!$AB$135),UPPER(TEXT(EDATE($D65,Milestones!$AA$135),"dd mmm yy"))&amp;" "&amp;Milestones!$AB$135&amp;" "&amp;IF(AND(Milestones!$AB$135="FT",Milestones!$AA$135=FT_Y5,EDATE($D65,Milestones!$AA$135)&lt;PolicyEff),1,Milestones!$AC$135)&amp;";  ","")&amp;IF(AND(EDATE($D65,Milestones!$AA$136)&lt;=AsOfDate,EDATE($D65,Milestones!$AA$136)&gt;=SchemeStart,IF($X65=0,$AD65,IF(AND($Z65&lt;&gt;"",EDATE($D65,Milestones!$AA$136)&gt;=$Z65),$AC65,IF(AND($Y65&lt;&gt;"",EDATE($D65,Milestones!$AA$136)&gt;=$Y65),$AB65,$AA65)))=Milestones!$AB$136),UPPER(TEXT(EDATE($D65,Milestones!$AA$136),"dd mmm yy"))&amp;" "&amp;Milestones!$AB$136&amp;" "&amp;IF(AND(Milestones!$AB$136="FT",Milestones!$AA$136=FT_Y5,EDATE($D65,Milestones!$AA$136)&lt;PolicyEff),1,Milestones!$AC$136)&amp;";  ","")&amp;IF(AND(EDATE($D65,Milestones!$AA$137)&lt;=AsOfDate,EDATE($D65,Milestones!$AA$137)&gt;=SchemeStart,IF($X65=0,$AD65,IF(AND($Z65&lt;&gt;"",EDATE($D65,Milestones!$AA$137)&gt;=$Z65),$AC65,IF(AND($Y65&lt;&gt;"",EDATE($D65,Milestones!$AA$137)&gt;=$Y65),$AB65,$AA65)))=Milestones!$AB$137),UPPER(TEXT(EDATE($D65,Milestones!$AA$137),"dd mmm yy"))&amp;" "&amp;Milestones!$AB$137&amp;" "&amp;IF(AND(Milestones!$AB$137="FT",Milestones!$AA$137=FT_Y5,EDATE($D65,Milestones!$AA$137)&lt;PolicyEff),1,Milestones!$AC$137)&amp;";  ","")&amp;IF(AND(EDATE($D65,Milestones!$AA$138)&lt;=AsOfDate,EDATE($D65,Milestones!$AA$138)&gt;=SchemeStart,IF($X65=0,$AD65,IF(AND($Z65&lt;&gt;"",EDATE($D65,Milestones!$AA$138)&gt;=$Z65),$AC65,IF(AND($Y65&lt;&gt;"",EDATE($D65,Milestones!$AA$138)&gt;=$Y65),$AB65,$AA65)))=Milestones!$AB$138),UPPER(TEXT(EDATE($D65,Milestones!$AA$138),"dd mmm yy"))&amp;" "&amp;Milestones!$AB$138&amp;" "&amp;IF(AND(Milestones!$AB$138="FT",Milestones!$AA$138=FT_Y5,EDATE($D65,Milestones!$AA$138)&lt;PolicyEff),1,Milestones!$AC$138)&amp;";  ","")&amp;IF(AND(EDATE($D65,Milestones!$AA$139)&lt;=AsOfDate,EDATE($D65,Milestones!$AA$139)&gt;=SchemeStart,IF($X65=0,$AD65,IF(AND($Z65&lt;&gt;"",EDATE($D65,Milestones!$AA$139)&gt;=$Z65),$AC65,IF(AND($Y65&lt;&gt;"",EDATE($D65,Milestones!$AA$139)&gt;=$Y65),$AB65,$AA65)))=Milestones!$AB$139),UPPER(TEXT(EDATE($D65,Milestones!$AA$139),"dd mmm yy"))&amp;" "&amp;Milestones!$AB$139&amp;" "&amp;IF(AND(Milestones!$AB$139="FT",Milestones!$AA$139=FT_Y5,EDATE($D65,Milestones!$AA$139)&lt;PolicyEff),1,Milestones!$AC$139)&amp;";  ",""))</f>
        <v/>
      </c>
      <c r="S65" s="0" t="str">
        <f aca="false">IF(OR($A65="",$D65=""),"",IF(AND(EDATE($D65,Milestones!$AA$140)&lt;=AsOfDate,EDATE($D65,Milestones!$AA$140)&gt;=SchemeStart,IF($X65=0,$AD65,IF(AND($Z65&lt;&gt;"",EDATE($D65,Milestones!$AA$140)&gt;=$Z65),$AC65,IF(AND($Y65&lt;&gt;"",EDATE($D65,Milestones!$AA$140)&gt;=$Y65),$AB65,$AA65)))=Milestones!$AB$140),UPPER(TEXT(EDATE($D65,Milestones!$AA$140),"dd mmm yy"))&amp;" "&amp;Milestones!$AB$140&amp;" "&amp;IF(AND(Milestones!$AB$140="FT",Milestones!$AA$140=FT_Y5,EDATE($D65,Milestones!$AA$140)&lt;PolicyEff),1,Milestones!$AC$140)&amp;";  ","")&amp;IF(AND(EDATE($D65,Milestones!$AA$141)&lt;=AsOfDate,EDATE($D65,Milestones!$AA$141)&gt;=SchemeStart,IF($X65=0,$AD65,IF(AND($Z65&lt;&gt;"",EDATE($D65,Milestones!$AA$141)&gt;=$Z65),$AC65,IF(AND($Y65&lt;&gt;"",EDATE($D65,Milestones!$AA$141)&gt;=$Y65),$AB65,$AA65)))=Milestones!$AB$141),UPPER(TEXT(EDATE($D65,Milestones!$AA$141),"dd mmm yy"))&amp;" "&amp;Milestones!$AB$141&amp;" "&amp;IF(AND(Milestones!$AB$141="FT",Milestones!$AA$141=FT_Y5,EDATE($D65,Milestones!$AA$141)&lt;PolicyEff),1,Milestones!$AC$141)&amp;";  ","")&amp;IF(AND(EDATE($D65,Milestones!$AA$142)&lt;=AsOfDate,EDATE($D65,Milestones!$AA$142)&gt;=SchemeStart,IF($X65=0,$AD65,IF(AND($Z65&lt;&gt;"",EDATE($D65,Milestones!$AA$142)&gt;=$Z65),$AC65,IF(AND($Y65&lt;&gt;"",EDATE($D65,Milestones!$AA$142)&gt;=$Y65),$AB65,$AA65)))=Milestones!$AB$142),UPPER(TEXT(EDATE($D65,Milestones!$AA$142),"dd mmm yy"))&amp;" "&amp;Milestones!$AB$142&amp;" "&amp;IF(AND(Milestones!$AB$142="FT",Milestones!$AA$142=FT_Y5,EDATE($D65,Milestones!$AA$142)&lt;PolicyEff),1,Milestones!$AC$142)&amp;";  ","")&amp;IF(AND(EDATE($D65,Milestones!$AA$143)&lt;=AsOfDate,EDATE($D65,Milestones!$AA$143)&gt;=SchemeStart,IF($X65=0,$AD65,IF(AND($Z65&lt;&gt;"",EDATE($D65,Milestones!$AA$143)&gt;=$Z65),$AC65,IF(AND($Y65&lt;&gt;"",EDATE($D65,Milestones!$AA$143)&gt;=$Y65),$AB65,$AA65)))=Milestones!$AB$143),UPPER(TEXT(EDATE($D65,Milestones!$AA$143),"dd mmm yy"))&amp;" "&amp;Milestones!$AB$143&amp;" "&amp;IF(AND(Milestones!$AB$143="FT",Milestones!$AA$143=FT_Y5,EDATE($D65,Milestones!$AA$143)&lt;PolicyEff),1,Milestones!$AC$143)&amp;";  ","")&amp;IF(AND(EDATE($D65,Milestones!$AA$144)&lt;=AsOfDate,EDATE($D65,Milestones!$AA$144)&gt;=SchemeStart,IF($X65=0,$AD65,IF(AND($Z65&lt;&gt;"",EDATE($D65,Milestones!$AA$144)&gt;=$Z65),$AC65,IF(AND($Y65&lt;&gt;"",EDATE($D65,Milestones!$AA$144)&gt;=$Y65),$AB65,$AA65)))=Milestones!$AB$144),UPPER(TEXT(EDATE($D65,Milestones!$AA$144),"dd mmm yy"))&amp;" "&amp;Milestones!$AB$144&amp;" "&amp;IF(AND(Milestones!$AB$144="FT",Milestones!$AA$144=FT_Y5,EDATE($D65,Milestones!$AA$144)&lt;PolicyEff),1,Milestones!$AC$144)&amp;";  ","")&amp;IF(AND(EDATE($D65,Milestones!$AA$145)&lt;=AsOfDate,EDATE($D65,Milestones!$AA$145)&gt;=SchemeStart,IF($X65=0,$AD65,IF(AND($Z65&lt;&gt;"",EDATE($D65,Milestones!$AA$145)&gt;=$Z65),$AC65,IF(AND($Y65&lt;&gt;"",EDATE($D65,Milestones!$AA$145)&gt;=$Y65),$AB65,$AA65)))=Milestones!$AB$145),UPPER(TEXT(EDATE($D65,Milestones!$AA$145),"dd mmm yy"))&amp;" "&amp;Milestones!$AB$145&amp;" "&amp;IF(AND(Milestones!$AB$145="FT",Milestones!$AA$145=FT_Y5,EDATE($D65,Milestones!$AA$145)&lt;PolicyEff),1,Milestones!$AC$145)&amp;";  ","")&amp;IF(AND(EDATE($D65,Milestones!$AA$146)&lt;=AsOfDate,EDATE($D65,Milestones!$AA$146)&gt;=SchemeStart,IF($X65=0,$AD65,IF(AND($Z65&lt;&gt;"",EDATE($D65,Milestones!$AA$146)&gt;=$Z65),$AC65,IF(AND($Y65&lt;&gt;"",EDATE($D65,Milestones!$AA$146)&gt;=$Y65),$AB65,$AA65)))=Milestones!$AB$146),UPPER(TEXT(EDATE($D65,Milestones!$AA$146),"dd mmm yy"))&amp;" "&amp;Milestones!$AB$146&amp;" "&amp;IF(AND(Milestones!$AB$146="FT",Milestones!$AA$146=FT_Y5,EDATE($D65,Milestones!$AA$146)&lt;PolicyEff),1,Milestones!$AC$146)&amp;";  ","")&amp;IF(AND(EDATE($D65,Milestones!$AA$147)&lt;=AsOfDate,EDATE($D65,Milestones!$AA$147)&gt;=SchemeStart,IF($X65=0,$AD65,IF(AND($Z65&lt;&gt;"",EDATE($D65,Milestones!$AA$147)&gt;=$Z65),$AC65,IF(AND($Y65&lt;&gt;"",EDATE($D65,Milestones!$AA$147)&gt;=$Y65),$AB65,$AA65)))=Milestones!$AB$147),UPPER(TEXT(EDATE($D65,Milestones!$AA$147),"dd mmm yy"))&amp;" "&amp;Milestones!$AB$147&amp;" "&amp;IF(AND(Milestones!$AB$147="FT",Milestones!$AA$147=FT_Y5,EDATE($D65,Milestones!$AA$147)&lt;PolicyEff),1,Milestones!$AC$147)&amp;";  ","")&amp;IF(AND(EDATE($D65,Milestones!$AA$148)&lt;=AsOfDate,EDATE($D65,Milestones!$AA$148)&gt;=SchemeStart,IF($X65=0,$AD65,IF(AND($Z65&lt;&gt;"",EDATE($D65,Milestones!$AA$148)&gt;=$Z65),$AC65,IF(AND($Y65&lt;&gt;"",EDATE($D65,Milestones!$AA$148)&gt;=$Y65),$AB65,$AA65)))=Milestones!$AB$148),UPPER(TEXT(EDATE($D65,Milestones!$AA$148),"dd mmm yy"))&amp;" "&amp;Milestones!$AB$148&amp;" "&amp;IF(AND(Milestones!$AB$148="FT",Milestones!$AA$148=FT_Y5,EDATE($D65,Milestones!$AA$148)&lt;PolicyEff),1,Milestones!$AC$148)&amp;";  ","")&amp;IF(AND(EDATE($D65,Milestones!$AA$149)&lt;=AsOfDate,EDATE($D65,Milestones!$AA$149)&gt;=SchemeStart,IF($X65=0,$AD65,IF(AND($Z65&lt;&gt;"",EDATE($D65,Milestones!$AA$149)&gt;=$Z65),$AC65,IF(AND($Y65&lt;&gt;"",EDATE($D65,Milestones!$AA$149)&gt;=$Y65),$AB65,$AA65)))=Milestones!$AB$149),UPPER(TEXT(EDATE($D65,Milestones!$AA$149),"dd mmm yy"))&amp;" "&amp;Milestones!$AB$149&amp;" "&amp;IF(AND(Milestones!$AB$149="FT",Milestones!$AA$149=FT_Y5,EDATE($D65,Milestones!$AA$149)&lt;PolicyEff),1,Milestones!$AC$149)&amp;";  ","")&amp;IF(AND(EDATE($D65,Milestones!$AA$150)&lt;=AsOfDate,EDATE($D65,Milestones!$AA$150)&gt;=SchemeStart,IF($X65=0,$AD65,IF(AND($Z65&lt;&gt;"",EDATE($D65,Milestones!$AA$150)&gt;=$Z65),$AC65,IF(AND($Y65&lt;&gt;"",EDATE($D65,Milestones!$AA$150)&gt;=$Y65),$AB65,$AA65)))=Milestones!$AB$150),UPPER(TEXT(EDATE($D65,Milestones!$AA$150),"dd mmm yy"))&amp;" "&amp;Milestones!$AB$150&amp;" "&amp;IF(AND(Milestones!$AB$150="FT",Milestones!$AA$150=FT_Y5,EDATE($D65,Milestones!$AA$150)&lt;PolicyEff),1,Milestones!$AC$150)&amp;";  ","")&amp;IF(AND(EDATE($D65,Milestones!$AA$151)&lt;=AsOfDate,EDATE($D65,Milestones!$AA$151)&gt;=SchemeStart,IF($X65=0,$AD65,IF(AND($Z65&lt;&gt;"",EDATE($D65,Milestones!$AA$151)&gt;=$Z65),$AC65,IF(AND($Y65&lt;&gt;"",EDATE($D65,Milestones!$AA$151)&gt;=$Y65),$AB65,$AA65)))=Milestones!$AB$151),UPPER(TEXT(EDATE($D65,Milestones!$AA$151),"dd mmm yy"))&amp;" "&amp;Milestones!$AB$151&amp;" "&amp;IF(AND(Milestones!$AB$151="FT",Milestones!$AA$151=FT_Y5,EDATE($D65,Milestones!$AA$151)&lt;PolicyEff),1,Milestones!$AC$151)&amp;";  ",""))</f>
        <v/>
      </c>
      <c r="T65" s="0" t="str">
        <f aca="false">IF(OR($A65="",$D65=""),"",IF(AND(EDATE($D65,Milestones!$AA$152)&lt;=AsOfDate,EDATE($D65,Milestones!$AA$152)&gt;=SchemeStart,IF($X65=0,$AD65,IF(AND($Z65&lt;&gt;"",EDATE($D65,Milestones!$AA$152)&gt;=$Z65),$AC65,IF(AND($Y65&lt;&gt;"",EDATE($D65,Milestones!$AA$152)&gt;=$Y65),$AB65,$AA65)))=Milestones!$AB$152),UPPER(TEXT(EDATE($D65,Milestones!$AA$152),"dd mmm yy"))&amp;" "&amp;Milestones!$AB$152&amp;" "&amp;IF(AND(Milestones!$AB$152="FT",Milestones!$AA$152=FT_Y5,EDATE($D65,Milestones!$AA$152)&lt;PolicyEff),1,Milestones!$AC$152)&amp;";  ","")&amp;IF(AND(EDATE($D65,Milestones!$AA$153)&lt;=AsOfDate,EDATE($D65,Milestones!$AA$153)&gt;=SchemeStart,IF($X65=0,$AD65,IF(AND($Z65&lt;&gt;"",EDATE($D65,Milestones!$AA$153)&gt;=$Z65),$AC65,IF(AND($Y65&lt;&gt;"",EDATE($D65,Milestones!$AA$153)&gt;=$Y65),$AB65,$AA65)))=Milestones!$AB$153),UPPER(TEXT(EDATE($D65,Milestones!$AA$153),"dd mmm yy"))&amp;" "&amp;Milestones!$AB$153&amp;" "&amp;IF(AND(Milestones!$AB$153="FT",Milestones!$AA$153=FT_Y5,EDATE($D65,Milestones!$AA$153)&lt;PolicyEff),1,Milestones!$AC$153)&amp;";  ","")&amp;IF(AND(EDATE($D65,Milestones!$AA$154)&lt;=AsOfDate,EDATE($D65,Milestones!$AA$154)&gt;=SchemeStart,IF($X65=0,$AD65,IF(AND($Z65&lt;&gt;"",EDATE($D65,Milestones!$AA$154)&gt;=$Z65),$AC65,IF(AND($Y65&lt;&gt;"",EDATE($D65,Milestones!$AA$154)&gt;=$Y65),$AB65,$AA65)))=Milestones!$AB$154),UPPER(TEXT(EDATE($D65,Milestones!$AA$154),"dd mmm yy"))&amp;" "&amp;Milestones!$AB$154&amp;" "&amp;IF(AND(Milestones!$AB$154="FT",Milestones!$AA$154=FT_Y5,EDATE($D65,Milestones!$AA$154)&lt;PolicyEff),1,Milestones!$AC$154)&amp;";  ","")&amp;IF(AND(EDATE($D65,Milestones!$AA$155)&lt;=AsOfDate,EDATE($D65,Milestones!$AA$155)&gt;=SchemeStart,IF($X65=0,$AD65,IF(AND($Z65&lt;&gt;"",EDATE($D65,Milestones!$AA$155)&gt;=$Z65),$AC65,IF(AND($Y65&lt;&gt;"",EDATE($D65,Milestones!$AA$155)&gt;=$Y65),$AB65,$AA65)))=Milestones!$AB$155),UPPER(TEXT(EDATE($D65,Milestones!$AA$155),"dd mmm yy"))&amp;" "&amp;Milestones!$AB$155&amp;" "&amp;IF(AND(Milestones!$AB$155="FT",Milestones!$AA$155=FT_Y5,EDATE($D65,Milestones!$AA$155)&lt;PolicyEff),1,Milestones!$AC$155)&amp;";  ","")&amp;IF(AND(EDATE($D65,Milestones!$AA$156)&lt;=AsOfDate,EDATE($D65,Milestones!$AA$156)&gt;=SchemeStart,IF($X65=0,$AD65,IF(AND($Z65&lt;&gt;"",EDATE($D65,Milestones!$AA$156)&gt;=$Z65),$AC65,IF(AND($Y65&lt;&gt;"",EDATE($D65,Milestones!$AA$156)&gt;=$Y65),$AB65,$AA65)))=Milestones!$AB$156),UPPER(TEXT(EDATE($D65,Milestones!$AA$156),"dd mmm yy"))&amp;" "&amp;Milestones!$AB$156&amp;" "&amp;IF(AND(Milestones!$AB$156="FT",Milestones!$AA$156=FT_Y5,EDATE($D65,Milestones!$AA$156)&lt;PolicyEff),1,Milestones!$AC$156)&amp;";  ","")&amp;IF(AND(EDATE($D65,Milestones!$AA$157)&lt;=AsOfDate,EDATE($D65,Milestones!$AA$157)&gt;=SchemeStart,IF($X65=0,$AD65,IF(AND($Z65&lt;&gt;"",EDATE($D65,Milestones!$AA$157)&gt;=$Z65),$AC65,IF(AND($Y65&lt;&gt;"",EDATE($D65,Milestones!$AA$157)&gt;=$Y65),$AB65,$AA65)))=Milestones!$AB$157),UPPER(TEXT(EDATE($D65,Milestones!$AA$157),"dd mmm yy"))&amp;" "&amp;Milestones!$AB$157&amp;" "&amp;IF(AND(Milestones!$AB$157="FT",Milestones!$AA$157=FT_Y5,EDATE($D65,Milestones!$AA$157)&lt;PolicyEff),1,Milestones!$AC$157)&amp;";  ","")&amp;IF(AND(EDATE($D65,Milestones!$AA$158)&lt;=AsOfDate,EDATE($D65,Milestones!$AA$158)&gt;=SchemeStart,IF($X65=0,$AD65,IF(AND($Z65&lt;&gt;"",EDATE($D65,Milestones!$AA$158)&gt;=$Z65),$AC65,IF(AND($Y65&lt;&gt;"",EDATE($D65,Milestones!$AA$158)&gt;=$Y65),$AB65,$AA65)))=Milestones!$AB$158),UPPER(TEXT(EDATE($D65,Milestones!$AA$158),"dd mmm yy"))&amp;" "&amp;Milestones!$AB$158&amp;" "&amp;IF(AND(Milestones!$AB$158="FT",Milestones!$AA$158=FT_Y5,EDATE($D65,Milestones!$AA$158)&lt;PolicyEff),1,Milestones!$AC$158)&amp;";  ","")&amp;IF(AND(EDATE($D65,Milestones!$AA$159)&lt;=AsOfDate,EDATE($D65,Milestones!$AA$159)&gt;=SchemeStart,IF($X65=0,$AD65,IF(AND($Z65&lt;&gt;"",EDATE($D65,Milestones!$AA$159)&gt;=$Z65),$AC65,IF(AND($Y65&lt;&gt;"",EDATE($D65,Milestones!$AA$159)&gt;=$Y65),$AB65,$AA65)))=Milestones!$AB$159),UPPER(TEXT(EDATE($D65,Milestones!$AA$159),"dd mmm yy"))&amp;" "&amp;Milestones!$AB$159&amp;" "&amp;IF(AND(Milestones!$AB$159="FT",Milestones!$AA$159=FT_Y5,EDATE($D65,Milestones!$AA$159)&lt;PolicyEff),1,Milestones!$AC$159)&amp;";  ","")&amp;IF(AND(EDATE($D65,Milestones!$AA$160)&lt;=AsOfDate,EDATE($D65,Milestones!$AA$160)&gt;=SchemeStart,IF($X65=0,$AD65,IF(AND($Z65&lt;&gt;"",EDATE($D65,Milestones!$AA$160)&gt;=$Z65),$AC65,IF(AND($Y65&lt;&gt;"",EDATE($D65,Milestones!$AA$160)&gt;=$Y65),$AB65,$AA65)))=Milestones!$AB$160),UPPER(TEXT(EDATE($D65,Milestones!$AA$160),"dd mmm yy"))&amp;" "&amp;Milestones!$AB$160&amp;" "&amp;IF(AND(Milestones!$AB$160="FT",Milestones!$AA$160=FT_Y5,EDATE($D65,Milestones!$AA$160)&lt;PolicyEff),1,Milestones!$AC$160)&amp;";  ","")&amp;IF(AND(EDATE($D65,Milestones!$AA$161)&lt;=AsOfDate,EDATE($D65,Milestones!$AA$161)&gt;=SchemeStart,IF($X65=0,$AD65,IF(AND($Z65&lt;&gt;"",EDATE($D65,Milestones!$AA$161)&gt;=$Z65),$AC65,IF(AND($Y65&lt;&gt;"",EDATE($D65,Milestones!$AA$161)&gt;=$Y65),$AB65,$AA65)))=Milestones!$AB$161),UPPER(TEXT(EDATE($D65,Milestones!$AA$161),"dd mmm yy"))&amp;" "&amp;Milestones!$AB$161&amp;" "&amp;IF(AND(Milestones!$AB$161="FT",Milestones!$AA$161=FT_Y5,EDATE($D65,Milestones!$AA$161)&lt;PolicyEff),1,Milestones!$AC$161)&amp;";  ","")&amp;IF(AND(EDATE($D65,Milestones!$AA$162)&lt;=AsOfDate,EDATE($D65,Milestones!$AA$162)&gt;=SchemeStart,IF($X65=0,$AD65,IF(AND($Z65&lt;&gt;"",EDATE($D65,Milestones!$AA$162)&gt;=$Z65),$AC65,IF(AND($Y65&lt;&gt;"",EDATE($D65,Milestones!$AA$162)&gt;=$Y65),$AB65,$AA65)))=Milestones!$AB$162),UPPER(TEXT(EDATE($D65,Milestones!$AA$162),"dd mmm yy"))&amp;" "&amp;Milestones!$AB$162&amp;" "&amp;IF(AND(Milestones!$AB$162="FT",Milestones!$AA$162=FT_Y5,EDATE($D65,Milestones!$AA$162)&lt;PolicyEff),1,Milestones!$AC$162)&amp;";  ","")&amp;IF(AND(EDATE($D65,Milestones!$AA$163)&lt;=AsOfDate,EDATE($D65,Milestones!$AA$163)&gt;=SchemeStart,IF($X65=0,$AD65,IF(AND($Z65&lt;&gt;"",EDATE($D65,Milestones!$AA$163)&gt;=$Z65),$AC65,IF(AND($Y65&lt;&gt;"",EDATE($D65,Milestones!$AA$163)&gt;=$Y65),$AB65,$AA65)))=Milestones!$AB$163),UPPER(TEXT(EDATE($D65,Milestones!$AA$163),"dd mmm yy"))&amp;" "&amp;Milestones!$AB$163&amp;" "&amp;IF(AND(Milestones!$AB$163="FT",Milestones!$AA$163=FT_Y5,EDATE($D65,Milestones!$AA$163)&lt;PolicyEff),1,Milestones!$AC$163)&amp;";  ",""))</f>
        <v/>
      </c>
      <c r="U65" s="0" t="str">
        <f aca="false">IF(OR($A65="",$D65=""),"",IF(AND(EDATE($D65,Milestones!$AA$164)&lt;=AsOfDate,EDATE($D65,Milestones!$AA$164)&gt;=SchemeStart,IF($X65=0,$AD65,IF(AND($Z65&lt;&gt;"",EDATE($D65,Milestones!$AA$164)&gt;=$Z65),$AC65,IF(AND($Y65&lt;&gt;"",EDATE($D65,Milestones!$AA$164)&gt;=$Y65),$AB65,$AA65)))=Milestones!$AB$164),UPPER(TEXT(EDATE($D65,Milestones!$AA$164),"dd mmm yy"))&amp;" "&amp;Milestones!$AB$164&amp;" "&amp;IF(AND(Milestones!$AB$164="FT",Milestones!$AA$164=FT_Y5,EDATE($D65,Milestones!$AA$164)&lt;PolicyEff),1,Milestones!$AC$164)&amp;";  ","")&amp;IF(AND(EDATE($D65,Milestones!$AA$165)&lt;=AsOfDate,EDATE($D65,Milestones!$AA$165)&gt;=SchemeStart,IF($X65=0,$AD65,IF(AND($Z65&lt;&gt;"",EDATE($D65,Milestones!$AA$165)&gt;=$Z65),$AC65,IF(AND($Y65&lt;&gt;"",EDATE($D65,Milestones!$AA$165)&gt;=$Y65),$AB65,$AA65)))=Milestones!$AB$165),UPPER(TEXT(EDATE($D65,Milestones!$AA$165),"dd mmm yy"))&amp;" "&amp;Milestones!$AB$165&amp;" "&amp;IF(AND(Milestones!$AB$165="FT",Milestones!$AA$165=FT_Y5,EDATE($D65,Milestones!$AA$165)&lt;PolicyEff),1,Milestones!$AC$165)&amp;";  ","")&amp;IF(AND(EDATE($D65,Milestones!$AA$166)&lt;=AsOfDate,EDATE($D65,Milestones!$AA$166)&gt;=SchemeStart,IF($X65=0,$AD65,IF(AND($Z65&lt;&gt;"",EDATE($D65,Milestones!$AA$166)&gt;=$Z65),$AC65,IF(AND($Y65&lt;&gt;"",EDATE($D65,Milestones!$AA$166)&gt;=$Y65),$AB65,$AA65)))=Milestones!$AB$166),UPPER(TEXT(EDATE($D65,Milestones!$AA$166),"dd mmm yy"))&amp;" "&amp;Milestones!$AB$166&amp;" "&amp;IF(AND(Milestones!$AB$166="FT",Milestones!$AA$166=FT_Y5,EDATE($D65,Milestones!$AA$166)&lt;PolicyEff),1,Milestones!$AC$166)&amp;";  ","")&amp;IF(AND(EDATE($D65,Milestones!$AA$167)&lt;=AsOfDate,EDATE($D65,Milestones!$AA$167)&gt;=SchemeStart,IF($X65=0,$AD65,IF(AND($Z65&lt;&gt;"",EDATE($D65,Milestones!$AA$167)&gt;=$Z65),$AC65,IF(AND($Y65&lt;&gt;"",EDATE($D65,Milestones!$AA$167)&gt;=$Y65),$AB65,$AA65)))=Milestones!$AB$167),UPPER(TEXT(EDATE($D65,Milestones!$AA$167),"dd mmm yy"))&amp;" "&amp;Milestones!$AB$167&amp;" "&amp;IF(AND(Milestones!$AB$167="FT",Milestones!$AA$167=FT_Y5,EDATE($D65,Milestones!$AA$167)&lt;PolicyEff),1,Milestones!$AC$167)&amp;";  ","")&amp;IF(AND(EDATE($D65,Milestones!$AA$168)&lt;=AsOfDate,EDATE($D65,Milestones!$AA$168)&gt;=SchemeStart,IF($X65=0,$AD65,IF(AND($Z65&lt;&gt;"",EDATE($D65,Milestones!$AA$168)&gt;=$Z65),$AC65,IF(AND($Y65&lt;&gt;"",EDATE($D65,Milestones!$AA$168)&gt;=$Y65),$AB65,$AA65)))=Milestones!$AB$168),UPPER(TEXT(EDATE($D65,Milestones!$AA$168),"dd mmm yy"))&amp;" "&amp;Milestones!$AB$168&amp;" "&amp;IF(AND(Milestones!$AB$168="FT",Milestones!$AA$168=FT_Y5,EDATE($D65,Milestones!$AA$168)&lt;PolicyEff),1,Milestones!$AC$168)&amp;";  ","")&amp;IF(AND(EDATE($D65,Milestones!$AA$169)&lt;=AsOfDate,EDATE($D65,Milestones!$AA$169)&gt;=SchemeStart,IF($X65=0,$AD65,IF(AND($Z65&lt;&gt;"",EDATE($D65,Milestones!$AA$169)&gt;=$Z65),$AC65,IF(AND($Y65&lt;&gt;"",EDATE($D65,Milestones!$AA$169)&gt;=$Y65),$AB65,$AA65)))=Milestones!$AB$169),UPPER(TEXT(EDATE($D65,Milestones!$AA$169),"dd mmm yy"))&amp;" "&amp;Milestones!$AB$169&amp;" "&amp;IF(AND(Milestones!$AB$169="FT",Milestones!$AA$169=FT_Y5,EDATE($D65,Milestones!$AA$169)&lt;PolicyEff),1,Milestones!$AC$169)&amp;";  ","")&amp;IF(AND(EDATE($D65,Milestones!$AA$170)&lt;=AsOfDate,EDATE($D65,Milestones!$AA$170)&gt;=SchemeStart,IF($X65=0,$AD65,IF(AND($Z65&lt;&gt;"",EDATE($D65,Milestones!$AA$170)&gt;=$Z65),$AC65,IF(AND($Y65&lt;&gt;"",EDATE($D65,Milestones!$AA$170)&gt;=$Y65),$AB65,$AA65)))=Milestones!$AB$170),UPPER(TEXT(EDATE($D65,Milestones!$AA$170),"dd mmm yy"))&amp;" "&amp;Milestones!$AB$170&amp;" "&amp;IF(AND(Milestones!$AB$170="FT",Milestones!$AA$170=FT_Y5,EDATE($D65,Milestones!$AA$170)&lt;PolicyEff),1,Milestones!$AC$170)&amp;";  ","")&amp;IF(AND(EDATE($D65,Milestones!$AA$171)&lt;=AsOfDate,EDATE($D65,Milestones!$AA$171)&gt;=SchemeStart,IF($X65=0,$AD65,IF(AND($Z65&lt;&gt;"",EDATE($D65,Milestones!$AA$171)&gt;=$Z65),$AC65,IF(AND($Y65&lt;&gt;"",EDATE($D65,Milestones!$AA$171)&gt;=$Y65),$AB65,$AA65)))=Milestones!$AB$171),UPPER(TEXT(EDATE($D65,Milestones!$AA$171),"dd mmm yy"))&amp;" "&amp;Milestones!$AB$171&amp;" "&amp;IF(AND(Milestones!$AB$171="FT",Milestones!$AA$171=FT_Y5,EDATE($D65,Milestones!$AA$171)&lt;PolicyEff),1,Milestones!$AC$171)&amp;";  ","")&amp;IF(AND(EDATE($D65,Milestones!$AA$172)&lt;=AsOfDate,EDATE($D65,Milestones!$AA$172)&gt;=SchemeStart,IF($X65=0,$AD65,IF(AND($Z65&lt;&gt;"",EDATE($D65,Milestones!$AA$172)&gt;=$Z65),$AC65,IF(AND($Y65&lt;&gt;"",EDATE($D65,Milestones!$AA$172)&gt;=$Y65),$AB65,$AA65)))=Milestones!$AB$172),UPPER(TEXT(EDATE($D65,Milestones!$AA$172),"dd mmm yy"))&amp;" "&amp;Milestones!$AB$172&amp;" "&amp;IF(AND(Milestones!$AB$172="FT",Milestones!$AA$172=FT_Y5,EDATE($D65,Milestones!$AA$172)&lt;PolicyEff),1,Milestones!$AC$172)&amp;";  ","")&amp;IF(AND(EDATE($D65,Milestones!$AA$173)&lt;=AsOfDate,EDATE($D65,Milestones!$AA$173)&gt;=SchemeStart,IF($X65=0,$AD65,IF(AND($Z65&lt;&gt;"",EDATE($D65,Milestones!$AA$173)&gt;=$Z65),$AC65,IF(AND($Y65&lt;&gt;"",EDATE($D65,Milestones!$AA$173)&gt;=$Y65),$AB65,$AA65)))=Milestones!$AB$173),UPPER(TEXT(EDATE($D65,Milestones!$AA$173),"dd mmm yy"))&amp;" "&amp;Milestones!$AB$173&amp;" "&amp;IF(AND(Milestones!$AB$173="FT",Milestones!$AA$173=FT_Y5,EDATE($D65,Milestones!$AA$173)&lt;PolicyEff),1,Milestones!$AC$173)&amp;";  ","")&amp;IF(AND(EDATE($D65,Milestones!$AA$174)&lt;=AsOfDate,EDATE($D65,Milestones!$AA$174)&gt;=SchemeStart,IF($X65=0,$AD65,IF(AND($Z65&lt;&gt;"",EDATE($D65,Milestones!$AA$174)&gt;=$Z65),$AC65,IF(AND($Y65&lt;&gt;"",EDATE($D65,Milestones!$AA$174)&gt;=$Y65),$AB65,$AA65)))=Milestones!$AB$174),UPPER(TEXT(EDATE($D65,Milestones!$AA$174),"dd mmm yy"))&amp;" "&amp;Milestones!$AB$174&amp;" "&amp;IF(AND(Milestones!$AB$174="FT",Milestones!$AA$174=FT_Y5,EDATE($D65,Milestones!$AA$174)&lt;PolicyEff),1,Milestones!$AC$174)&amp;";  ","")&amp;IF(AND(EDATE($D65,Milestones!$AA$175)&lt;=AsOfDate,EDATE($D65,Milestones!$AA$175)&gt;=SchemeStart,IF($X65=0,$AD65,IF(AND($Z65&lt;&gt;"",EDATE($D65,Milestones!$AA$175)&gt;=$Z65),$AC65,IF(AND($Y65&lt;&gt;"",EDATE($D65,Milestones!$AA$175)&gt;=$Y65),$AB65,$AA65)))=Milestones!$AB$175),UPPER(TEXT(EDATE($D65,Milestones!$AA$175),"dd mmm yy"))&amp;" "&amp;Milestones!$AB$175&amp;" "&amp;IF(AND(Milestones!$AB$175="FT",Milestones!$AA$175=FT_Y5,EDATE($D65,Milestones!$AA$175)&lt;PolicyEff),1,Milestones!$AC$175)&amp;";  ",""))</f>
        <v/>
      </c>
      <c r="V65" s="0" t="str">
        <f aca="false">IF(OR($A65="",$D65=""),"",IF(AND(EDATE($D65,Milestones!$AA$176)&lt;=AsOfDate,EDATE($D65,Milestones!$AA$176)&gt;=SchemeStart,IF($X65=0,$AD65,IF(AND($Z65&lt;&gt;"",EDATE($D65,Milestones!$AA$176)&gt;=$Z65),$AC65,IF(AND($Y65&lt;&gt;"",EDATE($D65,Milestones!$AA$176)&gt;=$Y65),$AB65,$AA65)))=Milestones!$AB$176),UPPER(TEXT(EDATE($D65,Milestones!$AA$176),"dd mmm yy"))&amp;" "&amp;Milestones!$AB$176&amp;" "&amp;IF(AND(Milestones!$AB$176="FT",Milestones!$AA$176=FT_Y5,EDATE($D65,Milestones!$AA$176)&lt;PolicyEff),1,Milestones!$AC$176)&amp;";  ","")&amp;IF(AND(EDATE($D65,Milestones!$AA$177)&lt;=AsOfDate,EDATE($D65,Milestones!$AA$177)&gt;=SchemeStart,IF($X65=0,$AD65,IF(AND($Z65&lt;&gt;"",EDATE($D65,Milestones!$AA$177)&gt;=$Z65),$AC65,IF(AND($Y65&lt;&gt;"",EDATE($D65,Milestones!$AA$177)&gt;=$Y65),$AB65,$AA65)))=Milestones!$AB$177),UPPER(TEXT(EDATE($D65,Milestones!$AA$177),"dd mmm yy"))&amp;" "&amp;Milestones!$AB$177&amp;" "&amp;IF(AND(Milestones!$AB$177="FT",Milestones!$AA$177=FT_Y5,EDATE($D65,Milestones!$AA$177)&lt;PolicyEff),1,Milestones!$AC$177)&amp;";  ","")&amp;IF(AND(EDATE($D65,Milestones!$AA$178)&lt;=AsOfDate,EDATE($D65,Milestones!$AA$178)&gt;=SchemeStart,IF($X65=0,$AD65,IF(AND($Z65&lt;&gt;"",EDATE($D65,Milestones!$AA$178)&gt;=$Z65),$AC65,IF(AND($Y65&lt;&gt;"",EDATE($D65,Milestones!$AA$178)&gt;=$Y65),$AB65,$AA65)))=Milestones!$AB$178),UPPER(TEXT(EDATE($D65,Milestones!$AA$178),"dd mmm yy"))&amp;" "&amp;Milestones!$AB$178&amp;" "&amp;IF(AND(Milestones!$AB$178="FT",Milestones!$AA$178=FT_Y5,EDATE($D65,Milestones!$AA$178)&lt;PolicyEff),1,Milestones!$AC$178)&amp;";  ","")&amp;IF(AND(EDATE($D65,Milestones!$AA$179)&lt;=AsOfDate,EDATE($D65,Milestones!$AA$179)&gt;=SchemeStart,IF($X65=0,$AD65,IF(AND($Z65&lt;&gt;"",EDATE($D65,Milestones!$AA$179)&gt;=$Z65),$AC65,IF(AND($Y65&lt;&gt;"",EDATE($D65,Milestones!$AA$179)&gt;=$Y65),$AB65,$AA65)))=Milestones!$AB$179),UPPER(TEXT(EDATE($D65,Milestones!$AA$179),"dd mmm yy"))&amp;" "&amp;Milestones!$AB$179&amp;" "&amp;IF(AND(Milestones!$AB$179="FT",Milestones!$AA$179=FT_Y5,EDATE($D65,Milestones!$AA$179)&lt;PolicyEff),1,Milestones!$AC$179)&amp;";  ","")&amp;IF(AND(EDATE($D65,Milestones!$AA$180)&lt;=AsOfDate,EDATE($D65,Milestones!$AA$180)&gt;=SchemeStart,IF($X65=0,$AD65,IF(AND($Z65&lt;&gt;"",EDATE($D65,Milestones!$AA$180)&gt;=$Z65),$AC65,IF(AND($Y65&lt;&gt;"",EDATE($D65,Milestones!$AA$180)&gt;=$Y65),$AB65,$AA65)))=Milestones!$AB$180),UPPER(TEXT(EDATE($D65,Milestones!$AA$180),"dd mmm yy"))&amp;" "&amp;Milestones!$AB$180&amp;" "&amp;IF(AND(Milestones!$AB$180="FT",Milestones!$AA$180=FT_Y5,EDATE($D65,Milestones!$AA$180)&lt;PolicyEff),1,Milestones!$AC$180)&amp;";  ","")&amp;IF(AND(EDATE($D65,Milestones!$AA$181)&lt;=AsOfDate,EDATE($D65,Milestones!$AA$181)&gt;=SchemeStart,IF($X65=0,$AD65,IF(AND($Z65&lt;&gt;"",EDATE($D65,Milestones!$AA$181)&gt;=$Z65),$AC65,IF(AND($Y65&lt;&gt;"",EDATE($D65,Milestones!$AA$181)&gt;=$Y65),$AB65,$AA65)))=Milestones!$AB$181),UPPER(TEXT(EDATE($D65,Milestones!$AA$181),"dd mmm yy"))&amp;" "&amp;Milestones!$AB$181&amp;" "&amp;IF(AND(Milestones!$AB$181="FT",Milestones!$AA$181=FT_Y5,EDATE($D65,Milestones!$AA$181)&lt;PolicyEff),1,Milestones!$AC$181)&amp;";  ","")&amp;IF(AND(EDATE($D65,Milestones!$AA$182)&lt;=AsOfDate,EDATE($D65,Milestones!$AA$182)&gt;=SchemeStart,IF($X65=0,$AD65,IF(AND($Z65&lt;&gt;"",EDATE($D65,Milestones!$AA$182)&gt;=$Z65),$AC65,IF(AND($Y65&lt;&gt;"",EDATE($D65,Milestones!$AA$182)&gt;=$Y65),$AB65,$AA65)))=Milestones!$AB$182),UPPER(TEXT(EDATE($D65,Milestones!$AA$182),"dd mmm yy"))&amp;" "&amp;Milestones!$AB$182&amp;" "&amp;IF(AND(Milestones!$AB$182="FT",Milestones!$AA$182=FT_Y5,EDATE($D65,Milestones!$AA$182)&lt;PolicyEff),1,Milestones!$AC$182)&amp;";  ","")&amp;IF(AND(EDATE($D65,Milestones!$AA$183)&lt;=AsOfDate,EDATE($D65,Milestones!$AA$183)&gt;=SchemeStart,IF($X65=0,$AD65,IF(AND($Z65&lt;&gt;"",EDATE($D65,Milestones!$AA$183)&gt;=$Z65),$AC65,IF(AND($Y65&lt;&gt;"",EDATE($D65,Milestones!$AA$183)&gt;=$Y65),$AB65,$AA65)))=Milestones!$AB$183),UPPER(TEXT(EDATE($D65,Milestones!$AA$183),"dd mmm yy"))&amp;" "&amp;Milestones!$AB$183&amp;" "&amp;IF(AND(Milestones!$AB$183="FT",Milestones!$AA$183=FT_Y5,EDATE($D65,Milestones!$AA$183)&lt;PolicyEff),1,Milestones!$AC$183)&amp;";  ","")&amp;IF(AND(EDATE($D65,Milestones!$AA$184)&lt;=AsOfDate,EDATE($D65,Milestones!$AA$184)&gt;=SchemeStart,IF($X65=0,$AD65,IF(AND($Z65&lt;&gt;"",EDATE($D65,Milestones!$AA$184)&gt;=$Z65),$AC65,IF(AND($Y65&lt;&gt;"",EDATE($D65,Milestones!$AA$184)&gt;=$Y65),$AB65,$AA65)))=Milestones!$AB$184),UPPER(TEXT(EDATE($D65,Milestones!$AA$184),"dd mmm yy"))&amp;" "&amp;Milestones!$AB$184&amp;" "&amp;IF(AND(Milestones!$AB$184="FT",Milestones!$AA$184=FT_Y5,EDATE($D65,Milestones!$AA$184)&lt;PolicyEff),1,Milestones!$AC$184)&amp;";  ","")&amp;IF(AND(EDATE($D65,Milestones!$AA$185)&lt;=AsOfDate,EDATE($D65,Milestones!$AA$185)&gt;=SchemeStart,IF($X65=0,$AD65,IF(AND($Z65&lt;&gt;"",EDATE($D65,Milestones!$AA$185)&gt;=$Z65),$AC65,IF(AND($Y65&lt;&gt;"",EDATE($D65,Milestones!$AA$185)&gt;=$Y65),$AB65,$AA65)))=Milestones!$AB$185),UPPER(TEXT(EDATE($D65,Milestones!$AA$185),"dd mmm yy"))&amp;" "&amp;Milestones!$AB$185&amp;" "&amp;IF(AND(Milestones!$AB$185="FT",Milestones!$AA$185=FT_Y5,EDATE($D65,Milestones!$AA$185)&lt;PolicyEff),1,Milestones!$AC$185)&amp;";  ","")&amp;IF(AND(EDATE($D65,Milestones!$AA$186)&lt;=AsOfDate,EDATE($D65,Milestones!$AA$186)&gt;=SchemeStart,IF($X65=0,$AD65,IF(AND($Z65&lt;&gt;"",EDATE($D65,Milestones!$AA$186)&gt;=$Z65),$AC65,IF(AND($Y65&lt;&gt;"",EDATE($D65,Milestones!$AA$186)&gt;=$Y65),$AB65,$AA65)))=Milestones!$AB$186),UPPER(TEXT(EDATE($D65,Milestones!$AA$186),"dd mmm yy"))&amp;" "&amp;Milestones!$AB$186&amp;" "&amp;IF(AND(Milestones!$AB$186="FT",Milestones!$AA$186=FT_Y5,EDATE($D65,Milestones!$AA$186)&lt;PolicyEff),1,Milestones!$AC$186)&amp;";  ","")&amp;IF(AND(EDATE($D65,Milestones!$AA$187)&lt;=AsOfDate,EDATE($D65,Milestones!$AA$187)&gt;=SchemeStart,IF($X65=0,$AD65,IF(AND($Z65&lt;&gt;"",EDATE($D65,Milestones!$AA$187)&gt;=$Z65),$AC65,IF(AND($Y65&lt;&gt;"",EDATE($D65,Milestones!$AA$187)&gt;=$Y65),$AB65,$AA65)))=Milestones!$AB$187),UPPER(TEXT(EDATE($D65,Milestones!$AA$187),"dd mmm yy"))&amp;" "&amp;Milestones!$AB$187&amp;" "&amp;IF(AND(Milestones!$AB$187="FT",Milestones!$AA$187=FT_Y5,EDATE($D65,Milestones!$AA$187)&lt;PolicyEff),1,Milestones!$AC$187)&amp;";  ",""))</f>
        <v/>
      </c>
      <c r="W65" s="0" t="str">
        <f aca="false">IF(OR($A65="",$D65=""),"",IF(AND(EDATE($D65,Milestones!$AA$188)&lt;=AsOfDate,EDATE($D65,Milestones!$AA$188)&gt;=SchemeStart,IF($X65=0,$AD65,IF(AND($Z65&lt;&gt;"",EDATE($D65,Milestones!$AA$188)&gt;=$Z65),$AC65,IF(AND($Y65&lt;&gt;"",EDATE($D65,Milestones!$AA$188)&gt;=$Y65),$AB65,$AA65)))=Milestones!$AB$188),UPPER(TEXT(EDATE($D65,Milestones!$AA$188),"dd mmm yy"))&amp;" "&amp;Milestones!$AB$188&amp;" "&amp;IF(AND(Milestones!$AB$188="FT",Milestones!$AA$188=FT_Y5,EDATE($D65,Milestones!$AA$188)&lt;PolicyEff),1,Milestones!$AC$188)&amp;";  ","")&amp;IF(AND(EDATE($D65,Milestones!$AA$189)&lt;=AsOfDate,EDATE($D65,Milestones!$AA$189)&gt;=SchemeStart,IF($X65=0,$AD65,IF(AND($Z65&lt;&gt;"",EDATE($D65,Milestones!$AA$189)&gt;=$Z65),$AC65,IF(AND($Y65&lt;&gt;"",EDATE($D65,Milestones!$AA$189)&gt;=$Y65),$AB65,$AA65)))=Milestones!$AB$189),UPPER(TEXT(EDATE($D65,Milestones!$AA$189),"dd mmm yy"))&amp;" "&amp;Milestones!$AB$189&amp;" "&amp;IF(AND(Milestones!$AB$189="FT",Milestones!$AA$189=FT_Y5,EDATE($D65,Milestones!$AA$189)&lt;PolicyEff),1,Milestones!$AC$189)&amp;";  ","")&amp;IF(AND(EDATE($D65,Milestones!$AA$190)&lt;=AsOfDate,EDATE($D65,Milestones!$AA$190)&gt;=SchemeStart,IF($X65=0,$AD65,IF(AND($Z65&lt;&gt;"",EDATE($D65,Milestones!$AA$190)&gt;=$Z65),$AC65,IF(AND($Y65&lt;&gt;"",EDATE($D65,Milestones!$AA$190)&gt;=$Y65),$AB65,$AA65)))=Milestones!$AB$190),UPPER(TEXT(EDATE($D65,Milestones!$AA$190),"dd mmm yy"))&amp;" "&amp;Milestones!$AB$190&amp;" "&amp;IF(AND(Milestones!$AB$190="FT",Milestones!$AA$190=FT_Y5,EDATE($D65,Milestones!$AA$190)&lt;PolicyEff),1,Milestones!$AC$190)&amp;";  ","")&amp;IF(AND(EDATE($D65,Milestones!$AA$191)&lt;=AsOfDate,EDATE($D65,Milestones!$AA$191)&gt;=SchemeStart,IF($X65=0,$AD65,IF(AND($Z65&lt;&gt;"",EDATE($D65,Milestones!$AA$191)&gt;=$Z65),$AC65,IF(AND($Y65&lt;&gt;"",EDATE($D65,Milestones!$AA$191)&gt;=$Y65),$AB65,$AA65)))=Milestones!$AB$191),UPPER(TEXT(EDATE($D65,Milestones!$AA$191),"dd mmm yy"))&amp;" "&amp;Milestones!$AB$191&amp;" "&amp;IF(AND(Milestones!$AB$191="FT",Milestones!$AA$191=FT_Y5,EDATE($D65,Milestones!$AA$191)&lt;PolicyEff),1,Milestones!$AC$191)&amp;";  ","")&amp;IF(AND(EDATE($D65,Milestones!$AA$192)&lt;=AsOfDate,EDATE($D65,Milestones!$AA$192)&gt;=SchemeStart,IF($X65=0,$AD65,IF(AND($Z65&lt;&gt;"",EDATE($D65,Milestones!$AA$192)&gt;=$Z65),$AC65,IF(AND($Y65&lt;&gt;"",EDATE($D65,Milestones!$AA$192)&gt;=$Y65),$AB65,$AA65)))=Milestones!$AB$192),UPPER(TEXT(EDATE($D65,Milestones!$AA$192),"dd mmm yy"))&amp;" "&amp;Milestones!$AB$192&amp;" "&amp;IF(AND(Milestones!$AB$192="FT",Milestones!$AA$192=FT_Y5,EDATE($D65,Milestones!$AA$192)&lt;PolicyEff),1,Milestones!$AC$192)&amp;";  ","")&amp;IF(AND(EDATE($D65,Milestones!$AA$193)&lt;=AsOfDate,EDATE($D65,Milestones!$AA$193)&gt;=SchemeStart,IF($X65=0,$AD65,IF(AND($Z65&lt;&gt;"",EDATE($D65,Milestones!$AA$193)&gt;=$Z65),$AC65,IF(AND($Y65&lt;&gt;"",EDATE($D65,Milestones!$AA$193)&gt;=$Y65),$AB65,$AA65)))=Milestones!$AB$193),UPPER(TEXT(EDATE($D65,Milestones!$AA$193),"dd mmm yy"))&amp;" "&amp;Milestones!$AB$193&amp;" "&amp;IF(AND(Milestones!$AB$193="FT",Milestones!$AA$193=FT_Y5,EDATE($D65,Milestones!$AA$193)&lt;PolicyEff),1,Milestones!$AC$193)&amp;";  ","")&amp;IF(AND(EDATE($D65,Milestones!$AA$194)&lt;=AsOfDate,EDATE($D65,Milestones!$AA$194)&gt;=SchemeStart,IF($X65=0,$AD65,IF(AND($Z65&lt;&gt;"",EDATE($D65,Milestones!$AA$194)&gt;=$Z65),$AC65,IF(AND($Y65&lt;&gt;"",EDATE($D65,Milestones!$AA$194)&gt;=$Y65),$AB65,$AA65)))=Milestones!$AB$194),UPPER(TEXT(EDATE($D65,Milestones!$AA$194),"dd mmm yy"))&amp;" "&amp;Milestones!$AB$194&amp;" "&amp;IF(AND(Milestones!$AB$194="FT",Milestones!$AA$194=FT_Y5,EDATE($D65,Milestones!$AA$194)&lt;PolicyEff),1,Milestones!$AC$194)&amp;";  ","")&amp;IF(AND(EDATE($D65,Milestones!$AA$195)&lt;=AsOfDate,EDATE($D65,Milestones!$AA$195)&gt;=SchemeStart,IF($X65=0,$AD65,IF(AND($Z65&lt;&gt;"",EDATE($D65,Milestones!$AA$195)&gt;=$Z65),$AC65,IF(AND($Y65&lt;&gt;"",EDATE($D65,Milestones!$AA$195)&gt;=$Y65),$AB65,$AA65)))=Milestones!$AB$195),UPPER(TEXT(EDATE($D65,Milestones!$AA$195),"dd mmm yy"))&amp;" "&amp;Milestones!$AB$195&amp;" "&amp;IF(AND(Milestones!$AB$195="FT",Milestones!$AA$195=FT_Y5,EDATE($D65,Milestones!$AA$195)&lt;PolicyEff),1,Milestones!$AC$195)&amp;";  ","")&amp;IF(AND(EDATE($D65,Milestones!$AA$196)&lt;=AsOfDate,EDATE($D65,Milestones!$AA$196)&gt;=SchemeStart,IF($X65=0,$AD65,IF(AND($Z65&lt;&gt;"",EDATE($D65,Milestones!$AA$196)&gt;=$Z65),$AC65,IF(AND($Y65&lt;&gt;"",EDATE($D65,Milestones!$AA$196)&gt;=$Y65),$AB65,$AA65)))=Milestones!$AB$196),UPPER(TEXT(EDATE($D65,Milestones!$AA$196),"dd mmm yy"))&amp;" "&amp;Milestones!$AB$196&amp;" "&amp;IF(AND(Milestones!$AB$196="FT",Milestones!$AA$196=FT_Y5,EDATE($D65,Milestones!$AA$196)&lt;PolicyEff),1,Milestones!$AC$196)&amp;";  ","")&amp;IF(AND(EDATE($D65,Milestones!$AA$197)&lt;=AsOfDate,EDATE($D65,Milestones!$AA$197)&gt;=SchemeStart,IF($X65=0,$AD65,IF(AND($Z65&lt;&gt;"",EDATE($D65,Milestones!$AA$197)&gt;=$Z65),$AC65,IF(AND($Y65&lt;&gt;"",EDATE($D65,Milestones!$AA$197)&gt;=$Y65),$AB65,$AA65)))=Milestones!$AB$197),UPPER(TEXT(EDATE($D65,Milestones!$AA$197),"dd mmm yy"))&amp;" "&amp;Milestones!$AB$197&amp;" "&amp;IF(AND(Milestones!$AB$197="FT",Milestones!$AA$197=FT_Y5,EDATE($D65,Milestones!$AA$197)&lt;PolicyEff),1,Milestones!$AC$197)&amp;";  ","")&amp;IF(AND(EDATE($D65,Milestones!$AA$198)&lt;=AsOfDate,EDATE($D65,Milestones!$AA$198)&gt;=SchemeStart,IF($X65=0,$AD65,IF(AND($Z65&lt;&gt;"",EDATE($D65,Milestones!$AA$198)&gt;=$Z65),$AC65,IF(AND($Y65&lt;&gt;"",EDATE($D65,Milestones!$AA$198)&gt;=$Y65),$AB65,$AA65)))=Milestones!$AB$198),UPPER(TEXT(EDATE($D65,Milestones!$AA$198),"dd mmm yy"))&amp;" "&amp;Milestones!$AB$198&amp;" "&amp;IF(AND(Milestones!$AB$198="FT",Milestones!$AA$198=FT_Y5,EDATE($D65,Milestones!$AA$198)&lt;PolicyEff),1,Milestones!$AC$198)&amp;";  ","")&amp;IF(AND(EDATE($D65,Milestones!$AA$199)&lt;=AsOfDate,EDATE($D65,Milestones!$AA$199)&gt;=SchemeStart,IF($X65=0,$AD65,IF(AND($Z65&lt;&gt;"",EDATE($D65,Milestones!$AA$199)&gt;=$Z65),$AC65,IF(AND($Y65&lt;&gt;"",EDATE($D65,Milestones!$AA$199)&gt;=$Y65),$AB65,$AA65)))=Milestones!$AB$199),UPPER(TEXT(EDATE($D65,Milestones!$AA$199),"dd mmm yy"))&amp;" "&amp;Milestones!$AB$199&amp;" "&amp;IF(AND(Milestones!$AB$199="FT",Milestones!$AA$199=FT_Y5,EDATE($D65,Milestones!$AA$199)&lt;PolicyEff),1,Milestones!$AC$199)&amp;";  ",""))</f>
        <v/>
      </c>
      <c r="X65" s="0" t="str">
        <f aca="false">IF(Staff!$A65="","",Staff!$AM65)</f>
        <v/>
      </c>
      <c r="Y65" s="0" t="str">
        <f aca="false">IF(Staff!$A65="","",Staff!$AO65)</f>
        <v/>
      </c>
      <c r="Z65" s="0" t="str">
        <f aca="false">IF(Staff!$A65="","",Staff!$AP65)</f>
        <v/>
      </c>
      <c r="AA65" s="0" t="str">
        <f aca="false">IF(Staff!$A65="","",Staff!$AT65)</f>
        <v/>
      </c>
      <c r="AB65" s="0" t="str">
        <f aca="false">IF(Staff!$A65="","",Staff!$AU65)</f>
        <v/>
      </c>
      <c r="AC65" s="0" t="str">
        <f aca="false">IF(Staff!$A65="","",Staff!$AV65)</f>
        <v/>
      </c>
      <c r="AD65" s="0" t="str">
        <f aca="false">IF(Staff!$A65="","",Staff!$AW65)</f>
        <v/>
      </c>
    </row>
    <row r="66" customFormat="false" ht="15" hidden="false" customHeight="false" outlineLevel="0" collapsed="false">
      <c r="A66" s="16" t="str">
        <f aca="false">IF(Staff!$A66="","",Staff!$A66)</f>
        <v/>
      </c>
      <c r="B66" s="16" t="str">
        <f aca="false">IF(Staff!$A66="","",Staff!$B66)</f>
        <v/>
      </c>
      <c r="C66" s="16" t="str">
        <f aca="false">IF(Staff!$A66="","",Staff!$C66)</f>
        <v/>
      </c>
      <c r="D66" s="14" t="str">
        <f aca="false">IF(Staff!$A66="","",Staff!$AL66)</f>
        <v/>
      </c>
      <c r="E66" s="16" t="str">
        <f aca="false">IF(Staff!$A66="","",Staff!$O66)</f>
        <v/>
      </c>
      <c r="F66" s="16" t="str">
        <f aca="false">IF(E66="","",E66*HoursPerDay)</f>
        <v/>
      </c>
      <c r="G66" s="16" t="str">
        <f aca="false">IF(Staff!$A66="","",Staff!$AE66)</f>
        <v/>
      </c>
      <c r="H66" s="28" t="str">
        <f aca="false">IF($A66="","",I66&amp;J66&amp;K66&amp;L66&amp;M66&amp;N66&amp;O66&amp;P66&amp;Q66&amp;R66&amp;S66&amp;T66&amp;U66&amp;V66&amp;W66)</f>
        <v/>
      </c>
      <c r="I66" s="0" t="str">
        <f aca="false">IF(OR($A66="",$D66=""),"",IF(AND(EDATE($D66,Milestones!$AA$20)&lt;=AsOfDate,EDATE($D66,Milestones!$AA$20)&gt;=SchemeStart,IF($X66=0,$AD66,IF(AND($Z66&lt;&gt;"",EDATE($D66,Milestones!$AA$20)&gt;=$Z66),$AC66,IF(AND($Y66&lt;&gt;"",EDATE($D66,Milestones!$AA$20)&gt;=$Y66),$AB66,$AA66)))=Milestones!$AB$20),UPPER(TEXT(EDATE($D66,Milestones!$AA$20),"dd mmm yy"))&amp;" "&amp;Milestones!$AB$20&amp;" "&amp;IF(AND(Milestones!$AB$20="FT",Milestones!$AA$20=FT_Y5,EDATE($D66,Milestones!$AA$20)&lt;PolicyEff),1,Milestones!$AC$20)&amp;";  ","")&amp;IF(AND(EDATE($D66,Milestones!$AA$21)&lt;=AsOfDate,EDATE($D66,Milestones!$AA$21)&gt;=SchemeStart,IF($X66=0,$AD66,IF(AND($Z66&lt;&gt;"",EDATE($D66,Milestones!$AA$21)&gt;=$Z66),$AC66,IF(AND($Y66&lt;&gt;"",EDATE($D66,Milestones!$AA$21)&gt;=$Y66),$AB66,$AA66)))=Milestones!$AB$21),UPPER(TEXT(EDATE($D66,Milestones!$AA$21),"dd mmm yy"))&amp;" "&amp;Milestones!$AB$21&amp;" "&amp;IF(AND(Milestones!$AB$21="FT",Milestones!$AA$21=FT_Y5,EDATE($D66,Milestones!$AA$21)&lt;PolicyEff),1,Milestones!$AC$21)&amp;";  ","")&amp;IF(AND(EDATE($D66,Milestones!$AA$22)&lt;=AsOfDate,EDATE($D66,Milestones!$AA$22)&gt;=SchemeStart,IF($X66=0,$AD66,IF(AND($Z66&lt;&gt;"",EDATE($D66,Milestones!$AA$22)&gt;=$Z66),$AC66,IF(AND($Y66&lt;&gt;"",EDATE($D66,Milestones!$AA$22)&gt;=$Y66),$AB66,$AA66)))=Milestones!$AB$22),UPPER(TEXT(EDATE($D66,Milestones!$AA$22),"dd mmm yy"))&amp;" "&amp;Milestones!$AB$22&amp;" "&amp;IF(AND(Milestones!$AB$22="FT",Milestones!$AA$22=FT_Y5,EDATE($D66,Milestones!$AA$22)&lt;PolicyEff),1,Milestones!$AC$22)&amp;";  ","")&amp;IF(AND(EDATE($D66,Milestones!$AA$23)&lt;=AsOfDate,EDATE($D66,Milestones!$AA$23)&gt;=SchemeStart,IF($X66=0,$AD66,IF(AND($Z66&lt;&gt;"",EDATE($D66,Milestones!$AA$23)&gt;=$Z66),$AC66,IF(AND($Y66&lt;&gt;"",EDATE($D66,Milestones!$AA$23)&gt;=$Y66),$AB66,$AA66)))=Milestones!$AB$23),UPPER(TEXT(EDATE($D66,Milestones!$AA$23),"dd mmm yy"))&amp;" "&amp;Milestones!$AB$23&amp;" "&amp;IF(AND(Milestones!$AB$23="FT",Milestones!$AA$23=FT_Y5,EDATE($D66,Milestones!$AA$23)&lt;PolicyEff),1,Milestones!$AC$23)&amp;";  ","")&amp;IF(AND(EDATE($D66,Milestones!$AA$24)&lt;=AsOfDate,EDATE($D66,Milestones!$AA$24)&gt;=SchemeStart,IF($X66=0,$AD66,IF(AND($Z66&lt;&gt;"",EDATE($D66,Milestones!$AA$24)&gt;=$Z66),$AC66,IF(AND($Y66&lt;&gt;"",EDATE($D66,Milestones!$AA$24)&gt;=$Y66),$AB66,$AA66)))=Milestones!$AB$24),UPPER(TEXT(EDATE($D66,Milestones!$AA$24),"dd mmm yy"))&amp;" "&amp;Milestones!$AB$24&amp;" "&amp;IF(AND(Milestones!$AB$24="FT",Milestones!$AA$24=FT_Y5,EDATE($D66,Milestones!$AA$24)&lt;PolicyEff),1,Milestones!$AC$24)&amp;";  ","")&amp;IF(AND(EDATE($D66,Milestones!$AA$25)&lt;=AsOfDate,EDATE($D66,Milestones!$AA$25)&gt;=SchemeStart,IF($X66=0,$AD66,IF(AND($Z66&lt;&gt;"",EDATE($D66,Milestones!$AA$25)&gt;=$Z66),$AC66,IF(AND($Y66&lt;&gt;"",EDATE($D66,Milestones!$AA$25)&gt;=$Y66),$AB66,$AA66)))=Milestones!$AB$25),UPPER(TEXT(EDATE($D66,Milestones!$AA$25),"dd mmm yy"))&amp;" "&amp;Milestones!$AB$25&amp;" "&amp;IF(AND(Milestones!$AB$25="FT",Milestones!$AA$25=FT_Y5,EDATE($D66,Milestones!$AA$25)&lt;PolicyEff),1,Milestones!$AC$25)&amp;";  ","")&amp;IF(AND(EDATE($D66,Milestones!$AA$26)&lt;=AsOfDate,EDATE($D66,Milestones!$AA$26)&gt;=SchemeStart,IF($X66=0,$AD66,IF(AND($Z66&lt;&gt;"",EDATE($D66,Milestones!$AA$26)&gt;=$Z66),$AC66,IF(AND($Y66&lt;&gt;"",EDATE($D66,Milestones!$AA$26)&gt;=$Y66),$AB66,$AA66)))=Milestones!$AB$26),UPPER(TEXT(EDATE($D66,Milestones!$AA$26),"dd mmm yy"))&amp;" "&amp;Milestones!$AB$26&amp;" "&amp;IF(AND(Milestones!$AB$26="FT",Milestones!$AA$26=FT_Y5,EDATE($D66,Milestones!$AA$26)&lt;PolicyEff),1,Milestones!$AC$26)&amp;";  ","")&amp;IF(AND(EDATE($D66,Milestones!$AA$27)&lt;=AsOfDate,EDATE($D66,Milestones!$AA$27)&gt;=SchemeStart,IF($X66=0,$AD66,IF(AND($Z66&lt;&gt;"",EDATE($D66,Milestones!$AA$27)&gt;=$Z66),$AC66,IF(AND($Y66&lt;&gt;"",EDATE($D66,Milestones!$AA$27)&gt;=$Y66),$AB66,$AA66)))=Milestones!$AB$27),UPPER(TEXT(EDATE($D66,Milestones!$AA$27),"dd mmm yy"))&amp;" "&amp;Milestones!$AB$27&amp;" "&amp;IF(AND(Milestones!$AB$27="FT",Milestones!$AA$27=FT_Y5,EDATE($D66,Milestones!$AA$27)&lt;PolicyEff),1,Milestones!$AC$27)&amp;";  ","")&amp;IF(AND(EDATE($D66,Milestones!$AA$28)&lt;=AsOfDate,EDATE($D66,Milestones!$AA$28)&gt;=SchemeStart,IF($X66=0,$AD66,IF(AND($Z66&lt;&gt;"",EDATE($D66,Milestones!$AA$28)&gt;=$Z66),$AC66,IF(AND($Y66&lt;&gt;"",EDATE($D66,Milestones!$AA$28)&gt;=$Y66),$AB66,$AA66)))=Milestones!$AB$28),UPPER(TEXT(EDATE($D66,Milestones!$AA$28),"dd mmm yy"))&amp;" "&amp;Milestones!$AB$28&amp;" "&amp;IF(AND(Milestones!$AB$28="FT",Milestones!$AA$28=FT_Y5,EDATE($D66,Milestones!$AA$28)&lt;PolicyEff),1,Milestones!$AC$28)&amp;";  ","")&amp;IF(AND(EDATE($D66,Milestones!$AA$29)&lt;=AsOfDate,EDATE($D66,Milestones!$AA$29)&gt;=SchemeStart,IF($X66=0,$AD66,IF(AND($Z66&lt;&gt;"",EDATE($D66,Milestones!$AA$29)&gt;=$Z66),$AC66,IF(AND($Y66&lt;&gt;"",EDATE($D66,Milestones!$AA$29)&gt;=$Y66),$AB66,$AA66)))=Milestones!$AB$29),UPPER(TEXT(EDATE($D66,Milestones!$AA$29),"dd mmm yy"))&amp;" "&amp;Milestones!$AB$29&amp;" "&amp;IF(AND(Milestones!$AB$29="FT",Milestones!$AA$29=FT_Y5,EDATE($D66,Milestones!$AA$29)&lt;PolicyEff),1,Milestones!$AC$29)&amp;";  ","")&amp;IF(AND(EDATE($D66,Milestones!$AA$30)&lt;=AsOfDate,EDATE($D66,Milestones!$AA$30)&gt;=SchemeStart,IF($X66=0,$AD66,IF(AND($Z66&lt;&gt;"",EDATE($D66,Milestones!$AA$30)&gt;=$Z66),$AC66,IF(AND($Y66&lt;&gt;"",EDATE($D66,Milestones!$AA$30)&gt;=$Y66),$AB66,$AA66)))=Milestones!$AB$30),UPPER(TEXT(EDATE($D66,Milestones!$AA$30),"dd mmm yy"))&amp;" "&amp;Milestones!$AB$30&amp;" "&amp;IF(AND(Milestones!$AB$30="FT",Milestones!$AA$30=FT_Y5,EDATE($D66,Milestones!$AA$30)&lt;PolicyEff),1,Milestones!$AC$30)&amp;";  ","")&amp;IF(AND(EDATE($D66,Milestones!$AA$31)&lt;=AsOfDate,EDATE($D66,Milestones!$AA$31)&gt;=SchemeStart,IF($X66=0,$AD66,IF(AND($Z66&lt;&gt;"",EDATE($D66,Milestones!$AA$31)&gt;=$Z66),$AC66,IF(AND($Y66&lt;&gt;"",EDATE($D66,Milestones!$AA$31)&gt;=$Y66),$AB66,$AA66)))=Milestones!$AB$31),UPPER(TEXT(EDATE($D66,Milestones!$AA$31),"dd mmm yy"))&amp;" "&amp;Milestones!$AB$31&amp;" "&amp;IF(AND(Milestones!$AB$31="FT",Milestones!$AA$31=FT_Y5,EDATE($D66,Milestones!$AA$31)&lt;PolicyEff),1,Milestones!$AC$31)&amp;";  ",""))</f>
        <v/>
      </c>
      <c r="J66" s="0" t="str">
        <f aca="false">IF(OR($A66="",$D66=""),"",IF(AND(EDATE($D66,Milestones!$AA$32)&lt;=AsOfDate,EDATE($D66,Milestones!$AA$32)&gt;=SchemeStart,IF($X66=0,$AD66,IF(AND($Z66&lt;&gt;"",EDATE($D66,Milestones!$AA$32)&gt;=$Z66),$AC66,IF(AND($Y66&lt;&gt;"",EDATE($D66,Milestones!$AA$32)&gt;=$Y66),$AB66,$AA66)))=Milestones!$AB$32),UPPER(TEXT(EDATE($D66,Milestones!$AA$32),"dd mmm yy"))&amp;" "&amp;Milestones!$AB$32&amp;" "&amp;IF(AND(Milestones!$AB$32="FT",Milestones!$AA$32=FT_Y5,EDATE($D66,Milestones!$AA$32)&lt;PolicyEff),1,Milestones!$AC$32)&amp;";  ","")&amp;IF(AND(EDATE($D66,Milestones!$AA$33)&lt;=AsOfDate,EDATE($D66,Milestones!$AA$33)&gt;=SchemeStart,IF($X66=0,$AD66,IF(AND($Z66&lt;&gt;"",EDATE($D66,Milestones!$AA$33)&gt;=$Z66),$AC66,IF(AND($Y66&lt;&gt;"",EDATE($D66,Milestones!$AA$33)&gt;=$Y66),$AB66,$AA66)))=Milestones!$AB$33),UPPER(TEXT(EDATE($D66,Milestones!$AA$33),"dd mmm yy"))&amp;" "&amp;Milestones!$AB$33&amp;" "&amp;IF(AND(Milestones!$AB$33="FT",Milestones!$AA$33=FT_Y5,EDATE($D66,Milestones!$AA$33)&lt;PolicyEff),1,Milestones!$AC$33)&amp;";  ","")&amp;IF(AND(EDATE($D66,Milestones!$AA$34)&lt;=AsOfDate,EDATE($D66,Milestones!$AA$34)&gt;=SchemeStart,IF($X66=0,$AD66,IF(AND($Z66&lt;&gt;"",EDATE($D66,Milestones!$AA$34)&gt;=$Z66),$AC66,IF(AND($Y66&lt;&gt;"",EDATE($D66,Milestones!$AA$34)&gt;=$Y66),$AB66,$AA66)))=Milestones!$AB$34),UPPER(TEXT(EDATE($D66,Milestones!$AA$34),"dd mmm yy"))&amp;" "&amp;Milestones!$AB$34&amp;" "&amp;IF(AND(Milestones!$AB$34="FT",Milestones!$AA$34=FT_Y5,EDATE($D66,Milestones!$AA$34)&lt;PolicyEff),1,Milestones!$AC$34)&amp;";  ","")&amp;IF(AND(EDATE($D66,Milestones!$AA$35)&lt;=AsOfDate,EDATE($D66,Milestones!$AA$35)&gt;=SchemeStart,IF($X66=0,$AD66,IF(AND($Z66&lt;&gt;"",EDATE($D66,Milestones!$AA$35)&gt;=$Z66),$AC66,IF(AND($Y66&lt;&gt;"",EDATE($D66,Milestones!$AA$35)&gt;=$Y66),$AB66,$AA66)))=Milestones!$AB$35),UPPER(TEXT(EDATE($D66,Milestones!$AA$35),"dd mmm yy"))&amp;" "&amp;Milestones!$AB$35&amp;" "&amp;IF(AND(Milestones!$AB$35="FT",Milestones!$AA$35=FT_Y5,EDATE($D66,Milestones!$AA$35)&lt;PolicyEff),1,Milestones!$AC$35)&amp;";  ","")&amp;IF(AND(EDATE($D66,Milestones!$AA$36)&lt;=AsOfDate,EDATE($D66,Milestones!$AA$36)&gt;=SchemeStart,IF($X66=0,$AD66,IF(AND($Z66&lt;&gt;"",EDATE($D66,Milestones!$AA$36)&gt;=$Z66),$AC66,IF(AND($Y66&lt;&gt;"",EDATE($D66,Milestones!$AA$36)&gt;=$Y66),$AB66,$AA66)))=Milestones!$AB$36),UPPER(TEXT(EDATE($D66,Milestones!$AA$36),"dd mmm yy"))&amp;" "&amp;Milestones!$AB$36&amp;" "&amp;IF(AND(Milestones!$AB$36="FT",Milestones!$AA$36=FT_Y5,EDATE($D66,Milestones!$AA$36)&lt;PolicyEff),1,Milestones!$AC$36)&amp;";  ","")&amp;IF(AND(EDATE($D66,Milestones!$AA$37)&lt;=AsOfDate,EDATE($D66,Milestones!$AA$37)&gt;=SchemeStart,IF($X66=0,$AD66,IF(AND($Z66&lt;&gt;"",EDATE($D66,Milestones!$AA$37)&gt;=$Z66),$AC66,IF(AND($Y66&lt;&gt;"",EDATE($D66,Milestones!$AA$37)&gt;=$Y66),$AB66,$AA66)))=Milestones!$AB$37),UPPER(TEXT(EDATE($D66,Milestones!$AA$37),"dd mmm yy"))&amp;" "&amp;Milestones!$AB$37&amp;" "&amp;IF(AND(Milestones!$AB$37="FT",Milestones!$AA$37=FT_Y5,EDATE($D66,Milestones!$AA$37)&lt;PolicyEff),1,Milestones!$AC$37)&amp;";  ","")&amp;IF(AND(EDATE($D66,Milestones!$AA$38)&lt;=AsOfDate,EDATE($D66,Milestones!$AA$38)&gt;=SchemeStart,IF($X66=0,$AD66,IF(AND($Z66&lt;&gt;"",EDATE($D66,Milestones!$AA$38)&gt;=$Z66),$AC66,IF(AND($Y66&lt;&gt;"",EDATE($D66,Milestones!$AA$38)&gt;=$Y66),$AB66,$AA66)))=Milestones!$AB$38),UPPER(TEXT(EDATE($D66,Milestones!$AA$38),"dd mmm yy"))&amp;" "&amp;Milestones!$AB$38&amp;" "&amp;IF(AND(Milestones!$AB$38="FT",Milestones!$AA$38=FT_Y5,EDATE($D66,Milestones!$AA$38)&lt;PolicyEff),1,Milestones!$AC$38)&amp;";  ","")&amp;IF(AND(EDATE($D66,Milestones!$AA$39)&lt;=AsOfDate,EDATE($D66,Milestones!$AA$39)&gt;=SchemeStart,IF($X66=0,$AD66,IF(AND($Z66&lt;&gt;"",EDATE($D66,Milestones!$AA$39)&gt;=$Z66),$AC66,IF(AND($Y66&lt;&gt;"",EDATE($D66,Milestones!$AA$39)&gt;=$Y66),$AB66,$AA66)))=Milestones!$AB$39),UPPER(TEXT(EDATE($D66,Milestones!$AA$39),"dd mmm yy"))&amp;" "&amp;Milestones!$AB$39&amp;" "&amp;IF(AND(Milestones!$AB$39="FT",Milestones!$AA$39=FT_Y5,EDATE($D66,Milestones!$AA$39)&lt;PolicyEff),1,Milestones!$AC$39)&amp;";  ","")&amp;IF(AND(EDATE($D66,Milestones!$AA$40)&lt;=AsOfDate,EDATE($D66,Milestones!$AA$40)&gt;=SchemeStart,IF($X66=0,$AD66,IF(AND($Z66&lt;&gt;"",EDATE($D66,Milestones!$AA$40)&gt;=$Z66),$AC66,IF(AND($Y66&lt;&gt;"",EDATE($D66,Milestones!$AA$40)&gt;=$Y66),$AB66,$AA66)))=Milestones!$AB$40),UPPER(TEXT(EDATE($D66,Milestones!$AA$40),"dd mmm yy"))&amp;" "&amp;Milestones!$AB$40&amp;" "&amp;IF(AND(Milestones!$AB$40="FT",Milestones!$AA$40=FT_Y5,EDATE($D66,Milestones!$AA$40)&lt;PolicyEff),1,Milestones!$AC$40)&amp;";  ","")&amp;IF(AND(EDATE($D66,Milestones!$AA$41)&lt;=AsOfDate,EDATE($D66,Milestones!$AA$41)&gt;=SchemeStart,IF($X66=0,$AD66,IF(AND($Z66&lt;&gt;"",EDATE($D66,Milestones!$AA$41)&gt;=$Z66),$AC66,IF(AND($Y66&lt;&gt;"",EDATE($D66,Milestones!$AA$41)&gt;=$Y66),$AB66,$AA66)))=Milestones!$AB$41),UPPER(TEXT(EDATE($D66,Milestones!$AA$41),"dd mmm yy"))&amp;" "&amp;Milestones!$AB$41&amp;" "&amp;IF(AND(Milestones!$AB$41="FT",Milestones!$AA$41=FT_Y5,EDATE($D66,Milestones!$AA$41)&lt;PolicyEff),1,Milestones!$AC$41)&amp;";  ","")&amp;IF(AND(EDATE($D66,Milestones!$AA$42)&lt;=AsOfDate,EDATE($D66,Milestones!$AA$42)&gt;=SchemeStart,IF($X66=0,$AD66,IF(AND($Z66&lt;&gt;"",EDATE($D66,Milestones!$AA$42)&gt;=$Z66),$AC66,IF(AND($Y66&lt;&gt;"",EDATE($D66,Milestones!$AA$42)&gt;=$Y66),$AB66,$AA66)))=Milestones!$AB$42),UPPER(TEXT(EDATE($D66,Milestones!$AA$42),"dd mmm yy"))&amp;" "&amp;Milestones!$AB$42&amp;" "&amp;IF(AND(Milestones!$AB$42="FT",Milestones!$AA$42=FT_Y5,EDATE($D66,Milestones!$AA$42)&lt;PolicyEff),1,Milestones!$AC$42)&amp;";  ","")&amp;IF(AND(EDATE($D66,Milestones!$AA$43)&lt;=AsOfDate,EDATE($D66,Milestones!$AA$43)&gt;=SchemeStart,IF($X66=0,$AD66,IF(AND($Z66&lt;&gt;"",EDATE($D66,Milestones!$AA$43)&gt;=$Z66),$AC66,IF(AND($Y66&lt;&gt;"",EDATE($D66,Milestones!$AA$43)&gt;=$Y66),$AB66,$AA66)))=Milestones!$AB$43),UPPER(TEXT(EDATE($D66,Milestones!$AA$43),"dd mmm yy"))&amp;" "&amp;Milestones!$AB$43&amp;" "&amp;IF(AND(Milestones!$AB$43="FT",Milestones!$AA$43=FT_Y5,EDATE($D66,Milestones!$AA$43)&lt;PolicyEff),1,Milestones!$AC$43)&amp;";  ",""))</f>
        <v/>
      </c>
      <c r="K66" s="0" t="str">
        <f aca="false">IF(OR($A66="",$D66=""),"",IF(AND(EDATE($D66,Milestones!$AA$44)&lt;=AsOfDate,EDATE($D66,Milestones!$AA$44)&gt;=SchemeStart,IF($X66=0,$AD66,IF(AND($Z66&lt;&gt;"",EDATE($D66,Milestones!$AA$44)&gt;=$Z66),$AC66,IF(AND($Y66&lt;&gt;"",EDATE($D66,Milestones!$AA$44)&gt;=$Y66),$AB66,$AA66)))=Milestones!$AB$44),UPPER(TEXT(EDATE($D66,Milestones!$AA$44),"dd mmm yy"))&amp;" "&amp;Milestones!$AB$44&amp;" "&amp;IF(AND(Milestones!$AB$44="FT",Milestones!$AA$44=FT_Y5,EDATE($D66,Milestones!$AA$44)&lt;PolicyEff),1,Milestones!$AC$44)&amp;";  ","")&amp;IF(AND(EDATE($D66,Milestones!$AA$45)&lt;=AsOfDate,EDATE($D66,Milestones!$AA$45)&gt;=SchemeStart,IF($X66=0,$AD66,IF(AND($Z66&lt;&gt;"",EDATE($D66,Milestones!$AA$45)&gt;=$Z66),$AC66,IF(AND($Y66&lt;&gt;"",EDATE($D66,Milestones!$AA$45)&gt;=$Y66),$AB66,$AA66)))=Milestones!$AB$45),UPPER(TEXT(EDATE($D66,Milestones!$AA$45),"dd mmm yy"))&amp;" "&amp;Milestones!$AB$45&amp;" "&amp;IF(AND(Milestones!$AB$45="FT",Milestones!$AA$45=FT_Y5,EDATE($D66,Milestones!$AA$45)&lt;PolicyEff),1,Milestones!$AC$45)&amp;";  ","")&amp;IF(AND(EDATE($D66,Milestones!$AA$46)&lt;=AsOfDate,EDATE($D66,Milestones!$AA$46)&gt;=SchemeStart,IF($X66=0,$AD66,IF(AND($Z66&lt;&gt;"",EDATE($D66,Milestones!$AA$46)&gt;=$Z66),$AC66,IF(AND($Y66&lt;&gt;"",EDATE($D66,Milestones!$AA$46)&gt;=$Y66),$AB66,$AA66)))=Milestones!$AB$46),UPPER(TEXT(EDATE($D66,Milestones!$AA$46),"dd mmm yy"))&amp;" "&amp;Milestones!$AB$46&amp;" "&amp;IF(AND(Milestones!$AB$46="FT",Milestones!$AA$46=FT_Y5,EDATE($D66,Milestones!$AA$46)&lt;PolicyEff),1,Milestones!$AC$46)&amp;";  ","")&amp;IF(AND(EDATE($D66,Milestones!$AA$47)&lt;=AsOfDate,EDATE($D66,Milestones!$AA$47)&gt;=SchemeStart,IF($X66=0,$AD66,IF(AND($Z66&lt;&gt;"",EDATE($D66,Milestones!$AA$47)&gt;=$Z66),$AC66,IF(AND($Y66&lt;&gt;"",EDATE($D66,Milestones!$AA$47)&gt;=$Y66),$AB66,$AA66)))=Milestones!$AB$47),UPPER(TEXT(EDATE($D66,Milestones!$AA$47),"dd mmm yy"))&amp;" "&amp;Milestones!$AB$47&amp;" "&amp;IF(AND(Milestones!$AB$47="FT",Milestones!$AA$47=FT_Y5,EDATE($D66,Milestones!$AA$47)&lt;PolicyEff),1,Milestones!$AC$47)&amp;";  ","")&amp;IF(AND(EDATE($D66,Milestones!$AA$48)&lt;=AsOfDate,EDATE($D66,Milestones!$AA$48)&gt;=SchemeStart,IF($X66=0,$AD66,IF(AND($Z66&lt;&gt;"",EDATE($D66,Milestones!$AA$48)&gt;=$Z66),$AC66,IF(AND($Y66&lt;&gt;"",EDATE($D66,Milestones!$AA$48)&gt;=$Y66),$AB66,$AA66)))=Milestones!$AB$48),UPPER(TEXT(EDATE($D66,Milestones!$AA$48),"dd mmm yy"))&amp;" "&amp;Milestones!$AB$48&amp;" "&amp;IF(AND(Milestones!$AB$48="FT",Milestones!$AA$48=FT_Y5,EDATE($D66,Milestones!$AA$48)&lt;PolicyEff),1,Milestones!$AC$48)&amp;";  ","")&amp;IF(AND(EDATE($D66,Milestones!$AA$49)&lt;=AsOfDate,EDATE($D66,Milestones!$AA$49)&gt;=SchemeStart,IF($X66=0,$AD66,IF(AND($Z66&lt;&gt;"",EDATE($D66,Milestones!$AA$49)&gt;=$Z66),$AC66,IF(AND($Y66&lt;&gt;"",EDATE($D66,Milestones!$AA$49)&gt;=$Y66),$AB66,$AA66)))=Milestones!$AB$49),UPPER(TEXT(EDATE($D66,Milestones!$AA$49),"dd mmm yy"))&amp;" "&amp;Milestones!$AB$49&amp;" "&amp;IF(AND(Milestones!$AB$49="FT",Milestones!$AA$49=FT_Y5,EDATE($D66,Milestones!$AA$49)&lt;PolicyEff),1,Milestones!$AC$49)&amp;";  ","")&amp;IF(AND(EDATE($D66,Milestones!$AA$50)&lt;=AsOfDate,EDATE($D66,Milestones!$AA$50)&gt;=SchemeStart,IF($X66=0,$AD66,IF(AND($Z66&lt;&gt;"",EDATE($D66,Milestones!$AA$50)&gt;=$Z66),$AC66,IF(AND($Y66&lt;&gt;"",EDATE($D66,Milestones!$AA$50)&gt;=$Y66),$AB66,$AA66)))=Milestones!$AB$50),UPPER(TEXT(EDATE($D66,Milestones!$AA$50),"dd mmm yy"))&amp;" "&amp;Milestones!$AB$50&amp;" "&amp;IF(AND(Milestones!$AB$50="FT",Milestones!$AA$50=FT_Y5,EDATE($D66,Milestones!$AA$50)&lt;PolicyEff),1,Milestones!$AC$50)&amp;";  ","")&amp;IF(AND(EDATE($D66,Milestones!$AA$51)&lt;=AsOfDate,EDATE($D66,Milestones!$AA$51)&gt;=SchemeStart,IF($X66=0,$AD66,IF(AND($Z66&lt;&gt;"",EDATE($D66,Milestones!$AA$51)&gt;=$Z66),$AC66,IF(AND($Y66&lt;&gt;"",EDATE($D66,Milestones!$AA$51)&gt;=$Y66),$AB66,$AA66)))=Milestones!$AB$51),UPPER(TEXT(EDATE($D66,Milestones!$AA$51),"dd mmm yy"))&amp;" "&amp;Milestones!$AB$51&amp;" "&amp;IF(AND(Milestones!$AB$51="FT",Milestones!$AA$51=FT_Y5,EDATE($D66,Milestones!$AA$51)&lt;PolicyEff),1,Milestones!$AC$51)&amp;";  ","")&amp;IF(AND(EDATE($D66,Milestones!$AA$52)&lt;=AsOfDate,EDATE($D66,Milestones!$AA$52)&gt;=SchemeStart,IF($X66=0,$AD66,IF(AND($Z66&lt;&gt;"",EDATE($D66,Milestones!$AA$52)&gt;=$Z66),$AC66,IF(AND($Y66&lt;&gt;"",EDATE($D66,Milestones!$AA$52)&gt;=$Y66),$AB66,$AA66)))=Milestones!$AB$52),UPPER(TEXT(EDATE($D66,Milestones!$AA$52),"dd mmm yy"))&amp;" "&amp;Milestones!$AB$52&amp;" "&amp;IF(AND(Milestones!$AB$52="FT",Milestones!$AA$52=FT_Y5,EDATE($D66,Milestones!$AA$52)&lt;PolicyEff),1,Milestones!$AC$52)&amp;";  ","")&amp;IF(AND(EDATE($D66,Milestones!$AA$53)&lt;=AsOfDate,EDATE($D66,Milestones!$AA$53)&gt;=SchemeStart,IF($X66=0,$AD66,IF(AND($Z66&lt;&gt;"",EDATE($D66,Milestones!$AA$53)&gt;=$Z66),$AC66,IF(AND($Y66&lt;&gt;"",EDATE($D66,Milestones!$AA$53)&gt;=$Y66),$AB66,$AA66)))=Milestones!$AB$53),UPPER(TEXT(EDATE($D66,Milestones!$AA$53),"dd mmm yy"))&amp;" "&amp;Milestones!$AB$53&amp;" "&amp;IF(AND(Milestones!$AB$53="FT",Milestones!$AA$53=FT_Y5,EDATE($D66,Milestones!$AA$53)&lt;PolicyEff),1,Milestones!$AC$53)&amp;";  ","")&amp;IF(AND(EDATE($D66,Milestones!$AA$54)&lt;=AsOfDate,EDATE($D66,Milestones!$AA$54)&gt;=SchemeStart,IF($X66=0,$AD66,IF(AND($Z66&lt;&gt;"",EDATE($D66,Milestones!$AA$54)&gt;=$Z66),$AC66,IF(AND($Y66&lt;&gt;"",EDATE($D66,Milestones!$AA$54)&gt;=$Y66),$AB66,$AA66)))=Milestones!$AB$54),UPPER(TEXT(EDATE($D66,Milestones!$AA$54),"dd mmm yy"))&amp;" "&amp;Milestones!$AB$54&amp;" "&amp;IF(AND(Milestones!$AB$54="FT",Milestones!$AA$54=FT_Y5,EDATE($D66,Milestones!$AA$54)&lt;PolicyEff),1,Milestones!$AC$54)&amp;";  ","")&amp;IF(AND(EDATE($D66,Milestones!$AA$55)&lt;=AsOfDate,EDATE($D66,Milestones!$AA$55)&gt;=SchemeStart,IF($X66=0,$AD66,IF(AND($Z66&lt;&gt;"",EDATE($D66,Milestones!$AA$55)&gt;=$Z66),$AC66,IF(AND($Y66&lt;&gt;"",EDATE($D66,Milestones!$AA$55)&gt;=$Y66),$AB66,$AA66)))=Milestones!$AB$55),UPPER(TEXT(EDATE($D66,Milestones!$AA$55),"dd mmm yy"))&amp;" "&amp;Milestones!$AB$55&amp;" "&amp;IF(AND(Milestones!$AB$55="FT",Milestones!$AA$55=FT_Y5,EDATE($D66,Milestones!$AA$55)&lt;PolicyEff),1,Milestones!$AC$55)&amp;";  ",""))</f>
        <v/>
      </c>
      <c r="L66" s="0" t="str">
        <f aca="false">IF(OR($A66="",$D66=""),"",IF(AND(EDATE($D66,Milestones!$AA$56)&lt;=AsOfDate,EDATE($D66,Milestones!$AA$56)&gt;=SchemeStart,IF($X66=0,$AD66,IF(AND($Z66&lt;&gt;"",EDATE($D66,Milestones!$AA$56)&gt;=$Z66),$AC66,IF(AND($Y66&lt;&gt;"",EDATE($D66,Milestones!$AA$56)&gt;=$Y66),$AB66,$AA66)))=Milestones!$AB$56),UPPER(TEXT(EDATE($D66,Milestones!$AA$56),"dd mmm yy"))&amp;" "&amp;Milestones!$AB$56&amp;" "&amp;IF(AND(Milestones!$AB$56="FT",Milestones!$AA$56=FT_Y5,EDATE($D66,Milestones!$AA$56)&lt;PolicyEff),1,Milestones!$AC$56)&amp;";  ","")&amp;IF(AND(EDATE($D66,Milestones!$AA$57)&lt;=AsOfDate,EDATE($D66,Milestones!$AA$57)&gt;=SchemeStart,IF($X66=0,$AD66,IF(AND($Z66&lt;&gt;"",EDATE($D66,Milestones!$AA$57)&gt;=$Z66),$AC66,IF(AND($Y66&lt;&gt;"",EDATE($D66,Milestones!$AA$57)&gt;=$Y66),$AB66,$AA66)))=Milestones!$AB$57),UPPER(TEXT(EDATE($D66,Milestones!$AA$57),"dd mmm yy"))&amp;" "&amp;Milestones!$AB$57&amp;" "&amp;IF(AND(Milestones!$AB$57="FT",Milestones!$AA$57=FT_Y5,EDATE($D66,Milestones!$AA$57)&lt;PolicyEff),1,Milestones!$AC$57)&amp;";  ","")&amp;IF(AND(EDATE($D66,Milestones!$AA$58)&lt;=AsOfDate,EDATE($D66,Milestones!$AA$58)&gt;=SchemeStart,IF($X66=0,$AD66,IF(AND($Z66&lt;&gt;"",EDATE($D66,Milestones!$AA$58)&gt;=$Z66),$AC66,IF(AND($Y66&lt;&gt;"",EDATE($D66,Milestones!$AA$58)&gt;=$Y66),$AB66,$AA66)))=Milestones!$AB$58),UPPER(TEXT(EDATE($D66,Milestones!$AA$58),"dd mmm yy"))&amp;" "&amp;Milestones!$AB$58&amp;" "&amp;IF(AND(Milestones!$AB$58="FT",Milestones!$AA$58=FT_Y5,EDATE($D66,Milestones!$AA$58)&lt;PolicyEff),1,Milestones!$AC$58)&amp;";  ","")&amp;IF(AND(EDATE($D66,Milestones!$AA$59)&lt;=AsOfDate,EDATE($D66,Milestones!$AA$59)&gt;=SchemeStart,IF($X66=0,$AD66,IF(AND($Z66&lt;&gt;"",EDATE($D66,Milestones!$AA$59)&gt;=$Z66),$AC66,IF(AND($Y66&lt;&gt;"",EDATE($D66,Milestones!$AA$59)&gt;=$Y66),$AB66,$AA66)))=Milestones!$AB$59),UPPER(TEXT(EDATE($D66,Milestones!$AA$59),"dd mmm yy"))&amp;" "&amp;Milestones!$AB$59&amp;" "&amp;IF(AND(Milestones!$AB$59="FT",Milestones!$AA$59=FT_Y5,EDATE($D66,Milestones!$AA$59)&lt;PolicyEff),1,Milestones!$AC$59)&amp;";  ","")&amp;IF(AND(EDATE($D66,Milestones!$AA$60)&lt;=AsOfDate,EDATE($D66,Milestones!$AA$60)&gt;=SchemeStart,IF($X66=0,$AD66,IF(AND($Z66&lt;&gt;"",EDATE($D66,Milestones!$AA$60)&gt;=$Z66),$AC66,IF(AND($Y66&lt;&gt;"",EDATE($D66,Milestones!$AA$60)&gt;=$Y66),$AB66,$AA66)))=Milestones!$AB$60),UPPER(TEXT(EDATE($D66,Milestones!$AA$60),"dd mmm yy"))&amp;" "&amp;Milestones!$AB$60&amp;" "&amp;IF(AND(Milestones!$AB$60="FT",Milestones!$AA$60=FT_Y5,EDATE($D66,Milestones!$AA$60)&lt;PolicyEff),1,Milestones!$AC$60)&amp;";  ","")&amp;IF(AND(EDATE($D66,Milestones!$AA$61)&lt;=AsOfDate,EDATE($D66,Milestones!$AA$61)&gt;=SchemeStart,IF($X66=0,$AD66,IF(AND($Z66&lt;&gt;"",EDATE($D66,Milestones!$AA$61)&gt;=$Z66),$AC66,IF(AND($Y66&lt;&gt;"",EDATE($D66,Milestones!$AA$61)&gt;=$Y66),$AB66,$AA66)))=Milestones!$AB$61),UPPER(TEXT(EDATE($D66,Milestones!$AA$61),"dd mmm yy"))&amp;" "&amp;Milestones!$AB$61&amp;" "&amp;IF(AND(Milestones!$AB$61="FT",Milestones!$AA$61=FT_Y5,EDATE($D66,Milestones!$AA$61)&lt;PolicyEff),1,Milestones!$AC$61)&amp;";  ","")&amp;IF(AND(EDATE($D66,Milestones!$AA$62)&lt;=AsOfDate,EDATE($D66,Milestones!$AA$62)&gt;=SchemeStart,IF($X66=0,$AD66,IF(AND($Z66&lt;&gt;"",EDATE($D66,Milestones!$AA$62)&gt;=$Z66),$AC66,IF(AND($Y66&lt;&gt;"",EDATE($D66,Milestones!$AA$62)&gt;=$Y66),$AB66,$AA66)))=Milestones!$AB$62),UPPER(TEXT(EDATE($D66,Milestones!$AA$62),"dd mmm yy"))&amp;" "&amp;Milestones!$AB$62&amp;" "&amp;IF(AND(Milestones!$AB$62="FT",Milestones!$AA$62=FT_Y5,EDATE($D66,Milestones!$AA$62)&lt;PolicyEff),1,Milestones!$AC$62)&amp;";  ","")&amp;IF(AND(EDATE($D66,Milestones!$AA$63)&lt;=AsOfDate,EDATE($D66,Milestones!$AA$63)&gt;=SchemeStart,IF($X66=0,$AD66,IF(AND($Z66&lt;&gt;"",EDATE($D66,Milestones!$AA$63)&gt;=$Z66),$AC66,IF(AND($Y66&lt;&gt;"",EDATE($D66,Milestones!$AA$63)&gt;=$Y66),$AB66,$AA66)))=Milestones!$AB$63),UPPER(TEXT(EDATE($D66,Milestones!$AA$63),"dd mmm yy"))&amp;" "&amp;Milestones!$AB$63&amp;" "&amp;IF(AND(Milestones!$AB$63="FT",Milestones!$AA$63=FT_Y5,EDATE($D66,Milestones!$AA$63)&lt;PolicyEff),1,Milestones!$AC$63)&amp;";  ","")&amp;IF(AND(EDATE($D66,Milestones!$AA$64)&lt;=AsOfDate,EDATE($D66,Milestones!$AA$64)&gt;=SchemeStart,IF($X66=0,$AD66,IF(AND($Z66&lt;&gt;"",EDATE($D66,Milestones!$AA$64)&gt;=$Z66),$AC66,IF(AND($Y66&lt;&gt;"",EDATE($D66,Milestones!$AA$64)&gt;=$Y66),$AB66,$AA66)))=Milestones!$AB$64),UPPER(TEXT(EDATE($D66,Milestones!$AA$64),"dd mmm yy"))&amp;" "&amp;Milestones!$AB$64&amp;" "&amp;IF(AND(Milestones!$AB$64="FT",Milestones!$AA$64=FT_Y5,EDATE($D66,Milestones!$AA$64)&lt;PolicyEff),1,Milestones!$AC$64)&amp;";  ","")&amp;IF(AND(EDATE($D66,Milestones!$AA$65)&lt;=AsOfDate,EDATE($D66,Milestones!$AA$65)&gt;=SchemeStart,IF($X66=0,$AD66,IF(AND($Z66&lt;&gt;"",EDATE($D66,Milestones!$AA$65)&gt;=$Z66),$AC66,IF(AND($Y66&lt;&gt;"",EDATE($D66,Milestones!$AA$65)&gt;=$Y66),$AB66,$AA66)))=Milestones!$AB$65),UPPER(TEXT(EDATE($D66,Milestones!$AA$65),"dd mmm yy"))&amp;" "&amp;Milestones!$AB$65&amp;" "&amp;IF(AND(Milestones!$AB$65="FT",Milestones!$AA$65=FT_Y5,EDATE($D66,Milestones!$AA$65)&lt;PolicyEff),1,Milestones!$AC$65)&amp;";  ","")&amp;IF(AND(EDATE($D66,Milestones!$AA$66)&lt;=AsOfDate,EDATE($D66,Milestones!$AA$66)&gt;=SchemeStart,IF($X66=0,$AD66,IF(AND($Z66&lt;&gt;"",EDATE($D66,Milestones!$AA$66)&gt;=$Z66),$AC66,IF(AND($Y66&lt;&gt;"",EDATE($D66,Milestones!$AA$66)&gt;=$Y66),$AB66,$AA66)))=Milestones!$AB$66),UPPER(TEXT(EDATE($D66,Milestones!$AA$66),"dd mmm yy"))&amp;" "&amp;Milestones!$AB$66&amp;" "&amp;IF(AND(Milestones!$AB$66="FT",Milestones!$AA$66=FT_Y5,EDATE($D66,Milestones!$AA$66)&lt;PolicyEff),1,Milestones!$AC$66)&amp;";  ","")&amp;IF(AND(EDATE($D66,Milestones!$AA$67)&lt;=AsOfDate,EDATE($D66,Milestones!$AA$67)&gt;=SchemeStart,IF($X66=0,$AD66,IF(AND($Z66&lt;&gt;"",EDATE($D66,Milestones!$AA$67)&gt;=$Z66),$AC66,IF(AND($Y66&lt;&gt;"",EDATE($D66,Milestones!$AA$67)&gt;=$Y66),$AB66,$AA66)))=Milestones!$AB$67),UPPER(TEXT(EDATE($D66,Milestones!$AA$67),"dd mmm yy"))&amp;" "&amp;Milestones!$AB$67&amp;" "&amp;IF(AND(Milestones!$AB$67="FT",Milestones!$AA$67=FT_Y5,EDATE($D66,Milestones!$AA$67)&lt;PolicyEff),1,Milestones!$AC$67)&amp;";  ",""))</f>
        <v/>
      </c>
      <c r="M66" s="0" t="str">
        <f aca="false">IF(OR($A66="",$D66=""),"",IF(AND(EDATE($D66,Milestones!$AA$68)&lt;=AsOfDate,EDATE($D66,Milestones!$AA$68)&gt;=SchemeStart,IF($X66=0,$AD66,IF(AND($Z66&lt;&gt;"",EDATE($D66,Milestones!$AA$68)&gt;=$Z66),$AC66,IF(AND($Y66&lt;&gt;"",EDATE($D66,Milestones!$AA$68)&gt;=$Y66),$AB66,$AA66)))=Milestones!$AB$68),UPPER(TEXT(EDATE($D66,Milestones!$AA$68),"dd mmm yy"))&amp;" "&amp;Milestones!$AB$68&amp;" "&amp;IF(AND(Milestones!$AB$68="FT",Milestones!$AA$68=FT_Y5,EDATE($D66,Milestones!$AA$68)&lt;PolicyEff),1,Milestones!$AC$68)&amp;";  ","")&amp;IF(AND(EDATE($D66,Milestones!$AA$69)&lt;=AsOfDate,EDATE($D66,Milestones!$AA$69)&gt;=SchemeStart,IF($X66=0,$AD66,IF(AND($Z66&lt;&gt;"",EDATE($D66,Milestones!$AA$69)&gt;=$Z66),$AC66,IF(AND($Y66&lt;&gt;"",EDATE($D66,Milestones!$AA$69)&gt;=$Y66),$AB66,$AA66)))=Milestones!$AB$69),UPPER(TEXT(EDATE($D66,Milestones!$AA$69),"dd mmm yy"))&amp;" "&amp;Milestones!$AB$69&amp;" "&amp;IF(AND(Milestones!$AB$69="FT",Milestones!$AA$69=FT_Y5,EDATE($D66,Milestones!$AA$69)&lt;PolicyEff),1,Milestones!$AC$69)&amp;";  ","")&amp;IF(AND(EDATE($D66,Milestones!$AA$70)&lt;=AsOfDate,EDATE($D66,Milestones!$AA$70)&gt;=SchemeStart,IF($X66=0,$AD66,IF(AND($Z66&lt;&gt;"",EDATE($D66,Milestones!$AA$70)&gt;=$Z66),$AC66,IF(AND($Y66&lt;&gt;"",EDATE($D66,Milestones!$AA$70)&gt;=$Y66),$AB66,$AA66)))=Milestones!$AB$70),UPPER(TEXT(EDATE($D66,Milestones!$AA$70),"dd mmm yy"))&amp;" "&amp;Milestones!$AB$70&amp;" "&amp;IF(AND(Milestones!$AB$70="FT",Milestones!$AA$70=FT_Y5,EDATE($D66,Milestones!$AA$70)&lt;PolicyEff),1,Milestones!$AC$70)&amp;";  ","")&amp;IF(AND(EDATE($D66,Milestones!$AA$71)&lt;=AsOfDate,EDATE($D66,Milestones!$AA$71)&gt;=SchemeStart,IF($X66=0,$AD66,IF(AND($Z66&lt;&gt;"",EDATE($D66,Milestones!$AA$71)&gt;=$Z66),$AC66,IF(AND($Y66&lt;&gt;"",EDATE($D66,Milestones!$AA$71)&gt;=$Y66),$AB66,$AA66)))=Milestones!$AB$71),UPPER(TEXT(EDATE($D66,Milestones!$AA$71),"dd mmm yy"))&amp;" "&amp;Milestones!$AB$71&amp;" "&amp;IF(AND(Milestones!$AB$71="FT",Milestones!$AA$71=FT_Y5,EDATE($D66,Milestones!$AA$71)&lt;PolicyEff),1,Milestones!$AC$71)&amp;";  ","")&amp;IF(AND(EDATE($D66,Milestones!$AA$72)&lt;=AsOfDate,EDATE($D66,Milestones!$AA$72)&gt;=SchemeStart,IF($X66=0,$AD66,IF(AND($Z66&lt;&gt;"",EDATE($D66,Milestones!$AA$72)&gt;=$Z66),$AC66,IF(AND($Y66&lt;&gt;"",EDATE($D66,Milestones!$AA$72)&gt;=$Y66),$AB66,$AA66)))=Milestones!$AB$72),UPPER(TEXT(EDATE($D66,Milestones!$AA$72),"dd mmm yy"))&amp;" "&amp;Milestones!$AB$72&amp;" "&amp;IF(AND(Milestones!$AB$72="FT",Milestones!$AA$72=FT_Y5,EDATE($D66,Milestones!$AA$72)&lt;PolicyEff),1,Milestones!$AC$72)&amp;";  ","")&amp;IF(AND(EDATE($D66,Milestones!$AA$73)&lt;=AsOfDate,EDATE($D66,Milestones!$AA$73)&gt;=SchemeStart,IF($X66=0,$AD66,IF(AND($Z66&lt;&gt;"",EDATE($D66,Milestones!$AA$73)&gt;=$Z66),$AC66,IF(AND($Y66&lt;&gt;"",EDATE($D66,Milestones!$AA$73)&gt;=$Y66),$AB66,$AA66)))=Milestones!$AB$73),UPPER(TEXT(EDATE($D66,Milestones!$AA$73),"dd mmm yy"))&amp;" "&amp;Milestones!$AB$73&amp;" "&amp;IF(AND(Milestones!$AB$73="FT",Milestones!$AA$73=FT_Y5,EDATE($D66,Milestones!$AA$73)&lt;PolicyEff),1,Milestones!$AC$73)&amp;";  ","")&amp;IF(AND(EDATE($D66,Milestones!$AA$74)&lt;=AsOfDate,EDATE($D66,Milestones!$AA$74)&gt;=SchemeStart,IF($X66=0,$AD66,IF(AND($Z66&lt;&gt;"",EDATE($D66,Milestones!$AA$74)&gt;=$Z66),$AC66,IF(AND($Y66&lt;&gt;"",EDATE($D66,Milestones!$AA$74)&gt;=$Y66),$AB66,$AA66)))=Milestones!$AB$74),UPPER(TEXT(EDATE($D66,Milestones!$AA$74),"dd mmm yy"))&amp;" "&amp;Milestones!$AB$74&amp;" "&amp;IF(AND(Milestones!$AB$74="FT",Milestones!$AA$74=FT_Y5,EDATE($D66,Milestones!$AA$74)&lt;PolicyEff),1,Milestones!$AC$74)&amp;";  ","")&amp;IF(AND(EDATE($D66,Milestones!$AA$75)&lt;=AsOfDate,EDATE($D66,Milestones!$AA$75)&gt;=SchemeStart,IF($X66=0,$AD66,IF(AND($Z66&lt;&gt;"",EDATE($D66,Milestones!$AA$75)&gt;=$Z66),$AC66,IF(AND($Y66&lt;&gt;"",EDATE($D66,Milestones!$AA$75)&gt;=$Y66),$AB66,$AA66)))=Milestones!$AB$75),UPPER(TEXT(EDATE($D66,Milestones!$AA$75),"dd mmm yy"))&amp;" "&amp;Milestones!$AB$75&amp;" "&amp;IF(AND(Milestones!$AB$75="FT",Milestones!$AA$75=FT_Y5,EDATE($D66,Milestones!$AA$75)&lt;PolicyEff),1,Milestones!$AC$75)&amp;";  ","")&amp;IF(AND(EDATE($D66,Milestones!$AA$76)&lt;=AsOfDate,EDATE($D66,Milestones!$AA$76)&gt;=SchemeStart,IF($X66=0,$AD66,IF(AND($Z66&lt;&gt;"",EDATE($D66,Milestones!$AA$76)&gt;=$Z66),$AC66,IF(AND($Y66&lt;&gt;"",EDATE($D66,Milestones!$AA$76)&gt;=$Y66),$AB66,$AA66)))=Milestones!$AB$76),UPPER(TEXT(EDATE($D66,Milestones!$AA$76),"dd mmm yy"))&amp;" "&amp;Milestones!$AB$76&amp;" "&amp;IF(AND(Milestones!$AB$76="FT",Milestones!$AA$76=FT_Y5,EDATE($D66,Milestones!$AA$76)&lt;PolicyEff),1,Milestones!$AC$76)&amp;";  ","")&amp;IF(AND(EDATE($D66,Milestones!$AA$77)&lt;=AsOfDate,EDATE($D66,Milestones!$AA$77)&gt;=SchemeStart,IF($X66=0,$AD66,IF(AND($Z66&lt;&gt;"",EDATE($D66,Milestones!$AA$77)&gt;=$Z66),$AC66,IF(AND($Y66&lt;&gt;"",EDATE($D66,Milestones!$AA$77)&gt;=$Y66),$AB66,$AA66)))=Milestones!$AB$77),UPPER(TEXT(EDATE($D66,Milestones!$AA$77),"dd mmm yy"))&amp;" "&amp;Milestones!$AB$77&amp;" "&amp;IF(AND(Milestones!$AB$77="FT",Milestones!$AA$77=FT_Y5,EDATE($D66,Milestones!$AA$77)&lt;PolicyEff),1,Milestones!$AC$77)&amp;";  ","")&amp;IF(AND(EDATE($D66,Milestones!$AA$78)&lt;=AsOfDate,EDATE($D66,Milestones!$AA$78)&gt;=SchemeStart,IF($X66=0,$AD66,IF(AND($Z66&lt;&gt;"",EDATE($D66,Milestones!$AA$78)&gt;=$Z66),$AC66,IF(AND($Y66&lt;&gt;"",EDATE($D66,Milestones!$AA$78)&gt;=$Y66),$AB66,$AA66)))=Milestones!$AB$78),UPPER(TEXT(EDATE($D66,Milestones!$AA$78),"dd mmm yy"))&amp;" "&amp;Milestones!$AB$78&amp;" "&amp;IF(AND(Milestones!$AB$78="FT",Milestones!$AA$78=FT_Y5,EDATE($D66,Milestones!$AA$78)&lt;PolicyEff),1,Milestones!$AC$78)&amp;";  ","")&amp;IF(AND(EDATE($D66,Milestones!$AA$79)&lt;=AsOfDate,EDATE($D66,Milestones!$AA$79)&gt;=SchemeStart,IF($X66=0,$AD66,IF(AND($Z66&lt;&gt;"",EDATE($D66,Milestones!$AA$79)&gt;=$Z66),$AC66,IF(AND($Y66&lt;&gt;"",EDATE($D66,Milestones!$AA$79)&gt;=$Y66),$AB66,$AA66)))=Milestones!$AB$79),UPPER(TEXT(EDATE($D66,Milestones!$AA$79),"dd mmm yy"))&amp;" "&amp;Milestones!$AB$79&amp;" "&amp;IF(AND(Milestones!$AB$79="FT",Milestones!$AA$79=FT_Y5,EDATE($D66,Milestones!$AA$79)&lt;PolicyEff),1,Milestones!$AC$79)&amp;";  ",""))</f>
        <v/>
      </c>
      <c r="N66" s="0" t="str">
        <f aca="false">IF(OR($A66="",$D66=""),"",IF(AND(EDATE($D66,Milestones!$AA$80)&lt;=AsOfDate,EDATE($D66,Milestones!$AA$80)&gt;=SchemeStart,IF($X66=0,$AD66,IF(AND($Z66&lt;&gt;"",EDATE($D66,Milestones!$AA$80)&gt;=$Z66),$AC66,IF(AND($Y66&lt;&gt;"",EDATE($D66,Milestones!$AA$80)&gt;=$Y66),$AB66,$AA66)))=Milestones!$AB$80),UPPER(TEXT(EDATE($D66,Milestones!$AA$80),"dd mmm yy"))&amp;" "&amp;Milestones!$AB$80&amp;" "&amp;IF(AND(Milestones!$AB$80="FT",Milestones!$AA$80=FT_Y5,EDATE($D66,Milestones!$AA$80)&lt;PolicyEff),1,Milestones!$AC$80)&amp;";  ","")&amp;IF(AND(EDATE($D66,Milestones!$AA$81)&lt;=AsOfDate,EDATE($D66,Milestones!$AA$81)&gt;=SchemeStart,IF($X66=0,$AD66,IF(AND($Z66&lt;&gt;"",EDATE($D66,Milestones!$AA$81)&gt;=$Z66),$AC66,IF(AND($Y66&lt;&gt;"",EDATE($D66,Milestones!$AA$81)&gt;=$Y66),$AB66,$AA66)))=Milestones!$AB$81),UPPER(TEXT(EDATE($D66,Milestones!$AA$81),"dd mmm yy"))&amp;" "&amp;Milestones!$AB$81&amp;" "&amp;IF(AND(Milestones!$AB$81="FT",Milestones!$AA$81=FT_Y5,EDATE($D66,Milestones!$AA$81)&lt;PolicyEff),1,Milestones!$AC$81)&amp;";  ","")&amp;IF(AND(EDATE($D66,Milestones!$AA$82)&lt;=AsOfDate,EDATE($D66,Milestones!$AA$82)&gt;=SchemeStart,IF($X66=0,$AD66,IF(AND($Z66&lt;&gt;"",EDATE($D66,Milestones!$AA$82)&gt;=$Z66),$AC66,IF(AND($Y66&lt;&gt;"",EDATE($D66,Milestones!$AA$82)&gt;=$Y66),$AB66,$AA66)))=Milestones!$AB$82),UPPER(TEXT(EDATE($D66,Milestones!$AA$82),"dd mmm yy"))&amp;" "&amp;Milestones!$AB$82&amp;" "&amp;IF(AND(Milestones!$AB$82="FT",Milestones!$AA$82=FT_Y5,EDATE($D66,Milestones!$AA$82)&lt;PolicyEff),1,Milestones!$AC$82)&amp;";  ","")&amp;IF(AND(EDATE($D66,Milestones!$AA$83)&lt;=AsOfDate,EDATE($D66,Milestones!$AA$83)&gt;=SchemeStart,IF($X66=0,$AD66,IF(AND($Z66&lt;&gt;"",EDATE($D66,Milestones!$AA$83)&gt;=$Z66),$AC66,IF(AND($Y66&lt;&gt;"",EDATE($D66,Milestones!$AA$83)&gt;=$Y66),$AB66,$AA66)))=Milestones!$AB$83),UPPER(TEXT(EDATE($D66,Milestones!$AA$83),"dd mmm yy"))&amp;" "&amp;Milestones!$AB$83&amp;" "&amp;IF(AND(Milestones!$AB$83="FT",Milestones!$AA$83=FT_Y5,EDATE($D66,Milestones!$AA$83)&lt;PolicyEff),1,Milestones!$AC$83)&amp;";  ","")&amp;IF(AND(EDATE($D66,Milestones!$AA$84)&lt;=AsOfDate,EDATE($D66,Milestones!$AA$84)&gt;=SchemeStart,IF($X66=0,$AD66,IF(AND($Z66&lt;&gt;"",EDATE($D66,Milestones!$AA$84)&gt;=$Z66),$AC66,IF(AND($Y66&lt;&gt;"",EDATE($D66,Milestones!$AA$84)&gt;=$Y66),$AB66,$AA66)))=Milestones!$AB$84),UPPER(TEXT(EDATE($D66,Milestones!$AA$84),"dd mmm yy"))&amp;" "&amp;Milestones!$AB$84&amp;" "&amp;IF(AND(Milestones!$AB$84="FT",Milestones!$AA$84=FT_Y5,EDATE($D66,Milestones!$AA$84)&lt;PolicyEff),1,Milestones!$AC$84)&amp;";  ","")&amp;IF(AND(EDATE($D66,Milestones!$AA$85)&lt;=AsOfDate,EDATE($D66,Milestones!$AA$85)&gt;=SchemeStart,IF($X66=0,$AD66,IF(AND($Z66&lt;&gt;"",EDATE($D66,Milestones!$AA$85)&gt;=$Z66),$AC66,IF(AND($Y66&lt;&gt;"",EDATE($D66,Milestones!$AA$85)&gt;=$Y66),$AB66,$AA66)))=Milestones!$AB$85),UPPER(TEXT(EDATE($D66,Milestones!$AA$85),"dd mmm yy"))&amp;" "&amp;Milestones!$AB$85&amp;" "&amp;IF(AND(Milestones!$AB$85="FT",Milestones!$AA$85=FT_Y5,EDATE($D66,Milestones!$AA$85)&lt;PolicyEff),1,Milestones!$AC$85)&amp;";  ","")&amp;IF(AND(EDATE($D66,Milestones!$AA$86)&lt;=AsOfDate,EDATE($D66,Milestones!$AA$86)&gt;=SchemeStart,IF($X66=0,$AD66,IF(AND($Z66&lt;&gt;"",EDATE($D66,Milestones!$AA$86)&gt;=$Z66),$AC66,IF(AND($Y66&lt;&gt;"",EDATE($D66,Milestones!$AA$86)&gt;=$Y66),$AB66,$AA66)))=Milestones!$AB$86),UPPER(TEXT(EDATE($D66,Milestones!$AA$86),"dd mmm yy"))&amp;" "&amp;Milestones!$AB$86&amp;" "&amp;IF(AND(Milestones!$AB$86="FT",Milestones!$AA$86=FT_Y5,EDATE($D66,Milestones!$AA$86)&lt;PolicyEff),1,Milestones!$AC$86)&amp;";  ","")&amp;IF(AND(EDATE($D66,Milestones!$AA$87)&lt;=AsOfDate,EDATE($D66,Milestones!$AA$87)&gt;=SchemeStart,IF($X66=0,$AD66,IF(AND($Z66&lt;&gt;"",EDATE($D66,Milestones!$AA$87)&gt;=$Z66),$AC66,IF(AND($Y66&lt;&gt;"",EDATE($D66,Milestones!$AA$87)&gt;=$Y66),$AB66,$AA66)))=Milestones!$AB$87),UPPER(TEXT(EDATE($D66,Milestones!$AA$87),"dd mmm yy"))&amp;" "&amp;Milestones!$AB$87&amp;" "&amp;IF(AND(Milestones!$AB$87="FT",Milestones!$AA$87=FT_Y5,EDATE($D66,Milestones!$AA$87)&lt;PolicyEff),1,Milestones!$AC$87)&amp;";  ","")&amp;IF(AND(EDATE($D66,Milestones!$AA$88)&lt;=AsOfDate,EDATE($D66,Milestones!$AA$88)&gt;=SchemeStart,IF($X66=0,$AD66,IF(AND($Z66&lt;&gt;"",EDATE($D66,Milestones!$AA$88)&gt;=$Z66),$AC66,IF(AND($Y66&lt;&gt;"",EDATE($D66,Milestones!$AA$88)&gt;=$Y66),$AB66,$AA66)))=Milestones!$AB$88),UPPER(TEXT(EDATE($D66,Milestones!$AA$88),"dd mmm yy"))&amp;" "&amp;Milestones!$AB$88&amp;" "&amp;IF(AND(Milestones!$AB$88="FT",Milestones!$AA$88=FT_Y5,EDATE($D66,Milestones!$AA$88)&lt;PolicyEff),1,Milestones!$AC$88)&amp;";  ","")&amp;IF(AND(EDATE($D66,Milestones!$AA$89)&lt;=AsOfDate,EDATE($D66,Milestones!$AA$89)&gt;=SchemeStart,IF($X66=0,$AD66,IF(AND($Z66&lt;&gt;"",EDATE($D66,Milestones!$AA$89)&gt;=$Z66),$AC66,IF(AND($Y66&lt;&gt;"",EDATE($D66,Milestones!$AA$89)&gt;=$Y66),$AB66,$AA66)))=Milestones!$AB$89),UPPER(TEXT(EDATE($D66,Milestones!$AA$89),"dd mmm yy"))&amp;" "&amp;Milestones!$AB$89&amp;" "&amp;IF(AND(Milestones!$AB$89="FT",Milestones!$AA$89=FT_Y5,EDATE($D66,Milestones!$AA$89)&lt;PolicyEff),1,Milestones!$AC$89)&amp;";  ","")&amp;IF(AND(EDATE($D66,Milestones!$AA$90)&lt;=AsOfDate,EDATE($D66,Milestones!$AA$90)&gt;=SchemeStart,IF($X66=0,$AD66,IF(AND($Z66&lt;&gt;"",EDATE($D66,Milestones!$AA$90)&gt;=$Z66),$AC66,IF(AND($Y66&lt;&gt;"",EDATE($D66,Milestones!$AA$90)&gt;=$Y66),$AB66,$AA66)))=Milestones!$AB$90),UPPER(TEXT(EDATE($D66,Milestones!$AA$90),"dd mmm yy"))&amp;" "&amp;Milestones!$AB$90&amp;" "&amp;IF(AND(Milestones!$AB$90="FT",Milestones!$AA$90=FT_Y5,EDATE($D66,Milestones!$AA$90)&lt;PolicyEff),1,Milestones!$AC$90)&amp;";  ","")&amp;IF(AND(EDATE($D66,Milestones!$AA$91)&lt;=AsOfDate,EDATE($D66,Milestones!$AA$91)&gt;=SchemeStart,IF($X66=0,$AD66,IF(AND($Z66&lt;&gt;"",EDATE($D66,Milestones!$AA$91)&gt;=$Z66),$AC66,IF(AND($Y66&lt;&gt;"",EDATE($D66,Milestones!$AA$91)&gt;=$Y66),$AB66,$AA66)))=Milestones!$AB$91),UPPER(TEXT(EDATE($D66,Milestones!$AA$91),"dd mmm yy"))&amp;" "&amp;Milestones!$AB$91&amp;" "&amp;IF(AND(Milestones!$AB$91="FT",Milestones!$AA$91=FT_Y5,EDATE($D66,Milestones!$AA$91)&lt;PolicyEff),1,Milestones!$AC$91)&amp;";  ",""))</f>
        <v/>
      </c>
      <c r="O66" s="0" t="str">
        <f aca="false">IF(OR($A66="",$D66=""),"",IF(AND(EDATE($D66,Milestones!$AA$92)&lt;=AsOfDate,EDATE($D66,Milestones!$AA$92)&gt;=SchemeStart,IF($X66=0,$AD66,IF(AND($Z66&lt;&gt;"",EDATE($D66,Milestones!$AA$92)&gt;=$Z66),$AC66,IF(AND($Y66&lt;&gt;"",EDATE($D66,Milestones!$AA$92)&gt;=$Y66),$AB66,$AA66)))=Milestones!$AB$92),UPPER(TEXT(EDATE($D66,Milestones!$AA$92),"dd mmm yy"))&amp;" "&amp;Milestones!$AB$92&amp;" "&amp;IF(AND(Milestones!$AB$92="FT",Milestones!$AA$92=FT_Y5,EDATE($D66,Milestones!$AA$92)&lt;PolicyEff),1,Milestones!$AC$92)&amp;";  ","")&amp;IF(AND(EDATE($D66,Milestones!$AA$93)&lt;=AsOfDate,EDATE($D66,Milestones!$AA$93)&gt;=SchemeStart,IF($X66=0,$AD66,IF(AND($Z66&lt;&gt;"",EDATE($D66,Milestones!$AA$93)&gt;=$Z66),$AC66,IF(AND($Y66&lt;&gt;"",EDATE($D66,Milestones!$AA$93)&gt;=$Y66),$AB66,$AA66)))=Milestones!$AB$93),UPPER(TEXT(EDATE($D66,Milestones!$AA$93),"dd mmm yy"))&amp;" "&amp;Milestones!$AB$93&amp;" "&amp;IF(AND(Milestones!$AB$93="FT",Milestones!$AA$93=FT_Y5,EDATE($D66,Milestones!$AA$93)&lt;PolicyEff),1,Milestones!$AC$93)&amp;";  ","")&amp;IF(AND(EDATE($D66,Milestones!$AA$94)&lt;=AsOfDate,EDATE($D66,Milestones!$AA$94)&gt;=SchemeStart,IF($X66=0,$AD66,IF(AND($Z66&lt;&gt;"",EDATE($D66,Milestones!$AA$94)&gt;=$Z66),$AC66,IF(AND($Y66&lt;&gt;"",EDATE($D66,Milestones!$AA$94)&gt;=$Y66),$AB66,$AA66)))=Milestones!$AB$94),UPPER(TEXT(EDATE($D66,Milestones!$AA$94),"dd mmm yy"))&amp;" "&amp;Milestones!$AB$94&amp;" "&amp;IF(AND(Milestones!$AB$94="FT",Milestones!$AA$94=FT_Y5,EDATE($D66,Milestones!$AA$94)&lt;PolicyEff),1,Milestones!$AC$94)&amp;";  ","")&amp;IF(AND(EDATE($D66,Milestones!$AA$95)&lt;=AsOfDate,EDATE($D66,Milestones!$AA$95)&gt;=SchemeStart,IF($X66=0,$AD66,IF(AND($Z66&lt;&gt;"",EDATE($D66,Milestones!$AA$95)&gt;=$Z66),$AC66,IF(AND($Y66&lt;&gt;"",EDATE($D66,Milestones!$AA$95)&gt;=$Y66),$AB66,$AA66)))=Milestones!$AB$95),UPPER(TEXT(EDATE($D66,Milestones!$AA$95),"dd mmm yy"))&amp;" "&amp;Milestones!$AB$95&amp;" "&amp;IF(AND(Milestones!$AB$95="FT",Milestones!$AA$95=FT_Y5,EDATE($D66,Milestones!$AA$95)&lt;PolicyEff),1,Milestones!$AC$95)&amp;";  ","")&amp;IF(AND(EDATE($D66,Milestones!$AA$96)&lt;=AsOfDate,EDATE($D66,Milestones!$AA$96)&gt;=SchemeStart,IF($X66=0,$AD66,IF(AND($Z66&lt;&gt;"",EDATE($D66,Milestones!$AA$96)&gt;=$Z66),$AC66,IF(AND($Y66&lt;&gt;"",EDATE($D66,Milestones!$AA$96)&gt;=$Y66),$AB66,$AA66)))=Milestones!$AB$96),UPPER(TEXT(EDATE($D66,Milestones!$AA$96),"dd mmm yy"))&amp;" "&amp;Milestones!$AB$96&amp;" "&amp;IF(AND(Milestones!$AB$96="FT",Milestones!$AA$96=FT_Y5,EDATE($D66,Milestones!$AA$96)&lt;PolicyEff),1,Milestones!$AC$96)&amp;";  ","")&amp;IF(AND(EDATE($D66,Milestones!$AA$97)&lt;=AsOfDate,EDATE($D66,Milestones!$AA$97)&gt;=SchemeStart,IF($X66=0,$AD66,IF(AND($Z66&lt;&gt;"",EDATE($D66,Milestones!$AA$97)&gt;=$Z66),$AC66,IF(AND($Y66&lt;&gt;"",EDATE($D66,Milestones!$AA$97)&gt;=$Y66),$AB66,$AA66)))=Milestones!$AB$97),UPPER(TEXT(EDATE($D66,Milestones!$AA$97),"dd mmm yy"))&amp;" "&amp;Milestones!$AB$97&amp;" "&amp;IF(AND(Milestones!$AB$97="FT",Milestones!$AA$97=FT_Y5,EDATE($D66,Milestones!$AA$97)&lt;PolicyEff),1,Milestones!$AC$97)&amp;";  ","")&amp;IF(AND(EDATE($D66,Milestones!$AA$98)&lt;=AsOfDate,EDATE($D66,Milestones!$AA$98)&gt;=SchemeStart,IF($X66=0,$AD66,IF(AND($Z66&lt;&gt;"",EDATE($D66,Milestones!$AA$98)&gt;=$Z66),$AC66,IF(AND($Y66&lt;&gt;"",EDATE($D66,Milestones!$AA$98)&gt;=$Y66),$AB66,$AA66)))=Milestones!$AB$98),UPPER(TEXT(EDATE($D66,Milestones!$AA$98),"dd mmm yy"))&amp;" "&amp;Milestones!$AB$98&amp;" "&amp;IF(AND(Milestones!$AB$98="FT",Milestones!$AA$98=FT_Y5,EDATE($D66,Milestones!$AA$98)&lt;PolicyEff),1,Milestones!$AC$98)&amp;";  ","")&amp;IF(AND(EDATE($D66,Milestones!$AA$99)&lt;=AsOfDate,EDATE($D66,Milestones!$AA$99)&gt;=SchemeStart,IF($X66=0,$AD66,IF(AND($Z66&lt;&gt;"",EDATE($D66,Milestones!$AA$99)&gt;=$Z66),$AC66,IF(AND($Y66&lt;&gt;"",EDATE($D66,Milestones!$AA$99)&gt;=$Y66),$AB66,$AA66)))=Milestones!$AB$99),UPPER(TEXT(EDATE($D66,Milestones!$AA$99),"dd mmm yy"))&amp;" "&amp;Milestones!$AB$99&amp;" "&amp;IF(AND(Milestones!$AB$99="FT",Milestones!$AA$99=FT_Y5,EDATE($D66,Milestones!$AA$99)&lt;PolicyEff),1,Milestones!$AC$99)&amp;";  ","")&amp;IF(AND(EDATE($D66,Milestones!$AA$100)&lt;=AsOfDate,EDATE($D66,Milestones!$AA$100)&gt;=SchemeStart,IF($X66=0,$AD66,IF(AND($Z66&lt;&gt;"",EDATE($D66,Milestones!$AA$100)&gt;=$Z66),$AC66,IF(AND($Y66&lt;&gt;"",EDATE($D66,Milestones!$AA$100)&gt;=$Y66),$AB66,$AA66)))=Milestones!$AB$100),UPPER(TEXT(EDATE($D66,Milestones!$AA$100),"dd mmm yy"))&amp;" "&amp;Milestones!$AB$100&amp;" "&amp;IF(AND(Milestones!$AB$100="FT",Milestones!$AA$100=FT_Y5,EDATE($D66,Milestones!$AA$100)&lt;PolicyEff),1,Milestones!$AC$100)&amp;";  ","")&amp;IF(AND(EDATE($D66,Milestones!$AA$101)&lt;=AsOfDate,EDATE($D66,Milestones!$AA$101)&gt;=SchemeStart,IF($X66=0,$AD66,IF(AND($Z66&lt;&gt;"",EDATE($D66,Milestones!$AA$101)&gt;=$Z66),$AC66,IF(AND($Y66&lt;&gt;"",EDATE($D66,Milestones!$AA$101)&gt;=$Y66),$AB66,$AA66)))=Milestones!$AB$101),UPPER(TEXT(EDATE($D66,Milestones!$AA$101),"dd mmm yy"))&amp;" "&amp;Milestones!$AB$101&amp;" "&amp;IF(AND(Milestones!$AB$101="FT",Milestones!$AA$101=FT_Y5,EDATE($D66,Milestones!$AA$101)&lt;PolicyEff),1,Milestones!$AC$101)&amp;";  ","")&amp;IF(AND(EDATE($D66,Milestones!$AA$102)&lt;=AsOfDate,EDATE($D66,Milestones!$AA$102)&gt;=SchemeStart,IF($X66=0,$AD66,IF(AND($Z66&lt;&gt;"",EDATE($D66,Milestones!$AA$102)&gt;=$Z66),$AC66,IF(AND($Y66&lt;&gt;"",EDATE($D66,Milestones!$AA$102)&gt;=$Y66),$AB66,$AA66)))=Milestones!$AB$102),UPPER(TEXT(EDATE($D66,Milestones!$AA$102),"dd mmm yy"))&amp;" "&amp;Milestones!$AB$102&amp;" "&amp;IF(AND(Milestones!$AB$102="FT",Milestones!$AA$102=FT_Y5,EDATE($D66,Milestones!$AA$102)&lt;PolicyEff),1,Milestones!$AC$102)&amp;";  ","")&amp;IF(AND(EDATE($D66,Milestones!$AA$103)&lt;=AsOfDate,EDATE($D66,Milestones!$AA$103)&gt;=SchemeStart,IF($X66=0,$AD66,IF(AND($Z66&lt;&gt;"",EDATE($D66,Milestones!$AA$103)&gt;=$Z66),$AC66,IF(AND($Y66&lt;&gt;"",EDATE($D66,Milestones!$AA$103)&gt;=$Y66),$AB66,$AA66)))=Milestones!$AB$103),UPPER(TEXT(EDATE($D66,Milestones!$AA$103),"dd mmm yy"))&amp;" "&amp;Milestones!$AB$103&amp;" "&amp;IF(AND(Milestones!$AB$103="FT",Milestones!$AA$103=FT_Y5,EDATE($D66,Milestones!$AA$103)&lt;PolicyEff),1,Milestones!$AC$103)&amp;";  ",""))</f>
        <v/>
      </c>
      <c r="P66" s="0" t="str">
        <f aca="false">IF(OR($A66="",$D66=""),"",IF(AND(EDATE($D66,Milestones!$AA$104)&lt;=AsOfDate,EDATE($D66,Milestones!$AA$104)&gt;=SchemeStart,IF($X66=0,$AD66,IF(AND($Z66&lt;&gt;"",EDATE($D66,Milestones!$AA$104)&gt;=$Z66),$AC66,IF(AND($Y66&lt;&gt;"",EDATE($D66,Milestones!$AA$104)&gt;=$Y66),$AB66,$AA66)))=Milestones!$AB$104),UPPER(TEXT(EDATE($D66,Milestones!$AA$104),"dd mmm yy"))&amp;" "&amp;Milestones!$AB$104&amp;" "&amp;IF(AND(Milestones!$AB$104="FT",Milestones!$AA$104=FT_Y5,EDATE($D66,Milestones!$AA$104)&lt;PolicyEff),1,Milestones!$AC$104)&amp;";  ","")&amp;IF(AND(EDATE($D66,Milestones!$AA$105)&lt;=AsOfDate,EDATE($D66,Milestones!$AA$105)&gt;=SchemeStart,IF($X66=0,$AD66,IF(AND($Z66&lt;&gt;"",EDATE($D66,Milestones!$AA$105)&gt;=$Z66),$AC66,IF(AND($Y66&lt;&gt;"",EDATE($D66,Milestones!$AA$105)&gt;=$Y66),$AB66,$AA66)))=Milestones!$AB$105),UPPER(TEXT(EDATE($D66,Milestones!$AA$105),"dd mmm yy"))&amp;" "&amp;Milestones!$AB$105&amp;" "&amp;IF(AND(Milestones!$AB$105="FT",Milestones!$AA$105=FT_Y5,EDATE($D66,Milestones!$AA$105)&lt;PolicyEff),1,Milestones!$AC$105)&amp;";  ","")&amp;IF(AND(EDATE($D66,Milestones!$AA$106)&lt;=AsOfDate,EDATE($D66,Milestones!$AA$106)&gt;=SchemeStart,IF($X66=0,$AD66,IF(AND($Z66&lt;&gt;"",EDATE($D66,Milestones!$AA$106)&gt;=$Z66),$AC66,IF(AND($Y66&lt;&gt;"",EDATE($D66,Milestones!$AA$106)&gt;=$Y66),$AB66,$AA66)))=Milestones!$AB$106),UPPER(TEXT(EDATE($D66,Milestones!$AA$106),"dd mmm yy"))&amp;" "&amp;Milestones!$AB$106&amp;" "&amp;IF(AND(Milestones!$AB$106="FT",Milestones!$AA$106=FT_Y5,EDATE($D66,Milestones!$AA$106)&lt;PolicyEff),1,Milestones!$AC$106)&amp;";  ","")&amp;IF(AND(EDATE($D66,Milestones!$AA$107)&lt;=AsOfDate,EDATE($D66,Milestones!$AA$107)&gt;=SchemeStart,IF($X66=0,$AD66,IF(AND($Z66&lt;&gt;"",EDATE($D66,Milestones!$AA$107)&gt;=$Z66),$AC66,IF(AND($Y66&lt;&gt;"",EDATE($D66,Milestones!$AA$107)&gt;=$Y66),$AB66,$AA66)))=Milestones!$AB$107),UPPER(TEXT(EDATE($D66,Milestones!$AA$107),"dd mmm yy"))&amp;" "&amp;Milestones!$AB$107&amp;" "&amp;IF(AND(Milestones!$AB$107="FT",Milestones!$AA$107=FT_Y5,EDATE($D66,Milestones!$AA$107)&lt;PolicyEff),1,Milestones!$AC$107)&amp;";  ","")&amp;IF(AND(EDATE($D66,Milestones!$AA$108)&lt;=AsOfDate,EDATE($D66,Milestones!$AA$108)&gt;=SchemeStart,IF($X66=0,$AD66,IF(AND($Z66&lt;&gt;"",EDATE($D66,Milestones!$AA$108)&gt;=$Z66),$AC66,IF(AND($Y66&lt;&gt;"",EDATE($D66,Milestones!$AA$108)&gt;=$Y66),$AB66,$AA66)))=Milestones!$AB$108),UPPER(TEXT(EDATE($D66,Milestones!$AA$108),"dd mmm yy"))&amp;" "&amp;Milestones!$AB$108&amp;" "&amp;IF(AND(Milestones!$AB$108="FT",Milestones!$AA$108=FT_Y5,EDATE($D66,Milestones!$AA$108)&lt;PolicyEff),1,Milestones!$AC$108)&amp;";  ","")&amp;IF(AND(EDATE($D66,Milestones!$AA$109)&lt;=AsOfDate,EDATE($D66,Milestones!$AA$109)&gt;=SchemeStart,IF($X66=0,$AD66,IF(AND($Z66&lt;&gt;"",EDATE($D66,Milestones!$AA$109)&gt;=$Z66),$AC66,IF(AND($Y66&lt;&gt;"",EDATE($D66,Milestones!$AA$109)&gt;=$Y66),$AB66,$AA66)))=Milestones!$AB$109),UPPER(TEXT(EDATE($D66,Milestones!$AA$109),"dd mmm yy"))&amp;" "&amp;Milestones!$AB$109&amp;" "&amp;IF(AND(Milestones!$AB$109="FT",Milestones!$AA$109=FT_Y5,EDATE($D66,Milestones!$AA$109)&lt;PolicyEff),1,Milestones!$AC$109)&amp;";  ","")&amp;IF(AND(EDATE($D66,Milestones!$AA$110)&lt;=AsOfDate,EDATE($D66,Milestones!$AA$110)&gt;=SchemeStart,IF($X66=0,$AD66,IF(AND($Z66&lt;&gt;"",EDATE($D66,Milestones!$AA$110)&gt;=$Z66),$AC66,IF(AND($Y66&lt;&gt;"",EDATE($D66,Milestones!$AA$110)&gt;=$Y66),$AB66,$AA66)))=Milestones!$AB$110),UPPER(TEXT(EDATE($D66,Milestones!$AA$110),"dd mmm yy"))&amp;" "&amp;Milestones!$AB$110&amp;" "&amp;IF(AND(Milestones!$AB$110="FT",Milestones!$AA$110=FT_Y5,EDATE($D66,Milestones!$AA$110)&lt;PolicyEff),1,Milestones!$AC$110)&amp;";  ","")&amp;IF(AND(EDATE($D66,Milestones!$AA$111)&lt;=AsOfDate,EDATE($D66,Milestones!$AA$111)&gt;=SchemeStart,IF($X66=0,$AD66,IF(AND($Z66&lt;&gt;"",EDATE($D66,Milestones!$AA$111)&gt;=$Z66),$AC66,IF(AND($Y66&lt;&gt;"",EDATE($D66,Milestones!$AA$111)&gt;=$Y66),$AB66,$AA66)))=Milestones!$AB$111),UPPER(TEXT(EDATE($D66,Milestones!$AA$111),"dd mmm yy"))&amp;" "&amp;Milestones!$AB$111&amp;" "&amp;IF(AND(Milestones!$AB$111="FT",Milestones!$AA$111=FT_Y5,EDATE($D66,Milestones!$AA$111)&lt;PolicyEff),1,Milestones!$AC$111)&amp;";  ","")&amp;IF(AND(EDATE($D66,Milestones!$AA$112)&lt;=AsOfDate,EDATE($D66,Milestones!$AA$112)&gt;=SchemeStart,IF($X66=0,$AD66,IF(AND($Z66&lt;&gt;"",EDATE($D66,Milestones!$AA$112)&gt;=$Z66),$AC66,IF(AND($Y66&lt;&gt;"",EDATE($D66,Milestones!$AA$112)&gt;=$Y66),$AB66,$AA66)))=Milestones!$AB$112),UPPER(TEXT(EDATE($D66,Milestones!$AA$112),"dd mmm yy"))&amp;" "&amp;Milestones!$AB$112&amp;" "&amp;IF(AND(Milestones!$AB$112="FT",Milestones!$AA$112=FT_Y5,EDATE($D66,Milestones!$AA$112)&lt;PolicyEff),1,Milestones!$AC$112)&amp;";  ","")&amp;IF(AND(EDATE($D66,Milestones!$AA$113)&lt;=AsOfDate,EDATE($D66,Milestones!$AA$113)&gt;=SchemeStart,IF($X66=0,$AD66,IF(AND($Z66&lt;&gt;"",EDATE($D66,Milestones!$AA$113)&gt;=$Z66),$AC66,IF(AND($Y66&lt;&gt;"",EDATE($D66,Milestones!$AA$113)&gt;=$Y66),$AB66,$AA66)))=Milestones!$AB$113),UPPER(TEXT(EDATE($D66,Milestones!$AA$113),"dd mmm yy"))&amp;" "&amp;Milestones!$AB$113&amp;" "&amp;IF(AND(Milestones!$AB$113="FT",Milestones!$AA$113=FT_Y5,EDATE($D66,Milestones!$AA$113)&lt;PolicyEff),1,Milestones!$AC$113)&amp;";  ","")&amp;IF(AND(EDATE($D66,Milestones!$AA$114)&lt;=AsOfDate,EDATE($D66,Milestones!$AA$114)&gt;=SchemeStart,IF($X66=0,$AD66,IF(AND($Z66&lt;&gt;"",EDATE($D66,Milestones!$AA$114)&gt;=$Z66),$AC66,IF(AND($Y66&lt;&gt;"",EDATE($D66,Milestones!$AA$114)&gt;=$Y66),$AB66,$AA66)))=Milestones!$AB$114),UPPER(TEXT(EDATE($D66,Milestones!$AA$114),"dd mmm yy"))&amp;" "&amp;Milestones!$AB$114&amp;" "&amp;IF(AND(Milestones!$AB$114="FT",Milestones!$AA$114=FT_Y5,EDATE($D66,Milestones!$AA$114)&lt;PolicyEff),1,Milestones!$AC$114)&amp;";  ","")&amp;IF(AND(EDATE($D66,Milestones!$AA$115)&lt;=AsOfDate,EDATE($D66,Milestones!$AA$115)&gt;=SchemeStart,IF($X66=0,$AD66,IF(AND($Z66&lt;&gt;"",EDATE($D66,Milestones!$AA$115)&gt;=$Z66),$AC66,IF(AND($Y66&lt;&gt;"",EDATE($D66,Milestones!$AA$115)&gt;=$Y66),$AB66,$AA66)))=Milestones!$AB$115),UPPER(TEXT(EDATE($D66,Milestones!$AA$115),"dd mmm yy"))&amp;" "&amp;Milestones!$AB$115&amp;" "&amp;IF(AND(Milestones!$AB$115="FT",Milestones!$AA$115=FT_Y5,EDATE($D66,Milestones!$AA$115)&lt;PolicyEff),1,Milestones!$AC$115)&amp;";  ",""))</f>
        <v/>
      </c>
      <c r="Q66" s="0" t="str">
        <f aca="false">IF(OR($A66="",$D66=""),"",IF(AND(EDATE($D66,Milestones!$AA$116)&lt;=AsOfDate,EDATE($D66,Milestones!$AA$116)&gt;=SchemeStart,IF($X66=0,$AD66,IF(AND($Z66&lt;&gt;"",EDATE($D66,Milestones!$AA$116)&gt;=$Z66),$AC66,IF(AND($Y66&lt;&gt;"",EDATE($D66,Milestones!$AA$116)&gt;=$Y66),$AB66,$AA66)))=Milestones!$AB$116),UPPER(TEXT(EDATE($D66,Milestones!$AA$116),"dd mmm yy"))&amp;" "&amp;Milestones!$AB$116&amp;" "&amp;IF(AND(Milestones!$AB$116="FT",Milestones!$AA$116=FT_Y5,EDATE($D66,Milestones!$AA$116)&lt;PolicyEff),1,Milestones!$AC$116)&amp;";  ","")&amp;IF(AND(EDATE($D66,Milestones!$AA$117)&lt;=AsOfDate,EDATE($D66,Milestones!$AA$117)&gt;=SchemeStart,IF($X66=0,$AD66,IF(AND($Z66&lt;&gt;"",EDATE($D66,Milestones!$AA$117)&gt;=$Z66),$AC66,IF(AND($Y66&lt;&gt;"",EDATE($D66,Milestones!$AA$117)&gt;=$Y66),$AB66,$AA66)))=Milestones!$AB$117),UPPER(TEXT(EDATE($D66,Milestones!$AA$117),"dd mmm yy"))&amp;" "&amp;Milestones!$AB$117&amp;" "&amp;IF(AND(Milestones!$AB$117="FT",Milestones!$AA$117=FT_Y5,EDATE($D66,Milestones!$AA$117)&lt;PolicyEff),1,Milestones!$AC$117)&amp;";  ","")&amp;IF(AND(EDATE($D66,Milestones!$AA$118)&lt;=AsOfDate,EDATE($D66,Milestones!$AA$118)&gt;=SchemeStart,IF($X66=0,$AD66,IF(AND($Z66&lt;&gt;"",EDATE($D66,Milestones!$AA$118)&gt;=$Z66),$AC66,IF(AND($Y66&lt;&gt;"",EDATE($D66,Milestones!$AA$118)&gt;=$Y66),$AB66,$AA66)))=Milestones!$AB$118),UPPER(TEXT(EDATE($D66,Milestones!$AA$118),"dd mmm yy"))&amp;" "&amp;Milestones!$AB$118&amp;" "&amp;IF(AND(Milestones!$AB$118="FT",Milestones!$AA$118=FT_Y5,EDATE($D66,Milestones!$AA$118)&lt;PolicyEff),1,Milestones!$AC$118)&amp;";  ","")&amp;IF(AND(EDATE($D66,Milestones!$AA$119)&lt;=AsOfDate,EDATE($D66,Milestones!$AA$119)&gt;=SchemeStart,IF($X66=0,$AD66,IF(AND($Z66&lt;&gt;"",EDATE($D66,Milestones!$AA$119)&gt;=$Z66),$AC66,IF(AND($Y66&lt;&gt;"",EDATE($D66,Milestones!$AA$119)&gt;=$Y66),$AB66,$AA66)))=Milestones!$AB$119),UPPER(TEXT(EDATE($D66,Milestones!$AA$119),"dd mmm yy"))&amp;" "&amp;Milestones!$AB$119&amp;" "&amp;IF(AND(Milestones!$AB$119="FT",Milestones!$AA$119=FT_Y5,EDATE($D66,Milestones!$AA$119)&lt;PolicyEff),1,Milestones!$AC$119)&amp;";  ","")&amp;IF(AND(EDATE($D66,Milestones!$AA$120)&lt;=AsOfDate,EDATE($D66,Milestones!$AA$120)&gt;=SchemeStart,IF($X66=0,$AD66,IF(AND($Z66&lt;&gt;"",EDATE($D66,Milestones!$AA$120)&gt;=$Z66),$AC66,IF(AND($Y66&lt;&gt;"",EDATE($D66,Milestones!$AA$120)&gt;=$Y66),$AB66,$AA66)))=Milestones!$AB$120),UPPER(TEXT(EDATE($D66,Milestones!$AA$120),"dd mmm yy"))&amp;" "&amp;Milestones!$AB$120&amp;" "&amp;IF(AND(Milestones!$AB$120="FT",Milestones!$AA$120=FT_Y5,EDATE($D66,Milestones!$AA$120)&lt;PolicyEff),1,Milestones!$AC$120)&amp;";  ","")&amp;IF(AND(EDATE($D66,Milestones!$AA$121)&lt;=AsOfDate,EDATE($D66,Milestones!$AA$121)&gt;=SchemeStart,IF($X66=0,$AD66,IF(AND($Z66&lt;&gt;"",EDATE($D66,Milestones!$AA$121)&gt;=$Z66),$AC66,IF(AND($Y66&lt;&gt;"",EDATE($D66,Milestones!$AA$121)&gt;=$Y66),$AB66,$AA66)))=Milestones!$AB$121),UPPER(TEXT(EDATE($D66,Milestones!$AA$121),"dd mmm yy"))&amp;" "&amp;Milestones!$AB$121&amp;" "&amp;IF(AND(Milestones!$AB$121="FT",Milestones!$AA$121=FT_Y5,EDATE($D66,Milestones!$AA$121)&lt;PolicyEff),1,Milestones!$AC$121)&amp;";  ","")&amp;IF(AND(EDATE($D66,Milestones!$AA$122)&lt;=AsOfDate,EDATE($D66,Milestones!$AA$122)&gt;=SchemeStart,IF($X66=0,$AD66,IF(AND($Z66&lt;&gt;"",EDATE($D66,Milestones!$AA$122)&gt;=$Z66),$AC66,IF(AND($Y66&lt;&gt;"",EDATE($D66,Milestones!$AA$122)&gt;=$Y66),$AB66,$AA66)))=Milestones!$AB$122),UPPER(TEXT(EDATE($D66,Milestones!$AA$122),"dd mmm yy"))&amp;" "&amp;Milestones!$AB$122&amp;" "&amp;IF(AND(Milestones!$AB$122="FT",Milestones!$AA$122=FT_Y5,EDATE($D66,Milestones!$AA$122)&lt;PolicyEff),1,Milestones!$AC$122)&amp;";  ","")&amp;IF(AND(EDATE($D66,Milestones!$AA$123)&lt;=AsOfDate,EDATE($D66,Milestones!$AA$123)&gt;=SchemeStart,IF($X66=0,$AD66,IF(AND($Z66&lt;&gt;"",EDATE($D66,Milestones!$AA$123)&gt;=$Z66),$AC66,IF(AND($Y66&lt;&gt;"",EDATE($D66,Milestones!$AA$123)&gt;=$Y66),$AB66,$AA66)))=Milestones!$AB$123),UPPER(TEXT(EDATE($D66,Milestones!$AA$123),"dd mmm yy"))&amp;" "&amp;Milestones!$AB$123&amp;" "&amp;IF(AND(Milestones!$AB$123="FT",Milestones!$AA$123=FT_Y5,EDATE($D66,Milestones!$AA$123)&lt;PolicyEff),1,Milestones!$AC$123)&amp;";  ","")&amp;IF(AND(EDATE($D66,Milestones!$AA$124)&lt;=AsOfDate,EDATE($D66,Milestones!$AA$124)&gt;=SchemeStart,IF($X66=0,$AD66,IF(AND($Z66&lt;&gt;"",EDATE($D66,Milestones!$AA$124)&gt;=$Z66),$AC66,IF(AND($Y66&lt;&gt;"",EDATE($D66,Milestones!$AA$124)&gt;=$Y66),$AB66,$AA66)))=Milestones!$AB$124),UPPER(TEXT(EDATE($D66,Milestones!$AA$124),"dd mmm yy"))&amp;" "&amp;Milestones!$AB$124&amp;" "&amp;IF(AND(Milestones!$AB$124="FT",Milestones!$AA$124=FT_Y5,EDATE($D66,Milestones!$AA$124)&lt;PolicyEff),1,Milestones!$AC$124)&amp;";  ","")&amp;IF(AND(EDATE($D66,Milestones!$AA$125)&lt;=AsOfDate,EDATE($D66,Milestones!$AA$125)&gt;=SchemeStart,IF($X66=0,$AD66,IF(AND($Z66&lt;&gt;"",EDATE($D66,Milestones!$AA$125)&gt;=$Z66),$AC66,IF(AND($Y66&lt;&gt;"",EDATE($D66,Milestones!$AA$125)&gt;=$Y66),$AB66,$AA66)))=Milestones!$AB$125),UPPER(TEXT(EDATE($D66,Milestones!$AA$125),"dd mmm yy"))&amp;" "&amp;Milestones!$AB$125&amp;" "&amp;IF(AND(Milestones!$AB$125="FT",Milestones!$AA$125=FT_Y5,EDATE($D66,Milestones!$AA$125)&lt;PolicyEff),1,Milestones!$AC$125)&amp;";  ","")&amp;IF(AND(EDATE($D66,Milestones!$AA$126)&lt;=AsOfDate,EDATE($D66,Milestones!$AA$126)&gt;=SchemeStart,IF($X66=0,$AD66,IF(AND($Z66&lt;&gt;"",EDATE($D66,Milestones!$AA$126)&gt;=$Z66),$AC66,IF(AND($Y66&lt;&gt;"",EDATE($D66,Milestones!$AA$126)&gt;=$Y66),$AB66,$AA66)))=Milestones!$AB$126),UPPER(TEXT(EDATE($D66,Milestones!$AA$126),"dd mmm yy"))&amp;" "&amp;Milestones!$AB$126&amp;" "&amp;IF(AND(Milestones!$AB$126="FT",Milestones!$AA$126=FT_Y5,EDATE($D66,Milestones!$AA$126)&lt;PolicyEff),1,Milestones!$AC$126)&amp;";  ","")&amp;IF(AND(EDATE($D66,Milestones!$AA$127)&lt;=AsOfDate,EDATE($D66,Milestones!$AA$127)&gt;=SchemeStart,IF($X66=0,$AD66,IF(AND($Z66&lt;&gt;"",EDATE($D66,Milestones!$AA$127)&gt;=$Z66),$AC66,IF(AND($Y66&lt;&gt;"",EDATE($D66,Milestones!$AA$127)&gt;=$Y66),$AB66,$AA66)))=Milestones!$AB$127),UPPER(TEXT(EDATE($D66,Milestones!$AA$127),"dd mmm yy"))&amp;" "&amp;Milestones!$AB$127&amp;" "&amp;IF(AND(Milestones!$AB$127="FT",Milestones!$AA$127=FT_Y5,EDATE($D66,Milestones!$AA$127)&lt;PolicyEff),1,Milestones!$AC$127)&amp;";  ",""))</f>
        <v/>
      </c>
      <c r="R66" s="0" t="str">
        <f aca="false">IF(OR($A66="",$D66=""),"",IF(AND(EDATE($D66,Milestones!$AA$128)&lt;=AsOfDate,EDATE($D66,Milestones!$AA$128)&gt;=SchemeStart,IF($X66=0,$AD66,IF(AND($Z66&lt;&gt;"",EDATE($D66,Milestones!$AA$128)&gt;=$Z66),$AC66,IF(AND($Y66&lt;&gt;"",EDATE($D66,Milestones!$AA$128)&gt;=$Y66),$AB66,$AA66)))=Milestones!$AB$128),UPPER(TEXT(EDATE($D66,Milestones!$AA$128),"dd mmm yy"))&amp;" "&amp;Milestones!$AB$128&amp;" "&amp;IF(AND(Milestones!$AB$128="FT",Milestones!$AA$128=FT_Y5,EDATE($D66,Milestones!$AA$128)&lt;PolicyEff),1,Milestones!$AC$128)&amp;";  ","")&amp;IF(AND(EDATE($D66,Milestones!$AA$129)&lt;=AsOfDate,EDATE($D66,Milestones!$AA$129)&gt;=SchemeStart,IF($X66=0,$AD66,IF(AND($Z66&lt;&gt;"",EDATE($D66,Milestones!$AA$129)&gt;=$Z66),$AC66,IF(AND($Y66&lt;&gt;"",EDATE($D66,Milestones!$AA$129)&gt;=$Y66),$AB66,$AA66)))=Milestones!$AB$129),UPPER(TEXT(EDATE($D66,Milestones!$AA$129),"dd mmm yy"))&amp;" "&amp;Milestones!$AB$129&amp;" "&amp;IF(AND(Milestones!$AB$129="FT",Milestones!$AA$129=FT_Y5,EDATE($D66,Milestones!$AA$129)&lt;PolicyEff),1,Milestones!$AC$129)&amp;";  ","")&amp;IF(AND(EDATE($D66,Milestones!$AA$130)&lt;=AsOfDate,EDATE($D66,Milestones!$AA$130)&gt;=SchemeStart,IF($X66=0,$AD66,IF(AND($Z66&lt;&gt;"",EDATE($D66,Milestones!$AA$130)&gt;=$Z66),$AC66,IF(AND($Y66&lt;&gt;"",EDATE($D66,Milestones!$AA$130)&gt;=$Y66),$AB66,$AA66)))=Milestones!$AB$130),UPPER(TEXT(EDATE($D66,Milestones!$AA$130),"dd mmm yy"))&amp;" "&amp;Milestones!$AB$130&amp;" "&amp;IF(AND(Milestones!$AB$130="FT",Milestones!$AA$130=FT_Y5,EDATE($D66,Milestones!$AA$130)&lt;PolicyEff),1,Milestones!$AC$130)&amp;";  ","")&amp;IF(AND(EDATE($D66,Milestones!$AA$131)&lt;=AsOfDate,EDATE($D66,Milestones!$AA$131)&gt;=SchemeStart,IF($X66=0,$AD66,IF(AND($Z66&lt;&gt;"",EDATE($D66,Milestones!$AA$131)&gt;=$Z66),$AC66,IF(AND($Y66&lt;&gt;"",EDATE($D66,Milestones!$AA$131)&gt;=$Y66),$AB66,$AA66)))=Milestones!$AB$131),UPPER(TEXT(EDATE($D66,Milestones!$AA$131),"dd mmm yy"))&amp;" "&amp;Milestones!$AB$131&amp;" "&amp;IF(AND(Milestones!$AB$131="FT",Milestones!$AA$131=FT_Y5,EDATE($D66,Milestones!$AA$131)&lt;PolicyEff),1,Milestones!$AC$131)&amp;";  ","")&amp;IF(AND(EDATE($D66,Milestones!$AA$132)&lt;=AsOfDate,EDATE($D66,Milestones!$AA$132)&gt;=SchemeStart,IF($X66=0,$AD66,IF(AND($Z66&lt;&gt;"",EDATE($D66,Milestones!$AA$132)&gt;=$Z66),$AC66,IF(AND($Y66&lt;&gt;"",EDATE($D66,Milestones!$AA$132)&gt;=$Y66),$AB66,$AA66)))=Milestones!$AB$132),UPPER(TEXT(EDATE($D66,Milestones!$AA$132),"dd mmm yy"))&amp;" "&amp;Milestones!$AB$132&amp;" "&amp;IF(AND(Milestones!$AB$132="FT",Milestones!$AA$132=FT_Y5,EDATE($D66,Milestones!$AA$132)&lt;PolicyEff),1,Milestones!$AC$132)&amp;";  ","")&amp;IF(AND(EDATE($D66,Milestones!$AA$133)&lt;=AsOfDate,EDATE($D66,Milestones!$AA$133)&gt;=SchemeStart,IF($X66=0,$AD66,IF(AND($Z66&lt;&gt;"",EDATE($D66,Milestones!$AA$133)&gt;=$Z66),$AC66,IF(AND($Y66&lt;&gt;"",EDATE($D66,Milestones!$AA$133)&gt;=$Y66),$AB66,$AA66)))=Milestones!$AB$133),UPPER(TEXT(EDATE($D66,Milestones!$AA$133),"dd mmm yy"))&amp;" "&amp;Milestones!$AB$133&amp;" "&amp;IF(AND(Milestones!$AB$133="FT",Milestones!$AA$133=FT_Y5,EDATE($D66,Milestones!$AA$133)&lt;PolicyEff),1,Milestones!$AC$133)&amp;";  ","")&amp;IF(AND(EDATE($D66,Milestones!$AA$134)&lt;=AsOfDate,EDATE($D66,Milestones!$AA$134)&gt;=SchemeStart,IF($X66=0,$AD66,IF(AND($Z66&lt;&gt;"",EDATE($D66,Milestones!$AA$134)&gt;=$Z66),$AC66,IF(AND($Y66&lt;&gt;"",EDATE($D66,Milestones!$AA$134)&gt;=$Y66),$AB66,$AA66)))=Milestones!$AB$134),UPPER(TEXT(EDATE($D66,Milestones!$AA$134),"dd mmm yy"))&amp;" "&amp;Milestones!$AB$134&amp;" "&amp;IF(AND(Milestones!$AB$134="FT",Milestones!$AA$134=FT_Y5,EDATE($D66,Milestones!$AA$134)&lt;PolicyEff),1,Milestones!$AC$134)&amp;";  ","")&amp;IF(AND(EDATE($D66,Milestones!$AA$135)&lt;=AsOfDate,EDATE($D66,Milestones!$AA$135)&gt;=SchemeStart,IF($X66=0,$AD66,IF(AND($Z66&lt;&gt;"",EDATE($D66,Milestones!$AA$135)&gt;=$Z66),$AC66,IF(AND($Y66&lt;&gt;"",EDATE($D66,Milestones!$AA$135)&gt;=$Y66),$AB66,$AA66)))=Milestones!$AB$135),UPPER(TEXT(EDATE($D66,Milestones!$AA$135),"dd mmm yy"))&amp;" "&amp;Milestones!$AB$135&amp;" "&amp;IF(AND(Milestones!$AB$135="FT",Milestones!$AA$135=FT_Y5,EDATE($D66,Milestones!$AA$135)&lt;PolicyEff),1,Milestones!$AC$135)&amp;";  ","")&amp;IF(AND(EDATE($D66,Milestones!$AA$136)&lt;=AsOfDate,EDATE($D66,Milestones!$AA$136)&gt;=SchemeStart,IF($X66=0,$AD66,IF(AND($Z66&lt;&gt;"",EDATE($D66,Milestones!$AA$136)&gt;=$Z66),$AC66,IF(AND($Y66&lt;&gt;"",EDATE($D66,Milestones!$AA$136)&gt;=$Y66),$AB66,$AA66)))=Milestones!$AB$136),UPPER(TEXT(EDATE($D66,Milestones!$AA$136),"dd mmm yy"))&amp;" "&amp;Milestones!$AB$136&amp;" "&amp;IF(AND(Milestones!$AB$136="FT",Milestones!$AA$136=FT_Y5,EDATE($D66,Milestones!$AA$136)&lt;PolicyEff),1,Milestones!$AC$136)&amp;";  ","")&amp;IF(AND(EDATE($D66,Milestones!$AA$137)&lt;=AsOfDate,EDATE($D66,Milestones!$AA$137)&gt;=SchemeStart,IF($X66=0,$AD66,IF(AND($Z66&lt;&gt;"",EDATE($D66,Milestones!$AA$137)&gt;=$Z66),$AC66,IF(AND($Y66&lt;&gt;"",EDATE($D66,Milestones!$AA$137)&gt;=$Y66),$AB66,$AA66)))=Milestones!$AB$137),UPPER(TEXT(EDATE($D66,Milestones!$AA$137),"dd mmm yy"))&amp;" "&amp;Milestones!$AB$137&amp;" "&amp;IF(AND(Milestones!$AB$137="FT",Milestones!$AA$137=FT_Y5,EDATE($D66,Milestones!$AA$137)&lt;PolicyEff),1,Milestones!$AC$137)&amp;";  ","")&amp;IF(AND(EDATE($D66,Milestones!$AA$138)&lt;=AsOfDate,EDATE($D66,Milestones!$AA$138)&gt;=SchemeStart,IF($X66=0,$AD66,IF(AND($Z66&lt;&gt;"",EDATE($D66,Milestones!$AA$138)&gt;=$Z66),$AC66,IF(AND($Y66&lt;&gt;"",EDATE($D66,Milestones!$AA$138)&gt;=$Y66),$AB66,$AA66)))=Milestones!$AB$138),UPPER(TEXT(EDATE($D66,Milestones!$AA$138),"dd mmm yy"))&amp;" "&amp;Milestones!$AB$138&amp;" "&amp;IF(AND(Milestones!$AB$138="FT",Milestones!$AA$138=FT_Y5,EDATE($D66,Milestones!$AA$138)&lt;PolicyEff),1,Milestones!$AC$138)&amp;";  ","")&amp;IF(AND(EDATE($D66,Milestones!$AA$139)&lt;=AsOfDate,EDATE($D66,Milestones!$AA$139)&gt;=SchemeStart,IF($X66=0,$AD66,IF(AND($Z66&lt;&gt;"",EDATE($D66,Milestones!$AA$139)&gt;=$Z66),$AC66,IF(AND($Y66&lt;&gt;"",EDATE($D66,Milestones!$AA$139)&gt;=$Y66),$AB66,$AA66)))=Milestones!$AB$139),UPPER(TEXT(EDATE($D66,Milestones!$AA$139),"dd mmm yy"))&amp;" "&amp;Milestones!$AB$139&amp;" "&amp;IF(AND(Milestones!$AB$139="FT",Milestones!$AA$139=FT_Y5,EDATE($D66,Milestones!$AA$139)&lt;PolicyEff),1,Milestones!$AC$139)&amp;";  ",""))</f>
        <v/>
      </c>
      <c r="S66" s="0" t="str">
        <f aca="false">IF(OR($A66="",$D66=""),"",IF(AND(EDATE($D66,Milestones!$AA$140)&lt;=AsOfDate,EDATE($D66,Milestones!$AA$140)&gt;=SchemeStart,IF($X66=0,$AD66,IF(AND($Z66&lt;&gt;"",EDATE($D66,Milestones!$AA$140)&gt;=$Z66),$AC66,IF(AND($Y66&lt;&gt;"",EDATE($D66,Milestones!$AA$140)&gt;=$Y66),$AB66,$AA66)))=Milestones!$AB$140),UPPER(TEXT(EDATE($D66,Milestones!$AA$140),"dd mmm yy"))&amp;" "&amp;Milestones!$AB$140&amp;" "&amp;IF(AND(Milestones!$AB$140="FT",Milestones!$AA$140=FT_Y5,EDATE($D66,Milestones!$AA$140)&lt;PolicyEff),1,Milestones!$AC$140)&amp;";  ","")&amp;IF(AND(EDATE($D66,Milestones!$AA$141)&lt;=AsOfDate,EDATE($D66,Milestones!$AA$141)&gt;=SchemeStart,IF($X66=0,$AD66,IF(AND($Z66&lt;&gt;"",EDATE($D66,Milestones!$AA$141)&gt;=$Z66),$AC66,IF(AND($Y66&lt;&gt;"",EDATE($D66,Milestones!$AA$141)&gt;=$Y66),$AB66,$AA66)))=Milestones!$AB$141),UPPER(TEXT(EDATE($D66,Milestones!$AA$141),"dd mmm yy"))&amp;" "&amp;Milestones!$AB$141&amp;" "&amp;IF(AND(Milestones!$AB$141="FT",Milestones!$AA$141=FT_Y5,EDATE($D66,Milestones!$AA$141)&lt;PolicyEff),1,Milestones!$AC$141)&amp;";  ","")&amp;IF(AND(EDATE($D66,Milestones!$AA$142)&lt;=AsOfDate,EDATE($D66,Milestones!$AA$142)&gt;=SchemeStart,IF($X66=0,$AD66,IF(AND($Z66&lt;&gt;"",EDATE($D66,Milestones!$AA$142)&gt;=$Z66),$AC66,IF(AND($Y66&lt;&gt;"",EDATE($D66,Milestones!$AA$142)&gt;=$Y66),$AB66,$AA66)))=Milestones!$AB$142),UPPER(TEXT(EDATE($D66,Milestones!$AA$142),"dd mmm yy"))&amp;" "&amp;Milestones!$AB$142&amp;" "&amp;IF(AND(Milestones!$AB$142="FT",Milestones!$AA$142=FT_Y5,EDATE($D66,Milestones!$AA$142)&lt;PolicyEff),1,Milestones!$AC$142)&amp;";  ","")&amp;IF(AND(EDATE($D66,Milestones!$AA$143)&lt;=AsOfDate,EDATE($D66,Milestones!$AA$143)&gt;=SchemeStart,IF($X66=0,$AD66,IF(AND($Z66&lt;&gt;"",EDATE($D66,Milestones!$AA$143)&gt;=$Z66),$AC66,IF(AND($Y66&lt;&gt;"",EDATE($D66,Milestones!$AA$143)&gt;=$Y66),$AB66,$AA66)))=Milestones!$AB$143),UPPER(TEXT(EDATE($D66,Milestones!$AA$143),"dd mmm yy"))&amp;" "&amp;Milestones!$AB$143&amp;" "&amp;IF(AND(Milestones!$AB$143="FT",Milestones!$AA$143=FT_Y5,EDATE($D66,Milestones!$AA$143)&lt;PolicyEff),1,Milestones!$AC$143)&amp;";  ","")&amp;IF(AND(EDATE($D66,Milestones!$AA$144)&lt;=AsOfDate,EDATE($D66,Milestones!$AA$144)&gt;=SchemeStart,IF($X66=0,$AD66,IF(AND($Z66&lt;&gt;"",EDATE($D66,Milestones!$AA$144)&gt;=$Z66),$AC66,IF(AND($Y66&lt;&gt;"",EDATE($D66,Milestones!$AA$144)&gt;=$Y66),$AB66,$AA66)))=Milestones!$AB$144),UPPER(TEXT(EDATE($D66,Milestones!$AA$144),"dd mmm yy"))&amp;" "&amp;Milestones!$AB$144&amp;" "&amp;IF(AND(Milestones!$AB$144="FT",Milestones!$AA$144=FT_Y5,EDATE($D66,Milestones!$AA$144)&lt;PolicyEff),1,Milestones!$AC$144)&amp;";  ","")&amp;IF(AND(EDATE($D66,Milestones!$AA$145)&lt;=AsOfDate,EDATE($D66,Milestones!$AA$145)&gt;=SchemeStart,IF($X66=0,$AD66,IF(AND($Z66&lt;&gt;"",EDATE($D66,Milestones!$AA$145)&gt;=$Z66),$AC66,IF(AND($Y66&lt;&gt;"",EDATE($D66,Milestones!$AA$145)&gt;=$Y66),$AB66,$AA66)))=Milestones!$AB$145),UPPER(TEXT(EDATE($D66,Milestones!$AA$145),"dd mmm yy"))&amp;" "&amp;Milestones!$AB$145&amp;" "&amp;IF(AND(Milestones!$AB$145="FT",Milestones!$AA$145=FT_Y5,EDATE($D66,Milestones!$AA$145)&lt;PolicyEff),1,Milestones!$AC$145)&amp;";  ","")&amp;IF(AND(EDATE($D66,Milestones!$AA$146)&lt;=AsOfDate,EDATE($D66,Milestones!$AA$146)&gt;=SchemeStart,IF($X66=0,$AD66,IF(AND($Z66&lt;&gt;"",EDATE($D66,Milestones!$AA$146)&gt;=$Z66),$AC66,IF(AND($Y66&lt;&gt;"",EDATE($D66,Milestones!$AA$146)&gt;=$Y66),$AB66,$AA66)))=Milestones!$AB$146),UPPER(TEXT(EDATE($D66,Milestones!$AA$146),"dd mmm yy"))&amp;" "&amp;Milestones!$AB$146&amp;" "&amp;IF(AND(Milestones!$AB$146="FT",Milestones!$AA$146=FT_Y5,EDATE($D66,Milestones!$AA$146)&lt;PolicyEff),1,Milestones!$AC$146)&amp;";  ","")&amp;IF(AND(EDATE($D66,Milestones!$AA$147)&lt;=AsOfDate,EDATE($D66,Milestones!$AA$147)&gt;=SchemeStart,IF($X66=0,$AD66,IF(AND($Z66&lt;&gt;"",EDATE($D66,Milestones!$AA$147)&gt;=$Z66),$AC66,IF(AND($Y66&lt;&gt;"",EDATE($D66,Milestones!$AA$147)&gt;=$Y66),$AB66,$AA66)))=Milestones!$AB$147),UPPER(TEXT(EDATE($D66,Milestones!$AA$147),"dd mmm yy"))&amp;" "&amp;Milestones!$AB$147&amp;" "&amp;IF(AND(Milestones!$AB$147="FT",Milestones!$AA$147=FT_Y5,EDATE($D66,Milestones!$AA$147)&lt;PolicyEff),1,Milestones!$AC$147)&amp;";  ","")&amp;IF(AND(EDATE($D66,Milestones!$AA$148)&lt;=AsOfDate,EDATE($D66,Milestones!$AA$148)&gt;=SchemeStart,IF($X66=0,$AD66,IF(AND($Z66&lt;&gt;"",EDATE($D66,Milestones!$AA$148)&gt;=$Z66),$AC66,IF(AND($Y66&lt;&gt;"",EDATE($D66,Milestones!$AA$148)&gt;=$Y66),$AB66,$AA66)))=Milestones!$AB$148),UPPER(TEXT(EDATE($D66,Milestones!$AA$148),"dd mmm yy"))&amp;" "&amp;Milestones!$AB$148&amp;" "&amp;IF(AND(Milestones!$AB$148="FT",Milestones!$AA$148=FT_Y5,EDATE($D66,Milestones!$AA$148)&lt;PolicyEff),1,Milestones!$AC$148)&amp;";  ","")&amp;IF(AND(EDATE($D66,Milestones!$AA$149)&lt;=AsOfDate,EDATE($D66,Milestones!$AA$149)&gt;=SchemeStart,IF($X66=0,$AD66,IF(AND($Z66&lt;&gt;"",EDATE($D66,Milestones!$AA$149)&gt;=$Z66),$AC66,IF(AND($Y66&lt;&gt;"",EDATE($D66,Milestones!$AA$149)&gt;=$Y66),$AB66,$AA66)))=Milestones!$AB$149),UPPER(TEXT(EDATE($D66,Milestones!$AA$149),"dd mmm yy"))&amp;" "&amp;Milestones!$AB$149&amp;" "&amp;IF(AND(Milestones!$AB$149="FT",Milestones!$AA$149=FT_Y5,EDATE($D66,Milestones!$AA$149)&lt;PolicyEff),1,Milestones!$AC$149)&amp;";  ","")&amp;IF(AND(EDATE($D66,Milestones!$AA$150)&lt;=AsOfDate,EDATE($D66,Milestones!$AA$150)&gt;=SchemeStart,IF($X66=0,$AD66,IF(AND($Z66&lt;&gt;"",EDATE($D66,Milestones!$AA$150)&gt;=$Z66),$AC66,IF(AND($Y66&lt;&gt;"",EDATE($D66,Milestones!$AA$150)&gt;=$Y66),$AB66,$AA66)))=Milestones!$AB$150),UPPER(TEXT(EDATE($D66,Milestones!$AA$150),"dd mmm yy"))&amp;" "&amp;Milestones!$AB$150&amp;" "&amp;IF(AND(Milestones!$AB$150="FT",Milestones!$AA$150=FT_Y5,EDATE($D66,Milestones!$AA$150)&lt;PolicyEff),1,Milestones!$AC$150)&amp;";  ","")&amp;IF(AND(EDATE($D66,Milestones!$AA$151)&lt;=AsOfDate,EDATE($D66,Milestones!$AA$151)&gt;=SchemeStart,IF($X66=0,$AD66,IF(AND($Z66&lt;&gt;"",EDATE($D66,Milestones!$AA$151)&gt;=$Z66),$AC66,IF(AND($Y66&lt;&gt;"",EDATE($D66,Milestones!$AA$151)&gt;=$Y66),$AB66,$AA66)))=Milestones!$AB$151),UPPER(TEXT(EDATE($D66,Milestones!$AA$151),"dd mmm yy"))&amp;" "&amp;Milestones!$AB$151&amp;" "&amp;IF(AND(Milestones!$AB$151="FT",Milestones!$AA$151=FT_Y5,EDATE($D66,Milestones!$AA$151)&lt;PolicyEff),1,Milestones!$AC$151)&amp;";  ",""))</f>
        <v/>
      </c>
      <c r="T66" s="0" t="str">
        <f aca="false">IF(OR($A66="",$D66=""),"",IF(AND(EDATE($D66,Milestones!$AA$152)&lt;=AsOfDate,EDATE($D66,Milestones!$AA$152)&gt;=SchemeStart,IF($X66=0,$AD66,IF(AND($Z66&lt;&gt;"",EDATE($D66,Milestones!$AA$152)&gt;=$Z66),$AC66,IF(AND($Y66&lt;&gt;"",EDATE($D66,Milestones!$AA$152)&gt;=$Y66),$AB66,$AA66)))=Milestones!$AB$152),UPPER(TEXT(EDATE($D66,Milestones!$AA$152),"dd mmm yy"))&amp;" "&amp;Milestones!$AB$152&amp;" "&amp;IF(AND(Milestones!$AB$152="FT",Milestones!$AA$152=FT_Y5,EDATE($D66,Milestones!$AA$152)&lt;PolicyEff),1,Milestones!$AC$152)&amp;";  ","")&amp;IF(AND(EDATE($D66,Milestones!$AA$153)&lt;=AsOfDate,EDATE($D66,Milestones!$AA$153)&gt;=SchemeStart,IF($X66=0,$AD66,IF(AND($Z66&lt;&gt;"",EDATE($D66,Milestones!$AA$153)&gt;=$Z66),$AC66,IF(AND($Y66&lt;&gt;"",EDATE($D66,Milestones!$AA$153)&gt;=$Y66),$AB66,$AA66)))=Milestones!$AB$153),UPPER(TEXT(EDATE($D66,Milestones!$AA$153),"dd mmm yy"))&amp;" "&amp;Milestones!$AB$153&amp;" "&amp;IF(AND(Milestones!$AB$153="FT",Milestones!$AA$153=FT_Y5,EDATE($D66,Milestones!$AA$153)&lt;PolicyEff),1,Milestones!$AC$153)&amp;";  ","")&amp;IF(AND(EDATE($D66,Milestones!$AA$154)&lt;=AsOfDate,EDATE($D66,Milestones!$AA$154)&gt;=SchemeStart,IF($X66=0,$AD66,IF(AND($Z66&lt;&gt;"",EDATE($D66,Milestones!$AA$154)&gt;=$Z66),$AC66,IF(AND($Y66&lt;&gt;"",EDATE($D66,Milestones!$AA$154)&gt;=$Y66),$AB66,$AA66)))=Milestones!$AB$154),UPPER(TEXT(EDATE($D66,Milestones!$AA$154),"dd mmm yy"))&amp;" "&amp;Milestones!$AB$154&amp;" "&amp;IF(AND(Milestones!$AB$154="FT",Milestones!$AA$154=FT_Y5,EDATE($D66,Milestones!$AA$154)&lt;PolicyEff),1,Milestones!$AC$154)&amp;";  ","")&amp;IF(AND(EDATE($D66,Milestones!$AA$155)&lt;=AsOfDate,EDATE($D66,Milestones!$AA$155)&gt;=SchemeStart,IF($X66=0,$AD66,IF(AND($Z66&lt;&gt;"",EDATE($D66,Milestones!$AA$155)&gt;=$Z66),$AC66,IF(AND($Y66&lt;&gt;"",EDATE($D66,Milestones!$AA$155)&gt;=$Y66),$AB66,$AA66)))=Milestones!$AB$155),UPPER(TEXT(EDATE($D66,Milestones!$AA$155),"dd mmm yy"))&amp;" "&amp;Milestones!$AB$155&amp;" "&amp;IF(AND(Milestones!$AB$155="FT",Milestones!$AA$155=FT_Y5,EDATE($D66,Milestones!$AA$155)&lt;PolicyEff),1,Milestones!$AC$155)&amp;";  ","")&amp;IF(AND(EDATE($D66,Milestones!$AA$156)&lt;=AsOfDate,EDATE($D66,Milestones!$AA$156)&gt;=SchemeStart,IF($X66=0,$AD66,IF(AND($Z66&lt;&gt;"",EDATE($D66,Milestones!$AA$156)&gt;=$Z66),$AC66,IF(AND($Y66&lt;&gt;"",EDATE($D66,Milestones!$AA$156)&gt;=$Y66),$AB66,$AA66)))=Milestones!$AB$156),UPPER(TEXT(EDATE($D66,Milestones!$AA$156),"dd mmm yy"))&amp;" "&amp;Milestones!$AB$156&amp;" "&amp;IF(AND(Milestones!$AB$156="FT",Milestones!$AA$156=FT_Y5,EDATE($D66,Milestones!$AA$156)&lt;PolicyEff),1,Milestones!$AC$156)&amp;";  ","")&amp;IF(AND(EDATE($D66,Milestones!$AA$157)&lt;=AsOfDate,EDATE($D66,Milestones!$AA$157)&gt;=SchemeStart,IF($X66=0,$AD66,IF(AND($Z66&lt;&gt;"",EDATE($D66,Milestones!$AA$157)&gt;=$Z66),$AC66,IF(AND($Y66&lt;&gt;"",EDATE($D66,Milestones!$AA$157)&gt;=$Y66),$AB66,$AA66)))=Milestones!$AB$157),UPPER(TEXT(EDATE($D66,Milestones!$AA$157),"dd mmm yy"))&amp;" "&amp;Milestones!$AB$157&amp;" "&amp;IF(AND(Milestones!$AB$157="FT",Milestones!$AA$157=FT_Y5,EDATE($D66,Milestones!$AA$157)&lt;PolicyEff),1,Milestones!$AC$157)&amp;";  ","")&amp;IF(AND(EDATE($D66,Milestones!$AA$158)&lt;=AsOfDate,EDATE($D66,Milestones!$AA$158)&gt;=SchemeStart,IF($X66=0,$AD66,IF(AND($Z66&lt;&gt;"",EDATE($D66,Milestones!$AA$158)&gt;=$Z66),$AC66,IF(AND($Y66&lt;&gt;"",EDATE($D66,Milestones!$AA$158)&gt;=$Y66),$AB66,$AA66)))=Milestones!$AB$158),UPPER(TEXT(EDATE($D66,Milestones!$AA$158),"dd mmm yy"))&amp;" "&amp;Milestones!$AB$158&amp;" "&amp;IF(AND(Milestones!$AB$158="FT",Milestones!$AA$158=FT_Y5,EDATE($D66,Milestones!$AA$158)&lt;PolicyEff),1,Milestones!$AC$158)&amp;";  ","")&amp;IF(AND(EDATE($D66,Milestones!$AA$159)&lt;=AsOfDate,EDATE($D66,Milestones!$AA$159)&gt;=SchemeStart,IF($X66=0,$AD66,IF(AND($Z66&lt;&gt;"",EDATE($D66,Milestones!$AA$159)&gt;=$Z66),$AC66,IF(AND($Y66&lt;&gt;"",EDATE($D66,Milestones!$AA$159)&gt;=$Y66),$AB66,$AA66)))=Milestones!$AB$159),UPPER(TEXT(EDATE($D66,Milestones!$AA$159),"dd mmm yy"))&amp;" "&amp;Milestones!$AB$159&amp;" "&amp;IF(AND(Milestones!$AB$159="FT",Milestones!$AA$159=FT_Y5,EDATE($D66,Milestones!$AA$159)&lt;PolicyEff),1,Milestones!$AC$159)&amp;";  ","")&amp;IF(AND(EDATE($D66,Milestones!$AA$160)&lt;=AsOfDate,EDATE($D66,Milestones!$AA$160)&gt;=SchemeStart,IF($X66=0,$AD66,IF(AND($Z66&lt;&gt;"",EDATE($D66,Milestones!$AA$160)&gt;=$Z66),$AC66,IF(AND($Y66&lt;&gt;"",EDATE($D66,Milestones!$AA$160)&gt;=$Y66),$AB66,$AA66)))=Milestones!$AB$160),UPPER(TEXT(EDATE($D66,Milestones!$AA$160),"dd mmm yy"))&amp;" "&amp;Milestones!$AB$160&amp;" "&amp;IF(AND(Milestones!$AB$160="FT",Milestones!$AA$160=FT_Y5,EDATE($D66,Milestones!$AA$160)&lt;PolicyEff),1,Milestones!$AC$160)&amp;";  ","")&amp;IF(AND(EDATE($D66,Milestones!$AA$161)&lt;=AsOfDate,EDATE($D66,Milestones!$AA$161)&gt;=SchemeStart,IF($X66=0,$AD66,IF(AND($Z66&lt;&gt;"",EDATE($D66,Milestones!$AA$161)&gt;=$Z66),$AC66,IF(AND($Y66&lt;&gt;"",EDATE($D66,Milestones!$AA$161)&gt;=$Y66),$AB66,$AA66)))=Milestones!$AB$161),UPPER(TEXT(EDATE($D66,Milestones!$AA$161),"dd mmm yy"))&amp;" "&amp;Milestones!$AB$161&amp;" "&amp;IF(AND(Milestones!$AB$161="FT",Milestones!$AA$161=FT_Y5,EDATE($D66,Milestones!$AA$161)&lt;PolicyEff),1,Milestones!$AC$161)&amp;";  ","")&amp;IF(AND(EDATE($D66,Milestones!$AA$162)&lt;=AsOfDate,EDATE($D66,Milestones!$AA$162)&gt;=SchemeStart,IF($X66=0,$AD66,IF(AND($Z66&lt;&gt;"",EDATE($D66,Milestones!$AA$162)&gt;=$Z66),$AC66,IF(AND($Y66&lt;&gt;"",EDATE($D66,Milestones!$AA$162)&gt;=$Y66),$AB66,$AA66)))=Milestones!$AB$162),UPPER(TEXT(EDATE($D66,Milestones!$AA$162),"dd mmm yy"))&amp;" "&amp;Milestones!$AB$162&amp;" "&amp;IF(AND(Milestones!$AB$162="FT",Milestones!$AA$162=FT_Y5,EDATE($D66,Milestones!$AA$162)&lt;PolicyEff),1,Milestones!$AC$162)&amp;";  ","")&amp;IF(AND(EDATE($D66,Milestones!$AA$163)&lt;=AsOfDate,EDATE($D66,Milestones!$AA$163)&gt;=SchemeStart,IF($X66=0,$AD66,IF(AND($Z66&lt;&gt;"",EDATE($D66,Milestones!$AA$163)&gt;=$Z66),$AC66,IF(AND($Y66&lt;&gt;"",EDATE($D66,Milestones!$AA$163)&gt;=$Y66),$AB66,$AA66)))=Milestones!$AB$163),UPPER(TEXT(EDATE($D66,Milestones!$AA$163),"dd mmm yy"))&amp;" "&amp;Milestones!$AB$163&amp;" "&amp;IF(AND(Milestones!$AB$163="FT",Milestones!$AA$163=FT_Y5,EDATE($D66,Milestones!$AA$163)&lt;PolicyEff),1,Milestones!$AC$163)&amp;";  ",""))</f>
        <v/>
      </c>
      <c r="U66" s="0" t="str">
        <f aca="false">IF(OR($A66="",$D66=""),"",IF(AND(EDATE($D66,Milestones!$AA$164)&lt;=AsOfDate,EDATE($D66,Milestones!$AA$164)&gt;=SchemeStart,IF($X66=0,$AD66,IF(AND($Z66&lt;&gt;"",EDATE($D66,Milestones!$AA$164)&gt;=$Z66),$AC66,IF(AND($Y66&lt;&gt;"",EDATE($D66,Milestones!$AA$164)&gt;=$Y66),$AB66,$AA66)))=Milestones!$AB$164),UPPER(TEXT(EDATE($D66,Milestones!$AA$164),"dd mmm yy"))&amp;" "&amp;Milestones!$AB$164&amp;" "&amp;IF(AND(Milestones!$AB$164="FT",Milestones!$AA$164=FT_Y5,EDATE($D66,Milestones!$AA$164)&lt;PolicyEff),1,Milestones!$AC$164)&amp;";  ","")&amp;IF(AND(EDATE($D66,Milestones!$AA$165)&lt;=AsOfDate,EDATE($D66,Milestones!$AA$165)&gt;=SchemeStart,IF($X66=0,$AD66,IF(AND($Z66&lt;&gt;"",EDATE($D66,Milestones!$AA$165)&gt;=$Z66),$AC66,IF(AND($Y66&lt;&gt;"",EDATE($D66,Milestones!$AA$165)&gt;=$Y66),$AB66,$AA66)))=Milestones!$AB$165),UPPER(TEXT(EDATE($D66,Milestones!$AA$165),"dd mmm yy"))&amp;" "&amp;Milestones!$AB$165&amp;" "&amp;IF(AND(Milestones!$AB$165="FT",Milestones!$AA$165=FT_Y5,EDATE($D66,Milestones!$AA$165)&lt;PolicyEff),1,Milestones!$AC$165)&amp;";  ","")&amp;IF(AND(EDATE($D66,Milestones!$AA$166)&lt;=AsOfDate,EDATE($D66,Milestones!$AA$166)&gt;=SchemeStart,IF($X66=0,$AD66,IF(AND($Z66&lt;&gt;"",EDATE($D66,Milestones!$AA$166)&gt;=$Z66),$AC66,IF(AND($Y66&lt;&gt;"",EDATE($D66,Milestones!$AA$166)&gt;=$Y66),$AB66,$AA66)))=Milestones!$AB$166),UPPER(TEXT(EDATE($D66,Milestones!$AA$166),"dd mmm yy"))&amp;" "&amp;Milestones!$AB$166&amp;" "&amp;IF(AND(Milestones!$AB$166="FT",Milestones!$AA$166=FT_Y5,EDATE($D66,Milestones!$AA$166)&lt;PolicyEff),1,Milestones!$AC$166)&amp;";  ","")&amp;IF(AND(EDATE($D66,Milestones!$AA$167)&lt;=AsOfDate,EDATE($D66,Milestones!$AA$167)&gt;=SchemeStart,IF($X66=0,$AD66,IF(AND($Z66&lt;&gt;"",EDATE($D66,Milestones!$AA$167)&gt;=$Z66),$AC66,IF(AND($Y66&lt;&gt;"",EDATE($D66,Milestones!$AA$167)&gt;=$Y66),$AB66,$AA66)))=Milestones!$AB$167),UPPER(TEXT(EDATE($D66,Milestones!$AA$167),"dd mmm yy"))&amp;" "&amp;Milestones!$AB$167&amp;" "&amp;IF(AND(Milestones!$AB$167="FT",Milestones!$AA$167=FT_Y5,EDATE($D66,Milestones!$AA$167)&lt;PolicyEff),1,Milestones!$AC$167)&amp;";  ","")&amp;IF(AND(EDATE($D66,Milestones!$AA$168)&lt;=AsOfDate,EDATE($D66,Milestones!$AA$168)&gt;=SchemeStart,IF($X66=0,$AD66,IF(AND($Z66&lt;&gt;"",EDATE($D66,Milestones!$AA$168)&gt;=$Z66),$AC66,IF(AND($Y66&lt;&gt;"",EDATE($D66,Milestones!$AA$168)&gt;=$Y66),$AB66,$AA66)))=Milestones!$AB$168),UPPER(TEXT(EDATE($D66,Milestones!$AA$168),"dd mmm yy"))&amp;" "&amp;Milestones!$AB$168&amp;" "&amp;IF(AND(Milestones!$AB$168="FT",Milestones!$AA$168=FT_Y5,EDATE($D66,Milestones!$AA$168)&lt;PolicyEff),1,Milestones!$AC$168)&amp;";  ","")&amp;IF(AND(EDATE($D66,Milestones!$AA$169)&lt;=AsOfDate,EDATE($D66,Milestones!$AA$169)&gt;=SchemeStart,IF($X66=0,$AD66,IF(AND($Z66&lt;&gt;"",EDATE($D66,Milestones!$AA$169)&gt;=$Z66),$AC66,IF(AND($Y66&lt;&gt;"",EDATE($D66,Milestones!$AA$169)&gt;=$Y66),$AB66,$AA66)))=Milestones!$AB$169),UPPER(TEXT(EDATE($D66,Milestones!$AA$169),"dd mmm yy"))&amp;" "&amp;Milestones!$AB$169&amp;" "&amp;IF(AND(Milestones!$AB$169="FT",Milestones!$AA$169=FT_Y5,EDATE($D66,Milestones!$AA$169)&lt;PolicyEff),1,Milestones!$AC$169)&amp;";  ","")&amp;IF(AND(EDATE($D66,Milestones!$AA$170)&lt;=AsOfDate,EDATE($D66,Milestones!$AA$170)&gt;=SchemeStart,IF($X66=0,$AD66,IF(AND($Z66&lt;&gt;"",EDATE($D66,Milestones!$AA$170)&gt;=$Z66),$AC66,IF(AND($Y66&lt;&gt;"",EDATE($D66,Milestones!$AA$170)&gt;=$Y66),$AB66,$AA66)))=Milestones!$AB$170),UPPER(TEXT(EDATE($D66,Milestones!$AA$170),"dd mmm yy"))&amp;" "&amp;Milestones!$AB$170&amp;" "&amp;IF(AND(Milestones!$AB$170="FT",Milestones!$AA$170=FT_Y5,EDATE($D66,Milestones!$AA$170)&lt;PolicyEff),1,Milestones!$AC$170)&amp;";  ","")&amp;IF(AND(EDATE($D66,Milestones!$AA$171)&lt;=AsOfDate,EDATE($D66,Milestones!$AA$171)&gt;=SchemeStart,IF($X66=0,$AD66,IF(AND($Z66&lt;&gt;"",EDATE($D66,Milestones!$AA$171)&gt;=$Z66),$AC66,IF(AND($Y66&lt;&gt;"",EDATE($D66,Milestones!$AA$171)&gt;=$Y66),$AB66,$AA66)))=Milestones!$AB$171),UPPER(TEXT(EDATE($D66,Milestones!$AA$171),"dd mmm yy"))&amp;" "&amp;Milestones!$AB$171&amp;" "&amp;IF(AND(Milestones!$AB$171="FT",Milestones!$AA$171=FT_Y5,EDATE($D66,Milestones!$AA$171)&lt;PolicyEff),1,Milestones!$AC$171)&amp;";  ","")&amp;IF(AND(EDATE($D66,Milestones!$AA$172)&lt;=AsOfDate,EDATE($D66,Milestones!$AA$172)&gt;=SchemeStart,IF($X66=0,$AD66,IF(AND($Z66&lt;&gt;"",EDATE($D66,Milestones!$AA$172)&gt;=$Z66),$AC66,IF(AND($Y66&lt;&gt;"",EDATE($D66,Milestones!$AA$172)&gt;=$Y66),$AB66,$AA66)))=Milestones!$AB$172),UPPER(TEXT(EDATE($D66,Milestones!$AA$172),"dd mmm yy"))&amp;" "&amp;Milestones!$AB$172&amp;" "&amp;IF(AND(Milestones!$AB$172="FT",Milestones!$AA$172=FT_Y5,EDATE($D66,Milestones!$AA$172)&lt;PolicyEff),1,Milestones!$AC$172)&amp;";  ","")&amp;IF(AND(EDATE($D66,Milestones!$AA$173)&lt;=AsOfDate,EDATE($D66,Milestones!$AA$173)&gt;=SchemeStart,IF($X66=0,$AD66,IF(AND($Z66&lt;&gt;"",EDATE($D66,Milestones!$AA$173)&gt;=$Z66),$AC66,IF(AND($Y66&lt;&gt;"",EDATE($D66,Milestones!$AA$173)&gt;=$Y66),$AB66,$AA66)))=Milestones!$AB$173),UPPER(TEXT(EDATE($D66,Milestones!$AA$173),"dd mmm yy"))&amp;" "&amp;Milestones!$AB$173&amp;" "&amp;IF(AND(Milestones!$AB$173="FT",Milestones!$AA$173=FT_Y5,EDATE($D66,Milestones!$AA$173)&lt;PolicyEff),1,Milestones!$AC$173)&amp;";  ","")&amp;IF(AND(EDATE($D66,Milestones!$AA$174)&lt;=AsOfDate,EDATE($D66,Milestones!$AA$174)&gt;=SchemeStart,IF($X66=0,$AD66,IF(AND($Z66&lt;&gt;"",EDATE($D66,Milestones!$AA$174)&gt;=$Z66),$AC66,IF(AND($Y66&lt;&gt;"",EDATE($D66,Milestones!$AA$174)&gt;=$Y66),$AB66,$AA66)))=Milestones!$AB$174),UPPER(TEXT(EDATE($D66,Milestones!$AA$174),"dd mmm yy"))&amp;" "&amp;Milestones!$AB$174&amp;" "&amp;IF(AND(Milestones!$AB$174="FT",Milestones!$AA$174=FT_Y5,EDATE($D66,Milestones!$AA$174)&lt;PolicyEff),1,Milestones!$AC$174)&amp;";  ","")&amp;IF(AND(EDATE($D66,Milestones!$AA$175)&lt;=AsOfDate,EDATE($D66,Milestones!$AA$175)&gt;=SchemeStart,IF($X66=0,$AD66,IF(AND($Z66&lt;&gt;"",EDATE($D66,Milestones!$AA$175)&gt;=$Z66),$AC66,IF(AND($Y66&lt;&gt;"",EDATE($D66,Milestones!$AA$175)&gt;=$Y66),$AB66,$AA66)))=Milestones!$AB$175),UPPER(TEXT(EDATE($D66,Milestones!$AA$175),"dd mmm yy"))&amp;" "&amp;Milestones!$AB$175&amp;" "&amp;IF(AND(Milestones!$AB$175="FT",Milestones!$AA$175=FT_Y5,EDATE($D66,Milestones!$AA$175)&lt;PolicyEff),1,Milestones!$AC$175)&amp;";  ",""))</f>
        <v/>
      </c>
      <c r="V66" s="0" t="str">
        <f aca="false">IF(OR($A66="",$D66=""),"",IF(AND(EDATE($D66,Milestones!$AA$176)&lt;=AsOfDate,EDATE($D66,Milestones!$AA$176)&gt;=SchemeStart,IF($X66=0,$AD66,IF(AND($Z66&lt;&gt;"",EDATE($D66,Milestones!$AA$176)&gt;=$Z66),$AC66,IF(AND($Y66&lt;&gt;"",EDATE($D66,Milestones!$AA$176)&gt;=$Y66),$AB66,$AA66)))=Milestones!$AB$176),UPPER(TEXT(EDATE($D66,Milestones!$AA$176),"dd mmm yy"))&amp;" "&amp;Milestones!$AB$176&amp;" "&amp;IF(AND(Milestones!$AB$176="FT",Milestones!$AA$176=FT_Y5,EDATE($D66,Milestones!$AA$176)&lt;PolicyEff),1,Milestones!$AC$176)&amp;";  ","")&amp;IF(AND(EDATE($D66,Milestones!$AA$177)&lt;=AsOfDate,EDATE($D66,Milestones!$AA$177)&gt;=SchemeStart,IF($X66=0,$AD66,IF(AND($Z66&lt;&gt;"",EDATE($D66,Milestones!$AA$177)&gt;=$Z66),$AC66,IF(AND($Y66&lt;&gt;"",EDATE($D66,Milestones!$AA$177)&gt;=$Y66),$AB66,$AA66)))=Milestones!$AB$177),UPPER(TEXT(EDATE($D66,Milestones!$AA$177),"dd mmm yy"))&amp;" "&amp;Milestones!$AB$177&amp;" "&amp;IF(AND(Milestones!$AB$177="FT",Milestones!$AA$177=FT_Y5,EDATE($D66,Milestones!$AA$177)&lt;PolicyEff),1,Milestones!$AC$177)&amp;";  ","")&amp;IF(AND(EDATE($D66,Milestones!$AA$178)&lt;=AsOfDate,EDATE($D66,Milestones!$AA$178)&gt;=SchemeStart,IF($X66=0,$AD66,IF(AND($Z66&lt;&gt;"",EDATE($D66,Milestones!$AA$178)&gt;=$Z66),$AC66,IF(AND($Y66&lt;&gt;"",EDATE($D66,Milestones!$AA$178)&gt;=$Y66),$AB66,$AA66)))=Milestones!$AB$178),UPPER(TEXT(EDATE($D66,Milestones!$AA$178),"dd mmm yy"))&amp;" "&amp;Milestones!$AB$178&amp;" "&amp;IF(AND(Milestones!$AB$178="FT",Milestones!$AA$178=FT_Y5,EDATE($D66,Milestones!$AA$178)&lt;PolicyEff),1,Milestones!$AC$178)&amp;";  ","")&amp;IF(AND(EDATE($D66,Milestones!$AA$179)&lt;=AsOfDate,EDATE($D66,Milestones!$AA$179)&gt;=SchemeStart,IF($X66=0,$AD66,IF(AND($Z66&lt;&gt;"",EDATE($D66,Milestones!$AA$179)&gt;=$Z66),$AC66,IF(AND($Y66&lt;&gt;"",EDATE($D66,Milestones!$AA$179)&gt;=$Y66),$AB66,$AA66)))=Milestones!$AB$179),UPPER(TEXT(EDATE($D66,Milestones!$AA$179),"dd mmm yy"))&amp;" "&amp;Milestones!$AB$179&amp;" "&amp;IF(AND(Milestones!$AB$179="FT",Milestones!$AA$179=FT_Y5,EDATE($D66,Milestones!$AA$179)&lt;PolicyEff),1,Milestones!$AC$179)&amp;";  ","")&amp;IF(AND(EDATE($D66,Milestones!$AA$180)&lt;=AsOfDate,EDATE($D66,Milestones!$AA$180)&gt;=SchemeStart,IF($X66=0,$AD66,IF(AND($Z66&lt;&gt;"",EDATE($D66,Milestones!$AA$180)&gt;=$Z66),$AC66,IF(AND($Y66&lt;&gt;"",EDATE($D66,Milestones!$AA$180)&gt;=$Y66),$AB66,$AA66)))=Milestones!$AB$180),UPPER(TEXT(EDATE($D66,Milestones!$AA$180),"dd mmm yy"))&amp;" "&amp;Milestones!$AB$180&amp;" "&amp;IF(AND(Milestones!$AB$180="FT",Milestones!$AA$180=FT_Y5,EDATE($D66,Milestones!$AA$180)&lt;PolicyEff),1,Milestones!$AC$180)&amp;";  ","")&amp;IF(AND(EDATE($D66,Milestones!$AA$181)&lt;=AsOfDate,EDATE($D66,Milestones!$AA$181)&gt;=SchemeStart,IF($X66=0,$AD66,IF(AND($Z66&lt;&gt;"",EDATE($D66,Milestones!$AA$181)&gt;=$Z66),$AC66,IF(AND($Y66&lt;&gt;"",EDATE($D66,Milestones!$AA$181)&gt;=$Y66),$AB66,$AA66)))=Milestones!$AB$181),UPPER(TEXT(EDATE($D66,Milestones!$AA$181),"dd mmm yy"))&amp;" "&amp;Milestones!$AB$181&amp;" "&amp;IF(AND(Milestones!$AB$181="FT",Milestones!$AA$181=FT_Y5,EDATE($D66,Milestones!$AA$181)&lt;PolicyEff),1,Milestones!$AC$181)&amp;";  ","")&amp;IF(AND(EDATE($D66,Milestones!$AA$182)&lt;=AsOfDate,EDATE($D66,Milestones!$AA$182)&gt;=SchemeStart,IF($X66=0,$AD66,IF(AND($Z66&lt;&gt;"",EDATE($D66,Milestones!$AA$182)&gt;=$Z66),$AC66,IF(AND($Y66&lt;&gt;"",EDATE($D66,Milestones!$AA$182)&gt;=$Y66),$AB66,$AA66)))=Milestones!$AB$182),UPPER(TEXT(EDATE($D66,Milestones!$AA$182),"dd mmm yy"))&amp;" "&amp;Milestones!$AB$182&amp;" "&amp;IF(AND(Milestones!$AB$182="FT",Milestones!$AA$182=FT_Y5,EDATE($D66,Milestones!$AA$182)&lt;PolicyEff),1,Milestones!$AC$182)&amp;";  ","")&amp;IF(AND(EDATE($D66,Milestones!$AA$183)&lt;=AsOfDate,EDATE($D66,Milestones!$AA$183)&gt;=SchemeStart,IF($X66=0,$AD66,IF(AND($Z66&lt;&gt;"",EDATE($D66,Milestones!$AA$183)&gt;=$Z66),$AC66,IF(AND($Y66&lt;&gt;"",EDATE($D66,Milestones!$AA$183)&gt;=$Y66),$AB66,$AA66)))=Milestones!$AB$183),UPPER(TEXT(EDATE($D66,Milestones!$AA$183),"dd mmm yy"))&amp;" "&amp;Milestones!$AB$183&amp;" "&amp;IF(AND(Milestones!$AB$183="FT",Milestones!$AA$183=FT_Y5,EDATE($D66,Milestones!$AA$183)&lt;PolicyEff),1,Milestones!$AC$183)&amp;";  ","")&amp;IF(AND(EDATE($D66,Milestones!$AA$184)&lt;=AsOfDate,EDATE($D66,Milestones!$AA$184)&gt;=SchemeStart,IF($X66=0,$AD66,IF(AND($Z66&lt;&gt;"",EDATE($D66,Milestones!$AA$184)&gt;=$Z66),$AC66,IF(AND($Y66&lt;&gt;"",EDATE($D66,Milestones!$AA$184)&gt;=$Y66),$AB66,$AA66)))=Milestones!$AB$184),UPPER(TEXT(EDATE($D66,Milestones!$AA$184),"dd mmm yy"))&amp;" "&amp;Milestones!$AB$184&amp;" "&amp;IF(AND(Milestones!$AB$184="FT",Milestones!$AA$184=FT_Y5,EDATE($D66,Milestones!$AA$184)&lt;PolicyEff),1,Milestones!$AC$184)&amp;";  ","")&amp;IF(AND(EDATE($D66,Milestones!$AA$185)&lt;=AsOfDate,EDATE($D66,Milestones!$AA$185)&gt;=SchemeStart,IF($X66=0,$AD66,IF(AND($Z66&lt;&gt;"",EDATE($D66,Milestones!$AA$185)&gt;=$Z66),$AC66,IF(AND($Y66&lt;&gt;"",EDATE($D66,Milestones!$AA$185)&gt;=$Y66),$AB66,$AA66)))=Milestones!$AB$185),UPPER(TEXT(EDATE($D66,Milestones!$AA$185),"dd mmm yy"))&amp;" "&amp;Milestones!$AB$185&amp;" "&amp;IF(AND(Milestones!$AB$185="FT",Milestones!$AA$185=FT_Y5,EDATE($D66,Milestones!$AA$185)&lt;PolicyEff),1,Milestones!$AC$185)&amp;";  ","")&amp;IF(AND(EDATE($D66,Milestones!$AA$186)&lt;=AsOfDate,EDATE($D66,Milestones!$AA$186)&gt;=SchemeStart,IF($X66=0,$AD66,IF(AND($Z66&lt;&gt;"",EDATE($D66,Milestones!$AA$186)&gt;=$Z66),$AC66,IF(AND($Y66&lt;&gt;"",EDATE($D66,Milestones!$AA$186)&gt;=$Y66),$AB66,$AA66)))=Milestones!$AB$186),UPPER(TEXT(EDATE($D66,Milestones!$AA$186),"dd mmm yy"))&amp;" "&amp;Milestones!$AB$186&amp;" "&amp;IF(AND(Milestones!$AB$186="FT",Milestones!$AA$186=FT_Y5,EDATE($D66,Milestones!$AA$186)&lt;PolicyEff),1,Milestones!$AC$186)&amp;";  ","")&amp;IF(AND(EDATE($D66,Milestones!$AA$187)&lt;=AsOfDate,EDATE($D66,Milestones!$AA$187)&gt;=SchemeStart,IF($X66=0,$AD66,IF(AND($Z66&lt;&gt;"",EDATE($D66,Milestones!$AA$187)&gt;=$Z66),$AC66,IF(AND($Y66&lt;&gt;"",EDATE($D66,Milestones!$AA$187)&gt;=$Y66),$AB66,$AA66)))=Milestones!$AB$187),UPPER(TEXT(EDATE($D66,Milestones!$AA$187),"dd mmm yy"))&amp;" "&amp;Milestones!$AB$187&amp;" "&amp;IF(AND(Milestones!$AB$187="FT",Milestones!$AA$187=FT_Y5,EDATE($D66,Milestones!$AA$187)&lt;PolicyEff),1,Milestones!$AC$187)&amp;";  ",""))</f>
        <v/>
      </c>
      <c r="W66" s="0" t="str">
        <f aca="false">IF(OR($A66="",$D66=""),"",IF(AND(EDATE($D66,Milestones!$AA$188)&lt;=AsOfDate,EDATE($D66,Milestones!$AA$188)&gt;=SchemeStart,IF($X66=0,$AD66,IF(AND($Z66&lt;&gt;"",EDATE($D66,Milestones!$AA$188)&gt;=$Z66),$AC66,IF(AND($Y66&lt;&gt;"",EDATE($D66,Milestones!$AA$188)&gt;=$Y66),$AB66,$AA66)))=Milestones!$AB$188),UPPER(TEXT(EDATE($D66,Milestones!$AA$188),"dd mmm yy"))&amp;" "&amp;Milestones!$AB$188&amp;" "&amp;IF(AND(Milestones!$AB$188="FT",Milestones!$AA$188=FT_Y5,EDATE($D66,Milestones!$AA$188)&lt;PolicyEff),1,Milestones!$AC$188)&amp;";  ","")&amp;IF(AND(EDATE($D66,Milestones!$AA$189)&lt;=AsOfDate,EDATE($D66,Milestones!$AA$189)&gt;=SchemeStart,IF($X66=0,$AD66,IF(AND($Z66&lt;&gt;"",EDATE($D66,Milestones!$AA$189)&gt;=$Z66),$AC66,IF(AND($Y66&lt;&gt;"",EDATE($D66,Milestones!$AA$189)&gt;=$Y66),$AB66,$AA66)))=Milestones!$AB$189),UPPER(TEXT(EDATE($D66,Milestones!$AA$189),"dd mmm yy"))&amp;" "&amp;Milestones!$AB$189&amp;" "&amp;IF(AND(Milestones!$AB$189="FT",Milestones!$AA$189=FT_Y5,EDATE($D66,Milestones!$AA$189)&lt;PolicyEff),1,Milestones!$AC$189)&amp;";  ","")&amp;IF(AND(EDATE($D66,Milestones!$AA$190)&lt;=AsOfDate,EDATE($D66,Milestones!$AA$190)&gt;=SchemeStart,IF($X66=0,$AD66,IF(AND($Z66&lt;&gt;"",EDATE($D66,Milestones!$AA$190)&gt;=$Z66),$AC66,IF(AND($Y66&lt;&gt;"",EDATE($D66,Milestones!$AA$190)&gt;=$Y66),$AB66,$AA66)))=Milestones!$AB$190),UPPER(TEXT(EDATE($D66,Milestones!$AA$190),"dd mmm yy"))&amp;" "&amp;Milestones!$AB$190&amp;" "&amp;IF(AND(Milestones!$AB$190="FT",Milestones!$AA$190=FT_Y5,EDATE($D66,Milestones!$AA$190)&lt;PolicyEff),1,Milestones!$AC$190)&amp;";  ","")&amp;IF(AND(EDATE($D66,Milestones!$AA$191)&lt;=AsOfDate,EDATE($D66,Milestones!$AA$191)&gt;=SchemeStart,IF($X66=0,$AD66,IF(AND($Z66&lt;&gt;"",EDATE($D66,Milestones!$AA$191)&gt;=$Z66),$AC66,IF(AND($Y66&lt;&gt;"",EDATE($D66,Milestones!$AA$191)&gt;=$Y66),$AB66,$AA66)))=Milestones!$AB$191),UPPER(TEXT(EDATE($D66,Milestones!$AA$191),"dd mmm yy"))&amp;" "&amp;Milestones!$AB$191&amp;" "&amp;IF(AND(Milestones!$AB$191="FT",Milestones!$AA$191=FT_Y5,EDATE($D66,Milestones!$AA$191)&lt;PolicyEff),1,Milestones!$AC$191)&amp;";  ","")&amp;IF(AND(EDATE($D66,Milestones!$AA$192)&lt;=AsOfDate,EDATE($D66,Milestones!$AA$192)&gt;=SchemeStart,IF($X66=0,$AD66,IF(AND($Z66&lt;&gt;"",EDATE($D66,Milestones!$AA$192)&gt;=$Z66),$AC66,IF(AND($Y66&lt;&gt;"",EDATE($D66,Milestones!$AA$192)&gt;=$Y66),$AB66,$AA66)))=Milestones!$AB$192),UPPER(TEXT(EDATE($D66,Milestones!$AA$192),"dd mmm yy"))&amp;" "&amp;Milestones!$AB$192&amp;" "&amp;IF(AND(Milestones!$AB$192="FT",Milestones!$AA$192=FT_Y5,EDATE($D66,Milestones!$AA$192)&lt;PolicyEff),1,Milestones!$AC$192)&amp;";  ","")&amp;IF(AND(EDATE($D66,Milestones!$AA$193)&lt;=AsOfDate,EDATE($D66,Milestones!$AA$193)&gt;=SchemeStart,IF($X66=0,$AD66,IF(AND($Z66&lt;&gt;"",EDATE($D66,Milestones!$AA$193)&gt;=$Z66),$AC66,IF(AND($Y66&lt;&gt;"",EDATE($D66,Milestones!$AA$193)&gt;=$Y66),$AB66,$AA66)))=Milestones!$AB$193),UPPER(TEXT(EDATE($D66,Milestones!$AA$193),"dd mmm yy"))&amp;" "&amp;Milestones!$AB$193&amp;" "&amp;IF(AND(Milestones!$AB$193="FT",Milestones!$AA$193=FT_Y5,EDATE($D66,Milestones!$AA$193)&lt;PolicyEff),1,Milestones!$AC$193)&amp;";  ","")&amp;IF(AND(EDATE($D66,Milestones!$AA$194)&lt;=AsOfDate,EDATE($D66,Milestones!$AA$194)&gt;=SchemeStart,IF($X66=0,$AD66,IF(AND($Z66&lt;&gt;"",EDATE($D66,Milestones!$AA$194)&gt;=$Z66),$AC66,IF(AND($Y66&lt;&gt;"",EDATE($D66,Milestones!$AA$194)&gt;=$Y66),$AB66,$AA66)))=Milestones!$AB$194),UPPER(TEXT(EDATE($D66,Milestones!$AA$194),"dd mmm yy"))&amp;" "&amp;Milestones!$AB$194&amp;" "&amp;IF(AND(Milestones!$AB$194="FT",Milestones!$AA$194=FT_Y5,EDATE($D66,Milestones!$AA$194)&lt;PolicyEff),1,Milestones!$AC$194)&amp;";  ","")&amp;IF(AND(EDATE($D66,Milestones!$AA$195)&lt;=AsOfDate,EDATE($D66,Milestones!$AA$195)&gt;=SchemeStart,IF($X66=0,$AD66,IF(AND($Z66&lt;&gt;"",EDATE($D66,Milestones!$AA$195)&gt;=$Z66),$AC66,IF(AND($Y66&lt;&gt;"",EDATE($D66,Milestones!$AA$195)&gt;=$Y66),$AB66,$AA66)))=Milestones!$AB$195),UPPER(TEXT(EDATE($D66,Milestones!$AA$195),"dd mmm yy"))&amp;" "&amp;Milestones!$AB$195&amp;" "&amp;IF(AND(Milestones!$AB$195="FT",Milestones!$AA$195=FT_Y5,EDATE($D66,Milestones!$AA$195)&lt;PolicyEff),1,Milestones!$AC$195)&amp;";  ","")&amp;IF(AND(EDATE($D66,Milestones!$AA$196)&lt;=AsOfDate,EDATE($D66,Milestones!$AA$196)&gt;=SchemeStart,IF($X66=0,$AD66,IF(AND($Z66&lt;&gt;"",EDATE($D66,Milestones!$AA$196)&gt;=$Z66),$AC66,IF(AND($Y66&lt;&gt;"",EDATE($D66,Milestones!$AA$196)&gt;=$Y66),$AB66,$AA66)))=Milestones!$AB$196),UPPER(TEXT(EDATE($D66,Milestones!$AA$196),"dd mmm yy"))&amp;" "&amp;Milestones!$AB$196&amp;" "&amp;IF(AND(Milestones!$AB$196="FT",Milestones!$AA$196=FT_Y5,EDATE($D66,Milestones!$AA$196)&lt;PolicyEff),1,Milestones!$AC$196)&amp;";  ","")&amp;IF(AND(EDATE($D66,Milestones!$AA$197)&lt;=AsOfDate,EDATE($D66,Milestones!$AA$197)&gt;=SchemeStart,IF($X66=0,$AD66,IF(AND($Z66&lt;&gt;"",EDATE($D66,Milestones!$AA$197)&gt;=$Z66),$AC66,IF(AND($Y66&lt;&gt;"",EDATE($D66,Milestones!$AA$197)&gt;=$Y66),$AB66,$AA66)))=Milestones!$AB$197),UPPER(TEXT(EDATE($D66,Milestones!$AA$197),"dd mmm yy"))&amp;" "&amp;Milestones!$AB$197&amp;" "&amp;IF(AND(Milestones!$AB$197="FT",Milestones!$AA$197=FT_Y5,EDATE($D66,Milestones!$AA$197)&lt;PolicyEff),1,Milestones!$AC$197)&amp;";  ","")&amp;IF(AND(EDATE($D66,Milestones!$AA$198)&lt;=AsOfDate,EDATE($D66,Milestones!$AA$198)&gt;=SchemeStart,IF($X66=0,$AD66,IF(AND($Z66&lt;&gt;"",EDATE($D66,Milestones!$AA$198)&gt;=$Z66),$AC66,IF(AND($Y66&lt;&gt;"",EDATE($D66,Milestones!$AA$198)&gt;=$Y66),$AB66,$AA66)))=Milestones!$AB$198),UPPER(TEXT(EDATE($D66,Milestones!$AA$198),"dd mmm yy"))&amp;" "&amp;Milestones!$AB$198&amp;" "&amp;IF(AND(Milestones!$AB$198="FT",Milestones!$AA$198=FT_Y5,EDATE($D66,Milestones!$AA$198)&lt;PolicyEff),1,Milestones!$AC$198)&amp;";  ","")&amp;IF(AND(EDATE($D66,Milestones!$AA$199)&lt;=AsOfDate,EDATE($D66,Milestones!$AA$199)&gt;=SchemeStart,IF($X66=0,$AD66,IF(AND($Z66&lt;&gt;"",EDATE($D66,Milestones!$AA$199)&gt;=$Z66),$AC66,IF(AND($Y66&lt;&gt;"",EDATE($D66,Milestones!$AA$199)&gt;=$Y66),$AB66,$AA66)))=Milestones!$AB$199),UPPER(TEXT(EDATE($D66,Milestones!$AA$199),"dd mmm yy"))&amp;" "&amp;Milestones!$AB$199&amp;" "&amp;IF(AND(Milestones!$AB$199="FT",Milestones!$AA$199=FT_Y5,EDATE($D66,Milestones!$AA$199)&lt;PolicyEff),1,Milestones!$AC$199)&amp;";  ",""))</f>
        <v/>
      </c>
      <c r="X66" s="0" t="str">
        <f aca="false">IF(Staff!$A66="","",Staff!$AM66)</f>
        <v/>
      </c>
      <c r="Y66" s="0" t="str">
        <f aca="false">IF(Staff!$A66="","",Staff!$AO66)</f>
        <v/>
      </c>
      <c r="Z66" s="0" t="str">
        <f aca="false">IF(Staff!$A66="","",Staff!$AP66)</f>
        <v/>
      </c>
      <c r="AA66" s="0" t="str">
        <f aca="false">IF(Staff!$A66="","",Staff!$AT66)</f>
        <v/>
      </c>
      <c r="AB66" s="0" t="str">
        <f aca="false">IF(Staff!$A66="","",Staff!$AU66)</f>
        <v/>
      </c>
      <c r="AC66" s="0" t="str">
        <f aca="false">IF(Staff!$A66="","",Staff!$AV66)</f>
        <v/>
      </c>
      <c r="AD66" s="0" t="str">
        <f aca="false">IF(Staff!$A66="","",Staff!$AW66)</f>
        <v/>
      </c>
    </row>
    <row r="67" customFormat="false" ht="15" hidden="false" customHeight="false" outlineLevel="0" collapsed="false">
      <c r="A67" s="16" t="str">
        <f aca="false">IF(Staff!$A67="","",Staff!$A67)</f>
        <v/>
      </c>
      <c r="B67" s="16" t="str">
        <f aca="false">IF(Staff!$A67="","",Staff!$B67)</f>
        <v/>
      </c>
      <c r="C67" s="16" t="str">
        <f aca="false">IF(Staff!$A67="","",Staff!$C67)</f>
        <v/>
      </c>
      <c r="D67" s="14" t="str">
        <f aca="false">IF(Staff!$A67="","",Staff!$AL67)</f>
        <v/>
      </c>
      <c r="E67" s="16" t="str">
        <f aca="false">IF(Staff!$A67="","",Staff!$O67)</f>
        <v/>
      </c>
      <c r="F67" s="16" t="str">
        <f aca="false">IF(E67="","",E67*HoursPerDay)</f>
        <v/>
      </c>
      <c r="G67" s="16" t="str">
        <f aca="false">IF(Staff!$A67="","",Staff!$AE67)</f>
        <v/>
      </c>
      <c r="H67" s="28" t="str">
        <f aca="false">IF($A67="","",I67&amp;J67&amp;K67&amp;L67&amp;M67&amp;N67&amp;O67&amp;P67&amp;Q67&amp;R67&amp;S67&amp;T67&amp;U67&amp;V67&amp;W67)</f>
        <v/>
      </c>
      <c r="I67" s="0" t="str">
        <f aca="false">IF(OR($A67="",$D67=""),"",IF(AND(EDATE($D67,Milestones!$AA$20)&lt;=AsOfDate,EDATE($D67,Milestones!$AA$20)&gt;=SchemeStart,IF($X67=0,$AD67,IF(AND($Z67&lt;&gt;"",EDATE($D67,Milestones!$AA$20)&gt;=$Z67),$AC67,IF(AND($Y67&lt;&gt;"",EDATE($D67,Milestones!$AA$20)&gt;=$Y67),$AB67,$AA67)))=Milestones!$AB$20),UPPER(TEXT(EDATE($D67,Milestones!$AA$20),"dd mmm yy"))&amp;" "&amp;Milestones!$AB$20&amp;" "&amp;IF(AND(Milestones!$AB$20="FT",Milestones!$AA$20=FT_Y5,EDATE($D67,Milestones!$AA$20)&lt;PolicyEff),1,Milestones!$AC$20)&amp;";  ","")&amp;IF(AND(EDATE($D67,Milestones!$AA$21)&lt;=AsOfDate,EDATE($D67,Milestones!$AA$21)&gt;=SchemeStart,IF($X67=0,$AD67,IF(AND($Z67&lt;&gt;"",EDATE($D67,Milestones!$AA$21)&gt;=$Z67),$AC67,IF(AND($Y67&lt;&gt;"",EDATE($D67,Milestones!$AA$21)&gt;=$Y67),$AB67,$AA67)))=Milestones!$AB$21),UPPER(TEXT(EDATE($D67,Milestones!$AA$21),"dd mmm yy"))&amp;" "&amp;Milestones!$AB$21&amp;" "&amp;IF(AND(Milestones!$AB$21="FT",Milestones!$AA$21=FT_Y5,EDATE($D67,Milestones!$AA$21)&lt;PolicyEff),1,Milestones!$AC$21)&amp;";  ","")&amp;IF(AND(EDATE($D67,Milestones!$AA$22)&lt;=AsOfDate,EDATE($D67,Milestones!$AA$22)&gt;=SchemeStart,IF($X67=0,$AD67,IF(AND($Z67&lt;&gt;"",EDATE($D67,Milestones!$AA$22)&gt;=$Z67),$AC67,IF(AND($Y67&lt;&gt;"",EDATE($D67,Milestones!$AA$22)&gt;=$Y67),$AB67,$AA67)))=Milestones!$AB$22),UPPER(TEXT(EDATE($D67,Milestones!$AA$22),"dd mmm yy"))&amp;" "&amp;Milestones!$AB$22&amp;" "&amp;IF(AND(Milestones!$AB$22="FT",Milestones!$AA$22=FT_Y5,EDATE($D67,Milestones!$AA$22)&lt;PolicyEff),1,Milestones!$AC$22)&amp;";  ","")&amp;IF(AND(EDATE($D67,Milestones!$AA$23)&lt;=AsOfDate,EDATE($D67,Milestones!$AA$23)&gt;=SchemeStart,IF($X67=0,$AD67,IF(AND($Z67&lt;&gt;"",EDATE($D67,Milestones!$AA$23)&gt;=$Z67),$AC67,IF(AND($Y67&lt;&gt;"",EDATE($D67,Milestones!$AA$23)&gt;=$Y67),$AB67,$AA67)))=Milestones!$AB$23),UPPER(TEXT(EDATE($D67,Milestones!$AA$23),"dd mmm yy"))&amp;" "&amp;Milestones!$AB$23&amp;" "&amp;IF(AND(Milestones!$AB$23="FT",Milestones!$AA$23=FT_Y5,EDATE($D67,Milestones!$AA$23)&lt;PolicyEff),1,Milestones!$AC$23)&amp;";  ","")&amp;IF(AND(EDATE($D67,Milestones!$AA$24)&lt;=AsOfDate,EDATE($D67,Milestones!$AA$24)&gt;=SchemeStart,IF($X67=0,$AD67,IF(AND($Z67&lt;&gt;"",EDATE($D67,Milestones!$AA$24)&gt;=$Z67),$AC67,IF(AND($Y67&lt;&gt;"",EDATE($D67,Milestones!$AA$24)&gt;=$Y67),$AB67,$AA67)))=Milestones!$AB$24),UPPER(TEXT(EDATE($D67,Milestones!$AA$24),"dd mmm yy"))&amp;" "&amp;Milestones!$AB$24&amp;" "&amp;IF(AND(Milestones!$AB$24="FT",Milestones!$AA$24=FT_Y5,EDATE($D67,Milestones!$AA$24)&lt;PolicyEff),1,Milestones!$AC$24)&amp;";  ","")&amp;IF(AND(EDATE($D67,Milestones!$AA$25)&lt;=AsOfDate,EDATE($D67,Milestones!$AA$25)&gt;=SchemeStart,IF($X67=0,$AD67,IF(AND($Z67&lt;&gt;"",EDATE($D67,Milestones!$AA$25)&gt;=$Z67),$AC67,IF(AND($Y67&lt;&gt;"",EDATE($D67,Milestones!$AA$25)&gt;=$Y67),$AB67,$AA67)))=Milestones!$AB$25),UPPER(TEXT(EDATE($D67,Milestones!$AA$25),"dd mmm yy"))&amp;" "&amp;Milestones!$AB$25&amp;" "&amp;IF(AND(Milestones!$AB$25="FT",Milestones!$AA$25=FT_Y5,EDATE($D67,Milestones!$AA$25)&lt;PolicyEff),1,Milestones!$AC$25)&amp;";  ","")&amp;IF(AND(EDATE($D67,Milestones!$AA$26)&lt;=AsOfDate,EDATE($D67,Milestones!$AA$26)&gt;=SchemeStart,IF($X67=0,$AD67,IF(AND($Z67&lt;&gt;"",EDATE($D67,Milestones!$AA$26)&gt;=$Z67),$AC67,IF(AND($Y67&lt;&gt;"",EDATE($D67,Milestones!$AA$26)&gt;=$Y67),$AB67,$AA67)))=Milestones!$AB$26),UPPER(TEXT(EDATE($D67,Milestones!$AA$26),"dd mmm yy"))&amp;" "&amp;Milestones!$AB$26&amp;" "&amp;IF(AND(Milestones!$AB$26="FT",Milestones!$AA$26=FT_Y5,EDATE($D67,Milestones!$AA$26)&lt;PolicyEff),1,Milestones!$AC$26)&amp;";  ","")&amp;IF(AND(EDATE($D67,Milestones!$AA$27)&lt;=AsOfDate,EDATE($D67,Milestones!$AA$27)&gt;=SchemeStart,IF($X67=0,$AD67,IF(AND($Z67&lt;&gt;"",EDATE($D67,Milestones!$AA$27)&gt;=$Z67),$AC67,IF(AND($Y67&lt;&gt;"",EDATE($D67,Milestones!$AA$27)&gt;=$Y67),$AB67,$AA67)))=Milestones!$AB$27),UPPER(TEXT(EDATE($D67,Milestones!$AA$27),"dd mmm yy"))&amp;" "&amp;Milestones!$AB$27&amp;" "&amp;IF(AND(Milestones!$AB$27="FT",Milestones!$AA$27=FT_Y5,EDATE($D67,Milestones!$AA$27)&lt;PolicyEff),1,Milestones!$AC$27)&amp;";  ","")&amp;IF(AND(EDATE($D67,Milestones!$AA$28)&lt;=AsOfDate,EDATE($D67,Milestones!$AA$28)&gt;=SchemeStart,IF($X67=0,$AD67,IF(AND($Z67&lt;&gt;"",EDATE($D67,Milestones!$AA$28)&gt;=$Z67),$AC67,IF(AND($Y67&lt;&gt;"",EDATE($D67,Milestones!$AA$28)&gt;=$Y67),$AB67,$AA67)))=Milestones!$AB$28),UPPER(TEXT(EDATE($D67,Milestones!$AA$28),"dd mmm yy"))&amp;" "&amp;Milestones!$AB$28&amp;" "&amp;IF(AND(Milestones!$AB$28="FT",Milestones!$AA$28=FT_Y5,EDATE($D67,Milestones!$AA$28)&lt;PolicyEff),1,Milestones!$AC$28)&amp;";  ","")&amp;IF(AND(EDATE($D67,Milestones!$AA$29)&lt;=AsOfDate,EDATE($D67,Milestones!$AA$29)&gt;=SchemeStart,IF($X67=0,$AD67,IF(AND($Z67&lt;&gt;"",EDATE($D67,Milestones!$AA$29)&gt;=$Z67),$AC67,IF(AND($Y67&lt;&gt;"",EDATE($D67,Milestones!$AA$29)&gt;=$Y67),$AB67,$AA67)))=Milestones!$AB$29),UPPER(TEXT(EDATE($D67,Milestones!$AA$29),"dd mmm yy"))&amp;" "&amp;Milestones!$AB$29&amp;" "&amp;IF(AND(Milestones!$AB$29="FT",Milestones!$AA$29=FT_Y5,EDATE($D67,Milestones!$AA$29)&lt;PolicyEff),1,Milestones!$AC$29)&amp;";  ","")&amp;IF(AND(EDATE($D67,Milestones!$AA$30)&lt;=AsOfDate,EDATE($D67,Milestones!$AA$30)&gt;=SchemeStart,IF($X67=0,$AD67,IF(AND($Z67&lt;&gt;"",EDATE($D67,Milestones!$AA$30)&gt;=$Z67),$AC67,IF(AND($Y67&lt;&gt;"",EDATE($D67,Milestones!$AA$30)&gt;=$Y67),$AB67,$AA67)))=Milestones!$AB$30),UPPER(TEXT(EDATE($D67,Milestones!$AA$30),"dd mmm yy"))&amp;" "&amp;Milestones!$AB$30&amp;" "&amp;IF(AND(Milestones!$AB$30="FT",Milestones!$AA$30=FT_Y5,EDATE($D67,Milestones!$AA$30)&lt;PolicyEff),1,Milestones!$AC$30)&amp;";  ","")&amp;IF(AND(EDATE($D67,Milestones!$AA$31)&lt;=AsOfDate,EDATE($D67,Milestones!$AA$31)&gt;=SchemeStart,IF($X67=0,$AD67,IF(AND($Z67&lt;&gt;"",EDATE($D67,Milestones!$AA$31)&gt;=$Z67),$AC67,IF(AND($Y67&lt;&gt;"",EDATE($D67,Milestones!$AA$31)&gt;=$Y67),$AB67,$AA67)))=Milestones!$AB$31),UPPER(TEXT(EDATE($D67,Milestones!$AA$31),"dd mmm yy"))&amp;" "&amp;Milestones!$AB$31&amp;" "&amp;IF(AND(Milestones!$AB$31="FT",Milestones!$AA$31=FT_Y5,EDATE($D67,Milestones!$AA$31)&lt;PolicyEff),1,Milestones!$AC$31)&amp;";  ",""))</f>
        <v/>
      </c>
      <c r="J67" s="0" t="str">
        <f aca="false">IF(OR($A67="",$D67=""),"",IF(AND(EDATE($D67,Milestones!$AA$32)&lt;=AsOfDate,EDATE($D67,Milestones!$AA$32)&gt;=SchemeStart,IF($X67=0,$AD67,IF(AND($Z67&lt;&gt;"",EDATE($D67,Milestones!$AA$32)&gt;=$Z67),$AC67,IF(AND($Y67&lt;&gt;"",EDATE($D67,Milestones!$AA$32)&gt;=$Y67),$AB67,$AA67)))=Milestones!$AB$32),UPPER(TEXT(EDATE($D67,Milestones!$AA$32),"dd mmm yy"))&amp;" "&amp;Milestones!$AB$32&amp;" "&amp;IF(AND(Milestones!$AB$32="FT",Milestones!$AA$32=FT_Y5,EDATE($D67,Milestones!$AA$32)&lt;PolicyEff),1,Milestones!$AC$32)&amp;";  ","")&amp;IF(AND(EDATE($D67,Milestones!$AA$33)&lt;=AsOfDate,EDATE($D67,Milestones!$AA$33)&gt;=SchemeStart,IF($X67=0,$AD67,IF(AND($Z67&lt;&gt;"",EDATE($D67,Milestones!$AA$33)&gt;=$Z67),$AC67,IF(AND($Y67&lt;&gt;"",EDATE($D67,Milestones!$AA$33)&gt;=$Y67),$AB67,$AA67)))=Milestones!$AB$33),UPPER(TEXT(EDATE($D67,Milestones!$AA$33),"dd mmm yy"))&amp;" "&amp;Milestones!$AB$33&amp;" "&amp;IF(AND(Milestones!$AB$33="FT",Milestones!$AA$33=FT_Y5,EDATE($D67,Milestones!$AA$33)&lt;PolicyEff),1,Milestones!$AC$33)&amp;";  ","")&amp;IF(AND(EDATE($D67,Milestones!$AA$34)&lt;=AsOfDate,EDATE($D67,Milestones!$AA$34)&gt;=SchemeStart,IF($X67=0,$AD67,IF(AND($Z67&lt;&gt;"",EDATE($D67,Milestones!$AA$34)&gt;=$Z67),$AC67,IF(AND($Y67&lt;&gt;"",EDATE($D67,Milestones!$AA$34)&gt;=$Y67),$AB67,$AA67)))=Milestones!$AB$34),UPPER(TEXT(EDATE($D67,Milestones!$AA$34),"dd mmm yy"))&amp;" "&amp;Milestones!$AB$34&amp;" "&amp;IF(AND(Milestones!$AB$34="FT",Milestones!$AA$34=FT_Y5,EDATE($D67,Milestones!$AA$34)&lt;PolicyEff),1,Milestones!$AC$34)&amp;";  ","")&amp;IF(AND(EDATE($D67,Milestones!$AA$35)&lt;=AsOfDate,EDATE($D67,Milestones!$AA$35)&gt;=SchemeStart,IF($X67=0,$AD67,IF(AND($Z67&lt;&gt;"",EDATE($D67,Milestones!$AA$35)&gt;=$Z67),$AC67,IF(AND($Y67&lt;&gt;"",EDATE($D67,Milestones!$AA$35)&gt;=$Y67),$AB67,$AA67)))=Milestones!$AB$35),UPPER(TEXT(EDATE($D67,Milestones!$AA$35),"dd mmm yy"))&amp;" "&amp;Milestones!$AB$35&amp;" "&amp;IF(AND(Milestones!$AB$35="FT",Milestones!$AA$35=FT_Y5,EDATE($D67,Milestones!$AA$35)&lt;PolicyEff),1,Milestones!$AC$35)&amp;";  ","")&amp;IF(AND(EDATE($D67,Milestones!$AA$36)&lt;=AsOfDate,EDATE($D67,Milestones!$AA$36)&gt;=SchemeStart,IF($X67=0,$AD67,IF(AND($Z67&lt;&gt;"",EDATE($D67,Milestones!$AA$36)&gt;=$Z67),$AC67,IF(AND($Y67&lt;&gt;"",EDATE($D67,Milestones!$AA$36)&gt;=$Y67),$AB67,$AA67)))=Milestones!$AB$36),UPPER(TEXT(EDATE($D67,Milestones!$AA$36),"dd mmm yy"))&amp;" "&amp;Milestones!$AB$36&amp;" "&amp;IF(AND(Milestones!$AB$36="FT",Milestones!$AA$36=FT_Y5,EDATE($D67,Milestones!$AA$36)&lt;PolicyEff),1,Milestones!$AC$36)&amp;";  ","")&amp;IF(AND(EDATE($D67,Milestones!$AA$37)&lt;=AsOfDate,EDATE($D67,Milestones!$AA$37)&gt;=SchemeStart,IF($X67=0,$AD67,IF(AND($Z67&lt;&gt;"",EDATE($D67,Milestones!$AA$37)&gt;=$Z67),$AC67,IF(AND($Y67&lt;&gt;"",EDATE($D67,Milestones!$AA$37)&gt;=$Y67),$AB67,$AA67)))=Milestones!$AB$37),UPPER(TEXT(EDATE($D67,Milestones!$AA$37),"dd mmm yy"))&amp;" "&amp;Milestones!$AB$37&amp;" "&amp;IF(AND(Milestones!$AB$37="FT",Milestones!$AA$37=FT_Y5,EDATE($D67,Milestones!$AA$37)&lt;PolicyEff),1,Milestones!$AC$37)&amp;";  ","")&amp;IF(AND(EDATE($D67,Milestones!$AA$38)&lt;=AsOfDate,EDATE($D67,Milestones!$AA$38)&gt;=SchemeStart,IF($X67=0,$AD67,IF(AND($Z67&lt;&gt;"",EDATE($D67,Milestones!$AA$38)&gt;=$Z67),$AC67,IF(AND($Y67&lt;&gt;"",EDATE($D67,Milestones!$AA$38)&gt;=$Y67),$AB67,$AA67)))=Milestones!$AB$38),UPPER(TEXT(EDATE($D67,Milestones!$AA$38),"dd mmm yy"))&amp;" "&amp;Milestones!$AB$38&amp;" "&amp;IF(AND(Milestones!$AB$38="FT",Milestones!$AA$38=FT_Y5,EDATE($D67,Milestones!$AA$38)&lt;PolicyEff),1,Milestones!$AC$38)&amp;";  ","")&amp;IF(AND(EDATE($D67,Milestones!$AA$39)&lt;=AsOfDate,EDATE($D67,Milestones!$AA$39)&gt;=SchemeStart,IF($X67=0,$AD67,IF(AND($Z67&lt;&gt;"",EDATE($D67,Milestones!$AA$39)&gt;=$Z67),$AC67,IF(AND($Y67&lt;&gt;"",EDATE($D67,Milestones!$AA$39)&gt;=$Y67),$AB67,$AA67)))=Milestones!$AB$39),UPPER(TEXT(EDATE($D67,Milestones!$AA$39),"dd mmm yy"))&amp;" "&amp;Milestones!$AB$39&amp;" "&amp;IF(AND(Milestones!$AB$39="FT",Milestones!$AA$39=FT_Y5,EDATE($D67,Milestones!$AA$39)&lt;PolicyEff),1,Milestones!$AC$39)&amp;";  ","")&amp;IF(AND(EDATE($D67,Milestones!$AA$40)&lt;=AsOfDate,EDATE($D67,Milestones!$AA$40)&gt;=SchemeStart,IF($X67=0,$AD67,IF(AND($Z67&lt;&gt;"",EDATE($D67,Milestones!$AA$40)&gt;=$Z67),$AC67,IF(AND($Y67&lt;&gt;"",EDATE($D67,Milestones!$AA$40)&gt;=$Y67),$AB67,$AA67)))=Milestones!$AB$40),UPPER(TEXT(EDATE($D67,Milestones!$AA$40),"dd mmm yy"))&amp;" "&amp;Milestones!$AB$40&amp;" "&amp;IF(AND(Milestones!$AB$40="FT",Milestones!$AA$40=FT_Y5,EDATE($D67,Milestones!$AA$40)&lt;PolicyEff),1,Milestones!$AC$40)&amp;";  ","")&amp;IF(AND(EDATE($D67,Milestones!$AA$41)&lt;=AsOfDate,EDATE($D67,Milestones!$AA$41)&gt;=SchemeStart,IF($X67=0,$AD67,IF(AND($Z67&lt;&gt;"",EDATE($D67,Milestones!$AA$41)&gt;=$Z67),$AC67,IF(AND($Y67&lt;&gt;"",EDATE($D67,Milestones!$AA$41)&gt;=$Y67),$AB67,$AA67)))=Milestones!$AB$41),UPPER(TEXT(EDATE($D67,Milestones!$AA$41),"dd mmm yy"))&amp;" "&amp;Milestones!$AB$41&amp;" "&amp;IF(AND(Milestones!$AB$41="FT",Milestones!$AA$41=FT_Y5,EDATE($D67,Milestones!$AA$41)&lt;PolicyEff),1,Milestones!$AC$41)&amp;";  ","")&amp;IF(AND(EDATE($D67,Milestones!$AA$42)&lt;=AsOfDate,EDATE($D67,Milestones!$AA$42)&gt;=SchemeStart,IF($X67=0,$AD67,IF(AND($Z67&lt;&gt;"",EDATE($D67,Milestones!$AA$42)&gt;=$Z67),$AC67,IF(AND($Y67&lt;&gt;"",EDATE($D67,Milestones!$AA$42)&gt;=$Y67),$AB67,$AA67)))=Milestones!$AB$42),UPPER(TEXT(EDATE($D67,Milestones!$AA$42),"dd mmm yy"))&amp;" "&amp;Milestones!$AB$42&amp;" "&amp;IF(AND(Milestones!$AB$42="FT",Milestones!$AA$42=FT_Y5,EDATE($D67,Milestones!$AA$42)&lt;PolicyEff),1,Milestones!$AC$42)&amp;";  ","")&amp;IF(AND(EDATE($D67,Milestones!$AA$43)&lt;=AsOfDate,EDATE($D67,Milestones!$AA$43)&gt;=SchemeStart,IF($X67=0,$AD67,IF(AND($Z67&lt;&gt;"",EDATE($D67,Milestones!$AA$43)&gt;=$Z67),$AC67,IF(AND($Y67&lt;&gt;"",EDATE($D67,Milestones!$AA$43)&gt;=$Y67),$AB67,$AA67)))=Milestones!$AB$43),UPPER(TEXT(EDATE($D67,Milestones!$AA$43),"dd mmm yy"))&amp;" "&amp;Milestones!$AB$43&amp;" "&amp;IF(AND(Milestones!$AB$43="FT",Milestones!$AA$43=FT_Y5,EDATE($D67,Milestones!$AA$43)&lt;PolicyEff),1,Milestones!$AC$43)&amp;";  ",""))</f>
        <v/>
      </c>
      <c r="K67" s="0" t="str">
        <f aca="false">IF(OR($A67="",$D67=""),"",IF(AND(EDATE($D67,Milestones!$AA$44)&lt;=AsOfDate,EDATE($D67,Milestones!$AA$44)&gt;=SchemeStart,IF($X67=0,$AD67,IF(AND($Z67&lt;&gt;"",EDATE($D67,Milestones!$AA$44)&gt;=$Z67),$AC67,IF(AND($Y67&lt;&gt;"",EDATE($D67,Milestones!$AA$44)&gt;=$Y67),$AB67,$AA67)))=Milestones!$AB$44),UPPER(TEXT(EDATE($D67,Milestones!$AA$44),"dd mmm yy"))&amp;" "&amp;Milestones!$AB$44&amp;" "&amp;IF(AND(Milestones!$AB$44="FT",Milestones!$AA$44=FT_Y5,EDATE($D67,Milestones!$AA$44)&lt;PolicyEff),1,Milestones!$AC$44)&amp;";  ","")&amp;IF(AND(EDATE($D67,Milestones!$AA$45)&lt;=AsOfDate,EDATE($D67,Milestones!$AA$45)&gt;=SchemeStart,IF($X67=0,$AD67,IF(AND($Z67&lt;&gt;"",EDATE($D67,Milestones!$AA$45)&gt;=$Z67),$AC67,IF(AND($Y67&lt;&gt;"",EDATE($D67,Milestones!$AA$45)&gt;=$Y67),$AB67,$AA67)))=Milestones!$AB$45),UPPER(TEXT(EDATE($D67,Milestones!$AA$45),"dd mmm yy"))&amp;" "&amp;Milestones!$AB$45&amp;" "&amp;IF(AND(Milestones!$AB$45="FT",Milestones!$AA$45=FT_Y5,EDATE($D67,Milestones!$AA$45)&lt;PolicyEff),1,Milestones!$AC$45)&amp;";  ","")&amp;IF(AND(EDATE($D67,Milestones!$AA$46)&lt;=AsOfDate,EDATE($D67,Milestones!$AA$46)&gt;=SchemeStart,IF($X67=0,$AD67,IF(AND($Z67&lt;&gt;"",EDATE($D67,Milestones!$AA$46)&gt;=$Z67),$AC67,IF(AND($Y67&lt;&gt;"",EDATE($D67,Milestones!$AA$46)&gt;=$Y67),$AB67,$AA67)))=Milestones!$AB$46),UPPER(TEXT(EDATE($D67,Milestones!$AA$46),"dd mmm yy"))&amp;" "&amp;Milestones!$AB$46&amp;" "&amp;IF(AND(Milestones!$AB$46="FT",Milestones!$AA$46=FT_Y5,EDATE($D67,Milestones!$AA$46)&lt;PolicyEff),1,Milestones!$AC$46)&amp;";  ","")&amp;IF(AND(EDATE($D67,Milestones!$AA$47)&lt;=AsOfDate,EDATE($D67,Milestones!$AA$47)&gt;=SchemeStart,IF($X67=0,$AD67,IF(AND($Z67&lt;&gt;"",EDATE($D67,Milestones!$AA$47)&gt;=$Z67),$AC67,IF(AND($Y67&lt;&gt;"",EDATE($D67,Milestones!$AA$47)&gt;=$Y67),$AB67,$AA67)))=Milestones!$AB$47),UPPER(TEXT(EDATE($D67,Milestones!$AA$47),"dd mmm yy"))&amp;" "&amp;Milestones!$AB$47&amp;" "&amp;IF(AND(Milestones!$AB$47="FT",Milestones!$AA$47=FT_Y5,EDATE($D67,Milestones!$AA$47)&lt;PolicyEff),1,Milestones!$AC$47)&amp;";  ","")&amp;IF(AND(EDATE($D67,Milestones!$AA$48)&lt;=AsOfDate,EDATE($D67,Milestones!$AA$48)&gt;=SchemeStart,IF($X67=0,$AD67,IF(AND($Z67&lt;&gt;"",EDATE($D67,Milestones!$AA$48)&gt;=$Z67),$AC67,IF(AND($Y67&lt;&gt;"",EDATE($D67,Milestones!$AA$48)&gt;=$Y67),$AB67,$AA67)))=Milestones!$AB$48),UPPER(TEXT(EDATE($D67,Milestones!$AA$48),"dd mmm yy"))&amp;" "&amp;Milestones!$AB$48&amp;" "&amp;IF(AND(Milestones!$AB$48="FT",Milestones!$AA$48=FT_Y5,EDATE($D67,Milestones!$AA$48)&lt;PolicyEff),1,Milestones!$AC$48)&amp;";  ","")&amp;IF(AND(EDATE($D67,Milestones!$AA$49)&lt;=AsOfDate,EDATE($D67,Milestones!$AA$49)&gt;=SchemeStart,IF($X67=0,$AD67,IF(AND($Z67&lt;&gt;"",EDATE($D67,Milestones!$AA$49)&gt;=$Z67),$AC67,IF(AND($Y67&lt;&gt;"",EDATE($D67,Milestones!$AA$49)&gt;=$Y67),$AB67,$AA67)))=Milestones!$AB$49),UPPER(TEXT(EDATE($D67,Milestones!$AA$49),"dd mmm yy"))&amp;" "&amp;Milestones!$AB$49&amp;" "&amp;IF(AND(Milestones!$AB$49="FT",Milestones!$AA$49=FT_Y5,EDATE($D67,Milestones!$AA$49)&lt;PolicyEff),1,Milestones!$AC$49)&amp;";  ","")&amp;IF(AND(EDATE($D67,Milestones!$AA$50)&lt;=AsOfDate,EDATE($D67,Milestones!$AA$50)&gt;=SchemeStart,IF($X67=0,$AD67,IF(AND($Z67&lt;&gt;"",EDATE($D67,Milestones!$AA$50)&gt;=$Z67),$AC67,IF(AND($Y67&lt;&gt;"",EDATE($D67,Milestones!$AA$50)&gt;=$Y67),$AB67,$AA67)))=Milestones!$AB$50),UPPER(TEXT(EDATE($D67,Milestones!$AA$50),"dd mmm yy"))&amp;" "&amp;Milestones!$AB$50&amp;" "&amp;IF(AND(Milestones!$AB$50="FT",Milestones!$AA$50=FT_Y5,EDATE($D67,Milestones!$AA$50)&lt;PolicyEff),1,Milestones!$AC$50)&amp;";  ","")&amp;IF(AND(EDATE($D67,Milestones!$AA$51)&lt;=AsOfDate,EDATE($D67,Milestones!$AA$51)&gt;=SchemeStart,IF($X67=0,$AD67,IF(AND($Z67&lt;&gt;"",EDATE($D67,Milestones!$AA$51)&gt;=$Z67),$AC67,IF(AND($Y67&lt;&gt;"",EDATE($D67,Milestones!$AA$51)&gt;=$Y67),$AB67,$AA67)))=Milestones!$AB$51),UPPER(TEXT(EDATE($D67,Milestones!$AA$51),"dd mmm yy"))&amp;" "&amp;Milestones!$AB$51&amp;" "&amp;IF(AND(Milestones!$AB$51="FT",Milestones!$AA$51=FT_Y5,EDATE($D67,Milestones!$AA$51)&lt;PolicyEff),1,Milestones!$AC$51)&amp;";  ","")&amp;IF(AND(EDATE($D67,Milestones!$AA$52)&lt;=AsOfDate,EDATE($D67,Milestones!$AA$52)&gt;=SchemeStart,IF($X67=0,$AD67,IF(AND($Z67&lt;&gt;"",EDATE($D67,Milestones!$AA$52)&gt;=$Z67),$AC67,IF(AND($Y67&lt;&gt;"",EDATE($D67,Milestones!$AA$52)&gt;=$Y67),$AB67,$AA67)))=Milestones!$AB$52),UPPER(TEXT(EDATE($D67,Milestones!$AA$52),"dd mmm yy"))&amp;" "&amp;Milestones!$AB$52&amp;" "&amp;IF(AND(Milestones!$AB$52="FT",Milestones!$AA$52=FT_Y5,EDATE($D67,Milestones!$AA$52)&lt;PolicyEff),1,Milestones!$AC$52)&amp;";  ","")&amp;IF(AND(EDATE($D67,Milestones!$AA$53)&lt;=AsOfDate,EDATE($D67,Milestones!$AA$53)&gt;=SchemeStart,IF($X67=0,$AD67,IF(AND($Z67&lt;&gt;"",EDATE($D67,Milestones!$AA$53)&gt;=$Z67),$AC67,IF(AND($Y67&lt;&gt;"",EDATE($D67,Milestones!$AA$53)&gt;=$Y67),$AB67,$AA67)))=Milestones!$AB$53),UPPER(TEXT(EDATE($D67,Milestones!$AA$53),"dd mmm yy"))&amp;" "&amp;Milestones!$AB$53&amp;" "&amp;IF(AND(Milestones!$AB$53="FT",Milestones!$AA$53=FT_Y5,EDATE($D67,Milestones!$AA$53)&lt;PolicyEff),1,Milestones!$AC$53)&amp;";  ","")&amp;IF(AND(EDATE($D67,Milestones!$AA$54)&lt;=AsOfDate,EDATE($D67,Milestones!$AA$54)&gt;=SchemeStart,IF($X67=0,$AD67,IF(AND($Z67&lt;&gt;"",EDATE($D67,Milestones!$AA$54)&gt;=$Z67),$AC67,IF(AND($Y67&lt;&gt;"",EDATE($D67,Milestones!$AA$54)&gt;=$Y67),$AB67,$AA67)))=Milestones!$AB$54),UPPER(TEXT(EDATE($D67,Milestones!$AA$54),"dd mmm yy"))&amp;" "&amp;Milestones!$AB$54&amp;" "&amp;IF(AND(Milestones!$AB$54="FT",Milestones!$AA$54=FT_Y5,EDATE($D67,Milestones!$AA$54)&lt;PolicyEff),1,Milestones!$AC$54)&amp;";  ","")&amp;IF(AND(EDATE($D67,Milestones!$AA$55)&lt;=AsOfDate,EDATE($D67,Milestones!$AA$55)&gt;=SchemeStart,IF($X67=0,$AD67,IF(AND($Z67&lt;&gt;"",EDATE($D67,Milestones!$AA$55)&gt;=$Z67),$AC67,IF(AND($Y67&lt;&gt;"",EDATE($D67,Milestones!$AA$55)&gt;=$Y67),$AB67,$AA67)))=Milestones!$AB$55),UPPER(TEXT(EDATE($D67,Milestones!$AA$55),"dd mmm yy"))&amp;" "&amp;Milestones!$AB$55&amp;" "&amp;IF(AND(Milestones!$AB$55="FT",Milestones!$AA$55=FT_Y5,EDATE($D67,Milestones!$AA$55)&lt;PolicyEff),1,Milestones!$AC$55)&amp;";  ",""))</f>
        <v/>
      </c>
      <c r="L67" s="0" t="str">
        <f aca="false">IF(OR($A67="",$D67=""),"",IF(AND(EDATE($D67,Milestones!$AA$56)&lt;=AsOfDate,EDATE($D67,Milestones!$AA$56)&gt;=SchemeStart,IF($X67=0,$AD67,IF(AND($Z67&lt;&gt;"",EDATE($D67,Milestones!$AA$56)&gt;=$Z67),$AC67,IF(AND($Y67&lt;&gt;"",EDATE($D67,Milestones!$AA$56)&gt;=$Y67),$AB67,$AA67)))=Milestones!$AB$56),UPPER(TEXT(EDATE($D67,Milestones!$AA$56),"dd mmm yy"))&amp;" "&amp;Milestones!$AB$56&amp;" "&amp;IF(AND(Milestones!$AB$56="FT",Milestones!$AA$56=FT_Y5,EDATE($D67,Milestones!$AA$56)&lt;PolicyEff),1,Milestones!$AC$56)&amp;";  ","")&amp;IF(AND(EDATE($D67,Milestones!$AA$57)&lt;=AsOfDate,EDATE($D67,Milestones!$AA$57)&gt;=SchemeStart,IF($X67=0,$AD67,IF(AND($Z67&lt;&gt;"",EDATE($D67,Milestones!$AA$57)&gt;=$Z67),$AC67,IF(AND($Y67&lt;&gt;"",EDATE($D67,Milestones!$AA$57)&gt;=$Y67),$AB67,$AA67)))=Milestones!$AB$57),UPPER(TEXT(EDATE($D67,Milestones!$AA$57),"dd mmm yy"))&amp;" "&amp;Milestones!$AB$57&amp;" "&amp;IF(AND(Milestones!$AB$57="FT",Milestones!$AA$57=FT_Y5,EDATE($D67,Milestones!$AA$57)&lt;PolicyEff),1,Milestones!$AC$57)&amp;";  ","")&amp;IF(AND(EDATE($D67,Milestones!$AA$58)&lt;=AsOfDate,EDATE($D67,Milestones!$AA$58)&gt;=SchemeStart,IF($X67=0,$AD67,IF(AND($Z67&lt;&gt;"",EDATE($D67,Milestones!$AA$58)&gt;=$Z67),$AC67,IF(AND($Y67&lt;&gt;"",EDATE($D67,Milestones!$AA$58)&gt;=$Y67),$AB67,$AA67)))=Milestones!$AB$58),UPPER(TEXT(EDATE($D67,Milestones!$AA$58),"dd mmm yy"))&amp;" "&amp;Milestones!$AB$58&amp;" "&amp;IF(AND(Milestones!$AB$58="FT",Milestones!$AA$58=FT_Y5,EDATE($D67,Milestones!$AA$58)&lt;PolicyEff),1,Milestones!$AC$58)&amp;";  ","")&amp;IF(AND(EDATE($D67,Milestones!$AA$59)&lt;=AsOfDate,EDATE($D67,Milestones!$AA$59)&gt;=SchemeStart,IF($X67=0,$AD67,IF(AND($Z67&lt;&gt;"",EDATE($D67,Milestones!$AA$59)&gt;=$Z67),$AC67,IF(AND($Y67&lt;&gt;"",EDATE($D67,Milestones!$AA$59)&gt;=$Y67),$AB67,$AA67)))=Milestones!$AB$59),UPPER(TEXT(EDATE($D67,Milestones!$AA$59),"dd mmm yy"))&amp;" "&amp;Milestones!$AB$59&amp;" "&amp;IF(AND(Milestones!$AB$59="FT",Milestones!$AA$59=FT_Y5,EDATE($D67,Milestones!$AA$59)&lt;PolicyEff),1,Milestones!$AC$59)&amp;";  ","")&amp;IF(AND(EDATE($D67,Milestones!$AA$60)&lt;=AsOfDate,EDATE($D67,Milestones!$AA$60)&gt;=SchemeStart,IF($X67=0,$AD67,IF(AND($Z67&lt;&gt;"",EDATE($D67,Milestones!$AA$60)&gt;=$Z67),$AC67,IF(AND($Y67&lt;&gt;"",EDATE($D67,Milestones!$AA$60)&gt;=$Y67),$AB67,$AA67)))=Milestones!$AB$60),UPPER(TEXT(EDATE($D67,Milestones!$AA$60),"dd mmm yy"))&amp;" "&amp;Milestones!$AB$60&amp;" "&amp;IF(AND(Milestones!$AB$60="FT",Milestones!$AA$60=FT_Y5,EDATE($D67,Milestones!$AA$60)&lt;PolicyEff),1,Milestones!$AC$60)&amp;";  ","")&amp;IF(AND(EDATE($D67,Milestones!$AA$61)&lt;=AsOfDate,EDATE($D67,Milestones!$AA$61)&gt;=SchemeStart,IF($X67=0,$AD67,IF(AND($Z67&lt;&gt;"",EDATE($D67,Milestones!$AA$61)&gt;=$Z67),$AC67,IF(AND($Y67&lt;&gt;"",EDATE($D67,Milestones!$AA$61)&gt;=$Y67),$AB67,$AA67)))=Milestones!$AB$61),UPPER(TEXT(EDATE($D67,Milestones!$AA$61),"dd mmm yy"))&amp;" "&amp;Milestones!$AB$61&amp;" "&amp;IF(AND(Milestones!$AB$61="FT",Milestones!$AA$61=FT_Y5,EDATE($D67,Milestones!$AA$61)&lt;PolicyEff),1,Milestones!$AC$61)&amp;";  ","")&amp;IF(AND(EDATE($D67,Milestones!$AA$62)&lt;=AsOfDate,EDATE($D67,Milestones!$AA$62)&gt;=SchemeStart,IF($X67=0,$AD67,IF(AND($Z67&lt;&gt;"",EDATE($D67,Milestones!$AA$62)&gt;=$Z67),$AC67,IF(AND($Y67&lt;&gt;"",EDATE($D67,Milestones!$AA$62)&gt;=$Y67),$AB67,$AA67)))=Milestones!$AB$62),UPPER(TEXT(EDATE($D67,Milestones!$AA$62),"dd mmm yy"))&amp;" "&amp;Milestones!$AB$62&amp;" "&amp;IF(AND(Milestones!$AB$62="FT",Milestones!$AA$62=FT_Y5,EDATE($D67,Milestones!$AA$62)&lt;PolicyEff),1,Milestones!$AC$62)&amp;";  ","")&amp;IF(AND(EDATE($D67,Milestones!$AA$63)&lt;=AsOfDate,EDATE($D67,Milestones!$AA$63)&gt;=SchemeStart,IF($X67=0,$AD67,IF(AND($Z67&lt;&gt;"",EDATE($D67,Milestones!$AA$63)&gt;=$Z67),$AC67,IF(AND($Y67&lt;&gt;"",EDATE($D67,Milestones!$AA$63)&gt;=$Y67),$AB67,$AA67)))=Milestones!$AB$63),UPPER(TEXT(EDATE($D67,Milestones!$AA$63),"dd mmm yy"))&amp;" "&amp;Milestones!$AB$63&amp;" "&amp;IF(AND(Milestones!$AB$63="FT",Milestones!$AA$63=FT_Y5,EDATE($D67,Milestones!$AA$63)&lt;PolicyEff),1,Milestones!$AC$63)&amp;";  ","")&amp;IF(AND(EDATE($D67,Milestones!$AA$64)&lt;=AsOfDate,EDATE($D67,Milestones!$AA$64)&gt;=SchemeStart,IF($X67=0,$AD67,IF(AND($Z67&lt;&gt;"",EDATE($D67,Milestones!$AA$64)&gt;=$Z67),$AC67,IF(AND($Y67&lt;&gt;"",EDATE($D67,Milestones!$AA$64)&gt;=$Y67),$AB67,$AA67)))=Milestones!$AB$64),UPPER(TEXT(EDATE($D67,Milestones!$AA$64),"dd mmm yy"))&amp;" "&amp;Milestones!$AB$64&amp;" "&amp;IF(AND(Milestones!$AB$64="FT",Milestones!$AA$64=FT_Y5,EDATE($D67,Milestones!$AA$64)&lt;PolicyEff),1,Milestones!$AC$64)&amp;";  ","")&amp;IF(AND(EDATE($D67,Milestones!$AA$65)&lt;=AsOfDate,EDATE($D67,Milestones!$AA$65)&gt;=SchemeStart,IF($X67=0,$AD67,IF(AND($Z67&lt;&gt;"",EDATE($D67,Milestones!$AA$65)&gt;=$Z67),$AC67,IF(AND($Y67&lt;&gt;"",EDATE($D67,Milestones!$AA$65)&gt;=$Y67),$AB67,$AA67)))=Milestones!$AB$65),UPPER(TEXT(EDATE($D67,Milestones!$AA$65),"dd mmm yy"))&amp;" "&amp;Milestones!$AB$65&amp;" "&amp;IF(AND(Milestones!$AB$65="FT",Milestones!$AA$65=FT_Y5,EDATE($D67,Milestones!$AA$65)&lt;PolicyEff),1,Milestones!$AC$65)&amp;";  ","")&amp;IF(AND(EDATE($D67,Milestones!$AA$66)&lt;=AsOfDate,EDATE($D67,Milestones!$AA$66)&gt;=SchemeStart,IF($X67=0,$AD67,IF(AND($Z67&lt;&gt;"",EDATE($D67,Milestones!$AA$66)&gt;=$Z67),$AC67,IF(AND($Y67&lt;&gt;"",EDATE($D67,Milestones!$AA$66)&gt;=$Y67),$AB67,$AA67)))=Milestones!$AB$66),UPPER(TEXT(EDATE($D67,Milestones!$AA$66),"dd mmm yy"))&amp;" "&amp;Milestones!$AB$66&amp;" "&amp;IF(AND(Milestones!$AB$66="FT",Milestones!$AA$66=FT_Y5,EDATE($D67,Milestones!$AA$66)&lt;PolicyEff),1,Milestones!$AC$66)&amp;";  ","")&amp;IF(AND(EDATE($D67,Milestones!$AA$67)&lt;=AsOfDate,EDATE($D67,Milestones!$AA$67)&gt;=SchemeStart,IF($X67=0,$AD67,IF(AND($Z67&lt;&gt;"",EDATE($D67,Milestones!$AA$67)&gt;=$Z67),$AC67,IF(AND($Y67&lt;&gt;"",EDATE($D67,Milestones!$AA$67)&gt;=$Y67),$AB67,$AA67)))=Milestones!$AB$67),UPPER(TEXT(EDATE($D67,Milestones!$AA$67),"dd mmm yy"))&amp;" "&amp;Milestones!$AB$67&amp;" "&amp;IF(AND(Milestones!$AB$67="FT",Milestones!$AA$67=FT_Y5,EDATE($D67,Milestones!$AA$67)&lt;PolicyEff),1,Milestones!$AC$67)&amp;";  ",""))</f>
        <v/>
      </c>
      <c r="M67" s="0" t="str">
        <f aca="false">IF(OR($A67="",$D67=""),"",IF(AND(EDATE($D67,Milestones!$AA$68)&lt;=AsOfDate,EDATE($D67,Milestones!$AA$68)&gt;=SchemeStart,IF($X67=0,$AD67,IF(AND($Z67&lt;&gt;"",EDATE($D67,Milestones!$AA$68)&gt;=$Z67),$AC67,IF(AND($Y67&lt;&gt;"",EDATE($D67,Milestones!$AA$68)&gt;=$Y67),$AB67,$AA67)))=Milestones!$AB$68),UPPER(TEXT(EDATE($D67,Milestones!$AA$68),"dd mmm yy"))&amp;" "&amp;Milestones!$AB$68&amp;" "&amp;IF(AND(Milestones!$AB$68="FT",Milestones!$AA$68=FT_Y5,EDATE($D67,Milestones!$AA$68)&lt;PolicyEff),1,Milestones!$AC$68)&amp;";  ","")&amp;IF(AND(EDATE($D67,Milestones!$AA$69)&lt;=AsOfDate,EDATE($D67,Milestones!$AA$69)&gt;=SchemeStart,IF($X67=0,$AD67,IF(AND($Z67&lt;&gt;"",EDATE($D67,Milestones!$AA$69)&gt;=$Z67),$AC67,IF(AND($Y67&lt;&gt;"",EDATE($D67,Milestones!$AA$69)&gt;=$Y67),$AB67,$AA67)))=Milestones!$AB$69),UPPER(TEXT(EDATE($D67,Milestones!$AA$69),"dd mmm yy"))&amp;" "&amp;Milestones!$AB$69&amp;" "&amp;IF(AND(Milestones!$AB$69="FT",Milestones!$AA$69=FT_Y5,EDATE($D67,Milestones!$AA$69)&lt;PolicyEff),1,Milestones!$AC$69)&amp;";  ","")&amp;IF(AND(EDATE($D67,Milestones!$AA$70)&lt;=AsOfDate,EDATE($D67,Milestones!$AA$70)&gt;=SchemeStart,IF($X67=0,$AD67,IF(AND($Z67&lt;&gt;"",EDATE($D67,Milestones!$AA$70)&gt;=$Z67),$AC67,IF(AND($Y67&lt;&gt;"",EDATE($D67,Milestones!$AA$70)&gt;=$Y67),$AB67,$AA67)))=Milestones!$AB$70),UPPER(TEXT(EDATE($D67,Milestones!$AA$70),"dd mmm yy"))&amp;" "&amp;Milestones!$AB$70&amp;" "&amp;IF(AND(Milestones!$AB$70="FT",Milestones!$AA$70=FT_Y5,EDATE($D67,Milestones!$AA$70)&lt;PolicyEff),1,Milestones!$AC$70)&amp;";  ","")&amp;IF(AND(EDATE($D67,Milestones!$AA$71)&lt;=AsOfDate,EDATE($D67,Milestones!$AA$71)&gt;=SchemeStart,IF($X67=0,$AD67,IF(AND($Z67&lt;&gt;"",EDATE($D67,Milestones!$AA$71)&gt;=$Z67),$AC67,IF(AND($Y67&lt;&gt;"",EDATE($D67,Milestones!$AA$71)&gt;=$Y67),$AB67,$AA67)))=Milestones!$AB$71),UPPER(TEXT(EDATE($D67,Milestones!$AA$71),"dd mmm yy"))&amp;" "&amp;Milestones!$AB$71&amp;" "&amp;IF(AND(Milestones!$AB$71="FT",Milestones!$AA$71=FT_Y5,EDATE($D67,Milestones!$AA$71)&lt;PolicyEff),1,Milestones!$AC$71)&amp;";  ","")&amp;IF(AND(EDATE($D67,Milestones!$AA$72)&lt;=AsOfDate,EDATE($D67,Milestones!$AA$72)&gt;=SchemeStart,IF($X67=0,$AD67,IF(AND($Z67&lt;&gt;"",EDATE($D67,Milestones!$AA$72)&gt;=$Z67),$AC67,IF(AND($Y67&lt;&gt;"",EDATE($D67,Milestones!$AA$72)&gt;=$Y67),$AB67,$AA67)))=Milestones!$AB$72),UPPER(TEXT(EDATE($D67,Milestones!$AA$72),"dd mmm yy"))&amp;" "&amp;Milestones!$AB$72&amp;" "&amp;IF(AND(Milestones!$AB$72="FT",Milestones!$AA$72=FT_Y5,EDATE($D67,Milestones!$AA$72)&lt;PolicyEff),1,Milestones!$AC$72)&amp;";  ","")&amp;IF(AND(EDATE($D67,Milestones!$AA$73)&lt;=AsOfDate,EDATE($D67,Milestones!$AA$73)&gt;=SchemeStart,IF($X67=0,$AD67,IF(AND($Z67&lt;&gt;"",EDATE($D67,Milestones!$AA$73)&gt;=$Z67),$AC67,IF(AND($Y67&lt;&gt;"",EDATE($D67,Milestones!$AA$73)&gt;=$Y67),$AB67,$AA67)))=Milestones!$AB$73),UPPER(TEXT(EDATE($D67,Milestones!$AA$73),"dd mmm yy"))&amp;" "&amp;Milestones!$AB$73&amp;" "&amp;IF(AND(Milestones!$AB$73="FT",Milestones!$AA$73=FT_Y5,EDATE($D67,Milestones!$AA$73)&lt;PolicyEff),1,Milestones!$AC$73)&amp;";  ","")&amp;IF(AND(EDATE($D67,Milestones!$AA$74)&lt;=AsOfDate,EDATE($D67,Milestones!$AA$74)&gt;=SchemeStart,IF($X67=0,$AD67,IF(AND($Z67&lt;&gt;"",EDATE($D67,Milestones!$AA$74)&gt;=$Z67),$AC67,IF(AND($Y67&lt;&gt;"",EDATE($D67,Milestones!$AA$74)&gt;=$Y67),$AB67,$AA67)))=Milestones!$AB$74),UPPER(TEXT(EDATE($D67,Milestones!$AA$74),"dd mmm yy"))&amp;" "&amp;Milestones!$AB$74&amp;" "&amp;IF(AND(Milestones!$AB$74="FT",Milestones!$AA$74=FT_Y5,EDATE($D67,Milestones!$AA$74)&lt;PolicyEff),1,Milestones!$AC$74)&amp;";  ","")&amp;IF(AND(EDATE($D67,Milestones!$AA$75)&lt;=AsOfDate,EDATE($D67,Milestones!$AA$75)&gt;=SchemeStart,IF($X67=0,$AD67,IF(AND($Z67&lt;&gt;"",EDATE($D67,Milestones!$AA$75)&gt;=$Z67),$AC67,IF(AND($Y67&lt;&gt;"",EDATE($D67,Milestones!$AA$75)&gt;=$Y67),$AB67,$AA67)))=Milestones!$AB$75),UPPER(TEXT(EDATE($D67,Milestones!$AA$75),"dd mmm yy"))&amp;" "&amp;Milestones!$AB$75&amp;" "&amp;IF(AND(Milestones!$AB$75="FT",Milestones!$AA$75=FT_Y5,EDATE($D67,Milestones!$AA$75)&lt;PolicyEff),1,Milestones!$AC$75)&amp;";  ","")&amp;IF(AND(EDATE($D67,Milestones!$AA$76)&lt;=AsOfDate,EDATE($D67,Milestones!$AA$76)&gt;=SchemeStart,IF($X67=0,$AD67,IF(AND($Z67&lt;&gt;"",EDATE($D67,Milestones!$AA$76)&gt;=$Z67),$AC67,IF(AND($Y67&lt;&gt;"",EDATE($D67,Milestones!$AA$76)&gt;=$Y67),$AB67,$AA67)))=Milestones!$AB$76),UPPER(TEXT(EDATE($D67,Milestones!$AA$76),"dd mmm yy"))&amp;" "&amp;Milestones!$AB$76&amp;" "&amp;IF(AND(Milestones!$AB$76="FT",Milestones!$AA$76=FT_Y5,EDATE($D67,Milestones!$AA$76)&lt;PolicyEff),1,Milestones!$AC$76)&amp;";  ","")&amp;IF(AND(EDATE($D67,Milestones!$AA$77)&lt;=AsOfDate,EDATE($D67,Milestones!$AA$77)&gt;=SchemeStart,IF($X67=0,$AD67,IF(AND($Z67&lt;&gt;"",EDATE($D67,Milestones!$AA$77)&gt;=$Z67),$AC67,IF(AND($Y67&lt;&gt;"",EDATE($D67,Milestones!$AA$77)&gt;=$Y67),$AB67,$AA67)))=Milestones!$AB$77),UPPER(TEXT(EDATE($D67,Milestones!$AA$77),"dd mmm yy"))&amp;" "&amp;Milestones!$AB$77&amp;" "&amp;IF(AND(Milestones!$AB$77="FT",Milestones!$AA$77=FT_Y5,EDATE($D67,Milestones!$AA$77)&lt;PolicyEff),1,Milestones!$AC$77)&amp;";  ","")&amp;IF(AND(EDATE($D67,Milestones!$AA$78)&lt;=AsOfDate,EDATE($D67,Milestones!$AA$78)&gt;=SchemeStart,IF($X67=0,$AD67,IF(AND($Z67&lt;&gt;"",EDATE($D67,Milestones!$AA$78)&gt;=$Z67),$AC67,IF(AND($Y67&lt;&gt;"",EDATE($D67,Milestones!$AA$78)&gt;=$Y67),$AB67,$AA67)))=Milestones!$AB$78),UPPER(TEXT(EDATE($D67,Milestones!$AA$78),"dd mmm yy"))&amp;" "&amp;Milestones!$AB$78&amp;" "&amp;IF(AND(Milestones!$AB$78="FT",Milestones!$AA$78=FT_Y5,EDATE($D67,Milestones!$AA$78)&lt;PolicyEff),1,Milestones!$AC$78)&amp;";  ","")&amp;IF(AND(EDATE($D67,Milestones!$AA$79)&lt;=AsOfDate,EDATE($D67,Milestones!$AA$79)&gt;=SchemeStart,IF($X67=0,$AD67,IF(AND($Z67&lt;&gt;"",EDATE($D67,Milestones!$AA$79)&gt;=$Z67),$AC67,IF(AND($Y67&lt;&gt;"",EDATE($D67,Milestones!$AA$79)&gt;=$Y67),$AB67,$AA67)))=Milestones!$AB$79),UPPER(TEXT(EDATE($D67,Milestones!$AA$79),"dd mmm yy"))&amp;" "&amp;Milestones!$AB$79&amp;" "&amp;IF(AND(Milestones!$AB$79="FT",Milestones!$AA$79=FT_Y5,EDATE($D67,Milestones!$AA$79)&lt;PolicyEff),1,Milestones!$AC$79)&amp;";  ",""))</f>
        <v/>
      </c>
      <c r="N67" s="0" t="str">
        <f aca="false">IF(OR($A67="",$D67=""),"",IF(AND(EDATE($D67,Milestones!$AA$80)&lt;=AsOfDate,EDATE($D67,Milestones!$AA$80)&gt;=SchemeStart,IF($X67=0,$AD67,IF(AND($Z67&lt;&gt;"",EDATE($D67,Milestones!$AA$80)&gt;=$Z67),$AC67,IF(AND($Y67&lt;&gt;"",EDATE($D67,Milestones!$AA$80)&gt;=$Y67),$AB67,$AA67)))=Milestones!$AB$80),UPPER(TEXT(EDATE($D67,Milestones!$AA$80),"dd mmm yy"))&amp;" "&amp;Milestones!$AB$80&amp;" "&amp;IF(AND(Milestones!$AB$80="FT",Milestones!$AA$80=FT_Y5,EDATE($D67,Milestones!$AA$80)&lt;PolicyEff),1,Milestones!$AC$80)&amp;";  ","")&amp;IF(AND(EDATE($D67,Milestones!$AA$81)&lt;=AsOfDate,EDATE($D67,Milestones!$AA$81)&gt;=SchemeStart,IF($X67=0,$AD67,IF(AND($Z67&lt;&gt;"",EDATE($D67,Milestones!$AA$81)&gt;=$Z67),$AC67,IF(AND($Y67&lt;&gt;"",EDATE($D67,Milestones!$AA$81)&gt;=$Y67),$AB67,$AA67)))=Milestones!$AB$81),UPPER(TEXT(EDATE($D67,Milestones!$AA$81),"dd mmm yy"))&amp;" "&amp;Milestones!$AB$81&amp;" "&amp;IF(AND(Milestones!$AB$81="FT",Milestones!$AA$81=FT_Y5,EDATE($D67,Milestones!$AA$81)&lt;PolicyEff),1,Milestones!$AC$81)&amp;";  ","")&amp;IF(AND(EDATE($D67,Milestones!$AA$82)&lt;=AsOfDate,EDATE($D67,Milestones!$AA$82)&gt;=SchemeStart,IF($X67=0,$AD67,IF(AND($Z67&lt;&gt;"",EDATE($D67,Milestones!$AA$82)&gt;=$Z67),$AC67,IF(AND($Y67&lt;&gt;"",EDATE($D67,Milestones!$AA$82)&gt;=$Y67),$AB67,$AA67)))=Milestones!$AB$82),UPPER(TEXT(EDATE($D67,Milestones!$AA$82),"dd mmm yy"))&amp;" "&amp;Milestones!$AB$82&amp;" "&amp;IF(AND(Milestones!$AB$82="FT",Milestones!$AA$82=FT_Y5,EDATE($D67,Milestones!$AA$82)&lt;PolicyEff),1,Milestones!$AC$82)&amp;";  ","")&amp;IF(AND(EDATE($D67,Milestones!$AA$83)&lt;=AsOfDate,EDATE($D67,Milestones!$AA$83)&gt;=SchemeStart,IF($X67=0,$AD67,IF(AND($Z67&lt;&gt;"",EDATE($D67,Milestones!$AA$83)&gt;=$Z67),$AC67,IF(AND($Y67&lt;&gt;"",EDATE($D67,Milestones!$AA$83)&gt;=$Y67),$AB67,$AA67)))=Milestones!$AB$83),UPPER(TEXT(EDATE($D67,Milestones!$AA$83),"dd mmm yy"))&amp;" "&amp;Milestones!$AB$83&amp;" "&amp;IF(AND(Milestones!$AB$83="FT",Milestones!$AA$83=FT_Y5,EDATE($D67,Milestones!$AA$83)&lt;PolicyEff),1,Milestones!$AC$83)&amp;";  ","")&amp;IF(AND(EDATE($D67,Milestones!$AA$84)&lt;=AsOfDate,EDATE($D67,Milestones!$AA$84)&gt;=SchemeStart,IF($X67=0,$AD67,IF(AND($Z67&lt;&gt;"",EDATE($D67,Milestones!$AA$84)&gt;=$Z67),$AC67,IF(AND($Y67&lt;&gt;"",EDATE($D67,Milestones!$AA$84)&gt;=$Y67),$AB67,$AA67)))=Milestones!$AB$84),UPPER(TEXT(EDATE($D67,Milestones!$AA$84),"dd mmm yy"))&amp;" "&amp;Milestones!$AB$84&amp;" "&amp;IF(AND(Milestones!$AB$84="FT",Milestones!$AA$84=FT_Y5,EDATE($D67,Milestones!$AA$84)&lt;PolicyEff),1,Milestones!$AC$84)&amp;";  ","")&amp;IF(AND(EDATE($D67,Milestones!$AA$85)&lt;=AsOfDate,EDATE($D67,Milestones!$AA$85)&gt;=SchemeStart,IF($X67=0,$AD67,IF(AND($Z67&lt;&gt;"",EDATE($D67,Milestones!$AA$85)&gt;=$Z67),$AC67,IF(AND($Y67&lt;&gt;"",EDATE($D67,Milestones!$AA$85)&gt;=$Y67),$AB67,$AA67)))=Milestones!$AB$85),UPPER(TEXT(EDATE($D67,Milestones!$AA$85),"dd mmm yy"))&amp;" "&amp;Milestones!$AB$85&amp;" "&amp;IF(AND(Milestones!$AB$85="FT",Milestones!$AA$85=FT_Y5,EDATE($D67,Milestones!$AA$85)&lt;PolicyEff),1,Milestones!$AC$85)&amp;";  ","")&amp;IF(AND(EDATE($D67,Milestones!$AA$86)&lt;=AsOfDate,EDATE($D67,Milestones!$AA$86)&gt;=SchemeStart,IF($X67=0,$AD67,IF(AND($Z67&lt;&gt;"",EDATE($D67,Milestones!$AA$86)&gt;=$Z67),$AC67,IF(AND($Y67&lt;&gt;"",EDATE($D67,Milestones!$AA$86)&gt;=$Y67),$AB67,$AA67)))=Milestones!$AB$86),UPPER(TEXT(EDATE($D67,Milestones!$AA$86),"dd mmm yy"))&amp;" "&amp;Milestones!$AB$86&amp;" "&amp;IF(AND(Milestones!$AB$86="FT",Milestones!$AA$86=FT_Y5,EDATE($D67,Milestones!$AA$86)&lt;PolicyEff),1,Milestones!$AC$86)&amp;";  ","")&amp;IF(AND(EDATE($D67,Milestones!$AA$87)&lt;=AsOfDate,EDATE($D67,Milestones!$AA$87)&gt;=SchemeStart,IF($X67=0,$AD67,IF(AND($Z67&lt;&gt;"",EDATE($D67,Milestones!$AA$87)&gt;=$Z67),$AC67,IF(AND($Y67&lt;&gt;"",EDATE($D67,Milestones!$AA$87)&gt;=$Y67),$AB67,$AA67)))=Milestones!$AB$87),UPPER(TEXT(EDATE($D67,Milestones!$AA$87),"dd mmm yy"))&amp;" "&amp;Milestones!$AB$87&amp;" "&amp;IF(AND(Milestones!$AB$87="FT",Milestones!$AA$87=FT_Y5,EDATE($D67,Milestones!$AA$87)&lt;PolicyEff),1,Milestones!$AC$87)&amp;";  ","")&amp;IF(AND(EDATE($D67,Milestones!$AA$88)&lt;=AsOfDate,EDATE($D67,Milestones!$AA$88)&gt;=SchemeStart,IF($X67=0,$AD67,IF(AND($Z67&lt;&gt;"",EDATE($D67,Milestones!$AA$88)&gt;=$Z67),$AC67,IF(AND($Y67&lt;&gt;"",EDATE($D67,Milestones!$AA$88)&gt;=$Y67),$AB67,$AA67)))=Milestones!$AB$88),UPPER(TEXT(EDATE($D67,Milestones!$AA$88),"dd mmm yy"))&amp;" "&amp;Milestones!$AB$88&amp;" "&amp;IF(AND(Milestones!$AB$88="FT",Milestones!$AA$88=FT_Y5,EDATE($D67,Milestones!$AA$88)&lt;PolicyEff),1,Milestones!$AC$88)&amp;";  ","")&amp;IF(AND(EDATE($D67,Milestones!$AA$89)&lt;=AsOfDate,EDATE($D67,Milestones!$AA$89)&gt;=SchemeStart,IF($X67=0,$AD67,IF(AND($Z67&lt;&gt;"",EDATE($D67,Milestones!$AA$89)&gt;=$Z67),$AC67,IF(AND($Y67&lt;&gt;"",EDATE($D67,Milestones!$AA$89)&gt;=$Y67),$AB67,$AA67)))=Milestones!$AB$89),UPPER(TEXT(EDATE($D67,Milestones!$AA$89),"dd mmm yy"))&amp;" "&amp;Milestones!$AB$89&amp;" "&amp;IF(AND(Milestones!$AB$89="FT",Milestones!$AA$89=FT_Y5,EDATE($D67,Milestones!$AA$89)&lt;PolicyEff),1,Milestones!$AC$89)&amp;";  ","")&amp;IF(AND(EDATE($D67,Milestones!$AA$90)&lt;=AsOfDate,EDATE($D67,Milestones!$AA$90)&gt;=SchemeStart,IF($X67=0,$AD67,IF(AND($Z67&lt;&gt;"",EDATE($D67,Milestones!$AA$90)&gt;=$Z67),$AC67,IF(AND($Y67&lt;&gt;"",EDATE($D67,Milestones!$AA$90)&gt;=$Y67),$AB67,$AA67)))=Milestones!$AB$90),UPPER(TEXT(EDATE($D67,Milestones!$AA$90),"dd mmm yy"))&amp;" "&amp;Milestones!$AB$90&amp;" "&amp;IF(AND(Milestones!$AB$90="FT",Milestones!$AA$90=FT_Y5,EDATE($D67,Milestones!$AA$90)&lt;PolicyEff),1,Milestones!$AC$90)&amp;";  ","")&amp;IF(AND(EDATE($D67,Milestones!$AA$91)&lt;=AsOfDate,EDATE($D67,Milestones!$AA$91)&gt;=SchemeStart,IF($X67=0,$AD67,IF(AND($Z67&lt;&gt;"",EDATE($D67,Milestones!$AA$91)&gt;=$Z67),$AC67,IF(AND($Y67&lt;&gt;"",EDATE($D67,Milestones!$AA$91)&gt;=$Y67),$AB67,$AA67)))=Milestones!$AB$91),UPPER(TEXT(EDATE($D67,Milestones!$AA$91),"dd mmm yy"))&amp;" "&amp;Milestones!$AB$91&amp;" "&amp;IF(AND(Milestones!$AB$91="FT",Milestones!$AA$91=FT_Y5,EDATE($D67,Milestones!$AA$91)&lt;PolicyEff),1,Milestones!$AC$91)&amp;";  ",""))</f>
        <v/>
      </c>
      <c r="O67" s="0" t="str">
        <f aca="false">IF(OR($A67="",$D67=""),"",IF(AND(EDATE($D67,Milestones!$AA$92)&lt;=AsOfDate,EDATE($D67,Milestones!$AA$92)&gt;=SchemeStart,IF($X67=0,$AD67,IF(AND($Z67&lt;&gt;"",EDATE($D67,Milestones!$AA$92)&gt;=$Z67),$AC67,IF(AND($Y67&lt;&gt;"",EDATE($D67,Milestones!$AA$92)&gt;=$Y67),$AB67,$AA67)))=Milestones!$AB$92),UPPER(TEXT(EDATE($D67,Milestones!$AA$92),"dd mmm yy"))&amp;" "&amp;Milestones!$AB$92&amp;" "&amp;IF(AND(Milestones!$AB$92="FT",Milestones!$AA$92=FT_Y5,EDATE($D67,Milestones!$AA$92)&lt;PolicyEff),1,Milestones!$AC$92)&amp;";  ","")&amp;IF(AND(EDATE($D67,Milestones!$AA$93)&lt;=AsOfDate,EDATE($D67,Milestones!$AA$93)&gt;=SchemeStart,IF($X67=0,$AD67,IF(AND($Z67&lt;&gt;"",EDATE($D67,Milestones!$AA$93)&gt;=$Z67),$AC67,IF(AND($Y67&lt;&gt;"",EDATE($D67,Milestones!$AA$93)&gt;=$Y67),$AB67,$AA67)))=Milestones!$AB$93),UPPER(TEXT(EDATE($D67,Milestones!$AA$93),"dd mmm yy"))&amp;" "&amp;Milestones!$AB$93&amp;" "&amp;IF(AND(Milestones!$AB$93="FT",Milestones!$AA$93=FT_Y5,EDATE($D67,Milestones!$AA$93)&lt;PolicyEff),1,Milestones!$AC$93)&amp;";  ","")&amp;IF(AND(EDATE($D67,Milestones!$AA$94)&lt;=AsOfDate,EDATE($D67,Milestones!$AA$94)&gt;=SchemeStart,IF($X67=0,$AD67,IF(AND($Z67&lt;&gt;"",EDATE($D67,Milestones!$AA$94)&gt;=$Z67),$AC67,IF(AND($Y67&lt;&gt;"",EDATE($D67,Milestones!$AA$94)&gt;=$Y67),$AB67,$AA67)))=Milestones!$AB$94),UPPER(TEXT(EDATE($D67,Milestones!$AA$94),"dd mmm yy"))&amp;" "&amp;Milestones!$AB$94&amp;" "&amp;IF(AND(Milestones!$AB$94="FT",Milestones!$AA$94=FT_Y5,EDATE($D67,Milestones!$AA$94)&lt;PolicyEff),1,Milestones!$AC$94)&amp;";  ","")&amp;IF(AND(EDATE($D67,Milestones!$AA$95)&lt;=AsOfDate,EDATE($D67,Milestones!$AA$95)&gt;=SchemeStart,IF($X67=0,$AD67,IF(AND($Z67&lt;&gt;"",EDATE($D67,Milestones!$AA$95)&gt;=$Z67),$AC67,IF(AND($Y67&lt;&gt;"",EDATE($D67,Milestones!$AA$95)&gt;=$Y67),$AB67,$AA67)))=Milestones!$AB$95),UPPER(TEXT(EDATE($D67,Milestones!$AA$95),"dd mmm yy"))&amp;" "&amp;Milestones!$AB$95&amp;" "&amp;IF(AND(Milestones!$AB$95="FT",Milestones!$AA$95=FT_Y5,EDATE($D67,Milestones!$AA$95)&lt;PolicyEff),1,Milestones!$AC$95)&amp;";  ","")&amp;IF(AND(EDATE($D67,Milestones!$AA$96)&lt;=AsOfDate,EDATE($D67,Milestones!$AA$96)&gt;=SchemeStart,IF($X67=0,$AD67,IF(AND($Z67&lt;&gt;"",EDATE($D67,Milestones!$AA$96)&gt;=$Z67),$AC67,IF(AND($Y67&lt;&gt;"",EDATE($D67,Milestones!$AA$96)&gt;=$Y67),$AB67,$AA67)))=Milestones!$AB$96),UPPER(TEXT(EDATE($D67,Milestones!$AA$96),"dd mmm yy"))&amp;" "&amp;Milestones!$AB$96&amp;" "&amp;IF(AND(Milestones!$AB$96="FT",Milestones!$AA$96=FT_Y5,EDATE($D67,Milestones!$AA$96)&lt;PolicyEff),1,Milestones!$AC$96)&amp;";  ","")&amp;IF(AND(EDATE($D67,Milestones!$AA$97)&lt;=AsOfDate,EDATE($D67,Milestones!$AA$97)&gt;=SchemeStart,IF($X67=0,$AD67,IF(AND($Z67&lt;&gt;"",EDATE($D67,Milestones!$AA$97)&gt;=$Z67),$AC67,IF(AND($Y67&lt;&gt;"",EDATE($D67,Milestones!$AA$97)&gt;=$Y67),$AB67,$AA67)))=Milestones!$AB$97),UPPER(TEXT(EDATE($D67,Milestones!$AA$97),"dd mmm yy"))&amp;" "&amp;Milestones!$AB$97&amp;" "&amp;IF(AND(Milestones!$AB$97="FT",Milestones!$AA$97=FT_Y5,EDATE($D67,Milestones!$AA$97)&lt;PolicyEff),1,Milestones!$AC$97)&amp;";  ","")&amp;IF(AND(EDATE($D67,Milestones!$AA$98)&lt;=AsOfDate,EDATE($D67,Milestones!$AA$98)&gt;=SchemeStart,IF($X67=0,$AD67,IF(AND($Z67&lt;&gt;"",EDATE($D67,Milestones!$AA$98)&gt;=$Z67),$AC67,IF(AND($Y67&lt;&gt;"",EDATE($D67,Milestones!$AA$98)&gt;=$Y67),$AB67,$AA67)))=Milestones!$AB$98),UPPER(TEXT(EDATE($D67,Milestones!$AA$98),"dd mmm yy"))&amp;" "&amp;Milestones!$AB$98&amp;" "&amp;IF(AND(Milestones!$AB$98="FT",Milestones!$AA$98=FT_Y5,EDATE($D67,Milestones!$AA$98)&lt;PolicyEff),1,Milestones!$AC$98)&amp;";  ","")&amp;IF(AND(EDATE($D67,Milestones!$AA$99)&lt;=AsOfDate,EDATE($D67,Milestones!$AA$99)&gt;=SchemeStart,IF($X67=0,$AD67,IF(AND($Z67&lt;&gt;"",EDATE($D67,Milestones!$AA$99)&gt;=$Z67),$AC67,IF(AND($Y67&lt;&gt;"",EDATE($D67,Milestones!$AA$99)&gt;=$Y67),$AB67,$AA67)))=Milestones!$AB$99),UPPER(TEXT(EDATE($D67,Milestones!$AA$99),"dd mmm yy"))&amp;" "&amp;Milestones!$AB$99&amp;" "&amp;IF(AND(Milestones!$AB$99="FT",Milestones!$AA$99=FT_Y5,EDATE($D67,Milestones!$AA$99)&lt;PolicyEff),1,Milestones!$AC$99)&amp;";  ","")&amp;IF(AND(EDATE($D67,Milestones!$AA$100)&lt;=AsOfDate,EDATE($D67,Milestones!$AA$100)&gt;=SchemeStart,IF($X67=0,$AD67,IF(AND($Z67&lt;&gt;"",EDATE($D67,Milestones!$AA$100)&gt;=$Z67),$AC67,IF(AND($Y67&lt;&gt;"",EDATE($D67,Milestones!$AA$100)&gt;=$Y67),$AB67,$AA67)))=Milestones!$AB$100),UPPER(TEXT(EDATE($D67,Milestones!$AA$100),"dd mmm yy"))&amp;" "&amp;Milestones!$AB$100&amp;" "&amp;IF(AND(Milestones!$AB$100="FT",Milestones!$AA$100=FT_Y5,EDATE($D67,Milestones!$AA$100)&lt;PolicyEff),1,Milestones!$AC$100)&amp;";  ","")&amp;IF(AND(EDATE($D67,Milestones!$AA$101)&lt;=AsOfDate,EDATE($D67,Milestones!$AA$101)&gt;=SchemeStart,IF($X67=0,$AD67,IF(AND($Z67&lt;&gt;"",EDATE($D67,Milestones!$AA$101)&gt;=$Z67),$AC67,IF(AND($Y67&lt;&gt;"",EDATE($D67,Milestones!$AA$101)&gt;=$Y67),$AB67,$AA67)))=Milestones!$AB$101),UPPER(TEXT(EDATE($D67,Milestones!$AA$101),"dd mmm yy"))&amp;" "&amp;Milestones!$AB$101&amp;" "&amp;IF(AND(Milestones!$AB$101="FT",Milestones!$AA$101=FT_Y5,EDATE($D67,Milestones!$AA$101)&lt;PolicyEff),1,Milestones!$AC$101)&amp;";  ","")&amp;IF(AND(EDATE($D67,Milestones!$AA$102)&lt;=AsOfDate,EDATE($D67,Milestones!$AA$102)&gt;=SchemeStart,IF($X67=0,$AD67,IF(AND($Z67&lt;&gt;"",EDATE($D67,Milestones!$AA$102)&gt;=$Z67),$AC67,IF(AND($Y67&lt;&gt;"",EDATE($D67,Milestones!$AA$102)&gt;=$Y67),$AB67,$AA67)))=Milestones!$AB$102),UPPER(TEXT(EDATE($D67,Milestones!$AA$102),"dd mmm yy"))&amp;" "&amp;Milestones!$AB$102&amp;" "&amp;IF(AND(Milestones!$AB$102="FT",Milestones!$AA$102=FT_Y5,EDATE($D67,Milestones!$AA$102)&lt;PolicyEff),1,Milestones!$AC$102)&amp;";  ","")&amp;IF(AND(EDATE($D67,Milestones!$AA$103)&lt;=AsOfDate,EDATE($D67,Milestones!$AA$103)&gt;=SchemeStart,IF($X67=0,$AD67,IF(AND($Z67&lt;&gt;"",EDATE($D67,Milestones!$AA$103)&gt;=$Z67),$AC67,IF(AND($Y67&lt;&gt;"",EDATE($D67,Milestones!$AA$103)&gt;=$Y67),$AB67,$AA67)))=Milestones!$AB$103),UPPER(TEXT(EDATE($D67,Milestones!$AA$103),"dd mmm yy"))&amp;" "&amp;Milestones!$AB$103&amp;" "&amp;IF(AND(Milestones!$AB$103="FT",Milestones!$AA$103=FT_Y5,EDATE($D67,Milestones!$AA$103)&lt;PolicyEff),1,Milestones!$AC$103)&amp;";  ",""))</f>
        <v/>
      </c>
      <c r="P67" s="0" t="str">
        <f aca="false">IF(OR($A67="",$D67=""),"",IF(AND(EDATE($D67,Milestones!$AA$104)&lt;=AsOfDate,EDATE($D67,Milestones!$AA$104)&gt;=SchemeStart,IF($X67=0,$AD67,IF(AND($Z67&lt;&gt;"",EDATE($D67,Milestones!$AA$104)&gt;=$Z67),$AC67,IF(AND($Y67&lt;&gt;"",EDATE($D67,Milestones!$AA$104)&gt;=$Y67),$AB67,$AA67)))=Milestones!$AB$104),UPPER(TEXT(EDATE($D67,Milestones!$AA$104),"dd mmm yy"))&amp;" "&amp;Milestones!$AB$104&amp;" "&amp;IF(AND(Milestones!$AB$104="FT",Milestones!$AA$104=FT_Y5,EDATE($D67,Milestones!$AA$104)&lt;PolicyEff),1,Milestones!$AC$104)&amp;";  ","")&amp;IF(AND(EDATE($D67,Milestones!$AA$105)&lt;=AsOfDate,EDATE($D67,Milestones!$AA$105)&gt;=SchemeStart,IF($X67=0,$AD67,IF(AND($Z67&lt;&gt;"",EDATE($D67,Milestones!$AA$105)&gt;=$Z67),$AC67,IF(AND($Y67&lt;&gt;"",EDATE($D67,Milestones!$AA$105)&gt;=$Y67),$AB67,$AA67)))=Milestones!$AB$105),UPPER(TEXT(EDATE($D67,Milestones!$AA$105),"dd mmm yy"))&amp;" "&amp;Milestones!$AB$105&amp;" "&amp;IF(AND(Milestones!$AB$105="FT",Milestones!$AA$105=FT_Y5,EDATE($D67,Milestones!$AA$105)&lt;PolicyEff),1,Milestones!$AC$105)&amp;";  ","")&amp;IF(AND(EDATE($D67,Milestones!$AA$106)&lt;=AsOfDate,EDATE($D67,Milestones!$AA$106)&gt;=SchemeStart,IF($X67=0,$AD67,IF(AND($Z67&lt;&gt;"",EDATE($D67,Milestones!$AA$106)&gt;=$Z67),$AC67,IF(AND($Y67&lt;&gt;"",EDATE($D67,Milestones!$AA$106)&gt;=$Y67),$AB67,$AA67)))=Milestones!$AB$106),UPPER(TEXT(EDATE($D67,Milestones!$AA$106),"dd mmm yy"))&amp;" "&amp;Milestones!$AB$106&amp;" "&amp;IF(AND(Milestones!$AB$106="FT",Milestones!$AA$106=FT_Y5,EDATE($D67,Milestones!$AA$106)&lt;PolicyEff),1,Milestones!$AC$106)&amp;";  ","")&amp;IF(AND(EDATE($D67,Milestones!$AA$107)&lt;=AsOfDate,EDATE($D67,Milestones!$AA$107)&gt;=SchemeStart,IF($X67=0,$AD67,IF(AND($Z67&lt;&gt;"",EDATE($D67,Milestones!$AA$107)&gt;=$Z67),$AC67,IF(AND($Y67&lt;&gt;"",EDATE($D67,Milestones!$AA$107)&gt;=$Y67),$AB67,$AA67)))=Milestones!$AB$107),UPPER(TEXT(EDATE($D67,Milestones!$AA$107),"dd mmm yy"))&amp;" "&amp;Milestones!$AB$107&amp;" "&amp;IF(AND(Milestones!$AB$107="FT",Milestones!$AA$107=FT_Y5,EDATE($D67,Milestones!$AA$107)&lt;PolicyEff),1,Milestones!$AC$107)&amp;";  ","")&amp;IF(AND(EDATE($D67,Milestones!$AA$108)&lt;=AsOfDate,EDATE($D67,Milestones!$AA$108)&gt;=SchemeStart,IF($X67=0,$AD67,IF(AND($Z67&lt;&gt;"",EDATE($D67,Milestones!$AA$108)&gt;=$Z67),$AC67,IF(AND($Y67&lt;&gt;"",EDATE($D67,Milestones!$AA$108)&gt;=$Y67),$AB67,$AA67)))=Milestones!$AB$108),UPPER(TEXT(EDATE($D67,Milestones!$AA$108),"dd mmm yy"))&amp;" "&amp;Milestones!$AB$108&amp;" "&amp;IF(AND(Milestones!$AB$108="FT",Milestones!$AA$108=FT_Y5,EDATE($D67,Milestones!$AA$108)&lt;PolicyEff),1,Milestones!$AC$108)&amp;";  ","")&amp;IF(AND(EDATE($D67,Milestones!$AA$109)&lt;=AsOfDate,EDATE($D67,Milestones!$AA$109)&gt;=SchemeStart,IF($X67=0,$AD67,IF(AND($Z67&lt;&gt;"",EDATE($D67,Milestones!$AA$109)&gt;=$Z67),$AC67,IF(AND($Y67&lt;&gt;"",EDATE($D67,Milestones!$AA$109)&gt;=$Y67),$AB67,$AA67)))=Milestones!$AB$109),UPPER(TEXT(EDATE($D67,Milestones!$AA$109),"dd mmm yy"))&amp;" "&amp;Milestones!$AB$109&amp;" "&amp;IF(AND(Milestones!$AB$109="FT",Milestones!$AA$109=FT_Y5,EDATE($D67,Milestones!$AA$109)&lt;PolicyEff),1,Milestones!$AC$109)&amp;";  ","")&amp;IF(AND(EDATE($D67,Milestones!$AA$110)&lt;=AsOfDate,EDATE($D67,Milestones!$AA$110)&gt;=SchemeStart,IF($X67=0,$AD67,IF(AND($Z67&lt;&gt;"",EDATE($D67,Milestones!$AA$110)&gt;=$Z67),$AC67,IF(AND($Y67&lt;&gt;"",EDATE($D67,Milestones!$AA$110)&gt;=$Y67),$AB67,$AA67)))=Milestones!$AB$110),UPPER(TEXT(EDATE($D67,Milestones!$AA$110),"dd mmm yy"))&amp;" "&amp;Milestones!$AB$110&amp;" "&amp;IF(AND(Milestones!$AB$110="FT",Milestones!$AA$110=FT_Y5,EDATE($D67,Milestones!$AA$110)&lt;PolicyEff),1,Milestones!$AC$110)&amp;";  ","")&amp;IF(AND(EDATE($D67,Milestones!$AA$111)&lt;=AsOfDate,EDATE($D67,Milestones!$AA$111)&gt;=SchemeStart,IF($X67=0,$AD67,IF(AND($Z67&lt;&gt;"",EDATE($D67,Milestones!$AA$111)&gt;=$Z67),$AC67,IF(AND($Y67&lt;&gt;"",EDATE($D67,Milestones!$AA$111)&gt;=$Y67),$AB67,$AA67)))=Milestones!$AB$111),UPPER(TEXT(EDATE($D67,Milestones!$AA$111),"dd mmm yy"))&amp;" "&amp;Milestones!$AB$111&amp;" "&amp;IF(AND(Milestones!$AB$111="FT",Milestones!$AA$111=FT_Y5,EDATE($D67,Milestones!$AA$111)&lt;PolicyEff),1,Milestones!$AC$111)&amp;";  ","")&amp;IF(AND(EDATE($D67,Milestones!$AA$112)&lt;=AsOfDate,EDATE($D67,Milestones!$AA$112)&gt;=SchemeStart,IF($X67=0,$AD67,IF(AND($Z67&lt;&gt;"",EDATE($D67,Milestones!$AA$112)&gt;=$Z67),$AC67,IF(AND($Y67&lt;&gt;"",EDATE($D67,Milestones!$AA$112)&gt;=$Y67),$AB67,$AA67)))=Milestones!$AB$112),UPPER(TEXT(EDATE($D67,Milestones!$AA$112),"dd mmm yy"))&amp;" "&amp;Milestones!$AB$112&amp;" "&amp;IF(AND(Milestones!$AB$112="FT",Milestones!$AA$112=FT_Y5,EDATE($D67,Milestones!$AA$112)&lt;PolicyEff),1,Milestones!$AC$112)&amp;";  ","")&amp;IF(AND(EDATE($D67,Milestones!$AA$113)&lt;=AsOfDate,EDATE($D67,Milestones!$AA$113)&gt;=SchemeStart,IF($X67=0,$AD67,IF(AND($Z67&lt;&gt;"",EDATE($D67,Milestones!$AA$113)&gt;=$Z67),$AC67,IF(AND($Y67&lt;&gt;"",EDATE($D67,Milestones!$AA$113)&gt;=$Y67),$AB67,$AA67)))=Milestones!$AB$113),UPPER(TEXT(EDATE($D67,Milestones!$AA$113),"dd mmm yy"))&amp;" "&amp;Milestones!$AB$113&amp;" "&amp;IF(AND(Milestones!$AB$113="FT",Milestones!$AA$113=FT_Y5,EDATE($D67,Milestones!$AA$113)&lt;PolicyEff),1,Milestones!$AC$113)&amp;";  ","")&amp;IF(AND(EDATE($D67,Milestones!$AA$114)&lt;=AsOfDate,EDATE($D67,Milestones!$AA$114)&gt;=SchemeStart,IF($X67=0,$AD67,IF(AND($Z67&lt;&gt;"",EDATE($D67,Milestones!$AA$114)&gt;=$Z67),$AC67,IF(AND($Y67&lt;&gt;"",EDATE($D67,Milestones!$AA$114)&gt;=$Y67),$AB67,$AA67)))=Milestones!$AB$114),UPPER(TEXT(EDATE($D67,Milestones!$AA$114),"dd mmm yy"))&amp;" "&amp;Milestones!$AB$114&amp;" "&amp;IF(AND(Milestones!$AB$114="FT",Milestones!$AA$114=FT_Y5,EDATE($D67,Milestones!$AA$114)&lt;PolicyEff),1,Milestones!$AC$114)&amp;";  ","")&amp;IF(AND(EDATE($D67,Milestones!$AA$115)&lt;=AsOfDate,EDATE($D67,Milestones!$AA$115)&gt;=SchemeStart,IF($X67=0,$AD67,IF(AND($Z67&lt;&gt;"",EDATE($D67,Milestones!$AA$115)&gt;=$Z67),$AC67,IF(AND($Y67&lt;&gt;"",EDATE($D67,Milestones!$AA$115)&gt;=$Y67),$AB67,$AA67)))=Milestones!$AB$115),UPPER(TEXT(EDATE($D67,Milestones!$AA$115),"dd mmm yy"))&amp;" "&amp;Milestones!$AB$115&amp;" "&amp;IF(AND(Milestones!$AB$115="FT",Milestones!$AA$115=FT_Y5,EDATE($D67,Milestones!$AA$115)&lt;PolicyEff),1,Milestones!$AC$115)&amp;";  ",""))</f>
        <v/>
      </c>
      <c r="Q67" s="0" t="str">
        <f aca="false">IF(OR($A67="",$D67=""),"",IF(AND(EDATE($D67,Milestones!$AA$116)&lt;=AsOfDate,EDATE($D67,Milestones!$AA$116)&gt;=SchemeStart,IF($X67=0,$AD67,IF(AND($Z67&lt;&gt;"",EDATE($D67,Milestones!$AA$116)&gt;=$Z67),$AC67,IF(AND($Y67&lt;&gt;"",EDATE($D67,Milestones!$AA$116)&gt;=$Y67),$AB67,$AA67)))=Milestones!$AB$116),UPPER(TEXT(EDATE($D67,Milestones!$AA$116),"dd mmm yy"))&amp;" "&amp;Milestones!$AB$116&amp;" "&amp;IF(AND(Milestones!$AB$116="FT",Milestones!$AA$116=FT_Y5,EDATE($D67,Milestones!$AA$116)&lt;PolicyEff),1,Milestones!$AC$116)&amp;";  ","")&amp;IF(AND(EDATE($D67,Milestones!$AA$117)&lt;=AsOfDate,EDATE($D67,Milestones!$AA$117)&gt;=SchemeStart,IF($X67=0,$AD67,IF(AND($Z67&lt;&gt;"",EDATE($D67,Milestones!$AA$117)&gt;=$Z67),$AC67,IF(AND($Y67&lt;&gt;"",EDATE($D67,Milestones!$AA$117)&gt;=$Y67),$AB67,$AA67)))=Milestones!$AB$117),UPPER(TEXT(EDATE($D67,Milestones!$AA$117),"dd mmm yy"))&amp;" "&amp;Milestones!$AB$117&amp;" "&amp;IF(AND(Milestones!$AB$117="FT",Milestones!$AA$117=FT_Y5,EDATE($D67,Milestones!$AA$117)&lt;PolicyEff),1,Milestones!$AC$117)&amp;";  ","")&amp;IF(AND(EDATE($D67,Milestones!$AA$118)&lt;=AsOfDate,EDATE($D67,Milestones!$AA$118)&gt;=SchemeStart,IF($X67=0,$AD67,IF(AND($Z67&lt;&gt;"",EDATE($D67,Milestones!$AA$118)&gt;=$Z67),$AC67,IF(AND($Y67&lt;&gt;"",EDATE($D67,Milestones!$AA$118)&gt;=$Y67),$AB67,$AA67)))=Milestones!$AB$118),UPPER(TEXT(EDATE($D67,Milestones!$AA$118),"dd mmm yy"))&amp;" "&amp;Milestones!$AB$118&amp;" "&amp;IF(AND(Milestones!$AB$118="FT",Milestones!$AA$118=FT_Y5,EDATE($D67,Milestones!$AA$118)&lt;PolicyEff),1,Milestones!$AC$118)&amp;";  ","")&amp;IF(AND(EDATE($D67,Milestones!$AA$119)&lt;=AsOfDate,EDATE($D67,Milestones!$AA$119)&gt;=SchemeStart,IF($X67=0,$AD67,IF(AND($Z67&lt;&gt;"",EDATE($D67,Milestones!$AA$119)&gt;=$Z67),$AC67,IF(AND($Y67&lt;&gt;"",EDATE($D67,Milestones!$AA$119)&gt;=$Y67),$AB67,$AA67)))=Milestones!$AB$119),UPPER(TEXT(EDATE($D67,Milestones!$AA$119),"dd mmm yy"))&amp;" "&amp;Milestones!$AB$119&amp;" "&amp;IF(AND(Milestones!$AB$119="FT",Milestones!$AA$119=FT_Y5,EDATE($D67,Milestones!$AA$119)&lt;PolicyEff),1,Milestones!$AC$119)&amp;";  ","")&amp;IF(AND(EDATE($D67,Milestones!$AA$120)&lt;=AsOfDate,EDATE($D67,Milestones!$AA$120)&gt;=SchemeStart,IF($X67=0,$AD67,IF(AND($Z67&lt;&gt;"",EDATE($D67,Milestones!$AA$120)&gt;=$Z67),$AC67,IF(AND($Y67&lt;&gt;"",EDATE($D67,Milestones!$AA$120)&gt;=$Y67),$AB67,$AA67)))=Milestones!$AB$120),UPPER(TEXT(EDATE($D67,Milestones!$AA$120),"dd mmm yy"))&amp;" "&amp;Milestones!$AB$120&amp;" "&amp;IF(AND(Milestones!$AB$120="FT",Milestones!$AA$120=FT_Y5,EDATE($D67,Milestones!$AA$120)&lt;PolicyEff),1,Milestones!$AC$120)&amp;";  ","")&amp;IF(AND(EDATE($D67,Milestones!$AA$121)&lt;=AsOfDate,EDATE($D67,Milestones!$AA$121)&gt;=SchemeStart,IF($X67=0,$AD67,IF(AND($Z67&lt;&gt;"",EDATE($D67,Milestones!$AA$121)&gt;=$Z67),$AC67,IF(AND($Y67&lt;&gt;"",EDATE($D67,Milestones!$AA$121)&gt;=$Y67),$AB67,$AA67)))=Milestones!$AB$121),UPPER(TEXT(EDATE($D67,Milestones!$AA$121),"dd mmm yy"))&amp;" "&amp;Milestones!$AB$121&amp;" "&amp;IF(AND(Milestones!$AB$121="FT",Milestones!$AA$121=FT_Y5,EDATE($D67,Milestones!$AA$121)&lt;PolicyEff),1,Milestones!$AC$121)&amp;";  ","")&amp;IF(AND(EDATE($D67,Milestones!$AA$122)&lt;=AsOfDate,EDATE($D67,Milestones!$AA$122)&gt;=SchemeStart,IF($X67=0,$AD67,IF(AND($Z67&lt;&gt;"",EDATE($D67,Milestones!$AA$122)&gt;=$Z67),$AC67,IF(AND($Y67&lt;&gt;"",EDATE($D67,Milestones!$AA$122)&gt;=$Y67),$AB67,$AA67)))=Milestones!$AB$122),UPPER(TEXT(EDATE($D67,Milestones!$AA$122),"dd mmm yy"))&amp;" "&amp;Milestones!$AB$122&amp;" "&amp;IF(AND(Milestones!$AB$122="FT",Milestones!$AA$122=FT_Y5,EDATE($D67,Milestones!$AA$122)&lt;PolicyEff),1,Milestones!$AC$122)&amp;";  ","")&amp;IF(AND(EDATE($D67,Milestones!$AA$123)&lt;=AsOfDate,EDATE($D67,Milestones!$AA$123)&gt;=SchemeStart,IF($X67=0,$AD67,IF(AND($Z67&lt;&gt;"",EDATE($D67,Milestones!$AA$123)&gt;=$Z67),$AC67,IF(AND($Y67&lt;&gt;"",EDATE($D67,Milestones!$AA$123)&gt;=$Y67),$AB67,$AA67)))=Milestones!$AB$123),UPPER(TEXT(EDATE($D67,Milestones!$AA$123),"dd mmm yy"))&amp;" "&amp;Milestones!$AB$123&amp;" "&amp;IF(AND(Milestones!$AB$123="FT",Milestones!$AA$123=FT_Y5,EDATE($D67,Milestones!$AA$123)&lt;PolicyEff),1,Milestones!$AC$123)&amp;";  ","")&amp;IF(AND(EDATE($D67,Milestones!$AA$124)&lt;=AsOfDate,EDATE($D67,Milestones!$AA$124)&gt;=SchemeStart,IF($X67=0,$AD67,IF(AND($Z67&lt;&gt;"",EDATE($D67,Milestones!$AA$124)&gt;=$Z67),$AC67,IF(AND($Y67&lt;&gt;"",EDATE($D67,Milestones!$AA$124)&gt;=$Y67),$AB67,$AA67)))=Milestones!$AB$124),UPPER(TEXT(EDATE($D67,Milestones!$AA$124),"dd mmm yy"))&amp;" "&amp;Milestones!$AB$124&amp;" "&amp;IF(AND(Milestones!$AB$124="FT",Milestones!$AA$124=FT_Y5,EDATE($D67,Milestones!$AA$124)&lt;PolicyEff),1,Milestones!$AC$124)&amp;";  ","")&amp;IF(AND(EDATE($D67,Milestones!$AA$125)&lt;=AsOfDate,EDATE($D67,Milestones!$AA$125)&gt;=SchemeStart,IF($X67=0,$AD67,IF(AND($Z67&lt;&gt;"",EDATE($D67,Milestones!$AA$125)&gt;=$Z67),$AC67,IF(AND($Y67&lt;&gt;"",EDATE($D67,Milestones!$AA$125)&gt;=$Y67),$AB67,$AA67)))=Milestones!$AB$125),UPPER(TEXT(EDATE($D67,Milestones!$AA$125),"dd mmm yy"))&amp;" "&amp;Milestones!$AB$125&amp;" "&amp;IF(AND(Milestones!$AB$125="FT",Milestones!$AA$125=FT_Y5,EDATE($D67,Milestones!$AA$125)&lt;PolicyEff),1,Milestones!$AC$125)&amp;";  ","")&amp;IF(AND(EDATE($D67,Milestones!$AA$126)&lt;=AsOfDate,EDATE($D67,Milestones!$AA$126)&gt;=SchemeStart,IF($X67=0,$AD67,IF(AND($Z67&lt;&gt;"",EDATE($D67,Milestones!$AA$126)&gt;=$Z67),$AC67,IF(AND($Y67&lt;&gt;"",EDATE($D67,Milestones!$AA$126)&gt;=$Y67),$AB67,$AA67)))=Milestones!$AB$126),UPPER(TEXT(EDATE($D67,Milestones!$AA$126),"dd mmm yy"))&amp;" "&amp;Milestones!$AB$126&amp;" "&amp;IF(AND(Milestones!$AB$126="FT",Milestones!$AA$126=FT_Y5,EDATE($D67,Milestones!$AA$126)&lt;PolicyEff),1,Milestones!$AC$126)&amp;";  ","")&amp;IF(AND(EDATE($D67,Milestones!$AA$127)&lt;=AsOfDate,EDATE($D67,Milestones!$AA$127)&gt;=SchemeStart,IF($X67=0,$AD67,IF(AND($Z67&lt;&gt;"",EDATE($D67,Milestones!$AA$127)&gt;=$Z67),$AC67,IF(AND($Y67&lt;&gt;"",EDATE($D67,Milestones!$AA$127)&gt;=$Y67),$AB67,$AA67)))=Milestones!$AB$127),UPPER(TEXT(EDATE($D67,Milestones!$AA$127),"dd mmm yy"))&amp;" "&amp;Milestones!$AB$127&amp;" "&amp;IF(AND(Milestones!$AB$127="FT",Milestones!$AA$127=FT_Y5,EDATE($D67,Milestones!$AA$127)&lt;PolicyEff),1,Milestones!$AC$127)&amp;";  ",""))</f>
        <v/>
      </c>
      <c r="R67" s="0" t="str">
        <f aca="false">IF(OR($A67="",$D67=""),"",IF(AND(EDATE($D67,Milestones!$AA$128)&lt;=AsOfDate,EDATE($D67,Milestones!$AA$128)&gt;=SchemeStart,IF($X67=0,$AD67,IF(AND($Z67&lt;&gt;"",EDATE($D67,Milestones!$AA$128)&gt;=$Z67),$AC67,IF(AND($Y67&lt;&gt;"",EDATE($D67,Milestones!$AA$128)&gt;=$Y67),$AB67,$AA67)))=Milestones!$AB$128),UPPER(TEXT(EDATE($D67,Milestones!$AA$128),"dd mmm yy"))&amp;" "&amp;Milestones!$AB$128&amp;" "&amp;IF(AND(Milestones!$AB$128="FT",Milestones!$AA$128=FT_Y5,EDATE($D67,Milestones!$AA$128)&lt;PolicyEff),1,Milestones!$AC$128)&amp;";  ","")&amp;IF(AND(EDATE($D67,Milestones!$AA$129)&lt;=AsOfDate,EDATE($D67,Milestones!$AA$129)&gt;=SchemeStart,IF($X67=0,$AD67,IF(AND($Z67&lt;&gt;"",EDATE($D67,Milestones!$AA$129)&gt;=$Z67),$AC67,IF(AND($Y67&lt;&gt;"",EDATE($D67,Milestones!$AA$129)&gt;=$Y67),$AB67,$AA67)))=Milestones!$AB$129),UPPER(TEXT(EDATE($D67,Milestones!$AA$129),"dd mmm yy"))&amp;" "&amp;Milestones!$AB$129&amp;" "&amp;IF(AND(Milestones!$AB$129="FT",Milestones!$AA$129=FT_Y5,EDATE($D67,Milestones!$AA$129)&lt;PolicyEff),1,Milestones!$AC$129)&amp;";  ","")&amp;IF(AND(EDATE($D67,Milestones!$AA$130)&lt;=AsOfDate,EDATE($D67,Milestones!$AA$130)&gt;=SchemeStart,IF($X67=0,$AD67,IF(AND($Z67&lt;&gt;"",EDATE($D67,Milestones!$AA$130)&gt;=$Z67),$AC67,IF(AND($Y67&lt;&gt;"",EDATE($D67,Milestones!$AA$130)&gt;=$Y67),$AB67,$AA67)))=Milestones!$AB$130),UPPER(TEXT(EDATE($D67,Milestones!$AA$130),"dd mmm yy"))&amp;" "&amp;Milestones!$AB$130&amp;" "&amp;IF(AND(Milestones!$AB$130="FT",Milestones!$AA$130=FT_Y5,EDATE($D67,Milestones!$AA$130)&lt;PolicyEff),1,Milestones!$AC$130)&amp;";  ","")&amp;IF(AND(EDATE($D67,Milestones!$AA$131)&lt;=AsOfDate,EDATE($D67,Milestones!$AA$131)&gt;=SchemeStart,IF($X67=0,$AD67,IF(AND($Z67&lt;&gt;"",EDATE($D67,Milestones!$AA$131)&gt;=$Z67),$AC67,IF(AND($Y67&lt;&gt;"",EDATE($D67,Milestones!$AA$131)&gt;=$Y67),$AB67,$AA67)))=Milestones!$AB$131),UPPER(TEXT(EDATE($D67,Milestones!$AA$131),"dd mmm yy"))&amp;" "&amp;Milestones!$AB$131&amp;" "&amp;IF(AND(Milestones!$AB$131="FT",Milestones!$AA$131=FT_Y5,EDATE($D67,Milestones!$AA$131)&lt;PolicyEff),1,Milestones!$AC$131)&amp;";  ","")&amp;IF(AND(EDATE($D67,Milestones!$AA$132)&lt;=AsOfDate,EDATE($D67,Milestones!$AA$132)&gt;=SchemeStart,IF($X67=0,$AD67,IF(AND($Z67&lt;&gt;"",EDATE($D67,Milestones!$AA$132)&gt;=$Z67),$AC67,IF(AND($Y67&lt;&gt;"",EDATE($D67,Milestones!$AA$132)&gt;=$Y67),$AB67,$AA67)))=Milestones!$AB$132),UPPER(TEXT(EDATE($D67,Milestones!$AA$132),"dd mmm yy"))&amp;" "&amp;Milestones!$AB$132&amp;" "&amp;IF(AND(Milestones!$AB$132="FT",Milestones!$AA$132=FT_Y5,EDATE($D67,Milestones!$AA$132)&lt;PolicyEff),1,Milestones!$AC$132)&amp;";  ","")&amp;IF(AND(EDATE($D67,Milestones!$AA$133)&lt;=AsOfDate,EDATE($D67,Milestones!$AA$133)&gt;=SchemeStart,IF($X67=0,$AD67,IF(AND($Z67&lt;&gt;"",EDATE($D67,Milestones!$AA$133)&gt;=$Z67),$AC67,IF(AND($Y67&lt;&gt;"",EDATE($D67,Milestones!$AA$133)&gt;=$Y67),$AB67,$AA67)))=Milestones!$AB$133),UPPER(TEXT(EDATE($D67,Milestones!$AA$133),"dd mmm yy"))&amp;" "&amp;Milestones!$AB$133&amp;" "&amp;IF(AND(Milestones!$AB$133="FT",Milestones!$AA$133=FT_Y5,EDATE($D67,Milestones!$AA$133)&lt;PolicyEff),1,Milestones!$AC$133)&amp;";  ","")&amp;IF(AND(EDATE($D67,Milestones!$AA$134)&lt;=AsOfDate,EDATE($D67,Milestones!$AA$134)&gt;=SchemeStart,IF($X67=0,$AD67,IF(AND($Z67&lt;&gt;"",EDATE($D67,Milestones!$AA$134)&gt;=$Z67),$AC67,IF(AND($Y67&lt;&gt;"",EDATE($D67,Milestones!$AA$134)&gt;=$Y67),$AB67,$AA67)))=Milestones!$AB$134),UPPER(TEXT(EDATE($D67,Milestones!$AA$134),"dd mmm yy"))&amp;" "&amp;Milestones!$AB$134&amp;" "&amp;IF(AND(Milestones!$AB$134="FT",Milestones!$AA$134=FT_Y5,EDATE($D67,Milestones!$AA$134)&lt;PolicyEff),1,Milestones!$AC$134)&amp;";  ","")&amp;IF(AND(EDATE($D67,Milestones!$AA$135)&lt;=AsOfDate,EDATE($D67,Milestones!$AA$135)&gt;=SchemeStart,IF($X67=0,$AD67,IF(AND($Z67&lt;&gt;"",EDATE($D67,Milestones!$AA$135)&gt;=$Z67),$AC67,IF(AND($Y67&lt;&gt;"",EDATE($D67,Milestones!$AA$135)&gt;=$Y67),$AB67,$AA67)))=Milestones!$AB$135),UPPER(TEXT(EDATE($D67,Milestones!$AA$135),"dd mmm yy"))&amp;" "&amp;Milestones!$AB$135&amp;" "&amp;IF(AND(Milestones!$AB$135="FT",Milestones!$AA$135=FT_Y5,EDATE($D67,Milestones!$AA$135)&lt;PolicyEff),1,Milestones!$AC$135)&amp;";  ","")&amp;IF(AND(EDATE($D67,Milestones!$AA$136)&lt;=AsOfDate,EDATE($D67,Milestones!$AA$136)&gt;=SchemeStart,IF($X67=0,$AD67,IF(AND($Z67&lt;&gt;"",EDATE($D67,Milestones!$AA$136)&gt;=$Z67),$AC67,IF(AND($Y67&lt;&gt;"",EDATE($D67,Milestones!$AA$136)&gt;=$Y67),$AB67,$AA67)))=Milestones!$AB$136),UPPER(TEXT(EDATE($D67,Milestones!$AA$136),"dd mmm yy"))&amp;" "&amp;Milestones!$AB$136&amp;" "&amp;IF(AND(Milestones!$AB$136="FT",Milestones!$AA$136=FT_Y5,EDATE($D67,Milestones!$AA$136)&lt;PolicyEff),1,Milestones!$AC$136)&amp;";  ","")&amp;IF(AND(EDATE($D67,Milestones!$AA$137)&lt;=AsOfDate,EDATE($D67,Milestones!$AA$137)&gt;=SchemeStart,IF($X67=0,$AD67,IF(AND($Z67&lt;&gt;"",EDATE($D67,Milestones!$AA$137)&gt;=$Z67),$AC67,IF(AND($Y67&lt;&gt;"",EDATE($D67,Milestones!$AA$137)&gt;=$Y67),$AB67,$AA67)))=Milestones!$AB$137),UPPER(TEXT(EDATE($D67,Milestones!$AA$137),"dd mmm yy"))&amp;" "&amp;Milestones!$AB$137&amp;" "&amp;IF(AND(Milestones!$AB$137="FT",Milestones!$AA$137=FT_Y5,EDATE($D67,Milestones!$AA$137)&lt;PolicyEff),1,Milestones!$AC$137)&amp;";  ","")&amp;IF(AND(EDATE($D67,Milestones!$AA$138)&lt;=AsOfDate,EDATE($D67,Milestones!$AA$138)&gt;=SchemeStart,IF($X67=0,$AD67,IF(AND($Z67&lt;&gt;"",EDATE($D67,Milestones!$AA$138)&gt;=$Z67),$AC67,IF(AND($Y67&lt;&gt;"",EDATE($D67,Milestones!$AA$138)&gt;=$Y67),$AB67,$AA67)))=Milestones!$AB$138),UPPER(TEXT(EDATE($D67,Milestones!$AA$138),"dd mmm yy"))&amp;" "&amp;Milestones!$AB$138&amp;" "&amp;IF(AND(Milestones!$AB$138="FT",Milestones!$AA$138=FT_Y5,EDATE($D67,Milestones!$AA$138)&lt;PolicyEff),1,Milestones!$AC$138)&amp;";  ","")&amp;IF(AND(EDATE($D67,Milestones!$AA$139)&lt;=AsOfDate,EDATE($D67,Milestones!$AA$139)&gt;=SchemeStart,IF($X67=0,$AD67,IF(AND($Z67&lt;&gt;"",EDATE($D67,Milestones!$AA$139)&gt;=$Z67),$AC67,IF(AND($Y67&lt;&gt;"",EDATE($D67,Milestones!$AA$139)&gt;=$Y67),$AB67,$AA67)))=Milestones!$AB$139),UPPER(TEXT(EDATE($D67,Milestones!$AA$139),"dd mmm yy"))&amp;" "&amp;Milestones!$AB$139&amp;" "&amp;IF(AND(Milestones!$AB$139="FT",Milestones!$AA$139=FT_Y5,EDATE($D67,Milestones!$AA$139)&lt;PolicyEff),1,Milestones!$AC$139)&amp;";  ",""))</f>
        <v/>
      </c>
      <c r="S67" s="0" t="str">
        <f aca="false">IF(OR($A67="",$D67=""),"",IF(AND(EDATE($D67,Milestones!$AA$140)&lt;=AsOfDate,EDATE($D67,Milestones!$AA$140)&gt;=SchemeStart,IF($X67=0,$AD67,IF(AND($Z67&lt;&gt;"",EDATE($D67,Milestones!$AA$140)&gt;=$Z67),$AC67,IF(AND($Y67&lt;&gt;"",EDATE($D67,Milestones!$AA$140)&gt;=$Y67),$AB67,$AA67)))=Milestones!$AB$140),UPPER(TEXT(EDATE($D67,Milestones!$AA$140),"dd mmm yy"))&amp;" "&amp;Milestones!$AB$140&amp;" "&amp;IF(AND(Milestones!$AB$140="FT",Milestones!$AA$140=FT_Y5,EDATE($D67,Milestones!$AA$140)&lt;PolicyEff),1,Milestones!$AC$140)&amp;";  ","")&amp;IF(AND(EDATE($D67,Milestones!$AA$141)&lt;=AsOfDate,EDATE($D67,Milestones!$AA$141)&gt;=SchemeStart,IF($X67=0,$AD67,IF(AND($Z67&lt;&gt;"",EDATE($D67,Milestones!$AA$141)&gt;=$Z67),$AC67,IF(AND($Y67&lt;&gt;"",EDATE($D67,Milestones!$AA$141)&gt;=$Y67),$AB67,$AA67)))=Milestones!$AB$141),UPPER(TEXT(EDATE($D67,Milestones!$AA$141),"dd mmm yy"))&amp;" "&amp;Milestones!$AB$141&amp;" "&amp;IF(AND(Milestones!$AB$141="FT",Milestones!$AA$141=FT_Y5,EDATE($D67,Milestones!$AA$141)&lt;PolicyEff),1,Milestones!$AC$141)&amp;";  ","")&amp;IF(AND(EDATE($D67,Milestones!$AA$142)&lt;=AsOfDate,EDATE($D67,Milestones!$AA$142)&gt;=SchemeStart,IF($X67=0,$AD67,IF(AND($Z67&lt;&gt;"",EDATE($D67,Milestones!$AA$142)&gt;=$Z67),$AC67,IF(AND($Y67&lt;&gt;"",EDATE($D67,Milestones!$AA$142)&gt;=$Y67),$AB67,$AA67)))=Milestones!$AB$142),UPPER(TEXT(EDATE($D67,Milestones!$AA$142),"dd mmm yy"))&amp;" "&amp;Milestones!$AB$142&amp;" "&amp;IF(AND(Milestones!$AB$142="FT",Milestones!$AA$142=FT_Y5,EDATE($D67,Milestones!$AA$142)&lt;PolicyEff),1,Milestones!$AC$142)&amp;";  ","")&amp;IF(AND(EDATE($D67,Milestones!$AA$143)&lt;=AsOfDate,EDATE($D67,Milestones!$AA$143)&gt;=SchemeStart,IF($X67=0,$AD67,IF(AND($Z67&lt;&gt;"",EDATE($D67,Milestones!$AA$143)&gt;=$Z67),$AC67,IF(AND($Y67&lt;&gt;"",EDATE($D67,Milestones!$AA$143)&gt;=$Y67),$AB67,$AA67)))=Milestones!$AB$143),UPPER(TEXT(EDATE($D67,Milestones!$AA$143),"dd mmm yy"))&amp;" "&amp;Milestones!$AB$143&amp;" "&amp;IF(AND(Milestones!$AB$143="FT",Milestones!$AA$143=FT_Y5,EDATE($D67,Milestones!$AA$143)&lt;PolicyEff),1,Milestones!$AC$143)&amp;";  ","")&amp;IF(AND(EDATE($D67,Milestones!$AA$144)&lt;=AsOfDate,EDATE($D67,Milestones!$AA$144)&gt;=SchemeStart,IF($X67=0,$AD67,IF(AND($Z67&lt;&gt;"",EDATE($D67,Milestones!$AA$144)&gt;=$Z67),$AC67,IF(AND($Y67&lt;&gt;"",EDATE($D67,Milestones!$AA$144)&gt;=$Y67),$AB67,$AA67)))=Milestones!$AB$144),UPPER(TEXT(EDATE($D67,Milestones!$AA$144),"dd mmm yy"))&amp;" "&amp;Milestones!$AB$144&amp;" "&amp;IF(AND(Milestones!$AB$144="FT",Milestones!$AA$144=FT_Y5,EDATE($D67,Milestones!$AA$144)&lt;PolicyEff),1,Milestones!$AC$144)&amp;";  ","")&amp;IF(AND(EDATE($D67,Milestones!$AA$145)&lt;=AsOfDate,EDATE($D67,Milestones!$AA$145)&gt;=SchemeStart,IF($X67=0,$AD67,IF(AND($Z67&lt;&gt;"",EDATE($D67,Milestones!$AA$145)&gt;=$Z67),$AC67,IF(AND($Y67&lt;&gt;"",EDATE($D67,Milestones!$AA$145)&gt;=$Y67),$AB67,$AA67)))=Milestones!$AB$145),UPPER(TEXT(EDATE($D67,Milestones!$AA$145),"dd mmm yy"))&amp;" "&amp;Milestones!$AB$145&amp;" "&amp;IF(AND(Milestones!$AB$145="FT",Milestones!$AA$145=FT_Y5,EDATE($D67,Milestones!$AA$145)&lt;PolicyEff),1,Milestones!$AC$145)&amp;";  ","")&amp;IF(AND(EDATE($D67,Milestones!$AA$146)&lt;=AsOfDate,EDATE($D67,Milestones!$AA$146)&gt;=SchemeStart,IF($X67=0,$AD67,IF(AND($Z67&lt;&gt;"",EDATE($D67,Milestones!$AA$146)&gt;=$Z67),$AC67,IF(AND($Y67&lt;&gt;"",EDATE($D67,Milestones!$AA$146)&gt;=$Y67),$AB67,$AA67)))=Milestones!$AB$146),UPPER(TEXT(EDATE($D67,Milestones!$AA$146),"dd mmm yy"))&amp;" "&amp;Milestones!$AB$146&amp;" "&amp;IF(AND(Milestones!$AB$146="FT",Milestones!$AA$146=FT_Y5,EDATE($D67,Milestones!$AA$146)&lt;PolicyEff),1,Milestones!$AC$146)&amp;";  ","")&amp;IF(AND(EDATE($D67,Milestones!$AA$147)&lt;=AsOfDate,EDATE($D67,Milestones!$AA$147)&gt;=SchemeStart,IF($X67=0,$AD67,IF(AND($Z67&lt;&gt;"",EDATE($D67,Milestones!$AA$147)&gt;=$Z67),$AC67,IF(AND($Y67&lt;&gt;"",EDATE($D67,Milestones!$AA$147)&gt;=$Y67),$AB67,$AA67)))=Milestones!$AB$147),UPPER(TEXT(EDATE($D67,Milestones!$AA$147),"dd mmm yy"))&amp;" "&amp;Milestones!$AB$147&amp;" "&amp;IF(AND(Milestones!$AB$147="FT",Milestones!$AA$147=FT_Y5,EDATE($D67,Milestones!$AA$147)&lt;PolicyEff),1,Milestones!$AC$147)&amp;";  ","")&amp;IF(AND(EDATE($D67,Milestones!$AA$148)&lt;=AsOfDate,EDATE($D67,Milestones!$AA$148)&gt;=SchemeStart,IF($X67=0,$AD67,IF(AND($Z67&lt;&gt;"",EDATE($D67,Milestones!$AA$148)&gt;=$Z67),$AC67,IF(AND($Y67&lt;&gt;"",EDATE($D67,Milestones!$AA$148)&gt;=$Y67),$AB67,$AA67)))=Milestones!$AB$148),UPPER(TEXT(EDATE($D67,Milestones!$AA$148),"dd mmm yy"))&amp;" "&amp;Milestones!$AB$148&amp;" "&amp;IF(AND(Milestones!$AB$148="FT",Milestones!$AA$148=FT_Y5,EDATE($D67,Milestones!$AA$148)&lt;PolicyEff),1,Milestones!$AC$148)&amp;";  ","")&amp;IF(AND(EDATE($D67,Milestones!$AA$149)&lt;=AsOfDate,EDATE($D67,Milestones!$AA$149)&gt;=SchemeStart,IF($X67=0,$AD67,IF(AND($Z67&lt;&gt;"",EDATE($D67,Milestones!$AA$149)&gt;=$Z67),$AC67,IF(AND($Y67&lt;&gt;"",EDATE($D67,Milestones!$AA$149)&gt;=$Y67),$AB67,$AA67)))=Milestones!$AB$149),UPPER(TEXT(EDATE($D67,Milestones!$AA$149),"dd mmm yy"))&amp;" "&amp;Milestones!$AB$149&amp;" "&amp;IF(AND(Milestones!$AB$149="FT",Milestones!$AA$149=FT_Y5,EDATE($D67,Milestones!$AA$149)&lt;PolicyEff),1,Milestones!$AC$149)&amp;";  ","")&amp;IF(AND(EDATE($D67,Milestones!$AA$150)&lt;=AsOfDate,EDATE($D67,Milestones!$AA$150)&gt;=SchemeStart,IF($X67=0,$AD67,IF(AND($Z67&lt;&gt;"",EDATE($D67,Milestones!$AA$150)&gt;=$Z67),$AC67,IF(AND($Y67&lt;&gt;"",EDATE($D67,Milestones!$AA$150)&gt;=$Y67),$AB67,$AA67)))=Milestones!$AB$150),UPPER(TEXT(EDATE($D67,Milestones!$AA$150),"dd mmm yy"))&amp;" "&amp;Milestones!$AB$150&amp;" "&amp;IF(AND(Milestones!$AB$150="FT",Milestones!$AA$150=FT_Y5,EDATE($D67,Milestones!$AA$150)&lt;PolicyEff),1,Milestones!$AC$150)&amp;";  ","")&amp;IF(AND(EDATE($D67,Milestones!$AA$151)&lt;=AsOfDate,EDATE($D67,Milestones!$AA$151)&gt;=SchemeStart,IF($X67=0,$AD67,IF(AND($Z67&lt;&gt;"",EDATE($D67,Milestones!$AA$151)&gt;=$Z67),$AC67,IF(AND($Y67&lt;&gt;"",EDATE($D67,Milestones!$AA$151)&gt;=$Y67),$AB67,$AA67)))=Milestones!$AB$151),UPPER(TEXT(EDATE($D67,Milestones!$AA$151),"dd mmm yy"))&amp;" "&amp;Milestones!$AB$151&amp;" "&amp;IF(AND(Milestones!$AB$151="FT",Milestones!$AA$151=FT_Y5,EDATE($D67,Milestones!$AA$151)&lt;PolicyEff),1,Milestones!$AC$151)&amp;";  ",""))</f>
        <v/>
      </c>
      <c r="T67" s="0" t="str">
        <f aca="false">IF(OR($A67="",$D67=""),"",IF(AND(EDATE($D67,Milestones!$AA$152)&lt;=AsOfDate,EDATE($D67,Milestones!$AA$152)&gt;=SchemeStart,IF($X67=0,$AD67,IF(AND($Z67&lt;&gt;"",EDATE($D67,Milestones!$AA$152)&gt;=$Z67),$AC67,IF(AND($Y67&lt;&gt;"",EDATE($D67,Milestones!$AA$152)&gt;=$Y67),$AB67,$AA67)))=Milestones!$AB$152),UPPER(TEXT(EDATE($D67,Milestones!$AA$152),"dd mmm yy"))&amp;" "&amp;Milestones!$AB$152&amp;" "&amp;IF(AND(Milestones!$AB$152="FT",Milestones!$AA$152=FT_Y5,EDATE($D67,Milestones!$AA$152)&lt;PolicyEff),1,Milestones!$AC$152)&amp;";  ","")&amp;IF(AND(EDATE($D67,Milestones!$AA$153)&lt;=AsOfDate,EDATE($D67,Milestones!$AA$153)&gt;=SchemeStart,IF($X67=0,$AD67,IF(AND($Z67&lt;&gt;"",EDATE($D67,Milestones!$AA$153)&gt;=$Z67),$AC67,IF(AND($Y67&lt;&gt;"",EDATE($D67,Milestones!$AA$153)&gt;=$Y67),$AB67,$AA67)))=Milestones!$AB$153),UPPER(TEXT(EDATE($D67,Milestones!$AA$153),"dd mmm yy"))&amp;" "&amp;Milestones!$AB$153&amp;" "&amp;IF(AND(Milestones!$AB$153="FT",Milestones!$AA$153=FT_Y5,EDATE($D67,Milestones!$AA$153)&lt;PolicyEff),1,Milestones!$AC$153)&amp;";  ","")&amp;IF(AND(EDATE($D67,Milestones!$AA$154)&lt;=AsOfDate,EDATE($D67,Milestones!$AA$154)&gt;=SchemeStart,IF($X67=0,$AD67,IF(AND($Z67&lt;&gt;"",EDATE($D67,Milestones!$AA$154)&gt;=$Z67),$AC67,IF(AND($Y67&lt;&gt;"",EDATE($D67,Milestones!$AA$154)&gt;=$Y67),$AB67,$AA67)))=Milestones!$AB$154),UPPER(TEXT(EDATE($D67,Milestones!$AA$154),"dd mmm yy"))&amp;" "&amp;Milestones!$AB$154&amp;" "&amp;IF(AND(Milestones!$AB$154="FT",Milestones!$AA$154=FT_Y5,EDATE($D67,Milestones!$AA$154)&lt;PolicyEff),1,Milestones!$AC$154)&amp;";  ","")&amp;IF(AND(EDATE($D67,Milestones!$AA$155)&lt;=AsOfDate,EDATE($D67,Milestones!$AA$155)&gt;=SchemeStart,IF($X67=0,$AD67,IF(AND($Z67&lt;&gt;"",EDATE($D67,Milestones!$AA$155)&gt;=$Z67),$AC67,IF(AND($Y67&lt;&gt;"",EDATE($D67,Milestones!$AA$155)&gt;=$Y67),$AB67,$AA67)))=Milestones!$AB$155),UPPER(TEXT(EDATE($D67,Milestones!$AA$155),"dd mmm yy"))&amp;" "&amp;Milestones!$AB$155&amp;" "&amp;IF(AND(Milestones!$AB$155="FT",Milestones!$AA$155=FT_Y5,EDATE($D67,Milestones!$AA$155)&lt;PolicyEff),1,Milestones!$AC$155)&amp;";  ","")&amp;IF(AND(EDATE($D67,Milestones!$AA$156)&lt;=AsOfDate,EDATE($D67,Milestones!$AA$156)&gt;=SchemeStart,IF($X67=0,$AD67,IF(AND($Z67&lt;&gt;"",EDATE($D67,Milestones!$AA$156)&gt;=$Z67),$AC67,IF(AND($Y67&lt;&gt;"",EDATE($D67,Milestones!$AA$156)&gt;=$Y67),$AB67,$AA67)))=Milestones!$AB$156),UPPER(TEXT(EDATE($D67,Milestones!$AA$156),"dd mmm yy"))&amp;" "&amp;Milestones!$AB$156&amp;" "&amp;IF(AND(Milestones!$AB$156="FT",Milestones!$AA$156=FT_Y5,EDATE($D67,Milestones!$AA$156)&lt;PolicyEff),1,Milestones!$AC$156)&amp;";  ","")&amp;IF(AND(EDATE($D67,Milestones!$AA$157)&lt;=AsOfDate,EDATE($D67,Milestones!$AA$157)&gt;=SchemeStart,IF($X67=0,$AD67,IF(AND($Z67&lt;&gt;"",EDATE($D67,Milestones!$AA$157)&gt;=$Z67),$AC67,IF(AND($Y67&lt;&gt;"",EDATE($D67,Milestones!$AA$157)&gt;=$Y67),$AB67,$AA67)))=Milestones!$AB$157),UPPER(TEXT(EDATE($D67,Milestones!$AA$157),"dd mmm yy"))&amp;" "&amp;Milestones!$AB$157&amp;" "&amp;IF(AND(Milestones!$AB$157="FT",Milestones!$AA$157=FT_Y5,EDATE($D67,Milestones!$AA$157)&lt;PolicyEff),1,Milestones!$AC$157)&amp;";  ","")&amp;IF(AND(EDATE($D67,Milestones!$AA$158)&lt;=AsOfDate,EDATE($D67,Milestones!$AA$158)&gt;=SchemeStart,IF($X67=0,$AD67,IF(AND($Z67&lt;&gt;"",EDATE($D67,Milestones!$AA$158)&gt;=$Z67),$AC67,IF(AND($Y67&lt;&gt;"",EDATE($D67,Milestones!$AA$158)&gt;=$Y67),$AB67,$AA67)))=Milestones!$AB$158),UPPER(TEXT(EDATE($D67,Milestones!$AA$158),"dd mmm yy"))&amp;" "&amp;Milestones!$AB$158&amp;" "&amp;IF(AND(Milestones!$AB$158="FT",Milestones!$AA$158=FT_Y5,EDATE($D67,Milestones!$AA$158)&lt;PolicyEff),1,Milestones!$AC$158)&amp;";  ","")&amp;IF(AND(EDATE($D67,Milestones!$AA$159)&lt;=AsOfDate,EDATE($D67,Milestones!$AA$159)&gt;=SchemeStart,IF($X67=0,$AD67,IF(AND($Z67&lt;&gt;"",EDATE($D67,Milestones!$AA$159)&gt;=$Z67),$AC67,IF(AND($Y67&lt;&gt;"",EDATE($D67,Milestones!$AA$159)&gt;=$Y67),$AB67,$AA67)))=Milestones!$AB$159),UPPER(TEXT(EDATE($D67,Milestones!$AA$159),"dd mmm yy"))&amp;" "&amp;Milestones!$AB$159&amp;" "&amp;IF(AND(Milestones!$AB$159="FT",Milestones!$AA$159=FT_Y5,EDATE($D67,Milestones!$AA$159)&lt;PolicyEff),1,Milestones!$AC$159)&amp;";  ","")&amp;IF(AND(EDATE($D67,Milestones!$AA$160)&lt;=AsOfDate,EDATE($D67,Milestones!$AA$160)&gt;=SchemeStart,IF($X67=0,$AD67,IF(AND($Z67&lt;&gt;"",EDATE($D67,Milestones!$AA$160)&gt;=$Z67),$AC67,IF(AND($Y67&lt;&gt;"",EDATE($D67,Milestones!$AA$160)&gt;=$Y67),$AB67,$AA67)))=Milestones!$AB$160),UPPER(TEXT(EDATE($D67,Milestones!$AA$160),"dd mmm yy"))&amp;" "&amp;Milestones!$AB$160&amp;" "&amp;IF(AND(Milestones!$AB$160="FT",Milestones!$AA$160=FT_Y5,EDATE($D67,Milestones!$AA$160)&lt;PolicyEff),1,Milestones!$AC$160)&amp;";  ","")&amp;IF(AND(EDATE($D67,Milestones!$AA$161)&lt;=AsOfDate,EDATE($D67,Milestones!$AA$161)&gt;=SchemeStart,IF($X67=0,$AD67,IF(AND($Z67&lt;&gt;"",EDATE($D67,Milestones!$AA$161)&gt;=$Z67),$AC67,IF(AND($Y67&lt;&gt;"",EDATE($D67,Milestones!$AA$161)&gt;=$Y67),$AB67,$AA67)))=Milestones!$AB$161),UPPER(TEXT(EDATE($D67,Milestones!$AA$161),"dd mmm yy"))&amp;" "&amp;Milestones!$AB$161&amp;" "&amp;IF(AND(Milestones!$AB$161="FT",Milestones!$AA$161=FT_Y5,EDATE($D67,Milestones!$AA$161)&lt;PolicyEff),1,Milestones!$AC$161)&amp;";  ","")&amp;IF(AND(EDATE($D67,Milestones!$AA$162)&lt;=AsOfDate,EDATE($D67,Milestones!$AA$162)&gt;=SchemeStart,IF($X67=0,$AD67,IF(AND($Z67&lt;&gt;"",EDATE($D67,Milestones!$AA$162)&gt;=$Z67),$AC67,IF(AND($Y67&lt;&gt;"",EDATE($D67,Milestones!$AA$162)&gt;=$Y67),$AB67,$AA67)))=Milestones!$AB$162),UPPER(TEXT(EDATE($D67,Milestones!$AA$162),"dd mmm yy"))&amp;" "&amp;Milestones!$AB$162&amp;" "&amp;IF(AND(Milestones!$AB$162="FT",Milestones!$AA$162=FT_Y5,EDATE($D67,Milestones!$AA$162)&lt;PolicyEff),1,Milestones!$AC$162)&amp;";  ","")&amp;IF(AND(EDATE($D67,Milestones!$AA$163)&lt;=AsOfDate,EDATE($D67,Milestones!$AA$163)&gt;=SchemeStart,IF($X67=0,$AD67,IF(AND($Z67&lt;&gt;"",EDATE($D67,Milestones!$AA$163)&gt;=$Z67),$AC67,IF(AND($Y67&lt;&gt;"",EDATE($D67,Milestones!$AA$163)&gt;=$Y67),$AB67,$AA67)))=Milestones!$AB$163),UPPER(TEXT(EDATE($D67,Milestones!$AA$163),"dd mmm yy"))&amp;" "&amp;Milestones!$AB$163&amp;" "&amp;IF(AND(Milestones!$AB$163="FT",Milestones!$AA$163=FT_Y5,EDATE($D67,Milestones!$AA$163)&lt;PolicyEff),1,Milestones!$AC$163)&amp;";  ",""))</f>
        <v/>
      </c>
      <c r="U67" s="0" t="str">
        <f aca="false">IF(OR($A67="",$D67=""),"",IF(AND(EDATE($D67,Milestones!$AA$164)&lt;=AsOfDate,EDATE($D67,Milestones!$AA$164)&gt;=SchemeStart,IF($X67=0,$AD67,IF(AND($Z67&lt;&gt;"",EDATE($D67,Milestones!$AA$164)&gt;=$Z67),$AC67,IF(AND($Y67&lt;&gt;"",EDATE($D67,Milestones!$AA$164)&gt;=$Y67),$AB67,$AA67)))=Milestones!$AB$164),UPPER(TEXT(EDATE($D67,Milestones!$AA$164),"dd mmm yy"))&amp;" "&amp;Milestones!$AB$164&amp;" "&amp;IF(AND(Milestones!$AB$164="FT",Milestones!$AA$164=FT_Y5,EDATE($D67,Milestones!$AA$164)&lt;PolicyEff),1,Milestones!$AC$164)&amp;";  ","")&amp;IF(AND(EDATE($D67,Milestones!$AA$165)&lt;=AsOfDate,EDATE($D67,Milestones!$AA$165)&gt;=SchemeStart,IF($X67=0,$AD67,IF(AND($Z67&lt;&gt;"",EDATE($D67,Milestones!$AA$165)&gt;=$Z67),$AC67,IF(AND($Y67&lt;&gt;"",EDATE($D67,Milestones!$AA$165)&gt;=$Y67),$AB67,$AA67)))=Milestones!$AB$165),UPPER(TEXT(EDATE($D67,Milestones!$AA$165),"dd mmm yy"))&amp;" "&amp;Milestones!$AB$165&amp;" "&amp;IF(AND(Milestones!$AB$165="FT",Milestones!$AA$165=FT_Y5,EDATE($D67,Milestones!$AA$165)&lt;PolicyEff),1,Milestones!$AC$165)&amp;";  ","")&amp;IF(AND(EDATE($D67,Milestones!$AA$166)&lt;=AsOfDate,EDATE($D67,Milestones!$AA$166)&gt;=SchemeStart,IF($X67=0,$AD67,IF(AND($Z67&lt;&gt;"",EDATE($D67,Milestones!$AA$166)&gt;=$Z67),$AC67,IF(AND($Y67&lt;&gt;"",EDATE($D67,Milestones!$AA$166)&gt;=$Y67),$AB67,$AA67)))=Milestones!$AB$166),UPPER(TEXT(EDATE($D67,Milestones!$AA$166),"dd mmm yy"))&amp;" "&amp;Milestones!$AB$166&amp;" "&amp;IF(AND(Milestones!$AB$166="FT",Milestones!$AA$166=FT_Y5,EDATE($D67,Milestones!$AA$166)&lt;PolicyEff),1,Milestones!$AC$166)&amp;";  ","")&amp;IF(AND(EDATE($D67,Milestones!$AA$167)&lt;=AsOfDate,EDATE($D67,Milestones!$AA$167)&gt;=SchemeStart,IF($X67=0,$AD67,IF(AND($Z67&lt;&gt;"",EDATE($D67,Milestones!$AA$167)&gt;=$Z67),$AC67,IF(AND($Y67&lt;&gt;"",EDATE($D67,Milestones!$AA$167)&gt;=$Y67),$AB67,$AA67)))=Milestones!$AB$167),UPPER(TEXT(EDATE($D67,Milestones!$AA$167),"dd mmm yy"))&amp;" "&amp;Milestones!$AB$167&amp;" "&amp;IF(AND(Milestones!$AB$167="FT",Milestones!$AA$167=FT_Y5,EDATE($D67,Milestones!$AA$167)&lt;PolicyEff),1,Milestones!$AC$167)&amp;";  ","")&amp;IF(AND(EDATE($D67,Milestones!$AA$168)&lt;=AsOfDate,EDATE($D67,Milestones!$AA$168)&gt;=SchemeStart,IF($X67=0,$AD67,IF(AND($Z67&lt;&gt;"",EDATE($D67,Milestones!$AA$168)&gt;=$Z67),$AC67,IF(AND($Y67&lt;&gt;"",EDATE($D67,Milestones!$AA$168)&gt;=$Y67),$AB67,$AA67)))=Milestones!$AB$168),UPPER(TEXT(EDATE($D67,Milestones!$AA$168),"dd mmm yy"))&amp;" "&amp;Milestones!$AB$168&amp;" "&amp;IF(AND(Milestones!$AB$168="FT",Milestones!$AA$168=FT_Y5,EDATE($D67,Milestones!$AA$168)&lt;PolicyEff),1,Milestones!$AC$168)&amp;";  ","")&amp;IF(AND(EDATE($D67,Milestones!$AA$169)&lt;=AsOfDate,EDATE($D67,Milestones!$AA$169)&gt;=SchemeStart,IF($X67=0,$AD67,IF(AND($Z67&lt;&gt;"",EDATE($D67,Milestones!$AA$169)&gt;=$Z67),$AC67,IF(AND($Y67&lt;&gt;"",EDATE($D67,Milestones!$AA$169)&gt;=$Y67),$AB67,$AA67)))=Milestones!$AB$169),UPPER(TEXT(EDATE($D67,Milestones!$AA$169),"dd mmm yy"))&amp;" "&amp;Milestones!$AB$169&amp;" "&amp;IF(AND(Milestones!$AB$169="FT",Milestones!$AA$169=FT_Y5,EDATE($D67,Milestones!$AA$169)&lt;PolicyEff),1,Milestones!$AC$169)&amp;";  ","")&amp;IF(AND(EDATE($D67,Milestones!$AA$170)&lt;=AsOfDate,EDATE($D67,Milestones!$AA$170)&gt;=SchemeStart,IF($X67=0,$AD67,IF(AND($Z67&lt;&gt;"",EDATE($D67,Milestones!$AA$170)&gt;=$Z67),$AC67,IF(AND($Y67&lt;&gt;"",EDATE($D67,Milestones!$AA$170)&gt;=$Y67),$AB67,$AA67)))=Milestones!$AB$170),UPPER(TEXT(EDATE($D67,Milestones!$AA$170),"dd mmm yy"))&amp;" "&amp;Milestones!$AB$170&amp;" "&amp;IF(AND(Milestones!$AB$170="FT",Milestones!$AA$170=FT_Y5,EDATE($D67,Milestones!$AA$170)&lt;PolicyEff),1,Milestones!$AC$170)&amp;";  ","")&amp;IF(AND(EDATE($D67,Milestones!$AA$171)&lt;=AsOfDate,EDATE($D67,Milestones!$AA$171)&gt;=SchemeStart,IF($X67=0,$AD67,IF(AND($Z67&lt;&gt;"",EDATE($D67,Milestones!$AA$171)&gt;=$Z67),$AC67,IF(AND($Y67&lt;&gt;"",EDATE($D67,Milestones!$AA$171)&gt;=$Y67),$AB67,$AA67)))=Milestones!$AB$171),UPPER(TEXT(EDATE($D67,Milestones!$AA$171),"dd mmm yy"))&amp;" "&amp;Milestones!$AB$171&amp;" "&amp;IF(AND(Milestones!$AB$171="FT",Milestones!$AA$171=FT_Y5,EDATE($D67,Milestones!$AA$171)&lt;PolicyEff),1,Milestones!$AC$171)&amp;";  ","")&amp;IF(AND(EDATE($D67,Milestones!$AA$172)&lt;=AsOfDate,EDATE($D67,Milestones!$AA$172)&gt;=SchemeStart,IF($X67=0,$AD67,IF(AND($Z67&lt;&gt;"",EDATE($D67,Milestones!$AA$172)&gt;=$Z67),$AC67,IF(AND($Y67&lt;&gt;"",EDATE($D67,Milestones!$AA$172)&gt;=$Y67),$AB67,$AA67)))=Milestones!$AB$172),UPPER(TEXT(EDATE($D67,Milestones!$AA$172),"dd mmm yy"))&amp;" "&amp;Milestones!$AB$172&amp;" "&amp;IF(AND(Milestones!$AB$172="FT",Milestones!$AA$172=FT_Y5,EDATE($D67,Milestones!$AA$172)&lt;PolicyEff),1,Milestones!$AC$172)&amp;";  ","")&amp;IF(AND(EDATE($D67,Milestones!$AA$173)&lt;=AsOfDate,EDATE($D67,Milestones!$AA$173)&gt;=SchemeStart,IF($X67=0,$AD67,IF(AND($Z67&lt;&gt;"",EDATE($D67,Milestones!$AA$173)&gt;=$Z67),$AC67,IF(AND($Y67&lt;&gt;"",EDATE($D67,Milestones!$AA$173)&gt;=$Y67),$AB67,$AA67)))=Milestones!$AB$173),UPPER(TEXT(EDATE($D67,Milestones!$AA$173),"dd mmm yy"))&amp;" "&amp;Milestones!$AB$173&amp;" "&amp;IF(AND(Milestones!$AB$173="FT",Milestones!$AA$173=FT_Y5,EDATE($D67,Milestones!$AA$173)&lt;PolicyEff),1,Milestones!$AC$173)&amp;";  ","")&amp;IF(AND(EDATE($D67,Milestones!$AA$174)&lt;=AsOfDate,EDATE($D67,Milestones!$AA$174)&gt;=SchemeStart,IF($X67=0,$AD67,IF(AND($Z67&lt;&gt;"",EDATE($D67,Milestones!$AA$174)&gt;=$Z67),$AC67,IF(AND($Y67&lt;&gt;"",EDATE($D67,Milestones!$AA$174)&gt;=$Y67),$AB67,$AA67)))=Milestones!$AB$174),UPPER(TEXT(EDATE($D67,Milestones!$AA$174),"dd mmm yy"))&amp;" "&amp;Milestones!$AB$174&amp;" "&amp;IF(AND(Milestones!$AB$174="FT",Milestones!$AA$174=FT_Y5,EDATE($D67,Milestones!$AA$174)&lt;PolicyEff),1,Milestones!$AC$174)&amp;";  ","")&amp;IF(AND(EDATE($D67,Milestones!$AA$175)&lt;=AsOfDate,EDATE($D67,Milestones!$AA$175)&gt;=SchemeStart,IF($X67=0,$AD67,IF(AND($Z67&lt;&gt;"",EDATE($D67,Milestones!$AA$175)&gt;=$Z67),$AC67,IF(AND($Y67&lt;&gt;"",EDATE($D67,Milestones!$AA$175)&gt;=$Y67),$AB67,$AA67)))=Milestones!$AB$175),UPPER(TEXT(EDATE($D67,Milestones!$AA$175),"dd mmm yy"))&amp;" "&amp;Milestones!$AB$175&amp;" "&amp;IF(AND(Milestones!$AB$175="FT",Milestones!$AA$175=FT_Y5,EDATE($D67,Milestones!$AA$175)&lt;PolicyEff),1,Milestones!$AC$175)&amp;";  ",""))</f>
        <v/>
      </c>
      <c r="V67" s="0" t="str">
        <f aca="false">IF(OR($A67="",$D67=""),"",IF(AND(EDATE($D67,Milestones!$AA$176)&lt;=AsOfDate,EDATE($D67,Milestones!$AA$176)&gt;=SchemeStart,IF($X67=0,$AD67,IF(AND($Z67&lt;&gt;"",EDATE($D67,Milestones!$AA$176)&gt;=$Z67),$AC67,IF(AND($Y67&lt;&gt;"",EDATE($D67,Milestones!$AA$176)&gt;=$Y67),$AB67,$AA67)))=Milestones!$AB$176),UPPER(TEXT(EDATE($D67,Milestones!$AA$176),"dd mmm yy"))&amp;" "&amp;Milestones!$AB$176&amp;" "&amp;IF(AND(Milestones!$AB$176="FT",Milestones!$AA$176=FT_Y5,EDATE($D67,Milestones!$AA$176)&lt;PolicyEff),1,Milestones!$AC$176)&amp;";  ","")&amp;IF(AND(EDATE($D67,Milestones!$AA$177)&lt;=AsOfDate,EDATE($D67,Milestones!$AA$177)&gt;=SchemeStart,IF($X67=0,$AD67,IF(AND($Z67&lt;&gt;"",EDATE($D67,Milestones!$AA$177)&gt;=$Z67),$AC67,IF(AND($Y67&lt;&gt;"",EDATE($D67,Milestones!$AA$177)&gt;=$Y67),$AB67,$AA67)))=Milestones!$AB$177),UPPER(TEXT(EDATE($D67,Milestones!$AA$177),"dd mmm yy"))&amp;" "&amp;Milestones!$AB$177&amp;" "&amp;IF(AND(Milestones!$AB$177="FT",Milestones!$AA$177=FT_Y5,EDATE($D67,Milestones!$AA$177)&lt;PolicyEff),1,Milestones!$AC$177)&amp;";  ","")&amp;IF(AND(EDATE($D67,Milestones!$AA$178)&lt;=AsOfDate,EDATE($D67,Milestones!$AA$178)&gt;=SchemeStart,IF($X67=0,$AD67,IF(AND($Z67&lt;&gt;"",EDATE($D67,Milestones!$AA$178)&gt;=$Z67),$AC67,IF(AND($Y67&lt;&gt;"",EDATE($D67,Milestones!$AA$178)&gt;=$Y67),$AB67,$AA67)))=Milestones!$AB$178),UPPER(TEXT(EDATE($D67,Milestones!$AA$178),"dd mmm yy"))&amp;" "&amp;Milestones!$AB$178&amp;" "&amp;IF(AND(Milestones!$AB$178="FT",Milestones!$AA$178=FT_Y5,EDATE($D67,Milestones!$AA$178)&lt;PolicyEff),1,Milestones!$AC$178)&amp;";  ","")&amp;IF(AND(EDATE($D67,Milestones!$AA$179)&lt;=AsOfDate,EDATE($D67,Milestones!$AA$179)&gt;=SchemeStart,IF($X67=0,$AD67,IF(AND($Z67&lt;&gt;"",EDATE($D67,Milestones!$AA$179)&gt;=$Z67),$AC67,IF(AND($Y67&lt;&gt;"",EDATE($D67,Milestones!$AA$179)&gt;=$Y67),$AB67,$AA67)))=Milestones!$AB$179),UPPER(TEXT(EDATE($D67,Milestones!$AA$179),"dd mmm yy"))&amp;" "&amp;Milestones!$AB$179&amp;" "&amp;IF(AND(Milestones!$AB$179="FT",Milestones!$AA$179=FT_Y5,EDATE($D67,Milestones!$AA$179)&lt;PolicyEff),1,Milestones!$AC$179)&amp;";  ","")&amp;IF(AND(EDATE($D67,Milestones!$AA$180)&lt;=AsOfDate,EDATE($D67,Milestones!$AA$180)&gt;=SchemeStart,IF($X67=0,$AD67,IF(AND($Z67&lt;&gt;"",EDATE($D67,Milestones!$AA$180)&gt;=$Z67),$AC67,IF(AND($Y67&lt;&gt;"",EDATE($D67,Milestones!$AA$180)&gt;=$Y67),$AB67,$AA67)))=Milestones!$AB$180),UPPER(TEXT(EDATE($D67,Milestones!$AA$180),"dd mmm yy"))&amp;" "&amp;Milestones!$AB$180&amp;" "&amp;IF(AND(Milestones!$AB$180="FT",Milestones!$AA$180=FT_Y5,EDATE($D67,Milestones!$AA$180)&lt;PolicyEff),1,Milestones!$AC$180)&amp;";  ","")&amp;IF(AND(EDATE($D67,Milestones!$AA$181)&lt;=AsOfDate,EDATE($D67,Milestones!$AA$181)&gt;=SchemeStart,IF($X67=0,$AD67,IF(AND($Z67&lt;&gt;"",EDATE($D67,Milestones!$AA$181)&gt;=$Z67),$AC67,IF(AND($Y67&lt;&gt;"",EDATE($D67,Milestones!$AA$181)&gt;=$Y67),$AB67,$AA67)))=Milestones!$AB$181),UPPER(TEXT(EDATE($D67,Milestones!$AA$181),"dd mmm yy"))&amp;" "&amp;Milestones!$AB$181&amp;" "&amp;IF(AND(Milestones!$AB$181="FT",Milestones!$AA$181=FT_Y5,EDATE($D67,Milestones!$AA$181)&lt;PolicyEff),1,Milestones!$AC$181)&amp;";  ","")&amp;IF(AND(EDATE($D67,Milestones!$AA$182)&lt;=AsOfDate,EDATE($D67,Milestones!$AA$182)&gt;=SchemeStart,IF($X67=0,$AD67,IF(AND($Z67&lt;&gt;"",EDATE($D67,Milestones!$AA$182)&gt;=$Z67),$AC67,IF(AND($Y67&lt;&gt;"",EDATE($D67,Milestones!$AA$182)&gt;=$Y67),$AB67,$AA67)))=Milestones!$AB$182),UPPER(TEXT(EDATE($D67,Milestones!$AA$182),"dd mmm yy"))&amp;" "&amp;Milestones!$AB$182&amp;" "&amp;IF(AND(Milestones!$AB$182="FT",Milestones!$AA$182=FT_Y5,EDATE($D67,Milestones!$AA$182)&lt;PolicyEff),1,Milestones!$AC$182)&amp;";  ","")&amp;IF(AND(EDATE($D67,Milestones!$AA$183)&lt;=AsOfDate,EDATE($D67,Milestones!$AA$183)&gt;=SchemeStart,IF($X67=0,$AD67,IF(AND($Z67&lt;&gt;"",EDATE($D67,Milestones!$AA$183)&gt;=$Z67),$AC67,IF(AND($Y67&lt;&gt;"",EDATE($D67,Milestones!$AA$183)&gt;=$Y67),$AB67,$AA67)))=Milestones!$AB$183),UPPER(TEXT(EDATE($D67,Milestones!$AA$183),"dd mmm yy"))&amp;" "&amp;Milestones!$AB$183&amp;" "&amp;IF(AND(Milestones!$AB$183="FT",Milestones!$AA$183=FT_Y5,EDATE($D67,Milestones!$AA$183)&lt;PolicyEff),1,Milestones!$AC$183)&amp;";  ","")&amp;IF(AND(EDATE($D67,Milestones!$AA$184)&lt;=AsOfDate,EDATE($D67,Milestones!$AA$184)&gt;=SchemeStart,IF($X67=0,$AD67,IF(AND($Z67&lt;&gt;"",EDATE($D67,Milestones!$AA$184)&gt;=$Z67),$AC67,IF(AND($Y67&lt;&gt;"",EDATE($D67,Milestones!$AA$184)&gt;=$Y67),$AB67,$AA67)))=Milestones!$AB$184),UPPER(TEXT(EDATE($D67,Milestones!$AA$184),"dd mmm yy"))&amp;" "&amp;Milestones!$AB$184&amp;" "&amp;IF(AND(Milestones!$AB$184="FT",Milestones!$AA$184=FT_Y5,EDATE($D67,Milestones!$AA$184)&lt;PolicyEff),1,Milestones!$AC$184)&amp;";  ","")&amp;IF(AND(EDATE($D67,Milestones!$AA$185)&lt;=AsOfDate,EDATE($D67,Milestones!$AA$185)&gt;=SchemeStart,IF($X67=0,$AD67,IF(AND($Z67&lt;&gt;"",EDATE($D67,Milestones!$AA$185)&gt;=$Z67),$AC67,IF(AND($Y67&lt;&gt;"",EDATE($D67,Milestones!$AA$185)&gt;=$Y67),$AB67,$AA67)))=Milestones!$AB$185),UPPER(TEXT(EDATE($D67,Milestones!$AA$185),"dd mmm yy"))&amp;" "&amp;Milestones!$AB$185&amp;" "&amp;IF(AND(Milestones!$AB$185="FT",Milestones!$AA$185=FT_Y5,EDATE($D67,Milestones!$AA$185)&lt;PolicyEff),1,Milestones!$AC$185)&amp;";  ","")&amp;IF(AND(EDATE($D67,Milestones!$AA$186)&lt;=AsOfDate,EDATE($D67,Milestones!$AA$186)&gt;=SchemeStart,IF($X67=0,$AD67,IF(AND($Z67&lt;&gt;"",EDATE($D67,Milestones!$AA$186)&gt;=$Z67),$AC67,IF(AND($Y67&lt;&gt;"",EDATE($D67,Milestones!$AA$186)&gt;=$Y67),$AB67,$AA67)))=Milestones!$AB$186),UPPER(TEXT(EDATE($D67,Milestones!$AA$186),"dd mmm yy"))&amp;" "&amp;Milestones!$AB$186&amp;" "&amp;IF(AND(Milestones!$AB$186="FT",Milestones!$AA$186=FT_Y5,EDATE($D67,Milestones!$AA$186)&lt;PolicyEff),1,Milestones!$AC$186)&amp;";  ","")&amp;IF(AND(EDATE($D67,Milestones!$AA$187)&lt;=AsOfDate,EDATE($D67,Milestones!$AA$187)&gt;=SchemeStart,IF($X67=0,$AD67,IF(AND($Z67&lt;&gt;"",EDATE($D67,Milestones!$AA$187)&gt;=$Z67),$AC67,IF(AND($Y67&lt;&gt;"",EDATE($D67,Milestones!$AA$187)&gt;=$Y67),$AB67,$AA67)))=Milestones!$AB$187),UPPER(TEXT(EDATE($D67,Milestones!$AA$187),"dd mmm yy"))&amp;" "&amp;Milestones!$AB$187&amp;" "&amp;IF(AND(Milestones!$AB$187="FT",Milestones!$AA$187=FT_Y5,EDATE($D67,Milestones!$AA$187)&lt;PolicyEff),1,Milestones!$AC$187)&amp;";  ",""))</f>
        <v/>
      </c>
      <c r="W67" s="0" t="str">
        <f aca="false">IF(OR($A67="",$D67=""),"",IF(AND(EDATE($D67,Milestones!$AA$188)&lt;=AsOfDate,EDATE($D67,Milestones!$AA$188)&gt;=SchemeStart,IF($X67=0,$AD67,IF(AND($Z67&lt;&gt;"",EDATE($D67,Milestones!$AA$188)&gt;=$Z67),$AC67,IF(AND($Y67&lt;&gt;"",EDATE($D67,Milestones!$AA$188)&gt;=$Y67),$AB67,$AA67)))=Milestones!$AB$188),UPPER(TEXT(EDATE($D67,Milestones!$AA$188),"dd mmm yy"))&amp;" "&amp;Milestones!$AB$188&amp;" "&amp;IF(AND(Milestones!$AB$188="FT",Milestones!$AA$188=FT_Y5,EDATE($D67,Milestones!$AA$188)&lt;PolicyEff),1,Milestones!$AC$188)&amp;";  ","")&amp;IF(AND(EDATE($D67,Milestones!$AA$189)&lt;=AsOfDate,EDATE($D67,Milestones!$AA$189)&gt;=SchemeStart,IF($X67=0,$AD67,IF(AND($Z67&lt;&gt;"",EDATE($D67,Milestones!$AA$189)&gt;=$Z67),$AC67,IF(AND($Y67&lt;&gt;"",EDATE($D67,Milestones!$AA$189)&gt;=$Y67),$AB67,$AA67)))=Milestones!$AB$189),UPPER(TEXT(EDATE($D67,Milestones!$AA$189),"dd mmm yy"))&amp;" "&amp;Milestones!$AB$189&amp;" "&amp;IF(AND(Milestones!$AB$189="FT",Milestones!$AA$189=FT_Y5,EDATE($D67,Milestones!$AA$189)&lt;PolicyEff),1,Milestones!$AC$189)&amp;";  ","")&amp;IF(AND(EDATE($D67,Milestones!$AA$190)&lt;=AsOfDate,EDATE($D67,Milestones!$AA$190)&gt;=SchemeStart,IF($X67=0,$AD67,IF(AND($Z67&lt;&gt;"",EDATE($D67,Milestones!$AA$190)&gt;=$Z67),$AC67,IF(AND($Y67&lt;&gt;"",EDATE($D67,Milestones!$AA$190)&gt;=$Y67),$AB67,$AA67)))=Milestones!$AB$190),UPPER(TEXT(EDATE($D67,Milestones!$AA$190),"dd mmm yy"))&amp;" "&amp;Milestones!$AB$190&amp;" "&amp;IF(AND(Milestones!$AB$190="FT",Milestones!$AA$190=FT_Y5,EDATE($D67,Milestones!$AA$190)&lt;PolicyEff),1,Milestones!$AC$190)&amp;";  ","")&amp;IF(AND(EDATE($D67,Milestones!$AA$191)&lt;=AsOfDate,EDATE($D67,Milestones!$AA$191)&gt;=SchemeStart,IF($X67=0,$AD67,IF(AND($Z67&lt;&gt;"",EDATE($D67,Milestones!$AA$191)&gt;=$Z67),$AC67,IF(AND($Y67&lt;&gt;"",EDATE($D67,Milestones!$AA$191)&gt;=$Y67),$AB67,$AA67)))=Milestones!$AB$191),UPPER(TEXT(EDATE($D67,Milestones!$AA$191),"dd mmm yy"))&amp;" "&amp;Milestones!$AB$191&amp;" "&amp;IF(AND(Milestones!$AB$191="FT",Milestones!$AA$191=FT_Y5,EDATE($D67,Milestones!$AA$191)&lt;PolicyEff),1,Milestones!$AC$191)&amp;";  ","")&amp;IF(AND(EDATE($D67,Milestones!$AA$192)&lt;=AsOfDate,EDATE($D67,Milestones!$AA$192)&gt;=SchemeStart,IF($X67=0,$AD67,IF(AND($Z67&lt;&gt;"",EDATE($D67,Milestones!$AA$192)&gt;=$Z67),$AC67,IF(AND($Y67&lt;&gt;"",EDATE($D67,Milestones!$AA$192)&gt;=$Y67),$AB67,$AA67)))=Milestones!$AB$192),UPPER(TEXT(EDATE($D67,Milestones!$AA$192),"dd mmm yy"))&amp;" "&amp;Milestones!$AB$192&amp;" "&amp;IF(AND(Milestones!$AB$192="FT",Milestones!$AA$192=FT_Y5,EDATE($D67,Milestones!$AA$192)&lt;PolicyEff),1,Milestones!$AC$192)&amp;";  ","")&amp;IF(AND(EDATE($D67,Milestones!$AA$193)&lt;=AsOfDate,EDATE($D67,Milestones!$AA$193)&gt;=SchemeStart,IF($X67=0,$AD67,IF(AND($Z67&lt;&gt;"",EDATE($D67,Milestones!$AA$193)&gt;=$Z67),$AC67,IF(AND($Y67&lt;&gt;"",EDATE($D67,Milestones!$AA$193)&gt;=$Y67),$AB67,$AA67)))=Milestones!$AB$193),UPPER(TEXT(EDATE($D67,Milestones!$AA$193),"dd mmm yy"))&amp;" "&amp;Milestones!$AB$193&amp;" "&amp;IF(AND(Milestones!$AB$193="FT",Milestones!$AA$193=FT_Y5,EDATE($D67,Milestones!$AA$193)&lt;PolicyEff),1,Milestones!$AC$193)&amp;";  ","")&amp;IF(AND(EDATE($D67,Milestones!$AA$194)&lt;=AsOfDate,EDATE($D67,Milestones!$AA$194)&gt;=SchemeStart,IF($X67=0,$AD67,IF(AND($Z67&lt;&gt;"",EDATE($D67,Milestones!$AA$194)&gt;=$Z67),$AC67,IF(AND($Y67&lt;&gt;"",EDATE($D67,Milestones!$AA$194)&gt;=$Y67),$AB67,$AA67)))=Milestones!$AB$194),UPPER(TEXT(EDATE($D67,Milestones!$AA$194),"dd mmm yy"))&amp;" "&amp;Milestones!$AB$194&amp;" "&amp;IF(AND(Milestones!$AB$194="FT",Milestones!$AA$194=FT_Y5,EDATE($D67,Milestones!$AA$194)&lt;PolicyEff),1,Milestones!$AC$194)&amp;";  ","")&amp;IF(AND(EDATE($D67,Milestones!$AA$195)&lt;=AsOfDate,EDATE($D67,Milestones!$AA$195)&gt;=SchemeStart,IF($X67=0,$AD67,IF(AND($Z67&lt;&gt;"",EDATE($D67,Milestones!$AA$195)&gt;=$Z67),$AC67,IF(AND($Y67&lt;&gt;"",EDATE($D67,Milestones!$AA$195)&gt;=$Y67),$AB67,$AA67)))=Milestones!$AB$195),UPPER(TEXT(EDATE($D67,Milestones!$AA$195),"dd mmm yy"))&amp;" "&amp;Milestones!$AB$195&amp;" "&amp;IF(AND(Milestones!$AB$195="FT",Milestones!$AA$195=FT_Y5,EDATE($D67,Milestones!$AA$195)&lt;PolicyEff),1,Milestones!$AC$195)&amp;";  ","")&amp;IF(AND(EDATE($D67,Milestones!$AA$196)&lt;=AsOfDate,EDATE($D67,Milestones!$AA$196)&gt;=SchemeStart,IF($X67=0,$AD67,IF(AND($Z67&lt;&gt;"",EDATE($D67,Milestones!$AA$196)&gt;=$Z67),$AC67,IF(AND($Y67&lt;&gt;"",EDATE($D67,Milestones!$AA$196)&gt;=$Y67),$AB67,$AA67)))=Milestones!$AB$196),UPPER(TEXT(EDATE($D67,Milestones!$AA$196),"dd mmm yy"))&amp;" "&amp;Milestones!$AB$196&amp;" "&amp;IF(AND(Milestones!$AB$196="FT",Milestones!$AA$196=FT_Y5,EDATE($D67,Milestones!$AA$196)&lt;PolicyEff),1,Milestones!$AC$196)&amp;";  ","")&amp;IF(AND(EDATE($D67,Milestones!$AA$197)&lt;=AsOfDate,EDATE($D67,Milestones!$AA$197)&gt;=SchemeStart,IF($X67=0,$AD67,IF(AND($Z67&lt;&gt;"",EDATE($D67,Milestones!$AA$197)&gt;=$Z67),$AC67,IF(AND($Y67&lt;&gt;"",EDATE($D67,Milestones!$AA$197)&gt;=$Y67),$AB67,$AA67)))=Milestones!$AB$197),UPPER(TEXT(EDATE($D67,Milestones!$AA$197),"dd mmm yy"))&amp;" "&amp;Milestones!$AB$197&amp;" "&amp;IF(AND(Milestones!$AB$197="FT",Milestones!$AA$197=FT_Y5,EDATE($D67,Milestones!$AA$197)&lt;PolicyEff),1,Milestones!$AC$197)&amp;";  ","")&amp;IF(AND(EDATE($D67,Milestones!$AA$198)&lt;=AsOfDate,EDATE($D67,Milestones!$AA$198)&gt;=SchemeStart,IF($X67=0,$AD67,IF(AND($Z67&lt;&gt;"",EDATE($D67,Milestones!$AA$198)&gt;=$Z67),$AC67,IF(AND($Y67&lt;&gt;"",EDATE($D67,Milestones!$AA$198)&gt;=$Y67),$AB67,$AA67)))=Milestones!$AB$198),UPPER(TEXT(EDATE($D67,Milestones!$AA$198),"dd mmm yy"))&amp;" "&amp;Milestones!$AB$198&amp;" "&amp;IF(AND(Milestones!$AB$198="FT",Milestones!$AA$198=FT_Y5,EDATE($D67,Milestones!$AA$198)&lt;PolicyEff),1,Milestones!$AC$198)&amp;";  ","")&amp;IF(AND(EDATE($D67,Milestones!$AA$199)&lt;=AsOfDate,EDATE($D67,Milestones!$AA$199)&gt;=SchemeStart,IF($X67=0,$AD67,IF(AND($Z67&lt;&gt;"",EDATE($D67,Milestones!$AA$199)&gt;=$Z67),$AC67,IF(AND($Y67&lt;&gt;"",EDATE($D67,Milestones!$AA$199)&gt;=$Y67),$AB67,$AA67)))=Milestones!$AB$199),UPPER(TEXT(EDATE($D67,Milestones!$AA$199),"dd mmm yy"))&amp;" "&amp;Milestones!$AB$199&amp;" "&amp;IF(AND(Milestones!$AB$199="FT",Milestones!$AA$199=FT_Y5,EDATE($D67,Milestones!$AA$199)&lt;PolicyEff),1,Milestones!$AC$199)&amp;";  ",""))</f>
        <v/>
      </c>
      <c r="X67" s="0" t="str">
        <f aca="false">IF(Staff!$A67="","",Staff!$AM67)</f>
        <v/>
      </c>
      <c r="Y67" s="0" t="str">
        <f aca="false">IF(Staff!$A67="","",Staff!$AO67)</f>
        <v/>
      </c>
      <c r="Z67" s="0" t="str">
        <f aca="false">IF(Staff!$A67="","",Staff!$AP67)</f>
        <v/>
      </c>
      <c r="AA67" s="0" t="str">
        <f aca="false">IF(Staff!$A67="","",Staff!$AT67)</f>
        <v/>
      </c>
      <c r="AB67" s="0" t="str">
        <f aca="false">IF(Staff!$A67="","",Staff!$AU67)</f>
        <v/>
      </c>
      <c r="AC67" s="0" t="str">
        <f aca="false">IF(Staff!$A67="","",Staff!$AV67)</f>
        <v/>
      </c>
      <c r="AD67" s="0" t="str">
        <f aca="false">IF(Staff!$A67="","",Staff!$AW67)</f>
        <v/>
      </c>
    </row>
    <row r="68" customFormat="false" ht="15" hidden="false" customHeight="false" outlineLevel="0" collapsed="false">
      <c r="A68" s="16" t="str">
        <f aca="false">IF(Staff!$A68="","",Staff!$A68)</f>
        <v/>
      </c>
      <c r="B68" s="16" t="str">
        <f aca="false">IF(Staff!$A68="","",Staff!$B68)</f>
        <v/>
      </c>
      <c r="C68" s="16" t="str">
        <f aca="false">IF(Staff!$A68="","",Staff!$C68)</f>
        <v/>
      </c>
      <c r="D68" s="14" t="str">
        <f aca="false">IF(Staff!$A68="","",Staff!$AL68)</f>
        <v/>
      </c>
      <c r="E68" s="16" t="str">
        <f aca="false">IF(Staff!$A68="","",Staff!$O68)</f>
        <v/>
      </c>
      <c r="F68" s="16" t="str">
        <f aca="false">IF(E68="","",E68*HoursPerDay)</f>
        <v/>
      </c>
      <c r="G68" s="16" t="str">
        <f aca="false">IF(Staff!$A68="","",Staff!$AE68)</f>
        <v/>
      </c>
      <c r="H68" s="28" t="str">
        <f aca="false">IF($A68="","",I68&amp;J68&amp;K68&amp;L68&amp;M68&amp;N68&amp;O68&amp;P68&amp;Q68&amp;R68&amp;S68&amp;T68&amp;U68&amp;V68&amp;W68)</f>
        <v/>
      </c>
      <c r="I68" s="0" t="str">
        <f aca="false">IF(OR($A68="",$D68=""),"",IF(AND(EDATE($D68,Milestones!$AA$20)&lt;=AsOfDate,EDATE($D68,Milestones!$AA$20)&gt;=SchemeStart,IF($X68=0,$AD68,IF(AND($Z68&lt;&gt;"",EDATE($D68,Milestones!$AA$20)&gt;=$Z68),$AC68,IF(AND($Y68&lt;&gt;"",EDATE($D68,Milestones!$AA$20)&gt;=$Y68),$AB68,$AA68)))=Milestones!$AB$20),UPPER(TEXT(EDATE($D68,Milestones!$AA$20),"dd mmm yy"))&amp;" "&amp;Milestones!$AB$20&amp;" "&amp;IF(AND(Milestones!$AB$20="FT",Milestones!$AA$20=FT_Y5,EDATE($D68,Milestones!$AA$20)&lt;PolicyEff),1,Milestones!$AC$20)&amp;";  ","")&amp;IF(AND(EDATE($D68,Milestones!$AA$21)&lt;=AsOfDate,EDATE($D68,Milestones!$AA$21)&gt;=SchemeStart,IF($X68=0,$AD68,IF(AND($Z68&lt;&gt;"",EDATE($D68,Milestones!$AA$21)&gt;=$Z68),$AC68,IF(AND($Y68&lt;&gt;"",EDATE($D68,Milestones!$AA$21)&gt;=$Y68),$AB68,$AA68)))=Milestones!$AB$21),UPPER(TEXT(EDATE($D68,Milestones!$AA$21),"dd mmm yy"))&amp;" "&amp;Milestones!$AB$21&amp;" "&amp;IF(AND(Milestones!$AB$21="FT",Milestones!$AA$21=FT_Y5,EDATE($D68,Milestones!$AA$21)&lt;PolicyEff),1,Milestones!$AC$21)&amp;";  ","")&amp;IF(AND(EDATE($D68,Milestones!$AA$22)&lt;=AsOfDate,EDATE($D68,Milestones!$AA$22)&gt;=SchemeStart,IF($X68=0,$AD68,IF(AND($Z68&lt;&gt;"",EDATE($D68,Milestones!$AA$22)&gt;=$Z68),$AC68,IF(AND($Y68&lt;&gt;"",EDATE($D68,Milestones!$AA$22)&gt;=$Y68),$AB68,$AA68)))=Milestones!$AB$22),UPPER(TEXT(EDATE($D68,Milestones!$AA$22),"dd mmm yy"))&amp;" "&amp;Milestones!$AB$22&amp;" "&amp;IF(AND(Milestones!$AB$22="FT",Milestones!$AA$22=FT_Y5,EDATE($D68,Milestones!$AA$22)&lt;PolicyEff),1,Milestones!$AC$22)&amp;";  ","")&amp;IF(AND(EDATE($D68,Milestones!$AA$23)&lt;=AsOfDate,EDATE($D68,Milestones!$AA$23)&gt;=SchemeStart,IF($X68=0,$AD68,IF(AND($Z68&lt;&gt;"",EDATE($D68,Milestones!$AA$23)&gt;=$Z68),$AC68,IF(AND($Y68&lt;&gt;"",EDATE($D68,Milestones!$AA$23)&gt;=$Y68),$AB68,$AA68)))=Milestones!$AB$23),UPPER(TEXT(EDATE($D68,Milestones!$AA$23),"dd mmm yy"))&amp;" "&amp;Milestones!$AB$23&amp;" "&amp;IF(AND(Milestones!$AB$23="FT",Milestones!$AA$23=FT_Y5,EDATE($D68,Milestones!$AA$23)&lt;PolicyEff),1,Milestones!$AC$23)&amp;";  ","")&amp;IF(AND(EDATE($D68,Milestones!$AA$24)&lt;=AsOfDate,EDATE($D68,Milestones!$AA$24)&gt;=SchemeStart,IF($X68=0,$AD68,IF(AND($Z68&lt;&gt;"",EDATE($D68,Milestones!$AA$24)&gt;=$Z68),$AC68,IF(AND($Y68&lt;&gt;"",EDATE($D68,Milestones!$AA$24)&gt;=$Y68),$AB68,$AA68)))=Milestones!$AB$24),UPPER(TEXT(EDATE($D68,Milestones!$AA$24),"dd mmm yy"))&amp;" "&amp;Milestones!$AB$24&amp;" "&amp;IF(AND(Milestones!$AB$24="FT",Milestones!$AA$24=FT_Y5,EDATE($D68,Milestones!$AA$24)&lt;PolicyEff),1,Milestones!$AC$24)&amp;";  ","")&amp;IF(AND(EDATE($D68,Milestones!$AA$25)&lt;=AsOfDate,EDATE($D68,Milestones!$AA$25)&gt;=SchemeStart,IF($X68=0,$AD68,IF(AND($Z68&lt;&gt;"",EDATE($D68,Milestones!$AA$25)&gt;=$Z68),$AC68,IF(AND($Y68&lt;&gt;"",EDATE($D68,Milestones!$AA$25)&gt;=$Y68),$AB68,$AA68)))=Milestones!$AB$25),UPPER(TEXT(EDATE($D68,Milestones!$AA$25),"dd mmm yy"))&amp;" "&amp;Milestones!$AB$25&amp;" "&amp;IF(AND(Milestones!$AB$25="FT",Milestones!$AA$25=FT_Y5,EDATE($D68,Milestones!$AA$25)&lt;PolicyEff),1,Milestones!$AC$25)&amp;";  ","")&amp;IF(AND(EDATE($D68,Milestones!$AA$26)&lt;=AsOfDate,EDATE($D68,Milestones!$AA$26)&gt;=SchemeStart,IF($X68=0,$AD68,IF(AND($Z68&lt;&gt;"",EDATE($D68,Milestones!$AA$26)&gt;=$Z68),$AC68,IF(AND($Y68&lt;&gt;"",EDATE($D68,Milestones!$AA$26)&gt;=$Y68),$AB68,$AA68)))=Milestones!$AB$26),UPPER(TEXT(EDATE($D68,Milestones!$AA$26),"dd mmm yy"))&amp;" "&amp;Milestones!$AB$26&amp;" "&amp;IF(AND(Milestones!$AB$26="FT",Milestones!$AA$26=FT_Y5,EDATE($D68,Milestones!$AA$26)&lt;PolicyEff),1,Milestones!$AC$26)&amp;";  ","")&amp;IF(AND(EDATE($D68,Milestones!$AA$27)&lt;=AsOfDate,EDATE($D68,Milestones!$AA$27)&gt;=SchemeStart,IF($X68=0,$AD68,IF(AND($Z68&lt;&gt;"",EDATE($D68,Milestones!$AA$27)&gt;=$Z68),$AC68,IF(AND($Y68&lt;&gt;"",EDATE($D68,Milestones!$AA$27)&gt;=$Y68),$AB68,$AA68)))=Milestones!$AB$27),UPPER(TEXT(EDATE($D68,Milestones!$AA$27),"dd mmm yy"))&amp;" "&amp;Milestones!$AB$27&amp;" "&amp;IF(AND(Milestones!$AB$27="FT",Milestones!$AA$27=FT_Y5,EDATE($D68,Milestones!$AA$27)&lt;PolicyEff),1,Milestones!$AC$27)&amp;";  ","")&amp;IF(AND(EDATE($D68,Milestones!$AA$28)&lt;=AsOfDate,EDATE($D68,Milestones!$AA$28)&gt;=SchemeStart,IF($X68=0,$AD68,IF(AND($Z68&lt;&gt;"",EDATE($D68,Milestones!$AA$28)&gt;=$Z68),$AC68,IF(AND($Y68&lt;&gt;"",EDATE($D68,Milestones!$AA$28)&gt;=$Y68),$AB68,$AA68)))=Milestones!$AB$28),UPPER(TEXT(EDATE($D68,Milestones!$AA$28),"dd mmm yy"))&amp;" "&amp;Milestones!$AB$28&amp;" "&amp;IF(AND(Milestones!$AB$28="FT",Milestones!$AA$28=FT_Y5,EDATE($D68,Milestones!$AA$28)&lt;PolicyEff),1,Milestones!$AC$28)&amp;";  ","")&amp;IF(AND(EDATE($D68,Milestones!$AA$29)&lt;=AsOfDate,EDATE($D68,Milestones!$AA$29)&gt;=SchemeStart,IF($X68=0,$AD68,IF(AND($Z68&lt;&gt;"",EDATE($D68,Milestones!$AA$29)&gt;=$Z68),$AC68,IF(AND($Y68&lt;&gt;"",EDATE($D68,Milestones!$AA$29)&gt;=$Y68),$AB68,$AA68)))=Milestones!$AB$29),UPPER(TEXT(EDATE($D68,Milestones!$AA$29),"dd mmm yy"))&amp;" "&amp;Milestones!$AB$29&amp;" "&amp;IF(AND(Milestones!$AB$29="FT",Milestones!$AA$29=FT_Y5,EDATE($D68,Milestones!$AA$29)&lt;PolicyEff),1,Milestones!$AC$29)&amp;";  ","")&amp;IF(AND(EDATE($D68,Milestones!$AA$30)&lt;=AsOfDate,EDATE($D68,Milestones!$AA$30)&gt;=SchemeStart,IF($X68=0,$AD68,IF(AND($Z68&lt;&gt;"",EDATE($D68,Milestones!$AA$30)&gt;=$Z68),$AC68,IF(AND($Y68&lt;&gt;"",EDATE($D68,Milestones!$AA$30)&gt;=$Y68),$AB68,$AA68)))=Milestones!$AB$30),UPPER(TEXT(EDATE($D68,Milestones!$AA$30),"dd mmm yy"))&amp;" "&amp;Milestones!$AB$30&amp;" "&amp;IF(AND(Milestones!$AB$30="FT",Milestones!$AA$30=FT_Y5,EDATE($D68,Milestones!$AA$30)&lt;PolicyEff),1,Milestones!$AC$30)&amp;";  ","")&amp;IF(AND(EDATE($D68,Milestones!$AA$31)&lt;=AsOfDate,EDATE($D68,Milestones!$AA$31)&gt;=SchemeStart,IF($X68=0,$AD68,IF(AND($Z68&lt;&gt;"",EDATE($D68,Milestones!$AA$31)&gt;=$Z68),$AC68,IF(AND($Y68&lt;&gt;"",EDATE($D68,Milestones!$AA$31)&gt;=$Y68),$AB68,$AA68)))=Milestones!$AB$31),UPPER(TEXT(EDATE($D68,Milestones!$AA$31),"dd mmm yy"))&amp;" "&amp;Milestones!$AB$31&amp;" "&amp;IF(AND(Milestones!$AB$31="FT",Milestones!$AA$31=FT_Y5,EDATE($D68,Milestones!$AA$31)&lt;PolicyEff),1,Milestones!$AC$31)&amp;";  ",""))</f>
        <v/>
      </c>
      <c r="J68" s="0" t="str">
        <f aca="false">IF(OR($A68="",$D68=""),"",IF(AND(EDATE($D68,Milestones!$AA$32)&lt;=AsOfDate,EDATE($D68,Milestones!$AA$32)&gt;=SchemeStart,IF($X68=0,$AD68,IF(AND($Z68&lt;&gt;"",EDATE($D68,Milestones!$AA$32)&gt;=$Z68),$AC68,IF(AND($Y68&lt;&gt;"",EDATE($D68,Milestones!$AA$32)&gt;=$Y68),$AB68,$AA68)))=Milestones!$AB$32),UPPER(TEXT(EDATE($D68,Milestones!$AA$32),"dd mmm yy"))&amp;" "&amp;Milestones!$AB$32&amp;" "&amp;IF(AND(Milestones!$AB$32="FT",Milestones!$AA$32=FT_Y5,EDATE($D68,Milestones!$AA$32)&lt;PolicyEff),1,Milestones!$AC$32)&amp;";  ","")&amp;IF(AND(EDATE($D68,Milestones!$AA$33)&lt;=AsOfDate,EDATE($D68,Milestones!$AA$33)&gt;=SchemeStart,IF($X68=0,$AD68,IF(AND($Z68&lt;&gt;"",EDATE($D68,Milestones!$AA$33)&gt;=$Z68),$AC68,IF(AND($Y68&lt;&gt;"",EDATE($D68,Milestones!$AA$33)&gt;=$Y68),$AB68,$AA68)))=Milestones!$AB$33),UPPER(TEXT(EDATE($D68,Milestones!$AA$33),"dd mmm yy"))&amp;" "&amp;Milestones!$AB$33&amp;" "&amp;IF(AND(Milestones!$AB$33="FT",Milestones!$AA$33=FT_Y5,EDATE($D68,Milestones!$AA$33)&lt;PolicyEff),1,Milestones!$AC$33)&amp;";  ","")&amp;IF(AND(EDATE($D68,Milestones!$AA$34)&lt;=AsOfDate,EDATE($D68,Milestones!$AA$34)&gt;=SchemeStart,IF($X68=0,$AD68,IF(AND($Z68&lt;&gt;"",EDATE($D68,Milestones!$AA$34)&gt;=$Z68),$AC68,IF(AND($Y68&lt;&gt;"",EDATE($D68,Milestones!$AA$34)&gt;=$Y68),$AB68,$AA68)))=Milestones!$AB$34),UPPER(TEXT(EDATE($D68,Milestones!$AA$34),"dd mmm yy"))&amp;" "&amp;Milestones!$AB$34&amp;" "&amp;IF(AND(Milestones!$AB$34="FT",Milestones!$AA$34=FT_Y5,EDATE($D68,Milestones!$AA$34)&lt;PolicyEff),1,Milestones!$AC$34)&amp;";  ","")&amp;IF(AND(EDATE($D68,Milestones!$AA$35)&lt;=AsOfDate,EDATE($D68,Milestones!$AA$35)&gt;=SchemeStart,IF($X68=0,$AD68,IF(AND($Z68&lt;&gt;"",EDATE($D68,Milestones!$AA$35)&gt;=$Z68),$AC68,IF(AND($Y68&lt;&gt;"",EDATE($D68,Milestones!$AA$35)&gt;=$Y68),$AB68,$AA68)))=Milestones!$AB$35),UPPER(TEXT(EDATE($D68,Milestones!$AA$35),"dd mmm yy"))&amp;" "&amp;Milestones!$AB$35&amp;" "&amp;IF(AND(Milestones!$AB$35="FT",Milestones!$AA$35=FT_Y5,EDATE($D68,Milestones!$AA$35)&lt;PolicyEff),1,Milestones!$AC$35)&amp;";  ","")&amp;IF(AND(EDATE($D68,Milestones!$AA$36)&lt;=AsOfDate,EDATE($D68,Milestones!$AA$36)&gt;=SchemeStart,IF($X68=0,$AD68,IF(AND($Z68&lt;&gt;"",EDATE($D68,Milestones!$AA$36)&gt;=$Z68),$AC68,IF(AND($Y68&lt;&gt;"",EDATE($D68,Milestones!$AA$36)&gt;=$Y68),$AB68,$AA68)))=Milestones!$AB$36),UPPER(TEXT(EDATE($D68,Milestones!$AA$36),"dd mmm yy"))&amp;" "&amp;Milestones!$AB$36&amp;" "&amp;IF(AND(Milestones!$AB$36="FT",Milestones!$AA$36=FT_Y5,EDATE($D68,Milestones!$AA$36)&lt;PolicyEff),1,Milestones!$AC$36)&amp;";  ","")&amp;IF(AND(EDATE($D68,Milestones!$AA$37)&lt;=AsOfDate,EDATE($D68,Milestones!$AA$37)&gt;=SchemeStart,IF($X68=0,$AD68,IF(AND($Z68&lt;&gt;"",EDATE($D68,Milestones!$AA$37)&gt;=$Z68),$AC68,IF(AND($Y68&lt;&gt;"",EDATE($D68,Milestones!$AA$37)&gt;=$Y68),$AB68,$AA68)))=Milestones!$AB$37),UPPER(TEXT(EDATE($D68,Milestones!$AA$37),"dd mmm yy"))&amp;" "&amp;Milestones!$AB$37&amp;" "&amp;IF(AND(Milestones!$AB$37="FT",Milestones!$AA$37=FT_Y5,EDATE($D68,Milestones!$AA$37)&lt;PolicyEff),1,Milestones!$AC$37)&amp;";  ","")&amp;IF(AND(EDATE($D68,Milestones!$AA$38)&lt;=AsOfDate,EDATE($D68,Milestones!$AA$38)&gt;=SchemeStart,IF($X68=0,$AD68,IF(AND($Z68&lt;&gt;"",EDATE($D68,Milestones!$AA$38)&gt;=$Z68),$AC68,IF(AND($Y68&lt;&gt;"",EDATE($D68,Milestones!$AA$38)&gt;=$Y68),$AB68,$AA68)))=Milestones!$AB$38),UPPER(TEXT(EDATE($D68,Milestones!$AA$38),"dd mmm yy"))&amp;" "&amp;Milestones!$AB$38&amp;" "&amp;IF(AND(Milestones!$AB$38="FT",Milestones!$AA$38=FT_Y5,EDATE($D68,Milestones!$AA$38)&lt;PolicyEff),1,Milestones!$AC$38)&amp;";  ","")&amp;IF(AND(EDATE($D68,Milestones!$AA$39)&lt;=AsOfDate,EDATE($D68,Milestones!$AA$39)&gt;=SchemeStart,IF($X68=0,$AD68,IF(AND($Z68&lt;&gt;"",EDATE($D68,Milestones!$AA$39)&gt;=$Z68),$AC68,IF(AND($Y68&lt;&gt;"",EDATE($D68,Milestones!$AA$39)&gt;=$Y68),$AB68,$AA68)))=Milestones!$AB$39),UPPER(TEXT(EDATE($D68,Milestones!$AA$39),"dd mmm yy"))&amp;" "&amp;Milestones!$AB$39&amp;" "&amp;IF(AND(Milestones!$AB$39="FT",Milestones!$AA$39=FT_Y5,EDATE($D68,Milestones!$AA$39)&lt;PolicyEff),1,Milestones!$AC$39)&amp;";  ","")&amp;IF(AND(EDATE($D68,Milestones!$AA$40)&lt;=AsOfDate,EDATE($D68,Milestones!$AA$40)&gt;=SchemeStart,IF($X68=0,$AD68,IF(AND($Z68&lt;&gt;"",EDATE($D68,Milestones!$AA$40)&gt;=$Z68),$AC68,IF(AND($Y68&lt;&gt;"",EDATE($D68,Milestones!$AA$40)&gt;=$Y68),$AB68,$AA68)))=Milestones!$AB$40),UPPER(TEXT(EDATE($D68,Milestones!$AA$40),"dd mmm yy"))&amp;" "&amp;Milestones!$AB$40&amp;" "&amp;IF(AND(Milestones!$AB$40="FT",Milestones!$AA$40=FT_Y5,EDATE($D68,Milestones!$AA$40)&lt;PolicyEff),1,Milestones!$AC$40)&amp;";  ","")&amp;IF(AND(EDATE($D68,Milestones!$AA$41)&lt;=AsOfDate,EDATE($D68,Milestones!$AA$41)&gt;=SchemeStart,IF($X68=0,$AD68,IF(AND($Z68&lt;&gt;"",EDATE($D68,Milestones!$AA$41)&gt;=$Z68),$AC68,IF(AND($Y68&lt;&gt;"",EDATE($D68,Milestones!$AA$41)&gt;=$Y68),$AB68,$AA68)))=Milestones!$AB$41),UPPER(TEXT(EDATE($D68,Milestones!$AA$41),"dd mmm yy"))&amp;" "&amp;Milestones!$AB$41&amp;" "&amp;IF(AND(Milestones!$AB$41="FT",Milestones!$AA$41=FT_Y5,EDATE($D68,Milestones!$AA$41)&lt;PolicyEff),1,Milestones!$AC$41)&amp;";  ","")&amp;IF(AND(EDATE($D68,Milestones!$AA$42)&lt;=AsOfDate,EDATE($D68,Milestones!$AA$42)&gt;=SchemeStart,IF($X68=0,$AD68,IF(AND($Z68&lt;&gt;"",EDATE($D68,Milestones!$AA$42)&gt;=$Z68),$AC68,IF(AND($Y68&lt;&gt;"",EDATE($D68,Milestones!$AA$42)&gt;=$Y68),$AB68,$AA68)))=Milestones!$AB$42),UPPER(TEXT(EDATE($D68,Milestones!$AA$42),"dd mmm yy"))&amp;" "&amp;Milestones!$AB$42&amp;" "&amp;IF(AND(Milestones!$AB$42="FT",Milestones!$AA$42=FT_Y5,EDATE($D68,Milestones!$AA$42)&lt;PolicyEff),1,Milestones!$AC$42)&amp;";  ","")&amp;IF(AND(EDATE($D68,Milestones!$AA$43)&lt;=AsOfDate,EDATE($D68,Milestones!$AA$43)&gt;=SchemeStart,IF($X68=0,$AD68,IF(AND($Z68&lt;&gt;"",EDATE($D68,Milestones!$AA$43)&gt;=$Z68),$AC68,IF(AND($Y68&lt;&gt;"",EDATE($D68,Milestones!$AA$43)&gt;=$Y68),$AB68,$AA68)))=Milestones!$AB$43),UPPER(TEXT(EDATE($D68,Milestones!$AA$43),"dd mmm yy"))&amp;" "&amp;Milestones!$AB$43&amp;" "&amp;IF(AND(Milestones!$AB$43="FT",Milestones!$AA$43=FT_Y5,EDATE($D68,Milestones!$AA$43)&lt;PolicyEff),1,Milestones!$AC$43)&amp;";  ",""))</f>
        <v/>
      </c>
      <c r="K68" s="0" t="str">
        <f aca="false">IF(OR($A68="",$D68=""),"",IF(AND(EDATE($D68,Milestones!$AA$44)&lt;=AsOfDate,EDATE($D68,Milestones!$AA$44)&gt;=SchemeStart,IF($X68=0,$AD68,IF(AND($Z68&lt;&gt;"",EDATE($D68,Milestones!$AA$44)&gt;=$Z68),$AC68,IF(AND($Y68&lt;&gt;"",EDATE($D68,Milestones!$AA$44)&gt;=$Y68),$AB68,$AA68)))=Milestones!$AB$44),UPPER(TEXT(EDATE($D68,Milestones!$AA$44),"dd mmm yy"))&amp;" "&amp;Milestones!$AB$44&amp;" "&amp;IF(AND(Milestones!$AB$44="FT",Milestones!$AA$44=FT_Y5,EDATE($D68,Milestones!$AA$44)&lt;PolicyEff),1,Milestones!$AC$44)&amp;";  ","")&amp;IF(AND(EDATE($D68,Milestones!$AA$45)&lt;=AsOfDate,EDATE($D68,Milestones!$AA$45)&gt;=SchemeStart,IF($X68=0,$AD68,IF(AND($Z68&lt;&gt;"",EDATE($D68,Milestones!$AA$45)&gt;=$Z68),$AC68,IF(AND($Y68&lt;&gt;"",EDATE($D68,Milestones!$AA$45)&gt;=$Y68),$AB68,$AA68)))=Milestones!$AB$45),UPPER(TEXT(EDATE($D68,Milestones!$AA$45),"dd mmm yy"))&amp;" "&amp;Milestones!$AB$45&amp;" "&amp;IF(AND(Milestones!$AB$45="FT",Milestones!$AA$45=FT_Y5,EDATE($D68,Milestones!$AA$45)&lt;PolicyEff),1,Milestones!$AC$45)&amp;";  ","")&amp;IF(AND(EDATE($D68,Milestones!$AA$46)&lt;=AsOfDate,EDATE($D68,Milestones!$AA$46)&gt;=SchemeStart,IF($X68=0,$AD68,IF(AND($Z68&lt;&gt;"",EDATE($D68,Milestones!$AA$46)&gt;=$Z68),$AC68,IF(AND($Y68&lt;&gt;"",EDATE($D68,Milestones!$AA$46)&gt;=$Y68),$AB68,$AA68)))=Milestones!$AB$46),UPPER(TEXT(EDATE($D68,Milestones!$AA$46),"dd mmm yy"))&amp;" "&amp;Milestones!$AB$46&amp;" "&amp;IF(AND(Milestones!$AB$46="FT",Milestones!$AA$46=FT_Y5,EDATE($D68,Milestones!$AA$46)&lt;PolicyEff),1,Milestones!$AC$46)&amp;";  ","")&amp;IF(AND(EDATE($D68,Milestones!$AA$47)&lt;=AsOfDate,EDATE($D68,Milestones!$AA$47)&gt;=SchemeStart,IF($X68=0,$AD68,IF(AND($Z68&lt;&gt;"",EDATE($D68,Milestones!$AA$47)&gt;=$Z68),$AC68,IF(AND($Y68&lt;&gt;"",EDATE($D68,Milestones!$AA$47)&gt;=$Y68),$AB68,$AA68)))=Milestones!$AB$47),UPPER(TEXT(EDATE($D68,Milestones!$AA$47),"dd mmm yy"))&amp;" "&amp;Milestones!$AB$47&amp;" "&amp;IF(AND(Milestones!$AB$47="FT",Milestones!$AA$47=FT_Y5,EDATE($D68,Milestones!$AA$47)&lt;PolicyEff),1,Milestones!$AC$47)&amp;";  ","")&amp;IF(AND(EDATE($D68,Milestones!$AA$48)&lt;=AsOfDate,EDATE($D68,Milestones!$AA$48)&gt;=SchemeStart,IF($X68=0,$AD68,IF(AND($Z68&lt;&gt;"",EDATE($D68,Milestones!$AA$48)&gt;=$Z68),$AC68,IF(AND($Y68&lt;&gt;"",EDATE($D68,Milestones!$AA$48)&gt;=$Y68),$AB68,$AA68)))=Milestones!$AB$48),UPPER(TEXT(EDATE($D68,Milestones!$AA$48),"dd mmm yy"))&amp;" "&amp;Milestones!$AB$48&amp;" "&amp;IF(AND(Milestones!$AB$48="FT",Milestones!$AA$48=FT_Y5,EDATE($D68,Milestones!$AA$48)&lt;PolicyEff),1,Milestones!$AC$48)&amp;";  ","")&amp;IF(AND(EDATE($D68,Milestones!$AA$49)&lt;=AsOfDate,EDATE($D68,Milestones!$AA$49)&gt;=SchemeStart,IF($X68=0,$AD68,IF(AND($Z68&lt;&gt;"",EDATE($D68,Milestones!$AA$49)&gt;=$Z68),$AC68,IF(AND($Y68&lt;&gt;"",EDATE($D68,Milestones!$AA$49)&gt;=$Y68),$AB68,$AA68)))=Milestones!$AB$49),UPPER(TEXT(EDATE($D68,Milestones!$AA$49),"dd mmm yy"))&amp;" "&amp;Milestones!$AB$49&amp;" "&amp;IF(AND(Milestones!$AB$49="FT",Milestones!$AA$49=FT_Y5,EDATE($D68,Milestones!$AA$49)&lt;PolicyEff),1,Milestones!$AC$49)&amp;";  ","")&amp;IF(AND(EDATE($D68,Milestones!$AA$50)&lt;=AsOfDate,EDATE($D68,Milestones!$AA$50)&gt;=SchemeStart,IF($X68=0,$AD68,IF(AND($Z68&lt;&gt;"",EDATE($D68,Milestones!$AA$50)&gt;=$Z68),$AC68,IF(AND($Y68&lt;&gt;"",EDATE($D68,Milestones!$AA$50)&gt;=$Y68),$AB68,$AA68)))=Milestones!$AB$50),UPPER(TEXT(EDATE($D68,Milestones!$AA$50),"dd mmm yy"))&amp;" "&amp;Milestones!$AB$50&amp;" "&amp;IF(AND(Milestones!$AB$50="FT",Milestones!$AA$50=FT_Y5,EDATE($D68,Milestones!$AA$50)&lt;PolicyEff),1,Milestones!$AC$50)&amp;";  ","")&amp;IF(AND(EDATE($D68,Milestones!$AA$51)&lt;=AsOfDate,EDATE($D68,Milestones!$AA$51)&gt;=SchemeStart,IF($X68=0,$AD68,IF(AND($Z68&lt;&gt;"",EDATE($D68,Milestones!$AA$51)&gt;=$Z68),$AC68,IF(AND($Y68&lt;&gt;"",EDATE($D68,Milestones!$AA$51)&gt;=$Y68),$AB68,$AA68)))=Milestones!$AB$51),UPPER(TEXT(EDATE($D68,Milestones!$AA$51),"dd mmm yy"))&amp;" "&amp;Milestones!$AB$51&amp;" "&amp;IF(AND(Milestones!$AB$51="FT",Milestones!$AA$51=FT_Y5,EDATE($D68,Milestones!$AA$51)&lt;PolicyEff),1,Milestones!$AC$51)&amp;";  ","")&amp;IF(AND(EDATE($D68,Milestones!$AA$52)&lt;=AsOfDate,EDATE($D68,Milestones!$AA$52)&gt;=SchemeStart,IF($X68=0,$AD68,IF(AND($Z68&lt;&gt;"",EDATE($D68,Milestones!$AA$52)&gt;=$Z68),$AC68,IF(AND($Y68&lt;&gt;"",EDATE($D68,Milestones!$AA$52)&gt;=$Y68),$AB68,$AA68)))=Milestones!$AB$52),UPPER(TEXT(EDATE($D68,Milestones!$AA$52),"dd mmm yy"))&amp;" "&amp;Milestones!$AB$52&amp;" "&amp;IF(AND(Milestones!$AB$52="FT",Milestones!$AA$52=FT_Y5,EDATE($D68,Milestones!$AA$52)&lt;PolicyEff),1,Milestones!$AC$52)&amp;";  ","")&amp;IF(AND(EDATE($D68,Milestones!$AA$53)&lt;=AsOfDate,EDATE($D68,Milestones!$AA$53)&gt;=SchemeStart,IF($X68=0,$AD68,IF(AND($Z68&lt;&gt;"",EDATE($D68,Milestones!$AA$53)&gt;=$Z68),$AC68,IF(AND($Y68&lt;&gt;"",EDATE($D68,Milestones!$AA$53)&gt;=$Y68),$AB68,$AA68)))=Milestones!$AB$53),UPPER(TEXT(EDATE($D68,Milestones!$AA$53),"dd mmm yy"))&amp;" "&amp;Milestones!$AB$53&amp;" "&amp;IF(AND(Milestones!$AB$53="FT",Milestones!$AA$53=FT_Y5,EDATE($D68,Milestones!$AA$53)&lt;PolicyEff),1,Milestones!$AC$53)&amp;";  ","")&amp;IF(AND(EDATE($D68,Milestones!$AA$54)&lt;=AsOfDate,EDATE($D68,Milestones!$AA$54)&gt;=SchemeStart,IF($X68=0,$AD68,IF(AND($Z68&lt;&gt;"",EDATE($D68,Milestones!$AA$54)&gt;=$Z68),$AC68,IF(AND($Y68&lt;&gt;"",EDATE($D68,Milestones!$AA$54)&gt;=$Y68),$AB68,$AA68)))=Milestones!$AB$54),UPPER(TEXT(EDATE($D68,Milestones!$AA$54),"dd mmm yy"))&amp;" "&amp;Milestones!$AB$54&amp;" "&amp;IF(AND(Milestones!$AB$54="FT",Milestones!$AA$54=FT_Y5,EDATE($D68,Milestones!$AA$54)&lt;PolicyEff),1,Milestones!$AC$54)&amp;";  ","")&amp;IF(AND(EDATE($D68,Milestones!$AA$55)&lt;=AsOfDate,EDATE($D68,Milestones!$AA$55)&gt;=SchemeStart,IF($X68=0,$AD68,IF(AND($Z68&lt;&gt;"",EDATE($D68,Milestones!$AA$55)&gt;=$Z68),$AC68,IF(AND($Y68&lt;&gt;"",EDATE($D68,Milestones!$AA$55)&gt;=$Y68),$AB68,$AA68)))=Milestones!$AB$55),UPPER(TEXT(EDATE($D68,Milestones!$AA$55),"dd mmm yy"))&amp;" "&amp;Milestones!$AB$55&amp;" "&amp;IF(AND(Milestones!$AB$55="FT",Milestones!$AA$55=FT_Y5,EDATE($D68,Milestones!$AA$55)&lt;PolicyEff),1,Milestones!$AC$55)&amp;";  ",""))</f>
        <v/>
      </c>
      <c r="L68" s="0" t="str">
        <f aca="false">IF(OR($A68="",$D68=""),"",IF(AND(EDATE($D68,Milestones!$AA$56)&lt;=AsOfDate,EDATE($D68,Milestones!$AA$56)&gt;=SchemeStart,IF($X68=0,$AD68,IF(AND($Z68&lt;&gt;"",EDATE($D68,Milestones!$AA$56)&gt;=$Z68),$AC68,IF(AND($Y68&lt;&gt;"",EDATE($D68,Milestones!$AA$56)&gt;=$Y68),$AB68,$AA68)))=Milestones!$AB$56),UPPER(TEXT(EDATE($D68,Milestones!$AA$56),"dd mmm yy"))&amp;" "&amp;Milestones!$AB$56&amp;" "&amp;IF(AND(Milestones!$AB$56="FT",Milestones!$AA$56=FT_Y5,EDATE($D68,Milestones!$AA$56)&lt;PolicyEff),1,Milestones!$AC$56)&amp;";  ","")&amp;IF(AND(EDATE($D68,Milestones!$AA$57)&lt;=AsOfDate,EDATE($D68,Milestones!$AA$57)&gt;=SchemeStart,IF($X68=0,$AD68,IF(AND($Z68&lt;&gt;"",EDATE($D68,Milestones!$AA$57)&gt;=$Z68),$AC68,IF(AND($Y68&lt;&gt;"",EDATE($D68,Milestones!$AA$57)&gt;=$Y68),$AB68,$AA68)))=Milestones!$AB$57),UPPER(TEXT(EDATE($D68,Milestones!$AA$57),"dd mmm yy"))&amp;" "&amp;Milestones!$AB$57&amp;" "&amp;IF(AND(Milestones!$AB$57="FT",Milestones!$AA$57=FT_Y5,EDATE($D68,Milestones!$AA$57)&lt;PolicyEff),1,Milestones!$AC$57)&amp;";  ","")&amp;IF(AND(EDATE($D68,Milestones!$AA$58)&lt;=AsOfDate,EDATE($D68,Milestones!$AA$58)&gt;=SchemeStart,IF($X68=0,$AD68,IF(AND($Z68&lt;&gt;"",EDATE($D68,Milestones!$AA$58)&gt;=$Z68),$AC68,IF(AND($Y68&lt;&gt;"",EDATE($D68,Milestones!$AA$58)&gt;=$Y68),$AB68,$AA68)))=Milestones!$AB$58),UPPER(TEXT(EDATE($D68,Milestones!$AA$58),"dd mmm yy"))&amp;" "&amp;Milestones!$AB$58&amp;" "&amp;IF(AND(Milestones!$AB$58="FT",Milestones!$AA$58=FT_Y5,EDATE($D68,Milestones!$AA$58)&lt;PolicyEff),1,Milestones!$AC$58)&amp;";  ","")&amp;IF(AND(EDATE($D68,Milestones!$AA$59)&lt;=AsOfDate,EDATE($D68,Milestones!$AA$59)&gt;=SchemeStart,IF($X68=0,$AD68,IF(AND($Z68&lt;&gt;"",EDATE($D68,Milestones!$AA$59)&gt;=$Z68),$AC68,IF(AND($Y68&lt;&gt;"",EDATE($D68,Milestones!$AA$59)&gt;=$Y68),$AB68,$AA68)))=Milestones!$AB$59),UPPER(TEXT(EDATE($D68,Milestones!$AA$59),"dd mmm yy"))&amp;" "&amp;Milestones!$AB$59&amp;" "&amp;IF(AND(Milestones!$AB$59="FT",Milestones!$AA$59=FT_Y5,EDATE($D68,Milestones!$AA$59)&lt;PolicyEff),1,Milestones!$AC$59)&amp;";  ","")&amp;IF(AND(EDATE($D68,Milestones!$AA$60)&lt;=AsOfDate,EDATE($D68,Milestones!$AA$60)&gt;=SchemeStart,IF($X68=0,$AD68,IF(AND($Z68&lt;&gt;"",EDATE($D68,Milestones!$AA$60)&gt;=$Z68),$AC68,IF(AND($Y68&lt;&gt;"",EDATE($D68,Milestones!$AA$60)&gt;=$Y68),$AB68,$AA68)))=Milestones!$AB$60),UPPER(TEXT(EDATE($D68,Milestones!$AA$60),"dd mmm yy"))&amp;" "&amp;Milestones!$AB$60&amp;" "&amp;IF(AND(Milestones!$AB$60="FT",Milestones!$AA$60=FT_Y5,EDATE($D68,Milestones!$AA$60)&lt;PolicyEff),1,Milestones!$AC$60)&amp;";  ","")&amp;IF(AND(EDATE($D68,Milestones!$AA$61)&lt;=AsOfDate,EDATE($D68,Milestones!$AA$61)&gt;=SchemeStart,IF($X68=0,$AD68,IF(AND($Z68&lt;&gt;"",EDATE($D68,Milestones!$AA$61)&gt;=$Z68),$AC68,IF(AND($Y68&lt;&gt;"",EDATE($D68,Milestones!$AA$61)&gt;=$Y68),$AB68,$AA68)))=Milestones!$AB$61),UPPER(TEXT(EDATE($D68,Milestones!$AA$61),"dd mmm yy"))&amp;" "&amp;Milestones!$AB$61&amp;" "&amp;IF(AND(Milestones!$AB$61="FT",Milestones!$AA$61=FT_Y5,EDATE($D68,Milestones!$AA$61)&lt;PolicyEff),1,Milestones!$AC$61)&amp;";  ","")&amp;IF(AND(EDATE($D68,Milestones!$AA$62)&lt;=AsOfDate,EDATE($D68,Milestones!$AA$62)&gt;=SchemeStart,IF($X68=0,$AD68,IF(AND($Z68&lt;&gt;"",EDATE($D68,Milestones!$AA$62)&gt;=$Z68),$AC68,IF(AND($Y68&lt;&gt;"",EDATE($D68,Milestones!$AA$62)&gt;=$Y68),$AB68,$AA68)))=Milestones!$AB$62),UPPER(TEXT(EDATE($D68,Milestones!$AA$62),"dd mmm yy"))&amp;" "&amp;Milestones!$AB$62&amp;" "&amp;IF(AND(Milestones!$AB$62="FT",Milestones!$AA$62=FT_Y5,EDATE($D68,Milestones!$AA$62)&lt;PolicyEff),1,Milestones!$AC$62)&amp;";  ","")&amp;IF(AND(EDATE($D68,Milestones!$AA$63)&lt;=AsOfDate,EDATE($D68,Milestones!$AA$63)&gt;=SchemeStart,IF($X68=0,$AD68,IF(AND($Z68&lt;&gt;"",EDATE($D68,Milestones!$AA$63)&gt;=$Z68),$AC68,IF(AND($Y68&lt;&gt;"",EDATE($D68,Milestones!$AA$63)&gt;=$Y68),$AB68,$AA68)))=Milestones!$AB$63),UPPER(TEXT(EDATE($D68,Milestones!$AA$63),"dd mmm yy"))&amp;" "&amp;Milestones!$AB$63&amp;" "&amp;IF(AND(Milestones!$AB$63="FT",Milestones!$AA$63=FT_Y5,EDATE($D68,Milestones!$AA$63)&lt;PolicyEff),1,Milestones!$AC$63)&amp;";  ","")&amp;IF(AND(EDATE($D68,Milestones!$AA$64)&lt;=AsOfDate,EDATE($D68,Milestones!$AA$64)&gt;=SchemeStart,IF($X68=0,$AD68,IF(AND($Z68&lt;&gt;"",EDATE($D68,Milestones!$AA$64)&gt;=$Z68),$AC68,IF(AND($Y68&lt;&gt;"",EDATE($D68,Milestones!$AA$64)&gt;=$Y68),$AB68,$AA68)))=Milestones!$AB$64),UPPER(TEXT(EDATE($D68,Milestones!$AA$64),"dd mmm yy"))&amp;" "&amp;Milestones!$AB$64&amp;" "&amp;IF(AND(Milestones!$AB$64="FT",Milestones!$AA$64=FT_Y5,EDATE($D68,Milestones!$AA$64)&lt;PolicyEff),1,Milestones!$AC$64)&amp;";  ","")&amp;IF(AND(EDATE($D68,Milestones!$AA$65)&lt;=AsOfDate,EDATE($D68,Milestones!$AA$65)&gt;=SchemeStart,IF($X68=0,$AD68,IF(AND($Z68&lt;&gt;"",EDATE($D68,Milestones!$AA$65)&gt;=$Z68),$AC68,IF(AND($Y68&lt;&gt;"",EDATE($D68,Milestones!$AA$65)&gt;=$Y68),$AB68,$AA68)))=Milestones!$AB$65),UPPER(TEXT(EDATE($D68,Milestones!$AA$65),"dd mmm yy"))&amp;" "&amp;Milestones!$AB$65&amp;" "&amp;IF(AND(Milestones!$AB$65="FT",Milestones!$AA$65=FT_Y5,EDATE($D68,Milestones!$AA$65)&lt;PolicyEff),1,Milestones!$AC$65)&amp;";  ","")&amp;IF(AND(EDATE($D68,Milestones!$AA$66)&lt;=AsOfDate,EDATE($D68,Milestones!$AA$66)&gt;=SchemeStart,IF($X68=0,$AD68,IF(AND($Z68&lt;&gt;"",EDATE($D68,Milestones!$AA$66)&gt;=$Z68),$AC68,IF(AND($Y68&lt;&gt;"",EDATE($D68,Milestones!$AA$66)&gt;=$Y68),$AB68,$AA68)))=Milestones!$AB$66),UPPER(TEXT(EDATE($D68,Milestones!$AA$66),"dd mmm yy"))&amp;" "&amp;Milestones!$AB$66&amp;" "&amp;IF(AND(Milestones!$AB$66="FT",Milestones!$AA$66=FT_Y5,EDATE($D68,Milestones!$AA$66)&lt;PolicyEff),1,Milestones!$AC$66)&amp;";  ","")&amp;IF(AND(EDATE($D68,Milestones!$AA$67)&lt;=AsOfDate,EDATE($D68,Milestones!$AA$67)&gt;=SchemeStart,IF($X68=0,$AD68,IF(AND($Z68&lt;&gt;"",EDATE($D68,Milestones!$AA$67)&gt;=$Z68),$AC68,IF(AND($Y68&lt;&gt;"",EDATE($D68,Milestones!$AA$67)&gt;=$Y68),$AB68,$AA68)))=Milestones!$AB$67),UPPER(TEXT(EDATE($D68,Milestones!$AA$67),"dd mmm yy"))&amp;" "&amp;Milestones!$AB$67&amp;" "&amp;IF(AND(Milestones!$AB$67="FT",Milestones!$AA$67=FT_Y5,EDATE($D68,Milestones!$AA$67)&lt;PolicyEff),1,Milestones!$AC$67)&amp;";  ",""))</f>
        <v/>
      </c>
      <c r="M68" s="0" t="str">
        <f aca="false">IF(OR($A68="",$D68=""),"",IF(AND(EDATE($D68,Milestones!$AA$68)&lt;=AsOfDate,EDATE($D68,Milestones!$AA$68)&gt;=SchemeStart,IF($X68=0,$AD68,IF(AND($Z68&lt;&gt;"",EDATE($D68,Milestones!$AA$68)&gt;=$Z68),$AC68,IF(AND($Y68&lt;&gt;"",EDATE($D68,Milestones!$AA$68)&gt;=$Y68),$AB68,$AA68)))=Milestones!$AB$68),UPPER(TEXT(EDATE($D68,Milestones!$AA$68),"dd mmm yy"))&amp;" "&amp;Milestones!$AB$68&amp;" "&amp;IF(AND(Milestones!$AB$68="FT",Milestones!$AA$68=FT_Y5,EDATE($D68,Milestones!$AA$68)&lt;PolicyEff),1,Milestones!$AC$68)&amp;";  ","")&amp;IF(AND(EDATE($D68,Milestones!$AA$69)&lt;=AsOfDate,EDATE($D68,Milestones!$AA$69)&gt;=SchemeStart,IF($X68=0,$AD68,IF(AND($Z68&lt;&gt;"",EDATE($D68,Milestones!$AA$69)&gt;=$Z68),$AC68,IF(AND($Y68&lt;&gt;"",EDATE($D68,Milestones!$AA$69)&gt;=$Y68),$AB68,$AA68)))=Milestones!$AB$69),UPPER(TEXT(EDATE($D68,Milestones!$AA$69),"dd mmm yy"))&amp;" "&amp;Milestones!$AB$69&amp;" "&amp;IF(AND(Milestones!$AB$69="FT",Milestones!$AA$69=FT_Y5,EDATE($D68,Milestones!$AA$69)&lt;PolicyEff),1,Milestones!$AC$69)&amp;";  ","")&amp;IF(AND(EDATE($D68,Milestones!$AA$70)&lt;=AsOfDate,EDATE($D68,Milestones!$AA$70)&gt;=SchemeStart,IF($X68=0,$AD68,IF(AND($Z68&lt;&gt;"",EDATE($D68,Milestones!$AA$70)&gt;=$Z68),$AC68,IF(AND($Y68&lt;&gt;"",EDATE($D68,Milestones!$AA$70)&gt;=$Y68),$AB68,$AA68)))=Milestones!$AB$70),UPPER(TEXT(EDATE($D68,Milestones!$AA$70),"dd mmm yy"))&amp;" "&amp;Milestones!$AB$70&amp;" "&amp;IF(AND(Milestones!$AB$70="FT",Milestones!$AA$70=FT_Y5,EDATE($D68,Milestones!$AA$70)&lt;PolicyEff),1,Milestones!$AC$70)&amp;";  ","")&amp;IF(AND(EDATE($D68,Milestones!$AA$71)&lt;=AsOfDate,EDATE($D68,Milestones!$AA$71)&gt;=SchemeStart,IF($X68=0,$AD68,IF(AND($Z68&lt;&gt;"",EDATE($D68,Milestones!$AA$71)&gt;=$Z68),$AC68,IF(AND($Y68&lt;&gt;"",EDATE($D68,Milestones!$AA$71)&gt;=$Y68),$AB68,$AA68)))=Milestones!$AB$71),UPPER(TEXT(EDATE($D68,Milestones!$AA$71),"dd mmm yy"))&amp;" "&amp;Milestones!$AB$71&amp;" "&amp;IF(AND(Milestones!$AB$71="FT",Milestones!$AA$71=FT_Y5,EDATE($D68,Milestones!$AA$71)&lt;PolicyEff),1,Milestones!$AC$71)&amp;";  ","")&amp;IF(AND(EDATE($D68,Milestones!$AA$72)&lt;=AsOfDate,EDATE($D68,Milestones!$AA$72)&gt;=SchemeStart,IF($X68=0,$AD68,IF(AND($Z68&lt;&gt;"",EDATE($D68,Milestones!$AA$72)&gt;=$Z68),$AC68,IF(AND($Y68&lt;&gt;"",EDATE($D68,Milestones!$AA$72)&gt;=$Y68),$AB68,$AA68)))=Milestones!$AB$72),UPPER(TEXT(EDATE($D68,Milestones!$AA$72),"dd mmm yy"))&amp;" "&amp;Milestones!$AB$72&amp;" "&amp;IF(AND(Milestones!$AB$72="FT",Milestones!$AA$72=FT_Y5,EDATE($D68,Milestones!$AA$72)&lt;PolicyEff),1,Milestones!$AC$72)&amp;";  ","")&amp;IF(AND(EDATE($D68,Milestones!$AA$73)&lt;=AsOfDate,EDATE($D68,Milestones!$AA$73)&gt;=SchemeStart,IF($X68=0,$AD68,IF(AND($Z68&lt;&gt;"",EDATE($D68,Milestones!$AA$73)&gt;=$Z68),$AC68,IF(AND($Y68&lt;&gt;"",EDATE($D68,Milestones!$AA$73)&gt;=$Y68),$AB68,$AA68)))=Milestones!$AB$73),UPPER(TEXT(EDATE($D68,Milestones!$AA$73),"dd mmm yy"))&amp;" "&amp;Milestones!$AB$73&amp;" "&amp;IF(AND(Milestones!$AB$73="FT",Milestones!$AA$73=FT_Y5,EDATE($D68,Milestones!$AA$73)&lt;PolicyEff),1,Milestones!$AC$73)&amp;";  ","")&amp;IF(AND(EDATE($D68,Milestones!$AA$74)&lt;=AsOfDate,EDATE($D68,Milestones!$AA$74)&gt;=SchemeStart,IF($X68=0,$AD68,IF(AND($Z68&lt;&gt;"",EDATE($D68,Milestones!$AA$74)&gt;=$Z68),$AC68,IF(AND($Y68&lt;&gt;"",EDATE($D68,Milestones!$AA$74)&gt;=$Y68),$AB68,$AA68)))=Milestones!$AB$74),UPPER(TEXT(EDATE($D68,Milestones!$AA$74),"dd mmm yy"))&amp;" "&amp;Milestones!$AB$74&amp;" "&amp;IF(AND(Milestones!$AB$74="FT",Milestones!$AA$74=FT_Y5,EDATE($D68,Milestones!$AA$74)&lt;PolicyEff),1,Milestones!$AC$74)&amp;";  ","")&amp;IF(AND(EDATE($D68,Milestones!$AA$75)&lt;=AsOfDate,EDATE($D68,Milestones!$AA$75)&gt;=SchemeStart,IF($X68=0,$AD68,IF(AND($Z68&lt;&gt;"",EDATE($D68,Milestones!$AA$75)&gt;=$Z68),$AC68,IF(AND($Y68&lt;&gt;"",EDATE($D68,Milestones!$AA$75)&gt;=$Y68),$AB68,$AA68)))=Milestones!$AB$75),UPPER(TEXT(EDATE($D68,Milestones!$AA$75),"dd mmm yy"))&amp;" "&amp;Milestones!$AB$75&amp;" "&amp;IF(AND(Milestones!$AB$75="FT",Milestones!$AA$75=FT_Y5,EDATE($D68,Milestones!$AA$75)&lt;PolicyEff),1,Milestones!$AC$75)&amp;";  ","")&amp;IF(AND(EDATE($D68,Milestones!$AA$76)&lt;=AsOfDate,EDATE($D68,Milestones!$AA$76)&gt;=SchemeStart,IF($X68=0,$AD68,IF(AND($Z68&lt;&gt;"",EDATE($D68,Milestones!$AA$76)&gt;=$Z68),$AC68,IF(AND($Y68&lt;&gt;"",EDATE($D68,Milestones!$AA$76)&gt;=$Y68),$AB68,$AA68)))=Milestones!$AB$76),UPPER(TEXT(EDATE($D68,Milestones!$AA$76),"dd mmm yy"))&amp;" "&amp;Milestones!$AB$76&amp;" "&amp;IF(AND(Milestones!$AB$76="FT",Milestones!$AA$76=FT_Y5,EDATE($D68,Milestones!$AA$76)&lt;PolicyEff),1,Milestones!$AC$76)&amp;";  ","")&amp;IF(AND(EDATE($D68,Milestones!$AA$77)&lt;=AsOfDate,EDATE($D68,Milestones!$AA$77)&gt;=SchemeStart,IF($X68=0,$AD68,IF(AND($Z68&lt;&gt;"",EDATE($D68,Milestones!$AA$77)&gt;=$Z68),$AC68,IF(AND($Y68&lt;&gt;"",EDATE($D68,Milestones!$AA$77)&gt;=$Y68),$AB68,$AA68)))=Milestones!$AB$77),UPPER(TEXT(EDATE($D68,Milestones!$AA$77),"dd mmm yy"))&amp;" "&amp;Milestones!$AB$77&amp;" "&amp;IF(AND(Milestones!$AB$77="FT",Milestones!$AA$77=FT_Y5,EDATE($D68,Milestones!$AA$77)&lt;PolicyEff),1,Milestones!$AC$77)&amp;";  ","")&amp;IF(AND(EDATE($D68,Milestones!$AA$78)&lt;=AsOfDate,EDATE($D68,Milestones!$AA$78)&gt;=SchemeStart,IF($X68=0,$AD68,IF(AND($Z68&lt;&gt;"",EDATE($D68,Milestones!$AA$78)&gt;=$Z68),$AC68,IF(AND($Y68&lt;&gt;"",EDATE($D68,Milestones!$AA$78)&gt;=$Y68),$AB68,$AA68)))=Milestones!$AB$78),UPPER(TEXT(EDATE($D68,Milestones!$AA$78),"dd mmm yy"))&amp;" "&amp;Milestones!$AB$78&amp;" "&amp;IF(AND(Milestones!$AB$78="FT",Milestones!$AA$78=FT_Y5,EDATE($D68,Milestones!$AA$78)&lt;PolicyEff),1,Milestones!$AC$78)&amp;";  ","")&amp;IF(AND(EDATE($D68,Milestones!$AA$79)&lt;=AsOfDate,EDATE($D68,Milestones!$AA$79)&gt;=SchemeStart,IF($X68=0,$AD68,IF(AND($Z68&lt;&gt;"",EDATE($D68,Milestones!$AA$79)&gt;=$Z68),$AC68,IF(AND($Y68&lt;&gt;"",EDATE($D68,Milestones!$AA$79)&gt;=$Y68),$AB68,$AA68)))=Milestones!$AB$79),UPPER(TEXT(EDATE($D68,Milestones!$AA$79),"dd mmm yy"))&amp;" "&amp;Milestones!$AB$79&amp;" "&amp;IF(AND(Milestones!$AB$79="FT",Milestones!$AA$79=FT_Y5,EDATE($D68,Milestones!$AA$79)&lt;PolicyEff),1,Milestones!$AC$79)&amp;";  ",""))</f>
        <v/>
      </c>
      <c r="N68" s="0" t="str">
        <f aca="false">IF(OR($A68="",$D68=""),"",IF(AND(EDATE($D68,Milestones!$AA$80)&lt;=AsOfDate,EDATE($D68,Milestones!$AA$80)&gt;=SchemeStart,IF($X68=0,$AD68,IF(AND($Z68&lt;&gt;"",EDATE($D68,Milestones!$AA$80)&gt;=$Z68),$AC68,IF(AND($Y68&lt;&gt;"",EDATE($D68,Milestones!$AA$80)&gt;=$Y68),$AB68,$AA68)))=Milestones!$AB$80),UPPER(TEXT(EDATE($D68,Milestones!$AA$80),"dd mmm yy"))&amp;" "&amp;Milestones!$AB$80&amp;" "&amp;IF(AND(Milestones!$AB$80="FT",Milestones!$AA$80=FT_Y5,EDATE($D68,Milestones!$AA$80)&lt;PolicyEff),1,Milestones!$AC$80)&amp;";  ","")&amp;IF(AND(EDATE($D68,Milestones!$AA$81)&lt;=AsOfDate,EDATE($D68,Milestones!$AA$81)&gt;=SchemeStart,IF($X68=0,$AD68,IF(AND($Z68&lt;&gt;"",EDATE($D68,Milestones!$AA$81)&gt;=$Z68),$AC68,IF(AND($Y68&lt;&gt;"",EDATE($D68,Milestones!$AA$81)&gt;=$Y68),$AB68,$AA68)))=Milestones!$AB$81),UPPER(TEXT(EDATE($D68,Milestones!$AA$81),"dd mmm yy"))&amp;" "&amp;Milestones!$AB$81&amp;" "&amp;IF(AND(Milestones!$AB$81="FT",Milestones!$AA$81=FT_Y5,EDATE($D68,Milestones!$AA$81)&lt;PolicyEff),1,Milestones!$AC$81)&amp;";  ","")&amp;IF(AND(EDATE($D68,Milestones!$AA$82)&lt;=AsOfDate,EDATE($D68,Milestones!$AA$82)&gt;=SchemeStart,IF($X68=0,$AD68,IF(AND($Z68&lt;&gt;"",EDATE($D68,Milestones!$AA$82)&gt;=$Z68),$AC68,IF(AND($Y68&lt;&gt;"",EDATE($D68,Milestones!$AA$82)&gt;=$Y68),$AB68,$AA68)))=Milestones!$AB$82),UPPER(TEXT(EDATE($D68,Milestones!$AA$82),"dd mmm yy"))&amp;" "&amp;Milestones!$AB$82&amp;" "&amp;IF(AND(Milestones!$AB$82="FT",Milestones!$AA$82=FT_Y5,EDATE($D68,Milestones!$AA$82)&lt;PolicyEff),1,Milestones!$AC$82)&amp;";  ","")&amp;IF(AND(EDATE($D68,Milestones!$AA$83)&lt;=AsOfDate,EDATE($D68,Milestones!$AA$83)&gt;=SchemeStart,IF($X68=0,$AD68,IF(AND($Z68&lt;&gt;"",EDATE($D68,Milestones!$AA$83)&gt;=$Z68),$AC68,IF(AND($Y68&lt;&gt;"",EDATE($D68,Milestones!$AA$83)&gt;=$Y68),$AB68,$AA68)))=Milestones!$AB$83),UPPER(TEXT(EDATE($D68,Milestones!$AA$83),"dd mmm yy"))&amp;" "&amp;Milestones!$AB$83&amp;" "&amp;IF(AND(Milestones!$AB$83="FT",Milestones!$AA$83=FT_Y5,EDATE($D68,Milestones!$AA$83)&lt;PolicyEff),1,Milestones!$AC$83)&amp;";  ","")&amp;IF(AND(EDATE($D68,Milestones!$AA$84)&lt;=AsOfDate,EDATE($D68,Milestones!$AA$84)&gt;=SchemeStart,IF($X68=0,$AD68,IF(AND($Z68&lt;&gt;"",EDATE($D68,Milestones!$AA$84)&gt;=$Z68),$AC68,IF(AND($Y68&lt;&gt;"",EDATE($D68,Milestones!$AA$84)&gt;=$Y68),$AB68,$AA68)))=Milestones!$AB$84),UPPER(TEXT(EDATE($D68,Milestones!$AA$84),"dd mmm yy"))&amp;" "&amp;Milestones!$AB$84&amp;" "&amp;IF(AND(Milestones!$AB$84="FT",Milestones!$AA$84=FT_Y5,EDATE($D68,Milestones!$AA$84)&lt;PolicyEff),1,Milestones!$AC$84)&amp;";  ","")&amp;IF(AND(EDATE($D68,Milestones!$AA$85)&lt;=AsOfDate,EDATE($D68,Milestones!$AA$85)&gt;=SchemeStart,IF($X68=0,$AD68,IF(AND($Z68&lt;&gt;"",EDATE($D68,Milestones!$AA$85)&gt;=$Z68),$AC68,IF(AND($Y68&lt;&gt;"",EDATE($D68,Milestones!$AA$85)&gt;=$Y68),$AB68,$AA68)))=Milestones!$AB$85),UPPER(TEXT(EDATE($D68,Milestones!$AA$85),"dd mmm yy"))&amp;" "&amp;Milestones!$AB$85&amp;" "&amp;IF(AND(Milestones!$AB$85="FT",Milestones!$AA$85=FT_Y5,EDATE($D68,Milestones!$AA$85)&lt;PolicyEff),1,Milestones!$AC$85)&amp;";  ","")&amp;IF(AND(EDATE($D68,Milestones!$AA$86)&lt;=AsOfDate,EDATE($D68,Milestones!$AA$86)&gt;=SchemeStart,IF($X68=0,$AD68,IF(AND($Z68&lt;&gt;"",EDATE($D68,Milestones!$AA$86)&gt;=$Z68),$AC68,IF(AND($Y68&lt;&gt;"",EDATE($D68,Milestones!$AA$86)&gt;=$Y68),$AB68,$AA68)))=Milestones!$AB$86),UPPER(TEXT(EDATE($D68,Milestones!$AA$86),"dd mmm yy"))&amp;" "&amp;Milestones!$AB$86&amp;" "&amp;IF(AND(Milestones!$AB$86="FT",Milestones!$AA$86=FT_Y5,EDATE($D68,Milestones!$AA$86)&lt;PolicyEff),1,Milestones!$AC$86)&amp;";  ","")&amp;IF(AND(EDATE($D68,Milestones!$AA$87)&lt;=AsOfDate,EDATE($D68,Milestones!$AA$87)&gt;=SchemeStart,IF($X68=0,$AD68,IF(AND($Z68&lt;&gt;"",EDATE($D68,Milestones!$AA$87)&gt;=$Z68),$AC68,IF(AND($Y68&lt;&gt;"",EDATE($D68,Milestones!$AA$87)&gt;=$Y68),$AB68,$AA68)))=Milestones!$AB$87),UPPER(TEXT(EDATE($D68,Milestones!$AA$87),"dd mmm yy"))&amp;" "&amp;Milestones!$AB$87&amp;" "&amp;IF(AND(Milestones!$AB$87="FT",Milestones!$AA$87=FT_Y5,EDATE($D68,Milestones!$AA$87)&lt;PolicyEff),1,Milestones!$AC$87)&amp;";  ","")&amp;IF(AND(EDATE($D68,Milestones!$AA$88)&lt;=AsOfDate,EDATE($D68,Milestones!$AA$88)&gt;=SchemeStart,IF($X68=0,$AD68,IF(AND($Z68&lt;&gt;"",EDATE($D68,Milestones!$AA$88)&gt;=$Z68),$AC68,IF(AND($Y68&lt;&gt;"",EDATE($D68,Milestones!$AA$88)&gt;=$Y68),$AB68,$AA68)))=Milestones!$AB$88),UPPER(TEXT(EDATE($D68,Milestones!$AA$88),"dd mmm yy"))&amp;" "&amp;Milestones!$AB$88&amp;" "&amp;IF(AND(Milestones!$AB$88="FT",Milestones!$AA$88=FT_Y5,EDATE($D68,Milestones!$AA$88)&lt;PolicyEff),1,Milestones!$AC$88)&amp;";  ","")&amp;IF(AND(EDATE($D68,Milestones!$AA$89)&lt;=AsOfDate,EDATE($D68,Milestones!$AA$89)&gt;=SchemeStart,IF($X68=0,$AD68,IF(AND($Z68&lt;&gt;"",EDATE($D68,Milestones!$AA$89)&gt;=$Z68),$AC68,IF(AND($Y68&lt;&gt;"",EDATE($D68,Milestones!$AA$89)&gt;=$Y68),$AB68,$AA68)))=Milestones!$AB$89),UPPER(TEXT(EDATE($D68,Milestones!$AA$89),"dd mmm yy"))&amp;" "&amp;Milestones!$AB$89&amp;" "&amp;IF(AND(Milestones!$AB$89="FT",Milestones!$AA$89=FT_Y5,EDATE($D68,Milestones!$AA$89)&lt;PolicyEff),1,Milestones!$AC$89)&amp;";  ","")&amp;IF(AND(EDATE($D68,Milestones!$AA$90)&lt;=AsOfDate,EDATE($D68,Milestones!$AA$90)&gt;=SchemeStart,IF($X68=0,$AD68,IF(AND($Z68&lt;&gt;"",EDATE($D68,Milestones!$AA$90)&gt;=$Z68),$AC68,IF(AND($Y68&lt;&gt;"",EDATE($D68,Milestones!$AA$90)&gt;=$Y68),$AB68,$AA68)))=Milestones!$AB$90),UPPER(TEXT(EDATE($D68,Milestones!$AA$90),"dd mmm yy"))&amp;" "&amp;Milestones!$AB$90&amp;" "&amp;IF(AND(Milestones!$AB$90="FT",Milestones!$AA$90=FT_Y5,EDATE($D68,Milestones!$AA$90)&lt;PolicyEff),1,Milestones!$AC$90)&amp;";  ","")&amp;IF(AND(EDATE($D68,Milestones!$AA$91)&lt;=AsOfDate,EDATE($D68,Milestones!$AA$91)&gt;=SchemeStart,IF($X68=0,$AD68,IF(AND($Z68&lt;&gt;"",EDATE($D68,Milestones!$AA$91)&gt;=$Z68),$AC68,IF(AND($Y68&lt;&gt;"",EDATE($D68,Milestones!$AA$91)&gt;=$Y68),$AB68,$AA68)))=Milestones!$AB$91),UPPER(TEXT(EDATE($D68,Milestones!$AA$91),"dd mmm yy"))&amp;" "&amp;Milestones!$AB$91&amp;" "&amp;IF(AND(Milestones!$AB$91="FT",Milestones!$AA$91=FT_Y5,EDATE($D68,Milestones!$AA$91)&lt;PolicyEff),1,Milestones!$AC$91)&amp;";  ",""))</f>
        <v/>
      </c>
      <c r="O68" s="0" t="str">
        <f aca="false">IF(OR($A68="",$D68=""),"",IF(AND(EDATE($D68,Milestones!$AA$92)&lt;=AsOfDate,EDATE($D68,Milestones!$AA$92)&gt;=SchemeStart,IF($X68=0,$AD68,IF(AND($Z68&lt;&gt;"",EDATE($D68,Milestones!$AA$92)&gt;=$Z68),$AC68,IF(AND($Y68&lt;&gt;"",EDATE($D68,Milestones!$AA$92)&gt;=$Y68),$AB68,$AA68)))=Milestones!$AB$92),UPPER(TEXT(EDATE($D68,Milestones!$AA$92),"dd mmm yy"))&amp;" "&amp;Milestones!$AB$92&amp;" "&amp;IF(AND(Milestones!$AB$92="FT",Milestones!$AA$92=FT_Y5,EDATE($D68,Milestones!$AA$92)&lt;PolicyEff),1,Milestones!$AC$92)&amp;";  ","")&amp;IF(AND(EDATE($D68,Milestones!$AA$93)&lt;=AsOfDate,EDATE($D68,Milestones!$AA$93)&gt;=SchemeStart,IF($X68=0,$AD68,IF(AND($Z68&lt;&gt;"",EDATE($D68,Milestones!$AA$93)&gt;=$Z68),$AC68,IF(AND($Y68&lt;&gt;"",EDATE($D68,Milestones!$AA$93)&gt;=$Y68),$AB68,$AA68)))=Milestones!$AB$93),UPPER(TEXT(EDATE($D68,Milestones!$AA$93),"dd mmm yy"))&amp;" "&amp;Milestones!$AB$93&amp;" "&amp;IF(AND(Milestones!$AB$93="FT",Milestones!$AA$93=FT_Y5,EDATE($D68,Milestones!$AA$93)&lt;PolicyEff),1,Milestones!$AC$93)&amp;";  ","")&amp;IF(AND(EDATE($D68,Milestones!$AA$94)&lt;=AsOfDate,EDATE($D68,Milestones!$AA$94)&gt;=SchemeStart,IF($X68=0,$AD68,IF(AND($Z68&lt;&gt;"",EDATE($D68,Milestones!$AA$94)&gt;=$Z68),$AC68,IF(AND($Y68&lt;&gt;"",EDATE($D68,Milestones!$AA$94)&gt;=$Y68),$AB68,$AA68)))=Milestones!$AB$94),UPPER(TEXT(EDATE($D68,Milestones!$AA$94),"dd mmm yy"))&amp;" "&amp;Milestones!$AB$94&amp;" "&amp;IF(AND(Milestones!$AB$94="FT",Milestones!$AA$94=FT_Y5,EDATE($D68,Milestones!$AA$94)&lt;PolicyEff),1,Milestones!$AC$94)&amp;";  ","")&amp;IF(AND(EDATE($D68,Milestones!$AA$95)&lt;=AsOfDate,EDATE($D68,Milestones!$AA$95)&gt;=SchemeStart,IF($X68=0,$AD68,IF(AND($Z68&lt;&gt;"",EDATE($D68,Milestones!$AA$95)&gt;=$Z68),$AC68,IF(AND($Y68&lt;&gt;"",EDATE($D68,Milestones!$AA$95)&gt;=$Y68),$AB68,$AA68)))=Milestones!$AB$95),UPPER(TEXT(EDATE($D68,Milestones!$AA$95),"dd mmm yy"))&amp;" "&amp;Milestones!$AB$95&amp;" "&amp;IF(AND(Milestones!$AB$95="FT",Milestones!$AA$95=FT_Y5,EDATE($D68,Milestones!$AA$95)&lt;PolicyEff),1,Milestones!$AC$95)&amp;";  ","")&amp;IF(AND(EDATE($D68,Milestones!$AA$96)&lt;=AsOfDate,EDATE($D68,Milestones!$AA$96)&gt;=SchemeStart,IF($X68=0,$AD68,IF(AND($Z68&lt;&gt;"",EDATE($D68,Milestones!$AA$96)&gt;=$Z68),$AC68,IF(AND($Y68&lt;&gt;"",EDATE($D68,Milestones!$AA$96)&gt;=$Y68),$AB68,$AA68)))=Milestones!$AB$96),UPPER(TEXT(EDATE($D68,Milestones!$AA$96),"dd mmm yy"))&amp;" "&amp;Milestones!$AB$96&amp;" "&amp;IF(AND(Milestones!$AB$96="FT",Milestones!$AA$96=FT_Y5,EDATE($D68,Milestones!$AA$96)&lt;PolicyEff),1,Milestones!$AC$96)&amp;";  ","")&amp;IF(AND(EDATE($D68,Milestones!$AA$97)&lt;=AsOfDate,EDATE($D68,Milestones!$AA$97)&gt;=SchemeStart,IF($X68=0,$AD68,IF(AND($Z68&lt;&gt;"",EDATE($D68,Milestones!$AA$97)&gt;=$Z68),$AC68,IF(AND($Y68&lt;&gt;"",EDATE($D68,Milestones!$AA$97)&gt;=$Y68),$AB68,$AA68)))=Milestones!$AB$97),UPPER(TEXT(EDATE($D68,Milestones!$AA$97),"dd mmm yy"))&amp;" "&amp;Milestones!$AB$97&amp;" "&amp;IF(AND(Milestones!$AB$97="FT",Milestones!$AA$97=FT_Y5,EDATE($D68,Milestones!$AA$97)&lt;PolicyEff),1,Milestones!$AC$97)&amp;";  ","")&amp;IF(AND(EDATE($D68,Milestones!$AA$98)&lt;=AsOfDate,EDATE($D68,Milestones!$AA$98)&gt;=SchemeStart,IF($X68=0,$AD68,IF(AND($Z68&lt;&gt;"",EDATE($D68,Milestones!$AA$98)&gt;=$Z68),$AC68,IF(AND($Y68&lt;&gt;"",EDATE($D68,Milestones!$AA$98)&gt;=$Y68),$AB68,$AA68)))=Milestones!$AB$98),UPPER(TEXT(EDATE($D68,Milestones!$AA$98),"dd mmm yy"))&amp;" "&amp;Milestones!$AB$98&amp;" "&amp;IF(AND(Milestones!$AB$98="FT",Milestones!$AA$98=FT_Y5,EDATE($D68,Milestones!$AA$98)&lt;PolicyEff),1,Milestones!$AC$98)&amp;";  ","")&amp;IF(AND(EDATE($D68,Milestones!$AA$99)&lt;=AsOfDate,EDATE($D68,Milestones!$AA$99)&gt;=SchemeStart,IF($X68=0,$AD68,IF(AND($Z68&lt;&gt;"",EDATE($D68,Milestones!$AA$99)&gt;=$Z68),$AC68,IF(AND($Y68&lt;&gt;"",EDATE($D68,Milestones!$AA$99)&gt;=$Y68),$AB68,$AA68)))=Milestones!$AB$99),UPPER(TEXT(EDATE($D68,Milestones!$AA$99),"dd mmm yy"))&amp;" "&amp;Milestones!$AB$99&amp;" "&amp;IF(AND(Milestones!$AB$99="FT",Milestones!$AA$99=FT_Y5,EDATE($D68,Milestones!$AA$99)&lt;PolicyEff),1,Milestones!$AC$99)&amp;";  ","")&amp;IF(AND(EDATE($D68,Milestones!$AA$100)&lt;=AsOfDate,EDATE($D68,Milestones!$AA$100)&gt;=SchemeStart,IF($X68=0,$AD68,IF(AND($Z68&lt;&gt;"",EDATE($D68,Milestones!$AA$100)&gt;=$Z68),$AC68,IF(AND($Y68&lt;&gt;"",EDATE($D68,Milestones!$AA$100)&gt;=$Y68),$AB68,$AA68)))=Milestones!$AB$100),UPPER(TEXT(EDATE($D68,Milestones!$AA$100),"dd mmm yy"))&amp;" "&amp;Milestones!$AB$100&amp;" "&amp;IF(AND(Milestones!$AB$100="FT",Milestones!$AA$100=FT_Y5,EDATE($D68,Milestones!$AA$100)&lt;PolicyEff),1,Milestones!$AC$100)&amp;";  ","")&amp;IF(AND(EDATE($D68,Milestones!$AA$101)&lt;=AsOfDate,EDATE($D68,Milestones!$AA$101)&gt;=SchemeStart,IF($X68=0,$AD68,IF(AND($Z68&lt;&gt;"",EDATE($D68,Milestones!$AA$101)&gt;=$Z68),$AC68,IF(AND($Y68&lt;&gt;"",EDATE($D68,Milestones!$AA$101)&gt;=$Y68),$AB68,$AA68)))=Milestones!$AB$101),UPPER(TEXT(EDATE($D68,Milestones!$AA$101),"dd mmm yy"))&amp;" "&amp;Milestones!$AB$101&amp;" "&amp;IF(AND(Milestones!$AB$101="FT",Milestones!$AA$101=FT_Y5,EDATE($D68,Milestones!$AA$101)&lt;PolicyEff),1,Milestones!$AC$101)&amp;";  ","")&amp;IF(AND(EDATE($D68,Milestones!$AA$102)&lt;=AsOfDate,EDATE($D68,Milestones!$AA$102)&gt;=SchemeStart,IF($X68=0,$AD68,IF(AND($Z68&lt;&gt;"",EDATE($D68,Milestones!$AA$102)&gt;=$Z68),$AC68,IF(AND($Y68&lt;&gt;"",EDATE($D68,Milestones!$AA$102)&gt;=$Y68),$AB68,$AA68)))=Milestones!$AB$102),UPPER(TEXT(EDATE($D68,Milestones!$AA$102),"dd mmm yy"))&amp;" "&amp;Milestones!$AB$102&amp;" "&amp;IF(AND(Milestones!$AB$102="FT",Milestones!$AA$102=FT_Y5,EDATE($D68,Milestones!$AA$102)&lt;PolicyEff),1,Milestones!$AC$102)&amp;";  ","")&amp;IF(AND(EDATE($D68,Milestones!$AA$103)&lt;=AsOfDate,EDATE($D68,Milestones!$AA$103)&gt;=SchemeStart,IF($X68=0,$AD68,IF(AND($Z68&lt;&gt;"",EDATE($D68,Milestones!$AA$103)&gt;=$Z68),$AC68,IF(AND($Y68&lt;&gt;"",EDATE($D68,Milestones!$AA$103)&gt;=$Y68),$AB68,$AA68)))=Milestones!$AB$103),UPPER(TEXT(EDATE($D68,Milestones!$AA$103),"dd mmm yy"))&amp;" "&amp;Milestones!$AB$103&amp;" "&amp;IF(AND(Milestones!$AB$103="FT",Milestones!$AA$103=FT_Y5,EDATE($D68,Milestones!$AA$103)&lt;PolicyEff),1,Milestones!$AC$103)&amp;";  ",""))</f>
        <v/>
      </c>
      <c r="P68" s="0" t="str">
        <f aca="false">IF(OR($A68="",$D68=""),"",IF(AND(EDATE($D68,Milestones!$AA$104)&lt;=AsOfDate,EDATE($D68,Milestones!$AA$104)&gt;=SchemeStart,IF($X68=0,$AD68,IF(AND($Z68&lt;&gt;"",EDATE($D68,Milestones!$AA$104)&gt;=$Z68),$AC68,IF(AND($Y68&lt;&gt;"",EDATE($D68,Milestones!$AA$104)&gt;=$Y68),$AB68,$AA68)))=Milestones!$AB$104),UPPER(TEXT(EDATE($D68,Milestones!$AA$104),"dd mmm yy"))&amp;" "&amp;Milestones!$AB$104&amp;" "&amp;IF(AND(Milestones!$AB$104="FT",Milestones!$AA$104=FT_Y5,EDATE($D68,Milestones!$AA$104)&lt;PolicyEff),1,Milestones!$AC$104)&amp;";  ","")&amp;IF(AND(EDATE($D68,Milestones!$AA$105)&lt;=AsOfDate,EDATE($D68,Milestones!$AA$105)&gt;=SchemeStart,IF($X68=0,$AD68,IF(AND($Z68&lt;&gt;"",EDATE($D68,Milestones!$AA$105)&gt;=$Z68),$AC68,IF(AND($Y68&lt;&gt;"",EDATE($D68,Milestones!$AA$105)&gt;=$Y68),$AB68,$AA68)))=Milestones!$AB$105),UPPER(TEXT(EDATE($D68,Milestones!$AA$105),"dd mmm yy"))&amp;" "&amp;Milestones!$AB$105&amp;" "&amp;IF(AND(Milestones!$AB$105="FT",Milestones!$AA$105=FT_Y5,EDATE($D68,Milestones!$AA$105)&lt;PolicyEff),1,Milestones!$AC$105)&amp;";  ","")&amp;IF(AND(EDATE($D68,Milestones!$AA$106)&lt;=AsOfDate,EDATE($D68,Milestones!$AA$106)&gt;=SchemeStart,IF($X68=0,$AD68,IF(AND($Z68&lt;&gt;"",EDATE($D68,Milestones!$AA$106)&gt;=$Z68),$AC68,IF(AND($Y68&lt;&gt;"",EDATE($D68,Milestones!$AA$106)&gt;=$Y68),$AB68,$AA68)))=Milestones!$AB$106),UPPER(TEXT(EDATE($D68,Milestones!$AA$106),"dd mmm yy"))&amp;" "&amp;Milestones!$AB$106&amp;" "&amp;IF(AND(Milestones!$AB$106="FT",Milestones!$AA$106=FT_Y5,EDATE($D68,Milestones!$AA$106)&lt;PolicyEff),1,Milestones!$AC$106)&amp;";  ","")&amp;IF(AND(EDATE($D68,Milestones!$AA$107)&lt;=AsOfDate,EDATE($D68,Milestones!$AA$107)&gt;=SchemeStart,IF($X68=0,$AD68,IF(AND($Z68&lt;&gt;"",EDATE($D68,Milestones!$AA$107)&gt;=$Z68),$AC68,IF(AND($Y68&lt;&gt;"",EDATE($D68,Milestones!$AA$107)&gt;=$Y68),$AB68,$AA68)))=Milestones!$AB$107),UPPER(TEXT(EDATE($D68,Milestones!$AA$107),"dd mmm yy"))&amp;" "&amp;Milestones!$AB$107&amp;" "&amp;IF(AND(Milestones!$AB$107="FT",Milestones!$AA$107=FT_Y5,EDATE($D68,Milestones!$AA$107)&lt;PolicyEff),1,Milestones!$AC$107)&amp;";  ","")&amp;IF(AND(EDATE($D68,Milestones!$AA$108)&lt;=AsOfDate,EDATE($D68,Milestones!$AA$108)&gt;=SchemeStart,IF($X68=0,$AD68,IF(AND($Z68&lt;&gt;"",EDATE($D68,Milestones!$AA$108)&gt;=$Z68),$AC68,IF(AND($Y68&lt;&gt;"",EDATE($D68,Milestones!$AA$108)&gt;=$Y68),$AB68,$AA68)))=Milestones!$AB$108),UPPER(TEXT(EDATE($D68,Milestones!$AA$108),"dd mmm yy"))&amp;" "&amp;Milestones!$AB$108&amp;" "&amp;IF(AND(Milestones!$AB$108="FT",Milestones!$AA$108=FT_Y5,EDATE($D68,Milestones!$AA$108)&lt;PolicyEff),1,Milestones!$AC$108)&amp;";  ","")&amp;IF(AND(EDATE($D68,Milestones!$AA$109)&lt;=AsOfDate,EDATE($D68,Milestones!$AA$109)&gt;=SchemeStart,IF($X68=0,$AD68,IF(AND($Z68&lt;&gt;"",EDATE($D68,Milestones!$AA$109)&gt;=$Z68),$AC68,IF(AND($Y68&lt;&gt;"",EDATE($D68,Milestones!$AA$109)&gt;=$Y68),$AB68,$AA68)))=Milestones!$AB$109),UPPER(TEXT(EDATE($D68,Milestones!$AA$109),"dd mmm yy"))&amp;" "&amp;Milestones!$AB$109&amp;" "&amp;IF(AND(Milestones!$AB$109="FT",Milestones!$AA$109=FT_Y5,EDATE($D68,Milestones!$AA$109)&lt;PolicyEff),1,Milestones!$AC$109)&amp;";  ","")&amp;IF(AND(EDATE($D68,Milestones!$AA$110)&lt;=AsOfDate,EDATE($D68,Milestones!$AA$110)&gt;=SchemeStart,IF($X68=0,$AD68,IF(AND($Z68&lt;&gt;"",EDATE($D68,Milestones!$AA$110)&gt;=$Z68),$AC68,IF(AND($Y68&lt;&gt;"",EDATE($D68,Milestones!$AA$110)&gt;=$Y68),$AB68,$AA68)))=Milestones!$AB$110),UPPER(TEXT(EDATE($D68,Milestones!$AA$110),"dd mmm yy"))&amp;" "&amp;Milestones!$AB$110&amp;" "&amp;IF(AND(Milestones!$AB$110="FT",Milestones!$AA$110=FT_Y5,EDATE($D68,Milestones!$AA$110)&lt;PolicyEff),1,Milestones!$AC$110)&amp;";  ","")&amp;IF(AND(EDATE($D68,Milestones!$AA$111)&lt;=AsOfDate,EDATE($D68,Milestones!$AA$111)&gt;=SchemeStart,IF($X68=0,$AD68,IF(AND($Z68&lt;&gt;"",EDATE($D68,Milestones!$AA$111)&gt;=$Z68),$AC68,IF(AND($Y68&lt;&gt;"",EDATE($D68,Milestones!$AA$111)&gt;=$Y68),$AB68,$AA68)))=Milestones!$AB$111),UPPER(TEXT(EDATE($D68,Milestones!$AA$111),"dd mmm yy"))&amp;" "&amp;Milestones!$AB$111&amp;" "&amp;IF(AND(Milestones!$AB$111="FT",Milestones!$AA$111=FT_Y5,EDATE($D68,Milestones!$AA$111)&lt;PolicyEff),1,Milestones!$AC$111)&amp;";  ","")&amp;IF(AND(EDATE($D68,Milestones!$AA$112)&lt;=AsOfDate,EDATE($D68,Milestones!$AA$112)&gt;=SchemeStart,IF($X68=0,$AD68,IF(AND($Z68&lt;&gt;"",EDATE($D68,Milestones!$AA$112)&gt;=$Z68),$AC68,IF(AND($Y68&lt;&gt;"",EDATE($D68,Milestones!$AA$112)&gt;=$Y68),$AB68,$AA68)))=Milestones!$AB$112),UPPER(TEXT(EDATE($D68,Milestones!$AA$112),"dd mmm yy"))&amp;" "&amp;Milestones!$AB$112&amp;" "&amp;IF(AND(Milestones!$AB$112="FT",Milestones!$AA$112=FT_Y5,EDATE($D68,Milestones!$AA$112)&lt;PolicyEff),1,Milestones!$AC$112)&amp;";  ","")&amp;IF(AND(EDATE($D68,Milestones!$AA$113)&lt;=AsOfDate,EDATE($D68,Milestones!$AA$113)&gt;=SchemeStart,IF($X68=0,$AD68,IF(AND($Z68&lt;&gt;"",EDATE($D68,Milestones!$AA$113)&gt;=$Z68),$AC68,IF(AND($Y68&lt;&gt;"",EDATE($D68,Milestones!$AA$113)&gt;=$Y68),$AB68,$AA68)))=Milestones!$AB$113),UPPER(TEXT(EDATE($D68,Milestones!$AA$113),"dd mmm yy"))&amp;" "&amp;Milestones!$AB$113&amp;" "&amp;IF(AND(Milestones!$AB$113="FT",Milestones!$AA$113=FT_Y5,EDATE($D68,Milestones!$AA$113)&lt;PolicyEff),1,Milestones!$AC$113)&amp;";  ","")&amp;IF(AND(EDATE($D68,Milestones!$AA$114)&lt;=AsOfDate,EDATE($D68,Milestones!$AA$114)&gt;=SchemeStart,IF($X68=0,$AD68,IF(AND($Z68&lt;&gt;"",EDATE($D68,Milestones!$AA$114)&gt;=$Z68),$AC68,IF(AND($Y68&lt;&gt;"",EDATE($D68,Milestones!$AA$114)&gt;=$Y68),$AB68,$AA68)))=Milestones!$AB$114),UPPER(TEXT(EDATE($D68,Milestones!$AA$114),"dd mmm yy"))&amp;" "&amp;Milestones!$AB$114&amp;" "&amp;IF(AND(Milestones!$AB$114="FT",Milestones!$AA$114=FT_Y5,EDATE($D68,Milestones!$AA$114)&lt;PolicyEff),1,Milestones!$AC$114)&amp;";  ","")&amp;IF(AND(EDATE($D68,Milestones!$AA$115)&lt;=AsOfDate,EDATE($D68,Milestones!$AA$115)&gt;=SchemeStart,IF($X68=0,$AD68,IF(AND($Z68&lt;&gt;"",EDATE($D68,Milestones!$AA$115)&gt;=$Z68),$AC68,IF(AND($Y68&lt;&gt;"",EDATE($D68,Milestones!$AA$115)&gt;=$Y68),$AB68,$AA68)))=Milestones!$AB$115),UPPER(TEXT(EDATE($D68,Milestones!$AA$115),"dd mmm yy"))&amp;" "&amp;Milestones!$AB$115&amp;" "&amp;IF(AND(Milestones!$AB$115="FT",Milestones!$AA$115=FT_Y5,EDATE($D68,Milestones!$AA$115)&lt;PolicyEff),1,Milestones!$AC$115)&amp;";  ",""))</f>
        <v/>
      </c>
      <c r="Q68" s="0" t="str">
        <f aca="false">IF(OR($A68="",$D68=""),"",IF(AND(EDATE($D68,Milestones!$AA$116)&lt;=AsOfDate,EDATE($D68,Milestones!$AA$116)&gt;=SchemeStart,IF($X68=0,$AD68,IF(AND($Z68&lt;&gt;"",EDATE($D68,Milestones!$AA$116)&gt;=$Z68),$AC68,IF(AND($Y68&lt;&gt;"",EDATE($D68,Milestones!$AA$116)&gt;=$Y68),$AB68,$AA68)))=Milestones!$AB$116),UPPER(TEXT(EDATE($D68,Milestones!$AA$116),"dd mmm yy"))&amp;" "&amp;Milestones!$AB$116&amp;" "&amp;IF(AND(Milestones!$AB$116="FT",Milestones!$AA$116=FT_Y5,EDATE($D68,Milestones!$AA$116)&lt;PolicyEff),1,Milestones!$AC$116)&amp;";  ","")&amp;IF(AND(EDATE($D68,Milestones!$AA$117)&lt;=AsOfDate,EDATE($D68,Milestones!$AA$117)&gt;=SchemeStart,IF($X68=0,$AD68,IF(AND($Z68&lt;&gt;"",EDATE($D68,Milestones!$AA$117)&gt;=$Z68),$AC68,IF(AND($Y68&lt;&gt;"",EDATE($D68,Milestones!$AA$117)&gt;=$Y68),$AB68,$AA68)))=Milestones!$AB$117),UPPER(TEXT(EDATE($D68,Milestones!$AA$117),"dd mmm yy"))&amp;" "&amp;Milestones!$AB$117&amp;" "&amp;IF(AND(Milestones!$AB$117="FT",Milestones!$AA$117=FT_Y5,EDATE($D68,Milestones!$AA$117)&lt;PolicyEff),1,Milestones!$AC$117)&amp;";  ","")&amp;IF(AND(EDATE($D68,Milestones!$AA$118)&lt;=AsOfDate,EDATE($D68,Milestones!$AA$118)&gt;=SchemeStart,IF($X68=0,$AD68,IF(AND($Z68&lt;&gt;"",EDATE($D68,Milestones!$AA$118)&gt;=$Z68),$AC68,IF(AND($Y68&lt;&gt;"",EDATE($D68,Milestones!$AA$118)&gt;=$Y68),$AB68,$AA68)))=Milestones!$AB$118),UPPER(TEXT(EDATE($D68,Milestones!$AA$118),"dd mmm yy"))&amp;" "&amp;Milestones!$AB$118&amp;" "&amp;IF(AND(Milestones!$AB$118="FT",Milestones!$AA$118=FT_Y5,EDATE($D68,Milestones!$AA$118)&lt;PolicyEff),1,Milestones!$AC$118)&amp;";  ","")&amp;IF(AND(EDATE($D68,Milestones!$AA$119)&lt;=AsOfDate,EDATE($D68,Milestones!$AA$119)&gt;=SchemeStart,IF($X68=0,$AD68,IF(AND($Z68&lt;&gt;"",EDATE($D68,Milestones!$AA$119)&gt;=$Z68),$AC68,IF(AND($Y68&lt;&gt;"",EDATE($D68,Milestones!$AA$119)&gt;=$Y68),$AB68,$AA68)))=Milestones!$AB$119),UPPER(TEXT(EDATE($D68,Milestones!$AA$119),"dd mmm yy"))&amp;" "&amp;Milestones!$AB$119&amp;" "&amp;IF(AND(Milestones!$AB$119="FT",Milestones!$AA$119=FT_Y5,EDATE($D68,Milestones!$AA$119)&lt;PolicyEff),1,Milestones!$AC$119)&amp;";  ","")&amp;IF(AND(EDATE($D68,Milestones!$AA$120)&lt;=AsOfDate,EDATE($D68,Milestones!$AA$120)&gt;=SchemeStart,IF($X68=0,$AD68,IF(AND($Z68&lt;&gt;"",EDATE($D68,Milestones!$AA$120)&gt;=$Z68),$AC68,IF(AND($Y68&lt;&gt;"",EDATE($D68,Milestones!$AA$120)&gt;=$Y68),$AB68,$AA68)))=Milestones!$AB$120),UPPER(TEXT(EDATE($D68,Milestones!$AA$120),"dd mmm yy"))&amp;" "&amp;Milestones!$AB$120&amp;" "&amp;IF(AND(Milestones!$AB$120="FT",Milestones!$AA$120=FT_Y5,EDATE($D68,Milestones!$AA$120)&lt;PolicyEff),1,Milestones!$AC$120)&amp;";  ","")&amp;IF(AND(EDATE($D68,Milestones!$AA$121)&lt;=AsOfDate,EDATE($D68,Milestones!$AA$121)&gt;=SchemeStart,IF($X68=0,$AD68,IF(AND($Z68&lt;&gt;"",EDATE($D68,Milestones!$AA$121)&gt;=$Z68),$AC68,IF(AND($Y68&lt;&gt;"",EDATE($D68,Milestones!$AA$121)&gt;=$Y68),$AB68,$AA68)))=Milestones!$AB$121),UPPER(TEXT(EDATE($D68,Milestones!$AA$121),"dd mmm yy"))&amp;" "&amp;Milestones!$AB$121&amp;" "&amp;IF(AND(Milestones!$AB$121="FT",Milestones!$AA$121=FT_Y5,EDATE($D68,Milestones!$AA$121)&lt;PolicyEff),1,Milestones!$AC$121)&amp;";  ","")&amp;IF(AND(EDATE($D68,Milestones!$AA$122)&lt;=AsOfDate,EDATE($D68,Milestones!$AA$122)&gt;=SchemeStart,IF($X68=0,$AD68,IF(AND($Z68&lt;&gt;"",EDATE($D68,Milestones!$AA$122)&gt;=$Z68),$AC68,IF(AND($Y68&lt;&gt;"",EDATE($D68,Milestones!$AA$122)&gt;=$Y68),$AB68,$AA68)))=Milestones!$AB$122),UPPER(TEXT(EDATE($D68,Milestones!$AA$122),"dd mmm yy"))&amp;" "&amp;Milestones!$AB$122&amp;" "&amp;IF(AND(Milestones!$AB$122="FT",Milestones!$AA$122=FT_Y5,EDATE($D68,Milestones!$AA$122)&lt;PolicyEff),1,Milestones!$AC$122)&amp;";  ","")&amp;IF(AND(EDATE($D68,Milestones!$AA$123)&lt;=AsOfDate,EDATE($D68,Milestones!$AA$123)&gt;=SchemeStart,IF($X68=0,$AD68,IF(AND($Z68&lt;&gt;"",EDATE($D68,Milestones!$AA$123)&gt;=$Z68),$AC68,IF(AND($Y68&lt;&gt;"",EDATE($D68,Milestones!$AA$123)&gt;=$Y68),$AB68,$AA68)))=Milestones!$AB$123),UPPER(TEXT(EDATE($D68,Milestones!$AA$123),"dd mmm yy"))&amp;" "&amp;Milestones!$AB$123&amp;" "&amp;IF(AND(Milestones!$AB$123="FT",Milestones!$AA$123=FT_Y5,EDATE($D68,Milestones!$AA$123)&lt;PolicyEff),1,Milestones!$AC$123)&amp;";  ","")&amp;IF(AND(EDATE($D68,Milestones!$AA$124)&lt;=AsOfDate,EDATE($D68,Milestones!$AA$124)&gt;=SchemeStart,IF($X68=0,$AD68,IF(AND($Z68&lt;&gt;"",EDATE($D68,Milestones!$AA$124)&gt;=$Z68),$AC68,IF(AND($Y68&lt;&gt;"",EDATE($D68,Milestones!$AA$124)&gt;=$Y68),$AB68,$AA68)))=Milestones!$AB$124),UPPER(TEXT(EDATE($D68,Milestones!$AA$124),"dd mmm yy"))&amp;" "&amp;Milestones!$AB$124&amp;" "&amp;IF(AND(Milestones!$AB$124="FT",Milestones!$AA$124=FT_Y5,EDATE($D68,Milestones!$AA$124)&lt;PolicyEff),1,Milestones!$AC$124)&amp;";  ","")&amp;IF(AND(EDATE($D68,Milestones!$AA$125)&lt;=AsOfDate,EDATE($D68,Milestones!$AA$125)&gt;=SchemeStart,IF($X68=0,$AD68,IF(AND($Z68&lt;&gt;"",EDATE($D68,Milestones!$AA$125)&gt;=$Z68),$AC68,IF(AND($Y68&lt;&gt;"",EDATE($D68,Milestones!$AA$125)&gt;=$Y68),$AB68,$AA68)))=Milestones!$AB$125),UPPER(TEXT(EDATE($D68,Milestones!$AA$125),"dd mmm yy"))&amp;" "&amp;Milestones!$AB$125&amp;" "&amp;IF(AND(Milestones!$AB$125="FT",Milestones!$AA$125=FT_Y5,EDATE($D68,Milestones!$AA$125)&lt;PolicyEff),1,Milestones!$AC$125)&amp;";  ","")&amp;IF(AND(EDATE($D68,Milestones!$AA$126)&lt;=AsOfDate,EDATE($D68,Milestones!$AA$126)&gt;=SchemeStart,IF($X68=0,$AD68,IF(AND($Z68&lt;&gt;"",EDATE($D68,Milestones!$AA$126)&gt;=$Z68),$AC68,IF(AND($Y68&lt;&gt;"",EDATE($D68,Milestones!$AA$126)&gt;=$Y68),$AB68,$AA68)))=Milestones!$AB$126),UPPER(TEXT(EDATE($D68,Milestones!$AA$126),"dd mmm yy"))&amp;" "&amp;Milestones!$AB$126&amp;" "&amp;IF(AND(Milestones!$AB$126="FT",Milestones!$AA$126=FT_Y5,EDATE($D68,Milestones!$AA$126)&lt;PolicyEff),1,Milestones!$AC$126)&amp;";  ","")&amp;IF(AND(EDATE($D68,Milestones!$AA$127)&lt;=AsOfDate,EDATE($D68,Milestones!$AA$127)&gt;=SchemeStart,IF($X68=0,$AD68,IF(AND($Z68&lt;&gt;"",EDATE($D68,Milestones!$AA$127)&gt;=$Z68),$AC68,IF(AND($Y68&lt;&gt;"",EDATE($D68,Milestones!$AA$127)&gt;=$Y68),$AB68,$AA68)))=Milestones!$AB$127),UPPER(TEXT(EDATE($D68,Milestones!$AA$127),"dd mmm yy"))&amp;" "&amp;Milestones!$AB$127&amp;" "&amp;IF(AND(Milestones!$AB$127="FT",Milestones!$AA$127=FT_Y5,EDATE($D68,Milestones!$AA$127)&lt;PolicyEff),1,Milestones!$AC$127)&amp;";  ",""))</f>
        <v/>
      </c>
      <c r="R68" s="0" t="str">
        <f aca="false">IF(OR($A68="",$D68=""),"",IF(AND(EDATE($D68,Milestones!$AA$128)&lt;=AsOfDate,EDATE($D68,Milestones!$AA$128)&gt;=SchemeStart,IF($X68=0,$AD68,IF(AND($Z68&lt;&gt;"",EDATE($D68,Milestones!$AA$128)&gt;=$Z68),$AC68,IF(AND($Y68&lt;&gt;"",EDATE($D68,Milestones!$AA$128)&gt;=$Y68),$AB68,$AA68)))=Milestones!$AB$128),UPPER(TEXT(EDATE($D68,Milestones!$AA$128),"dd mmm yy"))&amp;" "&amp;Milestones!$AB$128&amp;" "&amp;IF(AND(Milestones!$AB$128="FT",Milestones!$AA$128=FT_Y5,EDATE($D68,Milestones!$AA$128)&lt;PolicyEff),1,Milestones!$AC$128)&amp;";  ","")&amp;IF(AND(EDATE($D68,Milestones!$AA$129)&lt;=AsOfDate,EDATE($D68,Milestones!$AA$129)&gt;=SchemeStart,IF($X68=0,$AD68,IF(AND($Z68&lt;&gt;"",EDATE($D68,Milestones!$AA$129)&gt;=$Z68),$AC68,IF(AND($Y68&lt;&gt;"",EDATE($D68,Milestones!$AA$129)&gt;=$Y68),$AB68,$AA68)))=Milestones!$AB$129),UPPER(TEXT(EDATE($D68,Milestones!$AA$129),"dd mmm yy"))&amp;" "&amp;Milestones!$AB$129&amp;" "&amp;IF(AND(Milestones!$AB$129="FT",Milestones!$AA$129=FT_Y5,EDATE($D68,Milestones!$AA$129)&lt;PolicyEff),1,Milestones!$AC$129)&amp;";  ","")&amp;IF(AND(EDATE($D68,Milestones!$AA$130)&lt;=AsOfDate,EDATE($D68,Milestones!$AA$130)&gt;=SchemeStart,IF($X68=0,$AD68,IF(AND($Z68&lt;&gt;"",EDATE($D68,Milestones!$AA$130)&gt;=$Z68),$AC68,IF(AND($Y68&lt;&gt;"",EDATE($D68,Milestones!$AA$130)&gt;=$Y68),$AB68,$AA68)))=Milestones!$AB$130),UPPER(TEXT(EDATE($D68,Milestones!$AA$130),"dd mmm yy"))&amp;" "&amp;Milestones!$AB$130&amp;" "&amp;IF(AND(Milestones!$AB$130="FT",Milestones!$AA$130=FT_Y5,EDATE($D68,Milestones!$AA$130)&lt;PolicyEff),1,Milestones!$AC$130)&amp;";  ","")&amp;IF(AND(EDATE($D68,Milestones!$AA$131)&lt;=AsOfDate,EDATE($D68,Milestones!$AA$131)&gt;=SchemeStart,IF($X68=0,$AD68,IF(AND($Z68&lt;&gt;"",EDATE($D68,Milestones!$AA$131)&gt;=$Z68),$AC68,IF(AND($Y68&lt;&gt;"",EDATE($D68,Milestones!$AA$131)&gt;=$Y68),$AB68,$AA68)))=Milestones!$AB$131),UPPER(TEXT(EDATE($D68,Milestones!$AA$131),"dd mmm yy"))&amp;" "&amp;Milestones!$AB$131&amp;" "&amp;IF(AND(Milestones!$AB$131="FT",Milestones!$AA$131=FT_Y5,EDATE($D68,Milestones!$AA$131)&lt;PolicyEff),1,Milestones!$AC$131)&amp;";  ","")&amp;IF(AND(EDATE($D68,Milestones!$AA$132)&lt;=AsOfDate,EDATE($D68,Milestones!$AA$132)&gt;=SchemeStart,IF($X68=0,$AD68,IF(AND($Z68&lt;&gt;"",EDATE($D68,Milestones!$AA$132)&gt;=$Z68),$AC68,IF(AND($Y68&lt;&gt;"",EDATE($D68,Milestones!$AA$132)&gt;=$Y68),$AB68,$AA68)))=Milestones!$AB$132),UPPER(TEXT(EDATE($D68,Milestones!$AA$132),"dd mmm yy"))&amp;" "&amp;Milestones!$AB$132&amp;" "&amp;IF(AND(Milestones!$AB$132="FT",Milestones!$AA$132=FT_Y5,EDATE($D68,Milestones!$AA$132)&lt;PolicyEff),1,Milestones!$AC$132)&amp;";  ","")&amp;IF(AND(EDATE($D68,Milestones!$AA$133)&lt;=AsOfDate,EDATE($D68,Milestones!$AA$133)&gt;=SchemeStart,IF($X68=0,$AD68,IF(AND($Z68&lt;&gt;"",EDATE($D68,Milestones!$AA$133)&gt;=$Z68),$AC68,IF(AND($Y68&lt;&gt;"",EDATE($D68,Milestones!$AA$133)&gt;=$Y68),$AB68,$AA68)))=Milestones!$AB$133),UPPER(TEXT(EDATE($D68,Milestones!$AA$133),"dd mmm yy"))&amp;" "&amp;Milestones!$AB$133&amp;" "&amp;IF(AND(Milestones!$AB$133="FT",Milestones!$AA$133=FT_Y5,EDATE($D68,Milestones!$AA$133)&lt;PolicyEff),1,Milestones!$AC$133)&amp;";  ","")&amp;IF(AND(EDATE($D68,Milestones!$AA$134)&lt;=AsOfDate,EDATE($D68,Milestones!$AA$134)&gt;=SchemeStart,IF($X68=0,$AD68,IF(AND($Z68&lt;&gt;"",EDATE($D68,Milestones!$AA$134)&gt;=$Z68),$AC68,IF(AND($Y68&lt;&gt;"",EDATE($D68,Milestones!$AA$134)&gt;=$Y68),$AB68,$AA68)))=Milestones!$AB$134),UPPER(TEXT(EDATE($D68,Milestones!$AA$134),"dd mmm yy"))&amp;" "&amp;Milestones!$AB$134&amp;" "&amp;IF(AND(Milestones!$AB$134="FT",Milestones!$AA$134=FT_Y5,EDATE($D68,Milestones!$AA$134)&lt;PolicyEff),1,Milestones!$AC$134)&amp;";  ","")&amp;IF(AND(EDATE($D68,Milestones!$AA$135)&lt;=AsOfDate,EDATE($D68,Milestones!$AA$135)&gt;=SchemeStart,IF($X68=0,$AD68,IF(AND($Z68&lt;&gt;"",EDATE($D68,Milestones!$AA$135)&gt;=$Z68),$AC68,IF(AND($Y68&lt;&gt;"",EDATE($D68,Milestones!$AA$135)&gt;=$Y68),$AB68,$AA68)))=Milestones!$AB$135),UPPER(TEXT(EDATE($D68,Milestones!$AA$135),"dd mmm yy"))&amp;" "&amp;Milestones!$AB$135&amp;" "&amp;IF(AND(Milestones!$AB$135="FT",Milestones!$AA$135=FT_Y5,EDATE($D68,Milestones!$AA$135)&lt;PolicyEff),1,Milestones!$AC$135)&amp;";  ","")&amp;IF(AND(EDATE($D68,Milestones!$AA$136)&lt;=AsOfDate,EDATE($D68,Milestones!$AA$136)&gt;=SchemeStart,IF($X68=0,$AD68,IF(AND($Z68&lt;&gt;"",EDATE($D68,Milestones!$AA$136)&gt;=$Z68),$AC68,IF(AND($Y68&lt;&gt;"",EDATE($D68,Milestones!$AA$136)&gt;=$Y68),$AB68,$AA68)))=Milestones!$AB$136),UPPER(TEXT(EDATE($D68,Milestones!$AA$136),"dd mmm yy"))&amp;" "&amp;Milestones!$AB$136&amp;" "&amp;IF(AND(Milestones!$AB$136="FT",Milestones!$AA$136=FT_Y5,EDATE($D68,Milestones!$AA$136)&lt;PolicyEff),1,Milestones!$AC$136)&amp;";  ","")&amp;IF(AND(EDATE($D68,Milestones!$AA$137)&lt;=AsOfDate,EDATE($D68,Milestones!$AA$137)&gt;=SchemeStart,IF($X68=0,$AD68,IF(AND($Z68&lt;&gt;"",EDATE($D68,Milestones!$AA$137)&gt;=$Z68),$AC68,IF(AND($Y68&lt;&gt;"",EDATE($D68,Milestones!$AA$137)&gt;=$Y68),$AB68,$AA68)))=Milestones!$AB$137),UPPER(TEXT(EDATE($D68,Milestones!$AA$137),"dd mmm yy"))&amp;" "&amp;Milestones!$AB$137&amp;" "&amp;IF(AND(Milestones!$AB$137="FT",Milestones!$AA$137=FT_Y5,EDATE($D68,Milestones!$AA$137)&lt;PolicyEff),1,Milestones!$AC$137)&amp;";  ","")&amp;IF(AND(EDATE($D68,Milestones!$AA$138)&lt;=AsOfDate,EDATE($D68,Milestones!$AA$138)&gt;=SchemeStart,IF($X68=0,$AD68,IF(AND($Z68&lt;&gt;"",EDATE($D68,Milestones!$AA$138)&gt;=$Z68),$AC68,IF(AND($Y68&lt;&gt;"",EDATE($D68,Milestones!$AA$138)&gt;=$Y68),$AB68,$AA68)))=Milestones!$AB$138),UPPER(TEXT(EDATE($D68,Milestones!$AA$138),"dd mmm yy"))&amp;" "&amp;Milestones!$AB$138&amp;" "&amp;IF(AND(Milestones!$AB$138="FT",Milestones!$AA$138=FT_Y5,EDATE($D68,Milestones!$AA$138)&lt;PolicyEff),1,Milestones!$AC$138)&amp;";  ","")&amp;IF(AND(EDATE($D68,Milestones!$AA$139)&lt;=AsOfDate,EDATE($D68,Milestones!$AA$139)&gt;=SchemeStart,IF($X68=0,$AD68,IF(AND($Z68&lt;&gt;"",EDATE($D68,Milestones!$AA$139)&gt;=$Z68),$AC68,IF(AND($Y68&lt;&gt;"",EDATE($D68,Milestones!$AA$139)&gt;=$Y68),$AB68,$AA68)))=Milestones!$AB$139),UPPER(TEXT(EDATE($D68,Milestones!$AA$139),"dd mmm yy"))&amp;" "&amp;Milestones!$AB$139&amp;" "&amp;IF(AND(Milestones!$AB$139="FT",Milestones!$AA$139=FT_Y5,EDATE($D68,Milestones!$AA$139)&lt;PolicyEff),1,Milestones!$AC$139)&amp;";  ",""))</f>
        <v/>
      </c>
      <c r="S68" s="0" t="str">
        <f aca="false">IF(OR($A68="",$D68=""),"",IF(AND(EDATE($D68,Milestones!$AA$140)&lt;=AsOfDate,EDATE($D68,Milestones!$AA$140)&gt;=SchemeStart,IF($X68=0,$AD68,IF(AND($Z68&lt;&gt;"",EDATE($D68,Milestones!$AA$140)&gt;=$Z68),$AC68,IF(AND($Y68&lt;&gt;"",EDATE($D68,Milestones!$AA$140)&gt;=$Y68),$AB68,$AA68)))=Milestones!$AB$140),UPPER(TEXT(EDATE($D68,Milestones!$AA$140),"dd mmm yy"))&amp;" "&amp;Milestones!$AB$140&amp;" "&amp;IF(AND(Milestones!$AB$140="FT",Milestones!$AA$140=FT_Y5,EDATE($D68,Milestones!$AA$140)&lt;PolicyEff),1,Milestones!$AC$140)&amp;";  ","")&amp;IF(AND(EDATE($D68,Milestones!$AA$141)&lt;=AsOfDate,EDATE($D68,Milestones!$AA$141)&gt;=SchemeStart,IF($X68=0,$AD68,IF(AND($Z68&lt;&gt;"",EDATE($D68,Milestones!$AA$141)&gt;=$Z68),$AC68,IF(AND($Y68&lt;&gt;"",EDATE($D68,Milestones!$AA$141)&gt;=$Y68),$AB68,$AA68)))=Milestones!$AB$141),UPPER(TEXT(EDATE($D68,Milestones!$AA$141),"dd mmm yy"))&amp;" "&amp;Milestones!$AB$141&amp;" "&amp;IF(AND(Milestones!$AB$141="FT",Milestones!$AA$141=FT_Y5,EDATE($D68,Milestones!$AA$141)&lt;PolicyEff),1,Milestones!$AC$141)&amp;";  ","")&amp;IF(AND(EDATE($D68,Milestones!$AA$142)&lt;=AsOfDate,EDATE($D68,Milestones!$AA$142)&gt;=SchemeStart,IF($X68=0,$AD68,IF(AND($Z68&lt;&gt;"",EDATE($D68,Milestones!$AA$142)&gt;=$Z68),$AC68,IF(AND($Y68&lt;&gt;"",EDATE($D68,Milestones!$AA$142)&gt;=$Y68),$AB68,$AA68)))=Milestones!$AB$142),UPPER(TEXT(EDATE($D68,Milestones!$AA$142),"dd mmm yy"))&amp;" "&amp;Milestones!$AB$142&amp;" "&amp;IF(AND(Milestones!$AB$142="FT",Milestones!$AA$142=FT_Y5,EDATE($D68,Milestones!$AA$142)&lt;PolicyEff),1,Milestones!$AC$142)&amp;";  ","")&amp;IF(AND(EDATE($D68,Milestones!$AA$143)&lt;=AsOfDate,EDATE($D68,Milestones!$AA$143)&gt;=SchemeStart,IF($X68=0,$AD68,IF(AND($Z68&lt;&gt;"",EDATE($D68,Milestones!$AA$143)&gt;=$Z68),$AC68,IF(AND($Y68&lt;&gt;"",EDATE($D68,Milestones!$AA$143)&gt;=$Y68),$AB68,$AA68)))=Milestones!$AB$143),UPPER(TEXT(EDATE($D68,Milestones!$AA$143),"dd mmm yy"))&amp;" "&amp;Milestones!$AB$143&amp;" "&amp;IF(AND(Milestones!$AB$143="FT",Milestones!$AA$143=FT_Y5,EDATE($D68,Milestones!$AA$143)&lt;PolicyEff),1,Milestones!$AC$143)&amp;";  ","")&amp;IF(AND(EDATE($D68,Milestones!$AA$144)&lt;=AsOfDate,EDATE($D68,Milestones!$AA$144)&gt;=SchemeStart,IF($X68=0,$AD68,IF(AND($Z68&lt;&gt;"",EDATE($D68,Milestones!$AA$144)&gt;=$Z68),$AC68,IF(AND($Y68&lt;&gt;"",EDATE($D68,Milestones!$AA$144)&gt;=$Y68),$AB68,$AA68)))=Milestones!$AB$144),UPPER(TEXT(EDATE($D68,Milestones!$AA$144),"dd mmm yy"))&amp;" "&amp;Milestones!$AB$144&amp;" "&amp;IF(AND(Milestones!$AB$144="FT",Milestones!$AA$144=FT_Y5,EDATE($D68,Milestones!$AA$144)&lt;PolicyEff),1,Milestones!$AC$144)&amp;";  ","")&amp;IF(AND(EDATE($D68,Milestones!$AA$145)&lt;=AsOfDate,EDATE($D68,Milestones!$AA$145)&gt;=SchemeStart,IF($X68=0,$AD68,IF(AND($Z68&lt;&gt;"",EDATE($D68,Milestones!$AA$145)&gt;=$Z68),$AC68,IF(AND($Y68&lt;&gt;"",EDATE($D68,Milestones!$AA$145)&gt;=$Y68),$AB68,$AA68)))=Milestones!$AB$145),UPPER(TEXT(EDATE($D68,Milestones!$AA$145),"dd mmm yy"))&amp;" "&amp;Milestones!$AB$145&amp;" "&amp;IF(AND(Milestones!$AB$145="FT",Milestones!$AA$145=FT_Y5,EDATE($D68,Milestones!$AA$145)&lt;PolicyEff),1,Milestones!$AC$145)&amp;";  ","")&amp;IF(AND(EDATE($D68,Milestones!$AA$146)&lt;=AsOfDate,EDATE($D68,Milestones!$AA$146)&gt;=SchemeStart,IF($X68=0,$AD68,IF(AND($Z68&lt;&gt;"",EDATE($D68,Milestones!$AA$146)&gt;=$Z68),$AC68,IF(AND($Y68&lt;&gt;"",EDATE($D68,Milestones!$AA$146)&gt;=$Y68),$AB68,$AA68)))=Milestones!$AB$146),UPPER(TEXT(EDATE($D68,Milestones!$AA$146),"dd mmm yy"))&amp;" "&amp;Milestones!$AB$146&amp;" "&amp;IF(AND(Milestones!$AB$146="FT",Milestones!$AA$146=FT_Y5,EDATE($D68,Milestones!$AA$146)&lt;PolicyEff),1,Milestones!$AC$146)&amp;";  ","")&amp;IF(AND(EDATE($D68,Milestones!$AA$147)&lt;=AsOfDate,EDATE($D68,Milestones!$AA$147)&gt;=SchemeStart,IF($X68=0,$AD68,IF(AND($Z68&lt;&gt;"",EDATE($D68,Milestones!$AA$147)&gt;=$Z68),$AC68,IF(AND($Y68&lt;&gt;"",EDATE($D68,Milestones!$AA$147)&gt;=$Y68),$AB68,$AA68)))=Milestones!$AB$147),UPPER(TEXT(EDATE($D68,Milestones!$AA$147),"dd mmm yy"))&amp;" "&amp;Milestones!$AB$147&amp;" "&amp;IF(AND(Milestones!$AB$147="FT",Milestones!$AA$147=FT_Y5,EDATE($D68,Milestones!$AA$147)&lt;PolicyEff),1,Milestones!$AC$147)&amp;";  ","")&amp;IF(AND(EDATE($D68,Milestones!$AA$148)&lt;=AsOfDate,EDATE($D68,Milestones!$AA$148)&gt;=SchemeStart,IF($X68=0,$AD68,IF(AND($Z68&lt;&gt;"",EDATE($D68,Milestones!$AA$148)&gt;=$Z68),$AC68,IF(AND($Y68&lt;&gt;"",EDATE($D68,Milestones!$AA$148)&gt;=$Y68),$AB68,$AA68)))=Milestones!$AB$148),UPPER(TEXT(EDATE($D68,Milestones!$AA$148),"dd mmm yy"))&amp;" "&amp;Milestones!$AB$148&amp;" "&amp;IF(AND(Milestones!$AB$148="FT",Milestones!$AA$148=FT_Y5,EDATE($D68,Milestones!$AA$148)&lt;PolicyEff),1,Milestones!$AC$148)&amp;";  ","")&amp;IF(AND(EDATE($D68,Milestones!$AA$149)&lt;=AsOfDate,EDATE($D68,Milestones!$AA$149)&gt;=SchemeStart,IF($X68=0,$AD68,IF(AND($Z68&lt;&gt;"",EDATE($D68,Milestones!$AA$149)&gt;=$Z68),$AC68,IF(AND($Y68&lt;&gt;"",EDATE($D68,Milestones!$AA$149)&gt;=$Y68),$AB68,$AA68)))=Milestones!$AB$149),UPPER(TEXT(EDATE($D68,Milestones!$AA$149),"dd mmm yy"))&amp;" "&amp;Milestones!$AB$149&amp;" "&amp;IF(AND(Milestones!$AB$149="FT",Milestones!$AA$149=FT_Y5,EDATE($D68,Milestones!$AA$149)&lt;PolicyEff),1,Milestones!$AC$149)&amp;";  ","")&amp;IF(AND(EDATE($D68,Milestones!$AA$150)&lt;=AsOfDate,EDATE($D68,Milestones!$AA$150)&gt;=SchemeStart,IF($X68=0,$AD68,IF(AND($Z68&lt;&gt;"",EDATE($D68,Milestones!$AA$150)&gt;=$Z68),$AC68,IF(AND($Y68&lt;&gt;"",EDATE($D68,Milestones!$AA$150)&gt;=$Y68),$AB68,$AA68)))=Milestones!$AB$150),UPPER(TEXT(EDATE($D68,Milestones!$AA$150),"dd mmm yy"))&amp;" "&amp;Milestones!$AB$150&amp;" "&amp;IF(AND(Milestones!$AB$150="FT",Milestones!$AA$150=FT_Y5,EDATE($D68,Milestones!$AA$150)&lt;PolicyEff),1,Milestones!$AC$150)&amp;";  ","")&amp;IF(AND(EDATE($D68,Milestones!$AA$151)&lt;=AsOfDate,EDATE($D68,Milestones!$AA$151)&gt;=SchemeStart,IF($X68=0,$AD68,IF(AND($Z68&lt;&gt;"",EDATE($D68,Milestones!$AA$151)&gt;=$Z68),$AC68,IF(AND($Y68&lt;&gt;"",EDATE($D68,Milestones!$AA$151)&gt;=$Y68),$AB68,$AA68)))=Milestones!$AB$151),UPPER(TEXT(EDATE($D68,Milestones!$AA$151),"dd mmm yy"))&amp;" "&amp;Milestones!$AB$151&amp;" "&amp;IF(AND(Milestones!$AB$151="FT",Milestones!$AA$151=FT_Y5,EDATE($D68,Milestones!$AA$151)&lt;PolicyEff),1,Milestones!$AC$151)&amp;";  ",""))</f>
        <v/>
      </c>
      <c r="T68" s="0" t="str">
        <f aca="false">IF(OR($A68="",$D68=""),"",IF(AND(EDATE($D68,Milestones!$AA$152)&lt;=AsOfDate,EDATE($D68,Milestones!$AA$152)&gt;=SchemeStart,IF($X68=0,$AD68,IF(AND($Z68&lt;&gt;"",EDATE($D68,Milestones!$AA$152)&gt;=$Z68),$AC68,IF(AND($Y68&lt;&gt;"",EDATE($D68,Milestones!$AA$152)&gt;=$Y68),$AB68,$AA68)))=Milestones!$AB$152),UPPER(TEXT(EDATE($D68,Milestones!$AA$152),"dd mmm yy"))&amp;" "&amp;Milestones!$AB$152&amp;" "&amp;IF(AND(Milestones!$AB$152="FT",Milestones!$AA$152=FT_Y5,EDATE($D68,Milestones!$AA$152)&lt;PolicyEff),1,Milestones!$AC$152)&amp;";  ","")&amp;IF(AND(EDATE($D68,Milestones!$AA$153)&lt;=AsOfDate,EDATE($D68,Milestones!$AA$153)&gt;=SchemeStart,IF($X68=0,$AD68,IF(AND($Z68&lt;&gt;"",EDATE($D68,Milestones!$AA$153)&gt;=$Z68),$AC68,IF(AND($Y68&lt;&gt;"",EDATE($D68,Milestones!$AA$153)&gt;=$Y68),$AB68,$AA68)))=Milestones!$AB$153),UPPER(TEXT(EDATE($D68,Milestones!$AA$153),"dd mmm yy"))&amp;" "&amp;Milestones!$AB$153&amp;" "&amp;IF(AND(Milestones!$AB$153="FT",Milestones!$AA$153=FT_Y5,EDATE($D68,Milestones!$AA$153)&lt;PolicyEff),1,Milestones!$AC$153)&amp;";  ","")&amp;IF(AND(EDATE($D68,Milestones!$AA$154)&lt;=AsOfDate,EDATE($D68,Milestones!$AA$154)&gt;=SchemeStart,IF($X68=0,$AD68,IF(AND($Z68&lt;&gt;"",EDATE($D68,Milestones!$AA$154)&gt;=$Z68),$AC68,IF(AND($Y68&lt;&gt;"",EDATE($D68,Milestones!$AA$154)&gt;=$Y68),$AB68,$AA68)))=Milestones!$AB$154),UPPER(TEXT(EDATE($D68,Milestones!$AA$154),"dd mmm yy"))&amp;" "&amp;Milestones!$AB$154&amp;" "&amp;IF(AND(Milestones!$AB$154="FT",Milestones!$AA$154=FT_Y5,EDATE($D68,Milestones!$AA$154)&lt;PolicyEff),1,Milestones!$AC$154)&amp;";  ","")&amp;IF(AND(EDATE($D68,Milestones!$AA$155)&lt;=AsOfDate,EDATE($D68,Milestones!$AA$155)&gt;=SchemeStart,IF($X68=0,$AD68,IF(AND($Z68&lt;&gt;"",EDATE($D68,Milestones!$AA$155)&gt;=$Z68),$AC68,IF(AND($Y68&lt;&gt;"",EDATE($D68,Milestones!$AA$155)&gt;=$Y68),$AB68,$AA68)))=Milestones!$AB$155),UPPER(TEXT(EDATE($D68,Milestones!$AA$155),"dd mmm yy"))&amp;" "&amp;Milestones!$AB$155&amp;" "&amp;IF(AND(Milestones!$AB$155="FT",Milestones!$AA$155=FT_Y5,EDATE($D68,Milestones!$AA$155)&lt;PolicyEff),1,Milestones!$AC$155)&amp;";  ","")&amp;IF(AND(EDATE($D68,Milestones!$AA$156)&lt;=AsOfDate,EDATE($D68,Milestones!$AA$156)&gt;=SchemeStart,IF($X68=0,$AD68,IF(AND($Z68&lt;&gt;"",EDATE($D68,Milestones!$AA$156)&gt;=$Z68),$AC68,IF(AND($Y68&lt;&gt;"",EDATE($D68,Milestones!$AA$156)&gt;=$Y68),$AB68,$AA68)))=Milestones!$AB$156),UPPER(TEXT(EDATE($D68,Milestones!$AA$156),"dd mmm yy"))&amp;" "&amp;Milestones!$AB$156&amp;" "&amp;IF(AND(Milestones!$AB$156="FT",Milestones!$AA$156=FT_Y5,EDATE($D68,Milestones!$AA$156)&lt;PolicyEff),1,Milestones!$AC$156)&amp;";  ","")&amp;IF(AND(EDATE($D68,Milestones!$AA$157)&lt;=AsOfDate,EDATE($D68,Milestones!$AA$157)&gt;=SchemeStart,IF($X68=0,$AD68,IF(AND($Z68&lt;&gt;"",EDATE($D68,Milestones!$AA$157)&gt;=$Z68),$AC68,IF(AND($Y68&lt;&gt;"",EDATE($D68,Milestones!$AA$157)&gt;=$Y68),$AB68,$AA68)))=Milestones!$AB$157),UPPER(TEXT(EDATE($D68,Milestones!$AA$157),"dd mmm yy"))&amp;" "&amp;Milestones!$AB$157&amp;" "&amp;IF(AND(Milestones!$AB$157="FT",Milestones!$AA$157=FT_Y5,EDATE($D68,Milestones!$AA$157)&lt;PolicyEff),1,Milestones!$AC$157)&amp;";  ","")&amp;IF(AND(EDATE($D68,Milestones!$AA$158)&lt;=AsOfDate,EDATE($D68,Milestones!$AA$158)&gt;=SchemeStart,IF($X68=0,$AD68,IF(AND($Z68&lt;&gt;"",EDATE($D68,Milestones!$AA$158)&gt;=$Z68),$AC68,IF(AND($Y68&lt;&gt;"",EDATE($D68,Milestones!$AA$158)&gt;=$Y68),$AB68,$AA68)))=Milestones!$AB$158),UPPER(TEXT(EDATE($D68,Milestones!$AA$158),"dd mmm yy"))&amp;" "&amp;Milestones!$AB$158&amp;" "&amp;IF(AND(Milestones!$AB$158="FT",Milestones!$AA$158=FT_Y5,EDATE($D68,Milestones!$AA$158)&lt;PolicyEff),1,Milestones!$AC$158)&amp;";  ","")&amp;IF(AND(EDATE($D68,Milestones!$AA$159)&lt;=AsOfDate,EDATE($D68,Milestones!$AA$159)&gt;=SchemeStart,IF($X68=0,$AD68,IF(AND($Z68&lt;&gt;"",EDATE($D68,Milestones!$AA$159)&gt;=$Z68),$AC68,IF(AND($Y68&lt;&gt;"",EDATE($D68,Milestones!$AA$159)&gt;=$Y68),$AB68,$AA68)))=Milestones!$AB$159),UPPER(TEXT(EDATE($D68,Milestones!$AA$159),"dd mmm yy"))&amp;" "&amp;Milestones!$AB$159&amp;" "&amp;IF(AND(Milestones!$AB$159="FT",Milestones!$AA$159=FT_Y5,EDATE($D68,Milestones!$AA$159)&lt;PolicyEff),1,Milestones!$AC$159)&amp;";  ","")&amp;IF(AND(EDATE($D68,Milestones!$AA$160)&lt;=AsOfDate,EDATE($D68,Milestones!$AA$160)&gt;=SchemeStart,IF($X68=0,$AD68,IF(AND($Z68&lt;&gt;"",EDATE($D68,Milestones!$AA$160)&gt;=$Z68),$AC68,IF(AND($Y68&lt;&gt;"",EDATE($D68,Milestones!$AA$160)&gt;=$Y68),$AB68,$AA68)))=Milestones!$AB$160),UPPER(TEXT(EDATE($D68,Milestones!$AA$160),"dd mmm yy"))&amp;" "&amp;Milestones!$AB$160&amp;" "&amp;IF(AND(Milestones!$AB$160="FT",Milestones!$AA$160=FT_Y5,EDATE($D68,Milestones!$AA$160)&lt;PolicyEff),1,Milestones!$AC$160)&amp;";  ","")&amp;IF(AND(EDATE($D68,Milestones!$AA$161)&lt;=AsOfDate,EDATE($D68,Milestones!$AA$161)&gt;=SchemeStart,IF($X68=0,$AD68,IF(AND($Z68&lt;&gt;"",EDATE($D68,Milestones!$AA$161)&gt;=$Z68),$AC68,IF(AND($Y68&lt;&gt;"",EDATE($D68,Milestones!$AA$161)&gt;=$Y68),$AB68,$AA68)))=Milestones!$AB$161),UPPER(TEXT(EDATE($D68,Milestones!$AA$161),"dd mmm yy"))&amp;" "&amp;Milestones!$AB$161&amp;" "&amp;IF(AND(Milestones!$AB$161="FT",Milestones!$AA$161=FT_Y5,EDATE($D68,Milestones!$AA$161)&lt;PolicyEff),1,Milestones!$AC$161)&amp;";  ","")&amp;IF(AND(EDATE($D68,Milestones!$AA$162)&lt;=AsOfDate,EDATE($D68,Milestones!$AA$162)&gt;=SchemeStart,IF($X68=0,$AD68,IF(AND($Z68&lt;&gt;"",EDATE($D68,Milestones!$AA$162)&gt;=$Z68),$AC68,IF(AND($Y68&lt;&gt;"",EDATE($D68,Milestones!$AA$162)&gt;=$Y68),$AB68,$AA68)))=Milestones!$AB$162),UPPER(TEXT(EDATE($D68,Milestones!$AA$162),"dd mmm yy"))&amp;" "&amp;Milestones!$AB$162&amp;" "&amp;IF(AND(Milestones!$AB$162="FT",Milestones!$AA$162=FT_Y5,EDATE($D68,Milestones!$AA$162)&lt;PolicyEff),1,Milestones!$AC$162)&amp;";  ","")&amp;IF(AND(EDATE($D68,Milestones!$AA$163)&lt;=AsOfDate,EDATE($D68,Milestones!$AA$163)&gt;=SchemeStart,IF($X68=0,$AD68,IF(AND($Z68&lt;&gt;"",EDATE($D68,Milestones!$AA$163)&gt;=$Z68),$AC68,IF(AND($Y68&lt;&gt;"",EDATE($D68,Milestones!$AA$163)&gt;=$Y68),$AB68,$AA68)))=Milestones!$AB$163),UPPER(TEXT(EDATE($D68,Milestones!$AA$163),"dd mmm yy"))&amp;" "&amp;Milestones!$AB$163&amp;" "&amp;IF(AND(Milestones!$AB$163="FT",Milestones!$AA$163=FT_Y5,EDATE($D68,Milestones!$AA$163)&lt;PolicyEff),1,Milestones!$AC$163)&amp;";  ",""))</f>
        <v/>
      </c>
      <c r="U68" s="0" t="str">
        <f aca="false">IF(OR($A68="",$D68=""),"",IF(AND(EDATE($D68,Milestones!$AA$164)&lt;=AsOfDate,EDATE($D68,Milestones!$AA$164)&gt;=SchemeStart,IF($X68=0,$AD68,IF(AND($Z68&lt;&gt;"",EDATE($D68,Milestones!$AA$164)&gt;=$Z68),$AC68,IF(AND($Y68&lt;&gt;"",EDATE($D68,Milestones!$AA$164)&gt;=$Y68),$AB68,$AA68)))=Milestones!$AB$164),UPPER(TEXT(EDATE($D68,Milestones!$AA$164),"dd mmm yy"))&amp;" "&amp;Milestones!$AB$164&amp;" "&amp;IF(AND(Milestones!$AB$164="FT",Milestones!$AA$164=FT_Y5,EDATE($D68,Milestones!$AA$164)&lt;PolicyEff),1,Milestones!$AC$164)&amp;";  ","")&amp;IF(AND(EDATE($D68,Milestones!$AA$165)&lt;=AsOfDate,EDATE($D68,Milestones!$AA$165)&gt;=SchemeStart,IF($X68=0,$AD68,IF(AND($Z68&lt;&gt;"",EDATE($D68,Milestones!$AA$165)&gt;=$Z68),$AC68,IF(AND($Y68&lt;&gt;"",EDATE($D68,Milestones!$AA$165)&gt;=$Y68),$AB68,$AA68)))=Milestones!$AB$165),UPPER(TEXT(EDATE($D68,Milestones!$AA$165),"dd mmm yy"))&amp;" "&amp;Milestones!$AB$165&amp;" "&amp;IF(AND(Milestones!$AB$165="FT",Milestones!$AA$165=FT_Y5,EDATE($D68,Milestones!$AA$165)&lt;PolicyEff),1,Milestones!$AC$165)&amp;";  ","")&amp;IF(AND(EDATE($D68,Milestones!$AA$166)&lt;=AsOfDate,EDATE($D68,Milestones!$AA$166)&gt;=SchemeStart,IF($X68=0,$AD68,IF(AND($Z68&lt;&gt;"",EDATE($D68,Milestones!$AA$166)&gt;=$Z68),$AC68,IF(AND($Y68&lt;&gt;"",EDATE($D68,Milestones!$AA$166)&gt;=$Y68),$AB68,$AA68)))=Milestones!$AB$166),UPPER(TEXT(EDATE($D68,Milestones!$AA$166),"dd mmm yy"))&amp;" "&amp;Milestones!$AB$166&amp;" "&amp;IF(AND(Milestones!$AB$166="FT",Milestones!$AA$166=FT_Y5,EDATE($D68,Milestones!$AA$166)&lt;PolicyEff),1,Milestones!$AC$166)&amp;";  ","")&amp;IF(AND(EDATE($D68,Milestones!$AA$167)&lt;=AsOfDate,EDATE($D68,Milestones!$AA$167)&gt;=SchemeStart,IF($X68=0,$AD68,IF(AND($Z68&lt;&gt;"",EDATE($D68,Milestones!$AA$167)&gt;=$Z68),$AC68,IF(AND($Y68&lt;&gt;"",EDATE($D68,Milestones!$AA$167)&gt;=$Y68),$AB68,$AA68)))=Milestones!$AB$167),UPPER(TEXT(EDATE($D68,Milestones!$AA$167),"dd mmm yy"))&amp;" "&amp;Milestones!$AB$167&amp;" "&amp;IF(AND(Milestones!$AB$167="FT",Milestones!$AA$167=FT_Y5,EDATE($D68,Milestones!$AA$167)&lt;PolicyEff),1,Milestones!$AC$167)&amp;";  ","")&amp;IF(AND(EDATE($D68,Milestones!$AA$168)&lt;=AsOfDate,EDATE($D68,Milestones!$AA$168)&gt;=SchemeStart,IF($X68=0,$AD68,IF(AND($Z68&lt;&gt;"",EDATE($D68,Milestones!$AA$168)&gt;=$Z68),$AC68,IF(AND($Y68&lt;&gt;"",EDATE($D68,Milestones!$AA$168)&gt;=$Y68),$AB68,$AA68)))=Milestones!$AB$168),UPPER(TEXT(EDATE($D68,Milestones!$AA$168),"dd mmm yy"))&amp;" "&amp;Milestones!$AB$168&amp;" "&amp;IF(AND(Milestones!$AB$168="FT",Milestones!$AA$168=FT_Y5,EDATE($D68,Milestones!$AA$168)&lt;PolicyEff),1,Milestones!$AC$168)&amp;";  ","")&amp;IF(AND(EDATE($D68,Milestones!$AA$169)&lt;=AsOfDate,EDATE($D68,Milestones!$AA$169)&gt;=SchemeStart,IF($X68=0,$AD68,IF(AND($Z68&lt;&gt;"",EDATE($D68,Milestones!$AA$169)&gt;=$Z68),$AC68,IF(AND($Y68&lt;&gt;"",EDATE($D68,Milestones!$AA$169)&gt;=$Y68),$AB68,$AA68)))=Milestones!$AB$169),UPPER(TEXT(EDATE($D68,Milestones!$AA$169),"dd mmm yy"))&amp;" "&amp;Milestones!$AB$169&amp;" "&amp;IF(AND(Milestones!$AB$169="FT",Milestones!$AA$169=FT_Y5,EDATE($D68,Milestones!$AA$169)&lt;PolicyEff),1,Milestones!$AC$169)&amp;";  ","")&amp;IF(AND(EDATE($D68,Milestones!$AA$170)&lt;=AsOfDate,EDATE($D68,Milestones!$AA$170)&gt;=SchemeStart,IF($X68=0,$AD68,IF(AND($Z68&lt;&gt;"",EDATE($D68,Milestones!$AA$170)&gt;=$Z68),$AC68,IF(AND($Y68&lt;&gt;"",EDATE($D68,Milestones!$AA$170)&gt;=$Y68),$AB68,$AA68)))=Milestones!$AB$170),UPPER(TEXT(EDATE($D68,Milestones!$AA$170),"dd mmm yy"))&amp;" "&amp;Milestones!$AB$170&amp;" "&amp;IF(AND(Milestones!$AB$170="FT",Milestones!$AA$170=FT_Y5,EDATE($D68,Milestones!$AA$170)&lt;PolicyEff),1,Milestones!$AC$170)&amp;";  ","")&amp;IF(AND(EDATE($D68,Milestones!$AA$171)&lt;=AsOfDate,EDATE($D68,Milestones!$AA$171)&gt;=SchemeStart,IF($X68=0,$AD68,IF(AND($Z68&lt;&gt;"",EDATE($D68,Milestones!$AA$171)&gt;=$Z68),$AC68,IF(AND($Y68&lt;&gt;"",EDATE($D68,Milestones!$AA$171)&gt;=$Y68),$AB68,$AA68)))=Milestones!$AB$171),UPPER(TEXT(EDATE($D68,Milestones!$AA$171),"dd mmm yy"))&amp;" "&amp;Milestones!$AB$171&amp;" "&amp;IF(AND(Milestones!$AB$171="FT",Milestones!$AA$171=FT_Y5,EDATE($D68,Milestones!$AA$171)&lt;PolicyEff),1,Milestones!$AC$171)&amp;";  ","")&amp;IF(AND(EDATE($D68,Milestones!$AA$172)&lt;=AsOfDate,EDATE($D68,Milestones!$AA$172)&gt;=SchemeStart,IF($X68=0,$AD68,IF(AND($Z68&lt;&gt;"",EDATE($D68,Milestones!$AA$172)&gt;=$Z68),$AC68,IF(AND($Y68&lt;&gt;"",EDATE($D68,Milestones!$AA$172)&gt;=$Y68),$AB68,$AA68)))=Milestones!$AB$172),UPPER(TEXT(EDATE($D68,Milestones!$AA$172),"dd mmm yy"))&amp;" "&amp;Milestones!$AB$172&amp;" "&amp;IF(AND(Milestones!$AB$172="FT",Milestones!$AA$172=FT_Y5,EDATE($D68,Milestones!$AA$172)&lt;PolicyEff),1,Milestones!$AC$172)&amp;";  ","")&amp;IF(AND(EDATE($D68,Milestones!$AA$173)&lt;=AsOfDate,EDATE($D68,Milestones!$AA$173)&gt;=SchemeStart,IF($X68=0,$AD68,IF(AND($Z68&lt;&gt;"",EDATE($D68,Milestones!$AA$173)&gt;=$Z68),$AC68,IF(AND($Y68&lt;&gt;"",EDATE($D68,Milestones!$AA$173)&gt;=$Y68),$AB68,$AA68)))=Milestones!$AB$173),UPPER(TEXT(EDATE($D68,Milestones!$AA$173),"dd mmm yy"))&amp;" "&amp;Milestones!$AB$173&amp;" "&amp;IF(AND(Milestones!$AB$173="FT",Milestones!$AA$173=FT_Y5,EDATE($D68,Milestones!$AA$173)&lt;PolicyEff),1,Milestones!$AC$173)&amp;";  ","")&amp;IF(AND(EDATE($D68,Milestones!$AA$174)&lt;=AsOfDate,EDATE($D68,Milestones!$AA$174)&gt;=SchemeStart,IF($X68=0,$AD68,IF(AND($Z68&lt;&gt;"",EDATE($D68,Milestones!$AA$174)&gt;=$Z68),$AC68,IF(AND($Y68&lt;&gt;"",EDATE($D68,Milestones!$AA$174)&gt;=$Y68),$AB68,$AA68)))=Milestones!$AB$174),UPPER(TEXT(EDATE($D68,Milestones!$AA$174),"dd mmm yy"))&amp;" "&amp;Milestones!$AB$174&amp;" "&amp;IF(AND(Milestones!$AB$174="FT",Milestones!$AA$174=FT_Y5,EDATE($D68,Milestones!$AA$174)&lt;PolicyEff),1,Milestones!$AC$174)&amp;";  ","")&amp;IF(AND(EDATE($D68,Milestones!$AA$175)&lt;=AsOfDate,EDATE($D68,Milestones!$AA$175)&gt;=SchemeStart,IF($X68=0,$AD68,IF(AND($Z68&lt;&gt;"",EDATE($D68,Milestones!$AA$175)&gt;=$Z68),$AC68,IF(AND($Y68&lt;&gt;"",EDATE($D68,Milestones!$AA$175)&gt;=$Y68),$AB68,$AA68)))=Milestones!$AB$175),UPPER(TEXT(EDATE($D68,Milestones!$AA$175),"dd mmm yy"))&amp;" "&amp;Milestones!$AB$175&amp;" "&amp;IF(AND(Milestones!$AB$175="FT",Milestones!$AA$175=FT_Y5,EDATE($D68,Milestones!$AA$175)&lt;PolicyEff),1,Milestones!$AC$175)&amp;";  ",""))</f>
        <v/>
      </c>
      <c r="V68" s="0" t="str">
        <f aca="false">IF(OR($A68="",$D68=""),"",IF(AND(EDATE($D68,Milestones!$AA$176)&lt;=AsOfDate,EDATE($D68,Milestones!$AA$176)&gt;=SchemeStart,IF($X68=0,$AD68,IF(AND($Z68&lt;&gt;"",EDATE($D68,Milestones!$AA$176)&gt;=$Z68),$AC68,IF(AND($Y68&lt;&gt;"",EDATE($D68,Milestones!$AA$176)&gt;=$Y68),$AB68,$AA68)))=Milestones!$AB$176),UPPER(TEXT(EDATE($D68,Milestones!$AA$176),"dd mmm yy"))&amp;" "&amp;Milestones!$AB$176&amp;" "&amp;IF(AND(Milestones!$AB$176="FT",Milestones!$AA$176=FT_Y5,EDATE($D68,Milestones!$AA$176)&lt;PolicyEff),1,Milestones!$AC$176)&amp;";  ","")&amp;IF(AND(EDATE($D68,Milestones!$AA$177)&lt;=AsOfDate,EDATE($D68,Milestones!$AA$177)&gt;=SchemeStart,IF($X68=0,$AD68,IF(AND($Z68&lt;&gt;"",EDATE($D68,Milestones!$AA$177)&gt;=$Z68),$AC68,IF(AND($Y68&lt;&gt;"",EDATE($D68,Milestones!$AA$177)&gt;=$Y68),$AB68,$AA68)))=Milestones!$AB$177),UPPER(TEXT(EDATE($D68,Milestones!$AA$177),"dd mmm yy"))&amp;" "&amp;Milestones!$AB$177&amp;" "&amp;IF(AND(Milestones!$AB$177="FT",Milestones!$AA$177=FT_Y5,EDATE($D68,Milestones!$AA$177)&lt;PolicyEff),1,Milestones!$AC$177)&amp;";  ","")&amp;IF(AND(EDATE($D68,Milestones!$AA$178)&lt;=AsOfDate,EDATE($D68,Milestones!$AA$178)&gt;=SchemeStart,IF($X68=0,$AD68,IF(AND($Z68&lt;&gt;"",EDATE($D68,Milestones!$AA$178)&gt;=$Z68),$AC68,IF(AND($Y68&lt;&gt;"",EDATE($D68,Milestones!$AA$178)&gt;=$Y68),$AB68,$AA68)))=Milestones!$AB$178),UPPER(TEXT(EDATE($D68,Milestones!$AA$178),"dd mmm yy"))&amp;" "&amp;Milestones!$AB$178&amp;" "&amp;IF(AND(Milestones!$AB$178="FT",Milestones!$AA$178=FT_Y5,EDATE($D68,Milestones!$AA$178)&lt;PolicyEff),1,Milestones!$AC$178)&amp;";  ","")&amp;IF(AND(EDATE($D68,Milestones!$AA$179)&lt;=AsOfDate,EDATE($D68,Milestones!$AA$179)&gt;=SchemeStart,IF($X68=0,$AD68,IF(AND($Z68&lt;&gt;"",EDATE($D68,Milestones!$AA$179)&gt;=$Z68),$AC68,IF(AND($Y68&lt;&gt;"",EDATE($D68,Milestones!$AA$179)&gt;=$Y68),$AB68,$AA68)))=Milestones!$AB$179),UPPER(TEXT(EDATE($D68,Milestones!$AA$179),"dd mmm yy"))&amp;" "&amp;Milestones!$AB$179&amp;" "&amp;IF(AND(Milestones!$AB$179="FT",Milestones!$AA$179=FT_Y5,EDATE($D68,Milestones!$AA$179)&lt;PolicyEff),1,Milestones!$AC$179)&amp;";  ","")&amp;IF(AND(EDATE($D68,Milestones!$AA$180)&lt;=AsOfDate,EDATE($D68,Milestones!$AA$180)&gt;=SchemeStart,IF($X68=0,$AD68,IF(AND($Z68&lt;&gt;"",EDATE($D68,Milestones!$AA$180)&gt;=$Z68),$AC68,IF(AND($Y68&lt;&gt;"",EDATE($D68,Milestones!$AA$180)&gt;=$Y68),$AB68,$AA68)))=Milestones!$AB$180),UPPER(TEXT(EDATE($D68,Milestones!$AA$180),"dd mmm yy"))&amp;" "&amp;Milestones!$AB$180&amp;" "&amp;IF(AND(Milestones!$AB$180="FT",Milestones!$AA$180=FT_Y5,EDATE($D68,Milestones!$AA$180)&lt;PolicyEff),1,Milestones!$AC$180)&amp;";  ","")&amp;IF(AND(EDATE($D68,Milestones!$AA$181)&lt;=AsOfDate,EDATE($D68,Milestones!$AA$181)&gt;=SchemeStart,IF($X68=0,$AD68,IF(AND($Z68&lt;&gt;"",EDATE($D68,Milestones!$AA$181)&gt;=$Z68),$AC68,IF(AND($Y68&lt;&gt;"",EDATE($D68,Milestones!$AA$181)&gt;=$Y68),$AB68,$AA68)))=Milestones!$AB$181),UPPER(TEXT(EDATE($D68,Milestones!$AA$181),"dd mmm yy"))&amp;" "&amp;Milestones!$AB$181&amp;" "&amp;IF(AND(Milestones!$AB$181="FT",Milestones!$AA$181=FT_Y5,EDATE($D68,Milestones!$AA$181)&lt;PolicyEff),1,Milestones!$AC$181)&amp;";  ","")&amp;IF(AND(EDATE($D68,Milestones!$AA$182)&lt;=AsOfDate,EDATE($D68,Milestones!$AA$182)&gt;=SchemeStart,IF($X68=0,$AD68,IF(AND($Z68&lt;&gt;"",EDATE($D68,Milestones!$AA$182)&gt;=$Z68),$AC68,IF(AND($Y68&lt;&gt;"",EDATE($D68,Milestones!$AA$182)&gt;=$Y68),$AB68,$AA68)))=Milestones!$AB$182),UPPER(TEXT(EDATE($D68,Milestones!$AA$182),"dd mmm yy"))&amp;" "&amp;Milestones!$AB$182&amp;" "&amp;IF(AND(Milestones!$AB$182="FT",Milestones!$AA$182=FT_Y5,EDATE($D68,Milestones!$AA$182)&lt;PolicyEff),1,Milestones!$AC$182)&amp;";  ","")&amp;IF(AND(EDATE($D68,Milestones!$AA$183)&lt;=AsOfDate,EDATE($D68,Milestones!$AA$183)&gt;=SchemeStart,IF($X68=0,$AD68,IF(AND($Z68&lt;&gt;"",EDATE($D68,Milestones!$AA$183)&gt;=$Z68),$AC68,IF(AND($Y68&lt;&gt;"",EDATE($D68,Milestones!$AA$183)&gt;=$Y68),$AB68,$AA68)))=Milestones!$AB$183),UPPER(TEXT(EDATE($D68,Milestones!$AA$183),"dd mmm yy"))&amp;" "&amp;Milestones!$AB$183&amp;" "&amp;IF(AND(Milestones!$AB$183="FT",Milestones!$AA$183=FT_Y5,EDATE($D68,Milestones!$AA$183)&lt;PolicyEff),1,Milestones!$AC$183)&amp;";  ","")&amp;IF(AND(EDATE($D68,Milestones!$AA$184)&lt;=AsOfDate,EDATE($D68,Milestones!$AA$184)&gt;=SchemeStart,IF($X68=0,$AD68,IF(AND($Z68&lt;&gt;"",EDATE($D68,Milestones!$AA$184)&gt;=$Z68),$AC68,IF(AND($Y68&lt;&gt;"",EDATE($D68,Milestones!$AA$184)&gt;=$Y68),$AB68,$AA68)))=Milestones!$AB$184),UPPER(TEXT(EDATE($D68,Milestones!$AA$184),"dd mmm yy"))&amp;" "&amp;Milestones!$AB$184&amp;" "&amp;IF(AND(Milestones!$AB$184="FT",Milestones!$AA$184=FT_Y5,EDATE($D68,Milestones!$AA$184)&lt;PolicyEff),1,Milestones!$AC$184)&amp;";  ","")&amp;IF(AND(EDATE($D68,Milestones!$AA$185)&lt;=AsOfDate,EDATE($D68,Milestones!$AA$185)&gt;=SchemeStart,IF($X68=0,$AD68,IF(AND($Z68&lt;&gt;"",EDATE($D68,Milestones!$AA$185)&gt;=$Z68),$AC68,IF(AND($Y68&lt;&gt;"",EDATE($D68,Milestones!$AA$185)&gt;=$Y68),$AB68,$AA68)))=Milestones!$AB$185),UPPER(TEXT(EDATE($D68,Milestones!$AA$185),"dd mmm yy"))&amp;" "&amp;Milestones!$AB$185&amp;" "&amp;IF(AND(Milestones!$AB$185="FT",Milestones!$AA$185=FT_Y5,EDATE($D68,Milestones!$AA$185)&lt;PolicyEff),1,Milestones!$AC$185)&amp;";  ","")&amp;IF(AND(EDATE($D68,Milestones!$AA$186)&lt;=AsOfDate,EDATE($D68,Milestones!$AA$186)&gt;=SchemeStart,IF($X68=0,$AD68,IF(AND($Z68&lt;&gt;"",EDATE($D68,Milestones!$AA$186)&gt;=$Z68),$AC68,IF(AND($Y68&lt;&gt;"",EDATE($D68,Milestones!$AA$186)&gt;=$Y68),$AB68,$AA68)))=Milestones!$AB$186),UPPER(TEXT(EDATE($D68,Milestones!$AA$186),"dd mmm yy"))&amp;" "&amp;Milestones!$AB$186&amp;" "&amp;IF(AND(Milestones!$AB$186="FT",Milestones!$AA$186=FT_Y5,EDATE($D68,Milestones!$AA$186)&lt;PolicyEff),1,Milestones!$AC$186)&amp;";  ","")&amp;IF(AND(EDATE($D68,Milestones!$AA$187)&lt;=AsOfDate,EDATE($D68,Milestones!$AA$187)&gt;=SchemeStart,IF($X68=0,$AD68,IF(AND($Z68&lt;&gt;"",EDATE($D68,Milestones!$AA$187)&gt;=$Z68),$AC68,IF(AND($Y68&lt;&gt;"",EDATE($D68,Milestones!$AA$187)&gt;=$Y68),$AB68,$AA68)))=Milestones!$AB$187),UPPER(TEXT(EDATE($D68,Milestones!$AA$187),"dd mmm yy"))&amp;" "&amp;Milestones!$AB$187&amp;" "&amp;IF(AND(Milestones!$AB$187="FT",Milestones!$AA$187=FT_Y5,EDATE($D68,Milestones!$AA$187)&lt;PolicyEff),1,Milestones!$AC$187)&amp;";  ",""))</f>
        <v/>
      </c>
      <c r="W68" s="0" t="str">
        <f aca="false">IF(OR($A68="",$D68=""),"",IF(AND(EDATE($D68,Milestones!$AA$188)&lt;=AsOfDate,EDATE($D68,Milestones!$AA$188)&gt;=SchemeStart,IF($X68=0,$AD68,IF(AND($Z68&lt;&gt;"",EDATE($D68,Milestones!$AA$188)&gt;=$Z68),$AC68,IF(AND($Y68&lt;&gt;"",EDATE($D68,Milestones!$AA$188)&gt;=$Y68),$AB68,$AA68)))=Milestones!$AB$188),UPPER(TEXT(EDATE($D68,Milestones!$AA$188),"dd mmm yy"))&amp;" "&amp;Milestones!$AB$188&amp;" "&amp;IF(AND(Milestones!$AB$188="FT",Milestones!$AA$188=FT_Y5,EDATE($D68,Milestones!$AA$188)&lt;PolicyEff),1,Milestones!$AC$188)&amp;";  ","")&amp;IF(AND(EDATE($D68,Milestones!$AA$189)&lt;=AsOfDate,EDATE($D68,Milestones!$AA$189)&gt;=SchemeStart,IF($X68=0,$AD68,IF(AND($Z68&lt;&gt;"",EDATE($D68,Milestones!$AA$189)&gt;=$Z68),$AC68,IF(AND($Y68&lt;&gt;"",EDATE($D68,Milestones!$AA$189)&gt;=$Y68),$AB68,$AA68)))=Milestones!$AB$189),UPPER(TEXT(EDATE($D68,Milestones!$AA$189),"dd mmm yy"))&amp;" "&amp;Milestones!$AB$189&amp;" "&amp;IF(AND(Milestones!$AB$189="FT",Milestones!$AA$189=FT_Y5,EDATE($D68,Milestones!$AA$189)&lt;PolicyEff),1,Milestones!$AC$189)&amp;";  ","")&amp;IF(AND(EDATE($D68,Milestones!$AA$190)&lt;=AsOfDate,EDATE($D68,Milestones!$AA$190)&gt;=SchemeStart,IF($X68=0,$AD68,IF(AND($Z68&lt;&gt;"",EDATE($D68,Milestones!$AA$190)&gt;=$Z68),$AC68,IF(AND($Y68&lt;&gt;"",EDATE($D68,Milestones!$AA$190)&gt;=$Y68),$AB68,$AA68)))=Milestones!$AB$190),UPPER(TEXT(EDATE($D68,Milestones!$AA$190),"dd mmm yy"))&amp;" "&amp;Milestones!$AB$190&amp;" "&amp;IF(AND(Milestones!$AB$190="FT",Milestones!$AA$190=FT_Y5,EDATE($D68,Milestones!$AA$190)&lt;PolicyEff),1,Milestones!$AC$190)&amp;";  ","")&amp;IF(AND(EDATE($D68,Milestones!$AA$191)&lt;=AsOfDate,EDATE($D68,Milestones!$AA$191)&gt;=SchemeStart,IF($X68=0,$AD68,IF(AND($Z68&lt;&gt;"",EDATE($D68,Milestones!$AA$191)&gt;=$Z68),$AC68,IF(AND($Y68&lt;&gt;"",EDATE($D68,Milestones!$AA$191)&gt;=$Y68),$AB68,$AA68)))=Milestones!$AB$191),UPPER(TEXT(EDATE($D68,Milestones!$AA$191),"dd mmm yy"))&amp;" "&amp;Milestones!$AB$191&amp;" "&amp;IF(AND(Milestones!$AB$191="FT",Milestones!$AA$191=FT_Y5,EDATE($D68,Milestones!$AA$191)&lt;PolicyEff),1,Milestones!$AC$191)&amp;";  ","")&amp;IF(AND(EDATE($D68,Milestones!$AA$192)&lt;=AsOfDate,EDATE($D68,Milestones!$AA$192)&gt;=SchemeStart,IF($X68=0,$AD68,IF(AND($Z68&lt;&gt;"",EDATE($D68,Milestones!$AA$192)&gt;=$Z68),$AC68,IF(AND($Y68&lt;&gt;"",EDATE($D68,Milestones!$AA$192)&gt;=$Y68),$AB68,$AA68)))=Milestones!$AB$192),UPPER(TEXT(EDATE($D68,Milestones!$AA$192),"dd mmm yy"))&amp;" "&amp;Milestones!$AB$192&amp;" "&amp;IF(AND(Milestones!$AB$192="FT",Milestones!$AA$192=FT_Y5,EDATE($D68,Milestones!$AA$192)&lt;PolicyEff),1,Milestones!$AC$192)&amp;";  ","")&amp;IF(AND(EDATE($D68,Milestones!$AA$193)&lt;=AsOfDate,EDATE($D68,Milestones!$AA$193)&gt;=SchemeStart,IF($X68=0,$AD68,IF(AND($Z68&lt;&gt;"",EDATE($D68,Milestones!$AA$193)&gt;=$Z68),$AC68,IF(AND($Y68&lt;&gt;"",EDATE($D68,Milestones!$AA$193)&gt;=$Y68),$AB68,$AA68)))=Milestones!$AB$193),UPPER(TEXT(EDATE($D68,Milestones!$AA$193),"dd mmm yy"))&amp;" "&amp;Milestones!$AB$193&amp;" "&amp;IF(AND(Milestones!$AB$193="FT",Milestones!$AA$193=FT_Y5,EDATE($D68,Milestones!$AA$193)&lt;PolicyEff),1,Milestones!$AC$193)&amp;";  ","")&amp;IF(AND(EDATE($D68,Milestones!$AA$194)&lt;=AsOfDate,EDATE($D68,Milestones!$AA$194)&gt;=SchemeStart,IF($X68=0,$AD68,IF(AND($Z68&lt;&gt;"",EDATE($D68,Milestones!$AA$194)&gt;=$Z68),$AC68,IF(AND($Y68&lt;&gt;"",EDATE($D68,Milestones!$AA$194)&gt;=$Y68),$AB68,$AA68)))=Milestones!$AB$194),UPPER(TEXT(EDATE($D68,Milestones!$AA$194),"dd mmm yy"))&amp;" "&amp;Milestones!$AB$194&amp;" "&amp;IF(AND(Milestones!$AB$194="FT",Milestones!$AA$194=FT_Y5,EDATE($D68,Milestones!$AA$194)&lt;PolicyEff),1,Milestones!$AC$194)&amp;";  ","")&amp;IF(AND(EDATE($D68,Milestones!$AA$195)&lt;=AsOfDate,EDATE($D68,Milestones!$AA$195)&gt;=SchemeStart,IF($X68=0,$AD68,IF(AND($Z68&lt;&gt;"",EDATE($D68,Milestones!$AA$195)&gt;=$Z68),$AC68,IF(AND($Y68&lt;&gt;"",EDATE($D68,Milestones!$AA$195)&gt;=$Y68),$AB68,$AA68)))=Milestones!$AB$195),UPPER(TEXT(EDATE($D68,Milestones!$AA$195),"dd mmm yy"))&amp;" "&amp;Milestones!$AB$195&amp;" "&amp;IF(AND(Milestones!$AB$195="FT",Milestones!$AA$195=FT_Y5,EDATE($D68,Milestones!$AA$195)&lt;PolicyEff),1,Milestones!$AC$195)&amp;";  ","")&amp;IF(AND(EDATE($D68,Milestones!$AA$196)&lt;=AsOfDate,EDATE($D68,Milestones!$AA$196)&gt;=SchemeStart,IF($X68=0,$AD68,IF(AND($Z68&lt;&gt;"",EDATE($D68,Milestones!$AA$196)&gt;=$Z68),$AC68,IF(AND($Y68&lt;&gt;"",EDATE($D68,Milestones!$AA$196)&gt;=$Y68),$AB68,$AA68)))=Milestones!$AB$196),UPPER(TEXT(EDATE($D68,Milestones!$AA$196),"dd mmm yy"))&amp;" "&amp;Milestones!$AB$196&amp;" "&amp;IF(AND(Milestones!$AB$196="FT",Milestones!$AA$196=FT_Y5,EDATE($D68,Milestones!$AA$196)&lt;PolicyEff),1,Milestones!$AC$196)&amp;";  ","")&amp;IF(AND(EDATE($D68,Milestones!$AA$197)&lt;=AsOfDate,EDATE($D68,Milestones!$AA$197)&gt;=SchemeStart,IF($X68=0,$AD68,IF(AND($Z68&lt;&gt;"",EDATE($D68,Milestones!$AA$197)&gt;=$Z68),$AC68,IF(AND($Y68&lt;&gt;"",EDATE($D68,Milestones!$AA$197)&gt;=$Y68),$AB68,$AA68)))=Milestones!$AB$197),UPPER(TEXT(EDATE($D68,Milestones!$AA$197),"dd mmm yy"))&amp;" "&amp;Milestones!$AB$197&amp;" "&amp;IF(AND(Milestones!$AB$197="FT",Milestones!$AA$197=FT_Y5,EDATE($D68,Milestones!$AA$197)&lt;PolicyEff),1,Milestones!$AC$197)&amp;";  ","")&amp;IF(AND(EDATE($D68,Milestones!$AA$198)&lt;=AsOfDate,EDATE($D68,Milestones!$AA$198)&gt;=SchemeStart,IF($X68=0,$AD68,IF(AND($Z68&lt;&gt;"",EDATE($D68,Milestones!$AA$198)&gt;=$Z68),$AC68,IF(AND($Y68&lt;&gt;"",EDATE($D68,Milestones!$AA$198)&gt;=$Y68),$AB68,$AA68)))=Milestones!$AB$198),UPPER(TEXT(EDATE($D68,Milestones!$AA$198),"dd mmm yy"))&amp;" "&amp;Milestones!$AB$198&amp;" "&amp;IF(AND(Milestones!$AB$198="FT",Milestones!$AA$198=FT_Y5,EDATE($D68,Milestones!$AA$198)&lt;PolicyEff),1,Milestones!$AC$198)&amp;";  ","")&amp;IF(AND(EDATE($D68,Milestones!$AA$199)&lt;=AsOfDate,EDATE($D68,Milestones!$AA$199)&gt;=SchemeStart,IF($X68=0,$AD68,IF(AND($Z68&lt;&gt;"",EDATE($D68,Milestones!$AA$199)&gt;=$Z68),$AC68,IF(AND($Y68&lt;&gt;"",EDATE($D68,Milestones!$AA$199)&gt;=$Y68),$AB68,$AA68)))=Milestones!$AB$199),UPPER(TEXT(EDATE($D68,Milestones!$AA$199),"dd mmm yy"))&amp;" "&amp;Milestones!$AB$199&amp;" "&amp;IF(AND(Milestones!$AB$199="FT",Milestones!$AA$199=FT_Y5,EDATE($D68,Milestones!$AA$199)&lt;PolicyEff),1,Milestones!$AC$199)&amp;";  ",""))</f>
        <v/>
      </c>
      <c r="X68" s="0" t="str">
        <f aca="false">IF(Staff!$A68="","",Staff!$AM68)</f>
        <v/>
      </c>
      <c r="Y68" s="0" t="str">
        <f aca="false">IF(Staff!$A68="","",Staff!$AO68)</f>
        <v/>
      </c>
      <c r="Z68" s="0" t="str">
        <f aca="false">IF(Staff!$A68="","",Staff!$AP68)</f>
        <v/>
      </c>
      <c r="AA68" s="0" t="str">
        <f aca="false">IF(Staff!$A68="","",Staff!$AT68)</f>
        <v/>
      </c>
      <c r="AB68" s="0" t="str">
        <f aca="false">IF(Staff!$A68="","",Staff!$AU68)</f>
        <v/>
      </c>
      <c r="AC68" s="0" t="str">
        <f aca="false">IF(Staff!$A68="","",Staff!$AV68)</f>
        <v/>
      </c>
      <c r="AD68" s="0" t="str">
        <f aca="false">IF(Staff!$A68="","",Staff!$AW68)</f>
        <v/>
      </c>
    </row>
    <row r="69" customFormat="false" ht="15" hidden="false" customHeight="false" outlineLevel="0" collapsed="false">
      <c r="A69" s="16" t="str">
        <f aca="false">IF(Staff!$A69="","",Staff!$A69)</f>
        <v/>
      </c>
      <c r="B69" s="16" t="str">
        <f aca="false">IF(Staff!$A69="","",Staff!$B69)</f>
        <v/>
      </c>
      <c r="C69" s="16" t="str">
        <f aca="false">IF(Staff!$A69="","",Staff!$C69)</f>
        <v/>
      </c>
      <c r="D69" s="14" t="str">
        <f aca="false">IF(Staff!$A69="","",Staff!$AL69)</f>
        <v/>
      </c>
      <c r="E69" s="16" t="str">
        <f aca="false">IF(Staff!$A69="","",Staff!$O69)</f>
        <v/>
      </c>
      <c r="F69" s="16" t="str">
        <f aca="false">IF(E69="","",E69*HoursPerDay)</f>
        <v/>
      </c>
      <c r="G69" s="16" t="str">
        <f aca="false">IF(Staff!$A69="","",Staff!$AE69)</f>
        <v/>
      </c>
      <c r="H69" s="28" t="str">
        <f aca="false">IF($A69="","",I69&amp;J69&amp;K69&amp;L69&amp;M69&amp;N69&amp;O69&amp;P69&amp;Q69&amp;R69&amp;S69&amp;T69&amp;U69&amp;V69&amp;W69)</f>
        <v/>
      </c>
      <c r="I69" s="0" t="str">
        <f aca="false">IF(OR($A69="",$D69=""),"",IF(AND(EDATE($D69,Milestones!$AA$20)&lt;=AsOfDate,EDATE($D69,Milestones!$AA$20)&gt;=SchemeStart,IF($X69=0,$AD69,IF(AND($Z69&lt;&gt;"",EDATE($D69,Milestones!$AA$20)&gt;=$Z69),$AC69,IF(AND($Y69&lt;&gt;"",EDATE($D69,Milestones!$AA$20)&gt;=$Y69),$AB69,$AA69)))=Milestones!$AB$20),UPPER(TEXT(EDATE($D69,Milestones!$AA$20),"dd mmm yy"))&amp;" "&amp;Milestones!$AB$20&amp;" "&amp;IF(AND(Milestones!$AB$20="FT",Milestones!$AA$20=FT_Y5,EDATE($D69,Milestones!$AA$20)&lt;PolicyEff),1,Milestones!$AC$20)&amp;";  ","")&amp;IF(AND(EDATE($D69,Milestones!$AA$21)&lt;=AsOfDate,EDATE($D69,Milestones!$AA$21)&gt;=SchemeStart,IF($X69=0,$AD69,IF(AND($Z69&lt;&gt;"",EDATE($D69,Milestones!$AA$21)&gt;=$Z69),$AC69,IF(AND($Y69&lt;&gt;"",EDATE($D69,Milestones!$AA$21)&gt;=$Y69),$AB69,$AA69)))=Milestones!$AB$21),UPPER(TEXT(EDATE($D69,Milestones!$AA$21),"dd mmm yy"))&amp;" "&amp;Milestones!$AB$21&amp;" "&amp;IF(AND(Milestones!$AB$21="FT",Milestones!$AA$21=FT_Y5,EDATE($D69,Milestones!$AA$21)&lt;PolicyEff),1,Milestones!$AC$21)&amp;";  ","")&amp;IF(AND(EDATE($D69,Milestones!$AA$22)&lt;=AsOfDate,EDATE($D69,Milestones!$AA$22)&gt;=SchemeStart,IF($X69=0,$AD69,IF(AND($Z69&lt;&gt;"",EDATE($D69,Milestones!$AA$22)&gt;=$Z69),$AC69,IF(AND($Y69&lt;&gt;"",EDATE($D69,Milestones!$AA$22)&gt;=$Y69),$AB69,$AA69)))=Milestones!$AB$22),UPPER(TEXT(EDATE($D69,Milestones!$AA$22),"dd mmm yy"))&amp;" "&amp;Milestones!$AB$22&amp;" "&amp;IF(AND(Milestones!$AB$22="FT",Milestones!$AA$22=FT_Y5,EDATE($D69,Milestones!$AA$22)&lt;PolicyEff),1,Milestones!$AC$22)&amp;";  ","")&amp;IF(AND(EDATE($D69,Milestones!$AA$23)&lt;=AsOfDate,EDATE($D69,Milestones!$AA$23)&gt;=SchemeStart,IF($X69=0,$AD69,IF(AND($Z69&lt;&gt;"",EDATE($D69,Milestones!$AA$23)&gt;=$Z69),$AC69,IF(AND($Y69&lt;&gt;"",EDATE($D69,Milestones!$AA$23)&gt;=$Y69),$AB69,$AA69)))=Milestones!$AB$23),UPPER(TEXT(EDATE($D69,Milestones!$AA$23),"dd mmm yy"))&amp;" "&amp;Milestones!$AB$23&amp;" "&amp;IF(AND(Milestones!$AB$23="FT",Milestones!$AA$23=FT_Y5,EDATE($D69,Milestones!$AA$23)&lt;PolicyEff),1,Milestones!$AC$23)&amp;";  ","")&amp;IF(AND(EDATE($D69,Milestones!$AA$24)&lt;=AsOfDate,EDATE($D69,Milestones!$AA$24)&gt;=SchemeStart,IF($X69=0,$AD69,IF(AND($Z69&lt;&gt;"",EDATE($D69,Milestones!$AA$24)&gt;=$Z69),$AC69,IF(AND($Y69&lt;&gt;"",EDATE($D69,Milestones!$AA$24)&gt;=$Y69),$AB69,$AA69)))=Milestones!$AB$24),UPPER(TEXT(EDATE($D69,Milestones!$AA$24),"dd mmm yy"))&amp;" "&amp;Milestones!$AB$24&amp;" "&amp;IF(AND(Milestones!$AB$24="FT",Milestones!$AA$24=FT_Y5,EDATE($D69,Milestones!$AA$24)&lt;PolicyEff),1,Milestones!$AC$24)&amp;";  ","")&amp;IF(AND(EDATE($D69,Milestones!$AA$25)&lt;=AsOfDate,EDATE($D69,Milestones!$AA$25)&gt;=SchemeStart,IF($X69=0,$AD69,IF(AND($Z69&lt;&gt;"",EDATE($D69,Milestones!$AA$25)&gt;=$Z69),$AC69,IF(AND($Y69&lt;&gt;"",EDATE($D69,Milestones!$AA$25)&gt;=$Y69),$AB69,$AA69)))=Milestones!$AB$25),UPPER(TEXT(EDATE($D69,Milestones!$AA$25),"dd mmm yy"))&amp;" "&amp;Milestones!$AB$25&amp;" "&amp;IF(AND(Milestones!$AB$25="FT",Milestones!$AA$25=FT_Y5,EDATE($D69,Milestones!$AA$25)&lt;PolicyEff),1,Milestones!$AC$25)&amp;";  ","")&amp;IF(AND(EDATE($D69,Milestones!$AA$26)&lt;=AsOfDate,EDATE($D69,Milestones!$AA$26)&gt;=SchemeStart,IF($X69=0,$AD69,IF(AND($Z69&lt;&gt;"",EDATE($D69,Milestones!$AA$26)&gt;=$Z69),$AC69,IF(AND($Y69&lt;&gt;"",EDATE($D69,Milestones!$AA$26)&gt;=$Y69),$AB69,$AA69)))=Milestones!$AB$26),UPPER(TEXT(EDATE($D69,Milestones!$AA$26),"dd mmm yy"))&amp;" "&amp;Milestones!$AB$26&amp;" "&amp;IF(AND(Milestones!$AB$26="FT",Milestones!$AA$26=FT_Y5,EDATE($D69,Milestones!$AA$26)&lt;PolicyEff),1,Milestones!$AC$26)&amp;";  ","")&amp;IF(AND(EDATE($D69,Milestones!$AA$27)&lt;=AsOfDate,EDATE($D69,Milestones!$AA$27)&gt;=SchemeStart,IF($X69=0,$AD69,IF(AND($Z69&lt;&gt;"",EDATE($D69,Milestones!$AA$27)&gt;=$Z69),$AC69,IF(AND($Y69&lt;&gt;"",EDATE($D69,Milestones!$AA$27)&gt;=$Y69),$AB69,$AA69)))=Milestones!$AB$27),UPPER(TEXT(EDATE($D69,Milestones!$AA$27),"dd mmm yy"))&amp;" "&amp;Milestones!$AB$27&amp;" "&amp;IF(AND(Milestones!$AB$27="FT",Milestones!$AA$27=FT_Y5,EDATE($D69,Milestones!$AA$27)&lt;PolicyEff),1,Milestones!$AC$27)&amp;";  ","")&amp;IF(AND(EDATE($D69,Milestones!$AA$28)&lt;=AsOfDate,EDATE($D69,Milestones!$AA$28)&gt;=SchemeStart,IF($X69=0,$AD69,IF(AND($Z69&lt;&gt;"",EDATE($D69,Milestones!$AA$28)&gt;=$Z69),$AC69,IF(AND($Y69&lt;&gt;"",EDATE($D69,Milestones!$AA$28)&gt;=$Y69),$AB69,$AA69)))=Milestones!$AB$28),UPPER(TEXT(EDATE($D69,Milestones!$AA$28),"dd mmm yy"))&amp;" "&amp;Milestones!$AB$28&amp;" "&amp;IF(AND(Milestones!$AB$28="FT",Milestones!$AA$28=FT_Y5,EDATE($D69,Milestones!$AA$28)&lt;PolicyEff),1,Milestones!$AC$28)&amp;";  ","")&amp;IF(AND(EDATE($D69,Milestones!$AA$29)&lt;=AsOfDate,EDATE($D69,Milestones!$AA$29)&gt;=SchemeStart,IF($X69=0,$AD69,IF(AND($Z69&lt;&gt;"",EDATE($D69,Milestones!$AA$29)&gt;=$Z69),$AC69,IF(AND($Y69&lt;&gt;"",EDATE($D69,Milestones!$AA$29)&gt;=$Y69),$AB69,$AA69)))=Milestones!$AB$29),UPPER(TEXT(EDATE($D69,Milestones!$AA$29),"dd mmm yy"))&amp;" "&amp;Milestones!$AB$29&amp;" "&amp;IF(AND(Milestones!$AB$29="FT",Milestones!$AA$29=FT_Y5,EDATE($D69,Milestones!$AA$29)&lt;PolicyEff),1,Milestones!$AC$29)&amp;";  ","")&amp;IF(AND(EDATE($D69,Milestones!$AA$30)&lt;=AsOfDate,EDATE($D69,Milestones!$AA$30)&gt;=SchemeStart,IF($X69=0,$AD69,IF(AND($Z69&lt;&gt;"",EDATE($D69,Milestones!$AA$30)&gt;=$Z69),$AC69,IF(AND($Y69&lt;&gt;"",EDATE($D69,Milestones!$AA$30)&gt;=$Y69),$AB69,$AA69)))=Milestones!$AB$30),UPPER(TEXT(EDATE($D69,Milestones!$AA$30),"dd mmm yy"))&amp;" "&amp;Milestones!$AB$30&amp;" "&amp;IF(AND(Milestones!$AB$30="FT",Milestones!$AA$30=FT_Y5,EDATE($D69,Milestones!$AA$30)&lt;PolicyEff),1,Milestones!$AC$30)&amp;";  ","")&amp;IF(AND(EDATE($D69,Milestones!$AA$31)&lt;=AsOfDate,EDATE($D69,Milestones!$AA$31)&gt;=SchemeStart,IF($X69=0,$AD69,IF(AND($Z69&lt;&gt;"",EDATE($D69,Milestones!$AA$31)&gt;=$Z69),$AC69,IF(AND($Y69&lt;&gt;"",EDATE($D69,Milestones!$AA$31)&gt;=$Y69),$AB69,$AA69)))=Milestones!$AB$31),UPPER(TEXT(EDATE($D69,Milestones!$AA$31),"dd mmm yy"))&amp;" "&amp;Milestones!$AB$31&amp;" "&amp;IF(AND(Milestones!$AB$31="FT",Milestones!$AA$31=FT_Y5,EDATE($D69,Milestones!$AA$31)&lt;PolicyEff),1,Milestones!$AC$31)&amp;";  ",""))</f>
        <v/>
      </c>
      <c r="J69" s="0" t="str">
        <f aca="false">IF(OR($A69="",$D69=""),"",IF(AND(EDATE($D69,Milestones!$AA$32)&lt;=AsOfDate,EDATE($D69,Milestones!$AA$32)&gt;=SchemeStart,IF($X69=0,$AD69,IF(AND($Z69&lt;&gt;"",EDATE($D69,Milestones!$AA$32)&gt;=$Z69),$AC69,IF(AND($Y69&lt;&gt;"",EDATE($D69,Milestones!$AA$32)&gt;=$Y69),$AB69,$AA69)))=Milestones!$AB$32),UPPER(TEXT(EDATE($D69,Milestones!$AA$32),"dd mmm yy"))&amp;" "&amp;Milestones!$AB$32&amp;" "&amp;IF(AND(Milestones!$AB$32="FT",Milestones!$AA$32=FT_Y5,EDATE($D69,Milestones!$AA$32)&lt;PolicyEff),1,Milestones!$AC$32)&amp;";  ","")&amp;IF(AND(EDATE($D69,Milestones!$AA$33)&lt;=AsOfDate,EDATE($D69,Milestones!$AA$33)&gt;=SchemeStart,IF($X69=0,$AD69,IF(AND($Z69&lt;&gt;"",EDATE($D69,Milestones!$AA$33)&gt;=$Z69),$AC69,IF(AND($Y69&lt;&gt;"",EDATE($D69,Milestones!$AA$33)&gt;=$Y69),$AB69,$AA69)))=Milestones!$AB$33),UPPER(TEXT(EDATE($D69,Milestones!$AA$33),"dd mmm yy"))&amp;" "&amp;Milestones!$AB$33&amp;" "&amp;IF(AND(Milestones!$AB$33="FT",Milestones!$AA$33=FT_Y5,EDATE($D69,Milestones!$AA$33)&lt;PolicyEff),1,Milestones!$AC$33)&amp;";  ","")&amp;IF(AND(EDATE($D69,Milestones!$AA$34)&lt;=AsOfDate,EDATE($D69,Milestones!$AA$34)&gt;=SchemeStart,IF($X69=0,$AD69,IF(AND($Z69&lt;&gt;"",EDATE($D69,Milestones!$AA$34)&gt;=$Z69),$AC69,IF(AND($Y69&lt;&gt;"",EDATE($D69,Milestones!$AA$34)&gt;=$Y69),$AB69,$AA69)))=Milestones!$AB$34),UPPER(TEXT(EDATE($D69,Milestones!$AA$34),"dd mmm yy"))&amp;" "&amp;Milestones!$AB$34&amp;" "&amp;IF(AND(Milestones!$AB$34="FT",Milestones!$AA$34=FT_Y5,EDATE($D69,Milestones!$AA$34)&lt;PolicyEff),1,Milestones!$AC$34)&amp;";  ","")&amp;IF(AND(EDATE($D69,Milestones!$AA$35)&lt;=AsOfDate,EDATE($D69,Milestones!$AA$35)&gt;=SchemeStart,IF($X69=0,$AD69,IF(AND($Z69&lt;&gt;"",EDATE($D69,Milestones!$AA$35)&gt;=$Z69),$AC69,IF(AND($Y69&lt;&gt;"",EDATE($D69,Milestones!$AA$35)&gt;=$Y69),$AB69,$AA69)))=Milestones!$AB$35),UPPER(TEXT(EDATE($D69,Milestones!$AA$35),"dd mmm yy"))&amp;" "&amp;Milestones!$AB$35&amp;" "&amp;IF(AND(Milestones!$AB$35="FT",Milestones!$AA$35=FT_Y5,EDATE($D69,Milestones!$AA$35)&lt;PolicyEff),1,Milestones!$AC$35)&amp;";  ","")&amp;IF(AND(EDATE($D69,Milestones!$AA$36)&lt;=AsOfDate,EDATE($D69,Milestones!$AA$36)&gt;=SchemeStart,IF($X69=0,$AD69,IF(AND($Z69&lt;&gt;"",EDATE($D69,Milestones!$AA$36)&gt;=$Z69),$AC69,IF(AND($Y69&lt;&gt;"",EDATE($D69,Milestones!$AA$36)&gt;=$Y69),$AB69,$AA69)))=Milestones!$AB$36),UPPER(TEXT(EDATE($D69,Milestones!$AA$36),"dd mmm yy"))&amp;" "&amp;Milestones!$AB$36&amp;" "&amp;IF(AND(Milestones!$AB$36="FT",Milestones!$AA$36=FT_Y5,EDATE($D69,Milestones!$AA$36)&lt;PolicyEff),1,Milestones!$AC$36)&amp;";  ","")&amp;IF(AND(EDATE($D69,Milestones!$AA$37)&lt;=AsOfDate,EDATE($D69,Milestones!$AA$37)&gt;=SchemeStart,IF($X69=0,$AD69,IF(AND($Z69&lt;&gt;"",EDATE($D69,Milestones!$AA$37)&gt;=$Z69),$AC69,IF(AND($Y69&lt;&gt;"",EDATE($D69,Milestones!$AA$37)&gt;=$Y69),$AB69,$AA69)))=Milestones!$AB$37),UPPER(TEXT(EDATE($D69,Milestones!$AA$37),"dd mmm yy"))&amp;" "&amp;Milestones!$AB$37&amp;" "&amp;IF(AND(Milestones!$AB$37="FT",Milestones!$AA$37=FT_Y5,EDATE($D69,Milestones!$AA$37)&lt;PolicyEff),1,Milestones!$AC$37)&amp;";  ","")&amp;IF(AND(EDATE($D69,Milestones!$AA$38)&lt;=AsOfDate,EDATE($D69,Milestones!$AA$38)&gt;=SchemeStart,IF($X69=0,$AD69,IF(AND($Z69&lt;&gt;"",EDATE($D69,Milestones!$AA$38)&gt;=$Z69),$AC69,IF(AND($Y69&lt;&gt;"",EDATE($D69,Milestones!$AA$38)&gt;=$Y69),$AB69,$AA69)))=Milestones!$AB$38),UPPER(TEXT(EDATE($D69,Milestones!$AA$38),"dd mmm yy"))&amp;" "&amp;Milestones!$AB$38&amp;" "&amp;IF(AND(Milestones!$AB$38="FT",Milestones!$AA$38=FT_Y5,EDATE($D69,Milestones!$AA$38)&lt;PolicyEff),1,Milestones!$AC$38)&amp;";  ","")&amp;IF(AND(EDATE($D69,Milestones!$AA$39)&lt;=AsOfDate,EDATE($D69,Milestones!$AA$39)&gt;=SchemeStart,IF($X69=0,$AD69,IF(AND($Z69&lt;&gt;"",EDATE($D69,Milestones!$AA$39)&gt;=$Z69),$AC69,IF(AND($Y69&lt;&gt;"",EDATE($D69,Milestones!$AA$39)&gt;=$Y69),$AB69,$AA69)))=Milestones!$AB$39),UPPER(TEXT(EDATE($D69,Milestones!$AA$39),"dd mmm yy"))&amp;" "&amp;Milestones!$AB$39&amp;" "&amp;IF(AND(Milestones!$AB$39="FT",Milestones!$AA$39=FT_Y5,EDATE($D69,Milestones!$AA$39)&lt;PolicyEff),1,Milestones!$AC$39)&amp;";  ","")&amp;IF(AND(EDATE($D69,Milestones!$AA$40)&lt;=AsOfDate,EDATE($D69,Milestones!$AA$40)&gt;=SchemeStart,IF($X69=0,$AD69,IF(AND($Z69&lt;&gt;"",EDATE($D69,Milestones!$AA$40)&gt;=$Z69),$AC69,IF(AND($Y69&lt;&gt;"",EDATE($D69,Milestones!$AA$40)&gt;=$Y69),$AB69,$AA69)))=Milestones!$AB$40),UPPER(TEXT(EDATE($D69,Milestones!$AA$40),"dd mmm yy"))&amp;" "&amp;Milestones!$AB$40&amp;" "&amp;IF(AND(Milestones!$AB$40="FT",Milestones!$AA$40=FT_Y5,EDATE($D69,Milestones!$AA$40)&lt;PolicyEff),1,Milestones!$AC$40)&amp;";  ","")&amp;IF(AND(EDATE($D69,Milestones!$AA$41)&lt;=AsOfDate,EDATE($D69,Milestones!$AA$41)&gt;=SchemeStart,IF($X69=0,$AD69,IF(AND($Z69&lt;&gt;"",EDATE($D69,Milestones!$AA$41)&gt;=$Z69),$AC69,IF(AND($Y69&lt;&gt;"",EDATE($D69,Milestones!$AA$41)&gt;=$Y69),$AB69,$AA69)))=Milestones!$AB$41),UPPER(TEXT(EDATE($D69,Milestones!$AA$41),"dd mmm yy"))&amp;" "&amp;Milestones!$AB$41&amp;" "&amp;IF(AND(Milestones!$AB$41="FT",Milestones!$AA$41=FT_Y5,EDATE($D69,Milestones!$AA$41)&lt;PolicyEff),1,Milestones!$AC$41)&amp;";  ","")&amp;IF(AND(EDATE($D69,Milestones!$AA$42)&lt;=AsOfDate,EDATE($D69,Milestones!$AA$42)&gt;=SchemeStart,IF($X69=0,$AD69,IF(AND($Z69&lt;&gt;"",EDATE($D69,Milestones!$AA$42)&gt;=$Z69),$AC69,IF(AND($Y69&lt;&gt;"",EDATE($D69,Milestones!$AA$42)&gt;=$Y69),$AB69,$AA69)))=Milestones!$AB$42),UPPER(TEXT(EDATE($D69,Milestones!$AA$42),"dd mmm yy"))&amp;" "&amp;Milestones!$AB$42&amp;" "&amp;IF(AND(Milestones!$AB$42="FT",Milestones!$AA$42=FT_Y5,EDATE($D69,Milestones!$AA$42)&lt;PolicyEff),1,Milestones!$AC$42)&amp;";  ","")&amp;IF(AND(EDATE($D69,Milestones!$AA$43)&lt;=AsOfDate,EDATE($D69,Milestones!$AA$43)&gt;=SchemeStart,IF($X69=0,$AD69,IF(AND($Z69&lt;&gt;"",EDATE($D69,Milestones!$AA$43)&gt;=$Z69),$AC69,IF(AND($Y69&lt;&gt;"",EDATE($D69,Milestones!$AA$43)&gt;=$Y69),$AB69,$AA69)))=Milestones!$AB$43),UPPER(TEXT(EDATE($D69,Milestones!$AA$43),"dd mmm yy"))&amp;" "&amp;Milestones!$AB$43&amp;" "&amp;IF(AND(Milestones!$AB$43="FT",Milestones!$AA$43=FT_Y5,EDATE($D69,Milestones!$AA$43)&lt;PolicyEff),1,Milestones!$AC$43)&amp;";  ",""))</f>
        <v/>
      </c>
      <c r="K69" s="0" t="str">
        <f aca="false">IF(OR($A69="",$D69=""),"",IF(AND(EDATE($D69,Milestones!$AA$44)&lt;=AsOfDate,EDATE($D69,Milestones!$AA$44)&gt;=SchemeStart,IF($X69=0,$AD69,IF(AND($Z69&lt;&gt;"",EDATE($D69,Milestones!$AA$44)&gt;=$Z69),$AC69,IF(AND($Y69&lt;&gt;"",EDATE($D69,Milestones!$AA$44)&gt;=$Y69),$AB69,$AA69)))=Milestones!$AB$44),UPPER(TEXT(EDATE($D69,Milestones!$AA$44),"dd mmm yy"))&amp;" "&amp;Milestones!$AB$44&amp;" "&amp;IF(AND(Milestones!$AB$44="FT",Milestones!$AA$44=FT_Y5,EDATE($D69,Milestones!$AA$44)&lt;PolicyEff),1,Milestones!$AC$44)&amp;";  ","")&amp;IF(AND(EDATE($D69,Milestones!$AA$45)&lt;=AsOfDate,EDATE($D69,Milestones!$AA$45)&gt;=SchemeStart,IF($X69=0,$AD69,IF(AND($Z69&lt;&gt;"",EDATE($D69,Milestones!$AA$45)&gt;=$Z69),$AC69,IF(AND($Y69&lt;&gt;"",EDATE($D69,Milestones!$AA$45)&gt;=$Y69),$AB69,$AA69)))=Milestones!$AB$45),UPPER(TEXT(EDATE($D69,Milestones!$AA$45),"dd mmm yy"))&amp;" "&amp;Milestones!$AB$45&amp;" "&amp;IF(AND(Milestones!$AB$45="FT",Milestones!$AA$45=FT_Y5,EDATE($D69,Milestones!$AA$45)&lt;PolicyEff),1,Milestones!$AC$45)&amp;";  ","")&amp;IF(AND(EDATE($D69,Milestones!$AA$46)&lt;=AsOfDate,EDATE($D69,Milestones!$AA$46)&gt;=SchemeStart,IF($X69=0,$AD69,IF(AND($Z69&lt;&gt;"",EDATE($D69,Milestones!$AA$46)&gt;=$Z69),$AC69,IF(AND($Y69&lt;&gt;"",EDATE($D69,Milestones!$AA$46)&gt;=$Y69),$AB69,$AA69)))=Milestones!$AB$46),UPPER(TEXT(EDATE($D69,Milestones!$AA$46),"dd mmm yy"))&amp;" "&amp;Milestones!$AB$46&amp;" "&amp;IF(AND(Milestones!$AB$46="FT",Milestones!$AA$46=FT_Y5,EDATE($D69,Milestones!$AA$46)&lt;PolicyEff),1,Milestones!$AC$46)&amp;";  ","")&amp;IF(AND(EDATE($D69,Milestones!$AA$47)&lt;=AsOfDate,EDATE($D69,Milestones!$AA$47)&gt;=SchemeStart,IF($X69=0,$AD69,IF(AND($Z69&lt;&gt;"",EDATE($D69,Milestones!$AA$47)&gt;=$Z69),$AC69,IF(AND($Y69&lt;&gt;"",EDATE($D69,Milestones!$AA$47)&gt;=$Y69),$AB69,$AA69)))=Milestones!$AB$47),UPPER(TEXT(EDATE($D69,Milestones!$AA$47),"dd mmm yy"))&amp;" "&amp;Milestones!$AB$47&amp;" "&amp;IF(AND(Milestones!$AB$47="FT",Milestones!$AA$47=FT_Y5,EDATE($D69,Milestones!$AA$47)&lt;PolicyEff),1,Milestones!$AC$47)&amp;";  ","")&amp;IF(AND(EDATE($D69,Milestones!$AA$48)&lt;=AsOfDate,EDATE($D69,Milestones!$AA$48)&gt;=SchemeStart,IF($X69=0,$AD69,IF(AND($Z69&lt;&gt;"",EDATE($D69,Milestones!$AA$48)&gt;=$Z69),$AC69,IF(AND($Y69&lt;&gt;"",EDATE($D69,Milestones!$AA$48)&gt;=$Y69),$AB69,$AA69)))=Milestones!$AB$48),UPPER(TEXT(EDATE($D69,Milestones!$AA$48),"dd mmm yy"))&amp;" "&amp;Milestones!$AB$48&amp;" "&amp;IF(AND(Milestones!$AB$48="FT",Milestones!$AA$48=FT_Y5,EDATE($D69,Milestones!$AA$48)&lt;PolicyEff),1,Milestones!$AC$48)&amp;";  ","")&amp;IF(AND(EDATE($D69,Milestones!$AA$49)&lt;=AsOfDate,EDATE($D69,Milestones!$AA$49)&gt;=SchemeStart,IF($X69=0,$AD69,IF(AND($Z69&lt;&gt;"",EDATE($D69,Milestones!$AA$49)&gt;=$Z69),$AC69,IF(AND($Y69&lt;&gt;"",EDATE($D69,Milestones!$AA$49)&gt;=$Y69),$AB69,$AA69)))=Milestones!$AB$49),UPPER(TEXT(EDATE($D69,Milestones!$AA$49),"dd mmm yy"))&amp;" "&amp;Milestones!$AB$49&amp;" "&amp;IF(AND(Milestones!$AB$49="FT",Milestones!$AA$49=FT_Y5,EDATE($D69,Milestones!$AA$49)&lt;PolicyEff),1,Milestones!$AC$49)&amp;";  ","")&amp;IF(AND(EDATE($D69,Milestones!$AA$50)&lt;=AsOfDate,EDATE($D69,Milestones!$AA$50)&gt;=SchemeStart,IF($X69=0,$AD69,IF(AND($Z69&lt;&gt;"",EDATE($D69,Milestones!$AA$50)&gt;=$Z69),$AC69,IF(AND($Y69&lt;&gt;"",EDATE($D69,Milestones!$AA$50)&gt;=$Y69),$AB69,$AA69)))=Milestones!$AB$50),UPPER(TEXT(EDATE($D69,Milestones!$AA$50),"dd mmm yy"))&amp;" "&amp;Milestones!$AB$50&amp;" "&amp;IF(AND(Milestones!$AB$50="FT",Milestones!$AA$50=FT_Y5,EDATE($D69,Milestones!$AA$50)&lt;PolicyEff),1,Milestones!$AC$50)&amp;";  ","")&amp;IF(AND(EDATE($D69,Milestones!$AA$51)&lt;=AsOfDate,EDATE($D69,Milestones!$AA$51)&gt;=SchemeStart,IF($X69=0,$AD69,IF(AND($Z69&lt;&gt;"",EDATE($D69,Milestones!$AA$51)&gt;=$Z69),$AC69,IF(AND($Y69&lt;&gt;"",EDATE($D69,Milestones!$AA$51)&gt;=$Y69),$AB69,$AA69)))=Milestones!$AB$51),UPPER(TEXT(EDATE($D69,Milestones!$AA$51),"dd mmm yy"))&amp;" "&amp;Milestones!$AB$51&amp;" "&amp;IF(AND(Milestones!$AB$51="FT",Milestones!$AA$51=FT_Y5,EDATE($D69,Milestones!$AA$51)&lt;PolicyEff),1,Milestones!$AC$51)&amp;";  ","")&amp;IF(AND(EDATE($D69,Milestones!$AA$52)&lt;=AsOfDate,EDATE($D69,Milestones!$AA$52)&gt;=SchemeStart,IF($X69=0,$AD69,IF(AND($Z69&lt;&gt;"",EDATE($D69,Milestones!$AA$52)&gt;=$Z69),$AC69,IF(AND($Y69&lt;&gt;"",EDATE($D69,Milestones!$AA$52)&gt;=$Y69),$AB69,$AA69)))=Milestones!$AB$52),UPPER(TEXT(EDATE($D69,Milestones!$AA$52),"dd mmm yy"))&amp;" "&amp;Milestones!$AB$52&amp;" "&amp;IF(AND(Milestones!$AB$52="FT",Milestones!$AA$52=FT_Y5,EDATE($D69,Milestones!$AA$52)&lt;PolicyEff),1,Milestones!$AC$52)&amp;";  ","")&amp;IF(AND(EDATE($D69,Milestones!$AA$53)&lt;=AsOfDate,EDATE($D69,Milestones!$AA$53)&gt;=SchemeStart,IF($X69=0,$AD69,IF(AND($Z69&lt;&gt;"",EDATE($D69,Milestones!$AA$53)&gt;=$Z69),$AC69,IF(AND($Y69&lt;&gt;"",EDATE($D69,Milestones!$AA$53)&gt;=$Y69),$AB69,$AA69)))=Milestones!$AB$53),UPPER(TEXT(EDATE($D69,Milestones!$AA$53),"dd mmm yy"))&amp;" "&amp;Milestones!$AB$53&amp;" "&amp;IF(AND(Milestones!$AB$53="FT",Milestones!$AA$53=FT_Y5,EDATE($D69,Milestones!$AA$53)&lt;PolicyEff),1,Milestones!$AC$53)&amp;";  ","")&amp;IF(AND(EDATE($D69,Milestones!$AA$54)&lt;=AsOfDate,EDATE($D69,Milestones!$AA$54)&gt;=SchemeStart,IF($X69=0,$AD69,IF(AND($Z69&lt;&gt;"",EDATE($D69,Milestones!$AA$54)&gt;=$Z69),$AC69,IF(AND($Y69&lt;&gt;"",EDATE($D69,Milestones!$AA$54)&gt;=$Y69),$AB69,$AA69)))=Milestones!$AB$54),UPPER(TEXT(EDATE($D69,Milestones!$AA$54),"dd mmm yy"))&amp;" "&amp;Milestones!$AB$54&amp;" "&amp;IF(AND(Milestones!$AB$54="FT",Milestones!$AA$54=FT_Y5,EDATE($D69,Milestones!$AA$54)&lt;PolicyEff),1,Milestones!$AC$54)&amp;";  ","")&amp;IF(AND(EDATE($D69,Milestones!$AA$55)&lt;=AsOfDate,EDATE($D69,Milestones!$AA$55)&gt;=SchemeStart,IF($X69=0,$AD69,IF(AND($Z69&lt;&gt;"",EDATE($D69,Milestones!$AA$55)&gt;=$Z69),$AC69,IF(AND($Y69&lt;&gt;"",EDATE($D69,Milestones!$AA$55)&gt;=$Y69),$AB69,$AA69)))=Milestones!$AB$55),UPPER(TEXT(EDATE($D69,Milestones!$AA$55),"dd mmm yy"))&amp;" "&amp;Milestones!$AB$55&amp;" "&amp;IF(AND(Milestones!$AB$55="FT",Milestones!$AA$55=FT_Y5,EDATE($D69,Milestones!$AA$55)&lt;PolicyEff),1,Milestones!$AC$55)&amp;";  ",""))</f>
        <v/>
      </c>
      <c r="L69" s="0" t="str">
        <f aca="false">IF(OR($A69="",$D69=""),"",IF(AND(EDATE($D69,Milestones!$AA$56)&lt;=AsOfDate,EDATE($D69,Milestones!$AA$56)&gt;=SchemeStart,IF($X69=0,$AD69,IF(AND($Z69&lt;&gt;"",EDATE($D69,Milestones!$AA$56)&gt;=$Z69),$AC69,IF(AND($Y69&lt;&gt;"",EDATE($D69,Milestones!$AA$56)&gt;=$Y69),$AB69,$AA69)))=Milestones!$AB$56),UPPER(TEXT(EDATE($D69,Milestones!$AA$56),"dd mmm yy"))&amp;" "&amp;Milestones!$AB$56&amp;" "&amp;IF(AND(Milestones!$AB$56="FT",Milestones!$AA$56=FT_Y5,EDATE($D69,Milestones!$AA$56)&lt;PolicyEff),1,Milestones!$AC$56)&amp;";  ","")&amp;IF(AND(EDATE($D69,Milestones!$AA$57)&lt;=AsOfDate,EDATE($D69,Milestones!$AA$57)&gt;=SchemeStart,IF($X69=0,$AD69,IF(AND($Z69&lt;&gt;"",EDATE($D69,Milestones!$AA$57)&gt;=$Z69),$AC69,IF(AND($Y69&lt;&gt;"",EDATE($D69,Milestones!$AA$57)&gt;=$Y69),$AB69,$AA69)))=Milestones!$AB$57),UPPER(TEXT(EDATE($D69,Milestones!$AA$57),"dd mmm yy"))&amp;" "&amp;Milestones!$AB$57&amp;" "&amp;IF(AND(Milestones!$AB$57="FT",Milestones!$AA$57=FT_Y5,EDATE($D69,Milestones!$AA$57)&lt;PolicyEff),1,Milestones!$AC$57)&amp;";  ","")&amp;IF(AND(EDATE($D69,Milestones!$AA$58)&lt;=AsOfDate,EDATE($D69,Milestones!$AA$58)&gt;=SchemeStart,IF($X69=0,$AD69,IF(AND($Z69&lt;&gt;"",EDATE($D69,Milestones!$AA$58)&gt;=$Z69),$AC69,IF(AND($Y69&lt;&gt;"",EDATE($D69,Milestones!$AA$58)&gt;=$Y69),$AB69,$AA69)))=Milestones!$AB$58),UPPER(TEXT(EDATE($D69,Milestones!$AA$58),"dd mmm yy"))&amp;" "&amp;Milestones!$AB$58&amp;" "&amp;IF(AND(Milestones!$AB$58="FT",Milestones!$AA$58=FT_Y5,EDATE($D69,Milestones!$AA$58)&lt;PolicyEff),1,Milestones!$AC$58)&amp;";  ","")&amp;IF(AND(EDATE($D69,Milestones!$AA$59)&lt;=AsOfDate,EDATE($D69,Milestones!$AA$59)&gt;=SchemeStart,IF($X69=0,$AD69,IF(AND($Z69&lt;&gt;"",EDATE($D69,Milestones!$AA$59)&gt;=$Z69),$AC69,IF(AND($Y69&lt;&gt;"",EDATE($D69,Milestones!$AA$59)&gt;=$Y69),$AB69,$AA69)))=Milestones!$AB$59),UPPER(TEXT(EDATE($D69,Milestones!$AA$59),"dd mmm yy"))&amp;" "&amp;Milestones!$AB$59&amp;" "&amp;IF(AND(Milestones!$AB$59="FT",Milestones!$AA$59=FT_Y5,EDATE($D69,Milestones!$AA$59)&lt;PolicyEff),1,Milestones!$AC$59)&amp;";  ","")&amp;IF(AND(EDATE($D69,Milestones!$AA$60)&lt;=AsOfDate,EDATE($D69,Milestones!$AA$60)&gt;=SchemeStart,IF($X69=0,$AD69,IF(AND($Z69&lt;&gt;"",EDATE($D69,Milestones!$AA$60)&gt;=$Z69),$AC69,IF(AND($Y69&lt;&gt;"",EDATE($D69,Milestones!$AA$60)&gt;=$Y69),$AB69,$AA69)))=Milestones!$AB$60),UPPER(TEXT(EDATE($D69,Milestones!$AA$60),"dd mmm yy"))&amp;" "&amp;Milestones!$AB$60&amp;" "&amp;IF(AND(Milestones!$AB$60="FT",Milestones!$AA$60=FT_Y5,EDATE($D69,Milestones!$AA$60)&lt;PolicyEff),1,Milestones!$AC$60)&amp;";  ","")&amp;IF(AND(EDATE($D69,Milestones!$AA$61)&lt;=AsOfDate,EDATE($D69,Milestones!$AA$61)&gt;=SchemeStart,IF($X69=0,$AD69,IF(AND($Z69&lt;&gt;"",EDATE($D69,Milestones!$AA$61)&gt;=$Z69),$AC69,IF(AND($Y69&lt;&gt;"",EDATE($D69,Milestones!$AA$61)&gt;=$Y69),$AB69,$AA69)))=Milestones!$AB$61),UPPER(TEXT(EDATE($D69,Milestones!$AA$61),"dd mmm yy"))&amp;" "&amp;Milestones!$AB$61&amp;" "&amp;IF(AND(Milestones!$AB$61="FT",Milestones!$AA$61=FT_Y5,EDATE($D69,Milestones!$AA$61)&lt;PolicyEff),1,Milestones!$AC$61)&amp;";  ","")&amp;IF(AND(EDATE($D69,Milestones!$AA$62)&lt;=AsOfDate,EDATE($D69,Milestones!$AA$62)&gt;=SchemeStart,IF($X69=0,$AD69,IF(AND($Z69&lt;&gt;"",EDATE($D69,Milestones!$AA$62)&gt;=$Z69),$AC69,IF(AND($Y69&lt;&gt;"",EDATE($D69,Milestones!$AA$62)&gt;=$Y69),$AB69,$AA69)))=Milestones!$AB$62),UPPER(TEXT(EDATE($D69,Milestones!$AA$62),"dd mmm yy"))&amp;" "&amp;Milestones!$AB$62&amp;" "&amp;IF(AND(Milestones!$AB$62="FT",Milestones!$AA$62=FT_Y5,EDATE($D69,Milestones!$AA$62)&lt;PolicyEff),1,Milestones!$AC$62)&amp;";  ","")&amp;IF(AND(EDATE($D69,Milestones!$AA$63)&lt;=AsOfDate,EDATE($D69,Milestones!$AA$63)&gt;=SchemeStart,IF($X69=0,$AD69,IF(AND($Z69&lt;&gt;"",EDATE($D69,Milestones!$AA$63)&gt;=$Z69),$AC69,IF(AND($Y69&lt;&gt;"",EDATE($D69,Milestones!$AA$63)&gt;=$Y69),$AB69,$AA69)))=Milestones!$AB$63),UPPER(TEXT(EDATE($D69,Milestones!$AA$63),"dd mmm yy"))&amp;" "&amp;Milestones!$AB$63&amp;" "&amp;IF(AND(Milestones!$AB$63="FT",Milestones!$AA$63=FT_Y5,EDATE($D69,Milestones!$AA$63)&lt;PolicyEff),1,Milestones!$AC$63)&amp;";  ","")&amp;IF(AND(EDATE($D69,Milestones!$AA$64)&lt;=AsOfDate,EDATE($D69,Milestones!$AA$64)&gt;=SchemeStart,IF($X69=0,$AD69,IF(AND($Z69&lt;&gt;"",EDATE($D69,Milestones!$AA$64)&gt;=$Z69),$AC69,IF(AND($Y69&lt;&gt;"",EDATE($D69,Milestones!$AA$64)&gt;=$Y69),$AB69,$AA69)))=Milestones!$AB$64),UPPER(TEXT(EDATE($D69,Milestones!$AA$64),"dd mmm yy"))&amp;" "&amp;Milestones!$AB$64&amp;" "&amp;IF(AND(Milestones!$AB$64="FT",Milestones!$AA$64=FT_Y5,EDATE($D69,Milestones!$AA$64)&lt;PolicyEff),1,Milestones!$AC$64)&amp;";  ","")&amp;IF(AND(EDATE($D69,Milestones!$AA$65)&lt;=AsOfDate,EDATE($D69,Milestones!$AA$65)&gt;=SchemeStart,IF($X69=0,$AD69,IF(AND($Z69&lt;&gt;"",EDATE($D69,Milestones!$AA$65)&gt;=$Z69),$AC69,IF(AND($Y69&lt;&gt;"",EDATE($D69,Milestones!$AA$65)&gt;=$Y69),$AB69,$AA69)))=Milestones!$AB$65),UPPER(TEXT(EDATE($D69,Milestones!$AA$65),"dd mmm yy"))&amp;" "&amp;Milestones!$AB$65&amp;" "&amp;IF(AND(Milestones!$AB$65="FT",Milestones!$AA$65=FT_Y5,EDATE($D69,Milestones!$AA$65)&lt;PolicyEff),1,Milestones!$AC$65)&amp;";  ","")&amp;IF(AND(EDATE($D69,Milestones!$AA$66)&lt;=AsOfDate,EDATE($D69,Milestones!$AA$66)&gt;=SchemeStart,IF($X69=0,$AD69,IF(AND($Z69&lt;&gt;"",EDATE($D69,Milestones!$AA$66)&gt;=$Z69),$AC69,IF(AND($Y69&lt;&gt;"",EDATE($D69,Milestones!$AA$66)&gt;=$Y69),$AB69,$AA69)))=Milestones!$AB$66),UPPER(TEXT(EDATE($D69,Milestones!$AA$66),"dd mmm yy"))&amp;" "&amp;Milestones!$AB$66&amp;" "&amp;IF(AND(Milestones!$AB$66="FT",Milestones!$AA$66=FT_Y5,EDATE($D69,Milestones!$AA$66)&lt;PolicyEff),1,Milestones!$AC$66)&amp;";  ","")&amp;IF(AND(EDATE($D69,Milestones!$AA$67)&lt;=AsOfDate,EDATE($D69,Milestones!$AA$67)&gt;=SchemeStart,IF($X69=0,$AD69,IF(AND($Z69&lt;&gt;"",EDATE($D69,Milestones!$AA$67)&gt;=$Z69),$AC69,IF(AND($Y69&lt;&gt;"",EDATE($D69,Milestones!$AA$67)&gt;=$Y69),$AB69,$AA69)))=Milestones!$AB$67),UPPER(TEXT(EDATE($D69,Milestones!$AA$67),"dd mmm yy"))&amp;" "&amp;Milestones!$AB$67&amp;" "&amp;IF(AND(Milestones!$AB$67="FT",Milestones!$AA$67=FT_Y5,EDATE($D69,Milestones!$AA$67)&lt;PolicyEff),1,Milestones!$AC$67)&amp;";  ",""))</f>
        <v/>
      </c>
      <c r="M69" s="0" t="str">
        <f aca="false">IF(OR($A69="",$D69=""),"",IF(AND(EDATE($D69,Milestones!$AA$68)&lt;=AsOfDate,EDATE($D69,Milestones!$AA$68)&gt;=SchemeStart,IF($X69=0,$AD69,IF(AND($Z69&lt;&gt;"",EDATE($D69,Milestones!$AA$68)&gt;=$Z69),$AC69,IF(AND($Y69&lt;&gt;"",EDATE($D69,Milestones!$AA$68)&gt;=$Y69),$AB69,$AA69)))=Milestones!$AB$68),UPPER(TEXT(EDATE($D69,Milestones!$AA$68),"dd mmm yy"))&amp;" "&amp;Milestones!$AB$68&amp;" "&amp;IF(AND(Milestones!$AB$68="FT",Milestones!$AA$68=FT_Y5,EDATE($D69,Milestones!$AA$68)&lt;PolicyEff),1,Milestones!$AC$68)&amp;";  ","")&amp;IF(AND(EDATE($D69,Milestones!$AA$69)&lt;=AsOfDate,EDATE($D69,Milestones!$AA$69)&gt;=SchemeStart,IF($X69=0,$AD69,IF(AND($Z69&lt;&gt;"",EDATE($D69,Milestones!$AA$69)&gt;=$Z69),$AC69,IF(AND($Y69&lt;&gt;"",EDATE($D69,Milestones!$AA$69)&gt;=$Y69),$AB69,$AA69)))=Milestones!$AB$69),UPPER(TEXT(EDATE($D69,Milestones!$AA$69),"dd mmm yy"))&amp;" "&amp;Milestones!$AB$69&amp;" "&amp;IF(AND(Milestones!$AB$69="FT",Milestones!$AA$69=FT_Y5,EDATE($D69,Milestones!$AA$69)&lt;PolicyEff),1,Milestones!$AC$69)&amp;";  ","")&amp;IF(AND(EDATE($D69,Milestones!$AA$70)&lt;=AsOfDate,EDATE($D69,Milestones!$AA$70)&gt;=SchemeStart,IF($X69=0,$AD69,IF(AND($Z69&lt;&gt;"",EDATE($D69,Milestones!$AA$70)&gt;=$Z69),$AC69,IF(AND($Y69&lt;&gt;"",EDATE($D69,Milestones!$AA$70)&gt;=$Y69),$AB69,$AA69)))=Milestones!$AB$70),UPPER(TEXT(EDATE($D69,Milestones!$AA$70),"dd mmm yy"))&amp;" "&amp;Milestones!$AB$70&amp;" "&amp;IF(AND(Milestones!$AB$70="FT",Milestones!$AA$70=FT_Y5,EDATE($D69,Milestones!$AA$70)&lt;PolicyEff),1,Milestones!$AC$70)&amp;";  ","")&amp;IF(AND(EDATE($D69,Milestones!$AA$71)&lt;=AsOfDate,EDATE($D69,Milestones!$AA$71)&gt;=SchemeStart,IF($X69=0,$AD69,IF(AND($Z69&lt;&gt;"",EDATE($D69,Milestones!$AA$71)&gt;=$Z69),$AC69,IF(AND($Y69&lt;&gt;"",EDATE($D69,Milestones!$AA$71)&gt;=$Y69),$AB69,$AA69)))=Milestones!$AB$71),UPPER(TEXT(EDATE($D69,Milestones!$AA$71),"dd mmm yy"))&amp;" "&amp;Milestones!$AB$71&amp;" "&amp;IF(AND(Milestones!$AB$71="FT",Milestones!$AA$71=FT_Y5,EDATE($D69,Milestones!$AA$71)&lt;PolicyEff),1,Milestones!$AC$71)&amp;";  ","")&amp;IF(AND(EDATE($D69,Milestones!$AA$72)&lt;=AsOfDate,EDATE($D69,Milestones!$AA$72)&gt;=SchemeStart,IF($X69=0,$AD69,IF(AND($Z69&lt;&gt;"",EDATE($D69,Milestones!$AA$72)&gt;=$Z69),$AC69,IF(AND($Y69&lt;&gt;"",EDATE($D69,Milestones!$AA$72)&gt;=$Y69),$AB69,$AA69)))=Milestones!$AB$72),UPPER(TEXT(EDATE($D69,Milestones!$AA$72),"dd mmm yy"))&amp;" "&amp;Milestones!$AB$72&amp;" "&amp;IF(AND(Milestones!$AB$72="FT",Milestones!$AA$72=FT_Y5,EDATE($D69,Milestones!$AA$72)&lt;PolicyEff),1,Milestones!$AC$72)&amp;";  ","")&amp;IF(AND(EDATE($D69,Milestones!$AA$73)&lt;=AsOfDate,EDATE($D69,Milestones!$AA$73)&gt;=SchemeStart,IF($X69=0,$AD69,IF(AND($Z69&lt;&gt;"",EDATE($D69,Milestones!$AA$73)&gt;=$Z69),$AC69,IF(AND($Y69&lt;&gt;"",EDATE($D69,Milestones!$AA$73)&gt;=$Y69),$AB69,$AA69)))=Milestones!$AB$73),UPPER(TEXT(EDATE($D69,Milestones!$AA$73),"dd mmm yy"))&amp;" "&amp;Milestones!$AB$73&amp;" "&amp;IF(AND(Milestones!$AB$73="FT",Milestones!$AA$73=FT_Y5,EDATE($D69,Milestones!$AA$73)&lt;PolicyEff),1,Milestones!$AC$73)&amp;";  ","")&amp;IF(AND(EDATE($D69,Milestones!$AA$74)&lt;=AsOfDate,EDATE($D69,Milestones!$AA$74)&gt;=SchemeStart,IF($X69=0,$AD69,IF(AND($Z69&lt;&gt;"",EDATE($D69,Milestones!$AA$74)&gt;=$Z69),$AC69,IF(AND($Y69&lt;&gt;"",EDATE($D69,Milestones!$AA$74)&gt;=$Y69),$AB69,$AA69)))=Milestones!$AB$74),UPPER(TEXT(EDATE($D69,Milestones!$AA$74),"dd mmm yy"))&amp;" "&amp;Milestones!$AB$74&amp;" "&amp;IF(AND(Milestones!$AB$74="FT",Milestones!$AA$74=FT_Y5,EDATE($D69,Milestones!$AA$74)&lt;PolicyEff),1,Milestones!$AC$74)&amp;";  ","")&amp;IF(AND(EDATE($D69,Milestones!$AA$75)&lt;=AsOfDate,EDATE($D69,Milestones!$AA$75)&gt;=SchemeStart,IF($X69=0,$AD69,IF(AND($Z69&lt;&gt;"",EDATE($D69,Milestones!$AA$75)&gt;=$Z69),$AC69,IF(AND($Y69&lt;&gt;"",EDATE($D69,Milestones!$AA$75)&gt;=$Y69),$AB69,$AA69)))=Milestones!$AB$75),UPPER(TEXT(EDATE($D69,Milestones!$AA$75),"dd mmm yy"))&amp;" "&amp;Milestones!$AB$75&amp;" "&amp;IF(AND(Milestones!$AB$75="FT",Milestones!$AA$75=FT_Y5,EDATE($D69,Milestones!$AA$75)&lt;PolicyEff),1,Milestones!$AC$75)&amp;";  ","")&amp;IF(AND(EDATE($D69,Milestones!$AA$76)&lt;=AsOfDate,EDATE($D69,Milestones!$AA$76)&gt;=SchemeStart,IF($X69=0,$AD69,IF(AND($Z69&lt;&gt;"",EDATE($D69,Milestones!$AA$76)&gt;=$Z69),$AC69,IF(AND($Y69&lt;&gt;"",EDATE($D69,Milestones!$AA$76)&gt;=$Y69),$AB69,$AA69)))=Milestones!$AB$76),UPPER(TEXT(EDATE($D69,Milestones!$AA$76),"dd mmm yy"))&amp;" "&amp;Milestones!$AB$76&amp;" "&amp;IF(AND(Milestones!$AB$76="FT",Milestones!$AA$76=FT_Y5,EDATE($D69,Milestones!$AA$76)&lt;PolicyEff),1,Milestones!$AC$76)&amp;";  ","")&amp;IF(AND(EDATE($D69,Milestones!$AA$77)&lt;=AsOfDate,EDATE($D69,Milestones!$AA$77)&gt;=SchemeStart,IF($X69=0,$AD69,IF(AND($Z69&lt;&gt;"",EDATE($D69,Milestones!$AA$77)&gt;=$Z69),$AC69,IF(AND($Y69&lt;&gt;"",EDATE($D69,Milestones!$AA$77)&gt;=$Y69),$AB69,$AA69)))=Milestones!$AB$77),UPPER(TEXT(EDATE($D69,Milestones!$AA$77),"dd mmm yy"))&amp;" "&amp;Milestones!$AB$77&amp;" "&amp;IF(AND(Milestones!$AB$77="FT",Milestones!$AA$77=FT_Y5,EDATE($D69,Milestones!$AA$77)&lt;PolicyEff),1,Milestones!$AC$77)&amp;";  ","")&amp;IF(AND(EDATE($D69,Milestones!$AA$78)&lt;=AsOfDate,EDATE($D69,Milestones!$AA$78)&gt;=SchemeStart,IF($X69=0,$AD69,IF(AND($Z69&lt;&gt;"",EDATE($D69,Milestones!$AA$78)&gt;=$Z69),$AC69,IF(AND($Y69&lt;&gt;"",EDATE($D69,Milestones!$AA$78)&gt;=$Y69),$AB69,$AA69)))=Milestones!$AB$78),UPPER(TEXT(EDATE($D69,Milestones!$AA$78),"dd mmm yy"))&amp;" "&amp;Milestones!$AB$78&amp;" "&amp;IF(AND(Milestones!$AB$78="FT",Milestones!$AA$78=FT_Y5,EDATE($D69,Milestones!$AA$78)&lt;PolicyEff),1,Milestones!$AC$78)&amp;";  ","")&amp;IF(AND(EDATE($D69,Milestones!$AA$79)&lt;=AsOfDate,EDATE($D69,Milestones!$AA$79)&gt;=SchemeStart,IF($X69=0,$AD69,IF(AND($Z69&lt;&gt;"",EDATE($D69,Milestones!$AA$79)&gt;=$Z69),$AC69,IF(AND($Y69&lt;&gt;"",EDATE($D69,Milestones!$AA$79)&gt;=$Y69),$AB69,$AA69)))=Milestones!$AB$79),UPPER(TEXT(EDATE($D69,Milestones!$AA$79),"dd mmm yy"))&amp;" "&amp;Milestones!$AB$79&amp;" "&amp;IF(AND(Milestones!$AB$79="FT",Milestones!$AA$79=FT_Y5,EDATE($D69,Milestones!$AA$79)&lt;PolicyEff),1,Milestones!$AC$79)&amp;";  ",""))</f>
        <v/>
      </c>
      <c r="N69" s="0" t="str">
        <f aca="false">IF(OR($A69="",$D69=""),"",IF(AND(EDATE($D69,Milestones!$AA$80)&lt;=AsOfDate,EDATE($D69,Milestones!$AA$80)&gt;=SchemeStart,IF($X69=0,$AD69,IF(AND($Z69&lt;&gt;"",EDATE($D69,Milestones!$AA$80)&gt;=$Z69),$AC69,IF(AND($Y69&lt;&gt;"",EDATE($D69,Milestones!$AA$80)&gt;=$Y69),$AB69,$AA69)))=Milestones!$AB$80),UPPER(TEXT(EDATE($D69,Milestones!$AA$80),"dd mmm yy"))&amp;" "&amp;Milestones!$AB$80&amp;" "&amp;IF(AND(Milestones!$AB$80="FT",Milestones!$AA$80=FT_Y5,EDATE($D69,Milestones!$AA$80)&lt;PolicyEff),1,Milestones!$AC$80)&amp;";  ","")&amp;IF(AND(EDATE($D69,Milestones!$AA$81)&lt;=AsOfDate,EDATE($D69,Milestones!$AA$81)&gt;=SchemeStart,IF($X69=0,$AD69,IF(AND($Z69&lt;&gt;"",EDATE($D69,Milestones!$AA$81)&gt;=$Z69),$AC69,IF(AND($Y69&lt;&gt;"",EDATE($D69,Milestones!$AA$81)&gt;=$Y69),$AB69,$AA69)))=Milestones!$AB$81),UPPER(TEXT(EDATE($D69,Milestones!$AA$81),"dd mmm yy"))&amp;" "&amp;Milestones!$AB$81&amp;" "&amp;IF(AND(Milestones!$AB$81="FT",Milestones!$AA$81=FT_Y5,EDATE($D69,Milestones!$AA$81)&lt;PolicyEff),1,Milestones!$AC$81)&amp;";  ","")&amp;IF(AND(EDATE($D69,Milestones!$AA$82)&lt;=AsOfDate,EDATE($D69,Milestones!$AA$82)&gt;=SchemeStart,IF($X69=0,$AD69,IF(AND($Z69&lt;&gt;"",EDATE($D69,Milestones!$AA$82)&gt;=$Z69),$AC69,IF(AND($Y69&lt;&gt;"",EDATE($D69,Milestones!$AA$82)&gt;=$Y69),$AB69,$AA69)))=Milestones!$AB$82),UPPER(TEXT(EDATE($D69,Milestones!$AA$82),"dd mmm yy"))&amp;" "&amp;Milestones!$AB$82&amp;" "&amp;IF(AND(Milestones!$AB$82="FT",Milestones!$AA$82=FT_Y5,EDATE($D69,Milestones!$AA$82)&lt;PolicyEff),1,Milestones!$AC$82)&amp;";  ","")&amp;IF(AND(EDATE($D69,Milestones!$AA$83)&lt;=AsOfDate,EDATE($D69,Milestones!$AA$83)&gt;=SchemeStart,IF($X69=0,$AD69,IF(AND($Z69&lt;&gt;"",EDATE($D69,Milestones!$AA$83)&gt;=$Z69),$AC69,IF(AND($Y69&lt;&gt;"",EDATE($D69,Milestones!$AA$83)&gt;=$Y69),$AB69,$AA69)))=Milestones!$AB$83),UPPER(TEXT(EDATE($D69,Milestones!$AA$83),"dd mmm yy"))&amp;" "&amp;Milestones!$AB$83&amp;" "&amp;IF(AND(Milestones!$AB$83="FT",Milestones!$AA$83=FT_Y5,EDATE($D69,Milestones!$AA$83)&lt;PolicyEff),1,Milestones!$AC$83)&amp;";  ","")&amp;IF(AND(EDATE($D69,Milestones!$AA$84)&lt;=AsOfDate,EDATE($D69,Milestones!$AA$84)&gt;=SchemeStart,IF($X69=0,$AD69,IF(AND($Z69&lt;&gt;"",EDATE($D69,Milestones!$AA$84)&gt;=$Z69),$AC69,IF(AND($Y69&lt;&gt;"",EDATE($D69,Milestones!$AA$84)&gt;=$Y69),$AB69,$AA69)))=Milestones!$AB$84),UPPER(TEXT(EDATE($D69,Milestones!$AA$84),"dd mmm yy"))&amp;" "&amp;Milestones!$AB$84&amp;" "&amp;IF(AND(Milestones!$AB$84="FT",Milestones!$AA$84=FT_Y5,EDATE($D69,Milestones!$AA$84)&lt;PolicyEff),1,Milestones!$AC$84)&amp;";  ","")&amp;IF(AND(EDATE($D69,Milestones!$AA$85)&lt;=AsOfDate,EDATE($D69,Milestones!$AA$85)&gt;=SchemeStart,IF($X69=0,$AD69,IF(AND($Z69&lt;&gt;"",EDATE($D69,Milestones!$AA$85)&gt;=$Z69),$AC69,IF(AND($Y69&lt;&gt;"",EDATE($D69,Milestones!$AA$85)&gt;=$Y69),$AB69,$AA69)))=Milestones!$AB$85),UPPER(TEXT(EDATE($D69,Milestones!$AA$85),"dd mmm yy"))&amp;" "&amp;Milestones!$AB$85&amp;" "&amp;IF(AND(Milestones!$AB$85="FT",Milestones!$AA$85=FT_Y5,EDATE($D69,Milestones!$AA$85)&lt;PolicyEff),1,Milestones!$AC$85)&amp;";  ","")&amp;IF(AND(EDATE($D69,Milestones!$AA$86)&lt;=AsOfDate,EDATE($D69,Milestones!$AA$86)&gt;=SchemeStart,IF($X69=0,$AD69,IF(AND($Z69&lt;&gt;"",EDATE($D69,Milestones!$AA$86)&gt;=$Z69),$AC69,IF(AND($Y69&lt;&gt;"",EDATE($D69,Milestones!$AA$86)&gt;=$Y69),$AB69,$AA69)))=Milestones!$AB$86),UPPER(TEXT(EDATE($D69,Milestones!$AA$86),"dd mmm yy"))&amp;" "&amp;Milestones!$AB$86&amp;" "&amp;IF(AND(Milestones!$AB$86="FT",Milestones!$AA$86=FT_Y5,EDATE($D69,Milestones!$AA$86)&lt;PolicyEff),1,Milestones!$AC$86)&amp;";  ","")&amp;IF(AND(EDATE($D69,Milestones!$AA$87)&lt;=AsOfDate,EDATE($D69,Milestones!$AA$87)&gt;=SchemeStart,IF($X69=0,$AD69,IF(AND($Z69&lt;&gt;"",EDATE($D69,Milestones!$AA$87)&gt;=$Z69),$AC69,IF(AND($Y69&lt;&gt;"",EDATE($D69,Milestones!$AA$87)&gt;=$Y69),$AB69,$AA69)))=Milestones!$AB$87),UPPER(TEXT(EDATE($D69,Milestones!$AA$87),"dd mmm yy"))&amp;" "&amp;Milestones!$AB$87&amp;" "&amp;IF(AND(Milestones!$AB$87="FT",Milestones!$AA$87=FT_Y5,EDATE($D69,Milestones!$AA$87)&lt;PolicyEff),1,Milestones!$AC$87)&amp;";  ","")&amp;IF(AND(EDATE($D69,Milestones!$AA$88)&lt;=AsOfDate,EDATE($D69,Milestones!$AA$88)&gt;=SchemeStart,IF($X69=0,$AD69,IF(AND($Z69&lt;&gt;"",EDATE($D69,Milestones!$AA$88)&gt;=$Z69),$AC69,IF(AND($Y69&lt;&gt;"",EDATE($D69,Milestones!$AA$88)&gt;=$Y69),$AB69,$AA69)))=Milestones!$AB$88),UPPER(TEXT(EDATE($D69,Milestones!$AA$88),"dd mmm yy"))&amp;" "&amp;Milestones!$AB$88&amp;" "&amp;IF(AND(Milestones!$AB$88="FT",Milestones!$AA$88=FT_Y5,EDATE($D69,Milestones!$AA$88)&lt;PolicyEff),1,Milestones!$AC$88)&amp;";  ","")&amp;IF(AND(EDATE($D69,Milestones!$AA$89)&lt;=AsOfDate,EDATE($D69,Milestones!$AA$89)&gt;=SchemeStart,IF($X69=0,$AD69,IF(AND($Z69&lt;&gt;"",EDATE($D69,Milestones!$AA$89)&gt;=$Z69),$AC69,IF(AND($Y69&lt;&gt;"",EDATE($D69,Milestones!$AA$89)&gt;=$Y69),$AB69,$AA69)))=Milestones!$AB$89),UPPER(TEXT(EDATE($D69,Milestones!$AA$89),"dd mmm yy"))&amp;" "&amp;Milestones!$AB$89&amp;" "&amp;IF(AND(Milestones!$AB$89="FT",Milestones!$AA$89=FT_Y5,EDATE($D69,Milestones!$AA$89)&lt;PolicyEff),1,Milestones!$AC$89)&amp;";  ","")&amp;IF(AND(EDATE($D69,Milestones!$AA$90)&lt;=AsOfDate,EDATE($D69,Milestones!$AA$90)&gt;=SchemeStart,IF($X69=0,$AD69,IF(AND($Z69&lt;&gt;"",EDATE($D69,Milestones!$AA$90)&gt;=$Z69),$AC69,IF(AND($Y69&lt;&gt;"",EDATE($D69,Milestones!$AA$90)&gt;=$Y69),$AB69,$AA69)))=Milestones!$AB$90),UPPER(TEXT(EDATE($D69,Milestones!$AA$90),"dd mmm yy"))&amp;" "&amp;Milestones!$AB$90&amp;" "&amp;IF(AND(Milestones!$AB$90="FT",Milestones!$AA$90=FT_Y5,EDATE($D69,Milestones!$AA$90)&lt;PolicyEff),1,Milestones!$AC$90)&amp;";  ","")&amp;IF(AND(EDATE($D69,Milestones!$AA$91)&lt;=AsOfDate,EDATE($D69,Milestones!$AA$91)&gt;=SchemeStart,IF($X69=0,$AD69,IF(AND($Z69&lt;&gt;"",EDATE($D69,Milestones!$AA$91)&gt;=$Z69),$AC69,IF(AND($Y69&lt;&gt;"",EDATE($D69,Milestones!$AA$91)&gt;=$Y69),$AB69,$AA69)))=Milestones!$AB$91),UPPER(TEXT(EDATE($D69,Milestones!$AA$91),"dd mmm yy"))&amp;" "&amp;Milestones!$AB$91&amp;" "&amp;IF(AND(Milestones!$AB$91="FT",Milestones!$AA$91=FT_Y5,EDATE($D69,Milestones!$AA$91)&lt;PolicyEff),1,Milestones!$AC$91)&amp;";  ",""))</f>
        <v/>
      </c>
      <c r="O69" s="0" t="str">
        <f aca="false">IF(OR($A69="",$D69=""),"",IF(AND(EDATE($D69,Milestones!$AA$92)&lt;=AsOfDate,EDATE($D69,Milestones!$AA$92)&gt;=SchemeStart,IF($X69=0,$AD69,IF(AND($Z69&lt;&gt;"",EDATE($D69,Milestones!$AA$92)&gt;=$Z69),$AC69,IF(AND($Y69&lt;&gt;"",EDATE($D69,Milestones!$AA$92)&gt;=$Y69),$AB69,$AA69)))=Milestones!$AB$92),UPPER(TEXT(EDATE($D69,Milestones!$AA$92),"dd mmm yy"))&amp;" "&amp;Milestones!$AB$92&amp;" "&amp;IF(AND(Milestones!$AB$92="FT",Milestones!$AA$92=FT_Y5,EDATE($D69,Milestones!$AA$92)&lt;PolicyEff),1,Milestones!$AC$92)&amp;";  ","")&amp;IF(AND(EDATE($D69,Milestones!$AA$93)&lt;=AsOfDate,EDATE($D69,Milestones!$AA$93)&gt;=SchemeStart,IF($X69=0,$AD69,IF(AND($Z69&lt;&gt;"",EDATE($D69,Milestones!$AA$93)&gt;=$Z69),$AC69,IF(AND($Y69&lt;&gt;"",EDATE($D69,Milestones!$AA$93)&gt;=$Y69),$AB69,$AA69)))=Milestones!$AB$93),UPPER(TEXT(EDATE($D69,Milestones!$AA$93),"dd mmm yy"))&amp;" "&amp;Milestones!$AB$93&amp;" "&amp;IF(AND(Milestones!$AB$93="FT",Milestones!$AA$93=FT_Y5,EDATE($D69,Milestones!$AA$93)&lt;PolicyEff),1,Milestones!$AC$93)&amp;";  ","")&amp;IF(AND(EDATE($D69,Milestones!$AA$94)&lt;=AsOfDate,EDATE($D69,Milestones!$AA$94)&gt;=SchemeStart,IF($X69=0,$AD69,IF(AND($Z69&lt;&gt;"",EDATE($D69,Milestones!$AA$94)&gt;=$Z69),$AC69,IF(AND($Y69&lt;&gt;"",EDATE($D69,Milestones!$AA$94)&gt;=$Y69),$AB69,$AA69)))=Milestones!$AB$94),UPPER(TEXT(EDATE($D69,Milestones!$AA$94),"dd mmm yy"))&amp;" "&amp;Milestones!$AB$94&amp;" "&amp;IF(AND(Milestones!$AB$94="FT",Milestones!$AA$94=FT_Y5,EDATE($D69,Milestones!$AA$94)&lt;PolicyEff),1,Milestones!$AC$94)&amp;";  ","")&amp;IF(AND(EDATE($D69,Milestones!$AA$95)&lt;=AsOfDate,EDATE($D69,Milestones!$AA$95)&gt;=SchemeStart,IF($X69=0,$AD69,IF(AND($Z69&lt;&gt;"",EDATE($D69,Milestones!$AA$95)&gt;=$Z69),$AC69,IF(AND($Y69&lt;&gt;"",EDATE($D69,Milestones!$AA$95)&gt;=$Y69),$AB69,$AA69)))=Milestones!$AB$95),UPPER(TEXT(EDATE($D69,Milestones!$AA$95),"dd mmm yy"))&amp;" "&amp;Milestones!$AB$95&amp;" "&amp;IF(AND(Milestones!$AB$95="FT",Milestones!$AA$95=FT_Y5,EDATE($D69,Milestones!$AA$95)&lt;PolicyEff),1,Milestones!$AC$95)&amp;";  ","")&amp;IF(AND(EDATE($D69,Milestones!$AA$96)&lt;=AsOfDate,EDATE($D69,Milestones!$AA$96)&gt;=SchemeStart,IF($X69=0,$AD69,IF(AND($Z69&lt;&gt;"",EDATE($D69,Milestones!$AA$96)&gt;=$Z69),$AC69,IF(AND($Y69&lt;&gt;"",EDATE($D69,Milestones!$AA$96)&gt;=$Y69),$AB69,$AA69)))=Milestones!$AB$96),UPPER(TEXT(EDATE($D69,Milestones!$AA$96),"dd mmm yy"))&amp;" "&amp;Milestones!$AB$96&amp;" "&amp;IF(AND(Milestones!$AB$96="FT",Milestones!$AA$96=FT_Y5,EDATE($D69,Milestones!$AA$96)&lt;PolicyEff),1,Milestones!$AC$96)&amp;";  ","")&amp;IF(AND(EDATE($D69,Milestones!$AA$97)&lt;=AsOfDate,EDATE($D69,Milestones!$AA$97)&gt;=SchemeStart,IF($X69=0,$AD69,IF(AND($Z69&lt;&gt;"",EDATE($D69,Milestones!$AA$97)&gt;=$Z69),$AC69,IF(AND($Y69&lt;&gt;"",EDATE($D69,Milestones!$AA$97)&gt;=$Y69),$AB69,$AA69)))=Milestones!$AB$97),UPPER(TEXT(EDATE($D69,Milestones!$AA$97),"dd mmm yy"))&amp;" "&amp;Milestones!$AB$97&amp;" "&amp;IF(AND(Milestones!$AB$97="FT",Milestones!$AA$97=FT_Y5,EDATE($D69,Milestones!$AA$97)&lt;PolicyEff),1,Milestones!$AC$97)&amp;";  ","")&amp;IF(AND(EDATE($D69,Milestones!$AA$98)&lt;=AsOfDate,EDATE($D69,Milestones!$AA$98)&gt;=SchemeStart,IF($X69=0,$AD69,IF(AND($Z69&lt;&gt;"",EDATE($D69,Milestones!$AA$98)&gt;=$Z69),$AC69,IF(AND($Y69&lt;&gt;"",EDATE($D69,Milestones!$AA$98)&gt;=$Y69),$AB69,$AA69)))=Milestones!$AB$98),UPPER(TEXT(EDATE($D69,Milestones!$AA$98),"dd mmm yy"))&amp;" "&amp;Milestones!$AB$98&amp;" "&amp;IF(AND(Milestones!$AB$98="FT",Milestones!$AA$98=FT_Y5,EDATE($D69,Milestones!$AA$98)&lt;PolicyEff),1,Milestones!$AC$98)&amp;";  ","")&amp;IF(AND(EDATE($D69,Milestones!$AA$99)&lt;=AsOfDate,EDATE($D69,Milestones!$AA$99)&gt;=SchemeStart,IF($X69=0,$AD69,IF(AND($Z69&lt;&gt;"",EDATE($D69,Milestones!$AA$99)&gt;=$Z69),$AC69,IF(AND($Y69&lt;&gt;"",EDATE($D69,Milestones!$AA$99)&gt;=$Y69),$AB69,$AA69)))=Milestones!$AB$99),UPPER(TEXT(EDATE($D69,Milestones!$AA$99),"dd mmm yy"))&amp;" "&amp;Milestones!$AB$99&amp;" "&amp;IF(AND(Milestones!$AB$99="FT",Milestones!$AA$99=FT_Y5,EDATE($D69,Milestones!$AA$99)&lt;PolicyEff),1,Milestones!$AC$99)&amp;";  ","")&amp;IF(AND(EDATE($D69,Milestones!$AA$100)&lt;=AsOfDate,EDATE($D69,Milestones!$AA$100)&gt;=SchemeStart,IF($X69=0,$AD69,IF(AND($Z69&lt;&gt;"",EDATE($D69,Milestones!$AA$100)&gt;=$Z69),$AC69,IF(AND($Y69&lt;&gt;"",EDATE($D69,Milestones!$AA$100)&gt;=$Y69),$AB69,$AA69)))=Milestones!$AB$100),UPPER(TEXT(EDATE($D69,Milestones!$AA$100),"dd mmm yy"))&amp;" "&amp;Milestones!$AB$100&amp;" "&amp;IF(AND(Milestones!$AB$100="FT",Milestones!$AA$100=FT_Y5,EDATE($D69,Milestones!$AA$100)&lt;PolicyEff),1,Milestones!$AC$100)&amp;";  ","")&amp;IF(AND(EDATE($D69,Milestones!$AA$101)&lt;=AsOfDate,EDATE($D69,Milestones!$AA$101)&gt;=SchemeStart,IF($X69=0,$AD69,IF(AND($Z69&lt;&gt;"",EDATE($D69,Milestones!$AA$101)&gt;=$Z69),$AC69,IF(AND($Y69&lt;&gt;"",EDATE($D69,Milestones!$AA$101)&gt;=$Y69),$AB69,$AA69)))=Milestones!$AB$101),UPPER(TEXT(EDATE($D69,Milestones!$AA$101),"dd mmm yy"))&amp;" "&amp;Milestones!$AB$101&amp;" "&amp;IF(AND(Milestones!$AB$101="FT",Milestones!$AA$101=FT_Y5,EDATE($D69,Milestones!$AA$101)&lt;PolicyEff),1,Milestones!$AC$101)&amp;";  ","")&amp;IF(AND(EDATE($D69,Milestones!$AA$102)&lt;=AsOfDate,EDATE($D69,Milestones!$AA$102)&gt;=SchemeStart,IF($X69=0,$AD69,IF(AND($Z69&lt;&gt;"",EDATE($D69,Milestones!$AA$102)&gt;=$Z69),$AC69,IF(AND($Y69&lt;&gt;"",EDATE($D69,Milestones!$AA$102)&gt;=$Y69),$AB69,$AA69)))=Milestones!$AB$102),UPPER(TEXT(EDATE($D69,Milestones!$AA$102),"dd mmm yy"))&amp;" "&amp;Milestones!$AB$102&amp;" "&amp;IF(AND(Milestones!$AB$102="FT",Milestones!$AA$102=FT_Y5,EDATE($D69,Milestones!$AA$102)&lt;PolicyEff),1,Milestones!$AC$102)&amp;";  ","")&amp;IF(AND(EDATE($D69,Milestones!$AA$103)&lt;=AsOfDate,EDATE($D69,Milestones!$AA$103)&gt;=SchemeStart,IF($X69=0,$AD69,IF(AND($Z69&lt;&gt;"",EDATE($D69,Milestones!$AA$103)&gt;=$Z69),$AC69,IF(AND($Y69&lt;&gt;"",EDATE($D69,Milestones!$AA$103)&gt;=$Y69),$AB69,$AA69)))=Milestones!$AB$103),UPPER(TEXT(EDATE($D69,Milestones!$AA$103),"dd mmm yy"))&amp;" "&amp;Milestones!$AB$103&amp;" "&amp;IF(AND(Milestones!$AB$103="FT",Milestones!$AA$103=FT_Y5,EDATE($D69,Milestones!$AA$103)&lt;PolicyEff),1,Milestones!$AC$103)&amp;";  ",""))</f>
        <v/>
      </c>
      <c r="P69" s="0" t="str">
        <f aca="false">IF(OR($A69="",$D69=""),"",IF(AND(EDATE($D69,Milestones!$AA$104)&lt;=AsOfDate,EDATE($D69,Milestones!$AA$104)&gt;=SchemeStart,IF($X69=0,$AD69,IF(AND($Z69&lt;&gt;"",EDATE($D69,Milestones!$AA$104)&gt;=$Z69),$AC69,IF(AND($Y69&lt;&gt;"",EDATE($D69,Milestones!$AA$104)&gt;=$Y69),$AB69,$AA69)))=Milestones!$AB$104),UPPER(TEXT(EDATE($D69,Milestones!$AA$104),"dd mmm yy"))&amp;" "&amp;Milestones!$AB$104&amp;" "&amp;IF(AND(Milestones!$AB$104="FT",Milestones!$AA$104=FT_Y5,EDATE($D69,Milestones!$AA$104)&lt;PolicyEff),1,Milestones!$AC$104)&amp;";  ","")&amp;IF(AND(EDATE($D69,Milestones!$AA$105)&lt;=AsOfDate,EDATE($D69,Milestones!$AA$105)&gt;=SchemeStart,IF($X69=0,$AD69,IF(AND($Z69&lt;&gt;"",EDATE($D69,Milestones!$AA$105)&gt;=$Z69),$AC69,IF(AND($Y69&lt;&gt;"",EDATE($D69,Milestones!$AA$105)&gt;=$Y69),$AB69,$AA69)))=Milestones!$AB$105),UPPER(TEXT(EDATE($D69,Milestones!$AA$105),"dd mmm yy"))&amp;" "&amp;Milestones!$AB$105&amp;" "&amp;IF(AND(Milestones!$AB$105="FT",Milestones!$AA$105=FT_Y5,EDATE($D69,Milestones!$AA$105)&lt;PolicyEff),1,Milestones!$AC$105)&amp;";  ","")&amp;IF(AND(EDATE($D69,Milestones!$AA$106)&lt;=AsOfDate,EDATE($D69,Milestones!$AA$106)&gt;=SchemeStart,IF($X69=0,$AD69,IF(AND($Z69&lt;&gt;"",EDATE($D69,Milestones!$AA$106)&gt;=$Z69),$AC69,IF(AND($Y69&lt;&gt;"",EDATE($D69,Milestones!$AA$106)&gt;=$Y69),$AB69,$AA69)))=Milestones!$AB$106),UPPER(TEXT(EDATE($D69,Milestones!$AA$106),"dd mmm yy"))&amp;" "&amp;Milestones!$AB$106&amp;" "&amp;IF(AND(Milestones!$AB$106="FT",Milestones!$AA$106=FT_Y5,EDATE($D69,Milestones!$AA$106)&lt;PolicyEff),1,Milestones!$AC$106)&amp;";  ","")&amp;IF(AND(EDATE($D69,Milestones!$AA$107)&lt;=AsOfDate,EDATE($D69,Milestones!$AA$107)&gt;=SchemeStart,IF($X69=0,$AD69,IF(AND($Z69&lt;&gt;"",EDATE($D69,Milestones!$AA$107)&gt;=$Z69),$AC69,IF(AND($Y69&lt;&gt;"",EDATE($D69,Milestones!$AA$107)&gt;=$Y69),$AB69,$AA69)))=Milestones!$AB$107),UPPER(TEXT(EDATE($D69,Milestones!$AA$107),"dd mmm yy"))&amp;" "&amp;Milestones!$AB$107&amp;" "&amp;IF(AND(Milestones!$AB$107="FT",Milestones!$AA$107=FT_Y5,EDATE($D69,Milestones!$AA$107)&lt;PolicyEff),1,Milestones!$AC$107)&amp;";  ","")&amp;IF(AND(EDATE($D69,Milestones!$AA$108)&lt;=AsOfDate,EDATE($D69,Milestones!$AA$108)&gt;=SchemeStart,IF($X69=0,$AD69,IF(AND($Z69&lt;&gt;"",EDATE($D69,Milestones!$AA$108)&gt;=$Z69),$AC69,IF(AND($Y69&lt;&gt;"",EDATE($D69,Milestones!$AA$108)&gt;=$Y69),$AB69,$AA69)))=Milestones!$AB$108),UPPER(TEXT(EDATE($D69,Milestones!$AA$108),"dd mmm yy"))&amp;" "&amp;Milestones!$AB$108&amp;" "&amp;IF(AND(Milestones!$AB$108="FT",Milestones!$AA$108=FT_Y5,EDATE($D69,Milestones!$AA$108)&lt;PolicyEff),1,Milestones!$AC$108)&amp;";  ","")&amp;IF(AND(EDATE($D69,Milestones!$AA$109)&lt;=AsOfDate,EDATE($D69,Milestones!$AA$109)&gt;=SchemeStart,IF($X69=0,$AD69,IF(AND($Z69&lt;&gt;"",EDATE($D69,Milestones!$AA$109)&gt;=$Z69),$AC69,IF(AND($Y69&lt;&gt;"",EDATE($D69,Milestones!$AA$109)&gt;=$Y69),$AB69,$AA69)))=Milestones!$AB$109),UPPER(TEXT(EDATE($D69,Milestones!$AA$109),"dd mmm yy"))&amp;" "&amp;Milestones!$AB$109&amp;" "&amp;IF(AND(Milestones!$AB$109="FT",Milestones!$AA$109=FT_Y5,EDATE($D69,Milestones!$AA$109)&lt;PolicyEff),1,Milestones!$AC$109)&amp;";  ","")&amp;IF(AND(EDATE($D69,Milestones!$AA$110)&lt;=AsOfDate,EDATE($D69,Milestones!$AA$110)&gt;=SchemeStart,IF($X69=0,$AD69,IF(AND($Z69&lt;&gt;"",EDATE($D69,Milestones!$AA$110)&gt;=$Z69),$AC69,IF(AND($Y69&lt;&gt;"",EDATE($D69,Milestones!$AA$110)&gt;=$Y69),$AB69,$AA69)))=Milestones!$AB$110),UPPER(TEXT(EDATE($D69,Milestones!$AA$110),"dd mmm yy"))&amp;" "&amp;Milestones!$AB$110&amp;" "&amp;IF(AND(Milestones!$AB$110="FT",Milestones!$AA$110=FT_Y5,EDATE($D69,Milestones!$AA$110)&lt;PolicyEff),1,Milestones!$AC$110)&amp;";  ","")&amp;IF(AND(EDATE($D69,Milestones!$AA$111)&lt;=AsOfDate,EDATE($D69,Milestones!$AA$111)&gt;=SchemeStart,IF($X69=0,$AD69,IF(AND($Z69&lt;&gt;"",EDATE($D69,Milestones!$AA$111)&gt;=$Z69),$AC69,IF(AND($Y69&lt;&gt;"",EDATE($D69,Milestones!$AA$111)&gt;=$Y69),$AB69,$AA69)))=Milestones!$AB$111),UPPER(TEXT(EDATE($D69,Milestones!$AA$111),"dd mmm yy"))&amp;" "&amp;Milestones!$AB$111&amp;" "&amp;IF(AND(Milestones!$AB$111="FT",Milestones!$AA$111=FT_Y5,EDATE($D69,Milestones!$AA$111)&lt;PolicyEff),1,Milestones!$AC$111)&amp;";  ","")&amp;IF(AND(EDATE($D69,Milestones!$AA$112)&lt;=AsOfDate,EDATE($D69,Milestones!$AA$112)&gt;=SchemeStart,IF($X69=0,$AD69,IF(AND($Z69&lt;&gt;"",EDATE($D69,Milestones!$AA$112)&gt;=$Z69),$AC69,IF(AND($Y69&lt;&gt;"",EDATE($D69,Milestones!$AA$112)&gt;=$Y69),$AB69,$AA69)))=Milestones!$AB$112),UPPER(TEXT(EDATE($D69,Milestones!$AA$112),"dd mmm yy"))&amp;" "&amp;Milestones!$AB$112&amp;" "&amp;IF(AND(Milestones!$AB$112="FT",Milestones!$AA$112=FT_Y5,EDATE($D69,Milestones!$AA$112)&lt;PolicyEff),1,Milestones!$AC$112)&amp;";  ","")&amp;IF(AND(EDATE($D69,Milestones!$AA$113)&lt;=AsOfDate,EDATE($D69,Milestones!$AA$113)&gt;=SchemeStart,IF($X69=0,$AD69,IF(AND($Z69&lt;&gt;"",EDATE($D69,Milestones!$AA$113)&gt;=$Z69),$AC69,IF(AND($Y69&lt;&gt;"",EDATE($D69,Milestones!$AA$113)&gt;=$Y69),$AB69,$AA69)))=Milestones!$AB$113),UPPER(TEXT(EDATE($D69,Milestones!$AA$113),"dd mmm yy"))&amp;" "&amp;Milestones!$AB$113&amp;" "&amp;IF(AND(Milestones!$AB$113="FT",Milestones!$AA$113=FT_Y5,EDATE($D69,Milestones!$AA$113)&lt;PolicyEff),1,Milestones!$AC$113)&amp;";  ","")&amp;IF(AND(EDATE($D69,Milestones!$AA$114)&lt;=AsOfDate,EDATE($D69,Milestones!$AA$114)&gt;=SchemeStart,IF($X69=0,$AD69,IF(AND($Z69&lt;&gt;"",EDATE($D69,Milestones!$AA$114)&gt;=$Z69),$AC69,IF(AND($Y69&lt;&gt;"",EDATE($D69,Milestones!$AA$114)&gt;=$Y69),$AB69,$AA69)))=Milestones!$AB$114),UPPER(TEXT(EDATE($D69,Milestones!$AA$114),"dd mmm yy"))&amp;" "&amp;Milestones!$AB$114&amp;" "&amp;IF(AND(Milestones!$AB$114="FT",Milestones!$AA$114=FT_Y5,EDATE($D69,Milestones!$AA$114)&lt;PolicyEff),1,Milestones!$AC$114)&amp;";  ","")&amp;IF(AND(EDATE($D69,Milestones!$AA$115)&lt;=AsOfDate,EDATE($D69,Milestones!$AA$115)&gt;=SchemeStart,IF($X69=0,$AD69,IF(AND($Z69&lt;&gt;"",EDATE($D69,Milestones!$AA$115)&gt;=$Z69),$AC69,IF(AND($Y69&lt;&gt;"",EDATE($D69,Milestones!$AA$115)&gt;=$Y69),$AB69,$AA69)))=Milestones!$AB$115),UPPER(TEXT(EDATE($D69,Milestones!$AA$115),"dd mmm yy"))&amp;" "&amp;Milestones!$AB$115&amp;" "&amp;IF(AND(Milestones!$AB$115="FT",Milestones!$AA$115=FT_Y5,EDATE($D69,Milestones!$AA$115)&lt;PolicyEff),1,Milestones!$AC$115)&amp;";  ",""))</f>
        <v/>
      </c>
      <c r="Q69" s="0" t="str">
        <f aca="false">IF(OR($A69="",$D69=""),"",IF(AND(EDATE($D69,Milestones!$AA$116)&lt;=AsOfDate,EDATE($D69,Milestones!$AA$116)&gt;=SchemeStart,IF($X69=0,$AD69,IF(AND($Z69&lt;&gt;"",EDATE($D69,Milestones!$AA$116)&gt;=$Z69),$AC69,IF(AND($Y69&lt;&gt;"",EDATE($D69,Milestones!$AA$116)&gt;=$Y69),$AB69,$AA69)))=Milestones!$AB$116),UPPER(TEXT(EDATE($D69,Milestones!$AA$116),"dd mmm yy"))&amp;" "&amp;Milestones!$AB$116&amp;" "&amp;IF(AND(Milestones!$AB$116="FT",Milestones!$AA$116=FT_Y5,EDATE($D69,Milestones!$AA$116)&lt;PolicyEff),1,Milestones!$AC$116)&amp;";  ","")&amp;IF(AND(EDATE($D69,Milestones!$AA$117)&lt;=AsOfDate,EDATE($D69,Milestones!$AA$117)&gt;=SchemeStart,IF($X69=0,$AD69,IF(AND($Z69&lt;&gt;"",EDATE($D69,Milestones!$AA$117)&gt;=$Z69),$AC69,IF(AND($Y69&lt;&gt;"",EDATE($D69,Milestones!$AA$117)&gt;=$Y69),$AB69,$AA69)))=Milestones!$AB$117),UPPER(TEXT(EDATE($D69,Milestones!$AA$117),"dd mmm yy"))&amp;" "&amp;Milestones!$AB$117&amp;" "&amp;IF(AND(Milestones!$AB$117="FT",Milestones!$AA$117=FT_Y5,EDATE($D69,Milestones!$AA$117)&lt;PolicyEff),1,Milestones!$AC$117)&amp;";  ","")&amp;IF(AND(EDATE($D69,Milestones!$AA$118)&lt;=AsOfDate,EDATE($D69,Milestones!$AA$118)&gt;=SchemeStart,IF($X69=0,$AD69,IF(AND($Z69&lt;&gt;"",EDATE($D69,Milestones!$AA$118)&gt;=$Z69),$AC69,IF(AND($Y69&lt;&gt;"",EDATE($D69,Milestones!$AA$118)&gt;=$Y69),$AB69,$AA69)))=Milestones!$AB$118),UPPER(TEXT(EDATE($D69,Milestones!$AA$118),"dd mmm yy"))&amp;" "&amp;Milestones!$AB$118&amp;" "&amp;IF(AND(Milestones!$AB$118="FT",Milestones!$AA$118=FT_Y5,EDATE($D69,Milestones!$AA$118)&lt;PolicyEff),1,Milestones!$AC$118)&amp;";  ","")&amp;IF(AND(EDATE($D69,Milestones!$AA$119)&lt;=AsOfDate,EDATE($D69,Milestones!$AA$119)&gt;=SchemeStart,IF($X69=0,$AD69,IF(AND($Z69&lt;&gt;"",EDATE($D69,Milestones!$AA$119)&gt;=$Z69),$AC69,IF(AND($Y69&lt;&gt;"",EDATE($D69,Milestones!$AA$119)&gt;=$Y69),$AB69,$AA69)))=Milestones!$AB$119),UPPER(TEXT(EDATE($D69,Milestones!$AA$119),"dd mmm yy"))&amp;" "&amp;Milestones!$AB$119&amp;" "&amp;IF(AND(Milestones!$AB$119="FT",Milestones!$AA$119=FT_Y5,EDATE($D69,Milestones!$AA$119)&lt;PolicyEff),1,Milestones!$AC$119)&amp;";  ","")&amp;IF(AND(EDATE($D69,Milestones!$AA$120)&lt;=AsOfDate,EDATE($D69,Milestones!$AA$120)&gt;=SchemeStart,IF($X69=0,$AD69,IF(AND($Z69&lt;&gt;"",EDATE($D69,Milestones!$AA$120)&gt;=$Z69),$AC69,IF(AND($Y69&lt;&gt;"",EDATE($D69,Milestones!$AA$120)&gt;=$Y69),$AB69,$AA69)))=Milestones!$AB$120),UPPER(TEXT(EDATE($D69,Milestones!$AA$120),"dd mmm yy"))&amp;" "&amp;Milestones!$AB$120&amp;" "&amp;IF(AND(Milestones!$AB$120="FT",Milestones!$AA$120=FT_Y5,EDATE($D69,Milestones!$AA$120)&lt;PolicyEff),1,Milestones!$AC$120)&amp;";  ","")&amp;IF(AND(EDATE($D69,Milestones!$AA$121)&lt;=AsOfDate,EDATE($D69,Milestones!$AA$121)&gt;=SchemeStart,IF($X69=0,$AD69,IF(AND($Z69&lt;&gt;"",EDATE($D69,Milestones!$AA$121)&gt;=$Z69),$AC69,IF(AND($Y69&lt;&gt;"",EDATE($D69,Milestones!$AA$121)&gt;=$Y69),$AB69,$AA69)))=Milestones!$AB$121),UPPER(TEXT(EDATE($D69,Milestones!$AA$121),"dd mmm yy"))&amp;" "&amp;Milestones!$AB$121&amp;" "&amp;IF(AND(Milestones!$AB$121="FT",Milestones!$AA$121=FT_Y5,EDATE($D69,Milestones!$AA$121)&lt;PolicyEff),1,Milestones!$AC$121)&amp;";  ","")&amp;IF(AND(EDATE($D69,Milestones!$AA$122)&lt;=AsOfDate,EDATE($D69,Milestones!$AA$122)&gt;=SchemeStart,IF($X69=0,$AD69,IF(AND($Z69&lt;&gt;"",EDATE($D69,Milestones!$AA$122)&gt;=$Z69),$AC69,IF(AND($Y69&lt;&gt;"",EDATE($D69,Milestones!$AA$122)&gt;=$Y69),$AB69,$AA69)))=Milestones!$AB$122),UPPER(TEXT(EDATE($D69,Milestones!$AA$122),"dd mmm yy"))&amp;" "&amp;Milestones!$AB$122&amp;" "&amp;IF(AND(Milestones!$AB$122="FT",Milestones!$AA$122=FT_Y5,EDATE($D69,Milestones!$AA$122)&lt;PolicyEff),1,Milestones!$AC$122)&amp;";  ","")&amp;IF(AND(EDATE($D69,Milestones!$AA$123)&lt;=AsOfDate,EDATE($D69,Milestones!$AA$123)&gt;=SchemeStart,IF($X69=0,$AD69,IF(AND($Z69&lt;&gt;"",EDATE($D69,Milestones!$AA$123)&gt;=$Z69),$AC69,IF(AND($Y69&lt;&gt;"",EDATE($D69,Milestones!$AA$123)&gt;=$Y69),$AB69,$AA69)))=Milestones!$AB$123),UPPER(TEXT(EDATE($D69,Milestones!$AA$123),"dd mmm yy"))&amp;" "&amp;Milestones!$AB$123&amp;" "&amp;IF(AND(Milestones!$AB$123="FT",Milestones!$AA$123=FT_Y5,EDATE($D69,Milestones!$AA$123)&lt;PolicyEff),1,Milestones!$AC$123)&amp;";  ","")&amp;IF(AND(EDATE($D69,Milestones!$AA$124)&lt;=AsOfDate,EDATE($D69,Milestones!$AA$124)&gt;=SchemeStart,IF($X69=0,$AD69,IF(AND($Z69&lt;&gt;"",EDATE($D69,Milestones!$AA$124)&gt;=$Z69),$AC69,IF(AND($Y69&lt;&gt;"",EDATE($D69,Milestones!$AA$124)&gt;=$Y69),$AB69,$AA69)))=Milestones!$AB$124),UPPER(TEXT(EDATE($D69,Milestones!$AA$124),"dd mmm yy"))&amp;" "&amp;Milestones!$AB$124&amp;" "&amp;IF(AND(Milestones!$AB$124="FT",Milestones!$AA$124=FT_Y5,EDATE($D69,Milestones!$AA$124)&lt;PolicyEff),1,Milestones!$AC$124)&amp;";  ","")&amp;IF(AND(EDATE($D69,Milestones!$AA$125)&lt;=AsOfDate,EDATE($D69,Milestones!$AA$125)&gt;=SchemeStart,IF($X69=0,$AD69,IF(AND($Z69&lt;&gt;"",EDATE($D69,Milestones!$AA$125)&gt;=$Z69),$AC69,IF(AND($Y69&lt;&gt;"",EDATE($D69,Milestones!$AA$125)&gt;=$Y69),$AB69,$AA69)))=Milestones!$AB$125),UPPER(TEXT(EDATE($D69,Milestones!$AA$125),"dd mmm yy"))&amp;" "&amp;Milestones!$AB$125&amp;" "&amp;IF(AND(Milestones!$AB$125="FT",Milestones!$AA$125=FT_Y5,EDATE($D69,Milestones!$AA$125)&lt;PolicyEff),1,Milestones!$AC$125)&amp;";  ","")&amp;IF(AND(EDATE($D69,Milestones!$AA$126)&lt;=AsOfDate,EDATE($D69,Milestones!$AA$126)&gt;=SchemeStart,IF($X69=0,$AD69,IF(AND($Z69&lt;&gt;"",EDATE($D69,Milestones!$AA$126)&gt;=$Z69),$AC69,IF(AND($Y69&lt;&gt;"",EDATE($D69,Milestones!$AA$126)&gt;=$Y69),$AB69,$AA69)))=Milestones!$AB$126),UPPER(TEXT(EDATE($D69,Milestones!$AA$126),"dd mmm yy"))&amp;" "&amp;Milestones!$AB$126&amp;" "&amp;IF(AND(Milestones!$AB$126="FT",Milestones!$AA$126=FT_Y5,EDATE($D69,Milestones!$AA$126)&lt;PolicyEff),1,Milestones!$AC$126)&amp;";  ","")&amp;IF(AND(EDATE($D69,Milestones!$AA$127)&lt;=AsOfDate,EDATE($D69,Milestones!$AA$127)&gt;=SchemeStart,IF($X69=0,$AD69,IF(AND($Z69&lt;&gt;"",EDATE($D69,Milestones!$AA$127)&gt;=$Z69),$AC69,IF(AND($Y69&lt;&gt;"",EDATE($D69,Milestones!$AA$127)&gt;=$Y69),$AB69,$AA69)))=Milestones!$AB$127),UPPER(TEXT(EDATE($D69,Milestones!$AA$127),"dd mmm yy"))&amp;" "&amp;Milestones!$AB$127&amp;" "&amp;IF(AND(Milestones!$AB$127="FT",Milestones!$AA$127=FT_Y5,EDATE($D69,Milestones!$AA$127)&lt;PolicyEff),1,Milestones!$AC$127)&amp;";  ",""))</f>
        <v/>
      </c>
      <c r="R69" s="0" t="str">
        <f aca="false">IF(OR($A69="",$D69=""),"",IF(AND(EDATE($D69,Milestones!$AA$128)&lt;=AsOfDate,EDATE($D69,Milestones!$AA$128)&gt;=SchemeStart,IF($X69=0,$AD69,IF(AND($Z69&lt;&gt;"",EDATE($D69,Milestones!$AA$128)&gt;=$Z69),$AC69,IF(AND($Y69&lt;&gt;"",EDATE($D69,Milestones!$AA$128)&gt;=$Y69),$AB69,$AA69)))=Milestones!$AB$128),UPPER(TEXT(EDATE($D69,Milestones!$AA$128),"dd mmm yy"))&amp;" "&amp;Milestones!$AB$128&amp;" "&amp;IF(AND(Milestones!$AB$128="FT",Milestones!$AA$128=FT_Y5,EDATE($D69,Milestones!$AA$128)&lt;PolicyEff),1,Milestones!$AC$128)&amp;";  ","")&amp;IF(AND(EDATE($D69,Milestones!$AA$129)&lt;=AsOfDate,EDATE($D69,Milestones!$AA$129)&gt;=SchemeStart,IF($X69=0,$AD69,IF(AND($Z69&lt;&gt;"",EDATE($D69,Milestones!$AA$129)&gt;=$Z69),$AC69,IF(AND($Y69&lt;&gt;"",EDATE($D69,Milestones!$AA$129)&gt;=$Y69),$AB69,$AA69)))=Milestones!$AB$129),UPPER(TEXT(EDATE($D69,Milestones!$AA$129),"dd mmm yy"))&amp;" "&amp;Milestones!$AB$129&amp;" "&amp;IF(AND(Milestones!$AB$129="FT",Milestones!$AA$129=FT_Y5,EDATE($D69,Milestones!$AA$129)&lt;PolicyEff),1,Milestones!$AC$129)&amp;";  ","")&amp;IF(AND(EDATE($D69,Milestones!$AA$130)&lt;=AsOfDate,EDATE($D69,Milestones!$AA$130)&gt;=SchemeStart,IF($X69=0,$AD69,IF(AND($Z69&lt;&gt;"",EDATE($D69,Milestones!$AA$130)&gt;=$Z69),$AC69,IF(AND($Y69&lt;&gt;"",EDATE($D69,Milestones!$AA$130)&gt;=$Y69),$AB69,$AA69)))=Milestones!$AB$130),UPPER(TEXT(EDATE($D69,Milestones!$AA$130),"dd mmm yy"))&amp;" "&amp;Milestones!$AB$130&amp;" "&amp;IF(AND(Milestones!$AB$130="FT",Milestones!$AA$130=FT_Y5,EDATE($D69,Milestones!$AA$130)&lt;PolicyEff),1,Milestones!$AC$130)&amp;";  ","")&amp;IF(AND(EDATE($D69,Milestones!$AA$131)&lt;=AsOfDate,EDATE($D69,Milestones!$AA$131)&gt;=SchemeStart,IF($X69=0,$AD69,IF(AND($Z69&lt;&gt;"",EDATE($D69,Milestones!$AA$131)&gt;=$Z69),$AC69,IF(AND($Y69&lt;&gt;"",EDATE($D69,Milestones!$AA$131)&gt;=$Y69),$AB69,$AA69)))=Milestones!$AB$131),UPPER(TEXT(EDATE($D69,Milestones!$AA$131),"dd mmm yy"))&amp;" "&amp;Milestones!$AB$131&amp;" "&amp;IF(AND(Milestones!$AB$131="FT",Milestones!$AA$131=FT_Y5,EDATE($D69,Milestones!$AA$131)&lt;PolicyEff),1,Milestones!$AC$131)&amp;";  ","")&amp;IF(AND(EDATE($D69,Milestones!$AA$132)&lt;=AsOfDate,EDATE($D69,Milestones!$AA$132)&gt;=SchemeStart,IF($X69=0,$AD69,IF(AND($Z69&lt;&gt;"",EDATE($D69,Milestones!$AA$132)&gt;=$Z69),$AC69,IF(AND($Y69&lt;&gt;"",EDATE($D69,Milestones!$AA$132)&gt;=$Y69),$AB69,$AA69)))=Milestones!$AB$132),UPPER(TEXT(EDATE($D69,Milestones!$AA$132),"dd mmm yy"))&amp;" "&amp;Milestones!$AB$132&amp;" "&amp;IF(AND(Milestones!$AB$132="FT",Milestones!$AA$132=FT_Y5,EDATE($D69,Milestones!$AA$132)&lt;PolicyEff),1,Milestones!$AC$132)&amp;";  ","")&amp;IF(AND(EDATE($D69,Milestones!$AA$133)&lt;=AsOfDate,EDATE($D69,Milestones!$AA$133)&gt;=SchemeStart,IF($X69=0,$AD69,IF(AND($Z69&lt;&gt;"",EDATE($D69,Milestones!$AA$133)&gt;=$Z69),$AC69,IF(AND($Y69&lt;&gt;"",EDATE($D69,Milestones!$AA$133)&gt;=$Y69),$AB69,$AA69)))=Milestones!$AB$133),UPPER(TEXT(EDATE($D69,Milestones!$AA$133),"dd mmm yy"))&amp;" "&amp;Milestones!$AB$133&amp;" "&amp;IF(AND(Milestones!$AB$133="FT",Milestones!$AA$133=FT_Y5,EDATE($D69,Milestones!$AA$133)&lt;PolicyEff),1,Milestones!$AC$133)&amp;";  ","")&amp;IF(AND(EDATE($D69,Milestones!$AA$134)&lt;=AsOfDate,EDATE($D69,Milestones!$AA$134)&gt;=SchemeStart,IF($X69=0,$AD69,IF(AND($Z69&lt;&gt;"",EDATE($D69,Milestones!$AA$134)&gt;=$Z69),$AC69,IF(AND($Y69&lt;&gt;"",EDATE($D69,Milestones!$AA$134)&gt;=$Y69),$AB69,$AA69)))=Milestones!$AB$134),UPPER(TEXT(EDATE($D69,Milestones!$AA$134),"dd mmm yy"))&amp;" "&amp;Milestones!$AB$134&amp;" "&amp;IF(AND(Milestones!$AB$134="FT",Milestones!$AA$134=FT_Y5,EDATE($D69,Milestones!$AA$134)&lt;PolicyEff),1,Milestones!$AC$134)&amp;";  ","")&amp;IF(AND(EDATE($D69,Milestones!$AA$135)&lt;=AsOfDate,EDATE($D69,Milestones!$AA$135)&gt;=SchemeStart,IF($X69=0,$AD69,IF(AND($Z69&lt;&gt;"",EDATE($D69,Milestones!$AA$135)&gt;=$Z69),$AC69,IF(AND($Y69&lt;&gt;"",EDATE($D69,Milestones!$AA$135)&gt;=$Y69),$AB69,$AA69)))=Milestones!$AB$135),UPPER(TEXT(EDATE($D69,Milestones!$AA$135),"dd mmm yy"))&amp;" "&amp;Milestones!$AB$135&amp;" "&amp;IF(AND(Milestones!$AB$135="FT",Milestones!$AA$135=FT_Y5,EDATE($D69,Milestones!$AA$135)&lt;PolicyEff),1,Milestones!$AC$135)&amp;";  ","")&amp;IF(AND(EDATE($D69,Milestones!$AA$136)&lt;=AsOfDate,EDATE($D69,Milestones!$AA$136)&gt;=SchemeStart,IF($X69=0,$AD69,IF(AND($Z69&lt;&gt;"",EDATE($D69,Milestones!$AA$136)&gt;=$Z69),$AC69,IF(AND($Y69&lt;&gt;"",EDATE($D69,Milestones!$AA$136)&gt;=$Y69),$AB69,$AA69)))=Milestones!$AB$136),UPPER(TEXT(EDATE($D69,Milestones!$AA$136),"dd mmm yy"))&amp;" "&amp;Milestones!$AB$136&amp;" "&amp;IF(AND(Milestones!$AB$136="FT",Milestones!$AA$136=FT_Y5,EDATE($D69,Milestones!$AA$136)&lt;PolicyEff),1,Milestones!$AC$136)&amp;";  ","")&amp;IF(AND(EDATE($D69,Milestones!$AA$137)&lt;=AsOfDate,EDATE($D69,Milestones!$AA$137)&gt;=SchemeStart,IF($X69=0,$AD69,IF(AND($Z69&lt;&gt;"",EDATE($D69,Milestones!$AA$137)&gt;=$Z69),$AC69,IF(AND($Y69&lt;&gt;"",EDATE($D69,Milestones!$AA$137)&gt;=$Y69),$AB69,$AA69)))=Milestones!$AB$137),UPPER(TEXT(EDATE($D69,Milestones!$AA$137),"dd mmm yy"))&amp;" "&amp;Milestones!$AB$137&amp;" "&amp;IF(AND(Milestones!$AB$137="FT",Milestones!$AA$137=FT_Y5,EDATE($D69,Milestones!$AA$137)&lt;PolicyEff),1,Milestones!$AC$137)&amp;";  ","")&amp;IF(AND(EDATE($D69,Milestones!$AA$138)&lt;=AsOfDate,EDATE($D69,Milestones!$AA$138)&gt;=SchemeStart,IF($X69=0,$AD69,IF(AND($Z69&lt;&gt;"",EDATE($D69,Milestones!$AA$138)&gt;=$Z69),$AC69,IF(AND($Y69&lt;&gt;"",EDATE($D69,Milestones!$AA$138)&gt;=$Y69),$AB69,$AA69)))=Milestones!$AB$138),UPPER(TEXT(EDATE($D69,Milestones!$AA$138),"dd mmm yy"))&amp;" "&amp;Milestones!$AB$138&amp;" "&amp;IF(AND(Milestones!$AB$138="FT",Milestones!$AA$138=FT_Y5,EDATE($D69,Milestones!$AA$138)&lt;PolicyEff),1,Milestones!$AC$138)&amp;";  ","")&amp;IF(AND(EDATE($D69,Milestones!$AA$139)&lt;=AsOfDate,EDATE($D69,Milestones!$AA$139)&gt;=SchemeStart,IF($X69=0,$AD69,IF(AND($Z69&lt;&gt;"",EDATE($D69,Milestones!$AA$139)&gt;=$Z69),$AC69,IF(AND($Y69&lt;&gt;"",EDATE($D69,Milestones!$AA$139)&gt;=$Y69),$AB69,$AA69)))=Milestones!$AB$139),UPPER(TEXT(EDATE($D69,Milestones!$AA$139),"dd mmm yy"))&amp;" "&amp;Milestones!$AB$139&amp;" "&amp;IF(AND(Milestones!$AB$139="FT",Milestones!$AA$139=FT_Y5,EDATE($D69,Milestones!$AA$139)&lt;PolicyEff),1,Milestones!$AC$139)&amp;";  ",""))</f>
        <v/>
      </c>
      <c r="S69" s="0" t="str">
        <f aca="false">IF(OR($A69="",$D69=""),"",IF(AND(EDATE($D69,Milestones!$AA$140)&lt;=AsOfDate,EDATE($D69,Milestones!$AA$140)&gt;=SchemeStart,IF($X69=0,$AD69,IF(AND($Z69&lt;&gt;"",EDATE($D69,Milestones!$AA$140)&gt;=$Z69),$AC69,IF(AND($Y69&lt;&gt;"",EDATE($D69,Milestones!$AA$140)&gt;=$Y69),$AB69,$AA69)))=Milestones!$AB$140),UPPER(TEXT(EDATE($D69,Milestones!$AA$140),"dd mmm yy"))&amp;" "&amp;Milestones!$AB$140&amp;" "&amp;IF(AND(Milestones!$AB$140="FT",Milestones!$AA$140=FT_Y5,EDATE($D69,Milestones!$AA$140)&lt;PolicyEff),1,Milestones!$AC$140)&amp;";  ","")&amp;IF(AND(EDATE($D69,Milestones!$AA$141)&lt;=AsOfDate,EDATE($D69,Milestones!$AA$141)&gt;=SchemeStart,IF($X69=0,$AD69,IF(AND($Z69&lt;&gt;"",EDATE($D69,Milestones!$AA$141)&gt;=$Z69),$AC69,IF(AND($Y69&lt;&gt;"",EDATE($D69,Milestones!$AA$141)&gt;=$Y69),$AB69,$AA69)))=Milestones!$AB$141),UPPER(TEXT(EDATE($D69,Milestones!$AA$141),"dd mmm yy"))&amp;" "&amp;Milestones!$AB$141&amp;" "&amp;IF(AND(Milestones!$AB$141="FT",Milestones!$AA$141=FT_Y5,EDATE($D69,Milestones!$AA$141)&lt;PolicyEff),1,Milestones!$AC$141)&amp;";  ","")&amp;IF(AND(EDATE($D69,Milestones!$AA$142)&lt;=AsOfDate,EDATE($D69,Milestones!$AA$142)&gt;=SchemeStart,IF($X69=0,$AD69,IF(AND($Z69&lt;&gt;"",EDATE($D69,Milestones!$AA$142)&gt;=$Z69),$AC69,IF(AND($Y69&lt;&gt;"",EDATE($D69,Milestones!$AA$142)&gt;=$Y69),$AB69,$AA69)))=Milestones!$AB$142),UPPER(TEXT(EDATE($D69,Milestones!$AA$142),"dd mmm yy"))&amp;" "&amp;Milestones!$AB$142&amp;" "&amp;IF(AND(Milestones!$AB$142="FT",Milestones!$AA$142=FT_Y5,EDATE($D69,Milestones!$AA$142)&lt;PolicyEff),1,Milestones!$AC$142)&amp;";  ","")&amp;IF(AND(EDATE($D69,Milestones!$AA$143)&lt;=AsOfDate,EDATE($D69,Milestones!$AA$143)&gt;=SchemeStart,IF($X69=0,$AD69,IF(AND($Z69&lt;&gt;"",EDATE($D69,Milestones!$AA$143)&gt;=$Z69),$AC69,IF(AND($Y69&lt;&gt;"",EDATE($D69,Milestones!$AA$143)&gt;=$Y69),$AB69,$AA69)))=Milestones!$AB$143),UPPER(TEXT(EDATE($D69,Milestones!$AA$143),"dd mmm yy"))&amp;" "&amp;Milestones!$AB$143&amp;" "&amp;IF(AND(Milestones!$AB$143="FT",Milestones!$AA$143=FT_Y5,EDATE($D69,Milestones!$AA$143)&lt;PolicyEff),1,Milestones!$AC$143)&amp;";  ","")&amp;IF(AND(EDATE($D69,Milestones!$AA$144)&lt;=AsOfDate,EDATE($D69,Milestones!$AA$144)&gt;=SchemeStart,IF($X69=0,$AD69,IF(AND($Z69&lt;&gt;"",EDATE($D69,Milestones!$AA$144)&gt;=$Z69),$AC69,IF(AND($Y69&lt;&gt;"",EDATE($D69,Milestones!$AA$144)&gt;=$Y69),$AB69,$AA69)))=Milestones!$AB$144),UPPER(TEXT(EDATE($D69,Milestones!$AA$144),"dd mmm yy"))&amp;" "&amp;Milestones!$AB$144&amp;" "&amp;IF(AND(Milestones!$AB$144="FT",Milestones!$AA$144=FT_Y5,EDATE($D69,Milestones!$AA$144)&lt;PolicyEff),1,Milestones!$AC$144)&amp;";  ","")&amp;IF(AND(EDATE($D69,Milestones!$AA$145)&lt;=AsOfDate,EDATE($D69,Milestones!$AA$145)&gt;=SchemeStart,IF($X69=0,$AD69,IF(AND($Z69&lt;&gt;"",EDATE($D69,Milestones!$AA$145)&gt;=$Z69),$AC69,IF(AND($Y69&lt;&gt;"",EDATE($D69,Milestones!$AA$145)&gt;=$Y69),$AB69,$AA69)))=Milestones!$AB$145),UPPER(TEXT(EDATE($D69,Milestones!$AA$145),"dd mmm yy"))&amp;" "&amp;Milestones!$AB$145&amp;" "&amp;IF(AND(Milestones!$AB$145="FT",Milestones!$AA$145=FT_Y5,EDATE($D69,Milestones!$AA$145)&lt;PolicyEff),1,Milestones!$AC$145)&amp;";  ","")&amp;IF(AND(EDATE($D69,Milestones!$AA$146)&lt;=AsOfDate,EDATE($D69,Milestones!$AA$146)&gt;=SchemeStart,IF($X69=0,$AD69,IF(AND($Z69&lt;&gt;"",EDATE($D69,Milestones!$AA$146)&gt;=$Z69),$AC69,IF(AND($Y69&lt;&gt;"",EDATE($D69,Milestones!$AA$146)&gt;=$Y69),$AB69,$AA69)))=Milestones!$AB$146),UPPER(TEXT(EDATE($D69,Milestones!$AA$146),"dd mmm yy"))&amp;" "&amp;Milestones!$AB$146&amp;" "&amp;IF(AND(Milestones!$AB$146="FT",Milestones!$AA$146=FT_Y5,EDATE($D69,Milestones!$AA$146)&lt;PolicyEff),1,Milestones!$AC$146)&amp;";  ","")&amp;IF(AND(EDATE($D69,Milestones!$AA$147)&lt;=AsOfDate,EDATE($D69,Milestones!$AA$147)&gt;=SchemeStart,IF($X69=0,$AD69,IF(AND($Z69&lt;&gt;"",EDATE($D69,Milestones!$AA$147)&gt;=$Z69),$AC69,IF(AND($Y69&lt;&gt;"",EDATE($D69,Milestones!$AA$147)&gt;=$Y69),$AB69,$AA69)))=Milestones!$AB$147),UPPER(TEXT(EDATE($D69,Milestones!$AA$147),"dd mmm yy"))&amp;" "&amp;Milestones!$AB$147&amp;" "&amp;IF(AND(Milestones!$AB$147="FT",Milestones!$AA$147=FT_Y5,EDATE($D69,Milestones!$AA$147)&lt;PolicyEff),1,Milestones!$AC$147)&amp;";  ","")&amp;IF(AND(EDATE($D69,Milestones!$AA$148)&lt;=AsOfDate,EDATE($D69,Milestones!$AA$148)&gt;=SchemeStart,IF($X69=0,$AD69,IF(AND($Z69&lt;&gt;"",EDATE($D69,Milestones!$AA$148)&gt;=$Z69),$AC69,IF(AND($Y69&lt;&gt;"",EDATE($D69,Milestones!$AA$148)&gt;=$Y69),$AB69,$AA69)))=Milestones!$AB$148),UPPER(TEXT(EDATE($D69,Milestones!$AA$148),"dd mmm yy"))&amp;" "&amp;Milestones!$AB$148&amp;" "&amp;IF(AND(Milestones!$AB$148="FT",Milestones!$AA$148=FT_Y5,EDATE($D69,Milestones!$AA$148)&lt;PolicyEff),1,Milestones!$AC$148)&amp;";  ","")&amp;IF(AND(EDATE($D69,Milestones!$AA$149)&lt;=AsOfDate,EDATE($D69,Milestones!$AA$149)&gt;=SchemeStart,IF($X69=0,$AD69,IF(AND($Z69&lt;&gt;"",EDATE($D69,Milestones!$AA$149)&gt;=$Z69),$AC69,IF(AND($Y69&lt;&gt;"",EDATE($D69,Milestones!$AA$149)&gt;=$Y69),$AB69,$AA69)))=Milestones!$AB$149),UPPER(TEXT(EDATE($D69,Milestones!$AA$149),"dd mmm yy"))&amp;" "&amp;Milestones!$AB$149&amp;" "&amp;IF(AND(Milestones!$AB$149="FT",Milestones!$AA$149=FT_Y5,EDATE($D69,Milestones!$AA$149)&lt;PolicyEff),1,Milestones!$AC$149)&amp;";  ","")&amp;IF(AND(EDATE($D69,Milestones!$AA$150)&lt;=AsOfDate,EDATE($D69,Milestones!$AA$150)&gt;=SchemeStart,IF($X69=0,$AD69,IF(AND($Z69&lt;&gt;"",EDATE($D69,Milestones!$AA$150)&gt;=$Z69),$AC69,IF(AND($Y69&lt;&gt;"",EDATE($D69,Milestones!$AA$150)&gt;=$Y69),$AB69,$AA69)))=Milestones!$AB$150),UPPER(TEXT(EDATE($D69,Milestones!$AA$150),"dd mmm yy"))&amp;" "&amp;Milestones!$AB$150&amp;" "&amp;IF(AND(Milestones!$AB$150="FT",Milestones!$AA$150=FT_Y5,EDATE($D69,Milestones!$AA$150)&lt;PolicyEff),1,Milestones!$AC$150)&amp;";  ","")&amp;IF(AND(EDATE($D69,Milestones!$AA$151)&lt;=AsOfDate,EDATE($D69,Milestones!$AA$151)&gt;=SchemeStart,IF($X69=0,$AD69,IF(AND($Z69&lt;&gt;"",EDATE($D69,Milestones!$AA$151)&gt;=$Z69),$AC69,IF(AND($Y69&lt;&gt;"",EDATE($D69,Milestones!$AA$151)&gt;=$Y69),$AB69,$AA69)))=Milestones!$AB$151),UPPER(TEXT(EDATE($D69,Milestones!$AA$151),"dd mmm yy"))&amp;" "&amp;Milestones!$AB$151&amp;" "&amp;IF(AND(Milestones!$AB$151="FT",Milestones!$AA$151=FT_Y5,EDATE($D69,Milestones!$AA$151)&lt;PolicyEff),1,Milestones!$AC$151)&amp;";  ",""))</f>
        <v/>
      </c>
      <c r="T69" s="0" t="str">
        <f aca="false">IF(OR($A69="",$D69=""),"",IF(AND(EDATE($D69,Milestones!$AA$152)&lt;=AsOfDate,EDATE($D69,Milestones!$AA$152)&gt;=SchemeStart,IF($X69=0,$AD69,IF(AND($Z69&lt;&gt;"",EDATE($D69,Milestones!$AA$152)&gt;=$Z69),$AC69,IF(AND($Y69&lt;&gt;"",EDATE($D69,Milestones!$AA$152)&gt;=$Y69),$AB69,$AA69)))=Milestones!$AB$152),UPPER(TEXT(EDATE($D69,Milestones!$AA$152),"dd mmm yy"))&amp;" "&amp;Milestones!$AB$152&amp;" "&amp;IF(AND(Milestones!$AB$152="FT",Milestones!$AA$152=FT_Y5,EDATE($D69,Milestones!$AA$152)&lt;PolicyEff),1,Milestones!$AC$152)&amp;";  ","")&amp;IF(AND(EDATE($D69,Milestones!$AA$153)&lt;=AsOfDate,EDATE($D69,Milestones!$AA$153)&gt;=SchemeStart,IF($X69=0,$AD69,IF(AND($Z69&lt;&gt;"",EDATE($D69,Milestones!$AA$153)&gt;=$Z69),$AC69,IF(AND($Y69&lt;&gt;"",EDATE($D69,Milestones!$AA$153)&gt;=$Y69),$AB69,$AA69)))=Milestones!$AB$153),UPPER(TEXT(EDATE($D69,Milestones!$AA$153),"dd mmm yy"))&amp;" "&amp;Milestones!$AB$153&amp;" "&amp;IF(AND(Milestones!$AB$153="FT",Milestones!$AA$153=FT_Y5,EDATE($D69,Milestones!$AA$153)&lt;PolicyEff),1,Milestones!$AC$153)&amp;";  ","")&amp;IF(AND(EDATE($D69,Milestones!$AA$154)&lt;=AsOfDate,EDATE($D69,Milestones!$AA$154)&gt;=SchemeStart,IF($X69=0,$AD69,IF(AND($Z69&lt;&gt;"",EDATE($D69,Milestones!$AA$154)&gt;=$Z69),$AC69,IF(AND($Y69&lt;&gt;"",EDATE($D69,Milestones!$AA$154)&gt;=$Y69),$AB69,$AA69)))=Milestones!$AB$154),UPPER(TEXT(EDATE($D69,Milestones!$AA$154),"dd mmm yy"))&amp;" "&amp;Milestones!$AB$154&amp;" "&amp;IF(AND(Milestones!$AB$154="FT",Milestones!$AA$154=FT_Y5,EDATE($D69,Milestones!$AA$154)&lt;PolicyEff),1,Milestones!$AC$154)&amp;";  ","")&amp;IF(AND(EDATE($D69,Milestones!$AA$155)&lt;=AsOfDate,EDATE($D69,Milestones!$AA$155)&gt;=SchemeStart,IF($X69=0,$AD69,IF(AND($Z69&lt;&gt;"",EDATE($D69,Milestones!$AA$155)&gt;=$Z69),$AC69,IF(AND($Y69&lt;&gt;"",EDATE($D69,Milestones!$AA$155)&gt;=$Y69),$AB69,$AA69)))=Milestones!$AB$155),UPPER(TEXT(EDATE($D69,Milestones!$AA$155),"dd mmm yy"))&amp;" "&amp;Milestones!$AB$155&amp;" "&amp;IF(AND(Milestones!$AB$155="FT",Milestones!$AA$155=FT_Y5,EDATE($D69,Milestones!$AA$155)&lt;PolicyEff),1,Milestones!$AC$155)&amp;";  ","")&amp;IF(AND(EDATE($D69,Milestones!$AA$156)&lt;=AsOfDate,EDATE($D69,Milestones!$AA$156)&gt;=SchemeStart,IF($X69=0,$AD69,IF(AND($Z69&lt;&gt;"",EDATE($D69,Milestones!$AA$156)&gt;=$Z69),$AC69,IF(AND($Y69&lt;&gt;"",EDATE($D69,Milestones!$AA$156)&gt;=$Y69),$AB69,$AA69)))=Milestones!$AB$156),UPPER(TEXT(EDATE($D69,Milestones!$AA$156),"dd mmm yy"))&amp;" "&amp;Milestones!$AB$156&amp;" "&amp;IF(AND(Milestones!$AB$156="FT",Milestones!$AA$156=FT_Y5,EDATE($D69,Milestones!$AA$156)&lt;PolicyEff),1,Milestones!$AC$156)&amp;";  ","")&amp;IF(AND(EDATE($D69,Milestones!$AA$157)&lt;=AsOfDate,EDATE($D69,Milestones!$AA$157)&gt;=SchemeStart,IF($X69=0,$AD69,IF(AND($Z69&lt;&gt;"",EDATE($D69,Milestones!$AA$157)&gt;=$Z69),$AC69,IF(AND($Y69&lt;&gt;"",EDATE($D69,Milestones!$AA$157)&gt;=$Y69),$AB69,$AA69)))=Milestones!$AB$157),UPPER(TEXT(EDATE($D69,Milestones!$AA$157),"dd mmm yy"))&amp;" "&amp;Milestones!$AB$157&amp;" "&amp;IF(AND(Milestones!$AB$157="FT",Milestones!$AA$157=FT_Y5,EDATE($D69,Milestones!$AA$157)&lt;PolicyEff),1,Milestones!$AC$157)&amp;";  ","")&amp;IF(AND(EDATE($D69,Milestones!$AA$158)&lt;=AsOfDate,EDATE($D69,Milestones!$AA$158)&gt;=SchemeStart,IF($X69=0,$AD69,IF(AND($Z69&lt;&gt;"",EDATE($D69,Milestones!$AA$158)&gt;=$Z69),$AC69,IF(AND($Y69&lt;&gt;"",EDATE($D69,Milestones!$AA$158)&gt;=$Y69),$AB69,$AA69)))=Milestones!$AB$158),UPPER(TEXT(EDATE($D69,Milestones!$AA$158),"dd mmm yy"))&amp;" "&amp;Milestones!$AB$158&amp;" "&amp;IF(AND(Milestones!$AB$158="FT",Milestones!$AA$158=FT_Y5,EDATE($D69,Milestones!$AA$158)&lt;PolicyEff),1,Milestones!$AC$158)&amp;";  ","")&amp;IF(AND(EDATE($D69,Milestones!$AA$159)&lt;=AsOfDate,EDATE($D69,Milestones!$AA$159)&gt;=SchemeStart,IF($X69=0,$AD69,IF(AND($Z69&lt;&gt;"",EDATE($D69,Milestones!$AA$159)&gt;=$Z69),$AC69,IF(AND($Y69&lt;&gt;"",EDATE($D69,Milestones!$AA$159)&gt;=$Y69),$AB69,$AA69)))=Milestones!$AB$159),UPPER(TEXT(EDATE($D69,Milestones!$AA$159),"dd mmm yy"))&amp;" "&amp;Milestones!$AB$159&amp;" "&amp;IF(AND(Milestones!$AB$159="FT",Milestones!$AA$159=FT_Y5,EDATE($D69,Milestones!$AA$159)&lt;PolicyEff),1,Milestones!$AC$159)&amp;";  ","")&amp;IF(AND(EDATE($D69,Milestones!$AA$160)&lt;=AsOfDate,EDATE($D69,Milestones!$AA$160)&gt;=SchemeStart,IF($X69=0,$AD69,IF(AND($Z69&lt;&gt;"",EDATE($D69,Milestones!$AA$160)&gt;=$Z69),$AC69,IF(AND($Y69&lt;&gt;"",EDATE($D69,Milestones!$AA$160)&gt;=$Y69),$AB69,$AA69)))=Milestones!$AB$160),UPPER(TEXT(EDATE($D69,Milestones!$AA$160),"dd mmm yy"))&amp;" "&amp;Milestones!$AB$160&amp;" "&amp;IF(AND(Milestones!$AB$160="FT",Milestones!$AA$160=FT_Y5,EDATE($D69,Milestones!$AA$160)&lt;PolicyEff),1,Milestones!$AC$160)&amp;";  ","")&amp;IF(AND(EDATE($D69,Milestones!$AA$161)&lt;=AsOfDate,EDATE($D69,Milestones!$AA$161)&gt;=SchemeStart,IF($X69=0,$AD69,IF(AND($Z69&lt;&gt;"",EDATE($D69,Milestones!$AA$161)&gt;=$Z69),$AC69,IF(AND($Y69&lt;&gt;"",EDATE($D69,Milestones!$AA$161)&gt;=$Y69),$AB69,$AA69)))=Milestones!$AB$161),UPPER(TEXT(EDATE($D69,Milestones!$AA$161),"dd mmm yy"))&amp;" "&amp;Milestones!$AB$161&amp;" "&amp;IF(AND(Milestones!$AB$161="FT",Milestones!$AA$161=FT_Y5,EDATE($D69,Milestones!$AA$161)&lt;PolicyEff),1,Milestones!$AC$161)&amp;";  ","")&amp;IF(AND(EDATE($D69,Milestones!$AA$162)&lt;=AsOfDate,EDATE($D69,Milestones!$AA$162)&gt;=SchemeStart,IF($X69=0,$AD69,IF(AND($Z69&lt;&gt;"",EDATE($D69,Milestones!$AA$162)&gt;=$Z69),$AC69,IF(AND($Y69&lt;&gt;"",EDATE($D69,Milestones!$AA$162)&gt;=$Y69),$AB69,$AA69)))=Milestones!$AB$162),UPPER(TEXT(EDATE($D69,Milestones!$AA$162),"dd mmm yy"))&amp;" "&amp;Milestones!$AB$162&amp;" "&amp;IF(AND(Milestones!$AB$162="FT",Milestones!$AA$162=FT_Y5,EDATE($D69,Milestones!$AA$162)&lt;PolicyEff),1,Milestones!$AC$162)&amp;";  ","")&amp;IF(AND(EDATE($D69,Milestones!$AA$163)&lt;=AsOfDate,EDATE($D69,Milestones!$AA$163)&gt;=SchemeStart,IF($X69=0,$AD69,IF(AND($Z69&lt;&gt;"",EDATE($D69,Milestones!$AA$163)&gt;=$Z69),$AC69,IF(AND($Y69&lt;&gt;"",EDATE($D69,Milestones!$AA$163)&gt;=$Y69),$AB69,$AA69)))=Milestones!$AB$163),UPPER(TEXT(EDATE($D69,Milestones!$AA$163),"dd mmm yy"))&amp;" "&amp;Milestones!$AB$163&amp;" "&amp;IF(AND(Milestones!$AB$163="FT",Milestones!$AA$163=FT_Y5,EDATE($D69,Milestones!$AA$163)&lt;PolicyEff),1,Milestones!$AC$163)&amp;";  ",""))</f>
        <v/>
      </c>
      <c r="U69" s="0" t="str">
        <f aca="false">IF(OR($A69="",$D69=""),"",IF(AND(EDATE($D69,Milestones!$AA$164)&lt;=AsOfDate,EDATE($D69,Milestones!$AA$164)&gt;=SchemeStart,IF($X69=0,$AD69,IF(AND($Z69&lt;&gt;"",EDATE($D69,Milestones!$AA$164)&gt;=$Z69),$AC69,IF(AND($Y69&lt;&gt;"",EDATE($D69,Milestones!$AA$164)&gt;=$Y69),$AB69,$AA69)))=Milestones!$AB$164),UPPER(TEXT(EDATE($D69,Milestones!$AA$164),"dd mmm yy"))&amp;" "&amp;Milestones!$AB$164&amp;" "&amp;IF(AND(Milestones!$AB$164="FT",Milestones!$AA$164=FT_Y5,EDATE($D69,Milestones!$AA$164)&lt;PolicyEff),1,Milestones!$AC$164)&amp;";  ","")&amp;IF(AND(EDATE($D69,Milestones!$AA$165)&lt;=AsOfDate,EDATE($D69,Milestones!$AA$165)&gt;=SchemeStart,IF($X69=0,$AD69,IF(AND($Z69&lt;&gt;"",EDATE($D69,Milestones!$AA$165)&gt;=$Z69),$AC69,IF(AND($Y69&lt;&gt;"",EDATE($D69,Milestones!$AA$165)&gt;=$Y69),$AB69,$AA69)))=Milestones!$AB$165),UPPER(TEXT(EDATE($D69,Milestones!$AA$165),"dd mmm yy"))&amp;" "&amp;Milestones!$AB$165&amp;" "&amp;IF(AND(Milestones!$AB$165="FT",Milestones!$AA$165=FT_Y5,EDATE($D69,Milestones!$AA$165)&lt;PolicyEff),1,Milestones!$AC$165)&amp;";  ","")&amp;IF(AND(EDATE($D69,Milestones!$AA$166)&lt;=AsOfDate,EDATE($D69,Milestones!$AA$166)&gt;=SchemeStart,IF($X69=0,$AD69,IF(AND($Z69&lt;&gt;"",EDATE($D69,Milestones!$AA$166)&gt;=$Z69),$AC69,IF(AND($Y69&lt;&gt;"",EDATE($D69,Milestones!$AA$166)&gt;=$Y69),$AB69,$AA69)))=Milestones!$AB$166),UPPER(TEXT(EDATE($D69,Milestones!$AA$166),"dd mmm yy"))&amp;" "&amp;Milestones!$AB$166&amp;" "&amp;IF(AND(Milestones!$AB$166="FT",Milestones!$AA$166=FT_Y5,EDATE($D69,Milestones!$AA$166)&lt;PolicyEff),1,Milestones!$AC$166)&amp;";  ","")&amp;IF(AND(EDATE($D69,Milestones!$AA$167)&lt;=AsOfDate,EDATE($D69,Milestones!$AA$167)&gt;=SchemeStart,IF($X69=0,$AD69,IF(AND($Z69&lt;&gt;"",EDATE($D69,Milestones!$AA$167)&gt;=$Z69),$AC69,IF(AND($Y69&lt;&gt;"",EDATE($D69,Milestones!$AA$167)&gt;=$Y69),$AB69,$AA69)))=Milestones!$AB$167),UPPER(TEXT(EDATE($D69,Milestones!$AA$167),"dd mmm yy"))&amp;" "&amp;Milestones!$AB$167&amp;" "&amp;IF(AND(Milestones!$AB$167="FT",Milestones!$AA$167=FT_Y5,EDATE($D69,Milestones!$AA$167)&lt;PolicyEff),1,Milestones!$AC$167)&amp;";  ","")&amp;IF(AND(EDATE($D69,Milestones!$AA$168)&lt;=AsOfDate,EDATE($D69,Milestones!$AA$168)&gt;=SchemeStart,IF($X69=0,$AD69,IF(AND($Z69&lt;&gt;"",EDATE($D69,Milestones!$AA$168)&gt;=$Z69),$AC69,IF(AND($Y69&lt;&gt;"",EDATE($D69,Milestones!$AA$168)&gt;=$Y69),$AB69,$AA69)))=Milestones!$AB$168),UPPER(TEXT(EDATE($D69,Milestones!$AA$168),"dd mmm yy"))&amp;" "&amp;Milestones!$AB$168&amp;" "&amp;IF(AND(Milestones!$AB$168="FT",Milestones!$AA$168=FT_Y5,EDATE($D69,Milestones!$AA$168)&lt;PolicyEff),1,Milestones!$AC$168)&amp;";  ","")&amp;IF(AND(EDATE($D69,Milestones!$AA$169)&lt;=AsOfDate,EDATE($D69,Milestones!$AA$169)&gt;=SchemeStart,IF($X69=0,$AD69,IF(AND($Z69&lt;&gt;"",EDATE($D69,Milestones!$AA$169)&gt;=$Z69),$AC69,IF(AND($Y69&lt;&gt;"",EDATE($D69,Milestones!$AA$169)&gt;=$Y69),$AB69,$AA69)))=Milestones!$AB$169),UPPER(TEXT(EDATE($D69,Milestones!$AA$169),"dd mmm yy"))&amp;" "&amp;Milestones!$AB$169&amp;" "&amp;IF(AND(Milestones!$AB$169="FT",Milestones!$AA$169=FT_Y5,EDATE($D69,Milestones!$AA$169)&lt;PolicyEff),1,Milestones!$AC$169)&amp;";  ","")&amp;IF(AND(EDATE($D69,Milestones!$AA$170)&lt;=AsOfDate,EDATE($D69,Milestones!$AA$170)&gt;=SchemeStart,IF($X69=0,$AD69,IF(AND($Z69&lt;&gt;"",EDATE($D69,Milestones!$AA$170)&gt;=$Z69),$AC69,IF(AND($Y69&lt;&gt;"",EDATE($D69,Milestones!$AA$170)&gt;=$Y69),$AB69,$AA69)))=Milestones!$AB$170),UPPER(TEXT(EDATE($D69,Milestones!$AA$170),"dd mmm yy"))&amp;" "&amp;Milestones!$AB$170&amp;" "&amp;IF(AND(Milestones!$AB$170="FT",Milestones!$AA$170=FT_Y5,EDATE($D69,Milestones!$AA$170)&lt;PolicyEff),1,Milestones!$AC$170)&amp;";  ","")&amp;IF(AND(EDATE($D69,Milestones!$AA$171)&lt;=AsOfDate,EDATE($D69,Milestones!$AA$171)&gt;=SchemeStart,IF($X69=0,$AD69,IF(AND($Z69&lt;&gt;"",EDATE($D69,Milestones!$AA$171)&gt;=$Z69),$AC69,IF(AND($Y69&lt;&gt;"",EDATE($D69,Milestones!$AA$171)&gt;=$Y69),$AB69,$AA69)))=Milestones!$AB$171),UPPER(TEXT(EDATE($D69,Milestones!$AA$171),"dd mmm yy"))&amp;" "&amp;Milestones!$AB$171&amp;" "&amp;IF(AND(Milestones!$AB$171="FT",Milestones!$AA$171=FT_Y5,EDATE($D69,Milestones!$AA$171)&lt;PolicyEff),1,Milestones!$AC$171)&amp;";  ","")&amp;IF(AND(EDATE($D69,Milestones!$AA$172)&lt;=AsOfDate,EDATE($D69,Milestones!$AA$172)&gt;=SchemeStart,IF($X69=0,$AD69,IF(AND($Z69&lt;&gt;"",EDATE($D69,Milestones!$AA$172)&gt;=$Z69),$AC69,IF(AND($Y69&lt;&gt;"",EDATE($D69,Milestones!$AA$172)&gt;=$Y69),$AB69,$AA69)))=Milestones!$AB$172),UPPER(TEXT(EDATE($D69,Milestones!$AA$172),"dd mmm yy"))&amp;" "&amp;Milestones!$AB$172&amp;" "&amp;IF(AND(Milestones!$AB$172="FT",Milestones!$AA$172=FT_Y5,EDATE($D69,Milestones!$AA$172)&lt;PolicyEff),1,Milestones!$AC$172)&amp;";  ","")&amp;IF(AND(EDATE($D69,Milestones!$AA$173)&lt;=AsOfDate,EDATE($D69,Milestones!$AA$173)&gt;=SchemeStart,IF($X69=0,$AD69,IF(AND($Z69&lt;&gt;"",EDATE($D69,Milestones!$AA$173)&gt;=$Z69),$AC69,IF(AND($Y69&lt;&gt;"",EDATE($D69,Milestones!$AA$173)&gt;=$Y69),$AB69,$AA69)))=Milestones!$AB$173),UPPER(TEXT(EDATE($D69,Milestones!$AA$173),"dd mmm yy"))&amp;" "&amp;Milestones!$AB$173&amp;" "&amp;IF(AND(Milestones!$AB$173="FT",Milestones!$AA$173=FT_Y5,EDATE($D69,Milestones!$AA$173)&lt;PolicyEff),1,Milestones!$AC$173)&amp;";  ","")&amp;IF(AND(EDATE($D69,Milestones!$AA$174)&lt;=AsOfDate,EDATE($D69,Milestones!$AA$174)&gt;=SchemeStart,IF($X69=0,$AD69,IF(AND($Z69&lt;&gt;"",EDATE($D69,Milestones!$AA$174)&gt;=$Z69),$AC69,IF(AND($Y69&lt;&gt;"",EDATE($D69,Milestones!$AA$174)&gt;=$Y69),$AB69,$AA69)))=Milestones!$AB$174),UPPER(TEXT(EDATE($D69,Milestones!$AA$174),"dd mmm yy"))&amp;" "&amp;Milestones!$AB$174&amp;" "&amp;IF(AND(Milestones!$AB$174="FT",Milestones!$AA$174=FT_Y5,EDATE($D69,Milestones!$AA$174)&lt;PolicyEff),1,Milestones!$AC$174)&amp;";  ","")&amp;IF(AND(EDATE($D69,Milestones!$AA$175)&lt;=AsOfDate,EDATE($D69,Milestones!$AA$175)&gt;=SchemeStart,IF($X69=0,$AD69,IF(AND($Z69&lt;&gt;"",EDATE($D69,Milestones!$AA$175)&gt;=$Z69),$AC69,IF(AND($Y69&lt;&gt;"",EDATE($D69,Milestones!$AA$175)&gt;=$Y69),$AB69,$AA69)))=Milestones!$AB$175),UPPER(TEXT(EDATE($D69,Milestones!$AA$175),"dd mmm yy"))&amp;" "&amp;Milestones!$AB$175&amp;" "&amp;IF(AND(Milestones!$AB$175="FT",Milestones!$AA$175=FT_Y5,EDATE($D69,Milestones!$AA$175)&lt;PolicyEff),1,Milestones!$AC$175)&amp;";  ",""))</f>
        <v/>
      </c>
      <c r="V69" s="0" t="str">
        <f aca="false">IF(OR($A69="",$D69=""),"",IF(AND(EDATE($D69,Milestones!$AA$176)&lt;=AsOfDate,EDATE($D69,Milestones!$AA$176)&gt;=SchemeStart,IF($X69=0,$AD69,IF(AND($Z69&lt;&gt;"",EDATE($D69,Milestones!$AA$176)&gt;=$Z69),$AC69,IF(AND($Y69&lt;&gt;"",EDATE($D69,Milestones!$AA$176)&gt;=$Y69),$AB69,$AA69)))=Milestones!$AB$176),UPPER(TEXT(EDATE($D69,Milestones!$AA$176),"dd mmm yy"))&amp;" "&amp;Milestones!$AB$176&amp;" "&amp;IF(AND(Milestones!$AB$176="FT",Milestones!$AA$176=FT_Y5,EDATE($D69,Milestones!$AA$176)&lt;PolicyEff),1,Milestones!$AC$176)&amp;";  ","")&amp;IF(AND(EDATE($D69,Milestones!$AA$177)&lt;=AsOfDate,EDATE($D69,Milestones!$AA$177)&gt;=SchemeStart,IF($X69=0,$AD69,IF(AND($Z69&lt;&gt;"",EDATE($D69,Milestones!$AA$177)&gt;=$Z69),$AC69,IF(AND($Y69&lt;&gt;"",EDATE($D69,Milestones!$AA$177)&gt;=$Y69),$AB69,$AA69)))=Milestones!$AB$177),UPPER(TEXT(EDATE($D69,Milestones!$AA$177),"dd mmm yy"))&amp;" "&amp;Milestones!$AB$177&amp;" "&amp;IF(AND(Milestones!$AB$177="FT",Milestones!$AA$177=FT_Y5,EDATE($D69,Milestones!$AA$177)&lt;PolicyEff),1,Milestones!$AC$177)&amp;";  ","")&amp;IF(AND(EDATE($D69,Milestones!$AA$178)&lt;=AsOfDate,EDATE($D69,Milestones!$AA$178)&gt;=SchemeStart,IF($X69=0,$AD69,IF(AND($Z69&lt;&gt;"",EDATE($D69,Milestones!$AA$178)&gt;=$Z69),$AC69,IF(AND($Y69&lt;&gt;"",EDATE($D69,Milestones!$AA$178)&gt;=$Y69),$AB69,$AA69)))=Milestones!$AB$178),UPPER(TEXT(EDATE($D69,Milestones!$AA$178),"dd mmm yy"))&amp;" "&amp;Milestones!$AB$178&amp;" "&amp;IF(AND(Milestones!$AB$178="FT",Milestones!$AA$178=FT_Y5,EDATE($D69,Milestones!$AA$178)&lt;PolicyEff),1,Milestones!$AC$178)&amp;";  ","")&amp;IF(AND(EDATE($D69,Milestones!$AA$179)&lt;=AsOfDate,EDATE($D69,Milestones!$AA$179)&gt;=SchemeStart,IF($X69=0,$AD69,IF(AND($Z69&lt;&gt;"",EDATE($D69,Milestones!$AA$179)&gt;=$Z69),$AC69,IF(AND($Y69&lt;&gt;"",EDATE($D69,Milestones!$AA$179)&gt;=$Y69),$AB69,$AA69)))=Milestones!$AB$179),UPPER(TEXT(EDATE($D69,Milestones!$AA$179),"dd mmm yy"))&amp;" "&amp;Milestones!$AB$179&amp;" "&amp;IF(AND(Milestones!$AB$179="FT",Milestones!$AA$179=FT_Y5,EDATE($D69,Milestones!$AA$179)&lt;PolicyEff),1,Milestones!$AC$179)&amp;";  ","")&amp;IF(AND(EDATE($D69,Milestones!$AA$180)&lt;=AsOfDate,EDATE($D69,Milestones!$AA$180)&gt;=SchemeStart,IF($X69=0,$AD69,IF(AND($Z69&lt;&gt;"",EDATE($D69,Milestones!$AA$180)&gt;=$Z69),$AC69,IF(AND($Y69&lt;&gt;"",EDATE($D69,Milestones!$AA$180)&gt;=$Y69),$AB69,$AA69)))=Milestones!$AB$180),UPPER(TEXT(EDATE($D69,Milestones!$AA$180),"dd mmm yy"))&amp;" "&amp;Milestones!$AB$180&amp;" "&amp;IF(AND(Milestones!$AB$180="FT",Milestones!$AA$180=FT_Y5,EDATE($D69,Milestones!$AA$180)&lt;PolicyEff),1,Milestones!$AC$180)&amp;";  ","")&amp;IF(AND(EDATE($D69,Milestones!$AA$181)&lt;=AsOfDate,EDATE($D69,Milestones!$AA$181)&gt;=SchemeStart,IF($X69=0,$AD69,IF(AND($Z69&lt;&gt;"",EDATE($D69,Milestones!$AA$181)&gt;=$Z69),$AC69,IF(AND($Y69&lt;&gt;"",EDATE($D69,Milestones!$AA$181)&gt;=$Y69),$AB69,$AA69)))=Milestones!$AB$181),UPPER(TEXT(EDATE($D69,Milestones!$AA$181),"dd mmm yy"))&amp;" "&amp;Milestones!$AB$181&amp;" "&amp;IF(AND(Milestones!$AB$181="FT",Milestones!$AA$181=FT_Y5,EDATE($D69,Milestones!$AA$181)&lt;PolicyEff),1,Milestones!$AC$181)&amp;";  ","")&amp;IF(AND(EDATE($D69,Milestones!$AA$182)&lt;=AsOfDate,EDATE($D69,Milestones!$AA$182)&gt;=SchemeStart,IF($X69=0,$AD69,IF(AND($Z69&lt;&gt;"",EDATE($D69,Milestones!$AA$182)&gt;=$Z69),$AC69,IF(AND($Y69&lt;&gt;"",EDATE($D69,Milestones!$AA$182)&gt;=$Y69),$AB69,$AA69)))=Milestones!$AB$182),UPPER(TEXT(EDATE($D69,Milestones!$AA$182),"dd mmm yy"))&amp;" "&amp;Milestones!$AB$182&amp;" "&amp;IF(AND(Milestones!$AB$182="FT",Milestones!$AA$182=FT_Y5,EDATE($D69,Milestones!$AA$182)&lt;PolicyEff),1,Milestones!$AC$182)&amp;";  ","")&amp;IF(AND(EDATE($D69,Milestones!$AA$183)&lt;=AsOfDate,EDATE($D69,Milestones!$AA$183)&gt;=SchemeStart,IF($X69=0,$AD69,IF(AND($Z69&lt;&gt;"",EDATE($D69,Milestones!$AA$183)&gt;=$Z69),$AC69,IF(AND($Y69&lt;&gt;"",EDATE($D69,Milestones!$AA$183)&gt;=$Y69),$AB69,$AA69)))=Milestones!$AB$183),UPPER(TEXT(EDATE($D69,Milestones!$AA$183),"dd mmm yy"))&amp;" "&amp;Milestones!$AB$183&amp;" "&amp;IF(AND(Milestones!$AB$183="FT",Milestones!$AA$183=FT_Y5,EDATE($D69,Milestones!$AA$183)&lt;PolicyEff),1,Milestones!$AC$183)&amp;";  ","")&amp;IF(AND(EDATE($D69,Milestones!$AA$184)&lt;=AsOfDate,EDATE($D69,Milestones!$AA$184)&gt;=SchemeStart,IF($X69=0,$AD69,IF(AND($Z69&lt;&gt;"",EDATE($D69,Milestones!$AA$184)&gt;=$Z69),$AC69,IF(AND($Y69&lt;&gt;"",EDATE($D69,Milestones!$AA$184)&gt;=$Y69),$AB69,$AA69)))=Milestones!$AB$184),UPPER(TEXT(EDATE($D69,Milestones!$AA$184),"dd mmm yy"))&amp;" "&amp;Milestones!$AB$184&amp;" "&amp;IF(AND(Milestones!$AB$184="FT",Milestones!$AA$184=FT_Y5,EDATE($D69,Milestones!$AA$184)&lt;PolicyEff),1,Milestones!$AC$184)&amp;";  ","")&amp;IF(AND(EDATE($D69,Milestones!$AA$185)&lt;=AsOfDate,EDATE($D69,Milestones!$AA$185)&gt;=SchemeStart,IF($X69=0,$AD69,IF(AND($Z69&lt;&gt;"",EDATE($D69,Milestones!$AA$185)&gt;=$Z69),$AC69,IF(AND($Y69&lt;&gt;"",EDATE($D69,Milestones!$AA$185)&gt;=$Y69),$AB69,$AA69)))=Milestones!$AB$185),UPPER(TEXT(EDATE($D69,Milestones!$AA$185),"dd mmm yy"))&amp;" "&amp;Milestones!$AB$185&amp;" "&amp;IF(AND(Milestones!$AB$185="FT",Milestones!$AA$185=FT_Y5,EDATE($D69,Milestones!$AA$185)&lt;PolicyEff),1,Milestones!$AC$185)&amp;";  ","")&amp;IF(AND(EDATE($D69,Milestones!$AA$186)&lt;=AsOfDate,EDATE($D69,Milestones!$AA$186)&gt;=SchemeStart,IF($X69=0,$AD69,IF(AND($Z69&lt;&gt;"",EDATE($D69,Milestones!$AA$186)&gt;=$Z69),$AC69,IF(AND($Y69&lt;&gt;"",EDATE($D69,Milestones!$AA$186)&gt;=$Y69),$AB69,$AA69)))=Milestones!$AB$186),UPPER(TEXT(EDATE($D69,Milestones!$AA$186),"dd mmm yy"))&amp;" "&amp;Milestones!$AB$186&amp;" "&amp;IF(AND(Milestones!$AB$186="FT",Milestones!$AA$186=FT_Y5,EDATE($D69,Milestones!$AA$186)&lt;PolicyEff),1,Milestones!$AC$186)&amp;";  ","")&amp;IF(AND(EDATE($D69,Milestones!$AA$187)&lt;=AsOfDate,EDATE($D69,Milestones!$AA$187)&gt;=SchemeStart,IF($X69=0,$AD69,IF(AND($Z69&lt;&gt;"",EDATE($D69,Milestones!$AA$187)&gt;=$Z69),$AC69,IF(AND($Y69&lt;&gt;"",EDATE($D69,Milestones!$AA$187)&gt;=$Y69),$AB69,$AA69)))=Milestones!$AB$187),UPPER(TEXT(EDATE($D69,Milestones!$AA$187),"dd mmm yy"))&amp;" "&amp;Milestones!$AB$187&amp;" "&amp;IF(AND(Milestones!$AB$187="FT",Milestones!$AA$187=FT_Y5,EDATE($D69,Milestones!$AA$187)&lt;PolicyEff),1,Milestones!$AC$187)&amp;";  ",""))</f>
        <v/>
      </c>
      <c r="W69" s="0" t="str">
        <f aca="false">IF(OR($A69="",$D69=""),"",IF(AND(EDATE($D69,Milestones!$AA$188)&lt;=AsOfDate,EDATE($D69,Milestones!$AA$188)&gt;=SchemeStart,IF($X69=0,$AD69,IF(AND($Z69&lt;&gt;"",EDATE($D69,Milestones!$AA$188)&gt;=$Z69),$AC69,IF(AND($Y69&lt;&gt;"",EDATE($D69,Milestones!$AA$188)&gt;=$Y69),$AB69,$AA69)))=Milestones!$AB$188),UPPER(TEXT(EDATE($D69,Milestones!$AA$188),"dd mmm yy"))&amp;" "&amp;Milestones!$AB$188&amp;" "&amp;IF(AND(Milestones!$AB$188="FT",Milestones!$AA$188=FT_Y5,EDATE($D69,Milestones!$AA$188)&lt;PolicyEff),1,Milestones!$AC$188)&amp;";  ","")&amp;IF(AND(EDATE($D69,Milestones!$AA$189)&lt;=AsOfDate,EDATE($D69,Milestones!$AA$189)&gt;=SchemeStart,IF($X69=0,$AD69,IF(AND($Z69&lt;&gt;"",EDATE($D69,Milestones!$AA$189)&gt;=$Z69),$AC69,IF(AND($Y69&lt;&gt;"",EDATE($D69,Milestones!$AA$189)&gt;=$Y69),$AB69,$AA69)))=Milestones!$AB$189),UPPER(TEXT(EDATE($D69,Milestones!$AA$189),"dd mmm yy"))&amp;" "&amp;Milestones!$AB$189&amp;" "&amp;IF(AND(Milestones!$AB$189="FT",Milestones!$AA$189=FT_Y5,EDATE($D69,Milestones!$AA$189)&lt;PolicyEff),1,Milestones!$AC$189)&amp;";  ","")&amp;IF(AND(EDATE($D69,Milestones!$AA$190)&lt;=AsOfDate,EDATE($D69,Milestones!$AA$190)&gt;=SchemeStart,IF($X69=0,$AD69,IF(AND($Z69&lt;&gt;"",EDATE($D69,Milestones!$AA$190)&gt;=$Z69),$AC69,IF(AND($Y69&lt;&gt;"",EDATE($D69,Milestones!$AA$190)&gt;=$Y69),$AB69,$AA69)))=Milestones!$AB$190),UPPER(TEXT(EDATE($D69,Milestones!$AA$190),"dd mmm yy"))&amp;" "&amp;Milestones!$AB$190&amp;" "&amp;IF(AND(Milestones!$AB$190="FT",Milestones!$AA$190=FT_Y5,EDATE($D69,Milestones!$AA$190)&lt;PolicyEff),1,Milestones!$AC$190)&amp;";  ","")&amp;IF(AND(EDATE($D69,Milestones!$AA$191)&lt;=AsOfDate,EDATE($D69,Milestones!$AA$191)&gt;=SchemeStart,IF($X69=0,$AD69,IF(AND($Z69&lt;&gt;"",EDATE($D69,Milestones!$AA$191)&gt;=$Z69),$AC69,IF(AND($Y69&lt;&gt;"",EDATE($D69,Milestones!$AA$191)&gt;=$Y69),$AB69,$AA69)))=Milestones!$AB$191),UPPER(TEXT(EDATE($D69,Milestones!$AA$191),"dd mmm yy"))&amp;" "&amp;Milestones!$AB$191&amp;" "&amp;IF(AND(Milestones!$AB$191="FT",Milestones!$AA$191=FT_Y5,EDATE($D69,Milestones!$AA$191)&lt;PolicyEff),1,Milestones!$AC$191)&amp;";  ","")&amp;IF(AND(EDATE($D69,Milestones!$AA$192)&lt;=AsOfDate,EDATE($D69,Milestones!$AA$192)&gt;=SchemeStart,IF($X69=0,$AD69,IF(AND($Z69&lt;&gt;"",EDATE($D69,Milestones!$AA$192)&gt;=$Z69),$AC69,IF(AND($Y69&lt;&gt;"",EDATE($D69,Milestones!$AA$192)&gt;=$Y69),$AB69,$AA69)))=Milestones!$AB$192),UPPER(TEXT(EDATE($D69,Milestones!$AA$192),"dd mmm yy"))&amp;" "&amp;Milestones!$AB$192&amp;" "&amp;IF(AND(Milestones!$AB$192="FT",Milestones!$AA$192=FT_Y5,EDATE($D69,Milestones!$AA$192)&lt;PolicyEff),1,Milestones!$AC$192)&amp;";  ","")&amp;IF(AND(EDATE($D69,Milestones!$AA$193)&lt;=AsOfDate,EDATE($D69,Milestones!$AA$193)&gt;=SchemeStart,IF($X69=0,$AD69,IF(AND($Z69&lt;&gt;"",EDATE($D69,Milestones!$AA$193)&gt;=$Z69),$AC69,IF(AND($Y69&lt;&gt;"",EDATE($D69,Milestones!$AA$193)&gt;=$Y69),$AB69,$AA69)))=Milestones!$AB$193),UPPER(TEXT(EDATE($D69,Milestones!$AA$193),"dd mmm yy"))&amp;" "&amp;Milestones!$AB$193&amp;" "&amp;IF(AND(Milestones!$AB$193="FT",Milestones!$AA$193=FT_Y5,EDATE($D69,Milestones!$AA$193)&lt;PolicyEff),1,Milestones!$AC$193)&amp;";  ","")&amp;IF(AND(EDATE($D69,Milestones!$AA$194)&lt;=AsOfDate,EDATE($D69,Milestones!$AA$194)&gt;=SchemeStart,IF($X69=0,$AD69,IF(AND($Z69&lt;&gt;"",EDATE($D69,Milestones!$AA$194)&gt;=$Z69),$AC69,IF(AND($Y69&lt;&gt;"",EDATE($D69,Milestones!$AA$194)&gt;=$Y69),$AB69,$AA69)))=Milestones!$AB$194),UPPER(TEXT(EDATE($D69,Milestones!$AA$194),"dd mmm yy"))&amp;" "&amp;Milestones!$AB$194&amp;" "&amp;IF(AND(Milestones!$AB$194="FT",Milestones!$AA$194=FT_Y5,EDATE($D69,Milestones!$AA$194)&lt;PolicyEff),1,Milestones!$AC$194)&amp;";  ","")&amp;IF(AND(EDATE($D69,Milestones!$AA$195)&lt;=AsOfDate,EDATE($D69,Milestones!$AA$195)&gt;=SchemeStart,IF($X69=0,$AD69,IF(AND($Z69&lt;&gt;"",EDATE($D69,Milestones!$AA$195)&gt;=$Z69),$AC69,IF(AND($Y69&lt;&gt;"",EDATE($D69,Milestones!$AA$195)&gt;=$Y69),$AB69,$AA69)))=Milestones!$AB$195),UPPER(TEXT(EDATE($D69,Milestones!$AA$195),"dd mmm yy"))&amp;" "&amp;Milestones!$AB$195&amp;" "&amp;IF(AND(Milestones!$AB$195="FT",Milestones!$AA$195=FT_Y5,EDATE($D69,Milestones!$AA$195)&lt;PolicyEff),1,Milestones!$AC$195)&amp;";  ","")&amp;IF(AND(EDATE($D69,Milestones!$AA$196)&lt;=AsOfDate,EDATE($D69,Milestones!$AA$196)&gt;=SchemeStart,IF($X69=0,$AD69,IF(AND($Z69&lt;&gt;"",EDATE($D69,Milestones!$AA$196)&gt;=$Z69),$AC69,IF(AND($Y69&lt;&gt;"",EDATE($D69,Milestones!$AA$196)&gt;=$Y69),$AB69,$AA69)))=Milestones!$AB$196),UPPER(TEXT(EDATE($D69,Milestones!$AA$196),"dd mmm yy"))&amp;" "&amp;Milestones!$AB$196&amp;" "&amp;IF(AND(Milestones!$AB$196="FT",Milestones!$AA$196=FT_Y5,EDATE($D69,Milestones!$AA$196)&lt;PolicyEff),1,Milestones!$AC$196)&amp;";  ","")&amp;IF(AND(EDATE($D69,Milestones!$AA$197)&lt;=AsOfDate,EDATE($D69,Milestones!$AA$197)&gt;=SchemeStart,IF($X69=0,$AD69,IF(AND($Z69&lt;&gt;"",EDATE($D69,Milestones!$AA$197)&gt;=$Z69),$AC69,IF(AND($Y69&lt;&gt;"",EDATE($D69,Milestones!$AA$197)&gt;=$Y69),$AB69,$AA69)))=Milestones!$AB$197),UPPER(TEXT(EDATE($D69,Milestones!$AA$197),"dd mmm yy"))&amp;" "&amp;Milestones!$AB$197&amp;" "&amp;IF(AND(Milestones!$AB$197="FT",Milestones!$AA$197=FT_Y5,EDATE($D69,Milestones!$AA$197)&lt;PolicyEff),1,Milestones!$AC$197)&amp;";  ","")&amp;IF(AND(EDATE($D69,Milestones!$AA$198)&lt;=AsOfDate,EDATE($D69,Milestones!$AA$198)&gt;=SchemeStart,IF($X69=0,$AD69,IF(AND($Z69&lt;&gt;"",EDATE($D69,Milestones!$AA$198)&gt;=$Z69),$AC69,IF(AND($Y69&lt;&gt;"",EDATE($D69,Milestones!$AA$198)&gt;=$Y69),$AB69,$AA69)))=Milestones!$AB$198),UPPER(TEXT(EDATE($D69,Milestones!$AA$198),"dd mmm yy"))&amp;" "&amp;Milestones!$AB$198&amp;" "&amp;IF(AND(Milestones!$AB$198="FT",Milestones!$AA$198=FT_Y5,EDATE($D69,Milestones!$AA$198)&lt;PolicyEff),1,Milestones!$AC$198)&amp;";  ","")&amp;IF(AND(EDATE($D69,Milestones!$AA$199)&lt;=AsOfDate,EDATE($D69,Milestones!$AA$199)&gt;=SchemeStart,IF($X69=0,$AD69,IF(AND($Z69&lt;&gt;"",EDATE($D69,Milestones!$AA$199)&gt;=$Z69),$AC69,IF(AND($Y69&lt;&gt;"",EDATE($D69,Milestones!$AA$199)&gt;=$Y69),$AB69,$AA69)))=Milestones!$AB$199),UPPER(TEXT(EDATE($D69,Milestones!$AA$199),"dd mmm yy"))&amp;" "&amp;Milestones!$AB$199&amp;" "&amp;IF(AND(Milestones!$AB$199="FT",Milestones!$AA$199=FT_Y5,EDATE($D69,Milestones!$AA$199)&lt;PolicyEff),1,Milestones!$AC$199)&amp;";  ",""))</f>
        <v/>
      </c>
      <c r="X69" s="0" t="str">
        <f aca="false">IF(Staff!$A69="","",Staff!$AM69)</f>
        <v/>
      </c>
      <c r="Y69" s="0" t="str">
        <f aca="false">IF(Staff!$A69="","",Staff!$AO69)</f>
        <v/>
      </c>
      <c r="Z69" s="0" t="str">
        <f aca="false">IF(Staff!$A69="","",Staff!$AP69)</f>
        <v/>
      </c>
      <c r="AA69" s="0" t="str">
        <f aca="false">IF(Staff!$A69="","",Staff!$AT69)</f>
        <v/>
      </c>
      <c r="AB69" s="0" t="str">
        <f aca="false">IF(Staff!$A69="","",Staff!$AU69)</f>
        <v/>
      </c>
      <c r="AC69" s="0" t="str">
        <f aca="false">IF(Staff!$A69="","",Staff!$AV69)</f>
        <v/>
      </c>
      <c r="AD69" s="0" t="str">
        <f aca="false">IF(Staff!$A69="","",Staff!$AW69)</f>
        <v/>
      </c>
    </row>
    <row r="70" customFormat="false" ht="15" hidden="false" customHeight="false" outlineLevel="0" collapsed="false">
      <c r="A70" s="16" t="str">
        <f aca="false">IF(Staff!$A70="","",Staff!$A70)</f>
        <v/>
      </c>
      <c r="B70" s="16" t="str">
        <f aca="false">IF(Staff!$A70="","",Staff!$B70)</f>
        <v/>
      </c>
      <c r="C70" s="16" t="str">
        <f aca="false">IF(Staff!$A70="","",Staff!$C70)</f>
        <v/>
      </c>
      <c r="D70" s="14" t="str">
        <f aca="false">IF(Staff!$A70="","",Staff!$AL70)</f>
        <v/>
      </c>
      <c r="E70" s="16" t="str">
        <f aca="false">IF(Staff!$A70="","",Staff!$O70)</f>
        <v/>
      </c>
      <c r="F70" s="16" t="str">
        <f aca="false">IF(E70="","",E70*HoursPerDay)</f>
        <v/>
      </c>
      <c r="G70" s="16" t="str">
        <f aca="false">IF(Staff!$A70="","",Staff!$AE70)</f>
        <v/>
      </c>
      <c r="H70" s="28" t="str">
        <f aca="false">IF($A70="","",I70&amp;J70&amp;K70&amp;L70&amp;M70&amp;N70&amp;O70&amp;P70&amp;Q70&amp;R70&amp;S70&amp;T70&amp;U70&amp;V70&amp;W70)</f>
        <v/>
      </c>
      <c r="I70" s="0" t="str">
        <f aca="false">IF(OR($A70="",$D70=""),"",IF(AND(EDATE($D70,Milestones!$AA$20)&lt;=AsOfDate,EDATE($D70,Milestones!$AA$20)&gt;=SchemeStart,IF($X70=0,$AD70,IF(AND($Z70&lt;&gt;"",EDATE($D70,Milestones!$AA$20)&gt;=$Z70),$AC70,IF(AND($Y70&lt;&gt;"",EDATE($D70,Milestones!$AA$20)&gt;=$Y70),$AB70,$AA70)))=Milestones!$AB$20),UPPER(TEXT(EDATE($D70,Milestones!$AA$20),"dd mmm yy"))&amp;" "&amp;Milestones!$AB$20&amp;" "&amp;IF(AND(Milestones!$AB$20="FT",Milestones!$AA$20=FT_Y5,EDATE($D70,Milestones!$AA$20)&lt;PolicyEff),1,Milestones!$AC$20)&amp;";  ","")&amp;IF(AND(EDATE($D70,Milestones!$AA$21)&lt;=AsOfDate,EDATE($D70,Milestones!$AA$21)&gt;=SchemeStart,IF($X70=0,$AD70,IF(AND($Z70&lt;&gt;"",EDATE($D70,Milestones!$AA$21)&gt;=$Z70),$AC70,IF(AND($Y70&lt;&gt;"",EDATE($D70,Milestones!$AA$21)&gt;=$Y70),$AB70,$AA70)))=Milestones!$AB$21),UPPER(TEXT(EDATE($D70,Milestones!$AA$21),"dd mmm yy"))&amp;" "&amp;Milestones!$AB$21&amp;" "&amp;IF(AND(Milestones!$AB$21="FT",Milestones!$AA$21=FT_Y5,EDATE($D70,Milestones!$AA$21)&lt;PolicyEff),1,Milestones!$AC$21)&amp;";  ","")&amp;IF(AND(EDATE($D70,Milestones!$AA$22)&lt;=AsOfDate,EDATE($D70,Milestones!$AA$22)&gt;=SchemeStart,IF($X70=0,$AD70,IF(AND($Z70&lt;&gt;"",EDATE($D70,Milestones!$AA$22)&gt;=$Z70),$AC70,IF(AND($Y70&lt;&gt;"",EDATE($D70,Milestones!$AA$22)&gt;=$Y70),$AB70,$AA70)))=Milestones!$AB$22),UPPER(TEXT(EDATE($D70,Milestones!$AA$22),"dd mmm yy"))&amp;" "&amp;Milestones!$AB$22&amp;" "&amp;IF(AND(Milestones!$AB$22="FT",Milestones!$AA$22=FT_Y5,EDATE($D70,Milestones!$AA$22)&lt;PolicyEff),1,Milestones!$AC$22)&amp;";  ","")&amp;IF(AND(EDATE($D70,Milestones!$AA$23)&lt;=AsOfDate,EDATE($D70,Milestones!$AA$23)&gt;=SchemeStart,IF($X70=0,$AD70,IF(AND($Z70&lt;&gt;"",EDATE($D70,Milestones!$AA$23)&gt;=$Z70),$AC70,IF(AND($Y70&lt;&gt;"",EDATE($D70,Milestones!$AA$23)&gt;=$Y70),$AB70,$AA70)))=Milestones!$AB$23),UPPER(TEXT(EDATE($D70,Milestones!$AA$23),"dd mmm yy"))&amp;" "&amp;Milestones!$AB$23&amp;" "&amp;IF(AND(Milestones!$AB$23="FT",Milestones!$AA$23=FT_Y5,EDATE($D70,Milestones!$AA$23)&lt;PolicyEff),1,Milestones!$AC$23)&amp;";  ","")&amp;IF(AND(EDATE($D70,Milestones!$AA$24)&lt;=AsOfDate,EDATE($D70,Milestones!$AA$24)&gt;=SchemeStart,IF($X70=0,$AD70,IF(AND($Z70&lt;&gt;"",EDATE($D70,Milestones!$AA$24)&gt;=$Z70),$AC70,IF(AND($Y70&lt;&gt;"",EDATE($D70,Milestones!$AA$24)&gt;=$Y70),$AB70,$AA70)))=Milestones!$AB$24),UPPER(TEXT(EDATE($D70,Milestones!$AA$24),"dd mmm yy"))&amp;" "&amp;Milestones!$AB$24&amp;" "&amp;IF(AND(Milestones!$AB$24="FT",Milestones!$AA$24=FT_Y5,EDATE($D70,Milestones!$AA$24)&lt;PolicyEff),1,Milestones!$AC$24)&amp;";  ","")&amp;IF(AND(EDATE($D70,Milestones!$AA$25)&lt;=AsOfDate,EDATE($D70,Milestones!$AA$25)&gt;=SchemeStart,IF($X70=0,$AD70,IF(AND($Z70&lt;&gt;"",EDATE($D70,Milestones!$AA$25)&gt;=$Z70),$AC70,IF(AND($Y70&lt;&gt;"",EDATE($D70,Milestones!$AA$25)&gt;=$Y70),$AB70,$AA70)))=Milestones!$AB$25),UPPER(TEXT(EDATE($D70,Milestones!$AA$25),"dd mmm yy"))&amp;" "&amp;Milestones!$AB$25&amp;" "&amp;IF(AND(Milestones!$AB$25="FT",Milestones!$AA$25=FT_Y5,EDATE($D70,Milestones!$AA$25)&lt;PolicyEff),1,Milestones!$AC$25)&amp;";  ","")&amp;IF(AND(EDATE($D70,Milestones!$AA$26)&lt;=AsOfDate,EDATE($D70,Milestones!$AA$26)&gt;=SchemeStart,IF($X70=0,$AD70,IF(AND($Z70&lt;&gt;"",EDATE($D70,Milestones!$AA$26)&gt;=$Z70),$AC70,IF(AND($Y70&lt;&gt;"",EDATE($D70,Milestones!$AA$26)&gt;=$Y70),$AB70,$AA70)))=Milestones!$AB$26),UPPER(TEXT(EDATE($D70,Milestones!$AA$26),"dd mmm yy"))&amp;" "&amp;Milestones!$AB$26&amp;" "&amp;IF(AND(Milestones!$AB$26="FT",Milestones!$AA$26=FT_Y5,EDATE($D70,Milestones!$AA$26)&lt;PolicyEff),1,Milestones!$AC$26)&amp;";  ","")&amp;IF(AND(EDATE($D70,Milestones!$AA$27)&lt;=AsOfDate,EDATE($D70,Milestones!$AA$27)&gt;=SchemeStart,IF($X70=0,$AD70,IF(AND($Z70&lt;&gt;"",EDATE($D70,Milestones!$AA$27)&gt;=$Z70),$AC70,IF(AND($Y70&lt;&gt;"",EDATE($D70,Milestones!$AA$27)&gt;=$Y70),$AB70,$AA70)))=Milestones!$AB$27),UPPER(TEXT(EDATE($D70,Milestones!$AA$27),"dd mmm yy"))&amp;" "&amp;Milestones!$AB$27&amp;" "&amp;IF(AND(Milestones!$AB$27="FT",Milestones!$AA$27=FT_Y5,EDATE($D70,Milestones!$AA$27)&lt;PolicyEff),1,Milestones!$AC$27)&amp;";  ","")&amp;IF(AND(EDATE($D70,Milestones!$AA$28)&lt;=AsOfDate,EDATE($D70,Milestones!$AA$28)&gt;=SchemeStart,IF($X70=0,$AD70,IF(AND($Z70&lt;&gt;"",EDATE($D70,Milestones!$AA$28)&gt;=$Z70),$AC70,IF(AND($Y70&lt;&gt;"",EDATE($D70,Milestones!$AA$28)&gt;=$Y70),$AB70,$AA70)))=Milestones!$AB$28),UPPER(TEXT(EDATE($D70,Milestones!$AA$28),"dd mmm yy"))&amp;" "&amp;Milestones!$AB$28&amp;" "&amp;IF(AND(Milestones!$AB$28="FT",Milestones!$AA$28=FT_Y5,EDATE($D70,Milestones!$AA$28)&lt;PolicyEff),1,Milestones!$AC$28)&amp;";  ","")&amp;IF(AND(EDATE($D70,Milestones!$AA$29)&lt;=AsOfDate,EDATE($D70,Milestones!$AA$29)&gt;=SchemeStart,IF($X70=0,$AD70,IF(AND($Z70&lt;&gt;"",EDATE($D70,Milestones!$AA$29)&gt;=$Z70),$AC70,IF(AND($Y70&lt;&gt;"",EDATE($D70,Milestones!$AA$29)&gt;=$Y70),$AB70,$AA70)))=Milestones!$AB$29),UPPER(TEXT(EDATE($D70,Milestones!$AA$29),"dd mmm yy"))&amp;" "&amp;Milestones!$AB$29&amp;" "&amp;IF(AND(Milestones!$AB$29="FT",Milestones!$AA$29=FT_Y5,EDATE($D70,Milestones!$AA$29)&lt;PolicyEff),1,Milestones!$AC$29)&amp;";  ","")&amp;IF(AND(EDATE($D70,Milestones!$AA$30)&lt;=AsOfDate,EDATE($D70,Milestones!$AA$30)&gt;=SchemeStart,IF($X70=0,$AD70,IF(AND($Z70&lt;&gt;"",EDATE($D70,Milestones!$AA$30)&gt;=$Z70),$AC70,IF(AND($Y70&lt;&gt;"",EDATE($D70,Milestones!$AA$30)&gt;=$Y70),$AB70,$AA70)))=Milestones!$AB$30),UPPER(TEXT(EDATE($D70,Milestones!$AA$30),"dd mmm yy"))&amp;" "&amp;Milestones!$AB$30&amp;" "&amp;IF(AND(Milestones!$AB$30="FT",Milestones!$AA$30=FT_Y5,EDATE($D70,Milestones!$AA$30)&lt;PolicyEff),1,Milestones!$AC$30)&amp;";  ","")&amp;IF(AND(EDATE($D70,Milestones!$AA$31)&lt;=AsOfDate,EDATE($D70,Milestones!$AA$31)&gt;=SchemeStart,IF($X70=0,$AD70,IF(AND($Z70&lt;&gt;"",EDATE($D70,Milestones!$AA$31)&gt;=$Z70),$AC70,IF(AND($Y70&lt;&gt;"",EDATE($D70,Milestones!$AA$31)&gt;=$Y70),$AB70,$AA70)))=Milestones!$AB$31),UPPER(TEXT(EDATE($D70,Milestones!$AA$31),"dd mmm yy"))&amp;" "&amp;Milestones!$AB$31&amp;" "&amp;IF(AND(Milestones!$AB$31="FT",Milestones!$AA$31=FT_Y5,EDATE($D70,Milestones!$AA$31)&lt;PolicyEff),1,Milestones!$AC$31)&amp;";  ",""))</f>
        <v/>
      </c>
      <c r="J70" s="0" t="str">
        <f aca="false">IF(OR($A70="",$D70=""),"",IF(AND(EDATE($D70,Milestones!$AA$32)&lt;=AsOfDate,EDATE($D70,Milestones!$AA$32)&gt;=SchemeStart,IF($X70=0,$AD70,IF(AND($Z70&lt;&gt;"",EDATE($D70,Milestones!$AA$32)&gt;=$Z70),$AC70,IF(AND($Y70&lt;&gt;"",EDATE($D70,Milestones!$AA$32)&gt;=$Y70),$AB70,$AA70)))=Milestones!$AB$32),UPPER(TEXT(EDATE($D70,Milestones!$AA$32),"dd mmm yy"))&amp;" "&amp;Milestones!$AB$32&amp;" "&amp;IF(AND(Milestones!$AB$32="FT",Milestones!$AA$32=FT_Y5,EDATE($D70,Milestones!$AA$32)&lt;PolicyEff),1,Milestones!$AC$32)&amp;";  ","")&amp;IF(AND(EDATE($D70,Milestones!$AA$33)&lt;=AsOfDate,EDATE($D70,Milestones!$AA$33)&gt;=SchemeStart,IF($X70=0,$AD70,IF(AND($Z70&lt;&gt;"",EDATE($D70,Milestones!$AA$33)&gt;=$Z70),$AC70,IF(AND($Y70&lt;&gt;"",EDATE($D70,Milestones!$AA$33)&gt;=$Y70),$AB70,$AA70)))=Milestones!$AB$33),UPPER(TEXT(EDATE($D70,Milestones!$AA$33),"dd mmm yy"))&amp;" "&amp;Milestones!$AB$33&amp;" "&amp;IF(AND(Milestones!$AB$33="FT",Milestones!$AA$33=FT_Y5,EDATE($D70,Milestones!$AA$33)&lt;PolicyEff),1,Milestones!$AC$33)&amp;";  ","")&amp;IF(AND(EDATE($D70,Milestones!$AA$34)&lt;=AsOfDate,EDATE($D70,Milestones!$AA$34)&gt;=SchemeStart,IF($X70=0,$AD70,IF(AND($Z70&lt;&gt;"",EDATE($D70,Milestones!$AA$34)&gt;=$Z70),$AC70,IF(AND($Y70&lt;&gt;"",EDATE($D70,Milestones!$AA$34)&gt;=$Y70),$AB70,$AA70)))=Milestones!$AB$34),UPPER(TEXT(EDATE($D70,Milestones!$AA$34),"dd mmm yy"))&amp;" "&amp;Milestones!$AB$34&amp;" "&amp;IF(AND(Milestones!$AB$34="FT",Milestones!$AA$34=FT_Y5,EDATE($D70,Milestones!$AA$34)&lt;PolicyEff),1,Milestones!$AC$34)&amp;";  ","")&amp;IF(AND(EDATE($D70,Milestones!$AA$35)&lt;=AsOfDate,EDATE($D70,Milestones!$AA$35)&gt;=SchemeStart,IF($X70=0,$AD70,IF(AND($Z70&lt;&gt;"",EDATE($D70,Milestones!$AA$35)&gt;=$Z70),$AC70,IF(AND($Y70&lt;&gt;"",EDATE($D70,Milestones!$AA$35)&gt;=$Y70),$AB70,$AA70)))=Milestones!$AB$35),UPPER(TEXT(EDATE($D70,Milestones!$AA$35),"dd mmm yy"))&amp;" "&amp;Milestones!$AB$35&amp;" "&amp;IF(AND(Milestones!$AB$35="FT",Milestones!$AA$35=FT_Y5,EDATE($D70,Milestones!$AA$35)&lt;PolicyEff),1,Milestones!$AC$35)&amp;";  ","")&amp;IF(AND(EDATE($D70,Milestones!$AA$36)&lt;=AsOfDate,EDATE($D70,Milestones!$AA$36)&gt;=SchemeStart,IF($X70=0,$AD70,IF(AND($Z70&lt;&gt;"",EDATE($D70,Milestones!$AA$36)&gt;=$Z70),$AC70,IF(AND($Y70&lt;&gt;"",EDATE($D70,Milestones!$AA$36)&gt;=$Y70),$AB70,$AA70)))=Milestones!$AB$36),UPPER(TEXT(EDATE($D70,Milestones!$AA$36),"dd mmm yy"))&amp;" "&amp;Milestones!$AB$36&amp;" "&amp;IF(AND(Milestones!$AB$36="FT",Milestones!$AA$36=FT_Y5,EDATE($D70,Milestones!$AA$36)&lt;PolicyEff),1,Milestones!$AC$36)&amp;";  ","")&amp;IF(AND(EDATE($D70,Milestones!$AA$37)&lt;=AsOfDate,EDATE($D70,Milestones!$AA$37)&gt;=SchemeStart,IF($X70=0,$AD70,IF(AND($Z70&lt;&gt;"",EDATE($D70,Milestones!$AA$37)&gt;=$Z70),$AC70,IF(AND($Y70&lt;&gt;"",EDATE($D70,Milestones!$AA$37)&gt;=$Y70),$AB70,$AA70)))=Milestones!$AB$37),UPPER(TEXT(EDATE($D70,Milestones!$AA$37),"dd mmm yy"))&amp;" "&amp;Milestones!$AB$37&amp;" "&amp;IF(AND(Milestones!$AB$37="FT",Milestones!$AA$37=FT_Y5,EDATE($D70,Milestones!$AA$37)&lt;PolicyEff),1,Milestones!$AC$37)&amp;";  ","")&amp;IF(AND(EDATE($D70,Milestones!$AA$38)&lt;=AsOfDate,EDATE($D70,Milestones!$AA$38)&gt;=SchemeStart,IF($X70=0,$AD70,IF(AND($Z70&lt;&gt;"",EDATE($D70,Milestones!$AA$38)&gt;=$Z70),$AC70,IF(AND($Y70&lt;&gt;"",EDATE($D70,Milestones!$AA$38)&gt;=$Y70),$AB70,$AA70)))=Milestones!$AB$38),UPPER(TEXT(EDATE($D70,Milestones!$AA$38),"dd mmm yy"))&amp;" "&amp;Milestones!$AB$38&amp;" "&amp;IF(AND(Milestones!$AB$38="FT",Milestones!$AA$38=FT_Y5,EDATE($D70,Milestones!$AA$38)&lt;PolicyEff),1,Milestones!$AC$38)&amp;";  ","")&amp;IF(AND(EDATE($D70,Milestones!$AA$39)&lt;=AsOfDate,EDATE($D70,Milestones!$AA$39)&gt;=SchemeStart,IF($X70=0,$AD70,IF(AND($Z70&lt;&gt;"",EDATE($D70,Milestones!$AA$39)&gt;=$Z70),$AC70,IF(AND($Y70&lt;&gt;"",EDATE($D70,Milestones!$AA$39)&gt;=$Y70),$AB70,$AA70)))=Milestones!$AB$39),UPPER(TEXT(EDATE($D70,Milestones!$AA$39),"dd mmm yy"))&amp;" "&amp;Milestones!$AB$39&amp;" "&amp;IF(AND(Milestones!$AB$39="FT",Milestones!$AA$39=FT_Y5,EDATE($D70,Milestones!$AA$39)&lt;PolicyEff),1,Milestones!$AC$39)&amp;";  ","")&amp;IF(AND(EDATE($D70,Milestones!$AA$40)&lt;=AsOfDate,EDATE($D70,Milestones!$AA$40)&gt;=SchemeStart,IF($X70=0,$AD70,IF(AND($Z70&lt;&gt;"",EDATE($D70,Milestones!$AA$40)&gt;=$Z70),$AC70,IF(AND($Y70&lt;&gt;"",EDATE($D70,Milestones!$AA$40)&gt;=$Y70),$AB70,$AA70)))=Milestones!$AB$40),UPPER(TEXT(EDATE($D70,Milestones!$AA$40),"dd mmm yy"))&amp;" "&amp;Milestones!$AB$40&amp;" "&amp;IF(AND(Milestones!$AB$40="FT",Milestones!$AA$40=FT_Y5,EDATE($D70,Milestones!$AA$40)&lt;PolicyEff),1,Milestones!$AC$40)&amp;";  ","")&amp;IF(AND(EDATE($D70,Milestones!$AA$41)&lt;=AsOfDate,EDATE($D70,Milestones!$AA$41)&gt;=SchemeStart,IF($X70=0,$AD70,IF(AND($Z70&lt;&gt;"",EDATE($D70,Milestones!$AA$41)&gt;=$Z70),$AC70,IF(AND($Y70&lt;&gt;"",EDATE($D70,Milestones!$AA$41)&gt;=$Y70),$AB70,$AA70)))=Milestones!$AB$41),UPPER(TEXT(EDATE($D70,Milestones!$AA$41),"dd mmm yy"))&amp;" "&amp;Milestones!$AB$41&amp;" "&amp;IF(AND(Milestones!$AB$41="FT",Milestones!$AA$41=FT_Y5,EDATE($D70,Milestones!$AA$41)&lt;PolicyEff),1,Milestones!$AC$41)&amp;";  ","")&amp;IF(AND(EDATE($D70,Milestones!$AA$42)&lt;=AsOfDate,EDATE($D70,Milestones!$AA$42)&gt;=SchemeStart,IF($X70=0,$AD70,IF(AND($Z70&lt;&gt;"",EDATE($D70,Milestones!$AA$42)&gt;=$Z70),$AC70,IF(AND($Y70&lt;&gt;"",EDATE($D70,Milestones!$AA$42)&gt;=$Y70),$AB70,$AA70)))=Milestones!$AB$42),UPPER(TEXT(EDATE($D70,Milestones!$AA$42),"dd mmm yy"))&amp;" "&amp;Milestones!$AB$42&amp;" "&amp;IF(AND(Milestones!$AB$42="FT",Milestones!$AA$42=FT_Y5,EDATE($D70,Milestones!$AA$42)&lt;PolicyEff),1,Milestones!$AC$42)&amp;";  ","")&amp;IF(AND(EDATE($D70,Milestones!$AA$43)&lt;=AsOfDate,EDATE($D70,Milestones!$AA$43)&gt;=SchemeStart,IF($X70=0,$AD70,IF(AND($Z70&lt;&gt;"",EDATE($D70,Milestones!$AA$43)&gt;=$Z70),$AC70,IF(AND($Y70&lt;&gt;"",EDATE($D70,Milestones!$AA$43)&gt;=$Y70),$AB70,$AA70)))=Milestones!$AB$43),UPPER(TEXT(EDATE($D70,Milestones!$AA$43),"dd mmm yy"))&amp;" "&amp;Milestones!$AB$43&amp;" "&amp;IF(AND(Milestones!$AB$43="FT",Milestones!$AA$43=FT_Y5,EDATE($D70,Milestones!$AA$43)&lt;PolicyEff),1,Milestones!$AC$43)&amp;";  ",""))</f>
        <v/>
      </c>
      <c r="K70" s="0" t="str">
        <f aca="false">IF(OR($A70="",$D70=""),"",IF(AND(EDATE($D70,Milestones!$AA$44)&lt;=AsOfDate,EDATE($D70,Milestones!$AA$44)&gt;=SchemeStart,IF($X70=0,$AD70,IF(AND($Z70&lt;&gt;"",EDATE($D70,Milestones!$AA$44)&gt;=$Z70),$AC70,IF(AND($Y70&lt;&gt;"",EDATE($D70,Milestones!$AA$44)&gt;=$Y70),$AB70,$AA70)))=Milestones!$AB$44),UPPER(TEXT(EDATE($D70,Milestones!$AA$44),"dd mmm yy"))&amp;" "&amp;Milestones!$AB$44&amp;" "&amp;IF(AND(Milestones!$AB$44="FT",Milestones!$AA$44=FT_Y5,EDATE($D70,Milestones!$AA$44)&lt;PolicyEff),1,Milestones!$AC$44)&amp;";  ","")&amp;IF(AND(EDATE($D70,Milestones!$AA$45)&lt;=AsOfDate,EDATE($D70,Milestones!$AA$45)&gt;=SchemeStart,IF($X70=0,$AD70,IF(AND($Z70&lt;&gt;"",EDATE($D70,Milestones!$AA$45)&gt;=$Z70),$AC70,IF(AND($Y70&lt;&gt;"",EDATE($D70,Milestones!$AA$45)&gt;=$Y70),$AB70,$AA70)))=Milestones!$AB$45),UPPER(TEXT(EDATE($D70,Milestones!$AA$45),"dd mmm yy"))&amp;" "&amp;Milestones!$AB$45&amp;" "&amp;IF(AND(Milestones!$AB$45="FT",Milestones!$AA$45=FT_Y5,EDATE($D70,Milestones!$AA$45)&lt;PolicyEff),1,Milestones!$AC$45)&amp;";  ","")&amp;IF(AND(EDATE($D70,Milestones!$AA$46)&lt;=AsOfDate,EDATE($D70,Milestones!$AA$46)&gt;=SchemeStart,IF($X70=0,$AD70,IF(AND($Z70&lt;&gt;"",EDATE($D70,Milestones!$AA$46)&gt;=$Z70),$AC70,IF(AND($Y70&lt;&gt;"",EDATE($D70,Milestones!$AA$46)&gt;=$Y70),$AB70,$AA70)))=Milestones!$AB$46),UPPER(TEXT(EDATE($D70,Milestones!$AA$46),"dd mmm yy"))&amp;" "&amp;Milestones!$AB$46&amp;" "&amp;IF(AND(Milestones!$AB$46="FT",Milestones!$AA$46=FT_Y5,EDATE($D70,Milestones!$AA$46)&lt;PolicyEff),1,Milestones!$AC$46)&amp;";  ","")&amp;IF(AND(EDATE($D70,Milestones!$AA$47)&lt;=AsOfDate,EDATE($D70,Milestones!$AA$47)&gt;=SchemeStart,IF($X70=0,$AD70,IF(AND($Z70&lt;&gt;"",EDATE($D70,Milestones!$AA$47)&gt;=$Z70),$AC70,IF(AND($Y70&lt;&gt;"",EDATE($D70,Milestones!$AA$47)&gt;=$Y70),$AB70,$AA70)))=Milestones!$AB$47),UPPER(TEXT(EDATE($D70,Milestones!$AA$47),"dd mmm yy"))&amp;" "&amp;Milestones!$AB$47&amp;" "&amp;IF(AND(Milestones!$AB$47="FT",Milestones!$AA$47=FT_Y5,EDATE($D70,Milestones!$AA$47)&lt;PolicyEff),1,Milestones!$AC$47)&amp;";  ","")&amp;IF(AND(EDATE($D70,Milestones!$AA$48)&lt;=AsOfDate,EDATE($D70,Milestones!$AA$48)&gt;=SchemeStart,IF($X70=0,$AD70,IF(AND($Z70&lt;&gt;"",EDATE($D70,Milestones!$AA$48)&gt;=$Z70),$AC70,IF(AND($Y70&lt;&gt;"",EDATE($D70,Milestones!$AA$48)&gt;=$Y70),$AB70,$AA70)))=Milestones!$AB$48),UPPER(TEXT(EDATE($D70,Milestones!$AA$48),"dd mmm yy"))&amp;" "&amp;Milestones!$AB$48&amp;" "&amp;IF(AND(Milestones!$AB$48="FT",Milestones!$AA$48=FT_Y5,EDATE($D70,Milestones!$AA$48)&lt;PolicyEff),1,Milestones!$AC$48)&amp;";  ","")&amp;IF(AND(EDATE($D70,Milestones!$AA$49)&lt;=AsOfDate,EDATE($D70,Milestones!$AA$49)&gt;=SchemeStart,IF($X70=0,$AD70,IF(AND($Z70&lt;&gt;"",EDATE($D70,Milestones!$AA$49)&gt;=$Z70),$AC70,IF(AND($Y70&lt;&gt;"",EDATE($D70,Milestones!$AA$49)&gt;=$Y70),$AB70,$AA70)))=Milestones!$AB$49),UPPER(TEXT(EDATE($D70,Milestones!$AA$49),"dd mmm yy"))&amp;" "&amp;Milestones!$AB$49&amp;" "&amp;IF(AND(Milestones!$AB$49="FT",Milestones!$AA$49=FT_Y5,EDATE($D70,Milestones!$AA$49)&lt;PolicyEff),1,Milestones!$AC$49)&amp;";  ","")&amp;IF(AND(EDATE($D70,Milestones!$AA$50)&lt;=AsOfDate,EDATE($D70,Milestones!$AA$50)&gt;=SchemeStart,IF($X70=0,$AD70,IF(AND($Z70&lt;&gt;"",EDATE($D70,Milestones!$AA$50)&gt;=$Z70),$AC70,IF(AND($Y70&lt;&gt;"",EDATE($D70,Milestones!$AA$50)&gt;=$Y70),$AB70,$AA70)))=Milestones!$AB$50),UPPER(TEXT(EDATE($D70,Milestones!$AA$50),"dd mmm yy"))&amp;" "&amp;Milestones!$AB$50&amp;" "&amp;IF(AND(Milestones!$AB$50="FT",Milestones!$AA$50=FT_Y5,EDATE($D70,Milestones!$AA$50)&lt;PolicyEff),1,Milestones!$AC$50)&amp;";  ","")&amp;IF(AND(EDATE($D70,Milestones!$AA$51)&lt;=AsOfDate,EDATE($D70,Milestones!$AA$51)&gt;=SchemeStart,IF($X70=0,$AD70,IF(AND($Z70&lt;&gt;"",EDATE($D70,Milestones!$AA$51)&gt;=$Z70),$AC70,IF(AND($Y70&lt;&gt;"",EDATE($D70,Milestones!$AA$51)&gt;=$Y70),$AB70,$AA70)))=Milestones!$AB$51),UPPER(TEXT(EDATE($D70,Milestones!$AA$51),"dd mmm yy"))&amp;" "&amp;Milestones!$AB$51&amp;" "&amp;IF(AND(Milestones!$AB$51="FT",Milestones!$AA$51=FT_Y5,EDATE($D70,Milestones!$AA$51)&lt;PolicyEff),1,Milestones!$AC$51)&amp;";  ","")&amp;IF(AND(EDATE($D70,Milestones!$AA$52)&lt;=AsOfDate,EDATE($D70,Milestones!$AA$52)&gt;=SchemeStart,IF($X70=0,$AD70,IF(AND($Z70&lt;&gt;"",EDATE($D70,Milestones!$AA$52)&gt;=$Z70),$AC70,IF(AND($Y70&lt;&gt;"",EDATE($D70,Milestones!$AA$52)&gt;=$Y70),$AB70,$AA70)))=Milestones!$AB$52),UPPER(TEXT(EDATE($D70,Milestones!$AA$52),"dd mmm yy"))&amp;" "&amp;Milestones!$AB$52&amp;" "&amp;IF(AND(Milestones!$AB$52="FT",Milestones!$AA$52=FT_Y5,EDATE($D70,Milestones!$AA$52)&lt;PolicyEff),1,Milestones!$AC$52)&amp;";  ","")&amp;IF(AND(EDATE($D70,Milestones!$AA$53)&lt;=AsOfDate,EDATE($D70,Milestones!$AA$53)&gt;=SchemeStart,IF($X70=0,$AD70,IF(AND($Z70&lt;&gt;"",EDATE($D70,Milestones!$AA$53)&gt;=$Z70),$AC70,IF(AND($Y70&lt;&gt;"",EDATE($D70,Milestones!$AA$53)&gt;=$Y70),$AB70,$AA70)))=Milestones!$AB$53),UPPER(TEXT(EDATE($D70,Milestones!$AA$53),"dd mmm yy"))&amp;" "&amp;Milestones!$AB$53&amp;" "&amp;IF(AND(Milestones!$AB$53="FT",Milestones!$AA$53=FT_Y5,EDATE($D70,Milestones!$AA$53)&lt;PolicyEff),1,Milestones!$AC$53)&amp;";  ","")&amp;IF(AND(EDATE($D70,Milestones!$AA$54)&lt;=AsOfDate,EDATE($D70,Milestones!$AA$54)&gt;=SchemeStart,IF($X70=0,$AD70,IF(AND($Z70&lt;&gt;"",EDATE($D70,Milestones!$AA$54)&gt;=$Z70),$AC70,IF(AND($Y70&lt;&gt;"",EDATE($D70,Milestones!$AA$54)&gt;=$Y70),$AB70,$AA70)))=Milestones!$AB$54),UPPER(TEXT(EDATE($D70,Milestones!$AA$54),"dd mmm yy"))&amp;" "&amp;Milestones!$AB$54&amp;" "&amp;IF(AND(Milestones!$AB$54="FT",Milestones!$AA$54=FT_Y5,EDATE($D70,Milestones!$AA$54)&lt;PolicyEff),1,Milestones!$AC$54)&amp;";  ","")&amp;IF(AND(EDATE($D70,Milestones!$AA$55)&lt;=AsOfDate,EDATE($D70,Milestones!$AA$55)&gt;=SchemeStart,IF($X70=0,$AD70,IF(AND($Z70&lt;&gt;"",EDATE($D70,Milestones!$AA$55)&gt;=$Z70),$AC70,IF(AND($Y70&lt;&gt;"",EDATE($D70,Milestones!$AA$55)&gt;=$Y70),$AB70,$AA70)))=Milestones!$AB$55),UPPER(TEXT(EDATE($D70,Milestones!$AA$55),"dd mmm yy"))&amp;" "&amp;Milestones!$AB$55&amp;" "&amp;IF(AND(Milestones!$AB$55="FT",Milestones!$AA$55=FT_Y5,EDATE($D70,Milestones!$AA$55)&lt;PolicyEff),1,Milestones!$AC$55)&amp;";  ",""))</f>
        <v/>
      </c>
      <c r="L70" s="0" t="str">
        <f aca="false">IF(OR($A70="",$D70=""),"",IF(AND(EDATE($D70,Milestones!$AA$56)&lt;=AsOfDate,EDATE($D70,Milestones!$AA$56)&gt;=SchemeStart,IF($X70=0,$AD70,IF(AND($Z70&lt;&gt;"",EDATE($D70,Milestones!$AA$56)&gt;=$Z70),$AC70,IF(AND($Y70&lt;&gt;"",EDATE($D70,Milestones!$AA$56)&gt;=$Y70),$AB70,$AA70)))=Milestones!$AB$56),UPPER(TEXT(EDATE($D70,Milestones!$AA$56),"dd mmm yy"))&amp;" "&amp;Milestones!$AB$56&amp;" "&amp;IF(AND(Milestones!$AB$56="FT",Milestones!$AA$56=FT_Y5,EDATE($D70,Milestones!$AA$56)&lt;PolicyEff),1,Milestones!$AC$56)&amp;";  ","")&amp;IF(AND(EDATE($D70,Milestones!$AA$57)&lt;=AsOfDate,EDATE($D70,Milestones!$AA$57)&gt;=SchemeStart,IF($X70=0,$AD70,IF(AND($Z70&lt;&gt;"",EDATE($D70,Milestones!$AA$57)&gt;=$Z70),$AC70,IF(AND($Y70&lt;&gt;"",EDATE($D70,Milestones!$AA$57)&gt;=$Y70),$AB70,$AA70)))=Milestones!$AB$57),UPPER(TEXT(EDATE($D70,Milestones!$AA$57),"dd mmm yy"))&amp;" "&amp;Milestones!$AB$57&amp;" "&amp;IF(AND(Milestones!$AB$57="FT",Milestones!$AA$57=FT_Y5,EDATE($D70,Milestones!$AA$57)&lt;PolicyEff),1,Milestones!$AC$57)&amp;";  ","")&amp;IF(AND(EDATE($D70,Milestones!$AA$58)&lt;=AsOfDate,EDATE($D70,Milestones!$AA$58)&gt;=SchemeStart,IF($X70=0,$AD70,IF(AND($Z70&lt;&gt;"",EDATE($D70,Milestones!$AA$58)&gt;=$Z70),$AC70,IF(AND($Y70&lt;&gt;"",EDATE($D70,Milestones!$AA$58)&gt;=$Y70),$AB70,$AA70)))=Milestones!$AB$58),UPPER(TEXT(EDATE($D70,Milestones!$AA$58),"dd mmm yy"))&amp;" "&amp;Milestones!$AB$58&amp;" "&amp;IF(AND(Milestones!$AB$58="FT",Milestones!$AA$58=FT_Y5,EDATE($D70,Milestones!$AA$58)&lt;PolicyEff),1,Milestones!$AC$58)&amp;";  ","")&amp;IF(AND(EDATE($D70,Milestones!$AA$59)&lt;=AsOfDate,EDATE($D70,Milestones!$AA$59)&gt;=SchemeStart,IF($X70=0,$AD70,IF(AND($Z70&lt;&gt;"",EDATE($D70,Milestones!$AA$59)&gt;=$Z70),$AC70,IF(AND($Y70&lt;&gt;"",EDATE($D70,Milestones!$AA$59)&gt;=$Y70),$AB70,$AA70)))=Milestones!$AB$59),UPPER(TEXT(EDATE($D70,Milestones!$AA$59),"dd mmm yy"))&amp;" "&amp;Milestones!$AB$59&amp;" "&amp;IF(AND(Milestones!$AB$59="FT",Milestones!$AA$59=FT_Y5,EDATE($D70,Milestones!$AA$59)&lt;PolicyEff),1,Milestones!$AC$59)&amp;";  ","")&amp;IF(AND(EDATE($D70,Milestones!$AA$60)&lt;=AsOfDate,EDATE($D70,Milestones!$AA$60)&gt;=SchemeStart,IF($X70=0,$AD70,IF(AND($Z70&lt;&gt;"",EDATE($D70,Milestones!$AA$60)&gt;=$Z70),$AC70,IF(AND($Y70&lt;&gt;"",EDATE($D70,Milestones!$AA$60)&gt;=$Y70),$AB70,$AA70)))=Milestones!$AB$60),UPPER(TEXT(EDATE($D70,Milestones!$AA$60),"dd mmm yy"))&amp;" "&amp;Milestones!$AB$60&amp;" "&amp;IF(AND(Milestones!$AB$60="FT",Milestones!$AA$60=FT_Y5,EDATE($D70,Milestones!$AA$60)&lt;PolicyEff),1,Milestones!$AC$60)&amp;";  ","")&amp;IF(AND(EDATE($D70,Milestones!$AA$61)&lt;=AsOfDate,EDATE($D70,Milestones!$AA$61)&gt;=SchemeStart,IF($X70=0,$AD70,IF(AND($Z70&lt;&gt;"",EDATE($D70,Milestones!$AA$61)&gt;=$Z70),$AC70,IF(AND($Y70&lt;&gt;"",EDATE($D70,Milestones!$AA$61)&gt;=$Y70),$AB70,$AA70)))=Milestones!$AB$61),UPPER(TEXT(EDATE($D70,Milestones!$AA$61),"dd mmm yy"))&amp;" "&amp;Milestones!$AB$61&amp;" "&amp;IF(AND(Milestones!$AB$61="FT",Milestones!$AA$61=FT_Y5,EDATE($D70,Milestones!$AA$61)&lt;PolicyEff),1,Milestones!$AC$61)&amp;";  ","")&amp;IF(AND(EDATE($D70,Milestones!$AA$62)&lt;=AsOfDate,EDATE($D70,Milestones!$AA$62)&gt;=SchemeStart,IF($X70=0,$AD70,IF(AND($Z70&lt;&gt;"",EDATE($D70,Milestones!$AA$62)&gt;=$Z70),$AC70,IF(AND($Y70&lt;&gt;"",EDATE($D70,Milestones!$AA$62)&gt;=$Y70),$AB70,$AA70)))=Milestones!$AB$62),UPPER(TEXT(EDATE($D70,Milestones!$AA$62),"dd mmm yy"))&amp;" "&amp;Milestones!$AB$62&amp;" "&amp;IF(AND(Milestones!$AB$62="FT",Milestones!$AA$62=FT_Y5,EDATE($D70,Milestones!$AA$62)&lt;PolicyEff),1,Milestones!$AC$62)&amp;";  ","")&amp;IF(AND(EDATE($D70,Milestones!$AA$63)&lt;=AsOfDate,EDATE($D70,Milestones!$AA$63)&gt;=SchemeStart,IF($X70=0,$AD70,IF(AND($Z70&lt;&gt;"",EDATE($D70,Milestones!$AA$63)&gt;=$Z70),$AC70,IF(AND($Y70&lt;&gt;"",EDATE($D70,Milestones!$AA$63)&gt;=$Y70),$AB70,$AA70)))=Milestones!$AB$63),UPPER(TEXT(EDATE($D70,Milestones!$AA$63),"dd mmm yy"))&amp;" "&amp;Milestones!$AB$63&amp;" "&amp;IF(AND(Milestones!$AB$63="FT",Milestones!$AA$63=FT_Y5,EDATE($D70,Milestones!$AA$63)&lt;PolicyEff),1,Milestones!$AC$63)&amp;";  ","")&amp;IF(AND(EDATE($D70,Milestones!$AA$64)&lt;=AsOfDate,EDATE($D70,Milestones!$AA$64)&gt;=SchemeStart,IF($X70=0,$AD70,IF(AND($Z70&lt;&gt;"",EDATE($D70,Milestones!$AA$64)&gt;=$Z70),$AC70,IF(AND($Y70&lt;&gt;"",EDATE($D70,Milestones!$AA$64)&gt;=$Y70),$AB70,$AA70)))=Milestones!$AB$64),UPPER(TEXT(EDATE($D70,Milestones!$AA$64),"dd mmm yy"))&amp;" "&amp;Milestones!$AB$64&amp;" "&amp;IF(AND(Milestones!$AB$64="FT",Milestones!$AA$64=FT_Y5,EDATE($D70,Milestones!$AA$64)&lt;PolicyEff),1,Milestones!$AC$64)&amp;";  ","")&amp;IF(AND(EDATE($D70,Milestones!$AA$65)&lt;=AsOfDate,EDATE($D70,Milestones!$AA$65)&gt;=SchemeStart,IF($X70=0,$AD70,IF(AND($Z70&lt;&gt;"",EDATE($D70,Milestones!$AA$65)&gt;=$Z70),$AC70,IF(AND($Y70&lt;&gt;"",EDATE($D70,Milestones!$AA$65)&gt;=$Y70),$AB70,$AA70)))=Milestones!$AB$65),UPPER(TEXT(EDATE($D70,Milestones!$AA$65),"dd mmm yy"))&amp;" "&amp;Milestones!$AB$65&amp;" "&amp;IF(AND(Milestones!$AB$65="FT",Milestones!$AA$65=FT_Y5,EDATE($D70,Milestones!$AA$65)&lt;PolicyEff),1,Milestones!$AC$65)&amp;";  ","")&amp;IF(AND(EDATE($D70,Milestones!$AA$66)&lt;=AsOfDate,EDATE($D70,Milestones!$AA$66)&gt;=SchemeStart,IF($X70=0,$AD70,IF(AND($Z70&lt;&gt;"",EDATE($D70,Milestones!$AA$66)&gt;=$Z70),$AC70,IF(AND($Y70&lt;&gt;"",EDATE($D70,Milestones!$AA$66)&gt;=$Y70),$AB70,$AA70)))=Milestones!$AB$66),UPPER(TEXT(EDATE($D70,Milestones!$AA$66),"dd mmm yy"))&amp;" "&amp;Milestones!$AB$66&amp;" "&amp;IF(AND(Milestones!$AB$66="FT",Milestones!$AA$66=FT_Y5,EDATE($D70,Milestones!$AA$66)&lt;PolicyEff),1,Milestones!$AC$66)&amp;";  ","")&amp;IF(AND(EDATE($D70,Milestones!$AA$67)&lt;=AsOfDate,EDATE($D70,Milestones!$AA$67)&gt;=SchemeStart,IF($X70=0,$AD70,IF(AND($Z70&lt;&gt;"",EDATE($D70,Milestones!$AA$67)&gt;=$Z70),$AC70,IF(AND($Y70&lt;&gt;"",EDATE($D70,Milestones!$AA$67)&gt;=$Y70),$AB70,$AA70)))=Milestones!$AB$67),UPPER(TEXT(EDATE($D70,Milestones!$AA$67),"dd mmm yy"))&amp;" "&amp;Milestones!$AB$67&amp;" "&amp;IF(AND(Milestones!$AB$67="FT",Milestones!$AA$67=FT_Y5,EDATE($D70,Milestones!$AA$67)&lt;PolicyEff),1,Milestones!$AC$67)&amp;";  ",""))</f>
        <v/>
      </c>
      <c r="M70" s="0" t="str">
        <f aca="false">IF(OR($A70="",$D70=""),"",IF(AND(EDATE($D70,Milestones!$AA$68)&lt;=AsOfDate,EDATE($D70,Milestones!$AA$68)&gt;=SchemeStart,IF($X70=0,$AD70,IF(AND($Z70&lt;&gt;"",EDATE($D70,Milestones!$AA$68)&gt;=$Z70),$AC70,IF(AND($Y70&lt;&gt;"",EDATE($D70,Milestones!$AA$68)&gt;=$Y70),$AB70,$AA70)))=Milestones!$AB$68),UPPER(TEXT(EDATE($D70,Milestones!$AA$68),"dd mmm yy"))&amp;" "&amp;Milestones!$AB$68&amp;" "&amp;IF(AND(Milestones!$AB$68="FT",Milestones!$AA$68=FT_Y5,EDATE($D70,Milestones!$AA$68)&lt;PolicyEff),1,Milestones!$AC$68)&amp;";  ","")&amp;IF(AND(EDATE($D70,Milestones!$AA$69)&lt;=AsOfDate,EDATE($D70,Milestones!$AA$69)&gt;=SchemeStart,IF($X70=0,$AD70,IF(AND($Z70&lt;&gt;"",EDATE($D70,Milestones!$AA$69)&gt;=$Z70),$AC70,IF(AND($Y70&lt;&gt;"",EDATE($D70,Milestones!$AA$69)&gt;=$Y70),$AB70,$AA70)))=Milestones!$AB$69),UPPER(TEXT(EDATE($D70,Milestones!$AA$69),"dd mmm yy"))&amp;" "&amp;Milestones!$AB$69&amp;" "&amp;IF(AND(Milestones!$AB$69="FT",Milestones!$AA$69=FT_Y5,EDATE($D70,Milestones!$AA$69)&lt;PolicyEff),1,Milestones!$AC$69)&amp;";  ","")&amp;IF(AND(EDATE($D70,Milestones!$AA$70)&lt;=AsOfDate,EDATE($D70,Milestones!$AA$70)&gt;=SchemeStart,IF($X70=0,$AD70,IF(AND($Z70&lt;&gt;"",EDATE($D70,Milestones!$AA$70)&gt;=$Z70),$AC70,IF(AND($Y70&lt;&gt;"",EDATE($D70,Milestones!$AA$70)&gt;=$Y70),$AB70,$AA70)))=Milestones!$AB$70),UPPER(TEXT(EDATE($D70,Milestones!$AA$70),"dd mmm yy"))&amp;" "&amp;Milestones!$AB$70&amp;" "&amp;IF(AND(Milestones!$AB$70="FT",Milestones!$AA$70=FT_Y5,EDATE($D70,Milestones!$AA$70)&lt;PolicyEff),1,Milestones!$AC$70)&amp;";  ","")&amp;IF(AND(EDATE($D70,Milestones!$AA$71)&lt;=AsOfDate,EDATE($D70,Milestones!$AA$71)&gt;=SchemeStart,IF($X70=0,$AD70,IF(AND($Z70&lt;&gt;"",EDATE($D70,Milestones!$AA$71)&gt;=$Z70),$AC70,IF(AND($Y70&lt;&gt;"",EDATE($D70,Milestones!$AA$71)&gt;=$Y70),$AB70,$AA70)))=Milestones!$AB$71),UPPER(TEXT(EDATE($D70,Milestones!$AA$71),"dd mmm yy"))&amp;" "&amp;Milestones!$AB$71&amp;" "&amp;IF(AND(Milestones!$AB$71="FT",Milestones!$AA$71=FT_Y5,EDATE($D70,Milestones!$AA$71)&lt;PolicyEff),1,Milestones!$AC$71)&amp;";  ","")&amp;IF(AND(EDATE($D70,Milestones!$AA$72)&lt;=AsOfDate,EDATE($D70,Milestones!$AA$72)&gt;=SchemeStart,IF($X70=0,$AD70,IF(AND($Z70&lt;&gt;"",EDATE($D70,Milestones!$AA$72)&gt;=$Z70),$AC70,IF(AND($Y70&lt;&gt;"",EDATE($D70,Milestones!$AA$72)&gt;=$Y70),$AB70,$AA70)))=Milestones!$AB$72),UPPER(TEXT(EDATE($D70,Milestones!$AA$72),"dd mmm yy"))&amp;" "&amp;Milestones!$AB$72&amp;" "&amp;IF(AND(Milestones!$AB$72="FT",Milestones!$AA$72=FT_Y5,EDATE($D70,Milestones!$AA$72)&lt;PolicyEff),1,Milestones!$AC$72)&amp;";  ","")&amp;IF(AND(EDATE($D70,Milestones!$AA$73)&lt;=AsOfDate,EDATE($D70,Milestones!$AA$73)&gt;=SchemeStart,IF($X70=0,$AD70,IF(AND($Z70&lt;&gt;"",EDATE($D70,Milestones!$AA$73)&gt;=$Z70),$AC70,IF(AND($Y70&lt;&gt;"",EDATE($D70,Milestones!$AA$73)&gt;=$Y70),$AB70,$AA70)))=Milestones!$AB$73),UPPER(TEXT(EDATE($D70,Milestones!$AA$73),"dd mmm yy"))&amp;" "&amp;Milestones!$AB$73&amp;" "&amp;IF(AND(Milestones!$AB$73="FT",Milestones!$AA$73=FT_Y5,EDATE($D70,Milestones!$AA$73)&lt;PolicyEff),1,Milestones!$AC$73)&amp;";  ","")&amp;IF(AND(EDATE($D70,Milestones!$AA$74)&lt;=AsOfDate,EDATE($D70,Milestones!$AA$74)&gt;=SchemeStart,IF($X70=0,$AD70,IF(AND($Z70&lt;&gt;"",EDATE($D70,Milestones!$AA$74)&gt;=$Z70),$AC70,IF(AND($Y70&lt;&gt;"",EDATE($D70,Milestones!$AA$74)&gt;=$Y70),$AB70,$AA70)))=Milestones!$AB$74),UPPER(TEXT(EDATE($D70,Milestones!$AA$74),"dd mmm yy"))&amp;" "&amp;Milestones!$AB$74&amp;" "&amp;IF(AND(Milestones!$AB$74="FT",Milestones!$AA$74=FT_Y5,EDATE($D70,Milestones!$AA$74)&lt;PolicyEff),1,Milestones!$AC$74)&amp;";  ","")&amp;IF(AND(EDATE($D70,Milestones!$AA$75)&lt;=AsOfDate,EDATE($D70,Milestones!$AA$75)&gt;=SchemeStart,IF($X70=0,$AD70,IF(AND($Z70&lt;&gt;"",EDATE($D70,Milestones!$AA$75)&gt;=$Z70),$AC70,IF(AND($Y70&lt;&gt;"",EDATE($D70,Milestones!$AA$75)&gt;=$Y70),$AB70,$AA70)))=Milestones!$AB$75),UPPER(TEXT(EDATE($D70,Milestones!$AA$75),"dd mmm yy"))&amp;" "&amp;Milestones!$AB$75&amp;" "&amp;IF(AND(Milestones!$AB$75="FT",Milestones!$AA$75=FT_Y5,EDATE($D70,Milestones!$AA$75)&lt;PolicyEff),1,Milestones!$AC$75)&amp;";  ","")&amp;IF(AND(EDATE($D70,Milestones!$AA$76)&lt;=AsOfDate,EDATE($D70,Milestones!$AA$76)&gt;=SchemeStart,IF($X70=0,$AD70,IF(AND($Z70&lt;&gt;"",EDATE($D70,Milestones!$AA$76)&gt;=$Z70),$AC70,IF(AND($Y70&lt;&gt;"",EDATE($D70,Milestones!$AA$76)&gt;=$Y70),$AB70,$AA70)))=Milestones!$AB$76),UPPER(TEXT(EDATE($D70,Milestones!$AA$76),"dd mmm yy"))&amp;" "&amp;Milestones!$AB$76&amp;" "&amp;IF(AND(Milestones!$AB$76="FT",Milestones!$AA$76=FT_Y5,EDATE($D70,Milestones!$AA$76)&lt;PolicyEff),1,Milestones!$AC$76)&amp;";  ","")&amp;IF(AND(EDATE($D70,Milestones!$AA$77)&lt;=AsOfDate,EDATE($D70,Milestones!$AA$77)&gt;=SchemeStart,IF($X70=0,$AD70,IF(AND($Z70&lt;&gt;"",EDATE($D70,Milestones!$AA$77)&gt;=$Z70),$AC70,IF(AND($Y70&lt;&gt;"",EDATE($D70,Milestones!$AA$77)&gt;=$Y70),$AB70,$AA70)))=Milestones!$AB$77),UPPER(TEXT(EDATE($D70,Milestones!$AA$77),"dd mmm yy"))&amp;" "&amp;Milestones!$AB$77&amp;" "&amp;IF(AND(Milestones!$AB$77="FT",Milestones!$AA$77=FT_Y5,EDATE($D70,Milestones!$AA$77)&lt;PolicyEff),1,Milestones!$AC$77)&amp;";  ","")&amp;IF(AND(EDATE($D70,Milestones!$AA$78)&lt;=AsOfDate,EDATE($D70,Milestones!$AA$78)&gt;=SchemeStart,IF($X70=0,$AD70,IF(AND($Z70&lt;&gt;"",EDATE($D70,Milestones!$AA$78)&gt;=$Z70),$AC70,IF(AND($Y70&lt;&gt;"",EDATE($D70,Milestones!$AA$78)&gt;=$Y70),$AB70,$AA70)))=Milestones!$AB$78),UPPER(TEXT(EDATE($D70,Milestones!$AA$78),"dd mmm yy"))&amp;" "&amp;Milestones!$AB$78&amp;" "&amp;IF(AND(Milestones!$AB$78="FT",Milestones!$AA$78=FT_Y5,EDATE($D70,Milestones!$AA$78)&lt;PolicyEff),1,Milestones!$AC$78)&amp;";  ","")&amp;IF(AND(EDATE($D70,Milestones!$AA$79)&lt;=AsOfDate,EDATE($D70,Milestones!$AA$79)&gt;=SchemeStart,IF($X70=0,$AD70,IF(AND($Z70&lt;&gt;"",EDATE($D70,Milestones!$AA$79)&gt;=$Z70),$AC70,IF(AND($Y70&lt;&gt;"",EDATE($D70,Milestones!$AA$79)&gt;=$Y70),$AB70,$AA70)))=Milestones!$AB$79),UPPER(TEXT(EDATE($D70,Milestones!$AA$79),"dd mmm yy"))&amp;" "&amp;Milestones!$AB$79&amp;" "&amp;IF(AND(Milestones!$AB$79="FT",Milestones!$AA$79=FT_Y5,EDATE($D70,Milestones!$AA$79)&lt;PolicyEff),1,Milestones!$AC$79)&amp;";  ",""))</f>
        <v/>
      </c>
      <c r="N70" s="0" t="str">
        <f aca="false">IF(OR($A70="",$D70=""),"",IF(AND(EDATE($D70,Milestones!$AA$80)&lt;=AsOfDate,EDATE($D70,Milestones!$AA$80)&gt;=SchemeStart,IF($X70=0,$AD70,IF(AND($Z70&lt;&gt;"",EDATE($D70,Milestones!$AA$80)&gt;=$Z70),$AC70,IF(AND($Y70&lt;&gt;"",EDATE($D70,Milestones!$AA$80)&gt;=$Y70),$AB70,$AA70)))=Milestones!$AB$80),UPPER(TEXT(EDATE($D70,Milestones!$AA$80),"dd mmm yy"))&amp;" "&amp;Milestones!$AB$80&amp;" "&amp;IF(AND(Milestones!$AB$80="FT",Milestones!$AA$80=FT_Y5,EDATE($D70,Milestones!$AA$80)&lt;PolicyEff),1,Milestones!$AC$80)&amp;";  ","")&amp;IF(AND(EDATE($D70,Milestones!$AA$81)&lt;=AsOfDate,EDATE($D70,Milestones!$AA$81)&gt;=SchemeStart,IF($X70=0,$AD70,IF(AND($Z70&lt;&gt;"",EDATE($D70,Milestones!$AA$81)&gt;=$Z70),$AC70,IF(AND($Y70&lt;&gt;"",EDATE($D70,Milestones!$AA$81)&gt;=$Y70),$AB70,$AA70)))=Milestones!$AB$81),UPPER(TEXT(EDATE($D70,Milestones!$AA$81),"dd mmm yy"))&amp;" "&amp;Milestones!$AB$81&amp;" "&amp;IF(AND(Milestones!$AB$81="FT",Milestones!$AA$81=FT_Y5,EDATE($D70,Milestones!$AA$81)&lt;PolicyEff),1,Milestones!$AC$81)&amp;";  ","")&amp;IF(AND(EDATE($D70,Milestones!$AA$82)&lt;=AsOfDate,EDATE($D70,Milestones!$AA$82)&gt;=SchemeStart,IF($X70=0,$AD70,IF(AND($Z70&lt;&gt;"",EDATE($D70,Milestones!$AA$82)&gt;=$Z70),$AC70,IF(AND($Y70&lt;&gt;"",EDATE($D70,Milestones!$AA$82)&gt;=$Y70),$AB70,$AA70)))=Milestones!$AB$82),UPPER(TEXT(EDATE($D70,Milestones!$AA$82),"dd mmm yy"))&amp;" "&amp;Milestones!$AB$82&amp;" "&amp;IF(AND(Milestones!$AB$82="FT",Milestones!$AA$82=FT_Y5,EDATE($D70,Milestones!$AA$82)&lt;PolicyEff),1,Milestones!$AC$82)&amp;";  ","")&amp;IF(AND(EDATE($D70,Milestones!$AA$83)&lt;=AsOfDate,EDATE($D70,Milestones!$AA$83)&gt;=SchemeStart,IF($X70=0,$AD70,IF(AND($Z70&lt;&gt;"",EDATE($D70,Milestones!$AA$83)&gt;=$Z70),$AC70,IF(AND($Y70&lt;&gt;"",EDATE($D70,Milestones!$AA$83)&gt;=$Y70),$AB70,$AA70)))=Milestones!$AB$83),UPPER(TEXT(EDATE($D70,Milestones!$AA$83),"dd mmm yy"))&amp;" "&amp;Milestones!$AB$83&amp;" "&amp;IF(AND(Milestones!$AB$83="FT",Milestones!$AA$83=FT_Y5,EDATE($D70,Milestones!$AA$83)&lt;PolicyEff),1,Milestones!$AC$83)&amp;";  ","")&amp;IF(AND(EDATE($D70,Milestones!$AA$84)&lt;=AsOfDate,EDATE($D70,Milestones!$AA$84)&gt;=SchemeStart,IF($X70=0,$AD70,IF(AND($Z70&lt;&gt;"",EDATE($D70,Milestones!$AA$84)&gt;=$Z70),$AC70,IF(AND($Y70&lt;&gt;"",EDATE($D70,Milestones!$AA$84)&gt;=$Y70),$AB70,$AA70)))=Milestones!$AB$84),UPPER(TEXT(EDATE($D70,Milestones!$AA$84),"dd mmm yy"))&amp;" "&amp;Milestones!$AB$84&amp;" "&amp;IF(AND(Milestones!$AB$84="FT",Milestones!$AA$84=FT_Y5,EDATE($D70,Milestones!$AA$84)&lt;PolicyEff),1,Milestones!$AC$84)&amp;";  ","")&amp;IF(AND(EDATE($D70,Milestones!$AA$85)&lt;=AsOfDate,EDATE($D70,Milestones!$AA$85)&gt;=SchemeStart,IF($X70=0,$AD70,IF(AND($Z70&lt;&gt;"",EDATE($D70,Milestones!$AA$85)&gt;=$Z70),$AC70,IF(AND($Y70&lt;&gt;"",EDATE($D70,Milestones!$AA$85)&gt;=$Y70),$AB70,$AA70)))=Milestones!$AB$85),UPPER(TEXT(EDATE($D70,Milestones!$AA$85),"dd mmm yy"))&amp;" "&amp;Milestones!$AB$85&amp;" "&amp;IF(AND(Milestones!$AB$85="FT",Milestones!$AA$85=FT_Y5,EDATE($D70,Milestones!$AA$85)&lt;PolicyEff),1,Milestones!$AC$85)&amp;";  ","")&amp;IF(AND(EDATE($D70,Milestones!$AA$86)&lt;=AsOfDate,EDATE($D70,Milestones!$AA$86)&gt;=SchemeStart,IF($X70=0,$AD70,IF(AND($Z70&lt;&gt;"",EDATE($D70,Milestones!$AA$86)&gt;=$Z70),$AC70,IF(AND($Y70&lt;&gt;"",EDATE($D70,Milestones!$AA$86)&gt;=$Y70),$AB70,$AA70)))=Milestones!$AB$86),UPPER(TEXT(EDATE($D70,Milestones!$AA$86),"dd mmm yy"))&amp;" "&amp;Milestones!$AB$86&amp;" "&amp;IF(AND(Milestones!$AB$86="FT",Milestones!$AA$86=FT_Y5,EDATE($D70,Milestones!$AA$86)&lt;PolicyEff),1,Milestones!$AC$86)&amp;";  ","")&amp;IF(AND(EDATE($D70,Milestones!$AA$87)&lt;=AsOfDate,EDATE($D70,Milestones!$AA$87)&gt;=SchemeStart,IF($X70=0,$AD70,IF(AND($Z70&lt;&gt;"",EDATE($D70,Milestones!$AA$87)&gt;=$Z70),$AC70,IF(AND($Y70&lt;&gt;"",EDATE($D70,Milestones!$AA$87)&gt;=$Y70),$AB70,$AA70)))=Milestones!$AB$87),UPPER(TEXT(EDATE($D70,Milestones!$AA$87),"dd mmm yy"))&amp;" "&amp;Milestones!$AB$87&amp;" "&amp;IF(AND(Milestones!$AB$87="FT",Milestones!$AA$87=FT_Y5,EDATE($D70,Milestones!$AA$87)&lt;PolicyEff),1,Milestones!$AC$87)&amp;";  ","")&amp;IF(AND(EDATE($D70,Milestones!$AA$88)&lt;=AsOfDate,EDATE($D70,Milestones!$AA$88)&gt;=SchemeStart,IF($X70=0,$AD70,IF(AND($Z70&lt;&gt;"",EDATE($D70,Milestones!$AA$88)&gt;=$Z70),$AC70,IF(AND($Y70&lt;&gt;"",EDATE($D70,Milestones!$AA$88)&gt;=$Y70),$AB70,$AA70)))=Milestones!$AB$88),UPPER(TEXT(EDATE($D70,Milestones!$AA$88),"dd mmm yy"))&amp;" "&amp;Milestones!$AB$88&amp;" "&amp;IF(AND(Milestones!$AB$88="FT",Milestones!$AA$88=FT_Y5,EDATE($D70,Milestones!$AA$88)&lt;PolicyEff),1,Milestones!$AC$88)&amp;";  ","")&amp;IF(AND(EDATE($D70,Milestones!$AA$89)&lt;=AsOfDate,EDATE($D70,Milestones!$AA$89)&gt;=SchemeStart,IF($X70=0,$AD70,IF(AND($Z70&lt;&gt;"",EDATE($D70,Milestones!$AA$89)&gt;=$Z70),$AC70,IF(AND($Y70&lt;&gt;"",EDATE($D70,Milestones!$AA$89)&gt;=$Y70),$AB70,$AA70)))=Milestones!$AB$89),UPPER(TEXT(EDATE($D70,Milestones!$AA$89),"dd mmm yy"))&amp;" "&amp;Milestones!$AB$89&amp;" "&amp;IF(AND(Milestones!$AB$89="FT",Milestones!$AA$89=FT_Y5,EDATE($D70,Milestones!$AA$89)&lt;PolicyEff),1,Milestones!$AC$89)&amp;";  ","")&amp;IF(AND(EDATE($D70,Milestones!$AA$90)&lt;=AsOfDate,EDATE($D70,Milestones!$AA$90)&gt;=SchemeStart,IF($X70=0,$AD70,IF(AND($Z70&lt;&gt;"",EDATE($D70,Milestones!$AA$90)&gt;=$Z70),$AC70,IF(AND($Y70&lt;&gt;"",EDATE($D70,Milestones!$AA$90)&gt;=$Y70),$AB70,$AA70)))=Milestones!$AB$90),UPPER(TEXT(EDATE($D70,Milestones!$AA$90),"dd mmm yy"))&amp;" "&amp;Milestones!$AB$90&amp;" "&amp;IF(AND(Milestones!$AB$90="FT",Milestones!$AA$90=FT_Y5,EDATE($D70,Milestones!$AA$90)&lt;PolicyEff),1,Milestones!$AC$90)&amp;";  ","")&amp;IF(AND(EDATE($D70,Milestones!$AA$91)&lt;=AsOfDate,EDATE($D70,Milestones!$AA$91)&gt;=SchemeStart,IF($X70=0,$AD70,IF(AND($Z70&lt;&gt;"",EDATE($D70,Milestones!$AA$91)&gt;=$Z70),$AC70,IF(AND($Y70&lt;&gt;"",EDATE($D70,Milestones!$AA$91)&gt;=$Y70),$AB70,$AA70)))=Milestones!$AB$91),UPPER(TEXT(EDATE($D70,Milestones!$AA$91),"dd mmm yy"))&amp;" "&amp;Milestones!$AB$91&amp;" "&amp;IF(AND(Milestones!$AB$91="FT",Milestones!$AA$91=FT_Y5,EDATE($D70,Milestones!$AA$91)&lt;PolicyEff),1,Milestones!$AC$91)&amp;";  ",""))</f>
        <v/>
      </c>
      <c r="O70" s="0" t="str">
        <f aca="false">IF(OR($A70="",$D70=""),"",IF(AND(EDATE($D70,Milestones!$AA$92)&lt;=AsOfDate,EDATE($D70,Milestones!$AA$92)&gt;=SchemeStart,IF($X70=0,$AD70,IF(AND($Z70&lt;&gt;"",EDATE($D70,Milestones!$AA$92)&gt;=$Z70),$AC70,IF(AND($Y70&lt;&gt;"",EDATE($D70,Milestones!$AA$92)&gt;=$Y70),$AB70,$AA70)))=Milestones!$AB$92),UPPER(TEXT(EDATE($D70,Milestones!$AA$92),"dd mmm yy"))&amp;" "&amp;Milestones!$AB$92&amp;" "&amp;IF(AND(Milestones!$AB$92="FT",Milestones!$AA$92=FT_Y5,EDATE($D70,Milestones!$AA$92)&lt;PolicyEff),1,Milestones!$AC$92)&amp;";  ","")&amp;IF(AND(EDATE($D70,Milestones!$AA$93)&lt;=AsOfDate,EDATE($D70,Milestones!$AA$93)&gt;=SchemeStart,IF($X70=0,$AD70,IF(AND($Z70&lt;&gt;"",EDATE($D70,Milestones!$AA$93)&gt;=$Z70),$AC70,IF(AND($Y70&lt;&gt;"",EDATE($D70,Milestones!$AA$93)&gt;=$Y70),$AB70,$AA70)))=Milestones!$AB$93),UPPER(TEXT(EDATE($D70,Milestones!$AA$93),"dd mmm yy"))&amp;" "&amp;Milestones!$AB$93&amp;" "&amp;IF(AND(Milestones!$AB$93="FT",Milestones!$AA$93=FT_Y5,EDATE($D70,Milestones!$AA$93)&lt;PolicyEff),1,Milestones!$AC$93)&amp;";  ","")&amp;IF(AND(EDATE($D70,Milestones!$AA$94)&lt;=AsOfDate,EDATE($D70,Milestones!$AA$94)&gt;=SchemeStart,IF($X70=0,$AD70,IF(AND($Z70&lt;&gt;"",EDATE($D70,Milestones!$AA$94)&gt;=$Z70),$AC70,IF(AND($Y70&lt;&gt;"",EDATE($D70,Milestones!$AA$94)&gt;=$Y70),$AB70,$AA70)))=Milestones!$AB$94),UPPER(TEXT(EDATE($D70,Milestones!$AA$94),"dd mmm yy"))&amp;" "&amp;Milestones!$AB$94&amp;" "&amp;IF(AND(Milestones!$AB$94="FT",Milestones!$AA$94=FT_Y5,EDATE($D70,Milestones!$AA$94)&lt;PolicyEff),1,Milestones!$AC$94)&amp;";  ","")&amp;IF(AND(EDATE($D70,Milestones!$AA$95)&lt;=AsOfDate,EDATE($D70,Milestones!$AA$95)&gt;=SchemeStart,IF($X70=0,$AD70,IF(AND($Z70&lt;&gt;"",EDATE($D70,Milestones!$AA$95)&gt;=$Z70),$AC70,IF(AND($Y70&lt;&gt;"",EDATE($D70,Milestones!$AA$95)&gt;=$Y70),$AB70,$AA70)))=Milestones!$AB$95),UPPER(TEXT(EDATE($D70,Milestones!$AA$95),"dd mmm yy"))&amp;" "&amp;Milestones!$AB$95&amp;" "&amp;IF(AND(Milestones!$AB$95="FT",Milestones!$AA$95=FT_Y5,EDATE($D70,Milestones!$AA$95)&lt;PolicyEff),1,Milestones!$AC$95)&amp;";  ","")&amp;IF(AND(EDATE($D70,Milestones!$AA$96)&lt;=AsOfDate,EDATE($D70,Milestones!$AA$96)&gt;=SchemeStart,IF($X70=0,$AD70,IF(AND($Z70&lt;&gt;"",EDATE($D70,Milestones!$AA$96)&gt;=$Z70),$AC70,IF(AND($Y70&lt;&gt;"",EDATE($D70,Milestones!$AA$96)&gt;=$Y70),$AB70,$AA70)))=Milestones!$AB$96),UPPER(TEXT(EDATE($D70,Milestones!$AA$96),"dd mmm yy"))&amp;" "&amp;Milestones!$AB$96&amp;" "&amp;IF(AND(Milestones!$AB$96="FT",Milestones!$AA$96=FT_Y5,EDATE($D70,Milestones!$AA$96)&lt;PolicyEff),1,Milestones!$AC$96)&amp;";  ","")&amp;IF(AND(EDATE($D70,Milestones!$AA$97)&lt;=AsOfDate,EDATE($D70,Milestones!$AA$97)&gt;=SchemeStart,IF($X70=0,$AD70,IF(AND($Z70&lt;&gt;"",EDATE($D70,Milestones!$AA$97)&gt;=$Z70),$AC70,IF(AND($Y70&lt;&gt;"",EDATE($D70,Milestones!$AA$97)&gt;=$Y70),$AB70,$AA70)))=Milestones!$AB$97),UPPER(TEXT(EDATE($D70,Milestones!$AA$97),"dd mmm yy"))&amp;" "&amp;Milestones!$AB$97&amp;" "&amp;IF(AND(Milestones!$AB$97="FT",Milestones!$AA$97=FT_Y5,EDATE($D70,Milestones!$AA$97)&lt;PolicyEff),1,Milestones!$AC$97)&amp;";  ","")&amp;IF(AND(EDATE($D70,Milestones!$AA$98)&lt;=AsOfDate,EDATE($D70,Milestones!$AA$98)&gt;=SchemeStart,IF($X70=0,$AD70,IF(AND($Z70&lt;&gt;"",EDATE($D70,Milestones!$AA$98)&gt;=$Z70),$AC70,IF(AND($Y70&lt;&gt;"",EDATE($D70,Milestones!$AA$98)&gt;=$Y70),$AB70,$AA70)))=Milestones!$AB$98),UPPER(TEXT(EDATE($D70,Milestones!$AA$98),"dd mmm yy"))&amp;" "&amp;Milestones!$AB$98&amp;" "&amp;IF(AND(Milestones!$AB$98="FT",Milestones!$AA$98=FT_Y5,EDATE($D70,Milestones!$AA$98)&lt;PolicyEff),1,Milestones!$AC$98)&amp;";  ","")&amp;IF(AND(EDATE($D70,Milestones!$AA$99)&lt;=AsOfDate,EDATE($D70,Milestones!$AA$99)&gt;=SchemeStart,IF($X70=0,$AD70,IF(AND($Z70&lt;&gt;"",EDATE($D70,Milestones!$AA$99)&gt;=$Z70),$AC70,IF(AND($Y70&lt;&gt;"",EDATE($D70,Milestones!$AA$99)&gt;=$Y70),$AB70,$AA70)))=Milestones!$AB$99),UPPER(TEXT(EDATE($D70,Milestones!$AA$99),"dd mmm yy"))&amp;" "&amp;Milestones!$AB$99&amp;" "&amp;IF(AND(Milestones!$AB$99="FT",Milestones!$AA$99=FT_Y5,EDATE($D70,Milestones!$AA$99)&lt;PolicyEff),1,Milestones!$AC$99)&amp;";  ","")&amp;IF(AND(EDATE($D70,Milestones!$AA$100)&lt;=AsOfDate,EDATE($D70,Milestones!$AA$100)&gt;=SchemeStart,IF($X70=0,$AD70,IF(AND($Z70&lt;&gt;"",EDATE($D70,Milestones!$AA$100)&gt;=$Z70),$AC70,IF(AND($Y70&lt;&gt;"",EDATE($D70,Milestones!$AA$100)&gt;=$Y70),$AB70,$AA70)))=Milestones!$AB$100),UPPER(TEXT(EDATE($D70,Milestones!$AA$100),"dd mmm yy"))&amp;" "&amp;Milestones!$AB$100&amp;" "&amp;IF(AND(Milestones!$AB$100="FT",Milestones!$AA$100=FT_Y5,EDATE($D70,Milestones!$AA$100)&lt;PolicyEff),1,Milestones!$AC$100)&amp;";  ","")&amp;IF(AND(EDATE($D70,Milestones!$AA$101)&lt;=AsOfDate,EDATE($D70,Milestones!$AA$101)&gt;=SchemeStart,IF($X70=0,$AD70,IF(AND($Z70&lt;&gt;"",EDATE($D70,Milestones!$AA$101)&gt;=$Z70),$AC70,IF(AND($Y70&lt;&gt;"",EDATE($D70,Milestones!$AA$101)&gt;=$Y70),$AB70,$AA70)))=Milestones!$AB$101),UPPER(TEXT(EDATE($D70,Milestones!$AA$101),"dd mmm yy"))&amp;" "&amp;Milestones!$AB$101&amp;" "&amp;IF(AND(Milestones!$AB$101="FT",Milestones!$AA$101=FT_Y5,EDATE($D70,Milestones!$AA$101)&lt;PolicyEff),1,Milestones!$AC$101)&amp;";  ","")&amp;IF(AND(EDATE($D70,Milestones!$AA$102)&lt;=AsOfDate,EDATE($D70,Milestones!$AA$102)&gt;=SchemeStart,IF($X70=0,$AD70,IF(AND($Z70&lt;&gt;"",EDATE($D70,Milestones!$AA$102)&gt;=$Z70),$AC70,IF(AND($Y70&lt;&gt;"",EDATE($D70,Milestones!$AA$102)&gt;=$Y70),$AB70,$AA70)))=Milestones!$AB$102),UPPER(TEXT(EDATE($D70,Milestones!$AA$102),"dd mmm yy"))&amp;" "&amp;Milestones!$AB$102&amp;" "&amp;IF(AND(Milestones!$AB$102="FT",Milestones!$AA$102=FT_Y5,EDATE($D70,Milestones!$AA$102)&lt;PolicyEff),1,Milestones!$AC$102)&amp;";  ","")&amp;IF(AND(EDATE($D70,Milestones!$AA$103)&lt;=AsOfDate,EDATE($D70,Milestones!$AA$103)&gt;=SchemeStart,IF($X70=0,$AD70,IF(AND($Z70&lt;&gt;"",EDATE($D70,Milestones!$AA$103)&gt;=$Z70),$AC70,IF(AND($Y70&lt;&gt;"",EDATE($D70,Milestones!$AA$103)&gt;=$Y70),$AB70,$AA70)))=Milestones!$AB$103),UPPER(TEXT(EDATE($D70,Milestones!$AA$103),"dd mmm yy"))&amp;" "&amp;Milestones!$AB$103&amp;" "&amp;IF(AND(Milestones!$AB$103="FT",Milestones!$AA$103=FT_Y5,EDATE($D70,Milestones!$AA$103)&lt;PolicyEff),1,Milestones!$AC$103)&amp;";  ",""))</f>
        <v/>
      </c>
      <c r="P70" s="0" t="str">
        <f aca="false">IF(OR($A70="",$D70=""),"",IF(AND(EDATE($D70,Milestones!$AA$104)&lt;=AsOfDate,EDATE($D70,Milestones!$AA$104)&gt;=SchemeStart,IF($X70=0,$AD70,IF(AND($Z70&lt;&gt;"",EDATE($D70,Milestones!$AA$104)&gt;=$Z70),$AC70,IF(AND($Y70&lt;&gt;"",EDATE($D70,Milestones!$AA$104)&gt;=$Y70),$AB70,$AA70)))=Milestones!$AB$104),UPPER(TEXT(EDATE($D70,Milestones!$AA$104),"dd mmm yy"))&amp;" "&amp;Milestones!$AB$104&amp;" "&amp;IF(AND(Milestones!$AB$104="FT",Milestones!$AA$104=FT_Y5,EDATE($D70,Milestones!$AA$104)&lt;PolicyEff),1,Milestones!$AC$104)&amp;";  ","")&amp;IF(AND(EDATE($D70,Milestones!$AA$105)&lt;=AsOfDate,EDATE($D70,Milestones!$AA$105)&gt;=SchemeStart,IF($X70=0,$AD70,IF(AND($Z70&lt;&gt;"",EDATE($D70,Milestones!$AA$105)&gt;=$Z70),$AC70,IF(AND($Y70&lt;&gt;"",EDATE($D70,Milestones!$AA$105)&gt;=$Y70),$AB70,$AA70)))=Milestones!$AB$105),UPPER(TEXT(EDATE($D70,Milestones!$AA$105),"dd mmm yy"))&amp;" "&amp;Milestones!$AB$105&amp;" "&amp;IF(AND(Milestones!$AB$105="FT",Milestones!$AA$105=FT_Y5,EDATE($D70,Milestones!$AA$105)&lt;PolicyEff),1,Milestones!$AC$105)&amp;";  ","")&amp;IF(AND(EDATE($D70,Milestones!$AA$106)&lt;=AsOfDate,EDATE($D70,Milestones!$AA$106)&gt;=SchemeStart,IF($X70=0,$AD70,IF(AND($Z70&lt;&gt;"",EDATE($D70,Milestones!$AA$106)&gt;=$Z70),$AC70,IF(AND($Y70&lt;&gt;"",EDATE($D70,Milestones!$AA$106)&gt;=$Y70),$AB70,$AA70)))=Milestones!$AB$106),UPPER(TEXT(EDATE($D70,Milestones!$AA$106),"dd mmm yy"))&amp;" "&amp;Milestones!$AB$106&amp;" "&amp;IF(AND(Milestones!$AB$106="FT",Milestones!$AA$106=FT_Y5,EDATE($D70,Milestones!$AA$106)&lt;PolicyEff),1,Milestones!$AC$106)&amp;";  ","")&amp;IF(AND(EDATE($D70,Milestones!$AA$107)&lt;=AsOfDate,EDATE($D70,Milestones!$AA$107)&gt;=SchemeStart,IF($X70=0,$AD70,IF(AND($Z70&lt;&gt;"",EDATE($D70,Milestones!$AA$107)&gt;=$Z70),$AC70,IF(AND($Y70&lt;&gt;"",EDATE($D70,Milestones!$AA$107)&gt;=$Y70),$AB70,$AA70)))=Milestones!$AB$107),UPPER(TEXT(EDATE($D70,Milestones!$AA$107),"dd mmm yy"))&amp;" "&amp;Milestones!$AB$107&amp;" "&amp;IF(AND(Milestones!$AB$107="FT",Milestones!$AA$107=FT_Y5,EDATE($D70,Milestones!$AA$107)&lt;PolicyEff),1,Milestones!$AC$107)&amp;";  ","")&amp;IF(AND(EDATE($D70,Milestones!$AA$108)&lt;=AsOfDate,EDATE($D70,Milestones!$AA$108)&gt;=SchemeStart,IF($X70=0,$AD70,IF(AND($Z70&lt;&gt;"",EDATE($D70,Milestones!$AA$108)&gt;=$Z70),$AC70,IF(AND($Y70&lt;&gt;"",EDATE($D70,Milestones!$AA$108)&gt;=$Y70),$AB70,$AA70)))=Milestones!$AB$108),UPPER(TEXT(EDATE($D70,Milestones!$AA$108),"dd mmm yy"))&amp;" "&amp;Milestones!$AB$108&amp;" "&amp;IF(AND(Milestones!$AB$108="FT",Milestones!$AA$108=FT_Y5,EDATE($D70,Milestones!$AA$108)&lt;PolicyEff),1,Milestones!$AC$108)&amp;";  ","")&amp;IF(AND(EDATE($D70,Milestones!$AA$109)&lt;=AsOfDate,EDATE($D70,Milestones!$AA$109)&gt;=SchemeStart,IF($X70=0,$AD70,IF(AND($Z70&lt;&gt;"",EDATE($D70,Milestones!$AA$109)&gt;=$Z70),$AC70,IF(AND($Y70&lt;&gt;"",EDATE($D70,Milestones!$AA$109)&gt;=$Y70),$AB70,$AA70)))=Milestones!$AB$109),UPPER(TEXT(EDATE($D70,Milestones!$AA$109),"dd mmm yy"))&amp;" "&amp;Milestones!$AB$109&amp;" "&amp;IF(AND(Milestones!$AB$109="FT",Milestones!$AA$109=FT_Y5,EDATE($D70,Milestones!$AA$109)&lt;PolicyEff),1,Milestones!$AC$109)&amp;";  ","")&amp;IF(AND(EDATE($D70,Milestones!$AA$110)&lt;=AsOfDate,EDATE($D70,Milestones!$AA$110)&gt;=SchemeStart,IF($X70=0,$AD70,IF(AND($Z70&lt;&gt;"",EDATE($D70,Milestones!$AA$110)&gt;=$Z70),$AC70,IF(AND($Y70&lt;&gt;"",EDATE($D70,Milestones!$AA$110)&gt;=$Y70),$AB70,$AA70)))=Milestones!$AB$110),UPPER(TEXT(EDATE($D70,Milestones!$AA$110),"dd mmm yy"))&amp;" "&amp;Milestones!$AB$110&amp;" "&amp;IF(AND(Milestones!$AB$110="FT",Milestones!$AA$110=FT_Y5,EDATE($D70,Milestones!$AA$110)&lt;PolicyEff),1,Milestones!$AC$110)&amp;";  ","")&amp;IF(AND(EDATE($D70,Milestones!$AA$111)&lt;=AsOfDate,EDATE($D70,Milestones!$AA$111)&gt;=SchemeStart,IF($X70=0,$AD70,IF(AND($Z70&lt;&gt;"",EDATE($D70,Milestones!$AA$111)&gt;=$Z70),$AC70,IF(AND($Y70&lt;&gt;"",EDATE($D70,Milestones!$AA$111)&gt;=$Y70),$AB70,$AA70)))=Milestones!$AB$111),UPPER(TEXT(EDATE($D70,Milestones!$AA$111),"dd mmm yy"))&amp;" "&amp;Milestones!$AB$111&amp;" "&amp;IF(AND(Milestones!$AB$111="FT",Milestones!$AA$111=FT_Y5,EDATE($D70,Milestones!$AA$111)&lt;PolicyEff),1,Milestones!$AC$111)&amp;";  ","")&amp;IF(AND(EDATE($D70,Milestones!$AA$112)&lt;=AsOfDate,EDATE($D70,Milestones!$AA$112)&gt;=SchemeStart,IF($X70=0,$AD70,IF(AND($Z70&lt;&gt;"",EDATE($D70,Milestones!$AA$112)&gt;=$Z70),$AC70,IF(AND($Y70&lt;&gt;"",EDATE($D70,Milestones!$AA$112)&gt;=$Y70),$AB70,$AA70)))=Milestones!$AB$112),UPPER(TEXT(EDATE($D70,Milestones!$AA$112),"dd mmm yy"))&amp;" "&amp;Milestones!$AB$112&amp;" "&amp;IF(AND(Milestones!$AB$112="FT",Milestones!$AA$112=FT_Y5,EDATE($D70,Milestones!$AA$112)&lt;PolicyEff),1,Milestones!$AC$112)&amp;";  ","")&amp;IF(AND(EDATE($D70,Milestones!$AA$113)&lt;=AsOfDate,EDATE($D70,Milestones!$AA$113)&gt;=SchemeStart,IF($X70=0,$AD70,IF(AND($Z70&lt;&gt;"",EDATE($D70,Milestones!$AA$113)&gt;=$Z70),$AC70,IF(AND($Y70&lt;&gt;"",EDATE($D70,Milestones!$AA$113)&gt;=$Y70),$AB70,$AA70)))=Milestones!$AB$113),UPPER(TEXT(EDATE($D70,Milestones!$AA$113),"dd mmm yy"))&amp;" "&amp;Milestones!$AB$113&amp;" "&amp;IF(AND(Milestones!$AB$113="FT",Milestones!$AA$113=FT_Y5,EDATE($D70,Milestones!$AA$113)&lt;PolicyEff),1,Milestones!$AC$113)&amp;";  ","")&amp;IF(AND(EDATE($D70,Milestones!$AA$114)&lt;=AsOfDate,EDATE($D70,Milestones!$AA$114)&gt;=SchemeStart,IF($X70=0,$AD70,IF(AND($Z70&lt;&gt;"",EDATE($D70,Milestones!$AA$114)&gt;=$Z70),$AC70,IF(AND($Y70&lt;&gt;"",EDATE($D70,Milestones!$AA$114)&gt;=$Y70),$AB70,$AA70)))=Milestones!$AB$114),UPPER(TEXT(EDATE($D70,Milestones!$AA$114),"dd mmm yy"))&amp;" "&amp;Milestones!$AB$114&amp;" "&amp;IF(AND(Milestones!$AB$114="FT",Milestones!$AA$114=FT_Y5,EDATE($D70,Milestones!$AA$114)&lt;PolicyEff),1,Milestones!$AC$114)&amp;";  ","")&amp;IF(AND(EDATE($D70,Milestones!$AA$115)&lt;=AsOfDate,EDATE($D70,Milestones!$AA$115)&gt;=SchemeStart,IF($X70=0,$AD70,IF(AND($Z70&lt;&gt;"",EDATE($D70,Milestones!$AA$115)&gt;=$Z70),$AC70,IF(AND($Y70&lt;&gt;"",EDATE($D70,Milestones!$AA$115)&gt;=$Y70),$AB70,$AA70)))=Milestones!$AB$115),UPPER(TEXT(EDATE($D70,Milestones!$AA$115),"dd mmm yy"))&amp;" "&amp;Milestones!$AB$115&amp;" "&amp;IF(AND(Milestones!$AB$115="FT",Milestones!$AA$115=FT_Y5,EDATE($D70,Milestones!$AA$115)&lt;PolicyEff),1,Milestones!$AC$115)&amp;";  ",""))</f>
        <v/>
      </c>
      <c r="Q70" s="0" t="str">
        <f aca="false">IF(OR($A70="",$D70=""),"",IF(AND(EDATE($D70,Milestones!$AA$116)&lt;=AsOfDate,EDATE($D70,Milestones!$AA$116)&gt;=SchemeStart,IF($X70=0,$AD70,IF(AND($Z70&lt;&gt;"",EDATE($D70,Milestones!$AA$116)&gt;=$Z70),$AC70,IF(AND($Y70&lt;&gt;"",EDATE($D70,Milestones!$AA$116)&gt;=$Y70),$AB70,$AA70)))=Milestones!$AB$116),UPPER(TEXT(EDATE($D70,Milestones!$AA$116),"dd mmm yy"))&amp;" "&amp;Milestones!$AB$116&amp;" "&amp;IF(AND(Milestones!$AB$116="FT",Milestones!$AA$116=FT_Y5,EDATE($D70,Milestones!$AA$116)&lt;PolicyEff),1,Milestones!$AC$116)&amp;";  ","")&amp;IF(AND(EDATE($D70,Milestones!$AA$117)&lt;=AsOfDate,EDATE($D70,Milestones!$AA$117)&gt;=SchemeStart,IF($X70=0,$AD70,IF(AND($Z70&lt;&gt;"",EDATE($D70,Milestones!$AA$117)&gt;=$Z70),$AC70,IF(AND($Y70&lt;&gt;"",EDATE($D70,Milestones!$AA$117)&gt;=$Y70),$AB70,$AA70)))=Milestones!$AB$117),UPPER(TEXT(EDATE($D70,Milestones!$AA$117),"dd mmm yy"))&amp;" "&amp;Milestones!$AB$117&amp;" "&amp;IF(AND(Milestones!$AB$117="FT",Milestones!$AA$117=FT_Y5,EDATE($D70,Milestones!$AA$117)&lt;PolicyEff),1,Milestones!$AC$117)&amp;";  ","")&amp;IF(AND(EDATE($D70,Milestones!$AA$118)&lt;=AsOfDate,EDATE($D70,Milestones!$AA$118)&gt;=SchemeStart,IF($X70=0,$AD70,IF(AND($Z70&lt;&gt;"",EDATE($D70,Milestones!$AA$118)&gt;=$Z70),$AC70,IF(AND($Y70&lt;&gt;"",EDATE($D70,Milestones!$AA$118)&gt;=$Y70),$AB70,$AA70)))=Milestones!$AB$118),UPPER(TEXT(EDATE($D70,Milestones!$AA$118),"dd mmm yy"))&amp;" "&amp;Milestones!$AB$118&amp;" "&amp;IF(AND(Milestones!$AB$118="FT",Milestones!$AA$118=FT_Y5,EDATE($D70,Milestones!$AA$118)&lt;PolicyEff),1,Milestones!$AC$118)&amp;";  ","")&amp;IF(AND(EDATE($D70,Milestones!$AA$119)&lt;=AsOfDate,EDATE($D70,Milestones!$AA$119)&gt;=SchemeStart,IF($X70=0,$AD70,IF(AND($Z70&lt;&gt;"",EDATE($D70,Milestones!$AA$119)&gt;=$Z70),$AC70,IF(AND($Y70&lt;&gt;"",EDATE($D70,Milestones!$AA$119)&gt;=$Y70),$AB70,$AA70)))=Milestones!$AB$119),UPPER(TEXT(EDATE($D70,Milestones!$AA$119),"dd mmm yy"))&amp;" "&amp;Milestones!$AB$119&amp;" "&amp;IF(AND(Milestones!$AB$119="FT",Milestones!$AA$119=FT_Y5,EDATE($D70,Milestones!$AA$119)&lt;PolicyEff),1,Milestones!$AC$119)&amp;";  ","")&amp;IF(AND(EDATE($D70,Milestones!$AA$120)&lt;=AsOfDate,EDATE($D70,Milestones!$AA$120)&gt;=SchemeStart,IF($X70=0,$AD70,IF(AND($Z70&lt;&gt;"",EDATE($D70,Milestones!$AA$120)&gt;=$Z70),$AC70,IF(AND($Y70&lt;&gt;"",EDATE($D70,Milestones!$AA$120)&gt;=$Y70),$AB70,$AA70)))=Milestones!$AB$120),UPPER(TEXT(EDATE($D70,Milestones!$AA$120),"dd mmm yy"))&amp;" "&amp;Milestones!$AB$120&amp;" "&amp;IF(AND(Milestones!$AB$120="FT",Milestones!$AA$120=FT_Y5,EDATE($D70,Milestones!$AA$120)&lt;PolicyEff),1,Milestones!$AC$120)&amp;";  ","")&amp;IF(AND(EDATE($D70,Milestones!$AA$121)&lt;=AsOfDate,EDATE($D70,Milestones!$AA$121)&gt;=SchemeStart,IF($X70=0,$AD70,IF(AND($Z70&lt;&gt;"",EDATE($D70,Milestones!$AA$121)&gt;=$Z70),$AC70,IF(AND($Y70&lt;&gt;"",EDATE($D70,Milestones!$AA$121)&gt;=$Y70),$AB70,$AA70)))=Milestones!$AB$121),UPPER(TEXT(EDATE($D70,Milestones!$AA$121),"dd mmm yy"))&amp;" "&amp;Milestones!$AB$121&amp;" "&amp;IF(AND(Milestones!$AB$121="FT",Milestones!$AA$121=FT_Y5,EDATE($D70,Milestones!$AA$121)&lt;PolicyEff),1,Milestones!$AC$121)&amp;";  ","")&amp;IF(AND(EDATE($D70,Milestones!$AA$122)&lt;=AsOfDate,EDATE($D70,Milestones!$AA$122)&gt;=SchemeStart,IF($X70=0,$AD70,IF(AND($Z70&lt;&gt;"",EDATE($D70,Milestones!$AA$122)&gt;=$Z70),$AC70,IF(AND($Y70&lt;&gt;"",EDATE($D70,Milestones!$AA$122)&gt;=$Y70),$AB70,$AA70)))=Milestones!$AB$122),UPPER(TEXT(EDATE($D70,Milestones!$AA$122),"dd mmm yy"))&amp;" "&amp;Milestones!$AB$122&amp;" "&amp;IF(AND(Milestones!$AB$122="FT",Milestones!$AA$122=FT_Y5,EDATE($D70,Milestones!$AA$122)&lt;PolicyEff),1,Milestones!$AC$122)&amp;";  ","")&amp;IF(AND(EDATE($D70,Milestones!$AA$123)&lt;=AsOfDate,EDATE($D70,Milestones!$AA$123)&gt;=SchemeStart,IF($X70=0,$AD70,IF(AND($Z70&lt;&gt;"",EDATE($D70,Milestones!$AA$123)&gt;=$Z70),$AC70,IF(AND($Y70&lt;&gt;"",EDATE($D70,Milestones!$AA$123)&gt;=$Y70),$AB70,$AA70)))=Milestones!$AB$123),UPPER(TEXT(EDATE($D70,Milestones!$AA$123),"dd mmm yy"))&amp;" "&amp;Milestones!$AB$123&amp;" "&amp;IF(AND(Milestones!$AB$123="FT",Milestones!$AA$123=FT_Y5,EDATE($D70,Milestones!$AA$123)&lt;PolicyEff),1,Milestones!$AC$123)&amp;";  ","")&amp;IF(AND(EDATE($D70,Milestones!$AA$124)&lt;=AsOfDate,EDATE($D70,Milestones!$AA$124)&gt;=SchemeStart,IF($X70=0,$AD70,IF(AND($Z70&lt;&gt;"",EDATE($D70,Milestones!$AA$124)&gt;=$Z70),$AC70,IF(AND($Y70&lt;&gt;"",EDATE($D70,Milestones!$AA$124)&gt;=$Y70),$AB70,$AA70)))=Milestones!$AB$124),UPPER(TEXT(EDATE($D70,Milestones!$AA$124),"dd mmm yy"))&amp;" "&amp;Milestones!$AB$124&amp;" "&amp;IF(AND(Milestones!$AB$124="FT",Milestones!$AA$124=FT_Y5,EDATE($D70,Milestones!$AA$124)&lt;PolicyEff),1,Milestones!$AC$124)&amp;";  ","")&amp;IF(AND(EDATE($D70,Milestones!$AA$125)&lt;=AsOfDate,EDATE($D70,Milestones!$AA$125)&gt;=SchemeStart,IF($X70=0,$AD70,IF(AND($Z70&lt;&gt;"",EDATE($D70,Milestones!$AA$125)&gt;=$Z70),$AC70,IF(AND($Y70&lt;&gt;"",EDATE($D70,Milestones!$AA$125)&gt;=$Y70),$AB70,$AA70)))=Milestones!$AB$125),UPPER(TEXT(EDATE($D70,Milestones!$AA$125),"dd mmm yy"))&amp;" "&amp;Milestones!$AB$125&amp;" "&amp;IF(AND(Milestones!$AB$125="FT",Milestones!$AA$125=FT_Y5,EDATE($D70,Milestones!$AA$125)&lt;PolicyEff),1,Milestones!$AC$125)&amp;";  ","")&amp;IF(AND(EDATE($D70,Milestones!$AA$126)&lt;=AsOfDate,EDATE($D70,Milestones!$AA$126)&gt;=SchemeStart,IF($X70=0,$AD70,IF(AND($Z70&lt;&gt;"",EDATE($D70,Milestones!$AA$126)&gt;=$Z70),$AC70,IF(AND($Y70&lt;&gt;"",EDATE($D70,Milestones!$AA$126)&gt;=$Y70),$AB70,$AA70)))=Milestones!$AB$126),UPPER(TEXT(EDATE($D70,Milestones!$AA$126),"dd mmm yy"))&amp;" "&amp;Milestones!$AB$126&amp;" "&amp;IF(AND(Milestones!$AB$126="FT",Milestones!$AA$126=FT_Y5,EDATE($D70,Milestones!$AA$126)&lt;PolicyEff),1,Milestones!$AC$126)&amp;";  ","")&amp;IF(AND(EDATE($D70,Milestones!$AA$127)&lt;=AsOfDate,EDATE($D70,Milestones!$AA$127)&gt;=SchemeStart,IF($X70=0,$AD70,IF(AND($Z70&lt;&gt;"",EDATE($D70,Milestones!$AA$127)&gt;=$Z70),$AC70,IF(AND($Y70&lt;&gt;"",EDATE($D70,Milestones!$AA$127)&gt;=$Y70),$AB70,$AA70)))=Milestones!$AB$127),UPPER(TEXT(EDATE($D70,Milestones!$AA$127),"dd mmm yy"))&amp;" "&amp;Milestones!$AB$127&amp;" "&amp;IF(AND(Milestones!$AB$127="FT",Milestones!$AA$127=FT_Y5,EDATE($D70,Milestones!$AA$127)&lt;PolicyEff),1,Milestones!$AC$127)&amp;";  ",""))</f>
        <v/>
      </c>
      <c r="R70" s="0" t="str">
        <f aca="false">IF(OR($A70="",$D70=""),"",IF(AND(EDATE($D70,Milestones!$AA$128)&lt;=AsOfDate,EDATE($D70,Milestones!$AA$128)&gt;=SchemeStart,IF($X70=0,$AD70,IF(AND($Z70&lt;&gt;"",EDATE($D70,Milestones!$AA$128)&gt;=$Z70),$AC70,IF(AND($Y70&lt;&gt;"",EDATE($D70,Milestones!$AA$128)&gt;=$Y70),$AB70,$AA70)))=Milestones!$AB$128),UPPER(TEXT(EDATE($D70,Milestones!$AA$128),"dd mmm yy"))&amp;" "&amp;Milestones!$AB$128&amp;" "&amp;IF(AND(Milestones!$AB$128="FT",Milestones!$AA$128=FT_Y5,EDATE($D70,Milestones!$AA$128)&lt;PolicyEff),1,Milestones!$AC$128)&amp;";  ","")&amp;IF(AND(EDATE($D70,Milestones!$AA$129)&lt;=AsOfDate,EDATE($D70,Milestones!$AA$129)&gt;=SchemeStart,IF($X70=0,$AD70,IF(AND($Z70&lt;&gt;"",EDATE($D70,Milestones!$AA$129)&gt;=$Z70),$AC70,IF(AND($Y70&lt;&gt;"",EDATE($D70,Milestones!$AA$129)&gt;=$Y70),$AB70,$AA70)))=Milestones!$AB$129),UPPER(TEXT(EDATE($D70,Milestones!$AA$129),"dd mmm yy"))&amp;" "&amp;Milestones!$AB$129&amp;" "&amp;IF(AND(Milestones!$AB$129="FT",Milestones!$AA$129=FT_Y5,EDATE($D70,Milestones!$AA$129)&lt;PolicyEff),1,Milestones!$AC$129)&amp;";  ","")&amp;IF(AND(EDATE($D70,Milestones!$AA$130)&lt;=AsOfDate,EDATE($D70,Milestones!$AA$130)&gt;=SchemeStart,IF($X70=0,$AD70,IF(AND($Z70&lt;&gt;"",EDATE($D70,Milestones!$AA$130)&gt;=$Z70),$AC70,IF(AND($Y70&lt;&gt;"",EDATE($D70,Milestones!$AA$130)&gt;=$Y70),$AB70,$AA70)))=Milestones!$AB$130),UPPER(TEXT(EDATE($D70,Milestones!$AA$130),"dd mmm yy"))&amp;" "&amp;Milestones!$AB$130&amp;" "&amp;IF(AND(Milestones!$AB$130="FT",Milestones!$AA$130=FT_Y5,EDATE($D70,Milestones!$AA$130)&lt;PolicyEff),1,Milestones!$AC$130)&amp;";  ","")&amp;IF(AND(EDATE($D70,Milestones!$AA$131)&lt;=AsOfDate,EDATE($D70,Milestones!$AA$131)&gt;=SchemeStart,IF($X70=0,$AD70,IF(AND($Z70&lt;&gt;"",EDATE($D70,Milestones!$AA$131)&gt;=$Z70),$AC70,IF(AND($Y70&lt;&gt;"",EDATE($D70,Milestones!$AA$131)&gt;=$Y70),$AB70,$AA70)))=Milestones!$AB$131),UPPER(TEXT(EDATE($D70,Milestones!$AA$131),"dd mmm yy"))&amp;" "&amp;Milestones!$AB$131&amp;" "&amp;IF(AND(Milestones!$AB$131="FT",Milestones!$AA$131=FT_Y5,EDATE($D70,Milestones!$AA$131)&lt;PolicyEff),1,Milestones!$AC$131)&amp;";  ","")&amp;IF(AND(EDATE($D70,Milestones!$AA$132)&lt;=AsOfDate,EDATE($D70,Milestones!$AA$132)&gt;=SchemeStart,IF($X70=0,$AD70,IF(AND($Z70&lt;&gt;"",EDATE($D70,Milestones!$AA$132)&gt;=$Z70),$AC70,IF(AND($Y70&lt;&gt;"",EDATE($D70,Milestones!$AA$132)&gt;=$Y70),$AB70,$AA70)))=Milestones!$AB$132),UPPER(TEXT(EDATE($D70,Milestones!$AA$132),"dd mmm yy"))&amp;" "&amp;Milestones!$AB$132&amp;" "&amp;IF(AND(Milestones!$AB$132="FT",Milestones!$AA$132=FT_Y5,EDATE($D70,Milestones!$AA$132)&lt;PolicyEff),1,Milestones!$AC$132)&amp;";  ","")&amp;IF(AND(EDATE($D70,Milestones!$AA$133)&lt;=AsOfDate,EDATE($D70,Milestones!$AA$133)&gt;=SchemeStart,IF($X70=0,$AD70,IF(AND($Z70&lt;&gt;"",EDATE($D70,Milestones!$AA$133)&gt;=$Z70),$AC70,IF(AND($Y70&lt;&gt;"",EDATE($D70,Milestones!$AA$133)&gt;=$Y70),$AB70,$AA70)))=Milestones!$AB$133),UPPER(TEXT(EDATE($D70,Milestones!$AA$133),"dd mmm yy"))&amp;" "&amp;Milestones!$AB$133&amp;" "&amp;IF(AND(Milestones!$AB$133="FT",Milestones!$AA$133=FT_Y5,EDATE($D70,Milestones!$AA$133)&lt;PolicyEff),1,Milestones!$AC$133)&amp;";  ","")&amp;IF(AND(EDATE($D70,Milestones!$AA$134)&lt;=AsOfDate,EDATE($D70,Milestones!$AA$134)&gt;=SchemeStart,IF($X70=0,$AD70,IF(AND($Z70&lt;&gt;"",EDATE($D70,Milestones!$AA$134)&gt;=$Z70),$AC70,IF(AND($Y70&lt;&gt;"",EDATE($D70,Milestones!$AA$134)&gt;=$Y70),$AB70,$AA70)))=Milestones!$AB$134),UPPER(TEXT(EDATE($D70,Milestones!$AA$134),"dd mmm yy"))&amp;" "&amp;Milestones!$AB$134&amp;" "&amp;IF(AND(Milestones!$AB$134="FT",Milestones!$AA$134=FT_Y5,EDATE($D70,Milestones!$AA$134)&lt;PolicyEff),1,Milestones!$AC$134)&amp;";  ","")&amp;IF(AND(EDATE($D70,Milestones!$AA$135)&lt;=AsOfDate,EDATE($D70,Milestones!$AA$135)&gt;=SchemeStart,IF($X70=0,$AD70,IF(AND($Z70&lt;&gt;"",EDATE($D70,Milestones!$AA$135)&gt;=$Z70),$AC70,IF(AND($Y70&lt;&gt;"",EDATE($D70,Milestones!$AA$135)&gt;=$Y70),$AB70,$AA70)))=Milestones!$AB$135),UPPER(TEXT(EDATE($D70,Milestones!$AA$135),"dd mmm yy"))&amp;" "&amp;Milestones!$AB$135&amp;" "&amp;IF(AND(Milestones!$AB$135="FT",Milestones!$AA$135=FT_Y5,EDATE($D70,Milestones!$AA$135)&lt;PolicyEff),1,Milestones!$AC$135)&amp;";  ","")&amp;IF(AND(EDATE($D70,Milestones!$AA$136)&lt;=AsOfDate,EDATE($D70,Milestones!$AA$136)&gt;=SchemeStart,IF($X70=0,$AD70,IF(AND($Z70&lt;&gt;"",EDATE($D70,Milestones!$AA$136)&gt;=$Z70),$AC70,IF(AND($Y70&lt;&gt;"",EDATE($D70,Milestones!$AA$136)&gt;=$Y70),$AB70,$AA70)))=Milestones!$AB$136),UPPER(TEXT(EDATE($D70,Milestones!$AA$136),"dd mmm yy"))&amp;" "&amp;Milestones!$AB$136&amp;" "&amp;IF(AND(Milestones!$AB$136="FT",Milestones!$AA$136=FT_Y5,EDATE($D70,Milestones!$AA$136)&lt;PolicyEff),1,Milestones!$AC$136)&amp;";  ","")&amp;IF(AND(EDATE($D70,Milestones!$AA$137)&lt;=AsOfDate,EDATE($D70,Milestones!$AA$137)&gt;=SchemeStart,IF($X70=0,$AD70,IF(AND($Z70&lt;&gt;"",EDATE($D70,Milestones!$AA$137)&gt;=$Z70),$AC70,IF(AND($Y70&lt;&gt;"",EDATE($D70,Milestones!$AA$137)&gt;=$Y70),$AB70,$AA70)))=Milestones!$AB$137),UPPER(TEXT(EDATE($D70,Milestones!$AA$137),"dd mmm yy"))&amp;" "&amp;Milestones!$AB$137&amp;" "&amp;IF(AND(Milestones!$AB$137="FT",Milestones!$AA$137=FT_Y5,EDATE($D70,Milestones!$AA$137)&lt;PolicyEff),1,Milestones!$AC$137)&amp;";  ","")&amp;IF(AND(EDATE($D70,Milestones!$AA$138)&lt;=AsOfDate,EDATE($D70,Milestones!$AA$138)&gt;=SchemeStart,IF($X70=0,$AD70,IF(AND($Z70&lt;&gt;"",EDATE($D70,Milestones!$AA$138)&gt;=$Z70),$AC70,IF(AND($Y70&lt;&gt;"",EDATE($D70,Milestones!$AA$138)&gt;=$Y70),$AB70,$AA70)))=Milestones!$AB$138),UPPER(TEXT(EDATE($D70,Milestones!$AA$138),"dd mmm yy"))&amp;" "&amp;Milestones!$AB$138&amp;" "&amp;IF(AND(Milestones!$AB$138="FT",Milestones!$AA$138=FT_Y5,EDATE($D70,Milestones!$AA$138)&lt;PolicyEff),1,Milestones!$AC$138)&amp;";  ","")&amp;IF(AND(EDATE($D70,Milestones!$AA$139)&lt;=AsOfDate,EDATE($D70,Milestones!$AA$139)&gt;=SchemeStart,IF($X70=0,$AD70,IF(AND($Z70&lt;&gt;"",EDATE($D70,Milestones!$AA$139)&gt;=$Z70),$AC70,IF(AND($Y70&lt;&gt;"",EDATE($D70,Milestones!$AA$139)&gt;=$Y70),$AB70,$AA70)))=Milestones!$AB$139),UPPER(TEXT(EDATE($D70,Milestones!$AA$139),"dd mmm yy"))&amp;" "&amp;Milestones!$AB$139&amp;" "&amp;IF(AND(Milestones!$AB$139="FT",Milestones!$AA$139=FT_Y5,EDATE($D70,Milestones!$AA$139)&lt;PolicyEff),1,Milestones!$AC$139)&amp;";  ",""))</f>
        <v/>
      </c>
      <c r="S70" s="0" t="str">
        <f aca="false">IF(OR($A70="",$D70=""),"",IF(AND(EDATE($D70,Milestones!$AA$140)&lt;=AsOfDate,EDATE($D70,Milestones!$AA$140)&gt;=SchemeStart,IF($X70=0,$AD70,IF(AND($Z70&lt;&gt;"",EDATE($D70,Milestones!$AA$140)&gt;=$Z70),$AC70,IF(AND($Y70&lt;&gt;"",EDATE($D70,Milestones!$AA$140)&gt;=$Y70),$AB70,$AA70)))=Milestones!$AB$140),UPPER(TEXT(EDATE($D70,Milestones!$AA$140),"dd mmm yy"))&amp;" "&amp;Milestones!$AB$140&amp;" "&amp;IF(AND(Milestones!$AB$140="FT",Milestones!$AA$140=FT_Y5,EDATE($D70,Milestones!$AA$140)&lt;PolicyEff),1,Milestones!$AC$140)&amp;";  ","")&amp;IF(AND(EDATE($D70,Milestones!$AA$141)&lt;=AsOfDate,EDATE($D70,Milestones!$AA$141)&gt;=SchemeStart,IF($X70=0,$AD70,IF(AND($Z70&lt;&gt;"",EDATE($D70,Milestones!$AA$141)&gt;=$Z70),$AC70,IF(AND($Y70&lt;&gt;"",EDATE($D70,Milestones!$AA$141)&gt;=$Y70),$AB70,$AA70)))=Milestones!$AB$141),UPPER(TEXT(EDATE($D70,Milestones!$AA$141),"dd mmm yy"))&amp;" "&amp;Milestones!$AB$141&amp;" "&amp;IF(AND(Milestones!$AB$141="FT",Milestones!$AA$141=FT_Y5,EDATE($D70,Milestones!$AA$141)&lt;PolicyEff),1,Milestones!$AC$141)&amp;";  ","")&amp;IF(AND(EDATE($D70,Milestones!$AA$142)&lt;=AsOfDate,EDATE($D70,Milestones!$AA$142)&gt;=SchemeStart,IF($X70=0,$AD70,IF(AND($Z70&lt;&gt;"",EDATE($D70,Milestones!$AA$142)&gt;=$Z70),$AC70,IF(AND($Y70&lt;&gt;"",EDATE($D70,Milestones!$AA$142)&gt;=$Y70),$AB70,$AA70)))=Milestones!$AB$142),UPPER(TEXT(EDATE($D70,Milestones!$AA$142),"dd mmm yy"))&amp;" "&amp;Milestones!$AB$142&amp;" "&amp;IF(AND(Milestones!$AB$142="FT",Milestones!$AA$142=FT_Y5,EDATE($D70,Milestones!$AA$142)&lt;PolicyEff),1,Milestones!$AC$142)&amp;";  ","")&amp;IF(AND(EDATE($D70,Milestones!$AA$143)&lt;=AsOfDate,EDATE($D70,Milestones!$AA$143)&gt;=SchemeStart,IF($X70=0,$AD70,IF(AND($Z70&lt;&gt;"",EDATE($D70,Milestones!$AA$143)&gt;=$Z70),$AC70,IF(AND($Y70&lt;&gt;"",EDATE($D70,Milestones!$AA$143)&gt;=$Y70),$AB70,$AA70)))=Milestones!$AB$143),UPPER(TEXT(EDATE($D70,Milestones!$AA$143),"dd mmm yy"))&amp;" "&amp;Milestones!$AB$143&amp;" "&amp;IF(AND(Milestones!$AB$143="FT",Milestones!$AA$143=FT_Y5,EDATE($D70,Milestones!$AA$143)&lt;PolicyEff),1,Milestones!$AC$143)&amp;";  ","")&amp;IF(AND(EDATE($D70,Milestones!$AA$144)&lt;=AsOfDate,EDATE($D70,Milestones!$AA$144)&gt;=SchemeStart,IF($X70=0,$AD70,IF(AND($Z70&lt;&gt;"",EDATE($D70,Milestones!$AA$144)&gt;=$Z70),$AC70,IF(AND($Y70&lt;&gt;"",EDATE($D70,Milestones!$AA$144)&gt;=$Y70),$AB70,$AA70)))=Milestones!$AB$144),UPPER(TEXT(EDATE($D70,Milestones!$AA$144),"dd mmm yy"))&amp;" "&amp;Milestones!$AB$144&amp;" "&amp;IF(AND(Milestones!$AB$144="FT",Milestones!$AA$144=FT_Y5,EDATE($D70,Milestones!$AA$144)&lt;PolicyEff),1,Milestones!$AC$144)&amp;";  ","")&amp;IF(AND(EDATE($D70,Milestones!$AA$145)&lt;=AsOfDate,EDATE($D70,Milestones!$AA$145)&gt;=SchemeStart,IF($X70=0,$AD70,IF(AND($Z70&lt;&gt;"",EDATE($D70,Milestones!$AA$145)&gt;=$Z70),$AC70,IF(AND($Y70&lt;&gt;"",EDATE($D70,Milestones!$AA$145)&gt;=$Y70),$AB70,$AA70)))=Milestones!$AB$145),UPPER(TEXT(EDATE($D70,Milestones!$AA$145),"dd mmm yy"))&amp;" "&amp;Milestones!$AB$145&amp;" "&amp;IF(AND(Milestones!$AB$145="FT",Milestones!$AA$145=FT_Y5,EDATE($D70,Milestones!$AA$145)&lt;PolicyEff),1,Milestones!$AC$145)&amp;";  ","")&amp;IF(AND(EDATE($D70,Milestones!$AA$146)&lt;=AsOfDate,EDATE($D70,Milestones!$AA$146)&gt;=SchemeStart,IF($X70=0,$AD70,IF(AND($Z70&lt;&gt;"",EDATE($D70,Milestones!$AA$146)&gt;=$Z70),$AC70,IF(AND($Y70&lt;&gt;"",EDATE($D70,Milestones!$AA$146)&gt;=$Y70),$AB70,$AA70)))=Milestones!$AB$146),UPPER(TEXT(EDATE($D70,Milestones!$AA$146),"dd mmm yy"))&amp;" "&amp;Milestones!$AB$146&amp;" "&amp;IF(AND(Milestones!$AB$146="FT",Milestones!$AA$146=FT_Y5,EDATE($D70,Milestones!$AA$146)&lt;PolicyEff),1,Milestones!$AC$146)&amp;";  ","")&amp;IF(AND(EDATE($D70,Milestones!$AA$147)&lt;=AsOfDate,EDATE($D70,Milestones!$AA$147)&gt;=SchemeStart,IF($X70=0,$AD70,IF(AND($Z70&lt;&gt;"",EDATE($D70,Milestones!$AA$147)&gt;=$Z70),$AC70,IF(AND($Y70&lt;&gt;"",EDATE($D70,Milestones!$AA$147)&gt;=$Y70),$AB70,$AA70)))=Milestones!$AB$147),UPPER(TEXT(EDATE($D70,Milestones!$AA$147),"dd mmm yy"))&amp;" "&amp;Milestones!$AB$147&amp;" "&amp;IF(AND(Milestones!$AB$147="FT",Milestones!$AA$147=FT_Y5,EDATE($D70,Milestones!$AA$147)&lt;PolicyEff),1,Milestones!$AC$147)&amp;";  ","")&amp;IF(AND(EDATE($D70,Milestones!$AA$148)&lt;=AsOfDate,EDATE($D70,Milestones!$AA$148)&gt;=SchemeStart,IF($X70=0,$AD70,IF(AND($Z70&lt;&gt;"",EDATE($D70,Milestones!$AA$148)&gt;=$Z70),$AC70,IF(AND($Y70&lt;&gt;"",EDATE($D70,Milestones!$AA$148)&gt;=$Y70),$AB70,$AA70)))=Milestones!$AB$148),UPPER(TEXT(EDATE($D70,Milestones!$AA$148),"dd mmm yy"))&amp;" "&amp;Milestones!$AB$148&amp;" "&amp;IF(AND(Milestones!$AB$148="FT",Milestones!$AA$148=FT_Y5,EDATE($D70,Milestones!$AA$148)&lt;PolicyEff),1,Milestones!$AC$148)&amp;";  ","")&amp;IF(AND(EDATE($D70,Milestones!$AA$149)&lt;=AsOfDate,EDATE($D70,Milestones!$AA$149)&gt;=SchemeStart,IF($X70=0,$AD70,IF(AND($Z70&lt;&gt;"",EDATE($D70,Milestones!$AA$149)&gt;=$Z70),$AC70,IF(AND($Y70&lt;&gt;"",EDATE($D70,Milestones!$AA$149)&gt;=$Y70),$AB70,$AA70)))=Milestones!$AB$149),UPPER(TEXT(EDATE($D70,Milestones!$AA$149),"dd mmm yy"))&amp;" "&amp;Milestones!$AB$149&amp;" "&amp;IF(AND(Milestones!$AB$149="FT",Milestones!$AA$149=FT_Y5,EDATE($D70,Milestones!$AA$149)&lt;PolicyEff),1,Milestones!$AC$149)&amp;";  ","")&amp;IF(AND(EDATE($D70,Milestones!$AA$150)&lt;=AsOfDate,EDATE($D70,Milestones!$AA$150)&gt;=SchemeStart,IF($X70=0,$AD70,IF(AND($Z70&lt;&gt;"",EDATE($D70,Milestones!$AA$150)&gt;=$Z70),$AC70,IF(AND($Y70&lt;&gt;"",EDATE($D70,Milestones!$AA$150)&gt;=$Y70),$AB70,$AA70)))=Milestones!$AB$150),UPPER(TEXT(EDATE($D70,Milestones!$AA$150),"dd mmm yy"))&amp;" "&amp;Milestones!$AB$150&amp;" "&amp;IF(AND(Milestones!$AB$150="FT",Milestones!$AA$150=FT_Y5,EDATE($D70,Milestones!$AA$150)&lt;PolicyEff),1,Milestones!$AC$150)&amp;";  ","")&amp;IF(AND(EDATE($D70,Milestones!$AA$151)&lt;=AsOfDate,EDATE($D70,Milestones!$AA$151)&gt;=SchemeStart,IF($X70=0,$AD70,IF(AND($Z70&lt;&gt;"",EDATE($D70,Milestones!$AA$151)&gt;=$Z70),$AC70,IF(AND($Y70&lt;&gt;"",EDATE($D70,Milestones!$AA$151)&gt;=$Y70),$AB70,$AA70)))=Milestones!$AB$151),UPPER(TEXT(EDATE($D70,Milestones!$AA$151),"dd mmm yy"))&amp;" "&amp;Milestones!$AB$151&amp;" "&amp;IF(AND(Milestones!$AB$151="FT",Milestones!$AA$151=FT_Y5,EDATE($D70,Milestones!$AA$151)&lt;PolicyEff),1,Milestones!$AC$151)&amp;";  ",""))</f>
        <v/>
      </c>
      <c r="T70" s="0" t="str">
        <f aca="false">IF(OR($A70="",$D70=""),"",IF(AND(EDATE($D70,Milestones!$AA$152)&lt;=AsOfDate,EDATE($D70,Milestones!$AA$152)&gt;=SchemeStart,IF($X70=0,$AD70,IF(AND($Z70&lt;&gt;"",EDATE($D70,Milestones!$AA$152)&gt;=$Z70),$AC70,IF(AND($Y70&lt;&gt;"",EDATE($D70,Milestones!$AA$152)&gt;=$Y70),$AB70,$AA70)))=Milestones!$AB$152),UPPER(TEXT(EDATE($D70,Milestones!$AA$152),"dd mmm yy"))&amp;" "&amp;Milestones!$AB$152&amp;" "&amp;IF(AND(Milestones!$AB$152="FT",Milestones!$AA$152=FT_Y5,EDATE($D70,Milestones!$AA$152)&lt;PolicyEff),1,Milestones!$AC$152)&amp;";  ","")&amp;IF(AND(EDATE($D70,Milestones!$AA$153)&lt;=AsOfDate,EDATE($D70,Milestones!$AA$153)&gt;=SchemeStart,IF($X70=0,$AD70,IF(AND($Z70&lt;&gt;"",EDATE($D70,Milestones!$AA$153)&gt;=$Z70),$AC70,IF(AND($Y70&lt;&gt;"",EDATE($D70,Milestones!$AA$153)&gt;=$Y70),$AB70,$AA70)))=Milestones!$AB$153),UPPER(TEXT(EDATE($D70,Milestones!$AA$153),"dd mmm yy"))&amp;" "&amp;Milestones!$AB$153&amp;" "&amp;IF(AND(Milestones!$AB$153="FT",Milestones!$AA$153=FT_Y5,EDATE($D70,Milestones!$AA$153)&lt;PolicyEff),1,Milestones!$AC$153)&amp;";  ","")&amp;IF(AND(EDATE($D70,Milestones!$AA$154)&lt;=AsOfDate,EDATE($D70,Milestones!$AA$154)&gt;=SchemeStart,IF($X70=0,$AD70,IF(AND($Z70&lt;&gt;"",EDATE($D70,Milestones!$AA$154)&gt;=$Z70),$AC70,IF(AND($Y70&lt;&gt;"",EDATE($D70,Milestones!$AA$154)&gt;=$Y70),$AB70,$AA70)))=Milestones!$AB$154),UPPER(TEXT(EDATE($D70,Milestones!$AA$154),"dd mmm yy"))&amp;" "&amp;Milestones!$AB$154&amp;" "&amp;IF(AND(Milestones!$AB$154="FT",Milestones!$AA$154=FT_Y5,EDATE($D70,Milestones!$AA$154)&lt;PolicyEff),1,Milestones!$AC$154)&amp;";  ","")&amp;IF(AND(EDATE($D70,Milestones!$AA$155)&lt;=AsOfDate,EDATE($D70,Milestones!$AA$155)&gt;=SchemeStart,IF($X70=0,$AD70,IF(AND($Z70&lt;&gt;"",EDATE($D70,Milestones!$AA$155)&gt;=$Z70),$AC70,IF(AND($Y70&lt;&gt;"",EDATE($D70,Milestones!$AA$155)&gt;=$Y70),$AB70,$AA70)))=Milestones!$AB$155),UPPER(TEXT(EDATE($D70,Milestones!$AA$155),"dd mmm yy"))&amp;" "&amp;Milestones!$AB$155&amp;" "&amp;IF(AND(Milestones!$AB$155="FT",Milestones!$AA$155=FT_Y5,EDATE($D70,Milestones!$AA$155)&lt;PolicyEff),1,Milestones!$AC$155)&amp;";  ","")&amp;IF(AND(EDATE($D70,Milestones!$AA$156)&lt;=AsOfDate,EDATE($D70,Milestones!$AA$156)&gt;=SchemeStart,IF($X70=0,$AD70,IF(AND($Z70&lt;&gt;"",EDATE($D70,Milestones!$AA$156)&gt;=$Z70),$AC70,IF(AND($Y70&lt;&gt;"",EDATE($D70,Milestones!$AA$156)&gt;=$Y70),$AB70,$AA70)))=Milestones!$AB$156),UPPER(TEXT(EDATE($D70,Milestones!$AA$156),"dd mmm yy"))&amp;" "&amp;Milestones!$AB$156&amp;" "&amp;IF(AND(Milestones!$AB$156="FT",Milestones!$AA$156=FT_Y5,EDATE($D70,Milestones!$AA$156)&lt;PolicyEff),1,Milestones!$AC$156)&amp;";  ","")&amp;IF(AND(EDATE($D70,Milestones!$AA$157)&lt;=AsOfDate,EDATE($D70,Milestones!$AA$157)&gt;=SchemeStart,IF($X70=0,$AD70,IF(AND($Z70&lt;&gt;"",EDATE($D70,Milestones!$AA$157)&gt;=$Z70),$AC70,IF(AND($Y70&lt;&gt;"",EDATE($D70,Milestones!$AA$157)&gt;=$Y70),$AB70,$AA70)))=Milestones!$AB$157),UPPER(TEXT(EDATE($D70,Milestones!$AA$157),"dd mmm yy"))&amp;" "&amp;Milestones!$AB$157&amp;" "&amp;IF(AND(Milestones!$AB$157="FT",Milestones!$AA$157=FT_Y5,EDATE($D70,Milestones!$AA$157)&lt;PolicyEff),1,Milestones!$AC$157)&amp;";  ","")&amp;IF(AND(EDATE($D70,Milestones!$AA$158)&lt;=AsOfDate,EDATE($D70,Milestones!$AA$158)&gt;=SchemeStart,IF($X70=0,$AD70,IF(AND($Z70&lt;&gt;"",EDATE($D70,Milestones!$AA$158)&gt;=$Z70),$AC70,IF(AND($Y70&lt;&gt;"",EDATE($D70,Milestones!$AA$158)&gt;=$Y70),$AB70,$AA70)))=Milestones!$AB$158),UPPER(TEXT(EDATE($D70,Milestones!$AA$158),"dd mmm yy"))&amp;" "&amp;Milestones!$AB$158&amp;" "&amp;IF(AND(Milestones!$AB$158="FT",Milestones!$AA$158=FT_Y5,EDATE($D70,Milestones!$AA$158)&lt;PolicyEff),1,Milestones!$AC$158)&amp;";  ","")&amp;IF(AND(EDATE($D70,Milestones!$AA$159)&lt;=AsOfDate,EDATE($D70,Milestones!$AA$159)&gt;=SchemeStart,IF($X70=0,$AD70,IF(AND($Z70&lt;&gt;"",EDATE($D70,Milestones!$AA$159)&gt;=$Z70),$AC70,IF(AND($Y70&lt;&gt;"",EDATE($D70,Milestones!$AA$159)&gt;=$Y70),$AB70,$AA70)))=Milestones!$AB$159),UPPER(TEXT(EDATE($D70,Milestones!$AA$159),"dd mmm yy"))&amp;" "&amp;Milestones!$AB$159&amp;" "&amp;IF(AND(Milestones!$AB$159="FT",Milestones!$AA$159=FT_Y5,EDATE($D70,Milestones!$AA$159)&lt;PolicyEff),1,Milestones!$AC$159)&amp;";  ","")&amp;IF(AND(EDATE($D70,Milestones!$AA$160)&lt;=AsOfDate,EDATE($D70,Milestones!$AA$160)&gt;=SchemeStart,IF($X70=0,$AD70,IF(AND($Z70&lt;&gt;"",EDATE($D70,Milestones!$AA$160)&gt;=$Z70),$AC70,IF(AND($Y70&lt;&gt;"",EDATE($D70,Milestones!$AA$160)&gt;=$Y70),$AB70,$AA70)))=Milestones!$AB$160),UPPER(TEXT(EDATE($D70,Milestones!$AA$160),"dd mmm yy"))&amp;" "&amp;Milestones!$AB$160&amp;" "&amp;IF(AND(Milestones!$AB$160="FT",Milestones!$AA$160=FT_Y5,EDATE($D70,Milestones!$AA$160)&lt;PolicyEff),1,Milestones!$AC$160)&amp;";  ","")&amp;IF(AND(EDATE($D70,Milestones!$AA$161)&lt;=AsOfDate,EDATE($D70,Milestones!$AA$161)&gt;=SchemeStart,IF($X70=0,$AD70,IF(AND($Z70&lt;&gt;"",EDATE($D70,Milestones!$AA$161)&gt;=$Z70),$AC70,IF(AND($Y70&lt;&gt;"",EDATE($D70,Milestones!$AA$161)&gt;=$Y70),$AB70,$AA70)))=Milestones!$AB$161),UPPER(TEXT(EDATE($D70,Milestones!$AA$161),"dd mmm yy"))&amp;" "&amp;Milestones!$AB$161&amp;" "&amp;IF(AND(Milestones!$AB$161="FT",Milestones!$AA$161=FT_Y5,EDATE($D70,Milestones!$AA$161)&lt;PolicyEff),1,Milestones!$AC$161)&amp;";  ","")&amp;IF(AND(EDATE($D70,Milestones!$AA$162)&lt;=AsOfDate,EDATE($D70,Milestones!$AA$162)&gt;=SchemeStart,IF($X70=0,$AD70,IF(AND($Z70&lt;&gt;"",EDATE($D70,Milestones!$AA$162)&gt;=$Z70),$AC70,IF(AND($Y70&lt;&gt;"",EDATE($D70,Milestones!$AA$162)&gt;=$Y70),$AB70,$AA70)))=Milestones!$AB$162),UPPER(TEXT(EDATE($D70,Milestones!$AA$162),"dd mmm yy"))&amp;" "&amp;Milestones!$AB$162&amp;" "&amp;IF(AND(Milestones!$AB$162="FT",Milestones!$AA$162=FT_Y5,EDATE($D70,Milestones!$AA$162)&lt;PolicyEff),1,Milestones!$AC$162)&amp;";  ","")&amp;IF(AND(EDATE($D70,Milestones!$AA$163)&lt;=AsOfDate,EDATE($D70,Milestones!$AA$163)&gt;=SchemeStart,IF($X70=0,$AD70,IF(AND($Z70&lt;&gt;"",EDATE($D70,Milestones!$AA$163)&gt;=$Z70),$AC70,IF(AND($Y70&lt;&gt;"",EDATE($D70,Milestones!$AA$163)&gt;=$Y70),$AB70,$AA70)))=Milestones!$AB$163),UPPER(TEXT(EDATE($D70,Milestones!$AA$163),"dd mmm yy"))&amp;" "&amp;Milestones!$AB$163&amp;" "&amp;IF(AND(Milestones!$AB$163="FT",Milestones!$AA$163=FT_Y5,EDATE($D70,Milestones!$AA$163)&lt;PolicyEff),1,Milestones!$AC$163)&amp;";  ",""))</f>
        <v/>
      </c>
      <c r="U70" s="0" t="str">
        <f aca="false">IF(OR($A70="",$D70=""),"",IF(AND(EDATE($D70,Milestones!$AA$164)&lt;=AsOfDate,EDATE($D70,Milestones!$AA$164)&gt;=SchemeStart,IF($X70=0,$AD70,IF(AND($Z70&lt;&gt;"",EDATE($D70,Milestones!$AA$164)&gt;=$Z70),$AC70,IF(AND($Y70&lt;&gt;"",EDATE($D70,Milestones!$AA$164)&gt;=$Y70),$AB70,$AA70)))=Milestones!$AB$164),UPPER(TEXT(EDATE($D70,Milestones!$AA$164),"dd mmm yy"))&amp;" "&amp;Milestones!$AB$164&amp;" "&amp;IF(AND(Milestones!$AB$164="FT",Milestones!$AA$164=FT_Y5,EDATE($D70,Milestones!$AA$164)&lt;PolicyEff),1,Milestones!$AC$164)&amp;";  ","")&amp;IF(AND(EDATE($D70,Milestones!$AA$165)&lt;=AsOfDate,EDATE($D70,Milestones!$AA$165)&gt;=SchemeStart,IF($X70=0,$AD70,IF(AND($Z70&lt;&gt;"",EDATE($D70,Milestones!$AA$165)&gt;=$Z70),$AC70,IF(AND($Y70&lt;&gt;"",EDATE($D70,Milestones!$AA$165)&gt;=$Y70),$AB70,$AA70)))=Milestones!$AB$165),UPPER(TEXT(EDATE($D70,Milestones!$AA$165),"dd mmm yy"))&amp;" "&amp;Milestones!$AB$165&amp;" "&amp;IF(AND(Milestones!$AB$165="FT",Milestones!$AA$165=FT_Y5,EDATE($D70,Milestones!$AA$165)&lt;PolicyEff),1,Milestones!$AC$165)&amp;";  ","")&amp;IF(AND(EDATE($D70,Milestones!$AA$166)&lt;=AsOfDate,EDATE($D70,Milestones!$AA$166)&gt;=SchemeStart,IF($X70=0,$AD70,IF(AND($Z70&lt;&gt;"",EDATE($D70,Milestones!$AA$166)&gt;=$Z70),$AC70,IF(AND($Y70&lt;&gt;"",EDATE($D70,Milestones!$AA$166)&gt;=$Y70),$AB70,$AA70)))=Milestones!$AB$166),UPPER(TEXT(EDATE($D70,Milestones!$AA$166),"dd mmm yy"))&amp;" "&amp;Milestones!$AB$166&amp;" "&amp;IF(AND(Milestones!$AB$166="FT",Milestones!$AA$166=FT_Y5,EDATE($D70,Milestones!$AA$166)&lt;PolicyEff),1,Milestones!$AC$166)&amp;";  ","")&amp;IF(AND(EDATE($D70,Milestones!$AA$167)&lt;=AsOfDate,EDATE($D70,Milestones!$AA$167)&gt;=SchemeStart,IF($X70=0,$AD70,IF(AND($Z70&lt;&gt;"",EDATE($D70,Milestones!$AA$167)&gt;=$Z70),$AC70,IF(AND($Y70&lt;&gt;"",EDATE($D70,Milestones!$AA$167)&gt;=$Y70),$AB70,$AA70)))=Milestones!$AB$167),UPPER(TEXT(EDATE($D70,Milestones!$AA$167),"dd mmm yy"))&amp;" "&amp;Milestones!$AB$167&amp;" "&amp;IF(AND(Milestones!$AB$167="FT",Milestones!$AA$167=FT_Y5,EDATE($D70,Milestones!$AA$167)&lt;PolicyEff),1,Milestones!$AC$167)&amp;";  ","")&amp;IF(AND(EDATE($D70,Milestones!$AA$168)&lt;=AsOfDate,EDATE($D70,Milestones!$AA$168)&gt;=SchemeStart,IF($X70=0,$AD70,IF(AND($Z70&lt;&gt;"",EDATE($D70,Milestones!$AA$168)&gt;=$Z70),$AC70,IF(AND($Y70&lt;&gt;"",EDATE($D70,Milestones!$AA$168)&gt;=$Y70),$AB70,$AA70)))=Milestones!$AB$168),UPPER(TEXT(EDATE($D70,Milestones!$AA$168),"dd mmm yy"))&amp;" "&amp;Milestones!$AB$168&amp;" "&amp;IF(AND(Milestones!$AB$168="FT",Milestones!$AA$168=FT_Y5,EDATE($D70,Milestones!$AA$168)&lt;PolicyEff),1,Milestones!$AC$168)&amp;";  ","")&amp;IF(AND(EDATE($D70,Milestones!$AA$169)&lt;=AsOfDate,EDATE($D70,Milestones!$AA$169)&gt;=SchemeStart,IF($X70=0,$AD70,IF(AND($Z70&lt;&gt;"",EDATE($D70,Milestones!$AA$169)&gt;=$Z70),$AC70,IF(AND($Y70&lt;&gt;"",EDATE($D70,Milestones!$AA$169)&gt;=$Y70),$AB70,$AA70)))=Milestones!$AB$169),UPPER(TEXT(EDATE($D70,Milestones!$AA$169),"dd mmm yy"))&amp;" "&amp;Milestones!$AB$169&amp;" "&amp;IF(AND(Milestones!$AB$169="FT",Milestones!$AA$169=FT_Y5,EDATE($D70,Milestones!$AA$169)&lt;PolicyEff),1,Milestones!$AC$169)&amp;";  ","")&amp;IF(AND(EDATE($D70,Milestones!$AA$170)&lt;=AsOfDate,EDATE($D70,Milestones!$AA$170)&gt;=SchemeStart,IF($X70=0,$AD70,IF(AND($Z70&lt;&gt;"",EDATE($D70,Milestones!$AA$170)&gt;=$Z70),$AC70,IF(AND($Y70&lt;&gt;"",EDATE($D70,Milestones!$AA$170)&gt;=$Y70),$AB70,$AA70)))=Milestones!$AB$170),UPPER(TEXT(EDATE($D70,Milestones!$AA$170),"dd mmm yy"))&amp;" "&amp;Milestones!$AB$170&amp;" "&amp;IF(AND(Milestones!$AB$170="FT",Milestones!$AA$170=FT_Y5,EDATE($D70,Milestones!$AA$170)&lt;PolicyEff),1,Milestones!$AC$170)&amp;";  ","")&amp;IF(AND(EDATE($D70,Milestones!$AA$171)&lt;=AsOfDate,EDATE($D70,Milestones!$AA$171)&gt;=SchemeStart,IF($X70=0,$AD70,IF(AND($Z70&lt;&gt;"",EDATE($D70,Milestones!$AA$171)&gt;=$Z70),$AC70,IF(AND($Y70&lt;&gt;"",EDATE($D70,Milestones!$AA$171)&gt;=$Y70),$AB70,$AA70)))=Milestones!$AB$171),UPPER(TEXT(EDATE($D70,Milestones!$AA$171),"dd mmm yy"))&amp;" "&amp;Milestones!$AB$171&amp;" "&amp;IF(AND(Milestones!$AB$171="FT",Milestones!$AA$171=FT_Y5,EDATE($D70,Milestones!$AA$171)&lt;PolicyEff),1,Milestones!$AC$171)&amp;";  ","")&amp;IF(AND(EDATE($D70,Milestones!$AA$172)&lt;=AsOfDate,EDATE($D70,Milestones!$AA$172)&gt;=SchemeStart,IF($X70=0,$AD70,IF(AND($Z70&lt;&gt;"",EDATE($D70,Milestones!$AA$172)&gt;=$Z70),$AC70,IF(AND($Y70&lt;&gt;"",EDATE($D70,Milestones!$AA$172)&gt;=$Y70),$AB70,$AA70)))=Milestones!$AB$172),UPPER(TEXT(EDATE($D70,Milestones!$AA$172),"dd mmm yy"))&amp;" "&amp;Milestones!$AB$172&amp;" "&amp;IF(AND(Milestones!$AB$172="FT",Milestones!$AA$172=FT_Y5,EDATE($D70,Milestones!$AA$172)&lt;PolicyEff),1,Milestones!$AC$172)&amp;";  ","")&amp;IF(AND(EDATE($D70,Milestones!$AA$173)&lt;=AsOfDate,EDATE($D70,Milestones!$AA$173)&gt;=SchemeStart,IF($X70=0,$AD70,IF(AND($Z70&lt;&gt;"",EDATE($D70,Milestones!$AA$173)&gt;=$Z70),$AC70,IF(AND($Y70&lt;&gt;"",EDATE($D70,Milestones!$AA$173)&gt;=$Y70),$AB70,$AA70)))=Milestones!$AB$173),UPPER(TEXT(EDATE($D70,Milestones!$AA$173),"dd mmm yy"))&amp;" "&amp;Milestones!$AB$173&amp;" "&amp;IF(AND(Milestones!$AB$173="FT",Milestones!$AA$173=FT_Y5,EDATE($D70,Milestones!$AA$173)&lt;PolicyEff),1,Milestones!$AC$173)&amp;";  ","")&amp;IF(AND(EDATE($D70,Milestones!$AA$174)&lt;=AsOfDate,EDATE($D70,Milestones!$AA$174)&gt;=SchemeStart,IF($X70=0,$AD70,IF(AND($Z70&lt;&gt;"",EDATE($D70,Milestones!$AA$174)&gt;=$Z70),$AC70,IF(AND($Y70&lt;&gt;"",EDATE($D70,Milestones!$AA$174)&gt;=$Y70),$AB70,$AA70)))=Milestones!$AB$174),UPPER(TEXT(EDATE($D70,Milestones!$AA$174),"dd mmm yy"))&amp;" "&amp;Milestones!$AB$174&amp;" "&amp;IF(AND(Milestones!$AB$174="FT",Milestones!$AA$174=FT_Y5,EDATE($D70,Milestones!$AA$174)&lt;PolicyEff),1,Milestones!$AC$174)&amp;";  ","")&amp;IF(AND(EDATE($D70,Milestones!$AA$175)&lt;=AsOfDate,EDATE($D70,Milestones!$AA$175)&gt;=SchemeStart,IF($X70=0,$AD70,IF(AND($Z70&lt;&gt;"",EDATE($D70,Milestones!$AA$175)&gt;=$Z70),$AC70,IF(AND($Y70&lt;&gt;"",EDATE($D70,Milestones!$AA$175)&gt;=$Y70),$AB70,$AA70)))=Milestones!$AB$175),UPPER(TEXT(EDATE($D70,Milestones!$AA$175),"dd mmm yy"))&amp;" "&amp;Milestones!$AB$175&amp;" "&amp;IF(AND(Milestones!$AB$175="FT",Milestones!$AA$175=FT_Y5,EDATE($D70,Milestones!$AA$175)&lt;PolicyEff),1,Milestones!$AC$175)&amp;";  ",""))</f>
        <v/>
      </c>
      <c r="V70" s="0" t="str">
        <f aca="false">IF(OR($A70="",$D70=""),"",IF(AND(EDATE($D70,Milestones!$AA$176)&lt;=AsOfDate,EDATE($D70,Milestones!$AA$176)&gt;=SchemeStart,IF($X70=0,$AD70,IF(AND($Z70&lt;&gt;"",EDATE($D70,Milestones!$AA$176)&gt;=$Z70),$AC70,IF(AND($Y70&lt;&gt;"",EDATE($D70,Milestones!$AA$176)&gt;=$Y70),$AB70,$AA70)))=Milestones!$AB$176),UPPER(TEXT(EDATE($D70,Milestones!$AA$176),"dd mmm yy"))&amp;" "&amp;Milestones!$AB$176&amp;" "&amp;IF(AND(Milestones!$AB$176="FT",Milestones!$AA$176=FT_Y5,EDATE($D70,Milestones!$AA$176)&lt;PolicyEff),1,Milestones!$AC$176)&amp;";  ","")&amp;IF(AND(EDATE($D70,Milestones!$AA$177)&lt;=AsOfDate,EDATE($D70,Milestones!$AA$177)&gt;=SchemeStart,IF($X70=0,$AD70,IF(AND($Z70&lt;&gt;"",EDATE($D70,Milestones!$AA$177)&gt;=$Z70),$AC70,IF(AND($Y70&lt;&gt;"",EDATE($D70,Milestones!$AA$177)&gt;=$Y70),$AB70,$AA70)))=Milestones!$AB$177),UPPER(TEXT(EDATE($D70,Milestones!$AA$177),"dd mmm yy"))&amp;" "&amp;Milestones!$AB$177&amp;" "&amp;IF(AND(Milestones!$AB$177="FT",Milestones!$AA$177=FT_Y5,EDATE($D70,Milestones!$AA$177)&lt;PolicyEff),1,Milestones!$AC$177)&amp;";  ","")&amp;IF(AND(EDATE($D70,Milestones!$AA$178)&lt;=AsOfDate,EDATE($D70,Milestones!$AA$178)&gt;=SchemeStart,IF($X70=0,$AD70,IF(AND($Z70&lt;&gt;"",EDATE($D70,Milestones!$AA$178)&gt;=$Z70),$AC70,IF(AND($Y70&lt;&gt;"",EDATE($D70,Milestones!$AA$178)&gt;=$Y70),$AB70,$AA70)))=Milestones!$AB$178),UPPER(TEXT(EDATE($D70,Milestones!$AA$178),"dd mmm yy"))&amp;" "&amp;Milestones!$AB$178&amp;" "&amp;IF(AND(Milestones!$AB$178="FT",Milestones!$AA$178=FT_Y5,EDATE($D70,Milestones!$AA$178)&lt;PolicyEff),1,Milestones!$AC$178)&amp;";  ","")&amp;IF(AND(EDATE($D70,Milestones!$AA$179)&lt;=AsOfDate,EDATE($D70,Milestones!$AA$179)&gt;=SchemeStart,IF($X70=0,$AD70,IF(AND($Z70&lt;&gt;"",EDATE($D70,Milestones!$AA$179)&gt;=$Z70),$AC70,IF(AND($Y70&lt;&gt;"",EDATE($D70,Milestones!$AA$179)&gt;=$Y70),$AB70,$AA70)))=Milestones!$AB$179),UPPER(TEXT(EDATE($D70,Milestones!$AA$179),"dd mmm yy"))&amp;" "&amp;Milestones!$AB$179&amp;" "&amp;IF(AND(Milestones!$AB$179="FT",Milestones!$AA$179=FT_Y5,EDATE($D70,Milestones!$AA$179)&lt;PolicyEff),1,Milestones!$AC$179)&amp;";  ","")&amp;IF(AND(EDATE($D70,Milestones!$AA$180)&lt;=AsOfDate,EDATE($D70,Milestones!$AA$180)&gt;=SchemeStart,IF($X70=0,$AD70,IF(AND($Z70&lt;&gt;"",EDATE($D70,Milestones!$AA$180)&gt;=$Z70),$AC70,IF(AND($Y70&lt;&gt;"",EDATE($D70,Milestones!$AA$180)&gt;=$Y70),$AB70,$AA70)))=Milestones!$AB$180),UPPER(TEXT(EDATE($D70,Milestones!$AA$180),"dd mmm yy"))&amp;" "&amp;Milestones!$AB$180&amp;" "&amp;IF(AND(Milestones!$AB$180="FT",Milestones!$AA$180=FT_Y5,EDATE($D70,Milestones!$AA$180)&lt;PolicyEff),1,Milestones!$AC$180)&amp;";  ","")&amp;IF(AND(EDATE($D70,Milestones!$AA$181)&lt;=AsOfDate,EDATE($D70,Milestones!$AA$181)&gt;=SchemeStart,IF($X70=0,$AD70,IF(AND($Z70&lt;&gt;"",EDATE($D70,Milestones!$AA$181)&gt;=$Z70),$AC70,IF(AND($Y70&lt;&gt;"",EDATE($D70,Milestones!$AA$181)&gt;=$Y70),$AB70,$AA70)))=Milestones!$AB$181),UPPER(TEXT(EDATE($D70,Milestones!$AA$181),"dd mmm yy"))&amp;" "&amp;Milestones!$AB$181&amp;" "&amp;IF(AND(Milestones!$AB$181="FT",Milestones!$AA$181=FT_Y5,EDATE($D70,Milestones!$AA$181)&lt;PolicyEff),1,Milestones!$AC$181)&amp;";  ","")&amp;IF(AND(EDATE($D70,Milestones!$AA$182)&lt;=AsOfDate,EDATE($D70,Milestones!$AA$182)&gt;=SchemeStart,IF($X70=0,$AD70,IF(AND($Z70&lt;&gt;"",EDATE($D70,Milestones!$AA$182)&gt;=$Z70),$AC70,IF(AND($Y70&lt;&gt;"",EDATE($D70,Milestones!$AA$182)&gt;=$Y70),$AB70,$AA70)))=Milestones!$AB$182),UPPER(TEXT(EDATE($D70,Milestones!$AA$182),"dd mmm yy"))&amp;" "&amp;Milestones!$AB$182&amp;" "&amp;IF(AND(Milestones!$AB$182="FT",Milestones!$AA$182=FT_Y5,EDATE($D70,Milestones!$AA$182)&lt;PolicyEff),1,Milestones!$AC$182)&amp;";  ","")&amp;IF(AND(EDATE($D70,Milestones!$AA$183)&lt;=AsOfDate,EDATE($D70,Milestones!$AA$183)&gt;=SchemeStart,IF($X70=0,$AD70,IF(AND($Z70&lt;&gt;"",EDATE($D70,Milestones!$AA$183)&gt;=$Z70),$AC70,IF(AND($Y70&lt;&gt;"",EDATE($D70,Milestones!$AA$183)&gt;=$Y70),$AB70,$AA70)))=Milestones!$AB$183),UPPER(TEXT(EDATE($D70,Milestones!$AA$183),"dd mmm yy"))&amp;" "&amp;Milestones!$AB$183&amp;" "&amp;IF(AND(Milestones!$AB$183="FT",Milestones!$AA$183=FT_Y5,EDATE($D70,Milestones!$AA$183)&lt;PolicyEff),1,Milestones!$AC$183)&amp;";  ","")&amp;IF(AND(EDATE($D70,Milestones!$AA$184)&lt;=AsOfDate,EDATE($D70,Milestones!$AA$184)&gt;=SchemeStart,IF($X70=0,$AD70,IF(AND($Z70&lt;&gt;"",EDATE($D70,Milestones!$AA$184)&gt;=$Z70),$AC70,IF(AND($Y70&lt;&gt;"",EDATE($D70,Milestones!$AA$184)&gt;=$Y70),$AB70,$AA70)))=Milestones!$AB$184),UPPER(TEXT(EDATE($D70,Milestones!$AA$184),"dd mmm yy"))&amp;" "&amp;Milestones!$AB$184&amp;" "&amp;IF(AND(Milestones!$AB$184="FT",Milestones!$AA$184=FT_Y5,EDATE($D70,Milestones!$AA$184)&lt;PolicyEff),1,Milestones!$AC$184)&amp;";  ","")&amp;IF(AND(EDATE($D70,Milestones!$AA$185)&lt;=AsOfDate,EDATE($D70,Milestones!$AA$185)&gt;=SchemeStart,IF($X70=0,$AD70,IF(AND($Z70&lt;&gt;"",EDATE($D70,Milestones!$AA$185)&gt;=$Z70),$AC70,IF(AND($Y70&lt;&gt;"",EDATE($D70,Milestones!$AA$185)&gt;=$Y70),$AB70,$AA70)))=Milestones!$AB$185),UPPER(TEXT(EDATE($D70,Milestones!$AA$185),"dd mmm yy"))&amp;" "&amp;Milestones!$AB$185&amp;" "&amp;IF(AND(Milestones!$AB$185="FT",Milestones!$AA$185=FT_Y5,EDATE($D70,Milestones!$AA$185)&lt;PolicyEff),1,Milestones!$AC$185)&amp;";  ","")&amp;IF(AND(EDATE($D70,Milestones!$AA$186)&lt;=AsOfDate,EDATE($D70,Milestones!$AA$186)&gt;=SchemeStart,IF($X70=0,$AD70,IF(AND($Z70&lt;&gt;"",EDATE($D70,Milestones!$AA$186)&gt;=$Z70),$AC70,IF(AND($Y70&lt;&gt;"",EDATE($D70,Milestones!$AA$186)&gt;=$Y70),$AB70,$AA70)))=Milestones!$AB$186),UPPER(TEXT(EDATE($D70,Milestones!$AA$186),"dd mmm yy"))&amp;" "&amp;Milestones!$AB$186&amp;" "&amp;IF(AND(Milestones!$AB$186="FT",Milestones!$AA$186=FT_Y5,EDATE($D70,Milestones!$AA$186)&lt;PolicyEff),1,Milestones!$AC$186)&amp;";  ","")&amp;IF(AND(EDATE($D70,Milestones!$AA$187)&lt;=AsOfDate,EDATE($D70,Milestones!$AA$187)&gt;=SchemeStart,IF($X70=0,$AD70,IF(AND($Z70&lt;&gt;"",EDATE($D70,Milestones!$AA$187)&gt;=$Z70),$AC70,IF(AND($Y70&lt;&gt;"",EDATE($D70,Milestones!$AA$187)&gt;=$Y70),$AB70,$AA70)))=Milestones!$AB$187),UPPER(TEXT(EDATE($D70,Milestones!$AA$187),"dd mmm yy"))&amp;" "&amp;Milestones!$AB$187&amp;" "&amp;IF(AND(Milestones!$AB$187="FT",Milestones!$AA$187=FT_Y5,EDATE($D70,Milestones!$AA$187)&lt;PolicyEff),1,Milestones!$AC$187)&amp;";  ",""))</f>
        <v/>
      </c>
      <c r="W70" s="0" t="str">
        <f aca="false">IF(OR($A70="",$D70=""),"",IF(AND(EDATE($D70,Milestones!$AA$188)&lt;=AsOfDate,EDATE($D70,Milestones!$AA$188)&gt;=SchemeStart,IF($X70=0,$AD70,IF(AND($Z70&lt;&gt;"",EDATE($D70,Milestones!$AA$188)&gt;=$Z70),$AC70,IF(AND($Y70&lt;&gt;"",EDATE($D70,Milestones!$AA$188)&gt;=$Y70),$AB70,$AA70)))=Milestones!$AB$188),UPPER(TEXT(EDATE($D70,Milestones!$AA$188),"dd mmm yy"))&amp;" "&amp;Milestones!$AB$188&amp;" "&amp;IF(AND(Milestones!$AB$188="FT",Milestones!$AA$188=FT_Y5,EDATE($D70,Milestones!$AA$188)&lt;PolicyEff),1,Milestones!$AC$188)&amp;";  ","")&amp;IF(AND(EDATE($D70,Milestones!$AA$189)&lt;=AsOfDate,EDATE($D70,Milestones!$AA$189)&gt;=SchemeStart,IF($X70=0,$AD70,IF(AND($Z70&lt;&gt;"",EDATE($D70,Milestones!$AA$189)&gt;=$Z70),$AC70,IF(AND($Y70&lt;&gt;"",EDATE($D70,Milestones!$AA$189)&gt;=$Y70),$AB70,$AA70)))=Milestones!$AB$189),UPPER(TEXT(EDATE($D70,Milestones!$AA$189),"dd mmm yy"))&amp;" "&amp;Milestones!$AB$189&amp;" "&amp;IF(AND(Milestones!$AB$189="FT",Milestones!$AA$189=FT_Y5,EDATE($D70,Milestones!$AA$189)&lt;PolicyEff),1,Milestones!$AC$189)&amp;";  ","")&amp;IF(AND(EDATE($D70,Milestones!$AA$190)&lt;=AsOfDate,EDATE($D70,Milestones!$AA$190)&gt;=SchemeStart,IF($X70=0,$AD70,IF(AND($Z70&lt;&gt;"",EDATE($D70,Milestones!$AA$190)&gt;=$Z70),$AC70,IF(AND($Y70&lt;&gt;"",EDATE($D70,Milestones!$AA$190)&gt;=$Y70),$AB70,$AA70)))=Milestones!$AB$190),UPPER(TEXT(EDATE($D70,Milestones!$AA$190),"dd mmm yy"))&amp;" "&amp;Milestones!$AB$190&amp;" "&amp;IF(AND(Milestones!$AB$190="FT",Milestones!$AA$190=FT_Y5,EDATE($D70,Milestones!$AA$190)&lt;PolicyEff),1,Milestones!$AC$190)&amp;";  ","")&amp;IF(AND(EDATE($D70,Milestones!$AA$191)&lt;=AsOfDate,EDATE($D70,Milestones!$AA$191)&gt;=SchemeStart,IF($X70=0,$AD70,IF(AND($Z70&lt;&gt;"",EDATE($D70,Milestones!$AA$191)&gt;=$Z70),$AC70,IF(AND($Y70&lt;&gt;"",EDATE($D70,Milestones!$AA$191)&gt;=$Y70),$AB70,$AA70)))=Milestones!$AB$191),UPPER(TEXT(EDATE($D70,Milestones!$AA$191),"dd mmm yy"))&amp;" "&amp;Milestones!$AB$191&amp;" "&amp;IF(AND(Milestones!$AB$191="FT",Milestones!$AA$191=FT_Y5,EDATE($D70,Milestones!$AA$191)&lt;PolicyEff),1,Milestones!$AC$191)&amp;";  ","")&amp;IF(AND(EDATE($D70,Milestones!$AA$192)&lt;=AsOfDate,EDATE($D70,Milestones!$AA$192)&gt;=SchemeStart,IF($X70=0,$AD70,IF(AND($Z70&lt;&gt;"",EDATE($D70,Milestones!$AA$192)&gt;=$Z70),$AC70,IF(AND($Y70&lt;&gt;"",EDATE($D70,Milestones!$AA$192)&gt;=$Y70),$AB70,$AA70)))=Milestones!$AB$192),UPPER(TEXT(EDATE($D70,Milestones!$AA$192),"dd mmm yy"))&amp;" "&amp;Milestones!$AB$192&amp;" "&amp;IF(AND(Milestones!$AB$192="FT",Milestones!$AA$192=FT_Y5,EDATE($D70,Milestones!$AA$192)&lt;PolicyEff),1,Milestones!$AC$192)&amp;";  ","")&amp;IF(AND(EDATE($D70,Milestones!$AA$193)&lt;=AsOfDate,EDATE($D70,Milestones!$AA$193)&gt;=SchemeStart,IF($X70=0,$AD70,IF(AND($Z70&lt;&gt;"",EDATE($D70,Milestones!$AA$193)&gt;=$Z70),$AC70,IF(AND($Y70&lt;&gt;"",EDATE($D70,Milestones!$AA$193)&gt;=$Y70),$AB70,$AA70)))=Milestones!$AB$193),UPPER(TEXT(EDATE($D70,Milestones!$AA$193),"dd mmm yy"))&amp;" "&amp;Milestones!$AB$193&amp;" "&amp;IF(AND(Milestones!$AB$193="FT",Milestones!$AA$193=FT_Y5,EDATE($D70,Milestones!$AA$193)&lt;PolicyEff),1,Milestones!$AC$193)&amp;";  ","")&amp;IF(AND(EDATE($D70,Milestones!$AA$194)&lt;=AsOfDate,EDATE($D70,Milestones!$AA$194)&gt;=SchemeStart,IF($X70=0,$AD70,IF(AND($Z70&lt;&gt;"",EDATE($D70,Milestones!$AA$194)&gt;=$Z70),$AC70,IF(AND($Y70&lt;&gt;"",EDATE($D70,Milestones!$AA$194)&gt;=$Y70),$AB70,$AA70)))=Milestones!$AB$194),UPPER(TEXT(EDATE($D70,Milestones!$AA$194),"dd mmm yy"))&amp;" "&amp;Milestones!$AB$194&amp;" "&amp;IF(AND(Milestones!$AB$194="FT",Milestones!$AA$194=FT_Y5,EDATE($D70,Milestones!$AA$194)&lt;PolicyEff),1,Milestones!$AC$194)&amp;";  ","")&amp;IF(AND(EDATE($D70,Milestones!$AA$195)&lt;=AsOfDate,EDATE($D70,Milestones!$AA$195)&gt;=SchemeStart,IF($X70=0,$AD70,IF(AND($Z70&lt;&gt;"",EDATE($D70,Milestones!$AA$195)&gt;=$Z70),$AC70,IF(AND($Y70&lt;&gt;"",EDATE($D70,Milestones!$AA$195)&gt;=$Y70),$AB70,$AA70)))=Milestones!$AB$195),UPPER(TEXT(EDATE($D70,Milestones!$AA$195),"dd mmm yy"))&amp;" "&amp;Milestones!$AB$195&amp;" "&amp;IF(AND(Milestones!$AB$195="FT",Milestones!$AA$195=FT_Y5,EDATE($D70,Milestones!$AA$195)&lt;PolicyEff),1,Milestones!$AC$195)&amp;";  ","")&amp;IF(AND(EDATE($D70,Milestones!$AA$196)&lt;=AsOfDate,EDATE($D70,Milestones!$AA$196)&gt;=SchemeStart,IF($X70=0,$AD70,IF(AND($Z70&lt;&gt;"",EDATE($D70,Milestones!$AA$196)&gt;=$Z70),$AC70,IF(AND($Y70&lt;&gt;"",EDATE($D70,Milestones!$AA$196)&gt;=$Y70),$AB70,$AA70)))=Milestones!$AB$196),UPPER(TEXT(EDATE($D70,Milestones!$AA$196),"dd mmm yy"))&amp;" "&amp;Milestones!$AB$196&amp;" "&amp;IF(AND(Milestones!$AB$196="FT",Milestones!$AA$196=FT_Y5,EDATE($D70,Milestones!$AA$196)&lt;PolicyEff),1,Milestones!$AC$196)&amp;";  ","")&amp;IF(AND(EDATE($D70,Milestones!$AA$197)&lt;=AsOfDate,EDATE($D70,Milestones!$AA$197)&gt;=SchemeStart,IF($X70=0,$AD70,IF(AND($Z70&lt;&gt;"",EDATE($D70,Milestones!$AA$197)&gt;=$Z70),$AC70,IF(AND($Y70&lt;&gt;"",EDATE($D70,Milestones!$AA$197)&gt;=$Y70),$AB70,$AA70)))=Milestones!$AB$197),UPPER(TEXT(EDATE($D70,Milestones!$AA$197),"dd mmm yy"))&amp;" "&amp;Milestones!$AB$197&amp;" "&amp;IF(AND(Milestones!$AB$197="FT",Milestones!$AA$197=FT_Y5,EDATE($D70,Milestones!$AA$197)&lt;PolicyEff),1,Milestones!$AC$197)&amp;";  ","")&amp;IF(AND(EDATE($D70,Milestones!$AA$198)&lt;=AsOfDate,EDATE($D70,Milestones!$AA$198)&gt;=SchemeStart,IF($X70=0,$AD70,IF(AND($Z70&lt;&gt;"",EDATE($D70,Milestones!$AA$198)&gt;=$Z70),$AC70,IF(AND($Y70&lt;&gt;"",EDATE($D70,Milestones!$AA$198)&gt;=$Y70),$AB70,$AA70)))=Milestones!$AB$198),UPPER(TEXT(EDATE($D70,Milestones!$AA$198),"dd mmm yy"))&amp;" "&amp;Milestones!$AB$198&amp;" "&amp;IF(AND(Milestones!$AB$198="FT",Milestones!$AA$198=FT_Y5,EDATE($D70,Milestones!$AA$198)&lt;PolicyEff),1,Milestones!$AC$198)&amp;";  ","")&amp;IF(AND(EDATE($D70,Milestones!$AA$199)&lt;=AsOfDate,EDATE($D70,Milestones!$AA$199)&gt;=SchemeStart,IF($X70=0,$AD70,IF(AND($Z70&lt;&gt;"",EDATE($D70,Milestones!$AA$199)&gt;=$Z70),$AC70,IF(AND($Y70&lt;&gt;"",EDATE($D70,Milestones!$AA$199)&gt;=$Y70),$AB70,$AA70)))=Milestones!$AB$199),UPPER(TEXT(EDATE($D70,Milestones!$AA$199),"dd mmm yy"))&amp;" "&amp;Milestones!$AB$199&amp;" "&amp;IF(AND(Milestones!$AB$199="FT",Milestones!$AA$199=FT_Y5,EDATE($D70,Milestones!$AA$199)&lt;PolicyEff),1,Milestones!$AC$199)&amp;";  ",""))</f>
        <v/>
      </c>
      <c r="X70" s="0" t="str">
        <f aca="false">IF(Staff!$A70="","",Staff!$AM70)</f>
        <v/>
      </c>
      <c r="Y70" s="0" t="str">
        <f aca="false">IF(Staff!$A70="","",Staff!$AO70)</f>
        <v/>
      </c>
      <c r="Z70" s="0" t="str">
        <f aca="false">IF(Staff!$A70="","",Staff!$AP70)</f>
        <v/>
      </c>
      <c r="AA70" s="0" t="str">
        <f aca="false">IF(Staff!$A70="","",Staff!$AT70)</f>
        <v/>
      </c>
      <c r="AB70" s="0" t="str">
        <f aca="false">IF(Staff!$A70="","",Staff!$AU70)</f>
        <v/>
      </c>
      <c r="AC70" s="0" t="str">
        <f aca="false">IF(Staff!$A70="","",Staff!$AV70)</f>
        <v/>
      </c>
      <c r="AD70" s="0" t="str">
        <f aca="false">IF(Staff!$A70="","",Staff!$AW70)</f>
        <v/>
      </c>
    </row>
    <row r="71" customFormat="false" ht="15" hidden="false" customHeight="false" outlineLevel="0" collapsed="false">
      <c r="A71" s="16" t="str">
        <f aca="false">IF(Staff!$A71="","",Staff!$A71)</f>
        <v/>
      </c>
      <c r="B71" s="16" t="str">
        <f aca="false">IF(Staff!$A71="","",Staff!$B71)</f>
        <v/>
      </c>
      <c r="C71" s="16" t="str">
        <f aca="false">IF(Staff!$A71="","",Staff!$C71)</f>
        <v/>
      </c>
      <c r="D71" s="14" t="str">
        <f aca="false">IF(Staff!$A71="","",Staff!$AL71)</f>
        <v/>
      </c>
      <c r="E71" s="16" t="str">
        <f aca="false">IF(Staff!$A71="","",Staff!$O71)</f>
        <v/>
      </c>
      <c r="F71" s="16" t="str">
        <f aca="false">IF(E71="","",E71*HoursPerDay)</f>
        <v/>
      </c>
      <c r="G71" s="16" t="str">
        <f aca="false">IF(Staff!$A71="","",Staff!$AE71)</f>
        <v/>
      </c>
      <c r="H71" s="28" t="str">
        <f aca="false">IF($A71="","",I71&amp;J71&amp;K71&amp;L71&amp;M71&amp;N71&amp;O71&amp;P71&amp;Q71&amp;R71&amp;S71&amp;T71&amp;U71&amp;V71&amp;W71)</f>
        <v/>
      </c>
      <c r="I71" s="0" t="str">
        <f aca="false">IF(OR($A71="",$D71=""),"",IF(AND(EDATE($D71,Milestones!$AA$20)&lt;=AsOfDate,EDATE($D71,Milestones!$AA$20)&gt;=SchemeStart,IF($X71=0,$AD71,IF(AND($Z71&lt;&gt;"",EDATE($D71,Milestones!$AA$20)&gt;=$Z71),$AC71,IF(AND($Y71&lt;&gt;"",EDATE($D71,Milestones!$AA$20)&gt;=$Y71),$AB71,$AA71)))=Milestones!$AB$20),UPPER(TEXT(EDATE($D71,Milestones!$AA$20),"dd mmm yy"))&amp;" "&amp;Milestones!$AB$20&amp;" "&amp;IF(AND(Milestones!$AB$20="FT",Milestones!$AA$20=FT_Y5,EDATE($D71,Milestones!$AA$20)&lt;PolicyEff),1,Milestones!$AC$20)&amp;";  ","")&amp;IF(AND(EDATE($D71,Milestones!$AA$21)&lt;=AsOfDate,EDATE($D71,Milestones!$AA$21)&gt;=SchemeStart,IF($X71=0,$AD71,IF(AND($Z71&lt;&gt;"",EDATE($D71,Milestones!$AA$21)&gt;=$Z71),$AC71,IF(AND($Y71&lt;&gt;"",EDATE($D71,Milestones!$AA$21)&gt;=$Y71),$AB71,$AA71)))=Milestones!$AB$21),UPPER(TEXT(EDATE($D71,Milestones!$AA$21),"dd mmm yy"))&amp;" "&amp;Milestones!$AB$21&amp;" "&amp;IF(AND(Milestones!$AB$21="FT",Milestones!$AA$21=FT_Y5,EDATE($D71,Milestones!$AA$21)&lt;PolicyEff),1,Milestones!$AC$21)&amp;";  ","")&amp;IF(AND(EDATE($D71,Milestones!$AA$22)&lt;=AsOfDate,EDATE($D71,Milestones!$AA$22)&gt;=SchemeStart,IF($X71=0,$AD71,IF(AND($Z71&lt;&gt;"",EDATE($D71,Milestones!$AA$22)&gt;=$Z71),$AC71,IF(AND($Y71&lt;&gt;"",EDATE($D71,Milestones!$AA$22)&gt;=$Y71),$AB71,$AA71)))=Milestones!$AB$22),UPPER(TEXT(EDATE($D71,Milestones!$AA$22),"dd mmm yy"))&amp;" "&amp;Milestones!$AB$22&amp;" "&amp;IF(AND(Milestones!$AB$22="FT",Milestones!$AA$22=FT_Y5,EDATE($D71,Milestones!$AA$22)&lt;PolicyEff),1,Milestones!$AC$22)&amp;";  ","")&amp;IF(AND(EDATE($D71,Milestones!$AA$23)&lt;=AsOfDate,EDATE($D71,Milestones!$AA$23)&gt;=SchemeStart,IF($X71=0,$AD71,IF(AND($Z71&lt;&gt;"",EDATE($D71,Milestones!$AA$23)&gt;=$Z71),$AC71,IF(AND($Y71&lt;&gt;"",EDATE($D71,Milestones!$AA$23)&gt;=$Y71),$AB71,$AA71)))=Milestones!$AB$23),UPPER(TEXT(EDATE($D71,Milestones!$AA$23),"dd mmm yy"))&amp;" "&amp;Milestones!$AB$23&amp;" "&amp;IF(AND(Milestones!$AB$23="FT",Milestones!$AA$23=FT_Y5,EDATE($D71,Milestones!$AA$23)&lt;PolicyEff),1,Milestones!$AC$23)&amp;";  ","")&amp;IF(AND(EDATE($D71,Milestones!$AA$24)&lt;=AsOfDate,EDATE($D71,Milestones!$AA$24)&gt;=SchemeStart,IF($X71=0,$AD71,IF(AND($Z71&lt;&gt;"",EDATE($D71,Milestones!$AA$24)&gt;=$Z71),$AC71,IF(AND($Y71&lt;&gt;"",EDATE($D71,Milestones!$AA$24)&gt;=$Y71),$AB71,$AA71)))=Milestones!$AB$24),UPPER(TEXT(EDATE($D71,Milestones!$AA$24),"dd mmm yy"))&amp;" "&amp;Milestones!$AB$24&amp;" "&amp;IF(AND(Milestones!$AB$24="FT",Milestones!$AA$24=FT_Y5,EDATE($D71,Milestones!$AA$24)&lt;PolicyEff),1,Milestones!$AC$24)&amp;";  ","")&amp;IF(AND(EDATE($D71,Milestones!$AA$25)&lt;=AsOfDate,EDATE($D71,Milestones!$AA$25)&gt;=SchemeStart,IF($X71=0,$AD71,IF(AND($Z71&lt;&gt;"",EDATE($D71,Milestones!$AA$25)&gt;=$Z71),$AC71,IF(AND($Y71&lt;&gt;"",EDATE($D71,Milestones!$AA$25)&gt;=$Y71),$AB71,$AA71)))=Milestones!$AB$25),UPPER(TEXT(EDATE($D71,Milestones!$AA$25),"dd mmm yy"))&amp;" "&amp;Milestones!$AB$25&amp;" "&amp;IF(AND(Milestones!$AB$25="FT",Milestones!$AA$25=FT_Y5,EDATE($D71,Milestones!$AA$25)&lt;PolicyEff),1,Milestones!$AC$25)&amp;";  ","")&amp;IF(AND(EDATE($D71,Milestones!$AA$26)&lt;=AsOfDate,EDATE($D71,Milestones!$AA$26)&gt;=SchemeStart,IF($X71=0,$AD71,IF(AND($Z71&lt;&gt;"",EDATE($D71,Milestones!$AA$26)&gt;=$Z71),$AC71,IF(AND($Y71&lt;&gt;"",EDATE($D71,Milestones!$AA$26)&gt;=$Y71),$AB71,$AA71)))=Milestones!$AB$26),UPPER(TEXT(EDATE($D71,Milestones!$AA$26),"dd mmm yy"))&amp;" "&amp;Milestones!$AB$26&amp;" "&amp;IF(AND(Milestones!$AB$26="FT",Milestones!$AA$26=FT_Y5,EDATE($D71,Milestones!$AA$26)&lt;PolicyEff),1,Milestones!$AC$26)&amp;";  ","")&amp;IF(AND(EDATE($D71,Milestones!$AA$27)&lt;=AsOfDate,EDATE($D71,Milestones!$AA$27)&gt;=SchemeStart,IF($X71=0,$AD71,IF(AND($Z71&lt;&gt;"",EDATE($D71,Milestones!$AA$27)&gt;=$Z71),$AC71,IF(AND($Y71&lt;&gt;"",EDATE($D71,Milestones!$AA$27)&gt;=$Y71),$AB71,$AA71)))=Milestones!$AB$27),UPPER(TEXT(EDATE($D71,Milestones!$AA$27),"dd mmm yy"))&amp;" "&amp;Milestones!$AB$27&amp;" "&amp;IF(AND(Milestones!$AB$27="FT",Milestones!$AA$27=FT_Y5,EDATE($D71,Milestones!$AA$27)&lt;PolicyEff),1,Milestones!$AC$27)&amp;";  ","")&amp;IF(AND(EDATE($D71,Milestones!$AA$28)&lt;=AsOfDate,EDATE($D71,Milestones!$AA$28)&gt;=SchemeStart,IF($X71=0,$AD71,IF(AND($Z71&lt;&gt;"",EDATE($D71,Milestones!$AA$28)&gt;=$Z71),$AC71,IF(AND($Y71&lt;&gt;"",EDATE($D71,Milestones!$AA$28)&gt;=$Y71),$AB71,$AA71)))=Milestones!$AB$28),UPPER(TEXT(EDATE($D71,Milestones!$AA$28),"dd mmm yy"))&amp;" "&amp;Milestones!$AB$28&amp;" "&amp;IF(AND(Milestones!$AB$28="FT",Milestones!$AA$28=FT_Y5,EDATE($D71,Milestones!$AA$28)&lt;PolicyEff),1,Milestones!$AC$28)&amp;";  ","")&amp;IF(AND(EDATE($D71,Milestones!$AA$29)&lt;=AsOfDate,EDATE($D71,Milestones!$AA$29)&gt;=SchemeStart,IF($X71=0,$AD71,IF(AND($Z71&lt;&gt;"",EDATE($D71,Milestones!$AA$29)&gt;=$Z71),$AC71,IF(AND($Y71&lt;&gt;"",EDATE($D71,Milestones!$AA$29)&gt;=$Y71),$AB71,$AA71)))=Milestones!$AB$29),UPPER(TEXT(EDATE($D71,Milestones!$AA$29),"dd mmm yy"))&amp;" "&amp;Milestones!$AB$29&amp;" "&amp;IF(AND(Milestones!$AB$29="FT",Milestones!$AA$29=FT_Y5,EDATE($D71,Milestones!$AA$29)&lt;PolicyEff),1,Milestones!$AC$29)&amp;";  ","")&amp;IF(AND(EDATE($D71,Milestones!$AA$30)&lt;=AsOfDate,EDATE($D71,Milestones!$AA$30)&gt;=SchemeStart,IF($X71=0,$AD71,IF(AND($Z71&lt;&gt;"",EDATE($D71,Milestones!$AA$30)&gt;=$Z71),$AC71,IF(AND($Y71&lt;&gt;"",EDATE($D71,Milestones!$AA$30)&gt;=$Y71),$AB71,$AA71)))=Milestones!$AB$30),UPPER(TEXT(EDATE($D71,Milestones!$AA$30),"dd mmm yy"))&amp;" "&amp;Milestones!$AB$30&amp;" "&amp;IF(AND(Milestones!$AB$30="FT",Milestones!$AA$30=FT_Y5,EDATE($D71,Milestones!$AA$30)&lt;PolicyEff),1,Milestones!$AC$30)&amp;";  ","")&amp;IF(AND(EDATE($D71,Milestones!$AA$31)&lt;=AsOfDate,EDATE($D71,Milestones!$AA$31)&gt;=SchemeStart,IF($X71=0,$AD71,IF(AND($Z71&lt;&gt;"",EDATE($D71,Milestones!$AA$31)&gt;=$Z71),$AC71,IF(AND($Y71&lt;&gt;"",EDATE($D71,Milestones!$AA$31)&gt;=$Y71),$AB71,$AA71)))=Milestones!$AB$31),UPPER(TEXT(EDATE($D71,Milestones!$AA$31),"dd mmm yy"))&amp;" "&amp;Milestones!$AB$31&amp;" "&amp;IF(AND(Milestones!$AB$31="FT",Milestones!$AA$31=FT_Y5,EDATE($D71,Milestones!$AA$31)&lt;PolicyEff),1,Milestones!$AC$31)&amp;";  ",""))</f>
        <v/>
      </c>
      <c r="J71" s="0" t="str">
        <f aca="false">IF(OR($A71="",$D71=""),"",IF(AND(EDATE($D71,Milestones!$AA$32)&lt;=AsOfDate,EDATE($D71,Milestones!$AA$32)&gt;=SchemeStart,IF($X71=0,$AD71,IF(AND($Z71&lt;&gt;"",EDATE($D71,Milestones!$AA$32)&gt;=$Z71),$AC71,IF(AND($Y71&lt;&gt;"",EDATE($D71,Milestones!$AA$32)&gt;=$Y71),$AB71,$AA71)))=Milestones!$AB$32),UPPER(TEXT(EDATE($D71,Milestones!$AA$32),"dd mmm yy"))&amp;" "&amp;Milestones!$AB$32&amp;" "&amp;IF(AND(Milestones!$AB$32="FT",Milestones!$AA$32=FT_Y5,EDATE($D71,Milestones!$AA$32)&lt;PolicyEff),1,Milestones!$AC$32)&amp;";  ","")&amp;IF(AND(EDATE($D71,Milestones!$AA$33)&lt;=AsOfDate,EDATE($D71,Milestones!$AA$33)&gt;=SchemeStart,IF($X71=0,$AD71,IF(AND($Z71&lt;&gt;"",EDATE($D71,Milestones!$AA$33)&gt;=$Z71),$AC71,IF(AND($Y71&lt;&gt;"",EDATE($D71,Milestones!$AA$33)&gt;=$Y71),$AB71,$AA71)))=Milestones!$AB$33),UPPER(TEXT(EDATE($D71,Milestones!$AA$33),"dd mmm yy"))&amp;" "&amp;Milestones!$AB$33&amp;" "&amp;IF(AND(Milestones!$AB$33="FT",Milestones!$AA$33=FT_Y5,EDATE($D71,Milestones!$AA$33)&lt;PolicyEff),1,Milestones!$AC$33)&amp;";  ","")&amp;IF(AND(EDATE($D71,Milestones!$AA$34)&lt;=AsOfDate,EDATE($D71,Milestones!$AA$34)&gt;=SchemeStart,IF($X71=0,$AD71,IF(AND($Z71&lt;&gt;"",EDATE($D71,Milestones!$AA$34)&gt;=$Z71),$AC71,IF(AND($Y71&lt;&gt;"",EDATE($D71,Milestones!$AA$34)&gt;=$Y71),$AB71,$AA71)))=Milestones!$AB$34),UPPER(TEXT(EDATE($D71,Milestones!$AA$34),"dd mmm yy"))&amp;" "&amp;Milestones!$AB$34&amp;" "&amp;IF(AND(Milestones!$AB$34="FT",Milestones!$AA$34=FT_Y5,EDATE($D71,Milestones!$AA$34)&lt;PolicyEff),1,Milestones!$AC$34)&amp;";  ","")&amp;IF(AND(EDATE($D71,Milestones!$AA$35)&lt;=AsOfDate,EDATE($D71,Milestones!$AA$35)&gt;=SchemeStart,IF($X71=0,$AD71,IF(AND($Z71&lt;&gt;"",EDATE($D71,Milestones!$AA$35)&gt;=$Z71),$AC71,IF(AND($Y71&lt;&gt;"",EDATE($D71,Milestones!$AA$35)&gt;=$Y71),$AB71,$AA71)))=Milestones!$AB$35),UPPER(TEXT(EDATE($D71,Milestones!$AA$35),"dd mmm yy"))&amp;" "&amp;Milestones!$AB$35&amp;" "&amp;IF(AND(Milestones!$AB$35="FT",Milestones!$AA$35=FT_Y5,EDATE($D71,Milestones!$AA$35)&lt;PolicyEff),1,Milestones!$AC$35)&amp;";  ","")&amp;IF(AND(EDATE($D71,Milestones!$AA$36)&lt;=AsOfDate,EDATE($D71,Milestones!$AA$36)&gt;=SchemeStart,IF($X71=0,$AD71,IF(AND($Z71&lt;&gt;"",EDATE($D71,Milestones!$AA$36)&gt;=$Z71),$AC71,IF(AND($Y71&lt;&gt;"",EDATE($D71,Milestones!$AA$36)&gt;=$Y71),$AB71,$AA71)))=Milestones!$AB$36),UPPER(TEXT(EDATE($D71,Milestones!$AA$36),"dd mmm yy"))&amp;" "&amp;Milestones!$AB$36&amp;" "&amp;IF(AND(Milestones!$AB$36="FT",Milestones!$AA$36=FT_Y5,EDATE($D71,Milestones!$AA$36)&lt;PolicyEff),1,Milestones!$AC$36)&amp;";  ","")&amp;IF(AND(EDATE($D71,Milestones!$AA$37)&lt;=AsOfDate,EDATE($D71,Milestones!$AA$37)&gt;=SchemeStart,IF($X71=0,$AD71,IF(AND($Z71&lt;&gt;"",EDATE($D71,Milestones!$AA$37)&gt;=$Z71),$AC71,IF(AND($Y71&lt;&gt;"",EDATE($D71,Milestones!$AA$37)&gt;=$Y71),$AB71,$AA71)))=Milestones!$AB$37),UPPER(TEXT(EDATE($D71,Milestones!$AA$37),"dd mmm yy"))&amp;" "&amp;Milestones!$AB$37&amp;" "&amp;IF(AND(Milestones!$AB$37="FT",Milestones!$AA$37=FT_Y5,EDATE($D71,Milestones!$AA$37)&lt;PolicyEff),1,Milestones!$AC$37)&amp;";  ","")&amp;IF(AND(EDATE($D71,Milestones!$AA$38)&lt;=AsOfDate,EDATE($D71,Milestones!$AA$38)&gt;=SchemeStart,IF($X71=0,$AD71,IF(AND($Z71&lt;&gt;"",EDATE($D71,Milestones!$AA$38)&gt;=$Z71),$AC71,IF(AND($Y71&lt;&gt;"",EDATE($D71,Milestones!$AA$38)&gt;=$Y71),$AB71,$AA71)))=Milestones!$AB$38),UPPER(TEXT(EDATE($D71,Milestones!$AA$38),"dd mmm yy"))&amp;" "&amp;Milestones!$AB$38&amp;" "&amp;IF(AND(Milestones!$AB$38="FT",Milestones!$AA$38=FT_Y5,EDATE($D71,Milestones!$AA$38)&lt;PolicyEff),1,Milestones!$AC$38)&amp;";  ","")&amp;IF(AND(EDATE($D71,Milestones!$AA$39)&lt;=AsOfDate,EDATE($D71,Milestones!$AA$39)&gt;=SchemeStart,IF($X71=0,$AD71,IF(AND($Z71&lt;&gt;"",EDATE($D71,Milestones!$AA$39)&gt;=$Z71),$AC71,IF(AND($Y71&lt;&gt;"",EDATE($D71,Milestones!$AA$39)&gt;=$Y71),$AB71,$AA71)))=Milestones!$AB$39),UPPER(TEXT(EDATE($D71,Milestones!$AA$39),"dd mmm yy"))&amp;" "&amp;Milestones!$AB$39&amp;" "&amp;IF(AND(Milestones!$AB$39="FT",Milestones!$AA$39=FT_Y5,EDATE($D71,Milestones!$AA$39)&lt;PolicyEff),1,Milestones!$AC$39)&amp;";  ","")&amp;IF(AND(EDATE($D71,Milestones!$AA$40)&lt;=AsOfDate,EDATE($D71,Milestones!$AA$40)&gt;=SchemeStart,IF($X71=0,$AD71,IF(AND($Z71&lt;&gt;"",EDATE($D71,Milestones!$AA$40)&gt;=$Z71),$AC71,IF(AND($Y71&lt;&gt;"",EDATE($D71,Milestones!$AA$40)&gt;=$Y71),$AB71,$AA71)))=Milestones!$AB$40),UPPER(TEXT(EDATE($D71,Milestones!$AA$40),"dd mmm yy"))&amp;" "&amp;Milestones!$AB$40&amp;" "&amp;IF(AND(Milestones!$AB$40="FT",Milestones!$AA$40=FT_Y5,EDATE($D71,Milestones!$AA$40)&lt;PolicyEff),1,Milestones!$AC$40)&amp;";  ","")&amp;IF(AND(EDATE($D71,Milestones!$AA$41)&lt;=AsOfDate,EDATE($D71,Milestones!$AA$41)&gt;=SchemeStart,IF($X71=0,$AD71,IF(AND($Z71&lt;&gt;"",EDATE($D71,Milestones!$AA$41)&gt;=$Z71),$AC71,IF(AND($Y71&lt;&gt;"",EDATE($D71,Milestones!$AA$41)&gt;=$Y71),$AB71,$AA71)))=Milestones!$AB$41),UPPER(TEXT(EDATE($D71,Milestones!$AA$41),"dd mmm yy"))&amp;" "&amp;Milestones!$AB$41&amp;" "&amp;IF(AND(Milestones!$AB$41="FT",Milestones!$AA$41=FT_Y5,EDATE($D71,Milestones!$AA$41)&lt;PolicyEff),1,Milestones!$AC$41)&amp;";  ","")&amp;IF(AND(EDATE($D71,Milestones!$AA$42)&lt;=AsOfDate,EDATE($D71,Milestones!$AA$42)&gt;=SchemeStart,IF($X71=0,$AD71,IF(AND($Z71&lt;&gt;"",EDATE($D71,Milestones!$AA$42)&gt;=$Z71),$AC71,IF(AND($Y71&lt;&gt;"",EDATE($D71,Milestones!$AA$42)&gt;=$Y71),$AB71,$AA71)))=Milestones!$AB$42),UPPER(TEXT(EDATE($D71,Milestones!$AA$42),"dd mmm yy"))&amp;" "&amp;Milestones!$AB$42&amp;" "&amp;IF(AND(Milestones!$AB$42="FT",Milestones!$AA$42=FT_Y5,EDATE($D71,Milestones!$AA$42)&lt;PolicyEff),1,Milestones!$AC$42)&amp;";  ","")&amp;IF(AND(EDATE($D71,Milestones!$AA$43)&lt;=AsOfDate,EDATE($D71,Milestones!$AA$43)&gt;=SchemeStart,IF($X71=0,$AD71,IF(AND($Z71&lt;&gt;"",EDATE($D71,Milestones!$AA$43)&gt;=$Z71),$AC71,IF(AND($Y71&lt;&gt;"",EDATE($D71,Milestones!$AA$43)&gt;=$Y71),$AB71,$AA71)))=Milestones!$AB$43),UPPER(TEXT(EDATE($D71,Milestones!$AA$43),"dd mmm yy"))&amp;" "&amp;Milestones!$AB$43&amp;" "&amp;IF(AND(Milestones!$AB$43="FT",Milestones!$AA$43=FT_Y5,EDATE($D71,Milestones!$AA$43)&lt;PolicyEff),1,Milestones!$AC$43)&amp;";  ",""))</f>
        <v/>
      </c>
      <c r="K71" s="0" t="str">
        <f aca="false">IF(OR($A71="",$D71=""),"",IF(AND(EDATE($D71,Milestones!$AA$44)&lt;=AsOfDate,EDATE($D71,Milestones!$AA$44)&gt;=SchemeStart,IF($X71=0,$AD71,IF(AND($Z71&lt;&gt;"",EDATE($D71,Milestones!$AA$44)&gt;=$Z71),$AC71,IF(AND($Y71&lt;&gt;"",EDATE($D71,Milestones!$AA$44)&gt;=$Y71),$AB71,$AA71)))=Milestones!$AB$44),UPPER(TEXT(EDATE($D71,Milestones!$AA$44),"dd mmm yy"))&amp;" "&amp;Milestones!$AB$44&amp;" "&amp;IF(AND(Milestones!$AB$44="FT",Milestones!$AA$44=FT_Y5,EDATE($D71,Milestones!$AA$44)&lt;PolicyEff),1,Milestones!$AC$44)&amp;";  ","")&amp;IF(AND(EDATE($D71,Milestones!$AA$45)&lt;=AsOfDate,EDATE($D71,Milestones!$AA$45)&gt;=SchemeStart,IF($X71=0,$AD71,IF(AND($Z71&lt;&gt;"",EDATE($D71,Milestones!$AA$45)&gt;=$Z71),$AC71,IF(AND($Y71&lt;&gt;"",EDATE($D71,Milestones!$AA$45)&gt;=$Y71),$AB71,$AA71)))=Milestones!$AB$45),UPPER(TEXT(EDATE($D71,Milestones!$AA$45),"dd mmm yy"))&amp;" "&amp;Milestones!$AB$45&amp;" "&amp;IF(AND(Milestones!$AB$45="FT",Milestones!$AA$45=FT_Y5,EDATE($D71,Milestones!$AA$45)&lt;PolicyEff),1,Milestones!$AC$45)&amp;";  ","")&amp;IF(AND(EDATE($D71,Milestones!$AA$46)&lt;=AsOfDate,EDATE($D71,Milestones!$AA$46)&gt;=SchemeStart,IF($X71=0,$AD71,IF(AND($Z71&lt;&gt;"",EDATE($D71,Milestones!$AA$46)&gt;=$Z71),$AC71,IF(AND($Y71&lt;&gt;"",EDATE($D71,Milestones!$AA$46)&gt;=$Y71),$AB71,$AA71)))=Milestones!$AB$46),UPPER(TEXT(EDATE($D71,Milestones!$AA$46),"dd mmm yy"))&amp;" "&amp;Milestones!$AB$46&amp;" "&amp;IF(AND(Milestones!$AB$46="FT",Milestones!$AA$46=FT_Y5,EDATE($D71,Milestones!$AA$46)&lt;PolicyEff),1,Milestones!$AC$46)&amp;";  ","")&amp;IF(AND(EDATE($D71,Milestones!$AA$47)&lt;=AsOfDate,EDATE($D71,Milestones!$AA$47)&gt;=SchemeStart,IF($X71=0,$AD71,IF(AND($Z71&lt;&gt;"",EDATE($D71,Milestones!$AA$47)&gt;=$Z71),$AC71,IF(AND($Y71&lt;&gt;"",EDATE($D71,Milestones!$AA$47)&gt;=$Y71),$AB71,$AA71)))=Milestones!$AB$47),UPPER(TEXT(EDATE($D71,Milestones!$AA$47),"dd mmm yy"))&amp;" "&amp;Milestones!$AB$47&amp;" "&amp;IF(AND(Milestones!$AB$47="FT",Milestones!$AA$47=FT_Y5,EDATE($D71,Milestones!$AA$47)&lt;PolicyEff),1,Milestones!$AC$47)&amp;";  ","")&amp;IF(AND(EDATE($D71,Milestones!$AA$48)&lt;=AsOfDate,EDATE($D71,Milestones!$AA$48)&gt;=SchemeStart,IF($X71=0,$AD71,IF(AND($Z71&lt;&gt;"",EDATE($D71,Milestones!$AA$48)&gt;=$Z71),$AC71,IF(AND($Y71&lt;&gt;"",EDATE($D71,Milestones!$AA$48)&gt;=$Y71),$AB71,$AA71)))=Milestones!$AB$48),UPPER(TEXT(EDATE($D71,Milestones!$AA$48),"dd mmm yy"))&amp;" "&amp;Milestones!$AB$48&amp;" "&amp;IF(AND(Milestones!$AB$48="FT",Milestones!$AA$48=FT_Y5,EDATE($D71,Milestones!$AA$48)&lt;PolicyEff),1,Milestones!$AC$48)&amp;";  ","")&amp;IF(AND(EDATE($D71,Milestones!$AA$49)&lt;=AsOfDate,EDATE($D71,Milestones!$AA$49)&gt;=SchemeStart,IF($X71=0,$AD71,IF(AND($Z71&lt;&gt;"",EDATE($D71,Milestones!$AA$49)&gt;=$Z71),$AC71,IF(AND($Y71&lt;&gt;"",EDATE($D71,Milestones!$AA$49)&gt;=$Y71),$AB71,$AA71)))=Milestones!$AB$49),UPPER(TEXT(EDATE($D71,Milestones!$AA$49),"dd mmm yy"))&amp;" "&amp;Milestones!$AB$49&amp;" "&amp;IF(AND(Milestones!$AB$49="FT",Milestones!$AA$49=FT_Y5,EDATE($D71,Milestones!$AA$49)&lt;PolicyEff),1,Milestones!$AC$49)&amp;";  ","")&amp;IF(AND(EDATE($D71,Milestones!$AA$50)&lt;=AsOfDate,EDATE($D71,Milestones!$AA$50)&gt;=SchemeStart,IF($X71=0,$AD71,IF(AND($Z71&lt;&gt;"",EDATE($D71,Milestones!$AA$50)&gt;=$Z71),$AC71,IF(AND($Y71&lt;&gt;"",EDATE($D71,Milestones!$AA$50)&gt;=$Y71),$AB71,$AA71)))=Milestones!$AB$50),UPPER(TEXT(EDATE($D71,Milestones!$AA$50),"dd mmm yy"))&amp;" "&amp;Milestones!$AB$50&amp;" "&amp;IF(AND(Milestones!$AB$50="FT",Milestones!$AA$50=FT_Y5,EDATE($D71,Milestones!$AA$50)&lt;PolicyEff),1,Milestones!$AC$50)&amp;";  ","")&amp;IF(AND(EDATE($D71,Milestones!$AA$51)&lt;=AsOfDate,EDATE($D71,Milestones!$AA$51)&gt;=SchemeStart,IF($X71=0,$AD71,IF(AND($Z71&lt;&gt;"",EDATE($D71,Milestones!$AA$51)&gt;=$Z71),$AC71,IF(AND($Y71&lt;&gt;"",EDATE($D71,Milestones!$AA$51)&gt;=$Y71),$AB71,$AA71)))=Milestones!$AB$51),UPPER(TEXT(EDATE($D71,Milestones!$AA$51),"dd mmm yy"))&amp;" "&amp;Milestones!$AB$51&amp;" "&amp;IF(AND(Milestones!$AB$51="FT",Milestones!$AA$51=FT_Y5,EDATE($D71,Milestones!$AA$51)&lt;PolicyEff),1,Milestones!$AC$51)&amp;";  ","")&amp;IF(AND(EDATE($D71,Milestones!$AA$52)&lt;=AsOfDate,EDATE($D71,Milestones!$AA$52)&gt;=SchemeStart,IF($X71=0,$AD71,IF(AND($Z71&lt;&gt;"",EDATE($D71,Milestones!$AA$52)&gt;=$Z71),$AC71,IF(AND($Y71&lt;&gt;"",EDATE($D71,Milestones!$AA$52)&gt;=$Y71),$AB71,$AA71)))=Milestones!$AB$52),UPPER(TEXT(EDATE($D71,Milestones!$AA$52),"dd mmm yy"))&amp;" "&amp;Milestones!$AB$52&amp;" "&amp;IF(AND(Milestones!$AB$52="FT",Milestones!$AA$52=FT_Y5,EDATE($D71,Milestones!$AA$52)&lt;PolicyEff),1,Milestones!$AC$52)&amp;";  ","")&amp;IF(AND(EDATE($D71,Milestones!$AA$53)&lt;=AsOfDate,EDATE($D71,Milestones!$AA$53)&gt;=SchemeStart,IF($X71=0,$AD71,IF(AND($Z71&lt;&gt;"",EDATE($D71,Milestones!$AA$53)&gt;=$Z71),$AC71,IF(AND($Y71&lt;&gt;"",EDATE($D71,Milestones!$AA$53)&gt;=$Y71),$AB71,$AA71)))=Milestones!$AB$53),UPPER(TEXT(EDATE($D71,Milestones!$AA$53),"dd mmm yy"))&amp;" "&amp;Milestones!$AB$53&amp;" "&amp;IF(AND(Milestones!$AB$53="FT",Milestones!$AA$53=FT_Y5,EDATE($D71,Milestones!$AA$53)&lt;PolicyEff),1,Milestones!$AC$53)&amp;";  ","")&amp;IF(AND(EDATE($D71,Milestones!$AA$54)&lt;=AsOfDate,EDATE($D71,Milestones!$AA$54)&gt;=SchemeStart,IF($X71=0,$AD71,IF(AND($Z71&lt;&gt;"",EDATE($D71,Milestones!$AA$54)&gt;=$Z71),$AC71,IF(AND($Y71&lt;&gt;"",EDATE($D71,Milestones!$AA$54)&gt;=$Y71),$AB71,$AA71)))=Milestones!$AB$54),UPPER(TEXT(EDATE($D71,Milestones!$AA$54),"dd mmm yy"))&amp;" "&amp;Milestones!$AB$54&amp;" "&amp;IF(AND(Milestones!$AB$54="FT",Milestones!$AA$54=FT_Y5,EDATE($D71,Milestones!$AA$54)&lt;PolicyEff),1,Milestones!$AC$54)&amp;";  ","")&amp;IF(AND(EDATE($D71,Milestones!$AA$55)&lt;=AsOfDate,EDATE($D71,Milestones!$AA$55)&gt;=SchemeStart,IF($X71=0,$AD71,IF(AND($Z71&lt;&gt;"",EDATE($D71,Milestones!$AA$55)&gt;=$Z71),$AC71,IF(AND($Y71&lt;&gt;"",EDATE($D71,Milestones!$AA$55)&gt;=$Y71),$AB71,$AA71)))=Milestones!$AB$55),UPPER(TEXT(EDATE($D71,Milestones!$AA$55),"dd mmm yy"))&amp;" "&amp;Milestones!$AB$55&amp;" "&amp;IF(AND(Milestones!$AB$55="FT",Milestones!$AA$55=FT_Y5,EDATE($D71,Milestones!$AA$55)&lt;PolicyEff),1,Milestones!$AC$55)&amp;";  ",""))</f>
        <v/>
      </c>
      <c r="L71" s="0" t="str">
        <f aca="false">IF(OR($A71="",$D71=""),"",IF(AND(EDATE($D71,Milestones!$AA$56)&lt;=AsOfDate,EDATE($D71,Milestones!$AA$56)&gt;=SchemeStart,IF($X71=0,$AD71,IF(AND($Z71&lt;&gt;"",EDATE($D71,Milestones!$AA$56)&gt;=$Z71),$AC71,IF(AND($Y71&lt;&gt;"",EDATE($D71,Milestones!$AA$56)&gt;=$Y71),$AB71,$AA71)))=Milestones!$AB$56),UPPER(TEXT(EDATE($D71,Milestones!$AA$56),"dd mmm yy"))&amp;" "&amp;Milestones!$AB$56&amp;" "&amp;IF(AND(Milestones!$AB$56="FT",Milestones!$AA$56=FT_Y5,EDATE($D71,Milestones!$AA$56)&lt;PolicyEff),1,Milestones!$AC$56)&amp;";  ","")&amp;IF(AND(EDATE($D71,Milestones!$AA$57)&lt;=AsOfDate,EDATE($D71,Milestones!$AA$57)&gt;=SchemeStart,IF($X71=0,$AD71,IF(AND($Z71&lt;&gt;"",EDATE($D71,Milestones!$AA$57)&gt;=$Z71),$AC71,IF(AND($Y71&lt;&gt;"",EDATE($D71,Milestones!$AA$57)&gt;=$Y71),$AB71,$AA71)))=Milestones!$AB$57),UPPER(TEXT(EDATE($D71,Milestones!$AA$57),"dd mmm yy"))&amp;" "&amp;Milestones!$AB$57&amp;" "&amp;IF(AND(Milestones!$AB$57="FT",Milestones!$AA$57=FT_Y5,EDATE($D71,Milestones!$AA$57)&lt;PolicyEff),1,Milestones!$AC$57)&amp;";  ","")&amp;IF(AND(EDATE($D71,Milestones!$AA$58)&lt;=AsOfDate,EDATE($D71,Milestones!$AA$58)&gt;=SchemeStart,IF($X71=0,$AD71,IF(AND($Z71&lt;&gt;"",EDATE($D71,Milestones!$AA$58)&gt;=$Z71),$AC71,IF(AND($Y71&lt;&gt;"",EDATE($D71,Milestones!$AA$58)&gt;=$Y71),$AB71,$AA71)))=Milestones!$AB$58),UPPER(TEXT(EDATE($D71,Milestones!$AA$58),"dd mmm yy"))&amp;" "&amp;Milestones!$AB$58&amp;" "&amp;IF(AND(Milestones!$AB$58="FT",Milestones!$AA$58=FT_Y5,EDATE($D71,Milestones!$AA$58)&lt;PolicyEff),1,Milestones!$AC$58)&amp;";  ","")&amp;IF(AND(EDATE($D71,Milestones!$AA$59)&lt;=AsOfDate,EDATE($D71,Milestones!$AA$59)&gt;=SchemeStart,IF($X71=0,$AD71,IF(AND($Z71&lt;&gt;"",EDATE($D71,Milestones!$AA$59)&gt;=$Z71),$AC71,IF(AND($Y71&lt;&gt;"",EDATE($D71,Milestones!$AA$59)&gt;=$Y71),$AB71,$AA71)))=Milestones!$AB$59),UPPER(TEXT(EDATE($D71,Milestones!$AA$59),"dd mmm yy"))&amp;" "&amp;Milestones!$AB$59&amp;" "&amp;IF(AND(Milestones!$AB$59="FT",Milestones!$AA$59=FT_Y5,EDATE($D71,Milestones!$AA$59)&lt;PolicyEff),1,Milestones!$AC$59)&amp;";  ","")&amp;IF(AND(EDATE($D71,Milestones!$AA$60)&lt;=AsOfDate,EDATE($D71,Milestones!$AA$60)&gt;=SchemeStart,IF($X71=0,$AD71,IF(AND($Z71&lt;&gt;"",EDATE($D71,Milestones!$AA$60)&gt;=$Z71),$AC71,IF(AND($Y71&lt;&gt;"",EDATE($D71,Milestones!$AA$60)&gt;=$Y71),$AB71,$AA71)))=Milestones!$AB$60),UPPER(TEXT(EDATE($D71,Milestones!$AA$60),"dd mmm yy"))&amp;" "&amp;Milestones!$AB$60&amp;" "&amp;IF(AND(Milestones!$AB$60="FT",Milestones!$AA$60=FT_Y5,EDATE($D71,Milestones!$AA$60)&lt;PolicyEff),1,Milestones!$AC$60)&amp;";  ","")&amp;IF(AND(EDATE($D71,Milestones!$AA$61)&lt;=AsOfDate,EDATE($D71,Milestones!$AA$61)&gt;=SchemeStart,IF($X71=0,$AD71,IF(AND($Z71&lt;&gt;"",EDATE($D71,Milestones!$AA$61)&gt;=$Z71),$AC71,IF(AND($Y71&lt;&gt;"",EDATE($D71,Milestones!$AA$61)&gt;=$Y71),$AB71,$AA71)))=Milestones!$AB$61),UPPER(TEXT(EDATE($D71,Milestones!$AA$61),"dd mmm yy"))&amp;" "&amp;Milestones!$AB$61&amp;" "&amp;IF(AND(Milestones!$AB$61="FT",Milestones!$AA$61=FT_Y5,EDATE($D71,Milestones!$AA$61)&lt;PolicyEff),1,Milestones!$AC$61)&amp;";  ","")&amp;IF(AND(EDATE($D71,Milestones!$AA$62)&lt;=AsOfDate,EDATE($D71,Milestones!$AA$62)&gt;=SchemeStart,IF($X71=0,$AD71,IF(AND($Z71&lt;&gt;"",EDATE($D71,Milestones!$AA$62)&gt;=$Z71),$AC71,IF(AND($Y71&lt;&gt;"",EDATE($D71,Milestones!$AA$62)&gt;=$Y71),$AB71,$AA71)))=Milestones!$AB$62),UPPER(TEXT(EDATE($D71,Milestones!$AA$62),"dd mmm yy"))&amp;" "&amp;Milestones!$AB$62&amp;" "&amp;IF(AND(Milestones!$AB$62="FT",Milestones!$AA$62=FT_Y5,EDATE($D71,Milestones!$AA$62)&lt;PolicyEff),1,Milestones!$AC$62)&amp;";  ","")&amp;IF(AND(EDATE($D71,Milestones!$AA$63)&lt;=AsOfDate,EDATE($D71,Milestones!$AA$63)&gt;=SchemeStart,IF($X71=0,$AD71,IF(AND($Z71&lt;&gt;"",EDATE($D71,Milestones!$AA$63)&gt;=$Z71),$AC71,IF(AND($Y71&lt;&gt;"",EDATE($D71,Milestones!$AA$63)&gt;=$Y71),$AB71,$AA71)))=Milestones!$AB$63),UPPER(TEXT(EDATE($D71,Milestones!$AA$63),"dd mmm yy"))&amp;" "&amp;Milestones!$AB$63&amp;" "&amp;IF(AND(Milestones!$AB$63="FT",Milestones!$AA$63=FT_Y5,EDATE($D71,Milestones!$AA$63)&lt;PolicyEff),1,Milestones!$AC$63)&amp;";  ","")&amp;IF(AND(EDATE($D71,Milestones!$AA$64)&lt;=AsOfDate,EDATE($D71,Milestones!$AA$64)&gt;=SchemeStart,IF($X71=0,$AD71,IF(AND($Z71&lt;&gt;"",EDATE($D71,Milestones!$AA$64)&gt;=$Z71),$AC71,IF(AND($Y71&lt;&gt;"",EDATE($D71,Milestones!$AA$64)&gt;=$Y71),$AB71,$AA71)))=Milestones!$AB$64),UPPER(TEXT(EDATE($D71,Milestones!$AA$64),"dd mmm yy"))&amp;" "&amp;Milestones!$AB$64&amp;" "&amp;IF(AND(Milestones!$AB$64="FT",Milestones!$AA$64=FT_Y5,EDATE($D71,Milestones!$AA$64)&lt;PolicyEff),1,Milestones!$AC$64)&amp;";  ","")&amp;IF(AND(EDATE($D71,Milestones!$AA$65)&lt;=AsOfDate,EDATE($D71,Milestones!$AA$65)&gt;=SchemeStart,IF($X71=0,$AD71,IF(AND($Z71&lt;&gt;"",EDATE($D71,Milestones!$AA$65)&gt;=$Z71),$AC71,IF(AND($Y71&lt;&gt;"",EDATE($D71,Milestones!$AA$65)&gt;=$Y71),$AB71,$AA71)))=Milestones!$AB$65),UPPER(TEXT(EDATE($D71,Milestones!$AA$65),"dd mmm yy"))&amp;" "&amp;Milestones!$AB$65&amp;" "&amp;IF(AND(Milestones!$AB$65="FT",Milestones!$AA$65=FT_Y5,EDATE($D71,Milestones!$AA$65)&lt;PolicyEff),1,Milestones!$AC$65)&amp;";  ","")&amp;IF(AND(EDATE($D71,Milestones!$AA$66)&lt;=AsOfDate,EDATE($D71,Milestones!$AA$66)&gt;=SchemeStart,IF($X71=0,$AD71,IF(AND($Z71&lt;&gt;"",EDATE($D71,Milestones!$AA$66)&gt;=$Z71),$AC71,IF(AND($Y71&lt;&gt;"",EDATE($D71,Milestones!$AA$66)&gt;=$Y71),$AB71,$AA71)))=Milestones!$AB$66),UPPER(TEXT(EDATE($D71,Milestones!$AA$66),"dd mmm yy"))&amp;" "&amp;Milestones!$AB$66&amp;" "&amp;IF(AND(Milestones!$AB$66="FT",Milestones!$AA$66=FT_Y5,EDATE($D71,Milestones!$AA$66)&lt;PolicyEff),1,Milestones!$AC$66)&amp;";  ","")&amp;IF(AND(EDATE($D71,Milestones!$AA$67)&lt;=AsOfDate,EDATE($D71,Milestones!$AA$67)&gt;=SchemeStart,IF($X71=0,$AD71,IF(AND($Z71&lt;&gt;"",EDATE($D71,Milestones!$AA$67)&gt;=$Z71),$AC71,IF(AND($Y71&lt;&gt;"",EDATE($D71,Milestones!$AA$67)&gt;=$Y71),$AB71,$AA71)))=Milestones!$AB$67),UPPER(TEXT(EDATE($D71,Milestones!$AA$67),"dd mmm yy"))&amp;" "&amp;Milestones!$AB$67&amp;" "&amp;IF(AND(Milestones!$AB$67="FT",Milestones!$AA$67=FT_Y5,EDATE($D71,Milestones!$AA$67)&lt;PolicyEff),1,Milestones!$AC$67)&amp;";  ",""))</f>
        <v/>
      </c>
      <c r="M71" s="0" t="str">
        <f aca="false">IF(OR($A71="",$D71=""),"",IF(AND(EDATE($D71,Milestones!$AA$68)&lt;=AsOfDate,EDATE($D71,Milestones!$AA$68)&gt;=SchemeStart,IF($X71=0,$AD71,IF(AND($Z71&lt;&gt;"",EDATE($D71,Milestones!$AA$68)&gt;=$Z71),$AC71,IF(AND($Y71&lt;&gt;"",EDATE($D71,Milestones!$AA$68)&gt;=$Y71),$AB71,$AA71)))=Milestones!$AB$68),UPPER(TEXT(EDATE($D71,Milestones!$AA$68),"dd mmm yy"))&amp;" "&amp;Milestones!$AB$68&amp;" "&amp;IF(AND(Milestones!$AB$68="FT",Milestones!$AA$68=FT_Y5,EDATE($D71,Milestones!$AA$68)&lt;PolicyEff),1,Milestones!$AC$68)&amp;";  ","")&amp;IF(AND(EDATE($D71,Milestones!$AA$69)&lt;=AsOfDate,EDATE($D71,Milestones!$AA$69)&gt;=SchemeStart,IF($X71=0,$AD71,IF(AND($Z71&lt;&gt;"",EDATE($D71,Milestones!$AA$69)&gt;=$Z71),$AC71,IF(AND($Y71&lt;&gt;"",EDATE($D71,Milestones!$AA$69)&gt;=$Y71),$AB71,$AA71)))=Milestones!$AB$69),UPPER(TEXT(EDATE($D71,Milestones!$AA$69),"dd mmm yy"))&amp;" "&amp;Milestones!$AB$69&amp;" "&amp;IF(AND(Milestones!$AB$69="FT",Milestones!$AA$69=FT_Y5,EDATE($D71,Milestones!$AA$69)&lt;PolicyEff),1,Milestones!$AC$69)&amp;";  ","")&amp;IF(AND(EDATE($D71,Milestones!$AA$70)&lt;=AsOfDate,EDATE($D71,Milestones!$AA$70)&gt;=SchemeStart,IF($X71=0,$AD71,IF(AND($Z71&lt;&gt;"",EDATE($D71,Milestones!$AA$70)&gt;=$Z71),$AC71,IF(AND($Y71&lt;&gt;"",EDATE($D71,Milestones!$AA$70)&gt;=$Y71),$AB71,$AA71)))=Milestones!$AB$70),UPPER(TEXT(EDATE($D71,Milestones!$AA$70),"dd mmm yy"))&amp;" "&amp;Milestones!$AB$70&amp;" "&amp;IF(AND(Milestones!$AB$70="FT",Milestones!$AA$70=FT_Y5,EDATE($D71,Milestones!$AA$70)&lt;PolicyEff),1,Milestones!$AC$70)&amp;";  ","")&amp;IF(AND(EDATE($D71,Milestones!$AA$71)&lt;=AsOfDate,EDATE($D71,Milestones!$AA$71)&gt;=SchemeStart,IF($X71=0,$AD71,IF(AND($Z71&lt;&gt;"",EDATE($D71,Milestones!$AA$71)&gt;=$Z71),$AC71,IF(AND($Y71&lt;&gt;"",EDATE($D71,Milestones!$AA$71)&gt;=$Y71),$AB71,$AA71)))=Milestones!$AB$71),UPPER(TEXT(EDATE($D71,Milestones!$AA$71),"dd mmm yy"))&amp;" "&amp;Milestones!$AB$71&amp;" "&amp;IF(AND(Milestones!$AB$71="FT",Milestones!$AA$71=FT_Y5,EDATE($D71,Milestones!$AA$71)&lt;PolicyEff),1,Milestones!$AC$71)&amp;";  ","")&amp;IF(AND(EDATE($D71,Milestones!$AA$72)&lt;=AsOfDate,EDATE($D71,Milestones!$AA$72)&gt;=SchemeStart,IF($X71=0,$AD71,IF(AND($Z71&lt;&gt;"",EDATE($D71,Milestones!$AA$72)&gt;=$Z71),$AC71,IF(AND($Y71&lt;&gt;"",EDATE($D71,Milestones!$AA$72)&gt;=$Y71),$AB71,$AA71)))=Milestones!$AB$72),UPPER(TEXT(EDATE($D71,Milestones!$AA$72),"dd mmm yy"))&amp;" "&amp;Milestones!$AB$72&amp;" "&amp;IF(AND(Milestones!$AB$72="FT",Milestones!$AA$72=FT_Y5,EDATE($D71,Milestones!$AA$72)&lt;PolicyEff),1,Milestones!$AC$72)&amp;";  ","")&amp;IF(AND(EDATE($D71,Milestones!$AA$73)&lt;=AsOfDate,EDATE($D71,Milestones!$AA$73)&gt;=SchemeStart,IF($X71=0,$AD71,IF(AND($Z71&lt;&gt;"",EDATE($D71,Milestones!$AA$73)&gt;=$Z71),$AC71,IF(AND($Y71&lt;&gt;"",EDATE($D71,Milestones!$AA$73)&gt;=$Y71),$AB71,$AA71)))=Milestones!$AB$73),UPPER(TEXT(EDATE($D71,Milestones!$AA$73),"dd mmm yy"))&amp;" "&amp;Milestones!$AB$73&amp;" "&amp;IF(AND(Milestones!$AB$73="FT",Milestones!$AA$73=FT_Y5,EDATE($D71,Milestones!$AA$73)&lt;PolicyEff),1,Milestones!$AC$73)&amp;";  ","")&amp;IF(AND(EDATE($D71,Milestones!$AA$74)&lt;=AsOfDate,EDATE($D71,Milestones!$AA$74)&gt;=SchemeStart,IF($X71=0,$AD71,IF(AND($Z71&lt;&gt;"",EDATE($D71,Milestones!$AA$74)&gt;=$Z71),$AC71,IF(AND($Y71&lt;&gt;"",EDATE($D71,Milestones!$AA$74)&gt;=$Y71),$AB71,$AA71)))=Milestones!$AB$74),UPPER(TEXT(EDATE($D71,Milestones!$AA$74),"dd mmm yy"))&amp;" "&amp;Milestones!$AB$74&amp;" "&amp;IF(AND(Milestones!$AB$74="FT",Milestones!$AA$74=FT_Y5,EDATE($D71,Milestones!$AA$74)&lt;PolicyEff),1,Milestones!$AC$74)&amp;";  ","")&amp;IF(AND(EDATE($D71,Milestones!$AA$75)&lt;=AsOfDate,EDATE($D71,Milestones!$AA$75)&gt;=SchemeStart,IF($X71=0,$AD71,IF(AND($Z71&lt;&gt;"",EDATE($D71,Milestones!$AA$75)&gt;=$Z71),$AC71,IF(AND($Y71&lt;&gt;"",EDATE($D71,Milestones!$AA$75)&gt;=$Y71),$AB71,$AA71)))=Milestones!$AB$75),UPPER(TEXT(EDATE($D71,Milestones!$AA$75),"dd mmm yy"))&amp;" "&amp;Milestones!$AB$75&amp;" "&amp;IF(AND(Milestones!$AB$75="FT",Milestones!$AA$75=FT_Y5,EDATE($D71,Milestones!$AA$75)&lt;PolicyEff),1,Milestones!$AC$75)&amp;";  ","")&amp;IF(AND(EDATE($D71,Milestones!$AA$76)&lt;=AsOfDate,EDATE($D71,Milestones!$AA$76)&gt;=SchemeStart,IF($X71=0,$AD71,IF(AND($Z71&lt;&gt;"",EDATE($D71,Milestones!$AA$76)&gt;=$Z71),$AC71,IF(AND($Y71&lt;&gt;"",EDATE($D71,Milestones!$AA$76)&gt;=$Y71),$AB71,$AA71)))=Milestones!$AB$76),UPPER(TEXT(EDATE($D71,Milestones!$AA$76),"dd mmm yy"))&amp;" "&amp;Milestones!$AB$76&amp;" "&amp;IF(AND(Milestones!$AB$76="FT",Milestones!$AA$76=FT_Y5,EDATE($D71,Milestones!$AA$76)&lt;PolicyEff),1,Milestones!$AC$76)&amp;";  ","")&amp;IF(AND(EDATE($D71,Milestones!$AA$77)&lt;=AsOfDate,EDATE($D71,Milestones!$AA$77)&gt;=SchemeStart,IF($X71=0,$AD71,IF(AND($Z71&lt;&gt;"",EDATE($D71,Milestones!$AA$77)&gt;=$Z71),$AC71,IF(AND($Y71&lt;&gt;"",EDATE($D71,Milestones!$AA$77)&gt;=$Y71),$AB71,$AA71)))=Milestones!$AB$77),UPPER(TEXT(EDATE($D71,Milestones!$AA$77),"dd mmm yy"))&amp;" "&amp;Milestones!$AB$77&amp;" "&amp;IF(AND(Milestones!$AB$77="FT",Milestones!$AA$77=FT_Y5,EDATE($D71,Milestones!$AA$77)&lt;PolicyEff),1,Milestones!$AC$77)&amp;";  ","")&amp;IF(AND(EDATE($D71,Milestones!$AA$78)&lt;=AsOfDate,EDATE($D71,Milestones!$AA$78)&gt;=SchemeStart,IF($X71=0,$AD71,IF(AND($Z71&lt;&gt;"",EDATE($D71,Milestones!$AA$78)&gt;=$Z71),$AC71,IF(AND($Y71&lt;&gt;"",EDATE($D71,Milestones!$AA$78)&gt;=$Y71),$AB71,$AA71)))=Milestones!$AB$78),UPPER(TEXT(EDATE($D71,Milestones!$AA$78),"dd mmm yy"))&amp;" "&amp;Milestones!$AB$78&amp;" "&amp;IF(AND(Milestones!$AB$78="FT",Milestones!$AA$78=FT_Y5,EDATE($D71,Milestones!$AA$78)&lt;PolicyEff),1,Milestones!$AC$78)&amp;";  ","")&amp;IF(AND(EDATE($D71,Milestones!$AA$79)&lt;=AsOfDate,EDATE($D71,Milestones!$AA$79)&gt;=SchemeStart,IF($X71=0,$AD71,IF(AND($Z71&lt;&gt;"",EDATE($D71,Milestones!$AA$79)&gt;=$Z71),$AC71,IF(AND($Y71&lt;&gt;"",EDATE($D71,Milestones!$AA$79)&gt;=$Y71),$AB71,$AA71)))=Milestones!$AB$79),UPPER(TEXT(EDATE($D71,Milestones!$AA$79),"dd mmm yy"))&amp;" "&amp;Milestones!$AB$79&amp;" "&amp;IF(AND(Milestones!$AB$79="FT",Milestones!$AA$79=FT_Y5,EDATE($D71,Milestones!$AA$79)&lt;PolicyEff),1,Milestones!$AC$79)&amp;";  ",""))</f>
        <v/>
      </c>
      <c r="N71" s="0" t="str">
        <f aca="false">IF(OR($A71="",$D71=""),"",IF(AND(EDATE($D71,Milestones!$AA$80)&lt;=AsOfDate,EDATE($D71,Milestones!$AA$80)&gt;=SchemeStart,IF($X71=0,$AD71,IF(AND($Z71&lt;&gt;"",EDATE($D71,Milestones!$AA$80)&gt;=$Z71),$AC71,IF(AND($Y71&lt;&gt;"",EDATE($D71,Milestones!$AA$80)&gt;=$Y71),$AB71,$AA71)))=Milestones!$AB$80),UPPER(TEXT(EDATE($D71,Milestones!$AA$80),"dd mmm yy"))&amp;" "&amp;Milestones!$AB$80&amp;" "&amp;IF(AND(Milestones!$AB$80="FT",Milestones!$AA$80=FT_Y5,EDATE($D71,Milestones!$AA$80)&lt;PolicyEff),1,Milestones!$AC$80)&amp;";  ","")&amp;IF(AND(EDATE($D71,Milestones!$AA$81)&lt;=AsOfDate,EDATE($D71,Milestones!$AA$81)&gt;=SchemeStart,IF($X71=0,$AD71,IF(AND($Z71&lt;&gt;"",EDATE($D71,Milestones!$AA$81)&gt;=$Z71),$AC71,IF(AND($Y71&lt;&gt;"",EDATE($D71,Milestones!$AA$81)&gt;=$Y71),$AB71,$AA71)))=Milestones!$AB$81),UPPER(TEXT(EDATE($D71,Milestones!$AA$81),"dd mmm yy"))&amp;" "&amp;Milestones!$AB$81&amp;" "&amp;IF(AND(Milestones!$AB$81="FT",Milestones!$AA$81=FT_Y5,EDATE($D71,Milestones!$AA$81)&lt;PolicyEff),1,Milestones!$AC$81)&amp;";  ","")&amp;IF(AND(EDATE($D71,Milestones!$AA$82)&lt;=AsOfDate,EDATE($D71,Milestones!$AA$82)&gt;=SchemeStart,IF($X71=0,$AD71,IF(AND($Z71&lt;&gt;"",EDATE($D71,Milestones!$AA$82)&gt;=$Z71),$AC71,IF(AND($Y71&lt;&gt;"",EDATE($D71,Milestones!$AA$82)&gt;=$Y71),$AB71,$AA71)))=Milestones!$AB$82),UPPER(TEXT(EDATE($D71,Milestones!$AA$82),"dd mmm yy"))&amp;" "&amp;Milestones!$AB$82&amp;" "&amp;IF(AND(Milestones!$AB$82="FT",Milestones!$AA$82=FT_Y5,EDATE($D71,Milestones!$AA$82)&lt;PolicyEff),1,Milestones!$AC$82)&amp;";  ","")&amp;IF(AND(EDATE($D71,Milestones!$AA$83)&lt;=AsOfDate,EDATE($D71,Milestones!$AA$83)&gt;=SchemeStart,IF($X71=0,$AD71,IF(AND($Z71&lt;&gt;"",EDATE($D71,Milestones!$AA$83)&gt;=$Z71),$AC71,IF(AND($Y71&lt;&gt;"",EDATE($D71,Milestones!$AA$83)&gt;=$Y71),$AB71,$AA71)))=Milestones!$AB$83),UPPER(TEXT(EDATE($D71,Milestones!$AA$83),"dd mmm yy"))&amp;" "&amp;Milestones!$AB$83&amp;" "&amp;IF(AND(Milestones!$AB$83="FT",Milestones!$AA$83=FT_Y5,EDATE($D71,Milestones!$AA$83)&lt;PolicyEff),1,Milestones!$AC$83)&amp;";  ","")&amp;IF(AND(EDATE($D71,Milestones!$AA$84)&lt;=AsOfDate,EDATE($D71,Milestones!$AA$84)&gt;=SchemeStart,IF($X71=0,$AD71,IF(AND($Z71&lt;&gt;"",EDATE($D71,Milestones!$AA$84)&gt;=$Z71),$AC71,IF(AND($Y71&lt;&gt;"",EDATE($D71,Milestones!$AA$84)&gt;=$Y71),$AB71,$AA71)))=Milestones!$AB$84),UPPER(TEXT(EDATE($D71,Milestones!$AA$84),"dd mmm yy"))&amp;" "&amp;Milestones!$AB$84&amp;" "&amp;IF(AND(Milestones!$AB$84="FT",Milestones!$AA$84=FT_Y5,EDATE($D71,Milestones!$AA$84)&lt;PolicyEff),1,Milestones!$AC$84)&amp;";  ","")&amp;IF(AND(EDATE($D71,Milestones!$AA$85)&lt;=AsOfDate,EDATE($D71,Milestones!$AA$85)&gt;=SchemeStart,IF($X71=0,$AD71,IF(AND($Z71&lt;&gt;"",EDATE($D71,Milestones!$AA$85)&gt;=$Z71),$AC71,IF(AND($Y71&lt;&gt;"",EDATE($D71,Milestones!$AA$85)&gt;=$Y71),$AB71,$AA71)))=Milestones!$AB$85),UPPER(TEXT(EDATE($D71,Milestones!$AA$85),"dd mmm yy"))&amp;" "&amp;Milestones!$AB$85&amp;" "&amp;IF(AND(Milestones!$AB$85="FT",Milestones!$AA$85=FT_Y5,EDATE($D71,Milestones!$AA$85)&lt;PolicyEff),1,Milestones!$AC$85)&amp;";  ","")&amp;IF(AND(EDATE($D71,Milestones!$AA$86)&lt;=AsOfDate,EDATE($D71,Milestones!$AA$86)&gt;=SchemeStart,IF($X71=0,$AD71,IF(AND($Z71&lt;&gt;"",EDATE($D71,Milestones!$AA$86)&gt;=$Z71),$AC71,IF(AND($Y71&lt;&gt;"",EDATE($D71,Milestones!$AA$86)&gt;=$Y71),$AB71,$AA71)))=Milestones!$AB$86),UPPER(TEXT(EDATE($D71,Milestones!$AA$86),"dd mmm yy"))&amp;" "&amp;Milestones!$AB$86&amp;" "&amp;IF(AND(Milestones!$AB$86="FT",Milestones!$AA$86=FT_Y5,EDATE($D71,Milestones!$AA$86)&lt;PolicyEff),1,Milestones!$AC$86)&amp;";  ","")&amp;IF(AND(EDATE($D71,Milestones!$AA$87)&lt;=AsOfDate,EDATE($D71,Milestones!$AA$87)&gt;=SchemeStart,IF($X71=0,$AD71,IF(AND($Z71&lt;&gt;"",EDATE($D71,Milestones!$AA$87)&gt;=$Z71),$AC71,IF(AND($Y71&lt;&gt;"",EDATE($D71,Milestones!$AA$87)&gt;=$Y71),$AB71,$AA71)))=Milestones!$AB$87),UPPER(TEXT(EDATE($D71,Milestones!$AA$87),"dd mmm yy"))&amp;" "&amp;Milestones!$AB$87&amp;" "&amp;IF(AND(Milestones!$AB$87="FT",Milestones!$AA$87=FT_Y5,EDATE($D71,Milestones!$AA$87)&lt;PolicyEff),1,Milestones!$AC$87)&amp;";  ","")&amp;IF(AND(EDATE($D71,Milestones!$AA$88)&lt;=AsOfDate,EDATE($D71,Milestones!$AA$88)&gt;=SchemeStart,IF($X71=0,$AD71,IF(AND($Z71&lt;&gt;"",EDATE($D71,Milestones!$AA$88)&gt;=$Z71),$AC71,IF(AND($Y71&lt;&gt;"",EDATE($D71,Milestones!$AA$88)&gt;=$Y71),$AB71,$AA71)))=Milestones!$AB$88),UPPER(TEXT(EDATE($D71,Milestones!$AA$88),"dd mmm yy"))&amp;" "&amp;Milestones!$AB$88&amp;" "&amp;IF(AND(Milestones!$AB$88="FT",Milestones!$AA$88=FT_Y5,EDATE($D71,Milestones!$AA$88)&lt;PolicyEff),1,Milestones!$AC$88)&amp;";  ","")&amp;IF(AND(EDATE($D71,Milestones!$AA$89)&lt;=AsOfDate,EDATE($D71,Milestones!$AA$89)&gt;=SchemeStart,IF($X71=0,$AD71,IF(AND($Z71&lt;&gt;"",EDATE($D71,Milestones!$AA$89)&gt;=$Z71),$AC71,IF(AND($Y71&lt;&gt;"",EDATE($D71,Milestones!$AA$89)&gt;=$Y71),$AB71,$AA71)))=Milestones!$AB$89),UPPER(TEXT(EDATE($D71,Milestones!$AA$89),"dd mmm yy"))&amp;" "&amp;Milestones!$AB$89&amp;" "&amp;IF(AND(Milestones!$AB$89="FT",Milestones!$AA$89=FT_Y5,EDATE($D71,Milestones!$AA$89)&lt;PolicyEff),1,Milestones!$AC$89)&amp;";  ","")&amp;IF(AND(EDATE($D71,Milestones!$AA$90)&lt;=AsOfDate,EDATE($D71,Milestones!$AA$90)&gt;=SchemeStart,IF($X71=0,$AD71,IF(AND($Z71&lt;&gt;"",EDATE($D71,Milestones!$AA$90)&gt;=$Z71),$AC71,IF(AND($Y71&lt;&gt;"",EDATE($D71,Milestones!$AA$90)&gt;=$Y71),$AB71,$AA71)))=Milestones!$AB$90),UPPER(TEXT(EDATE($D71,Milestones!$AA$90),"dd mmm yy"))&amp;" "&amp;Milestones!$AB$90&amp;" "&amp;IF(AND(Milestones!$AB$90="FT",Milestones!$AA$90=FT_Y5,EDATE($D71,Milestones!$AA$90)&lt;PolicyEff),1,Milestones!$AC$90)&amp;";  ","")&amp;IF(AND(EDATE($D71,Milestones!$AA$91)&lt;=AsOfDate,EDATE($D71,Milestones!$AA$91)&gt;=SchemeStart,IF($X71=0,$AD71,IF(AND($Z71&lt;&gt;"",EDATE($D71,Milestones!$AA$91)&gt;=$Z71),$AC71,IF(AND($Y71&lt;&gt;"",EDATE($D71,Milestones!$AA$91)&gt;=$Y71),$AB71,$AA71)))=Milestones!$AB$91),UPPER(TEXT(EDATE($D71,Milestones!$AA$91),"dd mmm yy"))&amp;" "&amp;Milestones!$AB$91&amp;" "&amp;IF(AND(Milestones!$AB$91="FT",Milestones!$AA$91=FT_Y5,EDATE($D71,Milestones!$AA$91)&lt;PolicyEff),1,Milestones!$AC$91)&amp;";  ",""))</f>
        <v/>
      </c>
      <c r="O71" s="0" t="str">
        <f aca="false">IF(OR($A71="",$D71=""),"",IF(AND(EDATE($D71,Milestones!$AA$92)&lt;=AsOfDate,EDATE($D71,Milestones!$AA$92)&gt;=SchemeStart,IF($X71=0,$AD71,IF(AND($Z71&lt;&gt;"",EDATE($D71,Milestones!$AA$92)&gt;=$Z71),$AC71,IF(AND($Y71&lt;&gt;"",EDATE($D71,Milestones!$AA$92)&gt;=$Y71),$AB71,$AA71)))=Milestones!$AB$92),UPPER(TEXT(EDATE($D71,Milestones!$AA$92),"dd mmm yy"))&amp;" "&amp;Milestones!$AB$92&amp;" "&amp;IF(AND(Milestones!$AB$92="FT",Milestones!$AA$92=FT_Y5,EDATE($D71,Milestones!$AA$92)&lt;PolicyEff),1,Milestones!$AC$92)&amp;";  ","")&amp;IF(AND(EDATE($D71,Milestones!$AA$93)&lt;=AsOfDate,EDATE($D71,Milestones!$AA$93)&gt;=SchemeStart,IF($X71=0,$AD71,IF(AND($Z71&lt;&gt;"",EDATE($D71,Milestones!$AA$93)&gt;=$Z71),$AC71,IF(AND($Y71&lt;&gt;"",EDATE($D71,Milestones!$AA$93)&gt;=$Y71),$AB71,$AA71)))=Milestones!$AB$93),UPPER(TEXT(EDATE($D71,Milestones!$AA$93),"dd mmm yy"))&amp;" "&amp;Milestones!$AB$93&amp;" "&amp;IF(AND(Milestones!$AB$93="FT",Milestones!$AA$93=FT_Y5,EDATE($D71,Milestones!$AA$93)&lt;PolicyEff),1,Milestones!$AC$93)&amp;";  ","")&amp;IF(AND(EDATE($D71,Milestones!$AA$94)&lt;=AsOfDate,EDATE($D71,Milestones!$AA$94)&gt;=SchemeStart,IF($X71=0,$AD71,IF(AND($Z71&lt;&gt;"",EDATE($D71,Milestones!$AA$94)&gt;=$Z71),$AC71,IF(AND($Y71&lt;&gt;"",EDATE($D71,Milestones!$AA$94)&gt;=$Y71),$AB71,$AA71)))=Milestones!$AB$94),UPPER(TEXT(EDATE($D71,Milestones!$AA$94),"dd mmm yy"))&amp;" "&amp;Milestones!$AB$94&amp;" "&amp;IF(AND(Milestones!$AB$94="FT",Milestones!$AA$94=FT_Y5,EDATE($D71,Milestones!$AA$94)&lt;PolicyEff),1,Milestones!$AC$94)&amp;";  ","")&amp;IF(AND(EDATE($D71,Milestones!$AA$95)&lt;=AsOfDate,EDATE($D71,Milestones!$AA$95)&gt;=SchemeStart,IF($X71=0,$AD71,IF(AND($Z71&lt;&gt;"",EDATE($D71,Milestones!$AA$95)&gt;=$Z71),$AC71,IF(AND($Y71&lt;&gt;"",EDATE($D71,Milestones!$AA$95)&gt;=$Y71),$AB71,$AA71)))=Milestones!$AB$95),UPPER(TEXT(EDATE($D71,Milestones!$AA$95),"dd mmm yy"))&amp;" "&amp;Milestones!$AB$95&amp;" "&amp;IF(AND(Milestones!$AB$95="FT",Milestones!$AA$95=FT_Y5,EDATE($D71,Milestones!$AA$95)&lt;PolicyEff),1,Milestones!$AC$95)&amp;";  ","")&amp;IF(AND(EDATE($D71,Milestones!$AA$96)&lt;=AsOfDate,EDATE($D71,Milestones!$AA$96)&gt;=SchemeStart,IF($X71=0,$AD71,IF(AND($Z71&lt;&gt;"",EDATE($D71,Milestones!$AA$96)&gt;=$Z71),$AC71,IF(AND($Y71&lt;&gt;"",EDATE($D71,Milestones!$AA$96)&gt;=$Y71),$AB71,$AA71)))=Milestones!$AB$96),UPPER(TEXT(EDATE($D71,Milestones!$AA$96),"dd mmm yy"))&amp;" "&amp;Milestones!$AB$96&amp;" "&amp;IF(AND(Milestones!$AB$96="FT",Milestones!$AA$96=FT_Y5,EDATE($D71,Milestones!$AA$96)&lt;PolicyEff),1,Milestones!$AC$96)&amp;";  ","")&amp;IF(AND(EDATE($D71,Milestones!$AA$97)&lt;=AsOfDate,EDATE($D71,Milestones!$AA$97)&gt;=SchemeStart,IF($X71=0,$AD71,IF(AND($Z71&lt;&gt;"",EDATE($D71,Milestones!$AA$97)&gt;=$Z71),$AC71,IF(AND($Y71&lt;&gt;"",EDATE($D71,Milestones!$AA$97)&gt;=$Y71),$AB71,$AA71)))=Milestones!$AB$97),UPPER(TEXT(EDATE($D71,Milestones!$AA$97),"dd mmm yy"))&amp;" "&amp;Milestones!$AB$97&amp;" "&amp;IF(AND(Milestones!$AB$97="FT",Milestones!$AA$97=FT_Y5,EDATE($D71,Milestones!$AA$97)&lt;PolicyEff),1,Milestones!$AC$97)&amp;";  ","")&amp;IF(AND(EDATE($D71,Milestones!$AA$98)&lt;=AsOfDate,EDATE($D71,Milestones!$AA$98)&gt;=SchemeStart,IF($X71=0,$AD71,IF(AND($Z71&lt;&gt;"",EDATE($D71,Milestones!$AA$98)&gt;=$Z71),$AC71,IF(AND($Y71&lt;&gt;"",EDATE($D71,Milestones!$AA$98)&gt;=$Y71),$AB71,$AA71)))=Milestones!$AB$98),UPPER(TEXT(EDATE($D71,Milestones!$AA$98),"dd mmm yy"))&amp;" "&amp;Milestones!$AB$98&amp;" "&amp;IF(AND(Milestones!$AB$98="FT",Milestones!$AA$98=FT_Y5,EDATE($D71,Milestones!$AA$98)&lt;PolicyEff),1,Milestones!$AC$98)&amp;";  ","")&amp;IF(AND(EDATE($D71,Milestones!$AA$99)&lt;=AsOfDate,EDATE($D71,Milestones!$AA$99)&gt;=SchemeStart,IF($X71=0,$AD71,IF(AND($Z71&lt;&gt;"",EDATE($D71,Milestones!$AA$99)&gt;=$Z71),$AC71,IF(AND($Y71&lt;&gt;"",EDATE($D71,Milestones!$AA$99)&gt;=$Y71),$AB71,$AA71)))=Milestones!$AB$99),UPPER(TEXT(EDATE($D71,Milestones!$AA$99),"dd mmm yy"))&amp;" "&amp;Milestones!$AB$99&amp;" "&amp;IF(AND(Milestones!$AB$99="FT",Milestones!$AA$99=FT_Y5,EDATE($D71,Milestones!$AA$99)&lt;PolicyEff),1,Milestones!$AC$99)&amp;";  ","")&amp;IF(AND(EDATE($D71,Milestones!$AA$100)&lt;=AsOfDate,EDATE($D71,Milestones!$AA$100)&gt;=SchemeStart,IF($X71=0,$AD71,IF(AND($Z71&lt;&gt;"",EDATE($D71,Milestones!$AA$100)&gt;=$Z71),$AC71,IF(AND($Y71&lt;&gt;"",EDATE($D71,Milestones!$AA$100)&gt;=$Y71),$AB71,$AA71)))=Milestones!$AB$100),UPPER(TEXT(EDATE($D71,Milestones!$AA$100),"dd mmm yy"))&amp;" "&amp;Milestones!$AB$100&amp;" "&amp;IF(AND(Milestones!$AB$100="FT",Milestones!$AA$100=FT_Y5,EDATE($D71,Milestones!$AA$100)&lt;PolicyEff),1,Milestones!$AC$100)&amp;";  ","")&amp;IF(AND(EDATE($D71,Milestones!$AA$101)&lt;=AsOfDate,EDATE($D71,Milestones!$AA$101)&gt;=SchemeStart,IF($X71=0,$AD71,IF(AND($Z71&lt;&gt;"",EDATE($D71,Milestones!$AA$101)&gt;=$Z71),$AC71,IF(AND($Y71&lt;&gt;"",EDATE($D71,Milestones!$AA$101)&gt;=$Y71),$AB71,$AA71)))=Milestones!$AB$101),UPPER(TEXT(EDATE($D71,Milestones!$AA$101),"dd mmm yy"))&amp;" "&amp;Milestones!$AB$101&amp;" "&amp;IF(AND(Milestones!$AB$101="FT",Milestones!$AA$101=FT_Y5,EDATE($D71,Milestones!$AA$101)&lt;PolicyEff),1,Milestones!$AC$101)&amp;";  ","")&amp;IF(AND(EDATE($D71,Milestones!$AA$102)&lt;=AsOfDate,EDATE($D71,Milestones!$AA$102)&gt;=SchemeStart,IF($X71=0,$AD71,IF(AND($Z71&lt;&gt;"",EDATE($D71,Milestones!$AA$102)&gt;=$Z71),$AC71,IF(AND($Y71&lt;&gt;"",EDATE($D71,Milestones!$AA$102)&gt;=$Y71),$AB71,$AA71)))=Milestones!$AB$102),UPPER(TEXT(EDATE($D71,Milestones!$AA$102),"dd mmm yy"))&amp;" "&amp;Milestones!$AB$102&amp;" "&amp;IF(AND(Milestones!$AB$102="FT",Milestones!$AA$102=FT_Y5,EDATE($D71,Milestones!$AA$102)&lt;PolicyEff),1,Milestones!$AC$102)&amp;";  ","")&amp;IF(AND(EDATE($D71,Milestones!$AA$103)&lt;=AsOfDate,EDATE($D71,Milestones!$AA$103)&gt;=SchemeStart,IF($X71=0,$AD71,IF(AND($Z71&lt;&gt;"",EDATE($D71,Milestones!$AA$103)&gt;=$Z71),$AC71,IF(AND($Y71&lt;&gt;"",EDATE($D71,Milestones!$AA$103)&gt;=$Y71),$AB71,$AA71)))=Milestones!$AB$103),UPPER(TEXT(EDATE($D71,Milestones!$AA$103),"dd mmm yy"))&amp;" "&amp;Milestones!$AB$103&amp;" "&amp;IF(AND(Milestones!$AB$103="FT",Milestones!$AA$103=FT_Y5,EDATE($D71,Milestones!$AA$103)&lt;PolicyEff),1,Milestones!$AC$103)&amp;";  ",""))</f>
        <v/>
      </c>
      <c r="P71" s="0" t="str">
        <f aca="false">IF(OR($A71="",$D71=""),"",IF(AND(EDATE($D71,Milestones!$AA$104)&lt;=AsOfDate,EDATE($D71,Milestones!$AA$104)&gt;=SchemeStart,IF($X71=0,$AD71,IF(AND($Z71&lt;&gt;"",EDATE($D71,Milestones!$AA$104)&gt;=$Z71),$AC71,IF(AND($Y71&lt;&gt;"",EDATE($D71,Milestones!$AA$104)&gt;=$Y71),$AB71,$AA71)))=Milestones!$AB$104),UPPER(TEXT(EDATE($D71,Milestones!$AA$104),"dd mmm yy"))&amp;" "&amp;Milestones!$AB$104&amp;" "&amp;IF(AND(Milestones!$AB$104="FT",Milestones!$AA$104=FT_Y5,EDATE($D71,Milestones!$AA$104)&lt;PolicyEff),1,Milestones!$AC$104)&amp;";  ","")&amp;IF(AND(EDATE($D71,Milestones!$AA$105)&lt;=AsOfDate,EDATE($D71,Milestones!$AA$105)&gt;=SchemeStart,IF($X71=0,$AD71,IF(AND($Z71&lt;&gt;"",EDATE($D71,Milestones!$AA$105)&gt;=$Z71),$AC71,IF(AND($Y71&lt;&gt;"",EDATE($D71,Milestones!$AA$105)&gt;=$Y71),$AB71,$AA71)))=Milestones!$AB$105),UPPER(TEXT(EDATE($D71,Milestones!$AA$105),"dd mmm yy"))&amp;" "&amp;Milestones!$AB$105&amp;" "&amp;IF(AND(Milestones!$AB$105="FT",Milestones!$AA$105=FT_Y5,EDATE($D71,Milestones!$AA$105)&lt;PolicyEff),1,Milestones!$AC$105)&amp;";  ","")&amp;IF(AND(EDATE($D71,Milestones!$AA$106)&lt;=AsOfDate,EDATE($D71,Milestones!$AA$106)&gt;=SchemeStart,IF($X71=0,$AD71,IF(AND($Z71&lt;&gt;"",EDATE($D71,Milestones!$AA$106)&gt;=$Z71),$AC71,IF(AND($Y71&lt;&gt;"",EDATE($D71,Milestones!$AA$106)&gt;=$Y71),$AB71,$AA71)))=Milestones!$AB$106),UPPER(TEXT(EDATE($D71,Milestones!$AA$106),"dd mmm yy"))&amp;" "&amp;Milestones!$AB$106&amp;" "&amp;IF(AND(Milestones!$AB$106="FT",Milestones!$AA$106=FT_Y5,EDATE($D71,Milestones!$AA$106)&lt;PolicyEff),1,Milestones!$AC$106)&amp;";  ","")&amp;IF(AND(EDATE($D71,Milestones!$AA$107)&lt;=AsOfDate,EDATE($D71,Milestones!$AA$107)&gt;=SchemeStart,IF($X71=0,$AD71,IF(AND($Z71&lt;&gt;"",EDATE($D71,Milestones!$AA$107)&gt;=$Z71),$AC71,IF(AND($Y71&lt;&gt;"",EDATE($D71,Milestones!$AA$107)&gt;=$Y71),$AB71,$AA71)))=Milestones!$AB$107),UPPER(TEXT(EDATE($D71,Milestones!$AA$107),"dd mmm yy"))&amp;" "&amp;Milestones!$AB$107&amp;" "&amp;IF(AND(Milestones!$AB$107="FT",Milestones!$AA$107=FT_Y5,EDATE($D71,Milestones!$AA$107)&lt;PolicyEff),1,Milestones!$AC$107)&amp;";  ","")&amp;IF(AND(EDATE($D71,Milestones!$AA$108)&lt;=AsOfDate,EDATE($D71,Milestones!$AA$108)&gt;=SchemeStart,IF($X71=0,$AD71,IF(AND($Z71&lt;&gt;"",EDATE($D71,Milestones!$AA$108)&gt;=$Z71),$AC71,IF(AND($Y71&lt;&gt;"",EDATE($D71,Milestones!$AA$108)&gt;=$Y71),$AB71,$AA71)))=Milestones!$AB$108),UPPER(TEXT(EDATE($D71,Milestones!$AA$108),"dd mmm yy"))&amp;" "&amp;Milestones!$AB$108&amp;" "&amp;IF(AND(Milestones!$AB$108="FT",Milestones!$AA$108=FT_Y5,EDATE($D71,Milestones!$AA$108)&lt;PolicyEff),1,Milestones!$AC$108)&amp;";  ","")&amp;IF(AND(EDATE($D71,Milestones!$AA$109)&lt;=AsOfDate,EDATE($D71,Milestones!$AA$109)&gt;=SchemeStart,IF($X71=0,$AD71,IF(AND($Z71&lt;&gt;"",EDATE($D71,Milestones!$AA$109)&gt;=$Z71),$AC71,IF(AND($Y71&lt;&gt;"",EDATE($D71,Milestones!$AA$109)&gt;=$Y71),$AB71,$AA71)))=Milestones!$AB$109),UPPER(TEXT(EDATE($D71,Milestones!$AA$109),"dd mmm yy"))&amp;" "&amp;Milestones!$AB$109&amp;" "&amp;IF(AND(Milestones!$AB$109="FT",Milestones!$AA$109=FT_Y5,EDATE($D71,Milestones!$AA$109)&lt;PolicyEff),1,Milestones!$AC$109)&amp;";  ","")&amp;IF(AND(EDATE($D71,Milestones!$AA$110)&lt;=AsOfDate,EDATE($D71,Milestones!$AA$110)&gt;=SchemeStart,IF($X71=0,$AD71,IF(AND($Z71&lt;&gt;"",EDATE($D71,Milestones!$AA$110)&gt;=$Z71),$AC71,IF(AND($Y71&lt;&gt;"",EDATE($D71,Milestones!$AA$110)&gt;=$Y71),$AB71,$AA71)))=Milestones!$AB$110),UPPER(TEXT(EDATE($D71,Milestones!$AA$110),"dd mmm yy"))&amp;" "&amp;Milestones!$AB$110&amp;" "&amp;IF(AND(Milestones!$AB$110="FT",Milestones!$AA$110=FT_Y5,EDATE($D71,Milestones!$AA$110)&lt;PolicyEff),1,Milestones!$AC$110)&amp;";  ","")&amp;IF(AND(EDATE($D71,Milestones!$AA$111)&lt;=AsOfDate,EDATE($D71,Milestones!$AA$111)&gt;=SchemeStart,IF($X71=0,$AD71,IF(AND($Z71&lt;&gt;"",EDATE($D71,Milestones!$AA$111)&gt;=$Z71),$AC71,IF(AND($Y71&lt;&gt;"",EDATE($D71,Milestones!$AA$111)&gt;=$Y71),$AB71,$AA71)))=Milestones!$AB$111),UPPER(TEXT(EDATE($D71,Milestones!$AA$111),"dd mmm yy"))&amp;" "&amp;Milestones!$AB$111&amp;" "&amp;IF(AND(Milestones!$AB$111="FT",Milestones!$AA$111=FT_Y5,EDATE($D71,Milestones!$AA$111)&lt;PolicyEff),1,Milestones!$AC$111)&amp;";  ","")&amp;IF(AND(EDATE($D71,Milestones!$AA$112)&lt;=AsOfDate,EDATE($D71,Milestones!$AA$112)&gt;=SchemeStart,IF($X71=0,$AD71,IF(AND($Z71&lt;&gt;"",EDATE($D71,Milestones!$AA$112)&gt;=$Z71),$AC71,IF(AND($Y71&lt;&gt;"",EDATE($D71,Milestones!$AA$112)&gt;=$Y71),$AB71,$AA71)))=Milestones!$AB$112),UPPER(TEXT(EDATE($D71,Milestones!$AA$112),"dd mmm yy"))&amp;" "&amp;Milestones!$AB$112&amp;" "&amp;IF(AND(Milestones!$AB$112="FT",Milestones!$AA$112=FT_Y5,EDATE($D71,Milestones!$AA$112)&lt;PolicyEff),1,Milestones!$AC$112)&amp;";  ","")&amp;IF(AND(EDATE($D71,Milestones!$AA$113)&lt;=AsOfDate,EDATE($D71,Milestones!$AA$113)&gt;=SchemeStart,IF($X71=0,$AD71,IF(AND($Z71&lt;&gt;"",EDATE($D71,Milestones!$AA$113)&gt;=$Z71),$AC71,IF(AND($Y71&lt;&gt;"",EDATE($D71,Milestones!$AA$113)&gt;=$Y71),$AB71,$AA71)))=Milestones!$AB$113),UPPER(TEXT(EDATE($D71,Milestones!$AA$113),"dd mmm yy"))&amp;" "&amp;Milestones!$AB$113&amp;" "&amp;IF(AND(Milestones!$AB$113="FT",Milestones!$AA$113=FT_Y5,EDATE($D71,Milestones!$AA$113)&lt;PolicyEff),1,Milestones!$AC$113)&amp;";  ","")&amp;IF(AND(EDATE($D71,Milestones!$AA$114)&lt;=AsOfDate,EDATE($D71,Milestones!$AA$114)&gt;=SchemeStart,IF($X71=0,$AD71,IF(AND($Z71&lt;&gt;"",EDATE($D71,Milestones!$AA$114)&gt;=$Z71),$AC71,IF(AND($Y71&lt;&gt;"",EDATE($D71,Milestones!$AA$114)&gt;=$Y71),$AB71,$AA71)))=Milestones!$AB$114),UPPER(TEXT(EDATE($D71,Milestones!$AA$114),"dd mmm yy"))&amp;" "&amp;Milestones!$AB$114&amp;" "&amp;IF(AND(Milestones!$AB$114="FT",Milestones!$AA$114=FT_Y5,EDATE($D71,Milestones!$AA$114)&lt;PolicyEff),1,Milestones!$AC$114)&amp;";  ","")&amp;IF(AND(EDATE($D71,Milestones!$AA$115)&lt;=AsOfDate,EDATE($D71,Milestones!$AA$115)&gt;=SchemeStart,IF($X71=0,$AD71,IF(AND($Z71&lt;&gt;"",EDATE($D71,Milestones!$AA$115)&gt;=$Z71),$AC71,IF(AND($Y71&lt;&gt;"",EDATE($D71,Milestones!$AA$115)&gt;=$Y71),$AB71,$AA71)))=Milestones!$AB$115),UPPER(TEXT(EDATE($D71,Milestones!$AA$115),"dd mmm yy"))&amp;" "&amp;Milestones!$AB$115&amp;" "&amp;IF(AND(Milestones!$AB$115="FT",Milestones!$AA$115=FT_Y5,EDATE($D71,Milestones!$AA$115)&lt;PolicyEff),1,Milestones!$AC$115)&amp;";  ",""))</f>
        <v/>
      </c>
      <c r="Q71" s="0" t="str">
        <f aca="false">IF(OR($A71="",$D71=""),"",IF(AND(EDATE($D71,Milestones!$AA$116)&lt;=AsOfDate,EDATE($D71,Milestones!$AA$116)&gt;=SchemeStart,IF($X71=0,$AD71,IF(AND($Z71&lt;&gt;"",EDATE($D71,Milestones!$AA$116)&gt;=$Z71),$AC71,IF(AND($Y71&lt;&gt;"",EDATE($D71,Milestones!$AA$116)&gt;=$Y71),$AB71,$AA71)))=Milestones!$AB$116),UPPER(TEXT(EDATE($D71,Milestones!$AA$116),"dd mmm yy"))&amp;" "&amp;Milestones!$AB$116&amp;" "&amp;IF(AND(Milestones!$AB$116="FT",Milestones!$AA$116=FT_Y5,EDATE($D71,Milestones!$AA$116)&lt;PolicyEff),1,Milestones!$AC$116)&amp;";  ","")&amp;IF(AND(EDATE($D71,Milestones!$AA$117)&lt;=AsOfDate,EDATE($D71,Milestones!$AA$117)&gt;=SchemeStart,IF($X71=0,$AD71,IF(AND($Z71&lt;&gt;"",EDATE($D71,Milestones!$AA$117)&gt;=$Z71),$AC71,IF(AND($Y71&lt;&gt;"",EDATE($D71,Milestones!$AA$117)&gt;=$Y71),$AB71,$AA71)))=Milestones!$AB$117),UPPER(TEXT(EDATE($D71,Milestones!$AA$117),"dd mmm yy"))&amp;" "&amp;Milestones!$AB$117&amp;" "&amp;IF(AND(Milestones!$AB$117="FT",Milestones!$AA$117=FT_Y5,EDATE($D71,Milestones!$AA$117)&lt;PolicyEff),1,Milestones!$AC$117)&amp;";  ","")&amp;IF(AND(EDATE($D71,Milestones!$AA$118)&lt;=AsOfDate,EDATE($D71,Milestones!$AA$118)&gt;=SchemeStart,IF($X71=0,$AD71,IF(AND($Z71&lt;&gt;"",EDATE($D71,Milestones!$AA$118)&gt;=$Z71),$AC71,IF(AND($Y71&lt;&gt;"",EDATE($D71,Milestones!$AA$118)&gt;=$Y71),$AB71,$AA71)))=Milestones!$AB$118),UPPER(TEXT(EDATE($D71,Milestones!$AA$118),"dd mmm yy"))&amp;" "&amp;Milestones!$AB$118&amp;" "&amp;IF(AND(Milestones!$AB$118="FT",Milestones!$AA$118=FT_Y5,EDATE($D71,Milestones!$AA$118)&lt;PolicyEff),1,Milestones!$AC$118)&amp;";  ","")&amp;IF(AND(EDATE($D71,Milestones!$AA$119)&lt;=AsOfDate,EDATE($D71,Milestones!$AA$119)&gt;=SchemeStart,IF($X71=0,$AD71,IF(AND($Z71&lt;&gt;"",EDATE($D71,Milestones!$AA$119)&gt;=$Z71),$AC71,IF(AND($Y71&lt;&gt;"",EDATE($D71,Milestones!$AA$119)&gt;=$Y71),$AB71,$AA71)))=Milestones!$AB$119),UPPER(TEXT(EDATE($D71,Milestones!$AA$119),"dd mmm yy"))&amp;" "&amp;Milestones!$AB$119&amp;" "&amp;IF(AND(Milestones!$AB$119="FT",Milestones!$AA$119=FT_Y5,EDATE($D71,Milestones!$AA$119)&lt;PolicyEff),1,Milestones!$AC$119)&amp;";  ","")&amp;IF(AND(EDATE($D71,Milestones!$AA$120)&lt;=AsOfDate,EDATE($D71,Milestones!$AA$120)&gt;=SchemeStart,IF($X71=0,$AD71,IF(AND($Z71&lt;&gt;"",EDATE($D71,Milestones!$AA$120)&gt;=$Z71),$AC71,IF(AND($Y71&lt;&gt;"",EDATE($D71,Milestones!$AA$120)&gt;=$Y71),$AB71,$AA71)))=Milestones!$AB$120),UPPER(TEXT(EDATE($D71,Milestones!$AA$120),"dd mmm yy"))&amp;" "&amp;Milestones!$AB$120&amp;" "&amp;IF(AND(Milestones!$AB$120="FT",Milestones!$AA$120=FT_Y5,EDATE($D71,Milestones!$AA$120)&lt;PolicyEff),1,Milestones!$AC$120)&amp;";  ","")&amp;IF(AND(EDATE($D71,Milestones!$AA$121)&lt;=AsOfDate,EDATE($D71,Milestones!$AA$121)&gt;=SchemeStart,IF($X71=0,$AD71,IF(AND($Z71&lt;&gt;"",EDATE($D71,Milestones!$AA$121)&gt;=$Z71),$AC71,IF(AND($Y71&lt;&gt;"",EDATE($D71,Milestones!$AA$121)&gt;=$Y71),$AB71,$AA71)))=Milestones!$AB$121),UPPER(TEXT(EDATE($D71,Milestones!$AA$121),"dd mmm yy"))&amp;" "&amp;Milestones!$AB$121&amp;" "&amp;IF(AND(Milestones!$AB$121="FT",Milestones!$AA$121=FT_Y5,EDATE($D71,Milestones!$AA$121)&lt;PolicyEff),1,Milestones!$AC$121)&amp;";  ","")&amp;IF(AND(EDATE($D71,Milestones!$AA$122)&lt;=AsOfDate,EDATE($D71,Milestones!$AA$122)&gt;=SchemeStart,IF($X71=0,$AD71,IF(AND($Z71&lt;&gt;"",EDATE($D71,Milestones!$AA$122)&gt;=$Z71),$AC71,IF(AND($Y71&lt;&gt;"",EDATE($D71,Milestones!$AA$122)&gt;=$Y71),$AB71,$AA71)))=Milestones!$AB$122),UPPER(TEXT(EDATE($D71,Milestones!$AA$122),"dd mmm yy"))&amp;" "&amp;Milestones!$AB$122&amp;" "&amp;IF(AND(Milestones!$AB$122="FT",Milestones!$AA$122=FT_Y5,EDATE($D71,Milestones!$AA$122)&lt;PolicyEff),1,Milestones!$AC$122)&amp;";  ","")&amp;IF(AND(EDATE($D71,Milestones!$AA$123)&lt;=AsOfDate,EDATE($D71,Milestones!$AA$123)&gt;=SchemeStart,IF($X71=0,$AD71,IF(AND($Z71&lt;&gt;"",EDATE($D71,Milestones!$AA$123)&gt;=$Z71),$AC71,IF(AND($Y71&lt;&gt;"",EDATE($D71,Milestones!$AA$123)&gt;=$Y71),$AB71,$AA71)))=Milestones!$AB$123),UPPER(TEXT(EDATE($D71,Milestones!$AA$123),"dd mmm yy"))&amp;" "&amp;Milestones!$AB$123&amp;" "&amp;IF(AND(Milestones!$AB$123="FT",Milestones!$AA$123=FT_Y5,EDATE($D71,Milestones!$AA$123)&lt;PolicyEff),1,Milestones!$AC$123)&amp;";  ","")&amp;IF(AND(EDATE($D71,Milestones!$AA$124)&lt;=AsOfDate,EDATE($D71,Milestones!$AA$124)&gt;=SchemeStart,IF($X71=0,$AD71,IF(AND($Z71&lt;&gt;"",EDATE($D71,Milestones!$AA$124)&gt;=$Z71),$AC71,IF(AND($Y71&lt;&gt;"",EDATE($D71,Milestones!$AA$124)&gt;=$Y71),$AB71,$AA71)))=Milestones!$AB$124),UPPER(TEXT(EDATE($D71,Milestones!$AA$124),"dd mmm yy"))&amp;" "&amp;Milestones!$AB$124&amp;" "&amp;IF(AND(Milestones!$AB$124="FT",Milestones!$AA$124=FT_Y5,EDATE($D71,Milestones!$AA$124)&lt;PolicyEff),1,Milestones!$AC$124)&amp;";  ","")&amp;IF(AND(EDATE($D71,Milestones!$AA$125)&lt;=AsOfDate,EDATE($D71,Milestones!$AA$125)&gt;=SchemeStart,IF($X71=0,$AD71,IF(AND($Z71&lt;&gt;"",EDATE($D71,Milestones!$AA$125)&gt;=$Z71),$AC71,IF(AND($Y71&lt;&gt;"",EDATE($D71,Milestones!$AA$125)&gt;=$Y71),$AB71,$AA71)))=Milestones!$AB$125),UPPER(TEXT(EDATE($D71,Milestones!$AA$125),"dd mmm yy"))&amp;" "&amp;Milestones!$AB$125&amp;" "&amp;IF(AND(Milestones!$AB$125="FT",Milestones!$AA$125=FT_Y5,EDATE($D71,Milestones!$AA$125)&lt;PolicyEff),1,Milestones!$AC$125)&amp;";  ","")&amp;IF(AND(EDATE($D71,Milestones!$AA$126)&lt;=AsOfDate,EDATE($D71,Milestones!$AA$126)&gt;=SchemeStart,IF($X71=0,$AD71,IF(AND($Z71&lt;&gt;"",EDATE($D71,Milestones!$AA$126)&gt;=$Z71),$AC71,IF(AND($Y71&lt;&gt;"",EDATE($D71,Milestones!$AA$126)&gt;=$Y71),$AB71,$AA71)))=Milestones!$AB$126),UPPER(TEXT(EDATE($D71,Milestones!$AA$126),"dd mmm yy"))&amp;" "&amp;Milestones!$AB$126&amp;" "&amp;IF(AND(Milestones!$AB$126="FT",Milestones!$AA$126=FT_Y5,EDATE($D71,Milestones!$AA$126)&lt;PolicyEff),1,Milestones!$AC$126)&amp;";  ","")&amp;IF(AND(EDATE($D71,Milestones!$AA$127)&lt;=AsOfDate,EDATE($D71,Milestones!$AA$127)&gt;=SchemeStart,IF($X71=0,$AD71,IF(AND($Z71&lt;&gt;"",EDATE($D71,Milestones!$AA$127)&gt;=$Z71),$AC71,IF(AND($Y71&lt;&gt;"",EDATE($D71,Milestones!$AA$127)&gt;=$Y71),$AB71,$AA71)))=Milestones!$AB$127),UPPER(TEXT(EDATE($D71,Milestones!$AA$127),"dd mmm yy"))&amp;" "&amp;Milestones!$AB$127&amp;" "&amp;IF(AND(Milestones!$AB$127="FT",Milestones!$AA$127=FT_Y5,EDATE($D71,Milestones!$AA$127)&lt;PolicyEff),1,Milestones!$AC$127)&amp;";  ",""))</f>
        <v/>
      </c>
      <c r="R71" s="0" t="str">
        <f aca="false">IF(OR($A71="",$D71=""),"",IF(AND(EDATE($D71,Milestones!$AA$128)&lt;=AsOfDate,EDATE($D71,Milestones!$AA$128)&gt;=SchemeStart,IF($X71=0,$AD71,IF(AND($Z71&lt;&gt;"",EDATE($D71,Milestones!$AA$128)&gt;=$Z71),$AC71,IF(AND($Y71&lt;&gt;"",EDATE($D71,Milestones!$AA$128)&gt;=$Y71),$AB71,$AA71)))=Milestones!$AB$128),UPPER(TEXT(EDATE($D71,Milestones!$AA$128),"dd mmm yy"))&amp;" "&amp;Milestones!$AB$128&amp;" "&amp;IF(AND(Milestones!$AB$128="FT",Milestones!$AA$128=FT_Y5,EDATE($D71,Milestones!$AA$128)&lt;PolicyEff),1,Milestones!$AC$128)&amp;";  ","")&amp;IF(AND(EDATE($D71,Milestones!$AA$129)&lt;=AsOfDate,EDATE($D71,Milestones!$AA$129)&gt;=SchemeStart,IF($X71=0,$AD71,IF(AND($Z71&lt;&gt;"",EDATE($D71,Milestones!$AA$129)&gt;=$Z71),$AC71,IF(AND($Y71&lt;&gt;"",EDATE($D71,Milestones!$AA$129)&gt;=$Y71),$AB71,$AA71)))=Milestones!$AB$129),UPPER(TEXT(EDATE($D71,Milestones!$AA$129),"dd mmm yy"))&amp;" "&amp;Milestones!$AB$129&amp;" "&amp;IF(AND(Milestones!$AB$129="FT",Milestones!$AA$129=FT_Y5,EDATE($D71,Milestones!$AA$129)&lt;PolicyEff),1,Milestones!$AC$129)&amp;";  ","")&amp;IF(AND(EDATE($D71,Milestones!$AA$130)&lt;=AsOfDate,EDATE($D71,Milestones!$AA$130)&gt;=SchemeStart,IF($X71=0,$AD71,IF(AND($Z71&lt;&gt;"",EDATE($D71,Milestones!$AA$130)&gt;=$Z71),$AC71,IF(AND($Y71&lt;&gt;"",EDATE($D71,Milestones!$AA$130)&gt;=$Y71),$AB71,$AA71)))=Milestones!$AB$130),UPPER(TEXT(EDATE($D71,Milestones!$AA$130),"dd mmm yy"))&amp;" "&amp;Milestones!$AB$130&amp;" "&amp;IF(AND(Milestones!$AB$130="FT",Milestones!$AA$130=FT_Y5,EDATE($D71,Milestones!$AA$130)&lt;PolicyEff),1,Milestones!$AC$130)&amp;";  ","")&amp;IF(AND(EDATE($D71,Milestones!$AA$131)&lt;=AsOfDate,EDATE($D71,Milestones!$AA$131)&gt;=SchemeStart,IF($X71=0,$AD71,IF(AND($Z71&lt;&gt;"",EDATE($D71,Milestones!$AA$131)&gt;=$Z71),$AC71,IF(AND($Y71&lt;&gt;"",EDATE($D71,Milestones!$AA$131)&gt;=$Y71),$AB71,$AA71)))=Milestones!$AB$131),UPPER(TEXT(EDATE($D71,Milestones!$AA$131),"dd mmm yy"))&amp;" "&amp;Milestones!$AB$131&amp;" "&amp;IF(AND(Milestones!$AB$131="FT",Milestones!$AA$131=FT_Y5,EDATE($D71,Milestones!$AA$131)&lt;PolicyEff),1,Milestones!$AC$131)&amp;";  ","")&amp;IF(AND(EDATE($D71,Milestones!$AA$132)&lt;=AsOfDate,EDATE($D71,Milestones!$AA$132)&gt;=SchemeStart,IF($X71=0,$AD71,IF(AND($Z71&lt;&gt;"",EDATE($D71,Milestones!$AA$132)&gt;=$Z71),$AC71,IF(AND($Y71&lt;&gt;"",EDATE($D71,Milestones!$AA$132)&gt;=$Y71),$AB71,$AA71)))=Milestones!$AB$132),UPPER(TEXT(EDATE($D71,Milestones!$AA$132),"dd mmm yy"))&amp;" "&amp;Milestones!$AB$132&amp;" "&amp;IF(AND(Milestones!$AB$132="FT",Milestones!$AA$132=FT_Y5,EDATE($D71,Milestones!$AA$132)&lt;PolicyEff),1,Milestones!$AC$132)&amp;";  ","")&amp;IF(AND(EDATE($D71,Milestones!$AA$133)&lt;=AsOfDate,EDATE($D71,Milestones!$AA$133)&gt;=SchemeStart,IF($X71=0,$AD71,IF(AND($Z71&lt;&gt;"",EDATE($D71,Milestones!$AA$133)&gt;=$Z71),$AC71,IF(AND($Y71&lt;&gt;"",EDATE($D71,Milestones!$AA$133)&gt;=$Y71),$AB71,$AA71)))=Milestones!$AB$133),UPPER(TEXT(EDATE($D71,Milestones!$AA$133),"dd mmm yy"))&amp;" "&amp;Milestones!$AB$133&amp;" "&amp;IF(AND(Milestones!$AB$133="FT",Milestones!$AA$133=FT_Y5,EDATE($D71,Milestones!$AA$133)&lt;PolicyEff),1,Milestones!$AC$133)&amp;";  ","")&amp;IF(AND(EDATE($D71,Milestones!$AA$134)&lt;=AsOfDate,EDATE($D71,Milestones!$AA$134)&gt;=SchemeStart,IF($X71=0,$AD71,IF(AND($Z71&lt;&gt;"",EDATE($D71,Milestones!$AA$134)&gt;=$Z71),$AC71,IF(AND($Y71&lt;&gt;"",EDATE($D71,Milestones!$AA$134)&gt;=$Y71),$AB71,$AA71)))=Milestones!$AB$134),UPPER(TEXT(EDATE($D71,Milestones!$AA$134),"dd mmm yy"))&amp;" "&amp;Milestones!$AB$134&amp;" "&amp;IF(AND(Milestones!$AB$134="FT",Milestones!$AA$134=FT_Y5,EDATE($D71,Milestones!$AA$134)&lt;PolicyEff),1,Milestones!$AC$134)&amp;";  ","")&amp;IF(AND(EDATE($D71,Milestones!$AA$135)&lt;=AsOfDate,EDATE($D71,Milestones!$AA$135)&gt;=SchemeStart,IF($X71=0,$AD71,IF(AND($Z71&lt;&gt;"",EDATE($D71,Milestones!$AA$135)&gt;=$Z71),$AC71,IF(AND($Y71&lt;&gt;"",EDATE($D71,Milestones!$AA$135)&gt;=$Y71),$AB71,$AA71)))=Milestones!$AB$135),UPPER(TEXT(EDATE($D71,Milestones!$AA$135),"dd mmm yy"))&amp;" "&amp;Milestones!$AB$135&amp;" "&amp;IF(AND(Milestones!$AB$135="FT",Milestones!$AA$135=FT_Y5,EDATE($D71,Milestones!$AA$135)&lt;PolicyEff),1,Milestones!$AC$135)&amp;";  ","")&amp;IF(AND(EDATE($D71,Milestones!$AA$136)&lt;=AsOfDate,EDATE($D71,Milestones!$AA$136)&gt;=SchemeStart,IF($X71=0,$AD71,IF(AND($Z71&lt;&gt;"",EDATE($D71,Milestones!$AA$136)&gt;=$Z71),$AC71,IF(AND($Y71&lt;&gt;"",EDATE($D71,Milestones!$AA$136)&gt;=$Y71),$AB71,$AA71)))=Milestones!$AB$136),UPPER(TEXT(EDATE($D71,Milestones!$AA$136),"dd mmm yy"))&amp;" "&amp;Milestones!$AB$136&amp;" "&amp;IF(AND(Milestones!$AB$136="FT",Milestones!$AA$136=FT_Y5,EDATE($D71,Milestones!$AA$136)&lt;PolicyEff),1,Milestones!$AC$136)&amp;";  ","")&amp;IF(AND(EDATE($D71,Milestones!$AA$137)&lt;=AsOfDate,EDATE($D71,Milestones!$AA$137)&gt;=SchemeStart,IF($X71=0,$AD71,IF(AND($Z71&lt;&gt;"",EDATE($D71,Milestones!$AA$137)&gt;=$Z71),$AC71,IF(AND($Y71&lt;&gt;"",EDATE($D71,Milestones!$AA$137)&gt;=$Y71),$AB71,$AA71)))=Milestones!$AB$137),UPPER(TEXT(EDATE($D71,Milestones!$AA$137),"dd mmm yy"))&amp;" "&amp;Milestones!$AB$137&amp;" "&amp;IF(AND(Milestones!$AB$137="FT",Milestones!$AA$137=FT_Y5,EDATE($D71,Milestones!$AA$137)&lt;PolicyEff),1,Milestones!$AC$137)&amp;";  ","")&amp;IF(AND(EDATE($D71,Milestones!$AA$138)&lt;=AsOfDate,EDATE($D71,Milestones!$AA$138)&gt;=SchemeStart,IF($X71=0,$AD71,IF(AND($Z71&lt;&gt;"",EDATE($D71,Milestones!$AA$138)&gt;=$Z71),$AC71,IF(AND($Y71&lt;&gt;"",EDATE($D71,Milestones!$AA$138)&gt;=$Y71),$AB71,$AA71)))=Milestones!$AB$138),UPPER(TEXT(EDATE($D71,Milestones!$AA$138),"dd mmm yy"))&amp;" "&amp;Milestones!$AB$138&amp;" "&amp;IF(AND(Milestones!$AB$138="FT",Milestones!$AA$138=FT_Y5,EDATE($D71,Milestones!$AA$138)&lt;PolicyEff),1,Milestones!$AC$138)&amp;";  ","")&amp;IF(AND(EDATE($D71,Milestones!$AA$139)&lt;=AsOfDate,EDATE($D71,Milestones!$AA$139)&gt;=SchemeStart,IF($X71=0,$AD71,IF(AND($Z71&lt;&gt;"",EDATE($D71,Milestones!$AA$139)&gt;=$Z71),$AC71,IF(AND($Y71&lt;&gt;"",EDATE($D71,Milestones!$AA$139)&gt;=$Y71),$AB71,$AA71)))=Milestones!$AB$139),UPPER(TEXT(EDATE($D71,Milestones!$AA$139),"dd mmm yy"))&amp;" "&amp;Milestones!$AB$139&amp;" "&amp;IF(AND(Milestones!$AB$139="FT",Milestones!$AA$139=FT_Y5,EDATE($D71,Milestones!$AA$139)&lt;PolicyEff),1,Milestones!$AC$139)&amp;";  ",""))</f>
        <v/>
      </c>
      <c r="S71" s="0" t="str">
        <f aca="false">IF(OR($A71="",$D71=""),"",IF(AND(EDATE($D71,Milestones!$AA$140)&lt;=AsOfDate,EDATE($D71,Milestones!$AA$140)&gt;=SchemeStart,IF($X71=0,$AD71,IF(AND($Z71&lt;&gt;"",EDATE($D71,Milestones!$AA$140)&gt;=$Z71),$AC71,IF(AND($Y71&lt;&gt;"",EDATE($D71,Milestones!$AA$140)&gt;=$Y71),$AB71,$AA71)))=Milestones!$AB$140),UPPER(TEXT(EDATE($D71,Milestones!$AA$140),"dd mmm yy"))&amp;" "&amp;Milestones!$AB$140&amp;" "&amp;IF(AND(Milestones!$AB$140="FT",Milestones!$AA$140=FT_Y5,EDATE($D71,Milestones!$AA$140)&lt;PolicyEff),1,Milestones!$AC$140)&amp;";  ","")&amp;IF(AND(EDATE($D71,Milestones!$AA$141)&lt;=AsOfDate,EDATE($D71,Milestones!$AA$141)&gt;=SchemeStart,IF($X71=0,$AD71,IF(AND($Z71&lt;&gt;"",EDATE($D71,Milestones!$AA$141)&gt;=$Z71),$AC71,IF(AND($Y71&lt;&gt;"",EDATE($D71,Milestones!$AA$141)&gt;=$Y71),$AB71,$AA71)))=Milestones!$AB$141),UPPER(TEXT(EDATE($D71,Milestones!$AA$141),"dd mmm yy"))&amp;" "&amp;Milestones!$AB$141&amp;" "&amp;IF(AND(Milestones!$AB$141="FT",Milestones!$AA$141=FT_Y5,EDATE($D71,Milestones!$AA$141)&lt;PolicyEff),1,Milestones!$AC$141)&amp;";  ","")&amp;IF(AND(EDATE($D71,Milestones!$AA$142)&lt;=AsOfDate,EDATE($D71,Milestones!$AA$142)&gt;=SchemeStart,IF($X71=0,$AD71,IF(AND($Z71&lt;&gt;"",EDATE($D71,Milestones!$AA$142)&gt;=$Z71),$AC71,IF(AND($Y71&lt;&gt;"",EDATE($D71,Milestones!$AA$142)&gt;=$Y71),$AB71,$AA71)))=Milestones!$AB$142),UPPER(TEXT(EDATE($D71,Milestones!$AA$142),"dd mmm yy"))&amp;" "&amp;Milestones!$AB$142&amp;" "&amp;IF(AND(Milestones!$AB$142="FT",Milestones!$AA$142=FT_Y5,EDATE($D71,Milestones!$AA$142)&lt;PolicyEff),1,Milestones!$AC$142)&amp;";  ","")&amp;IF(AND(EDATE($D71,Milestones!$AA$143)&lt;=AsOfDate,EDATE($D71,Milestones!$AA$143)&gt;=SchemeStart,IF($X71=0,$AD71,IF(AND($Z71&lt;&gt;"",EDATE($D71,Milestones!$AA$143)&gt;=$Z71),$AC71,IF(AND($Y71&lt;&gt;"",EDATE($D71,Milestones!$AA$143)&gt;=$Y71),$AB71,$AA71)))=Milestones!$AB$143),UPPER(TEXT(EDATE($D71,Milestones!$AA$143),"dd mmm yy"))&amp;" "&amp;Milestones!$AB$143&amp;" "&amp;IF(AND(Milestones!$AB$143="FT",Milestones!$AA$143=FT_Y5,EDATE($D71,Milestones!$AA$143)&lt;PolicyEff),1,Milestones!$AC$143)&amp;";  ","")&amp;IF(AND(EDATE($D71,Milestones!$AA$144)&lt;=AsOfDate,EDATE($D71,Milestones!$AA$144)&gt;=SchemeStart,IF($X71=0,$AD71,IF(AND($Z71&lt;&gt;"",EDATE($D71,Milestones!$AA$144)&gt;=$Z71),$AC71,IF(AND($Y71&lt;&gt;"",EDATE($D71,Milestones!$AA$144)&gt;=$Y71),$AB71,$AA71)))=Milestones!$AB$144),UPPER(TEXT(EDATE($D71,Milestones!$AA$144),"dd mmm yy"))&amp;" "&amp;Milestones!$AB$144&amp;" "&amp;IF(AND(Milestones!$AB$144="FT",Milestones!$AA$144=FT_Y5,EDATE($D71,Milestones!$AA$144)&lt;PolicyEff),1,Milestones!$AC$144)&amp;";  ","")&amp;IF(AND(EDATE($D71,Milestones!$AA$145)&lt;=AsOfDate,EDATE($D71,Milestones!$AA$145)&gt;=SchemeStart,IF($X71=0,$AD71,IF(AND($Z71&lt;&gt;"",EDATE($D71,Milestones!$AA$145)&gt;=$Z71),$AC71,IF(AND($Y71&lt;&gt;"",EDATE($D71,Milestones!$AA$145)&gt;=$Y71),$AB71,$AA71)))=Milestones!$AB$145),UPPER(TEXT(EDATE($D71,Milestones!$AA$145),"dd mmm yy"))&amp;" "&amp;Milestones!$AB$145&amp;" "&amp;IF(AND(Milestones!$AB$145="FT",Milestones!$AA$145=FT_Y5,EDATE($D71,Milestones!$AA$145)&lt;PolicyEff),1,Milestones!$AC$145)&amp;";  ","")&amp;IF(AND(EDATE($D71,Milestones!$AA$146)&lt;=AsOfDate,EDATE($D71,Milestones!$AA$146)&gt;=SchemeStart,IF($X71=0,$AD71,IF(AND($Z71&lt;&gt;"",EDATE($D71,Milestones!$AA$146)&gt;=$Z71),$AC71,IF(AND($Y71&lt;&gt;"",EDATE($D71,Milestones!$AA$146)&gt;=$Y71),$AB71,$AA71)))=Milestones!$AB$146),UPPER(TEXT(EDATE($D71,Milestones!$AA$146),"dd mmm yy"))&amp;" "&amp;Milestones!$AB$146&amp;" "&amp;IF(AND(Milestones!$AB$146="FT",Milestones!$AA$146=FT_Y5,EDATE($D71,Milestones!$AA$146)&lt;PolicyEff),1,Milestones!$AC$146)&amp;";  ","")&amp;IF(AND(EDATE($D71,Milestones!$AA$147)&lt;=AsOfDate,EDATE($D71,Milestones!$AA$147)&gt;=SchemeStart,IF($X71=0,$AD71,IF(AND($Z71&lt;&gt;"",EDATE($D71,Milestones!$AA$147)&gt;=$Z71),$AC71,IF(AND($Y71&lt;&gt;"",EDATE($D71,Milestones!$AA$147)&gt;=$Y71),$AB71,$AA71)))=Milestones!$AB$147),UPPER(TEXT(EDATE($D71,Milestones!$AA$147),"dd mmm yy"))&amp;" "&amp;Milestones!$AB$147&amp;" "&amp;IF(AND(Milestones!$AB$147="FT",Milestones!$AA$147=FT_Y5,EDATE($D71,Milestones!$AA$147)&lt;PolicyEff),1,Milestones!$AC$147)&amp;";  ","")&amp;IF(AND(EDATE($D71,Milestones!$AA$148)&lt;=AsOfDate,EDATE($D71,Milestones!$AA$148)&gt;=SchemeStart,IF($X71=0,$AD71,IF(AND($Z71&lt;&gt;"",EDATE($D71,Milestones!$AA$148)&gt;=$Z71),$AC71,IF(AND($Y71&lt;&gt;"",EDATE($D71,Milestones!$AA$148)&gt;=$Y71),$AB71,$AA71)))=Milestones!$AB$148),UPPER(TEXT(EDATE($D71,Milestones!$AA$148),"dd mmm yy"))&amp;" "&amp;Milestones!$AB$148&amp;" "&amp;IF(AND(Milestones!$AB$148="FT",Milestones!$AA$148=FT_Y5,EDATE($D71,Milestones!$AA$148)&lt;PolicyEff),1,Milestones!$AC$148)&amp;";  ","")&amp;IF(AND(EDATE($D71,Milestones!$AA$149)&lt;=AsOfDate,EDATE($D71,Milestones!$AA$149)&gt;=SchemeStart,IF($X71=0,$AD71,IF(AND($Z71&lt;&gt;"",EDATE($D71,Milestones!$AA$149)&gt;=$Z71),$AC71,IF(AND($Y71&lt;&gt;"",EDATE($D71,Milestones!$AA$149)&gt;=$Y71),$AB71,$AA71)))=Milestones!$AB$149),UPPER(TEXT(EDATE($D71,Milestones!$AA$149),"dd mmm yy"))&amp;" "&amp;Milestones!$AB$149&amp;" "&amp;IF(AND(Milestones!$AB$149="FT",Milestones!$AA$149=FT_Y5,EDATE($D71,Milestones!$AA$149)&lt;PolicyEff),1,Milestones!$AC$149)&amp;";  ","")&amp;IF(AND(EDATE($D71,Milestones!$AA$150)&lt;=AsOfDate,EDATE($D71,Milestones!$AA$150)&gt;=SchemeStart,IF($X71=0,$AD71,IF(AND($Z71&lt;&gt;"",EDATE($D71,Milestones!$AA$150)&gt;=$Z71),$AC71,IF(AND($Y71&lt;&gt;"",EDATE($D71,Milestones!$AA$150)&gt;=$Y71),$AB71,$AA71)))=Milestones!$AB$150),UPPER(TEXT(EDATE($D71,Milestones!$AA$150),"dd mmm yy"))&amp;" "&amp;Milestones!$AB$150&amp;" "&amp;IF(AND(Milestones!$AB$150="FT",Milestones!$AA$150=FT_Y5,EDATE($D71,Milestones!$AA$150)&lt;PolicyEff),1,Milestones!$AC$150)&amp;";  ","")&amp;IF(AND(EDATE($D71,Milestones!$AA$151)&lt;=AsOfDate,EDATE($D71,Milestones!$AA$151)&gt;=SchemeStart,IF($X71=0,$AD71,IF(AND($Z71&lt;&gt;"",EDATE($D71,Milestones!$AA$151)&gt;=$Z71),$AC71,IF(AND($Y71&lt;&gt;"",EDATE($D71,Milestones!$AA$151)&gt;=$Y71),$AB71,$AA71)))=Milestones!$AB$151),UPPER(TEXT(EDATE($D71,Milestones!$AA$151),"dd mmm yy"))&amp;" "&amp;Milestones!$AB$151&amp;" "&amp;IF(AND(Milestones!$AB$151="FT",Milestones!$AA$151=FT_Y5,EDATE($D71,Milestones!$AA$151)&lt;PolicyEff),1,Milestones!$AC$151)&amp;";  ",""))</f>
        <v/>
      </c>
      <c r="T71" s="0" t="str">
        <f aca="false">IF(OR($A71="",$D71=""),"",IF(AND(EDATE($D71,Milestones!$AA$152)&lt;=AsOfDate,EDATE($D71,Milestones!$AA$152)&gt;=SchemeStart,IF($X71=0,$AD71,IF(AND($Z71&lt;&gt;"",EDATE($D71,Milestones!$AA$152)&gt;=$Z71),$AC71,IF(AND($Y71&lt;&gt;"",EDATE($D71,Milestones!$AA$152)&gt;=$Y71),$AB71,$AA71)))=Milestones!$AB$152),UPPER(TEXT(EDATE($D71,Milestones!$AA$152),"dd mmm yy"))&amp;" "&amp;Milestones!$AB$152&amp;" "&amp;IF(AND(Milestones!$AB$152="FT",Milestones!$AA$152=FT_Y5,EDATE($D71,Milestones!$AA$152)&lt;PolicyEff),1,Milestones!$AC$152)&amp;";  ","")&amp;IF(AND(EDATE($D71,Milestones!$AA$153)&lt;=AsOfDate,EDATE($D71,Milestones!$AA$153)&gt;=SchemeStart,IF($X71=0,$AD71,IF(AND($Z71&lt;&gt;"",EDATE($D71,Milestones!$AA$153)&gt;=$Z71),$AC71,IF(AND($Y71&lt;&gt;"",EDATE($D71,Milestones!$AA$153)&gt;=$Y71),$AB71,$AA71)))=Milestones!$AB$153),UPPER(TEXT(EDATE($D71,Milestones!$AA$153),"dd mmm yy"))&amp;" "&amp;Milestones!$AB$153&amp;" "&amp;IF(AND(Milestones!$AB$153="FT",Milestones!$AA$153=FT_Y5,EDATE($D71,Milestones!$AA$153)&lt;PolicyEff),1,Milestones!$AC$153)&amp;";  ","")&amp;IF(AND(EDATE($D71,Milestones!$AA$154)&lt;=AsOfDate,EDATE($D71,Milestones!$AA$154)&gt;=SchemeStart,IF($X71=0,$AD71,IF(AND($Z71&lt;&gt;"",EDATE($D71,Milestones!$AA$154)&gt;=$Z71),$AC71,IF(AND($Y71&lt;&gt;"",EDATE($D71,Milestones!$AA$154)&gt;=$Y71),$AB71,$AA71)))=Milestones!$AB$154),UPPER(TEXT(EDATE($D71,Milestones!$AA$154),"dd mmm yy"))&amp;" "&amp;Milestones!$AB$154&amp;" "&amp;IF(AND(Milestones!$AB$154="FT",Milestones!$AA$154=FT_Y5,EDATE($D71,Milestones!$AA$154)&lt;PolicyEff),1,Milestones!$AC$154)&amp;";  ","")&amp;IF(AND(EDATE($D71,Milestones!$AA$155)&lt;=AsOfDate,EDATE($D71,Milestones!$AA$155)&gt;=SchemeStart,IF($X71=0,$AD71,IF(AND($Z71&lt;&gt;"",EDATE($D71,Milestones!$AA$155)&gt;=$Z71),$AC71,IF(AND($Y71&lt;&gt;"",EDATE($D71,Milestones!$AA$155)&gt;=$Y71),$AB71,$AA71)))=Milestones!$AB$155),UPPER(TEXT(EDATE($D71,Milestones!$AA$155),"dd mmm yy"))&amp;" "&amp;Milestones!$AB$155&amp;" "&amp;IF(AND(Milestones!$AB$155="FT",Milestones!$AA$155=FT_Y5,EDATE($D71,Milestones!$AA$155)&lt;PolicyEff),1,Milestones!$AC$155)&amp;";  ","")&amp;IF(AND(EDATE($D71,Milestones!$AA$156)&lt;=AsOfDate,EDATE($D71,Milestones!$AA$156)&gt;=SchemeStart,IF($X71=0,$AD71,IF(AND($Z71&lt;&gt;"",EDATE($D71,Milestones!$AA$156)&gt;=$Z71),$AC71,IF(AND($Y71&lt;&gt;"",EDATE($D71,Milestones!$AA$156)&gt;=$Y71),$AB71,$AA71)))=Milestones!$AB$156),UPPER(TEXT(EDATE($D71,Milestones!$AA$156),"dd mmm yy"))&amp;" "&amp;Milestones!$AB$156&amp;" "&amp;IF(AND(Milestones!$AB$156="FT",Milestones!$AA$156=FT_Y5,EDATE($D71,Milestones!$AA$156)&lt;PolicyEff),1,Milestones!$AC$156)&amp;";  ","")&amp;IF(AND(EDATE($D71,Milestones!$AA$157)&lt;=AsOfDate,EDATE($D71,Milestones!$AA$157)&gt;=SchemeStart,IF($X71=0,$AD71,IF(AND($Z71&lt;&gt;"",EDATE($D71,Milestones!$AA$157)&gt;=$Z71),$AC71,IF(AND($Y71&lt;&gt;"",EDATE($D71,Milestones!$AA$157)&gt;=$Y71),$AB71,$AA71)))=Milestones!$AB$157),UPPER(TEXT(EDATE($D71,Milestones!$AA$157),"dd mmm yy"))&amp;" "&amp;Milestones!$AB$157&amp;" "&amp;IF(AND(Milestones!$AB$157="FT",Milestones!$AA$157=FT_Y5,EDATE($D71,Milestones!$AA$157)&lt;PolicyEff),1,Milestones!$AC$157)&amp;";  ","")&amp;IF(AND(EDATE($D71,Milestones!$AA$158)&lt;=AsOfDate,EDATE($D71,Milestones!$AA$158)&gt;=SchemeStart,IF($X71=0,$AD71,IF(AND($Z71&lt;&gt;"",EDATE($D71,Milestones!$AA$158)&gt;=$Z71),$AC71,IF(AND($Y71&lt;&gt;"",EDATE($D71,Milestones!$AA$158)&gt;=$Y71),$AB71,$AA71)))=Milestones!$AB$158),UPPER(TEXT(EDATE($D71,Milestones!$AA$158),"dd mmm yy"))&amp;" "&amp;Milestones!$AB$158&amp;" "&amp;IF(AND(Milestones!$AB$158="FT",Milestones!$AA$158=FT_Y5,EDATE($D71,Milestones!$AA$158)&lt;PolicyEff),1,Milestones!$AC$158)&amp;";  ","")&amp;IF(AND(EDATE($D71,Milestones!$AA$159)&lt;=AsOfDate,EDATE($D71,Milestones!$AA$159)&gt;=SchemeStart,IF($X71=0,$AD71,IF(AND($Z71&lt;&gt;"",EDATE($D71,Milestones!$AA$159)&gt;=$Z71),$AC71,IF(AND($Y71&lt;&gt;"",EDATE($D71,Milestones!$AA$159)&gt;=$Y71),$AB71,$AA71)))=Milestones!$AB$159),UPPER(TEXT(EDATE($D71,Milestones!$AA$159),"dd mmm yy"))&amp;" "&amp;Milestones!$AB$159&amp;" "&amp;IF(AND(Milestones!$AB$159="FT",Milestones!$AA$159=FT_Y5,EDATE($D71,Milestones!$AA$159)&lt;PolicyEff),1,Milestones!$AC$159)&amp;";  ","")&amp;IF(AND(EDATE($D71,Milestones!$AA$160)&lt;=AsOfDate,EDATE($D71,Milestones!$AA$160)&gt;=SchemeStart,IF($X71=0,$AD71,IF(AND($Z71&lt;&gt;"",EDATE($D71,Milestones!$AA$160)&gt;=$Z71),$AC71,IF(AND($Y71&lt;&gt;"",EDATE($D71,Milestones!$AA$160)&gt;=$Y71),$AB71,$AA71)))=Milestones!$AB$160),UPPER(TEXT(EDATE($D71,Milestones!$AA$160),"dd mmm yy"))&amp;" "&amp;Milestones!$AB$160&amp;" "&amp;IF(AND(Milestones!$AB$160="FT",Milestones!$AA$160=FT_Y5,EDATE($D71,Milestones!$AA$160)&lt;PolicyEff),1,Milestones!$AC$160)&amp;";  ","")&amp;IF(AND(EDATE($D71,Milestones!$AA$161)&lt;=AsOfDate,EDATE($D71,Milestones!$AA$161)&gt;=SchemeStart,IF($X71=0,$AD71,IF(AND($Z71&lt;&gt;"",EDATE($D71,Milestones!$AA$161)&gt;=$Z71),$AC71,IF(AND($Y71&lt;&gt;"",EDATE($D71,Milestones!$AA$161)&gt;=$Y71),$AB71,$AA71)))=Milestones!$AB$161),UPPER(TEXT(EDATE($D71,Milestones!$AA$161),"dd mmm yy"))&amp;" "&amp;Milestones!$AB$161&amp;" "&amp;IF(AND(Milestones!$AB$161="FT",Milestones!$AA$161=FT_Y5,EDATE($D71,Milestones!$AA$161)&lt;PolicyEff),1,Milestones!$AC$161)&amp;";  ","")&amp;IF(AND(EDATE($D71,Milestones!$AA$162)&lt;=AsOfDate,EDATE($D71,Milestones!$AA$162)&gt;=SchemeStart,IF($X71=0,$AD71,IF(AND($Z71&lt;&gt;"",EDATE($D71,Milestones!$AA$162)&gt;=$Z71),$AC71,IF(AND($Y71&lt;&gt;"",EDATE($D71,Milestones!$AA$162)&gt;=$Y71),$AB71,$AA71)))=Milestones!$AB$162),UPPER(TEXT(EDATE($D71,Milestones!$AA$162),"dd mmm yy"))&amp;" "&amp;Milestones!$AB$162&amp;" "&amp;IF(AND(Milestones!$AB$162="FT",Milestones!$AA$162=FT_Y5,EDATE($D71,Milestones!$AA$162)&lt;PolicyEff),1,Milestones!$AC$162)&amp;";  ","")&amp;IF(AND(EDATE($D71,Milestones!$AA$163)&lt;=AsOfDate,EDATE($D71,Milestones!$AA$163)&gt;=SchemeStart,IF($X71=0,$AD71,IF(AND($Z71&lt;&gt;"",EDATE($D71,Milestones!$AA$163)&gt;=$Z71),$AC71,IF(AND($Y71&lt;&gt;"",EDATE($D71,Milestones!$AA$163)&gt;=$Y71),$AB71,$AA71)))=Milestones!$AB$163),UPPER(TEXT(EDATE($D71,Milestones!$AA$163),"dd mmm yy"))&amp;" "&amp;Milestones!$AB$163&amp;" "&amp;IF(AND(Milestones!$AB$163="FT",Milestones!$AA$163=FT_Y5,EDATE($D71,Milestones!$AA$163)&lt;PolicyEff),1,Milestones!$AC$163)&amp;";  ",""))</f>
        <v/>
      </c>
      <c r="U71" s="0" t="str">
        <f aca="false">IF(OR($A71="",$D71=""),"",IF(AND(EDATE($D71,Milestones!$AA$164)&lt;=AsOfDate,EDATE($D71,Milestones!$AA$164)&gt;=SchemeStart,IF($X71=0,$AD71,IF(AND($Z71&lt;&gt;"",EDATE($D71,Milestones!$AA$164)&gt;=$Z71),$AC71,IF(AND($Y71&lt;&gt;"",EDATE($D71,Milestones!$AA$164)&gt;=$Y71),$AB71,$AA71)))=Milestones!$AB$164),UPPER(TEXT(EDATE($D71,Milestones!$AA$164),"dd mmm yy"))&amp;" "&amp;Milestones!$AB$164&amp;" "&amp;IF(AND(Milestones!$AB$164="FT",Milestones!$AA$164=FT_Y5,EDATE($D71,Milestones!$AA$164)&lt;PolicyEff),1,Milestones!$AC$164)&amp;";  ","")&amp;IF(AND(EDATE($D71,Milestones!$AA$165)&lt;=AsOfDate,EDATE($D71,Milestones!$AA$165)&gt;=SchemeStart,IF($X71=0,$AD71,IF(AND($Z71&lt;&gt;"",EDATE($D71,Milestones!$AA$165)&gt;=$Z71),$AC71,IF(AND($Y71&lt;&gt;"",EDATE($D71,Milestones!$AA$165)&gt;=$Y71),$AB71,$AA71)))=Milestones!$AB$165),UPPER(TEXT(EDATE($D71,Milestones!$AA$165),"dd mmm yy"))&amp;" "&amp;Milestones!$AB$165&amp;" "&amp;IF(AND(Milestones!$AB$165="FT",Milestones!$AA$165=FT_Y5,EDATE($D71,Milestones!$AA$165)&lt;PolicyEff),1,Milestones!$AC$165)&amp;";  ","")&amp;IF(AND(EDATE($D71,Milestones!$AA$166)&lt;=AsOfDate,EDATE($D71,Milestones!$AA$166)&gt;=SchemeStart,IF($X71=0,$AD71,IF(AND($Z71&lt;&gt;"",EDATE($D71,Milestones!$AA$166)&gt;=$Z71),$AC71,IF(AND($Y71&lt;&gt;"",EDATE($D71,Milestones!$AA$166)&gt;=$Y71),$AB71,$AA71)))=Milestones!$AB$166),UPPER(TEXT(EDATE($D71,Milestones!$AA$166),"dd mmm yy"))&amp;" "&amp;Milestones!$AB$166&amp;" "&amp;IF(AND(Milestones!$AB$166="FT",Milestones!$AA$166=FT_Y5,EDATE($D71,Milestones!$AA$166)&lt;PolicyEff),1,Milestones!$AC$166)&amp;";  ","")&amp;IF(AND(EDATE($D71,Milestones!$AA$167)&lt;=AsOfDate,EDATE($D71,Milestones!$AA$167)&gt;=SchemeStart,IF($X71=0,$AD71,IF(AND($Z71&lt;&gt;"",EDATE($D71,Milestones!$AA$167)&gt;=$Z71),$AC71,IF(AND($Y71&lt;&gt;"",EDATE($D71,Milestones!$AA$167)&gt;=$Y71),$AB71,$AA71)))=Milestones!$AB$167),UPPER(TEXT(EDATE($D71,Milestones!$AA$167),"dd mmm yy"))&amp;" "&amp;Milestones!$AB$167&amp;" "&amp;IF(AND(Milestones!$AB$167="FT",Milestones!$AA$167=FT_Y5,EDATE($D71,Milestones!$AA$167)&lt;PolicyEff),1,Milestones!$AC$167)&amp;";  ","")&amp;IF(AND(EDATE($D71,Milestones!$AA$168)&lt;=AsOfDate,EDATE($D71,Milestones!$AA$168)&gt;=SchemeStart,IF($X71=0,$AD71,IF(AND($Z71&lt;&gt;"",EDATE($D71,Milestones!$AA$168)&gt;=$Z71),$AC71,IF(AND($Y71&lt;&gt;"",EDATE($D71,Milestones!$AA$168)&gt;=$Y71),$AB71,$AA71)))=Milestones!$AB$168),UPPER(TEXT(EDATE($D71,Milestones!$AA$168),"dd mmm yy"))&amp;" "&amp;Milestones!$AB$168&amp;" "&amp;IF(AND(Milestones!$AB$168="FT",Milestones!$AA$168=FT_Y5,EDATE($D71,Milestones!$AA$168)&lt;PolicyEff),1,Milestones!$AC$168)&amp;";  ","")&amp;IF(AND(EDATE($D71,Milestones!$AA$169)&lt;=AsOfDate,EDATE($D71,Milestones!$AA$169)&gt;=SchemeStart,IF($X71=0,$AD71,IF(AND($Z71&lt;&gt;"",EDATE($D71,Milestones!$AA$169)&gt;=$Z71),$AC71,IF(AND($Y71&lt;&gt;"",EDATE($D71,Milestones!$AA$169)&gt;=$Y71),$AB71,$AA71)))=Milestones!$AB$169),UPPER(TEXT(EDATE($D71,Milestones!$AA$169),"dd mmm yy"))&amp;" "&amp;Milestones!$AB$169&amp;" "&amp;IF(AND(Milestones!$AB$169="FT",Milestones!$AA$169=FT_Y5,EDATE($D71,Milestones!$AA$169)&lt;PolicyEff),1,Milestones!$AC$169)&amp;";  ","")&amp;IF(AND(EDATE($D71,Milestones!$AA$170)&lt;=AsOfDate,EDATE($D71,Milestones!$AA$170)&gt;=SchemeStart,IF($X71=0,$AD71,IF(AND($Z71&lt;&gt;"",EDATE($D71,Milestones!$AA$170)&gt;=$Z71),$AC71,IF(AND($Y71&lt;&gt;"",EDATE($D71,Milestones!$AA$170)&gt;=$Y71),$AB71,$AA71)))=Milestones!$AB$170),UPPER(TEXT(EDATE($D71,Milestones!$AA$170),"dd mmm yy"))&amp;" "&amp;Milestones!$AB$170&amp;" "&amp;IF(AND(Milestones!$AB$170="FT",Milestones!$AA$170=FT_Y5,EDATE($D71,Milestones!$AA$170)&lt;PolicyEff),1,Milestones!$AC$170)&amp;";  ","")&amp;IF(AND(EDATE($D71,Milestones!$AA$171)&lt;=AsOfDate,EDATE($D71,Milestones!$AA$171)&gt;=SchemeStart,IF($X71=0,$AD71,IF(AND($Z71&lt;&gt;"",EDATE($D71,Milestones!$AA$171)&gt;=$Z71),$AC71,IF(AND($Y71&lt;&gt;"",EDATE($D71,Milestones!$AA$171)&gt;=$Y71),$AB71,$AA71)))=Milestones!$AB$171),UPPER(TEXT(EDATE($D71,Milestones!$AA$171),"dd mmm yy"))&amp;" "&amp;Milestones!$AB$171&amp;" "&amp;IF(AND(Milestones!$AB$171="FT",Milestones!$AA$171=FT_Y5,EDATE($D71,Milestones!$AA$171)&lt;PolicyEff),1,Milestones!$AC$171)&amp;";  ","")&amp;IF(AND(EDATE($D71,Milestones!$AA$172)&lt;=AsOfDate,EDATE($D71,Milestones!$AA$172)&gt;=SchemeStart,IF($X71=0,$AD71,IF(AND($Z71&lt;&gt;"",EDATE($D71,Milestones!$AA$172)&gt;=$Z71),$AC71,IF(AND($Y71&lt;&gt;"",EDATE($D71,Milestones!$AA$172)&gt;=$Y71),$AB71,$AA71)))=Milestones!$AB$172),UPPER(TEXT(EDATE($D71,Milestones!$AA$172),"dd mmm yy"))&amp;" "&amp;Milestones!$AB$172&amp;" "&amp;IF(AND(Milestones!$AB$172="FT",Milestones!$AA$172=FT_Y5,EDATE($D71,Milestones!$AA$172)&lt;PolicyEff),1,Milestones!$AC$172)&amp;";  ","")&amp;IF(AND(EDATE($D71,Milestones!$AA$173)&lt;=AsOfDate,EDATE($D71,Milestones!$AA$173)&gt;=SchemeStart,IF($X71=0,$AD71,IF(AND($Z71&lt;&gt;"",EDATE($D71,Milestones!$AA$173)&gt;=$Z71),$AC71,IF(AND($Y71&lt;&gt;"",EDATE($D71,Milestones!$AA$173)&gt;=$Y71),$AB71,$AA71)))=Milestones!$AB$173),UPPER(TEXT(EDATE($D71,Milestones!$AA$173),"dd mmm yy"))&amp;" "&amp;Milestones!$AB$173&amp;" "&amp;IF(AND(Milestones!$AB$173="FT",Milestones!$AA$173=FT_Y5,EDATE($D71,Milestones!$AA$173)&lt;PolicyEff),1,Milestones!$AC$173)&amp;";  ","")&amp;IF(AND(EDATE($D71,Milestones!$AA$174)&lt;=AsOfDate,EDATE($D71,Milestones!$AA$174)&gt;=SchemeStart,IF($X71=0,$AD71,IF(AND($Z71&lt;&gt;"",EDATE($D71,Milestones!$AA$174)&gt;=$Z71),$AC71,IF(AND($Y71&lt;&gt;"",EDATE($D71,Milestones!$AA$174)&gt;=$Y71),$AB71,$AA71)))=Milestones!$AB$174),UPPER(TEXT(EDATE($D71,Milestones!$AA$174),"dd mmm yy"))&amp;" "&amp;Milestones!$AB$174&amp;" "&amp;IF(AND(Milestones!$AB$174="FT",Milestones!$AA$174=FT_Y5,EDATE($D71,Milestones!$AA$174)&lt;PolicyEff),1,Milestones!$AC$174)&amp;";  ","")&amp;IF(AND(EDATE($D71,Milestones!$AA$175)&lt;=AsOfDate,EDATE($D71,Milestones!$AA$175)&gt;=SchemeStart,IF($X71=0,$AD71,IF(AND($Z71&lt;&gt;"",EDATE($D71,Milestones!$AA$175)&gt;=$Z71),$AC71,IF(AND($Y71&lt;&gt;"",EDATE($D71,Milestones!$AA$175)&gt;=$Y71),$AB71,$AA71)))=Milestones!$AB$175),UPPER(TEXT(EDATE($D71,Milestones!$AA$175),"dd mmm yy"))&amp;" "&amp;Milestones!$AB$175&amp;" "&amp;IF(AND(Milestones!$AB$175="FT",Milestones!$AA$175=FT_Y5,EDATE($D71,Milestones!$AA$175)&lt;PolicyEff),1,Milestones!$AC$175)&amp;";  ",""))</f>
        <v/>
      </c>
      <c r="V71" s="0" t="str">
        <f aca="false">IF(OR($A71="",$D71=""),"",IF(AND(EDATE($D71,Milestones!$AA$176)&lt;=AsOfDate,EDATE($D71,Milestones!$AA$176)&gt;=SchemeStart,IF($X71=0,$AD71,IF(AND($Z71&lt;&gt;"",EDATE($D71,Milestones!$AA$176)&gt;=$Z71),$AC71,IF(AND($Y71&lt;&gt;"",EDATE($D71,Milestones!$AA$176)&gt;=$Y71),$AB71,$AA71)))=Milestones!$AB$176),UPPER(TEXT(EDATE($D71,Milestones!$AA$176),"dd mmm yy"))&amp;" "&amp;Milestones!$AB$176&amp;" "&amp;IF(AND(Milestones!$AB$176="FT",Milestones!$AA$176=FT_Y5,EDATE($D71,Milestones!$AA$176)&lt;PolicyEff),1,Milestones!$AC$176)&amp;";  ","")&amp;IF(AND(EDATE($D71,Milestones!$AA$177)&lt;=AsOfDate,EDATE($D71,Milestones!$AA$177)&gt;=SchemeStart,IF($X71=0,$AD71,IF(AND($Z71&lt;&gt;"",EDATE($D71,Milestones!$AA$177)&gt;=$Z71),$AC71,IF(AND($Y71&lt;&gt;"",EDATE($D71,Milestones!$AA$177)&gt;=$Y71),$AB71,$AA71)))=Milestones!$AB$177),UPPER(TEXT(EDATE($D71,Milestones!$AA$177),"dd mmm yy"))&amp;" "&amp;Milestones!$AB$177&amp;" "&amp;IF(AND(Milestones!$AB$177="FT",Milestones!$AA$177=FT_Y5,EDATE($D71,Milestones!$AA$177)&lt;PolicyEff),1,Milestones!$AC$177)&amp;";  ","")&amp;IF(AND(EDATE($D71,Milestones!$AA$178)&lt;=AsOfDate,EDATE($D71,Milestones!$AA$178)&gt;=SchemeStart,IF($X71=0,$AD71,IF(AND($Z71&lt;&gt;"",EDATE($D71,Milestones!$AA$178)&gt;=$Z71),$AC71,IF(AND($Y71&lt;&gt;"",EDATE($D71,Milestones!$AA$178)&gt;=$Y71),$AB71,$AA71)))=Milestones!$AB$178),UPPER(TEXT(EDATE($D71,Milestones!$AA$178),"dd mmm yy"))&amp;" "&amp;Milestones!$AB$178&amp;" "&amp;IF(AND(Milestones!$AB$178="FT",Milestones!$AA$178=FT_Y5,EDATE($D71,Milestones!$AA$178)&lt;PolicyEff),1,Milestones!$AC$178)&amp;";  ","")&amp;IF(AND(EDATE($D71,Milestones!$AA$179)&lt;=AsOfDate,EDATE($D71,Milestones!$AA$179)&gt;=SchemeStart,IF($X71=0,$AD71,IF(AND($Z71&lt;&gt;"",EDATE($D71,Milestones!$AA$179)&gt;=$Z71),$AC71,IF(AND($Y71&lt;&gt;"",EDATE($D71,Milestones!$AA$179)&gt;=$Y71),$AB71,$AA71)))=Milestones!$AB$179),UPPER(TEXT(EDATE($D71,Milestones!$AA$179),"dd mmm yy"))&amp;" "&amp;Milestones!$AB$179&amp;" "&amp;IF(AND(Milestones!$AB$179="FT",Milestones!$AA$179=FT_Y5,EDATE($D71,Milestones!$AA$179)&lt;PolicyEff),1,Milestones!$AC$179)&amp;";  ","")&amp;IF(AND(EDATE($D71,Milestones!$AA$180)&lt;=AsOfDate,EDATE($D71,Milestones!$AA$180)&gt;=SchemeStart,IF($X71=0,$AD71,IF(AND($Z71&lt;&gt;"",EDATE($D71,Milestones!$AA$180)&gt;=$Z71),$AC71,IF(AND($Y71&lt;&gt;"",EDATE($D71,Milestones!$AA$180)&gt;=$Y71),$AB71,$AA71)))=Milestones!$AB$180),UPPER(TEXT(EDATE($D71,Milestones!$AA$180),"dd mmm yy"))&amp;" "&amp;Milestones!$AB$180&amp;" "&amp;IF(AND(Milestones!$AB$180="FT",Milestones!$AA$180=FT_Y5,EDATE($D71,Milestones!$AA$180)&lt;PolicyEff),1,Milestones!$AC$180)&amp;";  ","")&amp;IF(AND(EDATE($D71,Milestones!$AA$181)&lt;=AsOfDate,EDATE($D71,Milestones!$AA$181)&gt;=SchemeStart,IF($X71=0,$AD71,IF(AND($Z71&lt;&gt;"",EDATE($D71,Milestones!$AA$181)&gt;=$Z71),$AC71,IF(AND($Y71&lt;&gt;"",EDATE($D71,Milestones!$AA$181)&gt;=$Y71),$AB71,$AA71)))=Milestones!$AB$181),UPPER(TEXT(EDATE($D71,Milestones!$AA$181),"dd mmm yy"))&amp;" "&amp;Milestones!$AB$181&amp;" "&amp;IF(AND(Milestones!$AB$181="FT",Milestones!$AA$181=FT_Y5,EDATE($D71,Milestones!$AA$181)&lt;PolicyEff),1,Milestones!$AC$181)&amp;";  ","")&amp;IF(AND(EDATE($D71,Milestones!$AA$182)&lt;=AsOfDate,EDATE($D71,Milestones!$AA$182)&gt;=SchemeStart,IF($X71=0,$AD71,IF(AND($Z71&lt;&gt;"",EDATE($D71,Milestones!$AA$182)&gt;=$Z71),$AC71,IF(AND($Y71&lt;&gt;"",EDATE($D71,Milestones!$AA$182)&gt;=$Y71),$AB71,$AA71)))=Milestones!$AB$182),UPPER(TEXT(EDATE($D71,Milestones!$AA$182),"dd mmm yy"))&amp;" "&amp;Milestones!$AB$182&amp;" "&amp;IF(AND(Milestones!$AB$182="FT",Milestones!$AA$182=FT_Y5,EDATE($D71,Milestones!$AA$182)&lt;PolicyEff),1,Milestones!$AC$182)&amp;";  ","")&amp;IF(AND(EDATE($D71,Milestones!$AA$183)&lt;=AsOfDate,EDATE($D71,Milestones!$AA$183)&gt;=SchemeStart,IF($X71=0,$AD71,IF(AND($Z71&lt;&gt;"",EDATE($D71,Milestones!$AA$183)&gt;=$Z71),$AC71,IF(AND($Y71&lt;&gt;"",EDATE($D71,Milestones!$AA$183)&gt;=$Y71),$AB71,$AA71)))=Milestones!$AB$183),UPPER(TEXT(EDATE($D71,Milestones!$AA$183),"dd mmm yy"))&amp;" "&amp;Milestones!$AB$183&amp;" "&amp;IF(AND(Milestones!$AB$183="FT",Milestones!$AA$183=FT_Y5,EDATE($D71,Milestones!$AA$183)&lt;PolicyEff),1,Milestones!$AC$183)&amp;";  ","")&amp;IF(AND(EDATE($D71,Milestones!$AA$184)&lt;=AsOfDate,EDATE($D71,Milestones!$AA$184)&gt;=SchemeStart,IF($X71=0,$AD71,IF(AND($Z71&lt;&gt;"",EDATE($D71,Milestones!$AA$184)&gt;=$Z71),$AC71,IF(AND($Y71&lt;&gt;"",EDATE($D71,Milestones!$AA$184)&gt;=$Y71),$AB71,$AA71)))=Milestones!$AB$184),UPPER(TEXT(EDATE($D71,Milestones!$AA$184),"dd mmm yy"))&amp;" "&amp;Milestones!$AB$184&amp;" "&amp;IF(AND(Milestones!$AB$184="FT",Milestones!$AA$184=FT_Y5,EDATE($D71,Milestones!$AA$184)&lt;PolicyEff),1,Milestones!$AC$184)&amp;";  ","")&amp;IF(AND(EDATE($D71,Milestones!$AA$185)&lt;=AsOfDate,EDATE($D71,Milestones!$AA$185)&gt;=SchemeStart,IF($X71=0,$AD71,IF(AND($Z71&lt;&gt;"",EDATE($D71,Milestones!$AA$185)&gt;=$Z71),$AC71,IF(AND($Y71&lt;&gt;"",EDATE($D71,Milestones!$AA$185)&gt;=$Y71),$AB71,$AA71)))=Milestones!$AB$185),UPPER(TEXT(EDATE($D71,Milestones!$AA$185),"dd mmm yy"))&amp;" "&amp;Milestones!$AB$185&amp;" "&amp;IF(AND(Milestones!$AB$185="FT",Milestones!$AA$185=FT_Y5,EDATE($D71,Milestones!$AA$185)&lt;PolicyEff),1,Milestones!$AC$185)&amp;";  ","")&amp;IF(AND(EDATE($D71,Milestones!$AA$186)&lt;=AsOfDate,EDATE($D71,Milestones!$AA$186)&gt;=SchemeStart,IF($X71=0,$AD71,IF(AND($Z71&lt;&gt;"",EDATE($D71,Milestones!$AA$186)&gt;=$Z71),$AC71,IF(AND($Y71&lt;&gt;"",EDATE($D71,Milestones!$AA$186)&gt;=$Y71),$AB71,$AA71)))=Milestones!$AB$186),UPPER(TEXT(EDATE($D71,Milestones!$AA$186),"dd mmm yy"))&amp;" "&amp;Milestones!$AB$186&amp;" "&amp;IF(AND(Milestones!$AB$186="FT",Milestones!$AA$186=FT_Y5,EDATE($D71,Milestones!$AA$186)&lt;PolicyEff),1,Milestones!$AC$186)&amp;";  ","")&amp;IF(AND(EDATE($D71,Milestones!$AA$187)&lt;=AsOfDate,EDATE($D71,Milestones!$AA$187)&gt;=SchemeStart,IF($X71=0,$AD71,IF(AND($Z71&lt;&gt;"",EDATE($D71,Milestones!$AA$187)&gt;=$Z71),$AC71,IF(AND($Y71&lt;&gt;"",EDATE($D71,Milestones!$AA$187)&gt;=$Y71),$AB71,$AA71)))=Milestones!$AB$187),UPPER(TEXT(EDATE($D71,Milestones!$AA$187),"dd mmm yy"))&amp;" "&amp;Milestones!$AB$187&amp;" "&amp;IF(AND(Milestones!$AB$187="FT",Milestones!$AA$187=FT_Y5,EDATE($D71,Milestones!$AA$187)&lt;PolicyEff),1,Milestones!$AC$187)&amp;";  ",""))</f>
        <v/>
      </c>
      <c r="W71" s="0" t="str">
        <f aca="false">IF(OR($A71="",$D71=""),"",IF(AND(EDATE($D71,Milestones!$AA$188)&lt;=AsOfDate,EDATE($D71,Milestones!$AA$188)&gt;=SchemeStart,IF($X71=0,$AD71,IF(AND($Z71&lt;&gt;"",EDATE($D71,Milestones!$AA$188)&gt;=$Z71),$AC71,IF(AND($Y71&lt;&gt;"",EDATE($D71,Milestones!$AA$188)&gt;=$Y71),$AB71,$AA71)))=Milestones!$AB$188),UPPER(TEXT(EDATE($D71,Milestones!$AA$188),"dd mmm yy"))&amp;" "&amp;Milestones!$AB$188&amp;" "&amp;IF(AND(Milestones!$AB$188="FT",Milestones!$AA$188=FT_Y5,EDATE($D71,Milestones!$AA$188)&lt;PolicyEff),1,Milestones!$AC$188)&amp;";  ","")&amp;IF(AND(EDATE($D71,Milestones!$AA$189)&lt;=AsOfDate,EDATE($D71,Milestones!$AA$189)&gt;=SchemeStart,IF($X71=0,$AD71,IF(AND($Z71&lt;&gt;"",EDATE($D71,Milestones!$AA$189)&gt;=$Z71),$AC71,IF(AND($Y71&lt;&gt;"",EDATE($D71,Milestones!$AA$189)&gt;=$Y71),$AB71,$AA71)))=Milestones!$AB$189),UPPER(TEXT(EDATE($D71,Milestones!$AA$189),"dd mmm yy"))&amp;" "&amp;Milestones!$AB$189&amp;" "&amp;IF(AND(Milestones!$AB$189="FT",Milestones!$AA$189=FT_Y5,EDATE($D71,Milestones!$AA$189)&lt;PolicyEff),1,Milestones!$AC$189)&amp;";  ","")&amp;IF(AND(EDATE($D71,Milestones!$AA$190)&lt;=AsOfDate,EDATE($D71,Milestones!$AA$190)&gt;=SchemeStart,IF($X71=0,$AD71,IF(AND($Z71&lt;&gt;"",EDATE($D71,Milestones!$AA$190)&gt;=$Z71),$AC71,IF(AND($Y71&lt;&gt;"",EDATE($D71,Milestones!$AA$190)&gt;=$Y71),$AB71,$AA71)))=Milestones!$AB$190),UPPER(TEXT(EDATE($D71,Milestones!$AA$190),"dd mmm yy"))&amp;" "&amp;Milestones!$AB$190&amp;" "&amp;IF(AND(Milestones!$AB$190="FT",Milestones!$AA$190=FT_Y5,EDATE($D71,Milestones!$AA$190)&lt;PolicyEff),1,Milestones!$AC$190)&amp;";  ","")&amp;IF(AND(EDATE($D71,Milestones!$AA$191)&lt;=AsOfDate,EDATE($D71,Milestones!$AA$191)&gt;=SchemeStart,IF($X71=0,$AD71,IF(AND($Z71&lt;&gt;"",EDATE($D71,Milestones!$AA$191)&gt;=$Z71),$AC71,IF(AND($Y71&lt;&gt;"",EDATE($D71,Milestones!$AA$191)&gt;=$Y71),$AB71,$AA71)))=Milestones!$AB$191),UPPER(TEXT(EDATE($D71,Milestones!$AA$191),"dd mmm yy"))&amp;" "&amp;Milestones!$AB$191&amp;" "&amp;IF(AND(Milestones!$AB$191="FT",Milestones!$AA$191=FT_Y5,EDATE($D71,Milestones!$AA$191)&lt;PolicyEff),1,Milestones!$AC$191)&amp;";  ","")&amp;IF(AND(EDATE($D71,Milestones!$AA$192)&lt;=AsOfDate,EDATE($D71,Milestones!$AA$192)&gt;=SchemeStart,IF($X71=0,$AD71,IF(AND($Z71&lt;&gt;"",EDATE($D71,Milestones!$AA$192)&gt;=$Z71),$AC71,IF(AND($Y71&lt;&gt;"",EDATE($D71,Milestones!$AA$192)&gt;=$Y71),$AB71,$AA71)))=Milestones!$AB$192),UPPER(TEXT(EDATE($D71,Milestones!$AA$192),"dd mmm yy"))&amp;" "&amp;Milestones!$AB$192&amp;" "&amp;IF(AND(Milestones!$AB$192="FT",Milestones!$AA$192=FT_Y5,EDATE($D71,Milestones!$AA$192)&lt;PolicyEff),1,Milestones!$AC$192)&amp;";  ","")&amp;IF(AND(EDATE($D71,Milestones!$AA$193)&lt;=AsOfDate,EDATE($D71,Milestones!$AA$193)&gt;=SchemeStart,IF($X71=0,$AD71,IF(AND($Z71&lt;&gt;"",EDATE($D71,Milestones!$AA$193)&gt;=$Z71),$AC71,IF(AND($Y71&lt;&gt;"",EDATE($D71,Milestones!$AA$193)&gt;=$Y71),$AB71,$AA71)))=Milestones!$AB$193),UPPER(TEXT(EDATE($D71,Milestones!$AA$193),"dd mmm yy"))&amp;" "&amp;Milestones!$AB$193&amp;" "&amp;IF(AND(Milestones!$AB$193="FT",Milestones!$AA$193=FT_Y5,EDATE($D71,Milestones!$AA$193)&lt;PolicyEff),1,Milestones!$AC$193)&amp;";  ","")&amp;IF(AND(EDATE($D71,Milestones!$AA$194)&lt;=AsOfDate,EDATE($D71,Milestones!$AA$194)&gt;=SchemeStart,IF($X71=0,$AD71,IF(AND($Z71&lt;&gt;"",EDATE($D71,Milestones!$AA$194)&gt;=$Z71),$AC71,IF(AND($Y71&lt;&gt;"",EDATE($D71,Milestones!$AA$194)&gt;=$Y71),$AB71,$AA71)))=Milestones!$AB$194),UPPER(TEXT(EDATE($D71,Milestones!$AA$194),"dd mmm yy"))&amp;" "&amp;Milestones!$AB$194&amp;" "&amp;IF(AND(Milestones!$AB$194="FT",Milestones!$AA$194=FT_Y5,EDATE($D71,Milestones!$AA$194)&lt;PolicyEff),1,Milestones!$AC$194)&amp;";  ","")&amp;IF(AND(EDATE($D71,Milestones!$AA$195)&lt;=AsOfDate,EDATE($D71,Milestones!$AA$195)&gt;=SchemeStart,IF($X71=0,$AD71,IF(AND($Z71&lt;&gt;"",EDATE($D71,Milestones!$AA$195)&gt;=$Z71),$AC71,IF(AND($Y71&lt;&gt;"",EDATE($D71,Milestones!$AA$195)&gt;=$Y71),$AB71,$AA71)))=Milestones!$AB$195),UPPER(TEXT(EDATE($D71,Milestones!$AA$195),"dd mmm yy"))&amp;" "&amp;Milestones!$AB$195&amp;" "&amp;IF(AND(Milestones!$AB$195="FT",Milestones!$AA$195=FT_Y5,EDATE($D71,Milestones!$AA$195)&lt;PolicyEff),1,Milestones!$AC$195)&amp;";  ","")&amp;IF(AND(EDATE($D71,Milestones!$AA$196)&lt;=AsOfDate,EDATE($D71,Milestones!$AA$196)&gt;=SchemeStart,IF($X71=0,$AD71,IF(AND($Z71&lt;&gt;"",EDATE($D71,Milestones!$AA$196)&gt;=$Z71),$AC71,IF(AND($Y71&lt;&gt;"",EDATE($D71,Milestones!$AA$196)&gt;=$Y71),$AB71,$AA71)))=Milestones!$AB$196),UPPER(TEXT(EDATE($D71,Milestones!$AA$196),"dd mmm yy"))&amp;" "&amp;Milestones!$AB$196&amp;" "&amp;IF(AND(Milestones!$AB$196="FT",Milestones!$AA$196=FT_Y5,EDATE($D71,Milestones!$AA$196)&lt;PolicyEff),1,Milestones!$AC$196)&amp;";  ","")&amp;IF(AND(EDATE($D71,Milestones!$AA$197)&lt;=AsOfDate,EDATE($D71,Milestones!$AA$197)&gt;=SchemeStart,IF($X71=0,$AD71,IF(AND($Z71&lt;&gt;"",EDATE($D71,Milestones!$AA$197)&gt;=$Z71),$AC71,IF(AND($Y71&lt;&gt;"",EDATE($D71,Milestones!$AA$197)&gt;=$Y71),$AB71,$AA71)))=Milestones!$AB$197),UPPER(TEXT(EDATE($D71,Milestones!$AA$197),"dd mmm yy"))&amp;" "&amp;Milestones!$AB$197&amp;" "&amp;IF(AND(Milestones!$AB$197="FT",Milestones!$AA$197=FT_Y5,EDATE($D71,Milestones!$AA$197)&lt;PolicyEff),1,Milestones!$AC$197)&amp;";  ","")&amp;IF(AND(EDATE($D71,Milestones!$AA$198)&lt;=AsOfDate,EDATE($D71,Milestones!$AA$198)&gt;=SchemeStart,IF($X71=0,$AD71,IF(AND($Z71&lt;&gt;"",EDATE($D71,Milestones!$AA$198)&gt;=$Z71),$AC71,IF(AND($Y71&lt;&gt;"",EDATE($D71,Milestones!$AA$198)&gt;=$Y71),$AB71,$AA71)))=Milestones!$AB$198),UPPER(TEXT(EDATE($D71,Milestones!$AA$198),"dd mmm yy"))&amp;" "&amp;Milestones!$AB$198&amp;" "&amp;IF(AND(Milestones!$AB$198="FT",Milestones!$AA$198=FT_Y5,EDATE($D71,Milestones!$AA$198)&lt;PolicyEff),1,Milestones!$AC$198)&amp;";  ","")&amp;IF(AND(EDATE($D71,Milestones!$AA$199)&lt;=AsOfDate,EDATE($D71,Milestones!$AA$199)&gt;=SchemeStart,IF($X71=0,$AD71,IF(AND($Z71&lt;&gt;"",EDATE($D71,Milestones!$AA$199)&gt;=$Z71),$AC71,IF(AND($Y71&lt;&gt;"",EDATE($D71,Milestones!$AA$199)&gt;=$Y71),$AB71,$AA71)))=Milestones!$AB$199),UPPER(TEXT(EDATE($D71,Milestones!$AA$199),"dd mmm yy"))&amp;" "&amp;Milestones!$AB$199&amp;" "&amp;IF(AND(Milestones!$AB$199="FT",Milestones!$AA$199=FT_Y5,EDATE($D71,Milestones!$AA$199)&lt;PolicyEff),1,Milestones!$AC$199)&amp;";  ",""))</f>
        <v/>
      </c>
      <c r="X71" s="0" t="str">
        <f aca="false">IF(Staff!$A71="","",Staff!$AM71)</f>
        <v/>
      </c>
      <c r="Y71" s="0" t="str">
        <f aca="false">IF(Staff!$A71="","",Staff!$AO71)</f>
        <v/>
      </c>
      <c r="Z71" s="0" t="str">
        <f aca="false">IF(Staff!$A71="","",Staff!$AP71)</f>
        <v/>
      </c>
      <c r="AA71" s="0" t="str">
        <f aca="false">IF(Staff!$A71="","",Staff!$AT71)</f>
        <v/>
      </c>
      <c r="AB71" s="0" t="str">
        <f aca="false">IF(Staff!$A71="","",Staff!$AU71)</f>
        <v/>
      </c>
      <c r="AC71" s="0" t="str">
        <f aca="false">IF(Staff!$A71="","",Staff!$AV71)</f>
        <v/>
      </c>
      <c r="AD71" s="0" t="str">
        <f aca="false">IF(Staff!$A71="","",Staff!$AW71)</f>
        <v/>
      </c>
    </row>
    <row r="72" customFormat="false" ht="15" hidden="false" customHeight="false" outlineLevel="0" collapsed="false">
      <c r="A72" s="16" t="str">
        <f aca="false">IF(Staff!$A72="","",Staff!$A72)</f>
        <v/>
      </c>
      <c r="B72" s="16" t="str">
        <f aca="false">IF(Staff!$A72="","",Staff!$B72)</f>
        <v/>
      </c>
      <c r="C72" s="16" t="str">
        <f aca="false">IF(Staff!$A72="","",Staff!$C72)</f>
        <v/>
      </c>
      <c r="D72" s="14" t="str">
        <f aca="false">IF(Staff!$A72="","",Staff!$AL72)</f>
        <v/>
      </c>
      <c r="E72" s="16" t="str">
        <f aca="false">IF(Staff!$A72="","",Staff!$O72)</f>
        <v/>
      </c>
      <c r="F72" s="16" t="str">
        <f aca="false">IF(E72="","",E72*HoursPerDay)</f>
        <v/>
      </c>
      <c r="G72" s="16" t="str">
        <f aca="false">IF(Staff!$A72="","",Staff!$AE72)</f>
        <v/>
      </c>
      <c r="H72" s="28" t="str">
        <f aca="false">IF($A72="","",I72&amp;J72&amp;K72&amp;L72&amp;M72&amp;N72&amp;O72&amp;P72&amp;Q72&amp;R72&amp;S72&amp;T72&amp;U72&amp;V72&amp;W72)</f>
        <v/>
      </c>
      <c r="I72" s="0" t="str">
        <f aca="false">IF(OR($A72="",$D72=""),"",IF(AND(EDATE($D72,Milestones!$AA$20)&lt;=AsOfDate,EDATE($D72,Milestones!$AA$20)&gt;=SchemeStart,IF($X72=0,$AD72,IF(AND($Z72&lt;&gt;"",EDATE($D72,Milestones!$AA$20)&gt;=$Z72),$AC72,IF(AND($Y72&lt;&gt;"",EDATE($D72,Milestones!$AA$20)&gt;=$Y72),$AB72,$AA72)))=Milestones!$AB$20),UPPER(TEXT(EDATE($D72,Milestones!$AA$20),"dd mmm yy"))&amp;" "&amp;Milestones!$AB$20&amp;" "&amp;IF(AND(Milestones!$AB$20="FT",Milestones!$AA$20=FT_Y5,EDATE($D72,Milestones!$AA$20)&lt;PolicyEff),1,Milestones!$AC$20)&amp;";  ","")&amp;IF(AND(EDATE($D72,Milestones!$AA$21)&lt;=AsOfDate,EDATE($D72,Milestones!$AA$21)&gt;=SchemeStart,IF($X72=0,$AD72,IF(AND($Z72&lt;&gt;"",EDATE($D72,Milestones!$AA$21)&gt;=$Z72),$AC72,IF(AND($Y72&lt;&gt;"",EDATE($D72,Milestones!$AA$21)&gt;=$Y72),$AB72,$AA72)))=Milestones!$AB$21),UPPER(TEXT(EDATE($D72,Milestones!$AA$21),"dd mmm yy"))&amp;" "&amp;Milestones!$AB$21&amp;" "&amp;IF(AND(Milestones!$AB$21="FT",Milestones!$AA$21=FT_Y5,EDATE($D72,Milestones!$AA$21)&lt;PolicyEff),1,Milestones!$AC$21)&amp;";  ","")&amp;IF(AND(EDATE($D72,Milestones!$AA$22)&lt;=AsOfDate,EDATE($D72,Milestones!$AA$22)&gt;=SchemeStart,IF($X72=0,$AD72,IF(AND($Z72&lt;&gt;"",EDATE($D72,Milestones!$AA$22)&gt;=$Z72),$AC72,IF(AND($Y72&lt;&gt;"",EDATE($D72,Milestones!$AA$22)&gt;=$Y72),$AB72,$AA72)))=Milestones!$AB$22),UPPER(TEXT(EDATE($D72,Milestones!$AA$22),"dd mmm yy"))&amp;" "&amp;Milestones!$AB$22&amp;" "&amp;IF(AND(Milestones!$AB$22="FT",Milestones!$AA$22=FT_Y5,EDATE($D72,Milestones!$AA$22)&lt;PolicyEff),1,Milestones!$AC$22)&amp;";  ","")&amp;IF(AND(EDATE($D72,Milestones!$AA$23)&lt;=AsOfDate,EDATE($D72,Milestones!$AA$23)&gt;=SchemeStart,IF($X72=0,$AD72,IF(AND($Z72&lt;&gt;"",EDATE($D72,Milestones!$AA$23)&gt;=$Z72),$AC72,IF(AND($Y72&lt;&gt;"",EDATE($D72,Milestones!$AA$23)&gt;=$Y72),$AB72,$AA72)))=Milestones!$AB$23),UPPER(TEXT(EDATE($D72,Milestones!$AA$23),"dd mmm yy"))&amp;" "&amp;Milestones!$AB$23&amp;" "&amp;IF(AND(Milestones!$AB$23="FT",Milestones!$AA$23=FT_Y5,EDATE($D72,Milestones!$AA$23)&lt;PolicyEff),1,Milestones!$AC$23)&amp;";  ","")&amp;IF(AND(EDATE($D72,Milestones!$AA$24)&lt;=AsOfDate,EDATE($D72,Milestones!$AA$24)&gt;=SchemeStart,IF($X72=0,$AD72,IF(AND($Z72&lt;&gt;"",EDATE($D72,Milestones!$AA$24)&gt;=$Z72),$AC72,IF(AND($Y72&lt;&gt;"",EDATE($D72,Milestones!$AA$24)&gt;=$Y72),$AB72,$AA72)))=Milestones!$AB$24),UPPER(TEXT(EDATE($D72,Milestones!$AA$24),"dd mmm yy"))&amp;" "&amp;Milestones!$AB$24&amp;" "&amp;IF(AND(Milestones!$AB$24="FT",Milestones!$AA$24=FT_Y5,EDATE($D72,Milestones!$AA$24)&lt;PolicyEff),1,Milestones!$AC$24)&amp;";  ","")&amp;IF(AND(EDATE($D72,Milestones!$AA$25)&lt;=AsOfDate,EDATE($D72,Milestones!$AA$25)&gt;=SchemeStart,IF($X72=0,$AD72,IF(AND($Z72&lt;&gt;"",EDATE($D72,Milestones!$AA$25)&gt;=$Z72),$AC72,IF(AND($Y72&lt;&gt;"",EDATE($D72,Milestones!$AA$25)&gt;=$Y72),$AB72,$AA72)))=Milestones!$AB$25),UPPER(TEXT(EDATE($D72,Milestones!$AA$25),"dd mmm yy"))&amp;" "&amp;Milestones!$AB$25&amp;" "&amp;IF(AND(Milestones!$AB$25="FT",Milestones!$AA$25=FT_Y5,EDATE($D72,Milestones!$AA$25)&lt;PolicyEff),1,Milestones!$AC$25)&amp;";  ","")&amp;IF(AND(EDATE($D72,Milestones!$AA$26)&lt;=AsOfDate,EDATE($D72,Milestones!$AA$26)&gt;=SchemeStart,IF($X72=0,$AD72,IF(AND($Z72&lt;&gt;"",EDATE($D72,Milestones!$AA$26)&gt;=$Z72),$AC72,IF(AND($Y72&lt;&gt;"",EDATE($D72,Milestones!$AA$26)&gt;=$Y72),$AB72,$AA72)))=Milestones!$AB$26),UPPER(TEXT(EDATE($D72,Milestones!$AA$26),"dd mmm yy"))&amp;" "&amp;Milestones!$AB$26&amp;" "&amp;IF(AND(Milestones!$AB$26="FT",Milestones!$AA$26=FT_Y5,EDATE($D72,Milestones!$AA$26)&lt;PolicyEff),1,Milestones!$AC$26)&amp;";  ","")&amp;IF(AND(EDATE($D72,Milestones!$AA$27)&lt;=AsOfDate,EDATE($D72,Milestones!$AA$27)&gt;=SchemeStart,IF($X72=0,$AD72,IF(AND($Z72&lt;&gt;"",EDATE($D72,Milestones!$AA$27)&gt;=$Z72),$AC72,IF(AND($Y72&lt;&gt;"",EDATE($D72,Milestones!$AA$27)&gt;=$Y72),$AB72,$AA72)))=Milestones!$AB$27),UPPER(TEXT(EDATE($D72,Milestones!$AA$27),"dd mmm yy"))&amp;" "&amp;Milestones!$AB$27&amp;" "&amp;IF(AND(Milestones!$AB$27="FT",Milestones!$AA$27=FT_Y5,EDATE($D72,Milestones!$AA$27)&lt;PolicyEff),1,Milestones!$AC$27)&amp;";  ","")&amp;IF(AND(EDATE($D72,Milestones!$AA$28)&lt;=AsOfDate,EDATE($D72,Milestones!$AA$28)&gt;=SchemeStart,IF($X72=0,$AD72,IF(AND($Z72&lt;&gt;"",EDATE($D72,Milestones!$AA$28)&gt;=$Z72),$AC72,IF(AND($Y72&lt;&gt;"",EDATE($D72,Milestones!$AA$28)&gt;=$Y72),$AB72,$AA72)))=Milestones!$AB$28),UPPER(TEXT(EDATE($D72,Milestones!$AA$28),"dd mmm yy"))&amp;" "&amp;Milestones!$AB$28&amp;" "&amp;IF(AND(Milestones!$AB$28="FT",Milestones!$AA$28=FT_Y5,EDATE($D72,Milestones!$AA$28)&lt;PolicyEff),1,Milestones!$AC$28)&amp;";  ","")&amp;IF(AND(EDATE($D72,Milestones!$AA$29)&lt;=AsOfDate,EDATE($D72,Milestones!$AA$29)&gt;=SchemeStart,IF($X72=0,$AD72,IF(AND($Z72&lt;&gt;"",EDATE($D72,Milestones!$AA$29)&gt;=$Z72),$AC72,IF(AND($Y72&lt;&gt;"",EDATE($D72,Milestones!$AA$29)&gt;=$Y72),$AB72,$AA72)))=Milestones!$AB$29),UPPER(TEXT(EDATE($D72,Milestones!$AA$29),"dd mmm yy"))&amp;" "&amp;Milestones!$AB$29&amp;" "&amp;IF(AND(Milestones!$AB$29="FT",Milestones!$AA$29=FT_Y5,EDATE($D72,Milestones!$AA$29)&lt;PolicyEff),1,Milestones!$AC$29)&amp;";  ","")&amp;IF(AND(EDATE($D72,Milestones!$AA$30)&lt;=AsOfDate,EDATE($D72,Milestones!$AA$30)&gt;=SchemeStart,IF($X72=0,$AD72,IF(AND($Z72&lt;&gt;"",EDATE($D72,Milestones!$AA$30)&gt;=$Z72),$AC72,IF(AND($Y72&lt;&gt;"",EDATE($D72,Milestones!$AA$30)&gt;=$Y72),$AB72,$AA72)))=Milestones!$AB$30),UPPER(TEXT(EDATE($D72,Milestones!$AA$30),"dd mmm yy"))&amp;" "&amp;Milestones!$AB$30&amp;" "&amp;IF(AND(Milestones!$AB$30="FT",Milestones!$AA$30=FT_Y5,EDATE($D72,Milestones!$AA$30)&lt;PolicyEff),1,Milestones!$AC$30)&amp;";  ","")&amp;IF(AND(EDATE($D72,Milestones!$AA$31)&lt;=AsOfDate,EDATE($D72,Milestones!$AA$31)&gt;=SchemeStart,IF($X72=0,$AD72,IF(AND($Z72&lt;&gt;"",EDATE($D72,Milestones!$AA$31)&gt;=$Z72),$AC72,IF(AND($Y72&lt;&gt;"",EDATE($D72,Milestones!$AA$31)&gt;=$Y72),$AB72,$AA72)))=Milestones!$AB$31),UPPER(TEXT(EDATE($D72,Milestones!$AA$31),"dd mmm yy"))&amp;" "&amp;Milestones!$AB$31&amp;" "&amp;IF(AND(Milestones!$AB$31="FT",Milestones!$AA$31=FT_Y5,EDATE($D72,Milestones!$AA$31)&lt;PolicyEff),1,Milestones!$AC$31)&amp;";  ",""))</f>
        <v/>
      </c>
      <c r="J72" s="0" t="str">
        <f aca="false">IF(OR($A72="",$D72=""),"",IF(AND(EDATE($D72,Milestones!$AA$32)&lt;=AsOfDate,EDATE($D72,Milestones!$AA$32)&gt;=SchemeStart,IF($X72=0,$AD72,IF(AND($Z72&lt;&gt;"",EDATE($D72,Milestones!$AA$32)&gt;=$Z72),$AC72,IF(AND($Y72&lt;&gt;"",EDATE($D72,Milestones!$AA$32)&gt;=$Y72),$AB72,$AA72)))=Milestones!$AB$32),UPPER(TEXT(EDATE($D72,Milestones!$AA$32),"dd mmm yy"))&amp;" "&amp;Milestones!$AB$32&amp;" "&amp;IF(AND(Milestones!$AB$32="FT",Milestones!$AA$32=FT_Y5,EDATE($D72,Milestones!$AA$32)&lt;PolicyEff),1,Milestones!$AC$32)&amp;";  ","")&amp;IF(AND(EDATE($D72,Milestones!$AA$33)&lt;=AsOfDate,EDATE($D72,Milestones!$AA$33)&gt;=SchemeStart,IF($X72=0,$AD72,IF(AND($Z72&lt;&gt;"",EDATE($D72,Milestones!$AA$33)&gt;=$Z72),$AC72,IF(AND($Y72&lt;&gt;"",EDATE($D72,Milestones!$AA$33)&gt;=$Y72),$AB72,$AA72)))=Milestones!$AB$33),UPPER(TEXT(EDATE($D72,Milestones!$AA$33),"dd mmm yy"))&amp;" "&amp;Milestones!$AB$33&amp;" "&amp;IF(AND(Milestones!$AB$33="FT",Milestones!$AA$33=FT_Y5,EDATE($D72,Milestones!$AA$33)&lt;PolicyEff),1,Milestones!$AC$33)&amp;";  ","")&amp;IF(AND(EDATE($D72,Milestones!$AA$34)&lt;=AsOfDate,EDATE($D72,Milestones!$AA$34)&gt;=SchemeStart,IF($X72=0,$AD72,IF(AND($Z72&lt;&gt;"",EDATE($D72,Milestones!$AA$34)&gt;=$Z72),$AC72,IF(AND($Y72&lt;&gt;"",EDATE($D72,Milestones!$AA$34)&gt;=$Y72),$AB72,$AA72)))=Milestones!$AB$34),UPPER(TEXT(EDATE($D72,Milestones!$AA$34),"dd mmm yy"))&amp;" "&amp;Milestones!$AB$34&amp;" "&amp;IF(AND(Milestones!$AB$34="FT",Milestones!$AA$34=FT_Y5,EDATE($D72,Milestones!$AA$34)&lt;PolicyEff),1,Milestones!$AC$34)&amp;";  ","")&amp;IF(AND(EDATE($D72,Milestones!$AA$35)&lt;=AsOfDate,EDATE($D72,Milestones!$AA$35)&gt;=SchemeStart,IF($X72=0,$AD72,IF(AND($Z72&lt;&gt;"",EDATE($D72,Milestones!$AA$35)&gt;=$Z72),$AC72,IF(AND($Y72&lt;&gt;"",EDATE($D72,Milestones!$AA$35)&gt;=$Y72),$AB72,$AA72)))=Milestones!$AB$35),UPPER(TEXT(EDATE($D72,Milestones!$AA$35),"dd mmm yy"))&amp;" "&amp;Milestones!$AB$35&amp;" "&amp;IF(AND(Milestones!$AB$35="FT",Milestones!$AA$35=FT_Y5,EDATE($D72,Milestones!$AA$35)&lt;PolicyEff),1,Milestones!$AC$35)&amp;";  ","")&amp;IF(AND(EDATE($D72,Milestones!$AA$36)&lt;=AsOfDate,EDATE($D72,Milestones!$AA$36)&gt;=SchemeStart,IF($X72=0,$AD72,IF(AND($Z72&lt;&gt;"",EDATE($D72,Milestones!$AA$36)&gt;=$Z72),$AC72,IF(AND($Y72&lt;&gt;"",EDATE($D72,Milestones!$AA$36)&gt;=$Y72),$AB72,$AA72)))=Milestones!$AB$36),UPPER(TEXT(EDATE($D72,Milestones!$AA$36),"dd mmm yy"))&amp;" "&amp;Milestones!$AB$36&amp;" "&amp;IF(AND(Milestones!$AB$36="FT",Milestones!$AA$36=FT_Y5,EDATE($D72,Milestones!$AA$36)&lt;PolicyEff),1,Milestones!$AC$36)&amp;";  ","")&amp;IF(AND(EDATE($D72,Milestones!$AA$37)&lt;=AsOfDate,EDATE($D72,Milestones!$AA$37)&gt;=SchemeStart,IF($X72=0,$AD72,IF(AND($Z72&lt;&gt;"",EDATE($D72,Milestones!$AA$37)&gt;=$Z72),$AC72,IF(AND($Y72&lt;&gt;"",EDATE($D72,Milestones!$AA$37)&gt;=$Y72),$AB72,$AA72)))=Milestones!$AB$37),UPPER(TEXT(EDATE($D72,Milestones!$AA$37),"dd mmm yy"))&amp;" "&amp;Milestones!$AB$37&amp;" "&amp;IF(AND(Milestones!$AB$37="FT",Milestones!$AA$37=FT_Y5,EDATE($D72,Milestones!$AA$37)&lt;PolicyEff),1,Milestones!$AC$37)&amp;";  ","")&amp;IF(AND(EDATE($D72,Milestones!$AA$38)&lt;=AsOfDate,EDATE($D72,Milestones!$AA$38)&gt;=SchemeStart,IF($X72=0,$AD72,IF(AND($Z72&lt;&gt;"",EDATE($D72,Milestones!$AA$38)&gt;=$Z72),$AC72,IF(AND($Y72&lt;&gt;"",EDATE($D72,Milestones!$AA$38)&gt;=$Y72),$AB72,$AA72)))=Milestones!$AB$38),UPPER(TEXT(EDATE($D72,Milestones!$AA$38),"dd mmm yy"))&amp;" "&amp;Milestones!$AB$38&amp;" "&amp;IF(AND(Milestones!$AB$38="FT",Milestones!$AA$38=FT_Y5,EDATE($D72,Milestones!$AA$38)&lt;PolicyEff),1,Milestones!$AC$38)&amp;";  ","")&amp;IF(AND(EDATE($D72,Milestones!$AA$39)&lt;=AsOfDate,EDATE($D72,Milestones!$AA$39)&gt;=SchemeStart,IF($X72=0,$AD72,IF(AND($Z72&lt;&gt;"",EDATE($D72,Milestones!$AA$39)&gt;=$Z72),$AC72,IF(AND($Y72&lt;&gt;"",EDATE($D72,Milestones!$AA$39)&gt;=$Y72),$AB72,$AA72)))=Milestones!$AB$39),UPPER(TEXT(EDATE($D72,Milestones!$AA$39),"dd mmm yy"))&amp;" "&amp;Milestones!$AB$39&amp;" "&amp;IF(AND(Milestones!$AB$39="FT",Milestones!$AA$39=FT_Y5,EDATE($D72,Milestones!$AA$39)&lt;PolicyEff),1,Milestones!$AC$39)&amp;";  ","")&amp;IF(AND(EDATE($D72,Milestones!$AA$40)&lt;=AsOfDate,EDATE($D72,Milestones!$AA$40)&gt;=SchemeStart,IF($X72=0,$AD72,IF(AND($Z72&lt;&gt;"",EDATE($D72,Milestones!$AA$40)&gt;=$Z72),$AC72,IF(AND($Y72&lt;&gt;"",EDATE($D72,Milestones!$AA$40)&gt;=$Y72),$AB72,$AA72)))=Milestones!$AB$40),UPPER(TEXT(EDATE($D72,Milestones!$AA$40),"dd mmm yy"))&amp;" "&amp;Milestones!$AB$40&amp;" "&amp;IF(AND(Milestones!$AB$40="FT",Milestones!$AA$40=FT_Y5,EDATE($D72,Milestones!$AA$40)&lt;PolicyEff),1,Milestones!$AC$40)&amp;";  ","")&amp;IF(AND(EDATE($D72,Milestones!$AA$41)&lt;=AsOfDate,EDATE($D72,Milestones!$AA$41)&gt;=SchemeStart,IF($X72=0,$AD72,IF(AND($Z72&lt;&gt;"",EDATE($D72,Milestones!$AA$41)&gt;=$Z72),$AC72,IF(AND($Y72&lt;&gt;"",EDATE($D72,Milestones!$AA$41)&gt;=$Y72),$AB72,$AA72)))=Milestones!$AB$41),UPPER(TEXT(EDATE($D72,Milestones!$AA$41),"dd mmm yy"))&amp;" "&amp;Milestones!$AB$41&amp;" "&amp;IF(AND(Milestones!$AB$41="FT",Milestones!$AA$41=FT_Y5,EDATE($D72,Milestones!$AA$41)&lt;PolicyEff),1,Milestones!$AC$41)&amp;";  ","")&amp;IF(AND(EDATE($D72,Milestones!$AA$42)&lt;=AsOfDate,EDATE($D72,Milestones!$AA$42)&gt;=SchemeStart,IF($X72=0,$AD72,IF(AND($Z72&lt;&gt;"",EDATE($D72,Milestones!$AA$42)&gt;=$Z72),$AC72,IF(AND($Y72&lt;&gt;"",EDATE($D72,Milestones!$AA$42)&gt;=$Y72),$AB72,$AA72)))=Milestones!$AB$42),UPPER(TEXT(EDATE($D72,Milestones!$AA$42),"dd mmm yy"))&amp;" "&amp;Milestones!$AB$42&amp;" "&amp;IF(AND(Milestones!$AB$42="FT",Milestones!$AA$42=FT_Y5,EDATE($D72,Milestones!$AA$42)&lt;PolicyEff),1,Milestones!$AC$42)&amp;";  ","")&amp;IF(AND(EDATE($D72,Milestones!$AA$43)&lt;=AsOfDate,EDATE($D72,Milestones!$AA$43)&gt;=SchemeStart,IF($X72=0,$AD72,IF(AND($Z72&lt;&gt;"",EDATE($D72,Milestones!$AA$43)&gt;=$Z72),$AC72,IF(AND($Y72&lt;&gt;"",EDATE($D72,Milestones!$AA$43)&gt;=$Y72),$AB72,$AA72)))=Milestones!$AB$43),UPPER(TEXT(EDATE($D72,Milestones!$AA$43),"dd mmm yy"))&amp;" "&amp;Milestones!$AB$43&amp;" "&amp;IF(AND(Milestones!$AB$43="FT",Milestones!$AA$43=FT_Y5,EDATE($D72,Milestones!$AA$43)&lt;PolicyEff),1,Milestones!$AC$43)&amp;";  ",""))</f>
        <v/>
      </c>
      <c r="K72" s="0" t="str">
        <f aca="false">IF(OR($A72="",$D72=""),"",IF(AND(EDATE($D72,Milestones!$AA$44)&lt;=AsOfDate,EDATE($D72,Milestones!$AA$44)&gt;=SchemeStart,IF($X72=0,$AD72,IF(AND($Z72&lt;&gt;"",EDATE($D72,Milestones!$AA$44)&gt;=$Z72),$AC72,IF(AND($Y72&lt;&gt;"",EDATE($D72,Milestones!$AA$44)&gt;=$Y72),$AB72,$AA72)))=Milestones!$AB$44),UPPER(TEXT(EDATE($D72,Milestones!$AA$44),"dd mmm yy"))&amp;" "&amp;Milestones!$AB$44&amp;" "&amp;IF(AND(Milestones!$AB$44="FT",Milestones!$AA$44=FT_Y5,EDATE($D72,Milestones!$AA$44)&lt;PolicyEff),1,Milestones!$AC$44)&amp;";  ","")&amp;IF(AND(EDATE($D72,Milestones!$AA$45)&lt;=AsOfDate,EDATE($D72,Milestones!$AA$45)&gt;=SchemeStart,IF($X72=0,$AD72,IF(AND($Z72&lt;&gt;"",EDATE($D72,Milestones!$AA$45)&gt;=$Z72),$AC72,IF(AND($Y72&lt;&gt;"",EDATE($D72,Milestones!$AA$45)&gt;=$Y72),$AB72,$AA72)))=Milestones!$AB$45),UPPER(TEXT(EDATE($D72,Milestones!$AA$45),"dd mmm yy"))&amp;" "&amp;Milestones!$AB$45&amp;" "&amp;IF(AND(Milestones!$AB$45="FT",Milestones!$AA$45=FT_Y5,EDATE($D72,Milestones!$AA$45)&lt;PolicyEff),1,Milestones!$AC$45)&amp;";  ","")&amp;IF(AND(EDATE($D72,Milestones!$AA$46)&lt;=AsOfDate,EDATE($D72,Milestones!$AA$46)&gt;=SchemeStart,IF($X72=0,$AD72,IF(AND($Z72&lt;&gt;"",EDATE($D72,Milestones!$AA$46)&gt;=$Z72),$AC72,IF(AND($Y72&lt;&gt;"",EDATE($D72,Milestones!$AA$46)&gt;=$Y72),$AB72,$AA72)))=Milestones!$AB$46),UPPER(TEXT(EDATE($D72,Milestones!$AA$46),"dd mmm yy"))&amp;" "&amp;Milestones!$AB$46&amp;" "&amp;IF(AND(Milestones!$AB$46="FT",Milestones!$AA$46=FT_Y5,EDATE($D72,Milestones!$AA$46)&lt;PolicyEff),1,Milestones!$AC$46)&amp;";  ","")&amp;IF(AND(EDATE($D72,Milestones!$AA$47)&lt;=AsOfDate,EDATE($D72,Milestones!$AA$47)&gt;=SchemeStart,IF($X72=0,$AD72,IF(AND($Z72&lt;&gt;"",EDATE($D72,Milestones!$AA$47)&gt;=$Z72),$AC72,IF(AND($Y72&lt;&gt;"",EDATE($D72,Milestones!$AA$47)&gt;=$Y72),$AB72,$AA72)))=Milestones!$AB$47),UPPER(TEXT(EDATE($D72,Milestones!$AA$47),"dd mmm yy"))&amp;" "&amp;Milestones!$AB$47&amp;" "&amp;IF(AND(Milestones!$AB$47="FT",Milestones!$AA$47=FT_Y5,EDATE($D72,Milestones!$AA$47)&lt;PolicyEff),1,Milestones!$AC$47)&amp;";  ","")&amp;IF(AND(EDATE($D72,Milestones!$AA$48)&lt;=AsOfDate,EDATE($D72,Milestones!$AA$48)&gt;=SchemeStart,IF($X72=0,$AD72,IF(AND($Z72&lt;&gt;"",EDATE($D72,Milestones!$AA$48)&gt;=$Z72),$AC72,IF(AND($Y72&lt;&gt;"",EDATE($D72,Milestones!$AA$48)&gt;=$Y72),$AB72,$AA72)))=Milestones!$AB$48),UPPER(TEXT(EDATE($D72,Milestones!$AA$48),"dd mmm yy"))&amp;" "&amp;Milestones!$AB$48&amp;" "&amp;IF(AND(Milestones!$AB$48="FT",Milestones!$AA$48=FT_Y5,EDATE($D72,Milestones!$AA$48)&lt;PolicyEff),1,Milestones!$AC$48)&amp;";  ","")&amp;IF(AND(EDATE($D72,Milestones!$AA$49)&lt;=AsOfDate,EDATE($D72,Milestones!$AA$49)&gt;=SchemeStart,IF($X72=0,$AD72,IF(AND($Z72&lt;&gt;"",EDATE($D72,Milestones!$AA$49)&gt;=$Z72),$AC72,IF(AND($Y72&lt;&gt;"",EDATE($D72,Milestones!$AA$49)&gt;=$Y72),$AB72,$AA72)))=Milestones!$AB$49),UPPER(TEXT(EDATE($D72,Milestones!$AA$49),"dd mmm yy"))&amp;" "&amp;Milestones!$AB$49&amp;" "&amp;IF(AND(Milestones!$AB$49="FT",Milestones!$AA$49=FT_Y5,EDATE($D72,Milestones!$AA$49)&lt;PolicyEff),1,Milestones!$AC$49)&amp;";  ","")&amp;IF(AND(EDATE($D72,Milestones!$AA$50)&lt;=AsOfDate,EDATE($D72,Milestones!$AA$50)&gt;=SchemeStart,IF($X72=0,$AD72,IF(AND($Z72&lt;&gt;"",EDATE($D72,Milestones!$AA$50)&gt;=$Z72),$AC72,IF(AND($Y72&lt;&gt;"",EDATE($D72,Milestones!$AA$50)&gt;=$Y72),$AB72,$AA72)))=Milestones!$AB$50),UPPER(TEXT(EDATE($D72,Milestones!$AA$50),"dd mmm yy"))&amp;" "&amp;Milestones!$AB$50&amp;" "&amp;IF(AND(Milestones!$AB$50="FT",Milestones!$AA$50=FT_Y5,EDATE($D72,Milestones!$AA$50)&lt;PolicyEff),1,Milestones!$AC$50)&amp;";  ","")&amp;IF(AND(EDATE($D72,Milestones!$AA$51)&lt;=AsOfDate,EDATE($D72,Milestones!$AA$51)&gt;=SchemeStart,IF($X72=0,$AD72,IF(AND($Z72&lt;&gt;"",EDATE($D72,Milestones!$AA$51)&gt;=$Z72),$AC72,IF(AND($Y72&lt;&gt;"",EDATE($D72,Milestones!$AA$51)&gt;=$Y72),$AB72,$AA72)))=Milestones!$AB$51),UPPER(TEXT(EDATE($D72,Milestones!$AA$51),"dd mmm yy"))&amp;" "&amp;Milestones!$AB$51&amp;" "&amp;IF(AND(Milestones!$AB$51="FT",Milestones!$AA$51=FT_Y5,EDATE($D72,Milestones!$AA$51)&lt;PolicyEff),1,Milestones!$AC$51)&amp;";  ","")&amp;IF(AND(EDATE($D72,Milestones!$AA$52)&lt;=AsOfDate,EDATE($D72,Milestones!$AA$52)&gt;=SchemeStart,IF($X72=0,$AD72,IF(AND($Z72&lt;&gt;"",EDATE($D72,Milestones!$AA$52)&gt;=$Z72),$AC72,IF(AND($Y72&lt;&gt;"",EDATE($D72,Milestones!$AA$52)&gt;=$Y72),$AB72,$AA72)))=Milestones!$AB$52),UPPER(TEXT(EDATE($D72,Milestones!$AA$52),"dd mmm yy"))&amp;" "&amp;Milestones!$AB$52&amp;" "&amp;IF(AND(Milestones!$AB$52="FT",Milestones!$AA$52=FT_Y5,EDATE($D72,Milestones!$AA$52)&lt;PolicyEff),1,Milestones!$AC$52)&amp;";  ","")&amp;IF(AND(EDATE($D72,Milestones!$AA$53)&lt;=AsOfDate,EDATE($D72,Milestones!$AA$53)&gt;=SchemeStart,IF($X72=0,$AD72,IF(AND($Z72&lt;&gt;"",EDATE($D72,Milestones!$AA$53)&gt;=$Z72),$AC72,IF(AND($Y72&lt;&gt;"",EDATE($D72,Milestones!$AA$53)&gt;=$Y72),$AB72,$AA72)))=Milestones!$AB$53),UPPER(TEXT(EDATE($D72,Milestones!$AA$53),"dd mmm yy"))&amp;" "&amp;Milestones!$AB$53&amp;" "&amp;IF(AND(Milestones!$AB$53="FT",Milestones!$AA$53=FT_Y5,EDATE($D72,Milestones!$AA$53)&lt;PolicyEff),1,Milestones!$AC$53)&amp;";  ","")&amp;IF(AND(EDATE($D72,Milestones!$AA$54)&lt;=AsOfDate,EDATE($D72,Milestones!$AA$54)&gt;=SchemeStart,IF($X72=0,$AD72,IF(AND($Z72&lt;&gt;"",EDATE($D72,Milestones!$AA$54)&gt;=$Z72),$AC72,IF(AND($Y72&lt;&gt;"",EDATE($D72,Milestones!$AA$54)&gt;=$Y72),$AB72,$AA72)))=Milestones!$AB$54),UPPER(TEXT(EDATE($D72,Milestones!$AA$54),"dd mmm yy"))&amp;" "&amp;Milestones!$AB$54&amp;" "&amp;IF(AND(Milestones!$AB$54="FT",Milestones!$AA$54=FT_Y5,EDATE($D72,Milestones!$AA$54)&lt;PolicyEff),1,Milestones!$AC$54)&amp;";  ","")&amp;IF(AND(EDATE($D72,Milestones!$AA$55)&lt;=AsOfDate,EDATE($D72,Milestones!$AA$55)&gt;=SchemeStart,IF($X72=0,$AD72,IF(AND($Z72&lt;&gt;"",EDATE($D72,Milestones!$AA$55)&gt;=$Z72),$AC72,IF(AND($Y72&lt;&gt;"",EDATE($D72,Milestones!$AA$55)&gt;=$Y72),$AB72,$AA72)))=Milestones!$AB$55),UPPER(TEXT(EDATE($D72,Milestones!$AA$55),"dd mmm yy"))&amp;" "&amp;Milestones!$AB$55&amp;" "&amp;IF(AND(Milestones!$AB$55="FT",Milestones!$AA$55=FT_Y5,EDATE($D72,Milestones!$AA$55)&lt;PolicyEff),1,Milestones!$AC$55)&amp;";  ",""))</f>
        <v/>
      </c>
      <c r="L72" s="0" t="str">
        <f aca="false">IF(OR($A72="",$D72=""),"",IF(AND(EDATE($D72,Milestones!$AA$56)&lt;=AsOfDate,EDATE($D72,Milestones!$AA$56)&gt;=SchemeStart,IF($X72=0,$AD72,IF(AND($Z72&lt;&gt;"",EDATE($D72,Milestones!$AA$56)&gt;=$Z72),$AC72,IF(AND($Y72&lt;&gt;"",EDATE($D72,Milestones!$AA$56)&gt;=$Y72),$AB72,$AA72)))=Milestones!$AB$56),UPPER(TEXT(EDATE($D72,Milestones!$AA$56),"dd mmm yy"))&amp;" "&amp;Milestones!$AB$56&amp;" "&amp;IF(AND(Milestones!$AB$56="FT",Milestones!$AA$56=FT_Y5,EDATE($D72,Milestones!$AA$56)&lt;PolicyEff),1,Milestones!$AC$56)&amp;";  ","")&amp;IF(AND(EDATE($D72,Milestones!$AA$57)&lt;=AsOfDate,EDATE($D72,Milestones!$AA$57)&gt;=SchemeStart,IF($X72=0,$AD72,IF(AND($Z72&lt;&gt;"",EDATE($D72,Milestones!$AA$57)&gt;=$Z72),$AC72,IF(AND($Y72&lt;&gt;"",EDATE($D72,Milestones!$AA$57)&gt;=$Y72),$AB72,$AA72)))=Milestones!$AB$57),UPPER(TEXT(EDATE($D72,Milestones!$AA$57),"dd mmm yy"))&amp;" "&amp;Milestones!$AB$57&amp;" "&amp;IF(AND(Milestones!$AB$57="FT",Milestones!$AA$57=FT_Y5,EDATE($D72,Milestones!$AA$57)&lt;PolicyEff),1,Milestones!$AC$57)&amp;";  ","")&amp;IF(AND(EDATE($D72,Milestones!$AA$58)&lt;=AsOfDate,EDATE($D72,Milestones!$AA$58)&gt;=SchemeStart,IF($X72=0,$AD72,IF(AND($Z72&lt;&gt;"",EDATE($D72,Milestones!$AA$58)&gt;=$Z72),$AC72,IF(AND($Y72&lt;&gt;"",EDATE($D72,Milestones!$AA$58)&gt;=$Y72),$AB72,$AA72)))=Milestones!$AB$58),UPPER(TEXT(EDATE($D72,Milestones!$AA$58),"dd mmm yy"))&amp;" "&amp;Milestones!$AB$58&amp;" "&amp;IF(AND(Milestones!$AB$58="FT",Milestones!$AA$58=FT_Y5,EDATE($D72,Milestones!$AA$58)&lt;PolicyEff),1,Milestones!$AC$58)&amp;";  ","")&amp;IF(AND(EDATE($D72,Milestones!$AA$59)&lt;=AsOfDate,EDATE($D72,Milestones!$AA$59)&gt;=SchemeStart,IF($X72=0,$AD72,IF(AND($Z72&lt;&gt;"",EDATE($D72,Milestones!$AA$59)&gt;=$Z72),$AC72,IF(AND($Y72&lt;&gt;"",EDATE($D72,Milestones!$AA$59)&gt;=$Y72),$AB72,$AA72)))=Milestones!$AB$59),UPPER(TEXT(EDATE($D72,Milestones!$AA$59),"dd mmm yy"))&amp;" "&amp;Milestones!$AB$59&amp;" "&amp;IF(AND(Milestones!$AB$59="FT",Milestones!$AA$59=FT_Y5,EDATE($D72,Milestones!$AA$59)&lt;PolicyEff),1,Milestones!$AC$59)&amp;";  ","")&amp;IF(AND(EDATE($D72,Milestones!$AA$60)&lt;=AsOfDate,EDATE($D72,Milestones!$AA$60)&gt;=SchemeStart,IF($X72=0,$AD72,IF(AND($Z72&lt;&gt;"",EDATE($D72,Milestones!$AA$60)&gt;=$Z72),$AC72,IF(AND($Y72&lt;&gt;"",EDATE($D72,Milestones!$AA$60)&gt;=$Y72),$AB72,$AA72)))=Milestones!$AB$60),UPPER(TEXT(EDATE($D72,Milestones!$AA$60),"dd mmm yy"))&amp;" "&amp;Milestones!$AB$60&amp;" "&amp;IF(AND(Milestones!$AB$60="FT",Milestones!$AA$60=FT_Y5,EDATE($D72,Milestones!$AA$60)&lt;PolicyEff),1,Milestones!$AC$60)&amp;";  ","")&amp;IF(AND(EDATE($D72,Milestones!$AA$61)&lt;=AsOfDate,EDATE($D72,Milestones!$AA$61)&gt;=SchemeStart,IF($X72=0,$AD72,IF(AND($Z72&lt;&gt;"",EDATE($D72,Milestones!$AA$61)&gt;=$Z72),$AC72,IF(AND($Y72&lt;&gt;"",EDATE($D72,Milestones!$AA$61)&gt;=$Y72),$AB72,$AA72)))=Milestones!$AB$61),UPPER(TEXT(EDATE($D72,Milestones!$AA$61),"dd mmm yy"))&amp;" "&amp;Milestones!$AB$61&amp;" "&amp;IF(AND(Milestones!$AB$61="FT",Milestones!$AA$61=FT_Y5,EDATE($D72,Milestones!$AA$61)&lt;PolicyEff),1,Milestones!$AC$61)&amp;";  ","")&amp;IF(AND(EDATE($D72,Milestones!$AA$62)&lt;=AsOfDate,EDATE($D72,Milestones!$AA$62)&gt;=SchemeStart,IF($X72=0,$AD72,IF(AND($Z72&lt;&gt;"",EDATE($D72,Milestones!$AA$62)&gt;=$Z72),$AC72,IF(AND($Y72&lt;&gt;"",EDATE($D72,Milestones!$AA$62)&gt;=$Y72),$AB72,$AA72)))=Milestones!$AB$62),UPPER(TEXT(EDATE($D72,Milestones!$AA$62),"dd mmm yy"))&amp;" "&amp;Milestones!$AB$62&amp;" "&amp;IF(AND(Milestones!$AB$62="FT",Milestones!$AA$62=FT_Y5,EDATE($D72,Milestones!$AA$62)&lt;PolicyEff),1,Milestones!$AC$62)&amp;";  ","")&amp;IF(AND(EDATE($D72,Milestones!$AA$63)&lt;=AsOfDate,EDATE($D72,Milestones!$AA$63)&gt;=SchemeStart,IF($X72=0,$AD72,IF(AND($Z72&lt;&gt;"",EDATE($D72,Milestones!$AA$63)&gt;=$Z72),$AC72,IF(AND($Y72&lt;&gt;"",EDATE($D72,Milestones!$AA$63)&gt;=$Y72),$AB72,$AA72)))=Milestones!$AB$63),UPPER(TEXT(EDATE($D72,Milestones!$AA$63),"dd mmm yy"))&amp;" "&amp;Milestones!$AB$63&amp;" "&amp;IF(AND(Milestones!$AB$63="FT",Milestones!$AA$63=FT_Y5,EDATE($D72,Milestones!$AA$63)&lt;PolicyEff),1,Milestones!$AC$63)&amp;";  ","")&amp;IF(AND(EDATE($D72,Milestones!$AA$64)&lt;=AsOfDate,EDATE($D72,Milestones!$AA$64)&gt;=SchemeStart,IF($X72=0,$AD72,IF(AND($Z72&lt;&gt;"",EDATE($D72,Milestones!$AA$64)&gt;=$Z72),$AC72,IF(AND($Y72&lt;&gt;"",EDATE($D72,Milestones!$AA$64)&gt;=$Y72),$AB72,$AA72)))=Milestones!$AB$64),UPPER(TEXT(EDATE($D72,Milestones!$AA$64),"dd mmm yy"))&amp;" "&amp;Milestones!$AB$64&amp;" "&amp;IF(AND(Milestones!$AB$64="FT",Milestones!$AA$64=FT_Y5,EDATE($D72,Milestones!$AA$64)&lt;PolicyEff),1,Milestones!$AC$64)&amp;";  ","")&amp;IF(AND(EDATE($D72,Milestones!$AA$65)&lt;=AsOfDate,EDATE($D72,Milestones!$AA$65)&gt;=SchemeStart,IF($X72=0,$AD72,IF(AND($Z72&lt;&gt;"",EDATE($D72,Milestones!$AA$65)&gt;=$Z72),$AC72,IF(AND($Y72&lt;&gt;"",EDATE($D72,Milestones!$AA$65)&gt;=$Y72),$AB72,$AA72)))=Milestones!$AB$65),UPPER(TEXT(EDATE($D72,Milestones!$AA$65),"dd mmm yy"))&amp;" "&amp;Milestones!$AB$65&amp;" "&amp;IF(AND(Milestones!$AB$65="FT",Milestones!$AA$65=FT_Y5,EDATE($D72,Milestones!$AA$65)&lt;PolicyEff),1,Milestones!$AC$65)&amp;";  ","")&amp;IF(AND(EDATE($D72,Milestones!$AA$66)&lt;=AsOfDate,EDATE($D72,Milestones!$AA$66)&gt;=SchemeStart,IF($X72=0,$AD72,IF(AND($Z72&lt;&gt;"",EDATE($D72,Milestones!$AA$66)&gt;=$Z72),$AC72,IF(AND($Y72&lt;&gt;"",EDATE($D72,Milestones!$AA$66)&gt;=$Y72),$AB72,$AA72)))=Milestones!$AB$66),UPPER(TEXT(EDATE($D72,Milestones!$AA$66),"dd mmm yy"))&amp;" "&amp;Milestones!$AB$66&amp;" "&amp;IF(AND(Milestones!$AB$66="FT",Milestones!$AA$66=FT_Y5,EDATE($D72,Milestones!$AA$66)&lt;PolicyEff),1,Milestones!$AC$66)&amp;";  ","")&amp;IF(AND(EDATE($D72,Milestones!$AA$67)&lt;=AsOfDate,EDATE($D72,Milestones!$AA$67)&gt;=SchemeStart,IF($X72=0,$AD72,IF(AND($Z72&lt;&gt;"",EDATE($D72,Milestones!$AA$67)&gt;=$Z72),$AC72,IF(AND($Y72&lt;&gt;"",EDATE($D72,Milestones!$AA$67)&gt;=$Y72),$AB72,$AA72)))=Milestones!$AB$67),UPPER(TEXT(EDATE($D72,Milestones!$AA$67),"dd mmm yy"))&amp;" "&amp;Milestones!$AB$67&amp;" "&amp;IF(AND(Milestones!$AB$67="FT",Milestones!$AA$67=FT_Y5,EDATE($D72,Milestones!$AA$67)&lt;PolicyEff),1,Milestones!$AC$67)&amp;";  ",""))</f>
        <v/>
      </c>
      <c r="M72" s="0" t="str">
        <f aca="false">IF(OR($A72="",$D72=""),"",IF(AND(EDATE($D72,Milestones!$AA$68)&lt;=AsOfDate,EDATE($D72,Milestones!$AA$68)&gt;=SchemeStart,IF($X72=0,$AD72,IF(AND($Z72&lt;&gt;"",EDATE($D72,Milestones!$AA$68)&gt;=$Z72),$AC72,IF(AND($Y72&lt;&gt;"",EDATE($D72,Milestones!$AA$68)&gt;=$Y72),$AB72,$AA72)))=Milestones!$AB$68),UPPER(TEXT(EDATE($D72,Milestones!$AA$68),"dd mmm yy"))&amp;" "&amp;Milestones!$AB$68&amp;" "&amp;IF(AND(Milestones!$AB$68="FT",Milestones!$AA$68=FT_Y5,EDATE($D72,Milestones!$AA$68)&lt;PolicyEff),1,Milestones!$AC$68)&amp;";  ","")&amp;IF(AND(EDATE($D72,Milestones!$AA$69)&lt;=AsOfDate,EDATE($D72,Milestones!$AA$69)&gt;=SchemeStart,IF($X72=0,$AD72,IF(AND($Z72&lt;&gt;"",EDATE($D72,Milestones!$AA$69)&gt;=$Z72),$AC72,IF(AND($Y72&lt;&gt;"",EDATE($D72,Milestones!$AA$69)&gt;=$Y72),$AB72,$AA72)))=Milestones!$AB$69),UPPER(TEXT(EDATE($D72,Milestones!$AA$69),"dd mmm yy"))&amp;" "&amp;Milestones!$AB$69&amp;" "&amp;IF(AND(Milestones!$AB$69="FT",Milestones!$AA$69=FT_Y5,EDATE($D72,Milestones!$AA$69)&lt;PolicyEff),1,Milestones!$AC$69)&amp;";  ","")&amp;IF(AND(EDATE($D72,Milestones!$AA$70)&lt;=AsOfDate,EDATE($D72,Milestones!$AA$70)&gt;=SchemeStart,IF($X72=0,$AD72,IF(AND($Z72&lt;&gt;"",EDATE($D72,Milestones!$AA$70)&gt;=$Z72),$AC72,IF(AND($Y72&lt;&gt;"",EDATE($D72,Milestones!$AA$70)&gt;=$Y72),$AB72,$AA72)))=Milestones!$AB$70),UPPER(TEXT(EDATE($D72,Milestones!$AA$70),"dd mmm yy"))&amp;" "&amp;Milestones!$AB$70&amp;" "&amp;IF(AND(Milestones!$AB$70="FT",Milestones!$AA$70=FT_Y5,EDATE($D72,Milestones!$AA$70)&lt;PolicyEff),1,Milestones!$AC$70)&amp;";  ","")&amp;IF(AND(EDATE($D72,Milestones!$AA$71)&lt;=AsOfDate,EDATE($D72,Milestones!$AA$71)&gt;=SchemeStart,IF($X72=0,$AD72,IF(AND($Z72&lt;&gt;"",EDATE($D72,Milestones!$AA$71)&gt;=$Z72),$AC72,IF(AND($Y72&lt;&gt;"",EDATE($D72,Milestones!$AA$71)&gt;=$Y72),$AB72,$AA72)))=Milestones!$AB$71),UPPER(TEXT(EDATE($D72,Milestones!$AA$71),"dd mmm yy"))&amp;" "&amp;Milestones!$AB$71&amp;" "&amp;IF(AND(Milestones!$AB$71="FT",Milestones!$AA$71=FT_Y5,EDATE($D72,Milestones!$AA$71)&lt;PolicyEff),1,Milestones!$AC$71)&amp;";  ","")&amp;IF(AND(EDATE($D72,Milestones!$AA$72)&lt;=AsOfDate,EDATE($D72,Milestones!$AA$72)&gt;=SchemeStart,IF($X72=0,$AD72,IF(AND($Z72&lt;&gt;"",EDATE($D72,Milestones!$AA$72)&gt;=$Z72),$AC72,IF(AND($Y72&lt;&gt;"",EDATE($D72,Milestones!$AA$72)&gt;=$Y72),$AB72,$AA72)))=Milestones!$AB$72),UPPER(TEXT(EDATE($D72,Milestones!$AA$72),"dd mmm yy"))&amp;" "&amp;Milestones!$AB$72&amp;" "&amp;IF(AND(Milestones!$AB$72="FT",Milestones!$AA$72=FT_Y5,EDATE($D72,Milestones!$AA$72)&lt;PolicyEff),1,Milestones!$AC$72)&amp;";  ","")&amp;IF(AND(EDATE($D72,Milestones!$AA$73)&lt;=AsOfDate,EDATE($D72,Milestones!$AA$73)&gt;=SchemeStart,IF($X72=0,$AD72,IF(AND($Z72&lt;&gt;"",EDATE($D72,Milestones!$AA$73)&gt;=$Z72),$AC72,IF(AND($Y72&lt;&gt;"",EDATE($D72,Milestones!$AA$73)&gt;=$Y72),$AB72,$AA72)))=Milestones!$AB$73),UPPER(TEXT(EDATE($D72,Milestones!$AA$73),"dd mmm yy"))&amp;" "&amp;Milestones!$AB$73&amp;" "&amp;IF(AND(Milestones!$AB$73="FT",Milestones!$AA$73=FT_Y5,EDATE($D72,Milestones!$AA$73)&lt;PolicyEff),1,Milestones!$AC$73)&amp;";  ","")&amp;IF(AND(EDATE($D72,Milestones!$AA$74)&lt;=AsOfDate,EDATE($D72,Milestones!$AA$74)&gt;=SchemeStart,IF($X72=0,$AD72,IF(AND($Z72&lt;&gt;"",EDATE($D72,Milestones!$AA$74)&gt;=$Z72),$AC72,IF(AND($Y72&lt;&gt;"",EDATE($D72,Milestones!$AA$74)&gt;=$Y72),$AB72,$AA72)))=Milestones!$AB$74),UPPER(TEXT(EDATE($D72,Milestones!$AA$74),"dd mmm yy"))&amp;" "&amp;Milestones!$AB$74&amp;" "&amp;IF(AND(Milestones!$AB$74="FT",Milestones!$AA$74=FT_Y5,EDATE($D72,Milestones!$AA$74)&lt;PolicyEff),1,Milestones!$AC$74)&amp;";  ","")&amp;IF(AND(EDATE($D72,Milestones!$AA$75)&lt;=AsOfDate,EDATE($D72,Milestones!$AA$75)&gt;=SchemeStart,IF($X72=0,$AD72,IF(AND($Z72&lt;&gt;"",EDATE($D72,Milestones!$AA$75)&gt;=$Z72),$AC72,IF(AND($Y72&lt;&gt;"",EDATE($D72,Milestones!$AA$75)&gt;=$Y72),$AB72,$AA72)))=Milestones!$AB$75),UPPER(TEXT(EDATE($D72,Milestones!$AA$75),"dd mmm yy"))&amp;" "&amp;Milestones!$AB$75&amp;" "&amp;IF(AND(Milestones!$AB$75="FT",Milestones!$AA$75=FT_Y5,EDATE($D72,Milestones!$AA$75)&lt;PolicyEff),1,Milestones!$AC$75)&amp;";  ","")&amp;IF(AND(EDATE($D72,Milestones!$AA$76)&lt;=AsOfDate,EDATE($D72,Milestones!$AA$76)&gt;=SchemeStart,IF($X72=0,$AD72,IF(AND($Z72&lt;&gt;"",EDATE($D72,Milestones!$AA$76)&gt;=$Z72),$AC72,IF(AND($Y72&lt;&gt;"",EDATE($D72,Milestones!$AA$76)&gt;=$Y72),$AB72,$AA72)))=Milestones!$AB$76),UPPER(TEXT(EDATE($D72,Milestones!$AA$76),"dd mmm yy"))&amp;" "&amp;Milestones!$AB$76&amp;" "&amp;IF(AND(Milestones!$AB$76="FT",Milestones!$AA$76=FT_Y5,EDATE($D72,Milestones!$AA$76)&lt;PolicyEff),1,Milestones!$AC$76)&amp;";  ","")&amp;IF(AND(EDATE($D72,Milestones!$AA$77)&lt;=AsOfDate,EDATE($D72,Milestones!$AA$77)&gt;=SchemeStart,IF($X72=0,$AD72,IF(AND($Z72&lt;&gt;"",EDATE($D72,Milestones!$AA$77)&gt;=$Z72),$AC72,IF(AND($Y72&lt;&gt;"",EDATE($D72,Milestones!$AA$77)&gt;=$Y72),$AB72,$AA72)))=Milestones!$AB$77),UPPER(TEXT(EDATE($D72,Milestones!$AA$77),"dd mmm yy"))&amp;" "&amp;Milestones!$AB$77&amp;" "&amp;IF(AND(Milestones!$AB$77="FT",Milestones!$AA$77=FT_Y5,EDATE($D72,Milestones!$AA$77)&lt;PolicyEff),1,Milestones!$AC$77)&amp;";  ","")&amp;IF(AND(EDATE($D72,Milestones!$AA$78)&lt;=AsOfDate,EDATE($D72,Milestones!$AA$78)&gt;=SchemeStart,IF($X72=0,$AD72,IF(AND($Z72&lt;&gt;"",EDATE($D72,Milestones!$AA$78)&gt;=$Z72),$AC72,IF(AND($Y72&lt;&gt;"",EDATE($D72,Milestones!$AA$78)&gt;=$Y72),$AB72,$AA72)))=Milestones!$AB$78),UPPER(TEXT(EDATE($D72,Milestones!$AA$78),"dd mmm yy"))&amp;" "&amp;Milestones!$AB$78&amp;" "&amp;IF(AND(Milestones!$AB$78="FT",Milestones!$AA$78=FT_Y5,EDATE($D72,Milestones!$AA$78)&lt;PolicyEff),1,Milestones!$AC$78)&amp;";  ","")&amp;IF(AND(EDATE($D72,Milestones!$AA$79)&lt;=AsOfDate,EDATE($D72,Milestones!$AA$79)&gt;=SchemeStart,IF($X72=0,$AD72,IF(AND($Z72&lt;&gt;"",EDATE($D72,Milestones!$AA$79)&gt;=$Z72),$AC72,IF(AND($Y72&lt;&gt;"",EDATE($D72,Milestones!$AA$79)&gt;=$Y72),$AB72,$AA72)))=Milestones!$AB$79),UPPER(TEXT(EDATE($D72,Milestones!$AA$79),"dd mmm yy"))&amp;" "&amp;Milestones!$AB$79&amp;" "&amp;IF(AND(Milestones!$AB$79="FT",Milestones!$AA$79=FT_Y5,EDATE($D72,Milestones!$AA$79)&lt;PolicyEff),1,Milestones!$AC$79)&amp;";  ",""))</f>
        <v/>
      </c>
      <c r="N72" s="0" t="str">
        <f aca="false">IF(OR($A72="",$D72=""),"",IF(AND(EDATE($D72,Milestones!$AA$80)&lt;=AsOfDate,EDATE($D72,Milestones!$AA$80)&gt;=SchemeStart,IF($X72=0,$AD72,IF(AND($Z72&lt;&gt;"",EDATE($D72,Milestones!$AA$80)&gt;=$Z72),$AC72,IF(AND($Y72&lt;&gt;"",EDATE($D72,Milestones!$AA$80)&gt;=$Y72),$AB72,$AA72)))=Milestones!$AB$80),UPPER(TEXT(EDATE($D72,Milestones!$AA$80),"dd mmm yy"))&amp;" "&amp;Milestones!$AB$80&amp;" "&amp;IF(AND(Milestones!$AB$80="FT",Milestones!$AA$80=FT_Y5,EDATE($D72,Milestones!$AA$80)&lt;PolicyEff),1,Milestones!$AC$80)&amp;";  ","")&amp;IF(AND(EDATE($D72,Milestones!$AA$81)&lt;=AsOfDate,EDATE($D72,Milestones!$AA$81)&gt;=SchemeStart,IF($X72=0,$AD72,IF(AND($Z72&lt;&gt;"",EDATE($D72,Milestones!$AA$81)&gt;=$Z72),$AC72,IF(AND($Y72&lt;&gt;"",EDATE($D72,Milestones!$AA$81)&gt;=$Y72),$AB72,$AA72)))=Milestones!$AB$81),UPPER(TEXT(EDATE($D72,Milestones!$AA$81),"dd mmm yy"))&amp;" "&amp;Milestones!$AB$81&amp;" "&amp;IF(AND(Milestones!$AB$81="FT",Milestones!$AA$81=FT_Y5,EDATE($D72,Milestones!$AA$81)&lt;PolicyEff),1,Milestones!$AC$81)&amp;";  ","")&amp;IF(AND(EDATE($D72,Milestones!$AA$82)&lt;=AsOfDate,EDATE($D72,Milestones!$AA$82)&gt;=SchemeStart,IF($X72=0,$AD72,IF(AND($Z72&lt;&gt;"",EDATE($D72,Milestones!$AA$82)&gt;=$Z72),$AC72,IF(AND($Y72&lt;&gt;"",EDATE($D72,Milestones!$AA$82)&gt;=$Y72),$AB72,$AA72)))=Milestones!$AB$82),UPPER(TEXT(EDATE($D72,Milestones!$AA$82),"dd mmm yy"))&amp;" "&amp;Milestones!$AB$82&amp;" "&amp;IF(AND(Milestones!$AB$82="FT",Milestones!$AA$82=FT_Y5,EDATE($D72,Milestones!$AA$82)&lt;PolicyEff),1,Milestones!$AC$82)&amp;";  ","")&amp;IF(AND(EDATE($D72,Milestones!$AA$83)&lt;=AsOfDate,EDATE($D72,Milestones!$AA$83)&gt;=SchemeStart,IF($X72=0,$AD72,IF(AND($Z72&lt;&gt;"",EDATE($D72,Milestones!$AA$83)&gt;=$Z72),$AC72,IF(AND($Y72&lt;&gt;"",EDATE($D72,Milestones!$AA$83)&gt;=$Y72),$AB72,$AA72)))=Milestones!$AB$83),UPPER(TEXT(EDATE($D72,Milestones!$AA$83),"dd mmm yy"))&amp;" "&amp;Milestones!$AB$83&amp;" "&amp;IF(AND(Milestones!$AB$83="FT",Milestones!$AA$83=FT_Y5,EDATE($D72,Milestones!$AA$83)&lt;PolicyEff),1,Milestones!$AC$83)&amp;";  ","")&amp;IF(AND(EDATE($D72,Milestones!$AA$84)&lt;=AsOfDate,EDATE($D72,Milestones!$AA$84)&gt;=SchemeStart,IF($X72=0,$AD72,IF(AND($Z72&lt;&gt;"",EDATE($D72,Milestones!$AA$84)&gt;=$Z72),$AC72,IF(AND($Y72&lt;&gt;"",EDATE($D72,Milestones!$AA$84)&gt;=$Y72),$AB72,$AA72)))=Milestones!$AB$84),UPPER(TEXT(EDATE($D72,Milestones!$AA$84),"dd mmm yy"))&amp;" "&amp;Milestones!$AB$84&amp;" "&amp;IF(AND(Milestones!$AB$84="FT",Milestones!$AA$84=FT_Y5,EDATE($D72,Milestones!$AA$84)&lt;PolicyEff),1,Milestones!$AC$84)&amp;";  ","")&amp;IF(AND(EDATE($D72,Milestones!$AA$85)&lt;=AsOfDate,EDATE($D72,Milestones!$AA$85)&gt;=SchemeStart,IF($X72=0,$AD72,IF(AND($Z72&lt;&gt;"",EDATE($D72,Milestones!$AA$85)&gt;=$Z72),$AC72,IF(AND($Y72&lt;&gt;"",EDATE($D72,Milestones!$AA$85)&gt;=$Y72),$AB72,$AA72)))=Milestones!$AB$85),UPPER(TEXT(EDATE($D72,Milestones!$AA$85),"dd mmm yy"))&amp;" "&amp;Milestones!$AB$85&amp;" "&amp;IF(AND(Milestones!$AB$85="FT",Milestones!$AA$85=FT_Y5,EDATE($D72,Milestones!$AA$85)&lt;PolicyEff),1,Milestones!$AC$85)&amp;";  ","")&amp;IF(AND(EDATE($D72,Milestones!$AA$86)&lt;=AsOfDate,EDATE($D72,Milestones!$AA$86)&gt;=SchemeStart,IF($X72=0,$AD72,IF(AND($Z72&lt;&gt;"",EDATE($D72,Milestones!$AA$86)&gt;=$Z72),$AC72,IF(AND($Y72&lt;&gt;"",EDATE($D72,Milestones!$AA$86)&gt;=$Y72),$AB72,$AA72)))=Milestones!$AB$86),UPPER(TEXT(EDATE($D72,Milestones!$AA$86),"dd mmm yy"))&amp;" "&amp;Milestones!$AB$86&amp;" "&amp;IF(AND(Milestones!$AB$86="FT",Milestones!$AA$86=FT_Y5,EDATE($D72,Milestones!$AA$86)&lt;PolicyEff),1,Milestones!$AC$86)&amp;";  ","")&amp;IF(AND(EDATE($D72,Milestones!$AA$87)&lt;=AsOfDate,EDATE($D72,Milestones!$AA$87)&gt;=SchemeStart,IF($X72=0,$AD72,IF(AND($Z72&lt;&gt;"",EDATE($D72,Milestones!$AA$87)&gt;=$Z72),$AC72,IF(AND($Y72&lt;&gt;"",EDATE($D72,Milestones!$AA$87)&gt;=$Y72),$AB72,$AA72)))=Milestones!$AB$87),UPPER(TEXT(EDATE($D72,Milestones!$AA$87),"dd mmm yy"))&amp;" "&amp;Milestones!$AB$87&amp;" "&amp;IF(AND(Milestones!$AB$87="FT",Milestones!$AA$87=FT_Y5,EDATE($D72,Milestones!$AA$87)&lt;PolicyEff),1,Milestones!$AC$87)&amp;";  ","")&amp;IF(AND(EDATE($D72,Milestones!$AA$88)&lt;=AsOfDate,EDATE($D72,Milestones!$AA$88)&gt;=SchemeStart,IF($X72=0,$AD72,IF(AND($Z72&lt;&gt;"",EDATE($D72,Milestones!$AA$88)&gt;=$Z72),$AC72,IF(AND($Y72&lt;&gt;"",EDATE($D72,Milestones!$AA$88)&gt;=$Y72),$AB72,$AA72)))=Milestones!$AB$88),UPPER(TEXT(EDATE($D72,Milestones!$AA$88),"dd mmm yy"))&amp;" "&amp;Milestones!$AB$88&amp;" "&amp;IF(AND(Milestones!$AB$88="FT",Milestones!$AA$88=FT_Y5,EDATE($D72,Milestones!$AA$88)&lt;PolicyEff),1,Milestones!$AC$88)&amp;";  ","")&amp;IF(AND(EDATE($D72,Milestones!$AA$89)&lt;=AsOfDate,EDATE($D72,Milestones!$AA$89)&gt;=SchemeStart,IF($X72=0,$AD72,IF(AND($Z72&lt;&gt;"",EDATE($D72,Milestones!$AA$89)&gt;=$Z72),$AC72,IF(AND($Y72&lt;&gt;"",EDATE($D72,Milestones!$AA$89)&gt;=$Y72),$AB72,$AA72)))=Milestones!$AB$89),UPPER(TEXT(EDATE($D72,Milestones!$AA$89),"dd mmm yy"))&amp;" "&amp;Milestones!$AB$89&amp;" "&amp;IF(AND(Milestones!$AB$89="FT",Milestones!$AA$89=FT_Y5,EDATE($D72,Milestones!$AA$89)&lt;PolicyEff),1,Milestones!$AC$89)&amp;";  ","")&amp;IF(AND(EDATE($D72,Milestones!$AA$90)&lt;=AsOfDate,EDATE($D72,Milestones!$AA$90)&gt;=SchemeStart,IF($X72=0,$AD72,IF(AND($Z72&lt;&gt;"",EDATE($D72,Milestones!$AA$90)&gt;=$Z72),$AC72,IF(AND($Y72&lt;&gt;"",EDATE($D72,Milestones!$AA$90)&gt;=$Y72),$AB72,$AA72)))=Milestones!$AB$90),UPPER(TEXT(EDATE($D72,Milestones!$AA$90),"dd mmm yy"))&amp;" "&amp;Milestones!$AB$90&amp;" "&amp;IF(AND(Milestones!$AB$90="FT",Milestones!$AA$90=FT_Y5,EDATE($D72,Milestones!$AA$90)&lt;PolicyEff),1,Milestones!$AC$90)&amp;";  ","")&amp;IF(AND(EDATE($D72,Milestones!$AA$91)&lt;=AsOfDate,EDATE($D72,Milestones!$AA$91)&gt;=SchemeStart,IF($X72=0,$AD72,IF(AND($Z72&lt;&gt;"",EDATE($D72,Milestones!$AA$91)&gt;=$Z72),$AC72,IF(AND($Y72&lt;&gt;"",EDATE($D72,Milestones!$AA$91)&gt;=$Y72),$AB72,$AA72)))=Milestones!$AB$91),UPPER(TEXT(EDATE($D72,Milestones!$AA$91),"dd mmm yy"))&amp;" "&amp;Milestones!$AB$91&amp;" "&amp;IF(AND(Milestones!$AB$91="FT",Milestones!$AA$91=FT_Y5,EDATE($D72,Milestones!$AA$91)&lt;PolicyEff),1,Milestones!$AC$91)&amp;";  ",""))</f>
        <v/>
      </c>
      <c r="O72" s="0" t="str">
        <f aca="false">IF(OR($A72="",$D72=""),"",IF(AND(EDATE($D72,Milestones!$AA$92)&lt;=AsOfDate,EDATE($D72,Milestones!$AA$92)&gt;=SchemeStart,IF($X72=0,$AD72,IF(AND($Z72&lt;&gt;"",EDATE($D72,Milestones!$AA$92)&gt;=$Z72),$AC72,IF(AND($Y72&lt;&gt;"",EDATE($D72,Milestones!$AA$92)&gt;=$Y72),$AB72,$AA72)))=Milestones!$AB$92),UPPER(TEXT(EDATE($D72,Milestones!$AA$92),"dd mmm yy"))&amp;" "&amp;Milestones!$AB$92&amp;" "&amp;IF(AND(Milestones!$AB$92="FT",Milestones!$AA$92=FT_Y5,EDATE($D72,Milestones!$AA$92)&lt;PolicyEff),1,Milestones!$AC$92)&amp;";  ","")&amp;IF(AND(EDATE($D72,Milestones!$AA$93)&lt;=AsOfDate,EDATE($D72,Milestones!$AA$93)&gt;=SchemeStart,IF($X72=0,$AD72,IF(AND($Z72&lt;&gt;"",EDATE($D72,Milestones!$AA$93)&gt;=$Z72),$AC72,IF(AND($Y72&lt;&gt;"",EDATE($D72,Milestones!$AA$93)&gt;=$Y72),$AB72,$AA72)))=Milestones!$AB$93),UPPER(TEXT(EDATE($D72,Milestones!$AA$93),"dd mmm yy"))&amp;" "&amp;Milestones!$AB$93&amp;" "&amp;IF(AND(Milestones!$AB$93="FT",Milestones!$AA$93=FT_Y5,EDATE($D72,Milestones!$AA$93)&lt;PolicyEff),1,Milestones!$AC$93)&amp;";  ","")&amp;IF(AND(EDATE($D72,Milestones!$AA$94)&lt;=AsOfDate,EDATE($D72,Milestones!$AA$94)&gt;=SchemeStart,IF($X72=0,$AD72,IF(AND($Z72&lt;&gt;"",EDATE($D72,Milestones!$AA$94)&gt;=$Z72),$AC72,IF(AND($Y72&lt;&gt;"",EDATE($D72,Milestones!$AA$94)&gt;=$Y72),$AB72,$AA72)))=Milestones!$AB$94),UPPER(TEXT(EDATE($D72,Milestones!$AA$94),"dd mmm yy"))&amp;" "&amp;Milestones!$AB$94&amp;" "&amp;IF(AND(Milestones!$AB$94="FT",Milestones!$AA$94=FT_Y5,EDATE($D72,Milestones!$AA$94)&lt;PolicyEff),1,Milestones!$AC$94)&amp;";  ","")&amp;IF(AND(EDATE($D72,Milestones!$AA$95)&lt;=AsOfDate,EDATE($D72,Milestones!$AA$95)&gt;=SchemeStart,IF($X72=0,$AD72,IF(AND($Z72&lt;&gt;"",EDATE($D72,Milestones!$AA$95)&gt;=$Z72),$AC72,IF(AND($Y72&lt;&gt;"",EDATE($D72,Milestones!$AA$95)&gt;=$Y72),$AB72,$AA72)))=Milestones!$AB$95),UPPER(TEXT(EDATE($D72,Milestones!$AA$95),"dd mmm yy"))&amp;" "&amp;Milestones!$AB$95&amp;" "&amp;IF(AND(Milestones!$AB$95="FT",Milestones!$AA$95=FT_Y5,EDATE($D72,Milestones!$AA$95)&lt;PolicyEff),1,Milestones!$AC$95)&amp;";  ","")&amp;IF(AND(EDATE($D72,Milestones!$AA$96)&lt;=AsOfDate,EDATE($D72,Milestones!$AA$96)&gt;=SchemeStart,IF($X72=0,$AD72,IF(AND($Z72&lt;&gt;"",EDATE($D72,Milestones!$AA$96)&gt;=$Z72),$AC72,IF(AND($Y72&lt;&gt;"",EDATE($D72,Milestones!$AA$96)&gt;=$Y72),$AB72,$AA72)))=Milestones!$AB$96),UPPER(TEXT(EDATE($D72,Milestones!$AA$96),"dd mmm yy"))&amp;" "&amp;Milestones!$AB$96&amp;" "&amp;IF(AND(Milestones!$AB$96="FT",Milestones!$AA$96=FT_Y5,EDATE($D72,Milestones!$AA$96)&lt;PolicyEff),1,Milestones!$AC$96)&amp;";  ","")&amp;IF(AND(EDATE($D72,Milestones!$AA$97)&lt;=AsOfDate,EDATE($D72,Milestones!$AA$97)&gt;=SchemeStart,IF($X72=0,$AD72,IF(AND($Z72&lt;&gt;"",EDATE($D72,Milestones!$AA$97)&gt;=$Z72),$AC72,IF(AND($Y72&lt;&gt;"",EDATE($D72,Milestones!$AA$97)&gt;=$Y72),$AB72,$AA72)))=Milestones!$AB$97),UPPER(TEXT(EDATE($D72,Milestones!$AA$97),"dd mmm yy"))&amp;" "&amp;Milestones!$AB$97&amp;" "&amp;IF(AND(Milestones!$AB$97="FT",Milestones!$AA$97=FT_Y5,EDATE($D72,Milestones!$AA$97)&lt;PolicyEff),1,Milestones!$AC$97)&amp;";  ","")&amp;IF(AND(EDATE($D72,Milestones!$AA$98)&lt;=AsOfDate,EDATE($D72,Milestones!$AA$98)&gt;=SchemeStart,IF($X72=0,$AD72,IF(AND($Z72&lt;&gt;"",EDATE($D72,Milestones!$AA$98)&gt;=$Z72),$AC72,IF(AND($Y72&lt;&gt;"",EDATE($D72,Milestones!$AA$98)&gt;=$Y72),$AB72,$AA72)))=Milestones!$AB$98),UPPER(TEXT(EDATE($D72,Milestones!$AA$98),"dd mmm yy"))&amp;" "&amp;Milestones!$AB$98&amp;" "&amp;IF(AND(Milestones!$AB$98="FT",Milestones!$AA$98=FT_Y5,EDATE($D72,Milestones!$AA$98)&lt;PolicyEff),1,Milestones!$AC$98)&amp;";  ","")&amp;IF(AND(EDATE($D72,Milestones!$AA$99)&lt;=AsOfDate,EDATE($D72,Milestones!$AA$99)&gt;=SchemeStart,IF($X72=0,$AD72,IF(AND($Z72&lt;&gt;"",EDATE($D72,Milestones!$AA$99)&gt;=$Z72),$AC72,IF(AND($Y72&lt;&gt;"",EDATE($D72,Milestones!$AA$99)&gt;=$Y72),$AB72,$AA72)))=Milestones!$AB$99),UPPER(TEXT(EDATE($D72,Milestones!$AA$99),"dd mmm yy"))&amp;" "&amp;Milestones!$AB$99&amp;" "&amp;IF(AND(Milestones!$AB$99="FT",Milestones!$AA$99=FT_Y5,EDATE($D72,Milestones!$AA$99)&lt;PolicyEff),1,Milestones!$AC$99)&amp;";  ","")&amp;IF(AND(EDATE($D72,Milestones!$AA$100)&lt;=AsOfDate,EDATE($D72,Milestones!$AA$100)&gt;=SchemeStart,IF($X72=0,$AD72,IF(AND($Z72&lt;&gt;"",EDATE($D72,Milestones!$AA$100)&gt;=$Z72),$AC72,IF(AND($Y72&lt;&gt;"",EDATE($D72,Milestones!$AA$100)&gt;=$Y72),$AB72,$AA72)))=Milestones!$AB$100),UPPER(TEXT(EDATE($D72,Milestones!$AA$100),"dd mmm yy"))&amp;" "&amp;Milestones!$AB$100&amp;" "&amp;IF(AND(Milestones!$AB$100="FT",Milestones!$AA$100=FT_Y5,EDATE($D72,Milestones!$AA$100)&lt;PolicyEff),1,Milestones!$AC$100)&amp;";  ","")&amp;IF(AND(EDATE($D72,Milestones!$AA$101)&lt;=AsOfDate,EDATE($D72,Milestones!$AA$101)&gt;=SchemeStart,IF($X72=0,$AD72,IF(AND($Z72&lt;&gt;"",EDATE($D72,Milestones!$AA$101)&gt;=$Z72),$AC72,IF(AND($Y72&lt;&gt;"",EDATE($D72,Milestones!$AA$101)&gt;=$Y72),$AB72,$AA72)))=Milestones!$AB$101),UPPER(TEXT(EDATE($D72,Milestones!$AA$101),"dd mmm yy"))&amp;" "&amp;Milestones!$AB$101&amp;" "&amp;IF(AND(Milestones!$AB$101="FT",Milestones!$AA$101=FT_Y5,EDATE($D72,Milestones!$AA$101)&lt;PolicyEff),1,Milestones!$AC$101)&amp;";  ","")&amp;IF(AND(EDATE($D72,Milestones!$AA$102)&lt;=AsOfDate,EDATE($D72,Milestones!$AA$102)&gt;=SchemeStart,IF($X72=0,$AD72,IF(AND($Z72&lt;&gt;"",EDATE($D72,Milestones!$AA$102)&gt;=$Z72),$AC72,IF(AND($Y72&lt;&gt;"",EDATE($D72,Milestones!$AA$102)&gt;=$Y72),$AB72,$AA72)))=Milestones!$AB$102),UPPER(TEXT(EDATE($D72,Milestones!$AA$102),"dd mmm yy"))&amp;" "&amp;Milestones!$AB$102&amp;" "&amp;IF(AND(Milestones!$AB$102="FT",Milestones!$AA$102=FT_Y5,EDATE($D72,Milestones!$AA$102)&lt;PolicyEff),1,Milestones!$AC$102)&amp;";  ","")&amp;IF(AND(EDATE($D72,Milestones!$AA$103)&lt;=AsOfDate,EDATE($D72,Milestones!$AA$103)&gt;=SchemeStart,IF($X72=0,$AD72,IF(AND($Z72&lt;&gt;"",EDATE($D72,Milestones!$AA$103)&gt;=$Z72),$AC72,IF(AND($Y72&lt;&gt;"",EDATE($D72,Milestones!$AA$103)&gt;=$Y72),$AB72,$AA72)))=Milestones!$AB$103),UPPER(TEXT(EDATE($D72,Milestones!$AA$103),"dd mmm yy"))&amp;" "&amp;Milestones!$AB$103&amp;" "&amp;IF(AND(Milestones!$AB$103="FT",Milestones!$AA$103=FT_Y5,EDATE($D72,Milestones!$AA$103)&lt;PolicyEff),1,Milestones!$AC$103)&amp;";  ",""))</f>
        <v/>
      </c>
      <c r="P72" s="0" t="str">
        <f aca="false">IF(OR($A72="",$D72=""),"",IF(AND(EDATE($D72,Milestones!$AA$104)&lt;=AsOfDate,EDATE($D72,Milestones!$AA$104)&gt;=SchemeStart,IF($X72=0,$AD72,IF(AND($Z72&lt;&gt;"",EDATE($D72,Milestones!$AA$104)&gt;=$Z72),$AC72,IF(AND($Y72&lt;&gt;"",EDATE($D72,Milestones!$AA$104)&gt;=$Y72),$AB72,$AA72)))=Milestones!$AB$104),UPPER(TEXT(EDATE($D72,Milestones!$AA$104),"dd mmm yy"))&amp;" "&amp;Milestones!$AB$104&amp;" "&amp;IF(AND(Milestones!$AB$104="FT",Milestones!$AA$104=FT_Y5,EDATE($D72,Milestones!$AA$104)&lt;PolicyEff),1,Milestones!$AC$104)&amp;";  ","")&amp;IF(AND(EDATE($D72,Milestones!$AA$105)&lt;=AsOfDate,EDATE($D72,Milestones!$AA$105)&gt;=SchemeStart,IF($X72=0,$AD72,IF(AND($Z72&lt;&gt;"",EDATE($D72,Milestones!$AA$105)&gt;=$Z72),$AC72,IF(AND($Y72&lt;&gt;"",EDATE($D72,Milestones!$AA$105)&gt;=$Y72),$AB72,$AA72)))=Milestones!$AB$105),UPPER(TEXT(EDATE($D72,Milestones!$AA$105),"dd mmm yy"))&amp;" "&amp;Milestones!$AB$105&amp;" "&amp;IF(AND(Milestones!$AB$105="FT",Milestones!$AA$105=FT_Y5,EDATE($D72,Milestones!$AA$105)&lt;PolicyEff),1,Milestones!$AC$105)&amp;";  ","")&amp;IF(AND(EDATE($D72,Milestones!$AA$106)&lt;=AsOfDate,EDATE($D72,Milestones!$AA$106)&gt;=SchemeStart,IF($X72=0,$AD72,IF(AND($Z72&lt;&gt;"",EDATE($D72,Milestones!$AA$106)&gt;=$Z72),$AC72,IF(AND($Y72&lt;&gt;"",EDATE($D72,Milestones!$AA$106)&gt;=$Y72),$AB72,$AA72)))=Milestones!$AB$106),UPPER(TEXT(EDATE($D72,Milestones!$AA$106),"dd mmm yy"))&amp;" "&amp;Milestones!$AB$106&amp;" "&amp;IF(AND(Milestones!$AB$106="FT",Milestones!$AA$106=FT_Y5,EDATE($D72,Milestones!$AA$106)&lt;PolicyEff),1,Milestones!$AC$106)&amp;";  ","")&amp;IF(AND(EDATE($D72,Milestones!$AA$107)&lt;=AsOfDate,EDATE($D72,Milestones!$AA$107)&gt;=SchemeStart,IF($X72=0,$AD72,IF(AND($Z72&lt;&gt;"",EDATE($D72,Milestones!$AA$107)&gt;=$Z72),$AC72,IF(AND($Y72&lt;&gt;"",EDATE($D72,Milestones!$AA$107)&gt;=$Y72),$AB72,$AA72)))=Milestones!$AB$107),UPPER(TEXT(EDATE($D72,Milestones!$AA$107),"dd mmm yy"))&amp;" "&amp;Milestones!$AB$107&amp;" "&amp;IF(AND(Milestones!$AB$107="FT",Milestones!$AA$107=FT_Y5,EDATE($D72,Milestones!$AA$107)&lt;PolicyEff),1,Milestones!$AC$107)&amp;";  ","")&amp;IF(AND(EDATE($D72,Milestones!$AA$108)&lt;=AsOfDate,EDATE($D72,Milestones!$AA$108)&gt;=SchemeStart,IF($X72=0,$AD72,IF(AND($Z72&lt;&gt;"",EDATE($D72,Milestones!$AA$108)&gt;=$Z72),$AC72,IF(AND($Y72&lt;&gt;"",EDATE($D72,Milestones!$AA$108)&gt;=$Y72),$AB72,$AA72)))=Milestones!$AB$108),UPPER(TEXT(EDATE($D72,Milestones!$AA$108),"dd mmm yy"))&amp;" "&amp;Milestones!$AB$108&amp;" "&amp;IF(AND(Milestones!$AB$108="FT",Milestones!$AA$108=FT_Y5,EDATE($D72,Milestones!$AA$108)&lt;PolicyEff),1,Milestones!$AC$108)&amp;";  ","")&amp;IF(AND(EDATE($D72,Milestones!$AA$109)&lt;=AsOfDate,EDATE($D72,Milestones!$AA$109)&gt;=SchemeStart,IF($X72=0,$AD72,IF(AND($Z72&lt;&gt;"",EDATE($D72,Milestones!$AA$109)&gt;=$Z72),$AC72,IF(AND($Y72&lt;&gt;"",EDATE($D72,Milestones!$AA$109)&gt;=$Y72),$AB72,$AA72)))=Milestones!$AB$109),UPPER(TEXT(EDATE($D72,Milestones!$AA$109),"dd mmm yy"))&amp;" "&amp;Milestones!$AB$109&amp;" "&amp;IF(AND(Milestones!$AB$109="FT",Milestones!$AA$109=FT_Y5,EDATE($D72,Milestones!$AA$109)&lt;PolicyEff),1,Milestones!$AC$109)&amp;";  ","")&amp;IF(AND(EDATE($D72,Milestones!$AA$110)&lt;=AsOfDate,EDATE($D72,Milestones!$AA$110)&gt;=SchemeStart,IF($X72=0,$AD72,IF(AND($Z72&lt;&gt;"",EDATE($D72,Milestones!$AA$110)&gt;=$Z72),$AC72,IF(AND($Y72&lt;&gt;"",EDATE($D72,Milestones!$AA$110)&gt;=$Y72),$AB72,$AA72)))=Milestones!$AB$110),UPPER(TEXT(EDATE($D72,Milestones!$AA$110),"dd mmm yy"))&amp;" "&amp;Milestones!$AB$110&amp;" "&amp;IF(AND(Milestones!$AB$110="FT",Milestones!$AA$110=FT_Y5,EDATE($D72,Milestones!$AA$110)&lt;PolicyEff),1,Milestones!$AC$110)&amp;";  ","")&amp;IF(AND(EDATE($D72,Milestones!$AA$111)&lt;=AsOfDate,EDATE($D72,Milestones!$AA$111)&gt;=SchemeStart,IF($X72=0,$AD72,IF(AND($Z72&lt;&gt;"",EDATE($D72,Milestones!$AA$111)&gt;=$Z72),$AC72,IF(AND($Y72&lt;&gt;"",EDATE($D72,Milestones!$AA$111)&gt;=$Y72),$AB72,$AA72)))=Milestones!$AB$111),UPPER(TEXT(EDATE($D72,Milestones!$AA$111),"dd mmm yy"))&amp;" "&amp;Milestones!$AB$111&amp;" "&amp;IF(AND(Milestones!$AB$111="FT",Milestones!$AA$111=FT_Y5,EDATE($D72,Milestones!$AA$111)&lt;PolicyEff),1,Milestones!$AC$111)&amp;";  ","")&amp;IF(AND(EDATE($D72,Milestones!$AA$112)&lt;=AsOfDate,EDATE($D72,Milestones!$AA$112)&gt;=SchemeStart,IF($X72=0,$AD72,IF(AND($Z72&lt;&gt;"",EDATE($D72,Milestones!$AA$112)&gt;=$Z72),$AC72,IF(AND($Y72&lt;&gt;"",EDATE($D72,Milestones!$AA$112)&gt;=$Y72),$AB72,$AA72)))=Milestones!$AB$112),UPPER(TEXT(EDATE($D72,Milestones!$AA$112),"dd mmm yy"))&amp;" "&amp;Milestones!$AB$112&amp;" "&amp;IF(AND(Milestones!$AB$112="FT",Milestones!$AA$112=FT_Y5,EDATE($D72,Milestones!$AA$112)&lt;PolicyEff),1,Milestones!$AC$112)&amp;";  ","")&amp;IF(AND(EDATE($D72,Milestones!$AA$113)&lt;=AsOfDate,EDATE($D72,Milestones!$AA$113)&gt;=SchemeStart,IF($X72=0,$AD72,IF(AND($Z72&lt;&gt;"",EDATE($D72,Milestones!$AA$113)&gt;=$Z72),$AC72,IF(AND($Y72&lt;&gt;"",EDATE($D72,Milestones!$AA$113)&gt;=$Y72),$AB72,$AA72)))=Milestones!$AB$113),UPPER(TEXT(EDATE($D72,Milestones!$AA$113),"dd mmm yy"))&amp;" "&amp;Milestones!$AB$113&amp;" "&amp;IF(AND(Milestones!$AB$113="FT",Milestones!$AA$113=FT_Y5,EDATE($D72,Milestones!$AA$113)&lt;PolicyEff),1,Milestones!$AC$113)&amp;";  ","")&amp;IF(AND(EDATE($D72,Milestones!$AA$114)&lt;=AsOfDate,EDATE($D72,Milestones!$AA$114)&gt;=SchemeStart,IF($X72=0,$AD72,IF(AND($Z72&lt;&gt;"",EDATE($D72,Milestones!$AA$114)&gt;=$Z72),$AC72,IF(AND($Y72&lt;&gt;"",EDATE($D72,Milestones!$AA$114)&gt;=$Y72),$AB72,$AA72)))=Milestones!$AB$114),UPPER(TEXT(EDATE($D72,Milestones!$AA$114),"dd mmm yy"))&amp;" "&amp;Milestones!$AB$114&amp;" "&amp;IF(AND(Milestones!$AB$114="FT",Milestones!$AA$114=FT_Y5,EDATE($D72,Milestones!$AA$114)&lt;PolicyEff),1,Milestones!$AC$114)&amp;";  ","")&amp;IF(AND(EDATE($D72,Milestones!$AA$115)&lt;=AsOfDate,EDATE($D72,Milestones!$AA$115)&gt;=SchemeStart,IF($X72=0,$AD72,IF(AND($Z72&lt;&gt;"",EDATE($D72,Milestones!$AA$115)&gt;=$Z72),$AC72,IF(AND($Y72&lt;&gt;"",EDATE($D72,Milestones!$AA$115)&gt;=$Y72),$AB72,$AA72)))=Milestones!$AB$115),UPPER(TEXT(EDATE($D72,Milestones!$AA$115),"dd mmm yy"))&amp;" "&amp;Milestones!$AB$115&amp;" "&amp;IF(AND(Milestones!$AB$115="FT",Milestones!$AA$115=FT_Y5,EDATE($D72,Milestones!$AA$115)&lt;PolicyEff),1,Milestones!$AC$115)&amp;";  ",""))</f>
        <v/>
      </c>
      <c r="Q72" s="0" t="str">
        <f aca="false">IF(OR($A72="",$D72=""),"",IF(AND(EDATE($D72,Milestones!$AA$116)&lt;=AsOfDate,EDATE($D72,Milestones!$AA$116)&gt;=SchemeStart,IF($X72=0,$AD72,IF(AND($Z72&lt;&gt;"",EDATE($D72,Milestones!$AA$116)&gt;=$Z72),$AC72,IF(AND($Y72&lt;&gt;"",EDATE($D72,Milestones!$AA$116)&gt;=$Y72),$AB72,$AA72)))=Milestones!$AB$116),UPPER(TEXT(EDATE($D72,Milestones!$AA$116),"dd mmm yy"))&amp;" "&amp;Milestones!$AB$116&amp;" "&amp;IF(AND(Milestones!$AB$116="FT",Milestones!$AA$116=FT_Y5,EDATE($D72,Milestones!$AA$116)&lt;PolicyEff),1,Milestones!$AC$116)&amp;";  ","")&amp;IF(AND(EDATE($D72,Milestones!$AA$117)&lt;=AsOfDate,EDATE($D72,Milestones!$AA$117)&gt;=SchemeStart,IF($X72=0,$AD72,IF(AND($Z72&lt;&gt;"",EDATE($D72,Milestones!$AA$117)&gt;=$Z72),$AC72,IF(AND($Y72&lt;&gt;"",EDATE($D72,Milestones!$AA$117)&gt;=$Y72),$AB72,$AA72)))=Milestones!$AB$117),UPPER(TEXT(EDATE($D72,Milestones!$AA$117),"dd mmm yy"))&amp;" "&amp;Milestones!$AB$117&amp;" "&amp;IF(AND(Milestones!$AB$117="FT",Milestones!$AA$117=FT_Y5,EDATE($D72,Milestones!$AA$117)&lt;PolicyEff),1,Milestones!$AC$117)&amp;";  ","")&amp;IF(AND(EDATE($D72,Milestones!$AA$118)&lt;=AsOfDate,EDATE($D72,Milestones!$AA$118)&gt;=SchemeStart,IF($X72=0,$AD72,IF(AND($Z72&lt;&gt;"",EDATE($D72,Milestones!$AA$118)&gt;=$Z72),$AC72,IF(AND($Y72&lt;&gt;"",EDATE($D72,Milestones!$AA$118)&gt;=$Y72),$AB72,$AA72)))=Milestones!$AB$118),UPPER(TEXT(EDATE($D72,Milestones!$AA$118),"dd mmm yy"))&amp;" "&amp;Milestones!$AB$118&amp;" "&amp;IF(AND(Milestones!$AB$118="FT",Milestones!$AA$118=FT_Y5,EDATE($D72,Milestones!$AA$118)&lt;PolicyEff),1,Milestones!$AC$118)&amp;";  ","")&amp;IF(AND(EDATE($D72,Milestones!$AA$119)&lt;=AsOfDate,EDATE($D72,Milestones!$AA$119)&gt;=SchemeStart,IF($X72=0,$AD72,IF(AND($Z72&lt;&gt;"",EDATE($D72,Milestones!$AA$119)&gt;=$Z72),$AC72,IF(AND($Y72&lt;&gt;"",EDATE($D72,Milestones!$AA$119)&gt;=$Y72),$AB72,$AA72)))=Milestones!$AB$119),UPPER(TEXT(EDATE($D72,Milestones!$AA$119),"dd mmm yy"))&amp;" "&amp;Milestones!$AB$119&amp;" "&amp;IF(AND(Milestones!$AB$119="FT",Milestones!$AA$119=FT_Y5,EDATE($D72,Milestones!$AA$119)&lt;PolicyEff),1,Milestones!$AC$119)&amp;";  ","")&amp;IF(AND(EDATE($D72,Milestones!$AA$120)&lt;=AsOfDate,EDATE($D72,Milestones!$AA$120)&gt;=SchemeStart,IF($X72=0,$AD72,IF(AND($Z72&lt;&gt;"",EDATE($D72,Milestones!$AA$120)&gt;=$Z72),$AC72,IF(AND($Y72&lt;&gt;"",EDATE($D72,Milestones!$AA$120)&gt;=$Y72),$AB72,$AA72)))=Milestones!$AB$120),UPPER(TEXT(EDATE($D72,Milestones!$AA$120),"dd mmm yy"))&amp;" "&amp;Milestones!$AB$120&amp;" "&amp;IF(AND(Milestones!$AB$120="FT",Milestones!$AA$120=FT_Y5,EDATE($D72,Milestones!$AA$120)&lt;PolicyEff),1,Milestones!$AC$120)&amp;";  ","")&amp;IF(AND(EDATE($D72,Milestones!$AA$121)&lt;=AsOfDate,EDATE($D72,Milestones!$AA$121)&gt;=SchemeStart,IF($X72=0,$AD72,IF(AND($Z72&lt;&gt;"",EDATE($D72,Milestones!$AA$121)&gt;=$Z72),$AC72,IF(AND($Y72&lt;&gt;"",EDATE($D72,Milestones!$AA$121)&gt;=$Y72),$AB72,$AA72)))=Milestones!$AB$121),UPPER(TEXT(EDATE($D72,Milestones!$AA$121),"dd mmm yy"))&amp;" "&amp;Milestones!$AB$121&amp;" "&amp;IF(AND(Milestones!$AB$121="FT",Milestones!$AA$121=FT_Y5,EDATE($D72,Milestones!$AA$121)&lt;PolicyEff),1,Milestones!$AC$121)&amp;";  ","")&amp;IF(AND(EDATE($D72,Milestones!$AA$122)&lt;=AsOfDate,EDATE($D72,Milestones!$AA$122)&gt;=SchemeStart,IF($X72=0,$AD72,IF(AND($Z72&lt;&gt;"",EDATE($D72,Milestones!$AA$122)&gt;=$Z72),$AC72,IF(AND($Y72&lt;&gt;"",EDATE($D72,Milestones!$AA$122)&gt;=$Y72),$AB72,$AA72)))=Milestones!$AB$122),UPPER(TEXT(EDATE($D72,Milestones!$AA$122),"dd mmm yy"))&amp;" "&amp;Milestones!$AB$122&amp;" "&amp;IF(AND(Milestones!$AB$122="FT",Milestones!$AA$122=FT_Y5,EDATE($D72,Milestones!$AA$122)&lt;PolicyEff),1,Milestones!$AC$122)&amp;";  ","")&amp;IF(AND(EDATE($D72,Milestones!$AA$123)&lt;=AsOfDate,EDATE($D72,Milestones!$AA$123)&gt;=SchemeStart,IF($X72=0,$AD72,IF(AND($Z72&lt;&gt;"",EDATE($D72,Milestones!$AA$123)&gt;=$Z72),$AC72,IF(AND($Y72&lt;&gt;"",EDATE($D72,Milestones!$AA$123)&gt;=$Y72),$AB72,$AA72)))=Milestones!$AB$123),UPPER(TEXT(EDATE($D72,Milestones!$AA$123),"dd mmm yy"))&amp;" "&amp;Milestones!$AB$123&amp;" "&amp;IF(AND(Milestones!$AB$123="FT",Milestones!$AA$123=FT_Y5,EDATE($D72,Milestones!$AA$123)&lt;PolicyEff),1,Milestones!$AC$123)&amp;";  ","")&amp;IF(AND(EDATE($D72,Milestones!$AA$124)&lt;=AsOfDate,EDATE($D72,Milestones!$AA$124)&gt;=SchemeStart,IF($X72=0,$AD72,IF(AND($Z72&lt;&gt;"",EDATE($D72,Milestones!$AA$124)&gt;=$Z72),$AC72,IF(AND($Y72&lt;&gt;"",EDATE($D72,Milestones!$AA$124)&gt;=$Y72),$AB72,$AA72)))=Milestones!$AB$124),UPPER(TEXT(EDATE($D72,Milestones!$AA$124),"dd mmm yy"))&amp;" "&amp;Milestones!$AB$124&amp;" "&amp;IF(AND(Milestones!$AB$124="FT",Milestones!$AA$124=FT_Y5,EDATE($D72,Milestones!$AA$124)&lt;PolicyEff),1,Milestones!$AC$124)&amp;";  ","")&amp;IF(AND(EDATE($D72,Milestones!$AA$125)&lt;=AsOfDate,EDATE($D72,Milestones!$AA$125)&gt;=SchemeStart,IF($X72=0,$AD72,IF(AND($Z72&lt;&gt;"",EDATE($D72,Milestones!$AA$125)&gt;=$Z72),$AC72,IF(AND($Y72&lt;&gt;"",EDATE($D72,Milestones!$AA$125)&gt;=$Y72),$AB72,$AA72)))=Milestones!$AB$125),UPPER(TEXT(EDATE($D72,Milestones!$AA$125),"dd mmm yy"))&amp;" "&amp;Milestones!$AB$125&amp;" "&amp;IF(AND(Milestones!$AB$125="FT",Milestones!$AA$125=FT_Y5,EDATE($D72,Milestones!$AA$125)&lt;PolicyEff),1,Milestones!$AC$125)&amp;";  ","")&amp;IF(AND(EDATE($D72,Milestones!$AA$126)&lt;=AsOfDate,EDATE($D72,Milestones!$AA$126)&gt;=SchemeStart,IF($X72=0,$AD72,IF(AND($Z72&lt;&gt;"",EDATE($D72,Milestones!$AA$126)&gt;=$Z72),$AC72,IF(AND($Y72&lt;&gt;"",EDATE($D72,Milestones!$AA$126)&gt;=$Y72),$AB72,$AA72)))=Milestones!$AB$126),UPPER(TEXT(EDATE($D72,Milestones!$AA$126),"dd mmm yy"))&amp;" "&amp;Milestones!$AB$126&amp;" "&amp;IF(AND(Milestones!$AB$126="FT",Milestones!$AA$126=FT_Y5,EDATE($D72,Milestones!$AA$126)&lt;PolicyEff),1,Milestones!$AC$126)&amp;";  ","")&amp;IF(AND(EDATE($D72,Milestones!$AA$127)&lt;=AsOfDate,EDATE($D72,Milestones!$AA$127)&gt;=SchemeStart,IF($X72=0,$AD72,IF(AND($Z72&lt;&gt;"",EDATE($D72,Milestones!$AA$127)&gt;=$Z72),$AC72,IF(AND($Y72&lt;&gt;"",EDATE($D72,Milestones!$AA$127)&gt;=$Y72),$AB72,$AA72)))=Milestones!$AB$127),UPPER(TEXT(EDATE($D72,Milestones!$AA$127),"dd mmm yy"))&amp;" "&amp;Milestones!$AB$127&amp;" "&amp;IF(AND(Milestones!$AB$127="FT",Milestones!$AA$127=FT_Y5,EDATE($D72,Milestones!$AA$127)&lt;PolicyEff),1,Milestones!$AC$127)&amp;";  ",""))</f>
        <v/>
      </c>
      <c r="R72" s="0" t="str">
        <f aca="false">IF(OR($A72="",$D72=""),"",IF(AND(EDATE($D72,Milestones!$AA$128)&lt;=AsOfDate,EDATE($D72,Milestones!$AA$128)&gt;=SchemeStart,IF($X72=0,$AD72,IF(AND($Z72&lt;&gt;"",EDATE($D72,Milestones!$AA$128)&gt;=$Z72),$AC72,IF(AND($Y72&lt;&gt;"",EDATE($D72,Milestones!$AA$128)&gt;=$Y72),$AB72,$AA72)))=Milestones!$AB$128),UPPER(TEXT(EDATE($D72,Milestones!$AA$128),"dd mmm yy"))&amp;" "&amp;Milestones!$AB$128&amp;" "&amp;IF(AND(Milestones!$AB$128="FT",Milestones!$AA$128=FT_Y5,EDATE($D72,Milestones!$AA$128)&lt;PolicyEff),1,Milestones!$AC$128)&amp;";  ","")&amp;IF(AND(EDATE($D72,Milestones!$AA$129)&lt;=AsOfDate,EDATE($D72,Milestones!$AA$129)&gt;=SchemeStart,IF($X72=0,$AD72,IF(AND($Z72&lt;&gt;"",EDATE($D72,Milestones!$AA$129)&gt;=$Z72),$AC72,IF(AND($Y72&lt;&gt;"",EDATE($D72,Milestones!$AA$129)&gt;=$Y72),$AB72,$AA72)))=Milestones!$AB$129),UPPER(TEXT(EDATE($D72,Milestones!$AA$129),"dd mmm yy"))&amp;" "&amp;Milestones!$AB$129&amp;" "&amp;IF(AND(Milestones!$AB$129="FT",Milestones!$AA$129=FT_Y5,EDATE($D72,Milestones!$AA$129)&lt;PolicyEff),1,Milestones!$AC$129)&amp;";  ","")&amp;IF(AND(EDATE($D72,Milestones!$AA$130)&lt;=AsOfDate,EDATE($D72,Milestones!$AA$130)&gt;=SchemeStart,IF($X72=0,$AD72,IF(AND($Z72&lt;&gt;"",EDATE($D72,Milestones!$AA$130)&gt;=$Z72),$AC72,IF(AND($Y72&lt;&gt;"",EDATE($D72,Milestones!$AA$130)&gt;=$Y72),$AB72,$AA72)))=Milestones!$AB$130),UPPER(TEXT(EDATE($D72,Milestones!$AA$130),"dd mmm yy"))&amp;" "&amp;Milestones!$AB$130&amp;" "&amp;IF(AND(Milestones!$AB$130="FT",Milestones!$AA$130=FT_Y5,EDATE($D72,Milestones!$AA$130)&lt;PolicyEff),1,Milestones!$AC$130)&amp;";  ","")&amp;IF(AND(EDATE($D72,Milestones!$AA$131)&lt;=AsOfDate,EDATE($D72,Milestones!$AA$131)&gt;=SchemeStart,IF($X72=0,$AD72,IF(AND($Z72&lt;&gt;"",EDATE($D72,Milestones!$AA$131)&gt;=$Z72),$AC72,IF(AND($Y72&lt;&gt;"",EDATE($D72,Milestones!$AA$131)&gt;=$Y72),$AB72,$AA72)))=Milestones!$AB$131),UPPER(TEXT(EDATE($D72,Milestones!$AA$131),"dd mmm yy"))&amp;" "&amp;Milestones!$AB$131&amp;" "&amp;IF(AND(Milestones!$AB$131="FT",Milestones!$AA$131=FT_Y5,EDATE($D72,Milestones!$AA$131)&lt;PolicyEff),1,Milestones!$AC$131)&amp;";  ","")&amp;IF(AND(EDATE($D72,Milestones!$AA$132)&lt;=AsOfDate,EDATE($D72,Milestones!$AA$132)&gt;=SchemeStart,IF($X72=0,$AD72,IF(AND($Z72&lt;&gt;"",EDATE($D72,Milestones!$AA$132)&gt;=$Z72),$AC72,IF(AND($Y72&lt;&gt;"",EDATE($D72,Milestones!$AA$132)&gt;=$Y72),$AB72,$AA72)))=Milestones!$AB$132),UPPER(TEXT(EDATE($D72,Milestones!$AA$132),"dd mmm yy"))&amp;" "&amp;Milestones!$AB$132&amp;" "&amp;IF(AND(Milestones!$AB$132="FT",Milestones!$AA$132=FT_Y5,EDATE($D72,Milestones!$AA$132)&lt;PolicyEff),1,Milestones!$AC$132)&amp;";  ","")&amp;IF(AND(EDATE($D72,Milestones!$AA$133)&lt;=AsOfDate,EDATE($D72,Milestones!$AA$133)&gt;=SchemeStart,IF($X72=0,$AD72,IF(AND($Z72&lt;&gt;"",EDATE($D72,Milestones!$AA$133)&gt;=$Z72),$AC72,IF(AND($Y72&lt;&gt;"",EDATE($D72,Milestones!$AA$133)&gt;=$Y72),$AB72,$AA72)))=Milestones!$AB$133),UPPER(TEXT(EDATE($D72,Milestones!$AA$133),"dd mmm yy"))&amp;" "&amp;Milestones!$AB$133&amp;" "&amp;IF(AND(Milestones!$AB$133="FT",Milestones!$AA$133=FT_Y5,EDATE($D72,Milestones!$AA$133)&lt;PolicyEff),1,Milestones!$AC$133)&amp;";  ","")&amp;IF(AND(EDATE($D72,Milestones!$AA$134)&lt;=AsOfDate,EDATE($D72,Milestones!$AA$134)&gt;=SchemeStart,IF($X72=0,$AD72,IF(AND($Z72&lt;&gt;"",EDATE($D72,Milestones!$AA$134)&gt;=$Z72),$AC72,IF(AND($Y72&lt;&gt;"",EDATE($D72,Milestones!$AA$134)&gt;=$Y72),$AB72,$AA72)))=Milestones!$AB$134),UPPER(TEXT(EDATE($D72,Milestones!$AA$134),"dd mmm yy"))&amp;" "&amp;Milestones!$AB$134&amp;" "&amp;IF(AND(Milestones!$AB$134="FT",Milestones!$AA$134=FT_Y5,EDATE($D72,Milestones!$AA$134)&lt;PolicyEff),1,Milestones!$AC$134)&amp;";  ","")&amp;IF(AND(EDATE($D72,Milestones!$AA$135)&lt;=AsOfDate,EDATE($D72,Milestones!$AA$135)&gt;=SchemeStart,IF($X72=0,$AD72,IF(AND($Z72&lt;&gt;"",EDATE($D72,Milestones!$AA$135)&gt;=$Z72),$AC72,IF(AND($Y72&lt;&gt;"",EDATE($D72,Milestones!$AA$135)&gt;=$Y72),$AB72,$AA72)))=Milestones!$AB$135),UPPER(TEXT(EDATE($D72,Milestones!$AA$135),"dd mmm yy"))&amp;" "&amp;Milestones!$AB$135&amp;" "&amp;IF(AND(Milestones!$AB$135="FT",Milestones!$AA$135=FT_Y5,EDATE($D72,Milestones!$AA$135)&lt;PolicyEff),1,Milestones!$AC$135)&amp;";  ","")&amp;IF(AND(EDATE($D72,Milestones!$AA$136)&lt;=AsOfDate,EDATE($D72,Milestones!$AA$136)&gt;=SchemeStart,IF($X72=0,$AD72,IF(AND($Z72&lt;&gt;"",EDATE($D72,Milestones!$AA$136)&gt;=$Z72),$AC72,IF(AND($Y72&lt;&gt;"",EDATE($D72,Milestones!$AA$136)&gt;=$Y72),$AB72,$AA72)))=Milestones!$AB$136),UPPER(TEXT(EDATE($D72,Milestones!$AA$136),"dd mmm yy"))&amp;" "&amp;Milestones!$AB$136&amp;" "&amp;IF(AND(Milestones!$AB$136="FT",Milestones!$AA$136=FT_Y5,EDATE($D72,Milestones!$AA$136)&lt;PolicyEff),1,Milestones!$AC$136)&amp;";  ","")&amp;IF(AND(EDATE($D72,Milestones!$AA$137)&lt;=AsOfDate,EDATE($D72,Milestones!$AA$137)&gt;=SchemeStart,IF($X72=0,$AD72,IF(AND($Z72&lt;&gt;"",EDATE($D72,Milestones!$AA$137)&gt;=$Z72),$AC72,IF(AND($Y72&lt;&gt;"",EDATE($D72,Milestones!$AA$137)&gt;=$Y72),$AB72,$AA72)))=Milestones!$AB$137),UPPER(TEXT(EDATE($D72,Milestones!$AA$137),"dd mmm yy"))&amp;" "&amp;Milestones!$AB$137&amp;" "&amp;IF(AND(Milestones!$AB$137="FT",Milestones!$AA$137=FT_Y5,EDATE($D72,Milestones!$AA$137)&lt;PolicyEff),1,Milestones!$AC$137)&amp;";  ","")&amp;IF(AND(EDATE($D72,Milestones!$AA$138)&lt;=AsOfDate,EDATE($D72,Milestones!$AA$138)&gt;=SchemeStart,IF($X72=0,$AD72,IF(AND($Z72&lt;&gt;"",EDATE($D72,Milestones!$AA$138)&gt;=$Z72),$AC72,IF(AND($Y72&lt;&gt;"",EDATE($D72,Milestones!$AA$138)&gt;=$Y72),$AB72,$AA72)))=Milestones!$AB$138),UPPER(TEXT(EDATE($D72,Milestones!$AA$138),"dd mmm yy"))&amp;" "&amp;Milestones!$AB$138&amp;" "&amp;IF(AND(Milestones!$AB$138="FT",Milestones!$AA$138=FT_Y5,EDATE($D72,Milestones!$AA$138)&lt;PolicyEff),1,Milestones!$AC$138)&amp;";  ","")&amp;IF(AND(EDATE($D72,Milestones!$AA$139)&lt;=AsOfDate,EDATE($D72,Milestones!$AA$139)&gt;=SchemeStart,IF($X72=0,$AD72,IF(AND($Z72&lt;&gt;"",EDATE($D72,Milestones!$AA$139)&gt;=$Z72),$AC72,IF(AND($Y72&lt;&gt;"",EDATE($D72,Milestones!$AA$139)&gt;=$Y72),$AB72,$AA72)))=Milestones!$AB$139),UPPER(TEXT(EDATE($D72,Milestones!$AA$139),"dd mmm yy"))&amp;" "&amp;Milestones!$AB$139&amp;" "&amp;IF(AND(Milestones!$AB$139="FT",Milestones!$AA$139=FT_Y5,EDATE($D72,Milestones!$AA$139)&lt;PolicyEff),1,Milestones!$AC$139)&amp;";  ",""))</f>
        <v/>
      </c>
      <c r="S72" s="0" t="str">
        <f aca="false">IF(OR($A72="",$D72=""),"",IF(AND(EDATE($D72,Milestones!$AA$140)&lt;=AsOfDate,EDATE($D72,Milestones!$AA$140)&gt;=SchemeStart,IF($X72=0,$AD72,IF(AND($Z72&lt;&gt;"",EDATE($D72,Milestones!$AA$140)&gt;=$Z72),$AC72,IF(AND($Y72&lt;&gt;"",EDATE($D72,Milestones!$AA$140)&gt;=$Y72),$AB72,$AA72)))=Milestones!$AB$140),UPPER(TEXT(EDATE($D72,Milestones!$AA$140),"dd mmm yy"))&amp;" "&amp;Milestones!$AB$140&amp;" "&amp;IF(AND(Milestones!$AB$140="FT",Milestones!$AA$140=FT_Y5,EDATE($D72,Milestones!$AA$140)&lt;PolicyEff),1,Milestones!$AC$140)&amp;";  ","")&amp;IF(AND(EDATE($D72,Milestones!$AA$141)&lt;=AsOfDate,EDATE($D72,Milestones!$AA$141)&gt;=SchemeStart,IF($X72=0,$AD72,IF(AND($Z72&lt;&gt;"",EDATE($D72,Milestones!$AA$141)&gt;=$Z72),$AC72,IF(AND($Y72&lt;&gt;"",EDATE($D72,Milestones!$AA$141)&gt;=$Y72),$AB72,$AA72)))=Milestones!$AB$141),UPPER(TEXT(EDATE($D72,Milestones!$AA$141),"dd mmm yy"))&amp;" "&amp;Milestones!$AB$141&amp;" "&amp;IF(AND(Milestones!$AB$141="FT",Milestones!$AA$141=FT_Y5,EDATE($D72,Milestones!$AA$141)&lt;PolicyEff),1,Milestones!$AC$141)&amp;";  ","")&amp;IF(AND(EDATE($D72,Milestones!$AA$142)&lt;=AsOfDate,EDATE($D72,Milestones!$AA$142)&gt;=SchemeStart,IF($X72=0,$AD72,IF(AND($Z72&lt;&gt;"",EDATE($D72,Milestones!$AA$142)&gt;=$Z72),$AC72,IF(AND($Y72&lt;&gt;"",EDATE($D72,Milestones!$AA$142)&gt;=$Y72),$AB72,$AA72)))=Milestones!$AB$142),UPPER(TEXT(EDATE($D72,Milestones!$AA$142),"dd mmm yy"))&amp;" "&amp;Milestones!$AB$142&amp;" "&amp;IF(AND(Milestones!$AB$142="FT",Milestones!$AA$142=FT_Y5,EDATE($D72,Milestones!$AA$142)&lt;PolicyEff),1,Milestones!$AC$142)&amp;";  ","")&amp;IF(AND(EDATE($D72,Milestones!$AA$143)&lt;=AsOfDate,EDATE($D72,Milestones!$AA$143)&gt;=SchemeStart,IF($X72=0,$AD72,IF(AND($Z72&lt;&gt;"",EDATE($D72,Milestones!$AA$143)&gt;=$Z72),$AC72,IF(AND($Y72&lt;&gt;"",EDATE($D72,Milestones!$AA$143)&gt;=$Y72),$AB72,$AA72)))=Milestones!$AB$143),UPPER(TEXT(EDATE($D72,Milestones!$AA$143),"dd mmm yy"))&amp;" "&amp;Milestones!$AB$143&amp;" "&amp;IF(AND(Milestones!$AB$143="FT",Milestones!$AA$143=FT_Y5,EDATE($D72,Milestones!$AA$143)&lt;PolicyEff),1,Milestones!$AC$143)&amp;";  ","")&amp;IF(AND(EDATE($D72,Milestones!$AA$144)&lt;=AsOfDate,EDATE($D72,Milestones!$AA$144)&gt;=SchemeStart,IF($X72=0,$AD72,IF(AND($Z72&lt;&gt;"",EDATE($D72,Milestones!$AA$144)&gt;=$Z72),$AC72,IF(AND($Y72&lt;&gt;"",EDATE($D72,Milestones!$AA$144)&gt;=$Y72),$AB72,$AA72)))=Milestones!$AB$144),UPPER(TEXT(EDATE($D72,Milestones!$AA$144),"dd mmm yy"))&amp;" "&amp;Milestones!$AB$144&amp;" "&amp;IF(AND(Milestones!$AB$144="FT",Milestones!$AA$144=FT_Y5,EDATE($D72,Milestones!$AA$144)&lt;PolicyEff),1,Milestones!$AC$144)&amp;";  ","")&amp;IF(AND(EDATE($D72,Milestones!$AA$145)&lt;=AsOfDate,EDATE($D72,Milestones!$AA$145)&gt;=SchemeStart,IF($X72=0,$AD72,IF(AND($Z72&lt;&gt;"",EDATE($D72,Milestones!$AA$145)&gt;=$Z72),$AC72,IF(AND($Y72&lt;&gt;"",EDATE($D72,Milestones!$AA$145)&gt;=$Y72),$AB72,$AA72)))=Milestones!$AB$145),UPPER(TEXT(EDATE($D72,Milestones!$AA$145),"dd mmm yy"))&amp;" "&amp;Milestones!$AB$145&amp;" "&amp;IF(AND(Milestones!$AB$145="FT",Milestones!$AA$145=FT_Y5,EDATE($D72,Milestones!$AA$145)&lt;PolicyEff),1,Milestones!$AC$145)&amp;";  ","")&amp;IF(AND(EDATE($D72,Milestones!$AA$146)&lt;=AsOfDate,EDATE($D72,Milestones!$AA$146)&gt;=SchemeStart,IF($X72=0,$AD72,IF(AND($Z72&lt;&gt;"",EDATE($D72,Milestones!$AA$146)&gt;=$Z72),$AC72,IF(AND($Y72&lt;&gt;"",EDATE($D72,Milestones!$AA$146)&gt;=$Y72),$AB72,$AA72)))=Milestones!$AB$146),UPPER(TEXT(EDATE($D72,Milestones!$AA$146),"dd mmm yy"))&amp;" "&amp;Milestones!$AB$146&amp;" "&amp;IF(AND(Milestones!$AB$146="FT",Milestones!$AA$146=FT_Y5,EDATE($D72,Milestones!$AA$146)&lt;PolicyEff),1,Milestones!$AC$146)&amp;";  ","")&amp;IF(AND(EDATE($D72,Milestones!$AA$147)&lt;=AsOfDate,EDATE($D72,Milestones!$AA$147)&gt;=SchemeStart,IF($X72=0,$AD72,IF(AND($Z72&lt;&gt;"",EDATE($D72,Milestones!$AA$147)&gt;=$Z72),$AC72,IF(AND($Y72&lt;&gt;"",EDATE($D72,Milestones!$AA$147)&gt;=$Y72),$AB72,$AA72)))=Milestones!$AB$147),UPPER(TEXT(EDATE($D72,Milestones!$AA$147),"dd mmm yy"))&amp;" "&amp;Milestones!$AB$147&amp;" "&amp;IF(AND(Milestones!$AB$147="FT",Milestones!$AA$147=FT_Y5,EDATE($D72,Milestones!$AA$147)&lt;PolicyEff),1,Milestones!$AC$147)&amp;";  ","")&amp;IF(AND(EDATE($D72,Milestones!$AA$148)&lt;=AsOfDate,EDATE($D72,Milestones!$AA$148)&gt;=SchemeStart,IF($X72=0,$AD72,IF(AND($Z72&lt;&gt;"",EDATE($D72,Milestones!$AA$148)&gt;=$Z72),$AC72,IF(AND($Y72&lt;&gt;"",EDATE($D72,Milestones!$AA$148)&gt;=$Y72),$AB72,$AA72)))=Milestones!$AB$148),UPPER(TEXT(EDATE($D72,Milestones!$AA$148),"dd mmm yy"))&amp;" "&amp;Milestones!$AB$148&amp;" "&amp;IF(AND(Milestones!$AB$148="FT",Milestones!$AA$148=FT_Y5,EDATE($D72,Milestones!$AA$148)&lt;PolicyEff),1,Milestones!$AC$148)&amp;";  ","")&amp;IF(AND(EDATE($D72,Milestones!$AA$149)&lt;=AsOfDate,EDATE($D72,Milestones!$AA$149)&gt;=SchemeStart,IF($X72=0,$AD72,IF(AND($Z72&lt;&gt;"",EDATE($D72,Milestones!$AA$149)&gt;=$Z72),$AC72,IF(AND($Y72&lt;&gt;"",EDATE($D72,Milestones!$AA$149)&gt;=$Y72),$AB72,$AA72)))=Milestones!$AB$149),UPPER(TEXT(EDATE($D72,Milestones!$AA$149),"dd mmm yy"))&amp;" "&amp;Milestones!$AB$149&amp;" "&amp;IF(AND(Milestones!$AB$149="FT",Milestones!$AA$149=FT_Y5,EDATE($D72,Milestones!$AA$149)&lt;PolicyEff),1,Milestones!$AC$149)&amp;";  ","")&amp;IF(AND(EDATE($D72,Milestones!$AA$150)&lt;=AsOfDate,EDATE($D72,Milestones!$AA$150)&gt;=SchemeStart,IF($X72=0,$AD72,IF(AND($Z72&lt;&gt;"",EDATE($D72,Milestones!$AA$150)&gt;=$Z72),$AC72,IF(AND($Y72&lt;&gt;"",EDATE($D72,Milestones!$AA$150)&gt;=$Y72),$AB72,$AA72)))=Milestones!$AB$150),UPPER(TEXT(EDATE($D72,Milestones!$AA$150),"dd mmm yy"))&amp;" "&amp;Milestones!$AB$150&amp;" "&amp;IF(AND(Milestones!$AB$150="FT",Milestones!$AA$150=FT_Y5,EDATE($D72,Milestones!$AA$150)&lt;PolicyEff),1,Milestones!$AC$150)&amp;";  ","")&amp;IF(AND(EDATE($D72,Milestones!$AA$151)&lt;=AsOfDate,EDATE($D72,Milestones!$AA$151)&gt;=SchemeStart,IF($X72=0,$AD72,IF(AND($Z72&lt;&gt;"",EDATE($D72,Milestones!$AA$151)&gt;=$Z72),$AC72,IF(AND($Y72&lt;&gt;"",EDATE($D72,Milestones!$AA$151)&gt;=$Y72),$AB72,$AA72)))=Milestones!$AB$151),UPPER(TEXT(EDATE($D72,Milestones!$AA$151),"dd mmm yy"))&amp;" "&amp;Milestones!$AB$151&amp;" "&amp;IF(AND(Milestones!$AB$151="FT",Milestones!$AA$151=FT_Y5,EDATE($D72,Milestones!$AA$151)&lt;PolicyEff),1,Milestones!$AC$151)&amp;";  ",""))</f>
        <v/>
      </c>
      <c r="T72" s="0" t="str">
        <f aca="false">IF(OR($A72="",$D72=""),"",IF(AND(EDATE($D72,Milestones!$AA$152)&lt;=AsOfDate,EDATE($D72,Milestones!$AA$152)&gt;=SchemeStart,IF($X72=0,$AD72,IF(AND($Z72&lt;&gt;"",EDATE($D72,Milestones!$AA$152)&gt;=$Z72),$AC72,IF(AND($Y72&lt;&gt;"",EDATE($D72,Milestones!$AA$152)&gt;=$Y72),$AB72,$AA72)))=Milestones!$AB$152),UPPER(TEXT(EDATE($D72,Milestones!$AA$152),"dd mmm yy"))&amp;" "&amp;Milestones!$AB$152&amp;" "&amp;IF(AND(Milestones!$AB$152="FT",Milestones!$AA$152=FT_Y5,EDATE($D72,Milestones!$AA$152)&lt;PolicyEff),1,Milestones!$AC$152)&amp;";  ","")&amp;IF(AND(EDATE($D72,Milestones!$AA$153)&lt;=AsOfDate,EDATE($D72,Milestones!$AA$153)&gt;=SchemeStart,IF($X72=0,$AD72,IF(AND($Z72&lt;&gt;"",EDATE($D72,Milestones!$AA$153)&gt;=$Z72),$AC72,IF(AND($Y72&lt;&gt;"",EDATE($D72,Milestones!$AA$153)&gt;=$Y72),$AB72,$AA72)))=Milestones!$AB$153),UPPER(TEXT(EDATE($D72,Milestones!$AA$153),"dd mmm yy"))&amp;" "&amp;Milestones!$AB$153&amp;" "&amp;IF(AND(Milestones!$AB$153="FT",Milestones!$AA$153=FT_Y5,EDATE($D72,Milestones!$AA$153)&lt;PolicyEff),1,Milestones!$AC$153)&amp;";  ","")&amp;IF(AND(EDATE($D72,Milestones!$AA$154)&lt;=AsOfDate,EDATE($D72,Milestones!$AA$154)&gt;=SchemeStart,IF($X72=0,$AD72,IF(AND($Z72&lt;&gt;"",EDATE($D72,Milestones!$AA$154)&gt;=$Z72),$AC72,IF(AND($Y72&lt;&gt;"",EDATE($D72,Milestones!$AA$154)&gt;=$Y72),$AB72,$AA72)))=Milestones!$AB$154),UPPER(TEXT(EDATE($D72,Milestones!$AA$154),"dd mmm yy"))&amp;" "&amp;Milestones!$AB$154&amp;" "&amp;IF(AND(Milestones!$AB$154="FT",Milestones!$AA$154=FT_Y5,EDATE($D72,Milestones!$AA$154)&lt;PolicyEff),1,Milestones!$AC$154)&amp;";  ","")&amp;IF(AND(EDATE($D72,Milestones!$AA$155)&lt;=AsOfDate,EDATE($D72,Milestones!$AA$155)&gt;=SchemeStart,IF($X72=0,$AD72,IF(AND($Z72&lt;&gt;"",EDATE($D72,Milestones!$AA$155)&gt;=$Z72),$AC72,IF(AND($Y72&lt;&gt;"",EDATE($D72,Milestones!$AA$155)&gt;=$Y72),$AB72,$AA72)))=Milestones!$AB$155),UPPER(TEXT(EDATE($D72,Milestones!$AA$155),"dd mmm yy"))&amp;" "&amp;Milestones!$AB$155&amp;" "&amp;IF(AND(Milestones!$AB$155="FT",Milestones!$AA$155=FT_Y5,EDATE($D72,Milestones!$AA$155)&lt;PolicyEff),1,Milestones!$AC$155)&amp;";  ","")&amp;IF(AND(EDATE($D72,Milestones!$AA$156)&lt;=AsOfDate,EDATE($D72,Milestones!$AA$156)&gt;=SchemeStart,IF($X72=0,$AD72,IF(AND($Z72&lt;&gt;"",EDATE($D72,Milestones!$AA$156)&gt;=$Z72),$AC72,IF(AND($Y72&lt;&gt;"",EDATE($D72,Milestones!$AA$156)&gt;=$Y72),$AB72,$AA72)))=Milestones!$AB$156),UPPER(TEXT(EDATE($D72,Milestones!$AA$156),"dd mmm yy"))&amp;" "&amp;Milestones!$AB$156&amp;" "&amp;IF(AND(Milestones!$AB$156="FT",Milestones!$AA$156=FT_Y5,EDATE($D72,Milestones!$AA$156)&lt;PolicyEff),1,Milestones!$AC$156)&amp;";  ","")&amp;IF(AND(EDATE($D72,Milestones!$AA$157)&lt;=AsOfDate,EDATE($D72,Milestones!$AA$157)&gt;=SchemeStart,IF($X72=0,$AD72,IF(AND($Z72&lt;&gt;"",EDATE($D72,Milestones!$AA$157)&gt;=$Z72),$AC72,IF(AND($Y72&lt;&gt;"",EDATE($D72,Milestones!$AA$157)&gt;=$Y72),$AB72,$AA72)))=Milestones!$AB$157),UPPER(TEXT(EDATE($D72,Milestones!$AA$157),"dd mmm yy"))&amp;" "&amp;Milestones!$AB$157&amp;" "&amp;IF(AND(Milestones!$AB$157="FT",Milestones!$AA$157=FT_Y5,EDATE($D72,Milestones!$AA$157)&lt;PolicyEff),1,Milestones!$AC$157)&amp;";  ","")&amp;IF(AND(EDATE($D72,Milestones!$AA$158)&lt;=AsOfDate,EDATE($D72,Milestones!$AA$158)&gt;=SchemeStart,IF($X72=0,$AD72,IF(AND($Z72&lt;&gt;"",EDATE($D72,Milestones!$AA$158)&gt;=$Z72),$AC72,IF(AND($Y72&lt;&gt;"",EDATE($D72,Milestones!$AA$158)&gt;=$Y72),$AB72,$AA72)))=Milestones!$AB$158),UPPER(TEXT(EDATE($D72,Milestones!$AA$158),"dd mmm yy"))&amp;" "&amp;Milestones!$AB$158&amp;" "&amp;IF(AND(Milestones!$AB$158="FT",Milestones!$AA$158=FT_Y5,EDATE($D72,Milestones!$AA$158)&lt;PolicyEff),1,Milestones!$AC$158)&amp;";  ","")&amp;IF(AND(EDATE($D72,Milestones!$AA$159)&lt;=AsOfDate,EDATE($D72,Milestones!$AA$159)&gt;=SchemeStart,IF($X72=0,$AD72,IF(AND($Z72&lt;&gt;"",EDATE($D72,Milestones!$AA$159)&gt;=$Z72),$AC72,IF(AND($Y72&lt;&gt;"",EDATE($D72,Milestones!$AA$159)&gt;=$Y72),$AB72,$AA72)))=Milestones!$AB$159),UPPER(TEXT(EDATE($D72,Milestones!$AA$159),"dd mmm yy"))&amp;" "&amp;Milestones!$AB$159&amp;" "&amp;IF(AND(Milestones!$AB$159="FT",Milestones!$AA$159=FT_Y5,EDATE($D72,Milestones!$AA$159)&lt;PolicyEff),1,Milestones!$AC$159)&amp;";  ","")&amp;IF(AND(EDATE($D72,Milestones!$AA$160)&lt;=AsOfDate,EDATE($D72,Milestones!$AA$160)&gt;=SchemeStart,IF($X72=0,$AD72,IF(AND($Z72&lt;&gt;"",EDATE($D72,Milestones!$AA$160)&gt;=$Z72),$AC72,IF(AND($Y72&lt;&gt;"",EDATE($D72,Milestones!$AA$160)&gt;=$Y72),$AB72,$AA72)))=Milestones!$AB$160),UPPER(TEXT(EDATE($D72,Milestones!$AA$160),"dd mmm yy"))&amp;" "&amp;Milestones!$AB$160&amp;" "&amp;IF(AND(Milestones!$AB$160="FT",Milestones!$AA$160=FT_Y5,EDATE($D72,Milestones!$AA$160)&lt;PolicyEff),1,Milestones!$AC$160)&amp;";  ","")&amp;IF(AND(EDATE($D72,Milestones!$AA$161)&lt;=AsOfDate,EDATE($D72,Milestones!$AA$161)&gt;=SchemeStart,IF($X72=0,$AD72,IF(AND($Z72&lt;&gt;"",EDATE($D72,Milestones!$AA$161)&gt;=$Z72),$AC72,IF(AND($Y72&lt;&gt;"",EDATE($D72,Milestones!$AA$161)&gt;=$Y72),$AB72,$AA72)))=Milestones!$AB$161),UPPER(TEXT(EDATE($D72,Milestones!$AA$161),"dd mmm yy"))&amp;" "&amp;Milestones!$AB$161&amp;" "&amp;IF(AND(Milestones!$AB$161="FT",Milestones!$AA$161=FT_Y5,EDATE($D72,Milestones!$AA$161)&lt;PolicyEff),1,Milestones!$AC$161)&amp;";  ","")&amp;IF(AND(EDATE($D72,Milestones!$AA$162)&lt;=AsOfDate,EDATE($D72,Milestones!$AA$162)&gt;=SchemeStart,IF($X72=0,$AD72,IF(AND($Z72&lt;&gt;"",EDATE($D72,Milestones!$AA$162)&gt;=$Z72),$AC72,IF(AND($Y72&lt;&gt;"",EDATE($D72,Milestones!$AA$162)&gt;=$Y72),$AB72,$AA72)))=Milestones!$AB$162),UPPER(TEXT(EDATE($D72,Milestones!$AA$162),"dd mmm yy"))&amp;" "&amp;Milestones!$AB$162&amp;" "&amp;IF(AND(Milestones!$AB$162="FT",Milestones!$AA$162=FT_Y5,EDATE($D72,Milestones!$AA$162)&lt;PolicyEff),1,Milestones!$AC$162)&amp;";  ","")&amp;IF(AND(EDATE($D72,Milestones!$AA$163)&lt;=AsOfDate,EDATE($D72,Milestones!$AA$163)&gt;=SchemeStart,IF($X72=0,$AD72,IF(AND($Z72&lt;&gt;"",EDATE($D72,Milestones!$AA$163)&gt;=$Z72),$AC72,IF(AND($Y72&lt;&gt;"",EDATE($D72,Milestones!$AA$163)&gt;=$Y72),$AB72,$AA72)))=Milestones!$AB$163),UPPER(TEXT(EDATE($D72,Milestones!$AA$163),"dd mmm yy"))&amp;" "&amp;Milestones!$AB$163&amp;" "&amp;IF(AND(Milestones!$AB$163="FT",Milestones!$AA$163=FT_Y5,EDATE($D72,Milestones!$AA$163)&lt;PolicyEff),1,Milestones!$AC$163)&amp;";  ",""))</f>
        <v/>
      </c>
      <c r="U72" s="0" t="str">
        <f aca="false">IF(OR($A72="",$D72=""),"",IF(AND(EDATE($D72,Milestones!$AA$164)&lt;=AsOfDate,EDATE($D72,Milestones!$AA$164)&gt;=SchemeStart,IF($X72=0,$AD72,IF(AND($Z72&lt;&gt;"",EDATE($D72,Milestones!$AA$164)&gt;=$Z72),$AC72,IF(AND($Y72&lt;&gt;"",EDATE($D72,Milestones!$AA$164)&gt;=$Y72),$AB72,$AA72)))=Milestones!$AB$164),UPPER(TEXT(EDATE($D72,Milestones!$AA$164),"dd mmm yy"))&amp;" "&amp;Milestones!$AB$164&amp;" "&amp;IF(AND(Milestones!$AB$164="FT",Milestones!$AA$164=FT_Y5,EDATE($D72,Milestones!$AA$164)&lt;PolicyEff),1,Milestones!$AC$164)&amp;";  ","")&amp;IF(AND(EDATE($D72,Milestones!$AA$165)&lt;=AsOfDate,EDATE($D72,Milestones!$AA$165)&gt;=SchemeStart,IF($X72=0,$AD72,IF(AND($Z72&lt;&gt;"",EDATE($D72,Milestones!$AA$165)&gt;=$Z72),$AC72,IF(AND($Y72&lt;&gt;"",EDATE($D72,Milestones!$AA$165)&gt;=$Y72),$AB72,$AA72)))=Milestones!$AB$165),UPPER(TEXT(EDATE($D72,Milestones!$AA$165),"dd mmm yy"))&amp;" "&amp;Milestones!$AB$165&amp;" "&amp;IF(AND(Milestones!$AB$165="FT",Milestones!$AA$165=FT_Y5,EDATE($D72,Milestones!$AA$165)&lt;PolicyEff),1,Milestones!$AC$165)&amp;";  ","")&amp;IF(AND(EDATE($D72,Milestones!$AA$166)&lt;=AsOfDate,EDATE($D72,Milestones!$AA$166)&gt;=SchemeStart,IF($X72=0,$AD72,IF(AND($Z72&lt;&gt;"",EDATE($D72,Milestones!$AA$166)&gt;=$Z72),$AC72,IF(AND($Y72&lt;&gt;"",EDATE($D72,Milestones!$AA$166)&gt;=$Y72),$AB72,$AA72)))=Milestones!$AB$166),UPPER(TEXT(EDATE($D72,Milestones!$AA$166),"dd mmm yy"))&amp;" "&amp;Milestones!$AB$166&amp;" "&amp;IF(AND(Milestones!$AB$166="FT",Milestones!$AA$166=FT_Y5,EDATE($D72,Milestones!$AA$166)&lt;PolicyEff),1,Milestones!$AC$166)&amp;";  ","")&amp;IF(AND(EDATE($D72,Milestones!$AA$167)&lt;=AsOfDate,EDATE($D72,Milestones!$AA$167)&gt;=SchemeStart,IF($X72=0,$AD72,IF(AND($Z72&lt;&gt;"",EDATE($D72,Milestones!$AA$167)&gt;=$Z72),$AC72,IF(AND($Y72&lt;&gt;"",EDATE($D72,Milestones!$AA$167)&gt;=$Y72),$AB72,$AA72)))=Milestones!$AB$167),UPPER(TEXT(EDATE($D72,Milestones!$AA$167),"dd mmm yy"))&amp;" "&amp;Milestones!$AB$167&amp;" "&amp;IF(AND(Milestones!$AB$167="FT",Milestones!$AA$167=FT_Y5,EDATE($D72,Milestones!$AA$167)&lt;PolicyEff),1,Milestones!$AC$167)&amp;";  ","")&amp;IF(AND(EDATE($D72,Milestones!$AA$168)&lt;=AsOfDate,EDATE($D72,Milestones!$AA$168)&gt;=SchemeStart,IF($X72=0,$AD72,IF(AND($Z72&lt;&gt;"",EDATE($D72,Milestones!$AA$168)&gt;=$Z72),$AC72,IF(AND($Y72&lt;&gt;"",EDATE($D72,Milestones!$AA$168)&gt;=$Y72),$AB72,$AA72)))=Milestones!$AB$168),UPPER(TEXT(EDATE($D72,Milestones!$AA$168),"dd mmm yy"))&amp;" "&amp;Milestones!$AB$168&amp;" "&amp;IF(AND(Milestones!$AB$168="FT",Milestones!$AA$168=FT_Y5,EDATE($D72,Milestones!$AA$168)&lt;PolicyEff),1,Milestones!$AC$168)&amp;";  ","")&amp;IF(AND(EDATE($D72,Milestones!$AA$169)&lt;=AsOfDate,EDATE($D72,Milestones!$AA$169)&gt;=SchemeStart,IF($X72=0,$AD72,IF(AND($Z72&lt;&gt;"",EDATE($D72,Milestones!$AA$169)&gt;=$Z72),$AC72,IF(AND($Y72&lt;&gt;"",EDATE($D72,Milestones!$AA$169)&gt;=$Y72),$AB72,$AA72)))=Milestones!$AB$169),UPPER(TEXT(EDATE($D72,Milestones!$AA$169),"dd mmm yy"))&amp;" "&amp;Milestones!$AB$169&amp;" "&amp;IF(AND(Milestones!$AB$169="FT",Milestones!$AA$169=FT_Y5,EDATE($D72,Milestones!$AA$169)&lt;PolicyEff),1,Milestones!$AC$169)&amp;";  ","")&amp;IF(AND(EDATE($D72,Milestones!$AA$170)&lt;=AsOfDate,EDATE($D72,Milestones!$AA$170)&gt;=SchemeStart,IF($X72=0,$AD72,IF(AND($Z72&lt;&gt;"",EDATE($D72,Milestones!$AA$170)&gt;=$Z72),$AC72,IF(AND($Y72&lt;&gt;"",EDATE($D72,Milestones!$AA$170)&gt;=$Y72),$AB72,$AA72)))=Milestones!$AB$170),UPPER(TEXT(EDATE($D72,Milestones!$AA$170),"dd mmm yy"))&amp;" "&amp;Milestones!$AB$170&amp;" "&amp;IF(AND(Milestones!$AB$170="FT",Milestones!$AA$170=FT_Y5,EDATE($D72,Milestones!$AA$170)&lt;PolicyEff),1,Milestones!$AC$170)&amp;";  ","")&amp;IF(AND(EDATE($D72,Milestones!$AA$171)&lt;=AsOfDate,EDATE($D72,Milestones!$AA$171)&gt;=SchemeStart,IF($X72=0,$AD72,IF(AND($Z72&lt;&gt;"",EDATE($D72,Milestones!$AA$171)&gt;=$Z72),$AC72,IF(AND($Y72&lt;&gt;"",EDATE($D72,Milestones!$AA$171)&gt;=$Y72),$AB72,$AA72)))=Milestones!$AB$171),UPPER(TEXT(EDATE($D72,Milestones!$AA$171),"dd mmm yy"))&amp;" "&amp;Milestones!$AB$171&amp;" "&amp;IF(AND(Milestones!$AB$171="FT",Milestones!$AA$171=FT_Y5,EDATE($D72,Milestones!$AA$171)&lt;PolicyEff),1,Milestones!$AC$171)&amp;";  ","")&amp;IF(AND(EDATE($D72,Milestones!$AA$172)&lt;=AsOfDate,EDATE($D72,Milestones!$AA$172)&gt;=SchemeStart,IF($X72=0,$AD72,IF(AND($Z72&lt;&gt;"",EDATE($D72,Milestones!$AA$172)&gt;=$Z72),$AC72,IF(AND($Y72&lt;&gt;"",EDATE($D72,Milestones!$AA$172)&gt;=$Y72),$AB72,$AA72)))=Milestones!$AB$172),UPPER(TEXT(EDATE($D72,Milestones!$AA$172),"dd mmm yy"))&amp;" "&amp;Milestones!$AB$172&amp;" "&amp;IF(AND(Milestones!$AB$172="FT",Milestones!$AA$172=FT_Y5,EDATE($D72,Milestones!$AA$172)&lt;PolicyEff),1,Milestones!$AC$172)&amp;";  ","")&amp;IF(AND(EDATE($D72,Milestones!$AA$173)&lt;=AsOfDate,EDATE($D72,Milestones!$AA$173)&gt;=SchemeStart,IF($X72=0,$AD72,IF(AND($Z72&lt;&gt;"",EDATE($D72,Milestones!$AA$173)&gt;=$Z72),$AC72,IF(AND($Y72&lt;&gt;"",EDATE($D72,Milestones!$AA$173)&gt;=$Y72),$AB72,$AA72)))=Milestones!$AB$173),UPPER(TEXT(EDATE($D72,Milestones!$AA$173),"dd mmm yy"))&amp;" "&amp;Milestones!$AB$173&amp;" "&amp;IF(AND(Milestones!$AB$173="FT",Milestones!$AA$173=FT_Y5,EDATE($D72,Milestones!$AA$173)&lt;PolicyEff),1,Milestones!$AC$173)&amp;";  ","")&amp;IF(AND(EDATE($D72,Milestones!$AA$174)&lt;=AsOfDate,EDATE($D72,Milestones!$AA$174)&gt;=SchemeStart,IF($X72=0,$AD72,IF(AND($Z72&lt;&gt;"",EDATE($D72,Milestones!$AA$174)&gt;=$Z72),$AC72,IF(AND($Y72&lt;&gt;"",EDATE($D72,Milestones!$AA$174)&gt;=$Y72),$AB72,$AA72)))=Milestones!$AB$174),UPPER(TEXT(EDATE($D72,Milestones!$AA$174),"dd mmm yy"))&amp;" "&amp;Milestones!$AB$174&amp;" "&amp;IF(AND(Milestones!$AB$174="FT",Milestones!$AA$174=FT_Y5,EDATE($D72,Milestones!$AA$174)&lt;PolicyEff),1,Milestones!$AC$174)&amp;";  ","")&amp;IF(AND(EDATE($D72,Milestones!$AA$175)&lt;=AsOfDate,EDATE($D72,Milestones!$AA$175)&gt;=SchemeStart,IF($X72=0,$AD72,IF(AND($Z72&lt;&gt;"",EDATE($D72,Milestones!$AA$175)&gt;=$Z72),$AC72,IF(AND($Y72&lt;&gt;"",EDATE($D72,Milestones!$AA$175)&gt;=$Y72),$AB72,$AA72)))=Milestones!$AB$175),UPPER(TEXT(EDATE($D72,Milestones!$AA$175),"dd mmm yy"))&amp;" "&amp;Milestones!$AB$175&amp;" "&amp;IF(AND(Milestones!$AB$175="FT",Milestones!$AA$175=FT_Y5,EDATE($D72,Milestones!$AA$175)&lt;PolicyEff),1,Milestones!$AC$175)&amp;";  ",""))</f>
        <v/>
      </c>
      <c r="V72" s="0" t="str">
        <f aca="false">IF(OR($A72="",$D72=""),"",IF(AND(EDATE($D72,Milestones!$AA$176)&lt;=AsOfDate,EDATE($D72,Milestones!$AA$176)&gt;=SchemeStart,IF($X72=0,$AD72,IF(AND($Z72&lt;&gt;"",EDATE($D72,Milestones!$AA$176)&gt;=$Z72),$AC72,IF(AND($Y72&lt;&gt;"",EDATE($D72,Milestones!$AA$176)&gt;=$Y72),$AB72,$AA72)))=Milestones!$AB$176),UPPER(TEXT(EDATE($D72,Milestones!$AA$176),"dd mmm yy"))&amp;" "&amp;Milestones!$AB$176&amp;" "&amp;IF(AND(Milestones!$AB$176="FT",Milestones!$AA$176=FT_Y5,EDATE($D72,Milestones!$AA$176)&lt;PolicyEff),1,Milestones!$AC$176)&amp;";  ","")&amp;IF(AND(EDATE($D72,Milestones!$AA$177)&lt;=AsOfDate,EDATE($D72,Milestones!$AA$177)&gt;=SchemeStart,IF($X72=0,$AD72,IF(AND($Z72&lt;&gt;"",EDATE($D72,Milestones!$AA$177)&gt;=$Z72),$AC72,IF(AND($Y72&lt;&gt;"",EDATE($D72,Milestones!$AA$177)&gt;=$Y72),$AB72,$AA72)))=Milestones!$AB$177),UPPER(TEXT(EDATE($D72,Milestones!$AA$177),"dd mmm yy"))&amp;" "&amp;Milestones!$AB$177&amp;" "&amp;IF(AND(Milestones!$AB$177="FT",Milestones!$AA$177=FT_Y5,EDATE($D72,Milestones!$AA$177)&lt;PolicyEff),1,Milestones!$AC$177)&amp;";  ","")&amp;IF(AND(EDATE($D72,Milestones!$AA$178)&lt;=AsOfDate,EDATE($D72,Milestones!$AA$178)&gt;=SchemeStart,IF($X72=0,$AD72,IF(AND($Z72&lt;&gt;"",EDATE($D72,Milestones!$AA$178)&gt;=$Z72),$AC72,IF(AND($Y72&lt;&gt;"",EDATE($D72,Milestones!$AA$178)&gt;=$Y72),$AB72,$AA72)))=Milestones!$AB$178),UPPER(TEXT(EDATE($D72,Milestones!$AA$178),"dd mmm yy"))&amp;" "&amp;Milestones!$AB$178&amp;" "&amp;IF(AND(Milestones!$AB$178="FT",Milestones!$AA$178=FT_Y5,EDATE($D72,Milestones!$AA$178)&lt;PolicyEff),1,Milestones!$AC$178)&amp;";  ","")&amp;IF(AND(EDATE($D72,Milestones!$AA$179)&lt;=AsOfDate,EDATE($D72,Milestones!$AA$179)&gt;=SchemeStart,IF($X72=0,$AD72,IF(AND($Z72&lt;&gt;"",EDATE($D72,Milestones!$AA$179)&gt;=$Z72),$AC72,IF(AND($Y72&lt;&gt;"",EDATE($D72,Milestones!$AA$179)&gt;=$Y72),$AB72,$AA72)))=Milestones!$AB$179),UPPER(TEXT(EDATE($D72,Milestones!$AA$179),"dd mmm yy"))&amp;" "&amp;Milestones!$AB$179&amp;" "&amp;IF(AND(Milestones!$AB$179="FT",Milestones!$AA$179=FT_Y5,EDATE($D72,Milestones!$AA$179)&lt;PolicyEff),1,Milestones!$AC$179)&amp;";  ","")&amp;IF(AND(EDATE($D72,Milestones!$AA$180)&lt;=AsOfDate,EDATE($D72,Milestones!$AA$180)&gt;=SchemeStart,IF($X72=0,$AD72,IF(AND($Z72&lt;&gt;"",EDATE($D72,Milestones!$AA$180)&gt;=$Z72),$AC72,IF(AND($Y72&lt;&gt;"",EDATE($D72,Milestones!$AA$180)&gt;=$Y72),$AB72,$AA72)))=Milestones!$AB$180),UPPER(TEXT(EDATE($D72,Milestones!$AA$180),"dd mmm yy"))&amp;" "&amp;Milestones!$AB$180&amp;" "&amp;IF(AND(Milestones!$AB$180="FT",Milestones!$AA$180=FT_Y5,EDATE($D72,Milestones!$AA$180)&lt;PolicyEff),1,Milestones!$AC$180)&amp;";  ","")&amp;IF(AND(EDATE($D72,Milestones!$AA$181)&lt;=AsOfDate,EDATE($D72,Milestones!$AA$181)&gt;=SchemeStart,IF($X72=0,$AD72,IF(AND($Z72&lt;&gt;"",EDATE($D72,Milestones!$AA$181)&gt;=$Z72),$AC72,IF(AND($Y72&lt;&gt;"",EDATE($D72,Milestones!$AA$181)&gt;=$Y72),$AB72,$AA72)))=Milestones!$AB$181),UPPER(TEXT(EDATE($D72,Milestones!$AA$181),"dd mmm yy"))&amp;" "&amp;Milestones!$AB$181&amp;" "&amp;IF(AND(Milestones!$AB$181="FT",Milestones!$AA$181=FT_Y5,EDATE($D72,Milestones!$AA$181)&lt;PolicyEff),1,Milestones!$AC$181)&amp;";  ","")&amp;IF(AND(EDATE($D72,Milestones!$AA$182)&lt;=AsOfDate,EDATE($D72,Milestones!$AA$182)&gt;=SchemeStart,IF($X72=0,$AD72,IF(AND($Z72&lt;&gt;"",EDATE($D72,Milestones!$AA$182)&gt;=$Z72),$AC72,IF(AND($Y72&lt;&gt;"",EDATE($D72,Milestones!$AA$182)&gt;=$Y72),$AB72,$AA72)))=Milestones!$AB$182),UPPER(TEXT(EDATE($D72,Milestones!$AA$182),"dd mmm yy"))&amp;" "&amp;Milestones!$AB$182&amp;" "&amp;IF(AND(Milestones!$AB$182="FT",Milestones!$AA$182=FT_Y5,EDATE($D72,Milestones!$AA$182)&lt;PolicyEff),1,Milestones!$AC$182)&amp;";  ","")&amp;IF(AND(EDATE($D72,Milestones!$AA$183)&lt;=AsOfDate,EDATE($D72,Milestones!$AA$183)&gt;=SchemeStart,IF($X72=0,$AD72,IF(AND($Z72&lt;&gt;"",EDATE($D72,Milestones!$AA$183)&gt;=$Z72),$AC72,IF(AND($Y72&lt;&gt;"",EDATE($D72,Milestones!$AA$183)&gt;=$Y72),$AB72,$AA72)))=Milestones!$AB$183),UPPER(TEXT(EDATE($D72,Milestones!$AA$183),"dd mmm yy"))&amp;" "&amp;Milestones!$AB$183&amp;" "&amp;IF(AND(Milestones!$AB$183="FT",Milestones!$AA$183=FT_Y5,EDATE($D72,Milestones!$AA$183)&lt;PolicyEff),1,Milestones!$AC$183)&amp;";  ","")&amp;IF(AND(EDATE($D72,Milestones!$AA$184)&lt;=AsOfDate,EDATE($D72,Milestones!$AA$184)&gt;=SchemeStart,IF($X72=0,$AD72,IF(AND($Z72&lt;&gt;"",EDATE($D72,Milestones!$AA$184)&gt;=$Z72),$AC72,IF(AND($Y72&lt;&gt;"",EDATE($D72,Milestones!$AA$184)&gt;=$Y72),$AB72,$AA72)))=Milestones!$AB$184),UPPER(TEXT(EDATE($D72,Milestones!$AA$184),"dd mmm yy"))&amp;" "&amp;Milestones!$AB$184&amp;" "&amp;IF(AND(Milestones!$AB$184="FT",Milestones!$AA$184=FT_Y5,EDATE($D72,Milestones!$AA$184)&lt;PolicyEff),1,Milestones!$AC$184)&amp;";  ","")&amp;IF(AND(EDATE($D72,Milestones!$AA$185)&lt;=AsOfDate,EDATE($D72,Milestones!$AA$185)&gt;=SchemeStart,IF($X72=0,$AD72,IF(AND($Z72&lt;&gt;"",EDATE($D72,Milestones!$AA$185)&gt;=$Z72),$AC72,IF(AND($Y72&lt;&gt;"",EDATE($D72,Milestones!$AA$185)&gt;=$Y72),$AB72,$AA72)))=Milestones!$AB$185),UPPER(TEXT(EDATE($D72,Milestones!$AA$185),"dd mmm yy"))&amp;" "&amp;Milestones!$AB$185&amp;" "&amp;IF(AND(Milestones!$AB$185="FT",Milestones!$AA$185=FT_Y5,EDATE($D72,Milestones!$AA$185)&lt;PolicyEff),1,Milestones!$AC$185)&amp;";  ","")&amp;IF(AND(EDATE($D72,Milestones!$AA$186)&lt;=AsOfDate,EDATE($D72,Milestones!$AA$186)&gt;=SchemeStart,IF($X72=0,$AD72,IF(AND($Z72&lt;&gt;"",EDATE($D72,Milestones!$AA$186)&gt;=$Z72),$AC72,IF(AND($Y72&lt;&gt;"",EDATE($D72,Milestones!$AA$186)&gt;=$Y72),$AB72,$AA72)))=Milestones!$AB$186),UPPER(TEXT(EDATE($D72,Milestones!$AA$186),"dd mmm yy"))&amp;" "&amp;Milestones!$AB$186&amp;" "&amp;IF(AND(Milestones!$AB$186="FT",Milestones!$AA$186=FT_Y5,EDATE($D72,Milestones!$AA$186)&lt;PolicyEff),1,Milestones!$AC$186)&amp;";  ","")&amp;IF(AND(EDATE($D72,Milestones!$AA$187)&lt;=AsOfDate,EDATE($D72,Milestones!$AA$187)&gt;=SchemeStart,IF($X72=0,$AD72,IF(AND($Z72&lt;&gt;"",EDATE($D72,Milestones!$AA$187)&gt;=$Z72),$AC72,IF(AND($Y72&lt;&gt;"",EDATE($D72,Milestones!$AA$187)&gt;=$Y72),$AB72,$AA72)))=Milestones!$AB$187),UPPER(TEXT(EDATE($D72,Milestones!$AA$187),"dd mmm yy"))&amp;" "&amp;Milestones!$AB$187&amp;" "&amp;IF(AND(Milestones!$AB$187="FT",Milestones!$AA$187=FT_Y5,EDATE($D72,Milestones!$AA$187)&lt;PolicyEff),1,Milestones!$AC$187)&amp;";  ",""))</f>
        <v/>
      </c>
      <c r="W72" s="0" t="str">
        <f aca="false">IF(OR($A72="",$D72=""),"",IF(AND(EDATE($D72,Milestones!$AA$188)&lt;=AsOfDate,EDATE($D72,Milestones!$AA$188)&gt;=SchemeStart,IF($X72=0,$AD72,IF(AND($Z72&lt;&gt;"",EDATE($D72,Milestones!$AA$188)&gt;=$Z72),$AC72,IF(AND($Y72&lt;&gt;"",EDATE($D72,Milestones!$AA$188)&gt;=$Y72),$AB72,$AA72)))=Milestones!$AB$188),UPPER(TEXT(EDATE($D72,Milestones!$AA$188),"dd mmm yy"))&amp;" "&amp;Milestones!$AB$188&amp;" "&amp;IF(AND(Milestones!$AB$188="FT",Milestones!$AA$188=FT_Y5,EDATE($D72,Milestones!$AA$188)&lt;PolicyEff),1,Milestones!$AC$188)&amp;";  ","")&amp;IF(AND(EDATE($D72,Milestones!$AA$189)&lt;=AsOfDate,EDATE($D72,Milestones!$AA$189)&gt;=SchemeStart,IF($X72=0,$AD72,IF(AND($Z72&lt;&gt;"",EDATE($D72,Milestones!$AA$189)&gt;=$Z72),$AC72,IF(AND($Y72&lt;&gt;"",EDATE($D72,Milestones!$AA$189)&gt;=$Y72),$AB72,$AA72)))=Milestones!$AB$189),UPPER(TEXT(EDATE($D72,Milestones!$AA$189),"dd mmm yy"))&amp;" "&amp;Milestones!$AB$189&amp;" "&amp;IF(AND(Milestones!$AB$189="FT",Milestones!$AA$189=FT_Y5,EDATE($D72,Milestones!$AA$189)&lt;PolicyEff),1,Milestones!$AC$189)&amp;";  ","")&amp;IF(AND(EDATE($D72,Milestones!$AA$190)&lt;=AsOfDate,EDATE($D72,Milestones!$AA$190)&gt;=SchemeStart,IF($X72=0,$AD72,IF(AND($Z72&lt;&gt;"",EDATE($D72,Milestones!$AA$190)&gt;=$Z72),$AC72,IF(AND($Y72&lt;&gt;"",EDATE($D72,Milestones!$AA$190)&gt;=$Y72),$AB72,$AA72)))=Milestones!$AB$190),UPPER(TEXT(EDATE($D72,Milestones!$AA$190),"dd mmm yy"))&amp;" "&amp;Milestones!$AB$190&amp;" "&amp;IF(AND(Milestones!$AB$190="FT",Milestones!$AA$190=FT_Y5,EDATE($D72,Milestones!$AA$190)&lt;PolicyEff),1,Milestones!$AC$190)&amp;";  ","")&amp;IF(AND(EDATE($D72,Milestones!$AA$191)&lt;=AsOfDate,EDATE($D72,Milestones!$AA$191)&gt;=SchemeStart,IF($X72=0,$AD72,IF(AND($Z72&lt;&gt;"",EDATE($D72,Milestones!$AA$191)&gt;=$Z72),$AC72,IF(AND($Y72&lt;&gt;"",EDATE($D72,Milestones!$AA$191)&gt;=$Y72),$AB72,$AA72)))=Milestones!$AB$191),UPPER(TEXT(EDATE($D72,Milestones!$AA$191),"dd mmm yy"))&amp;" "&amp;Milestones!$AB$191&amp;" "&amp;IF(AND(Milestones!$AB$191="FT",Milestones!$AA$191=FT_Y5,EDATE($D72,Milestones!$AA$191)&lt;PolicyEff),1,Milestones!$AC$191)&amp;";  ","")&amp;IF(AND(EDATE($D72,Milestones!$AA$192)&lt;=AsOfDate,EDATE($D72,Milestones!$AA$192)&gt;=SchemeStart,IF($X72=0,$AD72,IF(AND($Z72&lt;&gt;"",EDATE($D72,Milestones!$AA$192)&gt;=$Z72),$AC72,IF(AND($Y72&lt;&gt;"",EDATE($D72,Milestones!$AA$192)&gt;=$Y72),$AB72,$AA72)))=Milestones!$AB$192),UPPER(TEXT(EDATE($D72,Milestones!$AA$192),"dd mmm yy"))&amp;" "&amp;Milestones!$AB$192&amp;" "&amp;IF(AND(Milestones!$AB$192="FT",Milestones!$AA$192=FT_Y5,EDATE($D72,Milestones!$AA$192)&lt;PolicyEff),1,Milestones!$AC$192)&amp;";  ","")&amp;IF(AND(EDATE($D72,Milestones!$AA$193)&lt;=AsOfDate,EDATE($D72,Milestones!$AA$193)&gt;=SchemeStart,IF($X72=0,$AD72,IF(AND($Z72&lt;&gt;"",EDATE($D72,Milestones!$AA$193)&gt;=$Z72),$AC72,IF(AND($Y72&lt;&gt;"",EDATE($D72,Milestones!$AA$193)&gt;=$Y72),$AB72,$AA72)))=Milestones!$AB$193),UPPER(TEXT(EDATE($D72,Milestones!$AA$193),"dd mmm yy"))&amp;" "&amp;Milestones!$AB$193&amp;" "&amp;IF(AND(Milestones!$AB$193="FT",Milestones!$AA$193=FT_Y5,EDATE($D72,Milestones!$AA$193)&lt;PolicyEff),1,Milestones!$AC$193)&amp;";  ","")&amp;IF(AND(EDATE($D72,Milestones!$AA$194)&lt;=AsOfDate,EDATE($D72,Milestones!$AA$194)&gt;=SchemeStart,IF($X72=0,$AD72,IF(AND($Z72&lt;&gt;"",EDATE($D72,Milestones!$AA$194)&gt;=$Z72),$AC72,IF(AND($Y72&lt;&gt;"",EDATE($D72,Milestones!$AA$194)&gt;=$Y72),$AB72,$AA72)))=Milestones!$AB$194),UPPER(TEXT(EDATE($D72,Milestones!$AA$194),"dd mmm yy"))&amp;" "&amp;Milestones!$AB$194&amp;" "&amp;IF(AND(Milestones!$AB$194="FT",Milestones!$AA$194=FT_Y5,EDATE($D72,Milestones!$AA$194)&lt;PolicyEff),1,Milestones!$AC$194)&amp;";  ","")&amp;IF(AND(EDATE($D72,Milestones!$AA$195)&lt;=AsOfDate,EDATE($D72,Milestones!$AA$195)&gt;=SchemeStart,IF($X72=0,$AD72,IF(AND($Z72&lt;&gt;"",EDATE($D72,Milestones!$AA$195)&gt;=$Z72),$AC72,IF(AND($Y72&lt;&gt;"",EDATE($D72,Milestones!$AA$195)&gt;=$Y72),$AB72,$AA72)))=Milestones!$AB$195),UPPER(TEXT(EDATE($D72,Milestones!$AA$195),"dd mmm yy"))&amp;" "&amp;Milestones!$AB$195&amp;" "&amp;IF(AND(Milestones!$AB$195="FT",Milestones!$AA$195=FT_Y5,EDATE($D72,Milestones!$AA$195)&lt;PolicyEff),1,Milestones!$AC$195)&amp;";  ","")&amp;IF(AND(EDATE($D72,Milestones!$AA$196)&lt;=AsOfDate,EDATE($D72,Milestones!$AA$196)&gt;=SchemeStart,IF($X72=0,$AD72,IF(AND($Z72&lt;&gt;"",EDATE($D72,Milestones!$AA$196)&gt;=$Z72),$AC72,IF(AND($Y72&lt;&gt;"",EDATE($D72,Milestones!$AA$196)&gt;=$Y72),$AB72,$AA72)))=Milestones!$AB$196),UPPER(TEXT(EDATE($D72,Milestones!$AA$196),"dd mmm yy"))&amp;" "&amp;Milestones!$AB$196&amp;" "&amp;IF(AND(Milestones!$AB$196="FT",Milestones!$AA$196=FT_Y5,EDATE($D72,Milestones!$AA$196)&lt;PolicyEff),1,Milestones!$AC$196)&amp;";  ","")&amp;IF(AND(EDATE($D72,Milestones!$AA$197)&lt;=AsOfDate,EDATE($D72,Milestones!$AA$197)&gt;=SchemeStart,IF($X72=0,$AD72,IF(AND($Z72&lt;&gt;"",EDATE($D72,Milestones!$AA$197)&gt;=$Z72),$AC72,IF(AND($Y72&lt;&gt;"",EDATE($D72,Milestones!$AA$197)&gt;=$Y72),$AB72,$AA72)))=Milestones!$AB$197),UPPER(TEXT(EDATE($D72,Milestones!$AA$197),"dd mmm yy"))&amp;" "&amp;Milestones!$AB$197&amp;" "&amp;IF(AND(Milestones!$AB$197="FT",Milestones!$AA$197=FT_Y5,EDATE($D72,Milestones!$AA$197)&lt;PolicyEff),1,Milestones!$AC$197)&amp;";  ","")&amp;IF(AND(EDATE($D72,Milestones!$AA$198)&lt;=AsOfDate,EDATE($D72,Milestones!$AA$198)&gt;=SchemeStart,IF($X72=0,$AD72,IF(AND($Z72&lt;&gt;"",EDATE($D72,Milestones!$AA$198)&gt;=$Z72),$AC72,IF(AND($Y72&lt;&gt;"",EDATE($D72,Milestones!$AA$198)&gt;=$Y72),$AB72,$AA72)))=Milestones!$AB$198),UPPER(TEXT(EDATE($D72,Milestones!$AA$198),"dd mmm yy"))&amp;" "&amp;Milestones!$AB$198&amp;" "&amp;IF(AND(Milestones!$AB$198="FT",Milestones!$AA$198=FT_Y5,EDATE($D72,Milestones!$AA$198)&lt;PolicyEff),1,Milestones!$AC$198)&amp;";  ","")&amp;IF(AND(EDATE($D72,Milestones!$AA$199)&lt;=AsOfDate,EDATE($D72,Milestones!$AA$199)&gt;=SchemeStart,IF($X72=0,$AD72,IF(AND($Z72&lt;&gt;"",EDATE($D72,Milestones!$AA$199)&gt;=$Z72),$AC72,IF(AND($Y72&lt;&gt;"",EDATE($D72,Milestones!$AA$199)&gt;=$Y72),$AB72,$AA72)))=Milestones!$AB$199),UPPER(TEXT(EDATE($D72,Milestones!$AA$199),"dd mmm yy"))&amp;" "&amp;Milestones!$AB$199&amp;" "&amp;IF(AND(Milestones!$AB$199="FT",Milestones!$AA$199=FT_Y5,EDATE($D72,Milestones!$AA$199)&lt;PolicyEff),1,Milestones!$AC$199)&amp;";  ",""))</f>
        <v/>
      </c>
      <c r="X72" s="0" t="str">
        <f aca="false">IF(Staff!$A72="","",Staff!$AM72)</f>
        <v/>
      </c>
      <c r="Y72" s="0" t="str">
        <f aca="false">IF(Staff!$A72="","",Staff!$AO72)</f>
        <v/>
      </c>
      <c r="Z72" s="0" t="str">
        <f aca="false">IF(Staff!$A72="","",Staff!$AP72)</f>
        <v/>
      </c>
      <c r="AA72" s="0" t="str">
        <f aca="false">IF(Staff!$A72="","",Staff!$AT72)</f>
        <v/>
      </c>
      <c r="AB72" s="0" t="str">
        <f aca="false">IF(Staff!$A72="","",Staff!$AU72)</f>
        <v/>
      </c>
      <c r="AC72" s="0" t="str">
        <f aca="false">IF(Staff!$A72="","",Staff!$AV72)</f>
        <v/>
      </c>
      <c r="AD72" s="0" t="str">
        <f aca="false">IF(Staff!$A72="","",Staff!$AW72)</f>
        <v/>
      </c>
    </row>
    <row r="73" customFormat="false" ht="15" hidden="false" customHeight="false" outlineLevel="0" collapsed="false">
      <c r="A73" s="16" t="str">
        <f aca="false">IF(Staff!$A73="","",Staff!$A73)</f>
        <v/>
      </c>
      <c r="B73" s="16" t="str">
        <f aca="false">IF(Staff!$A73="","",Staff!$B73)</f>
        <v/>
      </c>
      <c r="C73" s="16" t="str">
        <f aca="false">IF(Staff!$A73="","",Staff!$C73)</f>
        <v/>
      </c>
      <c r="D73" s="14" t="str">
        <f aca="false">IF(Staff!$A73="","",Staff!$AL73)</f>
        <v/>
      </c>
      <c r="E73" s="16" t="str">
        <f aca="false">IF(Staff!$A73="","",Staff!$O73)</f>
        <v/>
      </c>
      <c r="F73" s="16" t="str">
        <f aca="false">IF(E73="","",E73*HoursPerDay)</f>
        <v/>
      </c>
      <c r="G73" s="16" t="str">
        <f aca="false">IF(Staff!$A73="","",Staff!$AE73)</f>
        <v/>
      </c>
      <c r="H73" s="28" t="str">
        <f aca="false">IF($A73="","",I73&amp;J73&amp;K73&amp;L73&amp;M73&amp;N73&amp;O73&amp;P73&amp;Q73&amp;R73&amp;S73&amp;T73&amp;U73&amp;V73&amp;W73)</f>
        <v/>
      </c>
      <c r="I73" s="0" t="str">
        <f aca="false">IF(OR($A73="",$D73=""),"",IF(AND(EDATE($D73,Milestones!$AA$20)&lt;=AsOfDate,EDATE($D73,Milestones!$AA$20)&gt;=SchemeStart,IF($X73=0,$AD73,IF(AND($Z73&lt;&gt;"",EDATE($D73,Milestones!$AA$20)&gt;=$Z73),$AC73,IF(AND($Y73&lt;&gt;"",EDATE($D73,Milestones!$AA$20)&gt;=$Y73),$AB73,$AA73)))=Milestones!$AB$20),UPPER(TEXT(EDATE($D73,Milestones!$AA$20),"dd mmm yy"))&amp;" "&amp;Milestones!$AB$20&amp;" "&amp;IF(AND(Milestones!$AB$20="FT",Milestones!$AA$20=FT_Y5,EDATE($D73,Milestones!$AA$20)&lt;PolicyEff),1,Milestones!$AC$20)&amp;";  ","")&amp;IF(AND(EDATE($D73,Milestones!$AA$21)&lt;=AsOfDate,EDATE($D73,Milestones!$AA$21)&gt;=SchemeStart,IF($X73=0,$AD73,IF(AND($Z73&lt;&gt;"",EDATE($D73,Milestones!$AA$21)&gt;=$Z73),$AC73,IF(AND($Y73&lt;&gt;"",EDATE($D73,Milestones!$AA$21)&gt;=$Y73),$AB73,$AA73)))=Milestones!$AB$21),UPPER(TEXT(EDATE($D73,Milestones!$AA$21),"dd mmm yy"))&amp;" "&amp;Milestones!$AB$21&amp;" "&amp;IF(AND(Milestones!$AB$21="FT",Milestones!$AA$21=FT_Y5,EDATE($D73,Milestones!$AA$21)&lt;PolicyEff),1,Milestones!$AC$21)&amp;";  ","")&amp;IF(AND(EDATE($D73,Milestones!$AA$22)&lt;=AsOfDate,EDATE($D73,Milestones!$AA$22)&gt;=SchemeStart,IF($X73=0,$AD73,IF(AND($Z73&lt;&gt;"",EDATE($D73,Milestones!$AA$22)&gt;=$Z73),$AC73,IF(AND($Y73&lt;&gt;"",EDATE($D73,Milestones!$AA$22)&gt;=$Y73),$AB73,$AA73)))=Milestones!$AB$22),UPPER(TEXT(EDATE($D73,Milestones!$AA$22),"dd mmm yy"))&amp;" "&amp;Milestones!$AB$22&amp;" "&amp;IF(AND(Milestones!$AB$22="FT",Milestones!$AA$22=FT_Y5,EDATE($D73,Milestones!$AA$22)&lt;PolicyEff),1,Milestones!$AC$22)&amp;";  ","")&amp;IF(AND(EDATE($D73,Milestones!$AA$23)&lt;=AsOfDate,EDATE($D73,Milestones!$AA$23)&gt;=SchemeStart,IF($X73=0,$AD73,IF(AND($Z73&lt;&gt;"",EDATE($D73,Milestones!$AA$23)&gt;=$Z73),$AC73,IF(AND($Y73&lt;&gt;"",EDATE($D73,Milestones!$AA$23)&gt;=$Y73),$AB73,$AA73)))=Milestones!$AB$23),UPPER(TEXT(EDATE($D73,Milestones!$AA$23),"dd mmm yy"))&amp;" "&amp;Milestones!$AB$23&amp;" "&amp;IF(AND(Milestones!$AB$23="FT",Milestones!$AA$23=FT_Y5,EDATE($D73,Milestones!$AA$23)&lt;PolicyEff),1,Milestones!$AC$23)&amp;";  ","")&amp;IF(AND(EDATE($D73,Milestones!$AA$24)&lt;=AsOfDate,EDATE($D73,Milestones!$AA$24)&gt;=SchemeStart,IF($X73=0,$AD73,IF(AND($Z73&lt;&gt;"",EDATE($D73,Milestones!$AA$24)&gt;=$Z73),$AC73,IF(AND($Y73&lt;&gt;"",EDATE($D73,Milestones!$AA$24)&gt;=$Y73),$AB73,$AA73)))=Milestones!$AB$24),UPPER(TEXT(EDATE($D73,Milestones!$AA$24),"dd mmm yy"))&amp;" "&amp;Milestones!$AB$24&amp;" "&amp;IF(AND(Milestones!$AB$24="FT",Milestones!$AA$24=FT_Y5,EDATE($D73,Milestones!$AA$24)&lt;PolicyEff),1,Milestones!$AC$24)&amp;";  ","")&amp;IF(AND(EDATE($D73,Milestones!$AA$25)&lt;=AsOfDate,EDATE($D73,Milestones!$AA$25)&gt;=SchemeStart,IF($X73=0,$AD73,IF(AND($Z73&lt;&gt;"",EDATE($D73,Milestones!$AA$25)&gt;=$Z73),$AC73,IF(AND($Y73&lt;&gt;"",EDATE($D73,Milestones!$AA$25)&gt;=$Y73),$AB73,$AA73)))=Milestones!$AB$25),UPPER(TEXT(EDATE($D73,Milestones!$AA$25),"dd mmm yy"))&amp;" "&amp;Milestones!$AB$25&amp;" "&amp;IF(AND(Milestones!$AB$25="FT",Milestones!$AA$25=FT_Y5,EDATE($D73,Milestones!$AA$25)&lt;PolicyEff),1,Milestones!$AC$25)&amp;";  ","")&amp;IF(AND(EDATE($D73,Milestones!$AA$26)&lt;=AsOfDate,EDATE($D73,Milestones!$AA$26)&gt;=SchemeStart,IF($X73=0,$AD73,IF(AND($Z73&lt;&gt;"",EDATE($D73,Milestones!$AA$26)&gt;=$Z73),$AC73,IF(AND($Y73&lt;&gt;"",EDATE($D73,Milestones!$AA$26)&gt;=$Y73),$AB73,$AA73)))=Milestones!$AB$26),UPPER(TEXT(EDATE($D73,Milestones!$AA$26),"dd mmm yy"))&amp;" "&amp;Milestones!$AB$26&amp;" "&amp;IF(AND(Milestones!$AB$26="FT",Milestones!$AA$26=FT_Y5,EDATE($D73,Milestones!$AA$26)&lt;PolicyEff),1,Milestones!$AC$26)&amp;";  ","")&amp;IF(AND(EDATE($D73,Milestones!$AA$27)&lt;=AsOfDate,EDATE($D73,Milestones!$AA$27)&gt;=SchemeStart,IF($X73=0,$AD73,IF(AND($Z73&lt;&gt;"",EDATE($D73,Milestones!$AA$27)&gt;=$Z73),$AC73,IF(AND($Y73&lt;&gt;"",EDATE($D73,Milestones!$AA$27)&gt;=$Y73),$AB73,$AA73)))=Milestones!$AB$27),UPPER(TEXT(EDATE($D73,Milestones!$AA$27),"dd mmm yy"))&amp;" "&amp;Milestones!$AB$27&amp;" "&amp;IF(AND(Milestones!$AB$27="FT",Milestones!$AA$27=FT_Y5,EDATE($D73,Milestones!$AA$27)&lt;PolicyEff),1,Milestones!$AC$27)&amp;";  ","")&amp;IF(AND(EDATE($D73,Milestones!$AA$28)&lt;=AsOfDate,EDATE($D73,Milestones!$AA$28)&gt;=SchemeStart,IF($X73=0,$AD73,IF(AND($Z73&lt;&gt;"",EDATE($D73,Milestones!$AA$28)&gt;=$Z73),$AC73,IF(AND($Y73&lt;&gt;"",EDATE($D73,Milestones!$AA$28)&gt;=$Y73),$AB73,$AA73)))=Milestones!$AB$28),UPPER(TEXT(EDATE($D73,Milestones!$AA$28),"dd mmm yy"))&amp;" "&amp;Milestones!$AB$28&amp;" "&amp;IF(AND(Milestones!$AB$28="FT",Milestones!$AA$28=FT_Y5,EDATE($D73,Milestones!$AA$28)&lt;PolicyEff),1,Milestones!$AC$28)&amp;";  ","")&amp;IF(AND(EDATE($D73,Milestones!$AA$29)&lt;=AsOfDate,EDATE($D73,Milestones!$AA$29)&gt;=SchemeStart,IF($X73=0,$AD73,IF(AND($Z73&lt;&gt;"",EDATE($D73,Milestones!$AA$29)&gt;=$Z73),$AC73,IF(AND($Y73&lt;&gt;"",EDATE($D73,Milestones!$AA$29)&gt;=$Y73),$AB73,$AA73)))=Milestones!$AB$29),UPPER(TEXT(EDATE($D73,Milestones!$AA$29),"dd mmm yy"))&amp;" "&amp;Milestones!$AB$29&amp;" "&amp;IF(AND(Milestones!$AB$29="FT",Milestones!$AA$29=FT_Y5,EDATE($D73,Milestones!$AA$29)&lt;PolicyEff),1,Milestones!$AC$29)&amp;";  ","")&amp;IF(AND(EDATE($D73,Milestones!$AA$30)&lt;=AsOfDate,EDATE($D73,Milestones!$AA$30)&gt;=SchemeStart,IF($X73=0,$AD73,IF(AND($Z73&lt;&gt;"",EDATE($D73,Milestones!$AA$30)&gt;=$Z73),$AC73,IF(AND($Y73&lt;&gt;"",EDATE($D73,Milestones!$AA$30)&gt;=$Y73),$AB73,$AA73)))=Milestones!$AB$30),UPPER(TEXT(EDATE($D73,Milestones!$AA$30),"dd mmm yy"))&amp;" "&amp;Milestones!$AB$30&amp;" "&amp;IF(AND(Milestones!$AB$30="FT",Milestones!$AA$30=FT_Y5,EDATE($D73,Milestones!$AA$30)&lt;PolicyEff),1,Milestones!$AC$30)&amp;";  ","")&amp;IF(AND(EDATE($D73,Milestones!$AA$31)&lt;=AsOfDate,EDATE($D73,Milestones!$AA$31)&gt;=SchemeStart,IF($X73=0,$AD73,IF(AND($Z73&lt;&gt;"",EDATE($D73,Milestones!$AA$31)&gt;=$Z73),$AC73,IF(AND($Y73&lt;&gt;"",EDATE($D73,Milestones!$AA$31)&gt;=$Y73),$AB73,$AA73)))=Milestones!$AB$31),UPPER(TEXT(EDATE($D73,Milestones!$AA$31),"dd mmm yy"))&amp;" "&amp;Milestones!$AB$31&amp;" "&amp;IF(AND(Milestones!$AB$31="FT",Milestones!$AA$31=FT_Y5,EDATE($D73,Milestones!$AA$31)&lt;PolicyEff),1,Milestones!$AC$31)&amp;";  ",""))</f>
        <v/>
      </c>
      <c r="J73" s="0" t="str">
        <f aca="false">IF(OR($A73="",$D73=""),"",IF(AND(EDATE($D73,Milestones!$AA$32)&lt;=AsOfDate,EDATE($D73,Milestones!$AA$32)&gt;=SchemeStart,IF($X73=0,$AD73,IF(AND($Z73&lt;&gt;"",EDATE($D73,Milestones!$AA$32)&gt;=$Z73),$AC73,IF(AND($Y73&lt;&gt;"",EDATE($D73,Milestones!$AA$32)&gt;=$Y73),$AB73,$AA73)))=Milestones!$AB$32),UPPER(TEXT(EDATE($D73,Milestones!$AA$32),"dd mmm yy"))&amp;" "&amp;Milestones!$AB$32&amp;" "&amp;IF(AND(Milestones!$AB$32="FT",Milestones!$AA$32=FT_Y5,EDATE($D73,Milestones!$AA$32)&lt;PolicyEff),1,Milestones!$AC$32)&amp;";  ","")&amp;IF(AND(EDATE($D73,Milestones!$AA$33)&lt;=AsOfDate,EDATE($D73,Milestones!$AA$33)&gt;=SchemeStart,IF($X73=0,$AD73,IF(AND($Z73&lt;&gt;"",EDATE($D73,Milestones!$AA$33)&gt;=$Z73),$AC73,IF(AND($Y73&lt;&gt;"",EDATE($D73,Milestones!$AA$33)&gt;=$Y73),$AB73,$AA73)))=Milestones!$AB$33),UPPER(TEXT(EDATE($D73,Milestones!$AA$33),"dd mmm yy"))&amp;" "&amp;Milestones!$AB$33&amp;" "&amp;IF(AND(Milestones!$AB$33="FT",Milestones!$AA$33=FT_Y5,EDATE($D73,Milestones!$AA$33)&lt;PolicyEff),1,Milestones!$AC$33)&amp;";  ","")&amp;IF(AND(EDATE($D73,Milestones!$AA$34)&lt;=AsOfDate,EDATE($D73,Milestones!$AA$34)&gt;=SchemeStart,IF($X73=0,$AD73,IF(AND($Z73&lt;&gt;"",EDATE($D73,Milestones!$AA$34)&gt;=$Z73),$AC73,IF(AND($Y73&lt;&gt;"",EDATE($D73,Milestones!$AA$34)&gt;=$Y73),$AB73,$AA73)))=Milestones!$AB$34),UPPER(TEXT(EDATE($D73,Milestones!$AA$34),"dd mmm yy"))&amp;" "&amp;Milestones!$AB$34&amp;" "&amp;IF(AND(Milestones!$AB$34="FT",Milestones!$AA$34=FT_Y5,EDATE($D73,Milestones!$AA$34)&lt;PolicyEff),1,Milestones!$AC$34)&amp;";  ","")&amp;IF(AND(EDATE($D73,Milestones!$AA$35)&lt;=AsOfDate,EDATE($D73,Milestones!$AA$35)&gt;=SchemeStart,IF($X73=0,$AD73,IF(AND($Z73&lt;&gt;"",EDATE($D73,Milestones!$AA$35)&gt;=$Z73),$AC73,IF(AND($Y73&lt;&gt;"",EDATE($D73,Milestones!$AA$35)&gt;=$Y73),$AB73,$AA73)))=Milestones!$AB$35),UPPER(TEXT(EDATE($D73,Milestones!$AA$35),"dd mmm yy"))&amp;" "&amp;Milestones!$AB$35&amp;" "&amp;IF(AND(Milestones!$AB$35="FT",Milestones!$AA$35=FT_Y5,EDATE($D73,Milestones!$AA$35)&lt;PolicyEff),1,Milestones!$AC$35)&amp;";  ","")&amp;IF(AND(EDATE($D73,Milestones!$AA$36)&lt;=AsOfDate,EDATE($D73,Milestones!$AA$36)&gt;=SchemeStart,IF($X73=0,$AD73,IF(AND($Z73&lt;&gt;"",EDATE($D73,Milestones!$AA$36)&gt;=$Z73),$AC73,IF(AND($Y73&lt;&gt;"",EDATE($D73,Milestones!$AA$36)&gt;=$Y73),$AB73,$AA73)))=Milestones!$AB$36),UPPER(TEXT(EDATE($D73,Milestones!$AA$36),"dd mmm yy"))&amp;" "&amp;Milestones!$AB$36&amp;" "&amp;IF(AND(Milestones!$AB$36="FT",Milestones!$AA$36=FT_Y5,EDATE($D73,Milestones!$AA$36)&lt;PolicyEff),1,Milestones!$AC$36)&amp;";  ","")&amp;IF(AND(EDATE($D73,Milestones!$AA$37)&lt;=AsOfDate,EDATE($D73,Milestones!$AA$37)&gt;=SchemeStart,IF($X73=0,$AD73,IF(AND($Z73&lt;&gt;"",EDATE($D73,Milestones!$AA$37)&gt;=$Z73),$AC73,IF(AND($Y73&lt;&gt;"",EDATE($D73,Milestones!$AA$37)&gt;=$Y73),$AB73,$AA73)))=Milestones!$AB$37),UPPER(TEXT(EDATE($D73,Milestones!$AA$37),"dd mmm yy"))&amp;" "&amp;Milestones!$AB$37&amp;" "&amp;IF(AND(Milestones!$AB$37="FT",Milestones!$AA$37=FT_Y5,EDATE($D73,Milestones!$AA$37)&lt;PolicyEff),1,Milestones!$AC$37)&amp;";  ","")&amp;IF(AND(EDATE($D73,Milestones!$AA$38)&lt;=AsOfDate,EDATE($D73,Milestones!$AA$38)&gt;=SchemeStart,IF($X73=0,$AD73,IF(AND($Z73&lt;&gt;"",EDATE($D73,Milestones!$AA$38)&gt;=$Z73),$AC73,IF(AND($Y73&lt;&gt;"",EDATE($D73,Milestones!$AA$38)&gt;=$Y73),$AB73,$AA73)))=Milestones!$AB$38),UPPER(TEXT(EDATE($D73,Milestones!$AA$38),"dd mmm yy"))&amp;" "&amp;Milestones!$AB$38&amp;" "&amp;IF(AND(Milestones!$AB$38="FT",Milestones!$AA$38=FT_Y5,EDATE($D73,Milestones!$AA$38)&lt;PolicyEff),1,Milestones!$AC$38)&amp;";  ","")&amp;IF(AND(EDATE($D73,Milestones!$AA$39)&lt;=AsOfDate,EDATE($D73,Milestones!$AA$39)&gt;=SchemeStart,IF($X73=0,$AD73,IF(AND($Z73&lt;&gt;"",EDATE($D73,Milestones!$AA$39)&gt;=$Z73),$AC73,IF(AND($Y73&lt;&gt;"",EDATE($D73,Milestones!$AA$39)&gt;=$Y73),$AB73,$AA73)))=Milestones!$AB$39),UPPER(TEXT(EDATE($D73,Milestones!$AA$39),"dd mmm yy"))&amp;" "&amp;Milestones!$AB$39&amp;" "&amp;IF(AND(Milestones!$AB$39="FT",Milestones!$AA$39=FT_Y5,EDATE($D73,Milestones!$AA$39)&lt;PolicyEff),1,Milestones!$AC$39)&amp;";  ","")&amp;IF(AND(EDATE($D73,Milestones!$AA$40)&lt;=AsOfDate,EDATE($D73,Milestones!$AA$40)&gt;=SchemeStart,IF($X73=0,$AD73,IF(AND($Z73&lt;&gt;"",EDATE($D73,Milestones!$AA$40)&gt;=$Z73),$AC73,IF(AND($Y73&lt;&gt;"",EDATE($D73,Milestones!$AA$40)&gt;=$Y73),$AB73,$AA73)))=Milestones!$AB$40),UPPER(TEXT(EDATE($D73,Milestones!$AA$40),"dd mmm yy"))&amp;" "&amp;Milestones!$AB$40&amp;" "&amp;IF(AND(Milestones!$AB$40="FT",Milestones!$AA$40=FT_Y5,EDATE($D73,Milestones!$AA$40)&lt;PolicyEff),1,Milestones!$AC$40)&amp;";  ","")&amp;IF(AND(EDATE($D73,Milestones!$AA$41)&lt;=AsOfDate,EDATE($D73,Milestones!$AA$41)&gt;=SchemeStart,IF($X73=0,$AD73,IF(AND($Z73&lt;&gt;"",EDATE($D73,Milestones!$AA$41)&gt;=$Z73),$AC73,IF(AND($Y73&lt;&gt;"",EDATE($D73,Milestones!$AA$41)&gt;=$Y73),$AB73,$AA73)))=Milestones!$AB$41),UPPER(TEXT(EDATE($D73,Milestones!$AA$41),"dd mmm yy"))&amp;" "&amp;Milestones!$AB$41&amp;" "&amp;IF(AND(Milestones!$AB$41="FT",Milestones!$AA$41=FT_Y5,EDATE($D73,Milestones!$AA$41)&lt;PolicyEff),1,Milestones!$AC$41)&amp;";  ","")&amp;IF(AND(EDATE($D73,Milestones!$AA$42)&lt;=AsOfDate,EDATE($D73,Milestones!$AA$42)&gt;=SchemeStart,IF($X73=0,$AD73,IF(AND($Z73&lt;&gt;"",EDATE($D73,Milestones!$AA$42)&gt;=$Z73),$AC73,IF(AND($Y73&lt;&gt;"",EDATE($D73,Milestones!$AA$42)&gt;=$Y73),$AB73,$AA73)))=Milestones!$AB$42),UPPER(TEXT(EDATE($D73,Milestones!$AA$42),"dd mmm yy"))&amp;" "&amp;Milestones!$AB$42&amp;" "&amp;IF(AND(Milestones!$AB$42="FT",Milestones!$AA$42=FT_Y5,EDATE($D73,Milestones!$AA$42)&lt;PolicyEff),1,Milestones!$AC$42)&amp;";  ","")&amp;IF(AND(EDATE($D73,Milestones!$AA$43)&lt;=AsOfDate,EDATE($D73,Milestones!$AA$43)&gt;=SchemeStart,IF($X73=0,$AD73,IF(AND($Z73&lt;&gt;"",EDATE($D73,Milestones!$AA$43)&gt;=$Z73),$AC73,IF(AND($Y73&lt;&gt;"",EDATE($D73,Milestones!$AA$43)&gt;=$Y73),$AB73,$AA73)))=Milestones!$AB$43),UPPER(TEXT(EDATE($D73,Milestones!$AA$43),"dd mmm yy"))&amp;" "&amp;Milestones!$AB$43&amp;" "&amp;IF(AND(Milestones!$AB$43="FT",Milestones!$AA$43=FT_Y5,EDATE($D73,Milestones!$AA$43)&lt;PolicyEff),1,Milestones!$AC$43)&amp;";  ",""))</f>
        <v/>
      </c>
      <c r="K73" s="0" t="str">
        <f aca="false">IF(OR($A73="",$D73=""),"",IF(AND(EDATE($D73,Milestones!$AA$44)&lt;=AsOfDate,EDATE($D73,Milestones!$AA$44)&gt;=SchemeStart,IF($X73=0,$AD73,IF(AND($Z73&lt;&gt;"",EDATE($D73,Milestones!$AA$44)&gt;=$Z73),$AC73,IF(AND($Y73&lt;&gt;"",EDATE($D73,Milestones!$AA$44)&gt;=$Y73),$AB73,$AA73)))=Milestones!$AB$44),UPPER(TEXT(EDATE($D73,Milestones!$AA$44),"dd mmm yy"))&amp;" "&amp;Milestones!$AB$44&amp;" "&amp;IF(AND(Milestones!$AB$44="FT",Milestones!$AA$44=FT_Y5,EDATE($D73,Milestones!$AA$44)&lt;PolicyEff),1,Milestones!$AC$44)&amp;";  ","")&amp;IF(AND(EDATE($D73,Milestones!$AA$45)&lt;=AsOfDate,EDATE($D73,Milestones!$AA$45)&gt;=SchemeStart,IF($X73=0,$AD73,IF(AND($Z73&lt;&gt;"",EDATE($D73,Milestones!$AA$45)&gt;=$Z73),$AC73,IF(AND($Y73&lt;&gt;"",EDATE($D73,Milestones!$AA$45)&gt;=$Y73),$AB73,$AA73)))=Milestones!$AB$45),UPPER(TEXT(EDATE($D73,Milestones!$AA$45),"dd mmm yy"))&amp;" "&amp;Milestones!$AB$45&amp;" "&amp;IF(AND(Milestones!$AB$45="FT",Milestones!$AA$45=FT_Y5,EDATE($D73,Milestones!$AA$45)&lt;PolicyEff),1,Milestones!$AC$45)&amp;";  ","")&amp;IF(AND(EDATE($D73,Milestones!$AA$46)&lt;=AsOfDate,EDATE($D73,Milestones!$AA$46)&gt;=SchemeStart,IF($X73=0,$AD73,IF(AND($Z73&lt;&gt;"",EDATE($D73,Milestones!$AA$46)&gt;=$Z73),$AC73,IF(AND($Y73&lt;&gt;"",EDATE($D73,Milestones!$AA$46)&gt;=$Y73),$AB73,$AA73)))=Milestones!$AB$46),UPPER(TEXT(EDATE($D73,Milestones!$AA$46),"dd mmm yy"))&amp;" "&amp;Milestones!$AB$46&amp;" "&amp;IF(AND(Milestones!$AB$46="FT",Milestones!$AA$46=FT_Y5,EDATE($D73,Milestones!$AA$46)&lt;PolicyEff),1,Milestones!$AC$46)&amp;";  ","")&amp;IF(AND(EDATE($D73,Milestones!$AA$47)&lt;=AsOfDate,EDATE($D73,Milestones!$AA$47)&gt;=SchemeStart,IF($X73=0,$AD73,IF(AND($Z73&lt;&gt;"",EDATE($D73,Milestones!$AA$47)&gt;=$Z73),$AC73,IF(AND($Y73&lt;&gt;"",EDATE($D73,Milestones!$AA$47)&gt;=$Y73),$AB73,$AA73)))=Milestones!$AB$47),UPPER(TEXT(EDATE($D73,Milestones!$AA$47),"dd mmm yy"))&amp;" "&amp;Milestones!$AB$47&amp;" "&amp;IF(AND(Milestones!$AB$47="FT",Milestones!$AA$47=FT_Y5,EDATE($D73,Milestones!$AA$47)&lt;PolicyEff),1,Milestones!$AC$47)&amp;";  ","")&amp;IF(AND(EDATE($D73,Milestones!$AA$48)&lt;=AsOfDate,EDATE($D73,Milestones!$AA$48)&gt;=SchemeStart,IF($X73=0,$AD73,IF(AND($Z73&lt;&gt;"",EDATE($D73,Milestones!$AA$48)&gt;=$Z73),$AC73,IF(AND($Y73&lt;&gt;"",EDATE($D73,Milestones!$AA$48)&gt;=$Y73),$AB73,$AA73)))=Milestones!$AB$48),UPPER(TEXT(EDATE($D73,Milestones!$AA$48),"dd mmm yy"))&amp;" "&amp;Milestones!$AB$48&amp;" "&amp;IF(AND(Milestones!$AB$48="FT",Milestones!$AA$48=FT_Y5,EDATE($D73,Milestones!$AA$48)&lt;PolicyEff),1,Milestones!$AC$48)&amp;";  ","")&amp;IF(AND(EDATE($D73,Milestones!$AA$49)&lt;=AsOfDate,EDATE($D73,Milestones!$AA$49)&gt;=SchemeStart,IF($X73=0,$AD73,IF(AND($Z73&lt;&gt;"",EDATE($D73,Milestones!$AA$49)&gt;=$Z73),$AC73,IF(AND($Y73&lt;&gt;"",EDATE($D73,Milestones!$AA$49)&gt;=$Y73),$AB73,$AA73)))=Milestones!$AB$49),UPPER(TEXT(EDATE($D73,Milestones!$AA$49),"dd mmm yy"))&amp;" "&amp;Milestones!$AB$49&amp;" "&amp;IF(AND(Milestones!$AB$49="FT",Milestones!$AA$49=FT_Y5,EDATE($D73,Milestones!$AA$49)&lt;PolicyEff),1,Milestones!$AC$49)&amp;";  ","")&amp;IF(AND(EDATE($D73,Milestones!$AA$50)&lt;=AsOfDate,EDATE($D73,Milestones!$AA$50)&gt;=SchemeStart,IF($X73=0,$AD73,IF(AND($Z73&lt;&gt;"",EDATE($D73,Milestones!$AA$50)&gt;=$Z73),$AC73,IF(AND($Y73&lt;&gt;"",EDATE($D73,Milestones!$AA$50)&gt;=$Y73),$AB73,$AA73)))=Milestones!$AB$50),UPPER(TEXT(EDATE($D73,Milestones!$AA$50),"dd mmm yy"))&amp;" "&amp;Milestones!$AB$50&amp;" "&amp;IF(AND(Milestones!$AB$50="FT",Milestones!$AA$50=FT_Y5,EDATE($D73,Milestones!$AA$50)&lt;PolicyEff),1,Milestones!$AC$50)&amp;";  ","")&amp;IF(AND(EDATE($D73,Milestones!$AA$51)&lt;=AsOfDate,EDATE($D73,Milestones!$AA$51)&gt;=SchemeStart,IF($X73=0,$AD73,IF(AND($Z73&lt;&gt;"",EDATE($D73,Milestones!$AA$51)&gt;=$Z73),$AC73,IF(AND($Y73&lt;&gt;"",EDATE($D73,Milestones!$AA$51)&gt;=$Y73),$AB73,$AA73)))=Milestones!$AB$51),UPPER(TEXT(EDATE($D73,Milestones!$AA$51),"dd mmm yy"))&amp;" "&amp;Milestones!$AB$51&amp;" "&amp;IF(AND(Milestones!$AB$51="FT",Milestones!$AA$51=FT_Y5,EDATE($D73,Milestones!$AA$51)&lt;PolicyEff),1,Milestones!$AC$51)&amp;";  ","")&amp;IF(AND(EDATE($D73,Milestones!$AA$52)&lt;=AsOfDate,EDATE($D73,Milestones!$AA$52)&gt;=SchemeStart,IF($X73=0,$AD73,IF(AND($Z73&lt;&gt;"",EDATE($D73,Milestones!$AA$52)&gt;=$Z73),$AC73,IF(AND($Y73&lt;&gt;"",EDATE($D73,Milestones!$AA$52)&gt;=$Y73),$AB73,$AA73)))=Milestones!$AB$52),UPPER(TEXT(EDATE($D73,Milestones!$AA$52),"dd mmm yy"))&amp;" "&amp;Milestones!$AB$52&amp;" "&amp;IF(AND(Milestones!$AB$52="FT",Milestones!$AA$52=FT_Y5,EDATE($D73,Milestones!$AA$52)&lt;PolicyEff),1,Milestones!$AC$52)&amp;";  ","")&amp;IF(AND(EDATE($D73,Milestones!$AA$53)&lt;=AsOfDate,EDATE($D73,Milestones!$AA$53)&gt;=SchemeStart,IF($X73=0,$AD73,IF(AND($Z73&lt;&gt;"",EDATE($D73,Milestones!$AA$53)&gt;=$Z73),$AC73,IF(AND($Y73&lt;&gt;"",EDATE($D73,Milestones!$AA$53)&gt;=$Y73),$AB73,$AA73)))=Milestones!$AB$53),UPPER(TEXT(EDATE($D73,Milestones!$AA$53),"dd mmm yy"))&amp;" "&amp;Milestones!$AB$53&amp;" "&amp;IF(AND(Milestones!$AB$53="FT",Milestones!$AA$53=FT_Y5,EDATE($D73,Milestones!$AA$53)&lt;PolicyEff),1,Milestones!$AC$53)&amp;";  ","")&amp;IF(AND(EDATE($D73,Milestones!$AA$54)&lt;=AsOfDate,EDATE($D73,Milestones!$AA$54)&gt;=SchemeStart,IF($X73=0,$AD73,IF(AND($Z73&lt;&gt;"",EDATE($D73,Milestones!$AA$54)&gt;=$Z73),$AC73,IF(AND($Y73&lt;&gt;"",EDATE($D73,Milestones!$AA$54)&gt;=$Y73),$AB73,$AA73)))=Milestones!$AB$54),UPPER(TEXT(EDATE($D73,Milestones!$AA$54),"dd mmm yy"))&amp;" "&amp;Milestones!$AB$54&amp;" "&amp;IF(AND(Milestones!$AB$54="FT",Milestones!$AA$54=FT_Y5,EDATE($D73,Milestones!$AA$54)&lt;PolicyEff),1,Milestones!$AC$54)&amp;";  ","")&amp;IF(AND(EDATE($D73,Milestones!$AA$55)&lt;=AsOfDate,EDATE($D73,Milestones!$AA$55)&gt;=SchemeStart,IF($X73=0,$AD73,IF(AND($Z73&lt;&gt;"",EDATE($D73,Milestones!$AA$55)&gt;=$Z73),$AC73,IF(AND($Y73&lt;&gt;"",EDATE($D73,Milestones!$AA$55)&gt;=$Y73),$AB73,$AA73)))=Milestones!$AB$55),UPPER(TEXT(EDATE($D73,Milestones!$AA$55),"dd mmm yy"))&amp;" "&amp;Milestones!$AB$55&amp;" "&amp;IF(AND(Milestones!$AB$55="FT",Milestones!$AA$55=FT_Y5,EDATE($D73,Milestones!$AA$55)&lt;PolicyEff),1,Milestones!$AC$55)&amp;";  ",""))</f>
        <v/>
      </c>
      <c r="L73" s="0" t="str">
        <f aca="false">IF(OR($A73="",$D73=""),"",IF(AND(EDATE($D73,Milestones!$AA$56)&lt;=AsOfDate,EDATE($D73,Milestones!$AA$56)&gt;=SchemeStart,IF($X73=0,$AD73,IF(AND($Z73&lt;&gt;"",EDATE($D73,Milestones!$AA$56)&gt;=$Z73),$AC73,IF(AND($Y73&lt;&gt;"",EDATE($D73,Milestones!$AA$56)&gt;=$Y73),$AB73,$AA73)))=Milestones!$AB$56),UPPER(TEXT(EDATE($D73,Milestones!$AA$56),"dd mmm yy"))&amp;" "&amp;Milestones!$AB$56&amp;" "&amp;IF(AND(Milestones!$AB$56="FT",Milestones!$AA$56=FT_Y5,EDATE($D73,Milestones!$AA$56)&lt;PolicyEff),1,Milestones!$AC$56)&amp;";  ","")&amp;IF(AND(EDATE($D73,Milestones!$AA$57)&lt;=AsOfDate,EDATE($D73,Milestones!$AA$57)&gt;=SchemeStart,IF($X73=0,$AD73,IF(AND($Z73&lt;&gt;"",EDATE($D73,Milestones!$AA$57)&gt;=$Z73),$AC73,IF(AND($Y73&lt;&gt;"",EDATE($D73,Milestones!$AA$57)&gt;=$Y73),$AB73,$AA73)))=Milestones!$AB$57),UPPER(TEXT(EDATE($D73,Milestones!$AA$57),"dd mmm yy"))&amp;" "&amp;Milestones!$AB$57&amp;" "&amp;IF(AND(Milestones!$AB$57="FT",Milestones!$AA$57=FT_Y5,EDATE($D73,Milestones!$AA$57)&lt;PolicyEff),1,Milestones!$AC$57)&amp;";  ","")&amp;IF(AND(EDATE($D73,Milestones!$AA$58)&lt;=AsOfDate,EDATE($D73,Milestones!$AA$58)&gt;=SchemeStart,IF($X73=0,$AD73,IF(AND($Z73&lt;&gt;"",EDATE($D73,Milestones!$AA$58)&gt;=$Z73),$AC73,IF(AND($Y73&lt;&gt;"",EDATE($D73,Milestones!$AA$58)&gt;=$Y73),$AB73,$AA73)))=Milestones!$AB$58),UPPER(TEXT(EDATE($D73,Milestones!$AA$58),"dd mmm yy"))&amp;" "&amp;Milestones!$AB$58&amp;" "&amp;IF(AND(Milestones!$AB$58="FT",Milestones!$AA$58=FT_Y5,EDATE($D73,Milestones!$AA$58)&lt;PolicyEff),1,Milestones!$AC$58)&amp;";  ","")&amp;IF(AND(EDATE($D73,Milestones!$AA$59)&lt;=AsOfDate,EDATE($D73,Milestones!$AA$59)&gt;=SchemeStart,IF($X73=0,$AD73,IF(AND($Z73&lt;&gt;"",EDATE($D73,Milestones!$AA$59)&gt;=$Z73),$AC73,IF(AND($Y73&lt;&gt;"",EDATE($D73,Milestones!$AA$59)&gt;=$Y73),$AB73,$AA73)))=Milestones!$AB$59),UPPER(TEXT(EDATE($D73,Milestones!$AA$59),"dd mmm yy"))&amp;" "&amp;Milestones!$AB$59&amp;" "&amp;IF(AND(Milestones!$AB$59="FT",Milestones!$AA$59=FT_Y5,EDATE($D73,Milestones!$AA$59)&lt;PolicyEff),1,Milestones!$AC$59)&amp;";  ","")&amp;IF(AND(EDATE($D73,Milestones!$AA$60)&lt;=AsOfDate,EDATE($D73,Milestones!$AA$60)&gt;=SchemeStart,IF($X73=0,$AD73,IF(AND($Z73&lt;&gt;"",EDATE($D73,Milestones!$AA$60)&gt;=$Z73),$AC73,IF(AND($Y73&lt;&gt;"",EDATE($D73,Milestones!$AA$60)&gt;=$Y73),$AB73,$AA73)))=Milestones!$AB$60),UPPER(TEXT(EDATE($D73,Milestones!$AA$60),"dd mmm yy"))&amp;" "&amp;Milestones!$AB$60&amp;" "&amp;IF(AND(Milestones!$AB$60="FT",Milestones!$AA$60=FT_Y5,EDATE($D73,Milestones!$AA$60)&lt;PolicyEff),1,Milestones!$AC$60)&amp;";  ","")&amp;IF(AND(EDATE($D73,Milestones!$AA$61)&lt;=AsOfDate,EDATE($D73,Milestones!$AA$61)&gt;=SchemeStart,IF($X73=0,$AD73,IF(AND($Z73&lt;&gt;"",EDATE($D73,Milestones!$AA$61)&gt;=$Z73),$AC73,IF(AND($Y73&lt;&gt;"",EDATE($D73,Milestones!$AA$61)&gt;=$Y73),$AB73,$AA73)))=Milestones!$AB$61),UPPER(TEXT(EDATE($D73,Milestones!$AA$61),"dd mmm yy"))&amp;" "&amp;Milestones!$AB$61&amp;" "&amp;IF(AND(Milestones!$AB$61="FT",Milestones!$AA$61=FT_Y5,EDATE($D73,Milestones!$AA$61)&lt;PolicyEff),1,Milestones!$AC$61)&amp;";  ","")&amp;IF(AND(EDATE($D73,Milestones!$AA$62)&lt;=AsOfDate,EDATE($D73,Milestones!$AA$62)&gt;=SchemeStart,IF($X73=0,$AD73,IF(AND($Z73&lt;&gt;"",EDATE($D73,Milestones!$AA$62)&gt;=$Z73),$AC73,IF(AND($Y73&lt;&gt;"",EDATE($D73,Milestones!$AA$62)&gt;=$Y73),$AB73,$AA73)))=Milestones!$AB$62),UPPER(TEXT(EDATE($D73,Milestones!$AA$62),"dd mmm yy"))&amp;" "&amp;Milestones!$AB$62&amp;" "&amp;IF(AND(Milestones!$AB$62="FT",Milestones!$AA$62=FT_Y5,EDATE($D73,Milestones!$AA$62)&lt;PolicyEff),1,Milestones!$AC$62)&amp;";  ","")&amp;IF(AND(EDATE($D73,Milestones!$AA$63)&lt;=AsOfDate,EDATE($D73,Milestones!$AA$63)&gt;=SchemeStart,IF($X73=0,$AD73,IF(AND($Z73&lt;&gt;"",EDATE($D73,Milestones!$AA$63)&gt;=$Z73),$AC73,IF(AND($Y73&lt;&gt;"",EDATE($D73,Milestones!$AA$63)&gt;=$Y73),$AB73,$AA73)))=Milestones!$AB$63),UPPER(TEXT(EDATE($D73,Milestones!$AA$63),"dd mmm yy"))&amp;" "&amp;Milestones!$AB$63&amp;" "&amp;IF(AND(Milestones!$AB$63="FT",Milestones!$AA$63=FT_Y5,EDATE($D73,Milestones!$AA$63)&lt;PolicyEff),1,Milestones!$AC$63)&amp;";  ","")&amp;IF(AND(EDATE($D73,Milestones!$AA$64)&lt;=AsOfDate,EDATE($D73,Milestones!$AA$64)&gt;=SchemeStart,IF($X73=0,$AD73,IF(AND($Z73&lt;&gt;"",EDATE($D73,Milestones!$AA$64)&gt;=$Z73),$AC73,IF(AND($Y73&lt;&gt;"",EDATE($D73,Milestones!$AA$64)&gt;=$Y73),$AB73,$AA73)))=Milestones!$AB$64),UPPER(TEXT(EDATE($D73,Milestones!$AA$64),"dd mmm yy"))&amp;" "&amp;Milestones!$AB$64&amp;" "&amp;IF(AND(Milestones!$AB$64="FT",Milestones!$AA$64=FT_Y5,EDATE($D73,Milestones!$AA$64)&lt;PolicyEff),1,Milestones!$AC$64)&amp;";  ","")&amp;IF(AND(EDATE($D73,Milestones!$AA$65)&lt;=AsOfDate,EDATE($D73,Milestones!$AA$65)&gt;=SchemeStart,IF($X73=0,$AD73,IF(AND($Z73&lt;&gt;"",EDATE($D73,Milestones!$AA$65)&gt;=$Z73),$AC73,IF(AND($Y73&lt;&gt;"",EDATE($D73,Milestones!$AA$65)&gt;=$Y73),$AB73,$AA73)))=Milestones!$AB$65),UPPER(TEXT(EDATE($D73,Milestones!$AA$65),"dd mmm yy"))&amp;" "&amp;Milestones!$AB$65&amp;" "&amp;IF(AND(Milestones!$AB$65="FT",Milestones!$AA$65=FT_Y5,EDATE($D73,Milestones!$AA$65)&lt;PolicyEff),1,Milestones!$AC$65)&amp;";  ","")&amp;IF(AND(EDATE($D73,Milestones!$AA$66)&lt;=AsOfDate,EDATE($D73,Milestones!$AA$66)&gt;=SchemeStart,IF($X73=0,$AD73,IF(AND($Z73&lt;&gt;"",EDATE($D73,Milestones!$AA$66)&gt;=$Z73),$AC73,IF(AND($Y73&lt;&gt;"",EDATE($D73,Milestones!$AA$66)&gt;=$Y73),$AB73,$AA73)))=Milestones!$AB$66),UPPER(TEXT(EDATE($D73,Milestones!$AA$66),"dd mmm yy"))&amp;" "&amp;Milestones!$AB$66&amp;" "&amp;IF(AND(Milestones!$AB$66="FT",Milestones!$AA$66=FT_Y5,EDATE($D73,Milestones!$AA$66)&lt;PolicyEff),1,Milestones!$AC$66)&amp;";  ","")&amp;IF(AND(EDATE($D73,Milestones!$AA$67)&lt;=AsOfDate,EDATE($D73,Milestones!$AA$67)&gt;=SchemeStart,IF($X73=0,$AD73,IF(AND($Z73&lt;&gt;"",EDATE($D73,Milestones!$AA$67)&gt;=$Z73),$AC73,IF(AND($Y73&lt;&gt;"",EDATE($D73,Milestones!$AA$67)&gt;=$Y73),$AB73,$AA73)))=Milestones!$AB$67),UPPER(TEXT(EDATE($D73,Milestones!$AA$67),"dd mmm yy"))&amp;" "&amp;Milestones!$AB$67&amp;" "&amp;IF(AND(Milestones!$AB$67="FT",Milestones!$AA$67=FT_Y5,EDATE($D73,Milestones!$AA$67)&lt;PolicyEff),1,Milestones!$AC$67)&amp;";  ",""))</f>
        <v/>
      </c>
      <c r="M73" s="0" t="str">
        <f aca="false">IF(OR($A73="",$D73=""),"",IF(AND(EDATE($D73,Milestones!$AA$68)&lt;=AsOfDate,EDATE($D73,Milestones!$AA$68)&gt;=SchemeStart,IF($X73=0,$AD73,IF(AND($Z73&lt;&gt;"",EDATE($D73,Milestones!$AA$68)&gt;=$Z73),$AC73,IF(AND($Y73&lt;&gt;"",EDATE($D73,Milestones!$AA$68)&gt;=$Y73),$AB73,$AA73)))=Milestones!$AB$68),UPPER(TEXT(EDATE($D73,Milestones!$AA$68),"dd mmm yy"))&amp;" "&amp;Milestones!$AB$68&amp;" "&amp;IF(AND(Milestones!$AB$68="FT",Milestones!$AA$68=FT_Y5,EDATE($D73,Milestones!$AA$68)&lt;PolicyEff),1,Milestones!$AC$68)&amp;";  ","")&amp;IF(AND(EDATE($D73,Milestones!$AA$69)&lt;=AsOfDate,EDATE($D73,Milestones!$AA$69)&gt;=SchemeStart,IF($X73=0,$AD73,IF(AND($Z73&lt;&gt;"",EDATE($D73,Milestones!$AA$69)&gt;=$Z73),$AC73,IF(AND($Y73&lt;&gt;"",EDATE($D73,Milestones!$AA$69)&gt;=$Y73),$AB73,$AA73)))=Milestones!$AB$69),UPPER(TEXT(EDATE($D73,Milestones!$AA$69),"dd mmm yy"))&amp;" "&amp;Milestones!$AB$69&amp;" "&amp;IF(AND(Milestones!$AB$69="FT",Milestones!$AA$69=FT_Y5,EDATE($D73,Milestones!$AA$69)&lt;PolicyEff),1,Milestones!$AC$69)&amp;";  ","")&amp;IF(AND(EDATE($D73,Milestones!$AA$70)&lt;=AsOfDate,EDATE($D73,Milestones!$AA$70)&gt;=SchemeStart,IF($X73=0,$AD73,IF(AND($Z73&lt;&gt;"",EDATE($D73,Milestones!$AA$70)&gt;=$Z73),$AC73,IF(AND($Y73&lt;&gt;"",EDATE($D73,Milestones!$AA$70)&gt;=$Y73),$AB73,$AA73)))=Milestones!$AB$70),UPPER(TEXT(EDATE($D73,Milestones!$AA$70),"dd mmm yy"))&amp;" "&amp;Milestones!$AB$70&amp;" "&amp;IF(AND(Milestones!$AB$70="FT",Milestones!$AA$70=FT_Y5,EDATE($D73,Milestones!$AA$70)&lt;PolicyEff),1,Milestones!$AC$70)&amp;";  ","")&amp;IF(AND(EDATE($D73,Milestones!$AA$71)&lt;=AsOfDate,EDATE($D73,Milestones!$AA$71)&gt;=SchemeStart,IF($X73=0,$AD73,IF(AND($Z73&lt;&gt;"",EDATE($D73,Milestones!$AA$71)&gt;=$Z73),$AC73,IF(AND($Y73&lt;&gt;"",EDATE($D73,Milestones!$AA$71)&gt;=$Y73),$AB73,$AA73)))=Milestones!$AB$71),UPPER(TEXT(EDATE($D73,Milestones!$AA$71),"dd mmm yy"))&amp;" "&amp;Milestones!$AB$71&amp;" "&amp;IF(AND(Milestones!$AB$71="FT",Milestones!$AA$71=FT_Y5,EDATE($D73,Milestones!$AA$71)&lt;PolicyEff),1,Milestones!$AC$71)&amp;";  ","")&amp;IF(AND(EDATE($D73,Milestones!$AA$72)&lt;=AsOfDate,EDATE($D73,Milestones!$AA$72)&gt;=SchemeStart,IF($X73=0,$AD73,IF(AND($Z73&lt;&gt;"",EDATE($D73,Milestones!$AA$72)&gt;=$Z73),$AC73,IF(AND($Y73&lt;&gt;"",EDATE($D73,Milestones!$AA$72)&gt;=$Y73),$AB73,$AA73)))=Milestones!$AB$72),UPPER(TEXT(EDATE($D73,Milestones!$AA$72),"dd mmm yy"))&amp;" "&amp;Milestones!$AB$72&amp;" "&amp;IF(AND(Milestones!$AB$72="FT",Milestones!$AA$72=FT_Y5,EDATE($D73,Milestones!$AA$72)&lt;PolicyEff),1,Milestones!$AC$72)&amp;";  ","")&amp;IF(AND(EDATE($D73,Milestones!$AA$73)&lt;=AsOfDate,EDATE($D73,Milestones!$AA$73)&gt;=SchemeStart,IF($X73=0,$AD73,IF(AND($Z73&lt;&gt;"",EDATE($D73,Milestones!$AA$73)&gt;=$Z73),$AC73,IF(AND($Y73&lt;&gt;"",EDATE($D73,Milestones!$AA$73)&gt;=$Y73),$AB73,$AA73)))=Milestones!$AB$73),UPPER(TEXT(EDATE($D73,Milestones!$AA$73),"dd mmm yy"))&amp;" "&amp;Milestones!$AB$73&amp;" "&amp;IF(AND(Milestones!$AB$73="FT",Milestones!$AA$73=FT_Y5,EDATE($D73,Milestones!$AA$73)&lt;PolicyEff),1,Milestones!$AC$73)&amp;";  ","")&amp;IF(AND(EDATE($D73,Milestones!$AA$74)&lt;=AsOfDate,EDATE($D73,Milestones!$AA$74)&gt;=SchemeStart,IF($X73=0,$AD73,IF(AND($Z73&lt;&gt;"",EDATE($D73,Milestones!$AA$74)&gt;=$Z73),$AC73,IF(AND($Y73&lt;&gt;"",EDATE($D73,Milestones!$AA$74)&gt;=$Y73),$AB73,$AA73)))=Milestones!$AB$74),UPPER(TEXT(EDATE($D73,Milestones!$AA$74),"dd mmm yy"))&amp;" "&amp;Milestones!$AB$74&amp;" "&amp;IF(AND(Milestones!$AB$74="FT",Milestones!$AA$74=FT_Y5,EDATE($D73,Milestones!$AA$74)&lt;PolicyEff),1,Milestones!$AC$74)&amp;";  ","")&amp;IF(AND(EDATE($D73,Milestones!$AA$75)&lt;=AsOfDate,EDATE($D73,Milestones!$AA$75)&gt;=SchemeStart,IF($X73=0,$AD73,IF(AND($Z73&lt;&gt;"",EDATE($D73,Milestones!$AA$75)&gt;=$Z73),$AC73,IF(AND($Y73&lt;&gt;"",EDATE($D73,Milestones!$AA$75)&gt;=$Y73),$AB73,$AA73)))=Milestones!$AB$75),UPPER(TEXT(EDATE($D73,Milestones!$AA$75),"dd mmm yy"))&amp;" "&amp;Milestones!$AB$75&amp;" "&amp;IF(AND(Milestones!$AB$75="FT",Milestones!$AA$75=FT_Y5,EDATE($D73,Milestones!$AA$75)&lt;PolicyEff),1,Milestones!$AC$75)&amp;";  ","")&amp;IF(AND(EDATE($D73,Milestones!$AA$76)&lt;=AsOfDate,EDATE($D73,Milestones!$AA$76)&gt;=SchemeStart,IF($X73=0,$AD73,IF(AND($Z73&lt;&gt;"",EDATE($D73,Milestones!$AA$76)&gt;=$Z73),$AC73,IF(AND($Y73&lt;&gt;"",EDATE($D73,Milestones!$AA$76)&gt;=$Y73),$AB73,$AA73)))=Milestones!$AB$76),UPPER(TEXT(EDATE($D73,Milestones!$AA$76),"dd mmm yy"))&amp;" "&amp;Milestones!$AB$76&amp;" "&amp;IF(AND(Milestones!$AB$76="FT",Milestones!$AA$76=FT_Y5,EDATE($D73,Milestones!$AA$76)&lt;PolicyEff),1,Milestones!$AC$76)&amp;";  ","")&amp;IF(AND(EDATE($D73,Milestones!$AA$77)&lt;=AsOfDate,EDATE($D73,Milestones!$AA$77)&gt;=SchemeStart,IF($X73=0,$AD73,IF(AND($Z73&lt;&gt;"",EDATE($D73,Milestones!$AA$77)&gt;=$Z73),$AC73,IF(AND($Y73&lt;&gt;"",EDATE($D73,Milestones!$AA$77)&gt;=$Y73),$AB73,$AA73)))=Milestones!$AB$77),UPPER(TEXT(EDATE($D73,Milestones!$AA$77),"dd mmm yy"))&amp;" "&amp;Milestones!$AB$77&amp;" "&amp;IF(AND(Milestones!$AB$77="FT",Milestones!$AA$77=FT_Y5,EDATE($D73,Milestones!$AA$77)&lt;PolicyEff),1,Milestones!$AC$77)&amp;";  ","")&amp;IF(AND(EDATE($D73,Milestones!$AA$78)&lt;=AsOfDate,EDATE($D73,Milestones!$AA$78)&gt;=SchemeStart,IF($X73=0,$AD73,IF(AND($Z73&lt;&gt;"",EDATE($D73,Milestones!$AA$78)&gt;=$Z73),$AC73,IF(AND($Y73&lt;&gt;"",EDATE($D73,Milestones!$AA$78)&gt;=$Y73),$AB73,$AA73)))=Milestones!$AB$78),UPPER(TEXT(EDATE($D73,Milestones!$AA$78),"dd mmm yy"))&amp;" "&amp;Milestones!$AB$78&amp;" "&amp;IF(AND(Milestones!$AB$78="FT",Milestones!$AA$78=FT_Y5,EDATE($D73,Milestones!$AA$78)&lt;PolicyEff),1,Milestones!$AC$78)&amp;";  ","")&amp;IF(AND(EDATE($D73,Milestones!$AA$79)&lt;=AsOfDate,EDATE($D73,Milestones!$AA$79)&gt;=SchemeStart,IF($X73=0,$AD73,IF(AND($Z73&lt;&gt;"",EDATE($D73,Milestones!$AA$79)&gt;=$Z73),$AC73,IF(AND($Y73&lt;&gt;"",EDATE($D73,Milestones!$AA$79)&gt;=$Y73),$AB73,$AA73)))=Milestones!$AB$79),UPPER(TEXT(EDATE($D73,Milestones!$AA$79),"dd mmm yy"))&amp;" "&amp;Milestones!$AB$79&amp;" "&amp;IF(AND(Milestones!$AB$79="FT",Milestones!$AA$79=FT_Y5,EDATE($D73,Milestones!$AA$79)&lt;PolicyEff),1,Milestones!$AC$79)&amp;";  ",""))</f>
        <v/>
      </c>
      <c r="N73" s="0" t="str">
        <f aca="false">IF(OR($A73="",$D73=""),"",IF(AND(EDATE($D73,Milestones!$AA$80)&lt;=AsOfDate,EDATE($D73,Milestones!$AA$80)&gt;=SchemeStart,IF($X73=0,$AD73,IF(AND($Z73&lt;&gt;"",EDATE($D73,Milestones!$AA$80)&gt;=$Z73),$AC73,IF(AND($Y73&lt;&gt;"",EDATE($D73,Milestones!$AA$80)&gt;=$Y73),$AB73,$AA73)))=Milestones!$AB$80),UPPER(TEXT(EDATE($D73,Milestones!$AA$80),"dd mmm yy"))&amp;" "&amp;Milestones!$AB$80&amp;" "&amp;IF(AND(Milestones!$AB$80="FT",Milestones!$AA$80=FT_Y5,EDATE($D73,Milestones!$AA$80)&lt;PolicyEff),1,Milestones!$AC$80)&amp;";  ","")&amp;IF(AND(EDATE($D73,Milestones!$AA$81)&lt;=AsOfDate,EDATE($D73,Milestones!$AA$81)&gt;=SchemeStart,IF($X73=0,$AD73,IF(AND($Z73&lt;&gt;"",EDATE($D73,Milestones!$AA$81)&gt;=$Z73),$AC73,IF(AND($Y73&lt;&gt;"",EDATE($D73,Milestones!$AA$81)&gt;=$Y73),$AB73,$AA73)))=Milestones!$AB$81),UPPER(TEXT(EDATE($D73,Milestones!$AA$81),"dd mmm yy"))&amp;" "&amp;Milestones!$AB$81&amp;" "&amp;IF(AND(Milestones!$AB$81="FT",Milestones!$AA$81=FT_Y5,EDATE($D73,Milestones!$AA$81)&lt;PolicyEff),1,Milestones!$AC$81)&amp;";  ","")&amp;IF(AND(EDATE($D73,Milestones!$AA$82)&lt;=AsOfDate,EDATE($D73,Milestones!$AA$82)&gt;=SchemeStart,IF($X73=0,$AD73,IF(AND($Z73&lt;&gt;"",EDATE($D73,Milestones!$AA$82)&gt;=$Z73),$AC73,IF(AND($Y73&lt;&gt;"",EDATE($D73,Milestones!$AA$82)&gt;=$Y73),$AB73,$AA73)))=Milestones!$AB$82),UPPER(TEXT(EDATE($D73,Milestones!$AA$82),"dd mmm yy"))&amp;" "&amp;Milestones!$AB$82&amp;" "&amp;IF(AND(Milestones!$AB$82="FT",Milestones!$AA$82=FT_Y5,EDATE($D73,Milestones!$AA$82)&lt;PolicyEff),1,Milestones!$AC$82)&amp;";  ","")&amp;IF(AND(EDATE($D73,Milestones!$AA$83)&lt;=AsOfDate,EDATE($D73,Milestones!$AA$83)&gt;=SchemeStart,IF($X73=0,$AD73,IF(AND($Z73&lt;&gt;"",EDATE($D73,Milestones!$AA$83)&gt;=$Z73),$AC73,IF(AND($Y73&lt;&gt;"",EDATE($D73,Milestones!$AA$83)&gt;=$Y73),$AB73,$AA73)))=Milestones!$AB$83),UPPER(TEXT(EDATE($D73,Milestones!$AA$83),"dd mmm yy"))&amp;" "&amp;Milestones!$AB$83&amp;" "&amp;IF(AND(Milestones!$AB$83="FT",Milestones!$AA$83=FT_Y5,EDATE($D73,Milestones!$AA$83)&lt;PolicyEff),1,Milestones!$AC$83)&amp;";  ","")&amp;IF(AND(EDATE($D73,Milestones!$AA$84)&lt;=AsOfDate,EDATE($D73,Milestones!$AA$84)&gt;=SchemeStart,IF($X73=0,$AD73,IF(AND($Z73&lt;&gt;"",EDATE($D73,Milestones!$AA$84)&gt;=$Z73),$AC73,IF(AND($Y73&lt;&gt;"",EDATE($D73,Milestones!$AA$84)&gt;=$Y73),$AB73,$AA73)))=Milestones!$AB$84),UPPER(TEXT(EDATE($D73,Milestones!$AA$84),"dd mmm yy"))&amp;" "&amp;Milestones!$AB$84&amp;" "&amp;IF(AND(Milestones!$AB$84="FT",Milestones!$AA$84=FT_Y5,EDATE($D73,Milestones!$AA$84)&lt;PolicyEff),1,Milestones!$AC$84)&amp;";  ","")&amp;IF(AND(EDATE($D73,Milestones!$AA$85)&lt;=AsOfDate,EDATE($D73,Milestones!$AA$85)&gt;=SchemeStart,IF($X73=0,$AD73,IF(AND($Z73&lt;&gt;"",EDATE($D73,Milestones!$AA$85)&gt;=$Z73),$AC73,IF(AND($Y73&lt;&gt;"",EDATE($D73,Milestones!$AA$85)&gt;=$Y73),$AB73,$AA73)))=Milestones!$AB$85),UPPER(TEXT(EDATE($D73,Milestones!$AA$85),"dd mmm yy"))&amp;" "&amp;Milestones!$AB$85&amp;" "&amp;IF(AND(Milestones!$AB$85="FT",Milestones!$AA$85=FT_Y5,EDATE($D73,Milestones!$AA$85)&lt;PolicyEff),1,Milestones!$AC$85)&amp;";  ","")&amp;IF(AND(EDATE($D73,Milestones!$AA$86)&lt;=AsOfDate,EDATE($D73,Milestones!$AA$86)&gt;=SchemeStart,IF($X73=0,$AD73,IF(AND($Z73&lt;&gt;"",EDATE($D73,Milestones!$AA$86)&gt;=$Z73),$AC73,IF(AND($Y73&lt;&gt;"",EDATE($D73,Milestones!$AA$86)&gt;=$Y73),$AB73,$AA73)))=Milestones!$AB$86),UPPER(TEXT(EDATE($D73,Milestones!$AA$86),"dd mmm yy"))&amp;" "&amp;Milestones!$AB$86&amp;" "&amp;IF(AND(Milestones!$AB$86="FT",Milestones!$AA$86=FT_Y5,EDATE($D73,Milestones!$AA$86)&lt;PolicyEff),1,Milestones!$AC$86)&amp;";  ","")&amp;IF(AND(EDATE($D73,Milestones!$AA$87)&lt;=AsOfDate,EDATE($D73,Milestones!$AA$87)&gt;=SchemeStart,IF($X73=0,$AD73,IF(AND($Z73&lt;&gt;"",EDATE($D73,Milestones!$AA$87)&gt;=$Z73),$AC73,IF(AND($Y73&lt;&gt;"",EDATE($D73,Milestones!$AA$87)&gt;=$Y73),$AB73,$AA73)))=Milestones!$AB$87),UPPER(TEXT(EDATE($D73,Milestones!$AA$87),"dd mmm yy"))&amp;" "&amp;Milestones!$AB$87&amp;" "&amp;IF(AND(Milestones!$AB$87="FT",Milestones!$AA$87=FT_Y5,EDATE($D73,Milestones!$AA$87)&lt;PolicyEff),1,Milestones!$AC$87)&amp;";  ","")&amp;IF(AND(EDATE($D73,Milestones!$AA$88)&lt;=AsOfDate,EDATE($D73,Milestones!$AA$88)&gt;=SchemeStart,IF($X73=0,$AD73,IF(AND($Z73&lt;&gt;"",EDATE($D73,Milestones!$AA$88)&gt;=$Z73),$AC73,IF(AND($Y73&lt;&gt;"",EDATE($D73,Milestones!$AA$88)&gt;=$Y73),$AB73,$AA73)))=Milestones!$AB$88),UPPER(TEXT(EDATE($D73,Milestones!$AA$88),"dd mmm yy"))&amp;" "&amp;Milestones!$AB$88&amp;" "&amp;IF(AND(Milestones!$AB$88="FT",Milestones!$AA$88=FT_Y5,EDATE($D73,Milestones!$AA$88)&lt;PolicyEff),1,Milestones!$AC$88)&amp;";  ","")&amp;IF(AND(EDATE($D73,Milestones!$AA$89)&lt;=AsOfDate,EDATE($D73,Milestones!$AA$89)&gt;=SchemeStart,IF($X73=0,$AD73,IF(AND($Z73&lt;&gt;"",EDATE($D73,Milestones!$AA$89)&gt;=$Z73),$AC73,IF(AND($Y73&lt;&gt;"",EDATE($D73,Milestones!$AA$89)&gt;=$Y73),$AB73,$AA73)))=Milestones!$AB$89),UPPER(TEXT(EDATE($D73,Milestones!$AA$89),"dd mmm yy"))&amp;" "&amp;Milestones!$AB$89&amp;" "&amp;IF(AND(Milestones!$AB$89="FT",Milestones!$AA$89=FT_Y5,EDATE($D73,Milestones!$AA$89)&lt;PolicyEff),1,Milestones!$AC$89)&amp;";  ","")&amp;IF(AND(EDATE($D73,Milestones!$AA$90)&lt;=AsOfDate,EDATE($D73,Milestones!$AA$90)&gt;=SchemeStart,IF($X73=0,$AD73,IF(AND($Z73&lt;&gt;"",EDATE($D73,Milestones!$AA$90)&gt;=$Z73),$AC73,IF(AND($Y73&lt;&gt;"",EDATE($D73,Milestones!$AA$90)&gt;=$Y73),$AB73,$AA73)))=Milestones!$AB$90),UPPER(TEXT(EDATE($D73,Milestones!$AA$90),"dd mmm yy"))&amp;" "&amp;Milestones!$AB$90&amp;" "&amp;IF(AND(Milestones!$AB$90="FT",Milestones!$AA$90=FT_Y5,EDATE($D73,Milestones!$AA$90)&lt;PolicyEff),1,Milestones!$AC$90)&amp;";  ","")&amp;IF(AND(EDATE($D73,Milestones!$AA$91)&lt;=AsOfDate,EDATE($D73,Milestones!$AA$91)&gt;=SchemeStart,IF($X73=0,$AD73,IF(AND($Z73&lt;&gt;"",EDATE($D73,Milestones!$AA$91)&gt;=$Z73),$AC73,IF(AND($Y73&lt;&gt;"",EDATE($D73,Milestones!$AA$91)&gt;=$Y73),$AB73,$AA73)))=Milestones!$AB$91),UPPER(TEXT(EDATE($D73,Milestones!$AA$91),"dd mmm yy"))&amp;" "&amp;Milestones!$AB$91&amp;" "&amp;IF(AND(Milestones!$AB$91="FT",Milestones!$AA$91=FT_Y5,EDATE($D73,Milestones!$AA$91)&lt;PolicyEff),1,Milestones!$AC$91)&amp;";  ",""))</f>
        <v/>
      </c>
      <c r="O73" s="0" t="str">
        <f aca="false">IF(OR($A73="",$D73=""),"",IF(AND(EDATE($D73,Milestones!$AA$92)&lt;=AsOfDate,EDATE($D73,Milestones!$AA$92)&gt;=SchemeStart,IF($X73=0,$AD73,IF(AND($Z73&lt;&gt;"",EDATE($D73,Milestones!$AA$92)&gt;=$Z73),$AC73,IF(AND($Y73&lt;&gt;"",EDATE($D73,Milestones!$AA$92)&gt;=$Y73),$AB73,$AA73)))=Milestones!$AB$92),UPPER(TEXT(EDATE($D73,Milestones!$AA$92),"dd mmm yy"))&amp;" "&amp;Milestones!$AB$92&amp;" "&amp;IF(AND(Milestones!$AB$92="FT",Milestones!$AA$92=FT_Y5,EDATE($D73,Milestones!$AA$92)&lt;PolicyEff),1,Milestones!$AC$92)&amp;";  ","")&amp;IF(AND(EDATE($D73,Milestones!$AA$93)&lt;=AsOfDate,EDATE($D73,Milestones!$AA$93)&gt;=SchemeStart,IF($X73=0,$AD73,IF(AND($Z73&lt;&gt;"",EDATE($D73,Milestones!$AA$93)&gt;=$Z73),$AC73,IF(AND($Y73&lt;&gt;"",EDATE($D73,Milestones!$AA$93)&gt;=$Y73),$AB73,$AA73)))=Milestones!$AB$93),UPPER(TEXT(EDATE($D73,Milestones!$AA$93),"dd mmm yy"))&amp;" "&amp;Milestones!$AB$93&amp;" "&amp;IF(AND(Milestones!$AB$93="FT",Milestones!$AA$93=FT_Y5,EDATE($D73,Milestones!$AA$93)&lt;PolicyEff),1,Milestones!$AC$93)&amp;";  ","")&amp;IF(AND(EDATE($D73,Milestones!$AA$94)&lt;=AsOfDate,EDATE($D73,Milestones!$AA$94)&gt;=SchemeStart,IF($X73=0,$AD73,IF(AND($Z73&lt;&gt;"",EDATE($D73,Milestones!$AA$94)&gt;=$Z73),$AC73,IF(AND($Y73&lt;&gt;"",EDATE($D73,Milestones!$AA$94)&gt;=$Y73),$AB73,$AA73)))=Milestones!$AB$94),UPPER(TEXT(EDATE($D73,Milestones!$AA$94),"dd mmm yy"))&amp;" "&amp;Milestones!$AB$94&amp;" "&amp;IF(AND(Milestones!$AB$94="FT",Milestones!$AA$94=FT_Y5,EDATE($D73,Milestones!$AA$94)&lt;PolicyEff),1,Milestones!$AC$94)&amp;";  ","")&amp;IF(AND(EDATE($D73,Milestones!$AA$95)&lt;=AsOfDate,EDATE($D73,Milestones!$AA$95)&gt;=SchemeStart,IF($X73=0,$AD73,IF(AND($Z73&lt;&gt;"",EDATE($D73,Milestones!$AA$95)&gt;=$Z73),$AC73,IF(AND($Y73&lt;&gt;"",EDATE($D73,Milestones!$AA$95)&gt;=$Y73),$AB73,$AA73)))=Milestones!$AB$95),UPPER(TEXT(EDATE($D73,Milestones!$AA$95),"dd mmm yy"))&amp;" "&amp;Milestones!$AB$95&amp;" "&amp;IF(AND(Milestones!$AB$95="FT",Milestones!$AA$95=FT_Y5,EDATE($D73,Milestones!$AA$95)&lt;PolicyEff),1,Milestones!$AC$95)&amp;";  ","")&amp;IF(AND(EDATE($D73,Milestones!$AA$96)&lt;=AsOfDate,EDATE($D73,Milestones!$AA$96)&gt;=SchemeStart,IF($X73=0,$AD73,IF(AND($Z73&lt;&gt;"",EDATE($D73,Milestones!$AA$96)&gt;=$Z73),$AC73,IF(AND($Y73&lt;&gt;"",EDATE($D73,Milestones!$AA$96)&gt;=$Y73),$AB73,$AA73)))=Milestones!$AB$96),UPPER(TEXT(EDATE($D73,Milestones!$AA$96),"dd mmm yy"))&amp;" "&amp;Milestones!$AB$96&amp;" "&amp;IF(AND(Milestones!$AB$96="FT",Milestones!$AA$96=FT_Y5,EDATE($D73,Milestones!$AA$96)&lt;PolicyEff),1,Milestones!$AC$96)&amp;";  ","")&amp;IF(AND(EDATE($D73,Milestones!$AA$97)&lt;=AsOfDate,EDATE($D73,Milestones!$AA$97)&gt;=SchemeStart,IF($X73=0,$AD73,IF(AND($Z73&lt;&gt;"",EDATE($D73,Milestones!$AA$97)&gt;=$Z73),$AC73,IF(AND($Y73&lt;&gt;"",EDATE($D73,Milestones!$AA$97)&gt;=$Y73),$AB73,$AA73)))=Milestones!$AB$97),UPPER(TEXT(EDATE($D73,Milestones!$AA$97),"dd mmm yy"))&amp;" "&amp;Milestones!$AB$97&amp;" "&amp;IF(AND(Milestones!$AB$97="FT",Milestones!$AA$97=FT_Y5,EDATE($D73,Milestones!$AA$97)&lt;PolicyEff),1,Milestones!$AC$97)&amp;";  ","")&amp;IF(AND(EDATE($D73,Milestones!$AA$98)&lt;=AsOfDate,EDATE($D73,Milestones!$AA$98)&gt;=SchemeStart,IF($X73=0,$AD73,IF(AND($Z73&lt;&gt;"",EDATE($D73,Milestones!$AA$98)&gt;=$Z73),$AC73,IF(AND($Y73&lt;&gt;"",EDATE($D73,Milestones!$AA$98)&gt;=$Y73),$AB73,$AA73)))=Milestones!$AB$98),UPPER(TEXT(EDATE($D73,Milestones!$AA$98),"dd mmm yy"))&amp;" "&amp;Milestones!$AB$98&amp;" "&amp;IF(AND(Milestones!$AB$98="FT",Milestones!$AA$98=FT_Y5,EDATE($D73,Milestones!$AA$98)&lt;PolicyEff),1,Milestones!$AC$98)&amp;";  ","")&amp;IF(AND(EDATE($D73,Milestones!$AA$99)&lt;=AsOfDate,EDATE($D73,Milestones!$AA$99)&gt;=SchemeStart,IF($X73=0,$AD73,IF(AND($Z73&lt;&gt;"",EDATE($D73,Milestones!$AA$99)&gt;=$Z73),$AC73,IF(AND($Y73&lt;&gt;"",EDATE($D73,Milestones!$AA$99)&gt;=$Y73),$AB73,$AA73)))=Milestones!$AB$99),UPPER(TEXT(EDATE($D73,Milestones!$AA$99),"dd mmm yy"))&amp;" "&amp;Milestones!$AB$99&amp;" "&amp;IF(AND(Milestones!$AB$99="FT",Milestones!$AA$99=FT_Y5,EDATE($D73,Milestones!$AA$99)&lt;PolicyEff),1,Milestones!$AC$99)&amp;";  ","")&amp;IF(AND(EDATE($D73,Milestones!$AA$100)&lt;=AsOfDate,EDATE($D73,Milestones!$AA$100)&gt;=SchemeStart,IF($X73=0,$AD73,IF(AND($Z73&lt;&gt;"",EDATE($D73,Milestones!$AA$100)&gt;=$Z73),$AC73,IF(AND($Y73&lt;&gt;"",EDATE($D73,Milestones!$AA$100)&gt;=$Y73),$AB73,$AA73)))=Milestones!$AB$100),UPPER(TEXT(EDATE($D73,Milestones!$AA$100),"dd mmm yy"))&amp;" "&amp;Milestones!$AB$100&amp;" "&amp;IF(AND(Milestones!$AB$100="FT",Milestones!$AA$100=FT_Y5,EDATE($D73,Milestones!$AA$100)&lt;PolicyEff),1,Milestones!$AC$100)&amp;";  ","")&amp;IF(AND(EDATE($D73,Milestones!$AA$101)&lt;=AsOfDate,EDATE($D73,Milestones!$AA$101)&gt;=SchemeStart,IF($X73=0,$AD73,IF(AND($Z73&lt;&gt;"",EDATE($D73,Milestones!$AA$101)&gt;=$Z73),$AC73,IF(AND($Y73&lt;&gt;"",EDATE($D73,Milestones!$AA$101)&gt;=$Y73),$AB73,$AA73)))=Milestones!$AB$101),UPPER(TEXT(EDATE($D73,Milestones!$AA$101),"dd mmm yy"))&amp;" "&amp;Milestones!$AB$101&amp;" "&amp;IF(AND(Milestones!$AB$101="FT",Milestones!$AA$101=FT_Y5,EDATE($D73,Milestones!$AA$101)&lt;PolicyEff),1,Milestones!$AC$101)&amp;";  ","")&amp;IF(AND(EDATE($D73,Milestones!$AA$102)&lt;=AsOfDate,EDATE($D73,Milestones!$AA$102)&gt;=SchemeStart,IF($X73=0,$AD73,IF(AND($Z73&lt;&gt;"",EDATE($D73,Milestones!$AA$102)&gt;=$Z73),$AC73,IF(AND($Y73&lt;&gt;"",EDATE($D73,Milestones!$AA$102)&gt;=$Y73),$AB73,$AA73)))=Milestones!$AB$102),UPPER(TEXT(EDATE($D73,Milestones!$AA$102),"dd mmm yy"))&amp;" "&amp;Milestones!$AB$102&amp;" "&amp;IF(AND(Milestones!$AB$102="FT",Milestones!$AA$102=FT_Y5,EDATE($D73,Milestones!$AA$102)&lt;PolicyEff),1,Milestones!$AC$102)&amp;";  ","")&amp;IF(AND(EDATE($D73,Milestones!$AA$103)&lt;=AsOfDate,EDATE($D73,Milestones!$AA$103)&gt;=SchemeStart,IF($X73=0,$AD73,IF(AND($Z73&lt;&gt;"",EDATE($D73,Milestones!$AA$103)&gt;=$Z73),$AC73,IF(AND($Y73&lt;&gt;"",EDATE($D73,Milestones!$AA$103)&gt;=$Y73),$AB73,$AA73)))=Milestones!$AB$103),UPPER(TEXT(EDATE($D73,Milestones!$AA$103),"dd mmm yy"))&amp;" "&amp;Milestones!$AB$103&amp;" "&amp;IF(AND(Milestones!$AB$103="FT",Milestones!$AA$103=FT_Y5,EDATE($D73,Milestones!$AA$103)&lt;PolicyEff),1,Milestones!$AC$103)&amp;";  ",""))</f>
        <v/>
      </c>
      <c r="P73" s="0" t="str">
        <f aca="false">IF(OR($A73="",$D73=""),"",IF(AND(EDATE($D73,Milestones!$AA$104)&lt;=AsOfDate,EDATE($D73,Milestones!$AA$104)&gt;=SchemeStart,IF($X73=0,$AD73,IF(AND($Z73&lt;&gt;"",EDATE($D73,Milestones!$AA$104)&gt;=$Z73),$AC73,IF(AND($Y73&lt;&gt;"",EDATE($D73,Milestones!$AA$104)&gt;=$Y73),$AB73,$AA73)))=Milestones!$AB$104),UPPER(TEXT(EDATE($D73,Milestones!$AA$104),"dd mmm yy"))&amp;" "&amp;Milestones!$AB$104&amp;" "&amp;IF(AND(Milestones!$AB$104="FT",Milestones!$AA$104=FT_Y5,EDATE($D73,Milestones!$AA$104)&lt;PolicyEff),1,Milestones!$AC$104)&amp;";  ","")&amp;IF(AND(EDATE($D73,Milestones!$AA$105)&lt;=AsOfDate,EDATE($D73,Milestones!$AA$105)&gt;=SchemeStart,IF($X73=0,$AD73,IF(AND($Z73&lt;&gt;"",EDATE($D73,Milestones!$AA$105)&gt;=$Z73),$AC73,IF(AND($Y73&lt;&gt;"",EDATE($D73,Milestones!$AA$105)&gt;=$Y73),$AB73,$AA73)))=Milestones!$AB$105),UPPER(TEXT(EDATE($D73,Milestones!$AA$105),"dd mmm yy"))&amp;" "&amp;Milestones!$AB$105&amp;" "&amp;IF(AND(Milestones!$AB$105="FT",Milestones!$AA$105=FT_Y5,EDATE($D73,Milestones!$AA$105)&lt;PolicyEff),1,Milestones!$AC$105)&amp;";  ","")&amp;IF(AND(EDATE($D73,Milestones!$AA$106)&lt;=AsOfDate,EDATE($D73,Milestones!$AA$106)&gt;=SchemeStart,IF($X73=0,$AD73,IF(AND($Z73&lt;&gt;"",EDATE($D73,Milestones!$AA$106)&gt;=$Z73),$AC73,IF(AND($Y73&lt;&gt;"",EDATE($D73,Milestones!$AA$106)&gt;=$Y73),$AB73,$AA73)))=Milestones!$AB$106),UPPER(TEXT(EDATE($D73,Milestones!$AA$106),"dd mmm yy"))&amp;" "&amp;Milestones!$AB$106&amp;" "&amp;IF(AND(Milestones!$AB$106="FT",Milestones!$AA$106=FT_Y5,EDATE($D73,Milestones!$AA$106)&lt;PolicyEff),1,Milestones!$AC$106)&amp;";  ","")&amp;IF(AND(EDATE($D73,Milestones!$AA$107)&lt;=AsOfDate,EDATE($D73,Milestones!$AA$107)&gt;=SchemeStart,IF($X73=0,$AD73,IF(AND($Z73&lt;&gt;"",EDATE($D73,Milestones!$AA$107)&gt;=$Z73),$AC73,IF(AND($Y73&lt;&gt;"",EDATE($D73,Milestones!$AA$107)&gt;=$Y73),$AB73,$AA73)))=Milestones!$AB$107),UPPER(TEXT(EDATE($D73,Milestones!$AA$107),"dd mmm yy"))&amp;" "&amp;Milestones!$AB$107&amp;" "&amp;IF(AND(Milestones!$AB$107="FT",Milestones!$AA$107=FT_Y5,EDATE($D73,Milestones!$AA$107)&lt;PolicyEff),1,Milestones!$AC$107)&amp;";  ","")&amp;IF(AND(EDATE($D73,Milestones!$AA$108)&lt;=AsOfDate,EDATE($D73,Milestones!$AA$108)&gt;=SchemeStart,IF($X73=0,$AD73,IF(AND($Z73&lt;&gt;"",EDATE($D73,Milestones!$AA$108)&gt;=$Z73),$AC73,IF(AND($Y73&lt;&gt;"",EDATE($D73,Milestones!$AA$108)&gt;=$Y73),$AB73,$AA73)))=Milestones!$AB$108),UPPER(TEXT(EDATE($D73,Milestones!$AA$108),"dd mmm yy"))&amp;" "&amp;Milestones!$AB$108&amp;" "&amp;IF(AND(Milestones!$AB$108="FT",Milestones!$AA$108=FT_Y5,EDATE($D73,Milestones!$AA$108)&lt;PolicyEff),1,Milestones!$AC$108)&amp;";  ","")&amp;IF(AND(EDATE($D73,Milestones!$AA$109)&lt;=AsOfDate,EDATE($D73,Milestones!$AA$109)&gt;=SchemeStart,IF($X73=0,$AD73,IF(AND($Z73&lt;&gt;"",EDATE($D73,Milestones!$AA$109)&gt;=$Z73),$AC73,IF(AND($Y73&lt;&gt;"",EDATE($D73,Milestones!$AA$109)&gt;=$Y73),$AB73,$AA73)))=Milestones!$AB$109),UPPER(TEXT(EDATE($D73,Milestones!$AA$109),"dd mmm yy"))&amp;" "&amp;Milestones!$AB$109&amp;" "&amp;IF(AND(Milestones!$AB$109="FT",Milestones!$AA$109=FT_Y5,EDATE($D73,Milestones!$AA$109)&lt;PolicyEff),1,Milestones!$AC$109)&amp;";  ","")&amp;IF(AND(EDATE($D73,Milestones!$AA$110)&lt;=AsOfDate,EDATE($D73,Milestones!$AA$110)&gt;=SchemeStart,IF($X73=0,$AD73,IF(AND($Z73&lt;&gt;"",EDATE($D73,Milestones!$AA$110)&gt;=$Z73),$AC73,IF(AND($Y73&lt;&gt;"",EDATE($D73,Milestones!$AA$110)&gt;=$Y73),$AB73,$AA73)))=Milestones!$AB$110),UPPER(TEXT(EDATE($D73,Milestones!$AA$110),"dd mmm yy"))&amp;" "&amp;Milestones!$AB$110&amp;" "&amp;IF(AND(Milestones!$AB$110="FT",Milestones!$AA$110=FT_Y5,EDATE($D73,Milestones!$AA$110)&lt;PolicyEff),1,Milestones!$AC$110)&amp;";  ","")&amp;IF(AND(EDATE($D73,Milestones!$AA$111)&lt;=AsOfDate,EDATE($D73,Milestones!$AA$111)&gt;=SchemeStart,IF($X73=0,$AD73,IF(AND($Z73&lt;&gt;"",EDATE($D73,Milestones!$AA$111)&gt;=$Z73),$AC73,IF(AND($Y73&lt;&gt;"",EDATE($D73,Milestones!$AA$111)&gt;=$Y73),$AB73,$AA73)))=Milestones!$AB$111),UPPER(TEXT(EDATE($D73,Milestones!$AA$111),"dd mmm yy"))&amp;" "&amp;Milestones!$AB$111&amp;" "&amp;IF(AND(Milestones!$AB$111="FT",Milestones!$AA$111=FT_Y5,EDATE($D73,Milestones!$AA$111)&lt;PolicyEff),1,Milestones!$AC$111)&amp;";  ","")&amp;IF(AND(EDATE($D73,Milestones!$AA$112)&lt;=AsOfDate,EDATE($D73,Milestones!$AA$112)&gt;=SchemeStart,IF($X73=0,$AD73,IF(AND($Z73&lt;&gt;"",EDATE($D73,Milestones!$AA$112)&gt;=$Z73),$AC73,IF(AND($Y73&lt;&gt;"",EDATE($D73,Milestones!$AA$112)&gt;=$Y73),$AB73,$AA73)))=Milestones!$AB$112),UPPER(TEXT(EDATE($D73,Milestones!$AA$112),"dd mmm yy"))&amp;" "&amp;Milestones!$AB$112&amp;" "&amp;IF(AND(Milestones!$AB$112="FT",Milestones!$AA$112=FT_Y5,EDATE($D73,Milestones!$AA$112)&lt;PolicyEff),1,Milestones!$AC$112)&amp;";  ","")&amp;IF(AND(EDATE($D73,Milestones!$AA$113)&lt;=AsOfDate,EDATE($D73,Milestones!$AA$113)&gt;=SchemeStart,IF($X73=0,$AD73,IF(AND($Z73&lt;&gt;"",EDATE($D73,Milestones!$AA$113)&gt;=$Z73),$AC73,IF(AND($Y73&lt;&gt;"",EDATE($D73,Milestones!$AA$113)&gt;=$Y73),$AB73,$AA73)))=Milestones!$AB$113),UPPER(TEXT(EDATE($D73,Milestones!$AA$113),"dd mmm yy"))&amp;" "&amp;Milestones!$AB$113&amp;" "&amp;IF(AND(Milestones!$AB$113="FT",Milestones!$AA$113=FT_Y5,EDATE($D73,Milestones!$AA$113)&lt;PolicyEff),1,Milestones!$AC$113)&amp;";  ","")&amp;IF(AND(EDATE($D73,Milestones!$AA$114)&lt;=AsOfDate,EDATE($D73,Milestones!$AA$114)&gt;=SchemeStart,IF($X73=0,$AD73,IF(AND($Z73&lt;&gt;"",EDATE($D73,Milestones!$AA$114)&gt;=$Z73),$AC73,IF(AND($Y73&lt;&gt;"",EDATE($D73,Milestones!$AA$114)&gt;=$Y73),$AB73,$AA73)))=Milestones!$AB$114),UPPER(TEXT(EDATE($D73,Milestones!$AA$114),"dd mmm yy"))&amp;" "&amp;Milestones!$AB$114&amp;" "&amp;IF(AND(Milestones!$AB$114="FT",Milestones!$AA$114=FT_Y5,EDATE($D73,Milestones!$AA$114)&lt;PolicyEff),1,Milestones!$AC$114)&amp;";  ","")&amp;IF(AND(EDATE($D73,Milestones!$AA$115)&lt;=AsOfDate,EDATE($D73,Milestones!$AA$115)&gt;=SchemeStart,IF($X73=0,$AD73,IF(AND($Z73&lt;&gt;"",EDATE($D73,Milestones!$AA$115)&gt;=$Z73),$AC73,IF(AND($Y73&lt;&gt;"",EDATE($D73,Milestones!$AA$115)&gt;=$Y73),$AB73,$AA73)))=Milestones!$AB$115),UPPER(TEXT(EDATE($D73,Milestones!$AA$115),"dd mmm yy"))&amp;" "&amp;Milestones!$AB$115&amp;" "&amp;IF(AND(Milestones!$AB$115="FT",Milestones!$AA$115=FT_Y5,EDATE($D73,Milestones!$AA$115)&lt;PolicyEff),1,Milestones!$AC$115)&amp;";  ",""))</f>
        <v/>
      </c>
      <c r="Q73" s="0" t="str">
        <f aca="false">IF(OR($A73="",$D73=""),"",IF(AND(EDATE($D73,Milestones!$AA$116)&lt;=AsOfDate,EDATE($D73,Milestones!$AA$116)&gt;=SchemeStart,IF($X73=0,$AD73,IF(AND($Z73&lt;&gt;"",EDATE($D73,Milestones!$AA$116)&gt;=$Z73),$AC73,IF(AND($Y73&lt;&gt;"",EDATE($D73,Milestones!$AA$116)&gt;=$Y73),$AB73,$AA73)))=Milestones!$AB$116),UPPER(TEXT(EDATE($D73,Milestones!$AA$116),"dd mmm yy"))&amp;" "&amp;Milestones!$AB$116&amp;" "&amp;IF(AND(Milestones!$AB$116="FT",Milestones!$AA$116=FT_Y5,EDATE($D73,Milestones!$AA$116)&lt;PolicyEff),1,Milestones!$AC$116)&amp;";  ","")&amp;IF(AND(EDATE($D73,Milestones!$AA$117)&lt;=AsOfDate,EDATE($D73,Milestones!$AA$117)&gt;=SchemeStart,IF($X73=0,$AD73,IF(AND($Z73&lt;&gt;"",EDATE($D73,Milestones!$AA$117)&gt;=$Z73),$AC73,IF(AND($Y73&lt;&gt;"",EDATE($D73,Milestones!$AA$117)&gt;=$Y73),$AB73,$AA73)))=Milestones!$AB$117),UPPER(TEXT(EDATE($D73,Milestones!$AA$117),"dd mmm yy"))&amp;" "&amp;Milestones!$AB$117&amp;" "&amp;IF(AND(Milestones!$AB$117="FT",Milestones!$AA$117=FT_Y5,EDATE($D73,Milestones!$AA$117)&lt;PolicyEff),1,Milestones!$AC$117)&amp;";  ","")&amp;IF(AND(EDATE($D73,Milestones!$AA$118)&lt;=AsOfDate,EDATE($D73,Milestones!$AA$118)&gt;=SchemeStart,IF($X73=0,$AD73,IF(AND($Z73&lt;&gt;"",EDATE($D73,Milestones!$AA$118)&gt;=$Z73),$AC73,IF(AND($Y73&lt;&gt;"",EDATE($D73,Milestones!$AA$118)&gt;=$Y73),$AB73,$AA73)))=Milestones!$AB$118),UPPER(TEXT(EDATE($D73,Milestones!$AA$118),"dd mmm yy"))&amp;" "&amp;Milestones!$AB$118&amp;" "&amp;IF(AND(Milestones!$AB$118="FT",Milestones!$AA$118=FT_Y5,EDATE($D73,Milestones!$AA$118)&lt;PolicyEff),1,Milestones!$AC$118)&amp;";  ","")&amp;IF(AND(EDATE($D73,Milestones!$AA$119)&lt;=AsOfDate,EDATE($D73,Milestones!$AA$119)&gt;=SchemeStart,IF($X73=0,$AD73,IF(AND($Z73&lt;&gt;"",EDATE($D73,Milestones!$AA$119)&gt;=$Z73),$AC73,IF(AND($Y73&lt;&gt;"",EDATE($D73,Milestones!$AA$119)&gt;=$Y73),$AB73,$AA73)))=Milestones!$AB$119),UPPER(TEXT(EDATE($D73,Milestones!$AA$119),"dd mmm yy"))&amp;" "&amp;Milestones!$AB$119&amp;" "&amp;IF(AND(Milestones!$AB$119="FT",Milestones!$AA$119=FT_Y5,EDATE($D73,Milestones!$AA$119)&lt;PolicyEff),1,Milestones!$AC$119)&amp;";  ","")&amp;IF(AND(EDATE($D73,Milestones!$AA$120)&lt;=AsOfDate,EDATE($D73,Milestones!$AA$120)&gt;=SchemeStart,IF($X73=0,$AD73,IF(AND($Z73&lt;&gt;"",EDATE($D73,Milestones!$AA$120)&gt;=$Z73),$AC73,IF(AND($Y73&lt;&gt;"",EDATE($D73,Milestones!$AA$120)&gt;=$Y73),$AB73,$AA73)))=Milestones!$AB$120),UPPER(TEXT(EDATE($D73,Milestones!$AA$120),"dd mmm yy"))&amp;" "&amp;Milestones!$AB$120&amp;" "&amp;IF(AND(Milestones!$AB$120="FT",Milestones!$AA$120=FT_Y5,EDATE($D73,Milestones!$AA$120)&lt;PolicyEff),1,Milestones!$AC$120)&amp;";  ","")&amp;IF(AND(EDATE($D73,Milestones!$AA$121)&lt;=AsOfDate,EDATE($D73,Milestones!$AA$121)&gt;=SchemeStart,IF($X73=0,$AD73,IF(AND($Z73&lt;&gt;"",EDATE($D73,Milestones!$AA$121)&gt;=$Z73),$AC73,IF(AND($Y73&lt;&gt;"",EDATE($D73,Milestones!$AA$121)&gt;=$Y73),$AB73,$AA73)))=Milestones!$AB$121),UPPER(TEXT(EDATE($D73,Milestones!$AA$121),"dd mmm yy"))&amp;" "&amp;Milestones!$AB$121&amp;" "&amp;IF(AND(Milestones!$AB$121="FT",Milestones!$AA$121=FT_Y5,EDATE($D73,Milestones!$AA$121)&lt;PolicyEff),1,Milestones!$AC$121)&amp;";  ","")&amp;IF(AND(EDATE($D73,Milestones!$AA$122)&lt;=AsOfDate,EDATE($D73,Milestones!$AA$122)&gt;=SchemeStart,IF($X73=0,$AD73,IF(AND($Z73&lt;&gt;"",EDATE($D73,Milestones!$AA$122)&gt;=$Z73),$AC73,IF(AND($Y73&lt;&gt;"",EDATE($D73,Milestones!$AA$122)&gt;=$Y73),$AB73,$AA73)))=Milestones!$AB$122),UPPER(TEXT(EDATE($D73,Milestones!$AA$122),"dd mmm yy"))&amp;" "&amp;Milestones!$AB$122&amp;" "&amp;IF(AND(Milestones!$AB$122="FT",Milestones!$AA$122=FT_Y5,EDATE($D73,Milestones!$AA$122)&lt;PolicyEff),1,Milestones!$AC$122)&amp;";  ","")&amp;IF(AND(EDATE($D73,Milestones!$AA$123)&lt;=AsOfDate,EDATE($D73,Milestones!$AA$123)&gt;=SchemeStart,IF($X73=0,$AD73,IF(AND($Z73&lt;&gt;"",EDATE($D73,Milestones!$AA$123)&gt;=$Z73),$AC73,IF(AND($Y73&lt;&gt;"",EDATE($D73,Milestones!$AA$123)&gt;=$Y73),$AB73,$AA73)))=Milestones!$AB$123),UPPER(TEXT(EDATE($D73,Milestones!$AA$123),"dd mmm yy"))&amp;" "&amp;Milestones!$AB$123&amp;" "&amp;IF(AND(Milestones!$AB$123="FT",Milestones!$AA$123=FT_Y5,EDATE($D73,Milestones!$AA$123)&lt;PolicyEff),1,Milestones!$AC$123)&amp;";  ","")&amp;IF(AND(EDATE($D73,Milestones!$AA$124)&lt;=AsOfDate,EDATE($D73,Milestones!$AA$124)&gt;=SchemeStart,IF($X73=0,$AD73,IF(AND($Z73&lt;&gt;"",EDATE($D73,Milestones!$AA$124)&gt;=$Z73),$AC73,IF(AND($Y73&lt;&gt;"",EDATE($D73,Milestones!$AA$124)&gt;=$Y73),$AB73,$AA73)))=Milestones!$AB$124),UPPER(TEXT(EDATE($D73,Milestones!$AA$124),"dd mmm yy"))&amp;" "&amp;Milestones!$AB$124&amp;" "&amp;IF(AND(Milestones!$AB$124="FT",Milestones!$AA$124=FT_Y5,EDATE($D73,Milestones!$AA$124)&lt;PolicyEff),1,Milestones!$AC$124)&amp;";  ","")&amp;IF(AND(EDATE($D73,Milestones!$AA$125)&lt;=AsOfDate,EDATE($D73,Milestones!$AA$125)&gt;=SchemeStart,IF($X73=0,$AD73,IF(AND($Z73&lt;&gt;"",EDATE($D73,Milestones!$AA$125)&gt;=$Z73),$AC73,IF(AND($Y73&lt;&gt;"",EDATE($D73,Milestones!$AA$125)&gt;=$Y73),$AB73,$AA73)))=Milestones!$AB$125),UPPER(TEXT(EDATE($D73,Milestones!$AA$125),"dd mmm yy"))&amp;" "&amp;Milestones!$AB$125&amp;" "&amp;IF(AND(Milestones!$AB$125="FT",Milestones!$AA$125=FT_Y5,EDATE($D73,Milestones!$AA$125)&lt;PolicyEff),1,Milestones!$AC$125)&amp;";  ","")&amp;IF(AND(EDATE($D73,Milestones!$AA$126)&lt;=AsOfDate,EDATE($D73,Milestones!$AA$126)&gt;=SchemeStart,IF($X73=0,$AD73,IF(AND($Z73&lt;&gt;"",EDATE($D73,Milestones!$AA$126)&gt;=$Z73),$AC73,IF(AND($Y73&lt;&gt;"",EDATE($D73,Milestones!$AA$126)&gt;=$Y73),$AB73,$AA73)))=Milestones!$AB$126),UPPER(TEXT(EDATE($D73,Milestones!$AA$126),"dd mmm yy"))&amp;" "&amp;Milestones!$AB$126&amp;" "&amp;IF(AND(Milestones!$AB$126="FT",Milestones!$AA$126=FT_Y5,EDATE($D73,Milestones!$AA$126)&lt;PolicyEff),1,Milestones!$AC$126)&amp;";  ","")&amp;IF(AND(EDATE($D73,Milestones!$AA$127)&lt;=AsOfDate,EDATE($D73,Milestones!$AA$127)&gt;=SchemeStart,IF($X73=0,$AD73,IF(AND($Z73&lt;&gt;"",EDATE($D73,Milestones!$AA$127)&gt;=$Z73),$AC73,IF(AND($Y73&lt;&gt;"",EDATE($D73,Milestones!$AA$127)&gt;=$Y73),$AB73,$AA73)))=Milestones!$AB$127),UPPER(TEXT(EDATE($D73,Milestones!$AA$127),"dd mmm yy"))&amp;" "&amp;Milestones!$AB$127&amp;" "&amp;IF(AND(Milestones!$AB$127="FT",Milestones!$AA$127=FT_Y5,EDATE($D73,Milestones!$AA$127)&lt;PolicyEff),1,Milestones!$AC$127)&amp;";  ",""))</f>
        <v/>
      </c>
      <c r="R73" s="0" t="str">
        <f aca="false">IF(OR($A73="",$D73=""),"",IF(AND(EDATE($D73,Milestones!$AA$128)&lt;=AsOfDate,EDATE($D73,Milestones!$AA$128)&gt;=SchemeStart,IF($X73=0,$AD73,IF(AND($Z73&lt;&gt;"",EDATE($D73,Milestones!$AA$128)&gt;=$Z73),$AC73,IF(AND($Y73&lt;&gt;"",EDATE($D73,Milestones!$AA$128)&gt;=$Y73),$AB73,$AA73)))=Milestones!$AB$128),UPPER(TEXT(EDATE($D73,Milestones!$AA$128),"dd mmm yy"))&amp;" "&amp;Milestones!$AB$128&amp;" "&amp;IF(AND(Milestones!$AB$128="FT",Milestones!$AA$128=FT_Y5,EDATE($D73,Milestones!$AA$128)&lt;PolicyEff),1,Milestones!$AC$128)&amp;";  ","")&amp;IF(AND(EDATE($D73,Milestones!$AA$129)&lt;=AsOfDate,EDATE($D73,Milestones!$AA$129)&gt;=SchemeStart,IF($X73=0,$AD73,IF(AND($Z73&lt;&gt;"",EDATE($D73,Milestones!$AA$129)&gt;=$Z73),$AC73,IF(AND($Y73&lt;&gt;"",EDATE($D73,Milestones!$AA$129)&gt;=$Y73),$AB73,$AA73)))=Milestones!$AB$129),UPPER(TEXT(EDATE($D73,Milestones!$AA$129),"dd mmm yy"))&amp;" "&amp;Milestones!$AB$129&amp;" "&amp;IF(AND(Milestones!$AB$129="FT",Milestones!$AA$129=FT_Y5,EDATE($D73,Milestones!$AA$129)&lt;PolicyEff),1,Milestones!$AC$129)&amp;";  ","")&amp;IF(AND(EDATE($D73,Milestones!$AA$130)&lt;=AsOfDate,EDATE($D73,Milestones!$AA$130)&gt;=SchemeStart,IF($X73=0,$AD73,IF(AND($Z73&lt;&gt;"",EDATE($D73,Milestones!$AA$130)&gt;=$Z73),$AC73,IF(AND($Y73&lt;&gt;"",EDATE($D73,Milestones!$AA$130)&gt;=$Y73),$AB73,$AA73)))=Milestones!$AB$130),UPPER(TEXT(EDATE($D73,Milestones!$AA$130),"dd mmm yy"))&amp;" "&amp;Milestones!$AB$130&amp;" "&amp;IF(AND(Milestones!$AB$130="FT",Milestones!$AA$130=FT_Y5,EDATE($D73,Milestones!$AA$130)&lt;PolicyEff),1,Milestones!$AC$130)&amp;";  ","")&amp;IF(AND(EDATE($D73,Milestones!$AA$131)&lt;=AsOfDate,EDATE($D73,Milestones!$AA$131)&gt;=SchemeStart,IF($X73=0,$AD73,IF(AND($Z73&lt;&gt;"",EDATE($D73,Milestones!$AA$131)&gt;=$Z73),$AC73,IF(AND($Y73&lt;&gt;"",EDATE($D73,Milestones!$AA$131)&gt;=$Y73),$AB73,$AA73)))=Milestones!$AB$131),UPPER(TEXT(EDATE($D73,Milestones!$AA$131),"dd mmm yy"))&amp;" "&amp;Milestones!$AB$131&amp;" "&amp;IF(AND(Milestones!$AB$131="FT",Milestones!$AA$131=FT_Y5,EDATE($D73,Milestones!$AA$131)&lt;PolicyEff),1,Milestones!$AC$131)&amp;";  ","")&amp;IF(AND(EDATE($D73,Milestones!$AA$132)&lt;=AsOfDate,EDATE($D73,Milestones!$AA$132)&gt;=SchemeStart,IF($X73=0,$AD73,IF(AND($Z73&lt;&gt;"",EDATE($D73,Milestones!$AA$132)&gt;=$Z73),$AC73,IF(AND($Y73&lt;&gt;"",EDATE($D73,Milestones!$AA$132)&gt;=$Y73),$AB73,$AA73)))=Milestones!$AB$132),UPPER(TEXT(EDATE($D73,Milestones!$AA$132),"dd mmm yy"))&amp;" "&amp;Milestones!$AB$132&amp;" "&amp;IF(AND(Milestones!$AB$132="FT",Milestones!$AA$132=FT_Y5,EDATE($D73,Milestones!$AA$132)&lt;PolicyEff),1,Milestones!$AC$132)&amp;";  ","")&amp;IF(AND(EDATE($D73,Milestones!$AA$133)&lt;=AsOfDate,EDATE($D73,Milestones!$AA$133)&gt;=SchemeStart,IF($X73=0,$AD73,IF(AND($Z73&lt;&gt;"",EDATE($D73,Milestones!$AA$133)&gt;=$Z73),$AC73,IF(AND($Y73&lt;&gt;"",EDATE($D73,Milestones!$AA$133)&gt;=$Y73),$AB73,$AA73)))=Milestones!$AB$133),UPPER(TEXT(EDATE($D73,Milestones!$AA$133),"dd mmm yy"))&amp;" "&amp;Milestones!$AB$133&amp;" "&amp;IF(AND(Milestones!$AB$133="FT",Milestones!$AA$133=FT_Y5,EDATE($D73,Milestones!$AA$133)&lt;PolicyEff),1,Milestones!$AC$133)&amp;";  ","")&amp;IF(AND(EDATE($D73,Milestones!$AA$134)&lt;=AsOfDate,EDATE($D73,Milestones!$AA$134)&gt;=SchemeStart,IF($X73=0,$AD73,IF(AND($Z73&lt;&gt;"",EDATE($D73,Milestones!$AA$134)&gt;=$Z73),$AC73,IF(AND($Y73&lt;&gt;"",EDATE($D73,Milestones!$AA$134)&gt;=$Y73),$AB73,$AA73)))=Milestones!$AB$134),UPPER(TEXT(EDATE($D73,Milestones!$AA$134),"dd mmm yy"))&amp;" "&amp;Milestones!$AB$134&amp;" "&amp;IF(AND(Milestones!$AB$134="FT",Milestones!$AA$134=FT_Y5,EDATE($D73,Milestones!$AA$134)&lt;PolicyEff),1,Milestones!$AC$134)&amp;";  ","")&amp;IF(AND(EDATE($D73,Milestones!$AA$135)&lt;=AsOfDate,EDATE($D73,Milestones!$AA$135)&gt;=SchemeStart,IF($X73=0,$AD73,IF(AND($Z73&lt;&gt;"",EDATE($D73,Milestones!$AA$135)&gt;=$Z73),$AC73,IF(AND($Y73&lt;&gt;"",EDATE($D73,Milestones!$AA$135)&gt;=$Y73),$AB73,$AA73)))=Milestones!$AB$135),UPPER(TEXT(EDATE($D73,Milestones!$AA$135),"dd mmm yy"))&amp;" "&amp;Milestones!$AB$135&amp;" "&amp;IF(AND(Milestones!$AB$135="FT",Milestones!$AA$135=FT_Y5,EDATE($D73,Milestones!$AA$135)&lt;PolicyEff),1,Milestones!$AC$135)&amp;";  ","")&amp;IF(AND(EDATE($D73,Milestones!$AA$136)&lt;=AsOfDate,EDATE($D73,Milestones!$AA$136)&gt;=SchemeStart,IF($X73=0,$AD73,IF(AND($Z73&lt;&gt;"",EDATE($D73,Milestones!$AA$136)&gt;=$Z73),$AC73,IF(AND($Y73&lt;&gt;"",EDATE($D73,Milestones!$AA$136)&gt;=$Y73),$AB73,$AA73)))=Milestones!$AB$136),UPPER(TEXT(EDATE($D73,Milestones!$AA$136),"dd mmm yy"))&amp;" "&amp;Milestones!$AB$136&amp;" "&amp;IF(AND(Milestones!$AB$136="FT",Milestones!$AA$136=FT_Y5,EDATE($D73,Milestones!$AA$136)&lt;PolicyEff),1,Milestones!$AC$136)&amp;";  ","")&amp;IF(AND(EDATE($D73,Milestones!$AA$137)&lt;=AsOfDate,EDATE($D73,Milestones!$AA$137)&gt;=SchemeStart,IF($X73=0,$AD73,IF(AND($Z73&lt;&gt;"",EDATE($D73,Milestones!$AA$137)&gt;=$Z73),$AC73,IF(AND($Y73&lt;&gt;"",EDATE($D73,Milestones!$AA$137)&gt;=$Y73),$AB73,$AA73)))=Milestones!$AB$137),UPPER(TEXT(EDATE($D73,Milestones!$AA$137),"dd mmm yy"))&amp;" "&amp;Milestones!$AB$137&amp;" "&amp;IF(AND(Milestones!$AB$137="FT",Milestones!$AA$137=FT_Y5,EDATE($D73,Milestones!$AA$137)&lt;PolicyEff),1,Milestones!$AC$137)&amp;";  ","")&amp;IF(AND(EDATE($D73,Milestones!$AA$138)&lt;=AsOfDate,EDATE($D73,Milestones!$AA$138)&gt;=SchemeStart,IF($X73=0,$AD73,IF(AND($Z73&lt;&gt;"",EDATE($D73,Milestones!$AA$138)&gt;=$Z73),$AC73,IF(AND($Y73&lt;&gt;"",EDATE($D73,Milestones!$AA$138)&gt;=$Y73),$AB73,$AA73)))=Milestones!$AB$138),UPPER(TEXT(EDATE($D73,Milestones!$AA$138),"dd mmm yy"))&amp;" "&amp;Milestones!$AB$138&amp;" "&amp;IF(AND(Milestones!$AB$138="FT",Milestones!$AA$138=FT_Y5,EDATE($D73,Milestones!$AA$138)&lt;PolicyEff),1,Milestones!$AC$138)&amp;";  ","")&amp;IF(AND(EDATE($D73,Milestones!$AA$139)&lt;=AsOfDate,EDATE($D73,Milestones!$AA$139)&gt;=SchemeStart,IF($X73=0,$AD73,IF(AND($Z73&lt;&gt;"",EDATE($D73,Milestones!$AA$139)&gt;=$Z73),$AC73,IF(AND($Y73&lt;&gt;"",EDATE($D73,Milestones!$AA$139)&gt;=$Y73),$AB73,$AA73)))=Milestones!$AB$139),UPPER(TEXT(EDATE($D73,Milestones!$AA$139),"dd mmm yy"))&amp;" "&amp;Milestones!$AB$139&amp;" "&amp;IF(AND(Milestones!$AB$139="FT",Milestones!$AA$139=FT_Y5,EDATE($D73,Milestones!$AA$139)&lt;PolicyEff),1,Milestones!$AC$139)&amp;";  ",""))</f>
        <v/>
      </c>
      <c r="S73" s="0" t="str">
        <f aca="false">IF(OR($A73="",$D73=""),"",IF(AND(EDATE($D73,Milestones!$AA$140)&lt;=AsOfDate,EDATE($D73,Milestones!$AA$140)&gt;=SchemeStart,IF($X73=0,$AD73,IF(AND($Z73&lt;&gt;"",EDATE($D73,Milestones!$AA$140)&gt;=$Z73),$AC73,IF(AND($Y73&lt;&gt;"",EDATE($D73,Milestones!$AA$140)&gt;=$Y73),$AB73,$AA73)))=Milestones!$AB$140),UPPER(TEXT(EDATE($D73,Milestones!$AA$140),"dd mmm yy"))&amp;" "&amp;Milestones!$AB$140&amp;" "&amp;IF(AND(Milestones!$AB$140="FT",Milestones!$AA$140=FT_Y5,EDATE($D73,Milestones!$AA$140)&lt;PolicyEff),1,Milestones!$AC$140)&amp;";  ","")&amp;IF(AND(EDATE($D73,Milestones!$AA$141)&lt;=AsOfDate,EDATE($D73,Milestones!$AA$141)&gt;=SchemeStart,IF($X73=0,$AD73,IF(AND($Z73&lt;&gt;"",EDATE($D73,Milestones!$AA$141)&gt;=$Z73),$AC73,IF(AND($Y73&lt;&gt;"",EDATE($D73,Milestones!$AA$141)&gt;=$Y73),$AB73,$AA73)))=Milestones!$AB$141),UPPER(TEXT(EDATE($D73,Milestones!$AA$141),"dd mmm yy"))&amp;" "&amp;Milestones!$AB$141&amp;" "&amp;IF(AND(Milestones!$AB$141="FT",Milestones!$AA$141=FT_Y5,EDATE($D73,Milestones!$AA$141)&lt;PolicyEff),1,Milestones!$AC$141)&amp;";  ","")&amp;IF(AND(EDATE($D73,Milestones!$AA$142)&lt;=AsOfDate,EDATE($D73,Milestones!$AA$142)&gt;=SchemeStart,IF($X73=0,$AD73,IF(AND($Z73&lt;&gt;"",EDATE($D73,Milestones!$AA$142)&gt;=$Z73),$AC73,IF(AND($Y73&lt;&gt;"",EDATE($D73,Milestones!$AA$142)&gt;=$Y73),$AB73,$AA73)))=Milestones!$AB$142),UPPER(TEXT(EDATE($D73,Milestones!$AA$142),"dd mmm yy"))&amp;" "&amp;Milestones!$AB$142&amp;" "&amp;IF(AND(Milestones!$AB$142="FT",Milestones!$AA$142=FT_Y5,EDATE($D73,Milestones!$AA$142)&lt;PolicyEff),1,Milestones!$AC$142)&amp;";  ","")&amp;IF(AND(EDATE($D73,Milestones!$AA$143)&lt;=AsOfDate,EDATE($D73,Milestones!$AA$143)&gt;=SchemeStart,IF($X73=0,$AD73,IF(AND($Z73&lt;&gt;"",EDATE($D73,Milestones!$AA$143)&gt;=$Z73),$AC73,IF(AND($Y73&lt;&gt;"",EDATE($D73,Milestones!$AA$143)&gt;=$Y73),$AB73,$AA73)))=Milestones!$AB$143),UPPER(TEXT(EDATE($D73,Milestones!$AA$143),"dd mmm yy"))&amp;" "&amp;Milestones!$AB$143&amp;" "&amp;IF(AND(Milestones!$AB$143="FT",Milestones!$AA$143=FT_Y5,EDATE($D73,Milestones!$AA$143)&lt;PolicyEff),1,Milestones!$AC$143)&amp;";  ","")&amp;IF(AND(EDATE($D73,Milestones!$AA$144)&lt;=AsOfDate,EDATE($D73,Milestones!$AA$144)&gt;=SchemeStart,IF($X73=0,$AD73,IF(AND($Z73&lt;&gt;"",EDATE($D73,Milestones!$AA$144)&gt;=$Z73),$AC73,IF(AND($Y73&lt;&gt;"",EDATE($D73,Milestones!$AA$144)&gt;=$Y73),$AB73,$AA73)))=Milestones!$AB$144),UPPER(TEXT(EDATE($D73,Milestones!$AA$144),"dd mmm yy"))&amp;" "&amp;Milestones!$AB$144&amp;" "&amp;IF(AND(Milestones!$AB$144="FT",Milestones!$AA$144=FT_Y5,EDATE($D73,Milestones!$AA$144)&lt;PolicyEff),1,Milestones!$AC$144)&amp;";  ","")&amp;IF(AND(EDATE($D73,Milestones!$AA$145)&lt;=AsOfDate,EDATE($D73,Milestones!$AA$145)&gt;=SchemeStart,IF($X73=0,$AD73,IF(AND($Z73&lt;&gt;"",EDATE($D73,Milestones!$AA$145)&gt;=$Z73),$AC73,IF(AND($Y73&lt;&gt;"",EDATE($D73,Milestones!$AA$145)&gt;=$Y73),$AB73,$AA73)))=Milestones!$AB$145),UPPER(TEXT(EDATE($D73,Milestones!$AA$145),"dd mmm yy"))&amp;" "&amp;Milestones!$AB$145&amp;" "&amp;IF(AND(Milestones!$AB$145="FT",Milestones!$AA$145=FT_Y5,EDATE($D73,Milestones!$AA$145)&lt;PolicyEff),1,Milestones!$AC$145)&amp;";  ","")&amp;IF(AND(EDATE($D73,Milestones!$AA$146)&lt;=AsOfDate,EDATE($D73,Milestones!$AA$146)&gt;=SchemeStart,IF($X73=0,$AD73,IF(AND($Z73&lt;&gt;"",EDATE($D73,Milestones!$AA$146)&gt;=$Z73),$AC73,IF(AND($Y73&lt;&gt;"",EDATE($D73,Milestones!$AA$146)&gt;=$Y73),$AB73,$AA73)))=Milestones!$AB$146),UPPER(TEXT(EDATE($D73,Milestones!$AA$146),"dd mmm yy"))&amp;" "&amp;Milestones!$AB$146&amp;" "&amp;IF(AND(Milestones!$AB$146="FT",Milestones!$AA$146=FT_Y5,EDATE($D73,Milestones!$AA$146)&lt;PolicyEff),1,Milestones!$AC$146)&amp;";  ","")&amp;IF(AND(EDATE($D73,Milestones!$AA$147)&lt;=AsOfDate,EDATE($D73,Milestones!$AA$147)&gt;=SchemeStart,IF($X73=0,$AD73,IF(AND($Z73&lt;&gt;"",EDATE($D73,Milestones!$AA$147)&gt;=$Z73),$AC73,IF(AND($Y73&lt;&gt;"",EDATE($D73,Milestones!$AA$147)&gt;=$Y73),$AB73,$AA73)))=Milestones!$AB$147),UPPER(TEXT(EDATE($D73,Milestones!$AA$147),"dd mmm yy"))&amp;" "&amp;Milestones!$AB$147&amp;" "&amp;IF(AND(Milestones!$AB$147="FT",Milestones!$AA$147=FT_Y5,EDATE($D73,Milestones!$AA$147)&lt;PolicyEff),1,Milestones!$AC$147)&amp;";  ","")&amp;IF(AND(EDATE($D73,Milestones!$AA$148)&lt;=AsOfDate,EDATE($D73,Milestones!$AA$148)&gt;=SchemeStart,IF($X73=0,$AD73,IF(AND($Z73&lt;&gt;"",EDATE($D73,Milestones!$AA$148)&gt;=$Z73),$AC73,IF(AND($Y73&lt;&gt;"",EDATE($D73,Milestones!$AA$148)&gt;=$Y73),$AB73,$AA73)))=Milestones!$AB$148),UPPER(TEXT(EDATE($D73,Milestones!$AA$148),"dd mmm yy"))&amp;" "&amp;Milestones!$AB$148&amp;" "&amp;IF(AND(Milestones!$AB$148="FT",Milestones!$AA$148=FT_Y5,EDATE($D73,Milestones!$AA$148)&lt;PolicyEff),1,Milestones!$AC$148)&amp;";  ","")&amp;IF(AND(EDATE($D73,Milestones!$AA$149)&lt;=AsOfDate,EDATE($D73,Milestones!$AA$149)&gt;=SchemeStart,IF($X73=0,$AD73,IF(AND($Z73&lt;&gt;"",EDATE($D73,Milestones!$AA$149)&gt;=$Z73),$AC73,IF(AND($Y73&lt;&gt;"",EDATE($D73,Milestones!$AA$149)&gt;=$Y73),$AB73,$AA73)))=Milestones!$AB$149),UPPER(TEXT(EDATE($D73,Milestones!$AA$149),"dd mmm yy"))&amp;" "&amp;Milestones!$AB$149&amp;" "&amp;IF(AND(Milestones!$AB$149="FT",Milestones!$AA$149=FT_Y5,EDATE($D73,Milestones!$AA$149)&lt;PolicyEff),1,Milestones!$AC$149)&amp;";  ","")&amp;IF(AND(EDATE($D73,Milestones!$AA$150)&lt;=AsOfDate,EDATE($D73,Milestones!$AA$150)&gt;=SchemeStart,IF($X73=0,$AD73,IF(AND($Z73&lt;&gt;"",EDATE($D73,Milestones!$AA$150)&gt;=$Z73),$AC73,IF(AND($Y73&lt;&gt;"",EDATE($D73,Milestones!$AA$150)&gt;=$Y73),$AB73,$AA73)))=Milestones!$AB$150),UPPER(TEXT(EDATE($D73,Milestones!$AA$150),"dd mmm yy"))&amp;" "&amp;Milestones!$AB$150&amp;" "&amp;IF(AND(Milestones!$AB$150="FT",Milestones!$AA$150=FT_Y5,EDATE($D73,Milestones!$AA$150)&lt;PolicyEff),1,Milestones!$AC$150)&amp;";  ","")&amp;IF(AND(EDATE($D73,Milestones!$AA$151)&lt;=AsOfDate,EDATE($D73,Milestones!$AA$151)&gt;=SchemeStart,IF($X73=0,$AD73,IF(AND($Z73&lt;&gt;"",EDATE($D73,Milestones!$AA$151)&gt;=$Z73),$AC73,IF(AND($Y73&lt;&gt;"",EDATE($D73,Milestones!$AA$151)&gt;=$Y73),$AB73,$AA73)))=Milestones!$AB$151),UPPER(TEXT(EDATE($D73,Milestones!$AA$151),"dd mmm yy"))&amp;" "&amp;Milestones!$AB$151&amp;" "&amp;IF(AND(Milestones!$AB$151="FT",Milestones!$AA$151=FT_Y5,EDATE($D73,Milestones!$AA$151)&lt;PolicyEff),1,Milestones!$AC$151)&amp;";  ",""))</f>
        <v/>
      </c>
      <c r="T73" s="0" t="str">
        <f aca="false">IF(OR($A73="",$D73=""),"",IF(AND(EDATE($D73,Milestones!$AA$152)&lt;=AsOfDate,EDATE($D73,Milestones!$AA$152)&gt;=SchemeStart,IF($X73=0,$AD73,IF(AND($Z73&lt;&gt;"",EDATE($D73,Milestones!$AA$152)&gt;=$Z73),$AC73,IF(AND($Y73&lt;&gt;"",EDATE($D73,Milestones!$AA$152)&gt;=$Y73),$AB73,$AA73)))=Milestones!$AB$152),UPPER(TEXT(EDATE($D73,Milestones!$AA$152),"dd mmm yy"))&amp;" "&amp;Milestones!$AB$152&amp;" "&amp;IF(AND(Milestones!$AB$152="FT",Milestones!$AA$152=FT_Y5,EDATE($D73,Milestones!$AA$152)&lt;PolicyEff),1,Milestones!$AC$152)&amp;";  ","")&amp;IF(AND(EDATE($D73,Milestones!$AA$153)&lt;=AsOfDate,EDATE($D73,Milestones!$AA$153)&gt;=SchemeStart,IF($X73=0,$AD73,IF(AND($Z73&lt;&gt;"",EDATE($D73,Milestones!$AA$153)&gt;=$Z73),$AC73,IF(AND($Y73&lt;&gt;"",EDATE($D73,Milestones!$AA$153)&gt;=$Y73),$AB73,$AA73)))=Milestones!$AB$153),UPPER(TEXT(EDATE($D73,Milestones!$AA$153),"dd mmm yy"))&amp;" "&amp;Milestones!$AB$153&amp;" "&amp;IF(AND(Milestones!$AB$153="FT",Milestones!$AA$153=FT_Y5,EDATE($D73,Milestones!$AA$153)&lt;PolicyEff),1,Milestones!$AC$153)&amp;";  ","")&amp;IF(AND(EDATE($D73,Milestones!$AA$154)&lt;=AsOfDate,EDATE($D73,Milestones!$AA$154)&gt;=SchemeStart,IF($X73=0,$AD73,IF(AND($Z73&lt;&gt;"",EDATE($D73,Milestones!$AA$154)&gt;=$Z73),$AC73,IF(AND($Y73&lt;&gt;"",EDATE($D73,Milestones!$AA$154)&gt;=$Y73),$AB73,$AA73)))=Milestones!$AB$154),UPPER(TEXT(EDATE($D73,Milestones!$AA$154),"dd mmm yy"))&amp;" "&amp;Milestones!$AB$154&amp;" "&amp;IF(AND(Milestones!$AB$154="FT",Milestones!$AA$154=FT_Y5,EDATE($D73,Milestones!$AA$154)&lt;PolicyEff),1,Milestones!$AC$154)&amp;";  ","")&amp;IF(AND(EDATE($D73,Milestones!$AA$155)&lt;=AsOfDate,EDATE($D73,Milestones!$AA$155)&gt;=SchemeStart,IF($X73=0,$AD73,IF(AND($Z73&lt;&gt;"",EDATE($D73,Milestones!$AA$155)&gt;=$Z73),$AC73,IF(AND($Y73&lt;&gt;"",EDATE($D73,Milestones!$AA$155)&gt;=$Y73),$AB73,$AA73)))=Milestones!$AB$155),UPPER(TEXT(EDATE($D73,Milestones!$AA$155),"dd mmm yy"))&amp;" "&amp;Milestones!$AB$155&amp;" "&amp;IF(AND(Milestones!$AB$155="FT",Milestones!$AA$155=FT_Y5,EDATE($D73,Milestones!$AA$155)&lt;PolicyEff),1,Milestones!$AC$155)&amp;";  ","")&amp;IF(AND(EDATE($D73,Milestones!$AA$156)&lt;=AsOfDate,EDATE($D73,Milestones!$AA$156)&gt;=SchemeStart,IF($X73=0,$AD73,IF(AND($Z73&lt;&gt;"",EDATE($D73,Milestones!$AA$156)&gt;=$Z73),$AC73,IF(AND($Y73&lt;&gt;"",EDATE($D73,Milestones!$AA$156)&gt;=$Y73),$AB73,$AA73)))=Milestones!$AB$156),UPPER(TEXT(EDATE($D73,Milestones!$AA$156),"dd mmm yy"))&amp;" "&amp;Milestones!$AB$156&amp;" "&amp;IF(AND(Milestones!$AB$156="FT",Milestones!$AA$156=FT_Y5,EDATE($D73,Milestones!$AA$156)&lt;PolicyEff),1,Milestones!$AC$156)&amp;";  ","")&amp;IF(AND(EDATE($D73,Milestones!$AA$157)&lt;=AsOfDate,EDATE($D73,Milestones!$AA$157)&gt;=SchemeStart,IF($X73=0,$AD73,IF(AND($Z73&lt;&gt;"",EDATE($D73,Milestones!$AA$157)&gt;=$Z73),$AC73,IF(AND($Y73&lt;&gt;"",EDATE($D73,Milestones!$AA$157)&gt;=$Y73),$AB73,$AA73)))=Milestones!$AB$157),UPPER(TEXT(EDATE($D73,Milestones!$AA$157),"dd mmm yy"))&amp;" "&amp;Milestones!$AB$157&amp;" "&amp;IF(AND(Milestones!$AB$157="FT",Milestones!$AA$157=FT_Y5,EDATE($D73,Milestones!$AA$157)&lt;PolicyEff),1,Milestones!$AC$157)&amp;";  ","")&amp;IF(AND(EDATE($D73,Milestones!$AA$158)&lt;=AsOfDate,EDATE($D73,Milestones!$AA$158)&gt;=SchemeStart,IF($X73=0,$AD73,IF(AND($Z73&lt;&gt;"",EDATE($D73,Milestones!$AA$158)&gt;=$Z73),$AC73,IF(AND($Y73&lt;&gt;"",EDATE($D73,Milestones!$AA$158)&gt;=$Y73),$AB73,$AA73)))=Milestones!$AB$158),UPPER(TEXT(EDATE($D73,Milestones!$AA$158),"dd mmm yy"))&amp;" "&amp;Milestones!$AB$158&amp;" "&amp;IF(AND(Milestones!$AB$158="FT",Milestones!$AA$158=FT_Y5,EDATE($D73,Milestones!$AA$158)&lt;PolicyEff),1,Milestones!$AC$158)&amp;";  ","")&amp;IF(AND(EDATE($D73,Milestones!$AA$159)&lt;=AsOfDate,EDATE($D73,Milestones!$AA$159)&gt;=SchemeStart,IF($X73=0,$AD73,IF(AND($Z73&lt;&gt;"",EDATE($D73,Milestones!$AA$159)&gt;=$Z73),$AC73,IF(AND($Y73&lt;&gt;"",EDATE($D73,Milestones!$AA$159)&gt;=$Y73),$AB73,$AA73)))=Milestones!$AB$159),UPPER(TEXT(EDATE($D73,Milestones!$AA$159),"dd mmm yy"))&amp;" "&amp;Milestones!$AB$159&amp;" "&amp;IF(AND(Milestones!$AB$159="FT",Milestones!$AA$159=FT_Y5,EDATE($D73,Milestones!$AA$159)&lt;PolicyEff),1,Milestones!$AC$159)&amp;";  ","")&amp;IF(AND(EDATE($D73,Milestones!$AA$160)&lt;=AsOfDate,EDATE($D73,Milestones!$AA$160)&gt;=SchemeStart,IF($X73=0,$AD73,IF(AND($Z73&lt;&gt;"",EDATE($D73,Milestones!$AA$160)&gt;=$Z73),$AC73,IF(AND($Y73&lt;&gt;"",EDATE($D73,Milestones!$AA$160)&gt;=$Y73),$AB73,$AA73)))=Milestones!$AB$160),UPPER(TEXT(EDATE($D73,Milestones!$AA$160),"dd mmm yy"))&amp;" "&amp;Milestones!$AB$160&amp;" "&amp;IF(AND(Milestones!$AB$160="FT",Milestones!$AA$160=FT_Y5,EDATE($D73,Milestones!$AA$160)&lt;PolicyEff),1,Milestones!$AC$160)&amp;";  ","")&amp;IF(AND(EDATE($D73,Milestones!$AA$161)&lt;=AsOfDate,EDATE($D73,Milestones!$AA$161)&gt;=SchemeStart,IF($X73=0,$AD73,IF(AND($Z73&lt;&gt;"",EDATE($D73,Milestones!$AA$161)&gt;=$Z73),$AC73,IF(AND($Y73&lt;&gt;"",EDATE($D73,Milestones!$AA$161)&gt;=$Y73),$AB73,$AA73)))=Milestones!$AB$161),UPPER(TEXT(EDATE($D73,Milestones!$AA$161),"dd mmm yy"))&amp;" "&amp;Milestones!$AB$161&amp;" "&amp;IF(AND(Milestones!$AB$161="FT",Milestones!$AA$161=FT_Y5,EDATE($D73,Milestones!$AA$161)&lt;PolicyEff),1,Milestones!$AC$161)&amp;";  ","")&amp;IF(AND(EDATE($D73,Milestones!$AA$162)&lt;=AsOfDate,EDATE($D73,Milestones!$AA$162)&gt;=SchemeStart,IF($X73=0,$AD73,IF(AND($Z73&lt;&gt;"",EDATE($D73,Milestones!$AA$162)&gt;=$Z73),$AC73,IF(AND($Y73&lt;&gt;"",EDATE($D73,Milestones!$AA$162)&gt;=$Y73),$AB73,$AA73)))=Milestones!$AB$162),UPPER(TEXT(EDATE($D73,Milestones!$AA$162),"dd mmm yy"))&amp;" "&amp;Milestones!$AB$162&amp;" "&amp;IF(AND(Milestones!$AB$162="FT",Milestones!$AA$162=FT_Y5,EDATE($D73,Milestones!$AA$162)&lt;PolicyEff),1,Milestones!$AC$162)&amp;";  ","")&amp;IF(AND(EDATE($D73,Milestones!$AA$163)&lt;=AsOfDate,EDATE($D73,Milestones!$AA$163)&gt;=SchemeStart,IF($X73=0,$AD73,IF(AND($Z73&lt;&gt;"",EDATE($D73,Milestones!$AA$163)&gt;=$Z73),$AC73,IF(AND($Y73&lt;&gt;"",EDATE($D73,Milestones!$AA$163)&gt;=$Y73),$AB73,$AA73)))=Milestones!$AB$163),UPPER(TEXT(EDATE($D73,Milestones!$AA$163),"dd mmm yy"))&amp;" "&amp;Milestones!$AB$163&amp;" "&amp;IF(AND(Milestones!$AB$163="FT",Milestones!$AA$163=FT_Y5,EDATE($D73,Milestones!$AA$163)&lt;PolicyEff),1,Milestones!$AC$163)&amp;";  ",""))</f>
        <v/>
      </c>
      <c r="U73" s="0" t="str">
        <f aca="false">IF(OR($A73="",$D73=""),"",IF(AND(EDATE($D73,Milestones!$AA$164)&lt;=AsOfDate,EDATE($D73,Milestones!$AA$164)&gt;=SchemeStart,IF($X73=0,$AD73,IF(AND($Z73&lt;&gt;"",EDATE($D73,Milestones!$AA$164)&gt;=$Z73),$AC73,IF(AND($Y73&lt;&gt;"",EDATE($D73,Milestones!$AA$164)&gt;=$Y73),$AB73,$AA73)))=Milestones!$AB$164),UPPER(TEXT(EDATE($D73,Milestones!$AA$164),"dd mmm yy"))&amp;" "&amp;Milestones!$AB$164&amp;" "&amp;IF(AND(Milestones!$AB$164="FT",Milestones!$AA$164=FT_Y5,EDATE($D73,Milestones!$AA$164)&lt;PolicyEff),1,Milestones!$AC$164)&amp;";  ","")&amp;IF(AND(EDATE($D73,Milestones!$AA$165)&lt;=AsOfDate,EDATE($D73,Milestones!$AA$165)&gt;=SchemeStart,IF($X73=0,$AD73,IF(AND($Z73&lt;&gt;"",EDATE($D73,Milestones!$AA$165)&gt;=$Z73),$AC73,IF(AND($Y73&lt;&gt;"",EDATE($D73,Milestones!$AA$165)&gt;=$Y73),$AB73,$AA73)))=Milestones!$AB$165),UPPER(TEXT(EDATE($D73,Milestones!$AA$165),"dd mmm yy"))&amp;" "&amp;Milestones!$AB$165&amp;" "&amp;IF(AND(Milestones!$AB$165="FT",Milestones!$AA$165=FT_Y5,EDATE($D73,Milestones!$AA$165)&lt;PolicyEff),1,Milestones!$AC$165)&amp;";  ","")&amp;IF(AND(EDATE($D73,Milestones!$AA$166)&lt;=AsOfDate,EDATE($D73,Milestones!$AA$166)&gt;=SchemeStart,IF($X73=0,$AD73,IF(AND($Z73&lt;&gt;"",EDATE($D73,Milestones!$AA$166)&gt;=$Z73),$AC73,IF(AND($Y73&lt;&gt;"",EDATE($D73,Milestones!$AA$166)&gt;=$Y73),$AB73,$AA73)))=Milestones!$AB$166),UPPER(TEXT(EDATE($D73,Milestones!$AA$166),"dd mmm yy"))&amp;" "&amp;Milestones!$AB$166&amp;" "&amp;IF(AND(Milestones!$AB$166="FT",Milestones!$AA$166=FT_Y5,EDATE($D73,Milestones!$AA$166)&lt;PolicyEff),1,Milestones!$AC$166)&amp;";  ","")&amp;IF(AND(EDATE($D73,Milestones!$AA$167)&lt;=AsOfDate,EDATE($D73,Milestones!$AA$167)&gt;=SchemeStart,IF($X73=0,$AD73,IF(AND($Z73&lt;&gt;"",EDATE($D73,Milestones!$AA$167)&gt;=$Z73),$AC73,IF(AND($Y73&lt;&gt;"",EDATE($D73,Milestones!$AA$167)&gt;=$Y73),$AB73,$AA73)))=Milestones!$AB$167),UPPER(TEXT(EDATE($D73,Milestones!$AA$167),"dd mmm yy"))&amp;" "&amp;Milestones!$AB$167&amp;" "&amp;IF(AND(Milestones!$AB$167="FT",Milestones!$AA$167=FT_Y5,EDATE($D73,Milestones!$AA$167)&lt;PolicyEff),1,Milestones!$AC$167)&amp;";  ","")&amp;IF(AND(EDATE($D73,Milestones!$AA$168)&lt;=AsOfDate,EDATE($D73,Milestones!$AA$168)&gt;=SchemeStart,IF($X73=0,$AD73,IF(AND($Z73&lt;&gt;"",EDATE($D73,Milestones!$AA$168)&gt;=$Z73),$AC73,IF(AND($Y73&lt;&gt;"",EDATE($D73,Milestones!$AA$168)&gt;=$Y73),$AB73,$AA73)))=Milestones!$AB$168),UPPER(TEXT(EDATE($D73,Milestones!$AA$168),"dd mmm yy"))&amp;" "&amp;Milestones!$AB$168&amp;" "&amp;IF(AND(Milestones!$AB$168="FT",Milestones!$AA$168=FT_Y5,EDATE($D73,Milestones!$AA$168)&lt;PolicyEff),1,Milestones!$AC$168)&amp;";  ","")&amp;IF(AND(EDATE($D73,Milestones!$AA$169)&lt;=AsOfDate,EDATE($D73,Milestones!$AA$169)&gt;=SchemeStart,IF($X73=0,$AD73,IF(AND($Z73&lt;&gt;"",EDATE($D73,Milestones!$AA$169)&gt;=$Z73),$AC73,IF(AND($Y73&lt;&gt;"",EDATE($D73,Milestones!$AA$169)&gt;=$Y73),$AB73,$AA73)))=Milestones!$AB$169),UPPER(TEXT(EDATE($D73,Milestones!$AA$169),"dd mmm yy"))&amp;" "&amp;Milestones!$AB$169&amp;" "&amp;IF(AND(Milestones!$AB$169="FT",Milestones!$AA$169=FT_Y5,EDATE($D73,Milestones!$AA$169)&lt;PolicyEff),1,Milestones!$AC$169)&amp;";  ","")&amp;IF(AND(EDATE($D73,Milestones!$AA$170)&lt;=AsOfDate,EDATE($D73,Milestones!$AA$170)&gt;=SchemeStart,IF($X73=0,$AD73,IF(AND($Z73&lt;&gt;"",EDATE($D73,Milestones!$AA$170)&gt;=$Z73),$AC73,IF(AND($Y73&lt;&gt;"",EDATE($D73,Milestones!$AA$170)&gt;=$Y73),$AB73,$AA73)))=Milestones!$AB$170),UPPER(TEXT(EDATE($D73,Milestones!$AA$170),"dd mmm yy"))&amp;" "&amp;Milestones!$AB$170&amp;" "&amp;IF(AND(Milestones!$AB$170="FT",Milestones!$AA$170=FT_Y5,EDATE($D73,Milestones!$AA$170)&lt;PolicyEff),1,Milestones!$AC$170)&amp;";  ","")&amp;IF(AND(EDATE($D73,Milestones!$AA$171)&lt;=AsOfDate,EDATE($D73,Milestones!$AA$171)&gt;=SchemeStart,IF($X73=0,$AD73,IF(AND($Z73&lt;&gt;"",EDATE($D73,Milestones!$AA$171)&gt;=$Z73),$AC73,IF(AND($Y73&lt;&gt;"",EDATE($D73,Milestones!$AA$171)&gt;=$Y73),$AB73,$AA73)))=Milestones!$AB$171),UPPER(TEXT(EDATE($D73,Milestones!$AA$171),"dd mmm yy"))&amp;" "&amp;Milestones!$AB$171&amp;" "&amp;IF(AND(Milestones!$AB$171="FT",Milestones!$AA$171=FT_Y5,EDATE($D73,Milestones!$AA$171)&lt;PolicyEff),1,Milestones!$AC$171)&amp;";  ","")&amp;IF(AND(EDATE($D73,Milestones!$AA$172)&lt;=AsOfDate,EDATE($D73,Milestones!$AA$172)&gt;=SchemeStart,IF($X73=0,$AD73,IF(AND($Z73&lt;&gt;"",EDATE($D73,Milestones!$AA$172)&gt;=$Z73),$AC73,IF(AND($Y73&lt;&gt;"",EDATE($D73,Milestones!$AA$172)&gt;=$Y73),$AB73,$AA73)))=Milestones!$AB$172),UPPER(TEXT(EDATE($D73,Milestones!$AA$172),"dd mmm yy"))&amp;" "&amp;Milestones!$AB$172&amp;" "&amp;IF(AND(Milestones!$AB$172="FT",Milestones!$AA$172=FT_Y5,EDATE($D73,Milestones!$AA$172)&lt;PolicyEff),1,Milestones!$AC$172)&amp;";  ","")&amp;IF(AND(EDATE($D73,Milestones!$AA$173)&lt;=AsOfDate,EDATE($D73,Milestones!$AA$173)&gt;=SchemeStart,IF($X73=0,$AD73,IF(AND($Z73&lt;&gt;"",EDATE($D73,Milestones!$AA$173)&gt;=$Z73),$AC73,IF(AND($Y73&lt;&gt;"",EDATE($D73,Milestones!$AA$173)&gt;=$Y73),$AB73,$AA73)))=Milestones!$AB$173),UPPER(TEXT(EDATE($D73,Milestones!$AA$173),"dd mmm yy"))&amp;" "&amp;Milestones!$AB$173&amp;" "&amp;IF(AND(Milestones!$AB$173="FT",Milestones!$AA$173=FT_Y5,EDATE($D73,Milestones!$AA$173)&lt;PolicyEff),1,Milestones!$AC$173)&amp;";  ","")&amp;IF(AND(EDATE($D73,Milestones!$AA$174)&lt;=AsOfDate,EDATE($D73,Milestones!$AA$174)&gt;=SchemeStart,IF($X73=0,$AD73,IF(AND($Z73&lt;&gt;"",EDATE($D73,Milestones!$AA$174)&gt;=$Z73),$AC73,IF(AND($Y73&lt;&gt;"",EDATE($D73,Milestones!$AA$174)&gt;=$Y73),$AB73,$AA73)))=Milestones!$AB$174),UPPER(TEXT(EDATE($D73,Milestones!$AA$174),"dd mmm yy"))&amp;" "&amp;Milestones!$AB$174&amp;" "&amp;IF(AND(Milestones!$AB$174="FT",Milestones!$AA$174=FT_Y5,EDATE($D73,Milestones!$AA$174)&lt;PolicyEff),1,Milestones!$AC$174)&amp;";  ","")&amp;IF(AND(EDATE($D73,Milestones!$AA$175)&lt;=AsOfDate,EDATE($D73,Milestones!$AA$175)&gt;=SchemeStart,IF($X73=0,$AD73,IF(AND($Z73&lt;&gt;"",EDATE($D73,Milestones!$AA$175)&gt;=$Z73),$AC73,IF(AND($Y73&lt;&gt;"",EDATE($D73,Milestones!$AA$175)&gt;=$Y73),$AB73,$AA73)))=Milestones!$AB$175),UPPER(TEXT(EDATE($D73,Milestones!$AA$175),"dd mmm yy"))&amp;" "&amp;Milestones!$AB$175&amp;" "&amp;IF(AND(Milestones!$AB$175="FT",Milestones!$AA$175=FT_Y5,EDATE($D73,Milestones!$AA$175)&lt;PolicyEff),1,Milestones!$AC$175)&amp;";  ",""))</f>
        <v/>
      </c>
      <c r="V73" s="0" t="str">
        <f aca="false">IF(OR($A73="",$D73=""),"",IF(AND(EDATE($D73,Milestones!$AA$176)&lt;=AsOfDate,EDATE($D73,Milestones!$AA$176)&gt;=SchemeStart,IF($X73=0,$AD73,IF(AND($Z73&lt;&gt;"",EDATE($D73,Milestones!$AA$176)&gt;=$Z73),$AC73,IF(AND($Y73&lt;&gt;"",EDATE($D73,Milestones!$AA$176)&gt;=$Y73),$AB73,$AA73)))=Milestones!$AB$176),UPPER(TEXT(EDATE($D73,Milestones!$AA$176),"dd mmm yy"))&amp;" "&amp;Milestones!$AB$176&amp;" "&amp;IF(AND(Milestones!$AB$176="FT",Milestones!$AA$176=FT_Y5,EDATE($D73,Milestones!$AA$176)&lt;PolicyEff),1,Milestones!$AC$176)&amp;";  ","")&amp;IF(AND(EDATE($D73,Milestones!$AA$177)&lt;=AsOfDate,EDATE($D73,Milestones!$AA$177)&gt;=SchemeStart,IF($X73=0,$AD73,IF(AND($Z73&lt;&gt;"",EDATE($D73,Milestones!$AA$177)&gt;=$Z73),$AC73,IF(AND($Y73&lt;&gt;"",EDATE($D73,Milestones!$AA$177)&gt;=$Y73),$AB73,$AA73)))=Milestones!$AB$177),UPPER(TEXT(EDATE($D73,Milestones!$AA$177),"dd mmm yy"))&amp;" "&amp;Milestones!$AB$177&amp;" "&amp;IF(AND(Milestones!$AB$177="FT",Milestones!$AA$177=FT_Y5,EDATE($D73,Milestones!$AA$177)&lt;PolicyEff),1,Milestones!$AC$177)&amp;";  ","")&amp;IF(AND(EDATE($D73,Milestones!$AA$178)&lt;=AsOfDate,EDATE($D73,Milestones!$AA$178)&gt;=SchemeStart,IF($X73=0,$AD73,IF(AND($Z73&lt;&gt;"",EDATE($D73,Milestones!$AA$178)&gt;=$Z73),$AC73,IF(AND($Y73&lt;&gt;"",EDATE($D73,Milestones!$AA$178)&gt;=$Y73),$AB73,$AA73)))=Milestones!$AB$178),UPPER(TEXT(EDATE($D73,Milestones!$AA$178),"dd mmm yy"))&amp;" "&amp;Milestones!$AB$178&amp;" "&amp;IF(AND(Milestones!$AB$178="FT",Milestones!$AA$178=FT_Y5,EDATE($D73,Milestones!$AA$178)&lt;PolicyEff),1,Milestones!$AC$178)&amp;";  ","")&amp;IF(AND(EDATE($D73,Milestones!$AA$179)&lt;=AsOfDate,EDATE($D73,Milestones!$AA$179)&gt;=SchemeStart,IF($X73=0,$AD73,IF(AND($Z73&lt;&gt;"",EDATE($D73,Milestones!$AA$179)&gt;=$Z73),$AC73,IF(AND($Y73&lt;&gt;"",EDATE($D73,Milestones!$AA$179)&gt;=$Y73),$AB73,$AA73)))=Milestones!$AB$179),UPPER(TEXT(EDATE($D73,Milestones!$AA$179),"dd mmm yy"))&amp;" "&amp;Milestones!$AB$179&amp;" "&amp;IF(AND(Milestones!$AB$179="FT",Milestones!$AA$179=FT_Y5,EDATE($D73,Milestones!$AA$179)&lt;PolicyEff),1,Milestones!$AC$179)&amp;";  ","")&amp;IF(AND(EDATE($D73,Milestones!$AA$180)&lt;=AsOfDate,EDATE($D73,Milestones!$AA$180)&gt;=SchemeStart,IF($X73=0,$AD73,IF(AND($Z73&lt;&gt;"",EDATE($D73,Milestones!$AA$180)&gt;=$Z73),$AC73,IF(AND($Y73&lt;&gt;"",EDATE($D73,Milestones!$AA$180)&gt;=$Y73),$AB73,$AA73)))=Milestones!$AB$180),UPPER(TEXT(EDATE($D73,Milestones!$AA$180),"dd mmm yy"))&amp;" "&amp;Milestones!$AB$180&amp;" "&amp;IF(AND(Milestones!$AB$180="FT",Milestones!$AA$180=FT_Y5,EDATE($D73,Milestones!$AA$180)&lt;PolicyEff),1,Milestones!$AC$180)&amp;";  ","")&amp;IF(AND(EDATE($D73,Milestones!$AA$181)&lt;=AsOfDate,EDATE($D73,Milestones!$AA$181)&gt;=SchemeStart,IF($X73=0,$AD73,IF(AND($Z73&lt;&gt;"",EDATE($D73,Milestones!$AA$181)&gt;=$Z73),$AC73,IF(AND($Y73&lt;&gt;"",EDATE($D73,Milestones!$AA$181)&gt;=$Y73),$AB73,$AA73)))=Milestones!$AB$181),UPPER(TEXT(EDATE($D73,Milestones!$AA$181),"dd mmm yy"))&amp;" "&amp;Milestones!$AB$181&amp;" "&amp;IF(AND(Milestones!$AB$181="FT",Milestones!$AA$181=FT_Y5,EDATE($D73,Milestones!$AA$181)&lt;PolicyEff),1,Milestones!$AC$181)&amp;";  ","")&amp;IF(AND(EDATE($D73,Milestones!$AA$182)&lt;=AsOfDate,EDATE($D73,Milestones!$AA$182)&gt;=SchemeStart,IF($X73=0,$AD73,IF(AND($Z73&lt;&gt;"",EDATE($D73,Milestones!$AA$182)&gt;=$Z73),$AC73,IF(AND($Y73&lt;&gt;"",EDATE($D73,Milestones!$AA$182)&gt;=$Y73),$AB73,$AA73)))=Milestones!$AB$182),UPPER(TEXT(EDATE($D73,Milestones!$AA$182),"dd mmm yy"))&amp;" "&amp;Milestones!$AB$182&amp;" "&amp;IF(AND(Milestones!$AB$182="FT",Milestones!$AA$182=FT_Y5,EDATE($D73,Milestones!$AA$182)&lt;PolicyEff),1,Milestones!$AC$182)&amp;";  ","")&amp;IF(AND(EDATE($D73,Milestones!$AA$183)&lt;=AsOfDate,EDATE($D73,Milestones!$AA$183)&gt;=SchemeStart,IF($X73=0,$AD73,IF(AND($Z73&lt;&gt;"",EDATE($D73,Milestones!$AA$183)&gt;=$Z73),$AC73,IF(AND($Y73&lt;&gt;"",EDATE($D73,Milestones!$AA$183)&gt;=$Y73),$AB73,$AA73)))=Milestones!$AB$183),UPPER(TEXT(EDATE($D73,Milestones!$AA$183),"dd mmm yy"))&amp;" "&amp;Milestones!$AB$183&amp;" "&amp;IF(AND(Milestones!$AB$183="FT",Milestones!$AA$183=FT_Y5,EDATE($D73,Milestones!$AA$183)&lt;PolicyEff),1,Milestones!$AC$183)&amp;";  ","")&amp;IF(AND(EDATE($D73,Milestones!$AA$184)&lt;=AsOfDate,EDATE($D73,Milestones!$AA$184)&gt;=SchemeStart,IF($X73=0,$AD73,IF(AND($Z73&lt;&gt;"",EDATE($D73,Milestones!$AA$184)&gt;=$Z73),$AC73,IF(AND($Y73&lt;&gt;"",EDATE($D73,Milestones!$AA$184)&gt;=$Y73),$AB73,$AA73)))=Milestones!$AB$184),UPPER(TEXT(EDATE($D73,Milestones!$AA$184),"dd mmm yy"))&amp;" "&amp;Milestones!$AB$184&amp;" "&amp;IF(AND(Milestones!$AB$184="FT",Milestones!$AA$184=FT_Y5,EDATE($D73,Milestones!$AA$184)&lt;PolicyEff),1,Milestones!$AC$184)&amp;";  ","")&amp;IF(AND(EDATE($D73,Milestones!$AA$185)&lt;=AsOfDate,EDATE($D73,Milestones!$AA$185)&gt;=SchemeStart,IF($X73=0,$AD73,IF(AND($Z73&lt;&gt;"",EDATE($D73,Milestones!$AA$185)&gt;=$Z73),$AC73,IF(AND($Y73&lt;&gt;"",EDATE($D73,Milestones!$AA$185)&gt;=$Y73),$AB73,$AA73)))=Milestones!$AB$185),UPPER(TEXT(EDATE($D73,Milestones!$AA$185),"dd mmm yy"))&amp;" "&amp;Milestones!$AB$185&amp;" "&amp;IF(AND(Milestones!$AB$185="FT",Milestones!$AA$185=FT_Y5,EDATE($D73,Milestones!$AA$185)&lt;PolicyEff),1,Milestones!$AC$185)&amp;";  ","")&amp;IF(AND(EDATE($D73,Milestones!$AA$186)&lt;=AsOfDate,EDATE($D73,Milestones!$AA$186)&gt;=SchemeStart,IF($X73=0,$AD73,IF(AND($Z73&lt;&gt;"",EDATE($D73,Milestones!$AA$186)&gt;=$Z73),$AC73,IF(AND($Y73&lt;&gt;"",EDATE($D73,Milestones!$AA$186)&gt;=$Y73),$AB73,$AA73)))=Milestones!$AB$186),UPPER(TEXT(EDATE($D73,Milestones!$AA$186),"dd mmm yy"))&amp;" "&amp;Milestones!$AB$186&amp;" "&amp;IF(AND(Milestones!$AB$186="FT",Milestones!$AA$186=FT_Y5,EDATE($D73,Milestones!$AA$186)&lt;PolicyEff),1,Milestones!$AC$186)&amp;";  ","")&amp;IF(AND(EDATE($D73,Milestones!$AA$187)&lt;=AsOfDate,EDATE($D73,Milestones!$AA$187)&gt;=SchemeStart,IF($X73=0,$AD73,IF(AND($Z73&lt;&gt;"",EDATE($D73,Milestones!$AA$187)&gt;=$Z73),$AC73,IF(AND($Y73&lt;&gt;"",EDATE($D73,Milestones!$AA$187)&gt;=$Y73),$AB73,$AA73)))=Milestones!$AB$187),UPPER(TEXT(EDATE($D73,Milestones!$AA$187),"dd mmm yy"))&amp;" "&amp;Milestones!$AB$187&amp;" "&amp;IF(AND(Milestones!$AB$187="FT",Milestones!$AA$187=FT_Y5,EDATE($D73,Milestones!$AA$187)&lt;PolicyEff),1,Milestones!$AC$187)&amp;";  ",""))</f>
        <v/>
      </c>
      <c r="W73" s="0" t="str">
        <f aca="false">IF(OR($A73="",$D73=""),"",IF(AND(EDATE($D73,Milestones!$AA$188)&lt;=AsOfDate,EDATE($D73,Milestones!$AA$188)&gt;=SchemeStart,IF($X73=0,$AD73,IF(AND($Z73&lt;&gt;"",EDATE($D73,Milestones!$AA$188)&gt;=$Z73),$AC73,IF(AND($Y73&lt;&gt;"",EDATE($D73,Milestones!$AA$188)&gt;=$Y73),$AB73,$AA73)))=Milestones!$AB$188),UPPER(TEXT(EDATE($D73,Milestones!$AA$188),"dd mmm yy"))&amp;" "&amp;Milestones!$AB$188&amp;" "&amp;IF(AND(Milestones!$AB$188="FT",Milestones!$AA$188=FT_Y5,EDATE($D73,Milestones!$AA$188)&lt;PolicyEff),1,Milestones!$AC$188)&amp;";  ","")&amp;IF(AND(EDATE($D73,Milestones!$AA$189)&lt;=AsOfDate,EDATE($D73,Milestones!$AA$189)&gt;=SchemeStart,IF($X73=0,$AD73,IF(AND($Z73&lt;&gt;"",EDATE($D73,Milestones!$AA$189)&gt;=$Z73),$AC73,IF(AND($Y73&lt;&gt;"",EDATE($D73,Milestones!$AA$189)&gt;=$Y73),$AB73,$AA73)))=Milestones!$AB$189),UPPER(TEXT(EDATE($D73,Milestones!$AA$189),"dd mmm yy"))&amp;" "&amp;Milestones!$AB$189&amp;" "&amp;IF(AND(Milestones!$AB$189="FT",Milestones!$AA$189=FT_Y5,EDATE($D73,Milestones!$AA$189)&lt;PolicyEff),1,Milestones!$AC$189)&amp;";  ","")&amp;IF(AND(EDATE($D73,Milestones!$AA$190)&lt;=AsOfDate,EDATE($D73,Milestones!$AA$190)&gt;=SchemeStart,IF($X73=0,$AD73,IF(AND($Z73&lt;&gt;"",EDATE($D73,Milestones!$AA$190)&gt;=$Z73),$AC73,IF(AND($Y73&lt;&gt;"",EDATE($D73,Milestones!$AA$190)&gt;=$Y73),$AB73,$AA73)))=Milestones!$AB$190),UPPER(TEXT(EDATE($D73,Milestones!$AA$190),"dd mmm yy"))&amp;" "&amp;Milestones!$AB$190&amp;" "&amp;IF(AND(Milestones!$AB$190="FT",Milestones!$AA$190=FT_Y5,EDATE($D73,Milestones!$AA$190)&lt;PolicyEff),1,Milestones!$AC$190)&amp;";  ","")&amp;IF(AND(EDATE($D73,Milestones!$AA$191)&lt;=AsOfDate,EDATE($D73,Milestones!$AA$191)&gt;=SchemeStart,IF($X73=0,$AD73,IF(AND($Z73&lt;&gt;"",EDATE($D73,Milestones!$AA$191)&gt;=$Z73),$AC73,IF(AND($Y73&lt;&gt;"",EDATE($D73,Milestones!$AA$191)&gt;=$Y73),$AB73,$AA73)))=Milestones!$AB$191),UPPER(TEXT(EDATE($D73,Milestones!$AA$191),"dd mmm yy"))&amp;" "&amp;Milestones!$AB$191&amp;" "&amp;IF(AND(Milestones!$AB$191="FT",Milestones!$AA$191=FT_Y5,EDATE($D73,Milestones!$AA$191)&lt;PolicyEff),1,Milestones!$AC$191)&amp;";  ","")&amp;IF(AND(EDATE($D73,Milestones!$AA$192)&lt;=AsOfDate,EDATE($D73,Milestones!$AA$192)&gt;=SchemeStart,IF($X73=0,$AD73,IF(AND($Z73&lt;&gt;"",EDATE($D73,Milestones!$AA$192)&gt;=$Z73),$AC73,IF(AND($Y73&lt;&gt;"",EDATE($D73,Milestones!$AA$192)&gt;=$Y73),$AB73,$AA73)))=Milestones!$AB$192),UPPER(TEXT(EDATE($D73,Milestones!$AA$192),"dd mmm yy"))&amp;" "&amp;Milestones!$AB$192&amp;" "&amp;IF(AND(Milestones!$AB$192="FT",Milestones!$AA$192=FT_Y5,EDATE($D73,Milestones!$AA$192)&lt;PolicyEff),1,Milestones!$AC$192)&amp;";  ","")&amp;IF(AND(EDATE($D73,Milestones!$AA$193)&lt;=AsOfDate,EDATE($D73,Milestones!$AA$193)&gt;=SchemeStart,IF($X73=0,$AD73,IF(AND($Z73&lt;&gt;"",EDATE($D73,Milestones!$AA$193)&gt;=$Z73),$AC73,IF(AND($Y73&lt;&gt;"",EDATE($D73,Milestones!$AA$193)&gt;=$Y73),$AB73,$AA73)))=Milestones!$AB$193),UPPER(TEXT(EDATE($D73,Milestones!$AA$193),"dd mmm yy"))&amp;" "&amp;Milestones!$AB$193&amp;" "&amp;IF(AND(Milestones!$AB$193="FT",Milestones!$AA$193=FT_Y5,EDATE($D73,Milestones!$AA$193)&lt;PolicyEff),1,Milestones!$AC$193)&amp;";  ","")&amp;IF(AND(EDATE($D73,Milestones!$AA$194)&lt;=AsOfDate,EDATE($D73,Milestones!$AA$194)&gt;=SchemeStart,IF($X73=0,$AD73,IF(AND($Z73&lt;&gt;"",EDATE($D73,Milestones!$AA$194)&gt;=$Z73),$AC73,IF(AND($Y73&lt;&gt;"",EDATE($D73,Milestones!$AA$194)&gt;=$Y73),$AB73,$AA73)))=Milestones!$AB$194),UPPER(TEXT(EDATE($D73,Milestones!$AA$194),"dd mmm yy"))&amp;" "&amp;Milestones!$AB$194&amp;" "&amp;IF(AND(Milestones!$AB$194="FT",Milestones!$AA$194=FT_Y5,EDATE($D73,Milestones!$AA$194)&lt;PolicyEff),1,Milestones!$AC$194)&amp;";  ","")&amp;IF(AND(EDATE($D73,Milestones!$AA$195)&lt;=AsOfDate,EDATE($D73,Milestones!$AA$195)&gt;=SchemeStart,IF($X73=0,$AD73,IF(AND($Z73&lt;&gt;"",EDATE($D73,Milestones!$AA$195)&gt;=$Z73),$AC73,IF(AND($Y73&lt;&gt;"",EDATE($D73,Milestones!$AA$195)&gt;=$Y73),$AB73,$AA73)))=Milestones!$AB$195),UPPER(TEXT(EDATE($D73,Milestones!$AA$195),"dd mmm yy"))&amp;" "&amp;Milestones!$AB$195&amp;" "&amp;IF(AND(Milestones!$AB$195="FT",Milestones!$AA$195=FT_Y5,EDATE($D73,Milestones!$AA$195)&lt;PolicyEff),1,Milestones!$AC$195)&amp;";  ","")&amp;IF(AND(EDATE($D73,Milestones!$AA$196)&lt;=AsOfDate,EDATE($D73,Milestones!$AA$196)&gt;=SchemeStart,IF($X73=0,$AD73,IF(AND($Z73&lt;&gt;"",EDATE($D73,Milestones!$AA$196)&gt;=$Z73),$AC73,IF(AND($Y73&lt;&gt;"",EDATE($D73,Milestones!$AA$196)&gt;=$Y73),$AB73,$AA73)))=Milestones!$AB$196),UPPER(TEXT(EDATE($D73,Milestones!$AA$196),"dd mmm yy"))&amp;" "&amp;Milestones!$AB$196&amp;" "&amp;IF(AND(Milestones!$AB$196="FT",Milestones!$AA$196=FT_Y5,EDATE($D73,Milestones!$AA$196)&lt;PolicyEff),1,Milestones!$AC$196)&amp;";  ","")&amp;IF(AND(EDATE($D73,Milestones!$AA$197)&lt;=AsOfDate,EDATE($D73,Milestones!$AA$197)&gt;=SchemeStart,IF($X73=0,$AD73,IF(AND($Z73&lt;&gt;"",EDATE($D73,Milestones!$AA$197)&gt;=$Z73),$AC73,IF(AND($Y73&lt;&gt;"",EDATE($D73,Milestones!$AA$197)&gt;=$Y73),$AB73,$AA73)))=Milestones!$AB$197),UPPER(TEXT(EDATE($D73,Milestones!$AA$197),"dd mmm yy"))&amp;" "&amp;Milestones!$AB$197&amp;" "&amp;IF(AND(Milestones!$AB$197="FT",Milestones!$AA$197=FT_Y5,EDATE($D73,Milestones!$AA$197)&lt;PolicyEff),1,Milestones!$AC$197)&amp;";  ","")&amp;IF(AND(EDATE($D73,Milestones!$AA$198)&lt;=AsOfDate,EDATE($D73,Milestones!$AA$198)&gt;=SchemeStart,IF($X73=0,$AD73,IF(AND($Z73&lt;&gt;"",EDATE($D73,Milestones!$AA$198)&gt;=$Z73),$AC73,IF(AND($Y73&lt;&gt;"",EDATE($D73,Milestones!$AA$198)&gt;=$Y73),$AB73,$AA73)))=Milestones!$AB$198),UPPER(TEXT(EDATE($D73,Milestones!$AA$198),"dd mmm yy"))&amp;" "&amp;Milestones!$AB$198&amp;" "&amp;IF(AND(Milestones!$AB$198="FT",Milestones!$AA$198=FT_Y5,EDATE($D73,Milestones!$AA$198)&lt;PolicyEff),1,Milestones!$AC$198)&amp;";  ","")&amp;IF(AND(EDATE($D73,Milestones!$AA$199)&lt;=AsOfDate,EDATE($D73,Milestones!$AA$199)&gt;=SchemeStart,IF($X73=0,$AD73,IF(AND($Z73&lt;&gt;"",EDATE($D73,Milestones!$AA$199)&gt;=$Z73),$AC73,IF(AND($Y73&lt;&gt;"",EDATE($D73,Milestones!$AA$199)&gt;=$Y73),$AB73,$AA73)))=Milestones!$AB$199),UPPER(TEXT(EDATE($D73,Milestones!$AA$199),"dd mmm yy"))&amp;" "&amp;Milestones!$AB$199&amp;" "&amp;IF(AND(Milestones!$AB$199="FT",Milestones!$AA$199=FT_Y5,EDATE($D73,Milestones!$AA$199)&lt;PolicyEff),1,Milestones!$AC$199)&amp;";  ",""))</f>
        <v/>
      </c>
      <c r="X73" s="0" t="str">
        <f aca="false">IF(Staff!$A73="","",Staff!$AM73)</f>
        <v/>
      </c>
      <c r="Y73" s="0" t="str">
        <f aca="false">IF(Staff!$A73="","",Staff!$AO73)</f>
        <v/>
      </c>
      <c r="Z73" s="0" t="str">
        <f aca="false">IF(Staff!$A73="","",Staff!$AP73)</f>
        <v/>
      </c>
      <c r="AA73" s="0" t="str">
        <f aca="false">IF(Staff!$A73="","",Staff!$AT73)</f>
        <v/>
      </c>
      <c r="AB73" s="0" t="str">
        <f aca="false">IF(Staff!$A73="","",Staff!$AU73)</f>
        <v/>
      </c>
      <c r="AC73" s="0" t="str">
        <f aca="false">IF(Staff!$A73="","",Staff!$AV73)</f>
        <v/>
      </c>
      <c r="AD73" s="0" t="str">
        <f aca="false">IF(Staff!$A73="","",Staff!$AW73)</f>
        <v/>
      </c>
    </row>
    <row r="74" customFormat="false" ht="15" hidden="false" customHeight="false" outlineLevel="0" collapsed="false">
      <c r="A74" s="16" t="str">
        <f aca="false">IF(Staff!$A74="","",Staff!$A74)</f>
        <v/>
      </c>
      <c r="B74" s="16" t="str">
        <f aca="false">IF(Staff!$A74="","",Staff!$B74)</f>
        <v/>
      </c>
      <c r="C74" s="16" t="str">
        <f aca="false">IF(Staff!$A74="","",Staff!$C74)</f>
        <v/>
      </c>
      <c r="D74" s="14" t="str">
        <f aca="false">IF(Staff!$A74="","",Staff!$AL74)</f>
        <v/>
      </c>
      <c r="E74" s="16" t="str">
        <f aca="false">IF(Staff!$A74="","",Staff!$O74)</f>
        <v/>
      </c>
      <c r="F74" s="16" t="str">
        <f aca="false">IF(E74="","",E74*HoursPerDay)</f>
        <v/>
      </c>
      <c r="G74" s="16" t="str">
        <f aca="false">IF(Staff!$A74="","",Staff!$AE74)</f>
        <v/>
      </c>
      <c r="H74" s="28" t="str">
        <f aca="false">IF($A74="","",I74&amp;J74&amp;K74&amp;L74&amp;M74&amp;N74&amp;O74&amp;P74&amp;Q74&amp;R74&amp;S74&amp;T74&amp;U74&amp;V74&amp;W74)</f>
        <v/>
      </c>
      <c r="I74" s="0" t="str">
        <f aca="false">IF(OR($A74="",$D74=""),"",IF(AND(EDATE($D74,Milestones!$AA$20)&lt;=AsOfDate,EDATE($D74,Milestones!$AA$20)&gt;=SchemeStart,IF($X74=0,$AD74,IF(AND($Z74&lt;&gt;"",EDATE($D74,Milestones!$AA$20)&gt;=$Z74),$AC74,IF(AND($Y74&lt;&gt;"",EDATE($D74,Milestones!$AA$20)&gt;=$Y74),$AB74,$AA74)))=Milestones!$AB$20),UPPER(TEXT(EDATE($D74,Milestones!$AA$20),"dd mmm yy"))&amp;" "&amp;Milestones!$AB$20&amp;" "&amp;IF(AND(Milestones!$AB$20="FT",Milestones!$AA$20=FT_Y5,EDATE($D74,Milestones!$AA$20)&lt;PolicyEff),1,Milestones!$AC$20)&amp;";  ","")&amp;IF(AND(EDATE($D74,Milestones!$AA$21)&lt;=AsOfDate,EDATE($D74,Milestones!$AA$21)&gt;=SchemeStart,IF($X74=0,$AD74,IF(AND($Z74&lt;&gt;"",EDATE($D74,Milestones!$AA$21)&gt;=$Z74),$AC74,IF(AND($Y74&lt;&gt;"",EDATE($D74,Milestones!$AA$21)&gt;=$Y74),$AB74,$AA74)))=Milestones!$AB$21),UPPER(TEXT(EDATE($D74,Milestones!$AA$21),"dd mmm yy"))&amp;" "&amp;Milestones!$AB$21&amp;" "&amp;IF(AND(Milestones!$AB$21="FT",Milestones!$AA$21=FT_Y5,EDATE($D74,Milestones!$AA$21)&lt;PolicyEff),1,Milestones!$AC$21)&amp;";  ","")&amp;IF(AND(EDATE($D74,Milestones!$AA$22)&lt;=AsOfDate,EDATE($D74,Milestones!$AA$22)&gt;=SchemeStart,IF($X74=0,$AD74,IF(AND($Z74&lt;&gt;"",EDATE($D74,Milestones!$AA$22)&gt;=$Z74),$AC74,IF(AND($Y74&lt;&gt;"",EDATE($D74,Milestones!$AA$22)&gt;=$Y74),$AB74,$AA74)))=Milestones!$AB$22),UPPER(TEXT(EDATE($D74,Milestones!$AA$22),"dd mmm yy"))&amp;" "&amp;Milestones!$AB$22&amp;" "&amp;IF(AND(Milestones!$AB$22="FT",Milestones!$AA$22=FT_Y5,EDATE($D74,Milestones!$AA$22)&lt;PolicyEff),1,Milestones!$AC$22)&amp;";  ","")&amp;IF(AND(EDATE($D74,Milestones!$AA$23)&lt;=AsOfDate,EDATE($D74,Milestones!$AA$23)&gt;=SchemeStart,IF($X74=0,$AD74,IF(AND($Z74&lt;&gt;"",EDATE($D74,Milestones!$AA$23)&gt;=$Z74),$AC74,IF(AND($Y74&lt;&gt;"",EDATE($D74,Milestones!$AA$23)&gt;=$Y74),$AB74,$AA74)))=Milestones!$AB$23),UPPER(TEXT(EDATE($D74,Milestones!$AA$23),"dd mmm yy"))&amp;" "&amp;Milestones!$AB$23&amp;" "&amp;IF(AND(Milestones!$AB$23="FT",Milestones!$AA$23=FT_Y5,EDATE($D74,Milestones!$AA$23)&lt;PolicyEff),1,Milestones!$AC$23)&amp;";  ","")&amp;IF(AND(EDATE($D74,Milestones!$AA$24)&lt;=AsOfDate,EDATE($D74,Milestones!$AA$24)&gt;=SchemeStart,IF($X74=0,$AD74,IF(AND($Z74&lt;&gt;"",EDATE($D74,Milestones!$AA$24)&gt;=$Z74),$AC74,IF(AND($Y74&lt;&gt;"",EDATE($D74,Milestones!$AA$24)&gt;=$Y74),$AB74,$AA74)))=Milestones!$AB$24),UPPER(TEXT(EDATE($D74,Milestones!$AA$24),"dd mmm yy"))&amp;" "&amp;Milestones!$AB$24&amp;" "&amp;IF(AND(Milestones!$AB$24="FT",Milestones!$AA$24=FT_Y5,EDATE($D74,Milestones!$AA$24)&lt;PolicyEff),1,Milestones!$AC$24)&amp;";  ","")&amp;IF(AND(EDATE($D74,Milestones!$AA$25)&lt;=AsOfDate,EDATE($D74,Milestones!$AA$25)&gt;=SchemeStart,IF($X74=0,$AD74,IF(AND($Z74&lt;&gt;"",EDATE($D74,Milestones!$AA$25)&gt;=$Z74),$AC74,IF(AND($Y74&lt;&gt;"",EDATE($D74,Milestones!$AA$25)&gt;=$Y74),$AB74,$AA74)))=Milestones!$AB$25),UPPER(TEXT(EDATE($D74,Milestones!$AA$25),"dd mmm yy"))&amp;" "&amp;Milestones!$AB$25&amp;" "&amp;IF(AND(Milestones!$AB$25="FT",Milestones!$AA$25=FT_Y5,EDATE($D74,Milestones!$AA$25)&lt;PolicyEff),1,Milestones!$AC$25)&amp;";  ","")&amp;IF(AND(EDATE($D74,Milestones!$AA$26)&lt;=AsOfDate,EDATE($D74,Milestones!$AA$26)&gt;=SchemeStart,IF($X74=0,$AD74,IF(AND($Z74&lt;&gt;"",EDATE($D74,Milestones!$AA$26)&gt;=$Z74),$AC74,IF(AND($Y74&lt;&gt;"",EDATE($D74,Milestones!$AA$26)&gt;=$Y74),$AB74,$AA74)))=Milestones!$AB$26),UPPER(TEXT(EDATE($D74,Milestones!$AA$26),"dd mmm yy"))&amp;" "&amp;Milestones!$AB$26&amp;" "&amp;IF(AND(Milestones!$AB$26="FT",Milestones!$AA$26=FT_Y5,EDATE($D74,Milestones!$AA$26)&lt;PolicyEff),1,Milestones!$AC$26)&amp;";  ","")&amp;IF(AND(EDATE($D74,Milestones!$AA$27)&lt;=AsOfDate,EDATE($D74,Milestones!$AA$27)&gt;=SchemeStart,IF($X74=0,$AD74,IF(AND($Z74&lt;&gt;"",EDATE($D74,Milestones!$AA$27)&gt;=$Z74),$AC74,IF(AND($Y74&lt;&gt;"",EDATE($D74,Milestones!$AA$27)&gt;=$Y74),$AB74,$AA74)))=Milestones!$AB$27),UPPER(TEXT(EDATE($D74,Milestones!$AA$27),"dd mmm yy"))&amp;" "&amp;Milestones!$AB$27&amp;" "&amp;IF(AND(Milestones!$AB$27="FT",Milestones!$AA$27=FT_Y5,EDATE($D74,Milestones!$AA$27)&lt;PolicyEff),1,Milestones!$AC$27)&amp;";  ","")&amp;IF(AND(EDATE($D74,Milestones!$AA$28)&lt;=AsOfDate,EDATE($D74,Milestones!$AA$28)&gt;=SchemeStart,IF($X74=0,$AD74,IF(AND($Z74&lt;&gt;"",EDATE($D74,Milestones!$AA$28)&gt;=$Z74),$AC74,IF(AND($Y74&lt;&gt;"",EDATE($D74,Milestones!$AA$28)&gt;=$Y74),$AB74,$AA74)))=Milestones!$AB$28),UPPER(TEXT(EDATE($D74,Milestones!$AA$28),"dd mmm yy"))&amp;" "&amp;Milestones!$AB$28&amp;" "&amp;IF(AND(Milestones!$AB$28="FT",Milestones!$AA$28=FT_Y5,EDATE($D74,Milestones!$AA$28)&lt;PolicyEff),1,Milestones!$AC$28)&amp;";  ","")&amp;IF(AND(EDATE($D74,Milestones!$AA$29)&lt;=AsOfDate,EDATE($D74,Milestones!$AA$29)&gt;=SchemeStart,IF($X74=0,$AD74,IF(AND($Z74&lt;&gt;"",EDATE($D74,Milestones!$AA$29)&gt;=$Z74),$AC74,IF(AND($Y74&lt;&gt;"",EDATE($D74,Milestones!$AA$29)&gt;=$Y74),$AB74,$AA74)))=Milestones!$AB$29),UPPER(TEXT(EDATE($D74,Milestones!$AA$29),"dd mmm yy"))&amp;" "&amp;Milestones!$AB$29&amp;" "&amp;IF(AND(Milestones!$AB$29="FT",Milestones!$AA$29=FT_Y5,EDATE($D74,Milestones!$AA$29)&lt;PolicyEff),1,Milestones!$AC$29)&amp;";  ","")&amp;IF(AND(EDATE($D74,Milestones!$AA$30)&lt;=AsOfDate,EDATE($D74,Milestones!$AA$30)&gt;=SchemeStart,IF($X74=0,$AD74,IF(AND($Z74&lt;&gt;"",EDATE($D74,Milestones!$AA$30)&gt;=$Z74),$AC74,IF(AND($Y74&lt;&gt;"",EDATE($D74,Milestones!$AA$30)&gt;=$Y74),$AB74,$AA74)))=Milestones!$AB$30),UPPER(TEXT(EDATE($D74,Milestones!$AA$30),"dd mmm yy"))&amp;" "&amp;Milestones!$AB$30&amp;" "&amp;IF(AND(Milestones!$AB$30="FT",Milestones!$AA$30=FT_Y5,EDATE($D74,Milestones!$AA$30)&lt;PolicyEff),1,Milestones!$AC$30)&amp;";  ","")&amp;IF(AND(EDATE($D74,Milestones!$AA$31)&lt;=AsOfDate,EDATE($D74,Milestones!$AA$31)&gt;=SchemeStart,IF($X74=0,$AD74,IF(AND($Z74&lt;&gt;"",EDATE($D74,Milestones!$AA$31)&gt;=$Z74),$AC74,IF(AND($Y74&lt;&gt;"",EDATE($D74,Milestones!$AA$31)&gt;=$Y74),$AB74,$AA74)))=Milestones!$AB$31),UPPER(TEXT(EDATE($D74,Milestones!$AA$31),"dd mmm yy"))&amp;" "&amp;Milestones!$AB$31&amp;" "&amp;IF(AND(Milestones!$AB$31="FT",Milestones!$AA$31=FT_Y5,EDATE($D74,Milestones!$AA$31)&lt;PolicyEff),1,Milestones!$AC$31)&amp;";  ",""))</f>
        <v/>
      </c>
      <c r="J74" s="0" t="str">
        <f aca="false">IF(OR($A74="",$D74=""),"",IF(AND(EDATE($D74,Milestones!$AA$32)&lt;=AsOfDate,EDATE($D74,Milestones!$AA$32)&gt;=SchemeStart,IF($X74=0,$AD74,IF(AND($Z74&lt;&gt;"",EDATE($D74,Milestones!$AA$32)&gt;=$Z74),$AC74,IF(AND($Y74&lt;&gt;"",EDATE($D74,Milestones!$AA$32)&gt;=$Y74),$AB74,$AA74)))=Milestones!$AB$32),UPPER(TEXT(EDATE($D74,Milestones!$AA$32),"dd mmm yy"))&amp;" "&amp;Milestones!$AB$32&amp;" "&amp;IF(AND(Milestones!$AB$32="FT",Milestones!$AA$32=FT_Y5,EDATE($D74,Milestones!$AA$32)&lt;PolicyEff),1,Milestones!$AC$32)&amp;";  ","")&amp;IF(AND(EDATE($D74,Milestones!$AA$33)&lt;=AsOfDate,EDATE($D74,Milestones!$AA$33)&gt;=SchemeStart,IF($X74=0,$AD74,IF(AND($Z74&lt;&gt;"",EDATE($D74,Milestones!$AA$33)&gt;=$Z74),$AC74,IF(AND($Y74&lt;&gt;"",EDATE($D74,Milestones!$AA$33)&gt;=$Y74),$AB74,$AA74)))=Milestones!$AB$33),UPPER(TEXT(EDATE($D74,Milestones!$AA$33),"dd mmm yy"))&amp;" "&amp;Milestones!$AB$33&amp;" "&amp;IF(AND(Milestones!$AB$33="FT",Milestones!$AA$33=FT_Y5,EDATE($D74,Milestones!$AA$33)&lt;PolicyEff),1,Milestones!$AC$33)&amp;";  ","")&amp;IF(AND(EDATE($D74,Milestones!$AA$34)&lt;=AsOfDate,EDATE($D74,Milestones!$AA$34)&gt;=SchemeStart,IF($X74=0,$AD74,IF(AND($Z74&lt;&gt;"",EDATE($D74,Milestones!$AA$34)&gt;=$Z74),$AC74,IF(AND($Y74&lt;&gt;"",EDATE($D74,Milestones!$AA$34)&gt;=$Y74),$AB74,$AA74)))=Milestones!$AB$34),UPPER(TEXT(EDATE($D74,Milestones!$AA$34),"dd mmm yy"))&amp;" "&amp;Milestones!$AB$34&amp;" "&amp;IF(AND(Milestones!$AB$34="FT",Milestones!$AA$34=FT_Y5,EDATE($D74,Milestones!$AA$34)&lt;PolicyEff),1,Milestones!$AC$34)&amp;";  ","")&amp;IF(AND(EDATE($D74,Milestones!$AA$35)&lt;=AsOfDate,EDATE($D74,Milestones!$AA$35)&gt;=SchemeStart,IF($X74=0,$AD74,IF(AND($Z74&lt;&gt;"",EDATE($D74,Milestones!$AA$35)&gt;=$Z74),$AC74,IF(AND($Y74&lt;&gt;"",EDATE($D74,Milestones!$AA$35)&gt;=$Y74),$AB74,$AA74)))=Milestones!$AB$35),UPPER(TEXT(EDATE($D74,Milestones!$AA$35),"dd mmm yy"))&amp;" "&amp;Milestones!$AB$35&amp;" "&amp;IF(AND(Milestones!$AB$35="FT",Milestones!$AA$35=FT_Y5,EDATE($D74,Milestones!$AA$35)&lt;PolicyEff),1,Milestones!$AC$35)&amp;";  ","")&amp;IF(AND(EDATE($D74,Milestones!$AA$36)&lt;=AsOfDate,EDATE($D74,Milestones!$AA$36)&gt;=SchemeStart,IF($X74=0,$AD74,IF(AND($Z74&lt;&gt;"",EDATE($D74,Milestones!$AA$36)&gt;=$Z74),$AC74,IF(AND($Y74&lt;&gt;"",EDATE($D74,Milestones!$AA$36)&gt;=$Y74),$AB74,$AA74)))=Milestones!$AB$36),UPPER(TEXT(EDATE($D74,Milestones!$AA$36),"dd mmm yy"))&amp;" "&amp;Milestones!$AB$36&amp;" "&amp;IF(AND(Milestones!$AB$36="FT",Milestones!$AA$36=FT_Y5,EDATE($D74,Milestones!$AA$36)&lt;PolicyEff),1,Milestones!$AC$36)&amp;";  ","")&amp;IF(AND(EDATE($D74,Milestones!$AA$37)&lt;=AsOfDate,EDATE($D74,Milestones!$AA$37)&gt;=SchemeStart,IF($X74=0,$AD74,IF(AND($Z74&lt;&gt;"",EDATE($D74,Milestones!$AA$37)&gt;=$Z74),$AC74,IF(AND($Y74&lt;&gt;"",EDATE($D74,Milestones!$AA$37)&gt;=$Y74),$AB74,$AA74)))=Milestones!$AB$37),UPPER(TEXT(EDATE($D74,Milestones!$AA$37),"dd mmm yy"))&amp;" "&amp;Milestones!$AB$37&amp;" "&amp;IF(AND(Milestones!$AB$37="FT",Milestones!$AA$37=FT_Y5,EDATE($D74,Milestones!$AA$37)&lt;PolicyEff),1,Milestones!$AC$37)&amp;";  ","")&amp;IF(AND(EDATE($D74,Milestones!$AA$38)&lt;=AsOfDate,EDATE($D74,Milestones!$AA$38)&gt;=SchemeStart,IF($X74=0,$AD74,IF(AND($Z74&lt;&gt;"",EDATE($D74,Milestones!$AA$38)&gt;=$Z74),$AC74,IF(AND($Y74&lt;&gt;"",EDATE($D74,Milestones!$AA$38)&gt;=$Y74),$AB74,$AA74)))=Milestones!$AB$38),UPPER(TEXT(EDATE($D74,Milestones!$AA$38),"dd mmm yy"))&amp;" "&amp;Milestones!$AB$38&amp;" "&amp;IF(AND(Milestones!$AB$38="FT",Milestones!$AA$38=FT_Y5,EDATE($D74,Milestones!$AA$38)&lt;PolicyEff),1,Milestones!$AC$38)&amp;";  ","")&amp;IF(AND(EDATE($D74,Milestones!$AA$39)&lt;=AsOfDate,EDATE($D74,Milestones!$AA$39)&gt;=SchemeStart,IF($X74=0,$AD74,IF(AND($Z74&lt;&gt;"",EDATE($D74,Milestones!$AA$39)&gt;=$Z74),$AC74,IF(AND($Y74&lt;&gt;"",EDATE($D74,Milestones!$AA$39)&gt;=$Y74),$AB74,$AA74)))=Milestones!$AB$39),UPPER(TEXT(EDATE($D74,Milestones!$AA$39),"dd mmm yy"))&amp;" "&amp;Milestones!$AB$39&amp;" "&amp;IF(AND(Milestones!$AB$39="FT",Milestones!$AA$39=FT_Y5,EDATE($D74,Milestones!$AA$39)&lt;PolicyEff),1,Milestones!$AC$39)&amp;";  ","")&amp;IF(AND(EDATE($D74,Milestones!$AA$40)&lt;=AsOfDate,EDATE($D74,Milestones!$AA$40)&gt;=SchemeStart,IF($X74=0,$AD74,IF(AND($Z74&lt;&gt;"",EDATE($D74,Milestones!$AA$40)&gt;=$Z74),$AC74,IF(AND($Y74&lt;&gt;"",EDATE($D74,Milestones!$AA$40)&gt;=$Y74),$AB74,$AA74)))=Milestones!$AB$40),UPPER(TEXT(EDATE($D74,Milestones!$AA$40),"dd mmm yy"))&amp;" "&amp;Milestones!$AB$40&amp;" "&amp;IF(AND(Milestones!$AB$40="FT",Milestones!$AA$40=FT_Y5,EDATE($D74,Milestones!$AA$40)&lt;PolicyEff),1,Milestones!$AC$40)&amp;";  ","")&amp;IF(AND(EDATE($D74,Milestones!$AA$41)&lt;=AsOfDate,EDATE($D74,Milestones!$AA$41)&gt;=SchemeStart,IF($X74=0,$AD74,IF(AND($Z74&lt;&gt;"",EDATE($D74,Milestones!$AA$41)&gt;=$Z74),$AC74,IF(AND($Y74&lt;&gt;"",EDATE($D74,Milestones!$AA$41)&gt;=$Y74),$AB74,$AA74)))=Milestones!$AB$41),UPPER(TEXT(EDATE($D74,Milestones!$AA$41),"dd mmm yy"))&amp;" "&amp;Milestones!$AB$41&amp;" "&amp;IF(AND(Milestones!$AB$41="FT",Milestones!$AA$41=FT_Y5,EDATE($D74,Milestones!$AA$41)&lt;PolicyEff),1,Milestones!$AC$41)&amp;";  ","")&amp;IF(AND(EDATE($D74,Milestones!$AA$42)&lt;=AsOfDate,EDATE($D74,Milestones!$AA$42)&gt;=SchemeStart,IF($X74=0,$AD74,IF(AND($Z74&lt;&gt;"",EDATE($D74,Milestones!$AA$42)&gt;=$Z74),$AC74,IF(AND($Y74&lt;&gt;"",EDATE($D74,Milestones!$AA$42)&gt;=$Y74),$AB74,$AA74)))=Milestones!$AB$42),UPPER(TEXT(EDATE($D74,Milestones!$AA$42),"dd mmm yy"))&amp;" "&amp;Milestones!$AB$42&amp;" "&amp;IF(AND(Milestones!$AB$42="FT",Milestones!$AA$42=FT_Y5,EDATE($D74,Milestones!$AA$42)&lt;PolicyEff),1,Milestones!$AC$42)&amp;";  ","")&amp;IF(AND(EDATE($D74,Milestones!$AA$43)&lt;=AsOfDate,EDATE($D74,Milestones!$AA$43)&gt;=SchemeStart,IF($X74=0,$AD74,IF(AND($Z74&lt;&gt;"",EDATE($D74,Milestones!$AA$43)&gt;=$Z74),$AC74,IF(AND($Y74&lt;&gt;"",EDATE($D74,Milestones!$AA$43)&gt;=$Y74),$AB74,$AA74)))=Milestones!$AB$43),UPPER(TEXT(EDATE($D74,Milestones!$AA$43),"dd mmm yy"))&amp;" "&amp;Milestones!$AB$43&amp;" "&amp;IF(AND(Milestones!$AB$43="FT",Milestones!$AA$43=FT_Y5,EDATE($D74,Milestones!$AA$43)&lt;PolicyEff),1,Milestones!$AC$43)&amp;";  ",""))</f>
        <v/>
      </c>
      <c r="K74" s="0" t="str">
        <f aca="false">IF(OR($A74="",$D74=""),"",IF(AND(EDATE($D74,Milestones!$AA$44)&lt;=AsOfDate,EDATE($D74,Milestones!$AA$44)&gt;=SchemeStart,IF($X74=0,$AD74,IF(AND($Z74&lt;&gt;"",EDATE($D74,Milestones!$AA$44)&gt;=$Z74),$AC74,IF(AND($Y74&lt;&gt;"",EDATE($D74,Milestones!$AA$44)&gt;=$Y74),$AB74,$AA74)))=Milestones!$AB$44),UPPER(TEXT(EDATE($D74,Milestones!$AA$44),"dd mmm yy"))&amp;" "&amp;Milestones!$AB$44&amp;" "&amp;IF(AND(Milestones!$AB$44="FT",Milestones!$AA$44=FT_Y5,EDATE($D74,Milestones!$AA$44)&lt;PolicyEff),1,Milestones!$AC$44)&amp;";  ","")&amp;IF(AND(EDATE($D74,Milestones!$AA$45)&lt;=AsOfDate,EDATE($D74,Milestones!$AA$45)&gt;=SchemeStart,IF($X74=0,$AD74,IF(AND($Z74&lt;&gt;"",EDATE($D74,Milestones!$AA$45)&gt;=$Z74),$AC74,IF(AND($Y74&lt;&gt;"",EDATE($D74,Milestones!$AA$45)&gt;=$Y74),$AB74,$AA74)))=Milestones!$AB$45),UPPER(TEXT(EDATE($D74,Milestones!$AA$45),"dd mmm yy"))&amp;" "&amp;Milestones!$AB$45&amp;" "&amp;IF(AND(Milestones!$AB$45="FT",Milestones!$AA$45=FT_Y5,EDATE($D74,Milestones!$AA$45)&lt;PolicyEff),1,Milestones!$AC$45)&amp;";  ","")&amp;IF(AND(EDATE($D74,Milestones!$AA$46)&lt;=AsOfDate,EDATE($D74,Milestones!$AA$46)&gt;=SchemeStart,IF($X74=0,$AD74,IF(AND($Z74&lt;&gt;"",EDATE($D74,Milestones!$AA$46)&gt;=$Z74),$AC74,IF(AND($Y74&lt;&gt;"",EDATE($D74,Milestones!$AA$46)&gt;=$Y74),$AB74,$AA74)))=Milestones!$AB$46),UPPER(TEXT(EDATE($D74,Milestones!$AA$46),"dd mmm yy"))&amp;" "&amp;Milestones!$AB$46&amp;" "&amp;IF(AND(Milestones!$AB$46="FT",Milestones!$AA$46=FT_Y5,EDATE($D74,Milestones!$AA$46)&lt;PolicyEff),1,Milestones!$AC$46)&amp;";  ","")&amp;IF(AND(EDATE($D74,Milestones!$AA$47)&lt;=AsOfDate,EDATE($D74,Milestones!$AA$47)&gt;=SchemeStart,IF($X74=0,$AD74,IF(AND($Z74&lt;&gt;"",EDATE($D74,Milestones!$AA$47)&gt;=$Z74),$AC74,IF(AND($Y74&lt;&gt;"",EDATE($D74,Milestones!$AA$47)&gt;=$Y74),$AB74,$AA74)))=Milestones!$AB$47),UPPER(TEXT(EDATE($D74,Milestones!$AA$47),"dd mmm yy"))&amp;" "&amp;Milestones!$AB$47&amp;" "&amp;IF(AND(Milestones!$AB$47="FT",Milestones!$AA$47=FT_Y5,EDATE($D74,Milestones!$AA$47)&lt;PolicyEff),1,Milestones!$AC$47)&amp;";  ","")&amp;IF(AND(EDATE($D74,Milestones!$AA$48)&lt;=AsOfDate,EDATE($D74,Milestones!$AA$48)&gt;=SchemeStart,IF($X74=0,$AD74,IF(AND($Z74&lt;&gt;"",EDATE($D74,Milestones!$AA$48)&gt;=$Z74),$AC74,IF(AND($Y74&lt;&gt;"",EDATE($D74,Milestones!$AA$48)&gt;=$Y74),$AB74,$AA74)))=Milestones!$AB$48),UPPER(TEXT(EDATE($D74,Milestones!$AA$48),"dd mmm yy"))&amp;" "&amp;Milestones!$AB$48&amp;" "&amp;IF(AND(Milestones!$AB$48="FT",Milestones!$AA$48=FT_Y5,EDATE($D74,Milestones!$AA$48)&lt;PolicyEff),1,Milestones!$AC$48)&amp;";  ","")&amp;IF(AND(EDATE($D74,Milestones!$AA$49)&lt;=AsOfDate,EDATE($D74,Milestones!$AA$49)&gt;=SchemeStart,IF($X74=0,$AD74,IF(AND($Z74&lt;&gt;"",EDATE($D74,Milestones!$AA$49)&gt;=$Z74),$AC74,IF(AND($Y74&lt;&gt;"",EDATE($D74,Milestones!$AA$49)&gt;=$Y74),$AB74,$AA74)))=Milestones!$AB$49),UPPER(TEXT(EDATE($D74,Milestones!$AA$49),"dd mmm yy"))&amp;" "&amp;Milestones!$AB$49&amp;" "&amp;IF(AND(Milestones!$AB$49="FT",Milestones!$AA$49=FT_Y5,EDATE($D74,Milestones!$AA$49)&lt;PolicyEff),1,Milestones!$AC$49)&amp;";  ","")&amp;IF(AND(EDATE($D74,Milestones!$AA$50)&lt;=AsOfDate,EDATE($D74,Milestones!$AA$50)&gt;=SchemeStart,IF($X74=0,$AD74,IF(AND($Z74&lt;&gt;"",EDATE($D74,Milestones!$AA$50)&gt;=$Z74),$AC74,IF(AND($Y74&lt;&gt;"",EDATE($D74,Milestones!$AA$50)&gt;=$Y74),$AB74,$AA74)))=Milestones!$AB$50),UPPER(TEXT(EDATE($D74,Milestones!$AA$50),"dd mmm yy"))&amp;" "&amp;Milestones!$AB$50&amp;" "&amp;IF(AND(Milestones!$AB$50="FT",Milestones!$AA$50=FT_Y5,EDATE($D74,Milestones!$AA$50)&lt;PolicyEff),1,Milestones!$AC$50)&amp;";  ","")&amp;IF(AND(EDATE($D74,Milestones!$AA$51)&lt;=AsOfDate,EDATE($D74,Milestones!$AA$51)&gt;=SchemeStart,IF($X74=0,$AD74,IF(AND($Z74&lt;&gt;"",EDATE($D74,Milestones!$AA$51)&gt;=$Z74),$AC74,IF(AND($Y74&lt;&gt;"",EDATE($D74,Milestones!$AA$51)&gt;=$Y74),$AB74,$AA74)))=Milestones!$AB$51),UPPER(TEXT(EDATE($D74,Milestones!$AA$51),"dd mmm yy"))&amp;" "&amp;Milestones!$AB$51&amp;" "&amp;IF(AND(Milestones!$AB$51="FT",Milestones!$AA$51=FT_Y5,EDATE($D74,Milestones!$AA$51)&lt;PolicyEff),1,Milestones!$AC$51)&amp;";  ","")&amp;IF(AND(EDATE($D74,Milestones!$AA$52)&lt;=AsOfDate,EDATE($D74,Milestones!$AA$52)&gt;=SchemeStart,IF($X74=0,$AD74,IF(AND($Z74&lt;&gt;"",EDATE($D74,Milestones!$AA$52)&gt;=$Z74),$AC74,IF(AND($Y74&lt;&gt;"",EDATE($D74,Milestones!$AA$52)&gt;=$Y74),$AB74,$AA74)))=Milestones!$AB$52),UPPER(TEXT(EDATE($D74,Milestones!$AA$52),"dd mmm yy"))&amp;" "&amp;Milestones!$AB$52&amp;" "&amp;IF(AND(Milestones!$AB$52="FT",Milestones!$AA$52=FT_Y5,EDATE($D74,Milestones!$AA$52)&lt;PolicyEff),1,Milestones!$AC$52)&amp;";  ","")&amp;IF(AND(EDATE($D74,Milestones!$AA$53)&lt;=AsOfDate,EDATE($D74,Milestones!$AA$53)&gt;=SchemeStart,IF($X74=0,$AD74,IF(AND($Z74&lt;&gt;"",EDATE($D74,Milestones!$AA$53)&gt;=$Z74),$AC74,IF(AND($Y74&lt;&gt;"",EDATE($D74,Milestones!$AA$53)&gt;=$Y74),$AB74,$AA74)))=Milestones!$AB$53),UPPER(TEXT(EDATE($D74,Milestones!$AA$53),"dd mmm yy"))&amp;" "&amp;Milestones!$AB$53&amp;" "&amp;IF(AND(Milestones!$AB$53="FT",Milestones!$AA$53=FT_Y5,EDATE($D74,Milestones!$AA$53)&lt;PolicyEff),1,Milestones!$AC$53)&amp;";  ","")&amp;IF(AND(EDATE($D74,Milestones!$AA$54)&lt;=AsOfDate,EDATE($D74,Milestones!$AA$54)&gt;=SchemeStart,IF($X74=0,$AD74,IF(AND($Z74&lt;&gt;"",EDATE($D74,Milestones!$AA$54)&gt;=$Z74),$AC74,IF(AND($Y74&lt;&gt;"",EDATE($D74,Milestones!$AA$54)&gt;=$Y74),$AB74,$AA74)))=Milestones!$AB$54),UPPER(TEXT(EDATE($D74,Milestones!$AA$54),"dd mmm yy"))&amp;" "&amp;Milestones!$AB$54&amp;" "&amp;IF(AND(Milestones!$AB$54="FT",Milestones!$AA$54=FT_Y5,EDATE($D74,Milestones!$AA$54)&lt;PolicyEff),1,Milestones!$AC$54)&amp;";  ","")&amp;IF(AND(EDATE($D74,Milestones!$AA$55)&lt;=AsOfDate,EDATE($D74,Milestones!$AA$55)&gt;=SchemeStart,IF($X74=0,$AD74,IF(AND($Z74&lt;&gt;"",EDATE($D74,Milestones!$AA$55)&gt;=$Z74),$AC74,IF(AND($Y74&lt;&gt;"",EDATE($D74,Milestones!$AA$55)&gt;=$Y74),$AB74,$AA74)))=Milestones!$AB$55),UPPER(TEXT(EDATE($D74,Milestones!$AA$55),"dd mmm yy"))&amp;" "&amp;Milestones!$AB$55&amp;" "&amp;IF(AND(Milestones!$AB$55="FT",Milestones!$AA$55=FT_Y5,EDATE($D74,Milestones!$AA$55)&lt;PolicyEff),1,Milestones!$AC$55)&amp;";  ",""))</f>
        <v/>
      </c>
      <c r="L74" s="0" t="str">
        <f aca="false">IF(OR($A74="",$D74=""),"",IF(AND(EDATE($D74,Milestones!$AA$56)&lt;=AsOfDate,EDATE($D74,Milestones!$AA$56)&gt;=SchemeStart,IF($X74=0,$AD74,IF(AND($Z74&lt;&gt;"",EDATE($D74,Milestones!$AA$56)&gt;=$Z74),$AC74,IF(AND($Y74&lt;&gt;"",EDATE($D74,Milestones!$AA$56)&gt;=$Y74),$AB74,$AA74)))=Milestones!$AB$56),UPPER(TEXT(EDATE($D74,Milestones!$AA$56),"dd mmm yy"))&amp;" "&amp;Milestones!$AB$56&amp;" "&amp;IF(AND(Milestones!$AB$56="FT",Milestones!$AA$56=FT_Y5,EDATE($D74,Milestones!$AA$56)&lt;PolicyEff),1,Milestones!$AC$56)&amp;";  ","")&amp;IF(AND(EDATE($D74,Milestones!$AA$57)&lt;=AsOfDate,EDATE($D74,Milestones!$AA$57)&gt;=SchemeStart,IF($X74=0,$AD74,IF(AND($Z74&lt;&gt;"",EDATE($D74,Milestones!$AA$57)&gt;=$Z74),$AC74,IF(AND($Y74&lt;&gt;"",EDATE($D74,Milestones!$AA$57)&gt;=$Y74),$AB74,$AA74)))=Milestones!$AB$57),UPPER(TEXT(EDATE($D74,Milestones!$AA$57),"dd mmm yy"))&amp;" "&amp;Milestones!$AB$57&amp;" "&amp;IF(AND(Milestones!$AB$57="FT",Milestones!$AA$57=FT_Y5,EDATE($D74,Milestones!$AA$57)&lt;PolicyEff),1,Milestones!$AC$57)&amp;";  ","")&amp;IF(AND(EDATE($D74,Milestones!$AA$58)&lt;=AsOfDate,EDATE($D74,Milestones!$AA$58)&gt;=SchemeStart,IF($X74=0,$AD74,IF(AND($Z74&lt;&gt;"",EDATE($D74,Milestones!$AA$58)&gt;=$Z74),$AC74,IF(AND($Y74&lt;&gt;"",EDATE($D74,Milestones!$AA$58)&gt;=$Y74),$AB74,$AA74)))=Milestones!$AB$58),UPPER(TEXT(EDATE($D74,Milestones!$AA$58),"dd mmm yy"))&amp;" "&amp;Milestones!$AB$58&amp;" "&amp;IF(AND(Milestones!$AB$58="FT",Milestones!$AA$58=FT_Y5,EDATE($D74,Milestones!$AA$58)&lt;PolicyEff),1,Milestones!$AC$58)&amp;";  ","")&amp;IF(AND(EDATE($D74,Milestones!$AA$59)&lt;=AsOfDate,EDATE($D74,Milestones!$AA$59)&gt;=SchemeStart,IF($X74=0,$AD74,IF(AND($Z74&lt;&gt;"",EDATE($D74,Milestones!$AA$59)&gt;=$Z74),$AC74,IF(AND($Y74&lt;&gt;"",EDATE($D74,Milestones!$AA$59)&gt;=$Y74),$AB74,$AA74)))=Milestones!$AB$59),UPPER(TEXT(EDATE($D74,Milestones!$AA$59),"dd mmm yy"))&amp;" "&amp;Milestones!$AB$59&amp;" "&amp;IF(AND(Milestones!$AB$59="FT",Milestones!$AA$59=FT_Y5,EDATE($D74,Milestones!$AA$59)&lt;PolicyEff),1,Milestones!$AC$59)&amp;";  ","")&amp;IF(AND(EDATE($D74,Milestones!$AA$60)&lt;=AsOfDate,EDATE($D74,Milestones!$AA$60)&gt;=SchemeStart,IF($X74=0,$AD74,IF(AND($Z74&lt;&gt;"",EDATE($D74,Milestones!$AA$60)&gt;=$Z74),$AC74,IF(AND($Y74&lt;&gt;"",EDATE($D74,Milestones!$AA$60)&gt;=$Y74),$AB74,$AA74)))=Milestones!$AB$60),UPPER(TEXT(EDATE($D74,Milestones!$AA$60),"dd mmm yy"))&amp;" "&amp;Milestones!$AB$60&amp;" "&amp;IF(AND(Milestones!$AB$60="FT",Milestones!$AA$60=FT_Y5,EDATE($D74,Milestones!$AA$60)&lt;PolicyEff),1,Milestones!$AC$60)&amp;";  ","")&amp;IF(AND(EDATE($D74,Milestones!$AA$61)&lt;=AsOfDate,EDATE($D74,Milestones!$AA$61)&gt;=SchemeStart,IF($X74=0,$AD74,IF(AND($Z74&lt;&gt;"",EDATE($D74,Milestones!$AA$61)&gt;=$Z74),$AC74,IF(AND($Y74&lt;&gt;"",EDATE($D74,Milestones!$AA$61)&gt;=$Y74),$AB74,$AA74)))=Milestones!$AB$61),UPPER(TEXT(EDATE($D74,Milestones!$AA$61),"dd mmm yy"))&amp;" "&amp;Milestones!$AB$61&amp;" "&amp;IF(AND(Milestones!$AB$61="FT",Milestones!$AA$61=FT_Y5,EDATE($D74,Milestones!$AA$61)&lt;PolicyEff),1,Milestones!$AC$61)&amp;";  ","")&amp;IF(AND(EDATE($D74,Milestones!$AA$62)&lt;=AsOfDate,EDATE($D74,Milestones!$AA$62)&gt;=SchemeStart,IF($X74=0,$AD74,IF(AND($Z74&lt;&gt;"",EDATE($D74,Milestones!$AA$62)&gt;=$Z74),$AC74,IF(AND($Y74&lt;&gt;"",EDATE($D74,Milestones!$AA$62)&gt;=$Y74),$AB74,$AA74)))=Milestones!$AB$62),UPPER(TEXT(EDATE($D74,Milestones!$AA$62),"dd mmm yy"))&amp;" "&amp;Milestones!$AB$62&amp;" "&amp;IF(AND(Milestones!$AB$62="FT",Milestones!$AA$62=FT_Y5,EDATE($D74,Milestones!$AA$62)&lt;PolicyEff),1,Milestones!$AC$62)&amp;";  ","")&amp;IF(AND(EDATE($D74,Milestones!$AA$63)&lt;=AsOfDate,EDATE($D74,Milestones!$AA$63)&gt;=SchemeStart,IF($X74=0,$AD74,IF(AND($Z74&lt;&gt;"",EDATE($D74,Milestones!$AA$63)&gt;=$Z74),$AC74,IF(AND($Y74&lt;&gt;"",EDATE($D74,Milestones!$AA$63)&gt;=$Y74),$AB74,$AA74)))=Milestones!$AB$63),UPPER(TEXT(EDATE($D74,Milestones!$AA$63),"dd mmm yy"))&amp;" "&amp;Milestones!$AB$63&amp;" "&amp;IF(AND(Milestones!$AB$63="FT",Milestones!$AA$63=FT_Y5,EDATE($D74,Milestones!$AA$63)&lt;PolicyEff),1,Milestones!$AC$63)&amp;";  ","")&amp;IF(AND(EDATE($D74,Milestones!$AA$64)&lt;=AsOfDate,EDATE($D74,Milestones!$AA$64)&gt;=SchemeStart,IF($X74=0,$AD74,IF(AND($Z74&lt;&gt;"",EDATE($D74,Milestones!$AA$64)&gt;=$Z74),$AC74,IF(AND($Y74&lt;&gt;"",EDATE($D74,Milestones!$AA$64)&gt;=$Y74),$AB74,$AA74)))=Milestones!$AB$64),UPPER(TEXT(EDATE($D74,Milestones!$AA$64),"dd mmm yy"))&amp;" "&amp;Milestones!$AB$64&amp;" "&amp;IF(AND(Milestones!$AB$64="FT",Milestones!$AA$64=FT_Y5,EDATE($D74,Milestones!$AA$64)&lt;PolicyEff),1,Milestones!$AC$64)&amp;";  ","")&amp;IF(AND(EDATE($D74,Milestones!$AA$65)&lt;=AsOfDate,EDATE($D74,Milestones!$AA$65)&gt;=SchemeStart,IF($X74=0,$AD74,IF(AND($Z74&lt;&gt;"",EDATE($D74,Milestones!$AA$65)&gt;=$Z74),$AC74,IF(AND($Y74&lt;&gt;"",EDATE($D74,Milestones!$AA$65)&gt;=$Y74),$AB74,$AA74)))=Milestones!$AB$65),UPPER(TEXT(EDATE($D74,Milestones!$AA$65),"dd mmm yy"))&amp;" "&amp;Milestones!$AB$65&amp;" "&amp;IF(AND(Milestones!$AB$65="FT",Milestones!$AA$65=FT_Y5,EDATE($D74,Milestones!$AA$65)&lt;PolicyEff),1,Milestones!$AC$65)&amp;";  ","")&amp;IF(AND(EDATE($D74,Milestones!$AA$66)&lt;=AsOfDate,EDATE($D74,Milestones!$AA$66)&gt;=SchemeStart,IF($X74=0,$AD74,IF(AND($Z74&lt;&gt;"",EDATE($D74,Milestones!$AA$66)&gt;=$Z74),$AC74,IF(AND($Y74&lt;&gt;"",EDATE($D74,Milestones!$AA$66)&gt;=$Y74),$AB74,$AA74)))=Milestones!$AB$66),UPPER(TEXT(EDATE($D74,Milestones!$AA$66),"dd mmm yy"))&amp;" "&amp;Milestones!$AB$66&amp;" "&amp;IF(AND(Milestones!$AB$66="FT",Milestones!$AA$66=FT_Y5,EDATE($D74,Milestones!$AA$66)&lt;PolicyEff),1,Milestones!$AC$66)&amp;";  ","")&amp;IF(AND(EDATE($D74,Milestones!$AA$67)&lt;=AsOfDate,EDATE($D74,Milestones!$AA$67)&gt;=SchemeStart,IF($X74=0,$AD74,IF(AND($Z74&lt;&gt;"",EDATE($D74,Milestones!$AA$67)&gt;=$Z74),$AC74,IF(AND($Y74&lt;&gt;"",EDATE($D74,Milestones!$AA$67)&gt;=$Y74),$AB74,$AA74)))=Milestones!$AB$67),UPPER(TEXT(EDATE($D74,Milestones!$AA$67),"dd mmm yy"))&amp;" "&amp;Milestones!$AB$67&amp;" "&amp;IF(AND(Milestones!$AB$67="FT",Milestones!$AA$67=FT_Y5,EDATE($D74,Milestones!$AA$67)&lt;PolicyEff),1,Milestones!$AC$67)&amp;";  ",""))</f>
        <v/>
      </c>
      <c r="M74" s="0" t="str">
        <f aca="false">IF(OR($A74="",$D74=""),"",IF(AND(EDATE($D74,Milestones!$AA$68)&lt;=AsOfDate,EDATE($D74,Milestones!$AA$68)&gt;=SchemeStart,IF($X74=0,$AD74,IF(AND($Z74&lt;&gt;"",EDATE($D74,Milestones!$AA$68)&gt;=$Z74),$AC74,IF(AND($Y74&lt;&gt;"",EDATE($D74,Milestones!$AA$68)&gt;=$Y74),$AB74,$AA74)))=Milestones!$AB$68),UPPER(TEXT(EDATE($D74,Milestones!$AA$68),"dd mmm yy"))&amp;" "&amp;Milestones!$AB$68&amp;" "&amp;IF(AND(Milestones!$AB$68="FT",Milestones!$AA$68=FT_Y5,EDATE($D74,Milestones!$AA$68)&lt;PolicyEff),1,Milestones!$AC$68)&amp;";  ","")&amp;IF(AND(EDATE($D74,Milestones!$AA$69)&lt;=AsOfDate,EDATE($D74,Milestones!$AA$69)&gt;=SchemeStart,IF($X74=0,$AD74,IF(AND($Z74&lt;&gt;"",EDATE($D74,Milestones!$AA$69)&gt;=$Z74),$AC74,IF(AND($Y74&lt;&gt;"",EDATE($D74,Milestones!$AA$69)&gt;=$Y74),$AB74,$AA74)))=Milestones!$AB$69),UPPER(TEXT(EDATE($D74,Milestones!$AA$69),"dd mmm yy"))&amp;" "&amp;Milestones!$AB$69&amp;" "&amp;IF(AND(Milestones!$AB$69="FT",Milestones!$AA$69=FT_Y5,EDATE($D74,Milestones!$AA$69)&lt;PolicyEff),1,Milestones!$AC$69)&amp;";  ","")&amp;IF(AND(EDATE($D74,Milestones!$AA$70)&lt;=AsOfDate,EDATE($D74,Milestones!$AA$70)&gt;=SchemeStart,IF($X74=0,$AD74,IF(AND($Z74&lt;&gt;"",EDATE($D74,Milestones!$AA$70)&gt;=$Z74),$AC74,IF(AND($Y74&lt;&gt;"",EDATE($D74,Milestones!$AA$70)&gt;=$Y74),$AB74,$AA74)))=Milestones!$AB$70),UPPER(TEXT(EDATE($D74,Milestones!$AA$70),"dd mmm yy"))&amp;" "&amp;Milestones!$AB$70&amp;" "&amp;IF(AND(Milestones!$AB$70="FT",Milestones!$AA$70=FT_Y5,EDATE($D74,Milestones!$AA$70)&lt;PolicyEff),1,Milestones!$AC$70)&amp;";  ","")&amp;IF(AND(EDATE($D74,Milestones!$AA$71)&lt;=AsOfDate,EDATE($D74,Milestones!$AA$71)&gt;=SchemeStart,IF($X74=0,$AD74,IF(AND($Z74&lt;&gt;"",EDATE($D74,Milestones!$AA$71)&gt;=$Z74),$AC74,IF(AND($Y74&lt;&gt;"",EDATE($D74,Milestones!$AA$71)&gt;=$Y74),$AB74,$AA74)))=Milestones!$AB$71),UPPER(TEXT(EDATE($D74,Milestones!$AA$71),"dd mmm yy"))&amp;" "&amp;Milestones!$AB$71&amp;" "&amp;IF(AND(Milestones!$AB$71="FT",Milestones!$AA$71=FT_Y5,EDATE($D74,Milestones!$AA$71)&lt;PolicyEff),1,Milestones!$AC$71)&amp;";  ","")&amp;IF(AND(EDATE($D74,Milestones!$AA$72)&lt;=AsOfDate,EDATE($D74,Milestones!$AA$72)&gt;=SchemeStart,IF($X74=0,$AD74,IF(AND($Z74&lt;&gt;"",EDATE($D74,Milestones!$AA$72)&gt;=$Z74),$AC74,IF(AND($Y74&lt;&gt;"",EDATE($D74,Milestones!$AA$72)&gt;=$Y74),$AB74,$AA74)))=Milestones!$AB$72),UPPER(TEXT(EDATE($D74,Milestones!$AA$72),"dd mmm yy"))&amp;" "&amp;Milestones!$AB$72&amp;" "&amp;IF(AND(Milestones!$AB$72="FT",Milestones!$AA$72=FT_Y5,EDATE($D74,Milestones!$AA$72)&lt;PolicyEff),1,Milestones!$AC$72)&amp;";  ","")&amp;IF(AND(EDATE($D74,Milestones!$AA$73)&lt;=AsOfDate,EDATE($D74,Milestones!$AA$73)&gt;=SchemeStart,IF($X74=0,$AD74,IF(AND($Z74&lt;&gt;"",EDATE($D74,Milestones!$AA$73)&gt;=$Z74),$AC74,IF(AND($Y74&lt;&gt;"",EDATE($D74,Milestones!$AA$73)&gt;=$Y74),$AB74,$AA74)))=Milestones!$AB$73),UPPER(TEXT(EDATE($D74,Milestones!$AA$73),"dd mmm yy"))&amp;" "&amp;Milestones!$AB$73&amp;" "&amp;IF(AND(Milestones!$AB$73="FT",Milestones!$AA$73=FT_Y5,EDATE($D74,Milestones!$AA$73)&lt;PolicyEff),1,Milestones!$AC$73)&amp;";  ","")&amp;IF(AND(EDATE($D74,Milestones!$AA$74)&lt;=AsOfDate,EDATE($D74,Milestones!$AA$74)&gt;=SchemeStart,IF($X74=0,$AD74,IF(AND($Z74&lt;&gt;"",EDATE($D74,Milestones!$AA$74)&gt;=$Z74),$AC74,IF(AND($Y74&lt;&gt;"",EDATE($D74,Milestones!$AA$74)&gt;=$Y74),$AB74,$AA74)))=Milestones!$AB$74),UPPER(TEXT(EDATE($D74,Milestones!$AA$74),"dd mmm yy"))&amp;" "&amp;Milestones!$AB$74&amp;" "&amp;IF(AND(Milestones!$AB$74="FT",Milestones!$AA$74=FT_Y5,EDATE($D74,Milestones!$AA$74)&lt;PolicyEff),1,Milestones!$AC$74)&amp;";  ","")&amp;IF(AND(EDATE($D74,Milestones!$AA$75)&lt;=AsOfDate,EDATE($D74,Milestones!$AA$75)&gt;=SchemeStart,IF($X74=0,$AD74,IF(AND($Z74&lt;&gt;"",EDATE($D74,Milestones!$AA$75)&gt;=$Z74),$AC74,IF(AND($Y74&lt;&gt;"",EDATE($D74,Milestones!$AA$75)&gt;=$Y74),$AB74,$AA74)))=Milestones!$AB$75),UPPER(TEXT(EDATE($D74,Milestones!$AA$75),"dd mmm yy"))&amp;" "&amp;Milestones!$AB$75&amp;" "&amp;IF(AND(Milestones!$AB$75="FT",Milestones!$AA$75=FT_Y5,EDATE($D74,Milestones!$AA$75)&lt;PolicyEff),1,Milestones!$AC$75)&amp;";  ","")&amp;IF(AND(EDATE($D74,Milestones!$AA$76)&lt;=AsOfDate,EDATE($D74,Milestones!$AA$76)&gt;=SchemeStart,IF($X74=0,$AD74,IF(AND($Z74&lt;&gt;"",EDATE($D74,Milestones!$AA$76)&gt;=$Z74),$AC74,IF(AND($Y74&lt;&gt;"",EDATE($D74,Milestones!$AA$76)&gt;=$Y74),$AB74,$AA74)))=Milestones!$AB$76),UPPER(TEXT(EDATE($D74,Milestones!$AA$76),"dd mmm yy"))&amp;" "&amp;Milestones!$AB$76&amp;" "&amp;IF(AND(Milestones!$AB$76="FT",Milestones!$AA$76=FT_Y5,EDATE($D74,Milestones!$AA$76)&lt;PolicyEff),1,Milestones!$AC$76)&amp;";  ","")&amp;IF(AND(EDATE($D74,Milestones!$AA$77)&lt;=AsOfDate,EDATE($D74,Milestones!$AA$77)&gt;=SchemeStart,IF($X74=0,$AD74,IF(AND($Z74&lt;&gt;"",EDATE($D74,Milestones!$AA$77)&gt;=$Z74),$AC74,IF(AND($Y74&lt;&gt;"",EDATE($D74,Milestones!$AA$77)&gt;=$Y74),$AB74,$AA74)))=Milestones!$AB$77),UPPER(TEXT(EDATE($D74,Milestones!$AA$77),"dd mmm yy"))&amp;" "&amp;Milestones!$AB$77&amp;" "&amp;IF(AND(Milestones!$AB$77="FT",Milestones!$AA$77=FT_Y5,EDATE($D74,Milestones!$AA$77)&lt;PolicyEff),1,Milestones!$AC$77)&amp;";  ","")&amp;IF(AND(EDATE($D74,Milestones!$AA$78)&lt;=AsOfDate,EDATE($D74,Milestones!$AA$78)&gt;=SchemeStart,IF($X74=0,$AD74,IF(AND($Z74&lt;&gt;"",EDATE($D74,Milestones!$AA$78)&gt;=$Z74),$AC74,IF(AND($Y74&lt;&gt;"",EDATE($D74,Milestones!$AA$78)&gt;=$Y74),$AB74,$AA74)))=Milestones!$AB$78),UPPER(TEXT(EDATE($D74,Milestones!$AA$78),"dd mmm yy"))&amp;" "&amp;Milestones!$AB$78&amp;" "&amp;IF(AND(Milestones!$AB$78="FT",Milestones!$AA$78=FT_Y5,EDATE($D74,Milestones!$AA$78)&lt;PolicyEff),1,Milestones!$AC$78)&amp;";  ","")&amp;IF(AND(EDATE($D74,Milestones!$AA$79)&lt;=AsOfDate,EDATE($D74,Milestones!$AA$79)&gt;=SchemeStart,IF($X74=0,$AD74,IF(AND($Z74&lt;&gt;"",EDATE($D74,Milestones!$AA$79)&gt;=$Z74),$AC74,IF(AND($Y74&lt;&gt;"",EDATE($D74,Milestones!$AA$79)&gt;=$Y74),$AB74,$AA74)))=Milestones!$AB$79),UPPER(TEXT(EDATE($D74,Milestones!$AA$79),"dd mmm yy"))&amp;" "&amp;Milestones!$AB$79&amp;" "&amp;IF(AND(Milestones!$AB$79="FT",Milestones!$AA$79=FT_Y5,EDATE($D74,Milestones!$AA$79)&lt;PolicyEff),1,Milestones!$AC$79)&amp;";  ",""))</f>
        <v/>
      </c>
      <c r="N74" s="0" t="str">
        <f aca="false">IF(OR($A74="",$D74=""),"",IF(AND(EDATE($D74,Milestones!$AA$80)&lt;=AsOfDate,EDATE($D74,Milestones!$AA$80)&gt;=SchemeStart,IF($X74=0,$AD74,IF(AND($Z74&lt;&gt;"",EDATE($D74,Milestones!$AA$80)&gt;=$Z74),$AC74,IF(AND($Y74&lt;&gt;"",EDATE($D74,Milestones!$AA$80)&gt;=$Y74),$AB74,$AA74)))=Milestones!$AB$80),UPPER(TEXT(EDATE($D74,Milestones!$AA$80),"dd mmm yy"))&amp;" "&amp;Milestones!$AB$80&amp;" "&amp;IF(AND(Milestones!$AB$80="FT",Milestones!$AA$80=FT_Y5,EDATE($D74,Milestones!$AA$80)&lt;PolicyEff),1,Milestones!$AC$80)&amp;";  ","")&amp;IF(AND(EDATE($D74,Milestones!$AA$81)&lt;=AsOfDate,EDATE($D74,Milestones!$AA$81)&gt;=SchemeStart,IF($X74=0,$AD74,IF(AND($Z74&lt;&gt;"",EDATE($D74,Milestones!$AA$81)&gt;=$Z74),$AC74,IF(AND($Y74&lt;&gt;"",EDATE($D74,Milestones!$AA$81)&gt;=$Y74),$AB74,$AA74)))=Milestones!$AB$81),UPPER(TEXT(EDATE($D74,Milestones!$AA$81),"dd mmm yy"))&amp;" "&amp;Milestones!$AB$81&amp;" "&amp;IF(AND(Milestones!$AB$81="FT",Milestones!$AA$81=FT_Y5,EDATE($D74,Milestones!$AA$81)&lt;PolicyEff),1,Milestones!$AC$81)&amp;";  ","")&amp;IF(AND(EDATE($D74,Milestones!$AA$82)&lt;=AsOfDate,EDATE($D74,Milestones!$AA$82)&gt;=SchemeStart,IF($X74=0,$AD74,IF(AND($Z74&lt;&gt;"",EDATE($D74,Milestones!$AA$82)&gt;=$Z74),$AC74,IF(AND($Y74&lt;&gt;"",EDATE($D74,Milestones!$AA$82)&gt;=$Y74),$AB74,$AA74)))=Milestones!$AB$82),UPPER(TEXT(EDATE($D74,Milestones!$AA$82),"dd mmm yy"))&amp;" "&amp;Milestones!$AB$82&amp;" "&amp;IF(AND(Milestones!$AB$82="FT",Milestones!$AA$82=FT_Y5,EDATE($D74,Milestones!$AA$82)&lt;PolicyEff),1,Milestones!$AC$82)&amp;";  ","")&amp;IF(AND(EDATE($D74,Milestones!$AA$83)&lt;=AsOfDate,EDATE($D74,Milestones!$AA$83)&gt;=SchemeStart,IF($X74=0,$AD74,IF(AND($Z74&lt;&gt;"",EDATE($D74,Milestones!$AA$83)&gt;=$Z74),$AC74,IF(AND($Y74&lt;&gt;"",EDATE($D74,Milestones!$AA$83)&gt;=$Y74),$AB74,$AA74)))=Milestones!$AB$83),UPPER(TEXT(EDATE($D74,Milestones!$AA$83),"dd mmm yy"))&amp;" "&amp;Milestones!$AB$83&amp;" "&amp;IF(AND(Milestones!$AB$83="FT",Milestones!$AA$83=FT_Y5,EDATE($D74,Milestones!$AA$83)&lt;PolicyEff),1,Milestones!$AC$83)&amp;";  ","")&amp;IF(AND(EDATE($D74,Milestones!$AA$84)&lt;=AsOfDate,EDATE($D74,Milestones!$AA$84)&gt;=SchemeStart,IF($X74=0,$AD74,IF(AND($Z74&lt;&gt;"",EDATE($D74,Milestones!$AA$84)&gt;=$Z74),$AC74,IF(AND($Y74&lt;&gt;"",EDATE($D74,Milestones!$AA$84)&gt;=$Y74),$AB74,$AA74)))=Milestones!$AB$84),UPPER(TEXT(EDATE($D74,Milestones!$AA$84),"dd mmm yy"))&amp;" "&amp;Milestones!$AB$84&amp;" "&amp;IF(AND(Milestones!$AB$84="FT",Milestones!$AA$84=FT_Y5,EDATE($D74,Milestones!$AA$84)&lt;PolicyEff),1,Milestones!$AC$84)&amp;";  ","")&amp;IF(AND(EDATE($D74,Milestones!$AA$85)&lt;=AsOfDate,EDATE($D74,Milestones!$AA$85)&gt;=SchemeStart,IF($X74=0,$AD74,IF(AND($Z74&lt;&gt;"",EDATE($D74,Milestones!$AA$85)&gt;=$Z74),$AC74,IF(AND($Y74&lt;&gt;"",EDATE($D74,Milestones!$AA$85)&gt;=$Y74),$AB74,$AA74)))=Milestones!$AB$85),UPPER(TEXT(EDATE($D74,Milestones!$AA$85),"dd mmm yy"))&amp;" "&amp;Milestones!$AB$85&amp;" "&amp;IF(AND(Milestones!$AB$85="FT",Milestones!$AA$85=FT_Y5,EDATE($D74,Milestones!$AA$85)&lt;PolicyEff),1,Milestones!$AC$85)&amp;";  ","")&amp;IF(AND(EDATE($D74,Milestones!$AA$86)&lt;=AsOfDate,EDATE($D74,Milestones!$AA$86)&gt;=SchemeStart,IF($X74=0,$AD74,IF(AND($Z74&lt;&gt;"",EDATE($D74,Milestones!$AA$86)&gt;=$Z74),$AC74,IF(AND($Y74&lt;&gt;"",EDATE($D74,Milestones!$AA$86)&gt;=$Y74),$AB74,$AA74)))=Milestones!$AB$86),UPPER(TEXT(EDATE($D74,Milestones!$AA$86),"dd mmm yy"))&amp;" "&amp;Milestones!$AB$86&amp;" "&amp;IF(AND(Milestones!$AB$86="FT",Milestones!$AA$86=FT_Y5,EDATE($D74,Milestones!$AA$86)&lt;PolicyEff),1,Milestones!$AC$86)&amp;";  ","")&amp;IF(AND(EDATE($D74,Milestones!$AA$87)&lt;=AsOfDate,EDATE($D74,Milestones!$AA$87)&gt;=SchemeStart,IF($X74=0,$AD74,IF(AND($Z74&lt;&gt;"",EDATE($D74,Milestones!$AA$87)&gt;=$Z74),$AC74,IF(AND($Y74&lt;&gt;"",EDATE($D74,Milestones!$AA$87)&gt;=$Y74),$AB74,$AA74)))=Milestones!$AB$87),UPPER(TEXT(EDATE($D74,Milestones!$AA$87),"dd mmm yy"))&amp;" "&amp;Milestones!$AB$87&amp;" "&amp;IF(AND(Milestones!$AB$87="FT",Milestones!$AA$87=FT_Y5,EDATE($D74,Milestones!$AA$87)&lt;PolicyEff),1,Milestones!$AC$87)&amp;";  ","")&amp;IF(AND(EDATE($D74,Milestones!$AA$88)&lt;=AsOfDate,EDATE($D74,Milestones!$AA$88)&gt;=SchemeStart,IF($X74=0,$AD74,IF(AND($Z74&lt;&gt;"",EDATE($D74,Milestones!$AA$88)&gt;=$Z74),$AC74,IF(AND($Y74&lt;&gt;"",EDATE($D74,Milestones!$AA$88)&gt;=$Y74),$AB74,$AA74)))=Milestones!$AB$88),UPPER(TEXT(EDATE($D74,Milestones!$AA$88),"dd mmm yy"))&amp;" "&amp;Milestones!$AB$88&amp;" "&amp;IF(AND(Milestones!$AB$88="FT",Milestones!$AA$88=FT_Y5,EDATE($D74,Milestones!$AA$88)&lt;PolicyEff),1,Milestones!$AC$88)&amp;";  ","")&amp;IF(AND(EDATE($D74,Milestones!$AA$89)&lt;=AsOfDate,EDATE($D74,Milestones!$AA$89)&gt;=SchemeStart,IF($X74=0,$AD74,IF(AND($Z74&lt;&gt;"",EDATE($D74,Milestones!$AA$89)&gt;=$Z74),$AC74,IF(AND($Y74&lt;&gt;"",EDATE($D74,Milestones!$AA$89)&gt;=$Y74),$AB74,$AA74)))=Milestones!$AB$89),UPPER(TEXT(EDATE($D74,Milestones!$AA$89),"dd mmm yy"))&amp;" "&amp;Milestones!$AB$89&amp;" "&amp;IF(AND(Milestones!$AB$89="FT",Milestones!$AA$89=FT_Y5,EDATE($D74,Milestones!$AA$89)&lt;PolicyEff),1,Milestones!$AC$89)&amp;";  ","")&amp;IF(AND(EDATE($D74,Milestones!$AA$90)&lt;=AsOfDate,EDATE($D74,Milestones!$AA$90)&gt;=SchemeStart,IF($X74=0,$AD74,IF(AND($Z74&lt;&gt;"",EDATE($D74,Milestones!$AA$90)&gt;=$Z74),$AC74,IF(AND($Y74&lt;&gt;"",EDATE($D74,Milestones!$AA$90)&gt;=$Y74),$AB74,$AA74)))=Milestones!$AB$90),UPPER(TEXT(EDATE($D74,Milestones!$AA$90),"dd mmm yy"))&amp;" "&amp;Milestones!$AB$90&amp;" "&amp;IF(AND(Milestones!$AB$90="FT",Milestones!$AA$90=FT_Y5,EDATE($D74,Milestones!$AA$90)&lt;PolicyEff),1,Milestones!$AC$90)&amp;";  ","")&amp;IF(AND(EDATE($D74,Milestones!$AA$91)&lt;=AsOfDate,EDATE($D74,Milestones!$AA$91)&gt;=SchemeStart,IF($X74=0,$AD74,IF(AND($Z74&lt;&gt;"",EDATE($D74,Milestones!$AA$91)&gt;=$Z74),$AC74,IF(AND($Y74&lt;&gt;"",EDATE($D74,Milestones!$AA$91)&gt;=$Y74),$AB74,$AA74)))=Milestones!$AB$91),UPPER(TEXT(EDATE($D74,Milestones!$AA$91),"dd mmm yy"))&amp;" "&amp;Milestones!$AB$91&amp;" "&amp;IF(AND(Milestones!$AB$91="FT",Milestones!$AA$91=FT_Y5,EDATE($D74,Milestones!$AA$91)&lt;PolicyEff),1,Milestones!$AC$91)&amp;";  ",""))</f>
        <v/>
      </c>
      <c r="O74" s="0" t="str">
        <f aca="false">IF(OR($A74="",$D74=""),"",IF(AND(EDATE($D74,Milestones!$AA$92)&lt;=AsOfDate,EDATE($D74,Milestones!$AA$92)&gt;=SchemeStart,IF($X74=0,$AD74,IF(AND($Z74&lt;&gt;"",EDATE($D74,Milestones!$AA$92)&gt;=$Z74),$AC74,IF(AND($Y74&lt;&gt;"",EDATE($D74,Milestones!$AA$92)&gt;=$Y74),$AB74,$AA74)))=Milestones!$AB$92),UPPER(TEXT(EDATE($D74,Milestones!$AA$92),"dd mmm yy"))&amp;" "&amp;Milestones!$AB$92&amp;" "&amp;IF(AND(Milestones!$AB$92="FT",Milestones!$AA$92=FT_Y5,EDATE($D74,Milestones!$AA$92)&lt;PolicyEff),1,Milestones!$AC$92)&amp;";  ","")&amp;IF(AND(EDATE($D74,Milestones!$AA$93)&lt;=AsOfDate,EDATE($D74,Milestones!$AA$93)&gt;=SchemeStart,IF($X74=0,$AD74,IF(AND($Z74&lt;&gt;"",EDATE($D74,Milestones!$AA$93)&gt;=$Z74),$AC74,IF(AND($Y74&lt;&gt;"",EDATE($D74,Milestones!$AA$93)&gt;=$Y74),$AB74,$AA74)))=Milestones!$AB$93),UPPER(TEXT(EDATE($D74,Milestones!$AA$93),"dd mmm yy"))&amp;" "&amp;Milestones!$AB$93&amp;" "&amp;IF(AND(Milestones!$AB$93="FT",Milestones!$AA$93=FT_Y5,EDATE($D74,Milestones!$AA$93)&lt;PolicyEff),1,Milestones!$AC$93)&amp;";  ","")&amp;IF(AND(EDATE($D74,Milestones!$AA$94)&lt;=AsOfDate,EDATE($D74,Milestones!$AA$94)&gt;=SchemeStart,IF($X74=0,$AD74,IF(AND($Z74&lt;&gt;"",EDATE($D74,Milestones!$AA$94)&gt;=$Z74),$AC74,IF(AND($Y74&lt;&gt;"",EDATE($D74,Milestones!$AA$94)&gt;=$Y74),$AB74,$AA74)))=Milestones!$AB$94),UPPER(TEXT(EDATE($D74,Milestones!$AA$94),"dd mmm yy"))&amp;" "&amp;Milestones!$AB$94&amp;" "&amp;IF(AND(Milestones!$AB$94="FT",Milestones!$AA$94=FT_Y5,EDATE($D74,Milestones!$AA$94)&lt;PolicyEff),1,Milestones!$AC$94)&amp;";  ","")&amp;IF(AND(EDATE($D74,Milestones!$AA$95)&lt;=AsOfDate,EDATE($D74,Milestones!$AA$95)&gt;=SchemeStart,IF($X74=0,$AD74,IF(AND($Z74&lt;&gt;"",EDATE($D74,Milestones!$AA$95)&gt;=$Z74),$AC74,IF(AND($Y74&lt;&gt;"",EDATE($D74,Milestones!$AA$95)&gt;=$Y74),$AB74,$AA74)))=Milestones!$AB$95),UPPER(TEXT(EDATE($D74,Milestones!$AA$95),"dd mmm yy"))&amp;" "&amp;Milestones!$AB$95&amp;" "&amp;IF(AND(Milestones!$AB$95="FT",Milestones!$AA$95=FT_Y5,EDATE($D74,Milestones!$AA$95)&lt;PolicyEff),1,Milestones!$AC$95)&amp;";  ","")&amp;IF(AND(EDATE($D74,Milestones!$AA$96)&lt;=AsOfDate,EDATE($D74,Milestones!$AA$96)&gt;=SchemeStart,IF($X74=0,$AD74,IF(AND($Z74&lt;&gt;"",EDATE($D74,Milestones!$AA$96)&gt;=$Z74),$AC74,IF(AND($Y74&lt;&gt;"",EDATE($D74,Milestones!$AA$96)&gt;=$Y74),$AB74,$AA74)))=Milestones!$AB$96),UPPER(TEXT(EDATE($D74,Milestones!$AA$96),"dd mmm yy"))&amp;" "&amp;Milestones!$AB$96&amp;" "&amp;IF(AND(Milestones!$AB$96="FT",Milestones!$AA$96=FT_Y5,EDATE($D74,Milestones!$AA$96)&lt;PolicyEff),1,Milestones!$AC$96)&amp;";  ","")&amp;IF(AND(EDATE($D74,Milestones!$AA$97)&lt;=AsOfDate,EDATE($D74,Milestones!$AA$97)&gt;=SchemeStart,IF($X74=0,$AD74,IF(AND($Z74&lt;&gt;"",EDATE($D74,Milestones!$AA$97)&gt;=$Z74),$AC74,IF(AND($Y74&lt;&gt;"",EDATE($D74,Milestones!$AA$97)&gt;=$Y74),$AB74,$AA74)))=Milestones!$AB$97),UPPER(TEXT(EDATE($D74,Milestones!$AA$97),"dd mmm yy"))&amp;" "&amp;Milestones!$AB$97&amp;" "&amp;IF(AND(Milestones!$AB$97="FT",Milestones!$AA$97=FT_Y5,EDATE($D74,Milestones!$AA$97)&lt;PolicyEff),1,Milestones!$AC$97)&amp;";  ","")&amp;IF(AND(EDATE($D74,Milestones!$AA$98)&lt;=AsOfDate,EDATE($D74,Milestones!$AA$98)&gt;=SchemeStart,IF($X74=0,$AD74,IF(AND($Z74&lt;&gt;"",EDATE($D74,Milestones!$AA$98)&gt;=$Z74),$AC74,IF(AND($Y74&lt;&gt;"",EDATE($D74,Milestones!$AA$98)&gt;=$Y74),$AB74,$AA74)))=Milestones!$AB$98),UPPER(TEXT(EDATE($D74,Milestones!$AA$98),"dd mmm yy"))&amp;" "&amp;Milestones!$AB$98&amp;" "&amp;IF(AND(Milestones!$AB$98="FT",Milestones!$AA$98=FT_Y5,EDATE($D74,Milestones!$AA$98)&lt;PolicyEff),1,Milestones!$AC$98)&amp;";  ","")&amp;IF(AND(EDATE($D74,Milestones!$AA$99)&lt;=AsOfDate,EDATE($D74,Milestones!$AA$99)&gt;=SchemeStart,IF($X74=0,$AD74,IF(AND($Z74&lt;&gt;"",EDATE($D74,Milestones!$AA$99)&gt;=$Z74),$AC74,IF(AND($Y74&lt;&gt;"",EDATE($D74,Milestones!$AA$99)&gt;=$Y74),$AB74,$AA74)))=Milestones!$AB$99),UPPER(TEXT(EDATE($D74,Milestones!$AA$99),"dd mmm yy"))&amp;" "&amp;Milestones!$AB$99&amp;" "&amp;IF(AND(Milestones!$AB$99="FT",Milestones!$AA$99=FT_Y5,EDATE($D74,Milestones!$AA$99)&lt;PolicyEff),1,Milestones!$AC$99)&amp;";  ","")&amp;IF(AND(EDATE($D74,Milestones!$AA$100)&lt;=AsOfDate,EDATE($D74,Milestones!$AA$100)&gt;=SchemeStart,IF($X74=0,$AD74,IF(AND($Z74&lt;&gt;"",EDATE($D74,Milestones!$AA$100)&gt;=$Z74),$AC74,IF(AND($Y74&lt;&gt;"",EDATE($D74,Milestones!$AA$100)&gt;=$Y74),$AB74,$AA74)))=Milestones!$AB$100),UPPER(TEXT(EDATE($D74,Milestones!$AA$100),"dd mmm yy"))&amp;" "&amp;Milestones!$AB$100&amp;" "&amp;IF(AND(Milestones!$AB$100="FT",Milestones!$AA$100=FT_Y5,EDATE($D74,Milestones!$AA$100)&lt;PolicyEff),1,Milestones!$AC$100)&amp;";  ","")&amp;IF(AND(EDATE($D74,Milestones!$AA$101)&lt;=AsOfDate,EDATE($D74,Milestones!$AA$101)&gt;=SchemeStart,IF($X74=0,$AD74,IF(AND($Z74&lt;&gt;"",EDATE($D74,Milestones!$AA$101)&gt;=$Z74),$AC74,IF(AND($Y74&lt;&gt;"",EDATE($D74,Milestones!$AA$101)&gt;=$Y74),$AB74,$AA74)))=Milestones!$AB$101),UPPER(TEXT(EDATE($D74,Milestones!$AA$101),"dd mmm yy"))&amp;" "&amp;Milestones!$AB$101&amp;" "&amp;IF(AND(Milestones!$AB$101="FT",Milestones!$AA$101=FT_Y5,EDATE($D74,Milestones!$AA$101)&lt;PolicyEff),1,Milestones!$AC$101)&amp;";  ","")&amp;IF(AND(EDATE($D74,Milestones!$AA$102)&lt;=AsOfDate,EDATE($D74,Milestones!$AA$102)&gt;=SchemeStart,IF($X74=0,$AD74,IF(AND($Z74&lt;&gt;"",EDATE($D74,Milestones!$AA$102)&gt;=$Z74),$AC74,IF(AND($Y74&lt;&gt;"",EDATE($D74,Milestones!$AA$102)&gt;=$Y74),$AB74,$AA74)))=Milestones!$AB$102),UPPER(TEXT(EDATE($D74,Milestones!$AA$102),"dd mmm yy"))&amp;" "&amp;Milestones!$AB$102&amp;" "&amp;IF(AND(Milestones!$AB$102="FT",Milestones!$AA$102=FT_Y5,EDATE($D74,Milestones!$AA$102)&lt;PolicyEff),1,Milestones!$AC$102)&amp;";  ","")&amp;IF(AND(EDATE($D74,Milestones!$AA$103)&lt;=AsOfDate,EDATE($D74,Milestones!$AA$103)&gt;=SchemeStart,IF($X74=0,$AD74,IF(AND($Z74&lt;&gt;"",EDATE($D74,Milestones!$AA$103)&gt;=$Z74),$AC74,IF(AND($Y74&lt;&gt;"",EDATE($D74,Milestones!$AA$103)&gt;=$Y74),$AB74,$AA74)))=Milestones!$AB$103),UPPER(TEXT(EDATE($D74,Milestones!$AA$103),"dd mmm yy"))&amp;" "&amp;Milestones!$AB$103&amp;" "&amp;IF(AND(Milestones!$AB$103="FT",Milestones!$AA$103=FT_Y5,EDATE($D74,Milestones!$AA$103)&lt;PolicyEff),1,Milestones!$AC$103)&amp;";  ",""))</f>
        <v/>
      </c>
      <c r="P74" s="0" t="str">
        <f aca="false">IF(OR($A74="",$D74=""),"",IF(AND(EDATE($D74,Milestones!$AA$104)&lt;=AsOfDate,EDATE($D74,Milestones!$AA$104)&gt;=SchemeStart,IF($X74=0,$AD74,IF(AND($Z74&lt;&gt;"",EDATE($D74,Milestones!$AA$104)&gt;=$Z74),$AC74,IF(AND($Y74&lt;&gt;"",EDATE($D74,Milestones!$AA$104)&gt;=$Y74),$AB74,$AA74)))=Milestones!$AB$104),UPPER(TEXT(EDATE($D74,Milestones!$AA$104),"dd mmm yy"))&amp;" "&amp;Milestones!$AB$104&amp;" "&amp;IF(AND(Milestones!$AB$104="FT",Milestones!$AA$104=FT_Y5,EDATE($D74,Milestones!$AA$104)&lt;PolicyEff),1,Milestones!$AC$104)&amp;";  ","")&amp;IF(AND(EDATE($D74,Milestones!$AA$105)&lt;=AsOfDate,EDATE($D74,Milestones!$AA$105)&gt;=SchemeStart,IF($X74=0,$AD74,IF(AND($Z74&lt;&gt;"",EDATE($D74,Milestones!$AA$105)&gt;=$Z74),$AC74,IF(AND($Y74&lt;&gt;"",EDATE($D74,Milestones!$AA$105)&gt;=$Y74),$AB74,$AA74)))=Milestones!$AB$105),UPPER(TEXT(EDATE($D74,Milestones!$AA$105),"dd mmm yy"))&amp;" "&amp;Milestones!$AB$105&amp;" "&amp;IF(AND(Milestones!$AB$105="FT",Milestones!$AA$105=FT_Y5,EDATE($D74,Milestones!$AA$105)&lt;PolicyEff),1,Milestones!$AC$105)&amp;";  ","")&amp;IF(AND(EDATE($D74,Milestones!$AA$106)&lt;=AsOfDate,EDATE($D74,Milestones!$AA$106)&gt;=SchemeStart,IF($X74=0,$AD74,IF(AND($Z74&lt;&gt;"",EDATE($D74,Milestones!$AA$106)&gt;=$Z74),$AC74,IF(AND($Y74&lt;&gt;"",EDATE($D74,Milestones!$AA$106)&gt;=$Y74),$AB74,$AA74)))=Milestones!$AB$106),UPPER(TEXT(EDATE($D74,Milestones!$AA$106),"dd mmm yy"))&amp;" "&amp;Milestones!$AB$106&amp;" "&amp;IF(AND(Milestones!$AB$106="FT",Milestones!$AA$106=FT_Y5,EDATE($D74,Milestones!$AA$106)&lt;PolicyEff),1,Milestones!$AC$106)&amp;";  ","")&amp;IF(AND(EDATE($D74,Milestones!$AA$107)&lt;=AsOfDate,EDATE($D74,Milestones!$AA$107)&gt;=SchemeStart,IF($X74=0,$AD74,IF(AND($Z74&lt;&gt;"",EDATE($D74,Milestones!$AA$107)&gt;=$Z74),$AC74,IF(AND($Y74&lt;&gt;"",EDATE($D74,Milestones!$AA$107)&gt;=$Y74),$AB74,$AA74)))=Milestones!$AB$107),UPPER(TEXT(EDATE($D74,Milestones!$AA$107),"dd mmm yy"))&amp;" "&amp;Milestones!$AB$107&amp;" "&amp;IF(AND(Milestones!$AB$107="FT",Milestones!$AA$107=FT_Y5,EDATE($D74,Milestones!$AA$107)&lt;PolicyEff),1,Milestones!$AC$107)&amp;";  ","")&amp;IF(AND(EDATE($D74,Milestones!$AA$108)&lt;=AsOfDate,EDATE($D74,Milestones!$AA$108)&gt;=SchemeStart,IF($X74=0,$AD74,IF(AND($Z74&lt;&gt;"",EDATE($D74,Milestones!$AA$108)&gt;=$Z74),$AC74,IF(AND($Y74&lt;&gt;"",EDATE($D74,Milestones!$AA$108)&gt;=$Y74),$AB74,$AA74)))=Milestones!$AB$108),UPPER(TEXT(EDATE($D74,Milestones!$AA$108),"dd mmm yy"))&amp;" "&amp;Milestones!$AB$108&amp;" "&amp;IF(AND(Milestones!$AB$108="FT",Milestones!$AA$108=FT_Y5,EDATE($D74,Milestones!$AA$108)&lt;PolicyEff),1,Milestones!$AC$108)&amp;";  ","")&amp;IF(AND(EDATE($D74,Milestones!$AA$109)&lt;=AsOfDate,EDATE($D74,Milestones!$AA$109)&gt;=SchemeStart,IF($X74=0,$AD74,IF(AND($Z74&lt;&gt;"",EDATE($D74,Milestones!$AA$109)&gt;=$Z74),$AC74,IF(AND($Y74&lt;&gt;"",EDATE($D74,Milestones!$AA$109)&gt;=$Y74),$AB74,$AA74)))=Milestones!$AB$109),UPPER(TEXT(EDATE($D74,Milestones!$AA$109),"dd mmm yy"))&amp;" "&amp;Milestones!$AB$109&amp;" "&amp;IF(AND(Milestones!$AB$109="FT",Milestones!$AA$109=FT_Y5,EDATE($D74,Milestones!$AA$109)&lt;PolicyEff),1,Milestones!$AC$109)&amp;";  ","")&amp;IF(AND(EDATE($D74,Milestones!$AA$110)&lt;=AsOfDate,EDATE($D74,Milestones!$AA$110)&gt;=SchemeStart,IF($X74=0,$AD74,IF(AND($Z74&lt;&gt;"",EDATE($D74,Milestones!$AA$110)&gt;=$Z74),$AC74,IF(AND($Y74&lt;&gt;"",EDATE($D74,Milestones!$AA$110)&gt;=$Y74),$AB74,$AA74)))=Milestones!$AB$110),UPPER(TEXT(EDATE($D74,Milestones!$AA$110),"dd mmm yy"))&amp;" "&amp;Milestones!$AB$110&amp;" "&amp;IF(AND(Milestones!$AB$110="FT",Milestones!$AA$110=FT_Y5,EDATE($D74,Milestones!$AA$110)&lt;PolicyEff),1,Milestones!$AC$110)&amp;";  ","")&amp;IF(AND(EDATE($D74,Milestones!$AA$111)&lt;=AsOfDate,EDATE($D74,Milestones!$AA$111)&gt;=SchemeStart,IF($X74=0,$AD74,IF(AND($Z74&lt;&gt;"",EDATE($D74,Milestones!$AA$111)&gt;=$Z74),$AC74,IF(AND($Y74&lt;&gt;"",EDATE($D74,Milestones!$AA$111)&gt;=$Y74),$AB74,$AA74)))=Milestones!$AB$111),UPPER(TEXT(EDATE($D74,Milestones!$AA$111),"dd mmm yy"))&amp;" "&amp;Milestones!$AB$111&amp;" "&amp;IF(AND(Milestones!$AB$111="FT",Milestones!$AA$111=FT_Y5,EDATE($D74,Milestones!$AA$111)&lt;PolicyEff),1,Milestones!$AC$111)&amp;";  ","")&amp;IF(AND(EDATE($D74,Milestones!$AA$112)&lt;=AsOfDate,EDATE($D74,Milestones!$AA$112)&gt;=SchemeStart,IF($X74=0,$AD74,IF(AND($Z74&lt;&gt;"",EDATE($D74,Milestones!$AA$112)&gt;=$Z74),$AC74,IF(AND($Y74&lt;&gt;"",EDATE($D74,Milestones!$AA$112)&gt;=$Y74),$AB74,$AA74)))=Milestones!$AB$112),UPPER(TEXT(EDATE($D74,Milestones!$AA$112),"dd mmm yy"))&amp;" "&amp;Milestones!$AB$112&amp;" "&amp;IF(AND(Milestones!$AB$112="FT",Milestones!$AA$112=FT_Y5,EDATE($D74,Milestones!$AA$112)&lt;PolicyEff),1,Milestones!$AC$112)&amp;";  ","")&amp;IF(AND(EDATE($D74,Milestones!$AA$113)&lt;=AsOfDate,EDATE($D74,Milestones!$AA$113)&gt;=SchemeStart,IF($X74=0,$AD74,IF(AND($Z74&lt;&gt;"",EDATE($D74,Milestones!$AA$113)&gt;=$Z74),$AC74,IF(AND($Y74&lt;&gt;"",EDATE($D74,Milestones!$AA$113)&gt;=$Y74),$AB74,$AA74)))=Milestones!$AB$113),UPPER(TEXT(EDATE($D74,Milestones!$AA$113),"dd mmm yy"))&amp;" "&amp;Milestones!$AB$113&amp;" "&amp;IF(AND(Milestones!$AB$113="FT",Milestones!$AA$113=FT_Y5,EDATE($D74,Milestones!$AA$113)&lt;PolicyEff),1,Milestones!$AC$113)&amp;";  ","")&amp;IF(AND(EDATE($D74,Milestones!$AA$114)&lt;=AsOfDate,EDATE($D74,Milestones!$AA$114)&gt;=SchemeStart,IF($X74=0,$AD74,IF(AND($Z74&lt;&gt;"",EDATE($D74,Milestones!$AA$114)&gt;=$Z74),$AC74,IF(AND($Y74&lt;&gt;"",EDATE($D74,Milestones!$AA$114)&gt;=$Y74),$AB74,$AA74)))=Milestones!$AB$114),UPPER(TEXT(EDATE($D74,Milestones!$AA$114),"dd mmm yy"))&amp;" "&amp;Milestones!$AB$114&amp;" "&amp;IF(AND(Milestones!$AB$114="FT",Milestones!$AA$114=FT_Y5,EDATE($D74,Milestones!$AA$114)&lt;PolicyEff),1,Milestones!$AC$114)&amp;";  ","")&amp;IF(AND(EDATE($D74,Milestones!$AA$115)&lt;=AsOfDate,EDATE($D74,Milestones!$AA$115)&gt;=SchemeStart,IF($X74=0,$AD74,IF(AND($Z74&lt;&gt;"",EDATE($D74,Milestones!$AA$115)&gt;=$Z74),$AC74,IF(AND($Y74&lt;&gt;"",EDATE($D74,Milestones!$AA$115)&gt;=$Y74),$AB74,$AA74)))=Milestones!$AB$115),UPPER(TEXT(EDATE($D74,Milestones!$AA$115),"dd mmm yy"))&amp;" "&amp;Milestones!$AB$115&amp;" "&amp;IF(AND(Milestones!$AB$115="FT",Milestones!$AA$115=FT_Y5,EDATE($D74,Milestones!$AA$115)&lt;PolicyEff),1,Milestones!$AC$115)&amp;";  ",""))</f>
        <v/>
      </c>
      <c r="Q74" s="0" t="str">
        <f aca="false">IF(OR($A74="",$D74=""),"",IF(AND(EDATE($D74,Milestones!$AA$116)&lt;=AsOfDate,EDATE($D74,Milestones!$AA$116)&gt;=SchemeStart,IF($X74=0,$AD74,IF(AND($Z74&lt;&gt;"",EDATE($D74,Milestones!$AA$116)&gt;=$Z74),$AC74,IF(AND($Y74&lt;&gt;"",EDATE($D74,Milestones!$AA$116)&gt;=$Y74),$AB74,$AA74)))=Milestones!$AB$116),UPPER(TEXT(EDATE($D74,Milestones!$AA$116),"dd mmm yy"))&amp;" "&amp;Milestones!$AB$116&amp;" "&amp;IF(AND(Milestones!$AB$116="FT",Milestones!$AA$116=FT_Y5,EDATE($D74,Milestones!$AA$116)&lt;PolicyEff),1,Milestones!$AC$116)&amp;";  ","")&amp;IF(AND(EDATE($D74,Milestones!$AA$117)&lt;=AsOfDate,EDATE($D74,Milestones!$AA$117)&gt;=SchemeStart,IF($X74=0,$AD74,IF(AND($Z74&lt;&gt;"",EDATE($D74,Milestones!$AA$117)&gt;=$Z74),$AC74,IF(AND($Y74&lt;&gt;"",EDATE($D74,Milestones!$AA$117)&gt;=$Y74),$AB74,$AA74)))=Milestones!$AB$117),UPPER(TEXT(EDATE($D74,Milestones!$AA$117),"dd mmm yy"))&amp;" "&amp;Milestones!$AB$117&amp;" "&amp;IF(AND(Milestones!$AB$117="FT",Milestones!$AA$117=FT_Y5,EDATE($D74,Milestones!$AA$117)&lt;PolicyEff),1,Milestones!$AC$117)&amp;";  ","")&amp;IF(AND(EDATE($D74,Milestones!$AA$118)&lt;=AsOfDate,EDATE($D74,Milestones!$AA$118)&gt;=SchemeStart,IF($X74=0,$AD74,IF(AND($Z74&lt;&gt;"",EDATE($D74,Milestones!$AA$118)&gt;=$Z74),$AC74,IF(AND($Y74&lt;&gt;"",EDATE($D74,Milestones!$AA$118)&gt;=$Y74),$AB74,$AA74)))=Milestones!$AB$118),UPPER(TEXT(EDATE($D74,Milestones!$AA$118),"dd mmm yy"))&amp;" "&amp;Milestones!$AB$118&amp;" "&amp;IF(AND(Milestones!$AB$118="FT",Milestones!$AA$118=FT_Y5,EDATE($D74,Milestones!$AA$118)&lt;PolicyEff),1,Milestones!$AC$118)&amp;";  ","")&amp;IF(AND(EDATE($D74,Milestones!$AA$119)&lt;=AsOfDate,EDATE($D74,Milestones!$AA$119)&gt;=SchemeStart,IF($X74=0,$AD74,IF(AND($Z74&lt;&gt;"",EDATE($D74,Milestones!$AA$119)&gt;=$Z74),$AC74,IF(AND($Y74&lt;&gt;"",EDATE($D74,Milestones!$AA$119)&gt;=$Y74),$AB74,$AA74)))=Milestones!$AB$119),UPPER(TEXT(EDATE($D74,Milestones!$AA$119),"dd mmm yy"))&amp;" "&amp;Milestones!$AB$119&amp;" "&amp;IF(AND(Milestones!$AB$119="FT",Milestones!$AA$119=FT_Y5,EDATE($D74,Milestones!$AA$119)&lt;PolicyEff),1,Milestones!$AC$119)&amp;";  ","")&amp;IF(AND(EDATE($D74,Milestones!$AA$120)&lt;=AsOfDate,EDATE($D74,Milestones!$AA$120)&gt;=SchemeStart,IF($X74=0,$AD74,IF(AND($Z74&lt;&gt;"",EDATE($D74,Milestones!$AA$120)&gt;=$Z74),$AC74,IF(AND($Y74&lt;&gt;"",EDATE($D74,Milestones!$AA$120)&gt;=$Y74),$AB74,$AA74)))=Milestones!$AB$120),UPPER(TEXT(EDATE($D74,Milestones!$AA$120),"dd mmm yy"))&amp;" "&amp;Milestones!$AB$120&amp;" "&amp;IF(AND(Milestones!$AB$120="FT",Milestones!$AA$120=FT_Y5,EDATE($D74,Milestones!$AA$120)&lt;PolicyEff),1,Milestones!$AC$120)&amp;";  ","")&amp;IF(AND(EDATE($D74,Milestones!$AA$121)&lt;=AsOfDate,EDATE($D74,Milestones!$AA$121)&gt;=SchemeStart,IF($X74=0,$AD74,IF(AND($Z74&lt;&gt;"",EDATE($D74,Milestones!$AA$121)&gt;=$Z74),$AC74,IF(AND($Y74&lt;&gt;"",EDATE($D74,Milestones!$AA$121)&gt;=$Y74),$AB74,$AA74)))=Milestones!$AB$121),UPPER(TEXT(EDATE($D74,Milestones!$AA$121),"dd mmm yy"))&amp;" "&amp;Milestones!$AB$121&amp;" "&amp;IF(AND(Milestones!$AB$121="FT",Milestones!$AA$121=FT_Y5,EDATE($D74,Milestones!$AA$121)&lt;PolicyEff),1,Milestones!$AC$121)&amp;";  ","")&amp;IF(AND(EDATE($D74,Milestones!$AA$122)&lt;=AsOfDate,EDATE($D74,Milestones!$AA$122)&gt;=SchemeStart,IF($X74=0,$AD74,IF(AND($Z74&lt;&gt;"",EDATE($D74,Milestones!$AA$122)&gt;=$Z74),$AC74,IF(AND($Y74&lt;&gt;"",EDATE($D74,Milestones!$AA$122)&gt;=$Y74),$AB74,$AA74)))=Milestones!$AB$122),UPPER(TEXT(EDATE($D74,Milestones!$AA$122),"dd mmm yy"))&amp;" "&amp;Milestones!$AB$122&amp;" "&amp;IF(AND(Milestones!$AB$122="FT",Milestones!$AA$122=FT_Y5,EDATE($D74,Milestones!$AA$122)&lt;PolicyEff),1,Milestones!$AC$122)&amp;";  ","")&amp;IF(AND(EDATE($D74,Milestones!$AA$123)&lt;=AsOfDate,EDATE($D74,Milestones!$AA$123)&gt;=SchemeStart,IF($X74=0,$AD74,IF(AND($Z74&lt;&gt;"",EDATE($D74,Milestones!$AA$123)&gt;=$Z74),$AC74,IF(AND($Y74&lt;&gt;"",EDATE($D74,Milestones!$AA$123)&gt;=$Y74),$AB74,$AA74)))=Milestones!$AB$123),UPPER(TEXT(EDATE($D74,Milestones!$AA$123),"dd mmm yy"))&amp;" "&amp;Milestones!$AB$123&amp;" "&amp;IF(AND(Milestones!$AB$123="FT",Milestones!$AA$123=FT_Y5,EDATE($D74,Milestones!$AA$123)&lt;PolicyEff),1,Milestones!$AC$123)&amp;";  ","")&amp;IF(AND(EDATE($D74,Milestones!$AA$124)&lt;=AsOfDate,EDATE($D74,Milestones!$AA$124)&gt;=SchemeStart,IF($X74=0,$AD74,IF(AND($Z74&lt;&gt;"",EDATE($D74,Milestones!$AA$124)&gt;=$Z74),$AC74,IF(AND($Y74&lt;&gt;"",EDATE($D74,Milestones!$AA$124)&gt;=$Y74),$AB74,$AA74)))=Milestones!$AB$124),UPPER(TEXT(EDATE($D74,Milestones!$AA$124),"dd mmm yy"))&amp;" "&amp;Milestones!$AB$124&amp;" "&amp;IF(AND(Milestones!$AB$124="FT",Milestones!$AA$124=FT_Y5,EDATE($D74,Milestones!$AA$124)&lt;PolicyEff),1,Milestones!$AC$124)&amp;";  ","")&amp;IF(AND(EDATE($D74,Milestones!$AA$125)&lt;=AsOfDate,EDATE($D74,Milestones!$AA$125)&gt;=SchemeStart,IF($X74=0,$AD74,IF(AND($Z74&lt;&gt;"",EDATE($D74,Milestones!$AA$125)&gt;=$Z74),$AC74,IF(AND($Y74&lt;&gt;"",EDATE($D74,Milestones!$AA$125)&gt;=$Y74),$AB74,$AA74)))=Milestones!$AB$125),UPPER(TEXT(EDATE($D74,Milestones!$AA$125),"dd mmm yy"))&amp;" "&amp;Milestones!$AB$125&amp;" "&amp;IF(AND(Milestones!$AB$125="FT",Milestones!$AA$125=FT_Y5,EDATE($D74,Milestones!$AA$125)&lt;PolicyEff),1,Milestones!$AC$125)&amp;";  ","")&amp;IF(AND(EDATE($D74,Milestones!$AA$126)&lt;=AsOfDate,EDATE($D74,Milestones!$AA$126)&gt;=SchemeStart,IF($X74=0,$AD74,IF(AND($Z74&lt;&gt;"",EDATE($D74,Milestones!$AA$126)&gt;=$Z74),$AC74,IF(AND($Y74&lt;&gt;"",EDATE($D74,Milestones!$AA$126)&gt;=$Y74),$AB74,$AA74)))=Milestones!$AB$126),UPPER(TEXT(EDATE($D74,Milestones!$AA$126),"dd mmm yy"))&amp;" "&amp;Milestones!$AB$126&amp;" "&amp;IF(AND(Milestones!$AB$126="FT",Milestones!$AA$126=FT_Y5,EDATE($D74,Milestones!$AA$126)&lt;PolicyEff),1,Milestones!$AC$126)&amp;";  ","")&amp;IF(AND(EDATE($D74,Milestones!$AA$127)&lt;=AsOfDate,EDATE($D74,Milestones!$AA$127)&gt;=SchemeStart,IF($X74=0,$AD74,IF(AND($Z74&lt;&gt;"",EDATE($D74,Milestones!$AA$127)&gt;=$Z74),$AC74,IF(AND($Y74&lt;&gt;"",EDATE($D74,Milestones!$AA$127)&gt;=$Y74),$AB74,$AA74)))=Milestones!$AB$127),UPPER(TEXT(EDATE($D74,Milestones!$AA$127),"dd mmm yy"))&amp;" "&amp;Milestones!$AB$127&amp;" "&amp;IF(AND(Milestones!$AB$127="FT",Milestones!$AA$127=FT_Y5,EDATE($D74,Milestones!$AA$127)&lt;PolicyEff),1,Milestones!$AC$127)&amp;";  ",""))</f>
        <v/>
      </c>
      <c r="R74" s="0" t="str">
        <f aca="false">IF(OR($A74="",$D74=""),"",IF(AND(EDATE($D74,Milestones!$AA$128)&lt;=AsOfDate,EDATE($D74,Milestones!$AA$128)&gt;=SchemeStart,IF($X74=0,$AD74,IF(AND($Z74&lt;&gt;"",EDATE($D74,Milestones!$AA$128)&gt;=$Z74),$AC74,IF(AND($Y74&lt;&gt;"",EDATE($D74,Milestones!$AA$128)&gt;=$Y74),$AB74,$AA74)))=Milestones!$AB$128),UPPER(TEXT(EDATE($D74,Milestones!$AA$128),"dd mmm yy"))&amp;" "&amp;Milestones!$AB$128&amp;" "&amp;IF(AND(Milestones!$AB$128="FT",Milestones!$AA$128=FT_Y5,EDATE($D74,Milestones!$AA$128)&lt;PolicyEff),1,Milestones!$AC$128)&amp;";  ","")&amp;IF(AND(EDATE($D74,Milestones!$AA$129)&lt;=AsOfDate,EDATE($D74,Milestones!$AA$129)&gt;=SchemeStart,IF($X74=0,$AD74,IF(AND($Z74&lt;&gt;"",EDATE($D74,Milestones!$AA$129)&gt;=$Z74),$AC74,IF(AND($Y74&lt;&gt;"",EDATE($D74,Milestones!$AA$129)&gt;=$Y74),$AB74,$AA74)))=Milestones!$AB$129),UPPER(TEXT(EDATE($D74,Milestones!$AA$129),"dd mmm yy"))&amp;" "&amp;Milestones!$AB$129&amp;" "&amp;IF(AND(Milestones!$AB$129="FT",Milestones!$AA$129=FT_Y5,EDATE($D74,Milestones!$AA$129)&lt;PolicyEff),1,Milestones!$AC$129)&amp;";  ","")&amp;IF(AND(EDATE($D74,Milestones!$AA$130)&lt;=AsOfDate,EDATE($D74,Milestones!$AA$130)&gt;=SchemeStart,IF($X74=0,$AD74,IF(AND($Z74&lt;&gt;"",EDATE($D74,Milestones!$AA$130)&gt;=$Z74),$AC74,IF(AND($Y74&lt;&gt;"",EDATE($D74,Milestones!$AA$130)&gt;=$Y74),$AB74,$AA74)))=Milestones!$AB$130),UPPER(TEXT(EDATE($D74,Milestones!$AA$130),"dd mmm yy"))&amp;" "&amp;Milestones!$AB$130&amp;" "&amp;IF(AND(Milestones!$AB$130="FT",Milestones!$AA$130=FT_Y5,EDATE($D74,Milestones!$AA$130)&lt;PolicyEff),1,Milestones!$AC$130)&amp;";  ","")&amp;IF(AND(EDATE($D74,Milestones!$AA$131)&lt;=AsOfDate,EDATE($D74,Milestones!$AA$131)&gt;=SchemeStart,IF($X74=0,$AD74,IF(AND($Z74&lt;&gt;"",EDATE($D74,Milestones!$AA$131)&gt;=$Z74),$AC74,IF(AND($Y74&lt;&gt;"",EDATE($D74,Milestones!$AA$131)&gt;=$Y74),$AB74,$AA74)))=Milestones!$AB$131),UPPER(TEXT(EDATE($D74,Milestones!$AA$131),"dd mmm yy"))&amp;" "&amp;Milestones!$AB$131&amp;" "&amp;IF(AND(Milestones!$AB$131="FT",Milestones!$AA$131=FT_Y5,EDATE($D74,Milestones!$AA$131)&lt;PolicyEff),1,Milestones!$AC$131)&amp;";  ","")&amp;IF(AND(EDATE($D74,Milestones!$AA$132)&lt;=AsOfDate,EDATE($D74,Milestones!$AA$132)&gt;=SchemeStart,IF($X74=0,$AD74,IF(AND($Z74&lt;&gt;"",EDATE($D74,Milestones!$AA$132)&gt;=$Z74),$AC74,IF(AND($Y74&lt;&gt;"",EDATE($D74,Milestones!$AA$132)&gt;=$Y74),$AB74,$AA74)))=Milestones!$AB$132),UPPER(TEXT(EDATE($D74,Milestones!$AA$132),"dd mmm yy"))&amp;" "&amp;Milestones!$AB$132&amp;" "&amp;IF(AND(Milestones!$AB$132="FT",Milestones!$AA$132=FT_Y5,EDATE($D74,Milestones!$AA$132)&lt;PolicyEff),1,Milestones!$AC$132)&amp;";  ","")&amp;IF(AND(EDATE($D74,Milestones!$AA$133)&lt;=AsOfDate,EDATE($D74,Milestones!$AA$133)&gt;=SchemeStart,IF($X74=0,$AD74,IF(AND($Z74&lt;&gt;"",EDATE($D74,Milestones!$AA$133)&gt;=$Z74),$AC74,IF(AND($Y74&lt;&gt;"",EDATE($D74,Milestones!$AA$133)&gt;=$Y74),$AB74,$AA74)))=Milestones!$AB$133),UPPER(TEXT(EDATE($D74,Milestones!$AA$133),"dd mmm yy"))&amp;" "&amp;Milestones!$AB$133&amp;" "&amp;IF(AND(Milestones!$AB$133="FT",Milestones!$AA$133=FT_Y5,EDATE($D74,Milestones!$AA$133)&lt;PolicyEff),1,Milestones!$AC$133)&amp;";  ","")&amp;IF(AND(EDATE($D74,Milestones!$AA$134)&lt;=AsOfDate,EDATE($D74,Milestones!$AA$134)&gt;=SchemeStart,IF($X74=0,$AD74,IF(AND($Z74&lt;&gt;"",EDATE($D74,Milestones!$AA$134)&gt;=$Z74),$AC74,IF(AND($Y74&lt;&gt;"",EDATE($D74,Milestones!$AA$134)&gt;=$Y74),$AB74,$AA74)))=Milestones!$AB$134),UPPER(TEXT(EDATE($D74,Milestones!$AA$134),"dd mmm yy"))&amp;" "&amp;Milestones!$AB$134&amp;" "&amp;IF(AND(Milestones!$AB$134="FT",Milestones!$AA$134=FT_Y5,EDATE($D74,Milestones!$AA$134)&lt;PolicyEff),1,Milestones!$AC$134)&amp;";  ","")&amp;IF(AND(EDATE($D74,Milestones!$AA$135)&lt;=AsOfDate,EDATE($D74,Milestones!$AA$135)&gt;=SchemeStart,IF($X74=0,$AD74,IF(AND($Z74&lt;&gt;"",EDATE($D74,Milestones!$AA$135)&gt;=$Z74),$AC74,IF(AND($Y74&lt;&gt;"",EDATE($D74,Milestones!$AA$135)&gt;=$Y74),$AB74,$AA74)))=Milestones!$AB$135),UPPER(TEXT(EDATE($D74,Milestones!$AA$135),"dd mmm yy"))&amp;" "&amp;Milestones!$AB$135&amp;" "&amp;IF(AND(Milestones!$AB$135="FT",Milestones!$AA$135=FT_Y5,EDATE($D74,Milestones!$AA$135)&lt;PolicyEff),1,Milestones!$AC$135)&amp;";  ","")&amp;IF(AND(EDATE($D74,Milestones!$AA$136)&lt;=AsOfDate,EDATE($D74,Milestones!$AA$136)&gt;=SchemeStart,IF($X74=0,$AD74,IF(AND($Z74&lt;&gt;"",EDATE($D74,Milestones!$AA$136)&gt;=$Z74),$AC74,IF(AND($Y74&lt;&gt;"",EDATE($D74,Milestones!$AA$136)&gt;=$Y74),$AB74,$AA74)))=Milestones!$AB$136),UPPER(TEXT(EDATE($D74,Milestones!$AA$136),"dd mmm yy"))&amp;" "&amp;Milestones!$AB$136&amp;" "&amp;IF(AND(Milestones!$AB$136="FT",Milestones!$AA$136=FT_Y5,EDATE($D74,Milestones!$AA$136)&lt;PolicyEff),1,Milestones!$AC$136)&amp;";  ","")&amp;IF(AND(EDATE($D74,Milestones!$AA$137)&lt;=AsOfDate,EDATE($D74,Milestones!$AA$137)&gt;=SchemeStart,IF($X74=0,$AD74,IF(AND($Z74&lt;&gt;"",EDATE($D74,Milestones!$AA$137)&gt;=$Z74),$AC74,IF(AND($Y74&lt;&gt;"",EDATE($D74,Milestones!$AA$137)&gt;=$Y74),$AB74,$AA74)))=Milestones!$AB$137),UPPER(TEXT(EDATE($D74,Milestones!$AA$137),"dd mmm yy"))&amp;" "&amp;Milestones!$AB$137&amp;" "&amp;IF(AND(Milestones!$AB$137="FT",Milestones!$AA$137=FT_Y5,EDATE($D74,Milestones!$AA$137)&lt;PolicyEff),1,Milestones!$AC$137)&amp;";  ","")&amp;IF(AND(EDATE($D74,Milestones!$AA$138)&lt;=AsOfDate,EDATE($D74,Milestones!$AA$138)&gt;=SchemeStart,IF($X74=0,$AD74,IF(AND($Z74&lt;&gt;"",EDATE($D74,Milestones!$AA$138)&gt;=$Z74),$AC74,IF(AND($Y74&lt;&gt;"",EDATE($D74,Milestones!$AA$138)&gt;=$Y74),$AB74,$AA74)))=Milestones!$AB$138),UPPER(TEXT(EDATE($D74,Milestones!$AA$138),"dd mmm yy"))&amp;" "&amp;Milestones!$AB$138&amp;" "&amp;IF(AND(Milestones!$AB$138="FT",Milestones!$AA$138=FT_Y5,EDATE($D74,Milestones!$AA$138)&lt;PolicyEff),1,Milestones!$AC$138)&amp;";  ","")&amp;IF(AND(EDATE($D74,Milestones!$AA$139)&lt;=AsOfDate,EDATE($D74,Milestones!$AA$139)&gt;=SchemeStart,IF($X74=0,$AD74,IF(AND($Z74&lt;&gt;"",EDATE($D74,Milestones!$AA$139)&gt;=$Z74),$AC74,IF(AND($Y74&lt;&gt;"",EDATE($D74,Milestones!$AA$139)&gt;=$Y74),$AB74,$AA74)))=Milestones!$AB$139),UPPER(TEXT(EDATE($D74,Milestones!$AA$139),"dd mmm yy"))&amp;" "&amp;Milestones!$AB$139&amp;" "&amp;IF(AND(Milestones!$AB$139="FT",Milestones!$AA$139=FT_Y5,EDATE($D74,Milestones!$AA$139)&lt;PolicyEff),1,Milestones!$AC$139)&amp;";  ",""))</f>
        <v/>
      </c>
      <c r="S74" s="0" t="str">
        <f aca="false">IF(OR($A74="",$D74=""),"",IF(AND(EDATE($D74,Milestones!$AA$140)&lt;=AsOfDate,EDATE($D74,Milestones!$AA$140)&gt;=SchemeStart,IF($X74=0,$AD74,IF(AND($Z74&lt;&gt;"",EDATE($D74,Milestones!$AA$140)&gt;=$Z74),$AC74,IF(AND($Y74&lt;&gt;"",EDATE($D74,Milestones!$AA$140)&gt;=$Y74),$AB74,$AA74)))=Milestones!$AB$140),UPPER(TEXT(EDATE($D74,Milestones!$AA$140),"dd mmm yy"))&amp;" "&amp;Milestones!$AB$140&amp;" "&amp;IF(AND(Milestones!$AB$140="FT",Milestones!$AA$140=FT_Y5,EDATE($D74,Milestones!$AA$140)&lt;PolicyEff),1,Milestones!$AC$140)&amp;";  ","")&amp;IF(AND(EDATE($D74,Milestones!$AA$141)&lt;=AsOfDate,EDATE($D74,Milestones!$AA$141)&gt;=SchemeStart,IF($X74=0,$AD74,IF(AND($Z74&lt;&gt;"",EDATE($D74,Milestones!$AA$141)&gt;=$Z74),$AC74,IF(AND($Y74&lt;&gt;"",EDATE($D74,Milestones!$AA$141)&gt;=$Y74),$AB74,$AA74)))=Milestones!$AB$141),UPPER(TEXT(EDATE($D74,Milestones!$AA$141),"dd mmm yy"))&amp;" "&amp;Milestones!$AB$141&amp;" "&amp;IF(AND(Milestones!$AB$141="FT",Milestones!$AA$141=FT_Y5,EDATE($D74,Milestones!$AA$141)&lt;PolicyEff),1,Milestones!$AC$141)&amp;";  ","")&amp;IF(AND(EDATE($D74,Milestones!$AA$142)&lt;=AsOfDate,EDATE($D74,Milestones!$AA$142)&gt;=SchemeStart,IF($X74=0,$AD74,IF(AND($Z74&lt;&gt;"",EDATE($D74,Milestones!$AA$142)&gt;=$Z74),$AC74,IF(AND($Y74&lt;&gt;"",EDATE($D74,Milestones!$AA$142)&gt;=$Y74),$AB74,$AA74)))=Milestones!$AB$142),UPPER(TEXT(EDATE($D74,Milestones!$AA$142),"dd mmm yy"))&amp;" "&amp;Milestones!$AB$142&amp;" "&amp;IF(AND(Milestones!$AB$142="FT",Milestones!$AA$142=FT_Y5,EDATE($D74,Milestones!$AA$142)&lt;PolicyEff),1,Milestones!$AC$142)&amp;";  ","")&amp;IF(AND(EDATE($D74,Milestones!$AA$143)&lt;=AsOfDate,EDATE($D74,Milestones!$AA$143)&gt;=SchemeStart,IF($X74=0,$AD74,IF(AND($Z74&lt;&gt;"",EDATE($D74,Milestones!$AA$143)&gt;=$Z74),$AC74,IF(AND($Y74&lt;&gt;"",EDATE($D74,Milestones!$AA$143)&gt;=$Y74),$AB74,$AA74)))=Milestones!$AB$143),UPPER(TEXT(EDATE($D74,Milestones!$AA$143),"dd mmm yy"))&amp;" "&amp;Milestones!$AB$143&amp;" "&amp;IF(AND(Milestones!$AB$143="FT",Milestones!$AA$143=FT_Y5,EDATE($D74,Milestones!$AA$143)&lt;PolicyEff),1,Milestones!$AC$143)&amp;";  ","")&amp;IF(AND(EDATE($D74,Milestones!$AA$144)&lt;=AsOfDate,EDATE($D74,Milestones!$AA$144)&gt;=SchemeStart,IF($X74=0,$AD74,IF(AND($Z74&lt;&gt;"",EDATE($D74,Milestones!$AA$144)&gt;=$Z74),$AC74,IF(AND($Y74&lt;&gt;"",EDATE($D74,Milestones!$AA$144)&gt;=$Y74),$AB74,$AA74)))=Milestones!$AB$144),UPPER(TEXT(EDATE($D74,Milestones!$AA$144),"dd mmm yy"))&amp;" "&amp;Milestones!$AB$144&amp;" "&amp;IF(AND(Milestones!$AB$144="FT",Milestones!$AA$144=FT_Y5,EDATE($D74,Milestones!$AA$144)&lt;PolicyEff),1,Milestones!$AC$144)&amp;";  ","")&amp;IF(AND(EDATE($D74,Milestones!$AA$145)&lt;=AsOfDate,EDATE($D74,Milestones!$AA$145)&gt;=SchemeStart,IF($X74=0,$AD74,IF(AND($Z74&lt;&gt;"",EDATE($D74,Milestones!$AA$145)&gt;=$Z74),$AC74,IF(AND($Y74&lt;&gt;"",EDATE($D74,Milestones!$AA$145)&gt;=$Y74),$AB74,$AA74)))=Milestones!$AB$145),UPPER(TEXT(EDATE($D74,Milestones!$AA$145),"dd mmm yy"))&amp;" "&amp;Milestones!$AB$145&amp;" "&amp;IF(AND(Milestones!$AB$145="FT",Milestones!$AA$145=FT_Y5,EDATE($D74,Milestones!$AA$145)&lt;PolicyEff),1,Milestones!$AC$145)&amp;";  ","")&amp;IF(AND(EDATE($D74,Milestones!$AA$146)&lt;=AsOfDate,EDATE($D74,Milestones!$AA$146)&gt;=SchemeStart,IF($X74=0,$AD74,IF(AND($Z74&lt;&gt;"",EDATE($D74,Milestones!$AA$146)&gt;=$Z74),$AC74,IF(AND($Y74&lt;&gt;"",EDATE($D74,Milestones!$AA$146)&gt;=$Y74),$AB74,$AA74)))=Milestones!$AB$146),UPPER(TEXT(EDATE($D74,Milestones!$AA$146),"dd mmm yy"))&amp;" "&amp;Milestones!$AB$146&amp;" "&amp;IF(AND(Milestones!$AB$146="FT",Milestones!$AA$146=FT_Y5,EDATE($D74,Milestones!$AA$146)&lt;PolicyEff),1,Milestones!$AC$146)&amp;";  ","")&amp;IF(AND(EDATE($D74,Milestones!$AA$147)&lt;=AsOfDate,EDATE($D74,Milestones!$AA$147)&gt;=SchemeStart,IF($X74=0,$AD74,IF(AND($Z74&lt;&gt;"",EDATE($D74,Milestones!$AA$147)&gt;=$Z74),$AC74,IF(AND($Y74&lt;&gt;"",EDATE($D74,Milestones!$AA$147)&gt;=$Y74),$AB74,$AA74)))=Milestones!$AB$147),UPPER(TEXT(EDATE($D74,Milestones!$AA$147),"dd mmm yy"))&amp;" "&amp;Milestones!$AB$147&amp;" "&amp;IF(AND(Milestones!$AB$147="FT",Milestones!$AA$147=FT_Y5,EDATE($D74,Milestones!$AA$147)&lt;PolicyEff),1,Milestones!$AC$147)&amp;";  ","")&amp;IF(AND(EDATE($D74,Milestones!$AA$148)&lt;=AsOfDate,EDATE($D74,Milestones!$AA$148)&gt;=SchemeStart,IF($X74=0,$AD74,IF(AND($Z74&lt;&gt;"",EDATE($D74,Milestones!$AA$148)&gt;=$Z74),$AC74,IF(AND($Y74&lt;&gt;"",EDATE($D74,Milestones!$AA$148)&gt;=$Y74),$AB74,$AA74)))=Milestones!$AB$148),UPPER(TEXT(EDATE($D74,Milestones!$AA$148),"dd mmm yy"))&amp;" "&amp;Milestones!$AB$148&amp;" "&amp;IF(AND(Milestones!$AB$148="FT",Milestones!$AA$148=FT_Y5,EDATE($D74,Milestones!$AA$148)&lt;PolicyEff),1,Milestones!$AC$148)&amp;";  ","")&amp;IF(AND(EDATE($D74,Milestones!$AA$149)&lt;=AsOfDate,EDATE($D74,Milestones!$AA$149)&gt;=SchemeStart,IF($X74=0,$AD74,IF(AND($Z74&lt;&gt;"",EDATE($D74,Milestones!$AA$149)&gt;=$Z74),$AC74,IF(AND($Y74&lt;&gt;"",EDATE($D74,Milestones!$AA$149)&gt;=$Y74),$AB74,$AA74)))=Milestones!$AB$149),UPPER(TEXT(EDATE($D74,Milestones!$AA$149),"dd mmm yy"))&amp;" "&amp;Milestones!$AB$149&amp;" "&amp;IF(AND(Milestones!$AB$149="FT",Milestones!$AA$149=FT_Y5,EDATE($D74,Milestones!$AA$149)&lt;PolicyEff),1,Milestones!$AC$149)&amp;";  ","")&amp;IF(AND(EDATE($D74,Milestones!$AA$150)&lt;=AsOfDate,EDATE($D74,Milestones!$AA$150)&gt;=SchemeStart,IF($X74=0,$AD74,IF(AND($Z74&lt;&gt;"",EDATE($D74,Milestones!$AA$150)&gt;=$Z74),$AC74,IF(AND($Y74&lt;&gt;"",EDATE($D74,Milestones!$AA$150)&gt;=$Y74),$AB74,$AA74)))=Milestones!$AB$150),UPPER(TEXT(EDATE($D74,Milestones!$AA$150),"dd mmm yy"))&amp;" "&amp;Milestones!$AB$150&amp;" "&amp;IF(AND(Milestones!$AB$150="FT",Milestones!$AA$150=FT_Y5,EDATE($D74,Milestones!$AA$150)&lt;PolicyEff),1,Milestones!$AC$150)&amp;";  ","")&amp;IF(AND(EDATE($D74,Milestones!$AA$151)&lt;=AsOfDate,EDATE($D74,Milestones!$AA$151)&gt;=SchemeStart,IF($X74=0,$AD74,IF(AND($Z74&lt;&gt;"",EDATE($D74,Milestones!$AA$151)&gt;=$Z74),$AC74,IF(AND($Y74&lt;&gt;"",EDATE($D74,Milestones!$AA$151)&gt;=$Y74),$AB74,$AA74)))=Milestones!$AB$151),UPPER(TEXT(EDATE($D74,Milestones!$AA$151),"dd mmm yy"))&amp;" "&amp;Milestones!$AB$151&amp;" "&amp;IF(AND(Milestones!$AB$151="FT",Milestones!$AA$151=FT_Y5,EDATE($D74,Milestones!$AA$151)&lt;PolicyEff),1,Milestones!$AC$151)&amp;";  ",""))</f>
        <v/>
      </c>
      <c r="T74" s="0" t="str">
        <f aca="false">IF(OR($A74="",$D74=""),"",IF(AND(EDATE($D74,Milestones!$AA$152)&lt;=AsOfDate,EDATE($D74,Milestones!$AA$152)&gt;=SchemeStart,IF($X74=0,$AD74,IF(AND($Z74&lt;&gt;"",EDATE($D74,Milestones!$AA$152)&gt;=$Z74),$AC74,IF(AND($Y74&lt;&gt;"",EDATE($D74,Milestones!$AA$152)&gt;=$Y74),$AB74,$AA74)))=Milestones!$AB$152),UPPER(TEXT(EDATE($D74,Milestones!$AA$152),"dd mmm yy"))&amp;" "&amp;Milestones!$AB$152&amp;" "&amp;IF(AND(Milestones!$AB$152="FT",Milestones!$AA$152=FT_Y5,EDATE($D74,Milestones!$AA$152)&lt;PolicyEff),1,Milestones!$AC$152)&amp;";  ","")&amp;IF(AND(EDATE($D74,Milestones!$AA$153)&lt;=AsOfDate,EDATE($D74,Milestones!$AA$153)&gt;=SchemeStart,IF($X74=0,$AD74,IF(AND($Z74&lt;&gt;"",EDATE($D74,Milestones!$AA$153)&gt;=$Z74),$AC74,IF(AND($Y74&lt;&gt;"",EDATE($D74,Milestones!$AA$153)&gt;=$Y74),$AB74,$AA74)))=Milestones!$AB$153),UPPER(TEXT(EDATE($D74,Milestones!$AA$153),"dd mmm yy"))&amp;" "&amp;Milestones!$AB$153&amp;" "&amp;IF(AND(Milestones!$AB$153="FT",Milestones!$AA$153=FT_Y5,EDATE($D74,Milestones!$AA$153)&lt;PolicyEff),1,Milestones!$AC$153)&amp;";  ","")&amp;IF(AND(EDATE($D74,Milestones!$AA$154)&lt;=AsOfDate,EDATE($D74,Milestones!$AA$154)&gt;=SchemeStart,IF($X74=0,$AD74,IF(AND($Z74&lt;&gt;"",EDATE($D74,Milestones!$AA$154)&gt;=$Z74),$AC74,IF(AND($Y74&lt;&gt;"",EDATE($D74,Milestones!$AA$154)&gt;=$Y74),$AB74,$AA74)))=Milestones!$AB$154),UPPER(TEXT(EDATE($D74,Milestones!$AA$154),"dd mmm yy"))&amp;" "&amp;Milestones!$AB$154&amp;" "&amp;IF(AND(Milestones!$AB$154="FT",Milestones!$AA$154=FT_Y5,EDATE($D74,Milestones!$AA$154)&lt;PolicyEff),1,Milestones!$AC$154)&amp;";  ","")&amp;IF(AND(EDATE($D74,Milestones!$AA$155)&lt;=AsOfDate,EDATE($D74,Milestones!$AA$155)&gt;=SchemeStart,IF($X74=0,$AD74,IF(AND($Z74&lt;&gt;"",EDATE($D74,Milestones!$AA$155)&gt;=$Z74),$AC74,IF(AND($Y74&lt;&gt;"",EDATE($D74,Milestones!$AA$155)&gt;=$Y74),$AB74,$AA74)))=Milestones!$AB$155),UPPER(TEXT(EDATE($D74,Milestones!$AA$155),"dd mmm yy"))&amp;" "&amp;Milestones!$AB$155&amp;" "&amp;IF(AND(Milestones!$AB$155="FT",Milestones!$AA$155=FT_Y5,EDATE($D74,Milestones!$AA$155)&lt;PolicyEff),1,Milestones!$AC$155)&amp;";  ","")&amp;IF(AND(EDATE($D74,Milestones!$AA$156)&lt;=AsOfDate,EDATE($D74,Milestones!$AA$156)&gt;=SchemeStart,IF($X74=0,$AD74,IF(AND($Z74&lt;&gt;"",EDATE($D74,Milestones!$AA$156)&gt;=$Z74),$AC74,IF(AND($Y74&lt;&gt;"",EDATE($D74,Milestones!$AA$156)&gt;=$Y74),$AB74,$AA74)))=Milestones!$AB$156),UPPER(TEXT(EDATE($D74,Milestones!$AA$156),"dd mmm yy"))&amp;" "&amp;Milestones!$AB$156&amp;" "&amp;IF(AND(Milestones!$AB$156="FT",Milestones!$AA$156=FT_Y5,EDATE($D74,Milestones!$AA$156)&lt;PolicyEff),1,Milestones!$AC$156)&amp;";  ","")&amp;IF(AND(EDATE($D74,Milestones!$AA$157)&lt;=AsOfDate,EDATE($D74,Milestones!$AA$157)&gt;=SchemeStart,IF($X74=0,$AD74,IF(AND($Z74&lt;&gt;"",EDATE($D74,Milestones!$AA$157)&gt;=$Z74),$AC74,IF(AND($Y74&lt;&gt;"",EDATE($D74,Milestones!$AA$157)&gt;=$Y74),$AB74,$AA74)))=Milestones!$AB$157),UPPER(TEXT(EDATE($D74,Milestones!$AA$157),"dd mmm yy"))&amp;" "&amp;Milestones!$AB$157&amp;" "&amp;IF(AND(Milestones!$AB$157="FT",Milestones!$AA$157=FT_Y5,EDATE($D74,Milestones!$AA$157)&lt;PolicyEff),1,Milestones!$AC$157)&amp;";  ","")&amp;IF(AND(EDATE($D74,Milestones!$AA$158)&lt;=AsOfDate,EDATE($D74,Milestones!$AA$158)&gt;=SchemeStart,IF($X74=0,$AD74,IF(AND($Z74&lt;&gt;"",EDATE($D74,Milestones!$AA$158)&gt;=$Z74),$AC74,IF(AND($Y74&lt;&gt;"",EDATE($D74,Milestones!$AA$158)&gt;=$Y74),$AB74,$AA74)))=Milestones!$AB$158),UPPER(TEXT(EDATE($D74,Milestones!$AA$158),"dd mmm yy"))&amp;" "&amp;Milestones!$AB$158&amp;" "&amp;IF(AND(Milestones!$AB$158="FT",Milestones!$AA$158=FT_Y5,EDATE($D74,Milestones!$AA$158)&lt;PolicyEff),1,Milestones!$AC$158)&amp;";  ","")&amp;IF(AND(EDATE($D74,Milestones!$AA$159)&lt;=AsOfDate,EDATE($D74,Milestones!$AA$159)&gt;=SchemeStart,IF($X74=0,$AD74,IF(AND($Z74&lt;&gt;"",EDATE($D74,Milestones!$AA$159)&gt;=$Z74),$AC74,IF(AND($Y74&lt;&gt;"",EDATE($D74,Milestones!$AA$159)&gt;=$Y74),$AB74,$AA74)))=Milestones!$AB$159),UPPER(TEXT(EDATE($D74,Milestones!$AA$159),"dd mmm yy"))&amp;" "&amp;Milestones!$AB$159&amp;" "&amp;IF(AND(Milestones!$AB$159="FT",Milestones!$AA$159=FT_Y5,EDATE($D74,Milestones!$AA$159)&lt;PolicyEff),1,Milestones!$AC$159)&amp;";  ","")&amp;IF(AND(EDATE($D74,Milestones!$AA$160)&lt;=AsOfDate,EDATE($D74,Milestones!$AA$160)&gt;=SchemeStart,IF($X74=0,$AD74,IF(AND($Z74&lt;&gt;"",EDATE($D74,Milestones!$AA$160)&gt;=$Z74),$AC74,IF(AND($Y74&lt;&gt;"",EDATE($D74,Milestones!$AA$160)&gt;=$Y74),$AB74,$AA74)))=Milestones!$AB$160),UPPER(TEXT(EDATE($D74,Milestones!$AA$160),"dd mmm yy"))&amp;" "&amp;Milestones!$AB$160&amp;" "&amp;IF(AND(Milestones!$AB$160="FT",Milestones!$AA$160=FT_Y5,EDATE($D74,Milestones!$AA$160)&lt;PolicyEff),1,Milestones!$AC$160)&amp;";  ","")&amp;IF(AND(EDATE($D74,Milestones!$AA$161)&lt;=AsOfDate,EDATE($D74,Milestones!$AA$161)&gt;=SchemeStart,IF($X74=0,$AD74,IF(AND($Z74&lt;&gt;"",EDATE($D74,Milestones!$AA$161)&gt;=$Z74),$AC74,IF(AND($Y74&lt;&gt;"",EDATE($D74,Milestones!$AA$161)&gt;=$Y74),$AB74,$AA74)))=Milestones!$AB$161),UPPER(TEXT(EDATE($D74,Milestones!$AA$161),"dd mmm yy"))&amp;" "&amp;Milestones!$AB$161&amp;" "&amp;IF(AND(Milestones!$AB$161="FT",Milestones!$AA$161=FT_Y5,EDATE($D74,Milestones!$AA$161)&lt;PolicyEff),1,Milestones!$AC$161)&amp;";  ","")&amp;IF(AND(EDATE($D74,Milestones!$AA$162)&lt;=AsOfDate,EDATE($D74,Milestones!$AA$162)&gt;=SchemeStart,IF($X74=0,$AD74,IF(AND($Z74&lt;&gt;"",EDATE($D74,Milestones!$AA$162)&gt;=$Z74),$AC74,IF(AND($Y74&lt;&gt;"",EDATE($D74,Milestones!$AA$162)&gt;=$Y74),$AB74,$AA74)))=Milestones!$AB$162),UPPER(TEXT(EDATE($D74,Milestones!$AA$162),"dd mmm yy"))&amp;" "&amp;Milestones!$AB$162&amp;" "&amp;IF(AND(Milestones!$AB$162="FT",Milestones!$AA$162=FT_Y5,EDATE($D74,Milestones!$AA$162)&lt;PolicyEff),1,Milestones!$AC$162)&amp;";  ","")&amp;IF(AND(EDATE($D74,Milestones!$AA$163)&lt;=AsOfDate,EDATE($D74,Milestones!$AA$163)&gt;=SchemeStart,IF($X74=0,$AD74,IF(AND($Z74&lt;&gt;"",EDATE($D74,Milestones!$AA$163)&gt;=$Z74),$AC74,IF(AND($Y74&lt;&gt;"",EDATE($D74,Milestones!$AA$163)&gt;=$Y74),$AB74,$AA74)))=Milestones!$AB$163),UPPER(TEXT(EDATE($D74,Milestones!$AA$163),"dd mmm yy"))&amp;" "&amp;Milestones!$AB$163&amp;" "&amp;IF(AND(Milestones!$AB$163="FT",Milestones!$AA$163=FT_Y5,EDATE($D74,Milestones!$AA$163)&lt;PolicyEff),1,Milestones!$AC$163)&amp;";  ",""))</f>
        <v/>
      </c>
      <c r="U74" s="0" t="str">
        <f aca="false">IF(OR($A74="",$D74=""),"",IF(AND(EDATE($D74,Milestones!$AA$164)&lt;=AsOfDate,EDATE($D74,Milestones!$AA$164)&gt;=SchemeStart,IF($X74=0,$AD74,IF(AND($Z74&lt;&gt;"",EDATE($D74,Milestones!$AA$164)&gt;=$Z74),$AC74,IF(AND($Y74&lt;&gt;"",EDATE($D74,Milestones!$AA$164)&gt;=$Y74),$AB74,$AA74)))=Milestones!$AB$164),UPPER(TEXT(EDATE($D74,Milestones!$AA$164),"dd mmm yy"))&amp;" "&amp;Milestones!$AB$164&amp;" "&amp;IF(AND(Milestones!$AB$164="FT",Milestones!$AA$164=FT_Y5,EDATE($D74,Milestones!$AA$164)&lt;PolicyEff),1,Milestones!$AC$164)&amp;";  ","")&amp;IF(AND(EDATE($D74,Milestones!$AA$165)&lt;=AsOfDate,EDATE($D74,Milestones!$AA$165)&gt;=SchemeStart,IF($X74=0,$AD74,IF(AND($Z74&lt;&gt;"",EDATE($D74,Milestones!$AA$165)&gt;=$Z74),$AC74,IF(AND($Y74&lt;&gt;"",EDATE($D74,Milestones!$AA$165)&gt;=$Y74),$AB74,$AA74)))=Milestones!$AB$165),UPPER(TEXT(EDATE($D74,Milestones!$AA$165),"dd mmm yy"))&amp;" "&amp;Milestones!$AB$165&amp;" "&amp;IF(AND(Milestones!$AB$165="FT",Milestones!$AA$165=FT_Y5,EDATE($D74,Milestones!$AA$165)&lt;PolicyEff),1,Milestones!$AC$165)&amp;";  ","")&amp;IF(AND(EDATE($D74,Milestones!$AA$166)&lt;=AsOfDate,EDATE($D74,Milestones!$AA$166)&gt;=SchemeStart,IF($X74=0,$AD74,IF(AND($Z74&lt;&gt;"",EDATE($D74,Milestones!$AA$166)&gt;=$Z74),$AC74,IF(AND($Y74&lt;&gt;"",EDATE($D74,Milestones!$AA$166)&gt;=$Y74),$AB74,$AA74)))=Milestones!$AB$166),UPPER(TEXT(EDATE($D74,Milestones!$AA$166),"dd mmm yy"))&amp;" "&amp;Milestones!$AB$166&amp;" "&amp;IF(AND(Milestones!$AB$166="FT",Milestones!$AA$166=FT_Y5,EDATE($D74,Milestones!$AA$166)&lt;PolicyEff),1,Milestones!$AC$166)&amp;";  ","")&amp;IF(AND(EDATE($D74,Milestones!$AA$167)&lt;=AsOfDate,EDATE($D74,Milestones!$AA$167)&gt;=SchemeStart,IF($X74=0,$AD74,IF(AND($Z74&lt;&gt;"",EDATE($D74,Milestones!$AA$167)&gt;=$Z74),$AC74,IF(AND($Y74&lt;&gt;"",EDATE($D74,Milestones!$AA$167)&gt;=$Y74),$AB74,$AA74)))=Milestones!$AB$167),UPPER(TEXT(EDATE($D74,Milestones!$AA$167),"dd mmm yy"))&amp;" "&amp;Milestones!$AB$167&amp;" "&amp;IF(AND(Milestones!$AB$167="FT",Milestones!$AA$167=FT_Y5,EDATE($D74,Milestones!$AA$167)&lt;PolicyEff),1,Milestones!$AC$167)&amp;";  ","")&amp;IF(AND(EDATE($D74,Milestones!$AA$168)&lt;=AsOfDate,EDATE($D74,Milestones!$AA$168)&gt;=SchemeStart,IF($X74=0,$AD74,IF(AND($Z74&lt;&gt;"",EDATE($D74,Milestones!$AA$168)&gt;=$Z74),$AC74,IF(AND($Y74&lt;&gt;"",EDATE($D74,Milestones!$AA$168)&gt;=$Y74),$AB74,$AA74)))=Milestones!$AB$168),UPPER(TEXT(EDATE($D74,Milestones!$AA$168),"dd mmm yy"))&amp;" "&amp;Milestones!$AB$168&amp;" "&amp;IF(AND(Milestones!$AB$168="FT",Milestones!$AA$168=FT_Y5,EDATE($D74,Milestones!$AA$168)&lt;PolicyEff),1,Milestones!$AC$168)&amp;";  ","")&amp;IF(AND(EDATE($D74,Milestones!$AA$169)&lt;=AsOfDate,EDATE($D74,Milestones!$AA$169)&gt;=SchemeStart,IF($X74=0,$AD74,IF(AND($Z74&lt;&gt;"",EDATE($D74,Milestones!$AA$169)&gt;=$Z74),$AC74,IF(AND($Y74&lt;&gt;"",EDATE($D74,Milestones!$AA$169)&gt;=$Y74),$AB74,$AA74)))=Milestones!$AB$169),UPPER(TEXT(EDATE($D74,Milestones!$AA$169),"dd mmm yy"))&amp;" "&amp;Milestones!$AB$169&amp;" "&amp;IF(AND(Milestones!$AB$169="FT",Milestones!$AA$169=FT_Y5,EDATE($D74,Milestones!$AA$169)&lt;PolicyEff),1,Milestones!$AC$169)&amp;";  ","")&amp;IF(AND(EDATE($D74,Milestones!$AA$170)&lt;=AsOfDate,EDATE($D74,Milestones!$AA$170)&gt;=SchemeStart,IF($X74=0,$AD74,IF(AND($Z74&lt;&gt;"",EDATE($D74,Milestones!$AA$170)&gt;=$Z74),$AC74,IF(AND($Y74&lt;&gt;"",EDATE($D74,Milestones!$AA$170)&gt;=$Y74),$AB74,$AA74)))=Milestones!$AB$170),UPPER(TEXT(EDATE($D74,Milestones!$AA$170),"dd mmm yy"))&amp;" "&amp;Milestones!$AB$170&amp;" "&amp;IF(AND(Milestones!$AB$170="FT",Milestones!$AA$170=FT_Y5,EDATE($D74,Milestones!$AA$170)&lt;PolicyEff),1,Milestones!$AC$170)&amp;";  ","")&amp;IF(AND(EDATE($D74,Milestones!$AA$171)&lt;=AsOfDate,EDATE($D74,Milestones!$AA$171)&gt;=SchemeStart,IF($X74=0,$AD74,IF(AND($Z74&lt;&gt;"",EDATE($D74,Milestones!$AA$171)&gt;=$Z74),$AC74,IF(AND($Y74&lt;&gt;"",EDATE($D74,Milestones!$AA$171)&gt;=$Y74),$AB74,$AA74)))=Milestones!$AB$171),UPPER(TEXT(EDATE($D74,Milestones!$AA$171),"dd mmm yy"))&amp;" "&amp;Milestones!$AB$171&amp;" "&amp;IF(AND(Milestones!$AB$171="FT",Milestones!$AA$171=FT_Y5,EDATE($D74,Milestones!$AA$171)&lt;PolicyEff),1,Milestones!$AC$171)&amp;";  ","")&amp;IF(AND(EDATE($D74,Milestones!$AA$172)&lt;=AsOfDate,EDATE($D74,Milestones!$AA$172)&gt;=SchemeStart,IF($X74=0,$AD74,IF(AND($Z74&lt;&gt;"",EDATE($D74,Milestones!$AA$172)&gt;=$Z74),$AC74,IF(AND($Y74&lt;&gt;"",EDATE($D74,Milestones!$AA$172)&gt;=$Y74),$AB74,$AA74)))=Milestones!$AB$172),UPPER(TEXT(EDATE($D74,Milestones!$AA$172),"dd mmm yy"))&amp;" "&amp;Milestones!$AB$172&amp;" "&amp;IF(AND(Milestones!$AB$172="FT",Milestones!$AA$172=FT_Y5,EDATE($D74,Milestones!$AA$172)&lt;PolicyEff),1,Milestones!$AC$172)&amp;";  ","")&amp;IF(AND(EDATE($D74,Milestones!$AA$173)&lt;=AsOfDate,EDATE($D74,Milestones!$AA$173)&gt;=SchemeStart,IF($X74=0,$AD74,IF(AND($Z74&lt;&gt;"",EDATE($D74,Milestones!$AA$173)&gt;=$Z74),$AC74,IF(AND($Y74&lt;&gt;"",EDATE($D74,Milestones!$AA$173)&gt;=$Y74),$AB74,$AA74)))=Milestones!$AB$173),UPPER(TEXT(EDATE($D74,Milestones!$AA$173),"dd mmm yy"))&amp;" "&amp;Milestones!$AB$173&amp;" "&amp;IF(AND(Milestones!$AB$173="FT",Milestones!$AA$173=FT_Y5,EDATE($D74,Milestones!$AA$173)&lt;PolicyEff),1,Milestones!$AC$173)&amp;";  ","")&amp;IF(AND(EDATE($D74,Milestones!$AA$174)&lt;=AsOfDate,EDATE($D74,Milestones!$AA$174)&gt;=SchemeStart,IF($X74=0,$AD74,IF(AND($Z74&lt;&gt;"",EDATE($D74,Milestones!$AA$174)&gt;=$Z74),$AC74,IF(AND($Y74&lt;&gt;"",EDATE($D74,Milestones!$AA$174)&gt;=$Y74),$AB74,$AA74)))=Milestones!$AB$174),UPPER(TEXT(EDATE($D74,Milestones!$AA$174),"dd mmm yy"))&amp;" "&amp;Milestones!$AB$174&amp;" "&amp;IF(AND(Milestones!$AB$174="FT",Milestones!$AA$174=FT_Y5,EDATE($D74,Milestones!$AA$174)&lt;PolicyEff),1,Milestones!$AC$174)&amp;";  ","")&amp;IF(AND(EDATE($D74,Milestones!$AA$175)&lt;=AsOfDate,EDATE($D74,Milestones!$AA$175)&gt;=SchemeStart,IF($X74=0,$AD74,IF(AND($Z74&lt;&gt;"",EDATE($D74,Milestones!$AA$175)&gt;=$Z74),$AC74,IF(AND($Y74&lt;&gt;"",EDATE($D74,Milestones!$AA$175)&gt;=$Y74),$AB74,$AA74)))=Milestones!$AB$175),UPPER(TEXT(EDATE($D74,Milestones!$AA$175),"dd mmm yy"))&amp;" "&amp;Milestones!$AB$175&amp;" "&amp;IF(AND(Milestones!$AB$175="FT",Milestones!$AA$175=FT_Y5,EDATE($D74,Milestones!$AA$175)&lt;PolicyEff),1,Milestones!$AC$175)&amp;";  ",""))</f>
        <v/>
      </c>
      <c r="V74" s="0" t="str">
        <f aca="false">IF(OR($A74="",$D74=""),"",IF(AND(EDATE($D74,Milestones!$AA$176)&lt;=AsOfDate,EDATE($D74,Milestones!$AA$176)&gt;=SchemeStart,IF($X74=0,$AD74,IF(AND($Z74&lt;&gt;"",EDATE($D74,Milestones!$AA$176)&gt;=$Z74),$AC74,IF(AND($Y74&lt;&gt;"",EDATE($D74,Milestones!$AA$176)&gt;=$Y74),$AB74,$AA74)))=Milestones!$AB$176),UPPER(TEXT(EDATE($D74,Milestones!$AA$176),"dd mmm yy"))&amp;" "&amp;Milestones!$AB$176&amp;" "&amp;IF(AND(Milestones!$AB$176="FT",Milestones!$AA$176=FT_Y5,EDATE($D74,Milestones!$AA$176)&lt;PolicyEff),1,Milestones!$AC$176)&amp;";  ","")&amp;IF(AND(EDATE($D74,Milestones!$AA$177)&lt;=AsOfDate,EDATE($D74,Milestones!$AA$177)&gt;=SchemeStart,IF($X74=0,$AD74,IF(AND($Z74&lt;&gt;"",EDATE($D74,Milestones!$AA$177)&gt;=$Z74),$AC74,IF(AND($Y74&lt;&gt;"",EDATE($D74,Milestones!$AA$177)&gt;=$Y74),$AB74,$AA74)))=Milestones!$AB$177),UPPER(TEXT(EDATE($D74,Milestones!$AA$177),"dd mmm yy"))&amp;" "&amp;Milestones!$AB$177&amp;" "&amp;IF(AND(Milestones!$AB$177="FT",Milestones!$AA$177=FT_Y5,EDATE($D74,Milestones!$AA$177)&lt;PolicyEff),1,Milestones!$AC$177)&amp;";  ","")&amp;IF(AND(EDATE($D74,Milestones!$AA$178)&lt;=AsOfDate,EDATE($D74,Milestones!$AA$178)&gt;=SchemeStart,IF($X74=0,$AD74,IF(AND($Z74&lt;&gt;"",EDATE($D74,Milestones!$AA$178)&gt;=$Z74),$AC74,IF(AND($Y74&lt;&gt;"",EDATE($D74,Milestones!$AA$178)&gt;=$Y74),$AB74,$AA74)))=Milestones!$AB$178),UPPER(TEXT(EDATE($D74,Milestones!$AA$178),"dd mmm yy"))&amp;" "&amp;Milestones!$AB$178&amp;" "&amp;IF(AND(Milestones!$AB$178="FT",Milestones!$AA$178=FT_Y5,EDATE($D74,Milestones!$AA$178)&lt;PolicyEff),1,Milestones!$AC$178)&amp;";  ","")&amp;IF(AND(EDATE($D74,Milestones!$AA$179)&lt;=AsOfDate,EDATE($D74,Milestones!$AA$179)&gt;=SchemeStart,IF($X74=0,$AD74,IF(AND($Z74&lt;&gt;"",EDATE($D74,Milestones!$AA$179)&gt;=$Z74),$AC74,IF(AND($Y74&lt;&gt;"",EDATE($D74,Milestones!$AA$179)&gt;=$Y74),$AB74,$AA74)))=Milestones!$AB$179),UPPER(TEXT(EDATE($D74,Milestones!$AA$179),"dd mmm yy"))&amp;" "&amp;Milestones!$AB$179&amp;" "&amp;IF(AND(Milestones!$AB$179="FT",Milestones!$AA$179=FT_Y5,EDATE($D74,Milestones!$AA$179)&lt;PolicyEff),1,Milestones!$AC$179)&amp;";  ","")&amp;IF(AND(EDATE($D74,Milestones!$AA$180)&lt;=AsOfDate,EDATE($D74,Milestones!$AA$180)&gt;=SchemeStart,IF($X74=0,$AD74,IF(AND($Z74&lt;&gt;"",EDATE($D74,Milestones!$AA$180)&gt;=$Z74),$AC74,IF(AND($Y74&lt;&gt;"",EDATE($D74,Milestones!$AA$180)&gt;=$Y74),$AB74,$AA74)))=Milestones!$AB$180),UPPER(TEXT(EDATE($D74,Milestones!$AA$180),"dd mmm yy"))&amp;" "&amp;Milestones!$AB$180&amp;" "&amp;IF(AND(Milestones!$AB$180="FT",Milestones!$AA$180=FT_Y5,EDATE($D74,Milestones!$AA$180)&lt;PolicyEff),1,Milestones!$AC$180)&amp;";  ","")&amp;IF(AND(EDATE($D74,Milestones!$AA$181)&lt;=AsOfDate,EDATE($D74,Milestones!$AA$181)&gt;=SchemeStart,IF($X74=0,$AD74,IF(AND($Z74&lt;&gt;"",EDATE($D74,Milestones!$AA$181)&gt;=$Z74),$AC74,IF(AND($Y74&lt;&gt;"",EDATE($D74,Milestones!$AA$181)&gt;=$Y74),$AB74,$AA74)))=Milestones!$AB$181),UPPER(TEXT(EDATE($D74,Milestones!$AA$181),"dd mmm yy"))&amp;" "&amp;Milestones!$AB$181&amp;" "&amp;IF(AND(Milestones!$AB$181="FT",Milestones!$AA$181=FT_Y5,EDATE($D74,Milestones!$AA$181)&lt;PolicyEff),1,Milestones!$AC$181)&amp;";  ","")&amp;IF(AND(EDATE($D74,Milestones!$AA$182)&lt;=AsOfDate,EDATE($D74,Milestones!$AA$182)&gt;=SchemeStart,IF($X74=0,$AD74,IF(AND($Z74&lt;&gt;"",EDATE($D74,Milestones!$AA$182)&gt;=$Z74),$AC74,IF(AND($Y74&lt;&gt;"",EDATE($D74,Milestones!$AA$182)&gt;=$Y74),$AB74,$AA74)))=Milestones!$AB$182),UPPER(TEXT(EDATE($D74,Milestones!$AA$182),"dd mmm yy"))&amp;" "&amp;Milestones!$AB$182&amp;" "&amp;IF(AND(Milestones!$AB$182="FT",Milestones!$AA$182=FT_Y5,EDATE($D74,Milestones!$AA$182)&lt;PolicyEff),1,Milestones!$AC$182)&amp;";  ","")&amp;IF(AND(EDATE($D74,Milestones!$AA$183)&lt;=AsOfDate,EDATE($D74,Milestones!$AA$183)&gt;=SchemeStart,IF($X74=0,$AD74,IF(AND($Z74&lt;&gt;"",EDATE($D74,Milestones!$AA$183)&gt;=$Z74),$AC74,IF(AND($Y74&lt;&gt;"",EDATE($D74,Milestones!$AA$183)&gt;=$Y74),$AB74,$AA74)))=Milestones!$AB$183),UPPER(TEXT(EDATE($D74,Milestones!$AA$183),"dd mmm yy"))&amp;" "&amp;Milestones!$AB$183&amp;" "&amp;IF(AND(Milestones!$AB$183="FT",Milestones!$AA$183=FT_Y5,EDATE($D74,Milestones!$AA$183)&lt;PolicyEff),1,Milestones!$AC$183)&amp;";  ","")&amp;IF(AND(EDATE($D74,Milestones!$AA$184)&lt;=AsOfDate,EDATE($D74,Milestones!$AA$184)&gt;=SchemeStart,IF($X74=0,$AD74,IF(AND($Z74&lt;&gt;"",EDATE($D74,Milestones!$AA$184)&gt;=$Z74),$AC74,IF(AND($Y74&lt;&gt;"",EDATE($D74,Milestones!$AA$184)&gt;=$Y74),$AB74,$AA74)))=Milestones!$AB$184),UPPER(TEXT(EDATE($D74,Milestones!$AA$184),"dd mmm yy"))&amp;" "&amp;Milestones!$AB$184&amp;" "&amp;IF(AND(Milestones!$AB$184="FT",Milestones!$AA$184=FT_Y5,EDATE($D74,Milestones!$AA$184)&lt;PolicyEff),1,Milestones!$AC$184)&amp;";  ","")&amp;IF(AND(EDATE($D74,Milestones!$AA$185)&lt;=AsOfDate,EDATE($D74,Milestones!$AA$185)&gt;=SchemeStart,IF($X74=0,$AD74,IF(AND($Z74&lt;&gt;"",EDATE($D74,Milestones!$AA$185)&gt;=$Z74),$AC74,IF(AND($Y74&lt;&gt;"",EDATE($D74,Milestones!$AA$185)&gt;=$Y74),$AB74,$AA74)))=Milestones!$AB$185),UPPER(TEXT(EDATE($D74,Milestones!$AA$185),"dd mmm yy"))&amp;" "&amp;Milestones!$AB$185&amp;" "&amp;IF(AND(Milestones!$AB$185="FT",Milestones!$AA$185=FT_Y5,EDATE($D74,Milestones!$AA$185)&lt;PolicyEff),1,Milestones!$AC$185)&amp;";  ","")&amp;IF(AND(EDATE($D74,Milestones!$AA$186)&lt;=AsOfDate,EDATE($D74,Milestones!$AA$186)&gt;=SchemeStart,IF($X74=0,$AD74,IF(AND($Z74&lt;&gt;"",EDATE($D74,Milestones!$AA$186)&gt;=$Z74),$AC74,IF(AND($Y74&lt;&gt;"",EDATE($D74,Milestones!$AA$186)&gt;=$Y74),$AB74,$AA74)))=Milestones!$AB$186),UPPER(TEXT(EDATE($D74,Milestones!$AA$186),"dd mmm yy"))&amp;" "&amp;Milestones!$AB$186&amp;" "&amp;IF(AND(Milestones!$AB$186="FT",Milestones!$AA$186=FT_Y5,EDATE($D74,Milestones!$AA$186)&lt;PolicyEff),1,Milestones!$AC$186)&amp;";  ","")&amp;IF(AND(EDATE($D74,Milestones!$AA$187)&lt;=AsOfDate,EDATE($D74,Milestones!$AA$187)&gt;=SchemeStart,IF($X74=0,$AD74,IF(AND($Z74&lt;&gt;"",EDATE($D74,Milestones!$AA$187)&gt;=$Z74),$AC74,IF(AND($Y74&lt;&gt;"",EDATE($D74,Milestones!$AA$187)&gt;=$Y74),$AB74,$AA74)))=Milestones!$AB$187),UPPER(TEXT(EDATE($D74,Milestones!$AA$187),"dd mmm yy"))&amp;" "&amp;Milestones!$AB$187&amp;" "&amp;IF(AND(Milestones!$AB$187="FT",Milestones!$AA$187=FT_Y5,EDATE($D74,Milestones!$AA$187)&lt;PolicyEff),1,Milestones!$AC$187)&amp;";  ",""))</f>
        <v/>
      </c>
      <c r="W74" s="0" t="str">
        <f aca="false">IF(OR($A74="",$D74=""),"",IF(AND(EDATE($D74,Milestones!$AA$188)&lt;=AsOfDate,EDATE($D74,Milestones!$AA$188)&gt;=SchemeStart,IF($X74=0,$AD74,IF(AND($Z74&lt;&gt;"",EDATE($D74,Milestones!$AA$188)&gt;=$Z74),$AC74,IF(AND($Y74&lt;&gt;"",EDATE($D74,Milestones!$AA$188)&gt;=$Y74),$AB74,$AA74)))=Milestones!$AB$188),UPPER(TEXT(EDATE($D74,Milestones!$AA$188),"dd mmm yy"))&amp;" "&amp;Milestones!$AB$188&amp;" "&amp;IF(AND(Milestones!$AB$188="FT",Milestones!$AA$188=FT_Y5,EDATE($D74,Milestones!$AA$188)&lt;PolicyEff),1,Milestones!$AC$188)&amp;";  ","")&amp;IF(AND(EDATE($D74,Milestones!$AA$189)&lt;=AsOfDate,EDATE($D74,Milestones!$AA$189)&gt;=SchemeStart,IF($X74=0,$AD74,IF(AND($Z74&lt;&gt;"",EDATE($D74,Milestones!$AA$189)&gt;=$Z74),$AC74,IF(AND($Y74&lt;&gt;"",EDATE($D74,Milestones!$AA$189)&gt;=$Y74),$AB74,$AA74)))=Milestones!$AB$189),UPPER(TEXT(EDATE($D74,Milestones!$AA$189),"dd mmm yy"))&amp;" "&amp;Milestones!$AB$189&amp;" "&amp;IF(AND(Milestones!$AB$189="FT",Milestones!$AA$189=FT_Y5,EDATE($D74,Milestones!$AA$189)&lt;PolicyEff),1,Milestones!$AC$189)&amp;";  ","")&amp;IF(AND(EDATE($D74,Milestones!$AA$190)&lt;=AsOfDate,EDATE($D74,Milestones!$AA$190)&gt;=SchemeStart,IF($X74=0,$AD74,IF(AND($Z74&lt;&gt;"",EDATE($D74,Milestones!$AA$190)&gt;=$Z74),$AC74,IF(AND($Y74&lt;&gt;"",EDATE($D74,Milestones!$AA$190)&gt;=$Y74),$AB74,$AA74)))=Milestones!$AB$190),UPPER(TEXT(EDATE($D74,Milestones!$AA$190),"dd mmm yy"))&amp;" "&amp;Milestones!$AB$190&amp;" "&amp;IF(AND(Milestones!$AB$190="FT",Milestones!$AA$190=FT_Y5,EDATE($D74,Milestones!$AA$190)&lt;PolicyEff),1,Milestones!$AC$190)&amp;";  ","")&amp;IF(AND(EDATE($D74,Milestones!$AA$191)&lt;=AsOfDate,EDATE($D74,Milestones!$AA$191)&gt;=SchemeStart,IF($X74=0,$AD74,IF(AND($Z74&lt;&gt;"",EDATE($D74,Milestones!$AA$191)&gt;=$Z74),$AC74,IF(AND($Y74&lt;&gt;"",EDATE($D74,Milestones!$AA$191)&gt;=$Y74),$AB74,$AA74)))=Milestones!$AB$191),UPPER(TEXT(EDATE($D74,Milestones!$AA$191),"dd mmm yy"))&amp;" "&amp;Milestones!$AB$191&amp;" "&amp;IF(AND(Milestones!$AB$191="FT",Milestones!$AA$191=FT_Y5,EDATE($D74,Milestones!$AA$191)&lt;PolicyEff),1,Milestones!$AC$191)&amp;";  ","")&amp;IF(AND(EDATE($D74,Milestones!$AA$192)&lt;=AsOfDate,EDATE($D74,Milestones!$AA$192)&gt;=SchemeStart,IF($X74=0,$AD74,IF(AND($Z74&lt;&gt;"",EDATE($D74,Milestones!$AA$192)&gt;=$Z74),$AC74,IF(AND($Y74&lt;&gt;"",EDATE($D74,Milestones!$AA$192)&gt;=$Y74),$AB74,$AA74)))=Milestones!$AB$192),UPPER(TEXT(EDATE($D74,Milestones!$AA$192),"dd mmm yy"))&amp;" "&amp;Milestones!$AB$192&amp;" "&amp;IF(AND(Milestones!$AB$192="FT",Milestones!$AA$192=FT_Y5,EDATE($D74,Milestones!$AA$192)&lt;PolicyEff),1,Milestones!$AC$192)&amp;";  ","")&amp;IF(AND(EDATE($D74,Milestones!$AA$193)&lt;=AsOfDate,EDATE($D74,Milestones!$AA$193)&gt;=SchemeStart,IF($X74=0,$AD74,IF(AND($Z74&lt;&gt;"",EDATE($D74,Milestones!$AA$193)&gt;=$Z74),$AC74,IF(AND($Y74&lt;&gt;"",EDATE($D74,Milestones!$AA$193)&gt;=$Y74),$AB74,$AA74)))=Milestones!$AB$193),UPPER(TEXT(EDATE($D74,Milestones!$AA$193),"dd mmm yy"))&amp;" "&amp;Milestones!$AB$193&amp;" "&amp;IF(AND(Milestones!$AB$193="FT",Milestones!$AA$193=FT_Y5,EDATE($D74,Milestones!$AA$193)&lt;PolicyEff),1,Milestones!$AC$193)&amp;";  ","")&amp;IF(AND(EDATE($D74,Milestones!$AA$194)&lt;=AsOfDate,EDATE($D74,Milestones!$AA$194)&gt;=SchemeStart,IF($X74=0,$AD74,IF(AND($Z74&lt;&gt;"",EDATE($D74,Milestones!$AA$194)&gt;=$Z74),$AC74,IF(AND($Y74&lt;&gt;"",EDATE($D74,Milestones!$AA$194)&gt;=$Y74),$AB74,$AA74)))=Milestones!$AB$194),UPPER(TEXT(EDATE($D74,Milestones!$AA$194),"dd mmm yy"))&amp;" "&amp;Milestones!$AB$194&amp;" "&amp;IF(AND(Milestones!$AB$194="FT",Milestones!$AA$194=FT_Y5,EDATE($D74,Milestones!$AA$194)&lt;PolicyEff),1,Milestones!$AC$194)&amp;";  ","")&amp;IF(AND(EDATE($D74,Milestones!$AA$195)&lt;=AsOfDate,EDATE($D74,Milestones!$AA$195)&gt;=SchemeStart,IF($X74=0,$AD74,IF(AND($Z74&lt;&gt;"",EDATE($D74,Milestones!$AA$195)&gt;=$Z74),$AC74,IF(AND($Y74&lt;&gt;"",EDATE($D74,Milestones!$AA$195)&gt;=$Y74),$AB74,$AA74)))=Milestones!$AB$195),UPPER(TEXT(EDATE($D74,Milestones!$AA$195),"dd mmm yy"))&amp;" "&amp;Milestones!$AB$195&amp;" "&amp;IF(AND(Milestones!$AB$195="FT",Milestones!$AA$195=FT_Y5,EDATE($D74,Milestones!$AA$195)&lt;PolicyEff),1,Milestones!$AC$195)&amp;";  ","")&amp;IF(AND(EDATE($D74,Milestones!$AA$196)&lt;=AsOfDate,EDATE($D74,Milestones!$AA$196)&gt;=SchemeStart,IF($X74=0,$AD74,IF(AND($Z74&lt;&gt;"",EDATE($D74,Milestones!$AA$196)&gt;=$Z74),$AC74,IF(AND($Y74&lt;&gt;"",EDATE($D74,Milestones!$AA$196)&gt;=$Y74),$AB74,$AA74)))=Milestones!$AB$196),UPPER(TEXT(EDATE($D74,Milestones!$AA$196),"dd mmm yy"))&amp;" "&amp;Milestones!$AB$196&amp;" "&amp;IF(AND(Milestones!$AB$196="FT",Milestones!$AA$196=FT_Y5,EDATE($D74,Milestones!$AA$196)&lt;PolicyEff),1,Milestones!$AC$196)&amp;";  ","")&amp;IF(AND(EDATE($D74,Milestones!$AA$197)&lt;=AsOfDate,EDATE($D74,Milestones!$AA$197)&gt;=SchemeStart,IF($X74=0,$AD74,IF(AND($Z74&lt;&gt;"",EDATE($D74,Milestones!$AA$197)&gt;=$Z74),$AC74,IF(AND($Y74&lt;&gt;"",EDATE($D74,Milestones!$AA$197)&gt;=$Y74),$AB74,$AA74)))=Milestones!$AB$197),UPPER(TEXT(EDATE($D74,Milestones!$AA$197),"dd mmm yy"))&amp;" "&amp;Milestones!$AB$197&amp;" "&amp;IF(AND(Milestones!$AB$197="FT",Milestones!$AA$197=FT_Y5,EDATE($D74,Milestones!$AA$197)&lt;PolicyEff),1,Milestones!$AC$197)&amp;";  ","")&amp;IF(AND(EDATE($D74,Milestones!$AA$198)&lt;=AsOfDate,EDATE($D74,Milestones!$AA$198)&gt;=SchemeStart,IF($X74=0,$AD74,IF(AND($Z74&lt;&gt;"",EDATE($D74,Milestones!$AA$198)&gt;=$Z74),$AC74,IF(AND($Y74&lt;&gt;"",EDATE($D74,Milestones!$AA$198)&gt;=$Y74),$AB74,$AA74)))=Milestones!$AB$198),UPPER(TEXT(EDATE($D74,Milestones!$AA$198),"dd mmm yy"))&amp;" "&amp;Milestones!$AB$198&amp;" "&amp;IF(AND(Milestones!$AB$198="FT",Milestones!$AA$198=FT_Y5,EDATE($D74,Milestones!$AA$198)&lt;PolicyEff),1,Milestones!$AC$198)&amp;";  ","")&amp;IF(AND(EDATE($D74,Milestones!$AA$199)&lt;=AsOfDate,EDATE($D74,Milestones!$AA$199)&gt;=SchemeStart,IF($X74=0,$AD74,IF(AND($Z74&lt;&gt;"",EDATE($D74,Milestones!$AA$199)&gt;=$Z74),$AC74,IF(AND($Y74&lt;&gt;"",EDATE($D74,Milestones!$AA$199)&gt;=$Y74),$AB74,$AA74)))=Milestones!$AB$199),UPPER(TEXT(EDATE($D74,Milestones!$AA$199),"dd mmm yy"))&amp;" "&amp;Milestones!$AB$199&amp;" "&amp;IF(AND(Milestones!$AB$199="FT",Milestones!$AA$199=FT_Y5,EDATE($D74,Milestones!$AA$199)&lt;PolicyEff),1,Milestones!$AC$199)&amp;";  ",""))</f>
        <v/>
      </c>
      <c r="X74" s="0" t="str">
        <f aca="false">IF(Staff!$A74="","",Staff!$AM74)</f>
        <v/>
      </c>
      <c r="Y74" s="0" t="str">
        <f aca="false">IF(Staff!$A74="","",Staff!$AO74)</f>
        <v/>
      </c>
      <c r="Z74" s="0" t="str">
        <f aca="false">IF(Staff!$A74="","",Staff!$AP74)</f>
        <v/>
      </c>
      <c r="AA74" s="0" t="str">
        <f aca="false">IF(Staff!$A74="","",Staff!$AT74)</f>
        <v/>
      </c>
      <c r="AB74" s="0" t="str">
        <f aca="false">IF(Staff!$A74="","",Staff!$AU74)</f>
        <v/>
      </c>
      <c r="AC74" s="0" t="str">
        <f aca="false">IF(Staff!$A74="","",Staff!$AV74)</f>
        <v/>
      </c>
      <c r="AD74" s="0" t="str">
        <f aca="false">IF(Staff!$A74="","",Staff!$AW74)</f>
        <v/>
      </c>
    </row>
    <row r="75" customFormat="false" ht="15" hidden="false" customHeight="false" outlineLevel="0" collapsed="false">
      <c r="A75" s="16" t="str">
        <f aca="false">IF(Staff!$A75="","",Staff!$A75)</f>
        <v/>
      </c>
      <c r="B75" s="16" t="str">
        <f aca="false">IF(Staff!$A75="","",Staff!$B75)</f>
        <v/>
      </c>
      <c r="C75" s="16" t="str">
        <f aca="false">IF(Staff!$A75="","",Staff!$C75)</f>
        <v/>
      </c>
      <c r="D75" s="14" t="str">
        <f aca="false">IF(Staff!$A75="","",Staff!$AL75)</f>
        <v/>
      </c>
      <c r="E75" s="16" t="str">
        <f aca="false">IF(Staff!$A75="","",Staff!$O75)</f>
        <v/>
      </c>
      <c r="F75" s="16" t="str">
        <f aca="false">IF(E75="","",E75*HoursPerDay)</f>
        <v/>
      </c>
      <c r="G75" s="16" t="str">
        <f aca="false">IF(Staff!$A75="","",Staff!$AE75)</f>
        <v/>
      </c>
      <c r="H75" s="28" t="str">
        <f aca="false">IF($A75="","",I75&amp;J75&amp;K75&amp;L75&amp;M75&amp;N75&amp;O75&amp;P75&amp;Q75&amp;R75&amp;S75&amp;T75&amp;U75&amp;V75&amp;W75)</f>
        <v/>
      </c>
      <c r="I75" s="0" t="str">
        <f aca="false">IF(OR($A75="",$D75=""),"",IF(AND(EDATE($D75,Milestones!$AA$20)&lt;=AsOfDate,EDATE($D75,Milestones!$AA$20)&gt;=SchemeStart,IF($X75=0,$AD75,IF(AND($Z75&lt;&gt;"",EDATE($D75,Milestones!$AA$20)&gt;=$Z75),$AC75,IF(AND($Y75&lt;&gt;"",EDATE($D75,Milestones!$AA$20)&gt;=$Y75),$AB75,$AA75)))=Milestones!$AB$20),UPPER(TEXT(EDATE($D75,Milestones!$AA$20),"dd mmm yy"))&amp;" "&amp;Milestones!$AB$20&amp;" "&amp;IF(AND(Milestones!$AB$20="FT",Milestones!$AA$20=FT_Y5,EDATE($D75,Milestones!$AA$20)&lt;PolicyEff),1,Milestones!$AC$20)&amp;";  ","")&amp;IF(AND(EDATE($D75,Milestones!$AA$21)&lt;=AsOfDate,EDATE($D75,Milestones!$AA$21)&gt;=SchemeStart,IF($X75=0,$AD75,IF(AND($Z75&lt;&gt;"",EDATE($D75,Milestones!$AA$21)&gt;=$Z75),$AC75,IF(AND($Y75&lt;&gt;"",EDATE($D75,Milestones!$AA$21)&gt;=$Y75),$AB75,$AA75)))=Milestones!$AB$21),UPPER(TEXT(EDATE($D75,Milestones!$AA$21),"dd mmm yy"))&amp;" "&amp;Milestones!$AB$21&amp;" "&amp;IF(AND(Milestones!$AB$21="FT",Milestones!$AA$21=FT_Y5,EDATE($D75,Milestones!$AA$21)&lt;PolicyEff),1,Milestones!$AC$21)&amp;";  ","")&amp;IF(AND(EDATE($D75,Milestones!$AA$22)&lt;=AsOfDate,EDATE($D75,Milestones!$AA$22)&gt;=SchemeStart,IF($X75=0,$AD75,IF(AND($Z75&lt;&gt;"",EDATE($D75,Milestones!$AA$22)&gt;=$Z75),$AC75,IF(AND($Y75&lt;&gt;"",EDATE($D75,Milestones!$AA$22)&gt;=$Y75),$AB75,$AA75)))=Milestones!$AB$22),UPPER(TEXT(EDATE($D75,Milestones!$AA$22),"dd mmm yy"))&amp;" "&amp;Milestones!$AB$22&amp;" "&amp;IF(AND(Milestones!$AB$22="FT",Milestones!$AA$22=FT_Y5,EDATE($D75,Milestones!$AA$22)&lt;PolicyEff),1,Milestones!$AC$22)&amp;";  ","")&amp;IF(AND(EDATE($D75,Milestones!$AA$23)&lt;=AsOfDate,EDATE($D75,Milestones!$AA$23)&gt;=SchemeStart,IF($X75=0,$AD75,IF(AND($Z75&lt;&gt;"",EDATE($D75,Milestones!$AA$23)&gt;=$Z75),$AC75,IF(AND($Y75&lt;&gt;"",EDATE($D75,Milestones!$AA$23)&gt;=$Y75),$AB75,$AA75)))=Milestones!$AB$23),UPPER(TEXT(EDATE($D75,Milestones!$AA$23),"dd mmm yy"))&amp;" "&amp;Milestones!$AB$23&amp;" "&amp;IF(AND(Milestones!$AB$23="FT",Milestones!$AA$23=FT_Y5,EDATE($D75,Milestones!$AA$23)&lt;PolicyEff),1,Milestones!$AC$23)&amp;";  ","")&amp;IF(AND(EDATE($D75,Milestones!$AA$24)&lt;=AsOfDate,EDATE($D75,Milestones!$AA$24)&gt;=SchemeStart,IF($X75=0,$AD75,IF(AND($Z75&lt;&gt;"",EDATE($D75,Milestones!$AA$24)&gt;=$Z75),$AC75,IF(AND($Y75&lt;&gt;"",EDATE($D75,Milestones!$AA$24)&gt;=$Y75),$AB75,$AA75)))=Milestones!$AB$24),UPPER(TEXT(EDATE($D75,Milestones!$AA$24),"dd mmm yy"))&amp;" "&amp;Milestones!$AB$24&amp;" "&amp;IF(AND(Milestones!$AB$24="FT",Milestones!$AA$24=FT_Y5,EDATE($D75,Milestones!$AA$24)&lt;PolicyEff),1,Milestones!$AC$24)&amp;";  ","")&amp;IF(AND(EDATE($D75,Milestones!$AA$25)&lt;=AsOfDate,EDATE($D75,Milestones!$AA$25)&gt;=SchemeStart,IF($X75=0,$AD75,IF(AND($Z75&lt;&gt;"",EDATE($D75,Milestones!$AA$25)&gt;=$Z75),$AC75,IF(AND($Y75&lt;&gt;"",EDATE($D75,Milestones!$AA$25)&gt;=$Y75),$AB75,$AA75)))=Milestones!$AB$25),UPPER(TEXT(EDATE($D75,Milestones!$AA$25),"dd mmm yy"))&amp;" "&amp;Milestones!$AB$25&amp;" "&amp;IF(AND(Milestones!$AB$25="FT",Milestones!$AA$25=FT_Y5,EDATE($D75,Milestones!$AA$25)&lt;PolicyEff),1,Milestones!$AC$25)&amp;";  ","")&amp;IF(AND(EDATE($D75,Milestones!$AA$26)&lt;=AsOfDate,EDATE($D75,Milestones!$AA$26)&gt;=SchemeStart,IF($X75=0,$AD75,IF(AND($Z75&lt;&gt;"",EDATE($D75,Milestones!$AA$26)&gt;=$Z75),$AC75,IF(AND($Y75&lt;&gt;"",EDATE($D75,Milestones!$AA$26)&gt;=$Y75),$AB75,$AA75)))=Milestones!$AB$26),UPPER(TEXT(EDATE($D75,Milestones!$AA$26),"dd mmm yy"))&amp;" "&amp;Milestones!$AB$26&amp;" "&amp;IF(AND(Milestones!$AB$26="FT",Milestones!$AA$26=FT_Y5,EDATE($D75,Milestones!$AA$26)&lt;PolicyEff),1,Milestones!$AC$26)&amp;";  ","")&amp;IF(AND(EDATE($D75,Milestones!$AA$27)&lt;=AsOfDate,EDATE($D75,Milestones!$AA$27)&gt;=SchemeStart,IF($X75=0,$AD75,IF(AND($Z75&lt;&gt;"",EDATE($D75,Milestones!$AA$27)&gt;=$Z75),$AC75,IF(AND($Y75&lt;&gt;"",EDATE($D75,Milestones!$AA$27)&gt;=$Y75),$AB75,$AA75)))=Milestones!$AB$27),UPPER(TEXT(EDATE($D75,Milestones!$AA$27),"dd mmm yy"))&amp;" "&amp;Milestones!$AB$27&amp;" "&amp;IF(AND(Milestones!$AB$27="FT",Milestones!$AA$27=FT_Y5,EDATE($D75,Milestones!$AA$27)&lt;PolicyEff),1,Milestones!$AC$27)&amp;";  ","")&amp;IF(AND(EDATE($D75,Milestones!$AA$28)&lt;=AsOfDate,EDATE($D75,Milestones!$AA$28)&gt;=SchemeStart,IF($X75=0,$AD75,IF(AND($Z75&lt;&gt;"",EDATE($D75,Milestones!$AA$28)&gt;=$Z75),$AC75,IF(AND($Y75&lt;&gt;"",EDATE($D75,Milestones!$AA$28)&gt;=$Y75),$AB75,$AA75)))=Milestones!$AB$28),UPPER(TEXT(EDATE($D75,Milestones!$AA$28),"dd mmm yy"))&amp;" "&amp;Milestones!$AB$28&amp;" "&amp;IF(AND(Milestones!$AB$28="FT",Milestones!$AA$28=FT_Y5,EDATE($D75,Milestones!$AA$28)&lt;PolicyEff),1,Milestones!$AC$28)&amp;";  ","")&amp;IF(AND(EDATE($D75,Milestones!$AA$29)&lt;=AsOfDate,EDATE($D75,Milestones!$AA$29)&gt;=SchemeStart,IF($X75=0,$AD75,IF(AND($Z75&lt;&gt;"",EDATE($D75,Milestones!$AA$29)&gt;=$Z75),$AC75,IF(AND($Y75&lt;&gt;"",EDATE($D75,Milestones!$AA$29)&gt;=$Y75),$AB75,$AA75)))=Milestones!$AB$29),UPPER(TEXT(EDATE($D75,Milestones!$AA$29),"dd mmm yy"))&amp;" "&amp;Milestones!$AB$29&amp;" "&amp;IF(AND(Milestones!$AB$29="FT",Milestones!$AA$29=FT_Y5,EDATE($D75,Milestones!$AA$29)&lt;PolicyEff),1,Milestones!$AC$29)&amp;";  ","")&amp;IF(AND(EDATE($D75,Milestones!$AA$30)&lt;=AsOfDate,EDATE($D75,Milestones!$AA$30)&gt;=SchemeStart,IF($X75=0,$AD75,IF(AND($Z75&lt;&gt;"",EDATE($D75,Milestones!$AA$30)&gt;=$Z75),$AC75,IF(AND($Y75&lt;&gt;"",EDATE($D75,Milestones!$AA$30)&gt;=$Y75),$AB75,$AA75)))=Milestones!$AB$30),UPPER(TEXT(EDATE($D75,Milestones!$AA$30),"dd mmm yy"))&amp;" "&amp;Milestones!$AB$30&amp;" "&amp;IF(AND(Milestones!$AB$30="FT",Milestones!$AA$30=FT_Y5,EDATE($D75,Milestones!$AA$30)&lt;PolicyEff),1,Milestones!$AC$30)&amp;";  ","")&amp;IF(AND(EDATE($D75,Milestones!$AA$31)&lt;=AsOfDate,EDATE($D75,Milestones!$AA$31)&gt;=SchemeStart,IF($X75=0,$AD75,IF(AND($Z75&lt;&gt;"",EDATE($D75,Milestones!$AA$31)&gt;=$Z75),$AC75,IF(AND($Y75&lt;&gt;"",EDATE($D75,Milestones!$AA$31)&gt;=$Y75),$AB75,$AA75)))=Milestones!$AB$31),UPPER(TEXT(EDATE($D75,Milestones!$AA$31),"dd mmm yy"))&amp;" "&amp;Milestones!$AB$31&amp;" "&amp;IF(AND(Milestones!$AB$31="FT",Milestones!$AA$31=FT_Y5,EDATE($D75,Milestones!$AA$31)&lt;PolicyEff),1,Milestones!$AC$31)&amp;";  ",""))</f>
        <v/>
      </c>
      <c r="J75" s="0" t="str">
        <f aca="false">IF(OR($A75="",$D75=""),"",IF(AND(EDATE($D75,Milestones!$AA$32)&lt;=AsOfDate,EDATE($D75,Milestones!$AA$32)&gt;=SchemeStart,IF($X75=0,$AD75,IF(AND($Z75&lt;&gt;"",EDATE($D75,Milestones!$AA$32)&gt;=$Z75),$AC75,IF(AND($Y75&lt;&gt;"",EDATE($D75,Milestones!$AA$32)&gt;=$Y75),$AB75,$AA75)))=Milestones!$AB$32),UPPER(TEXT(EDATE($D75,Milestones!$AA$32),"dd mmm yy"))&amp;" "&amp;Milestones!$AB$32&amp;" "&amp;IF(AND(Milestones!$AB$32="FT",Milestones!$AA$32=FT_Y5,EDATE($D75,Milestones!$AA$32)&lt;PolicyEff),1,Milestones!$AC$32)&amp;";  ","")&amp;IF(AND(EDATE($D75,Milestones!$AA$33)&lt;=AsOfDate,EDATE($D75,Milestones!$AA$33)&gt;=SchemeStart,IF($X75=0,$AD75,IF(AND($Z75&lt;&gt;"",EDATE($D75,Milestones!$AA$33)&gt;=$Z75),$AC75,IF(AND($Y75&lt;&gt;"",EDATE($D75,Milestones!$AA$33)&gt;=$Y75),$AB75,$AA75)))=Milestones!$AB$33),UPPER(TEXT(EDATE($D75,Milestones!$AA$33),"dd mmm yy"))&amp;" "&amp;Milestones!$AB$33&amp;" "&amp;IF(AND(Milestones!$AB$33="FT",Milestones!$AA$33=FT_Y5,EDATE($D75,Milestones!$AA$33)&lt;PolicyEff),1,Milestones!$AC$33)&amp;";  ","")&amp;IF(AND(EDATE($D75,Milestones!$AA$34)&lt;=AsOfDate,EDATE($D75,Milestones!$AA$34)&gt;=SchemeStart,IF($X75=0,$AD75,IF(AND($Z75&lt;&gt;"",EDATE($D75,Milestones!$AA$34)&gt;=$Z75),$AC75,IF(AND($Y75&lt;&gt;"",EDATE($D75,Milestones!$AA$34)&gt;=$Y75),$AB75,$AA75)))=Milestones!$AB$34),UPPER(TEXT(EDATE($D75,Milestones!$AA$34),"dd mmm yy"))&amp;" "&amp;Milestones!$AB$34&amp;" "&amp;IF(AND(Milestones!$AB$34="FT",Milestones!$AA$34=FT_Y5,EDATE($D75,Milestones!$AA$34)&lt;PolicyEff),1,Milestones!$AC$34)&amp;";  ","")&amp;IF(AND(EDATE($D75,Milestones!$AA$35)&lt;=AsOfDate,EDATE($D75,Milestones!$AA$35)&gt;=SchemeStart,IF($X75=0,$AD75,IF(AND($Z75&lt;&gt;"",EDATE($D75,Milestones!$AA$35)&gt;=$Z75),$AC75,IF(AND($Y75&lt;&gt;"",EDATE($D75,Milestones!$AA$35)&gt;=$Y75),$AB75,$AA75)))=Milestones!$AB$35),UPPER(TEXT(EDATE($D75,Milestones!$AA$35),"dd mmm yy"))&amp;" "&amp;Milestones!$AB$35&amp;" "&amp;IF(AND(Milestones!$AB$35="FT",Milestones!$AA$35=FT_Y5,EDATE($D75,Milestones!$AA$35)&lt;PolicyEff),1,Milestones!$AC$35)&amp;";  ","")&amp;IF(AND(EDATE($D75,Milestones!$AA$36)&lt;=AsOfDate,EDATE($D75,Milestones!$AA$36)&gt;=SchemeStart,IF($X75=0,$AD75,IF(AND($Z75&lt;&gt;"",EDATE($D75,Milestones!$AA$36)&gt;=$Z75),$AC75,IF(AND($Y75&lt;&gt;"",EDATE($D75,Milestones!$AA$36)&gt;=$Y75),$AB75,$AA75)))=Milestones!$AB$36),UPPER(TEXT(EDATE($D75,Milestones!$AA$36),"dd mmm yy"))&amp;" "&amp;Milestones!$AB$36&amp;" "&amp;IF(AND(Milestones!$AB$36="FT",Milestones!$AA$36=FT_Y5,EDATE($D75,Milestones!$AA$36)&lt;PolicyEff),1,Milestones!$AC$36)&amp;";  ","")&amp;IF(AND(EDATE($D75,Milestones!$AA$37)&lt;=AsOfDate,EDATE($D75,Milestones!$AA$37)&gt;=SchemeStart,IF($X75=0,$AD75,IF(AND($Z75&lt;&gt;"",EDATE($D75,Milestones!$AA$37)&gt;=$Z75),$AC75,IF(AND($Y75&lt;&gt;"",EDATE($D75,Milestones!$AA$37)&gt;=$Y75),$AB75,$AA75)))=Milestones!$AB$37),UPPER(TEXT(EDATE($D75,Milestones!$AA$37),"dd mmm yy"))&amp;" "&amp;Milestones!$AB$37&amp;" "&amp;IF(AND(Milestones!$AB$37="FT",Milestones!$AA$37=FT_Y5,EDATE($D75,Milestones!$AA$37)&lt;PolicyEff),1,Milestones!$AC$37)&amp;";  ","")&amp;IF(AND(EDATE($D75,Milestones!$AA$38)&lt;=AsOfDate,EDATE($D75,Milestones!$AA$38)&gt;=SchemeStart,IF($X75=0,$AD75,IF(AND($Z75&lt;&gt;"",EDATE($D75,Milestones!$AA$38)&gt;=$Z75),$AC75,IF(AND($Y75&lt;&gt;"",EDATE($D75,Milestones!$AA$38)&gt;=$Y75),$AB75,$AA75)))=Milestones!$AB$38),UPPER(TEXT(EDATE($D75,Milestones!$AA$38),"dd mmm yy"))&amp;" "&amp;Milestones!$AB$38&amp;" "&amp;IF(AND(Milestones!$AB$38="FT",Milestones!$AA$38=FT_Y5,EDATE($D75,Milestones!$AA$38)&lt;PolicyEff),1,Milestones!$AC$38)&amp;";  ","")&amp;IF(AND(EDATE($D75,Milestones!$AA$39)&lt;=AsOfDate,EDATE($D75,Milestones!$AA$39)&gt;=SchemeStart,IF($X75=0,$AD75,IF(AND($Z75&lt;&gt;"",EDATE($D75,Milestones!$AA$39)&gt;=$Z75),$AC75,IF(AND($Y75&lt;&gt;"",EDATE($D75,Milestones!$AA$39)&gt;=$Y75),$AB75,$AA75)))=Milestones!$AB$39),UPPER(TEXT(EDATE($D75,Milestones!$AA$39),"dd mmm yy"))&amp;" "&amp;Milestones!$AB$39&amp;" "&amp;IF(AND(Milestones!$AB$39="FT",Milestones!$AA$39=FT_Y5,EDATE($D75,Milestones!$AA$39)&lt;PolicyEff),1,Milestones!$AC$39)&amp;";  ","")&amp;IF(AND(EDATE($D75,Milestones!$AA$40)&lt;=AsOfDate,EDATE($D75,Milestones!$AA$40)&gt;=SchemeStart,IF($X75=0,$AD75,IF(AND($Z75&lt;&gt;"",EDATE($D75,Milestones!$AA$40)&gt;=$Z75),$AC75,IF(AND($Y75&lt;&gt;"",EDATE($D75,Milestones!$AA$40)&gt;=$Y75),$AB75,$AA75)))=Milestones!$AB$40),UPPER(TEXT(EDATE($D75,Milestones!$AA$40),"dd mmm yy"))&amp;" "&amp;Milestones!$AB$40&amp;" "&amp;IF(AND(Milestones!$AB$40="FT",Milestones!$AA$40=FT_Y5,EDATE($D75,Milestones!$AA$40)&lt;PolicyEff),1,Milestones!$AC$40)&amp;";  ","")&amp;IF(AND(EDATE($D75,Milestones!$AA$41)&lt;=AsOfDate,EDATE($D75,Milestones!$AA$41)&gt;=SchemeStart,IF($X75=0,$AD75,IF(AND($Z75&lt;&gt;"",EDATE($D75,Milestones!$AA$41)&gt;=$Z75),$AC75,IF(AND($Y75&lt;&gt;"",EDATE($D75,Milestones!$AA$41)&gt;=$Y75),$AB75,$AA75)))=Milestones!$AB$41),UPPER(TEXT(EDATE($D75,Milestones!$AA$41),"dd mmm yy"))&amp;" "&amp;Milestones!$AB$41&amp;" "&amp;IF(AND(Milestones!$AB$41="FT",Milestones!$AA$41=FT_Y5,EDATE($D75,Milestones!$AA$41)&lt;PolicyEff),1,Milestones!$AC$41)&amp;";  ","")&amp;IF(AND(EDATE($D75,Milestones!$AA$42)&lt;=AsOfDate,EDATE($D75,Milestones!$AA$42)&gt;=SchemeStart,IF($X75=0,$AD75,IF(AND($Z75&lt;&gt;"",EDATE($D75,Milestones!$AA$42)&gt;=$Z75),$AC75,IF(AND($Y75&lt;&gt;"",EDATE($D75,Milestones!$AA$42)&gt;=$Y75),$AB75,$AA75)))=Milestones!$AB$42),UPPER(TEXT(EDATE($D75,Milestones!$AA$42),"dd mmm yy"))&amp;" "&amp;Milestones!$AB$42&amp;" "&amp;IF(AND(Milestones!$AB$42="FT",Milestones!$AA$42=FT_Y5,EDATE($D75,Milestones!$AA$42)&lt;PolicyEff),1,Milestones!$AC$42)&amp;";  ","")&amp;IF(AND(EDATE($D75,Milestones!$AA$43)&lt;=AsOfDate,EDATE($D75,Milestones!$AA$43)&gt;=SchemeStart,IF($X75=0,$AD75,IF(AND($Z75&lt;&gt;"",EDATE($D75,Milestones!$AA$43)&gt;=$Z75),$AC75,IF(AND($Y75&lt;&gt;"",EDATE($D75,Milestones!$AA$43)&gt;=$Y75),$AB75,$AA75)))=Milestones!$AB$43),UPPER(TEXT(EDATE($D75,Milestones!$AA$43),"dd mmm yy"))&amp;" "&amp;Milestones!$AB$43&amp;" "&amp;IF(AND(Milestones!$AB$43="FT",Milestones!$AA$43=FT_Y5,EDATE($D75,Milestones!$AA$43)&lt;PolicyEff),1,Milestones!$AC$43)&amp;";  ",""))</f>
        <v/>
      </c>
      <c r="K75" s="0" t="str">
        <f aca="false">IF(OR($A75="",$D75=""),"",IF(AND(EDATE($D75,Milestones!$AA$44)&lt;=AsOfDate,EDATE($D75,Milestones!$AA$44)&gt;=SchemeStart,IF($X75=0,$AD75,IF(AND($Z75&lt;&gt;"",EDATE($D75,Milestones!$AA$44)&gt;=$Z75),$AC75,IF(AND($Y75&lt;&gt;"",EDATE($D75,Milestones!$AA$44)&gt;=$Y75),$AB75,$AA75)))=Milestones!$AB$44),UPPER(TEXT(EDATE($D75,Milestones!$AA$44),"dd mmm yy"))&amp;" "&amp;Milestones!$AB$44&amp;" "&amp;IF(AND(Milestones!$AB$44="FT",Milestones!$AA$44=FT_Y5,EDATE($D75,Milestones!$AA$44)&lt;PolicyEff),1,Milestones!$AC$44)&amp;";  ","")&amp;IF(AND(EDATE($D75,Milestones!$AA$45)&lt;=AsOfDate,EDATE($D75,Milestones!$AA$45)&gt;=SchemeStart,IF($X75=0,$AD75,IF(AND($Z75&lt;&gt;"",EDATE($D75,Milestones!$AA$45)&gt;=$Z75),$AC75,IF(AND($Y75&lt;&gt;"",EDATE($D75,Milestones!$AA$45)&gt;=$Y75),$AB75,$AA75)))=Milestones!$AB$45),UPPER(TEXT(EDATE($D75,Milestones!$AA$45),"dd mmm yy"))&amp;" "&amp;Milestones!$AB$45&amp;" "&amp;IF(AND(Milestones!$AB$45="FT",Milestones!$AA$45=FT_Y5,EDATE($D75,Milestones!$AA$45)&lt;PolicyEff),1,Milestones!$AC$45)&amp;";  ","")&amp;IF(AND(EDATE($D75,Milestones!$AA$46)&lt;=AsOfDate,EDATE($D75,Milestones!$AA$46)&gt;=SchemeStart,IF($X75=0,$AD75,IF(AND($Z75&lt;&gt;"",EDATE($D75,Milestones!$AA$46)&gt;=$Z75),$AC75,IF(AND($Y75&lt;&gt;"",EDATE($D75,Milestones!$AA$46)&gt;=$Y75),$AB75,$AA75)))=Milestones!$AB$46),UPPER(TEXT(EDATE($D75,Milestones!$AA$46),"dd mmm yy"))&amp;" "&amp;Milestones!$AB$46&amp;" "&amp;IF(AND(Milestones!$AB$46="FT",Milestones!$AA$46=FT_Y5,EDATE($D75,Milestones!$AA$46)&lt;PolicyEff),1,Milestones!$AC$46)&amp;";  ","")&amp;IF(AND(EDATE($D75,Milestones!$AA$47)&lt;=AsOfDate,EDATE($D75,Milestones!$AA$47)&gt;=SchemeStart,IF($X75=0,$AD75,IF(AND($Z75&lt;&gt;"",EDATE($D75,Milestones!$AA$47)&gt;=$Z75),$AC75,IF(AND($Y75&lt;&gt;"",EDATE($D75,Milestones!$AA$47)&gt;=$Y75),$AB75,$AA75)))=Milestones!$AB$47),UPPER(TEXT(EDATE($D75,Milestones!$AA$47),"dd mmm yy"))&amp;" "&amp;Milestones!$AB$47&amp;" "&amp;IF(AND(Milestones!$AB$47="FT",Milestones!$AA$47=FT_Y5,EDATE($D75,Milestones!$AA$47)&lt;PolicyEff),1,Milestones!$AC$47)&amp;";  ","")&amp;IF(AND(EDATE($D75,Milestones!$AA$48)&lt;=AsOfDate,EDATE($D75,Milestones!$AA$48)&gt;=SchemeStart,IF($X75=0,$AD75,IF(AND($Z75&lt;&gt;"",EDATE($D75,Milestones!$AA$48)&gt;=$Z75),$AC75,IF(AND($Y75&lt;&gt;"",EDATE($D75,Milestones!$AA$48)&gt;=$Y75),$AB75,$AA75)))=Milestones!$AB$48),UPPER(TEXT(EDATE($D75,Milestones!$AA$48),"dd mmm yy"))&amp;" "&amp;Milestones!$AB$48&amp;" "&amp;IF(AND(Milestones!$AB$48="FT",Milestones!$AA$48=FT_Y5,EDATE($D75,Milestones!$AA$48)&lt;PolicyEff),1,Milestones!$AC$48)&amp;";  ","")&amp;IF(AND(EDATE($D75,Milestones!$AA$49)&lt;=AsOfDate,EDATE($D75,Milestones!$AA$49)&gt;=SchemeStart,IF($X75=0,$AD75,IF(AND($Z75&lt;&gt;"",EDATE($D75,Milestones!$AA$49)&gt;=$Z75),$AC75,IF(AND($Y75&lt;&gt;"",EDATE($D75,Milestones!$AA$49)&gt;=$Y75),$AB75,$AA75)))=Milestones!$AB$49),UPPER(TEXT(EDATE($D75,Milestones!$AA$49),"dd mmm yy"))&amp;" "&amp;Milestones!$AB$49&amp;" "&amp;IF(AND(Milestones!$AB$49="FT",Milestones!$AA$49=FT_Y5,EDATE($D75,Milestones!$AA$49)&lt;PolicyEff),1,Milestones!$AC$49)&amp;";  ","")&amp;IF(AND(EDATE($D75,Milestones!$AA$50)&lt;=AsOfDate,EDATE($D75,Milestones!$AA$50)&gt;=SchemeStart,IF($X75=0,$AD75,IF(AND($Z75&lt;&gt;"",EDATE($D75,Milestones!$AA$50)&gt;=$Z75),$AC75,IF(AND($Y75&lt;&gt;"",EDATE($D75,Milestones!$AA$50)&gt;=$Y75),$AB75,$AA75)))=Milestones!$AB$50),UPPER(TEXT(EDATE($D75,Milestones!$AA$50),"dd mmm yy"))&amp;" "&amp;Milestones!$AB$50&amp;" "&amp;IF(AND(Milestones!$AB$50="FT",Milestones!$AA$50=FT_Y5,EDATE($D75,Milestones!$AA$50)&lt;PolicyEff),1,Milestones!$AC$50)&amp;";  ","")&amp;IF(AND(EDATE($D75,Milestones!$AA$51)&lt;=AsOfDate,EDATE($D75,Milestones!$AA$51)&gt;=SchemeStart,IF($X75=0,$AD75,IF(AND($Z75&lt;&gt;"",EDATE($D75,Milestones!$AA$51)&gt;=$Z75),$AC75,IF(AND($Y75&lt;&gt;"",EDATE($D75,Milestones!$AA$51)&gt;=$Y75),$AB75,$AA75)))=Milestones!$AB$51),UPPER(TEXT(EDATE($D75,Milestones!$AA$51),"dd mmm yy"))&amp;" "&amp;Milestones!$AB$51&amp;" "&amp;IF(AND(Milestones!$AB$51="FT",Milestones!$AA$51=FT_Y5,EDATE($D75,Milestones!$AA$51)&lt;PolicyEff),1,Milestones!$AC$51)&amp;";  ","")&amp;IF(AND(EDATE($D75,Milestones!$AA$52)&lt;=AsOfDate,EDATE($D75,Milestones!$AA$52)&gt;=SchemeStart,IF($X75=0,$AD75,IF(AND($Z75&lt;&gt;"",EDATE($D75,Milestones!$AA$52)&gt;=$Z75),$AC75,IF(AND($Y75&lt;&gt;"",EDATE($D75,Milestones!$AA$52)&gt;=$Y75),$AB75,$AA75)))=Milestones!$AB$52),UPPER(TEXT(EDATE($D75,Milestones!$AA$52),"dd mmm yy"))&amp;" "&amp;Milestones!$AB$52&amp;" "&amp;IF(AND(Milestones!$AB$52="FT",Milestones!$AA$52=FT_Y5,EDATE($D75,Milestones!$AA$52)&lt;PolicyEff),1,Milestones!$AC$52)&amp;";  ","")&amp;IF(AND(EDATE($D75,Milestones!$AA$53)&lt;=AsOfDate,EDATE($D75,Milestones!$AA$53)&gt;=SchemeStart,IF($X75=0,$AD75,IF(AND($Z75&lt;&gt;"",EDATE($D75,Milestones!$AA$53)&gt;=$Z75),$AC75,IF(AND($Y75&lt;&gt;"",EDATE($D75,Milestones!$AA$53)&gt;=$Y75),$AB75,$AA75)))=Milestones!$AB$53),UPPER(TEXT(EDATE($D75,Milestones!$AA$53),"dd mmm yy"))&amp;" "&amp;Milestones!$AB$53&amp;" "&amp;IF(AND(Milestones!$AB$53="FT",Milestones!$AA$53=FT_Y5,EDATE($D75,Milestones!$AA$53)&lt;PolicyEff),1,Milestones!$AC$53)&amp;";  ","")&amp;IF(AND(EDATE($D75,Milestones!$AA$54)&lt;=AsOfDate,EDATE($D75,Milestones!$AA$54)&gt;=SchemeStart,IF($X75=0,$AD75,IF(AND($Z75&lt;&gt;"",EDATE($D75,Milestones!$AA$54)&gt;=$Z75),$AC75,IF(AND($Y75&lt;&gt;"",EDATE($D75,Milestones!$AA$54)&gt;=$Y75),$AB75,$AA75)))=Milestones!$AB$54),UPPER(TEXT(EDATE($D75,Milestones!$AA$54),"dd mmm yy"))&amp;" "&amp;Milestones!$AB$54&amp;" "&amp;IF(AND(Milestones!$AB$54="FT",Milestones!$AA$54=FT_Y5,EDATE($D75,Milestones!$AA$54)&lt;PolicyEff),1,Milestones!$AC$54)&amp;";  ","")&amp;IF(AND(EDATE($D75,Milestones!$AA$55)&lt;=AsOfDate,EDATE($D75,Milestones!$AA$55)&gt;=SchemeStart,IF($X75=0,$AD75,IF(AND($Z75&lt;&gt;"",EDATE($D75,Milestones!$AA$55)&gt;=$Z75),$AC75,IF(AND($Y75&lt;&gt;"",EDATE($D75,Milestones!$AA$55)&gt;=$Y75),$AB75,$AA75)))=Milestones!$AB$55),UPPER(TEXT(EDATE($D75,Milestones!$AA$55),"dd mmm yy"))&amp;" "&amp;Milestones!$AB$55&amp;" "&amp;IF(AND(Milestones!$AB$55="FT",Milestones!$AA$55=FT_Y5,EDATE($D75,Milestones!$AA$55)&lt;PolicyEff),1,Milestones!$AC$55)&amp;";  ",""))</f>
        <v/>
      </c>
      <c r="L75" s="0" t="str">
        <f aca="false">IF(OR($A75="",$D75=""),"",IF(AND(EDATE($D75,Milestones!$AA$56)&lt;=AsOfDate,EDATE($D75,Milestones!$AA$56)&gt;=SchemeStart,IF($X75=0,$AD75,IF(AND($Z75&lt;&gt;"",EDATE($D75,Milestones!$AA$56)&gt;=$Z75),$AC75,IF(AND($Y75&lt;&gt;"",EDATE($D75,Milestones!$AA$56)&gt;=$Y75),$AB75,$AA75)))=Milestones!$AB$56),UPPER(TEXT(EDATE($D75,Milestones!$AA$56),"dd mmm yy"))&amp;" "&amp;Milestones!$AB$56&amp;" "&amp;IF(AND(Milestones!$AB$56="FT",Milestones!$AA$56=FT_Y5,EDATE($D75,Milestones!$AA$56)&lt;PolicyEff),1,Milestones!$AC$56)&amp;";  ","")&amp;IF(AND(EDATE($D75,Milestones!$AA$57)&lt;=AsOfDate,EDATE($D75,Milestones!$AA$57)&gt;=SchemeStart,IF($X75=0,$AD75,IF(AND($Z75&lt;&gt;"",EDATE($D75,Milestones!$AA$57)&gt;=$Z75),$AC75,IF(AND($Y75&lt;&gt;"",EDATE($D75,Milestones!$AA$57)&gt;=$Y75),$AB75,$AA75)))=Milestones!$AB$57),UPPER(TEXT(EDATE($D75,Milestones!$AA$57),"dd mmm yy"))&amp;" "&amp;Milestones!$AB$57&amp;" "&amp;IF(AND(Milestones!$AB$57="FT",Milestones!$AA$57=FT_Y5,EDATE($D75,Milestones!$AA$57)&lt;PolicyEff),1,Milestones!$AC$57)&amp;";  ","")&amp;IF(AND(EDATE($D75,Milestones!$AA$58)&lt;=AsOfDate,EDATE($D75,Milestones!$AA$58)&gt;=SchemeStart,IF($X75=0,$AD75,IF(AND($Z75&lt;&gt;"",EDATE($D75,Milestones!$AA$58)&gt;=$Z75),$AC75,IF(AND($Y75&lt;&gt;"",EDATE($D75,Milestones!$AA$58)&gt;=$Y75),$AB75,$AA75)))=Milestones!$AB$58),UPPER(TEXT(EDATE($D75,Milestones!$AA$58),"dd mmm yy"))&amp;" "&amp;Milestones!$AB$58&amp;" "&amp;IF(AND(Milestones!$AB$58="FT",Milestones!$AA$58=FT_Y5,EDATE($D75,Milestones!$AA$58)&lt;PolicyEff),1,Milestones!$AC$58)&amp;";  ","")&amp;IF(AND(EDATE($D75,Milestones!$AA$59)&lt;=AsOfDate,EDATE($D75,Milestones!$AA$59)&gt;=SchemeStart,IF($X75=0,$AD75,IF(AND($Z75&lt;&gt;"",EDATE($D75,Milestones!$AA$59)&gt;=$Z75),$AC75,IF(AND($Y75&lt;&gt;"",EDATE($D75,Milestones!$AA$59)&gt;=$Y75),$AB75,$AA75)))=Milestones!$AB$59),UPPER(TEXT(EDATE($D75,Milestones!$AA$59),"dd mmm yy"))&amp;" "&amp;Milestones!$AB$59&amp;" "&amp;IF(AND(Milestones!$AB$59="FT",Milestones!$AA$59=FT_Y5,EDATE($D75,Milestones!$AA$59)&lt;PolicyEff),1,Milestones!$AC$59)&amp;";  ","")&amp;IF(AND(EDATE($D75,Milestones!$AA$60)&lt;=AsOfDate,EDATE($D75,Milestones!$AA$60)&gt;=SchemeStart,IF($X75=0,$AD75,IF(AND($Z75&lt;&gt;"",EDATE($D75,Milestones!$AA$60)&gt;=$Z75),$AC75,IF(AND($Y75&lt;&gt;"",EDATE($D75,Milestones!$AA$60)&gt;=$Y75),$AB75,$AA75)))=Milestones!$AB$60),UPPER(TEXT(EDATE($D75,Milestones!$AA$60),"dd mmm yy"))&amp;" "&amp;Milestones!$AB$60&amp;" "&amp;IF(AND(Milestones!$AB$60="FT",Milestones!$AA$60=FT_Y5,EDATE($D75,Milestones!$AA$60)&lt;PolicyEff),1,Milestones!$AC$60)&amp;";  ","")&amp;IF(AND(EDATE($D75,Milestones!$AA$61)&lt;=AsOfDate,EDATE($D75,Milestones!$AA$61)&gt;=SchemeStart,IF($X75=0,$AD75,IF(AND($Z75&lt;&gt;"",EDATE($D75,Milestones!$AA$61)&gt;=$Z75),$AC75,IF(AND($Y75&lt;&gt;"",EDATE($D75,Milestones!$AA$61)&gt;=$Y75),$AB75,$AA75)))=Milestones!$AB$61),UPPER(TEXT(EDATE($D75,Milestones!$AA$61),"dd mmm yy"))&amp;" "&amp;Milestones!$AB$61&amp;" "&amp;IF(AND(Milestones!$AB$61="FT",Milestones!$AA$61=FT_Y5,EDATE($D75,Milestones!$AA$61)&lt;PolicyEff),1,Milestones!$AC$61)&amp;";  ","")&amp;IF(AND(EDATE($D75,Milestones!$AA$62)&lt;=AsOfDate,EDATE($D75,Milestones!$AA$62)&gt;=SchemeStart,IF($X75=0,$AD75,IF(AND($Z75&lt;&gt;"",EDATE($D75,Milestones!$AA$62)&gt;=$Z75),$AC75,IF(AND($Y75&lt;&gt;"",EDATE($D75,Milestones!$AA$62)&gt;=$Y75),$AB75,$AA75)))=Milestones!$AB$62),UPPER(TEXT(EDATE($D75,Milestones!$AA$62),"dd mmm yy"))&amp;" "&amp;Milestones!$AB$62&amp;" "&amp;IF(AND(Milestones!$AB$62="FT",Milestones!$AA$62=FT_Y5,EDATE($D75,Milestones!$AA$62)&lt;PolicyEff),1,Milestones!$AC$62)&amp;";  ","")&amp;IF(AND(EDATE($D75,Milestones!$AA$63)&lt;=AsOfDate,EDATE($D75,Milestones!$AA$63)&gt;=SchemeStart,IF($X75=0,$AD75,IF(AND($Z75&lt;&gt;"",EDATE($D75,Milestones!$AA$63)&gt;=$Z75),$AC75,IF(AND($Y75&lt;&gt;"",EDATE($D75,Milestones!$AA$63)&gt;=$Y75),$AB75,$AA75)))=Milestones!$AB$63),UPPER(TEXT(EDATE($D75,Milestones!$AA$63),"dd mmm yy"))&amp;" "&amp;Milestones!$AB$63&amp;" "&amp;IF(AND(Milestones!$AB$63="FT",Milestones!$AA$63=FT_Y5,EDATE($D75,Milestones!$AA$63)&lt;PolicyEff),1,Milestones!$AC$63)&amp;";  ","")&amp;IF(AND(EDATE($D75,Milestones!$AA$64)&lt;=AsOfDate,EDATE($D75,Milestones!$AA$64)&gt;=SchemeStart,IF($X75=0,$AD75,IF(AND($Z75&lt;&gt;"",EDATE($D75,Milestones!$AA$64)&gt;=$Z75),$AC75,IF(AND($Y75&lt;&gt;"",EDATE($D75,Milestones!$AA$64)&gt;=$Y75),$AB75,$AA75)))=Milestones!$AB$64),UPPER(TEXT(EDATE($D75,Milestones!$AA$64),"dd mmm yy"))&amp;" "&amp;Milestones!$AB$64&amp;" "&amp;IF(AND(Milestones!$AB$64="FT",Milestones!$AA$64=FT_Y5,EDATE($D75,Milestones!$AA$64)&lt;PolicyEff),1,Milestones!$AC$64)&amp;";  ","")&amp;IF(AND(EDATE($D75,Milestones!$AA$65)&lt;=AsOfDate,EDATE($D75,Milestones!$AA$65)&gt;=SchemeStart,IF($X75=0,$AD75,IF(AND($Z75&lt;&gt;"",EDATE($D75,Milestones!$AA$65)&gt;=$Z75),$AC75,IF(AND($Y75&lt;&gt;"",EDATE($D75,Milestones!$AA$65)&gt;=$Y75),$AB75,$AA75)))=Milestones!$AB$65),UPPER(TEXT(EDATE($D75,Milestones!$AA$65),"dd mmm yy"))&amp;" "&amp;Milestones!$AB$65&amp;" "&amp;IF(AND(Milestones!$AB$65="FT",Milestones!$AA$65=FT_Y5,EDATE($D75,Milestones!$AA$65)&lt;PolicyEff),1,Milestones!$AC$65)&amp;";  ","")&amp;IF(AND(EDATE($D75,Milestones!$AA$66)&lt;=AsOfDate,EDATE($D75,Milestones!$AA$66)&gt;=SchemeStart,IF($X75=0,$AD75,IF(AND($Z75&lt;&gt;"",EDATE($D75,Milestones!$AA$66)&gt;=$Z75),$AC75,IF(AND($Y75&lt;&gt;"",EDATE($D75,Milestones!$AA$66)&gt;=$Y75),$AB75,$AA75)))=Milestones!$AB$66),UPPER(TEXT(EDATE($D75,Milestones!$AA$66),"dd mmm yy"))&amp;" "&amp;Milestones!$AB$66&amp;" "&amp;IF(AND(Milestones!$AB$66="FT",Milestones!$AA$66=FT_Y5,EDATE($D75,Milestones!$AA$66)&lt;PolicyEff),1,Milestones!$AC$66)&amp;";  ","")&amp;IF(AND(EDATE($D75,Milestones!$AA$67)&lt;=AsOfDate,EDATE($D75,Milestones!$AA$67)&gt;=SchemeStart,IF($X75=0,$AD75,IF(AND($Z75&lt;&gt;"",EDATE($D75,Milestones!$AA$67)&gt;=$Z75),$AC75,IF(AND($Y75&lt;&gt;"",EDATE($D75,Milestones!$AA$67)&gt;=$Y75),$AB75,$AA75)))=Milestones!$AB$67),UPPER(TEXT(EDATE($D75,Milestones!$AA$67),"dd mmm yy"))&amp;" "&amp;Milestones!$AB$67&amp;" "&amp;IF(AND(Milestones!$AB$67="FT",Milestones!$AA$67=FT_Y5,EDATE($D75,Milestones!$AA$67)&lt;PolicyEff),1,Milestones!$AC$67)&amp;";  ",""))</f>
        <v/>
      </c>
      <c r="M75" s="0" t="str">
        <f aca="false">IF(OR($A75="",$D75=""),"",IF(AND(EDATE($D75,Milestones!$AA$68)&lt;=AsOfDate,EDATE($D75,Milestones!$AA$68)&gt;=SchemeStart,IF($X75=0,$AD75,IF(AND($Z75&lt;&gt;"",EDATE($D75,Milestones!$AA$68)&gt;=$Z75),$AC75,IF(AND($Y75&lt;&gt;"",EDATE($D75,Milestones!$AA$68)&gt;=$Y75),$AB75,$AA75)))=Milestones!$AB$68),UPPER(TEXT(EDATE($D75,Milestones!$AA$68),"dd mmm yy"))&amp;" "&amp;Milestones!$AB$68&amp;" "&amp;IF(AND(Milestones!$AB$68="FT",Milestones!$AA$68=FT_Y5,EDATE($D75,Milestones!$AA$68)&lt;PolicyEff),1,Milestones!$AC$68)&amp;";  ","")&amp;IF(AND(EDATE($D75,Milestones!$AA$69)&lt;=AsOfDate,EDATE($D75,Milestones!$AA$69)&gt;=SchemeStart,IF($X75=0,$AD75,IF(AND($Z75&lt;&gt;"",EDATE($D75,Milestones!$AA$69)&gt;=$Z75),$AC75,IF(AND($Y75&lt;&gt;"",EDATE($D75,Milestones!$AA$69)&gt;=$Y75),$AB75,$AA75)))=Milestones!$AB$69),UPPER(TEXT(EDATE($D75,Milestones!$AA$69),"dd mmm yy"))&amp;" "&amp;Milestones!$AB$69&amp;" "&amp;IF(AND(Milestones!$AB$69="FT",Milestones!$AA$69=FT_Y5,EDATE($D75,Milestones!$AA$69)&lt;PolicyEff),1,Milestones!$AC$69)&amp;";  ","")&amp;IF(AND(EDATE($D75,Milestones!$AA$70)&lt;=AsOfDate,EDATE($D75,Milestones!$AA$70)&gt;=SchemeStart,IF($X75=0,$AD75,IF(AND($Z75&lt;&gt;"",EDATE($D75,Milestones!$AA$70)&gt;=$Z75),$AC75,IF(AND($Y75&lt;&gt;"",EDATE($D75,Milestones!$AA$70)&gt;=$Y75),$AB75,$AA75)))=Milestones!$AB$70),UPPER(TEXT(EDATE($D75,Milestones!$AA$70),"dd mmm yy"))&amp;" "&amp;Milestones!$AB$70&amp;" "&amp;IF(AND(Milestones!$AB$70="FT",Milestones!$AA$70=FT_Y5,EDATE($D75,Milestones!$AA$70)&lt;PolicyEff),1,Milestones!$AC$70)&amp;";  ","")&amp;IF(AND(EDATE($D75,Milestones!$AA$71)&lt;=AsOfDate,EDATE($D75,Milestones!$AA$71)&gt;=SchemeStart,IF($X75=0,$AD75,IF(AND($Z75&lt;&gt;"",EDATE($D75,Milestones!$AA$71)&gt;=$Z75),$AC75,IF(AND($Y75&lt;&gt;"",EDATE($D75,Milestones!$AA$71)&gt;=$Y75),$AB75,$AA75)))=Milestones!$AB$71),UPPER(TEXT(EDATE($D75,Milestones!$AA$71),"dd mmm yy"))&amp;" "&amp;Milestones!$AB$71&amp;" "&amp;IF(AND(Milestones!$AB$71="FT",Milestones!$AA$71=FT_Y5,EDATE($D75,Milestones!$AA$71)&lt;PolicyEff),1,Milestones!$AC$71)&amp;";  ","")&amp;IF(AND(EDATE($D75,Milestones!$AA$72)&lt;=AsOfDate,EDATE($D75,Milestones!$AA$72)&gt;=SchemeStart,IF($X75=0,$AD75,IF(AND($Z75&lt;&gt;"",EDATE($D75,Milestones!$AA$72)&gt;=$Z75),$AC75,IF(AND($Y75&lt;&gt;"",EDATE($D75,Milestones!$AA$72)&gt;=$Y75),$AB75,$AA75)))=Milestones!$AB$72),UPPER(TEXT(EDATE($D75,Milestones!$AA$72),"dd mmm yy"))&amp;" "&amp;Milestones!$AB$72&amp;" "&amp;IF(AND(Milestones!$AB$72="FT",Milestones!$AA$72=FT_Y5,EDATE($D75,Milestones!$AA$72)&lt;PolicyEff),1,Milestones!$AC$72)&amp;";  ","")&amp;IF(AND(EDATE($D75,Milestones!$AA$73)&lt;=AsOfDate,EDATE($D75,Milestones!$AA$73)&gt;=SchemeStart,IF($X75=0,$AD75,IF(AND($Z75&lt;&gt;"",EDATE($D75,Milestones!$AA$73)&gt;=$Z75),$AC75,IF(AND($Y75&lt;&gt;"",EDATE($D75,Milestones!$AA$73)&gt;=$Y75),$AB75,$AA75)))=Milestones!$AB$73),UPPER(TEXT(EDATE($D75,Milestones!$AA$73),"dd mmm yy"))&amp;" "&amp;Milestones!$AB$73&amp;" "&amp;IF(AND(Milestones!$AB$73="FT",Milestones!$AA$73=FT_Y5,EDATE($D75,Milestones!$AA$73)&lt;PolicyEff),1,Milestones!$AC$73)&amp;";  ","")&amp;IF(AND(EDATE($D75,Milestones!$AA$74)&lt;=AsOfDate,EDATE($D75,Milestones!$AA$74)&gt;=SchemeStart,IF($X75=0,$AD75,IF(AND($Z75&lt;&gt;"",EDATE($D75,Milestones!$AA$74)&gt;=$Z75),$AC75,IF(AND($Y75&lt;&gt;"",EDATE($D75,Milestones!$AA$74)&gt;=$Y75),$AB75,$AA75)))=Milestones!$AB$74),UPPER(TEXT(EDATE($D75,Milestones!$AA$74),"dd mmm yy"))&amp;" "&amp;Milestones!$AB$74&amp;" "&amp;IF(AND(Milestones!$AB$74="FT",Milestones!$AA$74=FT_Y5,EDATE($D75,Milestones!$AA$74)&lt;PolicyEff),1,Milestones!$AC$74)&amp;";  ","")&amp;IF(AND(EDATE($D75,Milestones!$AA$75)&lt;=AsOfDate,EDATE($D75,Milestones!$AA$75)&gt;=SchemeStart,IF($X75=0,$AD75,IF(AND($Z75&lt;&gt;"",EDATE($D75,Milestones!$AA$75)&gt;=$Z75),$AC75,IF(AND($Y75&lt;&gt;"",EDATE($D75,Milestones!$AA$75)&gt;=$Y75),$AB75,$AA75)))=Milestones!$AB$75),UPPER(TEXT(EDATE($D75,Milestones!$AA$75),"dd mmm yy"))&amp;" "&amp;Milestones!$AB$75&amp;" "&amp;IF(AND(Milestones!$AB$75="FT",Milestones!$AA$75=FT_Y5,EDATE($D75,Milestones!$AA$75)&lt;PolicyEff),1,Milestones!$AC$75)&amp;";  ","")&amp;IF(AND(EDATE($D75,Milestones!$AA$76)&lt;=AsOfDate,EDATE($D75,Milestones!$AA$76)&gt;=SchemeStart,IF($X75=0,$AD75,IF(AND($Z75&lt;&gt;"",EDATE($D75,Milestones!$AA$76)&gt;=$Z75),$AC75,IF(AND($Y75&lt;&gt;"",EDATE($D75,Milestones!$AA$76)&gt;=$Y75),$AB75,$AA75)))=Milestones!$AB$76),UPPER(TEXT(EDATE($D75,Milestones!$AA$76),"dd mmm yy"))&amp;" "&amp;Milestones!$AB$76&amp;" "&amp;IF(AND(Milestones!$AB$76="FT",Milestones!$AA$76=FT_Y5,EDATE($D75,Milestones!$AA$76)&lt;PolicyEff),1,Milestones!$AC$76)&amp;";  ","")&amp;IF(AND(EDATE($D75,Milestones!$AA$77)&lt;=AsOfDate,EDATE($D75,Milestones!$AA$77)&gt;=SchemeStart,IF($X75=0,$AD75,IF(AND($Z75&lt;&gt;"",EDATE($D75,Milestones!$AA$77)&gt;=$Z75),$AC75,IF(AND($Y75&lt;&gt;"",EDATE($D75,Milestones!$AA$77)&gt;=$Y75),$AB75,$AA75)))=Milestones!$AB$77),UPPER(TEXT(EDATE($D75,Milestones!$AA$77),"dd mmm yy"))&amp;" "&amp;Milestones!$AB$77&amp;" "&amp;IF(AND(Milestones!$AB$77="FT",Milestones!$AA$77=FT_Y5,EDATE($D75,Milestones!$AA$77)&lt;PolicyEff),1,Milestones!$AC$77)&amp;";  ","")&amp;IF(AND(EDATE($D75,Milestones!$AA$78)&lt;=AsOfDate,EDATE($D75,Milestones!$AA$78)&gt;=SchemeStart,IF($X75=0,$AD75,IF(AND($Z75&lt;&gt;"",EDATE($D75,Milestones!$AA$78)&gt;=$Z75),$AC75,IF(AND($Y75&lt;&gt;"",EDATE($D75,Milestones!$AA$78)&gt;=$Y75),$AB75,$AA75)))=Milestones!$AB$78),UPPER(TEXT(EDATE($D75,Milestones!$AA$78),"dd mmm yy"))&amp;" "&amp;Milestones!$AB$78&amp;" "&amp;IF(AND(Milestones!$AB$78="FT",Milestones!$AA$78=FT_Y5,EDATE($D75,Milestones!$AA$78)&lt;PolicyEff),1,Milestones!$AC$78)&amp;";  ","")&amp;IF(AND(EDATE($D75,Milestones!$AA$79)&lt;=AsOfDate,EDATE($D75,Milestones!$AA$79)&gt;=SchemeStart,IF($X75=0,$AD75,IF(AND($Z75&lt;&gt;"",EDATE($D75,Milestones!$AA$79)&gt;=$Z75),$AC75,IF(AND($Y75&lt;&gt;"",EDATE($D75,Milestones!$AA$79)&gt;=$Y75),$AB75,$AA75)))=Milestones!$AB$79),UPPER(TEXT(EDATE($D75,Milestones!$AA$79),"dd mmm yy"))&amp;" "&amp;Milestones!$AB$79&amp;" "&amp;IF(AND(Milestones!$AB$79="FT",Milestones!$AA$79=FT_Y5,EDATE($D75,Milestones!$AA$79)&lt;PolicyEff),1,Milestones!$AC$79)&amp;";  ",""))</f>
        <v/>
      </c>
      <c r="N75" s="0" t="str">
        <f aca="false">IF(OR($A75="",$D75=""),"",IF(AND(EDATE($D75,Milestones!$AA$80)&lt;=AsOfDate,EDATE($D75,Milestones!$AA$80)&gt;=SchemeStart,IF($X75=0,$AD75,IF(AND($Z75&lt;&gt;"",EDATE($D75,Milestones!$AA$80)&gt;=$Z75),$AC75,IF(AND($Y75&lt;&gt;"",EDATE($D75,Milestones!$AA$80)&gt;=$Y75),$AB75,$AA75)))=Milestones!$AB$80),UPPER(TEXT(EDATE($D75,Milestones!$AA$80),"dd mmm yy"))&amp;" "&amp;Milestones!$AB$80&amp;" "&amp;IF(AND(Milestones!$AB$80="FT",Milestones!$AA$80=FT_Y5,EDATE($D75,Milestones!$AA$80)&lt;PolicyEff),1,Milestones!$AC$80)&amp;";  ","")&amp;IF(AND(EDATE($D75,Milestones!$AA$81)&lt;=AsOfDate,EDATE($D75,Milestones!$AA$81)&gt;=SchemeStart,IF($X75=0,$AD75,IF(AND($Z75&lt;&gt;"",EDATE($D75,Milestones!$AA$81)&gt;=$Z75),$AC75,IF(AND($Y75&lt;&gt;"",EDATE($D75,Milestones!$AA$81)&gt;=$Y75),$AB75,$AA75)))=Milestones!$AB$81),UPPER(TEXT(EDATE($D75,Milestones!$AA$81),"dd mmm yy"))&amp;" "&amp;Milestones!$AB$81&amp;" "&amp;IF(AND(Milestones!$AB$81="FT",Milestones!$AA$81=FT_Y5,EDATE($D75,Milestones!$AA$81)&lt;PolicyEff),1,Milestones!$AC$81)&amp;";  ","")&amp;IF(AND(EDATE($D75,Milestones!$AA$82)&lt;=AsOfDate,EDATE($D75,Milestones!$AA$82)&gt;=SchemeStart,IF($X75=0,$AD75,IF(AND($Z75&lt;&gt;"",EDATE($D75,Milestones!$AA$82)&gt;=$Z75),$AC75,IF(AND($Y75&lt;&gt;"",EDATE($D75,Milestones!$AA$82)&gt;=$Y75),$AB75,$AA75)))=Milestones!$AB$82),UPPER(TEXT(EDATE($D75,Milestones!$AA$82),"dd mmm yy"))&amp;" "&amp;Milestones!$AB$82&amp;" "&amp;IF(AND(Milestones!$AB$82="FT",Milestones!$AA$82=FT_Y5,EDATE($D75,Milestones!$AA$82)&lt;PolicyEff),1,Milestones!$AC$82)&amp;";  ","")&amp;IF(AND(EDATE($D75,Milestones!$AA$83)&lt;=AsOfDate,EDATE($D75,Milestones!$AA$83)&gt;=SchemeStart,IF($X75=0,$AD75,IF(AND($Z75&lt;&gt;"",EDATE($D75,Milestones!$AA$83)&gt;=$Z75),$AC75,IF(AND($Y75&lt;&gt;"",EDATE($D75,Milestones!$AA$83)&gt;=$Y75),$AB75,$AA75)))=Milestones!$AB$83),UPPER(TEXT(EDATE($D75,Milestones!$AA$83),"dd mmm yy"))&amp;" "&amp;Milestones!$AB$83&amp;" "&amp;IF(AND(Milestones!$AB$83="FT",Milestones!$AA$83=FT_Y5,EDATE($D75,Milestones!$AA$83)&lt;PolicyEff),1,Milestones!$AC$83)&amp;";  ","")&amp;IF(AND(EDATE($D75,Milestones!$AA$84)&lt;=AsOfDate,EDATE($D75,Milestones!$AA$84)&gt;=SchemeStart,IF($X75=0,$AD75,IF(AND($Z75&lt;&gt;"",EDATE($D75,Milestones!$AA$84)&gt;=$Z75),$AC75,IF(AND($Y75&lt;&gt;"",EDATE($D75,Milestones!$AA$84)&gt;=$Y75),$AB75,$AA75)))=Milestones!$AB$84),UPPER(TEXT(EDATE($D75,Milestones!$AA$84),"dd mmm yy"))&amp;" "&amp;Milestones!$AB$84&amp;" "&amp;IF(AND(Milestones!$AB$84="FT",Milestones!$AA$84=FT_Y5,EDATE($D75,Milestones!$AA$84)&lt;PolicyEff),1,Milestones!$AC$84)&amp;";  ","")&amp;IF(AND(EDATE($D75,Milestones!$AA$85)&lt;=AsOfDate,EDATE($D75,Milestones!$AA$85)&gt;=SchemeStart,IF($X75=0,$AD75,IF(AND($Z75&lt;&gt;"",EDATE($D75,Milestones!$AA$85)&gt;=$Z75),$AC75,IF(AND($Y75&lt;&gt;"",EDATE($D75,Milestones!$AA$85)&gt;=$Y75),$AB75,$AA75)))=Milestones!$AB$85),UPPER(TEXT(EDATE($D75,Milestones!$AA$85),"dd mmm yy"))&amp;" "&amp;Milestones!$AB$85&amp;" "&amp;IF(AND(Milestones!$AB$85="FT",Milestones!$AA$85=FT_Y5,EDATE($D75,Milestones!$AA$85)&lt;PolicyEff),1,Milestones!$AC$85)&amp;";  ","")&amp;IF(AND(EDATE($D75,Milestones!$AA$86)&lt;=AsOfDate,EDATE($D75,Milestones!$AA$86)&gt;=SchemeStart,IF($X75=0,$AD75,IF(AND($Z75&lt;&gt;"",EDATE($D75,Milestones!$AA$86)&gt;=$Z75),$AC75,IF(AND($Y75&lt;&gt;"",EDATE($D75,Milestones!$AA$86)&gt;=$Y75),$AB75,$AA75)))=Milestones!$AB$86),UPPER(TEXT(EDATE($D75,Milestones!$AA$86),"dd mmm yy"))&amp;" "&amp;Milestones!$AB$86&amp;" "&amp;IF(AND(Milestones!$AB$86="FT",Milestones!$AA$86=FT_Y5,EDATE($D75,Milestones!$AA$86)&lt;PolicyEff),1,Milestones!$AC$86)&amp;";  ","")&amp;IF(AND(EDATE($D75,Milestones!$AA$87)&lt;=AsOfDate,EDATE($D75,Milestones!$AA$87)&gt;=SchemeStart,IF($X75=0,$AD75,IF(AND($Z75&lt;&gt;"",EDATE($D75,Milestones!$AA$87)&gt;=$Z75),$AC75,IF(AND($Y75&lt;&gt;"",EDATE($D75,Milestones!$AA$87)&gt;=$Y75),$AB75,$AA75)))=Milestones!$AB$87),UPPER(TEXT(EDATE($D75,Milestones!$AA$87),"dd mmm yy"))&amp;" "&amp;Milestones!$AB$87&amp;" "&amp;IF(AND(Milestones!$AB$87="FT",Milestones!$AA$87=FT_Y5,EDATE($D75,Milestones!$AA$87)&lt;PolicyEff),1,Milestones!$AC$87)&amp;";  ","")&amp;IF(AND(EDATE($D75,Milestones!$AA$88)&lt;=AsOfDate,EDATE($D75,Milestones!$AA$88)&gt;=SchemeStart,IF($X75=0,$AD75,IF(AND($Z75&lt;&gt;"",EDATE($D75,Milestones!$AA$88)&gt;=$Z75),$AC75,IF(AND($Y75&lt;&gt;"",EDATE($D75,Milestones!$AA$88)&gt;=$Y75),$AB75,$AA75)))=Milestones!$AB$88),UPPER(TEXT(EDATE($D75,Milestones!$AA$88),"dd mmm yy"))&amp;" "&amp;Milestones!$AB$88&amp;" "&amp;IF(AND(Milestones!$AB$88="FT",Milestones!$AA$88=FT_Y5,EDATE($D75,Milestones!$AA$88)&lt;PolicyEff),1,Milestones!$AC$88)&amp;";  ","")&amp;IF(AND(EDATE($D75,Milestones!$AA$89)&lt;=AsOfDate,EDATE($D75,Milestones!$AA$89)&gt;=SchemeStart,IF($X75=0,$AD75,IF(AND($Z75&lt;&gt;"",EDATE($D75,Milestones!$AA$89)&gt;=$Z75),$AC75,IF(AND($Y75&lt;&gt;"",EDATE($D75,Milestones!$AA$89)&gt;=$Y75),$AB75,$AA75)))=Milestones!$AB$89),UPPER(TEXT(EDATE($D75,Milestones!$AA$89),"dd mmm yy"))&amp;" "&amp;Milestones!$AB$89&amp;" "&amp;IF(AND(Milestones!$AB$89="FT",Milestones!$AA$89=FT_Y5,EDATE($D75,Milestones!$AA$89)&lt;PolicyEff),1,Milestones!$AC$89)&amp;";  ","")&amp;IF(AND(EDATE($D75,Milestones!$AA$90)&lt;=AsOfDate,EDATE($D75,Milestones!$AA$90)&gt;=SchemeStart,IF($X75=0,$AD75,IF(AND($Z75&lt;&gt;"",EDATE($D75,Milestones!$AA$90)&gt;=$Z75),$AC75,IF(AND($Y75&lt;&gt;"",EDATE($D75,Milestones!$AA$90)&gt;=$Y75),$AB75,$AA75)))=Milestones!$AB$90),UPPER(TEXT(EDATE($D75,Milestones!$AA$90),"dd mmm yy"))&amp;" "&amp;Milestones!$AB$90&amp;" "&amp;IF(AND(Milestones!$AB$90="FT",Milestones!$AA$90=FT_Y5,EDATE($D75,Milestones!$AA$90)&lt;PolicyEff),1,Milestones!$AC$90)&amp;";  ","")&amp;IF(AND(EDATE($D75,Milestones!$AA$91)&lt;=AsOfDate,EDATE($D75,Milestones!$AA$91)&gt;=SchemeStart,IF($X75=0,$AD75,IF(AND($Z75&lt;&gt;"",EDATE($D75,Milestones!$AA$91)&gt;=$Z75),$AC75,IF(AND($Y75&lt;&gt;"",EDATE($D75,Milestones!$AA$91)&gt;=$Y75),$AB75,$AA75)))=Milestones!$AB$91),UPPER(TEXT(EDATE($D75,Milestones!$AA$91),"dd mmm yy"))&amp;" "&amp;Milestones!$AB$91&amp;" "&amp;IF(AND(Milestones!$AB$91="FT",Milestones!$AA$91=FT_Y5,EDATE($D75,Milestones!$AA$91)&lt;PolicyEff),1,Milestones!$AC$91)&amp;";  ",""))</f>
        <v/>
      </c>
      <c r="O75" s="0" t="str">
        <f aca="false">IF(OR($A75="",$D75=""),"",IF(AND(EDATE($D75,Milestones!$AA$92)&lt;=AsOfDate,EDATE($D75,Milestones!$AA$92)&gt;=SchemeStart,IF($X75=0,$AD75,IF(AND($Z75&lt;&gt;"",EDATE($D75,Milestones!$AA$92)&gt;=$Z75),$AC75,IF(AND($Y75&lt;&gt;"",EDATE($D75,Milestones!$AA$92)&gt;=$Y75),$AB75,$AA75)))=Milestones!$AB$92),UPPER(TEXT(EDATE($D75,Milestones!$AA$92),"dd mmm yy"))&amp;" "&amp;Milestones!$AB$92&amp;" "&amp;IF(AND(Milestones!$AB$92="FT",Milestones!$AA$92=FT_Y5,EDATE($D75,Milestones!$AA$92)&lt;PolicyEff),1,Milestones!$AC$92)&amp;";  ","")&amp;IF(AND(EDATE($D75,Milestones!$AA$93)&lt;=AsOfDate,EDATE($D75,Milestones!$AA$93)&gt;=SchemeStart,IF($X75=0,$AD75,IF(AND($Z75&lt;&gt;"",EDATE($D75,Milestones!$AA$93)&gt;=$Z75),$AC75,IF(AND($Y75&lt;&gt;"",EDATE($D75,Milestones!$AA$93)&gt;=$Y75),$AB75,$AA75)))=Milestones!$AB$93),UPPER(TEXT(EDATE($D75,Milestones!$AA$93),"dd mmm yy"))&amp;" "&amp;Milestones!$AB$93&amp;" "&amp;IF(AND(Milestones!$AB$93="FT",Milestones!$AA$93=FT_Y5,EDATE($D75,Milestones!$AA$93)&lt;PolicyEff),1,Milestones!$AC$93)&amp;";  ","")&amp;IF(AND(EDATE($D75,Milestones!$AA$94)&lt;=AsOfDate,EDATE($D75,Milestones!$AA$94)&gt;=SchemeStart,IF($X75=0,$AD75,IF(AND($Z75&lt;&gt;"",EDATE($D75,Milestones!$AA$94)&gt;=$Z75),$AC75,IF(AND($Y75&lt;&gt;"",EDATE($D75,Milestones!$AA$94)&gt;=$Y75),$AB75,$AA75)))=Milestones!$AB$94),UPPER(TEXT(EDATE($D75,Milestones!$AA$94),"dd mmm yy"))&amp;" "&amp;Milestones!$AB$94&amp;" "&amp;IF(AND(Milestones!$AB$94="FT",Milestones!$AA$94=FT_Y5,EDATE($D75,Milestones!$AA$94)&lt;PolicyEff),1,Milestones!$AC$94)&amp;";  ","")&amp;IF(AND(EDATE($D75,Milestones!$AA$95)&lt;=AsOfDate,EDATE($D75,Milestones!$AA$95)&gt;=SchemeStart,IF($X75=0,$AD75,IF(AND($Z75&lt;&gt;"",EDATE($D75,Milestones!$AA$95)&gt;=$Z75),$AC75,IF(AND($Y75&lt;&gt;"",EDATE($D75,Milestones!$AA$95)&gt;=$Y75),$AB75,$AA75)))=Milestones!$AB$95),UPPER(TEXT(EDATE($D75,Milestones!$AA$95),"dd mmm yy"))&amp;" "&amp;Milestones!$AB$95&amp;" "&amp;IF(AND(Milestones!$AB$95="FT",Milestones!$AA$95=FT_Y5,EDATE($D75,Milestones!$AA$95)&lt;PolicyEff),1,Milestones!$AC$95)&amp;";  ","")&amp;IF(AND(EDATE($D75,Milestones!$AA$96)&lt;=AsOfDate,EDATE($D75,Milestones!$AA$96)&gt;=SchemeStart,IF($X75=0,$AD75,IF(AND($Z75&lt;&gt;"",EDATE($D75,Milestones!$AA$96)&gt;=$Z75),$AC75,IF(AND($Y75&lt;&gt;"",EDATE($D75,Milestones!$AA$96)&gt;=$Y75),$AB75,$AA75)))=Milestones!$AB$96),UPPER(TEXT(EDATE($D75,Milestones!$AA$96),"dd mmm yy"))&amp;" "&amp;Milestones!$AB$96&amp;" "&amp;IF(AND(Milestones!$AB$96="FT",Milestones!$AA$96=FT_Y5,EDATE($D75,Milestones!$AA$96)&lt;PolicyEff),1,Milestones!$AC$96)&amp;";  ","")&amp;IF(AND(EDATE($D75,Milestones!$AA$97)&lt;=AsOfDate,EDATE($D75,Milestones!$AA$97)&gt;=SchemeStart,IF($X75=0,$AD75,IF(AND($Z75&lt;&gt;"",EDATE($D75,Milestones!$AA$97)&gt;=$Z75),$AC75,IF(AND($Y75&lt;&gt;"",EDATE($D75,Milestones!$AA$97)&gt;=$Y75),$AB75,$AA75)))=Milestones!$AB$97),UPPER(TEXT(EDATE($D75,Milestones!$AA$97),"dd mmm yy"))&amp;" "&amp;Milestones!$AB$97&amp;" "&amp;IF(AND(Milestones!$AB$97="FT",Milestones!$AA$97=FT_Y5,EDATE($D75,Milestones!$AA$97)&lt;PolicyEff),1,Milestones!$AC$97)&amp;";  ","")&amp;IF(AND(EDATE($D75,Milestones!$AA$98)&lt;=AsOfDate,EDATE($D75,Milestones!$AA$98)&gt;=SchemeStart,IF($X75=0,$AD75,IF(AND($Z75&lt;&gt;"",EDATE($D75,Milestones!$AA$98)&gt;=$Z75),$AC75,IF(AND($Y75&lt;&gt;"",EDATE($D75,Milestones!$AA$98)&gt;=$Y75),$AB75,$AA75)))=Milestones!$AB$98),UPPER(TEXT(EDATE($D75,Milestones!$AA$98),"dd mmm yy"))&amp;" "&amp;Milestones!$AB$98&amp;" "&amp;IF(AND(Milestones!$AB$98="FT",Milestones!$AA$98=FT_Y5,EDATE($D75,Milestones!$AA$98)&lt;PolicyEff),1,Milestones!$AC$98)&amp;";  ","")&amp;IF(AND(EDATE($D75,Milestones!$AA$99)&lt;=AsOfDate,EDATE($D75,Milestones!$AA$99)&gt;=SchemeStart,IF($X75=0,$AD75,IF(AND($Z75&lt;&gt;"",EDATE($D75,Milestones!$AA$99)&gt;=$Z75),$AC75,IF(AND($Y75&lt;&gt;"",EDATE($D75,Milestones!$AA$99)&gt;=$Y75),$AB75,$AA75)))=Milestones!$AB$99),UPPER(TEXT(EDATE($D75,Milestones!$AA$99),"dd mmm yy"))&amp;" "&amp;Milestones!$AB$99&amp;" "&amp;IF(AND(Milestones!$AB$99="FT",Milestones!$AA$99=FT_Y5,EDATE($D75,Milestones!$AA$99)&lt;PolicyEff),1,Milestones!$AC$99)&amp;";  ","")&amp;IF(AND(EDATE($D75,Milestones!$AA$100)&lt;=AsOfDate,EDATE($D75,Milestones!$AA$100)&gt;=SchemeStart,IF($X75=0,$AD75,IF(AND($Z75&lt;&gt;"",EDATE($D75,Milestones!$AA$100)&gt;=$Z75),$AC75,IF(AND($Y75&lt;&gt;"",EDATE($D75,Milestones!$AA$100)&gt;=$Y75),$AB75,$AA75)))=Milestones!$AB$100),UPPER(TEXT(EDATE($D75,Milestones!$AA$100),"dd mmm yy"))&amp;" "&amp;Milestones!$AB$100&amp;" "&amp;IF(AND(Milestones!$AB$100="FT",Milestones!$AA$100=FT_Y5,EDATE($D75,Milestones!$AA$100)&lt;PolicyEff),1,Milestones!$AC$100)&amp;";  ","")&amp;IF(AND(EDATE($D75,Milestones!$AA$101)&lt;=AsOfDate,EDATE($D75,Milestones!$AA$101)&gt;=SchemeStart,IF($X75=0,$AD75,IF(AND($Z75&lt;&gt;"",EDATE($D75,Milestones!$AA$101)&gt;=$Z75),$AC75,IF(AND($Y75&lt;&gt;"",EDATE($D75,Milestones!$AA$101)&gt;=$Y75),$AB75,$AA75)))=Milestones!$AB$101),UPPER(TEXT(EDATE($D75,Milestones!$AA$101),"dd mmm yy"))&amp;" "&amp;Milestones!$AB$101&amp;" "&amp;IF(AND(Milestones!$AB$101="FT",Milestones!$AA$101=FT_Y5,EDATE($D75,Milestones!$AA$101)&lt;PolicyEff),1,Milestones!$AC$101)&amp;";  ","")&amp;IF(AND(EDATE($D75,Milestones!$AA$102)&lt;=AsOfDate,EDATE($D75,Milestones!$AA$102)&gt;=SchemeStart,IF($X75=0,$AD75,IF(AND($Z75&lt;&gt;"",EDATE($D75,Milestones!$AA$102)&gt;=$Z75),$AC75,IF(AND($Y75&lt;&gt;"",EDATE($D75,Milestones!$AA$102)&gt;=$Y75),$AB75,$AA75)))=Milestones!$AB$102),UPPER(TEXT(EDATE($D75,Milestones!$AA$102),"dd mmm yy"))&amp;" "&amp;Milestones!$AB$102&amp;" "&amp;IF(AND(Milestones!$AB$102="FT",Milestones!$AA$102=FT_Y5,EDATE($D75,Milestones!$AA$102)&lt;PolicyEff),1,Milestones!$AC$102)&amp;";  ","")&amp;IF(AND(EDATE($D75,Milestones!$AA$103)&lt;=AsOfDate,EDATE($D75,Milestones!$AA$103)&gt;=SchemeStart,IF($X75=0,$AD75,IF(AND($Z75&lt;&gt;"",EDATE($D75,Milestones!$AA$103)&gt;=$Z75),$AC75,IF(AND($Y75&lt;&gt;"",EDATE($D75,Milestones!$AA$103)&gt;=$Y75),$AB75,$AA75)))=Milestones!$AB$103),UPPER(TEXT(EDATE($D75,Milestones!$AA$103),"dd mmm yy"))&amp;" "&amp;Milestones!$AB$103&amp;" "&amp;IF(AND(Milestones!$AB$103="FT",Milestones!$AA$103=FT_Y5,EDATE($D75,Milestones!$AA$103)&lt;PolicyEff),1,Milestones!$AC$103)&amp;";  ",""))</f>
        <v/>
      </c>
      <c r="P75" s="0" t="str">
        <f aca="false">IF(OR($A75="",$D75=""),"",IF(AND(EDATE($D75,Milestones!$AA$104)&lt;=AsOfDate,EDATE($D75,Milestones!$AA$104)&gt;=SchemeStart,IF($X75=0,$AD75,IF(AND($Z75&lt;&gt;"",EDATE($D75,Milestones!$AA$104)&gt;=$Z75),$AC75,IF(AND($Y75&lt;&gt;"",EDATE($D75,Milestones!$AA$104)&gt;=$Y75),$AB75,$AA75)))=Milestones!$AB$104),UPPER(TEXT(EDATE($D75,Milestones!$AA$104),"dd mmm yy"))&amp;" "&amp;Milestones!$AB$104&amp;" "&amp;IF(AND(Milestones!$AB$104="FT",Milestones!$AA$104=FT_Y5,EDATE($D75,Milestones!$AA$104)&lt;PolicyEff),1,Milestones!$AC$104)&amp;";  ","")&amp;IF(AND(EDATE($D75,Milestones!$AA$105)&lt;=AsOfDate,EDATE($D75,Milestones!$AA$105)&gt;=SchemeStart,IF($X75=0,$AD75,IF(AND($Z75&lt;&gt;"",EDATE($D75,Milestones!$AA$105)&gt;=$Z75),$AC75,IF(AND($Y75&lt;&gt;"",EDATE($D75,Milestones!$AA$105)&gt;=$Y75),$AB75,$AA75)))=Milestones!$AB$105),UPPER(TEXT(EDATE($D75,Milestones!$AA$105),"dd mmm yy"))&amp;" "&amp;Milestones!$AB$105&amp;" "&amp;IF(AND(Milestones!$AB$105="FT",Milestones!$AA$105=FT_Y5,EDATE($D75,Milestones!$AA$105)&lt;PolicyEff),1,Milestones!$AC$105)&amp;";  ","")&amp;IF(AND(EDATE($D75,Milestones!$AA$106)&lt;=AsOfDate,EDATE($D75,Milestones!$AA$106)&gt;=SchemeStart,IF($X75=0,$AD75,IF(AND($Z75&lt;&gt;"",EDATE($D75,Milestones!$AA$106)&gt;=$Z75),$AC75,IF(AND($Y75&lt;&gt;"",EDATE($D75,Milestones!$AA$106)&gt;=$Y75),$AB75,$AA75)))=Milestones!$AB$106),UPPER(TEXT(EDATE($D75,Milestones!$AA$106),"dd mmm yy"))&amp;" "&amp;Milestones!$AB$106&amp;" "&amp;IF(AND(Milestones!$AB$106="FT",Milestones!$AA$106=FT_Y5,EDATE($D75,Milestones!$AA$106)&lt;PolicyEff),1,Milestones!$AC$106)&amp;";  ","")&amp;IF(AND(EDATE($D75,Milestones!$AA$107)&lt;=AsOfDate,EDATE($D75,Milestones!$AA$107)&gt;=SchemeStart,IF($X75=0,$AD75,IF(AND($Z75&lt;&gt;"",EDATE($D75,Milestones!$AA$107)&gt;=$Z75),$AC75,IF(AND($Y75&lt;&gt;"",EDATE($D75,Milestones!$AA$107)&gt;=$Y75),$AB75,$AA75)))=Milestones!$AB$107),UPPER(TEXT(EDATE($D75,Milestones!$AA$107),"dd mmm yy"))&amp;" "&amp;Milestones!$AB$107&amp;" "&amp;IF(AND(Milestones!$AB$107="FT",Milestones!$AA$107=FT_Y5,EDATE($D75,Milestones!$AA$107)&lt;PolicyEff),1,Milestones!$AC$107)&amp;";  ","")&amp;IF(AND(EDATE($D75,Milestones!$AA$108)&lt;=AsOfDate,EDATE($D75,Milestones!$AA$108)&gt;=SchemeStart,IF($X75=0,$AD75,IF(AND($Z75&lt;&gt;"",EDATE($D75,Milestones!$AA$108)&gt;=$Z75),$AC75,IF(AND($Y75&lt;&gt;"",EDATE($D75,Milestones!$AA$108)&gt;=$Y75),$AB75,$AA75)))=Milestones!$AB$108),UPPER(TEXT(EDATE($D75,Milestones!$AA$108),"dd mmm yy"))&amp;" "&amp;Milestones!$AB$108&amp;" "&amp;IF(AND(Milestones!$AB$108="FT",Milestones!$AA$108=FT_Y5,EDATE($D75,Milestones!$AA$108)&lt;PolicyEff),1,Milestones!$AC$108)&amp;";  ","")&amp;IF(AND(EDATE($D75,Milestones!$AA$109)&lt;=AsOfDate,EDATE($D75,Milestones!$AA$109)&gt;=SchemeStart,IF($X75=0,$AD75,IF(AND($Z75&lt;&gt;"",EDATE($D75,Milestones!$AA$109)&gt;=$Z75),$AC75,IF(AND($Y75&lt;&gt;"",EDATE($D75,Milestones!$AA$109)&gt;=$Y75),$AB75,$AA75)))=Milestones!$AB$109),UPPER(TEXT(EDATE($D75,Milestones!$AA$109),"dd mmm yy"))&amp;" "&amp;Milestones!$AB$109&amp;" "&amp;IF(AND(Milestones!$AB$109="FT",Milestones!$AA$109=FT_Y5,EDATE($D75,Milestones!$AA$109)&lt;PolicyEff),1,Milestones!$AC$109)&amp;";  ","")&amp;IF(AND(EDATE($D75,Milestones!$AA$110)&lt;=AsOfDate,EDATE($D75,Milestones!$AA$110)&gt;=SchemeStart,IF($X75=0,$AD75,IF(AND($Z75&lt;&gt;"",EDATE($D75,Milestones!$AA$110)&gt;=$Z75),$AC75,IF(AND($Y75&lt;&gt;"",EDATE($D75,Milestones!$AA$110)&gt;=$Y75),$AB75,$AA75)))=Milestones!$AB$110),UPPER(TEXT(EDATE($D75,Milestones!$AA$110),"dd mmm yy"))&amp;" "&amp;Milestones!$AB$110&amp;" "&amp;IF(AND(Milestones!$AB$110="FT",Milestones!$AA$110=FT_Y5,EDATE($D75,Milestones!$AA$110)&lt;PolicyEff),1,Milestones!$AC$110)&amp;";  ","")&amp;IF(AND(EDATE($D75,Milestones!$AA$111)&lt;=AsOfDate,EDATE($D75,Milestones!$AA$111)&gt;=SchemeStart,IF($X75=0,$AD75,IF(AND($Z75&lt;&gt;"",EDATE($D75,Milestones!$AA$111)&gt;=$Z75),$AC75,IF(AND($Y75&lt;&gt;"",EDATE($D75,Milestones!$AA$111)&gt;=$Y75),$AB75,$AA75)))=Milestones!$AB$111),UPPER(TEXT(EDATE($D75,Milestones!$AA$111),"dd mmm yy"))&amp;" "&amp;Milestones!$AB$111&amp;" "&amp;IF(AND(Milestones!$AB$111="FT",Milestones!$AA$111=FT_Y5,EDATE($D75,Milestones!$AA$111)&lt;PolicyEff),1,Milestones!$AC$111)&amp;";  ","")&amp;IF(AND(EDATE($D75,Milestones!$AA$112)&lt;=AsOfDate,EDATE($D75,Milestones!$AA$112)&gt;=SchemeStart,IF($X75=0,$AD75,IF(AND($Z75&lt;&gt;"",EDATE($D75,Milestones!$AA$112)&gt;=$Z75),$AC75,IF(AND($Y75&lt;&gt;"",EDATE($D75,Milestones!$AA$112)&gt;=$Y75),$AB75,$AA75)))=Milestones!$AB$112),UPPER(TEXT(EDATE($D75,Milestones!$AA$112),"dd mmm yy"))&amp;" "&amp;Milestones!$AB$112&amp;" "&amp;IF(AND(Milestones!$AB$112="FT",Milestones!$AA$112=FT_Y5,EDATE($D75,Milestones!$AA$112)&lt;PolicyEff),1,Milestones!$AC$112)&amp;";  ","")&amp;IF(AND(EDATE($D75,Milestones!$AA$113)&lt;=AsOfDate,EDATE($D75,Milestones!$AA$113)&gt;=SchemeStart,IF($X75=0,$AD75,IF(AND($Z75&lt;&gt;"",EDATE($D75,Milestones!$AA$113)&gt;=$Z75),$AC75,IF(AND($Y75&lt;&gt;"",EDATE($D75,Milestones!$AA$113)&gt;=$Y75),$AB75,$AA75)))=Milestones!$AB$113),UPPER(TEXT(EDATE($D75,Milestones!$AA$113),"dd mmm yy"))&amp;" "&amp;Milestones!$AB$113&amp;" "&amp;IF(AND(Milestones!$AB$113="FT",Milestones!$AA$113=FT_Y5,EDATE($D75,Milestones!$AA$113)&lt;PolicyEff),1,Milestones!$AC$113)&amp;";  ","")&amp;IF(AND(EDATE($D75,Milestones!$AA$114)&lt;=AsOfDate,EDATE($D75,Milestones!$AA$114)&gt;=SchemeStart,IF($X75=0,$AD75,IF(AND($Z75&lt;&gt;"",EDATE($D75,Milestones!$AA$114)&gt;=$Z75),$AC75,IF(AND($Y75&lt;&gt;"",EDATE($D75,Milestones!$AA$114)&gt;=$Y75),$AB75,$AA75)))=Milestones!$AB$114),UPPER(TEXT(EDATE($D75,Milestones!$AA$114),"dd mmm yy"))&amp;" "&amp;Milestones!$AB$114&amp;" "&amp;IF(AND(Milestones!$AB$114="FT",Milestones!$AA$114=FT_Y5,EDATE($D75,Milestones!$AA$114)&lt;PolicyEff),1,Milestones!$AC$114)&amp;";  ","")&amp;IF(AND(EDATE($D75,Milestones!$AA$115)&lt;=AsOfDate,EDATE($D75,Milestones!$AA$115)&gt;=SchemeStart,IF($X75=0,$AD75,IF(AND($Z75&lt;&gt;"",EDATE($D75,Milestones!$AA$115)&gt;=$Z75),$AC75,IF(AND($Y75&lt;&gt;"",EDATE($D75,Milestones!$AA$115)&gt;=$Y75),$AB75,$AA75)))=Milestones!$AB$115),UPPER(TEXT(EDATE($D75,Milestones!$AA$115),"dd mmm yy"))&amp;" "&amp;Milestones!$AB$115&amp;" "&amp;IF(AND(Milestones!$AB$115="FT",Milestones!$AA$115=FT_Y5,EDATE($D75,Milestones!$AA$115)&lt;PolicyEff),1,Milestones!$AC$115)&amp;";  ",""))</f>
        <v/>
      </c>
      <c r="Q75" s="0" t="str">
        <f aca="false">IF(OR($A75="",$D75=""),"",IF(AND(EDATE($D75,Milestones!$AA$116)&lt;=AsOfDate,EDATE($D75,Milestones!$AA$116)&gt;=SchemeStart,IF($X75=0,$AD75,IF(AND($Z75&lt;&gt;"",EDATE($D75,Milestones!$AA$116)&gt;=$Z75),$AC75,IF(AND($Y75&lt;&gt;"",EDATE($D75,Milestones!$AA$116)&gt;=$Y75),$AB75,$AA75)))=Milestones!$AB$116),UPPER(TEXT(EDATE($D75,Milestones!$AA$116),"dd mmm yy"))&amp;" "&amp;Milestones!$AB$116&amp;" "&amp;IF(AND(Milestones!$AB$116="FT",Milestones!$AA$116=FT_Y5,EDATE($D75,Milestones!$AA$116)&lt;PolicyEff),1,Milestones!$AC$116)&amp;";  ","")&amp;IF(AND(EDATE($D75,Milestones!$AA$117)&lt;=AsOfDate,EDATE($D75,Milestones!$AA$117)&gt;=SchemeStart,IF($X75=0,$AD75,IF(AND($Z75&lt;&gt;"",EDATE($D75,Milestones!$AA$117)&gt;=$Z75),$AC75,IF(AND($Y75&lt;&gt;"",EDATE($D75,Milestones!$AA$117)&gt;=$Y75),$AB75,$AA75)))=Milestones!$AB$117),UPPER(TEXT(EDATE($D75,Milestones!$AA$117),"dd mmm yy"))&amp;" "&amp;Milestones!$AB$117&amp;" "&amp;IF(AND(Milestones!$AB$117="FT",Milestones!$AA$117=FT_Y5,EDATE($D75,Milestones!$AA$117)&lt;PolicyEff),1,Milestones!$AC$117)&amp;";  ","")&amp;IF(AND(EDATE($D75,Milestones!$AA$118)&lt;=AsOfDate,EDATE($D75,Milestones!$AA$118)&gt;=SchemeStart,IF($X75=0,$AD75,IF(AND($Z75&lt;&gt;"",EDATE($D75,Milestones!$AA$118)&gt;=$Z75),$AC75,IF(AND($Y75&lt;&gt;"",EDATE($D75,Milestones!$AA$118)&gt;=$Y75),$AB75,$AA75)))=Milestones!$AB$118),UPPER(TEXT(EDATE($D75,Milestones!$AA$118),"dd mmm yy"))&amp;" "&amp;Milestones!$AB$118&amp;" "&amp;IF(AND(Milestones!$AB$118="FT",Milestones!$AA$118=FT_Y5,EDATE($D75,Milestones!$AA$118)&lt;PolicyEff),1,Milestones!$AC$118)&amp;";  ","")&amp;IF(AND(EDATE($D75,Milestones!$AA$119)&lt;=AsOfDate,EDATE($D75,Milestones!$AA$119)&gt;=SchemeStart,IF($X75=0,$AD75,IF(AND($Z75&lt;&gt;"",EDATE($D75,Milestones!$AA$119)&gt;=$Z75),$AC75,IF(AND($Y75&lt;&gt;"",EDATE($D75,Milestones!$AA$119)&gt;=$Y75),$AB75,$AA75)))=Milestones!$AB$119),UPPER(TEXT(EDATE($D75,Milestones!$AA$119),"dd mmm yy"))&amp;" "&amp;Milestones!$AB$119&amp;" "&amp;IF(AND(Milestones!$AB$119="FT",Milestones!$AA$119=FT_Y5,EDATE($D75,Milestones!$AA$119)&lt;PolicyEff),1,Milestones!$AC$119)&amp;";  ","")&amp;IF(AND(EDATE($D75,Milestones!$AA$120)&lt;=AsOfDate,EDATE($D75,Milestones!$AA$120)&gt;=SchemeStart,IF($X75=0,$AD75,IF(AND($Z75&lt;&gt;"",EDATE($D75,Milestones!$AA$120)&gt;=$Z75),$AC75,IF(AND($Y75&lt;&gt;"",EDATE($D75,Milestones!$AA$120)&gt;=$Y75),$AB75,$AA75)))=Milestones!$AB$120),UPPER(TEXT(EDATE($D75,Milestones!$AA$120),"dd mmm yy"))&amp;" "&amp;Milestones!$AB$120&amp;" "&amp;IF(AND(Milestones!$AB$120="FT",Milestones!$AA$120=FT_Y5,EDATE($D75,Milestones!$AA$120)&lt;PolicyEff),1,Milestones!$AC$120)&amp;";  ","")&amp;IF(AND(EDATE($D75,Milestones!$AA$121)&lt;=AsOfDate,EDATE($D75,Milestones!$AA$121)&gt;=SchemeStart,IF($X75=0,$AD75,IF(AND($Z75&lt;&gt;"",EDATE($D75,Milestones!$AA$121)&gt;=$Z75),$AC75,IF(AND($Y75&lt;&gt;"",EDATE($D75,Milestones!$AA$121)&gt;=$Y75),$AB75,$AA75)))=Milestones!$AB$121),UPPER(TEXT(EDATE($D75,Milestones!$AA$121),"dd mmm yy"))&amp;" "&amp;Milestones!$AB$121&amp;" "&amp;IF(AND(Milestones!$AB$121="FT",Milestones!$AA$121=FT_Y5,EDATE($D75,Milestones!$AA$121)&lt;PolicyEff),1,Milestones!$AC$121)&amp;";  ","")&amp;IF(AND(EDATE($D75,Milestones!$AA$122)&lt;=AsOfDate,EDATE($D75,Milestones!$AA$122)&gt;=SchemeStart,IF($X75=0,$AD75,IF(AND($Z75&lt;&gt;"",EDATE($D75,Milestones!$AA$122)&gt;=$Z75),$AC75,IF(AND($Y75&lt;&gt;"",EDATE($D75,Milestones!$AA$122)&gt;=$Y75),$AB75,$AA75)))=Milestones!$AB$122),UPPER(TEXT(EDATE($D75,Milestones!$AA$122),"dd mmm yy"))&amp;" "&amp;Milestones!$AB$122&amp;" "&amp;IF(AND(Milestones!$AB$122="FT",Milestones!$AA$122=FT_Y5,EDATE($D75,Milestones!$AA$122)&lt;PolicyEff),1,Milestones!$AC$122)&amp;";  ","")&amp;IF(AND(EDATE($D75,Milestones!$AA$123)&lt;=AsOfDate,EDATE($D75,Milestones!$AA$123)&gt;=SchemeStart,IF($X75=0,$AD75,IF(AND($Z75&lt;&gt;"",EDATE($D75,Milestones!$AA$123)&gt;=$Z75),$AC75,IF(AND($Y75&lt;&gt;"",EDATE($D75,Milestones!$AA$123)&gt;=$Y75),$AB75,$AA75)))=Milestones!$AB$123),UPPER(TEXT(EDATE($D75,Milestones!$AA$123),"dd mmm yy"))&amp;" "&amp;Milestones!$AB$123&amp;" "&amp;IF(AND(Milestones!$AB$123="FT",Milestones!$AA$123=FT_Y5,EDATE($D75,Milestones!$AA$123)&lt;PolicyEff),1,Milestones!$AC$123)&amp;";  ","")&amp;IF(AND(EDATE($D75,Milestones!$AA$124)&lt;=AsOfDate,EDATE($D75,Milestones!$AA$124)&gt;=SchemeStart,IF($X75=0,$AD75,IF(AND($Z75&lt;&gt;"",EDATE($D75,Milestones!$AA$124)&gt;=$Z75),$AC75,IF(AND($Y75&lt;&gt;"",EDATE($D75,Milestones!$AA$124)&gt;=$Y75),$AB75,$AA75)))=Milestones!$AB$124),UPPER(TEXT(EDATE($D75,Milestones!$AA$124),"dd mmm yy"))&amp;" "&amp;Milestones!$AB$124&amp;" "&amp;IF(AND(Milestones!$AB$124="FT",Milestones!$AA$124=FT_Y5,EDATE($D75,Milestones!$AA$124)&lt;PolicyEff),1,Milestones!$AC$124)&amp;";  ","")&amp;IF(AND(EDATE($D75,Milestones!$AA$125)&lt;=AsOfDate,EDATE($D75,Milestones!$AA$125)&gt;=SchemeStart,IF($X75=0,$AD75,IF(AND($Z75&lt;&gt;"",EDATE($D75,Milestones!$AA$125)&gt;=$Z75),$AC75,IF(AND($Y75&lt;&gt;"",EDATE($D75,Milestones!$AA$125)&gt;=$Y75),$AB75,$AA75)))=Milestones!$AB$125),UPPER(TEXT(EDATE($D75,Milestones!$AA$125),"dd mmm yy"))&amp;" "&amp;Milestones!$AB$125&amp;" "&amp;IF(AND(Milestones!$AB$125="FT",Milestones!$AA$125=FT_Y5,EDATE($D75,Milestones!$AA$125)&lt;PolicyEff),1,Milestones!$AC$125)&amp;";  ","")&amp;IF(AND(EDATE($D75,Milestones!$AA$126)&lt;=AsOfDate,EDATE($D75,Milestones!$AA$126)&gt;=SchemeStart,IF($X75=0,$AD75,IF(AND($Z75&lt;&gt;"",EDATE($D75,Milestones!$AA$126)&gt;=$Z75),$AC75,IF(AND($Y75&lt;&gt;"",EDATE($D75,Milestones!$AA$126)&gt;=$Y75),$AB75,$AA75)))=Milestones!$AB$126),UPPER(TEXT(EDATE($D75,Milestones!$AA$126),"dd mmm yy"))&amp;" "&amp;Milestones!$AB$126&amp;" "&amp;IF(AND(Milestones!$AB$126="FT",Milestones!$AA$126=FT_Y5,EDATE($D75,Milestones!$AA$126)&lt;PolicyEff),1,Milestones!$AC$126)&amp;";  ","")&amp;IF(AND(EDATE($D75,Milestones!$AA$127)&lt;=AsOfDate,EDATE($D75,Milestones!$AA$127)&gt;=SchemeStart,IF($X75=0,$AD75,IF(AND($Z75&lt;&gt;"",EDATE($D75,Milestones!$AA$127)&gt;=$Z75),$AC75,IF(AND($Y75&lt;&gt;"",EDATE($D75,Milestones!$AA$127)&gt;=$Y75),$AB75,$AA75)))=Milestones!$AB$127),UPPER(TEXT(EDATE($D75,Milestones!$AA$127),"dd mmm yy"))&amp;" "&amp;Milestones!$AB$127&amp;" "&amp;IF(AND(Milestones!$AB$127="FT",Milestones!$AA$127=FT_Y5,EDATE($D75,Milestones!$AA$127)&lt;PolicyEff),1,Milestones!$AC$127)&amp;";  ",""))</f>
        <v/>
      </c>
      <c r="R75" s="0" t="str">
        <f aca="false">IF(OR($A75="",$D75=""),"",IF(AND(EDATE($D75,Milestones!$AA$128)&lt;=AsOfDate,EDATE($D75,Milestones!$AA$128)&gt;=SchemeStart,IF($X75=0,$AD75,IF(AND($Z75&lt;&gt;"",EDATE($D75,Milestones!$AA$128)&gt;=$Z75),$AC75,IF(AND($Y75&lt;&gt;"",EDATE($D75,Milestones!$AA$128)&gt;=$Y75),$AB75,$AA75)))=Milestones!$AB$128),UPPER(TEXT(EDATE($D75,Milestones!$AA$128),"dd mmm yy"))&amp;" "&amp;Milestones!$AB$128&amp;" "&amp;IF(AND(Milestones!$AB$128="FT",Milestones!$AA$128=FT_Y5,EDATE($D75,Milestones!$AA$128)&lt;PolicyEff),1,Milestones!$AC$128)&amp;";  ","")&amp;IF(AND(EDATE($D75,Milestones!$AA$129)&lt;=AsOfDate,EDATE($D75,Milestones!$AA$129)&gt;=SchemeStart,IF($X75=0,$AD75,IF(AND($Z75&lt;&gt;"",EDATE($D75,Milestones!$AA$129)&gt;=$Z75),$AC75,IF(AND($Y75&lt;&gt;"",EDATE($D75,Milestones!$AA$129)&gt;=$Y75),$AB75,$AA75)))=Milestones!$AB$129),UPPER(TEXT(EDATE($D75,Milestones!$AA$129),"dd mmm yy"))&amp;" "&amp;Milestones!$AB$129&amp;" "&amp;IF(AND(Milestones!$AB$129="FT",Milestones!$AA$129=FT_Y5,EDATE($D75,Milestones!$AA$129)&lt;PolicyEff),1,Milestones!$AC$129)&amp;";  ","")&amp;IF(AND(EDATE($D75,Milestones!$AA$130)&lt;=AsOfDate,EDATE($D75,Milestones!$AA$130)&gt;=SchemeStart,IF($X75=0,$AD75,IF(AND($Z75&lt;&gt;"",EDATE($D75,Milestones!$AA$130)&gt;=$Z75),$AC75,IF(AND($Y75&lt;&gt;"",EDATE($D75,Milestones!$AA$130)&gt;=$Y75),$AB75,$AA75)))=Milestones!$AB$130),UPPER(TEXT(EDATE($D75,Milestones!$AA$130),"dd mmm yy"))&amp;" "&amp;Milestones!$AB$130&amp;" "&amp;IF(AND(Milestones!$AB$130="FT",Milestones!$AA$130=FT_Y5,EDATE($D75,Milestones!$AA$130)&lt;PolicyEff),1,Milestones!$AC$130)&amp;";  ","")&amp;IF(AND(EDATE($D75,Milestones!$AA$131)&lt;=AsOfDate,EDATE($D75,Milestones!$AA$131)&gt;=SchemeStart,IF($X75=0,$AD75,IF(AND($Z75&lt;&gt;"",EDATE($D75,Milestones!$AA$131)&gt;=$Z75),$AC75,IF(AND($Y75&lt;&gt;"",EDATE($D75,Milestones!$AA$131)&gt;=$Y75),$AB75,$AA75)))=Milestones!$AB$131),UPPER(TEXT(EDATE($D75,Milestones!$AA$131),"dd mmm yy"))&amp;" "&amp;Milestones!$AB$131&amp;" "&amp;IF(AND(Milestones!$AB$131="FT",Milestones!$AA$131=FT_Y5,EDATE($D75,Milestones!$AA$131)&lt;PolicyEff),1,Milestones!$AC$131)&amp;";  ","")&amp;IF(AND(EDATE($D75,Milestones!$AA$132)&lt;=AsOfDate,EDATE($D75,Milestones!$AA$132)&gt;=SchemeStart,IF($X75=0,$AD75,IF(AND($Z75&lt;&gt;"",EDATE($D75,Milestones!$AA$132)&gt;=$Z75),$AC75,IF(AND($Y75&lt;&gt;"",EDATE($D75,Milestones!$AA$132)&gt;=$Y75),$AB75,$AA75)))=Milestones!$AB$132),UPPER(TEXT(EDATE($D75,Milestones!$AA$132),"dd mmm yy"))&amp;" "&amp;Milestones!$AB$132&amp;" "&amp;IF(AND(Milestones!$AB$132="FT",Milestones!$AA$132=FT_Y5,EDATE($D75,Milestones!$AA$132)&lt;PolicyEff),1,Milestones!$AC$132)&amp;";  ","")&amp;IF(AND(EDATE($D75,Milestones!$AA$133)&lt;=AsOfDate,EDATE($D75,Milestones!$AA$133)&gt;=SchemeStart,IF($X75=0,$AD75,IF(AND($Z75&lt;&gt;"",EDATE($D75,Milestones!$AA$133)&gt;=$Z75),$AC75,IF(AND($Y75&lt;&gt;"",EDATE($D75,Milestones!$AA$133)&gt;=$Y75),$AB75,$AA75)))=Milestones!$AB$133),UPPER(TEXT(EDATE($D75,Milestones!$AA$133),"dd mmm yy"))&amp;" "&amp;Milestones!$AB$133&amp;" "&amp;IF(AND(Milestones!$AB$133="FT",Milestones!$AA$133=FT_Y5,EDATE($D75,Milestones!$AA$133)&lt;PolicyEff),1,Milestones!$AC$133)&amp;";  ","")&amp;IF(AND(EDATE($D75,Milestones!$AA$134)&lt;=AsOfDate,EDATE($D75,Milestones!$AA$134)&gt;=SchemeStart,IF($X75=0,$AD75,IF(AND($Z75&lt;&gt;"",EDATE($D75,Milestones!$AA$134)&gt;=$Z75),$AC75,IF(AND($Y75&lt;&gt;"",EDATE($D75,Milestones!$AA$134)&gt;=$Y75),$AB75,$AA75)))=Milestones!$AB$134),UPPER(TEXT(EDATE($D75,Milestones!$AA$134),"dd mmm yy"))&amp;" "&amp;Milestones!$AB$134&amp;" "&amp;IF(AND(Milestones!$AB$134="FT",Milestones!$AA$134=FT_Y5,EDATE($D75,Milestones!$AA$134)&lt;PolicyEff),1,Milestones!$AC$134)&amp;";  ","")&amp;IF(AND(EDATE($D75,Milestones!$AA$135)&lt;=AsOfDate,EDATE($D75,Milestones!$AA$135)&gt;=SchemeStart,IF($X75=0,$AD75,IF(AND($Z75&lt;&gt;"",EDATE($D75,Milestones!$AA$135)&gt;=$Z75),$AC75,IF(AND($Y75&lt;&gt;"",EDATE($D75,Milestones!$AA$135)&gt;=$Y75),$AB75,$AA75)))=Milestones!$AB$135),UPPER(TEXT(EDATE($D75,Milestones!$AA$135),"dd mmm yy"))&amp;" "&amp;Milestones!$AB$135&amp;" "&amp;IF(AND(Milestones!$AB$135="FT",Milestones!$AA$135=FT_Y5,EDATE($D75,Milestones!$AA$135)&lt;PolicyEff),1,Milestones!$AC$135)&amp;";  ","")&amp;IF(AND(EDATE($D75,Milestones!$AA$136)&lt;=AsOfDate,EDATE($D75,Milestones!$AA$136)&gt;=SchemeStart,IF($X75=0,$AD75,IF(AND($Z75&lt;&gt;"",EDATE($D75,Milestones!$AA$136)&gt;=$Z75),$AC75,IF(AND($Y75&lt;&gt;"",EDATE($D75,Milestones!$AA$136)&gt;=$Y75),$AB75,$AA75)))=Milestones!$AB$136),UPPER(TEXT(EDATE($D75,Milestones!$AA$136),"dd mmm yy"))&amp;" "&amp;Milestones!$AB$136&amp;" "&amp;IF(AND(Milestones!$AB$136="FT",Milestones!$AA$136=FT_Y5,EDATE($D75,Milestones!$AA$136)&lt;PolicyEff),1,Milestones!$AC$136)&amp;";  ","")&amp;IF(AND(EDATE($D75,Milestones!$AA$137)&lt;=AsOfDate,EDATE($D75,Milestones!$AA$137)&gt;=SchemeStart,IF($X75=0,$AD75,IF(AND($Z75&lt;&gt;"",EDATE($D75,Milestones!$AA$137)&gt;=$Z75),$AC75,IF(AND($Y75&lt;&gt;"",EDATE($D75,Milestones!$AA$137)&gt;=$Y75),$AB75,$AA75)))=Milestones!$AB$137),UPPER(TEXT(EDATE($D75,Milestones!$AA$137),"dd mmm yy"))&amp;" "&amp;Milestones!$AB$137&amp;" "&amp;IF(AND(Milestones!$AB$137="FT",Milestones!$AA$137=FT_Y5,EDATE($D75,Milestones!$AA$137)&lt;PolicyEff),1,Milestones!$AC$137)&amp;";  ","")&amp;IF(AND(EDATE($D75,Milestones!$AA$138)&lt;=AsOfDate,EDATE($D75,Milestones!$AA$138)&gt;=SchemeStart,IF($X75=0,$AD75,IF(AND($Z75&lt;&gt;"",EDATE($D75,Milestones!$AA$138)&gt;=$Z75),$AC75,IF(AND($Y75&lt;&gt;"",EDATE($D75,Milestones!$AA$138)&gt;=$Y75),$AB75,$AA75)))=Milestones!$AB$138),UPPER(TEXT(EDATE($D75,Milestones!$AA$138),"dd mmm yy"))&amp;" "&amp;Milestones!$AB$138&amp;" "&amp;IF(AND(Milestones!$AB$138="FT",Milestones!$AA$138=FT_Y5,EDATE($D75,Milestones!$AA$138)&lt;PolicyEff),1,Milestones!$AC$138)&amp;";  ","")&amp;IF(AND(EDATE($D75,Milestones!$AA$139)&lt;=AsOfDate,EDATE($D75,Milestones!$AA$139)&gt;=SchemeStart,IF($X75=0,$AD75,IF(AND($Z75&lt;&gt;"",EDATE($D75,Milestones!$AA$139)&gt;=$Z75),$AC75,IF(AND($Y75&lt;&gt;"",EDATE($D75,Milestones!$AA$139)&gt;=$Y75),$AB75,$AA75)))=Milestones!$AB$139),UPPER(TEXT(EDATE($D75,Milestones!$AA$139),"dd mmm yy"))&amp;" "&amp;Milestones!$AB$139&amp;" "&amp;IF(AND(Milestones!$AB$139="FT",Milestones!$AA$139=FT_Y5,EDATE($D75,Milestones!$AA$139)&lt;PolicyEff),1,Milestones!$AC$139)&amp;";  ",""))</f>
        <v/>
      </c>
      <c r="S75" s="0" t="str">
        <f aca="false">IF(OR($A75="",$D75=""),"",IF(AND(EDATE($D75,Milestones!$AA$140)&lt;=AsOfDate,EDATE($D75,Milestones!$AA$140)&gt;=SchemeStart,IF($X75=0,$AD75,IF(AND($Z75&lt;&gt;"",EDATE($D75,Milestones!$AA$140)&gt;=$Z75),$AC75,IF(AND($Y75&lt;&gt;"",EDATE($D75,Milestones!$AA$140)&gt;=$Y75),$AB75,$AA75)))=Milestones!$AB$140),UPPER(TEXT(EDATE($D75,Milestones!$AA$140),"dd mmm yy"))&amp;" "&amp;Milestones!$AB$140&amp;" "&amp;IF(AND(Milestones!$AB$140="FT",Milestones!$AA$140=FT_Y5,EDATE($D75,Milestones!$AA$140)&lt;PolicyEff),1,Milestones!$AC$140)&amp;";  ","")&amp;IF(AND(EDATE($D75,Milestones!$AA$141)&lt;=AsOfDate,EDATE($D75,Milestones!$AA$141)&gt;=SchemeStart,IF($X75=0,$AD75,IF(AND($Z75&lt;&gt;"",EDATE($D75,Milestones!$AA$141)&gt;=$Z75),$AC75,IF(AND($Y75&lt;&gt;"",EDATE($D75,Milestones!$AA$141)&gt;=$Y75),$AB75,$AA75)))=Milestones!$AB$141),UPPER(TEXT(EDATE($D75,Milestones!$AA$141),"dd mmm yy"))&amp;" "&amp;Milestones!$AB$141&amp;" "&amp;IF(AND(Milestones!$AB$141="FT",Milestones!$AA$141=FT_Y5,EDATE($D75,Milestones!$AA$141)&lt;PolicyEff),1,Milestones!$AC$141)&amp;";  ","")&amp;IF(AND(EDATE($D75,Milestones!$AA$142)&lt;=AsOfDate,EDATE($D75,Milestones!$AA$142)&gt;=SchemeStart,IF($X75=0,$AD75,IF(AND($Z75&lt;&gt;"",EDATE($D75,Milestones!$AA$142)&gt;=$Z75),$AC75,IF(AND($Y75&lt;&gt;"",EDATE($D75,Milestones!$AA$142)&gt;=$Y75),$AB75,$AA75)))=Milestones!$AB$142),UPPER(TEXT(EDATE($D75,Milestones!$AA$142),"dd mmm yy"))&amp;" "&amp;Milestones!$AB$142&amp;" "&amp;IF(AND(Milestones!$AB$142="FT",Milestones!$AA$142=FT_Y5,EDATE($D75,Milestones!$AA$142)&lt;PolicyEff),1,Milestones!$AC$142)&amp;";  ","")&amp;IF(AND(EDATE($D75,Milestones!$AA$143)&lt;=AsOfDate,EDATE($D75,Milestones!$AA$143)&gt;=SchemeStart,IF($X75=0,$AD75,IF(AND($Z75&lt;&gt;"",EDATE($D75,Milestones!$AA$143)&gt;=$Z75),$AC75,IF(AND($Y75&lt;&gt;"",EDATE($D75,Milestones!$AA$143)&gt;=$Y75),$AB75,$AA75)))=Milestones!$AB$143),UPPER(TEXT(EDATE($D75,Milestones!$AA$143),"dd mmm yy"))&amp;" "&amp;Milestones!$AB$143&amp;" "&amp;IF(AND(Milestones!$AB$143="FT",Milestones!$AA$143=FT_Y5,EDATE($D75,Milestones!$AA$143)&lt;PolicyEff),1,Milestones!$AC$143)&amp;";  ","")&amp;IF(AND(EDATE($D75,Milestones!$AA$144)&lt;=AsOfDate,EDATE($D75,Milestones!$AA$144)&gt;=SchemeStart,IF($X75=0,$AD75,IF(AND($Z75&lt;&gt;"",EDATE($D75,Milestones!$AA$144)&gt;=$Z75),$AC75,IF(AND($Y75&lt;&gt;"",EDATE($D75,Milestones!$AA$144)&gt;=$Y75),$AB75,$AA75)))=Milestones!$AB$144),UPPER(TEXT(EDATE($D75,Milestones!$AA$144),"dd mmm yy"))&amp;" "&amp;Milestones!$AB$144&amp;" "&amp;IF(AND(Milestones!$AB$144="FT",Milestones!$AA$144=FT_Y5,EDATE($D75,Milestones!$AA$144)&lt;PolicyEff),1,Milestones!$AC$144)&amp;";  ","")&amp;IF(AND(EDATE($D75,Milestones!$AA$145)&lt;=AsOfDate,EDATE($D75,Milestones!$AA$145)&gt;=SchemeStart,IF($X75=0,$AD75,IF(AND($Z75&lt;&gt;"",EDATE($D75,Milestones!$AA$145)&gt;=$Z75),$AC75,IF(AND($Y75&lt;&gt;"",EDATE($D75,Milestones!$AA$145)&gt;=$Y75),$AB75,$AA75)))=Milestones!$AB$145),UPPER(TEXT(EDATE($D75,Milestones!$AA$145),"dd mmm yy"))&amp;" "&amp;Milestones!$AB$145&amp;" "&amp;IF(AND(Milestones!$AB$145="FT",Milestones!$AA$145=FT_Y5,EDATE($D75,Milestones!$AA$145)&lt;PolicyEff),1,Milestones!$AC$145)&amp;";  ","")&amp;IF(AND(EDATE($D75,Milestones!$AA$146)&lt;=AsOfDate,EDATE($D75,Milestones!$AA$146)&gt;=SchemeStart,IF($X75=0,$AD75,IF(AND($Z75&lt;&gt;"",EDATE($D75,Milestones!$AA$146)&gt;=$Z75),$AC75,IF(AND($Y75&lt;&gt;"",EDATE($D75,Milestones!$AA$146)&gt;=$Y75),$AB75,$AA75)))=Milestones!$AB$146),UPPER(TEXT(EDATE($D75,Milestones!$AA$146),"dd mmm yy"))&amp;" "&amp;Milestones!$AB$146&amp;" "&amp;IF(AND(Milestones!$AB$146="FT",Milestones!$AA$146=FT_Y5,EDATE($D75,Milestones!$AA$146)&lt;PolicyEff),1,Milestones!$AC$146)&amp;";  ","")&amp;IF(AND(EDATE($D75,Milestones!$AA$147)&lt;=AsOfDate,EDATE($D75,Milestones!$AA$147)&gt;=SchemeStart,IF($X75=0,$AD75,IF(AND($Z75&lt;&gt;"",EDATE($D75,Milestones!$AA$147)&gt;=$Z75),$AC75,IF(AND($Y75&lt;&gt;"",EDATE($D75,Milestones!$AA$147)&gt;=$Y75),$AB75,$AA75)))=Milestones!$AB$147),UPPER(TEXT(EDATE($D75,Milestones!$AA$147),"dd mmm yy"))&amp;" "&amp;Milestones!$AB$147&amp;" "&amp;IF(AND(Milestones!$AB$147="FT",Milestones!$AA$147=FT_Y5,EDATE($D75,Milestones!$AA$147)&lt;PolicyEff),1,Milestones!$AC$147)&amp;";  ","")&amp;IF(AND(EDATE($D75,Milestones!$AA$148)&lt;=AsOfDate,EDATE($D75,Milestones!$AA$148)&gt;=SchemeStart,IF($X75=0,$AD75,IF(AND($Z75&lt;&gt;"",EDATE($D75,Milestones!$AA$148)&gt;=$Z75),$AC75,IF(AND($Y75&lt;&gt;"",EDATE($D75,Milestones!$AA$148)&gt;=$Y75),$AB75,$AA75)))=Milestones!$AB$148),UPPER(TEXT(EDATE($D75,Milestones!$AA$148),"dd mmm yy"))&amp;" "&amp;Milestones!$AB$148&amp;" "&amp;IF(AND(Milestones!$AB$148="FT",Milestones!$AA$148=FT_Y5,EDATE($D75,Milestones!$AA$148)&lt;PolicyEff),1,Milestones!$AC$148)&amp;";  ","")&amp;IF(AND(EDATE($D75,Milestones!$AA$149)&lt;=AsOfDate,EDATE($D75,Milestones!$AA$149)&gt;=SchemeStart,IF($X75=0,$AD75,IF(AND($Z75&lt;&gt;"",EDATE($D75,Milestones!$AA$149)&gt;=$Z75),$AC75,IF(AND($Y75&lt;&gt;"",EDATE($D75,Milestones!$AA$149)&gt;=$Y75),$AB75,$AA75)))=Milestones!$AB$149),UPPER(TEXT(EDATE($D75,Milestones!$AA$149),"dd mmm yy"))&amp;" "&amp;Milestones!$AB$149&amp;" "&amp;IF(AND(Milestones!$AB$149="FT",Milestones!$AA$149=FT_Y5,EDATE($D75,Milestones!$AA$149)&lt;PolicyEff),1,Milestones!$AC$149)&amp;";  ","")&amp;IF(AND(EDATE($D75,Milestones!$AA$150)&lt;=AsOfDate,EDATE($D75,Milestones!$AA$150)&gt;=SchemeStart,IF($X75=0,$AD75,IF(AND($Z75&lt;&gt;"",EDATE($D75,Milestones!$AA$150)&gt;=$Z75),$AC75,IF(AND($Y75&lt;&gt;"",EDATE($D75,Milestones!$AA$150)&gt;=$Y75),$AB75,$AA75)))=Milestones!$AB$150),UPPER(TEXT(EDATE($D75,Milestones!$AA$150),"dd mmm yy"))&amp;" "&amp;Milestones!$AB$150&amp;" "&amp;IF(AND(Milestones!$AB$150="FT",Milestones!$AA$150=FT_Y5,EDATE($D75,Milestones!$AA$150)&lt;PolicyEff),1,Milestones!$AC$150)&amp;";  ","")&amp;IF(AND(EDATE($D75,Milestones!$AA$151)&lt;=AsOfDate,EDATE($D75,Milestones!$AA$151)&gt;=SchemeStart,IF($X75=0,$AD75,IF(AND($Z75&lt;&gt;"",EDATE($D75,Milestones!$AA$151)&gt;=$Z75),$AC75,IF(AND($Y75&lt;&gt;"",EDATE($D75,Milestones!$AA$151)&gt;=$Y75),$AB75,$AA75)))=Milestones!$AB$151),UPPER(TEXT(EDATE($D75,Milestones!$AA$151),"dd mmm yy"))&amp;" "&amp;Milestones!$AB$151&amp;" "&amp;IF(AND(Milestones!$AB$151="FT",Milestones!$AA$151=FT_Y5,EDATE($D75,Milestones!$AA$151)&lt;PolicyEff),1,Milestones!$AC$151)&amp;";  ",""))</f>
        <v/>
      </c>
      <c r="T75" s="0" t="str">
        <f aca="false">IF(OR($A75="",$D75=""),"",IF(AND(EDATE($D75,Milestones!$AA$152)&lt;=AsOfDate,EDATE($D75,Milestones!$AA$152)&gt;=SchemeStart,IF($X75=0,$AD75,IF(AND($Z75&lt;&gt;"",EDATE($D75,Milestones!$AA$152)&gt;=$Z75),$AC75,IF(AND($Y75&lt;&gt;"",EDATE($D75,Milestones!$AA$152)&gt;=$Y75),$AB75,$AA75)))=Milestones!$AB$152),UPPER(TEXT(EDATE($D75,Milestones!$AA$152),"dd mmm yy"))&amp;" "&amp;Milestones!$AB$152&amp;" "&amp;IF(AND(Milestones!$AB$152="FT",Milestones!$AA$152=FT_Y5,EDATE($D75,Milestones!$AA$152)&lt;PolicyEff),1,Milestones!$AC$152)&amp;";  ","")&amp;IF(AND(EDATE($D75,Milestones!$AA$153)&lt;=AsOfDate,EDATE($D75,Milestones!$AA$153)&gt;=SchemeStart,IF($X75=0,$AD75,IF(AND($Z75&lt;&gt;"",EDATE($D75,Milestones!$AA$153)&gt;=$Z75),$AC75,IF(AND($Y75&lt;&gt;"",EDATE($D75,Milestones!$AA$153)&gt;=$Y75),$AB75,$AA75)))=Milestones!$AB$153),UPPER(TEXT(EDATE($D75,Milestones!$AA$153),"dd mmm yy"))&amp;" "&amp;Milestones!$AB$153&amp;" "&amp;IF(AND(Milestones!$AB$153="FT",Milestones!$AA$153=FT_Y5,EDATE($D75,Milestones!$AA$153)&lt;PolicyEff),1,Milestones!$AC$153)&amp;";  ","")&amp;IF(AND(EDATE($D75,Milestones!$AA$154)&lt;=AsOfDate,EDATE($D75,Milestones!$AA$154)&gt;=SchemeStart,IF($X75=0,$AD75,IF(AND($Z75&lt;&gt;"",EDATE($D75,Milestones!$AA$154)&gt;=$Z75),$AC75,IF(AND($Y75&lt;&gt;"",EDATE($D75,Milestones!$AA$154)&gt;=$Y75),$AB75,$AA75)))=Milestones!$AB$154),UPPER(TEXT(EDATE($D75,Milestones!$AA$154),"dd mmm yy"))&amp;" "&amp;Milestones!$AB$154&amp;" "&amp;IF(AND(Milestones!$AB$154="FT",Milestones!$AA$154=FT_Y5,EDATE($D75,Milestones!$AA$154)&lt;PolicyEff),1,Milestones!$AC$154)&amp;";  ","")&amp;IF(AND(EDATE($D75,Milestones!$AA$155)&lt;=AsOfDate,EDATE($D75,Milestones!$AA$155)&gt;=SchemeStart,IF($X75=0,$AD75,IF(AND($Z75&lt;&gt;"",EDATE($D75,Milestones!$AA$155)&gt;=$Z75),$AC75,IF(AND($Y75&lt;&gt;"",EDATE($D75,Milestones!$AA$155)&gt;=$Y75),$AB75,$AA75)))=Milestones!$AB$155),UPPER(TEXT(EDATE($D75,Milestones!$AA$155),"dd mmm yy"))&amp;" "&amp;Milestones!$AB$155&amp;" "&amp;IF(AND(Milestones!$AB$155="FT",Milestones!$AA$155=FT_Y5,EDATE($D75,Milestones!$AA$155)&lt;PolicyEff),1,Milestones!$AC$155)&amp;";  ","")&amp;IF(AND(EDATE($D75,Milestones!$AA$156)&lt;=AsOfDate,EDATE($D75,Milestones!$AA$156)&gt;=SchemeStart,IF($X75=0,$AD75,IF(AND($Z75&lt;&gt;"",EDATE($D75,Milestones!$AA$156)&gt;=$Z75),$AC75,IF(AND($Y75&lt;&gt;"",EDATE($D75,Milestones!$AA$156)&gt;=$Y75),$AB75,$AA75)))=Milestones!$AB$156),UPPER(TEXT(EDATE($D75,Milestones!$AA$156),"dd mmm yy"))&amp;" "&amp;Milestones!$AB$156&amp;" "&amp;IF(AND(Milestones!$AB$156="FT",Milestones!$AA$156=FT_Y5,EDATE($D75,Milestones!$AA$156)&lt;PolicyEff),1,Milestones!$AC$156)&amp;";  ","")&amp;IF(AND(EDATE($D75,Milestones!$AA$157)&lt;=AsOfDate,EDATE($D75,Milestones!$AA$157)&gt;=SchemeStart,IF($X75=0,$AD75,IF(AND($Z75&lt;&gt;"",EDATE($D75,Milestones!$AA$157)&gt;=$Z75),$AC75,IF(AND($Y75&lt;&gt;"",EDATE($D75,Milestones!$AA$157)&gt;=$Y75),$AB75,$AA75)))=Milestones!$AB$157),UPPER(TEXT(EDATE($D75,Milestones!$AA$157),"dd mmm yy"))&amp;" "&amp;Milestones!$AB$157&amp;" "&amp;IF(AND(Milestones!$AB$157="FT",Milestones!$AA$157=FT_Y5,EDATE($D75,Milestones!$AA$157)&lt;PolicyEff),1,Milestones!$AC$157)&amp;";  ","")&amp;IF(AND(EDATE($D75,Milestones!$AA$158)&lt;=AsOfDate,EDATE($D75,Milestones!$AA$158)&gt;=SchemeStart,IF($X75=0,$AD75,IF(AND($Z75&lt;&gt;"",EDATE($D75,Milestones!$AA$158)&gt;=$Z75),$AC75,IF(AND($Y75&lt;&gt;"",EDATE($D75,Milestones!$AA$158)&gt;=$Y75),$AB75,$AA75)))=Milestones!$AB$158),UPPER(TEXT(EDATE($D75,Milestones!$AA$158),"dd mmm yy"))&amp;" "&amp;Milestones!$AB$158&amp;" "&amp;IF(AND(Milestones!$AB$158="FT",Milestones!$AA$158=FT_Y5,EDATE($D75,Milestones!$AA$158)&lt;PolicyEff),1,Milestones!$AC$158)&amp;";  ","")&amp;IF(AND(EDATE($D75,Milestones!$AA$159)&lt;=AsOfDate,EDATE($D75,Milestones!$AA$159)&gt;=SchemeStart,IF($X75=0,$AD75,IF(AND($Z75&lt;&gt;"",EDATE($D75,Milestones!$AA$159)&gt;=$Z75),$AC75,IF(AND($Y75&lt;&gt;"",EDATE($D75,Milestones!$AA$159)&gt;=$Y75),$AB75,$AA75)))=Milestones!$AB$159),UPPER(TEXT(EDATE($D75,Milestones!$AA$159),"dd mmm yy"))&amp;" "&amp;Milestones!$AB$159&amp;" "&amp;IF(AND(Milestones!$AB$159="FT",Milestones!$AA$159=FT_Y5,EDATE($D75,Milestones!$AA$159)&lt;PolicyEff),1,Milestones!$AC$159)&amp;";  ","")&amp;IF(AND(EDATE($D75,Milestones!$AA$160)&lt;=AsOfDate,EDATE($D75,Milestones!$AA$160)&gt;=SchemeStart,IF($X75=0,$AD75,IF(AND($Z75&lt;&gt;"",EDATE($D75,Milestones!$AA$160)&gt;=$Z75),$AC75,IF(AND($Y75&lt;&gt;"",EDATE($D75,Milestones!$AA$160)&gt;=$Y75),$AB75,$AA75)))=Milestones!$AB$160),UPPER(TEXT(EDATE($D75,Milestones!$AA$160),"dd mmm yy"))&amp;" "&amp;Milestones!$AB$160&amp;" "&amp;IF(AND(Milestones!$AB$160="FT",Milestones!$AA$160=FT_Y5,EDATE($D75,Milestones!$AA$160)&lt;PolicyEff),1,Milestones!$AC$160)&amp;";  ","")&amp;IF(AND(EDATE($D75,Milestones!$AA$161)&lt;=AsOfDate,EDATE($D75,Milestones!$AA$161)&gt;=SchemeStart,IF($X75=0,$AD75,IF(AND($Z75&lt;&gt;"",EDATE($D75,Milestones!$AA$161)&gt;=$Z75),$AC75,IF(AND($Y75&lt;&gt;"",EDATE($D75,Milestones!$AA$161)&gt;=$Y75),$AB75,$AA75)))=Milestones!$AB$161),UPPER(TEXT(EDATE($D75,Milestones!$AA$161),"dd mmm yy"))&amp;" "&amp;Milestones!$AB$161&amp;" "&amp;IF(AND(Milestones!$AB$161="FT",Milestones!$AA$161=FT_Y5,EDATE($D75,Milestones!$AA$161)&lt;PolicyEff),1,Milestones!$AC$161)&amp;";  ","")&amp;IF(AND(EDATE($D75,Milestones!$AA$162)&lt;=AsOfDate,EDATE($D75,Milestones!$AA$162)&gt;=SchemeStart,IF($X75=0,$AD75,IF(AND($Z75&lt;&gt;"",EDATE($D75,Milestones!$AA$162)&gt;=$Z75),$AC75,IF(AND($Y75&lt;&gt;"",EDATE($D75,Milestones!$AA$162)&gt;=$Y75),$AB75,$AA75)))=Milestones!$AB$162),UPPER(TEXT(EDATE($D75,Milestones!$AA$162),"dd mmm yy"))&amp;" "&amp;Milestones!$AB$162&amp;" "&amp;IF(AND(Milestones!$AB$162="FT",Milestones!$AA$162=FT_Y5,EDATE($D75,Milestones!$AA$162)&lt;PolicyEff),1,Milestones!$AC$162)&amp;";  ","")&amp;IF(AND(EDATE($D75,Milestones!$AA$163)&lt;=AsOfDate,EDATE($D75,Milestones!$AA$163)&gt;=SchemeStart,IF($X75=0,$AD75,IF(AND($Z75&lt;&gt;"",EDATE($D75,Milestones!$AA$163)&gt;=$Z75),$AC75,IF(AND($Y75&lt;&gt;"",EDATE($D75,Milestones!$AA$163)&gt;=$Y75),$AB75,$AA75)))=Milestones!$AB$163),UPPER(TEXT(EDATE($D75,Milestones!$AA$163),"dd mmm yy"))&amp;" "&amp;Milestones!$AB$163&amp;" "&amp;IF(AND(Milestones!$AB$163="FT",Milestones!$AA$163=FT_Y5,EDATE($D75,Milestones!$AA$163)&lt;PolicyEff),1,Milestones!$AC$163)&amp;";  ",""))</f>
        <v/>
      </c>
      <c r="U75" s="0" t="str">
        <f aca="false">IF(OR($A75="",$D75=""),"",IF(AND(EDATE($D75,Milestones!$AA$164)&lt;=AsOfDate,EDATE($D75,Milestones!$AA$164)&gt;=SchemeStart,IF($X75=0,$AD75,IF(AND($Z75&lt;&gt;"",EDATE($D75,Milestones!$AA$164)&gt;=$Z75),$AC75,IF(AND($Y75&lt;&gt;"",EDATE($D75,Milestones!$AA$164)&gt;=$Y75),$AB75,$AA75)))=Milestones!$AB$164),UPPER(TEXT(EDATE($D75,Milestones!$AA$164),"dd mmm yy"))&amp;" "&amp;Milestones!$AB$164&amp;" "&amp;IF(AND(Milestones!$AB$164="FT",Milestones!$AA$164=FT_Y5,EDATE($D75,Milestones!$AA$164)&lt;PolicyEff),1,Milestones!$AC$164)&amp;";  ","")&amp;IF(AND(EDATE($D75,Milestones!$AA$165)&lt;=AsOfDate,EDATE($D75,Milestones!$AA$165)&gt;=SchemeStart,IF($X75=0,$AD75,IF(AND($Z75&lt;&gt;"",EDATE($D75,Milestones!$AA$165)&gt;=$Z75),$AC75,IF(AND($Y75&lt;&gt;"",EDATE($D75,Milestones!$AA$165)&gt;=$Y75),$AB75,$AA75)))=Milestones!$AB$165),UPPER(TEXT(EDATE($D75,Milestones!$AA$165),"dd mmm yy"))&amp;" "&amp;Milestones!$AB$165&amp;" "&amp;IF(AND(Milestones!$AB$165="FT",Milestones!$AA$165=FT_Y5,EDATE($D75,Milestones!$AA$165)&lt;PolicyEff),1,Milestones!$AC$165)&amp;";  ","")&amp;IF(AND(EDATE($D75,Milestones!$AA$166)&lt;=AsOfDate,EDATE($D75,Milestones!$AA$166)&gt;=SchemeStart,IF($X75=0,$AD75,IF(AND($Z75&lt;&gt;"",EDATE($D75,Milestones!$AA$166)&gt;=$Z75),$AC75,IF(AND($Y75&lt;&gt;"",EDATE($D75,Milestones!$AA$166)&gt;=$Y75),$AB75,$AA75)))=Milestones!$AB$166),UPPER(TEXT(EDATE($D75,Milestones!$AA$166),"dd mmm yy"))&amp;" "&amp;Milestones!$AB$166&amp;" "&amp;IF(AND(Milestones!$AB$166="FT",Milestones!$AA$166=FT_Y5,EDATE($D75,Milestones!$AA$166)&lt;PolicyEff),1,Milestones!$AC$166)&amp;";  ","")&amp;IF(AND(EDATE($D75,Milestones!$AA$167)&lt;=AsOfDate,EDATE($D75,Milestones!$AA$167)&gt;=SchemeStart,IF($X75=0,$AD75,IF(AND($Z75&lt;&gt;"",EDATE($D75,Milestones!$AA$167)&gt;=$Z75),$AC75,IF(AND($Y75&lt;&gt;"",EDATE($D75,Milestones!$AA$167)&gt;=$Y75),$AB75,$AA75)))=Milestones!$AB$167),UPPER(TEXT(EDATE($D75,Milestones!$AA$167),"dd mmm yy"))&amp;" "&amp;Milestones!$AB$167&amp;" "&amp;IF(AND(Milestones!$AB$167="FT",Milestones!$AA$167=FT_Y5,EDATE($D75,Milestones!$AA$167)&lt;PolicyEff),1,Milestones!$AC$167)&amp;";  ","")&amp;IF(AND(EDATE($D75,Milestones!$AA$168)&lt;=AsOfDate,EDATE($D75,Milestones!$AA$168)&gt;=SchemeStart,IF($X75=0,$AD75,IF(AND($Z75&lt;&gt;"",EDATE($D75,Milestones!$AA$168)&gt;=$Z75),$AC75,IF(AND($Y75&lt;&gt;"",EDATE($D75,Milestones!$AA$168)&gt;=$Y75),$AB75,$AA75)))=Milestones!$AB$168),UPPER(TEXT(EDATE($D75,Milestones!$AA$168),"dd mmm yy"))&amp;" "&amp;Milestones!$AB$168&amp;" "&amp;IF(AND(Milestones!$AB$168="FT",Milestones!$AA$168=FT_Y5,EDATE($D75,Milestones!$AA$168)&lt;PolicyEff),1,Milestones!$AC$168)&amp;";  ","")&amp;IF(AND(EDATE($D75,Milestones!$AA$169)&lt;=AsOfDate,EDATE($D75,Milestones!$AA$169)&gt;=SchemeStart,IF($X75=0,$AD75,IF(AND($Z75&lt;&gt;"",EDATE($D75,Milestones!$AA$169)&gt;=$Z75),$AC75,IF(AND($Y75&lt;&gt;"",EDATE($D75,Milestones!$AA$169)&gt;=$Y75),$AB75,$AA75)))=Milestones!$AB$169),UPPER(TEXT(EDATE($D75,Milestones!$AA$169),"dd mmm yy"))&amp;" "&amp;Milestones!$AB$169&amp;" "&amp;IF(AND(Milestones!$AB$169="FT",Milestones!$AA$169=FT_Y5,EDATE($D75,Milestones!$AA$169)&lt;PolicyEff),1,Milestones!$AC$169)&amp;";  ","")&amp;IF(AND(EDATE($D75,Milestones!$AA$170)&lt;=AsOfDate,EDATE($D75,Milestones!$AA$170)&gt;=SchemeStart,IF($X75=0,$AD75,IF(AND($Z75&lt;&gt;"",EDATE($D75,Milestones!$AA$170)&gt;=$Z75),$AC75,IF(AND($Y75&lt;&gt;"",EDATE($D75,Milestones!$AA$170)&gt;=$Y75),$AB75,$AA75)))=Milestones!$AB$170),UPPER(TEXT(EDATE($D75,Milestones!$AA$170),"dd mmm yy"))&amp;" "&amp;Milestones!$AB$170&amp;" "&amp;IF(AND(Milestones!$AB$170="FT",Milestones!$AA$170=FT_Y5,EDATE($D75,Milestones!$AA$170)&lt;PolicyEff),1,Milestones!$AC$170)&amp;";  ","")&amp;IF(AND(EDATE($D75,Milestones!$AA$171)&lt;=AsOfDate,EDATE($D75,Milestones!$AA$171)&gt;=SchemeStart,IF($X75=0,$AD75,IF(AND($Z75&lt;&gt;"",EDATE($D75,Milestones!$AA$171)&gt;=$Z75),$AC75,IF(AND($Y75&lt;&gt;"",EDATE($D75,Milestones!$AA$171)&gt;=$Y75),$AB75,$AA75)))=Milestones!$AB$171),UPPER(TEXT(EDATE($D75,Milestones!$AA$171),"dd mmm yy"))&amp;" "&amp;Milestones!$AB$171&amp;" "&amp;IF(AND(Milestones!$AB$171="FT",Milestones!$AA$171=FT_Y5,EDATE($D75,Milestones!$AA$171)&lt;PolicyEff),1,Milestones!$AC$171)&amp;";  ","")&amp;IF(AND(EDATE($D75,Milestones!$AA$172)&lt;=AsOfDate,EDATE($D75,Milestones!$AA$172)&gt;=SchemeStart,IF($X75=0,$AD75,IF(AND($Z75&lt;&gt;"",EDATE($D75,Milestones!$AA$172)&gt;=$Z75),$AC75,IF(AND($Y75&lt;&gt;"",EDATE($D75,Milestones!$AA$172)&gt;=$Y75),$AB75,$AA75)))=Milestones!$AB$172),UPPER(TEXT(EDATE($D75,Milestones!$AA$172),"dd mmm yy"))&amp;" "&amp;Milestones!$AB$172&amp;" "&amp;IF(AND(Milestones!$AB$172="FT",Milestones!$AA$172=FT_Y5,EDATE($D75,Milestones!$AA$172)&lt;PolicyEff),1,Milestones!$AC$172)&amp;";  ","")&amp;IF(AND(EDATE($D75,Milestones!$AA$173)&lt;=AsOfDate,EDATE($D75,Milestones!$AA$173)&gt;=SchemeStart,IF($X75=0,$AD75,IF(AND($Z75&lt;&gt;"",EDATE($D75,Milestones!$AA$173)&gt;=$Z75),$AC75,IF(AND($Y75&lt;&gt;"",EDATE($D75,Milestones!$AA$173)&gt;=$Y75),$AB75,$AA75)))=Milestones!$AB$173),UPPER(TEXT(EDATE($D75,Milestones!$AA$173),"dd mmm yy"))&amp;" "&amp;Milestones!$AB$173&amp;" "&amp;IF(AND(Milestones!$AB$173="FT",Milestones!$AA$173=FT_Y5,EDATE($D75,Milestones!$AA$173)&lt;PolicyEff),1,Milestones!$AC$173)&amp;";  ","")&amp;IF(AND(EDATE($D75,Milestones!$AA$174)&lt;=AsOfDate,EDATE($D75,Milestones!$AA$174)&gt;=SchemeStart,IF($X75=0,$AD75,IF(AND($Z75&lt;&gt;"",EDATE($D75,Milestones!$AA$174)&gt;=$Z75),$AC75,IF(AND($Y75&lt;&gt;"",EDATE($D75,Milestones!$AA$174)&gt;=$Y75),$AB75,$AA75)))=Milestones!$AB$174),UPPER(TEXT(EDATE($D75,Milestones!$AA$174),"dd mmm yy"))&amp;" "&amp;Milestones!$AB$174&amp;" "&amp;IF(AND(Milestones!$AB$174="FT",Milestones!$AA$174=FT_Y5,EDATE($D75,Milestones!$AA$174)&lt;PolicyEff),1,Milestones!$AC$174)&amp;";  ","")&amp;IF(AND(EDATE($D75,Milestones!$AA$175)&lt;=AsOfDate,EDATE($D75,Milestones!$AA$175)&gt;=SchemeStart,IF($X75=0,$AD75,IF(AND($Z75&lt;&gt;"",EDATE($D75,Milestones!$AA$175)&gt;=$Z75),$AC75,IF(AND($Y75&lt;&gt;"",EDATE($D75,Milestones!$AA$175)&gt;=$Y75),$AB75,$AA75)))=Milestones!$AB$175),UPPER(TEXT(EDATE($D75,Milestones!$AA$175),"dd mmm yy"))&amp;" "&amp;Milestones!$AB$175&amp;" "&amp;IF(AND(Milestones!$AB$175="FT",Milestones!$AA$175=FT_Y5,EDATE($D75,Milestones!$AA$175)&lt;PolicyEff),1,Milestones!$AC$175)&amp;";  ",""))</f>
        <v/>
      </c>
      <c r="V75" s="0" t="str">
        <f aca="false">IF(OR($A75="",$D75=""),"",IF(AND(EDATE($D75,Milestones!$AA$176)&lt;=AsOfDate,EDATE($D75,Milestones!$AA$176)&gt;=SchemeStart,IF($X75=0,$AD75,IF(AND($Z75&lt;&gt;"",EDATE($D75,Milestones!$AA$176)&gt;=$Z75),$AC75,IF(AND($Y75&lt;&gt;"",EDATE($D75,Milestones!$AA$176)&gt;=$Y75),$AB75,$AA75)))=Milestones!$AB$176),UPPER(TEXT(EDATE($D75,Milestones!$AA$176),"dd mmm yy"))&amp;" "&amp;Milestones!$AB$176&amp;" "&amp;IF(AND(Milestones!$AB$176="FT",Milestones!$AA$176=FT_Y5,EDATE($D75,Milestones!$AA$176)&lt;PolicyEff),1,Milestones!$AC$176)&amp;";  ","")&amp;IF(AND(EDATE($D75,Milestones!$AA$177)&lt;=AsOfDate,EDATE($D75,Milestones!$AA$177)&gt;=SchemeStart,IF($X75=0,$AD75,IF(AND($Z75&lt;&gt;"",EDATE($D75,Milestones!$AA$177)&gt;=$Z75),$AC75,IF(AND($Y75&lt;&gt;"",EDATE($D75,Milestones!$AA$177)&gt;=$Y75),$AB75,$AA75)))=Milestones!$AB$177),UPPER(TEXT(EDATE($D75,Milestones!$AA$177),"dd mmm yy"))&amp;" "&amp;Milestones!$AB$177&amp;" "&amp;IF(AND(Milestones!$AB$177="FT",Milestones!$AA$177=FT_Y5,EDATE($D75,Milestones!$AA$177)&lt;PolicyEff),1,Milestones!$AC$177)&amp;";  ","")&amp;IF(AND(EDATE($D75,Milestones!$AA$178)&lt;=AsOfDate,EDATE($D75,Milestones!$AA$178)&gt;=SchemeStart,IF($X75=0,$AD75,IF(AND($Z75&lt;&gt;"",EDATE($D75,Milestones!$AA$178)&gt;=$Z75),$AC75,IF(AND($Y75&lt;&gt;"",EDATE($D75,Milestones!$AA$178)&gt;=$Y75),$AB75,$AA75)))=Milestones!$AB$178),UPPER(TEXT(EDATE($D75,Milestones!$AA$178),"dd mmm yy"))&amp;" "&amp;Milestones!$AB$178&amp;" "&amp;IF(AND(Milestones!$AB$178="FT",Milestones!$AA$178=FT_Y5,EDATE($D75,Milestones!$AA$178)&lt;PolicyEff),1,Milestones!$AC$178)&amp;";  ","")&amp;IF(AND(EDATE($D75,Milestones!$AA$179)&lt;=AsOfDate,EDATE($D75,Milestones!$AA$179)&gt;=SchemeStart,IF($X75=0,$AD75,IF(AND($Z75&lt;&gt;"",EDATE($D75,Milestones!$AA$179)&gt;=$Z75),$AC75,IF(AND($Y75&lt;&gt;"",EDATE($D75,Milestones!$AA$179)&gt;=$Y75),$AB75,$AA75)))=Milestones!$AB$179),UPPER(TEXT(EDATE($D75,Milestones!$AA$179),"dd mmm yy"))&amp;" "&amp;Milestones!$AB$179&amp;" "&amp;IF(AND(Milestones!$AB$179="FT",Milestones!$AA$179=FT_Y5,EDATE($D75,Milestones!$AA$179)&lt;PolicyEff),1,Milestones!$AC$179)&amp;";  ","")&amp;IF(AND(EDATE($D75,Milestones!$AA$180)&lt;=AsOfDate,EDATE($D75,Milestones!$AA$180)&gt;=SchemeStart,IF($X75=0,$AD75,IF(AND($Z75&lt;&gt;"",EDATE($D75,Milestones!$AA$180)&gt;=$Z75),$AC75,IF(AND($Y75&lt;&gt;"",EDATE($D75,Milestones!$AA$180)&gt;=$Y75),$AB75,$AA75)))=Milestones!$AB$180),UPPER(TEXT(EDATE($D75,Milestones!$AA$180),"dd mmm yy"))&amp;" "&amp;Milestones!$AB$180&amp;" "&amp;IF(AND(Milestones!$AB$180="FT",Milestones!$AA$180=FT_Y5,EDATE($D75,Milestones!$AA$180)&lt;PolicyEff),1,Milestones!$AC$180)&amp;";  ","")&amp;IF(AND(EDATE($D75,Milestones!$AA$181)&lt;=AsOfDate,EDATE($D75,Milestones!$AA$181)&gt;=SchemeStart,IF($X75=0,$AD75,IF(AND($Z75&lt;&gt;"",EDATE($D75,Milestones!$AA$181)&gt;=$Z75),$AC75,IF(AND($Y75&lt;&gt;"",EDATE($D75,Milestones!$AA$181)&gt;=$Y75),$AB75,$AA75)))=Milestones!$AB$181),UPPER(TEXT(EDATE($D75,Milestones!$AA$181),"dd mmm yy"))&amp;" "&amp;Milestones!$AB$181&amp;" "&amp;IF(AND(Milestones!$AB$181="FT",Milestones!$AA$181=FT_Y5,EDATE($D75,Milestones!$AA$181)&lt;PolicyEff),1,Milestones!$AC$181)&amp;";  ","")&amp;IF(AND(EDATE($D75,Milestones!$AA$182)&lt;=AsOfDate,EDATE($D75,Milestones!$AA$182)&gt;=SchemeStart,IF($X75=0,$AD75,IF(AND($Z75&lt;&gt;"",EDATE($D75,Milestones!$AA$182)&gt;=$Z75),$AC75,IF(AND($Y75&lt;&gt;"",EDATE($D75,Milestones!$AA$182)&gt;=$Y75),$AB75,$AA75)))=Milestones!$AB$182),UPPER(TEXT(EDATE($D75,Milestones!$AA$182),"dd mmm yy"))&amp;" "&amp;Milestones!$AB$182&amp;" "&amp;IF(AND(Milestones!$AB$182="FT",Milestones!$AA$182=FT_Y5,EDATE($D75,Milestones!$AA$182)&lt;PolicyEff),1,Milestones!$AC$182)&amp;";  ","")&amp;IF(AND(EDATE($D75,Milestones!$AA$183)&lt;=AsOfDate,EDATE($D75,Milestones!$AA$183)&gt;=SchemeStart,IF($X75=0,$AD75,IF(AND($Z75&lt;&gt;"",EDATE($D75,Milestones!$AA$183)&gt;=$Z75),$AC75,IF(AND($Y75&lt;&gt;"",EDATE($D75,Milestones!$AA$183)&gt;=$Y75),$AB75,$AA75)))=Milestones!$AB$183),UPPER(TEXT(EDATE($D75,Milestones!$AA$183),"dd mmm yy"))&amp;" "&amp;Milestones!$AB$183&amp;" "&amp;IF(AND(Milestones!$AB$183="FT",Milestones!$AA$183=FT_Y5,EDATE($D75,Milestones!$AA$183)&lt;PolicyEff),1,Milestones!$AC$183)&amp;";  ","")&amp;IF(AND(EDATE($D75,Milestones!$AA$184)&lt;=AsOfDate,EDATE($D75,Milestones!$AA$184)&gt;=SchemeStart,IF($X75=0,$AD75,IF(AND($Z75&lt;&gt;"",EDATE($D75,Milestones!$AA$184)&gt;=$Z75),$AC75,IF(AND($Y75&lt;&gt;"",EDATE($D75,Milestones!$AA$184)&gt;=$Y75),$AB75,$AA75)))=Milestones!$AB$184),UPPER(TEXT(EDATE($D75,Milestones!$AA$184),"dd mmm yy"))&amp;" "&amp;Milestones!$AB$184&amp;" "&amp;IF(AND(Milestones!$AB$184="FT",Milestones!$AA$184=FT_Y5,EDATE($D75,Milestones!$AA$184)&lt;PolicyEff),1,Milestones!$AC$184)&amp;";  ","")&amp;IF(AND(EDATE($D75,Milestones!$AA$185)&lt;=AsOfDate,EDATE($D75,Milestones!$AA$185)&gt;=SchemeStart,IF($X75=0,$AD75,IF(AND($Z75&lt;&gt;"",EDATE($D75,Milestones!$AA$185)&gt;=$Z75),$AC75,IF(AND($Y75&lt;&gt;"",EDATE($D75,Milestones!$AA$185)&gt;=$Y75),$AB75,$AA75)))=Milestones!$AB$185),UPPER(TEXT(EDATE($D75,Milestones!$AA$185),"dd mmm yy"))&amp;" "&amp;Milestones!$AB$185&amp;" "&amp;IF(AND(Milestones!$AB$185="FT",Milestones!$AA$185=FT_Y5,EDATE($D75,Milestones!$AA$185)&lt;PolicyEff),1,Milestones!$AC$185)&amp;";  ","")&amp;IF(AND(EDATE($D75,Milestones!$AA$186)&lt;=AsOfDate,EDATE($D75,Milestones!$AA$186)&gt;=SchemeStart,IF($X75=0,$AD75,IF(AND($Z75&lt;&gt;"",EDATE($D75,Milestones!$AA$186)&gt;=$Z75),$AC75,IF(AND($Y75&lt;&gt;"",EDATE($D75,Milestones!$AA$186)&gt;=$Y75),$AB75,$AA75)))=Milestones!$AB$186),UPPER(TEXT(EDATE($D75,Milestones!$AA$186),"dd mmm yy"))&amp;" "&amp;Milestones!$AB$186&amp;" "&amp;IF(AND(Milestones!$AB$186="FT",Milestones!$AA$186=FT_Y5,EDATE($D75,Milestones!$AA$186)&lt;PolicyEff),1,Milestones!$AC$186)&amp;";  ","")&amp;IF(AND(EDATE($D75,Milestones!$AA$187)&lt;=AsOfDate,EDATE($D75,Milestones!$AA$187)&gt;=SchemeStart,IF($X75=0,$AD75,IF(AND($Z75&lt;&gt;"",EDATE($D75,Milestones!$AA$187)&gt;=$Z75),$AC75,IF(AND($Y75&lt;&gt;"",EDATE($D75,Milestones!$AA$187)&gt;=$Y75),$AB75,$AA75)))=Milestones!$AB$187),UPPER(TEXT(EDATE($D75,Milestones!$AA$187),"dd mmm yy"))&amp;" "&amp;Milestones!$AB$187&amp;" "&amp;IF(AND(Milestones!$AB$187="FT",Milestones!$AA$187=FT_Y5,EDATE($D75,Milestones!$AA$187)&lt;PolicyEff),1,Milestones!$AC$187)&amp;";  ",""))</f>
        <v/>
      </c>
      <c r="W75" s="0" t="str">
        <f aca="false">IF(OR($A75="",$D75=""),"",IF(AND(EDATE($D75,Milestones!$AA$188)&lt;=AsOfDate,EDATE($D75,Milestones!$AA$188)&gt;=SchemeStart,IF($X75=0,$AD75,IF(AND($Z75&lt;&gt;"",EDATE($D75,Milestones!$AA$188)&gt;=$Z75),$AC75,IF(AND($Y75&lt;&gt;"",EDATE($D75,Milestones!$AA$188)&gt;=$Y75),$AB75,$AA75)))=Milestones!$AB$188),UPPER(TEXT(EDATE($D75,Milestones!$AA$188),"dd mmm yy"))&amp;" "&amp;Milestones!$AB$188&amp;" "&amp;IF(AND(Milestones!$AB$188="FT",Milestones!$AA$188=FT_Y5,EDATE($D75,Milestones!$AA$188)&lt;PolicyEff),1,Milestones!$AC$188)&amp;";  ","")&amp;IF(AND(EDATE($D75,Milestones!$AA$189)&lt;=AsOfDate,EDATE($D75,Milestones!$AA$189)&gt;=SchemeStart,IF($X75=0,$AD75,IF(AND($Z75&lt;&gt;"",EDATE($D75,Milestones!$AA$189)&gt;=$Z75),$AC75,IF(AND($Y75&lt;&gt;"",EDATE($D75,Milestones!$AA$189)&gt;=$Y75),$AB75,$AA75)))=Milestones!$AB$189),UPPER(TEXT(EDATE($D75,Milestones!$AA$189),"dd mmm yy"))&amp;" "&amp;Milestones!$AB$189&amp;" "&amp;IF(AND(Milestones!$AB$189="FT",Milestones!$AA$189=FT_Y5,EDATE($D75,Milestones!$AA$189)&lt;PolicyEff),1,Milestones!$AC$189)&amp;";  ","")&amp;IF(AND(EDATE($D75,Milestones!$AA$190)&lt;=AsOfDate,EDATE($D75,Milestones!$AA$190)&gt;=SchemeStart,IF($X75=0,$AD75,IF(AND($Z75&lt;&gt;"",EDATE($D75,Milestones!$AA$190)&gt;=$Z75),$AC75,IF(AND($Y75&lt;&gt;"",EDATE($D75,Milestones!$AA$190)&gt;=$Y75),$AB75,$AA75)))=Milestones!$AB$190),UPPER(TEXT(EDATE($D75,Milestones!$AA$190),"dd mmm yy"))&amp;" "&amp;Milestones!$AB$190&amp;" "&amp;IF(AND(Milestones!$AB$190="FT",Milestones!$AA$190=FT_Y5,EDATE($D75,Milestones!$AA$190)&lt;PolicyEff),1,Milestones!$AC$190)&amp;";  ","")&amp;IF(AND(EDATE($D75,Milestones!$AA$191)&lt;=AsOfDate,EDATE($D75,Milestones!$AA$191)&gt;=SchemeStart,IF($X75=0,$AD75,IF(AND($Z75&lt;&gt;"",EDATE($D75,Milestones!$AA$191)&gt;=$Z75),$AC75,IF(AND($Y75&lt;&gt;"",EDATE($D75,Milestones!$AA$191)&gt;=$Y75),$AB75,$AA75)))=Milestones!$AB$191),UPPER(TEXT(EDATE($D75,Milestones!$AA$191),"dd mmm yy"))&amp;" "&amp;Milestones!$AB$191&amp;" "&amp;IF(AND(Milestones!$AB$191="FT",Milestones!$AA$191=FT_Y5,EDATE($D75,Milestones!$AA$191)&lt;PolicyEff),1,Milestones!$AC$191)&amp;";  ","")&amp;IF(AND(EDATE($D75,Milestones!$AA$192)&lt;=AsOfDate,EDATE($D75,Milestones!$AA$192)&gt;=SchemeStart,IF($X75=0,$AD75,IF(AND($Z75&lt;&gt;"",EDATE($D75,Milestones!$AA$192)&gt;=$Z75),$AC75,IF(AND($Y75&lt;&gt;"",EDATE($D75,Milestones!$AA$192)&gt;=$Y75),$AB75,$AA75)))=Milestones!$AB$192),UPPER(TEXT(EDATE($D75,Milestones!$AA$192),"dd mmm yy"))&amp;" "&amp;Milestones!$AB$192&amp;" "&amp;IF(AND(Milestones!$AB$192="FT",Milestones!$AA$192=FT_Y5,EDATE($D75,Milestones!$AA$192)&lt;PolicyEff),1,Milestones!$AC$192)&amp;";  ","")&amp;IF(AND(EDATE($D75,Milestones!$AA$193)&lt;=AsOfDate,EDATE($D75,Milestones!$AA$193)&gt;=SchemeStart,IF($X75=0,$AD75,IF(AND($Z75&lt;&gt;"",EDATE($D75,Milestones!$AA$193)&gt;=$Z75),$AC75,IF(AND($Y75&lt;&gt;"",EDATE($D75,Milestones!$AA$193)&gt;=$Y75),$AB75,$AA75)))=Milestones!$AB$193),UPPER(TEXT(EDATE($D75,Milestones!$AA$193),"dd mmm yy"))&amp;" "&amp;Milestones!$AB$193&amp;" "&amp;IF(AND(Milestones!$AB$193="FT",Milestones!$AA$193=FT_Y5,EDATE($D75,Milestones!$AA$193)&lt;PolicyEff),1,Milestones!$AC$193)&amp;";  ","")&amp;IF(AND(EDATE($D75,Milestones!$AA$194)&lt;=AsOfDate,EDATE($D75,Milestones!$AA$194)&gt;=SchemeStart,IF($X75=0,$AD75,IF(AND($Z75&lt;&gt;"",EDATE($D75,Milestones!$AA$194)&gt;=$Z75),$AC75,IF(AND($Y75&lt;&gt;"",EDATE($D75,Milestones!$AA$194)&gt;=$Y75),$AB75,$AA75)))=Milestones!$AB$194),UPPER(TEXT(EDATE($D75,Milestones!$AA$194),"dd mmm yy"))&amp;" "&amp;Milestones!$AB$194&amp;" "&amp;IF(AND(Milestones!$AB$194="FT",Milestones!$AA$194=FT_Y5,EDATE($D75,Milestones!$AA$194)&lt;PolicyEff),1,Milestones!$AC$194)&amp;";  ","")&amp;IF(AND(EDATE($D75,Milestones!$AA$195)&lt;=AsOfDate,EDATE($D75,Milestones!$AA$195)&gt;=SchemeStart,IF($X75=0,$AD75,IF(AND($Z75&lt;&gt;"",EDATE($D75,Milestones!$AA$195)&gt;=$Z75),$AC75,IF(AND($Y75&lt;&gt;"",EDATE($D75,Milestones!$AA$195)&gt;=$Y75),$AB75,$AA75)))=Milestones!$AB$195),UPPER(TEXT(EDATE($D75,Milestones!$AA$195),"dd mmm yy"))&amp;" "&amp;Milestones!$AB$195&amp;" "&amp;IF(AND(Milestones!$AB$195="FT",Milestones!$AA$195=FT_Y5,EDATE($D75,Milestones!$AA$195)&lt;PolicyEff),1,Milestones!$AC$195)&amp;";  ","")&amp;IF(AND(EDATE($D75,Milestones!$AA$196)&lt;=AsOfDate,EDATE($D75,Milestones!$AA$196)&gt;=SchemeStart,IF($X75=0,$AD75,IF(AND($Z75&lt;&gt;"",EDATE($D75,Milestones!$AA$196)&gt;=$Z75),$AC75,IF(AND($Y75&lt;&gt;"",EDATE($D75,Milestones!$AA$196)&gt;=$Y75),$AB75,$AA75)))=Milestones!$AB$196),UPPER(TEXT(EDATE($D75,Milestones!$AA$196),"dd mmm yy"))&amp;" "&amp;Milestones!$AB$196&amp;" "&amp;IF(AND(Milestones!$AB$196="FT",Milestones!$AA$196=FT_Y5,EDATE($D75,Milestones!$AA$196)&lt;PolicyEff),1,Milestones!$AC$196)&amp;";  ","")&amp;IF(AND(EDATE($D75,Milestones!$AA$197)&lt;=AsOfDate,EDATE($D75,Milestones!$AA$197)&gt;=SchemeStart,IF($X75=0,$AD75,IF(AND($Z75&lt;&gt;"",EDATE($D75,Milestones!$AA$197)&gt;=$Z75),$AC75,IF(AND($Y75&lt;&gt;"",EDATE($D75,Milestones!$AA$197)&gt;=$Y75),$AB75,$AA75)))=Milestones!$AB$197),UPPER(TEXT(EDATE($D75,Milestones!$AA$197),"dd mmm yy"))&amp;" "&amp;Milestones!$AB$197&amp;" "&amp;IF(AND(Milestones!$AB$197="FT",Milestones!$AA$197=FT_Y5,EDATE($D75,Milestones!$AA$197)&lt;PolicyEff),1,Milestones!$AC$197)&amp;";  ","")&amp;IF(AND(EDATE($D75,Milestones!$AA$198)&lt;=AsOfDate,EDATE($D75,Milestones!$AA$198)&gt;=SchemeStart,IF($X75=0,$AD75,IF(AND($Z75&lt;&gt;"",EDATE($D75,Milestones!$AA$198)&gt;=$Z75),$AC75,IF(AND($Y75&lt;&gt;"",EDATE($D75,Milestones!$AA$198)&gt;=$Y75),$AB75,$AA75)))=Milestones!$AB$198),UPPER(TEXT(EDATE($D75,Milestones!$AA$198),"dd mmm yy"))&amp;" "&amp;Milestones!$AB$198&amp;" "&amp;IF(AND(Milestones!$AB$198="FT",Milestones!$AA$198=FT_Y5,EDATE($D75,Milestones!$AA$198)&lt;PolicyEff),1,Milestones!$AC$198)&amp;";  ","")&amp;IF(AND(EDATE($D75,Milestones!$AA$199)&lt;=AsOfDate,EDATE($D75,Milestones!$AA$199)&gt;=SchemeStart,IF($X75=0,$AD75,IF(AND($Z75&lt;&gt;"",EDATE($D75,Milestones!$AA$199)&gt;=$Z75),$AC75,IF(AND($Y75&lt;&gt;"",EDATE($D75,Milestones!$AA$199)&gt;=$Y75),$AB75,$AA75)))=Milestones!$AB$199),UPPER(TEXT(EDATE($D75,Milestones!$AA$199),"dd mmm yy"))&amp;" "&amp;Milestones!$AB$199&amp;" "&amp;IF(AND(Milestones!$AB$199="FT",Milestones!$AA$199=FT_Y5,EDATE($D75,Milestones!$AA$199)&lt;PolicyEff),1,Milestones!$AC$199)&amp;";  ",""))</f>
        <v/>
      </c>
      <c r="X75" s="0" t="str">
        <f aca="false">IF(Staff!$A75="","",Staff!$AM75)</f>
        <v/>
      </c>
      <c r="Y75" s="0" t="str">
        <f aca="false">IF(Staff!$A75="","",Staff!$AO75)</f>
        <v/>
      </c>
      <c r="Z75" s="0" t="str">
        <f aca="false">IF(Staff!$A75="","",Staff!$AP75)</f>
        <v/>
      </c>
      <c r="AA75" s="0" t="str">
        <f aca="false">IF(Staff!$A75="","",Staff!$AT75)</f>
        <v/>
      </c>
      <c r="AB75" s="0" t="str">
        <f aca="false">IF(Staff!$A75="","",Staff!$AU75)</f>
        <v/>
      </c>
      <c r="AC75" s="0" t="str">
        <f aca="false">IF(Staff!$A75="","",Staff!$AV75)</f>
        <v/>
      </c>
      <c r="AD75" s="0" t="str">
        <f aca="false">IF(Staff!$A75="","",Staff!$AW75)</f>
        <v/>
      </c>
    </row>
    <row r="76" customFormat="false" ht="15" hidden="false" customHeight="false" outlineLevel="0" collapsed="false">
      <c r="A76" s="16" t="str">
        <f aca="false">IF(Staff!$A76="","",Staff!$A76)</f>
        <v/>
      </c>
      <c r="B76" s="16" t="str">
        <f aca="false">IF(Staff!$A76="","",Staff!$B76)</f>
        <v/>
      </c>
      <c r="C76" s="16" t="str">
        <f aca="false">IF(Staff!$A76="","",Staff!$C76)</f>
        <v/>
      </c>
      <c r="D76" s="14" t="str">
        <f aca="false">IF(Staff!$A76="","",Staff!$AL76)</f>
        <v/>
      </c>
      <c r="E76" s="16" t="str">
        <f aca="false">IF(Staff!$A76="","",Staff!$O76)</f>
        <v/>
      </c>
      <c r="F76" s="16" t="str">
        <f aca="false">IF(E76="","",E76*HoursPerDay)</f>
        <v/>
      </c>
      <c r="G76" s="16" t="str">
        <f aca="false">IF(Staff!$A76="","",Staff!$AE76)</f>
        <v/>
      </c>
      <c r="H76" s="28" t="str">
        <f aca="false">IF($A76="","",I76&amp;J76&amp;K76&amp;L76&amp;M76&amp;N76&amp;O76&amp;P76&amp;Q76&amp;R76&amp;S76&amp;T76&amp;U76&amp;V76&amp;W76)</f>
        <v/>
      </c>
      <c r="I76" s="0" t="str">
        <f aca="false">IF(OR($A76="",$D76=""),"",IF(AND(EDATE($D76,Milestones!$AA$20)&lt;=AsOfDate,EDATE($D76,Milestones!$AA$20)&gt;=SchemeStart,IF($X76=0,$AD76,IF(AND($Z76&lt;&gt;"",EDATE($D76,Milestones!$AA$20)&gt;=$Z76),$AC76,IF(AND($Y76&lt;&gt;"",EDATE($D76,Milestones!$AA$20)&gt;=$Y76),$AB76,$AA76)))=Milestones!$AB$20),UPPER(TEXT(EDATE($D76,Milestones!$AA$20),"dd mmm yy"))&amp;" "&amp;Milestones!$AB$20&amp;" "&amp;IF(AND(Milestones!$AB$20="FT",Milestones!$AA$20=FT_Y5,EDATE($D76,Milestones!$AA$20)&lt;PolicyEff),1,Milestones!$AC$20)&amp;";  ","")&amp;IF(AND(EDATE($D76,Milestones!$AA$21)&lt;=AsOfDate,EDATE($D76,Milestones!$AA$21)&gt;=SchemeStart,IF($X76=0,$AD76,IF(AND($Z76&lt;&gt;"",EDATE($D76,Milestones!$AA$21)&gt;=$Z76),$AC76,IF(AND($Y76&lt;&gt;"",EDATE($D76,Milestones!$AA$21)&gt;=$Y76),$AB76,$AA76)))=Milestones!$AB$21),UPPER(TEXT(EDATE($D76,Milestones!$AA$21),"dd mmm yy"))&amp;" "&amp;Milestones!$AB$21&amp;" "&amp;IF(AND(Milestones!$AB$21="FT",Milestones!$AA$21=FT_Y5,EDATE($D76,Milestones!$AA$21)&lt;PolicyEff),1,Milestones!$AC$21)&amp;";  ","")&amp;IF(AND(EDATE($D76,Milestones!$AA$22)&lt;=AsOfDate,EDATE($D76,Milestones!$AA$22)&gt;=SchemeStart,IF($X76=0,$AD76,IF(AND($Z76&lt;&gt;"",EDATE($D76,Milestones!$AA$22)&gt;=$Z76),$AC76,IF(AND($Y76&lt;&gt;"",EDATE($D76,Milestones!$AA$22)&gt;=$Y76),$AB76,$AA76)))=Milestones!$AB$22),UPPER(TEXT(EDATE($D76,Milestones!$AA$22),"dd mmm yy"))&amp;" "&amp;Milestones!$AB$22&amp;" "&amp;IF(AND(Milestones!$AB$22="FT",Milestones!$AA$22=FT_Y5,EDATE($D76,Milestones!$AA$22)&lt;PolicyEff),1,Milestones!$AC$22)&amp;";  ","")&amp;IF(AND(EDATE($D76,Milestones!$AA$23)&lt;=AsOfDate,EDATE($D76,Milestones!$AA$23)&gt;=SchemeStart,IF($X76=0,$AD76,IF(AND($Z76&lt;&gt;"",EDATE($D76,Milestones!$AA$23)&gt;=$Z76),$AC76,IF(AND($Y76&lt;&gt;"",EDATE($D76,Milestones!$AA$23)&gt;=$Y76),$AB76,$AA76)))=Milestones!$AB$23),UPPER(TEXT(EDATE($D76,Milestones!$AA$23),"dd mmm yy"))&amp;" "&amp;Milestones!$AB$23&amp;" "&amp;IF(AND(Milestones!$AB$23="FT",Milestones!$AA$23=FT_Y5,EDATE($D76,Milestones!$AA$23)&lt;PolicyEff),1,Milestones!$AC$23)&amp;";  ","")&amp;IF(AND(EDATE($D76,Milestones!$AA$24)&lt;=AsOfDate,EDATE($D76,Milestones!$AA$24)&gt;=SchemeStart,IF($X76=0,$AD76,IF(AND($Z76&lt;&gt;"",EDATE($D76,Milestones!$AA$24)&gt;=$Z76),$AC76,IF(AND($Y76&lt;&gt;"",EDATE($D76,Milestones!$AA$24)&gt;=$Y76),$AB76,$AA76)))=Milestones!$AB$24),UPPER(TEXT(EDATE($D76,Milestones!$AA$24),"dd mmm yy"))&amp;" "&amp;Milestones!$AB$24&amp;" "&amp;IF(AND(Milestones!$AB$24="FT",Milestones!$AA$24=FT_Y5,EDATE($D76,Milestones!$AA$24)&lt;PolicyEff),1,Milestones!$AC$24)&amp;";  ","")&amp;IF(AND(EDATE($D76,Milestones!$AA$25)&lt;=AsOfDate,EDATE($D76,Milestones!$AA$25)&gt;=SchemeStart,IF($X76=0,$AD76,IF(AND($Z76&lt;&gt;"",EDATE($D76,Milestones!$AA$25)&gt;=$Z76),$AC76,IF(AND($Y76&lt;&gt;"",EDATE($D76,Milestones!$AA$25)&gt;=$Y76),$AB76,$AA76)))=Milestones!$AB$25),UPPER(TEXT(EDATE($D76,Milestones!$AA$25),"dd mmm yy"))&amp;" "&amp;Milestones!$AB$25&amp;" "&amp;IF(AND(Milestones!$AB$25="FT",Milestones!$AA$25=FT_Y5,EDATE($D76,Milestones!$AA$25)&lt;PolicyEff),1,Milestones!$AC$25)&amp;";  ","")&amp;IF(AND(EDATE($D76,Milestones!$AA$26)&lt;=AsOfDate,EDATE($D76,Milestones!$AA$26)&gt;=SchemeStart,IF($X76=0,$AD76,IF(AND($Z76&lt;&gt;"",EDATE($D76,Milestones!$AA$26)&gt;=$Z76),$AC76,IF(AND($Y76&lt;&gt;"",EDATE($D76,Milestones!$AA$26)&gt;=$Y76),$AB76,$AA76)))=Milestones!$AB$26),UPPER(TEXT(EDATE($D76,Milestones!$AA$26),"dd mmm yy"))&amp;" "&amp;Milestones!$AB$26&amp;" "&amp;IF(AND(Milestones!$AB$26="FT",Milestones!$AA$26=FT_Y5,EDATE($D76,Milestones!$AA$26)&lt;PolicyEff),1,Milestones!$AC$26)&amp;";  ","")&amp;IF(AND(EDATE($D76,Milestones!$AA$27)&lt;=AsOfDate,EDATE($D76,Milestones!$AA$27)&gt;=SchemeStart,IF($X76=0,$AD76,IF(AND($Z76&lt;&gt;"",EDATE($D76,Milestones!$AA$27)&gt;=$Z76),$AC76,IF(AND($Y76&lt;&gt;"",EDATE($D76,Milestones!$AA$27)&gt;=$Y76),$AB76,$AA76)))=Milestones!$AB$27),UPPER(TEXT(EDATE($D76,Milestones!$AA$27),"dd mmm yy"))&amp;" "&amp;Milestones!$AB$27&amp;" "&amp;IF(AND(Milestones!$AB$27="FT",Milestones!$AA$27=FT_Y5,EDATE($D76,Milestones!$AA$27)&lt;PolicyEff),1,Milestones!$AC$27)&amp;";  ","")&amp;IF(AND(EDATE($D76,Milestones!$AA$28)&lt;=AsOfDate,EDATE($D76,Milestones!$AA$28)&gt;=SchemeStart,IF($X76=0,$AD76,IF(AND($Z76&lt;&gt;"",EDATE($D76,Milestones!$AA$28)&gt;=$Z76),$AC76,IF(AND($Y76&lt;&gt;"",EDATE($D76,Milestones!$AA$28)&gt;=$Y76),$AB76,$AA76)))=Milestones!$AB$28),UPPER(TEXT(EDATE($D76,Milestones!$AA$28),"dd mmm yy"))&amp;" "&amp;Milestones!$AB$28&amp;" "&amp;IF(AND(Milestones!$AB$28="FT",Milestones!$AA$28=FT_Y5,EDATE($D76,Milestones!$AA$28)&lt;PolicyEff),1,Milestones!$AC$28)&amp;";  ","")&amp;IF(AND(EDATE($D76,Milestones!$AA$29)&lt;=AsOfDate,EDATE($D76,Milestones!$AA$29)&gt;=SchemeStart,IF($X76=0,$AD76,IF(AND($Z76&lt;&gt;"",EDATE($D76,Milestones!$AA$29)&gt;=$Z76),$AC76,IF(AND($Y76&lt;&gt;"",EDATE($D76,Milestones!$AA$29)&gt;=$Y76),$AB76,$AA76)))=Milestones!$AB$29),UPPER(TEXT(EDATE($D76,Milestones!$AA$29),"dd mmm yy"))&amp;" "&amp;Milestones!$AB$29&amp;" "&amp;IF(AND(Milestones!$AB$29="FT",Milestones!$AA$29=FT_Y5,EDATE($D76,Milestones!$AA$29)&lt;PolicyEff),1,Milestones!$AC$29)&amp;";  ","")&amp;IF(AND(EDATE($D76,Milestones!$AA$30)&lt;=AsOfDate,EDATE($D76,Milestones!$AA$30)&gt;=SchemeStart,IF($X76=0,$AD76,IF(AND($Z76&lt;&gt;"",EDATE($D76,Milestones!$AA$30)&gt;=$Z76),$AC76,IF(AND($Y76&lt;&gt;"",EDATE($D76,Milestones!$AA$30)&gt;=$Y76),$AB76,$AA76)))=Milestones!$AB$30),UPPER(TEXT(EDATE($D76,Milestones!$AA$30),"dd mmm yy"))&amp;" "&amp;Milestones!$AB$30&amp;" "&amp;IF(AND(Milestones!$AB$30="FT",Milestones!$AA$30=FT_Y5,EDATE($D76,Milestones!$AA$30)&lt;PolicyEff),1,Milestones!$AC$30)&amp;";  ","")&amp;IF(AND(EDATE($D76,Milestones!$AA$31)&lt;=AsOfDate,EDATE($D76,Milestones!$AA$31)&gt;=SchemeStart,IF($X76=0,$AD76,IF(AND($Z76&lt;&gt;"",EDATE($D76,Milestones!$AA$31)&gt;=$Z76),$AC76,IF(AND($Y76&lt;&gt;"",EDATE($D76,Milestones!$AA$31)&gt;=$Y76),$AB76,$AA76)))=Milestones!$AB$31),UPPER(TEXT(EDATE($D76,Milestones!$AA$31),"dd mmm yy"))&amp;" "&amp;Milestones!$AB$31&amp;" "&amp;IF(AND(Milestones!$AB$31="FT",Milestones!$AA$31=FT_Y5,EDATE($D76,Milestones!$AA$31)&lt;PolicyEff),1,Milestones!$AC$31)&amp;";  ",""))</f>
        <v/>
      </c>
      <c r="J76" s="0" t="str">
        <f aca="false">IF(OR($A76="",$D76=""),"",IF(AND(EDATE($D76,Milestones!$AA$32)&lt;=AsOfDate,EDATE($D76,Milestones!$AA$32)&gt;=SchemeStart,IF($X76=0,$AD76,IF(AND($Z76&lt;&gt;"",EDATE($D76,Milestones!$AA$32)&gt;=$Z76),$AC76,IF(AND($Y76&lt;&gt;"",EDATE($D76,Milestones!$AA$32)&gt;=$Y76),$AB76,$AA76)))=Milestones!$AB$32),UPPER(TEXT(EDATE($D76,Milestones!$AA$32),"dd mmm yy"))&amp;" "&amp;Milestones!$AB$32&amp;" "&amp;IF(AND(Milestones!$AB$32="FT",Milestones!$AA$32=FT_Y5,EDATE($D76,Milestones!$AA$32)&lt;PolicyEff),1,Milestones!$AC$32)&amp;";  ","")&amp;IF(AND(EDATE($D76,Milestones!$AA$33)&lt;=AsOfDate,EDATE($D76,Milestones!$AA$33)&gt;=SchemeStart,IF($X76=0,$AD76,IF(AND($Z76&lt;&gt;"",EDATE($D76,Milestones!$AA$33)&gt;=$Z76),$AC76,IF(AND($Y76&lt;&gt;"",EDATE($D76,Milestones!$AA$33)&gt;=$Y76),$AB76,$AA76)))=Milestones!$AB$33),UPPER(TEXT(EDATE($D76,Milestones!$AA$33),"dd mmm yy"))&amp;" "&amp;Milestones!$AB$33&amp;" "&amp;IF(AND(Milestones!$AB$33="FT",Milestones!$AA$33=FT_Y5,EDATE($D76,Milestones!$AA$33)&lt;PolicyEff),1,Milestones!$AC$33)&amp;";  ","")&amp;IF(AND(EDATE($D76,Milestones!$AA$34)&lt;=AsOfDate,EDATE($D76,Milestones!$AA$34)&gt;=SchemeStart,IF($X76=0,$AD76,IF(AND($Z76&lt;&gt;"",EDATE($D76,Milestones!$AA$34)&gt;=$Z76),$AC76,IF(AND($Y76&lt;&gt;"",EDATE($D76,Milestones!$AA$34)&gt;=$Y76),$AB76,$AA76)))=Milestones!$AB$34),UPPER(TEXT(EDATE($D76,Milestones!$AA$34),"dd mmm yy"))&amp;" "&amp;Milestones!$AB$34&amp;" "&amp;IF(AND(Milestones!$AB$34="FT",Milestones!$AA$34=FT_Y5,EDATE($D76,Milestones!$AA$34)&lt;PolicyEff),1,Milestones!$AC$34)&amp;";  ","")&amp;IF(AND(EDATE($D76,Milestones!$AA$35)&lt;=AsOfDate,EDATE($D76,Milestones!$AA$35)&gt;=SchemeStart,IF($X76=0,$AD76,IF(AND($Z76&lt;&gt;"",EDATE($D76,Milestones!$AA$35)&gt;=$Z76),$AC76,IF(AND($Y76&lt;&gt;"",EDATE($D76,Milestones!$AA$35)&gt;=$Y76),$AB76,$AA76)))=Milestones!$AB$35),UPPER(TEXT(EDATE($D76,Milestones!$AA$35),"dd mmm yy"))&amp;" "&amp;Milestones!$AB$35&amp;" "&amp;IF(AND(Milestones!$AB$35="FT",Milestones!$AA$35=FT_Y5,EDATE($D76,Milestones!$AA$35)&lt;PolicyEff),1,Milestones!$AC$35)&amp;";  ","")&amp;IF(AND(EDATE($D76,Milestones!$AA$36)&lt;=AsOfDate,EDATE($D76,Milestones!$AA$36)&gt;=SchemeStart,IF($X76=0,$AD76,IF(AND($Z76&lt;&gt;"",EDATE($D76,Milestones!$AA$36)&gt;=$Z76),$AC76,IF(AND($Y76&lt;&gt;"",EDATE($D76,Milestones!$AA$36)&gt;=$Y76),$AB76,$AA76)))=Milestones!$AB$36),UPPER(TEXT(EDATE($D76,Milestones!$AA$36),"dd mmm yy"))&amp;" "&amp;Milestones!$AB$36&amp;" "&amp;IF(AND(Milestones!$AB$36="FT",Milestones!$AA$36=FT_Y5,EDATE($D76,Milestones!$AA$36)&lt;PolicyEff),1,Milestones!$AC$36)&amp;";  ","")&amp;IF(AND(EDATE($D76,Milestones!$AA$37)&lt;=AsOfDate,EDATE($D76,Milestones!$AA$37)&gt;=SchemeStart,IF($X76=0,$AD76,IF(AND($Z76&lt;&gt;"",EDATE($D76,Milestones!$AA$37)&gt;=$Z76),$AC76,IF(AND($Y76&lt;&gt;"",EDATE($D76,Milestones!$AA$37)&gt;=$Y76),$AB76,$AA76)))=Milestones!$AB$37),UPPER(TEXT(EDATE($D76,Milestones!$AA$37),"dd mmm yy"))&amp;" "&amp;Milestones!$AB$37&amp;" "&amp;IF(AND(Milestones!$AB$37="FT",Milestones!$AA$37=FT_Y5,EDATE($D76,Milestones!$AA$37)&lt;PolicyEff),1,Milestones!$AC$37)&amp;";  ","")&amp;IF(AND(EDATE($D76,Milestones!$AA$38)&lt;=AsOfDate,EDATE($D76,Milestones!$AA$38)&gt;=SchemeStart,IF($X76=0,$AD76,IF(AND($Z76&lt;&gt;"",EDATE($D76,Milestones!$AA$38)&gt;=$Z76),$AC76,IF(AND($Y76&lt;&gt;"",EDATE($D76,Milestones!$AA$38)&gt;=$Y76),$AB76,$AA76)))=Milestones!$AB$38),UPPER(TEXT(EDATE($D76,Milestones!$AA$38),"dd mmm yy"))&amp;" "&amp;Milestones!$AB$38&amp;" "&amp;IF(AND(Milestones!$AB$38="FT",Milestones!$AA$38=FT_Y5,EDATE($D76,Milestones!$AA$38)&lt;PolicyEff),1,Milestones!$AC$38)&amp;";  ","")&amp;IF(AND(EDATE($D76,Milestones!$AA$39)&lt;=AsOfDate,EDATE($D76,Milestones!$AA$39)&gt;=SchemeStart,IF($X76=0,$AD76,IF(AND($Z76&lt;&gt;"",EDATE($D76,Milestones!$AA$39)&gt;=$Z76),$AC76,IF(AND($Y76&lt;&gt;"",EDATE($D76,Milestones!$AA$39)&gt;=$Y76),$AB76,$AA76)))=Milestones!$AB$39),UPPER(TEXT(EDATE($D76,Milestones!$AA$39),"dd mmm yy"))&amp;" "&amp;Milestones!$AB$39&amp;" "&amp;IF(AND(Milestones!$AB$39="FT",Milestones!$AA$39=FT_Y5,EDATE($D76,Milestones!$AA$39)&lt;PolicyEff),1,Milestones!$AC$39)&amp;";  ","")&amp;IF(AND(EDATE($D76,Milestones!$AA$40)&lt;=AsOfDate,EDATE($D76,Milestones!$AA$40)&gt;=SchemeStart,IF($X76=0,$AD76,IF(AND($Z76&lt;&gt;"",EDATE($D76,Milestones!$AA$40)&gt;=$Z76),$AC76,IF(AND($Y76&lt;&gt;"",EDATE($D76,Milestones!$AA$40)&gt;=$Y76),$AB76,$AA76)))=Milestones!$AB$40),UPPER(TEXT(EDATE($D76,Milestones!$AA$40),"dd mmm yy"))&amp;" "&amp;Milestones!$AB$40&amp;" "&amp;IF(AND(Milestones!$AB$40="FT",Milestones!$AA$40=FT_Y5,EDATE($D76,Milestones!$AA$40)&lt;PolicyEff),1,Milestones!$AC$40)&amp;";  ","")&amp;IF(AND(EDATE($D76,Milestones!$AA$41)&lt;=AsOfDate,EDATE($D76,Milestones!$AA$41)&gt;=SchemeStart,IF($X76=0,$AD76,IF(AND($Z76&lt;&gt;"",EDATE($D76,Milestones!$AA$41)&gt;=$Z76),$AC76,IF(AND($Y76&lt;&gt;"",EDATE($D76,Milestones!$AA$41)&gt;=$Y76),$AB76,$AA76)))=Milestones!$AB$41),UPPER(TEXT(EDATE($D76,Milestones!$AA$41),"dd mmm yy"))&amp;" "&amp;Milestones!$AB$41&amp;" "&amp;IF(AND(Milestones!$AB$41="FT",Milestones!$AA$41=FT_Y5,EDATE($D76,Milestones!$AA$41)&lt;PolicyEff),1,Milestones!$AC$41)&amp;";  ","")&amp;IF(AND(EDATE($D76,Milestones!$AA$42)&lt;=AsOfDate,EDATE($D76,Milestones!$AA$42)&gt;=SchemeStart,IF($X76=0,$AD76,IF(AND($Z76&lt;&gt;"",EDATE($D76,Milestones!$AA$42)&gt;=$Z76),$AC76,IF(AND($Y76&lt;&gt;"",EDATE($D76,Milestones!$AA$42)&gt;=$Y76),$AB76,$AA76)))=Milestones!$AB$42),UPPER(TEXT(EDATE($D76,Milestones!$AA$42),"dd mmm yy"))&amp;" "&amp;Milestones!$AB$42&amp;" "&amp;IF(AND(Milestones!$AB$42="FT",Milestones!$AA$42=FT_Y5,EDATE($D76,Milestones!$AA$42)&lt;PolicyEff),1,Milestones!$AC$42)&amp;";  ","")&amp;IF(AND(EDATE($D76,Milestones!$AA$43)&lt;=AsOfDate,EDATE($D76,Milestones!$AA$43)&gt;=SchemeStart,IF($X76=0,$AD76,IF(AND($Z76&lt;&gt;"",EDATE($D76,Milestones!$AA$43)&gt;=$Z76),$AC76,IF(AND($Y76&lt;&gt;"",EDATE($D76,Milestones!$AA$43)&gt;=$Y76),$AB76,$AA76)))=Milestones!$AB$43),UPPER(TEXT(EDATE($D76,Milestones!$AA$43),"dd mmm yy"))&amp;" "&amp;Milestones!$AB$43&amp;" "&amp;IF(AND(Milestones!$AB$43="FT",Milestones!$AA$43=FT_Y5,EDATE($D76,Milestones!$AA$43)&lt;PolicyEff),1,Milestones!$AC$43)&amp;";  ",""))</f>
        <v/>
      </c>
      <c r="K76" s="0" t="str">
        <f aca="false">IF(OR($A76="",$D76=""),"",IF(AND(EDATE($D76,Milestones!$AA$44)&lt;=AsOfDate,EDATE($D76,Milestones!$AA$44)&gt;=SchemeStart,IF($X76=0,$AD76,IF(AND($Z76&lt;&gt;"",EDATE($D76,Milestones!$AA$44)&gt;=$Z76),$AC76,IF(AND($Y76&lt;&gt;"",EDATE($D76,Milestones!$AA$44)&gt;=$Y76),$AB76,$AA76)))=Milestones!$AB$44),UPPER(TEXT(EDATE($D76,Milestones!$AA$44),"dd mmm yy"))&amp;" "&amp;Milestones!$AB$44&amp;" "&amp;IF(AND(Milestones!$AB$44="FT",Milestones!$AA$44=FT_Y5,EDATE($D76,Milestones!$AA$44)&lt;PolicyEff),1,Milestones!$AC$44)&amp;";  ","")&amp;IF(AND(EDATE($D76,Milestones!$AA$45)&lt;=AsOfDate,EDATE($D76,Milestones!$AA$45)&gt;=SchemeStart,IF($X76=0,$AD76,IF(AND($Z76&lt;&gt;"",EDATE($D76,Milestones!$AA$45)&gt;=$Z76),$AC76,IF(AND($Y76&lt;&gt;"",EDATE($D76,Milestones!$AA$45)&gt;=$Y76),$AB76,$AA76)))=Milestones!$AB$45),UPPER(TEXT(EDATE($D76,Milestones!$AA$45),"dd mmm yy"))&amp;" "&amp;Milestones!$AB$45&amp;" "&amp;IF(AND(Milestones!$AB$45="FT",Milestones!$AA$45=FT_Y5,EDATE($D76,Milestones!$AA$45)&lt;PolicyEff),1,Milestones!$AC$45)&amp;";  ","")&amp;IF(AND(EDATE($D76,Milestones!$AA$46)&lt;=AsOfDate,EDATE($D76,Milestones!$AA$46)&gt;=SchemeStart,IF($X76=0,$AD76,IF(AND($Z76&lt;&gt;"",EDATE($D76,Milestones!$AA$46)&gt;=$Z76),$AC76,IF(AND($Y76&lt;&gt;"",EDATE($D76,Milestones!$AA$46)&gt;=$Y76),$AB76,$AA76)))=Milestones!$AB$46),UPPER(TEXT(EDATE($D76,Milestones!$AA$46),"dd mmm yy"))&amp;" "&amp;Milestones!$AB$46&amp;" "&amp;IF(AND(Milestones!$AB$46="FT",Milestones!$AA$46=FT_Y5,EDATE($D76,Milestones!$AA$46)&lt;PolicyEff),1,Milestones!$AC$46)&amp;";  ","")&amp;IF(AND(EDATE($D76,Milestones!$AA$47)&lt;=AsOfDate,EDATE($D76,Milestones!$AA$47)&gt;=SchemeStart,IF($X76=0,$AD76,IF(AND($Z76&lt;&gt;"",EDATE($D76,Milestones!$AA$47)&gt;=$Z76),$AC76,IF(AND($Y76&lt;&gt;"",EDATE($D76,Milestones!$AA$47)&gt;=$Y76),$AB76,$AA76)))=Milestones!$AB$47),UPPER(TEXT(EDATE($D76,Milestones!$AA$47),"dd mmm yy"))&amp;" "&amp;Milestones!$AB$47&amp;" "&amp;IF(AND(Milestones!$AB$47="FT",Milestones!$AA$47=FT_Y5,EDATE($D76,Milestones!$AA$47)&lt;PolicyEff),1,Milestones!$AC$47)&amp;";  ","")&amp;IF(AND(EDATE($D76,Milestones!$AA$48)&lt;=AsOfDate,EDATE($D76,Milestones!$AA$48)&gt;=SchemeStart,IF($X76=0,$AD76,IF(AND($Z76&lt;&gt;"",EDATE($D76,Milestones!$AA$48)&gt;=$Z76),$AC76,IF(AND($Y76&lt;&gt;"",EDATE($D76,Milestones!$AA$48)&gt;=$Y76),$AB76,$AA76)))=Milestones!$AB$48),UPPER(TEXT(EDATE($D76,Milestones!$AA$48),"dd mmm yy"))&amp;" "&amp;Milestones!$AB$48&amp;" "&amp;IF(AND(Milestones!$AB$48="FT",Milestones!$AA$48=FT_Y5,EDATE($D76,Milestones!$AA$48)&lt;PolicyEff),1,Milestones!$AC$48)&amp;";  ","")&amp;IF(AND(EDATE($D76,Milestones!$AA$49)&lt;=AsOfDate,EDATE($D76,Milestones!$AA$49)&gt;=SchemeStart,IF($X76=0,$AD76,IF(AND($Z76&lt;&gt;"",EDATE($D76,Milestones!$AA$49)&gt;=$Z76),$AC76,IF(AND($Y76&lt;&gt;"",EDATE($D76,Milestones!$AA$49)&gt;=$Y76),$AB76,$AA76)))=Milestones!$AB$49),UPPER(TEXT(EDATE($D76,Milestones!$AA$49),"dd mmm yy"))&amp;" "&amp;Milestones!$AB$49&amp;" "&amp;IF(AND(Milestones!$AB$49="FT",Milestones!$AA$49=FT_Y5,EDATE($D76,Milestones!$AA$49)&lt;PolicyEff),1,Milestones!$AC$49)&amp;";  ","")&amp;IF(AND(EDATE($D76,Milestones!$AA$50)&lt;=AsOfDate,EDATE($D76,Milestones!$AA$50)&gt;=SchemeStart,IF($X76=0,$AD76,IF(AND($Z76&lt;&gt;"",EDATE($D76,Milestones!$AA$50)&gt;=$Z76),$AC76,IF(AND($Y76&lt;&gt;"",EDATE($D76,Milestones!$AA$50)&gt;=$Y76),$AB76,$AA76)))=Milestones!$AB$50),UPPER(TEXT(EDATE($D76,Milestones!$AA$50),"dd mmm yy"))&amp;" "&amp;Milestones!$AB$50&amp;" "&amp;IF(AND(Milestones!$AB$50="FT",Milestones!$AA$50=FT_Y5,EDATE($D76,Milestones!$AA$50)&lt;PolicyEff),1,Milestones!$AC$50)&amp;";  ","")&amp;IF(AND(EDATE($D76,Milestones!$AA$51)&lt;=AsOfDate,EDATE($D76,Milestones!$AA$51)&gt;=SchemeStart,IF($X76=0,$AD76,IF(AND($Z76&lt;&gt;"",EDATE($D76,Milestones!$AA$51)&gt;=$Z76),$AC76,IF(AND($Y76&lt;&gt;"",EDATE($D76,Milestones!$AA$51)&gt;=$Y76),$AB76,$AA76)))=Milestones!$AB$51),UPPER(TEXT(EDATE($D76,Milestones!$AA$51),"dd mmm yy"))&amp;" "&amp;Milestones!$AB$51&amp;" "&amp;IF(AND(Milestones!$AB$51="FT",Milestones!$AA$51=FT_Y5,EDATE($D76,Milestones!$AA$51)&lt;PolicyEff),1,Milestones!$AC$51)&amp;";  ","")&amp;IF(AND(EDATE($D76,Milestones!$AA$52)&lt;=AsOfDate,EDATE($D76,Milestones!$AA$52)&gt;=SchemeStart,IF($X76=0,$AD76,IF(AND($Z76&lt;&gt;"",EDATE($D76,Milestones!$AA$52)&gt;=$Z76),$AC76,IF(AND($Y76&lt;&gt;"",EDATE($D76,Milestones!$AA$52)&gt;=$Y76),$AB76,$AA76)))=Milestones!$AB$52),UPPER(TEXT(EDATE($D76,Milestones!$AA$52),"dd mmm yy"))&amp;" "&amp;Milestones!$AB$52&amp;" "&amp;IF(AND(Milestones!$AB$52="FT",Milestones!$AA$52=FT_Y5,EDATE($D76,Milestones!$AA$52)&lt;PolicyEff),1,Milestones!$AC$52)&amp;";  ","")&amp;IF(AND(EDATE($D76,Milestones!$AA$53)&lt;=AsOfDate,EDATE($D76,Milestones!$AA$53)&gt;=SchemeStart,IF($X76=0,$AD76,IF(AND($Z76&lt;&gt;"",EDATE($D76,Milestones!$AA$53)&gt;=$Z76),$AC76,IF(AND($Y76&lt;&gt;"",EDATE($D76,Milestones!$AA$53)&gt;=$Y76),$AB76,$AA76)))=Milestones!$AB$53),UPPER(TEXT(EDATE($D76,Milestones!$AA$53),"dd mmm yy"))&amp;" "&amp;Milestones!$AB$53&amp;" "&amp;IF(AND(Milestones!$AB$53="FT",Milestones!$AA$53=FT_Y5,EDATE($D76,Milestones!$AA$53)&lt;PolicyEff),1,Milestones!$AC$53)&amp;";  ","")&amp;IF(AND(EDATE($D76,Milestones!$AA$54)&lt;=AsOfDate,EDATE($D76,Milestones!$AA$54)&gt;=SchemeStart,IF($X76=0,$AD76,IF(AND($Z76&lt;&gt;"",EDATE($D76,Milestones!$AA$54)&gt;=$Z76),$AC76,IF(AND($Y76&lt;&gt;"",EDATE($D76,Milestones!$AA$54)&gt;=$Y76),$AB76,$AA76)))=Milestones!$AB$54),UPPER(TEXT(EDATE($D76,Milestones!$AA$54),"dd mmm yy"))&amp;" "&amp;Milestones!$AB$54&amp;" "&amp;IF(AND(Milestones!$AB$54="FT",Milestones!$AA$54=FT_Y5,EDATE($D76,Milestones!$AA$54)&lt;PolicyEff),1,Milestones!$AC$54)&amp;";  ","")&amp;IF(AND(EDATE($D76,Milestones!$AA$55)&lt;=AsOfDate,EDATE($D76,Milestones!$AA$55)&gt;=SchemeStart,IF($X76=0,$AD76,IF(AND($Z76&lt;&gt;"",EDATE($D76,Milestones!$AA$55)&gt;=$Z76),$AC76,IF(AND($Y76&lt;&gt;"",EDATE($D76,Milestones!$AA$55)&gt;=$Y76),$AB76,$AA76)))=Milestones!$AB$55),UPPER(TEXT(EDATE($D76,Milestones!$AA$55),"dd mmm yy"))&amp;" "&amp;Milestones!$AB$55&amp;" "&amp;IF(AND(Milestones!$AB$55="FT",Milestones!$AA$55=FT_Y5,EDATE($D76,Milestones!$AA$55)&lt;PolicyEff),1,Milestones!$AC$55)&amp;";  ",""))</f>
        <v/>
      </c>
      <c r="L76" s="0" t="str">
        <f aca="false">IF(OR($A76="",$D76=""),"",IF(AND(EDATE($D76,Milestones!$AA$56)&lt;=AsOfDate,EDATE($D76,Milestones!$AA$56)&gt;=SchemeStart,IF($X76=0,$AD76,IF(AND($Z76&lt;&gt;"",EDATE($D76,Milestones!$AA$56)&gt;=$Z76),$AC76,IF(AND($Y76&lt;&gt;"",EDATE($D76,Milestones!$AA$56)&gt;=$Y76),$AB76,$AA76)))=Milestones!$AB$56),UPPER(TEXT(EDATE($D76,Milestones!$AA$56),"dd mmm yy"))&amp;" "&amp;Milestones!$AB$56&amp;" "&amp;IF(AND(Milestones!$AB$56="FT",Milestones!$AA$56=FT_Y5,EDATE($D76,Milestones!$AA$56)&lt;PolicyEff),1,Milestones!$AC$56)&amp;";  ","")&amp;IF(AND(EDATE($D76,Milestones!$AA$57)&lt;=AsOfDate,EDATE($D76,Milestones!$AA$57)&gt;=SchemeStart,IF($X76=0,$AD76,IF(AND($Z76&lt;&gt;"",EDATE($D76,Milestones!$AA$57)&gt;=$Z76),$AC76,IF(AND($Y76&lt;&gt;"",EDATE($D76,Milestones!$AA$57)&gt;=$Y76),$AB76,$AA76)))=Milestones!$AB$57),UPPER(TEXT(EDATE($D76,Milestones!$AA$57),"dd mmm yy"))&amp;" "&amp;Milestones!$AB$57&amp;" "&amp;IF(AND(Milestones!$AB$57="FT",Milestones!$AA$57=FT_Y5,EDATE($D76,Milestones!$AA$57)&lt;PolicyEff),1,Milestones!$AC$57)&amp;";  ","")&amp;IF(AND(EDATE($D76,Milestones!$AA$58)&lt;=AsOfDate,EDATE($D76,Milestones!$AA$58)&gt;=SchemeStart,IF($X76=0,$AD76,IF(AND($Z76&lt;&gt;"",EDATE($D76,Milestones!$AA$58)&gt;=$Z76),$AC76,IF(AND($Y76&lt;&gt;"",EDATE($D76,Milestones!$AA$58)&gt;=$Y76),$AB76,$AA76)))=Milestones!$AB$58),UPPER(TEXT(EDATE($D76,Milestones!$AA$58),"dd mmm yy"))&amp;" "&amp;Milestones!$AB$58&amp;" "&amp;IF(AND(Milestones!$AB$58="FT",Milestones!$AA$58=FT_Y5,EDATE($D76,Milestones!$AA$58)&lt;PolicyEff),1,Milestones!$AC$58)&amp;";  ","")&amp;IF(AND(EDATE($D76,Milestones!$AA$59)&lt;=AsOfDate,EDATE($D76,Milestones!$AA$59)&gt;=SchemeStart,IF($X76=0,$AD76,IF(AND($Z76&lt;&gt;"",EDATE($D76,Milestones!$AA$59)&gt;=$Z76),$AC76,IF(AND($Y76&lt;&gt;"",EDATE($D76,Milestones!$AA$59)&gt;=$Y76),$AB76,$AA76)))=Milestones!$AB$59),UPPER(TEXT(EDATE($D76,Milestones!$AA$59),"dd mmm yy"))&amp;" "&amp;Milestones!$AB$59&amp;" "&amp;IF(AND(Milestones!$AB$59="FT",Milestones!$AA$59=FT_Y5,EDATE($D76,Milestones!$AA$59)&lt;PolicyEff),1,Milestones!$AC$59)&amp;";  ","")&amp;IF(AND(EDATE($D76,Milestones!$AA$60)&lt;=AsOfDate,EDATE($D76,Milestones!$AA$60)&gt;=SchemeStart,IF($X76=0,$AD76,IF(AND($Z76&lt;&gt;"",EDATE($D76,Milestones!$AA$60)&gt;=$Z76),$AC76,IF(AND($Y76&lt;&gt;"",EDATE($D76,Milestones!$AA$60)&gt;=$Y76),$AB76,$AA76)))=Milestones!$AB$60),UPPER(TEXT(EDATE($D76,Milestones!$AA$60),"dd mmm yy"))&amp;" "&amp;Milestones!$AB$60&amp;" "&amp;IF(AND(Milestones!$AB$60="FT",Milestones!$AA$60=FT_Y5,EDATE($D76,Milestones!$AA$60)&lt;PolicyEff),1,Milestones!$AC$60)&amp;";  ","")&amp;IF(AND(EDATE($D76,Milestones!$AA$61)&lt;=AsOfDate,EDATE($D76,Milestones!$AA$61)&gt;=SchemeStart,IF($X76=0,$AD76,IF(AND($Z76&lt;&gt;"",EDATE($D76,Milestones!$AA$61)&gt;=$Z76),$AC76,IF(AND($Y76&lt;&gt;"",EDATE($D76,Milestones!$AA$61)&gt;=$Y76),$AB76,$AA76)))=Milestones!$AB$61),UPPER(TEXT(EDATE($D76,Milestones!$AA$61),"dd mmm yy"))&amp;" "&amp;Milestones!$AB$61&amp;" "&amp;IF(AND(Milestones!$AB$61="FT",Milestones!$AA$61=FT_Y5,EDATE($D76,Milestones!$AA$61)&lt;PolicyEff),1,Milestones!$AC$61)&amp;";  ","")&amp;IF(AND(EDATE($D76,Milestones!$AA$62)&lt;=AsOfDate,EDATE($D76,Milestones!$AA$62)&gt;=SchemeStart,IF($X76=0,$AD76,IF(AND($Z76&lt;&gt;"",EDATE($D76,Milestones!$AA$62)&gt;=$Z76),$AC76,IF(AND($Y76&lt;&gt;"",EDATE($D76,Milestones!$AA$62)&gt;=$Y76),$AB76,$AA76)))=Milestones!$AB$62),UPPER(TEXT(EDATE($D76,Milestones!$AA$62),"dd mmm yy"))&amp;" "&amp;Milestones!$AB$62&amp;" "&amp;IF(AND(Milestones!$AB$62="FT",Milestones!$AA$62=FT_Y5,EDATE($D76,Milestones!$AA$62)&lt;PolicyEff),1,Milestones!$AC$62)&amp;";  ","")&amp;IF(AND(EDATE($D76,Milestones!$AA$63)&lt;=AsOfDate,EDATE($D76,Milestones!$AA$63)&gt;=SchemeStart,IF($X76=0,$AD76,IF(AND($Z76&lt;&gt;"",EDATE($D76,Milestones!$AA$63)&gt;=$Z76),$AC76,IF(AND($Y76&lt;&gt;"",EDATE($D76,Milestones!$AA$63)&gt;=$Y76),$AB76,$AA76)))=Milestones!$AB$63),UPPER(TEXT(EDATE($D76,Milestones!$AA$63),"dd mmm yy"))&amp;" "&amp;Milestones!$AB$63&amp;" "&amp;IF(AND(Milestones!$AB$63="FT",Milestones!$AA$63=FT_Y5,EDATE($D76,Milestones!$AA$63)&lt;PolicyEff),1,Milestones!$AC$63)&amp;";  ","")&amp;IF(AND(EDATE($D76,Milestones!$AA$64)&lt;=AsOfDate,EDATE($D76,Milestones!$AA$64)&gt;=SchemeStart,IF($X76=0,$AD76,IF(AND($Z76&lt;&gt;"",EDATE($D76,Milestones!$AA$64)&gt;=$Z76),$AC76,IF(AND($Y76&lt;&gt;"",EDATE($D76,Milestones!$AA$64)&gt;=$Y76),$AB76,$AA76)))=Milestones!$AB$64),UPPER(TEXT(EDATE($D76,Milestones!$AA$64),"dd mmm yy"))&amp;" "&amp;Milestones!$AB$64&amp;" "&amp;IF(AND(Milestones!$AB$64="FT",Milestones!$AA$64=FT_Y5,EDATE($D76,Milestones!$AA$64)&lt;PolicyEff),1,Milestones!$AC$64)&amp;";  ","")&amp;IF(AND(EDATE($D76,Milestones!$AA$65)&lt;=AsOfDate,EDATE($D76,Milestones!$AA$65)&gt;=SchemeStart,IF($X76=0,$AD76,IF(AND($Z76&lt;&gt;"",EDATE($D76,Milestones!$AA$65)&gt;=$Z76),$AC76,IF(AND($Y76&lt;&gt;"",EDATE($D76,Milestones!$AA$65)&gt;=$Y76),$AB76,$AA76)))=Milestones!$AB$65),UPPER(TEXT(EDATE($D76,Milestones!$AA$65),"dd mmm yy"))&amp;" "&amp;Milestones!$AB$65&amp;" "&amp;IF(AND(Milestones!$AB$65="FT",Milestones!$AA$65=FT_Y5,EDATE($D76,Milestones!$AA$65)&lt;PolicyEff),1,Milestones!$AC$65)&amp;";  ","")&amp;IF(AND(EDATE($D76,Milestones!$AA$66)&lt;=AsOfDate,EDATE($D76,Milestones!$AA$66)&gt;=SchemeStart,IF($X76=0,$AD76,IF(AND($Z76&lt;&gt;"",EDATE($D76,Milestones!$AA$66)&gt;=$Z76),$AC76,IF(AND($Y76&lt;&gt;"",EDATE($D76,Milestones!$AA$66)&gt;=$Y76),$AB76,$AA76)))=Milestones!$AB$66),UPPER(TEXT(EDATE($D76,Milestones!$AA$66),"dd mmm yy"))&amp;" "&amp;Milestones!$AB$66&amp;" "&amp;IF(AND(Milestones!$AB$66="FT",Milestones!$AA$66=FT_Y5,EDATE($D76,Milestones!$AA$66)&lt;PolicyEff),1,Milestones!$AC$66)&amp;";  ","")&amp;IF(AND(EDATE($D76,Milestones!$AA$67)&lt;=AsOfDate,EDATE($D76,Milestones!$AA$67)&gt;=SchemeStart,IF($X76=0,$AD76,IF(AND($Z76&lt;&gt;"",EDATE($D76,Milestones!$AA$67)&gt;=$Z76),$AC76,IF(AND($Y76&lt;&gt;"",EDATE($D76,Milestones!$AA$67)&gt;=$Y76),$AB76,$AA76)))=Milestones!$AB$67),UPPER(TEXT(EDATE($D76,Milestones!$AA$67),"dd mmm yy"))&amp;" "&amp;Milestones!$AB$67&amp;" "&amp;IF(AND(Milestones!$AB$67="FT",Milestones!$AA$67=FT_Y5,EDATE($D76,Milestones!$AA$67)&lt;PolicyEff),1,Milestones!$AC$67)&amp;";  ",""))</f>
        <v/>
      </c>
      <c r="M76" s="0" t="str">
        <f aca="false">IF(OR($A76="",$D76=""),"",IF(AND(EDATE($D76,Milestones!$AA$68)&lt;=AsOfDate,EDATE($D76,Milestones!$AA$68)&gt;=SchemeStart,IF($X76=0,$AD76,IF(AND($Z76&lt;&gt;"",EDATE($D76,Milestones!$AA$68)&gt;=$Z76),$AC76,IF(AND($Y76&lt;&gt;"",EDATE($D76,Milestones!$AA$68)&gt;=$Y76),$AB76,$AA76)))=Milestones!$AB$68),UPPER(TEXT(EDATE($D76,Milestones!$AA$68),"dd mmm yy"))&amp;" "&amp;Milestones!$AB$68&amp;" "&amp;IF(AND(Milestones!$AB$68="FT",Milestones!$AA$68=FT_Y5,EDATE($D76,Milestones!$AA$68)&lt;PolicyEff),1,Milestones!$AC$68)&amp;";  ","")&amp;IF(AND(EDATE($D76,Milestones!$AA$69)&lt;=AsOfDate,EDATE($D76,Milestones!$AA$69)&gt;=SchemeStart,IF($X76=0,$AD76,IF(AND($Z76&lt;&gt;"",EDATE($D76,Milestones!$AA$69)&gt;=$Z76),$AC76,IF(AND($Y76&lt;&gt;"",EDATE($D76,Milestones!$AA$69)&gt;=$Y76),$AB76,$AA76)))=Milestones!$AB$69),UPPER(TEXT(EDATE($D76,Milestones!$AA$69),"dd mmm yy"))&amp;" "&amp;Milestones!$AB$69&amp;" "&amp;IF(AND(Milestones!$AB$69="FT",Milestones!$AA$69=FT_Y5,EDATE($D76,Milestones!$AA$69)&lt;PolicyEff),1,Milestones!$AC$69)&amp;";  ","")&amp;IF(AND(EDATE($D76,Milestones!$AA$70)&lt;=AsOfDate,EDATE($D76,Milestones!$AA$70)&gt;=SchemeStart,IF($X76=0,$AD76,IF(AND($Z76&lt;&gt;"",EDATE($D76,Milestones!$AA$70)&gt;=$Z76),$AC76,IF(AND($Y76&lt;&gt;"",EDATE($D76,Milestones!$AA$70)&gt;=$Y76),$AB76,$AA76)))=Milestones!$AB$70),UPPER(TEXT(EDATE($D76,Milestones!$AA$70),"dd mmm yy"))&amp;" "&amp;Milestones!$AB$70&amp;" "&amp;IF(AND(Milestones!$AB$70="FT",Milestones!$AA$70=FT_Y5,EDATE($D76,Milestones!$AA$70)&lt;PolicyEff),1,Milestones!$AC$70)&amp;";  ","")&amp;IF(AND(EDATE($D76,Milestones!$AA$71)&lt;=AsOfDate,EDATE($D76,Milestones!$AA$71)&gt;=SchemeStart,IF($X76=0,$AD76,IF(AND($Z76&lt;&gt;"",EDATE($D76,Milestones!$AA$71)&gt;=$Z76),$AC76,IF(AND($Y76&lt;&gt;"",EDATE($D76,Milestones!$AA$71)&gt;=$Y76),$AB76,$AA76)))=Milestones!$AB$71),UPPER(TEXT(EDATE($D76,Milestones!$AA$71),"dd mmm yy"))&amp;" "&amp;Milestones!$AB$71&amp;" "&amp;IF(AND(Milestones!$AB$71="FT",Milestones!$AA$71=FT_Y5,EDATE($D76,Milestones!$AA$71)&lt;PolicyEff),1,Milestones!$AC$71)&amp;";  ","")&amp;IF(AND(EDATE($D76,Milestones!$AA$72)&lt;=AsOfDate,EDATE($D76,Milestones!$AA$72)&gt;=SchemeStart,IF($X76=0,$AD76,IF(AND($Z76&lt;&gt;"",EDATE($D76,Milestones!$AA$72)&gt;=$Z76),$AC76,IF(AND($Y76&lt;&gt;"",EDATE($D76,Milestones!$AA$72)&gt;=$Y76),$AB76,$AA76)))=Milestones!$AB$72),UPPER(TEXT(EDATE($D76,Milestones!$AA$72),"dd mmm yy"))&amp;" "&amp;Milestones!$AB$72&amp;" "&amp;IF(AND(Milestones!$AB$72="FT",Milestones!$AA$72=FT_Y5,EDATE($D76,Milestones!$AA$72)&lt;PolicyEff),1,Milestones!$AC$72)&amp;";  ","")&amp;IF(AND(EDATE($D76,Milestones!$AA$73)&lt;=AsOfDate,EDATE($D76,Milestones!$AA$73)&gt;=SchemeStart,IF($X76=0,$AD76,IF(AND($Z76&lt;&gt;"",EDATE($D76,Milestones!$AA$73)&gt;=$Z76),$AC76,IF(AND($Y76&lt;&gt;"",EDATE($D76,Milestones!$AA$73)&gt;=$Y76),$AB76,$AA76)))=Milestones!$AB$73),UPPER(TEXT(EDATE($D76,Milestones!$AA$73),"dd mmm yy"))&amp;" "&amp;Milestones!$AB$73&amp;" "&amp;IF(AND(Milestones!$AB$73="FT",Milestones!$AA$73=FT_Y5,EDATE($D76,Milestones!$AA$73)&lt;PolicyEff),1,Milestones!$AC$73)&amp;";  ","")&amp;IF(AND(EDATE($D76,Milestones!$AA$74)&lt;=AsOfDate,EDATE($D76,Milestones!$AA$74)&gt;=SchemeStart,IF($X76=0,$AD76,IF(AND($Z76&lt;&gt;"",EDATE($D76,Milestones!$AA$74)&gt;=$Z76),$AC76,IF(AND($Y76&lt;&gt;"",EDATE($D76,Milestones!$AA$74)&gt;=$Y76),$AB76,$AA76)))=Milestones!$AB$74),UPPER(TEXT(EDATE($D76,Milestones!$AA$74),"dd mmm yy"))&amp;" "&amp;Milestones!$AB$74&amp;" "&amp;IF(AND(Milestones!$AB$74="FT",Milestones!$AA$74=FT_Y5,EDATE($D76,Milestones!$AA$74)&lt;PolicyEff),1,Milestones!$AC$74)&amp;";  ","")&amp;IF(AND(EDATE($D76,Milestones!$AA$75)&lt;=AsOfDate,EDATE($D76,Milestones!$AA$75)&gt;=SchemeStart,IF($X76=0,$AD76,IF(AND($Z76&lt;&gt;"",EDATE($D76,Milestones!$AA$75)&gt;=$Z76),$AC76,IF(AND($Y76&lt;&gt;"",EDATE($D76,Milestones!$AA$75)&gt;=$Y76),$AB76,$AA76)))=Milestones!$AB$75),UPPER(TEXT(EDATE($D76,Milestones!$AA$75),"dd mmm yy"))&amp;" "&amp;Milestones!$AB$75&amp;" "&amp;IF(AND(Milestones!$AB$75="FT",Milestones!$AA$75=FT_Y5,EDATE($D76,Milestones!$AA$75)&lt;PolicyEff),1,Milestones!$AC$75)&amp;";  ","")&amp;IF(AND(EDATE($D76,Milestones!$AA$76)&lt;=AsOfDate,EDATE($D76,Milestones!$AA$76)&gt;=SchemeStart,IF($X76=0,$AD76,IF(AND($Z76&lt;&gt;"",EDATE($D76,Milestones!$AA$76)&gt;=$Z76),$AC76,IF(AND($Y76&lt;&gt;"",EDATE($D76,Milestones!$AA$76)&gt;=$Y76),$AB76,$AA76)))=Milestones!$AB$76),UPPER(TEXT(EDATE($D76,Milestones!$AA$76),"dd mmm yy"))&amp;" "&amp;Milestones!$AB$76&amp;" "&amp;IF(AND(Milestones!$AB$76="FT",Milestones!$AA$76=FT_Y5,EDATE($D76,Milestones!$AA$76)&lt;PolicyEff),1,Milestones!$AC$76)&amp;";  ","")&amp;IF(AND(EDATE($D76,Milestones!$AA$77)&lt;=AsOfDate,EDATE($D76,Milestones!$AA$77)&gt;=SchemeStart,IF($X76=0,$AD76,IF(AND($Z76&lt;&gt;"",EDATE($D76,Milestones!$AA$77)&gt;=$Z76),$AC76,IF(AND($Y76&lt;&gt;"",EDATE($D76,Milestones!$AA$77)&gt;=$Y76),$AB76,$AA76)))=Milestones!$AB$77),UPPER(TEXT(EDATE($D76,Milestones!$AA$77),"dd mmm yy"))&amp;" "&amp;Milestones!$AB$77&amp;" "&amp;IF(AND(Milestones!$AB$77="FT",Milestones!$AA$77=FT_Y5,EDATE($D76,Milestones!$AA$77)&lt;PolicyEff),1,Milestones!$AC$77)&amp;";  ","")&amp;IF(AND(EDATE($D76,Milestones!$AA$78)&lt;=AsOfDate,EDATE($D76,Milestones!$AA$78)&gt;=SchemeStart,IF($X76=0,$AD76,IF(AND($Z76&lt;&gt;"",EDATE($D76,Milestones!$AA$78)&gt;=$Z76),$AC76,IF(AND($Y76&lt;&gt;"",EDATE($D76,Milestones!$AA$78)&gt;=$Y76),$AB76,$AA76)))=Milestones!$AB$78),UPPER(TEXT(EDATE($D76,Milestones!$AA$78),"dd mmm yy"))&amp;" "&amp;Milestones!$AB$78&amp;" "&amp;IF(AND(Milestones!$AB$78="FT",Milestones!$AA$78=FT_Y5,EDATE($D76,Milestones!$AA$78)&lt;PolicyEff),1,Milestones!$AC$78)&amp;";  ","")&amp;IF(AND(EDATE($D76,Milestones!$AA$79)&lt;=AsOfDate,EDATE($D76,Milestones!$AA$79)&gt;=SchemeStart,IF($X76=0,$AD76,IF(AND($Z76&lt;&gt;"",EDATE($D76,Milestones!$AA$79)&gt;=$Z76),$AC76,IF(AND($Y76&lt;&gt;"",EDATE($D76,Milestones!$AA$79)&gt;=$Y76),$AB76,$AA76)))=Milestones!$AB$79),UPPER(TEXT(EDATE($D76,Milestones!$AA$79),"dd mmm yy"))&amp;" "&amp;Milestones!$AB$79&amp;" "&amp;IF(AND(Milestones!$AB$79="FT",Milestones!$AA$79=FT_Y5,EDATE($D76,Milestones!$AA$79)&lt;PolicyEff),1,Milestones!$AC$79)&amp;";  ",""))</f>
        <v/>
      </c>
      <c r="N76" s="0" t="str">
        <f aca="false">IF(OR($A76="",$D76=""),"",IF(AND(EDATE($D76,Milestones!$AA$80)&lt;=AsOfDate,EDATE($D76,Milestones!$AA$80)&gt;=SchemeStart,IF($X76=0,$AD76,IF(AND($Z76&lt;&gt;"",EDATE($D76,Milestones!$AA$80)&gt;=$Z76),$AC76,IF(AND($Y76&lt;&gt;"",EDATE($D76,Milestones!$AA$80)&gt;=$Y76),$AB76,$AA76)))=Milestones!$AB$80),UPPER(TEXT(EDATE($D76,Milestones!$AA$80),"dd mmm yy"))&amp;" "&amp;Milestones!$AB$80&amp;" "&amp;IF(AND(Milestones!$AB$80="FT",Milestones!$AA$80=FT_Y5,EDATE($D76,Milestones!$AA$80)&lt;PolicyEff),1,Milestones!$AC$80)&amp;";  ","")&amp;IF(AND(EDATE($D76,Milestones!$AA$81)&lt;=AsOfDate,EDATE($D76,Milestones!$AA$81)&gt;=SchemeStart,IF($X76=0,$AD76,IF(AND($Z76&lt;&gt;"",EDATE($D76,Milestones!$AA$81)&gt;=$Z76),$AC76,IF(AND($Y76&lt;&gt;"",EDATE($D76,Milestones!$AA$81)&gt;=$Y76),$AB76,$AA76)))=Milestones!$AB$81),UPPER(TEXT(EDATE($D76,Milestones!$AA$81),"dd mmm yy"))&amp;" "&amp;Milestones!$AB$81&amp;" "&amp;IF(AND(Milestones!$AB$81="FT",Milestones!$AA$81=FT_Y5,EDATE($D76,Milestones!$AA$81)&lt;PolicyEff),1,Milestones!$AC$81)&amp;";  ","")&amp;IF(AND(EDATE($D76,Milestones!$AA$82)&lt;=AsOfDate,EDATE($D76,Milestones!$AA$82)&gt;=SchemeStart,IF($X76=0,$AD76,IF(AND($Z76&lt;&gt;"",EDATE($D76,Milestones!$AA$82)&gt;=$Z76),$AC76,IF(AND($Y76&lt;&gt;"",EDATE($D76,Milestones!$AA$82)&gt;=$Y76),$AB76,$AA76)))=Milestones!$AB$82),UPPER(TEXT(EDATE($D76,Milestones!$AA$82),"dd mmm yy"))&amp;" "&amp;Milestones!$AB$82&amp;" "&amp;IF(AND(Milestones!$AB$82="FT",Milestones!$AA$82=FT_Y5,EDATE($D76,Milestones!$AA$82)&lt;PolicyEff),1,Milestones!$AC$82)&amp;";  ","")&amp;IF(AND(EDATE($D76,Milestones!$AA$83)&lt;=AsOfDate,EDATE($D76,Milestones!$AA$83)&gt;=SchemeStart,IF($X76=0,$AD76,IF(AND($Z76&lt;&gt;"",EDATE($D76,Milestones!$AA$83)&gt;=$Z76),$AC76,IF(AND($Y76&lt;&gt;"",EDATE($D76,Milestones!$AA$83)&gt;=$Y76),$AB76,$AA76)))=Milestones!$AB$83),UPPER(TEXT(EDATE($D76,Milestones!$AA$83),"dd mmm yy"))&amp;" "&amp;Milestones!$AB$83&amp;" "&amp;IF(AND(Milestones!$AB$83="FT",Milestones!$AA$83=FT_Y5,EDATE($D76,Milestones!$AA$83)&lt;PolicyEff),1,Milestones!$AC$83)&amp;";  ","")&amp;IF(AND(EDATE($D76,Milestones!$AA$84)&lt;=AsOfDate,EDATE($D76,Milestones!$AA$84)&gt;=SchemeStart,IF($X76=0,$AD76,IF(AND($Z76&lt;&gt;"",EDATE($D76,Milestones!$AA$84)&gt;=$Z76),$AC76,IF(AND($Y76&lt;&gt;"",EDATE($D76,Milestones!$AA$84)&gt;=$Y76),$AB76,$AA76)))=Milestones!$AB$84),UPPER(TEXT(EDATE($D76,Milestones!$AA$84),"dd mmm yy"))&amp;" "&amp;Milestones!$AB$84&amp;" "&amp;IF(AND(Milestones!$AB$84="FT",Milestones!$AA$84=FT_Y5,EDATE($D76,Milestones!$AA$84)&lt;PolicyEff),1,Milestones!$AC$84)&amp;";  ","")&amp;IF(AND(EDATE($D76,Milestones!$AA$85)&lt;=AsOfDate,EDATE($D76,Milestones!$AA$85)&gt;=SchemeStart,IF($X76=0,$AD76,IF(AND($Z76&lt;&gt;"",EDATE($D76,Milestones!$AA$85)&gt;=$Z76),$AC76,IF(AND($Y76&lt;&gt;"",EDATE($D76,Milestones!$AA$85)&gt;=$Y76),$AB76,$AA76)))=Milestones!$AB$85),UPPER(TEXT(EDATE($D76,Milestones!$AA$85),"dd mmm yy"))&amp;" "&amp;Milestones!$AB$85&amp;" "&amp;IF(AND(Milestones!$AB$85="FT",Milestones!$AA$85=FT_Y5,EDATE($D76,Milestones!$AA$85)&lt;PolicyEff),1,Milestones!$AC$85)&amp;";  ","")&amp;IF(AND(EDATE($D76,Milestones!$AA$86)&lt;=AsOfDate,EDATE($D76,Milestones!$AA$86)&gt;=SchemeStart,IF($X76=0,$AD76,IF(AND($Z76&lt;&gt;"",EDATE($D76,Milestones!$AA$86)&gt;=$Z76),$AC76,IF(AND($Y76&lt;&gt;"",EDATE($D76,Milestones!$AA$86)&gt;=$Y76),$AB76,$AA76)))=Milestones!$AB$86),UPPER(TEXT(EDATE($D76,Milestones!$AA$86),"dd mmm yy"))&amp;" "&amp;Milestones!$AB$86&amp;" "&amp;IF(AND(Milestones!$AB$86="FT",Milestones!$AA$86=FT_Y5,EDATE($D76,Milestones!$AA$86)&lt;PolicyEff),1,Milestones!$AC$86)&amp;";  ","")&amp;IF(AND(EDATE($D76,Milestones!$AA$87)&lt;=AsOfDate,EDATE($D76,Milestones!$AA$87)&gt;=SchemeStart,IF($X76=0,$AD76,IF(AND($Z76&lt;&gt;"",EDATE($D76,Milestones!$AA$87)&gt;=$Z76),$AC76,IF(AND($Y76&lt;&gt;"",EDATE($D76,Milestones!$AA$87)&gt;=$Y76),$AB76,$AA76)))=Milestones!$AB$87),UPPER(TEXT(EDATE($D76,Milestones!$AA$87),"dd mmm yy"))&amp;" "&amp;Milestones!$AB$87&amp;" "&amp;IF(AND(Milestones!$AB$87="FT",Milestones!$AA$87=FT_Y5,EDATE($D76,Milestones!$AA$87)&lt;PolicyEff),1,Milestones!$AC$87)&amp;";  ","")&amp;IF(AND(EDATE($D76,Milestones!$AA$88)&lt;=AsOfDate,EDATE($D76,Milestones!$AA$88)&gt;=SchemeStart,IF($X76=0,$AD76,IF(AND($Z76&lt;&gt;"",EDATE($D76,Milestones!$AA$88)&gt;=$Z76),$AC76,IF(AND($Y76&lt;&gt;"",EDATE($D76,Milestones!$AA$88)&gt;=$Y76),$AB76,$AA76)))=Milestones!$AB$88),UPPER(TEXT(EDATE($D76,Milestones!$AA$88),"dd mmm yy"))&amp;" "&amp;Milestones!$AB$88&amp;" "&amp;IF(AND(Milestones!$AB$88="FT",Milestones!$AA$88=FT_Y5,EDATE($D76,Milestones!$AA$88)&lt;PolicyEff),1,Milestones!$AC$88)&amp;";  ","")&amp;IF(AND(EDATE($D76,Milestones!$AA$89)&lt;=AsOfDate,EDATE($D76,Milestones!$AA$89)&gt;=SchemeStart,IF($X76=0,$AD76,IF(AND($Z76&lt;&gt;"",EDATE($D76,Milestones!$AA$89)&gt;=$Z76),$AC76,IF(AND($Y76&lt;&gt;"",EDATE($D76,Milestones!$AA$89)&gt;=$Y76),$AB76,$AA76)))=Milestones!$AB$89),UPPER(TEXT(EDATE($D76,Milestones!$AA$89),"dd mmm yy"))&amp;" "&amp;Milestones!$AB$89&amp;" "&amp;IF(AND(Milestones!$AB$89="FT",Milestones!$AA$89=FT_Y5,EDATE($D76,Milestones!$AA$89)&lt;PolicyEff),1,Milestones!$AC$89)&amp;";  ","")&amp;IF(AND(EDATE($D76,Milestones!$AA$90)&lt;=AsOfDate,EDATE($D76,Milestones!$AA$90)&gt;=SchemeStart,IF($X76=0,$AD76,IF(AND($Z76&lt;&gt;"",EDATE($D76,Milestones!$AA$90)&gt;=$Z76),$AC76,IF(AND($Y76&lt;&gt;"",EDATE($D76,Milestones!$AA$90)&gt;=$Y76),$AB76,$AA76)))=Milestones!$AB$90),UPPER(TEXT(EDATE($D76,Milestones!$AA$90),"dd mmm yy"))&amp;" "&amp;Milestones!$AB$90&amp;" "&amp;IF(AND(Milestones!$AB$90="FT",Milestones!$AA$90=FT_Y5,EDATE($D76,Milestones!$AA$90)&lt;PolicyEff),1,Milestones!$AC$90)&amp;";  ","")&amp;IF(AND(EDATE($D76,Milestones!$AA$91)&lt;=AsOfDate,EDATE($D76,Milestones!$AA$91)&gt;=SchemeStart,IF($X76=0,$AD76,IF(AND($Z76&lt;&gt;"",EDATE($D76,Milestones!$AA$91)&gt;=$Z76),$AC76,IF(AND($Y76&lt;&gt;"",EDATE($D76,Milestones!$AA$91)&gt;=$Y76),$AB76,$AA76)))=Milestones!$AB$91),UPPER(TEXT(EDATE($D76,Milestones!$AA$91),"dd mmm yy"))&amp;" "&amp;Milestones!$AB$91&amp;" "&amp;IF(AND(Milestones!$AB$91="FT",Milestones!$AA$91=FT_Y5,EDATE($D76,Milestones!$AA$91)&lt;PolicyEff),1,Milestones!$AC$91)&amp;";  ",""))</f>
        <v/>
      </c>
      <c r="O76" s="0" t="str">
        <f aca="false">IF(OR($A76="",$D76=""),"",IF(AND(EDATE($D76,Milestones!$AA$92)&lt;=AsOfDate,EDATE($D76,Milestones!$AA$92)&gt;=SchemeStart,IF($X76=0,$AD76,IF(AND($Z76&lt;&gt;"",EDATE($D76,Milestones!$AA$92)&gt;=$Z76),$AC76,IF(AND($Y76&lt;&gt;"",EDATE($D76,Milestones!$AA$92)&gt;=$Y76),$AB76,$AA76)))=Milestones!$AB$92),UPPER(TEXT(EDATE($D76,Milestones!$AA$92),"dd mmm yy"))&amp;" "&amp;Milestones!$AB$92&amp;" "&amp;IF(AND(Milestones!$AB$92="FT",Milestones!$AA$92=FT_Y5,EDATE($D76,Milestones!$AA$92)&lt;PolicyEff),1,Milestones!$AC$92)&amp;";  ","")&amp;IF(AND(EDATE($D76,Milestones!$AA$93)&lt;=AsOfDate,EDATE($D76,Milestones!$AA$93)&gt;=SchemeStart,IF($X76=0,$AD76,IF(AND($Z76&lt;&gt;"",EDATE($D76,Milestones!$AA$93)&gt;=$Z76),$AC76,IF(AND($Y76&lt;&gt;"",EDATE($D76,Milestones!$AA$93)&gt;=$Y76),$AB76,$AA76)))=Milestones!$AB$93),UPPER(TEXT(EDATE($D76,Milestones!$AA$93),"dd mmm yy"))&amp;" "&amp;Milestones!$AB$93&amp;" "&amp;IF(AND(Milestones!$AB$93="FT",Milestones!$AA$93=FT_Y5,EDATE($D76,Milestones!$AA$93)&lt;PolicyEff),1,Milestones!$AC$93)&amp;";  ","")&amp;IF(AND(EDATE($D76,Milestones!$AA$94)&lt;=AsOfDate,EDATE($D76,Milestones!$AA$94)&gt;=SchemeStart,IF($X76=0,$AD76,IF(AND($Z76&lt;&gt;"",EDATE($D76,Milestones!$AA$94)&gt;=$Z76),$AC76,IF(AND($Y76&lt;&gt;"",EDATE($D76,Milestones!$AA$94)&gt;=$Y76),$AB76,$AA76)))=Milestones!$AB$94),UPPER(TEXT(EDATE($D76,Milestones!$AA$94),"dd mmm yy"))&amp;" "&amp;Milestones!$AB$94&amp;" "&amp;IF(AND(Milestones!$AB$94="FT",Milestones!$AA$94=FT_Y5,EDATE($D76,Milestones!$AA$94)&lt;PolicyEff),1,Milestones!$AC$94)&amp;";  ","")&amp;IF(AND(EDATE($D76,Milestones!$AA$95)&lt;=AsOfDate,EDATE($D76,Milestones!$AA$95)&gt;=SchemeStart,IF($X76=0,$AD76,IF(AND($Z76&lt;&gt;"",EDATE($D76,Milestones!$AA$95)&gt;=$Z76),$AC76,IF(AND($Y76&lt;&gt;"",EDATE($D76,Milestones!$AA$95)&gt;=$Y76),$AB76,$AA76)))=Milestones!$AB$95),UPPER(TEXT(EDATE($D76,Milestones!$AA$95),"dd mmm yy"))&amp;" "&amp;Milestones!$AB$95&amp;" "&amp;IF(AND(Milestones!$AB$95="FT",Milestones!$AA$95=FT_Y5,EDATE($D76,Milestones!$AA$95)&lt;PolicyEff),1,Milestones!$AC$95)&amp;";  ","")&amp;IF(AND(EDATE($D76,Milestones!$AA$96)&lt;=AsOfDate,EDATE($D76,Milestones!$AA$96)&gt;=SchemeStart,IF($X76=0,$AD76,IF(AND($Z76&lt;&gt;"",EDATE($D76,Milestones!$AA$96)&gt;=$Z76),$AC76,IF(AND($Y76&lt;&gt;"",EDATE($D76,Milestones!$AA$96)&gt;=$Y76),$AB76,$AA76)))=Milestones!$AB$96),UPPER(TEXT(EDATE($D76,Milestones!$AA$96),"dd mmm yy"))&amp;" "&amp;Milestones!$AB$96&amp;" "&amp;IF(AND(Milestones!$AB$96="FT",Milestones!$AA$96=FT_Y5,EDATE($D76,Milestones!$AA$96)&lt;PolicyEff),1,Milestones!$AC$96)&amp;";  ","")&amp;IF(AND(EDATE($D76,Milestones!$AA$97)&lt;=AsOfDate,EDATE($D76,Milestones!$AA$97)&gt;=SchemeStart,IF($X76=0,$AD76,IF(AND($Z76&lt;&gt;"",EDATE($D76,Milestones!$AA$97)&gt;=$Z76),$AC76,IF(AND($Y76&lt;&gt;"",EDATE($D76,Milestones!$AA$97)&gt;=$Y76),$AB76,$AA76)))=Milestones!$AB$97),UPPER(TEXT(EDATE($D76,Milestones!$AA$97),"dd mmm yy"))&amp;" "&amp;Milestones!$AB$97&amp;" "&amp;IF(AND(Milestones!$AB$97="FT",Milestones!$AA$97=FT_Y5,EDATE($D76,Milestones!$AA$97)&lt;PolicyEff),1,Milestones!$AC$97)&amp;";  ","")&amp;IF(AND(EDATE($D76,Milestones!$AA$98)&lt;=AsOfDate,EDATE($D76,Milestones!$AA$98)&gt;=SchemeStart,IF($X76=0,$AD76,IF(AND($Z76&lt;&gt;"",EDATE($D76,Milestones!$AA$98)&gt;=$Z76),$AC76,IF(AND($Y76&lt;&gt;"",EDATE($D76,Milestones!$AA$98)&gt;=$Y76),$AB76,$AA76)))=Milestones!$AB$98),UPPER(TEXT(EDATE($D76,Milestones!$AA$98),"dd mmm yy"))&amp;" "&amp;Milestones!$AB$98&amp;" "&amp;IF(AND(Milestones!$AB$98="FT",Milestones!$AA$98=FT_Y5,EDATE($D76,Milestones!$AA$98)&lt;PolicyEff),1,Milestones!$AC$98)&amp;";  ","")&amp;IF(AND(EDATE($D76,Milestones!$AA$99)&lt;=AsOfDate,EDATE($D76,Milestones!$AA$99)&gt;=SchemeStart,IF($X76=0,$AD76,IF(AND($Z76&lt;&gt;"",EDATE($D76,Milestones!$AA$99)&gt;=$Z76),$AC76,IF(AND($Y76&lt;&gt;"",EDATE($D76,Milestones!$AA$99)&gt;=$Y76),$AB76,$AA76)))=Milestones!$AB$99),UPPER(TEXT(EDATE($D76,Milestones!$AA$99),"dd mmm yy"))&amp;" "&amp;Milestones!$AB$99&amp;" "&amp;IF(AND(Milestones!$AB$99="FT",Milestones!$AA$99=FT_Y5,EDATE($D76,Milestones!$AA$99)&lt;PolicyEff),1,Milestones!$AC$99)&amp;";  ","")&amp;IF(AND(EDATE($D76,Milestones!$AA$100)&lt;=AsOfDate,EDATE($D76,Milestones!$AA$100)&gt;=SchemeStart,IF($X76=0,$AD76,IF(AND($Z76&lt;&gt;"",EDATE($D76,Milestones!$AA$100)&gt;=$Z76),$AC76,IF(AND($Y76&lt;&gt;"",EDATE($D76,Milestones!$AA$100)&gt;=$Y76),$AB76,$AA76)))=Milestones!$AB$100),UPPER(TEXT(EDATE($D76,Milestones!$AA$100),"dd mmm yy"))&amp;" "&amp;Milestones!$AB$100&amp;" "&amp;IF(AND(Milestones!$AB$100="FT",Milestones!$AA$100=FT_Y5,EDATE($D76,Milestones!$AA$100)&lt;PolicyEff),1,Milestones!$AC$100)&amp;";  ","")&amp;IF(AND(EDATE($D76,Milestones!$AA$101)&lt;=AsOfDate,EDATE($D76,Milestones!$AA$101)&gt;=SchemeStart,IF($X76=0,$AD76,IF(AND($Z76&lt;&gt;"",EDATE($D76,Milestones!$AA$101)&gt;=$Z76),$AC76,IF(AND($Y76&lt;&gt;"",EDATE($D76,Milestones!$AA$101)&gt;=$Y76),$AB76,$AA76)))=Milestones!$AB$101),UPPER(TEXT(EDATE($D76,Milestones!$AA$101),"dd mmm yy"))&amp;" "&amp;Milestones!$AB$101&amp;" "&amp;IF(AND(Milestones!$AB$101="FT",Milestones!$AA$101=FT_Y5,EDATE($D76,Milestones!$AA$101)&lt;PolicyEff),1,Milestones!$AC$101)&amp;";  ","")&amp;IF(AND(EDATE($D76,Milestones!$AA$102)&lt;=AsOfDate,EDATE($D76,Milestones!$AA$102)&gt;=SchemeStart,IF($X76=0,$AD76,IF(AND($Z76&lt;&gt;"",EDATE($D76,Milestones!$AA$102)&gt;=$Z76),$AC76,IF(AND($Y76&lt;&gt;"",EDATE($D76,Milestones!$AA$102)&gt;=$Y76),$AB76,$AA76)))=Milestones!$AB$102),UPPER(TEXT(EDATE($D76,Milestones!$AA$102),"dd mmm yy"))&amp;" "&amp;Milestones!$AB$102&amp;" "&amp;IF(AND(Milestones!$AB$102="FT",Milestones!$AA$102=FT_Y5,EDATE($D76,Milestones!$AA$102)&lt;PolicyEff),1,Milestones!$AC$102)&amp;";  ","")&amp;IF(AND(EDATE($D76,Milestones!$AA$103)&lt;=AsOfDate,EDATE($D76,Milestones!$AA$103)&gt;=SchemeStart,IF($X76=0,$AD76,IF(AND($Z76&lt;&gt;"",EDATE($D76,Milestones!$AA$103)&gt;=$Z76),$AC76,IF(AND($Y76&lt;&gt;"",EDATE($D76,Milestones!$AA$103)&gt;=$Y76),$AB76,$AA76)))=Milestones!$AB$103),UPPER(TEXT(EDATE($D76,Milestones!$AA$103),"dd mmm yy"))&amp;" "&amp;Milestones!$AB$103&amp;" "&amp;IF(AND(Milestones!$AB$103="FT",Milestones!$AA$103=FT_Y5,EDATE($D76,Milestones!$AA$103)&lt;PolicyEff),1,Milestones!$AC$103)&amp;";  ",""))</f>
        <v/>
      </c>
      <c r="P76" s="0" t="str">
        <f aca="false">IF(OR($A76="",$D76=""),"",IF(AND(EDATE($D76,Milestones!$AA$104)&lt;=AsOfDate,EDATE($D76,Milestones!$AA$104)&gt;=SchemeStart,IF($X76=0,$AD76,IF(AND($Z76&lt;&gt;"",EDATE($D76,Milestones!$AA$104)&gt;=$Z76),$AC76,IF(AND($Y76&lt;&gt;"",EDATE($D76,Milestones!$AA$104)&gt;=$Y76),$AB76,$AA76)))=Milestones!$AB$104),UPPER(TEXT(EDATE($D76,Milestones!$AA$104),"dd mmm yy"))&amp;" "&amp;Milestones!$AB$104&amp;" "&amp;IF(AND(Milestones!$AB$104="FT",Milestones!$AA$104=FT_Y5,EDATE($D76,Milestones!$AA$104)&lt;PolicyEff),1,Milestones!$AC$104)&amp;";  ","")&amp;IF(AND(EDATE($D76,Milestones!$AA$105)&lt;=AsOfDate,EDATE($D76,Milestones!$AA$105)&gt;=SchemeStart,IF($X76=0,$AD76,IF(AND($Z76&lt;&gt;"",EDATE($D76,Milestones!$AA$105)&gt;=$Z76),$AC76,IF(AND($Y76&lt;&gt;"",EDATE($D76,Milestones!$AA$105)&gt;=$Y76),$AB76,$AA76)))=Milestones!$AB$105),UPPER(TEXT(EDATE($D76,Milestones!$AA$105),"dd mmm yy"))&amp;" "&amp;Milestones!$AB$105&amp;" "&amp;IF(AND(Milestones!$AB$105="FT",Milestones!$AA$105=FT_Y5,EDATE($D76,Milestones!$AA$105)&lt;PolicyEff),1,Milestones!$AC$105)&amp;";  ","")&amp;IF(AND(EDATE($D76,Milestones!$AA$106)&lt;=AsOfDate,EDATE($D76,Milestones!$AA$106)&gt;=SchemeStart,IF($X76=0,$AD76,IF(AND($Z76&lt;&gt;"",EDATE($D76,Milestones!$AA$106)&gt;=$Z76),$AC76,IF(AND($Y76&lt;&gt;"",EDATE($D76,Milestones!$AA$106)&gt;=$Y76),$AB76,$AA76)))=Milestones!$AB$106),UPPER(TEXT(EDATE($D76,Milestones!$AA$106),"dd mmm yy"))&amp;" "&amp;Milestones!$AB$106&amp;" "&amp;IF(AND(Milestones!$AB$106="FT",Milestones!$AA$106=FT_Y5,EDATE($D76,Milestones!$AA$106)&lt;PolicyEff),1,Milestones!$AC$106)&amp;";  ","")&amp;IF(AND(EDATE($D76,Milestones!$AA$107)&lt;=AsOfDate,EDATE($D76,Milestones!$AA$107)&gt;=SchemeStart,IF($X76=0,$AD76,IF(AND($Z76&lt;&gt;"",EDATE($D76,Milestones!$AA$107)&gt;=$Z76),$AC76,IF(AND($Y76&lt;&gt;"",EDATE($D76,Milestones!$AA$107)&gt;=$Y76),$AB76,$AA76)))=Milestones!$AB$107),UPPER(TEXT(EDATE($D76,Milestones!$AA$107),"dd mmm yy"))&amp;" "&amp;Milestones!$AB$107&amp;" "&amp;IF(AND(Milestones!$AB$107="FT",Milestones!$AA$107=FT_Y5,EDATE($D76,Milestones!$AA$107)&lt;PolicyEff),1,Milestones!$AC$107)&amp;";  ","")&amp;IF(AND(EDATE($D76,Milestones!$AA$108)&lt;=AsOfDate,EDATE($D76,Milestones!$AA$108)&gt;=SchemeStart,IF($X76=0,$AD76,IF(AND($Z76&lt;&gt;"",EDATE($D76,Milestones!$AA$108)&gt;=$Z76),$AC76,IF(AND($Y76&lt;&gt;"",EDATE($D76,Milestones!$AA$108)&gt;=$Y76),$AB76,$AA76)))=Milestones!$AB$108),UPPER(TEXT(EDATE($D76,Milestones!$AA$108),"dd mmm yy"))&amp;" "&amp;Milestones!$AB$108&amp;" "&amp;IF(AND(Milestones!$AB$108="FT",Milestones!$AA$108=FT_Y5,EDATE($D76,Milestones!$AA$108)&lt;PolicyEff),1,Milestones!$AC$108)&amp;";  ","")&amp;IF(AND(EDATE($D76,Milestones!$AA$109)&lt;=AsOfDate,EDATE($D76,Milestones!$AA$109)&gt;=SchemeStart,IF($X76=0,$AD76,IF(AND($Z76&lt;&gt;"",EDATE($D76,Milestones!$AA$109)&gt;=$Z76),$AC76,IF(AND($Y76&lt;&gt;"",EDATE($D76,Milestones!$AA$109)&gt;=$Y76),$AB76,$AA76)))=Milestones!$AB$109),UPPER(TEXT(EDATE($D76,Milestones!$AA$109),"dd mmm yy"))&amp;" "&amp;Milestones!$AB$109&amp;" "&amp;IF(AND(Milestones!$AB$109="FT",Milestones!$AA$109=FT_Y5,EDATE($D76,Milestones!$AA$109)&lt;PolicyEff),1,Milestones!$AC$109)&amp;";  ","")&amp;IF(AND(EDATE($D76,Milestones!$AA$110)&lt;=AsOfDate,EDATE($D76,Milestones!$AA$110)&gt;=SchemeStart,IF($X76=0,$AD76,IF(AND($Z76&lt;&gt;"",EDATE($D76,Milestones!$AA$110)&gt;=$Z76),$AC76,IF(AND($Y76&lt;&gt;"",EDATE($D76,Milestones!$AA$110)&gt;=$Y76),$AB76,$AA76)))=Milestones!$AB$110),UPPER(TEXT(EDATE($D76,Milestones!$AA$110),"dd mmm yy"))&amp;" "&amp;Milestones!$AB$110&amp;" "&amp;IF(AND(Milestones!$AB$110="FT",Milestones!$AA$110=FT_Y5,EDATE($D76,Milestones!$AA$110)&lt;PolicyEff),1,Milestones!$AC$110)&amp;";  ","")&amp;IF(AND(EDATE($D76,Milestones!$AA$111)&lt;=AsOfDate,EDATE($D76,Milestones!$AA$111)&gt;=SchemeStart,IF($X76=0,$AD76,IF(AND($Z76&lt;&gt;"",EDATE($D76,Milestones!$AA$111)&gt;=$Z76),$AC76,IF(AND($Y76&lt;&gt;"",EDATE($D76,Milestones!$AA$111)&gt;=$Y76),$AB76,$AA76)))=Milestones!$AB$111),UPPER(TEXT(EDATE($D76,Milestones!$AA$111),"dd mmm yy"))&amp;" "&amp;Milestones!$AB$111&amp;" "&amp;IF(AND(Milestones!$AB$111="FT",Milestones!$AA$111=FT_Y5,EDATE($D76,Milestones!$AA$111)&lt;PolicyEff),1,Milestones!$AC$111)&amp;";  ","")&amp;IF(AND(EDATE($D76,Milestones!$AA$112)&lt;=AsOfDate,EDATE($D76,Milestones!$AA$112)&gt;=SchemeStart,IF($X76=0,$AD76,IF(AND($Z76&lt;&gt;"",EDATE($D76,Milestones!$AA$112)&gt;=$Z76),$AC76,IF(AND($Y76&lt;&gt;"",EDATE($D76,Milestones!$AA$112)&gt;=$Y76),$AB76,$AA76)))=Milestones!$AB$112),UPPER(TEXT(EDATE($D76,Milestones!$AA$112),"dd mmm yy"))&amp;" "&amp;Milestones!$AB$112&amp;" "&amp;IF(AND(Milestones!$AB$112="FT",Milestones!$AA$112=FT_Y5,EDATE($D76,Milestones!$AA$112)&lt;PolicyEff),1,Milestones!$AC$112)&amp;";  ","")&amp;IF(AND(EDATE($D76,Milestones!$AA$113)&lt;=AsOfDate,EDATE($D76,Milestones!$AA$113)&gt;=SchemeStart,IF($X76=0,$AD76,IF(AND($Z76&lt;&gt;"",EDATE($D76,Milestones!$AA$113)&gt;=$Z76),$AC76,IF(AND($Y76&lt;&gt;"",EDATE($D76,Milestones!$AA$113)&gt;=$Y76),$AB76,$AA76)))=Milestones!$AB$113),UPPER(TEXT(EDATE($D76,Milestones!$AA$113),"dd mmm yy"))&amp;" "&amp;Milestones!$AB$113&amp;" "&amp;IF(AND(Milestones!$AB$113="FT",Milestones!$AA$113=FT_Y5,EDATE($D76,Milestones!$AA$113)&lt;PolicyEff),1,Milestones!$AC$113)&amp;";  ","")&amp;IF(AND(EDATE($D76,Milestones!$AA$114)&lt;=AsOfDate,EDATE($D76,Milestones!$AA$114)&gt;=SchemeStart,IF($X76=0,$AD76,IF(AND($Z76&lt;&gt;"",EDATE($D76,Milestones!$AA$114)&gt;=$Z76),$AC76,IF(AND($Y76&lt;&gt;"",EDATE($D76,Milestones!$AA$114)&gt;=$Y76),$AB76,$AA76)))=Milestones!$AB$114),UPPER(TEXT(EDATE($D76,Milestones!$AA$114),"dd mmm yy"))&amp;" "&amp;Milestones!$AB$114&amp;" "&amp;IF(AND(Milestones!$AB$114="FT",Milestones!$AA$114=FT_Y5,EDATE($D76,Milestones!$AA$114)&lt;PolicyEff),1,Milestones!$AC$114)&amp;";  ","")&amp;IF(AND(EDATE($D76,Milestones!$AA$115)&lt;=AsOfDate,EDATE($D76,Milestones!$AA$115)&gt;=SchemeStart,IF($X76=0,$AD76,IF(AND($Z76&lt;&gt;"",EDATE($D76,Milestones!$AA$115)&gt;=$Z76),$AC76,IF(AND($Y76&lt;&gt;"",EDATE($D76,Milestones!$AA$115)&gt;=$Y76),$AB76,$AA76)))=Milestones!$AB$115),UPPER(TEXT(EDATE($D76,Milestones!$AA$115),"dd mmm yy"))&amp;" "&amp;Milestones!$AB$115&amp;" "&amp;IF(AND(Milestones!$AB$115="FT",Milestones!$AA$115=FT_Y5,EDATE($D76,Milestones!$AA$115)&lt;PolicyEff),1,Milestones!$AC$115)&amp;";  ",""))</f>
        <v/>
      </c>
      <c r="Q76" s="0" t="str">
        <f aca="false">IF(OR($A76="",$D76=""),"",IF(AND(EDATE($D76,Milestones!$AA$116)&lt;=AsOfDate,EDATE($D76,Milestones!$AA$116)&gt;=SchemeStart,IF($X76=0,$AD76,IF(AND($Z76&lt;&gt;"",EDATE($D76,Milestones!$AA$116)&gt;=$Z76),$AC76,IF(AND($Y76&lt;&gt;"",EDATE($D76,Milestones!$AA$116)&gt;=$Y76),$AB76,$AA76)))=Milestones!$AB$116),UPPER(TEXT(EDATE($D76,Milestones!$AA$116),"dd mmm yy"))&amp;" "&amp;Milestones!$AB$116&amp;" "&amp;IF(AND(Milestones!$AB$116="FT",Milestones!$AA$116=FT_Y5,EDATE($D76,Milestones!$AA$116)&lt;PolicyEff),1,Milestones!$AC$116)&amp;";  ","")&amp;IF(AND(EDATE($D76,Milestones!$AA$117)&lt;=AsOfDate,EDATE($D76,Milestones!$AA$117)&gt;=SchemeStart,IF($X76=0,$AD76,IF(AND($Z76&lt;&gt;"",EDATE($D76,Milestones!$AA$117)&gt;=$Z76),$AC76,IF(AND($Y76&lt;&gt;"",EDATE($D76,Milestones!$AA$117)&gt;=$Y76),$AB76,$AA76)))=Milestones!$AB$117),UPPER(TEXT(EDATE($D76,Milestones!$AA$117),"dd mmm yy"))&amp;" "&amp;Milestones!$AB$117&amp;" "&amp;IF(AND(Milestones!$AB$117="FT",Milestones!$AA$117=FT_Y5,EDATE($D76,Milestones!$AA$117)&lt;PolicyEff),1,Milestones!$AC$117)&amp;";  ","")&amp;IF(AND(EDATE($D76,Milestones!$AA$118)&lt;=AsOfDate,EDATE($D76,Milestones!$AA$118)&gt;=SchemeStart,IF($X76=0,$AD76,IF(AND($Z76&lt;&gt;"",EDATE($D76,Milestones!$AA$118)&gt;=$Z76),$AC76,IF(AND($Y76&lt;&gt;"",EDATE($D76,Milestones!$AA$118)&gt;=$Y76),$AB76,$AA76)))=Milestones!$AB$118),UPPER(TEXT(EDATE($D76,Milestones!$AA$118),"dd mmm yy"))&amp;" "&amp;Milestones!$AB$118&amp;" "&amp;IF(AND(Milestones!$AB$118="FT",Milestones!$AA$118=FT_Y5,EDATE($D76,Milestones!$AA$118)&lt;PolicyEff),1,Milestones!$AC$118)&amp;";  ","")&amp;IF(AND(EDATE($D76,Milestones!$AA$119)&lt;=AsOfDate,EDATE($D76,Milestones!$AA$119)&gt;=SchemeStart,IF($X76=0,$AD76,IF(AND($Z76&lt;&gt;"",EDATE($D76,Milestones!$AA$119)&gt;=$Z76),$AC76,IF(AND($Y76&lt;&gt;"",EDATE($D76,Milestones!$AA$119)&gt;=$Y76),$AB76,$AA76)))=Milestones!$AB$119),UPPER(TEXT(EDATE($D76,Milestones!$AA$119),"dd mmm yy"))&amp;" "&amp;Milestones!$AB$119&amp;" "&amp;IF(AND(Milestones!$AB$119="FT",Milestones!$AA$119=FT_Y5,EDATE($D76,Milestones!$AA$119)&lt;PolicyEff),1,Milestones!$AC$119)&amp;";  ","")&amp;IF(AND(EDATE($D76,Milestones!$AA$120)&lt;=AsOfDate,EDATE($D76,Milestones!$AA$120)&gt;=SchemeStart,IF($X76=0,$AD76,IF(AND($Z76&lt;&gt;"",EDATE($D76,Milestones!$AA$120)&gt;=$Z76),$AC76,IF(AND($Y76&lt;&gt;"",EDATE($D76,Milestones!$AA$120)&gt;=$Y76),$AB76,$AA76)))=Milestones!$AB$120),UPPER(TEXT(EDATE($D76,Milestones!$AA$120),"dd mmm yy"))&amp;" "&amp;Milestones!$AB$120&amp;" "&amp;IF(AND(Milestones!$AB$120="FT",Milestones!$AA$120=FT_Y5,EDATE($D76,Milestones!$AA$120)&lt;PolicyEff),1,Milestones!$AC$120)&amp;";  ","")&amp;IF(AND(EDATE($D76,Milestones!$AA$121)&lt;=AsOfDate,EDATE($D76,Milestones!$AA$121)&gt;=SchemeStart,IF($X76=0,$AD76,IF(AND($Z76&lt;&gt;"",EDATE($D76,Milestones!$AA$121)&gt;=$Z76),$AC76,IF(AND($Y76&lt;&gt;"",EDATE($D76,Milestones!$AA$121)&gt;=$Y76),$AB76,$AA76)))=Milestones!$AB$121),UPPER(TEXT(EDATE($D76,Milestones!$AA$121),"dd mmm yy"))&amp;" "&amp;Milestones!$AB$121&amp;" "&amp;IF(AND(Milestones!$AB$121="FT",Milestones!$AA$121=FT_Y5,EDATE($D76,Milestones!$AA$121)&lt;PolicyEff),1,Milestones!$AC$121)&amp;";  ","")&amp;IF(AND(EDATE($D76,Milestones!$AA$122)&lt;=AsOfDate,EDATE($D76,Milestones!$AA$122)&gt;=SchemeStart,IF($X76=0,$AD76,IF(AND($Z76&lt;&gt;"",EDATE($D76,Milestones!$AA$122)&gt;=$Z76),$AC76,IF(AND($Y76&lt;&gt;"",EDATE($D76,Milestones!$AA$122)&gt;=$Y76),$AB76,$AA76)))=Milestones!$AB$122),UPPER(TEXT(EDATE($D76,Milestones!$AA$122),"dd mmm yy"))&amp;" "&amp;Milestones!$AB$122&amp;" "&amp;IF(AND(Milestones!$AB$122="FT",Milestones!$AA$122=FT_Y5,EDATE($D76,Milestones!$AA$122)&lt;PolicyEff),1,Milestones!$AC$122)&amp;";  ","")&amp;IF(AND(EDATE($D76,Milestones!$AA$123)&lt;=AsOfDate,EDATE($D76,Milestones!$AA$123)&gt;=SchemeStart,IF($X76=0,$AD76,IF(AND($Z76&lt;&gt;"",EDATE($D76,Milestones!$AA$123)&gt;=$Z76),$AC76,IF(AND($Y76&lt;&gt;"",EDATE($D76,Milestones!$AA$123)&gt;=$Y76),$AB76,$AA76)))=Milestones!$AB$123),UPPER(TEXT(EDATE($D76,Milestones!$AA$123),"dd mmm yy"))&amp;" "&amp;Milestones!$AB$123&amp;" "&amp;IF(AND(Milestones!$AB$123="FT",Milestones!$AA$123=FT_Y5,EDATE($D76,Milestones!$AA$123)&lt;PolicyEff),1,Milestones!$AC$123)&amp;";  ","")&amp;IF(AND(EDATE($D76,Milestones!$AA$124)&lt;=AsOfDate,EDATE($D76,Milestones!$AA$124)&gt;=SchemeStart,IF($X76=0,$AD76,IF(AND($Z76&lt;&gt;"",EDATE($D76,Milestones!$AA$124)&gt;=$Z76),$AC76,IF(AND($Y76&lt;&gt;"",EDATE($D76,Milestones!$AA$124)&gt;=$Y76),$AB76,$AA76)))=Milestones!$AB$124),UPPER(TEXT(EDATE($D76,Milestones!$AA$124),"dd mmm yy"))&amp;" "&amp;Milestones!$AB$124&amp;" "&amp;IF(AND(Milestones!$AB$124="FT",Milestones!$AA$124=FT_Y5,EDATE($D76,Milestones!$AA$124)&lt;PolicyEff),1,Milestones!$AC$124)&amp;";  ","")&amp;IF(AND(EDATE($D76,Milestones!$AA$125)&lt;=AsOfDate,EDATE($D76,Milestones!$AA$125)&gt;=SchemeStart,IF($X76=0,$AD76,IF(AND($Z76&lt;&gt;"",EDATE($D76,Milestones!$AA$125)&gt;=$Z76),$AC76,IF(AND($Y76&lt;&gt;"",EDATE($D76,Milestones!$AA$125)&gt;=$Y76),$AB76,$AA76)))=Milestones!$AB$125),UPPER(TEXT(EDATE($D76,Milestones!$AA$125),"dd mmm yy"))&amp;" "&amp;Milestones!$AB$125&amp;" "&amp;IF(AND(Milestones!$AB$125="FT",Milestones!$AA$125=FT_Y5,EDATE($D76,Milestones!$AA$125)&lt;PolicyEff),1,Milestones!$AC$125)&amp;";  ","")&amp;IF(AND(EDATE($D76,Milestones!$AA$126)&lt;=AsOfDate,EDATE($D76,Milestones!$AA$126)&gt;=SchemeStart,IF($X76=0,$AD76,IF(AND($Z76&lt;&gt;"",EDATE($D76,Milestones!$AA$126)&gt;=$Z76),$AC76,IF(AND($Y76&lt;&gt;"",EDATE($D76,Milestones!$AA$126)&gt;=$Y76),$AB76,$AA76)))=Milestones!$AB$126),UPPER(TEXT(EDATE($D76,Milestones!$AA$126),"dd mmm yy"))&amp;" "&amp;Milestones!$AB$126&amp;" "&amp;IF(AND(Milestones!$AB$126="FT",Milestones!$AA$126=FT_Y5,EDATE($D76,Milestones!$AA$126)&lt;PolicyEff),1,Milestones!$AC$126)&amp;";  ","")&amp;IF(AND(EDATE($D76,Milestones!$AA$127)&lt;=AsOfDate,EDATE($D76,Milestones!$AA$127)&gt;=SchemeStart,IF($X76=0,$AD76,IF(AND($Z76&lt;&gt;"",EDATE($D76,Milestones!$AA$127)&gt;=$Z76),$AC76,IF(AND($Y76&lt;&gt;"",EDATE($D76,Milestones!$AA$127)&gt;=$Y76),$AB76,$AA76)))=Milestones!$AB$127),UPPER(TEXT(EDATE($D76,Milestones!$AA$127),"dd mmm yy"))&amp;" "&amp;Milestones!$AB$127&amp;" "&amp;IF(AND(Milestones!$AB$127="FT",Milestones!$AA$127=FT_Y5,EDATE($D76,Milestones!$AA$127)&lt;PolicyEff),1,Milestones!$AC$127)&amp;";  ",""))</f>
        <v/>
      </c>
      <c r="R76" s="0" t="str">
        <f aca="false">IF(OR($A76="",$D76=""),"",IF(AND(EDATE($D76,Milestones!$AA$128)&lt;=AsOfDate,EDATE($D76,Milestones!$AA$128)&gt;=SchemeStart,IF($X76=0,$AD76,IF(AND($Z76&lt;&gt;"",EDATE($D76,Milestones!$AA$128)&gt;=$Z76),$AC76,IF(AND($Y76&lt;&gt;"",EDATE($D76,Milestones!$AA$128)&gt;=$Y76),$AB76,$AA76)))=Milestones!$AB$128),UPPER(TEXT(EDATE($D76,Milestones!$AA$128),"dd mmm yy"))&amp;" "&amp;Milestones!$AB$128&amp;" "&amp;IF(AND(Milestones!$AB$128="FT",Milestones!$AA$128=FT_Y5,EDATE($D76,Milestones!$AA$128)&lt;PolicyEff),1,Milestones!$AC$128)&amp;";  ","")&amp;IF(AND(EDATE($D76,Milestones!$AA$129)&lt;=AsOfDate,EDATE($D76,Milestones!$AA$129)&gt;=SchemeStart,IF($X76=0,$AD76,IF(AND($Z76&lt;&gt;"",EDATE($D76,Milestones!$AA$129)&gt;=$Z76),$AC76,IF(AND($Y76&lt;&gt;"",EDATE($D76,Milestones!$AA$129)&gt;=$Y76),$AB76,$AA76)))=Milestones!$AB$129),UPPER(TEXT(EDATE($D76,Milestones!$AA$129),"dd mmm yy"))&amp;" "&amp;Milestones!$AB$129&amp;" "&amp;IF(AND(Milestones!$AB$129="FT",Milestones!$AA$129=FT_Y5,EDATE($D76,Milestones!$AA$129)&lt;PolicyEff),1,Milestones!$AC$129)&amp;";  ","")&amp;IF(AND(EDATE($D76,Milestones!$AA$130)&lt;=AsOfDate,EDATE($D76,Milestones!$AA$130)&gt;=SchemeStart,IF($X76=0,$AD76,IF(AND($Z76&lt;&gt;"",EDATE($D76,Milestones!$AA$130)&gt;=$Z76),$AC76,IF(AND($Y76&lt;&gt;"",EDATE($D76,Milestones!$AA$130)&gt;=$Y76),$AB76,$AA76)))=Milestones!$AB$130),UPPER(TEXT(EDATE($D76,Milestones!$AA$130),"dd mmm yy"))&amp;" "&amp;Milestones!$AB$130&amp;" "&amp;IF(AND(Milestones!$AB$130="FT",Milestones!$AA$130=FT_Y5,EDATE($D76,Milestones!$AA$130)&lt;PolicyEff),1,Milestones!$AC$130)&amp;";  ","")&amp;IF(AND(EDATE($D76,Milestones!$AA$131)&lt;=AsOfDate,EDATE($D76,Milestones!$AA$131)&gt;=SchemeStart,IF($X76=0,$AD76,IF(AND($Z76&lt;&gt;"",EDATE($D76,Milestones!$AA$131)&gt;=$Z76),$AC76,IF(AND($Y76&lt;&gt;"",EDATE($D76,Milestones!$AA$131)&gt;=$Y76),$AB76,$AA76)))=Milestones!$AB$131),UPPER(TEXT(EDATE($D76,Milestones!$AA$131),"dd mmm yy"))&amp;" "&amp;Milestones!$AB$131&amp;" "&amp;IF(AND(Milestones!$AB$131="FT",Milestones!$AA$131=FT_Y5,EDATE($D76,Milestones!$AA$131)&lt;PolicyEff),1,Milestones!$AC$131)&amp;";  ","")&amp;IF(AND(EDATE($D76,Milestones!$AA$132)&lt;=AsOfDate,EDATE($D76,Milestones!$AA$132)&gt;=SchemeStart,IF($X76=0,$AD76,IF(AND($Z76&lt;&gt;"",EDATE($D76,Milestones!$AA$132)&gt;=$Z76),$AC76,IF(AND($Y76&lt;&gt;"",EDATE($D76,Milestones!$AA$132)&gt;=$Y76),$AB76,$AA76)))=Milestones!$AB$132),UPPER(TEXT(EDATE($D76,Milestones!$AA$132),"dd mmm yy"))&amp;" "&amp;Milestones!$AB$132&amp;" "&amp;IF(AND(Milestones!$AB$132="FT",Milestones!$AA$132=FT_Y5,EDATE($D76,Milestones!$AA$132)&lt;PolicyEff),1,Milestones!$AC$132)&amp;";  ","")&amp;IF(AND(EDATE($D76,Milestones!$AA$133)&lt;=AsOfDate,EDATE($D76,Milestones!$AA$133)&gt;=SchemeStart,IF($X76=0,$AD76,IF(AND($Z76&lt;&gt;"",EDATE($D76,Milestones!$AA$133)&gt;=$Z76),$AC76,IF(AND($Y76&lt;&gt;"",EDATE($D76,Milestones!$AA$133)&gt;=$Y76),$AB76,$AA76)))=Milestones!$AB$133),UPPER(TEXT(EDATE($D76,Milestones!$AA$133),"dd mmm yy"))&amp;" "&amp;Milestones!$AB$133&amp;" "&amp;IF(AND(Milestones!$AB$133="FT",Milestones!$AA$133=FT_Y5,EDATE($D76,Milestones!$AA$133)&lt;PolicyEff),1,Milestones!$AC$133)&amp;";  ","")&amp;IF(AND(EDATE($D76,Milestones!$AA$134)&lt;=AsOfDate,EDATE($D76,Milestones!$AA$134)&gt;=SchemeStart,IF($X76=0,$AD76,IF(AND($Z76&lt;&gt;"",EDATE($D76,Milestones!$AA$134)&gt;=$Z76),$AC76,IF(AND($Y76&lt;&gt;"",EDATE($D76,Milestones!$AA$134)&gt;=$Y76),$AB76,$AA76)))=Milestones!$AB$134),UPPER(TEXT(EDATE($D76,Milestones!$AA$134),"dd mmm yy"))&amp;" "&amp;Milestones!$AB$134&amp;" "&amp;IF(AND(Milestones!$AB$134="FT",Milestones!$AA$134=FT_Y5,EDATE($D76,Milestones!$AA$134)&lt;PolicyEff),1,Milestones!$AC$134)&amp;";  ","")&amp;IF(AND(EDATE($D76,Milestones!$AA$135)&lt;=AsOfDate,EDATE($D76,Milestones!$AA$135)&gt;=SchemeStart,IF($X76=0,$AD76,IF(AND($Z76&lt;&gt;"",EDATE($D76,Milestones!$AA$135)&gt;=$Z76),$AC76,IF(AND($Y76&lt;&gt;"",EDATE($D76,Milestones!$AA$135)&gt;=$Y76),$AB76,$AA76)))=Milestones!$AB$135),UPPER(TEXT(EDATE($D76,Milestones!$AA$135),"dd mmm yy"))&amp;" "&amp;Milestones!$AB$135&amp;" "&amp;IF(AND(Milestones!$AB$135="FT",Milestones!$AA$135=FT_Y5,EDATE($D76,Milestones!$AA$135)&lt;PolicyEff),1,Milestones!$AC$135)&amp;";  ","")&amp;IF(AND(EDATE($D76,Milestones!$AA$136)&lt;=AsOfDate,EDATE($D76,Milestones!$AA$136)&gt;=SchemeStart,IF($X76=0,$AD76,IF(AND($Z76&lt;&gt;"",EDATE($D76,Milestones!$AA$136)&gt;=$Z76),$AC76,IF(AND($Y76&lt;&gt;"",EDATE($D76,Milestones!$AA$136)&gt;=$Y76),$AB76,$AA76)))=Milestones!$AB$136),UPPER(TEXT(EDATE($D76,Milestones!$AA$136),"dd mmm yy"))&amp;" "&amp;Milestones!$AB$136&amp;" "&amp;IF(AND(Milestones!$AB$136="FT",Milestones!$AA$136=FT_Y5,EDATE($D76,Milestones!$AA$136)&lt;PolicyEff),1,Milestones!$AC$136)&amp;";  ","")&amp;IF(AND(EDATE($D76,Milestones!$AA$137)&lt;=AsOfDate,EDATE($D76,Milestones!$AA$137)&gt;=SchemeStart,IF($X76=0,$AD76,IF(AND($Z76&lt;&gt;"",EDATE($D76,Milestones!$AA$137)&gt;=$Z76),$AC76,IF(AND($Y76&lt;&gt;"",EDATE($D76,Milestones!$AA$137)&gt;=$Y76),$AB76,$AA76)))=Milestones!$AB$137),UPPER(TEXT(EDATE($D76,Milestones!$AA$137),"dd mmm yy"))&amp;" "&amp;Milestones!$AB$137&amp;" "&amp;IF(AND(Milestones!$AB$137="FT",Milestones!$AA$137=FT_Y5,EDATE($D76,Milestones!$AA$137)&lt;PolicyEff),1,Milestones!$AC$137)&amp;";  ","")&amp;IF(AND(EDATE($D76,Milestones!$AA$138)&lt;=AsOfDate,EDATE($D76,Milestones!$AA$138)&gt;=SchemeStart,IF($X76=0,$AD76,IF(AND($Z76&lt;&gt;"",EDATE($D76,Milestones!$AA$138)&gt;=$Z76),$AC76,IF(AND($Y76&lt;&gt;"",EDATE($D76,Milestones!$AA$138)&gt;=$Y76),$AB76,$AA76)))=Milestones!$AB$138),UPPER(TEXT(EDATE($D76,Milestones!$AA$138),"dd mmm yy"))&amp;" "&amp;Milestones!$AB$138&amp;" "&amp;IF(AND(Milestones!$AB$138="FT",Milestones!$AA$138=FT_Y5,EDATE($D76,Milestones!$AA$138)&lt;PolicyEff),1,Milestones!$AC$138)&amp;";  ","")&amp;IF(AND(EDATE($D76,Milestones!$AA$139)&lt;=AsOfDate,EDATE($D76,Milestones!$AA$139)&gt;=SchemeStart,IF($X76=0,$AD76,IF(AND($Z76&lt;&gt;"",EDATE($D76,Milestones!$AA$139)&gt;=$Z76),$AC76,IF(AND($Y76&lt;&gt;"",EDATE($D76,Milestones!$AA$139)&gt;=$Y76),$AB76,$AA76)))=Milestones!$AB$139),UPPER(TEXT(EDATE($D76,Milestones!$AA$139),"dd mmm yy"))&amp;" "&amp;Milestones!$AB$139&amp;" "&amp;IF(AND(Milestones!$AB$139="FT",Milestones!$AA$139=FT_Y5,EDATE($D76,Milestones!$AA$139)&lt;PolicyEff),1,Milestones!$AC$139)&amp;";  ",""))</f>
        <v/>
      </c>
      <c r="S76" s="0" t="str">
        <f aca="false">IF(OR($A76="",$D76=""),"",IF(AND(EDATE($D76,Milestones!$AA$140)&lt;=AsOfDate,EDATE($D76,Milestones!$AA$140)&gt;=SchemeStart,IF($X76=0,$AD76,IF(AND($Z76&lt;&gt;"",EDATE($D76,Milestones!$AA$140)&gt;=$Z76),$AC76,IF(AND($Y76&lt;&gt;"",EDATE($D76,Milestones!$AA$140)&gt;=$Y76),$AB76,$AA76)))=Milestones!$AB$140),UPPER(TEXT(EDATE($D76,Milestones!$AA$140),"dd mmm yy"))&amp;" "&amp;Milestones!$AB$140&amp;" "&amp;IF(AND(Milestones!$AB$140="FT",Milestones!$AA$140=FT_Y5,EDATE($D76,Milestones!$AA$140)&lt;PolicyEff),1,Milestones!$AC$140)&amp;";  ","")&amp;IF(AND(EDATE($D76,Milestones!$AA$141)&lt;=AsOfDate,EDATE($D76,Milestones!$AA$141)&gt;=SchemeStart,IF($X76=0,$AD76,IF(AND($Z76&lt;&gt;"",EDATE($D76,Milestones!$AA$141)&gt;=$Z76),$AC76,IF(AND($Y76&lt;&gt;"",EDATE($D76,Milestones!$AA$141)&gt;=$Y76),$AB76,$AA76)))=Milestones!$AB$141),UPPER(TEXT(EDATE($D76,Milestones!$AA$141),"dd mmm yy"))&amp;" "&amp;Milestones!$AB$141&amp;" "&amp;IF(AND(Milestones!$AB$141="FT",Milestones!$AA$141=FT_Y5,EDATE($D76,Milestones!$AA$141)&lt;PolicyEff),1,Milestones!$AC$141)&amp;";  ","")&amp;IF(AND(EDATE($D76,Milestones!$AA$142)&lt;=AsOfDate,EDATE($D76,Milestones!$AA$142)&gt;=SchemeStart,IF($X76=0,$AD76,IF(AND($Z76&lt;&gt;"",EDATE($D76,Milestones!$AA$142)&gt;=$Z76),$AC76,IF(AND($Y76&lt;&gt;"",EDATE($D76,Milestones!$AA$142)&gt;=$Y76),$AB76,$AA76)))=Milestones!$AB$142),UPPER(TEXT(EDATE($D76,Milestones!$AA$142),"dd mmm yy"))&amp;" "&amp;Milestones!$AB$142&amp;" "&amp;IF(AND(Milestones!$AB$142="FT",Milestones!$AA$142=FT_Y5,EDATE($D76,Milestones!$AA$142)&lt;PolicyEff),1,Milestones!$AC$142)&amp;";  ","")&amp;IF(AND(EDATE($D76,Milestones!$AA$143)&lt;=AsOfDate,EDATE($D76,Milestones!$AA$143)&gt;=SchemeStart,IF($X76=0,$AD76,IF(AND($Z76&lt;&gt;"",EDATE($D76,Milestones!$AA$143)&gt;=$Z76),$AC76,IF(AND($Y76&lt;&gt;"",EDATE($D76,Milestones!$AA$143)&gt;=$Y76),$AB76,$AA76)))=Milestones!$AB$143),UPPER(TEXT(EDATE($D76,Milestones!$AA$143),"dd mmm yy"))&amp;" "&amp;Milestones!$AB$143&amp;" "&amp;IF(AND(Milestones!$AB$143="FT",Milestones!$AA$143=FT_Y5,EDATE($D76,Milestones!$AA$143)&lt;PolicyEff),1,Milestones!$AC$143)&amp;";  ","")&amp;IF(AND(EDATE($D76,Milestones!$AA$144)&lt;=AsOfDate,EDATE($D76,Milestones!$AA$144)&gt;=SchemeStart,IF($X76=0,$AD76,IF(AND($Z76&lt;&gt;"",EDATE($D76,Milestones!$AA$144)&gt;=$Z76),$AC76,IF(AND($Y76&lt;&gt;"",EDATE($D76,Milestones!$AA$144)&gt;=$Y76),$AB76,$AA76)))=Milestones!$AB$144),UPPER(TEXT(EDATE($D76,Milestones!$AA$144),"dd mmm yy"))&amp;" "&amp;Milestones!$AB$144&amp;" "&amp;IF(AND(Milestones!$AB$144="FT",Milestones!$AA$144=FT_Y5,EDATE($D76,Milestones!$AA$144)&lt;PolicyEff),1,Milestones!$AC$144)&amp;";  ","")&amp;IF(AND(EDATE($D76,Milestones!$AA$145)&lt;=AsOfDate,EDATE($D76,Milestones!$AA$145)&gt;=SchemeStart,IF($X76=0,$AD76,IF(AND($Z76&lt;&gt;"",EDATE($D76,Milestones!$AA$145)&gt;=$Z76),$AC76,IF(AND($Y76&lt;&gt;"",EDATE($D76,Milestones!$AA$145)&gt;=$Y76),$AB76,$AA76)))=Milestones!$AB$145),UPPER(TEXT(EDATE($D76,Milestones!$AA$145),"dd mmm yy"))&amp;" "&amp;Milestones!$AB$145&amp;" "&amp;IF(AND(Milestones!$AB$145="FT",Milestones!$AA$145=FT_Y5,EDATE($D76,Milestones!$AA$145)&lt;PolicyEff),1,Milestones!$AC$145)&amp;";  ","")&amp;IF(AND(EDATE($D76,Milestones!$AA$146)&lt;=AsOfDate,EDATE($D76,Milestones!$AA$146)&gt;=SchemeStart,IF($X76=0,$AD76,IF(AND($Z76&lt;&gt;"",EDATE($D76,Milestones!$AA$146)&gt;=$Z76),$AC76,IF(AND($Y76&lt;&gt;"",EDATE($D76,Milestones!$AA$146)&gt;=$Y76),$AB76,$AA76)))=Milestones!$AB$146),UPPER(TEXT(EDATE($D76,Milestones!$AA$146),"dd mmm yy"))&amp;" "&amp;Milestones!$AB$146&amp;" "&amp;IF(AND(Milestones!$AB$146="FT",Milestones!$AA$146=FT_Y5,EDATE($D76,Milestones!$AA$146)&lt;PolicyEff),1,Milestones!$AC$146)&amp;";  ","")&amp;IF(AND(EDATE($D76,Milestones!$AA$147)&lt;=AsOfDate,EDATE($D76,Milestones!$AA$147)&gt;=SchemeStart,IF($X76=0,$AD76,IF(AND($Z76&lt;&gt;"",EDATE($D76,Milestones!$AA$147)&gt;=$Z76),$AC76,IF(AND($Y76&lt;&gt;"",EDATE($D76,Milestones!$AA$147)&gt;=$Y76),$AB76,$AA76)))=Milestones!$AB$147),UPPER(TEXT(EDATE($D76,Milestones!$AA$147),"dd mmm yy"))&amp;" "&amp;Milestones!$AB$147&amp;" "&amp;IF(AND(Milestones!$AB$147="FT",Milestones!$AA$147=FT_Y5,EDATE($D76,Milestones!$AA$147)&lt;PolicyEff),1,Milestones!$AC$147)&amp;";  ","")&amp;IF(AND(EDATE($D76,Milestones!$AA$148)&lt;=AsOfDate,EDATE($D76,Milestones!$AA$148)&gt;=SchemeStart,IF($X76=0,$AD76,IF(AND($Z76&lt;&gt;"",EDATE($D76,Milestones!$AA$148)&gt;=$Z76),$AC76,IF(AND($Y76&lt;&gt;"",EDATE($D76,Milestones!$AA$148)&gt;=$Y76),$AB76,$AA76)))=Milestones!$AB$148),UPPER(TEXT(EDATE($D76,Milestones!$AA$148),"dd mmm yy"))&amp;" "&amp;Milestones!$AB$148&amp;" "&amp;IF(AND(Milestones!$AB$148="FT",Milestones!$AA$148=FT_Y5,EDATE($D76,Milestones!$AA$148)&lt;PolicyEff),1,Milestones!$AC$148)&amp;";  ","")&amp;IF(AND(EDATE($D76,Milestones!$AA$149)&lt;=AsOfDate,EDATE($D76,Milestones!$AA$149)&gt;=SchemeStart,IF($X76=0,$AD76,IF(AND($Z76&lt;&gt;"",EDATE($D76,Milestones!$AA$149)&gt;=$Z76),$AC76,IF(AND($Y76&lt;&gt;"",EDATE($D76,Milestones!$AA$149)&gt;=$Y76),$AB76,$AA76)))=Milestones!$AB$149),UPPER(TEXT(EDATE($D76,Milestones!$AA$149),"dd mmm yy"))&amp;" "&amp;Milestones!$AB$149&amp;" "&amp;IF(AND(Milestones!$AB$149="FT",Milestones!$AA$149=FT_Y5,EDATE($D76,Milestones!$AA$149)&lt;PolicyEff),1,Milestones!$AC$149)&amp;";  ","")&amp;IF(AND(EDATE($D76,Milestones!$AA$150)&lt;=AsOfDate,EDATE($D76,Milestones!$AA$150)&gt;=SchemeStart,IF($X76=0,$AD76,IF(AND($Z76&lt;&gt;"",EDATE($D76,Milestones!$AA$150)&gt;=$Z76),$AC76,IF(AND($Y76&lt;&gt;"",EDATE($D76,Milestones!$AA$150)&gt;=$Y76),$AB76,$AA76)))=Milestones!$AB$150),UPPER(TEXT(EDATE($D76,Milestones!$AA$150),"dd mmm yy"))&amp;" "&amp;Milestones!$AB$150&amp;" "&amp;IF(AND(Milestones!$AB$150="FT",Milestones!$AA$150=FT_Y5,EDATE($D76,Milestones!$AA$150)&lt;PolicyEff),1,Milestones!$AC$150)&amp;";  ","")&amp;IF(AND(EDATE($D76,Milestones!$AA$151)&lt;=AsOfDate,EDATE($D76,Milestones!$AA$151)&gt;=SchemeStart,IF($X76=0,$AD76,IF(AND($Z76&lt;&gt;"",EDATE($D76,Milestones!$AA$151)&gt;=$Z76),$AC76,IF(AND($Y76&lt;&gt;"",EDATE($D76,Milestones!$AA$151)&gt;=$Y76),$AB76,$AA76)))=Milestones!$AB$151),UPPER(TEXT(EDATE($D76,Milestones!$AA$151),"dd mmm yy"))&amp;" "&amp;Milestones!$AB$151&amp;" "&amp;IF(AND(Milestones!$AB$151="FT",Milestones!$AA$151=FT_Y5,EDATE($D76,Milestones!$AA$151)&lt;PolicyEff),1,Milestones!$AC$151)&amp;";  ",""))</f>
        <v/>
      </c>
      <c r="T76" s="0" t="str">
        <f aca="false">IF(OR($A76="",$D76=""),"",IF(AND(EDATE($D76,Milestones!$AA$152)&lt;=AsOfDate,EDATE($D76,Milestones!$AA$152)&gt;=SchemeStart,IF($X76=0,$AD76,IF(AND($Z76&lt;&gt;"",EDATE($D76,Milestones!$AA$152)&gt;=$Z76),$AC76,IF(AND($Y76&lt;&gt;"",EDATE($D76,Milestones!$AA$152)&gt;=$Y76),$AB76,$AA76)))=Milestones!$AB$152),UPPER(TEXT(EDATE($D76,Milestones!$AA$152),"dd mmm yy"))&amp;" "&amp;Milestones!$AB$152&amp;" "&amp;IF(AND(Milestones!$AB$152="FT",Milestones!$AA$152=FT_Y5,EDATE($D76,Milestones!$AA$152)&lt;PolicyEff),1,Milestones!$AC$152)&amp;";  ","")&amp;IF(AND(EDATE($D76,Milestones!$AA$153)&lt;=AsOfDate,EDATE($D76,Milestones!$AA$153)&gt;=SchemeStart,IF($X76=0,$AD76,IF(AND($Z76&lt;&gt;"",EDATE($D76,Milestones!$AA$153)&gt;=$Z76),$AC76,IF(AND($Y76&lt;&gt;"",EDATE($D76,Milestones!$AA$153)&gt;=$Y76),$AB76,$AA76)))=Milestones!$AB$153),UPPER(TEXT(EDATE($D76,Milestones!$AA$153),"dd mmm yy"))&amp;" "&amp;Milestones!$AB$153&amp;" "&amp;IF(AND(Milestones!$AB$153="FT",Milestones!$AA$153=FT_Y5,EDATE($D76,Milestones!$AA$153)&lt;PolicyEff),1,Milestones!$AC$153)&amp;";  ","")&amp;IF(AND(EDATE($D76,Milestones!$AA$154)&lt;=AsOfDate,EDATE($D76,Milestones!$AA$154)&gt;=SchemeStart,IF($X76=0,$AD76,IF(AND($Z76&lt;&gt;"",EDATE($D76,Milestones!$AA$154)&gt;=$Z76),$AC76,IF(AND($Y76&lt;&gt;"",EDATE($D76,Milestones!$AA$154)&gt;=$Y76),$AB76,$AA76)))=Milestones!$AB$154),UPPER(TEXT(EDATE($D76,Milestones!$AA$154),"dd mmm yy"))&amp;" "&amp;Milestones!$AB$154&amp;" "&amp;IF(AND(Milestones!$AB$154="FT",Milestones!$AA$154=FT_Y5,EDATE($D76,Milestones!$AA$154)&lt;PolicyEff),1,Milestones!$AC$154)&amp;";  ","")&amp;IF(AND(EDATE($D76,Milestones!$AA$155)&lt;=AsOfDate,EDATE($D76,Milestones!$AA$155)&gt;=SchemeStart,IF($X76=0,$AD76,IF(AND($Z76&lt;&gt;"",EDATE($D76,Milestones!$AA$155)&gt;=$Z76),$AC76,IF(AND($Y76&lt;&gt;"",EDATE($D76,Milestones!$AA$155)&gt;=$Y76),$AB76,$AA76)))=Milestones!$AB$155),UPPER(TEXT(EDATE($D76,Milestones!$AA$155),"dd mmm yy"))&amp;" "&amp;Milestones!$AB$155&amp;" "&amp;IF(AND(Milestones!$AB$155="FT",Milestones!$AA$155=FT_Y5,EDATE($D76,Milestones!$AA$155)&lt;PolicyEff),1,Milestones!$AC$155)&amp;";  ","")&amp;IF(AND(EDATE($D76,Milestones!$AA$156)&lt;=AsOfDate,EDATE($D76,Milestones!$AA$156)&gt;=SchemeStart,IF($X76=0,$AD76,IF(AND($Z76&lt;&gt;"",EDATE($D76,Milestones!$AA$156)&gt;=$Z76),$AC76,IF(AND($Y76&lt;&gt;"",EDATE($D76,Milestones!$AA$156)&gt;=$Y76),$AB76,$AA76)))=Milestones!$AB$156),UPPER(TEXT(EDATE($D76,Milestones!$AA$156),"dd mmm yy"))&amp;" "&amp;Milestones!$AB$156&amp;" "&amp;IF(AND(Milestones!$AB$156="FT",Milestones!$AA$156=FT_Y5,EDATE($D76,Milestones!$AA$156)&lt;PolicyEff),1,Milestones!$AC$156)&amp;";  ","")&amp;IF(AND(EDATE($D76,Milestones!$AA$157)&lt;=AsOfDate,EDATE($D76,Milestones!$AA$157)&gt;=SchemeStart,IF($X76=0,$AD76,IF(AND($Z76&lt;&gt;"",EDATE($D76,Milestones!$AA$157)&gt;=$Z76),$AC76,IF(AND($Y76&lt;&gt;"",EDATE($D76,Milestones!$AA$157)&gt;=$Y76),$AB76,$AA76)))=Milestones!$AB$157),UPPER(TEXT(EDATE($D76,Milestones!$AA$157),"dd mmm yy"))&amp;" "&amp;Milestones!$AB$157&amp;" "&amp;IF(AND(Milestones!$AB$157="FT",Milestones!$AA$157=FT_Y5,EDATE($D76,Milestones!$AA$157)&lt;PolicyEff),1,Milestones!$AC$157)&amp;";  ","")&amp;IF(AND(EDATE($D76,Milestones!$AA$158)&lt;=AsOfDate,EDATE($D76,Milestones!$AA$158)&gt;=SchemeStart,IF($X76=0,$AD76,IF(AND($Z76&lt;&gt;"",EDATE($D76,Milestones!$AA$158)&gt;=$Z76),$AC76,IF(AND($Y76&lt;&gt;"",EDATE($D76,Milestones!$AA$158)&gt;=$Y76),$AB76,$AA76)))=Milestones!$AB$158),UPPER(TEXT(EDATE($D76,Milestones!$AA$158),"dd mmm yy"))&amp;" "&amp;Milestones!$AB$158&amp;" "&amp;IF(AND(Milestones!$AB$158="FT",Milestones!$AA$158=FT_Y5,EDATE($D76,Milestones!$AA$158)&lt;PolicyEff),1,Milestones!$AC$158)&amp;";  ","")&amp;IF(AND(EDATE($D76,Milestones!$AA$159)&lt;=AsOfDate,EDATE($D76,Milestones!$AA$159)&gt;=SchemeStart,IF($X76=0,$AD76,IF(AND($Z76&lt;&gt;"",EDATE($D76,Milestones!$AA$159)&gt;=$Z76),$AC76,IF(AND($Y76&lt;&gt;"",EDATE($D76,Milestones!$AA$159)&gt;=$Y76),$AB76,$AA76)))=Milestones!$AB$159),UPPER(TEXT(EDATE($D76,Milestones!$AA$159),"dd mmm yy"))&amp;" "&amp;Milestones!$AB$159&amp;" "&amp;IF(AND(Milestones!$AB$159="FT",Milestones!$AA$159=FT_Y5,EDATE($D76,Milestones!$AA$159)&lt;PolicyEff),1,Milestones!$AC$159)&amp;";  ","")&amp;IF(AND(EDATE($D76,Milestones!$AA$160)&lt;=AsOfDate,EDATE($D76,Milestones!$AA$160)&gt;=SchemeStart,IF($X76=0,$AD76,IF(AND($Z76&lt;&gt;"",EDATE($D76,Milestones!$AA$160)&gt;=$Z76),$AC76,IF(AND($Y76&lt;&gt;"",EDATE($D76,Milestones!$AA$160)&gt;=$Y76),$AB76,$AA76)))=Milestones!$AB$160),UPPER(TEXT(EDATE($D76,Milestones!$AA$160),"dd mmm yy"))&amp;" "&amp;Milestones!$AB$160&amp;" "&amp;IF(AND(Milestones!$AB$160="FT",Milestones!$AA$160=FT_Y5,EDATE($D76,Milestones!$AA$160)&lt;PolicyEff),1,Milestones!$AC$160)&amp;";  ","")&amp;IF(AND(EDATE($D76,Milestones!$AA$161)&lt;=AsOfDate,EDATE($D76,Milestones!$AA$161)&gt;=SchemeStart,IF($X76=0,$AD76,IF(AND($Z76&lt;&gt;"",EDATE($D76,Milestones!$AA$161)&gt;=$Z76),$AC76,IF(AND($Y76&lt;&gt;"",EDATE($D76,Milestones!$AA$161)&gt;=$Y76),$AB76,$AA76)))=Milestones!$AB$161),UPPER(TEXT(EDATE($D76,Milestones!$AA$161),"dd mmm yy"))&amp;" "&amp;Milestones!$AB$161&amp;" "&amp;IF(AND(Milestones!$AB$161="FT",Milestones!$AA$161=FT_Y5,EDATE($D76,Milestones!$AA$161)&lt;PolicyEff),1,Milestones!$AC$161)&amp;";  ","")&amp;IF(AND(EDATE($D76,Milestones!$AA$162)&lt;=AsOfDate,EDATE($D76,Milestones!$AA$162)&gt;=SchemeStart,IF($X76=0,$AD76,IF(AND($Z76&lt;&gt;"",EDATE($D76,Milestones!$AA$162)&gt;=$Z76),$AC76,IF(AND($Y76&lt;&gt;"",EDATE($D76,Milestones!$AA$162)&gt;=$Y76),$AB76,$AA76)))=Milestones!$AB$162),UPPER(TEXT(EDATE($D76,Milestones!$AA$162),"dd mmm yy"))&amp;" "&amp;Milestones!$AB$162&amp;" "&amp;IF(AND(Milestones!$AB$162="FT",Milestones!$AA$162=FT_Y5,EDATE($D76,Milestones!$AA$162)&lt;PolicyEff),1,Milestones!$AC$162)&amp;";  ","")&amp;IF(AND(EDATE($D76,Milestones!$AA$163)&lt;=AsOfDate,EDATE($D76,Milestones!$AA$163)&gt;=SchemeStart,IF($X76=0,$AD76,IF(AND($Z76&lt;&gt;"",EDATE($D76,Milestones!$AA$163)&gt;=$Z76),$AC76,IF(AND($Y76&lt;&gt;"",EDATE($D76,Milestones!$AA$163)&gt;=$Y76),$AB76,$AA76)))=Milestones!$AB$163),UPPER(TEXT(EDATE($D76,Milestones!$AA$163),"dd mmm yy"))&amp;" "&amp;Milestones!$AB$163&amp;" "&amp;IF(AND(Milestones!$AB$163="FT",Milestones!$AA$163=FT_Y5,EDATE($D76,Milestones!$AA$163)&lt;PolicyEff),1,Milestones!$AC$163)&amp;";  ",""))</f>
        <v/>
      </c>
      <c r="U76" s="0" t="str">
        <f aca="false">IF(OR($A76="",$D76=""),"",IF(AND(EDATE($D76,Milestones!$AA$164)&lt;=AsOfDate,EDATE($D76,Milestones!$AA$164)&gt;=SchemeStart,IF($X76=0,$AD76,IF(AND($Z76&lt;&gt;"",EDATE($D76,Milestones!$AA$164)&gt;=$Z76),$AC76,IF(AND($Y76&lt;&gt;"",EDATE($D76,Milestones!$AA$164)&gt;=$Y76),$AB76,$AA76)))=Milestones!$AB$164),UPPER(TEXT(EDATE($D76,Milestones!$AA$164),"dd mmm yy"))&amp;" "&amp;Milestones!$AB$164&amp;" "&amp;IF(AND(Milestones!$AB$164="FT",Milestones!$AA$164=FT_Y5,EDATE($D76,Milestones!$AA$164)&lt;PolicyEff),1,Milestones!$AC$164)&amp;";  ","")&amp;IF(AND(EDATE($D76,Milestones!$AA$165)&lt;=AsOfDate,EDATE($D76,Milestones!$AA$165)&gt;=SchemeStart,IF($X76=0,$AD76,IF(AND($Z76&lt;&gt;"",EDATE($D76,Milestones!$AA$165)&gt;=$Z76),$AC76,IF(AND($Y76&lt;&gt;"",EDATE($D76,Milestones!$AA$165)&gt;=$Y76),$AB76,$AA76)))=Milestones!$AB$165),UPPER(TEXT(EDATE($D76,Milestones!$AA$165),"dd mmm yy"))&amp;" "&amp;Milestones!$AB$165&amp;" "&amp;IF(AND(Milestones!$AB$165="FT",Milestones!$AA$165=FT_Y5,EDATE($D76,Milestones!$AA$165)&lt;PolicyEff),1,Milestones!$AC$165)&amp;";  ","")&amp;IF(AND(EDATE($D76,Milestones!$AA$166)&lt;=AsOfDate,EDATE($D76,Milestones!$AA$166)&gt;=SchemeStart,IF($X76=0,$AD76,IF(AND($Z76&lt;&gt;"",EDATE($D76,Milestones!$AA$166)&gt;=$Z76),$AC76,IF(AND($Y76&lt;&gt;"",EDATE($D76,Milestones!$AA$166)&gt;=$Y76),$AB76,$AA76)))=Milestones!$AB$166),UPPER(TEXT(EDATE($D76,Milestones!$AA$166),"dd mmm yy"))&amp;" "&amp;Milestones!$AB$166&amp;" "&amp;IF(AND(Milestones!$AB$166="FT",Milestones!$AA$166=FT_Y5,EDATE($D76,Milestones!$AA$166)&lt;PolicyEff),1,Milestones!$AC$166)&amp;";  ","")&amp;IF(AND(EDATE($D76,Milestones!$AA$167)&lt;=AsOfDate,EDATE($D76,Milestones!$AA$167)&gt;=SchemeStart,IF($X76=0,$AD76,IF(AND($Z76&lt;&gt;"",EDATE($D76,Milestones!$AA$167)&gt;=$Z76),$AC76,IF(AND($Y76&lt;&gt;"",EDATE($D76,Milestones!$AA$167)&gt;=$Y76),$AB76,$AA76)))=Milestones!$AB$167),UPPER(TEXT(EDATE($D76,Milestones!$AA$167),"dd mmm yy"))&amp;" "&amp;Milestones!$AB$167&amp;" "&amp;IF(AND(Milestones!$AB$167="FT",Milestones!$AA$167=FT_Y5,EDATE($D76,Milestones!$AA$167)&lt;PolicyEff),1,Milestones!$AC$167)&amp;";  ","")&amp;IF(AND(EDATE($D76,Milestones!$AA$168)&lt;=AsOfDate,EDATE($D76,Milestones!$AA$168)&gt;=SchemeStart,IF($X76=0,$AD76,IF(AND($Z76&lt;&gt;"",EDATE($D76,Milestones!$AA$168)&gt;=$Z76),$AC76,IF(AND($Y76&lt;&gt;"",EDATE($D76,Milestones!$AA$168)&gt;=$Y76),$AB76,$AA76)))=Milestones!$AB$168),UPPER(TEXT(EDATE($D76,Milestones!$AA$168),"dd mmm yy"))&amp;" "&amp;Milestones!$AB$168&amp;" "&amp;IF(AND(Milestones!$AB$168="FT",Milestones!$AA$168=FT_Y5,EDATE($D76,Milestones!$AA$168)&lt;PolicyEff),1,Milestones!$AC$168)&amp;";  ","")&amp;IF(AND(EDATE($D76,Milestones!$AA$169)&lt;=AsOfDate,EDATE($D76,Milestones!$AA$169)&gt;=SchemeStart,IF($X76=0,$AD76,IF(AND($Z76&lt;&gt;"",EDATE($D76,Milestones!$AA$169)&gt;=$Z76),$AC76,IF(AND($Y76&lt;&gt;"",EDATE($D76,Milestones!$AA$169)&gt;=$Y76),$AB76,$AA76)))=Milestones!$AB$169),UPPER(TEXT(EDATE($D76,Milestones!$AA$169),"dd mmm yy"))&amp;" "&amp;Milestones!$AB$169&amp;" "&amp;IF(AND(Milestones!$AB$169="FT",Milestones!$AA$169=FT_Y5,EDATE($D76,Milestones!$AA$169)&lt;PolicyEff),1,Milestones!$AC$169)&amp;";  ","")&amp;IF(AND(EDATE($D76,Milestones!$AA$170)&lt;=AsOfDate,EDATE($D76,Milestones!$AA$170)&gt;=SchemeStart,IF($X76=0,$AD76,IF(AND($Z76&lt;&gt;"",EDATE($D76,Milestones!$AA$170)&gt;=$Z76),$AC76,IF(AND($Y76&lt;&gt;"",EDATE($D76,Milestones!$AA$170)&gt;=$Y76),$AB76,$AA76)))=Milestones!$AB$170),UPPER(TEXT(EDATE($D76,Milestones!$AA$170),"dd mmm yy"))&amp;" "&amp;Milestones!$AB$170&amp;" "&amp;IF(AND(Milestones!$AB$170="FT",Milestones!$AA$170=FT_Y5,EDATE($D76,Milestones!$AA$170)&lt;PolicyEff),1,Milestones!$AC$170)&amp;";  ","")&amp;IF(AND(EDATE($D76,Milestones!$AA$171)&lt;=AsOfDate,EDATE($D76,Milestones!$AA$171)&gt;=SchemeStart,IF($X76=0,$AD76,IF(AND($Z76&lt;&gt;"",EDATE($D76,Milestones!$AA$171)&gt;=$Z76),$AC76,IF(AND($Y76&lt;&gt;"",EDATE($D76,Milestones!$AA$171)&gt;=$Y76),$AB76,$AA76)))=Milestones!$AB$171),UPPER(TEXT(EDATE($D76,Milestones!$AA$171),"dd mmm yy"))&amp;" "&amp;Milestones!$AB$171&amp;" "&amp;IF(AND(Milestones!$AB$171="FT",Milestones!$AA$171=FT_Y5,EDATE($D76,Milestones!$AA$171)&lt;PolicyEff),1,Milestones!$AC$171)&amp;";  ","")&amp;IF(AND(EDATE($D76,Milestones!$AA$172)&lt;=AsOfDate,EDATE($D76,Milestones!$AA$172)&gt;=SchemeStart,IF($X76=0,$AD76,IF(AND($Z76&lt;&gt;"",EDATE($D76,Milestones!$AA$172)&gt;=$Z76),$AC76,IF(AND($Y76&lt;&gt;"",EDATE($D76,Milestones!$AA$172)&gt;=$Y76),$AB76,$AA76)))=Milestones!$AB$172),UPPER(TEXT(EDATE($D76,Milestones!$AA$172),"dd mmm yy"))&amp;" "&amp;Milestones!$AB$172&amp;" "&amp;IF(AND(Milestones!$AB$172="FT",Milestones!$AA$172=FT_Y5,EDATE($D76,Milestones!$AA$172)&lt;PolicyEff),1,Milestones!$AC$172)&amp;";  ","")&amp;IF(AND(EDATE($D76,Milestones!$AA$173)&lt;=AsOfDate,EDATE($D76,Milestones!$AA$173)&gt;=SchemeStart,IF($X76=0,$AD76,IF(AND($Z76&lt;&gt;"",EDATE($D76,Milestones!$AA$173)&gt;=$Z76),$AC76,IF(AND($Y76&lt;&gt;"",EDATE($D76,Milestones!$AA$173)&gt;=$Y76),$AB76,$AA76)))=Milestones!$AB$173),UPPER(TEXT(EDATE($D76,Milestones!$AA$173),"dd mmm yy"))&amp;" "&amp;Milestones!$AB$173&amp;" "&amp;IF(AND(Milestones!$AB$173="FT",Milestones!$AA$173=FT_Y5,EDATE($D76,Milestones!$AA$173)&lt;PolicyEff),1,Milestones!$AC$173)&amp;";  ","")&amp;IF(AND(EDATE($D76,Milestones!$AA$174)&lt;=AsOfDate,EDATE($D76,Milestones!$AA$174)&gt;=SchemeStart,IF($X76=0,$AD76,IF(AND($Z76&lt;&gt;"",EDATE($D76,Milestones!$AA$174)&gt;=$Z76),$AC76,IF(AND($Y76&lt;&gt;"",EDATE($D76,Milestones!$AA$174)&gt;=$Y76),$AB76,$AA76)))=Milestones!$AB$174),UPPER(TEXT(EDATE($D76,Milestones!$AA$174),"dd mmm yy"))&amp;" "&amp;Milestones!$AB$174&amp;" "&amp;IF(AND(Milestones!$AB$174="FT",Milestones!$AA$174=FT_Y5,EDATE($D76,Milestones!$AA$174)&lt;PolicyEff),1,Milestones!$AC$174)&amp;";  ","")&amp;IF(AND(EDATE($D76,Milestones!$AA$175)&lt;=AsOfDate,EDATE($D76,Milestones!$AA$175)&gt;=SchemeStart,IF($X76=0,$AD76,IF(AND($Z76&lt;&gt;"",EDATE($D76,Milestones!$AA$175)&gt;=$Z76),$AC76,IF(AND($Y76&lt;&gt;"",EDATE($D76,Milestones!$AA$175)&gt;=$Y76),$AB76,$AA76)))=Milestones!$AB$175),UPPER(TEXT(EDATE($D76,Milestones!$AA$175),"dd mmm yy"))&amp;" "&amp;Milestones!$AB$175&amp;" "&amp;IF(AND(Milestones!$AB$175="FT",Milestones!$AA$175=FT_Y5,EDATE($D76,Milestones!$AA$175)&lt;PolicyEff),1,Milestones!$AC$175)&amp;";  ",""))</f>
        <v/>
      </c>
      <c r="V76" s="0" t="str">
        <f aca="false">IF(OR($A76="",$D76=""),"",IF(AND(EDATE($D76,Milestones!$AA$176)&lt;=AsOfDate,EDATE($D76,Milestones!$AA$176)&gt;=SchemeStart,IF($X76=0,$AD76,IF(AND($Z76&lt;&gt;"",EDATE($D76,Milestones!$AA$176)&gt;=$Z76),$AC76,IF(AND($Y76&lt;&gt;"",EDATE($D76,Milestones!$AA$176)&gt;=$Y76),$AB76,$AA76)))=Milestones!$AB$176),UPPER(TEXT(EDATE($D76,Milestones!$AA$176),"dd mmm yy"))&amp;" "&amp;Milestones!$AB$176&amp;" "&amp;IF(AND(Milestones!$AB$176="FT",Milestones!$AA$176=FT_Y5,EDATE($D76,Milestones!$AA$176)&lt;PolicyEff),1,Milestones!$AC$176)&amp;";  ","")&amp;IF(AND(EDATE($D76,Milestones!$AA$177)&lt;=AsOfDate,EDATE($D76,Milestones!$AA$177)&gt;=SchemeStart,IF($X76=0,$AD76,IF(AND($Z76&lt;&gt;"",EDATE($D76,Milestones!$AA$177)&gt;=$Z76),$AC76,IF(AND($Y76&lt;&gt;"",EDATE($D76,Milestones!$AA$177)&gt;=$Y76),$AB76,$AA76)))=Milestones!$AB$177),UPPER(TEXT(EDATE($D76,Milestones!$AA$177),"dd mmm yy"))&amp;" "&amp;Milestones!$AB$177&amp;" "&amp;IF(AND(Milestones!$AB$177="FT",Milestones!$AA$177=FT_Y5,EDATE($D76,Milestones!$AA$177)&lt;PolicyEff),1,Milestones!$AC$177)&amp;";  ","")&amp;IF(AND(EDATE($D76,Milestones!$AA$178)&lt;=AsOfDate,EDATE($D76,Milestones!$AA$178)&gt;=SchemeStart,IF($X76=0,$AD76,IF(AND($Z76&lt;&gt;"",EDATE($D76,Milestones!$AA$178)&gt;=$Z76),$AC76,IF(AND($Y76&lt;&gt;"",EDATE($D76,Milestones!$AA$178)&gt;=$Y76),$AB76,$AA76)))=Milestones!$AB$178),UPPER(TEXT(EDATE($D76,Milestones!$AA$178),"dd mmm yy"))&amp;" "&amp;Milestones!$AB$178&amp;" "&amp;IF(AND(Milestones!$AB$178="FT",Milestones!$AA$178=FT_Y5,EDATE($D76,Milestones!$AA$178)&lt;PolicyEff),1,Milestones!$AC$178)&amp;";  ","")&amp;IF(AND(EDATE($D76,Milestones!$AA$179)&lt;=AsOfDate,EDATE($D76,Milestones!$AA$179)&gt;=SchemeStart,IF($X76=0,$AD76,IF(AND($Z76&lt;&gt;"",EDATE($D76,Milestones!$AA$179)&gt;=$Z76),$AC76,IF(AND($Y76&lt;&gt;"",EDATE($D76,Milestones!$AA$179)&gt;=$Y76),$AB76,$AA76)))=Milestones!$AB$179),UPPER(TEXT(EDATE($D76,Milestones!$AA$179),"dd mmm yy"))&amp;" "&amp;Milestones!$AB$179&amp;" "&amp;IF(AND(Milestones!$AB$179="FT",Milestones!$AA$179=FT_Y5,EDATE($D76,Milestones!$AA$179)&lt;PolicyEff),1,Milestones!$AC$179)&amp;";  ","")&amp;IF(AND(EDATE($D76,Milestones!$AA$180)&lt;=AsOfDate,EDATE($D76,Milestones!$AA$180)&gt;=SchemeStart,IF($X76=0,$AD76,IF(AND($Z76&lt;&gt;"",EDATE($D76,Milestones!$AA$180)&gt;=$Z76),$AC76,IF(AND($Y76&lt;&gt;"",EDATE($D76,Milestones!$AA$180)&gt;=$Y76),$AB76,$AA76)))=Milestones!$AB$180),UPPER(TEXT(EDATE($D76,Milestones!$AA$180),"dd mmm yy"))&amp;" "&amp;Milestones!$AB$180&amp;" "&amp;IF(AND(Milestones!$AB$180="FT",Milestones!$AA$180=FT_Y5,EDATE($D76,Milestones!$AA$180)&lt;PolicyEff),1,Milestones!$AC$180)&amp;";  ","")&amp;IF(AND(EDATE($D76,Milestones!$AA$181)&lt;=AsOfDate,EDATE($D76,Milestones!$AA$181)&gt;=SchemeStart,IF($X76=0,$AD76,IF(AND($Z76&lt;&gt;"",EDATE($D76,Milestones!$AA$181)&gt;=$Z76),$AC76,IF(AND($Y76&lt;&gt;"",EDATE($D76,Milestones!$AA$181)&gt;=$Y76),$AB76,$AA76)))=Milestones!$AB$181),UPPER(TEXT(EDATE($D76,Milestones!$AA$181),"dd mmm yy"))&amp;" "&amp;Milestones!$AB$181&amp;" "&amp;IF(AND(Milestones!$AB$181="FT",Milestones!$AA$181=FT_Y5,EDATE($D76,Milestones!$AA$181)&lt;PolicyEff),1,Milestones!$AC$181)&amp;";  ","")&amp;IF(AND(EDATE($D76,Milestones!$AA$182)&lt;=AsOfDate,EDATE($D76,Milestones!$AA$182)&gt;=SchemeStart,IF($X76=0,$AD76,IF(AND($Z76&lt;&gt;"",EDATE($D76,Milestones!$AA$182)&gt;=$Z76),$AC76,IF(AND($Y76&lt;&gt;"",EDATE($D76,Milestones!$AA$182)&gt;=$Y76),$AB76,$AA76)))=Milestones!$AB$182),UPPER(TEXT(EDATE($D76,Milestones!$AA$182),"dd mmm yy"))&amp;" "&amp;Milestones!$AB$182&amp;" "&amp;IF(AND(Milestones!$AB$182="FT",Milestones!$AA$182=FT_Y5,EDATE($D76,Milestones!$AA$182)&lt;PolicyEff),1,Milestones!$AC$182)&amp;";  ","")&amp;IF(AND(EDATE($D76,Milestones!$AA$183)&lt;=AsOfDate,EDATE($D76,Milestones!$AA$183)&gt;=SchemeStart,IF($X76=0,$AD76,IF(AND($Z76&lt;&gt;"",EDATE($D76,Milestones!$AA$183)&gt;=$Z76),$AC76,IF(AND($Y76&lt;&gt;"",EDATE($D76,Milestones!$AA$183)&gt;=$Y76),$AB76,$AA76)))=Milestones!$AB$183),UPPER(TEXT(EDATE($D76,Milestones!$AA$183),"dd mmm yy"))&amp;" "&amp;Milestones!$AB$183&amp;" "&amp;IF(AND(Milestones!$AB$183="FT",Milestones!$AA$183=FT_Y5,EDATE($D76,Milestones!$AA$183)&lt;PolicyEff),1,Milestones!$AC$183)&amp;";  ","")&amp;IF(AND(EDATE($D76,Milestones!$AA$184)&lt;=AsOfDate,EDATE($D76,Milestones!$AA$184)&gt;=SchemeStart,IF($X76=0,$AD76,IF(AND($Z76&lt;&gt;"",EDATE($D76,Milestones!$AA$184)&gt;=$Z76),$AC76,IF(AND($Y76&lt;&gt;"",EDATE($D76,Milestones!$AA$184)&gt;=$Y76),$AB76,$AA76)))=Milestones!$AB$184),UPPER(TEXT(EDATE($D76,Milestones!$AA$184),"dd mmm yy"))&amp;" "&amp;Milestones!$AB$184&amp;" "&amp;IF(AND(Milestones!$AB$184="FT",Milestones!$AA$184=FT_Y5,EDATE($D76,Milestones!$AA$184)&lt;PolicyEff),1,Milestones!$AC$184)&amp;";  ","")&amp;IF(AND(EDATE($D76,Milestones!$AA$185)&lt;=AsOfDate,EDATE($D76,Milestones!$AA$185)&gt;=SchemeStart,IF($X76=0,$AD76,IF(AND($Z76&lt;&gt;"",EDATE($D76,Milestones!$AA$185)&gt;=$Z76),$AC76,IF(AND($Y76&lt;&gt;"",EDATE($D76,Milestones!$AA$185)&gt;=$Y76),$AB76,$AA76)))=Milestones!$AB$185),UPPER(TEXT(EDATE($D76,Milestones!$AA$185),"dd mmm yy"))&amp;" "&amp;Milestones!$AB$185&amp;" "&amp;IF(AND(Milestones!$AB$185="FT",Milestones!$AA$185=FT_Y5,EDATE($D76,Milestones!$AA$185)&lt;PolicyEff),1,Milestones!$AC$185)&amp;";  ","")&amp;IF(AND(EDATE($D76,Milestones!$AA$186)&lt;=AsOfDate,EDATE($D76,Milestones!$AA$186)&gt;=SchemeStart,IF($X76=0,$AD76,IF(AND($Z76&lt;&gt;"",EDATE($D76,Milestones!$AA$186)&gt;=$Z76),$AC76,IF(AND($Y76&lt;&gt;"",EDATE($D76,Milestones!$AA$186)&gt;=$Y76),$AB76,$AA76)))=Milestones!$AB$186),UPPER(TEXT(EDATE($D76,Milestones!$AA$186),"dd mmm yy"))&amp;" "&amp;Milestones!$AB$186&amp;" "&amp;IF(AND(Milestones!$AB$186="FT",Milestones!$AA$186=FT_Y5,EDATE($D76,Milestones!$AA$186)&lt;PolicyEff),1,Milestones!$AC$186)&amp;";  ","")&amp;IF(AND(EDATE($D76,Milestones!$AA$187)&lt;=AsOfDate,EDATE($D76,Milestones!$AA$187)&gt;=SchemeStart,IF($X76=0,$AD76,IF(AND($Z76&lt;&gt;"",EDATE($D76,Milestones!$AA$187)&gt;=$Z76),$AC76,IF(AND($Y76&lt;&gt;"",EDATE($D76,Milestones!$AA$187)&gt;=$Y76),$AB76,$AA76)))=Milestones!$AB$187),UPPER(TEXT(EDATE($D76,Milestones!$AA$187),"dd mmm yy"))&amp;" "&amp;Milestones!$AB$187&amp;" "&amp;IF(AND(Milestones!$AB$187="FT",Milestones!$AA$187=FT_Y5,EDATE($D76,Milestones!$AA$187)&lt;PolicyEff),1,Milestones!$AC$187)&amp;";  ",""))</f>
        <v/>
      </c>
      <c r="W76" s="0" t="str">
        <f aca="false">IF(OR($A76="",$D76=""),"",IF(AND(EDATE($D76,Milestones!$AA$188)&lt;=AsOfDate,EDATE($D76,Milestones!$AA$188)&gt;=SchemeStart,IF($X76=0,$AD76,IF(AND($Z76&lt;&gt;"",EDATE($D76,Milestones!$AA$188)&gt;=$Z76),$AC76,IF(AND($Y76&lt;&gt;"",EDATE($D76,Milestones!$AA$188)&gt;=$Y76),$AB76,$AA76)))=Milestones!$AB$188),UPPER(TEXT(EDATE($D76,Milestones!$AA$188),"dd mmm yy"))&amp;" "&amp;Milestones!$AB$188&amp;" "&amp;IF(AND(Milestones!$AB$188="FT",Milestones!$AA$188=FT_Y5,EDATE($D76,Milestones!$AA$188)&lt;PolicyEff),1,Milestones!$AC$188)&amp;";  ","")&amp;IF(AND(EDATE($D76,Milestones!$AA$189)&lt;=AsOfDate,EDATE($D76,Milestones!$AA$189)&gt;=SchemeStart,IF($X76=0,$AD76,IF(AND($Z76&lt;&gt;"",EDATE($D76,Milestones!$AA$189)&gt;=$Z76),$AC76,IF(AND($Y76&lt;&gt;"",EDATE($D76,Milestones!$AA$189)&gt;=$Y76),$AB76,$AA76)))=Milestones!$AB$189),UPPER(TEXT(EDATE($D76,Milestones!$AA$189),"dd mmm yy"))&amp;" "&amp;Milestones!$AB$189&amp;" "&amp;IF(AND(Milestones!$AB$189="FT",Milestones!$AA$189=FT_Y5,EDATE($D76,Milestones!$AA$189)&lt;PolicyEff),1,Milestones!$AC$189)&amp;";  ","")&amp;IF(AND(EDATE($D76,Milestones!$AA$190)&lt;=AsOfDate,EDATE($D76,Milestones!$AA$190)&gt;=SchemeStart,IF($X76=0,$AD76,IF(AND($Z76&lt;&gt;"",EDATE($D76,Milestones!$AA$190)&gt;=$Z76),$AC76,IF(AND($Y76&lt;&gt;"",EDATE($D76,Milestones!$AA$190)&gt;=$Y76),$AB76,$AA76)))=Milestones!$AB$190),UPPER(TEXT(EDATE($D76,Milestones!$AA$190),"dd mmm yy"))&amp;" "&amp;Milestones!$AB$190&amp;" "&amp;IF(AND(Milestones!$AB$190="FT",Milestones!$AA$190=FT_Y5,EDATE($D76,Milestones!$AA$190)&lt;PolicyEff),1,Milestones!$AC$190)&amp;";  ","")&amp;IF(AND(EDATE($D76,Milestones!$AA$191)&lt;=AsOfDate,EDATE($D76,Milestones!$AA$191)&gt;=SchemeStart,IF($X76=0,$AD76,IF(AND($Z76&lt;&gt;"",EDATE($D76,Milestones!$AA$191)&gt;=$Z76),$AC76,IF(AND($Y76&lt;&gt;"",EDATE($D76,Milestones!$AA$191)&gt;=$Y76),$AB76,$AA76)))=Milestones!$AB$191),UPPER(TEXT(EDATE($D76,Milestones!$AA$191),"dd mmm yy"))&amp;" "&amp;Milestones!$AB$191&amp;" "&amp;IF(AND(Milestones!$AB$191="FT",Milestones!$AA$191=FT_Y5,EDATE($D76,Milestones!$AA$191)&lt;PolicyEff),1,Milestones!$AC$191)&amp;";  ","")&amp;IF(AND(EDATE($D76,Milestones!$AA$192)&lt;=AsOfDate,EDATE($D76,Milestones!$AA$192)&gt;=SchemeStart,IF($X76=0,$AD76,IF(AND($Z76&lt;&gt;"",EDATE($D76,Milestones!$AA$192)&gt;=$Z76),$AC76,IF(AND($Y76&lt;&gt;"",EDATE($D76,Milestones!$AA$192)&gt;=$Y76),$AB76,$AA76)))=Milestones!$AB$192),UPPER(TEXT(EDATE($D76,Milestones!$AA$192),"dd mmm yy"))&amp;" "&amp;Milestones!$AB$192&amp;" "&amp;IF(AND(Milestones!$AB$192="FT",Milestones!$AA$192=FT_Y5,EDATE($D76,Milestones!$AA$192)&lt;PolicyEff),1,Milestones!$AC$192)&amp;";  ","")&amp;IF(AND(EDATE($D76,Milestones!$AA$193)&lt;=AsOfDate,EDATE($D76,Milestones!$AA$193)&gt;=SchemeStart,IF($X76=0,$AD76,IF(AND($Z76&lt;&gt;"",EDATE($D76,Milestones!$AA$193)&gt;=$Z76),$AC76,IF(AND($Y76&lt;&gt;"",EDATE($D76,Milestones!$AA$193)&gt;=$Y76),$AB76,$AA76)))=Milestones!$AB$193),UPPER(TEXT(EDATE($D76,Milestones!$AA$193),"dd mmm yy"))&amp;" "&amp;Milestones!$AB$193&amp;" "&amp;IF(AND(Milestones!$AB$193="FT",Milestones!$AA$193=FT_Y5,EDATE($D76,Milestones!$AA$193)&lt;PolicyEff),1,Milestones!$AC$193)&amp;";  ","")&amp;IF(AND(EDATE($D76,Milestones!$AA$194)&lt;=AsOfDate,EDATE($D76,Milestones!$AA$194)&gt;=SchemeStart,IF($X76=0,$AD76,IF(AND($Z76&lt;&gt;"",EDATE($D76,Milestones!$AA$194)&gt;=$Z76),$AC76,IF(AND($Y76&lt;&gt;"",EDATE($D76,Milestones!$AA$194)&gt;=$Y76),$AB76,$AA76)))=Milestones!$AB$194),UPPER(TEXT(EDATE($D76,Milestones!$AA$194),"dd mmm yy"))&amp;" "&amp;Milestones!$AB$194&amp;" "&amp;IF(AND(Milestones!$AB$194="FT",Milestones!$AA$194=FT_Y5,EDATE($D76,Milestones!$AA$194)&lt;PolicyEff),1,Milestones!$AC$194)&amp;";  ","")&amp;IF(AND(EDATE($D76,Milestones!$AA$195)&lt;=AsOfDate,EDATE($D76,Milestones!$AA$195)&gt;=SchemeStart,IF($X76=0,$AD76,IF(AND($Z76&lt;&gt;"",EDATE($D76,Milestones!$AA$195)&gt;=$Z76),$AC76,IF(AND($Y76&lt;&gt;"",EDATE($D76,Milestones!$AA$195)&gt;=$Y76),$AB76,$AA76)))=Milestones!$AB$195),UPPER(TEXT(EDATE($D76,Milestones!$AA$195),"dd mmm yy"))&amp;" "&amp;Milestones!$AB$195&amp;" "&amp;IF(AND(Milestones!$AB$195="FT",Milestones!$AA$195=FT_Y5,EDATE($D76,Milestones!$AA$195)&lt;PolicyEff),1,Milestones!$AC$195)&amp;";  ","")&amp;IF(AND(EDATE($D76,Milestones!$AA$196)&lt;=AsOfDate,EDATE($D76,Milestones!$AA$196)&gt;=SchemeStart,IF($X76=0,$AD76,IF(AND($Z76&lt;&gt;"",EDATE($D76,Milestones!$AA$196)&gt;=$Z76),$AC76,IF(AND($Y76&lt;&gt;"",EDATE($D76,Milestones!$AA$196)&gt;=$Y76),$AB76,$AA76)))=Milestones!$AB$196),UPPER(TEXT(EDATE($D76,Milestones!$AA$196),"dd mmm yy"))&amp;" "&amp;Milestones!$AB$196&amp;" "&amp;IF(AND(Milestones!$AB$196="FT",Milestones!$AA$196=FT_Y5,EDATE($D76,Milestones!$AA$196)&lt;PolicyEff),1,Milestones!$AC$196)&amp;";  ","")&amp;IF(AND(EDATE($D76,Milestones!$AA$197)&lt;=AsOfDate,EDATE($D76,Milestones!$AA$197)&gt;=SchemeStart,IF($X76=0,$AD76,IF(AND($Z76&lt;&gt;"",EDATE($D76,Milestones!$AA$197)&gt;=$Z76),$AC76,IF(AND($Y76&lt;&gt;"",EDATE($D76,Milestones!$AA$197)&gt;=$Y76),$AB76,$AA76)))=Milestones!$AB$197),UPPER(TEXT(EDATE($D76,Milestones!$AA$197),"dd mmm yy"))&amp;" "&amp;Milestones!$AB$197&amp;" "&amp;IF(AND(Milestones!$AB$197="FT",Milestones!$AA$197=FT_Y5,EDATE($D76,Milestones!$AA$197)&lt;PolicyEff),1,Milestones!$AC$197)&amp;";  ","")&amp;IF(AND(EDATE($D76,Milestones!$AA$198)&lt;=AsOfDate,EDATE($D76,Milestones!$AA$198)&gt;=SchemeStart,IF($X76=0,$AD76,IF(AND($Z76&lt;&gt;"",EDATE($D76,Milestones!$AA$198)&gt;=$Z76),$AC76,IF(AND($Y76&lt;&gt;"",EDATE($D76,Milestones!$AA$198)&gt;=$Y76),$AB76,$AA76)))=Milestones!$AB$198),UPPER(TEXT(EDATE($D76,Milestones!$AA$198),"dd mmm yy"))&amp;" "&amp;Milestones!$AB$198&amp;" "&amp;IF(AND(Milestones!$AB$198="FT",Milestones!$AA$198=FT_Y5,EDATE($D76,Milestones!$AA$198)&lt;PolicyEff),1,Milestones!$AC$198)&amp;";  ","")&amp;IF(AND(EDATE($D76,Milestones!$AA$199)&lt;=AsOfDate,EDATE($D76,Milestones!$AA$199)&gt;=SchemeStart,IF($X76=0,$AD76,IF(AND($Z76&lt;&gt;"",EDATE($D76,Milestones!$AA$199)&gt;=$Z76),$AC76,IF(AND($Y76&lt;&gt;"",EDATE($D76,Milestones!$AA$199)&gt;=$Y76),$AB76,$AA76)))=Milestones!$AB$199),UPPER(TEXT(EDATE($D76,Milestones!$AA$199),"dd mmm yy"))&amp;" "&amp;Milestones!$AB$199&amp;" "&amp;IF(AND(Milestones!$AB$199="FT",Milestones!$AA$199=FT_Y5,EDATE($D76,Milestones!$AA$199)&lt;PolicyEff),1,Milestones!$AC$199)&amp;";  ",""))</f>
        <v/>
      </c>
      <c r="X76" s="0" t="str">
        <f aca="false">IF(Staff!$A76="","",Staff!$AM76)</f>
        <v/>
      </c>
      <c r="Y76" s="0" t="str">
        <f aca="false">IF(Staff!$A76="","",Staff!$AO76)</f>
        <v/>
      </c>
      <c r="Z76" s="0" t="str">
        <f aca="false">IF(Staff!$A76="","",Staff!$AP76)</f>
        <v/>
      </c>
      <c r="AA76" s="0" t="str">
        <f aca="false">IF(Staff!$A76="","",Staff!$AT76)</f>
        <v/>
      </c>
      <c r="AB76" s="0" t="str">
        <f aca="false">IF(Staff!$A76="","",Staff!$AU76)</f>
        <v/>
      </c>
      <c r="AC76" s="0" t="str">
        <f aca="false">IF(Staff!$A76="","",Staff!$AV76)</f>
        <v/>
      </c>
      <c r="AD76" s="0" t="str">
        <f aca="false">IF(Staff!$A76="","",Staff!$AW76)</f>
        <v/>
      </c>
    </row>
    <row r="77" customFormat="false" ht="15" hidden="false" customHeight="false" outlineLevel="0" collapsed="false">
      <c r="A77" s="16" t="str">
        <f aca="false">IF(Staff!$A77="","",Staff!$A77)</f>
        <v/>
      </c>
      <c r="B77" s="16" t="str">
        <f aca="false">IF(Staff!$A77="","",Staff!$B77)</f>
        <v/>
      </c>
      <c r="C77" s="16" t="str">
        <f aca="false">IF(Staff!$A77="","",Staff!$C77)</f>
        <v/>
      </c>
      <c r="D77" s="14" t="str">
        <f aca="false">IF(Staff!$A77="","",Staff!$AL77)</f>
        <v/>
      </c>
      <c r="E77" s="16" t="str">
        <f aca="false">IF(Staff!$A77="","",Staff!$O77)</f>
        <v/>
      </c>
      <c r="F77" s="16" t="str">
        <f aca="false">IF(E77="","",E77*HoursPerDay)</f>
        <v/>
      </c>
      <c r="G77" s="16" t="str">
        <f aca="false">IF(Staff!$A77="","",Staff!$AE77)</f>
        <v/>
      </c>
      <c r="H77" s="28" t="str">
        <f aca="false">IF($A77="","",I77&amp;J77&amp;K77&amp;L77&amp;M77&amp;N77&amp;O77&amp;P77&amp;Q77&amp;R77&amp;S77&amp;T77&amp;U77&amp;V77&amp;W77)</f>
        <v/>
      </c>
      <c r="I77" s="0" t="str">
        <f aca="false">IF(OR($A77="",$D77=""),"",IF(AND(EDATE($D77,Milestones!$AA$20)&lt;=AsOfDate,EDATE($D77,Milestones!$AA$20)&gt;=SchemeStart,IF($X77=0,$AD77,IF(AND($Z77&lt;&gt;"",EDATE($D77,Milestones!$AA$20)&gt;=$Z77),$AC77,IF(AND($Y77&lt;&gt;"",EDATE($D77,Milestones!$AA$20)&gt;=$Y77),$AB77,$AA77)))=Milestones!$AB$20),UPPER(TEXT(EDATE($D77,Milestones!$AA$20),"dd mmm yy"))&amp;" "&amp;Milestones!$AB$20&amp;" "&amp;IF(AND(Milestones!$AB$20="FT",Milestones!$AA$20=FT_Y5,EDATE($D77,Milestones!$AA$20)&lt;PolicyEff),1,Milestones!$AC$20)&amp;";  ","")&amp;IF(AND(EDATE($D77,Milestones!$AA$21)&lt;=AsOfDate,EDATE($D77,Milestones!$AA$21)&gt;=SchemeStart,IF($X77=0,$AD77,IF(AND($Z77&lt;&gt;"",EDATE($D77,Milestones!$AA$21)&gt;=$Z77),$AC77,IF(AND($Y77&lt;&gt;"",EDATE($D77,Milestones!$AA$21)&gt;=$Y77),$AB77,$AA77)))=Milestones!$AB$21),UPPER(TEXT(EDATE($D77,Milestones!$AA$21),"dd mmm yy"))&amp;" "&amp;Milestones!$AB$21&amp;" "&amp;IF(AND(Milestones!$AB$21="FT",Milestones!$AA$21=FT_Y5,EDATE($D77,Milestones!$AA$21)&lt;PolicyEff),1,Milestones!$AC$21)&amp;";  ","")&amp;IF(AND(EDATE($D77,Milestones!$AA$22)&lt;=AsOfDate,EDATE($D77,Milestones!$AA$22)&gt;=SchemeStart,IF($X77=0,$AD77,IF(AND($Z77&lt;&gt;"",EDATE($D77,Milestones!$AA$22)&gt;=$Z77),$AC77,IF(AND($Y77&lt;&gt;"",EDATE($D77,Milestones!$AA$22)&gt;=$Y77),$AB77,$AA77)))=Milestones!$AB$22),UPPER(TEXT(EDATE($D77,Milestones!$AA$22),"dd mmm yy"))&amp;" "&amp;Milestones!$AB$22&amp;" "&amp;IF(AND(Milestones!$AB$22="FT",Milestones!$AA$22=FT_Y5,EDATE($D77,Milestones!$AA$22)&lt;PolicyEff),1,Milestones!$AC$22)&amp;";  ","")&amp;IF(AND(EDATE($D77,Milestones!$AA$23)&lt;=AsOfDate,EDATE($D77,Milestones!$AA$23)&gt;=SchemeStart,IF($X77=0,$AD77,IF(AND($Z77&lt;&gt;"",EDATE($D77,Milestones!$AA$23)&gt;=$Z77),$AC77,IF(AND($Y77&lt;&gt;"",EDATE($D77,Milestones!$AA$23)&gt;=$Y77),$AB77,$AA77)))=Milestones!$AB$23),UPPER(TEXT(EDATE($D77,Milestones!$AA$23),"dd mmm yy"))&amp;" "&amp;Milestones!$AB$23&amp;" "&amp;IF(AND(Milestones!$AB$23="FT",Milestones!$AA$23=FT_Y5,EDATE($D77,Milestones!$AA$23)&lt;PolicyEff),1,Milestones!$AC$23)&amp;";  ","")&amp;IF(AND(EDATE($D77,Milestones!$AA$24)&lt;=AsOfDate,EDATE($D77,Milestones!$AA$24)&gt;=SchemeStart,IF($X77=0,$AD77,IF(AND($Z77&lt;&gt;"",EDATE($D77,Milestones!$AA$24)&gt;=$Z77),$AC77,IF(AND($Y77&lt;&gt;"",EDATE($D77,Milestones!$AA$24)&gt;=$Y77),$AB77,$AA77)))=Milestones!$AB$24),UPPER(TEXT(EDATE($D77,Milestones!$AA$24),"dd mmm yy"))&amp;" "&amp;Milestones!$AB$24&amp;" "&amp;IF(AND(Milestones!$AB$24="FT",Milestones!$AA$24=FT_Y5,EDATE($D77,Milestones!$AA$24)&lt;PolicyEff),1,Milestones!$AC$24)&amp;";  ","")&amp;IF(AND(EDATE($D77,Milestones!$AA$25)&lt;=AsOfDate,EDATE($D77,Milestones!$AA$25)&gt;=SchemeStart,IF($X77=0,$AD77,IF(AND($Z77&lt;&gt;"",EDATE($D77,Milestones!$AA$25)&gt;=$Z77),$AC77,IF(AND($Y77&lt;&gt;"",EDATE($D77,Milestones!$AA$25)&gt;=$Y77),$AB77,$AA77)))=Milestones!$AB$25),UPPER(TEXT(EDATE($D77,Milestones!$AA$25),"dd mmm yy"))&amp;" "&amp;Milestones!$AB$25&amp;" "&amp;IF(AND(Milestones!$AB$25="FT",Milestones!$AA$25=FT_Y5,EDATE($D77,Milestones!$AA$25)&lt;PolicyEff),1,Milestones!$AC$25)&amp;";  ","")&amp;IF(AND(EDATE($D77,Milestones!$AA$26)&lt;=AsOfDate,EDATE($D77,Milestones!$AA$26)&gt;=SchemeStart,IF($X77=0,$AD77,IF(AND($Z77&lt;&gt;"",EDATE($D77,Milestones!$AA$26)&gt;=$Z77),$AC77,IF(AND($Y77&lt;&gt;"",EDATE($D77,Milestones!$AA$26)&gt;=$Y77),$AB77,$AA77)))=Milestones!$AB$26),UPPER(TEXT(EDATE($D77,Milestones!$AA$26),"dd mmm yy"))&amp;" "&amp;Milestones!$AB$26&amp;" "&amp;IF(AND(Milestones!$AB$26="FT",Milestones!$AA$26=FT_Y5,EDATE($D77,Milestones!$AA$26)&lt;PolicyEff),1,Milestones!$AC$26)&amp;";  ","")&amp;IF(AND(EDATE($D77,Milestones!$AA$27)&lt;=AsOfDate,EDATE($D77,Milestones!$AA$27)&gt;=SchemeStart,IF($X77=0,$AD77,IF(AND($Z77&lt;&gt;"",EDATE($D77,Milestones!$AA$27)&gt;=$Z77),$AC77,IF(AND($Y77&lt;&gt;"",EDATE($D77,Milestones!$AA$27)&gt;=$Y77),$AB77,$AA77)))=Milestones!$AB$27),UPPER(TEXT(EDATE($D77,Milestones!$AA$27),"dd mmm yy"))&amp;" "&amp;Milestones!$AB$27&amp;" "&amp;IF(AND(Milestones!$AB$27="FT",Milestones!$AA$27=FT_Y5,EDATE($D77,Milestones!$AA$27)&lt;PolicyEff),1,Milestones!$AC$27)&amp;";  ","")&amp;IF(AND(EDATE($D77,Milestones!$AA$28)&lt;=AsOfDate,EDATE($D77,Milestones!$AA$28)&gt;=SchemeStart,IF($X77=0,$AD77,IF(AND($Z77&lt;&gt;"",EDATE($D77,Milestones!$AA$28)&gt;=$Z77),$AC77,IF(AND($Y77&lt;&gt;"",EDATE($D77,Milestones!$AA$28)&gt;=$Y77),$AB77,$AA77)))=Milestones!$AB$28),UPPER(TEXT(EDATE($D77,Milestones!$AA$28),"dd mmm yy"))&amp;" "&amp;Milestones!$AB$28&amp;" "&amp;IF(AND(Milestones!$AB$28="FT",Milestones!$AA$28=FT_Y5,EDATE($D77,Milestones!$AA$28)&lt;PolicyEff),1,Milestones!$AC$28)&amp;";  ","")&amp;IF(AND(EDATE($D77,Milestones!$AA$29)&lt;=AsOfDate,EDATE($D77,Milestones!$AA$29)&gt;=SchemeStart,IF($X77=0,$AD77,IF(AND($Z77&lt;&gt;"",EDATE($D77,Milestones!$AA$29)&gt;=$Z77),$AC77,IF(AND($Y77&lt;&gt;"",EDATE($D77,Milestones!$AA$29)&gt;=$Y77),$AB77,$AA77)))=Milestones!$AB$29),UPPER(TEXT(EDATE($D77,Milestones!$AA$29),"dd mmm yy"))&amp;" "&amp;Milestones!$AB$29&amp;" "&amp;IF(AND(Milestones!$AB$29="FT",Milestones!$AA$29=FT_Y5,EDATE($D77,Milestones!$AA$29)&lt;PolicyEff),1,Milestones!$AC$29)&amp;";  ","")&amp;IF(AND(EDATE($D77,Milestones!$AA$30)&lt;=AsOfDate,EDATE($D77,Milestones!$AA$30)&gt;=SchemeStart,IF($X77=0,$AD77,IF(AND($Z77&lt;&gt;"",EDATE($D77,Milestones!$AA$30)&gt;=$Z77),$AC77,IF(AND($Y77&lt;&gt;"",EDATE($D77,Milestones!$AA$30)&gt;=$Y77),$AB77,$AA77)))=Milestones!$AB$30),UPPER(TEXT(EDATE($D77,Milestones!$AA$30),"dd mmm yy"))&amp;" "&amp;Milestones!$AB$30&amp;" "&amp;IF(AND(Milestones!$AB$30="FT",Milestones!$AA$30=FT_Y5,EDATE($D77,Milestones!$AA$30)&lt;PolicyEff),1,Milestones!$AC$30)&amp;";  ","")&amp;IF(AND(EDATE($D77,Milestones!$AA$31)&lt;=AsOfDate,EDATE($D77,Milestones!$AA$31)&gt;=SchemeStart,IF($X77=0,$AD77,IF(AND($Z77&lt;&gt;"",EDATE($D77,Milestones!$AA$31)&gt;=$Z77),$AC77,IF(AND($Y77&lt;&gt;"",EDATE($D77,Milestones!$AA$31)&gt;=$Y77),$AB77,$AA77)))=Milestones!$AB$31),UPPER(TEXT(EDATE($D77,Milestones!$AA$31),"dd mmm yy"))&amp;" "&amp;Milestones!$AB$31&amp;" "&amp;IF(AND(Milestones!$AB$31="FT",Milestones!$AA$31=FT_Y5,EDATE($D77,Milestones!$AA$31)&lt;PolicyEff),1,Milestones!$AC$31)&amp;";  ",""))</f>
        <v/>
      </c>
      <c r="J77" s="0" t="str">
        <f aca="false">IF(OR($A77="",$D77=""),"",IF(AND(EDATE($D77,Milestones!$AA$32)&lt;=AsOfDate,EDATE($D77,Milestones!$AA$32)&gt;=SchemeStart,IF($X77=0,$AD77,IF(AND($Z77&lt;&gt;"",EDATE($D77,Milestones!$AA$32)&gt;=$Z77),$AC77,IF(AND($Y77&lt;&gt;"",EDATE($D77,Milestones!$AA$32)&gt;=$Y77),$AB77,$AA77)))=Milestones!$AB$32),UPPER(TEXT(EDATE($D77,Milestones!$AA$32),"dd mmm yy"))&amp;" "&amp;Milestones!$AB$32&amp;" "&amp;IF(AND(Milestones!$AB$32="FT",Milestones!$AA$32=FT_Y5,EDATE($D77,Milestones!$AA$32)&lt;PolicyEff),1,Milestones!$AC$32)&amp;";  ","")&amp;IF(AND(EDATE($D77,Milestones!$AA$33)&lt;=AsOfDate,EDATE($D77,Milestones!$AA$33)&gt;=SchemeStart,IF($X77=0,$AD77,IF(AND($Z77&lt;&gt;"",EDATE($D77,Milestones!$AA$33)&gt;=$Z77),$AC77,IF(AND($Y77&lt;&gt;"",EDATE($D77,Milestones!$AA$33)&gt;=$Y77),$AB77,$AA77)))=Milestones!$AB$33),UPPER(TEXT(EDATE($D77,Milestones!$AA$33),"dd mmm yy"))&amp;" "&amp;Milestones!$AB$33&amp;" "&amp;IF(AND(Milestones!$AB$33="FT",Milestones!$AA$33=FT_Y5,EDATE($D77,Milestones!$AA$33)&lt;PolicyEff),1,Milestones!$AC$33)&amp;";  ","")&amp;IF(AND(EDATE($D77,Milestones!$AA$34)&lt;=AsOfDate,EDATE($D77,Milestones!$AA$34)&gt;=SchemeStart,IF($X77=0,$AD77,IF(AND($Z77&lt;&gt;"",EDATE($D77,Milestones!$AA$34)&gt;=$Z77),$AC77,IF(AND($Y77&lt;&gt;"",EDATE($D77,Milestones!$AA$34)&gt;=$Y77),$AB77,$AA77)))=Milestones!$AB$34),UPPER(TEXT(EDATE($D77,Milestones!$AA$34),"dd mmm yy"))&amp;" "&amp;Milestones!$AB$34&amp;" "&amp;IF(AND(Milestones!$AB$34="FT",Milestones!$AA$34=FT_Y5,EDATE($D77,Milestones!$AA$34)&lt;PolicyEff),1,Milestones!$AC$34)&amp;";  ","")&amp;IF(AND(EDATE($D77,Milestones!$AA$35)&lt;=AsOfDate,EDATE($D77,Milestones!$AA$35)&gt;=SchemeStart,IF($X77=0,$AD77,IF(AND($Z77&lt;&gt;"",EDATE($D77,Milestones!$AA$35)&gt;=$Z77),$AC77,IF(AND($Y77&lt;&gt;"",EDATE($D77,Milestones!$AA$35)&gt;=$Y77),$AB77,$AA77)))=Milestones!$AB$35),UPPER(TEXT(EDATE($D77,Milestones!$AA$35),"dd mmm yy"))&amp;" "&amp;Milestones!$AB$35&amp;" "&amp;IF(AND(Milestones!$AB$35="FT",Milestones!$AA$35=FT_Y5,EDATE($D77,Milestones!$AA$35)&lt;PolicyEff),1,Milestones!$AC$35)&amp;";  ","")&amp;IF(AND(EDATE($D77,Milestones!$AA$36)&lt;=AsOfDate,EDATE($D77,Milestones!$AA$36)&gt;=SchemeStart,IF($X77=0,$AD77,IF(AND($Z77&lt;&gt;"",EDATE($D77,Milestones!$AA$36)&gt;=$Z77),$AC77,IF(AND($Y77&lt;&gt;"",EDATE($D77,Milestones!$AA$36)&gt;=$Y77),$AB77,$AA77)))=Milestones!$AB$36),UPPER(TEXT(EDATE($D77,Milestones!$AA$36),"dd mmm yy"))&amp;" "&amp;Milestones!$AB$36&amp;" "&amp;IF(AND(Milestones!$AB$36="FT",Milestones!$AA$36=FT_Y5,EDATE($D77,Milestones!$AA$36)&lt;PolicyEff),1,Milestones!$AC$36)&amp;";  ","")&amp;IF(AND(EDATE($D77,Milestones!$AA$37)&lt;=AsOfDate,EDATE($D77,Milestones!$AA$37)&gt;=SchemeStart,IF($X77=0,$AD77,IF(AND($Z77&lt;&gt;"",EDATE($D77,Milestones!$AA$37)&gt;=$Z77),$AC77,IF(AND($Y77&lt;&gt;"",EDATE($D77,Milestones!$AA$37)&gt;=$Y77),$AB77,$AA77)))=Milestones!$AB$37),UPPER(TEXT(EDATE($D77,Milestones!$AA$37),"dd mmm yy"))&amp;" "&amp;Milestones!$AB$37&amp;" "&amp;IF(AND(Milestones!$AB$37="FT",Milestones!$AA$37=FT_Y5,EDATE($D77,Milestones!$AA$37)&lt;PolicyEff),1,Milestones!$AC$37)&amp;";  ","")&amp;IF(AND(EDATE($D77,Milestones!$AA$38)&lt;=AsOfDate,EDATE($D77,Milestones!$AA$38)&gt;=SchemeStart,IF($X77=0,$AD77,IF(AND($Z77&lt;&gt;"",EDATE($D77,Milestones!$AA$38)&gt;=$Z77),$AC77,IF(AND($Y77&lt;&gt;"",EDATE($D77,Milestones!$AA$38)&gt;=$Y77),$AB77,$AA77)))=Milestones!$AB$38),UPPER(TEXT(EDATE($D77,Milestones!$AA$38),"dd mmm yy"))&amp;" "&amp;Milestones!$AB$38&amp;" "&amp;IF(AND(Milestones!$AB$38="FT",Milestones!$AA$38=FT_Y5,EDATE($D77,Milestones!$AA$38)&lt;PolicyEff),1,Milestones!$AC$38)&amp;";  ","")&amp;IF(AND(EDATE($D77,Milestones!$AA$39)&lt;=AsOfDate,EDATE($D77,Milestones!$AA$39)&gt;=SchemeStart,IF($X77=0,$AD77,IF(AND($Z77&lt;&gt;"",EDATE($D77,Milestones!$AA$39)&gt;=$Z77),$AC77,IF(AND($Y77&lt;&gt;"",EDATE($D77,Milestones!$AA$39)&gt;=$Y77),$AB77,$AA77)))=Milestones!$AB$39),UPPER(TEXT(EDATE($D77,Milestones!$AA$39),"dd mmm yy"))&amp;" "&amp;Milestones!$AB$39&amp;" "&amp;IF(AND(Milestones!$AB$39="FT",Milestones!$AA$39=FT_Y5,EDATE($D77,Milestones!$AA$39)&lt;PolicyEff),1,Milestones!$AC$39)&amp;";  ","")&amp;IF(AND(EDATE($D77,Milestones!$AA$40)&lt;=AsOfDate,EDATE($D77,Milestones!$AA$40)&gt;=SchemeStart,IF($X77=0,$AD77,IF(AND($Z77&lt;&gt;"",EDATE($D77,Milestones!$AA$40)&gt;=$Z77),$AC77,IF(AND($Y77&lt;&gt;"",EDATE($D77,Milestones!$AA$40)&gt;=$Y77),$AB77,$AA77)))=Milestones!$AB$40),UPPER(TEXT(EDATE($D77,Milestones!$AA$40),"dd mmm yy"))&amp;" "&amp;Milestones!$AB$40&amp;" "&amp;IF(AND(Milestones!$AB$40="FT",Milestones!$AA$40=FT_Y5,EDATE($D77,Milestones!$AA$40)&lt;PolicyEff),1,Milestones!$AC$40)&amp;";  ","")&amp;IF(AND(EDATE($D77,Milestones!$AA$41)&lt;=AsOfDate,EDATE($D77,Milestones!$AA$41)&gt;=SchemeStart,IF($X77=0,$AD77,IF(AND($Z77&lt;&gt;"",EDATE($D77,Milestones!$AA$41)&gt;=$Z77),$AC77,IF(AND($Y77&lt;&gt;"",EDATE($D77,Milestones!$AA$41)&gt;=$Y77),$AB77,$AA77)))=Milestones!$AB$41),UPPER(TEXT(EDATE($D77,Milestones!$AA$41),"dd mmm yy"))&amp;" "&amp;Milestones!$AB$41&amp;" "&amp;IF(AND(Milestones!$AB$41="FT",Milestones!$AA$41=FT_Y5,EDATE($D77,Milestones!$AA$41)&lt;PolicyEff),1,Milestones!$AC$41)&amp;";  ","")&amp;IF(AND(EDATE($D77,Milestones!$AA$42)&lt;=AsOfDate,EDATE($D77,Milestones!$AA$42)&gt;=SchemeStart,IF($X77=0,$AD77,IF(AND($Z77&lt;&gt;"",EDATE($D77,Milestones!$AA$42)&gt;=$Z77),$AC77,IF(AND($Y77&lt;&gt;"",EDATE($D77,Milestones!$AA$42)&gt;=$Y77),$AB77,$AA77)))=Milestones!$AB$42),UPPER(TEXT(EDATE($D77,Milestones!$AA$42),"dd mmm yy"))&amp;" "&amp;Milestones!$AB$42&amp;" "&amp;IF(AND(Milestones!$AB$42="FT",Milestones!$AA$42=FT_Y5,EDATE($D77,Milestones!$AA$42)&lt;PolicyEff),1,Milestones!$AC$42)&amp;";  ","")&amp;IF(AND(EDATE($D77,Milestones!$AA$43)&lt;=AsOfDate,EDATE($D77,Milestones!$AA$43)&gt;=SchemeStart,IF($X77=0,$AD77,IF(AND($Z77&lt;&gt;"",EDATE($D77,Milestones!$AA$43)&gt;=$Z77),$AC77,IF(AND($Y77&lt;&gt;"",EDATE($D77,Milestones!$AA$43)&gt;=$Y77),$AB77,$AA77)))=Milestones!$AB$43),UPPER(TEXT(EDATE($D77,Milestones!$AA$43),"dd mmm yy"))&amp;" "&amp;Milestones!$AB$43&amp;" "&amp;IF(AND(Milestones!$AB$43="FT",Milestones!$AA$43=FT_Y5,EDATE($D77,Milestones!$AA$43)&lt;PolicyEff),1,Milestones!$AC$43)&amp;";  ",""))</f>
        <v/>
      </c>
      <c r="K77" s="0" t="str">
        <f aca="false">IF(OR($A77="",$D77=""),"",IF(AND(EDATE($D77,Milestones!$AA$44)&lt;=AsOfDate,EDATE($D77,Milestones!$AA$44)&gt;=SchemeStart,IF($X77=0,$AD77,IF(AND($Z77&lt;&gt;"",EDATE($D77,Milestones!$AA$44)&gt;=$Z77),$AC77,IF(AND($Y77&lt;&gt;"",EDATE($D77,Milestones!$AA$44)&gt;=$Y77),$AB77,$AA77)))=Milestones!$AB$44),UPPER(TEXT(EDATE($D77,Milestones!$AA$44),"dd mmm yy"))&amp;" "&amp;Milestones!$AB$44&amp;" "&amp;IF(AND(Milestones!$AB$44="FT",Milestones!$AA$44=FT_Y5,EDATE($D77,Milestones!$AA$44)&lt;PolicyEff),1,Milestones!$AC$44)&amp;";  ","")&amp;IF(AND(EDATE($D77,Milestones!$AA$45)&lt;=AsOfDate,EDATE($D77,Milestones!$AA$45)&gt;=SchemeStart,IF($X77=0,$AD77,IF(AND($Z77&lt;&gt;"",EDATE($D77,Milestones!$AA$45)&gt;=$Z77),$AC77,IF(AND($Y77&lt;&gt;"",EDATE($D77,Milestones!$AA$45)&gt;=$Y77),$AB77,$AA77)))=Milestones!$AB$45),UPPER(TEXT(EDATE($D77,Milestones!$AA$45),"dd mmm yy"))&amp;" "&amp;Milestones!$AB$45&amp;" "&amp;IF(AND(Milestones!$AB$45="FT",Milestones!$AA$45=FT_Y5,EDATE($D77,Milestones!$AA$45)&lt;PolicyEff),1,Milestones!$AC$45)&amp;";  ","")&amp;IF(AND(EDATE($D77,Milestones!$AA$46)&lt;=AsOfDate,EDATE($D77,Milestones!$AA$46)&gt;=SchemeStart,IF($X77=0,$AD77,IF(AND($Z77&lt;&gt;"",EDATE($D77,Milestones!$AA$46)&gt;=$Z77),$AC77,IF(AND($Y77&lt;&gt;"",EDATE($D77,Milestones!$AA$46)&gt;=$Y77),$AB77,$AA77)))=Milestones!$AB$46),UPPER(TEXT(EDATE($D77,Milestones!$AA$46),"dd mmm yy"))&amp;" "&amp;Milestones!$AB$46&amp;" "&amp;IF(AND(Milestones!$AB$46="FT",Milestones!$AA$46=FT_Y5,EDATE($D77,Milestones!$AA$46)&lt;PolicyEff),1,Milestones!$AC$46)&amp;";  ","")&amp;IF(AND(EDATE($D77,Milestones!$AA$47)&lt;=AsOfDate,EDATE($D77,Milestones!$AA$47)&gt;=SchemeStart,IF($X77=0,$AD77,IF(AND($Z77&lt;&gt;"",EDATE($D77,Milestones!$AA$47)&gt;=$Z77),$AC77,IF(AND($Y77&lt;&gt;"",EDATE($D77,Milestones!$AA$47)&gt;=$Y77),$AB77,$AA77)))=Milestones!$AB$47),UPPER(TEXT(EDATE($D77,Milestones!$AA$47),"dd mmm yy"))&amp;" "&amp;Milestones!$AB$47&amp;" "&amp;IF(AND(Milestones!$AB$47="FT",Milestones!$AA$47=FT_Y5,EDATE($D77,Milestones!$AA$47)&lt;PolicyEff),1,Milestones!$AC$47)&amp;";  ","")&amp;IF(AND(EDATE($D77,Milestones!$AA$48)&lt;=AsOfDate,EDATE($D77,Milestones!$AA$48)&gt;=SchemeStart,IF($X77=0,$AD77,IF(AND($Z77&lt;&gt;"",EDATE($D77,Milestones!$AA$48)&gt;=$Z77),$AC77,IF(AND($Y77&lt;&gt;"",EDATE($D77,Milestones!$AA$48)&gt;=$Y77),$AB77,$AA77)))=Milestones!$AB$48),UPPER(TEXT(EDATE($D77,Milestones!$AA$48),"dd mmm yy"))&amp;" "&amp;Milestones!$AB$48&amp;" "&amp;IF(AND(Milestones!$AB$48="FT",Milestones!$AA$48=FT_Y5,EDATE($D77,Milestones!$AA$48)&lt;PolicyEff),1,Milestones!$AC$48)&amp;";  ","")&amp;IF(AND(EDATE($D77,Milestones!$AA$49)&lt;=AsOfDate,EDATE($D77,Milestones!$AA$49)&gt;=SchemeStart,IF($X77=0,$AD77,IF(AND($Z77&lt;&gt;"",EDATE($D77,Milestones!$AA$49)&gt;=$Z77),$AC77,IF(AND($Y77&lt;&gt;"",EDATE($D77,Milestones!$AA$49)&gt;=$Y77),$AB77,$AA77)))=Milestones!$AB$49),UPPER(TEXT(EDATE($D77,Milestones!$AA$49),"dd mmm yy"))&amp;" "&amp;Milestones!$AB$49&amp;" "&amp;IF(AND(Milestones!$AB$49="FT",Milestones!$AA$49=FT_Y5,EDATE($D77,Milestones!$AA$49)&lt;PolicyEff),1,Milestones!$AC$49)&amp;";  ","")&amp;IF(AND(EDATE($D77,Milestones!$AA$50)&lt;=AsOfDate,EDATE($D77,Milestones!$AA$50)&gt;=SchemeStart,IF($X77=0,$AD77,IF(AND($Z77&lt;&gt;"",EDATE($D77,Milestones!$AA$50)&gt;=$Z77),$AC77,IF(AND($Y77&lt;&gt;"",EDATE($D77,Milestones!$AA$50)&gt;=$Y77),$AB77,$AA77)))=Milestones!$AB$50),UPPER(TEXT(EDATE($D77,Milestones!$AA$50),"dd mmm yy"))&amp;" "&amp;Milestones!$AB$50&amp;" "&amp;IF(AND(Milestones!$AB$50="FT",Milestones!$AA$50=FT_Y5,EDATE($D77,Milestones!$AA$50)&lt;PolicyEff),1,Milestones!$AC$50)&amp;";  ","")&amp;IF(AND(EDATE($D77,Milestones!$AA$51)&lt;=AsOfDate,EDATE($D77,Milestones!$AA$51)&gt;=SchemeStart,IF($X77=0,$AD77,IF(AND($Z77&lt;&gt;"",EDATE($D77,Milestones!$AA$51)&gt;=$Z77),$AC77,IF(AND($Y77&lt;&gt;"",EDATE($D77,Milestones!$AA$51)&gt;=$Y77),$AB77,$AA77)))=Milestones!$AB$51),UPPER(TEXT(EDATE($D77,Milestones!$AA$51),"dd mmm yy"))&amp;" "&amp;Milestones!$AB$51&amp;" "&amp;IF(AND(Milestones!$AB$51="FT",Milestones!$AA$51=FT_Y5,EDATE($D77,Milestones!$AA$51)&lt;PolicyEff),1,Milestones!$AC$51)&amp;";  ","")&amp;IF(AND(EDATE($D77,Milestones!$AA$52)&lt;=AsOfDate,EDATE($D77,Milestones!$AA$52)&gt;=SchemeStart,IF($X77=0,$AD77,IF(AND($Z77&lt;&gt;"",EDATE($D77,Milestones!$AA$52)&gt;=$Z77),$AC77,IF(AND($Y77&lt;&gt;"",EDATE($D77,Milestones!$AA$52)&gt;=$Y77),$AB77,$AA77)))=Milestones!$AB$52),UPPER(TEXT(EDATE($D77,Milestones!$AA$52),"dd mmm yy"))&amp;" "&amp;Milestones!$AB$52&amp;" "&amp;IF(AND(Milestones!$AB$52="FT",Milestones!$AA$52=FT_Y5,EDATE($D77,Milestones!$AA$52)&lt;PolicyEff),1,Milestones!$AC$52)&amp;";  ","")&amp;IF(AND(EDATE($D77,Milestones!$AA$53)&lt;=AsOfDate,EDATE($D77,Milestones!$AA$53)&gt;=SchemeStart,IF($X77=0,$AD77,IF(AND($Z77&lt;&gt;"",EDATE($D77,Milestones!$AA$53)&gt;=$Z77),$AC77,IF(AND($Y77&lt;&gt;"",EDATE($D77,Milestones!$AA$53)&gt;=$Y77),$AB77,$AA77)))=Milestones!$AB$53),UPPER(TEXT(EDATE($D77,Milestones!$AA$53),"dd mmm yy"))&amp;" "&amp;Milestones!$AB$53&amp;" "&amp;IF(AND(Milestones!$AB$53="FT",Milestones!$AA$53=FT_Y5,EDATE($D77,Milestones!$AA$53)&lt;PolicyEff),1,Milestones!$AC$53)&amp;";  ","")&amp;IF(AND(EDATE($D77,Milestones!$AA$54)&lt;=AsOfDate,EDATE($D77,Milestones!$AA$54)&gt;=SchemeStart,IF($X77=0,$AD77,IF(AND($Z77&lt;&gt;"",EDATE($D77,Milestones!$AA$54)&gt;=$Z77),$AC77,IF(AND($Y77&lt;&gt;"",EDATE($D77,Milestones!$AA$54)&gt;=$Y77),$AB77,$AA77)))=Milestones!$AB$54),UPPER(TEXT(EDATE($D77,Milestones!$AA$54),"dd mmm yy"))&amp;" "&amp;Milestones!$AB$54&amp;" "&amp;IF(AND(Milestones!$AB$54="FT",Milestones!$AA$54=FT_Y5,EDATE($D77,Milestones!$AA$54)&lt;PolicyEff),1,Milestones!$AC$54)&amp;";  ","")&amp;IF(AND(EDATE($D77,Milestones!$AA$55)&lt;=AsOfDate,EDATE($D77,Milestones!$AA$55)&gt;=SchemeStart,IF($X77=0,$AD77,IF(AND($Z77&lt;&gt;"",EDATE($D77,Milestones!$AA$55)&gt;=$Z77),$AC77,IF(AND($Y77&lt;&gt;"",EDATE($D77,Milestones!$AA$55)&gt;=$Y77),$AB77,$AA77)))=Milestones!$AB$55),UPPER(TEXT(EDATE($D77,Milestones!$AA$55),"dd mmm yy"))&amp;" "&amp;Milestones!$AB$55&amp;" "&amp;IF(AND(Milestones!$AB$55="FT",Milestones!$AA$55=FT_Y5,EDATE($D77,Milestones!$AA$55)&lt;PolicyEff),1,Milestones!$AC$55)&amp;";  ",""))</f>
        <v/>
      </c>
      <c r="L77" s="0" t="str">
        <f aca="false">IF(OR($A77="",$D77=""),"",IF(AND(EDATE($D77,Milestones!$AA$56)&lt;=AsOfDate,EDATE($D77,Milestones!$AA$56)&gt;=SchemeStart,IF($X77=0,$AD77,IF(AND($Z77&lt;&gt;"",EDATE($D77,Milestones!$AA$56)&gt;=$Z77),$AC77,IF(AND($Y77&lt;&gt;"",EDATE($D77,Milestones!$AA$56)&gt;=$Y77),$AB77,$AA77)))=Milestones!$AB$56),UPPER(TEXT(EDATE($D77,Milestones!$AA$56),"dd mmm yy"))&amp;" "&amp;Milestones!$AB$56&amp;" "&amp;IF(AND(Milestones!$AB$56="FT",Milestones!$AA$56=FT_Y5,EDATE($D77,Milestones!$AA$56)&lt;PolicyEff),1,Milestones!$AC$56)&amp;";  ","")&amp;IF(AND(EDATE($D77,Milestones!$AA$57)&lt;=AsOfDate,EDATE($D77,Milestones!$AA$57)&gt;=SchemeStart,IF($X77=0,$AD77,IF(AND($Z77&lt;&gt;"",EDATE($D77,Milestones!$AA$57)&gt;=$Z77),$AC77,IF(AND($Y77&lt;&gt;"",EDATE($D77,Milestones!$AA$57)&gt;=$Y77),$AB77,$AA77)))=Milestones!$AB$57),UPPER(TEXT(EDATE($D77,Milestones!$AA$57),"dd mmm yy"))&amp;" "&amp;Milestones!$AB$57&amp;" "&amp;IF(AND(Milestones!$AB$57="FT",Milestones!$AA$57=FT_Y5,EDATE($D77,Milestones!$AA$57)&lt;PolicyEff),1,Milestones!$AC$57)&amp;";  ","")&amp;IF(AND(EDATE($D77,Milestones!$AA$58)&lt;=AsOfDate,EDATE($D77,Milestones!$AA$58)&gt;=SchemeStart,IF($X77=0,$AD77,IF(AND($Z77&lt;&gt;"",EDATE($D77,Milestones!$AA$58)&gt;=$Z77),$AC77,IF(AND($Y77&lt;&gt;"",EDATE($D77,Milestones!$AA$58)&gt;=$Y77),$AB77,$AA77)))=Milestones!$AB$58),UPPER(TEXT(EDATE($D77,Milestones!$AA$58),"dd mmm yy"))&amp;" "&amp;Milestones!$AB$58&amp;" "&amp;IF(AND(Milestones!$AB$58="FT",Milestones!$AA$58=FT_Y5,EDATE($D77,Milestones!$AA$58)&lt;PolicyEff),1,Milestones!$AC$58)&amp;";  ","")&amp;IF(AND(EDATE($D77,Milestones!$AA$59)&lt;=AsOfDate,EDATE($D77,Milestones!$AA$59)&gt;=SchemeStart,IF($X77=0,$AD77,IF(AND($Z77&lt;&gt;"",EDATE($D77,Milestones!$AA$59)&gt;=$Z77),$AC77,IF(AND($Y77&lt;&gt;"",EDATE($D77,Milestones!$AA$59)&gt;=$Y77),$AB77,$AA77)))=Milestones!$AB$59),UPPER(TEXT(EDATE($D77,Milestones!$AA$59),"dd mmm yy"))&amp;" "&amp;Milestones!$AB$59&amp;" "&amp;IF(AND(Milestones!$AB$59="FT",Milestones!$AA$59=FT_Y5,EDATE($D77,Milestones!$AA$59)&lt;PolicyEff),1,Milestones!$AC$59)&amp;";  ","")&amp;IF(AND(EDATE($D77,Milestones!$AA$60)&lt;=AsOfDate,EDATE($D77,Milestones!$AA$60)&gt;=SchemeStart,IF($X77=0,$AD77,IF(AND($Z77&lt;&gt;"",EDATE($D77,Milestones!$AA$60)&gt;=$Z77),$AC77,IF(AND($Y77&lt;&gt;"",EDATE($D77,Milestones!$AA$60)&gt;=$Y77),$AB77,$AA77)))=Milestones!$AB$60),UPPER(TEXT(EDATE($D77,Milestones!$AA$60),"dd mmm yy"))&amp;" "&amp;Milestones!$AB$60&amp;" "&amp;IF(AND(Milestones!$AB$60="FT",Milestones!$AA$60=FT_Y5,EDATE($D77,Milestones!$AA$60)&lt;PolicyEff),1,Milestones!$AC$60)&amp;";  ","")&amp;IF(AND(EDATE($D77,Milestones!$AA$61)&lt;=AsOfDate,EDATE($D77,Milestones!$AA$61)&gt;=SchemeStart,IF($X77=0,$AD77,IF(AND($Z77&lt;&gt;"",EDATE($D77,Milestones!$AA$61)&gt;=$Z77),$AC77,IF(AND($Y77&lt;&gt;"",EDATE($D77,Milestones!$AA$61)&gt;=$Y77),$AB77,$AA77)))=Milestones!$AB$61),UPPER(TEXT(EDATE($D77,Milestones!$AA$61),"dd mmm yy"))&amp;" "&amp;Milestones!$AB$61&amp;" "&amp;IF(AND(Milestones!$AB$61="FT",Milestones!$AA$61=FT_Y5,EDATE($D77,Milestones!$AA$61)&lt;PolicyEff),1,Milestones!$AC$61)&amp;";  ","")&amp;IF(AND(EDATE($D77,Milestones!$AA$62)&lt;=AsOfDate,EDATE($D77,Milestones!$AA$62)&gt;=SchemeStart,IF($X77=0,$AD77,IF(AND($Z77&lt;&gt;"",EDATE($D77,Milestones!$AA$62)&gt;=$Z77),$AC77,IF(AND($Y77&lt;&gt;"",EDATE($D77,Milestones!$AA$62)&gt;=$Y77),$AB77,$AA77)))=Milestones!$AB$62),UPPER(TEXT(EDATE($D77,Milestones!$AA$62),"dd mmm yy"))&amp;" "&amp;Milestones!$AB$62&amp;" "&amp;IF(AND(Milestones!$AB$62="FT",Milestones!$AA$62=FT_Y5,EDATE($D77,Milestones!$AA$62)&lt;PolicyEff),1,Milestones!$AC$62)&amp;";  ","")&amp;IF(AND(EDATE($D77,Milestones!$AA$63)&lt;=AsOfDate,EDATE($D77,Milestones!$AA$63)&gt;=SchemeStart,IF($X77=0,$AD77,IF(AND($Z77&lt;&gt;"",EDATE($D77,Milestones!$AA$63)&gt;=$Z77),$AC77,IF(AND($Y77&lt;&gt;"",EDATE($D77,Milestones!$AA$63)&gt;=$Y77),$AB77,$AA77)))=Milestones!$AB$63),UPPER(TEXT(EDATE($D77,Milestones!$AA$63),"dd mmm yy"))&amp;" "&amp;Milestones!$AB$63&amp;" "&amp;IF(AND(Milestones!$AB$63="FT",Milestones!$AA$63=FT_Y5,EDATE($D77,Milestones!$AA$63)&lt;PolicyEff),1,Milestones!$AC$63)&amp;";  ","")&amp;IF(AND(EDATE($D77,Milestones!$AA$64)&lt;=AsOfDate,EDATE($D77,Milestones!$AA$64)&gt;=SchemeStart,IF($X77=0,$AD77,IF(AND($Z77&lt;&gt;"",EDATE($D77,Milestones!$AA$64)&gt;=$Z77),$AC77,IF(AND($Y77&lt;&gt;"",EDATE($D77,Milestones!$AA$64)&gt;=$Y77),$AB77,$AA77)))=Milestones!$AB$64),UPPER(TEXT(EDATE($D77,Milestones!$AA$64),"dd mmm yy"))&amp;" "&amp;Milestones!$AB$64&amp;" "&amp;IF(AND(Milestones!$AB$64="FT",Milestones!$AA$64=FT_Y5,EDATE($D77,Milestones!$AA$64)&lt;PolicyEff),1,Milestones!$AC$64)&amp;";  ","")&amp;IF(AND(EDATE($D77,Milestones!$AA$65)&lt;=AsOfDate,EDATE($D77,Milestones!$AA$65)&gt;=SchemeStart,IF($X77=0,$AD77,IF(AND($Z77&lt;&gt;"",EDATE($D77,Milestones!$AA$65)&gt;=$Z77),$AC77,IF(AND($Y77&lt;&gt;"",EDATE($D77,Milestones!$AA$65)&gt;=$Y77),$AB77,$AA77)))=Milestones!$AB$65),UPPER(TEXT(EDATE($D77,Milestones!$AA$65),"dd mmm yy"))&amp;" "&amp;Milestones!$AB$65&amp;" "&amp;IF(AND(Milestones!$AB$65="FT",Milestones!$AA$65=FT_Y5,EDATE($D77,Milestones!$AA$65)&lt;PolicyEff),1,Milestones!$AC$65)&amp;";  ","")&amp;IF(AND(EDATE($D77,Milestones!$AA$66)&lt;=AsOfDate,EDATE($D77,Milestones!$AA$66)&gt;=SchemeStart,IF($X77=0,$AD77,IF(AND($Z77&lt;&gt;"",EDATE($D77,Milestones!$AA$66)&gt;=$Z77),$AC77,IF(AND($Y77&lt;&gt;"",EDATE($D77,Milestones!$AA$66)&gt;=$Y77),$AB77,$AA77)))=Milestones!$AB$66),UPPER(TEXT(EDATE($D77,Milestones!$AA$66),"dd mmm yy"))&amp;" "&amp;Milestones!$AB$66&amp;" "&amp;IF(AND(Milestones!$AB$66="FT",Milestones!$AA$66=FT_Y5,EDATE($D77,Milestones!$AA$66)&lt;PolicyEff),1,Milestones!$AC$66)&amp;";  ","")&amp;IF(AND(EDATE($D77,Milestones!$AA$67)&lt;=AsOfDate,EDATE($D77,Milestones!$AA$67)&gt;=SchemeStart,IF($X77=0,$AD77,IF(AND($Z77&lt;&gt;"",EDATE($D77,Milestones!$AA$67)&gt;=$Z77),$AC77,IF(AND($Y77&lt;&gt;"",EDATE($D77,Milestones!$AA$67)&gt;=$Y77),$AB77,$AA77)))=Milestones!$AB$67),UPPER(TEXT(EDATE($D77,Milestones!$AA$67),"dd mmm yy"))&amp;" "&amp;Milestones!$AB$67&amp;" "&amp;IF(AND(Milestones!$AB$67="FT",Milestones!$AA$67=FT_Y5,EDATE($D77,Milestones!$AA$67)&lt;PolicyEff),1,Milestones!$AC$67)&amp;";  ",""))</f>
        <v/>
      </c>
      <c r="M77" s="0" t="str">
        <f aca="false">IF(OR($A77="",$D77=""),"",IF(AND(EDATE($D77,Milestones!$AA$68)&lt;=AsOfDate,EDATE($D77,Milestones!$AA$68)&gt;=SchemeStart,IF($X77=0,$AD77,IF(AND($Z77&lt;&gt;"",EDATE($D77,Milestones!$AA$68)&gt;=$Z77),$AC77,IF(AND($Y77&lt;&gt;"",EDATE($D77,Milestones!$AA$68)&gt;=$Y77),$AB77,$AA77)))=Milestones!$AB$68),UPPER(TEXT(EDATE($D77,Milestones!$AA$68),"dd mmm yy"))&amp;" "&amp;Milestones!$AB$68&amp;" "&amp;IF(AND(Milestones!$AB$68="FT",Milestones!$AA$68=FT_Y5,EDATE($D77,Milestones!$AA$68)&lt;PolicyEff),1,Milestones!$AC$68)&amp;";  ","")&amp;IF(AND(EDATE($D77,Milestones!$AA$69)&lt;=AsOfDate,EDATE($D77,Milestones!$AA$69)&gt;=SchemeStart,IF($X77=0,$AD77,IF(AND($Z77&lt;&gt;"",EDATE($D77,Milestones!$AA$69)&gt;=$Z77),$AC77,IF(AND($Y77&lt;&gt;"",EDATE($D77,Milestones!$AA$69)&gt;=$Y77),$AB77,$AA77)))=Milestones!$AB$69),UPPER(TEXT(EDATE($D77,Milestones!$AA$69),"dd mmm yy"))&amp;" "&amp;Milestones!$AB$69&amp;" "&amp;IF(AND(Milestones!$AB$69="FT",Milestones!$AA$69=FT_Y5,EDATE($D77,Milestones!$AA$69)&lt;PolicyEff),1,Milestones!$AC$69)&amp;";  ","")&amp;IF(AND(EDATE($D77,Milestones!$AA$70)&lt;=AsOfDate,EDATE($D77,Milestones!$AA$70)&gt;=SchemeStart,IF($X77=0,$AD77,IF(AND($Z77&lt;&gt;"",EDATE($D77,Milestones!$AA$70)&gt;=$Z77),$AC77,IF(AND($Y77&lt;&gt;"",EDATE($D77,Milestones!$AA$70)&gt;=$Y77),$AB77,$AA77)))=Milestones!$AB$70),UPPER(TEXT(EDATE($D77,Milestones!$AA$70),"dd mmm yy"))&amp;" "&amp;Milestones!$AB$70&amp;" "&amp;IF(AND(Milestones!$AB$70="FT",Milestones!$AA$70=FT_Y5,EDATE($D77,Milestones!$AA$70)&lt;PolicyEff),1,Milestones!$AC$70)&amp;";  ","")&amp;IF(AND(EDATE($D77,Milestones!$AA$71)&lt;=AsOfDate,EDATE($D77,Milestones!$AA$71)&gt;=SchemeStart,IF($X77=0,$AD77,IF(AND($Z77&lt;&gt;"",EDATE($D77,Milestones!$AA$71)&gt;=$Z77),$AC77,IF(AND($Y77&lt;&gt;"",EDATE($D77,Milestones!$AA$71)&gt;=$Y77),$AB77,$AA77)))=Milestones!$AB$71),UPPER(TEXT(EDATE($D77,Milestones!$AA$71),"dd mmm yy"))&amp;" "&amp;Milestones!$AB$71&amp;" "&amp;IF(AND(Milestones!$AB$71="FT",Milestones!$AA$71=FT_Y5,EDATE($D77,Milestones!$AA$71)&lt;PolicyEff),1,Milestones!$AC$71)&amp;";  ","")&amp;IF(AND(EDATE($D77,Milestones!$AA$72)&lt;=AsOfDate,EDATE($D77,Milestones!$AA$72)&gt;=SchemeStart,IF($X77=0,$AD77,IF(AND($Z77&lt;&gt;"",EDATE($D77,Milestones!$AA$72)&gt;=$Z77),$AC77,IF(AND($Y77&lt;&gt;"",EDATE($D77,Milestones!$AA$72)&gt;=$Y77),$AB77,$AA77)))=Milestones!$AB$72),UPPER(TEXT(EDATE($D77,Milestones!$AA$72),"dd mmm yy"))&amp;" "&amp;Milestones!$AB$72&amp;" "&amp;IF(AND(Milestones!$AB$72="FT",Milestones!$AA$72=FT_Y5,EDATE($D77,Milestones!$AA$72)&lt;PolicyEff),1,Milestones!$AC$72)&amp;";  ","")&amp;IF(AND(EDATE($D77,Milestones!$AA$73)&lt;=AsOfDate,EDATE($D77,Milestones!$AA$73)&gt;=SchemeStart,IF($X77=0,$AD77,IF(AND($Z77&lt;&gt;"",EDATE($D77,Milestones!$AA$73)&gt;=$Z77),$AC77,IF(AND($Y77&lt;&gt;"",EDATE($D77,Milestones!$AA$73)&gt;=$Y77),$AB77,$AA77)))=Milestones!$AB$73),UPPER(TEXT(EDATE($D77,Milestones!$AA$73),"dd mmm yy"))&amp;" "&amp;Milestones!$AB$73&amp;" "&amp;IF(AND(Milestones!$AB$73="FT",Milestones!$AA$73=FT_Y5,EDATE($D77,Milestones!$AA$73)&lt;PolicyEff),1,Milestones!$AC$73)&amp;";  ","")&amp;IF(AND(EDATE($D77,Milestones!$AA$74)&lt;=AsOfDate,EDATE($D77,Milestones!$AA$74)&gt;=SchemeStart,IF($X77=0,$AD77,IF(AND($Z77&lt;&gt;"",EDATE($D77,Milestones!$AA$74)&gt;=$Z77),$AC77,IF(AND($Y77&lt;&gt;"",EDATE($D77,Milestones!$AA$74)&gt;=$Y77),$AB77,$AA77)))=Milestones!$AB$74),UPPER(TEXT(EDATE($D77,Milestones!$AA$74),"dd mmm yy"))&amp;" "&amp;Milestones!$AB$74&amp;" "&amp;IF(AND(Milestones!$AB$74="FT",Milestones!$AA$74=FT_Y5,EDATE($D77,Milestones!$AA$74)&lt;PolicyEff),1,Milestones!$AC$74)&amp;";  ","")&amp;IF(AND(EDATE($D77,Milestones!$AA$75)&lt;=AsOfDate,EDATE($D77,Milestones!$AA$75)&gt;=SchemeStart,IF($X77=0,$AD77,IF(AND($Z77&lt;&gt;"",EDATE($D77,Milestones!$AA$75)&gt;=$Z77),$AC77,IF(AND($Y77&lt;&gt;"",EDATE($D77,Milestones!$AA$75)&gt;=$Y77),$AB77,$AA77)))=Milestones!$AB$75),UPPER(TEXT(EDATE($D77,Milestones!$AA$75),"dd mmm yy"))&amp;" "&amp;Milestones!$AB$75&amp;" "&amp;IF(AND(Milestones!$AB$75="FT",Milestones!$AA$75=FT_Y5,EDATE($D77,Milestones!$AA$75)&lt;PolicyEff),1,Milestones!$AC$75)&amp;";  ","")&amp;IF(AND(EDATE($D77,Milestones!$AA$76)&lt;=AsOfDate,EDATE($D77,Milestones!$AA$76)&gt;=SchemeStart,IF($X77=0,$AD77,IF(AND($Z77&lt;&gt;"",EDATE($D77,Milestones!$AA$76)&gt;=$Z77),$AC77,IF(AND($Y77&lt;&gt;"",EDATE($D77,Milestones!$AA$76)&gt;=$Y77),$AB77,$AA77)))=Milestones!$AB$76),UPPER(TEXT(EDATE($D77,Milestones!$AA$76),"dd mmm yy"))&amp;" "&amp;Milestones!$AB$76&amp;" "&amp;IF(AND(Milestones!$AB$76="FT",Milestones!$AA$76=FT_Y5,EDATE($D77,Milestones!$AA$76)&lt;PolicyEff),1,Milestones!$AC$76)&amp;";  ","")&amp;IF(AND(EDATE($D77,Milestones!$AA$77)&lt;=AsOfDate,EDATE($D77,Milestones!$AA$77)&gt;=SchemeStart,IF($X77=0,$AD77,IF(AND($Z77&lt;&gt;"",EDATE($D77,Milestones!$AA$77)&gt;=$Z77),$AC77,IF(AND($Y77&lt;&gt;"",EDATE($D77,Milestones!$AA$77)&gt;=$Y77),$AB77,$AA77)))=Milestones!$AB$77),UPPER(TEXT(EDATE($D77,Milestones!$AA$77),"dd mmm yy"))&amp;" "&amp;Milestones!$AB$77&amp;" "&amp;IF(AND(Milestones!$AB$77="FT",Milestones!$AA$77=FT_Y5,EDATE($D77,Milestones!$AA$77)&lt;PolicyEff),1,Milestones!$AC$77)&amp;";  ","")&amp;IF(AND(EDATE($D77,Milestones!$AA$78)&lt;=AsOfDate,EDATE($D77,Milestones!$AA$78)&gt;=SchemeStart,IF($X77=0,$AD77,IF(AND($Z77&lt;&gt;"",EDATE($D77,Milestones!$AA$78)&gt;=$Z77),$AC77,IF(AND($Y77&lt;&gt;"",EDATE($D77,Milestones!$AA$78)&gt;=$Y77),$AB77,$AA77)))=Milestones!$AB$78),UPPER(TEXT(EDATE($D77,Milestones!$AA$78),"dd mmm yy"))&amp;" "&amp;Milestones!$AB$78&amp;" "&amp;IF(AND(Milestones!$AB$78="FT",Milestones!$AA$78=FT_Y5,EDATE($D77,Milestones!$AA$78)&lt;PolicyEff),1,Milestones!$AC$78)&amp;";  ","")&amp;IF(AND(EDATE($D77,Milestones!$AA$79)&lt;=AsOfDate,EDATE($D77,Milestones!$AA$79)&gt;=SchemeStart,IF($X77=0,$AD77,IF(AND($Z77&lt;&gt;"",EDATE($D77,Milestones!$AA$79)&gt;=$Z77),$AC77,IF(AND($Y77&lt;&gt;"",EDATE($D77,Milestones!$AA$79)&gt;=$Y77),$AB77,$AA77)))=Milestones!$AB$79),UPPER(TEXT(EDATE($D77,Milestones!$AA$79),"dd mmm yy"))&amp;" "&amp;Milestones!$AB$79&amp;" "&amp;IF(AND(Milestones!$AB$79="FT",Milestones!$AA$79=FT_Y5,EDATE($D77,Milestones!$AA$79)&lt;PolicyEff),1,Milestones!$AC$79)&amp;";  ",""))</f>
        <v/>
      </c>
      <c r="N77" s="0" t="str">
        <f aca="false">IF(OR($A77="",$D77=""),"",IF(AND(EDATE($D77,Milestones!$AA$80)&lt;=AsOfDate,EDATE($D77,Milestones!$AA$80)&gt;=SchemeStart,IF($X77=0,$AD77,IF(AND($Z77&lt;&gt;"",EDATE($D77,Milestones!$AA$80)&gt;=$Z77),$AC77,IF(AND($Y77&lt;&gt;"",EDATE($D77,Milestones!$AA$80)&gt;=$Y77),$AB77,$AA77)))=Milestones!$AB$80),UPPER(TEXT(EDATE($D77,Milestones!$AA$80),"dd mmm yy"))&amp;" "&amp;Milestones!$AB$80&amp;" "&amp;IF(AND(Milestones!$AB$80="FT",Milestones!$AA$80=FT_Y5,EDATE($D77,Milestones!$AA$80)&lt;PolicyEff),1,Milestones!$AC$80)&amp;";  ","")&amp;IF(AND(EDATE($D77,Milestones!$AA$81)&lt;=AsOfDate,EDATE($D77,Milestones!$AA$81)&gt;=SchemeStart,IF($X77=0,$AD77,IF(AND($Z77&lt;&gt;"",EDATE($D77,Milestones!$AA$81)&gt;=$Z77),$AC77,IF(AND($Y77&lt;&gt;"",EDATE($D77,Milestones!$AA$81)&gt;=$Y77),$AB77,$AA77)))=Milestones!$AB$81),UPPER(TEXT(EDATE($D77,Milestones!$AA$81),"dd mmm yy"))&amp;" "&amp;Milestones!$AB$81&amp;" "&amp;IF(AND(Milestones!$AB$81="FT",Milestones!$AA$81=FT_Y5,EDATE($D77,Milestones!$AA$81)&lt;PolicyEff),1,Milestones!$AC$81)&amp;";  ","")&amp;IF(AND(EDATE($D77,Milestones!$AA$82)&lt;=AsOfDate,EDATE($D77,Milestones!$AA$82)&gt;=SchemeStart,IF($X77=0,$AD77,IF(AND($Z77&lt;&gt;"",EDATE($D77,Milestones!$AA$82)&gt;=$Z77),$AC77,IF(AND($Y77&lt;&gt;"",EDATE($D77,Milestones!$AA$82)&gt;=$Y77),$AB77,$AA77)))=Milestones!$AB$82),UPPER(TEXT(EDATE($D77,Milestones!$AA$82),"dd mmm yy"))&amp;" "&amp;Milestones!$AB$82&amp;" "&amp;IF(AND(Milestones!$AB$82="FT",Milestones!$AA$82=FT_Y5,EDATE($D77,Milestones!$AA$82)&lt;PolicyEff),1,Milestones!$AC$82)&amp;";  ","")&amp;IF(AND(EDATE($D77,Milestones!$AA$83)&lt;=AsOfDate,EDATE($D77,Milestones!$AA$83)&gt;=SchemeStart,IF($X77=0,$AD77,IF(AND($Z77&lt;&gt;"",EDATE($D77,Milestones!$AA$83)&gt;=$Z77),$AC77,IF(AND($Y77&lt;&gt;"",EDATE($D77,Milestones!$AA$83)&gt;=$Y77),$AB77,$AA77)))=Milestones!$AB$83),UPPER(TEXT(EDATE($D77,Milestones!$AA$83),"dd mmm yy"))&amp;" "&amp;Milestones!$AB$83&amp;" "&amp;IF(AND(Milestones!$AB$83="FT",Milestones!$AA$83=FT_Y5,EDATE($D77,Milestones!$AA$83)&lt;PolicyEff),1,Milestones!$AC$83)&amp;";  ","")&amp;IF(AND(EDATE($D77,Milestones!$AA$84)&lt;=AsOfDate,EDATE($D77,Milestones!$AA$84)&gt;=SchemeStart,IF($X77=0,$AD77,IF(AND($Z77&lt;&gt;"",EDATE($D77,Milestones!$AA$84)&gt;=$Z77),$AC77,IF(AND($Y77&lt;&gt;"",EDATE($D77,Milestones!$AA$84)&gt;=$Y77),$AB77,$AA77)))=Milestones!$AB$84),UPPER(TEXT(EDATE($D77,Milestones!$AA$84),"dd mmm yy"))&amp;" "&amp;Milestones!$AB$84&amp;" "&amp;IF(AND(Milestones!$AB$84="FT",Milestones!$AA$84=FT_Y5,EDATE($D77,Milestones!$AA$84)&lt;PolicyEff),1,Milestones!$AC$84)&amp;";  ","")&amp;IF(AND(EDATE($D77,Milestones!$AA$85)&lt;=AsOfDate,EDATE($D77,Milestones!$AA$85)&gt;=SchemeStart,IF($X77=0,$AD77,IF(AND($Z77&lt;&gt;"",EDATE($D77,Milestones!$AA$85)&gt;=$Z77),$AC77,IF(AND($Y77&lt;&gt;"",EDATE($D77,Milestones!$AA$85)&gt;=$Y77),$AB77,$AA77)))=Milestones!$AB$85),UPPER(TEXT(EDATE($D77,Milestones!$AA$85),"dd mmm yy"))&amp;" "&amp;Milestones!$AB$85&amp;" "&amp;IF(AND(Milestones!$AB$85="FT",Milestones!$AA$85=FT_Y5,EDATE($D77,Milestones!$AA$85)&lt;PolicyEff),1,Milestones!$AC$85)&amp;";  ","")&amp;IF(AND(EDATE($D77,Milestones!$AA$86)&lt;=AsOfDate,EDATE($D77,Milestones!$AA$86)&gt;=SchemeStart,IF($X77=0,$AD77,IF(AND($Z77&lt;&gt;"",EDATE($D77,Milestones!$AA$86)&gt;=$Z77),$AC77,IF(AND($Y77&lt;&gt;"",EDATE($D77,Milestones!$AA$86)&gt;=$Y77),$AB77,$AA77)))=Milestones!$AB$86),UPPER(TEXT(EDATE($D77,Milestones!$AA$86),"dd mmm yy"))&amp;" "&amp;Milestones!$AB$86&amp;" "&amp;IF(AND(Milestones!$AB$86="FT",Milestones!$AA$86=FT_Y5,EDATE($D77,Milestones!$AA$86)&lt;PolicyEff),1,Milestones!$AC$86)&amp;";  ","")&amp;IF(AND(EDATE($D77,Milestones!$AA$87)&lt;=AsOfDate,EDATE($D77,Milestones!$AA$87)&gt;=SchemeStart,IF($X77=0,$AD77,IF(AND($Z77&lt;&gt;"",EDATE($D77,Milestones!$AA$87)&gt;=$Z77),$AC77,IF(AND($Y77&lt;&gt;"",EDATE($D77,Milestones!$AA$87)&gt;=$Y77),$AB77,$AA77)))=Milestones!$AB$87),UPPER(TEXT(EDATE($D77,Milestones!$AA$87),"dd mmm yy"))&amp;" "&amp;Milestones!$AB$87&amp;" "&amp;IF(AND(Milestones!$AB$87="FT",Milestones!$AA$87=FT_Y5,EDATE($D77,Milestones!$AA$87)&lt;PolicyEff),1,Milestones!$AC$87)&amp;";  ","")&amp;IF(AND(EDATE($D77,Milestones!$AA$88)&lt;=AsOfDate,EDATE($D77,Milestones!$AA$88)&gt;=SchemeStart,IF($X77=0,$AD77,IF(AND($Z77&lt;&gt;"",EDATE($D77,Milestones!$AA$88)&gt;=$Z77),$AC77,IF(AND($Y77&lt;&gt;"",EDATE($D77,Milestones!$AA$88)&gt;=$Y77),$AB77,$AA77)))=Milestones!$AB$88),UPPER(TEXT(EDATE($D77,Milestones!$AA$88),"dd mmm yy"))&amp;" "&amp;Milestones!$AB$88&amp;" "&amp;IF(AND(Milestones!$AB$88="FT",Milestones!$AA$88=FT_Y5,EDATE($D77,Milestones!$AA$88)&lt;PolicyEff),1,Milestones!$AC$88)&amp;";  ","")&amp;IF(AND(EDATE($D77,Milestones!$AA$89)&lt;=AsOfDate,EDATE($D77,Milestones!$AA$89)&gt;=SchemeStart,IF($X77=0,$AD77,IF(AND($Z77&lt;&gt;"",EDATE($D77,Milestones!$AA$89)&gt;=$Z77),$AC77,IF(AND($Y77&lt;&gt;"",EDATE($D77,Milestones!$AA$89)&gt;=$Y77),$AB77,$AA77)))=Milestones!$AB$89),UPPER(TEXT(EDATE($D77,Milestones!$AA$89),"dd mmm yy"))&amp;" "&amp;Milestones!$AB$89&amp;" "&amp;IF(AND(Milestones!$AB$89="FT",Milestones!$AA$89=FT_Y5,EDATE($D77,Milestones!$AA$89)&lt;PolicyEff),1,Milestones!$AC$89)&amp;";  ","")&amp;IF(AND(EDATE($D77,Milestones!$AA$90)&lt;=AsOfDate,EDATE($D77,Milestones!$AA$90)&gt;=SchemeStart,IF($X77=0,$AD77,IF(AND($Z77&lt;&gt;"",EDATE($D77,Milestones!$AA$90)&gt;=$Z77),$AC77,IF(AND($Y77&lt;&gt;"",EDATE($D77,Milestones!$AA$90)&gt;=$Y77),$AB77,$AA77)))=Milestones!$AB$90),UPPER(TEXT(EDATE($D77,Milestones!$AA$90),"dd mmm yy"))&amp;" "&amp;Milestones!$AB$90&amp;" "&amp;IF(AND(Milestones!$AB$90="FT",Milestones!$AA$90=FT_Y5,EDATE($D77,Milestones!$AA$90)&lt;PolicyEff),1,Milestones!$AC$90)&amp;";  ","")&amp;IF(AND(EDATE($D77,Milestones!$AA$91)&lt;=AsOfDate,EDATE($D77,Milestones!$AA$91)&gt;=SchemeStart,IF($X77=0,$AD77,IF(AND($Z77&lt;&gt;"",EDATE($D77,Milestones!$AA$91)&gt;=$Z77),$AC77,IF(AND($Y77&lt;&gt;"",EDATE($D77,Milestones!$AA$91)&gt;=$Y77),$AB77,$AA77)))=Milestones!$AB$91),UPPER(TEXT(EDATE($D77,Milestones!$AA$91),"dd mmm yy"))&amp;" "&amp;Milestones!$AB$91&amp;" "&amp;IF(AND(Milestones!$AB$91="FT",Milestones!$AA$91=FT_Y5,EDATE($D77,Milestones!$AA$91)&lt;PolicyEff),1,Milestones!$AC$91)&amp;";  ",""))</f>
        <v/>
      </c>
      <c r="O77" s="0" t="str">
        <f aca="false">IF(OR($A77="",$D77=""),"",IF(AND(EDATE($D77,Milestones!$AA$92)&lt;=AsOfDate,EDATE($D77,Milestones!$AA$92)&gt;=SchemeStart,IF($X77=0,$AD77,IF(AND($Z77&lt;&gt;"",EDATE($D77,Milestones!$AA$92)&gt;=$Z77),$AC77,IF(AND($Y77&lt;&gt;"",EDATE($D77,Milestones!$AA$92)&gt;=$Y77),$AB77,$AA77)))=Milestones!$AB$92),UPPER(TEXT(EDATE($D77,Milestones!$AA$92),"dd mmm yy"))&amp;" "&amp;Milestones!$AB$92&amp;" "&amp;IF(AND(Milestones!$AB$92="FT",Milestones!$AA$92=FT_Y5,EDATE($D77,Milestones!$AA$92)&lt;PolicyEff),1,Milestones!$AC$92)&amp;";  ","")&amp;IF(AND(EDATE($D77,Milestones!$AA$93)&lt;=AsOfDate,EDATE($D77,Milestones!$AA$93)&gt;=SchemeStart,IF($X77=0,$AD77,IF(AND($Z77&lt;&gt;"",EDATE($D77,Milestones!$AA$93)&gt;=$Z77),$AC77,IF(AND($Y77&lt;&gt;"",EDATE($D77,Milestones!$AA$93)&gt;=$Y77),$AB77,$AA77)))=Milestones!$AB$93),UPPER(TEXT(EDATE($D77,Milestones!$AA$93),"dd mmm yy"))&amp;" "&amp;Milestones!$AB$93&amp;" "&amp;IF(AND(Milestones!$AB$93="FT",Milestones!$AA$93=FT_Y5,EDATE($D77,Milestones!$AA$93)&lt;PolicyEff),1,Milestones!$AC$93)&amp;";  ","")&amp;IF(AND(EDATE($D77,Milestones!$AA$94)&lt;=AsOfDate,EDATE($D77,Milestones!$AA$94)&gt;=SchemeStart,IF($X77=0,$AD77,IF(AND($Z77&lt;&gt;"",EDATE($D77,Milestones!$AA$94)&gt;=$Z77),$AC77,IF(AND($Y77&lt;&gt;"",EDATE($D77,Milestones!$AA$94)&gt;=$Y77),$AB77,$AA77)))=Milestones!$AB$94),UPPER(TEXT(EDATE($D77,Milestones!$AA$94),"dd mmm yy"))&amp;" "&amp;Milestones!$AB$94&amp;" "&amp;IF(AND(Milestones!$AB$94="FT",Milestones!$AA$94=FT_Y5,EDATE($D77,Milestones!$AA$94)&lt;PolicyEff),1,Milestones!$AC$94)&amp;";  ","")&amp;IF(AND(EDATE($D77,Milestones!$AA$95)&lt;=AsOfDate,EDATE($D77,Milestones!$AA$95)&gt;=SchemeStart,IF($X77=0,$AD77,IF(AND($Z77&lt;&gt;"",EDATE($D77,Milestones!$AA$95)&gt;=$Z77),$AC77,IF(AND($Y77&lt;&gt;"",EDATE($D77,Milestones!$AA$95)&gt;=$Y77),$AB77,$AA77)))=Milestones!$AB$95),UPPER(TEXT(EDATE($D77,Milestones!$AA$95),"dd mmm yy"))&amp;" "&amp;Milestones!$AB$95&amp;" "&amp;IF(AND(Milestones!$AB$95="FT",Milestones!$AA$95=FT_Y5,EDATE($D77,Milestones!$AA$95)&lt;PolicyEff),1,Milestones!$AC$95)&amp;";  ","")&amp;IF(AND(EDATE($D77,Milestones!$AA$96)&lt;=AsOfDate,EDATE($D77,Milestones!$AA$96)&gt;=SchemeStart,IF($X77=0,$AD77,IF(AND($Z77&lt;&gt;"",EDATE($D77,Milestones!$AA$96)&gt;=$Z77),$AC77,IF(AND($Y77&lt;&gt;"",EDATE($D77,Milestones!$AA$96)&gt;=$Y77),$AB77,$AA77)))=Milestones!$AB$96),UPPER(TEXT(EDATE($D77,Milestones!$AA$96),"dd mmm yy"))&amp;" "&amp;Milestones!$AB$96&amp;" "&amp;IF(AND(Milestones!$AB$96="FT",Milestones!$AA$96=FT_Y5,EDATE($D77,Milestones!$AA$96)&lt;PolicyEff),1,Milestones!$AC$96)&amp;";  ","")&amp;IF(AND(EDATE($D77,Milestones!$AA$97)&lt;=AsOfDate,EDATE($D77,Milestones!$AA$97)&gt;=SchemeStart,IF($X77=0,$AD77,IF(AND($Z77&lt;&gt;"",EDATE($D77,Milestones!$AA$97)&gt;=$Z77),$AC77,IF(AND($Y77&lt;&gt;"",EDATE($D77,Milestones!$AA$97)&gt;=$Y77),$AB77,$AA77)))=Milestones!$AB$97),UPPER(TEXT(EDATE($D77,Milestones!$AA$97),"dd mmm yy"))&amp;" "&amp;Milestones!$AB$97&amp;" "&amp;IF(AND(Milestones!$AB$97="FT",Milestones!$AA$97=FT_Y5,EDATE($D77,Milestones!$AA$97)&lt;PolicyEff),1,Milestones!$AC$97)&amp;";  ","")&amp;IF(AND(EDATE($D77,Milestones!$AA$98)&lt;=AsOfDate,EDATE($D77,Milestones!$AA$98)&gt;=SchemeStart,IF($X77=0,$AD77,IF(AND($Z77&lt;&gt;"",EDATE($D77,Milestones!$AA$98)&gt;=$Z77),$AC77,IF(AND($Y77&lt;&gt;"",EDATE($D77,Milestones!$AA$98)&gt;=$Y77),$AB77,$AA77)))=Milestones!$AB$98),UPPER(TEXT(EDATE($D77,Milestones!$AA$98),"dd mmm yy"))&amp;" "&amp;Milestones!$AB$98&amp;" "&amp;IF(AND(Milestones!$AB$98="FT",Milestones!$AA$98=FT_Y5,EDATE($D77,Milestones!$AA$98)&lt;PolicyEff),1,Milestones!$AC$98)&amp;";  ","")&amp;IF(AND(EDATE($D77,Milestones!$AA$99)&lt;=AsOfDate,EDATE($D77,Milestones!$AA$99)&gt;=SchemeStart,IF($X77=0,$AD77,IF(AND($Z77&lt;&gt;"",EDATE($D77,Milestones!$AA$99)&gt;=$Z77),$AC77,IF(AND($Y77&lt;&gt;"",EDATE($D77,Milestones!$AA$99)&gt;=$Y77),$AB77,$AA77)))=Milestones!$AB$99),UPPER(TEXT(EDATE($D77,Milestones!$AA$99),"dd mmm yy"))&amp;" "&amp;Milestones!$AB$99&amp;" "&amp;IF(AND(Milestones!$AB$99="FT",Milestones!$AA$99=FT_Y5,EDATE($D77,Milestones!$AA$99)&lt;PolicyEff),1,Milestones!$AC$99)&amp;";  ","")&amp;IF(AND(EDATE($D77,Milestones!$AA$100)&lt;=AsOfDate,EDATE($D77,Milestones!$AA$100)&gt;=SchemeStart,IF($X77=0,$AD77,IF(AND($Z77&lt;&gt;"",EDATE($D77,Milestones!$AA$100)&gt;=$Z77),$AC77,IF(AND($Y77&lt;&gt;"",EDATE($D77,Milestones!$AA$100)&gt;=$Y77),$AB77,$AA77)))=Milestones!$AB$100),UPPER(TEXT(EDATE($D77,Milestones!$AA$100),"dd mmm yy"))&amp;" "&amp;Milestones!$AB$100&amp;" "&amp;IF(AND(Milestones!$AB$100="FT",Milestones!$AA$100=FT_Y5,EDATE($D77,Milestones!$AA$100)&lt;PolicyEff),1,Milestones!$AC$100)&amp;";  ","")&amp;IF(AND(EDATE($D77,Milestones!$AA$101)&lt;=AsOfDate,EDATE($D77,Milestones!$AA$101)&gt;=SchemeStart,IF($X77=0,$AD77,IF(AND($Z77&lt;&gt;"",EDATE($D77,Milestones!$AA$101)&gt;=$Z77),$AC77,IF(AND($Y77&lt;&gt;"",EDATE($D77,Milestones!$AA$101)&gt;=$Y77),$AB77,$AA77)))=Milestones!$AB$101),UPPER(TEXT(EDATE($D77,Milestones!$AA$101),"dd mmm yy"))&amp;" "&amp;Milestones!$AB$101&amp;" "&amp;IF(AND(Milestones!$AB$101="FT",Milestones!$AA$101=FT_Y5,EDATE($D77,Milestones!$AA$101)&lt;PolicyEff),1,Milestones!$AC$101)&amp;";  ","")&amp;IF(AND(EDATE($D77,Milestones!$AA$102)&lt;=AsOfDate,EDATE($D77,Milestones!$AA$102)&gt;=SchemeStart,IF($X77=0,$AD77,IF(AND($Z77&lt;&gt;"",EDATE($D77,Milestones!$AA$102)&gt;=$Z77),$AC77,IF(AND($Y77&lt;&gt;"",EDATE($D77,Milestones!$AA$102)&gt;=$Y77),$AB77,$AA77)))=Milestones!$AB$102),UPPER(TEXT(EDATE($D77,Milestones!$AA$102),"dd mmm yy"))&amp;" "&amp;Milestones!$AB$102&amp;" "&amp;IF(AND(Milestones!$AB$102="FT",Milestones!$AA$102=FT_Y5,EDATE($D77,Milestones!$AA$102)&lt;PolicyEff),1,Milestones!$AC$102)&amp;";  ","")&amp;IF(AND(EDATE($D77,Milestones!$AA$103)&lt;=AsOfDate,EDATE($D77,Milestones!$AA$103)&gt;=SchemeStart,IF($X77=0,$AD77,IF(AND($Z77&lt;&gt;"",EDATE($D77,Milestones!$AA$103)&gt;=$Z77),$AC77,IF(AND($Y77&lt;&gt;"",EDATE($D77,Milestones!$AA$103)&gt;=$Y77),$AB77,$AA77)))=Milestones!$AB$103),UPPER(TEXT(EDATE($D77,Milestones!$AA$103),"dd mmm yy"))&amp;" "&amp;Milestones!$AB$103&amp;" "&amp;IF(AND(Milestones!$AB$103="FT",Milestones!$AA$103=FT_Y5,EDATE($D77,Milestones!$AA$103)&lt;PolicyEff),1,Milestones!$AC$103)&amp;";  ",""))</f>
        <v/>
      </c>
      <c r="P77" s="0" t="str">
        <f aca="false">IF(OR($A77="",$D77=""),"",IF(AND(EDATE($D77,Milestones!$AA$104)&lt;=AsOfDate,EDATE($D77,Milestones!$AA$104)&gt;=SchemeStart,IF($X77=0,$AD77,IF(AND($Z77&lt;&gt;"",EDATE($D77,Milestones!$AA$104)&gt;=$Z77),$AC77,IF(AND($Y77&lt;&gt;"",EDATE($D77,Milestones!$AA$104)&gt;=$Y77),$AB77,$AA77)))=Milestones!$AB$104),UPPER(TEXT(EDATE($D77,Milestones!$AA$104),"dd mmm yy"))&amp;" "&amp;Milestones!$AB$104&amp;" "&amp;IF(AND(Milestones!$AB$104="FT",Milestones!$AA$104=FT_Y5,EDATE($D77,Milestones!$AA$104)&lt;PolicyEff),1,Milestones!$AC$104)&amp;";  ","")&amp;IF(AND(EDATE($D77,Milestones!$AA$105)&lt;=AsOfDate,EDATE($D77,Milestones!$AA$105)&gt;=SchemeStart,IF($X77=0,$AD77,IF(AND($Z77&lt;&gt;"",EDATE($D77,Milestones!$AA$105)&gt;=$Z77),$AC77,IF(AND($Y77&lt;&gt;"",EDATE($D77,Milestones!$AA$105)&gt;=$Y77),$AB77,$AA77)))=Milestones!$AB$105),UPPER(TEXT(EDATE($D77,Milestones!$AA$105),"dd mmm yy"))&amp;" "&amp;Milestones!$AB$105&amp;" "&amp;IF(AND(Milestones!$AB$105="FT",Milestones!$AA$105=FT_Y5,EDATE($D77,Milestones!$AA$105)&lt;PolicyEff),1,Milestones!$AC$105)&amp;";  ","")&amp;IF(AND(EDATE($D77,Milestones!$AA$106)&lt;=AsOfDate,EDATE($D77,Milestones!$AA$106)&gt;=SchemeStart,IF($X77=0,$AD77,IF(AND($Z77&lt;&gt;"",EDATE($D77,Milestones!$AA$106)&gt;=$Z77),$AC77,IF(AND($Y77&lt;&gt;"",EDATE($D77,Milestones!$AA$106)&gt;=$Y77),$AB77,$AA77)))=Milestones!$AB$106),UPPER(TEXT(EDATE($D77,Milestones!$AA$106),"dd mmm yy"))&amp;" "&amp;Milestones!$AB$106&amp;" "&amp;IF(AND(Milestones!$AB$106="FT",Milestones!$AA$106=FT_Y5,EDATE($D77,Milestones!$AA$106)&lt;PolicyEff),1,Milestones!$AC$106)&amp;";  ","")&amp;IF(AND(EDATE($D77,Milestones!$AA$107)&lt;=AsOfDate,EDATE($D77,Milestones!$AA$107)&gt;=SchemeStart,IF($X77=0,$AD77,IF(AND($Z77&lt;&gt;"",EDATE($D77,Milestones!$AA$107)&gt;=$Z77),$AC77,IF(AND($Y77&lt;&gt;"",EDATE($D77,Milestones!$AA$107)&gt;=$Y77),$AB77,$AA77)))=Milestones!$AB$107),UPPER(TEXT(EDATE($D77,Milestones!$AA$107),"dd mmm yy"))&amp;" "&amp;Milestones!$AB$107&amp;" "&amp;IF(AND(Milestones!$AB$107="FT",Milestones!$AA$107=FT_Y5,EDATE($D77,Milestones!$AA$107)&lt;PolicyEff),1,Milestones!$AC$107)&amp;";  ","")&amp;IF(AND(EDATE($D77,Milestones!$AA$108)&lt;=AsOfDate,EDATE($D77,Milestones!$AA$108)&gt;=SchemeStart,IF($X77=0,$AD77,IF(AND($Z77&lt;&gt;"",EDATE($D77,Milestones!$AA$108)&gt;=$Z77),$AC77,IF(AND($Y77&lt;&gt;"",EDATE($D77,Milestones!$AA$108)&gt;=$Y77),$AB77,$AA77)))=Milestones!$AB$108),UPPER(TEXT(EDATE($D77,Milestones!$AA$108),"dd mmm yy"))&amp;" "&amp;Milestones!$AB$108&amp;" "&amp;IF(AND(Milestones!$AB$108="FT",Milestones!$AA$108=FT_Y5,EDATE($D77,Milestones!$AA$108)&lt;PolicyEff),1,Milestones!$AC$108)&amp;";  ","")&amp;IF(AND(EDATE($D77,Milestones!$AA$109)&lt;=AsOfDate,EDATE($D77,Milestones!$AA$109)&gt;=SchemeStart,IF($X77=0,$AD77,IF(AND($Z77&lt;&gt;"",EDATE($D77,Milestones!$AA$109)&gt;=$Z77),$AC77,IF(AND($Y77&lt;&gt;"",EDATE($D77,Milestones!$AA$109)&gt;=$Y77),$AB77,$AA77)))=Milestones!$AB$109),UPPER(TEXT(EDATE($D77,Milestones!$AA$109),"dd mmm yy"))&amp;" "&amp;Milestones!$AB$109&amp;" "&amp;IF(AND(Milestones!$AB$109="FT",Milestones!$AA$109=FT_Y5,EDATE($D77,Milestones!$AA$109)&lt;PolicyEff),1,Milestones!$AC$109)&amp;";  ","")&amp;IF(AND(EDATE($D77,Milestones!$AA$110)&lt;=AsOfDate,EDATE($D77,Milestones!$AA$110)&gt;=SchemeStart,IF($X77=0,$AD77,IF(AND($Z77&lt;&gt;"",EDATE($D77,Milestones!$AA$110)&gt;=$Z77),$AC77,IF(AND($Y77&lt;&gt;"",EDATE($D77,Milestones!$AA$110)&gt;=$Y77),$AB77,$AA77)))=Milestones!$AB$110),UPPER(TEXT(EDATE($D77,Milestones!$AA$110),"dd mmm yy"))&amp;" "&amp;Milestones!$AB$110&amp;" "&amp;IF(AND(Milestones!$AB$110="FT",Milestones!$AA$110=FT_Y5,EDATE($D77,Milestones!$AA$110)&lt;PolicyEff),1,Milestones!$AC$110)&amp;";  ","")&amp;IF(AND(EDATE($D77,Milestones!$AA$111)&lt;=AsOfDate,EDATE($D77,Milestones!$AA$111)&gt;=SchemeStart,IF($X77=0,$AD77,IF(AND($Z77&lt;&gt;"",EDATE($D77,Milestones!$AA$111)&gt;=$Z77),$AC77,IF(AND($Y77&lt;&gt;"",EDATE($D77,Milestones!$AA$111)&gt;=$Y77),$AB77,$AA77)))=Milestones!$AB$111),UPPER(TEXT(EDATE($D77,Milestones!$AA$111),"dd mmm yy"))&amp;" "&amp;Milestones!$AB$111&amp;" "&amp;IF(AND(Milestones!$AB$111="FT",Milestones!$AA$111=FT_Y5,EDATE($D77,Milestones!$AA$111)&lt;PolicyEff),1,Milestones!$AC$111)&amp;";  ","")&amp;IF(AND(EDATE($D77,Milestones!$AA$112)&lt;=AsOfDate,EDATE($D77,Milestones!$AA$112)&gt;=SchemeStart,IF($X77=0,$AD77,IF(AND($Z77&lt;&gt;"",EDATE($D77,Milestones!$AA$112)&gt;=$Z77),$AC77,IF(AND($Y77&lt;&gt;"",EDATE($D77,Milestones!$AA$112)&gt;=$Y77),$AB77,$AA77)))=Milestones!$AB$112),UPPER(TEXT(EDATE($D77,Milestones!$AA$112),"dd mmm yy"))&amp;" "&amp;Milestones!$AB$112&amp;" "&amp;IF(AND(Milestones!$AB$112="FT",Milestones!$AA$112=FT_Y5,EDATE($D77,Milestones!$AA$112)&lt;PolicyEff),1,Milestones!$AC$112)&amp;";  ","")&amp;IF(AND(EDATE($D77,Milestones!$AA$113)&lt;=AsOfDate,EDATE($D77,Milestones!$AA$113)&gt;=SchemeStart,IF($X77=0,$AD77,IF(AND($Z77&lt;&gt;"",EDATE($D77,Milestones!$AA$113)&gt;=$Z77),$AC77,IF(AND($Y77&lt;&gt;"",EDATE($D77,Milestones!$AA$113)&gt;=$Y77),$AB77,$AA77)))=Milestones!$AB$113),UPPER(TEXT(EDATE($D77,Milestones!$AA$113),"dd mmm yy"))&amp;" "&amp;Milestones!$AB$113&amp;" "&amp;IF(AND(Milestones!$AB$113="FT",Milestones!$AA$113=FT_Y5,EDATE($D77,Milestones!$AA$113)&lt;PolicyEff),1,Milestones!$AC$113)&amp;";  ","")&amp;IF(AND(EDATE($D77,Milestones!$AA$114)&lt;=AsOfDate,EDATE($D77,Milestones!$AA$114)&gt;=SchemeStart,IF($X77=0,$AD77,IF(AND($Z77&lt;&gt;"",EDATE($D77,Milestones!$AA$114)&gt;=$Z77),$AC77,IF(AND($Y77&lt;&gt;"",EDATE($D77,Milestones!$AA$114)&gt;=$Y77),$AB77,$AA77)))=Milestones!$AB$114),UPPER(TEXT(EDATE($D77,Milestones!$AA$114),"dd mmm yy"))&amp;" "&amp;Milestones!$AB$114&amp;" "&amp;IF(AND(Milestones!$AB$114="FT",Milestones!$AA$114=FT_Y5,EDATE($D77,Milestones!$AA$114)&lt;PolicyEff),1,Milestones!$AC$114)&amp;";  ","")&amp;IF(AND(EDATE($D77,Milestones!$AA$115)&lt;=AsOfDate,EDATE($D77,Milestones!$AA$115)&gt;=SchemeStart,IF($X77=0,$AD77,IF(AND($Z77&lt;&gt;"",EDATE($D77,Milestones!$AA$115)&gt;=$Z77),$AC77,IF(AND($Y77&lt;&gt;"",EDATE($D77,Milestones!$AA$115)&gt;=$Y77),$AB77,$AA77)))=Milestones!$AB$115),UPPER(TEXT(EDATE($D77,Milestones!$AA$115),"dd mmm yy"))&amp;" "&amp;Milestones!$AB$115&amp;" "&amp;IF(AND(Milestones!$AB$115="FT",Milestones!$AA$115=FT_Y5,EDATE($D77,Milestones!$AA$115)&lt;PolicyEff),1,Milestones!$AC$115)&amp;";  ",""))</f>
        <v/>
      </c>
      <c r="Q77" s="0" t="str">
        <f aca="false">IF(OR($A77="",$D77=""),"",IF(AND(EDATE($D77,Milestones!$AA$116)&lt;=AsOfDate,EDATE($D77,Milestones!$AA$116)&gt;=SchemeStart,IF($X77=0,$AD77,IF(AND($Z77&lt;&gt;"",EDATE($D77,Milestones!$AA$116)&gt;=$Z77),$AC77,IF(AND($Y77&lt;&gt;"",EDATE($D77,Milestones!$AA$116)&gt;=$Y77),$AB77,$AA77)))=Milestones!$AB$116),UPPER(TEXT(EDATE($D77,Milestones!$AA$116),"dd mmm yy"))&amp;" "&amp;Milestones!$AB$116&amp;" "&amp;IF(AND(Milestones!$AB$116="FT",Milestones!$AA$116=FT_Y5,EDATE($D77,Milestones!$AA$116)&lt;PolicyEff),1,Milestones!$AC$116)&amp;";  ","")&amp;IF(AND(EDATE($D77,Milestones!$AA$117)&lt;=AsOfDate,EDATE($D77,Milestones!$AA$117)&gt;=SchemeStart,IF($X77=0,$AD77,IF(AND($Z77&lt;&gt;"",EDATE($D77,Milestones!$AA$117)&gt;=$Z77),$AC77,IF(AND($Y77&lt;&gt;"",EDATE($D77,Milestones!$AA$117)&gt;=$Y77),$AB77,$AA77)))=Milestones!$AB$117),UPPER(TEXT(EDATE($D77,Milestones!$AA$117),"dd mmm yy"))&amp;" "&amp;Milestones!$AB$117&amp;" "&amp;IF(AND(Milestones!$AB$117="FT",Milestones!$AA$117=FT_Y5,EDATE($D77,Milestones!$AA$117)&lt;PolicyEff),1,Milestones!$AC$117)&amp;";  ","")&amp;IF(AND(EDATE($D77,Milestones!$AA$118)&lt;=AsOfDate,EDATE($D77,Milestones!$AA$118)&gt;=SchemeStart,IF($X77=0,$AD77,IF(AND($Z77&lt;&gt;"",EDATE($D77,Milestones!$AA$118)&gt;=$Z77),$AC77,IF(AND($Y77&lt;&gt;"",EDATE($D77,Milestones!$AA$118)&gt;=$Y77),$AB77,$AA77)))=Milestones!$AB$118),UPPER(TEXT(EDATE($D77,Milestones!$AA$118),"dd mmm yy"))&amp;" "&amp;Milestones!$AB$118&amp;" "&amp;IF(AND(Milestones!$AB$118="FT",Milestones!$AA$118=FT_Y5,EDATE($D77,Milestones!$AA$118)&lt;PolicyEff),1,Milestones!$AC$118)&amp;";  ","")&amp;IF(AND(EDATE($D77,Milestones!$AA$119)&lt;=AsOfDate,EDATE($D77,Milestones!$AA$119)&gt;=SchemeStart,IF($X77=0,$AD77,IF(AND($Z77&lt;&gt;"",EDATE($D77,Milestones!$AA$119)&gt;=$Z77),$AC77,IF(AND($Y77&lt;&gt;"",EDATE($D77,Milestones!$AA$119)&gt;=$Y77),$AB77,$AA77)))=Milestones!$AB$119),UPPER(TEXT(EDATE($D77,Milestones!$AA$119),"dd mmm yy"))&amp;" "&amp;Milestones!$AB$119&amp;" "&amp;IF(AND(Milestones!$AB$119="FT",Milestones!$AA$119=FT_Y5,EDATE($D77,Milestones!$AA$119)&lt;PolicyEff),1,Milestones!$AC$119)&amp;";  ","")&amp;IF(AND(EDATE($D77,Milestones!$AA$120)&lt;=AsOfDate,EDATE($D77,Milestones!$AA$120)&gt;=SchemeStart,IF($X77=0,$AD77,IF(AND($Z77&lt;&gt;"",EDATE($D77,Milestones!$AA$120)&gt;=$Z77),$AC77,IF(AND($Y77&lt;&gt;"",EDATE($D77,Milestones!$AA$120)&gt;=$Y77),$AB77,$AA77)))=Milestones!$AB$120),UPPER(TEXT(EDATE($D77,Milestones!$AA$120),"dd mmm yy"))&amp;" "&amp;Milestones!$AB$120&amp;" "&amp;IF(AND(Milestones!$AB$120="FT",Milestones!$AA$120=FT_Y5,EDATE($D77,Milestones!$AA$120)&lt;PolicyEff),1,Milestones!$AC$120)&amp;";  ","")&amp;IF(AND(EDATE($D77,Milestones!$AA$121)&lt;=AsOfDate,EDATE($D77,Milestones!$AA$121)&gt;=SchemeStart,IF($X77=0,$AD77,IF(AND($Z77&lt;&gt;"",EDATE($D77,Milestones!$AA$121)&gt;=$Z77),$AC77,IF(AND($Y77&lt;&gt;"",EDATE($D77,Milestones!$AA$121)&gt;=$Y77),$AB77,$AA77)))=Milestones!$AB$121),UPPER(TEXT(EDATE($D77,Milestones!$AA$121),"dd mmm yy"))&amp;" "&amp;Milestones!$AB$121&amp;" "&amp;IF(AND(Milestones!$AB$121="FT",Milestones!$AA$121=FT_Y5,EDATE($D77,Milestones!$AA$121)&lt;PolicyEff),1,Milestones!$AC$121)&amp;";  ","")&amp;IF(AND(EDATE($D77,Milestones!$AA$122)&lt;=AsOfDate,EDATE($D77,Milestones!$AA$122)&gt;=SchemeStart,IF($X77=0,$AD77,IF(AND($Z77&lt;&gt;"",EDATE($D77,Milestones!$AA$122)&gt;=$Z77),$AC77,IF(AND($Y77&lt;&gt;"",EDATE($D77,Milestones!$AA$122)&gt;=$Y77),$AB77,$AA77)))=Milestones!$AB$122),UPPER(TEXT(EDATE($D77,Milestones!$AA$122),"dd mmm yy"))&amp;" "&amp;Milestones!$AB$122&amp;" "&amp;IF(AND(Milestones!$AB$122="FT",Milestones!$AA$122=FT_Y5,EDATE($D77,Milestones!$AA$122)&lt;PolicyEff),1,Milestones!$AC$122)&amp;";  ","")&amp;IF(AND(EDATE($D77,Milestones!$AA$123)&lt;=AsOfDate,EDATE($D77,Milestones!$AA$123)&gt;=SchemeStart,IF($X77=0,$AD77,IF(AND($Z77&lt;&gt;"",EDATE($D77,Milestones!$AA$123)&gt;=$Z77),$AC77,IF(AND($Y77&lt;&gt;"",EDATE($D77,Milestones!$AA$123)&gt;=$Y77),$AB77,$AA77)))=Milestones!$AB$123),UPPER(TEXT(EDATE($D77,Milestones!$AA$123),"dd mmm yy"))&amp;" "&amp;Milestones!$AB$123&amp;" "&amp;IF(AND(Milestones!$AB$123="FT",Milestones!$AA$123=FT_Y5,EDATE($D77,Milestones!$AA$123)&lt;PolicyEff),1,Milestones!$AC$123)&amp;";  ","")&amp;IF(AND(EDATE($D77,Milestones!$AA$124)&lt;=AsOfDate,EDATE($D77,Milestones!$AA$124)&gt;=SchemeStart,IF($X77=0,$AD77,IF(AND($Z77&lt;&gt;"",EDATE($D77,Milestones!$AA$124)&gt;=$Z77),$AC77,IF(AND($Y77&lt;&gt;"",EDATE($D77,Milestones!$AA$124)&gt;=$Y77),$AB77,$AA77)))=Milestones!$AB$124),UPPER(TEXT(EDATE($D77,Milestones!$AA$124),"dd mmm yy"))&amp;" "&amp;Milestones!$AB$124&amp;" "&amp;IF(AND(Milestones!$AB$124="FT",Milestones!$AA$124=FT_Y5,EDATE($D77,Milestones!$AA$124)&lt;PolicyEff),1,Milestones!$AC$124)&amp;";  ","")&amp;IF(AND(EDATE($D77,Milestones!$AA$125)&lt;=AsOfDate,EDATE($D77,Milestones!$AA$125)&gt;=SchemeStart,IF($X77=0,$AD77,IF(AND($Z77&lt;&gt;"",EDATE($D77,Milestones!$AA$125)&gt;=$Z77),$AC77,IF(AND($Y77&lt;&gt;"",EDATE($D77,Milestones!$AA$125)&gt;=$Y77),$AB77,$AA77)))=Milestones!$AB$125),UPPER(TEXT(EDATE($D77,Milestones!$AA$125),"dd mmm yy"))&amp;" "&amp;Milestones!$AB$125&amp;" "&amp;IF(AND(Milestones!$AB$125="FT",Milestones!$AA$125=FT_Y5,EDATE($D77,Milestones!$AA$125)&lt;PolicyEff),1,Milestones!$AC$125)&amp;";  ","")&amp;IF(AND(EDATE($D77,Milestones!$AA$126)&lt;=AsOfDate,EDATE($D77,Milestones!$AA$126)&gt;=SchemeStart,IF($X77=0,$AD77,IF(AND($Z77&lt;&gt;"",EDATE($D77,Milestones!$AA$126)&gt;=$Z77),$AC77,IF(AND($Y77&lt;&gt;"",EDATE($D77,Milestones!$AA$126)&gt;=$Y77),$AB77,$AA77)))=Milestones!$AB$126),UPPER(TEXT(EDATE($D77,Milestones!$AA$126),"dd mmm yy"))&amp;" "&amp;Milestones!$AB$126&amp;" "&amp;IF(AND(Milestones!$AB$126="FT",Milestones!$AA$126=FT_Y5,EDATE($D77,Milestones!$AA$126)&lt;PolicyEff),1,Milestones!$AC$126)&amp;";  ","")&amp;IF(AND(EDATE($D77,Milestones!$AA$127)&lt;=AsOfDate,EDATE($D77,Milestones!$AA$127)&gt;=SchemeStart,IF($X77=0,$AD77,IF(AND($Z77&lt;&gt;"",EDATE($D77,Milestones!$AA$127)&gt;=$Z77),$AC77,IF(AND($Y77&lt;&gt;"",EDATE($D77,Milestones!$AA$127)&gt;=$Y77),$AB77,$AA77)))=Milestones!$AB$127),UPPER(TEXT(EDATE($D77,Milestones!$AA$127),"dd mmm yy"))&amp;" "&amp;Milestones!$AB$127&amp;" "&amp;IF(AND(Milestones!$AB$127="FT",Milestones!$AA$127=FT_Y5,EDATE($D77,Milestones!$AA$127)&lt;PolicyEff),1,Milestones!$AC$127)&amp;";  ",""))</f>
        <v/>
      </c>
      <c r="R77" s="0" t="str">
        <f aca="false">IF(OR($A77="",$D77=""),"",IF(AND(EDATE($D77,Milestones!$AA$128)&lt;=AsOfDate,EDATE($D77,Milestones!$AA$128)&gt;=SchemeStart,IF($X77=0,$AD77,IF(AND($Z77&lt;&gt;"",EDATE($D77,Milestones!$AA$128)&gt;=$Z77),$AC77,IF(AND($Y77&lt;&gt;"",EDATE($D77,Milestones!$AA$128)&gt;=$Y77),$AB77,$AA77)))=Milestones!$AB$128),UPPER(TEXT(EDATE($D77,Milestones!$AA$128),"dd mmm yy"))&amp;" "&amp;Milestones!$AB$128&amp;" "&amp;IF(AND(Milestones!$AB$128="FT",Milestones!$AA$128=FT_Y5,EDATE($D77,Milestones!$AA$128)&lt;PolicyEff),1,Milestones!$AC$128)&amp;";  ","")&amp;IF(AND(EDATE($D77,Milestones!$AA$129)&lt;=AsOfDate,EDATE($D77,Milestones!$AA$129)&gt;=SchemeStart,IF($X77=0,$AD77,IF(AND($Z77&lt;&gt;"",EDATE($D77,Milestones!$AA$129)&gt;=$Z77),$AC77,IF(AND($Y77&lt;&gt;"",EDATE($D77,Milestones!$AA$129)&gt;=$Y77),$AB77,$AA77)))=Milestones!$AB$129),UPPER(TEXT(EDATE($D77,Milestones!$AA$129),"dd mmm yy"))&amp;" "&amp;Milestones!$AB$129&amp;" "&amp;IF(AND(Milestones!$AB$129="FT",Milestones!$AA$129=FT_Y5,EDATE($D77,Milestones!$AA$129)&lt;PolicyEff),1,Milestones!$AC$129)&amp;";  ","")&amp;IF(AND(EDATE($D77,Milestones!$AA$130)&lt;=AsOfDate,EDATE($D77,Milestones!$AA$130)&gt;=SchemeStart,IF($X77=0,$AD77,IF(AND($Z77&lt;&gt;"",EDATE($D77,Milestones!$AA$130)&gt;=$Z77),$AC77,IF(AND($Y77&lt;&gt;"",EDATE($D77,Milestones!$AA$130)&gt;=$Y77),$AB77,$AA77)))=Milestones!$AB$130),UPPER(TEXT(EDATE($D77,Milestones!$AA$130),"dd mmm yy"))&amp;" "&amp;Milestones!$AB$130&amp;" "&amp;IF(AND(Milestones!$AB$130="FT",Milestones!$AA$130=FT_Y5,EDATE($D77,Milestones!$AA$130)&lt;PolicyEff),1,Milestones!$AC$130)&amp;";  ","")&amp;IF(AND(EDATE($D77,Milestones!$AA$131)&lt;=AsOfDate,EDATE($D77,Milestones!$AA$131)&gt;=SchemeStart,IF($X77=0,$AD77,IF(AND($Z77&lt;&gt;"",EDATE($D77,Milestones!$AA$131)&gt;=$Z77),$AC77,IF(AND($Y77&lt;&gt;"",EDATE($D77,Milestones!$AA$131)&gt;=$Y77),$AB77,$AA77)))=Milestones!$AB$131),UPPER(TEXT(EDATE($D77,Milestones!$AA$131),"dd mmm yy"))&amp;" "&amp;Milestones!$AB$131&amp;" "&amp;IF(AND(Milestones!$AB$131="FT",Milestones!$AA$131=FT_Y5,EDATE($D77,Milestones!$AA$131)&lt;PolicyEff),1,Milestones!$AC$131)&amp;";  ","")&amp;IF(AND(EDATE($D77,Milestones!$AA$132)&lt;=AsOfDate,EDATE($D77,Milestones!$AA$132)&gt;=SchemeStart,IF($X77=0,$AD77,IF(AND($Z77&lt;&gt;"",EDATE($D77,Milestones!$AA$132)&gt;=$Z77),$AC77,IF(AND($Y77&lt;&gt;"",EDATE($D77,Milestones!$AA$132)&gt;=$Y77),$AB77,$AA77)))=Milestones!$AB$132),UPPER(TEXT(EDATE($D77,Milestones!$AA$132),"dd mmm yy"))&amp;" "&amp;Milestones!$AB$132&amp;" "&amp;IF(AND(Milestones!$AB$132="FT",Milestones!$AA$132=FT_Y5,EDATE($D77,Milestones!$AA$132)&lt;PolicyEff),1,Milestones!$AC$132)&amp;";  ","")&amp;IF(AND(EDATE($D77,Milestones!$AA$133)&lt;=AsOfDate,EDATE($D77,Milestones!$AA$133)&gt;=SchemeStart,IF($X77=0,$AD77,IF(AND($Z77&lt;&gt;"",EDATE($D77,Milestones!$AA$133)&gt;=$Z77),$AC77,IF(AND($Y77&lt;&gt;"",EDATE($D77,Milestones!$AA$133)&gt;=$Y77),$AB77,$AA77)))=Milestones!$AB$133),UPPER(TEXT(EDATE($D77,Milestones!$AA$133),"dd mmm yy"))&amp;" "&amp;Milestones!$AB$133&amp;" "&amp;IF(AND(Milestones!$AB$133="FT",Milestones!$AA$133=FT_Y5,EDATE($D77,Milestones!$AA$133)&lt;PolicyEff),1,Milestones!$AC$133)&amp;";  ","")&amp;IF(AND(EDATE($D77,Milestones!$AA$134)&lt;=AsOfDate,EDATE($D77,Milestones!$AA$134)&gt;=SchemeStart,IF($X77=0,$AD77,IF(AND($Z77&lt;&gt;"",EDATE($D77,Milestones!$AA$134)&gt;=$Z77),$AC77,IF(AND($Y77&lt;&gt;"",EDATE($D77,Milestones!$AA$134)&gt;=$Y77),$AB77,$AA77)))=Milestones!$AB$134),UPPER(TEXT(EDATE($D77,Milestones!$AA$134),"dd mmm yy"))&amp;" "&amp;Milestones!$AB$134&amp;" "&amp;IF(AND(Milestones!$AB$134="FT",Milestones!$AA$134=FT_Y5,EDATE($D77,Milestones!$AA$134)&lt;PolicyEff),1,Milestones!$AC$134)&amp;";  ","")&amp;IF(AND(EDATE($D77,Milestones!$AA$135)&lt;=AsOfDate,EDATE($D77,Milestones!$AA$135)&gt;=SchemeStart,IF($X77=0,$AD77,IF(AND($Z77&lt;&gt;"",EDATE($D77,Milestones!$AA$135)&gt;=$Z77),$AC77,IF(AND($Y77&lt;&gt;"",EDATE($D77,Milestones!$AA$135)&gt;=$Y77),$AB77,$AA77)))=Milestones!$AB$135),UPPER(TEXT(EDATE($D77,Milestones!$AA$135),"dd mmm yy"))&amp;" "&amp;Milestones!$AB$135&amp;" "&amp;IF(AND(Milestones!$AB$135="FT",Milestones!$AA$135=FT_Y5,EDATE($D77,Milestones!$AA$135)&lt;PolicyEff),1,Milestones!$AC$135)&amp;";  ","")&amp;IF(AND(EDATE($D77,Milestones!$AA$136)&lt;=AsOfDate,EDATE($D77,Milestones!$AA$136)&gt;=SchemeStart,IF($X77=0,$AD77,IF(AND($Z77&lt;&gt;"",EDATE($D77,Milestones!$AA$136)&gt;=$Z77),$AC77,IF(AND($Y77&lt;&gt;"",EDATE($D77,Milestones!$AA$136)&gt;=$Y77),$AB77,$AA77)))=Milestones!$AB$136),UPPER(TEXT(EDATE($D77,Milestones!$AA$136),"dd mmm yy"))&amp;" "&amp;Milestones!$AB$136&amp;" "&amp;IF(AND(Milestones!$AB$136="FT",Milestones!$AA$136=FT_Y5,EDATE($D77,Milestones!$AA$136)&lt;PolicyEff),1,Milestones!$AC$136)&amp;";  ","")&amp;IF(AND(EDATE($D77,Milestones!$AA$137)&lt;=AsOfDate,EDATE($D77,Milestones!$AA$137)&gt;=SchemeStart,IF($X77=0,$AD77,IF(AND($Z77&lt;&gt;"",EDATE($D77,Milestones!$AA$137)&gt;=$Z77),$AC77,IF(AND($Y77&lt;&gt;"",EDATE($D77,Milestones!$AA$137)&gt;=$Y77),$AB77,$AA77)))=Milestones!$AB$137),UPPER(TEXT(EDATE($D77,Milestones!$AA$137),"dd mmm yy"))&amp;" "&amp;Milestones!$AB$137&amp;" "&amp;IF(AND(Milestones!$AB$137="FT",Milestones!$AA$137=FT_Y5,EDATE($D77,Milestones!$AA$137)&lt;PolicyEff),1,Milestones!$AC$137)&amp;";  ","")&amp;IF(AND(EDATE($D77,Milestones!$AA$138)&lt;=AsOfDate,EDATE($D77,Milestones!$AA$138)&gt;=SchemeStart,IF($X77=0,$AD77,IF(AND($Z77&lt;&gt;"",EDATE($D77,Milestones!$AA$138)&gt;=$Z77),$AC77,IF(AND($Y77&lt;&gt;"",EDATE($D77,Milestones!$AA$138)&gt;=$Y77),$AB77,$AA77)))=Milestones!$AB$138),UPPER(TEXT(EDATE($D77,Milestones!$AA$138),"dd mmm yy"))&amp;" "&amp;Milestones!$AB$138&amp;" "&amp;IF(AND(Milestones!$AB$138="FT",Milestones!$AA$138=FT_Y5,EDATE($D77,Milestones!$AA$138)&lt;PolicyEff),1,Milestones!$AC$138)&amp;";  ","")&amp;IF(AND(EDATE($D77,Milestones!$AA$139)&lt;=AsOfDate,EDATE($D77,Milestones!$AA$139)&gt;=SchemeStart,IF($X77=0,$AD77,IF(AND($Z77&lt;&gt;"",EDATE($D77,Milestones!$AA$139)&gt;=$Z77),$AC77,IF(AND($Y77&lt;&gt;"",EDATE($D77,Milestones!$AA$139)&gt;=$Y77),$AB77,$AA77)))=Milestones!$AB$139),UPPER(TEXT(EDATE($D77,Milestones!$AA$139),"dd mmm yy"))&amp;" "&amp;Milestones!$AB$139&amp;" "&amp;IF(AND(Milestones!$AB$139="FT",Milestones!$AA$139=FT_Y5,EDATE($D77,Milestones!$AA$139)&lt;PolicyEff),1,Milestones!$AC$139)&amp;";  ",""))</f>
        <v/>
      </c>
      <c r="S77" s="0" t="str">
        <f aca="false">IF(OR($A77="",$D77=""),"",IF(AND(EDATE($D77,Milestones!$AA$140)&lt;=AsOfDate,EDATE($D77,Milestones!$AA$140)&gt;=SchemeStart,IF($X77=0,$AD77,IF(AND($Z77&lt;&gt;"",EDATE($D77,Milestones!$AA$140)&gt;=$Z77),$AC77,IF(AND($Y77&lt;&gt;"",EDATE($D77,Milestones!$AA$140)&gt;=$Y77),$AB77,$AA77)))=Milestones!$AB$140),UPPER(TEXT(EDATE($D77,Milestones!$AA$140),"dd mmm yy"))&amp;" "&amp;Milestones!$AB$140&amp;" "&amp;IF(AND(Milestones!$AB$140="FT",Milestones!$AA$140=FT_Y5,EDATE($D77,Milestones!$AA$140)&lt;PolicyEff),1,Milestones!$AC$140)&amp;";  ","")&amp;IF(AND(EDATE($D77,Milestones!$AA$141)&lt;=AsOfDate,EDATE($D77,Milestones!$AA$141)&gt;=SchemeStart,IF($X77=0,$AD77,IF(AND($Z77&lt;&gt;"",EDATE($D77,Milestones!$AA$141)&gt;=$Z77),$AC77,IF(AND($Y77&lt;&gt;"",EDATE($D77,Milestones!$AA$141)&gt;=$Y77),$AB77,$AA77)))=Milestones!$AB$141),UPPER(TEXT(EDATE($D77,Milestones!$AA$141),"dd mmm yy"))&amp;" "&amp;Milestones!$AB$141&amp;" "&amp;IF(AND(Milestones!$AB$141="FT",Milestones!$AA$141=FT_Y5,EDATE($D77,Milestones!$AA$141)&lt;PolicyEff),1,Milestones!$AC$141)&amp;";  ","")&amp;IF(AND(EDATE($D77,Milestones!$AA$142)&lt;=AsOfDate,EDATE($D77,Milestones!$AA$142)&gt;=SchemeStart,IF($X77=0,$AD77,IF(AND($Z77&lt;&gt;"",EDATE($D77,Milestones!$AA$142)&gt;=$Z77),$AC77,IF(AND($Y77&lt;&gt;"",EDATE($D77,Milestones!$AA$142)&gt;=$Y77),$AB77,$AA77)))=Milestones!$AB$142),UPPER(TEXT(EDATE($D77,Milestones!$AA$142),"dd mmm yy"))&amp;" "&amp;Milestones!$AB$142&amp;" "&amp;IF(AND(Milestones!$AB$142="FT",Milestones!$AA$142=FT_Y5,EDATE($D77,Milestones!$AA$142)&lt;PolicyEff),1,Milestones!$AC$142)&amp;";  ","")&amp;IF(AND(EDATE($D77,Milestones!$AA$143)&lt;=AsOfDate,EDATE($D77,Milestones!$AA$143)&gt;=SchemeStart,IF($X77=0,$AD77,IF(AND($Z77&lt;&gt;"",EDATE($D77,Milestones!$AA$143)&gt;=$Z77),$AC77,IF(AND($Y77&lt;&gt;"",EDATE($D77,Milestones!$AA$143)&gt;=$Y77),$AB77,$AA77)))=Milestones!$AB$143),UPPER(TEXT(EDATE($D77,Milestones!$AA$143),"dd mmm yy"))&amp;" "&amp;Milestones!$AB$143&amp;" "&amp;IF(AND(Milestones!$AB$143="FT",Milestones!$AA$143=FT_Y5,EDATE($D77,Milestones!$AA$143)&lt;PolicyEff),1,Milestones!$AC$143)&amp;";  ","")&amp;IF(AND(EDATE($D77,Milestones!$AA$144)&lt;=AsOfDate,EDATE($D77,Milestones!$AA$144)&gt;=SchemeStart,IF($X77=0,$AD77,IF(AND($Z77&lt;&gt;"",EDATE($D77,Milestones!$AA$144)&gt;=$Z77),$AC77,IF(AND($Y77&lt;&gt;"",EDATE($D77,Milestones!$AA$144)&gt;=$Y77),$AB77,$AA77)))=Milestones!$AB$144),UPPER(TEXT(EDATE($D77,Milestones!$AA$144),"dd mmm yy"))&amp;" "&amp;Milestones!$AB$144&amp;" "&amp;IF(AND(Milestones!$AB$144="FT",Milestones!$AA$144=FT_Y5,EDATE($D77,Milestones!$AA$144)&lt;PolicyEff),1,Milestones!$AC$144)&amp;";  ","")&amp;IF(AND(EDATE($D77,Milestones!$AA$145)&lt;=AsOfDate,EDATE($D77,Milestones!$AA$145)&gt;=SchemeStart,IF($X77=0,$AD77,IF(AND($Z77&lt;&gt;"",EDATE($D77,Milestones!$AA$145)&gt;=$Z77),$AC77,IF(AND($Y77&lt;&gt;"",EDATE($D77,Milestones!$AA$145)&gt;=$Y77),$AB77,$AA77)))=Milestones!$AB$145),UPPER(TEXT(EDATE($D77,Milestones!$AA$145),"dd mmm yy"))&amp;" "&amp;Milestones!$AB$145&amp;" "&amp;IF(AND(Milestones!$AB$145="FT",Milestones!$AA$145=FT_Y5,EDATE($D77,Milestones!$AA$145)&lt;PolicyEff),1,Milestones!$AC$145)&amp;";  ","")&amp;IF(AND(EDATE($D77,Milestones!$AA$146)&lt;=AsOfDate,EDATE($D77,Milestones!$AA$146)&gt;=SchemeStart,IF($X77=0,$AD77,IF(AND($Z77&lt;&gt;"",EDATE($D77,Milestones!$AA$146)&gt;=$Z77),$AC77,IF(AND($Y77&lt;&gt;"",EDATE($D77,Milestones!$AA$146)&gt;=$Y77),$AB77,$AA77)))=Milestones!$AB$146),UPPER(TEXT(EDATE($D77,Milestones!$AA$146),"dd mmm yy"))&amp;" "&amp;Milestones!$AB$146&amp;" "&amp;IF(AND(Milestones!$AB$146="FT",Milestones!$AA$146=FT_Y5,EDATE($D77,Milestones!$AA$146)&lt;PolicyEff),1,Milestones!$AC$146)&amp;";  ","")&amp;IF(AND(EDATE($D77,Milestones!$AA$147)&lt;=AsOfDate,EDATE($D77,Milestones!$AA$147)&gt;=SchemeStart,IF($X77=0,$AD77,IF(AND($Z77&lt;&gt;"",EDATE($D77,Milestones!$AA$147)&gt;=$Z77),$AC77,IF(AND($Y77&lt;&gt;"",EDATE($D77,Milestones!$AA$147)&gt;=$Y77),$AB77,$AA77)))=Milestones!$AB$147),UPPER(TEXT(EDATE($D77,Milestones!$AA$147),"dd mmm yy"))&amp;" "&amp;Milestones!$AB$147&amp;" "&amp;IF(AND(Milestones!$AB$147="FT",Milestones!$AA$147=FT_Y5,EDATE($D77,Milestones!$AA$147)&lt;PolicyEff),1,Milestones!$AC$147)&amp;";  ","")&amp;IF(AND(EDATE($D77,Milestones!$AA$148)&lt;=AsOfDate,EDATE($D77,Milestones!$AA$148)&gt;=SchemeStart,IF($X77=0,$AD77,IF(AND($Z77&lt;&gt;"",EDATE($D77,Milestones!$AA$148)&gt;=$Z77),$AC77,IF(AND($Y77&lt;&gt;"",EDATE($D77,Milestones!$AA$148)&gt;=$Y77),$AB77,$AA77)))=Milestones!$AB$148),UPPER(TEXT(EDATE($D77,Milestones!$AA$148),"dd mmm yy"))&amp;" "&amp;Milestones!$AB$148&amp;" "&amp;IF(AND(Milestones!$AB$148="FT",Milestones!$AA$148=FT_Y5,EDATE($D77,Milestones!$AA$148)&lt;PolicyEff),1,Milestones!$AC$148)&amp;";  ","")&amp;IF(AND(EDATE($D77,Milestones!$AA$149)&lt;=AsOfDate,EDATE($D77,Milestones!$AA$149)&gt;=SchemeStart,IF($X77=0,$AD77,IF(AND($Z77&lt;&gt;"",EDATE($D77,Milestones!$AA$149)&gt;=$Z77),$AC77,IF(AND($Y77&lt;&gt;"",EDATE($D77,Milestones!$AA$149)&gt;=$Y77),$AB77,$AA77)))=Milestones!$AB$149),UPPER(TEXT(EDATE($D77,Milestones!$AA$149),"dd mmm yy"))&amp;" "&amp;Milestones!$AB$149&amp;" "&amp;IF(AND(Milestones!$AB$149="FT",Milestones!$AA$149=FT_Y5,EDATE($D77,Milestones!$AA$149)&lt;PolicyEff),1,Milestones!$AC$149)&amp;";  ","")&amp;IF(AND(EDATE($D77,Milestones!$AA$150)&lt;=AsOfDate,EDATE($D77,Milestones!$AA$150)&gt;=SchemeStart,IF($X77=0,$AD77,IF(AND($Z77&lt;&gt;"",EDATE($D77,Milestones!$AA$150)&gt;=$Z77),$AC77,IF(AND($Y77&lt;&gt;"",EDATE($D77,Milestones!$AA$150)&gt;=$Y77),$AB77,$AA77)))=Milestones!$AB$150),UPPER(TEXT(EDATE($D77,Milestones!$AA$150),"dd mmm yy"))&amp;" "&amp;Milestones!$AB$150&amp;" "&amp;IF(AND(Milestones!$AB$150="FT",Milestones!$AA$150=FT_Y5,EDATE($D77,Milestones!$AA$150)&lt;PolicyEff),1,Milestones!$AC$150)&amp;";  ","")&amp;IF(AND(EDATE($D77,Milestones!$AA$151)&lt;=AsOfDate,EDATE($D77,Milestones!$AA$151)&gt;=SchemeStart,IF($X77=0,$AD77,IF(AND($Z77&lt;&gt;"",EDATE($D77,Milestones!$AA$151)&gt;=$Z77),$AC77,IF(AND($Y77&lt;&gt;"",EDATE($D77,Milestones!$AA$151)&gt;=$Y77),$AB77,$AA77)))=Milestones!$AB$151),UPPER(TEXT(EDATE($D77,Milestones!$AA$151),"dd mmm yy"))&amp;" "&amp;Milestones!$AB$151&amp;" "&amp;IF(AND(Milestones!$AB$151="FT",Milestones!$AA$151=FT_Y5,EDATE($D77,Milestones!$AA$151)&lt;PolicyEff),1,Milestones!$AC$151)&amp;";  ",""))</f>
        <v/>
      </c>
      <c r="T77" s="0" t="str">
        <f aca="false">IF(OR($A77="",$D77=""),"",IF(AND(EDATE($D77,Milestones!$AA$152)&lt;=AsOfDate,EDATE($D77,Milestones!$AA$152)&gt;=SchemeStart,IF($X77=0,$AD77,IF(AND($Z77&lt;&gt;"",EDATE($D77,Milestones!$AA$152)&gt;=$Z77),$AC77,IF(AND($Y77&lt;&gt;"",EDATE($D77,Milestones!$AA$152)&gt;=$Y77),$AB77,$AA77)))=Milestones!$AB$152),UPPER(TEXT(EDATE($D77,Milestones!$AA$152),"dd mmm yy"))&amp;" "&amp;Milestones!$AB$152&amp;" "&amp;IF(AND(Milestones!$AB$152="FT",Milestones!$AA$152=FT_Y5,EDATE($D77,Milestones!$AA$152)&lt;PolicyEff),1,Milestones!$AC$152)&amp;";  ","")&amp;IF(AND(EDATE($D77,Milestones!$AA$153)&lt;=AsOfDate,EDATE($D77,Milestones!$AA$153)&gt;=SchemeStart,IF($X77=0,$AD77,IF(AND($Z77&lt;&gt;"",EDATE($D77,Milestones!$AA$153)&gt;=$Z77),$AC77,IF(AND($Y77&lt;&gt;"",EDATE($D77,Milestones!$AA$153)&gt;=$Y77),$AB77,$AA77)))=Milestones!$AB$153),UPPER(TEXT(EDATE($D77,Milestones!$AA$153),"dd mmm yy"))&amp;" "&amp;Milestones!$AB$153&amp;" "&amp;IF(AND(Milestones!$AB$153="FT",Milestones!$AA$153=FT_Y5,EDATE($D77,Milestones!$AA$153)&lt;PolicyEff),1,Milestones!$AC$153)&amp;";  ","")&amp;IF(AND(EDATE($D77,Milestones!$AA$154)&lt;=AsOfDate,EDATE($D77,Milestones!$AA$154)&gt;=SchemeStart,IF($X77=0,$AD77,IF(AND($Z77&lt;&gt;"",EDATE($D77,Milestones!$AA$154)&gt;=$Z77),$AC77,IF(AND($Y77&lt;&gt;"",EDATE($D77,Milestones!$AA$154)&gt;=$Y77),$AB77,$AA77)))=Milestones!$AB$154),UPPER(TEXT(EDATE($D77,Milestones!$AA$154),"dd mmm yy"))&amp;" "&amp;Milestones!$AB$154&amp;" "&amp;IF(AND(Milestones!$AB$154="FT",Milestones!$AA$154=FT_Y5,EDATE($D77,Milestones!$AA$154)&lt;PolicyEff),1,Milestones!$AC$154)&amp;";  ","")&amp;IF(AND(EDATE($D77,Milestones!$AA$155)&lt;=AsOfDate,EDATE($D77,Milestones!$AA$155)&gt;=SchemeStart,IF($X77=0,$AD77,IF(AND($Z77&lt;&gt;"",EDATE($D77,Milestones!$AA$155)&gt;=$Z77),$AC77,IF(AND($Y77&lt;&gt;"",EDATE($D77,Milestones!$AA$155)&gt;=$Y77),$AB77,$AA77)))=Milestones!$AB$155),UPPER(TEXT(EDATE($D77,Milestones!$AA$155),"dd mmm yy"))&amp;" "&amp;Milestones!$AB$155&amp;" "&amp;IF(AND(Milestones!$AB$155="FT",Milestones!$AA$155=FT_Y5,EDATE($D77,Milestones!$AA$155)&lt;PolicyEff),1,Milestones!$AC$155)&amp;";  ","")&amp;IF(AND(EDATE($D77,Milestones!$AA$156)&lt;=AsOfDate,EDATE($D77,Milestones!$AA$156)&gt;=SchemeStart,IF($X77=0,$AD77,IF(AND($Z77&lt;&gt;"",EDATE($D77,Milestones!$AA$156)&gt;=$Z77),$AC77,IF(AND($Y77&lt;&gt;"",EDATE($D77,Milestones!$AA$156)&gt;=$Y77),$AB77,$AA77)))=Milestones!$AB$156),UPPER(TEXT(EDATE($D77,Milestones!$AA$156),"dd mmm yy"))&amp;" "&amp;Milestones!$AB$156&amp;" "&amp;IF(AND(Milestones!$AB$156="FT",Milestones!$AA$156=FT_Y5,EDATE($D77,Milestones!$AA$156)&lt;PolicyEff),1,Milestones!$AC$156)&amp;";  ","")&amp;IF(AND(EDATE($D77,Milestones!$AA$157)&lt;=AsOfDate,EDATE($D77,Milestones!$AA$157)&gt;=SchemeStart,IF($X77=0,$AD77,IF(AND($Z77&lt;&gt;"",EDATE($D77,Milestones!$AA$157)&gt;=$Z77),$AC77,IF(AND($Y77&lt;&gt;"",EDATE($D77,Milestones!$AA$157)&gt;=$Y77),$AB77,$AA77)))=Milestones!$AB$157),UPPER(TEXT(EDATE($D77,Milestones!$AA$157),"dd mmm yy"))&amp;" "&amp;Milestones!$AB$157&amp;" "&amp;IF(AND(Milestones!$AB$157="FT",Milestones!$AA$157=FT_Y5,EDATE($D77,Milestones!$AA$157)&lt;PolicyEff),1,Milestones!$AC$157)&amp;";  ","")&amp;IF(AND(EDATE($D77,Milestones!$AA$158)&lt;=AsOfDate,EDATE($D77,Milestones!$AA$158)&gt;=SchemeStart,IF($X77=0,$AD77,IF(AND($Z77&lt;&gt;"",EDATE($D77,Milestones!$AA$158)&gt;=$Z77),$AC77,IF(AND($Y77&lt;&gt;"",EDATE($D77,Milestones!$AA$158)&gt;=$Y77),$AB77,$AA77)))=Milestones!$AB$158),UPPER(TEXT(EDATE($D77,Milestones!$AA$158),"dd mmm yy"))&amp;" "&amp;Milestones!$AB$158&amp;" "&amp;IF(AND(Milestones!$AB$158="FT",Milestones!$AA$158=FT_Y5,EDATE($D77,Milestones!$AA$158)&lt;PolicyEff),1,Milestones!$AC$158)&amp;";  ","")&amp;IF(AND(EDATE($D77,Milestones!$AA$159)&lt;=AsOfDate,EDATE($D77,Milestones!$AA$159)&gt;=SchemeStart,IF($X77=0,$AD77,IF(AND($Z77&lt;&gt;"",EDATE($D77,Milestones!$AA$159)&gt;=$Z77),$AC77,IF(AND($Y77&lt;&gt;"",EDATE($D77,Milestones!$AA$159)&gt;=$Y77),$AB77,$AA77)))=Milestones!$AB$159),UPPER(TEXT(EDATE($D77,Milestones!$AA$159),"dd mmm yy"))&amp;" "&amp;Milestones!$AB$159&amp;" "&amp;IF(AND(Milestones!$AB$159="FT",Milestones!$AA$159=FT_Y5,EDATE($D77,Milestones!$AA$159)&lt;PolicyEff),1,Milestones!$AC$159)&amp;";  ","")&amp;IF(AND(EDATE($D77,Milestones!$AA$160)&lt;=AsOfDate,EDATE($D77,Milestones!$AA$160)&gt;=SchemeStart,IF($X77=0,$AD77,IF(AND($Z77&lt;&gt;"",EDATE($D77,Milestones!$AA$160)&gt;=$Z77),$AC77,IF(AND($Y77&lt;&gt;"",EDATE($D77,Milestones!$AA$160)&gt;=$Y77),$AB77,$AA77)))=Milestones!$AB$160),UPPER(TEXT(EDATE($D77,Milestones!$AA$160),"dd mmm yy"))&amp;" "&amp;Milestones!$AB$160&amp;" "&amp;IF(AND(Milestones!$AB$160="FT",Milestones!$AA$160=FT_Y5,EDATE($D77,Milestones!$AA$160)&lt;PolicyEff),1,Milestones!$AC$160)&amp;";  ","")&amp;IF(AND(EDATE($D77,Milestones!$AA$161)&lt;=AsOfDate,EDATE($D77,Milestones!$AA$161)&gt;=SchemeStart,IF($X77=0,$AD77,IF(AND($Z77&lt;&gt;"",EDATE($D77,Milestones!$AA$161)&gt;=$Z77),$AC77,IF(AND($Y77&lt;&gt;"",EDATE($D77,Milestones!$AA$161)&gt;=$Y77),$AB77,$AA77)))=Milestones!$AB$161),UPPER(TEXT(EDATE($D77,Milestones!$AA$161),"dd mmm yy"))&amp;" "&amp;Milestones!$AB$161&amp;" "&amp;IF(AND(Milestones!$AB$161="FT",Milestones!$AA$161=FT_Y5,EDATE($D77,Milestones!$AA$161)&lt;PolicyEff),1,Milestones!$AC$161)&amp;";  ","")&amp;IF(AND(EDATE($D77,Milestones!$AA$162)&lt;=AsOfDate,EDATE($D77,Milestones!$AA$162)&gt;=SchemeStart,IF($X77=0,$AD77,IF(AND($Z77&lt;&gt;"",EDATE($D77,Milestones!$AA$162)&gt;=$Z77),$AC77,IF(AND($Y77&lt;&gt;"",EDATE($D77,Milestones!$AA$162)&gt;=$Y77),$AB77,$AA77)))=Milestones!$AB$162),UPPER(TEXT(EDATE($D77,Milestones!$AA$162),"dd mmm yy"))&amp;" "&amp;Milestones!$AB$162&amp;" "&amp;IF(AND(Milestones!$AB$162="FT",Milestones!$AA$162=FT_Y5,EDATE($D77,Milestones!$AA$162)&lt;PolicyEff),1,Milestones!$AC$162)&amp;";  ","")&amp;IF(AND(EDATE($D77,Milestones!$AA$163)&lt;=AsOfDate,EDATE($D77,Milestones!$AA$163)&gt;=SchemeStart,IF($X77=0,$AD77,IF(AND($Z77&lt;&gt;"",EDATE($D77,Milestones!$AA$163)&gt;=$Z77),$AC77,IF(AND($Y77&lt;&gt;"",EDATE($D77,Milestones!$AA$163)&gt;=$Y77),$AB77,$AA77)))=Milestones!$AB$163),UPPER(TEXT(EDATE($D77,Milestones!$AA$163),"dd mmm yy"))&amp;" "&amp;Milestones!$AB$163&amp;" "&amp;IF(AND(Milestones!$AB$163="FT",Milestones!$AA$163=FT_Y5,EDATE($D77,Milestones!$AA$163)&lt;PolicyEff),1,Milestones!$AC$163)&amp;";  ",""))</f>
        <v/>
      </c>
      <c r="U77" s="0" t="str">
        <f aca="false">IF(OR($A77="",$D77=""),"",IF(AND(EDATE($D77,Milestones!$AA$164)&lt;=AsOfDate,EDATE($D77,Milestones!$AA$164)&gt;=SchemeStart,IF($X77=0,$AD77,IF(AND($Z77&lt;&gt;"",EDATE($D77,Milestones!$AA$164)&gt;=$Z77),$AC77,IF(AND($Y77&lt;&gt;"",EDATE($D77,Milestones!$AA$164)&gt;=$Y77),$AB77,$AA77)))=Milestones!$AB$164),UPPER(TEXT(EDATE($D77,Milestones!$AA$164),"dd mmm yy"))&amp;" "&amp;Milestones!$AB$164&amp;" "&amp;IF(AND(Milestones!$AB$164="FT",Milestones!$AA$164=FT_Y5,EDATE($D77,Milestones!$AA$164)&lt;PolicyEff),1,Milestones!$AC$164)&amp;";  ","")&amp;IF(AND(EDATE($D77,Milestones!$AA$165)&lt;=AsOfDate,EDATE($D77,Milestones!$AA$165)&gt;=SchemeStart,IF($X77=0,$AD77,IF(AND($Z77&lt;&gt;"",EDATE($D77,Milestones!$AA$165)&gt;=$Z77),$AC77,IF(AND($Y77&lt;&gt;"",EDATE($D77,Milestones!$AA$165)&gt;=$Y77),$AB77,$AA77)))=Milestones!$AB$165),UPPER(TEXT(EDATE($D77,Milestones!$AA$165),"dd mmm yy"))&amp;" "&amp;Milestones!$AB$165&amp;" "&amp;IF(AND(Milestones!$AB$165="FT",Milestones!$AA$165=FT_Y5,EDATE($D77,Milestones!$AA$165)&lt;PolicyEff),1,Milestones!$AC$165)&amp;";  ","")&amp;IF(AND(EDATE($D77,Milestones!$AA$166)&lt;=AsOfDate,EDATE($D77,Milestones!$AA$166)&gt;=SchemeStart,IF($X77=0,$AD77,IF(AND($Z77&lt;&gt;"",EDATE($D77,Milestones!$AA$166)&gt;=$Z77),$AC77,IF(AND($Y77&lt;&gt;"",EDATE($D77,Milestones!$AA$166)&gt;=$Y77),$AB77,$AA77)))=Milestones!$AB$166),UPPER(TEXT(EDATE($D77,Milestones!$AA$166),"dd mmm yy"))&amp;" "&amp;Milestones!$AB$166&amp;" "&amp;IF(AND(Milestones!$AB$166="FT",Milestones!$AA$166=FT_Y5,EDATE($D77,Milestones!$AA$166)&lt;PolicyEff),1,Milestones!$AC$166)&amp;";  ","")&amp;IF(AND(EDATE($D77,Milestones!$AA$167)&lt;=AsOfDate,EDATE($D77,Milestones!$AA$167)&gt;=SchemeStart,IF($X77=0,$AD77,IF(AND($Z77&lt;&gt;"",EDATE($D77,Milestones!$AA$167)&gt;=$Z77),$AC77,IF(AND($Y77&lt;&gt;"",EDATE($D77,Milestones!$AA$167)&gt;=$Y77),$AB77,$AA77)))=Milestones!$AB$167),UPPER(TEXT(EDATE($D77,Milestones!$AA$167),"dd mmm yy"))&amp;" "&amp;Milestones!$AB$167&amp;" "&amp;IF(AND(Milestones!$AB$167="FT",Milestones!$AA$167=FT_Y5,EDATE($D77,Milestones!$AA$167)&lt;PolicyEff),1,Milestones!$AC$167)&amp;";  ","")&amp;IF(AND(EDATE($D77,Milestones!$AA$168)&lt;=AsOfDate,EDATE($D77,Milestones!$AA$168)&gt;=SchemeStart,IF($X77=0,$AD77,IF(AND($Z77&lt;&gt;"",EDATE($D77,Milestones!$AA$168)&gt;=$Z77),$AC77,IF(AND($Y77&lt;&gt;"",EDATE($D77,Milestones!$AA$168)&gt;=$Y77),$AB77,$AA77)))=Milestones!$AB$168),UPPER(TEXT(EDATE($D77,Milestones!$AA$168),"dd mmm yy"))&amp;" "&amp;Milestones!$AB$168&amp;" "&amp;IF(AND(Milestones!$AB$168="FT",Milestones!$AA$168=FT_Y5,EDATE($D77,Milestones!$AA$168)&lt;PolicyEff),1,Milestones!$AC$168)&amp;";  ","")&amp;IF(AND(EDATE($D77,Milestones!$AA$169)&lt;=AsOfDate,EDATE($D77,Milestones!$AA$169)&gt;=SchemeStart,IF($X77=0,$AD77,IF(AND($Z77&lt;&gt;"",EDATE($D77,Milestones!$AA$169)&gt;=$Z77),$AC77,IF(AND($Y77&lt;&gt;"",EDATE($D77,Milestones!$AA$169)&gt;=$Y77),$AB77,$AA77)))=Milestones!$AB$169),UPPER(TEXT(EDATE($D77,Milestones!$AA$169),"dd mmm yy"))&amp;" "&amp;Milestones!$AB$169&amp;" "&amp;IF(AND(Milestones!$AB$169="FT",Milestones!$AA$169=FT_Y5,EDATE($D77,Milestones!$AA$169)&lt;PolicyEff),1,Milestones!$AC$169)&amp;";  ","")&amp;IF(AND(EDATE($D77,Milestones!$AA$170)&lt;=AsOfDate,EDATE($D77,Milestones!$AA$170)&gt;=SchemeStart,IF($X77=0,$AD77,IF(AND($Z77&lt;&gt;"",EDATE($D77,Milestones!$AA$170)&gt;=$Z77),$AC77,IF(AND($Y77&lt;&gt;"",EDATE($D77,Milestones!$AA$170)&gt;=$Y77),$AB77,$AA77)))=Milestones!$AB$170),UPPER(TEXT(EDATE($D77,Milestones!$AA$170),"dd mmm yy"))&amp;" "&amp;Milestones!$AB$170&amp;" "&amp;IF(AND(Milestones!$AB$170="FT",Milestones!$AA$170=FT_Y5,EDATE($D77,Milestones!$AA$170)&lt;PolicyEff),1,Milestones!$AC$170)&amp;";  ","")&amp;IF(AND(EDATE($D77,Milestones!$AA$171)&lt;=AsOfDate,EDATE($D77,Milestones!$AA$171)&gt;=SchemeStart,IF($X77=0,$AD77,IF(AND($Z77&lt;&gt;"",EDATE($D77,Milestones!$AA$171)&gt;=$Z77),$AC77,IF(AND($Y77&lt;&gt;"",EDATE($D77,Milestones!$AA$171)&gt;=$Y77),$AB77,$AA77)))=Milestones!$AB$171),UPPER(TEXT(EDATE($D77,Milestones!$AA$171),"dd mmm yy"))&amp;" "&amp;Milestones!$AB$171&amp;" "&amp;IF(AND(Milestones!$AB$171="FT",Milestones!$AA$171=FT_Y5,EDATE($D77,Milestones!$AA$171)&lt;PolicyEff),1,Milestones!$AC$171)&amp;";  ","")&amp;IF(AND(EDATE($D77,Milestones!$AA$172)&lt;=AsOfDate,EDATE($D77,Milestones!$AA$172)&gt;=SchemeStart,IF($X77=0,$AD77,IF(AND($Z77&lt;&gt;"",EDATE($D77,Milestones!$AA$172)&gt;=$Z77),$AC77,IF(AND($Y77&lt;&gt;"",EDATE($D77,Milestones!$AA$172)&gt;=$Y77),$AB77,$AA77)))=Milestones!$AB$172),UPPER(TEXT(EDATE($D77,Milestones!$AA$172),"dd mmm yy"))&amp;" "&amp;Milestones!$AB$172&amp;" "&amp;IF(AND(Milestones!$AB$172="FT",Milestones!$AA$172=FT_Y5,EDATE($D77,Milestones!$AA$172)&lt;PolicyEff),1,Milestones!$AC$172)&amp;";  ","")&amp;IF(AND(EDATE($D77,Milestones!$AA$173)&lt;=AsOfDate,EDATE($D77,Milestones!$AA$173)&gt;=SchemeStart,IF($X77=0,$AD77,IF(AND($Z77&lt;&gt;"",EDATE($D77,Milestones!$AA$173)&gt;=$Z77),$AC77,IF(AND($Y77&lt;&gt;"",EDATE($D77,Milestones!$AA$173)&gt;=$Y77),$AB77,$AA77)))=Milestones!$AB$173),UPPER(TEXT(EDATE($D77,Milestones!$AA$173),"dd mmm yy"))&amp;" "&amp;Milestones!$AB$173&amp;" "&amp;IF(AND(Milestones!$AB$173="FT",Milestones!$AA$173=FT_Y5,EDATE($D77,Milestones!$AA$173)&lt;PolicyEff),1,Milestones!$AC$173)&amp;";  ","")&amp;IF(AND(EDATE($D77,Milestones!$AA$174)&lt;=AsOfDate,EDATE($D77,Milestones!$AA$174)&gt;=SchemeStart,IF($X77=0,$AD77,IF(AND($Z77&lt;&gt;"",EDATE($D77,Milestones!$AA$174)&gt;=$Z77),$AC77,IF(AND($Y77&lt;&gt;"",EDATE($D77,Milestones!$AA$174)&gt;=$Y77),$AB77,$AA77)))=Milestones!$AB$174),UPPER(TEXT(EDATE($D77,Milestones!$AA$174),"dd mmm yy"))&amp;" "&amp;Milestones!$AB$174&amp;" "&amp;IF(AND(Milestones!$AB$174="FT",Milestones!$AA$174=FT_Y5,EDATE($D77,Milestones!$AA$174)&lt;PolicyEff),1,Milestones!$AC$174)&amp;";  ","")&amp;IF(AND(EDATE($D77,Milestones!$AA$175)&lt;=AsOfDate,EDATE($D77,Milestones!$AA$175)&gt;=SchemeStart,IF($X77=0,$AD77,IF(AND($Z77&lt;&gt;"",EDATE($D77,Milestones!$AA$175)&gt;=$Z77),$AC77,IF(AND($Y77&lt;&gt;"",EDATE($D77,Milestones!$AA$175)&gt;=$Y77),$AB77,$AA77)))=Milestones!$AB$175),UPPER(TEXT(EDATE($D77,Milestones!$AA$175),"dd mmm yy"))&amp;" "&amp;Milestones!$AB$175&amp;" "&amp;IF(AND(Milestones!$AB$175="FT",Milestones!$AA$175=FT_Y5,EDATE($D77,Milestones!$AA$175)&lt;PolicyEff),1,Milestones!$AC$175)&amp;";  ",""))</f>
        <v/>
      </c>
      <c r="V77" s="0" t="str">
        <f aca="false">IF(OR($A77="",$D77=""),"",IF(AND(EDATE($D77,Milestones!$AA$176)&lt;=AsOfDate,EDATE($D77,Milestones!$AA$176)&gt;=SchemeStart,IF($X77=0,$AD77,IF(AND($Z77&lt;&gt;"",EDATE($D77,Milestones!$AA$176)&gt;=$Z77),$AC77,IF(AND($Y77&lt;&gt;"",EDATE($D77,Milestones!$AA$176)&gt;=$Y77),$AB77,$AA77)))=Milestones!$AB$176),UPPER(TEXT(EDATE($D77,Milestones!$AA$176),"dd mmm yy"))&amp;" "&amp;Milestones!$AB$176&amp;" "&amp;IF(AND(Milestones!$AB$176="FT",Milestones!$AA$176=FT_Y5,EDATE($D77,Milestones!$AA$176)&lt;PolicyEff),1,Milestones!$AC$176)&amp;";  ","")&amp;IF(AND(EDATE($D77,Milestones!$AA$177)&lt;=AsOfDate,EDATE($D77,Milestones!$AA$177)&gt;=SchemeStart,IF($X77=0,$AD77,IF(AND($Z77&lt;&gt;"",EDATE($D77,Milestones!$AA$177)&gt;=$Z77),$AC77,IF(AND($Y77&lt;&gt;"",EDATE($D77,Milestones!$AA$177)&gt;=$Y77),$AB77,$AA77)))=Milestones!$AB$177),UPPER(TEXT(EDATE($D77,Milestones!$AA$177),"dd mmm yy"))&amp;" "&amp;Milestones!$AB$177&amp;" "&amp;IF(AND(Milestones!$AB$177="FT",Milestones!$AA$177=FT_Y5,EDATE($D77,Milestones!$AA$177)&lt;PolicyEff),1,Milestones!$AC$177)&amp;";  ","")&amp;IF(AND(EDATE($D77,Milestones!$AA$178)&lt;=AsOfDate,EDATE($D77,Milestones!$AA$178)&gt;=SchemeStart,IF($X77=0,$AD77,IF(AND($Z77&lt;&gt;"",EDATE($D77,Milestones!$AA$178)&gt;=$Z77),$AC77,IF(AND($Y77&lt;&gt;"",EDATE($D77,Milestones!$AA$178)&gt;=$Y77),$AB77,$AA77)))=Milestones!$AB$178),UPPER(TEXT(EDATE($D77,Milestones!$AA$178),"dd mmm yy"))&amp;" "&amp;Milestones!$AB$178&amp;" "&amp;IF(AND(Milestones!$AB$178="FT",Milestones!$AA$178=FT_Y5,EDATE($D77,Milestones!$AA$178)&lt;PolicyEff),1,Milestones!$AC$178)&amp;";  ","")&amp;IF(AND(EDATE($D77,Milestones!$AA$179)&lt;=AsOfDate,EDATE($D77,Milestones!$AA$179)&gt;=SchemeStart,IF($X77=0,$AD77,IF(AND($Z77&lt;&gt;"",EDATE($D77,Milestones!$AA$179)&gt;=$Z77),$AC77,IF(AND($Y77&lt;&gt;"",EDATE($D77,Milestones!$AA$179)&gt;=$Y77),$AB77,$AA77)))=Milestones!$AB$179),UPPER(TEXT(EDATE($D77,Milestones!$AA$179),"dd mmm yy"))&amp;" "&amp;Milestones!$AB$179&amp;" "&amp;IF(AND(Milestones!$AB$179="FT",Milestones!$AA$179=FT_Y5,EDATE($D77,Milestones!$AA$179)&lt;PolicyEff),1,Milestones!$AC$179)&amp;";  ","")&amp;IF(AND(EDATE($D77,Milestones!$AA$180)&lt;=AsOfDate,EDATE($D77,Milestones!$AA$180)&gt;=SchemeStart,IF($X77=0,$AD77,IF(AND($Z77&lt;&gt;"",EDATE($D77,Milestones!$AA$180)&gt;=$Z77),$AC77,IF(AND($Y77&lt;&gt;"",EDATE($D77,Milestones!$AA$180)&gt;=$Y77),$AB77,$AA77)))=Milestones!$AB$180),UPPER(TEXT(EDATE($D77,Milestones!$AA$180),"dd mmm yy"))&amp;" "&amp;Milestones!$AB$180&amp;" "&amp;IF(AND(Milestones!$AB$180="FT",Milestones!$AA$180=FT_Y5,EDATE($D77,Milestones!$AA$180)&lt;PolicyEff),1,Milestones!$AC$180)&amp;";  ","")&amp;IF(AND(EDATE($D77,Milestones!$AA$181)&lt;=AsOfDate,EDATE($D77,Milestones!$AA$181)&gt;=SchemeStart,IF($X77=0,$AD77,IF(AND($Z77&lt;&gt;"",EDATE($D77,Milestones!$AA$181)&gt;=$Z77),$AC77,IF(AND($Y77&lt;&gt;"",EDATE($D77,Milestones!$AA$181)&gt;=$Y77),$AB77,$AA77)))=Milestones!$AB$181),UPPER(TEXT(EDATE($D77,Milestones!$AA$181),"dd mmm yy"))&amp;" "&amp;Milestones!$AB$181&amp;" "&amp;IF(AND(Milestones!$AB$181="FT",Milestones!$AA$181=FT_Y5,EDATE($D77,Milestones!$AA$181)&lt;PolicyEff),1,Milestones!$AC$181)&amp;";  ","")&amp;IF(AND(EDATE($D77,Milestones!$AA$182)&lt;=AsOfDate,EDATE($D77,Milestones!$AA$182)&gt;=SchemeStart,IF($X77=0,$AD77,IF(AND($Z77&lt;&gt;"",EDATE($D77,Milestones!$AA$182)&gt;=$Z77),$AC77,IF(AND($Y77&lt;&gt;"",EDATE($D77,Milestones!$AA$182)&gt;=$Y77),$AB77,$AA77)))=Milestones!$AB$182),UPPER(TEXT(EDATE($D77,Milestones!$AA$182),"dd mmm yy"))&amp;" "&amp;Milestones!$AB$182&amp;" "&amp;IF(AND(Milestones!$AB$182="FT",Milestones!$AA$182=FT_Y5,EDATE($D77,Milestones!$AA$182)&lt;PolicyEff),1,Milestones!$AC$182)&amp;";  ","")&amp;IF(AND(EDATE($D77,Milestones!$AA$183)&lt;=AsOfDate,EDATE($D77,Milestones!$AA$183)&gt;=SchemeStart,IF($X77=0,$AD77,IF(AND($Z77&lt;&gt;"",EDATE($D77,Milestones!$AA$183)&gt;=$Z77),$AC77,IF(AND($Y77&lt;&gt;"",EDATE($D77,Milestones!$AA$183)&gt;=$Y77),$AB77,$AA77)))=Milestones!$AB$183),UPPER(TEXT(EDATE($D77,Milestones!$AA$183),"dd mmm yy"))&amp;" "&amp;Milestones!$AB$183&amp;" "&amp;IF(AND(Milestones!$AB$183="FT",Milestones!$AA$183=FT_Y5,EDATE($D77,Milestones!$AA$183)&lt;PolicyEff),1,Milestones!$AC$183)&amp;";  ","")&amp;IF(AND(EDATE($D77,Milestones!$AA$184)&lt;=AsOfDate,EDATE($D77,Milestones!$AA$184)&gt;=SchemeStart,IF($X77=0,$AD77,IF(AND($Z77&lt;&gt;"",EDATE($D77,Milestones!$AA$184)&gt;=$Z77),$AC77,IF(AND($Y77&lt;&gt;"",EDATE($D77,Milestones!$AA$184)&gt;=$Y77),$AB77,$AA77)))=Milestones!$AB$184),UPPER(TEXT(EDATE($D77,Milestones!$AA$184),"dd mmm yy"))&amp;" "&amp;Milestones!$AB$184&amp;" "&amp;IF(AND(Milestones!$AB$184="FT",Milestones!$AA$184=FT_Y5,EDATE($D77,Milestones!$AA$184)&lt;PolicyEff),1,Milestones!$AC$184)&amp;";  ","")&amp;IF(AND(EDATE($D77,Milestones!$AA$185)&lt;=AsOfDate,EDATE($D77,Milestones!$AA$185)&gt;=SchemeStart,IF($X77=0,$AD77,IF(AND($Z77&lt;&gt;"",EDATE($D77,Milestones!$AA$185)&gt;=$Z77),$AC77,IF(AND($Y77&lt;&gt;"",EDATE($D77,Milestones!$AA$185)&gt;=$Y77),$AB77,$AA77)))=Milestones!$AB$185),UPPER(TEXT(EDATE($D77,Milestones!$AA$185),"dd mmm yy"))&amp;" "&amp;Milestones!$AB$185&amp;" "&amp;IF(AND(Milestones!$AB$185="FT",Milestones!$AA$185=FT_Y5,EDATE($D77,Milestones!$AA$185)&lt;PolicyEff),1,Milestones!$AC$185)&amp;";  ","")&amp;IF(AND(EDATE($D77,Milestones!$AA$186)&lt;=AsOfDate,EDATE($D77,Milestones!$AA$186)&gt;=SchemeStart,IF($X77=0,$AD77,IF(AND($Z77&lt;&gt;"",EDATE($D77,Milestones!$AA$186)&gt;=$Z77),$AC77,IF(AND($Y77&lt;&gt;"",EDATE($D77,Milestones!$AA$186)&gt;=$Y77),$AB77,$AA77)))=Milestones!$AB$186),UPPER(TEXT(EDATE($D77,Milestones!$AA$186),"dd mmm yy"))&amp;" "&amp;Milestones!$AB$186&amp;" "&amp;IF(AND(Milestones!$AB$186="FT",Milestones!$AA$186=FT_Y5,EDATE($D77,Milestones!$AA$186)&lt;PolicyEff),1,Milestones!$AC$186)&amp;";  ","")&amp;IF(AND(EDATE($D77,Milestones!$AA$187)&lt;=AsOfDate,EDATE($D77,Milestones!$AA$187)&gt;=SchemeStart,IF($X77=0,$AD77,IF(AND($Z77&lt;&gt;"",EDATE($D77,Milestones!$AA$187)&gt;=$Z77),$AC77,IF(AND($Y77&lt;&gt;"",EDATE($D77,Milestones!$AA$187)&gt;=$Y77),$AB77,$AA77)))=Milestones!$AB$187),UPPER(TEXT(EDATE($D77,Milestones!$AA$187),"dd mmm yy"))&amp;" "&amp;Milestones!$AB$187&amp;" "&amp;IF(AND(Milestones!$AB$187="FT",Milestones!$AA$187=FT_Y5,EDATE($D77,Milestones!$AA$187)&lt;PolicyEff),1,Milestones!$AC$187)&amp;";  ",""))</f>
        <v/>
      </c>
      <c r="W77" s="0" t="str">
        <f aca="false">IF(OR($A77="",$D77=""),"",IF(AND(EDATE($D77,Milestones!$AA$188)&lt;=AsOfDate,EDATE($D77,Milestones!$AA$188)&gt;=SchemeStart,IF($X77=0,$AD77,IF(AND($Z77&lt;&gt;"",EDATE($D77,Milestones!$AA$188)&gt;=$Z77),$AC77,IF(AND($Y77&lt;&gt;"",EDATE($D77,Milestones!$AA$188)&gt;=$Y77),$AB77,$AA77)))=Milestones!$AB$188),UPPER(TEXT(EDATE($D77,Milestones!$AA$188),"dd mmm yy"))&amp;" "&amp;Milestones!$AB$188&amp;" "&amp;IF(AND(Milestones!$AB$188="FT",Milestones!$AA$188=FT_Y5,EDATE($D77,Milestones!$AA$188)&lt;PolicyEff),1,Milestones!$AC$188)&amp;";  ","")&amp;IF(AND(EDATE($D77,Milestones!$AA$189)&lt;=AsOfDate,EDATE($D77,Milestones!$AA$189)&gt;=SchemeStart,IF($X77=0,$AD77,IF(AND($Z77&lt;&gt;"",EDATE($D77,Milestones!$AA$189)&gt;=$Z77),$AC77,IF(AND($Y77&lt;&gt;"",EDATE($D77,Milestones!$AA$189)&gt;=$Y77),$AB77,$AA77)))=Milestones!$AB$189),UPPER(TEXT(EDATE($D77,Milestones!$AA$189),"dd mmm yy"))&amp;" "&amp;Milestones!$AB$189&amp;" "&amp;IF(AND(Milestones!$AB$189="FT",Milestones!$AA$189=FT_Y5,EDATE($D77,Milestones!$AA$189)&lt;PolicyEff),1,Milestones!$AC$189)&amp;";  ","")&amp;IF(AND(EDATE($D77,Milestones!$AA$190)&lt;=AsOfDate,EDATE($D77,Milestones!$AA$190)&gt;=SchemeStart,IF($X77=0,$AD77,IF(AND($Z77&lt;&gt;"",EDATE($D77,Milestones!$AA$190)&gt;=$Z77),$AC77,IF(AND($Y77&lt;&gt;"",EDATE($D77,Milestones!$AA$190)&gt;=$Y77),$AB77,$AA77)))=Milestones!$AB$190),UPPER(TEXT(EDATE($D77,Milestones!$AA$190),"dd mmm yy"))&amp;" "&amp;Milestones!$AB$190&amp;" "&amp;IF(AND(Milestones!$AB$190="FT",Milestones!$AA$190=FT_Y5,EDATE($D77,Milestones!$AA$190)&lt;PolicyEff),1,Milestones!$AC$190)&amp;";  ","")&amp;IF(AND(EDATE($D77,Milestones!$AA$191)&lt;=AsOfDate,EDATE($D77,Milestones!$AA$191)&gt;=SchemeStart,IF($X77=0,$AD77,IF(AND($Z77&lt;&gt;"",EDATE($D77,Milestones!$AA$191)&gt;=$Z77),$AC77,IF(AND($Y77&lt;&gt;"",EDATE($D77,Milestones!$AA$191)&gt;=$Y77),$AB77,$AA77)))=Milestones!$AB$191),UPPER(TEXT(EDATE($D77,Milestones!$AA$191),"dd mmm yy"))&amp;" "&amp;Milestones!$AB$191&amp;" "&amp;IF(AND(Milestones!$AB$191="FT",Milestones!$AA$191=FT_Y5,EDATE($D77,Milestones!$AA$191)&lt;PolicyEff),1,Milestones!$AC$191)&amp;";  ","")&amp;IF(AND(EDATE($D77,Milestones!$AA$192)&lt;=AsOfDate,EDATE($D77,Milestones!$AA$192)&gt;=SchemeStart,IF($X77=0,$AD77,IF(AND($Z77&lt;&gt;"",EDATE($D77,Milestones!$AA$192)&gt;=$Z77),$AC77,IF(AND($Y77&lt;&gt;"",EDATE($D77,Milestones!$AA$192)&gt;=$Y77),$AB77,$AA77)))=Milestones!$AB$192),UPPER(TEXT(EDATE($D77,Milestones!$AA$192),"dd mmm yy"))&amp;" "&amp;Milestones!$AB$192&amp;" "&amp;IF(AND(Milestones!$AB$192="FT",Milestones!$AA$192=FT_Y5,EDATE($D77,Milestones!$AA$192)&lt;PolicyEff),1,Milestones!$AC$192)&amp;";  ","")&amp;IF(AND(EDATE($D77,Milestones!$AA$193)&lt;=AsOfDate,EDATE($D77,Milestones!$AA$193)&gt;=SchemeStart,IF($X77=0,$AD77,IF(AND($Z77&lt;&gt;"",EDATE($D77,Milestones!$AA$193)&gt;=$Z77),$AC77,IF(AND($Y77&lt;&gt;"",EDATE($D77,Milestones!$AA$193)&gt;=$Y77),$AB77,$AA77)))=Milestones!$AB$193),UPPER(TEXT(EDATE($D77,Milestones!$AA$193),"dd mmm yy"))&amp;" "&amp;Milestones!$AB$193&amp;" "&amp;IF(AND(Milestones!$AB$193="FT",Milestones!$AA$193=FT_Y5,EDATE($D77,Milestones!$AA$193)&lt;PolicyEff),1,Milestones!$AC$193)&amp;";  ","")&amp;IF(AND(EDATE($D77,Milestones!$AA$194)&lt;=AsOfDate,EDATE($D77,Milestones!$AA$194)&gt;=SchemeStart,IF($X77=0,$AD77,IF(AND($Z77&lt;&gt;"",EDATE($D77,Milestones!$AA$194)&gt;=$Z77),$AC77,IF(AND($Y77&lt;&gt;"",EDATE($D77,Milestones!$AA$194)&gt;=$Y77),$AB77,$AA77)))=Milestones!$AB$194),UPPER(TEXT(EDATE($D77,Milestones!$AA$194),"dd mmm yy"))&amp;" "&amp;Milestones!$AB$194&amp;" "&amp;IF(AND(Milestones!$AB$194="FT",Milestones!$AA$194=FT_Y5,EDATE($D77,Milestones!$AA$194)&lt;PolicyEff),1,Milestones!$AC$194)&amp;";  ","")&amp;IF(AND(EDATE($D77,Milestones!$AA$195)&lt;=AsOfDate,EDATE($D77,Milestones!$AA$195)&gt;=SchemeStart,IF($X77=0,$AD77,IF(AND($Z77&lt;&gt;"",EDATE($D77,Milestones!$AA$195)&gt;=$Z77),$AC77,IF(AND($Y77&lt;&gt;"",EDATE($D77,Milestones!$AA$195)&gt;=$Y77),$AB77,$AA77)))=Milestones!$AB$195),UPPER(TEXT(EDATE($D77,Milestones!$AA$195),"dd mmm yy"))&amp;" "&amp;Milestones!$AB$195&amp;" "&amp;IF(AND(Milestones!$AB$195="FT",Milestones!$AA$195=FT_Y5,EDATE($D77,Milestones!$AA$195)&lt;PolicyEff),1,Milestones!$AC$195)&amp;";  ","")&amp;IF(AND(EDATE($D77,Milestones!$AA$196)&lt;=AsOfDate,EDATE($D77,Milestones!$AA$196)&gt;=SchemeStart,IF($X77=0,$AD77,IF(AND($Z77&lt;&gt;"",EDATE($D77,Milestones!$AA$196)&gt;=$Z77),$AC77,IF(AND($Y77&lt;&gt;"",EDATE($D77,Milestones!$AA$196)&gt;=$Y77),$AB77,$AA77)))=Milestones!$AB$196),UPPER(TEXT(EDATE($D77,Milestones!$AA$196),"dd mmm yy"))&amp;" "&amp;Milestones!$AB$196&amp;" "&amp;IF(AND(Milestones!$AB$196="FT",Milestones!$AA$196=FT_Y5,EDATE($D77,Milestones!$AA$196)&lt;PolicyEff),1,Milestones!$AC$196)&amp;";  ","")&amp;IF(AND(EDATE($D77,Milestones!$AA$197)&lt;=AsOfDate,EDATE($D77,Milestones!$AA$197)&gt;=SchemeStart,IF($X77=0,$AD77,IF(AND($Z77&lt;&gt;"",EDATE($D77,Milestones!$AA$197)&gt;=$Z77),$AC77,IF(AND($Y77&lt;&gt;"",EDATE($D77,Milestones!$AA$197)&gt;=$Y77),$AB77,$AA77)))=Milestones!$AB$197),UPPER(TEXT(EDATE($D77,Milestones!$AA$197),"dd mmm yy"))&amp;" "&amp;Milestones!$AB$197&amp;" "&amp;IF(AND(Milestones!$AB$197="FT",Milestones!$AA$197=FT_Y5,EDATE($D77,Milestones!$AA$197)&lt;PolicyEff),1,Milestones!$AC$197)&amp;";  ","")&amp;IF(AND(EDATE($D77,Milestones!$AA$198)&lt;=AsOfDate,EDATE($D77,Milestones!$AA$198)&gt;=SchemeStart,IF($X77=0,$AD77,IF(AND($Z77&lt;&gt;"",EDATE($D77,Milestones!$AA$198)&gt;=$Z77),$AC77,IF(AND($Y77&lt;&gt;"",EDATE($D77,Milestones!$AA$198)&gt;=$Y77),$AB77,$AA77)))=Milestones!$AB$198),UPPER(TEXT(EDATE($D77,Milestones!$AA$198),"dd mmm yy"))&amp;" "&amp;Milestones!$AB$198&amp;" "&amp;IF(AND(Milestones!$AB$198="FT",Milestones!$AA$198=FT_Y5,EDATE($D77,Milestones!$AA$198)&lt;PolicyEff),1,Milestones!$AC$198)&amp;";  ","")&amp;IF(AND(EDATE($D77,Milestones!$AA$199)&lt;=AsOfDate,EDATE($D77,Milestones!$AA$199)&gt;=SchemeStart,IF($X77=0,$AD77,IF(AND($Z77&lt;&gt;"",EDATE($D77,Milestones!$AA$199)&gt;=$Z77),$AC77,IF(AND($Y77&lt;&gt;"",EDATE($D77,Milestones!$AA$199)&gt;=$Y77),$AB77,$AA77)))=Milestones!$AB$199),UPPER(TEXT(EDATE($D77,Milestones!$AA$199),"dd mmm yy"))&amp;" "&amp;Milestones!$AB$199&amp;" "&amp;IF(AND(Milestones!$AB$199="FT",Milestones!$AA$199=FT_Y5,EDATE($D77,Milestones!$AA$199)&lt;PolicyEff),1,Milestones!$AC$199)&amp;";  ",""))</f>
        <v/>
      </c>
      <c r="X77" s="0" t="str">
        <f aca="false">IF(Staff!$A77="","",Staff!$AM77)</f>
        <v/>
      </c>
      <c r="Y77" s="0" t="str">
        <f aca="false">IF(Staff!$A77="","",Staff!$AO77)</f>
        <v/>
      </c>
      <c r="Z77" s="0" t="str">
        <f aca="false">IF(Staff!$A77="","",Staff!$AP77)</f>
        <v/>
      </c>
      <c r="AA77" s="0" t="str">
        <f aca="false">IF(Staff!$A77="","",Staff!$AT77)</f>
        <v/>
      </c>
      <c r="AB77" s="0" t="str">
        <f aca="false">IF(Staff!$A77="","",Staff!$AU77)</f>
        <v/>
      </c>
      <c r="AC77" s="0" t="str">
        <f aca="false">IF(Staff!$A77="","",Staff!$AV77)</f>
        <v/>
      </c>
      <c r="AD77" s="0" t="str">
        <f aca="false">IF(Staff!$A77="","",Staff!$AW77)</f>
        <v/>
      </c>
    </row>
    <row r="78" customFormat="false" ht="15" hidden="false" customHeight="false" outlineLevel="0" collapsed="false">
      <c r="A78" s="16" t="str">
        <f aca="false">IF(Staff!$A78="","",Staff!$A78)</f>
        <v/>
      </c>
      <c r="B78" s="16" t="str">
        <f aca="false">IF(Staff!$A78="","",Staff!$B78)</f>
        <v/>
      </c>
      <c r="C78" s="16" t="str">
        <f aca="false">IF(Staff!$A78="","",Staff!$C78)</f>
        <v/>
      </c>
      <c r="D78" s="14" t="str">
        <f aca="false">IF(Staff!$A78="","",Staff!$AL78)</f>
        <v/>
      </c>
      <c r="E78" s="16" t="str">
        <f aca="false">IF(Staff!$A78="","",Staff!$O78)</f>
        <v/>
      </c>
      <c r="F78" s="16" t="str">
        <f aca="false">IF(E78="","",E78*HoursPerDay)</f>
        <v/>
      </c>
      <c r="G78" s="16" t="str">
        <f aca="false">IF(Staff!$A78="","",Staff!$AE78)</f>
        <v/>
      </c>
      <c r="H78" s="28" t="str">
        <f aca="false">IF($A78="","",I78&amp;J78&amp;K78&amp;L78&amp;M78&amp;N78&amp;O78&amp;P78&amp;Q78&amp;R78&amp;S78&amp;T78&amp;U78&amp;V78&amp;W78)</f>
        <v/>
      </c>
      <c r="I78" s="0" t="str">
        <f aca="false">IF(OR($A78="",$D78=""),"",IF(AND(EDATE($D78,Milestones!$AA$20)&lt;=AsOfDate,EDATE($D78,Milestones!$AA$20)&gt;=SchemeStart,IF($X78=0,$AD78,IF(AND($Z78&lt;&gt;"",EDATE($D78,Milestones!$AA$20)&gt;=$Z78),$AC78,IF(AND($Y78&lt;&gt;"",EDATE($D78,Milestones!$AA$20)&gt;=$Y78),$AB78,$AA78)))=Milestones!$AB$20),UPPER(TEXT(EDATE($D78,Milestones!$AA$20),"dd mmm yy"))&amp;" "&amp;Milestones!$AB$20&amp;" "&amp;IF(AND(Milestones!$AB$20="FT",Milestones!$AA$20=FT_Y5,EDATE($D78,Milestones!$AA$20)&lt;PolicyEff),1,Milestones!$AC$20)&amp;";  ","")&amp;IF(AND(EDATE($D78,Milestones!$AA$21)&lt;=AsOfDate,EDATE($D78,Milestones!$AA$21)&gt;=SchemeStart,IF($X78=0,$AD78,IF(AND($Z78&lt;&gt;"",EDATE($D78,Milestones!$AA$21)&gt;=$Z78),$AC78,IF(AND($Y78&lt;&gt;"",EDATE($D78,Milestones!$AA$21)&gt;=$Y78),$AB78,$AA78)))=Milestones!$AB$21),UPPER(TEXT(EDATE($D78,Milestones!$AA$21),"dd mmm yy"))&amp;" "&amp;Milestones!$AB$21&amp;" "&amp;IF(AND(Milestones!$AB$21="FT",Milestones!$AA$21=FT_Y5,EDATE($D78,Milestones!$AA$21)&lt;PolicyEff),1,Milestones!$AC$21)&amp;";  ","")&amp;IF(AND(EDATE($D78,Milestones!$AA$22)&lt;=AsOfDate,EDATE($D78,Milestones!$AA$22)&gt;=SchemeStart,IF($X78=0,$AD78,IF(AND($Z78&lt;&gt;"",EDATE($D78,Milestones!$AA$22)&gt;=$Z78),$AC78,IF(AND($Y78&lt;&gt;"",EDATE($D78,Milestones!$AA$22)&gt;=$Y78),$AB78,$AA78)))=Milestones!$AB$22),UPPER(TEXT(EDATE($D78,Milestones!$AA$22),"dd mmm yy"))&amp;" "&amp;Milestones!$AB$22&amp;" "&amp;IF(AND(Milestones!$AB$22="FT",Milestones!$AA$22=FT_Y5,EDATE($D78,Milestones!$AA$22)&lt;PolicyEff),1,Milestones!$AC$22)&amp;";  ","")&amp;IF(AND(EDATE($D78,Milestones!$AA$23)&lt;=AsOfDate,EDATE($D78,Milestones!$AA$23)&gt;=SchemeStart,IF($X78=0,$AD78,IF(AND($Z78&lt;&gt;"",EDATE($D78,Milestones!$AA$23)&gt;=$Z78),$AC78,IF(AND($Y78&lt;&gt;"",EDATE($D78,Milestones!$AA$23)&gt;=$Y78),$AB78,$AA78)))=Milestones!$AB$23),UPPER(TEXT(EDATE($D78,Milestones!$AA$23),"dd mmm yy"))&amp;" "&amp;Milestones!$AB$23&amp;" "&amp;IF(AND(Milestones!$AB$23="FT",Milestones!$AA$23=FT_Y5,EDATE($D78,Milestones!$AA$23)&lt;PolicyEff),1,Milestones!$AC$23)&amp;";  ","")&amp;IF(AND(EDATE($D78,Milestones!$AA$24)&lt;=AsOfDate,EDATE($D78,Milestones!$AA$24)&gt;=SchemeStart,IF($X78=0,$AD78,IF(AND($Z78&lt;&gt;"",EDATE($D78,Milestones!$AA$24)&gt;=$Z78),$AC78,IF(AND($Y78&lt;&gt;"",EDATE($D78,Milestones!$AA$24)&gt;=$Y78),$AB78,$AA78)))=Milestones!$AB$24),UPPER(TEXT(EDATE($D78,Milestones!$AA$24),"dd mmm yy"))&amp;" "&amp;Milestones!$AB$24&amp;" "&amp;IF(AND(Milestones!$AB$24="FT",Milestones!$AA$24=FT_Y5,EDATE($D78,Milestones!$AA$24)&lt;PolicyEff),1,Milestones!$AC$24)&amp;";  ","")&amp;IF(AND(EDATE($D78,Milestones!$AA$25)&lt;=AsOfDate,EDATE($D78,Milestones!$AA$25)&gt;=SchemeStart,IF($X78=0,$AD78,IF(AND($Z78&lt;&gt;"",EDATE($D78,Milestones!$AA$25)&gt;=$Z78),$AC78,IF(AND($Y78&lt;&gt;"",EDATE($D78,Milestones!$AA$25)&gt;=$Y78),$AB78,$AA78)))=Milestones!$AB$25),UPPER(TEXT(EDATE($D78,Milestones!$AA$25),"dd mmm yy"))&amp;" "&amp;Milestones!$AB$25&amp;" "&amp;IF(AND(Milestones!$AB$25="FT",Milestones!$AA$25=FT_Y5,EDATE($D78,Milestones!$AA$25)&lt;PolicyEff),1,Milestones!$AC$25)&amp;";  ","")&amp;IF(AND(EDATE($D78,Milestones!$AA$26)&lt;=AsOfDate,EDATE($D78,Milestones!$AA$26)&gt;=SchemeStart,IF($X78=0,$AD78,IF(AND($Z78&lt;&gt;"",EDATE($D78,Milestones!$AA$26)&gt;=$Z78),$AC78,IF(AND($Y78&lt;&gt;"",EDATE($D78,Milestones!$AA$26)&gt;=$Y78),$AB78,$AA78)))=Milestones!$AB$26),UPPER(TEXT(EDATE($D78,Milestones!$AA$26),"dd mmm yy"))&amp;" "&amp;Milestones!$AB$26&amp;" "&amp;IF(AND(Milestones!$AB$26="FT",Milestones!$AA$26=FT_Y5,EDATE($D78,Milestones!$AA$26)&lt;PolicyEff),1,Milestones!$AC$26)&amp;";  ","")&amp;IF(AND(EDATE($D78,Milestones!$AA$27)&lt;=AsOfDate,EDATE($D78,Milestones!$AA$27)&gt;=SchemeStart,IF($X78=0,$AD78,IF(AND($Z78&lt;&gt;"",EDATE($D78,Milestones!$AA$27)&gt;=$Z78),$AC78,IF(AND($Y78&lt;&gt;"",EDATE($D78,Milestones!$AA$27)&gt;=$Y78),$AB78,$AA78)))=Milestones!$AB$27),UPPER(TEXT(EDATE($D78,Milestones!$AA$27),"dd mmm yy"))&amp;" "&amp;Milestones!$AB$27&amp;" "&amp;IF(AND(Milestones!$AB$27="FT",Milestones!$AA$27=FT_Y5,EDATE($D78,Milestones!$AA$27)&lt;PolicyEff),1,Milestones!$AC$27)&amp;";  ","")&amp;IF(AND(EDATE($D78,Milestones!$AA$28)&lt;=AsOfDate,EDATE($D78,Milestones!$AA$28)&gt;=SchemeStart,IF($X78=0,$AD78,IF(AND($Z78&lt;&gt;"",EDATE($D78,Milestones!$AA$28)&gt;=$Z78),$AC78,IF(AND($Y78&lt;&gt;"",EDATE($D78,Milestones!$AA$28)&gt;=$Y78),$AB78,$AA78)))=Milestones!$AB$28),UPPER(TEXT(EDATE($D78,Milestones!$AA$28),"dd mmm yy"))&amp;" "&amp;Milestones!$AB$28&amp;" "&amp;IF(AND(Milestones!$AB$28="FT",Milestones!$AA$28=FT_Y5,EDATE($D78,Milestones!$AA$28)&lt;PolicyEff),1,Milestones!$AC$28)&amp;";  ","")&amp;IF(AND(EDATE($D78,Milestones!$AA$29)&lt;=AsOfDate,EDATE($D78,Milestones!$AA$29)&gt;=SchemeStart,IF($X78=0,$AD78,IF(AND($Z78&lt;&gt;"",EDATE($D78,Milestones!$AA$29)&gt;=$Z78),$AC78,IF(AND($Y78&lt;&gt;"",EDATE($D78,Milestones!$AA$29)&gt;=$Y78),$AB78,$AA78)))=Milestones!$AB$29),UPPER(TEXT(EDATE($D78,Milestones!$AA$29),"dd mmm yy"))&amp;" "&amp;Milestones!$AB$29&amp;" "&amp;IF(AND(Milestones!$AB$29="FT",Milestones!$AA$29=FT_Y5,EDATE($D78,Milestones!$AA$29)&lt;PolicyEff),1,Milestones!$AC$29)&amp;";  ","")&amp;IF(AND(EDATE($D78,Milestones!$AA$30)&lt;=AsOfDate,EDATE($D78,Milestones!$AA$30)&gt;=SchemeStart,IF($X78=0,$AD78,IF(AND($Z78&lt;&gt;"",EDATE($D78,Milestones!$AA$30)&gt;=$Z78),$AC78,IF(AND($Y78&lt;&gt;"",EDATE($D78,Milestones!$AA$30)&gt;=$Y78),$AB78,$AA78)))=Milestones!$AB$30),UPPER(TEXT(EDATE($D78,Milestones!$AA$30),"dd mmm yy"))&amp;" "&amp;Milestones!$AB$30&amp;" "&amp;IF(AND(Milestones!$AB$30="FT",Milestones!$AA$30=FT_Y5,EDATE($D78,Milestones!$AA$30)&lt;PolicyEff),1,Milestones!$AC$30)&amp;";  ","")&amp;IF(AND(EDATE($D78,Milestones!$AA$31)&lt;=AsOfDate,EDATE($D78,Milestones!$AA$31)&gt;=SchemeStart,IF($X78=0,$AD78,IF(AND($Z78&lt;&gt;"",EDATE($D78,Milestones!$AA$31)&gt;=$Z78),$AC78,IF(AND($Y78&lt;&gt;"",EDATE($D78,Milestones!$AA$31)&gt;=$Y78),$AB78,$AA78)))=Milestones!$AB$31),UPPER(TEXT(EDATE($D78,Milestones!$AA$31),"dd mmm yy"))&amp;" "&amp;Milestones!$AB$31&amp;" "&amp;IF(AND(Milestones!$AB$31="FT",Milestones!$AA$31=FT_Y5,EDATE($D78,Milestones!$AA$31)&lt;PolicyEff),1,Milestones!$AC$31)&amp;";  ",""))</f>
        <v/>
      </c>
      <c r="J78" s="0" t="str">
        <f aca="false">IF(OR($A78="",$D78=""),"",IF(AND(EDATE($D78,Milestones!$AA$32)&lt;=AsOfDate,EDATE($D78,Milestones!$AA$32)&gt;=SchemeStart,IF($X78=0,$AD78,IF(AND($Z78&lt;&gt;"",EDATE($D78,Milestones!$AA$32)&gt;=$Z78),$AC78,IF(AND($Y78&lt;&gt;"",EDATE($D78,Milestones!$AA$32)&gt;=$Y78),$AB78,$AA78)))=Milestones!$AB$32),UPPER(TEXT(EDATE($D78,Milestones!$AA$32),"dd mmm yy"))&amp;" "&amp;Milestones!$AB$32&amp;" "&amp;IF(AND(Milestones!$AB$32="FT",Milestones!$AA$32=FT_Y5,EDATE($D78,Milestones!$AA$32)&lt;PolicyEff),1,Milestones!$AC$32)&amp;";  ","")&amp;IF(AND(EDATE($D78,Milestones!$AA$33)&lt;=AsOfDate,EDATE($D78,Milestones!$AA$33)&gt;=SchemeStart,IF($X78=0,$AD78,IF(AND($Z78&lt;&gt;"",EDATE($D78,Milestones!$AA$33)&gt;=$Z78),$AC78,IF(AND($Y78&lt;&gt;"",EDATE($D78,Milestones!$AA$33)&gt;=$Y78),$AB78,$AA78)))=Milestones!$AB$33),UPPER(TEXT(EDATE($D78,Milestones!$AA$33),"dd mmm yy"))&amp;" "&amp;Milestones!$AB$33&amp;" "&amp;IF(AND(Milestones!$AB$33="FT",Milestones!$AA$33=FT_Y5,EDATE($D78,Milestones!$AA$33)&lt;PolicyEff),1,Milestones!$AC$33)&amp;";  ","")&amp;IF(AND(EDATE($D78,Milestones!$AA$34)&lt;=AsOfDate,EDATE($D78,Milestones!$AA$34)&gt;=SchemeStart,IF($X78=0,$AD78,IF(AND($Z78&lt;&gt;"",EDATE($D78,Milestones!$AA$34)&gt;=$Z78),$AC78,IF(AND($Y78&lt;&gt;"",EDATE($D78,Milestones!$AA$34)&gt;=$Y78),$AB78,$AA78)))=Milestones!$AB$34),UPPER(TEXT(EDATE($D78,Milestones!$AA$34),"dd mmm yy"))&amp;" "&amp;Milestones!$AB$34&amp;" "&amp;IF(AND(Milestones!$AB$34="FT",Milestones!$AA$34=FT_Y5,EDATE($D78,Milestones!$AA$34)&lt;PolicyEff),1,Milestones!$AC$34)&amp;";  ","")&amp;IF(AND(EDATE($D78,Milestones!$AA$35)&lt;=AsOfDate,EDATE($D78,Milestones!$AA$35)&gt;=SchemeStart,IF($X78=0,$AD78,IF(AND($Z78&lt;&gt;"",EDATE($D78,Milestones!$AA$35)&gt;=$Z78),$AC78,IF(AND($Y78&lt;&gt;"",EDATE($D78,Milestones!$AA$35)&gt;=$Y78),$AB78,$AA78)))=Milestones!$AB$35),UPPER(TEXT(EDATE($D78,Milestones!$AA$35),"dd mmm yy"))&amp;" "&amp;Milestones!$AB$35&amp;" "&amp;IF(AND(Milestones!$AB$35="FT",Milestones!$AA$35=FT_Y5,EDATE($D78,Milestones!$AA$35)&lt;PolicyEff),1,Milestones!$AC$35)&amp;";  ","")&amp;IF(AND(EDATE($D78,Milestones!$AA$36)&lt;=AsOfDate,EDATE($D78,Milestones!$AA$36)&gt;=SchemeStart,IF($X78=0,$AD78,IF(AND($Z78&lt;&gt;"",EDATE($D78,Milestones!$AA$36)&gt;=$Z78),$AC78,IF(AND($Y78&lt;&gt;"",EDATE($D78,Milestones!$AA$36)&gt;=$Y78),$AB78,$AA78)))=Milestones!$AB$36),UPPER(TEXT(EDATE($D78,Milestones!$AA$36),"dd mmm yy"))&amp;" "&amp;Milestones!$AB$36&amp;" "&amp;IF(AND(Milestones!$AB$36="FT",Milestones!$AA$36=FT_Y5,EDATE($D78,Milestones!$AA$36)&lt;PolicyEff),1,Milestones!$AC$36)&amp;";  ","")&amp;IF(AND(EDATE($D78,Milestones!$AA$37)&lt;=AsOfDate,EDATE($D78,Milestones!$AA$37)&gt;=SchemeStart,IF($X78=0,$AD78,IF(AND($Z78&lt;&gt;"",EDATE($D78,Milestones!$AA$37)&gt;=$Z78),$AC78,IF(AND($Y78&lt;&gt;"",EDATE($D78,Milestones!$AA$37)&gt;=$Y78),$AB78,$AA78)))=Milestones!$AB$37),UPPER(TEXT(EDATE($D78,Milestones!$AA$37),"dd mmm yy"))&amp;" "&amp;Milestones!$AB$37&amp;" "&amp;IF(AND(Milestones!$AB$37="FT",Milestones!$AA$37=FT_Y5,EDATE($D78,Milestones!$AA$37)&lt;PolicyEff),1,Milestones!$AC$37)&amp;";  ","")&amp;IF(AND(EDATE($D78,Milestones!$AA$38)&lt;=AsOfDate,EDATE($D78,Milestones!$AA$38)&gt;=SchemeStart,IF($X78=0,$AD78,IF(AND($Z78&lt;&gt;"",EDATE($D78,Milestones!$AA$38)&gt;=$Z78),$AC78,IF(AND($Y78&lt;&gt;"",EDATE($D78,Milestones!$AA$38)&gt;=$Y78),$AB78,$AA78)))=Milestones!$AB$38),UPPER(TEXT(EDATE($D78,Milestones!$AA$38),"dd mmm yy"))&amp;" "&amp;Milestones!$AB$38&amp;" "&amp;IF(AND(Milestones!$AB$38="FT",Milestones!$AA$38=FT_Y5,EDATE($D78,Milestones!$AA$38)&lt;PolicyEff),1,Milestones!$AC$38)&amp;";  ","")&amp;IF(AND(EDATE($D78,Milestones!$AA$39)&lt;=AsOfDate,EDATE($D78,Milestones!$AA$39)&gt;=SchemeStart,IF($X78=0,$AD78,IF(AND($Z78&lt;&gt;"",EDATE($D78,Milestones!$AA$39)&gt;=$Z78),$AC78,IF(AND($Y78&lt;&gt;"",EDATE($D78,Milestones!$AA$39)&gt;=$Y78),$AB78,$AA78)))=Milestones!$AB$39),UPPER(TEXT(EDATE($D78,Milestones!$AA$39),"dd mmm yy"))&amp;" "&amp;Milestones!$AB$39&amp;" "&amp;IF(AND(Milestones!$AB$39="FT",Milestones!$AA$39=FT_Y5,EDATE($D78,Milestones!$AA$39)&lt;PolicyEff),1,Milestones!$AC$39)&amp;";  ","")&amp;IF(AND(EDATE($D78,Milestones!$AA$40)&lt;=AsOfDate,EDATE($D78,Milestones!$AA$40)&gt;=SchemeStart,IF($X78=0,$AD78,IF(AND($Z78&lt;&gt;"",EDATE($D78,Milestones!$AA$40)&gt;=$Z78),$AC78,IF(AND($Y78&lt;&gt;"",EDATE($D78,Milestones!$AA$40)&gt;=$Y78),$AB78,$AA78)))=Milestones!$AB$40),UPPER(TEXT(EDATE($D78,Milestones!$AA$40),"dd mmm yy"))&amp;" "&amp;Milestones!$AB$40&amp;" "&amp;IF(AND(Milestones!$AB$40="FT",Milestones!$AA$40=FT_Y5,EDATE($D78,Milestones!$AA$40)&lt;PolicyEff),1,Milestones!$AC$40)&amp;";  ","")&amp;IF(AND(EDATE($D78,Milestones!$AA$41)&lt;=AsOfDate,EDATE($D78,Milestones!$AA$41)&gt;=SchemeStart,IF($X78=0,$AD78,IF(AND($Z78&lt;&gt;"",EDATE($D78,Milestones!$AA$41)&gt;=$Z78),$AC78,IF(AND($Y78&lt;&gt;"",EDATE($D78,Milestones!$AA$41)&gt;=$Y78),$AB78,$AA78)))=Milestones!$AB$41),UPPER(TEXT(EDATE($D78,Milestones!$AA$41),"dd mmm yy"))&amp;" "&amp;Milestones!$AB$41&amp;" "&amp;IF(AND(Milestones!$AB$41="FT",Milestones!$AA$41=FT_Y5,EDATE($D78,Milestones!$AA$41)&lt;PolicyEff),1,Milestones!$AC$41)&amp;";  ","")&amp;IF(AND(EDATE($D78,Milestones!$AA$42)&lt;=AsOfDate,EDATE($D78,Milestones!$AA$42)&gt;=SchemeStart,IF($X78=0,$AD78,IF(AND($Z78&lt;&gt;"",EDATE($D78,Milestones!$AA$42)&gt;=$Z78),$AC78,IF(AND($Y78&lt;&gt;"",EDATE($D78,Milestones!$AA$42)&gt;=$Y78),$AB78,$AA78)))=Milestones!$AB$42),UPPER(TEXT(EDATE($D78,Milestones!$AA$42),"dd mmm yy"))&amp;" "&amp;Milestones!$AB$42&amp;" "&amp;IF(AND(Milestones!$AB$42="FT",Milestones!$AA$42=FT_Y5,EDATE($D78,Milestones!$AA$42)&lt;PolicyEff),1,Milestones!$AC$42)&amp;";  ","")&amp;IF(AND(EDATE($D78,Milestones!$AA$43)&lt;=AsOfDate,EDATE($D78,Milestones!$AA$43)&gt;=SchemeStart,IF($X78=0,$AD78,IF(AND($Z78&lt;&gt;"",EDATE($D78,Milestones!$AA$43)&gt;=$Z78),$AC78,IF(AND($Y78&lt;&gt;"",EDATE($D78,Milestones!$AA$43)&gt;=$Y78),$AB78,$AA78)))=Milestones!$AB$43),UPPER(TEXT(EDATE($D78,Milestones!$AA$43),"dd mmm yy"))&amp;" "&amp;Milestones!$AB$43&amp;" "&amp;IF(AND(Milestones!$AB$43="FT",Milestones!$AA$43=FT_Y5,EDATE($D78,Milestones!$AA$43)&lt;PolicyEff),1,Milestones!$AC$43)&amp;";  ",""))</f>
        <v/>
      </c>
      <c r="K78" s="0" t="str">
        <f aca="false">IF(OR($A78="",$D78=""),"",IF(AND(EDATE($D78,Milestones!$AA$44)&lt;=AsOfDate,EDATE($D78,Milestones!$AA$44)&gt;=SchemeStart,IF($X78=0,$AD78,IF(AND($Z78&lt;&gt;"",EDATE($D78,Milestones!$AA$44)&gt;=$Z78),$AC78,IF(AND($Y78&lt;&gt;"",EDATE($D78,Milestones!$AA$44)&gt;=$Y78),$AB78,$AA78)))=Milestones!$AB$44),UPPER(TEXT(EDATE($D78,Milestones!$AA$44),"dd mmm yy"))&amp;" "&amp;Milestones!$AB$44&amp;" "&amp;IF(AND(Milestones!$AB$44="FT",Milestones!$AA$44=FT_Y5,EDATE($D78,Milestones!$AA$44)&lt;PolicyEff),1,Milestones!$AC$44)&amp;";  ","")&amp;IF(AND(EDATE($D78,Milestones!$AA$45)&lt;=AsOfDate,EDATE($D78,Milestones!$AA$45)&gt;=SchemeStart,IF($X78=0,$AD78,IF(AND($Z78&lt;&gt;"",EDATE($D78,Milestones!$AA$45)&gt;=$Z78),$AC78,IF(AND($Y78&lt;&gt;"",EDATE($D78,Milestones!$AA$45)&gt;=$Y78),$AB78,$AA78)))=Milestones!$AB$45),UPPER(TEXT(EDATE($D78,Milestones!$AA$45),"dd mmm yy"))&amp;" "&amp;Milestones!$AB$45&amp;" "&amp;IF(AND(Milestones!$AB$45="FT",Milestones!$AA$45=FT_Y5,EDATE($D78,Milestones!$AA$45)&lt;PolicyEff),1,Milestones!$AC$45)&amp;";  ","")&amp;IF(AND(EDATE($D78,Milestones!$AA$46)&lt;=AsOfDate,EDATE($D78,Milestones!$AA$46)&gt;=SchemeStart,IF($X78=0,$AD78,IF(AND($Z78&lt;&gt;"",EDATE($D78,Milestones!$AA$46)&gt;=$Z78),$AC78,IF(AND($Y78&lt;&gt;"",EDATE($D78,Milestones!$AA$46)&gt;=$Y78),$AB78,$AA78)))=Milestones!$AB$46),UPPER(TEXT(EDATE($D78,Milestones!$AA$46),"dd mmm yy"))&amp;" "&amp;Milestones!$AB$46&amp;" "&amp;IF(AND(Milestones!$AB$46="FT",Milestones!$AA$46=FT_Y5,EDATE($D78,Milestones!$AA$46)&lt;PolicyEff),1,Milestones!$AC$46)&amp;";  ","")&amp;IF(AND(EDATE($D78,Milestones!$AA$47)&lt;=AsOfDate,EDATE($D78,Milestones!$AA$47)&gt;=SchemeStart,IF($X78=0,$AD78,IF(AND($Z78&lt;&gt;"",EDATE($D78,Milestones!$AA$47)&gt;=$Z78),$AC78,IF(AND($Y78&lt;&gt;"",EDATE($D78,Milestones!$AA$47)&gt;=$Y78),$AB78,$AA78)))=Milestones!$AB$47),UPPER(TEXT(EDATE($D78,Milestones!$AA$47),"dd mmm yy"))&amp;" "&amp;Milestones!$AB$47&amp;" "&amp;IF(AND(Milestones!$AB$47="FT",Milestones!$AA$47=FT_Y5,EDATE($D78,Milestones!$AA$47)&lt;PolicyEff),1,Milestones!$AC$47)&amp;";  ","")&amp;IF(AND(EDATE($D78,Milestones!$AA$48)&lt;=AsOfDate,EDATE($D78,Milestones!$AA$48)&gt;=SchemeStart,IF($X78=0,$AD78,IF(AND($Z78&lt;&gt;"",EDATE($D78,Milestones!$AA$48)&gt;=$Z78),$AC78,IF(AND($Y78&lt;&gt;"",EDATE($D78,Milestones!$AA$48)&gt;=$Y78),$AB78,$AA78)))=Milestones!$AB$48),UPPER(TEXT(EDATE($D78,Milestones!$AA$48),"dd mmm yy"))&amp;" "&amp;Milestones!$AB$48&amp;" "&amp;IF(AND(Milestones!$AB$48="FT",Milestones!$AA$48=FT_Y5,EDATE($D78,Milestones!$AA$48)&lt;PolicyEff),1,Milestones!$AC$48)&amp;";  ","")&amp;IF(AND(EDATE($D78,Milestones!$AA$49)&lt;=AsOfDate,EDATE($D78,Milestones!$AA$49)&gt;=SchemeStart,IF($X78=0,$AD78,IF(AND($Z78&lt;&gt;"",EDATE($D78,Milestones!$AA$49)&gt;=$Z78),$AC78,IF(AND($Y78&lt;&gt;"",EDATE($D78,Milestones!$AA$49)&gt;=$Y78),$AB78,$AA78)))=Milestones!$AB$49),UPPER(TEXT(EDATE($D78,Milestones!$AA$49),"dd mmm yy"))&amp;" "&amp;Milestones!$AB$49&amp;" "&amp;IF(AND(Milestones!$AB$49="FT",Milestones!$AA$49=FT_Y5,EDATE($D78,Milestones!$AA$49)&lt;PolicyEff),1,Milestones!$AC$49)&amp;";  ","")&amp;IF(AND(EDATE($D78,Milestones!$AA$50)&lt;=AsOfDate,EDATE($D78,Milestones!$AA$50)&gt;=SchemeStart,IF($X78=0,$AD78,IF(AND($Z78&lt;&gt;"",EDATE($D78,Milestones!$AA$50)&gt;=$Z78),$AC78,IF(AND($Y78&lt;&gt;"",EDATE($D78,Milestones!$AA$50)&gt;=$Y78),$AB78,$AA78)))=Milestones!$AB$50),UPPER(TEXT(EDATE($D78,Milestones!$AA$50),"dd mmm yy"))&amp;" "&amp;Milestones!$AB$50&amp;" "&amp;IF(AND(Milestones!$AB$50="FT",Milestones!$AA$50=FT_Y5,EDATE($D78,Milestones!$AA$50)&lt;PolicyEff),1,Milestones!$AC$50)&amp;";  ","")&amp;IF(AND(EDATE($D78,Milestones!$AA$51)&lt;=AsOfDate,EDATE($D78,Milestones!$AA$51)&gt;=SchemeStart,IF($X78=0,$AD78,IF(AND($Z78&lt;&gt;"",EDATE($D78,Milestones!$AA$51)&gt;=$Z78),$AC78,IF(AND($Y78&lt;&gt;"",EDATE($D78,Milestones!$AA$51)&gt;=$Y78),$AB78,$AA78)))=Milestones!$AB$51),UPPER(TEXT(EDATE($D78,Milestones!$AA$51),"dd mmm yy"))&amp;" "&amp;Milestones!$AB$51&amp;" "&amp;IF(AND(Milestones!$AB$51="FT",Milestones!$AA$51=FT_Y5,EDATE($D78,Milestones!$AA$51)&lt;PolicyEff),1,Milestones!$AC$51)&amp;";  ","")&amp;IF(AND(EDATE($D78,Milestones!$AA$52)&lt;=AsOfDate,EDATE($D78,Milestones!$AA$52)&gt;=SchemeStart,IF($X78=0,$AD78,IF(AND($Z78&lt;&gt;"",EDATE($D78,Milestones!$AA$52)&gt;=$Z78),$AC78,IF(AND($Y78&lt;&gt;"",EDATE($D78,Milestones!$AA$52)&gt;=$Y78),$AB78,$AA78)))=Milestones!$AB$52),UPPER(TEXT(EDATE($D78,Milestones!$AA$52),"dd mmm yy"))&amp;" "&amp;Milestones!$AB$52&amp;" "&amp;IF(AND(Milestones!$AB$52="FT",Milestones!$AA$52=FT_Y5,EDATE($D78,Milestones!$AA$52)&lt;PolicyEff),1,Milestones!$AC$52)&amp;";  ","")&amp;IF(AND(EDATE($D78,Milestones!$AA$53)&lt;=AsOfDate,EDATE($D78,Milestones!$AA$53)&gt;=SchemeStart,IF($X78=0,$AD78,IF(AND($Z78&lt;&gt;"",EDATE($D78,Milestones!$AA$53)&gt;=$Z78),$AC78,IF(AND($Y78&lt;&gt;"",EDATE($D78,Milestones!$AA$53)&gt;=$Y78),$AB78,$AA78)))=Milestones!$AB$53),UPPER(TEXT(EDATE($D78,Milestones!$AA$53),"dd mmm yy"))&amp;" "&amp;Milestones!$AB$53&amp;" "&amp;IF(AND(Milestones!$AB$53="FT",Milestones!$AA$53=FT_Y5,EDATE($D78,Milestones!$AA$53)&lt;PolicyEff),1,Milestones!$AC$53)&amp;";  ","")&amp;IF(AND(EDATE($D78,Milestones!$AA$54)&lt;=AsOfDate,EDATE($D78,Milestones!$AA$54)&gt;=SchemeStart,IF($X78=0,$AD78,IF(AND($Z78&lt;&gt;"",EDATE($D78,Milestones!$AA$54)&gt;=$Z78),$AC78,IF(AND($Y78&lt;&gt;"",EDATE($D78,Milestones!$AA$54)&gt;=$Y78),$AB78,$AA78)))=Milestones!$AB$54),UPPER(TEXT(EDATE($D78,Milestones!$AA$54),"dd mmm yy"))&amp;" "&amp;Milestones!$AB$54&amp;" "&amp;IF(AND(Milestones!$AB$54="FT",Milestones!$AA$54=FT_Y5,EDATE($D78,Milestones!$AA$54)&lt;PolicyEff),1,Milestones!$AC$54)&amp;";  ","")&amp;IF(AND(EDATE($D78,Milestones!$AA$55)&lt;=AsOfDate,EDATE($D78,Milestones!$AA$55)&gt;=SchemeStart,IF($X78=0,$AD78,IF(AND($Z78&lt;&gt;"",EDATE($D78,Milestones!$AA$55)&gt;=$Z78),$AC78,IF(AND($Y78&lt;&gt;"",EDATE($D78,Milestones!$AA$55)&gt;=$Y78),$AB78,$AA78)))=Milestones!$AB$55),UPPER(TEXT(EDATE($D78,Milestones!$AA$55),"dd mmm yy"))&amp;" "&amp;Milestones!$AB$55&amp;" "&amp;IF(AND(Milestones!$AB$55="FT",Milestones!$AA$55=FT_Y5,EDATE($D78,Milestones!$AA$55)&lt;PolicyEff),1,Milestones!$AC$55)&amp;";  ",""))</f>
        <v/>
      </c>
      <c r="L78" s="0" t="str">
        <f aca="false">IF(OR($A78="",$D78=""),"",IF(AND(EDATE($D78,Milestones!$AA$56)&lt;=AsOfDate,EDATE($D78,Milestones!$AA$56)&gt;=SchemeStart,IF($X78=0,$AD78,IF(AND($Z78&lt;&gt;"",EDATE($D78,Milestones!$AA$56)&gt;=$Z78),$AC78,IF(AND($Y78&lt;&gt;"",EDATE($D78,Milestones!$AA$56)&gt;=$Y78),$AB78,$AA78)))=Milestones!$AB$56),UPPER(TEXT(EDATE($D78,Milestones!$AA$56),"dd mmm yy"))&amp;" "&amp;Milestones!$AB$56&amp;" "&amp;IF(AND(Milestones!$AB$56="FT",Milestones!$AA$56=FT_Y5,EDATE($D78,Milestones!$AA$56)&lt;PolicyEff),1,Milestones!$AC$56)&amp;";  ","")&amp;IF(AND(EDATE($D78,Milestones!$AA$57)&lt;=AsOfDate,EDATE($D78,Milestones!$AA$57)&gt;=SchemeStart,IF($X78=0,$AD78,IF(AND($Z78&lt;&gt;"",EDATE($D78,Milestones!$AA$57)&gt;=$Z78),$AC78,IF(AND($Y78&lt;&gt;"",EDATE($D78,Milestones!$AA$57)&gt;=$Y78),$AB78,$AA78)))=Milestones!$AB$57),UPPER(TEXT(EDATE($D78,Milestones!$AA$57),"dd mmm yy"))&amp;" "&amp;Milestones!$AB$57&amp;" "&amp;IF(AND(Milestones!$AB$57="FT",Milestones!$AA$57=FT_Y5,EDATE($D78,Milestones!$AA$57)&lt;PolicyEff),1,Milestones!$AC$57)&amp;";  ","")&amp;IF(AND(EDATE($D78,Milestones!$AA$58)&lt;=AsOfDate,EDATE($D78,Milestones!$AA$58)&gt;=SchemeStart,IF($X78=0,$AD78,IF(AND($Z78&lt;&gt;"",EDATE($D78,Milestones!$AA$58)&gt;=$Z78),$AC78,IF(AND($Y78&lt;&gt;"",EDATE($D78,Milestones!$AA$58)&gt;=$Y78),$AB78,$AA78)))=Milestones!$AB$58),UPPER(TEXT(EDATE($D78,Milestones!$AA$58),"dd mmm yy"))&amp;" "&amp;Milestones!$AB$58&amp;" "&amp;IF(AND(Milestones!$AB$58="FT",Milestones!$AA$58=FT_Y5,EDATE($D78,Milestones!$AA$58)&lt;PolicyEff),1,Milestones!$AC$58)&amp;";  ","")&amp;IF(AND(EDATE($D78,Milestones!$AA$59)&lt;=AsOfDate,EDATE($D78,Milestones!$AA$59)&gt;=SchemeStart,IF($X78=0,$AD78,IF(AND($Z78&lt;&gt;"",EDATE($D78,Milestones!$AA$59)&gt;=$Z78),$AC78,IF(AND($Y78&lt;&gt;"",EDATE($D78,Milestones!$AA$59)&gt;=$Y78),$AB78,$AA78)))=Milestones!$AB$59),UPPER(TEXT(EDATE($D78,Milestones!$AA$59),"dd mmm yy"))&amp;" "&amp;Milestones!$AB$59&amp;" "&amp;IF(AND(Milestones!$AB$59="FT",Milestones!$AA$59=FT_Y5,EDATE($D78,Milestones!$AA$59)&lt;PolicyEff),1,Milestones!$AC$59)&amp;";  ","")&amp;IF(AND(EDATE($D78,Milestones!$AA$60)&lt;=AsOfDate,EDATE($D78,Milestones!$AA$60)&gt;=SchemeStart,IF($X78=0,$AD78,IF(AND($Z78&lt;&gt;"",EDATE($D78,Milestones!$AA$60)&gt;=$Z78),$AC78,IF(AND($Y78&lt;&gt;"",EDATE($D78,Milestones!$AA$60)&gt;=$Y78),$AB78,$AA78)))=Milestones!$AB$60),UPPER(TEXT(EDATE($D78,Milestones!$AA$60),"dd mmm yy"))&amp;" "&amp;Milestones!$AB$60&amp;" "&amp;IF(AND(Milestones!$AB$60="FT",Milestones!$AA$60=FT_Y5,EDATE($D78,Milestones!$AA$60)&lt;PolicyEff),1,Milestones!$AC$60)&amp;";  ","")&amp;IF(AND(EDATE($D78,Milestones!$AA$61)&lt;=AsOfDate,EDATE($D78,Milestones!$AA$61)&gt;=SchemeStart,IF($X78=0,$AD78,IF(AND($Z78&lt;&gt;"",EDATE($D78,Milestones!$AA$61)&gt;=$Z78),$AC78,IF(AND($Y78&lt;&gt;"",EDATE($D78,Milestones!$AA$61)&gt;=$Y78),$AB78,$AA78)))=Milestones!$AB$61),UPPER(TEXT(EDATE($D78,Milestones!$AA$61),"dd mmm yy"))&amp;" "&amp;Milestones!$AB$61&amp;" "&amp;IF(AND(Milestones!$AB$61="FT",Milestones!$AA$61=FT_Y5,EDATE($D78,Milestones!$AA$61)&lt;PolicyEff),1,Milestones!$AC$61)&amp;";  ","")&amp;IF(AND(EDATE($D78,Milestones!$AA$62)&lt;=AsOfDate,EDATE($D78,Milestones!$AA$62)&gt;=SchemeStart,IF($X78=0,$AD78,IF(AND($Z78&lt;&gt;"",EDATE($D78,Milestones!$AA$62)&gt;=$Z78),$AC78,IF(AND($Y78&lt;&gt;"",EDATE($D78,Milestones!$AA$62)&gt;=$Y78),$AB78,$AA78)))=Milestones!$AB$62),UPPER(TEXT(EDATE($D78,Milestones!$AA$62),"dd mmm yy"))&amp;" "&amp;Milestones!$AB$62&amp;" "&amp;IF(AND(Milestones!$AB$62="FT",Milestones!$AA$62=FT_Y5,EDATE($D78,Milestones!$AA$62)&lt;PolicyEff),1,Milestones!$AC$62)&amp;";  ","")&amp;IF(AND(EDATE($D78,Milestones!$AA$63)&lt;=AsOfDate,EDATE($D78,Milestones!$AA$63)&gt;=SchemeStart,IF($X78=0,$AD78,IF(AND($Z78&lt;&gt;"",EDATE($D78,Milestones!$AA$63)&gt;=$Z78),$AC78,IF(AND($Y78&lt;&gt;"",EDATE($D78,Milestones!$AA$63)&gt;=$Y78),$AB78,$AA78)))=Milestones!$AB$63),UPPER(TEXT(EDATE($D78,Milestones!$AA$63),"dd mmm yy"))&amp;" "&amp;Milestones!$AB$63&amp;" "&amp;IF(AND(Milestones!$AB$63="FT",Milestones!$AA$63=FT_Y5,EDATE($D78,Milestones!$AA$63)&lt;PolicyEff),1,Milestones!$AC$63)&amp;";  ","")&amp;IF(AND(EDATE($D78,Milestones!$AA$64)&lt;=AsOfDate,EDATE($D78,Milestones!$AA$64)&gt;=SchemeStart,IF($X78=0,$AD78,IF(AND($Z78&lt;&gt;"",EDATE($D78,Milestones!$AA$64)&gt;=$Z78),$AC78,IF(AND($Y78&lt;&gt;"",EDATE($D78,Milestones!$AA$64)&gt;=$Y78),$AB78,$AA78)))=Milestones!$AB$64),UPPER(TEXT(EDATE($D78,Milestones!$AA$64),"dd mmm yy"))&amp;" "&amp;Milestones!$AB$64&amp;" "&amp;IF(AND(Milestones!$AB$64="FT",Milestones!$AA$64=FT_Y5,EDATE($D78,Milestones!$AA$64)&lt;PolicyEff),1,Milestones!$AC$64)&amp;";  ","")&amp;IF(AND(EDATE($D78,Milestones!$AA$65)&lt;=AsOfDate,EDATE($D78,Milestones!$AA$65)&gt;=SchemeStart,IF($X78=0,$AD78,IF(AND($Z78&lt;&gt;"",EDATE($D78,Milestones!$AA$65)&gt;=$Z78),$AC78,IF(AND($Y78&lt;&gt;"",EDATE($D78,Milestones!$AA$65)&gt;=$Y78),$AB78,$AA78)))=Milestones!$AB$65),UPPER(TEXT(EDATE($D78,Milestones!$AA$65),"dd mmm yy"))&amp;" "&amp;Milestones!$AB$65&amp;" "&amp;IF(AND(Milestones!$AB$65="FT",Milestones!$AA$65=FT_Y5,EDATE($D78,Milestones!$AA$65)&lt;PolicyEff),1,Milestones!$AC$65)&amp;";  ","")&amp;IF(AND(EDATE($D78,Milestones!$AA$66)&lt;=AsOfDate,EDATE($D78,Milestones!$AA$66)&gt;=SchemeStart,IF($X78=0,$AD78,IF(AND($Z78&lt;&gt;"",EDATE($D78,Milestones!$AA$66)&gt;=$Z78),$AC78,IF(AND($Y78&lt;&gt;"",EDATE($D78,Milestones!$AA$66)&gt;=$Y78),$AB78,$AA78)))=Milestones!$AB$66),UPPER(TEXT(EDATE($D78,Milestones!$AA$66),"dd mmm yy"))&amp;" "&amp;Milestones!$AB$66&amp;" "&amp;IF(AND(Milestones!$AB$66="FT",Milestones!$AA$66=FT_Y5,EDATE($D78,Milestones!$AA$66)&lt;PolicyEff),1,Milestones!$AC$66)&amp;";  ","")&amp;IF(AND(EDATE($D78,Milestones!$AA$67)&lt;=AsOfDate,EDATE($D78,Milestones!$AA$67)&gt;=SchemeStart,IF($X78=0,$AD78,IF(AND($Z78&lt;&gt;"",EDATE($D78,Milestones!$AA$67)&gt;=$Z78),$AC78,IF(AND($Y78&lt;&gt;"",EDATE($D78,Milestones!$AA$67)&gt;=$Y78),$AB78,$AA78)))=Milestones!$AB$67),UPPER(TEXT(EDATE($D78,Milestones!$AA$67),"dd mmm yy"))&amp;" "&amp;Milestones!$AB$67&amp;" "&amp;IF(AND(Milestones!$AB$67="FT",Milestones!$AA$67=FT_Y5,EDATE($D78,Milestones!$AA$67)&lt;PolicyEff),1,Milestones!$AC$67)&amp;";  ",""))</f>
        <v/>
      </c>
      <c r="M78" s="0" t="str">
        <f aca="false">IF(OR($A78="",$D78=""),"",IF(AND(EDATE($D78,Milestones!$AA$68)&lt;=AsOfDate,EDATE($D78,Milestones!$AA$68)&gt;=SchemeStart,IF($X78=0,$AD78,IF(AND($Z78&lt;&gt;"",EDATE($D78,Milestones!$AA$68)&gt;=$Z78),$AC78,IF(AND($Y78&lt;&gt;"",EDATE($D78,Milestones!$AA$68)&gt;=$Y78),$AB78,$AA78)))=Milestones!$AB$68),UPPER(TEXT(EDATE($D78,Milestones!$AA$68),"dd mmm yy"))&amp;" "&amp;Milestones!$AB$68&amp;" "&amp;IF(AND(Milestones!$AB$68="FT",Milestones!$AA$68=FT_Y5,EDATE($D78,Milestones!$AA$68)&lt;PolicyEff),1,Milestones!$AC$68)&amp;";  ","")&amp;IF(AND(EDATE($D78,Milestones!$AA$69)&lt;=AsOfDate,EDATE($D78,Milestones!$AA$69)&gt;=SchemeStart,IF($X78=0,$AD78,IF(AND($Z78&lt;&gt;"",EDATE($D78,Milestones!$AA$69)&gt;=$Z78),$AC78,IF(AND($Y78&lt;&gt;"",EDATE($D78,Milestones!$AA$69)&gt;=$Y78),$AB78,$AA78)))=Milestones!$AB$69),UPPER(TEXT(EDATE($D78,Milestones!$AA$69),"dd mmm yy"))&amp;" "&amp;Milestones!$AB$69&amp;" "&amp;IF(AND(Milestones!$AB$69="FT",Milestones!$AA$69=FT_Y5,EDATE($D78,Milestones!$AA$69)&lt;PolicyEff),1,Milestones!$AC$69)&amp;";  ","")&amp;IF(AND(EDATE($D78,Milestones!$AA$70)&lt;=AsOfDate,EDATE($D78,Milestones!$AA$70)&gt;=SchemeStart,IF($X78=0,$AD78,IF(AND($Z78&lt;&gt;"",EDATE($D78,Milestones!$AA$70)&gt;=$Z78),$AC78,IF(AND($Y78&lt;&gt;"",EDATE($D78,Milestones!$AA$70)&gt;=$Y78),$AB78,$AA78)))=Milestones!$AB$70),UPPER(TEXT(EDATE($D78,Milestones!$AA$70),"dd mmm yy"))&amp;" "&amp;Milestones!$AB$70&amp;" "&amp;IF(AND(Milestones!$AB$70="FT",Milestones!$AA$70=FT_Y5,EDATE($D78,Milestones!$AA$70)&lt;PolicyEff),1,Milestones!$AC$70)&amp;";  ","")&amp;IF(AND(EDATE($D78,Milestones!$AA$71)&lt;=AsOfDate,EDATE($D78,Milestones!$AA$71)&gt;=SchemeStart,IF($X78=0,$AD78,IF(AND($Z78&lt;&gt;"",EDATE($D78,Milestones!$AA$71)&gt;=$Z78),$AC78,IF(AND($Y78&lt;&gt;"",EDATE($D78,Milestones!$AA$71)&gt;=$Y78),$AB78,$AA78)))=Milestones!$AB$71),UPPER(TEXT(EDATE($D78,Milestones!$AA$71),"dd mmm yy"))&amp;" "&amp;Milestones!$AB$71&amp;" "&amp;IF(AND(Milestones!$AB$71="FT",Milestones!$AA$71=FT_Y5,EDATE($D78,Milestones!$AA$71)&lt;PolicyEff),1,Milestones!$AC$71)&amp;";  ","")&amp;IF(AND(EDATE($D78,Milestones!$AA$72)&lt;=AsOfDate,EDATE($D78,Milestones!$AA$72)&gt;=SchemeStart,IF($X78=0,$AD78,IF(AND($Z78&lt;&gt;"",EDATE($D78,Milestones!$AA$72)&gt;=$Z78),$AC78,IF(AND($Y78&lt;&gt;"",EDATE($D78,Milestones!$AA$72)&gt;=$Y78),$AB78,$AA78)))=Milestones!$AB$72),UPPER(TEXT(EDATE($D78,Milestones!$AA$72),"dd mmm yy"))&amp;" "&amp;Milestones!$AB$72&amp;" "&amp;IF(AND(Milestones!$AB$72="FT",Milestones!$AA$72=FT_Y5,EDATE($D78,Milestones!$AA$72)&lt;PolicyEff),1,Milestones!$AC$72)&amp;";  ","")&amp;IF(AND(EDATE($D78,Milestones!$AA$73)&lt;=AsOfDate,EDATE($D78,Milestones!$AA$73)&gt;=SchemeStart,IF($X78=0,$AD78,IF(AND($Z78&lt;&gt;"",EDATE($D78,Milestones!$AA$73)&gt;=$Z78),$AC78,IF(AND($Y78&lt;&gt;"",EDATE($D78,Milestones!$AA$73)&gt;=$Y78),$AB78,$AA78)))=Milestones!$AB$73),UPPER(TEXT(EDATE($D78,Milestones!$AA$73),"dd mmm yy"))&amp;" "&amp;Milestones!$AB$73&amp;" "&amp;IF(AND(Milestones!$AB$73="FT",Milestones!$AA$73=FT_Y5,EDATE($D78,Milestones!$AA$73)&lt;PolicyEff),1,Milestones!$AC$73)&amp;";  ","")&amp;IF(AND(EDATE($D78,Milestones!$AA$74)&lt;=AsOfDate,EDATE($D78,Milestones!$AA$74)&gt;=SchemeStart,IF($X78=0,$AD78,IF(AND($Z78&lt;&gt;"",EDATE($D78,Milestones!$AA$74)&gt;=$Z78),$AC78,IF(AND($Y78&lt;&gt;"",EDATE($D78,Milestones!$AA$74)&gt;=$Y78),$AB78,$AA78)))=Milestones!$AB$74),UPPER(TEXT(EDATE($D78,Milestones!$AA$74),"dd mmm yy"))&amp;" "&amp;Milestones!$AB$74&amp;" "&amp;IF(AND(Milestones!$AB$74="FT",Milestones!$AA$74=FT_Y5,EDATE($D78,Milestones!$AA$74)&lt;PolicyEff),1,Milestones!$AC$74)&amp;";  ","")&amp;IF(AND(EDATE($D78,Milestones!$AA$75)&lt;=AsOfDate,EDATE($D78,Milestones!$AA$75)&gt;=SchemeStart,IF($X78=0,$AD78,IF(AND($Z78&lt;&gt;"",EDATE($D78,Milestones!$AA$75)&gt;=$Z78),$AC78,IF(AND($Y78&lt;&gt;"",EDATE($D78,Milestones!$AA$75)&gt;=$Y78),$AB78,$AA78)))=Milestones!$AB$75),UPPER(TEXT(EDATE($D78,Milestones!$AA$75),"dd mmm yy"))&amp;" "&amp;Milestones!$AB$75&amp;" "&amp;IF(AND(Milestones!$AB$75="FT",Milestones!$AA$75=FT_Y5,EDATE($D78,Milestones!$AA$75)&lt;PolicyEff),1,Milestones!$AC$75)&amp;";  ","")&amp;IF(AND(EDATE($D78,Milestones!$AA$76)&lt;=AsOfDate,EDATE($D78,Milestones!$AA$76)&gt;=SchemeStart,IF($X78=0,$AD78,IF(AND($Z78&lt;&gt;"",EDATE($D78,Milestones!$AA$76)&gt;=$Z78),$AC78,IF(AND($Y78&lt;&gt;"",EDATE($D78,Milestones!$AA$76)&gt;=$Y78),$AB78,$AA78)))=Milestones!$AB$76),UPPER(TEXT(EDATE($D78,Milestones!$AA$76),"dd mmm yy"))&amp;" "&amp;Milestones!$AB$76&amp;" "&amp;IF(AND(Milestones!$AB$76="FT",Milestones!$AA$76=FT_Y5,EDATE($D78,Milestones!$AA$76)&lt;PolicyEff),1,Milestones!$AC$76)&amp;";  ","")&amp;IF(AND(EDATE($D78,Milestones!$AA$77)&lt;=AsOfDate,EDATE($D78,Milestones!$AA$77)&gt;=SchemeStart,IF($X78=0,$AD78,IF(AND($Z78&lt;&gt;"",EDATE($D78,Milestones!$AA$77)&gt;=$Z78),$AC78,IF(AND($Y78&lt;&gt;"",EDATE($D78,Milestones!$AA$77)&gt;=$Y78),$AB78,$AA78)))=Milestones!$AB$77),UPPER(TEXT(EDATE($D78,Milestones!$AA$77),"dd mmm yy"))&amp;" "&amp;Milestones!$AB$77&amp;" "&amp;IF(AND(Milestones!$AB$77="FT",Milestones!$AA$77=FT_Y5,EDATE($D78,Milestones!$AA$77)&lt;PolicyEff),1,Milestones!$AC$77)&amp;";  ","")&amp;IF(AND(EDATE($D78,Milestones!$AA$78)&lt;=AsOfDate,EDATE($D78,Milestones!$AA$78)&gt;=SchemeStart,IF($X78=0,$AD78,IF(AND($Z78&lt;&gt;"",EDATE($D78,Milestones!$AA$78)&gt;=$Z78),$AC78,IF(AND($Y78&lt;&gt;"",EDATE($D78,Milestones!$AA$78)&gt;=$Y78),$AB78,$AA78)))=Milestones!$AB$78),UPPER(TEXT(EDATE($D78,Milestones!$AA$78),"dd mmm yy"))&amp;" "&amp;Milestones!$AB$78&amp;" "&amp;IF(AND(Milestones!$AB$78="FT",Milestones!$AA$78=FT_Y5,EDATE($D78,Milestones!$AA$78)&lt;PolicyEff),1,Milestones!$AC$78)&amp;";  ","")&amp;IF(AND(EDATE($D78,Milestones!$AA$79)&lt;=AsOfDate,EDATE($D78,Milestones!$AA$79)&gt;=SchemeStart,IF($X78=0,$AD78,IF(AND($Z78&lt;&gt;"",EDATE($D78,Milestones!$AA$79)&gt;=$Z78),$AC78,IF(AND($Y78&lt;&gt;"",EDATE($D78,Milestones!$AA$79)&gt;=$Y78),$AB78,$AA78)))=Milestones!$AB$79),UPPER(TEXT(EDATE($D78,Milestones!$AA$79),"dd mmm yy"))&amp;" "&amp;Milestones!$AB$79&amp;" "&amp;IF(AND(Milestones!$AB$79="FT",Milestones!$AA$79=FT_Y5,EDATE($D78,Milestones!$AA$79)&lt;PolicyEff),1,Milestones!$AC$79)&amp;";  ",""))</f>
        <v/>
      </c>
      <c r="N78" s="0" t="str">
        <f aca="false">IF(OR($A78="",$D78=""),"",IF(AND(EDATE($D78,Milestones!$AA$80)&lt;=AsOfDate,EDATE($D78,Milestones!$AA$80)&gt;=SchemeStart,IF($X78=0,$AD78,IF(AND($Z78&lt;&gt;"",EDATE($D78,Milestones!$AA$80)&gt;=$Z78),$AC78,IF(AND($Y78&lt;&gt;"",EDATE($D78,Milestones!$AA$80)&gt;=$Y78),$AB78,$AA78)))=Milestones!$AB$80),UPPER(TEXT(EDATE($D78,Milestones!$AA$80),"dd mmm yy"))&amp;" "&amp;Milestones!$AB$80&amp;" "&amp;IF(AND(Milestones!$AB$80="FT",Milestones!$AA$80=FT_Y5,EDATE($D78,Milestones!$AA$80)&lt;PolicyEff),1,Milestones!$AC$80)&amp;";  ","")&amp;IF(AND(EDATE($D78,Milestones!$AA$81)&lt;=AsOfDate,EDATE($D78,Milestones!$AA$81)&gt;=SchemeStart,IF($X78=0,$AD78,IF(AND($Z78&lt;&gt;"",EDATE($D78,Milestones!$AA$81)&gt;=$Z78),$AC78,IF(AND($Y78&lt;&gt;"",EDATE($D78,Milestones!$AA$81)&gt;=$Y78),$AB78,$AA78)))=Milestones!$AB$81),UPPER(TEXT(EDATE($D78,Milestones!$AA$81),"dd mmm yy"))&amp;" "&amp;Milestones!$AB$81&amp;" "&amp;IF(AND(Milestones!$AB$81="FT",Milestones!$AA$81=FT_Y5,EDATE($D78,Milestones!$AA$81)&lt;PolicyEff),1,Milestones!$AC$81)&amp;";  ","")&amp;IF(AND(EDATE($D78,Milestones!$AA$82)&lt;=AsOfDate,EDATE($D78,Milestones!$AA$82)&gt;=SchemeStart,IF($X78=0,$AD78,IF(AND($Z78&lt;&gt;"",EDATE($D78,Milestones!$AA$82)&gt;=$Z78),$AC78,IF(AND($Y78&lt;&gt;"",EDATE($D78,Milestones!$AA$82)&gt;=$Y78),$AB78,$AA78)))=Milestones!$AB$82),UPPER(TEXT(EDATE($D78,Milestones!$AA$82),"dd mmm yy"))&amp;" "&amp;Milestones!$AB$82&amp;" "&amp;IF(AND(Milestones!$AB$82="FT",Milestones!$AA$82=FT_Y5,EDATE($D78,Milestones!$AA$82)&lt;PolicyEff),1,Milestones!$AC$82)&amp;";  ","")&amp;IF(AND(EDATE($D78,Milestones!$AA$83)&lt;=AsOfDate,EDATE($D78,Milestones!$AA$83)&gt;=SchemeStart,IF($X78=0,$AD78,IF(AND($Z78&lt;&gt;"",EDATE($D78,Milestones!$AA$83)&gt;=$Z78),$AC78,IF(AND($Y78&lt;&gt;"",EDATE($D78,Milestones!$AA$83)&gt;=$Y78),$AB78,$AA78)))=Milestones!$AB$83),UPPER(TEXT(EDATE($D78,Milestones!$AA$83),"dd mmm yy"))&amp;" "&amp;Milestones!$AB$83&amp;" "&amp;IF(AND(Milestones!$AB$83="FT",Milestones!$AA$83=FT_Y5,EDATE($D78,Milestones!$AA$83)&lt;PolicyEff),1,Milestones!$AC$83)&amp;";  ","")&amp;IF(AND(EDATE($D78,Milestones!$AA$84)&lt;=AsOfDate,EDATE($D78,Milestones!$AA$84)&gt;=SchemeStart,IF($X78=0,$AD78,IF(AND($Z78&lt;&gt;"",EDATE($D78,Milestones!$AA$84)&gt;=$Z78),$AC78,IF(AND($Y78&lt;&gt;"",EDATE($D78,Milestones!$AA$84)&gt;=$Y78),$AB78,$AA78)))=Milestones!$AB$84),UPPER(TEXT(EDATE($D78,Milestones!$AA$84),"dd mmm yy"))&amp;" "&amp;Milestones!$AB$84&amp;" "&amp;IF(AND(Milestones!$AB$84="FT",Milestones!$AA$84=FT_Y5,EDATE($D78,Milestones!$AA$84)&lt;PolicyEff),1,Milestones!$AC$84)&amp;";  ","")&amp;IF(AND(EDATE($D78,Milestones!$AA$85)&lt;=AsOfDate,EDATE($D78,Milestones!$AA$85)&gt;=SchemeStart,IF($X78=0,$AD78,IF(AND($Z78&lt;&gt;"",EDATE($D78,Milestones!$AA$85)&gt;=$Z78),$AC78,IF(AND($Y78&lt;&gt;"",EDATE($D78,Milestones!$AA$85)&gt;=$Y78),$AB78,$AA78)))=Milestones!$AB$85),UPPER(TEXT(EDATE($D78,Milestones!$AA$85),"dd mmm yy"))&amp;" "&amp;Milestones!$AB$85&amp;" "&amp;IF(AND(Milestones!$AB$85="FT",Milestones!$AA$85=FT_Y5,EDATE($D78,Milestones!$AA$85)&lt;PolicyEff),1,Milestones!$AC$85)&amp;";  ","")&amp;IF(AND(EDATE($D78,Milestones!$AA$86)&lt;=AsOfDate,EDATE($D78,Milestones!$AA$86)&gt;=SchemeStart,IF($X78=0,$AD78,IF(AND($Z78&lt;&gt;"",EDATE($D78,Milestones!$AA$86)&gt;=$Z78),$AC78,IF(AND($Y78&lt;&gt;"",EDATE($D78,Milestones!$AA$86)&gt;=$Y78),$AB78,$AA78)))=Milestones!$AB$86),UPPER(TEXT(EDATE($D78,Milestones!$AA$86),"dd mmm yy"))&amp;" "&amp;Milestones!$AB$86&amp;" "&amp;IF(AND(Milestones!$AB$86="FT",Milestones!$AA$86=FT_Y5,EDATE($D78,Milestones!$AA$86)&lt;PolicyEff),1,Milestones!$AC$86)&amp;";  ","")&amp;IF(AND(EDATE($D78,Milestones!$AA$87)&lt;=AsOfDate,EDATE($D78,Milestones!$AA$87)&gt;=SchemeStart,IF($X78=0,$AD78,IF(AND($Z78&lt;&gt;"",EDATE($D78,Milestones!$AA$87)&gt;=$Z78),$AC78,IF(AND($Y78&lt;&gt;"",EDATE($D78,Milestones!$AA$87)&gt;=$Y78),$AB78,$AA78)))=Milestones!$AB$87),UPPER(TEXT(EDATE($D78,Milestones!$AA$87),"dd mmm yy"))&amp;" "&amp;Milestones!$AB$87&amp;" "&amp;IF(AND(Milestones!$AB$87="FT",Milestones!$AA$87=FT_Y5,EDATE($D78,Milestones!$AA$87)&lt;PolicyEff),1,Milestones!$AC$87)&amp;";  ","")&amp;IF(AND(EDATE($D78,Milestones!$AA$88)&lt;=AsOfDate,EDATE($D78,Milestones!$AA$88)&gt;=SchemeStart,IF($X78=0,$AD78,IF(AND($Z78&lt;&gt;"",EDATE($D78,Milestones!$AA$88)&gt;=$Z78),$AC78,IF(AND($Y78&lt;&gt;"",EDATE($D78,Milestones!$AA$88)&gt;=$Y78),$AB78,$AA78)))=Milestones!$AB$88),UPPER(TEXT(EDATE($D78,Milestones!$AA$88),"dd mmm yy"))&amp;" "&amp;Milestones!$AB$88&amp;" "&amp;IF(AND(Milestones!$AB$88="FT",Milestones!$AA$88=FT_Y5,EDATE($D78,Milestones!$AA$88)&lt;PolicyEff),1,Milestones!$AC$88)&amp;";  ","")&amp;IF(AND(EDATE($D78,Milestones!$AA$89)&lt;=AsOfDate,EDATE($D78,Milestones!$AA$89)&gt;=SchemeStart,IF($X78=0,$AD78,IF(AND($Z78&lt;&gt;"",EDATE($D78,Milestones!$AA$89)&gt;=$Z78),$AC78,IF(AND($Y78&lt;&gt;"",EDATE($D78,Milestones!$AA$89)&gt;=$Y78),$AB78,$AA78)))=Milestones!$AB$89),UPPER(TEXT(EDATE($D78,Milestones!$AA$89),"dd mmm yy"))&amp;" "&amp;Milestones!$AB$89&amp;" "&amp;IF(AND(Milestones!$AB$89="FT",Milestones!$AA$89=FT_Y5,EDATE($D78,Milestones!$AA$89)&lt;PolicyEff),1,Milestones!$AC$89)&amp;";  ","")&amp;IF(AND(EDATE($D78,Milestones!$AA$90)&lt;=AsOfDate,EDATE($D78,Milestones!$AA$90)&gt;=SchemeStart,IF($X78=0,$AD78,IF(AND($Z78&lt;&gt;"",EDATE($D78,Milestones!$AA$90)&gt;=$Z78),$AC78,IF(AND($Y78&lt;&gt;"",EDATE($D78,Milestones!$AA$90)&gt;=$Y78),$AB78,$AA78)))=Milestones!$AB$90),UPPER(TEXT(EDATE($D78,Milestones!$AA$90),"dd mmm yy"))&amp;" "&amp;Milestones!$AB$90&amp;" "&amp;IF(AND(Milestones!$AB$90="FT",Milestones!$AA$90=FT_Y5,EDATE($D78,Milestones!$AA$90)&lt;PolicyEff),1,Milestones!$AC$90)&amp;";  ","")&amp;IF(AND(EDATE($D78,Milestones!$AA$91)&lt;=AsOfDate,EDATE($D78,Milestones!$AA$91)&gt;=SchemeStart,IF($X78=0,$AD78,IF(AND($Z78&lt;&gt;"",EDATE($D78,Milestones!$AA$91)&gt;=$Z78),$AC78,IF(AND($Y78&lt;&gt;"",EDATE($D78,Milestones!$AA$91)&gt;=$Y78),$AB78,$AA78)))=Milestones!$AB$91),UPPER(TEXT(EDATE($D78,Milestones!$AA$91),"dd mmm yy"))&amp;" "&amp;Milestones!$AB$91&amp;" "&amp;IF(AND(Milestones!$AB$91="FT",Milestones!$AA$91=FT_Y5,EDATE($D78,Milestones!$AA$91)&lt;PolicyEff),1,Milestones!$AC$91)&amp;";  ",""))</f>
        <v/>
      </c>
      <c r="O78" s="0" t="str">
        <f aca="false">IF(OR($A78="",$D78=""),"",IF(AND(EDATE($D78,Milestones!$AA$92)&lt;=AsOfDate,EDATE($D78,Milestones!$AA$92)&gt;=SchemeStart,IF($X78=0,$AD78,IF(AND($Z78&lt;&gt;"",EDATE($D78,Milestones!$AA$92)&gt;=$Z78),$AC78,IF(AND($Y78&lt;&gt;"",EDATE($D78,Milestones!$AA$92)&gt;=$Y78),$AB78,$AA78)))=Milestones!$AB$92),UPPER(TEXT(EDATE($D78,Milestones!$AA$92),"dd mmm yy"))&amp;" "&amp;Milestones!$AB$92&amp;" "&amp;IF(AND(Milestones!$AB$92="FT",Milestones!$AA$92=FT_Y5,EDATE($D78,Milestones!$AA$92)&lt;PolicyEff),1,Milestones!$AC$92)&amp;";  ","")&amp;IF(AND(EDATE($D78,Milestones!$AA$93)&lt;=AsOfDate,EDATE($D78,Milestones!$AA$93)&gt;=SchemeStart,IF($X78=0,$AD78,IF(AND($Z78&lt;&gt;"",EDATE($D78,Milestones!$AA$93)&gt;=$Z78),$AC78,IF(AND($Y78&lt;&gt;"",EDATE($D78,Milestones!$AA$93)&gt;=$Y78),$AB78,$AA78)))=Milestones!$AB$93),UPPER(TEXT(EDATE($D78,Milestones!$AA$93),"dd mmm yy"))&amp;" "&amp;Milestones!$AB$93&amp;" "&amp;IF(AND(Milestones!$AB$93="FT",Milestones!$AA$93=FT_Y5,EDATE($D78,Milestones!$AA$93)&lt;PolicyEff),1,Milestones!$AC$93)&amp;";  ","")&amp;IF(AND(EDATE($D78,Milestones!$AA$94)&lt;=AsOfDate,EDATE($D78,Milestones!$AA$94)&gt;=SchemeStart,IF($X78=0,$AD78,IF(AND($Z78&lt;&gt;"",EDATE($D78,Milestones!$AA$94)&gt;=$Z78),$AC78,IF(AND($Y78&lt;&gt;"",EDATE($D78,Milestones!$AA$94)&gt;=$Y78),$AB78,$AA78)))=Milestones!$AB$94),UPPER(TEXT(EDATE($D78,Milestones!$AA$94),"dd mmm yy"))&amp;" "&amp;Milestones!$AB$94&amp;" "&amp;IF(AND(Milestones!$AB$94="FT",Milestones!$AA$94=FT_Y5,EDATE($D78,Milestones!$AA$94)&lt;PolicyEff),1,Milestones!$AC$94)&amp;";  ","")&amp;IF(AND(EDATE($D78,Milestones!$AA$95)&lt;=AsOfDate,EDATE($D78,Milestones!$AA$95)&gt;=SchemeStart,IF($X78=0,$AD78,IF(AND($Z78&lt;&gt;"",EDATE($D78,Milestones!$AA$95)&gt;=$Z78),$AC78,IF(AND($Y78&lt;&gt;"",EDATE($D78,Milestones!$AA$95)&gt;=$Y78),$AB78,$AA78)))=Milestones!$AB$95),UPPER(TEXT(EDATE($D78,Milestones!$AA$95),"dd mmm yy"))&amp;" "&amp;Milestones!$AB$95&amp;" "&amp;IF(AND(Milestones!$AB$95="FT",Milestones!$AA$95=FT_Y5,EDATE($D78,Milestones!$AA$95)&lt;PolicyEff),1,Milestones!$AC$95)&amp;";  ","")&amp;IF(AND(EDATE($D78,Milestones!$AA$96)&lt;=AsOfDate,EDATE($D78,Milestones!$AA$96)&gt;=SchemeStart,IF($X78=0,$AD78,IF(AND($Z78&lt;&gt;"",EDATE($D78,Milestones!$AA$96)&gt;=$Z78),$AC78,IF(AND($Y78&lt;&gt;"",EDATE($D78,Milestones!$AA$96)&gt;=$Y78),$AB78,$AA78)))=Milestones!$AB$96),UPPER(TEXT(EDATE($D78,Milestones!$AA$96),"dd mmm yy"))&amp;" "&amp;Milestones!$AB$96&amp;" "&amp;IF(AND(Milestones!$AB$96="FT",Milestones!$AA$96=FT_Y5,EDATE($D78,Milestones!$AA$96)&lt;PolicyEff),1,Milestones!$AC$96)&amp;";  ","")&amp;IF(AND(EDATE($D78,Milestones!$AA$97)&lt;=AsOfDate,EDATE($D78,Milestones!$AA$97)&gt;=SchemeStart,IF($X78=0,$AD78,IF(AND($Z78&lt;&gt;"",EDATE($D78,Milestones!$AA$97)&gt;=$Z78),$AC78,IF(AND($Y78&lt;&gt;"",EDATE($D78,Milestones!$AA$97)&gt;=$Y78),$AB78,$AA78)))=Milestones!$AB$97),UPPER(TEXT(EDATE($D78,Milestones!$AA$97),"dd mmm yy"))&amp;" "&amp;Milestones!$AB$97&amp;" "&amp;IF(AND(Milestones!$AB$97="FT",Milestones!$AA$97=FT_Y5,EDATE($D78,Milestones!$AA$97)&lt;PolicyEff),1,Milestones!$AC$97)&amp;";  ","")&amp;IF(AND(EDATE($D78,Milestones!$AA$98)&lt;=AsOfDate,EDATE($D78,Milestones!$AA$98)&gt;=SchemeStart,IF($X78=0,$AD78,IF(AND($Z78&lt;&gt;"",EDATE($D78,Milestones!$AA$98)&gt;=$Z78),$AC78,IF(AND($Y78&lt;&gt;"",EDATE($D78,Milestones!$AA$98)&gt;=$Y78),$AB78,$AA78)))=Milestones!$AB$98),UPPER(TEXT(EDATE($D78,Milestones!$AA$98),"dd mmm yy"))&amp;" "&amp;Milestones!$AB$98&amp;" "&amp;IF(AND(Milestones!$AB$98="FT",Milestones!$AA$98=FT_Y5,EDATE($D78,Milestones!$AA$98)&lt;PolicyEff),1,Milestones!$AC$98)&amp;";  ","")&amp;IF(AND(EDATE($D78,Milestones!$AA$99)&lt;=AsOfDate,EDATE($D78,Milestones!$AA$99)&gt;=SchemeStart,IF($X78=0,$AD78,IF(AND($Z78&lt;&gt;"",EDATE($D78,Milestones!$AA$99)&gt;=$Z78),$AC78,IF(AND($Y78&lt;&gt;"",EDATE($D78,Milestones!$AA$99)&gt;=$Y78),$AB78,$AA78)))=Milestones!$AB$99),UPPER(TEXT(EDATE($D78,Milestones!$AA$99),"dd mmm yy"))&amp;" "&amp;Milestones!$AB$99&amp;" "&amp;IF(AND(Milestones!$AB$99="FT",Milestones!$AA$99=FT_Y5,EDATE($D78,Milestones!$AA$99)&lt;PolicyEff),1,Milestones!$AC$99)&amp;";  ","")&amp;IF(AND(EDATE($D78,Milestones!$AA$100)&lt;=AsOfDate,EDATE($D78,Milestones!$AA$100)&gt;=SchemeStart,IF($X78=0,$AD78,IF(AND($Z78&lt;&gt;"",EDATE($D78,Milestones!$AA$100)&gt;=$Z78),$AC78,IF(AND($Y78&lt;&gt;"",EDATE($D78,Milestones!$AA$100)&gt;=$Y78),$AB78,$AA78)))=Milestones!$AB$100),UPPER(TEXT(EDATE($D78,Milestones!$AA$100),"dd mmm yy"))&amp;" "&amp;Milestones!$AB$100&amp;" "&amp;IF(AND(Milestones!$AB$100="FT",Milestones!$AA$100=FT_Y5,EDATE($D78,Milestones!$AA$100)&lt;PolicyEff),1,Milestones!$AC$100)&amp;";  ","")&amp;IF(AND(EDATE($D78,Milestones!$AA$101)&lt;=AsOfDate,EDATE($D78,Milestones!$AA$101)&gt;=SchemeStart,IF($X78=0,$AD78,IF(AND($Z78&lt;&gt;"",EDATE($D78,Milestones!$AA$101)&gt;=$Z78),$AC78,IF(AND($Y78&lt;&gt;"",EDATE($D78,Milestones!$AA$101)&gt;=$Y78),$AB78,$AA78)))=Milestones!$AB$101),UPPER(TEXT(EDATE($D78,Milestones!$AA$101),"dd mmm yy"))&amp;" "&amp;Milestones!$AB$101&amp;" "&amp;IF(AND(Milestones!$AB$101="FT",Milestones!$AA$101=FT_Y5,EDATE($D78,Milestones!$AA$101)&lt;PolicyEff),1,Milestones!$AC$101)&amp;";  ","")&amp;IF(AND(EDATE($D78,Milestones!$AA$102)&lt;=AsOfDate,EDATE($D78,Milestones!$AA$102)&gt;=SchemeStart,IF($X78=0,$AD78,IF(AND($Z78&lt;&gt;"",EDATE($D78,Milestones!$AA$102)&gt;=$Z78),$AC78,IF(AND($Y78&lt;&gt;"",EDATE($D78,Milestones!$AA$102)&gt;=$Y78),$AB78,$AA78)))=Milestones!$AB$102),UPPER(TEXT(EDATE($D78,Milestones!$AA$102),"dd mmm yy"))&amp;" "&amp;Milestones!$AB$102&amp;" "&amp;IF(AND(Milestones!$AB$102="FT",Milestones!$AA$102=FT_Y5,EDATE($D78,Milestones!$AA$102)&lt;PolicyEff),1,Milestones!$AC$102)&amp;";  ","")&amp;IF(AND(EDATE($D78,Milestones!$AA$103)&lt;=AsOfDate,EDATE($D78,Milestones!$AA$103)&gt;=SchemeStart,IF($X78=0,$AD78,IF(AND($Z78&lt;&gt;"",EDATE($D78,Milestones!$AA$103)&gt;=$Z78),$AC78,IF(AND($Y78&lt;&gt;"",EDATE($D78,Milestones!$AA$103)&gt;=$Y78),$AB78,$AA78)))=Milestones!$AB$103),UPPER(TEXT(EDATE($D78,Milestones!$AA$103),"dd mmm yy"))&amp;" "&amp;Milestones!$AB$103&amp;" "&amp;IF(AND(Milestones!$AB$103="FT",Milestones!$AA$103=FT_Y5,EDATE($D78,Milestones!$AA$103)&lt;PolicyEff),1,Milestones!$AC$103)&amp;";  ",""))</f>
        <v/>
      </c>
      <c r="P78" s="0" t="str">
        <f aca="false">IF(OR($A78="",$D78=""),"",IF(AND(EDATE($D78,Milestones!$AA$104)&lt;=AsOfDate,EDATE($D78,Milestones!$AA$104)&gt;=SchemeStart,IF($X78=0,$AD78,IF(AND($Z78&lt;&gt;"",EDATE($D78,Milestones!$AA$104)&gt;=$Z78),$AC78,IF(AND($Y78&lt;&gt;"",EDATE($D78,Milestones!$AA$104)&gt;=$Y78),$AB78,$AA78)))=Milestones!$AB$104),UPPER(TEXT(EDATE($D78,Milestones!$AA$104),"dd mmm yy"))&amp;" "&amp;Milestones!$AB$104&amp;" "&amp;IF(AND(Milestones!$AB$104="FT",Milestones!$AA$104=FT_Y5,EDATE($D78,Milestones!$AA$104)&lt;PolicyEff),1,Milestones!$AC$104)&amp;";  ","")&amp;IF(AND(EDATE($D78,Milestones!$AA$105)&lt;=AsOfDate,EDATE($D78,Milestones!$AA$105)&gt;=SchemeStart,IF($X78=0,$AD78,IF(AND($Z78&lt;&gt;"",EDATE($D78,Milestones!$AA$105)&gt;=$Z78),$AC78,IF(AND($Y78&lt;&gt;"",EDATE($D78,Milestones!$AA$105)&gt;=$Y78),$AB78,$AA78)))=Milestones!$AB$105),UPPER(TEXT(EDATE($D78,Milestones!$AA$105),"dd mmm yy"))&amp;" "&amp;Milestones!$AB$105&amp;" "&amp;IF(AND(Milestones!$AB$105="FT",Milestones!$AA$105=FT_Y5,EDATE($D78,Milestones!$AA$105)&lt;PolicyEff),1,Milestones!$AC$105)&amp;";  ","")&amp;IF(AND(EDATE($D78,Milestones!$AA$106)&lt;=AsOfDate,EDATE($D78,Milestones!$AA$106)&gt;=SchemeStart,IF($X78=0,$AD78,IF(AND($Z78&lt;&gt;"",EDATE($D78,Milestones!$AA$106)&gt;=$Z78),$AC78,IF(AND($Y78&lt;&gt;"",EDATE($D78,Milestones!$AA$106)&gt;=$Y78),$AB78,$AA78)))=Milestones!$AB$106),UPPER(TEXT(EDATE($D78,Milestones!$AA$106),"dd mmm yy"))&amp;" "&amp;Milestones!$AB$106&amp;" "&amp;IF(AND(Milestones!$AB$106="FT",Milestones!$AA$106=FT_Y5,EDATE($D78,Milestones!$AA$106)&lt;PolicyEff),1,Milestones!$AC$106)&amp;";  ","")&amp;IF(AND(EDATE($D78,Milestones!$AA$107)&lt;=AsOfDate,EDATE($D78,Milestones!$AA$107)&gt;=SchemeStart,IF($X78=0,$AD78,IF(AND($Z78&lt;&gt;"",EDATE($D78,Milestones!$AA$107)&gt;=$Z78),$AC78,IF(AND($Y78&lt;&gt;"",EDATE($D78,Milestones!$AA$107)&gt;=$Y78),$AB78,$AA78)))=Milestones!$AB$107),UPPER(TEXT(EDATE($D78,Milestones!$AA$107),"dd mmm yy"))&amp;" "&amp;Milestones!$AB$107&amp;" "&amp;IF(AND(Milestones!$AB$107="FT",Milestones!$AA$107=FT_Y5,EDATE($D78,Milestones!$AA$107)&lt;PolicyEff),1,Milestones!$AC$107)&amp;";  ","")&amp;IF(AND(EDATE($D78,Milestones!$AA$108)&lt;=AsOfDate,EDATE($D78,Milestones!$AA$108)&gt;=SchemeStart,IF($X78=0,$AD78,IF(AND($Z78&lt;&gt;"",EDATE($D78,Milestones!$AA$108)&gt;=$Z78),$AC78,IF(AND($Y78&lt;&gt;"",EDATE($D78,Milestones!$AA$108)&gt;=$Y78),$AB78,$AA78)))=Milestones!$AB$108),UPPER(TEXT(EDATE($D78,Milestones!$AA$108),"dd mmm yy"))&amp;" "&amp;Milestones!$AB$108&amp;" "&amp;IF(AND(Milestones!$AB$108="FT",Milestones!$AA$108=FT_Y5,EDATE($D78,Milestones!$AA$108)&lt;PolicyEff),1,Milestones!$AC$108)&amp;";  ","")&amp;IF(AND(EDATE($D78,Milestones!$AA$109)&lt;=AsOfDate,EDATE($D78,Milestones!$AA$109)&gt;=SchemeStart,IF($X78=0,$AD78,IF(AND($Z78&lt;&gt;"",EDATE($D78,Milestones!$AA$109)&gt;=$Z78),$AC78,IF(AND($Y78&lt;&gt;"",EDATE($D78,Milestones!$AA$109)&gt;=$Y78),$AB78,$AA78)))=Milestones!$AB$109),UPPER(TEXT(EDATE($D78,Milestones!$AA$109),"dd mmm yy"))&amp;" "&amp;Milestones!$AB$109&amp;" "&amp;IF(AND(Milestones!$AB$109="FT",Milestones!$AA$109=FT_Y5,EDATE($D78,Milestones!$AA$109)&lt;PolicyEff),1,Milestones!$AC$109)&amp;";  ","")&amp;IF(AND(EDATE($D78,Milestones!$AA$110)&lt;=AsOfDate,EDATE($D78,Milestones!$AA$110)&gt;=SchemeStart,IF($X78=0,$AD78,IF(AND($Z78&lt;&gt;"",EDATE($D78,Milestones!$AA$110)&gt;=$Z78),$AC78,IF(AND($Y78&lt;&gt;"",EDATE($D78,Milestones!$AA$110)&gt;=$Y78),$AB78,$AA78)))=Milestones!$AB$110),UPPER(TEXT(EDATE($D78,Milestones!$AA$110),"dd mmm yy"))&amp;" "&amp;Milestones!$AB$110&amp;" "&amp;IF(AND(Milestones!$AB$110="FT",Milestones!$AA$110=FT_Y5,EDATE($D78,Milestones!$AA$110)&lt;PolicyEff),1,Milestones!$AC$110)&amp;";  ","")&amp;IF(AND(EDATE($D78,Milestones!$AA$111)&lt;=AsOfDate,EDATE($D78,Milestones!$AA$111)&gt;=SchemeStart,IF($X78=0,$AD78,IF(AND($Z78&lt;&gt;"",EDATE($D78,Milestones!$AA$111)&gt;=$Z78),$AC78,IF(AND($Y78&lt;&gt;"",EDATE($D78,Milestones!$AA$111)&gt;=$Y78),$AB78,$AA78)))=Milestones!$AB$111),UPPER(TEXT(EDATE($D78,Milestones!$AA$111),"dd mmm yy"))&amp;" "&amp;Milestones!$AB$111&amp;" "&amp;IF(AND(Milestones!$AB$111="FT",Milestones!$AA$111=FT_Y5,EDATE($D78,Milestones!$AA$111)&lt;PolicyEff),1,Milestones!$AC$111)&amp;";  ","")&amp;IF(AND(EDATE($D78,Milestones!$AA$112)&lt;=AsOfDate,EDATE($D78,Milestones!$AA$112)&gt;=SchemeStart,IF($X78=0,$AD78,IF(AND($Z78&lt;&gt;"",EDATE($D78,Milestones!$AA$112)&gt;=$Z78),$AC78,IF(AND($Y78&lt;&gt;"",EDATE($D78,Milestones!$AA$112)&gt;=$Y78),$AB78,$AA78)))=Milestones!$AB$112),UPPER(TEXT(EDATE($D78,Milestones!$AA$112),"dd mmm yy"))&amp;" "&amp;Milestones!$AB$112&amp;" "&amp;IF(AND(Milestones!$AB$112="FT",Milestones!$AA$112=FT_Y5,EDATE($D78,Milestones!$AA$112)&lt;PolicyEff),1,Milestones!$AC$112)&amp;";  ","")&amp;IF(AND(EDATE($D78,Milestones!$AA$113)&lt;=AsOfDate,EDATE($D78,Milestones!$AA$113)&gt;=SchemeStart,IF($X78=0,$AD78,IF(AND($Z78&lt;&gt;"",EDATE($D78,Milestones!$AA$113)&gt;=$Z78),$AC78,IF(AND($Y78&lt;&gt;"",EDATE($D78,Milestones!$AA$113)&gt;=$Y78),$AB78,$AA78)))=Milestones!$AB$113),UPPER(TEXT(EDATE($D78,Milestones!$AA$113),"dd mmm yy"))&amp;" "&amp;Milestones!$AB$113&amp;" "&amp;IF(AND(Milestones!$AB$113="FT",Milestones!$AA$113=FT_Y5,EDATE($D78,Milestones!$AA$113)&lt;PolicyEff),1,Milestones!$AC$113)&amp;";  ","")&amp;IF(AND(EDATE($D78,Milestones!$AA$114)&lt;=AsOfDate,EDATE($D78,Milestones!$AA$114)&gt;=SchemeStart,IF($X78=0,$AD78,IF(AND($Z78&lt;&gt;"",EDATE($D78,Milestones!$AA$114)&gt;=$Z78),$AC78,IF(AND($Y78&lt;&gt;"",EDATE($D78,Milestones!$AA$114)&gt;=$Y78),$AB78,$AA78)))=Milestones!$AB$114),UPPER(TEXT(EDATE($D78,Milestones!$AA$114),"dd mmm yy"))&amp;" "&amp;Milestones!$AB$114&amp;" "&amp;IF(AND(Milestones!$AB$114="FT",Milestones!$AA$114=FT_Y5,EDATE($D78,Milestones!$AA$114)&lt;PolicyEff),1,Milestones!$AC$114)&amp;";  ","")&amp;IF(AND(EDATE($D78,Milestones!$AA$115)&lt;=AsOfDate,EDATE($D78,Milestones!$AA$115)&gt;=SchemeStart,IF($X78=0,$AD78,IF(AND($Z78&lt;&gt;"",EDATE($D78,Milestones!$AA$115)&gt;=$Z78),$AC78,IF(AND($Y78&lt;&gt;"",EDATE($D78,Milestones!$AA$115)&gt;=$Y78),$AB78,$AA78)))=Milestones!$AB$115),UPPER(TEXT(EDATE($D78,Milestones!$AA$115),"dd mmm yy"))&amp;" "&amp;Milestones!$AB$115&amp;" "&amp;IF(AND(Milestones!$AB$115="FT",Milestones!$AA$115=FT_Y5,EDATE($D78,Milestones!$AA$115)&lt;PolicyEff),1,Milestones!$AC$115)&amp;";  ",""))</f>
        <v/>
      </c>
      <c r="Q78" s="0" t="str">
        <f aca="false">IF(OR($A78="",$D78=""),"",IF(AND(EDATE($D78,Milestones!$AA$116)&lt;=AsOfDate,EDATE($D78,Milestones!$AA$116)&gt;=SchemeStart,IF($X78=0,$AD78,IF(AND($Z78&lt;&gt;"",EDATE($D78,Milestones!$AA$116)&gt;=$Z78),$AC78,IF(AND($Y78&lt;&gt;"",EDATE($D78,Milestones!$AA$116)&gt;=$Y78),$AB78,$AA78)))=Milestones!$AB$116),UPPER(TEXT(EDATE($D78,Milestones!$AA$116),"dd mmm yy"))&amp;" "&amp;Milestones!$AB$116&amp;" "&amp;IF(AND(Milestones!$AB$116="FT",Milestones!$AA$116=FT_Y5,EDATE($D78,Milestones!$AA$116)&lt;PolicyEff),1,Milestones!$AC$116)&amp;";  ","")&amp;IF(AND(EDATE($D78,Milestones!$AA$117)&lt;=AsOfDate,EDATE($D78,Milestones!$AA$117)&gt;=SchemeStart,IF($X78=0,$AD78,IF(AND($Z78&lt;&gt;"",EDATE($D78,Milestones!$AA$117)&gt;=$Z78),$AC78,IF(AND($Y78&lt;&gt;"",EDATE($D78,Milestones!$AA$117)&gt;=$Y78),$AB78,$AA78)))=Milestones!$AB$117),UPPER(TEXT(EDATE($D78,Milestones!$AA$117),"dd mmm yy"))&amp;" "&amp;Milestones!$AB$117&amp;" "&amp;IF(AND(Milestones!$AB$117="FT",Milestones!$AA$117=FT_Y5,EDATE($D78,Milestones!$AA$117)&lt;PolicyEff),1,Milestones!$AC$117)&amp;";  ","")&amp;IF(AND(EDATE($D78,Milestones!$AA$118)&lt;=AsOfDate,EDATE($D78,Milestones!$AA$118)&gt;=SchemeStart,IF($X78=0,$AD78,IF(AND($Z78&lt;&gt;"",EDATE($D78,Milestones!$AA$118)&gt;=$Z78),$AC78,IF(AND($Y78&lt;&gt;"",EDATE($D78,Milestones!$AA$118)&gt;=$Y78),$AB78,$AA78)))=Milestones!$AB$118),UPPER(TEXT(EDATE($D78,Milestones!$AA$118),"dd mmm yy"))&amp;" "&amp;Milestones!$AB$118&amp;" "&amp;IF(AND(Milestones!$AB$118="FT",Milestones!$AA$118=FT_Y5,EDATE($D78,Milestones!$AA$118)&lt;PolicyEff),1,Milestones!$AC$118)&amp;";  ","")&amp;IF(AND(EDATE($D78,Milestones!$AA$119)&lt;=AsOfDate,EDATE($D78,Milestones!$AA$119)&gt;=SchemeStart,IF($X78=0,$AD78,IF(AND($Z78&lt;&gt;"",EDATE($D78,Milestones!$AA$119)&gt;=$Z78),$AC78,IF(AND($Y78&lt;&gt;"",EDATE($D78,Milestones!$AA$119)&gt;=$Y78),$AB78,$AA78)))=Milestones!$AB$119),UPPER(TEXT(EDATE($D78,Milestones!$AA$119),"dd mmm yy"))&amp;" "&amp;Milestones!$AB$119&amp;" "&amp;IF(AND(Milestones!$AB$119="FT",Milestones!$AA$119=FT_Y5,EDATE($D78,Milestones!$AA$119)&lt;PolicyEff),1,Milestones!$AC$119)&amp;";  ","")&amp;IF(AND(EDATE($D78,Milestones!$AA$120)&lt;=AsOfDate,EDATE($D78,Milestones!$AA$120)&gt;=SchemeStart,IF($X78=0,$AD78,IF(AND($Z78&lt;&gt;"",EDATE($D78,Milestones!$AA$120)&gt;=$Z78),$AC78,IF(AND($Y78&lt;&gt;"",EDATE($D78,Milestones!$AA$120)&gt;=$Y78),$AB78,$AA78)))=Milestones!$AB$120),UPPER(TEXT(EDATE($D78,Milestones!$AA$120),"dd mmm yy"))&amp;" "&amp;Milestones!$AB$120&amp;" "&amp;IF(AND(Milestones!$AB$120="FT",Milestones!$AA$120=FT_Y5,EDATE($D78,Milestones!$AA$120)&lt;PolicyEff),1,Milestones!$AC$120)&amp;";  ","")&amp;IF(AND(EDATE($D78,Milestones!$AA$121)&lt;=AsOfDate,EDATE($D78,Milestones!$AA$121)&gt;=SchemeStart,IF($X78=0,$AD78,IF(AND($Z78&lt;&gt;"",EDATE($D78,Milestones!$AA$121)&gt;=$Z78),$AC78,IF(AND($Y78&lt;&gt;"",EDATE($D78,Milestones!$AA$121)&gt;=$Y78),$AB78,$AA78)))=Milestones!$AB$121),UPPER(TEXT(EDATE($D78,Milestones!$AA$121),"dd mmm yy"))&amp;" "&amp;Milestones!$AB$121&amp;" "&amp;IF(AND(Milestones!$AB$121="FT",Milestones!$AA$121=FT_Y5,EDATE($D78,Milestones!$AA$121)&lt;PolicyEff),1,Milestones!$AC$121)&amp;";  ","")&amp;IF(AND(EDATE($D78,Milestones!$AA$122)&lt;=AsOfDate,EDATE($D78,Milestones!$AA$122)&gt;=SchemeStart,IF($X78=0,$AD78,IF(AND($Z78&lt;&gt;"",EDATE($D78,Milestones!$AA$122)&gt;=$Z78),$AC78,IF(AND($Y78&lt;&gt;"",EDATE($D78,Milestones!$AA$122)&gt;=$Y78),$AB78,$AA78)))=Milestones!$AB$122),UPPER(TEXT(EDATE($D78,Milestones!$AA$122),"dd mmm yy"))&amp;" "&amp;Milestones!$AB$122&amp;" "&amp;IF(AND(Milestones!$AB$122="FT",Milestones!$AA$122=FT_Y5,EDATE($D78,Milestones!$AA$122)&lt;PolicyEff),1,Milestones!$AC$122)&amp;";  ","")&amp;IF(AND(EDATE($D78,Milestones!$AA$123)&lt;=AsOfDate,EDATE($D78,Milestones!$AA$123)&gt;=SchemeStart,IF($X78=0,$AD78,IF(AND($Z78&lt;&gt;"",EDATE($D78,Milestones!$AA$123)&gt;=$Z78),$AC78,IF(AND($Y78&lt;&gt;"",EDATE($D78,Milestones!$AA$123)&gt;=$Y78),$AB78,$AA78)))=Milestones!$AB$123),UPPER(TEXT(EDATE($D78,Milestones!$AA$123),"dd mmm yy"))&amp;" "&amp;Milestones!$AB$123&amp;" "&amp;IF(AND(Milestones!$AB$123="FT",Milestones!$AA$123=FT_Y5,EDATE($D78,Milestones!$AA$123)&lt;PolicyEff),1,Milestones!$AC$123)&amp;";  ","")&amp;IF(AND(EDATE($D78,Milestones!$AA$124)&lt;=AsOfDate,EDATE($D78,Milestones!$AA$124)&gt;=SchemeStart,IF($X78=0,$AD78,IF(AND($Z78&lt;&gt;"",EDATE($D78,Milestones!$AA$124)&gt;=$Z78),$AC78,IF(AND($Y78&lt;&gt;"",EDATE($D78,Milestones!$AA$124)&gt;=$Y78),$AB78,$AA78)))=Milestones!$AB$124),UPPER(TEXT(EDATE($D78,Milestones!$AA$124),"dd mmm yy"))&amp;" "&amp;Milestones!$AB$124&amp;" "&amp;IF(AND(Milestones!$AB$124="FT",Milestones!$AA$124=FT_Y5,EDATE($D78,Milestones!$AA$124)&lt;PolicyEff),1,Milestones!$AC$124)&amp;";  ","")&amp;IF(AND(EDATE($D78,Milestones!$AA$125)&lt;=AsOfDate,EDATE($D78,Milestones!$AA$125)&gt;=SchemeStart,IF($X78=0,$AD78,IF(AND($Z78&lt;&gt;"",EDATE($D78,Milestones!$AA$125)&gt;=$Z78),$AC78,IF(AND($Y78&lt;&gt;"",EDATE($D78,Milestones!$AA$125)&gt;=$Y78),$AB78,$AA78)))=Milestones!$AB$125),UPPER(TEXT(EDATE($D78,Milestones!$AA$125),"dd mmm yy"))&amp;" "&amp;Milestones!$AB$125&amp;" "&amp;IF(AND(Milestones!$AB$125="FT",Milestones!$AA$125=FT_Y5,EDATE($D78,Milestones!$AA$125)&lt;PolicyEff),1,Milestones!$AC$125)&amp;";  ","")&amp;IF(AND(EDATE($D78,Milestones!$AA$126)&lt;=AsOfDate,EDATE($D78,Milestones!$AA$126)&gt;=SchemeStart,IF($X78=0,$AD78,IF(AND($Z78&lt;&gt;"",EDATE($D78,Milestones!$AA$126)&gt;=$Z78),$AC78,IF(AND($Y78&lt;&gt;"",EDATE($D78,Milestones!$AA$126)&gt;=$Y78),$AB78,$AA78)))=Milestones!$AB$126),UPPER(TEXT(EDATE($D78,Milestones!$AA$126),"dd mmm yy"))&amp;" "&amp;Milestones!$AB$126&amp;" "&amp;IF(AND(Milestones!$AB$126="FT",Milestones!$AA$126=FT_Y5,EDATE($D78,Milestones!$AA$126)&lt;PolicyEff),1,Milestones!$AC$126)&amp;";  ","")&amp;IF(AND(EDATE($D78,Milestones!$AA$127)&lt;=AsOfDate,EDATE($D78,Milestones!$AA$127)&gt;=SchemeStart,IF($X78=0,$AD78,IF(AND($Z78&lt;&gt;"",EDATE($D78,Milestones!$AA$127)&gt;=$Z78),$AC78,IF(AND($Y78&lt;&gt;"",EDATE($D78,Milestones!$AA$127)&gt;=$Y78),$AB78,$AA78)))=Milestones!$AB$127),UPPER(TEXT(EDATE($D78,Milestones!$AA$127),"dd mmm yy"))&amp;" "&amp;Milestones!$AB$127&amp;" "&amp;IF(AND(Milestones!$AB$127="FT",Milestones!$AA$127=FT_Y5,EDATE($D78,Milestones!$AA$127)&lt;PolicyEff),1,Milestones!$AC$127)&amp;";  ",""))</f>
        <v/>
      </c>
      <c r="R78" s="0" t="str">
        <f aca="false">IF(OR($A78="",$D78=""),"",IF(AND(EDATE($D78,Milestones!$AA$128)&lt;=AsOfDate,EDATE($D78,Milestones!$AA$128)&gt;=SchemeStart,IF($X78=0,$AD78,IF(AND($Z78&lt;&gt;"",EDATE($D78,Milestones!$AA$128)&gt;=$Z78),$AC78,IF(AND($Y78&lt;&gt;"",EDATE($D78,Milestones!$AA$128)&gt;=$Y78),$AB78,$AA78)))=Milestones!$AB$128),UPPER(TEXT(EDATE($D78,Milestones!$AA$128),"dd mmm yy"))&amp;" "&amp;Milestones!$AB$128&amp;" "&amp;IF(AND(Milestones!$AB$128="FT",Milestones!$AA$128=FT_Y5,EDATE($D78,Milestones!$AA$128)&lt;PolicyEff),1,Milestones!$AC$128)&amp;";  ","")&amp;IF(AND(EDATE($D78,Milestones!$AA$129)&lt;=AsOfDate,EDATE($D78,Milestones!$AA$129)&gt;=SchemeStart,IF($X78=0,$AD78,IF(AND($Z78&lt;&gt;"",EDATE($D78,Milestones!$AA$129)&gt;=$Z78),$AC78,IF(AND($Y78&lt;&gt;"",EDATE($D78,Milestones!$AA$129)&gt;=$Y78),$AB78,$AA78)))=Milestones!$AB$129),UPPER(TEXT(EDATE($D78,Milestones!$AA$129),"dd mmm yy"))&amp;" "&amp;Milestones!$AB$129&amp;" "&amp;IF(AND(Milestones!$AB$129="FT",Milestones!$AA$129=FT_Y5,EDATE($D78,Milestones!$AA$129)&lt;PolicyEff),1,Milestones!$AC$129)&amp;";  ","")&amp;IF(AND(EDATE($D78,Milestones!$AA$130)&lt;=AsOfDate,EDATE($D78,Milestones!$AA$130)&gt;=SchemeStart,IF($X78=0,$AD78,IF(AND($Z78&lt;&gt;"",EDATE($D78,Milestones!$AA$130)&gt;=$Z78),$AC78,IF(AND($Y78&lt;&gt;"",EDATE($D78,Milestones!$AA$130)&gt;=$Y78),$AB78,$AA78)))=Milestones!$AB$130),UPPER(TEXT(EDATE($D78,Milestones!$AA$130),"dd mmm yy"))&amp;" "&amp;Milestones!$AB$130&amp;" "&amp;IF(AND(Milestones!$AB$130="FT",Milestones!$AA$130=FT_Y5,EDATE($D78,Milestones!$AA$130)&lt;PolicyEff),1,Milestones!$AC$130)&amp;";  ","")&amp;IF(AND(EDATE($D78,Milestones!$AA$131)&lt;=AsOfDate,EDATE($D78,Milestones!$AA$131)&gt;=SchemeStart,IF($X78=0,$AD78,IF(AND($Z78&lt;&gt;"",EDATE($D78,Milestones!$AA$131)&gt;=$Z78),$AC78,IF(AND($Y78&lt;&gt;"",EDATE($D78,Milestones!$AA$131)&gt;=$Y78),$AB78,$AA78)))=Milestones!$AB$131),UPPER(TEXT(EDATE($D78,Milestones!$AA$131),"dd mmm yy"))&amp;" "&amp;Milestones!$AB$131&amp;" "&amp;IF(AND(Milestones!$AB$131="FT",Milestones!$AA$131=FT_Y5,EDATE($D78,Milestones!$AA$131)&lt;PolicyEff),1,Milestones!$AC$131)&amp;";  ","")&amp;IF(AND(EDATE($D78,Milestones!$AA$132)&lt;=AsOfDate,EDATE($D78,Milestones!$AA$132)&gt;=SchemeStart,IF($X78=0,$AD78,IF(AND($Z78&lt;&gt;"",EDATE($D78,Milestones!$AA$132)&gt;=$Z78),$AC78,IF(AND($Y78&lt;&gt;"",EDATE($D78,Milestones!$AA$132)&gt;=$Y78),$AB78,$AA78)))=Milestones!$AB$132),UPPER(TEXT(EDATE($D78,Milestones!$AA$132),"dd mmm yy"))&amp;" "&amp;Milestones!$AB$132&amp;" "&amp;IF(AND(Milestones!$AB$132="FT",Milestones!$AA$132=FT_Y5,EDATE($D78,Milestones!$AA$132)&lt;PolicyEff),1,Milestones!$AC$132)&amp;";  ","")&amp;IF(AND(EDATE($D78,Milestones!$AA$133)&lt;=AsOfDate,EDATE($D78,Milestones!$AA$133)&gt;=SchemeStart,IF($X78=0,$AD78,IF(AND($Z78&lt;&gt;"",EDATE($D78,Milestones!$AA$133)&gt;=$Z78),$AC78,IF(AND($Y78&lt;&gt;"",EDATE($D78,Milestones!$AA$133)&gt;=$Y78),$AB78,$AA78)))=Milestones!$AB$133),UPPER(TEXT(EDATE($D78,Milestones!$AA$133),"dd mmm yy"))&amp;" "&amp;Milestones!$AB$133&amp;" "&amp;IF(AND(Milestones!$AB$133="FT",Milestones!$AA$133=FT_Y5,EDATE($D78,Milestones!$AA$133)&lt;PolicyEff),1,Milestones!$AC$133)&amp;";  ","")&amp;IF(AND(EDATE($D78,Milestones!$AA$134)&lt;=AsOfDate,EDATE($D78,Milestones!$AA$134)&gt;=SchemeStart,IF($X78=0,$AD78,IF(AND($Z78&lt;&gt;"",EDATE($D78,Milestones!$AA$134)&gt;=$Z78),$AC78,IF(AND($Y78&lt;&gt;"",EDATE($D78,Milestones!$AA$134)&gt;=$Y78),$AB78,$AA78)))=Milestones!$AB$134),UPPER(TEXT(EDATE($D78,Milestones!$AA$134),"dd mmm yy"))&amp;" "&amp;Milestones!$AB$134&amp;" "&amp;IF(AND(Milestones!$AB$134="FT",Milestones!$AA$134=FT_Y5,EDATE($D78,Milestones!$AA$134)&lt;PolicyEff),1,Milestones!$AC$134)&amp;";  ","")&amp;IF(AND(EDATE($D78,Milestones!$AA$135)&lt;=AsOfDate,EDATE($D78,Milestones!$AA$135)&gt;=SchemeStart,IF($X78=0,$AD78,IF(AND($Z78&lt;&gt;"",EDATE($D78,Milestones!$AA$135)&gt;=$Z78),$AC78,IF(AND($Y78&lt;&gt;"",EDATE($D78,Milestones!$AA$135)&gt;=$Y78),$AB78,$AA78)))=Milestones!$AB$135),UPPER(TEXT(EDATE($D78,Milestones!$AA$135),"dd mmm yy"))&amp;" "&amp;Milestones!$AB$135&amp;" "&amp;IF(AND(Milestones!$AB$135="FT",Milestones!$AA$135=FT_Y5,EDATE($D78,Milestones!$AA$135)&lt;PolicyEff),1,Milestones!$AC$135)&amp;";  ","")&amp;IF(AND(EDATE($D78,Milestones!$AA$136)&lt;=AsOfDate,EDATE($D78,Milestones!$AA$136)&gt;=SchemeStart,IF($X78=0,$AD78,IF(AND($Z78&lt;&gt;"",EDATE($D78,Milestones!$AA$136)&gt;=$Z78),$AC78,IF(AND($Y78&lt;&gt;"",EDATE($D78,Milestones!$AA$136)&gt;=$Y78),$AB78,$AA78)))=Milestones!$AB$136),UPPER(TEXT(EDATE($D78,Milestones!$AA$136),"dd mmm yy"))&amp;" "&amp;Milestones!$AB$136&amp;" "&amp;IF(AND(Milestones!$AB$136="FT",Milestones!$AA$136=FT_Y5,EDATE($D78,Milestones!$AA$136)&lt;PolicyEff),1,Milestones!$AC$136)&amp;";  ","")&amp;IF(AND(EDATE($D78,Milestones!$AA$137)&lt;=AsOfDate,EDATE($D78,Milestones!$AA$137)&gt;=SchemeStart,IF($X78=0,$AD78,IF(AND($Z78&lt;&gt;"",EDATE($D78,Milestones!$AA$137)&gt;=$Z78),$AC78,IF(AND($Y78&lt;&gt;"",EDATE($D78,Milestones!$AA$137)&gt;=$Y78),$AB78,$AA78)))=Milestones!$AB$137),UPPER(TEXT(EDATE($D78,Milestones!$AA$137),"dd mmm yy"))&amp;" "&amp;Milestones!$AB$137&amp;" "&amp;IF(AND(Milestones!$AB$137="FT",Milestones!$AA$137=FT_Y5,EDATE($D78,Milestones!$AA$137)&lt;PolicyEff),1,Milestones!$AC$137)&amp;";  ","")&amp;IF(AND(EDATE($D78,Milestones!$AA$138)&lt;=AsOfDate,EDATE($D78,Milestones!$AA$138)&gt;=SchemeStart,IF($X78=0,$AD78,IF(AND($Z78&lt;&gt;"",EDATE($D78,Milestones!$AA$138)&gt;=$Z78),$AC78,IF(AND($Y78&lt;&gt;"",EDATE($D78,Milestones!$AA$138)&gt;=$Y78),$AB78,$AA78)))=Milestones!$AB$138),UPPER(TEXT(EDATE($D78,Milestones!$AA$138),"dd mmm yy"))&amp;" "&amp;Milestones!$AB$138&amp;" "&amp;IF(AND(Milestones!$AB$138="FT",Milestones!$AA$138=FT_Y5,EDATE($D78,Milestones!$AA$138)&lt;PolicyEff),1,Milestones!$AC$138)&amp;";  ","")&amp;IF(AND(EDATE($D78,Milestones!$AA$139)&lt;=AsOfDate,EDATE($D78,Milestones!$AA$139)&gt;=SchemeStart,IF($X78=0,$AD78,IF(AND($Z78&lt;&gt;"",EDATE($D78,Milestones!$AA$139)&gt;=$Z78),$AC78,IF(AND($Y78&lt;&gt;"",EDATE($D78,Milestones!$AA$139)&gt;=$Y78),$AB78,$AA78)))=Milestones!$AB$139),UPPER(TEXT(EDATE($D78,Milestones!$AA$139),"dd mmm yy"))&amp;" "&amp;Milestones!$AB$139&amp;" "&amp;IF(AND(Milestones!$AB$139="FT",Milestones!$AA$139=FT_Y5,EDATE($D78,Milestones!$AA$139)&lt;PolicyEff),1,Milestones!$AC$139)&amp;";  ",""))</f>
        <v/>
      </c>
      <c r="S78" s="0" t="str">
        <f aca="false">IF(OR($A78="",$D78=""),"",IF(AND(EDATE($D78,Milestones!$AA$140)&lt;=AsOfDate,EDATE($D78,Milestones!$AA$140)&gt;=SchemeStart,IF($X78=0,$AD78,IF(AND($Z78&lt;&gt;"",EDATE($D78,Milestones!$AA$140)&gt;=$Z78),$AC78,IF(AND($Y78&lt;&gt;"",EDATE($D78,Milestones!$AA$140)&gt;=$Y78),$AB78,$AA78)))=Milestones!$AB$140),UPPER(TEXT(EDATE($D78,Milestones!$AA$140),"dd mmm yy"))&amp;" "&amp;Milestones!$AB$140&amp;" "&amp;IF(AND(Milestones!$AB$140="FT",Milestones!$AA$140=FT_Y5,EDATE($D78,Milestones!$AA$140)&lt;PolicyEff),1,Milestones!$AC$140)&amp;";  ","")&amp;IF(AND(EDATE($D78,Milestones!$AA$141)&lt;=AsOfDate,EDATE($D78,Milestones!$AA$141)&gt;=SchemeStart,IF($X78=0,$AD78,IF(AND($Z78&lt;&gt;"",EDATE($D78,Milestones!$AA$141)&gt;=$Z78),$AC78,IF(AND($Y78&lt;&gt;"",EDATE($D78,Milestones!$AA$141)&gt;=$Y78),$AB78,$AA78)))=Milestones!$AB$141),UPPER(TEXT(EDATE($D78,Milestones!$AA$141),"dd mmm yy"))&amp;" "&amp;Milestones!$AB$141&amp;" "&amp;IF(AND(Milestones!$AB$141="FT",Milestones!$AA$141=FT_Y5,EDATE($D78,Milestones!$AA$141)&lt;PolicyEff),1,Milestones!$AC$141)&amp;";  ","")&amp;IF(AND(EDATE($D78,Milestones!$AA$142)&lt;=AsOfDate,EDATE($D78,Milestones!$AA$142)&gt;=SchemeStart,IF($X78=0,$AD78,IF(AND($Z78&lt;&gt;"",EDATE($D78,Milestones!$AA$142)&gt;=$Z78),$AC78,IF(AND($Y78&lt;&gt;"",EDATE($D78,Milestones!$AA$142)&gt;=$Y78),$AB78,$AA78)))=Milestones!$AB$142),UPPER(TEXT(EDATE($D78,Milestones!$AA$142),"dd mmm yy"))&amp;" "&amp;Milestones!$AB$142&amp;" "&amp;IF(AND(Milestones!$AB$142="FT",Milestones!$AA$142=FT_Y5,EDATE($D78,Milestones!$AA$142)&lt;PolicyEff),1,Milestones!$AC$142)&amp;";  ","")&amp;IF(AND(EDATE($D78,Milestones!$AA$143)&lt;=AsOfDate,EDATE($D78,Milestones!$AA$143)&gt;=SchemeStart,IF($X78=0,$AD78,IF(AND($Z78&lt;&gt;"",EDATE($D78,Milestones!$AA$143)&gt;=$Z78),$AC78,IF(AND($Y78&lt;&gt;"",EDATE($D78,Milestones!$AA$143)&gt;=$Y78),$AB78,$AA78)))=Milestones!$AB$143),UPPER(TEXT(EDATE($D78,Milestones!$AA$143),"dd mmm yy"))&amp;" "&amp;Milestones!$AB$143&amp;" "&amp;IF(AND(Milestones!$AB$143="FT",Milestones!$AA$143=FT_Y5,EDATE($D78,Milestones!$AA$143)&lt;PolicyEff),1,Milestones!$AC$143)&amp;";  ","")&amp;IF(AND(EDATE($D78,Milestones!$AA$144)&lt;=AsOfDate,EDATE($D78,Milestones!$AA$144)&gt;=SchemeStart,IF($X78=0,$AD78,IF(AND($Z78&lt;&gt;"",EDATE($D78,Milestones!$AA$144)&gt;=$Z78),$AC78,IF(AND($Y78&lt;&gt;"",EDATE($D78,Milestones!$AA$144)&gt;=$Y78),$AB78,$AA78)))=Milestones!$AB$144),UPPER(TEXT(EDATE($D78,Milestones!$AA$144),"dd mmm yy"))&amp;" "&amp;Milestones!$AB$144&amp;" "&amp;IF(AND(Milestones!$AB$144="FT",Milestones!$AA$144=FT_Y5,EDATE($D78,Milestones!$AA$144)&lt;PolicyEff),1,Milestones!$AC$144)&amp;";  ","")&amp;IF(AND(EDATE($D78,Milestones!$AA$145)&lt;=AsOfDate,EDATE($D78,Milestones!$AA$145)&gt;=SchemeStart,IF($X78=0,$AD78,IF(AND($Z78&lt;&gt;"",EDATE($D78,Milestones!$AA$145)&gt;=$Z78),$AC78,IF(AND($Y78&lt;&gt;"",EDATE($D78,Milestones!$AA$145)&gt;=$Y78),$AB78,$AA78)))=Milestones!$AB$145),UPPER(TEXT(EDATE($D78,Milestones!$AA$145),"dd mmm yy"))&amp;" "&amp;Milestones!$AB$145&amp;" "&amp;IF(AND(Milestones!$AB$145="FT",Milestones!$AA$145=FT_Y5,EDATE($D78,Milestones!$AA$145)&lt;PolicyEff),1,Milestones!$AC$145)&amp;";  ","")&amp;IF(AND(EDATE($D78,Milestones!$AA$146)&lt;=AsOfDate,EDATE($D78,Milestones!$AA$146)&gt;=SchemeStart,IF($X78=0,$AD78,IF(AND($Z78&lt;&gt;"",EDATE($D78,Milestones!$AA$146)&gt;=$Z78),$AC78,IF(AND($Y78&lt;&gt;"",EDATE($D78,Milestones!$AA$146)&gt;=$Y78),$AB78,$AA78)))=Milestones!$AB$146),UPPER(TEXT(EDATE($D78,Milestones!$AA$146),"dd mmm yy"))&amp;" "&amp;Milestones!$AB$146&amp;" "&amp;IF(AND(Milestones!$AB$146="FT",Milestones!$AA$146=FT_Y5,EDATE($D78,Milestones!$AA$146)&lt;PolicyEff),1,Milestones!$AC$146)&amp;";  ","")&amp;IF(AND(EDATE($D78,Milestones!$AA$147)&lt;=AsOfDate,EDATE($D78,Milestones!$AA$147)&gt;=SchemeStart,IF($X78=0,$AD78,IF(AND($Z78&lt;&gt;"",EDATE($D78,Milestones!$AA$147)&gt;=$Z78),$AC78,IF(AND($Y78&lt;&gt;"",EDATE($D78,Milestones!$AA$147)&gt;=$Y78),$AB78,$AA78)))=Milestones!$AB$147),UPPER(TEXT(EDATE($D78,Milestones!$AA$147),"dd mmm yy"))&amp;" "&amp;Milestones!$AB$147&amp;" "&amp;IF(AND(Milestones!$AB$147="FT",Milestones!$AA$147=FT_Y5,EDATE($D78,Milestones!$AA$147)&lt;PolicyEff),1,Milestones!$AC$147)&amp;";  ","")&amp;IF(AND(EDATE($D78,Milestones!$AA$148)&lt;=AsOfDate,EDATE($D78,Milestones!$AA$148)&gt;=SchemeStart,IF($X78=0,$AD78,IF(AND($Z78&lt;&gt;"",EDATE($D78,Milestones!$AA$148)&gt;=$Z78),$AC78,IF(AND($Y78&lt;&gt;"",EDATE($D78,Milestones!$AA$148)&gt;=$Y78),$AB78,$AA78)))=Milestones!$AB$148),UPPER(TEXT(EDATE($D78,Milestones!$AA$148),"dd mmm yy"))&amp;" "&amp;Milestones!$AB$148&amp;" "&amp;IF(AND(Milestones!$AB$148="FT",Milestones!$AA$148=FT_Y5,EDATE($D78,Milestones!$AA$148)&lt;PolicyEff),1,Milestones!$AC$148)&amp;";  ","")&amp;IF(AND(EDATE($D78,Milestones!$AA$149)&lt;=AsOfDate,EDATE($D78,Milestones!$AA$149)&gt;=SchemeStart,IF($X78=0,$AD78,IF(AND($Z78&lt;&gt;"",EDATE($D78,Milestones!$AA$149)&gt;=$Z78),$AC78,IF(AND($Y78&lt;&gt;"",EDATE($D78,Milestones!$AA$149)&gt;=$Y78),$AB78,$AA78)))=Milestones!$AB$149),UPPER(TEXT(EDATE($D78,Milestones!$AA$149),"dd mmm yy"))&amp;" "&amp;Milestones!$AB$149&amp;" "&amp;IF(AND(Milestones!$AB$149="FT",Milestones!$AA$149=FT_Y5,EDATE($D78,Milestones!$AA$149)&lt;PolicyEff),1,Milestones!$AC$149)&amp;";  ","")&amp;IF(AND(EDATE($D78,Milestones!$AA$150)&lt;=AsOfDate,EDATE($D78,Milestones!$AA$150)&gt;=SchemeStart,IF($X78=0,$AD78,IF(AND($Z78&lt;&gt;"",EDATE($D78,Milestones!$AA$150)&gt;=$Z78),$AC78,IF(AND($Y78&lt;&gt;"",EDATE($D78,Milestones!$AA$150)&gt;=$Y78),$AB78,$AA78)))=Milestones!$AB$150),UPPER(TEXT(EDATE($D78,Milestones!$AA$150),"dd mmm yy"))&amp;" "&amp;Milestones!$AB$150&amp;" "&amp;IF(AND(Milestones!$AB$150="FT",Milestones!$AA$150=FT_Y5,EDATE($D78,Milestones!$AA$150)&lt;PolicyEff),1,Milestones!$AC$150)&amp;";  ","")&amp;IF(AND(EDATE($D78,Milestones!$AA$151)&lt;=AsOfDate,EDATE($D78,Milestones!$AA$151)&gt;=SchemeStart,IF($X78=0,$AD78,IF(AND($Z78&lt;&gt;"",EDATE($D78,Milestones!$AA$151)&gt;=$Z78),$AC78,IF(AND($Y78&lt;&gt;"",EDATE($D78,Milestones!$AA$151)&gt;=$Y78),$AB78,$AA78)))=Milestones!$AB$151),UPPER(TEXT(EDATE($D78,Milestones!$AA$151),"dd mmm yy"))&amp;" "&amp;Milestones!$AB$151&amp;" "&amp;IF(AND(Milestones!$AB$151="FT",Milestones!$AA$151=FT_Y5,EDATE($D78,Milestones!$AA$151)&lt;PolicyEff),1,Milestones!$AC$151)&amp;";  ",""))</f>
        <v/>
      </c>
      <c r="T78" s="0" t="str">
        <f aca="false">IF(OR($A78="",$D78=""),"",IF(AND(EDATE($D78,Milestones!$AA$152)&lt;=AsOfDate,EDATE($D78,Milestones!$AA$152)&gt;=SchemeStart,IF($X78=0,$AD78,IF(AND($Z78&lt;&gt;"",EDATE($D78,Milestones!$AA$152)&gt;=$Z78),$AC78,IF(AND($Y78&lt;&gt;"",EDATE($D78,Milestones!$AA$152)&gt;=$Y78),$AB78,$AA78)))=Milestones!$AB$152),UPPER(TEXT(EDATE($D78,Milestones!$AA$152),"dd mmm yy"))&amp;" "&amp;Milestones!$AB$152&amp;" "&amp;IF(AND(Milestones!$AB$152="FT",Milestones!$AA$152=FT_Y5,EDATE($D78,Milestones!$AA$152)&lt;PolicyEff),1,Milestones!$AC$152)&amp;";  ","")&amp;IF(AND(EDATE($D78,Milestones!$AA$153)&lt;=AsOfDate,EDATE($D78,Milestones!$AA$153)&gt;=SchemeStart,IF($X78=0,$AD78,IF(AND($Z78&lt;&gt;"",EDATE($D78,Milestones!$AA$153)&gt;=$Z78),$AC78,IF(AND($Y78&lt;&gt;"",EDATE($D78,Milestones!$AA$153)&gt;=$Y78),$AB78,$AA78)))=Milestones!$AB$153),UPPER(TEXT(EDATE($D78,Milestones!$AA$153),"dd mmm yy"))&amp;" "&amp;Milestones!$AB$153&amp;" "&amp;IF(AND(Milestones!$AB$153="FT",Milestones!$AA$153=FT_Y5,EDATE($D78,Milestones!$AA$153)&lt;PolicyEff),1,Milestones!$AC$153)&amp;";  ","")&amp;IF(AND(EDATE($D78,Milestones!$AA$154)&lt;=AsOfDate,EDATE($D78,Milestones!$AA$154)&gt;=SchemeStart,IF($X78=0,$AD78,IF(AND($Z78&lt;&gt;"",EDATE($D78,Milestones!$AA$154)&gt;=$Z78),$AC78,IF(AND($Y78&lt;&gt;"",EDATE($D78,Milestones!$AA$154)&gt;=$Y78),$AB78,$AA78)))=Milestones!$AB$154),UPPER(TEXT(EDATE($D78,Milestones!$AA$154),"dd mmm yy"))&amp;" "&amp;Milestones!$AB$154&amp;" "&amp;IF(AND(Milestones!$AB$154="FT",Milestones!$AA$154=FT_Y5,EDATE($D78,Milestones!$AA$154)&lt;PolicyEff),1,Milestones!$AC$154)&amp;";  ","")&amp;IF(AND(EDATE($D78,Milestones!$AA$155)&lt;=AsOfDate,EDATE($D78,Milestones!$AA$155)&gt;=SchemeStart,IF($X78=0,$AD78,IF(AND($Z78&lt;&gt;"",EDATE($D78,Milestones!$AA$155)&gt;=$Z78),$AC78,IF(AND($Y78&lt;&gt;"",EDATE($D78,Milestones!$AA$155)&gt;=$Y78),$AB78,$AA78)))=Milestones!$AB$155),UPPER(TEXT(EDATE($D78,Milestones!$AA$155),"dd mmm yy"))&amp;" "&amp;Milestones!$AB$155&amp;" "&amp;IF(AND(Milestones!$AB$155="FT",Milestones!$AA$155=FT_Y5,EDATE($D78,Milestones!$AA$155)&lt;PolicyEff),1,Milestones!$AC$155)&amp;";  ","")&amp;IF(AND(EDATE($D78,Milestones!$AA$156)&lt;=AsOfDate,EDATE($D78,Milestones!$AA$156)&gt;=SchemeStart,IF($X78=0,$AD78,IF(AND($Z78&lt;&gt;"",EDATE($D78,Milestones!$AA$156)&gt;=$Z78),$AC78,IF(AND($Y78&lt;&gt;"",EDATE($D78,Milestones!$AA$156)&gt;=$Y78),$AB78,$AA78)))=Milestones!$AB$156),UPPER(TEXT(EDATE($D78,Milestones!$AA$156),"dd mmm yy"))&amp;" "&amp;Milestones!$AB$156&amp;" "&amp;IF(AND(Milestones!$AB$156="FT",Milestones!$AA$156=FT_Y5,EDATE($D78,Milestones!$AA$156)&lt;PolicyEff),1,Milestones!$AC$156)&amp;";  ","")&amp;IF(AND(EDATE($D78,Milestones!$AA$157)&lt;=AsOfDate,EDATE($D78,Milestones!$AA$157)&gt;=SchemeStart,IF($X78=0,$AD78,IF(AND($Z78&lt;&gt;"",EDATE($D78,Milestones!$AA$157)&gt;=$Z78),$AC78,IF(AND($Y78&lt;&gt;"",EDATE($D78,Milestones!$AA$157)&gt;=$Y78),$AB78,$AA78)))=Milestones!$AB$157),UPPER(TEXT(EDATE($D78,Milestones!$AA$157),"dd mmm yy"))&amp;" "&amp;Milestones!$AB$157&amp;" "&amp;IF(AND(Milestones!$AB$157="FT",Milestones!$AA$157=FT_Y5,EDATE($D78,Milestones!$AA$157)&lt;PolicyEff),1,Milestones!$AC$157)&amp;";  ","")&amp;IF(AND(EDATE($D78,Milestones!$AA$158)&lt;=AsOfDate,EDATE($D78,Milestones!$AA$158)&gt;=SchemeStart,IF($X78=0,$AD78,IF(AND($Z78&lt;&gt;"",EDATE($D78,Milestones!$AA$158)&gt;=$Z78),$AC78,IF(AND($Y78&lt;&gt;"",EDATE($D78,Milestones!$AA$158)&gt;=$Y78),$AB78,$AA78)))=Milestones!$AB$158),UPPER(TEXT(EDATE($D78,Milestones!$AA$158),"dd mmm yy"))&amp;" "&amp;Milestones!$AB$158&amp;" "&amp;IF(AND(Milestones!$AB$158="FT",Milestones!$AA$158=FT_Y5,EDATE($D78,Milestones!$AA$158)&lt;PolicyEff),1,Milestones!$AC$158)&amp;";  ","")&amp;IF(AND(EDATE($D78,Milestones!$AA$159)&lt;=AsOfDate,EDATE($D78,Milestones!$AA$159)&gt;=SchemeStart,IF($X78=0,$AD78,IF(AND($Z78&lt;&gt;"",EDATE($D78,Milestones!$AA$159)&gt;=$Z78),$AC78,IF(AND($Y78&lt;&gt;"",EDATE($D78,Milestones!$AA$159)&gt;=$Y78),$AB78,$AA78)))=Milestones!$AB$159),UPPER(TEXT(EDATE($D78,Milestones!$AA$159),"dd mmm yy"))&amp;" "&amp;Milestones!$AB$159&amp;" "&amp;IF(AND(Milestones!$AB$159="FT",Milestones!$AA$159=FT_Y5,EDATE($D78,Milestones!$AA$159)&lt;PolicyEff),1,Milestones!$AC$159)&amp;";  ","")&amp;IF(AND(EDATE($D78,Milestones!$AA$160)&lt;=AsOfDate,EDATE($D78,Milestones!$AA$160)&gt;=SchemeStart,IF($X78=0,$AD78,IF(AND($Z78&lt;&gt;"",EDATE($D78,Milestones!$AA$160)&gt;=$Z78),$AC78,IF(AND($Y78&lt;&gt;"",EDATE($D78,Milestones!$AA$160)&gt;=$Y78),$AB78,$AA78)))=Milestones!$AB$160),UPPER(TEXT(EDATE($D78,Milestones!$AA$160),"dd mmm yy"))&amp;" "&amp;Milestones!$AB$160&amp;" "&amp;IF(AND(Milestones!$AB$160="FT",Milestones!$AA$160=FT_Y5,EDATE($D78,Milestones!$AA$160)&lt;PolicyEff),1,Milestones!$AC$160)&amp;";  ","")&amp;IF(AND(EDATE($D78,Milestones!$AA$161)&lt;=AsOfDate,EDATE($D78,Milestones!$AA$161)&gt;=SchemeStart,IF($X78=0,$AD78,IF(AND($Z78&lt;&gt;"",EDATE($D78,Milestones!$AA$161)&gt;=$Z78),$AC78,IF(AND($Y78&lt;&gt;"",EDATE($D78,Milestones!$AA$161)&gt;=$Y78),$AB78,$AA78)))=Milestones!$AB$161),UPPER(TEXT(EDATE($D78,Milestones!$AA$161),"dd mmm yy"))&amp;" "&amp;Milestones!$AB$161&amp;" "&amp;IF(AND(Milestones!$AB$161="FT",Milestones!$AA$161=FT_Y5,EDATE($D78,Milestones!$AA$161)&lt;PolicyEff),1,Milestones!$AC$161)&amp;";  ","")&amp;IF(AND(EDATE($D78,Milestones!$AA$162)&lt;=AsOfDate,EDATE($D78,Milestones!$AA$162)&gt;=SchemeStart,IF($X78=0,$AD78,IF(AND($Z78&lt;&gt;"",EDATE($D78,Milestones!$AA$162)&gt;=$Z78),$AC78,IF(AND($Y78&lt;&gt;"",EDATE($D78,Milestones!$AA$162)&gt;=$Y78),$AB78,$AA78)))=Milestones!$AB$162),UPPER(TEXT(EDATE($D78,Milestones!$AA$162),"dd mmm yy"))&amp;" "&amp;Milestones!$AB$162&amp;" "&amp;IF(AND(Milestones!$AB$162="FT",Milestones!$AA$162=FT_Y5,EDATE($D78,Milestones!$AA$162)&lt;PolicyEff),1,Milestones!$AC$162)&amp;";  ","")&amp;IF(AND(EDATE($D78,Milestones!$AA$163)&lt;=AsOfDate,EDATE($D78,Milestones!$AA$163)&gt;=SchemeStart,IF($X78=0,$AD78,IF(AND($Z78&lt;&gt;"",EDATE($D78,Milestones!$AA$163)&gt;=$Z78),$AC78,IF(AND($Y78&lt;&gt;"",EDATE($D78,Milestones!$AA$163)&gt;=$Y78),$AB78,$AA78)))=Milestones!$AB$163),UPPER(TEXT(EDATE($D78,Milestones!$AA$163),"dd mmm yy"))&amp;" "&amp;Milestones!$AB$163&amp;" "&amp;IF(AND(Milestones!$AB$163="FT",Milestones!$AA$163=FT_Y5,EDATE($D78,Milestones!$AA$163)&lt;PolicyEff),1,Milestones!$AC$163)&amp;";  ",""))</f>
        <v/>
      </c>
      <c r="U78" s="0" t="str">
        <f aca="false">IF(OR($A78="",$D78=""),"",IF(AND(EDATE($D78,Milestones!$AA$164)&lt;=AsOfDate,EDATE($D78,Milestones!$AA$164)&gt;=SchemeStart,IF($X78=0,$AD78,IF(AND($Z78&lt;&gt;"",EDATE($D78,Milestones!$AA$164)&gt;=$Z78),$AC78,IF(AND($Y78&lt;&gt;"",EDATE($D78,Milestones!$AA$164)&gt;=$Y78),$AB78,$AA78)))=Milestones!$AB$164),UPPER(TEXT(EDATE($D78,Milestones!$AA$164),"dd mmm yy"))&amp;" "&amp;Milestones!$AB$164&amp;" "&amp;IF(AND(Milestones!$AB$164="FT",Milestones!$AA$164=FT_Y5,EDATE($D78,Milestones!$AA$164)&lt;PolicyEff),1,Milestones!$AC$164)&amp;";  ","")&amp;IF(AND(EDATE($D78,Milestones!$AA$165)&lt;=AsOfDate,EDATE($D78,Milestones!$AA$165)&gt;=SchemeStart,IF($X78=0,$AD78,IF(AND($Z78&lt;&gt;"",EDATE($D78,Milestones!$AA$165)&gt;=$Z78),$AC78,IF(AND($Y78&lt;&gt;"",EDATE($D78,Milestones!$AA$165)&gt;=$Y78),$AB78,$AA78)))=Milestones!$AB$165),UPPER(TEXT(EDATE($D78,Milestones!$AA$165),"dd mmm yy"))&amp;" "&amp;Milestones!$AB$165&amp;" "&amp;IF(AND(Milestones!$AB$165="FT",Milestones!$AA$165=FT_Y5,EDATE($D78,Milestones!$AA$165)&lt;PolicyEff),1,Milestones!$AC$165)&amp;";  ","")&amp;IF(AND(EDATE($D78,Milestones!$AA$166)&lt;=AsOfDate,EDATE($D78,Milestones!$AA$166)&gt;=SchemeStart,IF($X78=0,$AD78,IF(AND($Z78&lt;&gt;"",EDATE($D78,Milestones!$AA$166)&gt;=$Z78),$AC78,IF(AND($Y78&lt;&gt;"",EDATE($D78,Milestones!$AA$166)&gt;=$Y78),$AB78,$AA78)))=Milestones!$AB$166),UPPER(TEXT(EDATE($D78,Milestones!$AA$166),"dd mmm yy"))&amp;" "&amp;Milestones!$AB$166&amp;" "&amp;IF(AND(Milestones!$AB$166="FT",Milestones!$AA$166=FT_Y5,EDATE($D78,Milestones!$AA$166)&lt;PolicyEff),1,Milestones!$AC$166)&amp;";  ","")&amp;IF(AND(EDATE($D78,Milestones!$AA$167)&lt;=AsOfDate,EDATE($D78,Milestones!$AA$167)&gt;=SchemeStart,IF($X78=0,$AD78,IF(AND($Z78&lt;&gt;"",EDATE($D78,Milestones!$AA$167)&gt;=$Z78),$AC78,IF(AND($Y78&lt;&gt;"",EDATE($D78,Milestones!$AA$167)&gt;=$Y78),$AB78,$AA78)))=Milestones!$AB$167),UPPER(TEXT(EDATE($D78,Milestones!$AA$167),"dd mmm yy"))&amp;" "&amp;Milestones!$AB$167&amp;" "&amp;IF(AND(Milestones!$AB$167="FT",Milestones!$AA$167=FT_Y5,EDATE($D78,Milestones!$AA$167)&lt;PolicyEff),1,Milestones!$AC$167)&amp;";  ","")&amp;IF(AND(EDATE($D78,Milestones!$AA$168)&lt;=AsOfDate,EDATE($D78,Milestones!$AA$168)&gt;=SchemeStart,IF($X78=0,$AD78,IF(AND($Z78&lt;&gt;"",EDATE($D78,Milestones!$AA$168)&gt;=$Z78),$AC78,IF(AND($Y78&lt;&gt;"",EDATE($D78,Milestones!$AA$168)&gt;=$Y78),$AB78,$AA78)))=Milestones!$AB$168),UPPER(TEXT(EDATE($D78,Milestones!$AA$168),"dd mmm yy"))&amp;" "&amp;Milestones!$AB$168&amp;" "&amp;IF(AND(Milestones!$AB$168="FT",Milestones!$AA$168=FT_Y5,EDATE($D78,Milestones!$AA$168)&lt;PolicyEff),1,Milestones!$AC$168)&amp;";  ","")&amp;IF(AND(EDATE($D78,Milestones!$AA$169)&lt;=AsOfDate,EDATE($D78,Milestones!$AA$169)&gt;=SchemeStart,IF($X78=0,$AD78,IF(AND($Z78&lt;&gt;"",EDATE($D78,Milestones!$AA$169)&gt;=$Z78),$AC78,IF(AND($Y78&lt;&gt;"",EDATE($D78,Milestones!$AA$169)&gt;=$Y78),$AB78,$AA78)))=Milestones!$AB$169),UPPER(TEXT(EDATE($D78,Milestones!$AA$169),"dd mmm yy"))&amp;" "&amp;Milestones!$AB$169&amp;" "&amp;IF(AND(Milestones!$AB$169="FT",Milestones!$AA$169=FT_Y5,EDATE($D78,Milestones!$AA$169)&lt;PolicyEff),1,Milestones!$AC$169)&amp;";  ","")&amp;IF(AND(EDATE($D78,Milestones!$AA$170)&lt;=AsOfDate,EDATE($D78,Milestones!$AA$170)&gt;=SchemeStart,IF($X78=0,$AD78,IF(AND($Z78&lt;&gt;"",EDATE($D78,Milestones!$AA$170)&gt;=$Z78),$AC78,IF(AND($Y78&lt;&gt;"",EDATE($D78,Milestones!$AA$170)&gt;=$Y78),$AB78,$AA78)))=Milestones!$AB$170),UPPER(TEXT(EDATE($D78,Milestones!$AA$170),"dd mmm yy"))&amp;" "&amp;Milestones!$AB$170&amp;" "&amp;IF(AND(Milestones!$AB$170="FT",Milestones!$AA$170=FT_Y5,EDATE($D78,Milestones!$AA$170)&lt;PolicyEff),1,Milestones!$AC$170)&amp;";  ","")&amp;IF(AND(EDATE($D78,Milestones!$AA$171)&lt;=AsOfDate,EDATE($D78,Milestones!$AA$171)&gt;=SchemeStart,IF($X78=0,$AD78,IF(AND($Z78&lt;&gt;"",EDATE($D78,Milestones!$AA$171)&gt;=$Z78),$AC78,IF(AND($Y78&lt;&gt;"",EDATE($D78,Milestones!$AA$171)&gt;=$Y78),$AB78,$AA78)))=Milestones!$AB$171),UPPER(TEXT(EDATE($D78,Milestones!$AA$171),"dd mmm yy"))&amp;" "&amp;Milestones!$AB$171&amp;" "&amp;IF(AND(Milestones!$AB$171="FT",Milestones!$AA$171=FT_Y5,EDATE($D78,Milestones!$AA$171)&lt;PolicyEff),1,Milestones!$AC$171)&amp;";  ","")&amp;IF(AND(EDATE($D78,Milestones!$AA$172)&lt;=AsOfDate,EDATE($D78,Milestones!$AA$172)&gt;=SchemeStart,IF($X78=0,$AD78,IF(AND($Z78&lt;&gt;"",EDATE($D78,Milestones!$AA$172)&gt;=$Z78),$AC78,IF(AND($Y78&lt;&gt;"",EDATE($D78,Milestones!$AA$172)&gt;=$Y78),$AB78,$AA78)))=Milestones!$AB$172),UPPER(TEXT(EDATE($D78,Milestones!$AA$172),"dd mmm yy"))&amp;" "&amp;Milestones!$AB$172&amp;" "&amp;IF(AND(Milestones!$AB$172="FT",Milestones!$AA$172=FT_Y5,EDATE($D78,Milestones!$AA$172)&lt;PolicyEff),1,Milestones!$AC$172)&amp;";  ","")&amp;IF(AND(EDATE($D78,Milestones!$AA$173)&lt;=AsOfDate,EDATE($D78,Milestones!$AA$173)&gt;=SchemeStart,IF($X78=0,$AD78,IF(AND($Z78&lt;&gt;"",EDATE($D78,Milestones!$AA$173)&gt;=$Z78),$AC78,IF(AND($Y78&lt;&gt;"",EDATE($D78,Milestones!$AA$173)&gt;=$Y78),$AB78,$AA78)))=Milestones!$AB$173),UPPER(TEXT(EDATE($D78,Milestones!$AA$173),"dd mmm yy"))&amp;" "&amp;Milestones!$AB$173&amp;" "&amp;IF(AND(Milestones!$AB$173="FT",Milestones!$AA$173=FT_Y5,EDATE($D78,Milestones!$AA$173)&lt;PolicyEff),1,Milestones!$AC$173)&amp;";  ","")&amp;IF(AND(EDATE($D78,Milestones!$AA$174)&lt;=AsOfDate,EDATE($D78,Milestones!$AA$174)&gt;=SchemeStart,IF($X78=0,$AD78,IF(AND($Z78&lt;&gt;"",EDATE($D78,Milestones!$AA$174)&gt;=$Z78),$AC78,IF(AND($Y78&lt;&gt;"",EDATE($D78,Milestones!$AA$174)&gt;=$Y78),$AB78,$AA78)))=Milestones!$AB$174),UPPER(TEXT(EDATE($D78,Milestones!$AA$174),"dd mmm yy"))&amp;" "&amp;Milestones!$AB$174&amp;" "&amp;IF(AND(Milestones!$AB$174="FT",Milestones!$AA$174=FT_Y5,EDATE($D78,Milestones!$AA$174)&lt;PolicyEff),1,Milestones!$AC$174)&amp;";  ","")&amp;IF(AND(EDATE($D78,Milestones!$AA$175)&lt;=AsOfDate,EDATE($D78,Milestones!$AA$175)&gt;=SchemeStart,IF($X78=0,$AD78,IF(AND($Z78&lt;&gt;"",EDATE($D78,Milestones!$AA$175)&gt;=$Z78),$AC78,IF(AND($Y78&lt;&gt;"",EDATE($D78,Milestones!$AA$175)&gt;=$Y78),$AB78,$AA78)))=Milestones!$AB$175),UPPER(TEXT(EDATE($D78,Milestones!$AA$175),"dd mmm yy"))&amp;" "&amp;Milestones!$AB$175&amp;" "&amp;IF(AND(Milestones!$AB$175="FT",Milestones!$AA$175=FT_Y5,EDATE($D78,Milestones!$AA$175)&lt;PolicyEff),1,Milestones!$AC$175)&amp;";  ",""))</f>
        <v/>
      </c>
      <c r="V78" s="0" t="str">
        <f aca="false">IF(OR($A78="",$D78=""),"",IF(AND(EDATE($D78,Milestones!$AA$176)&lt;=AsOfDate,EDATE($D78,Milestones!$AA$176)&gt;=SchemeStart,IF($X78=0,$AD78,IF(AND($Z78&lt;&gt;"",EDATE($D78,Milestones!$AA$176)&gt;=$Z78),$AC78,IF(AND($Y78&lt;&gt;"",EDATE($D78,Milestones!$AA$176)&gt;=$Y78),$AB78,$AA78)))=Milestones!$AB$176),UPPER(TEXT(EDATE($D78,Milestones!$AA$176),"dd mmm yy"))&amp;" "&amp;Milestones!$AB$176&amp;" "&amp;IF(AND(Milestones!$AB$176="FT",Milestones!$AA$176=FT_Y5,EDATE($D78,Milestones!$AA$176)&lt;PolicyEff),1,Milestones!$AC$176)&amp;";  ","")&amp;IF(AND(EDATE($D78,Milestones!$AA$177)&lt;=AsOfDate,EDATE($D78,Milestones!$AA$177)&gt;=SchemeStart,IF($X78=0,$AD78,IF(AND($Z78&lt;&gt;"",EDATE($D78,Milestones!$AA$177)&gt;=$Z78),$AC78,IF(AND($Y78&lt;&gt;"",EDATE($D78,Milestones!$AA$177)&gt;=$Y78),$AB78,$AA78)))=Milestones!$AB$177),UPPER(TEXT(EDATE($D78,Milestones!$AA$177),"dd mmm yy"))&amp;" "&amp;Milestones!$AB$177&amp;" "&amp;IF(AND(Milestones!$AB$177="FT",Milestones!$AA$177=FT_Y5,EDATE($D78,Milestones!$AA$177)&lt;PolicyEff),1,Milestones!$AC$177)&amp;";  ","")&amp;IF(AND(EDATE($D78,Milestones!$AA$178)&lt;=AsOfDate,EDATE($D78,Milestones!$AA$178)&gt;=SchemeStart,IF($X78=0,$AD78,IF(AND($Z78&lt;&gt;"",EDATE($D78,Milestones!$AA$178)&gt;=$Z78),$AC78,IF(AND($Y78&lt;&gt;"",EDATE($D78,Milestones!$AA$178)&gt;=$Y78),$AB78,$AA78)))=Milestones!$AB$178),UPPER(TEXT(EDATE($D78,Milestones!$AA$178),"dd mmm yy"))&amp;" "&amp;Milestones!$AB$178&amp;" "&amp;IF(AND(Milestones!$AB$178="FT",Milestones!$AA$178=FT_Y5,EDATE($D78,Milestones!$AA$178)&lt;PolicyEff),1,Milestones!$AC$178)&amp;";  ","")&amp;IF(AND(EDATE($D78,Milestones!$AA$179)&lt;=AsOfDate,EDATE($D78,Milestones!$AA$179)&gt;=SchemeStart,IF($X78=0,$AD78,IF(AND($Z78&lt;&gt;"",EDATE($D78,Milestones!$AA$179)&gt;=$Z78),$AC78,IF(AND($Y78&lt;&gt;"",EDATE($D78,Milestones!$AA$179)&gt;=$Y78),$AB78,$AA78)))=Milestones!$AB$179),UPPER(TEXT(EDATE($D78,Milestones!$AA$179),"dd mmm yy"))&amp;" "&amp;Milestones!$AB$179&amp;" "&amp;IF(AND(Milestones!$AB$179="FT",Milestones!$AA$179=FT_Y5,EDATE($D78,Milestones!$AA$179)&lt;PolicyEff),1,Milestones!$AC$179)&amp;";  ","")&amp;IF(AND(EDATE($D78,Milestones!$AA$180)&lt;=AsOfDate,EDATE($D78,Milestones!$AA$180)&gt;=SchemeStart,IF($X78=0,$AD78,IF(AND($Z78&lt;&gt;"",EDATE($D78,Milestones!$AA$180)&gt;=$Z78),$AC78,IF(AND($Y78&lt;&gt;"",EDATE($D78,Milestones!$AA$180)&gt;=$Y78),$AB78,$AA78)))=Milestones!$AB$180),UPPER(TEXT(EDATE($D78,Milestones!$AA$180),"dd mmm yy"))&amp;" "&amp;Milestones!$AB$180&amp;" "&amp;IF(AND(Milestones!$AB$180="FT",Milestones!$AA$180=FT_Y5,EDATE($D78,Milestones!$AA$180)&lt;PolicyEff),1,Milestones!$AC$180)&amp;";  ","")&amp;IF(AND(EDATE($D78,Milestones!$AA$181)&lt;=AsOfDate,EDATE($D78,Milestones!$AA$181)&gt;=SchemeStart,IF($X78=0,$AD78,IF(AND($Z78&lt;&gt;"",EDATE($D78,Milestones!$AA$181)&gt;=$Z78),$AC78,IF(AND($Y78&lt;&gt;"",EDATE($D78,Milestones!$AA$181)&gt;=$Y78),$AB78,$AA78)))=Milestones!$AB$181),UPPER(TEXT(EDATE($D78,Milestones!$AA$181),"dd mmm yy"))&amp;" "&amp;Milestones!$AB$181&amp;" "&amp;IF(AND(Milestones!$AB$181="FT",Milestones!$AA$181=FT_Y5,EDATE($D78,Milestones!$AA$181)&lt;PolicyEff),1,Milestones!$AC$181)&amp;";  ","")&amp;IF(AND(EDATE($D78,Milestones!$AA$182)&lt;=AsOfDate,EDATE($D78,Milestones!$AA$182)&gt;=SchemeStart,IF($X78=0,$AD78,IF(AND($Z78&lt;&gt;"",EDATE($D78,Milestones!$AA$182)&gt;=$Z78),$AC78,IF(AND($Y78&lt;&gt;"",EDATE($D78,Milestones!$AA$182)&gt;=$Y78),$AB78,$AA78)))=Milestones!$AB$182),UPPER(TEXT(EDATE($D78,Milestones!$AA$182),"dd mmm yy"))&amp;" "&amp;Milestones!$AB$182&amp;" "&amp;IF(AND(Milestones!$AB$182="FT",Milestones!$AA$182=FT_Y5,EDATE($D78,Milestones!$AA$182)&lt;PolicyEff),1,Milestones!$AC$182)&amp;";  ","")&amp;IF(AND(EDATE($D78,Milestones!$AA$183)&lt;=AsOfDate,EDATE($D78,Milestones!$AA$183)&gt;=SchemeStart,IF($X78=0,$AD78,IF(AND($Z78&lt;&gt;"",EDATE($D78,Milestones!$AA$183)&gt;=$Z78),$AC78,IF(AND($Y78&lt;&gt;"",EDATE($D78,Milestones!$AA$183)&gt;=$Y78),$AB78,$AA78)))=Milestones!$AB$183),UPPER(TEXT(EDATE($D78,Milestones!$AA$183),"dd mmm yy"))&amp;" "&amp;Milestones!$AB$183&amp;" "&amp;IF(AND(Milestones!$AB$183="FT",Milestones!$AA$183=FT_Y5,EDATE($D78,Milestones!$AA$183)&lt;PolicyEff),1,Milestones!$AC$183)&amp;";  ","")&amp;IF(AND(EDATE($D78,Milestones!$AA$184)&lt;=AsOfDate,EDATE($D78,Milestones!$AA$184)&gt;=SchemeStart,IF($X78=0,$AD78,IF(AND($Z78&lt;&gt;"",EDATE($D78,Milestones!$AA$184)&gt;=$Z78),$AC78,IF(AND($Y78&lt;&gt;"",EDATE($D78,Milestones!$AA$184)&gt;=$Y78),$AB78,$AA78)))=Milestones!$AB$184),UPPER(TEXT(EDATE($D78,Milestones!$AA$184),"dd mmm yy"))&amp;" "&amp;Milestones!$AB$184&amp;" "&amp;IF(AND(Milestones!$AB$184="FT",Milestones!$AA$184=FT_Y5,EDATE($D78,Milestones!$AA$184)&lt;PolicyEff),1,Milestones!$AC$184)&amp;";  ","")&amp;IF(AND(EDATE($D78,Milestones!$AA$185)&lt;=AsOfDate,EDATE($D78,Milestones!$AA$185)&gt;=SchemeStart,IF($X78=0,$AD78,IF(AND($Z78&lt;&gt;"",EDATE($D78,Milestones!$AA$185)&gt;=$Z78),$AC78,IF(AND($Y78&lt;&gt;"",EDATE($D78,Milestones!$AA$185)&gt;=$Y78),$AB78,$AA78)))=Milestones!$AB$185),UPPER(TEXT(EDATE($D78,Milestones!$AA$185),"dd mmm yy"))&amp;" "&amp;Milestones!$AB$185&amp;" "&amp;IF(AND(Milestones!$AB$185="FT",Milestones!$AA$185=FT_Y5,EDATE($D78,Milestones!$AA$185)&lt;PolicyEff),1,Milestones!$AC$185)&amp;";  ","")&amp;IF(AND(EDATE($D78,Milestones!$AA$186)&lt;=AsOfDate,EDATE($D78,Milestones!$AA$186)&gt;=SchemeStart,IF($X78=0,$AD78,IF(AND($Z78&lt;&gt;"",EDATE($D78,Milestones!$AA$186)&gt;=$Z78),$AC78,IF(AND($Y78&lt;&gt;"",EDATE($D78,Milestones!$AA$186)&gt;=$Y78),$AB78,$AA78)))=Milestones!$AB$186),UPPER(TEXT(EDATE($D78,Milestones!$AA$186),"dd mmm yy"))&amp;" "&amp;Milestones!$AB$186&amp;" "&amp;IF(AND(Milestones!$AB$186="FT",Milestones!$AA$186=FT_Y5,EDATE($D78,Milestones!$AA$186)&lt;PolicyEff),1,Milestones!$AC$186)&amp;";  ","")&amp;IF(AND(EDATE($D78,Milestones!$AA$187)&lt;=AsOfDate,EDATE($D78,Milestones!$AA$187)&gt;=SchemeStart,IF($X78=0,$AD78,IF(AND($Z78&lt;&gt;"",EDATE($D78,Milestones!$AA$187)&gt;=$Z78),$AC78,IF(AND($Y78&lt;&gt;"",EDATE($D78,Milestones!$AA$187)&gt;=$Y78),$AB78,$AA78)))=Milestones!$AB$187),UPPER(TEXT(EDATE($D78,Milestones!$AA$187),"dd mmm yy"))&amp;" "&amp;Milestones!$AB$187&amp;" "&amp;IF(AND(Milestones!$AB$187="FT",Milestones!$AA$187=FT_Y5,EDATE($D78,Milestones!$AA$187)&lt;PolicyEff),1,Milestones!$AC$187)&amp;";  ",""))</f>
        <v/>
      </c>
      <c r="W78" s="0" t="str">
        <f aca="false">IF(OR($A78="",$D78=""),"",IF(AND(EDATE($D78,Milestones!$AA$188)&lt;=AsOfDate,EDATE($D78,Milestones!$AA$188)&gt;=SchemeStart,IF($X78=0,$AD78,IF(AND($Z78&lt;&gt;"",EDATE($D78,Milestones!$AA$188)&gt;=$Z78),$AC78,IF(AND($Y78&lt;&gt;"",EDATE($D78,Milestones!$AA$188)&gt;=$Y78),$AB78,$AA78)))=Milestones!$AB$188),UPPER(TEXT(EDATE($D78,Milestones!$AA$188),"dd mmm yy"))&amp;" "&amp;Milestones!$AB$188&amp;" "&amp;IF(AND(Milestones!$AB$188="FT",Milestones!$AA$188=FT_Y5,EDATE($D78,Milestones!$AA$188)&lt;PolicyEff),1,Milestones!$AC$188)&amp;";  ","")&amp;IF(AND(EDATE($D78,Milestones!$AA$189)&lt;=AsOfDate,EDATE($D78,Milestones!$AA$189)&gt;=SchemeStart,IF($X78=0,$AD78,IF(AND($Z78&lt;&gt;"",EDATE($D78,Milestones!$AA$189)&gt;=$Z78),$AC78,IF(AND($Y78&lt;&gt;"",EDATE($D78,Milestones!$AA$189)&gt;=$Y78),$AB78,$AA78)))=Milestones!$AB$189),UPPER(TEXT(EDATE($D78,Milestones!$AA$189),"dd mmm yy"))&amp;" "&amp;Milestones!$AB$189&amp;" "&amp;IF(AND(Milestones!$AB$189="FT",Milestones!$AA$189=FT_Y5,EDATE($D78,Milestones!$AA$189)&lt;PolicyEff),1,Milestones!$AC$189)&amp;";  ","")&amp;IF(AND(EDATE($D78,Milestones!$AA$190)&lt;=AsOfDate,EDATE($D78,Milestones!$AA$190)&gt;=SchemeStart,IF($X78=0,$AD78,IF(AND($Z78&lt;&gt;"",EDATE($D78,Milestones!$AA$190)&gt;=$Z78),$AC78,IF(AND($Y78&lt;&gt;"",EDATE($D78,Milestones!$AA$190)&gt;=$Y78),$AB78,$AA78)))=Milestones!$AB$190),UPPER(TEXT(EDATE($D78,Milestones!$AA$190),"dd mmm yy"))&amp;" "&amp;Milestones!$AB$190&amp;" "&amp;IF(AND(Milestones!$AB$190="FT",Milestones!$AA$190=FT_Y5,EDATE($D78,Milestones!$AA$190)&lt;PolicyEff),1,Milestones!$AC$190)&amp;";  ","")&amp;IF(AND(EDATE($D78,Milestones!$AA$191)&lt;=AsOfDate,EDATE($D78,Milestones!$AA$191)&gt;=SchemeStart,IF($X78=0,$AD78,IF(AND($Z78&lt;&gt;"",EDATE($D78,Milestones!$AA$191)&gt;=$Z78),$AC78,IF(AND($Y78&lt;&gt;"",EDATE($D78,Milestones!$AA$191)&gt;=$Y78),$AB78,$AA78)))=Milestones!$AB$191),UPPER(TEXT(EDATE($D78,Milestones!$AA$191),"dd mmm yy"))&amp;" "&amp;Milestones!$AB$191&amp;" "&amp;IF(AND(Milestones!$AB$191="FT",Milestones!$AA$191=FT_Y5,EDATE($D78,Milestones!$AA$191)&lt;PolicyEff),1,Milestones!$AC$191)&amp;";  ","")&amp;IF(AND(EDATE($D78,Milestones!$AA$192)&lt;=AsOfDate,EDATE($D78,Milestones!$AA$192)&gt;=SchemeStart,IF($X78=0,$AD78,IF(AND($Z78&lt;&gt;"",EDATE($D78,Milestones!$AA$192)&gt;=$Z78),$AC78,IF(AND($Y78&lt;&gt;"",EDATE($D78,Milestones!$AA$192)&gt;=$Y78),$AB78,$AA78)))=Milestones!$AB$192),UPPER(TEXT(EDATE($D78,Milestones!$AA$192),"dd mmm yy"))&amp;" "&amp;Milestones!$AB$192&amp;" "&amp;IF(AND(Milestones!$AB$192="FT",Milestones!$AA$192=FT_Y5,EDATE($D78,Milestones!$AA$192)&lt;PolicyEff),1,Milestones!$AC$192)&amp;";  ","")&amp;IF(AND(EDATE($D78,Milestones!$AA$193)&lt;=AsOfDate,EDATE($D78,Milestones!$AA$193)&gt;=SchemeStart,IF($X78=0,$AD78,IF(AND($Z78&lt;&gt;"",EDATE($D78,Milestones!$AA$193)&gt;=$Z78),$AC78,IF(AND($Y78&lt;&gt;"",EDATE($D78,Milestones!$AA$193)&gt;=$Y78),$AB78,$AA78)))=Milestones!$AB$193),UPPER(TEXT(EDATE($D78,Milestones!$AA$193),"dd mmm yy"))&amp;" "&amp;Milestones!$AB$193&amp;" "&amp;IF(AND(Milestones!$AB$193="FT",Milestones!$AA$193=FT_Y5,EDATE($D78,Milestones!$AA$193)&lt;PolicyEff),1,Milestones!$AC$193)&amp;";  ","")&amp;IF(AND(EDATE($D78,Milestones!$AA$194)&lt;=AsOfDate,EDATE($D78,Milestones!$AA$194)&gt;=SchemeStart,IF($X78=0,$AD78,IF(AND($Z78&lt;&gt;"",EDATE($D78,Milestones!$AA$194)&gt;=$Z78),$AC78,IF(AND($Y78&lt;&gt;"",EDATE($D78,Milestones!$AA$194)&gt;=$Y78),$AB78,$AA78)))=Milestones!$AB$194),UPPER(TEXT(EDATE($D78,Milestones!$AA$194),"dd mmm yy"))&amp;" "&amp;Milestones!$AB$194&amp;" "&amp;IF(AND(Milestones!$AB$194="FT",Milestones!$AA$194=FT_Y5,EDATE($D78,Milestones!$AA$194)&lt;PolicyEff),1,Milestones!$AC$194)&amp;";  ","")&amp;IF(AND(EDATE($D78,Milestones!$AA$195)&lt;=AsOfDate,EDATE($D78,Milestones!$AA$195)&gt;=SchemeStart,IF($X78=0,$AD78,IF(AND($Z78&lt;&gt;"",EDATE($D78,Milestones!$AA$195)&gt;=$Z78),$AC78,IF(AND($Y78&lt;&gt;"",EDATE($D78,Milestones!$AA$195)&gt;=$Y78),$AB78,$AA78)))=Milestones!$AB$195),UPPER(TEXT(EDATE($D78,Milestones!$AA$195),"dd mmm yy"))&amp;" "&amp;Milestones!$AB$195&amp;" "&amp;IF(AND(Milestones!$AB$195="FT",Milestones!$AA$195=FT_Y5,EDATE($D78,Milestones!$AA$195)&lt;PolicyEff),1,Milestones!$AC$195)&amp;";  ","")&amp;IF(AND(EDATE($D78,Milestones!$AA$196)&lt;=AsOfDate,EDATE($D78,Milestones!$AA$196)&gt;=SchemeStart,IF($X78=0,$AD78,IF(AND($Z78&lt;&gt;"",EDATE($D78,Milestones!$AA$196)&gt;=$Z78),$AC78,IF(AND($Y78&lt;&gt;"",EDATE($D78,Milestones!$AA$196)&gt;=$Y78),$AB78,$AA78)))=Milestones!$AB$196),UPPER(TEXT(EDATE($D78,Milestones!$AA$196),"dd mmm yy"))&amp;" "&amp;Milestones!$AB$196&amp;" "&amp;IF(AND(Milestones!$AB$196="FT",Milestones!$AA$196=FT_Y5,EDATE($D78,Milestones!$AA$196)&lt;PolicyEff),1,Milestones!$AC$196)&amp;";  ","")&amp;IF(AND(EDATE($D78,Milestones!$AA$197)&lt;=AsOfDate,EDATE($D78,Milestones!$AA$197)&gt;=SchemeStart,IF($X78=0,$AD78,IF(AND($Z78&lt;&gt;"",EDATE($D78,Milestones!$AA$197)&gt;=$Z78),$AC78,IF(AND($Y78&lt;&gt;"",EDATE($D78,Milestones!$AA$197)&gt;=$Y78),$AB78,$AA78)))=Milestones!$AB$197),UPPER(TEXT(EDATE($D78,Milestones!$AA$197),"dd mmm yy"))&amp;" "&amp;Milestones!$AB$197&amp;" "&amp;IF(AND(Milestones!$AB$197="FT",Milestones!$AA$197=FT_Y5,EDATE($D78,Milestones!$AA$197)&lt;PolicyEff),1,Milestones!$AC$197)&amp;";  ","")&amp;IF(AND(EDATE($D78,Milestones!$AA$198)&lt;=AsOfDate,EDATE($D78,Milestones!$AA$198)&gt;=SchemeStart,IF($X78=0,$AD78,IF(AND($Z78&lt;&gt;"",EDATE($D78,Milestones!$AA$198)&gt;=$Z78),$AC78,IF(AND($Y78&lt;&gt;"",EDATE($D78,Milestones!$AA$198)&gt;=$Y78),$AB78,$AA78)))=Milestones!$AB$198),UPPER(TEXT(EDATE($D78,Milestones!$AA$198),"dd mmm yy"))&amp;" "&amp;Milestones!$AB$198&amp;" "&amp;IF(AND(Milestones!$AB$198="FT",Milestones!$AA$198=FT_Y5,EDATE($D78,Milestones!$AA$198)&lt;PolicyEff),1,Milestones!$AC$198)&amp;";  ","")&amp;IF(AND(EDATE($D78,Milestones!$AA$199)&lt;=AsOfDate,EDATE($D78,Milestones!$AA$199)&gt;=SchemeStart,IF($X78=0,$AD78,IF(AND($Z78&lt;&gt;"",EDATE($D78,Milestones!$AA$199)&gt;=$Z78),$AC78,IF(AND($Y78&lt;&gt;"",EDATE($D78,Milestones!$AA$199)&gt;=$Y78),$AB78,$AA78)))=Milestones!$AB$199),UPPER(TEXT(EDATE($D78,Milestones!$AA$199),"dd mmm yy"))&amp;" "&amp;Milestones!$AB$199&amp;" "&amp;IF(AND(Milestones!$AB$199="FT",Milestones!$AA$199=FT_Y5,EDATE($D78,Milestones!$AA$199)&lt;PolicyEff),1,Milestones!$AC$199)&amp;";  ",""))</f>
        <v/>
      </c>
      <c r="X78" s="0" t="str">
        <f aca="false">IF(Staff!$A78="","",Staff!$AM78)</f>
        <v/>
      </c>
      <c r="Y78" s="0" t="str">
        <f aca="false">IF(Staff!$A78="","",Staff!$AO78)</f>
        <v/>
      </c>
      <c r="Z78" s="0" t="str">
        <f aca="false">IF(Staff!$A78="","",Staff!$AP78)</f>
        <v/>
      </c>
      <c r="AA78" s="0" t="str">
        <f aca="false">IF(Staff!$A78="","",Staff!$AT78)</f>
        <v/>
      </c>
      <c r="AB78" s="0" t="str">
        <f aca="false">IF(Staff!$A78="","",Staff!$AU78)</f>
        <v/>
      </c>
      <c r="AC78" s="0" t="str">
        <f aca="false">IF(Staff!$A78="","",Staff!$AV78)</f>
        <v/>
      </c>
      <c r="AD78" s="0" t="str">
        <f aca="false">IF(Staff!$A78="","",Staff!$AW78)</f>
        <v/>
      </c>
    </row>
    <row r="79" customFormat="false" ht="15" hidden="false" customHeight="false" outlineLevel="0" collapsed="false">
      <c r="A79" s="16" t="str">
        <f aca="false">IF(Staff!$A79="","",Staff!$A79)</f>
        <v/>
      </c>
      <c r="B79" s="16" t="str">
        <f aca="false">IF(Staff!$A79="","",Staff!$B79)</f>
        <v/>
      </c>
      <c r="C79" s="16" t="str">
        <f aca="false">IF(Staff!$A79="","",Staff!$C79)</f>
        <v/>
      </c>
      <c r="D79" s="14" t="str">
        <f aca="false">IF(Staff!$A79="","",Staff!$AL79)</f>
        <v/>
      </c>
      <c r="E79" s="16" t="str">
        <f aca="false">IF(Staff!$A79="","",Staff!$O79)</f>
        <v/>
      </c>
      <c r="F79" s="16" t="str">
        <f aca="false">IF(E79="","",E79*HoursPerDay)</f>
        <v/>
      </c>
      <c r="G79" s="16" t="str">
        <f aca="false">IF(Staff!$A79="","",Staff!$AE79)</f>
        <v/>
      </c>
      <c r="H79" s="28" t="str">
        <f aca="false">IF($A79="","",I79&amp;J79&amp;K79&amp;L79&amp;M79&amp;N79&amp;O79&amp;P79&amp;Q79&amp;R79&amp;S79&amp;T79&amp;U79&amp;V79&amp;W79)</f>
        <v/>
      </c>
      <c r="I79" s="0" t="str">
        <f aca="false">IF(OR($A79="",$D79=""),"",IF(AND(EDATE($D79,Milestones!$AA$20)&lt;=AsOfDate,EDATE($D79,Milestones!$AA$20)&gt;=SchemeStart,IF($X79=0,$AD79,IF(AND($Z79&lt;&gt;"",EDATE($D79,Milestones!$AA$20)&gt;=$Z79),$AC79,IF(AND($Y79&lt;&gt;"",EDATE($D79,Milestones!$AA$20)&gt;=$Y79),$AB79,$AA79)))=Milestones!$AB$20),UPPER(TEXT(EDATE($D79,Milestones!$AA$20),"dd mmm yy"))&amp;" "&amp;Milestones!$AB$20&amp;" "&amp;IF(AND(Milestones!$AB$20="FT",Milestones!$AA$20=FT_Y5,EDATE($D79,Milestones!$AA$20)&lt;PolicyEff),1,Milestones!$AC$20)&amp;";  ","")&amp;IF(AND(EDATE($D79,Milestones!$AA$21)&lt;=AsOfDate,EDATE($D79,Milestones!$AA$21)&gt;=SchemeStart,IF($X79=0,$AD79,IF(AND($Z79&lt;&gt;"",EDATE($D79,Milestones!$AA$21)&gt;=$Z79),$AC79,IF(AND($Y79&lt;&gt;"",EDATE($D79,Milestones!$AA$21)&gt;=$Y79),$AB79,$AA79)))=Milestones!$AB$21),UPPER(TEXT(EDATE($D79,Milestones!$AA$21),"dd mmm yy"))&amp;" "&amp;Milestones!$AB$21&amp;" "&amp;IF(AND(Milestones!$AB$21="FT",Milestones!$AA$21=FT_Y5,EDATE($D79,Milestones!$AA$21)&lt;PolicyEff),1,Milestones!$AC$21)&amp;";  ","")&amp;IF(AND(EDATE($D79,Milestones!$AA$22)&lt;=AsOfDate,EDATE($D79,Milestones!$AA$22)&gt;=SchemeStart,IF($X79=0,$AD79,IF(AND($Z79&lt;&gt;"",EDATE($D79,Milestones!$AA$22)&gt;=$Z79),$AC79,IF(AND($Y79&lt;&gt;"",EDATE($D79,Milestones!$AA$22)&gt;=$Y79),$AB79,$AA79)))=Milestones!$AB$22),UPPER(TEXT(EDATE($D79,Milestones!$AA$22),"dd mmm yy"))&amp;" "&amp;Milestones!$AB$22&amp;" "&amp;IF(AND(Milestones!$AB$22="FT",Milestones!$AA$22=FT_Y5,EDATE($D79,Milestones!$AA$22)&lt;PolicyEff),1,Milestones!$AC$22)&amp;";  ","")&amp;IF(AND(EDATE($D79,Milestones!$AA$23)&lt;=AsOfDate,EDATE($D79,Milestones!$AA$23)&gt;=SchemeStart,IF($X79=0,$AD79,IF(AND($Z79&lt;&gt;"",EDATE($D79,Milestones!$AA$23)&gt;=$Z79),$AC79,IF(AND($Y79&lt;&gt;"",EDATE($D79,Milestones!$AA$23)&gt;=$Y79),$AB79,$AA79)))=Milestones!$AB$23),UPPER(TEXT(EDATE($D79,Milestones!$AA$23),"dd mmm yy"))&amp;" "&amp;Milestones!$AB$23&amp;" "&amp;IF(AND(Milestones!$AB$23="FT",Milestones!$AA$23=FT_Y5,EDATE($D79,Milestones!$AA$23)&lt;PolicyEff),1,Milestones!$AC$23)&amp;";  ","")&amp;IF(AND(EDATE($D79,Milestones!$AA$24)&lt;=AsOfDate,EDATE($D79,Milestones!$AA$24)&gt;=SchemeStart,IF($X79=0,$AD79,IF(AND($Z79&lt;&gt;"",EDATE($D79,Milestones!$AA$24)&gt;=$Z79),$AC79,IF(AND($Y79&lt;&gt;"",EDATE($D79,Milestones!$AA$24)&gt;=$Y79),$AB79,$AA79)))=Milestones!$AB$24),UPPER(TEXT(EDATE($D79,Milestones!$AA$24),"dd mmm yy"))&amp;" "&amp;Milestones!$AB$24&amp;" "&amp;IF(AND(Milestones!$AB$24="FT",Milestones!$AA$24=FT_Y5,EDATE($D79,Milestones!$AA$24)&lt;PolicyEff),1,Milestones!$AC$24)&amp;";  ","")&amp;IF(AND(EDATE($D79,Milestones!$AA$25)&lt;=AsOfDate,EDATE($D79,Milestones!$AA$25)&gt;=SchemeStart,IF($X79=0,$AD79,IF(AND($Z79&lt;&gt;"",EDATE($D79,Milestones!$AA$25)&gt;=$Z79),$AC79,IF(AND($Y79&lt;&gt;"",EDATE($D79,Milestones!$AA$25)&gt;=$Y79),$AB79,$AA79)))=Milestones!$AB$25),UPPER(TEXT(EDATE($D79,Milestones!$AA$25),"dd mmm yy"))&amp;" "&amp;Milestones!$AB$25&amp;" "&amp;IF(AND(Milestones!$AB$25="FT",Milestones!$AA$25=FT_Y5,EDATE($D79,Milestones!$AA$25)&lt;PolicyEff),1,Milestones!$AC$25)&amp;";  ","")&amp;IF(AND(EDATE($D79,Milestones!$AA$26)&lt;=AsOfDate,EDATE($D79,Milestones!$AA$26)&gt;=SchemeStart,IF($X79=0,$AD79,IF(AND($Z79&lt;&gt;"",EDATE($D79,Milestones!$AA$26)&gt;=$Z79),$AC79,IF(AND($Y79&lt;&gt;"",EDATE($D79,Milestones!$AA$26)&gt;=$Y79),$AB79,$AA79)))=Milestones!$AB$26),UPPER(TEXT(EDATE($D79,Milestones!$AA$26),"dd mmm yy"))&amp;" "&amp;Milestones!$AB$26&amp;" "&amp;IF(AND(Milestones!$AB$26="FT",Milestones!$AA$26=FT_Y5,EDATE($D79,Milestones!$AA$26)&lt;PolicyEff),1,Milestones!$AC$26)&amp;";  ","")&amp;IF(AND(EDATE($D79,Milestones!$AA$27)&lt;=AsOfDate,EDATE($D79,Milestones!$AA$27)&gt;=SchemeStart,IF($X79=0,$AD79,IF(AND($Z79&lt;&gt;"",EDATE($D79,Milestones!$AA$27)&gt;=$Z79),$AC79,IF(AND($Y79&lt;&gt;"",EDATE($D79,Milestones!$AA$27)&gt;=$Y79),$AB79,$AA79)))=Milestones!$AB$27),UPPER(TEXT(EDATE($D79,Milestones!$AA$27),"dd mmm yy"))&amp;" "&amp;Milestones!$AB$27&amp;" "&amp;IF(AND(Milestones!$AB$27="FT",Milestones!$AA$27=FT_Y5,EDATE($D79,Milestones!$AA$27)&lt;PolicyEff),1,Milestones!$AC$27)&amp;";  ","")&amp;IF(AND(EDATE($D79,Milestones!$AA$28)&lt;=AsOfDate,EDATE($D79,Milestones!$AA$28)&gt;=SchemeStart,IF($X79=0,$AD79,IF(AND($Z79&lt;&gt;"",EDATE($D79,Milestones!$AA$28)&gt;=$Z79),$AC79,IF(AND($Y79&lt;&gt;"",EDATE($D79,Milestones!$AA$28)&gt;=$Y79),$AB79,$AA79)))=Milestones!$AB$28),UPPER(TEXT(EDATE($D79,Milestones!$AA$28),"dd mmm yy"))&amp;" "&amp;Milestones!$AB$28&amp;" "&amp;IF(AND(Milestones!$AB$28="FT",Milestones!$AA$28=FT_Y5,EDATE($D79,Milestones!$AA$28)&lt;PolicyEff),1,Milestones!$AC$28)&amp;";  ","")&amp;IF(AND(EDATE($D79,Milestones!$AA$29)&lt;=AsOfDate,EDATE($D79,Milestones!$AA$29)&gt;=SchemeStart,IF($X79=0,$AD79,IF(AND($Z79&lt;&gt;"",EDATE($D79,Milestones!$AA$29)&gt;=$Z79),$AC79,IF(AND($Y79&lt;&gt;"",EDATE($D79,Milestones!$AA$29)&gt;=$Y79),$AB79,$AA79)))=Milestones!$AB$29),UPPER(TEXT(EDATE($D79,Milestones!$AA$29),"dd mmm yy"))&amp;" "&amp;Milestones!$AB$29&amp;" "&amp;IF(AND(Milestones!$AB$29="FT",Milestones!$AA$29=FT_Y5,EDATE($D79,Milestones!$AA$29)&lt;PolicyEff),1,Milestones!$AC$29)&amp;";  ","")&amp;IF(AND(EDATE($D79,Milestones!$AA$30)&lt;=AsOfDate,EDATE($D79,Milestones!$AA$30)&gt;=SchemeStart,IF($X79=0,$AD79,IF(AND($Z79&lt;&gt;"",EDATE($D79,Milestones!$AA$30)&gt;=$Z79),$AC79,IF(AND($Y79&lt;&gt;"",EDATE($D79,Milestones!$AA$30)&gt;=$Y79),$AB79,$AA79)))=Milestones!$AB$30),UPPER(TEXT(EDATE($D79,Milestones!$AA$30),"dd mmm yy"))&amp;" "&amp;Milestones!$AB$30&amp;" "&amp;IF(AND(Milestones!$AB$30="FT",Milestones!$AA$30=FT_Y5,EDATE($D79,Milestones!$AA$30)&lt;PolicyEff),1,Milestones!$AC$30)&amp;";  ","")&amp;IF(AND(EDATE($D79,Milestones!$AA$31)&lt;=AsOfDate,EDATE($D79,Milestones!$AA$31)&gt;=SchemeStart,IF($X79=0,$AD79,IF(AND($Z79&lt;&gt;"",EDATE($D79,Milestones!$AA$31)&gt;=$Z79),$AC79,IF(AND($Y79&lt;&gt;"",EDATE($D79,Milestones!$AA$31)&gt;=$Y79),$AB79,$AA79)))=Milestones!$AB$31),UPPER(TEXT(EDATE($D79,Milestones!$AA$31),"dd mmm yy"))&amp;" "&amp;Milestones!$AB$31&amp;" "&amp;IF(AND(Milestones!$AB$31="FT",Milestones!$AA$31=FT_Y5,EDATE($D79,Milestones!$AA$31)&lt;PolicyEff),1,Milestones!$AC$31)&amp;";  ",""))</f>
        <v/>
      </c>
      <c r="J79" s="0" t="str">
        <f aca="false">IF(OR($A79="",$D79=""),"",IF(AND(EDATE($D79,Milestones!$AA$32)&lt;=AsOfDate,EDATE($D79,Milestones!$AA$32)&gt;=SchemeStart,IF($X79=0,$AD79,IF(AND($Z79&lt;&gt;"",EDATE($D79,Milestones!$AA$32)&gt;=$Z79),$AC79,IF(AND($Y79&lt;&gt;"",EDATE($D79,Milestones!$AA$32)&gt;=$Y79),$AB79,$AA79)))=Milestones!$AB$32),UPPER(TEXT(EDATE($D79,Milestones!$AA$32),"dd mmm yy"))&amp;" "&amp;Milestones!$AB$32&amp;" "&amp;IF(AND(Milestones!$AB$32="FT",Milestones!$AA$32=FT_Y5,EDATE($D79,Milestones!$AA$32)&lt;PolicyEff),1,Milestones!$AC$32)&amp;";  ","")&amp;IF(AND(EDATE($D79,Milestones!$AA$33)&lt;=AsOfDate,EDATE($D79,Milestones!$AA$33)&gt;=SchemeStart,IF($X79=0,$AD79,IF(AND($Z79&lt;&gt;"",EDATE($D79,Milestones!$AA$33)&gt;=$Z79),$AC79,IF(AND($Y79&lt;&gt;"",EDATE($D79,Milestones!$AA$33)&gt;=$Y79),$AB79,$AA79)))=Milestones!$AB$33),UPPER(TEXT(EDATE($D79,Milestones!$AA$33),"dd mmm yy"))&amp;" "&amp;Milestones!$AB$33&amp;" "&amp;IF(AND(Milestones!$AB$33="FT",Milestones!$AA$33=FT_Y5,EDATE($D79,Milestones!$AA$33)&lt;PolicyEff),1,Milestones!$AC$33)&amp;";  ","")&amp;IF(AND(EDATE($D79,Milestones!$AA$34)&lt;=AsOfDate,EDATE($D79,Milestones!$AA$34)&gt;=SchemeStart,IF($X79=0,$AD79,IF(AND($Z79&lt;&gt;"",EDATE($D79,Milestones!$AA$34)&gt;=$Z79),$AC79,IF(AND($Y79&lt;&gt;"",EDATE($D79,Milestones!$AA$34)&gt;=$Y79),$AB79,$AA79)))=Milestones!$AB$34),UPPER(TEXT(EDATE($D79,Milestones!$AA$34),"dd mmm yy"))&amp;" "&amp;Milestones!$AB$34&amp;" "&amp;IF(AND(Milestones!$AB$34="FT",Milestones!$AA$34=FT_Y5,EDATE($D79,Milestones!$AA$34)&lt;PolicyEff),1,Milestones!$AC$34)&amp;";  ","")&amp;IF(AND(EDATE($D79,Milestones!$AA$35)&lt;=AsOfDate,EDATE($D79,Milestones!$AA$35)&gt;=SchemeStart,IF($X79=0,$AD79,IF(AND($Z79&lt;&gt;"",EDATE($D79,Milestones!$AA$35)&gt;=$Z79),$AC79,IF(AND($Y79&lt;&gt;"",EDATE($D79,Milestones!$AA$35)&gt;=$Y79),$AB79,$AA79)))=Milestones!$AB$35),UPPER(TEXT(EDATE($D79,Milestones!$AA$35),"dd mmm yy"))&amp;" "&amp;Milestones!$AB$35&amp;" "&amp;IF(AND(Milestones!$AB$35="FT",Milestones!$AA$35=FT_Y5,EDATE($D79,Milestones!$AA$35)&lt;PolicyEff),1,Milestones!$AC$35)&amp;";  ","")&amp;IF(AND(EDATE($D79,Milestones!$AA$36)&lt;=AsOfDate,EDATE($D79,Milestones!$AA$36)&gt;=SchemeStart,IF($X79=0,$AD79,IF(AND($Z79&lt;&gt;"",EDATE($D79,Milestones!$AA$36)&gt;=$Z79),$AC79,IF(AND($Y79&lt;&gt;"",EDATE($D79,Milestones!$AA$36)&gt;=$Y79),$AB79,$AA79)))=Milestones!$AB$36),UPPER(TEXT(EDATE($D79,Milestones!$AA$36),"dd mmm yy"))&amp;" "&amp;Milestones!$AB$36&amp;" "&amp;IF(AND(Milestones!$AB$36="FT",Milestones!$AA$36=FT_Y5,EDATE($D79,Milestones!$AA$36)&lt;PolicyEff),1,Milestones!$AC$36)&amp;";  ","")&amp;IF(AND(EDATE($D79,Milestones!$AA$37)&lt;=AsOfDate,EDATE($D79,Milestones!$AA$37)&gt;=SchemeStart,IF($X79=0,$AD79,IF(AND($Z79&lt;&gt;"",EDATE($D79,Milestones!$AA$37)&gt;=$Z79),$AC79,IF(AND($Y79&lt;&gt;"",EDATE($D79,Milestones!$AA$37)&gt;=$Y79),$AB79,$AA79)))=Milestones!$AB$37),UPPER(TEXT(EDATE($D79,Milestones!$AA$37),"dd mmm yy"))&amp;" "&amp;Milestones!$AB$37&amp;" "&amp;IF(AND(Milestones!$AB$37="FT",Milestones!$AA$37=FT_Y5,EDATE($D79,Milestones!$AA$37)&lt;PolicyEff),1,Milestones!$AC$37)&amp;";  ","")&amp;IF(AND(EDATE($D79,Milestones!$AA$38)&lt;=AsOfDate,EDATE($D79,Milestones!$AA$38)&gt;=SchemeStart,IF($X79=0,$AD79,IF(AND($Z79&lt;&gt;"",EDATE($D79,Milestones!$AA$38)&gt;=$Z79),$AC79,IF(AND($Y79&lt;&gt;"",EDATE($D79,Milestones!$AA$38)&gt;=$Y79),$AB79,$AA79)))=Milestones!$AB$38),UPPER(TEXT(EDATE($D79,Milestones!$AA$38),"dd mmm yy"))&amp;" "&amp;Milestones!$AB$38&amp;" "&amp;IF(AND(Milestones!$AB$38="FT",Milestones!$AA$38=FT_Y5,EDATE($D79,Milestones!$AA$38)&lt;PolicyEff),1,Milestones!$AC$38)&amp;";  ","")&amp;IF(AND(EDATE($D79,Milestones!$AA$39)&lt;=AsOfDate,EDATE($D79,Milestones!$AA$39)&gt;=SchemeStart,IF($X79=0,$AD79,IF(AND($Z79&lt;&gt;"",EDATE($D79,Milestones!$AA$39)&gt;=$Z79),$AC79,IF(AND($Y79&lt;&gt;"",EDATE($D79,Milestones!$AA$39)&gt;=$Y79),$AB79,$AA79)))=Milestones!$AB$39),UPPER(TEXT(EDATE($D79,Milestones!$AA$39),"dd mmm yy"))&amp;" "&amp;Milestones!$AB$39&amp;" "&amp;IF(AND(Milestones!$AB$39="FT",Milestones!$AA$39=FT_Y5,EDATE($D79,Milestones!$AA$39)&lt;PolicyEff),1,Milestones!$AC$39)&amp;";  ","")&amp;IF(AND(EDATE($D79,Milestones!$AA$40)&lt;=AsOfDate,EDATE($D79,Milestones!$AA$40)&gt;=SchemeStart,IF($X79=0,$AD79,IF(AND($Z79&lt;&gt;"",EDATE($D79,Milestones!$AA$40)&gt;=$Z79),$AC79,IF(AND($Y79&lt;&gt;"",EDATE($D79,Milestones!$AA$40)&gt;=$Y79),$AB79,$AA79)))=Milestones!$AB$40),UPPER(TEXT(EDATE($D79,Milestones!$AA$40),"dd mmm yy"))&amp;" "&amp;Milestones!$AB$40&amp;" "&amp;IF(AND(Milestones!$AB$40="FT",Milestones!$AA$40=FT_Y5,EDATE($D79,Milestones!$AA$40)&lt;PolicyEff),1,Milestones!$AC$40)&amp;";  ","")&amp;IF(AND(EDATE($D79,Milestones!$AA$41)&lt;=AsOfDate,EDATE($D79,Milestones!$AA$41)&gt;=SchemeStart,IF($X79=0,$AD79,IF(AND($Z79&lt;&gt;"",EDATE($D79,Milestones!$AA$41)&gt;=$Z79),$AC79,IF(AND($Y79&lt;&gt;"",EDATE($D79,Milestones!$AA$41)&gt;=$Y79),$AB79,$AA79)))=Milestones!$AB$41),UPPER(TEXT(EDATE($D79,Milestones!$AA$41),"dd mmm yy"))&amp;" "&amp;Milestones!$AB$41&amp;" "&amp;IF(AND(Milestones!$AB$41="FT",Milestones!$AA$41=FT_Y5,EDATE($D79,Milestones!$AA$41)&lt;PolicyEff),1,Milestones!$AC$41)&amp;";  ","")&amp;IF(AND(EDATE($D79,Milestones!$AA$42)&lt;=AsOfDate,EDATE($D79,Milestones!$AA$42)&gt;=SchemeStart,IF($X79=0,$AD79,IF(AND($Z79&lt;&gt;"",EDATE($D79,Milestones!$AA$42)&gt;=$Z79),$AC79,IF(AND($Y79&lt;&gt;"",EDATE($D79,Milestones!$AA$42)&gt;=$Y79),$AB79,$AA79)))=Milestones!$AB$42),UPPER(TEXT(EDATE($D79,Milestones!$AA$42),"dd mmm yy"))&amp;" "&amp;Milestones!$AB$42&amp;" "&amp;IF(AND(Milestones!$AB$42="FT",Milestones!$AA$42=FT_Y5,EDATE($D79,Milestones!$AA$42)&lt;PolicyEff),1,Milestones!$AC$42)&amp;";  ","")&amp;IF(AND(EDATE($D79,Milestones!$AA$43)&lt;=AsOfDate,EDATE($D79,Milestones!$AA$43)&gt;=SchemeStart,IF($X79=0,$AD79,IF(AND($Z79&lt;&gt;"",EDATE($D79,Milestones!$AA$43)&gt;=$Z79),$AC79,IF(AND($Y79&lt;&gt;"",EDATE($D79,Milestones!$AA$43)&gt;=$Y79),$AB79,$AA79)))=Milestones!$AB$43),UPPER(TEXT(EDATE($D79,Milestones!$AA$43),"dd mmm yy"))&amp;" "&amp;Milestones!$AB$43&amp;" "&amp;IF(AND(Milestones!$AB$43="FT",Milestones!$AA$43=FT_Y5,EDATE($D79,Milestones!$AA$43)&lt;PolicyEff),1,Milestones!$AC$43)&amp;";  ",""))</f>
        <v/>
      </c>
      <c r="K79" s="0" t="str">
        <f aca="false">IF(OR($A79="",$D79=""),"",IF(AND(EDATE($D79,Milestones!$AA$44)&lt;=AsOfDate,EDATE($D79,Milestones!$AA$44)&gt;=SchemeStart,IF($X79=0,$AD79,IF(AND($Z79&lt;&gt;"",EDATE($D79,Milestones!$AA$44)&gt;=$Z79),$AC79,IF(AND($Y79&lt;&gt;"",EDATE($D79,Milestones!$AA$44)&gt;=$Y79),$AB79,$AA79)))=Milestones!$AB$44),UPPER(TEXT(EDATE($D79,Milestones!$AA$44),"dd mmm yy"))&amp;" "&amp;Milestones!$AB$44&amp;" "&amp;IF(AND(Milestones!$AB$44="FT",Milestones!$AA$44=FT_Y5,EDATE($D79,Milestones!$AA$44)&lt;PolicyEff),1,Milestones!$AC$44)&amp;";  ","")&amp;IF(AND(EDATE($D79,Milestones!$AA$45)&lt;=AsOfDate,EDATE($D79,Milestones!$AA$45)&gt;=SchemeStart,IF($X79=0,$AD79,IF(AND($Z79&lt;&gt;"",EDATE($D79,Milestones!$AA$45)&gt;=$Z79),$AC79,IF(AND($Y79&lt;&gt;"",EDATE($D79,Milestones!$AA$45)&gt;=$Y79),$AB79,$AA79)))=Milestones!$AB$45),UPPER(TEXT(EDATE($D79,Milestones!$AA$45),"dd mmm yy"))&amp;" "&amp;Milestones!$AB$45&amp;" "&amp;IF(AND(Milestones!$AB$45="FT",Milestones!$AA$45=FT_Y5,EDATE($D79,Milestones!$AA$45)&lt;PolicyEff),1,Milestones!$AC$45)&amp;";  ","")&amp;IF(AND(EDATE($D79,Milestones!$AA$46)&lt;=AsOfDate,EDATE($D79,Milestones!$AA$46)&gt;=SchemeStart,IF($X79=0,$AD79,IF(AND($Z79&lt;&gt;"",EDATE($D79,Milestones!$AA$46)&gt;=$Z79),$AC79,IF(AND($Y79&lt;&gt;"",EDATE($D79,Milestones!$AA$46)&gt;=$Y79),$AB79,$AA79)))=Milestones!$AB$46),UPPER(TEXT(EDATE($D79,Milestones!$AA$46),"dd mmm yy"))&amp;" "&amp;Milestones!$AB$46&amp;" "&amp;IF(AND(Milestones!$AB$46="FT",Milestones!$AA$46=FT_Y5,EDATE($D79,Milestones!$AA$46)&lt;PolicyEff),1,Milestones!$AC$46)&amp;";  ","")&amp;IF(AND(EDATE($D79,Milestones!$AA$47)&lt;=AsOfDate,EDATE($D79,Milestones!$AA$47)&gt;=SchemeStart,IF($X79=0,$AD79,IF(AND($Z79&lt;&gt;"",EDATE($D79,Milestones!$AA$47)&gt;=$Z79),$AC79,IF(AND($Y79&lt;&gt;"",EDATE($D79,Milestones!$AA$47)&gt;=$Y79),$AB79,$AA79)))=Milestones!$AB$47),UPPER(TEXT(EDATE($D79,Milestones!$AA$47),"dd mmm yy"))&amp;" "&amp;Milestones!$AB$47&amp;" "&amp;IF(AND(Milestones!$AB$47="FT",Milestones!$AA$47=FT_Y5,EDATE($D79,Milestones!$AA$47)&lt;PolicyEff),1,Milestones!$AC$47)&amp;";  ","")&amp;IF(AND(EDATE($D79,Milestones!$AA$48)&lt;=AsOfDate,EDATE($D79,Milestones!$AA$48)&gt;=SchemeStart,IF($X79=0,$AD79,IF(AND($Z79&lt;&gt;"",EDATE($D79,Milestones!$AA$48)&gt;=$Z79),$AC79,IF(AND($Y79&lt;&gt;"",EDATE($D79,Milestones!$AA$48)&gt;=$Y79),$AB79,$AA79)))=Milestones!$AB$48),UPPER(TEXT(EDATE($D79,Milestones!$AA$48),"dd mmm yy"))&amp;" "&amp;Milestones!$AB$48&amp;" "&amp;IF(AND(Milestones!$AB$48="FT",Milestones!$AA$48=FT_Y5,EDATE($D79,Milestones!$AA$48)&lt;PolicyEff),1,Milestones!$AC$48)&amp;";  ","")&amp;IF(AND(EDATE($D79,Milestones!$AA$49)&lt;=AsOfDate,EDATE($D79,Milestones!$AA$49)&gt;=SchemeStart,IF($X79=0,$AD79,IF(AND($Z79&lt;&gt;"",EDATE($D79,Milestones!$AA$49)&gt;=$Z79),$AC79,IF(AND($Y79&lt;&gt;"",EDATE($D79,Milestones!$AA$49)&gt;=$Y79),$AB79,$AA79)))=Milestones!$AB$49),UPPER(TEXT(EDATE($D79,Milestones!$AA$49),"dd mmm yy"))&amp;" "&amp;Milestones!$AB$49&amp;" "&amp;IF(AND(Milestones!$AB$49="FT",Milestones!$AA$49=FT_Y5,EDATE($D79,Milestones!$AA$49)&lt;PolicyEff),1,Milestones!$AC$49)&amp;";  ","")&amp;IF(AND(EDATE($D79,Milestones!$AA$50)&lt;=AsOfDate,EDATE($D79,Milestones!$AA$50)&gt;=SchemeStart,IF($X79=0,$AD79,IF(AND($Z79&lt;&gt;"",EDATE($D79,Milestones!$AA$50)&gt;=$Z79),$AC79,IF(AND($Y79&lt;&gt;"",EDATE($D79,Milestones!$AA$50)&gt;=$Y79),$AB79,$AA79)))=Milestones!$AB$50),UPPER(TEXT(EDATE($D79,Milestones!$AA$50),"dd mmm yy"))&amp;" "&amp;Milestones!$AB$50&amp;" "&amp;IF(AND(Milestones!$AB$50="FT",Milestones!$AA$50=FT_Y5,EDATE($D79,Milestones!$AA$50)&lt;PolicyEff),1,Milestones!$AC$50)&amp;";  ","")&amp;IF(AND(EDATE($D79,Milestones!$AA$51)&lt;=AsOfDate,EDATE($D79,Milestones!$AA$51)&gt;=SchemeStart,IF($X79=0,$AD79,IF(AND($Z79&lt;&gt;"",EDATE($D79,Milestones!$AA$51)&gt;=$Z79),$AC79,IF(AND($Y79&lt;&gt;"",EDATE($D79,Milestones!$AA$51)&gt;=$Y79),$AB79,$AA79)))=Milestones!$AB$51),UPPER(TEXT(EDATE($D79,Milestones!$AA$51),"dd mmm yy"))&amp;" "&amp;Milestones!$AB$51&amp;" "&amp;IF(AND(Milestones!$AB$51="FT",Milestones!$AA$51=FT_Y5,EDATE($D79,Milestones!$AA$51)&lt;PolicyEff),1,Milestones!$AC$51)&amp;";  ","")&amp;IF(AND(EDATE($D79,Milestones!$AA$52)&lt;=AsOfDate,EDATE($D79,Milestones!$AA$52)&gt;=SchemeStart,IF($X79=0,$AD79,IF(AND($Z79&lt;&gt;"",EDATE($D79,Milestones!$AA$52)&gt;=$Z79),$AC79,IF(AND($Y79&lt;&gt;"",EDATE($D79,Milestones!$AA$52)&gt;=$Y79),$AB79,$AA79)))=Milestones!$AB$52),UPPER(TEXT(EDATE($D79,Milestones!$AA$52),"dd mmm yy"))&amp;" "&amp;Milestones!$AB$52&amp;" "&amp;IF(AND(Milestones!$AB$52="FT",Milestones!$AA$52=FT_Y5,EDATE($D79,Milestones!$AA$52)&lt;PolicyEff),1,Milestones!$AC$52)&amp;";  ","")&amp;IF(AND(EDATE($D79,Milestones!$AA$53)&lt;=AsOfDate,EDATE($D79,Milestones!$AA$53)&gt;=SchemeStart,IF($X79=0,$AD79,IF(AND($Z79&lt;&gt;"",EDATE($D79,Milestones!$AA$53)&gt;=$Z79),$AC79,IF(AND($Y79&lt;&gt;"",EDATE($D79,Milestones!$AA$53)&gt;=$Y79),$AB79,$AA79)))=Milestones!$AB$53),UPPER(TEXT(EDATE($D79,Milestones!$AA$53),"dd mmm yy"))&amp;" "&amp;Milestones!$AB$53&amp;" "&amp;IF(AND(Milestones!$AB$53="FT",Milestones!$AA$53=FT_Y5,EDATE($D79,Milestones!$AA$53)&lt;PolicyEff),1,Milestones!$AC$53)&amp;";  ","")&amp;IF(AND(EDATE($D79,Milestones!$AA$54)&lt;=AsOfDate,EDATE($D79,Milestones!$AA$54)&gt;=SchemeStart,IF($X79=0,$AD79,IF(AND($Z79&lt;&gt;"",EDATE($D79,Milestones!$AA$54)&gt;=$Z79),$AC79,IF(AND($Y79&lt;&gt;"",EDATE($D79,Milestones!$AA$54)&gt;=$Y79),$AB79,$AA79)))=Milestones!$AB$54),UPPER(TEXT(EDATE($D79,Milestones!$AA$54),"dd mmm yy"))&amp;" "&amp;Milestones!$AB$54&amp;" "&amp;IF(AND(Milestones!$AB$54="FT",Milestones!$AA$54=FT_Y5,EDATE($D79,Milestones!$AA$54)&lt;PolicyEff),1,Milestones!$AC$54)&amp;";  ","")&amp;IF(AND(EDATE($D79,Milestones!$AA$55)&lt;=AsOfDate,EDATE($D79,Milestones!$AA$55)&gt;=SchemeStart,IF($X79=0,$AD79,IF(AND($Z79&lt;&gt;"",EDATE($D79,Milestones!$AA$55)&gt;=$Z79),$AC79,IF(AND($Y79&lt;&gt;"",EDATE($D79,Milestones!$AA$55)&gt;=$Y79),$AB79,$AA79)))=Milestones!$AB$55),UPPER(TEXT(EDATE($D79,Milestones!$AA$55),"dd mmm yy"))&amp;" "&amp;Milestones!$AB$55&amp;" "&amp;IF(AND(Milestones!$AB$55="FT",Milestones!$AA$55=FT_Y5,EDATE($D79,Milestones!$AA$55)&lt;PolicyEff),1,Milestones!$AC$55)&amp;";  ",""))</f>
        <v/>
      </c>
      <c r="L79" s="0" t="str">
        <f aca="false">IF(OR($A79="",$D79=""),"",IF(AND(EDATE($D79,Milestones!$AA$56)&lt;=AsOfDate,EDATE($D79,Milestones!$AA$56)&gt;=SchemeStart,IF($X79=0,$AD79,IF(AND($Z79&lt;&gt;"",EDATE($D79,Milestones!$AA$56)&gt;=$Z79),$AC79,IF(AND($Y79&lt;&gt;"",EDATE($D79,Milestones!$AA$56)&gt;=$Y79),$AB79,$AA79)))=Milestones!$AB$56),UPPER(TEXT(EDATE($D79,Milestones!$AA$56),"dd mmm yy"))&amp;" "&amp;Milestones!$AB$56&amp;" "&amp;IF(AND(Milestones!$AB$56="FT",Milestones!$AA$56=FT_Y5,EDATE($D79,Milestones!$AA$56)&lt;PolicyEff),1,Milestones!$AC$56)&amp;";  ","")&amp;IF(AND(EDATE($D79,Milestones!$AA$57)&lt;=AsOfDate,EDATE($D79,Milestones!$AA$57)&gt;=SchemeStart,IF($X79=0,$AD79,IF(AND($Z79&lt;&gt;"",EDATE($D79,Milestones!$AA$57)&gt;=$Z79),$AC79,IF(AND($Y79&lt;&gt;"",EDATE($D79,Milestones!$AA$57)&gt;=$Y79),$AB79,$AA79)))=Milestones!$AB$57),UPPER(TEXT(EDATE($D79,Milestones!$AA$57),"dd mmm yy"))&amp;" "&amp;Milestones!$AB$57&amp;" "&amp;IF(AND(Milestones!$AB$57="FT",Milestones!$AA$57=FT_Y5,EDATE($D79,Milestones!$AA$57)&lt;PolicyEff),1,Milestones!$AC$57)&amp;";  ","")&amp;IF(AND(EDATE($D79,Milestones!$AA$58)&lt;=AsOfDate,EDATE($D79,Milestones!$AA$58)&gt;=SchemeStart,IF($X79=0,$AD79,IF(AND($Z79&lt;&gt;"",EDATE($D79,Milestones!$AA$58)&gt;=$Z79),$AC79,IF(AND($Y79&lt;&gt;"",EDATE($D79,Milestones!$AA$58)&gt;=$Y79),$AB79,$AA79)))=Milestones!$AB$58),UPPER(TEXT(EDATE($D79,Milestones!$AA$58),"dd mmm yy"))&amp;" "&amp;Milestones!$AB$58&amp;" "&amp;IF(AND(Milestones!$AB$58="FT",Milestones!$AA$58=FT_Y5,EDATE($D79,Milestones!$AA$58)&lt;PolicyEff),1,Milestones!$AC$58)&amp;";  ","")&amp;IF(AND(EDATE($D79,Milestones!$AA$59)&lt;=AsOfDate,EDATE($D79,Milestones!$AA$59)&gt;=SchemeStart,IF($X79=0,$AD79,IF(AND($Z79&lt;&gt;"",EDATE($D79,Milestones!$AA$59)&gt;=$Z79),$AC79,IF(AND($Y79&lt;&gt;"",EDATE($D79,Milestones!$AA$59)&gt;=$Y79),$AB79,$AA79)))=Milestones!$AB$59),UPPER(TEXT(EDATE($D79,Milestones!$AA$59),"dd mmm yy"))&amp;" "&amp;Milestones!$AB$59&amp;" "&amp;IF(AND(Milestones!$AB$59="FT",Milestones!$AA$59=FT_Y5,EDATE($D79,Milestones!$AA$59)&lt;PolicyEff),1,Milestones!$AC$59)&amp;";  ","")&amp;IF(AND(EDATE($D79,Milestones!$AA$60)&lt;=AsOfDate,EDATE($D79,Milestones!$AA$60)&gt;=SchemeStart,IF($X79=0,$AD79,IF(AND($Z79&lt;&gt;"",EDATE($D79,Milestones!$AA$60)&gt;=$Z79),$AC79,IF(AND($Y79&lt;&gt;"",EDATE($D79,Milestones!$AA$60)&gt;=$Y79),$AB79,$AA79)))=Milestones!$AB$60),UPPER(TEXT(EDATE($D79,Milestones!$AA$60),"dd mmm yy"))&amp;" "&amp;Milestones!$AB$60&amp;" "&amp;IF(AND(Milestones!$AB$60="FT",Milestones!$AA$60=FT_Y5,EDATE($D79,Milestones!$AA$60)&lt;PolicyEff),1,Milestones!$AC$60)&amp;";  ","")&amp;IF(AND(EDATE($D79,Milestones!$AA$61)&lt;=AsOfDate,EDATE($D79,Milestones!$AA$61)&gt;=SchemeStart,IF($X79=0,$AD79,IF(AND($Z79&lt;&gt;"",EDATE($D79,Milestones!$AA$61)&gt;=$Z79),$AC79,IF(AND($Y79&lt;&gt;"",EDATE($D79,Milestones!$AA$61)&gt;=$Y79),$AB79,$AA79)))=Milestones!$AB$61),UPPER(TEXT(EDATE($D79,Milestones!$AA$61),"dd mmm yy"))&amp;" "&amp;Milestones!$AB$61&amp;" "&amp;IF(AND(Milestones!$AB$61="FT",Milestones!$AA$61=FT_Y5,EDATE($D79,Milestones!$AA$61)&lt;PolicyEff),1,Milestones!$AC$61)&amp;";  ","")&amp;IF(AND(EDATE($D79,Milestones!$AA$62)&lt;=AsOfDate,EDATE($D79,Milestones!$AA$62)&gt;=SchemeStart,IF($X79=0,$AD79,IF(AND($Z79&lt;&gt;"",EDATE($D79,Milestones!$AA$62)&gt;=$Z79),$AC79,IF(AND($Y79&lt;&gt;"",EDATE($D79,Milestones!$AA$62)&gt;=$Y79),$AB79,$AA79)))=Milestones!$AB$62),UPPER(TEXT(EDATE($D79,Milestones!$AA$62),"dd mmm yy"))&amp;" "&amp;Milestones!$AB$62&amp;" "&amp;IF(AND(Milestones!$AB$62="FT",Milestones!$AA$62=FT_Y5,EDATE($D79,Milestones!$AA$62)&lt;PolicyEff),1,Milestones!$AC$62)&amp;";  ","")&amp;IF(AND(EDATE($D79,Milestones!$AA$63)&lt;=AsOfDate,EDATE($D79,Milestones!$AA$63)&gt;=SchemeStart,IF($X79=0,$AD79,IF(AND($Z79&lt;&gt;"",EDATE($D79,Milestones!$AA$63)&gt;=$Z79),$AC79,IF(AND($Y79&lt;&gt;"",EDATE($D79,Milestones!$AA$63)&gt;=$Y79),$AB79,$AA79)))=Milestones!$AB$63),UPPER(TEXT(EDATE($D79,Milestones!$AA$63),"dd mmm yy"))&amp;" "&amp;Milestones!$AB$63&amp;" "&amp;IF(AND(Milestones!$AB$63="FT",Milestones!$AA$63=FT_Y5,EDATE($D79,Milestones!$AA$63)&lt;PolicyEff),1,Milestones!$AC$63)&amp;";  ","")&amp;IF(AND(EDATE($D79,Milestones!$AA$64)&lt;=AsOfDate,EDATE($D79,Milestones!$AA$64)&gt;=SchemeStart,IF($X79=0,$AD79,IF(AND($Z79&lt;&gt;"",EDATE($D79,Milestones!$AA$64)&gt;=$Z79),$AC79,IF(AND($Y79&lt;&gt;"",EDATE($D79,Milestones!$AA$64)&gt;=$Y79),$AB79,$AA79)))=Milestones!$AB$64),UPPER(TEXT(EDATE($D79,Milestones!$AA$64),"dd mmm yy"))&amp;" "&amp;Milestones!$AB$64&amp;" "&amp;IF(AND(Milestones!$AB$64="FT",Milestones!$AA$64=FT_Y5,EDATE($D79,Milestones!$AA$64)&lt;PolicyEff),1,Milestones!$AC$64)&amp;";  ","")&amp;IF(AND(EDATE($D79,Milestones!$AA$65)&lt;=AsOfDate,EDATE($D79,Milestones!$AA$65)&gt;=SchemeStart,IF($X79=0,$AD79,IF(AND($Z79&lt;&gt;"",EDATE($D79,Milestones!$AA$65)&gt;=$Z79),$AC79,IF(AND($Y79&lt;&gt;"",EDATE($D79,Milestones!$AA$65)&gt;=$Y79),$AB79,$AA79)))=Milestones!$AB$65),UPPER(TEXT(EDATE($D79,Milestones!$AA$65),"dd mmm yy"))&amp;" "&amp;Milestones!$AB$65&amp;" "&amp;IF(AND(Milestones!$AB$65="FT",Milestones!$AA$65=FT_Y5,EDATE($D79,Milestones!$AA$65)&lt;PolicyEff),1,Milestones!$AC$65)&amp;";  ","")&amp;IF(AND(EDATE($D79,Milestones!$AA$66)&lt;=AsOfDate,EDATE($D79,Milestones!$AA$66)&gt;=SchemeStart,IF($X79=0,$AD79,IF(AND($Z79&lt;&gt;"",EDATE($D79,Milestones!$AA$66)&gt;=$Z79),$AC79,IF(AND($Y79&lt;&gt;"",EDATE($D79,Milestones!$AA$66)&gt;=$Y79),$AB79,$AA79)))=Milestones!$AB$66),UPPER(TEXT(EDATE($D79,Milestones!$AA$66),"dd mmm yy"))&amp;" "&amp;Milestones!$AB$66&amp;" "&amp;IF(AND(Milestones!$AB$66="FT",Milestones!$AA$66=FT_Y5,EDATE($D79,Milestones!$AA$66)&lt;PolicyEff),1,Milestones!$AC$66)&amp;";  ","")&amp;IF(AND(EDATE($D79,Milestones!$AA$67)&lt;=AsOfDate,EDATE($D79,Milestones!$AA$67)&gt;=SchemeStart,IF($X79=0,$AD79,IF(AND($Z79&lt;&gt;"",EDATE($D79,Milestones!$AA$67)&gt;=$Z79),$AC79,IF(AND($Y79&lt;&gt;"",EDATE($D79,Milestones!$AA$67)&gt;=$Y79),$AB79,$AA79)))=Milestones!$AB$67),UPPER(TEXT(EDATE($D79,Milestones!$AA$67),"dd mmm yy"))&amp;" "&amp;Milestones!$AB$67&amp;" "&amp;IF(AND(Milestones!$AB$67="FT",Milestones!$AA$67=FT_Y5,EDATE($D79,Milestones!$AA$67)&lt;PolicyEff),1,Milestones!$AC$67)&amp;";  ",""))</f>
        <v/>
      </c>
      <c r="M79" s="0" t="str">
        <f aca="false">IF(OR($A79="",$D79=""),"",IF(AND(EDATE($D79,Milestones!$AA$68)&lt;=AsOfDate,EDATE($D79,Milestones!$AA$68)&gt;=SchemeStart,IF($X79=0,$AD79,IF(AND($Z79&lt;&gt;"",EDATE($D79,Milestones!$AA$68)&gt;=$Z79),$AC79,IF(AND($Y79&lt;&gt;"",EDATE($D79,Milestones!$AA$68)&gt;=$Y79),$AB79,$AA79)))=Milestones!$AB$68),UPPER(TEXT(EDATE($D79,Milestones!$AA$68),"dd mmm yy"))&amp;" "&amp;Milestones!$AB$68&amp;" "&amp;IF(AND(Milestones!$AB$68="FT",Milestones!$AA$68=FT_Y5,EDATE($D79,Milestones!$AA$68)&lt;PolicyEff),1,Milestones!$AC$68)&amp;";  ","")&amp;IF(AND(EDATE($D79,Milestones!$AA$69)&lt;=AsOfDate,EDATE($D79,Milestones!$AA$69)&gt;=SchemeStart,IF($X79=0,$AD79,IF(AND($Z79&lt;&gt;"",EDATE($D79,Milestones!$AA$69)&gt;=$Z79),$AC79,IF(AND($Y79&lt;&gt;"",EDATE($D79,Milestones!$AA$69)&gt;=$Y79),$AB79,$AA79)))=Milestones!$AB$69),UPPER(TEXT(EDATE($D79,Milestones!$AA$69),"dd mmm yy"))&amp;" "&amp;Milestones!$AB$69&amp;" "&amp;IF(AND(Milestones!$AB$69="FT",Milestones!$AA$69=FT_Y5,EDATE($D79,Milestones!$AA$69)&lt;PolicyEff),1,Milestones!$AC$69)&amp;";  ","")&amp;IF(AND(EDATE($D79,Milestones!$AA$70)&lt;=AsOfDate,EDATE($D79,Milestones!$AA$70)&gt;=SchemeStart,IF($X79=0,$AD79,IF(AND($Z79&lt;&gt;"",EDATE($D79,Milestones!$AA$70)&gt;=$Z79),$AC79,IF(AND($Y79&lt;&gt;"",EDATE($D79,Milestones!$AA$70)&gt;=$Y79),$AB79,$AA79)))=Milestones!$AB$70),UPPER(TEXT(EDATE($D79,Milestones!$AA$70),"dd mmm yy"))&amp;" "&amp;Milestones!$AB$70&amp;" "&amp;IF(AND(Milestones!$AB$70="FT",Milestones!$AA$70=FT_Y5,EDATE($D79,Milestones!$AA$70)&lt;PolicyEff),1,Milestones!$AC$70)&amp;";  ","")&amp;IF(AND(EDATE($D79,Milestones!$AA$71)&lt;=AsOfDate,EDATE($D79,Milestones!$AA$71)&gt;=SchemeStart,IF($X79=0,$AD79,IF(AND($Z79&lt;&gt;"",EDATE($D79,Milestones!$AA$71)&gt;=$Z79),$AC79,IF(AND($Y79&lt;&gt;"",EDATE($D79,Milestones!$AA$71)&gt;=$Y79),$AB79,$AA79)))=Milestones!$AB$71),UPPER(TEXT(EDATE($D79,Milestones!$AA$71),"dd mmm yy"))&amp;" "&amp;Milestones!$AB$71&amp;" "&amp;IF(AND(Milestones!$AB$71="FT",Milestones!$AA$71=FT_Y5,EDATE($D79,Milestones!$AA$71)&lt;PolicyEff),1,Milestones!$AC$71)&amp;";  ","")&amp;IF(AND(EDATE($D79,Milestones!$AA$72)&lt;=AsOfDate,EDATE($D79,Milestones!$AA$72)&gt;=SchemeStart,IF($X79=0,$AD79,IF(AND($Z79&lt;&gt;"",EDATE($D79,Milestones!$AA$72)&gt;=$Z79),$AC79,IF(AND($Y79&lt;&gt;"",EDATE($D79,Milestones!$AA$72)&gt;=$Y79),$AB79,$AA79)))=Milestones!$AB$72),UPPER(TEXT(EDATE($D79,Milestones!$AA$72),"dd mmm yy"))&amp;" "&amp;Milestones!$AB$72&amp;" "&amp;IF(AND(Milestones!$AB$72="FT",Milestones!$AA$72=FT_Y5,EDATE($D79,Milestones!$AA$72)&lt;PolicyEff),1,Milestones!$AC$72)&amp;";  ","")&amp;IF(AND(EDATE($D79,Milestones!$AA$73)&lt;=AsOfDate,EDATE($D79,Milestones!$AA$73)&gt;=SchemeStart,IF($X79=0,$AD79,IF(AND($Z79&lt;&gt;"",EDATE($D79,Milestones!$AA$73)&gt;=$Z79),$AC79,IF(AND($Y79&lt;&gt;"",EDATE($D79,Milestones!$AA$73)&gt;=$Y79),$AB79,$AA79)))=Milestones!$AB$73),UPPER(TEXT(EDATE($D79,Milestones!$AA$73),"dd mmm yy"))&amp;" "&amp;Milestones!$AB$73&amp;" "&amp;IF(AND(Milestones!$AB$73="FT",Milestones!$AA$73=FT_Y5,EDATE($D79,Milestones!$AA$73)&lt;PolicyEff),1,Milestones!$AC$73)&amp;";  ","")&amp;IF(AND(EDATE($D79,Milestones!$AA$74)&lt;=AsOfDate,EDATE($D79,Milestones!$AA$74)&gt;=SchemeStart,IF($X79=0,$AD79,IF(AND($Z79&lt;&gt;"",EDATE($D79,Milestones!$AA$74)&gt;=$Z79),$AC79,IF(AND($Y79&lt;&gt;"",EDATE($D79,Milestones!$AA$74)&gt;=$Y79),$AB79,$AA79)))=Milestones!$AB$74),UPPER(TEXT(EDATE($D79,Milestones!$AA$74),"dd mmm yy"))&amp;" "&amp;Milestones!$AB$74&amp;" "&amp;IF(AND(Milestones!$AB$74="FT",Milestones!$AA$74=FT_Y5,EDATE($D79,Milestones!$AA$74)&lt;PolicyEff),1,Milestones!$AC$74)&amp;";  ","")&amp;IF(AND(EDATE($D79,Milestones!$AA$75)&lt;=AsOfDate,EDATE($D79,Milestones!$AA$75)&gt;=SchemeStart,IF($X79=0,$AD79,IF(AND($Z79&lt;&gt;"",EDATE($D79,Milestones!$AA$75)&gt;=$Z79),$AC79,IF(AND($Y79&lt;&gt;"",EDATE($D79,Milestones!$AA$75)&gt;=$Y79),$AB79,$AA79)))=Milestones!$AB$75),UPPER(TEXT(EDATE($D79,Milestones!$AA$75),"dd mmm yy"))&amp;" "&amp;Milestones!$AB$75&amp;" "&amp;IF(AND(Milestones!$AB$75="FT",Milestones!$AA$75=FT_Y5,EDATE($D79,Milestones!$AA$75)&lt;PolicyEff),1,Milestones!$AC$75)&amp;";  ","")&amp;IF(AND(EDATE($D79,Milestones!$AA$76)&lt;=AsOfDate,EDATE($D79,Milestones!$AA$76)&gt;=SchemeStart,IF($X79=0,$AD79,IF(AND($Z79&lt;&gt;"",EDATE($D79,Milestones!$AA$76)&gt;=$Z79),$AC79,IF(AND($Y79&lt;&gt;"",EDATE($D79,Milestones!$AA$76)&gt;=$Y79),$AB79,$AA79)))=Milestones!$AB$76),UPPER(TEXT(EDATE($D79,Milestones!$AA$76),"dd mmm yy"))&amp;" "&amp;Milestones!$AB$76&amp;" "&amp;IF(AND(Milestones!$AB$76="FT",Milestones!$AA$76=FT_Y5,EDATE($D79,Milestones!$AA$76)&lt;PolicyEff),1,Milestones!$AC$76)&amp;";  ","")&amp;IF(AND(EDATE($D79,Milestones!$AA$77)&lt;=AsOfDate,EDATE($D79,Milestones!$AA$77)&gt;=SchemeStart,IF($X79=0,$AD79,IF(AND($Z79&lt;&gt;"",EDATE($D79,Milestones!$AA$77)&gt;=$Z79),$AC79,IF(AND($Y79&lt;&gt;"",EDATE($D79,Milestones!$AA$77)&gt;=$Y79),$AB79,$AA79)))=Milestones!$AB$77),UPPER(TEXT(EDATE($D79,Milestones!$AA$77),"dd mmm yy"))&amp;" "&amp;Milestones!$AB$77&amp;" "&amp;IF(AND(Milestones!$AB$77="FT",Milestones!$AA$77=FT_Y5,EDATE($D79,Milestones!$AA$77)&lt;PolicyEff),1,Milestones!$AC$77)&amp;";  ","")&amp;IF(AND(EDATE($D79,Milestones!$AA$78)&lt;=AsOfDate,EDATE($D79,Milestones!$AA$78)&gt;=SchemeStart,IF($X79=0,$AD79,IF(AND($Z79&lt;&gt;"",EDATE($D79,Milestones!$AA$78)&gt;=$Z79),$AC79,IF(AND($Y79&lt;&gt;"",EDATE($D79,Milestones!$AA$78)&gt;=$Y79),$AB79,$AA79)))=Milestones!$AB$78),UPPER(TEXT(EDATE($D79,Milestones!$AA$78),"dd mmm yy"))&amp;" "&amp;Milestones!$AB$78&amp;" "&amp;IF(AND(Milestones!$AB$78="FT",Milestones!$AA$78=FT_Y5,EDATE($D79,Milestones!$AA$78)&lt;PolicyEff),1,Milestones!$AC$78)&amp;";  ","")&amp;IF(AND(EDATE($D79,Milestones!$AA$79)&lt;=AsOfDate,EDATE($D79,Milestones!$AA$79)&gt;=SchemeStart,IF($X79=0,$AD79,IF(AND($Z79&lt;&gt;"",EDATE($D79,Milestones!$AA$79)&gt;=$Z79),$AC79,IF(AND($Y79&lt;&gt;"",EDATE($D79,Milestones!$AA$79)&gt;=$Y79),$AB79,$AA79)))=Milestones!$AB$79),UPPER(TEXT(EDATE($D79,Milestones!$AA$79),"dd mmm yy"))&amp;" "&amp;Milestones!$AB$79&amp;" "&amp;IF(AND(Milestones!$AB$79="FT",Milestones!$AA$79=FT_Y5,EDATE($D79,Milestones!$AA$79)&lt;PolicyEff),1,Milestones!$AC$79)&amp;";  ",""))</f>
        <v/>
      </c>
      <c r="N79" s="0" t="str">
        <f aca="false">IF(OR($A79="",$D79=""),"",IF(AND(EDATE($D79,Milestones!$AA$80)&lt;=AsOfDate,EDATE($D79,Milestones!$AA$80)&gt;=SchemeStart,IF($X79=0,$AD79,IF(AND($Z79&lt;&gt;"",EDATE($D79,Milestones!$AA$80)&gt;=$Z79),$AC79,IF(AND($Y79&lt;&gt;"",EDATE($D79,Milestones!$AA$80)&gt;=$Y79),$AB79,$AA79)))=Milestones!$AB$80),UPPER(TEXT(EDATE($D79,Milestones!$AA$80),"dd mmm yy"))&amp;" "&amp;Milestones!$AB$80&amp;" "&amp;IF(AND(Milestones!$AB$80="FT",Milestones!$AA$80=FT_Y5,EDATE($D79,Milestones!$AA$80)&lt;PolicyEff),1,Milestones!$AC$80)&amp;";  ","")&amp;IF(AND(EDATE($D79,Milestones!$AA$81)&lt;=AsOfDate,EDATE($D79,Milestones!$AA$81)&gt;=SchemeStart,IF($X79=0,$AD79,IF(AND($Z79&lt;&gt;"",EDATE($D79,Milestones!$AA$81)&gt;=$Z79),$AC79,IF(AND($Y79&lt;&gt;"",EDATE($D79,Milestones!$AA$81)&gt;=$Y79),$AB79,$AA79)))=Milestones!$AB$81),UPPER(TEXT(EDATE($D79,Milestones!$AA$81),"dd mmm yy"))&amp;" "&amp;Milestones!$AB$81&amp;" "&amp;IF(AND(Milestones!$AB$81="FT",Milestones!$AA$81=FT_Y5,EDATE($D79,Milestones!$AA$81)&lt;PolicyEff),1,Milestones!$AC$81)&amp;";  ","")&amp;IF(AND(EDATE($D79,Milestones!$AA$82)&lt;=AsOfDate,EDATE($D79,Milestones!$AA$82)&gt;=SchemeStart,IF($X79=0,$AD79,IF(AND($Z79&lt;&gt;"",EDATE($D79,Milestones!$AA$82)&gt;=$Z79),$AC79,IF(AND($Y79&lt;&gt;"",EDATE($D79,Milestones!$AA$82)&gt;=$Y79),$AB79,$AA79)))=Milestones!$AB$82),UPPER(TEXT(EDATE($D79,Milestones!$AA$82),"dd mmm yy"))&amp;" "&amp;Milestones!$AB$82&amp;" "&amp;IF(AND(Milestones!$AB$82="FT",Milestones!$AA$82=FT_Y5,EDATE($D79,Milestones!$AA$82)&lt;PolicyEff),1,Milestones!$AC$82)&amp;";  ","")&amp;IF(AND(EDATE($D79,Milestones!$AA$83)&lt;=AsOfDate,EDATE($D79,Milestones!$AA$83)&gt;=SchemeStart,IF($X79=0,$AD79,IF(AND($Z79&lt;&gt;"",EDATE($D79,Milestones!$AA$83)&gt;=$Z79),$AC79,IF(AND($Y79&lt;&gt;"",EDATE($D79,Milestones!$AA$83)&gt;=$Y79),$AB79,$AA79)))=Milestones!$AB$83),UPPER(TEXT(EDATE($D79,Milestones!$AA$83),"dd mmm yy"))&amp;" "&amp;Milestones!$AB$83&amp;" "&amp;IF(AND(Milestones!$AB$83="FT",Milestones!$AA$83=FT_Y5,EDATE($D79,Milestones!$AA$83)&lt;PolicyEff),1,Milestones!$AC$83)&amp;";  ","")&amp;IF(AND(EDATE($D79,Milestones!$AA$84)&lt;=AsOfDate,EDATE($D79,Milestones!$AA$84)&gt;=SchemeStart,IF($X79=0,$AD79,IF(AND($Z79&lt;&gt;"",EDATE($D79,Milestones!$AA$84)&gt;=$Z79),$AC79,IF(AND($Y79&lt;&gt;"",EDATE($D79,Milestones!$AA$84)&gt;=$Y79),$AB79,$AA79)))=Milestones!$AB$84),UPPER(TEXT(EDATE($D79,Milestones!$AA$84),"dd mmm yy"))&amp;" "&amp;Milestones!$AB$84&amp;" "&amp;IF(AND(Milestones!$AB$84="FT",Milestones!$AA$84=FT_Y5,EDATE($D79,Milestones!$AA$84)&lt;PolicyEff),1,Milestones!$AC$84)&amp;";  ","")&amp;IF(AND(EDATE($D79,Milestones!$AA$85)&lt;=AsOfDate,EDATE($D79,Milestones!$AA$85)&gt;=SchemeStart,IF($X79=0,$AD79,IF(AND($Z79&lt;&gt;"",EDATE($D79,Milestones!$AA$85)&gt;=$Z79),$AC79,IF(AND($Y79&lt;&gt;"",EDATE($D79,Milestones!$AA$85)&gt;=$Y79),$AB79,$AA79)))=Milestones!$AB$85),UPPER(TEXT(EDATE($D79,Milestones!$AA$85),"dd mmm yy"))&amp;" "&amp;Milestones!$AB$85&amp;" "&amp;IF(AND(Milestones!$AB$85="FT",Milestones!$AA$85=FT_Y5,EDATE($D79,Milestones!$AA$85)&lt;PolicyEff),1,Milestones!$AC$85)&amp;";  ","")&amp;IF(AND(EDATE($D79,Milestones!$AA$86)&lt;=AsOfDate,EDATE($D79,Milestones!$AA$86)&gt;=SchemeStart,IF($X79=0,$AD79,IF(AND($Z79&lt;&gt;"",EDATE($D79,Milestones!$AA$86)&gt;=$Z79),$AC79,IF(AND($Y79&lt;&gt;"",EDATE($D79,Milestones!$AA$86)&gt;=$Y79),$AB79,$AA79)))=Milestones!$AB$86),UPPER(TEXT(EDATE($D79,Milestones!$AA$86),"dd mmm yy"))&amp;" "&amp;Milestones!$AB$86&amp;" "&amp;IF(AND(Milestones!$AB$86="FT",Milestones!$AA$86=FT_Y5,EDATE($D79,Milestones!$AA$86)&lt;PolicyEff),1,Milestones!$AC$86)&amp;";  ","")&amp;IF(AND(EDATE($D79,Milestones!$AA$87)&lt;=AsOfDate,EDATE($D79,Milestones!$AA$87)&gt;=SchemeStart,IF($X79=0,$AD79,IF(AND($Z79&lt;&gt;"",EDATE($D79,Milestones!$AA$87)&gt;=$Z79),$AC79,IF(AND($Y79&lt;&gt;"",EDATE($D79,Milestones!$AA$87)&gt;=$Y79),$AB79,$AA79)))=Milestones!$AB$87),UPPER(TEXT(EDATE($D79,Milestones!$AA$87),"dd mmm yy"))&amp;" "&amp;Milestones!$AB$87&amp;" "&amp;IF(AND(Milestones!$AB$87="FT",Milestones!$AA$87=FT_Y5,EDATE($D79,Milestones!$AA$87)&lt;PolicyEff),1,Milestones!$AC$87)&amp;";  ","")&amp;IF(AND(EDATE($D79,Milestones!$AA$88)&lt;=AsOfDate,EDATE($D79,Milestones!$AA$88)&gt;=SchemeStart,IF($X79=0,$AD79,IF(AND($Z79&lt;&gt;"",EDATE($D79,Milestones!$AA$88)&gt;=$Z79),$AC79,IF(AND($Y79&lt;&gt;"",EDATE($D79,Milestones!$AA$88)&gt;=$Y79),$AB79,$AA79)))=Milestones!$AB$88),UPPER(TEXT(EDATE($D79,Milestones!$AA$88),"dd mmm yy"))&amp;" "&amp;Milestones!$AB$88&amp;" "&amp;IF(AND(Milestones!$AB$88="FT",Milestones!$AA$88=FT_Y5,EDATE($D79,Milestones!$AA$88)&lt;PolicyEff),1,Milestones!$AC$88)&amp;";  ","")&amp;IF(AND(EDATE($D79,Milestones!$AA$89)&lt;=AsOfDate,EDATE($D79,Milestones!$AA$89)&gt;=SchemeStart,IF($X79=0,$AD79,IF(AND($Z79&lt;&gt;"",EDATE($D79,Milestones!$AA$89)&gt;=$Z79),$AC79,IF(AND($Y79&lt;&gt;"",EDATE($D79,Milestones!$AA$89)&gt;=$Y79),$AB79,$AA79)))=Milestones!$AB$89),UPPER(TEXT(EDATE($D79,Milestones!$AA$89),"dd mmm yy"))&amp;" "&amp;Milestones!$AB$89&amp;" "&amp;IF(AND(Milestones!$AB$89="FT",Milestones!$AA$89=FT_Y5,EDATE($D79,Milestones!$AA$89)&lt;PolicyEff),1,Milestones!$AC$89)&amp;";  ","")&amp;IF(AND(EDATE($D79,Milestones!$AA$90)&lt;=AsOfDate,EDATE($D79,Milestones!$AA$90)&gt;=SchemeStart,IF($X79=0,$AD79,IF(AND($Z79&lt;&gt;"",EDATE($D79,Milestones!$AA$90)&gt;=$Z79),$AC79,IF(AND($Y79&lt;&gt;"",EDATE($D79,Milestones!$AA$90)&gt;=$Y79),$AB79,$AA79)))=Milestones!$AB$90),UPPER(TEXT(EDATE($D79,Milestones!$AA$90),"dd mmm yy"))&amp;" "&amp;Milestones!$AB$90&amp;" "&amp;IF(AND(Milestones!$AB$90="FT",Milestones!$AA$90=FT_Y5,EDATE($D79,Milestones!$AA$90)&lt;PolicyEff),1,Milestones!$AC$90)&amp;";  ","")&amp;IF(AND(EDATE($D79,Milestones!$AA$91)&lt;=AsOfDate,EDATE($D79,Milestones!$AA$91)&gt;=SchemeStart,IF($X79=0,$AD79,IF(AND($Z79&lt;&gt;"",EDATE($D79,Milestones!$AA$91)&gt;=$Z79),$AC79,IF(AND($Y79&lt;&gt;"",EDATE($D79,Milestones!$AA$91)&gt;=$Y79),$AB79,$AA79)))=Milestones!$AB$91),UPPER(TEXT(EDATE($D79,Milestones!$AA$91),"dd mmm yy"))&amp;" "&amp;Milestones!$AB$91&amp;" "&amp;IF(AND(Milestones!$AB$91="FT",Milestones!$AA$91=FT_Y5,EDATE($D79,Milestones!$AA$91)&lt;PolicyEff),1,Milestones!$AC$91)&amp;";  ",""))</f>
        <v/>
      </c>
      <c r="O79" s="0" t="str">
        <f aca="false">IF(OR($A79="",$D79=""),"",IF(AND(EDATE($D79,Milestones!$AA$92)&lt;=AsOfDate,EDATE($D79,Milestones!$AA$92)&gt;=SchemeStart,IF($X79=0,$AD79,IF(AND($Z79&lt;&gt;"",EDATE($D79,Milestones!$AA$92)&gt;=$Z79),$AC79,IF(AND($Y79&lt;&gt;"",EDATE($D79,Milestones!$AA$92)&gt;=$Y79),$AB79,$AA79)))=Milestones!$AB$92),UPPER(TEXT(EDATE($D79,Milestones!$AA$92),"dd mmm yy"))&amp;" "&amp;Milestones!$AB$92&amp;" "&amp;IF(AND(Milestones!$AB$92="FT",Milestones!$AA$92=FT_Y5,EDATE($D79,Milestones!$AA$92)&lt;PolicyEff),1,Milestones!$AC$92)&amp;";  ","")&amp;IF(AND(EDATE($D79,Milestones!$AA$93)&lt;=AsOfDate,EDATE($D79,Milestones!$AA$93)&gt;=SchemeStart,IF($X79=0,$AD79,IF(AND($Z79&lt;&gt;"",EDATE($D79,Milestones!$AA$93)&gt;=$Z79),$AC79,IF(AND($Y79&lt;&gt;"",EDATE($D79,Milestones!$AA$93)&gt;=$Y79),$AB79,$AA79)))=Milestones!$AB$93),UPPER(TEXT(EDATE($D79,Milestones!$AA$93),"dd mmm yy"))&amp;" "&amp;Milestones!$AB$93&amp;" "&amp;IF(AND(Milestones!$AB$93="FT",Milestones!$AA$93=FT_Y5,EDATE($D79,Milestones!$AA$93)&lt;PolicyEff),1,Milestones!$AC$93)&amp;";  ","")&amp;IF(AND(EDATE($D79,Milestones!$AA$94)&lt;=AsOfDate,EDATE($D79,Milestones!$AA$94)&gt;=SchemeStart,IF($X79=0,$AD79,IF(AND($Z79&lt;&gt;"",EDATE($D79,Milestones!$AA$94)&gt;=$Z79),$AC79,IF(AND($Y79&lt;&gt;"",EDATE($D79,Milestones!$AA$94)&gt;=$Y79),$AB79,$AA79)))=Milestones!$AB$94),UPPER(TEXT(EDATE($D79,Milestones!$AA$94),"dd mmm yy"))&amp;" "&amp;Milestones!$AB$94&amp;" "&amp;IF(AND(Milestones!$AB$94="FT",Milestones!$AA$94=FT_Y5,EDATE($D79,Milestones!$AA$94)&lt;PolicyEff),1,Milestones!$AC$94)&amp;";  ","")&amp;IF(AND(EDATE($D79,Milestones!$AA$95)&lt;=AsOfDate,EDATE($D79,Milestones!$AA$95)&gt;=SchemeStart,IF($X79=0,$AD79,IF(AND($Z79&lt;&gt;"",EDATE($D79,Milestones!$AA$95)&gt;=$Z79),$AC79,IF(AND($Y79&lt;&gt;"",EDATE($D79,Milestones!$AA$95)&gt;=$Y79),$AB79,$AA79)))=Milestones!$AB$95),UPPER(TEXT(EDATE($D79,Milestones!$AA$95),"dd mmm yy"))&amp;" "&amp;Milestones!$AB$95&amp;" "&amp;IF(AND(Milestones!$AB$95="FT",Milestones!$AA$95=FT_Y5,EDATE($D79,Milestones!$AA$95)&lt;PolicyEff),1,Milestones!$AC$95)&amp;";  ","")&amp;IF(AND(EDATE($D79,Milestones!$AA$96)&lt;=AsOfDate,EDATE($D79,Milestones!$AA$96)&gt;=SchemeStart,IF($X79=0,$AD79,IF(AND($Z79&lt;&gt;"",EDATE($D79,Milestones!$AA$96)&gt;=$Z79),$AC79,IF(AND($Y79&lt;&gt;"",EDATE($D79,Milestones!$AA$96)&gt;=$Y79),$AB79,$AA79)))=Milestones!$AB$96),UPPER(TEXT(EDATE($D79,Milestones!$AA$96),"dd mmm yy"))&amp;" "&amp;Milestones!$AB$96&amp;" "&amp;IF(AND(Milestones!$AB$96="FT",Milestones!$AA$96=FT_Y5,EDATE($D79,Milestones!$AA$96)&lt;PolicyEff),1,Milestones!$AC$96)&amp;";  ","")&amp;IF(AND(EDATE($D79,Milestones!$AA$97)&lt;=AsOfDate,EDATE($D79,Milestones!$AA$97)&gt;=SchemeStart,IF($X79=0,$AD79,IF(AND($Z79&lt;&gt;"",EDATE($D79,Milestones!$AA$97)&gt;=$Z79),$AC79,IF(AND($Y79&lt;&gt;"",EDATE($D79,Milestones!$AA$97)&gt;=$Y79),$AB79,$AA79)))=Milestones!$AB$97),UPPER(TEXT(EDATE($D79,Milestones!$AA$97),"dd mmm yy"))&amp;" "&amp;Milestones!$AB$97&amp;" "&amp;IF(AND(Milestones!$AB$97="FT",Milestones!$AA$97=FT_Y5,EDATE($D79,Milestones!$AA$97)&lt;PolicyEff),1,Milestones!$AC$97)&amp;";  ","")&amp;IF(AND(EDATE($D79,Milestones!$AA$98)&lt;=AsOfDate,EDATE($D79,Milestones!$AA$98)&gt;=SchemeStart,IF($X79=0,$AD79,IF(AND($Z79&lt;&gt;"",EDATE($D79,Milestones!$AA$98)&gt;=$Z79),$AC79,IF(AND($Y79&lt;&gt;"",EDATE($D79,Milestones!$AA$98)&gt;=$Y79),$AB79,$AA79)))=Milestones!$AB$98),UPPER(TEXT(EDATE($D79,Milestones!$AA$98),"dd mmm yy"))&amp;" "&amp;Milestones!$AB$98&amp;" "&amp;IF(AND(Milestones!$AB$98="FT",Milestones!$AA$98=FT_Y5,EDATE($D79,Milestones!$AA$98)&lt;PolicyEff),1,Milestones!$AC$98)&amp;";  ","")&amp;IF(AND(EDATE($D79,Milestones!$AA$99)&lt;=AsOfDate,EDATE($D79,Milestones!$AA$99)&gt;=SchemeStart,IF($X79=0,$AD79,IF(AND($Z79&lt;&gt;"",EDATE($D79,Milestones!$AA$99)&gt;=$Z79),$AC79,IF(AND($Y79&lt;&gt;"",EDATE($D79,Milestones!$AA$99)&gt;=$Y79),$AB79,$AA79)))=Milestones!$AB$99),UPPER(TEXT(EDATE($D79,Milestones!$AA$99),"dd mmm yy"))&amp;" "&amp;Milestones!$AB$99&amp;" "&amp;IF(AND(Milestones!$AB$99="FT",Milestones!$AA$99=FT_Y5,EDATE($D79,Milestones!$AA$99)&lt;PolicyEff),1,Milestones!$AC$99)&amp;";  ","")&amp;IF(AND(EDATE($D79,Milestones!$AA$100)&lt;=AsOfDate,EDATE($D79,Milestones!$AA$100)&gt;=SchemeStart,IF($X79=0,$AD79,IF(AND($Z79&lt;&gt;"",EDATE($D79,Milestones!$AA$100)&gt;=$Z79),$AC79,IF(AND($Y79&lt;&gt;"",EDATE($D79,Milestones!$AA$100)&gt;=$Y79),$AB79,$AA79)))=Milestones!$AB$100),UPPER(TEXT(EDATE($D79,Milestones!$AA$100),"dd mmm yy"))&amp;" "&amp;Milestones!$AB$100&amp;" "&amp;IF(AND(Milestones!$AB$100="FT",Milestones!$AA$100=FT_Y5,EDATE($D79,Milestones!$AA$100)&lt;PolicyEff),1,Milestones!$AC$100)&amp;";  ","")&amp;IF(AND(EDATE($D79,Milestones!$AA$101)&lt;=AsOfDate,EDATE($D79,Milestones!$AA$101)&gt;=SchemeStart,IF($X79=0,$AD79,IF(AND($Z79&lt;&gt;"",EDATE($D79,Milestones!$AA$101)&gt;=$Z79),$AC79,IF(AND($Y79&lt;&gt;"",EDATE($D79,Milestones!$AA$101)&gt;=$Y79),$AB79,$AA79)))=Milestones!$AB$101),UPPER(TEXT(EDATE($D79,Milestones!$AA$101),"dd mmm yy"))&amp;" "&amp;Milestones!$AB$101&amp;" "&amp;IF(AND(Milestones!$AB$101="FT",Milestones!$AA$101=FT_Y5,EDATE($D79,Milestones!$AA$101)&lt;PolicyEff),1,Milestones!$AC$101)&amp;";  ","")&amp;IF(AND(EDATE($D79,Milestones!$AA$102)&lt;=AsOfDate,EDATE($D79,Milestones!$AA$102)&gt;=SchemeStart,IF($X79=0,$AD79,IF(AND($Z79&lt;&gt;"",EDATE($D79,Milestones!$AA$102)&gt;=$Z79),$AC79,IF(AND($Y79&lt;&gt;"",EDATE($D79,Milestones!$AA$102)&gt;=$Y79),$AB79,$AA79)))=Milestones!$AB$102),UPPER(TEXT(EDATE($D79,Milestones!$AA$102),"dd mmm yy"))&amp;" "&amp;Milestones!$AB$102&amp;" "&amp;IF(AND(Milestones!$AB$102="FT",Milestones!$AA$102=FT_Y5,EDATE($D79,Milestones!$AA$102)&lt;PolicyEff),1,Milestones!$AC$102)&amp;";  ","")&amp;IF(AND(EDATE($D79,Milestones!$AA$103)&lt;=AsOfDate,EDATE($D79,Milestones!$AA$103)&gt;=SchemeStart,IF($X79=0,$AD79,IF(AND($Z79&lt;&gt;"",EDATE($D79,Milestones!$AA$103)&gt;=$Z79),$AC79,IF(AND($Y79&lt;&gt;"",EDATE($D79,Milestones!$AA$103)&gt;=$Y79),$AB79,$AA79)))=Milestones!$AB$103),UPPER(TEXT(EDATE($D79,Milestones!$AA$103),"dd mmm yy"))&amp;" "&amp;Milestones!$AB$103&amp;" "&amp;IF(AND(Milestones!$AB$103="FT",Milestones!$AA$103=FT_Y5,EDATE($D79,Milestones!$AA$103)&lt;PolicyEff),1,Milestones!$AC$103)&amp;";  ",""))</f>
        <v/>
      </c>
      <c r="P79" s="0" t="str">
        <f aca="false">IF(OR($A79="",$D79=""),"",IF(AND(EDATE($D79,Milestones!$AA$104)&lt;=AsOfDate,EDATE($D79,Milestones!$AA$104)&gt;=SchemeStart,IF($X79=0,$AD79,IF(AND($Z79&lt;&gt;"",EDATE($D79,Milestones!$AA$104)&gt;=$Z79),$AC79,IF(AND($Y79&lt;&gt;"",EDATE($D79,Milestones!$AA$104)&gt;=$Y79),$AB79,$AA79)))=Milestones!$AB$104),UPPER(TEXT(EDATE($D79,Milestones!$AA$104),"dd mmm yy"))&amp;" "&amp;Milestones!$AB$104&amp;" "&amp;IF(AND(Milestones!$AB$104="FT",Milestones!$AA$104=FT_Y5,EDATE($D79,Milestones!$AA$104)&lt;PolicyEff),1,Milestones!$AC$104)&amp;";  ","")&amp;IF(AND(EDATE($D79,Milestones!$AA$105)&lt;=AsOfDate,EDATE($D79,Milestones!$AA$105)&gt;=SchemeStart,IF($X79=0,$AD79,IF(AND($Z79&lt;&gt;"",EDATE($D79,Milestones!$AA$105)&gt;=$Z79),$AC79,IF(AND($Y79&lt;&gt;"",EDATE($D79,Milestones!$AA$105)&gt;=$Y79),$AB79,$AA79)))=Milestones!$AB$105),UPPER(TEXT(EDATE($D79,Milestones!$AA$105),"dd mmm yy"))&amp;" "&amp;Milestones!$AB$105&amp;" "&amp;IF(AND(Milestones!$AB$105="FT",Milestones!$AA$105=FT_Y5,EDATE($D79,Milestones!$AA$105)&lt;PolicyEff),1,Milestones!$AC$105)&amp;";  ","")&amp;IF(AND(EDATE($D79,Milestones!$AA$106)&lt;=AsOfDate,EDATE($D79,Milestones!$AA$106)&gt;=SchemeStart,IF($X79=0,$AD79,IF(AND($Z79&lt;&gt;"",EDATE($D79,Milestones!$AA$106)&gt;=$Z79),$AC79,IF(AND($Y79&lt;&gt;"",EDATE($D79,Milestones!$AA$106)&gt;=$Y79),$AB79,$AA79)))=Milestones!$AB$106),UPPER(TEXT(EDATE($D79,Milestones!$AA$106),"dd mmm yy"))&amp;" "&amp;Milestones!$AB$106&amp;" "&amp;IF(AND(Milestones!$AB$106="FT",Milestones!$AA$106=FT_Y5,EDATE($D79,Milestones!$AA$106)&lt;PolicyEff),1,Milestones!$AC$106)&amp;";  ","")&amp;IF(AND(EDATE($D79,Milestones!$AA$107)&lt;=AsOfDate,EDATE($D79,Milestones!$AA$107)&gt;=SchemeStart,IF($X79=0,$AD79,IF(AND($Z79&lt;&gt;"",EDATE($D79,Milestones!$AA$107)&gt;=$Z79),$AC79,IF(AND($Y79&lt;&gt;"",EDATE($D79,Milestones!$AA$107)&gt;=$Y79),$AB79,$AA79)))=Milestones!$AB$107),UPPER(TEXT(EDATE($D79,Milestones!$AA$107),"dd mmm yy"))&amp;" "&amp;Milestones!$AB$107&amp;" "&amp;IF(AND(Milestones!$AB$107="FT",Milestones!$AA$107=FT_Y5,EDATE($D79,Milestones!$AA$107)&lt;PolicyEff),1,Milestones!$AC$107)&amp;";  ","")&amp;IF(AND(EDATE($D79,Milestones!$AA$108)&lt;=AsOfDate,EDATE($D79,Milestones!$AA$108)&gt;=SchemeStart,IF($X79=0,$AD79,IF(AND($Z79&lt;&gt;"",EDATE($D79,Milestones!$AA$108)&gt;=$Z79),$AC79,IF(AND($Y79&lt;&gt;"",EDATE($D79,Milestones!$AA$108)&gt;=$Y79),$AB79,$AA79)))=Milestones!$AB$108),UPPER(TEXT(EDATE($D79,Milestones!$AA$108),"dd mmm yy"))&amp;" "&amp;Milestones!$AB$108&amp;" "&amp;IF(AND(Milestones!$AB$108="FT",Milestones!$AA$108=FT_Y5,EDATE($D79,Milestones!$AA$108)&lt;PolicyEff),1,Milestones!$AC$108)&amp;";  ","")&amp;IF(AND(EDATE($D79,Milestones!$AA$109)&lt;=AsOfDate,EDATE($D79,Milestones!$AA$109)&gt;=SchemeStart,IF($X79=0,$AD79,IF(AND($Z79&lt;&gt;"",EDATE($D79,Milestones!$AA$109)&gt;=$Z79),$AC79,IF(AND($Y79&lt;&gt;"",EDATE($D79,Milestones!$AA$109)&gt;=$Y79),$AB79,$AA79)))=Milestones!$AB$109),UPPER(TEXT(EDATE($D79,Milestones!$AA$109),"dd mmm yy"))&amp;" "&amp;Milestones!$AB$109&amp;" "&amp;IF(AND(Milestones!$AB$109="FT",Milestones!$AA$109=FT_Y5,EDATE($D79,Milestones!$AA$109)&lt;PolicyEff),1,Milestones!$AC$109)&amp;";  ","")&amp;IF(AND(EDATE($D79,Milestones!$AA$110)&lt;=AsOfDate,EDATE($D79,Milestones!$AA$110)&gt;=SchemeStart,IF($X79=0,$AD79,IF(AND($Z79&lt;&gt;"",EDATE($D79,Milestones!$AA$110)&gt;=$Z79),$AC79,IF(AND($Y79&lt;&gt;"",EDATE($D79,Milestones!$AA$110)&gt;=$Y79),$AB79,$AA79)))=Milestones!$AB$110),UPPER(TEXT(EDATE($D79,Milestones!$AA$110),"dd mmm yy"))&amp;" "&amp;Milestones!$AB$110&amp;" "&amp;IF(AND(Milestones!$AB$110="FT",Milestones!$AA$110=FT_Y5,EDATE($D79,Milestones!$AA$110)&lt;PolicyEff),1,Milestones!$AC$110)&amp;";  ","")&amp;IF(AND(EDATE($D79,Milestones!$AA$111)&lt;=AsOfDate,EDATE($D79,Milestones!$AA$111)&gt;=SchemeStart,IF($X79=0,$AD79,IF(AND($Z79&lt;&gt;"",EDATE($D79,Milestones!$AA$111)&gt;=$Z79),$AC79,IF(AND($Y79&lt;&gt;"",EDATE($D79,Milestones!$AA$111)&gt;=$Y79),$AB79,$AA79)))=Milestones!$AB$111),UPPER(TEXT(EDATE($D79,Milestones!$AA$111),"dd mmm yy"))&amp;" "&amp;Milestones!$AB$111&amp;" "&amp;IF(AND(Milestones!$AB$111="FT",Milestones!$AA$111=FT_Y5,EDATE($D79,Milestones!$AA$111)&lt;PolicyEff),1,Milestones!$AC$111)&amp;";  ","")&amp;IF(AND(EDATE($D79,Milestones!$AA$112)&lt;=AsOfDate,EDATE($D79,Milestones!$AA$112)&gt;=SchemeStart,IF($X79=0,$AD79,IF(AND($Z79&lt;&gt;"",EDATE($D79,Milestones!$AA$112)&gt;=$Z79),$AC79,IF(AND($Y79&lt;&gt;"",EDATE($D79,Milestones!$AA$112)&gt;=$Y79),$AB79,$AA79)))=Milestones!$AB$112),UPPER(TEXT(EDATE($D79,Milestones!$AA$112),"dd mmm yy"))&amp;" "&amp;Milestones!$AB$112&amp;" "&amp;IF(AND(Milestones!$AB$112="FT",Milestones!$AA$112=FT_Y5,EDATE($D79,Milestones!$AA$112)&lt;PolicyEff),1,Milestones!$AC$112)&amp;";  ","")&amp;IF(AND(EDATE($D79,Milestones!$AA$113)&lt;=AsOfDate,EDATE($D79,Milestones!$AA$113)&gt;=SchemeStart,IF($X79=0,$AD79,IF(AND($Z79&lt;&gt;"",EDATE($D79,Milestones!$AA$113)&gt;=$Z79),$AC79,IF(AND($Y79&lt;&gt;"",EDATE($D79,Milestones!$AA$113)&gt;=$Y79),$AB79,$AA79)))=Milestones!$AB$113),UPPER(TEXT(EDATE($D79,Milestones!$AA$113),"dd mmm yy"))&amp;" "&amp;Milestones!$AB$113&amp;" "&amp;IF(AND(Milestones!$AB$113="FT",Milestones!$AA$113=FT_Y5,EDATE($D79,Milestones!$AA$113)&lt;PolicyEff),1,Milestones!$AC$113)&amp;";  ","")&amp;IF(AND(EDATE($D79,Milestones!$AA$114)&lt;=AsOfDate,EDATE($D79,Milestones!$AA$114)&gt;=SchemeStart,IF($X79=0,$AD79,IF(AND($Z79&lt;&gt;"",EDATE($D79,Milestones!$AA$114)&gt;=$Z79),$AC79,IF(AND($Y79&lt;&gt;"",EDATE($D79,Milestones!$AA$114)&gt;=$Y79),$AB79,$AA79)))=Milestones!$AB$114),UPPER(TEXT(EDATE($D79,Milestones!$AA$114),"dd mmm yy"))&amp;" "&amp;Milestones!$AB$114&amp;" "&amp;IF(AND(Milestones!$AB$114="FT",Milestones!$AA$114=FT_Y5,EDATE($D79,Milestones!$AA$114)&lt;PolicyEff),1,Milestones!$AC$114)&amp;";  ","")&amp;IF(AND(EDATE($D79,Milestones!$AA$115)&lt;=AsOfDate,EDATE($D79,Milestones!$AA$115)&gt;=SchemeStart,IF($X79=0,$AD79,IF(AND($Z79&lt;&gt;"",EDATE($D79,Milestones!$AA$115)&gt;=$Z79),$AC79,IF(AND($Y79&lt;&gt;"",EDATE($D79,Milestones!$AA$115)&gt;=$Y79),$AB79,$AA79)))=Milestones!$AB$115),UPPER(TEXT(EDATE($D79,Milestones!$AA$115),"dd mmm yy"))&amp;" "&amp;Milestones!$AB$115&amp;" "&amp;IF(AND(Milestones!$AB$115="FT",Milestones!$AA$115=FT_Y5,EDATE($D79,Milestones!$AA$115)&lt;PolicyEff),1,Milestones!$AC$115)&amp;";  ",""))</f>
        <v/>
      </c>
      <c r="Q79" s="0" t="str">
        <f aca="false">IF(OR($A79="",$D79=""),"",IF(AND(EDATE($D79,Milestones!$AA$116)&lt;=AsOfDate,EDATE($D79,Milestones!$AA$116)&gt;=SchemeStart,IF($X79=0,$AD79,IF(AND($Z79&lt;&gt;"",EDATE($D79,Milestones!$AA$116)&gt;=$Z79),$AC79,IF(AND($Y79&lt;&gt;"",EDATE($D79,Milestones!$AA$116)&gt;=$Y79),$AB79,$AA79)))=Milestones!$AB$116),UPPER(TEXT(EDATE($D79,Milestones!$AA$116),"dd mmm yy"))&amp;" "&amp;Milestones!$AB$116&amp;" "&amp;IF(AND(Milestones!$AB$116="FT",Milestones!$AA$116=FT_Y5,EDATE($D79,Milestones!$AA$116)&lt;PolicyEff),1,Milestones!$AC$116)&amp;";  ","")&amp;IF(AND(EDATE($D79,Milestones!$AA$117)&lt;=AsOfDate,EDATE($D79,Milestones!$AA$117)&gt;=SchemeStart,IF($X79=0,$AD79,IF(AND($Z79&lt;&gt;"",EDATE($D79,Milestones!$AA$117)&gt;=$Z79),$AC79,IF(AND($Y79&lt;&gt;"",EDATE($D79,Milestones!$AA$117)&gt;=$Y79),$AB79,$AA79)))=Milestones!$AB$117),UPPER(TEXT(EDATE($D79,Milestones!$AA$117),"dd mmm yy"))&amp;" "&amp;Milestones!$AB$117&amp;" "&amp;IF(AND(Milestones!$AB$117="FT",Milestones!$AA$117=FT_Y5,EDATE($D79,Milestones!$AA$117)&lt;PolicyEff),1,Milestones!$AC$117)&amp;";  ","")&amp;IF(AND(EDATE($D79,Milestones!$AA$118)&lt;=AsOfDate,EDATE($D79,Milestones!$AA$118)&gt;=SchemeStart,IF($X79=0,$AD79,IF(AND($Z79&lt;&gt;"",EDATE($D79,Milestones!$AA$118)&gt;=$Z79),$AC79,IF(AND($Y79&lt;&gt;"",EDATE($D79,Milestones!$AA$118)&gt;=$Y79),$AB79,$AA79)))=Milestones!$AB$118),UPPER(TEXT(EDATE($D79,Milestones!$AA$118),"dd mmm yy"))&amp;" "&amp;Milestones!$AB$118&amp;" "&amp;IF(AND(Milestones!$AB$118="FT",Milestones!$AA$118=FT_Y5,EDATE($D79,Milestones!$AA$118)&lt;PolicyEff),1,Milestones!$AC$118)&amp;";  ","")&amp;IF(AND(EDATE($D79,Milestones!$AA$119)&lt;=AsOfDate,EDATE($D79,Milestones!$AA$119)&gt;=SchemeStart,IF($X79=0,$AD79,IF(AND($Z79&lt;&gt;"",EDATE($D79,Milestones!$AA$119)&gt;=$Z79),$AC79,IF(AND($Y79&lt;&gt;"",EDATE($D79,Milestones!$AA$119)&gt;=$Y79),$AB79,$AA79)))=Milestones!$AB$119),UPPER(TEXT(EDATE($D79,Milestones!$AA$119),"dd mmm yy"))&amp;" "&amp;Milestones!$AB$119&amp;" "&amp;IF(AND(Milestones!$AB$119="FT",Milestones!$AA$119=FT_Y5,EDATE($D79,Milestones!$AA$119)&lt;PolicyEff),1,Milestones!$AC$119)&amp;";  ","")&amp;IF(AND(EDATE($D79,Milestones!$AA$120)&lt;=AsOfDate,EDATE($D79,Milestones!$AA$120)&gt;=SchemeStart,IF($X79=0,$AD79,IF(AND($Z79&lt;&gt;"",EDATE($D79,Milestones!$AA$120)&gt;=$Z79),$AC79,IF(AND($Y79&lt;&gt;"",EDATE($D79,Milestones!$AA$120)&gt;=$Y79),$AB79,$AA79)))=Milestones!$AB$120),UPPER(TEXT(EDATE($D79,Milestones!$AA$120),"dd mmm yy"))&amp;" "&amp;Milestones!$AB$120&amp;" "&amp;IF(AND(Milestones!$AB$120="FT",Milestones!$AA$120=FT_Y5,EDATE($D79,Milestones!$AA$120)&lt;PolicyEff),1,Milestones!$AC$120)&amp;";  ","")&amp;IF(AND(EDATE($D79,Milestones!$AA$121)&lt;=AsOfDate,EDATE($D79,Milestones!$AA$121)&gt;=SchemeStart,IF($X79=0,$AD79,IF(AND($Z79&lt;&gt;"",EDATE($D79,Milestones!$AA$121)&gt;=$Z79),$AC79,IF(AND($Y79&lt;&gt;"",EDATE($D79,Milestones!$AA$121)&gt;=$Y79),$AB79,$AA79)))=Milestones!$AB$121),UPPER(TEXT(EDATE($D79,Milestones!$AA$121),"dd mmm yy"))&amp;" "&amp;Milestones!$AB$121&amp;" "&amp;IF(AND(Milestones!$AB$121="FT",Milestones!$AA$121=FT_Y5,EDATE($D79,Milestones!$AA$121)&lt;PolicyEff),1,Milestones!$AC$121)&amp;";  ","")&amp;IF(AND(EDATE($D79,Milestones!$AA$122)&lt;=AsOfDate,EDATE($D79,Milestones!$AA$122)&gt;=SchemeStart,IF($X79=0,$AD79,IF(AND($Z79&lt;&gt;"",EDATE($D79,Milestones!$AA$122)&gt;=$Z79),$AC79,IF(AND($Y79&lt;&gt;"",EDATE($D79,Milestones!$AA$122)&gt;=$Y79),$AB79,$AA79)))=Milestones!$AB$122),UPPER(TEXT(EDATE($D79,Milestones!$AA$122),"dd mmm yy"))&amp;" "&amp;Milestones!$AB$122&amp;" "&amp;IF(AND(Milestones!$AB$122="FT",Milestones!$AA$122=FT_Y5,EDATE($D79,Milestones!$AA$122)&lt;PolicyEff),1,Milestones!$AC$122)&amp;";  ","")&amp;IF(AND(EDATE($D79,Milestones!$AA$123)&lt;=AsOfDate,EDATE($D79,Milestones!$AA$123)&gt;=SchemeStart,IF($X79=0,$AD79,IF(AND($Z79&lt;&gt;"",EDATE($D79,Milestones!$AA$123)&gt;=$Z79),$AC79,IF(AND($Y79&lt;&gt;"",EDATE($D79,Milestones!$AA$123)&gt;=$Y79),$AB79,$AA79)))=Milestones!$AB$123),UPPER(TEXT(EDATE($D79,Milestones!$AA$123),"dd mmm yy"))&amp;" "&amp;Milestones!$AB$123&amp;" "&amp;IF(AND(Milestones!$AB$123="FT",Milestones!$AA$123=FT_Y5,EDATE($D79,Milestones!$AA$123)&lt;PolicyEff),1,Milestones!$AC$123)&amp;";  ","")&amp;IF(AND(EDATE($D79,Milestones!$AA$124)&lt;=AsOfDate,EDATE($D79,Milestones!$AA$124)&gt;=SchemeStart,IF($X79=0,$AD79,IF(AND($Z79&lt;&gt;"",EDATE($D79,Milestones!$AA$124)&gt;=$Z79),$AC79,IF(AND($Y79&lt;&gt;"",EDATE($D79,Milestones!$AA$124)&gt;=$Y79),$AB79,$AA79)))=Milestones!$AB$124),UPPER(TEXT(EDATE($D79,Milestones!$AA$124),"dd mmm yy"))&amp;" "&amp;Milestones!$AB$124&amp;" "&amp;IF(AND(Milestones!$AB$124="FT",Milestones!$AA$124=FT_Y5,EDATE($D79,Milestones!$AA$124)&lt;PolicyEff),1,Milestones!$AC$124)&amp;";  ","")&amp;IF(AND(EDATE($D79,Milestones!$AA$125)&lt;=AsOfDate,EDATE($D79,Milestones!$AA$125)&gt;=SchemeStart,IF($X79=0,$AD79,IF(AND($Z79&lt;&gt;"",EDATE($D79,Milestones!$AA$125)&gt;=$Z79),$AC79,IF(AND($Y79&lt;&gt;"",EDATE($D79,Milestones!$AA$125)&gt;=$Y79),$AB79,$AA79)))=Milestones!$AB$125),UPPER(TEXT(EDATE($D79,Milestones!$AA$125),"dd mmm yy"))&amp;" "&amp;Milestones!$AB$125&amp;" "&amp;IF(AND(Milestones!$AB$125="FT",Milestones!$AA$125=FT_Y5,EDATE($D79,Milestones!$AA$125)&lt;PolicyEff),1,Milestones!$AC$125)&amp;";  ","")&amp;IF(AND(EDATE($D79,Milestones!$AA$126)&lt;=AsOfDate,EDATE($D79,Milestones!$AA$126)&gt;=SchemeStart,IF($X79=0,$AD79,IF(AND($Z79&lt;&gt;"",EDATE($D79,Milestones!$AA$126)&gt;=$Z79),$AC79,IF(AND($Y79&lt;&gt;"",EDATE($D79,Milestones!$AA$126)&gt;=$Y79),$AB79,$AA79)))=Milestones!$AB$126),UPPER(TEXT(EDATE($D79,Milestones!$AA$126),"dd mmm yy"))&amp;" "&amp;Milestones!$AB$126&amp;" "&amp;IF(AND(Milestones!$AB$126="FT",Milestones!$AA$126=FT_Y5,EDATE($D79,Milestones!$AA$126)&lt;PolicyEff),1,Milestones!$AC$126)&amp;";  ","")&amp;IF(AND(EDATE($D79,Milestones!$AA$127)&lt;=AsOfDate,EDATE($D79,Milestones!$AA$127)&gt;=SchemeStart,IF($X79=0,$AD79,IF(AND($Z79&lt;&gt;"",EDATE($D79,Milestones!$AA$127)&gt;=$Z79),$AC79,IF(AND($Y79&lt;&gt;"",EDATE($D79,Milestones!$AA$127)&gt;=$Y79),$AB79,$AA79)))=Milestones!$AB$127),UPPER(TEXT(EDATE($D79,Milestones!$AA$127),"dd mmm yy"))&amp;" "&amp;Milestones!$AB$127&amp;" "&amp;IF(AND(Milestones!$AB$127="FT",Milestones!$AA$127=FT_Y5,EDATE($D79,Milestones!$AA$127)&lt;PolicyEff),1,Milestones!$AC$127)&amp;";  ",""))</f>
        <v/>
      </c>
      <c r="R79" s="0" t="str">
        <f aca="false">IF(OR($A79="",$D79=""),"",IF(AND(EDATE($D79,Milestones!$AA$128)&lt;=AsOfDate,EDATE($D79,Milestones!$AA$128)&gt;=SchemeStart,IF($X79=0,$AD79,IF(AND($Z79&lt;&gt;"",EDATE($D79,Milestones!$AA$128)&gt;=$Z79),$AC79,IF(AND($Y79&lt;&gt;"",EDATE($D79,Milestones!$AA$128)&gt;=$Y79),$AB79,$AA79)))=Milestones!$AB$128),UPPER(TEXT(EDATE($D79,Milestones!$AA$128),"dd mmm yy"))&amp;" "&amp;Milestones!$AB$128&amp;" "&amp;IF(AND(Milestones!$AB$128="FT",Milestones!$AA$128=FT_Y5,EDATE($D79,Milestones!$AA$128)&lt;PolicyEff),1,Milestones!$AC$128)&amp;";  ","")&amp;IF(AND(EDATE($D79,Milestones!$AA$129)&lt;=AsOfDate,EDATE($D79,Milestones!$AA$129)&gt;=SchemeStart,IF($X79=0,$AD79,IF(AND($Z79&lt;&gt;"",EDATE($D79,Milestones!$AA$129)&gt;=$Z79),$AC79,IF(AND($Y79&lt;&gt;"",EDATE($D79,Milestones!$AA$129)&gt;=$Y79),$AB79,$AA79)))=Milestones!$AB$129),UPPER(TEXT(EDATE($D79,Milestones!$AA$129),"dd mmm yy"))&amp;" "&amp;Milestones!$AB$129&amp;" "&amp;IF(AND(Milestones!$AB$129="FT",Milestones!$AA$129=FT_Y5,EDATE($D79,Milestones!$AA$129)&lt;PolicyEff),1,Milestones!$AC$129)&amp;";  ","")&amp;IF(AND(EDATE($D79,Milestones!$AA$130)&lt;=AsOfDate,EDATE($D79,Milestones!$AA$130)&gt;=SchemeStart,IF($X79=0,$AD79,IF(AND($Z79&lt;&gt;"",EDATE($D79,Milestones!$AA$130)&gt;=$Z79),$AC79,IF(AND($Y79&lt;&gt;"",EDATE($D79,Milestones!$AA$130)&gt;=$Y79),$AB79,$AA79)))=Milestones!$AB$130),UPPER(TEXT(EDATE($D79,Milestones!$AA$130),"dd mmm yy"))&amp;" "&amp;Milestones!$AB$130&amp;" "&amp;IF(AND(Milestones!$AB$130="FT",Milestones!$AA$130=FT_Y5,EDATE($D79,Milestones!$AA$130)&lt;PolicyEff),1,Milestones!$AC$130)&amp;";  ","")&amp;IF(AND(EDATE($D79,Milestones!$AA$131)&lt;=AsOfDate,EDATE($D79,Milestones!$AA$131)&gt;=SchemeStart,IF($X79=0,$AD79,IF(AND($Z79&lt;&gt;"",EDATE($D79,Milestones!$AA$131)&gt;=$Z79),$AC79,IF(AND($Y79&lt;&gt;"",EDATE($D79,Milestones!$AA$131)&gt;=$Y79),$AB79,$AA79)))=Milestones!$AB$131),UPPER(TEXT(EDATE($D79,Milestones!$AA$131),"dd mmm yy"))&amp;" "&amp;Milestones!$AB$131&amp;" "&amp;IF(AND(Milestones!$AB$131="FT",Milestones!$AA$131=FT_Y5,EDATE($D79,Milestones!$AA$131)&lt;PolicyEff),1,Milestones!$AC$131)&amp;";  ","")&amp;IF(AND(EDATE($D79,Milestones!$AA$132)&lt;=AsOfDate,EDATE($D79,Milestones!$AA$132)&gt;=SchemeStart,IF($X79=0,$AD79,IF(AND($Z79&lt;&gt;"",EDATE($D79,Milestones!$AA$132)&gt;=$Z79),$AC79,IF(AND($Y79&lt;&gt;"",EDATE($D79,Milestones!$AA$132)&gt;=$Y79),$AB79,$AA79)))=Milestones!$AB$132),UPPER(TEXT(EDATE($D79,Milestones!$AA$132),"dd mmm yy"))&amp;" "&amp;Milestones!$AB$132&amp;" "&amp;IF(AND(Milestones!$AB$132="FT",Milestones!$AA$132=FT_Y5,EDATE($D79,Milestones!$AA$132)&lt;PolicyEff),1,Milestones!$AC$132)&amp;";  ","")&amp;IF(AND(EDATE($D79,Milestones!$AA$133)&lt;=AsOfDate,EDATE($D79,Milestones!$AA$133)&gt;=SchemeStart,IF($X79=0,$AD79,IF(AND($Z79&lt;&gt;"",EDATE($D79,Milestones!$AA$133)&gt;=$Z79),$AC79,IF(AND($Y79&lt;&gt;"",EDATE($D79,Milestones!$AA$133)&gt;=$Y79),$AB79,$AA79)))=Milestones!$AB$133),UPPER(TEXT(EDATE($D79,Milestones!$AA$133),"dd mmm yy"))&amp;" "&amp;Milestones!$AB$133&amp;" "&amp;IF(AND(Milestones!$AB$133="FT",Milestones!$AA$133=FT_Y5,EDATE($D79,Milestones!$AA$133)&lt;PolicyEff),1,Milestones!$AC$133)&amp;";  ","")&amp;IF(AND(EDATE($D79,Milestones!$AA$134)&lt;=AsOfDate,EDATE($D79,Milestones!$AA$134)&gt;=SchemeStart,IF($X79=0,$AD79,IF(AND($Z79&lt;&gt;"",EDATE($D79,Milestones!$AA$134)&gt;=$Z79),$AC79,IF(AND($Y79&lt;&gt;"",EDATE($D79,Milestones!$AA$134)&gt;=$Y79),$AB79,$AA79)))=Milestones!$AB$134),UPPER(TEXT(EDATE($D79,Milestones!$AA$134),"dd mmm yy"))&amp;" "&amp;Milestones!$AB$134&amp;" "&amp;IF(AND(Milestones!$AB$134="FT",Milestones!$AA$134=FT_Y5,EDATE($D79,Milestones!$AA$134)&lt;PolicyEff),1,Milestones!$AC$134)&amp;";  ","")&amp;IF(AND(EDATE($D79,Milestones!$AA$135)&lt;=AsOfDate,EDATE($D79,Milestones!$AA$135)&gt;=SchemeStart,IF($X79=0,$AD79,IF(AND($Z79&lt;&gt;"",EDATE($D79,Milestones!$AA$135)&gt;=$Z79),$AC79,IF(AND($Y79&lt;&gt;"",EDATE($D79,Milestones!$AA$135)&gt;=$Y79),$AB79,$AA79)))=Milestones!$AB$135),UPPER(TEXT(EDATE($D79,Milestones!$AA$135),"dd mmm yy"))&amp;" "&amp;Milestones!$AB$135&amp;" "&amp;IF(AND(Milestones!$AB$135="FT",Milestones!$AA$135=FT_Y5,EDATE($D79,Milestones!$AA$135)&lt;PolicyEff),1,Milestones!$AC$135)&amp;";  ","")&amp;IF(AND(EDATE($D79,Milestones!$AA$136)&lt;=AsOfDate,EDATE($D79,Milestones!$AA$136)&gt;=SchemeStart,IF($X79=0,$AD79,IF(AND($Z79&lt;&gt;"",EDATE($D79,Milestones!$AA$136)&gt;=$Z79),$AC79,IF(AND($Y79&lt;&gt;"",EDATE($D79,Milestones!$AA$136)&gt;=$Y79),$AB79,$AA79)))=Milestones!$AB$136),UPPER(TEXT(EDATE($D79,Milestones!$AA$136),"dd mmm yy"))&amp;" "&amp;Milestones!$AB$136&amp;" "&amp;IF(AND(Milestones!$AB$136="FT",Milestones!$AA$136=FT_Y5,EDATE($D79,Milestones!$AA$136)&lt;PolicyEff),1,Milestones!$AC$136)&amp;";  ","")&amp;IF(AND(EDATE($D79,Milestones!$AA$137)&lt;=AsOfDate,EDATE($D79,Milestones!$AA$137)&gt;=SchemeStart,IF($X79=0,$AD79,IF(AND($Z79&lt;&gt;"",EDATE($D79,Milestones!$AA$137)&gt;=$Z79),$AC79,IF(AND($Y79&lt;&gt;"",EDATE($D79,Milestones!$AA$137)&gt;=$Y79),$AB79,$AA79)))=Milestones!$AB$137),UPPER(TEXT(EDATE($D79,Milestones!$AA$137),"dd mmm yy"))&amp;" "&amp;Milestones!$AB$137&amp;" "&amp;IF(AND(Milestones!$AB$137="FT",Milestones!$AA$137=FT_Y5,EDATE($D79,Milestones!$AA$137)&lt;PolicyEff),1,Milestones!$AC$137)&amp;";  ","")&amp;IF(AND(EDATE($D79,Milestones!$AA$138)&lt;=AsOfDate,EDATE($D79,Milestones!$AA$138)&gt;=SchemeStart,IF($X79=0,$AD79,IF(AND($Z79&lt;&gt;"",EDATE($D79,Milestones!$AA$138)&gt;=$Z79),$AC79,IF(AND($Y79&lt;&gt;"",EDATE($D79,Milestones!$AA$138)&gt;=$Y79),$AB79,$AA79)))=Milestones!$AB$138),UPPER(TEXT(EDATE($D79,Milestones!$AA$138),"dd mmm yy"))&amp;" "&amp;Milestones!$AB$138&amp;" "&amp;IF(AND(Milestones!$AB$138="FT",Milestones!$AA$138=FT_Y5,EDATE($D79,Milestones!$AA$138)&lt;PolicyEff),1,Milestones!$AC$138)&amp;";  ","")&amp;IF(AND(EDATE($D79,Milestones!$AA$139)&lt;=AsOfDate,EDATE($D79,Milestones!$AA$139)&gt;=SchemeStart,IF($X79=0,$AD79,IF(AND($Z79&lt;&gt;"",EDATE($D79,Milestones!$AA$139)&gt;=$Z79),$AC79,IF(AND($Y79&lt;&gt;"",EDATE($D79,Milestones!$AA$139)&gt;=$Y79),$AB79,$AA79)))=Milestones!$AB$139),UPPER(TEXT(EDATE($D79,Milestones!$AA$139),"dd mmm yy"))&amp;" "&amp;Milestones!$AB$139&amp;" "&amp;IF(AND(Milestones!$AB$139="FT",Milestones!$AA$139=FT_Y5,EDATE($D79,Milestones!$AA$139)&lt;PolicyEff),1,Milestones!$AC$139)&amp;";  ",""))</f>
        <v/>
      </c>
      <c r="S79" s="0" t="str">
        <f aca="false">IF(OR($A79="",$D79=""),"",IF(AND(EDATE($D79,Milestones!$AA$140)&lt;=AsOfDate,EDATE($D79,Milestones!$AA$140)&gt;=SchemeStart,IF($X79=0,$AD79,IF(AND($Z79&lt;&gt;"",EDATE($D79,Milestones!$AA$140)&gt;=$Z79),$AC79,IF(AND($Y79&lt;&gt;"",EDATE($D79,Milestones!$AA$140)&gt;=$Y79),$AB79,$AA79)))=Milestones!$AB$140),UPPER(TEXT(EDATE($D79,Milestones!$AA$140),"dd mmm yy"))&amp;" "&amp;Milestones!$AB$140&amp;" "&amp;IF(AND(Milestones!$AB$140="FT",Milestones!$AA$140=FT_Y5,EDATE($D79,Milestones!$AA$140)&lt;PolicyEff),1,Milestones!$AC$140)&amp;";  ","")&amp;IF(AND(EDATE($D79,Milestones!$AA$141)&lt;=AsOfDate,EDATE($D79,Milestones!$AA$141)&gt;=SchemeStart,IF($X79=0,$AD79,IF(AND($Z79&lt;&gt;"",EDATE($D79,Milestones!$AA$141)&gt;=$Z79),$AC79,IF(AND($Y79&lt;&gt;"",EDATE($D79,Milestones!$AA$141)&gt;=$Y79),$AB79,$AA79)))=Milestones!$AB$141),UPPER(TEXT(EDATE($D79,Milestones!$AA$141),"dd mmm yy"))&amp;" "&amp;Milestones!$AB$141&amp;" "&amp;IF(AND(Milestones!$AB$141="FT",Milestones!$AA$141=FT_Y5,EDATE($D79,Milestones!$AA$141)&lt;PolicyEff),1,Milestones!$AC$141)&amp;";  ","")&amp;IF(AND(EDATE($D79,Milestones!$AA$142)&lt;=AsOfDate,EDATE($D79,Milestones!$AA$142)&gt;=SchemeStart,IF($X79=0,$AD79,IF(AND($Z79&lt;&gt;"",EDATE($D79,Milestones!$AA$142)&gt;=$Z79),$AC79,IF(AND($Y79&lt;&gt;"",EDATE($D79,Milestones!$AA$142)&gt;=$Y79),$AB79,$AA79)))=Milestones!$AB$142),UPPER(TEXT(EDATE($D79,Milestones!$AA$142),"dd mmm yy"))&amp;" "&amp;Milestones!$AB$142&amp;" "&amp;IF(AND(Milestones!$AB$142="FT",Milestones!$AA$142=FT_Y5,EDATE($D79,Milestones!$AA$142)&lt;PolicyEff),1,Milestones!$AC$142)&amp;";  ","")&amp;IF(AND(EDATE($D79,Milestones!$AA$143)&lt;=AsOfDate,EDATE($D79,Milestones!$AA$143)&gt;=SchemeStart,IF($X79=0,$AD79,IF(AND($Z79&lt;&gt;"",EDATE($D79,Milestones!$AA$143)&gt;=$Z79),$AC79,IF(AND($Y79&lt;&gt;"",EDATE($D79,Milestones!$AA$143)&gt;=$Y79),$AB79,$AA79)))=Milestones!$AB$143),UPPER(TEXT(EDATE($D79,Milestones!$AA$143),"dd mmm yy"))&amp;" "&amp;Milestones!$AB$143&amp;" "&amp;IF(AND(Milestones!$AB$143="FT",Milestones!$AA$143=FT_Y5,EDATE($D79,Milestones!$AA$143)&lt;PolicyEff),1,Milestones!$AC$143)&amp;";  ","")&amp;IF(AND(EDATE($D79,Milestones!$AA$144)&lt;=AsOfDate,EDATE($D79,Milestones!$AA$144)&gt;=SchemeStart,IF($X79=0,$AD79,IF(AND($Z79&lt;&gt;"",EDATE($D79,Milestones!$AA$144)&gt;=$Z79),$AC79,IF(AND($Y79&lt;&gt;"",EDATE($D79,Milestones!$AA$144)&gt;=$Y79),$AB79,$AA79)))=Milestones!$AB$144),UPPER(TEXT(EDATE($D79,Milestones!$AA$144),"dd mmm yy"))&amp;" "&amp;Milestones!$AB$144&amp;" "&amp;IF(AND(Milestones!$AB$144="FT",Milestones!$AA$144=FT_Y5,EDATE($D79,Milestones!$AA$144)&lt;PolicyEff),1,Milestones!$AC$144)&amp;";  ","")&amp;IF(AND(EDATE($D79,Milestones!$AA$145)&lt;=AsOfDate,EDATE($D79,Milestones!$AA$145)&gt;=SchemeStart,IF($X79=0,$AD79,IF(AND($Z79&lt;&gt;"",EDATE($D79,Milestones!$AA$145)&gt;=$Z79),$AC79,IF(AND($Y79&lt;&gt;"",EDATE($D79,Milestones!$AA$145)&gt;=$Y79),$AB79,$AA79)))=Milestones!$AB$145),UPPER(TEXT(EDATE($D79,Milestones!$AA$145),"dd mmm yy"))&amp;" "&amp;Milestones!$AB$145&amp;" "&amp;IF(AND(Milestones!$AB$145="FT",Milestones!$AA$145=FT_Y5,EDATE($D79,Milestones!$AA$145)&lt;PolicyEff),1,Milestones!$AC$145)&amp;";  ","")&amp;IF(AND(EDATE($D79,Milestones!$AA$146)&lt;=AsOfDate,EDATE($D79,Milestones!$AA$146)&gt;=SchemeStart,IF($X79=0,$AD79,IF(AND($Z79&lt;&gt;"",EDATE($D79,Milestones!$AA$146)&gt;=$Z79),$AC79,IF(AND($Y79&lt;&gt;"",EDATE($D79,Milestones!$AA$146)&gt;=$Y79),$AB79,$AA79)))=Milestones!$AB$146),UPPER(TEXT(EDATE($D79,Milestones!$AA$146),"dd mmm yy"))&amp;" "&amp;Milestones!$AB$146&amp;" "&amp;IF(AND(Milestones!$AB$146="FT",Milestones!$AA$146=FT_Y5,EDATE($D79,Milestones!$AA$146)&lt;PolicyEff),1,Milestones!$AC$146)&amp;";  ","")&amp;IF(AND(EDATE($D79,Milestones!$AA$147)&lt;=AsOfDate,EDATE($D79,Milestones!$AA$147)&gt;=SchemeStart,IF($X79=0,$AD79,IF(AND($Z79&lt;&gt;"",EDATE($D79,Milestones!$AA$147)&gt;=$Z79),$AC79,IF(AND($Y79&lt;&gt;"",EDATE($D79,Milestones!$AA$147)&gt;=$Y79),$AB79,$AA79)))=Milestones!$AB$147),UPPER(TEXT(EDATE($D79,Milestones!$AA$147),"dd mmm yy"))&amp;" "&amp;Milestones!$AB$147&amp;" "&amp;IF(AND(Milestones!$AB$147="FT",Milestones!$AA$147=FT_Y5,EDATE($D79,Milestones!$AA$147)&lt;PolicyEff),1,Milestones!$AC$147)&amp;";  ","")&amp;IF(AND(EDATE($D79,Milestones!$AA$148)&lt;=AsOfDate,EDATE($D79,Milestones!$AA$148)&gt;=SchemeStart,IF($X79=0,$AD79,IF(AND($Z79&lt;&gt;"",EDATE($D79,Milestones!$AA$148)&gt;=$Z79),$AC79,IF(AND($Y79&lt;&gt;"",EDATE($D79,Milestones!$AA$148)&gt;=$Y79),$AB79,$AA79)))=Milestones!$AB$148),UPPER(TEXT(EDATE($D79,Milestones!$AA$148),"dd mmm yy"))&amp;" "&amp;Milestones!$AB$148&amp;" "&amp;IF(AND(Milestones!$AB$148="FT",Milestones!$AA$148=FT_Y5,EDATE($D79,Milestones!$AA$148)&lt;PolicyEff),1,Milestones!$AC$148)&amp;";  ","")&amp;IF(AND(EDATE($D79,Milestones!$AA$149)&lt;=AsOfDate,EDATE($D79,Milestones!$AA$149)&gt;=SchemeStart,IF($X79=0,$AD79,IF(AND($Z79&lt;&gt;"",EDATE($D79,Milestones!$AA$149)&gt;=$Z79),$AC79,IF(AND($Y79&lt;&gt;"",EDATE($D79,Milestones!$AA$149)&gt;=$Y79),$AB79,$AA79)))=Milestones!$AB$149),UPPER(TEXT(EDATE($D79,Milestones!$AA$149),"dd mmm yy"))&amp;" "&amp;Milestones!$AB$149&amp;" "&amp;IF(AND(Milestones!$AB$149="FT",Milestones!$AA$149=FT_Y5,EDATE($D79,Milestones!$AA$149)&lt;PolicyEff),1,Milestones!$AC$149)&amp;";  ","")&amp;IF(AND(EDATE($D79,Milestones!$AA$150)&lt;=AsOfDate,EDATE($D79,Milestones!$AA$150)&gt;=SchemeStart,IF($X79=0,$AD79,IF(AND($Z79&lt;&gt;"",EDATE($D79,Milestones!$AA$150)&gt;=$Z79),$AC79,IF(AND($Y79&lt;&gt;"",EDATE($D79,Milestones!$AA$150)&gt;=$Y79),$AB79,$AA79)))=Milestones!$AB$150),UPPER(TEXT(EDATE($D79,Milestones!$AA$150),"dd mmm yy"))&amp;" "&amp;Milestones!$AB$150&amp;" "&amp;IF(AND(Milestones!$AB$150="FT",Milestones!$AA$150=FT_Y5,EDATE($D79,Milestones!$AA$150)&lt;PolicyEff),1,Milestones!$AC$150)&amp;";  ","")&amp;IF(AND(EDATE($D79,Milestones!$AA$151)&lt;=AsOfDate,EDATE($D79,Milestones!$AA$151)&gt;=SchemeStart,IF($X79=0,$AD79,IF(AND($Z79&lt;&gt;"",EDATE($D79,Milestones!$AA$151)&gt;=$Z79),$AC79,IF(AND($Y79&lt;&gt;"",EDATE($D79,Milestones!$AA$151)&gt;=$Y79),$AB79,$AA79)))=Milestones!$AB$151),UPPER(TEXT(EDATE($D79,Milestones!$AA$151),"dd mmm yy"))&amp;" "&amp;Milestones!$AB$151&amp;" "&amp;IF(AND(Milestones!$AB$151="FT",Milestones!$AA$151=FT_Y5,EDATE($D79,Milestones!$AA$151)&lt;PolicyEff),1,Milestones!$AC$151)&amp;";  ",""))</f>
        <v/>
      </c>
      <c r="T79" s="0" t="str">
        <f aca="false">IF(OR($A79="",$D79=""),"",IF(AND(EDATE($D79,Milestones!$AA$152)&lt;=AsOfDate,EDATE($D79,Milestones!$AA$152)&gt;=SchemeStart,IF($X79=0,$AD79,IF(AND($Z79&lt;&gt;"",EDATE($D79,Milestones!$AA$152)&gt;=$Z79),$AC79,IF(AND($Y79&lt;&gt;"",EDATE($D79,Milestones!$AA$152)&gt;=$Y79),$AB79,$AA79)))=Milestones!$AB$152),UPPER(TEXT(EDATE($D79,Milestones!$AA$152),"dd mmm yy"))&amp;" "&amp;Milestones!$AB$152&amp;" "&amp;IF(AND(Milestones!$AB$152="FT",Milestones!$AA$152=FT_Y5,EDATE($D79,Milestones!$AA$152)&lt;PolicyEff),1,Milestones!$AC$152)&amp;";  ","")&amp;IF(AND(EDATE($D79,Milestones!$AA$153)&lt;=AsOfDate,EDATE($D79,Milestones!$AA$153)&gt;=SchemeStart,IF($X79=0,$AD79,IF(AND($Z79&lt;&gt;"",EDATE($D79,Milestones!$AA$153)&gt;=$Z79),$AC79,IF(AND($Y79&lt;&gt;"",EDATE($D79,Milestones!$AA$153)&gt;=$Y79),$AB79,$AA79)))=Milestones!$AB$153),UPPER(TEXT(EDATE($D79,Milestones!$AA$153),"dd mmm yy"))&amp;" "&amp;Milestones!$AB$153&amp;" "&amp;IF(AND(Milestones!$AB$153="FT",Milestones!$AA$153=FT_Y5,EDATE($D79,Milestones!$AA$153)&lt;PolicyEff),1,Milestones!$AC$153)&amp;";  ","")&amp;IF(AND(EDATE($D79,Milestones!$AA$154)&lt;=AsOfDate,EDATE($D79,Milestones!$AA$154)&gt;=SchemeStart,IF($X79=0,$AD79,IF(AND($Z79&lt;&gt;"",EDATE($D79,Milestones!$AA$154)&gt;=$Z79),$AC79,IF(AND($Y79&lt;&gt;"",EDATE($D79,Milestones!$AA$154)&gt;=$Y79),$AB79,$AA79)))=Milestones!$AB$154),UPPER(TEXT(EDATE($D79,Milestones!$AA$154),"dd mmm yy"))&amp;" "&amp;Milestones!$AB$154&amp;" "&amp;IF(AND(Milestones!$AB$154="FT",Milestones!$AA$154=FT_Y5,EDATE($D79,Milestones!$AA$154)&lt;PolicyEff),1,Milestones!$AC$154)&amp;";  ","")&amp;IF(AND(EDATE($D79,Milestones!$AA$155)&lt;=AsOfDate,EDATE($D79,Milestones!$AA$155)&gt;=SchemeStart,IF($X79=0,$AD79,IF(AND($Z79&lt;&gt;"",EDATE($D79,Milestones!$AA$155)&gt;=$Z79),$AC79,IF(AND($Y79&lt;&gt;"",EDATE($D79,Milestones!$AA$155)&gt;=$Y79),$AB79,$AA79)))=Milestones!$AB$155),UPPER(TEXT(EDATE($D79,Milestones!$AA$155),"dd mmm yy"))&amp;" "&amp;Milestones!$AB$155&amp;" "&amp;IF(AND(Milestones!$AB$155="FT",Milestones!$AA$155=FT_Y5,EDATE($D79,Milestones!$AA$155)&lt;PolicyEff),1,Milestones!$AC$155)&amp;";  ","")&amp;IF(AND(EDATE($D79,Milestones!$AA$156)&lt;=AsOfDate,EDATE($D79,Milestones!$AA$156)&gt;=SchemeStart,IF($X79=0,$AD79,IF(AND($Z79&lt;&gt;"",EDATE($D79,Milestones!$AA$156)&gt;=$Z79),$AC79,IF(AND($Y79&lt;&gt;"",EDATE($D79,Milestones!$AA$156)&gt;=$Y79),$AB79,$AA79)))=Milestones!$AB$156),UPPER(TEXT(EDATE($D79,Milestones!$AA$156),"dd mmm yy"))&amp;" "&amp;Milestones!$AB$156&amp;" "&amp;IF(AND(Milestones!$AB$156="FT",Milestones!$AA$156=FT_Y5,EDATE($D79,Milestones!$AA$156)&lt;PolicyEff),1,Milestones!$AC$156)&amp;";  ","")&amp;IF(AND(EDATE($D79,Milestones!$AA$157)&lt;=AsOfDate,EDATE($D79,Milestones!$AA$157)&gt;=SchemeStart,IF($X79=0,$AD79,IF(AND($Z79&lt;&gt;"",EDATE($D79,Milestones!$AA$157)&gt;=$Z79),$AC79,IF(AND($Y79&lt;&gt;"",EDATE($D79,Milestones!$AA$157)&gt;=$Y79),$AB79,$AA79)))=Milestones!$AB$157),UPPER(TEXT(EDATE($D79,Milestones!$AA$157),"dd mmm yy"))&amp;" "&amp;Milestones!$AB$157&amp;" "&amp;IF(AND(Milestones!$AB$157="FT",Milestones!$AA$157=FT_Y5,EDATE($D79,Milestones!$AA$157)&lt;PolicyEff),1,Milestones!$AC$157)&amp;";  ","")&amp;IF(AND(EDATE($D79,Milestones!$AA$158)&lt;=AsOfDate,EDATE($D79,Milestones!$AA$158)&gt;=SchemeStart,IF($X79=0,$AD79,IF(AND($Z79&lt;&gt;"",EDATE($D79,Milestones!$AA$158)&gt;=$Z79),$AC79,IF(AND($Y79&lt;&gt;"",EDATE($D79,Milestones!$AA$158)&gt;=$Y79),$AB79,$AA79)))=Milestones!$AB$158),UPPER(TEXT(EDATE($D79,Milestones!$AA$158),"dd mmm yy"))&amp;" "&amp;Milestones!$AB$158&amp;" "&amp;IF(AND(Milestones!$AB$158="FT",Milestones!$AA$158=FT_Y5,EDATE($D79,Milestones!$AA$158)&lt;PolicyEff),1,Milestones!$AC$158)&amp;";  ","")&amp;IF(AND(EDATE($D79,Milestones!$AA$159)&lt;=AsOfDate,EDATE($D79,Milestones!$AA$159)&gt;=SchemeStart,IF($X79=0,$AD79,IF(AND($Z79&lt;&gt;"",EDATE($D79,Milestones!$AA$159)&gt;=$Z79),$AC79,IF(AND($Y79&lt;&gt;"",EDATE($D79,Milestones!$AA$159)&gt;=$Y79),$AB79,$AA79)))=Milestones!$AB$159),UPPER(TEXT(EDATE($D79,Milestones!$AA$159),"dd mmm yy"))&amp;" "&amp;Milestones!$AB$159&amp;" "&amp;IF(AND(Milestones!$AB$159="FT",Milestones!$AA$159=FT_Y5,EDATE($D79,Milestones!$AA$159)&lt;PolicyEff),1,Milestones!$AC$159)&amp;";  ","")&amp;IF(AND(EDATE($D79,Milestones!$AA$160)&lt;=AsOfDate,EDATE($D79,Milestones!$AA$160)&gt;=SchemeStart,IF($X79=0,$AD79,IF(AND($Z79&lt;&gt;"",EDATE($D79,Milestones!$AA$160)&gt;=$Z79),$AC79,IF(AND($Y79&lt;&gt;"",EDATE($D79,Milestones!$AA$160)&gt;=$Y79),$AB79,$AA79)))=Milestones!$AB$160),UPPER(TEXT(EDATE($D79,Milestones!$AA$160),"dd mmm yy"))&amp;" "&amp;Milestones!$AB$160&amp;" "&amp;IF(AND(Milestones!$AB$160="FT",Milestones!$AA$160=FT_Y5,EDATE($D79,Milestones!$AA$160)&lt;PolicyEff),1,Milestones!$AC$160)&amp;";  ","")&amp;IF(AND(EDATE($D79,Milestones!$AA$161)&lt;=AsOfDate,EDATE($D79,Milestones!$AA$161)&gt;=SchemeStart,IF($X79=0,$AD79,IF(AND($Z79&lt;&gt;"",EDATE($D79,Milestones!$AA$161)&gt;=$Z79),$AC79,IF(AND($Y79&lt;&gt;"",EDATE($D79,Milestones!$AA$161)&gt;=$Y79),$AB79,$AA79)))=Milestones!$AB$161),UPPER(TEXT(EDATE($D79,Milestones!$AA$161),"dd mmm yy"))&amp;" "&amp;Milestones!$AB$161&amp;" "&amp;IF(AND(Milestones!$AB$161="FT",Milestones!$AA$161=FT_Y5,EDATE($D79,Milestones!$AA$161)&lt;PolicyEff),1,Milestones!$AC$161)&amp;";  ","")&amp;IF(AND(EDATE($D79,Milestones!$AA$162)&lt;=AsOfDate,EDATE($D79,Milestones!$AA$162)&gt;=SchemeStart,IF($X79=0,$AD79,IF(AND($Z79&lt;&gt;"",EDATE($D79,Milestones!$AA$162)&gt;=$Z79),$AC79,IF(AND($Y79&lt;&gt;"",EDATE($D79,Milestones!$AA$162)&gt;=$Y79),$AB79,$AA79)))=Milestones!$AB$162),UPPER(TEXT(EDATE($D79,Milestones!$AA$162),"dd mmm yy"))&amp;" "&amp;Milestones!$AB$162&amp;" "&amp;IF(AND(Milestones!$AB$162="FT",Milestones!$AA$162=FT_Y5,EDATE($D79,Milestones!$AA$162)&lt;PolicyEff),1,Milestones!$AC$162)&amp;";  ","")&amp;IF(AND(EDATE($D79,Milestones!$AA$163)&lt;=AsOfDate,EDATE($D79,Milestones!$AA$163)&gt;=SchemeStart,IF($X79=0,$AD79,IF(AND($Z79&lt;&gt;"",EDATE($D79,Milestones!$AA$163)&gt;=$Z79),$AC79,IF(AND($Y79&lt;&gt;"",EDATE($D79,Milestones!$AA$163)&gt;=$Y79),$AB79,$AA79)))=Milestones!$AB$163),UPPER(TEXT(EDATE($D79,Milestones!$AA$163),"dd mmm yy"))&amp;" "&amp;Milestones!$AB$163&amp;" "&amp;IF(AND(Milestones!$AB$163="FT",Milestones!$AA$163=FT_Y5,EDATE($D79,Milestones!$AA$163)&lt;PolicyEff),1,Milestones!$AC$163)&amp;";  ",""))</f>
        <v/>
      </c>
      <c r="U79" s="0" t="str">
        <f aca="false">IF(OR($A79="",$D79=""),"",IF(AND(EDATE($D79,Milestones!$AA$164)&lt;=AsOfDate,EDATE($D79,Milestones!$AA$164)&gt;=SchemeStart,IF($X79=0,$AD79,IF(AND($Z79&lt;&gt;"",EDATE($D79,Milestones!$AA$164)&gt;=$Z79),$AC79,IF(AND($Y79&lt;&gt;"",EDATE($D79,Milestones!$AA$164)&gt;=$Y79),$AB79,$AA79)))=Milestones!$AB$164),UPPER(TEXT(EDATE($D79,Milestones!$AA$164),"dd mmm yy"))&amp;" "&amp;Milestones!$AB$164&amp;" "&amp;IF(AND(Milestones!$AB$164="FT",Milestones!$AA$164=FT_Y5,EDATE($D79,Milestones!$AA$164)&lt;PolicyEff),1,Milestones!$AC$164)&amp;";  ","")&amp;IF(AND(EDATE($D79,Milestones!$AA$165)&lt;=AsOfDate,EDATE($D79,Milestones!$AA$165)&gt;=SchemeStart,IF($X79=0,$AD79,IF(AND($Z79&lt;&gt;"",EDATE($D79,Milestones!$AA$165)&gt;=$Z79),$AC79,IF(AND($Y79&lt;&gt;"",EDATE($D79,Milestones!$AA$165)&gt;=$Y79),$AB79,$AA79)))=Milestones!$AB$165),UPPER(TEXT(EDATE($D79,Milestones!$AA$165),"dd mmm yy"))&amp;" "&amp;Milestones!$AB$165&amp;" "&amp;IF(AND(Milestones!$AB$165="FT",Milestones!$AA$165=FT_Y5,EDATE($D79,Milestones!$AA$165)&lt;PolicyEff),1,Milestones!$AC$165)&amp;";  ","")&amp;IF(AND(EDATE($D79,Milestones!$AA$166)&lt;=AsOfDate,EDATE($D79,Milestones!$AA$166)&gt;=SchemeStart,IF($X79=0,$AD79,IF(AND($Z79&lt;&gt;"",EDATE($D79,Milestones!$AA$166)&gt;=$Z79),$AC79,IF(AND($Y79&lt;&gt;"",EDATE($D79,Milestones!$AA$166)&gt;=$Y79),$AB79,$AA79)))=Milestones!$AB$166),UPPER(TEXT(EDATE($D79,Milestones!$AA$166),"dd mmm yy"))&amp;" "&amp;Milestones!$AB$166&amp;" "&amp;IF(AND(Milestones!$AB$166="FT",Milestones!$AA$166=FT_Y5,EDATE($D79,Milestones!$AA$166)&lt;PolicyEff),1,Milestones!$AC$166)&amp;";  ","")&amp;IF(AND(EDATE($D79,Milestones!$AA$167)&lt;=AsOfDate,EDATE($D79,Milestones!$AA$167)&gt;=SchemeStart,IF($X79=0,$AD79,IF(AND($Z79&lt;&gt;"",EDATE($D79,Milestones!$AA$167)&gt;=$Z79),$AC79,IF(AND($Y79&lt;&gt;"",EDATE($D79,Milestones!$AA$167)&gt;=$Y79),$AB79,$AA79)))=Milestones!$AB$167),UPPER(TEXT(EDATE($D79,Milestones!$AA$167),"dd mmm yy"))&amp;" "&amp;Milestones!$AB$167&amp;" "&amp;IF(AND(Milestones!$AB$167="FT",Milestones!$AA$167=FT_Y5,EDATE($D79,Milestones!$AA$167)&lt;PolicyEff),1,Milestones!$AC$167)&amp;";  ","")&amp;IF(AND(EDATE($D79,Milestones!$AA$168)&lt;=AsOfDate,EDATE($D79,Milestones!$AA$168)&gt;=SchemeStart,IF($X79=0,$AD79,IF(AND($Z79&lt;&gt;"",EDATE($D79,Milestones!$AA$168)&gt;=$Z79),$AC79,IF(AND($Y79&lt;&gt;"",EDATE($D79,Milestones!$AA$168)&gt;=$Y79),$AB79,$AA79)))=Milestones!$AB$168),UPPER(TEXT(EDATE($D79,Milestones!$AA$168),"dd mmm yy"))&amp;" "&amp;Milestones!$AB$168&amp;" "&amp;IF(AND(Milestones!$AB$168="FT",Milestones!$AA$168=FT_Y5,EDATE($D79,Milestones!$AA$168)&lt;PolicyEff),1,Milestones!$AC$168)&amp;";  ","")&amp;IF(AND(EDATE($D79,Milestones!$AA$169)&lt;=AsOfDate,EDATE($D79,Milestones!$AA$169)&gt;=SchemeStart,IF($X79=0,$AD79,IF(AND($Z79&lt;&gt;"",EDATE($D79,Milestones!$AA$169)&gt;=$Z79),$AC79,IF(AND($Y79&lt;&gt;"",EDATE($D79,Milestones!$AA$169)&gt;=$Y79),$AB79,$AA79)))=Milestones!$AB$169),UPPER(TEXT(EDATE($D79,Milestones!$AA$169),"dd mmm yy"))&amp;" "&amp;Milestones!$AB$169&amp;" "&amp;IF(AND(Milestones!$AB$169="FT",Milestones!$AA$169=FT_Y5,EDATE($D79,Milestones!$AA$169)&lt;PolicyEff),1,Milestones!$AC$169)&amp;";  ","")&amp;IF(AND(EDATE($D79,Milestones!$AA$170)&lt;=AsOfDate,EDATE($D79,Milestones!$AA$170)&gt;=SchemeStart,IF($X79=0,$AD79,IF(AND($Z79&lt;&gt;"",EDATE($D79,Milestones!$AA$170)&gt;=$Z79),$AC79,IF(AND($Y79&lt;&gt;"",EDATE($D79,Milestones!$AA$170)&gt;=$Y79),$AB79,$AA79)))=Milestones!$AB$170),UPPER(TEXT(EDATE($D79,Milestones!$AA$170),"dd mmm yy"))&amp;" "&amp;Milestones!$AB$170&amp;" "&amp;IF(AND(Milestones!$AB$170="FT",Milestones!$AA$170=FT_Y5,EDATE($D79,Milestones!$AA$170)&lt;PolicyEff),1,Milestones!$AC$170)&amp;";  ","")&amp;IF(AND(EDATE($D79,Milestones!$AA$171)&lt;=AsOfDate,EDATE($D79,Milestones!$AA$171)&gt;=SchemeStart,IF($X79=0,$AD79,IF(AND($Z79&lt;&gt;"",EDATE($D79,Milestones!$AA$171)&gt;=$Z79),$AC79,IF(AND($Y79&lt;&gt;"",EDATE($D79,Milestones!$AA$171)&gt;=$Y79),$AB79,$AA79)))=Milestones!$AB$171),UPPER(TEXT(EDATE($D79,Milestones!$AA$171),"dd mmm yy"))&amp;" "&amp;Milestones!$AB$171&amp;" "&amp;IF(AND(Milestones!$AB$171="FT",Milestones!$AA$171=FT_Y5,EDATE($D79,Milestones!$AA$171)&lt;PolicyEff),1,Milestones!$AC$171)&amp;";  ","")&amp;IF(AND(EDATE($D79,Milestones!$AA$172)&lt;=AsOfDate,EDATE($D79,Milestones!$AA$172)&gt;=SchemeStart,IF($X79=0,$AD79,IF(AND($Z79&lt;&gt;"",EDATE($D79,Milestones!$AA$172)&gt;=$Z79),$AC79,IF(AND($Y79&lt;&gt;"",EDATE($D79,Milestones!$AA$172)&gt;=$Y79),$AB79,$AA79)))=Milestones!$AB$172),UPPER(TEXT(EDATE($D79,Milestones!$AA$172),"dd mmm yy"))&amp;" "&amp;Milestones!$AB$172&amp;" "&amp;IF(AND(Milestones!$AB$172="FT",Milestones!$AA$172=FT_Y5,EDATE($D79,Milestones!$AA$172)&lt;PolicyEff),1,Milestones!$AC$172)&amp;";  ","")&amp;IF(AND(EDATE($D79,Milestones!$AA$173)&lt;=AsOfDate,EDATE($D79,Milestones!$AA$173)&gt;=SchemeStart,IF($X79=0,$AD79,IF(AND($Z79&lt;&gt;"",EDATE($D79,Milestones!$AA$173)&gt;=$Z79),$AC79,IF(AND($Y79&lt;&gt;"",EDATE($D79,Milestones!$AA$173)&gt;=$Y79),$AB79,$AA79)))=Milestones!$AB$173),UPPER(TEXT(EDATE($D79,Milestones!$AA$173),"dd mmm yy"))&amp;" "&amp;Milestones!$AB$173&amp;" "&amp;IF(AND(Milestones!$AB$173="FT",Milestones!$AA$173=FT_Y5,EDATE($D79,Milestones!$AA$173)&lt;PolicyEff),1,Milestones!$AC$173)&amp;";  ","")&amp;IF(AND(EDATE($D79,Milestones!$AA$174)&lt;=AsOfDate,EDATE($D79,Milestones!$AA$174)&gt;=SchemeStart,IF($X79=0,$AD79,IF(AND($Z79&lt;&gt;"",EDATE($D79,Milestones!$AA$174)&gt;=$Z79),$AC79,IF(AND($Y79&lt;&gt;"",EDATE($D79,Milestones!$AA$174)&gt;=$Y79),$AB79,$AA79)))=Milestones!$AB$174),UPPER(TEXT(EDATE($D79,Milestones!$AA$174),"dd mmm yy"))&amp;" "&amp;Milestones!$AB$174&amp;" "&amp;IF(AND(Milestones!$AB$174="FT",Milestones!$AA$174=FT_Y5,EDATE($D79,Milestones!$AA$174)&lt;PolicyEff),1,Milestones!$AC$174)&amp;";  ","")&amp;IF(AND(EDATE($D79,Milestones!$AA$175)&lt;=AsOfDate,EDATE($D79,Milestones!$AA$175)&gt;=SchemeStart,IF($X79=0,$AD79,IF(AND($Z79&lt;&gt;"",EDATE($D79,Milestones!$AA$175)&gt;=$Z79),$AC79,IF(AND($Y79&lt;&gt;"",EDATE($D79,Milestones!$AA$175)&gt;=$Y79),$AB79,$AA79)))=Milestones!$AB$175),UPPER(TEXT(EDATE($D79,Milestones!$AA$175),"dd mmm yy"))&amp;" "&amp;Milestones!$AB$175&amp;" "&amp;IF(AND(Milestones!$AB$175="FT",Milestones!$AA$175=FT_Y5,EDATE($D79,Milestones!$AA$175)&lt;PolicyEff),1,Milestones!$AC$175)&amp;";  ",""))</f>
        <v/>
      </c>
      <c r="V79" s="0" t="str">
        <f aca="false">IF(OR($A79="",$D79=""),"",IF(AND(EDATE($D79,Milestones!$AA$176)&lt;=AsOfDate,EDATE($D79,Milestones!$AA$176)&gt;=SchemeStart,IF($X79=0,$AD79,IF(AND($Z79&lt;&gt;"",EDATE($D79,Milestones!$AA$176)&gt;=$Z79),$AC79,IF(AND($Y79&lt;&gt;"",EDATE($D79,Milestones!$AA$176)&gt;=$Y79),$AB79,$AA79)))=Milestones!$AB$176),UPPER(TEXT(EDATE($D79,Milestones!$AA$176),"dd mmm yy"))&amp;" "&amp;Milestones!$AB$176&amp;" "&amp;IF(AND(Milestones!$AB$176="FT",Milestones!$AA$176=FT_Y5,EDATE($D79,Milestones!$AA$176)&lt;PolicyEff),1,Milestones!$AC$176)&amp;";  ","")&amp;IF(AND(EDATE($D79,Milestones!$AA$177)&lt;=AsOfDate,EDATE($D79,Milestones!$AA$177)&gt;=SchemeStart,IF($X79=0,$AD79,IF(AND($Z79&lt;&gt;"",EDATE($D79,Milestones!$AA$177)&gt;=$Z79),$AC79,IF(AND($Y79&lt;&gt;"",EDATE($D79,Milestones!$AA$177)&gt;=$Y79),$AB79,$AA79)))=Milestones!$AB$177),UPPER(TEXT(EDATE($D79,Milestones!$AA$177),"dd mmm yy"))&amp;" "&amp;Milestones!$AB$177&amp;" "&amp;IF(AND(Milestones!$AB$177="FT",Milestones!$AA$177=FT_Y5,EDATE($D79,Milestones!$AA$177)&lt;PolicyEff),1,Milestones!$AC$177)&amp;";  ","")&amp;IF(AND(EDATE($D79,Milestones!$AA$178)&lt;=AsOfDate,EDATE($D79,Milestones!$AA$178)&gt;=SchemeStart,IF($X79=0,$AD79,IF(AND($Z79&lt;&gt;"",EDATE($D79,Milestones!$AA$178)&gt;=$Z79),$AC79,IF(AND($Y79&lt;&gt;"",EDATE($D79,Milestones!$AA$178)&gt;=$Y79),$AB79,$AA79)))=Milestones!$AB$178),UPPER(TEXT(EDATE($D79,Milestones!$AA$178),"dd mmm yy"))&amp;" "&amp;Milestones!$AB$178&amp;" "&amp;IF(AND(Milestones!$AB$178="FT",Milestones!$AA$178=FT_Y5,EDATE($D79,Milestones!$AA$178)&lt;PolicyEff),1,Milestones!$AC$178)&amp;";  ","")&amp;IF(AND(EDATE($D79,Milestones!$AA$179)&lt;=AsOfDate,EDATE($D79,Milestones!$AA$179)&gt;=SchemeStart,IF($X79=0,$AD79,IF(AND($Z79&lt;&gt;"",EDATE($D79,Milestones!$AA$179)&gt;=$Z79),$AC79,IF(AND($Y79&lt;&gt;"",EDATE($D79,Milestones!$AA$179)&gt;=$Y79),$AB79,$AA79)))=Milestones!$AB$179),UPPER(TEXT(EDATE($D79,Milestones!$AA$179),"dd mmm yy"))&amp;" "&amp;Milestones!$AB$179&amp;" "&amp;IF(AND(Milestones!$AB$179="FT",Milestones!$AA$179=FT_Y5,EDATE($D79,Milestones!$AA$179)&lt;PolicyEff),1,Milestones!$AC$179)&amp;";  ","")&amp;IF(AND(EDATE($D79,Milestones!$AA$180)&lt;=AsOfDate,EDATE($D79,Milestones!$AA$180)&gt;=SchemeStart,IF($X79=0,$AD79,IF(AND($Z79&lt;&gt;"",EDATE($D79,Milestones!$AA$180)&gt;=$Z79),$AC79,IF(AND($Y79&lt;&gt;"",EDATE($D79,Milestones!$AA$180)&gt;=$Y79),$AB79,$AA79)))=Milestones!$AB$180),UPPER(TEXT(EDATE($D79,Milestones!$AA$180),"dd mmm yy"))&amp;" "&amp;Milestones!$AB$180&amp;" "&amp;IF(AND(Milestones!$AB$180="FT",Milestones!$AA$180=FT_Y5,EDATE($D79,Milestones!$AA$180)&lt;PolicyEff),1,Milestones!$AC$180)&amp;";  ","")&amp;IF(AND(EDATE($D79,Milestones!$AA$181)&lt;=AsOfDate,EDATE($D79,Milestones!$AA$181)&gt;=SchemeStart,IF($X79=0,$AD79,IF(AND($Z79&lt;&gt;"",EDATE($D79,Milestones!$AA$181)&gt;=$Z79),$AC79,IF(AND($Y79&lt;&gt;"",EDATE($D79,Milestones!$AA$181)&gt;=$Y79),$AB79,$AA79)))=Milestones!$AB$181),UPPER(TEXT(EDATE($D79,Milestones!$AA$181),"dd mmm yy"))&amp;" "&amp;Milestones!$AB$181&amp;" "&amp;IF(AND(Milestones!$AB$181="FT",Milestones!$AA$181=FT_Y5,EDATE($D79,Milestones!$AA$181)&lt;PolicyEff),1,Milestones!$AC$181)&amp;";  ","")&amp;IF(AND(EDATE($D79,Milestones!$AA$182)&lt;=AsOfDate,EDATE($D79,Milestones!$AA$182)&gt;=SchemeStart,IF($X79=0,$AD79,IF(AND($Z79&lt;&gt;"",EDATE($D79,Milestones!$AA$182)&gt;=$Z79),$AC79,IF(AND($Y79&lt;&gt;"",EDATE($D79,Milestones!$AA$182)&gt;=$Y79),$AB79,$AA79)))=Milestones!$AB$182),UPPER(TEXT(EDATE($D79,Milestones!$AA$182),"dd mmm yy"))&amp;" "&amp;Milestones!$AB$182&amp;" "&amp;IF(AND(Milestones!$AB$182="FT",Milestones!$AA$182=FT_Y5,EDATE($D79,Milestones!$AA$182)&lt;PolicyEff),1,Milestones!$AC$182)&amp;";  ","")&amp;IF(AND(EDATE($D79,Milestones!$AA$183)&lt;=AsOfDate,EDATE($D79,Milestones!$AA$183)&gt;=SchemeStart,IF($X79=0,$AD79,IF(AND($Z79&lt;&gt;"",EDATE($D79,Milestones!$AA$183)&gt;=$Z79),$AC79,IF(AND($Y79&lt;&gt;"",EDATE($D79,Milestones!$AA$183)&gt;=$Y79),$AB79,$AA79)))=Milestones!$AB$183),UPPER(TEXT(EDATE($D79,Milestones!$AA$183),"dd mmm yy"))&amp;" "&amp;Milestones!$AB$183&amp;" "&amp;IF(AND(Milestones!$AB$183="FT",Milestones!$AA$183=FT_Y5,EDATE($D79,Milestones!$AA$183)&lt;PolicyEff),1,Milestones!$AC$183)&amp;";  ","")&amp;IF(AND(EDATE($D79,Milestones!$AA$184)&lt;=AsOfDate,EDATE($D79,Milestones!$AA$184)&gt;=SchemeStart,IF($X79=0,$AD79,IF(AND($Z79&lt;&gt;"",EDATE($D79,Milestones!$AA$184)&gt;=$Z79),$AC79,IF(AND($Y79&lt;&gt;"",EDATE($D79,Milestones!$AA$184)&gt;=$Y79),$AB79,$AA79)))=Milestones!$AB$184),UPPER(TEXT(EDATE($D79,Milestones!$AA$184),"dd mmm yy"))&amp;" "&amp;Milestones!$AB$184&amp;" "&amp;IF(AND(Milestones!$AB$184="FT",Milestones!$AA$184=FT_Y5,EDATE($D79,Milestones!$AA$184)&lt;PolicyEff),1,Milestones!$AC$184)&amp;";  ","")&amp;IF(AND(EDATE($D79,Milestones!$AA$185)&lt;=AsOfDate,EDATE($D79,Milestones!$AA$185)&gt;=SchemeStart,IF($X79=0,$AD79,IF(AND($Z79&lt;&gt;"",EDATE($D79,Milestones!$AA$185)&gt;=$Z79),$AC79,IF(AND($Y79&lt;&gt;"",EDATE($D79,Milestones!$AA$185)&gt;=$Y79),$AB79,$AA79)))=Milestones!$AB$185),UPPER(TEXT(EDATE($D79,Milestones!$AA$185),"dd mmm yy"))&amp;" "&amp;Milestones!$AB$185&amp;" "&amp;IF(AND(Milestones!$AB$185="FT",Milestones!$AA$185=FT_Y5,EDATE($D79,Milestones!$AA$185)&lt;PolicyEff),1,Milestones!$AC$185)&amp;";  ","")&amp;IF(AND(EDATE($D79,Milestones!$AA$186)&lt;=AsOfDate,EDATE($D79,Milestones!$AA$186)&gt;=SchemeStart,IF($X79=0,$AD79,IF(AND($Z79&lt;&gt;"",EDATE($D79,Milestones!$AA$186)&gt;=$Z79),$AC79,IF(AND($Y79&lt;&gt;"",EDATE($D79,Milestones!$AA$186)&gt;=$Y79),$AB79,$AA79)))=Milestones!$AB$186),UPPER(TEXT(EDATE($D79,Milestones!$AA$186),"dd mmm yy"))&amp;" "&amp;Milestones!$AB$186&amp;" "&amp;IF(AND(Milestones!$AB$186="FT",Milestones!$AA$186=FT_Y5,EDATE($D79,Milestones!$AA$186)&lt;PolicyEff),1,Milestones!$AC$186)&amp;";  ","")&amp;IF(AND(EDATE($D79,Milestones!$AA$187)&lt;=AsOfDate,EDATE($D79,Milestones!$AA$187)&gt;=SchemeStart,IF($X79=0,$AD79,IF(AND($Z79&lt;&gt;"",EDATE($D79,Milestones!$AA$187)&gt;=$Z79),$AC79,IF(AND($Y79&lt;&gt;"",EDATE($D79,Milestones!$AA$187)&gt;=$Y79),$AB79,$AA79)))=Milestones!$AB$187),UPPER(TEXT(EDATE($D79,Milestones!$AA$187),"dd mmm yy"))&amp;" "&amp;Milestones!$AB$187&amp;" "&amp;IF(AND(Milestones!$AB$187="FT",Milestones!$AA$187=FT_Y5,EDATE($D79,Milestones!$AA$187)&lt;PolicyEff),1,Milestones!$AC$187)&amp;";  ",""))</f>
        <v/>
      </c>
      <c r="W79" s="0" t="str">
        <f aca="false">IF(OR($A79="",$D79=""),"",IF(AND(EDATE($D79,Milestones!$AA$188)&lt;=AsOfDate,EDATE($D79,Milestones!$AA$188)&gt;=SchemeStart,IF($X79=0,$AD79,IF(AND($Z79&lt;&gt;"",EDATE($D79,Milestones!$AA$188)&gt;=$Z79),$AC79,IF(AND($Y79&lt;&gt;"",EDATE($D79,Milestones!$AA$188)&gt;=$Y79),$AB79,$AA79)))=Milestones!$AB$188),UPPER(TEXT(EDATE($D79,Milestones!$AA$188),"dd mmm yy"))&amp;" "&amp;Milestones!$AB$188&amp;" "&amp;IF(AND(Milestones!$AB$188="FT",Milestones!$AA$188=FT_Y5,EDATE($D79,Milestones!$AA$188)&lt;PolicyEff),1,Milestones!$AC$188)&amp;";  ","")&amp;IF(AND(EDATE($D79,Milestones!$AA$189)&lt;=AsOfDate,EDATE($D79,Milestones!$AA$189)&gt;=SchemeStart,IF($X79=0,$AD79,IF(AND($Z79&lt;&gt;"",EDATE($D79,Milestones!$AA$189)&gt;=$Z79),$AC79,IF(AND($Y79&lt;&gt;"",EDATE($D79,Milestones!$AA$189)&gt;=$Y79),$AB79,$AA79)))=Milestones!$AB$189),UPPER(TEXT(EDATE($D79,Milestones!$AA$189),"dd mmm yy"))&amp;" "&amp;Milestones!$AB$189&amp;" "&amp;IF(AND(Milestones!$AB$189="FT",Milestones!$AA$189=FT_Y5,EDATE($D79,Milestones!$AA$189)&lt;PolicyEff),1,Milestones!$AC$189)&amp;";  ","")&amp;IF(AND(EDATE($D79,Milestones!$AA$190)&lt;=AsOfDate,EDATE($D79,Milestones!$AA$190)&gt;=SchemeStart,IF($X79=0,$AD79,IF(AND($Z79&lt;&gt;"",EDATE($D79,Milestones!$AA$190)&gt;=$Z79),$AC79,IF(AND($Y79&lt;&gt;"",EDATE($D79,Milestones!$AA$190)&gt;=$Y79),$AB79,$AA79)))=Milestones!$AB$190),UPPER(TEXT(EDATE($D79,Milestones!$AA$190),"dd mmm yy"))&amp;" "&amp;Milestones!$AB$190&amp;" "&amp;IF(AND(Milestones!$AB$190="FT",Milestones!$AA$190=FT_Y5,EDATE($D79,Milestones!$AA$190)&lt;PolicyEff),1,Milestones!$AC$190)&amp;";  ","")&amp;IF(AND(EDATE($D79,Milestones!$AA$191)&lt;=AsOfDate,EDATE($D79,Milestones!$AA$191)&gt;=SchemeStart,IF($X79=0,$AD79,IF(AND($Z79&lt;&gt;"",EDATE($D79,Milestones!$AA$191)&gt;=$Z79),$AC79,IF(AND($Y79&lt;&gt;"",EDATE($D79,Milestones!$AA$191)&gt;=$Y79),$AB79,$AA79)))=Milestones!$AB$191),UPPER(TEXT(EDATE($D79,Milestones!$AA$191),"dd mmm yy"))&amp;" "&amp;Milestones!$AB$191&amp;" "&amp;IF(AND(Milestones!$AB$191="FT",Milestones!$AA$191=FT_Y5,EDATE($D79,Milestones!$AA$191)&lt;PolicyEff),1,Milestones!$AC$191)&amp;";  ","")&amp;IF(AND(EDATE($D79,Milestones!$AA$192)&lt;=AsOfDate,EDATE($D79,Milestones!$AA$192)&gt;=SchemeStart,IF($X79=0,$AD79,IF(AND($Z79&lt;&gt;"",EDATE($D79,Milestones!$AA$192)&gt;=$Z79),$AC79,IF(AND($Y79&lt;&gt;"",EDATE($D79,Milestones!$AA$192)&gt;=$Y79),$AB79,$AA79)))=Milestones!$AB$192),UPPER(TEXT(EDATE($D79,Milestones!$AA$192),"dd mmm yy"))&amp;" "&amp;Milestones!$AB$192&amp;" "&amp;IF(AND(Milestones!$AB$192="FT",Milestones!$AA$192=FT_Y5,EDATE($D79,Milestones!$AA$192)&lt;PolicyEff),1,Milestones!$AC$192)&amp;";  ","")&amp;IF(AND(EDATE($D79,Milestones!$AA$193)&lt;=AsOfDate,EDATE($D79,Milestones!$AA$193)&gt;=SchemeStart,IF($X79=0,$AD79,IF(AND($Z79&lt;&gt;"",EDATE($D79,Milestones!$AA$193)&gt;=$Z79),$AC79,IF(AND($Y79&lt;&gt;"",EDATE($D79,Milestones!$AA$193)&gt;=$Y79),$AB79,$AA79)))=Milestones!$AB$193),UPPER(TEXT(EDATE($D79,Milestones!$AA$193),"dd mmm yy"))&amp;" "&amp;Milestones!$AB$193&amp;" "&amp;IF(AND(Milestones!$AB$193="FT",Milestones!$AA$193=FT_Y5,EDATE($D79,Milestones!$AA$193)&lt;PolicyEff),1,Milestones!$AC$193)&amp;";  ","")&amp;IF(AND(EDATE($D79,Milestones!$AA$194)&lt;=AsOfDate,EDATE($D79,Milestones!$AA$194)&gt;=SchemeStart,IF($X79=0,$AD79,IF(AND($Z79&lt;&gt;"",EDATE($D79,Milestones!$AA$194)&gt;=$Z79),$AC79,IF(AND($Y79&lt;&gt;"",EDATE($D79,Milestones!$AA$194)&gt;=$Y79),$AB79,$AA79)))=Milestones!$AB$194),UPPER(TEXT(EDATE($D79,Milestones!$AA$194),"dd mmm yy"))&amp;" "&amp;Milestones!$AB$194&amp;" "&amp;IF(AND(Milestones!$AB$194="FT",Milestones!$AA$194=FT_Y5,EDATE($D79,Milestones!$AA$194)&lt;PolicyEff),1,Milestones!$AC$194)&amp;";  ","")&amp;IF(AND(EDATE($D79,Milestones!$AA$195)&lt;=AsOfDate,EDATE($D79,Milestones!$AA$195)&gt;=SchemeStart,IF($X79=0,$AD79,IF(AND($Z79&lt;&gt;"",EDATE($D79,Milestones!$AA$195)&gt;=$Z79),$AC79,IF(AND($Y79&lt;&gt;"",EDATE($D79,Milestones!$AA$195)&gt;=$Y79),$AB79,$AA79)))=Milestones!$AB$195),UPPER(TEXT(EDATE($D79,Milestones!$AA$195),"dd mmm yy"))&amp;" "&amp;Milestones!$AB$195&amp;" "&amp;IF(AND(Milestones!$AB$195="FT",Milestones!$AA$195=FT_Y5,EDATE($D79,Milestones!$AA$195)&lt;PolicyEff),1,Milestones!$AC$195)&amp;";  ","")&amp;IF(AND(EDATE($D79,Milestones!$AA$196)&lt;=AsOfDate,EDATE($D79,Milestones!$AA$196)&gt;=SchemeStart,IF($X79=0,$AD79,IF(AND($Z79&lt;&gt;"",EDATE($D79,Milestones!$AA$196)&gt;=$Z79),$AC79,IF(AND($Y79&lt;&gt;"",EDATE($D79,Milestones!$AA$196)&gt;=$Y79),$AB79,$AA79)))=Milestones!$AB$196),UPPER(TEXT(EDATE($D79,Milestones!$AA$196),"dd mmm yy"))&amp;" "&amp;Milestones!$AB$196&amp;" "&amp;IF(AND(Milestones!$AB$196="FT",Milestones!$AA$196=FT_Y5,EDATE($D79,Milestones!$AA$196)&lt;PolicyEff),1,Milestones!$AC$196)&amp;";  ","")&amp;IF(AND(EDATE($D79,Milestones!$AA$197)&lt;=AsOfDate,EDATE($D79,Milestones!$AA$197)&gt;=SchemeStart,IF($X79=0,$AD79,IF(AND($Z79&lt;&gt;"",EDATE($D79,Milestones!$AA$197)&gt;=$Z79),$AC79,IF(AND($Y79&lt;&gt;"",EDATE($D79,Milestones!$AA$197)&gt;=$Y79),$AB79,$AA79)))=Milestones!$AB$197),UPPER(TEXT(EDATE($D79,Milestones!$AA$197),"dd mmm yy"))&amp;" "&amp;Milestones!$AB$197&amp;" "&amp;IF(AND(Milestones!$AB$197="FT",Milestones!$AA$197=FT_Y5,EDATE($D79,Milestones!$AA$197)&lt;PolicyEff),1,Milestones!$AC$197)&amp;";  ","")&amp;IF(AND(EDATE($D79,Milestones!$AA$198)&lt;=AsOfDate,EDATE($D79,Milestones!$AA$198)&gt;=SchemeStart,IF($X79=0,$AD79,IF(AND($Z79&lt;&gt;"",EDATE($D79,Milestones!$AA$198)&gt;=$Z79),$AC79,IF(AND($Y79&lt;&gt;"",EDATE($D79,Milestones!$AA$198)&gt;=$Y79),$AB79,$AA79)))=Milestones!$AB$198),UPPER(TEXT(EDATE($D79,Milestones!$AA$198),"dd mmm yy"))&amp;" "&amp;Milestones!$AB$198&amp;" "&amp;IF(AND(Milestones!$AB$198="FT",Milestones!$AA$198=FT_Y5,EDATE($D79,Milestones!$AA$198)&lt;PolicyEff),1,Milestones!$AC$198)&amp;";  ","")&amp;IF(AND(EDATE($D79,Milestones!$AA$199)&lt;=AsOfDate,EDATE($D79,Milestones!$AA$199)&gt;=SchemeStart,IF($X79=0,$AD79,IF(AND($Z79&lt;&gt;"",EDATE($D79,Milestones!$AA$199)&gt;=$Z79),$AC79,IF(AND($Y79&lt;&gt;"",EDATE($D79,Milestones!$AA$199)&gt;=$Y79),$AB79,$AA79)))=Milestones!$AB$199),UPPER(TEXT(EDATE($D79,Milestones!$AA$199),"dd mmm yy"))&amp;" "&amp;Milestones!$AB$199&amp;" "&amp;IF(AND(Milestones!$AB$199="FT",Milestones!$AA$199=FT_Y5,EDATE($D79,Milestones!$AA$199)&lt;PolicyEff),1,Milestones!$AC$199)&amp;";  ",""))</f>
        <v/>
      </c>
      <c r="X79" s="0" t="str">
        <f aca="false">IF(Staff!$A79="","",Staff!$AM79)</f>
        <v/>
      </c>
      <c r="Y79" s="0" t="str">
        <f aca="false">IF(Staff!$A79="","",Staff!$AO79)</f>
        <v/>
      </c>
      <c r="Z79" s="0" t="str">
        <f aca="false">IF(Staff!$A79="","",Staff!$AP79)</f>
        <v/>
      </c>
      <c r="AA79" s="0" t="str">
        <f aca="false">IF(Staff!$A79="","",Staff!$AT79)</f>
        <v/>
      </c>
      <c r="AB79" s="0" t="str">
        <f aca="false">IF(Staff!$A79="","",Staff!$AU79)</f>
        <v/>
      </c>
      <c r="AC79" s="0" t="str">
        <f aca="false">IF(Staff!$A79="","",Staff!$AV79)</f>
        <v/>
      </c>
      <c r="AD79" s="0" t="str">
        <f aca="false">IF(Staff!$A79="","",Staff!$AW79)</f>
        <v/>
      </c>
    </row>
    <row r="80" customFormat="false" ht="15" hidden="false" customHeight="false" outlineLevel="0" collapsed="false">
      <c r="A80" s="16" t="str">
        <f aca="false">IF(Staff!$A80="","",Staff!$A80)</f>
        <v/>
      </c>
      <c r="B80" s="16" t="str">
        <f aca="false">IF(Staff!$A80="","",Staff!$B80)</f>
        <v/>
      </c>
      <c r="C80" s="16" t="str">
        <f aca="false">IF(Staff!$A80="","",Staff!$C80)</f>
        <v/>
      </c>
      <c r="D80" s="14" t="str">
        <f aca="false">IF(Staff!$A80="","",Staff!$AL80)</f>
        <v/>
      </c>
      <c r="E80" s="16" t="str">
        <f aca="false">IF(Staff!$A80="","",Staff!$O80)</f>
        <v/>
      </c>
      <c r="F80" s="16" t="str">
        <f aca="false">IF(E80="","",E80*HoursPerDay)</f>
        <v/>
      </c>
      <c r="G80" s="16" t="str">
        <f aca="false">IF(Staff!$A80="","",Staff!$AE80)</f>
        <v/>
      </c>
      <c r="H80" s="28" t="str">
        <f aca="false">IF($A80="","",I80&amp;J80&amp;K80&amp;L80&amp;M80&amp;N80&amp;O80&amp;P80&amp;Q80&amp;R80&amp;S80&amp;T80&amp;U80&amp;V80&amp;W80)</f>
        <v/>
      </c>
      <c r="I80" s="0" t="str">
        <f aca="false">IF(OR($A80="",$D80=""),"",IF(AND(EDATE($D80,Milestones!$AA$20)&lt;=AsOfDate,EDATE($D80,Milestones!$AA$20)&gt;=SchemeStart,IF($X80=0,$AD80,IF(AND($Z80&lt;&gt;"",EDATE($D80,Milestones!$AA$20)&gt;=$Z80),$AC80,IF(AND($Y80&lt;&gt;"",EDATE($D80,Milestones!$AA$20)&gt;=$Y80),$AB80,$AA80)))=Milestones!$AB$20),UPPER(TEXT(EDATE($D80,Milestones!$AA$20),"dd mmm yy"))&amp;" "&amp;Milestones!$AB$20&amp;" "&amp;IF(AND(Milestones!$AB$20="FT",Milestones!$AA$20=FT_Y5,EDATE($D80,Milestones!$AA$20)&lt;PolicyEff),1,Milestones!$AC$20)&amp;";  ","")&amp;IF(AND(EDATE($D80,Milestones!$AA$21)&lt;=AsOfDate,EDATE($D80,Milestones!$AA$21)&gt;=SchemeStart,IF($X80=0,$AD80,IF(AND($Z80&lt;&gt;"",EDATE($D80,Milestones!$AA$21)&gt;=$Z80),$AC80,IF(AND($Y80&lt;&gt;"",EDATE($D80,Milestones!$AA$21)&gt;=$Y80),$AB80,$AA80)))=Milestones!$AB$21),UPPER(TEXT(EDATE($D80,Milestones!$AA$21),"dd mmm yy"))&amp;" "&amp;Milestones!$AB$21&amp;" "&amp;IF(AND(Milestones!$AB$21="FT",Milestones!$AA$21=FT_Y5,EDATE($D80,Milestones!$AA$21)&lt;PolicyEff),1,Milestones!$AC$21)&amp;";  ","")&amp;IF(AND(EDATE($D80,Milestones!$AA$22)&lt;=AsOfDate,EDATE($D80,Milestones!$AA$22)&gt;=SchemeStart,IF($X80=0,$AD80,IF(AND($Z80&lt;&gt;"",EDATE($D80,Milestones!$AA$22)&gt;=$Z80),$AC80,IF(AND($Y80&lt;&gt;"",EDATE($D80,Milestones!$AA$22)&gt;=$Y80),$AB80,$AA80)))=Milestones!$AB$22),UPPER(TEXT(EDATE($D80,Milestones!$AA$22),"dd mmm yy"))&amp;" "&amp;Milestones!$AB$22&amp;" "&amp;IF(AND(Milestones!$AB$22="FT",Milestones!$AA$22=FT_Y5,EDATE($D80,Milestones!$AA$22)&lt;PolicyEff),1,Milestones!$AC$22)&amp;";  ","")&amp;IF(AND(EDATE($D80,Milestones!$AA$23)&lt;=AsOfDate,EDATE($D80,Milestones!$AA$23)&gt;=SchemeStart,IF($X80=0,$AD80,IF(AND($Z80&lt;&gt;"",EDATE($D80,Milestones!$AA$23)&gt;=$Z80),$AC80,IF(AND($Y80&lt;&gt;"",EDATE($D80,Milestones!$AA$23)&gt;=$Y80),$AB80,$AA80)))=Milestones!$AB$23),UPPER(TEXT(EDATE($D80,Milestones!$AA$23),"dd mmm yy"))&amp;" "&amp;Milestones!$AB$23&amp;" "&amp;IF(AND(Milestones!$AB$23="FT",Milestones!$AA$23=FT_Y5,EDATE($D80,Milestones!$AA$23)&lt;PolicyEff),1,Milestones!$AC$23)&amp;";  ","")&amp;IF(AND(EDATE($D80,Milestones!$AA$24)&lt;=AsOfDate,EDATE($D80,Milestones!$AA$24)&gt;=SchemeStart,IF($X80=0,$AD80,IF(AND($Z80&lt;&gt;"",EDATE($D80,Milestones!$AA$24)&gt;=$Z80),$AC80,IF(AND($Y80&lt;&gt;"",EDATE($D80,Milestones!$AA$24)&gt;=$Y80),$AB80,$AA80)))=Milestones!$AB$24),UPPER(TEXT(EDATE($D80,Milestones!$AA$24),"dd mmm yy"))&amp;" "&amp;Milestones!$AB$24&amp;" "&amp;IF(AND(Milestones!$AB$24="FT",Milestones!$AA$24=FT_Y5,EDATE($D80,Milestones!$AA$24)&lt;PolicyEff),1,Milestones!$AC$24)&amp;";  ","")&amp;IF(AND(EDATE($D80,Milestones!$AA$25)&lt;=AsOfDate,EDATE($D80,Milestones!$AA$25)&gt;=SchemeStart,IF($X80=0,$AD80,IF(AND($Z80&lt;&gt;"",EDATE($D80,Milestones!$AA$25)&gt;=$Z80),$AC80,IF(AND($Y80&lt;&gt;"",EDATE($D80,Milestones!$AA$25)&gt;=$Y80),$AB80,$AA80)))=Milestones!$AB$25),UPPER(TEXT(EDATE($D80,Milestones!$AA$25),"dd mmm yy"))&amp;" "&amp;Milestones!$AB$25&amp;" "&amp;IF(AND(Milestones!$AB$25="FT",Milestones!$AA$25=FT_Y5,EDATE($D80,Milestones!$AA$25)&lt;PolicyEff),1,Milestones!$AC$25)&amp;";  ","")&amp;IF(AND(EDATE($D80,Milestones!$AA$26)&lt;=AsOfDate,EDATE($D80,Milestones!$AA$26)&gt;=SchemeStart,IF($X80=0,$AD80,IF(AND($Z80&lt;&gt;"",EDATE($D80,Milestones!$AA$26)&gt;=$Z80),$AC80,IF(AND($Y80&lt;&gt;"",EDATE($D80,Milestones!$AA$26)&gt;=$Y80),$AB80,$AA80)))=Milestones!$AB$26),UPPER(TEXT(EDATE($D80,Milestones!$AA$26),"dd mmm yy"))&amp;" "&amp;Milestones!$AB$26&amp;" "&amp;IF(AND(Milestones!$AB$26="FT",Milestones!$AA$26=FT_Y5,EDATE($D80,Milestones!$AA$26)&lt;PolicyEff),1,Milestones!$AC$26)&amp;";  ","")&amp;IF(AND(EDATE($D80,Milestones!$AA$27)&lt;=AsOfDate,EDATE($D80,Milestones!$AA$27)&gt;=SchemeStart,IF($X80=0,$AD80,IF(AND($Z80&lt;&gt;"",EDATE($D80,Milestones!$AA$27)&gt;=$Z80),$AC80,IF(AND($Y80&lt;&gt;"",EDATE($D80,Milestones!$AA$27)&gt;=$Y80),$AB80,$AA80)))=Milestones!$AB$27),UPPER(TEXT(EDATE($D80,Milestones!$AA$27),"dd mmm yy"))&amp;" "&amp;Milestones!$AB$27&amp;" "&amp;IF(AND(Milestones!$AB$27="FT",Milestones!$AA$27=FT_Y5,EDATE($D80,Milestones!$AA$27)&lt;PolicyEff),1,Milestones!$AC$27)&amp;";  ","")&amp;IF(AND(EDATE($D80,Milestones!$AA$28)&lt;=AsOfDate,EDATE($D80,Milestones!$AA$28)&gt;=SchemeStart,IF($X80=0,$AD80,IF(AND($Z80&lt;&gt;"",EDATE($D80,Milestones!$AA$28)&gt;=$Z80),$AC80,IF(AND($Y80&lt;&gt;"",EDATE($D80,Milestones!$AA$28)&gt;=$Y80),$AB80,$AA80)))=Milestones!$AB$28),UPPER(TEXT(EDATE($D80,Milestones!$AA$28),"dd mmm yy"))&amp;" "&amp;Milestones!$AB$28&amp;" "&amp;IF(AND(Milestones!$AB$28="FT",Milestones!$AA$28=FT_Y5,EDATE($D80,Milestones!$AA$28)&lt;PolicyEff),1,Milestones!$AC$28)&amp;";  ","")&amp;IF(AND(EDATE($D80,Milestones!$AA$29)&lt;=AsOfDate,EDATE($D80,Milestones!$AA$29)&gt;=SchemeStart,IF($X80=0,$AD80,IF(AND($Z80&lt;&gt;"",EDATE($D80,Milestones!$AA$29)&gt;=$Z80),$AC80,IF(AND($Y80&lt;&gt;"",EDATE($D80,Milestones!$AA$29)&gt;=$Y80),$AB80,$AA80)))=Milestones!$AB$29),UPPER(TEXT(EDATE($D80,Milestones!$AA$29),"dd mmm yy"))&amp;" "&amp;Milestones!$AB$29&amp;" "&amp;IF(AND(Milestones!$AB$29="FT",Milestones!$AA$29=FT_Y5,EDATE($D80,Milestones!$AA$29)&lt;PolicyEff),1,Milestones!$AC$29)&amp;";  ","")&amp;IF(AND(EDATE($D80,Milestones!$AA$30)&lt;=AsOfDate,EDATE($D80,Milestones!$AA$30)&gt;=SchemeStart,IF($X80=0,$AD80,IF(AND($Z80&lt;&gt;"",EDATE($D80,Milestones!$AA$30)&gt;=$Z80),$AC80,IF(AND($Y80&lt;&gt;"",EDATE($D80,Milestones!$AA$30)&gt;=$Y80),$AB80,$AA80)))=Milestones!$AB$30),UPPER(TEXT(EDATE($D80,Milestones!$AA$30),"dd mmm yy"))&amp;" "&amp;Milestones!$AB$30&amp;" "&amp;IF(AND(Milestones!$AB$30="FT",Milestones!$AA$30=FT_Y5,EDATE($D80,Milestones!$AA$30)&lt;PolicyEff),1,Milestones!$AC$30)&amp;";  ","")&amp;IF(AND(EDATE($D80,Milestones!$AA$31)&lt;=AsOfDate,EDATE($D80,Milestones!$AA$31)&gt;=SchemeStart,IF($X80=0,$AD80,IF(AND($Z80&lt;&gt;"",EDATE($D80,Milestones!$AA$31)&gt;=$Z80),$AC80,IF(AND($Y80&lt;&gt;"",EDATE($D80,Milestones!$AA$31)&gt;=$Y80),$AB80,$AA80)))=Milestones!$AB$31),UPPER(TEXT(EDATE($D80,Milestones!$AA$31),"dd mmm yy"))&amp;" "&amp;Milestones!$AB$31&amp;" "&amp;IF(AND(Milestones!$AB$31="FT",Milestones!$AA$31=FT_Y5,EDATE($D80,Milestones!$AA$31)&lt;PolicyEff),1,Milestones!$AC$31)&amp;";  ",""))</f>
        <v/>
      </c>
      <c r="J80" s="0" t="str">
        <f aca="false">IF(OR($A80="",$D80=""),"",IF(AND(EDATE($D80,Milestones!$AA$32)&lt;=AsOfDate,EDATE($D80,Milestones!$AA$32)&gt;=SchemeStart,IF($X80=0,$AD80,IF(AND($Z80&lt;&gt;"",EDATE($D80,Milestones!$AA$32)&gt;=$Z80),$AC80,IF(AND($Y80&lt;&gt;"",EDATE($D80,Milestones!$AA$32)&gt;=$Y80),$AB80,$AA80)))=Milestones!$AB$32),UPPER(TEXT(EDATE($D80,Milestones!$AA$32),"dd mmm yy"))&amp;" "&amp;Milestones!$AB$32&amp;" "&amp;IF(AND(Milestones!$AB$32="FT",Milestones!$AA$32=FT_Y5,EDATE($D80,Milestones!$AA$32)&lt;PolicyEff),1,Milestones!$AC$32)&amp;";  ","")&amp;IF(AND(EDATE($D80,Milestones!$AA$33)&lt;=AsOfDate,EDATE($D80,Milestones!$AA$33)&gt;=SchemeStart,IF($X80=0,$AD80,IF(AND($Z80&lt;&gt;"",EDATE($D80,Milestones!$AA$33)&gt;=$Z80),$AC80,IF(AND($Y80&lt;&gt;"",EDATE($D80,Milestones!$AA$33)&gt;=$Y80),$AB80,$AA80)))=Milestones!$AB$33),UPPER(TEXT(EDATE($D80,Milestones!$AA$33),"dd mmm yy"))&amp;" "&amp;Milestones!$AB$33&amp;" "&amp;IF(AND(Milestones!$AB$33="FT",Milestones!$AA$33=FT_Y5,EDATE($D80,Milestones!$AA$33)&lt;PolicyEff),1,Milestones!$AC$33)&amp;";  ","")&amp;IF(AND(EDATE($D80,Milestones!$AA$34)&lt;=AsOfDate,EDATE($D80,Milestones!$AA$34)&gt;=SchemeStart,IF($X80=0,$AD80,IF(AND($Z80&lt;&gt;"",EDATE($D80,Milestones!$AA$34)&gt;=$Z80),$AC80,IF(AND($Y80&lt;&gt;"",EDATE($D80,Milestones!$AA$34)&gt;=$Y80),$AB80,$AA80)))=Milestones!$AB$34),UPPER(TEXT(EDATE($D80,Milestones!$AA$34),"dd mmm yy"))&amp;" "&amp;Milestones!$AB$34&amp;" "&amp;IF(AND(Milestones!$AB$34="FT",Milestones!$AA$34=FT_Y5,EDATE($D80,Milestones!$AA$34)&lt;PolicyEff),1,Milestones!$AC$34)&amp;";  ","")&amp;IF(AND(EDATE($D80,Milestones!$AA$35)&lt;=AsOfDate,EDATE($D80,Milestones!$AA$35)&gt;=SchemeStart,IF($X80=0,$AD80,IF(AND($Z80&lt;&gt;"",EDATE($D80,Milestones!$AA$35)&gt;=$Z80),$AC80,IF(AND($Y80&lt;&gt;"",EDATE($D80,Milestones!$AA$35)&gt;=$Y80),$AB80,$AA80)))=Milestones!$AB$35),UPPER(TEXT(EDATE($D80,Milestones!$AA$35),"dd mmm yy"))&amp;" "&amp;Milestones!$AB$35&amp;" "&amp;IF(AND(Milestones!$AB$35="FT",Milestones!$AA$35=FT_Y5,EDATE($D80,Milestones!$AA$35)&lt;PolicyEff),1,Milestones!$AC$35)&amp;";  ","")&amp;IF(AND(EDATE($D80,Milestones!$AA$36)&lt;=AsOfDate,EDATE($D80,Milestones!$AA$36)&gt;=SchemeStart,IF($X80=0,$AD80,IF(AND($Z80&lt;&gt;"",EDATE($D80,Milestones!$AA$36)&gt;=$Z80),$AC80,IF(AND($Y80&lt;&gt;"",EDATE($D80,Milestones!$AA$36)&gt;=$Y80),$AB80,$AA80)))=Milestones!$AB$36),UPPER(TEXT(EDATE($D80,Milestones!$AA$36),"dd mmm yy"))&amp;" "&amp;Milestones!$AB$36&amp;" "&amp;IF(AND(Milestones!$AB$36="FT",Milestones!$AA$36=FT_Y5,EDATE($D80,Milestones!$AA$36)&lt;PolicyEff),1,Milestones!$AC$36)&amp;";  ","")&amp;IF(AND(EDATE($D80,Milestones!$AA$37)&lt;=AsOfDate,EDATE($D80,Milestones!$AA$37)&gt;=SchemeStart,IF($X80=0,$AD80,IF(AND($Z80&lt;&gt;"",EDATE($D80,Milestones!$AA$37)&gt;=$Z80),$AC80,IF(AND($Y80&lt;&gt;"",EDATE($D80,Milestones!$AA$37)&gt;=$Y80),$AB80,$AA80)))=Milestones!$AB$37),UPPER(TEXT(EDATE($D80,Milestones!$AA$37),"dd mmm yy"))&amp;" "&amp;Milestones!$AB$37&amp;" "&amp;IF(AND(Milestones!$AB$37="FT",Milestones!$AA$37=FT_Y5,EDATE($D80,Milestones!$AA$37)&lt;PolicyEff),1,Milestones!$AC$37)&amp;";  ","")&amp;IF(AND(EDATE($D80,Milestones!$AA$38)&lt;=AsOfDate,EDATE($D80,Milestones!$AA$38)&gt;=SchemeStart,IF($X80=0,$AD80,IF(AND($Z80&lt;&gt;"",EDATE($D80,Milestones!$AA$38)&gt;=$Z80),$AC80,IF(AND($Y80&lt;&gt;"",EDATE($D80,Milestones!$AA$38)&gt;=$Y80),$AB80,$AA80)))=Milestones!$AB$38),UPPER(TEXT(EDATE($D80,Milestones!$AA$38),"dd mmm yy"))&amp;" "&amp;Milestones!$AB$38&amp;" "&amp;IF(AND(Milestones!$AB$38="FT",Milestones!$AA$38=FT_Y5,EDATE($D80,Milestones!$AA$38)&lt;PolicyEff),1,Milestones!$AC$38)&amp;";  ","")&amp;IF(AND(EDATE($D80,Milestones!$AA$39)&lt;=AsOfDate,EDATE($D80,Milestones!$AA$39)&gt;=SchemeStart,IF($X80=0,$AD80,IF(AND($Z80&lt;&gt;"",EDATE($D80,Milestones!$AA$39)&gt;=$Z80),$AC80,IF(AND($Y80&lt;&gt;"",EDATE($D80,Milestones!$AA$39)&gt;=$Y80),$AB80,$AA80)))=Milestones!$AB$39),UPPER(TEXT(EDATE($D80,Milestones!$AA$39),"dd mmm yy"))&amp;" "&amp;Milestones!$AB$39&amp;" "&amp;IF(AND(Milestones!$AB$39="FT",Milestones!$AA$39=FT_Y5,EDATE($D80,Milestones!$AA$39)&lt;PolicyEff),1,Milestones!$AC$39)&amp;";  ","")&amp;IF(AND(EDATE($D80,Milestones!$AA$40)&lt;=AsOfDate,EDATE($D80,Milestones!$AA$40)&gt;=SchemeStart,IF($X80=0,$AD80,IF(AND($Z80&lt;&gt;"",EDATE($D80,Milestones!$AA$40)&gt;=$Z80),$AC80,IF(AND($Y80&lt;&gt;"",EDATE($D80,Milestones!$AA$40)&gt;=$Y80),$AB80,$AA80)))=Milestones!$AB$40),UPPER(TEXT(EDATE($D80,Milestones!$AA$40),"dd mmm yy"))&amp;" "&amp;Milestones!$AB$40&amp;" "&amp;IF(AND(Milestones!$AB$40="FT",Milestones!$AA$40=FT_Y5,EDATE($D80,Milestones!$AA$40)&lt;PolicyEff),1,Milestones!$AC$40)&amp;";  ","")&amp;IF(AND(EDATE($D80,Milestones!$AA$41)&lt;=AsOfDate,EDATE($D80,Milestones!$AA$41)&gt;=SchemeStart,IF($X80=0,$AD80,IF(AND($Z80&lt;&gt;"",EDATE($D80,Milestones!$AA$41)&gt;=$Z80),$AC80,IF(AND($Y80&lt;&gt;"",EDATE($D80,Milestones!$AA$41)&gt;=$Y80),$AB80,$AA80)))=Milestones!$AB$41),UPPER(TEXT(EDATE($D80,Milestones!$AA$41),"dd mmm yy"))&amp;" "&amp;Milestones!$AB$41&amp;" "&amp;IF(AND(Milestones!$AB$41="FT",Milestones!$AA$41=FT_Y5,EDATE($D80,Milestones!$AA$41)&lt;PolicyEff),1,Milestones!$AC$41)&amp;";  ","")&amp;IF(AND(EDATE($D80,Milestones!$AA$42)&lt;=AsOfDate,EDATE($D80,Milestones!$AA$42)&gt;=SchemeStart,IF($X80=0,$AD80,IF(AND($Z80&lt;&gt;"",EDATE($D80,Milestones!$AA$42)&gt;=$Z80),$AC80,IF(AND($Y80&lt;&gt;"",EDATE($D80,Milestones!$AA$42)&gt;=$Y80),$AB80,$AA80)))=Milestones!$AB$42),UPPER(TEXT(EDATE($D80,Milestones!$AA$42),"dd mmm yy"))&amp;" "&amp;Milestones!$AB$42&amp;" "&amp;IF(AND(Milestones!$AB$42="FT",Milestones!$AA$42=FT_Y5,EDATE($D80,Milestones!$AA$42)&lt;PolicyEff),1,Milestones!$AC$42)&amp;";  ","")&amp;IF(AND(EDATE($D80,Milestones!$AA$43)&lt;=AsOfDate,EDATE($D80,Milestones!$AA$43)&gt;=SchemeStart,IF($X80=0,$AD80,IF(AND($Z80&lt;&gt;"",EDATE($D80,Milestones!$AA$43)&gt;=$Z80),$AC80,IF(AND($Y80&lt;&gt;"",EDATE($D80,Milestones!$AA$43)&gt;=$Y80),$AB80,$AA80)))=Milestones!$AB$43),UPPER(TEXT(EDATE($D80,Milestones!$AA$43),"dd mmm yy"))&amp;" "&amp;Milestones!$AB$43&amp;" "&amp;IF(AND(Milestones!$AB$43="FT",Milestones!$AA$43=FT_Y5,EDATE($D80,Milestones!$AA$43)&lt;PolicyEff),1,Milestones!$AC$43)&amp;";  ",""))</f>
        <v/>
      </c>
      <c r="K80" s="0" t="str">
        <f aca="false">IF(OR($A80="",$D80=""),"",IF(AND(EDATE($D80,Milestones!$AA$44)&lt;=AsOfDate,EDATE($D80,Milestones!$AA$44)&gt;=SchemeStart,IF($X80=0,$AD80,IF(AND($Z80&lt;&gt;"",EDATE($D80,Milestones!$AA$44)&gt;=$Z80),$AC80,IF(AND($Y80&lt;&gt;"",EDATE($D80,Milestones!$AA$44)&gt;=$Y80),$AB80,$AA80)))=Milestones!$AB$44),UPPER(TEXT(EDATE($D80,Milestones!$AA$44),"dd mmm yy"))&amp;" "&amp;Milestones!$AB$44&amp;" "&amp;IF(AND(Milestones!$AB$44="FT",Milestones!$AA$44=FT_Y5,EDATE($D80,Milestones!$AA$44)&lt;PolicyEff),1,Milestones!$AC$44)&amp;";  ","")&amp;IF(AND(EDATE($D80,Milestones!$AA$45)&lt;=AsOfDate,EDATE($D80,Milestones!$AA$45)&gt;=SchemeStart,IF($X80=0,$AD80,IF(AND($Z80&lt;&gt;"",EDATE($D80,Milestones!$AA$45)&gt;=$Z80),$AC80,IF(AND($Y80&lt;&gt;"",EDATE($D80,Milestones!$AA$45)&gt;=$Y80),$AB80,$AA80)))=Milestones!$AB$45),UPPER(TEXT(EDATE($D80,Milestones!$AA$45),"dd mmm yy"))&amp;" "&amp;Milestones!$AB$45&amp;" "&amp;IF(AND(Milestones!$AB$45="FT",Milestones!$AA$45=FT_Y5,EDATE($D80,Milestones!$AA$45)&lt;PolicyEff),1,Milestones!$AC$45)&amp;";  ","")&amp;IF(AND(EDATE($D80,Milestones!$AA$46)&lt;=AsOfDate,EDATE($D80,Milestones!$AA$46)&gt;=SchemeStart,IF($X80=0,$AD80,IF(AND($Z80&lt;&gt;"",EDATE($D80,Milestones!$AA$46)&gt;=$Z80),$AC80,IF(AND($Y80&lt;&gt;"",EDATE($D80,Milestones!$AA$46)&gt;=$Y80),$AB80,$AA80)))=Milestones!$AB$46),UPPER(TEXT(EDATE($D80,Milestones!$AA$46),"dd mmm yy"))&amp;" "&amp;Milestones!$AB$46&amp;" "&amp;IF(AND(Milestones!$AB$46="FT",Milestones!$AA$46=FT_Y5,EDATE($D80,Milestones!$AA$46)&lt;PolicyEff),1,Milestones!$AC$46)&amp;";  ","")&amp;IF(AND(EDATE($D80,Milestones!$AA$47)&lt;=AsOfDate,EDATE($D80,Milestones!$AA$47)&gt;=SchemeStart,IF($X80=0,$AD80,IF(AND($Z80&lt;&gt;"",EDATE($D80,Milestones!$AA$47)&gt;=$Z80),$AC80,IF(AND($Y80&lt;&gt;"",EDATE($D80,Milestones!$AA$47)&gt;=$Y80),$AB80,$AA80)))=Milestones!$AB$47),UPPER(TEXT(EDATE($D80,Milestones!$AA$47),"dd mmm yy"))&amp;" "&amp;Milestones!$AB$47&amp;" "&amp;IF(AND(Milestones!$AB$47="FT",Milestones!$AA$47=FT_Y5,EDATE($D80,Milestones!$AA$47)&lt;PolicyEff),1,Milestones!$AC$47)&amp;";  ","")&amp;IF(AND(EDATE($D80,Milestones!$AA$48)&lt;=AsOfDate,EDATE($D80,Milestones!$AA$48)&gt;=SchemeStart,IF($X80=0,$AD80,IF(AND($Z80&lt;&gt;"",EDATE($D80,Milestones!$AA$48)&gt;=$Z80),$AC80,IF(AND($Y80&lt;&gt;"",EDATE($D80,Milestones!$AA$48)&gt;=$Y80),$AB80,$AA80)))=Milestones!$AB$48),UPPER(TEXT(EDATE($D80,Milestones!$AA$48),"dd mmm yy"))&amp;" "&amp;Milestones!$AB$48&amp;" "&amp;IF(AND(Milestones!$AB$48="FT",Milestones!$AA$48=FT_Y5,EDATE($D80,Milestones!$AA$48)&lt;PolicyEff),1,Milestones!$AC$48)&amp;";  ","")&amp;IF(AND(EDATE($D80,Milestones!$AA$49)&lt;=AsOfDate,EDATE($D80,Milestones!$AA$49)&gt;=SchemeStart,IF($X80=0,$AD80,IF(AND($Z80&lt;&gt;"",EDATE($D80,Milestones!$AA$49)&gt;=$Z80),$AC80,IF(AND($Y80&lt;&gt;"",EDATE($D80,Milestones!$AA$49)&gt;=$Y80),$AB80,$AA80)))=Milestones!$AB$49),UPPER(TEXT(EDATE($D80,Milestones!$AA$49),"dd mmm yy"))&amp;" "&amp;Milestones!$AB$49&amp;" "&amp;IF(AND(Milestones!$AB$49="FT",Milestones!$AA$49=FT_Y5,EDATE($D80,Milestones!$AA$49)&lt;PolicyEff),1,Milestones!$AC$49)&amp;";  ","")&amp;IF(AND(EDATE($D80,Milestones!$AA$50)&lt;=AsOfDate,EDATE($D80,Milestones!$AA$50)&gt;=SchemeStart,IF($X80=0,$AD80,IF(AND($Z80&lt;&gt;"",EDATE($D80,Milestones!$AA$50)&gt;=$Z80),$AC80,IF(AND($Y80&lt;&gt;"",EDATE($D80,Milestones!$AA$50)&gt;=$Y80),$AB80,$AA80)))=Milestones!$AB$50),UPPER(TEXT(EDATE($D80,Milestones!$AA$50),"dd mmm yy"))&amp;" "&amp;Milestones!$AB$50&amp;" "&amp;IF(AND(Milestones!$AB$50="FT",Milestones!$AA$50=FT_Y5,EDATE($D80,Milestones!$AA$50)&lt;PolicyEff),1,Milestones!$AC$50)&amp;";  ","")&amp;IF(AND(EDATE($D80,Milestones!$AA$51)&lt;=AsOfDate,EDATE($D80,Milestones!$AA$51)&gt;=SchemeStart,IF($X80=0,$AD80,IF(AND($Z80&lt;&gt;"",EDATE($D80,Milestones!$AA$51)&gt;=$Z80),$AC80,IF(AND($Y80&lt;&gt;"",EDATE($D80,Milestones!$AA$51)&gt;=$Y80),$AB80,$AA80)))=Milestones!$AB$51),UPPER(TEXT(EDATE($D80,Milestones!$AA$51),"dd mmm yy"))&amp;" "&amp;Milestones!$AB$51&amp;" "&amp;IF(AND(Milestones!$AB$51="FT",Milestones!$AA$51=FT_Y5,EDATE($D80,Milestones!$AA$51)&lt;PolicyEff),1,Milestones!$AC$51)&amp;";  ","")&amp;IF(AND(EDATE($D80,Milestones!$AA$52)&lt;=AsOfDate,EDATE($D80,Milestones!$AA$52)&gt;=SchemeStart,IF($X80=0,$AD80,IF(AND($Z80&lt;&gt;"",EDATE($D80,Milestones!$AA$52)&gt;=$Z80),$AC80,IF(AND($Y80&lt;&gt;"",EDATE($D80,Milestones!$AA$52)&gt;=$Y80),$AB80,$AA80)))=Milestones!$AB$52),UPPER(TEXT(EDATE($D80,Milestones!$AA$52),"dd mmm yy"))&amp;" "&amp;Milestones!$AB$52&amp;" "&amp;IF(AND(Milestones!$AB$52="FT",Milestones!$AA$52=FT_Y5,EDATE($D80,Milestones!$AA$52)&lt;PolicyEff),1,Milestones!$AC$52)&amp;";  ","")&amp;IF(AND(EDATE($D80,Milestones!$AA$53)&lt;=AsOfDate,EDATE($D80,Milestones!$AA$53)&gt;=SchemeStart,IF($X80=0,$AD80,IF(AND($Z80&lt;&gt;"",EDATE($D80,Milestones!$AA$53)&gt;=$Z80),$AC80,IF(AND($Y80&lt;&gt;"",EDATE($D80,Milestones!$AA$53)&gt;=$Y80),$AB80,$AA80)))=Milestones!$AB$53),UPPER(TEXT(EDATE($D80,Milestones!$AA$53),"dd mmm yy"))&amp;" "&amp;Milestones!$AB$53&amp;" "&amp;IF(AND(Milestones!$AB$53="FT",Milestones!$AA$53=FT_Y5,EDATE($D80,Milestones!$AA$53)&lt;PolicyEff),1,Milestones!$AC$53)&amp;";  ","")&amp;IF(AND(EDATE($D80,Milestones!$AA$54)&lt;=AsOfDate,EDATE($D80,Milestones!$AA$54)&gt;=SchemeStart,IF($X80=0,$AD80,IF(AND($Z80&lt;&gt;"",EDATE($D80,Milestones!$AA$54)&gt;=$Z80),$AC80,IF(AND($Y80&lt;&gt;"",EDATE($D80,Milestones!$AA$54)&gt;=$Y80),$AB80,$AA80)))=Milestones!$AB$54),UPPER(TEXT(EDATE($D80,Milestones!$AA$54),"dd mmm yy"))&amp;" "&amp;Milestones!$AB$54&amp;" "&amp;IF(AND(Milestones!$AB$54="FT",Milestones!$AA$54=FT_Y5,EDATE($D80,Milestones!$AA$54)&lt;PolicyEff),1,Milestones!$AC$54)&amp;";  ","")&amp;IF(AND(EDATE($D80,Milestones!$AA$55)&lt;=AsOfDate,EDATE($D80,Milestones!$AA$55)&gt;=SchemeStart,IF($X80=0,$AD80,IF(AND($Z80&lt;&gt;"",EDATE($D80,Milestones!$AA$55)&gt;=$Z80),$AC80,IF(AND($Y80&lt;&gt;"",EDATE($D80,Milestones!$AA$55)&gt;=$Y80),$AB80,$AA80)))=Milestones!$AB$55),UPPER(TEXT(EDATE($D80,Milestones!$AA$55),"dd mmm yy"))&amp;" "&amp;Milestones!$AB$55&amp;" "&amp;IF(AND(Milestones!$AB$55="FT",Milestones!$AA$55=FT_Y5,EDATE($D80,Milestones!$AA$55)&lt;PolicyEff),1,Milestones!$AC$55)&amp;";  ",""))</f>
        <v/>
      </c>
      <c r="L80" s="0" t="str">
        <f aca="false">IF(OR($A80="",$D80=""),"",IF(AND(EDATE($D80,Milestones!$AA$56)&lt;=AsOfDate,EDATE($D80,Milestones!$AA$56)&gt;=SchemeStart,IF($X80=0,$AD80,IF(AND($Z80&lt;&gt;"",EDATE($D80,Milestones!$AA$56)&gt;=$Z80),$AC80,IF(AND($Y80&lt;&gt;"",EDATE($D80,Milestones!$AA$56)&gt;=$Y80),$AB80,$AA80)))=Milestones!$AB$56),UPPER(TEXT(EDATE($D80,Milestones!$AA$56),"dd mmm yy"))&amp;" "&amp;Milestones!$AB$56&amp;" "&amp;IF(AND(Milestones!$AB$56="FT",Milestones!$AA$56=FT_Y5,EDATE($D80,Milestones!$AA$56)&lt;PolicyEff),1,Milestones!$AC$56)&amp;";  ","")&amp;IF(AND(EDATE($D80,Milestones!$AA$57)&lt;=AsOfDate,EDATE($D80,Milestones!$AA$57)&gt;=SchemeStart,IF($X80=0,$AD80,IF(AND($Z80&lt;&gt;"",EDATE($D80,Milestones!$AA$57)&gt;=$Z80),$AC80,IF(AND($Y80&lt;&gt;"",EDATE($D80,Milestones!$AA$57)&gt;=$Y80),$AB80,$AA80)))=Milestones!$AB$57),UPPER(TEXT(EDATE($D80,Milestones!$AA$57),"dd mmm yy"))&amp;" "&amp;Milestones!$AB$57&amp;" "&amp;IF(AND(Milestones!$AB$57="FT",Milestones!$AA$57=FT_Y5,EDATE($D80,Milestones!$AA$57)&lt;PolicyEff),1,Milestones!$AC$57)&amp;";  ","")&amp;IF(AND(EDATE($D80,Milestones!$AA$58)&lt;=AsOfDate,EDATE($D80,Milestones!$AA$58)&gt;=SchemeStart,IF($X80=0,$AD80,IF(AND($Z80&lt;&gt;"",EDATE($D80,Milestones!$AA$58)&gt;=$Z80),$AC80,IF(AND($Y80&lt;&gt;"",EDATE($D80,Milestones!$AA$58)&gt;=$Y80),$AB80,$AA80)))=Milestones!$AB$58),UPPER(TEXT(EDATE($D80,Milestones!$AA$58),"dd mmm yy"))&amp;" "&amp;Milestones!$AB$58&amp;" "&amp;IF(AND(Milestones!$AB$58="FT",Milestones!$AA$58=FT_Y5,EDATE($D80,Milestones!$AA$58)&lt;PolicyEff),1,Milestones!$AC$58)&amp;";  ","")&amp;IF(AND(EDATE($D80,Milestones!$AA$59)&lt;=AsOfDate,EDATE($D80,Milestones!$AA$59)&gt;=SchemeStart,IF($X80=0,$AD80,IF(AND($Z80&lt;&gt;"",EDATE($D80,Milestones!$AA$59)&gt;=$Z80),$AC80,IF(AND($Y80&lt;&gt;"",EDATE($D80,Milestones!$AA$59)&gt;=$Y80),$AB80,$AA80)))=Milestones!$AB$59),UPPER(TEXT(EDATE($D80,Milestones!$AA$59),"dd mmm yy"))&amp;" "&amp;Milestones!$AB$59&amp;" "&amp;IF(AND(Milestones!$AB$59="FT",Milestones!$AA$59=FT_Y5,EDATE($D80,Milestones!$AA$59)&lt;PolicyEff),1,Milestones!$AC$59)&amp;";  ","")&amp;IF(AND(EDATE($D80,Milestones!$AA$60)&lt;=AsOfDate,EDATE($D80,Milestones!$AA$60)&gt;=SchemeStart,IF($X80=0,$AD80,IF(AND($Z80&lt;&gt;"",EDATE($D80,Milestones!$AA$60)&gt;=$Z80),$AC80,IF(AND($Y80&lt;&gt;"",EDATE($D80,Milestones!$AA$60)&gt;=$Y80),$AB80,$AA80)))=Milestones!$AB$60),UPPER(TEXT(EDATE($D80,Milestones!$AA$60),"dd mmm yy"))&amp;" "&amp;Milestones!$AB$60&amp;" "&amp;IF(AND(Milestones!$AB$60="FT",Milestones!$AA$60=FT_Y5,EDATE($D80,Milestones!$AA$60)&lt;PolicyEff),1,Milestones!$AC$60)&amp;";  ","")&amp;IF(AND(EDATE($D80,Milestones!$AA$61)&lt;=AsOfDate,EDATE($D80,Milestones!$AA$61)&gt;=SchemeStart,IF($X80=0,$AD80,IF(AND($Z80&lt;&gt;"",EDATE($D80,Milestones!$AA$61)&gt;=$Z80),$AC80,IF(AND($Y80&lt;&gt;"",EDATE($D80,Milestones!$AA$61)&gt;=$Y80),$AB80,$AA80)))=Milestones!$AB$61),UPPER(TEXT(EDATE($D80,Milestones!$AA$61),"dd mmm yy"))&amp;" "&amp;Milestones!$AB$61&amp;" "&amp;IF(AND(Milestones!$AB$61="FT",Milestones!$AA$61=FT_Y5,EDATE($D80,Milestones!$AA$61)&lt;PolicyEff),1,Milestones!$AC$61)&amp;";  ","")&amp;IF(AND(EDATE($D80,Milestones!$AA$62)&lt;=AsOfDate,EDATE($D80,Milestones!$AA$62)&gt;=SchemeStart,IF($X80=0,$AD80,IF(AND($Z80&lt;&gt;"",EDATE($D80,Milestones!$AA$62)&gt;=$Z80),$AC80,IF(AND($Y80&lt;&gt;"",EDATE($D80,Milestones!$AA$62)&gt;=$Y80),$AB80,$AA80)))=Milestones!$AB$62),UPPER(TEXT(EDATE($D80,Milestones!$AA$62),"dd mmm yy"))&amp;" "&amp;Milestones!$AB$62&amp;" "&amp;IF(AND(Milestones!$AB$62="FT",Milestones!$AA$62=FT_Y5,EDATE($D80,Milestones!$AA$62)&lt;PolicyEff),1,Milestones!$AC$62)&amp;";  ","")&amp;IF(AND(EDATE($D80,Milestones!$AA$63)&lt;=AsOfDate,EDATE($D80,Milestones!$AA$63)&gt;=SchemeStart,IF($X80=0,$AD80,IF(AND($Z80&lt;&gt;"",EDATE($D80,Milestones!$AA$63)&gt;=$Z80),$AC80,IF(AND($Y80&lt;&gt;"",EDATE($D80,Milestones!$AA$63)&gt;=$Y80),$AB80,$AA80)))=Milestones!$AB$63),UPPER(TEXT(EDATE($D80,Milestones!$AA$63),"dd mmm yy"))&amp;" "&amp;Milestones!$AB$63&amp;" "&amp;IF(AND(Milestones!$AB$63="FT",Milestones!$AA$63=FT_Y5,EDATE($D80,Milestones!$AA$63)&lt;PolicyEff),1,Milestones!$AC$63)&amp;";  ","")&amp;IF(AND(EDATE($D80,Milestones!$AA$64)&lt;=AsOfDate,EDATE($D80,Milestones!$AA$64)&gt;=SchemeStart,IF($X80=0,$AD80,IF(AND($Z80&lt;&gt;"",EDATE($D80,Milestones!$AA$64)&gt;=$Z80),$AC80,IF(AND($Y80&lt;&gt;"",EDATE($D80,Milestones!$AA$64)&gt;=$Y80),$AB80,$AA80)))=Milestones!$AB$64),UPPER(TEXT(EDATE($D80,Milestones!$AA$64),"dd mmm yy"))&amp;" "&amp;Milestones!$AB$64&amp;" "&amp;IF(AND(Milestones!$AB$64="FT",Milestones!$AA$64=FT_Y5,EDATE($D80,Milestones!$AA$64)&lt;PolicyEff),1,Milestones!$AC$64)&amp;";  ","")&amp;IF(AND(EDATE($D80,Milestones!$AA$65)&lt;=AsOfDate,EDATE($D80,Milestones!$AA$65)&gt;=SchemeStart,IF($X80=0,$AD80,IF(AND($Z80&lt;&gt;"",EDATE($D80,Milestones!$AA$65)&gt;=$Z80),$AC80,IF(AND($Y80&lt;&gt;"",EDATE($D80,Milestones!$AA$65)&gt;=$Y80),$AB80,$AA80)))=Milestones!$AB$65),UPPER(TEXT(EDATE($D80,Milestones!$AA$65),"dd mmm yy"))&amp;" "&amp;Milestones!$AB$65&amp;" "&amp;IF(AND(Milestones!$AB$65="FT",Milestones!$AA$65=FT_Y5,EDATE($D80,Milestones!$AA$65)&lt;PolicyEff),1,Milestones!$AC$65)&amp;";  ","")&amp;IF(AND(EDATE($D80,Milestones!$AA$66)&lt;=AsOfDate,EDATE($D80,Milestones!$AA$66)&gt;=SchemeStart,IF($X80=0,$AD80,IF(AND($Z80&lt;&gt;"",EDATE($D80,Milestones!$AA$66)&gt;=$Z80),$AC80,IF(AND($Y80&lt;&gt;"",EDATE($D80,Milestones!$AA$66)&gt;=$Y80),$AB80,$AA80)))=Milestones!$AB$66),UPPER(TEXT(EDATE($D80,Milestones!$AA$66),"dd mmm yy"))&amp;" "&amp;Milestones!$AB$66&amp;" "&amp;IF(AND(Milestones!$AB$66="FT",Milestones!$AA$66=FT_Y5,EDATE($D80,Milestones!$AA$66)&lt;PolicyEff),1,Milestones!$AC$66)&amp;";  ","")&amp;IF(AND(EDATE($D80,Milestones!$AA$67)&lt;=AsOfDate,EDATE($D80,Milestones!$AA$67)&gt;=SchemeStart,IF($X80=0,$AD80,IF(AND($Z80&lt;&gt;"",EDATE($D80,Milestones!$AA$67)&gt;=$Z80),$AC80,IF(AND($Y80&lt;&gt;"",EDATE($D80,Milestones!$AA$67)&gt;=$Y80),$AB80,$AA80)))=Milestones!$AB$67),UPPER(TEXT(EDATE($D80,Milestones!$AA$67),"dd mmm yy"))&amp;" "&amp;Milestones!$AB$67&amp;" "&amp;IF(AND(Milestones!$AB$67="FT",Milestones!$AA$67=FT_Y5,EDATE($D80,Milestones!$AA$67)&lt;PolicyEff),1,Milestones!$AC$67)&amp;";  ",""))</f>
        <v/>
      </c>
      <c r="M80" s="0" t="str">
        <f aca="false">IF(OR($A80="",$D80=""),"",IF(AND(EDATE($D80,Milestones!$AA$68)&lt;=AsOfDate,EDATE($D80,Milestones!$AA$68)&gt;=SchemeStart,IF($X80=0,$AD80,IF(AND($Z80&lt;&gt;"",EDATE($D80,Milestones!$AA$68)&gt;=$Z80),$AC80,IF(AND($Y80&lt;&gt;"",EDATE($D80,Milestones!$AA$68)&gt;=$Y80),$AB80,$AA80)))=Milestones!$AB$68),UPPER(TEXT(EDATE($D80,Milestones!$AA$68),"dd mmm yy"))&amp;" "&amp;Milestones!$AB$68&amp;" "&amp;IF(AND(Milestones!$AB$68="FT",Milestones!$AA$68=FT_Y5,EDATE($D80,Milestones!$AA$68)&lt;PolicyEff),1,Milestones!$AC$68)&amp;";  ","")&amp;IF(AND(EDATE($D80,Milestones!$AA$69)&lt;=AsOfDate,EDATE($D80,Milestones!$AA$69)&gt;=SchemeStart,IF($X80=0,$AD80,IF(AND($Z80&lt;&gt;"",EDATE($D80,Milestones!$AA$69)&gt;=$Z80),$AC80,IF(AND($Y80&lt;&gt;"",EDATE($D80,Milestones!$AA$69)&gt;=$Y80),$AB80,$AA80)))=Milestones!$AB$69),UPPER(TEXT(EDATE($D80,Milestones!$AA$69),"dd mmm yy"))&amp;" "&amp;Milestones!$AB$69&amp;" "&amp;IF(AND(Milestones!$AB$69="FT",Milestones!$AA$69=FT_Y5,EDATE($D80,Milestones!$AA$69)&lt;PolicyEff),1,Milestones!$AC$69)&amp;";  ","")&amp;IF(AND(EDATE($D80,Milestones!$AA$70)&lt;=AsOfDate,EDATE($D80,Milestones!$AA$70)&gt;=SchemeStart,IF($X80=0,$AD80,IF(AND($Z80&lt;&gt;"",EDATE($D80,Milestones!$AA$70)&gt;=$Z80),$AC80,IF(AND($Y80&lt;&gt;"",EDATE($D80,Milestones!$AA$70)&gt;=$Y80),$AB80,$AA80)))=Milestones!$AB$70),UPPER(TEXT(EDATE($D80,Milestones!$AA$70),"dd mmm yy"))&amp;" "&amp;Milestones!$AB$70&amp;" "&amp;IF(AND(Milestones!$AB$70="FT",Milestones!$AA$70=FT_Y5,EDATE($D80,Milestones!$AA$70)&lt;PolicyEff),1,Milestones!$AC$70)&amp;";  ","")&amp;IF(AND(EDATE($D80,Milestones!$AA$71)&lt;=AsOfDate,EDATE($D80,Milestones!$AA$71)&gt;=SchemeStart,IF($X80=0,$AD80,IF(AND($Z80&lt;&gt;"",EDATE($D80,Milestones!$AA$71)&gt;=$Z80),$AC80,IF(AND($Y80&lt;&gt;"",EDATE($D80,Milestones!$AA$71)&gt;=$Y80),$AB80,$AA80)))=Milestones!$AB$71),UPPER(TEXT(EDATE($D80,Milestones!$AA$71),"dd mmm yy"))&amp;" "&amp;Milestones!$AB$71&amp;" "&amp;IF(AND(Milestones!$AB$71="FT",Milestones!$AA$71=FT_Y5,EDATE($D80,Milestones!$AA$71)&lt;PolicyEff),1,Milestones!$AC$71)&amp;";  ","")&amp;IF(AND(EDATE($D80,Milestones!$AA$72)&lt;=AsOfDate,EDATE($D80,Milestones!$AA$72)&gt;=SchemeStart,IF($X80=0,$AD80,IF(AND($Z80&lt;&gt;"",EDATE($D80,Milestones!$AA$72)&gt;=$Z80),$AC80,IF(AND($Y80&lt;&gt;"",EDATE($D80,Milestones!$AA$72)&gt;=$Y80),$AB80,$AA80)))=Milestones!$AB$72),UPPER(TEXT(EDATE($D80,Milestones!$AA$72),"dd mmm yy"))&amp;" "&amp;Milestones!$AB$72&amp;" "&amp;IF(AND(Milestones!$AB$72="FT",Milestones!$AA$72=FT_Y5,EDATE($D80,Milestones!$AA$72)&lt;PolicyEff),1,Milestones!$AC$72)&amp;";  ","")&amp;IF(AND(EDATE($D80,Milestones!$AA$73)&lt;=AsOfDate,EDATE($D80,Milestones!$AA$73)&gt;=SchemeStart,IF($X80=0,$AD80,IF(AND($Z80&lt;&gt;"",EDATE($D80,Milestones!$AA$73)&gt;=$Z80),$AC80,IF(AND($Y80&lt;&gt;"",EDATE($D80,Milestones!$AA$73)&gt;=$Y80),$AB80,$AA80)))=Milestones!$AB$73),UPPER(TEXT(EDATE($D80,Milestones!$AA$73),"dd mmm yy"))&amp;" "&amp;Milestones!$AB$73&amp;" "&amp;IF(AND(Milestones!$AB$73="FT",Milestones!$AA$73=FT_Y5,EDATE($D80,Milestones!$AA$73)&lt;PolicyEff),1,Milestones!$AC$73)&amp;";  ","")&amp;IF(AND(EDATE($D80,Milestones!$AA$74)&lt;=AsOfDate,EDATE($D80,Milestones!$AA$74)&gt;=SchemeStart,IF($X80=0,$AD80,IF(AND($Z80&lt;&gt;"",EDATE($D80,Milestones!$AA$74)&gt;=$Z80),$AC80,IF(AND($Y80&lt;&gt;"",EDATE($D80,Milestones!$AA$74)&gt;=$Y80),$AB80,$AA80)))=Milestones!$AB$74),UPPER(TEXT(EDATE($D80,Milestones!$AA$74),"dd mmm yy"))&amp;" "&amp;Milestones!$AB$74&amp;" "&amp;IF(AND(Milestones!$AB$74="FT",Milestones!$AA$74=FT_Y5,EDATE($D80,Milestones!$AA$74)&lt;PolicyEff),1,Milestones!$AC$74)&amp;";  ","")&amp;IF(AND(EDATE($D80,Milestones!$AA$75)&lt;=AsOfDate,EDATE($D80,Milestones!$AA$75)&gt;=SchemeStart,IF($X80=0,$AD80,IF(AND($Z80&lt;&gt;"",EDATE($D80,Milestones!$AA$75)&gt;=$Z80),$AC80,IF(AND($Y80&lt;&gt;"",EDATE($D80,Milestones!$AA$75)&gt;=$Y80),$AB80,$AA80)))=Milestones!$AB$75),UPPER(TEXT(EDATE($D80,Milestones!$AA$75),"dd mmm yy"))&amp;" "&amp;Milestones!$AB$75&amp;" "&amp;IF(AND(Milestones!$AB$75="FT",Milestones!$AA$75=FT_Y5,EDATE($D80,Milestones!$AA$75)&lt;PolicyEff),1,Milestones!$AC$75)&amp;";  ","")&amp;IF(AND(EDATE($D80,Milestones!$AA$76)&lt;=AsOfDate,EDATE($D80,Milestones!$AA$76)&gt;=SchemeStart,IF($X80=0,$AD80,IF(AND($Z80&lt;&gt;"",EDATE($D80,Milestones!$AA$76)&gt;=$Z80),$AC80,IF(AND($Y80&lt;&gt;"",EDATE($D80,Milestones!$AA$76)&gt;=$Y80),$AB80,$AA80)))=Milestones!$AB$76),UPPER(TEXT(EDATE($D80,Milestones!$AA$76),"dd mmm yy"))&amp;" "&amp;Milestones!$AB$76&amp;" "&amp;IF(AND(Milestones!$AB$76="FT",Milestones!$AA$76=FT_Y5,EDATE($D80,Milestones!$AA$76)&lt;PolicyEff),1,Milestones!$AC$76)&amp;";  ","")&amp;IF(AND(EDATE($D80,Milestones!$AA$77)&lt;=AsOfDate,EDATE($D80,Milestones!$AA$77)&gt;=SchemeStart,IF($X80=0,$AD80,IF(AND($Z80&lt;&gt;"",EDATE($D80,Milestones!$AA$77)&gt;=$Z80),$AC80,IF(AND($Y80&lt;&gt;"",EDATE($D80,Milestones!$AA$77)&gt;=$Y80),$AB80,$AA80)))=Milestones!$AB$77),UPPER(TEXT(EDATE($D80,Milestones!$AA$77),"dd mmm yy"))&amp;" "&amp;Milestones!$AB$77&amp;" "&amp;IF(AND(Milestones!$AB$77="FT",Milestones!$AA$77=FT_Y5,EDATE($D80,Milestones!$AA$77)&lt;PolicyEff),1,Milestones!$AC$77)&amp;";  ","")&amp;IF(AND(EDATE($D80,Milestones!$AA$78)&lt;=AsOfDate,EDATE($D80,Milestones!$AA$78)&gt;=SchemeStart,IF($X80=0,$AD80,IF(AND($Z80&lt;&gt;"",EDATE($D80,Milestones!$AA$78)&gt;=$Z80),$AC80,IF(AND($Y80&lt;&gt;"",EDATE($D80,Milestones!$AA$78)&gt;=$Y80),$AB80,$AA80)))=Milestones!$AB$78),UPPER(TEXT(EDATE($D80,Milestones!$AA$78),"dd mmm yy"))&amp;" "&amp;Milestones!$AB$78&amp;" "&amp;IF(AND(Milestones!$AB$78="FT",Milestones!$AA$78=FT_Y5,EDATE($D80,Milestones!$AA$78)&lt;PolicyEff),1,Milestones!$AC$78)&amp;";  ","")&amp;IF(AND(EDATE($D80,Milestones!$AA$79)&lt;=AsOfDate,EDATE($D80,Milestones!$AA$79)&gt;=SchemeStart,IF($X80=0,$AD80,IF(AND($Z80&lt;&gt;"",EDATE($D80,Milestones!$AA$79)&gt;=$Z80),$AC80,IF(AND($Y80&lt;&gt;"",EDATE($D80,Milestones!$AA$79)&gt;=$Y80),$AB80,$AA80)))=Milestones!$AB$79),UPPER(TEXT(EDATE($D80,Milestones!$AA$79),"dd mmm yy"))&amp;" "&amp;Milestones!$AB$79&amp;" "&amp;IF(AND(Milestones!$AB$79="FT",Milestones!$AA$79=FT_Y5,EDATE($D80,Milestones!$AA$79)&lt;PolicyEff),1,Milestones!$AC$79)&amp;";  ",""))</f>
        <v/>
      </c>
      <c r="N80" s="0" t="str">
        <f aca="false">IF(OR($A80="",$D80=""),"",IF(AND(EDATE($D80,Milestones!$AA$80)&lt;=AsOfDate,EDATE($D80,Milestones!$AA$80)&gt;=SchemeStart,IF($X80=0,$AD80,IF(AND($Z80&lt;&gt;"",EDATE($D80,Milestones!$AA$80)&gt;=$Z80),$AC80,IF(AND($Y80&lt;&gt;"",EDATE($D80,Milestones!$AA$80)&gt;=$Y80),$AB80,$AA80)))=Milestones!$AB$80),UPPER(TEXT(EDATE($D80,Milestones!$AA$80),"dd mmm yy"))&amp;" "&amp;Milestones!$AB$80&amp;" "&amp;IF(AND(Milestones!$AB$80="FT",Milestones!$AA$80=FT_Y5,EDATE($D80,Milestones!$AA$80)&lt;PolicyEff),1,Milestones!$AC$80)&amp;";  ","")&amp;IF(AND(EDATE($D80,Milestones!$AA$81)&lt;=AsOfDate,EDATE($D80,Milestones!$AA$81)&gt;=SchemeStart,IF($X80=0,$AD80,IF(AND($Z80&lt;&gt;"",EDATE($D80,Milestones!$AA$81)&gt;=$Z80),$AC80,IF(AND($Y80&lt;&gt;"",EDATE($D80,Milestones!$AA$81)&gt;=$Y80),$AB80,$AA80)))=Milestones!$AB$81),UPPER(TEXT(EDATE($D80,Milestones!$AA$81),"dd mmm yy"))&amp;" "&amp;Milestones!$AB$81&amp;" "&amp;IF(AND(Milestones!$AB$81="FT",Milestones!$AA$81=FT_Y5,EDATE($D80,Milestones!$AA$81)&lt;PolicyEff),1,Milestones!$AC$81)&amp;";  ","")&amp;IF(AND(EDATE($D80,Milestones!$AA$82)&lt;=AsOfDate,EDATE($D80,Milestones!$AA$82)&gt;=SchemeStart,IF($X80=0,$AD80,IF(AND($Z80&lt;&gt;"",EDATE($D80,Milestones!$AA$82)&gt;=$Z80),$AC80,IF(AND($Y80&lt;&gt;"",EDATE($D80,Milestones!$AA$82)&gt;=$Y80),$AB80,$AA80)))=Milestones!$AB$82),UPPER(TEXT(EDATE($D80,Milestones!$AA$82),"dd mmm yy"))&amp;" "&amp;Milestones!$AB$82&amp;" "&amp;IF(AND(Milestones!$AB$82="FT",Milestones!$AA$82=FT_Y5,EDATE($D80,Milestones!$AA$82)&lt;PolicyEff),1,Milestones!$AC$82)&amp;";  ","")&amp;IF(AND(EDATE($D80,Milestones!$AA$83)&lt;=AsOfDate,EDATE($D80,Milestones!$AA$83)&gt;=SchemeStart,IF($X80=0,$AD80,IF(AND($Z80&lt;&gt;"",EDATE($D80,Milestones!$AA$83)&gt;=$Z80),$AC80,IF(AND($Y80&lt;&gt;"",EDATE($D80,Milestones!$AA$83)&gt;=$Y80),$AB80,$AA80)))=Milestones!$AB$83),UPPER(TEXT(EDATE($D80,Milestones!$AA$83),"dd mmm yy"))&amp;" "&amp;Milestones!$AB$83&amp;" "&amp;IF(AND(Milestones!$AB$83="FT",Milestones!$AA$83=FT_Y5,EDATE($D80,Milestones!$AA$83)&lt;PolicyEff),1,Milestones!$AC$83)&amp;";  ","")&amp;IF(AND(EDATE($D80,Milestones!$AA$84)&lt;=AsOfDate,EDATE($D80,Milestones!$AA$84)&gt;=SchemeStart,IF($X80=0,$AD80,IF(AND($Z80&lt;&gt;"",EDATE($D80,Milestones!$AA$84)&gt;=$Z80),$AC80,IF(AND($Y80&lt;&gt;"",EDATE($D80,Milestones!$AA$84)&gt;=$Y80),$AB80,$AA80)))=Milestones!$AB$84),UPPER(TEXT(EDATE($D80,Milestones!$AA$84),"dd mmm yy"))&amp;" "&amp;Milestones!$AB$84&amp;" "&amp;IF(AND(Milestones!$AB$84="FT",Milestones!$AA$84=FT_Y5,EDATE($D80,Milestones!$AA$84)&lt;PolicyEff),1,Milestones!$AC$84)&amp;";  ","")&amp;IF(AND(EDATE($D80,Milestones!$AA$85)&lt;=AsOfDate,EDATE($D80,Milestones!$AA$85)&gt;=SchemeStart,IF($X80=0,$AD80,IF(AND($Z80&lt;&gt;"",EDATE($D80,Milestones!$AA$85)&gt;=$Z80),$AC80,IF(AND($Y80&lt;&gt;"",EDATE($D80,Milestones!$AA$85)&gt;=$Y80),$AB80,$AA80)))=Milestones!$AB$85),UPPER(TEXT(EDATE($D80,Milestones!$AA$85),"dd mmm yy"))&amp;" "&amp;Milestones!$AB$85&amp;" "&amp;IF(AND(Milestones!$AB$85="FT",Milestones!$AA$85=FT_Y5,EDATE($D80,Milestones!$AA$85)&lt;PolicyEff),1,Milestones!$AC$85)&amp;";  ","")&amp;IF(AND(EDATE($D80,Milestones!$AA$86)&lt;=AsOfDate,EDATE($D80,Milestones!$AA$86)&gt;=SchemeStart,IF($X80=0,$AD80,IF(AND($Z80&lt;&gt;"",EDATE($D80,Milestones!$AA$86)&gt;=$Z80),$AC80,IF(AND($Y80&lt;&gt;"",EDATE($D80,Milestones!$AA$86)&gt;=$Y80),$AB80,$AA80)))=Milestones!$AB$86),UPPER(TEXT(EDATE($D80,Milestones!$AA$86),"dd mmm yy"))&amp;" "&amp;Milestones!$AB$86&amp;" "&amp;IF(AND(Milestones!$AB$86="FT",Milestones!$AA$86=FT_Y5,EDATE($D80,Milestones!$AA$86)&lt;PolicyEff),1,Milestones!$AC$86)&amp;";  ","")&amp;IF(AND(EDATE($D80,Milestones!$AA$87)&lt;=AsOfDate,EDATE($D80,Milestones!$AA$87)&gt;=SchemeStart,IF($X80=0,$AD80,IF(AND($Z80&lt;&gt;"",EDATE($D80,Milestones!$AA$87)&gt;=$Z80),$AC80,IF(AND($Y80&lt;&gt;"",EDATE($D80,Milestones!$AA$87)&gt;=$Y80),$AB80,$AA80)))=Milestones!$AB$87),UPPER(TEXT(EDATE($D80,Milestones!$AA$87),"dd mmm yy"))&amp;" "&amp;Milestones!$AB$87&amp;" "&amp;IF(AND(Milestones!$AB$87="FT",Milestones!$AA$87=FT_Y5,EDATE($D80,Milestones!$AA$87)&lt;PolicyEff),1,Milestones!$AC$87)&amp;";  ","")&amp;IF(AND(EDATE($D80,Milestones!$AA$88)&lt;=AsOfDate,EDATE($D80,Milestones!$AA$88)&gt;=SchemeStart,IF($X80=0,$AD80,IF(AND($Z80&lt;&gt;"",EDATE($D80,Milestones!$AA$88)&gt;=$Z80),$AC80,IF(AND($Y80&lt;&gt;"",EDATE($D80,Milestones!$AA$88)&gt;=$Y80),$AB80,$AA80)))=Milestones!$AB$88),UPPER(TEXT(EDATE($D80,Milestones!$AA$88),"dd mmm yy"))&amp;" "&amp;Milestones!$AB$88&amp;" "&amp;IF(AND(Milestones!$AB$88="FT",Milestones!$AA$88=FT_Y5,EDATE($D80,Milestones!$AA$88)&lt;PolicyEff),1,Milestones!$AC$88)&amp;";  ","")&amp;IF(AND(EDATE($D80,Milestones!$AA$89)&lt;=AsOfDate,EDATE($D80,Milestones!$AA$89)&gt;=SchemeStart,IF($X80=0,$AD80,IF(AND($Z80&lt;&gt;"",EDATE($D80,Milestones!$AA$89)&gt;=$Z80),$AC80,IF(AND($Y80&lt;&gt;"",EDATE($D80,Milestones!$AA$89)&gt;=$Y80),$AB80,$AA80)))=Milestones!$AB$89),UPPER(TEXT(EDATE($D80,Milestones!$AA$89),"dd mmm yy"))&amp;" "&amp;Milestones!$AB$89&amp;" "&amp;IF(AND(Milestones!$AB$89="FT",Milestones!$AA$89=FT_Y5,EDATE($D80,Milestones!$AA$89)&lt;PolicyEff),1,Milestones!$AC$89)&amp;";  ","")&amp;IF(AND(EDATE($D80,Milestones!$AA$90)&lt;=AsOfDate,EDATE($D80,Milestones!$AA$90)&gt;=SchemeStart,IF($X80=0,$AD80,IF(AND($Z80&lt;&gt;"",EDATE($D80,Milestones!$AA$90)&gt;=$Z80),$AC80,IF(AND($Y80&lt;&gt;"",EDATE($D80,Milestones!$AA$90)&gt;=$Y80),$AB80,$AA80)))=Milestones!$AB$90),UPPER(TEXT(EDATE($D80,Milestones!$AA$90),"dd mmm yy"))&amp;" "&amp;Milestones!$AB$90&amp;" "&amp;IF(AND(Milestones!$AB$90="FT",Milestones!$AA$90=FT_Y5,EDATE($D80,Milestones!$AA$90)&lt;PolicyEff),1,Milestones!$AC$90)&amp;";  ","")&amp;IF(AND(EDATE($D80,Milestones!$AA$91)&lt;=AsOfDate,EDATE($D80,Milestones!$AA$91)&gt;=SchemeStart,IF($X80=0,$AD80,IF(AND($Z80&lt;&gt;"",EDATE($D80,Milestones!$AA$91)&gt;=$Z80),$AC80,IF(AND($Y80&lt;&gt;"",EDATE($D80,Milestones!$AA$91)&gt;=$Y80),$AB80,$AA80)))=Milestones!$AB$91),UPPER(TEXT(EDATE($D80,Milestones!$AA$91),"dd mmm yy"))&amp;" "&amp;Milestones!$AB$91&amp;" "&amp;IF(AND(Milestones!$AB$91="FT",Milestones!$AA$91=FT_Y5,EDATE($D80,Milestones!$AA$91)&lt;PolicyEff),1,Milestones!$AC$91)&amp;";  ",""))</f>
        <v/>
      </c>
      <c r="O80" s="0" t="str">
        <f aca="false">IF(OR($A80="",$D80=""),"",IF(AND(EDATE($D80,Milestones!$AA$92)&lt;=AsOfDate,EDATE($D80,Milestones!$AA$92)&gt;=SchemeStart,IF($X80=0,$AD80,IF(AND($Z80&lt;&gt;"",EDATE($D80,Milestones!$AA$92)&gt;=$Z80),$AC80,IF(AND($Y80&lt;&gt;"",EDATE($D80,Milestones!$AA$92)&gt;=$Y80),$AB80,$AA80)))=Milestones!$AB$92),UPPER(TEXT(EDATE($D80,Milestones!$AA$92),"dd mmm yy"))&amp;" "&amp;Milestones!$AB$92&amp;" "&amp;IF(AND(Milestones!$AB$92="FT",Milestones!$AA$92=FT_Y5,EDATE($D80,Milestones!$AA$92)&lt;PolicyEff),1,Milestones!$AC$92)&amp;";  ","")&amp;IF(AND(EDATE($D80,Milestones!$AA$93)&lt;=AsOfDate,EDATE($D80,Milestones!$AA$93)&gt;=SchemeStart,IF($X80=0,$AD80,IF(AND($Z80&lt;&gt;"",EDATE($D80,Milestones!$AA$93)&gt;=$Z80),$AC80,IF(AND($Y80&lt;&gt;"",EDATE($D80,Milestones!$AA$93)&gt;=$Y80),$AB80,$AA80)))=Milestones!$AB$93),UPPER(TEXT(EDATE($D80,Milestones!$AA$93),"dd mmm yy"))&amp;" "&amp;Milestones!$AB$93&amp;" "&amp;IF(AND(Milestones!$AB$93="FT",Milestones!$AA$93=FT_Y5,EDATE($D80,Milestones!$AA$93)&lt;PolicyEff),1,Milestones!$AC$93)&amp;";  ","")&amp;IF(AND(EDATE($D80,Milestones!$AA$94)&lt;=AsOfDate,EDATE($D80,Milestones!$AA$94)&gt;=SchemeStart,IF($X80=0,$AD80,IF(AND($Z80&lt;&gt;"",EDATE($D80,Milestones!$AA$94)&gt;=$Z80),$AC80,IF(AND($Y80&lt;&gt;"",EDATE($D80,Milestones!$AA$94)&gt;=$Y80),$AB80,$AA80)))=Milestones!$AB$94),UPPER(TEXT(EDATE($D80,Milestones!$AA$94),"dd mmm yy"))&amp;" "&amp;Milestones!$AB$94&amp;" "&amp;IF(AND(Milestones!$AB$94="FT",Milestones!$AA$94=FT_Y5,EDATE($D80,Milestones!$AA$94)&lt;PolicyEff),1,Milestones!$AC$94)&amp;";  ","")&amp;IF(AND(EDATE($D80,Milestones!$AA$95)&lt;=AsOfDate,EDATE($D80,Milestones!$AA$95)&gt;=SchemeStart,IF($X80=0,$AD80,IF(AND($Z80&lt;&gt;"",EDATE($D80,Milestones!$AA$95)&gt;=$Z80),$AC80,IF(AND($Y80&lt;&gt;"",EDATE($D80,Milestones!$AA$95)&gt;=$Y80),$AB80,$AA80)))=Milestones!$AB$95),UPPER(TEXT(EDATE($D80,Milestones!$AA$95),"dd mmm yy"))&amp;" "&amp;Milestones!$AB$95&amp;" "&amp;IF(AND(Milestones!$AB$95="FT",Milestones!$AA$95=FT_Y5,EDATE($D80,Milestones!$AA$95)&lt;PolicyEff),1,Milestones!$AC$95)&amp;";  ","")&amp;IF(AND(EDATE($D80,Milestones!$AA$96)&lt;=AsOfDate,EDATE($D80,Milestones!$AA$96)&gt;=SchemeStart,IF($X80=0,$AD80,IF(AND($Z80&lt;&gt;"",EDATE($D80,Milestones!$AA$96)&gt;=$Z80),$AC80,IF(AND($Y80&lt;&gt;"",EDATE($D80,Milestones!$AA$96)&gt;=$Y80),$AB80,$AA80)))=Milestones!$AB$96),UPPER(TEXT(EDATE($D80,Milestones!$AA$96),"dd mmm yy"))&amp;" "&amp;Milestones!$AB$96&amp;" "&amp;IF(AND(Milestones!$AB$96="FT",Milestones!$AA$96=FT_Y5,EDATE($D80,Milestones!$AA$96)&lt;PolicyEff),1,Milestones!$AC$96)&amp;";  ","")&amp;IF(AND(EDATE($D80,Milestones!$AA$97)&lt;=AsOfDate,EDATE($D80,Milestones!$AA$97)&gt;=SchemeStart,IF($X80=0,$AD80,IF(AND($Z80&lt;&gt;"",EDATE($D80,Milestones!$AA$97)&gt;=$Z80),$AC80,IF(AND($Y80&lt;&gt;"",EDATE($D80,Milestones!$AA$97)&gt;=$Y80),$AB80,$AA80)))=Milestones!$AB$97),UPPER(TEXT(EDATE($D80,Milestones!$AA$97),"dd mmm yy"))&amp;" "&amp;Milestones!$AB$97&amp;" "&amp;IF(AND(Milestones!$AB$97="FT",Milestones!$AA$97=FT_Y5,EDATE($D80,Milestones!$AA$97)&lt;PolicyEff),1,Milestones!$AC$97)&amp;";  ","")&amp;IF(AND(EDATE($D80,Milestones!$AA$98)&lt;=AsOfDate,EDATE($D80,Milestones!$AA$98)&gt;=SchemeStart,IF($X80=0,$AD80,IF(AND($Z80&lt;&gt;"",EDATE($D80,Milestones!$AA$98)&gt;=$Z80),$AC80,IF(AND($Y80&lt;&gt;"",EDATE($D80,Milestones!$AA$98)&gt;=$Y80),$AB80,$AA80)))=Milestones!$AB$98),UPPER(TEXT(EDATE($D80,Milestones!$AA$98),"dd mmm yy"))&amp;" "&amp;Milestones!$AB$98&amp;" "&amp;IF(AND(Milestones!$AB$98="FT",Milestones!$AA$98=FT_Y5,EDATE($D80,Milestones!$AA$98)&lt;PolicyEff),1,Milestones!$AC$98)&amp;";  ","")&amp;IF(AND(EDATE($D80,Milestones!$AA$99)&lt;=AsOfDate,EDATE($D80,Milestones!$AA$99)&gt;=SchemeStart,IF($X80=0,$AD80,IF(AND($Z80&lt;&gt;"",EDATE($D80,Milestones!$AA$99)&gt;=$Z80),$AC80,IF(AND($Y80&lt;&gt;"",EDATE($D80,Milestones!$AA$99)&gt;=$Y80),$AB80,$AA80)))=Milestones!$AB$99),UPPER(TEXT(EDATE($D80,Milestones!$AA$99),"dd mmm yy"))&amp;" "&amp;Milestones!$AB$99&amp;" "&amp;IF(AND(Milestones!$AB$99="FT",Milestones!$AA$99=FT_Y5,EDATE($D80,Milestones!$AA$99)&lt;PolicyEff),1,Milestones!$AC$99)&amp;";  ","")&amp;IF(AND(EDATE($D80,Milestones!$AA$100)&lt;=AsOfDate,EDATE($D80,Milestones!$AA$100)&gt;=SchemeStart,IF($X80=0,$AD80,IF(AND($Z80&lt;&gt;"",EDATE($D80,Milestones!$AA$100)&gt;=$Z80),$AC80,IF(AND($Y80&lt;&gt;"",EDATE($D80,Milestones!$AA$100)&gt;=$Y80),$AB80,$AA80)))=Milestones!$AB$100),UPPER(TEXT(EDATE($D80,Milestones!$AA$100),"dd mmm yy"))&amp;" "&amp;Milestones!$AB$100&amp;" "&amp;IF(AND(Milestones!$AB$100="FT",Milestones!$AA$100=FT_Y5,EDATE($D80,Milestones!$AA$100)&lt;PolicyEff),1,Milestones!$AC$100)&amp;";  ","")&amp;IF(AND(EDATE($D80,Milestones!$AA$101)&lt;=AsOfDate,EDATE($D80,Milestones!$AA$101)&gt;=SchemeStart,IF($X80=0,$AD80,IF(AND($Z80&lt;&gt;"",EDATE($D80,Milestones!$AA$101)&gt;=$Z80),$AC80,IF(AND($Y80&lt;&gt;"",EDATE($D80,Milestones!$AA$101)&gt;=$Y80),$AB80,$AA80)))=Milestones!$AB$101),UPPER(TEXT(EDATE($D80,Milestones!$AA$101),"dd mmm yy"))&amp;" "&amp;Milestones!$AB$101&amp;" "&amp;IF(AND(Milestones!$AB$101="FT",Milestones!$AA$101=FT_Y5,EDATE($D80,Milestones!$AA$101)&lt;PolicyEff),1,Milestones!$AC$101)&amp;";  ","")&amp;IF(AND(EDATE($D80,Milestones!$AA$102)&lt;=AsOfDate,EDATE($D80,Milestones!$AA$102)&gt;=SchemeStart,IF($X80=0,$AD80,IF(AND($Z80&lt;&gt;"",EDATE($D80,Milestones!$AA$102)&gt;=$Z80),$AC80,IF(AND($Y80&lt;&gt;"",EDATE($D80,Milestones!$AA$102)&gt;=$Y80),$AB80,$AA80)))=Milestones!$AB$102),UPPER(TEXT(EDATE($D80,Milestones!$AA$102),"dd mmm yy"))&amp;" "&amp;Milestones!$AB$102&amp;" "&amp;IF(AND(Milestones!$AB$102="FT",Milestones!$AA$102=FT_Y5,EDATE($D80,Milestones!$AA$102)&lt;PolicyEff),1,Milestones!$AC$102)&amp;";  ","")&amp;IF(AND(EDATE($D80,Milestones!$AA$103)&lt;=AsOfDate,EDATE($D80,Milestones!$AA$103)&gt;=SchemeStart,IF($X80=0,$AD80,IF(AND($Z80&lt;&gt;"",EDATE($D80,Milestones!$AA$103)&gt;=$Z80),$AC80,IF(AND($Y80&lt;&gt;"",EDATE($D80,Milestones!$AA$103)&gt;=$Y80),$AB80,$AA80)))=Milestones!$AB$103),UPPER(TEXT(EDATE($D80,Milestones!$AA$103),"dd mmm yy"))&amp;" "&amp;Milestones!$AB$103&amp;" "&amp;IF(AND(Milestones!$AB$103="FT",Milestones!$AA$103=FT_Y5,EDATE($D80,Milestones!$AA$103)&lt;PolicyEff),1,Milestones!$AC$103)&amp;";  ",""))</f>
        <v/>
      </c>
      <c r="P80" s="0" t="str">
        <f aca="false">IF(OR($A80="",$D80=""),"",IF(AND(EDATE($D80,Milestones!$AA$104)&lt;=AsOfDate,EDATE($D80,Milestones!$AA$104)&gt;=SchemeStart,IF($X80=0,$AD80,IF(AND($Z80&lt;&gt;"",EDATE($D80,Milestones!$AA$104)&gt;=$Z80),$AC80,IF(AND($Y80&lt;&gt;"",EDATE($D80,Milestones!$AA$104)&gt;=$Y80),$AB80,$AA80)))=Milestones!$AB$104),UPPER(TEXT(EDATE($D80,Milestones!$AA$104),"dd mmm yy"))&amp;" "&amp;Milestones!$AB$104&amp;" "&amp;IF(AND(Milestones!$AB$104="FT",Milestones!$AA$104=FT_Y5,EDATE($D80,Milestones!$AA$104)&lt;PolicyEff),1,Milestones!$AC$104)&amp;";  ","")&amp;IF(AND(EDATE($D80,Milestones!$AA$105)&lt;=AsOfDate,EDATE($D80,Milestones!$AA$105)&gt;=SchemeStart,IF($X80=0,$AD80,IF(AND($Z80&lt;&gt;"",EDATE($D80,Milestones!$AA$105)&gt;=$Z80),$AC80,IF(AND($Y80&lt;&gt;"",EDATE($D80,Milestones!$AA$105)&gt;=$Y80),$AB80,$AA80)))=Milestones!$AB$105),UPPER(TEXT(EDATE($D80,Milestones!$AA$105),"dd mmm yy"))&amp;" "&amp;Milestones!$AB$105&amp;" "&amp;IF(AND(Milestones!$AB$105="FT",Milestones!$AA$105=FT_Y5,EDATE($D80,Milestones!$AA$105)&lt;PolicyEff),1,Milestones!$AC$105)&amp;";  ","")&amp;IF(AND(EDATE($D80,Milestones!$AA$106)&lt;=AsOfDate,EDATE($D80,Milestones!$AA$106)&gt;=SchemeStart,IF($X80=0,$AD80,IF(AND($Z80&lt;&gt;"",EDATE($D80,Milestones!$AA$106)&gt;=$Z80),$AC80,IF(AND($Y80&lt;&gt;"",EDATE($D80,Milestones!$AA$106)&gt;=$Y80),$AB80,$AA80)))=Milestones!$AB$106),UPPER(TEXT(EDATE($D80,Milestones!$AA$106),"dd mmm yy"))&amp;" "&amp;Milestones!$AB$106&amp;" "&amp;IF(AND(Milestones!$AB$106="FT",Milestones!$AA$106=FT_Y5,EDATE($D80,Milestones!$AA$106)&lt;PolicyEff),1,Milestones!$AC$106)&amp;";  ","")&amp;IF(AND(EDATE($D80,Milestones!$AA$107)&lt;=AsOfDate,EDATE($D80,Milestones!$AA$107)&gt;=SchemeStart,IF($X80=0,$AD80,IF(AND($Z80&lt;&gt;"",EDATE($D80,Milestones!$AA$107)&gt;=$Z80),$AC80,IF(AND($Y80&lt;&gt;"",EDATE($D80,Milestones!$AA$107)&gt;=$Y80),$AB80,$AA80)))=Milestones!$AB$107),UPPER(TEXT(EDATE($D80,Milestones!$AA$107),"dd mmm yy"))&amp;" "&amp;Milestones!$AB$107&amp;" "&amp;IF(AND(Milestones!$AB$107="FT",Milestones!$AA$107=FT_Y5,EDATE($D80,Milestones!$AA$107)&lt;PolicyEff),1,Milestones!$AC$107)&amp;";  ","")&amp;IF(AND(EDATE($D80,Milestones!$AA$108)&lt;=AsOfDate,EDATE($D80,Milestones!$AA$108)&gt;=SchemeStart,IF($X80=0,$AD80,IF(AND($Z80&lt;&gt;"",EDATE($D80,Milestones!$AA$108)&gt;=$Z80),$AC80,IF(AND($Y80&lt;&gt;"",EDATE($D80,Milestones!$AA$108)&gt;=$Y80),$AB80,$AA80)))=Milestones!$AB$108),UPPER(TEXT(EDATE($D80,Milestones!$AA$108),"dd mmm yy"))&amp;" "&amp;Milestones!$AB$108&amp;" "&amp;IF(AND(Milestones!$AB$108="FT",Milestones!$AA$108=FT_Y5,EDATE($D80,Milestones!$AA$108)&lt;PolicyEff),1,Milestones!$AC$108)&amp;";  ","")&amp;IF(AND(EDATE($D80,Milestones!$AA$109)&lt;=AsOfDate,EDATE($D80,Milestones!$AA$109)&gt;=SchemeStart,IF($X80=0,$AD80,IF(AND($Z80&lt;&gt;"",EDATE($D80,Milestones!$AA$109)&gt;=$Z80),$AC80,IF(AND($Y80&lt;&gt;"",EDATE($D80,Milestones!$AA$109)&gt;=$Y80),$AB80,$AA80)))=Milestones!$AB$109),UPPER(TEXT(EDATE($D80,Milestones!$AA$109),"dd mmm yy"))&amp;" "&amp;Milestones!$AB$109&amp;" "&amp;IF(AND(Milestones!$AB$109="FT",Milestones!$AA$109=FT_Y5,EDATE($D80,Milestones!$AA$109)&lt;PolicyEff),1,Milestones!$AC$109)&amp;";  ","")&amp;IF(AND(EDATE($D80,Milestones!$AA$110)&lt;=AsOfDate,EDATE($D80,Milestones!$AA$110)&gt;=SchemeStart,IF($X80=0,$AD80,IF(AND($Z80&lt;&gt;"",EDATE($D80,Milestones!$AA$110)&gt;=$Z80),$AC80,IF(AND($Y80&lt;&gt;"",EDATE($D80,Milestones!$AA$110)&gt;=$Y80),$AB80,$AA80)))=Milestones!$AB$110),UPPER(TEXT(EDATE($D80,Milestones!$AA$110),"dd mmm yy"))&amp;" "&amp;Milestones!$AB$110&amp;" "&amp;IF(AND(Milestones!$AB$110="FT",Milestones!$AA$110=FT_Y5,EDATE($D80,Milestones!$AA$110)&lt;PolicyEff),1,Milestones!$AC$110)&amp;";  ","")&amp;IF(AND(EDATE($D80,Milestones!$AA$111)&lt;=AsOfDate,EDATE($D80,Milestones!$AA$111)&gt;=SchemeStart,IF($X80=0,$AD80,IF(AND($Z80&lt;&gt;"",EDATE($D80,Milestones!$AA$111)&gt;=$Z80),$AC80,IF(AND($Y80&lt;&gt;"",EDATE($D80,Milestones!$AA$111)&gt;=$Y80),$AB80,$AA80)))=Milestones!$AB$111),UPPER(TEXT(EDATE($D80,Milestones!$AA$111),"dd mmm yy"))&amp;" "&amp;Milestones!$AB$111&amp;" "&amp;IF(AND(Milestones!$AB$111="FT",Milestones!$AA$111=FT_Y5,EDATE($D80,Milestones!$AA$111)&lt;PolicyEff),1,Milestones!$AC$111)&amp;";  ","")&amp;IF(AND(EDATE($D80,Milestones!$AA$112)&lt;=AsOfDate,EDATE($D80,Milestones!$AA$112)&gt;=SchemeStart,IF($X80=0,$AD80,IF(AND($Z80&lt;&gt;"",EDATE($D80,Milestones!$AA$112)&gt;=$Z80),$AC80,IF(AND($Y80&lt;&gt;"",EDATE($D80,Milestones!$AA$112)&gt;=$Y80),$AB80,$AA80)))=Milestones!$AB$112),UPPER(TEXT(EDATE($D80,Milestones!$AA$112),"dd mmm yy"))&amp;" "&amp;Milestones!$AB$112&amp;" "&amp;IF(AND(Milestones!$AB$112="FT",Milestones!$AA$112=FT_Y5,EDATE($D80,Milestones!$AA$112)&lt;PolicyEff),1,Milestones!$AC$112)&amp;";  ","")&amp;IF(AND(EDATE($D80,Milestones!$AA$113)&lt;=AsOfDate,EDATE($D80,Milestones!$AA$113)&gt;=SchemeStart,IF($X80=0,$AD80,IF(AND($Z80&lt;&gt;"",EDATE($D80,Milestones!$AA$113)&gt;=$Z80),$AC80,IF(AND($Y80&lt;&gt;"",EDATE($D80,Milestones!$AA$113)&gt;=$Y80),$AB80,$AA80)))=Milestones!$AB$113),UPPER(TEXT(EDATE($D80,Milestones!$AA$113),"dd mmm yy"))&amp;" "&amp;Milestones!$AB$113&amp;" "&amp;IF(AND(Milestones!$AB$113="FT",Milestones!$AA$113=FT_Y5,EDATE($D80,Milestones!$AA$113)&lt;PolicyEff),1,Milestones!$AC$113)&amp;";  ","")&amp;IF(AND(EDATE($D80,Milestones!$AA$114)&lt;=AsOfDate,EDATE($D80,Milestones!$AA$114)&gt;=SchemeStart,IF($X80=0,$AD80,IF(AND($Z80&lt;&gt;"",EDATE($D80,Milestones!$AA$114)&gt;=$Z80),$AC80,IF(AND($Y80&lt;&gt;"",EDATE($D80,Milestones!$AA$114)&gt;=$Y80),$AB80,$AA80)))=Milestones!$AB$114),UPPER(TEXT(EDATE($D80,Milestones!$AA$114),"dd mmm yy"))&amp;" "&amp;Milestones!$AB$114&amp;" "&amp;IF(AND(Milestones!$AB$114="FT",Milestones!$AA$114=FT_Y5,EDATE($D80,Milestones!$AA$114)&lt;PolicyEff),1,Milestones!$AC$114)&amp;";  ","")&amp;IF(AND(EDATE($D80,Milestones!$AA$115)&lt;=AsOfDate,EDATE($D80,Milestones!$AA$115)&gt;=SchemeStart,IF($X80=0,$AD80,IF(AND($Z80&lt;&gt;"",EDATE($D80,Milestones!$AA$115)&gt;=$Z80),$AC80,IF(AND($Y80&lt;&gt;"",EDATE($D80,Milestones!$AA$115)&gt;=$Y80),$AB80,$AA80)))=Milestones!$AB$115),UPPER(TEXT(EDATE($D80,Milestones!$AA$115),"dd mmm yy"))&amp;" "&amp;Milestones!$AB$115&amp;" "&amp;IF(AND(Milestones!$AB$115="FT",Milestones!$AA$115=FT_Y5,EDATE($D80,Milestones!$AA$115)&lt;PolicyEff),1,Milestones!$AC$115)&amp;";  ",""))</f>
        <v/>
      </c>
      <c r="Q80" s="0" t="str">
        <f aca="false">IF(OR($A80="",$D80=""),"",IF(AND(EDATE($D80,Milestones!$AA$116)&lt;=AsOfDate,EDATE($D80,Milestones!$AA$116)&gt;=SchemeStart,IF($X80=0,$AD80,IF(AND($Z80&lt;&gt;"",EDATE($D80,Milestones!$AA$116)&gt;=$Z80),$AC80,IF(AND($Y80&lt;&gt;"",EDATE($D80,Milestones!$AA$116)&gt;=$Y80),$AB80,$AA80)))=Milestones!$AB$116),UPPER(TEXT(EDATE($D80,Milestones!$AA$116),"dd mmm yy"))&amp;" "&amp;Milestones!$AB$116&amp;" "&amp;IF(AND(Milestones!$AB$116="FT",Milestones!$AA$116=FT_Y5,EDATE($D80,Milestones!$AA$116)&lt;PolicyEff),1,Milestones!$AC$116)&amp;";  ","")&amp;IF(AND(EDATE($D80,Milestones!$AA$117)&lt;=AsOfDate,EDATE($D80,Milestones!$AA$117)&gt;=SchemeStart,IF($X80=0,$AD80,IF(AND($Z80&lt;&gt;"",EDATE($D80,Milestones!$AA$117)&gt;=$Z80),$AC80,IF(AND($Y80&lt;&gt;"",EDATE($D80,Milestones!$AA$117)&gt;=$Y80),$AB80,$AA80)))=Milestones!$AB$117),UPPER(TEXT(EDATE($D80,Milestones!$AA$117),"dd mmm yy"))&amp;" "&amp;Milestones!$AB$117&amp;" "&amp;IF(AND(Milestones!$AB$117="FT",Milestones!$AA$117=FT_Y5,EDATE($D80,Milestones!$AA$117)&lt;PolicyEff),1,Milestones!$AC$117)&amp;";  ","")&amp;IF(AND(EDATE($D80,Milestones!$AA$118)&lt;=AsOfDate,EDATE($D80,Milestones!$AA$118)&gt;=SchemeStart,IF($X80=0,$AD80,IF(AND($Z80&lt;&gt;"",EDATE($D80,Milestones!$AA$118)&gt;=$Z80),$AC80,IF(AND($Y80&lt;&gt;"",EDATE($D80,Milestones!$AA$118)&gt;=$Y80),$AB80,$AA80)))=Milestones!$AB$118),UPPER(TEXT(EDATE($D80,Milestones!$AA$118),"dd mmm yy"))&amp;" "&amp;Milestones!$AB$118&amp;" "&amp;IF(AND(Milestones!$AB$118="FT",Milestones!$AA$118=FT_Y5,EDATE($D80,Milestones!$AA$118)&lt;PolicyEff),1,Milestones!$AC$118)&amp;";  ","")&amp;IF(AND(EDATE($D80,Milestones!$AA$119)&lt;=AsOfDate,EDATE($D80,Milestones!$AA$119)&gt;=SchemeStart,IF($X80=0,$AD80,IF(AND($Z80&lt;&gt;"",EDATE($D80,Milestones!$AA$119)&gt;=$Z80),$AC80,IF(AND($Y80&lt;&gt;"",EDATE($D80,Milestones!$AA$119)&gt;=$Y80),$AB80,$AA80)))=Milestones!$AB$119),UPPER(TEXT(EDATE($D80,Milestones!$AA$119),"dd mmm yy"))&amp;" "&amp;Milestones!$AB$119&amp;" "&amp;IF(AND(Milestones!$AB$119="FT",Milestones!$AA$119=FT_Y5,EDATE($D80,Milestones!$AA$119)&lt;PolicyEff),1,Milestones!$AC$119)&amp;";  ","")&amp;IF(AND(EDATE($D80,Milestones!$AA$120)&lt;=AsOfDate,EDATE($D80,Milestones!$AA$120)&gt;=SchemeStart,IF($X80=0,$AD80,IF(AND($Z80&lt;&gt;"",EDATE($D80,Milestones!$AA$120)&gt;=$Z80),$AC80,IF(AND($Y80&lt;&gt;"",EDATE($D80,Milestones!$AA$120)&gt;=$Y80),$AB80,$AA80)))=Milestones!$AB$120),UPPER(TEXT(EDATE($D80,Milestones!$AA$120),"dd mmm yy"))&amp;" "&amp;Milestones!$AB$120&amp;" "&amp;IF(AND(Milestones!$AB$120="FT",Milestones!$AA$120=FT_Y5,EDATE($D80,Milestones!$AA$120)&lt;PolicyEff),1,Milestones!$AC$120)&amp;";  ","")&amp;IF(AND(EDATE($D80,Milestones!$AA$121)&lt;=AsOfDate,EDATE($D80,Milestones!$AA$121)&gt;=SchemeStart,IF($X80=0,$AD80,IF(AND($Z80&lt;&gt;"",EDATE($D80,Milestones!$AA$121)&gt;=$Z80),$AC80,IF(AND($Y80&lt;&gt;"",EDATE($D80,Milestones!$AA$121)&gt;=$Y80),$AB80,$AA80)))=Milestones!$AB$121),UPPER(TEXT(EDATE($D80,Milestones!$AA$121),"dd mmm yy"))&amp;" "&amp;Milestones!$AB$121&amp;" "&amp;IF(AND(Milestones!$AB$121="FT",Milestones!$AA$121=FT_Y5,EDATE($D80,Milestones!$AA$121)&lt;PolicyEff),1,Milestones!$AC$121)&amp;";  ","")&amp;IF(AND(EDATE($D80,Milestones!$AA$122)&lt;=AsOfDate,EDATE($D80,Milestones!$AA$122)&gt;=SchemeStart,IF($X80=0,$AD80,IF(AND($Z80&lt;&gt;"",EDATE($D80,Milestones!$AA$122)&gt;=$Z80),$AC80,IF(AND($Y80&lt;&gt;"",EDATE($D80,Milestones!$AA$122)&gt;=$Y80),$AB80,$AA80)))=Milestones!$AB$122),UPPER(TEXT(EDATE($D80,Milestones!$AA$122),"dd mmm yy"))&amp;" "&amp;Milestones!$AB$122&amp;" "&amp;IF(AND(Milestones!$AB$122="FT",Milestones!$AA$122=FT_Y5,EDATE($D80,Milestones!$AA$122)&lt;PolicyEff),1,Milestones!$AC$122)&amp;";  ","")&amp;IF(AND(EDATE($D80,Milestones!$AA$123)&lt;=AsOfDate,EDATE($D80,Milestones!$AA$123)&gt;=SchemeStart,IF($X80=0,$AD80,IF(AND($Z80&lt;&gt;"",EDATE($D80,Milestones!$AA$123)&gt;=$Z80),$AC80,IF(AND($Y80&lt;&gt;"",EDATE($D80,Milestones!$AA$123)&gt;=$Y80),$AB80,$AA80)))=Milestones!$AB$123),UPPER(TEXT(EDATE($D80,Milestones!$AA$123),"dd mmm yy"))&amp;" "&amp;Milestones!$AB$123&amp;" "&amp;IF(AND(Milestones!$AB$123="FT",Milestones!$AA$123=FT_Y5,EDATE($D80,Milestones!$AA$123)&lt;PolicyEff),1,Milestones!$AC$123)&amp;";  ","")&amp;IF(AND(EDATE($D80,Milestones!$AA$124)&lt;=AsOfDate,EDATE($D80,Milestones!$AA$124)&gt;=SchemeStart,IF($X80=0,$AD80,IF(AND($Z80&lt;&gt;"",EDATE($D80,Milestones!$AA$124)&gt;=$Z80),$AC80,IF(AND($Y80&lt;&gt;"",EDATE($D80,Milestones!$AA$124)&gt;=$Y80),$AB80,$AA80)))=Milestones!$AB$124),UPPER(TEXT(EDATE($D80,Milestones!$AA$124),"dd mmm yy"))&amp;" "&amp;Milestones!$AB$124&amp;" "&amp;IF(AND(Milestones!$AB$124="FT",Milestones!$AA$124=FT_Y5,EDATE($D80,Milestones!$AA$124)&lt;PolicyEff),1,Milestones!$AC$124)&amp;";  ","")&amp;IF(AND(EDATE($D80,Milestones!$AA$125)&lt;=AsOfDate,EDATE($D80,Milestones!$AA$125)&gt;=SchemeStart,IF($X80=0,$AD80,IF(AND($Z80&lt;&gt;"",EDATE($D80,Milestones!$AA$125)&gt;=$Z80),$AC80,IF(AND($Y80&lt;&gt;"",EDATE($D80,Milestones!$AA$125)&gt;=$Y80),$AB80,$AA80)))=Milestones!$AB$125),UPPER(TEXT(EDATE($D80,Milestones!$AA$125),"dd mmm yy"))&amp;" "&amp;Milestones!$AB$125&amp;" "&amp;IF(AND(Milestones!$AB$125="FT",Milestones!$AA$125=FT_Y5,EDATE($D80,Milestones!$AA$125)&lt;PolicyEff),1,Milestones!$AC$125)&amp;";  ","")&amp;IF(AND(EDATE($D80,Milestones!$AA$126)&lt;=AsOfDate,EDATE($D80,Milestones!$AA$126)&gt;=SchemeStart,IF($X80=0,$AD80,IF(AND($Z80&lt;&gt;"",EDATE($D80,Milestones!$AA$126)&gt;=$Z80),$AC80,IF(AND($Y80&lt;&gt;"",EDATE($D80,Milestones!$AA$126)&gt;=$Y80),$AB80,$AA80)))=Milestones!$AB$126),UPPER(TEXT(EDATE($D80,Milestones!$AA$126),"dd mmm yy"))&amp;" "&amp;Milestones!$AB$126&amp;" "&amp;IF(AND(Milestones!$AB$126="FT",Milestones!$AA$126=FT_Y5,EDATE($D80,Milestones!$AA$126)&lt;PolicyEff),1,Milestones!$AC$126)&amp;";  ","")&amp;IF(AND(EDATE($D80,Milestones!$AA$127)&lt;=AsOfDate,EDATE($D80,Milestones!$AA$127)&gt;=SchemeStart,IF($X80=0,$AD80,IF(AND($Z80&lt;&gt;"",EDATE($D80,Milestones!$AA$127)&gt;=$Z80),$AC80,IF(AND($Y80&lt;&gt;"",EDATE($D80,Milestones!$AA$127)&gt;=$Y80),$AB80,$AA80)))=Milestones!$AB$127),UPPER(TEXT(EDATE($D80,Milestones!$AA$127),"dd mmm yy"))&amp;" "&amp;Milestones!$AB$127&amp;" "&amp;IF(AND(Milestones!$AB$127="FT",Milestones!$AA$127=FT_Y5,EDATE($D80,Milestones!$AA$127)&lt;PolicyEff),1,Milestones!$AC$127)&amp;";  ",""))</f>
        <v/>
      </c>
      <c r="R80" s="0" t="str">
        <f aca="false">IF(OR($A80="",$D80=""),"",IF(AND(EDATE($D80,Milestones!$AA$128)&lt;=AsOfDate,EDATE($D80,Milestones!$AA$128)&gt;=SchemeStart,IF($X80=0,$AD80,IF(AND($Z80&lt;&gt;"",EDATE($D80,Milestones!$AA$128)&gt;=$Z80),$AC80,IF(AND($Y80&lt;&gt;"",EDATE($D80,Milestones!$AA$128)&gt;=$Y80),$AB80,$AA80)))=Milestones!$AB$128),UPPER(TEXT(EDATE($D80,Milestones!$AA$128),"dd mmm yy"))&amp;" "&amp;Milestones!$AB$128&amp;" "&amp;IF(AND(Milestones!$AB$128="FT",Milestones!$AA$128=FT_Y5,EDATE($D80,Milestones!$AA$128)&lt;PolicyEff),1,Milestones!$AC$128)&amp;";  ","")&amp;IF(AND(EDATE($D80,Milestones!$AA$129)&lt;=AsOfDate,EDATE($D80,Milestones!$AA$129)&gt;=SchemeStart,IF($X80=0,$AD80,IF(AND($Z80&lt;&gt;"",EDATE($D80,Milestones!$AA$129)&gt;=$Z80),$AC80,IF(AND($Y80&lt;&gt;"",EDATE($D80,Milestones!$AA$129)&gt;=$Y80),$AB80,$AA80)))=Milestones!$AB$129),UPPER(TEXT(EDATE($D80,Milestones!$AA$129),"dd mmm yy"))&amp;" "&amp;Milestones!$AB$129&amp;" "&amp;IF(AND(Milestones!$AB$129="FT",Milestones!$AA$129=FT_Y5,EDATE($D80,Milestones!$AA$129)&lt;PolicyEff),1,Milestones!$AC$129)&amp;";  ","")&amp;IF(AND(EDATE($D80,Milestones!$AA$130)&lt;=AsOfDate,EDATE($D80,Milestones!$AA$130)&gt;=SchemeStart,IF($X80=0,$AD80,IF(AND($Z80&lt;&gt;"",EDATE($D80,Milestones!$AA$130)&gt;=$Z80),$AC80,IF(AND($Y80&lt;&gt;"",EDATE($D80,Milestones!$AA$130)&gt;=$Y80),$AB80,$AA80)))=Milestones!$AB$130),UPPER(TEXT(EDATE($D80,Milestones!$AA$130),"dd mmm yy"))&amp;" "&amp;Milestones!$AB$130&amp;" "&amp;IF(AND(Milestones!$AB$130="FT",Milestones!$AA$130=FT_Y5,EDATE($D80,Milestones!$AA$130)&lt;PolicyEff),1,Milestones!$AC$130)&amp;";  ","")&amp;IF(AND(EDATE($D80,Milestones!$AA$131)&lt;=AsOfDate,EDATE($D80,Milestones!$AA$131)&gt;=SchemeStart,IF($X80=0,$AD80,IF(AND($Z80&lt;&gt;"",EDATE($D80,Milestones!$AA$131)&gt;=$Z80),$AC80,IF(AND($Y80&lt;&gt;"",EDATE($D80,Milestones!$AA$131)&gt;=$Y80),$AB80,$AA80)))=Milestones!$AB$131),UPPER(TEXT(EDATE($D80,Milestones!$AA$131),"dd mmm yy"))&amp;" "&amp;Milestones!$AB$131&amp;" "&amp;IF(AND(Milestones!$AB$131="FT",Milestones!$AA$131=FT_Y5,EDATE($D80,Milestones!$AA$131)&lt;PolicyEff),1,Milestones!$AC$131)&amp;";  ","")&amp;IF(AND(EDATE($D80,Milestones!$AA$132)&lt;=AsOfDate,EDATE($D80,Milestones!$AA$132)&gt;=SchemeStart,IF($X80=0,$AD80,IF(AND($Z80&lt;&gt;"",EDATE($D80,Milestones!$AA$132)&gt;=$Z80),$AC80,IF(AND($Y80&lt;&gt;"",EDATE($D80,Milestones!$AA$132)&gt;=$Y80),$AB80,$AA80)))=Milestones!$AB$132),UPPER(TEXT(EDATE($D80,Milestones!$AA$132),"dd mmm yy"))&amp;" "&amp;Milestones!$AB$132&amp;" "&amp;IF(AND(Milestones!$AB$132="FT",Milestones!$AA$132=FT_Y5,EDATE($D80,Milestones!$AA$132)&lt;PolicyEff),1,Milestones!$AC$132)&amp;";  ","")&amp;IF(AND(EDATE($D80,Milestones!$AA$133)&lt;=AsOfDate,EDATE($D80,Milestones!$AA$133)&gt;=SchemeStart,IF($X80=0,$AD80,IF(AND($Z80&lt;&gt;"",EDATE($D80,Milestones!$AA$133)&gt;=$Z80),$AC80,IF(AND($Y80&lt;&gt;"",EDATE($D80,Milestones!$AA$133)&gt;=$Y80),$AB80,$AA80)))=Milestones!$AB$133),UPPER(TEXT(EDATE($D80,Milestones!$AA$133),"dd mmm yy"))&amp;" "&amp;Milestones!$AB$133&amp;" "&amp;IF(AND(Milestones!$AB$133="FT",Milestones!$AA$133=FT_Y5,EDATE($D80,Milestones!$AA$133)&lt;PolicyEff),1,Milestones!$AC$133)&amp;";  ","")&amp;IF(AND(EDATE($D80,Milestones!$AA$134)&lt;=AsOfDate,EDATE($D80,Milestones!$AA$134)&gt;=SchemeStart,IF($X80=0,$AD80,IF(AND($Z80&lt;&gt;"",EDATE($D80,Milestones!$AA$134)&gt;=$Z80),$AC80,IF(AND($Y80&lt;&gt;"",EDATE($D80,Milestones!$AA$134)&gt;=$Y80),$AB80,$AA80)))=Milestones!$AB$134),UPPER(TEXT(EDATE($D80,Milestones!$AA$134),"dd mmm yy"))&amp;" "&amp;Milestones!$AB$134&amp;" "&amp;IF(AND(Milestones!$AB$134="FT",Milestones!$AA$134=FT_Y5,EDATE($D80,Milestones!$AA$134)&lt;PolicyEff),1,Milestones!$AC$134)&amp;";  ","")&amp;IF(AND(EDATE($D80,Milestones!$AA$135)&lt;=AsOfDate,EDATE($D80,Milestones!$AA$135)&gt;=SchemeStart,IF($X80=0,$AD80,IF(AND($Z80&lt;&gt;"",EDATE($D80,Milestones!$AA$135)&gt;=$Z80),$AC80,IF(AND($Y80&lt;&gt;"",EDATE($D80,Milestones!$AA$135)&gt;=$Y80),$AB80,$AA80)))=Milestones!$AB$135),UPPER(TEXT(EDATE($D80,Milestones!$AA$135),"dd mmm yy"))&amp;" "&amp;Milestones!$AB$135&amp;" "&amp;IF(AND(Milestones!$AB$135="FT",Milestones!$AA$135=FT_Y5,EDATE($D80,Milestones!$AA$135)&lt;PolicyEff),1,Milestones!$AC$135)&amp;";  ","")&amp;IF(AND(EDATE($D80,Milestones!$AA$136)&lt;=AsOfDate,EDATE($D80,Milestones!$AA$136)&gt;=SchemeStart,IF($X80=0,$AD80,IF(AND($Z80&lt;&gt;"",EDATE($D80,Milestones!$AA$136)&gt;=$Z80),$AC80,IF(AND($Y80&lt;&gt;"",EDATE($D80,Milestones!$AA$136)&gt;=$Y80),$AB80,$AA80)))=Milestones!$AB$136),UPPER(TEXT(EDATE($D80,Milestones!$AA$136),"dd mmm yy"))&amp;" "&amp;Milestones!$AB$136&amp;" "&amp;IF(AND(Milestones!$AB$136="FT",Milestones!$AA$136=FT_Y5,EDATE($D80,Milestones!$AA$136)&lt;PolicyEff),1,Milestones!$AC$136)&amp;";  ","")&amp;IF(AND(EDATE($D80,Milestones!$AA$137)&lt;=AsOfDate,EDATE($D80,Milestones!$AA$137)&gt;=SchemeStart,IF($X80=0,$AD80,IF(AND($Z80&lt;&gt;"",EDATE($D80,Milestones!$AA$137)&gt;=$Z80),$AC80,IF(AND($Y80&lt;&gt;"",EDATE($D80,Milestones!$AA$137)&gt;=$Y80),$AB80,$AA80)))=Milestones!$AB$137),UPPER(TEXT(EDATE($D80,Milestones!$AA$137),"dd mmm yy"))&amp;" "&amp;Milestones!$AB$137&amp;" "&amp;IF(AND(Milestones!$AB$137="FT",Milestones!$AA$137=FT_Y5,EDATE($D80,Milestones!$AA$137)&lt;PolicyEff),1,Milestones!$AC$137)&amp;";  ","")&amp;IF(AND(EDATE($D80,Milestones!$AA$138)&lt;=AsOfDate,EDATE($D80,Milestones!$AA$138)&gt;=SchemeStart,IF($X80=0,$AD80,IF(AND($Z80&lt;&gt;"",EDATE($D80,Milestones!$AA$138)&gt;=$Z80),$AC80,IF(AND($Y80&lt;&gt;"",EDATE($D80,Milestones!$AA$138)&gt;=$Y80),$AB80,$AA80)))=Milestones!$AB$138),UPPER(TEXT(EDATE($D80,Milestones!$AA$138),"dd mmm yy"))&amp;" "&amp;Milestones!$AB$138&amp;" "&amp;IF(AND(Milestones!$AB$138="FT",Milestones!$AA$138=FT_Y5,EDATE($D80,Milestones!$AA$138)&lt;PolicyEff),1,Milestones!$AC$138)&amp;";  ","")&amp;IF(AND(EDATE($D80,Milestones!$AA$139)&lt;=AsOfDate,EDATE($D80,Milestones!$AA$139)&gt;=SchemeStart,IF($X80=0,$AD80,IF(AND($Z80&lt;&gt;"",EDATE($D80,Milestones!$AA$139)&gt;=$Z80),$AC80,IF(AND($Y80&lt;&gt;"",EDATE($D80,Milestones!$AA$139)&gt;=$Y80),$AB80,$AA80)))=Milestones!$AB$139),UPPER(TEXT(EDATE($D80,Milestones!$AA$139),"dd mmm yy"))&amp;" "&amp;Milestones!$AB$139&amp;" "&amp;IF(AND(Milestones!$AB$139="FT",Milestones!$AA$139=FT_Y5,EDATE($D80,Milestones!$AA$139)&lt;PolicyEff),1,Milestones!$AC$139)&amp;";  ",""))</f>
        <v/>
      </c>
      <c r="S80" s="0" t="str">
        <f aca="false">IF(OR($A80="",$D80=""),"",IF(AND(EDATE($D80,Milestones!$AA$140)&lt;=AsOfDate,EDATE($D80,Milestones!$AA$140)&gt;=SchemeStart,IF($X80=0,$AD80,IF(AND($Z80&lt;&gt;"",EDATE($D80,Milestones!$AA$140)&gt;=$Z80),$AC80,IF(AND($Y80&lt;&gt;"",EDATE($D80,Milestones!$AA$140)&gt;=$Y80),$AB80,$AA80)))=Milestones!$AB$140),UPPER(TEXT(EDATE($D80,Milestones!$AA$140),"dd mmm yy"))&amp;" "&amp;Milestones!$AB$140&amp;" "&amp;IF(AND(Milestones!$AB$140="FT",Milestones!$AA$140=FT_Y5,EDATE($D80,Milestones!$AA$140)&lt;PolicyEff),1,Milestones!$AC$140)&amp;";  ","")&amp;IF(AND(EDATE($D80,Milestones!$AA$141)&lt;=AsOfDate,EDATE($D80,Milestones!$AA$141)&gt;=SchemeStart,IF($X80=0,$AD80,IF(AND($Z80&lt;&gt;"",EDATE($D80,Milestones!$AA$141)&gt;=$Z80),$AC80,IF(AND($Y80&lt;&gt;"",EDATE($D80,Milestones!$AA$141)&gt;=$Y80),$AB80,$AA80)))=Milestones!$AB$141),UPPER(TEXT(EDATE($D80,Milestones!$AA$141),"dd mmm yy"))&amp;" "&amp;Milestones!$AB$141&amp;" "&amp;IF(AND(Milestones!$AB$141="FT",Milestones!$AA$141=FT_Y5,EDATE($D80,Milestones!$AA$141)&lt;PolicyEff),1,Milestones!$AC$141)&amp;";  ","")&amp;IF(AND(EDATE($D80,Milestones!$AA$142)&lt;=AsOfDate,EDATE($D80,Milestones!$AA$142)&gt;=SchemeStart,IF($X80=0,$AD80,IF(AND($Z80&lt;&gt;"",EDATE($D80,Milestones!$AA$142)&gt;=$Z80),$AC80,IF(AND($Y80&lt;&gt;"",EDATE($D80,Milestones!$AA$142)&gt;=$Y80),$AB80,$AA80)))=Milestones!$AB$142),UPPER(TEXT(EDATE($D80,Milestones!$AA$142),"dd mmm yy"))&amp;" "&amp;Milestones!$AB$142&amp;" "&amp;IF(AND(Milestones!$AB$142="FT",Milestones!$AA$142=FT_Y5,EDATE($D80,Milestones!$AA$142)&lt;PolicyEff),1,Milestones!$AC$142)&amp;";  ","")&amp;IF(AND(EDATE($D80,Milestones!$AA$143)&lt;=AsOfDate,EDATE($D80,Milestones!$AA$143)&gt;=SchemeStart,IF($X80=0,$AD80,IF(AND($Z80&lt;&gt;"",EDATE($D80,Milestones!$AA$143)&gt;=$Z80),$AC80,IF(AND($Y80&lt;&gt;"",EDATE($D80,Milestones!$AA$143)&gt;=$Y80),$AB80,$AA80)))=Milestones!$AB$143),UPPER(TEXT(EDATE($D80,Milestones!$AA$143),"dd mmm yy"))&amp;" "&amp;Milestones!$AB$143&amp;" "&amp;IF(AND(Milestones!$AB$143="FT",Milestones!$AA$143=FT_Y5,EDATE($D80,Milestones!$AA$143)&lt;PolicyEff),1,Milestones!$AC$143)&amp;";  ","")&amp;IF(AND(EDATE($D80,Milestones!$AA$144)&lt;=AsOfDate,EDATE($D80,Milestones!$AA$144)&gt;=SchemeStart,IF($X80=0,$AD80,IF(AND($Z80&lt;&gt;"",EDATE($D80,Milestones!$AA$144)&gt;=$Z80),$AC80,IF(AND($Y80&lt;&gt;"",EDATE($D80,Milestones!$AA$144)&gt;=$Y80),$AB80,$AA80)))=Milestones!$AB$144),UPPER(TEXT(EDATE($D80,Milestones!$AA$144),"dd mmm yy"))&amp;" "&amp;Milestones!$AB$144&amp;" "&amp;IF(AND(Milestones!$AB$144="FT",Milestones!$AA$144=FT_Y5,EDATE($D80,Milestones!$AA$144)&lt;PolicyEff),1,Milestones!$AC$144)&amp;";  ","")&amp;IF(AND(EDATE($D80,Milestones!$AA$145)&lt;=AsOfDate,EDATE($D80,Milestones!$AA$145)&gt;=SchemeStart,IF($X80=0,$AD80,IF(AND($Z80&lt;&gt;"",EDATE($D80,Milestones!$AA$145)&gt;=$Z80),$AC80,IF(AND($Y80&lt;&gt;"",EDATE($D80,Milestones!$AA$145)&gt;=$Y80),$AB80,$AA80)))=Milestones!$AB$145),UPPER(TEXT(EDATE($D80,Milestones!$AA$145),"dd mmm yy"))&amp;" "&amp;Milestones!$AB$145&amp;" "&amp;IF(AND(Milestones!$AB$145="FT",Milestones!$AA$145=FT_Y5,EDATE($D80,Milestones!$AA$145)&lt;PolicyEff),1,Milestones!$AC$145)&amp;";  ","")&amp;IF(AND(EDATE($D80,Milestones!$AA$146)&lt;=AsOfDate,EDATE($D80,Milestones!$AA$146)&gt;=SchemeStart,IF($X80=0,$AD80,IF(AND($Z80&lt;&gt;"",EDATE($D80,Milestones!$AA$146)&gt;=$Z80),$AC80,IF(AND($Y80&lt;&gt;"",EDATE($D80,Milestones!$AA$146)&gt;=$Y80),$AB80,$AA80)))=Milestones!$AB$146),UPPER(TEXT(EDATE($D80,Milestones!$AA$146),"dd mmm yy"))&amp;" "&amp;Milestones!$AB$146&amp;" "&amp;IF(AND(Milestones!$AB$146="FT",Milestones!$AA$146=FT_Y5,EDATE($D80,Milestones!$AA$146)&lt;PolicyEff),1,Milestones!$AC$146)&amp;";  ","")&amp;IF(AND(EDATE($D80,Milestones!$AA$147)&lt;=AsOfDate,EDATE($D80,Milestones!$AA$147)&gt;=SchemeStart,IF($X80=0,$AD80,IF(AND($Z80&lt;&gt;"",EDATE($D80,Milestones!$AA$147)&gt;=$Z80),$AC80,IF(AND($Y80&lt;&gt;"",EDATE($D80,Milestones!$AA$147)&gt;=$Y80),$AB80,$AA80)))=Milestones!$AB$147),UPPER(TEXT(EDATE($D80,Milestones!$AA$147),"dd mmm yy"))&amp;" "&amp;Milestones!$AB$147&amp;" "&amp;IF(AND(Milestones!$AB$147="FT",Milestones!$AA$147=FT_Y5,EDATE($D80,Milestones!$AA$147)&lt;PolicyEff),1,Milestones!$AC$147)&amp;";  ","")&amp;IF(AND(EDATE($D80,Milestones!$AA$148)&lt;=AsOfDate,EDATE($D80,Milestones!$AA$148)&gt;=SchemeStart,IF($X80=0,$AD80,IF(AND($Z80&lt;&gt;"",EDATE($D80,Milestones!$AA$148)&gt;=$Z80),$AC80,IF(AND($Y80&lt;&gt;"",EDATE($D80,Milestones!$AA$148)&gt;=$Y80),$AB80,$AA80)))=Milestones!$AB$148),UPPER(TEXT(EDATE($D80,Milestones!$AA$148),"dd mmm yy"))&amp;" "&amp;Milestones!$AB$148&amp;" "&amp;IF(AND(Milestones!$AB$148="FT",Milestones!$AA$148=FT_Y5,EDATE($D80,Milestones!$AA$148)&lt;PolicyEff),1,Milestones!$AC$148)&amp;";  ","")&amp;IF(AND(EDATE($D80,Milestones!$AA$149)&lt;=AsOfDate,EDATE($D80,Milestones!$AA$149)&gt;=SchemeStart,IF($X80=0,$AD80,IF(AND($Z80&lt;&gt;"",EDATE($D80,Milestones!$AA$149)&gt;=$Z80),$AC80,IF(AND($Y80&lt;&gt;"",EDATE($D80,Milestones!$AA$149)&gt;=$Y80),$AB80,$AA80)))=Milestones!$AB$149),UPPER(TEXT(EDATE($D80,Milestones!$AA$149),"dd mmm yy"))&amp;" "&amp;Milestones!$AB$149&amp;" "&amp;IF(AND(Milestones!$AB$149="FT",Milestones!$AA$149=FT_Y5,EDATE($D80,Milestones!$AA$149)&lt;PolicyEff),1,Milestones!$AC$149)&amp;";  ","")&amp;IF(AND(EDATE($D80,Milestones!$AA$150)&lt;=AsOfDate,EDATE($D80,Milestones!$AA$150)&gt;=SchemeStart,IF($X80=0,$AD80,IF(AND($Z80&lt;&gt;"",EDATE($D80,Milestones!$AA$150)&gt;=$Z80),$AC80,IF(AND($Y80&lt;&gt;"",EDATE($D80,Milestones!$AA$150)&gt;=$Y80),$AB80,$AA80)))=Milestones!$AB$150),UPPER(TEXT(EDATE($D80,Milestones!$AA$150),"dd mmm yy"))&amp;" "&amp;Milestones!$AB$150&amp;" "&amp;IF(AND(Milestones!$AB$150="FT",Milestones!$AA$150=FT_Y5,EDATE($D80,Milestones!$AA$150)&lt;PolicyEff),1,Milestones!$AC$150)&amp;";  ","")&amp;IF(AND(EDATE($D80,Milestones!$AA$151)&lt;=AsOfDate,EDATE($D80,Milestones!$AA$151)&gt;=SchemeStart,IF($X80=0,$AD80,IF(AND($Z80&lt;&gt;"",EDATE($D80,Milestones!$AA$151)&gt;=$Z80),$AC80,IF(AND($Y80&lt;&gt;"",EDATE($D80,Milestones!$AA$151)&gt;=$Y80),$AB80,$AA80)))=Milestones!$AB$151),UPPER(TEXT(EDATE($D80,Milestones!$AA$151),"dd mmm yy"))&amp;" "&amp;Milestones!$AB$151&amp;" "&amp;IF(AND(Milestones!$AB$151="FT",Milestones!$AA$151=FT_Y5,EDATE($D80,Milestones!$AA$151)&lt;PolicyEff),1,Milestones!$AC$151)&amp;";  ",""))</f>
        <v/>
      </c>
      <c r="T80" s="0" t="str">
        <f aca="false">IF(OR($A80="",$D80=""),"",IF(AND(EDATE($D80,Milestones!$AA$152)&lt;=AsOfDate,EDATE($D80,Milestones!$AA$152)&gt;=SchemeStart,IF($X80=0,$AD80,IF(AND($Z80&lt;&gt;"",EDATE($D80,Milestones!$AA$152)&gt;=$Z80),$AC80,IF(AND($Y80&lt;&gt;"",EDATE($D80,Milestones!$AA$152)&gt;=$Y80),$AB80,$AA80)))=Milestones!$AB$152),UPPER(TEXT(EDATE($D80,Milestones!$AA$152),"dd mmm yy"))&amp;" "&amp;Milestones!$AB$152&amp;" "&amp;IF(AND(Milestones!$AB$152="FT",Milestones!$AA$152=FT_Y5,EDATE($D80,Milestones!$AA$152)&lt;PolicyEff),1,Milestones!$AC$152)&amp;";  ","")&amp;IF(AND(EDATE($D80,Milestones!$AA$153)&lt;=AsOfDate,EDATE($D80,Milestones!$AA$153)&gt;=SchemeStart,IF($X80=0,$AD80,IF(AND($Z80&lt;&gt;"",EDATE($D80,Milestones!$AA$153)&gt;=$Z80),$AC80,IF(AND($Y80&lt;&gt;"",EDATE($D80,Milestones!$AA$153)&gt;=$Y80),$AB80,$AA80)))=Milestones!$AB$153),UPPER(TEXT(EDATE($D80,Milestones!$AA$153),"dd mmm yy"))&amp;" "&amp;Milestones!$AB$153&amp;" "&amp;IF(AND(Milestones!$AB$153="FT",Milestones!$AA$153=FT_Y5,EDATE($D80,Milestones!$AA$153)&lt;PolicyEff),1,Milestones!$AC$153)&amp;";  ","")&amp;IF(AND(EDATE($D80,Milestones!$AA$154)&lt;=AsOfDate,EDATE($D80,Milestones!$AA$154)&gt;=SchemeStart,IF($X80=0,$AD80,IF(AND($Z80&lt;&gt;"",EDATE($D80,Milestones!$AA$154)&gt;=$Z80),$AC80,IF(AND($Y80&lt;&gt;"",EDATE($D80,Milestones!$AA$154)&gt;=$Y80),$AB80,$AA80)))=Milestones!$AB$154),UPPER(TEXT(EDATE($D80,Milestones!$AA$154),"dd mmm yy"))&amp;" "&amp;Milestones!$AB$154&amp;" "&amp;IF(AND(Milestones!$AB$154="FT",Milestones!$AA$154=FT_Y5,EDATE($D80,Milestones!$AA$154)&lt;PolicyEff),1,Milestones!$AC$154)&amp;";  ","")&amp;IF(AND(EDATE($D80,Milestones!$AA$155)&lt;=AsOfDate,EDATE($D80,Milestones!$AA$155)&gt;=SchemeStart,IF($X80=0,$AD80,IF(AND($Z80&lt;&gt;"",EDATE($D80,Milestones!$AA$155)&gt;=$Z80),$AC80,IF(AND($Y80&lt;&gt;"",EDATE($D80,Milestones!$AA$155)&gt;=$Y80),$AB80,$AA80)))=Milestones!$AB$155),UPPER(TEXT(EDATE($D80,Milestones!$AA$155),"dd mmm yy"))&amp;" "&amp;Milestones!$AB$155&amp;" "&amp;IF(AND(Milestones!$AB$155="FT",Milestones!$AA$155=FT_Y5,EDATE($D80,Milestones!$AA$155)&lt;PolicyEff),1,Milestones!$AC$155)&amp;";  ","")&amp;IF(AND(EDATE($D80,Milestones!$AA$156)&lt;=AsOfDate,EDATE($D80,Milestones!$AA$156)&gt;=SchemeStart,IF($X80=0,$AD80,IF(AND($Z80&lt;&gt;"",EDATE($D80,Milestones!$AA$156)&gt;=$Z80),$AC80,IF(AND($Y80&lt;&gt;"",EDATE($D80,Milestones!$AA$156)&gt;=$Y80),$AB80,$AA80)))=Milestones!$AB$156),UPPER(TEXT(EDATE($D80,Milestones!$AA$156),"dd mmm yy"))&amp;" "&amp;Milestones!$AB$156&amp;" "&amp;IF(AND(Milestones!$AB$156="FT",Milestones!$AA$156=FT_Y5,EDATE($D80,Milestones!$AA$156)&lt;PolicyEff),1,Milestones!$AC$156)&amp;";  ","")&amp;IF(AND(EDATE($D80,Milestones!$AA$157)&lt;=AsOfDate,EDATE($D80,Milestones!$AA$157)&gt;=SchemeStart,IF($X80=0,$AD80,IF(AND($Z80&lt;&gt;"",EDATE($D80,Milestones!$AA$157)&gt;=$Z80),$AC80,IF(AND($Y80&lt;&gt;"",EDATE($D80,Milestones!$AA$157)&gt;=$Y80),$AB80,$AA80)))=Milestones!$AB$157),UPPER(TEXT(EDATE($D80,Milestones!$AA$157),"dd mmm yy"))&amp;" "&amp;Milestones!$AB$157&amp;" "&amp;IF(AND(Milestones!$AB$157="FT",Milestones!$AA$157=FT_Y5,EDATE($D80,Milestones!$AA$157)&lt;PolicyEff),1,Milestones!$AC$157)&amp;";  ","")&amp;IF(AND(EDATE($D80,Milestones!$AA$158)&lt;=AsOfDate,EDATE($D80,Milestones!$AA$158)&gt;=SchemeStart,IF($X80=0,$AD80,IF(AND($Z80&lt;&gt;"",EDATE($D80,Milestones!$AA$158)&gt;=$Z80),$AC80,IF(AND($Y80&lt;&gt;"",EDATE($D80,Milestones!$AA$158)&gt;=$Y80),$AB80,$AA80)))=Milestones!$AB$158),UPPER(TEXT(EDATE($D80,Milestones!$AA$158),"dd mmm yy"))&amp;" "&amp;Milestones!$AB$158&amp;" "&amp;IF(AND(Milestones!$AB$158="FT",Milestones!$AA$158=FT_Y5,EDATE($D80,Milestones!$AA$158)&lt;PolicyEff),1,Milestones!$AC$158)&amp;";  ","")&amp;IF(AND(EDATE($D80,Milestones!$AA$159)&lt;=AsOfDate,EDATE($D80,Milestones!$AA$159)&gt;=SchemeStart,IF($X80=0,$AD80,IF(AND($Z80&lt;&gt;"",EDATE($D80,Milestones!$AA$159)&gt;=$Z80),$AC80,IF(AND($Y80&lt;&gt;"",EDATE($D80,Milestones!$AA$159)&gt;=$Y80),$AB80,$AA80)))=Milestones!$AB$159),UPPER(TEXT(EDATE($D80,Milestones!$AA$159),"dd mmm yy"))&amp;" "&amp;Milestones!$AB$159&amp;" "&amp;IF(AND(Milestones!$AB$159="FT",Milestones!$AA$159=FT_Y5,EDATE($D80,Milestones!$AA$159)&lt;PolicyEff),1,Milestones!$AC$159)&amp;";  ","")&amp;IF(AND(EDATE($D80,Milestones!$AA$160)&lt;=AsOfDate,EDATE($D80,Milestones!$AA$160)&gt;=SchemeStart,IF($X80=0,$AD80,IF(AND($Z80&lt;&gt;"",EDATE($D80,Milestones!$AA$160)&gt;=$Z80),$AC80,IF(AND($Y80&lt;&gt;"",EDATE($D80,Milestones!$AA$160)&gt;=$Y80),$AB80,$AA80)))=Milestones!$AB$160),UPPER(TEXT(EDATE($D80,Milestones!$AA$160),"dd mmm yy"))&amp;" "&amp;Milestones!$AB$160&amp;" "&amp;IF(AND(Milestones!$AB$160="FT",Milestones!$AA$160=FT_Y5,EDATE($D80,Milestones!$AA$160)&lt;PolicyEff),1,Milestones!$AC$160)&amp;";  ","")&amp;IF(AND(EDATE($D80,Milestones!$AA$161)&lt;=AsOfDate,EDATE($D80,Milestones!$AA$161)&gt;=SchemeStart,IF($X80=0,$AD80,IF(AND($Z80&lt;&gt;"",EDATE($D80,Milestones!$AA$161)&gt;=$Z80),$AC80,IF(AND($Y80&lt;&gt;"",EDATE($D80,Milestones!$AA$161)&gt;=$Y80),$AB80,$AA80)))=Milestones!$AB$161),UPPER(TEXT(EDATE($D80,Milestones!$AA$161),"dd mmm yy"))&amp;" "&amp;Milestones!$AB$161&amp;" "&amp;IF(AND(Milestones!$AB$161="FT",Milestones!$AA$161=FT_Y5,EDATE($D80,Milestones!$AA$161)&lt;PolicyEff),1,Milestones!$AC$161)&amp;";  ","")&amp;IF(AND(EDATE($D80,Milestones!$AA$162)&lt;=AsOfDate,EDATE($D80,Milestones!$AA$162)&gt;=SchemeStart,IF($X80=0,$AD80,IF(AND($Z80&lt;&gt;"",EDATE($D80,Milestones!$AA$162)&gt;=$Z80),$AC80,IF(AND($Y80&lt;&gt;"",EDATE($D80,Milestones!$AA$162)&gt;=$Y80),$AB80,$AA80)))=Milestones!$AB$162),UPPER(TEXT(EDATE($D80,Milestones!$AA$162),"dd mmm yy"))&amp;" "&amp;Milestones!$AB$162&amp;" "&amp;IF(AND(Milestones!$AB$162="FT",Milestones!$AA$162=FT_Y5,EDATE($D80,Milestones!$AA$162)&lt;PolicyEff),1,Milestones!$AC$162)&amp;";  ","")&amp;IF(AND(EDATE($D80,Milestones!$AA$163)&lt;=AsOfDate,EDATE($D80,Milestones!$AA$163)&gt;=SchemeStart,IF($X80=0,$AD80,IF(AND($Z80&lt;&gt;"",EDATE($D80,Milestones!$AA$163)&gt;=$Z80),$AC80,IF(AND($Y80&lt;&gt;"",EDATE($D80,Milestones!$AA$163)&gt;=$Y80),$AB80,$AA80)))=Milestones!$AB$163),UPPER(TEXT(EDATE($D80,Milestones!$AA$163),"dd mmm yy"))&amp;" "&amp;Milestones!$AB$163&amp;" "&amp;IF(AND(Milestones!$AB$163="FT",Milestones!$AA$163=FT_Y5,EDATE($D80,Milestones!$AA$163)&lt;PolicyEff),1,Milestones!$AC$163)&amp;";  ",""))</f>
        <v/>
      </c>
      <c r="U80" s="0" t="str">
        <f aca="false">IF(OR($A80="",$D80=""),"",IF(AND(EDATE($D80,Milestones!$AA$164)&lt;=AsOfDate,EDATE($D80,Milestones!$AA$164)&gt;=SchemeStart,IF($X80=0,$AD80,IF(AND($Z80&lt;&gt;"",EDATE($D80,Milestones!$AA$164)&gt;=$Z80),$AC80,IF(AND($Y80&lt;&gt;"",EDATE($D80,Milestones!$AA$164)&gt;=$Y80),$AB80,$AA80)))=Milestones!$AB$164),UPPER(TEXT(EDATE($D80,Milestones!$AA$164),"dd mmm yy"))&amp;" "&amp;Milestones!$AB$164&amp;" "&amp;IF(AND(Milestones!$AB$164="FT",Milestones!$AA$164=FT_Y5,EDATE($D80,Milestones!$AA$164)&lt;PolicyEff),1,Milestones!$AC$164)&amp;";  ","")&amp;IF(AND(EDATE($D80,Milestones!$AA$165)&lt;=AsOfDate,EDATE($D80,Milestones!$AA$165)&gt;=SchemeStart,IF($X80=0,$AD80,IF(AND($Z80&lt;&gt;"",EDATE($D80,Milestones!$AA$165)&gt;=$Z80),$AC80,IF(AND($Y80&lt;&gt;"",EDATE($D80,Milestones!$AA$165)&gt;=$Y80),$AB80,$AA80)))=Milestones!$AB$165),UPPER(TEXT(EDATE($D80,Milestones!$AA$165),"dd mmm yy"))&amp;" "&amp;Milestones!$AB$165&amp;" "&amp;IF(AND(Milestones!$AB$165="FT",Milestones!$AA$165=FT_Y5,EDATE($D80,Milestones!$AA$165)&lt;PolicyEff),1,Milestones!$AC$165)&amp;";  ","")&amp;IF(AND(EDATE($D80,Milestones!$AA$166)&lt;=AsOfDate,EDATE($D80,Milestones!$AA$166)&gt;=SchemeStart,IF($X80=0,$AD80,IF(AND($Z80&lt;&gt;"",EDATE($D80,Milestones!$AA$166)&gt;=$Z80),$AC80,IF(AND($Y80&lt;&gt;"",EDATE($D80,Milestones!$AA$166)&gt;=$Y80),$AB80,$AA80)))=Milestones!$AB$166),UPPER(TEXT(EDATE($D80,Milestones!$AA$166),"dd mmm yy"))&amp;" "&amp;Milestones!$AB$166&amp;" "&amp;IF(AND(Milestones!$AB$166="FT",Milestones!$AA$166=FT_Y5,EDATE($D80,Milestones!$AA$166)&lt;PolicyEff),1,Milestones!$AC$166)&amp;";  ","")&amp;IF(AND(EDATE($D80,Milestones!$AA$167)&lt;=AsOfDate,EDATE($D80,Milestones!$AA$167)&gt;=SchemeStart,IF($X80=0,$AD80,IF(AND($Z80&lt;&gt;"",EDATE($D80,Milestones!$AA$167)&gt;=$Z80),$AC80,IF(AND($Y80&lt;&gt;"",EDATE($D80,Milestones!$AA$167)&gt;=$Y80),$AB80,$AA80)))=Milestones!$AB$167),UPPER(TEXT(EDATE($D80,Milestones!$AA$167),"dd mmm yy"))&amp;" "&amp;Milestones!$AB$167&amp;" "&amp;IF(AND(Milestones!$AB$167="FT",Milestones!$AA$167=FT_Y5,EDATE($D80,Milestones!$AA$167)&lt;PolicyEff),1,Milestones!$AC$167)&amp;";  ","")&amp;IF(AND(EDATE($D80,Milestones!$AA$168)&lt;=AsOfDate,EDATE($D80,Milestones!$AA$168)&gt;=SchemeStart,IF($X80=0,$AD80,IF(AND($Z80&lt;&gt;"",EDATE($D80,Milestones!$AA$168)&gt;=$Z80),$AC80,IF(AND($Y80&lt;&gt;"",EDATE($D80,Milestones!$AA$168)&gt;=$Y80),$AB80,$AA80)))=Milestones!$AB$168),UPPER(TEXT(EDATE($D80,Milestones!$AA$168),"dd mmm yy"))&amp;" "&amp;Milestones!$AB$168&amp;" "&amp;IF(AND(Milestones!$AB$168="FT",Milestones!$AA$168=FT_Y5,EDATE($D80,Milestones!$AA$168)&lt;PolicyEff),1,Milestones!$AC$168)&amp;";  ","")&amp;IF(AND(EDATE($D80,Milestones!$AA$169)&lt;=AsOfDate,EDATE($D80,Milestones!$AA$169)&gt;=SchemeStart,IF($X80=0,$AD80,IF(AND($Z80&lt;&gt;"",EDATE($D80,Milestones!$AA$169)&gt;=$Z80),$AC80,IF(AND($Y80&lt;&gt;"",EDATE($D80,Milestones!$AA$169)&gt;=$Y80),$AB80,$AA80)))=Milestones!$AB$169),UPPER(TEXT(EDATE($D80,Milestones!$AA$169),"dd mmm yy"))&amp;" "&amp;Milestones!$AB$169&amp;" "&amp;IF(AND(Milestones!$AB$169="FT",Milestones!$AA$169=FT_Y5,EDATE($D80,Milestones!$AA$169)&lt;PolicyEff),1,Milestones!$AC$169)&amp;";  ","")&amp;IF(AND(EDATE($D80,Milestones!$AA$170)&lt;=AsOfDate,EDATE($D80,Milestones!$AA$170)&gt;=SchemeStart,IF($X80=0,$AD80,IF(AND($Z80&lt;&gt;"",EDATE($D80,Milestones!$AA$170)&gt;=$Z80),$AC80,IF(AND($Y80&lt;&gt;"",EDATE($D80,Milestones!$AA$170)&gt;=$Y80),$AB80,$AA80)))=Milestones!$AB$170),UPPER(TEXT(EDATE($D80,Milestones!$AA$170),"dd mmm yy"))&amp;" "&amp;Milestones!$AB$170&amp;" "&amp;IF(AND(Milestones!$AB$170="FT",Milestones!$AA$170=FT_Y5,EDATE($D80,Milestones!$AA$170)&lt;PolicyEff),1,Milestones!$AC$170)&amp;";  ","")&amp;IF(AND(EDATE($D80,Milestones!$AA$171)&lt;=AsOfDate,EDATE($D80,Milestones!$AA$171)&gt;=SchemeStart,IF($X80=0,$AD80,IF(AND($Z80&lt;&gt;"",EDATE($D80,Milestones!$AA$171)&gt;=$Z80),$AC80,IF(AND($Y80&lt;&gt;"",EDATE($D80,Milestones!$AA$171)&gt;=$Y80),$AB80,$AA80)))=Milestones!$AB$171),UPPER(TEXT(EDATE($D80,Milestones!$AA$171),"dd mmm yy"))&amp;" "&amp;Milestones!$AB$171&amp;" "&amp;IF(AND(Milestones!$AB$171="FT",Milestones!$AA$171=FT_Y5,EDATE($D80,Milestones!$AA$171)&lt;PolicyEff),1,Milestones!$AC$171)&amp;";  ","")&amp;IF(AND(EDATE($D80,Milestones!$AA$172)&lt;=AsOfDate,EDATE($D80,Milestones!$AA$172)&gt;=SchemeStart,IF($X80=0,$AD80,IF(AND($Z80&lt;&gt;"",EDATE($D80,Milestones!$AA$172)&gt;=$Z80),$AC80,IF(AND($Y80&lt;&gt;"",EDATE($D80,Milestones!$AA$172)&gt;=$Y80),$AB80,$AA80)))=Milestones!$AB$172),UPPER(TEXT(EDATE($D80,Milestones!$AA$172),"dd mmm yy"))&amp;" "&amp;Milestones!$AB$172&amp;" "&amp;IF(AND(Milestones!$AB$172="FT",Milestones!$AA$172=FT_Y5,EDATE($D80,Milestones!$AA$172)&lt;PolicyEff),1,Milestones!$AC$172)&amp;";  ","")&amp;IF(AND(EDATE($D80,Milestones!$AA$173)&lt;=AsOfDate,EDATE($D80,Milestones!$AA$173)&gt;=SchemeStart,IF($X80=0,$AD80,IF(AND($Z80&lt;&gt;"",EDATE($D80,Milestones!$AA$173)&gt;=$Z80),$AC80,IF(AND($Y80&lt;&gt;"",EDATE($D80,Milestones!$AA$173)&gt;=$Y80),$AB80,$AA80)))=Milestones!$AB$173),UPPER(TEXT(EDATE($D80,Milestones!$AA$173),"dd mmm yy"))&amp;" "&amp;Milestones!$AB$173&amp;" "&amp;IF(AND(Milestones!$AB$173="FT",Milestones!$AA$173=FT_Y5,EDATE($D80,Milestones!$AA$173)&lt;PolicyEff),1,Milestones!$AC$173)&amp;";  ","")&amp;IF(AND(EDATE($D80,Milestones!$AA$174)&lt;=AsOfDate,EDATE($D80,Milestones!$AA$174)&gt;=SchemeStart,IF($X80=0,$AD80,IF(AND($Z80&lt;&gt;"",EDATE($D80,Milestones!$AA$174)&gt;=$Z80),$AC80,IF(AND($Y80&lt;&gt;"",EDATE($D80,Milestones!$AA$174)&gt;=$Y80),$AB80,$AA80)))=Milestones!$AB$174),UPPER(TEXT(EDATE($D80,Milestones!$AA$174),"dd mmm yy"))&amp;" "&amp;Milestones!$AB$174&amp;" "&amp;IF(AND(Milestones!$AB$174="FT",Milestones!$AA$174=FT_Y5,EDATE($D80,Milestones!$AA$174)&lt;PolicyEff),1,Milestones!$AC$174)&amp;";  ","")&amp;IF(AND(EDATE($D80,Milestones!$AA$175)&lt;=AsOfDate,EDATE($D80,Milestones!$AA$175)&gt;=SchemeStart,IF($X80=0,$AD80,IF(AND($Z80&lt;&gt;"",EDATE($D80,Milestones!$AA$175)&gt;=$Z80),$AC80,IF(AND($Y80&lt;&gt;"",EDATE($D80,Milestones!$AA$175)&gt;=$Y80),$AB80,$AA80)))=Milestones!$AB$175),UPPER(TEXT(EDATE($D80,Milestones!$AA$175),"dd mmm yy"))&amp;" "&amp;Milestones!$AB$175&amp;" "&amp;IF(AND(Milestones!$AB$175="FT",Milestones!$AA$175=FT_Y5,EDATE($D80,Milestones!$AA$175)&lt;PolicyEff),1,Milestones!$AC$175)&amp;";  ",""))</f>
        <v/>
      </c>
      <c r="V80" s="0" t="str">
        <f aca="false">IF(OR($A80="",$D80=""),"",IF(AND(EDATE($D80,Milestones!$AA$176)&lt;=AsOfDate,EDATE($D80,Milestones!$AA$176)&gt;=SchemeStart,IF($X80=0,$AD80,IF(AND($Z80&lt;&gt;"",EDATE($D80,Milestones!$AA$176)&gt;=$Z80),$AC80,IF(AND($Y80&lt;&gt;"",EDATE($D80,Milestones!$AA$176)&gt;=$Y80),$AB80,$AA80)))=Milestones!$AB$176),UPPER(TEXT(EDATE($D80,Milestones!$AA$176),"dd mmm yy"))&amp;" "&amp;Milestones!$AB$176&amp;" "&amp;IF(AND(Milestones!$AB$176="FT",Milestones!$AA$176=FT_Y5,EDATE($D80,Milestones!$AA$176)&lt;PolicyEff),1,Milestones!$AC$176)&amp;";  ","")&amp;IF(AND(EDATE($D80,Milestones!$AA$177)&lt;=AsOfDate,EDATE($D80,Milestones!$AA$177)&gt;=SchemeStart,IF($X80=0,$AD80,IF(AND($Z80&lt;&gt;"",EDATE($D80,Milestones!$AA$177)&gt;=$Z80),$AC80,IF(AND($Y80&lt;&gt;"",EDATE($D80,Milestones!$AA$177)&gt;=$Y80),$AB80,$AA80)))=Milestones!$AB$177),UPPER(TEXT(EDATE($D80,Milestones!$AA$177),"dd mmm yy"))&amp;" "&amp;Milestones!$AB$177&amp;" "&amp;IF(AND(Milestones!$AB$177="FT",Milestones!$AA$177=FT_Y5,EDATE($D80,Milestones!$AA$177)&lt;PolicyEff),1,Milestones!$AC$177)&amp;";  ","")&amp;IF(AND(EDATE($D80,Milestones!$AA$178)&lt;=AsOfDate,EDATE($D80,Milestones!$AA$178)&gt;=SchemeStart,IF($X80=0,$AD80,IF(AND($Z80&lt;&gt;"",EDATE($D80,Milestones!$AA$178)&gt;=$Z80),$AC80,IF(AND($Y80&lt;&gt;"",EDATE($D80,Milestones!$AA$178)&gt;=$Y80),$AB80,$AA80)))=Milestones!$AB$178),UPPER(TEXT(EDATE($D80,Milestones!$AA$178),"dd mmm yy"))&amp;" "&amp;Milestones!$AB$178&amp;" "&amp;IF(AND(Milestones!$AB$178="FT",Milestones!$AA$178=FT_Y5,EDATE($D80,Milestones!$AA$178)&lt;PolicyEff),1,Milestones!$AC$178)&amp;";  ","")&amp;IF(AND(EDATE($D80,Milestones!$AA$179)&lt;=AsOfDate,EDATE($D80,Milestones!$AA$179)&gt;=SchemeStart,IF($X80=0,$AD80,IF(AND($Z80&lt;&gt;"",EDATE($D80,Milestones!$AA$179)&gt;=$Z80),$AC80,IF(AND($Y80&lt;&gt;"",EDATE($D80,Milestones!$AA$179)&gt;=$Y80),$AB80,$AA80)))=Milestones!$AB$179),UPPER(TEXT(EDATE($D80,Milestones!$AA$179),"dd mmm yy"))&amp;" "&amp;Milestones!$AB$179&amp;" "&amp;IF(AND(Milestones!$AB$179="FT",Milestones!$AA$179=FT_Y5,EDATE($D80,Milestones!$AA$179)&lt;PolicyEff),1,Milestones!$AC$179)&amp;";  ","")&amp;IF(AND(EDATE($D80,Milestones!$AA$180)&lt;=AsOfDate,EDATE($D80,Milestones!$AA$180)&gt;=SchemeStart,IF($X80=0,$AD80,IF(AND($Z80&lt;&gt;"",EDATE($D80,Milestones!$AA$180)&gt;=$Z80),$AC80,IF(AND($Y80&lt;&gt;"",EDATE($D80,Milestones!$AA$180)&gt;=$Y80),$AB80,$AA80)))=Milestones!$AB$180),UPPER(TEXT(EDATE($D80,Milestones!$AA$180),"dd mmm yy"))&amp;" "&amp;Milestones!$AB$180&amp;" "&amp;IF(AND(Milestones!$AB$180="FT",Milestones!$AA$180=FT_Y5,EDATE($D80,Milestones!$AA$180)&lt;PolicyEff),1,Milestones!$AC$180)&amp;";  ","")&amp;IF(AND(EDATE($D80,Milestones!$AA$181)&lt;=AsOfDate,EDATE($D80,Milestones!$AA$181)&gt;=SchemeStart,IF($X80=0,$AD80,IF(AND($Z80&lt;&gt;"",EDATE($D80,Milestones!$AA$181)&gt;=$Z80),$AC80,IF(AND($Y80&lt;&gt;"",EDATE($D80,Milestones!$AA$181)&gt;=$Y80),$AB80,$AA80)))=Milestones!$AB$181),UPPER(TEXT(EDATE($D80,Milestones!$AA$181),"dd mmm yy"))&amp;" "&amp;Milestones!$AB$181&amp;" "&amp;IF(AND(Milestones!$AB$181="FT",Milestones!$AA$181=FT_Y5,EDATE($D80,Milestones!$AA$181)&lt;PolicyEff),1,Milestones!$AC$181)&amp;";  ","")&amp;IF(AND(EDATE($D80,Milestones!$AA$182)&lt;=AsOfDate,EDATE($D80,Milestones!$AA$182)&gt;=SchemeStart,IF($X80=0,$AD80,IF(AND($Z80&lt;&gt;"",EDATE($D80,Milestones!$AA$182)&gt;=$Z80),$AC80,IF(AND($Y80&lt;&gt;"",EDATE($D80,Milestones!$AA$182)&gt;=$Y80),$AB80,$AA80)))=Milestones!$AB$182),UPPER(TEXT(EDATE($D80,Milestones!$AA$182),"dd mmm yy"))&amp;" "&amp;Milestones!$AB$182&amp;" "&amp;IF(AND(Milestones!$AB$182="FT",Milestones!$AA$182=FT_Y5,EDATE($D80,Milestones!$AA$182)&lt;PolicyEff),1,Milestones!$AC$182)&amp;";  ","")&amp;IF(AND(EDATE($D80,Milestones!$AA$183)&lt;=AsOfDate,EDATE($D80,Milestones!$AA$183)&gt;=SchemeStart,IF($X80=0,$AD80,IF(AND($Z80&lt;&gt;"",EDATE($D80,Milestones!$AA$183)&gt;=$Z80),$AC80,IF(AND($Y80&lt;&gt;"",EDATE($D80,Milestones!$AA$183)&gt;=$Y80),$AB80,$AA80)))=Milestones!$AB$183),UPPER(TEXT(EDATE($D80,Milestones!$AA$183),"dd mmm yy"))&amp;" "&amp;Milestones!$AB$183&amp;" "&amp;IF(AND(Milestones!$AB$183="FT",Milestones!$AA$183=FT_Y5,EDATE($D80,Milestones!$AA$183)&lt;PolicyEff),1,Milestones!$AC$183)&amp;";  ","")&amp;IF(AND(EDATE($D80,Milestones!$AA$184)&lt;=AsOfDate,EDATE($D80,Milestones!$AA$184)&gt;=SchemeStart,IF($X80=0,$AD80,IF(AND($Z80&lt;&gt;"",EDATE($D80,Milestones!$AA$184)&gt;=$Z80),$AC80,IF(AND($Y80&lt;&gt;"",EDATE($D80,Milestones!$AA$184)&gt;=$Y80),$AB80,$AA80)))=Milestones!$AB$184),UPPER(TEXT(EDATE($D80,Milestones!$AA$184),"dd mmm yy"))&amp;" "&amp;Milestones!$AB$184&amp;" "&amp;IF(AND(Milestones!$AB$184="FT",Milestones!$AA$184=FT_Y5,EDATE($D80,Milestones!$AA$184)&lt;PolicyEff),1,Milestones!$AC$184)&amp;";  ","")&amp;IF(AND(EDATE($D80,Milestones!$AA$185)&lt;=AsOfDate,EDATE($D80,Milestones!$AA$185)&gt;=SchemeStart,IF($X80=0,$AD80,IF(AND($Z80&lt;&gt;"",EDATE($D80,Milestones!$AA$185)&gt;=$Z80),$AC80,IF(AND($Y80&lt;&gt;"",EDATE($D80,Milestones!$AA$185)&gt;=$Y80),$AB80,$AA80)))=Milestones!$AB$185),UPPER(TEXT(EDATE($D80,Milestones!$AA$185),"dd mmm yy"))&amp;" "&amp;Milestones!$AB$185&amp;" "&amp;IF(AND(Milestones!$AB$185="FT",Milestones!$AA$185=FT_Y5,EDATE($D80,Milestones!$AA$185)&lt;PolicyEff),1,Milestones!$AC$185)&amp;";  ","")&amp;IF(AND(EDATE($D80,Milestones!$AA$186)&lt;=AsOfDate,EDATE($D80,Milestones!$AA$186)&gt;=SchemeStart,IF($X80=0,$AD80,IF(AND($Z80&lt;&gt;"",EDATE($D80,Milestones!$AA$186)&gt;=$Z80),$AC80,IF(AND($Y80&lt;&gt;"",EDATE($D80,Milestones!$AA$186)&gt;=$Y80),$AB80,$AA80)))=Milestones!$AB$186),UPPER(TEXT(EDATE($D80,Milestones!$AA$186),"dd mmm yy"))&amp;" "&amp;Milestones!$AB$186&amp;" "&amp;IF(AND(Milestones!$AB$186="FT",Milestones!$AA$186=FT_Y5,EDATE($D80,Milestones!$AA$186)&lt;PolicyEff),1,Milestones!$AC$186)&amp;";  ","")&amp;IF(AND(EDATE($D80,Milestones!$AA$187)&lt;=AsOfDate,EDATE($D80,Milestones!$AA$187)&gt;=SchemeStart,IF($X80=0,$AD80,IF(AND($Z80&lt;&gt;"",EDATE($D80,Milestones!$AA$187)&gt;=$Z80),$AC80,IF(AND($Y80&lt;&gt;"",EDATE($D80,Milestones!$AA$187)&gt;=$Y80),$AB80,$AA80)))=Milestones!$AB$187),UPPER(TEXT(EDATE($D80,Milestones!$AA$187),"dd mmm yy"))&amp;" "&amp;Milestones!$AB$187&amp;" "&amp;IF(AND(Milestones!$AB$187="FT",Milestones!$AA$187=FT_Y5,EDATE($D80,Milestones!$AA$187)&lt;PolicyEff),1,Milestones!$AC$187)&amp;";  ",""))</f>
        <v/>
      </c>
      <c r="W80" s="0" t="str">
        <f aca="false">IF(OR($A80="",$D80=""),"",IF(AND(EDATE($D80,Milestones!$AA$188)&lt;=AsOfDate,EDATE($D80,Milestones!$AA$188)&gt;=SchemeStart,IF($X80=0,$AD80,IF(AND($Z80&lt;&gt;"",EDATE($D80,Milestones!$AA$188)&gt;=$Z80),$AC80,IF(AND($Y80&lt;&gt;"",EDATE($D80,Milestones!$AA$188)&gt;=$Y80),$AB80,$AA80)))=Milestones!$AB$188),UPPER(TEXT(EDATE($D80,Milestones!$AA$188),"dd mmm yy"))&amp;" "&amp;Milestones!$AB$188&amp;" "&amp;IF(AND(Milestones!$AB$188="FT",Milestones!$AA$188=FT_Y5,EDATE($D80,Milestones!$AA$188)&lt;PolicyEff),1,Milestones!$AC$188)&amp;";  ","")&amp;IF(AND(EDATE($D80,Milestones!$AA$189)&lt;=AsOfDate,EDATE($D80,Milestones!$AA$189)&gt;=SchemeStart,IF($X80=0,$AD80,IF(AND($Z80&lt;&gt;"",EDATE($D80,Milestones!$AA$189)&gt;=$Z80),$AC80,IF(AND($Y80&lt;&gt;"",EDATE($D80,Milestones!$AA$189)&gt;=$Y80),$AB80,$AA80)))=Milestones!$AB$189),UPPER(TEXT(EDATE($D80,Milestones!$AA$189),"dd mmm yy"))&amp;" "&amp;Milestones!$AB$189&amp;" "&amp;IF(AND(Milestones!$AB$189="FT",Milestones!$AA$189=FT_Y5,EDATE($D80,Milestones!$AA$189)&lt;PolicyEff),1,Milestones!$AC$189)&amp;";  ","")&amp;IF(AND(EDATE($D80,Milestones!$AA$190)&lt;=AsOfDate,EDATE($D80,Milestones!$AA$190)&gt;=SchemeStart,IF($X80=0,$AD80,IF(AND($Z80&lt;&gt;"",EDATE($D80,Milestones!$AA$190)&gt;=$Z80),$AC80,IF(AND($Y80&lt;&gt;"",EDATE($D80,Milestones!$AA$190)&gt;=$Y80),$AB80,$AA80)))=Milestones!$AB$190),UPPER(TEXT(EDATE($D80,Milestones!$AA$190),"dd mmm yy"))&amp;" "&amp;Milestones!$AB$190&amp;" "&amp;IF(AND(Milestones!$AB$190="FT",Milestones!$AA$190=FT_Y5,EDATE($D80,Milestones!$AA$190)&lt;PolicyEff),1,Milestones!$AC$190)&amp;";  ","")&amp;IF(AND(EDATE($D80,Milestones!$AA$191)&lt;=AsOfDate,EDATE($D80,Milestones!$AA$191)&gt;=SchemeStart,IF($X80=0,$AD80,IF(AND($Z80&lt;&gt;"",EDATE($D80,Milestones!$AA$191)&gt;=$Z80),$AC80,IF(AND($Y80&lt;&gt;"",EDATE($D80,Milestones!$AA$191)&gt;=$Y80),$AB80,$AA80)))=Milestones!$AB$191),UPPER(TEXT(EDATE($D80,Milestones!$AA$191),"dd mmm yy"))&amp;" "&amp;Milestones!$AB$191&amp;" "&amp;IF(AND(Milestones!$AB$191="FT",Milestones!$AA$191=FT_Y5,EDATE($D80,Milestones!$AA$191)&lt;PolicyEff),1,Milestones!$AC$191)&amp;";  ","")&amp;IF(AND(EDATE($D80,Milestones!$AA$192)&lt;=AsOfDate,EDATE($D80,Milestones!$AA$192)&gt;=SchemeStart,IF($X80=0,$AD80,IF(AND($Z80&lt;&gt;"",EDATE($D80,Milestones!$AA$192)&gt;=$Z80),$AC80,IF(AND($Y80&lt;&gt;"",EDATE($D80,Milestones!$AA$192)&gt;=$Y80),$AB80,$AA80)))=Milestones!$AB$192),UPPER(TEXT(EDATE($D80,Milestones!$AA$192),"dd mmm yy"))&amp;" "&amp;Milestones!$AB$192&amp;" "&amp;IF(AND(Milestones!$AB$192="FT",Milestones!$AA$192=FT_Y5,EDATE($D80,Milestones!$AA$192)&lt;PolicyEff),1,Milestones!$AC$192)&amp;";  ","")&amp;IF(AND(EDATE($D80,Milestones!$AA$193)&lt;=AsOfDate,EDATE($D80,Milestones!$AA$193)&gt;=SchemeStart,IF($X80=0,$AD80,IF(AND($Z80&lt;&gt;"",EDATE($D80,Milestones!$AA$193)&gt;=$Z80),$AC80,IF(AND($Y80&lt;&gt;"",EDATE($D80,Milestones!$AA$193)&gt;=$Y80),$AB80,$AA80)))=Milestones!$AB$193),UPPER(TEXT(EDATE($D80,Milestones!$AA$193),"dd mmm yy"))&amp;" "&amp;Milestones!$AB$193&amp;" "&amp;IF(AND(Milestones!$AB$193="FT",Milestones!$AA$193=FT_Y5,EDATE($D80,Milestones!$AA$193)&lt;PolicyEff),1,Milestones!$AC$193)&amp;";  ","")&amp;IF(AND(EDATE($D80,Milestones!$AA$194)&lt;=AsOfDate,EDATE($D80,Milestones!$AA$194)&gt;=SchemeStart,IF($X80=0,$AD80,IF(AND($Z80&lt;&gt;"",EDATE($D80,Milestones!$AA$194)&gt;=$Z80),$AC80,IF(AND($Y80&lt;&gt;"",EDATE($D80,Milestones!$AA$194)&gt;=$Y80),$AB80,$AA80)))=Milestones!$AB$194),UPPER(TEXT(EDATE($D80,Milestones!$AA$194),"dd mmm yy"))&amp;" "&amp;Milestones!$AB$194&amp;" "&amp;IF(AND(Milestones!$AB$194="FT",Milestones!$AA$194=FT_Y5,EDATE($D80,Milestones!$AA$194)&lt;PolicyEff),1,Milestones!$AC$194)&amp;";  ","")&amp;IF(AND(EDATE($D80,Milestones!$AA$195)&lt;=AsOfDate,EDATE($D80,Milestones!$AA$195)&gt;=SchemeStart,IF($X80=0,$AD80,IF(AND($Z80&lt;&gt;"",EDATE($D80,Milestones!$AA$195)&gt;=$Z80),$AC80,IF(AND($Y80&lt;&gt;"",EDATE($D80,Milestones!$AA$195)&gt;=$Y80),$AB80,$AA80)))=Milestones!$AB$195),UPPER(TEXT(EDATE($D80,Milestones!$AA$195),"dd mmm yy"))&amp;" "&amp;Milestones!$AB$195&amp;" "&amp;IF(AND(Milestones!$AB$195="FT",Milestones!$AA$195=FT_Y5,EDATE($D80,Milestones!$AA$195)&lt;PolicyEff),1,Milestones!$AC$195)&amp;";  ","")&amp;IF(AND(EDATE($D80,Milestones!$AA$196)&lt;=AsOfDate,EDATE($D80,Milestones!$AA$196)&gt;=SchemeStart,IF($X80=0,$AD80,IF(AND($Z80&lt;&gt;"",EDATE($D80,Milestones!$AA$196)&gt;=$Z80),$AC80,IF(AND($Y80&lt;&gt;"",EDATE($D80,Milestones!$AA$196)&gt;=$Y80),$AB80,$AA80)))=Milestones!$AB$196),UPPER(TEXT(EDATE($D80,Milestones!$AA$196),"dd mmm yy"))&amp;" "&amp;Milestones!$AB$196&amp;" "&amp;IF(AND(Milestones!$AB$196="FT",Milestones!$AA$196=FT_Y5,EDATE($D80,Milestones!$AA$196)&lt;PolicyEff),1,Milestones!$AC$196)&amp;";  ","")&amp;IF(AND(EDATE($D80,Milestones!$AA$197)&lt;=AsOfDate,EDATE($D80,Milestones!$AA$197)&gt;=SchemeStart,IF($X80=0,$AD80,IF(AND($Z80&lt;&gt;"",EDATE($D80,Milestones!$AA$197)&gt;=$Z80),$AC80,IF(AND($Y80&lt;&gt;"",EDATE($D80,Milestones!$AA$197)&gt;=$Y80),$AB80,$AA80)))=Milestones!$AB$197),UPPER(TEXT(EDATE($D80,Milestones!$AA$197),"dd mmm yy"))&amp;" "&amp;Milestones!$AB$197&amp;" "&amp;IF(AND(Milestones!$AB$197="FT",Milestones!$AA$197=FT_Y5,EDATE($D80,Milestones!$AA$197)&lt;PolicyEff),1,Milestones!$AC$197)&amp;";  ","")&amp;IF(AND(EDATE($D80,Milestones!$AA$198)&lt;=AsOfDate,EDATE($D80,Milestones!$AA$198)&gt;=SchemeStart,IF($X80=0,$AD80,IF(AND($Z80&lt;&gt;"",EDATE($D80,Milestones!$AA$198)&gt;=$Z80),$AC80,IF(AND($Y80&lt;&gt;"",EDATE($D80,Milestones!$AA$198)&gt;=$Y80),$AB80,$AA80)))=Milestones!$AB$198),UPPER(TEXT(EDATE($D80,Milestones!$AA$198),"dd mmm yy"))&amp;" "&amp;Milestones!$AB$198&amp;" "&amp;IF(AND(Milestones!$AB$198="FT",Milestones!$AA$198=FT_Y5,EDATE($D80,Milestones!$AA$198)&lt;PolicyEff),1,Milestones!$AC$198)&amp;";  ","")&amp;IF(AND(EDATE($D80,Milestones!$AA$199)&lt;=AsOfDate,EDATE($D80,Milestones!$AA$199)&gt;=SchemeStart,IF($X80=0,$AD80,IF(AND($Z80&lt;&gt;"",EDATE($D80,Milestones!$AA$199)&gt;=$Z80),$AC80,IF(AND($Y80&lt;&gt;"",EDATE($D80,Milestones!$AA$199)&gt;=$Y80),$AB80,$AA80)))=Milestones!$AB$199),UPPER(TEXT(EDATE($D80,Milestones!$AA$199),"dd mmm yy"))&amp;" "&amp;Milestones!$AB$199&amp;" "&amp;IF(AND(Milestones!$AB$199="FT",Milestones!$AA$199=FT_Y5,EDATE($D80,Milestones!$AA$199)&lt;PolicyEff),1,Milestones!$AC$199)&amp;";  ",""))</f>
        <v/>
      </c>
      <c r="X80" s="0" t="str">
        <f aca="false">IF(Staff!$A80="","",Staff!$AM80)</f>
        <v/>
      </c>
      <c r="Y80" s="0" t="str">
        <f aca="false">IF(Staff!$A80="","",Staff!$AO80)</f>
        <v/>
      </c>
      <c r="Z80" s="0" t="str">
        <f aca="false">IF(Staff!$A80="","",Staff!$AP80)</f>
        <v/>
      </c>
      <c r="AA80" s="0" t="str">
        <f aca="false">IF(Staff!$A80="","",Staff!$AT80)</f>
        <v/>
      </c>
      <c r="AB80" s="0" t="str">
        <f aca="false">IF(Staff!$A80="","",Staff!$AU80)</f>
        <v/>
      </c>
      <c r="AC80" s="0" t="str">
        <f aca="false">IF(Staff!$A80="","",Staff!$AV80)</f>
        <v/>
      </c>
      <c r="AD80" s="0" t="str">
        <f aca="false">IF(Staff!$A80="","",Staff!$AW80)</f>
        <v/>
      </c>
    </row>
    <row r="81" customFormat="false" ht="15" hidden="false" customHeight="false" outlineLevel="0" collapsed="false">
      <c r="A81" s="16" t="str">
        <f aca="false">IF(Staff!$A81="","",Staff!$A81)</f>
        <v/>
      </c>
      <c r="B81" s="16" t="str">
        <f aca="false">IF(Staff!$A81="","",Staff!$B81)</f>
        <v/>
      </c>
      <c r="C81" s="16" t="str">
        <f aca="false">IF(Staff!$A81="","",Staff!$C81)</f>
        <v/>
      </c>
      <c r="D81" s="14" t="str">
        <f aca="false">IF(Staff!$A81="","",Staff!$AL81)</f>
        <v/>
      </c>
      <c r="E81" s="16" t="str">
        <f aca="false">IF(Staff!$A81="","",Staff!$O81)</f>
        <v/>
      </c>
      <c r="F81" s="16" t="str">
        <f aca="false">IF(E81="","",E81*HoursPerDay)</f>
        <v/>
      </c>
      <c r="G81" s="16" t="str">
        <f aca="false">IF(Staff!$A81="","",Staff!$AE81)</f>
        <v/>
      </c>
      <c r="H81" s="28" t="str">
        <f aca="false">IF($A81="","",I81&amp;J81&amp;K81&amp;L81&amp;M81&amp;N81&amp;O81&amp;P81&amp;Q81&amp;R81&amp;S81&amp;T81&amp;U81&amp;V81&amp;W81)</f>
        <v/>
      </c>
      <c r="I81" s="0" t="str">
        <f aca="false">IF(OR($A81="",$D81=""),"",IF(AND(EDATE($D81,Milestones!$AA$20)&lt;=AsOfDate,EDATE($D81,Milestones!$AA$20)&gt;=SchemeStart,IF($X81=0,$AD81,IF(AND($Z81&lt;&gt;"",EDATE($D81,Milestones!$AA$20)&gt;=$Z81),$AC81,IF(AND($Y81&lt;&gt;"",EDATE($D81,Milestones!$AA$20)&gt;=$Y81),$AB81,$AA81)))=Milestones!$AB$20),UPPER(TEXT(EDATE($D81,Milestones!$AA$20),"dd mmm yy"))&amp;" "&amp;Milestones!$AB$20&amp;" "&amp;IF(AND(Milestones!$AB$20="FT",Milestones!$AA$20=FT_Y5,EDATE($D81,Milestones!$AA$20)&lt;PolicyEff),1,Milestones!$AC$20)&amp;";  ","")&amp;IF(AND(EDATE($D81,Milestones!$AA$21)&lt;=AsOfDate,EDATE($D81,Milestones!$AA$21)&gt;=SchemeStart,IF($X81=0,$AD81,IF(AND($Z81&lt;&gt;"",EDATE($D81,Milestones!$AA$21)&gt;=$Z81),$AC81,IF(AND($Y81&lt;&gt;"",EDATE($D81,Milestones!$AA$21)&gt;=$Y81),$AB81,$AA81)))=Milestones!$AB$21),UPPER(TEXT(EDATE($D81,Milestones!$AA$21),"dd mmm yy"))&amp;" "&amp;Milestones!$AB$21&amp;" "&amp;IF(AND(Milestones!$AB$21="FT",Milestones!$AA$21=FT_Y5,EDATE($D81,Milestones!$AA$21)&lt;PolicyEff),1,Milestones!$AC$21)&amp;";  ","")&amp;IF(AND(EDATE($D81,Milestones!$AA$22)&lt;=AsOfDate,EDATE($D81,Milestones!$AA$22)&gt;=SchemeStart,IF($X81=0,$AD81,IF(AND($Z81&lt;&gt;"",EDATE($D81,Milestones!$AA$22)&gt;=$Z81),$AC81,IF(AND($Y81&lt;&gt;"",EDATE($D81,Milestones!$AA$22)&gt;=$Y81),$AB81,$AA81)))=Milestones!$AB$22),UPPER(TEXT(EDATE($D81,Milestones!$AA$22),"dd mmm yy"))&amp;" "&amp;Milestones!$AB$22&amp;" "&amp;IF(AND(Milestones!$AB$22="FT",Milestones!$AA$22=FT_Y5,EDATE($D81,Milestones!$AA$22)&lt;PolicyEff),1,Milestones!$AC$22)&amp;";  ","")&amp;IF(AND(EDATE($D81,Milestones!$AA$23)&lt;=AsOfDate,EDATE($D81,Milestones!$AA$23)&gt;=SchemeStart,IF($X81=0,$AD81,IF(AND($Z81&lt;&gt;"",EDATE($D81,Milestones!$AA$23)&gt;=$Z81),$AC81,IF(AND($Y81&lt;&gt;"",EDATE($D81,Milestones!$AA$23)&gt;=$Y81),$AB81,$AA81)))=Milestones!$AB$23),UPPER(TEXT(EDATE($D81,Milestones!$AA$23),"dd mmm yy"))&amp;" "&amp;Milestones!$AB$23&amp;" "&amp;IF(AND(Milestones!$AB$23="FT",Milestones!$AA$23=FT_Y5,EDATE($D81,Milestones!$AA$23)&lt;PolicyEff),1,Milestones!$AC$23)&amp;";  ","")&amp;IF(AND(EDATE($D81,Milestones!$AA$24)&lt;=AsOfDate,EDATE($D81,Milestones!$AA$24)&gt;=SchemeStart,IF($X81=0,$AD81,IF(AND($Z81&lt;&gt;"",EDATE($D81,Milestones!$AA$24)&gt;=$Z81),$AC81,IF(AND($Y81&lt;&gt;"",EDATE($D81,Milestones!$AA$24)&gt;=$Y81),$AB81,$AA81)))=Milestones!$AB$24),UPPER(TEXT(EDATE($D81,Milestones!$AA$24),"dd mmm yy"))&amp;" "&amp;Milestones!$AB$24&amp;" "&amp;IF(AND(Milestones!$AB$24="FT",Milestones!$AA$24=FT_Y5,EDATE($D81,Milestones!$AA$24)&lt;PolicyEff),1,Milestones!$AC$24)&amp;";  ","")&amp;IF(AND(EDATE($D81,Milestones!$AA$25)&lt;=AsOfDate,EDATE($D81,Milestones!$AA$25)&gt;=SchemeStart,IF($X81=0,$AD81,IF(AND($Z81&lt;&gt;"",EDATE($D81,Milestones!$AA$25)&gt;=$Z81),$AC81,IF(AND($Y81&lt;&gt;"",EDATE($D81,Milestones!$AA$25)&gt;=$Y81),$AB81,$AA81)))=Milestones!$AB$25),UPPER(TEXT(EDATE($D81,Milestones!$AA$25),"dd mmm yy"))&amp;" "&amp;Milestones!$AB$25&amp;" "&amp;IF(AND(Milestones!$AB$25="FT",Milestones!$AA$25=FT_Y5,EDATE($D81,Milestones!$AA$25)&lt;PolicyEff),1,Milestones!$AC$25)&amp;";  ","")&amp;IF(AND(EDATE($D81,Milestones!$AA$26)&lt;=AsOfDate,EDATE($D81,Milestones!$AA$26)&gt;=SchemeStart,IF($X81=0,$AD81,IF(AND($Z81&lt;&gt;"",EDATE($D81,Milestones!$AA$26)&gt;=$Z81),$AC81,IF(AND($Y81&lt;&gt;"",EDATE($D81,Milestones!$AA$26)&gt;=$Y81),$AB81,$AA81)))=Milestones!$AB$26),UPPER(TEXT(EDATE($D81,Milestones!$AA$26),"dd mmm yy"))&amp;" "&amp;Milestones!$AB$26&amp;" "&amp;IF(AND(Milestones!$AB$26="FT",Milestones!$AA$26=FT_Y5,EDATE($D81,Milestones!$AA$26)&lt;PolicyEff),1,Milestones!$AC$26)&amp;";  ","")&amp;IF(AND(EDATE($D81,Milestones!$AA$27)&lt;=AsOfDate,EDATE($D81,Milestones!$AA$27)&gt;=SchemeStart,IF($X81=0,$AD81,IF(AND($Z81&lt;&gt;"",EDATE($D81,Milestones!$AA$27)&gt;=$Z81),$AC81,IF(AND($Y81&lt;&gt;"",EDATE($D81,Milestones!$AA$27)&gt;=$Y81),$AB81,$AA81)))=Milestones!$AB$27),UPPER(TEXT(EDATE($D81,Milestones!$AA$27),"dd mmm yy"))&amp;" "&amp;Milestones!$AB$27&amp;" "&amp;IF(AND(Milestones!$AB$27="FT",Milestones!$AA$27=FT_Y5,EDATE($D81,Milestones!$AA$27)&lt;PolicyEff),1,Milestones!$AC$27)&amp;";  ","")&amp;IF(AND(EDATE($D81,Milestones!$AA$28)&lt;=AsOfDate,EDATE($D81,Milestones!$AA$28)&gt;=SchemeStart,IF($X81=0,$AD81,IF(AND($Z81&lt;&gt;"",EDATE($D81,Milestones!$AA$28)&gt;=$Z81),$AC81,IF(AND($Y81&lt;&gt;"",EDATE($D81,Milestones!$AA$28)&gt;=$Y81),$AB81,$AA81)))=Milestones!$AB$28),UPPER(TEXT(EDATE($D81,Milestones!$AA$28),"dd mmm yy"))&amp;" "&amp;Milestones!$AB$28&amp;" "&amp;IF(AND(Milestones!$AB$28="FT",Milestones!$AA$28=FT_Y5,EDATE($D81,Milestones!$AA$28)&lt;PolicyEff),1,Milestones!$AC$28)&amp;";  ","")&amp;IF(AND(EDATE($D81,Milestones!$AA$29)&lt;=AsOfDate,EDATE($D81,Milestones!$AA$29)&gt;=SchemeStart,IF($X81=0,$AD81,IF(AND($Z81&lt;&gt;"",EDATE($D81,Milestones!$AA$29)&gt;=$Z81),$AC81,IF(AND($Y81&lt;&gt;"",EDATE($D81,Milestones!$AA$29)&gt;=$Y81),$AB81,$AA81)))=Milestones!$AB$29),UPPER(TEXT(EDATE($D81,Milestones!$AA$29),"dd mmm yy"))&amp;" "&amp;Milestones!$AB$29&amp;" "&amp;IF(AND(Milestones!$AB$29="FT",Milestones!$AA$29=FT_Y5,EDATE($D81,Milestones!$AA$29)&lt;PolicyEff),1,Milestones!$AC$29)&amp;";  ","")&amp;IF(AND(EDATE($D81,Milestones!$AA$30)&lt;=AsOfDate,EDATE($D81,Milestones!$AA$30)&gt;=SchemeStart,IF($X81=0,$AD81,IF(AND($Z81&lt;&gt;"",EDATE($D81,Milestones!$AA$30)&gt;=$Z81),$AC81,IF(AND($Y81&lt;&gt;"",EDATE($D81,Milestones!$AA$30)&gt;=$Y81),$AB81,$AA81)))=Milestones!$AB$30),UPPER(TEXT(EDATE($D81,Milestones!$AA$30),"dd mmm yy"))&amp;" "&amp;Milestones!$AB$30&amp;" "&amp;IF(AND(Milestones!$AB$30="FT",Milestones!$AA$30=FT_Y5,EDATE($D81,Milestones!$AA$30)&lt;PolicyEff),1,Milestones!$AC$30)&amp;";  ","")&amp;IF(AND(EDATE($D81,Milestones!$AA$31)&lt;=AsOfDate,EDATE($D81,Milestones!$AA$31)&gt;=SchemeStart,IF($X81=0,$AD81,IF(AND($Z81&lt;&gt;"",EDATE($D81,Milestones!$AA$31)&gt;=$Z81),$AC81,IF(AND($Y81&lt;&gt;"",EDATE($D81,Milestones!$AA$31)&gt;=$Y81),$AB81,$AA81)))=Milestones!$AB$31),UPPER(TEXT(EDATE($D81,Milestones!$AA$31),"dd mmm yy"))&amp;" "&amp;Milestones!$AB$31&amp;" "&amp;IF(AND(Milestones!$AB$31="FT",Milestones!$AA$31=FT_Y5,EDATE($D81,Milestones!$AA$31)&lt;PolicyEff),1,Milestones!$AC$31)&amp;";  ",""))</f>
        <v/>
      </c>
      <c r="J81" s="0" t="str">
        <f aca="false">IF(OR($A81="",$D81=""),"",IF(AND(EDATE($D81,Milestones!$AA$32)&lt;=AsOfDate,EDATE($D81,Milestones!$AA$32)&gt;=SchemeStart,IF($X81=0,$AD81,IF(AND($Z81&lt;&gt;"",EDATE($D81,Milestones!$AA$32)&gt;=$Z81),$AC81,IF(AND($Y81&lt;&gt;"",EDATE($D81,Milestones!$AA$32)&gt;=$Y81),$AB81,$AA81)))=Milestones!$AB$32),UPPER(TEXT(EDATE($D81,Milestones!$AA$32),"dd mmm yy"))&amp;" "&amp;Milestones!$AB$32&amp;" "&amp;IF(AND(Milestones!$AB$32="FT",Milestones!$AA$32=FT_Y5,EDATE($D81,Milestones!$AA$32)&lt;PolicyEff),1,Milestones!$AC$32)&amp;";  ","")&amp;IF(AND(EDATE($D81,Milestones!$AA$33)&lt;=AsOfDate,EDATE($D81,Milestones!$AA$33)&gt;=SchemeStart,IF($X81=0,$AD81,IF(AND($Z81&lt;&gt;"",EDATE($D81,Milestones!$AA$33)&gt;=$Z81),$AC81,IF(AND($Y81&lt;&gt;"",EDATE($D81,Milestones!$AA$33)&gt;=$Y81),$AB81,$AA81)))=Milestones!$AB$33),UPPER(TEXT(EDATE($D81,Milestones!$AA$33),"dd mmm yy"))&amp;" "&amp;Milestones!$AB$33&amp;" "&amp;IF(AND(Milestones!$AB$33="FT",Milestones!$AA$33=FT_Y5,EDATE($D81,Milestones!$AA$33)&lt;PolicyEff),1,Milestones!$AC$33)&amp;";  ","")&amp;IF(AND(EDATE($D81,Milestones!$AA$34)&lt;=AsOfDate,EDATE($D81,Milestones!$AA$34)&gt;=SchemeStart,IF($X81=0,$AD81,IF(AND($Z81&lt;&gt;"",EDATE($D81,Milestones!$AA$34)&gt;=$Z81),$AC81,IF(AND($Y81&lt;&gt;"",EDATE($D81,Milestones!$AA$34)&gt;=$Y81),$AB81,$AA81)))=Milestones!$AB$34),UPPER(TEXT(EDATE($D81,Milestones!$AA$34),"dd mmm yy"))&amp;" "&amp;Milestones!$AB$34&amp;" "&amp;IF(AND(Milestones!$AB$34="FT",Milestones!$AA$34=FT_Y5,EDATE($D81,Milestones!$AA$34)&lt;PolicyEff),1,Milestones!$AC$34)&amp;";  ","")&amp;IF(AND(EDATE($D81,Milestones!$AA$35)&lt;=AsOfDate,EDATE($D81,Milestones!$AA$35)&gt;=SchemeStart,IF($X81=0,$AD81,IF(AND($Z81&lt;&gt;"",EDATE($D81,Milestones!$AA$35)&gt;=$Z81),$AC81,IF(AND($Y81&lt;&gt;"",EDATE($D81,Milestones!$AA$35)&gt;=$Y81),$AB81,$AA81)))=Milestones!$AB$35),UPPER(TEXT(EDATE($D81,Milestones!$AA$35),"dd mmm yy"))&amp;" "&amp;Milestones!$AB$35&amp;" "&amp;IF(AND(Milestones!$AB$35="FT",Milestones!$AA$35=FT_Y5,EDATE($D81,Milestones!$AA$35)&lt;PolicyEff),1,Milestones!$AC$35)&amp;";  ","")&amp;IF(AND(EDATE($D81,Milestones!$AA$36)&lt;=AsOfDate,EDATE($D81,Milestones!$AA$36)&gt;=SchemeStart,IF($X81=0,$AD81,IF(AND($Z81&lt;&gt;"",EDATE($D81,Milestones!$AA$36)&gt;=$Z81),$AC81,IF(AND($Y81&lt;&gt;"",EDATE($D81,Milestones!$AA$36)&gt;=$Y81),$AB81,$AA81)))=Milestones!$AB$36),UPPER(TEXT(EDATE($D81,Milestones!$AA$36),"dd mmm yy"))&amp;" "&amp;Milestones!$AB$36&amp;" "&amp;IF(AND(Milestones!$AB$36="FT",Milestones!$AA$36=FT_Y5,EDATE($D81,Milestones!$AA$36)&lt;PolicyEff),1,Milestones!$AC$36)&amp;";  ","")&amp;IF(AND(EDATE($D81,Milestones!$AA$37)&lt;=AsOfDate,EDATE($D81,Milestones!$AA$37)&gt;=SchemeStart,IF($X81=0,$AD81,IF(AND($Z81&lt;&gt;"",EDATE($D81,Milestones!$AA$37)&gt;=$Z81),$AC81,IF(AND($Y81&lt;&gt;"",EDATE($D81,Milestones!$AA$37)&gt;=$Y81),$AB81,$AA81)))=Milestones!$AB$37),UPPER(TEXT(EDATE($D81,Milestones!$AA$37),"dd mmm yy"))&amp;" "&amp;Milestones!$AB$37&amp;" "&amp;IF(AND(Milestones!$AB$37="FT",Milestones!$AA$37=FT_Y5,EDATE($D81,Milestones!$AA$37)&lt;PolicyEff),1,Milestones!$AC$37)&amp;";  ","")&amp;IF(AND(EDATE($D81,Milestones!$AA$38)&lt;=AsOfDate,EDATE($D81,Milestones!$AA$38)&gt;=SchemeStart,IF($X81=0,$AD81,IF(AND($Z81&lt;&gt;"",EDATE($D81,Milestones!$AA$38)&gt;=$Z81),$AC81,IF(AND($Y81&lt;&gt;"",EDATE($D81,Milestones!$AA$38)&gt;=$Y81),$AB81,$AA81)))=Milestones!$AB$38),UPPER(TEXT(EDATE($D81,Milestones!$AA$38),"dd mmm yy"))&amp;" "&amp;Milestones!$AB$38&amp;" "&amp;IF(AND(Milestones!$AB$38="FT",Milestones!$AA$38=FT_Y5,EDATE($D81,Milestones!$AA$38)&lt;PolicyEff),1,Milestones!$AC$38)&amp;";  ","")&amp;IF(AND(EDATE($D81,Milestones!$AA$39)&lt;=AsOfDate,EDATE($D81,Milestones!$AA$39)&gt;=SchemeStart,IF($X81=0,$AD81,IF(AND($Z81&lt;&gt;"",EDATE($D81,Milestones!$AA$39)&gt;=$Z81),$AC81,IF(AND($Y81&lt;&gt;"",EDATE($D81,Milestones!$AA$39)&gt;=$Y81),$AB81,$AA81)))=Milestones!$AB$39),UPPER(TEXT(EDATE($D81,Milestones!$AA$39),"dd mmm yy"))&amp;" "&amp;Milestones!$AB$39&amp;" "&amp;IF(AND(Milestones!$AB$39="FT",Milestones!$AA$39=FT_Y5,EDATE($D81,Milestones!$AA$39)&lt;PolicyEff),1,Milestones!$AC$39)&amp;";  ","")&amp;IF(AND(EDATE($D81,Milestones!$AA$40)&lt;=AsOfDate,EDATE($D81,Milestones!$AA$40)&gt;=SchemeStart,IF($X81=0,$AD81,IF(AND($Z81&lt;&gt;"",EDATE($D81,Milestones!$AA$40)&gt;=$Z81),$AC81,IF(AND($Y81&lt;&gt;"",EDATE($D81,Milestones!$AA$40)&gt;=$Y81),$AB81,$AA81)))=Milestones!$AB$40),UPPER(TEXT(EDATE($D81,Milestones!$AA$40),"dd mmm yy"))&amp;" "&amp;Milestones!$AB$40&amp;" "&amp;IF(AND(Milestones!$AB$40="FT",Milestones!$AA$40=FT_Y5,EDATE($D81,Milestones!$AA$40)&lt;PolicyEff),1,Milestones!$AC$40)&amp;";  ","")&amp;IF(AND(EDATE($D81,Milestones!$AA$41)&lt;=AsOfDate,EDATE($D81,Milestones!$AA$41)&gt;=SchemeStart,IF($X81=0,$AD81,IF(AND($Z81&lt;&gt;"",EDATE($D81,Milestones!$AA$41)&gt;=$Z81),$AC81,IF(AND($Y81&lt;&gt;"",EDATE($D81,Milestones!$AA$41)&gt;=$Y81),$AB81,$AA81)))=Milestones!$AB$41),UPPER(TEXT(EDATE($D81,Milestones!$AA$41),"dd mmm yy"))&amp;" "&amp;Milestones!$AB$41&amp;" "&amp;IF(AND(Milestones!$AB$41="FT",Milestones!$AA$41=FT_Y5,EDATE($D81,Milestones!$AA$41)&lt;PolicyEff),1,Milestones!$AC$41)&amp;";  ","")&amp;IF(AND(EDATE($D81,Milestones!$AA$42)&lt;=AsOfDate,EDATE($D81,Milestones!$AA$42)&gt;=SchemeStart,IF($X81=0,$AD81,IF(AND($Z81&lt;&gt;"",EDATE($D81,Milestones!$AA$42)&gt;=$Z81),$AC81,IF(AND($Y81&lt;&gt;"",EDATE($D81,Milestones!$AA$42)&gt;=$Y81),$AB81,$AA81)))=Milestones!$AB$42),UPPER(TEXT(EDATE($D81,Milestones!$AA$42),"dd mmm yy"))&amp;" "&amp;Milestones!$AB$42&amp;" "&amp;IF(AND(Milestones!$AB$42="FT",Milestones!$AA$42=FT_Y5,EDATE($D81,Milestones!$AA$42)&lt;PolicyEff),1,Milestones!$AC$42)&amp;";  ","")&amp;IF(AND(EDATE($D81,Milestones!$AA$43)&lt;=AsOfDate,EDATE($D81,Milestones!$AA$43)&gt;=SchemeStart,IF($X81=0,$AD81,IF(AND($Z81&lt;&gt;"",EDATE($D81,Milestones!$AA$43)&gt;=$Z81),$AC81,IF(AND($Y81&lt;&gt;"",EDATE($D81,Milestones!$AA$43)&gt;=$Y81),$AB81,$AA81)))=Milestones!$AB$43),UPPER(TEXT(EDATE($D81,Milestones!$AA$43),"dd mmm yy"))&amp;" "&amp;Milestones!$AB$43&amp;" "&amp;IF(AND(Milestones!$AB$43="FT",Milestones!$AA$43=FT_Y5,EDATE($D81,Milestones!$AA$43)&lt;PolicyEff),1,Milestones!$AC$43)&amp;";  ",""))</f>
        <v/>
      </c>
      <c r="K81" s="0" t="str">
        <f aca="false">IF(OR($A81="",$D81=""),"",IF(AND(EDATE($D81,Milestones!$AA$44)&lt;=AsOfDate,EDATE($D81,Milestones!$AA$44)&gt;=SchemeStart,IF($X81=0,$AD81,IF(AND($Z81&lt;&gt;"",EDATE($D81,Milestones!$AA$44)&gt;=$Z81),$AC81,IF(AND($Y81&lt;&gt;"",EDATE($D81,Milestones!$AA$44)&gt;=$Y81),$AB81,$AA81)))=Milestones!$AB$44),UPPER(TEXT(EDATE($D81,Milestones!$AA$44),"dd mmm yy"))&amp;" "&amp;Milestones!$AB$44&amp;" "&amp;IF(AND(Milestones!$AB$44="FT",Milestones!$AA$44=FT_Y5,EDATE($D81,Milestones!$AA$44)&lt;PolicyEff),1,Milestones!$AC$44)&amp;";  ","")&amp;IF(AND(EDATE($D81,Milestones!$AA$45)&lt;=AsOfDate,EDATE($D81,Milestones!$AA$45)&gt;=SchemeStart,IF($X81=0,$AD81,IF(AND($Z81&lt;&gt;"",EDATE($D81,Milestones!$AA$45)&gt;=$Z81),$AC81,IF(AND($Y81&lt;&gt;"",EDATE($D81,Milestones!$AA$45)&gt;=$Y81),$AB81,$AA81)))=Milestones!$AB$45),UPPER(TEXT(EDATE($D81,Milestones!$AA$45),"dd mmm yy"))&amp;" "&amp;Milestones!$AB$45&amp;" "&amp;IF(AND(Milestones!$AB$45="FT",Milestones!$AA$45=FT_Y5,EDATE($D81,Milestones!$AA$45)&lt;PolicyEff),1,Milestones!$AC$45)&amp;";  ","")&amp;IF(AND(EDATE($D81,Milestones!$AA$46)&lt;=AsOfDate,EDATE($D81,Milestones!$AA$46)&gt;=SchemeStart,IF($X81=0,$AD81,IF(AND($Z81&lt;&gt;"",EDATE($D81,Milestones!$AA$46)&gt;=$Z81),$AC81,IF(AND($Y81&lt;&gt;"",EDATE($D81,Milestones!$AA$46)&gt;=$Y81),$AB81,$AA81)))=Milestones!$AB$46),UPPER(TEXT(EDATE($D81,Milestones!$AA$46),"dd mmm yy"))&amp;" "&amp;Milestones!$AB$46&amp;" "&amp;IF(AND(Milestones!$AB$46="FT",Milestones!$AA$46=FT_Y5,EDATE($D81,Milestones!$AA$46)&lt;PolicyEff),1,Milestones!$AC$46)&amp;";  ","")&amp;IF(AND(EDATE($D81,Milestones!$AA$47)&lt;=AsOfDate,EDATE($D81,Milestones!$AA$47)&gt;=SchemeStart,IF($X81=0,$AD81,IF(AND($Z81&lt;&gt;"",EDATE($D81,Milestones!$AA$47)&gt;=$Z81),$AC81,IF(AND($Y81&lt;&gt;"",EDATE($D81,Milestones!$AA$47)&gt;=$Y81),$AB81,$AA81)))=Milestones!$AB$47),UPPER(TEXT(EDATE($D81,Milestones!$AA$47),"dd mmm yy"))&amp;" "&amp;Milestones!$AB$47&amp;" "&amp;IF(AND(Milestones!$AB$47="FT",Milestones!$AA$47=FT_Y5,EDATE($D81,Milestones!$AA$47)&lt;PolicyEff),1,Milestones!$AC$47)&amp;";  ","")&amp;IF(AND(EDATE($D81,Milestones!$AA$48)&lt;=AsOfDate,EDATE($D81,Milestones!$AA$48)&gt;=SchemeStart,IF($X81=0,$AD81,IF(AND($Z81&lt;&gt;"",EDATE($D81,Milestones!$AA$48)&gt;=$Z81),$AC81,IF(AND($Y81&lt;&gt;"",EDATE($D81,Milestones!$AA$48)&gt;=$Y81),$AB81,$AA81)))=Milestones!$AB$48),UPPER(TEXT(EDATE($D81,Milestones!$AA$48),"dd mmm yy"))&amp;" "&amp;Milestones!$AB$48&amp;" "&amp;IF(AND(Milestones!$AB$48="FT",Milestones!$AA$48=FT_Y5,EDATE($D81,Milestones!$AA$48)&lt;PolicyEff),1,Milestones!$AC$48)&amp;";  ","")&amp;IF(AND(EDATE($D81,Milestones!$AA$49)&lt;=AsOfDate,EDATE($D81,Milestones!$AA$49)&gt;=SchemeStart,IF($X81=0,$AD81,IF(AND($Z81&lt;&gt;"",EDATE($D81,Milestones!$AA$49)&gt;=$Z81),$AC81,IF(AND($Y81&lt;&gt;"",EDATE($D81,Milestones!$AA$49)&gt;=$Y81),$AB81,$AA81)))=Milestones!$AB$49),UPPER(TEXT(EDATE($D81,Milestones!$AA$49),"dd mmm yy"))&amp;" "&amp;Milestones!$AB$49&amp;" "&amp;IF(AND(Milestones!$AB$49="FT",Milestones!$AA$49=FT_Y5,EDATE($D81,Milestones!$AA$49)&lt;PolicyEff),1,Milestones!$AC$49)&amp;";  ","")&amp;IF(AND(EDATE($D81,Milestones!$AA$50)&lt;=AsOfDate,EDATE($D81,Milestones!$AA$50)&gt;=SchemeStart,IF($X81=0,$AD81,IF(AND($Z81&lt;&gt;"",EDATE($D81,Milestones!$AA$50)&gt;=$Z81),$AC81,IF(AND($Y81&lt;&gt;"",EDATE($D81,Milestones!$AA$50)&gt;=$Y81),$AB81,$AA81)))=Milestones!$AB$50),UPPER(TEXT(EDATE($D81,Milestones!$AA$50),"dd mmm yy"))&amp;" "&amp;Milestones!$AB$50&amp;" "&amp;IF(AND(Milestones!$AB$50="FT",Milestones!$AA$50=FT_Y5,EDATE($D81,Milestones!$AA$50)&lt;PolicyEff),1,Milestones!$AC$50)&amp;";  ","")&amp;IF(AND(EDATE($D81,Milestones!$AA$51)&lt;=AsOfDate,EDATE($D81,Milestones!$AA$51)&gt;=SchemeStart,IF($X81=0,$AD81,IF(AND($Z81&lt;&gt;"",EDATE($D81,Milestones!$AA$51)&gt;=$Z81),$AC81,IF(AND($Y81&lt;&gt;"",EDATE($D81,Milestones!$AA$51)&gt;=$Y81),$AB81,$AA81)))=Milestones!$AB$51),UPPER(TEXT(EDATE($D81,Milestones!$AA$51),"dd mmm yy"))&amp;" "&amp;Milestones!$AB$51&amp;" "&amp;IF(AND(Milestones!$AB$51="FT",Milestones!$AA$51=FT_Y5,EDATE($D81,Milestones!$AA$51)&lt;PolicyEff),1,Milestones!$AC$51)&amp;";  ","")&amp;IF(AND(EDATE($D81,Milestones!$AA$52)&lt;=AsOfDate,EDATE($D81,Milestones!$AA$52)&gt;=SchemeStart,IF($X81=0,$AD81,IF(AND($Z81&lt;&gt;"",EDATE($D81,Milestones!$AA$52)&gt;=$Z81),$AC81,IF(AND($Y81&lt;&gt;"",EDATE($D81,Milestones!$AA$52)&gt;=$Y81),$AB81,$AA81)))=Milestones!$AB$52),UPPER(TEXT(EDATE($D81,Milestones!$AA$52),"dd mmm yy"))&amp;" "&amp;Milestones!$AB$52&amp;" "&amp;IF(AND(Milestones!$AB$52="FT",Milestones!$AA$52=FT_Y5,EDATE($D81,Milestones!$AA$52)&lt;PolicyEff),1,Milestones!$AC$52)&amp;";  ","")&amp;IF(AND(EDATE($D81,Milestones!$AA$53)&lt;=AsOfDate,EDATE($D81,Milestones!$AA$53)&gt;=SchemeStart,IF($X81=0,$AD81,IF(AND($Z81&lt;&gt;"",EDATE($D81,Milestones!$AA$53)&gt;=$Z81),$AC81,IF(AND($Y81&lt;&gt;"",EDATE($D81,Milestones!$AA$53)&gt;=$Y81),$AB81,$AA81)))=Milestones!$AB$53),UPPER(TEXT(EDATE($D81,Milestones!$AA$53),"dd mmm yy"))&amp;" "&amp;Milestones!$AB$53&amp;" "&amp;IF(AND(Milestones!$AB$53="FT",Milestones!$AA$53=FT_Y5,EDATE($D81,Milestones!$AA$53)&lt;PolicyEff),1,Milestones!$AC$53)&amp;";  ","")&amp;IF(AND(EDATE($D81,Milestones!$AA$54)&lt;=AsOfDate,EDATE($D81,Milestones!$AA$54)&gt;=SchemeStart,IF($X81=0,$AD81,IF(AND($Z81&lt;&gt;"",EDATE($D81,Milestones!$AA$54)&gt;=$Z81),$AC81,IF(AND($Y81&lt;&gt;"",EDATE($D81,Milestones!$AA$54)&gt;=$Y81),$AB81,$AA81)))=Milestones!$AB$54),UPPER(TEXT(EDATE($D81,Milestones!$AA$54),"dd mmm yy"))&amp;" "&amp;Milestones!$AB$54&amp;" "&amp;IF(AND(Milestones!$AB$54="FT",Milestones!$AA$54=FT_Y5,EDATE($D81,Milestones!$AA$54)&lt;PolicyEff),1,Milestones!$AC$54)&amp;";  ","")&amp;IF(AND(EDATE($D81,Milestones!$AA$55)&lt;=AsOfDate,EDATE($D81,Milestones!$AA$55)&gt;=SchemeStart,IF($X81=0,$AD81,IF(AND($Z81&lt;&gt;"",EDATE($D81,Milestones!$AA$55)&gt;=$Z81),$AC81,IF(AND($Y81&lt;&gt;"",EDATE($D81,Milestones!$AA$55)&gt;=$Y81),$AB81,$AA81)))=Milestones!$AB$55),UPPER(TEXT(EDATE($D81,Milestones!$AA$55),"dd mmm yy"))&amp;" "&amp;Milestones!$AB$55&amp;" "&amp;IF(AND(Milestones!$AB$55="FT",Milestones!$AA$55=FT_Y5,EDATE($D81,Milestones!$AA$55)&lt;PolicyEff),1,Milestones!$AC$55)&amp;";  ",""))</f>
        <v/>
      </c>
      <c r="L81" s="0" t="str">
        <f aca="false">IF(OR($A81="",$D81=""),"",IF(AND(EDATE($D81,Milestones!$AA$56)&lt;=AsOfDate,EDATE($D81,Milestones!$AA$56)&gt;=SchemeStart,IF($X81=0,$AD81,IF(AND($Z81&lt;&gt;"",EDATE($D81,Milestones!$AA$56)&gt;=$Z81),$AC81,IF(AND($Y81&lt;&gt;"",EDATE($D81,Milestones!$AA$56)&gt;=$Y81),$AB81,$AA81)))=Milestones!$AB$56),UPPER(TEXT(EDATE($D81,Milestones!$AA$56),"dd mmm yy"))&amp;" "&amp;Milestones!$AB$56&amp;" "&amp;IF(AND(Milestones!$AB$56="FT",Milestones!$AA$56=FT_Y5,EDATE($D81,Milestones!$AA$56)&lt;PolicyEff),1,Milestones!$AC$56)&amp;";  ","")&amp;IF(AND(EDATE($D81,Milestones!$AA$57)&lt;=AsOfDate,EDATE($D81,Milestones!$AA$57)&gt;=SchemeStart,IF($X81=0,$AD81,IF(AND($Z81&lt;&gt;"",EDATE($D81,Milestones!$AA$57)&gt;=$Z81),$AC81,IF(AND($Y81&lt;&gt;"",EDATE($D81,Milestones!$AA$57)&gt;=$Y81),$AB81,$AA81)))=Milestones!$AB$57),UPPER(TEXT(EDATE($D81,Milestones!$AA$57),"dd mmm yy"))&amp;" "&amp;Milestones!$AB$57&amp;" "&amp;IF(AND(Milestones!$AB$57="FT",Milestones!$AA$57=FT_Y5,EDATE($D81,Milestones!$AA$57)&lt;PolicyEff),1,Milestones!$AC$57)&amp;";  ","")&amp;IF(AND(EDATE($D81,Milestones!$AA$58)&lt;=AsOfDate,EDATE($D81,Milestones!$AA$58)&gt;=SchemeStart,IF($X81=0,$AD81,IF(AND($Z81&lt;&gt;"",EDATE($D81,Milestones!$AA$58)&gt;=$Z81),$AC81,IF(AND($Y81&lt;&gt;"",EDATE($D81,Milestones!$AA$58)&gt;=$Y81),$AB81,$AA81)))=Milestones!$AB$58),UPPER(TEXT(EDATE($D81,Milestones!$AA$58),"dd mmm yy"))&amp;" "&amp;Milestones!$AB$58&amp;" "&amp;IF(AND(Milestones!$AB$58="FT",Milestones!$AA$58=FT_Y5,EDATE($D81,Milestones!$AA$58)&lt;PolicyEff),1,Milestones!$AC$58)&amp;";  ","")&amp;IF(AND(EDATE($D81,Milestones!$AA$59)&lt;=AsOfDate,EDATE($D81,Milestones!$AA$59)&gt;=SchemeStart,IF($X81=0,$AD81,IF(AND($Z81&lt;&gt;"",EDATE($D81,Milestones!$AA$59)&gt;=$Z81),$AC81,IF(AND($Y81&lt;&gt;"",EDATE($D81,Milestones!$AA$59)&gt;=$Y81),$AB81,$AA81)))=Milestones!$AB$59),UPPER(TEXT(EDATE($D81,Milestones!$AA$59),"dd mmm yy"))&amp;" "&amp;Milestones!$AB$59&amp;" "&amp;IF(AND(Milestones!$AB$59="FT",Milestones!$AA$59=FT_Y5,EDATE($D81,Milestones!$AA$59)&lt;PolicyEff),1,Milestones!$AC$59)&amp;";  ","")&amp;IF(AND(EDATE($D81,Milestones!$AA$60)&lt;=AsOfDate,EDATE($D81,Milestones!$AA$60)&gt;=SchemeStart,IF($X81=0,$AD81,IF(AND($Z81&lt;&gt;"",EDATE($D81,Milestones!$AA$60)&gt;=$Z81),$AC81,IF(AND($Y81&lt;&gt;"",EDATE($D81,Milestones!$AA$60)&gt;=$Y81),$AB81,$AA81)))=Milestones!$AB$60),UPPER(TEXT(EDATE($D81,Milestones!$AA$60),"dd mmm yy"))&amp;" "&amp;Milestones!$AB$60&amp;" "&amp;IF(AND(Milestones!$AB$60="FT",Milestones!$AA$60=FT_Y5,EDATE($D81,Milestones!$AA$60)&lt;PolicyEff),1,Milestones!$AC$60)&amp;";  ","")&amp;IF(AND(EDATE($D81,Milestones!$AA$61)&lt;=AsOfDate,EDATE($D81,Milestones!$AA$61)&gt;=SchemeStart,IF($X81=0,$AD81,IF(AND($Z81&lt;&gt;"",EDATE($D81,Milestones!$AA$61)&gt;=$Z81),$AC81,IF(AND($Y81&lt;&gt;"",EDATE($D81,Milestones!$AA$61)&gt;=$Y81),$AB81,$AA81)))=Milestones!$AB$61),UPPER(TEXT(EDATE($D81,Milestones!$AA$61),"dd mmm yy"))&amp;" "&amp;Milestones!$AB$61&amp;" "&amp;IF(AND(Milestones!$AB$61="FT",Milestones!$AA$61=FT_Y5,EDATE($D81,Milestones!$AA$61)&lt;PolicyEff),1,Milestones!$AC$61)&amp;";  ","")&amp;IF(AND(EDATE($D81,Milestones!$AA$62)&lt;=AsOfDate,EDATE($D81,Milestones!$AA$62)&gt;=SchemeStart,IF($X81=0,$AD81,IF(AND($Z81&lt;&gt;"",EDATE($D81,Milestones!$AA$62)&gt;=$Z81),$AC81,IF(AND($Y81&lt;&gt;"",EDATE($D81,Milestones!$AA$62)&gt;=$Y81),$AB81,$AA81)))=Milestones!$AB$62),UPPER(TEXT(EDATE($D81,Milestones!$AA$62),"dd mmm yy"))&amp;" "&amp;Milestones!$AB$62&amp;" "&amp;IF(AND(Milestones!$AB$62="FT",Milestones!$AA$62=FT_Y5,EDATE($D81,Milestones!$AA$62)&lt;PolicyEff),1,Milestones!$AC$62)&amp;";  ","")&amp;IF(AND(EDATE($D81,Milestones!$AA$63)&lt;=AsOfDate,EDATE($D81,Milestones!$AA$63)&gt;=SchemeStart,IF($X81=0,$AD81,IF(AND($Z81&lt;&gt;"",EDATE($D81,Milestones!$AA$63)&gt;=$Z81),$AC81,IF(AND($Y81&lt;&gt;"",EDATE($D81,Milestones!$AA$63)&gt;=$Y81),$AB81,$AA81)))=Milestones!$AB$63),UPPER(TEXT(EDATE($D81,Milestones!$AA$63),"dd mmm yy"))&amp;" "&amp;Milestones!$AB$63&amp;" "&amp;IF(AND(Milestones!$AB$63="FT",Milestones!$AA$63=FT_Y5,EDATE($D81,Milestones!$AA$63)&lt;PolicyEff),1,Milestones!$AC$63)&amp;";  ","")&amp;IF(AND(EDATE($D81,Milestones!$AA$64)&lt;=AsOfDate,EDATE($D81,Milestones!$AA$64)&gt;=SchemeStart,IF($X81=0,$AD81,IF(AND($Z81&lt;&gt;"",EDATE($D81,Milestones!$AA$64)&gt;=$Z81),$AC81,IF(AND($Y81&lt;&gt;"",EDATE($D81,Milestones!$AA$64)&gt;=$Y81),$AB81,$AA81)))=Milestones!$AB$64),UPPER(TEXT(EDATE($D81,Milestones!$AA$64),"dd mmm yy"))&amp;" "&amp;Milestones!$AB$64&amp;" "&amp;IF(AND(Milestones!$AB$64="FT",Milestones!$AA$64=FT_Y5,EDATE($D81,Milestones!$AA$64)&lt;PolicyEff),1,Milestones!$AC$64)&amp;";  ","")&amp;IF(AND(EDATE($D81,Milestones!$AA$65)&lt;=AsOfDate,EDATE($D81,Milestones!$AA$65)&gt;=SchemeStart,IF($X81=0,$AD81,IF(AND($Z81&lt;&gt;"",EDATE($D81,Milestones!$AA$65)&gt;=$Z81),$AC81,IF(AND($Y81&lt;&gt;"",EDATE($D81,Milestones!$AA$65)&gt;=$Y81),$AB81,$AA81)))=Milestones!$AB$65),UPPER(TEXT(EDATE($D81,Milestones!$AA$65),"dd mmm yy"))&amp;" "&amp;Milestones!$AB$65&amp;" "&amp;IF(AND(Milestones!$AB$65="FT",Milestones!$AA$65=FT_Y5,EDATE($D81,Milestones!$AA$65)&lt;PolicyEff),1,Milestones!$AC$65)&amp;";  ","")&amp;IF(AND(EDATE($D81,Milestones!$AA$66)&lt;=AsOfDate,EDATE($D81,Milestones!$AA$66)&gt;=SchemeStart,IF($X81=0,$AD81,IF(AND($Z81&lt;&gt;"",EDATE($D81,Milestones!$AA$66)&gt;=$Z81),$AC81,IF(AND($Y81&lt;&gt;"",EDATE($D81,Milestones!$AA$66)&gt;=$Y81),$AB81,$AA81)))=Milestones!$AB$66),UPPER(TEXT(EDATE($D81,Milestones!$AA$66),"dd mmm yy"))&amp;" "&amp;Milestones!$AB$66&amp;" "&amp;IF(AND(Milestones!$AB$66="FT",Milestones!$AA$66=FT_Y5,EDATE($D81,Milestones!$AA$66)&lt;PolicyEff),1,Milestones!$AC$66)&amp;";  ","")&amp;IF(AND(EDATE($D81,Milestones!$AA$67)&lt;=AsOfDate,EDATE($D81,Milestones!$AA$67)&gt;=SchemeStart,IF($X81=0,$AD81,IF(AND($Z81&lt;&gt;"",EDATE($D81,Milestones!$AA$67)&gt;=$Z81),$AC81,IF(AND($Y81&lt;&gt;"",EDATE($D81,Milestones!$AA$67)&gt;=$Y81),$AB81,$AA81)))=Milestones!$AB$67),UPPER(TEXT(EDATE($D81,Milestones!$AA$67),"dd mmm yy"))&amp;" "&amp;Milestones!$AB$67&amp;" "&amp;IF(AND(Milestones!$AB$67="FT",Milestones!$AA$67=FT_Y5,EDATE($D81,Milestones!$AA$67)&lt;PolicyEff),1,Milestones!$AC$67)&amp;";  ",""))</f>
        <v/>
      </c>
      <c r="M81" s="0" t="str">
        <f aca="false">IF(OR($A81="",$D81=""),"",IF(AND(EDATE($D81,Milestones!$AA$68)&lt;=AsOfDate,EDATE($D81,Milestones!$AA$68)&gt;=SchemeStart,IF($X81=0,$AD81,IF(AND($Z81&lt;&gt;"",EDATE($D81,Milestones!$AA$68)&gt;=$Z81),$AC81,IF(AND($Y81&lt;&gt;"",EDATE($D81,Milestones!$AA$68)&gt;=$Y81),$AB81,$AA81)))=Milestones!$AB$68),UPPER(TEXT(EDATE($D81,Milestones!$AA$68),"dd mmm yy"))&amp;" "&amp;Milestones!$AB$68&amp;" "&amp;IF(AND(Milestones!$AB$68="FT",Milestones!$AA$68=FT_Y5,EDATE($D81,Milestones!$AA$68)&lt;PolicyEff),1,Milestones!$AC$68)&amp;";  ","")&amp;IF(AND(EDATE($D81,Milestones!$AA$69)&lt;=AsOfDate,EDATE($D81,Milestones!$AA$69)&gt;=SchemeStart,IF($X81=0,$AD81,IF(AND($Z81&lt;&gt;"",EDATE($D81,Milestones!$AA$69)&gt;=$Z81),$AC81,IF(AND($Y81&lt;&gt;"",EDATE($D81,Milestones!$AA$69)&gt;=$Y81),$AB81,$AA81)))=Milestones!$AB$69),UPPER(TEXT(EDATE($D81,Milestones!$AA$69),"dd mmm yy"))&amp;" "&amp;Milestones!$AB$69&amp;" "&amp;IF(AND(Milestones!$AB$69="FT",Milestones!$AA$69=FT_Y5,EDATE($D81,Milestones!$AA$69)&lt;PolicyEff),1,Milestones!$AC$69)&amp;";  ","")&amp;IF(AND(EDATE($D81,Milestones!$AA$70)&lt;=AsOfDate,EDATE($D81,Milestones!$AA$70)&gt;=SchemeStart,IF($X81=0,$AD81,IF(AND($Z81&lt;&gt;"",EDATE($D81,Milestones!$AA$70)&gt;=$Z81),$AC81,IF(AND($Y81&lt;&gt;"",EDATE($D81,Milestones!$AA$70)&gt;=$Y81),$AB81,$AA81)))=Milestones!$AB$70),UPPER(TEXT(EDATE($D81,Milestones!$AA$70),"dd mmm yy"))&amp;" "&amp;Milestones!$AB$70&amp;" "&amp;IF(AND(Milestones!$AB$70="FT",Milestones!$AA$70=FT_Y5,EDATE($D81,Milestones!$AA$70)&lt;PolicyEff),1,Milestones!$AC$70)&amp;";  ","")&amp;IF(AND(EDATE($D81,Milestones!$AA$71)&lt;=AsOfDate,EDATE($D81,Milestones!$AA$71)&gt;=SchemeStart,IF($X81=0,$AD81,IF(AND($Z81&lt;&gt;"",EDATE($D81,Milestones!$AA$71)&gt;=$Z81),$AC81,IF(AND($Y81&lt;&gt;"",EDATE($D81,Milestones!$AA$71)&gt;=$Y81),$AB81,$AA81)))=Milestones!$AB$71),UPPER(TEXT(EDATE($D81,Milestones!$AA$71),"dd mmm yy"))&amp;" "&amp;Milestones!$AB$71&amp;" "&amp;IF(AND(Milestones!$AB$71="FT",Milestones!$AA$71=FT_Y5,EDATE($D81,Milestones!$AA$71)&lt;PolicyEff),1,Milestones!$AC$71)&amp;";  ","")&amp;IF(AND(EDATE($D81,Milestones!$AA$72)&lt;=AsOfDate,EDATE($D81,Milestones!$AA$72)&gt;=SchemeStart,IF($X81=0,$AD81,IF(AND($Z81&lt;&gt;"",EDATE($D81,Milestones!$AA$72)&gt;=$Z81),$AC81,IF(AND($Y81&lt;&gt;"",EDATE($D81,Milestones!$AA$72)&gt;=$Y81),$AB81,$AA81)))=Milestones!$AB$72),UPPER(TEXT(EDATE($D81,Milestones!$AA$72),"dd mmm yy"))&amp;" "&amp;Milestones!$AB$72&amp;" "&amp;IF(AND(Milestones!$AB$72="FT",Milestones!$AA$72=FT_Y5,EDATE($D81,Milestones!$AA$72)&lt;PolicyEff),1,Milestones!$AC$72)&amp;";  ","")&amp;IF(AND(EDATE($D81,Milestones!$AA$73)&lt;=AsOfDate,EDATE($D81,Milestones!$AA$73)&gt;=SchemeStart,IF($X81=0,$AD81,IF(AND($Z81&lt;&gt;"",EDATE($D81,Milestones!$AA$73)&gt;=$Z81),$AC81,IF(AND($Y81&lt;&gt;"",EDATE($D81,Milestones!$AA$73)&gt;=$Y81),$AB81,$AA81)))=Milestones!$AB$73),UPPER(TEXT(EDATE($D81,Milestones!$AA$73),"dd mmm yy"))&amp;" "&amp;Milestones!$AB$73&amp;" "&amp;IF(AND(Milestones!$AB$73="FT",Milestones!$AA$73=FT_Y5,EDATE($D81,Milestones!$AA$73)&lt;PolicyEff),1,Milestones!$AC$73)&amp;";  ","")&amp;IF(AND(EDATE($D81,Milestones!$AA$74)&lt;=AsOfDate,EDATE($D81,Milestones!$AA$74)&gt;=SchemeStart,IF($X81=0,$AD81,IF(AND($Z81&lt;&gt;"",EDATE($D81,Milestones!$AA$74)&gt;=$Z81),$AC81,IF(AND($Y81&lt;&gt;"",EDATE($D81,Milestones!$AA$74)&gt;=$Y81),$AB81,$AA81)))=Milestones!$AB$74),UPPER(TEXT(EDATE($D81,Milestones!$AA$74),"dd mmm yy"))&amp;" "&amp;Milestones!$AB$74&amp;" "&amp;IF(AND(Milestones!$AB$74="FT",Milestones!$AA$74=FT_Y5,EDATE($D81,Milestones!$AA$74)&lt;PolicyEff),1,Milestones!$AC$74)&amp;";  ","")&amp;IF(AND(EDATE($D81,Milestones!$AA$75)&lt;=AsOfDate,EDATE($D81,Milestones!$AA$75)&gt;=SchemeStart,IF($X81=0,$AD81,IF(AND($Z81&lt;&gt;"",EDATE($D81,Milestones!$AA$75)&gt;=$Z81),$AC81,IF(AND($Y81&lt;&gt;"",EDATE($D81,Milestones!$AA$75)&gt;=$Y81),$AB81,$AA81)))=Milestones!$AB$75),UPPER(TEXT(EDATE($D81,Milestones!$AA$75),"dd mmm yy"))&amp;" "&amp;Milestones!$AB$75&amp;" "&amp;IF(AND(Milestones!$AB$75="FT",Milestones!$AA$75=FT_Y5,EDATE($D81,Milestones!$AA$75)&lt;PolicyEff),1,Milestones!$AC$75)&amp;";  ","")&amp;IF(AND(EDATE($D81,Milestones!$AA$76)&lt;=AsOfDate,EDATE($D81,Milestones!$AA$76)&gt;=SchemeStart,IF($X81=0,$AD81,IF(AND($Z81&lt;&gt;"",EDATE($D81,Milestones!$AA$76)&gt;=$Z81),$AC81,IF(AND($Y81&lt;&gt;"",EDATE($D81,Milestones!$AA$76)&gt;=$Y81),$AB81,$AA81)))=Milestones!$AB$76),UPPER(TEXT(EDATE($D81,Milestones!$AA$76),"dd mmm yy"))&amp;" "&amp;Milestones!$AB$76&amp;" "&amp;IF(AND(Milestones!$AB$76="FT",Milestones!$AA$76=FT_Y5,EDATE($D81,Milestones!$AA$76)&lt;PolicyEff),1,Milestones!$AC$76)&amp;";  ","")&amp;IF(AND(EDATE($D81,Milestones!$AA$77)&lt;=AsOfDate,EDATE($D81,Milestones!$AA$77)&gt;=SchemeStart,IF($X81=0,$AD81,IF(AND($Z81&lt;&gt;"",EDATE($D81,Milestones!$AA$77)&gt;=$Z81),$AC81,IF(AND($Y81&lt;&gt;"",EDATE($D81,Milestones!$AA$77)&gt;=$Y81),$AB81,$AA81)))=Milestones!$AB$77),UPPER(TEXT(EDATE($D81,Milestones!$AA$77),"dd mmm yy"))&amp;" "&amp;Milestones!$AB$77&amp;" "&amp;IF(AND(Milestones!$AB$77="FT",Milestones!$AA$77=FT_Y5,EDATE($D81,Milestones!$AA$77)&lt;PolicyEff),1,Milestones!$AC$77)&amp;";  ","")&amp;IF(AND(EDATE($D81,Milestones!$AA$78)&lt;=AsOfDate,EDATE($D81,Milestones!$AA$78)&gt;=SchemeStart,IF($X81=0,$AD81,IF(AND($Z81&lt;&gt;"",EDATE($D81,Milestones!$AA$78)&gt;=$Z81),$AC81,IF(AND($Y81&lt;&gt;"",EDATE($D81,Milestones!$AA$78)&gt;=$Y81),$AB81,$AA81)))=Milestones!$AB$78),UPPER(TEXT(EDATE($D81,Milestones!$AA$78),"dd mmm yy"))&amp;" "&amp;Milestones!$AB$78&amp;" "&amp;IF(AND(Milestones!$AB$78="FT",Milestones!$AA$78=FT_Y5,EDATE($D81,Milestones!$AA$78)&lt;PolicyEff),1,Milestones!$AC$78)&amp;";  ","")&amp;IF(AND(EDATE($D81,Milestones!$AA$79)&lt;=AsOfDate,EDATE($D81,Milestones!$AA$79)&gt;=SchemeStart,IF($X81=0,$AD81,IF(AND($Z81&lt;&gt;"",EDATE($D81,Milestones!$AA$79)&gt;=$Z81),$AC81,IF(AND($Y81&lt;&gt;"",EDATE($D81,Milestones!$AA$79)&gt;=$Y81),$AB81,$AA81)))=Milestones!$AB$79),UPPER(TEXT(EDATE($D81,Milestones!$AA$79),"dd mmm yy"))&amp;" "&amp;Milestones!$AB$79&amp;" "&amp;IF(AND(Milestones!$AB$79="FT",Milestones!$AA$79=FT_Y5,EDATE($D81,Milestones!$AA$79)&lt;PolicyEff),1,Milestones!$AC$79)&amp;";  ",""))</f>
        <v/>
      </c>
      <c r="N81" s="0" t="str">
        <f aca="false">IF(OR($A81="",$D81=""),"",IF(AND(EDATE($D81,Milestones!$AA$80)&lt;=AsOfDate,EDATE($D81,Milestones!$AA$80)&gt;=SchemeStart,IF($X81=0,$AD81,IF(AND($Z81&lt;&gt;"",EDATE($D81,Milestones!$AA$80)&gt;=$Z81),$AC81,IF(AND($Y81&lt;&gt;"",EDATE($D81,Milestones!$AA$80)&gt;=$Y81),$AB81,$AA81)))=Milestones!$AB$80),UPPER(TEXT(EDATE($D81,Milestones!$AA$80),"dd mmm yy"))&amp;" "&amp;Milestones!$AB$80&amp;" "&amp;IF(AND(Milestones!$AB$80="FT",Milestones!$AA$80=FT_Y5,EDATE($D81,Milestones!$AA$80)&lt;PolicyEff),1,Milestones!$AC$80)&amp;";  ","")&amp;IF(AND(EDATE($D81,Milestones!$AA$81)&lt;=AsOfDate,EDATE($D81,Milestones!$AA$81)&gt;=SchemeStart,IF($X81=0,$AD81,IF(AND($Z81&lt;&gt;"",EDATE($D81,Milestones!$AA$81)&gt;=$Z81),$AC81,IF(AND($Y81&lt;&gt;"",EDATE($D81,Milestones!$AA$81)&gt;=$Y81),$AB81,$AA81)))=Milestones!$AB$81),UPPER(TEXT(EDATE($D81,Milestones!$AA$81),"dd mmm yy"))&amp;" "&amp;Milestones!$AB$81&amp;" "&amp;IF(AND(Milestones!$AB$81="FT",Milestones!$AA$81=FT_Y5,EDATE($D81,Milestones!$AA$81)&lt;PolicyEff),1,Milestones!$AC$81)&amp;";  ","")&amp;IF(AND(EDATE($D81,Milestones!$AA$82)&lt;=AsOfDate,EDATE($D81,Milestones!$AA$82)&gt;=SchemeStart,IF($X81=0,$AD81,IF(AND($Z81&lt;&gt;"",EDATE($D81,Milestones!$AA$82)&gt;=$Z81),$AC81,IF(AND($Y81&lt;&gt;"",EDATE($D81,Milestones!$AA$82)&gt;=$Y81),$AB81,$AA81)))=Milestones!$AB$82),UPPER(TEXT(EDATE($D81,Milestones!$AA$82),"dd mmm yy"))&amp;" "&amp;Milestones!$AB$82&amp;" "&amp;IF(AND(Milestones!$AB$82="FT",Milestones!$AA$82=FT_Y5,EDATE($D81,Milestones!$AA$82)&lt;PolicyEff),1,Milestones!$AC$82)&amp;";  ","")&amp;IF(AND(EDATE($D81,Milestones!$AA$83)&lt;=AsOfDate,EDATE($D81,Milestones!$AA$83)&gt;=SchemeStart,IF($X81=0,$AD81,IF(AND($Z81&lt;&gt;"",EDATE($D81,Milestones!$AA$83)&gt;=$Z81),$AC81,IF(AND($Y81&lt;&gt;"",EDATE($D81,Milestones!$AA$83)&gt;=$Y81),$AB81,$AA81)))=Milestones!$AB$83),UPPER(TEXT(EDATE($D81,Milestones!$AA$83),"dd mmm yy"))&amp;" "&amp;Milestones!$AB$83&amp;" "&amp;IF(AND(Milestones!$AB$83="FT",Milestones!$AA$83=FT_Y5,EDATE($D81,Milestones!$AA$83)&lt;PolicyEff),1,Milestones!$AC$83)&amp;";  ","")&amp;IF(AND(EDATE($D81,Milestones!$AA$84)&lt;=AsOfDate,EDATE($D81,Milestones!$AA$84)&gt;=SchemeStart,IF($X81=0,$AD81,IF(AND($Z81&lt;&gt;"",EDATE($D81,Milestones!$AA$84)&gt;=$Z81),$AC81,IF(AND($Y81&lt;&gt;"",EDATE($D81,Milestones!$AA$84)&gt;=$Y81),$AB81,$AA81)))=Milestones!$AB$84),UPPER(TEXT(EDATE($D81,Milestones!$AA$84),"dd mmm yy"))&amp;" "&amp;Milestones!$AB$84&amp;" "&amp;IF(AND(Milestones!$AB$84="FT",Milestones!$AA$84=FT_Y5,EDATE($D81,Milestones!$AA$84)&lt;PolicyEff),1,Milestones!$AC$84)&amp;";  ","")&amp;IF(AND(EDATE($D81,Milestones!$AA$85)&lt;=AsOfDate,EDATE($D81,Milestones!$AA$85)&gt;=SchemeStart,IF($X81=0,$AD81,IF(AND($Z81&lt;&gt;"",EDATE($D81,Milestones!$AA$85)&gt;=$Z81),$AC81,IF(AND($Y81&lt;&gt;"",EDATE($D81,Milestones!$AA$85)&gt;=$Y81),$AB81,$AA81)))=Milestones!$AB$85),UPPER(TEXT(EDATE($D81,Milestones!$AA$85),"dd mmm yy"))&amp;" "&amp;Milestones!$AB$85&amp;" "&amp;IF(AND(Milestones!$AB$85="FT",Milestones!$AA$85=FT_Y5,EDATE($D81,Milestones!$AA$85)&lt;PolicyEff),1,Milestones!$AC$85)&amp;";  ","")&amp;IF(AND(EDATE($D81,Milestones!$AA$86)&lt;=AsOfDate,EDATE($D81,Milestones!$AA$86)&gt;=SchemeStart,IF($X81=0,$AD81,IF(AND($Z81&lt;&gt;"",EDATE($D81,Milestones!$AA$86)&gt;=$Z81),$AC81,IF(AND($Y81&lt;&gt;"",EDATE($D81,Milestones!$AA$86)&gt;=$Y81),$AB81,$AA81)))=Milestones!$AB$86),UPPER(TEXT(EDATE($D81,Milestones!$AA$86),"dd mmm yy"))&amp;" "&amp;Milestones!$AB$86&amp;" "&amp;IF(AND(Milestones!$AB$86="FT",Milestones!$AA$86=FT_Y5,EDATE($D81,Milestones!$AA$86)&lt;PolicyEff),1,Milestones!$AC$86)&amp;";  ","")&amp;IF(AND(EDATE($D81,Milestones!$AA$87)&lt;=AsOfDate,EDATE($D81,Milestones!$AA$87)&gt;=SchemeStart,IF($X81=0,$AD81,IF(AND($Z81&lt;&gt;"",EDATE($D81,Milestones!$AA$87)&gt;=$Z81),$AC81,IF(AND($Y81&lt;&gt;"",EDATE($D81,Milestones!$AA$87)&gt;=$Y81),$AB81,$AA81)))=Milestones!$AB$87),UPPER(TEXT(EDATE($D81,Milestones!$AA$87),"dd mmm yy"))&amp;" "&amp;Milestones!$AB$87&amp;" "&amp;IF(AND(Milestones!$AB$87="FT",Milestones!$AA$87=FT_Y5,EDATE($D81,Milestones!$AA$87)&lt;PolicyEff),1,Milestones!$AC$87)&amp;";  ","")&amp;IF(AND(EDATE($D81,Milestones!$AA$88)&lt;=AsOfDate,EDATE($D81,Milestones!$AA$88)&gt;=SchemeStart,IF($X81=0,$AD81,IF(AND($Z81&lt;&gt;"",EDATE($D81,Milestones!$AA$88)&gt;=$Z81),$AC81,IF(AND($Y81&lt;&gt;"",EDATE($D81,Milestones!$AA$88)&gt;=$Y81),$AB81,$AA81)))=Milestones!$AB$88),UPPER(TEXT(EDATE($D81,Milestones!$AA$88),"dd mmm yy"))&amp;" "&amp;Milestones!$AB$88&amp;" "&amp;IF(AND(Milestones!$AB$88="FT",Milestones!$AA$88=FT_Y5,EDATE($D81,Milestones!$AA$88)&lt;PolicyEff),1,Milestones!$AC$88)&amp;";  ","")&amp;IF(AND(EDATE($D81,Milestones!$AA$89)&lt;=AsOfDate,EDATE($D81,Milestones!$AA$89)&gt;=SchemeStart,IF($X81=0,$AD81,IF(AND($Z81&lt;&gt;"",EDATE($D81,Milestones!$AA$89)&gt;=$Z81),$AC81,IF(AND($Y81&lt;&gt;"",EDATE($D81,Milestones!$AA$89)&gt;=$Y81),$AB81,$AA81)))=Milestones!$AB$89),UPPER(TEXT(EDATE($D81,Milestones!$AA$89),"dd mmm yy"))&amp;" "&amp;Milestones!$AB$89&amp;" "&amp;IF(AND(Milestones!$AB$89="FT",Milestones!$AA$89=FT_Y5,EDATE($D81,Milestones!$AA$89)&lt;PolicyEff),1,Milestones!$AC$89)&amp;";  ","")&amp;IF(AND(EDATE($D81,Milestones!$AA$90)&lt;=AsOfDate,EDATE($D81,Milestones!$AA$90)&gt;=SchemeStart,IF($X81=0,$AD81,IF(AND($Z81&lt;&gt;"",EDATE($D81,Milestones!$AA$90)&gt;=$Z81),$AC81,IF(AND($Y81&lt;&gt;"",EDATE($D81,Milestones!$AA$90)&gt;=$Y81),$AB81,$AA81)))=Milestones!$AB$90),UPPER(TEXT(EDATE($D81,Milestones!$AA$90),"dd mmm yy"))&amp;" "&amp;Milestones!$AB$90&amp;" "&amp;IF(AND(Milestones!$AB$90="FT",Milestones!$AA$90=FT_Y5,EDATE($D81,Milestones!$AA$90)&lt;PolicyEff),1,Milestones!$AC$90)&amp;";  ","")&amp;IF(AND(EDATE($D81,Milestones!$AA$91)&lt;=AsOfDate,EDATE($D81,Milestones!$AA$91)&gt;=SchemeStart,IF($X81=0,$AD81,IF(AND($Z81&lt;&gt;"",EDATE($D81,Milestones!$AA$91)&gt;=$Z81),$AC81,IF(AND($Y81&lt;&gt;"",EDATE($D81,Milestones!$AA$91)&gt;=$Y81),$AB81,$AA81)))=Milestones!$AB$91),UPPER(TEXT(EDATE($D81,Milestones!$AA$91),"dd mmm yy"))&amp;" "&amp;Milestones!$AB$91&amp;" "&amp;IF(AND(Milestones!$AB$91="FT",Milestones!$AA$91=FT_Y5,EDATE($D81,Milestones!$AA$91)&lt;PolicyEff),1,Milestones!$AC$91)&amp;";  ",""))</f>
        <v/>
      </c>
      <c r="O81" s="0" t="str">
        <f aca="false">IF(OR($A81="",$D81=""),"",IF(AND(EDATE($D81,Milestones!$AA$92)&lt;=AsOfDate,EDATE($D81,Milestones!$AA$92)&gt;=SchemeStart,IF($X81=0,$AD81,IF(AND($Z81&lt;&gt;"",EDATE($D81,Milestones!$AA$92)&gt;=$Z81),$AC81,IF(AND($Y81&lt;&gt;"",EDATE($D81,Milestones!$AA$92)&gt;=$Y81),$AB81,$AA81)))=Milestones!$AB$92),UPPER(TEXT(EDATE($D81,Milestones!$AA$92),"dd mmm yy"))&amp;" "&amp;Milestones!$AB$92&amp;" "&amp;IF(AND(Milestones!$AB$92="FT",Milestones!$AA$92=FT_Y5,EDATE($D81,Milestones!$AA$92)&lt;PolicyEff),1,Milestones!$AC$92)&amp;";  ","")&amp;IF(AND(EDATE($D81,Milestones!$AA$93)&lt;=AsOfDate,EDATE($D81,Milestones!$AA$93)&gt;=SchemeStart,IF($X81=0,$AD81,IF(AND($Z81&lt;&gt;"",EDATE($D81,Milestones!$AA$93)&gt;=$Z81),$AC81,IF(AND($Y81&lt;&gt;"",EDATE($D81,Milestones!$AA$93)&gt;=$Y81),$AB81,$AA81)))=Milestones!$AB$93),UPPER(TEXT(EDATE($D81,Milestones!$AA$93),"dd mmm yy"))&amp;" "&amp;Milestones!$AB$93&amp;" "&amp;IF(AND(Milestones!$AB$93="FT",Milestones!$AA$93=FT_Y5,EDATE($D81,Milestones!$AA$93)&lt;PolicyEff),1,Milestones!$AC$93)&amp;";  ","")&amp;IF(AND(EDATE($D81,Milestones!$AA$94)&lt;=AsOfDate,EDATE($D81,Milestones!$AA$94)&gt;=SchemeStart,IF($X81=0,$AD81,IF(AND($Z81&lt;&gt;"",EDATE($D81,Milestones!$AA$94)&gt;=$Z81),$AC81,IF(AND($Y81&lt;&gt;"",EDATE($D81,Milestones!$AA$94)&gt;=$Y81),$AB81,$AA81)))=Milestones!$AB$94),UPPER(TEXT(EDATE($D81,Milestones!$AA$94),"dd mmm yy"))&amp;" "&amp;Milestones!$AB$94&amp;" "&amp;IF(AND(Milestones!$AB$94="FT",Milestones!$AA$94=FT_Y5,EDATE($D81,Milestones!$AA$94)&lt;PolicyEff),1,Milestones!$AC$94)&amp;";  ","")&amp;IF(AND(EDATE($D81,Milestones!$AA$95)&lt;=AsOfDate,EDATE($D81,Milestones!$AA$95)&gt;=SchemeStart,IF($X81=0,$AD81,IF(AND($Z81&lt;&gt;"",EDATE($D81,Milestones!$AA$95)&gt;=$Z81),$AC81,IF(AND($Y81&lt;&gt;"",EDATE($D81,Milestones!$AA$95)&gt;=$Y81),$AB81,$AA81)))=Milestones!$AB$95),UPPER(TEXT(EDATE($D81,Milestones!$AA$95),"dd mmm yy"))&amp;" "&amp;Milestones!$AB$95&amp;" "&amp;IF(AND(Milestones!$AB$95="FT",Milestones!$AA$95=FT_Y5,EDATE($D81,Milestones!$AA$95)&lt;PolicyEff),1,Milestones!$AC$95)&amp;";  ","")&amp;IF(AND(EDATE($D81,Milestones!$AA$96)&lt;=AsOfDate,EDATE($D81,Milestones!$AA$96)&gt;=SchemeStart,IF($X81=0,$AD81,IF(AND($Z81&lt;&gt;"",EDATE($D81,Milestones!$AA$96)&gt;=$Z81),$AC81,IF(AND($Y81&lt;&gt;"",EDATE($D81,Milestones!$AA$96)&gt;=$Y81),$AB81,$AA81)))=Milestones!$AB$96),UPPER(TEXT(EDATE($D81,Milestones!$AA$96),"dd mmm yy"))&amp;" "&amp;Milestones!$AB$96&amp;" "&amp;IF(AND(Milestones!$AB$96="FT",Milestones!$AA$96=FT_Y5,EDATE($D81,Milestones!$AA$96)&lt;PolicyEff),1,Milestones!$AC$96)&amp;";  ","")&amp;IF(AND(EDATE($D81,Milestones!$AA$97)&lt;=AsOfDate,EDATE($D81,Milestones!$AA$97)&gt;=SchemeStart,IF($X81=0,$AD81,IF(AND($Z81&lt;&gt;"",EDATE($D81,Milestones!$AA$97)&gt;=$Z81),$AC81,IF(AND($Y81&lt;&gt;"",EDATE($D81,Milestones!$AA$97)&gt;=$Y81),$AB81,$AA81)))=Milestones!$AB$97),UPPER(TEXT(EDATE($D81,Milestones!$AA$97),"dd mmm yy"))&amp;" "&amp;Milestones!$AB$97&amp;" "&amp;IF(AND(Milestones!$AB$97="FT",Milestones!$AA$97=FT_Y5,EDATE($D81,Milestones!$AA$97)&lt;PolicyEff),1,Milestones!$AC$97)&amp;";  ","")&amp;IF(AND(EDATE($D81,Milestones!$AA$98)&lt;=AsOfDate,EDATE($D81,Milestones!$AA$98)&gt;=SchemeStart,IF($X81=0,$AD81,IF(AND($Z81&lt;&gt;"",EDATE($D81,Milestones!$AA$98)&gt;=$Z81),$AC81,IF(AND($Y81&lt;&gt;"",EDATE($D81,Milestones!$AA$98)&gt;=$Y81),$AB81,$AA81)))=Milestones!$AB$98),UPPER(TEXT(EDATE($D81,Milestones!$AA$98),"dd mmm yy"))&amp;" "&amp;Milestones!$AB$98&amp;" "&amp;IF(AND(Milestones!$AB$98="FT",Milestones!$AA$98=FT_Y5,EDATE($D81,Milestones!$AA$98)&lt;PolicyEff),1,Milestones!$AC$98)&amp;";  ","")&amp;IF(AND(EDATE($D81,Milestones!$AA$99)&lt;=AsOfDate,EDATE($D81,Milestones!$AA$99)&gt;=SchemeStart,IF($X81=0,$AD81,IF(AND($Z81&lt;&gt;"",EDATE($D81,Milestones!$AA$99)&gt;=$Z81),$AC81,IF(AND($Y81&lt;&gt;"",EDATE($D81,Milestones!$AA$99)&gt;=$Y81),$AB81,$AA81)))=Milestones!$AB$99),UPPER(TEXT(EDATE($D81,Milestones!$AA$99),"dd mmm yy"))&amp;" "&amp;Milestones!$AB$99&amp;" "&amp;IF(AND(Milestones!$AB$99="FT",Milestones!$AA$99=FT_Y5,EDATE($D81,Milestones!$AA$99)&lt;PolicyEff),1,Milestones!$AC$99)&amp;";  ","")&amp;IF(AND(EDATE($D81,Milestones!$AA$100)&lt;=AsOfDate,EDATE($D81,Milestones!$AA$100)&gt;=SchemeStart,IF($X81=0,$AD81,IF(AND($Z81&lt;&gt;"",EDATE($D81,Milestones!$AA$100)&gt;=$Z81),$AC81,IF(AND($Y81&lt;&gt;"",EDATE($D81,Milestones!$AA$100)&gt;=$Y81),$AB81,$AA81)))=Milestones!$AB$100),UPPER(TEXT(EDATE($D81,Milestones!$AA$100),"dd mmm yy"))&amp;" "&amp;Milestones!$AB$100&amp;" "&amp;IF(AND(Milestones!$AB$100="FT",Milestones!$AA$100=FT_Y5,EDATE($D81,Milestones!$AA$100)&lt;PolicyEff),1,Milestones!$AC$100)&amp;";  ","")&amp;IF(AND(EDATE($D81,Milestones!$AA$101)&lt;=AsOfDate,EDATE($D81,Milestones!$AA$101)&gt;=SchemeStart,IF($X81=0,$AD81,IF(AND($Z81&lt;&gt;"",EDATE($D81,Milestones!$AA$101)&gt;=$Z81),$AC81,IF(AND($Y81&lt;&gt;"",EDATE($D81,Milestones!$AA$101)&gt;=$Y81),$AB81,$AA81)))=Milestones!$AB$101),UPPER(TEXT(EDATE($D81,Milestones!$AA$101),"dd mmm yy"))&amp;" "&amp;Milestones!$AB$101&amp;" "&amp;IF(AND(Milestones!$AB$101="FT",Milestones!$AA$101=FT_Y5,EDATE($D81,Milestones!$AA$101)&lt;PolicyEff),1,Milestones!$AC$101)&amp;";  ","")&amp;IF(AND(EDATE($D81,Milestones!$AA$102)&lt;=AsOfDate,EDATE($D81,Milestones!$AA$102)&gt;=SchemeStart,IF($X81=0,$AD81,IF(AND($Z81&lt;&gt;"",EDATE($D81,Milestones!$AA$102)&gt;=$Z81),$AC81,IF(AND($Y81&lt;&gt;"",EDATE($D81,Milestones!$AA$102)&gt;=$Y81),$AB81,$AA81)))=Milestones!$AB$102),UPPER(TEXT(EDATE($D81,Milestones!$AA$102),"dd mmm yy"))&amp;" "&amp;Milestones!$AB$102&amp;" "&amp;IF(AND(Milestones!$AB$102="FT",Milestones!$AA$102=FT_Y5,EDATE($D81,Milestones!$AA$102)&lt;PolicyEff),1,Milestones!$AC$102)&amp;";  ","")&amp;IF(AND(EDATE($D81,Milestones!$AA$103)&lt;=AsOfDate,EDATE($D81,Milestones!$AA$103)&gt;=SchemeStart,IF($X81=0,$AD81,IF(AND($Z81&lt;&gt;"",EDATE($D81,Milestones!$AA$103)&gt;=$Z81),$AC81,IF(AND($Y81&lt;&gt;"",EDATE($D81,Milestones!$AA$103)&gt;=$Y81),$AB81,$AA81)))=Milestones!$AB$103),UPPER(TEXT(EDATE($D81,Milestones!$AA$103),"dd mmm yy"))&amp;" "&amp;Milestones!$AB$103&amp;" "&amp;IF(AND(Milestones!$AB$103="FT",Milestones!$AA$103=FT_Y5,EDATE($D81,Milestones!$AA$103)&lt;PolicyEff),1,Milestones!$AC$103)&amp;";  ",""))</f>
        <v/>
      </c>
      <c r="P81" s="0" t="str">
        <f aca="false">IF(OR($A81="",$D81=""),"",IF(AND(EDATE($D81,Milestones!$AA$104)&lt;=AsOfDate,EDATE($D81,Milestones!$AA$104)&gt;=SchemeStart,IF($X81=0,$AD81,IF(AND($Z81&lt;&gt;"",EDATE($D81,Milestones!$AA$104)&gt;=$Z81),$AC81,IF(AND($Y81&lt;&gt;"",EDATE($D81,Milestones!$AA$104)&gt;=$Y81),$AB81,$AA81)))=Milestones!$AB$104),UPPER(TEXT(EDATE($D81,Milestones!$AA$104),"dd mmm yy"))&amp;" "&amp;Milestones!$AB$104&amp;" "&amp;IF(AND(Milestones!$AB$104="FT",Milestones!$AA$104=FT_Y5,EDATE($D81,Milestones!$AA$104)&lt;PolicyEff),1,Milestones!$AC$104)&amp;";  ","")&amp;IF(AND(EDATE($D81,Milestones!$AA$105)&lt;=AsOfDate,EDATE($D81,Milestones!$AA$105)&gt;=SchemeStart,IF($X81=0,$AD81,IF(AND($Z81&lt;&gt;"",EDATE($D81,Milestones!$AA$105)&gt;=$Z81),$AC81,IF(AND($Y81&lt;&gt;"",EDATE($D81,Milestones!$AA$105)&gt;=$Y81),$AB81,$AA81)))=Milestones!$AB$105),UPPER(TEXT(EDATE($D81,Milestones!$AA$105),"dd mmm yy"))&amp;" "&amp;Milestones!$AB$105&amp;" "&amp;IF(AND(Milestones!$AB$105="FT",Milestones!$AA$105=FT_Y5,EDATE($D81,Milestones!$AA$105)&lt;PolicyEff),1,Milestones!$AC$105)&amp;";  ","")&amp;IF(AND(EDATE($D81,Milestones!$AA$106)&lt;=AsOfDate,EDATE($D81,Milestones!$AA$106)&gt;=SchemeStart,IF($X81=0,$AD81,IF(AND($Z81&lt;&gt;"",EDATE($D81,Milestones!$AA$106)&gt;=$Z81),$AC81,IF(AND($Y81&lt;&gt;"",EDATE($D81,Milestones!$AA$106)&gt;=$Y81),$AB81,$AA81)))=Milestones!$AB$106),UPPER(TEXT(EDATE($D81,Milestones!$AA$106),"dd mmm yy"))&amp;" "&amp;Milestones!$AB$106&amp;" "&amp;IF(AND(Milestones!$AB$106="FT",Milestones!$AA$106=FT_Y5,EDATE($D81,Milestones!$AA$106)&lt;PolicyEff),1,Milestones!$AC$106)&amp;";  ","")&amp;IF(AND(EDATE($D81,Milestones!$AA$107)&lt;=AsOfDate,EDATE($D81,Milestones!$AA$107)&gt;=SchemeStart,IF($X81=0,$AD81,IF(AND($Z81&lt;&gt;"",EDATE($D81,Milestones!$AA$107)&gt;=$Z81),$AC81,IF(AND($Y81&lt;&gt;"",EDATE($D81,Milestones!$AA$107)&gt;=$Y81),$AB81,$AA81)))=Milestones!$AB$107),UPPER(TEXT(EDATE($D81,Milestones!$AA$107),"dd mmm yy"))&amp;" "&amp;Milestones!$AB$107&amp;" "&amp;IF(AND(Milestones!$AB$107="FT",Milestones!$AA$107=FT_Y5,EDATE($D81,Milestones!$AA$107)&lt;PolicyEff),1,Milestones!$AC$107)&amp;";  ","")&amp;IF(AND(EDATE($D81,Milestones!$AA$108)&lt;=AsOfDate,EDATE($D81,Milestones!$AA$108)&gt;=SchemeStart,IF($X81=0,$AD81,IF(AND($Z81&lt;&gt;"",EDATE($D81,Milestones!$AA$108)&gt;=$Z81),$AC81,IF(AND($Y81&lt;&gt;"",EDATE($D81,Milestones!$AA$108)&gt;=$Y81),$AB81,$AA81)))=Milestones!$AB$108),UPPER(TEXT(EDATE($D81,Milestones!$AA$108),"dd mmm yy"))&amp;" "&amp;Milestones!$AB$108&amp;" "&amp;IF(AND(Milestones!$AB$108="FT",Milestones!$AA$108=FT_Y5,EDATE($D81,Milestones!$AA$108)&lt;PolicyEff),1,Milestones!$AC$108)&amp;";  ","")&amp;IF(AND(EDATE($D81,Milestones!$AA$109)&lt;=AsOfDate,EDATE($D81,Milestones!$AA$109)&gt;=SchemeStart,IF($X81=0,$AD81,IF(AND($Z81&lt;&gt;"",EDATE($D81,Milestones!$AA$109)&gt;=$Z81),$AC81,IF(AND($Y81&lt;&gt;"",EDATE($D81,Milestones!$AA$109)&gt;=$Y81),$AB81,$AA81)))=Milestones!$AB$109),UPPER(TEXT(EDATE($D81,Milestones!$AA$109),"dd mmm yy"))&amp;" "&amp;Milestones!$AB$109&amp;" "&amp;IF(AND(Milestones!$AB$109="FT",Milestones!$AA$109=FT_Y5,EDATE($D81,Milestones!$AA$109)&lt;PolicyEff),1,Milestones!$AC$109)&amp;";  ","")&amp;IF(AND(EDATE($D81,Milestones!$AA$110)&lt;=AsOfDate,EDATE($D81,Milestones!$AA$110)&gt;=SchemeStart,IF($X81=0,$AD81,IF(AND($Z81&lt;&gt;"",EDATE($D81,Milestones!$AA$110)&gt;=$Z81),$AC81,IF(AND($Y81&lt;&gt;"",EDATE($D81,Milestones!$AA$110)&gt;=$Y81),$AB81,$AA81)))=Milestones!$AB$110),UPPER(TEXT(EDATE($D81,Milestones!$AA$110),"dd mmm yy"))&amp;" "&amp;Milestones!$AB$110&amp;" "&amp;IF(AND(Milestones!$AB$110="FT",Milestones!$AA$110=FT_Y5,EDATE($D81,Milestones!$AA$110)&lt;PolicyEff),1,Milestones!$AC$110)&amp;";  ","")&amp;IF(AND(EDATE($D81,Milestones!$AA$111)&lt;=AsOfDate,EDATE($D81,Milestones!$AA$111)&gt;=SchemeStart,IF($X81=0,$AD81,IF(AND($Z81&lt;&gt;"",EDATE($D81,Milestones!$AA$111)&gt;=$Z81),$AC81,IF(AND($Y81&lt;&gt;"",EDATE($D81,Milestones!$AA$111)&gt;=$Y81),$AB81,$AA81)))=Milestones!$AB$111),UPPER(TEXT(EDATE($D81,Milestones!$AA$111),"dd mmm yy"))&amp;" "&amp;Milestones!$AB$111&amp;" "&amp;IF(AND(Milestones!$AB$111="FT",Milestones!$AA$111=FT_Y5,EDATE($D81,Milestones!$AA$111)&lt;PolicyEff),1,Milestones!$AC$111)&amp;";  ","")&amp;IF(AND(EDATE($D81,Milestones!$AA$112)&lt;=AsOfDate,EDATE($D81,Milestones!$AA$112)&gt;=SchemeStart,IF($X81=0,$AD81,IF(AND($Z81&lt;&gt;"",EDATE($D81,Milestones!$AA$112)&gt;=$Z81),$AC81,IF(AND($Y81&lt;&gt;"",EDATE($D81,Milestones!$AA$112)&gt;=$Y81),$AB81,$AA81)))=Milestones!$AB$112),UPPER(TEXT(EDATE($D81,Milestones!$AA$112),"dd mmm yy"))&amp;" "&amp;Milestones!$AB$112&amp;" "&amp;IF(AND(Milestones!$AB$112="FT",Milestones!$AA$112=FT_Y5,EDATE($D81,Milestones!$AA$112)&lt;PolicyEff),1,Milestones!$AC$112)&amp;";  ","")&amp;IF(AND(EDATE($D81,Milestones!$AA$113)&lt;=AsOfDate,EDATE($D81,Milestones!$AA$113)&gt;=SchemeStart,IF($X81=0,$AD81,IF(AND($Z81&lt;&gt;"",EDATE($D81,Milestones!$AA$113)&gt;=$Z81),$AC81,IF(AND($Y81&lt;&gt;"",EDATE($D81,Milestones!$AA$113)&gt;=$Y81),$AB81,$AA81)))=Milestones!$AB$113),UPPER(TEXT(EDATE($D81,Milestones!$AA$113),"dd mmm yy"))&amp;" "&amp;Milestones!$AB$113&amp;" "&amp;IF(AND(Milestones!$AB$113="FT",Milestones!$AA$113=FT_Y5,EDATE($D81,Milestones!$AA$113)&lt;PolicyEff),1,Milestones!$AC$113)&amp;";  ","")&amp;IF(AND(EDATE($D81,Milestones!$AA$114)&lt;=AsOfDate,EDATE($D81,Milestones!$AA$114)&gt;=SchemeStart,IF($X81=0,$AD81,IF(AND($Z81&lt;&gt;"",EDATE($D81,Milestones!$AA$114)&gt;=$Z81),$AC81,IF(AND($Y81&lt;&gt;"",EDATE($D81,Milestones!$AA$114)&gt;=$Y81),$AB81,$AA81)))=Milestones!$AB$114),UPPER(TEXT(EDATE($D81,Milestones!$AA$114),"dd mmm yy"))&amp;" "&amp;Milestones!$AB$114&amp;" "&amp;IF(AND(Milestones!$AB$114="FT",Milestones!$AA$114=FT_Y5,EDATE($D81,Milestones!$AA$114)&lt;PolicyEff),1,Milestones!$AC$114)&amp;";  ","")&amp;IF(AND(EDATE($D81,Milestones!$AA$115)&lt;=AsOfDate,EDATE($D81,Milestones!$AA$115)&gt;=SchemeStart,IF($X81=0,$AD81,IF(AND($Z81&lt;&gt;"",EDATE($D81,Milestones!$AA$115)&gt;=$Z81),$AC81,IF(AND($Y81&lt;&gt;"",EDATE($D81,Milestones!$AA$115)&gt;=$Y81),$AB81,$AA81)))=Milestones!$AB$115),UPPER(TEXT(EDATE($D81,Milestones!$AA$115),"dd mmm yy"))&amp;" "&amp;Milestones!$AB$115&amp;" "&amp;IF(AND(Milestones!$AB$115="FT",Milestones!$AA$115=FT_Y5,EDATE($D81,Milestones!$AA$115)&lt;PolicyEff),1,Milestones!$AC$115)&amp;";  ",""))</f>
        <v/>
      </c>
      <c r="Q81" s="0" t="str">
        <f aca="false">IF(OR($A81="",$D81=""),"",IF(AND(EDATE($D81,Milestones!$AA$116)&lt;=AsOfDate,EDATE($D81,Milestones!$AA$116)&gt;=SchemeStart,IF($X81=0,$AD81,IF(AND($Z81&lt;&gt;"",EDATE($D81,Milestones!$AA$116)&gt;=$Z81),$AC81,IF(AND($Y81&lt;&gt;"",EDATE($D81,Milestones!$AA$116)&gt;=$Y81),$AB81,$AA81)))=Milestones!$AB$116),UPPER(TEXT(EDATE($D81,Milestones!$AA$116),"dd mmm yy"))&amp;" "&amp;Milestones!$AB$116&amp;" "&amp;IF(AND(Milestones!$AB$116="FT",Milestones!$AA$116=FT_Y5,EDATE($D81,Milestones!$AA$116)&lt;PolicyEff),1,Milestones!$AC$116)&amp;";  ","")&amp;IF(AND(EDATE($D81,Milestones!$AA$117)&lt;=AsOfDate,EDATE($D81,Milestones!$AA$117)&gt;=SchemeStart,IF($X81=0,$AD81,IF(AND($Z81&lt;&gt;"",EDATE($D81,Milestones!$AA$117)&gt;=$Z81),$AC81,IF(AND($Y81&lt;&gt;"",EDATE($D81,Milestones!$AA$117)&gt;=$Y81),$AB81,$AA81)))=Milestones!$AB$117),UPPER(TEXT(EDATE($D81,Milestones!$AA$117),"dd mmm yy"))&amp;" "&amp;Milestones!$AB$117&amp;" "&amp;IF(AND(Milestones!$AB$117="FT",Milestones!$AA$117=FT_Y5,EDATE($D81,Milestones!$AA$117)&lt;PolicyEff),1,Milestones!$AC$117)&amp;";  ","")&amp;IF(AND(EDATE($D81,Milestones!$AA$118)&lt;=AsOfDate,EDATE($D81,Milestones!$AA$118)&gt;=SchemeStart,IF($X81=0,$AD81,IF(AND($Z81&lt;&gt;"",EDATE($D81,Milestones!$AA$118)&gt;=$Z81),$AC81,IF(AND($Y81&lt;&gt;"",EDATE($D81,Milestones!$AA$118)&gt;=$Y81),$AB81,$AA81)))=Milestones!$AB$118),UPPER(TEXT(EDATE($D81,Milestones!$AA$118),"dd mmm yy"))&amp;" "&amp;Milestones!$AB$118&amp;" "&amp;IF(AND(Milestones!$AB$118="FT",Milestones!$AA$118=FT_Y5,EDATE($D81,Milestones!$AA$118)&lt;PolicyEff),1,Milestones!$AC$118)&amp;";  ","")&amp;IF(AND(EDATE($D81,Milestones!$AA$119)&lt;=AsOfDate,EDATE($D81,Milestones!$AA$119)&gt;=SchemeStart,IF($X81=0,$AD81,IF(AND($Z81&lt;&gt;"",EDATE($D81,Milestones!$AA$119)&gt;=$Z81),$AC81,IF(AND($Y81&lt;&gt;"",EDATE($D81,Milestones!$AA$119)&gt;=$Y81),$AB81,$AA81)))=Milestones!$AB$119),UPPER(TEXT(EDATE($D81,Milestones!$AA$119),"dd mmm yy"))&amp;" "&amp;Milestones!$AB$119&amp;" "&amp;IF(AND(Milestones!$AB$119="FT",Milestones!$AA$119=FT_Y5,EDATE($D81,Milestones!$AA$119)&lt;PolicyEff),1,Milestones!$AC$119)&amp;";  ","")&amp;IF(AND(EDATE($D81,Milestones!$AA$120)&lt;=AsOfDate,EDATE($D81,Milestones!$AA$120)&gt;=SchemeStart,IF($X81=0,$AD81,IF(AND($Z81&lt;&gt;"",EDATE($D81,Milestones!$AA$120)&gt;=$Z81),$AC81,IF(AND($Y81&lt;&gt;"",EDATE($D81,Milestones!$AA$120)&gt;=$Y81),$AB81,$AA81)))=Milestones!$AB$120),UPPER(TEXT(EDATE($D81,Milestones!$AA$120),"dd mmm yy"))&amp;" "&amp;Milestones!$AB$120&amp;" "&amp;IF(AND(Milestones!$AB$120="FT",Milestones!$AA$120=FT_Y5,EDATE($D81,Milestones!$AA$120)&lt;PolicyEff),1,Milestones!$AC$120)&amp;";  ","")&amp;IF(AND(EDATE($D81,Milestones!$AA$121)&lt;=AsOfDate,EDATE($D81,Milestones!$AA$121)&gt;=SchemeStart,IF($X81=0,$AD81,IF(AND($Z81&lt;&gt;"",EDATE($D81,Milestones!$AA$121)&gt;=$Z81),$AC81,IF(AND($Y81&lt;&gt;"",EDATE($D81,Milestones!$AA$121)&gt;=$Y81),$AB81,$AA81)))=Milestones!$AB$121),UPPER(TEXT(EDATE($D81,Milestones!$AA$121),"dd mmm yy"))&amp;" "&amp;Milestones!$AB$121&amp;" "&amp;IF(AND(Milestones!$AB$121="FT",Milestones!$AA$121=FT_Y5,EDATE($D81,Milestones!$AA$121)&lt;PolicyEff),1,Milestones!$AC$121)&amp;";  ","")&amp;IF(AND(EDATE($D81,Milestones!$AA$122)&lt;=AsOfDate,EDATE($D81,Milestones!$AA$122)&gt;=SchemeStart,IF($X81=0,$AD81,IF(AND($Z81&lt;&gt;"",EDATE($D81,Milestones!$AA$122)&gt;=$Z81),$AC81,IF(AND($Y81&lt;&gt;"",EDATE($D81,Milestones!$AA$122)&gt;=$Y81),$AB81,$AA81)))=Milestones!$AB$122),UPPER(TEXT(EDATE($D81,Milestones!$AA$122),"dd mmm yy"))&amp;" "&amp;Milestones!$AB$122&amp;" "&amp;IF(AND(Milestones!$AB$122="FT",Milestones!$AA$122=FT_Y5,EDATE($D81,Milestones!$AA$122)&lt;PolicyEff),1,Milestones!$AC$122)&amp;";  ","")&amp;IF(AND(EDATE($D81,Milestones!$AA$123)&lt;=AsOfDate,EDATE($D81,Milestones!$AA$123)&gt;=SchemeStart,IF($X81=0,$AD81,IF(AND($Z81&lt;&gt;"",EDATE($D81,Milestones!$AA$123)&gt;=$Z81),$AC81,IF(AND($Y81&lt;&gt;"",EDATE($D81,Milestones!$AA$123)&gt;=$Y81),$AB81,$AA81)))=Milestones!$AB$123),UPPER(TEXT(EDATE($D81,Milestones!$AA$123),"dd mmm yy"))&amp;" "&amp;Milestones!$AB$123&amp;" "&amp;IF(AND(Milestones!$AB$123="FT",Milestones!$AA$123=FT_Y5,EDATE($D81,Milestones!$AA$123)&lt;PolicyEff),1,Milestones!$AC$123)&amp;";  ","")&amp;IF(AND(EDATE($D81,Milestones!$AA$124)&lt;=AsOfDate,EDATE($D81,Milestones!$AA$124)&gt;=SchemeStart,IF($X81=0,$AD81,IF(AND($Z81&lt;&gt;"",EDATE($D81,Milestones!$AA$124)&gt;=$Z81),$AC81,IF(AND($Y81&lt;&gt;"",EDATE($D81,Milestones!$AA$124)&gt;=$Y81),$AB81,$AA81)))=Milestones!$AB$124),UPPER(TEXT(EDATE($D81,Milestones!$AA$124),"dd mmm yy"))&amp;" "&amp;Milestones!$AB$124&amp;" "&amp;IF(AND(Milestones!$AB$124="FT",Milestones!$AA$124=FT_Y5,EDATE($D81,Milestones!$AA$124)&lt;PolicyEff),1,Milestones!$AC$124)&amp;";  ","")&amp;IF(AND(EDATE($D81,Milestones!$AA$125)&lt;=AsOfDate,EDATE($D81,Milestones!$AA$125)&gt;=SchemeStart,IF($X81=0,$AD81,IF(AND($Z81&lt;&gt;"",EDATE($D81,Milestones!$AA$125)&gt;=$Z81),$AC81,IF(AND($Y81&lt;&gt;"",EDATE($D81,Milestones!$AA$125)&gt;=$Y81),$AB81,$AA81)))=Milestones!$AB$125),UPPER(TEXT(EDATE($D81,Milestones!$AA$125),"dd mmm yy"))&amp;" "&amp;Milestones!$AB$125&amp;" "&amp;IF(AND(Milestones!$AB$125="FT",Milestones!$AA$125=FT_Y5,EDATE($D81,Milestones!$AA$125)&lt;PolicyEff),1,Milestones!$AC$125)&amp;";  ","")&amp;IF(AND(EDATE($D81,Milestones!$AA$126)&lt;=AsOfDate,EDATE($D81,Milestones!$AA$126)&gt;=SchemeStart,IF($X81=0,$AD81,IF(AND($Z81&lt;&gt;"",EDATE($D81,Milestones!$AA$126)&gt;=$Z81),$AC81,IF(AND($Y81&lt;&gt;"",EDATE($D81,Milestones!$AA$126)&gt;=$Y81),$AB81,$AA81)))=Milestones!$AB$126),UPPER(TEXT(EDATE($D81,Milestones!$AA$126),"dd mmm yy"))&amp;" "&amp;Milestones!$AB$126&amp;" "&amp;IF(AND(Milestones!$AB$126="FT",Milestones!$AA$126=FT_Y5,EDATE($D81,Milestones!$AA$126)&lt;PolicyEff),1,Milestones!$AC$126)&amp;";  ","")&amp;IF(AND(EDATE($D81,Milestones!$AA$127)&lt;=AsOfDate,EDATE($D81,Milestones!$AA$127)&gt;=SchemeStart,IF($X81=0,$AD81,IF(AND($Z81&lt;&gt;"",EDATE($D81,Milestones!$AA$127)&gt;=$Z81),$AC81,IF(AND($Y81&lt;&gt;"",EDATE($D81,Milestones!$AA$127)&gt;=$Y81),$AB81,$AA81)))=Milestones!$AB$127),UPPER(TEXT(EDATE($D81,Milestones!$AA$127),"dd mmm yy"))&amp;" "&amp;Milestones!$AB$127&amp;" "&amp;IF(AND(Milestones!$AB$127="FT",Milestones!$AA$127=FT_Y5,EDATE($D81,Milestones!$AA$127)&lt;PolicyEff),1,Milestones!$AC$127)&amp;";  ",""))</f>
        <v/>
      </c>
      <c r="R81" s="0" t="str">
        <f aca="false">IF(OR($A81="",$D81=""),"",IF(AND(EDATE($D81,Milestones!$AA$128)&lt;=AsOfDate,EDATE($D81,Milestones!$AA$128)&gt;=SchemeStart,IF($X81=0,$AD81,IF(AND($Z81&lt;&gt;"",EDATE($D81,Milestones!$AA$128)&gt;=$Z81),$AC81,IF(AND($Y81&lt;&gt;"",EDATE($D81,Milestones!$AA$128)&gt;=$Y81),$AB81,$AA81)))=Milestones!$AB$128),UPPER(TEXT(EDATE($D81,Milestones!$AA$128),"dd mmm yy"))&amp;" "&amp;Milestones!$AB$128&amp;" "&amp;IF(AND(Milestones!$AB$128="FT",Milestones!$AA$128=FT_Y5,EDATE($D81,Milestones!$AA$128)&lt;PolicyEff),1,Milestones!$AC$128)&amp;";  ","")&amp;IF(AND(EDATE($D81,Milestones!$AA$129)&lt;=AsOfDate,EDATE($D81,Milestones!$AA$129)&gt;=SchemeStart,IF($X81=0,$AD81,IF(AND($Z81&lt;&gt;"",EDATE($D81,Milestones!$AA$129)&gt;=$Z81),$AC81,IF(AND($Y81&lt;&gt;"",EDATE($D81,Milestones!$AA$129)&gt;=$Y81),$AB81,$AA81)))=Milestones!$AB$129),UPPER(TEXT(EDATE($D81,Milestones!$AA$129),"dd mmm yy"))&amp;" "&amp;Milestones!$AB$129&amp;" "&amp;IF(AND(Milestones!$AB$129="FT",Milestones!$AA$129=FT_Y5,EDATE($D81,Milestones!$AA$129)&lt;PolicyEff),1,Milestones!$AC$129)&amp;";  ","")&amp;IF(AND(EDATE($D81,Milestones!$AA$130)&lt;=AsOfDate,EDATE($D81,Milestones!$AA$130)&gt;=SchemeStart,IF($X81=0,$AD81,IF(AND($Z81&lt;&gt;"",EDATE($D81,Milestones!$AA$130)&gt;=$Z81),$AC81,IF(AND($Y81&lt;&gt;"",EDATE($D81,Milestones!$AA$130)&gt;=$Y81),$AB81,$AA81)))=Milestones!$AB$130),UPPER(TEXT(EDATE($D81,Milestones!$AA$130),"dd mmm yy"))&amp;" "&amp;Milestones!$AB$130&amp;" "&amp;IF(AND(Milestones!$AB$130="FT",Milestones!$AA$130=FT_Y5,EDATE($D81,Milestones!$AA$130)&lt;PolicyEff),1,Milestones!$AC$130)&amp;";  ","")&amp;IF(AND(EDATE($D81,Milestones!$AA$131)&lt;=AsOfDate,EDATE($D81,Milestones!$AA$131)&gt;=SchemeStart,IF($X81=0,$AD81,IF(AND($Z81&lt;&gt;"",EDATE($D81,Milestones!$AA$131)&gt;=$Z81),$AC81,IF(AND($Y81&lt;&gt;"",EDATE($D81,Milestones!$AA$131)&gt;=$Y81),$AB81,$AA81)))=Milestones!$AB$131),UPPER(TEXT(EDATE($D81,Milestones!$AA$131),"dd mmm yy"))&amp;" "&amp;Milestones!$AB$131&amp;" "&amp;IF(AND(Milestones!$AB$131="FT",Milestones!$AA$131=FT_Y5,EDATE($D81,Milestones!$AA$131)&lt;PolicyEff),1,Milestones!$AC$131)&amp;";  ","")&amp;IF(AND(EDATE($D81,Milestones!$AA$132)&lt;=AsOfDate,EDATE($D81,Milestones!$AA$132)&gt;=SchemeStart,IF($X81=0,$AD81,IF(AND($Z81&lt;&gt;"",EDATE($D81,Milestones!$AA$132)&gt;=$Z81),$AC81,IF(AND($Y81&lt;&gt;"",EDATE($D81,Milestones!$AA$132)&gt;=$Y81),$AB81,$AA81)))=Milestones!$AB$132),UPPER(TEXT(EDATE($D81,Milestones!$AA$132),"dd mmm yy"))&amp;" "&amp;Milestones!$AB$132&amp;" "&amp;IF(AND(Milestones!$AB$132="FT",Milestones!$AA$132=FT_Y5,EDATE($D81,Milestones!$AA$132)&lt;PolicyEff),1,Milestones!$AC$132)&amp;";  ","")&amp;IF(AND(EDATE($D81,Milestones!$AA$133)&lt;=AsOfDate,EDATE($D81,Milestones!$AA$133)&gt;=SchemeStart,IF($X81=0,$AD81,IF(AND($Z81&lt;&gt;"",EDATE($D81,Milestones!$AA$133)&gt;=$Z81),$AC81,IF(AND($Y81&lt;&gt;"",EDATE($D81,Milestones!$AA$133)&gt;=$Y81),$AB81,$AA81)))=Milestones!$AB$133),UPPER(TEXT(EDATE($D81,Milestones!$AA$133),"dd mmm yy"))&amp;" "&amp;Milestones!$AB$133&amp;" "&amp;IF(AND(Milestones!$AB$133="FT",Milestones!$AA$133=FT_Y5,EDATE($D81,Milestones!$AA$133)&lt;PolicyEff),1,Milestones!$AC$133)&amp;";  ","")&amp;IF(AND(EDATE($D81,Milestones!$AA$134)&lt;=AsOfDate,EDATE($D81,Milestones!$AA$134)&gt;=SchemeStart,IF($X81=0,$AD81,IF(AND($Z81&lt;&gt;"",EDATE($D81,Milestones!$AA$134)&gt;=$Z81),$AC81,IF(AND($Y81&lt;&gt;"",EDATE($D81,Milestones!$AA$134)&gt;=$Y81),$AB81,$AA81)))=Milestones!$AB$134),UPPER(TEXT(EDATE($D81,Milestones!$AA$134),"dd mmm yy"))&amp;" "&amp;Milestones!$AB$134&amp;" "&amp;IF(AND(Milestones!$AB$134="FT",Milestones!$AA$134=FT_Y5,EDATE($D81,Milestones!$AA$134)&lt;PolicyEff),1,Milestones!$AC$134)&amp;";  ","")&amp;IF(AND(EDATE($D81,Milestones!$AA$135)&lt;=AsOfDate,EDATE($D81,Milestones!$AA$135)&gt;=SchemeStart,IF($X81=0,$AD81,IF(AND($Z81&lt;&gt;"",EDATE($D81,Milestones!$AA$135)&gt;=$Z81),$AC81,IF(AND($Y81&lt;&gt;"",EDATE($D81,Milestones!$AA$135)&gt;=$Y81),$AB81,$AA81)))=Milestones!$AB$135),UPPER(TEXT(EDATE($D81,Milestones!$AA$135),"dd mmm yy"))&amp;" "&amp;Milestones!$AB$135&amp;" "&amp;IF(AND(Milestones!$AB$135="FT",Milestones!$AA$135=FT_Y5,EDATE($D81,Milestones!$AA$135)&lt;PolicyEff),1,Milestones!$AC$135)&amp;";  ","")&amp;IF(AND(EDATE($D81,Milestones!$AA$136)&lt;=AsOfDate,EDATE($D81,Milestones!$AA$136)&gt;=SchemeStart,IF($X81=0,$AD81,IF(AND($Z81&lt;&gt;"",EDATE($D81,Milestones!$AA$136)&gt;=$Z81),$AC81,IF(AND($Y81&lt;&gt;"",EDATE($D81,Milestones!$AA$136)&gt;=$Y81),$AB81,$AA81)))=Milestones!$AB$136),UPPER(TEXT(EDATE($D81,Milestones!$AA$136),"dd mmm yy"))&amp;" "&amp;Milestones!$AB$136&amp;" "&amp;IF(AND(Milestones!$AB$136="FT",Milestones!$AA$136=FT_Y5,EDATE($D81,Milestones!$AA$136)&lt;PolicyEff),1,Milestones!$AC$136)&amp;";  ","")&amp;IF(AND(EDATE($D81,Milestones!$AA$137)&lt;=AsOfDate,EDATE($D81,Milestones!$AA$137)&gt;=SchemeStart,IF($X81=0,$AD81,IF(AND($Z81&lt;&gt;"",EDATE($D81,Milestones!$AA$137)&gt;=$Z81),$AC81,IF(AND($Y81&lt;&gt;"",EDATE($D81,Milestones!$AA$137)&gt;=$Y81),$AB81,$AA81)))=Milestones!$AB$137),UPPER(TEXT(EDATE($D81,Milestones!$AA$137),"dd mmm yy"))&amp;" "&amp;Milestones!$AB$137&amp;" "&amp;IF(AND(Milestones!$AB$137="FT",Milestones!$AA$137=FT_Y5,EDATE($D81,Milestones!$AA$137)&lt;PolicyEff),1,Milestones!$AC$137)&amp;";  ","")&amp;IF(AND(EDATE($D81,Milestones!$AA$138)&lt;=AsOfDate,EDATE($D81,Milestones!$AA$138)&gt;=SchemeStart,IF($X81=0,$AD81,IF(AND($Z81&lt;&gt;"",EDATE($D81,Milestones!$AA$138)&gt;=$Z81),$AC81,IF(AND($Y81&lt;&gt;"",EDATE($D81,Milestones!$AA$138)&gt;=$Y81),$AB81,$AA81)))=Milestones!$AB$138),UPPER(TEXT(EDATE($D81,Milestones!$AA$138),"dd mmm yy"))&amp;" "&amp;Milestones!$AB$138&amp;" "&amp;IF(AND(Milestones!$AB$138="FT",Milestones!$AA$138=FT_Y5,EDATE($D81,Milestones!$AA$138)&lt;PolicyEff),1,Milestones!$AC$138)&amp;";  ","")&amp;IF(AND(EDATE($D81,Milestones!$AA$139)&lt;=AsOfDate,EDATE($D81,Milestones!$AA$139)&gt;=SchemeStart,IF($X81=0,$AD81,IF(AND($Z81&lt;&gt;"",EDATE($D81,Milestones!$AA$139)&gt;=$Z81),$AC81,IF(AND($Y81&lt;&gt;"",EDATE($D81,Milestones!$AA$139)&gt;=$Y81),$AB81,$AA81)))=Milestones!$AB$139),UPPER(TEXT(EDATE($D81,Milestones!$AA$139),"dd mmm yy"))&amp;" "&amp;Milestones!$AB$139&amp;" "&amp;IF(AND(Milestones!$AB$139="FT",Milestones!$AA$139=FT_Y5,EDATE($D81,Milestones!$AA$139)&lt;PolicyEff),1,Milestones!$AC$139)&amp;";  ",""))</f>
        <v/>
      </c>
      <c r="S81" s="0" t="str">
        <f aca="false">IF(OR($A81="",$D81=""),"",IF(AND(EDATE($D81,Milestones!$AA$140)&lt;=AsOfDate,EDATE($D81,Milestones!$AA$140)&gt;=SchemeStart,IF($X81=0,$AD81,IF(AND($Z81&lt;&gt;"",EDATE($D81,Milestones!$AA$140)&gt;=$Z81),$AC81,IF(AND($Y81&lt;&gt;"",EDATE($D81,Milestones!$AA$140)&gt;=$Y81),$AB81,$AA81)))=Milestones!$AB$140),UPPER(TEXT(EDATE($D81,Milestones!$AA$140),"dd mmm yy"))&amp;" "&amp;Milestones!$AB$140&amp;" "&amp;IF(AND(Milestones!$AB$140="FT",Milestones!$AA$140=FT_Y5,EDATE($D81,Milestones!$AA$140)&lt;PolicyEff),1,Milestones!$AC$140)&amp;";  ","")&amp;IF(AND(EDATE($D81,Milestones!$AA$141)&lt;=AsOfDate,EDATE($D81,Milestones!$AA$141)&gt;=SchemeStart,IF($X81=0,$AD81,IF(AND($Z81&lt;&gt;"",EDATE($D81,Milestones!$AA$141)&gt;=$Z81),$AC81,IF(AND($Y81&lt;&gt;"",EDATE($D81,Milestones!$AA$141)&gt;=$Y81),$AB81,$AA81)))=Milestones!$AB$141),UPPER(TEXT(EDATE($D81,Milestones!$AA$141),"dd mmm yy"))&amp;" "&amp;Milestones!$AB$141&amp;" "&amp;IF(AND(Milestones!$AB$141="FT",Milestones!$AA$141=FT_Y5,EDATE($D81,Milestones!$AA$141)&lt;PolicyEff),1,Milestones!$AC$141)&amp;";  ","")&amp;IF(AND(EDATE($D81,Milestones!$AA$142)&lt;=AsOfDate,EDATE($D81,Milestones!$AA$142)&gt;=SchemeStart,IF($X81=0,$AD81,IF(AND($Z81&lt;&gt;"",EDATE($D81,Milestones!$AA$142)&gt;=$Z81),$AC81,IF(AND($Y81&lt;&gt;"",EDATE($D81,Milestones!$AA$142)&gt;=$Y81),$AB81,$AA81)))=Milestones!$AB$142),UPPER(TEXT(EDATE($D81,Milestones!$AA$142),"dd mmm yy"))&amp;" "&amp;Milestones!$AB$142&amp;" "&amp;IF(AND(Milestones!$AB$142="FT",Milestones!$AA$142=FT_Y5,EDATE($D81,Milestones!$AA$142)&lt;PolicyEff),1,Milestones!$AC$142)&amp;";  ","")&amp;IF(AND(EDATE($D81,Milestones!$AA$143)&lt;=AsOfDate,EDATE($D81,Milestones!$AA$143)&gt;=SchemeStart,IF($X81=0,$AD81,IF(AND($Z81&lt;&gt;"",EDATE($D81,Milestones!$AA$143)&gt;=$Z81),$AC81,IF(AND($Y81&lt;&gt;"",EDATE($D81,Milestones!$AA$143)&gt;=$Y81),$AB81,$AA81)))=Milestones!$AB$143),UPPER(TEXT(EDATE($D81,Milestones!$AA$143),"dd mmm yy"))&amp;" "&amp;Milestones!$AB$143&amp;" "&amp;IF(AND(Milestones!$AB$143="FT",Milestones!$AA$143=FT_Y5,EDATE($D81,Milestones!$AA$143)&lt;PolicyEff),1,Milestones!$AC$143)&amp;";  ","")&amp;IF(AND(EDATE($D81,Milestones!$AA$144)&lt;=AsOfDate,EDATE($D81,Milestones!$AA$144)&gt;=SchemeStart,IF($X81=0,$AD81,IF(AND($Z81&lt;&gt;"",EDATE($D81,Milestones!$AA$144)&gt;=$Z81),$AC81,IF(AND($Y81&lt;&gt;"",EDATE($D81,Milestones!$AA$144)&gt;=$Y81),$AB81,$AA81)))=Milestones!$AB$144),UPPER(TEXT(EDATE($D81,Milestones!$AA$144),"dd mmm yy"))&amp;" "&amp;Milestones!$AB$144&amp;" "&amp;IF(AND(Milestones!$AB$144="FT",Milestones!$AA$144=FT_Y5,EDATE($D81,Milestones!$AA$144)&lt;PolicyEff),1,Milestones!$AC$144)&amp;";  ","")&amp;IF(AND(EDATE($D81,Milestones!$AA$145)&lt;=AsOfDate,EDATE($D81,Milestones!$AA$145)&gt;=SchemeStart,IF($X81=0,$AD81,IF(AND($Z81&lt;&gt;"",EDATE($D81,Milestones!$AA$145)&gt;=$Z81),$AC81,IF(AND($Y81&lt;&gt;"",EDATE($D81,Milestones!$AA$145)&gt;=$Y81),$AB81,$AA81)))=Milestones!$AB$145),UPPER(TEXT(EDATE($D81,Milestones!$AA$145),"dd mmm yy"))&amp;" "&amp;Milestones!$AB$145&amp;" "&amp;IF(AND(Milestones!$AB$145="FT",Milestones!$AA$145=FT_Y5,EDATE($D81,Milestones!$AA$145)&lt;PolicyEff),1,Milestones!$AC$145)&amp;";  ","")&amp;IF(AND(EDATE($D81,Milestones!$AA$146)&lt;=AsOfDate,EDATE($D81,Milestones!$AA$146)&gt;=SchemeStart,IF($X81=0,$AD81,IF(AND($Z81&lt;&gt;"",EDATE($D81,Milestones!$AA$146)&gt;=$Z81),$AC81,IF(AND($Y81&lt;&gt;"",EDATE($D81,Milestones!$AA$146)&gt;=$Y81),$AB81,$AA81)))=Milestones!$AB$146),UPPER(TEXT(EDATE($D81,Milestones!$AA$146),"dd mmm yy"))&amp;" "&amp;Milestones!$AB$146&amp;" "&amp;IF(AND(Milestones!$AB$146="FT",Milestones!$AA$146=FT_Y5,EDATE($D81,Milestones!$AA$146)&lt;PolicyEff),1,Milestones!$AC$146)&amp;";  ","")&amp;IF(AND(EDATE($D81,Milestones!$AA$147)&lt;=AsOfDate,EDATE($D81,Milestones!$AA$147)&gt;=SchemeStart,IF($X81=0,$AD81,IF(AND($Z81&lt;&gt;"",EDATE($D81,Milestones!$AA$147)&gt;=$Z81),$AC81,IF(AND($Y81&lt;&gt;"",EDATE($D81,Milestones!$AA$147)&gt;=$Y81),$AB81,$AA81)))=Milestones!$AB$147),UPPER(TEXT(EDATE($D81,Milestones!$AA$147),"dd mmm yy"))&amp;" "&amp;Milestones!$AB$147&amp;" "&amp;IF(AND(Milestones!$AB$147="FT",Milestones!$AA$147=FT_Y5,EDATE($D81,Milestones!$AA$147)&lt;PolicyEff),1,Milestones!$AC$147)&amp;";  ","")&amp;IF(AND(EDATE($D81,Milestones!$AA$148)&lt;=AsOfDate,EDATE($D81,Milestones!$AA$148)&gt;=SchemeStart,IF($X81=0,$AD81,IF(AND($Z81&lt;&gt;"",EDATE($D81,Milestones!$AA$148)&gt;=$Z81),$AC81,IF(AND($Y81&lt;&gt;"",EDATE($D81,Milestones!$AA$148)&gt;=$Y81),$AB81,$AA81)))=Milestones!$AB$148),UPPER(TEXT(EDATE($D81,Milestones!$AA$148),"dd mmm yy"))&amp;" "&amp;Milestones!$AB$148&amp;" "&amp;IF(AND(Milestones!$AB$148="FT",Milestones!$AA$148=FT_Y5,EDATE($D81,Milestones!$AA$148)&lt;PolicyEff),1,Milestones!$AC$148)&amp;";  ","")&amp;IF(AND(EDATE($D81,Milestones!$AA$149)&lt;=AsOfDate,EDATE($D81,Milestones!$AA$149)&gt;=SchemeStart,IF($X81=0,$AD81,IF(AND($Z81&lt;&gt;"",EDATE($D81,Milestones!$AA$149)&gt;=$Z81),$AC81,IF(AND($Y81&lt;&gt;"",EDATE($D81,Milestones!$AA$149)&gt;=$Y81),$AB81,$AA81)))=Milestones!$AB$149),UPPER(TEXT(EDATE($D81,Milestones!$AA$149),"dd mmm yy"))&amp;" "&amp;Milestones!$AB$149&amp;" "&amp;IF(AND(Milestones!$AB$149="FT",Milestones!$AA$149=FT_Y5,EDATE($D81,Milestones!$AA$149)&lt;PolicyEff),1,Milestones!$AC$149)&amp;";  ","")&amp;IF(AND(EDATE($D81,Milestones!$AA$150)&lt;=AsOfDate,EDATE($D81,Milestones!$AA$150)&gt;=SchemeStart,IF($X81=0,$AD81,IF(AND($Z81&lt;&gt;"",EDATE($D81,Milestones!$AA$150)&gt;=$Z81),$AC81,IF(AND($Y81&lt;&gt;"",EDATE($D81,Milestones!$AA$150)&gt;=$Y81),$AB81,$AA81)))=Milestones!$AB$150),UPPER(TEXT(EDATE($D81,Milestones!$AA$150),"dd mmm yy"))&amp;" "&amp;Milestones!$AB$150&amp;" "&amp;IF(AND(Milestones!$AB$150="FT",Milestones!$AA$150=FT_Y5,EDATE($D81,Milestones!$AA$150)&lt;PolicyEff),1,Milestones!$AC$150)&amp;";  ","")&amp;IF(AND(EDATE($D81,Milestones!$AA$151)&lt;=AsOfDate,EDATE($D81,Milestones!$AA$151)&gt;=SchemeStart,IF($X81=0,$AD81,IF(AND($Z81&lt;&gt;"",EDATE($D81,Milestones!$AA$151)&gt;=$Z81),$AC81,IF(AND($Y81&lt;&gt;"",EDATE($D81,Milestones!$AA$151)&gt;=$Y81),$AB81,$AA81)))=Milestones!$AB$151),UPPER(TEXT(EDATE($D81,Milestones!$AA$151),"dd mmm yy"))&amp;" "&amp;Milestones!$AB$151&amp;" "&amp;IF(AND(Milestones!$AB$151="FT",Milestones!$AA$151=FT_Y5,EDATE($D81,Milestones!$AA$151)&lt;PolicyEff),1,Milestones!$AC$151)&amp;";  ",""))</f>
        <v/>
      </c>
      <c r="T81" s="0" t="str">
        <f aca="false">IF(OR($A81="",$D81=""),"",IF(AND(EDATE($D81,Milestones!$AA$152)&lt;=AsOfDate,EDATE($D81,Milestones!$AA$152)&gt;=SchemeStart,IF($X81=0,$AD81,IF(AND($Z81&lt;&gt;"",EDATE($D81,Milestones!$AA$152)&gt;=$Z81),$AC81,IF(AND($Y81&lt;&gt;"",EDATE($D81,Milestones!$AA$152)&gt;=$Y81),$AB81,$AA81)))=Milestones!$AB$152),UPPER(TEXT(EDATE($D81,Milestones!$AA$152),"dd mmm yy"))&amp;" "&amp;Milestones!$AB$152&amp;" "&amp;IF(AND(Milestones!$AB$152="FT",Milestones!$AA$152=FT_Y5,EDATE($D81,Milestones!$AA$152)&lt;PolicyEff),1,Milestones!$AC$152)&amp;";  ","")&amp;IF(AND(EDATE($D81,Milestones!$AA$153)&lt;=AsOfDate,EDATE($D81,Milestones!$AA$153)&gt;=SchemeStart,IF($X81=0,$AD81,IF(AND($Z81&lt;&gt;"",EDATE($D81,Milestones!$AA$153)&gt;=$Z81),$AC81,IF(AND($Y81&lt;&gt;"",EDATE($D81,Milestones!$AA$153)&gt;=$Y81),$AB81,$AA81)))=Milestones!$AB$153),UPPER(TEXT(EDATE($D81,Milestones!$AA$153),"dd mmm yy"))&amp;" "&amp;Milestones!$AB$153&amp;" "&amp;IF(AND(Milestones!$AB$153="FT",Milestones!$AA$153=FT_Y5,EDATE($D81,Milestones!$AA$153)&lt;PolicyEff),1,Milestones!$AC$153)&amp;";  ","")&amp;IF(AND(EDATE($D81,Milestones!$AA$154)&lt;=AsOfDate,EDATE($D81,Milestones!$AA$154)&gt;=SchemeStart,IF($X81=0,$AD81,IF(AND($Z81&lt;&gt;"",EDATE($D81,Milestones!$AA$154)&gt;=$Z81),$AC81,IF(AND($Y81&lt;&gt;"",EDATE($D81,Milestones!$AA$154)&gt;=$Y81),$AB81,$AA81)))=Milestones!$AB$154),UPPER(TEXT(EDATE($D81,Milestones!$AA$154),"dd mmm yy"))&amp;" "&amp;Milestones!$AB$154&amp;" "&amp;IF(AND(Milestones!$AB$154="FT",Milestones!$AA$154=FT_Y5,EDATE($D81,Milestones!$AA$154)&lt;PolicyEff),1,Milestones!$AC$154)&amp;";  ","")&amp;IF(AND(EDATE($D81,Milestones!$AA$155)&lt;=AsOfDate,EDATE($D81,Milestones!$AA$155)&gt;=SchemeStart,IF($X81=0,$AD81,IF(AND($Z81&lt;&gt;"",EDATE($D81,Milestones!$AA$155)&gt;=$Z81),$AC81,IF(AND($Y81&lt;&gt;"",EDATE($D81,Milestones!$AA$155)&gt;=$Y81),$AB81,$AA81)))=Milestones!$AB$155),UPPER(TEXT(EDATE($D81,Milestones!$AA$155),"dd mmm yy"))&amp;" "&amp;Milestones!$AB$155&amp;" "&amp;IF(AND(Milestones!$AB$155="FT",Milestones!$AA$155=FT_Y5,EDATE($D81,Milestones!$AA$155)&lt;PolicyEff),1,Milestones!$AC$155)&amp;";  ","")&amp;IF(AND(EDATE($D81,Milestones!$AA$156)&lt;=AsOfDate,EDATE($D81,Milestones!$AA$156)&gt;=SchemeStart,IF($X81=0,$AD81,IF(AND($Z81&lt;&gt;"",EDATE($D81,Milestones!$AA$156)&gt;=$Z81),$AC81,IF(AND($Y81&lt;&gt;"",EDATE($D81,Milestones!$AA$156)&gt;=$Y81),$AB81,$AA81)))=Milestones!$AB$156),UPPER(TEXT(EDATE($D81,Milestones!$AA$156),"dd mmm yy"))&amp;" "&amp;Milestones!$AB$156&amp;" "&amp;IF(AND(Milestones!$AB$156="FT",Milestones!$AA$156=FT_Y5,EDATE($D81,Milestones!$AA$156)&lt;PolicyEff),1,Milestones!$AC$156)&amp;";  ","")&amp;IF(AND(EDATE($D81,Milestones!$AA$157)&lt;=AsOfDate,EDATE($D81,Milestones!$AA$157)&gt;=SchemeStart,IF($X81=0,$AD81,IF(AND($Z81&lt;&gt;"",EDATE($D81,Milestones!$AA$157)&gt;=$Z81),$AC81,IF(AND($Y81&lt;&gt;"",EDATE($D81,Milestones!$AA$157)&gt;=$Y81),$AB81,$AA81)))=Milestones!$AB$157),UPPER(TEXT(EDATE($D81,Milestones!$AA$157),"dd mmm yy"))&amp;" "&amp;Milestones!$AB$157&amp;" "&amp;IF(AND(Milestones!$AB$157="FT",Milestones!$AA$157=FT_Y5,EDATE($D81,Milestones!$AA$157)&lt;PolicyEff),1,Milestones!$AC$157)&amp;";  ","")&amp;IF(AND(EDATE($D81,Milestones!$AA$158)&lt;=AsOfDate,EDATE($D81,Milestones!$AA$158)&gt;=SchemeStart,IF($X81=0,$AD81,IF(AND($Z81&lt;&gt;"",EDATE($D81,Milestones!$AA$158)&gt;=$Z81),$AC81,IF(AND($Y81&lt;&gt;"",EDATE($D81,Milestones!$AA$158)&gt;=$Y81),$AB81,$AA81)))=Milestones!$AB$158),UPPER(TEXT(EDATE($D81,Milestones!$AA$158),"dd mmm yy"))&amp;" "&amp;Milestones!$AB$158&amp;" "&amp;IF(AND(Milestones!$AB$158="FT",Milestones!$AA$158=FT_Y5,EDATE($D81,Milestones!$AA$158)&lt;PolicyEff),1,Milestones!$AC$158)&amp;";  ","")&amp;IF(AND(EDATE($D81,Milestones!$AA$159)&lt;=AsOfDate,EDATE($D81,Milestones!$AA$159)&gt;=SchemeStart,IF($X81=0,$AD81,IF(AND($Z81&lt;&gt;"",EDATE($D81,Milestones!$AA$159)&gt;=$Z81),$AC81,IF(AND($Y81&lt;&gt;"",EDATE($D81,Milestones!$AA$159)&gt;=$Y81),$AB81,$AA81)))=Milestones!$AB$159),UPPER(TEXT(EDATE($D81,Milestones!$AA$159),"dd mmm yy"))&amp;" "&amp;Milestones!$AB$159&amp;" "&amp;IF(AND(Milestones!$AB$159="FT",Milestones!$AA$159=FT_Y5,EDATE($D81,Milestones!$AA$159)&lt;PolicyEff),1,Milestones!$AC$159)&amp;";  ","")&amp;IF(AND(EDATE($D81,Milestones!$AA$160)&lt;=AsOfDate,EDATE($D81,Milestones!$AA$160)&gt;=SchemeStart,IF($X81=0,$AD81,IF(AND($Z81&lt;&gt;"",EDATE($D81,Milestones!$AA$160)&gt;=$Z81),$AC81,IF(AND($Y81&lt;&gt;"",EDATE($D81,Milestones!$AA$160)&gt;=$Y81),$AB81,$AA81)))=Milestones!$AB$160),UPPER(TEXT(EDATE($D81,Milestones!$AA$160),"dd mmm yy"))&amp;" "&amp;Milestones!$AB$160&amp;" "&amp;IF(AND(Milestones!$AB$160="FT",Milestones!$AA$160=FT_Y5,EDATE($D81,Milestones!$AA$160)&lt;PolicyEff),1,Milestones!$AC$160)&amp;";  ","")&amp;IF(AND(EDATE($D81,Milestones!$AA$161)&lt;=AsOfDate,EDATE($D81,Milestones!$AA$161)&gt;=SchemeStart,IF($X81=0,$AD81,IF(AND($Z81&lt;&gt;"",EDATE($D81,Milestones!$AA$161)&gt;=$Z81),$AC81,IF(AND($Y81&lt;&gt;"",EDATE($D81,Milestones!$AA$161)&gt;=$Y81),$AB81,$AA81)))=Milestones!$AB$161),UPPER(TEXT(EDATE($D81,Milestones!$AA$161),"dd mmm yy"))&amp;" "&amp;Milestones!$AB$161&amp;" "&amp;IF(AND(Milestones!$AB$161="FT",Milestones!$AA$161=FT_Y5,EDATE($D81,Milestones!$AA$161)&lt;PolicyEff),1,Milestones!$AC$161)&amp;";  ","")&amp;IF(AND(EDATE($D81,Milestones!$AA$162)&lt;=AsOfDate,EDATE($D81,Milestones!$AA$162)&gt;=SchemeStart,IF($X81=0,$AD81,IF(AND($Z81&lt;&gt;"",EDATE($D81,Milestones!$AA$162)&gt;=$Z81),$AC81,IF(AND($Y81&lt;&gt;"",EDATE($D81,Milestones!$AA$162)&gt;=$Y81),$AB81,$AA81)))=Milestones!$AB$162),UPPER(TEXT(EDATE($D81,Milestones!$AA$162),"dd mmm yy"))&amp;" "&amp;Milestones!$AB$162&amp;" "&amp;IF(AND(Milestones!$AB$162="FT",Milestones!$AA$162=FT_Y5,EDATE($D81,Milestones!$AA$162)&lt;PolicyEff),1,Milestones!$AC$162)&amp;";  ","")&amp;IF(AND(EDATE($D81,Milestones!$AA$163)&lt;=AsOfDate,EDATE($D81,Milestones!$AA$163)&gt;=SchemeStart,IF($X81=0,$AD81,IF(AND($Z81&lt;&gt;"",EDATE($D81,Milestones!$AA$163)&gt;=$Z81),$AC81,IF(AND($Y81&lt;&gt;"",EDATE($D81,Milestones!$AA$163)&gt;=$Y81),$AB81,$AA81)))=Milestones!$AB$163),UPPER(TEXT(EDATE($D81,Milestones!$AA$163),"dd mmm yy"))&amp;" "&amp;Milestones!$AB$163&amp;" "&amp;IF(AND(Milestones!$AB$163="FT",Milestones!$AA$163=FT_Y5,EDATE($D81,Milestones!$AA$163)&lt;PolicyEff),1,Milestones!$AC$163)&amp;";  ",""))</f>
        <v/>
      </c>
      <c r="U81" s="0" t="str">
        <f aca="false">IF(OR($A81="",$D81=""),"",IF(AND(EDATE($D81,Milestones!$AA$164)&lt;=AsOfDate,EDATE($D81,Milestones!$AA$164)&gt;=SchemeStart,IF($X81=0,$AD81,IF(AND($Z81&lt;&gt;"",EDATE($D81,Milestones!$AA$164)&gt;=$Z81),$AC81,IF(AND($Y81&lt;&gt;"",EDATE($D81,Milestones!$AA$164)&gt;=$Y81),$AB81,$AA81)))=Milestones!$AB$164),UPPER(TEXT(EDATE($D81,Milestones!$AA$164),"dd mmm yy"))&amp;" "&amp;Milestones!$AB$164&amp;" "&amp;IF(AND(Milestones!$AB$164="FT",Milestones!$AA$164=FT_Y5,EDATE($D81,Milestones!$AA$164)&lt;PolicyEff),1,Milestones!$AC$164)&amp;";  ","")&amp;IF(AND(EDATE($D81,Milestones!$AA$165)&lt;=AsOfDate,EDATE($D81,Milestones!$AA$165)&gt;=SchemeStart,IF($X81=0,$AD81,IF(AND($Z81&lt;&gt;"",EDATE($D81,Milestones!$AA$165)&gt;=$Z81),$AC81,IF(AND($Y81&lt;&gt;"",EDATE($D81,Milestones!$AA$165)&gt;=$Y81),$AB81,$AA81)))=Milestones!$AB$165),UPPER(TEXT(EDATE($D81,Milestones!$AA$165),"dd mmm yy"))&amp;" "&amp;Milestones!$AB$165&amp;" "&amp;IF(AND(Milestones!$AB$165="FT",Milestones!$AA$165=FT_Y5,EDATE($D81,Milestones!$AA$165)&lt;PolicyEff),1,Milestones!$AC$165)&amp;";  ","")&amp;IF(AND(EDATE($D81,Milestones!$AA$166)&lt;=AsOfDate,EDATE($D81,Milestones!$AA$166)&gt;=SchemeStart,IF($X81=0,$AD81,IF(AND($Z81&lt;&gt;"",EDATE($D81,Milestones!$AA$166)&gt;=$Z81),$AC81,IF(AND($Y81&lt;&gt;"",EDATE($D81,Milestones!$AA$166)&gt;=$Y81),$AB81,$AA81)))=Milestones!$AB$166),UPPER(TEXT(EDATE($D81,Milestones!$AA$166),"dd mmm yy"))&amp;" "&amp;Milestones!$AB$166&amp;" "&amp;IF(AND(Milestones!$AB$166="FT",Milestones!$AA$166=FT_Y5,EDATE($D81,Milestones!$AA$166)&lt;PolicyEff),1,Milestones!$AC$166)&amp;";  ","")&amp;IF(AND(EDATE($D81,Milestones!$AA$167)&lt;=AsOfDate,EDATE($D81,Milestones!$AA$167)&gt;=SchemeStart,IF($X81=0,$AD81,IF(AND($Z81&lt;&gt;"",EDATE($D81,Milestones!$AA$167)&gt;=$Z81),$AC81,IF(AND($Y81&lt;&gt;"",EDATE($D81,Milestones!$AA$167)&gt;=$Y81),$AB81,$AA81)))=Milestones!$AB$167),UPPER(TEXT(EDATE($D81,Milestones!$AA$167),"dd mmm yy"))&amp;" "&amp;Milestones!$AB$167&amp;" "&amp;IF(AND(Milestones!$AB$167="FT",Milestones!$AA$167=FT_Y5,EDATE($D81,Milestones!$AA$167)&lt;PolicyEff),1,Milestones!$AC$167)&amp;";  ","")&amp;IF(AND(EDATE($D81,Milestones!$AA$168)&lt;=AsOfDate,EDATE($D81,Milestones!$AA$168)&gt;=SchemeStart,IF($X81=0,$AD81,IF(AND($Z81&lt;&gt;"",EDATE($D81,Milestones!$AA$168)&gt;=$Z81),$AC81,IF(AND($Y81&lt;&gt;"",EDATE($D81,Milestones!$AA$168)&gt;=$Y81),$AB81,$AA81)))=Milestones!$AB$168),UPPER(TEXT(EDATE($D81,Milestones!$AA$168),"dd mmm yy"))&amp;" "&amp;Milestones!$AB$168&amp;" "&amp;IF(AND(Milestones!$AB$168="FT",Milestones!$AA$168=FT_Y5,EDATE($D81,Milestones!$AA$168)&lt;PolicyEff),1,Milestones!$AC$168)&amp;";  ","")&amp;IF(AND(EDATE($D81,Milestones!$AA$169)&lt;=AsOfDate,EDATE($D81,Milestones!$AA$169)&gt;=SchemeStart,IF($X81=0,$AD81,IF(AND($Z81&lt;&gt;"",EDATE($D81,Milestones!$AA$169)&gt;=$Z81),$AC81,IF(AND($Y81&lt;&gt;"",EDATE($D81,Milestones!$AA$169)&gt;=$Y81),$AB81,$AA81)))=Milestones!$AB$169),UPPER(TEXT(EDATE($D81,Milestones!$AA$169),"dd mmm yy"))&amp;" "&amp;Milestones!$AB$169&amp;" "&amp;IF(AND(Milestones!$AB$169="FT",Milestones!$AA$169=FT_Y5,EDATE($D81,Milestones!$AA$169)&lt;PolicyEff),1,Milestones!$AC$169)&amp;";  ","")&amp;IF(AND(EDATE($D81,Milestones!$AA$170)&lt;=AsOfDate,EDATE($D81,Milestones!$AA$170)&gt;=SchemeStart,IF($X81=0,$AD81,IF(AND($Z81&lt;&gt;"",EDATE($D81,Milestones!$AA$170)&gt;=$Z81),$AC81,IF(AND($Y81&lt;&gt;"",EDATE($D81,Milestones!$AA$170)&gt;=$Y81),$AB81,$AA81)))=Milestones!$AB$170),UPPER(TEXT(EDATE($D81,Milestones!$AA$170),"dd mmm yy"))&amp;" "&amp;Milestones!$AB$170&amp;" "&amp;IF(AND(Milestones!$AB$170="FT",Milestones!$AA$170=FT_Y5,EDATE($D81,Milestones!$AA$170)&lt;PolicyEff),1,Milestones!$AC$170)&amp;";  ","")&amp;IF(AND(EDATE($D81,Milestones!$AA$171)&lt;=AsOfDate,EDATE($D81,Milestones!$AA$171)&gt;=SchemeStart,IF($X81=0,$AD81,IF(AND($Z81&lt;&gt;"",EDATE($D81,Milestones!$AA$171)&gt;=$Z81),$AC81,IF(AND($Y81&lt;&gt;"",EDATE($D81,Milestones!$AA$171)&gt;=$Y81),$AB81,$AA81)))=Milestones!$AB$171),UPPER(TEXT(EDATE($D81,Milestones!$AA$171),"dd mmm yy"))&amp;" "&amp;Milestones!$AB$171&amp;" "&amp;IF(AND(Milestones!$AB$171="FT",Milestones!$AA$171=FT_Y5,EDATE($D81,Milestones!$AA$171)&lt;PolicyEff),1,Milestones!$AC$171)&amp;";  ","")&amp;IF(AND(EDATE($D81,Milestones!$AA$172)&lt;=AsOfDate,EDATE($D81,Milestones!$AA$172)&gt;=SchemeStart,IF($X81=0,$AD81,IF(AND($Z81&lt;&gt;"",EDATE($D81,Milestones!$AA$172)&gt;=$Z81),$AC81,IF(AND($Y81&lt;&gt;"",EDATE($D81,Milestones!$AA$172)&gt;=$Y81),$AB81,$AA81)))=Milestones!$AB$172),UPPER(TEXT(EDATE($D81,Milestones!$AA$172),"dd mmm yy"))&amp;" "&amp;Milestones!$AB$172&amp;" "&amp;IF(AND(Milestones!$AB$172="FT",Milestones!$AA$172=FT_Y5,EDATE($D81,Milestones!$AA$172)&lt;PolicyEff),1,Milestones!$AC$172)&amp;";  ","")&amp;IF(AND(EDATE($D81,Milestones!$AA$173)&lt;=AsOfDate,EDATE($D81,Milestones!$AA$173)&gt;=SchemeStart,IF($X81=0,$AD81,IF(AND($Z81&lt;&gt;"",EDATE($D81,Milestones!$AA$173)&gt;=$Z81),$AC81,IF(AND($Y81&lt;&gt;"",EDATE($D81,Milestones!$AA$173)&gt;=$Y81),$AB81,$AA81)))=Milestones!$AB$173),UPPER(TEXT(EDATE($D81,Milestones!$AA$173),"dd mmm yy"))&amp;" "&amp;Milestones!$AB$173&amp;" "&amp;IF(AND(Milestones!$AB$173="FT",Milestones!$AA$173=FT_Y5,EDATE($D81,Milestones!$AA$173)&lt;PolicyEff),1,Milestones!$AC$173)&amp;";  ","")&amp;IF(AND(EDATE($D81,Milestones!$AA$174)&lt;=AsOfDate,EDATE($D81,Milestones!$AA$174)&gt;=SchemeStart,IF($X81=0,$AD81,IF(AND($Z81&lt;&gt;"",EDATE($D81,Milestones!$AA$174)&gt;=$Z81),$AC81,IF(AND($Y81&lt;&gt;"",EDATE($D81,Milestones!$AA$174)&gt;=$Y81),$AB81,$AA81)))=Milestones!$AB$174),UPPER(TEXT(EDATE($D81,Milestones!$AA$174),"dd mmm yy"))&amp;" "&amp;Milestones!$AB$174&amp;" "&amp;IF(AND(Milestones!$AB$174="FT",Milestones!$AA$174=FT_Y5,EDATE($D81,Milestones!$AA$174)&lt;PolicyEff),1,Milestones!$AC$174)&amp;";  ","")&amp;IF(AND(EDATE($D81,Milestones!$AA$175)&lt;=AsOfDate,EDATE($D81,Milestones!$AA$175)&gt;=SchemeStart,IF($X81=0,$AD81,IF(AND($Z81&lt;&gt;"",EDATE($D81,Milestones!$AA$175)&gt;=$Z81),$AC81,IF(AND($Y81&lt;&gt;"",EDATE($D81,Milestones!$AA$175)&gt;=$Y81),$AB81,$AA81)))=Milestones!$AB$175),UPPER(TEXT(EDATE($D81,Milestones!$AA$175),"dd mmm yy"))&amp;" "&amp;Milestones!$AB$175&amp;" "&amp;IF(AND(Milestones!$AB$175="FT",Milestones!$AA$175=FT_Y5,EDATE($D81,Milestones!$AA$175)&lt;PolicyEff),1,Milestones!$AC$175)&amp;";  ",""))</f>
        <v/>
      </c>
      <c r="V81" s="0" t="str">
        <f aca="false">IF(OR($A81="",$D81=""),"",IF(AND(EDATE($D81,Milestones!$AA$176)&lt;=AsOfDate,EDATE($D81,Milestones!$AA$176)&gt;=SchemeStart,IF($X81=0,$AD81,IF(AND($Z81&lt;&gt;"",EDATE($D81,Milestones!$AA$176)&gt;=$Z81),$AC81,IF(AND($Y81&lt;&gt;"",EDATE($D81,Milestones!$AA$176)&gt;=$Y81),$AB81,$AA81)))=Milestones!$AB$176),UPPER(TEXT(EDATE($D81,Milestones!$AA$176),"dd mmm yy"))&amp;" "&amp;Milestones!$AB$176&amp;" "&amp;IF(AND(Milestones!$AB$176="FT",Milestones!$AA$176=FT_Y5,EDATE($D81,Milestones!$AA$176)&lt;PolicyEff),1,Milestones!$AC$176)&amp;";  ","")&amp;IF(AND(EDATE($D81,Milestones!$AA$177)&lt;=AsOfDate,EDATE($D81,Milestones!$AA$177)&gt;=SchemeStart,IF($X81=0,$AD81,IF(AND($Z81&lt;&gt;"",EDATE($D81,Milestones!$AA$177)&gt;=$Z81),$AC81,IF(AND($Y81&lt;&gt;"",EDATE($D81,Milestones!$AA$177)&gt;=$Y81),$AB81,$AA81)))=Milestones!$AB$177),UPPER(TEXT(EDATE($D81,Milestones!$AA$177),"dd mmm yy"))&amp;" "&amp;Milestones!$AB$177&amp;" "&amp;IF(AND(Milestones!$AB$177="FT",Milestones!$AA$177=FT_Y5,EDATE($D81,Milestones!$AA$177)&lt;PolicyEff),1,Milestones!$AC$177)&amp;";  ","")&amp;IF(AND(EDATE($D81,Milestones!$AA$178)&lt;=AsOfDate,EDATE($D81,Milestones!$AA$178)&gt;=SchemeStart,IF($X81=0,$AD81,IF(AND($Z81&lt;&gt;"",EDATE($D81,Milestones!$AA$178)&gt;=$Z81),$AC81,IF(AND($Y81&lt;&gt;"",EDATE($D81,Milestones!$AA$178)&gt;=$Y81),$AB81,$AA81)))=Milestones!$AB$178),UPPER(TEXT(EDATE($D81,Milestones!$AA$178),"dd mmm yy"))&amp;" "&amp;Milestones!$AB$178&amp;" "&amp;IF(AND(Milestones!$AB$178="FT",Milestones!$AA$178=FT_Y5,EDATE($D81,Milestones!$AA$178)&lt;PolicyEff),1,Milestones!$AC$178)&amp;";  ","")&amp;IF(AND(EDATE($D81,Milestones!$AA$179)&lt;=AsOfDate,EDATE($D81,Milestones!$AA$179)&gt;=SchemeStart,IF($X81=0,$AD81,IF(AND($Z81&lt;&gt;"",EDATE($D81,Milestones!$AA$179)&gt;=$Z81),$AC81,IF(AND($Y81&lt;&gt;"",EDATE($D81,Milestones!$AA$179)&gt;=$Y81),$AB81,$AA81)))=Milestones!$AB$179),UPPER(TEXT(EDATE($D81,Milestones!$AA$179),"dd mmm yy"))&amp;" "&amp;Milestones!$AB$179&amp;" "&amp;IF(AND(Milestones!$AB$179="FT",Milestones!$AA$179=FT_Y5,EDATE($D81,Milestones!$AA$179)&lt;PolicyEff),1,Milestones!$AC$179)&amp;";  ","")&amp;IF(AND(EDATE($D81,Milestones!$AA$180)&lt;=AsOfDate,EDATE($D81,Milestones!$AA$180)&gt;=SchemeStart,IF($X81=0,$AD81,IF(AND($Z81&lt;&gt;"",EDATE($D81,Milestones!$AA$180)&gt;=$Z81),$AC81,IF(AND($Y81&lt;&gt;"",EDATE($D81,Milestones!$AA$180)&gt;=$Y81),$AB81,$AA81)))=Milestones!$AB$180),UPPER(TEXT(EDATE($D81,Milestones!$AA$180),"dd mmm yy"))&amp;" "&amp;Milestones!$AB$180&amp;" "&amp;IF(AND(Milestones!$AB$180="FT",Milestones!$AA$180=FT_Y5,EDATE($D81,Milestones!$AA$180)&lt;PolicyEff),1,Milestones!$AC$180)&amp;";  ","")&amp;IF(AND(EDATE($D81,Milestones!$AA$181)&lt;=AsOfDate,EDATE($D81,Milestones!$AA$181)&gt;=SchemeStart,IF($X81=0,$AD81,IF(AND($Z81&lt;&gt;"",EDATE($D81,Milestones!$AA$181)&gt;=$Z81),$AC81,IF(AND($Y81&lt;&gt;"",EDATE($D81,Milestones!$AA$181)&gt;=$Y81),$AB81,$AA81)))=Milestones!$AB$181),UPPER(TEXT(EDATE($D81,Milestones!$AA$181),"dd mmm yy"))&amp;" "&amp;Milestones!$AB$181&amp;" "&amp;IF(AND(Milestones!$AB$181="FT",Milestones!$AA$181=FT_Y5,EDATE($D81,Milestones!$AA$181)&lt;PolicyEff),1,Milestones!$AC$181)&amp;";  ","")&amp;IF(AND(EDATE($D81,Milestones!$AA$182)&lt;=AsOfDate,EDATE($D81,Milestones!$AA$182)&gt;=SchemeStart,IF($X81=0,$AD81,IF(AND($Z81&lt;&gt;"",EDATE($D81,Milestones!$AA$182)&gt;=$Z81),$AC81,IF(AND($Y81&lt;&gt;"",EDATE($D81,Milestones!$AA$182)&gt;=$Y81),$AB81,$AA81)))=Milestones!$AB$182),UPPER(TEXT(EDATE($D81,Milestones!$AA$182),"dd mmm yy"))&amp;" "&amp;Milestones!$AB$182&amp;" "&amp;IF(AND(Milestones!$AB$182="FT",Milestones!$AA$182=FT_Y5,EDATE($D81,Milestones!$AA$182)&lt;PolicyEff),1,Milestones!$AC$182)&amp;";  ","")&amp;IF(AND(EDATE($D81,Milestones!$AA$183)&lt;=AsOfDate,EDATE($D81,Milestones!$AA$183)&gt;=SchemeStart,IF($X81=0,$AD81,IF(AND($Z81&lt;&gt;"",EDATE($D81,Milestones!$AA$183)&gt;=$Z81),$AC81,IF(AND($Y81&lt;&gt;"",EDATE($D81,Milestones!$AA$183)&gt;=$Y81),$AB81,$AA81)))=Milestones!$AB$183),UPPER(TEXT(EDATE($D81,Milestones!$AA$183),"dd mmm yy"))&amp;" "&amp;Milestones!$AB$183&amp;" "&amp;IF(AND(Milestones!$AB$183="FT",Milestones!$AA$183=FT_Y5,EDATE($D81,Milestones!$AA$183)&lt;PolicyEff),1,Milestones!$AC$183)&amp;";  ","")&amp;IF(AND(EDATE($D81,Milestones!$AA$184)&lt;=AsOfDate,EDATE($D81,Milestones!$AA$184)&gt;=SchemeStart,IF($X81=0,$AD81,IF(AND($Z81&lt;&gt;"",EDATE($D81,Milestones!$AA$184)&gt;=$Z81),$AC81,IF(AND($Y81&lt;&gt;"",EDATE($D81,Milestones!$AA$184)&gt;=$Y81),$AB81,$AA81)))=Milestones!$AB$184),UPPER(TEXT(EDATE($D81,Milestones!$AA$184),"dd mmm yy"))&amp;" "&amp;Milestones!$AB$184&amp;" "&amp;IF(AND(Milestones!$AB$184="FT",Milestones!$AA$184=FT_Y5,EDATE($D81,Milestones!$AA$184)&lt;PolicyEff),1,Milestones!$AC$184)&amp;";  ","")&amp;IF(AND(EDATE($D81,Milestones!$AA$185)&lt;=AsOfDate,EDATE($D81,Milestones!$AA$185)&gt;=SchemeStart,IF($X81=0,$AD81,IF(AND($Z81&lt;&gt;"",EDATE($D81,Milestones!$AA$185)&gt;=$Z81),$AC81,IF(AND($Y81&lt;&gt;"",EDATE($D81,Milestones!$AA$185)&gt;=$Y81),$AB81,$AA81)))=Milestones!$AB$185),UPPER(TEXT(EDATE($D81,Milestones!$AA$185),"dd mmm yy"))&amp;" "&amp;Milestones!$AB$185&amp;" "&amp;IF(AND(Milestones!$AB$185="FT",Milestones!$AA$185=FT_Y5,EDATE($D81,Milestones!$AA$185)&lt;PolicyEff),1,Milestones!$AC$185)&amp;";  ","")&amp;IF(AND(EDATE($D81,Milestones!$AA$186)&lt;=AsOfDate,EDATE($D81,Milestones!$AA$186)&gt;=SchemeStart,IF($X81=0,$AD81,IF(AND($Z81&lt;&gt;"",EDATE($D81,Milestones!$AA$186)&gt;=$Z81),$AC81,IF(AND($Y81&lt;&gt;"",EDATE($D81,Milestones!$AA$186)&gt;=$Y81),$AB81,$AA81)))=Milestones!$AB$186),UPPER(TEXT(EDATE($D81,Milestones!$AA$186),"dd mmm yy"))&amp;" "&amp;Milestones!$AB$186&amp;" "&amp;IF(AND(Milestones!$AB$186="FT",Milestones!$AA$186=FT_Y5,EDATE($D81,Milestones!$AA$186)&lt;PolicyEff),1,Milestones!$AC$186)&amp;";  ","")&amp;IF(AND(EDATE($D81,Milestones!$AA$187)&lt;=AsOfDate,EDATE($D81,Milestones!$AA$187)&gt;=SchemeStart,IF($X81=0,$AD81,IF(AND($Z81&lt;&gt;"",EDATE($D81,Milestones!$AA$187)&gt;=$Z81),$AC81,IF(AND($Y81&lt;&gt;"",EDATE($D81,Milestones!$AA$187)&gt;=$Y81),$AB81,$AA81)))=Milestones!$AB$187),UPPER(TEXT(EDATE($D81,Milestones!$AA$187),"dd mmm yy"))&amp;" "&amp;Milestones!$AB$187&amp;" "&amp;IF(AND(Milestones!$AB$187="FT",Milestones!$AA$187=FT_Y5,EDATE($D81,Milestones!$AA$187)&lt;PolicyEff),1,Milestones!$AC$187)&amp;";  ",""))</f>
        <v/>
      </c>
      <c r="W81" s="0" t="str">
        <f aca="false">IF(OR($A81="",$D81=""),"",IF(AND(EDATE($D81,Milestones!$AA$188)&lt;=AsOfDate,EDATE($D81,Milestones!$AA$188)&gt;=SchemeStart,IF($X81=0,$AD81,IF(AND($Z81&lt;&gt;"",EDATE($D81,Milestones!$AA$188)&gt;=$Z81),$AC81,IF(AND($Y81&lt;&gt;"",EDATE($D81,Milestones!$AA$188)&gt;=$Y81),$AB81,$AA81)))=Milestones!$AB$188),UPPER(TEXT(EDATE($D81,Milestones!$AA$188),"dd mmm yy"))&amp;" "&amp;Milestones!$AB$188&amp;" "&amp;IF(AND(Milestones!$AB$188="FT",Milestones!$AA$188=FT_Y5,EDATE($D81,Milestones!$AA$188)&lt;PolicyEff),1,Milestones!$AC$188)&amp;";  ","")&amp;IF(AND(EDATE($D81,Milestones!$AA$189)&lt;=AsOfDate,EDATE($D81,Milestones!$AA$189)&gt;=SchemeStart,IF($X81=0,$AD81,IF(AND($Z81&lt;&gt;"",EDATE($D81,Milestones!$AA$189)&gt;=$Z81),$AC81,IF(AND($Y81&lt;&gt;"",EDATE($D81,Milestones!$AA$189)&gt;=$Y81),$AB81,$AA81)))=Milestones!$AB$189),UPPER(TEXT(EDATE($D81,Milestones!$AA$189),"dd mmm yy"))&amp;" "&amp;Milestones!$AB$189&amp;" "&amp;IF(AND(Milestones!$AB$189="FT",Milestones!$AA$189=FT_Y5,EDATE($D81,Milestones!$AA$189)&lt;PolicyEff),1,Milestones!$AC$189)&amp;";  ","")&amp;IF(AND(EDATE($D81,Milestones!$AA$190)&lt;=AsOfDate,EDATE($D81,Milestones!$AA$190)&gt;=SchemeStart,IF($X81=0,$AD81,IF(AND($Z81&lt;&gt;"",EDATE($D81,Milestones!$AA$190)&gt;=$Z81),$AC81,IF(AND($Y81&lt;&gt;"",EDATE($D81,Milestones!$AA$190)&gt;=$Y81),$AB81,$AA81)))=Milestones!$AB$190),UPPER(TEXT(EDATE($D81,Milestones!$AA$190),"dd mmm yy"))&amp;" "&amp;Milestones!$AB$190&amp;" "&amp;IF(AND(Milestones!$AB$190="FT",Milestones!$AA$190=FT_Y5,EDATE($D81,Milestones!$AA$190)&lt;PolicyEff),1,Milestones!$AC$190)&amp;";  ","")&amp;IF(AND(EDATE($D81,Milestones!$AA$191)&lt;=AsOfDate,EDATE($D81,Milestones!$AA$191)&gt;=SchemeStart,IF($X81=0,$AD81,IF(AND($Z81&lt;&gt;"",EDATE($D81,Milestones!$AA$191)&gt;=$Z81),$AC81,IF(AND($Y81&lt;&gt;"",EDATE($D81,Milestones!$AA$191)&gt;=$Y81),$AB81,$AA81)))=Milestones!$AB$191),UPPER(TEXT(EDATE($D81,Milestones!$AA$191),"dd mmm yy"))&amp;" "&amp;Milestones!$AB$191&amp;" "&amp;IF(AND(Milestones!$AB$191="FT",Milestones!$AA$191=FT_Y5,EDATE($D81,Milestones!$AA$191)&lt;PolicyEff),1,Milestones!$AC$191)&amp;";  ","")&amp;IF(AND(EDATE($D81,Milestones!$AA$192)&lt;=AsOfDate,EDATE($D81,Milestones!$AA$192)&gt;=SchemeStart,IF($X81=0,$AD81,IF(AND($Z81&lt;&gt;"",EDATE($D81,Milestones!$AA$192)&gt;=$Z81),$AC81,IF(AND($Y81&lt;&gt;"",EDATE($D81,Milestones!$AA$192)&gt;=$Y81),$AB81,$AA81)))=Milestones!$AB$192),UPPER(TEXT(EDATE($D81,Milestones!$AA$192),"dd mmm yy"))&amp;" "&amp;Milestones!$AB$192&amp;" "&amp;IF(AND(Milestones!$AB$192="FT",Milestones!$AA$192=FT_Y5,EDATE($D81,Milestones!$AA$192)&lt;PolicyEff),1,Milestones!$AC$192)&amp;";  ","")&amp;IF(AND(EDATE($D81,Milestones!$AA$193)&lt;=AsOfDate,EDATE($D81,Milestones!$AA$193)&gt;=SchemeStart,IF($X81=0,$AD81,IF(AND($Z81&lt;&gt;"",EDATE($D81,Milestones!$AA$193)&gt;=$Z81),$AC81,IF(AND($Y81&lt;&gt;"",EDATE($D81,Milestones!$AA$193)&gt;=$Y81),$AB81,$AA81)))=Milestones!$AB$193),UPPER(TEXT(EDATE($D81,Milestones!$AA$193),"dd mmm yy"))&amp;" "&amp;Milestones!$AB$193&amp;" "&amp;IF(AND(Milestones!$AB$193="FT",Milestones!$AA$193=FT_Y5,EDATE($D81,Milestones!$AA$193)&lt;PolicyEff),1,Milestones!$AC$193)&amp;";  ","")&amp;IF(AND(EDATE($D81,Milestones!$AA$194)&lt;=AsOfDate,EDATE($D81,Milestones!$AA$194)&gt;=SchemeStart,IF($X81=0,$AD81,IF(AND($Z81&lt;&gt;"",EDATE($D81,Milestones!$AA$194)&gt;=$Z81),$AC81,IF(AND($Y81&lt;&gt;"",EDATE($D81,Milestones!$AA$194)&gt;=$Y81),$AB81,$AA81)))=Milestones!$AB$194),UPPER(TEXT(EDATE($D81,Milestones!$AA$194),"dd mmm yy"))&amp;" "&amp;Milestones!$AB$194&amp;" "&amp;IF(AND(Milestones!$AB$194="FT",Milestones!$AA$194=FT_Y5,EDATE($D81,Milestones!$AA$194)&lt;PolicyEff),1,Milestones!$AC$194)&amp;";  ","")&amp;IF(AND(EDATE($D81,Milestones!$AA$195)&lt;=AsOfDate,EDATE($D81,Milestones!$AA$195)&gt;=SchemeStart,IF($X81=0,$AD81,IF(AND($Z81&lt;&gt;"",EDATE($D81,Milestones!$AA$195)&gt;=$Z81),$AC81,IF(AND($Y81&lt;&gt;"",EDATE($D81,Milestones!$AA$195)&gt;=$Y81),$AB81,$AA81)))=Milestones!$AB$195),UPPER(TEXT(EDATE($D81,Milestones!$AA$195),"dd mmm yy"))&amp;" "&amp;Milestones!$AB$195&amp;" "&amp;IF(AND(Milestones!$AB$195="FT",Milestones!$AA$195=FT_Y5,EDATE($D81,Milestones!$AA$195)&lt;PolicyEff),1,Milestones!$AC$195)&amp;";  ","")&amp;IF(AND(EDATE($D81,Milestones!$AA$196)&lt;=AsOfDate,EDATE($D81,Milestones!$AA$196)&gt;=SchemeStart,IF($X81=0,$AD81,IF(AND($Z81&lt;&gt;"",EDATE($D81,Milestones!$AA$196)&gt;=$Z81),$AC81,IF(AND($Y81&lt;&gt;"",EDATE($D81,Milestones!$AA$196)&gt;=$Y81),$AB81,$AA81)))=Milestones!$AB$196),UPPER(TEXT(EDATE($D81,Milestones!$AA$196),"dd mmm yy"))&amp;" "&amp;Milestones!$AB$196&amp;" "&amp;IF(AND(Milestones!$AB$196="FT",Milestones!$AA$196=FT_Y5,EDATE($D81,Milestones!$AA$196)&lt;PolicyEff),1,Milestones!$AC$196)&amp;";  ","")&amp;IF(AND(EDATE($D81,Milestones!$AA$197)&lt;=AsOfDate,EDATE($D81,Milestones!$AA$197)&gt;=SchemeStart,IF($X81=0,$AD81,IF(AND($Z81&lt;&gt;"",EDATE($D81,Milestones!$AA$197)&gt;=$Z81),$AC81,IF(AND($Y81&lt;&gt;"",EDATE($D81,Milestones!$AA$197)&gt;=$Y81),$AB81,$AA81)))=Milestones!$AB$197),UPPER(TEXT(EDATE($D81,Milestones!$AA$197),"dd mmm yy"))&amp;" "&amp;Milestones!$AB$197&amp;" "&amp;IF(AND(Milestones!$AB$197="FT",Milestones!$AA$197=FT_Y5,EDATE($D81,Milestones!$AA$197)&lt;PolicyEff),1,Milestones!$AC$197)&amp;";  ","")&amp;IF(AND(EDATE($D81,Milestones!$AA$198)&lt;=AsOfDate,EDATE($D81,Milestones!$AA$198)&gt;=SchemeStart,IF($X81=0,$AD81,IF(AND($Z81&lt;&gt;"",EDATE($D81,Milestones!$AA$198)&gt;=$Z81),$AC81,IF(AND($Y81&lt;&gt;"",EDATE($D81,Milestones!$AA$198)&gt;=$Y81),$AB81,$AA81)))=Milestones!$AB$198),UPPER(TEXT(EDATE($D81,Milestones!$AA$198),"dd mmm yy"))&amp;" "&amp;Milestones!$AB$198&amp;" "&amp;IF(AND(Milestones!$AB$198="FT",Milestones!$AA$198=FT_Y5,EDATE($D81,Milestones!$AA$198)&lt;PolicyEff),1,Milestones!$AC$198)&amp;";  ","")&amp;IF(AND(EDATE($D81,Milestones!$AA$199)&lt;=AsOfDate,EDATE($D81,Milestones!$AA$199)&gt;=SchemeStart,IF($X81=0,$AD81,IF(AND($Z81&lt;&gt;"",EDATE($D81,Milestones!$AA$199)&gt;=$Z81),$AC81,IF(AND($Y81&lt;&gt;"",EDATE($D81,Milestones!$AA$199)&gt;=$Y81),$AB81,$AA81)))=Milestones!$AB$199),UPPER(TEXT(EDATE($D81,Milestones!$AA$199),"dd mmm yy"))&amp;" "&amp;Milestones!$AB$199&amp;" "&amp;IF(AND(Milestones!$AB$199="FT",Milestones!$AA$199=FT_Y5,EDATE($D81,Milestones!$AA$199)&lt;PolicyEff),1,Milestones!$AC$199)&amp;";  ",""))</f>
        <v/>
      </c>
      <c r="X81" s="0" t="str">
        <f aca="false">IF(Staff!$A81="","",Staff!$AM81)</f>
        <v/>
      </c>
      <c r="Y81" s="0" t="str">
        <f aca="false">IF(Staff!$A81="","",Staff!$AO81)</f>
        <v/>
      </c>
      <c r="Z81" s="0" t="str">
        <f aca="false">IF(Staff!$A81="","",Staff!$AP81)</f>
        <v/>
      </c>
      <c r="AA81" s="0" t="str">
        <f aca="false">IF(Staff!$A81="","",Staff!$AT81)</f>
        <v/>
      </c>
      <c r="AB81" s="0" t="str">
        <f aca="false">IF(Staff!$A81="","",Staff!$AU81)</f>
        <v/>
      </c>
      <c r="AC81" s="0" t="str">
        <f aca="false">IF(Staff!$A81="","",Staff!$AV81)</f>
        <v/>
      </c>
      <c r="AD81" s="0" t="str">
        <f aca="false">IF(Staff!$A81="","",Staff!$AW81)</f>
        <v/>
      </c>
    </row>
    <row r="82" customFormat="false" ht="15" hidden="false" customHeight="false" outlineLevel="0" collapsed="false">
      <c r="A82" s="16" t="str">
        <f aca="false">IF(Staff!$A82="","",Staff!$A82)</f>
        <v/>
      </c>
      <c r="B82" s="16" t="str">
        <f aca="false">IF(Staff!$A82="","",Staff!$B82)</f>
        <v/>
      </c>
      <c r="C82" s="16" t="str">
        <f aca="false">IF(Staff!$A82="","",Staff!$C82)</f>
        <v/>
      </c>
      <c r="D82" s="14" t="str">
        <f aca="false">IF(Staff!$A82="","",Staff!$AL82)</f>
        <v/>
      </c>
      <c r="E82" s="16" t="str">
        <f aca="false">IF(Staff!$A82="","",Staff!$O82)</f>
        <v/>
      </c>
      <c r="F82" s="16" t="str">
        <f aca="false">IF(E82="","",E82*HoursPerDay)</f>
        <v/>
      </c>
      <c r="G82" s="16" t="str">
        <f aca="false">IF(Staff!$A82="","",Staff!$AE82)</f>
        <v/>
      </c>
      <c r="H82" s="28" t="str">
        <f aca="false">IF($A82="","",I82&amp;J82&amp;K82&amp;L82&amp;M82&amp;N82&amp;O82&amp;P82&amp;Q82&amp;R82&amp;S82&amp;T82&amp;U82&amp;V82&amp;W82)</f>
        <v/>
      </c>
      <c r="I82" s="0" t="str">
        <f aca="false">IF(OR($A82="",$D82=""),"",IF(AND(EDATE($D82,Milestones!$AA$20)&lt;=AsOfDate,EDATE($D82,Milestones!$AA$20)&gt;=SchemeStart,IF($X82=0,$AD82,IF(AND($Z82&lt;&gt;"",EDATE($D82,Milestones!$AA$20)&gt;=$Z82),$AC82,IF(AND($Y82&lt;&gt;"",EDATE($D82,Milestones!$AA$20)&gt;=$Y82),$AB82,$AA82)))=Milestones!$AB$20),UPPER(TEXT(EDATE($D82,Milestones!$AA$20),"dd mmm yy"))&amp;" "&amp;Milestones!$AB$20&amp;" "&amp;IF(AND(Milestones!$AB$20="FT",Milestones!$AA$20=FT_Y5,EDATE($D82,Milestones!$AA$20)&lt;PolicyEff),1,Milestones!$AC$20)&amp;";  ","")&amp;IF(AND(EDATE($D82,Milestones!$AA$21)&lt;=AsOfDate,EDATE($D82,Milestones!$AA$21)&gt;=SchemeStart,IF($X82=0,$AD82,IF(AND($Z82&lt;&gt;"",EDATE($D82,Milestones!$AA$21)&gt;=$Z82),$AC82,IF(AND($Y82&lt;&gt;"",EDATE($D82,Milestones!$AA$21)&gt;=$Y82),$AB82,$AA82)))=Milestones!$AB$21),UPPER(TEXT(EDATE($D82,Milestones!$AA$21),"dd mmm yy"))&amp;" "&amp;Milestones!$AB$21&amp;" "&amp;IF(AND(Milestones!$AB$21="FT",Milestones!$AA$21=FT_Y5,EDATE($D82,Milestones!$AA$21)&lt;PolicyEff),1,Milestones!$AC$21)&amp;";  ","")&amp;IF(AND(EDATE($D82,Milestones!$AA$22)&lt;=AsOfDate,EDATE($D82,Milestones!$AA$22)&gt;=SchemeStart,IF($X82=0,$AD82,IF(AND($Z82&lt;&gt;"",EDATE($D82,Milestones!$AA$22)&gt;=$Z82),$AC82,IF(AND($Y82&lt;&gt;"",EDATE($D82,Milestones!$AA$22)&gt;=$Y82),$AB82,$AA82)))=Milestones!$AB$22),UPPER(TEXT(EDATE($D82,Milestones!$AA$22),"dd mmm yy"))&amp;" "&amp;Milestones!$AB$22&amp;" "&amp;IF(AND(Milestones!$AB$22="FT",Milestones!$AA$22=FT_Y5,EDATE($D82,Milestones!$AA$22)&lt;PolicyEff),1,Milestones!$AC$22)&amp;";  ","")&amp;IF(AND(EDATE($D82,Milestones!$AA$23)&lt;=AsOfDate,EDATE($D82,Milestones!$AA$23)&gt;=SchemeStart,IF($X82=0,$AD82,IF(AND($Z82&lt;&gt;"",EDATE($D82,Milestones!$AA$23)&gt;=$Z82),$AC82,IF(AND($Y82&lt;&gt;"",EDATE($D82,Milestones!$AA$23)&gt;=$Y82),$AB82,$AA82)))=Milestones!$AB$23),UPPER(TEXT(EDATE($D82,Milestones!$AA$23),"dd mmm yy"))&amp;" "&amp;Milestones!$AB$23&amp;" "&amp;IF(AND(Milestones!$AB$23="FT",Milestones!$AA$23=FT_Y5,EDATE($D82,Milestones!$AA$23)&lt;PolicyEff),1,Milestones!$AC$23)&amp;";  ","")&amp;IF(AND(EDATE($D82,Milestones!$AA$24)&lt;=AsOfDate,EDATE($D82,Milestones!$AA$24)&gt;=SchemeStart,IF($X82=0,$AD82,IF(AND($Z82&lt;&gt;"",EDATE($D82,Milestones!$AA$24)&gt;=$Z82),$AC82,IF(AND($Y82&lt;&gt;"",EDATE($D82,Milestones!$AA$24)&gt;=$Y82),$AB82,$AA82)))=Milestones!$AB$24),UPPER(TEXT(EDATE($D82,Milestones!$AA$24),"dd mmm yy"))&amp;" "&amp;Milestones!$AB$24&amp;" "&amp;IF(AND(Milestones!$AB$24="FT",Milestones!$AA$24=FT_Y5,EDATE($D82,Milestones!$AA$24)&lt;PolicyEff),1,Milestones!$AC$24)&amp;";  ","")&amp;IF(AND(EDATE($D82,Milestones!$AA$25)&lt;=AsOfDate,EDATE($D82,Milestones!$AA$25)&gt;=SchemeStart,IF($X82=0,$AD82,IF(AND($Z82&lt;&gt;"",EDATE($D82,Milestones!$AA$25)&gt;=$Z82),$AC82,IF(AND($Y82&lt;&gt;"",EDATE($D82,Milestones!$AA$25)&gt;=$Y82),$AB82,$AA82)))=Milestones!$AB$25),UPPER(TEXT(EDATE($D82,Milestones!$AA$25),"dd mmm yy"))&amp;" "&amp;Milestones!$AB$25&amp;" "&amp;IF(AND(Milestones!$AB$25="FT",Milestones!$AA$25=FT_Y5,EDATE($D82,Milestones!$AA$25)&lt;PolicyEff),1,Milestones!$AC$25)&amp;";  ","")&amp;IF(AND(EDATE($D82,Milestones!$AA$26)&lt;=AsOfDate,EDATE($D82,Milestones!$AA$26)&gt;=SchemeStart,IF($X82=0,$AD82,IF(AND($Z82&lt;&gt;"",EDATE($D82,Milestones!$AA$26)&gt;=$Z82),$AC82,IF(AND($Y82&lt;&gt;"",EDATE($D82,Milestones!$AA$26)&gt;=$Y82),$AB82,$AA82)))=Milestones!$AB$26),UPPER(TEXT(EDATE($D82,Milestones!$AA$26),"dd mmm yy"))&amp;" "&amp;Milestones!$AB$26&amp;" "&amp;IF(AND(Milestones!$AB$26="FT",Milestones!$AA$26=FT_Y5,EDATE($D82,Milestones!$AA$26)&lt;PolicyEff),1,Milestones!$AC$26)&amp;";  ","")&amp;IF(AND(EDATE($D82,Milestones!$AA$27)&lt;=AsOfDate,EDATE($D82,Milestones!$AA$27)&gt;=SchemeStart,IF($X82=0,$AD82,IF(AND($Z82&lt;&gt;"",EDATE($D82,Milestones!$AA$27)&gt;=$Z82),$AC82,IF(AND($Y82&lt;&gt;"",EDATE($D82,Milestones!$AA$27)&gt;=$Y82),$AB82,$AA82)))=Milestones!$AB$27),UPPER(TEXT(EDATE($D82,Milestones!$AA$27),"dd mmm yy"))&amp;" "&amp;Milestones!$AB$27&amp;" "&amp;IF(AND(Milestones!$AB$27="FT",Milestones!$AA$27=FT_Y5,EDATE($D82,Milestones!$AA$27)&lt;PolicyEff),1,Milestones!$AC$27)&amp;";  ","")&amp;IF(AND(EDATE($D82,Milestones!$AA$28)&lt;=AsOfDate,EDATE($D82,Milestones!$AA$28)&gt;=SchemeStart,IF($X82=0,$AD82,IF(AND($Z82&lt;&gt;"",EDATE($D82,Milestones!$AA$28)&gt;=$Z82),$AC82,IF(AND($Y82&lt;&gt;"",EDATE($D82,Milestones!$AA$28)&gt;=$Y82),$AB82,$AA82)))=Milestones!$AB$28),UPPER(TEXT(EDATE($D82,Milestones!$AA$28),"dd mmm yy"))&amp;" "&amp;Milestones!$AB$28&amp;" "&amp;IF(AND(Milestones!$AB$28="FT",Milestones!$AA$28=FT_Y5,EDATE($D82,Milestones!$AA$28)&lt;PolicyEff),1,Milestones!$AC$28)&amp;";  ","")&amp;IF(AND(EDATE($D82,Milestones!$AA$29)&lt;=AsOfDate,EDATE($D82,Milestones!$AA$29)&gt;=SchemeStart,IF($X82=0,$AD82,IF(AND($Z82&lt;&gt;"",EDATE($D82,Milestones!$AA$29)&gt;=$Z82),$AC82,IF(AND($Y82&lt;&gt;"",EDATE($D82,Milestones!$AA$29)&gt;=$Y82),$AB82,$AA82)))=Milestones!$AB$29),UPPER(TEXT(EDATE($D82,Milestones!$AA$29),"dd mmm yy"))&amp;" "&amp;Milestones!$AB$29&amp;" "&amp;IF(AND(Milestones!$AB$29="FT",Milestones!$AA$29=FT_Y5,EDATE($D82,Milestones!$AA$29)&lt;PolicyEff),1,Milestones!$AC$29)&amp;";  ","")&amp;IF(AND(EDATE($D82,Milestones!$AA$30)&lt;=AsOfDate,EDATE($D82,Milestones!$AA$30)&gt;=SchemeStart,IF($X82=0,$AD82,IF(AND($Z82&lt;&gt;"",EDATE($D82,Milestones!$AA$30)&gt;=$Z82),$AC82,IF(AND($Y82&lt;&gt;"",EDATE($D82,Milestones!$AA$30)&gt;=$Y82),$AB82,$AA82)))=Milestones!$AB$30),UPPER(TEXT(EDATE($D82,Milestones!$AA$30),"dd mmm yy"))&amp;" "&amp;Milestones!$AB$30&amp;" "&amp;IF(AND(Milestones!$AB$30="FT",Milestones!$AA$30=FT_Y5,EDATE($D82,Milestones!$AA$30)&lt;PolicyEff),1,Milestones!$AC$30)&amp;";  ","")&amp;IF(AND(EDATE($D82,Milestones!$AA$31)&lt;=AsOfDate,EDATE($D82,Milestones!$AA$31)&gt;=SchemeStart,IF($X82=0,$AD82,IF(AND($Z82&lt;&gt;"",EDATE($D82,Milestones!$AA$31)&gt;=$Z82),$AC82,IF(AND($Y82&lt;&gt;"",EDATE($D82,Milestones!$AA$31)&gt;=$Y82),$AB82,$AA82)))=Milestones!$AB$31),UPPER(TEXT(EDATE($D82,Milestones!$AA$31),"dd mmm yy"))&amp;" "&amp;Milestones!$AB$31&amp;" "&amp;IF(AND(Milestones!$AB$31="FT",Milestones!$AA$31=FT_Y5,EDATE($D82,Milestones!$AA$31)&lt;PolicyEff),1,Milestones!$AC$31)&amp;";  ",""))</f>
        <v/>
      </c>
      <c r="J82" s="0" t="str">
        <f aca="false">IF(OR($A82="",$D82=""),"",IF(AND(EDATE($D82,Milestones!$AA$32)&lt;=AsOfDate,EDATE($D82,Milestones!$AA$32)&gt;=SchemeStart,IF($X82=0,$AD82,IF(AND($Z82&lt;&gt;"",EDATE($D82,Milestones!$AA$32)&gt;=$Z82),$AC82,IF(AND($Y82&lt;&gt;"",EDATE($D82,Milestones!$AA$32)&gt;=$Y82),$AB82,$AA82)))=Milestones!$AB$32),UPPER(TEXT(EDATE($D82,Milestones!$AA$32),"dd mmm yy"))&amp;" "&amp;Milestones!$AB$32&amp;" "&amp;IF(AND(Milestones!$AB$32="FT",Milestones!$AA$32=FT_Y5,EDATE($D82,Milestones!$AA$32)&lt;PolicyEff),1,Milestones!$AC$32)&amp;";  ","")&amp;IF(AND(EDATE($D82,Milestones!$AA$33)&lt;=AsOfDate,EDATE($D82,Milestones!$AA$33)&gt;=SchemeStart,IF($X82=0,$AD82,IF(AND($Z82&lt;&gt;"",EDATE($D82,Milestones!$AA$33)&gt;=$Z82),$AC82,IF(AND($Y82&lt;&gt;"",EDATE($D82,Milestones!$AA$33)&gt;=$Y82),$AB82,$AA82)))=Milestones!$AB$33),UPPER(TEXT(EDATE($D82,Milestones!$AA$33),"dd mmm yy"))&amp;" "&amp;Milestones!$AB$33&amp;" "&amp;IF(AND(Milestones!$AB$33="FT",Milestones!$AA$33=FT_Y5,EDATE($D82,Milestones!$AA$33)&lt;PolicyEff),1,Milestones!$AC$33)&amp;";  ","")&amp;IF(AND(EDATE($D82,Milestones!$AA$34)&lt;=AsOfDate,EDATE($D82,Milestones!$AA$34)&gt;=SchemeStart,IF($X82=0,$AD82,IF(AND($Z82&lt;&gt;"",EDATE($D82,Milestones!$AA$34)&gt;=$Z82),$AC82,IF(AND($Y82&lt;&gt;"",EDATE($D82,Milestones!$AA$34)&gt;=$Y82),$AB82,$AA82)))=Milestones!$AB$34),UPPER(TEXT(EDATE($D82,Milestones!$AA$34),"dd mmm yy"))&amp;" "&amp;Milestones!$AB$34&amp;" "&amp;IF(AND(Milestones!$AB$34="FT",Milestones!$AA$34=FT_Y5,EDATE($D82,Milestones!$AA$34)&lt;PolicyEff),1,Milestones!$AC$34)&amp;";  ","")&amp;IF(AND(EDATE($D82,Milestones!$AA$35)&lt;=AsOfDate,EDATE($D82,Milestones!$AA$35)&gt;=SchemeStart,IF($X82=0,$AD82,IF(AND($Z82&lt;&gt;"",EDATE($D82,Milestones!$AA$35)&gt;=$Z82),$AC82,IF(AND($Y82&lt;&gt;"",EDATE($D82,Milestones!$AA$35)&gt;=$Y82),$AB82,$AA82)))=Milestones!$AB$35),UPPER(TEXT(EDATE($D82,Milestones!$AA$35),"dd mmm yy"))&amp;" "&amp;Milestones!$AB$35&amp;" "&amp;IF(AND(Milestones!$AB$35="FT",Milestones!$AA$35=FT_Y5,EDATE($D82,Milestones!$AA$35)&lt;PolicyEff),1,Milestones!$AC$35)&amp;";  ","")&amp;IF(AND(EDATE($D82,Milestones!$AA$36)&lt;=AsOfDate,EDATE($D82,Milestones!$AA$36)&gt;=SchemeStart,IF($X82=0,$AD82,IF(AND($Z82&lt;&gt;"",EDATE($D82,Milestones!$AA$36)&gt;=$Z82),$AC82,IF(AND($Y82&lt;&gt;"",EDATE($D82,Milestones!$AA$36)&gt;=$Y82),$AB82,$AA82)))=Milestones!$AB$36),UPPER(TEXT(EDATE($D82,Milestones!$AA$36),"dd mmm yy"))&amp;" "&amp;Milestones!$AB$36&amp;" "&amp;IF(AND(Milestones!$AB$36="FT",Milestones!$AA$36=FT_Y5,EDATE($D82,Milestones!$AA$36)&lt;PolicyEff),1,Milestones!$AC$36)&amp;";  ","")&amp;IF(AND(EDATE($D82,Milestones!$AA$37)&lt;=AsOfDate,EDATE($D82,Milestones!$AA$37)&gt;=SchemeStart,IF($X82=0,$AD82,IF(AND($Z82&lt;&gt;"",EDATE($D82,Milestones!$AA$37)&gt;=$Z82),$AC82,IF(AND($Y82&lt;&gt;"",EDATE($D82,Milestones!$AA$37)&gt;=$Y82),$AB82,$AA82)))=Milestones!$AB$37),UPPER(TEXT(EDATE($D82,Milestones!$AA$37),"dd mmm yy"))&amp;" "&amp;Milestones!$AB$37&amp;" "&amp;IF(AND(Milestones!$AB$37="FT",Milestones!$AA$37=FT_Y5,EDATE($D82,Milestones!$AA$37)&lt;PolicyEff),1,Milestones!$AC$37)&amp;";  ","")&amp;IF(AND(EDATE($D82,Milestones!$AA$38)&lt;=AsOfDate,EDATE($D82,Milestones!$AA$38)&gt;=SchemeStart,IF($X82=0,$AD82,IF(AND($Z82&lt;&gt;"",EDATE($D82,Milestones!$AA$38)&gt;=$Z82),$AC82,IF(AND($Y82&lt;&gt;"",EDATE($D82,Milestones!$AA$38)&gt;=$Y82),$AB82,$AA82)))=Milestones!$AB$38),UPPER(TEXT(EDATE($D82,Milestones!$AA$38),"dd mmm yy"))&amp;" "&amp;Milestones!$AB$38&amp;" "&amp;IF(AND(Milestones!$AB$38="FT",Milestones!$AA$38=FT_Y5,EDATE($D82,Milestones!$AA$38)&lt;PolicyEff),1,Milestones!$AC$38)&amp;";  ","")&amp;IF(AND(EDATE($D82,Milestones!$AA$39)&lt;=AsOfDate,EDATE($D82,Milestones!$AA$39)&gt;=SchemeStart,IF($X82=0,$AD82,IF(AND($Z82&lt;&gt;"",EDATE($D82,Milestones!$AA$39)&gt;=$Z82),$AC82,IF(AND($Y82&lt;&gt;"",EDATE($D82,Milestones!$AA$39)&gt;=$Y82),$AB82,$AA82)))=Milestones!$AB$39),UPPER(TEXT(EDATE($D82,Milestones!$AA$39),"dd mmm yy"))&amp;" "&amp;Milestones!$AB$39&amp;" "&amp;IF(AND(Milestones!$AB$39="FT",Milestones!$AA$39=FT_Y5,EDATE($D82,Milestones!$AA$39)&lt;PolicyEff),1,Milestones!$AC$39)&amp;";  ","")&amp;IF(AND(EDATE($D82,Milestones!$AA$40)&lt;=AsOfDate,EDATE($D82,Milestones!$AA$40)&gt;=SchemeStart,IF($X82=0,$AD82,IF(AND($Z82&lt;&gt;"",EDATE($D82,Milestones!$AA$40)&gt;=$Z82),$AC82,IF(AND($Y82&lt;&gt;"",EDATE($D82,Milestones!$AA$40)&gt;=$Y82),$AB82,$AA82)))=Milestones!$AB$40),UPPER(TEXT(EDATE($D82,Milestones!$AA$40),"dd mmm yy"))&amp;" "&amp;Milestones!$AB$40&amp;" "&amp;IF(AND(Milestones!$AB$40="FT",Milestones!$AA$40=FT_Y5,EDATE($D82,Milestones!$AA$40)&lt;PolicyEff),1,Milestones!$AC$40)&amp;";  ","")&amp;IF(AND(EDATE($D82,Milestones!$AA$41)&lt;=AsOfDate,EDATE($D82,Milestones!$AA$41)&gt;=SchemeStart,IF($X82=0,$AD82,IF(AND($Z82&lt;&gt;"",EDATE($D82,Milestones!$AA$41)&gt;=$Z82),$AC82,IF(AND($Y82&lt;&gt;"",EDATE($D82,Milestones!$AA$41)&gt;=$Y82),$AB82,$AA82)))=Milestones!$AB$41),UPPER(TEXT(EDATE($D82,Milestones!$AA$41),"dd mmm yy"))&amp;" "&amp;Milestones!$AB$41&amp;" "&amp;IF(AND(Milestones!$AB$41="FT",Milestones!$AA$41=FT_Y5,EDATE($D82,Milestones!$AA$41)&lt;PolicyEff),1,Milestones!$AC$41)&amp;";  ","")&amp;IF(AND(EDATE($D82,Milestones!$AA$42)&lt;=AsOfDate,EDATE($D82,Milestones!$AA$42)&gt;=SchemeStart,IF($X82=0,$AD82,IF(AND($Z82&lt;&gt;"",EDATE($D82,Milestones!$AA$42)&gt;=$Z82),$AC82,IF(AND($Y82&lt;&gt;"",EDATE($D82,Milestones!$AA$42)&gt;=$Y82),$AB82,$AA82)))=Milestones!$AB$42),UPPER(TEXT(EDATE($D82,Milestones!$AA$42),"dd mmm yy"))&amp;" "&amp;Milestones!$AB$42&amp;" "&amp;IF(AND(Milestones!$AB$42="FT",Milestones!$AA$42=FT_Y5,EDATE($D82,Milestones!$AA$42)&lt;PolicyEff),1,Milestones!$AC$42)&amp;";  ","")&amp;IF(AND(EDATE($D82,Milestones!$AA$43)&lt;=AsOfDate,EDATE($D82,Milestones!$AA$43)&gt;=SchemeStart,IF($X82=0,$AD82,IF(AND($Z82&lt;&gt;"",EDATE($D82,Milestones!$AA$43)&gt;=$Z82),$AC82,IF(AND($Y82&lt;&gt;"",EDATE($D82,Milestones!$AA$43)&gt;=$Y82),$AB82,$AA82)))=Milestones!$AB$43),UPPER(TEXT(EDATE($D82,Milestones!$AA$43),"dd mmm yy"))&amp;" "&amp;Milestones!$AB$43&amp;" "&amp;IF(AND(Milestones!$AB$43="FT",Milestones!$AA$43=FT_Y5,EDATE($D82,Milestones!$AA$43)&lt;PolicyEff),1,Milestones!$AC$43)&amp;";  ",""))</f>
        <v/>
      </c>
      <c r="K82" s="0" t="str">
        <f aca="false">IF(OR($A82="",$D82=""),"",IF(AND(EDATE($D82,Milestones!$AA$44)&lt;=AsOfDate,EDATE($D82,Milestones!$AA$44)&gt;=SchemeStart,IF($X82=0,$AD82,IF(AND($Z82&lt;&gt;"",EDATE($D82,Milestones!$AA$44)&gt;=$Z82),$AC82,IF(AND($Y82&lt;&gt;"",EDATE($D82,Milestones!$AA$44)&gt;=$Y82),$AB82,$AA82)))=Milestones!$AB$44),UPPER(TEXT(EDATE($D82,Milestones!$AA$44),"dd mmm yy"))&amp;" "&amp;Milestones!$AB$44&amp;" "&amp;IF(AND(Milestones!$AB$44="FT",Milestones!$AA$44=FT_Y5,EDATE($D82,Milestones!$AA$44)&lt;PolicyEff),1,Milestones!$AC$44)&amp;";  ","")&amp;IF(AND(EDATE($D82,Milestones!$AA$45)&lt;=AsOfDate,EDATE($D82,Milestones!$AA$45)&gt;=SchemeStart,IF($X82=0,$AD82,IF(AND($Z82&lt;&gt;"",EDATE($D82,Milestones!$AA$45)&gt;=$Z82),$AC82,IF(AND($Y82&lt;&gt;"",EDATE($D82,Milestones!$AA$45)&gt;=$Y82),$AB82,$AA82)))=Milestones!$AB$45),UPPER(TEXT(EDATE($D82,Milestones!$AA$45),"dd mmm yy"))&amp;" "&amp;Milestones!$AB$45&amp;" "&amp;IF(AND(Milestones!$AB$45="FT",Milestones!$AA$45=FT_Y5,EDATE($D82,Milestones!$AA$45)&lt;PolicyEff),1,Milestones!$AC$45)&amp;";  ","")&amp;IF(AND(EDATE($D82,Milestones!$AA$46)&lt;=AsOfDate,EDATE($D82,Milestones!$AA$46)&gt;=SchemeStart,IF($X82=0,$AD82,IF(AND($Z82&lt;&gt;"",EDATE($D82,Milestones!$AA$46)&gt;=$Z82),$AC82,IF(AND($Y82&lt;&gt;"",EDATE($D82,Milestones!$AA$46)&gt;=$Y82),$AB82,$AA82)))=Milestones!$AB$46),UPPER(TEXT(EDATE($D82,Milestones!$AA$46),"dd mmm yy"))&amp;" "&amp;Milestones!$AB$46&amp;" "&amp;IF(AND(Milestones!$AB$46="FT",Milestones!$AA$46=FT_Y5,EDATE($D82,Milestones!$AA$46)&lt;PolicyEff),1,Milestones!$AC$46)&amp;";  ","")&amp;IF(AND(EDATE($D82,Milestones!$AA$47)&lt;=AsOfDate,EDATE($D82,Milestones!$AA$47)&gt;=SchemeStart,IF($X82=0,$AD82,IF(AND($Z82&lt;&gt;"",EDATE($D82,Milestones!$AA$47)&gt;=$Z82),$AC82,IF(AND($Y82&lt;&gt;"",EDATE($D82,Milestones!$AA$47)&gt;=$Y82),$AB82,$AA82)))=Milestones!$AB$47),UPPER(TEXT(EDATE($D82,Milestones!$AA$47),"dd mmm yy"))&amp;" "&amp;Milestones!$AB$47&amp;" "&amp;IF(AND(Milestones!$AB$47="FT",Milestones!$AA$47=FT_Y5,EDATE($D82,Milestones!$AA$47)&lt;PolicyEff),1,Milestones!$AC$47)&amp;";  ","")&amp;IF(AND(EDATE($D82,Milestones!$AA$48)&lt;=AsOfDate,EDATE($D82,Milestones!$AA$48)&gt;=SchemeStart,IF($X82=0,$AD82,IF(AND($Z82&lt;&gt;"",EDATE($D82,Milestones!$AA$48)&gt;=$Z82),$AC82,IF(AND($Y82&lt;&gt;"",EDATE($D82,Milestones!$AA$48)&gt;=$Y82),$AB82,$AA82)))=Milestones!$AB$48),UPPER(TEXT(EDATE($D82,Milestones!$AA$48),"dd mmm yy"))&amp;" "&amp;Milestones!$AB$48&amp;" "&amp;IF(AND(Milestones!$AB$48="FT",Milestones!$AA$48=FT_Y5,EDATE($D82,Milestones!$AA$48)&lt;PolicyEff),1,Milestones!$AC$48)&amp;";  ","")&amp;IF(AND(EDATE($D82,Milestones!$AA$49)&lt;=AsOfDate,EDATE($D82,Milestones!$AA$49)&gt;=SchemeStart,IF($X82=0,$AD82,IF(AND($Z82&lt;&gt;"",EDATE($D82,Milestones!$AA$49)&gt;=$Z82),$AC82,IF(AND($Y82&lt;&gt;"",EDATE($D82,Milestones!$AA$49)&gt;=$Y82),$AB82,$AA82)))=Milestones!$AB$49),UPPER(TEXT(EDATE($D82,Milestones!$AA$49),"dd mmm yy"))&amp;" "&amp;Milestones!$AB$49&amp;" "&amp;IF(AND(Milestones!$AB$49="FT",Milestones!$AA$49=FT_Y5,EDATE($D82,Milestones!$AA$49)&lt;PolicyEff),1,Milestones!$AC$49)&amp;";  ","")&amp;IF(AND(EDATE($D82,Milestones!$AA$50)&lt;=AsOfDate,EDATE($D82,Milestones!$AA$50)&gt;=SchemeStart,IF($X82=0,$AD82,IF(AND($Z82&lt;&gt;"",EDATE($D82,Milestones!$AA$50)&gt;=$Z82),$AC82,IF(AND($Y82&lt;&gt;"",EDATE($D82,Milestones!$AA$50)&gt;=$Y82),$AB82,$AA82)))=Milestones!$AB$50),UPPER(TEXT(EDATE($D82,Milestones!$AA$50),"dd mmm yy"))&amp;" "&amp;Milestones!$AB$50&amp;" "&amp;IF(AND(Milestones!$AB$50="FT",Milestones!$AA$50=FT_Y5,EDATE($D82,Milestones!$AA$50)&lt;PolicyEff),1,Milestones!$AC$50)&amp;";  ","")&amp;IF(AND(EDATE($D82,Milestones!$AA$51)&lt;=AsOfDate,EDATE($D82,Milestones!$AA$51)&gt;=SchemeStart,IF($X82=0,$AD82,IF(AND($Z82&lt;&gt;"",EDATE($D82,Milestones!$AA$51)&gt;=$Z82),$AC82,IF(AND($Y82&lt;&gt;"",EDATE($D82,Milestones!$AA$51)&gt;=$Y82),$AB82,$AA82)))=Milestones!$AB$51),UPPER(TEXT(EDATE($D82,Milestones!$AA$51),"dd mmm yy"))&amp;" "&amp;Milestones!$AB$51&amp;" "&amp;IF(AND(Milestones!$AB$51="FT",Milestones!$AA$51=FT_Y5,EDATE($D82,Milestones!$AA$51)&lt;PolicyEff),1,Milestones!$AC$51)&amp;";  ","")&amp;IF(AND(EDATE($D82,Milestones!$AA$52)&lt;=AsOfDate,EDATE($D82,Milestones!$AA$52)&gt;=SchemeStart,IF($X82=0,$AD82,IF(AND($Z82&lt;&gt;"",EDATE($D82,Milestones!$AA$52)&gt;=$Z82),$AC82,IF(AND($Y82&lt;&gt;"",EDATE($D82,Milestones!$AA$52)&gt;=$Y82),$AB82,$AA82)))=Milestones!$AB$52),UPPER(TEXT(EDATE($D82,Milestones!$AA$52),"dd mmm yy"))&amp;" "&amp;Milestones!$AB$52&amp;" "&amp;IF(AND(Milestones!$AB$52="FT",Milestones!$AA$52=FT_Y5,EDATE($D82,Milestones!$AA$52)&lt;PolicyEff),1,Milestones!$AC$52)&amp;";  ","")&amp;IF(AND(EDATE($D82,Milestones!$AA$53)&lt;=AsOfDate,EDATE($D82,Milestones!$AA$53)&gt;=SchemeStart,IF($X82=0,$AD82,IF(AND($Z82&lt;&gt;"",EDATE($D82,Milestones!$AA$53)&gt;=$Z82),$AC82,IF(AND($Y82&lt;&gt;"",EDATE($D82,Milestones!$AA$53)&gt;=$Y82),$AB82,$AA82)))=Milestones!$AB$53),UPPER(TEXT(EDATE($D82,Milestones!$AA$53),"dd mmm yy"))&amp;" "&amp;Milestones!$AB$53&amp;" "&amp;IF(AND(Milestones!$AB$53="FT",Milestones!$AA$53=FT_Y5,EDATE($D82,Milestones!$AA$53)&lt;PolicyEff),1,Milestones!$AC$53)&amp;";  ","")&amp;IF(AND(EDATE($D82,Milestones!$AA$54)&lt;=AsOfDate,EDATE($D82,Milestones!$AA$54)&gt;=SchemeStart,IF($X82=0,$AD82,IF(AND($Z82&lt;&gt;"",EDATE($D82,Milestones!$AA$54)&gt;=$Z82),$AC82,IF(AND($Y82&lt;&gt;"",EDATE($D82,Milestones!$AA$54)&gt;=$Y82),$AB82,$AA82)))=Milestones!$AB$54),UPPER(TEXT(EDATE($D82,Milestones!$AA$54),"dd mmm yy"))&amp;" "&amp;Milestones!$AB$54&amp;" "&amp;IF(AND(Milestones!$AB$54="FT",Milestones!$AA$54=FT_Y5,EDATE($D82,Milestones!$AA$54)&lt;PolicyEff),1,Milestones!$AC$54)&amp;";  ","")&amp;IF(AND(EDATE($D82,Milestones!$AA$55)&lt;=AsOfDate,EDATE($D82,Milestones!$AA$55)&gt;=SchemeStart,IF($X82=0,$AD82,IF(AND($Z82&lt;&gt;"",EDATE($D82,Milestones!$AA$55)&gt;=$Z82),$AC82,IF(AND($Y82&lt;&gt;"",EDATE($D82,Milestones!$AA$55)&gt;=$Y82),$AB82,$AA82)))=Milestones!$AB$55),UPPER(TEXT(EDATE($D82,Milestones!$AA$55),"dd mmm yy"))&amp;" "&amp;Milestones!$AB$55&amp;" "&amp;IF(AND(Milestones!$AB$55="FT",Milestones!$AA$55=FT_Y5,EDATE($D82,Milestones!$AA$55)&lt;PolicyEff),1,Milestones!$AC$55)&amp;";  ",""))</f>
        <v/>
      </c>
      <c r="L82" s="0" t="str">
        <f aca="false">IF(OR($A82="",$D82=""),"",IF(AND(EDATE($D82,Milestones!$AA$56)&lt;=AsOfDate,EDATE($D82,Milestones!$AA$56)&gt;=SchemeStart,IF($X82=0,$AD82,IF(AND($Z82&lt;&gt;"",EDATE($D82,Milestones!$AA$56)&gt;=$Z82),$AC82,IF(AND($Y82&lt;&gt;"",EDATE($D82,Milestones!$AA$56)&gt;=$Y82),$AB82,$AA82)))=Milestones!$AB$56),UPPER(TEXT(EDATE($D82,Milestones!$AA$56),"dd mmm yy"))&amp;" "&amp;Milestones!$AB$56&amp;" "&amp;IF(AND(Milestones!$AB$56="FT",Milestones!$AA$56=FT_Y5,EDATE($D82,Milestones!$AA$56)&lt;PolicyEff),1,Milestones!$AC$56)&amp;";  ","")&amp;IF(AND(EDATE($D82,Milestones!$AA$57)&lt;=AsOfDate,EDATE($D82,Milestones!$AA$57)&gt;=SchemeStart,IF($X82=0,$AD82,IF(AND($Z82&lt;&gt;"",EDATE($D82,Milestones!$AA$57)&gt;=$Z82),$AC82,IF(AND($Y82&lt;&gt;"",EDATE($D82,Milestones!$AA$57)&gt;=$Y82),$AB82,$AA82)))=Milestones!$AB$57),UPPER(TEXT(EDATE($D82,Milestones!$AA$57),"dd mmm yy"))&amp;" "&amp;Milestones!$AB$57&amp;" "&amp;IF(AND(Milestones!$AB$57="FT",Milestones!$AA$57=FT_Y5,EDATE($D82,Milestones!$AA$57)&lt;PolicyEff),1,Milestones!$AC$57)&amp;";  ","")&amp;IF(AND(EDATE($D82,Milestones!$AA$58)&lt;=AsOfDate,EDATE($D82,Milestones!$AA$58)&gt;=SchemeStart,IF($X82=0,$AD82,IF(AND($Z82&lt;&gt;"",EDATE($D82,Milestones!$AA$58)&gt;=$Z82),$AC82,IF(AND($Y82&lt;&gt;"",EDATE($D82,Milestones!$AA$58)&gt;=$Y82),$AB82,$AA82)))=Milestones!$AB$58),UPPER(TEXT(EDATE($D82,Milestones!$AA$58),"dd mmm yy"))&amp;" "&amp;Milestones!$AB$58&amp;" "&amp;IF(AND(Milestones!$AB$58="FT",Milestones!$AA$58=FT_Y5,EDATE($D82,Milestones!$AA$58)&lt;PolicyEff),1,Milestones!$AC$58)&amp;";  ","")&amp;IF(AND(EDATE($D82,Milestones!$AA$59)&lt;=AsOfDate,EDATE($D82,Milestones!$AA$59)&gt;=SchemeStart,IF($X82=0,$AD82,IF(AND($Z82&lt;&gt;"",EDATE($D82,Milestones!$AA$59)&gt;=$Z82),$AC82,IF(AND($Y82&lt;&gt;"",EDATE($D82,Milestones!$AA$59)&gt;=$Y82),$AB82,$AA82)))=Milestones!$AB$59),UPPER(TEXT(EDATE($D82,Milestones!$AA$59),"dd mmm yy"))&amp;" "&amp;Milestones!$AB$59&amp;" "&amp;IF(AND(Milestones!$AB$59="FT",Milestones!$AA$59=FT_Y5,EDATE($D82,Milestones!$AA$59)&lt;PolicyEff),1,Milestones!$AC$59)&amp;";  ","")&amp;IF(AND(EDATE($D82,Milestones!$AA$60)&lt;=AsOfDate,EDATE($D82,Milestones!$AA$60)&gt;=SchemeStart,IF($X82=0,$AD82,IF(AND($Z82&lt;&gt;"",EDATE($D82,Milestones!$AA$60)&gt;=$Z82),$AC82,IF(AND($Y82&lt;&gt;"",EDATE($D82,Milestones!$AA$60)&gt;=$Y82),$AB82,$AA82)))=Milestones!$AB$60),UPPER(TEXT(EDATE($D82,Milestones!$AA$60),"dd mmm yy"))&amp;" "&amp;Milestones!$AB$60&amp;" "&amp;IF(AND(Milestones!$AB$60="FT",Milestones!$AA$60=FT_Y5,EDATE($D82,Milestones!$AA$60)&lt;PolicyEff),1,Milestones!$AC$60)&amp;";  ","")&amp;IF(AND(EDATE($D82,Milestones!$AA$61)&lt;=AsOfDate,EDATE($D82,Milestones!$AA$61)&gt;=SchemeStart,IF($X82=0,$AD82,IF(AND($Z82&lt;&gt;"",EDATE($D82,Milestones!$AA$61)&gt;=$Z82),$AC82,IF(AND($Y82&lt;&gt;"",EDATE($D82,Milestones!$AA$61)&gt;=$Y82),$AB82,$AA82)))=Milestones!$AB$61),UPPER(TEXT(EDATE($D82,Milestones!$AA$61),"dd mmm yy"))&amp;" "&amp;Milestones!$AB$61&amp;" "&amp;IF(AND(Milestones!$AB$61="FT",Milestones!$AA$61=FT_Y5,EDATE($D82,Milestones!$AA$61)&lt;PolicyEff),1,Milestones!$AC$61)&amp;";  ","")&amp;IF(AND(EDATE($D82,Milestones!$AA$62)&lt;=AsOfDate,EDATE($D82,Milestones!$AA$62)&gt;=SchemeStart,IF($X82=0,$AD82,IF(AND($Z82&lt;&gt;"",EDATE($D82,Milestones!$AA$62)&gt;=$Z82),$AC82,IF(AND($Y82&lt;&gt;"",EDATE($D82,Milestones!$AA$62)&gt;=$Y82),$AB82,$AA82)))=Milestones!$AB$62),UPPER(TEXT(EDATE($D82,Milestones!$AA$62),"dd mmm yy"))&amp;" "&amp;Milestones!$AB$62&amp;" "&amp;IF(AND(Milestones!$AB$62="FT",Milestones!$AA$62=FT_Y5,EDATE($D82,Milestones!$AA$62)&lt;PolicyEff),1,Milestones!$AC$62)&amp;";  ","")&amp;IF(AND(EDATE($D82,Milestones!$AA$63)&lt;=AsOfDate,EDATE($D82,Milestones!$AA$63)&gt;=SchemeStart,IF($X82=0,$AD82,IF(AND($Z82&lt;&gt;"",EDATE($D82,Milestones!$AA$63)&gt;=$Z82),$AC82,IF(AND($Y82&lt;&gt;"",EDATE($D82,Milestones!$AA$63)&gt;=$Y82),$AB82,$AA82)))=Milestones!$AB$63),UPPER(TEXT(EDATE($D82,Milestones!$AA$63),"dd mmm yy"))&amp;" "&amp;Milestones!$AB$63&amp;" "&amp;IF(AND(Milestones!$AB$63="FT",Milestones!$AA$63=FT_Y5,EDATE($D82,Milestones!$AA$63)&lt;PolicyEff),1,Milestones!$AC$63)&amp;";  ","")&amp;IF(AND(EDATE($D82,Milestones!$AA$64)&lt;=AsOfDate,EDATE($D82,Milestones!$AA$64)&gt;=SchemeStart,IF($X82=0,$AD82,IF(AND($Z82&lt;&gt;"",EDATE($D82,Milestones!$AA$64)&gt;=$Z82),$AC82,IF(AND($Y82&lt;&gt;"",EDATE($D82,Milestones!$AA$64)&gt;=$Y82),$AB82,$AA82)))=Milestones!$AB$64),UPPER(TEXT(EDATE($D82,Milestones!$AA$64),"dd mmm yy"))&amp;" "&amp;Milestones!$AB$64&amp;" "&amp;IF(AND(Milestones!$AB$64="FT",Milestones!$AA$64=FT_Y5,EDATE($D82,Milestones!$AA$64)&lt;PolicyEff),1,Milestones!$AC$64)&amp;";  ","")&amp;IF(AND(EDATE($D82,Milestones!$AA$65)&lt;=AsOfDate,EDATE($D82,Milestones!$AA$65)&gt;=SchemeStart,IF($X82=0,$AD82,IF(AND($Z82&lt;&gt;"",EDATE($D82,Milestones!$AA$65)&gt;=$Z82),$AC82,IF(AND($Y82&lt;&gt;"",EDATE($D82,Milestones!$AA$65)&gt;=$Y82),$AB82,$AA82)))=Milestones!$AB$65),UPPER(TEXT(EDATE($D82,Milestones!$AA$65),"dd mmm yy"))&amp;" "&amp;Milestones!$AB$65&amp;" "&amp;IF(AND(Milestones!$AB$65="FT",Milestones!$AA$65=FT_Y5,EDATE($D82,Milestones!$AA$65)&lt;PolicyEff),1,Milestones!$AC$65)&amp;";  ","")&amp;IF(AND(EDATE($D82,Milestones!$AA$66)&lt;=AsOfDate,EDATE($D82,Milestones!$AA$66)&gt;=SchemeStart,IF($X82=0,$AD82,IF(AND($Z82&lt;&gt;"",EDATE($D82,Milestones!$AA$66)&gt;=$Z82),$AC82,IF(AND($Y82&lt;&gt;"",EDATE($D82,Milestones!$AA$66)&gt;=$Y82),$AB82,$AA82)))=Milestones!$AB$66),UPPER(TEXT(EDATE($D82,Milestones!$AA$66),"dd mmm yy"))&amp;" "&amp;Milestones!$AB$66&amp;" "&amp;IF(AND(Milestones!$AB$66="FT",Milestones!$AA$66=FT_Y5,EDATE($D82,Milestones!$AA$66)&lt;PolicyEff),1,Milestones!$AC$66)&amp;";  ","")&amp;IF(AND(EDATE($D82,Milestones!$AA$67)&lt;=AsOfDate,EDATE($D82,Milestones!$AA$67)&gt;=SchemeStart,IF($X82=0,$AD82,IF(AND($Z82&lt;&gt;"",EDATE($D82,Milestones!$AA$67)&gt;=$Z82),$AC82,IF(AND($Y82&lt;&gt;"",EDATE($D82,Milestones!$AA$67)&gt;=$Y82),$AB82,$AA82)))=Milestones!$AB$67),UPPER(TEXT(EDATE($D82,Milestones!$AA$67),"dd mmm yy"))&amp;" "&amp;Milestones!$AB$67&amp;" "&amp;IF(AND(Milestones!$AB$67="FT",Milestones!$AA$67=FT_Y5,EDATE($D82,Milestones!$AA$67)&lt;PolicyEff),1,Milestones!$AC$67)&amp;";  ",""))</f>
        <v/>
      </c>
      <c r="M82" s="0" t="str">
        <f aca="false">IF(OR($A82="",$D82=""),"",IF(AND(EDATE($D82,Milestones!$AA$68)&lt;=AsOfDate,EDATE($D82,Milestones!$AA$68)&gt;=SchemeStart,IF($X82=0,$AD82,IF(AND($Z82&lt;&gt;"",EDATE($D82,Milestones!$AA$68)&gt;=$Z82),$AC82,IF(AND($Y82&lt;&gt;"",EDATE($D82,Milestones!$AA$68)&gt;=$Y82),$AB82,$AA82)))=Milestones!$AB$68),UPPER(TEXT(EDATE($D82,Milestones!$AA$68),"dd mmm yy"))&amp;" "&amp;Milestones!$AB$68&amp;" "&amp;IF(AND(Milestones!$AB$68="FT",Milestones!$AA$68=FT_Y5,EDATE($D82,Milestones!$AA$68)&lt;PolicyEff),1,Milestones!$AC$68)&amp;";  ","")&amp;IF(AND(EDATE($D82,Milestones!$AA$69)&lt;=AsOfDate,EDATE($D82,Milestones!$AA$69)&gt;=SchemeStart,IF($X82=0,$AD82,IF(AND($Z82&lt;&gt;"",EDATE($D82,Milestones!$AA$69)&gt;=$Z82),$AC82,IF(AND($Y82&lt;&gt;"",EDATE($D82,Milestones!$AA$69)&gt;=$Y82),$AB82,$AA82)))=Milestones!$AB$69),UPPER(TEXT(EDATE($D82,Milestones!$AA$69),"dd mmm yy"))&amp;" "&amp;Milestones!$AB$69&amp;" "&amp;IF(AND(Milestones!$AB$69="FT",Milestones!$AA$69=FT_Y5,EDATE($D82,Milestones!$AA$69)&lt;PolicyEff),1,Milestones!$AC$69)&amp;";  ","")&amp;IF(AND(EDATE($D82,Milestones!$AA$70)&lt;=AsOfDate,EDATE($D82,Milestones!$AA$70)&gt;=SchemeStart,IF($X82=0,$AD82,IF(AND($Z82&lt;&gt;"",EDATE($D82,Milestones!$AA$70)&gt;=$Z82),$AC82,IF(AND($Y82&lt;&gt;"",EDATE($D82,Milestones!$AA$70)&gt;=$Y82),$AB82,$AA82)))=Milestones!$AB$70),UPPER(TEXT(EDATE($D82,Milestones!$AA$70),"dd mmm yy"))&amp;" "&amp;Milestones!$AB$70&amp;" "&amp;IF(AND(Milestones!$AB$70="FT",Milestones!$AA$70=FT_Y5,EDATE($D82,Milestones!$AA$70)&lt;PolicyEff),1,Milestones!$AC$70)&amp;";  ","")&amp;IF(AND(EDATE($D82,Milestones!$AA$71)&lt;=AsOfDate,EDATE($D82,Milestones!$AA$71)&gt;=SchemeStart,IF($X82=0,$AD82,IF(AND($Z82&lt;&gt;"",EDATE($D82,Milestones!$AA$71)&gt;=$Z82),$AC82,IF(AND($Y82&lt;&gt;"",EDATE($D82,Milestones!$AA$71)&gt;=$Y82),$AB82,$AA82)))=Milestones!$AB$71),UPPER(TEXT(EDATE($D82,Milestones!$AA$71),"dd mmm yy"))&amp;" "&amp;Milestones!$AB$71&amp;" "&amp;IF(AND(Milestones!$AB$71="FT",Milestones!$AA$71=FT_Y5,EDATE($D82,Milestones!$AA$71)&lt;PolicyEff),1,Milestones!$AC$71)&amp;";  ","")&amp;IF(AND(EDATE($D82,Milestones!$AA$72)&lt;=AsOfDate,EDATE($D82,Milestones!$AA$72)&gt;=SchemeStart,IF($X82=0,$AD82,IF(AND($Z82&lt;&gt;"",EDATE($D82,Milestones!$AA$72)&gt;=$Z82),$AC82,IF(AND($Y82&lt;&gt;"",EDATE($D82,Milestones!$AA$72)&gt;=$Y82),$AB82,$AA82)))=Milestones!$AB$72),UPPER(TEXT(EDATE($D82,Milestones!$AA$72),"dd mmm yy"))&amp;" "&amp;Milestones!$AB$72&amp;" "&amp;IF(AND(Milestones!$AB$72="FT",Milestones!$AA$72=FT_Y5,EDATE($D82,Milestones!$AA$72)&lt;PolicyEff),1,Milestones!$AC$72)&amp;";  ","")&amp;IF(AND(EDATE($D82,Milestones!$AA$73)&lt;=AsOfDate,EDATE($D82,Milestones!$AA$73)&gt;=SchemeStart,IF($X82=0,$AD82,IF(AND($Z82&lt;&gt;"",EDATE($D82,Milestones!$AA$73)&gt;=$Z82),$AC82,IF(AND($Y82&lt;&gt;"",EDATE($D82,Milestones!$AA$73)&gt;=$Y82),$AB82,$AA82)))=Milestones!$AB$73),UPPER(TEXT(EDATE($D82,Milestones!$AA$73),"dd mmm yy"))&amp;" "&amp;Milestones!$AB$73&amp;" "&amp;IF(AND(Milestones!$AB$73="FT",Milestones!$AA$73=FT_Y5,EDATE($D82,Milestones!$AA$73)&lt;PolicyEff),1,Milestones!$AC$73)&amp;";  ","")&amp;IF(AND(EDATE($D82,Milestones!$AA$74)&lt;=AsOfDate,EDATE($D82,Milestones!$AA$74)&gt;=SchemeStart,IF($X82=0,$AD82,IF(AND($Z82&lt;&gt;"",EDATE($D82,Milestones!$AA$74)&gt;=$Z82),$AC82,IF(AND($Y82&lt;&gt;"",EDATE($D82,Milestones!$AA$74)&gt;=$Y82),$AB82,$AA82)))=Milestones!$AB$74),UPPER(TEXT(EDATE($D82,Milestones!$AA$74),"dd mmm yy"))&amp;" "&amp;Milestones!$AB$74&amp;" "&amp;IF(AND(Milestones!$AB$74="FT",Milestones!$AA$74=FT_Y5,EDATE($D82,Milestones!$AA$74)&lt;PolicyEff),1,Milestones!$AC$74)&amp;";  ","")&amp;IF(AND(EDATE($D82,Milestones!$AA$75)&lt;=AsOfDate,EDATE($D82,Milestones!$AA$75)&gt;=SchemeStart,IF($X82=0,$AD82,IF(AND($Z82&lt;&gt;"",EDATE($D82,Milestones!$AA$75)&gt;=$Z82),$AC82,IF(AND($Y82&lt;&gt;"",EDATE($D82,Milestones!$AA$75)&gt;=$Y82),$AB82,$AA82)))=Milestones!$AB$75),UPPER(TEXT(EDATE($D82,Milestones!$AA$75),"dd mmm yy"))&amp;" "&amp;Milestones!$AB$75&amp;" "&amp;IF(AND(Milestones!$AB$75="FT",Milestones!$AA$75=FT_Y5,EDATE($D82,Milestones!$AA$75)&lt;PolicyEff),1,Milestones!$AC$75)&amp;";  ","")&amp;IF(AND(EDATE($D82,Milestones!$AA$76)&lt;=AsOfDate,EDATE($D82,Milestones!$AA$76)&gt;=SchemeStart,IF($X82=0,$AD82,IF(AND($Z82&lt;&gt;"",EDATE($D82,Milestones!$AA$76)&gt;=$Z82),$AC82,IF(AND($Y82&lt;&gt;"",EDATE($D82,Milestones!$AA$76)&gt;=$Y82),$AB82,$AA82)))=Milestones!$AB$76),UPPER(TEXT(EDATE($D82,Milestones!$AA$76),"dd mmm yy"))&amp;" "&amp;Milestones!$AB$76&amp;" "&amp;IF(AND(Milestones!$AB$76="FT",Milestones!$AA$76=FT_Y5,EDATE($D82,Milestones!$AA$76)&lt;PolicyEff),1,Milestones!$AC$76)&amp;";  ","")&amp;IF(AND(EDATE($D82,Milestones!$AA$77)&lt;=AsOfDate,EDATE($D82,Milestones!$AA$77)&gt;=SchemeStart,IF($X82=0,$AD82,IF(AND($Z82&lt;&gt;"",EDATE($D82,Milestones!$AA$77)&gt;=$Z82),$AC82,IF(AND($Y82&lt;&gt;"",EDATE($D82,Milestones!$AA$77)&gt;=$Y82),$AB82,$AA82)))=Milestones!$AB$77),UPPER(TEXT(EDATE($D82,Milestones!$AA$77),"dd mmm yy"))&amp;" "&amp;Milestones!$AB$77&amp;" "&amp;IF(AND(Milestones!$AB$77="FT",Milestones!$AA$77=FT_Y5,EDATE($D82,Milestones!$AA$77)&lt;PolicyEff),1,Milestones!$AC$77)&amp;";  ","")&amp;IF(AND(EDATE($D82,Milestones!$AA$78)&lt;=AsOfDate,EDATE($D82,Milestones!$AA$78)&gt;=SchemeStart,IF($X82=0,$AD82,IF(AND($Z82&lt;&gt;"",EDATE($D82,Milestones!$AA$78)&gt;=$Z82),$AC82,IF(AND($Y82&lt;&gt;"",EDATE($D82,Milestones!$AA$78)&gt;=$Y82),$AB82,$AA82)))=Milestones!$AB$78),UPPER(TEXT(EDATE($D82,Milestones!$AA$78),"dd mmm yy"))&amp;" "&amp;Milestones!$AB$78&amp;" "&amp;IF(AND(Milestones!$AB$78="FT",Milestones!$AA$78=FT_Y5,EDATE($D82,Milestones!$AA$78)&lt;PolicyEff),1,Milestones!$AC$78)&amp;";  ","")&amp;IF(AND(EDATE($D82,Milestones!$AA$79)&lt;=AsOfDate,EDATE($D82,Milestones!$AA$79)&gt;=SchemeStart,IF($X82=0,$AD82,IF(AND($Z82&lt;&gt;"",EDATE($D82,Milestones!$AA$79)&gt;=$Z82),$AC82,IF(AND($Y82&lt;&gt;"",EDATE($D82,Milestones!$AA$79)&gt;=$Y82),$AB82,$AA82)))=Milestones!$AB$79),UPPER(TEXT(EDATE($D82,Milestones!$AA$79),"dd mmm yy"))&amp;" "&amp;Milestones!$AB$79&amp;" "&amp;IF(AND(Milestones!$AB$79="FT",Milestones!$AA$79=FT_Y5,EDATE($D82,Milestones!$AA$79)&lt;PolicyEff),1,Milestones!$AC$79)&amp;";  ",""))</f>
        <v/>
      </c>
      <c r="N82" s="0" t="str">
        <f aca="false">IF(OR($A82="",$D82=""),"",IF(AND(EDATE($D82,Milestones!$AA$80)&lt;=AsOfDate,EDATE($D82,Milestones!$AA$80)&gt;=SchemeStart,IF($X82=0,$AD82,IF(AND($Z82&lt;&gt;"",EDATE($D82,Milestones!$AA$80)&gt;=$Z82),$AC82,IF(AND($Y82&lt;&gt;"",EDATE($D82,Milestones!$AA$80)&gt;=$Y82),$AB82,$AA82)))=Milestones!$AB$80),UPPER(TEXT(EDATE($D82,Milestones!$AA$80),"dd mmm yy"))&amp;" "&amp;Milestones!$AB$80&amp;" "&amp;IF(AND(Milestones!$AB$80="FT",Milestones!$AA$80=FT_Y5,EDATE($D82,Milestones!$AA$80)&lt;PolicyEff),1,Milestones!$AC$80)&amp;";  ","")&amp;IF(AND(EDATE($D82,Milestones!$AA$81)&lt;=AsOfDate,EDATE($D82,Milestones!$AA$81)&gt;=SchemeStart,IF($X82=0,$AD82,IF(AND($Z82&lt;&gt;"",EDATE($D82,Milestones!$AA$81)&gt;=$Z82),$AC82,IF(AND($Y82&lt;&gt;"",EDATE($D82,Milestones!$AA$81)&gt;=$Y82),$AB82,$AA82)))=Milestones!$AB$81),UPPER(TEXT(EDATE($D82,Milestones!$AA$81),"dd mmm yy"))&amp;" "&amp;Milestones!$AB$81&amp;" "&amp;IF(AND(Milestones!$AB$81="FT",Milestones!$AA$81=FT_Y5,EDATE($D82,Milestones!$AA$81)&lt;PolicyEff),1,Milestones!$AC$81)&amp;";  ","")&amp;IF(AND(EDATE($D82,Milestones!$AA$82)&lt;=AsOfDate,EDATE($D82,Milestones!$AA$82)&gt;=SchemeStart,IF($X82=0,$AD82,IF(AND($Z82&lt;&gt;"",EDATE($D82,Milestones!$AA$82)&gt;=$Z82),$AC82,IF(AND($Y82&lt;&gt;"",EDATE($D82,Milestones!$AA$82)&gt;=$Y82),$AB82,$AA82)))=Milestones!$AB$82),UPPER(TEXT(EDATE($D82,Milestones!$AA$82),"dd mmm yy"))&amp;" "&amp;Milestones!$AB$82&amp;" "&amp;IF(AND(Milestones!$AB$82="FT",Milestones!$AA$82=FT_Y5,EDATE($D82,Milestones!$AA$82)&lt;PolicyEff),1,Milestones!$AC$82)&amp;";  ","")&amp;IF(AND(EDATE($D82,Milestones!$AA$83)&lt;=AsOfDate,EDATE($D82,Milestones!$AA$83)&gt;=SchemeStart,IF($X82=0,$AD82,IF(AND($Z82&lt;&gt;"",EDATE($D82,Milestones!$AA$83)&gt;=$Z82),$AC82,IF(AND($Y82&lt;&gt;"",EDATE($D82,Milestones!$AA$83)&gt;=$Y82),$AB82,$AA82)))=Milestones!$AB$83),UPPER(TEXT(EDATE($D82,Milestones!$AA$83),"dd mmm yy"))&amp;" "&amp;Milestones!$AB$83&amp;" "&amp;IF(AND(Milestones!$AB$83="FT",Milestones!$AA$83=FT_Y5,EDATE($D82,Milestones!$AA$83)&lt;PolicyEff),1,Milestones!$AC$83)&amp;";  ","")&amp;IF(AND(EDATE($D82,Milestones!$AA$84)&lt;=AsOfDate,EDATE($D82,Milestones!$AA$84)&gt;=SchemeStart,IF($X82=0,$AD82,IF(AND($Z82&lt;&gt;"",EDATE($D82,Milestones!$AA$84)&gt;=$Z82),$AC82,IF(AND($Y82&lt;&gt;"",EDATE($D82,Milestones!$AA$84)&gt;=$Y82),$AB82,$AA82)))=Milestones!$AB$84),UPPER(TEXT(EDATE($D82,Milestones!$AA$84),"dd mmm yy"))&amp;" "&amp;Milestones!$AB$84&amp;" "&amp;IF(AND(Milestones!$AB$84="FT",Milestones!$AA$84=FT_Y5,EDATE($D82,Milestones!$AA$84)&lt;PolicyEff),1,Milestones!$AC$84)&amp;";  ","")&amp;IF(AND(EDATE($D82,Milestones!$AA$85)&lt;=AsOfDate,EDATE($D82,Milestones!$AA$85)&gt;=SchemeStart,IF($X82=0,$AD82,IF(AND($Z82&lt;&gt;"",EDATE($D82,Milestones!$AA$85)&gt;=$Z82),$AC82,IF(AND($Y82&lt;&gt;"",EDATE($D82,Milestones!$AA$85)&gt;=$Y82),$AB82,$AA82)))=Milestones!$AB$85),UPPER(TEXT(EDATE($D82,Milestones!$AA$85),"dd mmm yy"))&amp;" "&amp;Milestones!$AB$85&amp;" "&amp;IF(AND(Milestones!$AB$85="FT",Milestones!$AA$85=FT_Y5,EDATE($D82,Milestones!$AA$85)&lt;PolicyEff),1,Milestones!$AC$85)&amp;";  ","")&amp;IF(AND(EDATE($D82,Milestones!$AA$86)&lt;=AsOfDate,EDATE($D82,Milestones!$AA$86)&gt;=SchemeStart,IF($X82=0,$AD82,IF(AND($Z82&lt;&gt;"",EDATE($D82,Milestones!$AA$86)&gt;=$Z82),$AC82,IF(AND($Y82&lt;&gt;"",EDATE($D82,Milestones!$AA$86)&gt;=$Y82),$AB82,$AA82)))=Milestones!$AB$86),UPPER(TEXT(EDATE($D82,Milestones!$AA$86),"dd mmm yy"))&amp;" "&amp;Milestones!$AB$86&amp;" "&amp;IF(AND(Milestones!$AB$86="FT",Milestones!$AA$86=FT_Y5,EDATE($D82,Milestones!$AA$86)&lt;PolicyEff),1,Milestones!$AC$86)&amp;";  ","")&amp;IF(AND(EDATE($D82,Milestones!$AA$87)&lt;=AsOfDate,EDATE($D82,Milestones!$AA$87)&gt;=SchemeStart,IF($X82=0,$AD82,IF(AND($Z82&lt;&gt;"",EDATE($D82,Milestones!$AA$87)&gt;=$Z82),$AC82,IF(AND($Y82&lt;&gt;"",EDATE($D82,Milestones!$AA$87)&gt;=$Y82),$AB82,$AA82)))=Milestones!$AB$87),UPPER(TEXT(EDATE($D82,Milestones!$AA$87),"dd mmm yy"))&amp;" "&amp;Milestones!$AB$87&amp;" "&amp;IF(AND(Milestones!$AB$87="FT",Milestones!$AA$87=FT_Y5,EDATE($D82,Milestones!$AA$87)&lt;PolicyEff),1,Milestones!$AC$87)&amp;";  ","")&amp;IF(AND(EDATE($D82,Milestones!$AA$88)&lt;=AsOfDate,EDATE($D82,Milestones!$AA$88)&gt;=SchemeStart,IF($X82=0,$AD82,IF(AND($Z82&lt;&gt;"",EDATE($D82,Milestones!$AA$88)&gt;=$Z82),$AC82,IF(AND($Y82&lt;&gt;"",EDATE($D82,Milestones!$AA$88)&gt;=$Y82),$AB82,$AA82)))=Milestones!$AB$88),UPPER(TEXT(EDATE($D82,Milestones!$AA$88),"dd mmm yy"))&amp;" "&amp;Milestones!$AB$88&amp;" "&amp;IF(AND(Milestones!$AB$88="FT",Milestones!$AA$88=FT_Y5,EDATE($D82,Milestones!$AA$88)&lt;PolicyEff),1,Milestones!$AC$88)&amp;";  ","")&amp;IF(AND(EDATE($D82,Milestones!$AA$89)&lt;=AsOfDate,EDATE($D82,Milestones!$AA$89)&gt;=SchemeStart,IF($X82=0,$AD82,IF(AND($Z82&lt;&gt;"",EDATE($D82,Milestones!$AA$89)&gt;=$Z82),$AC82,IF(AND($Y82&lt;&gt;"",EDATE($D82,Milestones!$AA$89)&gt;=$Y82),$AB82,$AA82)))=Milestones!$AB$89),UPPER(TEXT(EDATE($D82,Milestones!$AA$89),"dd mmm yy"))&amp;" "&amp;Milestones!$AB$89&amp;" "&amp;IF(AND(Milestones!$AB$89="FT",Milestones!$AA$89=FT_Y5,EDATE($D82,Milestones!$AA$89)&lt;PolicyEff),1,Milestones!$AC$89)&amp;";  ","")&amp;IF(AND(EDATE($D82,Milestones!$AA$90)&lt;=AsOfDate,EDATE($D82,Milestones!$AA$90)&gt;=SchemeStart,IF($X82=0,$AD82,IF(AND($Z82&lt;&gt;"",EDATE($D82,Milestones!$AA$90)&gt;=$Z82),$AC82,IF(AND($Y82&lt;&gt;"",EDATE($D82,Milestones!$AA$90)&gt;=$Y82),$AB82,$AA82)))=Milestones!$AB$90),UPPER(TEXT(EDATE($D82,Milestones!$AA$90),"dd mmm yy"))&amp;" "&amp;Milestones!$AB$90&amp;" "&amp;IF(AND(Milestones!$AB$90="FT",Milestones!$AA$90=FT_Y5,EDATE($D82,Milestones!$AA$90)&lt;PolicyEff),1,Milestones!$AC$90)&amp;";  ","")&amp;IF(AND(EDATE($D82,Milestones!$AA$91)&lt;=AsOfDate,EDATE($D82,Milestones!$AA$91)&gt;=SchemeStart,IF($X82=0,$AD82,IF(AND($Z82&lt;&gt;"",EDATE($D82,Milestones!$AA$91)&gt;=$Z82),$AC82,IF(AND($Y82&lt;&gt;"",EDATE($D82,Milestones!$AA$91)&gt;=$Y82),$AB82,$AA82)))=Milestones!$AB$91),UPPER(TEXT(EDATE($D82,Milestones!$AA$91),"dd mmm yy"))&amp;" "&amp;Milestones!$AB$91&amp;" "&amp;IF(AND(Milestones!$AB$91="FT",Milestones!$AA$91=FT_Y5,EDATE($D82,Milestones!$AA$91)&lt;PolicyEff),1,Milestones!$AC$91)&amp;";  ",""))</f>
        <v/>
      </c>
      <c r="O82" s="0" t="str">
        <f aca="false">IF(OR($A82="",$D82=""),"",IF(AND(EDATE($D82,Milestones!$AA$92)&lt;=AsOfDate,EDATE($D82,Milestones!$AA$92)&gt;=SchemeStart,IF($X82=0,$AD82,IF(AND($Z82&lt;&gt;"",EDATE($D82,Milestones!$AA$92)&gt;=$Z82),$AC82,IF(AND($Y82&lt;&gt;"",EDATE($D82,Milestones!$AA$92)&gt;=$Y82),$AB82,$AA82)))=Milestones!$AB$92),UPPER(TEXT(EDATE($D82,Milestones!$AA$92),"dd mmm yy"))&amp;" "&amp;Milestones!$AB$92&amp;" "&amp;IF(AND(Milestones!$AB$92="FT",Milestones!$AA$92=FT_Y5,EDATE($D82,Milestones!$AA$92)&lt;PolicyEff),1,Milestones!$AC$92)&amp;";  ","")&amp;IF(AND(EDATE($D82,Milestones!$AA$93)&lt;=AsOfDate,EDATE($D82,Milestones!$AA$93)&gt;=SchemeStart,IF($X82=0,$AD82,IF(AND($Z82&lt;&gt;"",EDATE($D82,Milestones!$AA$93)&gt;=$Z82),$AC82,IF(AND($Y82&lt;&gt;"",EDATE($D82,Milestones!$AA$93)&gt;=$Y82),$AB82,$AA82)))=Milestones!$AB$93),UPPER(TEXT(EDATE($D82,Milestones!$AA$93),"dd mmm yy"))&amp;" "&amp;Milestones!$AB$93&amp;" "&amp;IF(AND(Milestones!$AB$93="FT",Milestones!$AA$93=FT_Y5,EDATE($D82,Milestones!$AA$93)&lt;PolicyEff),1,Milestones!$AC$93)&amp;";  ","")&amp;IF(AND(EDATE($D82,Milestones!$AA$94)&lt;=AsOfDate,EDATE($D82,Milestones!$AA$94)&gt;=SchemeStart,IF($X82=0,$AD82,IF(AND($Z82&lt;&gt;"",EDATE($D82,Milestones!$AA$94)&gt;=$Z82),$AC82,IF(AND($Y82&lt;&gt;"",EDATE($D82,Milestones!$AA$94)&gt;=$Y82),$AB82,$AA82)))=Milestones!$AB$94),UPPER(TEXT(EDATE($D82,Milestones!$AA$94),"dd mmm yy"))&amp;" "&amp;Milestones!$AB$94&amp;" "&amp;IF(AND(Milestones!$AB$94="FT",Milestones!$AA$94=FT_Y5,EDATE($D82,Milestones!$AA$94)&lt;PolicyEff),1,Milestones!$AC$94)&amp;";  ","")&amp;IF(AND(EDATE($D82,Milestones!$AA$95)&lt;=AsOfDate,EDATE($D82,Milestones!$AA$95)&gt;=SchemeStart,IF($X82=0,$AD82,IF(AND($Z82&lt;&gt;"",EDATE($D82,Milestones!$AA$95)&gt;=$Z82),$AC82,IF(AND($Y82&lt;&gt;"",EDATE($D82,Milestones!$AA$95)&gt;=$Y82),$AB82,$AA82)))=Milestones!$AB$95),UPPER(TEXT(EDATE($D82,Milestones!$AA$95),"dd mmm yy"))&amp;" "&amp;Milestones!$AB$95&amp;" "&amp;IF(AND(Milestones!$AB$95="FT",Milestones!$AA$95=FT_Y5,EDATE($D82,Milestones!$AA$95)&lt;PolicyEff),1,Milestones!$AC$95)&amp;";  ","")&amp;IF(AND(EDATE($D82,Milestones!$AA$96)&lt;=AsOfDate,EDATE($D82,Milestones!$AA$96)&gt;=SchemeStart,IF($X82=0,$AD82,IF(AND($Z82&lt;&gt;"",EDATE($D82,Milestones!$AA$96)&gt;=$Z82),$AC82,IF(AND($Y82&lt;&gt;"",EDATE($D82,Milestones!$AA$96)&gt;=$Y82),$AB82,$AA82)))=Milestones!$AB$96),UPPER(TEXT(EDATE($D82,Milestones!$AA$96),"dd mmm yy"))&amp;" "&amp;Milestones!$AB$96&amp;" "&amp;IF(AND(Milestones!$AB$96="FT",Milestones!$AA$96=FT_Y5,EDATE($D82,Milestones!$AA$96)&lt;PolicyEff),1,Milestones!$AC$96)&amp;";  ","")&amp;IF(AND(EDATE($D82,Milestones!$AA$97)&lt;=AsOfDate,EDATE($D82,Milestones!$AA$97)&gt;=SchemeStart,IF($X82=0,$AD82,IF(AND($Z82&lt;&gt;"",EDATE($D82,Milestones!$AA$97)&gt;=$Z82),$AC82,IF(AND($Y82&lt;&gt;"",EDATE($D82,Milestones!$AA$97)&gt;=$Y82),$AB82,$AA82)))=Milestones!$AB$97),UPPER(TEXT(EDATE($D82,Milestones!$AA$97),"dd mmm yy"))&amp;" "&amp;Milestones!$AB$97&amp;" "&amp;IF(AND(Milestones!$AB$97="FT",Milestones!$AA$97=FT_Y5,EDATE($D82,Milestones!$AA$97)&lt;PolicyEff),1,Milestones!$AC$97)&amp;";  ","")&amp;IF(AND(EDATE($D82,Milestones!$AA$98)&lt;=AsOfDate,EDATE($D82,Milestones!$AA$98)&gt;=SchemeStart,IF($X82=0,$AD82,IF(AND($Z82&lt;&gt;"",EDATE($D82,Milestones!$AA$98)&gt;=$Z82),$AC82,IF(AND($Y82&lt;&gt;"",EDATE($D82,Milestones!$AA$98)&gt;=$Y82),$AB82,$AA82)))=Milestones!$AB$98),UPPER(TEXT(EDATE($D82,Milestones!$AA$98),"dd mmm yy"))&amp;" "&amp;Milestones!$AB$98&amp;" "&amp;IF(AND(Milestones!$AB$98="FT",Milestones!$AA$98=FT_Y5,EDATE($D82,Milestones!$AA$98)&lt;PolicyEff),1,Milestones!$AC$98)&amp;";  ","")&amp;IF(AND(EDATE($D82,Milestones!$AA$99)&lt;=AsOfDate,EDATE($D82,Milestones!$AA$99)&gt;=SchemeStart,IF($X82=0,$AD82,IF(AND($Z82&lt;&gt;"",EDATE($D82,Milestones!$AA$99)&gt;=$Z82),$AC82,IF(AND($Y82&lt;&gt;"",EDATE($D82,Milestones!$AA$99)&gt;=$Y82),$AB82,$AA82)))=Milestones!$AB$99),UPPER(TEXT(EDATE($D82,Milestones!$AA$99),"dd mmm yy"))&amp;" "&amp;Milestones!$AB$99&amp;" "&amp;IF(AND(Milestones!$AB$99="FT",Milestones!$AA$99=FT_Y5,EDATE($D82,Milestones!$AA$99)&lt;PolicyEff),1,Milestones!$AC$99)&amp;";  ","")&amp;IF(AND(EDATE($D82,Milestones!$AA$100)&lt;=AsOfDate,EDATE($D82,Milestones!$AA$100)&gt;=SchemeStart,IF($X82=0,$AD82,IF(AND($Z82&lt;&gt;"",EDATE($D82,Milestones!$AA$100)&gt;=$Z82),$AC82,IF(AND($Y82&lt;&gt;"",EDATE($D82,Milestones!$AA$100)&gt;=$Y82),$AB82,$AA82)))=Milestones!$AB$100),UPPER(TEXT(EDATE($D82,Milestones!$AA$100),"dd mmm yy"))&amp;" "&amp;Milestones!$AB$100&amp;" "&amp;IF(AND(Milestones!$AB$100="FT",Milestones!$AA$100=FT_Y5,EDATE($D82,Milestones!$AA$100)&lt;PolicyEff),1,Milestones!$AC$100)&amp;";  ","")&amp;IF(AND(EDATE($D82,Milestones!$AA$101)&lt;=AsOfDate,EDATE($D82,Milestones!$AA$101)&gt;=SchemeStart,IF($X82=0,$AD82,IF(AND($Z82&lt;&gt;"",EDATE($D82,Milestones!$AA$101)&gt;=$Z82),$AC82,IF(AND($Y82&lt;&gt;"",EDATE($D82,Milestones!$AA$101)&gt;=$Y82),$AB82,$AA82)))=Milestones!$AB$101),UPPER(TEXT(EDATE($D82,Milestones!$AA$101),"dd mmm yy"))&amp;" "&amp;Milestones!$AB$101&amp;" "&amp;IF(AND(Milestones!$AB$101="FT",Milestones!$AA$101=FT_Y5,EDATE($D82,Milestones!$AA$101)&lt;PolicyEff),1,Milestones!$AC$101)&amp;";  ","")&amp;IF(AND(EDATE($D82,Milestones!$AA$102)&lt;=AsOfDate,EDATE($D82,Milestones!$AA$102)&gt;=SchemeStart,IF($X82=0,$AD82,IF(AND($Z82&lt;&gt;"",EDATE($D82,Milestones!$AA$102)&gt;=$Z82),$AC82,IF(AND($Y82&lt;&gt;"",EDATE($D82,Milestones!$AA$102)&gt;=$Y82),$AB82,$AA82)))=Milestones!$AB$102),UPPER(TEXT(EDATE($D82,Milestones!$AA$102),"dd mmm yy"))&amp;" "&amp;Milestones!$AB$102&amp;" "&amp;IF(AND(Milestones!$AB$102="FT",Milestones!$AA$102=FT_Y5,EDATE($D82,Milestones!$AA$102)&lt;PolicyEff),1,Milestones!$AC$102)&amp;";  ","")&amp;IF(AND(EDATE($D82,Milestones!$AA$103)&lt;=AsOfDate,EDATE($D82,Milestones!$AA$103)&gt;=SchemeStart,IF($X82=0,$AD82,IF(AND($Z82&lt;&gt;"",EDATE($D82,Milestones!$AA$103)&gt;=$Z82),$AC82,IF(AND($Y82&lt;&gt;"",EDATE($D82,Milestones!$AA$103)&gt;=$Y82),$AB82,$AA82)))=Milestones!$AB$103),UPPER(TEXT(EDATE($D82,Milestones!$AA$103),"dd mmm yy"))&amp;" "&amp;Milestones!$AB$103&amp;" "&amp;IF(AND(Milestones!$AB$103="FT",Milestones!$AA$103=FT_Y5,EDATE($D82,Milestones!$AA$103)&lt;PolicyEff),1,Milestones!$AC$103)&amp;";  ",""))</f>
        <v/>
      </c>
      <c r="P82" s="0" t="str">
        <f aca="false">IF(OR($A82="",$D82=""),"",IF(AND(EDATE($D82,Milestones!$AA$104)&lt;=AsOfDate,EDATE($D82,Milestones!$AA$104)&gt;=SchemeStart,IF($X82=0,$AD82,IF(AND($Z82&lt;&gt;"",EDATE($D82,Milestones!$AA$104)&gt;=$Z82),$AC82,IF(AND($Y82&lt;&gt;"",EDATE($D82,Milestones!$AA$104)&gt;=$Y82),$AB82,$AA82)))=Milestones!$AB$104),UPPER(TEXT(EDATE($D82,Milestones!$AA$104),"dd mmm yy"))&amp;" "&amp;Milestones!$AB$104&amp;" "&amp;IF(AND(Milestones!$AB$104="FT",Milestones!$AA$104=FT_Y5,EDATE($D82,Milestones!$AA$104)&lt;PolicyEff),1,Milestones!$AC$104)&amp;";  ","")&amp;IF(AND(EDATE($D82,Milestones!$AA$105)&lt;=AsOfDate,EDATE($D82,Milestones!$AA$105)&gt;=SchemeStart,IF($X82=0,$AD82,IF(AND($Z82&lt;&gt;"",EDATE($D82,Milestones!$AA$105)&gt;=$Z82),$AC82,IF(AND($Y82&lt;&gt;"",EDATE($D82,Milestones!$AA$105)&gt;=$Y82),$AB82,$AA82)))=Milestones!$AB$105),UPPER(TEXT(EDATE($D82,Milestones!$AA$105),"dd mmm yy"))&amp;" "&amp;Milestones!$AB$105&amp;" "&amp;IF(AND(Milestones!$AB$105="FT",Milestones!$AA$105=FT_Y5,EDATE($D82,Milestones!$AA$105)&lt;PolicyEff),1,Milestones!$AC$105)&amp;";  ","")&amp;IF(AND(EDATE($D82,Milestones!$AA$106)&lt;=AsOfDate,EDATE($D82,Milestones!$AA$106)&gt;=SchemeStart,IF($X82=0,$AD82,IF(AND($Z82&lt;&gt;"",EDATE($D82,Milestones!$AA$106)&gt;=$Z82),$AC82,IF(AND($Y82&lt;&gt;"",EDATE($D82,Milestones!$AA$106)&gt;=$Y82),$AB82,$AA82)))=Milestones!$AB$106),UPPER(TEXT(EDATE($D82,Milestones!$AA$106),"dd mmm yy"))&amp;" "&amp;Milestones!$AB$106&amp;" "&amp;IF(AND(Milestones!$AB$106="FT",Milestones!$AA$106=FT_Y5,EDATE($D82,Milestones!$AA$106)&lt;PolicyEff),1,Milestones!$AC$106)&amp;";  ","")&amp;IF(AND(EDATE($D82,Milestones!$AA$107)&lt;=AsOfDate,EDATE($D82,Milestones!$AA$107)&gt;=SchemeStart,IF($X82=0,$AD82,IF(AND($Z82&lt;&gt;"",EDATE($D82,Milestones!$AA$107)&gt;=$Z82),$AC82,IF(AND($Y82&lt;&gt;"",EDATE($D82,Milestones!$AA$107)&gt;=$Y82),$AB82,$AA82)))=Milestones!$AB$107),UPPER(TEXT(EDATE($D82,Milestones!$AA$107),"dd mmm yy"))&amp;" "&amp;Milestones!$AB$107&amp;" "&amp;IF(AND(Milestones!$AB$107="FT",Milestones!$AA$107=FT_Y5,EDATE($D82,Milestones!$AA$107)&lt;PolicyEff),1,Milestones!$AC$107)&amp;";  ","")&amp;IF(AND(EDATE($D82,Milestones!$AA$108)&lt;=AsOfDate,EDATE($D82,Milestones!$AA$108)&gt;=SchemeStart,IF($X82=0,$AD82,IF(AND($Z82&lt;&gt;"",EDATE($D82,Milestones!$AA$108)&gt;=$Z82),$AC82,IF(AND($Y82&lt;&gt;"",EDATE($D82,Milestones!$AA$108)&gt;=$Y82),$AB82,$AA82)))=Milestones!$AB$108),UPPER(TEXT(EDATE($D82,Milestones!$AA$108),"dd mmm yy"))&amp;" "&amp;Milestones!$AB$108&amp;" "&amp;IF(AND(Milestones!$AB$108="FT",Milestones!$AA$108=FT_Y5,EDATE($D82,Milestones!$AA$108)&lt;PolicyEff),1,Milestones!$AC$108)&amp;";  ","")&amp;IF(AND(EDATE($D82,Milestones!$AA$109)&lt;=AsOfDate,EDATE($D82,Milestones!$AA$109)&gt;=SchemeStart,IF($X82=0,$AD82,IF(AND($Z82&lt;&gt;"",EDATE($D82,Milestones!$AA$109)&gt;=$Z82),$AC82,IF(AND($Y82&lt;&gt;"",EDATE($D82,Milestones!$AA$109)&gt;=$Y82),$AB82,$AA82)))=Milestones!$AB$109),UPPER(TEXT(EDATE($D82,Milestones!$AA$109),"dd mmm yy"))&amp;" "&amp;Milestones!$AB$109&amp;" "&amp;IF(AND(Milestones!$AB$109="FT",Milestones!$AA$109=FT_Y5,EDATE($D82,Milestones!$AA$109)&lt;PolicyEff),1,Milestones!$AC$109)&amp;";  ","")&amp;IF(AND(EDATE($D82,Milestones!$AA$110)&lt;=AsOfDate,EDATE($D82,Milestones!$AA$110)&gt;=SchemeStart,IF($X82=0,$AD82,IF(AND($Z82&lt;&gt;"",EDATE($D82,Milestones!$AA$110)&gt;=$Z82),$AC82,IF(AND($Y82&lt;&gt;"",EDATE($D82,Milestones!$AA$110)&gt;=$Y82),$AB82,$AA82)))=Milestones!$AB$110),UPPER(TEXT(EDATE($D82,Milestones!$AA$110),"dd mmm yy"))&amp;" "&amp;Milestones!$AB$110&amp;" "&amp;IF(AND(Milestones!$AB$110="FT",Milestones!$AA$110=FT_Y5,EDATE($D82,Milestones!$AA$110)&lt;PolicyEff),1,Milestones!$AC$110)&amp;";  ","")&amp;IF(AND(EDATE($D82,Milestones!$AA$111)&lt;=AsOfDate,EDATE($D82,Milestones!$AA$111)&gt;=SchemeStart,IF($X82=0,$AD82,IF(AND($Z82&lt;&gt;"",EDATE($D82,Milestones!$AA$111)&gt;=$Z82),$AC82,IF(AND($Y82&lt;&gt;"",EDATE($D82,Milestones!$AA$111)&gt;=$Y82),$AB82,$AA82)))=Milestones!$AB$111),UPPER(TEXT(EDATE($D82,Milestones!$AA$111),"dd mmm yy"))&amp;" "&amp;Milestones!$AB$111&amp;" "&amp;IF(AND(Milestones!$AB$111="FT",Milestones!$AA$111=FT_Y5,EDATE($D82,Milestones!$AA$111)&lt;PolicyEff),1,Milestones!$AC$111)&amp;";  ","")&amp;IF(AND(EDATE($D82,Milestones!$AA$112)&lt;=AsOfDate,EDATE($D82,Milestones!$AA$112)&gt;=SchemeStart,IF($X82=0,$AD82,IF(AND($Z82&lt;&gt;"",EDATE($D82,Milestones!$AA$112)&gt;=$Z82),$AC82,IF(AND($Y82&lt;&gt;"",EDATE($D82,Milestones!$AA$112)&gt;=$Y82),$AB82,$AA82)))=Milestones!$AB$112),UPPER(TEXT(EDATE($D82,Milestones!$AA$112),"dd mmm yy"))&amp;" "&amp;Milestones!$AB$112&amp;" "&amp;IF(AND(Milestones!$AB$112="FT",Milestones!$AA$112=FT_Y5,EDATE($D82,Milestones!$AA$112)&lt;PolicyEff),1,Milestones!$AC$112)&amp;";  ","")&amp;IF(AND(EDATE($D82,Milestones!$AA$113)&lt;=AsOfDate,EDATE($D82,Milestones!$AA$113)&gt;=SchemeStart,IF($X82=0,$AD82,IF(AND($Z82&lt;&gt;"",EDATE($D82,Milestones!$AA$113)&gt;=$Z82),$AC82,IF(AND($Y82&lt;&gt;"",EDATE($D82,Milestones!$AA$113)&gt;=$Y82),$AB82,$AA82)))=Milestones!$AB$113),UPPER(TEXT(EDATE($D82,Milestones!$AA$113),"dd mmm yy"))&amp;" "&amp;Milestones!$AB$113&amp;" "&amp;IF(AND(Milestones!$AB$113="FT",Milestones!$AA$113=FT_Y5,EDATE($D82,Milestones!$AA$113)&lt;PolicyEff),1,Milestones!$AC$113)&amp;";  ","")&amp;IF(AND(EDATE($D82,Milestones!$AA$114)&lt;=AsOfDate,EDATE($D82,Milestones!$AA$114)&gt;=SchemeStart,IF($X82=0,$AD82,IF(AND($Z82&lt;&gt;"",EDATE($D82,Milestones!$AA$114)&gt;=$Z82),$AC82,IF(AND($Y82&lt;&gt;"",EDATE($D82,Milestones!$AA$114)&gt;=$Y82),$AB82,$AA82)))=Milestones!$AB$114),UPPER(TEXT(EDATE($D82,Milestones!$AA$114),"dd mmm yy"))&amp;" "&amp;Milestones!$AB$114&amp;" "&amp;IF(AND(Milestones!$AB$114="FT",Milestones!$AA$114=FT_Y5,EDATE($D82,Milestones!$AA$114)&lt;PolicyEff),1,Milestones!$AC$114)&amp;";  ","")&amp;IF(AND(EDATE($D82,Milestones!$AA$115)&lt;=AsOfDate,EDATE($D82,Milestones!$AA$115)&gt;=SchemeStart,IF($X82=0,$AD82,IF(AND($Z82&lt;&gt;"",EDATE($D82,Milestones!$AA$115)&gt;=$Z82),$AC82,IF(AND($Y82&lt;&gt;"",EDATE($D82,Milestones!$AA$115)&gt;=$Y82),$AB82,$AA82)))=Milestones!$AB$115),UPPER(TEXT(EDATE($D82,Milestones!$AA$115),"dd mmm yy"))&amp;" "&amp;Milestones!$AB$115&amp;" "&amp;IF(AND(Milestones!$AB$115="FT",Milestones!$AA$115=FT_Y5,EDATE($D82,Milestones!$AA$115)&lt;PolicyEff),1,Milestones!$AC$115)&amp;";  ",""))</f>
        <v/>
      </c>
      <c r="Q82" s="0" t="str">
        <f aca="false">IF(OR($A82="",$D82=""),"",IF(AND(EDATE($D82,Milestones!$AA$116)&lt;=AsOfDate,EDATE($D82,Milestones!$AA$116)&gt;=SchemeStart,IF($X82=0,$AD82,IF(AND($Z82&lt;&gt;"",EDATE($D82,Milestones!$AA$116)&gt;=$Z82),$AC82,IF(AND($Y82&lt;&gt;"",EDATE($D82,Milestones!$AA$116)&gt;=$Y82),$AB82,$AA82)))=Milestones!$AB$116),UPPER(TEXT(EDATE($D82,Milestones!$AA$116),"dd mmm yy"))&amp;" "&amp;Milestones!$AB$116&amp;" "&amp;IF(AND(Milestones!$AB$116="FT",Milestones!$AA$116=FT_Y5,EDATE($D82,Milestones!$AA$116)&lt;PolicyEff),1,Milestones!$AC$116)&amp;";  ","")&amp;IF(AND(EDATE($D82,Milestones!$AA$117)&lt;=AsOfDate,EDATE($D82,Milestones!$AA$117)&gt;=SchemeStart,IF($X82=0,$AD82,IF(AND($Z82&lt;&gt;"",EDATE($D82,Milestones!$AA$117)&gt;=$Z82),$AC82,IF(AND($Y82&lt;&gt;"",EDATE($D82,Milestones!$AA$117)&gt;=$Y82),$AB82,$AA82)))=Milestones!$AB$117),UPPER(TEXT(EDATE($D82,Milestones!$AA$117),"dd mmm yy"))&amp;" "&amp;Milestones!$AB$117&amp;" "&amp;IF(AND(Milestones!$AB$117="FT",Milestones!$AA$117=FT_Y5,EDATE($D82,Milestones!$AA$117)&lt;PolicyEff),1,Milestones!$AC$117)&amp;";  ","")&amp;IF(AND(EDATE($D82,Milestones!$AA$118)&lt;=AsOfDate,EDATE($D82,Milestones!$AA$118)&gt;=SchemeStart,IF($X82=0,$AD82,IF(AND($Z82&lt;&gt;"",EDATE($D82,Milestones!$AA$118)&gt;=$Z82),$AC82,IF(AND($Y82&lt;&gt;"",EDATE($D82,Milestones!$AA$118)&gt;=$Y82),$AB82,$AA82)))=Milestones!$AB$118),UPPER(TEXT(EDATE($D82,Milestones!$AA$118),"dd mmm yy"))&amp;" "&amp;Milestones!$AB$118&amp;" "&amp;IF(AND(Milestones!$AB$118="FT",Milestones!$AA$118=FT_Y5,EDATE($D82,Milestones!$AA$118)&lt;PolicyEff),1,Milestones!$AC$118)&amp;";  ","")&amp;IF(AND(EDATE($D82,Milestones!$AA$119)&lt;=AsOfDate,EDATE($D82,Milestones!$AA$119)&gt;=SchemeStart,IF($X82=0,$AD82,IF(AND($Z82&lt;&gt;"",EDATE($D82,Milestones!$AA$119)&gt;=$Z82),$AC82,IF(AND($Y82&lt;&gt;"",EDATE($D82,Milestones!$AA$119)&gt;=$Y82),$AB82,$AA82)))=Milestones!$AB$119),UPPER(TEXT(EDATE($D82,Milestones!$AA$119),"dd mmm yy"))&amp;" "&amp;Milestones!$AB$119&amp;" "&amp;IF(AND(Milestones!$AB$119="FT",Milestones!$AA$119=FT_Y5,EDATE($D82,Milestones!$AA$119)&lt;PolicyEff),1,Milestones!$AC$119)&amp;";  ","")&amp;IF(AND(EDATE($D82,Milestones!$AA$120)&lt;=AsOfDate,EDATE($D82,Milestones!$AA$120)&gt;=SchemeStart,IF($X82=0,$AD82,IF(AND($Z82&lt;&gt;"",EDATE($D82,Milestones!$AA$120)&gt;=$Z82),$AC82,IF(AND($Y82&lt;&gt;"",EDATE($D82,Milestones!$AA$120)&gt;=$Y82),$AB82,$AA82)))=Milestones!$AB$120),UPPER(TEXT(EDATE($D82,Milestones!$AA$120),"dd mmm yy"))&amp;" "&amp;Milestones!$AB$120&amp;" "&amp;IF(AND(Milestones!$AB$120="FT",Milestones!$AA$120=FT_Y5,EDATE($D82,Milestones!$AA$120)&lt;PolicyEff),1,Milestones!$AC$120)&amp;";  ","")&amp;IF(AND(EDATE($D82,Milestones!$AA$121)&lt;=AsOfDate,EDATE($D82,Milestones!$AA$121)&gt;=SchemeStart,IF($X82=0,$AD82,IF(AND($Z82&lt;&gt;"",EDATE($D82,Milestones!$AA$121)&gt;=$Z82),$AC82,IF(AND($Y82&lt;&gt;"",EDATE($D82,Milestones!$AA$121)&gt;=$Y82),$AB82,$AA82)))=Milestones!$AB$121),UPPER(TEXT(EDATE($D82,Milestones!$AA$121),"dd mmm yy"))&amp;" "&amp;Milestones!$AB$121&amp;" "&amp;IF(AND(Milestones!$AB$121="FT",Milestones!$AA$121=FT_Y5,EDATE($D82,Milestones!$AA$121)&lt;PolicyEff),1,Milestones!$AC$121)&amp;";  ","")&amp;IF(AND(EDATE($D82,Milestones!$AA$122)&lt;=AsOfDate,EDATE($D82,Milestones!$AA$122)&gt;=SchemeStart,IF($X82=0,$AD82,IF(AND($Z82&lt;&gt;"",EDATE($D82,Milestones!$AA$122)&gt;=$Z82),$AC82,IF(AND($Y82&lt;&gt;"",EDATE($D82,Milestones!$AA$122)&gt;=$Y82),$AB82,$AA82)))=Milestones!$AB$122),UPPER(TEXT(EDATE($D82,Milestones!$AA$122),"dd mmm yy"))&amp;" "&amp;Milestones!$AB$122&amp;" "&amp;IF(AND(Milestones!$AB$122="FT",Milestones!$AA$122=FT_Y5,EDATE($D82,Milestones!$AA$122)&lt;PolicyEff),1,Milestones!$AC$122)&amp;";  ","")&amp;IF(AND(EDATE($D82,Milestones!$AA$123)&lt;=AsOfDate,EDATE($D82,Milestones!$AA$123)&gt;=SchemeStart,IF($X82=0,$AD82,IF(AND($Z82&lt;&gt;"",EDATE($D82,Milestones!$AA$123)&gt;=$Z82),$AC82,IF(AND($Y82&lt;&gt;"",EDATE($D82,Milestones!$AA$123)&gt;=$Y82),$AB82,$AA82)))=Milestones!$AB$123),UPPER(TEXT(EDATE($D82,Milestones!$AA$123),"dd mmm yy"))&amp;" "&amp;Milestones!$AB$123&amp;" "&amp;IF(AND(Milestones!$AB$123="FT",Milestones!$AA$123=FT_Y5,EDATE($D82,Milestones!$AA$123)&lt;PolicyEff),1,Milestones!$AC$123)&amp;";  ","")&amp;IF(AND(EDATE($D82,Milestones!$AA$124)&lt;=AsOfDate,EDATE($D82,Milestones!$AA$124)&gt;=SchemeStart,IF($X82=0,$AD82,IF(AND($Z82&lt;&gt;"",EDATE($D82,Milestones!$AA$124)&gt;=$Z82),$AC82,IF(AND($Y82&lt;&gt;"",EDATE($D82,Milestones!$AA$124)&gt;=$Y82),$AB82,$AA82)))=Milestones!$AB$124),UPPER(TEXT(EDATE($D82,Milestones!$AA$124),"dd mmm yy"))&amp;" "&amp;Milestones!$AB$124&amp;" "&amp;IF(AND(Milestones!$AB$124="FT",Milestones!$AA$124=FT_Y5,EDATE($D82,Milestones!$AA$124)&lt;PolicyEff),1,Milestones!$AC$124)&amp;";  ","")&amp;IF(AND(EDATE($D82,Milestones!$AA$125)&lt;=AsOfDate,EDATE($D82,Milestones!$AA$125)&gt;=SchemeStart,IF($X82=0,$AD82,IF(AND($Z82&lt;&gt;"",EDATE($D82,Milestones!$AA$125)&gt;=$Z82),$AC82,IF(AND($Y82&lt;&gt;"",EDATE($D82,Milestones!$AA$125)&gt;=$Y82),$AB82,$AA82)))=Milestones!$AB$125),UPPER(TEXT(EDATE($D82,Milestones!$AA$125),"dd mmm yy"))&amp;" "&amp;Milestones!$AB$125&amp;" "&amp;IF(AND(Milestones!$AB$125="FT",Milestones!$AA$125=FT_Y5,EDATE($D82,Milestones!$AA$125)&lt;PolicyEff),1,Milestones!$AC$125)&amp;";  ","")&amp;IF(AND(EDATE($D82,Milestones!$AA$126)&lt;=AsOfDate,EDATE($D82,Milestones!$AA$126)&gt;=SchemeStart,IF($X82=0,$AD82,IF(AND($Z82&lt;&gt;"",EDATE($D82,Milestones!$AA$126)&gt;=$Z82),$AC82,IF(AND($Y82&lt;&gt;"",EDATE($D82,Milestones!$AA$126)&gt;=$Y82),$AB82,$AA82)))=Milestones!$AB$126),UPPER(TEXT(EDATE($D82,Milestones!$AA$126),"dd mmm yy"))&amp;" "&amp;Milestones!$AB$126&amp;" "&amp;IF(AND(Milestones!$AB$126="FT",Milestones!$AA$126=FT_Y5,EDATE($D82,Milestones!$AA$126)&lt;PolicyEff),1,Milestones!$AC$126)&amp;";  ","")&amp;IF(AND(EDATE($D82,Milestones!$AA$127)&lt;=AsOfDate,EDATE($D82,Milestones!$AA$127)&gt;=SchemeStart,IF($X82=0,$AD82,IF(AND($Z82&lt;&gt;"",EDATE($D82,Milestones!$AA$127)&gt;=$Z82),$AC82,IF(AND($Y82&lt;&gt;"",EDATE($D82,Milestones!$AA$127)&gt;=$Y82),$AB82,$AA82)))=Milestones!$AB$127),UPPER(TEXT(EDATE($D82,Milestones!$AA$127),"dd mmm yy"))&amp;" "&amp;Milestones!$AB$127&amp;" "&amp;IF(AND(Milestones!$AB$127="FT",Milestones!$AA$127=FT_Y5,EDATE($D82,Milestones!$AA$127)&lt;PolicyEff),1,Milestones!$AC$127)&amp;";  ",""))</f>
        <v/>
      </c>
      <c r="R82" s="0" t="str">
        <f aca="false">IF(OR($A82="",$D82=""),"",IF(AND(EDATE($D82,Milestones!$AA$128)&lt;=AsOfDate,EDATE($D82,Milestones!$AA$128)&gt;=SchemeStart,IF($X82=0,$AD82,IF(AND($Z82&lt;&gt;"",EDATE($D82,Milestones!$AA$128)&gt;=$Z82),$AC82,IF(AND($Y82&lt;&gt;"",EDATE($D82,Milestones!$AA$128)&gt;=$Y82),$AB82,$AA82)))=Milestones!$AB$128),UPPER(TEXT(EDATE($D82,Milestones!$AA$128),"dd mmm yy"))&amp;" "&amp;Milestones!$AB$128&amp;" "&amp;IF(AND(Milestones!$AB$128="FT",Milestones!$AA$128=FT_Y5,EDATE($D82,Milestones!$AA$128)&lt;PolicyEff),1,Milestones!$AC$128)&amp;";  ","")&amp;IF(AND(EDATE($D82,Milestones!$AA$129)&lt;=AsOfDate,EDATE($D82,Milestones!$AA$129)&gt;=SchemeStart,IF($X82=0,$AD82,IF(AND($Z82&lt;&gt;"",EDATE($D82,Milestones!$AA$129)&gt;=$Z82),$AC82,IF(AND($Y82&lt;&gt;"",EDATE($D82,Milestones!$AA$129)&gt;=$Y82),$AB82,$AA82)))=Milestones!$AB$129),UPPER(TEXT(EDATE($D82,Milestones!$AA$129),"dd mmm yy"))&amp;" "&amp;Milestones!$AB$129&amp;" "&amp;IF(AND(Milestones!$AB$129="FT",Milestones!$AA$129=FT_Y5,EDATE($D82,Milestones!$AA$129)&lt;PolicyEff),1,Milestones!$AC$129)&amp;";  ","")&amp;IF(AND(EDATE($D82,Milestones!$AA$130)&lt;=AsOfDate,EDATE($D82,Milestones!$AA$130)&gt;=SchemeStart,IF($X82=0,$AD82,IF(AND($Z82&lt;&gt;"",EDATE($D82,Milestones!$AA$130)&gt;=$Z82),$AC82,IF(AND($Y82&lt;&gt;"",EDATE($D82,Milestones!$AA$130)&gt;=$Y82),$AB82,$AA82)))=Milestones!$AB$130),UPPER(TEXT(EDATE($D82,Milestones!$AA$130),"dd mmm yy"))&amp;" "&amp;Milestones!$AB$130&amp;" "&amp;IF(AND(Milestones!$AB$130="FT",Milestones!$AA$130=FT_Y5,EDATE($D82,Milestones!$AA$130)&lt;PolicyEff),1,Milestones!$AC$130)&amp;";  ","")&amp;IF(AND(EDATE($D82,Milestones!$AA$131)&lt;=AsOfDate,EDATE($D82,Milestones!$AA$131)&gt;=SchemeStart,IF($X82=0,$AD82,IF(AND($Z82&lt;&gt;"",EDATE($D82,Milestones!$AA$131)&gt;=$Z82),$AC82,IF(AND($Y82&lt;&gt;"",EDATE($D82,Milestones!$AA$131)&gt;=$Y82),$AB82,$AA82)))=Milestones!$AB$131),UPPER(TEXT(EDATE($D82,Milestones!$AA$131),"dd mmm yy"))&amp;" "&amp;Milestones!$AB$131&amp;" "&amp;IF(AND(Milestones!$AB$131="FT",Milestones!$AA$131=FT_Y5,EDATE($D82,Milestones!$AA$131)&lt;PolicyEff),1,Milestones!$AC$131)&amp;";  ","")&amp;IF(AND(EDATE($D82,Milestones!$AA$132)&lt;=AsOfDate,EDATE($D82,Milestones!$AA$132)&gt;=SchemeStart,IF($X82=0,$AD82,IF(AND($Z82&lt;&gt;"",EDATE($D82,Milestones!$AA$132)&gt;=$Z82),$AC82,IF(AND($Y82&lt;&gt;"",EDATE($D82,Milestones!$AA$132)&gt;=$Y82),$AB82,$AA82)))=Milestones!$AB$132),UPPER(TEXT(EDATE($D82,Milestones!$AA$132),"dd mmm yy"))&amp;" "&amp;Milestones!$AB$132&amp;" "&amp;IF(AND(Milestones!$AB$132="FT",Milestones!$AA$132=FT_Y5,EDATE($D82,Milestones!$AA$132)&lt;PolicyEff),1,Milestones!$AC$132)&amp;";  ","")&amp;IF(AND(EDATE($D82,Milestones!$AA$133)&lt;=AsOfDate,EDATE($D82,Milestones!$AA$133)&gt;=SchemeStart,IF($X82=0,$AD82,IF(AND($Z82&lt;&gt;"",EDATE($D82,Milestones!$AA$133)&gt;=$Z82),$AC82,IF(AND($Y82&lt;&gt;"",EDATE($D82,Milestones!$AA$133)&gt;=$Y82),$AB82,$AA82)))=Milestones!$AB$133),UPPER(TEXT(EDATE($D82,Milestones!$AA$133),"dd mmm yy"))&amp;" "&amp;Milestones!$AB$133&amp;" "&amp;IF(AND(Milestones!$AB$133="FT",Milestones!$AA$133=FT_Y5,EDATE($D82,Milestones!$AA$133)&lt;PolicyEff),1,Milestones!$AC$133)&amp;";  ","")&amp;IF(AND(EDATE($D82,Milestones!$AA$134)&lt;=AsOfDate,EDATE($D82,Milestones!$AA$134)&gt;=SchemeStart,IF($X82=0,$AD82,IF(AND($Z82&lt;&gt;"",EDATE($D82,Milestones!$AA$134)&gt;=$Z82),$AC82,IF(AND($Y82&lt;&gt;"",EDATE($D82,Milestones!$AA$134)&gt;=$Y82),$AB82,$AA82)))=Milestones!$AB$134),UPPER(TEXT(EDATE($D82,Milestones!$AA$134),"dd mmm yy"))&amp;" "&amp;Milestones!$AB$134&amp;" "&amp;IF(AND(Milestones!$AB$134="FT",Milestones!$AA$134=FT_Y5,EDATE($D82,Milestones!$AA$134)&lt;PolicyEff),1,Milestones!$AC$134)&amp;";  ","")&amp;IF(AND(EDATE($D82,Milestones!$AA$135)&lt;=AsOfDate,EDATE($D82,Milestones!$AA$135)&gt;=SchemeStart,IF($X82=0,$AD82,IF(AND($Z82&lt;&gt;"",EDATE($D82,Milestones!$AA$135)&gt;=$Z82),$AC82,IF(AND($Y82&lt;&gt;"",EDATE($D82,Milestones!$AA$135)&gt;=$Y82),$AB82,$AA82)))=Milestones!$AB$135),UPPER(TEXT(EDATE($D82,Milestones!$AA$135),"dd mmm yy"))&amp;" "&amp;Milestones!$AB$135&amp;" "&amp;IF(AND(Milestones!$AB$135="FT",Milestones!$AA$135=FT_Y5,EDATE($D82,Milestones!$AA$135)&lt;PolicyEff),1,Milestones!$AC$135)&amp;";  ","")&amp;IF(AND(EDATE($D82,Milestones!$AA$136)&lt;=AsOfDate,EDATE($D82,Milestones!$AA$136)&gt;=SchemeStart,IF($X82=0,$AD82,IF(AND($Z82&lt;&gt;"",EDATE($D82,Milestones!$AA$136)&gt;=$Z82),$AC82,IF(AND($Y82&lt;&gt;"",EDATE($D82,Milestones!$AA$136)&gt;=$Y82),$AB82,$AA82)))=Milestones!$AB$136),UPPER(TEXT(EDATE($D82,Milestones!$AA$136),"dd mmm yy"))&amp;" "&amp;Milestones!$AB$136&amp;" "&amp;IF(AND(Milestones!$AB$136="FT",Milestones!$AA$136=FT_Y5,EDATE($D82,Milestones!$AA$136)&lt;PolicyEff),1,Milestones!$AC$136)&amp;";  ","")&amp;IF(AND(EDATE($D82,Milestones!$AA$137)&lt;=AsOfDate,EDATE($D82,Milestones!$AA$137)&gt;=SchemeStart,IF($X82=0,$AD82,IF(AND($Z82&lt;&gt;"",EDATE($D82,Milestones!$AA$137)&gt;=$Z82),$AC82,IF(AND($Y82&lt;&gt;"",EDATE($D82,Milestones!$AA$137)&gt;=$Y82),$AB82,$AA82)))=Milestones!$AB$137),UPPER(TEXT(EDATE($D82,Milestones!$AA$137),"dd mmm yy"))&amp;" "&amp;Milestones!$AB$137&amp;" "&amp;IF(AND(Milestones!$AB$137="FT",Milestones!$AA$137=FT_Y5,EDATE($D82,Milestones!$AA$137)&lt;PolicyEff),1,Milestones!$AC$137)&amp;";  ","")&amp;IF(AND(EDATE($D82,Milestones!$AA$138)&lt;=AsOfDate,EDATE($D82,Milestones!$AA$138)&gt;=SchemeStart,IF($X82=0,$AD82,IF(AND($Z82&lt;&gt;"",EDATE($D82,Milestones!$AA$138)&gt;=$Z82),$AC82,IF(AND($Y82&lt;&gt;"",EDATE($D82,Milestones!$AA$138)&gt;=$Y82),$AB82,$AA82)))=Milestones!$AB$138),UPPER(TEXT(EDATE($D82,Milestones!$AA$138),"dd mmm yy"))&amp;" "&amp;Milestones!$AB$138&amp;" "&amp;IF(AND(Milestones!$AB$138="FT",Milestones!$AA$138=FT_Y5,EDATE($D82,Milestones!$AA$138)&lt;PolicyEff),1,Milestones!$AC$138)&amp;";  ","")&amp;IF(AND(EDATE($D82,Milestones!$AA$139)&lt;=AsOfDate,EDATE($D82,Milestones!$AA$139)&gt;=SchemeStart,IF($X82=0,$AD82,IF(AND($Z82&lt;&gt;"",EDATE($D82,Milestones!$AA$139)&gt;=$Z82),$AC82,IF(AND($Y82&lt;&gt;"",EDATE($D82,Milestones!$AA$139)&gt;=$Y82),$AB82,$AA82)))=Milestones!$AB$139),UPPER(TEXT(EDATE($D82,Milestones!$AA$139),"dd mmm yy"))&amp;" "&amp;Milestones!$AB$139&amp;" "&amp;IF(AND(Milestones!$AB$139="FT",Milestones!$AA$139=FT_Y5,EDATE($D82,Milestones!$AA$139)&lt;PolicyEff),1,Milestones!$AC$139)&amp;";  ",""))</f>
        <v/>
      </c>
      <c r="S82" s="0" t="str">
        <f aca="false">IF(OR($A82="",$D82=""),"",IF(AND(EDATE($D82,Milestones!$AA$140)&lt;=AsOfDate,EDATE($D82,Milestones!$AA$140)&gt;=SchemeStart,IF($X82=0,$AD82,IF(AND($Z82&lt;&gt;"",EDATE($D82,Milestones!$AA$140)&gt;=$Z82),$AC82,IF(AND($Y82&lt;&gt;"",EDATE($D82,Milestones!$AA$140)&gt;=$Y82),$AB82,$AA82)))=Milestones!$AB$140),UPPER(TEXT(EDATE($D82,Milestones!$AA$140),"dd mmm yy"))&amp;" "&amp;Milestones!$AB$140&amp;" "&amp;IF(AND(Milestones!$AB$140="FT",Milestones!$AA$140=FT_Y5,EDATE($D82,Milestones!$AA$140)&lt;PolicyEff),1,Milestones!$AC$140)&amp;";  ","")&amp;IF(AND(EDATE($D82,Milestones!$AA$141)&lt;=AsOfDate,EDATE($D82,Milestones!$AA$141)&gt;=SchemeStart,IF($X82=0,$AD82,IF(AND($Z82&lt;&gt;"",EDATE($D82,Milestones!$AA$141)&gt;=$Z82),$AC82,IF(AND($Y82&lt;&gt;"",EDATE($D82,Milestones!$AA$141)&gt;=$Y82),$AB82,$AA82)))=Milestones!$AB$141),UPPER(TEXT(EDATE($D82,Milestones!$AA$141),"dd mmm yy"))&amp;" "&amp;Milestones!$AB$141&amp;" "&amp;IF(AND(Milestones!$AB$141="FT",Milestones!$AA$141=FT_Y5,EDATE($D82,Milestones!$AA$141)&lt;PolicyEff),1,Milestones!$AC$141)&amp;";  ","")&amp;IF(AND(EDATE($D82,Milestones!$AA$142)&lt;=AsOfDate,EDATE($D82,Milestones!$AA$142)&gt;=SchemeStart,IF($X82=0,$AD82,IF(AND($Z82&lt;&gt;"",EDATE($D82,Milestones!$AA$142)&gt;=$Z82),$AC82,IF(AND($Y82&lt;&gt;"",EDATE($D82,Milestones!$AA$142)&gt;=$Y82),$AB82,$AA82)))=Milestones!$AB$142),UPPER(TEXT(EDATE($D82,Milestones!$AA$142),"dd mmm yy"))&amp;" "&amp;Milestones!$AB$142&amp;" "&amp;IF(AND(Milestones!$AB$142="FT",Milestones!$AA$142=FT_Y5,EDATE($D82,Milestones!$AA$142)&lt;PolicyEff),1,Milestones!$AC$142)&amp;";  ","")&amp;IF(AND(EDATE($D82,Milestones!$AA$143)&lt;=AsOfDate,EDATE($D82,Milestones!$AA$143)&gt;=SchemeStart,IF($X82=0,$AD82,IF(AND($Z82&lt;&gt;"",EDATE($D82,Milestones!$AA$143)&gt;=$Z82),$AC82,IF(AND($Y82&lt;&gt;"",EDATE($D82,Milestones!$AA$143)&gt;=$Y82),$AB82,$AA82)))=Milestones!$AB$143),UPPER(TEXT(EDATE($D82,Milestones!$AA$143),"dd mmm yy"))&amp;" "&amp;Milestones!$AB$143&amp;" "&amp;IF(AND(Milestones!$AB$143="FT",Milestones!$AA$143=FT_Y5,EDATE($D82,Milestones!$AA$143)&lt;PolicyEff),1,Milestones!$AC$143)&amp;";  ","")&amp;IF(AND(EDATE($D82,Milestones!$AA$144)&lt;=AsOfDate,EDATE($D82,Milestones!$AA$144)&gt;=SchemeStart,IF($X82=0,$AD82,IF(AND($Z82&lt;&gt;"",EDATE($D82,Milestones!$AA$144)&gt;=$Z82),$AC82,IF(AND($Y82&lt;&gt;"",EDATE($D82,Milestones!$AA$144)&gt;=$Y82),$AB82,$AA82)))=Milestones!$AB$144),UPPER(TEXT(EDATE($D82,Milestones!$AA$144),"dd mmm yy"))&amp;" "&amp;Milestones!$AB$144&amp;" "&amp;IF(AND(Milestones!$AB$144="FT",Milestones!$AA$144=FT_Y5,EDATE($D82,Milestones!$AA$144)&lt;PolicyEff),1,Milestones!$AC$144)&amp;";  ","")&amp;IF(AND(EDATE($D82,Milestones!$AA$145)&lt;=AsOfDate,EDATE($D82,Milestones!$AA$145)&gt;=SchemeStart,IF($X82=0,$AD82,IF(AND($Z82&lt;&gt;"",EDATE($D82,Milestones!$AA$145)&gt;=$Z82),$AC82,IF(AND($Y82&lt;&gt;"",EDATE($D82,Milestones!$AA$145)&gt;=$Y82),$AB82,$AA82)))=Milestones!$AB$145),UPPER(TEXT(EDATE($D82,Milestones!$AA$145),"dd mmm yy"))&amp;" "&amp;Milestones!$AB$145&amp;" "&amp;IF(AND(Milestones!$AB$145="FT",Milestones!$AA$145=FT_Y5,EDATE($D82,Milestones!$AA$145)&lt;PolicyEff),1,Milestones!$AC$145)&amp;";  ","")&amp;IF(AND(EDATE($D82,Milestones!$AA$146)&lt;=AsOfDate,EDATE($D82,Milestones!$AA$146)&gt;=SchemeStart,IF($X82=0,$AD82,IF(AND($Z82&lt;&gt;"",EDATE($D82,Milestones!$AA$146)&gt;=$Z82),$AC82,IF(AND($Y82&lt;&gt;"",EDATE($D82,Milestones!$AA$146)&gt;=$Y82),$AB82,$AA82)))=Milestones!$AB$146),UPPER(TEXT(EDATE($D82,Milestones!$AA$146),"dd mmm yy"))&amp;" "&amp;Milestones!$AB$146&amp;" "&amp;IF(AND(Milestones!$AB$146="FT",Milestones!$AA$146=FT_Y5,EDATE($D82,Milestones!$AA$146)&lt;PolicyEff),1,Milestones!$AC$146)&amp;";  ","")&amp;IF(AND(EDATE($D82,Milestones!$AA$147)&lt;=AsOfDate,EDATE($D82,Milestones!$AA$147)&gt;=SchemeStart,IF($X82=0,$AD82,IF(AND($Z82&lt;&gt;"",EDATE($D82,Milestones!$AA$147)&gt;=$Z82),$AC82,IF(AND($Y82&lt;&gt;"",EDATE($D82,Milestones!$AA$147)&gt;=$Y82),$AB82,$AA82)))=Milestones!$AB$147),UPPER(TEXT(EDATE($D82,Milestones!$AA$147),"dd mmm yy"))&amp;" "&amp;Milestones!$AB$147&amp;" "&amp;IF(AND(Milestones!$AB$147="FT",Milestones!$AA$147=FT_Y5,EDATE($D82,Milestones!$AA$147)&lt;PolicyEff),1,Milestones!$AC$147)&amp;";  ","")&amp;IF(AND(EDATE($D82,Milestones!$AA$148)&lt;=AsOfDate,EDATE($D82,Milestones!$AA$148)&gt;=SchemeStart,IF($X82=0,$AD82,IF(AND($Z82&lt;&gt;"",EDATE($D82,Milestones!$AA$148)&gt;=$Z82),$AC82,IF(AND($Y82&lt;&gt;"",EDATE($D82,Milestones!$AA$148)&gt;=$Y82),$AB82,$AA82)))=Milestones!$AB$148),UPPER(TEXT(EDATE($D82,Milestones!$AA$148),"dd mmm yy"))&amp;" "&amp;Milestones!$AB$148&amp;" "&amp;IF(AND(Milestones!$AB$148="FT",Milestones!$AA$148=FT_Y5,EDATE($D82,Milestones!$AA$148)&lt;PolicyEff),1,Milestones!$AC$148)&amp;";  ","")&amp;IF(AND(EDATE($D82,Milestones!$AA$149)&lt;=AsOfDate,EDATE($D82,Milestones!$AA$149)&gt;=SchemeStart,IF($X82=0,$AD82,IF(AND($Z82&lt;&gt;"",EDATE($D82,Milestones!$AA$149)&gt;=$Z82),$AC82,IF(AND($Y82&lt;&gt;"",EDATE($D82,Milestones!$AA$149)&gt;=$Y82),$AB82,$AA82)))=Milestones!$AB$149),UPPER(TEXT(EDATE($D82,Milestones!$AA$149),"dd mmm yy"))&amp;" "&amp;Milestones!$AB$149&amp;" "&amp;IF(AND(Milestones!$AB$149="FT",Milestones!$AA$149=FT_Y5,EDATE($D82,Milestones!$AA$149)&lt;PolicyEff),1,Milestones!$AC$149)&amp;";  ","")&amp;IF(AND(EDATE($D82,Milestones!$AA$150)&lt;=AsOfDate,EDATE($D82,Milestones!$AA$150)&gt;=SchemeStart,IF($X82=0,$AD82,IF(AND($Z82&lt;&gt;"",EDATE($D82,Milestones!$AA$150)&gt;=$Z82),$AC82,IF(AND($Y82&lt;&gt;"",EDATE($D82,Milestones!$AA$150)&gt;=$Y82),$AB82,$AA82)))=Milestones!$AB$150),UPPER(TEXT(EDATE($D82,Milestones!$AA$150),"dd mmm yy"))&amp;" "&amp;Milestones!$AB$150&amp;" "&amp;IF(AND(Milestones!$AB$150="FT",Milestones!$AA$150=FT_Y5,EDATE($D82,Milestones!$AA$150)&lt;PolicyEff),1,Milestones!$AC$150)&amp;";  ","")&amp;IF(AND(EDATE($D82,Milestones!$AA$151)&lt;=AsOfDate,EDATE($D82,Milestones!$AA$151)&gt;=SchemeStart,IF($X82=0,$AD82,IF(AND($Z82&lt;&gt;"",EDATE($D82,Milestones!$AA$151)&gt;=$Z82),$AC82,IF(AND($Y82&lt;&gt;"",EDATE($D82,Milestones!$AA$151)&gt;=$Y82),$AB82,$AA82)))=Milestones!$AB$151),UPPER(TEXT(EDATE($D82,Milestones!$AA$151),"dd mmm yy"))&amp;" "&amp;Milestones!$AB$151&amp;" "&amp;IF(AND(Milestones!$AB$151="FT",Milestones!$AA$151=FT_Y5,EDATE($D82,Milestones!$AA$151)&lt;PolicyEff),1,Milestones!$AC$151)&amp;";  ",""))</f>
        <v/>
      </c>
      <c r="T82" s="0" t="str">
        <f aca="false">IF(OR($A82="",$D82=""),"",IF(AND(EDATE($D82,Milestones!$AA$152)&lt;=AsOfDate,EDATE($D82,Milestones!$AA$152)&gt;=SchemeStart,IF($X82=0,$AD82,IF(AND($Z82&lt;&gt;"",EDATE($D82,Milestones!$AA$152)&gt;=$Z82),$AC82,IF(AND($Y82&lt;&gt;"",EDATE($D82,Milestones!$AA$152)&gt;=$Y82),$AB82,$AA82)))=Milestones!$AB$152),UPPER(TEXT(EDATE($D82,Milestones!$AA$152),"dd mmm yy"))&amp;" "&amp;Milestones!$AB$152&amp;" "&amp;IF(AND(Milestones!$AB$152="FT",Milestones!$AA$152=FT_Y5,EDATE($D82,Milestones!$AA$152)&lt;PolicyEff),1,Milestones!$AC$152)&amp;";  ","")&amp;IF(AND(EDATE($D82,Milestones!$AA$153)&lt;=AsOfDate,EDATE($D82,Milestones!$AA$153)&gt;=SchemeStart,IF($X82=0,$AD82,IF(AND($Z82&lt;&gt;"",EDATE($D82,Milestones!$AA$153)&gt;=$Z82),$AC82,IF(AND($Y82&lt;&gt;"",EDATE($D82,Milestones!$AA$153)&gt;=$Y82),$AB82,$AA82)))=Milestones!$AB$153),UPPER(TEXT(EDATE($D82,Milestones!$AA$153),"dd mmm yy"))&amp;" "&amp;Milestones!$AB$153&amp;" "&amp;IF(AND(Milestones!$AB$153="FT",Milestones!$AA$153=FT_Y5,EDATE($D82,Milestones!$AA$153)&lt;PolicyEff),1,Milestones!$AC$153)&amp;";  ","")&amp;IF(AND(EDATE($D82,Milestones!$AA$154)&lt;=AsOfDate,EDATE($D82,Milestones!$AA$154)&gt;=SchemeStart,IF($X82=0,$AD82,IF(AND($Z82&lt;&gt;"",EDATE($D82,Milestones!$AA$154)&gt;=$Z82),$AC82,IF(AND($Y82&lt;&gt;"",EDATE($D82,Milestones!$AA$154)&gt;=$Y82),$AB82,$AA82)))=Milestones!$AB$154),UPPER(TEXT(EDATE($D82,Milestones!$AA$154),"dd mmm yy"))&amp;" "&amp;Milestones!$AB$154&amp;" "&amp;IF(AND(Milestones!$AB$154="FT",Milestones!$AA$154=FT_Y5,EDATE($D82,Milestones!$AA$154)&lt;PolicyEff),1,Milestones!$AC$154)&amp;";  ","")&amp;IF(AND(EDATE($D82,Milestones!$AA$155)&lt;=AsOfDate,EDATE($D82,Milestones!$AA$155)&gt;=SchemeStart,IF($X82=0,$AD82,IF(AND($Z82&lt;&gt;"",EDATE($D82,Milestones!$AA$155)&gt;=$Z82),$AC82,IF(AND($Y82&lt;&gt;"",EDATE($D82,Milestones!$AA$155)&gt;=$Y82),$AB82,$AA82)))=Milestones!$AB$155),UPPER(TEXT(EDATE($D82,Milestones!$AA$155),"dd mmm yy"))&amp;" "&amp;Milestones!$AB$155&amp;" "&amp;IF(AND(Milestones!$AB$155="FT",Milestones!$AA$155=FT_Y5,EDATE($D82,Milestones!$AA$155)&lt;PolicyEff),1,Milestones!$AC$155)&amp;";  ","")&amp;IF(AND(EDATE($D82,Milestones!$AA$156)&lt;=AsOfDate,EDATE($D82,Milestones!$AA$156)&gt;=SchemeStart,IF($X82=0,$AD82,IF(AND($Z82&lt;&gt;"",EDATE($D82,Milestones!$AA$156)&gt;=$Z82),$AC82,IF(AND($Y82&lt;&gt;"",EDATE($D82,Milestones!$AA$156)&gt;=$Y82),$AB82,$AA82)))=Milestones!$AB$156),UPPER(TEXT(EDATE($D82,Milestones!$AA$156),"dd mmm yy"))&amp;" "&amp;Milestones!$AB$156&amp;" "&amp;IF(AND(Milestones!$AB$156="FT",Milestones!$AA$156=FT_Y5,EDATE($D82,Milestones!$AA$156)&lt;PolicyEff),1,Milestones!$AC$156)&amp;";  ","")&amp;IF(AND(EDATE($D82,Milestones!$AA$157)&lt;=AsOfDate,EDATE($D82,Milestones!$AA$157)&gt;=SchemeStart,IF($X82=0,$AD82,IF(AND($Z82&lt;&gt;"",EDATE($D82,Milestones!$AA$157)&gt;=$Z82),$AC82,IF(AND($Y82&lt;&gt;"",EDATE($D82,Milestones!$AA$157)&gt;=$Y82),$AB82,$AA82)))=Milestones!$AB$157),UPPER(TEXT(EDATE($D82,Milestones!$AA$157),"dd mmm yy"))&amp;" "&amp;Milestones!$AB$157&amp;" "&amp;IF(AND(Milestones!$AB$157="FT",Milestones!$AA$157=FT_Y5,EDATE($D82,Milestones!$AA$157)&lt;PolicyEff),1,Milestones!$AC$157)&amp;";  ","")&amp;IF(AND(EDATE($D82,Milestones!$AA$158)&lt;=AsOfDate,EDATE($D82,Milestones!$AA$158)&gt;=SchemeStart,IF($X82=0,$AD82,IF(AND($Z82&lt;&gt;"",EDATE($D82,Milestones!$AA$158)&gt;=$Z82),$AC82,IF(AND($Y82&lt;&gt;"",EDATE($D82,Milestones!$AA$158)&gt;=$Y82),$AB82,$AA82)))=Milestones!$AB$158),UPPER(TEXT(EDATE($D82,Milestones!$AA$158),"dd mmm yy"))&amp;" "&amp;Milestones!$AB$158&amp;" "&amp;IF(AND(Milestones!$AB$158="FT",Milestones!$AA$158=FT_Y5,EDATE($D82,Milestones!$AA$158)&lt;PolicyEff),1,Milestones!$AC$158)&amp;";  ","")&amp;IF(AND(EDATE($D82,Milestones!$AA$159)&lt;=AsOfDate,EDATE($D82,Milestones!$AA$159)&gt;=SchemeStart,IF($X82=0,$AD82,IF(AND($Z82&lt;&gt;"",EDATE($D82,Milestones!$AA$159)&gt;=$Z82),$AC82,IF(AND($Y82&lt;&gt;"",EDATE($D82,Milestones!$AA$159)&gt;=$Y82),$AB82,$AA82)))=Milestones!$AB$159),UPPER(TEXT(EDATE($D82,Milestones!$AA$159),"dd mmm yy"))&amp;" "&amp;Milestones!$AB$159&amp;" "&amp;IF(AND(Milestones!$AB$159="FT",Milestones!$AA$159=FT_Y5,EDATE($D82,Milestones!$AA$159)&lt;PolicyEff),1,Milestones!$AC$159)&amp;";  ","")&amp;IF(AND(EDATE($D82,Milestones!$AA$160)&lt;=AsOfDate,EDATE($D82,Milestones!$AA$160)&gt;=SchemeStart,IF($X82=0,$AD82,IF(AND($Z82&lt;&gt;"",EDATE($D82,Milestones!$AA$160)&gt;=$Z82),$AC82,IF(AND($Y82&lt;&gt;"",EDATE($D82,Milestones!$AA$160)&gt;=$Y82),$AB82,$AA82)))=Milestones!$AB$160),UPPER(TEXT(EDATE($D82,Milestones!$AA$160),"dd mmm yy"))&amp;" "&amp;Milestones!$AB$160&amp;" "&amp;IF(AND(Milestones!$AB$160="FT",Milestones!$AA$160=FT_Y5,EDATE($D82,Milestones!$AA$160)&lt;PolicyEff),1,Milestones!$AC$160)&amp;";  ","")&amp;IF(AND(EDATE($D82,Milestones!$AA$161)&lt;=AsOfDate,EDATE($D82,Milestones!$AA$161)&gt;=SchemeStart,IF($X82=0,$AD82,IF(AND($Z82&lt;&gt;"",EDATE($D82,Milestones!$AA$161)&gt;=$Z82),$AC82,IF(AND($Y82&lt;&gt;"",EDATE($D82,Milestones!$AA$161)&gt;=$Y82),$AB82,$AA82)))=Milestones!$AB$161),UPPER(TEXT(EDATE($D82,Milestones!$AA$161),"dd mmm yy"))&amp;" "&amp;Milestones!$AB$161&amp;" "&amp;IF(AND(Milestones!$AB$161="FT",Milestones!$AA$161=FT_Y5,EDATE($D82,Milestones!$AA$161)&lt;PolicyEff),1,Milestones!$AC$161)&amp;";  ","")&amp;IF(AND(EDATE($D82,Milestones!$AA$162)&lt;=AsOfDate,EDATE($D82,Milestones!$AA$162)&gt;=SchemeStart,IF($X82=0,$AD82,IF(AND($Z82&lt;&gt;"",EDATE($D82,Milestones!$AA$162)&gt;=$Z82),$AC82,IF(AND($Y82&lt;&gt;"",EDATE($D82,Milestones!$AA$162)&gt;=$Y82),$AB82,$AA82)))=Milestones!$AB$162),UPPER(TEXT(EDATE($D82,Milestones!$AA$162),"dd mmm yy"))&amp;" "&amp;Milestones!$AB$162&amp;" "&amp;IF(AND(Milestones!$AB$162="FT",Milestones!$AA$162=FT_Y5,EDATE($D82,Milestones!$AA$162)&lt;PolicyEff),1,Milestones!$AC$162)&amp;";  ","")&amp;IF(AND(EDATE($D82,Milestones!$AA$163)&lt;=AsOfDate,EDATE($D82,Milestones!$AA$163)&gt;=SchemeStart,IF($X82=0,$AD82,IF(AND($Z82&lt;&gt;"",EDATE($D82,Milestones!$AA$163)&gt;=$Z82),$AC82,IF(AND($Y82&lt;&gt;"",EDATE($D82,Milestones!$AA$163)&gt;=$Y82),$AB82,$AA82)))=Milestones!$AB$163),UPPER(TEXT(EDATE($D82,Milestones!$AA$163),"dd mmm yy"))&amp;" "&amp;Milestones!$AB$163&amp;" "&amp;IF(AND(Milestones!$AB$163="FT",Milestones!$AA$163=FT_Y5,EDATE($D82,Milestones!$AA$163)&lt;PolicyEff),1,Milestones!$AC$163)&amp;";  ",""))</f>
        <v/>
      </c>
      <c r="U82" s="0" t="str">
        <f aca="false">IF(OR($A82="",$D82=""),"",IF(AND(EDATE($D82,Milestones!$AA$164)&lt;=AsOfDate,EDATE($D82,Milestones!$AA$164)&gt;=SchemeStart,IF($X82=0,$AD82,IF(AND($Z82&lt;&gt;"",EDATE($D82,Milestones!$AA$164)&gt;=$Z82),$AC82,IF(AND($Y82&lt;&gt;"",EDATE($D82,Milestones!$AA$164)&gt;=$Y82),$AB82,$AA82)))=Milestones!$AB$164),UPPER(TEXT(EDATE($D82,Milestones!$AA$164),"dd mmm yy"))&amp;" "&amp;Milestones!$AB$164&amp;" "&amp;IF(AND(Milestones!$AB$164="FT",Milestones!$AA$164=FT_Y5,EDATE($D82,Milestones!$AA$164)&lt;PolicyEff),1,Milestones!$AC$164)&amp;";  ","")&amp;IF(AND(EDATE($D82,Milestones!$AA$165)&lt;=AsOfDate,EDATE($D82,Milestones!$AA$165)&gt;=SchemeStart,IF($X82=0,$AD82,IF(AND($Z82&lt;&gt;"",EDATE($D82,Milestones!$AA$165)&gt;=$Z82),$AC82,IF(AND($Y82&lt;&gt;"",EDATE($D82,Milestones!$AA$165)&gt;=$Y82),$AB82,$AA82)))=Milestones!$AB$165),UPPER(TEXT(EDATE($D82,Milestones!$AA$165),"dd mmm yy"))&amp;" "&amp;Milestones!$AB$165&amp;" "&amp;IF(AND(Milestones!$AB$165="FT",Milestones!$AA$165=FT_Y5,EDATE($D82,Milestones!$AA$165)&lt;PolicyEff),1,Milestones!$AC$165)&amp;";  ","")&amp;IF(AND(EDATE($D82,Milestones!$AA$166)&lt;=AsOfDate,EDATE($D82,Milestones!$AA$166)&gt;=SchemeStart,IF($X82=0,$AD82,IF(AND($Z82&lt;&gt;"",EDATE($D82,Milestones!$AA$166)&gt;=$Z82),$AC82,IF(AND($Y82&lt;&gt;"",EDATE($D82,Milestones!$AA$166)&gt;=$Y82),$AB82,$AA82)))=Milestones!$AB$166),UPPER(TEXT(EDATE($D82,Milestones!$AA$166),"dd mmm yy"))&amp;" "&amp;Milestones!$AB$166&amp;" "&amp;IF(AND(Milestones!$AB$166="FT",Milestones!$AA$166=FT_Y5,EDATE($D82,Milestones!$AA$166)&lt;PolicyEff),1,Milestones!$AC$166)&amp;";  ","")&amp;IF(AND(EDATE($D82,Milestones!$AA$167)&lt;=AsOfDate,EDATE($D82,Milestones!$AA$167)&gt;=SchemeStart,IF($X82=0,$AD82,IF(AND($Z82&lt;&gt;"",EDATE($D82,Milestones!$AA$167)&gt;=$Z82),$AC82,IF(AND($Y82&lt;&gt;"",EDATE($D82,Milestones!$AA$167)&gt;=$Y82),$AB82,$AA82)))=Milestones!$AB$167),UPPER(TEXT(EDATE($D82,Milestones!$AA$167),"dd mmm yy"))&amp;" "&amp;Milestones!$AB$167&amp;" "&amp;IF(AND(Milestones!$AB$167="FT",Milestones!$AA$167=FT_Y5,EDATE($D82,Milestones!$AA$167)&lt;PolicyEff),1,Milestones!$AC$167)&amp;";  ","")&amp;IF(AND(EDATE($D82,Milestones!$AA$168)&lt;=AsOfDate,EDATE($D82,Milestones!$AA$168)&gt;=SchemeStart,IF($X82=0,$AD82,IF(AND($Z82&lt;&gt;"",EDATE($D82,Milestones!$AA$168)&gt;=$Z82),$AC82,IF(AND($Y82&lt;&gt;"",EDATE($D82,Milestones!$AA$168)&gt;=$Y82),$AB82,$AA82)))=Milestones!$AB$168),UPPER(TEXT(EDATE($D82,Milestones!$AA$168),"dd mmm yy"))&amp;" "&amp;Milestones!$AB$168&amp;" "&amp;IF(AND(Milestones!$AB$168="FT",Milestones!$AA$168=FT_Y5,EDATE($D82,Milestones!$AA$168)&lt;PolicyEff),1,Milestones!$AC$168)&amp;";  ","")&amp;IF(AND(EDATE($D82,Milestones!$AA$169)&lt;=AsOfDate,EDATE($D82,Milestones!$AA$169)&gt;=SchemeStart,IF($X82=0,$AD82,IF(AND($Z82&lt;&gt;"",EDATE($D82,Milestones!$AA$169)&gt;=$Z82),$AC82,IF(AND($Y82&lt;&gt;"",EDATE($D82,Milestones!$AA$169)&gt;=$Y82),$AB82,$AA82)))=Milestones!$AB$169),UPPER(TEXT(EDATE($D82,Milestones!$AA$169),"dd mmm yy"))&amp;" "&amp;Milestones!$AB$169&amp;" "&amp;IF(AND(Milestones!$AB$169="FT",Milestones!$AA$169=FT_Y5,EDATE($D82,Milestones!$AA$169)&lt;PolicyEff),1,Milestones!$AC$169)&amp;";  ","")&amp;IF(AND(EDATE($D82,Milestones!$AA$170)&lt;=AsOfDate,EDATE($D82,Milestones!$AA$170)&gt;=SchemeStart,IF($X82=0,$AD82,IF(AND($Z82&lt;&gt;"",EDATE($D82,Milestones!$AA$170)&gt;=$Z82),$AC82,IF(AND($Y82&lt;&gt;"",EDATE($D82,Milestones!$AA$170)&gt;=$Y82),$AB82,$AA82)))=Milestones!$AB$170),UPPER(TEXT(EDATE($D82,Milestones!$AA$170),"dd mmm yy"))&amp;" "&amp;Milestones!$AB$170&amp;" "&amp;IF(AND(Milestones!$AB$170="FT",Milestones!$AA$170=FT_Y5,EDATE($D82,Milestones!$AA$170)&lt;PolicyEff),1,Milestones!$AC$170)&amp;";  ","")&amp;IF(AND(EDATE($D82,Milestones!$AA$171)&lt;=AsOfDate,EDATE($D82,Milestones!$AA$171)&gt;=SchemeStart,IF($X82=0,$AD82,IF(AND($Z82&lt;&gt;"",EDATE($D82,Milestones!$AA$171)&gt;=$Z82),$AC82,IF(AND($Y82&lt;&gt;"",EDATE($D82,Milestones!$AA$171)&gt;=$Y82),$AB82,$AA82)))=Milestones!$AB$171),UPPER(TEXT(EDATE($D82,Milestones!$AA$171),"dd mmm yy"))&amp;" "&amp;Milestones!$AB$171&amp;" "&amp;IF(AND(Milestones!$AB$171="FT",Milestones!$AA$171=FT_Y5,EDATE($D82,Milestones!$AA$171)&lt;PolicyEff),1,Milestones!$AC$171)&amp;";  ","")&amp;IF(AND(EDATE($D82,Milestones!$AA$172)&lt;=AsOfDate,EDATE($D82,Milestones!$AA$172)&gt;=SchemeStart,IF($X82=0,$AD82,IF(AND($Z82&lt;&gt;"",EDATE($D82,Milestones!$AA$172)&gt;=$Z82),$AC82,IF(AND($Y82&lt;&gt;"",EDATE($D82,Milestones!$AA$172)&gt;=$Y82),$AB82,$AA82)))=Milestones!$AB$172),UPPER(TEXT(EDATE($D82,Milestones!$AA$172),"dd mmm yy"))&amp;" "&amp;Milestones!$AB$172&amp;" "&amp;IF(AND(Milestones!$AB$172="FT",Milestones!$AA$172=FT_Y5,EDATE($D82,Milestones!$AA$172)&lt;PolicyEff),1,Milestones!$AC$172)&amp;";  ","")&amp;IF(AND(EDATE($D82,Milestones!$AA$173)&lt;=AsOfDate,EDATE($D82,Milestones!$AA$173)&gt;=SchemeStart,IF($X82=0,$AD82,IF(AND($Z82&lt;&gt;"",EDATE($D82,Milestones!$AA$173)&gt;=$Z82),$AC82,IF(AND($Y82&lt;&gt;"",EDATE($D82,Milestones!$AA$173)&gt;=$Y82),$AB82,$AA82)))=Milestones!$AB$173),UPPER(TEXT(EDATE($D82,Milestones!$AA$173),"dd mmm yy"))&amp;" "&amp;Milestones!$AB$173&amp;" "&amp;IF(AND(Milestones!$AB$173="FT",Milestones!$AA$173=FT_Y5,EDATE($D82,Milestones!$AA$173)&lt;PolicyEff),1,Milestones!$AC$173)&amp;";  ","")&amp;IF(AND(EDATE($D82,Milestones!$AA$174)&lt;=AsOfDate,EDATE($D82,Milestones!$AA$174)&gt;=SchemeStart,IF($X82=0,$AD82,IF(AND($Z82&lt;&gt;"",EDATE($D82,Milestones!$AA$174)&gt;=$Z82),$AC82,IF(AND($Y82&lt;&gt;"",EDATE($D82,Milestones!$AA$174)&gt;=$Y82),$AB82,$AA82)))=Milestones!$AB$174),UPPER(TEXT(EDATE($D82,Milestones!$AA$174),"dd mmm yy"))&amp;" "&amp;Milestones!$AB$174&amp;" "&amp;IF(AND(Milestones!$AB$174="FT",Milestones!$AA$174=FT_Y5,EDATE($D82,Milestones!$AA$174)&lt;PolicyEff),1,Milestones!$AC$174)&amp;";  ","")&amp;IF(AND(EDATE($D82,Milestones!$AA$175)&lt;=AsOfDate,EDATE($D82,Milestones!$AA$175)&gt;=SchemeStart,IF($X82=0,$AD82,IF(AND($Z82&lt;&gt;"",EDATE($D82,Milestones!$AA$175)&gt;=$Z82),$AC82,IF(AND($Y82&lt;&gt;"",EDATE($D82,Milestones!$AA$175)&gt;=$Y82),$AB82,$AA82)))=Milestones!$AB$175),UPPER(TEXT(EDATE($D82,Milestones!$AA$175),"dd mmm yy"))&amp;" "&amp;Milestones!$AB$175&amp;" "&amp;IF(AND(Milestones!$AB$175="FT",Milestones!$AA$175=FT_Y5,EDATE($D82,Milestones!$AA$175)&lt;PolicyEff),1,Milestones!$AC$175)&amp;";  ",""))</f>
        <v/>
      </c>
      <c r="V82" s="0" t="str">
        <f aca="false">IF(OR($A82="",$D82=""),"",IF(AND(EDATE($D82,Milestones!$AA$176)&lt;=AsOfDate,EDATE($D82,Milestones!$AA$176)&gt;=SchemeStart,IF($X82=0,$AD82,IF(AND($Z82&lt;&gt;"",EDATE($D82,Milestones!$AA$176)&gt;=$Z82),$AC82,IF(AND($Y82&lt;&gt;"",EDATE($D82,Milestones!$AA$176)&gt;=$Y82),$AB82,$AA82)))=Milestones!$AB$176),UPPER(TEXT(EDATE($D82,Milestones!$AA$176),"dd mmm yy"))&amp;" "&amp;Milestones!$AB$176&amp;" "&amp;IF(AND(Milestones!$AB$176="FT",Milestones!$AA$176=FT_Y5,EDATE($D82,Milestones!$AA$176)&lt;PolicyEff),1,Milestones!$AC$176)&amp;";  ","")&amp;IF(AND(EDATE($D82,Milestones!$AA$177)&lt;=AsOfDate,EDATE($D82,Milestones!$AA$177)&gt;=SchemeStart,IF($X82=0,$AD82,IF(AND($Z82&lt;&gt;"",EDATE($D82,Milestones!$AA$177)&gt;=$Z82),$AC82,IF(AND($Y82&lt;&gt;"",EDATE($D82,Milestones!$AA$177)&gt;=$Y82),$AB82,$AA82)))=Milestones!$AB$177),UPPER(TEXT(EDATE($D82,Milestones!$AA$177),"dd mmm yy"))&amp;" "&amp;Milestones!$AB$177&amp;" "&amp;IF(AND(Milestones!$AB$177="FT",Milestones!$AA$177=FT_Y5,EDATE($D82,Milestones!$AA$177)&lt;PolicyEff),1,Milestones!$AC$177)&amp;";  ","")&amp;IF(AND(EDATE($D82,Milestones!$AA$178)&lt;=AsOfDate,EDATE($D82,Milestones!$AA$178)&gt;=SchemeStart,IF($X82=0,$AD82,IF(AND($Z82&lt;&gt;"",EDATE($D82,Milestones!$AA$178)&gt;=$Z82),$AC82,IF(AND($Y82&lt;&gt;"",EDATE($D82,Milestones!$AA$178)&gt;=$Y82),$AB82,$AA82)))=Milestones!$AB$178),UPPER(TEXT(EDATE($D82,Milestones!$AA$178),"dd mmm yy"))&amp;" "&amp;Milestones!$AB$178&amp;" "&amp;IF(AND(Milestones!$AB$178="FT",Milestones!$AA$178=FT_Y5,EDATE($D82,Milestones!$AA$178)&lt;PolicyEff),1,Milestones!$AC$178)&amp;";  ","")&amp;IF(AND(EDATE($D82,Milestones!$AA$179)&lt;=AsOfDate,EDATE($D82,Milestones!$AA$179)&gt;=SchemeStart,IF($X82=0,$AD82,IF(AND($Z82&lt;&gt;"",EDATE($D82,Milestones!$AA$179)&gt;=$Z82),$AC82,IF(AND($Y82&lt;&gt;"",EDATE($D82,Milestones!$AA$179)&gt;=$Y82),$AB82,$AA82)))=Milestones!$AB$179),UPPER(TEXT(EDATE($D82,Milestones!$AA$179),"dd mmm yy"))&amp;" "&amp;Milestones!$AB$179&amp;" "&amp;IF(AND(Milestones!$AB$179="FT",Milestones!$AA$179=FT_Y5,EDATE($D82,Milestones!$AA$179)&lt;PolicyEff),1,Milestones!$AC$179)&amp;";  ","")&amp;IF(AND(EDATE($D82,Milestones!$AA$180)&lt;=AsOfDate,EDATE($D82,Milestones!$AA$180)&gt;=SchemeStart,IF($X82=0,$AD82,IF(AND($Z82&lt;&gt;"",EDATE($D82,Milestones!$AA$180)&gt;=$Z82),$AC82,IF(AND($Y82&lt;&gt;"",EDATE($D82,Milestones!$AA$180)&gt;=$Y82),$AB82,$AA82)))=Milestones!$AB$180),UPPER(TEXT(EDATE($D82,Milestones!$AA$180),"dd mmm yy"))&amp;" "&amp;Milestones!$AB$180&amp;" "&amp;IF(AND(Milestones!$AB$180="FT",Milestones!$AA$180=FT_Y5,EDATE($D82,Milestones!$AA$180)&lt;PolicyEff),1,Milestones!$AC$180)&amp;";  ","")&amp;IF(AND(EDATE($D82,Milestones!$AA$181)&lt;=AsOfDate,EDATE($D82,Milestones!$AA$181)&gt;=SchemeStart,IF($X82=0,$AD82,IF(AND($Z82&lt;&gt;"",EDATE($D82,Milestones!$AA$181)&gt;=$Z82),$AC82,IF(AND($Y82&lt;&gt;"",EDATE($D82,Milestones!$AA$181)&gt;=$Y82),$AB82,$AA82)))=Milestones!$AB$181),UPPER(TEXT(EDATE($D82,Milestones!$AA$181),"dd mmm yy"))&amp;" "&amp;Milestones!$AB$181&amp;" "&amp;IF(AND(Milestones!$AB$181="FT",Milestones!$AA$181=FT_Y5,EDATE($D82,Milestones!$AA$181)&lt;PolicyEff),1,Milestones!$AC$181)&amp;";  ","")&amp;IF(AND(EDATE($D82,Milestones!$AA$182)&lt;=AsOfDate,EDATE($D82,Milestones!$AA$182)&gt;=SchemeStart,IF($X82=0,$AD82,IF(AND($Z82&lt;&gt;"",EDATE($D82,Milestones!$AA$182)&gt;=$Z82),$AC82,IF(AND($Y82&lt;&gt;"",EDATE($D82,Milestones!$AA$182)&gt;=$Y82),$AB82,$AA82)))=Milestones!$AB$182),UPPER(TEXT(EDATE($D82,Milestones!$AA$182),"dd mmm yy"))&amp;" "&amp;Milestones!$AB$182&amp;" "&amp;IF(AND(Milestones!$AB$182="FT",Milestones!$AA$182=FT_Y5,EDATE($D82,Milestones!$AA$182)&lt;PolicyEff),1,Milestones!$AC$182)&amp;";  ","")&amp;IF(AND(EDATE($D82,Milestones!$AA$183)&lt;=AsOfDate,EDATE($D82,Milestones!$AA$183)&gt;=SchemeStart,IF($X82=0,$AD82,IF(AND($Z82&lt;&gt;"",EDATE($D82,Milestones!$AA$183)&gt;=$Z82),$AC82,IF(AND($Y82&lt;&gt;"",EDATE($D82,Milestones!$AA$183)&gt;=$Y82),$AB82,$AA82)))=Milestones!$AB$183),UPPER(TEXT(EDATE($D82,Milestones!$AA$183),"dd mmm yy"))&amp;" "&amp;Milestones!$AB$183&amp;" "&amp;IF(AND(Milestones!$AB$183="FT",Milestones!$AA$183=FT_Y5,EDATE($D82,Milestones!$AA$183)&lt;PolicyEff),1,Milestones!$AC$183)&amp;";  ","")&amp;IF(AND(EDATE($D82,Milestones!$AA$184)&lt;=AsOfDate,EDATE($D82,Milestones!$AA$184)&gt;=SchemeStart,IF($X82=0,$AD82,IF(AND($Z82&lt;&gt;"",EDATE($D82,Milestones!$AA$184)&gt;=$Z82),$AC82,IF(AND($Y82&lt;&gt;"",EDATE($D82,Milestones!$AA$184)&gt;=$Y82),$AB82,$AA82)))=Milestones!$AB$184),UPPER(TEXT(EDATE($D82,Milestones!$AA$184),"dd mmm yy"))&amp;" "&amp;Milestones!$AB$184&amp;" "&amp;IF(AND(Milestones!$AB$184="FT",Milestones!$AA$184=FT_Y5,EDATE($D82,Milestones!$AA$184)&lt;PolicyEff),1,Milestones!$AC$184)&amp;";  ","")&amp;IF(AND(EDATE($D82,Milestones!$AA$185)&lt;=AsOfDate,EDATE($D82,Milestones!$AA$185)&gt;=SchemeStart,IF($X82=0,$AD82,IF(AND($Z82&lt;&gt;"",EDATE($D82,Milestones!$AA$185)&gt;=$Z82),$AC82,IF(AND($Y82&lt;&gt;"",EDATE($D82,Milestones!$AA$185)&gt;=$Y82),$AB82,$AA82)))=Milestones!$AB$185),UPPER(TEXT(EDATE($D82,Milestones!$AA$185),"dd mmm yy"))&amp;" "&amp;Milestones!$AB$185&amp;" "&amp;IF(AND(Milestones!$AB$185="FT",Milestones!$AA$185=FT_Y5,EDATE($D82,Milestones!$AA$185)&lt;PolicyEff),1,Milestones!$AC$185)&amp;";  ","")&amp;IF(AND(EDATE($D82,Milestones!$AA$186)&lt;=AsOfDate,EDATE($D82,Milestones!$AA$186)&gt;=SchemeStart,IF($X82=0,$AD82,IF(AND($Z82&lt;&gt;"",EDATE($D82,Milestones!$AA$186)&gt;=$Z82),$AC82,IF(AND($Y82&lt;&gt;"",EDATE($D82,Milestones!$AA$186)&gt;=$Y82),$AB82,$AA82)))=Milestones!$AB$186),UPPER(TEXT(EDATE($D82,Milestones!$AA$186),"dd mmm yy"))&amp;" "&amp;Milestones!$AB$186&amp;" "&amp;IF(AND(Milestones!$AB$186="FT",Milestones!$AA$186=FT_Y5,EDATE($D82,Milestones!$AA$186)&lt;PolicyEff),1,Milestones!$AC$186)&amp;";  ","")&amp;IF(AND(EDATE($D82,Milestones!$AA$187)&lt;=AsOfDate,EDATE($D82,Milestones!$AA$187)&gt;=SchemeStart,IF($X82=0,$AD82,IF(AND($Z82&lt;&gt;"",EDATE($D82,Milestones!$AA$187)&gt;=$Z82),$AC82,IF(AND($Y82&lt;&gt;"",EDATE($D82,Milestones!$AA$187)&gt;=$Y82),$AB82,$AA82)))=Milestones!$AB$187),UPPER(TEXT(EDATE($D82,Milestones!$AA$187),"dd mmm yy"))&amp;" "&amp;Milestones!$AB$187&amp;" "&amp;IF(AND(Milestones!$AB$187="FT",Milestones!$AA$187=FT_Y5,EDATE($D82,Milestones!$AA$187)&lt;PolicyEff),1,Milestones!$AC$187)&amp;";  ",""))</f>
        <v/>
      </c>
      <c r="W82" s="0" t="str">
        <f aca="false">IF(OR($A82="",$D82=""),"",IF(AND(EDATE($D82,Milestones!$AA$188)&lt;=AsOfDate,EDATE($D82,Milestones!$AA$188)&gt;=SchemeStart,IF($X82=0,$AD82,IF(AND($Z82&lt;&gt;"",EDATE($D82,Milestones!$AA$188)&gt;=$Z82),$AC82,IF(AND($Y82&lt;&gt;"",EDATE($D82,Milestones!$AA$188)&gt;=$Y82),$AB82,$AA82)))=Milestones!$AB$188),UPPER(TEXT(EDATE($D82,Milestones!$AA$188),"dd mmm yy"))&amp;" "&amp;Milestones!$AB$188&amp;" "&amp;IF(AND(Milestones!$AB$188="FT",Milestones!$AA$188=FT_Y5,EDATE($D82,Milestones!$AA$188)&lt;PolicyEff),1,Milestones!$AC$188)&amp;";  ","")&amp;IF(AND(EDATE($D82,Milestones!$AA$189)&lt;=AsOfDate,EDATE($D82,Milestones!$AA$189)&gt;=SchemeStart,IF($X82=0,$AD82,IF(AND($Z82&lt;&gt;"",EDATE($D82,Milestones!$AA$189)&gt;=$Z82),$AC82,IF(AND($Y82&lt;&gt;"",EDATE($D82,Milestones!$AA$189)&gt;=$Y82),$AB82,$AA82)))=Milestones!$AB$189),UPPER(TEXT(EDATE($D82,Milestones!$AA$189),"dd mmm yy"))&amp;" "&amp;Milestones!$AB$189&amp;" "&amp;IF(AND(Milestones!$AB$189="FT",Milestones!$AA$189=FT_Y5,EDATE($D82,Milestones!$AA$189)&lt;PolicyEff),1,Milestones!$AC$189)&amp;";  ","")&amp;IF(AND(EDATE($D82,Milestones!$AA$190)&lt;=AsOfDate,EDATE($D82,Milestones!$AA$190)&gt;=SchemeStart,IF($X82=0,$AD82,IF(AND($Z82&lt;&gt;"",EDATE($D82,Milestones!$AA$190)&gt;=$Z82),$AC82,IF(AND($Y82&lt;&gt;"",EDATE($D82,Milestones!$AA$190)&gt;=$Y82),$AB82,$AA82)))=Milestones!$AB$190),UPPER(TEXT(EDATE($D82,Milestones!$AA$190),"dd mmm yy"))&amp;" "&amp;Milestones!$AB$190&amp;" "&amp;IF(AND(Milestones!$AB$190="FT",Milestones!$AA$190=FT_Y5,EDATE($D82,Milestones!$AA$190)&lt;PolicyEff),1,Milestones!$AC$190)&amp;";  ","")&amp;IF(AND(EDATE($D82,Milestones!$AA$191)&lt;=AsOfDate,EDATE($D82,Milestones!$AA$191)&gt;=SchemeStart,IF($X82=0,$AD82,IF(AND($Z82&lt;&gt;"",EDATE($D82,Milestones!$AA$191)&gt;=$Z82),$AC82,IF(AND($Y82&lt;&gt;"",EDATE($D82,Milestones!$AA$191)&gt;=$Y82),$AB82,$AA82)))=Milestones!$AB$191),UPPER(TEXT(EDATE($D82,Milestones!$AA$191),"dd mmm yy"))&amp;" "&amp;Milestones!$AB$191&amp;" "&amp;IF(AND(Milestones!$AB$191="FT",Milestones!$AA$191=FT_Y5,EDATE($D82,Milestones!$AA$191)&lt;PolicyEff),1,Milestones!$AC$191)&amp;";  ","")&amp;IF(AND(EDATE($D82,Milestones!$AA$192)&lt;=AsOfDate,EDATE($D82,Milestones!$AA$192)&gt;=SchemeStart,IF($X82=0,$AD82,IF(AND($Z82&lt;&gt;"",EDATE($D82,Milestones!$AA$192)&gt;=$Z82),$AC82,IF(AND($Y82&lt;&gt;"",EDATE($D82,Milestones!$AA$192)&gt;=$Y82),$AB82,$AA82)))=Milestones!$AB$192),UPPER(TEXT(EDATE($D82,Milestones!$AA$192),"dd mmm yy"))&amp;" "&amp;Milestones!$AB$192&amp;" "&amp;IF(AND(Milestones!$AB$192="FT",Milestones!$AA$192=FT_Y5,EDATE($D82,Milestones!$AA$192)&lt;PolicyEff),1,Milestones!$AC$192)&amp;";  ","")&amp;IF(AND(EDATE($D82,Milestones!$AA$193)&lt;=AsOfDate,EDATE($D82,Milestones!$AA$193)&gt;=SchemeStart,IF($X82=0,$AD82,IF(AND($Z82&lt;&gt;"",EDATE($D82,Milestones!$AA$193)&gt;=$Z82),$AC82,IF(AND($Y82&lt;&gt;"",EDATE($D82,Milestones!$AA$193)&gt;=$Y82),$AB82,$AA82)))=Milestones!$AB$193),UPPER(TEXT(EDATE($D82,Milestones!$AA$193),"dd mmm yy"))&amp;" "&amp;Milestones!$AB$193&amp;" "&amp;IF(AND(Milestones!$AB$193="FT",Milestones!$AA$193=FT_Y5,EDATE($D82,Milestones!$AA$193)&lt;PolicyEff),1,Milestones!$AC$193)&amp;";  ","")&amp;IF(AND(EDATE($D82,Milestones!$AA$194)&lt;=AsOfDate,EDATE($D82,Milestones!$AA$194)&gt;=SchemeStart,IF($X82=0,$AD82,IF(AND($Z82&lt;&gt;"",EDATE($D82,Milestones!$AA$194)&gt;=$Z82),$AC82,IF(AND($Y82&lt;&gt;"",EDATE($D82,Milestones!$AA$194)&gt;=$Y82),$AB82,$AA82)))=Milestones!$AB$194),UPPER(TEXT(EDATE($D82,Milestones!$AA$194),"dd mmm yy"))&amp;" "&amp;Milestones!$AB$194&amp;" "&amp;IF(AND(Milestones!$AB$194="FT",Milestones!$AA$194=FT_Y5,EDATE($D82,Milestones!$AA$194)&lt;PolicyEff),1,Milestones!$AC$194)&amp;";  ","")&amp;IF(AND(EDATE($D82,Milestones!$AA$195)&lt;=AsOfDate,EDATE($D82,Milestones!$AA$195)&gt;=SchemeStart,IF($X82=0,$AD82,IF(AND($Z82&lt;&gt;"",EDATE($D82,Milestones!$AA$195)&gt;=$Z82),$AC82,IF(AND($Y82&lt;&gt;"",EDATE($D82,Milestones!$AA$195)&gt;=$Y82),$AB82,$AA82)))=Milestones!$AB$195),UPPER(TEXT(EDATE($D82,Milestones!$AA$195),"dd mmm yy"))&amp;" "&amp;Milestones!$AB$195&amp;" "&amp;IF(AND(Milestones!$AB$195="FT",Milestones!$AA$195=FT_Y5,EDATE($D82,Milestones!$AA$195)&lt;PolicyEff),1,Milestones!$AC$195)&amp;";  ","")&amp;IF(AND(EDATE($D82,Milestones!$AA$196)&lt;=AsOfDate,EDATE($D82,Milestones!$AA$196)&gt;=SchemeStart,IF($X82=0,$AD82,IF(AND($Z82&lt;&gt;"",EDATE($D82,Milestones!$AA$196)&gt;=$Z82),$AC82,IF(AND($Y82&lt;&gt;"",EDATE($D82,Milestones!$AA$196)&gt;=$Y82),$AB82,$AA82)))=Milestones!$AB$196),UPPER(TEXT(EDATE($D82,Milestones!$AA$196),"dd mmm yy"))&amp;" "&amp;Milestones!$AB$196&amp;" "&amp;IF(AND(Milestones!$AB$196="FT",Milestones!$AA$196=FT_Y5,EDATE($D82,Milestones!$AA$196)&lt;PolicyEff),1,Milestones!$AC$196)&amp;";  ","")&amp;IF(AND(EDATE($D82,Milestones!$AA$197)&lt;=AsOfDate,EDATE($D82,Milestones!$AA$197)&gt;=SchemeStart,IF($X82=0,$AD82,IF(AND($Z82&lt;&gt;"",EDATE($D82,Milestones!$AA$197)&gt;=$Z82),$AC82,IF(AND($Y82&lt;&gt;"",EDATE($D82,Milestones!$AA$197)&gt;=$Y82),$AB82,$AA82)))=Milestones!$AB$197),UPPER(TEXT(EDATE($D82,Milestones!$AA$197),"dd mmm yy"))&amp;" "&amp;Milestones!$AB$197&amp;" "&amp;IF(AND(Milestones!$AB$197="FT",Milestones!$AA$197=FT_Y5,EDATE($D82,Milestones!$AA$197)&lt;PolicyEff),1,Milestones!$AC$197)&amp;";  ","")&amp;IF(AND(EDATE($D82,Milestones!$AA$198)&lt;=AsOfDate,EDATE($D82,Milestones!$AA$198)&gt;=SchemeStart,IF($X82=0,$AD82,IF(AND($Z82&lt;&gt;"",EDATE($D82,Milestones!$AA$198)&gt;=$Z82),$AC82,IF(AND($Y82&lt;&gt;"",EDATE($D82,Milestones!$AA$198)&gt;=$Y82),$AB82,$AA82)))=Milestones!$AB$198),UPPER(TEXT(EDATE($D82,Milestones!$AA$198),"dd mmm yy"))&amp;" "&amp;Milestones!$AB$198&amp;" "&amp;IF(AND(Milestones!$AB$198="FT",Milestones!$AA$198=FT_Y5,EDATE($D82,Milestones!$AA$198)&lt;PolicyEff),1,Milestones!$AC$198)&amp;";  ","")&amp;IF(AND(EDATE($D82,Milestones!$AA$199)&lt;=AsOfDate,EDATE($D82,Milestones!$AA$199)&gt;=SchemeStart,IF($X82=0,$AD82,IF(AND($Z82&lt;&gt;"",EDATE($D82,Milestones!$AA$199)&gt;=$Z82),$AC82,IF(AND($Y82&lt;&gt;"",EDATE($D82,Milestones!$AA$199)&gt;=$Y82),$AB82,$AA82)))=Milestones!$AB$199),UPPER(TEXT(EDATE($D82,Milestones!$AA$199),"dd mmm yy"))&amp;" "&amp;Milestones!$AB$199&amp;" "&amp;IF(AND(Milestones!$AB$199="FT",Milestones!$AA$199=FT_Y5,EDATE($D82,Milestones!$AA$199)&lt;PolicyEff),1,Milestones!$AC$199)&amp;";  ",""))</f>
        <v/>
      </c>
      <c r="X82" s="0" t="str">
        <f aca="false">IF(Staff!$A82="","",Staff!$AM82)</f>
        <v/>
      </c>
      <c r="Y82" s="0" t="str">
        <f aca="false">IF(Staff!$A82="","",Staff!$AO82)</f>
        <v/>
      </c>
      <c r="Z82" s="0" t="str">
        <f aca="false">IF(Staff!$A82="","",Staff!$AP82)</f>
        <v/>
      </c>
      <c r="AA82" s="0" t="str">
        <f aca="false">IF(Staff!$A82="","",Staff!$AT82)</f>
        <v/>
      </c>
      <c r="AB82" s="0" t="str">
        <f aca="false">IF(Staff!$A82="","",Staff!$AU82)</f>
        <v/>
      </c>
      <c r="AC82" s="0" t="str">
        <f aca="false">IF(Staff!$A82="","",Staff!$AV82)</f>
        <v/>
      </c>
      <c r="AD82" s="0" t="str">
        <f aca="false">IF(Staff!$A82="","",Staff!$AW82)</f>
        <v/>
      </c>
    </row>
    <row r="83" customFormat="false" ht="15" hidden="false" customHeight="false" outlineLevel="0" collapsed="false">
      <c r="A83" s="16" t="str">
        <f aca="false">IF(Staff!$A83="","",Staff!$A83)</f>
        <v/>
      </c>
      <c r="B83" s="16" t="str">
        <f aca="false">IF(Staff!$A83="","",Staff!$B83)</f>
        <v/>
      </c>
      <c r="C83" s="16" t="str">
        <f aca="false">IF(Staff!$A83="","",Staff!$C83)</f>
        <v/>
      </c>
      <c r="D83" s="14" t="str">
        <f aca="false">IF(Staff!$A83="","",Staff!$AL83)</f>
        <v/>
      </c>
      <c r="E83" s="16" t="str">
        <f aca="false">IF(Staff!$A83="","",Staff!$O83)</f>
        <v/>
      </c>
      <c r="F83" s="16" t="str">
        <f aca="false">IF(E83="","",E83*HoursPerDay)</f>
        <v/>
      </c>
      <c r="G83" s="16" t="str">
        <f aca="false">IF(Staff!$A83="","",Staff!$AE83)</f>
        <v/>
      </c>
      <c r="H83" s="28" t="str">
        <f aca="false">IF($A83="","",I83&amp;J83&amp;K83&amp;L83&amp;M83&amp;N83&amp;O83&amp;P83&amp;Q83&amp;R83&amp;S83&amp;T83&amp;U83&amp;V83&amp;W83)</f>
        <v/>
      </c>
      <c r="I83" s="0" t="str">
        <f aca="false">IF(OR($A83="",$D83=""),"",IF(AND(EDATE($D83,Milestones!$AA$20)&lt;=AsOfDate,EDATE($D83,Milestones!$AA$20)&gt;=SchemeStart,IF($X83=0,$AD83,IF(AND($Z83&lt;&gt;"",EDATE($D83,Milestones!$AA$20)&gt;=$Z83),$AC83,IF(AND($Y83&lt;&gt;"",EDATE($D83,Milestones!$AA$20)&gt;=$Y83),$AB83,$AA83)))=Milestones!$AB$20),UPPER(TEXT(EDATE($D83,Milestones!$AA$20),"dd mmm yy"))&amp;" "&amp;Milestones!$AB$20&amp;" "&amp;IF(AND(Milestones!$AB$20="FT",Milestones!$AA$20=FT_Y5,EDATE($D83,Milestones!$AA$20)&lt;PolicyEff),1,Milestones!$AC$20)&amp;";  ","")&amp;IF(AND(EDATE($D83,Milestones!$AA$21)&lt;=AsOfDate,EDATE($D83,Milestones!$AA$21)&gt;=SchemeStart,IF($X83=0,$AD83,IF(AND($Z83&lt;&gt;"",EDATE($D83,Milestones!$AA$21)&gt;=$Z83),$AC83,IF(AND($Y83&lt;&gt;"",EDATE($D83,Milestones!$AA$21)&gt;=$Y83),$AB83,$AA83)))=Milestones!$AB$21),UPPER(TEXT(EDATE($D83,Milestones!$AA$21),"dd mmm yy"))&amp;" "&amp;Milestones!$AB$21&amp;" "&amp;IF(AND(Milestones!$AB$21="FT",Milestones!$AA$21=FT_Y5,EDATE($D83,Milestones!$AA$21)&lt;PolicyEff),1,Milestones!$AC$21)&amp;";  ","")&amp;IF(AND(EDATE($D83,Milestones!$AA$22)&lt;=AsOfDate,EDATE($D83,Milestones!$AA$22)&gt;=SchemeStart,IF($X83=0,$AD83,IF(AND($Z83&lt;&gt;"",EDATE($D83,Milestones!$AA$22)&gt;=$Z83),$AC83,IF(AND($Y83&lt;&gt;"",EDATE($D83,Milestones!$AA$22)&gt;=$Y83),$AB83,$AA83)))=Milestones!$AB$22),UPPER(TEXT(EDATE($D83,Milestones!$AA$22),"dd mmm yy"))&amp;" "&amp;Milestones!$AB$22&amp;" "&amp;IF(AND(Milestones!$AB$22="FT",Milestones!$AA$22=FT_Y5,EDATE($D83,Milestones!$AA$22)&lt;PolicyEff),1,Milestones!$AC$22)&amp;";  ","")&amp;IF(AND(EDATE($D83,Milestones!$AA$23)&lt;=AsOfDate,EDATE($D83,Milestones!$AA$23)&gt;=SchemeStart,IF($X83=0,$AD83,IF(AND($Z83&lt;&gt;"",EDATE($D83,Milestones!$AA$23)&gt;=$Z83),$AC83,IF(AND($Y83&lt;&gt;"",EDATE($D83,Milestones!$AA$23)&gt;=$Y83),$AB83,$AA83)))=Milestones!$AB$23),UPPER(TEXT(EDATE($D83,Milestones!$AA$23),"dd mmm yy"))&amp;" "&amp;Milestones!$AB$23&amp;" "&amp;IF(AND(Milestones!$AB$23="FT",Milestones!$AA$23=FT_Y5,EDATE($D83,Milestones!$AA$23)&lt;PolicyEff),1,Milestones!$AC$23)&amp;";  ","")&amp;IF(AND(EDATE($D83,Milestones!$AA$24)&lt;=AsOfDate,EDATE($D83,Milestones!$AA$24)&gt;=SchemeStart,IF($X83=0,$AD83,IF(AND($Z83&lt;&gt;"",EDATE($D83,Milestones!$AA$24)&gt;=$Z83),$AC83,IF(AND($Y83&lt;&gt;"",EDATE($D83,Milestones!$AA$24)&gt;=$Y83),$AB83,$AA83)))=Milestones!$AB$24),UPPER(TEXT(EDATE($D83,Milestones!$AA$24),"dd mmm yy"))&amp;" "&amp;Milestones!$AB$24&amp;" "&amp;IF(AND(Milestones!$AB$24="FT",Milestones!$AA$24=FT_Y5,EDATE($D83,Milestones!$AA$24)&lt;PolicyEff),1,Milestones!$AC$24)&amp;";  ","")&amp;IF(AND(EDATE($D83,Milestones!$AA$25)&lt;=AsOfDate,EDATE($D83,Milestones!$AA$25)&gt;=SchemeStart,IF($X83=0,$AD83,IF(AND($Z83&lt;&gt;"",EDATE($D83,Milestones!$AA$25)&gt;=$Z83),$AC83,IF(AND($Y83&lt;&gt;"",EDATE($D83,Milestones!$AA$25)&gt;=$Y83),$AB83,$AA83)))=Milestones!$AB$25),UPPER(TEXT(EDATE($D83,Milestones!$AA$25),"dd mmm yy"))&amp;" "&amp;Milestones!$AB$25&amp;" "&amp;IF(AND(Milestones!$AB$25="FT",Milestones!$AA$25=FT_Y5,EDATE($D83,Milestones!$AA$25)&lt;PolicyEff),1,Milestones!$AC$25)&amp;";  ","")&amp;IF(AND(EDATE($D83,Milestones!$AA$26)&lt;=AsOfDate,EDATE($D83,Milestones!$AA$26)&gt;=SchemeStart,IF($X83=0,$AD83,IF(AND($Z83&lt;&gt;"",EDATE($D83,Milestones!$AA$26)&gt;=$Z83),$AC83,IF(AND($Y83&lt;&gt;"",EDATE($D83,Milestones!$AA$26)&gt;=$Y83),$AB83,$AA83)))=Milestones!$AB$26),UPPER(TEXT(EDATE($D83,Milestones!$AA$26),"dd mmm yy"))&amp;" "&amp;Milestones!$AB$26&amp;" "&amp;IF(AND(Milestones!$AB$26="FT",Milestones!$AA$26=FT_Y5,EDATE($D83,Milestones!$AA$26)&lt;PolicyEff),1,Milestones!$AC$26)&amp;";  ","")&amp;IF(AND(EDATE($D83,Milestones!$AA$27)&lt;=AsOfDate,EDATE($D83,Milestones!$AA$27)&gt;=SchemeStart,IF($X83=0,$AD83,IF(AND($Z83&lt;&gt;"",EDATE($D83,Milestones!$AA$27)&gt;=$Z83),$AC83,IF(AND($Y83&lt;&gt;"",EDATE($D83,Milestones!$AA$27)&gt;=$Y83),$AB83,$AA83)))=Milestones!$AB$27),UPPER(TEXT(EDATE($D83,Milestones!$AA$27),"dd mmm yy"))&amp;" "&amp;Milestones!$AB$27&amp;" "&amp;IF(AND(Milestones!$AB$27="FT",Milestones!$AA$27=FT_Y5,EDATE($D83,Milestones!$AA$27)&lt;PolicyEff),1,Milestones!$AC$27)&amp;";  ","")&amp;IF(AND(EDATE($D83,Milestones!$AA$28)&lt;=AsOfDate,EDATE($D83,Milestones!$AA$28)&gt;=SchemeStart,IF($X83=0,$AD83,IF(AND($Z83&lt;&gt;"",EDATE($D83,Milestones!$AA$28)&gt;=$Z83),$AC83,IF(AND($Y83&lt;&gt;"",EDATE($D83,Milestones!$AA$28)&gt;=$Y83),$AB83,$AA83)))=Milestones!$AB$28),UPPER(TEXT(EDATE($D83,Milestones!$AA$28),"dd mmm yy"))&amp;" "&amp;Milestones!$AB$28&amp;" "&amp;IF(AND(Milestones!$AB$28="FT",Milestones!$AA$28=FT_Y5,EDATE($D83,Milestones!$AA$28)&lt;PolicyEff),1,Milestones!$AC$28)&amp;";  ","")&amp;IF(AND(EDATE($D83,Milestones!$AA$29)&lt;=AsOfDate,EDATE($D83,Milestones!$AA$29)&gt;=SchemeStart,IF($X83=0,$AD83,IF(AND($Z83&lt;&gt;"",EDATE($D83,Milestones!$AA$29)&gt;=$Z83),$AC83,IF(AND($Y83&lt;&gt;"",EDATE($D83,Milestones!$AA$29)&gt;=$Y83),$AB83,$AA83)))=Milestones!$AB$29),UPPER(TEXT(EDATE($D83,Milestones!$AA$29),"dd mmm yy"))&amp;" "&amp;Milestones!$AB$29&amp;" "&amp;IF(AND(Milestones!$AB$29="FT",Milestones!$AA$29=FT_Y5,EDATE($D83,Milestones!$AA$29)&lt;PolicyEff),1,Milestones!$AC$29)&amp;";  ","")&amp;IF(AND(EDATE($D83,Milestones!$AA$30)&lt;=AsOfDate,EDATE($D83,Milestones!$AA$30)&gt;=SchemeStart,IF($X83=0,$AD83,IF(AND($Z83&lt;&gt;"",EDATE($D83,Milestones!$AA$30)&gt;=$Z83),$AC83,IF(AND($Y83&lt;&gt;"",EDATE($D83,Milestones!$AA$30)&gt;=$Y83),$AB83,$AA83)))=Milestones!$AB$30),UPPER(TEXT(EDATE($D83,Milestones!$AA$30),"dd mmm yy"))&amp;" "&amp;Milestones!$AB$30&amp;" "&amp;IF(AND(Milestones!$AB$30="FT",Milestones!$AA$30=FT_Y5,EDATE($D83,Milestones!$AA$30)&lt;PolicyEff),1,Milestones!$AC$30)&amp;";  ","")&amp;IF(AND(EDATE($D83,Milestones!$AA$31)&lt;=AsOfDate,EDATE($D83,Milestones!$AA$31)&gt;=SchemeStart,IF($X83=0,$AD83,IF(AND($Z83&lt;&gt;"",EDATE($D83,Milestones!$AA$31)&gt;=$Z83),$AC83,IF(AND($Y83&lt;&gt;"",EDATE($D83,Milestones!$AA$31)&gt;=$Y83),$AB83,$AA83)))=Milestones!$AB$31),UPPER(TEXT(EDATE($D83,Milestones!$AA$31),"dd mmm yy"))&amp;" "&amp;Milestones!$AB$31&amp;" "&amp;IF(AND(Milestones!$AB$31="FT",Milestones!$AA$31=FT_Y5,EDATE($D83,Milestones!$AA$31)&lt;PolicyEff),1,Milestones!$AC$31)&amp;";  ",""))</f>
        <v/>
      </c>
      <c r="J83" s="0" t="str">
        <f aca="false">IF(OR($A83="",$D83=""),"",IF(AND(EDATE($D83,Milestones!$AA$32)&lt;=AsOfDate,EDATE($D83,Milestones!$AA$32)&gt;=SchemeStart,IF($X83=0,$AD83,IF(AND($Z83&lt;&gt;"",EDATE($D83,Milestones!$AA$32)&gt;=$Z83),$AC83,IF(AND($Y83&lt;&gt;"",EDATE($D83,Milestones!$AA$32)&gt;=$Y83),$AB83,$AA83)))=Milestones!$AB$32),UPPER(TEXT(EDATE($D83,Milestones!$AA$32),"dd mmm yy"))&amp;" "&amp;Milestones!$AB$32&amp;" "&amp;IF(AND(Milestones!$AB$32="FT",Milestones!$AA$32=FT_Y5,EDATE($D83,Milestones!$AA$32)&lt;PolicyEff),1,Milestones!$AC$32)&amp;";  ","")&amp;IF(AND(EDATE($D83,Milestones!$AA$33)&lt;=AsOfDate,EDATE($D83,Milestones!$AA$33)&gt;=SchemeStart,IF($X83=0,$AD83,IF(AND($Z83&lt;&gt;"",EDATE($D83,Milestones!$AA$33)&gt;=$Z83),$AC83,IF(AND($Y83&lt;&gt;"",EDATE($D83,Milestones!$AA$33)&gt;=$Y83),$AB83,$AA83)))=Milestones!$AB$33),UPPER(TEXT(EDATE($D83,Milestones!$AA$33),"dd mmm yy"))&amp;" "&amp;Milestones!$AB$33&amp;" "&amp;IF(AND(Milestones!$AB$33="FT",Milestones!$AA$33=FT_Y5,EDATE($D83,Milestones!$AA$33)&lt;PolicyEff),1,Milestones!$AC$33)&amp;";  ","")&amp;IF(AND(EDATE($D83,Milestones!$AA$34)&lt;=AsOfDate,EDATE($D83,Milestones!$AA$34)&gt;=SchemeStart,IF($X83=0,$AD83,IF(AND($Z83&lt;&gt;"",EDATE($D83,Milestones!$AA$34)&gt;=$Z83),$AC83,IF(AND($Y83&lt;&gt;"",EDATE($D83,Milestones!$AA$34)&gt;=$Y83),$AB83,$AA83)))=Milestones!$AB$34),UPPER(TEXT(EDATE($D83,Milestones!$AA$34),"dd mmm yy"))&amp;" "&amp;Milestones!$AB$34&amp;" "&amp;IF(AND(Milestones!$AB$34="FT",Milestones!$AA$34=FT_Y5,EDATE($D83,Milestones!$AA$34)&lt;PolicyEff),1,Milestones!$AC$34)&amp;";  ","")&amp;IF(AND(EDATE($D83,Milestones!$AA$35)&lt;=AsOfDate,EDATE($D83,Milestones!$AA$35)&gt;=SchemeStart,IF($X83=0,$AD83,IF(AND($Z83&lt;&gt;"",EDATE($D83,Milestones!$AA$35)&gt;=$Z83),$AC83,IF(AND($Y83&lt;&gt;"",EDATE($D83,Milestones!$AA$35)&gt;=$Y83),$AB83,$AA83)))=Milestones!$AB$35),UPPER(TEXT(EDATE($D83,Milestones!$AA$35),"dd mmm yy"))&amp;" "&amp;Milestones!$AB$35&amp;" "&amp;IF(AND(Milestones!$AB$35="FT",Milestones!$AA$35=FT_Y5,EDATE($D83,Milestones!$AA$35)&lt;PolicyEff),1,Milestones!$AC$35)&amp;";  ","")&amp;IF(AND(EDATE($D83,Milestones!$AA$36)&lt;=AsOfDate,EDATE($D83,Milestones!$AA$36)&gt;=SchemeStart,IF($X83=0,$AD83,IF(AND($Z83&lt;&gt;"",EDATE($D83,Milestones!$AA$36)&gt;=$Z83),$AC83,IF(AND($Y83&lt;&gt;"",EDATE($D83,Milestones!$AA$36)&gt;=$Y83),$AB83,$AA83)))=Milestones!$AB$36),UPPER(TEXT(EDATE($D83,Milestones!$AA$36),"dd mmm yy"))&amp;" "&amp;Milestones!$AB$36&amp;" "&amp;IF(AND(Milestones!$AB$36="FT",Milestones!$AA$36=FT_Y5,EDATE($D83,Milestones!$AA$36)&lt;PolicyEff),1,Milestones!$AC$36)&amp;";  ","")&amp;IF(AND(EDATE($D83,Milestones!$AA$37)&lt;=AsOfDate,EDATE($D83,Milestones!$AA$37)&gt;=SchemeStart,IF($X83=0,$AD83,IF(AND($Z83&lt;&gt;"",EDATE($D83,Milestones!$AA$37)&gt;=$Z83),$AC83,IF(AND($Y83&lt;&gt;"",EDATE($D83,Milestones!$AA$37)&gt;=$Y83),$AB83,$AA83)))=Milestones!$AB$37),UPPER(TEXT(EDATE($D83,Milestones!$AA$37),"dd mmm yy"))&amp;" "&amp;Milestones!$AB$37&amp;" "&amp;IF(AND(Milestones!$AB$37="FT",Milestones!$AA$37=FT_Y5,EDATE($D83,Milestones!$AA$37)&lt;PolicyEff),1,Milestones!$AC$37)&amp;";  ","")&amp;IF(AND(EDATE($D83,Milestones!$AA$38)&lt;=AsOfDate,EDATE($D83,Milestones!$AA$38)&gt;=SchemeStart,IF($X83=0,$AD83,IF(AND($Z83&lt;&gt;"",EDATE($D83,Milestones!$AA$38)&gt;=$Z83),$AC83,IF(AND($Y83&lt;&gt;"",EDATE($D83,Milestones!$AA$38)&gt;=$Y83),$AB83,$AA83)))=Milestones!$AB$38),UPPER(TEXT(EDATE($D83,Milestones!$AA$38),"dd mmm yy"))&amp;" "&amp;Milestones!$AB$38&amp;" "&amp;IF(AND(Milestones!$AB$38="FT",Milestones!$AA$38=FT_Y5,EDATE($D83,Milestones!$AA$38)&lt;PolicyEff),1,Milestones!$AC$38)&amp;";  ","")&amp;IF(AND(EDATE($D83,Milestones!$AA$39)&lt;=AsOfDate,EDATE($D83,Milestones!$AA$39)&gt;=SchemeStart,IF($X83=0,$AD83,IF(AND($Z83&lt;&gt;"",EDATE($D83,Milestones!$AA$39)&gt;=$Z83),$AC83,IF(AND($Y83&lt;&gt;"",EDATE($D83,Milestones!$AA$39)&gt;=$Y83),$AB83,$AA83)))=Milestones!$AB$39),UPPER(TEXT(EDATE($D83,Milestones!$AA$39),"dd mmm yy"))&amp;" "&amp;Milestones!$AB$39&amp;" "&amp;IF(AND(Milestones!$AB$39="FT",Milestones!$AA$39=FT_Y5,EDATE($D83,Milestones!$AA$39)&lt;PolicyEff),1,Milestones!$AC$39)&amp;";  ","")&amp;IF(AND(EDATE($D83,Milestones!$AA$40)&lt;=AsOfDate,EDATE($D83,Milestones!$AA$40)&gt;=SchemeStart,IF($X83=0,$AD83,IF(AND($Z83&lt;&gt;"",EDATE($D83,Milestones!$AA$40)&gt;=$Z83),$AC83,IF(AND($Y83&lt;&gt;"",EDATE($D83,Milestones!$AA$40)&gt;=$Y83),$AB83,$AA83)))=Milestones!$AB$40),UPPER(TEXT(EDATE($D83,Milestones!$AA$40),"dd mmm yy"))&amp;" "&amp;Milestones!$AB$40&amp;" "&amp;IF(AND(Milestones!$AB$40="FT",Milestones!$AA$40=FT_Y5,EDATE($D83,Milestones!$AA$40)&lt;PolicyEff),1,Milestones!$AC$40)&amp;";  ","")&amp;IF(AND(EDATE($D83,Milestones!$AA$41)&lt;=AsOfDate,EDATE($D83,Milestones!$AA$41)&gt;=SchemeStart,IF($X83=0,$AD83,IF(AND($Z83&lt;&gt;"",EDATE($D83,Milestones!$AA$41)&gt;=$Z83),$AC83,IF(AND($Y83&lt;&gt;"",EDATE($D83,Milestones!$AA$41)&gt;=$Y83),$AB83,$AA83)))=Milestones!$AB$41),UPPER(TEXT(EDATE($D83,Milestones!$AA$41),"dd mmm yy"))&amp;" "&amp;Milestones!$AB$41&amp;" "&amp;IF(AND(Milestones!$AB$41="FT",Milestones!$AA$41=FT_Y5,EDATE($D83,Milestones!$AA$41)&lt;PolicyEff),1,Milestones!$AC$41)&amp;";  ","")&amp;IF(AND(EDATE($D83,Milestones!$AA$42)&lt;=AsOfDate,EDATE($D83,Milestones!$AA$42)&gt;=SchemeStart,IF($X83=0,$AD83,IF(AND($Z83&lt;&gt;"",EDATE($D83,Milestones!$AA$42)&gt;=$Z83),$AC83,IF(AND($Y83&lt;&gt;"",EDATE($D83,Milestones!$AA$42)&gt;=$Y83),$AB83,$AA83)))=Milestones!$AB$42),UPPER(TEXT(EDATE($D83,Milestones!$AA$42),"dd mmm yy"))&amp;" "&amp;Milestones!$AB$42&amp;" "&amp;IF(AND(Milestones!$AB$42="FT",Milestones!$AA$42=FT_Y5,EDATE($D83,Milestones!$AA$42)&lt;PolicyEff),1,Milestones!$AC$42)&amp;";  ","")&amp;IF(AND(EDATE($D83,Milestones!$AA$43)&lt;=AsOfDate,EDATE($D83,Milestones!$AA$43)&gt;=SchemeStart,IF($X83=0,$AD83,IF(AND($Z83&lt;&gt;"",EDATE($D83,Milestones!$AA$43)&gt;=$Z83),$AC83,IF(AND($Y83&lt;&gt;"",EDATE($D83,Milestones!$AA$43)&gt;=$Y83),$AB83,$AA83)))=Milestones!$AB$43),UPPER(TEXT(EDATE($D83,Milestones!$AA$43),"dd mmm yy"))&amp;" "&amp;Milestones!$AB$43&amp;" "&amp;IF(AND(Milestones!$AB$43="FT",Milestones!$AA$43=FT_Y5,EDATE($D83,Milestones!$AA$43)&lt;PolicyEff),1,Milestones!$AC$43)&amp;";  ",""))</f>
        <v/>
      </c>
      <c r="K83" s="0" t="str">
        <f aca="false">IF(OR($A83="",$D83=""),"",IF(AND(EDATE($D83,Milestones!$AA$44)&lt;=AsOfDate,EDATE($D83,Milestones!$AA$44)&gt;=SchemeStart,IF($X83=0,$AD83,IF(AND($Z83&lt;&gt;"",EDATE($D83,Milestones!$AA$44)&gt;=$Z83),$AC83,IF(AND($Y83&lt;&gt;"",EDATE($D83,Milestones!$AA$44)&gt;=$Y83),$AB83,$AA83)))=Milestones!$AB$44),UPPER(TEXT(EDATE($D83,Milestones!$AA$44),"dd mmm yy"))&amp;" "&amp;Milestones!$AB$44&amp;" "&amp;IF(AND(Milestones!$AB$44="FT",Milestones!$AA$44=FT_Y5,EDATE($D83,Milestones!$AA$44)&lt;PolicyEff),1,Milestones!$AC$44)&amp;";  ","")&amp;IF(AND(EDATE($D83,Milestones!$AA$45)&lt;=AsOfDate,EDATE($D83,Milestones!$AA$45)&gt;=SchemeStart,IF($X83=0,$AD83,IF(AND($Z83&lt;&gt;"",EDATE($D83,Milestones!$AA$45)&gt;=$Z83),$AC83,IF(AND($Y83&lt;&gt;"",EDATE($D83,Milestones!$AA$45)&gt;=$Y83),$AB83,$AA83)))=Milestones!$AB$45),UPPER(TEXT(EDATE($D83,Milestones!$AA$45),"dd mmm yy"))&amp;" "&amp;Milestones!$AB$45&amp;" "&amp;IF(AND(Milestones!$AB$45="FT",Milestones!$AA$45=FT_Y5,EDATE($D83,Milestones!$AA$45)&lt;PolicyEff),1,Milestones!$AC$45)&amp;";  ","")&amp;IF(AND(EDATE($D83,Milestones!$AA$46)&lt;=AsOfDate,EDATE($D83,Milestones!$AA$46)&gt;=SchemeStart,IF($X83=0,$AD83,IF(AND($Z83&lt;&gt;"",EDATE($D83,Milestones!$AA$46)&gt;=$Z83),$AC83,IF(AND($Y83&lt;&gt;"",EDATE($D83,Milestones!$AA$46)&gt;=$Y83),$AB83,$AA83)))=Milestones!$AB$46),UPPER(TEXT(EDATE($D83,Milestones!$AA$46),"dd mmm yy"))&amp;" "&amp;Milestones!$AB$46&amp;" "&amp;IF(AND(Milestones!$AB$46="FT",Milestones!$AA$46=FT_Y5,EDATE($D83,Milestones!$AA$46)&lt;PolicyEff),1,Milestones!$AC$46)&amp;";  ","")&amp;IF(AND(EDATE($D83,Milestones!$AA$47)&lt;=AsOfDate,EDATE($D83,Milestones!$AA$47)&gt;=SchemeStart,IF($X83=0,$AD83,IF(AND($Z83&lt;&gt;"",EDATE($D83,Milestones!$AA$47)&gt;=$Z83),$AC83,IF(AND($Y83&lt;&gt;"",EDATE($D83,Milestones!$AA$47)&gt;=$Y83),$AB83,$AA83)))=Milestones!$AB$47),UPPER(TEXT(EDATE($D83,Milestones!$AA$47),"dd mmm yy"))&amp;" "&amp;Milestones!$AB$47&amp;" "&amp;IF(AND(Milestones!$AB$47="FT",Milestones!$AA$47=FT_Y5,EDATE($D83,Milestones!$AA$47)&lt;PolicyEff),1,Milestones!$AC$47)&amp;";  ","")&amp;IF(AND(EDATE($D83,Milestones!$AA$48)&lt;=AsOfDate,EDATE($D83,Milestones!$AA$48)&gt;=SchemeStart,IF($X83=0,$AD83,IF(AND($Z83&lt;&gt;"",EDATE($D83,Milestones!$AA$48)&gt;=$Z83),$AC83,IF(AND($Y83&lt;&gt;"",EDATE($D83,Milestones!$AA$48)&gt;=$Y83),$AB83,$AA83)))=Milestones!$AB$48),UPPER(TEXT(EDATE($D83,Milestones!$AA$48),"dd mmm yy"))&amp;" "&amp;Milestones!$AB$48&amp;" "&amp;IF(AND(Milestones!$AB$48="FT",Milestones!$AA$48=FT_Y5,EDATE($D83,Milestones!$AA$48)&lt;PolicyEff),1,Milestones!$AC$48)&amp;";  ","")&amp;IF(AND(EDATE($D83,Milestones!$AA$49)&lt;=AsOfDate,EDATE($D83,Milestones!$AA$49)&gt;=SchemeStart,IF($X83=0,$AD83,IF(AND($Z83&lt;&gt;"",EDATE($D83,Milestones!$AA$49)&gt;=$Z83),$AC83,IF(AND($Y83&lt;&gt;"",EDATE($D83,Milestones!$AA$49)&gt;=$Y83),$AB83,$AA83)))=Milestones!$AB$49),UPPER(TEXT(EDATE($D83,Milestones!$AA$49),"dd mmm yy"))&amp;" "&amp;Milestones!$AB$49&amp;" "&amp;IF(AND(Milestones!$AB$49="FT",Milestones!$AA$49=FT_Y5,EDATE($D83,Milestones!$AA$49)&lt;PolicyEff),1,Milestones!$AC$49)&amp;";  ","")&amp;IF(AND(EDATE($D83,Milestones!$AA$50)&lt;=AsOfDate,EDATE($D83,Milestones!$AA$50)&gt;=SchemeStart,IF($X83=0,$AD83,IF(AND($Z83&lt;&gt;"",EDATE($D83,Milestones!$AA$50)&gt;=$Z83),$AC83,IF(AND($Y83&lt;&gt;"",EDATE($D83,Milestones!$AA$50)&gt;=$Y83),$AB83,$AA83)))=Milestones!$AB$50),UPPER(TEXT(EDATE($D83,Milestones!$AA$50),"dd mmm yy"))&amp;" "&amp;Milestones!$AB$50&amp;" "&amp;IF(AND(Milestones!$AB$50="FT",Milestones!$AA$50=FT_Y5,EDATE($D83,Milestones!$AA$50)&lt;PolicyEff),1,Milestones!$AC$50)&amp;";  ","")&amp;IF(AND(EDATE($D83,Milestones!$AA$51)&lt;=AsOfDate,EDATE($D83,Milestones!$AA$51)&gt;=SchemeStart,IF($X83=0,$AD83,IF(AND($Z83&lt;&gt;"",EDATE($D83,Milestones!$AA$51)&gt;=$Z83),$AC83,IF(AND($Y83&lt;&gt;"",EDATE($D83,Milestones!$AA$51)&gt;=$Y83),$AB83,$AA83)))=Milestones!$AB$51),UPPER(TEXT(EDATE($D83,Milestones!$AA$51),"dd mmm yy"))&amp;" "&amp;Milestones!$AB$51&amp;" "&amp;IF(AND(Milestones!$AB$51="FT",Milestones!$AA$51=FT_Y5,EDATE($D83,Milestones!$AA$51)&lt;PolicyEff),1,Milestones!$AC$51)&amp;";  ","")&amp;IF(AND(EDATE($D83,Milestones!$AA$52)&lt;=AsOfDate,EDATE($D83,Milestones!$AA$52)&gt;=SchemeStart,IF($X83=0,$AD83,IF(AND($Z83&lt;&gt;"",EDATE($D83,Milestones!$AA$52)&gt;=$Z83),$AC83,IF(AND($Y83&lt;&gt;"",EDATE($D83,Milestones!$AA$52)&gt;=$Y83),$AB83,$AA83)))=Milestones!$AB$52),UPPER(TEXT(EDATE($D83,Milestones!$AA$52),"dd mmm yy"))&amp;" "&amp;Milestones!$AB$52&amp;" "&amp;IF(AND(Milestones!$AB$52="FT",Milestones!$AA$52=FT_Y5,EDATE($D83,Milestones!$AA$52)&lt;PolicyEff),1,Milestones!$AC$52)&amp;";  ","")&amp;IF(AND(EDATE($D83,Milestones!$AA$53)&lt;=AsOfDate,EDATE($D83,Milestones!$AA$53)&gt;=SchemeStart,IF($X83=0,$AD83,IF(AND($Z83&lt;&gt;"",EDATE($D83,Milestones!$AA$53)&gt;=$Z83),$AC83,IF(AND($Y83&lt;&gt;"",EDATE($D83,Milestones!$AA$53)&gt;=$Y83),$AB83,$AA83)))=Milestones!$AB$53),UPPER(TEXT(EDATE($D83,Milestones!$AA$53),"dd mmm yy"))&amp;" "&amp;Milestones!$AB$53&amp;" "&amp;IF(AND(Milestones!$AB$53="FT",Milestones!$AA$53=FT_Y5,EDATE($D83,Milestones!$AA$53)&lt;PolicyEff),1,Milestones!$AC$53)&amp;";  ","")&amp;IF(AND(EDATE($D83,Milestones!$AA$54)&lt;=AsOfDate,EDATE($D83,Milestones!$AA$54)&gt;=SchemeStart,IF($X83=0,$AD83,IF(AND($Z83&lt;&gt;"",EDATE($D83,Milestones!$AA$54)&gt;=$Z83),$AC83,IF(AND($Y83&lt;&gt;"",EDATE($D83,Milestones!$AA$54)&gt;=$Y83),$AB83,$AA83)))=Milestones!$AB$54),UPPER(TEXT(EDATE($D83,Milestones!$AA$54),"dd mmm yy"))&amp;" "&amp;Milestones!$AB$54&amp;" "&amp;IF(AND(Milestones!$AB$54="FT",Milestones!$AA$54=FT_Y5,EDATE($D83,Milestones!$AA$54)&lt;PolicyEff),1,Milestones!$AC$54)&amp;";  ","")&amp;IF(AND(EDATE($D83,Milestones!$AA$55)&lt;=AsOfDate,EDATE($D83,Milestones!$AA$55)&gt;=SchemeStart,IF($X83=0,$AD83,IF(AND($Z83&lt;&gt;"",EDATE($D83,Milestones!$AA$55)&gt;=$Z83),$AC83,IF(AND($Y83&lt;&gt;"",EDATE($D83,Milestones!$AA$55)&gt;=$Y83),$AB83,$AA83)))=Milestones!$AB$55),UPPER(TEXT(EDATE($D83,Milestones!$AA$55),"dd mmm yy"))&amp;" "&amp;Milestones!$AB$55&amp;" "&amp;IF(AND(Milestones!$AB$55="FT",Milestones!$AA$55=FT_Y5,EDATE($D83,Milestones!$AA$55)&lt;PolicyEff),1,Milestones!$AC$55)&amp;";  ",""))</f>
        <v/>
      </c>
      <c r="L83" s="0" t="str">
        <f aca="false">IF(OR($A83="",$D83=""),"",IF(AND(EDATE($D83,Milestones!$AA$56)&lt;=AsOfDate,EDATE($D83,Milestones!$AA$56)&gt;=SchemeStart,IF($X83=0,$AD83,IF(AND($Z83&lt;&gt;"",EDATE($D83,Milestones!$AA$56)&gt;=$Z83),$AC83,IF(AND($Y83&lt;&gt;"",EDATE($D83,Milestones!$AA$56)&gt;=$Y83),$AB83,$AA83)))=Milestones!$AB$56),UPPER(TEXT(EDATE($D83,Milestones!$AA$56),"dd mmm yy"))&amp;" "&amp;Milestones!$AB$56&amp;" "&amp;IF(AND(Milestones!$AB$56="FT",Milestones!$AA$56=FT_Y5,EDATE($D83,Milestones!$AA$56)&lt;PolicyEff),1,Milestones!$AC$56)&amp;";  ","")&amp;IF(AND(EDATE($D83,Milestones!$AA$57)&lt;=AsOfDate,EDATE($D83,Milestones!$AA$57)&gt;=SchemeStart,IF($X83=0,$AD83,IF(AND($Z83&lt;&gt;"",EDATE($D83,Milestones!$AA$57)&gt;=$Z83),$AC83,IF(AND($Y83&lt;&gt;"",EDATE($D83,Milestones!$AA$57)&gt;=$Y83),$AB83,$AA83)))=Milestones!$AB$57),UPPER(TEXT(EDATE($D83,Milestones!$AA$57),"dd mmm yy"))&amp;" "&amp;Milestones!$AB$57&amp;" "&amp;IF(AND(Milestones!$AB$57="FT",Milestones!$AA$57=FT_Y5,EDATE($D83,Milestones!$AA$57)&lt;PolicyEff),1,Milestones!$AC$57)&amp;";  ","")&amp;IF(AND(EDATE($D83,Milestones!$AA$58)&lt;=AsOfDate,EDATE($D83,Milestones!$AA$58)&gt;=SchemeStart,IF($X83=0,$AD83,IF(AND($Z83&lt;&gt;"",EDATE($D83,Milestones!$AA$58)&gt;=$Z83),$AC83,IF(AND($Y83&lt;&gt;"",EDATE($D83,Milestones!$AA$58)&gt;=$Y83),$AB83,$AA83)))=Milestones!$AB$58),UPPER(TEXT(EDATE($D83,Milestones!$AA$58),"dd mmm yy"))&amp;" "&amp;Milestones!$AB$58&amp;" "&amp;IF(AND(Milestones!$AB$58="FT",Milestones!$AA$58=FT_Y5,EDATE($D83,Milestones!$AA$58)&lt;PolicyEff),1,Milestones!$AC$58)&amp;";  ","")&amp;IF(AND(EDATE($D83,Milestones!$AA$59)&lt;=AsOfDate,EDATE($D83,Milestones!$AA$59)&gt;=SchemeStart,IF($X83=0,$AD83,IF(AND($Z83&lt;&gt;"",EDATE($D83,Milestones!$AA$59)&gt;=$Z83),$AC83,IF(AND($Y83&lt;&gt;"",EDATE($D83,Milestones!$AA$59)&gt;=$Y83),$AB83,$AA83)))=Milestones!$AB$59),UPPER(TEXT(EDATE($D83,Milestones!$AA$59),"dd mmm yy"))&amp;" "&amp;Milestones!$AB$59&amp;" "&amp;IF(AND(Milestones!$AB$59="FT",Milestones!$AA$59=FT_Y5,EDATE($D83,Milestones!$AA$59)&lt;PolicyEff),1,Milestones!$AC$59)&amp;";  ","")&amp;IF(AND(EDATE($D83,Milestones!$AA$60)&lt;=AsOfDate,EDATE($D83,Milestones!$AA$60)&gt;=SchemeStart,IF($X83=0,$AD83,IF(AND($Z83&lt;&gt;"",EDATE($D83,Milestones!$AA$60)&gt;=$Z83),$AC83,IF(AND($Y83&lt;&gt;"",EDATE($D83,Milestones!$AA$60)&gt;=$Y83),$AB83,$AA83)))=Milestones!$AB$60),UPPER(TEXT(EDATE($D83,Milestones!$AA$60),"dd mmm yy"))&amp;" "&amp;Milestones!$AB$60&amp;" "&amp;IF(AND(Milestones!$AB$60="FT",Milestones!$AA$60=FT_Y5,EDATE($D83,Milestones!$AA$60)&lt;PolicyEff),1,Milestones!$AC$60)&amp;";  ","")&amp;IF(AND(EDATE($D83,Milestones!$AA$61)&lt;=AsOfDate,EDATE($D83,Milestones!$AA$61)&gt;=SchemeStart,IF($X83=0,$AD83,IF(AND($Z83&lt;&gt;"",EDATE($D83,Milestones!$AA$61)&gt;=$Z83),$AC83,IF(AND($Y83&lt;&gt;"",EDATE($D83,Milestones!$AA$61)&gt;=$Y83),$AB83,$AA83)))=Milestones!$AB$61),UPPER(TEXT(EDATE($D83,Milestones!$AA$61),"dd mmm yy"))&amp;" "&amp;Milestones!$AB$61&amp;" "&amp;IF(AND(Milestones!$AB$61="FT",Milestones!$AA$61=FT_Y5,EDATE($D83,Milestones!$AA$61)&lt;PolicyEff),1,Milestones!$AC$61)&amp;";  ","")&amp;IF(AND(EDATE($D83,Milestones!$AA$62)&lt;=AsOfDate,EDATE($D83,Milestones!$AA$62)&gt;=SchemeStart,IF($X83=0,$AD83,IF(AND($Z83&lt;&gt;"",EDATE($D83,Milestones!$AA$62)&gt;=$Z83),$AC83,IF(AND($Y83&lt;&gt;"",EDATE($D83,Milestones!$AA$62)&gt;=$Y83),$AB83,$AA83)))=Milestones!$AB$62),UPPER(TEXT(EDATE($D83,Milestones!$AA$62),"dd mmm yy"))&amp;" "&amp;Milestones!$AB$62&amp;" "&amp;IF(AND(Milestones!$AB$62="FT",Milestones!$AA$62=FT_Y5,EDATE($D83,Milestones!$AA$62)&lt;PolicyEff),1,Milestones!$AC$62)&amp;";  ","")&amp;IF(AND(EDATE($D83,Milestones!$AA$63)&lt;=AsOfDate,EDATE($D83,Milestones!$AA$63)&gt;=SchemeStart,IF($X83=0,$AD83,IF(AND($Z83&lt;&gt;"",EDATE($D83,Milestones!$AA$63)&gt;=$Z83),$AC83,IF(AND($Y83&lt;&gt;"",EDATE($D83,Milestones!$AA$63)&gt;=$Y83),$AB83,$AA83)))=Milestones!$AB$63),UPPER(TEXT(EDATE($D83,Milestones!$AA$63),"dd mmm yy"))&amp;" "&amp;Milestones!$AB$63&amp;" "&amp;IF(AND(Milestones!$AB$63="FT",Milestones!$AA$63=FT_Y5,EDATE($D83,Milestones!$AA$63)&lt;PolicyEff),1,Milestones!$AC$63)&amp;";  ","")&amp;IF(AND(EDATE($D83,Milestones!$AA$64)&lt;=AsOfDate,EDATE($D83,Milestones!$AA$64)&gt;=SchemeStart,IF($X83=0,$AD83,IF(AND($Z83&lt;&gt;"",EDATE($D83,Milestones!$AA$64)&gt;=$Z83),$AC83,IF(AND($Y83&lt;&gt;"",EDATE($D83,Milestones!$AA$64)&gt;=$Y83),$AB83,$AA83)))=Milestones!$AB$64),UPPER(TEXT(EDATE($D83,Milestones!$AA$64),"dd mmm yy"))&amp;" "&amp;Milestones!$AB$64&amp;" "&amp;IF(AND(Milestones!$AB$64="FT",Milestones!$AA$64=FT_Y5,EDATE($D83,Milestones!$AA$64)&lt;PolicyEff),1,Milestones!$AC$64)&amp;";  ","")&amp;IF(AND(EDATE($D83,Milestones!$AA$65)&lt;=AsOfDate,EDATE($D83,Milestones!$AA$65)&gt;=SchemeStart,IF($X83=0,$AD83,IF(AND($Z83&lt;&gt;"",EDATE($D83,Milestones!$AA$65)&gt;=$Z83),$AC83,IF(AND($Y83&lt;&gt;"",EDATE($D83,Milestones!$AA$65)&gt;=$Y83),$AB83,$AA83)))=Milestones!$AB$65),UPPER(TEXT(EDATE($D83,Milestones!$AA$65),"dd mmm yy"))&amp;" "&amp;Milestones!$AB$65&amp;" "&amp;IF(AND(Milestones!$AB$65="FT",Milestones!$AA$65=FT_Y5,EDATE($D83,Milestones!$AA$65)&lt;PolicyEff),1,Milestones!$AC$65)&amp;";  ","")&amp;IF(AND(EDATE($D83,Milestones!$AA$66)&lt;=AsOfDate,EDATE($D83,Milestones!$AA$66)&gt;=SchemeStart,IF($X83=0,$AD83,IF(AND($Z83&lt;&gt;"",EDATE($D83,Milestones!$AA$66)&gt;=$Z83),$AC83,IF(AND($Y83&lt;&gt;"",EDATE($D83,Milestones!$AA$66)&gt;=$Y83),$AB83,$AA83)))=Milestones!$AB$66),UPPER(TEXT(EDATE($D83,Milestones!$AA$66),"dd mmm yy"))&amp;" "&amp;Milestones!$AB$66&amp;" "&amp;IF(AND(Milestones!$AB$66="FT",Milestones!$AA$66=FT_Y5,EDATE($D83,Milestones!$AA$66)&lt;PolicyEff),1,Milestones!$AC$66)&amp;";  ","")&amp;IF(AND(EDATE($D83,Milestones!$AA$67)&lt;=AsOfDate,EDATE($D83,Milestones!$AA$67)&gt;=SchemeStart,IF($X83=0,$AD83,IF(AND($Z83&lt;&gt;"",EDATE($D83,Milestones!$AA$67)&gt;=$Z83),$AC83,IF(AND($Y83&lt;&gt;"",EDATE($D83,Milestones!$AA$67)&gt;=$Y83),$AB83,$AA83)))=Milestones!$AB$67),UPPER(TEXT(EDATE($D83,Milestones!$AA$67),"dd mmm yy"))&amp;" "&amp;Milestones!$AB$67&amp;" "&amp;IF(AND(Milestones!$AB$67="FT",Milestones!$AA$67=FT_Y5,EDATE($D83,Milestones!$AA$67)&lt;PolicyEff),1,Milestones!$AC$67)&amp;";  ",""))</f>
        <v/>
      </c>
      <c r="M83" s="0" t="str">
        <f aca="false">IF(OR($A83="",$D83=""),"",IF(AND(EDATE($D83,Milestones!$AA$68)&lt;=AsOfDate,EDATE($D83,Milestones!$AA$68)&gt;=SchemeStart,IF($X83=0,$AD83,IF(AND($Z83&lt;&gt;"",EDATE($D83,Milestones!$AA$68)&gt;=$Z83),$AC83,IF(AND($Y83&lt;&gt;"",EDATE($D83,Milestones!$AA$68)&gt;=$Y83),$AB83,$AA83)))=Milestones!$AB$68),UPPER(TEXT(EDATE($D83,Milestones!$AA$68),"dd mmm yy"))&amp;" "&amp;Milestones!$AB$68&amp;" "&amp;IF(AND(Milestones!$AB$68="FT",Milestones!$AA$68=FT_Y5,EDATE($D83,Milestones!$AA$68)&lt;PolicyEff),1,Milestones!$AC$68)&amp;";  ","")&amp;IF(AND(EDATE($D83,Milestones!$AA$69)&lt;=AsOfDate,EDATE($D83,Milestones!$AA$69)&gt;=SchemeStart,IF($X83=0,$AD83,IF(AND($Z83&lt;&gt;"",EDATE($D83,Milestones!$AA$69)&gt;=$Z83),$AC83,IF(AND($Y83&lt;&gt;"",EDATE($D83,Milestones!$AA$69)&gt;=$Y83),$AB83,$AA83)))=Milestones!$AB$69),UPPER(TEXT(EDATE($D83,Milestones!$AA$69),"dd mmm yy"))&amp;" "&amp;Milestones!$AB$69&amp;" "&amp;IF(AND(Milestones!$AB$69="FT",Milestones!$AA$69=FT_Y5,EDATE($D83,Milestones!$AA$69)&lt;PolicyEff),1,Milestones!$AC$69)&amp;";  ","")&amp;IF(AND(EDATE($D83,Milestones!$AA$70)&lt;=AsOfDate,EDATE($D83,Milestones!$AA$70)&gt;=SchemeStart,IF($X83=0,$AD83,IF(AND($Z83&lt;&gt;"",EDATE($D83,Milestones!$AA$70)&gt;=$Z83),$AC83,IF(AND($Y83&lt;&gt;"",EDATE($D83,Milestones!$AA$70)&gt;=$Y83),$AB83,$AA83)))=Milestones!$AB$70),UPPER(TEXT(EDATE($D83,Milestones!$AA$70),"dd mmm yy"))&amp;" "&amp;Milestones!$AB$70&amp;" "&amp;IF(AND(Milestones!$AB$70="FT",Milestones!$AA$70=FT_Y5,EDATE($D83,Milestones!$AA$70)&lt;PolicyEff),1,Milestones!$AC$70)&amp;";  ","")&amp;IF(AND(EDATE($D83,Milestones!$AA$71)&lt;=AsOfDate,EDATE($D83,Milestones!$AA$71)&gt;=SchemeStart,IF($X83=0,$AD83,IF(AND($Z83&lt;&gt;"",EDATE($D83,Milestones!$AA$71)&gt;=$Z83),$AC83,IF(AND($Y83&lt;&gt;"",EDATE($D83,Milestones!$AA$71)&gt;=$Y83),$AB83,$AA83)))=Milestones!$AB$71),UPPER(TEXT(EDATE($D83,Milestones!$AA$71),"dd mmm yy"))&amp;" "&amp;Milestones!$AB$71&amp;" "&amp;IF(AND(Milestones!$AB$71="FT",Milestones!$AA$71=FT_Y5,EDATE($D83,Milestones!$AA$71)&lt;PolicyEff),1,Milestones!$AC$71)&amp;";  ","")&amp;IF(AND(EDATE($D83,Milestones!$AA$72)&lt;=AsOfDate,EDATE($D83,Milestones!$AA$72)&gt;=SchemeStart,IF($X83=0,$AD83,IF(AND($Z83&lt;&gt;"",EDATE($D83,Milestones!$AA$72)&gt;=$Z83),$AC83,IF(AND($Y83&lt;&gt;"",EDATE($D83,Milestones!$AA$72)&gt;=$Y83),$AB83,$AA83)))=Milestones!$AB$72),UPPER(TEXT(EDATE($D83,Milestones!$AA$72),"dd mmm yy"))&amp;" "&amp;Milestones!$AB$72&amp;" "&amp;IF(AND(Milestones!$AB$72="FT",Milestones!$AA$72=FT_Y5,EDATE($D83,Milestones!$AA$72)&lt;PolicyEff),1,Milestones!$AC$72)&amp;";  ","")&amp;IF(AND(EDATE($D83,Milestones!$AA$73)&lt;=AsOfDate,EDATE($D83,Milestones!$AA$73)&gt;=SchemeStart,IF($X83=0,$AD83,IF(AND($Z83&lt;&gt;"",EDATE($D83,Milestones!$AA$73)&gt;=$Z83),$AC83,IF(AND($Y83&lt;&gt;"",EDATE($D83,Milestones!$AA$73)&gt;=$Y83),$AB83,$AA83)))=Milestones!$AB$73),UPPER(TEXT(EDATE($D83,Milestones!$AA$73),"dd mmm yy"))&amp;" "&amp;Milestones!$AB$73&amp;" "&amp;IF(AND(Milestones!$AB$73="FT",Milestones!$AA$73=FT_Y5,EDATE($D83,Milestones!$AA$73)&lt;PolicyEff),1,Milestones!$AC$73)&amp;";  ","")&amp;IF(AND(EDATE($D83,Milestones!$AA$74)&lt;=AsOfDate,EDATE($D83,Milestones!$AA$74)&gt;=SchemeStart,IF($X83=0,$AD83,IF(AND($Z83&lt;&gt;"",EDATE($D83,Milestones!$AA$74)&gt;=$Z83),$AC83,IF(AND($Y83&lt;&gt;"",EDATE($D83,Milestones!$AA$74)&gt;=$Y83),$AB83,$AA83)))=Milestones!$AB$74),UPPER(TEXT(EDATE($D83,Milestones!$AA$74),"dd mmm yy"))&amp;" "&amp;Milestones!$AB$74&amp;" "&amp;IF(AND(Milestones!$AB$74="FT",Milestones!$AA$74=FT_Y5,EDATE($D83,Milestones!$AA$74)&lt;PolicyEff),1,Milestones!$AC$74)&amp;";  ","")&amp;IF(AND(EDATE($D83,Milestones!$AA$75)&lt;=AsOfDate,EDATE($D83,Milestones!$AA$75)&gt;=SchemeStart,IF($X83=0,$AD83,IF(AND($Z83&lt;&gt;"",EDATE($D83,Milestones!$AA$75)&gt;=$Z83),$AC83,IF(AND($Y83&lt;&gt;"",EDATE($D83,Milestones!$AA$75)&gt;=$Y83),$AB83,$AA83)))=Milestones!$AB$75),UPPER(TEXT(EDATE($D83,Milestones!$AA$75),"dd mmm yy"))&amp;" "&amp;Milestones!$AB$75&amp;" "&amp;IF(AND(Milestones!$AB$75="FT",Milestones!$AA$75=FT_Y5,EDATE($D83,Milestones!$AA$75)&lt;PolicyEff),1,Milestones!$AC$75)&amp;";  ","")&amp;IF(AND(EDATE($D83,Milestones!$AA$76)&lt;=AsOfDate,EDATE($D83,Milestones!$AA$76)&gt;=SchemeStart,IF($X83=0,$AD83,IF(AND($Z83&lt;&gt;"",EDATE($D83,Milestones!$AA$76)&gt;=$Z83),$AC83,IF(AND($Y83&lt;&gt;"",EDATE($D83,Milestones!$AA$76)&gt;=$Y83),$AB83,$AA83)))=Milestones!$AB$76),UPPER(TEXT(EDATE($D83,Milestones!$AA$76),"dd mmm yy"))&amp;" "&amp;Milestones!$AB$76&amp;" "&amp;IF(AND(Milestones!$AB$76="FT",Milestones!$AA$76=FT_Y5,EDATE($D83,Milestones!$AA$76)&lt;PolicyEff),1,Milestones!$AC$76)&amp;";  ","")&amp;IF(AND(EDATE($D83,Milestones!$AA$77)&lt;=AsOfDate,EDATE($D83,Milestones!$AA$77)&gt;=SchemeStart,IF($X83=0,$AD83,IF(AND($Z83&lt;&gt;"",EDATE($D83,Milestones!$AA$77)&gt;=$Z83),$AC83,IF(AND($Y83&lt;&gt;"",EDATE($D83,Milestones!$AA$77)&gt;=$Y83),$AB83,$AA83)))=Milestones!$AB$77),UPPER(TEXT(EDATE($D83,Milestones!$AA$77),"dd mmm yy"))&amp;" "&amp;Milestones!$AB$77&amp;" "&amp;IF(AND(Milestones!$AB$77="FT",Milestones!$AA$77=FT_Y5,EDATE($D83,Milestones!$AA$77)&lt;PolicyEff),1,Milestones!$AC$77)&amp;";  ","")&amp;IF(AND(EDATE($D83,Milestones!$AA$78)&lt;=AsOfDate,EDATE($D83,Milestones!$AA$78)&gt;=SchemeStart,IF($X83=0,$AD83,IF(AND($Z83&lt;&gt;"",EDATE($D83,Milestones!$AA$78)&gt;=$Z83),$AC83,IF(AND($Y83&lt;&gt;"",EDATE($D83,Milestones!$AA$78)&gt;=$Y83),$AB83,$AA83)))=Milestones!$AB$78),UPPER(TEXT(EDATE($D83,Milestones!$AA$78),"dd mmm yy"))&amp;" "&amp;Milestones!$AB$78&amp;" "&amp;IF(AND(Milestones!$AB$78="FT",Milestones!$AA$78=FT_Y5,EDATE($D83,Milestones!$AA$78)&lt;PolicyEff),1,Milestones!$AC$78)&amp;";  ","")&amp;IF(AND(EDATE($D83,Milestones!$AA$79)&lt;=AsOfDate,EDATE($D83,Milestones!$AA$79)&gt;=SchemeStart,IF($X83=0,$AD83,IF(AND($Z83&lt;&gt;"",EDATE($D83,Milestones!$AA$79)&gt;=$Z83),$AC83,IF(AND($Y83&lt;&gt;"",EDATE($D83,Milestones!$AA$79)&gt;=$Y83),$AB83,$AA83)))=Milestones!$AB$79),UPPER(TEXT(EDATE($D83,Milestones!$AA$79),"dd mmm yy"))&amp;" "&amp;Milestones!$AB$79&amp;" "&amp;IF(AND(Milestones!$AB$79="FT",Milestones!$AA$79=FT_Y5,EDATE($D83,Milestones!$AA$79)&lt;PolicyEff),1,Milestones!$AC$79)&amp;";  ",""))</f>
        <v/>
      </c>
      <c r="N83" s="0" t="str">
        <f aca="false">IF(OR($A83="",$D83=""),"",IF(AND(EDATE($D83,Milestones!$AA$80)&lt;=AsOfDate,EDATE($D83,Milestones!$AA$80)&gt;=SchemeStart,IF($X83=0,$AD83,IF(AND($Z83&lt;&gt;"",EDATE($D83,Milestones!$AA$80)&gt;=$Z83),$AC83,IF(AND($Y83&lt;&gt;"",EDATE($D83,Milestones!$AA$80)&gt;=$Y83),$AB83,$AA83)))=Milestones!$AB$80),UPPER(TEXT(EDATE($D83,Milestones!$AA$80),"dd mmm yy"))&amp;" "&amp;Milestones!$AB$80&amp;" "&amp;IF(AND(Milestones!$AB$80="FT",Milestones!$AA$80=FT_Y5,EDATE($D83,Milestones!$AA$80)&lt;PolicyEff),1,Milestones!$AC$80)&amp;";  ","")&amp;IF(AND(EDATE($D83,Milestones!$AA$81)&lt;=AsOfDate,EDATE($D83,Milestones!$AA$81)&gt;=SchemeStart,IF($X83=0,$AD83,IF(AND($Z83&lt;&gt;"",EDATE($D83,Milestones!$AA$81)&gt;=$Z83),$AC83,IF(AND($Y83&lt;&gt;"",EDATE($D83,Milestones!$AA$81)&gt;=$Y83),$AB83,$AA83)))=Milestones!$AB$81),UPPER(TEXT(EDATE($D83,Milestones!$AA$81),"dd mmm yy"))&amp;" "&amp;Milestones!$AB$81&amp;" "&amp;IF(AND(Milestones!$AB$81="FT",Milestones!$AA$81=FT_Y5,EDATE($D83,Milestones!$AA$81)&lt;PolicyEff),1,Milestones!$AC$81)&amp;";  ","")&amp;IF(AND(EDATE($D83,Milestones!$AA$82)&lt;=AsOfDate,EDATE($D83,Milestones!$AA$82)&gt;=SchemeStart,IF($X83=0,$AD83,IF(AND($Z83&lt;&gt;"",EDATE($D83,Milestones!$AA$82)&gt;=$Z83),$AC83,IF(AND($Y83&lt;&gt;"",EDATE($D83,Milestones!$AA$82)&gt;=$Y83),$AB83,$AA83)))=Milestones!$AB$82),UPPER(TEXT(EDATE($D83,Milestones!$AA$82),"dd mmm yy"))&amp;" "&amp;Milestones!$AB$82&amp;" "&amp;IF(AND(Milestones!$AB$82="FT",Milestones!$AA$82=FT_Y5,EDATE($D83,Milestones!$AA$82)&lt;PolicyEff),1,Milestones!$AC$82)&amp;";  ","")&amp;IF(AND(EDATE($D83,Milestones!$AA$83)&lt;=AsOfDate,EDATE($D83,Milestones!$AA$83)&gt;=SchemeStart,IF($X83=0,$AD83,IF(AND($Z83&lt;&gt;"",EDATE($D83,Milestones!$AA$83)&gt;=$Z83),$AC83,IF(AND($Y83&lt;&gt;"",EDATE($D83,Milestones!$AA$83)&gt;=$Y83),$AB83,$AA83)))=Milestones!$AB$83),UPPER(TEXT(EDATE($D83,Milestones!$AA$83),"dd mmm yy"))&amp;" "&amp;Milestones!$AB$83&amp;" "&amp;IF(AND(Milestones!$AB$83="FT",Milestones!$AA$83=FT_Y5,EDATE($D83,Milestones!$AA$83)&lt;PolicyEff),1,Milestones!$AC$83)&amp;";  ","")&amp;IF(AND(EDATE($D83,Milestones!$AA$84)&lt;=AsOfDate,EDATE($D83,Milestones!$AA$84)&gt;=SchemeStart,IF($X83=0,$AD83,IF(AND($Z83&lt;&gt;"",EDATE($D83,Milestones!$AA$84)&gt;=$Z83),$AC83,IF(AND($Y83&lt;&gt;"",EDATE($D83,Milestones!$AA$84)&gt;=$Y83),$AB83,$AA83)))=Milestones!$AB$84),UPPER(TEXT(EDATE($D83,Milestones!$AA$84),"dd mmm yy"))&amp;" "&amp;Milestones!$AB$84&amp;" "&amp;IF(AND(Milestones!$AB$84="FT",Milestones!$AA$84=FT_Y5,EDATE($D83,Milestones!$AA$84)&lt;PolicyEff),1,Milestones!$AC$84)&amp;";  ","")&amp;IF(AND(EDATE($D83,Milestones!$AA$85)&lt;=AsOfDate,EDATE($D83,Milestones!$AA$85)&gt;=SchemeStart,IF($X83=0,$AD83,IF(AND($Z83&lt;&gt;"",EDATE($D83,Milestones!$AA$85)&gt;=$Z83),$AC83,IF(AND($Y83&lt;&gt;"",EDATE($D83,Milestones!$AA$85)&gt;=$Y83),$AB83,$AA83)))=Milestones!$AB$85),UPPER(TEXT(EDATE($D83,Milestones!$AA$85),"dd mmm yy"))&amp;" "&amp;Milestones!$AB$85&amp;" "&amp;IF(AND(Milestones!$AB$85="FT",Milestones!$AA$85=FT_Y5,EDATE($D83,Milestones!$AA$85)&lt;PolicyEff),1,Milestones!$AC$85)&amp;";  ","")&amp;IF(AND(EDATE($D83,Milestones!$AA$86)&lt;=AsOfDate,EDATE($D83,Milestones!$AA$86)&gt;=SchemeStart,IF($X83=0,$AD83,IF(AND($Z83&lt;&gt;"",EDATE($D83,Milestones!$AA$86)&gt;=$Z83),$AC83,IF(AND($Y83&lt;&gt;"",EDATE($D83,Milestones!$AA$86)&gt;=$Y83),$AB83,$AA83)))=Milestones!$AB$86),UPPER(TEXT(EDATE($D83,Milestones!$AA$86),"dd mmm yy"))&amp;" "&amp;Milestones!$AB$86&amp;" "&amp;IF(AND(Milestones!$AB$86="FT",Milestones!$AA$86=FT_Y5,EDATE($D83,Milestones!$AA$86)&lt;PolicyEff),1,Milestones!$AC$86)&amp;";  ","")&amp;IF(AND(EDATE($D83,Milestones!$AA$87)&lt;=AsOfDate,EDATE($D83,Milestones!$AA$87)&gt;=SchemeStart,IF($X83=0,$AD83,IF(AND($Z83&lt;&gt;"",EDATE($D83,Milestones!$AA$87)&gt;=$Z83),$AC83,IF(AND($Y83&lt;&gt;"",EDATE($D83,Milestones!$AA$87)&gt;=$Y83),$AB83,$AA83)))=Milestones!$AB$87),UPPER(TEXT(EDATE($D83,Milestones!$AA$87),"dd mmm yy"))&amp;" "&amp;Milestones!$AB$87&amp;" "&amp;IF(AND(Milestones!$AB$87="FT",Milestones!$AA$87=FT_Y5,EDATE($D83,Milestones!$AA$87)&lt;PolicyEff),1,Milestones!$AC$87)&amp;";  ","")&amp;IF(AND(EDATE($D83,Milestones!$AA$88)&lt;=AsOfDate,EDATE($D83,Milestones!$AA$88)&gt;=SchemeStart,IF($X83=0,$AD83,IF(AND($Z83&lt;&gt;"",EDATE($D83,Milestones!$AA$88)&gt;=$Z83),$AC83,IF(AND($Y83&lt;&gt;"",EDATE($D83,Milestones!$AA$88)&gt;=$Y83),$AB83,$AA83)))=Milestones!$AB$88),UPPER(TEXT(EDATE($D83,Milestones!$AA$88),"dd mmm yy"))&amp;" "&amp;Milestones!$AB$88&amp;" "&amp;IF(AND(Milestones!$AB$88="FT",Milestones!$AA$88=FT_Y5,EDATE($D83,Milestones!$AA$88)&lt;PolicyEff),1,Milestones!$AC$88)&amp;";  ","")&amp;IF(AND(EDATE($D83,Milestones!$AA$89)&lt;=AsOfDate,EDATE($D83,Milestones!$AA$89)&gt;=SchemeStart,IF($X83=0,$AD83,IF(AND($Z83&lt;&gt;"",EDATE($D83,Milestones!$AA$89)&gt;=$Z83),$AC83,IF(AND($Y83&lt;&gt;"",EDATE($D83,Milestones!$AA$89)&gt;=$Y83),$AB83,$AA83)))=Milestones!$AB$89),UPPER(TEXT(EDATE($D83,Milestones!$AA$89),"dd mmm yy"))&amp;" "&amp;Milestones!$AB$89&amp;" "&amp;IF(AND(Milestones!$AB$89="FT",Milestones!$AA$89=FT_Y5,EDATE($D83,Milestones!$AA$89)&lt;PolicyEff),1,Milestones!$AC$89)&amp;";  ","")&amp;IF(AND(EDATE($D83,Milestones!$AA$90)&lt;=AsOfDate,EDATE($D83,Milestones!$AA$90)&gt;=SchemeStart,IF($X83=0,$AD83,IF(AND($Z83&lt;&gt;"",EDATE($D83,Milestones!$AA$90)&gt;=$Z83),$AC83,IF(AND($Y83&lt;&gt;"",EDATE($D83,Milestones!$AA$90)&gt;=$Y83),$AB83,$AA83)))=Milestones!$AB$90),UPPER(TEXT(EDATE($D83,Milestones!$AA$90),"dd mmm yy"))&amp;" "&amp;Milestones!$AB$90&amp;" "&amp;IF(AND(Milestones!$AB$90="FT",Milestones!$AA$90=FT_Y5,EDATE($D83,Milestones!$AA$90)&lt;PolicyEff),1,Milestones!$AC$90)&amp;";  ","")&amp;IF(AND(EDATE($D83,Milestones!$AA$91)&lt;=AsOfDate,EDATE($D83,Milestones!$AA$91)&gt;=SchemeStart,IF($X83=0,$AD83,IF(AND($Z83&lt;&gt;"",EDATE($D83,Milestones!$AA$91)&gt;=$Z83),$AC83,IF(AND($Y83&lt;&gt;"",EDATE($D83,Milestones!$AA$91)&gt;=$Y83),$AB83,$AA83)))=Milestones!$AB$91),UPPER(TEXT(EDATE($D83,Milestones!$AA$91),"dd mmm yy"))&amp;" "&amp;Milestones!$AB$91&amp;" "&amp;IF(AND(Milestones!$AB$91="FT",Milestones!$AA$91=FT_Y5,EDATE($D83,Milestones!$AA$91)&lt;PolicyEff),1,Milestones!$AC$91)&amp;";  ",""))</f>
        <v/>
      </c>
      <c r="O83" s="0" t="str">
        <f aca="false">IF(OR($A83="",$D83=""),"",IF(AND(EDATE($D83,Milestones!$AA$92)&lt;=AsOfDate,EDATE($D83,Milestones!$AA$92)&gt;=SchemeStart,IF($X83=0,$AD83,IF(AND($Z83&lt;&gt;"",EDATE($D83,Milestones!$AA$92)&gt;=$Z83),$AC83,IF(AND($Y83&lt;&gt;"",EDATE($D83,Milestones!$AA$92)&gt;=$Y83),$AB83,$AA83)))=Milestones!$AB$92),UPPER(TEXT(EDATE($D83,Milestones!$AA$92),"dd mmm yy"))&amp;" "&amp;Milestones!$AB$92&amp;" "&amp;IF(AND(Milestones!$AB$92="FT",Milestones!$AA$92=FT_Y5,EDATE($D83,Milestones!$AA$92)&lt;PolicyEff),1,Milestones!$AC$92)&amp;";  ","")&amp;IF(AND(EDATE($D83,Milestones!$AA$93)&lt;=AsOfDate,EDATE($D83,Milestones!$AA$93)&gt;=SchemeStart,IF($X83=0,$AD83,IF(AND($Z83&lt;&gt;"",EDATE($D83,Milestones!$AA$93)&gt;=$Z83),$AC83,IF(AND($Y83&lt;&gt;"",EDATE($D83,Milestones!$AA$93)&gt;=$Y83),$AB83,$AA83)))=Milestones!$AB$93),UPPER(TEXT(EDATE($D83,Milestones!$AA$93),"dd mmm yy"))&amp;" "&amp;Milestones!$AB$93&amp;" "&amp;IF(AND(Milestones!$AB$93="FT",Milestones!$AA$93=FT_Y5,EDATE($D83,Milestones!$AA$93)&lt;PolicyEff),1,Milestones!$AC$93)&amp;";  ","")&amp;IF(AND(EDATE($D83,Milestones!$AA$94)&lt;=AsOfDate,EDATE($D83,Milestones!$AA$94)&gt;=SchemeStart,IF($X83=0,$AD83,IF(AND($Z83&lt;&gt;"",EDATE($D83,Milestones!$AA$94)&gt;=$Z83),$AC83,IF(AND($Y83&lt;&gt;"",EDATE($D83,Milestones!$AA$94)&gt;=$Y83),$AB83,$AA83)))=Milestones!$AB$94),UPPER(TEXT(EDATE($D83,Milestones!$AA$94),"dd mmm yy"))&amp;" "&amp;Milestones!$AB$94&amp;" "&amp;IF(AND(Milestones!$AB$94="FT",Milestones!$AA$94=FT_Y5,EDATE($D83,Milestones!$AA$94)&lt;PolicyEff),1,Milestones!$AC$94)&amp;";  ","")&amp;IF(AND(EDATE($D83,Milestones!$AA$95)&lt;=AsOfDate,EDATE($D83,Milestones!$AA$95)&gt;=SchemeStart,IF($X83=0,$AD83,IF(AND($Z83&lt;&gt;"",EDATE($D83,Milestones!$AA$95)&gt;=$Z83),$AC83,IF(AND($Y83&lt;&gt;"",EDATE($D83,Milestones!$AA$95)&gt;=$Y83),$AB83,$AA83)))=Milestones!$AB$95),UPPER(TEXT(EDATE($D83,Milestones!$AA$95),"dd mmm yy"))&amp;" "&amp;Milestones!$AB$95&amp;" "&amp;IF(AND(Milestones!$AB$95="FT",Milestones!$AA$95=FT_Y5,EDATE($D83,Milestones!$AA$95)&lt;PolicyEff),1,Milestones!$AC$95)&amp;";  ","")&amp;IF(AND(EDATE($D83,Milestones!$AA$96)&lt;=AsOfDate,EDATE($D83,Milestones!$AA$96)&gt;=SchemeStart,IF($X83=0,$AD83,IF(AND($Z83&lt;&gt;"",EDATE($D83,Milestones!$AA$96)&gt;=$Z83),$AC83,IF(AND($Y83&lt;&gt;"",EDATE($D83,Milestones!$AA$96)&gt;=$Y83),$AB83,$AA83)))=Milestones!$AB$96),UPPER(TEXT(EDATE($D83,Milestones!$AA$96),"dd mmm yy"))&amp;" "&amp;Milestones!$AB$96&amp;" "&amp;IF(AND(Milestones!$AB$96="FT",Milestones!$AA$96=FT_Y5,EDATE($D83,Milestones!$AA$96)&lt;PolicyEff),1,Milestones!$AC$96)&amp;";  ","")&amp;IF(AND(EDATE($D83,Milestones!$AA$97)&lt;=AsOfDate,EDATE($D83,Milestones!$AA$97)&gt;=SchemeStart,IF($X83=0,$AD83,IF(AND($Z83&lt;&gt;"",EDATE($D83,Milestones!$AA$97)&gt;=$Z83),$AC83,IF(AND($Y83&lt;&gt;"",EDATE($D83,Milestones!$AA$97)&gt;=$Y83),$AB83,$AA83)))=Milestones!$AB$97),UPPER(TEXT(EDATE($D83,Milestones!$AA$97),"dd mmm yy"))&amp;" "&amp;Milestones!$AB$97&amp;" "&amp;IF(AND(Milestones!$AB$97="FT",Milestones!$AA$97=FT_Y5,EDATE($D83,Milestones!$AA$97)&lt;PolicyEff),1,Milestones!$AC$97)&amp;";  ","")&amp;IF(AND(EDATE($D83,Milestones!$AA$98)&lt;=AsOfDate,EDATE($D83,Milestones!$AA$98)&gt;=SchemeStart,IF($X83=0,$AD83,IF(AND($Z83&lt;&gt;"",EDATE($D83,Milestones!$AA$98)&gt;=$Z83),$AC83,IF(AND($Y83&lt;&gt;"",EDATE($D83,Milestones!$AA$98)&gt;=$Y83),$AB83,$AA83)))=Milestones!$AB$98),UPPER(TEXT(EDATE($D83,Milestones!$AA$98),"dd mmm yy"))&amp;" "&amp;Milestones!$AB$98&amp;" "&amp;IF(AND(Milestones!$AB$98="FT",Milestones!$AA$98=FT_Y5,EDATE($D83,Milestones!$AA$98)&lt;PolicyEff),1,Milestones!$AC$98)&amp;";  ","")&amp;IF(AND(EDATE($D83,Milestones!$AA$99)&lt;=AsOfDate,EDATE($D83,Milestones!$AA$99)&gt;=SchemeStart,IF($X83=0,$AD83,IF(AND($Z83&lt;&gt;"",EDATE($D83,Milestones!$AA$99)&gt;=$Z83),$AC83,IF(AND($Y83&lt;&gt;"",EDATE($D83,Milestones!$AA$99)&gt;=$Y83),$AB83,$AA83)))=Milestones!$AB$99),UPPER(TEXT(EDATE($D83,Milestones!$AA$99),"dd mmm yy"))&amp;" "&amp;Milestones!$AB$99&amp;" "&amp;IF(AND(Milestones!$AB$99="FT",Milestones!$AA$99=FT_Y5,EDATE($D83,Milestones!$AA$99)&lt;PolicyEff),1,Milestones!$AC$99)&amp;";  ","")&amp;IF(AND(EDATE($D83,Milestones!$AA$100)&lt;=AsOfDate,EDATE($D83,Milestones!$AA$100)&gt;=SchemeStart,IF($X83=0,$AD83,IF(AND($Z83&lt;&gt;"",EDATE($D83,Milestones!$AA$100)&gt;=$Z83),$AC83,IF(AND($Y83&lt;&gt;"",EDATE($D83,Milestones!$AA$100)&gt;=$Y83),$AB83,$AA83)))=Milestones!$AB$100),UPPER(TEXT(EDATE($D83,Milestones!$AA$100),"dd mmm yy"))&amp;" "&amp;Milestones!$AB$100&amp;" "&amp;IF(AND(Milestones!$AB$100="FT",Milestones!$AA$100=FT_Y5,EDATE($D83,Milestones!$AA$100)&lt;PolicyEff),1,Milestones!$AC$100)&amp;";  ","")&amp;IF(AND(EDATE($D83,Milestones!$AA$101)&lt;=AsOfDate,EDATE($D83,Milestones!$AA$101)&gt;=SchemeStart,IF($X83=0,$AD83,IF(AND($Z83&lt;&gt;"",EDATE($D83,Milestones!$AA$101)&gt;=$Z83),$AC83,IF(AND($Y83&lt;&gt;"",EDATE($D83,Milestones!$AA$101)&gt;=$Y83),$AB83,$AA83)))=Milestones!$AB$101),UPPER(TEXT(EDATE($D83,Milestones!$AA$101),"dd mmm yy"))&amp;" "&amp;Milestones!$AB$101&amp;" "&amp;IF(AND(Milestones!$AB$101="FT",Milestones!$AA$101=FT_Y5,EDATE($D83,Milestones!$AA$101)&lt;PolicyEff),1,Milestones!$AC$101)&amp;";  ","")&amp;IF(AND(EDATE($D83,Milestones!$AA$102)&lt;=AsOfDate,EDATE($D83,Milestones!$AA$102)&gt;=SchemeStart,IF($X83=0,$AD83,IF(AND($Z83&lt;&gt;"",EDATE($D83,Milestones!$AA$102)&gt;=$Z83),$AC83,IF(AND($Y83&lt;&gt;"",EDATE($D83,Milestones!$AA$102)&gt;=$Y83),$AB83,$AA83)))=Milestones!$AB$102),UPPER(TEXT(EDATE($D83,Milestones!$AA$102),"dd mmm yy"))&amp;" "&amp;Milestones!$AB$102&amp;" "&amp;IF(AND(Milestones!$AB$102="FT",Milestones!$AA$102=FT_Y5,EDATE($D83,Milestones!$AA$102)&lt;PolicyEff),1,Milestones!$AC$102)&amp;";  ","")&amp;IF(AND(EDATE($D83,Milestones!$AA$103)&lt;=AsOfDate,EDATE($D83,Milestones!$AA$103)&gt;=SchemeStart,IF($X83=0,$AD83,IF(AND($Z83&lt;&gt;"",EDATE($D83,Milestones!$AA$103)&gt;=$Z83),$AC83,IF(AND($Y83&lt;&gt;"",EDATE($D83,Milestones!$AA$103)&gt;=$Y83),$AB83,$AA83)))=Milestones!$AB$103),UPPER(TEXT(EDATE($D83,Milestones!$AA$103),"dd mmm yy"))&amp;" "&amp;Milestones!$AB$103&amp;" "&amp;IF(AND(Milestones!$AB$103="FT",Milestones!$AA$103=FT_Y5,EDATE($D83,Milestones!$AA$103)&lt;PolicyEff),1,Milestones!$AC$103)&amp;";  ",""))</f>
        <v/>
      </c>
      <c r="P83" s="0" t="str">
        <f aca="false">IF(OR($A83="",$D83=""),"",IF(AND(EDATE($D83,Milestones!$AA$104)&lt;=AsOfDate,EDATE($D83,Milestones!$AA$104)&gt;=SchemeStart,IF($X83=0,$AD83,IF(AND($Z83&lt;&gt;"",EDATE($D83,Milestones!$AA$104)&gt;=$Z83),$AC83,IF(AND($Y83&lt;&gt;"",EDATE($D83,Milestones!$AA$104)&gt;=$Y83),$AB83,$AA83)))=Milestones!$AB$104),UPPER(TEXT(EDATE($D83,Milestones!$AA$104),"dd mmm yy"))&amp;" "&amp;Milestones!$AB$104&amp;" "&amp;IF(AND(Milestones!$AB$104="FT",Milestones!$AA$104=FT_Y5,EDATE($D83,Milestones!$AA$104)&lt;PolicyEff),1,Milestones!$AC$104)&amp;";  ","")&amp;IF(AND(EDATE($D83,Milestones!$AA$105)&lt;=AsOfDate,EDATE($D83,Milestones!$AA$105)&gt;=SchemeStart,IF($X83=0,$AD83,IF(AND($Z83&lt;&gt;"",EDATE($D83,Milestones!$AA$105)&gt;=$Z83),$AC83,IF(AND($Y83&lt;&gt;"",EDATE($D83,Milestones!$AA$105)&gt;=$Y83),$AB83,$AA83)))=Milestones!$AB$105),UPPER(TEXT(EDATE($D83,Milestones!$AA$105),"dd mmm yy"))&amp;" "&amp;Milestones!$AB$105&amp;" "&amp;IF(AND(Milestones!$AB$105="FT",Milestones!$AA$105=FT_Y5,EDATE($D83,Milestones!$AA$105)&lt;PolicyEff),1,Milestones!$AC$105)&amp;";  ","")&amp;IF(AND(EDATE($D83,Milestones!$AA$106)&lt;=AsOfDate,EDATE($D83,Milestones!$AA$106)&gt;=SchemeStart,IF($X83=0,$AD83,IF(AND($Z83&lt;&gt;"",EDATE($D83,Milestones!$AA$106)&gt;=$Z83),$AC83,IF(AND($Y83&lt;&gt;"",EDATE($D83,Milestones!$AA$106)&gt;=$Y83),$AB83,$AA83)))=Milestones!$AB$106),UPPER(TEXT(EDATE($D83,Milestones!$AA$106),"dd mmm yy"))&amp;" "&amp;Milestones!$AB$106&amp;" "&amp;IF(AND(Milestones!$AB$106="FT",Milestones!$AA$106=FT_Y5,EDATE($D83,Milestones!$AA$106)&lt;PolicyEff),1,Milestones!$AC$106)&amp;";  ","")&amp;IF(AND(EDATE($D83,Milestones!$AA$107)&lt;=AsOfDate,EDATE($D83,Milestones!$AA$107)&gt;=SchemeStart,IF($X83=0,$AD83,IF(AND($Z83&lt;&gt;"",EDATE($D83,Milestones!$AA$107)&gt;=$Z83),$AC83,IF(AND($Y83&lt;&gt;"",EDATE($D83,Milestones!$AA$107)&gt;=$Y83),$AB83,$AA83)))=Milestones!$AB$107),UPPER(TEXT(EDATE($D83,Milestones!$AA$107),"dd mmm yy"))&amp;" "&amp;Milestones!$AB$107&amp;" "&amp;IF(AND(Milestones!$AB$107="FT",Milestones!$AA$107=FT_Y5,EDATE($D83,Milestones!$AA$107)&lt;PolicyEff),1,Milestones!$AC$107)&amp;";  ","")&amp;IF(AND(EDATE($D83,Milestones!$AA$108)&lt;=AsOfDate,EDATE($D83,Milestones!$AA$108)&gt;=SchemeStart,IF($X83=0,$AD83,IF(AND($Z83&lt;&gt;"",EDATE($D83,Milestones!$AA$108)&gt;=$Z83),$AC83,IF(AND($Y83&lt;&gt;"",EDATE($D83,Milestones!$AA$108)&gt;=$Y83),$AB83,$AA83)))=Milestones!$AB$108),UPPER(TEXT(EDATE($D83,Milestones!$AA$108),"dd mmm yy"))&amp;" "&amp;Milestones!$AB$108&amp;" "&amp;IF(AND(Milestones!$AB$108="FT",Milestones!$AA$108=FT_Y5,EDATE($D83,Milestones!$AA$108)&lt;PolicyEff),1,Milestones!$AC$108)&amp;";  ","")&amp;IF(AND(EDATE($D83,Milestones!$AA$109)&lt;=AsOfDate,EDATE($D83,Milestones!$AA$109)&gt;=SchemeStart,IF($X83=0,$AD83,IF(AND($Z83&lt;&gt;"",EDATE($D83,Milestones!$AA$109)&gt;=$Z83),$AC83,IF(AND($Y83&lt;&gt;"",EDATE($D83,Milestones!$AA$109)&gt;=$Y83),$AB83,$AA83)))=Milestones!$AB$109),UPPER(TEXT(EDATE($D83,Milestones!$AA$109),"dd mmm yy"))&amp;" "&amp;Milestones!$AB$109&amp;" "&amp;IF(AND(Milestones!$AB$109="FT",Milestones!$AA$109=FT_Y5,EDATE($D83,Milestones!$AA$109)&lt;PolicyEff),1,Milestones!$AC$109)&amp;";  ","")&amp;IF(AND(EDATE($D83,Milestones!$AA$110)&lt;=AsOfDate,EDATE($D83,Milestones!$AA$110)&gt;=SchemeStart,IF($X83=0,$AD83,IF(AND($Z83&lt;&gt;"",EDATE($D83,Milestones!$AA$110)&gt;=$Z83),$AC83,IF(AND($Y83&lt;&gt;"",EDATE($D83,Milestones!$AA$110)&gt;=$Y83),$AB83,$AA83)))=Milestones!$AB$110),UPPER(TEXT(EDATE($D83,Milestones!$AA$110),"dd mmm yy"))&amp;" "&amp;Milestones!$AB$110&amp;" "&amp;IF(AND(Milestones!$AB$110="FT",Milestones!$AA$110=FT_Y5,EDATE($D83,Milestones!$AA$110)&lt;PolicyEff),1,Milestones!$AC$110)&amp;";  ","")&amp;IF(AND(EDATE($D83,Milestones!$AA$111)&lt;=AsOfDate,EDATE($D83,Milestones!$AA$111)&gt;=SchemeStart,IF($X83=0,$AD83,IF(AND($Z83&lt;&gt;"",EDATE($D83,Milestones!$AA$111)&gt;=$Z83),$AC83,IF(AND($Y83&lt;&gt;"",EDATE($D83,Milestones!$AA$111)&gt;=$Y83),$AB83,$AA83)))=Milestones!$AB$111),UPPER(TEXT(EDATE($D83,Milestones!$AA$111),"dd mmm yy"))&amp;" "&amp;Milestones!$AB$111&amp;" "&amp;IF(AND(Milestones!$AB$111="FT",Milestones!$AA$111=FT_Y5,EDATE($D83,Milestones!$AA$111)&lt;PolicyEff),1,Milestones!$AC$111)&amp;";  ","")&amp;IF(AND(EDATE($D83,Milestones!$AA$112)&lt;=AsOfDate,EDATE($D83,Milestones!$AA$112)&gt;=SchemeStart,IF($X83=0,$AD83,IF(AND($Z83&lt;&gt;"",EDATE($D83,Milestones!$AA$112)&gt;=$Z83),$AC83,IF(AND($Y83&lt;&gt;"",EDATE($D83,Milestones!$AA$112)&gt;=$Y83),$AB83,$AA83)))=Milestones!$AB$112),UPPER(TEXT(EDATE($D83,Milestones!$AA$112),"dd mmm yy"))&amp;" "&amp;Milestones!$AB$112&amp;" "&amp;IF(AND(Milestones!$AB$112="FT",Milestones!$AA$112=FT_Y5,EDATE($D83,Milestones!$AA$112)&lt;PolicyEff),1,Milestones!$AC$112)&amp;";  ","")&amp;IF(AND(EDATE($D83,Milestones!$AA$113)&lt;=AsOfDate,EDATE($D83,Milestones!$AA$113)&gt;=SchemeStart,IF($X83=0,$AD83,IF(AND($Z83&lt;&gt;"",EDATE($D83,Milestones!$AA$113)&gt;=$Z83),$AC83,IF(AND($Y83&lt;&gt;"",EDATE($D83,Milestones!$AA$113)&gt;=$Y83),$AB83,$AA83)))=Milestones!$AB$113),UPPER(TEXT(EDATE($D83,Milestones!$AA$113),"dd mmm yy"))&amp;" "&amp;Milestones!$AB$113&amp;" "&amp;IF(AND(Milestones!$AB$113="FT",Milestones!$AA$113=FT_Y5,EDATE($D83,Milestones!$AA$113)&lt;PolicyEff),1,Milestones!$AC$113)&amp;";  ","")&amp;IF(AND(EDATE($D83,Milestones!$AA$114)&lt;=AsOfDate,EDATE($D83,Milestones!$AA$114)&gt;=SchemeStart,IF($X83=0,$AD83,IF(AND($Z83&lt;&gt;"",EDATE($D83,Milestones!$AA$114)&gt;=$Z83),$AC83,IF(AND($Y83&lt;&gt;"",EDATE($D83,Milestones!$AA$114)&gt;=$Y83),$AB83,$AA83)))=Milestones!$AB$114),UPPER(TEXT(EDATE($D83,Milestones!$AA$114),"dd mmm yy"))&amp;" "&amp;Milestones!$AB$114&amp;" "&amp;IF(AND(Milestones!$AB$114="FT",Milestones!$AA$114=FT_Y5,EDATE($D83,Milestones!$AA$114)&lt;PolicyEff),1,Milestones!$AC$114)&amp;";  ","")&amp;IF(AND(EDATE($D83,Milestones!$AA$115)&lt;=AsOfDate,EDATE($D83,Milestones!$AA$115)&gt;=SchemeStart,IF($X83=0,$AD83,IF(AND($Z83&lt;&gt;"",EDATE($D83,Milestones!$AA$115)&gt;=$Z83),$AC83,IF(AND($Y83&lt;&gt;"",EDATE($D83,Milestones!$AA$115)&gt;=$Y83),$AB83,$AA83)))=Milestones!$AB$115),UPPER(TEXT(EDATE($D83,Milestones!$AA$115),"dd mmm yy"))&amp;" "&amp;Milestones!$AB$115&amp;" "&amp;IF(AND(Milestones!$AB$115="FT",Milestones!$AA$115=FT_Y5,EDATE($D83,Milestones!$AA$115)&lt;PolicyEff),1,Milestones!$AC$115)&amp;";  ",""))</f>
        <v/>
      </c>
      <c r="Q83" s="0" t="str">
        <f aca="false">IF(OR($A83="",$D83=""),"",IF(AND(EDATE($D83,Milestones!$AA$116)&lt;=AsOfDate,EDATE($D83,Milestones!$AA$116)&gt;=SchemeStart,IF($X83=0,$AD83,IF(AND($Z83&lt;&gt;"",EDATE($D83,Milestones!$AA$116)&gt;=$Z83),$AC83,IF(AND($Y83&lt;&gt;"",EDATE($D83,Milestones!$AA$116)&gt;=$Y83),$AB83,$AA83)))=Milestones!$AB$116),UPPER(TEXT(EDATE($D83,Milestones!$AA$116),"dd mmm yy"))&amp;" "&amp;Milestones!$AB$116&amp;" "&amp;IF(AND(Milestones!$AB$116="FT",Milestones!$AA$116=FT_Y5,EDATE($D83,Milestones!$AA$116)&lt;PolicyEff),1,Milestones!$AC$116)&amp;";  ","")&amp;IF(AND(EDATE($D83,Milestones!$AA$117)&lt;=AsOfDate,EDATE($D83,Milestones!$AA$117)&gt;=SchemeStart,IF($X83=0,$AD83,IF(AND($Z83&lt;&gt;"",EDATE($D83,Milestones!$AA$117)&gt;=$Z83),$AC83,IF(AND($Y83&lt;&gt;"",EDATE($D83,Milestones!$AA$117)&gt;=$Y83),$AB83,$AA83)))=Milestones!$AB$117),UPPER(TEXT(EDATE($D83,Milestones!$AA$117),"dd mmm yy"))&amp;" "&amp;Milestones!$AB$117&amp;" "&amp;IF(AND(Milestones!$AB$117="FT",Milestones!$AA$117=FT_Y5,EDATE($D83,Milestones!$AA$117)&lt;PolicyEff),1,Milestones!$AC$117)&amp;";  ","")&amp;IF(AND(EDATE($D83,Milestones!$AA$118)&lt;=AsOfDate,EDATE($D83,Milestones!$AA$118)&gt;=SchemeStart,IF($X83=0,$AD83,IF(AND($Z83&lt;&gt;"",EDATE($D83,Milestones!$AA$118)&gt;=$Z83),$AC83,IF(AND($Y83&lt;&gt;"",EDATE($D83,Milestones!$AA$118)&gt;=$Y83),$AB83,$AA83)))=Milestones!$AB$118),UPPER(TEXT(EDATE($D83,Milestones!$AA$118),"dd mmm yy"))&amp;" "&amp;Milestones!$AB$118&amp;" "&amp;IF(AND(Milestones!$AB$118="FT",Milestones!$AA$118=FT_Y5,EDATE($D83,Milestones!$AA$118)&lt;PolicyEff),1,Milestones!$AC$118)&amp;";  ","")&amp;IF(AND(EDATE($D83,Milestones!$AA$119)&lt;=AsOfDate,EDATE($D83,Milestones!$AA$119)&gt;=SchemeStart,IF($X83=0,$AD83,IF(AND($Z83&lt;&gt;"",EDATE($D83,Milestones!$AA$119)&gt;=$Z83),$AC83,IF(AND($Y83&lt;&gt;"",EDATE($D83,Milestones!$AA$119)&gt;=$Y83),$AB83,$AA83)))=Milestones!$AB$119),UPPER(TEXT(EDATE($D83,Milestones!$AA$119),"dd mmm yy"))&amp;" "&amp;Milestones!$AB$119&amp;" "&amp;IF(AND(Milestones!$AB$119="FT",Milestones!$AA$119=FT_Y5,EDATE($D83,Milestones!$AA$119)&lt;PolicyEff),1,Milestones!$AC$119)&amp;";  ","")&amp;IF(AND(EDATE($D83,Milestones!$AA$120)&lt;=AsOfDate,EDATE($D83,Milestones!$AA$120)&gt;=SchemeStart,IF($X83=0,$AD83,IF(AND($Z83&lt;&gt;"",EDATE($D83,Milestones!$AA$120)&gt;=$Z83),$AC83,IF(AND($Y83&lt;&gt;"",EDATE($D83,Milestones!$AA$120)&gt;=$Y83),$AB83,$AA83)))=Milestones!$AB$120),UPPER(TEXT(EDATE($D83,Milestones!$AA$120),"dd mmm yy"))&amp;" "&amp;Milestones!$AB$120&amp;" "&amp;IF(AND(Milestones!$AB$120="FT",Milestones!$AA$120=FT_Y5,EDATE($D83,Milestones!$AA$120)&lt;PolicyEff),1,Milestones!$AC$120)&amp;";  ","")&amp;IF(AND(EDATE($D83,Milestones!$AA$121)&lt;=AsOfDate,EDATE($D83,Milestones!$AA$121)&gt;=SchemeStart,IF($X83=0,$AD83,IF(AND($Z83&lt;&gt;"",EDATE($D83,Milestones!$AA$121)&gt;=$Z83),$AC83,IF(AND($Y83&lt;&gt;"",EDATE($D83,Milestones!$AA$121)&gt;=$Y83),$AB83,$AA83)))=Milestones!$AB$121),UPPER(TEXT(EDATE($D83,Milestones!$AA$121),"dd mmm yy"))&amp;" "&amp;Milestones!$AB$121&amp;" "&amp;IF(AND(Milestones!$AB$121="FT",Milestones!$AA$121=FT_Y5,EDATE($D83,Milestones!$AA$121)&lt;PolicyEff),1,Milestones!$AC$121)&amp;";  ","")&amp;IF(AND(EDATE($D83,Milestones!$AA$122)&lt;=AsOfDate,EDATE($D83,Milestones!$AA$122)&gt;=SchemeStart,IF($X83=0,$AD83,IF(AND($Z83&lt;&gt;"",EDATE($D83,Milestones!$AA$122)&gt;=$Z83),$AC83,IF(AND($Y83&lt;&gt;"",EDATE($D83,Milestones!$AA$122)&gt;=$Y83),$AB83,$AA83)))=Milestones!$AB$122),UPPER(TEXT(EDATE($D83,Milestones!$AA$122),"dd mmm yy"))&amp;" "&amp;Milestones!$AB$122&amp;" "&amp;IF(AND(Milestones!$AB$122="FT",Milestones!$AA$122=FT_Y5,EDATE($D83,Milestones!$AA$122)&lt;PolicyEff),1,Milestones!$AC$122)&amp;";  ","")&amp;IF(AND(EDATE($D83,Milestones!$AA$123)&lt;=AsOfDate,EDATE($D83,Milestones!$AA$123)&gt;=SchemeStart,IF($X83=0,$AD83,IF(AND($Z83&lt;&gt;"",EDATE($D83,Milestones!$AA$123)&gt;=$Z83),$AC83,IF(AND($Y83&lt;&gt;"",EDATE($D83,Milestones!$AA$123)&gt;=$Y83),$AB83,$AA83)))=Milestones!$AB$123),UPPER(TEXT(EDATE($D83,Milestones!$AA$123),"dd mmm yy"))&amp;" "&amp;Milestones!$AB$123&amp;" "&amp;IF(AND(Milestones!$AB$123="FT",Milestones!$AA$123=FT_Y5,EDATE($D83,Milestones!$AA$123)&lt;PolicyEff),1,Milestones!$AC$123)&amp;";  ","")&amp;IF(AND(EDATE($D83,Milestones!$AA$124)&lt;=AsOfDate,EDATE($D83,Milestones!$AA$124)&gt;=SchemeStart,IF($X83=0,$AD83,IF(AND($Z83&lt;&gt;"",EDATE($D83,Milestones!$AA$124)&gt;=$Z83),$AC83,IF(AND($Y83&lt;&gt;"",EDATE($D83,Milestones!$AA$124)&gt;=$Y83),$AB83,$AA83)))=Milestones!$AB$124),UPPER(TEXT(EDATE($D83,Milestones!$AA$124),"dd mmm yy"))&amp;" "&amp;Milestones!$AB$124&amp;" "&amp;IF(AND(Milestones!$AB$124="FT",Milestones!$AA$124=FT_Y5,EDATE($D83,Milestones!$AA$124)&lt;PolicyEff),1,Milestones!$AC$124)&amp;";  ","")&amp;IF(AND(EDATE($D83,Milestones!$AA$125)&lt;=AsOfDate,EDATE($D83,Milestones!$AA$125)&gt;=SchemeStart,IF($X83=0,$AD83,IF(AND($Z83&lt;&gt;"",EDATE($D83,Milestones!$AA$125)&gt;=$Z83),$AC83,IF(AND($Y83&lt;&gt;"",EDATE($D83,Milestones!$AA$125)&gt;=$Y83),$AB83,$AA83)))=Milestones!$AB$125),UPPER(TEXT(EDATE($D83,Milestones!$AA$125),"dd mmm yy"))&amp;" "&amp;Milestones!$AB$125&amp;" "&amp;IF(AND(Milestones!$AB$125="FT",Milestones!$AA$125=FT_Y5,EDATE($D83,Milestones!$AA$125)&lt;PolicyEff),1,Milestones!$AC$125)&amp;";  ","")&amp;IF(AND(EDATE($D83,Milestones!$AA$126)&lt;=AsOfDate,EDATE($D83,Milestones!$AA$126)&gt;=SchemeStart,IF($X83=0,$AD83,IF(AND($Z83&lt;&gt;"",EDATE($D83,Milestones!$AA$126)&gt;=$Z83),$AC83,IF(AND($Y83&lt;&gt;"",EDATE($D83,Milestones!$AA$126)&gt;=$Y83),$AB83,$AA83)))=Milestones!$AB$126),UPPER(TEXT(EDATE($D83,Milestones!$AA$126),"dd mmm yy"))&amp;" "&amp;Milestones!$AB$126&amp;" "&amp;IF(AND(Milestones!$AB$126="FT",Milestones!$AA$126=FT_Y5,EDATE($D83,Milestones!$AA$126)&lt;PolicyEff),1,Milestones!$AC$126)&amp;";  ","")&amp;IF(AND(EDATE($D83,Milestones!$AA$127)&lt;=AsOfDate,EDATE($D83,Milestones!$AA$127)&gt;=SchemeStart,IF($X83=0,$AD83,IF(AND($Z83&lt;&gt;"",EDATE($D83,Milestones!$AA$127)&gt;=$Z83),$AC83,IF(AND($Y83&lt;&gt;"",EDATE($D83,Milestones!$AA$127)&gt;=$Y83),$AB83,$AA83)))=Milestones!$AB$127),UPPER(TEXT(EDATE($D83,Milestones!$AA$127),"dd mmm yy"))&amp;" "&amp;Milestones!$AB$127&amp;" "&amp;IF(AND(Milestones!$AB$127="FT",Milestones!$AA$127=FT_Y5,EDATE($D83,Milestones!$AA$127)&lt;PolicyEff),1,Milestones!$AC$127)&amp;";  ",""))</f>
        <v/>
      </c>
      <c r="R83" s="0" t="str">
        <f aca="false">IF(OR($A83="",$D83=""),"",IF(AND(EDATE($D83,Milestones!$AA$128)&lt;=AsOfDate,EDATE($D83,Milestones!$AA$128)&gt;=SchemeStart,IF($X83=0,$AD83,IF(AND($Z83&lt;&gt;"",EDATE($D83,Milestones!$AA$128)&gt;=$Z83),$AC83,IF(AND($Y83&lt;&gt;"",EDATE($D83,Milestones!$AA$128)&gt;=$Y83),$AB83,$AA83)))=Milestones!$AB$128),UPPER(TEXT(EDATE($D83,Milestones!$AA$128),"dd mmm yy"))&amp;" "&amp;Milestones!$AB$128&amp;" "&amp;IF(AND(Milestones!$AB$128="FT",Milestones!$AA$128=FT_Y5,EDATE($D83,Milestones!$AA$128)&lt;PolicyEff),1,Milestones!$AC$128)&amp;";  ","")&amp;IF(AND(EDATE($D83,Milestones!$AA$129)&lt;=AsOfDate,EDATE($D83,Milestones!$AA$129)&gt;=SchemeStart,IF($X83=0,$AD83,IF(AND($Z83&lt;&gt;"",EDATE($D83,Milestones!$AA$129)&gt;=$Z83),$AC83,IF(AND($Y83&lt;&gt;"",EDATE($D83,Milestones!$AA$129)&gt;=$Y83),$AB83,$AA83)))=Milestones!$AB$129),UPPER(TEXT(EDATE($D83,Milestones!$AA$129),"dd mmm yy"))&amp;" "&amp;Milestones!$AB$129&amp;" "&amp;IF(AND(Milestones!$AB$129="FT",Milestones!$AA$129=FT_Y5,EDATE($D83,Milestones!$AA$129)&lt;PolicyEff),1,Milestones!$AC$129)&amp;";  ","")&amp;IF(AND(EDATE($D83,Milestones!$AA$130)&lt;=AsOfDate,EDATE($D83,Milestones!$AA$130)&gt;=SchemeStart,IF($X83=0,$AD83,IF(AND($Z83&lt;&gt;"",EDATE($D83,Milestones!$AA$130)&gt;=$Z83),$AC83,IF(AND($Y83&lt;&gt;"",EDATE($D83,Milestones!$AA$130)&gt;=$Y83),$AB83,$AA83)))=Milestones!$AB$130),UPPER(TEXT(EDATE($D83,Milestones!$AA$130),"dd mmm yy"))&amp;" "&amp;Milestones!$AB$130&amp;" "&amp;IF(AND(Milestones!$AB$130="FT",Milestones!$AA$130=FT_Y5,EDATE($D83,Milestones!$AA$130)&lt;PolicyEff),1,Milestones!$AC$130)&amp;";  ","")&amp;IF(AND(EDATE($D83,Milestones!$AA$131)&lt;=AsOfDate,EDATE($D83,Milestones!$AA$131)&gt;=SchemeStart,IF($X83=0,$AD83,IF(AND($Z83&lt;&gt;"",EDATE($D83,Milestones!$AA$131)&gt;=$Z83),$AC83,IF(AND($Y83&lt;&gt;"",EDATE($D83,Milestones!$AA$131)&gt;=$Y83),$AB83,$AA83)))=Milestones!$AB$131),UPPER(TEXT(EDATE($D83,Milestones!$AA$131),"dd mmm yy"))&amp;" "&amp;Milestones!$AB$131&amp;" "&amp;IF(AND(Milestones!$AB$131="FT",Milestones!$AA$131=FT_Y5,EDATE($D83,Milestones!$AA$131)&lt;PolicyEff),1,Milestones!$AC$131)&amp;";  ","")&amp;IF(AND(EDATE($D83,Milestones!$AA$132)&lt;=AsOfDate,EDATE($D83,Milestones!$AA$132)&gt;=SchemeStart,IF($X83=0,$AD83,IF(AND($Z83&lt;&gt;"",EDATE($D83,Milestones!$AA$132)&gt;=$Z83),$AC83,IF(AND($Y83&lt;&gt;"",EDATE($D83,Milestones!$AA$132)&gt;=$Y83),$AB83,$AA83)))=Milestones!$AB$132),UPPER(TEXT(EDATE($D83,Milestones!$AA$132),"dd mmm yy"))&amp;" "&amp;Milestones!$AB$132&amp;" "&amp;IF(AND(Milestones!$AB$132="FT",Milestones!$AA$132=FT_Y5,EDATE($D83,Milestones!$AA$132)&lt;PolicyEff),1,Milestones!$AC$132)&amp;";  ","")&amp;IF(AND(EDATE($D83,Milestones!$AA$133)&lt;=AsOfDate,EDATE($D83,Milestones!$AA$133)&gt;=SchemeStart,IF($X83=0,$AD83,IF(AND($Z83&lt;&gt;"",EDATE($D83,Milestones!$AA$133)&gt;=$Z83),$AC83,IF(AND($Y83&lt;&gt;"",EDATE($D83,Milestones!$AA$133)&gt;=$Y83),$AB83,$AA83)))=Milestones!$AB$133),UPPER(TEXT(EDATE($D83,Milestones!$AA$133),"dd mmm yy"))&amp;" "&amp;Milestones!$AB$133&amp;" "&amp;IF(AND(Milestones!$AB$133="FT",Milestones!$AA$133=FT_Y5,EDATE($D83,Milestones!$AA$133)&lt;PolicyEff),1,Milestones!$AC$133)&amp;";  ","")&amp;IF(AND(EDATE($D83,Milestones!$AA$134)&lt;=AsOfDate,EDATE($D83,Milestones!$AA$134)&gt;=SchemeStart,IF($X83=0,$AD83,IF(AND($Z83&lt;&gt;"",EDATE($D83,Milestones!$AA$134)&gt;=$Z83),$AC83,IF(AND($Y83&lt;&gt;"",EDATE($D83,Milestones!$AA$134)&gt;=$Y83),$AB83,$AA83)))=Milestones!$AB$134),UPPER(TEXT(EDATE($D83,Milestones!$AA$134),"dd mmm yy"))&amp;" "&amp;Milestones!$AB$134&amp;" "&amp;IF(AND(Milestones!$AB$134="FT",Milestones!$AA$134=FT_Y5,EDATE($D83,Milestones!$AA$134)&lt;PolicyEff),1,Milestones!$AC$134)&amp;";  ","")&amp;IF(AND(EDATE($D83,Milestones!$AA$135)&lt;=AsOfDate,EDATE($D83,Milestones!$AA$135)&gt;=SchemeStart,IF($X83=0,$AD83,IF(AND($Z83&lt;&gt;"",EDATE($D83,Milestones!$AA$135)&gt;=$Z83),$AC83,IF(AND($Y83&lt;&gt;"",EDATE($D83,Milestones!$AA$135)&gt;=$Y83),$AB83,$AA83)))=Milestones!$AB$135),UPPER(TEXT(EDATE($D83,Milestones!$AA$135),"dd mmm yy"))&amp;" "&amp;Milestones!$AB$135&amp;" "&amp;IF(AND(Milestones!$AB$135="FT",Milestones!$AA$135=FT_Y5,EDATE($D83,Milestones!$AA$135)&lt;PolicyEff),1,Milestones!$AC$135)&amp;";  ","")&amp;IF(AND(EDATE($D83,Milestones!$AA$136)&lt;=AsOfDate,EDATE($D83,Milestones!$AA$136)&gt;=SchemeStart,IF($X83=0,$AD83,IF(AND($Z83&lt;&gt;"",EDATE($D83,Milestones!$AA$136)&gt;=$Z83),$AC83,IF(AND($Y83&lt;&gt;"",EDATE($D83,Milestones!$AA$136)&gt;=$Y83),$AB83,$AA83)))=Milestones!$AB$136),UPPER(TEXT(EDATE($D83,Milestones!$AA$136),"dd mmm yy"))&amp;" "&amp;Milestones!$AB$136&amp;" "&amp;IF(AND(Milestones!$AB$136="FT",Milestones!$AA$136=FT_Y5,EDATE($D83,Milestones!$AA$136)&lt;PolicyEff),1,Milestones!$AC$136)&amp;";  ","")&amp;IF(AND(EDATE($D83,Milestones!$AA$137)&lt;=AsOfDate,EDATE($D83,Milestones!$AA$137)&gt;=SchemeStart,IF($X83=0,$AD83,IF(AND($Z83&lt;&gt;"",EDATE($D83,Milestones!$AA$137)&gt;=$Z83),$AC83,IF(AND($Y83&lt;&gt;"",EDATE($D83,Milestones!$AA$137)&gt;=$Y83),$AB83,$AA83)))=Milestones!$AB$137),UPPER(TEXT(EDATE($D83,Milestones!$AA$137),"dd mmm yy"))&amp;" "&amp;Milestones!$AB$137&amp;" "&amp;IF(AND(Milestones!$AB$137="FT",Milestones!$AA$137=FT_Y5,EDATE($D83,Milestones!$AA$137)&lt;PolicyEff),1,Milestones!$AC$137)&amp;";  ","")&amp;IF(AND(EDATE($D83,Milestones!$AA$138)&lt;=AsOfDate,EDATE($D83,Milestones!$AA$138)&gt;=SchemeStart,IF($X83=0,$AD83,IF(AND($Z83&lt;&gt;"",EDATE($D83,Milestones!$AA$138)&gt;=$Z83),$AC83,IF(AND($Y83&lt;&gt;"",EDATE($D83,Milestones!$AA$138)&gt;=$Y83),$AB83,$AA83)))=Milestones!$AB$138),UPPER(TEXT(EDATE($D83,Milestones!$AA$138),"dd mmm yy"))&amp;" "&amp;Milestones!$AB$138&amp;" "&amp;IF(AND(Milestones!$AB$138="FT",Milestones!$AA$138=FT_Y5,EDATE($D83,Milestones!$AA$138)&lt;PolicyEff),1,Milestones!$AC$138)&amp;";  ","")&amp;IF(AND(EDATE($D83,Milestones!$AA$139)&lt;=AsOfDate,EDATE($D83,Milestones!$AA$139)&gt;=SchemeStart,IF($X83=0,$AD83,IF(AND($Z83&lt;&gt;"",EDATE($D83,Milestones!$AA$139)&gt;=$Z83),$AC83,IF(AND($Y83&lt;&gt;"",EDATE($D83,Milestones!$AA$139)&gt;=$Y83),$AB83,$AA83)))=Milestones!$AB$139),UPPER(TEXT(EDATE($D83,Milestones!$AA$139),"dd mmm yy"))&amp;" "&amp;Milestones!$AB$139&amp;" "&amp;IF(AND(Milestones!$AB$139="FT",Milestones!$AA$139=FT_Y5,EDATE($D83,Milestones!$AA$139)&lt;PolicyEff),1,Milestones!$AC$139)&amp;";  ",""))</f>
        <v/>
      </c>
      <c r="S83" s="0" t="str">
        <f aca="false">IF(OR($A83="",$D83=""),"",IF(AND(EDATE($D83,Milestones!$AA$140)&lt;=AsOfDate,EDATE($D83,Milestones!$AA$140)&gt;=SchemeStart,IF($X83=0,$AD83,IF(AND($Z83&lt;&gt;"",EDATE($D83,Milestones!$AA$140)&gt;=$Z83),$AC83,IF(AND($Y83&lt;&gt;"",EDATE($D83,Milestones!$AA$140)&gt;=$Y83),$AB83,$AA83)))=Milestones!$AB$140),UPPER(TEXT(EDATE($D83,Milestones!$AA$140),"dd mmm yy"))&amp;" "&amp;Milestones!$AB$140&amp;" "&amp;IF(AND(Milestones!$AB$140="FT",Milestones!$AA$140=FT_Y5,EDATE($D83,Milestones!$AA$140)&lt;PolicyEff),1,Milestones!$AC$140)&amp;";  ","")&amp;IF(AND(EDATE($D83,Milestones!$AA$141)&lt;=AsOfDate,EDATE($D83,Milestones!$AA$141)&gt;=SchemeStart,IF($X83=0,$AD83,IF(AND($Z83&lt;&gt;"",EDATE($D83,Milestones!$AA$141)&gt;=$Z83),$AC83,IF(AND($Y83&lt;&gt;"",EDATE($D83,Milestones!$AA$141)&gt;=$Y83),$AB83,$AA83)))=Milestones!$AB$141),UPPER(TEXT(EDATE($D83,Milestones!$AA$141),"dd mmm yy"))&amp;" "&amp;Milestones!$AB$141&amp;" "&amp;IF(AND(Milestones!$AB$141="FT",Milestones!$AA$141=FT_Y5,EDATE($D83,Milestones!$AA$141)&lt;PolicyEff),1,Milestones!$AC$141)&amp;";  ","")&amp;IF(AND(EDATE($D83,Milestones!$AA$142)&lt;=AsOfDate,EDATE($D83,Milestones!$AA$142)&gt;=SchemeStart,IF($X83=0,$AD83,IF(AND($Z83&lt;&gt;"",EDATE($D83,Milestones!$AA$142)&gt;=$Z83),$AC83,IF(AND($Y83&lt;&gt;"",EDATE($D83,Milestones!$AA$142)&gt;=$Y83),$AB83,$AA83)))=Milestones!$AB$142),UPPER(TEXT(EDATE($D83,Milestones!$AA$142),"dd mmm yy"))&amp;" "&amp;Milestones!$AB$142&amp;" "&amp;IF(AND(Milestones!$AB$142="FT",Milestones!$AA$142=FT_Y5,EDATE($D83,Milestones!$AA$142)&lt;PolicyEff),1,Milestones!$AC$142)&amp;";  ","")&amp;IF(AND(EDATE($D83,Milestones!$AA$143)&lt;=AsOfDate,EDATE($D83,Milestones!$AA$143)&gt;=SchemeStart,IF($X83=0,$AD83,IF(AND($Z83&lt;&gt;"",EDATE($D83,Milestones!$AA$143)&gt;=$Z83),$AC83,IF(AND($Y83&lt;&gt;"",EDATE($D83,Milestones!$AA$143)&gt;=$Y83),$AB83,$AA83)))=Milestones!$AB$143),UPPER(TEXT(EDATE($D83,Milestones!$AA$143),"dd mmm yy"))&amp;" "&amp;Milestones!$AB$143&amp;" "&amp;IF(AND(Milestones!$AB$143="FT",Milestones!$AA$143=FT_Y5,EDATE($D83,Milestones!$AA$143)&lt;PolicyEff),1,Milestones!$AC$143)&amp;";  ","")&amp;IF(AND(EDATE($D83,Milestones!$AA$144)&lt;=AsOfDate,EDATE($D83,Milestones!$AA$144)&gt;=SchemeStart,IF($X83=0,$AD83,IF(AND($Z83&lt;&gt;"",EDATE($D83,Milestones!$AA$144)&gt;=$Z83),$AC83,IF(AND($Y83&lt;&gt;"",EDATE($D83,Milestones!$AA$144)&gt;=$Y83),$AB83,$AA83)))=Milestones!$AB$144),UPPER(TEXT(EDATE($D83,Milestones!$AA$144),"dd mmm yy"))&amp;" "&amp;Milestones!$AB$144&amp;" "&amp;IF(AND(Milestones!$AB$144="FT",Milestones!$AA$144=FT_Y5,EDATE($D83,Milestones!$AA$144)&lt;PolicyEff),1,Milestones!$AC$144)&amp;";  ","")&amp;IF(AND(EDATE($D83,Milestones!$AA$145)&lt;=AsOfDate,EDATE($D83,Milestones!$AA$145)&gt;=SchemeStart,IF($X83=0,$AD83,IF(AND($Z83&lt;&gt;"",EDATE($D83,Milestones!$AA$145)&gt;=$Z83),$AC83,IF(AND($Y83&lt;&gt;"",EDATE($D83,Milestones!$AA$145)&gt;=$Y83),$AB83,$AA83)))=Milestones!$AB$145),UPPER(TEXT(EDATE($D83,Milestones!$AA$145),"dd mmm yy"))&amp;" "&amp;Milestones!$AB$145&amp;" "&amp;IF(AND(Milestones!$AB$145="FT",Milestones!$AA$145=FT_Y5,EDATE($D83,Milestones!$AA$145)&lt;PolicyEff),1,Milestones!$AC$145)&amp;";  ","")&amp;IF(AND(EDATE($D83,Milestones!$AA$146)&lt;=AsOfDate,EDATE($D83,Milestones!$AA$146)&gt;=SchemeStart,IF($X83=0,$AD83,IF(AND($Z83&lt;&gt;"",EDATE($D83,Milestones!$AA$146)&gt;=$Z83),$AC83,IF(AND($Y83&lt;&gt;"",EDATE($D83,Milestones!$AA$146)&gt;=$Y83),$AB83,$AA83)))=Milestones!$AB$146),UPPER(TEXT(EDATE($D83,Milestones!$AA$146),"dd mmm yy"))&amp;" "&amp;Milestones!$AB$146&amp;" "&amp;IF(AND(Milestones!$AB$146="FT",Milestones!$AA$146=FT_Y5,EDATE($D83,Milestones!$AA$146)&lt;PolicyEff),1,Milestones!$AC$146)&amp;";  ","")&amp;IF(AND(EDATE($D83,Milestones!$AA$147)&lt;=AsOfDate,EDATE($D83,Milestones!$AA$147)&gt;=SchemeStart,IF($X83=0,$AD83,IF(AND($Z83&lt;&gt;"",EDATE($D83,Milestones!$AA$147)&gt;=$Z83),$AC83,IF(AND($Y83&lt;&gt;"",EDATE($D83,Milestones!$AA$147)&gt;=$Y83),$AB83,$AA83)))=Milestones!$AB$147),UPPER(TEXT(EDATE($D83,Milestones!$AA$147),"dd mmm yy"))&amp;" "&amp;Milestones!$AB$147&amp;" "&amp;IF(AND(Milestones!$AB$147="FT",Milestones!$AA$147=FT_Y5,EDATE($D83,Milestones!$AA$147)&lt;PolicyEff),1,Milestones!$AC$147)&amp;";  ","")&amp;IF(AND(EDATE($D83,Milestones!$AA$148)&lt;=AsOfDate,EDATE($D83,Milestones!$AA$148)&gt;=SchemeStart,IF($X83=0,$AD83,IF(AND($Z83&lt;&gt;"",EDATE($D83,Milestones!$AA$148)&gt;=$Z83),$AC83,IF(AND($Y83&lt;&gt;"",EDATE($D83,Milestones!$AA$148)&gt;=$Y83),$AB83,$AA83)))=Milestones!$AB$148),UPPER(TEXT(EDATE($D83,Milestones!$AA$148),"dd mmm yy"))&amp;" "&amp;Milestones!$AB$148&amp;" "&amp;IF(AND(Milestones!$AB$148="FT",Milestones!$AA$148=FT_Y5,EDATE($D83,Milestones!$AA$148)&lt;PolicyEff),1,Milestones!$AC$148)&amp;";  ","")&amp;IF(AND(EDATE($D83,Milestones!$AA$149)&lt;=AsOfDate,EDATE($D83,Milestones!$AA$149)&gt;=SchemeStart,IF($X83=0,$AD83,IF(AND($Z83&lt;&gt;"",EDATE($D83,Milestones!$AA$149)&gt;=$Z83),$AC83,IF(AND($Y83&lt;&gt;"",EDATE($D83,Milestones!$AA$149)&gt;=$Y83),$AB83,$AA83)))=Milestones!$AB$149),UPPER(TEXT(EDATE($D83,Milestones!$AA$149),"dd mmm yy"))&amp;" "&amp;Milestones!$AB$149&amp;" "&amp;IF(AND(Milestones!$AB$149="FT",Milestones!$AA$149=FT_Y5,EDATE($D83,Milestones!$AA$149)&lt;PolicyEff),1,Milestones!$AC$149)&amp;";  ","")&amp;IF(AND(EDATE($D83,Milestones!$AA$150)&lt;=AsOfDate,EDATE($D83,Milestones!$AA$150)&gt;=SchemeStart,IF($X83=0,$AD83,IF(AND($Z83&lt;&gt;"",EDATE($D83,Milestones!$AA$150)&gt;=$Z83),$AC83,IF(AND($Y83&lt;&gt;"",EDATE($D83,Milestones!$AA$150)&gt;=$Y83),$AB83,$AA83)))=Milestones!$AB$150),UPPER(TEXT(EDATE($D83,Milestones!$AA$150),"dd mmm yy"))&amp;" "&amp;Milestones!$AB$150&amp;" "&amp;IF(AND(Milestones!$AB$150="FT",Milestones!$AA$150=FT_Y5,EDATE($D83,Milestones!$AA$150)&lt;PolicyEff),1,Milestones!$AC$150)&amp;";  ","")&amp;IF(AND(EDATE($D83,Milestones!$AA$151)&lt;=AsOfDate,EDATE($D83,Milestones!$AA$151)&gt;=SchemeStart,IF($X83=0,$AD83,IF(AND($Z83&lt;&gt;"",EDATE($D83,Milestones!$AA$151)&gt;=$Z83),$AC83,IF(AND($Y83&lt;&gt;"",EDATE($D83,Milestones!$AA$151)&gt;=$Y83),$AB83,$AA83)))=Milestones!$AB$151),UPPER(TEXT(EDATE($D83,Milestones!$AA$151),"dd mmm yy"))&amp;" "&amp;Milestones!$AB$151&amp;" "&amp;IF(AND(Milestones!$AB$151="FT",Milestones!$AA$151=FT_Y5,EDATE($D83,Milestones!$AA$151)&lt;PolicyEff),1,Milestones!$AC$151)&amp;";  ",""))</f>
        <v/>
      </c>
      <c r="T83" s="0" t="str">
        <f aca="false">IF(OR($A83="",$D83=""),"",IF(AND(EDATE($D83,Milestones!$AA$152)&lt;=AsOfDate,EDATE($D83,Milestones!$AA$152)&gt;=SchemeStart,IF($X83=0,$AD83,IF(AND($Z83&lt;&gt;"",EDATE($D83,Milestones!$AA$152)&gt;=$Z83),$AC83,IF(AND($Y83&lt;&gt;"",EDATE($D83,Milestones!$AA$152)&gt;=$Y83),$AB83,$AA83)))=Milestones!$AB$152),UPPER(TEXT(EDATE($D83,Milestones!$AA$152),"dd mmm yy"))&amp;" "&amp;Milestones!$AB$152&amp;" "&amp;IF(AND(Milestones!$AB$152="FT",Milestones!$AA$152=FT_Y5,EDATE($D83,Milestones!$AA$152)&lt;PolicyEff),1,Milestones!$AC$152)&amp;";  ","")&amp;IF(AND(EDATE($D83,Milestones!$AA$153)&lt;=AsOfDate,EDATE($D83,Milestones!$AA$153)&gt;=SchemeStart,IF($X83=0,$AD83,IF(AND($Z83&lt;&gt;"",EDATE($D83,Milestones!$AA$153)&gt;=$Z83),$AC83,IF(AND($Y83&lt;&gt;"",EDATE($D83,Milestones!$AA$153)&gt;=$Y83),$AB83,$AA83)))=Milestones!$AB$153),UPPER(TEXT(EDATE($D83,Milestones!$AA$153),"dd mmm yy"))&amp;" "&amp;Milestones!$AB$153&amp;" "&amp;IF(AND(Milestones!$AB$153="FT",Milestones!$AA$153=FT_Y5,EDATE($D83,Milestones!$AA$153)&lt;PolicyEff),1,Milestones!$AC$153)&amp;";  ","")&amp;IF(AND(EDATE($D83,Milestones!$AA$154)&lt;=AsOfDate,EDATE($D83,Milestones!$AA$154)&gt;=SchemeStart,IF($X83=0,$AD83,IF(AND($Z83&lt;&gt;"",EDATE($D83,Milestones!$AA$154)&gt;=$Z83),$AC83,IF(AND($Y83&lt;&gt;"",EDATE($D83,Milestones!$AA$154)&gt;=$Y83),$AB83,$AA83)))=Milestones!$AB$154),UPPER(TEXT(EDATE($D83,Milestones!$AA$154),"dd mmm yy"))&amp;" "&amp;Milestones!$AB$154&amp;" "&amp;IF(AND(Milestones!$AB$154="FT",Milestones!$AA$154=FT_Y5,EDATE($D83,Milestones!$AA$154)&lt;PolicyEff),1,Milestones!$AC$154)&amp;";  ","")&amp;IF(AND(EDATE($D83,Milestones!$AA$155)&lt;=AsOfDate,EDATE($D83,Milestones!$AA$155)&gt;=SchemeStart,IF($X83=0,$AD83,IF(AND($Z83&lt;&gt;"",EDATE($D83,Milestones!$AA$155)&gt;=$Z83),$AC83,IF(AND($Y83&lt;&gt;"",EDATE($D83,Milestones!$AA$155)&gt;=$Y83),$AB83,$AA83)))=Milestones!$AB$155),UPPER(TEXT(EDATE($D83,Milestones!$AA$155),"dd mmm yy"))&amp;" "&amp;Milestones!$AB$155&amp;" "&amp;IF(AND(Milestones!$AB$155="FT",Milestones!$AA$155=FT_Y5,EDATE($D83,Milestones!$AA$155)&lt;PolicyEff),1,Milestones!$AC$155)&amp;";  ","")&amp;IF(AND(EDATE($D83,Milestones!$AA$156)&lt;=AsOfDate,EDATE($D83,Milestones!$AA$156)&gt;=SchemeStart,IF($X83=0,$AD83,IF(AND($Z83&lt;&gt;"",EDATE($D83,Milestones!$AA$156)&gt;=$Z83),$AC83,IF(AND($Y83&lt;&gt;"",EDATE($D83,Milestones!$AA$156)&gt;=$Y83),$AB83,$AA83)))=Milestones!$AB$156),UPPER(TEXT(EDATE($D83,Milestones!$AA$156),"dd mmm yy"))&amp;" "&amp;Milestones!$AB$156&amp;" "&amp;IF(AND(Milestones!$AB$156="FT",Milestones!$AA$156=FT_Y5,EDATE($D83,Milestones!$AA$156)&lt;PolicyEff),1,Milestones!$AC$156)&amp;";  ","")&amp;IF(AND(EDATE($D83,Milestones!$AA$157)&lt;=AsOfDate,EDATE($D83,Milestones!$AA$157)&gt;=SchemeStart,IF($X83=0,$AD83,IF(AND($Z83&lt;&gt;"",EDATE($D83,Milestones!$AA$157)&gt;=$Z83),$AC83,IF(AND($Y83&lt;&gt;"",EDATE($D83,Milestones!$AA$157)&gt;=$Y83),$AB83,$AA83)))=Milestones!$AB$157),UPPER(TEXT(EDATE($D83,Milestones!$AA$157),"dd mmm yy"))&amp;" "&amp;Milestones!$AB$157&amp;" "&amp;IF(AND(Milestones!$AB$157="FT",Milestones!$AA$157=FT_Y5,EDATE($D83,Milestones!$AA$157)&lt;PolicyEff),1,Milestones!$AC$157)&amp;";  ","")&amp;IF(AND(EDATE($D83,Milestones!$AA$158)&lt;=AsOfDate,EDATE($D83,Milestones!$AA$158)&gt;=SchemeStart,IF($X83=0,$AD83,IF(AND($Z83&lt;&gt;"",EDATE($D83,Milestones!$AA$158)&gt;=$Z83),$AC83,IF(AND($Y83&lt;&gt;"",EDATE($D83,Milestones!$AA$158)&gt;=$Y83),$AB83,$AA83)))=Milestones!$AB$158),UPPER(TEXT(EDATE($D83,Milestones!$AA$158),"dd mmm yy"))&amp;" "&amp;Milestones!$AB$158&amp;" "&amp;IF(AND(Milestones!$AB$158="FT",Milestones!$AA$158=FT_Y5,EDATE($D83,Milestones!$AA$158)&lt;PolicyEff),1,Milestones!$AC$158)&amp;";  ","")&amp;IF(AND(EDATE($D83,Milestones!$AA$159)&lt;=AsOfDate,EDATE($D83,Milestones!$AA$159)&gt;=SchemeStart,IF($X83=0,$AD83,IF(AND($Z83&lt;&gt;"",EDATE($D83,Milestones!$AA$159)&gt;=$Z83),$AC83,IF(AND($Y83&lt;&gt;"",EDATE($D83,Milestones!$AA$159)&gt;=$Y83),$AB83,$AA83)))=Milestones!$AB$159),UPPER(TEXT(EDATE($D83,Milestones!$AA$159),"dd mmm yy"))&amp;" "&amp;Milestones!$AB$159&amp;" "&amp;IF(AND(Milestones!$AB$159="FT",Milestones!$AA$159=FT_Y5,EDATE($D83,Milestones!$AA$159)&lt;PolicyEff),1,Milestones!$AC$159)&amp;";  ","")&amp;IF(AND(EDATE($D83,Milestones!$AA$160)&lt;=AsOfDate,EDATE($D83,Milestones!$AA$160)&gt;=SchemeStart,IF($X83=0,$AD83,IF(AND($Z83&lt;&gt;"",EDATE($D83,Milestones!$AA$160)&gt;=$Z83),$AC83,IF(AND($Y83&lt;&gt;"",EDATE($D83,Milestones!$AA$160)&gt;=$Y83),$AB83,$AA83)))=Milestones!$AB$160),UPPER(TEXT(EDATE($D83,Milestones!$AA$160),"dd mmm yy"))&amp;" "&amp;Milestones!$AB$160&amp;" "&amp;IF(AND(Milestones!$AB$160="FT",Milestones!$AA$160=FT_Y5,EDATE($D83,Milestones!$AA$160)&lt;PolicyEff),1,Milestones!$AC$160)&amp;";  ","")&amp;IF(AND(EDATE($D83,Milestones!$AA$161)&lt;=AsOfDate,EDATE($D83,Milestones!$AA$161)&gt;=SchemeStart,IF($X83=0,$AD83,IF(AND($Z83&lt;&gt;"",EDATE($D83,Milestones!$AA$161)&gt;=$Z83),$AC83,IF(AND($Y83&lt;&gt;"",EDATE($D83,Milestones!$AA$161)&gt;=$Y83),$AB83,$AA83)))=Milestones!$AB$161),UPPER(TEXT(EDATE($D83,Milestones!$AA$161),"dd mmm yy"))&amp;" "&amp;Milestones!$AB$161&amp;" "&amp;IF(AND(Milestones!$AB$161="FT",Milestones!$AA$161=FT_Y5,EDATE($D83,Milestones!$AA$161)&lt;PolicyEff),1,Milestones!$AC$161)&amp;";  ","")&amp;IF(AND(EDATE($D83,Milestones!$AA$162)&lt;=AsOfDate,EDATE($D83,Milestones!$AA$162)&gt;=SchemeStart,IF($X83=0,$AD83,IF(AND($Z83&lt;&gt;"",EDATE($D83,Milestones!$AA$162)&gt;=$Z83),$AC83,IF(AND($Y83&lt;&gt;"",EDATE($D83,Milestones!$AA$162)&gt;=$Y83),$AB83,$AA83)))=Milestones!$AB$162),UPPER(TEXT(EDATE($D83,Milestones!$AA$162),"dd mmm yy"))&amp;" "&amp;Milestones!$AB$162&amp;" "&amp;IF(AND(Milestones!$AB$162="FT",Milestones!$AA$162=FT_Y5,EDATE($D83,Milestones!$AA$162)&lt;PolicyEff),1,Milestones!$AC$162)&amp;";  ","")&amp;IF(AND(EDATE($D83,Milestones!$AA$163)&lt;=AsOfDate,EDATE($D83,Milestones!$AA$163)&gt;=SchemeStart,IF($X83=0,$AD83,IF(AND($Z83&lt;&gt;"",EDATE($D83,Milestones!$AA$163)&gt;=$Z83),$AC83,IF(AND($Y83&lt;&gt;"",EDATE($D83,Milestones!$AA$163)&gt;=$Y83),$AB83,$AA83)))=Milestones!$AB$163),UPPER(TEXT(EDATE($D83,Milestones!$AA$163),"dd mmm yy"))&amp;" "&amp;Milestones!$AB$163&amp;" "&amp;IF(AND(Milestones!$AB$163="FT",Milestones!$AA$163=FT_Y5,EDATE($D83,Milestones!$AA$163)&lt;PolicyEff),1,Milestones!$AC$163)&amp;";  ",""))</f>
        <v/>
      </c>
      <c r="U83" s="0" t="str">
        <f aca="false">IF(OR($A83="",$D83=""),"",IF(AND(EDATE($D83,Milestones!$AA$164)&lt;=AsOfDate,EDATE($D83,Milestones!$AA$164)&gt;=SchemeStart,IF($X83=0,$AD83,IF(AND($Z83&lt;&gt;"",EDATE($D83,Milestones!$AA$164)&gt;=$Z83),$AC83,IF(AND($Y83&lt;&gt;"",EDATE($D83,Milestones!$AA$164)&gt;=$Y83),$AB83,$AA83)))=Milestones!$AB$164),UPPER(TEXT(EDATE($D83,Milestones!$AA$164),"dd mmm yy"))&amp;" "&amp;Milestones!$AB$164&amp;" "&amp;IF(AND(Milestones!$AB$164="FT",Milestones!$AA$164=FT_Y5,EDATE($D83,Milestones!$AA$164)&lt;PolicyEff),1,Milestones!$AC$164)&amp;";  ","")&amp;IF(AND(EDATE($D83,Milestones!$AA$165)&lt;=AsOfDate,EDATE($D83,Milestones!$AA$165)&gt;=SchemeStart,IF($X83=0,$AD83,IF(AND($Z83&lt;&gt;"",EDATE($D83,Milestones!$AA$165)&gt;=$Z83),$AC83,IF(AND($Y83&lt;&gt;"",EDATE($D83,Milestones!$AA$165)&gt;=$Y83),$AB83,$AA83)))=Milestones!$AB$165),UPPER(TEXT(EDATE($D83,Milestones!$AA$165),"dd mmm yy"))&amp;" "&amp;Milestones!$AB$165&amp;" "&amp;IF(AND(Milestones!$AB$165="FT",Milestones!$AA$165=FT_Y5,EDATE($D83,Milestones!$AA$165)&lt;PolicyEff),1,Milestones!$AC$165)&amp;";  ","")&amp;IF(AND(EDATE($D83,Milestones!$AA$166)&lt;=AsOfDate,EDATE($D83,Milestones!$AA$166)&gt;=SchemeStart,IF($X83=0,$AD83,IF(AND($Z83&lt;&gt;"",EDATE($D83,Milestones!$AA$166)&gt;=$Z83),$AC83,IF(AND($Y83&lt;&gt;"",EDATE($D83,Milestones!$AA$166)&gt;=$Y83),$AB83,$AA83)))=Milestones!$AB$166),UPPER(TEXT(EDATE($D83,Milestones!$AA$166),"dd mmm yy"))&amp;" "&amp;Milestones!$AB$166&amp;" "&amp;IF(AND(Milestones!$AB$166="FT",Milestones!$AA$166=FT_Y5,EDATE($D83,Milestones!$AA$166)&lt;PolicyEff),1,Milestones!$AC$166)&amp;";  ","")&amp;IF(AND(EDATE($D83,Milestones!$AA$167)&lt;=AsOfDate,EDATE($D83,Milestones!$AA$167)&gt;=SchemeStart,IF($X83=0,$AD83,IF(AND($Z83&lt;&gt;"",EDATE($D83,Milestones!$AA$167)&gt;=$Z83),$AC83,IF(AND($Y83&lt;&gt;"",EDATE($D83,Milestones!$AA$167)&gt;=$Y83),$AB83,$AA83)))=Milestones!$AB$167),UPPER(TEXT(EDATE($D83,Milestones!$AA$167),"dd mmm yy"))&amp;" "&amp;Milestones!$AB$167&amp;" "&amp;IF(AND(Milestones!$AB$167="FT",Milestones!$AA$167=FT_Y5,EDATE($D83,Milestones!$AA$167)&lt;PolicyEff),1,Milestones!$AC$167)&amp;";  ","")&amp;IF(AND(EDATE($D83,Milestones!$AA$168)&lt;=AsOfDate,EDATE($D83,Milestones!$AA$168)&gt;=SchemeStart,IF($X83=0,$AD83,IF(AND($Z83&lt;&gt;"",EDATE($D83,Milestones!$AA$168)&gt;=$Z83),$AC83,IF(AND($Y83&lt;&gt;"",EDATE($D83,Milestones!$AA$168)&gt;=$Y83),$AB83,$AA83)))=Milestones!$AB$168),UPPER(TEXT(EDATE($D83,Milestones!$AA$168),"dd mmm yy"))&amp;" "&amp;Milestones!$AB$168&amp;" "&amp;IF(AND(Milestones!$AB$168="FT",Milestones!$AA$168=FT_Y5,EDATE($D83,Milestones!$AA$168)&lt;PolicyEff),1,Milestones!$AC$168)&amp;";  ","")&amp;IF(AND(EDATE($D83,Milestones!$AA$169)&lt;=AsOfDate,EDATE($D83,Milestones!$AA$169)&gt;=SchemeStart,IF($X83=0,$AD83,IF(AND($Z83&lt;&gt;"",EDATE($D83,Milestones!$AA$169)&gt;=$Z83),$AC83,IF(AND($Y83&lt;&gt;"",EDATE($D83,Milestones!$AA$169)&gt;=$Y83),$AB83,$AA83)))=Milestones!$AB$169),UPPER(TEXT(EDATE($D83,Milestones!$AA$169),"dd mmm yy"))&amp;" "&amp;Milestones!$AB$169&amp;" "&amp;IF(AND(Milestones!$AB$169="FT",Milestones!$AA$169=FT_Y5,EDATE($D83,Milestones!$AA$169)&lt;PolicyEff),1,Milestones!$AC$169)&amp;";  ","")&amp;IF(AND(EDATE($D83,Milestones!$AA$170)&lt;=AsOfDate,EDATE($D83,Milestones!$AA$170)&gt;=SchemeStart,IF($X83=0,$AD83,IF(AND($Z83&lt;&gt;"",EDATE($D83,Milestones!$AA$170)&gt;=$Z83),$AC83,IF(AND($Y83&lt;&gt;"",EDATE($D83,Milestones!$AA$170)&gt;=$Y83),$AB83,$AA83)))=Milestones!$AB$170),UPPER(TEXT(EDATE($D83,Milestones!$AA$170),"dd mmm yy"))&amp;" "&amp;Milestones!$AB$170&amp;" "&amp;IF(AND(Milestones!$AB$170="FT",Milestones!$AA$170=FT_Y5,EDATE($D83,Milestones!$AA$170)&lt;PolicyEff),1,Milestones!$AC$170)&amp;";  ","")&amp;IF(AND(EDATE($D83,Milestones!$AA$171)&lt;=AsOfDate,EDATE($D83,Milestones!$AA$171)&gt;=SchemeStart,IF($X83=0,$AD83,IF(AND($Z83&lt;&gt;"",EDATE($D83,Milestones!$AA$171)&gt;=$Z83),$AC83,IF(AND($Y83&lt;&gt;"",EDATE($D83,Milestones!$AA$171)&gt;=$Y83),$AB83,$AA83)))=Milestones!$AB$171),UPPER(TEXT(EDATE($D83,Milestones!$AA$171),"dd mmm yy"))&amp;" "&amp;Milestones!$AB$171&amp;" "&amp;IF(AND(Milestones!$AB$171="FT",Milestones!$AA$171=FT_Y5,EDATE($D83,Milestones!$AA$171)&lt;PolicyEff),1,Milestones!$AC$171)&amp;";  ","")&amp;IF(AND(EDATE($D83,Milestones!$AA$172)&lt;=AsOfDate,EDATE($D83,Milestones!$AA$172)&gt;=SchemeStart,IF($X83=0,$AD83,IF(AND($Z83&lt;&gt;"",EDATE($D83,Milestones!$AA$172)&gt;=$Z83),$AC83,IF(AND($Y83&lt;&gt;"",EDATE($D83,Milestones!$AA$172)&gt;=$Y83),$AB83,$AA83)))=Milestones!$AB$172),UPPER(TEXT(EDATE($D83,Milestones!$AA$172),"dd mmm yy"))&amp;" "&amp;Milestones!$AB$172&amp;" "&amp;IF(AND(Milestones!$AB$172="FT",Milestones!$AA$172=FT_Y5,EDATE($D83,Milestones!$AA$172)&lt;PolicyEff),1,Milestones!$AC$172)&amp;";  ","")&amp;IF(AND(EDATE($D83,Milestones!$AA$173)&lt;=AsOfDate,EDATE($D83,Milestones!$AA$173)&gt;=SchemeStart,IF($X83=0,$AD83,IF(AND($Z83&lt;&gt;"",EDATE($D83,Milestones!$AA$173)&gt;=$Z83),$AC83,IF(AND($Y83&lt;&gt;"",EDATE($D83,Milestones!$AA$173)&gt;=$Y83),$AB83,$AA83)))=Milestones!$AB$173),UPPER(TEXT(EDATE($D83,Milestones!$AA$173),"dd mmm yy"))&amp;" "&amp;Milestones!$AB$173&amp;" "&amp;IF(AND(Milestones!$AB$173="FT",Milestones!$AA$173=FT_Y5,EDATE($D83,Milestones!$AA$173)&lt;PolicyEff),1,Milestones!$AC$173)&amp;";  ","")&amp;IF(AND(EDATE($D83,Milestones!$AA$174)&lt;=AsOfDate,EDATE($D83,Milestones!$AA$174)&gt;=SchemeStart,IF($X83=0,$AD83,IF(AND($Z83&lt;&gt;"",EDATE($D83,Milestones!$AA$174)&gt;=$Z83),$AC83,IF(AND($Y83&lt;&gt;"",EDATE($D83,Milestones!$AA$174)&gt;=$Y83),$AB83,$AA83)))=Milestones!$AB$174),UPPER(TEXT(EDATE($D83,Milestones!$AA$174),"dd mmm yy"))&amp;" "&amp;Milestones!$AB$174&amp;" "&amp;IF(AND(Milestones!$AB$174="FT",Milestones!$AA$174=FT_Y5,EDATE($D83,Milestones!$AA$174)&lt;PolicyEff),1,Milestones!$AC$174)&amp;";  ","")&amp;IF(AND(EDATE($D83,Milestones!$AA$175)&lt;=AsOfDate,EDATE($D83,Milestones!$AA$175)&gt;=SchemeStart,IF($X83=0,$AD83,IF(AND($Z83&lt;&gt;"",EDATE($D83,Milestones!$AA$175)&gt;=$Z83),$AC83,IF(AND($Y83&lt;&gt;"",EDATE($D83,Milestones!$AA$175)&gt;=$Y83),$AB83,$AA83)))=Milestones!$AB$175),UPPER(TEXT(EDATE($D83,Milestones!$AA$175),"dd mmm yy"))&amp;" "&amp;Milestones!$AB$175&amp;" "&amp;IF(AND(Milestones!$AB$175="FT",Milestones!$AA$175=FT_Y5,EDATE($D83,Milestones!$AA$175)&lt;PolicyEff),1,Milestones!$AC$175)&amp;";  ",""))</f>
        <v/>
      </c>
      <c r="V83" s="0" t="str">
        <f aca="false">IF(OR($A83="",$D83=""),"",IF(AND(EDATE($D83,Milestones!$AA$176)&lt;=AsOfDate,EDATE($D83,Milestones!$AA$176)&gt;=SchemeStart,IF($X83=0,$AD83,IF(AND($Z83&lt;&gt;"",EDATE($D83,Milestones!$AA$176)&gt;=$Z83),$AC83,IF(AND($Y83&lt;&gt;"",EDATE($D83,Milestones!$AA$176)&gt;=$Y83),$AB83,$AA83)))=Milestones!$AB$176),UPPER(TEXT(EDATE($D83,Milestones!$AA$176),"dd mmm yy"))&amp;" "&amp;Milestones!$AB$176&amp;" "&amp;IF(AND(Milestones!$AB$176="FT",Milestones!$AA$176=FT_Y5,EDATE($D83,Milestones!$AA$176)&lt;PolicyEff),1,Milestones!$AC$176)&amp;";  ","")&amp;IF(AND(EDATE($D83,Milestones!$AA$177)&lt;=AsOfDate,EDATE($D83,Milestones!$AA$177)&gt;=SchemeStart,IF($X83=0,$AD83,IF(AND($Z83&lt;&gt;"",EDATE($D83,Milestones!$AA$177)&gt;=$Z83),$AC83,IF(AND($Y83&lt;&gt;"",EDATE($D83,Milestones!$AA$177)&gt;=$Y83),$AB83,$AA83)))=Milestones!$AB$177),UPPER(TEXT(EDATE($D83,Milestones!$AA$177),"dd mmm yy"))&amp;" "&amp;Milestones!$AB$177&amp;" "&amp;IF(AND(Milestones!$AB$177="FT",Milestones!$AA$177=FT_Y5,EDATE($D83,Milestones!$AA$177)&lt;PolicyEff),1,Milestones!$AC$177)&amp;";  ","")&amp;IF(AND(EDATE($D83,Milestones!$AA$178)&lt;=AsOfDate,EDATE($D83,Milestones!$AA$178)&gt;=SchemeStart,IF($X83=0,$AD83,IF(AND($Z83&lt;&gt;"",EDATE($D83,Milestones!$AA$178)&gt;=$Z83),$AC83,IF(AND($Y83&lt;&gt;"",EDATE($D83,Milestones!$AA$178)&gt;=$Y83),$AB83,$AA83)))=Milestones!$AB$178),UPPER(TEXT(EDATE($D83,Milestones!$AA$178),"dd mmm yy"))&amp;" "&amp;Milestones!$AB$178&amp;" "&amp;IF(AND(Milestones!$AB$178="FT",Milestones!$AA$178=FT_Y5,EDATE($D83,Milestones!$AA$178)&lt;PolicyEff),1,Milestones!$AC$178)&amp;";  ","")&amp;IF(AND(EDATE($D83,Milestones!$AA$179)&lt;=AsOfDate,EDATE($D83,Milestones!$AA$179)&gt;=SchemeStart,IF($X83=0,$AD83,IF(AND($Z83&lt;&gt;"",EDATE($D83,Milestones!$AA$179)&gt;=$Z83),$AC83,IF(AND($Y83&lt;&gt;"",EDATE($D83,Milestones!$AA$179)&gt;=$Y83),$AB83,$AA83)))=Milestones!$AB$179),UPPER(TEXT(EDATE($D83,Milestones!$AA$179),"dd mmm yy"))&amp;" "&amp;Milestones!$AB$179&amp;" "&amp;IF(AND(Milestones!$AB$179="FT",Milestones!$AA$179=FT_Y5,EDATE($D83,Milestones!$AA$179)&lt;PolicyEff),1,Milestones!$AC$179)&amp;";  ","")&amp;IF(AND(EDATE($D83,Milestones!$AA$180)&lt;=AsOfDate,EDATE($D83,Milestones!$AA$180)&gt;=SchemeStart,IF($X83=0,$AD83,IF(AND($Z83&lt;&gt;"",EDATE($D83,Milestones!$AA$180)&gt;=$Z83),$AC83,IF(AND($Y83&lt;&gt;"",EDATE($D83,Milestones!$AA$180)&gt;=$Y83),$AB83,$AA83)))=Milestones!$AB$180),UPPER(TEXT(EDATE($D83,Milestones!$AA$180),"dd mmm yy"))&amp;" "&amp;Milestones!$AB$180&amp;" "&amp;IF(AND(Milestones!$AB$180="FT",Milestones!$AA$180=FT_Y5,EDATE($D83,Milestones!$AA$180)&lt;PolicyEff),1,Milestones!$AC$180)&amp;";  ","")&amp;IF(AND(EDATE($D83,Milestones!$AA$181)&lt;=AsOfDate,EDATE($D83,Milestones!$AA$181)&gt;=SchemeStart,IF($X83=0,$AD83,IF(AND($Z83&lt;&gt;"",EDATE($D83,Milestones!$AA$181)&gt;=$Z83),$AC83,IF(AND($Y83&lt;&gt;"",EDATE($D83,Milestones!$AA$181)&gt;=$Y83),$AB83,$AA83)))=Milestones!$AB$181),UPPER(TEXT(EDATE($D83,Milestones!$AA$181),"dd mmm yy"))&amp;" "&amp;Milestones!$AB$181&amp;" "&amp;IF(AND(Milestones!$AB$181="FT",Milestones!$AA$181=FT_Y5,EDATE($D83,Milestones!$AA$181)&lt;PolicyEff),1,Milestones!$AC$181)&amp;";  ","")&amp;IF(AND(EDATE($D83,Milestones!$AA$182)&lt;=AsOfDate,EDATE($D83,Milestones!$AA$182)&gt;=SchemeStart,IF($X83=0,$AD83,IF(AND($Z83&lt;&gt;"",EDATE($D83,Milestones!$AA$182)&gt;=$Z83),$AC83,IF(AND($Y83&lt;&gt;"",EDATE($D83,Milestones!$AA$182)&gt;=$Y83),$AB83,$AA83)))=Milestones!$AB$182),UPPER(TEXT(EDATE($D83,Milestones!$AA$182),"dd mmm yy"))&amp;" "&amp;Milestones!$AB$182&amp;" "&amp;IF(AND(Milestones!$AB$182="FT",Milestones!$AA$182=FT_Y5,EDATE($D83,Milestones!$AA$182)&lt;PolicyEff),1,Milestones!$AC$182)&amp;";  ","")&amp;IF(AND(EDATE($D83,Milestones!$AA$183)&lt;=AsOfDate,EDATE($D83,Milestones!$AA$183)&gt;=SchemeStart,IF($X83=0,$AD83,IF(AND($Z83&lt;&gt;"",EDATE($D83,Milestones!$AA$183)&gt;=$Z83),$AC83,IF(AND($Y83&lt;&gt;"",EDATE($D83,Milestones!$AA$183)&gt;=$Y83),$AB83,$AA83)))=Milestones!$AB$183),UPPER(TEXT(EDATE($D83,Milestones!$AA$183),"dd mmm yy"))&amp;" "&amp;Milestones!$AB$183&amp;" "&amp;IF(AND(Milestones!$AB$183="FT",Milestones!$AA$183=FT_Y5,EDATE($D83,Milestones!$AA$183)&lt;PolicyEff),1,Milestones!$AC$183)&amp;";  ","")&amp;IF(AND(EDATE($D83,Milestones!$AA$184)&lt;=AsOfDate,EDATE($D83,Milestones!$AA$184)&gt;=SchemeStart,IF($X83=0,$AD83,IF(AND($Z83&lt;&gt;"",EDATE($D83,Milestones!$AA$184)&gt;=$Z83),$AC83,IF(AND($Y83&lt;&gt;"",EDATE($D83,Milestones!$AA$184)&gt;=$Y83),$AB83,$AA83)))=Milestones!$AB$184),UPPER(TEXT(EDATE($D83,Milestones!$AA$184),"dd mmm yy"))&amp;" "&amp;Milestones!$AB$184&amp;" "&amp;IF(AND(Milestones!$AB$184="FT",Milestones!$AA$184=FT_Y5,EDATE($D83,Milestones!$AA$184)&lt;PolicyEff),1,Milestones!$AC$184)&amp;";  ","")&amp;IF(AND(EDATE($D83,Milestones!$AA$185)&lt;=AsOfDate,EDATE($D83,Milestones!$AA$185)&gt;=SchemeStart,IF($X83=0,$AD83,IF(AND($Z83&lt;&gt;"",EDATE($D83,Milestones!$AA$185)&gt;=$Z83),$AC83,IF(AND($Y83&lt;&gt;"",EDATE($D83,Milestones!$AA$185)&gt;=$Y83),$AB83,$AA83)))=Milestones!$AB$185),UPPER(TEXT(EDATE($D83,Milestones!$AA$185),"dd mmm yy"))&amp;" "&amp;Milestones!$AB$185&amp;" "&amp;IF(AND(Milestones!$AB$185="FT",Milestones!$AA$185=FT_Y5,EDATE($D83,Milestones!$AA$185)&lt;PolicyEff),1,Milestones!$AC$185)&amp;";  ","")&amp;IF(AND(EDATE($D83,Milestones!$AA$186)&lt;=AsOfDate,EDATE($D83,Milestones!$AA$186)&gt;=SchemeStart,IF($X83=0,$AD83,IF(AND($Z83&lt;&gt;"",EDATE($D83,Milestones!$AA$186)&gt;=$Z83),$AC83,IF(AND($Y83&lt;&gt;"",EDATE($D83,Milestones!$AA$186)&gt;=$Y83),$AB83,$AA83)))=Milestones!$AB$186),UPPER(TEXT(EDATE($D83,Milestones!$AA$186),"dd mmm yy"))&amp;" "&amp;Milestones!$AB$186&amp;" "&amp;IF(AND(Milestones!$AB$186="FT",Milestones!$AA$186=FT_Y5,EDATE($D83,Milestones!$AA$186)&lt;PolicyEff),1,Milestones!$AC$186)&amp;";  ","")&amp;IF(AND(EDATE($D83,Milestones!$AA$187)&lt;=AsOfDate,EDATE($D83,Milestones!$AA$187)&gt;=SchemeStart,IF($X83=0,$AD83,IF(AND($Z83&lt;&gt;"",EDATE($D83,Milestones!$AA$187)&gt;=$Z83),$AC83,IF(AND($Y83&lt;&gt;"",EDATE($D83,Milestones!$AA$187)&gt;=$Y83),$AB83,$AA83)))=Milestones!$AB$187),UPPER(TEXT(EDATE($D83,Milestones!$AA$187),"dd mmm yy"))&amp;" "&amp;Milestones!$AB$187&amp;" "&amp;IF(AND(Milestones!$AB$187="FT",Milestones!$AA$187=FT_Y5,EDATE($D83,Milestones!$AA$187)&lt;PolicyEff),1,Milestones!$AC$187)&amp;";  ",""))</f>
        <v/>
      </c>
      <c r="W83" s="0" t="str">
        <f aca="false">IF(OR($A83="",$D83=""),"",IF(AND(EDATE($D83,Milestones!$AA$188)&lt;=AsOfDate,EDATE($D83,Milestones!$AA$188)&gt;=SchemeStart,IF($X83=0,$AD83,IF(AND($Z83&lt;&gt;"",EDATE($D83,Milestones!$AA$188)&gt;=$Z83),$AC83,IF(AND($Y83&lt;&gt;"",EDATE($D83,Milestones!$AA$188)&gt;=$Y83),$AB83,$AA83)))=Milestones!$AB$188),UPPER(TEXT(EDATE($D83,Milestones!$AA$188),"dd mmm yy"))&amp;" "&amp;Milestones!$AB$188&amp;" "&amp;IF(AND(Milestones!$AB$188="FT",Milestones!$AA$188=FT_Y5,EDATE($D83,Milestones!$AA$188)&lt;PolicyEff),1,Milestones!$AC$188)&amp;";  ","")&amp;IF(AND(EDATE($D83,Milestones!$AA$189)&lt;=AsOfDate,EDATE($D83,Milestones!$AA$189)&gt;=SchemeStart,IF($X83=0,$AD83,IF(AND($Z83&lt;&gt;"",EDATE($D83,Milestones!$AA$189)&gt;=$Z83),$AC83,IF(AND($Y83&lt;&gt;"",EDATE($D83,Milestones!$AA$189)&gt;=$Y83),$AB83,$AA83)))=Milestones!$AB$189),UPPER(TEXT(EDATE($D83,Milestones!$AA$189),"dd mmm yy"))&amp;" "&amp;Milestones!$AB$189&amp;" "&amp;IF(AND(Milestones!$AB$189="FT",Milestones!$AA$189=FT_Y5,EDATE($D83,Milestones!$AA$189)&lt;PolicyEff),1,Milestones!$AC$189)&amp;";  ","")&amp;IF(AND(EDATE($D83,Milestones!$AA$190)&lt;=AsOfDate,EDATE($D83,Milestones!$AA$190)&gt;=SchemeStart,IF($X83=0,$AD83,IF(AND($Z83&lt;&gt;"",EDATE($D83,Milestones!$AA$190)&gt;=$Z83),$AC83,IF(AND($Y83&lt;&gt;"",EDATE($D83,Milestones!$AA$190)&gt;=$Y83),$AB83,$AA83)))=Milestones!$AB$190),UPPER(TEXT(EDATE($D83,Milestones!$AA$190),"dd mmm yy"))&amp;" "&amp;Milestones!$AB$190&amp;" "&amp;IF(AND(Milestones!$AB$190="FT",Milestones!$AA$190=FT_Y5,EDATE($D83,Milestones!$AA$190)&lt;PolicyEff),1,Milestones!$AC$190)&amp;";  ","")&amp;IF(AND(EDATE($D83,Milestones!$AA$191)&lt;=AsOfDate,EDATE($D83,Milestones!$AA$191)&gt;=SchemeStart,IF($X83=0,$AD83,IF(AND($Z83&lt;&gt;"",EDATE($D83,Milestones!$AA$191)&gt;=$Z83),$AC83,IF(AND($Y83&lt;&gt;"",EDATE($D83,Milestones!$AA$191)&gt;=$Y83),$AB83,$AA83)))=Milestones!$AB$191),UPPER(TEXT(EDATE($D83,Milestones!$AA$191),"dd mmm yy"))&amp;" "&amp;Milestones!$AB$191&amp;" "&amp;IF(AND(Milestones!$AB$191="FT",Milestones!$AA$191=FT_Y5,EDATE($D83,Milestones!$AA$191)&lt;PolicyEff),1,Milestones!$AC$191)&amp;";  ","")&amp;IF(AND(EDATE($D83,Milestones!$AA$192)&lt;=AsOfDate,EDATE($D83,Milestones!$AA$192)&gt;=SchemeStart,IF($X83=0,$AD83,IF(AND($Z83&lt;&gt;"",EDATE($D83,Milestones!$AA$192)&gt;=$Z83),$AC83,IF(AND($Y83&lt;&gt;"",EDATE($D83,Milestones!$AA$192)&gt;=$Y83),$AB83,$AA83)))=Milestones!$AB$192),UPPER(TEXT(EDATE($D83,Milestones!$AA$192),"dd mmm yy"))&amp;" "&amp;Milestones!$AB$192&amp;" "&amp;IF(AND(Milestones!$AB$192="FT",Milestones!$AA$192=FT_Y5,EDATE($D83,Milestones!$AA$192)&lt;PolicyEff),1,Milestones!$AC$192)&amp;";  ","")&amp;IF(AND(EDATE($D83,Milestones!$AA$193)&lt;=AsOfDate,EDATE($D83,Milestones!$AA$193)&gt;=SchemeStart,IF($X83=0,$AD83,IF(AND($Z83&lt;&gt;"",EDATE($D83,Milestones!$AA$193)&gt;=$Z83),$AC83,IF(AND($Y83&lt;&gt;"",EDATE($D83,Milestones!$AA$193)&gt;=$Y83),$AB83,$AA83)))=Milestones!$AB$193),UPPER(TEXT(EDATE($D83,Milestones!$AA$193),"dd mmm yy"))&amp;" "&amp;Milestones!$AB$193&amp;" "&amp;IF(AND(Milestones!$AB$193="FT",Milestones!$AA$193=FT_Y5,EDATE($D83,Milestones!$AA$193)&lt;PolicyEff),1,Milestones!$AC$193)&amp;";  ","")&amp;IF(AND(EDATE($D83,Milestones!$AA$194)&lt;=AsOfDate,EDATE($D83,Milestones!$AA$194)&gt;=SchemeStart,IF($X83=0,$AD83,IF(AND($Z83&lt;&gt;"",EDATE($D83,Milestones!$AA$194)&gt;=$Z83),$AC83,IF(AND($Y83&lt;&gt;"",EDATE($D83,Milestones!$AA$194)&gt;=$Y83),$AB83,$AA83)))=Milestones!$AB$194),UPPER(TEXT(EDATE($D83,Milestones!$AA$194),"dd mmm yy"))&amp;" "&amp;Milestones!$AB$194&amp;" "&amp;IF(AND(Milestones!$AB$194="FT",Milestones!$AA$194=FT_Y5,EDATE($D83,Milestones!$AA$194)&lt;PolicyEff),1,Milestones!$AC$194)&amp;";  ","")&amp;IF(AND(EDATE($D83,Milestones!$AA$195)&lt;=AsOfDate,EDATE($D83,Milestones!$AA$195)&gt;=SchemeStart,IF($X83=0,$AD83,IF(AND($Z83&lt;&gt;"",EDATE($D83,Milestones!$AA$195)&gt;=$Z83),$AC83,IF(AND($Y83&lt;&gt;"",EDATE($D83,Milestones!$AA$195)&gt;=$Y83),$AB83,$AA83)))=Milestones!$AB$195),UPPER(TEXT(EDATE($D83,Milestones!$AA$195),"dd mmm yy"))&amp;" "&amp;Milestones!$AB$195&amp;" "&amp;IF(AND(Milestones!$AB$195="FT",Milestones!$AA$195=FT_Y5,EDATE($D83,Milestones!$AA$195)&lt;PolicyEff),1,Milestones!$AC$195)&amp;";  ","")&amp;IF(AND(EDATE($D83,Milestones!$AA$196)&lt;=AsOfDate,EDATE($D83,Milestones!$AA$196)&gt;=SchemeStart,IF($X83=0,$AD83,IF(AND($Z83&lt;&gt;"",EDATE($D83,Milestones!$AA$196)&gt;=$Z83),$AC83,IF(AND($Y83&lt;&gt;"",EDATE($D83,Milestones!$AA$196)&gt;=$Y83),$AB83,$AA83)))=Milestones!$AB$196),UPPER(TEXT(EDATE($D83,Milestones!$AA$196),"dd mmm yy"))&amp;" "&amp;Milestones!$AB$196&amp;" "&amp;IF(AND(Milestones!$AB$196="FT",Milestones!$AA$196=FT_Y5,EDATE($D83,Milestones!$AA$196)&lt;PolicyEff),1,Milestones!$AC$196)&amp;";  ","")&amp;IF(AND(EDATE($D83,Milestones!$AA$197)&lt;=AsOfDate,EDATE($D83,Milestones!$AA$197)&gt;=SchemeStart,IF($X83=0,$AD83,IF(AND($Z83&lt;&gt;"",EDATE($D83,Milestones!$AA$197)&gt;=$Z83),$AC83,IF(AND($Y83&lt;&gt;"",EDATE($D83,Milestones!$AA$197)&gt;=$Y83),$AB83,$AA83)))=Milestones!$AB$197),UPPER(TEXT(EDATE($D83,Milestones!$AA$197),"dd mmm yy"))&amp;" "&amp;Milestones!$AB$197&amp;" "&amp;IF(AND(Milestones!$AB$197="FT",Milestones!$AA$197=FT_Y5,EDATE($D83,Milestones!$AA$197)&lt;PolicyEff),1,Milestones!$AC$197)&amp;";  ","")&amp;IF(AND(EDATE($D83,Milestones!$AA$198)&lt;=AsOfDate,EDATE($D83,Milestones!$AA$198)&gt;=SchemeStart,IF($X83=0,$AD83,IF(AND($Z83&lt;&gt;"",EDATE($D83,Milestones!$AA$198)&gt;=$Z83),$AC83,IF(AND($Y83&lt;&gt;"",EDATE($D83,Milestones!$AA$198)&gt;=$Y83),$AB83,$AA83)))=Milestones!$AB$198),UPPER(TEXT(EDATE($D83,Milestones!$AA$198),"dd mmm yy"))&amp;" "&amp;Milestones!$AB$198&amp;" "&amp;IF(AND(Milestones!$AB$198="FT",Milestones!$AA$198=FT_Y5,EDATE($D83,Milestones!$AA$198)&lt;PolicyEff),1,Milestones!$AC$198)&amp;";  ","")&amp;IF(AND(EDATE($D83,Milestones!$AA$199)&lt;=AsOfDate,EDATE($D83,Milestones!$AA$199)&gt;=SchemeStart,IF($X83=0,$AD83,IF(AND($Z83&lt;&gt;"",EDATE($D83,Milestones!$AA$199)&gt;=$Z83),$AC83,IF(AND($Y83&lt;&gt;"",EDATE($D83,Milestones!$AA$199)&gt;=$Y83),$AB83,$AA83)))=Milestones!$AB$199),UPPER(TEXT(EDATE($D83,Milestones!$AA$199),"dd mmm yy"))&amp;" "&amp;Milestones!$AB$199&amp;" "&amp;IF(AND(Milestones!$AB$199="FT",Milestones!$AA$199=FT_Y5,EDATE($D83,Milestones!$AA$199)&lt;PolicyEff),1,Milestones!$AC$199)&amp;";  ",""))</f>
        <v/>
      </c>
      <c r="X83" s="0" t="str">
        <f aca="false">IF(Staff!$A83="","",Staff!$AM83)</f>
        <v/>
      </c>
      <c r="Y83" s="0" t="str">
        <f aca="false">IF(Staff!$A83="","",Staff!$AO83)</f>
        <v/>
      </c>
      <c r="Z83" s="0" t="str">
        <f aca="false">IF(Staff!$A83="","",Staff!$AP83)</f>
        <v/>
      </c>
      <c r="AA83" s="0" t="str">
        <f aca="false">IF(Staff!$A83="","",Staff!$AT83)</f>
        <v/>
      </c>
      <c r="AB83" s="0" t="str">
        <f aca="false">IF(Staff!$A83="","",Staff!$AU83)</f>
        <v/>
      </c>
      <c r="AC83" s="0" t="str">
        <f aca="false">IF(Staff!$A83="","",Staff!$AV83)</f>
        <v/>
      </c>
      <c r="AD83" s="0" t="str">
        <f aca="false">IF(Staff!$A83="","",Staff!$AW83)</f>
        <v/>
      </c>
    </row>
    <row r="84" customFormat="false" ht="15" hidden="false" customHeight="false" outlineLevel="0" collapsed="false">
      <c r="A84" s="16" t="str">
        <f aca="false">IF(Staff!$A84="","",Staff!$A84)</f>
        <v/>
      </c>
      <c r="B84" s="16" t="str">
        <f aca="false">IF(Staff!$A84="","",Staff!$B84)</f>
        <v/>
      </c>
      <c r="C84" s="16" t="str">
        <f aca="false">IF(Staff!$A84="","",Staff!$C84)</f>
        <v/>
      </c>
      <c r="D84" s="14" t="str">
        <f aca="false">IF(Staff!$A84="","",Staff!$AL84)</f>
        <v/>
      </c>
      <c r="E84" s="16" t="str">
        <f aca="false">IF(Staff!$A84="","",Staff!$O84)</f>
        <v/>
      </c>
      <c r="F84" s="16" t="str">
        <f aca="false">IF(E84="","",E84*HoursPerDay)</f>
        <v/>
      </c>
      <c r="G84" s="16" t="str">
        <f aca="false">IF(Staff!$A84="","",Staff!$AE84)</f>
        <v/>
      </c>
      <c r="H84" s="28" t="str">
        <f aca="false">IF($A84="","",I84&amp;J84&amp;K84&amp;L84&amp;M84&amp;N84&amp;O84&amp;P84&amp;Q84&amp;R84&amp;S84&amp;T84&amp;U84&amp;V84&amp;W84)</f>
        <v/>
      </c>
      <c r="I84" s="0" t="str">
        <f aca="false">IF(OR($A84="",$D84=""),"",IF(AND(EDATE($D84,Milestones!$AA$20)&lt;=AsOfDate,EDATE($D84,Milestones!$AA$20)&gt;=SchemeStart,IF($X84=0,$AD84,IF(AND($Z84&lt;&gt;"",EDATE($D84,Milestones!$AA$20)&gt;=$Z84),$AC84,IF(AND($Y84&lt;&gt;"",EDATE($D84,Milestones!$AA$20)&gt;=$Y84),$AB84,$AA84)))=Milestones!$AB$20),UPPER(TEXT(EDATE($D84,Milestones!$AA$20),"dd mmm yy"))&amp;" "&amp;Milestones!$AB$20&amp;" "&amp;IF(AND(Milestones!$AB$20="FT",Milestones!$AA$20=FT_Y5,EDATE($D84,Milestones!$AA$20)&lt;PolicyEff),1,Milestones!$AC$20)&amp;";  ","")&amp;IF(AND(EDATE($D84,Milestones!$AA$21)&lt;=AsOfDate,EDATE($D84,Milestones!$AA$21)&gt;=SchemeStart,IF($X84=0,$AD84,IF(AND($Z84&lt;&gt;"",EDATE($D84,Milestones!$AA$21)&gt;=$Z84),$AC84,IF(AND($Y84&lt;&gt;"",EDATE($D84,Milestones!$AA$21)&gt;=$Y84),$AB84,$AA84)))=Milestones!$AB$21),UPPER(TEXT(EDATE($D84,Milestones!$AA$21),"dd mmm yy"))&amp;" "&amp;Milestones!$AB$21&amp;" "&amp;IF(AND(Milestones!$AB$21="FT",Milestones!$AA$21=FT_Y5,EDATE($D84,Milestones!$AA$21)&lt;PolicyEff),1,Milestones!$AC$21)&amp;";  ","")&amp;IF(AND(EDATE($D84,Milestones!$AA$22)&lt;=AsOfDate,EDATE($D84,Milestones!$AA$22)&gt;=SchemeStart,IF($X84=0,$AD84,IF(AND($Z84&lt;&gt;"",EDATE($D84,Milestones!$AA$22)&gt;=$Z84),$AC84,IF(AND($Y84&lt;&gt;"",EDATE($D84,Milestones!$AA$22)&gt;=$Y84),$AB84,$AA84)))=Milestones!$AB$22),UPPER(TEXT(EDATE($D84,Milestones!$AA$22),"dd mmm yy"))&amp;" "&amp;Milestones!$AB$22&amp;" "&amp;IF(AND(Milestones!$AB$22="FT",Milestones!$AA$22=FT_Y5,EDATE($D84,Milestones!$AA$22)&lt;PolicyEff),1,Milestones!$AC$22)&amp;";  ","")&amp;IF(AND(EDATE($D84,Milestones!$AA$23)&lt;=AsOfDate,EDATE($D84,Milestones!$AA$23)&gt;=SchemeStart,IF($X84=0,$AD84,IF(AND($Z84&lt;&gt;"",EDATE($D84,Milestones!$AA$23)&gt;=$Z84),$AC84,IF(AND($Y84&lt;&gt;"",EDATE($D84,Milestones!$AA$23)&gt;=$Y84),$AB84,$AA84)))=Milestones!$AB$23),UPPER(TEXT(EDATE($D84,Milestones!$AA$23),"dd mmm yy"))&amp;" "&amp;Milestones!$AB$23&amp;" "&amp;IF(AND(Milestones!$AB$23="FT",Milestones!$AA$23=FT_Y5,EDATE($D84,Milestones!$AA$23)&lt;PolicyEff),1,Milestones!$AC$23)&amp;";  ","")&amp;IF(AND(EDATE($D84,Milestones!$AA$24)&lt;=AsOfDate,EDATE($D84,Milestones!$AA$24)&gt;=SchemeStart,IF($X84=0,$AD84,IF(AND($Z84&lt;&gt;"",EDATE($D84,Milestones!$AA$24)&gt;=$Z84),$AC84,IF(AND($Y84&lt;&gt;"",EDATE($D84,Milestones!$AA$24)&gt;=$Y84),$AB84,$AA84)))=Milestones!$AB$24),UPPER(TEXT(EDATE($D84,Milestones!$AA$24),"dd mmm yy"))&amp;" "&amp;Milestones!$AB$24&amp;" "&amp;IF(AND(Milestones!$AB$24="FT",Milestones!$AA$24=FT_Y5,EDATE($D84,Milestones!$AA$24)&lt;PolicyEff),1,Milestones!$AC$24)&amp;";  ","")&amp;IF(AND(EDATE($D84,Milestones!$AA$25)&lt;=AsOfDate,EDATE($D84,Milestones!$AA$25)&gt;=SchemeStart,IF($X84=0,$AD84,IF(AND($Z84&lt;&gt;"",EDATE($D84,Milestones!$AA$25)&gt;=$Z84),$AC84,IF(AND($Y84&lt;&gt;"",EDATE($D84,Milestones!$AA$25)&gt;=$Y84),$AB84,$AA84)))=Milestones!$AB$25),UPPER(TEXT(EDATE($D84,Milestones!$AA$25),"dd mmm yy"))&amp;" "&amp;Milestones!$AB$25&amp;" "&amp;IF(AND(Milestones!$AB$25="FT",Milestones!$AA$25=FT_Y5,EDATE($D84,Milestones!$AA$25)&lt;PolicyEff),1,Milestones!$AC$25)&amp;";  ","")&amp;IF(AND(EDATE($D84,Milestones!$AA$26)&lt;=AsOfDate,EDATE($D84,Milestones!$AA$26)&gt;=SchemeStart,IF($X84=0,$AD84,IF(AND($Z84&lt;&gt;"",EDATE($D84,Milestones!$AA$26)&gt;=$Z84),$AC84,IF(AND($Y84&lt;&gt;"",EDATE($D84,Milestones!$AA$26)&gt;=$Y84),$AB84,$AA84)))=Milestones!$AB$26),UPPER(TEXT(EDATE($D84,Milestones!$AA$26),"dd mmm yy"))&amp;" "&amp;Milestones!$AB$26&amp;" "&amp;IF(AND(Milestones!$AB$26="FT",Milestones!$AA$26=FT_Y5,EDATE($D84,Milestones!$AA$26)&lt;PolicyEff),1,Milestones!$AC$26)&amp;";  ","")&amp;IF(AND(EDATE($D84,Milestones!$AA$27)&lt;=AsOfDate,EDATE($D84,Milestones!$AA$27)&gt;=SchemeStart,IF($X84=0,$AD84,IF(AND($Z84&lt;&gt;"",EDATE($D84,Milestones!$AA$27)&gt;=$Z84),$AC84,IF(AND($Y84&lt;&gt;"",EDATE($D84,Milestones!$AA$27)&gt;=$Y84),$AB84,$AA84)))=Milestones!$AB$27),UPPER(TEXT(EDATE($D84,Milestones!$AA$27),"dd mmm yy"))&amp;" "&amp;Milestones!$AB$27&amp;" "&amp;IF(AND(Milestones!$AB$27="FT",Milestones!$AA$27=FT_Y5,EDATE($D84,Milestones!$AA$27)&lt;PolicyEff),1,Milestones!$AC$27)&amp;";  ","")&amp;IF(AND(EDATE($D84,Milestones!$AA$28)&lt;=AsOfDate,EDATE($D84,Milestones!$AA$28)&gt;=SchemeStart,IF($X84=0,$AD84,IF(AND($Z84&lt;&gt;"",EDATE($D84,Milestones!$AA$28)&gt;=$Z84),$AC84,IF(AND($Y84&lt;&gt;"",EDATE($D84,Milestones!$AA$28)&gt;=$Y84),$AB84,$AA84)))=Milestones!$AB$28),UPPER(TEXT(EDATE($D84,Milestones!$AA$28),"dd mmm yy"))&amp;" "&amp;Milestones!$AB$28&amp;" "&amp;IF(AND(Milestones!$AB$28="FT",Milestones!$AA$28=FT_Y5,EDATE($D84,Milestones!$AA$28)&lt;PolicyEff),1,Milestones!$AC$28)&amp;";  ","")&amp;IF(AND(EDATE($D84,Milestones!$AA$29)&lt;=AsOfDate,EDATE($D84,Milestones!$AA$29)&gt;=SchemeStart,IF($X84=0,$AD84,IF(AND($Z84&lt;&gt;"",EDATE($D84,Milestones!$AA$29)&gt;=$Z84),$AC84,IF(AND($Y84&lt;&gt;"",EDATE($D84,Milestones!$AA$29)&gt;=$Y84),$AB84,$AA84)))=Milestones!$AB$29),UPPER(TEXT(EDATE($D84,Milestones!$AA$29),"dd mmm yy"))&amp;" "&amp;Milestones!$AB$29&amp;" "&amp;IF(AND(Milestones!$AB$29="FT",Milestones!$AA$29=FT_Y5,EDATE($D84,Milestones!$AA$29)&lt;PolicyEff),1,Milestones!$AC$29)&amp;";  ","")&amp;IF(AND(EDATE($D84,Milestones!$AA$30)&lt;=AsOfDate,EDATE($D84,Milestones!$AA$30)&gt;=SchemeStart,IF($X84=0,$AD84,IF(AND($Z84&lt;&gt;"",EDATE($D84,Milestones!$AA$30)&gt;=$Z84),$AC84,IF(AND($Y84&lt;&gt;"",EDATE($D84,Milestones!$AA$30)&gt;=$Y84),$AB84,$AA84)))=Milestones!$AB$30),UPPER(TEXT(EDATE($D84,Milestones!$AA$30),"dd mmm yy"))&amp;" "&amp;Milestones!$AB$30&amp;" "&amp;IF(AND(Milestones!$AB$30="FT",Milestones!$AA$30=FT_Y5,EDATE($D84,Milestones!$AA$30)&lt;PolicyEff),1,Milestones!$AC$30)&amp;";  ","")&amp;IF(AND(EDATE($D84,Milestones!$AA$31)&lt;=AsOfDate,EDATE($D84,Milestones!$AA$31)&gt;=SchemeStart,IF($X84=0,$AD84,IF(AND($Z84&lt;&gt;"",EDATE($D84,Milestones!$AA$31)&gt;=$Z84),$AC84,IF(AND($Y84&lt;&gt;"",EDATE($D84,Milestones!$AA$31)&gt;=$Y84),$AB84,$AA84)))=Milestones!$AB$31),UPPER(TEXT(EDATE($D84,Milestones!$AA$31),"dd mmm yy"))&amp;" "&amp;Milestones!$AB$31&amp;" "&amp;IF(AND(Milestones!$AB$31="FT",Milestones!$AA$31=FT_Y5,EDATE($D84,Milestones!$AA$31)&lt;PolicyEff),1,Milestones!$AC$31)&amp;";  ",""))</f>
        <v/>
      </c>
      <c r="J84" s="0" t="str">
        <f aca="false">IF(OR($A84="",$D84=""),"",IF(AND(EDATE($D84,Milestones!$AA$32)&lt;=AsOfDate,EDATE($D84,Milestones!$AA$32)&gt;=SchemeStart,IF($X84=0,$AD84,IF(AND($Z84&lt;&gt;"",EDATE($D84,Milestones!$AA$32)&gt;=$Z84),$AC84,IF(AND($Y84&lt;&gt;"",EDATE($D84,Milestones!$AA$32)&gt;=$Y84),$AB84,$AA84)))=Milestones!$AB$32),UPPER(TEXT(EDATE($D84,Milestones!$AA$32),"dd mmm yy"))&amp;" "&amp;Milestones!$AB$32&amp;" "&amp;IF(AND(Milestones!$AB$32="FT",Milestones!$AA$32=FT_Y5,EDATE($D84,Milestones!$AA$32)&lt;PolicyEff),1,Milestones!$AC$32)&amp;";  ","")&amp;IF(AND(EDATE($D84,Milestones!$AA$33)&lt;=AsOfDate,EDATE($D84,Milestones!$AA$33)&gt;=SchemeStart,IF($X84=0,$AD84,IF(AND($Z84&lt;&gt;"",EDATE($D84,Milestones!$AA$33)&gt;=$Z84),$AC84,IF(AND($Y84&lt;&gt;"",EDATE($D84,Milestones!$AA$33)&gt;=$Y84),$AB84,$AA84)))=Milestones!$AB$33),UPPER(TEXT(EDATE($D84,Milestones!$AA$33),"dd mmm yy"))&amp;" "&amp;Milestones!$AB$33&amp;" "&amp;IF(AND(Milestones!$AB$33="FT",Milestones!$AA$33=FT_Y5,EDATE($D84,Milestones!$AA$33)&lt;PolicyEff),1,Milestones!$AC$33)&amp;";  ","")&amp;IF(AND(EDATE($D84,Milestones!$AA$34)&lt;=AsOfDate,EDATE($D84,Milestones!$AA$34)&gt;=SchemeStart,IF($X84=0,$AD84,IF(AND($Z84&lt;&gt;"",EDATE($D84,Milestones!$AA$34)&gt;=$Z84),$AC84,IF(AND($Y84&lt;&gt;"",EDATE($D84,Milestones!$AA$34)&gt;=$Y84),$AB84,$AA84)))=Milestones!$AB$34),UPPER(TEXT(EDATE($D84,Milestones!$AA$34),"dd mmm yy"))&amp;" "&amp;Milestones!$AB$34&amp;" "&amp;IF(AND(Milestones!$AB$34="FT",Milestones!$AA$34=FT_Y5,EDATE($D84,Milestones!$AA$34)&lt;PolicyEff),1,Milestones!$AC$34)&amp;";  ","")&amp;IF(AND(EDATE($D84,Milestones!$AA$35)&lt;=AsOfDate,EDATE($D84,Milestones!$AA$35)&gt;=SchemeStart,IF($X84=0,$AD84,IF(AND($Z84&lt;&gt;"",EDATE($D84,Milestones!$AA$35)&gt;=$Z84),$AC84,IF(AND($Y84&lt;&gt;"",EDATE($D84,Milestones!$AA$35)&gt;=$Y84),$AB84,$AA84)))=Milestones!$AB$35),UPPER(TEXT(EDATE($D84,Milestones!$AA$35),"dd mmm yy"))&amp;" "&amp;Milestones!$AB$35&amp;" "&amp;IF(AND(Milestones!$AB$35="FT",Milestones!$AA$35=FT_Y5,EDATE($D84,Milestones!$AA$35)&lt;PolicyEff),1,Milestones!$AC$35)&amp;";  ","")&amp;IF(AND(EDATE($D84,Milestones!$AA$36)&lt;=AsOfDate,EDATE($D84,Milestones!$AA$36)&gt;=SchemeStart,IF($X84=0,$AD84,IF(AND($Z84&lt;&gt;"",EDATE($D84,Milestones!$AA$36)&gt;=$Z84),$AC84,IF(AND($Y84&lt;&gt;"",EDATE($D84,Milestones!$AA$36)&gt;=$Y84),$AB84,$AA84)))=Milestones!$AB$36),UPPER(TEXT(EDATE($D84,Milestones!$AA$36),"dd mmm yy"))&amp;" "&amp;Milestones!$AB$36&amp;" "&amp;IF(AND(Milestones!$AB$36="FT",Milestones!$AA$36=FT_Y5,EDATE($D84,Milestones!$AA$36)&lt;PolicyEff),1,Milestones!$AC$36)&amp;";  ","")&amp;IF(AND(EDATE($D84,Milestones!$AA$37)&lt;=AsOfDate,EDATE($D84,Milestones!$AA$37)&gt;=SchemeStart,IF($X84=0,$AD84,IF(AND($Z84&lt;&gt;"",EDATE($D84,Milestones!$AA$37)&gt;=$Z84),$AC84,IF(AND($Y84&lt;&gt;"",EDATE($D84,Milestones!$AA$37)&gt;=$Y84),$AB84,$AA84)))=Milestones!$AB$37),UPPER(TEXT(EDATE($D84,Milestones!$AA$37),"dd mmm yy"))&amp;" "&amp;Milestones!$AB$37&amp;" "&amp;IF(AND(Milestones!$AB$37="FT",Milestones!$AA$37=FT_Y5,EDATE($D84,Milestones!$AA$37)&lt;PolicyEff),1,Milestones!$AC$37)&amp;";  ","")&amp;IF(AND(EDATE($D84,Milestones!$AA$38)&lt;=AsOfDate,EDATE($D84,Milestones!$AA$38)&gt;=SchemeStart,IF($X84=0,$AD84,IF(AND($Z84&lt;&gt;"",EDATE($D84,Milestones!$AA$38)&gt;=$Z84),$AC84,IF(AND($Y84&lt;&gt;"",EDATE($D84,Milestones!$AA$38)&gt;=$Y84),$AB84,$AA84)))=Milestones!$AB$38),UPPER(TEXT(EDATE($D84,Milestones!$AA$38),"dd mmm yy"))&amp;" "&amp;Milestones!$AB$38&amp;" "&amp;IF(AND(Milestones!$AB$38="FT",Milestones!$AA$38=FT_Y5,EDATE($D84,Milestones!$AA$38)&lt;PolicyEff),1,Milestones!$AC$38)&amp;";  ","")&amp;IF(AND(EDATE($D84,Milestones!$AA$39)&lt;=AsOfDate,EDATE($D84,Milestones!$AA$39)&gt;=SchemeStart,IF($X84=0,$AD84,IF(AND($Z84&lt;&gt;"",EDATE($D84,Milestones!$AA$39)&gt;=$Z84),$AC84,IF(AND($Y84&lt;&gt;"",EDATE($D84,Milestones!$AA$39)&gt;=$Y84),$AB84,$AA84)))=Milestones!$AB$39),UPPER(TEXT(EDATE($D84,Milestones!$AA$39),"dd mmm yy"))&amp;" "&amp;Milestones!$AB$39&amp;" "&amp;IF(AND(Milestones!$AB$39="FT",Milestones!$AA$39=FT_Y5,EDATE($D84,Milestones!$AA$39)&lt;PolicyEff),1,Milestones!$AC$39)&amp;";  ","")&amp;IF(AND(EDATE($D84,Milestones!$AA$40)&lt;=AsOfDate,EDATE($D84,Milestones!$AA$40)&gt;=SchemeStart,IF($X84=0,$AD84,IF(AND($Z84&lt;&gt;"",EDATE($D84,Milestones!$AA$40)&gt;=$Z84),$AC84,IF(AND($Y84&lt;&gt;"",EDATE($D84,Milestones!$AA$40)&gt;=$Y84),$AB84,$AA84)))=Milestones!$AB$40),UPPER(TEXT(EDATE($D84,Milestones!$AA$40),"dd mmm yy"))&amp;" "&amp;Milestones!$AB$40&amp;" "&amp;IF(AND(Milestones!$AB$40="FT",Milestones!$AA$40=FT_Y5,EDATE($D84,Milestones!$AA$40)&lt;PolicyEff),1,Milestones!$AC$40)&amp;";  ","")&amp;IF(AND(EDATE($D84,Milestones!$AA$41)&lt;=AsOfDate,EDATE($D84,Milestones!$AA$41)&gt;=SchemeStart,IF($X84=0,$AD84,IF(AND($Z84&lt;&gt;"",EDATE($D84,Milestones!$AA$41)&gt;=$Z84),$AC84,IF(AND($Y84&lt;&gt;"",EDATE($D84,Milestones!$AA$41)&gt;=$Y84),$AB84,$AA84)))=Milestones!$AB$41),UPPER(TEXT(EDATE($D84,Milestones!$AA$41),"dd mmm yy"))&amp;" "&amp;Milestones!$AB$41&amp;" "&amp;IF(AND(Milestones!$AB$41="FT",Milestones!$AA$41=FT_Y5,EDATE($D84,Milestones!$AA$41)&lt;PolicyEff),1,Milestones!$AC$41)&amp;";  ","")&amp;IF(AND(EDATE($D84,Milestones!$AA$42)&lt;=AsOfDate,EDATE($D84,Milestones!$AA$42)&gt;=SchemeStart,IF($X84=0,$AD84,IF(AND($Z84&lt;&gt;"",EDATE($D84,Milestones!$AA$42)&gt;=$Z84),$AC84,IF(AND($Y84&lt;&gt;"",EDATE($D84,Milestones!$AA$42)&gt;=$Y84),$AB84,$AA84)))=Milestones!$AB$42),UPPER(TEXT(EDATE($D84,Milestones!$AA$42),"dd mmm yy"))&amp;" "&amp;Milestones!$AB$42&amp;" "&amp;IF(AND(Milestones!$AB$42="FT",Milestones!$AA$42=FT_Y5,EDATE($D84,Milestones!$AA$42)&lt;PolicyEff),1,Milestones!$AC$42)&amp;";  ","")&amp;IF(AND(EDATE($D84,Milestones!$AA$43)&lt;=AsOfDate,EDATE($D84,Milestones!$AA$43)&gt;=SchemeStart,IF($X84=0,$AD84,IF(AND($Z84&lt;&gt;"",EDATE($D84,Milestones!$AA$43)&gt;=$Z84),$AC84,IF(AND($Y84&lt;&gt;"",EDATE($D84,Milestones!$AA$43)&gt;=$Y84),$AB84,$AA84)))=Milestones!$AB$43),UPPER(TEXT(EDATE($D84,Milestones!$AA$43),"dd mmm yy"))&amp;" "&amp;Milestones!$AB$43&amp;" "&amp;IF(AND(Milestones!$AB$43="FT",Milestones!$AA$43=FT_Y5,EDATE($D84,Milestones!$AA$43)&lt;PolicyEff),1,Milestones!$AC$43)&amp;";  ",""))</f>
        <v/>
      </c>
      <c r="K84" s="0" t="str">
        <f aca="false">IF(OR($A84="",$D84=""),"",IF(AND(EDATE($D84,Milestones!$AA$44)&lt;=AsOfDate,EDATE($D84,Milestones!$AA$44)&gt;=SchemeStart,IF($X84=0,$AD84,IF(AND($Z84&lt;&gt;"",EDATE($D84,Milestones!$AA$44)&gt;=$Z84),$AC84,IF(AND($Y84&lt;&gt;"",EDATE($D84,Milestones!$AA$44)&gt;=$Y84),$AB84,$AA84)))=Milestones!$AB$44),UPPER(TEXT(EDATE($D84,Milestones!$AA$44),"dd mmm yy"))&amp;" "&amp;Milestones!$AB$44&amp;" "&amp;IF(AND(Milestones!$AB$44="FT",Milestones!$AA$44=FT_Y5,EDATE($D84,Milestones!$AA$44)&lt;PolicyEff),1,Milestones!$AC$44)&amp;";  ","")&amp;IF(AND(EDATE($D84,Milestones!$AA$45)&lt;=AsOfDate,EDATE($D84,Milestones!$AA$45)&gt;=SchemeStart,IF($X84=0,$AD84,IF(AND($Z84&lt;&gt;"",EDATE($D84,Milestones!$AA$45)&gt;=$Z84),$AC84,IF(AND($Y84&lt;&gt;"",EDATE($D84,Milestones!$AA$45)&gt;=$Y84),$AB84,$AA84)))=Milestones!$AB$45),UPPER(TEXT(EDATE($D84,Milestones!$AA$45),"dd mmm yy"))&amp;" "&amp;Milestones!$AB$45&amp;" "&amp;IF(AND(Milestones!$AB$45="FT",Milestones!$AA$45=FT_Y5,EDATE($D84,Milestones!$AA$45)&lt;PolicyEff),1,Milestones!$AC$45)&amp;";  ","")&amp;IF(AND(EDATE($D84,Milestones!$AA$46)&lt;=AsOfDate,EDATE($D84,Milestones!$AA$46)&gt;=SchemeStart,IF($X84=0,$AD84,IF(AND($Z84&lt;&gt;"",EDATE($D84,Milestones!$AA$46)&gt;=$Z84),$AC84,IF(AND($Y84&lt;&gt;"",EDATE($D84,Milestones!$AA$46)&gt;=$Y84),$AB84,$AA84)))=Milestones!$AB$46),UPPER(TEXT(EDATE($D84,Milestones!$AA$46),"dd mmm yy"))&amp;" "&amp;Milestones!$AB$46&amp;" "&amp;IF(AND(Milestones!$AB$46="FT",Milestones!$AA$46=FT_Y5,EDATE($D84,Milestones!$AA$46)&lt;PolicyEff),1,Milestones!$AC$46)&amp;";  ","")&amp;IF(AND(EDATE($D84,Milestones!$AA$47)&lt;=AsOfDate,EDATE($D84,Milestones!$AA$47)&gt;=SchemeStart,IF($X84=0,$AD84,IF(AND($Z84&lt;&gt;"",EDATE($D84,Milestones!$AA$47)&gt;=$Z84),$AC84,IF(AND($Y84&lt;&gt;"",EDATE($D84,Milestones!$AA$47)&gt;=$Y84),$AB84,$AA84)))=Milestones!$AB$47),UPPER(TEXT(EDATE($D84,Milestones!$AA$47),"dd mmm yy"))&amp;" "&amp;Milestones!$AB$47&amp;" "&amp;IF(AND(Milestones!$AB$47="FT",Milestones!$AA$47=FT_Y5,EDATE($D84,Milestones!$AA$47)&lt;PolicyEff),1,Milestones!$AC$47)&amp;";  ","")&amp;IF(AND(EDATE($D84,Milestones!$AA$48)&lt;=AsOfDate,EDATE($D84,Milestones!$AA$48)&gt;=SchemeStart,IF($X84=0,$AD84,IF(AND($Z84&lt;&gt;"",EDATE($D84,Milestones!$AA$48)&gt;=$Z84),$AC84,IF(AND($Y84&lt;&gt;"",EDATE($D84,Milestones!$AA$48)&gt;=$Y84),$AB84,$AA84)))=Milestones!$AB$48),UPPER(TEXT(EDATE($D84,Milestones!$AA$48),"dd mmm yy"))&amp;" "&amp;Milestones!$AB$48&amp;" "&amp;IF(AND(Milestones!$AB$48="FT",Milestones!$AA$48=FT_Y5,EDATE($D84,Milestones!$AA$48)&lt;PolicyEff),1,Milestones!$AC$48)&amp;";  ","")&amp;IF(AND(EDATE($D84,Milestones!$AA$49)&lt;=AsOfDate,EDATE($D84,Milestones!$AA$49)&gt;=SchemeStart,IF($X84=0,$AD84,IF(AND($Z84&lt;&gt;"",EDATE($D84,Milestones!$AA$49)&gt;=$Z84),$AC84,IF(AND($Y84&lt;&gt;"",EDATE($D84,Milestones!$AA$49)&gt;=$Y84),$AB84,$AA84)))=Milestones!$AB$49),UPPER(TEXT(EDATE($D84,Milestones!$AA$49),"dd mmm yy"))&amp;" "&amp;Milestones!$AB$49&amp;" "&amp;IF(AND(Milestones!$AB$49="FT",Milestones!$AA$49=FT_Y5,EDATE($D84,Milestones!$AA$49)&lt;PolicyEff),1,Milestones!$AC$49)&amp;";  ","")&amp;IF(AND(EDATE($D84,Milestones!$AA$50)&lt;=AsOfDate,EDATE($D84,Milestones!$AA$50)&gt;=SchemeStart,IF($X84=0,$AD84,IF(AND($Z84&lt;&gt;"",EDATE($D84,Milestones!$AA$50)&gt;=$Z84),$AC84,IF(AND($Y84&lt;&gt;"",EDATE($D84,Milestones!$AA$50)&gt;=$Y84),$AB84,$AA84)))=Milestones!$AB$50),UPPER(TEXT(EDATE($D84,Milestones!$AA$50),"dd mmm yy"))&amp;" "&amp;Milestones!$AB$50&amp;" "&amp;IF(AND(Milestones!$AB$50="FT",Milestones!$AA$50=FT_Y5,EDATE($D84,Milestones!$AA$50)&lt;PolicyEff),1,Milestones!$AC$50)&amp;";  ","")&amp;IF(AND(EDATE($D84,Milestones!$AA$51)&lt;=AsOfDate,EDATE($D84,Milestones!$AA$51)&gt;=SchemeStart,IF($X84=0,$AD84,IF(AND($Z84&lt;&gt;"",EDATE($D84,Milestones!$AA$51)&gt;=$Z84),$AC84,IF(AND($Y84&lt;&gt;"",EDATE($D84,Milestones!$AA$51)&gt;=$Y84),$AB84,$AA84)))=Milestones!$AB$51),UPPER(TEXT(EDATE($D84,Milestones!$AA$51),"dd mmm yy"))&amp;" "&amp;Milestones!$AB$51&amp;" "&amp;IF(AND(Milestones!$AB$51="FT",Milestones!$AA$51=FT_Y5,EDATE($D84,Milestones!$AA$51)&lt;PolicyEff),1,Milestones!$AC$51)&amp;";  ","")&amp;IF(AND(EDATE($D84,Milestones!$AA$52)&lt;=AsOfDate,EDATE($D84,Milestones!$AA$52)&gt;=SchemeStart,IF($X84=0,$AD84,IF(AND($Z84&lt;&gt;"",EDATE($D84,Milestones!$AA$52)&gt;=$Z84),$AC84,IF(AND($Y84&lt;&gt;"",EDATE($D84,Milestones!$AA$52)&gt;=$Y84),$AB84,$AA84)))=Milestones!$AB$52),UPPER(TEXT(EDATE($D84,Milestones!$AA$52),"dd mmm yy"))&amp;" "&amp;Milestones!$AB$52&amp;" "&amp;IF(AND(Milestones!$AB$52="FT",Milestones!$AA$52=FT_Y5,EDATE($D84,Milestones!$AA$52)&lt;PolicyEff),1,Milestones!$AC$52)&amp;";  ","")&amp;IF(AND(EDATE($D84,Milestones!$AA$53)&lt;=AsOfDate,EDATE($D84,Milestones!$AA$53)&gt;=SchemeStart,IF($X84=0,$AD84,IF(AND($Z84&lt;&gt;"",EDATE($D84,Milestones!$AA$53)&gt;=$Z84),$AC84,IF(AND($Y84&lt;&gt;"",EDATE($D84,Milestones!$AA$53)&gt;=$Y84),$AB84,$AA84)))=Milestones!$AB$53),UPPER(TEXT(EDATE($D84,Milestones!$AA$53),"dd mmm yy"))&amp;" "&amp;Milestones!$AB$53&amp;" "&amp;IF(AND(Milestones!$AB$53="FT",Milestones!$AA$53=FT_Y5,EDATE($D84,Milestones!$AA$53)&lt;PolicyEff),1,Milestones!$AC$53)&amp;";  ","")&amp;IF(AND(EDATE($D84,Milestones!$AA$54)&lt;=AsOfDate,EDATE($D84,Milestones!$AA$54)&gt;=SchemeStart,IF($X84=0,$AD84,IF(AND($Z84&lt;&gt;"",EDATE($D84,Milestones!$AA$54)&gt;=$Z84),$AC84,IF(AND($Y84&lt;&gt;"",EDATE($D84,Milestones!$AA$54)&gt;=$Y84),$AB84,$AA84)))=Milestones!$AB$54),UPPER(TEXT(EDATE($D84,Milestones!$AA$54),"dd mmm yy"))&amp;" "&amp;Milestones!$AB$54&amp;" "&amp;IF(AND(Milestones!$AB$54="FT",Milestones!$AA$54=FT_Y5,EDATE($D84,Milestones!$AA$54)&lt;PolicyEff),1,Milestones!$AC$54)&amp;";  ","")&amp;IF(AND(EDATE($D84,Milestones!$AA$55)&lt;=AsOfDate,EDATE($D84,Milestones!$AA$55)&gt;=SchemeStart,IF($X84=0,$AD84,IF(AND($Z84&lt;&gt;"",EDATE($D84,Milestones!$AA$55)&gt;=$Z84),$AC84,IF(AND($Y84&lt;&gt;"",EDATE($D84,Milestones!$AA$55)&gt;=$Y84),$AB84,$AA84)))=Milestones!$AB$55),UPPER(TEXT(EDATE($D84,Milestones!$AA$55),"dd mmm yy"))&amp;" "&amp;Milestones!$AB$55&amp;" "&amp;IF(AND(Milestones!$AB$55="FT",Milestones!$AA$55=FT_Y5,EDATE($D84,Milestones!$AA$55)&lt;PolicyEff),1,Milestones!$AC$55)&amp;";  ",""))</f>
        <v/>
      </c>
      <c r="L84" s="0" t="str">
        <f aca="false">IF(OR($A84="",$D84=""),"",IF(AND(EDATE($D84,Milestones!$AA$56)&lt;=AsOfDate,EDATE($D84,Milestones!$AA$56)&gt;=SchemeStart,IF($X84=0,$AD84,IF(AND($Z84&lt;&gt;"",EDATE($D84,Milestones!$AA$56)&gt;=$Z84),$AC84,IF(AND($Y84&lt;&gt;"",EDATE($D84,Milestones!$AA$56)&gt;=$Y84),$AB84,$AA84)))=Milestones!$AB$56),UPPER(TEXT(EDATE($D84,Milestones!$AA$56),"dd mmm yy"))&amp;" "&amp;Milestones!$AB$56&amp;" "&amp;IF(AND(Milestones!$AB$56="FT",Milestones!$AA$56=FT_Y5,EDATE($D84,Milestones!$AA$56)&lt;PolicyEff),1,Milestones!$AC$56)&amp;";  ","")&amp;IF(AND(EDATE($D84,Milestones!$AA$57)&lt;=AsOfDate,EDATE($D84,Milestones!$AA$57)&gt;=SchemeStart,IF($X84=0,$AD84,IF(AND($Z84&lt;&gt;"",EDATE($D84,Milestones!$AA$57)&gt;=$Z84),$AC84,IF(AND($Y84&lt;&gt;"",EDATE($D84,Milestones!$AA$57)&gt;=$Y84),$AB84,$AA84)))=Milestones!$AB$57),UPPER(TEXT(EDATE($D84,Milestones!$AA$57),"dd mmm yy"))&amp;" "&amp;Milestones!$AB$57&amp;" "&amp;IF(AND(Milestones!$AB$57="FT",Milestones!$AA$57=FT_Y5,EDATE($D84,Milestones!$AA$57)&lt;PolicyEff),1,Milestones!$AC$57)&amp;";  ","")&amp;IF(AND(EDATE($D84,Milestones!$AA$58)&lt;=AsOfDate,EDATE($D84,Milestones!$AA$58)&gt;=SchemeStart,IF($X84=0,$AD84,IF(AND($Z84&lt;&gt;"",EDATE($D84,Milestones!$AA$58)&gt;=$Z84),$AC84,IF(AND($Y84&lt;&gt;"",EDATE($D84,Milestones!$AA$58)&gt;=$Y84),$AB84,$AA84)))=Milestones!$AB$58),UPPER(TEXT(EDATE($D84,Milestones!$AA$58),"dd mmm yy"))&amp;" "&amp;Milestones!$AB$58&amp;" "&amp;IF(AND(Milestones!$AB$58="FT",Milestones!$AA$58=FT_Y5,EDATE($D84,Milestones!$AA$58)&lt;PolicyEff),1,Milestones!$AC$58)&amp;";  ","")&amp;IF(AND(EDATE($D84,Milestones!$AA$59)&lt;=AsOfDate,EDATE($D84,Milestones!$AA$59)&gt;=SchemeStart,IF($X84=0,$AD84,IF(AND($Z84&lt;&gt;"",EDATE($D84,Milestones!$AA$59)&gt;=$Z84),$AC84,IF(AND($Y84&lt;&gt;"",EDATE($D84,Milestones!$AA$59)&gt;=$Y84),$AB84,$AA84)))=Milestones!$AB$59),UPPER(TEXT(EDATE($D84,Milestones!$AA$59),"dd mmm yy"))&amp;" "&amp;Milestones!$AB$59&amp;" "&amp;IF(AND(Milestones!$AB$59="FT",Milestones!$AA$59=FT_Y5,EDATE($D84,Milestones!$AA$59)&lt;PolicyEff),1,Milestones!$AC$59)&amp;";  ","")&amp;IF(AND(EDATE($D84,Milestones!$AA$60)&lt;=AsOfDate,EDATE($D84,Milestones!$AA$60)&gt;=SchemeStart,IF($X84=0,$AD84,IF(AND($Z84&lt;&gt;"",EDATE($D84,Milestones!$AA$60)&gt;=$Z84),$AC84,IF(AND($Y84&lt;&gt;"",EDATE($D84,Milestones!$AA$60)&gt;=$Y84),$AB84,$AA84)))=Milestones!$AB$60),UPPER(TEXT(EDATE($D84,Milestones!$AA$60),"dd mmm yy"))&amp;" "&amp;Milestones!$AB$60&amp;" "&amp;IF(AND(Milestones!$AB$60="FT",Milestones!$AA$60=FT_Y5,EDATE($D84,Milestones!$AA$60)&lt;PolicyEff),1,Milestones!$AC$60)&amp;";  ","")&amp;IF(AND(EDATE($D84,Milestones!$AA$61)&lt;=AsOfDate,EDATE($D84,Milestones!$AA$61)&gt;=SchemeStart,IF($X84=0,$AD84,IF(AND($Z84&lt;&gt;"",EDATE($D84,Milestones!$AA$61)&gt;=$Z84),$AC84,IF(AND($Y84&lt;&gt;"",EDATE($D84,Milestones!$AA$61)&gt;=$Y84),$AB84,$AA84)))=Milestones!$AB$61),UPPER(TEXT(EDATE($D84,Milestones!$AA$61),"dd mmm yy"))&amp;" "&amp;Milestones!$AB$61&amp;" "&amp;IF(AND(Milestones!$AB$61="FT",Milestones!$AA$61=FT_Y5,EDATE($D84,Milestones!$AA$61)&lt;PolicyEff),1,Milestones!$AC$61)&amp;";  ","")&amp;IF(AND(EDATE($D84,Milestones!$AA$62)&lt;=AsOfDate,EDATE($D84,Milestones!$AA$62)&gt;=SchemeStart,IF($X84=0,$AD84,IF(AND($Z84&lt;&gt;"",EDATE($D84,Milestones!$AA$62)&gt;=$Z84),$AC84,IF(AND($Y84&lt;&gt;"",EDATE($D84,Milestones!$AA$62)&gt;=$Y84),$AB84,$AA84)))=Milestones!$AB$62),UPPER(TEXT(EDATE($D84,Milestones!$AA$62),"dd mmm yy"))&amp;" "&amp;Milestones!$AB$62&amp;" "&amp;IF(AND(Milestones!$AB$62="FT",Milestones!$AA$62=FT_Y5,EDATE($D84,Milestones!$AA$62)&lt;PolicyEff),1,Milestones!$AC$62)&amp;";  ","")&amp;IF(AND(EDATE($D84,Milestones!$AA$63)&lt;=AsOfDate,EDATE($D84,Milestones!$AA$63)&gt;=SchemeStart,IF($X84=0,$AD84,IF(AND($Z84&lt;&gt;"",EDATE($D84,Milestones!$AA$63)&gt;=$Z84),$AC84,IF(AND($Y84&lt;&gt;"",EDATE($D84,Milestones!$AA$63)&gt;=$Y84),$AB84,$AA84)))=Milestones!$AB$63),UPPER(TEXT(EDATE($D84,Milestones!$AA$63),"dd mmm yy"))&amp;" "&amp;Milestones!$AB$63&amp;" "&amp;IF(AND(Milestones!$AB$63="FT",Milestones!$AA$63=FT_Y5,EDATE($D84,Milestones!$AA$63)&lt;PolicyEff),1,Milestones!$AC$63)&amp;";  ","")&amp;IF(AND(EDATE($D84,Milestones!$AA$64)&lt;=AsOfDate,EDATE($D84,Milestones!$AA$64)&gt;=SchemeStart,IF($X84=0,$AD84,IF(AND($Z84&lt;&gt;"",EDATE($D84,Milestones!$AA$64)&gt;=$Z84),$AC84,IF(AND($Y84&lt;&gt;"",EDATE($D84,Milestones!$AA$64)&gt;=$Y84),$AB84,$AA84)))=Milestones!$AB$64),UPPER(TEXT(EDATE($D84,Milestones!$AA$64),"dd mmm yy"))&amp;" "&amp;Milestones!$AB$64&amp;" "&amp;IF(AND(Milestones!$AB$64="FT",Milestones!$AA$64=FT_Y5,EDATE($D84,Milestones!$AA$64)&lt;PolicyEff),1,Milestones!$AC$64)&amp;";  ","")&amp;IF(AND(EDATE($D84,Milestones!$AA$65)&lt;=AsOfDate,EDATE($D84,Milestones!$AA$65)&gt;=SchemeStart,IF($X84=0,$AD84,IF(AND($Z84&lt;&gt;"",EDATE($D84,Milestones!$AA$65)&gt;=$Z84),$AC84,IF(AND($Y84&lt;&gt;"",EDATE($D84,Milestones!$AA$65)&gt;=$Y84),$AB84,$AA84)))=Milestones!$AB$65),UPPER(TEXT(EDATE($D84,Milestones!$AA$65),"dd mmm yy"))&amp;" "&amp;Milestones!$AB$65&amp;" "&amp;IF(AND(Milestones!$AB$65="FT",Milestones!$AA$65=FT_Y5,EDATE($D84,Milestones!$AA$65)&lt;PolicyEff),1,Milestones!$AC$65)&amp;";  ","")&amp;IF(AND(EDATE($D84,Milestones!$AA$66)&lt;=AsOfDate,EDATE($D84,Milestones!$AA$66)&gt;=SchemeStart,IF($X84=0,$AD84,IF(AND($Z84&lt;&gt;"",EDATE($D84,Milestones!$AA$66)&gt;=$Z84),$AC84,IF(AND($Y84&lt;&gt;"",EDATE($D84,Milestones!$AA$66)&gt;=$Y84),$AB84,$AA84)))=Milestones!$AB$66),UPPER(TEXT(EDATE($D84,Milestones!$AA$66),"dd mmm yy"))&amp;" "&amp;Milestones!$AB$66&amp;" "&amp;IF(AND(Milestones!$AB$66="FT",Milestones!$AA$66=FT_Y5,EDATE($D84,Milestones!$AA$66)&lt;PolicyEff),1,Milestones!$AC$66)&amp;";  ","")&amp;IF(AND(EDATE($D84,Milestones!$AA$67)&lt;=AsOfDate,EDATE($D84,Milestones!$AA$67)&gt;=SchemeStart,IF($X84=0,$AD84,IF(AND($Z84&lt;&gt;"",EDATE($D84,Milestones!$AA$67)&gt;=$Z84),$AC84,IF(AND($Y84&lt;&gt;"",EDATE($D84,Milestones!$AA$67)&gt;=$Y84),$AB84,$AA84)))=Milestones!$AB$67),UPPER(TEXT(EDATE($D84,Milestones!$AA$67),"dd mmm yy"))&amp;" "&amp;Milestones!$AB$67&amp;" "&amp;IF(AND(Milestones!$AB$67="FT",Milestones!$AA$67=FT_Y5,EDATE($D84,Milestones!$AA$67)&lt;PolicyEff),1,Milestones!$AC$67)&amp;";  ",""))</f>
        <v/>
      </c>
      <c r="M84" s="0" t="str">
        <f aca="false">IF(OR($A84="",$D84=""),"",IF(AND(EDATE($D84,Milestones!$AA$68)&lt;=AsOfDate,EDATE($D84,Milestones!$AA$68)&gt;=SchemeStart,IF($X84=0,$AD84,IF(AND($Z84&lt;&gt;"",EDATE($D84,Milestones!$AA$68)&gt;=$Z84),$AC84,IF(AND($Y84&lt;&gt;"",EDATE($D84,Milestones!$AA$68)&gt;=$Y84),$AB84,$AA84)))=Milestones!$AB$68),UPPER(TEXT(EDATE($D84,Milestones!$AA$68),"dd mmm yy"))&amp;" "&amp;Milestones!$AB$68&amp;" "&amp;IF(AND(Milestones!$AB$68="FT",Milestones!$AA$68=FT_Y5,EDATE($D84,Milestones!$AA$68)&lt;PolicyEff),1,Milestones!$AC$68)&amp;";  ","")&amp;IF(AND(EDATE($D84,Milestones!$AA$69)&lt;=AsOfDate,EDATE($D84,Milestones!$AA$69)&gt;=SchemeStart,IF($X84=0,$AD84,IF(AND($Z84&lt;&gt;"",EDATE($D84,Milestones!$AA$69)&gt;=$Z84),$AC84,IF(AND($Y84&lt;&gt;"",EDATE($D84,Milestones!$AA$69)&gt;=$Y84),$AB84,$AA84)))=Milestones!$AB$69),UPPER(TEXT(EDATE($D84,Milestones!$AA$69),"dd mmm yy"))&amp;" "&amp;Milestones!$AB$69&amp;" "&amp;IF(AND(Milestones!$AB$69="FT",Milestones!$AA$69=FT_Y5,EDATE($D84,Milestones!$AA$69)&lt;PolicyEff),1,Milestones!$AC$69)&amp;";  ","")&amp;IF(AND(EDATE($D84,Milestones!$AA$70)&lt;=AsOfDate,EDATE($D84,Milestones!$AA$70)&gt;=SchemeStart,IF($X84=0,$AD84,IF(AND($Z84&lt;&gt;"",EDATE($D84,Milestones!$AA$70)&gt;=$Z84),$AC84,IF(AND($Y84&lt;&gt;"",EDATE($D84,Milestones!$AA$70)&gt;=$Y84),$AB84,$AA84)))=Milestones!$AB$70),UPPER(TEXT(EDATE($D84,Milestones!$AA$70),"dd mmm yy"))&amp;" "&amp;Milestones!$AB$70&amp;" "&amp;IF(AND(Milestones!$AB$70="FT",Milestones!$AA$70=FT_Y5,EDATE($D84,Milestones!$AA$70)&lt;PolicyEff),1,Milestones!$AC$70)&amp;";  ","")&amp;IF(AND(EDATE($D84,Milestones!$AA$71)&lt;=AsOfDate,EDATE($D84,Milestones!$AA$71)&gt;=SchemeStart,IF($X84=0,$AD84,IF(AND($Z84&lt;&gt;"",EDATE($D84,Milestones!$AA$71)&gt;=$Z84),$AC84,IF(AND($Y84&lt;&gt;"",EDATE($D84,Milestones!$AA$71)&gt;=$Y84),$AB84,$AA84)))=Milestones!$AB$71),UPPER(TEXT(EDATE($D84,Milestones!$AA$71),"dd mmm yy"))&amp;" "&amp;Milestones!$AB$71&amp;" "&amp;IF(AND(Milestones!$AB$71="FT",Milestones!$AA$71=FT_Y5,EDATE($D84,Milestones!$AA$71)&lt;PolicyEff),1,Milestones!$AC$71)&amp;";  ","")&amp;IF(AND(EDATE($D84,Milestones!$AA$72)&lt;=AsOfDate,EDATE($D84,Milestones!$AA$72)&gt;=SchemeStart,IF($X84=0,$AD84,IF(AND($Z84&lt;&gt;"",EDATE($D84,Milestones!$AA$72)&gt;=$Z84),$AC84,IF(AND($Y84&lt;&gt;"",EDATE($D84,Milestones!$AA$72)&gt;=$Y84),$AB84,$AA84)))=Milestones!$AB$72),UPPER(TEXT(EDATE($D84,Milestones!$AA$72),"dd mmm yy"))&amp;" "&amp;Milestones!$AB$72&amp;" "&amp;IF(AND(Milestones!$AB$72="FT",Milestones!$AA$72=FT_Y5,EDATE($D84,Milestones!$AA$72)&lt;PolicyEff),1,Milestones!$AC$72)&amp;";  ","")&amp;IF(AND(EDATE($D84,Milestones!$AA$73)&lt;=AsOfDate,EDATE($D84,Milestones!$AA$73)&gt;=SchemeStart,IF($X84=0,$AD84,IF(AND($Z84&lt;&gt;"",EDATE($D84,Milestones!$AA$73)&gt;=$Z84),$AC84,IF(AND($Y84&lt;&gt;"",EDATE($D84,Milestones!$AA$73)&gt;=$Y84),$AB84,$AA84)))=Milestones!$AB$73),UPPER(TEXT(EDATE($D84,Milestones!$AA$73),"dd mmm yy"))&amp;" "&amp;Milestones!$AB$73&amp;" "&amp;IF(AND(Milestones!$AB$73="FT",Milestones!$AA$73=FT_Y5,EDATE($D84,Milestones!$AA$73)&lt;PolicyEff),1,Milestones!$AC$73)&amp;";  ","")&amp;IF(AND(EDATE($D84,Milestones!$AA$74)&lt;=AsOfDate,EDATE($D84,Milestones!$AA$74)&gt;=SchemeStart,IF($X84=0,$AD84,IF(AND($Z84&lt;&gt;"",EDATE($D84,Milestones!$AA$74)&gt;=$Z84),$AC84,IF(AND($Y84&lt;&gt;"",EDATE($D84,Milestones!$AA$74)&gt;=$Y84),$AB84,$AA84)))=Milestones!$AB$74),UPPER(TEXT(EDATE($D84,Milestones!$AA$74),"dd mmm yy"))&amp;" "&amp;Milestones!$AB$74&amp;" "&amp;IF(AND(Milestones!$AB$74="FT",Milestones!$AA$74=FT_Y5,EDATE($D84,Milestones!$AA$74)&lt;PolicyEff),1,Milestones!$AC$74)&amp;";  ","")&amp;IF(AND(EDATE($D84,Milestones!$AA$75)&lt;=AsOfDate,EDATE($D84,Milestones!$AA$75)&gt;=SchemeStart,IF($X84=0,$AD84,IF(AND($Z84&lt;&gt;"",EDATE($D84,Milestones!$AA$75)&gt;=$Z84),$AC84,IF(AND($Y84&lt;&gt;"",EDATE($D84,Milestones!$AA$75)&gt;=$Y84),$AB84,$AA84)))=Milestones!$AB$75),UPPER(TEXT(EDATE($D84,Milestones!$AA$75),"dd mmm yy"))&amp;" "&amp;Milestones!$AB$75&amp;" "&amp;IF(AND(Milestones!$AB$75="FT",Milestones!$AA$75=FT_Y5,EDATE($D84,Milestones!$AA$75)&lt;PolicyEff),1,Milestones!$AC$75)&amp;";  ","")&amp;IF(AND(EDATE($D84,Milestones!$AA$76)&lt;=AsOfDate,EDATE($D84,Milestones!$AA$76)&gt;=SchemeStart,IF($X84=0,$AD84,IF(AND($Z84&lt;&gt;"",EDATE($D84,Milestones!$AA$76)&gt;=$Z84),$AC84,IF(AND($Y84&lt;&gt;"",EDATE($D84,Milestones!$AA$76)&gt;=$Y84),$AB84,$AA84)))=Milestones!$AB$76),UPPER(TEXT(EDATE($D84,Milestones!$AA$76),"dd mmm yy"))&amp;" "&amp;Milestones!$AB$76&amp;" "&amp;IF(AND(Milestones!$AB$76="FT",Milestones!$AA$76=FT_Y5,EDATE($D84,Milestones!$AA$76)&lt;PolicyEff),1,Milestones!$AC$76)&amp;";  ","")&amp;IF(AND(EDATE($D84,Milestones!$AA$77)&lt;=AsOfDate,EDATE($D84,Milestones!$AA$77)&gt;=SchemeStart,IF($X84=0,$AD84,IF(AND($Z84&lt;&gt;"",EDATE($D84,Milestones!$AA$77)&gt;=$Z84),$AC84,IF(AND($Y84&lt;&gt;"",EDATE($D84,Milestones!$AA$77)&gt;=$Y84),$AB84,$AA84)))=Milestones!$AB$77),UPPER(TEXT(EDATE($D84,Milestones!$AA$77),"dd mmm yy"))&amp;" "&amp;Milestones!$AB$77&amp;" "&amp;IF(AND(Milestones!$AB$77="FT",Milestones!$AA$77=FT_Y5,EDATE($D84,Milestones!$AA$77)&lt;PolicyEff),1,Milestones!$AC$77)&amp;";  ","")&amp;IF(AND(EDATE($D84,Milestones!$AA$78)&lt;=AsOfDate,EDATE($D84,Milestones!$AA$78)&gt;=SchemeStart,IF($X84=0,$AD84,IF(AND($Z84&lt;&gt;"",EDATE($D84,Milestones!$AA$78)&gt;=$Z84),$AC84,IF(AND($Y84&lt;&gt;"",EDATE($D84,Milestones!$AA$78)&gt;=$Y84),$AB84,$AA84)))=Milestones!$AB$78),UPPER(TEXT(EDATE($D84,Milestones!$AA$78),"dd mmm yy"))&amp;" "&amp;Milestones!$AB$78&amp;" "&amp;IF(AND(Milestones!$AB$78="FT",Milestones!$AA$78=FT_Y5,EDATE($D84,Milestones!$AA$78)&lt;PolicyEff),1,Milestones!$AC$78)&amp;";  ","")&amp;IF(AND(EDATE($D84,Milestones!$AA$79)&lt;=AsOfDate,EDATE($D84,Milestones!$AA$79)&gt;=SchemeStart,IF($X84=0,$AD84,IF(AND($Z84&lt;&gt;"",EDATE($D84,Milestones!$AA$79)&gt;=$Z84),$AC84,IF(AND($Y84&lt;&gt;"",EDATE($D84,Milestones!$AA$79)&gt;=$Y84),$AB84,$AA84)))=Milestones!$AB$79),UPPER(TEXT(EDATE($D84,Milestones!$AA$79),"dd mmm yy"))&amp;" "&amp;Milestones!$AB$79&amp;" "&amp;IF(AND(Milestones!$AB$79="FT",Milestones!$AA$79=FT_Y5,EDATE($D84,Milestones!$AA$79)&lt;PolicyEff),1,Milestones!$AC$79)&amp;";  ",""))</f>
        <v/>
      </c>
      <c r="N84" s="0" t="str">
        <f aca="false">IF(OR($A84="",$D84=""),"",IF(AND(EDATE($D84,Milestones!$AA$80)&lt;=AsOfDate,EDATE($D84,Milestones!$AA$80)&gt;=SchemeStart,IF($X84=0,$AD84,IF(AND($Z84&lt;&gt;"",EDATE($D84,Milestones!$AA$80)&gt;=$Z84),$AC84,IF(AND($Y84&lt;&gt;"",EDATE($D84,Milestones!$AA$80)&gt;=$Y84),$AB84,$AA84)))=Milestones!$AB$80),UPPER(TEXT(EDATE($D84,Milestones!$AA$80),"dd mmm yy"))&amp;" "&amp;Milestones!$AB$80&amp;" "&amp;IF(AND(Milestones!$AB$80="FT",Milestones!$AA$80=FT_Y5,EDATE($D84,Milestones!$AA$80)&lt;PolicyEff),1,Milestones!$AC$80)&amp;";  ","")&amp;IF(AND(EDATE($D84,Milestones!$AA$81)&lt;=AsOfDate,EDATE($D84,Milestones!$AA$81)&gt;=SchemeStart,IF($X84=0,$AD84,IF(AND($Z84&lt;&gt;"",EDATE($D84,Milestones!$AA$81)&gt;=$Z84),$AC84,IF(AND($Y84&lt;&gt;"",EDATE($D84,Milestones!$AA$81)&gt;=$Y84),$AB84,$AA84)))=Milestones!$AB$81),UPPER(TEXT(EDATE($D84,Milestones!$AA$81),"dd mmm yy"))&amp;" "&amp;Milestones!$AB$81&amp;" "&amp;IF(AND(Milestones!$AB$81="FT",Milestones!$AA$81=FT_Y5,EDATE($D84,Milestones!$AA$81)&lt;PolicyEff),1,Milestones!$AC$81)&amp;";  ","")&amp;IF(AND(EDATE($D84,Milestones!$AA$82)&lt;=AsOfDate,EDATE($D84,Milestones!$AA$82)&gt;=SchemeStart,IF($X84=0,$AD84,IF(AND($Z84&lt;&gt;"",EDATE($D84,Milestones!$AA$82)&gt;=$Z84),$AC84,IF(AND($Y84&lt;&gt;"",EDATE($D84,Milestones!$AA$82)&gt;=$Y84),$AB84,$AA84)))=Milestones!$AB$82),UPPER(TEXT(EDATE($D84,Milestones!$AA$82),"dd mmm yy"))&amp;" "&amp;Milestones!$AB$82&amp;" "&amp;IF(AND(Milestones!$AB$82="FT",Milestones!$AA$82=FT_Y5,EDATE($D84,Milestones!$AA$82)&lt;PolicyEff),1,Milestones!$AC$82)&amp;";  ","")&amp;IF(AND(EDATE($D84,Milestones!$AA$83)&lt;=AsOfDate,EDATE($D84,Milestones!$AA$83)&gt;=SchemeStart,IF($X84=0,$AD84,IF(AND($Z84&lt;&gt;"",EDATE($D84,Milestones!$AA$83)&gt;=$Z84),$AC84,IF(AND($Y84&lt;&gt;"",EDATE($D84,Milestones!$AA$83)&gt;=$Y84),$AB84,$AA84)))=Milestones!$AB$83),UPPER(TEXT(EDATE($D84,Milestones!$AA$83),"dd mmm yy"))&amp;" "&amp;Milestones!$AB$83&amp;" "&amp;IF(AND(Milestones!$AB$83="FT",Milestones!$AA$83=FT_Y5,EDATE($D84,Milestones!$AA$83)&lt;PolicyEff),1,Milestones!$AC$83)&amp;";  ","")&amp;IF(AND(EDATE($D84,Milestones!$AA$84)&lt;=AsOfDate,EDATE($D84,Milestones!$AA$84)&gt;=SchemeStart,IF($X84=0,$AD84,IF(AND($Z84&lt;&gt;"",EDATE($D84,Milestones!$AA$84)&gt;=$Z84),$AC84,IF(AND($Y84&lt;&gt;"",EDATE($D84,Milestones!$AA$84)&gt;=$Y84),$AB84,$AA84)))=Milestones!$AB$84),UPPER(TEXT(EDATE($D84,Milestones!$AA$84),"dd mmm yy"))&amp;" "&amp;Milestones!$AB$84&amp;" "&amp;IF(AND(Milestones!$AB$84="FT",Milestones!$AA$84=FT_Y5,EDATE($D84,Milestones!$AA$84)&lt;PolicyEff),1,Milestones!$AC$84)&amp;";  ","")&amp;IF(AND(EDATE($D84,Milestones!$AA$85)&lt;=AsOfDate,EDATE($D84,Milestones!$AA$85)&gt;=SchemeStart,IF($X84=0,$AD84,IF(AND($Z84&lt;&gt;"",EDATE($D84,Milestones!$AA$85)&gt;=$Z84),$AC84,IF(AND($Y84&lt;&gt;"",EDATE($D84,Milestones!$AA$85)&gt;=$Y84),$AB84,$AA84)))=Milestones!$AB$85),UPPER(TEXT(EDATE($D84,Milestones!$AA$85),"dd mmm yy"))&amp;" "&amp;Milestones!$AB$85&amp;" "&amp;IF(AND(Milestones!$AB$85="FT",Milestones!$AA$85=FT_Y5,EDATE($D84,Milestones!$AA$85)&lt;PolicyEff),1,Milestones!$AC$85)&amp;";  ","")&amp;IF(AND(EDATE($D84,Milestones!$AA$86)&lt;=AsOfDate,EDATE($D84,Milestones!$AA$86)&gt;=SchemeStart,IF($X84=0,$AD84,IF(AND($Z84&lt;&gt;"",EDATE($D84,Milestones!$AA$86)&gt;=$Z84),$AC84,IF(AND($Y84&lt;&gt;"",EDATE($D84,Milestones!$AA$86)&gt;=$Y84),$AB84,$AA84)))=Milestones!$AB$86),UPPER(TEXT(EDATE($D84,Milestones!$AA$86),"dd mmm yy"))&amp;" "&amp;Milestones!$AB$86&amp;" "&amp;IF(AND(Milestones!$AB$86="FT",Milestones!$AA$86=FT_Y5,EDATE($D84,Milestones!$AA$86)&lt;PolicyEff),1,Milestones!$AC$86)&amp;";  ","")&amp;IF(AND(EDATE($D84,Milestones!$AA$87)&lt;=AsOfDate,EDATE($D84,Milestones!$AA$87)&gt;=SchemeStart,IF($X84=0,$AD84,IF(AND($Z84&lt;&gt;"",EDATE($D84,Milestones!$AA$87)&gt;=$Z84),$AC84,IF(AND($Y84&lt;&gt;"",EDATE($D84,Milestones!$AA$87)&gt;=$Y84),$AB84,$AA84)))=Milestones!$AB$87),UPPER(TEXT(EDATE($D84,Milestones!$AA$87),"dd mmm yy"))&amp;" "&amp;Milestones!$AB$87&amp;" "&amp;IF(AND(Milestones!$AB$87="FT",Milestones!$AA$87=FT_Y5,EDATE($D84,Milestones!$AA$87)&lt;PolicyEff),1,Milestones!$AC$87)&amp;";  ","")&amp;IF(AND(EDATE($D84,Milestones!$AA$88)&lt;=AsOfDate,EDATE($D84,Milestones!$AA$88)&gt;=SchemeStart,IF($X84=0,$AD84,IF(AND($Z84&lt;&gt;"",EDATE($D84,Milestones!$AA$88)&gt;=$Z84),$AC84,IF(AND($Y84&lt;&gt;"",EDATE($D84,Milestones!$AA$88)&gt;=$Y84),$AB84,$AA84)))=Milestones!$AB$88),UPPER(TEXT(EDATE($D84,Milestones!$AA$88),"dd mmm yy"))&amp;" "&amp;Milestones!$AB$88&amp;" "&amp;IF(AND(Milestones!$AB$88="FT",Milestones!$AA$88=FT_Y5,EDATE($D84,Milestones!$AA$88)&lt;PolicyEff),1,Milestones!$AC$88)&amp;";  ","")&amp;IF(AND(EDATE($D84,Milestones!$AA$89)&lt;=AsOfDate,EDATE($D84,Milestones!$AA$89)&gt;=SchemeStart,IF($X84=0,$AD84,IF(AND($Z84&lt;&gt;"",EDATE($D84,Milestones!$AA$89)&gt;=$Z84),$AC84,IF(AND($Y84&lt;&gt;"",EDATE($D84,Milestones!$AA$89)&gt;=$Y84),$AB84,$AA84)))=Milestones!$AB$89),UPPER(TEXT(EDATE($D84,Milestones!$AA$89),"dd mmm yy"))&amp;" "&amp;Milestones!$AB$89&amp;" "&amp;IF(AND(Milestones!$AB$89="FT",Milestones!$AA$89=FT_Y5,EDATE($D84,Milestones!$AA$89)&lt;PolicyEff),1,Milestones!$AC$89)&amp;";  ","")&amp;IF(AND(EDATE($D84,Milestones!$AA$90)&lt;=AsOfDate,EDATE($D84,Milestones!$AA$90)&gt;=SchemeStart,IF($X84=0,$AD84,IF(AND($Z84&lt;&gt;"",EDATE($D84,Milestones!$AA$90)&gt;=$Z84),$AC84,IF(AND($Y84&lt;&gt;"",EDATE($D84,Milestones!$AA$90)&gt;=$Y84),$AB84,$AA84)))=Milestones!$AB$90),UPPER(TEXT(EDATE($D84,Milestones!$AA$90),"dd mmm yy"))&amp;" "&amp;Milestones!$AB$90&amp;" "&amp;IF(AND(Milestones!$AB$90="FT",Milestones!$AA$90=FT_Y5,EDATE($D84,Milestones!$AA$90)&lt;PolicyEff),1,Milestones!$AC$90)&amp;";  ","")&amp;IF(AND(EDATE($D84,Milestones!$AA$91)&lt;=AsOfDate,EDATE($D84,Milestones!$AA$91)&gt;=SchemeStart,IF($X84=0,$AD84,IF(AND($Z84&lt;&gt;"",EDATE($D84,Milestones!$AA$91)&gt;=$Z84),$AC84,IF(AND($Y84&lt;&gt;"",EDATE($D84,Milestones!$AA$91)&gt;=$Y84),$AB84,$AA84)))=Milestones!$AB$91),UPPER(TEXT(EDATE($D84,Milestones!$AA$91),"dd mmm yy"))&amp;" "&amp;Milestones!$AB$91&amp;" "&amp;IF(AND(Milestones!$AB$91="FT",Milestones!$AA$91=FT_Y5,EDATE($D84,Milestones!$AA$91)&lt;PolicyEff),1,Milestones!$AC$91)&amp;";  ",""))</f>
        <v/>
      </c>
      <c r="O84" s="0" t="str">
        <f aca="false">IF(OR($A84="",$D84=""),"",IF(AND(EDATE($D84,Milestones!$AA$92)&lt;=AsOfDate,EDATE($D84,Milestones!$AA$92)&gt;=SchemeStart,IF($X84=0,$AD84,IF(AND($Z84&lt;&gt;"",EDATE($D84,Milestones!$AA$92)&gt;=$Z84),$AC84,IF(AND($Y84&lt;&gt;"",EDATE($D84,Milestones!$AA$92)&gt;=$Y84),$AB84,$AA84)))=Milestones!$AB$92),UPPER(TEXT(EDATE($D84,Milestones!$AA$92),"dd mmm yy"))&amp;" "&amp;Milestones!$AB$92&amp;" "&amp;IF(AND(Milestones!$AB$92="FT",Milestones!$AA$92=FT_Y5,EDATE($D84,Milestones!$AA$92)&lt;PolicyEff),1,Milestones!$AC$92)&amp;";  ","")&amp;IF(AND(EDATE($D84,Milestones!$AA$93)&lt;=AsOfDate,EDATE($D84,Milestones!$AA$93)&gt;=SchemeStart,IF($X84=0,$AD84,IF(AND($Z84&lt;&gt;"",EDATE($D84,Milestones!$AA$93)&gt;=$Z84),$AC84,IF(AND($Y84&lt;&gt;"",EDATE($D84,Milestones!$AA$93)&gt;=$Y84),$AB84,$AA84)))=Milestones!$AB$93),UPPER(TEXT(EDATE($D84,Milestones!$AA$93),"dd mmm yy"))&amp;" "&amp;Milestones!$AB$93&amp;" "&amp;IF(AND(Milestones!$AB$93="FT",Milestones!$AA$93=FT_Y5,EDATE($D84,Milestones!$AA$93)&lt;PolicyEff),1,Milestones!$AC$93)&amp;";  ","")&amp;IF(AND(EDATE($D84,Milestones!$AA$94)&lt;=AsOfDate,EDATE($D84,Milestones!$AA$94)&gt;=SchemeStart,IF($X84=0,$AD84,IF(AND($Z84&lt;&gt;"",EDATE($D84,Milestones!$AA$94)&gt;=$Z84),$AC84,IF(AND($Y84&lt;&gt;"",EDATE($D84,Milestones!$AA$94)&gt;=$Y84),$AB84,$AA84)))=Milestones!$AB$94),UPPER(TEXT(EDATE($D84,Milestones!$AA$94),"dd mmm yy"))&amp;" "&amp;Milestones!$AB$94&amp;" "&amp;IF(AND(Milestones!$AB$94="FT",Milestones!$AA$94=FT_Y5,EDATE($D84,Milestones!$AA$94)&lt;PolicyEff),1,Milestones!$AC$94)&amp;";  ","")&amp;IF(AND(EDATE($D84,Milestones!$AA$95)&lt;=AsOfDate,EDATE($D84,Milestones!$AA$95)&gt;=SchemeStart,IF($X84=0,$AD84,IF(AND($Z84&lt;&gt;"",EDATE($D84,Milestones!$AA$95)&gt;=$Z84),$AC84,IF(AND($Y84&lt;&gt;"",EDATE($D84,Milestones!$AA$95)&gt;=$Y84),$AB84,$AA84)))=Milestones!$AB$95),UPPER(TEXT(EDATE($D84,Milestones!$AA$95),"dd mmm yy"))&amp;" "&amp;Milestones!$AB$95&amp;" "&amp;IF(AND(Milestones!$AB$95="FT",Milestones!$AA$95=FT_Y5,EDATE($D84,Milestones!$AA$95)&lt;PolicyEff),1,Milestones!$AC$95)&amp;";  ","")&amp;IF(AND(EDATE($D84,Milestones!$AA$96)&lt;=AsOfDate,EDATE($D84,Milestones!$AA$96)&gt;=SchemeStart,IF($X84=0,$AD84,IF(AND($Z84&lt;&gt;"",EDATE($D84,Milestones!$AA$96)&gt;=$Z84),$AC84,IF(AND($Y84&lt;&gt;"",EDATE($D84,Milestones!$AA$96)&gt;=$Y84),$AB84,$AA84)))=Milestones!$AB$96),UPPER(TEXT(EDATE($D84,Milestones!$AA$96),"dd mmm yy"))&amp;" "&amp;Milestones!$AB$96&amp;" "&amp;IF(AND(Milestones!$AB$96="FT",Milestones!$AA$96=FT_Y5,EDATE($D84,Milestones!$AA$96)&lt;PolicyEff),1,Milestones!$AC$96)&amp;";  ","")&amp;IF(AND(EDATE($D84,Milestones!$AA$97)&lt;=AsOfDate,EDATE($D84,Milestones!$AA$97)&gt;=SchemeStart,IF($X84=0,$AD84,IF(AND($Z84&lt;&gt;"",EDATE($D84,Milestones!$AA$97)&gt;=$Z84),$AC84,IF(AND($Y84&lt;&gt;"",EDATE($D84,Milestones!$AA$97)&gt;=$Y84),$AB84,$AA84)))=Milestones!$AB$97),UPPER(TEXT(EDATE($D84,Milestones!$AA$97),"dd mmm yy"))&amp;" "&amp;Milestones!$AB$97&amp;" "&amp;IF(AND(Milestones!$AB$97="FT",Milestones!$AA$97=FT_Y5,EDATE($D84,Milestones!$AA$97)&lt;PolicyEff),1,Milestones!$AC$97)&amp;";  ","")&amp;IF(AND(EDATE($D84,Milestones!$AA$98)&lt;=AsOfDate,EDATE($D84,Milestones!$AA$98)&gt;=SchemeStart,IF($X84=0,$AD84,IF(AND($Z84&lt;&gt;"",EDATE($D84,Milestones!$AA$98)&gt;=$Z84),$AC84,IF(AND($Y84&lt;&gt;"",EDATE($D84,Milestones!$AA$98)&gt;=$Y84),$AB84,$AA84)))=Milestones!$AB$98),UPPER(TEXT(EDATE($D84,Milestones!$AA$98),"dd mmm yy"))&amp;" "&amp;Milestones!$AB$98&amp;" "&amp;IF(AND(Milestones!$AB$98="FT",Milestones!$AA$98=FT_Y5,EDATE($D84,Milestones!$AA$98)&lt;PolicyEff),1,Milestones!$AC$98)&amp;";  ","")&amp;IF(AND(EDATE($D84,Milestones!$AA$99)&lt;=AsOfDate,EDATE($D84,Milestones!$AA$99)&gt;=SchemeStart,IF($X84=0,$AD84,IF(AND($Z84&lt;&gt;"",EDATE($D84,Milestones!$AA$99)&gt;=$Z84),$AC84,IF(AND($Y84&lt;&gt;"",EDATE($D84,Milestones!$AA$99)&gt;=$Y84),$AB84,$AA84)))=Milestones!$AB$99),UPPER(TEXT(EDATE($D84,Milestones!$AA$99),"dd mmm yy"))&amp;" "&amp;Milestones!$AB$99&amp;" "&amp;IF(AND(Milestones!$AB$99="FT",Milestones!$AA$99=FT_Y5,EDATE($D84,Milestones!$AA$99)&lt;PolicyEff),1,Milestones!$AC$99)&amp;";  ","")&amp;IF(AND(EDATE($D84,Milestones!$AA$100)&lt;=AsOfDate,EDATE($D84,Milestones!$AA$100)&gt;=SchemeStart,IF($X84=0,$AD84,IF(AND($Z84&lt;&gt;"",EDATE($D84,Milestones!$AA$100)&gt;=$Z84),$AC84,IF(AND($Y84&lt;&gt;"",EDATE($D84,Milestones!$AA$100)&gt;=$Y84),$AB84,$AA84)))=Milestones!$AB$100),UPPER(TEXT(EDATE($D84,Milestones!$AA$100),"dd mmm yy"))&amp;" "&amp;Milestones!$AB$100&amp;" "&amp;IF(AND(Milestones!$AB$100="FT",Milestones!$AA$100=FT_Y5,EDATE($D84,Milestones!$AA$100)&lt;PolicyEff),1,Milestones!$AC$100)&amp;";  ","")&amp;IF(AND(EDATE($D84,Milestones!$AA$101)&lt;=AsOfDate,EDATE($D84,Milestones!$AA$101)&gt;=SchemeStart,IF($X84=0,$AD84,IF(AND($Z84&lt;&gt;"",EDATE($D84,Milestones!$AA$101)&gt;=$Z84),$AC84,IF(AND($Y84&lt;&gt;"",EDATE($D84,Milestones!$AA$101)&gt;=$Y84),$AB84,$AA84)))=Milestones!$AB$101),UPPER(TEXT(EDATE($D84,Milestones!$AA$101),"dd mmm yy"))&amp;" "&amp;Milestones!$AB$101&amp;" "&amp;IF(AND(Milestones!$AB$101="FT",Milestones!$AA$101=FT_Y5,EDATE($D84,Milestones!$AA$101)&lt;PolicyEff),1,Milestones!$AC$101)&amp;";  ","")&amp;IF(AND(EDATE($D84,Milestones!$AA$102)&lt;=AsOfDate,EDATE($D84,Milestones!$AA$102)&gt;=SchemeStart,IF($X84=0,$AD84,IF(AND($Z84&lt;&gt;"",EDATE($D84,Milestones!$AA$102)&gt;=$Z84),$AC84,IF(AND($Y84&lt;&gt;"",EDATE($D84,Milestones!$AA$102)&gt;=$Y84),$AB84,$AA84)))=Milestones!$AB$102),UPPER(TEXT(EDATE($D84,Milestones!$AA$102),"dd mmm yy"))&amp;" "&amp;Milestones!$AB$102&amp;" "&amp;IF(AND(Milestones!$AB$102="FT",Milestones!$AA$102=FT_Y5,EDATE($D84,Milestones!$AA$102)&lt;PolicyEff),1,Milestones!$AC$102)&amp;";  ","")&amp;IF(AND(EDATE($D84,Milestones!$AA$103)&lt;=AsOfDate,EDATE($D84,Milestones!$AA$103)&gt;=SchemeStart,IF($X84=0,$AD84,IF(AND($Z84&lt;&gt;"",EDATE($D84,Milestones!$AA$103)&gt;=$Z84),$AC84,IF(AND($Y84&lt;&gt;"",EDATE($D84,Milestones!$AA$103)&gt;=$Y84),$AB84,$AA84)))=Milestones!$AB$103),UPPER(TEXT(EDATE($D84,Milestones!$AA$103),"dd mmm yy"))&amp;" "&amp;Milestones!$AB$103&amp;" "&amp;IF(AND(Milestones!$AB$103="FT",Milestones!$AA$103=FT_Y5,EDATE($D84,Milestones!$AA$103)&lt;PolicyEff),1,Milestones!$AC$103)&amp;";  ",""))</f>
        <v/>
      </c>
      <c r="P84" s="0" t="str">
        <f aca="false">IF(OR($A84="",$D84=""),"",IF(AND(EDATE($D84,Milestones!$AA$104)&lt;=AsOfDate,EDATE($D84,Milestones!$AA$104)&gt;=SchemeStart,IF($X84=0,$AD84,IF(AND($Z84&lt;&gt;"",EDATE($D84,Milestones!$AA$104)&gt;=$Z84),$AC84,IF(AND($Y84&lt;&gt;"",EDATE($D84,Milestones!$AA$104)&gt;=$Y84),$AB84,$AA84)))=Milestones!$AB$104),UPPER(TEXT(EDATE($D84,Milestones!$AA$104),"dd mmm yy"))&amp;" "&amp;Milestones!$AB$104&amp;" "&amp;IF(AND(Milestones!$AB$104="FT",Milestones!$AA$104=FT_Y5,EDATE($D84,Milestones!$AA$104)&lt;PolicyEff),1,Milestones!$AC$104)&amp;";  ","")&amp;IF(AND(EDATE($D84,Milestones!$AA$105)&lt;=AsOfDate,EDATE($D84,Milestones!$AA$105)&gt;=SchemeStart,IF($X84=0,$AD84,IF(AND($Z84&lt;&gt;"",EDATE($D84,Milestones!$AA$105)&gt;=$Z84),$AC84,IF(AND($Y84&lt;&gt;"",EDATE($D84,Milestones!$AA$105)&gt;=$Y84),$AB84,$AA84)))=Milestones!$AB$105),UPPER(TEXT(EDATE($D84,Milestones!$AA$105),"dd mmm yy"))&amp;" "&amp;Milestones!$AB$105&amp;" "&amp;IF(AND(Milestones!$AB$105="FT",Milestones!$AA$105=FT_Y5,EDATE($D84,Milestones!$AA$105)&lt;PolicyEff),1,Milestones!$AC$105)&amp;";  ","")&amp;IF(AND(EDATE($D84,Milestones!$AA$106)&lt;=AsOfDate,EDATE($D84,Milestones!$AA$106)&gt;=SchemeStart,IF($X84=0,$AD84,IF(AND($Z84&lt;&gt;"",EDATE($D84,Milestones!$AA$106)&gt;=$Z84),$AC84,IF(AND($Y84&lt;&gt;"",EDATE($D84,Milestones!$AA$106)&gt;=$Y84),$AB84,$AA84)))=Milestones!$AB$106),UPPER(TEXT(EDATE($D84,Milestones!$AA$106),"dd mmm yy"))&amp;" "&amp;Milestones!$AB$106&amp;" "&amp;IF(AND(Milestones!$AB$106="FT",Milestones!$AA$106=FT_Y5,EDATE($D84,Milestones!$AA$106)&lt;PolicyEff),1,Milestones!$AC$106)&amp;";  ","")&amp;IF(AND(EDATE($D84,Milestones!$AA$107)&lt;=AsOfDate,EDATE($D84,Milestones!$AA$107)&gt;=SchemeStart,IF($X84=0,$AD84,IF(AND($Z84&lt;&gt;"",EDATE($D84,Milestones!$AA$107)&gt;=$Z84),$AC84,IF(AND($Y84&lt;&gt;"",EDATE($D84,Milestones!$AA$107)&gt;=$Y84),$AB84,$AA84)))=Milestones!$AB$107),UPPER(TEXT(EDATE($D84,Milestones!$AA$107),"dd mmm yy"))&amp;" "&amp;Milestones!$AB$107&amp;" "&amp;IF(AND(Milestones!$AB$107="FT",Milestones!$AA$107=FT_Y5,EDATE($D84,Milestones!$AA$107)&lt;PolicyEff),1,Milestones!$AC$107)&amp;";  ","")&amp;IF(AND(EDATE($D84,Milestones!$AA$108)&lt;=AsOfDate,EDATE($D84,Milestones!$AA$108)&gt;=SchemeStart,IF($X84=0,$AD84,IF(AND($Z84&lt;&gt;"",EDATE($D84,Milestones!$AA$108)&gt;=$Z84),$AC84,IF(AND($Y84&lt;&gt;"",EDATE($D84,Milestones!$AA$108)&gt;=$Y84),$AB84,$AA84)))=Milestones!$AB$108),UPPER(TEXT(EDATE($D84,Milestones!$AA$108),"dd mmm yy"))&amp;" "&amp;Milestones!$AB$108&amp;" "&amp;IF(AND(Milestones!$AB$108="FT",Milestones!$AA$108=FT_Y5,EDATE($D84,Milestones!$AA$108)&lt;PolicyEff),1,Milestones!$AC$108)&amp;";  ","")&amp;IF(AND(EDATE($D84,Milestones!$AA$109)&lt;=AsOfDate,EDATE($D84,Milestones!$AA$109)&gt;=SchemeStart,IF($X84=0,$AD84,IF(AND($Z84&lt;&gt;"",EDATE($D84,Milestones!$AA$109)&gt;=$Z84),$AC84,IF(AND($Y84&lt;&gt;"",EDATE($D84,Milestones!$AA$109)&gt;=$Y84),$AB84,$AA84)))=Milestones!$AB$109),UPPER(TEXT(EDATE($D84,Milestones!$AA$109),"dd mmm yy"))&amp;" "&amp;Milestones!$AB$109&amp;" "&amp;IF(AND(Milestones!$AB$109="FT",Milestones!$AA$109=FT_Y5,EDATE($D84,Milestones!$AA$109)&lt;PolicyEff),1,Milestones!$AC$109)&amp;";  ","")&amp;IF(AND(EDATE($D84,Milestones!$AA$110)&lt;=AsOfDate,EDATE($D84,Milestones!$AA$110)&gt;=SchemeStart,IF($X84=0,$AD84,IF(AND($Z84&lt;&gt;"",EDATE($D84,Milestones!$AA$110)&gt;=$Z84),$AC84,IF(AND($Y84&lt;&gt;"",EDATE($D84,Milestones!$AA$110)&gt;=$Y84),$AB84,$AA84)))=Milestones!$AB$110),UPPER(TEXT(EDATE($D84,Milestones!$AA$110),"dd mmm yy"))&amp;" "&amp;Milestones!$AB$110&amp;" "&amp;IF(AND(Milestones!$AB$110="FT",Milestones!$AA$110=FT_Y5,EDATE($D84,Milestones!$AA$110)&lt;PolicyEff),1,Milestones!$AC$110)&amp;";  ","")&amp;IF(AND(EDATE($D84,Milestones!$AA$111)&lt;=AsOfDate,EDATE($D84,Milestones!$AA$111)&gt;=SchemeStart,IF($X84=0,$AD84,IF(AND($Z84&lt;&gt;"",EDATE($D84,Milestones!$AA$111)&gt;=$Z84),$AC84,IF(AND($Y84&lt;&gt;"",EDATE($D84,Milestones!$AA$111)&gt;=$Y84),$AB84,$AA84)))=Milestones!$AB$111),UPPER(TEXT(EDATE($D84,Milestones!$AA$111),"dd mmm yy"))&amp;" "&amp;Milestones!$AB$111&amp;" "&amp;IF(AND(Milestones!$AB$111="FT",Milestones!$AA$111=FT_Y5,EDATE($D84,Milestones!$AA$111)&lt;PolicyEff),1,Milestones!$AC$111)&amp;";  ","")&amp;IF(AND(EDATE($D84,Milestones!$AA$112)&lt;=AsOfDate,EDATE($D84,Milestones!$AA$112)&gt;=SchemeStart,IF($X84=0,$AD84,IF(AND($Z84&lt;&gt;"",EDATE($D84,Milestones!$AA$112)&gt;=$Z84),$AC84,IF(AND($Y84&lt;&gt;"",EDATE($D84,Milestones!$AA$112)&gt;=$Y84),$AB84,$AA84)))=Milestones!$AB$112),UPPER(TEXT(EDATE($D84,Milestones!$AA$112),"dd mmm yy"))&amp;" "&amp;Milestones!$AB$112&amp;" "&amp;IF(AND(Milestones!$AB$112="FT",Milestones!$AA$112=FT_Y5,EDATE($D84,Milestones!$AA$112)&lt;PolicyEff),1,Milestones!$AC$112)&amp;";  ","")&amp;IF(AND(EDATE($D84,Milestones!$AA$113)&lt;=AsOfDate,EDATE($D84,Milestones!$AA$113)&gt;=SchemeStart,IF($X84=0,$AD84,IF(AND($Z84&lt;&gt;"",EDATE($D84,Milestones!$AA$113)&gt;=$Z84),$AC84,IF(AND($Y84&lt;&gt;"",EDATE($D84,Milestones!$AA$113)&gt;=$Y84),$AB84,$AA84)))=Milestones!$AB$113),UPPER(TEXT(EDATE($D84,Milestones!$AA$113),"dd mmm yy"))&amp;" "&amp;Milestones!$AB$113&amp;" "&amp;IF(AND(Milestones!$AB$113="FT",Milestones!$AA$113=FT_Y5,EDATE($D84,Milestones!$AA$113)&lt;PolicyEff),1,Milestones!$AC$113)&amp;";  ","")&amp;IF(AND(EDATE($D84,Milestones!$AA$114)&lt;=AsOfDate,EDATE($D84,Milestones!$AA$114)&gt;=SchemeStart,IF($X84=0,$AD84,IF(AND($Z84&lt;&gt;"",EDATE($D84,Milestones!$AA$114)&gt;=$Z84),$AC84,IF(AND($Y84&lt;&gt;"",EDATE($D84,Milestones!$AA$114)&gt;=$Y84),$AB84,$AA84)))=Milestones!$AB$114),UPPER(TEXT(EDATE($D84,Milestones!$AA$114),"dd mmm yy"))&amp;" "&amp;Milestones!$AB$114&amp;" "&amp;IF(AND(Milestones!$AB$114="FT",Milestones!$AA$114=FT_Y5,EDATE($D84,Milestones!$AA$114)&lt;PolicyEff),1,Milestones!$AC$114)&amp;";  ","")&amp;IF(AND(EDATE($D84,Milestones!$AA$115)&lt;=AsOfDate,EDATE($D84,Milestones!$AA$115)&gt;=SchemeStart,IF($X84=0,$AD84,IF(AND($Z84&lt;&gt;"",EDATE($D84,Milestones!$AA$115)&gt;=$Z84),$AC84,IF(AND($Y84&lt;&gt;"",EDATE($D84,Milestones!$AA$115)&gt;=$Y84),$AB84,$AA84)))=Milestones!$AB$115),UPPER(TEXT(EDATE($D84,Milestones!$AA$115),"dd mmm yy"))&amp;" "&amp;Milestones!$AB$115&amp;" "&amp;IF(AND(Milestones!$AB$115="FT",Milestones!$AA$115=FT_Y5,EDATE($D84,Milestones!$AA$115)&lt;PolicyEff),1,Milestones!$AC$115)&amp;";  ",""))</f>
        <v/>
      </c>
      <c r="Q84" s="0" t="str">
        <f aca="false">IF(OR($A84="",$D84=""),"",IF(AND(EDATE($D84,Milestones!$AA$116)&lt;=AsOfDate,EDATE($D84,Milestones!$AA$116)&gt;=SchemeStart,IF($X84=0,$AD84,IF(AND($Z84&lt;&gt;"",EDATE($D84,Milestones!$AA$116)&gt;=$Z84),$AC84,IF(AND($Y84&lt;&gt;"",EDATE($D84,Milestones!$AA$116)&gt;=$Y84),$AB84,$AA84)))=Milestones!$AB$116),UPPER(TEXT(EDATE($D84,Milestones!$AA$116),"dd mmm yy"))&amp;" "&amp;Milestones!$AB$116&amp;" "&amp;IF(AND(Milestones!$AB$116="FT",Milestones!$AA$116=FT_Y5,EDATE($D84,Milestones!$AA$116)&lt;PolicyEff),1,Milestones!$AC$116)&amp;";  ","")&amp;IF(AND(EDATE($D84,Milestones!$AA$117)&lt;=AsOfDate,EDATE($D84,Milestones!$AA$117)&gt;=SchemeStart,IF($X84=0,$AD84,IF(AND($Z84&lt;&gt;"",EDATE($D84,Milestones!$AA$117)&gt;=$Z84),$AC84,IF(AND($Y84&lt;&gt;"",EDATE($D84,Milestones!$AA$117)&gt;=$Y84),$AB84,$AA84)))=Milestones!$AB$117),UPPER(TEXT(EDATE($D84,Milestones!$AA$117),"dd mmm yy"))&amp;" "&amp;Milestones!$AB$117&amp;" "&amp;IF(AND(Milestones!$AB$117="FT",Milestones!$AA$117=FT_Y5,EDATE($D84,Milestones!$AA$117)&lt;PolicyEff),1,Milestones!$AC$117)&amp;";  ","")&amp;IF(AND(EDATE($D84,Milestones!$AA$118)&lt;=AsOfDate,EDATE($D84,Milestones!$AA$118)&gt;=SchemeStart,IF($X84=0,$AD84,IF(AND($Z84&lt;&gt;"",EDATE($D84,Milestones!$AA$118)&gt;=$Z84),$AC84,IF(AND($Y84&lt;&gt;"",EDATE($D84,Milestones!$AA$118)&gt;=$Y84),$AB84,$AA84)))=Milestones!$AB$118),UPPER(TEXT(EDATE($D84,Milestones!$AA$118),"dd mmm yy"))&amp;" "&amp;Milestones!$AB$118&amp;" "&amp;IF(AND(Milestones!$AB$118="FT",Milestones!$AA$118=FT_Y5,EDATE($D84,Milestones!$AA$118)&lt;PolicyEff),1,Milestones!$AC$118)&amp;";  ","")&amp;IF(AND(EDATE($D84,Milestones!$AA$119)&lt;=AsOfDate,EDATE($D84,Milestones!$AA$119)&gt;=SchemeStart,IF($X84=0,$AD84,IF(AND($Z84&lt;&gt;"",EDATE($D84,Milestones!$AA$119)&gt;=$Z84),$AC84,IF(AND($Y84&lt;&gt;"",EDATE($D84,Milestones!$AA$119)&gt;=$Y84),$AB84,$AA84)))=Milestones!$AB$119),UPPER(TEXT(EDATE($D84,Milestones!$AA$119),"dd mmm yy"))&amp;" "&amp;Milestones!$AB$119&amp;" "&amp;IF(AND(Milestones!$AB$119="FT",Milestones!$AA$119=FT_Y5,EDATE($D84,Milestones!$AA$119)&lt;PolicyEff),1,Milestones!$AC$119)&amp;";  ","")&amp;IF(AND(EDATE($D84,Milestones!$AA$120)&lt;=AsOfDate,EDATE($D84,Milestones!$AA$120)&gt;=SchemeStart,IF($X84=0,$AD84,IF(AND($Z84&lt;&gt;"",EDATE($D84,Milestones!$AA$120)&gt;=$Z84),$AC84,IF(AND($Y84&lt;&gt;"",EDATE($D84,Milestones!$AA$120)&gt;=$Y84),$AB84,$AA84)))=Milestones!$AB$120),UPPER(TEXT(EDATE($D84,Milestones!$AA$120),"dd mmm yy"))&amp;" "&amp;Milestones!$AB$120&amp;" "&amp;IF(AND(Milestones!$AB$120="FT",Milestones!$AA$120=FT_Y5,EDATE($D84,Milestones!$AA$120)&lt;PolicyEff),1,Milestones!$AC$120)&amp;";  ","")&amp;IF(AND(EDATE($D84,Milestones!$AA$121)&lt;=AsOfDate,EDATE($D84,Milestones!$AA$121)&gt;=SchemeStart,IF($X84=0,$AD84,IF(AND($Z84&lt;&gt;"",EDATE($D84,Milestones!$AA$121)&gt;=$Z84),$AC84,IF(AND($Y84&lt;&gt;"",EDATE($D84,Milestones!$AA$121)&gt;=$Y84),$AB84,$AA84)))=Milestones!$AB$121),UPPER(TEXT(EDATE($D84,Milestones!$AA$121),"dd mmm yy"))&amp;" "&amp;Milestones!$AB$121&amp;" "&amp;IF(AND(Milestones!$AB$121="FT",Milestones!$AA$121=FT_Y5,EDATE($D84,Milestones!$AA$121)&lt;PolicyEff),1,Milestones!$AC$121)&amp;";  ","")&amp;IF(AND(EDATE($D84,Milestones!$AA$122)&lt;=AsOfDate,EDATE($D84,Milestones!$AA$122)&gt;=SchemeStart,IF($X84=0,$AD84,IF(AND($Z84&lt;&gt;"",EDATE($D84,Milestones!$AA$122)&gt;=$Z84),$AC84,IF(AND($Y84&lt;&gt;"",EDATE($D84,Milestones!$AA$122)&gt;=$Y84),$AB84,$AA84)))=Milestones!$AB$122),UPPER(TEXT(EDATE($D84,Milestones!$AA$122),"dd mmm yy"))&amp;" "&amp;Milestones!$AB$122&amp;" "&amp;IF(AND(Milestones!$AB$122="FT",Milestones!$AA$122=FT_Y5,EDATE($D84,Milestones!$AA$122)&lt;PolicyEff),1,Milestones!$AC$122)&amp;";  ","")&amp;IF(AND(EDATE($D84,Milestones!$AA$123)&lt;=AsOfDate,EDATE($D84,Milestones!$AA$123)&gt;=SchemeStart,IF($X84=0,$AD84,IF(AND($Z84&lt;&gt;"",EDATE($D84,Milestones!$AA$123)&gt;=$Z84),$AC84,IF(AND($Y84&lt;&gt;"",EDATE($D84,Milestones!$AA$123)&gt;=$Y84),$AB84,$AA84)))=Milestones!$AB$123),UPPER(TEXT(EDATE($D84,Milestones!$AA$123),"dd mmm yy"))&amp;" "&amp;Milestones!$AB$123&amp;" "&amp;IF(AND(Milestones!$AB$123="FT",Milestones!$AA$123=FT_Y5,EDATE($D84,Milestones!$AA$123)&lt;PolicyEff),1,Milestones!$AC$123)&amp;";  ","")&amp;IF(AND(EDATE($D84,Milestones!$AA$124)&lt;=AsOfDate,EDATE($D84,Milestones!$AA$124)&gt;=SchemeStart,IF($X84=0,$AD84,IF(AND($Z84&lt;&gt;"",EDATE($D84,Milestones!$AA$124)&gt;=$Z84),$AC84,IF(AND($Y84&lt;&gt;"",EDATE($D84,Milestones!$AA$124)&gt;=$Y84),$AB84,$AA84)))=Milestones!$AB$124),UPPER(TEXT(EDATE($D84,Milestones!$AA$124),"dd mmm yy"))&amp;" "&amp;Milestones!$AB$124&amp;" "&amp;IF(AND(Milestones!$AB$124="FT",Milestones!$AA$124=FT_Y5,EDATE($D84,Milestones!$AA$124)&lt;PolicyEff),1,Milestones!$AC$124)&amp;";  ","")&amp;IF(AND(EDATE($D84,Milestones!$AA$125)&lt;=AsOfDate,EDATE($D84,Milestones!$AA$125)&gt;=SchemeStart,IF($X84=0,$AD84,IF(AND($Z84&lt;&gt;"",EDATE($D84,Milestones!$AA$125)&gt;=$Z84),$AC84,IF(AND($Y84&lt;&gt;"",EDATE($D84,Milestones!$AA$125)&gt;=$Y84),$AB84,$AA84)))=Milestones!$AB$125),UPPER(TEXT(EDATE($D84,Milestones!$AA$125),"dd mmm yy"))&amp;" "&amp;Milestones!$AB$125&amp;" "&amp;IF(AND(Milestones!$AB$125="FT",Milestones!$AA$125=FT_Y5,EDATE($D84,Milestones!$AA$125)&lt;PolicyEff),1,Milestones!$AC$125)&amp;";  ","")&amp;IF(AND(EDATE($D84,Milestones!$AA$126)&lt;=AsOfDate,EDATE($D84,Milestones!$AA$126)&gt;=SchemeStart,IF($X84=0,$AD84,IF(AND($Z84&lt;&gt;"",EDATE($D84,Milestones!$AA$126)&gt;=$Z84),$AC84,IF(AND($Y84&lt;&gt;"",EDATE($D84,Milestones!$AA$126)&gt;=$Y84),$AB84,$AA84)))=Milestones!$AB$126),UPPER(TEXT(EDATE($D84,Milestones!$AA$126),"dd mmm yy"))&amp;" "&amp;Milestones!$AB$126&amp;" "&amp;IF(AND(Milestones!$AB$126="FT",Milestones!$AA$126=FT_Y5,EDATE($D84,Milestones!$AA$126)&lt;PolicyEff),1,Milestones!$AC$126)&amp;";  ","")&amp;IF(AND(EDATE($D84,Milestones!$AA$127)&lt;=AsOfDate,EDATE($D84,Milestones!$AA$127)&gt;=SchemeStart,IF($X84=0,$AD84,IF(AND($Z84&lt;&gt;"",EDATE($D84,Milestones!$AA$127)&gt;=$Z84),$AC84,IF(AND($Y84&lt;&gt;"",EDATE($D84,Milestones!$AA$127)&gt;=$Y84),$AB84,$AA84)))=Milestones!$AB$127),UPPER(TEXT(EDATE($D84,Milestones!$AA$127),"dd mmm yy"))&amp;" "&amp;Milestones!$AB$127&amp;" "&amp;IF(AND(Milestones!$AB$127="FT",Milestones!$AA$127=FT_Y5,EDATE($D84,Milestones!$AA$127)&lt;PolicyEff),1,Milestones!$AC$127)&amp;";  ",""))</f>
        <v/>
      </c>
      <c r="R84" s="0" t="str">
        <f aca="false">IF(OR($A84="",$D84=""),"",IF(AND(EDATE($D84,Milestones!$AA$128)&lt;=AsOfDate,EDATE($D84,Milestones!$AA$128)&gt;=SchemeStart,IF($X84=0,$AD84,IF(AND($Z84&lt;&gt;"",EDATE($D84,Milestones!$AA$128)&gt;=$Z84),$AC84,IF(AND($Y84&lt;&gt;"",EDATE($D84,Milestones!$AA$128)&gt;=$Y84),$AB84,$AA84)))=Milestones!$AB$128),UPPER(TEXT(EDATE($D84,Milestones!$AA$128),"dd mmm yy"))&amp;" "&amp;Milestones!$AB$128&amp;" "&amp;IF(AND(Milestones!$AB$128="FT",Milestones!$AA$128=FT_Y5,EDATE($D84,Milestones!$AA$128)&lt;PolicyEff),1,Milestones!$AC$128)&amp;";  ","")&amp;IF(AND(EDATE($D84,Milestones!$AA$129)&lt;=AsOfDate,EDATE($D84,Milestones!$AA$129)&gt;=SchemeStart,IF($X84=0,$AD84,IF(AND($Z84&lt;&gt;"",EDATE($D84,Milestones!$AA$129)&gt;=$Z84),$AC84,IF(AND($Y84&lt;&gt;"",EDATE($D84,Milestones!$AA$129)&gt;=$Y84),$AB84,$AA84)))=Milestones!$AB$129),UPPER(TEXT(EDATE($D84,Milestones!$AA$129),"dd mmm yy"))&amp;" "&amp;Milestones!$AB$129&amp;" "&amp;IF(AND(Milestones!$AB$129="FT",Milestones!$AA$129=FT_Y5,EDATE($D84,Milestones!$AA$129)&lt;PolicyEff),1,Milestones!$AC$129)&amp;";  ","")&amp;IF(AND(EDATE($D84,Milestones!$AA$130)&lt;=AsOfDate,EDATE($D84,Milestones!$AA$130)&gt;=SchemeStart,IF($X84=0,$AD84,IF(AND($Z84&lt;&gt;"",EDATE($D84,Milestones!$AA$130)&gt;=$Z84),$AC84,IF(AND($Y84&lt;&gt;"",EDATE($D84,Milestones!$AA$130)&gt;=$Y84),$AB84,$AA84)))=Milestones!$AB$130),UPPER(TEXT(EDATE($D84,Milestones!$AA$130),"dd mmm yy"))&amp;" "&amp;Milestones!$AB$130&amp;" "&amp;IF(AND(Milestones!$AB$130="FT",Milestones!$AA$130=FT_Y5,EDATE($D84,Milestones!$AA$130)&lt;PolicyEff),1,Milestones!$AC$130)&amp;";  ","")&amp;IF(AND(EDATE($D84,Milestones!$AA$131)&lt;=AsOfDate,EDATE($D84,Milestones!$AA$131)&gt;=SchemeStart,IF($X84=0,$AD84,IF(AND($Z84&lt;&gt;"",EDATE($D84,Milestones!$AA$131)&gt;=$Z84),$AC84,IF(AND($Y84&lt;&gt;"",EDATE($D84,Milestones!$AA$131)&gt;=$Y84),$AB84,$AA84)))=Milestones!$AB$131),UPPER(TEXT(EDATE($D84,Milestones!$AA$131),"dd mmm yy"))&amp;" "&amp;Milestones!$AB$131&amp;" "&amp;IF(AND(Milestones!$AB$131="FT",Milestones!$AA$131=FT_Y5,EDATE($D84,Milestones!$AA$131)&lt;PolicyEff),1,Milestones!$AC$131)&amp;";  ","")&amp;IF(AND(EDATE($D84,Milestones!$AA$132)&lt;=AsOfDate,EDATE($D84,Milestones!$AA$132)&gt;=SchemeStart,IF($X84=0,$AD84,IF(AND($Z84&lt;&gt;"",EDATE($D84,Milestones!$AA$132)&gt;=$Z84),$AC84,IF(AND($Y84&lt;&gt;"",EDATE($D84,Milestones!$AA$132)&gt;=$Y84),$AB84,$AA84)))=Milestones!$AB$132),UPPER(TEXT(EDATE($D84,Milestones!$AA$132),"dd mmm yy"))&amp;" "&amp;Milestones!$AB$132&amp;" "&amp;IF(AND(Milestones!$AB$132="FT",Milestones!$AA$132=FT_Y5,EDATE($D84,Milestones!$AA$132)&lt;PolicyEff),1,Milestones!$AC$132)&amp;";  ","")&amp;IF(AND(EDATE($D84,Milestones!$AA$133)&lt;=AsOfDate,EDATE($D84,Milestones!$AA$133)&gt;=SchemeStart,IF($X84=0,$AD84,IF(AND($Z84&lt;&gt;"",EDATE($D84,Milestones!$AA$133)&gt;=$Z84),$AC84,IF(AND($Y84&lt;&gt;"",EDATE($D84,Milestones!$AA$133)&gt;=$Y84),$AB84,$AA84)))=Milestones!$AB$133),UPPER(TEXT(EDATE($D84,Milestones!$AA$133),"dd mmm yy"))&amp;" "&amp;Milestones!$AB$133&amp;" "&amp;IF(AND(Milestones!$AB$133="FT",Milestones!$AA$133=FT_Y5,EDATE($D84,Milestones!$AA$133)&lt;PolicyEff),1,Milestones!$AC$133)&amp;";  ","")&amp;IF(AND(EDATE($D84,Milestones!$AA$134)&lt;=AsOfDate,EDATE($D84,Milestones!$AA$134)&gt;=SchemeStart,IF($X84=0,$AD84,IF(AND($Z84&lt;&gt;"",EDATE($D84,Milestones!$AA$134)&gt;=$Z84),$AC84,IF(AND($Y84&lt;&gt;"",EDATE($D84,Milestones!$AA$134)&gt;=$Y84),$AB84,$AA84)))=Milestones!$AB$134),UPPER(TEXT(EDATE($D84,Milestones!$AA$134),"dd mmm yy"))&amp;" "&amp;Milestones!$AB$134&amp;" "&amp;IF(AND(Milestones!$AB$134="FT",Milestones!$AA$134=FT_Y5,EDATE($D84,Milestones!$AA$134)&lt;PolicyEff),1,Milestones!$AC$134)&amp;";  ","")&amp;IF(AND(EDATE($D84,Milestones!$AA$135)&lt;=AsOfDate,EDATE($D84,Milestones!$AA$135)&gt;=SchemeStart,IF($X84=0,$AD84,IF(AND($Z84&lt;&gt;"",EDATE($D84,Milestones!$AA$135)&gt;=$Z84),$AC84,IF(AND($Y84&lt;&gt;"",EDATE($D84,Milestones!$AA$135)&gt;=$Y84),$AB84,$AA84)))=Milestones!$AB$135),UPPER(TEXT(EDATE($D84,Milestones!$AA$135),"dd mmm yy"))&amp;" "&amp;Milestones!$AB$135&amp;" "&amp;IF(AND(Milestones!$AB$135="FT",Milestones!$AA$135=FT_Y5,EDATE($D84,Milestones!$AA$135)&lt;PolicyEff),1,Milestones!$AC$135)&amp;";  ","")&amp;IF(AND(EDATE($D84,Milestones!$AA$136)&lt;=AsOfDate,EDATE($D84,Milestones!$AA$136)&gt;=SchemeStart,IF($X84=0,$AD84,IF(AND($Z84&lt;&gt;"",EDATE($D84,Milestones!$AA$136)&gt;=$Z84),$AC84,IF(AND($Y84&lt;&gt;"",EDATE($D84,Milestones!$AA$136)&gt;=$Y84),$AB84,$AA84)))=Milestones!$AB$136),UPPER(TEXT(EDATE($D84,Milestones!$AA$136),"dd mmm yy"))&amp;" "&amp;Milestones!$AB$136&amp;" "&amp;IF(AND(Milestones!$AB$136="FT",Milestones!$AA$136=FT_Y5,EDATE($D84,Milestones!$AA$136)&lt;PolicyEff),1,Milestones!$AC$136)&amp;";  ","")&amp;IF(AND(EDATE($D84,Milestones!$AA$137)&lt;=AsOfDate,EDATE($D84,Milestones!$AA$137)&gt;=SchemeStart,IF($X84=0,$AD84,IF(AND($Z84&lt;&gt;"",EDATE($D84,Milestones!$AA$137)&gt;=$Z84),$AC84,IF(AND($Y84&lt;&gt;"",EDATE($D84,Milestones!$AA$137)&gt;=$Y84),$AB84,$AA84)))=Milestones!$AB$137),UPPER(TEXT(EDATE($D84,Milestones!$AA$137),"dd mmm yy"))&amp;" "&amp;Milestones!$AB$137&amp;" "&amp;IF(AND(Milestones!$AB$137="FT",Milestones!$AA$137=FT_Y5,EDATE($D84,Milestones!$AA$137)&lt;PolicyEff),1,Milestones!$AC$137)&amp;";  ","")&amp;IF(AND(EDATE($D84,Milestones!$AA$138)&lt;=AsOfDate,EDATE($D84,Milestones!$AA$138)&gt;=SchemeStart,IF($X84=0,$AD84,IF(AND($Z84&lt;&gt;"",EDATE($D84,Milestones!$AA$138)&gt;=$Z84),$AC84,IF(AND($Y84&lt;&gt;"",EDATE($D84,Milestones!$AA$138)&gt;=$Y84),$AB84,$AA84)))=Milestones!$AB$138),UPPER(TEXT(EDATE($D84,Milestones!$AA$138),"dd mmm yy"))&amp;" "&amp;Milestones!$AB$138&amp;" "&amp;IF(AND(Milestones!$AB$138="FT",Milestones!$AA$138=FT_Y5,EDATE($D84,Milestones!$AA$138)&lt;PolicyEff),1,Milestones!$AC$138)&amp;";  ","")&amp;IF(AND(EDATE($D84,Milestones!$AA$139)&lt;=AsOfDate,EDATE($D84,Milestones!$AA$139)&gt;=SchemeStart,IF($X84=0,$AD84,IF(AND($Z84&lt;&gt;"",EDATE($D84,Milestones!$AA$139)&gt;=$Z84),$AC84,IF(AND($Y84&lt;&gt;"",EDATE($D84,Milestones!$AA$139)&gt;=$Y84),$AB84,$AA84)))=Milestones!$AB$139),UPPER(TEXT(EDATE($D84,Milestones!$AA$139),"dd mmm yy"))&amp;" "&amp;Milestones!$AB$139&amp;" "&amp;IF(AND(Milestones!$AB$139="FT",Milestones!$AA$139=FT_Y5,EDATE($D84,Milestones!$AA$139)&lt;PolicyEff),1,Milestones!$AC$139)&amp;";  ",""))</f>
        <v/>
      </c>
      <c r="S84" s="0" t="str">
        <f aca="false">IF(OR($A84="",$D84=""),"",IF(AND(EDATE($D84,Milestones!$AA$140)&lt;=AsOfDate,EDATE($D84,Milestones!$AA$140)&gt;=SchemeStart,IF($X84=0,$AD84,IF(AND($Z84&lt;&gt;"",EDATE($D84,Milestones!$AA$140)&gt;=$Z84),$AC84,IF(AND($Y84&lt;&gt;"",EDATE($D84,Milestones!$AA$140)&gt;=$Y84),$AB84,$AA84)))=Milestones!$AB$140),UPPER(TEXT(EDATE($D84,Milestones!$AA$140),"dd mmm yy"))&amp;" "&amp;Milestones!$AB$140&amp;" "&amp;IF(AND(Milestones!$AB$140="FT",Milestones!$AA$140=FT_Y5,EDATE($D84,Milestones!$AA$140)&lt;PolicyEff),1,Milestones!$AC$140)&amp;";  ","")&amp;IF(AND(EDATE($D84,Milestones!$AA$141)&lt;=AsOfDate,EDATE($D84,Milestones!$AA$141)&gt;=SchemeStart,IF($X84=0,$AD84,IF(AND($Z84&lt;&gt;"",EDATE($D84,Milestones!$AA$141)&gt;=$Z84),$AC84,IF(AND($Y84&lt;&gt;"",EDATE($D84,Milestones!$AA$141)&gt;=$Y84),$AB84,$AA84)))=Milestones!$AB$141),UPPER(TEXT(EDATE($D84,Milestones!$AA$141),"dd mmm yy"))&amp;" "&amp;Milestones!$AB$141&amp;" "&amp;IF(AND(Milestones!$AB$141="FT",Milestones!$AA$141=FT_Y5,EDATE($D84,Milestones!$AA$141)&lt;PolicyEff),1,Milestones!$AC$141)&amp;";  ","")&amp;IF(AND(EDATE($D84,Milestones!$AA$142)&lt;=AsOfDate,EDATE($D84,Milestones!$AA$142)&gt;=SchemeStart,IF($X84=0,$AD84,IF(AND($Z84&lt;&gt;"",EDATE($D84,Milestones!$AA$142)&gt;=$Z84),$AC84,IF(AND($Y84&lt;&gt;"",EDATE($D84,Milestones!$AA$142)&gt;=$Y84),$AB84,$AA84)))=Milestones!$AB$142),UPPER(TEXT(EDATE($D84,Milestones!$AA$142),"dd mmm yy"))&amp;" "&amp;Milestones!$AB$142&amp;" "&amp;IF(AND(Milestones!$AB$142="FT",Milestones!$AA$142=FT_Y5,EDATE($D84,Milestones!$AA$142)&lt;PolicyEff),1,Milestones!$AC$142)&amp;";  ","")&amp;IF(AND(EDATE($D84,Milestones!$AA$143)&lt;=AsOfDate,EDATE($D84,Milestones!$AA$143)&gt;=SchemeStart,IF($X84=0,$AD84,IF(AND($Z84&lt;&gt;"",EDATE($D84,Milestones!$AA$143)&gt;=$Z84),$AC84,IF(AND($Y84&lt;&gt;"",EDATE($D84,Milestones!$AA$143)&gt;=$Y84),$AB84,$AA84)))=Milestones!$AB$143),UPPER(TEXT(EDATE($D84,Milestones!$AA$143),"dd mmm yy"))&amp;" "&amp;Milestones!$AB$143&amp;" "&amp;IF(AND(Milestones!$AB$143="FT",Milestones!$AA$143=FT_Y5,EDATE($D84,Milestones!$AA$143)&lt;PolicyEff),1,Milestones!$AC$143)&amp;";  ","")&amp;IF(AND(EDATE($D84,Milestones!$AA$144)&lt;=AsOfDate,EDATE($D84,Milestones!$AA$144)&gt;=SchemeStart,IF($X84=0,$AD84,IF(AND($Z84&lt;&gt;"",EDATE($D84,Milestones!$AA$144)&gt;=$Z84),$AC84,IF(AND($Y84&lt;&gt;"",EDATE($D84,Milestones!$AA$144)&gt;=$Y84),$AB84,$AA84)))=Milestones!$AB$144),UPPER(TEXT(EDATE($D84,Milestones!$AA$144),"dd mmm yy"))&amp;" "&amp;Milestones!$AB$144&amp;" "&amp;IF(AND(Milestones!$AB$144="FT",Milestones!$AA$144=FT_Y5,EDATE($D84,Milestones!$AA$144)&lt;PolicyEff),1,Milestones!$AC$144)&amp;";  ","")&amp;IF(AND(EDATE($D84,Milestones!$AA$145)&lt;=AsOfDate,EDATE($D84,Milestones!$AA$145)&gt;=SchemeStart,IF($X84=0,$AD84,IF(AND($Z84&lt;&gt;"",EDATE($D84,Milestones!$AA$145)&gt;=$Z84),$AC84,IF(AND($Y84&lt;&gt;"",EDATE($D84,Milestones!$AA$145)&gt;=$Y84),$AB84,$AA84)))=Milestones!$AB$145),UPPER(TEXT(EDATE($D84,Milestones!$AA$145),"dd mmm yy"))&amp;" "&amp;Milestones!$AB$145&amp;" "&amp;IF(AND(Milestones!$AB$145="FT",Milestones!$AA$145=FT_Y5,EDATE($D84,Milestones!$AA$145)&lt;PolicyEff),1,Milestones!$AC$145)&amp;";  ","")&amp;IF(AND(EDATE($D84,Milestones!$AA$146)&lt;=AsOfDate,EDATE($D84,Milestones!$AA$146)&gt;=SchemeStart,IF($X84=0,$AD84,IF(AND($Z84&lt;&gt;"",EDATE($D84,Milestones!$AA$146)&gt;=$Z84),$AC84,IF(AND($Y84&lt;&gt;"",EDATE($D84,Milestones!$AA$146)&gt;=$Y84),$AB84,$AA84)))=Milestones!$AB$146),UPPER(TEXT(EDATE($D84,Milestones!$AA$146),"dd mmm yy"))&amp;" "&amp;Milestones!$AB$146&amp;" "&amp;IF(AND(Milestones!$AB$146="FT",Milestones!$AA$146=FT_Y5,EDATE($D84,Milestones!$AA$146)&lt;PolicyEff),1,Milestones!$AC$146)&amp;";  ","")&amp;IF(AND(EDATE($D84,Milestones!$AA$147)&lt;=AsOfDate,EDATE($D84,Milestones!$AA$147)&gt;=SchemeStart,IF($X84=0,$AD84,IF(AND($Z84&lt;&gt;"",EDATE($D84,Milestones!$AA$147)&gt;=$Z84),$AC84,IF(AND($Y84&lt;&gt;"",EDATE($D84,Milestones!$AA$147)&gt;=$Y84),$AB84,$AA84)))=Milestones!$AB$147),UPPER(TEXT(EDATE($D84,Milestones!$AA$147),"dd mmm yy"))&amp;" "&amp;Milestones!$AB$147&amp;" "&amp;IF(AND(Milestones!$AB$147="FT",Milestones!$AA$147=FT_Y5,EDATE($D84,Milestones!$AA$147)&lt;PolicyEff),1,Milestones!$AC$147)&amp;";  ","")&amp;IF(AND(EDATE($D84,Milestones!$AA$148)&lt;=AsOfDate,EDATE($D84,Milestones!$AA$148)&gt;=SchemeStart,IF($X84=0,$AD84,IF(AND($Z84&lt;&gt;"",EDATE($D84,Milestones!$AA$148)&gt;=$Z84),$AC84,IF(AND($Y84&lt;&gt;"",EDATE($D84,Milestones!$AA$148)&gt;=$Y84),$AB84,$AA84)))=Milestones!$AB$148),UPPER(TEXT(EDATE($D84,Milestones!$AA$148),"dd mmm yy"))&amp;" "&amp;Milestones!$AB$148&amp;" "&amp;IF(AND(Milestones!$AB$148="FT",Milestones!$AA$148=FT_Y5,EDATE($D84,Milestones!$AA$148)&lt;PolicyEff),1,Milestones!$AC$148)&amp;";  ","")&amp;IF(AND(EDATE($D84,Milestones!$AA$149)&lt;=AsOfDate,EDATE($D84,Milestones!$AA$149)&gt;=SchemeStart,IF($X84=0,$AD84,IF(AND($Z84&lt;&gt;"",EDATE($D84,Milestones!$AA$149)&gt;=$Z84),$AC84,IF(AND($Y84&lt;&gt;"",EDATE($D84,Milestones!$AA$149)&gt;=$Y84),$AB84,$AA84)))=Milestones!$AB$149),UPPER(TEXT(EDATE($D84,Milestones!$AA$149),"dd mmm yy"))&amp;" "&amp;Milestones!$AB$149&amp;" "&amp;IF(AND(Milestones!$AB$149="FT",Milestones!$AA$149=FT_Y5,EDATE($D84,Milestones!$AA$149)&lt;PolicyEff),1,Milestones!$AC$149)&amp;";  ","")&amp;IF(AND(EDATE($D84,Milestones!$AA$150)&lt;=AsOfDate,EDATE($D84,Milestones!$AA$150)&gt;=SchemeStart,IF($X84=0,$AD84,IF(AND($Z84&lt;&gt;"",EDATE($D84,Milestones!$AA$150)&gt;=$Z84),$AC84,IF(AND($Y84&lt;&gt;"",EDATE($D84,Milestones!$AA$150)&gt;=$Y84),$AB84,$AA84)))=Milestones!$AB$150),UPPER(TEXT(EDATE($D84,Milestones!$AA$150),"dd mmm yy"))&amp;" "&amp;Milestones!$AB$150&amp;" "&amp;IF(AND(Milestones!$AB$150="FT",Milestones!$AA$150=FT_Y5,EDATE($D84,Milestones!$AA$150)&lt;PolicyEff),1,Milestones!$AC$150)&amp;";  ","")&amp;IF(AND(EDATE($D84,Milestones!$AA$151)&lt;=AsOfDate,EDATE($D84,Milestones!$AA$151)&gt;=SchemeStart,IF($X84=0,$AD84,IF(AND($Z84&lt;&gt;"",EDATE($D84,Milestones!$AA$151)&gt;=$Z84),$AC84,IF(AND($Y84&lt;&gt;"",EDATE($D84,Milestones!$AA$151)&gt;=$Y84),$AB84,$AA84)))=Milestones!$AB$151),UPPER(TEXT(EDATE($D84,Milestones!$AA$151),"dd mmm yy"))&amp;" "&amp;Milestones!$AB$151&amp;" "&amp;IF(AND(Milestones!$AB$151="FT",Milestones!$AA$151=FT_Y5,EDATE($D84,Milestones!$AA$151)&lt;PolicyEff),1,Milestones!$AC$151)&amp;";  ",""))</f>
        <v/>
      </c>
      <c r="T84" s="0" t="str">
        <f aca="false">IF(OR($A84="",$D84=""),"",IF(AND(EDATE($D84,Milestones!$AA$152)&lt;=AsOfDate,EDATE($D84,Milestones!$AA$152)&gt;=SchemeStart,IF($X84=0,$AD84,IF(AND($Z84&lt;&gt;"",EDATE($D84,Milestones!$AA$152)&gt;=$Z84),$AC84,IF(AND($Y84&lt;&gt;"",EDATE($D84,Milestones!$AA$152)&gt;=$Y84),$AB84,$AA84)))=Milestones!$AB$152),UPPER(TEXT(EDATE($D84,Milestones!$AA$152),"dd mmm yy"))&amp;" "&amp;Milestones!$AB$152&amp;" "&amp;IF(AND(Milestones!$AB$152="FT",Milestones!$AA$152=FT_Y5,EDATE($D84,Milestones!$AA$152)&lt;PolicyEff),1,Milestones!$AC$152)&amp;";  ","")&amp;IF(AND(EDATE($D84,Milestones!$AA$153)&lt;=AsOfDate,EDATE($D84,Milestones!$AA$153)&gt;=SchemeStart,IF($X84=0,$AD84,IF(AND($Z84&lt;&gt;"",EDATE($D84,Milestones!$AA$153)&gt;=$Z84),$AC84,IF(AND($Y84&lt;&gt;"",EDATE($D84,Milestones!$AA$153)&gt;=$Y84),$AB84,$AA84)))=Milestones!$AB$153),UPPER(TEXT(EDATE($D84,Milestones!$AA$153),"dd mmm yy"))&amp;" "&amp;Milestones!$AB$153&amp;" "&amp;IF(AND(Milestones!$AB$153="FT",Milestones!$AA$153=FT_Y5,EDATE($D84,Milestones!$AA$153)&lt;PolicyEff),1,Milestones!$AC$153)&amp;";  ","")&amp;IF(AND(EDATE($D84,Milestones!$AA$154)&lt;=AsOfDate,EDATE($D84,Milestones!$AA$154)&gt;=SchemeStart,IF($X84=0,$AD84,IF(AND($Z84&lt;&gt;"",EDATE($D84,Milestones!$AA$154)&gt;=$Z84),$AC84,IF(AND($Y84&lt;&gt;"",EDATE($D84,Milestones!$AA$154)&gt;=$Y84),$AB84,$AA84)))=Milestones!$AB$154),UPPER(TEXT(EDATE($D84,Milestones!$AA$154),"dd mmm yy"))&amp;" "&amp;Milestones!$AB$154&amp;" "&amp;IF(AND(Milestones!$AB$154="FT",Milestones!$AA$154=FT_Y5,EDATE($D84,Milestones!$AA$154)&lt;PolicyEff),1,Milestones!$AC$154)&amp;";  ","")&amp;IF(AND(EDATE($D84,Milestones!$AA$155)&lt;=AsOfDate,EDATE($D84,Milestones!$AA$155)&gt;=SchemeStart,IF($X84=0,$AD84,IF(AND($Z84&lt;&gt;"",EDATE($D84,Milestones!$AA$155)&gt;=$Z84),$AC84,IF(AND($Y84&lt;&gt;"",EDATE($D84,Milestones!$AA$155)&gt;=$Y84),$AB84,$AA84)))=Milestones!$AB$155),UPPER(TEXT(EDATE($D84,Milestones!$AA$155),"dd mmm yy"))&amp;" "&amp;Milestones!$AB$155&amp;" "&amp;IF(AND(Milestones!$AB$155="FT",Milestones!$AA$155=FT_Y5,EDATE($D84,Milestones!$AA$155)&lt;PolicyEff),1,Milestones!$AC$155)&amp;";  ","")&amp;IF(AND(EDATE($D84,Milestones!$AA$156)&lt;=AsOfDate,EDATE($D84,Milestones!$AA$156)&gt;=SchemeStart,IF($X84=0,$AD84,IF(AND($Z84&lt;&gt;"",EDATE($D84,Milestones!$AA$156)&gt;=$Z84),$AC84,IF(AND($Y84&lt;&gt;"",EDATE($D84,Milestones!$AA$156)&gt;=$Y84),$AB84,$AA84)))=Milestones!$AB$156),UPPER(TEXT(EDATE($D84,Milestones!$AA$156),"dd mmm yy"))&amp;" "&amp;Milestones!$AB$156&amp;" "&amp;IF(AND(Milestones!$AB$156="FT",Milestones!$AA$156=FT_Y5,EDATE($D84,Milestones!$AA$156)&lt;PolicyEff),1,Milestones!$AC$156)&amp;";  ","")&amp;IF(AND(EDATE($D84,Milestones!$AA$157)&lt;=AsOfDate,EDATE($D84,Milestones!$AA$157)&gt;=SchemeStart,IF($X84=0,$AD84,IF(AND($Z84&lt;&gt;"",EDATE($D84,Milestones!$AA$157)&gt;=$Z84),$AC84,IF(AND($Y84&lt;&gt;"",EDATE($D84,Milestones!$AA$157)&gt;=$Y84),$AB84,$AA84)))=Milestones!$AB$157),UPPER(TEXT(EDATE($D84,Milestones!$AA$157),"dd mmm yy"))&amp;" "&amp;Milestones!$AB$157&amp;" "&amp;IF(AND(Milestones!$AB$157="FT",Milestones!$AA$157=FT_Y5,EDATE($D84,Milestones!$AA$157)&lt;PolicyEff),1,Milestones!$AC$157)&amp;";  ","")&amp;IF(AND(EDATE($D84,Milestones!$AA$158)&lt;=AsOfDate,EDATE($D84,Milestones!$AA$158)&gt;=SchemeStart,IF($X84=0,$AD84,IF(AND($Z84&lt;&gt;"",EDATE($D84,Milestones!$AA$158)&gt;=$Z84),$AC84,IF(AND($Y84&lt;&gt;"",EDATE($D84,Milestones!$AA$158)&gt;=$Y84),$AB84,$AA84)))=Milestones!$AB$158),UPPER(TEXT(EDATE($D84,Milestones!$AA$158),"dd mmm yy"))&amp;" "&amp;Milestones!$AB$158&amp;" "&amp;IF(AND(Milestones!$AB$158="FT",Milestones!$AA$158=FT_Y5,EDATE($D84,Milestones!$AA$158)&lt;PolicyEff),1,Milestones!$AC$158)&amp;";  ","")&amp;IF(AND(EDATE($D84,Milestones!$AA$159)&lt;=AsOfDate,EDATE($D84,Milestones!$AA$159)&gt;=SchemeStart,IF($X84=0,$AD84,IF(AND($Z84&lt;&gt;"",EDATE($D84,Milestones!$AA$159)&gt;=$Z84),$AC84,IF(AND($Y84&lt;&gt;"",EDATE($D84,Milestones!$AA$159)&gt;=$Y84),$AB84,$AA84)))=Milestones!$AB$159),UPPER(TEXT(EDATE($D84,Milestones!$AA$159),"dd mmm yy"))&amp;" "&amp;Milestones!$AB$159&amp;" "&amp;IF(AND(Milestones!$AB$159="FT",Milestones!$AA$159=FT_Y5,EDATE($D84,Milestones!$AA$159)&lt;PolicyEff),1,Milestones!$AC$159)&amp;";  ","")&amp;IF(AND(EDATE($D84,Milestones!$AA$160)&lt;=AsOfDate,EDATE($D84,Milestones!$AA$160)&gt;=SchemeStart,IF($X84=0,$AD84,IF(AND($Z84&lt;&gt;"",EDATE($D84,Milestones!$AA$160)&gt;=$Z84),$AC84,IF(AND($Y84&lt;&gt;"",EDATE($D84,Milestones!$AA$160)&gt;=$Y84),$AB84,$AA84)))=Milestones!$AB$160),UPPER(TEXT(EDATE($D84,Milestones!$AA$160),"dd mmm yy"))&amp;" "&amp;Milestones!$AB$160&amp;" "&amp;IF(AND(Milestones!$AB$160="FT",Milestones!$AA$160=FT_Y5,EDATE($D84,Milestones!$AA$160)&lt;PolicyEff),1,Milestones!$AC$160)&amp;";  ","")&amp;IF(AND(EDATE($D84,Milestones!$AA$161)&lt;=AsOfDate,EDATE($D84,Milestones!$AA$161)&gt;=SchemeStart,IF($X84=0,$AD84,IF(AND($Z84&lt;&gt;"",EDATE($D84,Milestones!$AA$161)&gt;=$Z84),$AC84,IF(AND($Y84&lt;&gt;"",EDATE($D84,Milestones!$AA$161)&gt;=$Y84),$AB84,$AA84)))=Milestones!$AB$161),UPPER(TEXT(EDATE($D84,Milestones!$AA$161),"dd mmm yy"))&amp;" "&amp;Milestones!$AB$161&amp;" "&amp;IF(AND(Milestones!$AB$161="FT",Milestones!$AA$161=FT_Y5,EDATE($D84,Milestones!$AA$161)&lt;PolicyEff),1,Milestones!$AC$161)&amp;";  ","")&amp;IF(AND(EDATE($D84,Milestones!$AA$162)&lt;=AsOfDate,EDATE($D84,Milestones!$AA$162)&gt;=SchemeStart,IF($X84=0,$AD84,IF(AND($Z84&lt;&gt;"",EDATE($D84,Milestones!$AA$162)&gt;=$Z84),$AC84,IF(AND($Y84&lt;&gt;"",EDATE($D84,Milestones!$AA$162)&gt;=$Y84),$AB84,$AA84)))=Milestones!$AB$162),UPPER(TEXT(EDATE($D84,Milestones!$AA$162),"dd mmm yy"))&amp;" "&amp;Milestones!$AB$162&amp;" "&amp;IF(AND(Milestones!$AB$162="FT",Milestones!$AA$162=FT_Y5,EDATE($D84,Milestones!$AA$162)&lt;PolicyEff),1,Milestones!$AC$162)&amp;";  ","")&amp;IF(AND(EDATE($D84,Milestones!$AA$163)&lt;=AsOfDate,EDATE($D84,Milestones!$AA$163)&gt;=SchemeStart,IF($X84=0,$AD84,IF(AND($Z84&lt;&gt;"",EDATE($D84,Milestones!$AA$163)&gt;=$Z84),$AC84,IF(AND($Y84&lt;&gt;"",EDATE($D84,Milestones!$AA$163)&gt;=$Y84),$AB84,$AA84)))=Milestones!$AB$163),UPPER(TEXT(EDATE($D84,Milestones!$AA$163),"dd mmm yy"))&amp;" "&amp;Milestones!$AB$163&amp;" "&amp;IF(AND(Milestones!$AB$163="FT",Milestones!$AA$163=FT_Y5,EDATE($D84,Milestones!$AA$163)&lt;PolicyEff),1,Milestones!$AC$163)&amp;";  ",""))</f>
        <v/>
      </c>
      <c r="U84" s="0" t="str">
        <f aca="false">IF(OR($A84="",$D84=""),"",IF(AND(EDATE($D84,Milestones!$AA$164)&lt;=AsOfDate,EDATE($D84,Milestones!$AA$164)&gt;=SchemeStart,IF($X84=0,$AD84,IF(AND($Z84&lt;&gt;"",EDATE($D84,Milestones!$AA$164)&gt;=$Z84),$AC84,IF(AND($Y84&lt;&gt;"",EDATE($D84,Milestones!$AA$164)&gt;=$Y84),$AB84,$AA84)))=Milestones!$AB$164),UPPER(TEXT(EDATE($D84,Milestones!$AA$164),"dd mmm yy"))&amp;" "&amp;Milestones!$AB$164&amp;" "&amp;IF(AND(Milestones!$AB$164="FT",Milestones!$AA$164=FT_Y5,EDATE($D84,Milestones!$AA$164)&lt;PolicyEff),1,Milestones!$AC$164)&amp;";  ","")&amp;IF(AND(EDATE($D84,Milestones!$AA$165)&lt;=AsOfDate,EDATE($D84,Milestones!$AA$165)&gt;=SchemeStart,IF($X84=0,$AD84,IF(AND($Z84&lt;&gt;"",EDATE($D84,Milestones!$AA$165)&gt;=$Z84),$AC84,IF(AND($Y84&lt;&gt;"",EDATE($D84,Milestones!$AA$165)&gt;=$Y84),$AB84,$AA84)))=Milestones!$AB$165),UPPER(TEXT(EDATE($D84,Milestones!$AA$165),"dd mmm yy"))&amp;" "&amp;Milestones!$AB$165&amp;" "&amp;IF(AND(Milestones!$AB$165="FT",Milestones!$AA$165=FT_Y5,EDATE($D84,Milestones!$AA$165)&lt;PolicyEff),1,Milestones!$AC$165)&amp;";  ","")&amp;IF(AND(EDATE($D84,Milestones!$AA$166)&lt;=AsOfDate,EDATE($D84,Milestones!$AA$166)&gt;=SchemeStart,IF($X84=0,$AD84,IF(AND($Z84&lt;&gt;"",EDATE($D84,Milestones!$AA$166)&gt;=$Z84),$AC84,IF(AND($Y84&lt;&gt;"",EDATE($D84,Milestones!$AA$166)&gt;=$Y84),$AB84,$AA84)))=Milestones!$AB$166),UPPER(TEXT(EDATE($D84,Milestones!$AA$166),"dd mmm yy"))&amp;" "&amp;Milestones!$AB$166&amp;" "&amp;IF(AND(Milestones!$AB$166="FT",Milestones!$AA$166=FT_Y5,EDATE($D84,Milestones!$AA$166)&lt;PolicyEff),1,Milestones!$AC$166)&amp;";  ","")&amp;IF(AND(EDATE($D84,Milestones!$AA$167)&lt;=AsOfDate,EDATE($D84,Milestones!$AA$167)&gt;=SchemeStart,IF($X84=0,$AD84,IF(AND($Z84&lt;&gt;"",EDATE($D84,Milestones!$AA$167)&gt;=$Z84),$AC84,IF(AND($Y84&lt;&gt;"",EDATE($D84,Milestones!$AA$167)&gt;=$Y84),$AB84,$AA84)))=Milestones!$AB$167),UPPER(TEXT(EDATE($D84,Milestones!$AA$167),"dd mmm yy"))&amp;" "&amp;Milestones!$AB$167&amp;" "&amp;IF(AND(Milestones!$AB$167="FT",Milestones!$AA$167=FT_Y5,EDATE($D84,Milestones!$AA$167)&lt;PolicyEff),1,Milestones!$AC$167)&amp;";  ","")&amp;IF(AND(EDATE($D84,Milestones!$AA$168)&lt;=AsOfDate,EDATE($D84,Milestones!$AA$168)&gt;=SchemeStart,IF($X84=0,$AD84,IF(AND($Z84&lt;&gt;"",EDATE($D84,Milestones!$AA$168)&gt;=$Z84),$AC84,IF(AND($Y84&lt;&gt;"",EDATE($D84,Milestones!$AA$168)&gt;=$Y84),$AB84,$AA84)))=Milestones!$AB$168),UPPER(TEXT(EDATE($D84,Milestones!$AA$168),"dd mmm yy"))&amp;" "&amp;Milestones!$AB$168&amp;" "&amp;IF(AND(Milestones!$AB$168="FT",Milestones!$AA$168=FT_Y5,EDATE($D84,Milestones!$AA$168)&lt;PolicyEff),1,Milestones!$AC$168)&amp;";  ","")&amp;IF(AND(EDATE($D84,Milestones!$AA$169)&lt;=AsOfDate,EDATE($D84,Milestones!$AA$169)&gt;=SchemeStart,IF($X84=0,$AD84,IF(AND($Z84&lt;&gt;"",EDATE($D84,Milestones!$AA$169)&gt;=$Z84),$AC84,IF(AND($Y84&lt;&gt;"",EDATE($D84,Milestones!$AA$169)&gt;=$Y84),$AB84,$AA84)))=Milestones!$AB$169),UPPER(TEXT(EDATE($D84,Milestones!$AA$169),"dd mmm yy"))&amp;" "&amp;Milestones!$AB$169&amp;" "&amp;IF(AND(Milestones!$AB$169="FT",Milestones!$AA$169=FT_Y5,EDATE($D84,Milestones!$AA$169)&lt;PolicyEff),1,Milestones!$AC$169)&amp;";  ","")&amp;IF(AND(EDATE($D84,Milestones!$AA$170)&lt;=AsOfDate,EDATE($D84,Milestones!$AA$170)&gt;=SchemeStart,IF($X84=0,$AD84,IF(AND($Z84&lt;&gt;"",EDATE($D84,Milestones!$AA$170)&gt;=$Z84),$AC84,IF(AND($Y84&lt;&gt;"",EDATE($D84,Milestones!$AA$170)&gt;=$Y84),$AB84,$AA84)))=Milestones!$AB$170),UPPER(TEXT(EDATE($D84,Milestones!$AA$170),"dd mmm yy"))&amp;" "&amp;Milestones!$AB$170&amp;" "&amp;IF(AND(Milestones!$AB$170="FT",Milestones!$AA$170=FT_Y5,EDATE($D84,Milestones!$AA$170)&lt;PolicyEff),1,Milestones!$AC$170)&amp;";  ","")&amp;IF(AND(EDATE($D84,Milestones!$AA$171)&lt;=AsOfDate,EDATE($D84,Milestones!$AA$171)&gt;=SchemeStart,IF($X84=0,$AD84,IF(AND($Z84&lt;&gt;"",EDATE($D84,Milestones!$AA$171)&gt;=$Z84),$AC84,IF(AND($Y84&lt;&gt;"",EDATE($D84,Milestones!$AA$171)&gt;=$Y84),$AB84,$AA84)))=Milestones!$AB$171),UPPER(TEXT(EDATE($D84,Milestones!$AA$171),"dd mmm yy"))&amp;" "&amp;Milestones!$AB$171&amp;" "&amp;IF(AND(Milestones!$AB$171="FT",Milestones!$AA$171=FT_Y5,EDATE($D84,Milestones!$AA$171)&lt;PolicyEff),1,Milestones!$AC$171)&amp;";  ","")&amp;IF(AND(EDATE($D84,Milestones!$AA$172)&lt;=AsOfDate,EDATE($D84,Milestones!$AA$172)&gt;=SchemeStart,IF($X84=0,$AD84,IF(AND($Z84&lt;&gt;"",EDATE($D84,Milestones!$AA$172)&gt;=$Z84),$AC84,IF(AND($Y84&lt;&gt;"",EDATE($D84,Milestones!$AA$172)&gt;=$Y84),$AB84,$AA84)))=Milestones!$AB$172),UPPER(TEXT(EDATE($D84,Milestones!$AA$172),"dd mmm yy"))&amp;" "&amp;Milestones!$AB$172&amp;" "&amp;IF(AND(Milestones!$AB$172="FT",Milestones!$AA$172=FT_Y5,EDATE($D84,Milestones!$AA$172)&lt;PolicyEff),1,Milestones!$AC$172)&amp;";  ","")&amp;IF(AND(EDATE($D84,Milestones!$AA$173)&lt;=AsOfDate,EDATE($D84,Milestones!$AA$173)&gt;=SchemeStart,IF($X84=0,$AD84,IF(AND($Z84&lt;&gt;"",EDATE($D84,Milestones!$AA$173)&gt;=$Z84),$AC84,IF(AND($Y84&lt;&gt;"",EDATE($D84,Milestones!$AA$173)&gt;=$Y84),$AB84,$AA84)))=Milestones!$AB$173),UPPER(TEXT(EDATE($D84,Milestones!$AA$173),"dd mmm yy"))&amp;" "&amp;Milestones!$AB$173&amp;" "&amp;IF(AND(Milestones!$AB$173="FT",Milestones!$AA$173=FT_Y5,EDATE($D84,Milestones!$AA$173)&lt;PolicyEff),1,Milestones!$AC$173)&amp;";  ","")&amp;IF(AND(EDATE($D84,Milestones!$AA$174)&lt;=AsOfDate,EDATE($D84,Milestones!$AA$174)&gt;=SchemeStart,IF($X84=0,$AD84,IF(AND($Z84&lt;&gt;"",EDATE($D84,Milestones!$AA$174)&gt;=$Z84),$AC84,IF(AND($Y84&lt;&gt;"",EDATE($D84,Milestones!$AA$174)&gt;=$Y84),$AB84,$AA84)))=Milestones!$AB$174),UPPER(TEXT(EDATE($D84,Milestones!$AA$174),"dd mmm yy"))&amp;" "&amp;Milestones!$AB$174&amp;" "&amp;IF(AND(Milestones!$AB$174="FT",Milestones!$AA$174=FT_Y5,EDATE($D84,Milestones!$AA$174)&lt;PolicyEff),1,Milestones!$AC$174)&amp;";  ","")&amp;IF(AND(EDATE($D84,Milestones!$AA$175)&lt;=AsOfDate,EDATE($D84,Milestones!$AA$175)&gt;=SchemeStart,IF($X84=0,$AD84,IF(AND($Z84&lt;&gt;"",EDATE($D84,Milestones!$AA$175)&gt;=$Z84),$AC84,IF(AND($Y84&lt;&gt;"",EDATE($D84,Milestones!$AA$175)&gt;=$Y84),$AB84,$AA84)))=Milestones!$AB$175),UPPER(TEXT(EDATE($D84,Milestones!$AA$175),"dd mmm yy"))&amp;" "&amp;Milestones!$AB$175&amp;" "&amp;IF(AND(Milestones!$AB$175="FT",Milestones!$AA$175=FT_Y5,EDATE($D84,Milestones!$AA$175)&lt;PolicyEff),1,Milestones!$AC$175)&amp;";  ",""))</f>
        <v/>
      </c>
      <c r="V84" s="0" t="str">
        <f aca="false">IF(OR($A84="",$D84=""),"",IF(AND(EDATE($D84,Milestones!$AA$176)&lt;=AsOfDate,EDATE($D84,Milestones!$AA$176)&gt;=SchemeStart,IF($X84=0,$AD84,IF(AND($Z84&lt;&gt;"",EDATE($D84,Milestones!$AA$176)&gt;=$Z84),$AC84,IF(AND($Y84&lt;&gt;"",EDATE($D84,Milestones!$AA$176)&gt;=$Y84),$AB84,$AA84)))=Milestones!$AB$176),UPPER(TEXT(EDATE($D84,Milestones!$AA$176),"dd mmm yy"))&amp;" "&amp;Milestones!$AB$176&amp;" "&amp;IF(AND(Milestones!$AB$176="FT",Milestones!$AA$176=FT_Y5,EDATE($D84,Milestones!$AA$176)&lt;PolicyEff),1,Milestones!$AC$176)&amp;";  ","")&amp;IF(AND(EDATE($D84,Milestones!$AA$177)&lt;=AsOfDate,EDATE($D84,Milestones!$AA$177)&gt;=SchemeStart,IF($X84=0,$AD84,IF(AND($Z84&lt;&gt;"",EDATE($D84,Milestones!$AA$177)&gt;=$Z84),$AC84,IF(AND($Y84&lt;&gt;"",EDATE($D84,Milestones!$AA$177)&gt;=$Y84),$AB84,$AA84)))=Milestones!$AB$177),UPPER(TEXT(EDATE($D84,Milestones!$AA$177),"dd mmm yy"))&amp;" "&amp;Milestones!$AB$177&amp;" "&amp;IF(AND(Milestones!$AB$177="FT",Milestones!$AA$177=FT_Y5,EDATE($D84,Milestones!$AA$177)&lt;PolicyEff),1,Milestones!$AC$177)&amp;";  ","")&amp;IF(AND(EDATE($D84,Milestones!$AA$178)&lt;=AsOfDate,EDATE($D84,Milestones!$AA$178)&gt;=SchemeStart,IF($X84=0,$AD84,IF(AND($Z84&lt;&gt;"",EDATE($D84,Milestones!$AA$178)&gt;=$Z84),$AC84,IF(AND($Y84&lt;&gt;"",EDATE($D84,Milestones!$AA$178)&gt;=$Y84),$AB84,$AA84)))=Milestones!$AB$178),UPPER(TEXT(EDATE($D84,Milestones!$AA$178),"dd mmm yy"))&amp;" "&amp;Milestones!$AB$178&amp;" "&amp;IF(AND(Milestones!$AB$178="FT",Milestones!$AA$178=FT_Y5,EDATE($D84,Milestones!$AA$178)&lt;PolicyEff),1,Milestones!$AC$178)&amp;";  ","")&amp;IF(AND(EDATE($D84,Milestones!$AA$179)&lt;=AsOfDate,EDATE($D84,Milestones!$AA$179)&gt;=SchemeStart,IF($X84=0,$AD84,IF(AND($Z84&lt;&gt;"",EDATE($D84,Milestones!$AA$179)&gt;=$Z84),$AC84,IF(AND($Y84&lt;&gt;"",EDATE($D84,Milestones!$AA$179)&gt;=$Y84),$AB84,$AA84)))=Milestones!$AB$179),UPPER(TEXT(EDATE($D84,Milestones!$AA$179),"dd mmm yy"))&amp;" "&amp;Milestones!$AB$179&amp;" "&amp;IF(AND(Milestones!$AB$179="FT",Milestones!$AA$179=FT_Y5,EDATE($D84,Milestones!$AA$179)&lt;PolicyEff),1,Milestones!$AC$179)&amp;";  ","")&amp;IF(AND(EDATE($D84,Milestones!$AA$180)&lt;=AsOfDate,EDATE($D84,Milestones!$AA$180)&gt;=SchemeStart,IF($X84=0,$AD84,IF(AND($Z84&lt;&gt;"",EDATE($D84,Milestones!$AA$180)&gt;=$Z84),$AC84,IF(AND($Y84&lt;&gt;"",EDATE($D84,Milestones!$AA$180)&gt;=$Y84),$AB84,$AA84)))=Milestones!$AB$180),UPPER(TEXT(EDATE($D84,Milestones!$AA$180),"dd mmm yy"))&amp;" "&amp;Milestones!$AB$180&amp;" "&amp;IF(AND(Milestones!$AB$180="FT",Milestones!$AA$180=FT_Y5,EDATE($D84,Milestones!$AA$180)&lt;PolicyEff),1,Milestones!$AC$180)&amp;";  ","")&amp;IF(AND(EDATE($D84,Milestones!$AA$181)&lt;=AsOfDate,EDATE($D84,Milestones!$AA$181)&gt;=SchemeStart,IF($X84=0,$AD84,IF(AND($Z84&lt;&gt;"",EDATE($D84,Milestones!$AA$181)&gt;=$Z84),$AC84,IF(AND($Y84&lt;&gt;"",EDATE($D84,Milestones!$AA$181)&gt;=$Y84),$AB84,$AA84)))=Milestones!$AB$181),UPPER(TEXT(EDATE($D84,Milestones!$AA$181),"dd mmm yy"))&amp;" "&amp;Milestones!$AB$181&amp;" "&amp;IF(AND(Milestones!$AB$181="FT",Milestones!$AA$181=FT_Y5,EDATE($D84,Milestones!$AA$181)&lt;PolicyEff),1,Milestones!$AC$181)&amp;";  ","")&amp;IF(AND(EDATE($D84,Milestones!$AA$182)&lt;=AsOfDate,EDATE($D84,Milestones!$AA$182)&gt;=SchemeStart,IF($X84=0,$AD84,IF(AND($Z84&lt;&gt;"",EDATE($D84,Milestones!$AA$182)&gt;=$Z84),$AC84,IF(AND($Y84&lt;&gt;"",EDATE($D84,Milestones!$AA$182)&gt;=$Y84),$AB84,$AA84)))=Milestones!$AB$182),UPPER(TEXT(EDATE($D84,Milestones!$AA$182),"dd mmm yy"))&amp;" "&amp;Milestones!$AB$182&amp;" "&amp;IF(AND(Milestones!$AB$182="FT",Milestones!$AA$182=FT_Y5,EDATE($D84,Milestones!$AA$182)&lt;PolicyEff),1,Milestones!$AC$182)&amp;";  ","")&amp;IF(AND(EDATE($D84,Milestones!$AA$183)&lt;=AsOfDate,EDATE($D84,Milestones!$AA$183)&gt;=SchemeStart,IF($X84=0,$AD84,IF(AND($Z84&lt;&gt;"",EDATE($D84,Milestones!$AA$183)&gt;=$Z84),$AC84,IF(AND($Y84&lt;&gt;"",EDATE($D84,Milestones!$AA$183)&gt;=$Y84),$AB84,$AA84)))=Milestones!$AB$183),UPPER(TEXT(EDATE($D84,Milestones!$AA$183),"dd mmm yy"))&amp;" "&amp;Milestones!$AB$183&amp;" "&amp;IF(AND(Milestones!$AB$183="FT",Milestones!$AA$183=FT_Y5,EDATE($D84,Milestones!$AA$183)&lt;PolicyEff),1,Milestones!$AC$183)&amp;";  ","")&amp;IF(AND(EDATE($D84,Milestones!$AA$184)&lt;=AsOfDate,EDATE($D84,Milestones!$AA$184)&gt;=SchemeStart,IF($X84=0,$AD84,IF(AND($Z84&lt;&gt;"",EDATE($D84,Milestones!$AA$184)&gt;=$Z84),$AC84,IF(AND($Y84&lt;&gt;"",EDATE($D84,Milestones!$AA$184)&gt;=$Y84),$AB84,$AA84)))=Milestones!$AB$184),UPPER(TEXT(EDATE($D84,Milestones!$AA$184),"dd mmm yy"))&amp;" "&amp;Milestones!$AB$184&amp;" "&amp;IF(AND(Milestones!$AB$184="FT",Milestones!$AA$184=FT_Y5,EDATE($D84,Milestones!$AA$184)&lt;PolicyEff),1,Milestones!$AC$184)&amp;";  ","")&amp;IF(AND(EDATE($D84,Milestones!$AA$185)&lt;=AsOfDate,EDATE($D84,Milestones!$AA$185)&gt;=SchemeStart,IF($X84=0,$AD84,IF(AND($Z84&lt;&gt;"",EDATE($D84,Milestones!$AA$185)&gt;=$Z84),$AC84,IF(AND($Y84&lt;&gt;"",EDATE($D84,Milestones!$AA$185)&gt;=$Y84),$AB84,$AA84)))=Milestones!$AB$185),UPPER(TEXT(EDATE($D84,Milestones!$AA$185),"dd mmm yy"))&amp;" "&amp;Milestones!$AB$185&amp;" "&amp;IF(AND(Milestones!$AB$185="FT",Milestones!$AA$185=FT_Y5,EDATE($D84,Milestones!$AA$185)&lt;PolicyEff),1,Milestones!$AC$185)&amp;";  ","")&amp;IF(AND(EDATE($D84,Milestones!$AA$186)&lt;=AsOfDate,EDATE($D84,Milestones!$AA$186)&gt;=SchemeStart,IF($X84=0,$AD84,IF(AND($Z84&lt;&gt;"",EDATE($D84,Milestones!$AA$186)&gt;=$Z84),$AC84,IF(AND($Y84&lt;&gt;"",EDATE($D84,Milestones!$AA$186)&gt;=$Y84),$AB84,$AA84)))=Milestones!$AB$186),UPPER(TEXT(EDATE($D84,Milestones!$AA$186),"dd mmm yy"))&amp;" "&amp;Milestones!$AB$186&amp;" "&amp;IF(AND(Milestones!$AB$186="FT",Milestones!$AA$186=FT_Y5,EDATE($D84,Milestones!$AA$186)&lt;PolicyEff),1,Milestones!$AC$186)&amp;";  ","")&amp;IF(AND(EDATE($D84,Milestones!$AA$187)&lt;=AsOfDate,EDATE($D84,Milestones!$AA$187)&gt;=SchemeStart,IF($X84=0,$AD84,IF(AND($Z84&lt;&gt;"",EDATE($D84,Milestones!$AA$187)&gt;=$Z84),$AC84,IF(AND($Y84&lt;&gt;"",EDATE($D84,Milestones!$AA$187)&gt;=$Y84),$AB84,$AA84)))=Milestones!$AB$187),UPPER(TEXT(EDATE($D84,Milestones!$AA$187),"dd mmm yy"))&amp;" "&amp;Milestones!$AB$187&amp;" "&amp;IF(AND(Milestones!$AB$187="FT",Milestones!$AA$187=FT_Y5,EDATE($D84,Milestones!$AA$187)&lt;PolicyEff),1,Milestones!$AC$187)&amp;";  ",""))</f>
        <v/>
      </c>
      <c r="W84" s="0" t="str">
        <f aca="false">IF(OR($A84="",$D84=""),"",IF(AND(EDATE($D84,Milestones!$AA$188)&lt;=AsOfDate,EDATE($D84,Milestones!$AA$188)&gt;=SchemeStart,IF($X84=0,$AD84,IF(AND($Z84&lt;&gt;"",EDATE($D84,Milestones!$AA$188)&gt;=$Z84),$AC84,IF(AND($Y84&lt;&gt;"",EDATE($D84,Milestones!$AA$188)&gt;=$Y84),$AB84,$AA84)))=Milestones!$AB$188),UPPER(TEXT(EDATE($D84,Milestones!$AA$188),"dd mmm yy"))&amp;" "&amp;Milestones!$AB$188&amp;" "&amp;IF(AND(Milestones!$AB$188="FT",Milestones!$AA$188=FT_Y5,EDATE($D84,Milestones!$AA$188)&lt;PolicyEff),1,Milestones!$AC$188)&amp;";  ","")&amp;IF(AND(EDATE($D84,Milestones!$AA$189)&lt;=AsOfDate,EDATE($D84,Milestones!$AA$189)&gt;=SchemeStart,IF($X84=0,$AD84,IF(AND($Z84&lt;&gt;"",EDATE($D84,Milestones!$AA$189)&gt;=$Z84),$AC84,IF(AND($Y84&lt;&gt;"",EDATE($D84,Milestones!$AA$189)&gt;=$Y84),$AB84,$AA84)))=Milestones!$AB$189),UPPER(TEXT(EDATE($D84,Milestones!$AA$189),"dd mmm yy"))&amp;" "&amp;Milestones!$AB$189&amp;" "&amp;IF(AND(Milestones!$AB$189="FT",Milestones!$AA$189=FT_Y5,EDATE($D84,Milestones!$AA$189)&lt;PolicyEff),1,Milestones!$AC$189)&amp;";  ","")&amp;IF(AND(EDATE($D84,Milestones!$AA$190)&lt;=AsOfDate,EDATE($D84,Milestones!$AA$190)&gt;=SchemeStart,IF($X84=0,$AD84,IF(AND($Z84&lt;&gt;"",EDATE($D84,Milestones!$AA$190)&gt;=$Z84),$AC84,IF(AND($Y84&lt;&gt;"",EDATE($D84,Milestones!$AA$190)&gt;=$Y84),$AB84,$AA84)))=Milestones!$AB$190),UPPER(TEXT(EDATE($D84,Milestones!$AA$190),"dd mmm yy"))&amp;" "&amp;Milestones!$AB$190&amp;" "&amp;IF(AND(Milestones!$AB$190="FT",Milestones!$AA$190=FT_Y5,EDATE($D84,Milestones!$AA$190)&lt;PolicyEff),1,Milestones!$AC$190)&amp;";  ","")&amp;IF(AND(EDATE($D84,Milestones!$AA$191)&lt;=AsOfDate,EDATE($D84,Milestones!$AA$191)&gt;=SchemeStart,IF($X84=0,$AD84,IF(AND($Z84&lt;&gt;"",EDATE($D84,Milestones!$AA$191)&gt;=$Z84),$AC84,IF(AND($Y84&lt;&gt;"",EDATE($D84,Milestones!$AA$191)&gt;=$Y84),$AB84,$AA84)))=Milestones!$AB$191),UPPER(TEXT(EDATE($D84,Milestones!$AA$191),"dd mmm yy"))&amp;" "&amp;Milestones!$AB$191&amp;" "&amp;IF(AND(Milestones!$AB$191="FT",Milestones!$AA$191=FT_Y5,EDATE($D84,Milestones!$AA$191)&lt;PolicyEff),1,Milestones!$AC$191)&amp;";  ","")&amp;IF(AND(EDATE($D84,Milestones!$AA$192)&lt;=AsOfDate,EDATE($D84,Milestones!$AA$192)&gt;=SchemeStart,IF($X84=0,$AD84,IF(AND($Z84&lt;&gt;"",EDATE($D84,Milestones!$AA$192)&gt;=$Z84),$AC84,IF(AND($Y84&lt;&gt;"",EDATE($D84,Milestones!$AA$192)&gt;=$Y84),$AB84,$AA84)))=Milestones!$AB$192),UPPER(TEXT(EDATE($D84,Milestones!$AA$192),"dd mmm yy"))&amp;" "&amp;Milestones!$AB$192&amp;" "&amp;IF(AND(Milestones!$AB$192="FT",Milestones!$AA$192=FT_Y5,EDATE($D84,Milestones!$AA$192)&lt;PolicyEff),1,Milestones!$AC$192)&amp;";  ","")&amp;IF(AND(EDATE($D84,Milestones!$AA$193)&lt;=AsOfDate,EDATE($D84,Milestones!$AA$193)&gt;=SchemeStart,IF($X84=0,$AD84,IF(AND($Z84&lt;&gt;"",EDATE($D84,Milestones!$AA$193)&gt;=$Z84),$AC84,IF(AND($Y84&lt;&gt;"",EDATE($D84,Milestones!$AA$193)&gt;=$Y84),$AB84,$AA84)))=Milestones!$AB$193),UPPER(TEXT(EDATE($D84,Milestones!$AA$193),"dd mmm yy"))&amp;" "&amp;Milestones!$AB$193&amp;" "&amp;IF(AND(Milestones!$AB$193="FT",Milestones!$AA$193=FT_Y5,EDATE($D84,Milestones!$AA$193)&lt;PolicyEff),1,Milestones!$AC$193)&amp;";  ","")&amp;IF(AND(EDATE($D84,Milestones!$AA$194)&lt;=AsOfDate,EDATE($D84,Milestones!$AA$194)&gt;=SchemeStart,IF($X84=0,$AD84,IF(AND($Z84&lt;&gt;"",EDATE($D84,Milestones!$AA$194)&gt;=$Z84),$AC84,IF(AND($Y84&lt;&gt;"",EDATE($D84,Milestones!$AA$194)&gt;=$Y84),$AB84,$AA84)))=Milestones!$AB$194),UPPER(TEXT(EDATE($D84,Milestones!$AA$194),"dd mmm yy"))&amp;" "&amp;Milestones!$AB$194&amp;" "&amp;IF(AND(Milestones!$AB$194="FT",Milestones!$AA$194=FT_Y5,EDATE($D84,Milestones!$AA$194)&lt;PolicyEff),1,Milestones!$AC$194)&amp;";  ","")&amp;IF(AND(EDATE($D84,Milestones!$AA$195)&lt;=AsOfDate,EDATE($D84,Milestones!$AA$195)&gt;=SchemeStart,IF($X84=0,$AD84,IF(AND($Z84&lt;&gt;"",EDATE($D84,Milestones!$AA$195)&gt;=$Z84),$AC84,IF(AND($Y84&lt;&gt;"",EDATE($D84,Milestones!$AA$195)&gt;=$Y84),$AB84,$AA84)))=Milestones!$AB$195),UPPER(TEXT(EDATE($D84,Milestones!$AA$195),"dd mmm yy"))&amp;" "&amp;Milestones!$AB$195&amp;" "&amp;IF(AND(Milestones!$AB$195="FT",Milestones!$AA$195=FT_Y5,EDATE($D84,Milestones!$AA$195)&lt;PolicyEff),1,Milestones!$AC$195)&amp;";  ","")&amp;IF(AND(EDATE($D84,Milestones!$AA$196)&lt;=AsOfDate,EDATE($D84,Milestones!$AA$196)&gt;=SchemeStart,IF($X84=0,$AD84,IF(AND($Z84&lt;&gt;"",EDATE($D84,Milestones!$AA$196)&gt;=$Z84),$AC84,IF(AND($Y84&lt;&gt;"",EDATE($D84,Milestones!$AA$196)&gt;=$Y84),$AB84,$AA84)))=Milestones!$AB$196),UPPER(TEXT(EDATE($D84,Milestones!$AA$196),"dd mmm yy"))&amp;" "&amp;Milestones!$AB$196&amp;" "&amp;IF(AND(Milestones!$AB$196="FT",Milestones!$AA$196=FT_Y5,EDATE($D84,Milestones!$AA$196)&lt;PolicyEff),1,Milestones!$AC$196)&amp;";  ","")&amp;IF(AND(EDATE($D84,Milestones!$AA$197)&lt;=AsOfDate,EDATE($D84,Milestones!$AA$197)&gt;=SchemeStart,IF($X84=0,$AD84,IF(AND($Z84&lt;&gt;"",EDATE($D84,Milestones!$AA$197)&gt;=$Z84),$AC84,IF(AND($Y84&lt;&gt;"",EDATE($D84,Milestones!$AA$197)&gt;=$Y84),$AB84,$AA84)))=Milestones!$AB$197),UPPER(TEXT(EDATE($D84,Milestones!$AA$197),"dd mmm yy"))&amp;" "&amp;Milestones!$AB$197&amp;" "&amp;IF(AND(Milestones!$AB$197="FT",Milestones!$AA$197=FT_Y5,EDATE($D84,Milestones!$AA$197)&lt;PolicyEff),1,Milestones!$AC$197)&amp;";  ","")&amp;IF(AND(EDATE($D84,Milestones!$AA$198)&lt;=AsOfDate,EDATE($D84,Milestones!$AA$198)&gt;=SchemeStart,IF($X84=0,$AD84,IF(AND($Z84&lt;&gt;"",EDATE($D84,Milestones!$AA$198)&gt;=$Z84),$AC84,IF(AND($Y84&lt;&gt;"",EDATE($D84,Milestones!$AA$198)&gt;=$Y84),$AB84,$AA84)))=Milestones!$AB$198),UPPER(TEXT(EDATE($D84,Milestones!$AA$198),"dd mmm yy"))&amp;" "&amp;Milestones!$AB$198&amp;" "&amp;IF(AND(Milestones!$AB$198="FT",Milestones!$AA$198=FT_Y5,EDATE($D84,Milestones!$AA$198)&lt;PolicyEff),1,Milestones!$AC$198)&amp;";  ","")&amp;IF(AND(EDATE($D84,Milestones!$AA$199)&lt;=AsOfDate,EDATE($D84,Milestones!$AA$199)&gt;=SchemeStart,IF($X84=0,$AD84,IF(AND($Z84&lt;&gt;"",EDATE($D84,Milestones!$AA$199)&gt;=$Z84),$AC84,IF(AND($Y84&lt;&gt;"",EDATE($D84,Milestones!$AA$199)&gt;=$Y84),$AB84,$AA84)))=Milestones!$AB$199),UPPER(TEXT(EDATE($D84,Milestones!$AA$199),"dd mmm yy"))&amp;" "&amp;Milestones!$AB$199&amp;" "&amp;IF(AND(Milestones!$AB$199="FT",Milestones!$AA$199=FT_Y5,EDATE($D84,Milestones!$AA$199)&lt;PolicyEff),1,Milestones!$AC$199)&amp;";  ",""))</f>
        <v/>
      </c>
      <c r="X84" s="0" t="str">
        <f aca="false">IF(Staff!$A84="","",Staff!$AM84)</f>
        <v/>
      </c>
      <c r="Y84" s="0" t="str">
        <f aca="false">IF(Staff!$A84="","",Staff!$AO84)</f>
        <v/>
      </c>
      <c r="Z84" s="0" t="str">
        <f aca="false">IF(Staff!$A84="","",Staff!$AP84)</f>
        <v/>
      </c>
      <c r="AA84" s="0" t="str">
        <f aca="false">IF(Staff!$A84="","",Staff!$AT84)</f>
        <v/>
      </c>
      <c r="AB84" s="0" t="str">
        <f aca="false">IF(Staff!$A84="","",Staff!$AU84)</f>
        <v/>
      </c>
      <c r="AC84" s="0" t="str">
        <f aca="false">IF(Staff!$A84="","",Staff!$AV84)</f>
        <v/>
      </c>
      <c r="AD84" s="0" t="str">
        <f aca="false">IF(Staff!$A84="","",Staff!$AW84)</f>
        <v/>
      </c>
    </row>
    <row r="85" customFormat="false" ht="15" hidden="false" customHeight="false" outlineLevel="0" collapsed="false">
      <c r="A85" s="16" t="str">
        <f aca="false">IF(Staff!$A85="","",Staff!$A85)</f>
        <v/>
      </c>
      <c r="B85" s="16" t="str">
        <f aca="false">IF(Staff!$A85="","",Staff!$B85)</f>
        <v/>
      </c>
      <c r="C85" s="16" t="str">
        <f aca="false">IF(Staff!$A85="","",Staff!$C85)</f>
        <v/>
      </c>
      <c r="D85" s="14" t="str">
        <f aca="false">IF(Staff!$A85="","",Staff!$AL85)</f>
        <v/>
      </c>
      <c r="E85" s="16" t="str">
        <f aca="false">IF(Staff!$A85="","",Staff!$O85)</f>
        <v/>
      </c>
      <c r="F85" s="16" t="str">
        <f aca="false">IF(E85="","",E85*HoursPerDay)</f>
        <v/>
      </c>
      <c r="G85" s="16" t="str">
        <f aca="false">IF(Staff!$A85="","",Staff!$AE85)</f>
        <v/>
      </c>
      <c r="H85" s="28" t="str">
        <f aca="false">IF($A85="","",I85&amp;J85&amp;K85&amp;L85&amp;M85&amp;N85&amp;O85&amp;P85&amp;Q85&amp;R85&amp;S85&amp;T85&amp;U85&amp;V85&amp;W85)</f>
        <v/>
      </c>
      <c r="I85" s="0" t="str">
        <f aca="false">IF(OR($A85="",$D85=""),"",IF(AND(EDATE($D85,Milestones!$AA$20)&lt;=AsOfDate,EDATE($D85,Milestones!$AA$20)&gt;=SchemeStart,IF($X85=0,$AD85,IF(AND($Z85&lt;&gt;"",EDATE($D85,Milestones!$AA$20)&gt;=$Z85),$AC85,IF(AND($Y85&lt;&gt;"",EDATE($D85,Milestones!$AA$20)&gt;=$Y85),$AB85,$AA85)))=Milestones!$AB$20),UPPER(TEXT(EDATE($D85,Milestones!$AA$20),"dd mmm yy"))&amp;" "&amp;Milestones!$AB$20&amp;" "&amp;IF(AND(Milestones!$AB$20="FT",Milestones!$AA$20=FT_Y5,EDATE($D85,Milestones!$AA$20)&lt;PolicyEff),1,Milestones!$AC$20)&amp;";  ","")&amp;IF(AND(EDATE($D85,Milestones!$AA$21)&lt;=AsOfDate,EDATE($D85,Milestones!$AA$21)&gt;=SchemeStart,IF($X85=0,$AD85,IF(AND($Z85&lt;&gt;"",EDATE($D85,Milestones!$AA$21)&gt;=$Z85),$AC85,IF(AND($Y85&lt;&gt;"",EDATE($D85,Milestones!$AA$21)&gt;=$Y85),$AB85,$AA85)))=Milestones!$AB$21),UPPER(TEXT(EDATE($D85,Milestones!$AA$21),"dd mmm yy"))&amp;" "&amp;Milestones!$AB$21&amp;" "&amp;IF(AND(Milestones!$AB$21="FT",Milestones!$AA$21=FT_Y5,EDATE($D85,Milestones!$AA$21)&lt;PolicyEff),1,Milestones!$AC$21)&amp;";  ","")&amp;IF(AND(EDATE($D85,Milestones!$AA$22)&lt;=AsOfDate,EDATE($D85,Milestones!$AA$22)&gt;=SchemeStart,IF($X85=0,$AD85,IF(AND($Z85&lt;&gt;"",EDATE($D85,Milestones!$AA$22)&gt;=$Z85),$AC85,IF(AND($Y85&lt;&gt;"",EDATE($D85,Milestones!$AA$22)&gt;=$Y85),$AB85,$AA85)))=Milestones!$AB$22),UPPER(TEXT(EDATE($D85,Milestones!$AA$22),"dd mmm yy"))&amp;" "&amp;Milestones!$AB$22&amp;" "&amp;IF(AND(Milestones!$AB$22="FT",Milestones!$AA$22=FT_Y5,EDATE($D85,Milestones!$AA$22)&lt;PolicyEff),1,Milestones!$AC$22)&amp;";  ","")&amp;IF(AND(EDATE($D85,Milestones!$AA$23)&lt;=AsOfDate,EDATE($D85,Milestones!$AA$23)&gt;=SchemeStart,IF($X85=0,$AD85,IF(AND($Z85&lt;&gt;"",EDATE($D85,Milestones!$AA$23)&gt;=$Z85),$AC85,IF(AND($Y85&lt;&gt;"",EDATE($D85,Milestones!$AA$23)&gt;=$Y85),$AB85,$AA85)))=Milestones!$AB$23),UPPER(TEXT(EDATE($D85,Milestones!$AA$23),"dd mmm yy"))&amp;" "&amp;Milestones!$AB$23&amp;" "&amp;IF(AND(Milestones!$AB$23="FT",Milestones!$AA$23=FT_Y5,EDATE($D85,Milestones!$AA$23)&lt;PolicyEff),1,Milestones!$AC$23)&amp;";  ","")&amp;IF(AND(EDATE($D85,Milestones!$AA$24)&lt;=AsOfDate,EDATE($D85,Milestones!$AA$24)&gt;=SchemeStart,IF($X85=0,$AD85,IF(AND($Z85&lt;&gt;"",EDATE($D85,Milestones!$AA$24)&gt;=$Z85),$AC85,IF(AND($Y85&lt;&gt;"",EDATE($D85,Milestones!$AA$24)&gt;=$Y85),$AB85,$AA85)))=Milestones!$AB$24),UPPER(TEXT(EDATE($D85,Milestones!$AA$24),"dd mmm yy"))&amp;" "&amp;Milestones!$AB$24&amp;" "&amp;IF(AND(Milestones!$AB$24="FT",Milestones!$AA$24=FT_Y5,EDATE($D85,Milestones!$AA$24)&lt;PolicyEff),1,Milestones!$AC$24)&amp;";  ","")&amp;IF(AND(EDATE($D85,Milestones!$AA$25)&lt;=AsOfDate,EDATE($D85,Milestones!$AA$25)&gt;=SchemeStart,IF($X85=0,$AD85,IF(AND($Z85&lt;&gt;"",EDATE($D85,Milestones!$AA$25)&gt;=$Z85),$AC85,IF(AND($Y85&lt;&gt;"",EDATE($D85,Milestones!$AA$25)&gt;=$Y85),$AB85,$AA85)))=Milestones!$AB$25),UPPER(TEXT(EDATE($D85,Milestones!$AA$25),"dd mmm yy"))&amp;" "&amp;Milestones!$AB$25&amp;" "&amp;IF(AND(Milestones!$AB$25="FT",Milestones!$AA$25=FT_Y5,EDATE($D85,Milestones!$AA$25)&lt;PolicyEff),1,Milestones!$AC$25)&amp;";  ","")&amp;IF(AND(EDATE($D85,Milestones!$AA$26)&lt;=AsOfDate,EDATE($D85,Milestones!$AA$26)&gt;=SchemeStart,IF($X85=0,$AD85,IF(AND($Z85&lt;&gt;"",EDATE($D85,Milestones!$AA$26)&gt;=$Z85),$AC85,IF(AND($Y85&lt;&gt;"",EDATE($D85,Milestones!$AA$26)&gt;=$Y85),$AB85,$AA85)))=Milestones!$AB$26),UPPER(TEXT(EDATE($D85,Milestones!$AA$26),"dd mmm yy"))&amp;" "&amp;Milestones!$AB$26&amp;" "&amp;IF(AND(Milestones!$AB$26="FT",Milestones!$AA$26=FT_Y5,EDATE($D85,Milestones!$AA$26)&lt;PolicyEff),1,Milestones!$AC$26)&amp;";  ","")&amp;IF(AND(EDATE($D85,Milestones!$AA$27)&lt;=AsOfDate,EDATE($D85,Milestones!$AA$27)&gt;=SchemeStart,IF($X85=0,$AD85,IF(AND($Z85&lt;&gt;"",EDATE($D85,Milestones!$AA$27)&gt;=$Z85),$AC85,IF(AND($Y85&lt;&gt;"",EDATE($D85,Milestones!$AA$27)&gt;=$Y85),$AB85,$AA85)))=Milestones!$AB$27),UPPER(TEXT(EDATE($D85,Milestones!$AA$27),"dd mmm yy"))&amp;" "&amp;Milestones!$AB$27&amp;" "&amp;IF(AND(Milestones!$AB$27="FT",Milestones!$AA$27=FT_Y5,EDATE($D85,Milestones!$AA$27)&lt;PolicyEff),1,Milestones!$AC$27)&amp;";  ","")&amp;IF(AND(EDATE($D85,Milestones!$AA$28)&lt;=AsOfDate,EDATE($D85,Milestones!$AA$28)&gt;=SchemeStart,IF($X85=0,$AD85,IF(AND($Z85&lt;&gt;"",EDATE($D85,Milestones!$AA$28)&gt;=$Z85),$AC85,IF(AND($Y85&lt;&gt;"",EDATE($D85,Milestones!$AA$28)&gt;=$Y85),$AB85,$AA85)))=Milestones!$AB$28),UPPER(TEXT(EDATE($D85,Milestones!$AA$28),"dd mmm yy"))&amp;" "&amp;Milestones!$AB$28&amp;" "&amp;IF(AND(Milestones!$AB$28="FT",Milestones!$AA$28=FT_Y5,EDATE($D85,Milestones!$AA$28)&lt;PolicyEff),1,Milestones!$AC$28)&amp;";  ","")&amp;IF(AND(EDATE($D85,Milestones!$AA$29)&lt;=AsOfDate,EDATE($D85,Milestones!$AA$29)&gt;=SchemeStart,IF($X85=0,$AD85,IF(AND($Z85&lt;&gt;"",EDATE($D85,Milestones!$AA$29)&gt;=$Z85),$AC85,IF(AND($Y85&lt;&gt;"",EDATE($D85,Milestones!$AA$29)&gt;=$Y85),$AB85,$AA85)))=Milestones!$AB$29),UPPER(TEXT(EDATE($D85,Milestones!$AA$29),"dd mmm yy"))&amp;" "&amp;Milestones!$AB$29&amp;" "&amp;IF(AND(Milestones!$AB$29="FT",Milestones!$AA$29=FT_Y5,EDATE($D85,Milestones!$AA$29)&lt;PolicyEff),1,Milestones!$AC$29)&amp;";  ","")&amp;IF(AND(EDATE($D85,Milestones!$AA$30)&lt;=AsOfDate,EDATE($D85,Milestones!$AA$30)&gt;=SchemeStart,IF($X85=0,$AD85,IF(AND($Z85&lt;&gt;"",EDATE($D85,Milestones!$AA$30)&gt;=$Z85),$AC85,IF(AND($Y85&lt;&gt;"",EDATE($D85,Milestones!$AA$30)&gt;=$Y85),$AB85,$AA85)))=Milestones!$AB$30),UPPER(TEXT(EDATE($D85,Milestones!$AA$30),"dd mmm yy"))&amp;" "&amp;Milestones!$AB$30&amp;" "&amp;IF(AND(Milestones!$AB$30="FT",Milestones!$AA$30=FT_Y5,EDATE($D85,Milestones!$AA$30)&lt;PolicyEff),1,Milestones!$AC$30)&amp;";  ","")&amp;IF(AND(EDATE($D85,Milestones!$AA$31)&lt;=AsOfDate,EDATE($D85,Milestones!$AA$31)&gt;=SchemeStart,IF($X85=0,$AD85,IF(AND($Z85&lt;&gt;"",EDATE($D85,Milestones!$AA$31)&gt;=$Z85),$AC85,IF(AND($Y85&lt;&gt;"",EDATE($D85,Milestones!$AA$31)&gt;=$Y85),$AB85,$AA85)))=Milestones!$AB$31),UPPER(TEXT(EDATE($D85,Milestones!$AA$31),"dd mmm yy"))&amp;" "&amp;Milestones!$AB$31&amp;" "&amp;IF(AND(Milestones!$AB$31="FT",Milestones!$AA$31=FT_Y5,EDATE($D85,Milestones!$AA$31)&lt;PolicyEff),1,Milestones!$AC$31)&amp;";  ",""))</f>
        <v/>
      </c>
      <c r="J85" s="0" t="str">
        <f aca="false">IF(OR($A85="",$D85=""),"",IF(AND(EDATE($D85,Milestones!$AA$32)&lt;=AsOfDate,EDATE($D85,Milestones!$AA$32)&gt;=SchemeStart,IF($X85=0,$AD85,IF(AND($Z85&lt;&gt;"",EDATE($D85,Milestones!$AA$32)&gt;=$Z85),$AC85,IF(AND($Y85&lt;&gt;"",EDATE($D85,Milestones!$AA$32)&gt;=$Y85),$AB85,$AA85)))=Milestones!$AB$32),UPPER(TEXT(EDATE($D85,Milestones!$AA$32),"dd mmm yy"))&amp;" "&amp;Milestones!$AB$32&amp;" "&amp;IF(AND(Milestones!$AB$32="FT",Milestones!$AA$32=FT_Y5,EDATE($D85,Milestones!$AA$32)&lt;PolicyEff),1,Milestones!$AC$32)&amp;";  ","")&amp;IF(AND(EDATE($D85,Milestones!$AA$33)&lt;=AsOfDate,EDATE($D85,Milestones!$AA$33)&gt;=SchemeStart,IF($X85=0,$AD85,IF(AND($Z85&lt;&gt;"",EDATE($D85,Milestones!$AA$33)&gt;=$Z85),$AC85,IF(AND($Y85&lt;&gt;"",EDATE($D85,Milestones!$AA$33)&gt;=$Y85),$AB85,$AA85)))=Milestones!$AB$33),UPPER(TEXT(EDATE($D85,Milestones!$AA$33),"dd mmm yy"))&amp;" "&amp;Milestones!$AB$33&amp;" "&amp;IF(AND(Milestones!$AB$33="FT",Milestones!$AA$33=FT_Y5,EDATE($D85,Milestones!$AA$33)&lt;PolicyEff),1,Milestones!$AC$33)&amp;";  ","")&amp;IF(AND(EDATE($D85,Milestones!$AA$34)&lt;=AsOfDate,EDATE($D85,Milestones!$AA$34)&gt;=SchemeStart,IF($X85=0,$AD85,IF(AND($Z85&lt;&gt;"",EDATE($D85,Milestones!$AA$34)&gt;=$Z85),$AC85,IF(AND($Y85&lt;&gt;"",EDATE($D85,Milestones!$AA$34)&gt;=$Y85),$AB85,$AA85)))=Milestones!$AB$34),UPPER(TEXT(EDATE($D85,Milestones!$AA$34),"dd mmm yy"))&amp;" "&amp;Milestones!$AB$34&amp;" "&amp;IF(AND(Milestones!$AB$34="FT",Milestones!$AA$34=FT_Y5,EDATE($D85,Milestones!$AA$34)&lt;PolicyEff),1,Milestones!$AC$34)&amp;";  ","")&amp;IF(AND(EDATE($D85,Milestones!$AA$35)&lt;=AsOfDate,EDATE($D85,Milestones!$AA$35)&gt;=SchemeStart,IF($X85=0,$AD85,IF(AND($Z85&lt;&gt;"",EDATE($D85,Milestones!$AA$35)&gt;=$Z85),$AC85,IF(AND($Y85&lt;&gt;"",EDATE($D85,Milestones!$AA$35)&gt;=$Y85),$AB85,$AA85)))=Milestones!$AB$35),UPPER(TEXT(EDATE($D85,Milestones!$AA$35),"dd mmm yy"))&amp;" "&amp;Milestones!$AB$35&amp;" "&amp;IF(AND(Milestones!$AB$35="FT",Milestones!$AA$35=FT_Y5,EDATE($D85,Milestones!$AA$35)&lt;PolicyEff),1,Milestones!$AC$35)&amp;";  ","")&amp;IF(AND(EDATE($D85,Milestones!$AA$36)&lt;=AsOfDate,EDATE($D85,Milestones!$AA$36)&gt;=SchemeStart,IF($X85=0,$AD85,IF(AND($Z85&lt;&gt;"",EDATE($D85,Milestones!$AA$36)&gt;=$Z85),$AC85,IF(AND($Y85&lt;&gt;"",EDATE($D85,Milestones!$AA$36)&gt;=$Y85),$AB85,$AA85)))=Milestones!$AB$36),UPPER(TEXT(EDATE($D85,Milestones!$AA$36),"dd mmm yy"))&amp;" "&amp;Milestones!$AB$36&amp;" "&amp;IF(AND(Milestones!$AB$36="FT",Milestones!$AA$36=FT_Y5,EDATE($D85,Milestones!$AA$36)&lt;PolicyEff),1,Milestones!$AC$36)&amp;";  ","")&amp;IF(AND(EDATE($D85,Milestones!$AA$37)&lt;=AsOfDate,EDATE($D85,Milestones!$AA$37)&gt;=SchemeStart,IF($X85=0,$AD85,IF(AND($Z85&lt;&gt;"",EDATE($D85,Milestones!$AA$37)&gt;=$Z85),$AC85,IF(AND($Y85&lt;&gt;"",EDATE($D85,Milestones!$AA$37)&gt;=$Y85),$AB85,$AA85)))=Milestones!$AB$37),UPPER(TEXT(EDATE($D85,Milestones!$AA$37),"dd mmm yy"))&amp;" "&amp;Milestones!$AB$37&amp;" "&amp;IF(AND(Milestones!$AB$37="FT",Milestones!$AA$37=FT_Y5,EDATE($D85,Milestones!$AA$37)&lt;PolicyEff),1,Milestones!$AC$37)&amp;";  ","")&amp;IF(AND(EDATE($D85,Milestones!$AA$38)&lt;=AsOfDate,EDATE($D85,Milestones!$AA$38)&gt;=SchemeStart,IF($X85=0,$AD85,IF(AND($Z85&lt;&gt;"",EDATE($D85,Milestones!$AA$38)&gt;=$Z85),$AC85,IF(AND($Y85&lt;&gt;"",EDATE($D85,Milestones!$AA$38)&gt;=$Y85),$AB85,$AA85)))=Milestones!$AB$38),UPPER(TEXT(EDATE($D85,Milestones!$AA$38),"dd mmm yy"))&amp;" "&amp;Milestones!$AB$38&amp;" "&amp;IF(AND(Milestones!$AB$38="FT",Milestones!$AA$38=FT_Y5,EDATE($D85,Milestones!$AA$38)&lt;PolicyEff),1,Milestones!$AC$38)&amp;";  ","")&amp;IF(AND(EDATE($D85,Milestones!$AA$39)&lt;=AsOfDate,EDATE($D85,Milestones!$AA$39)&gt;=SchemeStart,IF($X85=0,$AD85,IF(AND($Z85&lt;&gt;"",EDATE($D85,Milestones!$AA$39)&gt;=$Z85),$AC85,IF(AND($Y85&lt;&gt;"",EDATE($D85,Milestones!$AA$39)&gt;=$Y85),$AB85,$AA85)))=Milestones!$AB$39),UPPER(TEXT(EDATE($D85,Milestones!$AA$39),"dd mmm yy"))&amp;" "&amp;Milestones!$AB$39&amp;" "&amp;IF(AND(Milestones!$AB$39="FT",Milestones!$AA$39=FT_Y5,EDATE($D85,Milestones!$AA$39)&lt;PolicyEff),1,Milestones!$AC$39)&amp;";  ","")&amp;IF(AND(EDATE($D85,Milestones!$AA$40)&lt;=AsOfDate,EDATE($D85,Milestones!$AA$40)&gt;=SchemeStart,IF($X85=0,$AD85,IF(AND($Z85&lt;&gt;"",EDATE($D85,Milestones!$AA$40)&gt;=$Z85),$AC85,IF(AND($Y85&lt;&gt;"",EDATE($D85,Milestones!$AA$40)&gt;=$Y85),$AB85,$AA85)))=Milestones!$AB$40),UPPER(TEXT(EDATE($D85,Milestones!$AA$40),"dd mmm yy"))&amp;" "&amp;Milestones!$AB$40&amp;" "&amp;IF(AND(Milestones!$AB$40="FT",Milestones!$AA$40=FT_Y5,EDATE($D85,Milestones!$AA$40)&lt;PolicyEff),1,Milestones!$AC$40)&amp;";  ","")&amp;IF(AND(EDATE($D85,Milestones!$AA$41)&lt;=AsOfDate,EDATE($D85,Milestones!$AA$41)&gt;=SchemeStart,IF($X85=0,$AD85,IF(AND($Z85&lt;&gt;"",EDATE($D85,Milestones!$AA$41)&gt;=$Z85),$AC85,IF(AND($Y85&lt;&gt;"",EDATE($D85,Milestones!$AA$41)&gt;=$Y85),$AB85,$AA85)))=Milestones!$AB$41),UPPER(TEXT(EDATE($D85,Milestones!$AA$41),"dd mmm yy"))&amp;" "&amp;Milestones!$AB$41&amp;" "&amp;IF(AND(Milestones!$AB$41="FT",Milestones!$AA$41=FT_Y5,EDATE($D85,Milestones!$AA$41)&lt;PolicyEff),1,Milestones!$AC$41)&amp;";  ","")&amp;IF(AND(EDATE($D85,Milestones!$AA$42)&lt;=AsOfDate,EDATE($D85,Milestones!$AA$42)&gt;=SchemeStart,IF($X85=0,$AD85,IF(AND($Z85&lt;&gt;"",EDATE($D85,Milestones!$AA$42)&gt;=$Z85),$AC85,IF(AND($Y85&lt;&gt;"",EDATE($D85,Milestones!$AA$42)&gt;=$Y85),$AB85,$AA85)))=Milestones!$AB$42),UPPER(TEXT(EDATE($D85,Milestones!$AA$42),"dd mmm yy"))&amp;" "&amp;Milestones!$AB$42&amp;" "&amp;IF(AND(Milestones!$AB$42="FT",Milestones!$AA$42=FT_Y5,EDATE($D85,Milestones!$AA$42)&lt;PolicyEff),1,Milestones!$AC$42)&amp;";  ","")&amp;IF(AND(EDATE($D85,Milestones!$AA$43)&lt;=AsOfDate,EDATE($D85,Milestones!$AA$43)&gt;=SchemeStart,IF($X85=0,$AD85,IF(AND($Z85&lt;&gt;"",EDATE($D85,Milestones!$AA$43)&gt;=$Z85),$AC85,IF(AND($Y85&lt;&gt;"",EDATE($D85,Milestones!$AA$43)&gt;=$Y85),$AB85,$AA85)))=Milestones!$AB$43),UPPER(TEXT(EDATE($D85,Milestones!$AA$43),"dd mmm yy"))&amp;" "&amp;Milestones!$AB$43&amp;" "&amp;IF(AND(Milestones!$AB$43="FT",Milestones!$AA$43=FT_Y5,EDATE($D85,Milestones!$AA$43)&lt;PolicyEff),1,Milestones!$AC$43)&amp;";  ",""))</f>
        <v/>
      </c>
      <c r="K85" s="0" t="str">
        <f aca="false">IF(OR($A85="",$D85=""),"",IF(AND(EDATE($D85,Milestones!$AA$44)&lt;=AsOfDate,EDATE($D85,Milestones!$AA$44)&gt;=SchemeStart,IF($X85=0,$AD85,IF(AND($Z85&lt;&gt;"",EDATE($D85,Milestones!$AA$44)&gt;=$Z85),$AC85,IF(AND($Y85&lt;&gt;"",EDATE($D85,Milestones!$AA$44)&gt;=$Y85),$AB85,$AA85)))=Milestones!$AB$44),UPPER(TEXT(EDATE($D85,Milestones!$AA$44),"dd mmm yy"))&amp;" "&amp;Milestones!$AB$44&amp;" "&amp;IF(AND(Milestones!$AB$44="FT",Milestones!$AA$44=FT_Y5,EDATE($D85,Milestones!$AA$44)&lt;PolicyEff),1,Milestones!$AC$44)&amp;";  ","")&amp;IF(AND(EDATE($D85,Milestones!$AA$45)&lt;=AsOfDate,EDATE($D85,Milestones!$AA$45)&gt;=SchemeStart,IF($X85=0,$AD85,IF(AND($Z85&lt;&gt;"",EDATE($D85,Milestones!$AA$45)&gt;=$Z85),$AC85,IF(AND($Y85&lt;&gt;"",EDATE($D85,Milestones!$AA$45)&gt;=$Y85),$AB85,$AA85)))=Milestones!$AB$45),UPPER(TEXT(EDATE($D85,Milestones!$AA$45),"dd mmm yy"))&amp;" "&amp;Milestones!$AB$45&amp;" "&amp;IF(AND(Milestones!$AB$45="FT",Milestones!$AA$45=FT_Y5,EDATE($D85,Milestones!$AA$45)&lt;PolicyEff),1,Milestones!$AC$45)&amp;";  ","")&amp;IF(AND(EDATE($D85,Milestones!$AA$46)&lt;=AsOfDate,EDATE($D85,Milestones!$AA$46)&gt;=SchemeStart,IF($X85=0,$AD85,IF(AND($Z85&lt;&gt;"",EDATE($D85,Milestones!$AA$46)&gt;=$Z85),$AC85,IF(AND($Y85&lt;&gt;"",EDATE($D85,Milestones!$AA$46)&gt;=$Y85),$AB85,$AA85)))=Milestones!$AB$46),UPPER(TEXT(EDATE($D85,Milestones!$AA$46),"dd mmm yy"))&amp;" "&amp;Milestones!$AB$46&amp;" "&amp;IF(AND(Milestones!$AB$46="FT",Milestones!$AA$46=FT_Y5,EDATE($D85,Milestones!$AA$46)&lt;PolicyEff),1,Milestones!$AC$46)&amp;";  ","")&amp;IF(AND(EDATE($D85,Milestones!$AA$47)&lt;=AsOfDate,EDATE($D85,Milestones!$AA$47)&gt;=SchemeStart,IF($X85=0,$AD85,IF(AND($Z85&lt;&gt;"",EDATE($D85,Milestones!$AA$47)&gt;=$Z85),$AC85,IF(AND($Y85&lt;&gt;"",EDATE($D85,Milestones!$AA$47)&gt;=$Y85),$AB85,$AA85)))=Milestones!$AB$47),UPPER(TEXT(EDATE($D85,Milestones!$AA$47),"dd mmm yy"))&amp;" "&amp;Milestones!$AB$47&amp;" "&amp;IF(AND(Milestones!$AB$47="FT",Milestones!$AA$47=FT_Y5,EDATE($D85,Milestones!$AA$47)&lt;PolicyEff),1,Milestones!$AC$47)&amp;";  ","")&amp;IF(AND(EDATE($D85,Milestones!$AA$48)&lt;=AsOfDate,EDATE($D85,Milestones!$AA$48)&gt;=SchemeStart,IF($X85=0,$AD85,IF(AND($Z85&lt;&gt;"",EDATE($D85,Milestones!$AA$48)&gt;=$Z85),$AC85,IF(AND($Y85&lt;&gt;"",EDATE($D85,Milestones!$AA$48)&gt;=$Y85),$AB85,$AA85)))=Milestones!$AB$48),UPPER(TEXT(EDATE($D85,Milestones!$AA$48),"dd mmm yy"))&amp;" "&amp;Milestones!$AB$48&amp;" "&amp;IF(AND(Milestones!$AB$48="FT",Milestones!$AA$48=FT_Y5,EDATE($D85,Milestones!$AA$48)&lt;PolicyEff),1,Milestones!$AC$48)&amp;";  ","")&amp;IF(AND(EDATE($D85,Milestones!$AA$49)&lt;=AsOfDate,EDATE($D85,Milestones!$AA$49)&gt;=SchemeStart,IF($X85=0,$AD85,IF(AND($Z85&lt;&gt;"",EDATE($D85,Milestones!$AA$49)&gt;=$Z85),$AC85,IF(AND($Y85&lt;&gt;"",EDATE($D85,Milestones!$AA$49)&gt;=$Y85),$AB85,$AA85)))=Milestones!$AB$49),UPPER(TEXT(EDATE($D85,Milestones!$AA$49),"dd mmm yy"))&amp;" "&amp;Milestones!$AB$49&amp;" "&amp;IF(AND(Milestones!$AB$49="FT",Milestones!$AA$49=FT_Y5,EDATE($D85,Milestones!$AA$49)&lt;PolicyEff),1,Milestones!$AC$49)&amp;";  ","")&amp;IF(AND(EDATE($D85,Milestones!$AA$50)&lt;=AsOfDate,EDATE($D85,Milestones!$AA$50)&gt;=SchemeStart,IF($X85=0,$AD85,IF(AND($Z85&lt;&gt;"",EDATE($D85,Milestones!$AA$50)&gt;=$Z85),$AC85,IF(AND($Y85&lt;&gt;"",EDATE($D85,Milestones!$AA$50)&gt;=$Y85),$AB85,$AA85)))=Milestones!$AB$50),UPPER(TEXT(EDATE($D85,Milestones!$AA$50),"dd mmm yy"))&amp;" "&amp;Milestones!$AB$50&amp;" "&amp;IF(AND(Milestones!$AB$50="FT",Milestones!$AA$50=FT_Y5,EDATE($D85,Milestones!$AA$50)&lt;PolicyEff),1,Milestones!$AC$50)&amp;";  ","")&amp;IF(AND(EDATE($D85,Milestones!$AA$51)&lt;=AsOfDate,EDATE($D85,Milestones!$AA$51)&gt;=SchemeStart,IF($X85=0,$AD85,IF(AND($Z85&lt;&gt;"",EDATE($D85,Milestones!$AA$51)&gt;=$Z85),$AC85,IF(AND($Y85&lt;&gt;"",EDATE($D85,Milestones!$AA$51)&gt;=$Y85),$AB85,$AA85)))=Milestones!$AB$51),UPPER(TEXT(EDATE($D85,Milestones!$AA$51),"dd mmm yy"))&amp;" "&amp;Milestones!$AB$51&amp;" "&amp;IF(AND(Milestones!$AB$51="FT",Milestones!$AA$51=FT_Y5,EDATE($D85,Milestones!$AA$51)&lt;PolicyEff),1,Milestones!$AC$51)&amp;";  ","")&amp;IF(AND(EDATE($D85,Milestones!$AA$52)&lt;=AsOfDate,EDATE($D85,Milestones!$AA$52)&gt;=SchemeStart,IF($X85=0,$AD85,IF(AND($Z85&lt;&gt;"",EDATE($D85,Milestones!$AA$52)&gt;=$Z85),$AC85,IF(AND($Y85&lt;&gt;"",EDATE($D85,Milestones!$AA$52)&gt;=$Y85),$AB85,$AA85)))=Milestones!$AB$52),UPPER(TEXT(EDATE($D85,Milestones!$AA$52),"dd mmm yy"))&amp;" "&amp;Milestones!$AB$52&amp;" "&amp;IF(AND(Milestones!$AB$52="FT",Milestones!$AA$52=FT_Y5,EDATE($D85,Milestones!$AA$52)&lt;PolicyEff),1,Milestones!$AC$52)&amp;";  ","")&amp;IF(AND(EDATE($D85,Milestones!$AA$53)&lt;=AsOfDate,EDATE($D85,Milestones!$AA$53)&gt;=SchemeStart,IF($X85=0,$AD85,IF(AND($Z85&lt;&gt;"",EDATE($D85,Milestones!$AA$53)&gt;=$Z85),$AC85,IF(AND($Y85&lt;&gt;"",EDATE($D85,Milestones!$AA$53)&gt;=$Y85),$AB85,$AA85)))=Milestones!$AB$53),UPPER(TEXT(EDATE($D85,Milestones!$AA$53),"dd mmm yy"))&amp;" "&amp;Milestones!$AB$53&amp;" "&amp;IF(AND(Milestones!$AB$53="FT",Milestones!$AA$53=FT_Y5,EDATE($D85,Milestones!$AA$53)&lt;PolicyEff),1,Milestones!$AC$53)&amp;";  ","")&amp;IF(AND(EDATE($D85,Milestones!$AA$54)&lt;=AsOfDate,EDATE($D85,Milestones!$AA$54)&gt;=SchemeStart,IF($X85=0,$AD85,IF(AND($Z85&lt;&gt;"",EDATE($D85,Milestones!$AA$54)&gt;=$Z85),$AC85,IF(AND($Y85&lt;&gt;"",EDATE($D85,Milestones!$AA$54)&gt;=$Y85),$AB85,$AA85)))=Milestones!$AB$54),UPPER(TEXT(EDATE($D85,Milestones!$AA$54),"dd mmm yy"))&amp;" "&amp;Milestones!$AB$54&amp;" "&amp;IF(AND(Milestones!$AB$54="FT",Milestones!$AA$54=FT_Y5,EDATE($D85,Milestones!$AA$54)&lt;PolicyEff),1,Milestones!$AC$54)&amp;";  ","")&amp;IF(AND(EDATE($D85,Milestones!$AA$55)&lt;=AsOfDate,EDATE($D85,Milestones!$AA$55)&gt;=SchemeStart,IF($X85=0,$AD85,IF(AND($Z85&lt;&gt;"",EDATE($D85,Milestones!$AA$55)&gt;=$Z85),$AC85,IF(AND($Y85&lt;&gt;"",EDATE($D85,Milestones!$AA$55)&gt;=$Y85),$AB85,$AA85)))=Milestones!$AB$55),UPPER(TEXT(EDATE($D85,Milestones!$AA$55),"dd mmm yy"))&amp;" "&amp;Milestones!$AB$55&amp;" "&amp;IF(AND(Milestones!$AB$55="FT",Milestones!$AA$55=FT_Y5,EDATE($D85,Milestones!$AA$55)&lt;PolicyEff),1,Milestones!$AC$55)&amp;";  ",""))</f>
        <v/>
      </c>
      <c r="L85" s="0" t="str">
        <f aca="false">IF(OR($A85="",$D85=""),"",IF(AND(EDATE($D85,Milestones!$AA$56)&lt;=AsOfDate,EDATE($D85,Milestones!$AA$56)&gt;=SchemeStart,IF($X85=0,$AD85,IF(AND($Z85&lt;&gt;"",EDATE($D85,Milestones!$AA$56)&gt;=$Z85),$AC85,IF(AND($Y85&lt;&gt;"",EDATE($D85,Milestones!$AA$56)&gt;=$Y85),$AB85,$AA85)))=Milestones!$AB$56),UPPER(TEXT(EDATE($D85,Milestones!$AA$56),"dd mmm yy"))&amp;" "&amp;Milestones!$AB$56&amp;" "&amp;IF(AND(Milestones!$AB$56="FT",Milestones!$AA$56=FT_Y5,EDATE($D85,Milestones!$AA$56)&lt;PolicyEff),1,Milestones!$AC$56)&amp;";  ","")&amp;IF(AND(EDATE($D85,Milestones!$AA$57)&lt;=AsOfDate,EDATE($D85,Milestones!$AA$57)&gt;=SchemeStart,IF($X85=0,$AD85,IF(AND($Z85&lt;&gt;"",EDATE($D85,Milestones!$AA$57)&gt;=$Z85),$AC85,IF(AND($Y85&lt;&gt;"",EDATE($D85,Milestones!$AA$57)&gt;=$Y85),$AB85,$AA85)))=Milestones!$AB$57),UPPER(TEXT(EDATE($D85,Milestones!$AA$57),"dd mmm yy"))&amp;" "&amp;Milestones!$AB$57&amp;" "&amp;IF(AND(Milestones!$AB$57="FT",Milestones!$AA$57=FT_Y5,EDATE($D85,Milestones!$AA$57)&lt;PolicyEff),1,Milestones!$AC$57)&amp;";  ","")&amp;IF(AND(EDATE($D85,Milestones!$AA$58)&lt;=AsOfDate,EDATE($D85,Milestones!$AA$58)&gt;=SchemeStart,IF($X85=0,$AD85,IF(AND($Z85&lt;&gt;"",EDATE($D85,Milestones!$AA$58)&gt;=$Z85),$AC85,IF(AND($Y85&lt;&gt;"",EDATE($D85,Milestones!$AA$58)&gt;=$Y85),$AB85,$AA85)))=Milestones!$AB$58),UPPER(TEXT(EDATE($D85,Milestones!$AA$58),"dd mmm yy"))&amp;" "&amp;Milestones!$AB$58&amp;" "&amp;IF(AND(Milestones!$AB$58="FT",Milestones!$AA$58=FT_Y5,EDATE($D85,Milestones!$AA$58)&lt;PolicyEff),1,Milestones!$AC$58)&amp;";  ","")&amp;IF(AND(EDATE($D85,Milestones!$AA$59)&lt;=AsOfDate,EDATE($D85,Milestones!$AA$59)&gt;=SchemeStart,IF($X85=0,$AD85,IF(AND($Z85&lt;&gt;"",EDATE($D85,Milestones!$AA$59)&gt;=$Z85),$AC85,IF(AND($Y85&lt;&gt;"",EDATE($D85,Milestones!$AA$59)&gt;=$Y85),$AB85,$AA85)))=Milestones!$AB$59),UPPER(TEXT(EDATE($D85,Milestones!$AA$59),"dd mmm yy"))&amp;" "&amp;Milestones!$AB$59&amp;" "&amp;IF(AND(Milestones!$AB$59="FT",Milestones!$AA$59=FT_Y5,EDATE($D85,Milestones!$AA$59)&lt;PolicyEff),1,Milestones!$AC$59)&amp;";  ","")&amp;IF(AND(EDATE($D85,Milestones!$AA$60)&lt;=AsOfDate,EDATE($D85,Milestones!$AA$60)&gt;=SchemeStart,IF($X85=0,$AD85,IF(AND($Z85&lt;&gt;"",EDATE($D85,Milestones!$AA$60)&gt;=$Z85),$AC85,IF(AND($Y85&lt;&gt;"",EDATE($D85,Milestones!$AA$60)&gt;=$Y85),$AB85,$AA85)))=Milestones!$AB$60),UPPER(TEXT(EDATE($D85,Milestones!$AA$60),"dd mmm yy"))&amp;" "&amp;Milestones!$AB$60&amp;" "&amp;IF(AND(Milestones!$AB$60="FT",Milestones!$AA$60=FT_Y5,EDATE($D85,Milestones!$AA$60)&lt;PolicyEff),1,Milestones!$AC$60)&amp;";  ","")&amp;IF(AND(EDATE($D85,Milestones!$AA$61)&lt;=AsOfDate,EDATE($D85,Milestones!$AA$61)&gt;=SchemeStart,IF($X85=0,$AD85,IF(AND($Z85&lt;&gt;"",EDATE($D85,Milestones!$AA$61)&gt;=$Z85),$AC85,IF(AND($Y85&lt;&gt;"",EDATE($D85,Milestones!$AA$61)&gt;=$Y85),$AB85,$AA85)))=Milestones!$AB$61),UPPER(TEXT(EDATE($D85,Milestones!$AA$61),"dd mmm yy"))&amp;" "&amp;Milestones!$AB$61&amp;" "&amp;IF(AND(Milestones!$AB$61="FT",Milestones!$AA$61=FT_Y5,EDATE($D85,Milestones!$AA$61)&lt;PolicyEff),1,Milestones!$AC$61)&amp;";  ","")&amp;IF(AND(EDATE($D85,Milestones!$AA$62)&lt;=AsOfDate,EDATE($D85,Milestones!$AA$62)&gt;=SchemeStart,IF($X85=0,$AD85,IF(AND($Z85&lt;&gt;"",EDATE($D85,Milestones!$AA$62)&gt;=$Z85),$AC85,IF(AND($Y85&lt;&gt;"",EDATE($D85,Milestones!$AA$62)&gt;=$Y85),$AB85,$AA85)))=Milestones!$AB$62),UPPER(TEXT(EDATE($D85,Milestones!$AA$62),"dd mmm yy"))&amp;" "&amp;Milestones!$AB$62&amp;" "&amp;IF(AND(Milestones!$AB$62="FT",Milestones!$AA$62=FT_Y5,EDATE($D85,Milestones!$AA$62)&lt;PolicyEff),1,Milestones!$AC$62)&amp;";  ","")&amp;IF(AND(EDATE($D85,Milestones!$AA$63)&lt;=AsOfDate,EDATE($D85,Milestones!$AA$63)&gt;=SchemeStart,IF($X85=0,$AD85,IF(AND($Z85&lt;&gt;"",EDATE($D85,Milestones!$AA$63)&gt;=$Z85),$AC85,IF(AND($Y85&lt;&gt;"",EDATE($D85,Milestones!$AA$63)&gt;=$Y85),$AB85,$AA85)))=Milestones!$AB$63),UPPER(TEXT(EDATE($D85,Milestones!$AA$63),"dd mmm yy"))&amp;" "&amp;Milestones!$AB$63&amp;" "&amp;IF(AND(Milestones!$AB$63="FT",Milestones!$AA$63=FT_Y5,EDATE($D85,Milestones!$AA$63)&lt;PolicyEff),1,Milestones!$AC$63)&amp;";  ","")&amp;IF(AND(EDATE($D85,Milestones!$AA$64)&lt;=AsOfDate,EDATE($D85,Milestones!$AA$64)&gt;=SchemeStart,IF($X85=0,$AD85,IF(AND($Z85&lt;&gt;"",EDATE($D85,Milestones!$AA$64)&gt;=$Z85),$AC85,IF(AND($Y85&lt;&gt;"",EDATE($D85,Milestones!$AA$64)&gt;=$Y85),$AB85,$AA85)))=Milestones!$AB$64),UPPER(TEXT(EDATE($D85,Milestones!$AA$64),"dd mmm yy"))&amp;" "&amp;Milestones!$AB$64&amp;" "&amp;IF(AND(Milestones!$AB$64="FT",Milestones!$AA$64=FT_Y5,EDATE($D85,Milestones!$AA$64)&lt;PolicyEff),1,Milestones!$AC$64)&amp;";  ","")&amp;IF(AND(EDATE($D85,Milestones!$AA$65)&lt;=AsOfDate,EDATE($D85,Milestones!$AA$65)&gt;=SchemeStart,IF($X85=0,$AD85,IF(AND($Z85&lt;&gt;"",EDATE($D85,Milestones!$AA$65)&gt;=$Z85),$AC85,IF(AND($Y85&lt;&gt;"",EDATE($D85,Milestones!$AA$65)&gt;=$Y85),$AB85,$AA85)))=Milestones!$AB$65),UPPER(TEXT(EDATE($D85,Milestones!$AA$65),"dd mmm yy"))&amp;" "&amp;Milestones!$AB$65&amp;" "&amp;IF(AND(Milestones!$AB$65="FT",Milestones!$AA$65=FT_Y5,EDATE($D85,Milestones!$AA$65)&lt;PolicyEff),1,Milestones!$AC$65)&amp;";  ","")&amp;IF(AND(EDATE($D85,Milestones!$AA$66)&lt;=AsOfDate,EDATE($D85,Milestones!$AA$66)&gt;=SchemeStart,IF($X85=0,$AD85,IF(AND($Z85&lt;&gt;"",EDATE($D85,Milestones!$AA$66)&gt;=$Z85),$AC85,IF(AND($Y85&lt;&gt;"",EDATE($D85,Milestones!$AA$66)&gt;=$Y85),$AB85,$AA85)))=Milestones!$AB$66),UPPER(TEXT(EDATE($D85,Milestones!$AA$66),"dd mmm yy"))&amp;" "&amp;Milestones!$AB$66&amp;" "&amp;IF(AND(Milestones!$AB$66="FT",Milestones!$AA$66=FT_Y5,EDATE($D85,Milestones!$AA$66)&lt;PolicyEff),1,Milestones!$AC$66)&amp;";  ","")&amp;IF(AND(EDATE($D85,Milestones!$AA$67)&lt;=AsOfDate,EDATE($D85,Milestones!$AA$67)&gt;=SchemeStart,IF($X85=0,$AD85,IF(AND($Z85&lt;&gt;"",EDATE($D85,Milestones!$AA$67)&gt;=$Z85),$AC85,IF(AND($Y85&lt;&gt;"",EDATE($D85,Milestones!$AA$67)&gt;=$Y85),$AB85,$AA85)))=Milestones!$AB$67),UPPER(TEXT(EDATE($D85,Milestones!$AA$67),"dd mmm yy"))&amp;" "&amp;Milestones!$AB$67&amp;" "&amp;IF(AND(Milestones!$AB$67="FT",Milestones!$AA$67=FT_Y5,EDATE($D85,Milestones!$AA$67)&lt;PolicyEff),1,Milestones!$AC$67)&amp;";  ",""))</f>
        <v/>
      </c>
      <c r="M85" s="0" t="str">
        <f aca="false">IF(OR($A85="",$D85=""),"",IF(AND(EDATE($D85,Milestones!$AA$68)&lt;=AsOfDate,EDATE($D85,Milestones!$AA$68)&gt;=SchemeStart,IF($X85=0,$AD85,IF(AND($Z85&lt;&gt;"",EDATE($D85,Milestones!$AA$68)&gt;=$Z85),$AC85,IF(AND($Y85&lt;&gt;"",EDATE($D85,Milestones!$AA$68)&gt;=$Y85),$AB85,$AA85)))=Milestones!$AB$68),UPPER(TEXT(EDATE($D85,Milestones!$AA$68),"dd mmm yy"))&amp;" "&amp;Milestones!$AB$68&amp;" "&amp;IF(AND(Milestones!$AB$68="FT",Milestones!$AA$68=FT_Y5,EDATE($D85,Milestones!$AA$68)&lt;PolicyEff),1,Milestones!$AC$68)&amp;";  ","")&amp;IF(AND(EDATE($D85,Milestones!$AA$69)&lt;=AsOfDate,EDATE($D85,Milestones!$AA$69)&gt;=SchemeStart,IF($X85=0,$AD85,IF(AND($Z85&lt;&gt;"",EDATE($D85,Milestones!$AA$69)&gt;=$Z85),$AC85,IF(AND($Y85&lt;&gt;"",EDATE($D85,Milestones!$AA$69)&gt;=$Y85),$AB85,$AA85)))=Milestones!$AB$69),UPPER(TEXT(EDATE($D85,Milestones!$AA$69),"dd mmm yy"))&amp;" "&amp;Milestones!$AB$69&amp;" "&amp;IF(AND(Milestones!$AB$69="FT",Milestones!$AA$69=FT_Y5,EDATE($D85,Milestones!$AA$69)&lt;PolicyEff),1,Milestones!$AC$69)&amp;";  ","")&amp;IF(AND(EDATE($D85,Milestones!$AA$70)&lt;=AsOfDate,EDATE($D85,Milestones!$AA$70)&gt;=SchemeStart,IF($X85=0,$AD85,IF(AND($Z85&lt;&gt;"",EDATE($D85,Milestones!$AA$70)&gt;=$Z85),$AC85,IF(AND($Y85&lt;&gt;"",EDATE($D85,Milestones!$AA$70)&gt;=$Y85),$AB85,$AA85)))=Milestones!$AB$70),UPPER(TEXT(EDATE($D85,Milestones!$AA$70),"dd mmm yy"))&amp;" "&amp;Milestones!$AB$70&amp;" "&amp;IF(AND(Milestones!$AB$70="FT",Milestones!$AA$70=FT_Y5,EDATE($D85,Milestones!$AA$70)&lt;PolicyEff),1,Milestones!$AC$70)&amp;";  ","")&amp;IF(AND(EDATE($D85,Milestones!$AA$71)&lt;=AsOfDate,EDATE($D85,Milestones!$AA$71)&gt;=SchemeStart,IF($X85=0,$AD85,IF(AND($Z85&lt;&gt;"",EDATE($D85,Milestones!$AA$71)&gt;=$Z85),$AC85,IF(AND($Y85&lt;&gt;"",EDATE($D85,Milestones!$AA$71)&gt;=$Y85),$AB85,$AA85)))=Milestones!$AB$71),UPPER(TEXT(EDATE($D85,Milestones!$AA$71),"dd mmm yy"))&amp;" "&amp;Milestones!$AB$71&amp;" "&amp;IF(AND(Milestones!$AB$71="FT",Milestones!$AA$71=FT_Y5,EDATE($D85,Milestones!$AA$71)&lt;PolicyEff),1,Milestones!$AC$71)&amp;";  ","")&amp;IF(AND(EDATE($D85,Milestones!$AA$72)&lt;=AsOfDate,EDATE($D85,Milestones!$AA$72)&gt;=SchemeStart,IF($X85=0,$AD85,IF(AND($Z85&lt;&gt;"",EDATE($D85,Milestones!$AA$72)&gt;=$Z85),$AC85,IF(AND($Y85&lt;&gt;"",EDATE($D85,Milestones!$AA$72)&gt;=$Y85),$AB85,$AA85)))=Milestones!$AB$72),UPPER(TEXT(EDATE($D85,Milestones!$AA$72),"dd mmm yy"))&amp;" "&amp;Milestones!$AB$72&amp;" "&amp;IF(AND(Milestones!$AB$72="FT",Milestones!$AA$72=FT_Y5,EDATE($D85,Milestones!$AA$72)&lt;PolicyEff),1,Milestones!$AC$72)&amp;";  ","")&amp;IF(AND(EDATE($D85,Milestones!$AA$73)&lt;=AsOfDate,EDATE($D85,Milestones!$AA$73)&gt;=SchemeStart,IF($X85=0,$AD85,IF(AND($Z85&lt;&gt;"",EDATE($D85,Milestones!$AA$73)&gt;=$Z85),$AC85,IF(AND($Y85&lt;&gt;"",EDATE($D85,Milestones!$AA$73)&gt;=$Y85),$AB85,$AA85)))=Milestones!$AB$73),UPPER(TEXT(EDATE($D85,Milestones!$AA$73),"dd mmm yy"))&amp;" "&amp;Milestones!$AB$73&amp;" "&amp;IF(AND(Milestones!$AB$73="FT",Milestones!$AA$73=FT_Y5,EDATE($D85,Milestones!$AA$73)&lt;PolicyEff),1,Milestones!$AC$73)&amp;";  ","")&amp;IF(AND(EDATE($D85,Milestones!$AA$74)&lt;=AsOfDate,EDATE($D85,Milestones!$AA$74)&gt;=SchemeStart,IF($X85=0,$AD85,IF(AND($Z85&lt;&gt;"",EDATE($D85,Milestones!$AA$74)&gt;=$Z85),$AC85,IF(AND($Y85&lt;&gt;"",EDATE($D85,Milestones!$AA$74)&gt;=$Y85),$AB85,$AA85)))=Milestones!$AB$74),UPPER(TEXT(EDATE($D85,Milestones!$AA$74),"dd mmm yy"))&amp;" "&amp;Milestones!$AB$74&amp;" "&amp;IF(AND(Milestones!$AB$74="FT",Milestones!$AA$74=FT_Y5,EDATE($D85,Milestones!$AA$74)&lt;PolicyEff),1,Milestones!$AC$74)&amp;";  ","")&amp;IF(AND(EDATE($D85,Milestones!$AA$75)&lt;=AsOfDate,EDATE($D85,Milestones!$AA$75)&gt;=SchemeStart,IF($X85=0,$AD85,IF(AND($Z85&lt;&gt;"",EDATE($D85,Milestones!$AA$75)&gt;=$Z85),$AC85,IF(AND($Y85&lt;&gt;"",EDATE($D85,Milestones!$AA$75)&gt;=$Y85),$AB85,$AA85)))=Milestones!$AB$75),UPPER(TEXT(EDATE($D85,Milestones!$AA$75),"dd mmm yy"))&amp;" "&amp;Milestones!$AB$75&amp;" "&amp;IF(AND(Milestones!$AB$75="FT",Milestones!$AA$75=FT_Y5,EDATE($D85,Milestones!$AA$75)&lt;PolicyEff),1,Milestones!$AC$75)&amp;";  ","")&amp;IF(AND(EDATE($D85,Milestones!$AA$76)&lt;=AsOfDate,EDATE($D85,Milestones!$AA$76)&gt;=SchemeStart,IF($X85=0,$AD85,IF(AND($Z85&lt;&gt;"",EDATE($D85,Milestones!$AA$76)&gt;=$Z85),$AC85,IF(AND($Y85&lt;&gt;"",EDATE($D85,Milestones!$AA$76)&gt;=$Y85),$AB85,$AA85)))=Milestones!$AB$76),UPPER(TEXT(EDATE($D85,Milestones!$AA$76),"dd mmm yy"))&amp;" "&amp;Milestones!$AB$76&amp;" "&amp;IF(AND(Milestones!$AB$76="FT",Milestones!$AA$76=FT_Y5,EDATE($D85,Milestones!$AA$76)&lt;PolicyEff),1,Milestones!$AC$76)&amp;";  ","")&amp;IF(AND(EDATE($D85,Milestones!$AA$77)&lt;=AsOfDate,EDATE($D85,Milestones!$AA$77)&gt;=SchemeStart,IF($X85=0,$AD85,IF(AND($Z85&lt;&gt;"",EDATE($D85,Milestones!$AA$77)&gt;=$Z85),$AC85,IF(AND($Y85&lt;&gt;"",EDATE($D85,Milestones!$AA$77)&gt;=$Y85),$AB85,$AA85)))=Milestones!$AB$77),UPPER(TEXT(EDATE($D85,Milestones!$AA$77),"dd mmm yy"))&amp;" "&amp;Milestones!$AB$77&amp;" "&amp;IF(AND(Milestones!$AB$77="FT",Milestones!$AA$77=FT_Y5,EDATE($D85,Milestones!$AA$77)&lt;PolicyEff),1,Milestones!$AC$77)&amp;";  ","")&amp;IF(AND(EDATE($D85,Milestones!$AA$78)&lt;=AsOfDate,EDATE($D85,Milestones!$AA$78)&gt;=SchemeStart,IF($X85=0,$AD85,IF(AND($Z85&lt;&gt;"",EDATE($D85,Milestones!$AA$78)&gt;=$Z85),$AC85,IF(AND($Y85&lt;&gt;"",EDATE($D85,Milestones!$AA$78)&gt;=$Y85),$AB85,$AA85)))=Milestones!$AB$78),UPPER(TEXT(EDATE($D85,Milestones!$AA$78),"dd mmm yy"))&amp;" "&amp;Milestones!$AB$78&amp;" "&amp;IF(AND(Milestones!$AB$78="FT",Milestones!$AA$78=FT_Y5,EDATE($D85,Milestones!$AA$78)&lt;PolicyEff),1,Milestones!$AC$78)&amp;";  ","")&amp;IF(AND(EDATE($D85,Milestones!$AA$79)&lt;=AsOfDate,EDATE($D85,Milestones!$AA$79)&gt;=SchemeStart,IF($X85=0,$AD85,IF(AND($Z85&lt;&gt;"",EDATE($D85,Milestones!$AA$79)&gt;=$Z85),$AC85,IF(AND($Y85&lt;&gt;"",EDATE($D85,Milestones!$AA$79)&gt;=$Y85),$AB85,$AA85)))=Milestones!$AB$79),UPPER(TEXT(EDATE($D85,Milestones!$AA$79),"dd mmm yy"))&amp;" "&amp;Milestones!$AB$79&amp;" "&amp;IF(AND(Milestones!$AB$79="FT",Milestones!$AA$79=FT_Y5,EDATE($D85,Milestones!$AA$79)&lt;PolicyEff),1,Milestones!$AC$79)&amp;";  ",""))</f>
        <v/>
      </c>
      <c r="N85" s="0" t="str">
        <f aca="false">IF(OR($A85="",$D85=""),"",IF(AND(EDATE($D85,Milestones!$AA$80)&lt;=AsOfDate,EDATE($D85,Milestones!$AA$80)&gt;=SchemeStart,IF($X85=0,$AD85,IF(AND($Z85&lt;&gt;"",EDATE($D85,Milestones!$AA$80)&gt;=$Z85),$AC85,IF(AND($Y85&lt;&gt;"",EDATE($D85,Milestones!$AA$80)&gt;=$Y85),$AB85,$AA85)))=Milestones!$AB$80),UPPER(TEXT(EDATE($D85,Milestones!$AA$80),"dd mmm yy"))&amp;" "&amp;Milestones!$AB$80&amp;" "&amp;IF(AND(Milestones!$AB$80="FT",Milestones!$AA$80=FT_Y5,EDATE($D85,Milestones!$AA$80)&lt;PolicyEff),1,Milestones!$AC$80)&amp;";  ","")&amp;IF(AND(EDATE($D85,Milestones!$AA$81)&lt;=AsOfDate,EDATE($D85,Milestones!$AA$81)&gt;=SchemeStart,IF($X85=0,$AD85,IF(AND($Z85&lt;&gt;"",EDATE($D85,Milestones!$AA$81)&gt;=$Z85),$AC85,IF(AND($Y85&lt;&gt;"",EDATE($D85,Milestones!$AA$81)&gt;=$Y85),$AB85,$AA85)))=Milestones!$AB$81),UPPER(TEXT(EDATE($D85,Milestones!$AA$81),"dd mmm yy"))&amp;" "&amp;Milestones!$AB$81&amp;" "&amp;IF(AND(Milestones!$AB$81="FT",Milestones!$AA$81=FT_Y5,EDATE($D85,Milestones!$AA$81)&lt;PolicyEff),1,Milestones!$AC$81)&amp;";  ","")&amp;IF(AND(EDATE($D85,Milestones!$AA$82)&lt;=AsOfDate,EDATE($D85,Milestones!$AA$82)&gt;=SchemeStart,IF($X85=0,$AD85,IF(AND($Z85&lt;&gt;"",EDATE($D85,Milestones!$AA$82)&gt;=$Z85),$AC85,IF(AND($Y85&lt;&gt;"",EDATE($D85,Milestones!$AA$82)&gt;=$Y85),$AB85,$AA85)))=Milestones!$AB$82),UPPER(TEXT(EDATE($D85,Milestones!$AA$82),"dd mmm yy"))&amp;" "&amp;Milestones!$AB$82&amp;" "&amp;IF(AND(Milestones!$AB$82="FT",Milestones!$AA$82=FT_Y5,EDATE($D85,Milestones!$AA$82)&lt;PolicyEff),1,Milestones!$AC$82)&amp;";  ","")&amp;IF(AND(EDATE($D85,Milestones!$AA$83)&lt;=AsOfDate,EDATE($D85,Milestones!$AA$83)&gt;=SchemeStart,IF($X85=0,$AD85,IF(AND($Z85&lt;&gt;"",EDATE($D85,Milestones!$AA$83)&gt;=$Z85),$AC85,IF(AND($Y85&lt;&gt;"",EDATE($D85,Milestones!$AA$83)&gt;=$Y85),$AB85,$AA85)))=Milestones!$AB$83),UPPER(TEXT(EDATE($D85,Milestones!$AA$83),"dd mmm yy"))&amp;" "&amp;Milestones!$AB$83&amp;" "&amp;IF(AND(Milestones!$AB$83="FT",Milestones!$AA$83=FT_Y5,EDATE($D85,Milestones!$AA$83)&lt;PolicyEff),1,Milestones!$AC$83)&amp;";  ","")&amp;IF(AND(EDATE($D85,Milestones!$AA$84)&lt;=AsOfDate,EDATE($D85,Milestones!$AA$84)&gt;=SchemeStart,IF($X85=0,$AD85,IF(AND($Z85&lt;&gt;"",EDATE($D85,Milestones!$AA$84)&gt;=$Z85),$AC85,IF(AND($Y85&lt;&gt;"",EDATE($D85,Milestones!$AA$84)&gt;=$Y85),$AB85,$AA85)))=Milestones!$AB$84),UPPER(TEXT(EDATE($D85,Milestones!$AA$84),"dd mmm yy"))&amp;" "&amp;Milestones!$AB$84&amp;" "&amp;IF(AND(Milestones!$AB$84="FT",Milestones!$AA$84=FT_Y5,EDATE($D85,Milestones!$AA$84)&lt;PolicyEff),1,Milestones!$AC$84)&amp;";  ","")&amp;IF(AND(EDATE($D85,Milestones!$AA$85)&lt;=AsOfDate,EDATE($D85,Milestones!$AA$85)&gt;=SchemeStart,IF($X85=0,$AD85,IF(AND($Z85&lt;&gt;"",EDATE($D85,Milestones!$AA$85)&gt;=$Z85),$AC85,IF(AND($Y85&lt;&gt;"",EDATE($D85,Milestones!$AA$85)&gt;=$Y85),$AB85,$AA85)))=Milestones!$AB$85),UPPER(TEXT(EDATE($D85,Milestones!$AA$85),"dd mmm yy"))&amp;" "&amp;Milestones!$AB$85&amp;" "&amp;IF(AND(Milestones!$AB$85="FT",Milestones!$AA$85=FT_Y5,EDATE($D85,Milestones!$AA$85)&lt;PolicyEff),1,Milestones!$AC$85)&amp;";  ","")&amp;IF(AND(EDATE($D85,Milestones!$AA$86)&lt;=AsOfDate,EDATE($D85,Milestones!$AA$86)&gt;=SchemeStart,IF($X85=0,$AD85,IF(AND($Z85&lt;&gt;"",EDATE($D85,Milestones!$AA$86)&gt;=$Z85),$AC85,IF(AND($Y85&lt;&gt;"",EDATE($D85,Milestones!$AA$86)&gt;=$Y85),$AB85,$AA85)))=Milestones!$AB$86),UPPER(TEXT(EDATE($D85,Milestones!$AA$86),"dd mmm yy"))&amp;" "&amp;Milestones!$AB$86&amp;" "&amp;IF(AND(Milestones!$AB$86="FT",Milestones!$AA$86=FT_Y5,EDATE($D85,Milestones!$AA$86)&lt;PolicyEff),1,Milestones!$AC$86)&amp;";  ","")&amp;IF(AND(EDATE($D85,Milestones!$AA$87)&lt;=AsOfDate,EDATE($D85,Milestones!$AA$87)&gt;=SchemeStart,IF($X85=0,$AD85,IF(AND($Z85&lt;&gt;"",EDATE($D85,Milestones!$AA$87)&gt;=$Z85),$AC85,IF(AND($Y85&lt;&gt;"",EDATE($D85,Milestones!$AA$87)&gt;=$Y85),$AB85,$AA85)))=Milestones!$AB$87),UPPER(TEXT(EDATE($D85,Milestones!$AA$87),"dd mmm yy"))&amp;" "&amp;Milestones!$AB$87&amp;" "&amp;IF(AND(Milestones!$AB$87="FT",Milestones!$AA$87=FT_Y5,EDATE($D85,Milestones!$AA$87)&lt;PolicyEff),1,Milestones!$AC$87)&amp;";  ","")&amp;IF(AND(EDATE($D85,Milestones!$AA$88)&lt;=AsOfDate,EDATE($D85,Milestones!$AA$88)&gt;=SchemeStart,IF($X85=0,$AD85,IF(AND($Z85&lt;&gt;"",EDATE($D85,Milestones!$AA$88)&gt;=$Z85),$AC85,IF(AND($Y85&lt;&gt;"",EDATE($D85,Milestones!$AA$88)&gt;=$Y85),$AB85,$AA85)))=Milestones!$AB$88),UPPER(TEXT(EDATE($D85,Milestones!$AA$88),"dd mmm yy"))&amp;" "&amp;Milestones!$AB$88&amp;" "&amp;IF(AND(Milestones!$AB$88="FT",Milestones!$AA$88=FT_Y5,EDATE($D85,Milestones!$AA$88)&lt;PolicyEff),1,Milestones!$AC$88)&amp;";  ","")&amp;IF(AND(EDATE($D85,Milestones!$AA$89)&lt;=AsOfDate,EDATE($D85,Milestones!$AA$89)&gt;=SchemeStart,IF($X85=0,$AD85,IF(AND($Z85&lt;&gt;"",EDATE($D85,Milestones!$AA$89)&gt;=$Z85),$AC85,IF(AND($Y85&lt;&gt;"",EDATE($D85,Milestones!$AA$89)&gt;=$Y85),$AB85,$AA85)))=Milestones!$AB$89),UPPER(TEXT(EDATE($D85,Milestones!$AA$89),"dd mmm yy"))&amp;" "&amp;Milestones!$AB$89&amp;" "&amp;IF(AND(Milestones!$AB$89="FT",Milestones!$AA$89=FT_Y5,EDATE($D85,Milestones!$AA$89)&lt;PolicyEff),1,Milestones!$AC$89)&amp;";  ","")&amp;IF(AND(EDATE($D85,Milestones!$AA$90)&lt;=AsOfDate,EDATE($D85,Milestones!$AA$90)&gt;=SchemeStart,IF($X85=0,$AD85,IF(AND($Z85&lt;&gt;"",EDATE($D85,Milestones!$AA$90)&gt;=$Z85),$AC85,IF(AND($Y85&lt;&gt;"",EDATE($D85,Milestones!$AA$90)&gt;=$Y85),$AB85,$AA85)))=Milestones!$AB$90),UPPER(TEXT(EDATE($D85,Milestones!$AA$90),"dd mmm yy"))&amp;" "&amp;Milestones!$AB$90&amp;" "&amp;IF(AND(Milestones!$AB$90="FT",Milestones!$AA$90=FT_Y5,EDATE($D85,Milestones!$AA$90)&lt;PolicyEff),1,Milestones!$AC$90)&amp;";  ","")&amp;IF(AND(EDATE($D85,Milestones!$AA$91)&lt;=AsOfDate,EDATE($D85,Milestones!$AA$91)&gt;=SchemeStart,IF($X85=0,$AD85,IF(AND($Z85&lt;&gt;"",EDATE($D85,Milestones!$AA$91)&gt;=$Z85),$AC85,IF(AND($Y85&lt;&gt;"",EDATE($D85,Milestones!$AA$91)&gt;=$Y85),$AB85,$AA85)))=Milestones!$AB$91),UPPER(TEXT(EDATE($D85,Milestones!$AA$91),"dd mmm yy"))&amp;" "&amp;Milestones!$AB$91&amp;" "&amp;IF(AND(Milestones!$AB$91="FT",Milestones!$AA$91=FT_Y5,EDATE($D85,Milestones!$AA$91)&lt;PolicyEff),1,Milestones!$AC$91)&amp;";  ",""))</f>
        <v/>
      </c>
      <c r="O85" s="0" t="str">
        <f aca="false">IF(OR($A85="",$D85=""),"",IF(AND(EDATE($D85,Milestones!$AA$92)&lt;=AsOfDate,EDATE($D85,Milestones!$AA$92)&gt;=SchemeStart,IF($X85=0,$AD85,IF(AND($Z85&lt;&gt;"",EDATE($D85,Milestones!$AA$92)&gt;=$Z85),$AC85,IF(AND($Y85&lt;&gt;"",EDATE($D85,Milestones!$AA$92)&gt;=$Y85),$AB85,$AA85)))=Milestones!$AB$92),UPPER(TEXT(EDATE($D85,Milestones!$AA$92),"dd mmm yy"))&amp;" "&amp;Milestones!$AB$92&amp;" "&amp;IF(AND(Milestones!$AB$92="FT",Milestones!$AA$92=FT_Y5,EDATE($D85,Milestones!$AA$92)&lt;PolicyEff),1,Milestones!$AC$92)&amp;";  ","")&amp;IF(AND(EDATE($D85,Milestones!$AA$93)&lt;=AsOfDate,EDATE($D85,Milestones!$AA$93)&gt;=SchemeStart,IF($X85=0,$AD85,IF(AND($Z85&lt;&gt;"",EDATE($D85,Milestones!$AA$93)&gt;=$Z85),$AC85,IF(AND($Y85&lt;&gt;"",EDATE($D85,Milestones!$AA$93)&gt;=$Y85),$AB85,$AA85)))=Milestones!$AB$93),UPPER(TEXT(EDATE($D85,Milestones!$AA$93),"dd mmm yy"))&amp;" "&amp;Milestones!$AB$93&amp;" "&amp;IF(AND(Milestones!$AB$93="FT",Milestones!$AA$93=FT_Y5,EDATE($D85,Milestones!$AA$93)&lt;PolicyEff),1,Milestones!$AC$93)&amp;";  ","")&amp;IF(AND(EDATE($D85,Milestones!$AA$94)&lt;=AsOfDate,EDATE($D85,Milestones!$AA$94)&gt;=SchemeStart,IF($X85=0,$AD85,IF(AND($Z85&lt;&gt;"",EDATE($D85,Milestones!$AA$94)&gt;=$Z85),$AC85,IF(AND($Y85&lt;&gt;"",EDATE($D85,Milestones!$AA$94)&gt;=$Y85),$AB85,$AA85)))=Milestones!$AB$94),UPPER(TEXT(EDATE($D85,Milestones!$AA$94),"dd mmm yy"))&amp;" "&amp;Milestones!$AB$94&amp;" "&amp;IF(AND(Milestones!$AB$94="FT",Milestones!$AA$94=FT_Y5,EDATE($D85,Milestones!$AA$94)&lt;PolicyEff),1,Milestones!$AC$94)&amp;";  ","")&amp;IF(AND(EDATE($D85,Milestones!$AA$95)&lt;=AsOfDate,EDATE($D85,Milestones!$AA$95)&gt;=SchemeStart,IF($X85=0,$AD85,IF(AND($Z85&lt;&gt;"",EDATE($D85,Milestones!$AA$95)&gt;=$Z85),$AC85,IF(AND($Y85&lt;&gt;"",EDATE($D85,Milestones!$AA$95)&gt;=$Y85),$AB85,$AA85)))=Milestones!$AB$95),UPPER(TEXT(EDATE($D85,Milestones!$AA$95),"dd mmm yy"))&amp;" "&amp;Milestones!$AB$95&amp;" "&amp;IF(AND(Milestones!$AB$95="FT",Milestones!$AA$95=FT_Y5,EDATE($D85,Milestones!$AA$95)&lt;PolicyEff),1,Milestones!$AC$95)&amp;";  ","")&amp;IF(AND(EDATE($D85,Milestones!$AA$96)&lt;=AsOfDate,EDATE($D85,Milestones!$AA$96)&gt;=SchemeStart,IF($X85=0,$AD85,IF(AND($Z85&lt;&gt;"",EDATE($D85,Milestones!$AA$96)&gt;=$Z85),$AC85,IF(AND($Y85&lt;&gt;"",EDATE($D85,Milestones!$AA$96)&gt;=$Y85),$AB85,$AA85)))=Milestones!$AB$96),UPPER(TEXT(EDATE($D85,Milestones!$AA$96),"dd mmm yy"))&amp;" "&amp;Milestones!$AB$96&amp;" "&amp;IF(AND(Milestones!$AB$96="FT",Milestones!$AA$96=FT_Y5,EDATE($D85,Milestones!$AA$96)&lt;PolicyEff),1,Milestones!$AC$96)&amp;";  ","")&amp;IF(AND(EDATE($D85,Milestones!$AA$97)&lt;=AsOfDate,EDATE($D85,Milestones!$AA$97)&gt;=SchemeStart,IF($X85=0,$AD85,IF(AND($Z85&lt;&gt;"",EDATE($D85,Milestones!$AA$97)&gt;=$Z85),$AC85,IF(AND($Y85&lt;&gt;"",EDATE($D85,Milestones!$AA$97)&gt;=$Y85),$AB85,$AA85)))=Milestones!$AB$97),UPPER(TEXT(EDATE($D85,Milestones!$AA$97),"dd mmm yy"))&amp;" "&amp;Milestones!$AB$97&amp;" "&amp;IF(AND(Milestones!$AB$97="FT",Milestones!$AA$97=FT_Y5,EDATE($D85,Milestones!$AA$97)&lt;PolicyEff),1,Milestones!$AC$97)&amp;";  ","")&amp;IF(AND(EDATE($D85,Milestones!$AA$98)&lt;=AsOfDate,EDATE($D85,Milestones!$AA$98)&gt;=SchemeStart,IF($X85=0,$AD85,IF(AND($Z85&lt;&gt;"",EDATE($D85,Milestones!$AA$98)&gt;=$Z85),$AC85,IF(AND($Y85&lt;&gt;"",EDATE($D85,Milestones!$AA$98)&gt;=$Y85),$AB85,$AA85)))=Milestones!$AB$98),UPPER(TEXT(EDATE($D85,Milestones!$AA$98),"dd mmm yy"))&amp;" "&amp;Milestones!$AB$98&amp;" "&amp;IF(AND(Milestones!$AB$98="FT",Milestones!$AA$98=FT_Y5,EDATE($D85,Milestones!$AA$98)&lt;PolicyEff),1,Milestones!$AC$98)&amp;";  ","")&amp;IF(AND(EDATE($D85,Milestones!$AA$99)&lt;=AsOfDate,EDATE($D85,Milestones!$AA$99)&gt;=SchemeStart,IF($X85=0,$AD85,IF(AND($Z85&lt;&gt;"",EDATE($D85,Milestones!$AA$99)&gt;=$Z85),$AC85,IF(AND($Y85&lt;&gt;"",EDATE($D85,Milestones!$AA$99)&gt;=$Y85),$AB85,$AA85)))=Milestones!$AB$99),UPPER(TEXT(EDATE($D85,Milestones!$AA$99),"dd mmm yy"))&amp;" "&amp;Milestones!$AB$99&amp;" "&amp;IF(AND(Milestones!$AB$99="FT",Milestones!$AA$99=FT_Y5,EDATE($D85,Milestones!$AA$99)&lt;PolicyEff),1,Milestones!$AC$99)&amp;";  ","")&amp;IF(AND(EDATE($D85,Milestones!$AA$100)&lt;=AsOfDate,EDATE($D85,Milestones!$AA$100)&gt;=SchemeStart,IF($X85=0,$AD85,IF(AND($Z85&lt;&gt;"",EDATE($D85,Milestones!$AA$100)&gt;=$Z85),$AC85,IF(AND($Y85&lt;&gt;"",EDATE($D85,Milestones!$AA$100)&gt;=$Y85),$AB85,$AA85)))=Milestones!$AB$100),UPPER(TEXT(EDATE($D85,Milestones!$AA$100),"dd mmm yy"))&amp;" "&amp;Milestones!$AB$100&amp;" "&amp;IF(AND(Milestones!$AB$100="FT",Milestones!$AA$100=FT_Y5,EDATE($D85,Milestones!$AA$100)&lt;PolicyEff),1,Milestones!$AC$100)&amp;";  ","")&amp;IF(AND(EDATE($D85,Milestones!$AA$101)&lt;=AsOfDate,EDATE($D85,Milestones!$AA$101)&gt;=SchemeStart,IF($X85=0,$AD85,IF(AND($Z85&lt;&gt;"",EDATE($D85,Milestones!$AA$101)&gt;=$Z85),$AC85,IF(AND($Y85&lt;&gt;"",EDATE($D85,Milestones!$AA$101)&gt;=$Y85),$AB85,$AA85)))=Milestones!$AB$101),UPPER(TEXT(EDATE($D85,Milestones!$AA$101),"dd mmm yy"))&amp;" "&amp;Milestones!$AB$101&amp;" "&amp;IF(AND(Milestones!$AB$101="FT",Milestones!$AA$101=FT_Y5,EDATE($D85,Milestones!$AA$101)&lt;PolicyEff),1,Milestones!$AC$101)&amp;";  ","")&amp;IF(AND(EDATE($D85,Milestones!$AA$102)&lt;=AsOfDate,EDATE($D85,Milestones!$AA$102)&gt;=SchemeStart,IF($X85=0,$AD85,IF(AND($Z85&lt;&gt;"",EDATE($D85,Milestones!$AA$102)&gt;=$Z85),$AC85,IF(AND($Y85&lt;&gt;"",EDATE($D85,Milestones!$AA$102)&gt;=$Y85),$AB85,$AA85)))=Milestones!$AB$102),UPPER(TEXT(EDATE($D85,Milestones!$AA$102),"dd mmm yy"))&amp;" "&amp;Milestones!$AB$102&amp;" "&amp;IF(AND(Milestones!$AB$102="FT",Milestones!$AA$102=FT_Y5,EDATE($D85,Milestones!$AA$102)&lt;PolicyEff),1,Milestones!$AC$102)&amp;";  ","")&amp;IF(AND(EDATE($D85,Milestones!$AA$103)&lt;=AsOfDate,EDATE($D85,Milestones!$AA$103)&gt;=SchemeStart,IF($X85=0,$AD85,IF(AND($Z85&lt;&gt;"",EDATE($D85,Milestones!$AA$103)&gt;=$Z85),$AC85,IF(AND($Y85&lt;&gt;"",EDATE($D85,Milestones!$AA$103)&gt;=$Y85),$AB85,$AA85)))=Milestones!$AB$103),UPPER(TEXT(EDATE($D85,Milestones!$AA$103),"dd mmm yy"))&amp;" "&amp;Milestones!$AB$103&amp;" "&amp;IF(AND(Milestones!$AB$103="FT",Milestones!$AA$103=FT_Y5,EDATE($D85,Milestones!$AA$103)&lt;PolicyEff),1,Milestones!$AC$103)&amp;";  ",""))</f>
        <v/>
      </c>
      <c r="P85" s="0" t="str">
        <f aca="false">IF(OR($A85="",$D85=""),"",IF(AND(EDATE($D85,Milestones!$AA$104)&lt;=AsOfDate,EDATE($D85,Milestones!$AA$104)&gt;=SchemeStart,IF($X85=0,$AD85,IF(AND($Z85&lt;&gt;"",EDATE($D85,Milestones!$AA$104)&gt;=$Z85),$AC85,IF(AND($Y85&lt;&gt;"",EDATE($D85,Milestones!$AA$104)&gt;=$Y85),$AB85,$AA85)))=Milestones!$AB$104),UPPER(TEXT(EDATE($D85,Milestones!$AA$104),"dd mmm yy"))&amp;" "&amp;Milestones!$AB$104&amp;" "&amp;IF(AND(Milestones!$AB$104="FT",Milestones!$AA$104=FT_Y5,EDATE($D85,Milestones!$AA$104)&lt;PolicyEff),1,Milestones!$AC$104)&amp;";  ","")&amp;IF(AND(EDATE($D85,Milestones!$AA$105)&lt;=AsOfDate,EDATE($D85,Milestones!$AA$105)&gt;=SchemeStart,IF($X85=0,$AD85,IF(AND($Z85&lt;&gt;"",EDATE($D85,Milestones!$AA$105)&gt;=$Z85),$AC85,IF(AND($Y85&lt;&gt;"",EDATE($D85,Milestones!$AA$105)&gt;=$Y85),$AB85,$AA85)))=Milestones!$AB$105),UPPER(TEXT(EDATE($D85,Milestones!$AA$105),"dd mmm yy"))&amp;" "&amp;Milestones!$AB$105&amp;" "&amp;IF(AND(Milestones!$AB$105="FT",Milestones!$AA$105=FT_Y5,EDATE($D85,Milestones!$AA$105)&lt;PolicyEff),1,Milestones!$AC$105)&amp;";  ","")&amp;IF(AND(EDATE($D85,Milestones!$AA$106)&lt;=AsOfDate,EDATE($D85,Milestones!$AA$106)&gt;=SchemeStart,IF($X85=0,$AD85,IF(AND($Z85&lt;&gt;"",EDATE($D85,Milestones!$AA$106)&gt;=$Z85),$AC85,IF(AND($Y85&lt;&gt;"",EDATE($D85,Milestones!$AA$106)&gt;=$Y85),$AB85,$AA85)))=Milestones!$AB$106),UPPER(TEXT(EDATE($D85,Milestones!$AA$106),"dd mmm yy"))&amp;" "&amp;Milestones!$AB$106&amp;" "&amp;IF(AND(Milestones!$AB$106="FT",Milestones!$AA$106=FT_Y5,EDATE($D85,Milestones!$AA$106)&lt;PolicyEff),1,Milestones!$AC$106)&amp;";  ","")&amp;IF(AND(EDATE($D85,Milestones!$AA$107)&lt;=AsOfDate,EDATE($D85,Milestones!$AA$107)&gt;=SchemeStart,IF($X85=0,$AD85,IF(AND($Z85&lt;&gt;"",EDATE($D85,Milestones!$AA$107)&gt;=$Z85),$AC85,IF(AND($Y85&lt;&gt;"",EDATE($D85,Milestones!$AA$107)&gt;=$Y85),$AB85,$AA85)))=Milestones!$AB$107),UPPER(TEXT(EDATE($D85,Milestones!$AA$107),"dd mmm yy"))&amp;" "&amp;Milestones!$AB$107&amp;" "&amp;IF(AND(Milestones!$AB$107="FT",Milestones!$AA$107=FT_Y5,EDATE($D85,Milestones!$AA$107)&lt;PolicyEff),1,Milestones!$AC$107)&amp;";  ","")&amp;IF(AND(EDATE($D85,Milestones!$AA$108)&lt;=AsOfDate,EDATE($D85,Milestones!$AA$108)&gt;=SchemeStart,IF($X85=0,$AD85,IF(AND($Z85&lt;&gt;"",EDATE($D85,Milestones!$AA$108)&gt;=$Z85),$AC85,IF(AND($Y85&lt;&gt;"",EDATE($D85,Milestones!$AA$108)&gt;=$Y85),$AB85,$AA85)))=Milestones!$AB$108),UPPER(TEXT(EDATE($D85,Milestones!$AA$108),"dd mmm yy"))&amp;" "&amp;Milestones!$AB$108&amp;" "&amp;IF(AND(Milestones!$AB$108="FT",Milestones!$AA$108=FT_Y5,EDATE($D85,Milestones!$AA$108)&lt;PolicyEff),1,Milestones!$AC$108)&amp;";  ","")&amp;IF(AND(EDATE($D85,Milestones!$AA$109)&lt;=AsOfDate,EDATE($D85,Milestones!$AA$109)&gt;=SchemeStart,IF($X85=0,$AD85,IF(AND($Z85&lt;&gt;"",EDATE($D85,Milestones!$AA$109)&gt;=$Z85),$AC85,IF(AND($Y85&lt;&gt;"",EDATE($D85,Milestones!$AA$109)&gt;=$Y85),$AB85,$AA85)))=Milestones!$AB$109),UPPER(TEXT(EDATE($D85,Milestones!$AA$109),"dd mmm yy"))&amp;" "&amp;Milestones!$AB$109&amp;" "&amp;IF(AND(Milestones!$AB$109="FT",Milestones!$AA$109=FT_Y5,EDATE($D85,Milestones!$AA$109)&lt;PolicyEff),1,Milestones!$AC$109)&amp;";  ","")&amp;IF(AND(EDATE($D85,Milestones!$AA$110)&lt;=AsOfDate,EDATE($D85,Milestones!$AA$110)&gt;=SchemeStart,IF($X85=0,$AD85,IF(AND($Z85&lt;&gt;"",EDATE($D85,Milestones!$AA$110)&gt;=$Z85),$AC85,IF(AND($Y85&lt;&gt;"",EDATE($D85,Milestones!$AA$110)&gt;=$Y85),$AB85,$AA85)))=Milestones!$AB$110),UPPER(TEXT(EDATE($D85,Milestones!$AA$110),"dd mmm yy"))&amp;" "&amp;Milestones!$AB$110&amp;" "&amp;IF(AND(Milestones!$AB$110="FT",Milestones!$AA$110=FT_Y5,EDATE($D85,Milestones!$AA$110)&lt;PolicyEff),1,Milestones!$AC$110)&amp;";  ","")&amp;IF(AND(EDATE($D85,Milestones!$AA$111)&lt;=AsOfDate,EDATE($D85,Milestones!$AA$111)&gt;=SchemeStart,IF($X85=0,$AD85,IF(AND($Z85&lt;&gt;"",EDATE($D85,Milestones!$AA$111)&gt;=$Z85),$AC85,IF(AND($Y85&lt;&gt;"",EDATE($D85,Milestones!$AA$111)&gt;=$Y85),$AB85,$AA85)))=Milestones!$AB$111),UPPER(TEXT(EDATE($D85,Milestones!$AA$111),"dd mmm yy"))&amp;" "&amp;Milestones!$AB$111&amp;" "&amp;IF(AND(Milestones!$AB$111="FT",Milestones!$AA$111=FT_Y5,EDATE($D85,Milestones!$AA$111)&lt;PolicyEff),1,Milestones!$AC$111)&amp;";  ","")&amp;IF(AND(EDATE($D85,Milestones!$AA$112)&lt;=AsOfDate,EDATE($D85,Milestones!$AA$112)&gt;=SchemeStart,IF($X85=0,$AD85,IF(AND($Z85&lt;&gt;"",EDATE($D85,Milestones!$AA$112)&gt;=$Z85),$AC85,IF(AND($Y85&lt;&gt;"",EDATE($D85,Milestones!$AA$112)&gt;=$Y85),$AB85,$AA85)))=Milestones!$AB$112),UPPER(TEXT(EDATE($D85,Milestones!$AA$112),"dd mmm yy"))&amp;" "&amp;Milestones!$AB$112&amp;" "&amp;IF(AND(Milestones!$AB$112="FT",Milestones!$AA$112=FT_Y5,EDATE($D85,Milestones!$AA$112)&lt;PolicyEff),1,Milestones!$AC$112)&amp;";  ","")&amp;IF(AND(EDATE($D85,Milestones!$AA$113)&lt;=AsOfDate,EDATE($D85,Milestones!$AA$113)&gt;=SchemeStart,IF($X85=0,$AD85,IF(AND($Z85&lt;&gt;"",EDATE($D85,Milestones!$AA$113)&gt;=$Z85),$AC85,IF(AND($Y85&lt;&gt;"",EDATE($D85,Milestones!$AA$113)&gt;=$Y85),$AB85,$AA85)))=Milestones!$AB$113),UPPER(TEXT(EDATE($D85,Milestones!$AA$113),"dd mmm yy"))&amp;" "&amp;Milestones!$AB$113&amp;" "&amp;IF(AND(Milestones!$AB$113="FT",Milestones!$AA$113=FT_Y5,EDATE($D85,Milestones!$AA$113)&lt;PolicyEff),1,Milestones!$AC$113)&amp;";  ","")&amp;IF(AND(EDATE($D85,Milestones!$AA$114)&lt;=AsOfDate,EDATE($D85,Milestones!$AA$114)&gt;=SchemeStart,IF($X85=0,$AD85,IF(AND($Z85&lt;&gt;"",EDATE($D85,Milestones!$AA$114)&gt;=$Z85),$AC85,IF(AND($Y85&lt;&gt;"",EDATE($D85,Milestones!$AA$114)&gt;=$Y85),$AB85,$AA85)))=Milestones!$AB$114),UPPER(TEXT(EDATE($D85,Milestones!$AA$114),"dd mmm yy"))&amp;" "&amp;Milestones!$AB$114&amp;" "&amp;IF(AND(Milestones!$AB$114="FT",Milestones!$AA$114=FT_Y5,EDATE($D85,Milestones!$AA$114)&lt;PolicyEff),1,Milestones!$AC$114)&amp;";  ","")&amp;IF(AND(EDATE($D85,Milestones!$AA$115)&lt;=AsOfDate,EDATE($D85,Milestones!$AA$115)&gt;=SchemeStart,IF($X85=0,$AD85,IF(AND($Z85&lt;&gt;"",EDATE($D85,Milestones!$AA$115)&gt;=$Z85),$AC85,IF(AND($Y85&lt;&gt;"",EDATE($D85,Milestones!$AA$115)&gt;=$Y85),$AB85,$AA85)))=Milestones!$AB$115),UPPER(TEXT(EDATE($D85,Milestones!$AA$115),"dd mmm yy"))&amp;" "&amp;Milestones!$AB$115&amp;" "&amp;IF(AND(Milestones!$AB$115="FT",Milestones!$AA$115=FT_Y5,EDATE($D85,Milestones!$AA$115)&lt;PolicyEff),1,Milestones!$AC$115)&amp;";  ",""))</f>
        <v/>
      </c>
      <c r="Q85" s="0" t="str">
        <f aca="false">IF(OR($A85="",$D85=""),"",IF(AND(EDATE($D85,Milestones!$AA$116)&lt;=AsOfDate,EDATE($D85,Milestones!$AA$116)&gt;=SchemeStart,IF($X85=0,$AD85,IF(AND($Z85&lt;&gt;"",EDATE($D85,Milestones!$AA$116)&gt;=$Z85),$AC85,IF(AND($Y85&lt;&gt;"",EDATE($D85,Milestones!$AA$116)&gt;=$Y85),$AB85,$AA85)))=Milestones!$AB$116),UPPER(TEXT(EDATE($D85,Milestones!$AA$116),"dd mmm yy"))&amp;" "&amp;Milestones!$AB$116&amp;" "&amp;IF(AND(Milestones!$AB$116="FT",Milestones!$AA$116=FT_Y5,EDATE($D85,Milestones!$AA$116)&lt;PolicyEff),1,Milestones!$AC$116)&amp;";  ","")&amp;IF(AND(EDATE($D85,Milestones!$AA$117)&lt;=AsOfDate,EDATE($D85,Milestones!$AA$117)&gt;=SchemeStart,IF($X85=0,$AD85,IF(AND($Z85&lt;&gt;"",EDATE($D85,Milestones!$AA$117)&gt;=$Z85),$AC85,IF(AND($Y85&lt;&gt;"",EDATE($D85,Milestones!$AA$117)&gt;=$Y85),$AB85,$AA85)))=Milestones!$AB$117),UPPER(TEXT(EDATE($D85,Milestones!$AA$117),"dd mmm yy"))&amp;" "&amp;Milestones!$AB$117&amp;" "&amp;IF(AND(Milestones!$AB$117="FT",Milestones!$AA$117=FT_Y5,EDATE($D85,Milestones!$AA$117)&lt;PolicyEff),1,Milestones!$AC$117)&amp;";  ","")&amp;IF(AND(EDATE($D85,Milestones!$AA$118)&lt;=AsOfDate,EDATE($D85,Milestones!$AA$118)&gt;=SchemeStart,IF($X85=0,$AD85,IF(AND($Z85&lt;&gt;"",EDATE($D85,Milestones!$AA$118)&gt;=$Z85),$AC85,IF(AND($Y85&lt;&gt;"",EDATE($D85,Milestones!$AA$118)&gt;=$Y85),$AB85,$AA85)))=Milestones!$AB$118),UPPER(TEXT(EDATE($D85,Milestones!$AA$118),"dd mmm yy"))&amp;" "&amp;Milestones!$AB$118&amp;" "&amp;IF(AND(Milestones!$AB$118="FT",Milestones!$AA$118=FT_Y5,EDATE($D85,Milestones!$AA$118)&lt;PolicyEff),1,Milestones!$AC$118)&amp;";  ","")&amp;IF(AND(EDATE($D85,Milestones!$AA$119)&lt;=AsOfDate,EDATE($D85,Milestones!$AA$119)&gt;=SchemeStart,IF($X85=0,$AD85,IF(AND($Z85&lt;&gt;"",EDATE($D85,Milestones!$AA$119)&gt;=$Z85),$AC85,IF(AND($Y85&lt;&gt;"",EDATE($D85,Milestones!$AA$119)&gt;=$Y85),$AB85,$AA85)))=Milestones!$AB$119),UPPER(TEXT(EDATE($D85,Milestones!$AA$119),"dd mmm yy"))&amp;" "&amp;Milestones!$AB$119&amp;" "&amp;IF(AND(Milestones!$AB$119="FT",Milestones!$AA$119=FT_Y5,EDATE($D85,Milestones!$AA$119)&lt;PolicyEff),1,Milestones!$AC$119)&amp;";  ","")&amp;IF(AND(EDATE($D85,Milestones!$AA$120)&lt;=AsOfDate,EDATE($D85,Milestones!$AA$120)&gt;=SchemeStart,IF($X85=0,$AD85,IF(AND($Z85&lt;&gt;"",EDATE($D85,Milestones!$AA$120)&gt;=$Z85),$AC85,IF(AND($Y85&lt;&gt;"",EDATE($D85,Milestones!$AA$120)&gt;=$Y85),$AB85,$AA85)))=Milestones!$AB$120),UPPER(TEXT(EDATE($D85,Milestones!$AA$120),"dd mmm yy"))&amp;" "&amp;Milestones!$AB$120&amp;" "&amp;IF(AND(Milestones!$AB$120="FT",Milestones!$AA$120=FT_Y5,EDATE($D85,Milestones!$AA$120)&lt;PolicyEff),1,Milestones!$AC$120)&amp;";  ","")&amp;IF(AND(EDATE($D85,Milestones!$AA$121)&lt;=AsOfDate,EDATE($D85,Milestones!$AA$121)&gt;=SchemeStart,IF($X85=0,$AD85,IF(AND($Z85&lt;&gt;"",EDATE($D85,Milestones!$AA$121)&gt;=$Z85),$AC85,IF(AND($Y85&lt;&gt;"",EDATE($D85,Milestones!$AA$121)&gt;=$Y85),$AB85,$AA85)))=Milestones!$AB$121),UPPER(TEXT(EDATE($D85,Milestones!$AA$121),"dd mmm yy"))&amp;" "&amp;Milestones!$AB$121&amp;" "&amp;IF(AND(Milestones!$AB$121="FT",Milestones!$AA$121=FT_Y5,EDATE($D85,Milestones!$AA$121)&lt;PolicyEff),1,Milestones!$AC$121)&amp;";  ","")&amp;IF(AND(EDATE($D85,Milestones!$AA$122)&lt;=AsOfDate,EDATE($D85,Milestones!$AA$122)&gt;=SchemeStart,IF($X85=0,$AD85,IF(AND($Z85&lt;&gt;"",EDATE($D85,Milestones!$AA$122)&gt;=$Z85),$AC85,IF(AND($Y85&lt;&gt;"",EDATE($D85,Milestones!$AA$122)&gt;=$Y85),$AB85,$AA85)))=Milestones!$AB$122),UPPER(TEXT(EDATE($D85,Milestones!$AA$122),"dd mmm yy"))&amp;" "&amp;Milestones!$AB$122&amp;" "&amp;IF(AND(Milestones!$AB$122="FT",Milestones!$AA$122=FT_Y5,EDATE($D85,Milestones!$AA$122)&lt;PolicyEff),1,Milestones!$AC$122)&amp;";  ","")&amp;IF(AND(EDATE($D85,Milestones!$AA$123)&lt;=AsOfDate,EDATE($D85,Milestones!$AA$123)&gt;=SchemeStart,IF($X85=0,$AD85,IF(AND($Z85&lt;&gt;"",EDATE($D85,Milestones!$AA$123)&gt;=$Z85),$AC85,IF(AND($Y85&lt;&gt;"",EDATE($D85,Milestones!$AA$123)&gt;=$Y85),$AB85,$AA85)))=Milestones!$AB$123),UPPER(TEXT(EDATE($D85,Milestones!$AA$123),"dd mmm yy"))&amp;" "&amp;Milestones!$AB$123&amp;" "&amp;IF(AND(Milestones!$AB$123="FT",Milestones!$AA$123=FT_Y5,EDATE($D85,Milestones!$AA$123)&lt;PolicyEff),1,Milestones!$AC$123)&amp;";  ","")&amp;IF(AND(EDATE($D85,Milestones!$AA$124)&lt;=AsOfDate,EDATE($D85,Milestones!$AA$124)&gt;=SchemeStart,IF($X85=0,$AD85,IF(AND($Z85&lt;&gt;"",EDATE($D85,Milestones!$AA$124)&gt;=$Z85),$AC85,IF(AND($Y85&lt;&gt;"",EDATE($D85,Milestones!$AA$124)&gt;=$Y85),$AB85,$AA85)))=Milestones!$AB$124),UPPER(TEXT(EDATE($D85,Milestones!$AA$124),"dd mmm yy"))&amp;" "&amp;Milestones!$AB$124&amp;" "&amp;IF(AND(Milestones!$AB$124="FT",Milestones!$AA$124=FT_Y5,EDATE($D85,Milestones!$AA$124)&lt;PolicyEff),1,Milestones!$AC$124)&amp;";  ","")&amp;IF(AND(EDATE($D85,Milestones!$AA$125)&lt;=AsOfDate,EDATE($D85,Milestones!$AA$125)&gt;=SchemeStart,IF($X85=0,$AD85,IF(AND($Z85&lt;&gt;"",EDATE($D85,Milestones!$AA$125)&gt;=$Z85),$AC85,IF(AND($Y85&lt;&gt;"",EDATE($D85,Milestones!$AA$125)&gt;=$Y85),$AB85,$AA85)))=Milestones!$AB$125),UPPER(TEXT(EDATE($D85,Milestones!$AA$125),"dd mmm yy"))&amp;" "&amp;Milestones!$AB$125&amp;" "&amp;IF(AND(Milestones!$AB$125="FT",Milestones!$AA$125=FT_Y5,EDATE($D85,Milestones!$AA$125)&lt;PolicyEff),1,Milestones!$AC$125)&amp;";  ","")&amp;IF(AND(EDATE($D85,Milestones!$AA$126)&lt;=AsOfDate,EDATE($D85,Milestones!$AA$126)&gt;=SchemeStart,IF($X85=0,$AD85,IF(AND($Z85&lt;&gt;"",EDATE($D85,Milestones!$AA$126)&gt;=$Z85),$AC85,IF(AND($Y85&lt;&gt;"",EDATE($D85,Milestones!$AA$126)&gt;=$Y85),$AB85,$AA85)))=Milestones!$AB$126),UPPER(TEXT(EDATE($D85,Milestones!$AA$126),"dd mmm yy"))&amp;" "&amp;Milestones!$AB$126&amp;" "&amp;IF(AND(Milestones!$AB$126="FT",Milestones!$AA$126=FT_Y5,EDATE($D85,Milestones!$AA$126)&lt;PolicyEff),1,Milestones!$AC$126)&amp;";  ","")&amp;IF(AND(EDATE($D85,Milestones!$AA$127)&lt;=AsOfDate,EDATE($D85,Milestones!$AA$127)&gt;=SchemeStart,IF($X85=0,$AD85,IF(AND($Z85&lt;&gt;"",EDATE($D85,Milestones!$AA$127)&gt;=$Z85),$AC85,IF(AND($Y85&lt;&gt;"",EDATE($D85,Milestones!$AA$127)&gt;=$Y85),$AB85,$AA85)))=Milestones!$AB$127),UPPER(TEXT(EDATE($D85,Milestones!$AA$127),"dd mmm yy"))&amp;" "&amp;Milestones!$AB$127&amp;" "&amp;IF(AND(Milestones!$AB$127="FT",Milestones!$AA$127=FT_Y5,EDATE($D85,Milestones!$AA$127)&lt;PolicyEff),1,Milestones!$AC$127)&amp;";  ",""))</f>
        <v/>
      </c>
      <c r="R85" s="0" t="str">
        <f aca="false">IF(OR($A85="",$D85=""),"",IF(AND(EDATE($D85,Milestones!$AA$128)&lt;=AsOfDate,EDATE($D85,Milestones!$AA$128)&gt;=SchemeStart,IF($X85=0,$AD85,IF(AND($Z85&lt;&gt;"",EDATE($D85,Milestones!$AA$128)&gt;=$Z85),$AC85,IF(AND($Y85&lt;&gt;"",EDATE($D85,Milestones!$AA$128)&gt;=$Y85),$AB85,$AA85)))=Milestones!$AB$128),UPPER(TEXT(EDATE($D85,Milestones!$AA$128),"dd mmm yy"))&amp;" "&amp;Milestones!$AB$128&amp;" "&amp;IF(AND(Milestones!$AB$128="FT",Milestones!$AA$128=FT_Y5,EDATE($D85,Milestones!$AA$128)&lt;PolicyEff),1,Milestones!$AC$128)&amp;";  ","")&amp;IF(AND(EDATE($D85,Milestones!$AA$129)&lt;=AsOfDate,EDATE($D85,Milestones!$AA$129)&gt;=SchemeStart,IF($X85=0,$AD85,IF(AND($Z85&lt;&gt;"",EDATE($D85,Milestones!$AA$129)&gt;=$Z85),$AC85,IF(AND($Y85&lt;&gt;"",EDATE($D85,Milestones!$AA$129)&gt;=$Y85),$AB85,$AA85)))=Milestones!$AB$129),UPPER(TEXT(EDATE($D85,Milestones!$AA$129),"dd mmm yy"))&amp;" "&amp;Milestones!$AB$129&amp;" "&amp;IF(AND(Milestones!$AB$129="FT",Milestones!$AA$129=FT_Y5,EDATE($D85,Milestones!$AA$129)&lt;PolicyEff),1,Milestones!$AC$129)&amp;";  ","")&amp;IF(AND(EDATE($D85,Milestones!$AA$130)&lt;=AsOfDate,EDATE($D85,Milestones!$AA$130)&gt;=SchemeStart,IF($X85=0,$AD85,IF(AND($Z85&lt;&gt;"",EDATE($D85,Milestones!$AA$130)&gt;=$Z85),$AC85,IF(AND($Y85&lt;&gt;"",EDATE($D85,Milestones!$AA$130)&gt;=$Y85),$AB85,$AA85)))=Milestones!$AB$130),UPPER(TEXT(EDATE($D85,Milestones!$AA$130),"dd mmm yy"))&amp;" "&amp;Milestones!$AB$130&amp;" "&amp;IF(AND(Milestones!$AB$130="FT",Milestones!$AA$130=FT_Y5,EDATE($D85,Milestones!$AA$130)&lt;PolicyEff),1,Milestones!$AC$130)&amp;";  ","")&amp;IF(AND(EDATE($D85,Milestones!$AA$131)&lt;=AsOfDate,EDATE($D85,Milestones!$AA$131)&gt;=SchemeStart,IF($X85=0,$AD85,IF(AND($Z85&lt;&gt;"",EDATE($D85,Milestones!$AA$131)&gt;=$Z85),$AC85,IF(AND($Y85&lt;&gt;"",EDATE($D85,Milestones!$AA$131)&gt;=$Y85),$AB85,$AA85)))=Milestones!$AB$131),UPPER(TEXT(EDATE($D85,Milestones!$AA$131),"dd mmm yy"))&amp;" "&amp;Milestones!$AB$131&amp;" "&amp;IF(AND(Milestones!$AB$131="FT",Milestones!$AA$131=FT_Y5,EDATE($D85,Milestones!$AA$131)&lt;PolicyEff),1,Milestones!$AC$131)&amp;";  ","")&amp;IF(AND(EDATE($D85,Milestones!$AA$132)&lt;=AsOfDate,EDATE($D85,Milestones!$AA$132)&gt;=SchemeStart,IF($X85=0,$AD85,IF(AND($Z85&lt;&gt;"",EDATE($D85,Milestones!$AA$132)&gt;=$Z85),$AC85,IF(AND($Y85&lt;&gt;"",EDATE($D85,Milestones!$AA$132)&gt;=$Y85),$AB85,$AA85)))=Milestones!$AB$132),UPPER(TEXT(EDATE($D85,Milestones!$AA$132),"dd mmm yy"))&amp;" "&amp;Milestones!$AB$132&amp;" "&amp;IF(AND(Milestones!$AB$132="FT",Milestones!$AA$132=FT_Y5,EDATE($D85,Milestones!$AA$132)&lt;PolicyEff),1,Milestones!$AC$132)&amp;";  ","")&amp;IF(AND(EDATE($D85,Milestones!$AA$133)&lt;=AsOfDate,EDATE($D85,Milestones!$AA$133)&gt;=SchemeStart,IF($X85=0,$AD85,IF(AND($Z85&lt;&gt;"",EDATE($D85,Milestones!$AA$133)&gt;=$Z85),$AC85,IF(AND($Y85&lt;&gt;"",EDATE($D85,Milestones!$AA$133)&gt;=$Y85),$AB85,$AA85)))=Milestones!$AB$133),UPPER(TEXT(EDATE($D85,Milestones!$AA$133),"dd mmm yy"))&amp;" "&amp;Milestones!$AB$133&amp;" "&amp;IF(AND(Milestones!$AB$133="FT",Milestones!$AA$133=FT_Y5,EDATE($D85,Milestones!$AA$133)&lt;PolicyEff),1,Milestones!$AC$133)&amp;";  ","")&amp;IF(AND(EDATE($D85,Milestones!$AA$134)&lt;=AsOfDate,EDATE($D85,Milestones!$AA$134)&gt;=SchemeStart,IF($X85=0,$AD85,IF(AND($Z85&lt;&gt;"",EDATE($D85,Milestones!$AA$134)&gt;=$Z85),$AC85,IF(AND($Y85&lt;&gt;"",EDATE($D85,Milestones!$AA$134)&gt;=$Y85),$AB85,$AA85)))=Milestones!$AB$134),UPPER(TEXT(EDATE($D85,Milestones!$AA$134),"dd mmm yy"))&amp;" "&amp;Milestones!$AB$134&amp;" "&amp;IF(AND(Milestones!$AB$134="FT",Milestones!$AA$134=FT_Y5,EDATE($D85,Milestones!$AA$134)&lt;PolicyEff),1,Milestones!$AC$134)&amp;";  ","")&amp;IF(AND(EDATE($D85,Milestones!$AA$135)&lt;=AsOfDate,EDATE($D85,Milestones!$AA$135)&gt;=SchemeStart,IF($X85=0,$AD85,IF(AND($Z85&lt;&gt;"",EDATE($D85,Milestones!$AA$135)&gt;=$Z85),$AC85,IF(AND($Y85&lt;&gt;"",EDATE($D85,Milestones!$AA$135)&gt;=$Y85),$AB85,$AA85)))=Milestones!$AB$135),UPPER(TEXT(EDATE($D85,Milestones!$AA$135),"dd mmm yy"))&amp;" "&amp;Milestones!$AB$135&amp;" "&amp;IF(AND(Milestones!$AB$135="FT",Milestones!$AA$135=FT_Y5,EDATE($D85,Milestones!$AA$135)&lt;PolicyEff),1,Milestones!$AC$135)&amp;";  ","")&amp;IF(AND(EDATE($D85,Milestones!$AA$136)&lt;=AsOfDate,EDATE($D85,Milestones!$AA$136)&gt;=SchemeStart,IF($X85=0,$AD85,IF(AND($Z85&lt;&gt;"",EDATE($D85,Milestones!$AA$136)&gt;=$Z85),$AC85,IF(AND($Y85&lt;&gt;"",EDATE($D85,Milestones!$AA$136)&gt;=$Y85),$AB85,$AA85)))=Milestones!$AB$136),UPPER(TEXT(EDATE($D85,Milestones!$AA$136),"dd mmm yy"))&amp;" "&amp;Milestones!$AB$136&amp;" "&amp;IF(AND(Milestones!$AB$136="FT",Milestones!$AA$136=FT_Y5,EDATE($D85,Milestones!$AA$136)&lt;PolicyEff),1,Milestones!$AC$136)&amp;";  ","")&amp;IF(AND(EDATE($D85,Milestones!$AA$137)&lt;=AsOfDate,EDATE($D85,Milestones!$AA$137)&gt;=SchemeStart,IF($X85=0,$AD85,IF(AND($Z85&lt;&gt;"",EDATE($D85,Milestones!$AA$137)&gt;=$Z85),$AC85,IF(AND($Y85&lt;&gt;"",EDATE($D85,Milestones!$AA$137)&gt;=$Y85),$AB85,$AA85)))=Milestones!$AB$137),UPPER(TEXT(EDATE($D85,Milestones!$AA$137),"dd mmm yy"))&amp;" "&amp;Milestones!$AB$137&amp;" "&amp;IF(AND(Milestones!$AB$137="FT",Milestones!$AA$137=FT_Y5,EDATE($D85,Milestones!$AA$137)&lt;PolicyEff),1,Milestones!$AC$137)&amp;";  ","")&amp;IF(AND(EDATE($D85,Milestones!$AA$138)&lt;=AsOfDate,EDATE($D85,Milestones!$AA$138)&gt;=SchemeStart,IF($X85=0,$AD85,IF(AND($Z85&lt;&gt;"",EDATE($D85,Milestones!$AA$138)&gt;=$Z85),$AC85,IF(AND($Y85&lt;&gt;"",EDATE($D85,Milestones!$AA$138)&gt;=$Y85),$AB85,$AA85)))=Milestones!$AB$138),UPPER(TEXT(EDATE($D85,Milestones!$AA$138),"dd mmm yy"))&amp;" "&amp;Milestones!$AB$138&amp;" "&amp;IF(AND(Milestones!$AB$138="FT",Milestones!$AA$138=FT_Y5,EDATE($D85,Milestones!$AA$138)&lt;PolicyEff),1,Milestones!$AC$138)&amp;";  ","")&amp;IF(AND(EDATE($D85,Milestones!$AA$139)&lt;=AsOfDate,EDATE($D85,Milestones!$AA$139)&gt;=SchemeStart,IF($X85=0,$AD85,IF(AND($Z85&lt;&gt;"",EDATE($D85,Milestones!$AA$139)&gt;=$Z85),$AC85,IF(AND($Y85&lt;&gt;"",EDATE($D85,Milestones!$AA$139)&gt;=$Y85),$AB85,$AA85)))=Milestones!$AB$139),UPPER(TEXT(EDATE($D85,Milestones!$AA$139),"dd mmm yy"))&amp;" "&amp;Milestones!$AB$139&amp;" "&amp;IF(AND(Milestones!$AB$139="FT",Milestones!$AA$139=FT_Y5,EDATE($D85,Milestones!$AA$139)&lt;PolicyEff),1,Milestones!$AC$139)&amp;";  ",""))</f>
        <v/>
      </c>
      <c r="S85" s="0" t="str">
        <f aca="false">IF(OR($A85="",$D85=""),"",IF(AND(EDATE($D85,Milestones!$AA$140)&lt;=AsOfDate,EDATE($D85,Milestones!$AA$140)&gt;=SchemeStart,IF($X85=0,$AD85,IF(AND($Z85&lt;&gt;"",EDATE($D85,Milestones!$AA$140)&gt;=$Z85),$AC85,IF(AND($Y85&lt;&gt;"",EDATE($D85,Milestones!$AA$140)&gt;=$Y85),$AB85,$AA85)))=Milestones!$AB$140),UPPER(TEXT(EDATE($D85,Milestones!$AA$140),"dd mmm yy"))&amp;" "&amp;Milestones!$AB$140&amp;" "&amp;IF(AND(Milestones!$AB$140="FT",Milestones!$AA$140=FT_Y5,EDATE($D85,Milestones!$AA$140)&lt;PolicyEff),1,Milestones!$AC$140)&amp;";  ","")&amp;IF(AND(EDATE($D85,Milestones!$AA$141)&lt;=AsOfDate,EDATE($D85,Milestones!$AA$141)&gt;=SchemeStart,IF($X85=0,$AD85,IF(AND($Z85&lt;&gt;"",EDATE($D85,Milestones!$AA$141)&gt;=$Z85),$AC85,IF(AND($Y85&lt;&gt;"",EDATE($D85,Milestones!$AA$141)&gt;=$Y85),$AB85,$AA85)))=Milestones!$AB$141),UPPER(TEXT(EDATE($D85,Milestones!$AA$141),"dd mmm yy"))&amp;" "&amp;Milestones!$AB$141&amp;" "&amp;IF(AND(Milestones!$AB$141="FT",Milestones!$AA$141=FT_Y5,EDATE($D85,Milestones!$AA$141)&lt;PolicyEff),1,Milestones!$AC$141)&amp;";  ","")&amp;IF(AND(EDATE($D85,Milestones!$AA$142)&lt;=AsOfDate,EDATE($D85,Milestones!$AA$142)&gt;=SchemeStart,IF($X85=0,$AD85,IF(AND($Z85&lt;&gt;"",EDATE($D85,Milestones!$AA$142)&gt;=$Z85),$AC85,IF(AND($Y85&lt;&gt;"",EDATE($D85,Milestones!$AA$142)&gt;=$Y85),$AB85,$AA85)))=Milestones!$AB$142),UPPER(TEXT(EDATE($D85,Milestones!$AA$142),"dd mmm yy"))&amp;" "&amp;Milestones!$AB$142&amp;" "&amp;IF(AND(Milestones!$AB$142="FT",Milestones!$AA$142=FT_Y5,EDATE($D85,Milestones!$AA$142)&lt;PolicyEff),1,Milestones!$AC$142)&amp;";  ","")&amp;IF(AND(EDATE($D85,Milestones!$AA$143)&lt;=AsOfDate,EDATE($D85,Milestones!$AA$143)&gt;=SchemeStart,IF($X85=0,$AD85,IF(AND($Z85&lt;&gt;"",EDATE($D85,Milestones!$AA$143)&gt;=$Z85),$AC85,IF(AND($Y85&lt;&gt;"",EDATE($D85,Milestones!$AA$143)&gt;=$Y85),$AB85,$AA85)))=Milestones!$AB$143),UPPER(TEXT(EDATE($D85,Milestones!$AA$143),"dd mmm yy"))&amp;" "&amp;Milestones!$AB$143&amp;" "&amp;IF(AND(Milestones!$AB$143="FT",Milestones!$AA$143=FT_Y5,EDATE($D85,Milestones!$AA$143)&lt;PolicyEff),1,Milestones!$AC$143)&amp;";  ","")&amp;IF(AND(EDATE($D85,Milestones!$AA$144)&lt;=AsOfDate,EDATE($D85,Milestones!$AA$144)&gt;=SchemeStart,IF($X85=0,$AD85,IF(AND($Z85&lt;&gt;"",EDATE($D85,Milestones!$AA$144)&gt;=$Z85),$AC85,IF(AND($Y85&lt;&gt;"",EDATE($D85,Milestones!$AA$144)&gt;=$Y85),$AB85,$AA85)))=Milestones!$AB$144),UPPER(TEXT(EDATE($D85,Milestones!$AA$144),"dd mmm yy"))&amp;" "&amp;Milestones!$AB$144&amp;" "&amp;IF(AND(Milestones!$AB$144="FT",Milestones!$AA$144=FT_Y5,EDATE($D85,Milestones!$AA$144)&lt;PolicyEff),1,Milestones!$AC$144)&amp;";  ","")&amp;IF(AND(EDATE($D85,Milestones!$AA$145)&lt;=AsOfDate,EDATE($D85,Milestones!$AA$145)&gt;=SchemeStart,IF($X85=0,$AD85,IF(AND($Z85&lt;&gt;"",EDATE($D85,Milestones!$AA$145)&gt;=$Z85),$AC85,IF(AND($Y85&lt;&gt;"",EDATE($D85,Milestones!$AA$145)&gt;=$Y85),$AB85,$AA85)))=Milestones!$AB$145),UPPER(TEXT(EDATE($D85,Milestones!$AA$145),"dd mmm yy"))&amp;" "&amp;Milestones!$AB$145&amp;" "&amp;IF(AND(Milestones!$AB$145="FT",Milestones!$AA$145=FT_Y5,EDATE($D85,Milestones!$AA$145)&lt;PolicyEff),1,Milestones!$AC$145)&amp;";  ","")&amp;IF(AND(EDATE($D85,Milestones!$AA$146)&lt;=AsOfDate,EDATE($D85,Milestones!$AA$146)&gt;=SchemeStart,IF($X85=0,$AD85,IF(AND($Z85&lt;&gt;"",EDATE($D85,Milestones!$AA$146)&gt;=$Z85),$AC85,IF(AND($Y85&lt;&gt;"",EDATE($D85,Milestones!$AA$146)&gt;=$Y85),$AB85,$AA85)))=Milestones!$AB$146),UPPER(TEXT(EDATE($D85,Milestones!$AA$146),"dd mmm yy"))&amp;" "&amp;Milestones!$AB$146&amp;" "&amp;IF(AND(Milestones!$AB$146="FT",Milestones!$AA$146=FT_Y5,EDATE($D85,Milestones!$AA$146)&lt;PolicyEff),1,Milestones!$AC$146)&amp;";  ","")&amp;IF(AND(EDATE($D85,Milestones!$AA$147)&lt;=AsOfDate,EDATE($D85,Milestones!$AA$147)&gt;=SchemeStart,IF($X85=0,$AD85,IF(AND($Z85&lt;&gt;"",EDATE($D85,Milestones!$AA$147)&gt;=$Z85),$AC85,IF(AND($Y85&lt;&gt;"",EDATE($D85,Milestones!$AA$147)&gt;=$Y85),$AB85,$AA85)))=Milestones!$AB$147),UPPER(TEXT(EDATE($D85,Milestones!$AA$147),"dd mmm yy"))&amp;" "&amp;Milestones!$AB$147&amp;" "&amp;IF(AND(Milestones!$AB$147="FT",Milestones!$AA$147=FT_Y5,EDATE($D85,Milestones!$AA$147)&lt;PolicyEff),1,Milestones!$AC$147)&amp;";  ","")&amp;IF(AND(EDATE($D85,Milestones!$AA$148)&lt;=AsOfDate,EDATE($D85,Milestones!$AA$148)&gt;=SchemeStart,IF($X85=0,$AD85,IF(AND($Z85&lt;&gt;"",EDATE($D85,Milestones!$AA$148)&gt;=$Z85),$AC85,IF(AND($Y85&lt;&gt;"",EDATE($D85,Milestones!$AA$148)&gt;=$Y85),$AB85,$AA85)))=Milestones!$AB$148),UPPER(TEXT(EDATE($D85,Milestones!$AA$148),"dd mmm yy"))&amp;" "&amp;Milestones!$AB$148&amp;" "&amp;IF(AND(Milestones!$AB$148="FT",Milestones!$AA$148=FT_Y5,EDATE($D85,Milestones!$AA$148)&lt;PolicyEff),1,Milestones!$AC$148)&amp;";  ","")&amp;IF(AND(EDATE($D85,Milestones!$AA$149)&lt;=AsOfDate,EDATE($D85,Milestones!$AA$149)&gt;=SchemeStart,IF($X85=0,$AD85,IF(AND($Z85&lt;&gt;"",EDATE($D85,Milestones!$AA$149)&gt;=$Z85),$AC85,IF(AND($Y85&lt;&gt;"",EDATE($D85,Milestones!$AA$149)&gt;=$Y85),$AB85,$AA85)))=Milestones!$AB$149),UPPER(TEXT(EDATE($D85,Milestones!$AA$149),"dd mmm yy"))&amp;" "&amp;Milestones!$AB$149&amp;" "&amp;IF(AND(Milestones!$AB$149="FT",Milestones!$AA$149=FT_Y5,EDATE($D85,Milestones!$AA$149)&lt;PolicyEff),1,Milestones!$AC$149)&amp;";  ","")&amp;IF(AND(EDATE($D85,Milestones!$AA$150)&lt;=AsOfDate,EDATE($D85,Milestones!$AA$150)&gt;=SchemeStart,IF($X85=0,$AD85,IF(AND($Z85&lt;&gt;"",EDATE($D85,Milestones!$AA$150)&gt;=$Z85),$AC85,IF(AND($Y85&lt;&gt;"",EDATE($D85,Milestones!$AA$150)&gt;=$Y85),$AB85,$AA85)))=Milestones!$AB$150),UPPER(TEXT(EDATE($D85,Milestones!$AA$150),"dd mmm yy"))&amp;" "&amp;Milestones!$AB$150&amp;" "&amp;IF(AND(Milestones!$AB$150="FT",Milestones!$AA$150=FT_Y5,EDATE($D85,Milestones!$AA$150)&lt;PolicyEff),1,Milestones!$AC$150)&amp;";  ","")&amp;IF(AND(EDATE($D85,Milestones!$AA$151)&lt;=AsOfDate,EDATE($D85,Milestones!$AA$151)&gt;=SchemeStart,IF($X85=0,$AD85,IF(AND($Z85&lt;&gt;"",EDATE($D85,Milestones!$AA$151)&gt;=$Z85),$AC85,IF(AND($Y85&lt;&gt;"",EDATE($D85,Milestones!$AA$151)&gt;=$Y85),$AB85,$AA85)))=Milestones!$AB$151),UPPER(TEXT(EDATE($D85,Milestones!$AA$151),"dd mmm yy"))&amp;" "&amp;Milestones!$AB$151&amp;" "&amp;IF(AND(Milestones!$AB$151="FT",Milestones!$AA$151=FT_Y5,EDATE($D85,Milestones!$AA$151)&lt;PolicyEff),1,Milestones!$AC$151)&amp;";  ",""))</f>
        <v/>
      </c>
      <c r="T85" s="0" t="str">
        <f aca="false">IF(OR($A85="",$D85=""),"",IF(AND(EDATE($D85,Milestones!$AA$152)&lt;=AsOfDate,EDATE($D85,Milestones!$AA$152)&gt;=SchemeStart,IF($X85=0,$AD85,IF(AND($Z85&lt;&gt;"",EDATE($D85,Milestones!$AA$152)&gt;=$Z85),$AC85,IF(AND($Y85&lt;&gt;"",EDATE($D85,Milestones!$AA$152)&gt;=$Y85),$AB85,$AA85)))=Milestones!$AB$152),UPPER(TEXT(EDATE($D85,Milestones!$AA$152),"dd mmm yy"))&amp;" "&amp;Milestones!$AB$152&amp;" "&amp;IF(AND(Milestones!$AB$152="FT",Milestones!$AA$152=FT_Y5,EDATE($D85,Milestones!$AA$152)&lt;PolicyEff),1,Milestones!$AC$152)&amp;";  ","")&amp;IF(AND(EDATE($D85,Milestones!$AA$153)&lt;=AsOfDate,EDATE($D85,Milestones!$AA$153)&gt;=SchemeStart,IF($X85=0,$AD85,IF(AND($Z85&lt;&gt;"",EDATE($D85,Milestones!$AA$153)&gt;=$Z85),$AC85,IF(AND($Y85&lt;&gt;"",EDATE($D85,Milestones!$AA$153)&gt;=$Y85),$AB85,$AA85)))=Milestones!$AB$153),UPPER(TEXT(EDATE($D85,Milestones!$AA$153),"dd mmm yy"))&amp;" "&amp;Milestones!$AB$153&amp;" "&amp;IF(AND(Milestones!$AB$153="FT",Milestones!$AA$153=FT_Y5,EDATE($D85,Milestones!$AA$153)&lt;PolicyEff),1,Milestones!$AC$153)&amp;";  ","")&amp;IF(AND(EDATE($D85,Milestones!$AA$154)&lt;=AsOfDate,EDATE($D85,Milestones!$AA$154)&gt;=SchemeStart,IF($X85=0,$AD85,IF(AND($Z85&lt;&gt;"",EDATE($D85,Milestones!$AA$154)&gt;=$Z85),$AC85,IF(AND($Y85&lt;&gt;"",EDATE($D85,Milestones!$AA$154)&gt;=$Y85),$AB85,$AA85)))=Milestones!$AB$154),UPPER(TEXT(EDATE($D85,Milestones!$AA$154),"dd mmm yy"))&amp;" "&amp;Milestones!$AB$154&amp;" "&amp;IF(AND(Milestones!$AB$154="FT",Milestones!$AA$154=FT_Y5,EDATE($D85,Milestones!$AA$154)&lt;PolicyEff),1,Milestones!$AC$154)&amp;";  ","")&amp;IF(AND(EDATE($D85,Milestones!$AA$155)&lt;=AsOfDate,EDATE($D85,Milestones!$AA$155)&gt;=SchemeStart,IF($X85=0,$AD85,IF(AND($Z85&lt;&gt;"",EDATE($D85,Milestones!$AA$155)&gt;=$Z85),$AC85,IF(AND($Y85&lt;&gt;"",EDATE($D85,Milestones!$AA$155)&gt;=$Y85),$AB85,$AA85)))=Milestones!$AB$155),UPPER(TEXT(EDATE($D85,Milestones!$AA$155),"dd mmm yy"))&amp;" "&amp;Milestones!$AB$155&amp;" "&amp;IF(AND(Milestones!$AB$155="FT",Milestones!$AA$155=FT_Y5,EDATE($D85,Milestones!$AA$155)&lt;PolicyEff),1,Milestones!$AC$155)&amp;";  ","")&amp;IF(AND(EDATE($D85,Milestones!$AA$156)&lt;=AsOfDate,EDATE($D85,Milestones!$AA$156)&gt;=SchemeStart,IF($X85=0,$AD85,IF(AND($Z85&lt;&gt;"",EDATE($D85,Milestones!$AA$156)&gt;=$Z85),$AC85,IF(AND($Y85&lt;&gt;"",EDATE($D85,Milestones!$AA$156)&gt;=$Y85),$AB85,$AA85)))=Milestones!$AB$156),UPPER(TEXT(EDATE($D85,Milestones!$AA$156),"dd mmm yy"))&amp;" "&amp;Milestones!$AB$156&amp;" "&amp;IF(AND(Milestones!$AB$156="FT",Milestones!$AA$156=FT_Y5,EDATE($D85,Milestones!$AA$156)&lt;PolicyEff),1,Milestones!$AC$156)&amp;";  ","")&amp;IF(AND(EDATE($D85,Milestones!$AA$157)&lt;=AsOfDate,EDATE($D85,Milestones!$AA$157)&gt;=SchemeStart,IF($X85=0,$AD85,IF(AND($Z85&lt;&gt;"",EDATE($D85,Milestones!$AA$157)&gt;=$Z85),$AC85,IF(AND($Y85&lt;&gt;"",EDATE($D85,Milestones!$AA$157)&gt;=$Y85),$AB85,$AA85)))=Milestones!$AB$157),UPPER(TEXT(EDATE($D85,Milestones!$AA$157),"dd mmm yy"))&amp;" "&amp;Milestones!$AB$157&amp;" "&amp;IF(AND(Milestones!$AB$157="FT",Milestones!$AA$157=FT_Y5,EDATE($D85,Milestones!$AA$157)&lt;PolicyEff),1,Milestones!$AC$157)&amp;";  ","")&amp;IF(AND(EDATE($D85,Milestones!$AA$158)&lt;=AsOfDate,EDATE($D85,Milestones!$AA$158)&gt;=SchemeStart,IF($X85=0,$AD85,IF(AND($Z85&lt;&gt;"",EDATE($D85,Milestones!$AA$158)&gt;=$Z85),$AC85,IF(AND($Y85&lt;&gt;"",EDATE($D85,Milestones!$AA$158)&gt;=$Y85),$AB85,$AA85)))=Milestones!$AB$158),UPPER(TEXT(EDATE($D85,Milestones!$AA$158),"dd mmm yy"))&amp;" "&amp;Milestones!$AB$158&amp;" "&amp;IF(AND(Milestones!$AB$158="FT",Milestones!$AA$158=FT_Y5,EDATE($D85,Milestones!$AA$158)&lt;PolicyEff),1,Milestones!$AC$158)&amp;";  ","")&amp;IF(AND(EDATE($D85,Milestones!$AA$159)&lt;=AsOfDate,EDATE($D85,Milestones!$AA$159)&gt;=SchemeStart,IF($X85=0,$AD85,IF(AND($Z85&lt;&gt;"",EDATE($D85,Milestones!$AA$159)&gt;=$Z85),$AC85,IF(AND($Y85&lt;&gt;"",EDATE($D85,Milestones!$AA$159)&gt;=$Y85),$AB85,$AA85)))=Milestones!$AB$159),UPPER(TEXT(EDATE($D85,Milestones!$AA$159),"dd mmm yy"))&amp;" "&amp;Milestones!$AB$159&amp;" "&amp;IF(AND(Milestones!$AB$159="FT",Milestones!$AA$159=FT_Y5,EDATE($D85,Milestones!$AA$159)&lt;PolicyEff),1,Milestones!$AC$159)&amp;";  ","")&amp;IF(AND(EDATE($D85,Milestones!$AA$160)&lt;=AsOfDate,EDATE($D85,Milestones!$AA$160)&gt;=SchemeStart,IF($X85=0,$AD85,IF(AND($Z85&lt;&gt;"",EDATE($D85,Milestones!$AA$160)&gt;=$Z85),$AC85,IF(AND($Y85&lt;&gt;"",EDATE($D85,Milestones!$AA$160)&gt;=$Y85),$AB85,$AA85)))=Milestones!$AB$160),UPPER(TEXT(EDATE($D85,Milestones!$AA$160),"dd mmm yy"))&amp;" "&amp;Milestones!$AB$160&amp;" "&amp;IF(AND(Milestones!$AB$160="FT",Milestones!$AA$160=FT_Y5,EDATE($D85,Milestones!$AA$160)&lt;PolicyEff),1,Milestones!$AC$160)&amp;";  ","")&amp;IF(AND(EDATE($D85,Milestones!$AA$161)&lt;=AsOfDate,EDATE($D85,Milestones!$AA$161)&gt;=SchemeStart,IF($X85=0,$AD85,IF(AND($Z85&lt;&gt;"",EDATE($D85,Milestones!$AA$161)&gt;=$Z85),$AC85,IF(AND($Y85&lt;&gt;"",EDATE($D85,Milestones!$AA$161)&gt;=$Y85),$AB85,$AA85)))=Milestones!$AB$161),UPPER(TEXT(EDATE($D85,Milestones!$AA$161),"dd mmm yy"))&amp;" "&amp;Milestones!$AB$161&amp;" "&amp;IF(AND(Milestones!$AB$161="FT",Milestones!$AA$161=FT_Y5,EDATE($D85,Milestones!$AA$161)&lt;PolicyEff),1,Milestones!$AC$161)&amp;";  ","")&amp;IF(AND(EDATE($D85,Milestones!$AA$162)&lt;=AsOfDate,EDATE($D85,Milestones!$AA$162)&gt;=SchemeStart,IF($X85=0,$AD85,IF(AND($Z85&lt;&gt;"",EDATE($D85,Milestones!$AA$162)&gt;=$Z85),$AC85,IF(AND($Y85&lt;&gt;"",EDATE($D85,Milestones!$AA$162)&gt;=$Y85),$AB85,$AA85)))=Milestones!$AB$162),UPPER(TEXT(EDATE($D85,Milestones!$AA$162),"dd mmm yy"))&amp;" "&amp;Milestones!$AB$162&amp;" "&amp;IF(AND(Milestones!$AB$162="FT",Milestones!$AA$162=FT_Y5,EDATE($D85,Milestones!$AA$162)&lt;PolicyEff),1,Milestones!$AC$162)&amp;";  ","")&amp;IF(AND(EDATE($D85,Milestones!$AA$163)&lt;=AsOfDate,EDATE($D85,Milestones!$AA$163)&gt;=SchemeStart,IF($X85=0,$AD85,IF(AND($Z85&lt;&gt;"",EDATE($D85,Milestones!$AA$163)&gt;=$Z85),$AC85,IF(AND($Y85&lt;&gt;"",EDATE($D85,Milestones!$AA$163)&gt;=$Y85),$AB85,$AA85)))=Milestones!$AB$163),UPPER(TEXT(EDATE($D85,Milestones!$AA$163),"dd mmm yy"))&amp;" "&amp;Milestones!$AB$163&amp;" "&amp;IF(AND(Milestones!$AB$163="FT",Milestones!$AA$163=FT_Y5,EDATE($D85,Milestones!$AA$163)&lt;PolicyEff),1,Milestones!$AC$163)&amp;";  ",""))</f>
        <v/>
      </c>
      <c r="U85" s="0" t="str">
        <f aca="false">IF(OR($A85="",$D85=""),"",IF(AND(EDATE($D85,Milestones!$AA$164)&lt;=AsOfDate,EDATE($D85,Milestones!$AA$164)&gt;=SchemeStart,IF($X85=0,$AD85,IF(AND($Z85&lt;&gt;"",EDATE($D85,Milestones!$AA$164)&gt;=$Z85),$AC85,IF(AND($Y85&lt;&gt;"",EDATE($D85,Milestones!$AA$164)&gt;=$Y85),$AB85,$AA85)))=Milestones!$AB$164),UPPER(TEXT(EDATE($D85,Milestones!$AA$164),"dd mmm yy"))&amp;" "&amp;Milestones!$AB$164&amp;" "&amp;IF(AND(Milestones!$AB$164="FT",Milestones!$AA$164=FT_Y5,EDATE($D85,Milestones!$AA$164)&lt;PolicyEff),1,Milestones!$AC$164)&amp;";  ","")&amp;IF(AND(EDATE($D85,Milestones!$AA$165)&lt;=AsOfDate,EDATE($D85,Milestones!$AA$165)&gt;=SchemeStart,IF($X85=0,$AD85,IF(AND($Z85&lt;&gt;"",EDATE($D85,Milestones!$AA$165)&gt;=$Z85),$AC85,IF(AND($Y85&lt;&gt;"",EDATE($D85,Milestones!$AA$165)&gt;=$Y85),$AB85,$AA85)))=Milestones!$AB$165),UPPER(TEXT(EDATE($D85,Milestones!$AA$165),"dd mmm yy"))&amp;" "&amp;Milestones!$AB$165&amp;" "&amp;IF(AND(Milestones!$AB$165="FT",Milestones!$AA$165=FT_Y5,EDATE($D85,Milestones!$AA$165)&lt;PolicyEff),1,Milestones!$AC$165)&amp;";  ","")&amp;IF(AND(EDATE($D85,Milestones!$AA$166)&lt;=AsOfDate,EDATE($D85,Milestones!$AA$166)&gt;=SchemeStart,IF($X85=0,$AD85,IF(AND($Z85&lt;&gt;"",EDATE($D85,Milestones!$AA$166)&gt;=$Z85),$AC85,IF(AND($Y85&lt;&gt;"",EDATE($D85,Milestones!$AA$166)&gt;=$Y85),$AB85,$AA85)))=Milestones!$AB$166),UPPER(TEXT(EDATE($D85,Milestones!$AA$166),"dd mmm yy"))&amp;" "&amp;Milestones!$AB$166&amp;" "&amp;IF(AND(Milestones!$AB$166="FT",Milestones!$AA$166=FT_Y5,EDATE($D85,Milestones!$AA$166)&lt;PolicyEff),1,Milestones!$AC$166)&amp;";  ","")&amp;IF(AND(EDATE($D85,Milestones!$AA$167)&lt;=AsOfDate,EDATE($D85,Milestones!$AA$167)&gt;=SchemeStart,IF($X85=0,$AD85,IF(AND($Z85&lt;&gt;"",EDATE($D85,Milestones!$AA$167)&gt;=$Z85),$AC85,IF(AND($Y85&lt;&gt;"",EDATE($D85,Milestones!$AA$167)&gt;=$Y85),$AB85,$AA85)))=Milestones!$AB$167),UPPER(TEXT(EDATE($D85,Milestones!$AA$167),"dd mmm yy"))&amp;" "&amp;Milestones!$AB$167&amp;" "&amp;IF(AND(Milestones!$AB$167="FT",Milestones!$AA$167=FT_Y5,EDATE($D85,Milestones!$AA$167)&lt;PolicyEff),1,Milestones!$AC$167)&amp;";  ","")&amp;IF(AND(EDATE($D85,Milestones!$AA$168)&lt;=AsOfDate,EDATE($D85,Milestones!$AA$168)&gt;=SchemeStart,IF($X85=0,$AD85,IF(AND($Z85&lt;&gt;"",EDATE($D85,Milestones!$AA$168)&gt;=$Z85),$AC85,IF(AND($Y85&lt;&gt;"",EDATE($D85,Milestones!$AA$168)&gt;=$Y85),$AB85,$AA85)))=Milestones!$AB$168),UPPER(TEXT(EDATE($D85,Milestones!$AA$168),"dd mmm yy"))&amp;" "&amp;Milestones!$AB$168&amp;" "&amp;IF(AND(Milestones!$AB$168="FT",Milestones!$AA$168=FT_Y5,EDATE($D85,Milestones!$AA$168)&lt;PolicyEff),1,Milestones!$AC$168)&amp;";  ","")&amp;IF(AND(EDATE($D85,Milestones!$AA$169)&lt;=AsOfDate,EDATE($D85,Milestones!$AA$169)&gt;=SchemeStart,IF($X85=0,$AD85,IF(AND($Z85&lt;&gt;"",EDATE($D85,Milestones!$AA$169)&gt;=$Z85),$AC85,IF(AND($Y85&lt;&gt;"",EDATE($D85,Milestones!$AA$169)&gt;=$Y85),$AB85,$AA85)))=Milestones!$AB$169),UPPER(TEXT(EDATE($D85,Milestones!$AA$169),"dd mmm yy"))&amp;" "&amp;Milestones!$AB$169&amp;" "&amp;IF(AND(Milestones!$AB$169="FT",Milestones!$AA$169=FT_Y5,EDATE($D85,Milestones!$AA$169)&lt;PolicyEff),1,Milestones!$AC$169)&amp;";  ","")&amp;IF(AND(EDATE($D85,Milestones!$AA$170)&lt;=AsOfDate,EDATE($D85,Milestones!$AA$170)&gt;=SchemeStart,IF($X85=0,$AD85,IF(AND($Z85&lt;&gt;"",EDATE($D85,Milestones!$AA$170)&gt;=$Z85),$AC85,IF(AND($Y85&lt;&gt;"",EDATE($D85,Milestones!$AA$170)&gt;=$Y85),$AB85,$AA85)))=Milestones!$AB$170),UPPER(TEXT(EDATE($D85,Milestones!$AA$170),"dd mmm yy"))&amp;" "&amp;Milestones!$AB$170&amp;" "&amp;IF(AND(Milestones!$AB$170="FT",Milestones!$AA$170=FT_Y5,EDATE($D85,Milestones!$AA$170)&lt;PolicyEff),1,Milestones!$AC$170)&amp;";  ","")&amp;IF(AND(EDATE($D85,Milestones!$AA$171)&lt;=AsOfDate,EDATE($D85,Milestones!$AA$171)&gt;=SchemeStart,IF($X85=0,$AD85,IF(AND($Z85&lt;&gt;"",EDATE($D85,Milestones!$AA$171)&gt;=$Z85),$AC85,IF(AND($Y85&lt;&gt;"",EDATE($D85,Milestones!$AA$171)&gt;=$Y85),$AB85,$AA85)))=Milestones!$AB$171),UPPER(TEXT(EDATE($D85,Milestones!$AA$171),"dd mmm yy"))&amp;" "&amp;Milestones!$AB$171&amp;" "&amp;IF(AND(Milestones!$AB$171="FT",Milestones!$AA$171=FT_Y5,EDATE($D85,Milestones!$AA$171)&lt;PolicyEff),1,Milestones!$AC$171)&amp;";  ","")&amp;IF(AND(EDATE($D85,Milestones!$AA$172)&lt;=AsOfDate,EDATE($D85,Milestones!$AA$172)&gt;=SchemeStart,IF($X85=0,$AD85,IF(AND($Z85&lt;&gt;"",EDATE($D85,Milestones!$AA$172)&gt;=$Z85),$AC85,IF(AND($Y85&lt;&gt;"",EDATE($D85,Milestones!$AA$172)&gt;=$Y85),$AB85,$AA85)))=Milestones!$AB$172),UPPER(TEXT(EDATE($D85,Milestones!$AA$172),"dd mmm yy"))&amp;" "&amp;Milestones!$AB$172&amp;" "&amp;IF(AND(Milestones!$AB$172="FT",Milestones!$AA$172=FT_Y5,EDATE($D85,Milestones!$AA$172)&lt;PolicyEff),1,Milestones!$AC$172)&amp;";  ","")&amp;IF(AND(EDATE($D85,Milestones!$AA$173)&lt;=AsOfDate,EDATE($D85,Milestones!$AA$173)&gt;=SchemeStart,IF($X85=0,$AD85,IF(AND($Z85&lt;&gt;"",EDATE($D85,Milestones!$AA$173)&gt;=$Z85),$AC85,IF(AND($Y85&lt;&gt;"",EDATE($D85,Milestones!$AA$173)&gt;=$Y85),$AB85,$AA85)))=Milestones!$AB$173),UPPER(TEXT(EDATE($D85,Milestones!$AA$173),"dd mmm yy"))&amp;" "&amp;Milestones!$AB$173&amp;" "&amp;IF(AND(Milestones!$AB$173="FT",Milestones!$AA$173=FT_Y5,EDATE($D85,Milestones!$AA$173)&lt;PolicyEff),1,Milestones!$AC$173)&amp;";  ","")&amp;IF(AND(EDATE($D85,Milestones!$AA$174)&lt;=AsOfDate,EDATE($D85,Milestones!$AA$174)&gt;=SchemeStart,IF($X85=0,$AD85,IF(AND($Z85&lt;&gt;"",EDATE($D85,Milestones!$AA$174)&gt;=$Z85),$AC85,IF(AND($Y85&lt;&gt;"",EDATE($D85,Milestones!$AA$174)&gt;=$Y85),$AB85,$AA85)))=Milestones!$AB$174),UPPER(TEXT(EDATE($D85,Milestones!$AA$174),"dd mmm yy"))&amp;" "&amp;Milestones!$AB$174&amp;" "&amp;IF(AND(Milestones!$AB$174="FT",Milestones!$AA$174=FT_Y5,EDATE($D85,Milestones!$AA$174)&lt;PolicyEff),1,Milestones!$AC$174)&amp;";  ","")&amp;IF(AND(EDATE($D85,Milestones!$AA$175)&lt;=AsOfDate,EDATE($D85,Milestones!$AA$175)&gt;=SchemeStart,IF($X85=0,$AD85,IF(AND($Z85&lt;&gt;"",EDATE($D85,Milestones!$AA$175)&gt;=$Z85),$AC85,IF(AND($Y85&lt;&gt;"",EDATE($D85,Milestones!$AA$175)&gt;=$Y85),$AB85,$AA85)))=Milestones!$AB$175),UPPER(TEXT(EDATE($D85,Milestones!$AA$175),"dd mmm yy"))&amp;" "&amp;Milestones!$AB$175&amp;" "&amp;IF(AND(Milestones!$AB$175="FT",Milestones!$AA$175=FT_Y5,EDATE($D85,Milestones!$AA$175)&lt;PolicyEff),1,Milestones!$AC$175)&amp;";  ",""))</f>
        <v/>
      </c>
      <c r="V85" s="0" t="str">
        <f aca="false">IF(OR($A85="",$D85=""),"",IF(AND(EDATE($D85,Milestones!$AA$176)&lt;=AsOfDate,EDATE($D85,Milestones!$AA$176)&gt;=SchemeStart,IF($X85=0,$AD85,IF(AND($Z85&lt;&gt;"",EDATE($D85,Milestones!$AA$176)&gt;=$Z85),$AC85,IF(AND($Y85&lt;&gt;"",EDATE($D85,Milestones!$AA$176)&gt;=$Y85),$AB85,$AA85)))=Milestones!$AB$176),UPPER(TEXT(EDATE($D85,Milestones!$AA$176),"dd mmm yy"))&amp;" "&amp;Milestones!$AB$176&amp;" "&amp;IF(AND(Milestones!$AB$176="FT",Milestones!$AA$176=FT_Y5,EDATE($D85,Milestones!$AA$176)&lt;PolicyEff),1,Milestones!$AC$176)&amp;";  ","")&amp;IF(AND(EDATE($D85,Milestones!$AA$177)&lt;=AsOfDate,EDATE($D85,Milestones!$AA$177)&gt;=SchemeStart,IF($X85=0,$AD85,IF(AND($Z85&lt;&gt;"",EDATE($D85,Milestones!$AA$177)&gt;=$Z85),$AC85,IF(AND($Y85&lt;&gt;"",EDATE($D85,Milestones!$AA$177)&gt;=$Y85),$AB85,$AA85)))=Milestones!$AB$177),UPPER(TEXT(EDATE($D85,Milestones!$AA$177),"dd mmm yy"))&amp;" "&amp;Milestones!$AB$177&amp;" "&amp;IF(AND(Milestones!$AB$177="FT",Milestones!$AA$177=FT_Y5,EDATE($D85,Milestones!$AA$177)&lt;PolicyEff),1,Milestones!$AC$177)&amp;";  ","")&amp;IF(AND(EDATE($D85,Milestones!$AA$178)&lt;=AsOfDate,EDATE($D85,Milestones!$AA$178)&gt;=SchemeStart,IF($X85=0,$AD85,IF(AND($Z85&lt;&gt;"",EDATE($D85,Milestones!$AA$178)&gt;=$Z85),$AC85,IF(AND($Y85&lt;&gt;"",EDATE($D85,Milestones!$AA$178)&gt;=$Y85),$AB85,$AA85)))=Milestones!$AB$178),UPPER(TEXT(EDATE($D85,Milestones!$AA$178),"dd mmm yy"))&amp;" "&amp;Milestones!$AB$178&amp;" "&amp;IF(AND(Milestones!$AB$178="FT",Milestones!$AA$178=FT_Y5,EDATE($D85,Milestones!$AA$178)&lt;PolicyEff),1,Milestones!$AC$178)&amp;";  ","")&amp;IF(AND(EDATE($D85,Milestones!$AA$179)&lt;=AsOfDate,EDATE($D85,Milestones!$AA$179)&gt;=SchemeStart,IF($X85=0,$AD85,IF(AND($Z85&lt;&gt;"",EDATE($D85,Milestones!$AA$179)&gt;=$Z85),$AC85,IF(AND($Y85&lt;&gt;"",EDATE($D85,Milestones!$AA$179)&gt;=$Y85),$AB85,$AA85)))=Milestones!$AB$179),UPPER(TEXT(EDATE($D85,Milestones!$AA$179),"dd mmm yy"))&amp;" "&amp;Milestones!$AB$179&amp;" "&amp;IF(AND(Milestones!$AB$179="FT",Milestones!$AA$179=FT_Y5,EDATE($D85,Milestones!$AA$179)&lt;PolicyEff),1,Milestones!$AC$179)&amp;";  ","")&amp;IF(AND(EDATE($D85,Milestones!$AA$180)&lt;=AsOfDate,EDATE($D85,Milestones!$AA$180)&gt;=SchemeStart,IF($X85=0,$AD85,IF(AND($Z85&lt;&gt;"",EDATE($D85,Milestones!$AA$180)&gt;=$Z85),$AC85,IF(AND($Y85&lt;&gt;"",EDATE($D85,Milestones!$AA$180)&gt;=$Y85),$AB85,$AA85)))=Milestones!$AB$180),UPPER(TEXT(EDATE($D85,Milestones!$AA$180),"dd mmm yy"))&amp;" "&amp;Milestones!$AB$180&amp;" "&amp;IF(AND(Milestones!$AB$180="FT",Milestones!$AA$180=FT_Y5,EDATE($D85,Milestones!$AA$180)&lt;PolicyEff),1,Milestones!$AC$180)&amp;";  ","")&amp;IF(AND(EDATE($D85,Milestones!$AA$181)&lt;=AsOfDate,EDATE($D85,Milestones!$AA$181)&gt;=SchemeStart,IF($X85=0,$AD85,IF(AND($Z85&lt;&gt;"",EDATE($D85,Milestones!$AA$181)&gt;=$Z85),$AC85,IF(AND($Y85&lt;&gt;"",EDATE($D85,Milestones!$AA$181)&gt;=$Y85),$AB85,$AA85)))=Milestones!$AB$181),UPPER(TEXT(EDATE($D85,Milestones!$AA$181),"dd mmm yy"))&amp;" "&amp;Milestones!$AB$181&amp;" "&amp;IF(AND(Milestones!$AB$181="FT",Milestones!$AA$181=FT_Y5,EDATE($D85,Milestones!$AA$181)&lt;PolicyEff),1,Milestones!$AC$181)&amp;";  ","")&amp;IF(AND(EDATE($D85,Milestones!$AA$182)&lt;=AsOfDate,EDATE($D85,Milestones!$AA$182)&gt;=SchemeStart,IF($X85=0,$AD85,IF(AND($Z85&lt;&gt;"",EDATE($D85,Milestones!$AA$182)&gt;=$Z85),$AC85,IF(AND($Y85&lt;&gt;"",EDATE($D85,Milestones!$AA$182)&gt;=$Y85),$AB85,$AA85)))=Milestones!$AB$182),UPPER(TEXT(EDATE($D85,Milestones!$AA$182),"dd mmm yy"))&amp;" "&amp;Milestones!$AB$182&amp;" "&amp;IF(AND(Milestones!$AB$182="FT",Milestones!$AA$182=FT_Y5,EDATE($D85,Milestones!$AA$182)&lt;PolicyEff),1,Milestones!$AC$182)&amp;";  ","")&amp;IF(AND(EDATE($D85,Milestones!$AA$183)&lt;=AsOfDate,EDATE($D85,Milestones!$AA$183)&gt;=SchemeStart,IF($X85=0,$AD85,IF(AND($Z85&lt;&gt;"",EDATE($D85,Milestones!$AA$183)&gt;=$Z85),$AC85,IF(AND($Y85&lt;&gt;"",EDATE($D85,Milestones!$AA$183)&gt;=$Y85),$AB85,$AA85)))=Milestones!$AB$183),UPPER(TEXT(EDATE($D85,Milestones!$AA$183),"dd mmm yy"))&amp;" "&amp;Milestones!$AB$183&amp;" "&amp;IF(AND(Milestones!$AB$183="FT",Milestones!$AA$183=FT_Y5,EDATE($D85,Milestones!$AA$183)&lt;PolicyEff),1,Milestones!$AC$183)&amp;";  ","")&amp;IF(AND(EDATE($D85,Milestones!$AA$184)&lt;=AsOfDate,EDATE($D85,Milestones!$AA$184)&gt;=SchemeStart,IF($X85=0,$AD85,IF(AND($Z85&lt;&gt;"",EDATE($D85,Milestones!$AA$184)&gt;=$Z85),$AC85,IF(AND($Y85&lt;&gt;"",EDATE($D85,Milestones!$AA$184)&gt;=$Y85),$AB85,$AA85)))=Milestones!$AB$184),UPPER(TEXT(EDATE($D85,Milestones!$AA$184),"dd mmm yy"))&amp;" "&amp;Milestones!$AB$184&amp;" "&amp;IF(AND(Milestones!$AB$184="FT",Milestones!$AA$184=FT_Y5,EDATE($D85,Milestones!$AA$184)&lt;PolicyEff),1,Milestones!$AC$184)&amp;";  ","")&amp;IF(AND(EDATE($D85,Milestones!$AA$185)&lt;=AsOfDate,EDATE($D85,Milestones!$AA$185)&gt;=SchemeStart,IF($X85=0,$AD85,IF(AND($Z85&lt;&gt;"",EDATE($D85,Milestones!$AA$185)&gt;=$Z85),$AC85,IF(AND($Y85&lt;&gt;"",EDATE($D85,Milestones!$AA$185)&gt;=$Y85),$AB85,$AA85)))=Milestones!$AB$185),UPPER(TEXT(EDATE($D85,Milestones!$AA$185),"dd mmm yy"))&amp;" "&amp;Milestones!$AB$185&amp;" "&amp;IF(AND(Milestones!$AB$185="FT",Milestones!$AA$185=FT_Y5,EDATE($D85,Milestones!$AA$185)&lt;PolicyEff),1,Milestones!$AC$185)&amp;";  ","")&amp;IF(AND(EDATE($D85,Milestones!$AA$186)&lt;=AsOfDate,EDATE($D85,Milestones!$AA$186)&gt;=SchemeStart,IF($X85=0,$AD85,IF(AND($Z85&lt;&gt;"",EDATE($D85,Milestones!$AA$186)&gt;=$Z85),$AC85,IF(AND($Y85&lt;&gt;"",EDATE($D85,Milestones!$AA$186)&gt;=$Y85),$AB85,$AA85)))=Milestones!$AB$186),UPPER(TEXT(EDATE($D85,Milestones!$AA$186),"dd mmm yy"))&amp;" "&amp;Milestones!$AB$186&amp;" "&amp;IF(AND(Milestones!$AB$186="FT",Milestones!$AA$186=FT_Y5,EDATE($D85,Milestones!$AA$186)&lt;PolicyEff),1,Milestones!$AC$186)&amp;";  ","")&amp;IF(AND(EDATE($D85,Milestones!$AA$187)&lt;=AsOfDate,EDATE($D85,Milestones!$AA$187)&gt;=SchemeStart,IF($X85=0,$AD85,IF(AND($Z85&lt;&gt;"",EDATE($D85,Milestones!$AA$187)&gt;=$Z85),$AC85,IF(AND($Y85&lt;&gt;"",EDATE($D85,Milestones!$AA$187)&gt;=$Y85),$AB85,$AA85)))=Milestones!$AB$187),UPPER(TEXT(EDATE($D85,Milestones!$AA$187),"dd mmm yy"))&amp;" "&amp;Milestones!$AB$187&amp;" "&amp;IF(AND(Milestones!$AB$187="FT",Milestones!$AA$187=FT_Y5,EDATE($D85,Milestones!$AA$187)&lt;PolicyEff),1,Milestones!$AC$187)&amp;";  ",""))</f>
        <v/>
      </c>
      <c r="W85" s="0" t="str">
        <f aca="false">IF(OR($A85="",$D85=""),"",IF(AND(EDATE($D85,Milestones!$AA$188)&lt;=AsOfDate,EDATE($D85,Milestones!$AA$188)&gt;=SchemeStart,IF($X85=0,$AD85,IF(AND($Z85&lt;&gt;"",EDATE($D85,Milestones!$AA$188)&gt;=$Z85),$AC85,IF(AND($Y85&lt;&gt;"",EDATE($D85,Milestones!$AA$188)&gt;=$Y85),$AB85,$AA85)))=Milestones!$AB$188),UPPER(TEXT(EDATE($D85,Milestones!$AA$188),"dd mmm yy"))&amp;" "&amp;Milestones!$AB$188&amp;" "&amp;IF(AND(Milestones!$AB$188="FT",Milestones!$AA$188=FT_Y5,EDATE($D85,Milestones!$AA$188)&lt;PolicyEff),1,Milestones!$AC$188)&amp;";  ","")&amp;IF(AND(EDATE($D85,Milestones!$AA$189)&lt;=AsOfDate,EDATE($D85,Milestones!$AA$189)&gt;=SchemeStart,IF($X85=0,$AD85,IF(AND($Z85&lt;&gt;"",EDATE($D85,Milestones!$AA$189)&gt;=$Z85),$AC85,IF(AND($Y85&lt;&gt;"",EDATE($D85,Milestones!$AA$189)&gt;=$Y85),$AB85,$AA85)))=Milestones!$AB$189),UPPER(TEXT(EDATE($D85,Milestones!$AA$189),"dd mmm yy"))&amp;" "&amp;Milestones!$AB$189&amp;" "&amp;IF(AND(Milestones!$AB$189="FT",Milestones!$AA$189=FT_Y5,EDATE($D85,Milestones!$AA$189)&lt;PolicyEff),1,Milestones!$AC$189)&amp;";  ","")&amp;IF(AND(EDATE($D85,Milestones!$AA$190)&lt;=AsOfDate,EDATE($D85,Milestones!$AA$190)&gt;=SchemeStart,IF($X85=0,$AD85,IF(AND($Z85&lt;&gt;"",EDATE($D85,Milestones!$AA$190)&gt;=$Z85),$AC85,IF(AND($Y85&lt;&gt;"",EDATE($D85,Milestones!$AA$190)&gt;=$Y85),$AB85,$AA85)))=Milestones!$AB$190),UPPER(TEXT(EDATE($D85,Milestones!$AA$190),"dd mmm yy"))&amp;" "&amp;Milestones!$AB$190&amp;" "&amp;IF(AND(Milestones!$AB$190="FT",Milestones!$AA$190=FT_Y5,EDATE($D85,Milestones!$AA$190)&lt;PolicyEff),1,Milestones!$AC$190)&amp;";  ","")&amp;IF(AND(EDATE($D85,Milestones!$AA$191)&lt;=AsOfDate,EDATE($D85,Milestones!$AA$191)&gt;=SchemeStart,IF($X85=0,$AD85,IF(AND($Z85&lt;&gt;"",EDATE($D85,Milestones!$AA$191)&gt;=$Z85),$AC85,IF(AND($Y85&lt;&gt;"",EDATE($D85,Milestones!$AA$191)&gt;=$Y85),$AB85,$AA85)))=Milestones!$AB$191),UPPER(TEXT(EDATE($D85,Milestones!$AA$191),"dd mmm yy"))&amp;" "&amp;Milestones!$AB$191&amp;" "&amp;IF(AND(Milestones!$AB$191="FT",Milestones!$AA$191=FT_Y5,EDATE($D85,Milestones!$AA$191)&lt;PolicyEff),1,Milestones!$AC$191)&amp;";  ","")&amp;IF(AND(EDATE($D85,Milestones!$AA$192)&lt;=AsOfDate,EDATE($D85,Milestones!$AA$192)&gt;=SchemeStart,IF($X85=0,$AD85,IF(AND($Z85&lt;&gt;"",EDATE($D85,Milestones!$AA$192)&gt;=$Z85),$AC85,IF(AND($Y85&lt;&gt;"",EDATE($D85,Milestones!$AA$192)&gt;=$Y85),$AB85,$AA85)))=Milestones!$AB$192),UPPER(TEXT(EDATE($D85,Milestones!$AA$192),"dd mmm yy"))&amp;" "&amp;Milestones!$AB$192&amp;" "&amp;IF(AND(Milestones!$AB$192="FT",Milestones!$AA$192=FT_Y5,EDATE($D85,Milestones!$AA$192)&lt;PolicyEff),1,Milestones!$AC$192)&amp;";  ","")&amp;IF(AND(EDATE($D85,Milestones!$AA$193)&lt;=AsOfDate,EDATE($D85,Milestones!$AA$193)&gt;=SchemeStart,IF($X85=0,$AD85,IF(AND($Z85&lt;&gt;"",EDATE($D85,Milestones!$AA$193)&gt;=$Z85),$AC85,IF(AND($Y85&lt;&gt;"",EDATE($D85,Milestones!$AA$193)&gt;=$Y85),$AB85,$AA85)))=Milestones!$AB$193),UPPER(TEXT(EDATE($D85,Milestones!$AA$193),"dd mmm yy"))&amp;" "&amp;Milestones!$AB$193&amp;" "&amp;IF(AND(Milestones!$AB$193="FT",Milestones!$AA$193=FT_Y5,EDATE($D85,Milestones!$AA$193)&lt;PolicyEff),1,Milestones!$AC$193)&amp;";  ","")&amp;IF(AND(EDATE($D85,Milestones!$AA$194)&lt;=AsOfDate,EDATE($D85,Milestones!$AA$194)&gt;=SchemeStart,IF($X85=0,$AD85,IF(AND($Z85&lt;&gt;"",EDATE($D85,Milestones!$AA$194)&gt;=$Z85),$AC85,IF(AND($Y85&lt;&gt;"",EDATE($D85,Milestones!$AA$194)&gt;=$Y85),$AB85,$AA85)))=Milestones!$AB$194),UPPER(TEXT(EDATE($D85,Milestones!$AA$194),"dd mmm yy"))&amp;" "&amp;Milestones!$AB$194&amp;" "&amp;IF(AND(Milestones!$AB$194="FT",Milestones!$AA$194=FT_Y5,EDATE($D85,Milestones!$AA$194)&lt;PolicyEff),1,Milestones!$AC$194)&amp;";  ","")&amp;IF(AND(EDATE($D85,Milestones!$AA$195)&lt;=AsOfDate,EDATE($D85,Milestones!$AA$195)&gt;=SchemeStart,IF($X85=0,$AD85,IF(AND($Z85&lt;&gt;"",EDATE($D85,Milestones!$AA$195)&gt;=$Z85),$AC85,IF(AND($Y85&lt;&gt;"",EDATE($D85,Milestones!$AA$195)&gt;=$Y85),$AB85,$AA85)))=Milestones!$AB$195),UPPER(TEXT(EDATE($D85,Milestones!$AA$195),"dd mmm yy"))&amp;" "&amp;Milestones!$AB$195&amp;" "&amp;IF(AND(Milestones!$AB$195="FT",Milestones!$AA$195=FT_Y5,EDATE($D85,Milestones!$AA$195)&lt;PolicyEff),1,Milestones!$AC$195)&amp;";  ","")&amp;IF(AND(EDATE($D85,Milestones!$AA$196)&lt;=AsOfDate,EDATE($D85,Milestones!$AA$196)&gt;=SchemeStart,IF($X85=0,$AD85,IF(AND($Z85&lt;&gt;"",EDATE($D85,Milestones!$AA$196)&gt;=$Z85),$AC85,IF(AND($Y85&lt;&gt;"",EDATE($D85,Milestones!$AA$196)&gt;=$Y85),$AB85,$AA85)))=Milestones!$AB$196),UPPER(TEXT(EDATE($D85,Milestones!$AA$196),"dd mmm yy"))&amp;" "&amp;Milestones!$AB$196&amp;" "&amp;IF(AND(Milestones!$AB$196="FT",Milestones!$AA$196=FT_Y5,EDATE($D85,Milestones!$AA$196)&lt;PolicyEff),1,Milestones!$AC$196)&amp;";  ","")&amp;IF(AND(EDATE($D85,Milestones!$AA$197)&lt;=AsOfDate,EDATE($D85,Milestones!$AA$197)&gt;=SchemeStart,IF($X85=0,$AD85,IF(AND($Z85&lt;&gt;"",EDATE($D85,Milestones!$AA$197)&gt;=$Z85),$AC85,IF(AND($Y85&lt;&gt;"",EDATE($D85,Milestones!$AA$197)&gt;=$Y85),$AB85,$AA85)))=Milestones!$AB$197),UPPER(TEXT(EDATE($D85,Milestones!$AA$197),"dd mmm yy"))&amp;" "&amp;Milestones!$AB$197&amp;" "&amp;IF(AND(Milestones!$AB$197="FT",Milestones!$AA$197=FT_Y5,EDATE($D85,Milestones!$AA$197)&lt;PolicyEff),1,Milestones!$AC$197)&amp;";  ","")&amp;IF(AND(EDATE($D85,Milestones!$AA$198)&lt;=AsOfDate,EDATE($D85,Milestones!$AA$198)&gt;=SchemeStart,IF($X85=0,$AD85,IF(AND($Z85&lt;&gt;"",EDATE($D85,Milestones!$AA$198)&gt;=$Z85),$AC85,IF(AND($Y85&lt;&gt;"",EDATE($D85,Milestones!$AA$198)&gt;=$Y85),$AB85,$AA85)))=Milestones!$AB$198),UPPER(TEXT(EDATE($D85,Milestones!$AA$198),"dd mmm yy"))&amp;" "&amp;Milestones!$AB$198&amp;" "&amp;IF(AND(Milestones!$AB$198="FT",Milestones!$AA$198=FT_Y5,EDATE($D85,Milestones!$AA$198)&lt;PolicyEff),1,Milestones!$AC$198)&amp;";  ","")&amp;IF(AND(EDATE($D85,Milestones!$AA$199)&lt;=AsOfDate,EDATE($D85,Milestones!$AA$199)&gt;=SchemeStart,IF($X85=0,$AD85,IF(AND($Z85&lt;&gt;"",EDATE($D85,Milestones!$AA$199)&gt;=$Z85),$AC85,IF(AND($Y85&lt;&gt;"",EDATE($D85,Milestones!$AA$199)&gt;=$Y85),$AB85,$AA85)))=Milestones!$AB$199),UPPER(TEXT(EDATE($D85,Milestones!$AA$199),"dd mmm yy"))&amp;" "&amp;Milestones!$AB$199&amp;" "&amp;IF(AND(Milestones!$AB$199="FT",Milestones!$AA$199=FT_Y5,EDATE($D85,Milestones!$AA$199)&lt;PolicyEff),1,Milestones!$AC$199)&amp;";  ",""))</f>
        <v/>
      </c>
      <c r="X85" s="0" t="str">
        <f aca="false">IF(Staff!$A85="","",Staff!$AM85)</f>
        <v/>
      </c>
      <c r="Y85" s="0" t="str">
        <f aca="false">IF(Staff!$A85="","",Staff!$AO85)</f>
        <v/>
      </c>
      <c r="Z85" s="0" t="str">
        <f aca="false">IF(Staff!$A85="","",Staff!$AP85)</f>
        <v/>
      </c>
      <c r="AA85" s="0" t="str">
        <f aca="false">IF(Staff!$A85="","",Staff!$AT85)</f>
        <v/>
      </c>
      <c r="AB85" s="0" t="str">
        <f aca="false">IF(Staff!$A85="","",Staff!$AU85)</f>
        <v/>
      </c>
      <c r="AC85" s="0" t="str">
        <f aca="false">IF(Staff!$A85="","",Staff!$AV85)</f>
        <v/>
      </c>
      <c r="AD85" s="0" t="str">
        <f aca="false">IF(Staff!$A85="","",Staff!$AW85)</f>
        <v/>
      </c>
    </row>
    <row r="86" customFormat="false" ht="15" hidden="false" customHeight="false" outlineLevel="0" collapsed="false">
      <c r="A86" s="16" t="str">
        <f aca="false">IF(Staff!$A86="","",Staff!$A86)</f>
        <v/>
      </c>
      <c r="B86" s="16" t="str">
        <f aca="false">IF(Staff!$A86="","",Staff!$B86)</f>
        <v/>
      </c>
      <c r="C86" s="16" t="str">
        <f aca="false">IF(Staff!$A86="","",Staff!$C86)</f>
        <v/>
      </c>
      <c r="D86" s="14" t="str">
        <f aca="false">IF(Staff!$A86="","",Staff!$AL86)</f>
        <v/>
      </c>
      <c r="E86" s="16" t="str">
        <f aca="false">IF(Staff!$A86="","",Staff!$O86)</f>
        <v/>
      </c>
      <c r="F86" s="16" t="str">
        <f aca="false">IF(E86="","",E86*HoursPerDay)</f>
        <v/>
      </c>
      <c r="G86" s="16" t="str">
        <f aca="false">IF(Staff!$A86="","",Staff!$AE86)</f>
        <v/>
      </c>
      <c r="H86" s="28" t="str">
        <f aca="false">IF($A86="","",I86&amp;J86&amp;K86&amp;L86&amp;M86&amp;N86&amp;O86&amp;P86&amp;Q86&amp;R86&amp;S86&amp;T86&amp;U86&amp;V86&amp;W86)</f>
        <v/>
      </c>
      <c r="I86" s="0" t="str">
        <f aca="false">IF(OR($A86="",$D86=""),"",IF(AND(EDATE($D86,Milestones!$AA$20)&lt;=AsOfDate,EDATE($D86,Milestones!$AA$20)&gt;=SchemeStart,IF($X86=0,$AD86,IF(AND($Z86&lt;&gt;"",EDATE($D86,Milestones!$AA$20)&gt;=$Z86),$AC86,IF(AND($Y86&lt;&gt;"",EDATE($D86,Milestones!$AA$20)&gt;=$Y86),$AB86,$AA86)))=Milestones!$AB$20),UPPER(TEXT(EDATE($D86,Milestones!$AA$20),"dd mmm yy"))&amp;" "&amp;Milestones!$AB$20&amp;" "&amp;IF(AND(Milestones!$AB$20="FT",Milestones!$AA$20=FT_Y5,EDATE($D86,Milestones!$AA$20)&lt;PolicyEff),1,Milestones!$AC$20)&amp;";  ","")&amp;IF(AND(EDATE($D86,Milestones!$AA$21)&lt;=AsOfDate,EDATE($D86,Milestones!$AA$21)&gt;=SchemeStart,IF($X86=0,$AD86,IF(AND($Z86&lt;&gt;"",EDATE($D86,Milestones!$AA$21)&gt;=$Z86),$AC86,IF(AND($Y86&lt;&gt;"",EDATE($D86,Milestones!$AA$21)&gt;=$Y86),$AB86,$AA86)))=Milestones!$AB$21),UPPER(TEXT(EDATE($D86,Milestones!$AA$21),"dd mmm yy"))&amp;" "&amp;Milestones!$AB$21&amp;" "&amp;IF(AND(Milestones!$AB$21="FT",Milestones!$AA$21=FT_Y5,EDATE($D86,Milestones!$AA$21)&lt;PolicyEff),1,Milestones!$AC$21)&amp;";  ","")&amp;IF(AND(EDATE($D86,Milestones!$AA$22)&lt;=AsOfDate,EDATE($D86,Milestones!$AA$22)&gt;=SchemeStart,IF($X86=0,$AD86,IF(AND($Z86&lt;&gt;"",EDATE($D86,Milestones!$AA$22)&gt;=$Z86),$AC86,IF(AND($Y86&lt;&gt;"",EDATE($D86,Milestones!$AA$22)&gt;=$Y86),$AB86,$AA86)))=Milestones!$AB$22),UPPER(TEXT(EDATE($D86,Milestones!$AA$22),"dd mmm yy"))&amp;" "&amp;Milestones!$AB$22&amp;" "&amp;IF(AND(Milestones!$AB$22="FT",Milestones!$AA$22=FT_Y5,EDATE($D86,Milestones!$AA$22)&lt;PolicyEff),1,Milestones!$AC$22)&amp;";  ","")&amp;IF(AND(EDATE($D86,Milestones!$AA$23)&lt;=AsOfDate,EDATE($D86,Milestones!$AA$23)&gt;=SchemeStart,IF($X86=0,$AD86,IF(AND($Z86&lt;&gt;"",EDATE($D86,Milestones!$AA$23)&gt;=$Z86),$AC86,IF(AND($Y86&lt;&gt;"",EDATE($D86,Milestones!$AA$23)&gt;=$Y86),$AB86,$AA86)))=Milestones!$AB$23),UPPER(TEXT(EDATE($D86,Milestones!$AA$23),"dd mmm yy"))&amp;" "&amp;Milestones!$AB$23&amp;" "&amp;IF(AND(Milestones!$AB$23="FT",Milestones!$AA$23=FT_Y5,EDATE($D86,Milestones!$AA$23)&lt;PolicyEff),1,Milestones!$AC$23)&amp;";  ","")&amp;IF(AND(EDATE($D86,Milestones!$AA$24)&lt;=AsOfDate,EDATE($D86,Milestones!$AA$24)&gt;=SchemeStart,IF($X86=0,$AD86,IF(AND($Z86&lt;&gt;"",EDATE($D86,Milestones!$AA$24)&gt;=$Z86),$AC86,IF(AND($Y86&lt;&gt;"",EDATE($D86,Milestones!$AA$24)&gt;=$Y86),$AB86,$AA86)))=Milestones!$AB$24),UPPER(TEXT(EDATE($D86,Milestones!$AA$24),"dd mmm yy"))&amp;" "&amp;Milestones!$AB$24&amp;" "&amp;IF(AND(Milestones!$AB$24="FT",Milestones!$AA$24=FT_Y5,EDATE($D86,Milestones!$AA$24)&lt;PolicyEff),1,Milestones!$AC$24)&amp;";  ","")&amp;IF(AND(EDATE($D86,Milestones!$AA$25)&lt;=AsOfDate,EDATE($D86,Milestones!$AA$25)&gt;=SchemeStart,IF($X86=0,$AD86,IF(AND($Z86&lt;&gt;"",EDATE($D86,Milestones!$AA$25)&gt;=$Z86),$AC86,IF(AND($Y86&lt;&gt;"",EDATE($D86,Milestones!$AA$25)&gt;=$Y86),$AB86,$AA86)))=Milestones!$AB$25),UPPER(TEXT(EDATE($D86,Milestones!$AA$25),"dd mmm yy"))&amp;" "&amp;Milestones!$AB$25&amp;" "&amp;IF(AND(Milestones!$AB$25="FT",Milestones!$AA$25=FT_Y5,EDATE($D86,Milestones!$AA$25)&lt;PolicyEff),1,Milestones!$AC$25)&amp;";  ","")&amp;IF(AND(EDATE($D86,Milestones!$AA$26)&lt;=AsOfDate,EDATE($D86,Milestones!$AA$26)&gt;=SchemeStart,IF($X86=0,$AD86,IF(AND($Z86&lt;&gt;"",EDATE($D86,Milestones!$AA$26)&gt;=$Z86),$AC86,IF(AND($Y86&lt;&gt;"",EDATE($D86,Milestones!$AA$26)&gt;=$Y86),$AB86,$AA86)))=Milestones!$AB$26),UPPER(TEXT(EDATE($D86,Milestones!$AA$26),"dd mmm yy"))&amp;" "&amp;Milestones!$AB$26&amp;" "&amp;IF(AND(Milestones!$AB$26="FT",Milestones!$AA$26=FT_Y5,EDATE($D86,Milestones!$AA$26)&lt;PolicyEff),1,Milestones!$AC$26)&amp;";  ","")&amp;IF(AND(EDATE($D86,Milestones!$AA$27)&lt;=AsOfDate,EDATE($D86,Milestones!$AA$27)&gt;=SchemeStart,IF($X86=0,$AD86,IF(AND($Z86&lt;&gt;"",EDATE($D86,Milestones!$AA$27)&gt;=$Z86),$AC86,IF(AND($Y86&lt;&gt;"",EDATE($D86,Milestones!$AA$27)&gt;=$Y86),$AB86,$AA86)))=Milestones!$AB$27),UPPER(TEXT(EDATE($D86,Milestones!$AA$27),"dd mmm yy"))&amp;" "&amp;Milestones!$AB$27&amp;" "&amp;IF(AND(Milestones!$AB$27="FT",Milestones!$AA$27=FT_Y5,EDATE($D86,Milestones!$AA$27)&lt;PolicyEff),1,Milestones!$AC$27)&amp;";  ","")&amp;IF(AND(EDATE($D86,Milestones!$AA$28)&lt;=AsOfDate,EDATE($D86,Milestones!$AA$28)&gt;=SchemeStart,IF($X86=0,$AD86,IF(AND($Z86&lt;&gt;"",EDATE($D86,Milestones!$AA$28)&gt;=$Z86),$AC86,IF(AND($Y86&lt;&gt;"",EDATE($D86,Milestones!$AA$28)&gt;=$Y86),$AB86,$AA86)))=Milestones!$AB$28),UPPER(TEXT(EDATE($D86,Milestones!$AA$28),"dd mmm yy"))&amp;" "&amp;Milestones!$AB$28&amp;" "&amp;IF(AND(Milestones!$AB$28="FT",Milestones!$AA$28=FT_Y5,EDATE($D86,Milestones!$AA$28)&lt;PolicyEff),1,Milestones!$AC$28)&amp;";  ","")&amp;IF(AND(EDATE($D86,Milestones!$AA$29)&lt;=AsOfDate,EDATE($D86,Milestones!$AA$29)&gt;=SchemeStart,IF($X86=0,$AD86,IF(AND($Z86&lt;&gt;"",EDATE($D86,Milestones!$AA$29)&gt;=$Z86),$AC86,IF(AND($Y86&lt;&gt;"",EDATE($D86,Milestones!$AA$29)&gt;=$Y86),$AB86,$AA86)))=Milestones!$AB$29),UPPER(TEXT(EDATE($D86,Milestones!$AA$29),"dd mmm yy"))&amp;" "&amp;Milestones!$AB$29&amp;" "&amp;IF(AND(Milestones!$AB$29="FT",Milestones!$AA$29=FT_Y5,EDATE($D86,Milestones!$AA$29)&lt;PolicyEff),1,Milestones!$AC$29)&amp;";  ","")&amp;IF(AND(EDATE($D86,Milestones!$AA$30)&lt;=AsOfDate,EDATE($D86,Milestones!$AA$30)&gt;=SchemeStart,IF($X86=0,$AD86,IF(AND($Z86&lt;&gt;"",EDATE($D86,Milestones!$AA$30)&gt;=$Z86),$AC86,IF(AND($Y86&lt;&gt;"",EDATE($D86,Milestones!$AA$30)&gt;=$Y86),$AB86,$AA86)))=Milestones!$AB$30),UPPER(TEXT(EDATE($D86,Milestones!$AA$30),"dd mmm yy"))&amp;" "&amp;Milestones!$AB$30&amp;" "&amp;IF(AND(Milestones!$AB$30="FT",Milestones!$AA$30=FT_Y5,EDATE($D86,Milestones!$AA$30)&lt;PolicyEff),1,Milestones!$AC$30)&amp;";  ","")&amp;IF(AND(EDATE($D86,Milestones!$AA$31)&lt;=AsOfDate,EDATE($D86,Milestones!$AA$31)&gt;=SchemeStart,IF($X86=0,$AD86,IF(AND($Z86&lt;&gt;"",EDATE($D86,Milestones!$AA$31)&gt;=$Z86),$AC86,IF(AND($Y86&lt;&gt;"",EDATE($D86,Milestones!$AA$31)&gt;=$Y86),$AB86,$AA86)))=Milestones!$AB$31),UPPER(TEXT(EDATE($D86,Milestones!$AA$31),"dd mmm yy"))&amp;" "&amp;Milestones!$AB$31&amp;" "&amp;IF(AND(Milestones!$AB$31="FT",Milestones!$AA$31=FT_Y5,EDATE($D86,Milestones!$AA$31)&lt;PolicyEff),1,Milestones!$AC$31)&amp;";  ",""))</f>
        <v/>
      </c>
      <c r="J86" s="0" t="str">
        <f aca="false">IF(OR($A86="",$D86=""),"",IF(AND(EDATE($D86,Milestones!$AA$32)&lt;=AsOfDate,EDATE($D86,Milestones!$AA$32)&gt;=SchemeStart,IF($X86=0,$AD86,IF(AND($Z86&lt;&gt;"",EDATE($D86,Milestones!$AA$32)&gt;=$Z86),$AC86,IF(AND($Y86&lt;&gt;"",EDATE($D86,Milestones!$AA$32)&gt;=$Y86),$AB86,$AA86)))=Milestones!$AB$32),UPPER(TEXT(EDATE($D86,Milestones!$AA$32),"dd mmm yy"))&amp;" "&amp;Milestones!$AB$32&amp;" "&amp;IF(AND(Milestones!$AB$32="FT",Milestones!$AA$32=FT_Y5,EDATE($D86,Milestones!$AA$32)&lt;PolicyEff),1,Milestones!$AC$32)&amp;";  ","")&amp;IF(AND(EDATE($D86,Milestones!$AA$33)&lt;=AsOfDate,EDATE($D86,Milestones!$AA$33)&gt;=SchemeStart,IF($X86=0,$AD86,IF(AND($Z86&lt;&gt;"",EDATE($D86,Milestones!$AA$33)&gt;=$Z86),$AC86,IF(AND($Y86&lt;&gt;"",EDATE($D86,Milestones!$AA$33)&gt;=$Y86),$AB86,$AA86)))=Milestones!$AB$33),UPPER(TEXT(EDATE($D86,Milestones!$AA$33),"dd mmm yy"))&amp;" "&amp;Milestones!$AB$33&amp;" "&amp;IF(AND(Milestones!$AB$33="FT",Milestones!$AA$33=FT_Y5,EDATE($D86,Milestones!$AA$33)&lt;PolicyEff),1,Milestones!$AC$33)&amp;";  ","")&amp;IF(AND(EDATE($D86,Milestones!$AA$34)&lt;=AsOfDate,EDATE($D86,Milestones!$AA$34)&gt;=SchemeStart,IF($X86=0,$AD86,IF(AND($Z86&lt;&gt;"",EDATE($D86,Milestones!$AA$34)&gt;=$Z86),$AC86,IF(AND($Y86&lt;&gt;"",EDATE($D86,Milestones!$AA$34)&gt;=$Y86),$AB86,$AA86)))=Milestones!$AB$34),UPPER(TEXT(EDATE($D86,Milestones!$AA$34),"dd mmm yy"))&amp;" "&amp;Milestones!$AB$34&amp;" "&amp;IF(AND(Milestones!$AB$34="FT",Milestones!$AA$34=FT_Y5,EDATE($D86,Milestones!$AA$34)&lt;PolicyEff),1,Milestones!$AC$34)&amp;";  ","")&amp;IF(AND(EDATE($D86,Milestones!$AA$35)&lt;=AsOfDate,EDATE($D86,Milestones!$AA$35)&gt;=SchemeStart,IF($X86=0,$AD86,IF(AND($Z86&lt;&gt;"",EDATE($D86,Milestones!$AA$35)&gt;=$Z86),$AC86,IF(AND($Y86&lt;&gt;"",EDATE($D86,Milestones!$AA$35)&gt;=$Y86),$AB86,$AA86)))=Milestones!$AB$35),UPPER(TEXT(EDATE($D86,Milestones!$AA$35),"dd mmm yy"))&amp;" "&amp;Milestones!$AB$35&amp;" "&amp;IF(AND(Milestones!$AB$35="FT",Milestones!$AA$35=FT_Y5,EDATE($D86,Milestones!$AA$35)&lt;PolicyEff),1,Milestones!$AC$35)&amp;";  ","")&amp;IF(AND(EDATE($D86,Milestones!$AA$36)&lt;=AsOfDate,EDATE($D86,Milestones!$AA$36)&gt;=SchemeStart,IF($X86=0,$AD86,IF(AND($Z86&lt;&gt;"",EDATE($D86,Milestones!$AA$36)&gt;=$Z86),$AC86,IF(AND($Y86&lt;&gt;"",EDATE($D86,Milestones!$AA$36)&gt;=$Y86),$AB86,$AA86)))=Milestones!$AB$36),UPPER(TEXT(EDATE($D86,Milestones!$AA$36),"dd mmm yy"))&amp;" "&amp;Milestones!$AB$36&amp;" "&amp;IF(AND(Milestones!$AB$36="FT",Milestones!$AA$36=FT_Y5,EDATE($D86,Milestones!$AA$36)&lt;PolicyEff),1,Milestones!$AC$36)&amp;";  ","")&amp;IF(AND(EDATE($D86,Milestones!$AA$37)&lt;=AsOfDate,EDATE($D86,Milestones!$AA$37)&gt;=SchemeStart,IF($X86=0,$AD86,IF(AND($Z86&lt;&gt;"",EDATE($D86,Milestones!$AA$37)&gt;=$Z86),$AC86,IF(AND($Y86&lt;&gt;"",EDATE($D86,Milestones!$AA$37)&gt;=$Y86),$AB86,$AA86)))=Milestones!$AB$37),UPPER(TEXT(EDATE($D86,Milestones!$AA$37),"dd mmm yy"))&amp;" "&amp;Milestones!$AB$37&amp;" "&amp;IF(AND(Milestones!$AB$37="FT",Milestones!$AA$37=FT_Y5,EDATE($D86,Milestones!$AA$37)&lt;PolicyEff),1,Milestones!$AC$37)&amp;";  ","")&amp;IF(AND(EDATE($D86,Milestones!$AA$38)&lt;=AsOfDate,EDATE($D86,Milestones!$AA$38)&gt;=SchemeStart,IF($X86=0,$AD86,IF(AND($Z86&lt;&gt;"",EDATE($D86,Milestones!$AA$38)&gt;=$Z86),$AC86,IF(AND($Y86&lt;&gt;"",EDATE($D86,Milestones!$AA$38)&gt;=$Y86),$AB86,$AA86)))=Milestones!$AB$38),UPPER(TEXT(EDATE($D86,Milestones!$AA$38),"dd mmm yy"))&amp;" "&amp;Milestones!$AB$38&amp;" "&amp;IF(AND(Milestones!$AB$38="FT",Milestones!$AA$38=FT_Y5,EDATE($D86,Milestones!$AA$38)&lt;PolicyEff),1,Milestones!$AC$38)&amp;";  ","")&amp;IF(AND(EDATE($D86,Milestones!$AA$39)&lt;=AsOfDate,EDATE($D86,Milestones!$AA$39)&gt;=SchemeStart,IF($X86=0,$AD86,IF(AND($Z86&lt;&gt;"",EDATE($D86,Milestones!$AA$39)&gt;=$Z86),$AC86,IF(AND($Y86&lt;&gt;"",EDATE($D86,Milestones!$AA$39)&gt;=$Y86),$AB86,$AA86)))=Milestones!$AB$39),UPPER(TEXT(EDATE($D86,Milestones!$AA$39),"dd mmm yy"))&amp;" "&amp;Milestones!$AB$39&amp;" "&amp;IF(AND(Milestones!$AB$39="FT",Milestones!$AA$39=FT_Y5,EDATE($D86,Milestones!$AA$39)&lt;PolicyEff),1,Milestones!$AC$39)&amp;";  ","")&amp;IF(AND(EDATE($D86,Milestones!$AA$40)&lt;=AsOfDate,EDATE($D86,Milestones!$AA$40)&gt;=SchemeStart,IF($X86=0,$AD86,IF(AND($Z86&lt;&gt;"",EDATE($D86,Milestones!$AA$40)&gt;=$Z86),$AC86,IF(AND($Y86&lt;&gt;"",EDATE($D86,Milestones!$AA$40)&gt;=$Y86),$AB86,$AA86)))=Milestones!$AB$40),UPPER(TEXT(EDATE($D86,Milestones!$AA$40),"dd mmm yy"))&amp;" "&amp;Milestones!$AB$40&amp;" "&amp;IF(AND(Milestones!$AB$40="FT",Milestones!$AA$40=FT_Y5,EDATE($D86,Milestones!$AA$40)&lt;PolicyEff),1,Milestones!$AC$40)&amp;";  ","")&amp;IF(AND(EDATE($D86,Milestones!$AA$41)&lt;=AsOfDate,EDATE($D86,Milestones!$AA$41)&gt;=SchemeStart,IF($X86=0,$AD86,IF(AND($Z86&lt;&gt;"",EDATE($D86,Milestones!$AA$41)&gt;=$Z86),$AC86,IF(AND($Y86&lt;&gt;"",EDATE($D86,Milestones!$AA$41)&gt;=$Y86),$AB86,$AA86)))=Milestones!$AB$41),UPPER(TEXT(EDATE($D86,Milestones!$AA$41),"dd mmm yy"))&amp;" "&amp;Milestones!$AB$41&amp;" "&amp;IF(AND(Milestones!$AB$41="FT",Milestones!$AA$41=FT_Y5,EDATE($D86,Milestones!$AA$41)&lt;PolicyEff),1,Milestones!$AC$41)&amp;";  ","")&amp;IF(AND(EDATE($D86,Milestones!$AA$42)&lt;=AsOfDate,EDATE($D86,Milestones!$AA$42)&gt;=SchemeStart,IF($X86=0,$AD86,IF(AND($Z86&lt;&gt;"",EDATE($D86,Milestones!$AA$42)&gt;=$Z86),$AC86,IF(AND($Y86&lt;&gt;"",EDATE($D86,Milestones!$AA$42)&gt;=$Y86),$AB86,$AA86)))=Milestones!$AB$42),UPPER(TEXT(EDATE($D86,Milestones!$AA$42),"dd mmm yy"))&amp;" "&amp;Milestones!$AB$42&amp;" "&amp;IF(AND(Milestones!$AB$42="FT",Milestones!$AA$42=FT_Y5,EDATE($D86,Milestones!$AA$42)&lt;PolicyEff),1,Milestones!$AC$42)&amp;";  ","")&amp;IF(AND(EDATE($D86,Milestones!$AA$43)&lt;=AsOfDate,EDATE($D86,Milestones!$AA$43)&gt;=SchemeStart,IF($X86=0,$AD86,IF(AND($Z86&lt;&gt;"",EDATE($D86,Milestones!$AA$43)&gt;=$Z86),$AC86,IF(AND($Y86&lt;&gt;"",EDATE($D86,Milestones!$AA$43)&gt;=$Y86),$AB86,$AA86)))=Milestones!$AB$43),UPPER(TEXT(EDATE($D86,Milestones!$AA$43),"dd mmm yy"))&amp;" "&amp;Milestones!$AB$43&amp;" "&amp;IF(AND(Milestones!$AB$43="FT",Milestones!$AA$43=FT_Y5,EDATE($D86,Milestones!$AA$43)&lt;PolicyEff),1,Milestones!$AC$43)&amp;";  ",""))</f>
        <v/>
      </c>
      <c r="K86" s="0" t="str">
        <f aca="false">IF(OR($A86="",$D86=""),"",IF(AND(EDATE($D86,Milestones!$AA$44)&lt;=AsOfDate,EDATE($D86,Milestones!$AA$44)&gt;=SchemeStart,IF($X86=0,$AD86,IF(AND($Z86&lt;&gt;"",EDATE($D86,Milestones!$AA$44)&gt;=$Z86),$AC86,IF(AND($Y86&lt;&gt;"",EDATE($D86,Milestones!$AA$44)&gt;=$Y86),$AB86,$AA86)))=Milestones!$AB$44),UPPER(TEXT(EDATE($D86,Milestones!$AA$44),"dd mmm yy"))&amp;" "&amp;Milestones!$AB$44&amp;" "&amp;IF(AND(Milestones!$AB$44="FT",Milestones!$AA$44=FT_Y5,EDATE($D86,Milestones!$AA$44)&lt;PolicyEff),1,Milestones!$AC$44)&amp;";  ","")&amp;IF(AND(EDATE($D86,Milestones!$AA$45)&lt;=AsOfDate,EDATE($D86,Milestones!$AA$45)&gt;=SchemeStart,IF($X86=0,$AD86,IF(AND($Z86&lt;&gt;"",EDATE($D86,Milestones!$AA$45)&gt;=$Z86),$AC86,IF(AND($Y86&lt;&gt;"",EDATE($D86,Milestones!$AA$45)&gt;=$Y86),$AB86,$AA86)))=Milestones!$AB$45),UPPER(TEXT(EDATE($D86,Milestones!$AA$45),"dd mmm yy"))&amp;" "&amp;Milestones!$AB$45&amp;" "&amp;IF(AND(Milestones!$AB$45="FT",Milestones!$AA$45=FT_Y5,EDATE($D86,Milestones!$AA$45)&lt;PolicyEff),1,Milestones!$AC$45)&amp;";  ","")&amp;IF(AND(EDATE($D86,Milestones!$AA$46)&lt;=AsOfDate,EDATE($D86,Milestones!$AA$46)&gt;=SchemeStart,IF($X86=0,$AD86,IF(AND($Z86&lt;&gt;"",EDATE($D86,Milestones!$AA$46)&gt;=$Z86),$AC86,IF(AND($Y86&lt;&gt;"",EDATE($D86,Milestones!$AA$46)&gt;=$Y86),$AB86,$AA86)))=Milestones!$AB$46),UPPER(TEXT(EDATE($D86,Milestones!$AA$46),"dd mmm yy"))&amp;" "&amp;Milestones!$AB$46&amp;" "&amp;IF(AND(Milestones!$AB$46="FT",Milestones!$AA$46=FT_Y5,EDATE($D86,Milestones!$AA$46)&lt;PolicyEff),1,Milestones!$AC$46)&amp;";  ","")&amp;IF(AND(EDATE($D86,Milestones!$AA$47)&lt;=AsOfDate,EDATE($D86,Milestones!$AA$47)&gt;=SchemeStart,IF($X86=0,$AD86,IF(AND($Z86&lt;&gt;"",EDATE($D86,Milestones!$AA$47)&gt;=$Z86),$AC86,IF(AND($Y86&lt;&gt;"",EDATE($D86,Milestones!$AA$47)&gt;=$Y86),$AB86,$AA86)))=Milestones!$AB$47),UPPER(TEXT(EDATE($D86,Milestones!$AA$47),"dd mmm yy"))&amp;" "&amp;Milestones!$AB$47&amp;" "&amp;IF(AND(Milestones!$AB$47="FT",Milestones!$AA$47=FT_Y5,EDATE($D86,Milestones!$AA$47)&lt;PolicyEff),1,Milestones!$AC$47)&amp;";  ","")&amp;IF(AND(EDATE($D86,Milestones!$AA$48)&lt;=AsOfDate,EDATE($D86,Milestones!$AA$48)&gt;=SchemeStart,IF($X86=0,$AD86,IF(AND($Z86&lt;&gt;"",EDATE($D86,Milestones!$AA$48)&gt;=$Z86),$AC86,IF(AND($Y86&lt;&gt;"",EDATE($D86,Milestones!$AA$48)&gt;=$Y86),$AB86,$AA86)))=Milestones!$AB$48),UPPER(TEXT(EDATE($D86,Milestones!$AA$48),"dd mmm yy"))&amp;" "&amp;Milestones!$AB$48&amp;" "&amp;IF(AND(Milestones!$AB$48="FT",Milestones!$AA$48=FT_Y5,EDATE($D86,Milestones!$AA$48)&lt;PolicyEff),1,Milestones!$AC$48)&amp;";  ","")&amp;IF(AND(EDATE($D86,Milestones!$AA$49)&lt;=AsOfDate,EDATE($D86,Milestones!$AA$49)&gt;=SchemeStart,IF($X86=0,$AD86,IF(AND($Z86&lt;&gt;"",EDATE($D86,Milestones!$AA$49)&gt;=$Z86),$AC86,IF(AND($Y86&lt;&gt;"",EDATE($D86,Milestones!$AA$49)&gt;=$Y86),$AB86,$AA86)))=Milestones!$AB$49),UPPER(TEXT(EDATE($D86,Milestones!$AA$49),"dd mmm yy"))&amp;" "&amp;Milestones!$AB$49&amp;" "&amp;IF(AND(Milestones!$AB$49="FT",Milestones!$AA$49=FT_Y5,EDATE($D86,Milestones!$AA$49)&lt;PolicyEff),1,Milestones!$AC$49)&amp;";  ","")&amp;IF(AND(EDATE($D86,Milestones!$AA$50)&lt;=AsOfDate,EDATE($D86,Milestones!$AA$50)&gt;=SchemeStart,IF($X86=0,$AD86,IF(AND($Z86&lt;&gt;"",EDATE($D86,Milestones!$AA$50)&gt;=$Z86),$AC86,IF(AND($Y86&lt;&gt;"",EDATE($D86,Milestones!$AA$50)&gt;=$Y86),$AB86,$AA86)))=Milestones!$AB$50),UPPER(TEXT(EDATE($D86,Milestones!$AA$50),"dd mmm yy"))&amp;" "&amp;Milestones!$AB$50&amp;" "&amp;IF(AND(Milestones!$AB$50="FT",Milestones!$AA$50=FT_Y5,EDATE($D86,Milestones!$AA$50)&lt;PolicyEff),1,Milestones!$AC$50)&amp;";  ","")&amp;IF(AND(EDATE($D86,Milestones!$AA$51)&lt;=AsOfDate,EDATE($D86,Milestones!$AA$51)&gt;=SchemeStart,IF($X86=0,$AD86,IF(AND($Z86&lt;&gt;"",EDATE($D86,Milestones!$AA$51)&gt;=$Z86),$AC86,IF(AND($Y86&lt;&gt;"",EDATE($D86,Milestones!$AA$51)&gt;=$Y86),$AB86,$AA86)))=Milestones!$AB$51),UPPER(TEXT(EDATE($D86,Milestones!$AA$51),"dd mmm yy"))&amp;" "&amp;Milestones!$AB$51&amp;" "&amp;IF(AND(Milestones!$AB$51="FT",Milestones!$AA$51=FT_Y5,EDATE($D86,Milestones!$AA$51)&lt;PolicyEff),1,Milestones!$AC$51)&amp;";  ","")&amp;IF(AND(EDATE($D86,Milestones!$AA$52)&lt;=AsOfDate,EDATE($D86,Milestones!$AA$52)&gt;=SchemeStart,IF($X86=0,$AD86,IF(AND($Z86&lt;&gt;"",EDATE($D86,Milestones!$AA$52)&gt;=$Z86),$AC86,IF(AND($Y86&lt;&gt;"",EDATE($D86,Milestones!$AA$52)&gt;=$Y86),$AB86,$AA86)))=Milestones!$AB$52),UPPER(TEXT(EDATE($D86,Milestones!$AA$52),"dd mmm yy"))&amp;" "&amp;Milestones!$AB$52&amp;" "&amp;IF(AND(Milestones!$AB$52="FT",Milestones!$AA$52=FT_Y5,EDATE($D86,Milestones!$AA$52)&lt;PolicyEff),1,Milestones!$AC$52)&amp;";  ","")&amp;IF(AND(EDATE($D86,Milestones!$AA$53)&lt;=AsOfDate,EDATE($D86,Milestones!$AA$53)&gt;=SchemeStart,IF($X86=0,$AD86,IF(AND($Z86&lt;&gt;"",EDATE($D86,Milestones!$AA$53)&gt;=$Z86),$AC86,IF(AND($Y86&lt;&gt;"",EDATE($D86,Milestones!$AA$53)&gt;=$Y86),$AB86,$AA86)))=Milestones!$AB$53),UPPER(TEXT(EDATE($D86,Milestones!$AA$53),"dd mmm yy"))&amp;" "&amp;Milestones!$AB$53&amp;" "&amp;IF(AND(Milestones!$AB$53="FT",Milestones!$AA$53=FT_Y5,EDATE($D86,Milestones!$AA$53)&lt;PolicyEff),1,Milestones!$AC$53)&amp;";  ","")&amp;IF(AND(EDATE($D86,Milestones!$AA$54)&lt;=AsOfDate,EDATE($D86,Milestones!$AA$54)&gt;=SchemeStart,IF($X86=0,$AD86,IF(AND($Z86&lt;&gt;"",EDATE($D86,Milestones!$AA$54)&gt;=$Z86),$AC86,IF(AND($Y86&lt;&gt;"",EDATE($D86,Milestones!$AA$54)&gt;=$Y86),$AB86,$AA86)))=Milestones!$AB$54),UPPER(TEXT(EDATE($D86,Milestones!$AA$54),"dd mmm yy"))&amp;" "&amp;Milestones!$AB$54&amp;" "&amp;IF(AND(Milestones!$AB$54="FT",Milestones!$AA$54=FT_Y5,EDATE($D86,Milestones!$AA$54)&lt;PolicyEff),1,Milestones!$AC$54)&amp;";  ","")&amp;IF(AND(EDATE($D86,Milestones!$AA$55)&lt;=AsOfDate,EDATE($D86,Milestones!$AA$55)&gt;=SchemeStart,IF($X86=0,$AD86,IF(AND($Z86&lt;&gt;"",EDATE($D86,Milestones!$AA$55)&gt;=$Z86),$AC86,IF(AND($Y86&lt;&gt;"",EDATE($D86,Milestones!$AA$55)&gt;=$Y86),$AB86,$AA86)))=Milestones!$AB$55),UPPER(TEXT(EDATE($D86,Milestones!$AA$55),"dd mmm yy"))&amp;" "&amp;Milestones!$AB$55&amp;" "&amp;IF(AND(Milestones!$AB$55="FT",Milestones!$AA$55=FT_Y5,EDATE($D86,Milestones!$AA$55)&lt;PolicyEff),1,Milestones!$AC$55)&amp;";  ",""))</f>
        <v/>
      </c>
      <c r="L86" s="0" t="str">
        <f aca="false">IF(OR($A86="",$D86=""),"",IF(AND(EDATE($D86,Milestones!$AA$56)&lt;=AsOfDate,EDATE($D86,Milestones!$AA$56)&gt;=SchemeStart,IF($X86=0,$AD86,IF(AND($Z86&lt;&gt;"",EDATE($D86,Milestones!$AA$56)&gt;=$Z86),$AC86,IF(AND($Y86&lt;&gt;"",EDATE($D86,Milestones!$AA$56)&gt;=$Y86),$AB86,$AA86)))=Milestones!$AB$56),UPPER(TEXT(EDATE($D86,Milestones!$AA$56),"dd mmm yy"))&amp;" "&amp;Milestones!$AB$56&amp;" "&amp;IF(AND(Milestones!$AB$56="FT",Milestones!$AA$56=FT_Y5,EDATE($D86,Milestones!$AA$56)&lt;PolicyEff),1,Milestones!$AC$56)&amp;";  ","")&amp;IF(AND(EDATE($D86,Milestones!$AA$57)&lt;=AsOfDate,EDATE($D86,Milestones!$AA$57)&gt;=SchemeStart,IF($X86=0,$AD86,IF(AND($Z86&lt;&gt;"",EDATE($D86,Milestones!$AA$57)&gt;=$Z86),$AC86,IF(AND($Y86&lt;&gt;"",EDATE($D86,Milestones!$AA$57)&gt;=$Y86),$AB86,$AA86)))=Milestones!$AB$57),UPPER(TEXT(EDATE($D86,Milestones!$AA$57),"dd mmm yy"))&amp;" "&amp;Milestones!$AB$57&amp;" "&amp;IF(AND(Milestones!$AB$57="FT",Milestones!$AA$57=FT_Y5,EDATE($D86,Milestones!$AA$57)&lt;PolicyEff),1,Milestones!$AC$57)&amp;";  ","")&amp;IF(AND(EDATE($D86,Milestones!$AA$58)&lt;=AsOfDate,EDATE($D86,Milestones!$AA$58)&gt;=SchemeStart,IF($X86=0,$AD86,IF(AND($Z86&lt;&gt;"",EDATE($D86,Milestones!$AA$58)&gt;=$Z86),$AC86,IF(AND($Y86&lt;&gt;"",EDATE($D86,Milestones!$AA$58)&gt;=$Y86),$AB86,$AA86)))=Milestones!$AB$58),UPPER(TEXT(EDATE($D86,Milestones!$AA$58),"dd mmm yy"))&amp;" "&amp;Milestones!$AB$58&amp;" "&amp;IF(AND(Milestones!$AB$58="FT",Milestones!$AA$58=FT_Y5,EDATE($D86,Milestones!$AA$58)&lt;PolicyEff),1,Milestones!$AC$58)&amp;";  ","")&amp;IF(AND(EDATE($D86,Milestones!$AA$59)&lt;=AsOfDate,EDATE($D86,Milestones!$AA$59)&gt;=SchemeStart,IF($X86=0,$AD86,IF(AND($Z86&lt;&gt;"",EDATE($D86,Milestones!$AA$59)&gt;=$Z86),$AC86,IF(AND($Y86&lt;&gt;"",EDATE($D86,Milestones!$AA$59)&gt;=$Y86),$AB86,$AA86)))=Milestones!$AB$59),UPPER(TEXT(EDATE($D86,Milestones!$AA$59),"dd mmm yy"))&amp;" "&amp;Milestones!$AB$59&amp;" "&amp;IF(AND(Milestones!$AB$59="FT",Milestones!$AA$59=FT_Y5,EDATE($D86,Milestones!$AA$59)&lt;PolicyEff),1,Milestones!$AC$59)&amp;";  ","")&amp;IF(AND(EDATE($D86,Milestones!$AA$60)&lt;=AsOfDate,EDATE($D86,Milestones!$AA$60)&gt;=SchemeStart,IF($X86=0,$AD86,IF(AND($Z86&lt;&gt;"",EDATE($D86,Milestones!$AA$60)&gt;=$Z86),$AC86,IF(AND($Y86&lt;&gt;"",EDATE($D86,Milestones!$AA$60)&gt;=$Y86),$AB86,$AA86)))=Milestones!$AB$60),UPPER(TEXT(EDATE($D86,Milestones!$AA$60),"dd mmm yy"))&amp;" "&amp;Milestones!$AB$60&amp;" "&amp;IF(AND(Milestones!$AB$60="FT",Milestones!$AA$60=FT_Y5,EDATE($D86,Milestones!$AA$60)&lt;PolicyEff),1,Milestones!$AC$60)&amp;";  ","")&amp;IF(AND(EDATE($D86,Milestones!$AA$61)&lt;=AsOfDate,EDATE($D86,Milestones!$AA$61)&gt;=SchemeStart,IF($X86=0,$AD86,IF(AND($Z86&lt;&gt;"",EDATE($D86,Milestones!$AA$61)&gt;=$Z86),$AC86,IF(AND($Y86&lt;&gt;"",EDATE($D86,Milestones!$AA$61)&gt;=$Y86),$AB86,$AA86)))=Milestones!$AB$61),UPPER(TEXT(EDATE($D86,Milestones!$AA$61),"dd mmm yy"))&amp;" "&amp;Milestones!$AB$61&amp;" "&amp;IF(AND(Milestones!$AB$61="FT",Milestones!$AA$61=FT_Y5,EDATE($D86,Milestones!$AA$61)&lt;PolicyEff),1,Milestones!$AC$61)&amp;";  ","")&amp;IF(AND(EDATE($D86,Milestones!$AA$62)&lt;=AsOfDate,EDATE($D86,Milestones!$AA$62)&gt;=SchemeStart,IF($X86=0,$AD86,IF(AND($Z86&lt;&gt;"",EDATE($D86,Milestones!$AA$62)&gt;=$Z86),$AC86,IF(AND($Y86&lt;&gt;"",EDATE($D86,Milestones!$AA$62)&gt;=$Y86),$AB86,$AA86)))=Milestones!$AB$62),UPPER(TEXT(EDATE($D86,Milestones!$AA$62),"dd mmm yy"))&amp;" "&amp;Milestones!$AB$62&amp;" "&amp;IF(AND(Milestones!$AB$62="FT",Milestones!$AA$62=FT_Y5,EDATE($D86,Milestones!$AA$62)&lt;PolicyEff),1,Milestones!$AC$62)&amp;";  ","")&amp;IF(AND(EDATE($D86,Milestones!$AA$63)&lt;=AsOfDate,EDATE($D86,Milestones!$AA$63)&gt;=SchemeStart,IF($X86=0,$AD86,IF(AND($Z86&lt;&gt;"",EDATE($D86,Milestones!$AA$63)&gt;=$Z86),$AC86,IF(AND($Y86&lt;&gt;"",EDATE($D86,Milestones!$AA$63)&gt;=$Y86),$AB86,$AA86)))=Milestones!$AB$63),UPPER(TEXT(EDATE($D86,Milestones!$AA$63),"dd mmm yy"))&amp;" "&amp;Milestones!$AB$63&amp;" "&amp;IF(AND(Milestones!$AB$63="FT",Milestones!$AA$63=FT_Y5,EDATE($D86,Milestones!$AA$63)&lt;PolicyEff),1,Milestones!$AC$63)&amp;";  ","")&amp;IF(AND(EDATE($D86,Milestones!$AA$64)&lt;=AsOfDate,EDATE($D86,Milestones!$AA$64)&gt;=SchemeStart,IF($X86=0,$AD86,IF(AND($Z86&lt;&gt;"",EDATE($D86,Milestones!$AA$64)&gt;=$Z86),$AC86,IF(AND($Y86&lt;&gt;"",EDATE($D86,Milestones!$AA$64)&gt;=$Y86),$AB86,$AA86)))=Milestones!$AB$64),UPPER(TEXT(EDATE($D86,Milestones!$AA$64),"dd mmm yy"))&amp;" "&amp;Milestones!$AB$64&amp;" "&amp;IF(AND(Milestones!$AB$64="FT",Milestones!$AA$64=FT_Y5,EDATE($D86,Milestones!$AA$64)&lt;PolicyEff),1,Milestones!$AC$64)&amp;";  ","")&amp;IF(AND(EDATE($D86,Milestones!$AA$65)&lt;=AsOfDate,EDATE($D86,Milestones!$AA$65)&gt;=SchemeStart,IF($X86=0,$AD86,IF(AND($Z86&lt;&gt;"",EDATE($D86,Milestones!$AA$65)&gt;=$Z86),$AC86,IF(AND($Y86&lt;&gt;"",EDATE($D86,Milestones!$AA$65)&gt;=$Y86),$AB86,$AA86)))=Milestones!$AB$65),UPPER(TEXT(EDATE($D86,Milestones!$AA$65),"dd mmm yy"))&amp;" "&amp;Milestones!$AB$65&amp;" "&amp;IF(AND(Milestones!$AB$65="FT",Milestones!$AA$65=FT_Y5,EDATE($D86,Milestones!$AA$65)&lt;PolicyEff),1,Milestones!$AC$65)&amp;";  ","")&amp;IF(AND(EDATE($D86,Milestones!$AA$66)&lt;=AsOfDate,EDATE($D86,Milestones!$AA$66)&gt;=SchemeStart,IF($X86=0,$AD86,IF(AND($Z86&lt;&gt;"",EDATE($D86,Milestones!$AA$66)&gt;=$Z86),$AC86,IF(AND($Y86&lt;&gt;"",EDATE($D86,Milestones!$AA$66)&gt;=$Y86),$AB86,$AA86)))=Milestones!$AB$66),UPPER(TEXT(EDATE($D86,Milestones!$AA$66),"dd mmm yy"))&amp;" "&amp;Milestones!$AB$66&amp;" "&amp;IF(AND(Milestones!$AB$66="FT",Milestones!$AA$66=FT_Y5,EDATE($D86,Milestones!$AA$66)&lt;PolicyEff),1,Milestones!$AC$66)&amp;";  ","")&amp;IF(AND(EDATE($D86,Milestones!$AA$67)&lt;=AsOfDate,EDATE($D86,Milestones!$AA$67)&gt;=SchemeStart,IF($X86=0,$AD86,IF(AND($Z86&lt;&gt;"",EDATE($D86,Milestones!$AA$67)&gt;=$Z86),$AC86,IF(AND($Y86&lt;&gt;"",EDATE($D86,Milestones!$AA$67)&gt;=$Y86),$AB86,$AA86)))=Milestones!$AB$67),UPPER(TEXT(EDATE($D86,Milestones!$AA$67),"dd mmm yy"))&amp;" "&amp;Milestones!$AB$67&amp;" "&amp;IF(AND(Milestones!$AB$67="FT",Milestones!$AA$67=FT_Y5,EDATE($D86,Milestones!$AA$67)&lt;PolicyEff),1,Milestones!$AC$67)&amp;";  ",""))</f>
        <v/>
      </c>
      <c r="M86" s="0" t="str">
        <f aca="false">IF(OR($A86="",$D86=""),"",IF(AND(EDATE($D86,Milestones!$AA$68)&lt;=AsOfDate,EDATE($D86,Milestones!$AA$68)&gt;=SchemeStart,IF($X86=0,$AD86,IF(AND($Z86&lt;&gt;"",EDATE($D86,Milestones!$AA$68)&gt;=$Z86),$AC86,IF(AND($Y86&lt;&gt;"",EDATE($D86,Milestones!$AA$68)&gt;=$Y86),$AB86,$AA86)))=Milestones!$AB$68),UPPER(TEXT(EDATE($D86,Milestones!$AA$68),"dd mmm yy"))&amp;" "&amp;Milestones!$AB$68&amp;" "&amp;IF(AND(Milestones!$AB$68="FT",Milestones!$AA$68=FT_Y5,EDATE($D86,Milestones!$AA$68)&lt;PolicyEff),1,Milestones!$AC$68)&amp;";  ","")&amp;IF(AND(EDATE($D86,Milestones!$AA$69)&lt;=AsOfDate,EDATE($D86,Milestones!$AA$69)&gt;=SchemeStart,IF($X86=0,$AD86,IF(AND($Z86&lt;&gt;"",EDATE($D86,Milestones!$AA$69)&gt;=$Z86),$AC86,IF(AND($Y86&lt;&gt;"",EDATE($D86,Milestones!$AA$69)&gt;=$Y86),$AB86,$AA86)))=Milestones!$AB$69),UPPER(TEXT(EDATE($D86,Milestones!$AA$69),"dd mmm yy"))&amp;" "&amp;Milestones!$AB$69&amp;" "&amp;IF(AND(Milestones!$AB$69="FT",Milestones!$AA$69=FT_Y5,EDATE($D86,Milestones!$AA$69)&lt;PolicyEff),1,Milestones!$AC$69)&amp;";  ","")&amp;IF(AND(EDATE($D86,Milestones!$AA$70)&lt;=AsOfDate,EDATE($D86,Milestones!$AA$70)&gt;=SchemeStart,IF($X86=0,$AD86,IF(AND($Z86&lt;&gt;"",EDATE($D86,Milestones!$AA$70)&gt;=$Z86),$AC86,IF(AND($Y86&lt;&gt;"",EDATE($D86,Milestones!$AA$70)&gt;=$Y86),$AB86,$AA86)))=Milestones!$AB$70),UPPER(TEXT(EDATE($D86,Milestones!$AA$70),"dd mmm yy"))&amp;" "&amp;Milestones!$AB$70&amp;" "&amp;IF(AND(Milestones!$AB$70="FT",Milestones!$AA$70=FT_Y5,EDATE($D86,Milestones!$AA$70)&lt;PolicyEff),1,Milestones!$AC$70)&amp;";  ","")&amp;IF(AND(EDATE($D86,Milestones!$AA$71)&lt;=AsOfDate,EDATE($D86,Milestones!$AA$71)&gt;=SchemeStart,IF($X86=0,$AD86,IF(AND($Z86&lt;&gt;"",EDATE($D86,Milestones!$AA$71)&gt;=$Z86),$AC86,IF(AND($Y86&lt;&gt;"",EDATE($D86,Milestones!$AA$71)&gt;=$Y86),$AB86,$AA86)))=Milestones!$AB$71),UPPER(TEXT(EDATE($D86,Milestones!$AA$71),"dd mmm yy"))&amp;" "&amp;Milestones!$AB$71&amp;" "&amp;IF(AND(Milestones!$AB$71="FT",Milestones!$AA$71=FT_Y5,EDATE($D86,Milestones!$AA$71)&lt;PolicyEff),1,Milestones!$AC$71)&amp;";  ","")&amp;IF(AND(EDATE($D86,Milestones!$AA$72)&lt;=AsOfDate,EDATE($D86,Milestones!$AA$72)&gt;=SchemeStart,IF($X86=0,$AD86,IF(AND($Z86&lt;&gt;"",EDATE($D86,Milestones!$AA$72)&gt;=$Z86),$AC86,IF(AND($Y86&lt;&gt;"",EDATE($D86,Milestones!$AA$72)&gt;=$Y86),$AB86,$AA86)))=Milestones!$AB$72),UPPER(TEXT(EDATE($D86,Milestones!$AA$72),"dd mmm yy"))&amp;" "&amp;Milestones!$AB$72&amp;" "&amp;IF(AND(Milestones!$AB$72="FT",Milestones!$AA$72=FT_Y5,EDATE($D86,Milestones!$AA$72)&lt;PolicyEff),1,Milestones!$AC$72)&amp;";  ","")&amp;IF(AND(EDATE($D86,Milestones!$AA$73)&lt;=AsOfDate,EDATE($D86,Milestones!$AA$73)&gt;=SchemeStart,IF($X86=0,$AD86,IF(AND($Z86&lt;&gt;"",EDATE($D86,Milestones!$AA$73)&gt;=$Z86),$AC86,IF(AND($Y86&lt;&gt;"",EDATE($D86,Milestones!$AA$73)&gt;=$Y86),$AB86,$AA86)))=Milestones!$AB$73),UPPER(TEXT(EDATE($D86,Milestones!$AA$73),"dd mmm yy"))&amp;" "&amp;Milestones!$AB$73&amp;" "&amp;IF(AND(Milestones!$AB$73="FT",Milestones!$AA$73=FT_Y5,EDATE($D86,Milestones!$AA$73)&lt;PolicyEff),1,Milestones!$AC$73)&amp;";  ","")&amp;IF(AND(EDATE($D86,Milestones!$AA$74)&lt;=AsOfDate,EDATE($D86,Milestones!$AA$74)&gt;=SchemeStart,IF($X86=0,$AD86,IF(AND($Z86&lt;&gt;"",EDATE($D86,Milestones!$AA$74)&gt;=$Z86),$AC86,IF(AND($Y86&lt;&gt;"",EDATE($D86,Milestones!$AA$74)&gt;=$Y86),$AB86,$AA86)))=Milestones!$AB$74),UPPER(TEXT(EDATE($D86,Milestones!$AA$74),"dd mmm yy"))&amp;" "&amp;Milestones!$AB$74&amp;" "&amp;IF(AND(Milestones!$AB$74="FT",Milestones!$AA$74=FT_Y5,EDATE($D86,Milestones!$AA$74)&lt;PolicyEff),1,Milestones!$AC$74)&amp;";  ","")&amp;IF(AND(EDATE($D86,Milestones!$AA$75)&lt;=AsOfDate,EDATE($D86,Milestones!$AA$75)&gt;=SchemeStart,IF($X86=0,$AD86,IF(AND($Z86&lt;&gt;"",EDATE($D86,Milestones!$AA$75)&gt;=$Z86),$AC86,IF(AND($Y86&lt;&gt;"",EDATE($D86,Milestones!$AA$75)&gt;=$Y86),$AB86,$AA86)))=Milestones!$AB$75),UPPER(TEXT(EDATE($D86,Milestones!$AA$75),"dd mmm yy"))&amp;" "&amp;Milestones!$AB$75&amp;" "&amp;IF(AND(Milestones!$AB$75="FT",Milestones!$AA$75=FT_Y5,EDATE($D86,Milestones!$AA$75)&lt;PolicyEff),1,Milestones!$AC$75)&amp;";  ","")&amp;IF(AND(EDATE($D86,Milestones!$AA$76)&lt;=AsOfDate,EDATE($D86,Milestones!$AA$76)&gt;=SchemeStart,IF($X86=0,$AD86,IF(AND($Z86&lt;&gt;"",EDATE($D86,Milestones!$AA$76)&gt;=$Z86),$AC86,IF(AND($Y86&lt;&gt;"",EDATE($D86,Milestones!$AA$76)&gt;=$Y86),$AB86,$AA86)))=Milestones!$AB$76),UPPER(TEXT(EDATE($D86,Milestones!$AA$76),"dd mmm yy"))&amp;" "&amp;Milestones!$AB$76&amp;" "&amp;IF(AND(Milestones!$AB$76="FT",Milestones!$AA$76=FT_Y5,EDATE($D86,Milestones!$AA$76)&lt;PolicyEff),1,Milestones!$AC$76)&amp;";  ","")&amp;IF(AND(EDATE($D86,Milestones!$AA$77)&lt;=AsOfDate,EDATE($D86,Milestones!$AA$77)&gt;=SchemeStart,IF($X86=0,$AD86,IF(AND($Z86&lt;&gt;"",EDATE($D86,Milestones!$AA$77)&gt;=$Z86),$AC86,IF(AND($Y86&lt;&gt;"",EDATE($D86,Milestones!$AA$77)&gt;=$Y86),$AB86,$AA86)))=Milestones!$AB$77),UPPER(TEXT(EDATE($D86,Milestones!$AA$77),"dd mmm yy"))&amp;" "&amp;Milestones!$AB$77&amp;" "&amp;IF(AND(Milestones!$AB$77="FT",Milestones!$AA$77=FT_Y5,EDATE($D86,Milestones!$AA$77)&lt;PolicyEff),1,Milestones!$AC$77)&amp;";  ","")&amp;IF(AND(EDATE($D86,Milestones!$AA$78)&lt;=AsOfDate,EDATE($D86,Milestones!$AA$78)&gt;=SchemeStart,IF($X86=0,$AD86,IF(AND($Z86&lt;&gt;"",EDATE($D86,Milestones!$AA$78)&gt;=$Z86),$AC86,IF(AND($Y86&lt;&gt;"",EDATE($D86,Milestones!$AA$78)&gt;=$Y86),$AB86,$AA86)))=Milestones!$AB$78),UPPER(TEXT(EDATE($D86,Milestones!$AA$78),"dd mmm yy"))&amp;" "&amp;Milestones!$AB$78&amp;" "&amp;IF(AND(Milestones!$AB$78="FT",Milestones!$AA$78=FT_Y5,EDATE($D86,Milestones!$AA$78)&lt;PolicyEff),1,Milestones!$AC$78)&amp;";  ","")&amp;IF(AND(EDATE($D86,Milestones!$AA$79)&lt;=AsOfDate,EDATE($D86,Milestones!$AA$79)&gt;=SchemeStart,IF($X86=0,$AD86,IF(AND($Z86&lt;&gt;"",EDATE($D86,Milestones!$AA$79)&gt;=$Z86),$AC86,IF(AND($Y86&lt;&gt;"",EDATE($D86,Milestones!$AA$79)&gt;=$Y86),$AB86,$AA86)))=Milestones!$AB$79),UPPER(TEXT(EDATE($D86,Milestones!$AA$79),"dd mmm yy"))&amp;" "&amp;Milestones!$AB$79&amp;" "&amp;IF(AND(Milestones!$AB$79="FT",Milestones!$AA$79=FT_Y5,EDATE($D86,Milestones!$AA$79)&lt;PolicyEff),1,Milestones!$AC$79)&amp;";  ",""))</f>
        <v/>
      </c>
      <c r="N86" s="0" t="str">
        <f aca="false">IF(OR($A86="",$D86=""),"",IF(AND(EDATE($D86,Milestones!$AA$80)&lt;=AsOfDate,EDATE($D86,Milestones!$AA$80)&gt;=SchemeStart,IF($X86=0,$AD86,IF(AND($Z86&lt;&gt;"",EDATE($D86,Milestones!$AA$80)&gt;=$Z86),$AC86,IF(AND($Y86&lt;&gt;"",EDATE($D86,Milestones!$AA$80)&gt;=$Y86),$AB86,$AA86)))=Milestones!$AB$80),UPPER(TEXT(EDATE($D86,Milestones!$AA$80),"dd mmm yy"))&amp;" "&amp;Milestones!$AB$80&amp;" "&amp;IF(AND(Milestones!$AB$80="FT",Milestones!$AA$80=FT_Y5,EDATE($D86,Milestones!$AA$80)&lt;PolicyEff),1,Milestones!$AC$80)&amp;";  ","")&amp;IF(AND(EDATE($D86,Milestones!$AA$81)&lt;=AsOfDate,EDATE($D86,Milestones!$AA$81)&gt;=SchemeStart,IF($X86=0,$AD86,IF(AND($Z86&lt;&gt;"",EDATE($D86,Milestones!$AA$81)&gt;=$Z86),$AC86,IF(AND($Y86&lt;&gt;"",EDATE($D86,Milestones!$AA$81)&gt;=$Y86),$AB86,$AA86)))=Milestones!$AB$81),UPPER(TEXT(EDATE($D86,Milestones!$AA$81),"dd mmm yy"))&amp;" "&amp;Milestones!$AB$81&amp;" "&amp;IF(AND(Milestones!$AB$81="FT",Milestones!$AA$81=FT_Y5,EDATE($D86,Milestones!$AA$81)&lt;PolicyEff),1,Milestones!$AC$81)&amp;";  ","")&amp;IF(AND(EDATE($D86,Milestones!$AA$82)&lt;=AsOfDate,EDATE($D86,Milestones!$AA$82)&gt;=SchemeStart,IF($X86=0,$AD86,IF(AND($Z86&lt;&gt;"",EDATE($D86,Milestones!$AA$82)&gt;=$Z86),$AC86,IF(AND($Y86&lt;&gt;"",EDATE($D86,Milestones!$AA$82)&gt;=$Y86),$AB86,$AA86)))=Milestones!$AB$82),UPPER(TEXT(EDATE($D86,Milestones!$AA$82),"dd mmm yy"))&amp;" "&amp;Milestones!$AB$82&amp;" "&amp;IF(AND(Milestones!$AB$82="FT",Milestones!$AA$82=FT_Y5,EDATE($D86,Milestones!$AA$82)&lt;PolicyEff),1,Milestones!$AC$82)&amp;";  ","")&amp;IF(AND(EDATE($D86,Milestones!$AA$83)&lt;=AsOfDate,EDATE($D86,Milestones!$AA$83)&gt;=SchemeStart,IF($X86=0,$AD86,IF(AND($Z86&lt;&gt;"",EDATE($D86,Milestones!$AA$83)&gt;=$Z86),$AC86,IF(AND($Y86&lt;&gt;"",EDATE($D86,Milestones!$AA$83)&gt;=$Y86),$AB86,$AA86)))=Milestones!$AB$83),UPPER(TEXT(EDATE($D86,Milestones!$AA$83),"dd mmm yy"))&amp;" "&amp;Milestones!$AB$83&amp;" "&amp;IF(AND(Milestones!$AB$83="FT",Milestones!$AA$83=FT_Y5,EDATE($D86,Milestones!$AA$83)&lt;PolicyEff),1,Milestones!$AC$83)&amp;";  ","")&amp;IF(AND(EDATE($D86,Milestones!$AA$84)&lt;=AsOfDate,EDATE($D86,Milestones!$AA$84)&gt;=SchemeStart,IF($X86=0,$AD86,IF(AND($Z86&lt;&gt;"",EDATE($D86,Milestones!$AA$84)&gt;=$Z86),$AC86,IF(AND($Y86&lt;&gt;"",EDATE($D86,Milestones!$AA$84)&gt;=$Y86),$AB86,$AA86)))=Milestones!$AB$84),UPPER(TEXT(EDATE($D86,Milestones!$AA$84),"dd mmm yy"))&amp;" "&amp;Milestones!$AB$84&amp;" "&amp;IF(AND(Milestones!$AB$84="FT",Milestones!$AA$84=FT_Y5,EDATE($D86,Milestones!$AA$84)&lt;PolicyEff),1,Milestones!$AC$84)&amp;";  ","")&amp;IF(AND(EDATE($D86,Milestones!$AA$85)&lt;=AsOfDate,EDATE($D86,Milestones!$AA$85)&gt;=SchemeStart,IF($X86=0,$AD86,IF(AND($Z86&lt;&gt;"",EDATE($D86,Milestones!$AA$85)&gt;=$Z86),$AC86,IF(AND($Y86&lt;&gt;"",EDATE($D86,Milestones!$AA$85)&gt;=$Y86),$AB86,$AA86)))=Milestones!$AB$85),UPPER(TEXT(EDATE($D86,Milestones!$AA$85),"dd mmm yy"))&amp;" "&amp;Milestones!$AB$85&amp;" "&amp;IF(AND(Milestones!$AB$85="FT",Milestones!$AA$85=FT_Y5,EDATE($D86,Milestones!$AA$85)&lt;PolicyEff),1,Milestones!$AC$85)&amp;";  ","")&amp;IF(AND(EDATE($D86,Milestones!$AA$86)&lt;=AsOfDate,EDATE($D86,Milestones!$AA$86)&gt;=SchemeStart,IF($X86=0,$AD86,IF(AND($Z86&lt;&gt;"",EDATE($D86,Milestones!$AA$86)&gt;=$Z86),$AC86,IF(AND($Y86&lt;&gt;"",EDATE($D86,Milestones!$AA$86)&gt;=$Y86),$AB86,$AA86)))=Milestones!$AB$86),UPPER(TEXT(EDATE($D86,Milestones!$AA$86),"dd mmm yy"))&amp;" "&amp;Milestones!$AB$86&amp;" "&amp;IF(AND(Milestones!$AB$86="FT",Milestones!$AA$86=FT_Y5,EDATE($D86,Milestones!$AA$86)&lt;PolicyEff),1,Milestones!$AC$86)&amp;";  ","")&amp;IF(AND(EDATE($D86,Milestones!$AA$87)&lt;=AsOfDate,EDATE($D86,Milestones!$AA$87)&gt;=SchemeStart,IF($X86=0,$AD86,IF(AND($Z86&lt;&gt;"",EDATE($D86,Milestones!$AA$87)&gt;=$Z86),$AC86,IF(AND($Y86&lt;&gt;"",EDATE($D86,Milestones!$AA$87)&gt;=$Y86),$AB86,$AA86)))=Milestones!$AB$87),UPPER(TEXT(EDATE($D86,Milestones!$AA$87),"dd mmm yy"))&amp;" "&amp;Milestones!$AB$87&amp;" "&amp;IF(AND(Milestones!$AB$87="FT",Milestones!$AA$87=FT_Y5,EDATE($D86,Milestones!$AA$87)&lt;PolicyEff),1,Milestones!$AC$87)&amp;";  ","")&amp;IF(AND(EDATE($D86,Milestones!$AA$88)&lt;=AsOfDate,EDATE($D86,Milestones!$AA$88)&gt;=SchemeStart,IF($X86=0,$AD86,IF(AND($Z86&lt;&gt;"",EDATE($D86,Milestones!$AA$88)&gt;=$Z86),$AC86,IF(AND($Y86&lt;&gt;"",EDATE($D86,Milestones!$AA$88)&gt;=$Y86),$AB86,$AA86)))=Milestones!$AB$88),UPPER(TEXT(EDATE($D86,Milestones!$AA$88),"dd mmm yy"))&amp;" "&amp;Milestones!$AB$88&amp;" "&amp;IF(AND(Milestones!$AB$88="FT",Milestones!$AA$88=FT_Y5,EDATE($D86,Milestones!$AA$88)&lt;PolicyEff),1,Milestones!$AC$88)&amp;";  ","")&amp;IF(AND(EDATE($D86,Milestones!$AA$89)&lt;=AsOfDate,EDATE($D86,Milestones!$AA$89)&gt;=SchemeStart,IF($X86=0,$AD86,IF(AND($Z86&lt;&gt;"",EDATE($D86,Milestones!$AA$89)&gt;=$Z86),$AC86,IF(AND($Y86&lt;&gt;"",EDATE($D86,Milestones!$AA$89)&gt;=$Y86),$AB86,$AA86)))=Milestones!$AB$89),UPPER(TEXT(EDATE($D86,Milestones!$AA$89),"dd mmm yy"))&amp;" "&amp;Milestones!$AB$89&amp;" "&amp;IF(AND(Milestones!$AB$89="FT",Milestones!$AA$89=FT_Y5,EDATE($D86,Milestones!$AA$89)&lt;PolicyEff),1,Milestones!$AC$89)&amp;";  ","")&amp;IF(AND(EDATE($D86,Milestones!$AA$90)&lt;=AsOfDate,EDATE($D86,Milestones!$AA$90)&gt;=SchemeStart,IF($X86=0,$AD86,IF(AND($Z86&lt;&gt;"",EDATE($D86,Milestones!$AA$90)&gt;=$Z86),$AC86,IF(AND($Y86&lt;&gt;"",EDATE($D86,Milestones!$AA$90)&gt;=$Y86),$AB86,$AA86)))=Milestones!$AB$90),UPPER(TEXT(EDATE($D86,Milestones!$AA$90),"dd mmm yy"))&amp;" "&amp;Milestones!$AB$90&amp;" "&amp;IF(AND(Milestones!$AB$90="FT",Milestones!$AA$90=FT_Y5,EDATE($D86,Milestones!$AA$90)&lt;PolicyEff),1,Milestones!$AC$90)&amp;";  ","")&amp;IF(AND(EDATE($D86,Milestones!$AA$91)&lt;=AsOfDate,EDATE($D86,Milestones!$AA$91)&gt;=SchemeStart,IF($X86=0,$AD86,IF(AND($Z86&lt;&gt;"",EDATE($D86,Milestones!$AA$91)&gt;=$Z86),$AC86,IF(AND($Y86&lt;&gt;"",EDATE($D86,Milestones!$AA$91)&gt;=$Y86),$AB86,$AA86)))=Milestones!$AB$91),UPPER(TEXT(EDATE($D86,Milestones!$AA$91),"dd mmm yy"))&amp;" "&amp;Milestones!$AB$91&amp;" "&amp;IF(AND(Milestones!$AB$91="FT",Milestones!$AA$91=FT_Y5,EDATE($D86,Milestones!$AA$91)&lt;PolicyEff),1,Milestones!$AC$91)&amp;";  ",""))</f>
        <v/>
      </c>
      <c r="O86" s="0" t="str">
        <f aca="false">IF(OR($A86="",$D86=""),"",IF(AND(EDATE($D86,Milestones!$AA$92)&lt;=AsOfDate,EDATE($D86,Milestones!$AA$92)&gt;=SchemeStart,IF($X86=0,$AD86,IF(AND($Z86&lt;&gt;"",EDATE($D86,Milestones!$AA$92)&gt;=$Z86),$AC86,IF(AND($Y86&lt;&gt;"",EDATE($D86,Milestones!$AA$92)&gt;=$Y86),$AB86,$AA86)))=Milestones!$AB$92),UPPER(TEXT(EDATE($D86,Milestones!$AA$92),"dd mmm yy"))&amp;" "&amp;Milestones!$AB$92&amp;" "&amp;IF(AND(Milestones!$AB$92="FT",Milestones!$AA$92=FT_Y5,EDATE($D86,Milestones!$AA$92)&lt;PolicyEff),1,Milestones!$AC$92)&amp;";  ","")&amp;IF(AND(EDATE($D86,Milestones!$AA$93)&lt;=AsOfDate,EDATE($D86,Milestones!$AA$93)&gt;=SchemeStart,IF($X86=0,$AD86,IF(AND($Z86&lt;&gt;"",EDATE($D86,Milestones!$AA$93)&gt;=$Z86),$AC86,IF(AND($Y86&lt;&gt;"",EDATE($D86,Milestones!$AA$93)&gt;=$Y86),$AB86,$AA86)))=Milestones!$AB$93),UPPER(TEXT(EDATE($D86,Milestones!$AA$93),"dd mmm yy"))&amp;" "&amp;Milestones!$AB$93&amp;" "&amp;IF(AND(Milestones!$AB$93="FT",Milestones!$AA$93=FT_Y5,EDATE($D86,Milestones!$AA$93)&lt;PolicyEff),1,Milestones!$AC$93)&amp;";  ","")&amp;IF(AND(EDATE($D86,Milestones!$AA$94)&lt;=AsOfDate,EDATE($D86,Milestones!$AA$94)&gt;=SchemeStart,IF($X86=0,$AD86,IF(AND($Z86&lt;&gt;"",EDATE($D86,Milestones!$AA$94)&gt;=$Z86),$AC86,IF(AND($Y86&lt;&gt;"",EDATE($D86,Milestones!$AA$94)&gt;=$Y86),$AB86,$AA86)))=Milestones!$AB$94),UPPER(TEXT(EDATE($D86,Milestones!$AA$94),"dd mmm yy"))&amp;" "&amp;Milestones!$AB$94&amp;" "&amp;IF(AND(Milestones!$AB$94="FT",Milestones!$AA$94=FT_Y5,EDATE($D86,Milestones!$AA$94)&lt;PolicyEff),1,Milestones!$AC$94)&amp;";  ","")&amp;IF(AND(EDATE($D86,Milestones!$AA$95)&lt;=AsOfDate,EDATE($D86,Milestones!$AA$95)&gt;=SchemeStart,IF($X86=0,$AD86,IF(AND($Z86&lt;&gt;"",EDATE($D86,Milestones!$AA$95)&gt;=$Z86),$AC86,IF(AND($Y86&lt;&gt;"",EDATE($D86,Milestones!$AA$95)&gt;=$Y86),$AB86,$AA86)))=Milestones!$AB$95),UPPER(TEXT(EDATE($D86,Milestones!$AA$95),"dd mmm yy"))&amp;" "&amp;Milestones!$AB$95&amp;" "&amp;IF(AND(Milestones!$AB$95="FT",Milestones!$AA$95=FT_Y5,EDATE($D86,Milestones!$AA$95)&lt;PolicyEff),1,Milestones!$AC$95)&amp;";  ","")&amp;IF(AND(EDATE($D86,Milestones!$AA$96)&lt;=AsOfDate,EDATE($D86,Milestones!$AA$96)&gt;=SchemeStart,IF($X86=0,$AD86,IF(AND($Z86&lt;&gt;"",EDATE($D86,Milestones!$AA$96)&gt;=$Z86),$AC86,IF(AND($Y86&lt;&gt;"",EDATE($D86,Milestones!$AA$96)&gt;=$Y86),$AB86,$AA86)))=Milestones!$AB$96),UPPER(TEXT(EDATE($D86,Milestones!$AA$96),"dd mmm yy"))&amp;" "&amp;Milestones!$AB$96&amp;" "&amp;IF(AND(Milestones!$AB$96="FT",Milestones!$AA$96=FT_Y5,EDATE($D86,Milestones!$AA$96)&lt;PolicyEff),1,Milestones!$AC$96)&amp;";  ","")&amp;IF(AND(EDATE($D86,Milestones!$AA$97)&lt;=AsOfDate,EDATE($D86,Milestones!$AA$97)&gt;=SchemeStart,IF($X86=0,$AD86,IF(AND($Z86&lt;&gt;"",EDATE($D86,Milestones!$AA$97)&gt;=$Z86),$AC86,IF(AND($Y86&lt;&gt;"",EDATE($D86,Milestones!$AA$97)&gt;=$Y86),$AB86,$AA86)))=Milestones!$AB$97),UPPER(TEXT(EDATE($D86,Milestones!$AA$97),"dd mmm yy"))&amp;" "&amp;Milestones!$AB$97&amp;" "&amp;IF(AND(Milestones!$AB$97="FT",Milestones!$AA$97=FT_Y5,EDATE($D86,Milestones!$AA$97)&lt;PolicyEff),1,Milestones!$AC$97)&amp;";  ","")&amp;IF(AND(EDATE($D86,Milestones!$AA$98)&lt;=AsOfDate,EDATE($D86,Milestones!$AA$98)&gt;=SchemeStart,IF($X86=0,$AD86,IF(AND($Z86&lt;&gt;"",EDATE($D86,Milestones!$AA$98)&gt;=$Z86),$AC86,IF(AND($Y86&lt;&gt;"",EDATE($D86,Milestones!$AA$98)&gt;=$Y86),$AB86,$AA86)))=Milestones!$AB$98),UPPER(TEXT(EDATE($D86,Milestones!$AA$98),"dd mmm yy"))&amp;" "&amp;Milestones!$AB$98&amp;" "&amp;IF(AND(Milestones!$AB$98="FT",Milestones!$AA$98=FT_Y5,EDATE($D86,Milestones!$AA$98)&lt;PolicyEff),1,Milestones!$AC$98)&amp;";  ","")&amp;IF(AND(EDATE($D86,Milestones!$AA$99)&lt;=AsOfDate,EDATE($D86,Milestones!$AA$99)&gt;=SchemeStart,IF($X86=0,$AD86,IF(AND($Z86&lt;&gt;"",EDATE($D86,Milestones!$AA$99)&gt;=$Z86),$AC86,IF(AND($Y86&lt;&gt;"",EDATE($D86,Milestones!$AA$99)&gt;=$Y86),$AB86,$AA86)))=Milestones!$AB$99),UPPER(TEXT(EDATE($D86,Milestones!$AA$99),"dd mmm yy"))&amp;" "&amp;Milestones!$AB$99&amp;" "&amp;IF(AND(Milestones!$AB$99="FT",Milestones!$AA$99=FT_Y5,EDATE($D86,Milestones!$AA$99)&lt;PolicyEff),1,Milestones!$AC$99)&amp;";  ","")&amp;IF(AND(EDATE($D86,Milestones!$AA$100)&lt;=AsOfDate,EDATE($D86,Milestones!$AA$100)&gt;=SchemeStart,IF($X86=0,$AD86,IF(AND($Z86&lt;&gt;"",EDATE($D86,Milestones!$AA$100)&gt;=$Z86),$AC86,IF(AND($Y86&lt;&gt;"",EDATE($D86,Milestones!$AA$100)&gt;=$Y86),$AB86,$AA86)))=Milestones!$AB$100),UPPER(TEXT(EDATE($D86,Milestones!$AA$100),"dd mmm yy"))&amp;" "&amp;Milestones!$AB$100&amp;" "&amp;IF(AND(Milestones!$AB$100="FT",Milestones!$AA$100=FT_Y5,EDATE($D86,Milestones!$AA$100)&lt;PolicyEff),1,Milestones!$AC$100)&amp;";  ","")&amp;IF(AND(EDATE($D86,Milestones!$AA$101)&lt;=AsOfDate,EDATE($D86,Milestones!$AA$101)&gt;=SchemeStart,IF($X86=0,$AD86,IF(AND($Z86&lt;&gt;"",EDATE($D86,Milestones!$AA$101)&gt;=$Z86),$AC86,IF(AND($Y86&lt;&gt;"",EDATE($D86,Milestones!$AA$101)&gt;=$Y86),$AB86,$AA86)))=Milestones!$AB$101),UPPER(TEXT(EDATE($D86,Milestones!$AA$101),"dd mmm yy"))&amp;" "&amp;Milestones!$AB$101&amp;" "&amp;IF(AND(Milestones!$AB$101="FT",Milestones!$AA$101=FT_Y5,EDATE($D86,Milestones!$AA$101)&lt;PolicyEff),1,Milestones!$AC$101)&amp;";  ","")&amp;IF(AND(EDATE($D86,Milestones!$AA$102)&lt;=AsOfDate,EDATE($D86,Milestones!$AA$102)&gt;=SchemeStart,IF($X86=0,$AD86,IF(AND($Z86&lt;&gt;"",EDATE($D86,Milestones!$AA$102)&gt;=$Z86),$AC86,IF(AND($Y86&lt;&gt;"",EDATE($D86,Milestones!$AA$102)&gt;=$Y86),$AB86,$AA86)))=Milestones!$AB$102),UPPER(TEXT(EDATE($D86,Milestones!$AA$102),"dd mmm yy"))&amp;" "&amp;Milestones!$AB$102&amp;" "&amp;IF(AND(Milestones!$AB$102="FT",Milestones!$AA$102=FT_Y5,EDATE($D86,Milestones!$AA$102)&lt;PolicyEff),1,Milestones!$AC$102)&amp;";  ","")&amp;IF(AND(EDATE($D86,Milestones!$AA$103)&lt;=AsOfDate,EDATE($D86,Milestones!$AA$103)&gt;=SchemeStart,IF($X86=0,$AD86,IF(AND($Z86&lt;&gt;"",EDATE($D86,Milestones!$AA$103)&gt;=$Z86),$AC86,IF(AND($Y86&lt;&gt;"",EDATE($D86,Milestones!$AA$103)&gt;=$Y86),$AB86,$AA86)))=Milestones!$AB$103),UPPER(TEXT(EDATE($D86,Milestones!$AA$103),"dd mmm yy"))&amp;" "&amp;Milestones!$AB$103&amp;" "&amp;IF(AND(Milestones!$AB$103="FT",Milestones!$AA$103=FT_Y5,EDATE($D86,Milestones!$AA$103)&lt;PolicyEff),1,Milestones!$AC$103)&amp;";  ",""))</f>
        <v/>
      </c>
      <c r="P86" s="0" t="str">
        <f aca="false">IF(OR($A86="",$D86=""),"",IF(AND(EDATE($D86,Milestones!$AA$104)&lt;=AsOfDate,EDATE($D86,Milestones!$AA$104)&gt;=SchemeStart,IF($X86=0,$AD86,IF(AND($Z86&lt;&gt;"",EDATE($D86,Milestones!$AA$104)&gt;=$Z86),$AC86,IF(AND($Y86&lt;&gt;"",EDATE($D86,Milestones!$AA$104)&gt;=$Y86),$AB86,$AA86)))=Milestones!$AB$104),UPPER(TEXT(EDATE($D86,Milestones!$AA$104),"dd mmm yy"))&amp;" "&amp;Milestones!$AB$104&amp;" "&amp;IF(AND(Milestones!$AB$104="FT",Milestones!$AA$104=FT_Y5,EDATE($D86,Milestones!$AA$104)&lt;PolicyEff),1,Milestones!$AC$104)&amp;";  ","")&amp;IF(AND(EDATE($D86,Milestones!$AA$105)&lt;=AsOfDate,EDATE($D86,Milestones!$AA$105)&gt;=SchemeStart,IF($X86=0,$AD86,IF(AND($Z86&lt;&gt;"",EDATE($D86,Milestones!$AA$105)&gt;=$Z86),$AC86,IF(AND($Y86&lt;&gt;"",EDATE($D86,Milestones!$AA$105)&gt;=$Y86),$AB86,$AA86)))=Milestones!$AB$105),UPPER(TEXT(EDATE($D86,Milestones!$AA$105),"dd mmm yy"))&amp;" "&amp;Milestones!$AB$105&amp;" "&amp;IF(AND(Milestones!$AB$105="FT",Milestones!$AA$105=FT_Y5,EDATE($D86,Milestones!$AA$105)&lt;PolicyEff),1,Milestones!$AC$105)&amp;";  ","")&amp;IF(AND(EDATE($D86,Milestones!$AA$106)&lt;=AsOfDate,EDATE($D86,Milestones!$AA$106)&gt;=SchemeStart,IF($X86=0,$AD86,IF(AND($Z86&lt;&gt;"",EDATE($D86,Milestones!$AA$106)&gt;=$Z86),$AC86,IF(AND($Y86&lt;&gt;"",EDATE($D86,Milestones!$AA$106)&gt;=$Y86),$AB86,$AA86)))=Milestones!$AB$106),UPPER(TEXT(EDATE($D86,Milestones!$AA$106),"dd mmm yy"))&amp;" "&amp;Milestones!$AB$106&amp;" "&amp;IF(AND(Milestones!$AB$106="FT",Milestones!$AA$106=FT_Y5,EDATE($D86,Milestones!$AA$106)&lt;PolicyEff),1,Milestones!$AC$106)&amp;";  ","")&amp;IF(AND(EDATE($D86,Milestones!$AA$107)&lt;=AsOfDate,EDATE($D86,Milestones!$AA$107)&gt;=SchemeStart,IF($X86=0,$AD86,IF(AND($Z86&lt;&gt;"",EDATE($D86,Milestones!$AA$107)&gt;=$Z86),$AC86,IF(AND($Y86&lt;&gt;"",EDATE($D86,Milestones!$AA$107)&gt;=$Y86),$AB86,$AA86)))=Milestones!$AB$107),UPPER(TEXT(EDATE($D86,Milestones!$AA$107),"dd mmm yy"))&amp;" "&amp;Milestones!$AB$107&amp;" "&amp;IF(AND(Milestones!$AB$107="FT",Milestones!$AA$107=FT_Y5,EDATE($D86,Milestones!$AA$107)&lt;PolicyEff),1,Milestones!$AC$107)&amp;";  ","")&amp;IF(AND(EDATE($D86,Milestones!$AA$108)&lt;=AsOfDate,EDATE($D86,Milestones!$AA$108)&gt;=SchemeStart,IF($X86=0,$AD86,IF(AND($Z86&lt;&gt;"",EDATE($D86,Milestones!$AA$108)&gt;=$Z86),$AC86,IF(AND($Y86&lt;&gt;"",EDATE($D86,Milestones!$AA$108)&gt;=$Y86),$AB86,$AA86)))=Milestones!$AB$108),UPPER(TEXT(EDATE($D86,Milestones!$AA$108),"dd mmm yy"))&amp;" "&amp;Milestones!$AB$108&amp;" "&amp;IF(AND(Milestones!$AB$108="FT",Milestones!$AA$108=FT_Y5,EDATE($D86,Milestones!$AA$108)&lt;PolicyEff),1,Milestones!$AC$108)&amp;";  ","")&amp;IF(AND(EDATE($D86,Milestones!$AA$109)&lt;=AsOfDate,EDATE($D86,Milestones!$AA$109)&gt;=SchemeStart,IF($X86=0,$AD86,IF(AND($Z86&lt;&gt;"",EDATE($D86,Milestones!$AA$109)&gt;=$Z86),$AC86,IF(AND($Y86&lt;&gt;"",EDATE($D86,Milestones!$AA$109)&gt;=$Y86),$AB86,$AA86)))=Milestones!$AB$109),UPPER(TEXT(EDATE($D86,Milestones!$AA$109),"dd mmm yy"))&amp;" "&amp;Milestones!$AB$109&amp;" "&amp;IF(AND(Milestones!$AB$109="FT",Milestones!$AA$109=FT_Y5,EDATE($D86,Milestones!$AA$109)&lt;PolicyEff),1,Milestones!$AC$109)&amp;";  ","")&amp;IF(AND(EDATE($D86,Milestones!$AA$110)&lt;=AsOfDate,EDATE($D86,Milestones!$AA$110)&gt;=SchemeStart,IF($X86=0,$AD86,IF(AND($Z86&lt;&gt;"",EDATE($D86,Milestones!$AA$110)&gt;=$Z86),$AC86,IF(AND($Y86&lt;&gt;"",EDATE($D86,Milestones!$AA$110)&gt;=$Y86),$AB86,$AA86)))=Milestones!$AB$110),UPPER(TEXT(EDATE($D86,Milestones!$AA$110),"dd mmm yy"))&amp;" "&amp;Milestones!$AB$110&amp;" "&amp;IF(AND(Milestones!$AB$110="FT",Milestones!$AA$110=FT_Y5,EDATE($D86,Milestones!$AA$110)&lt;PolicyEff),1,Milestones!$AC$110)&amp;";  ","")&amp;IF(AND(EDATE($D86,Milestones!$AA$111)&lt;=AsOfDate,EDATE($D86,Milestones!$AA$111)&gt;=SchemeStart,IF($X86=0,$AD86,IF(AND($Z86&lt;&gt;"",EDATE($D86,Milestones!$AA$111)&gt;=$Z86),$AC86,IF(AND($Y86&lt;&gt;"",EDATE($D86,Milestones!$AA$111)&gt;=$Y86),$AB86,$AA86)))=Milestones!$AB$111),UPPER(TEXT(EDATE($D86,Milestones!$AA$111),"dd mmm yy"))&amp;" "&amp;Milestones!$AB$111&amp;" "&amp;IF(AND(Milestones!$AB$111="FT",Milestones!$AA$111=FT_Y5,EDATE($D86,Milestones!$AA$111)&lt;PolicyEff),1,Milestones!$AC$111)&amp;";  ","")&amp;IF(AND(EDATE($D86,Milestones!$AA$112)&lt;=AsOfDate,EDATE($D86,Milestones!$AA$112)&gt;=SchemeStart,IF($X86=0,$AD86,IF(AND($Z86&lt;&gt;"",EDATE($D86,Milestones!$AA$112)&gt;=$Z86),$AC86,IF(AND($Y86&lt;&gt;"",EDATE($D86,Milestones!$AA$112)&gt;=$Y86),$AB86,$AA86)))=Milestones!$AB$112),UPPER(TEXT(EDATE($D86,Milestones!$AA$112),"dd mmm yy"))&amp;" "&amp;Milestones!$AB$112&amp;" "&amp;IF(AND(Milestones!$AB$112="FT",Milestones!$AA$112=FT_Y5,EDATE($D86,Milestones!$AA$112)&lt;PolicyEff),1,Milestones!$AC$112)&amp;";  ","")&amp;IF(AND(EDATE($D86,Milestones!$AA$113)&lt;=AsOfDate,EDATE($D86,Milestones!$AA$113)&gt;=SchemeStart,IF($X86=0,$AD86,IF(AND($Z86&lt;&gt;"",EDATE($D86,Milestones!$AA$113)&gt;=$Z86),$AC86,IF(AND($Y86&lt;&gt;"",EDATE($D86,Milestones!$AA$113)&gt;=$Y86),$AB86,$AA86)))=Milestones!$AB$113),UPPER(TEXT(EDATE($D86,Milestones!$AA$113),"dd mmm yy"))&amp;" "&amp;Milestones!$AB$113&amp;" "&amp;IF(AND(Milestones!$AB$113="FT",Milestones!$AA$113=FT_Y5,EDATE($D86,Milestones!$AA$113)&lt;PolicyEff),1,Milestones!$AC$113)&amp;";  ","")&amp;IF(AND(EDATE($D86,Milestones!$AA$114)&lt;=AsOfDate,EDATE($D86,Milestones!$AA$114)&gt;=SchemeStart,IF($X86=0,$AD86,IF(AND($Z86&lt;&gt;"",EDATE($D86,Milestones!$AA$114)&gt;=$Z86),$AC86,IF(AND($Y86&lt;&gt;"",EDATE($D86,Milestones!$AA$114)&gt;=$Y86),$AB86,$AA86)))=Milestones!$AB$114),UPPER(TEXT(EDATE($D86,Milestones!$AA$114),"dd mmm yy"))&amp;" "&amp;Milestones!$AB$114&amp;" "&amp;IF(AND(Milestones!$AB$114="FT",Milestones!$AA$114=FT_Y5,EDATE($D86,Milestones!$AA$114)&lt;PolicyEff),1,Milestones!$AC$114)&amp;";  ","")&amp;IF(AND(EDATE($D86,Milestones!$AA$115)&lt;=AsOfDate,EDATE($D86,Milestones!$AA$115)&gt;=SchemeStart,IF($X86=0,$AD86,IF(AND($Z86&lt;&gt;"",EDATE($D86,Milestones!$AA$115)&gt;=$Z86),$AC86,IF(AND($Y86&lt;&gt;"",EDATE($D86,Milestones!$AA$115)&gt;=$Y86),$AB86,$AA86)))=Milestones!$AB$115),UPPER(TEXT(EDATE($D86,Milestones!$AA$115),"dd mmm yy"))&amp;" "&amp;Milestones!$AB$115&amp;" "&amp;IF(AND(Milestones!$AB$115="FT",Milestones!$AA$115=FT_Y5,EDATE($D86,Milestones!$AA$115)&lt;PolicyEff),1,Milestones!$AC$115)&amp;";  ",""))</f>
        <v/>
      </c>
      <c r="Q86" s="0" t="str">
        <f aca="false">IF(OR($A86="",$D86=""),"",IF(AND(EDATE($D86,Milestones!$AA$116)&lt;=AsOfDate,EDATE($D86,Milestones!$AA$116)&gt;=SchemeStart,IF($X86=0,$AD86,IF(AND($Z86&lt;&gt;"",EDATE($D86,Milestones!$AA$116)&gt;=$Z86),$AC86,IF(AND($Y86&lt;&gt;"",EDATE($D86,Milestones!$AA$116)&gt;=$Y86),$AB86,$AA86)))=Milestones!$AB$116),UPPER(TEXT(EDATE($D86,Milestones!$AA$116),"dd mmm yy"))&amp;" "&amp;Milestones!$AB$116&amp;" "&amp;IF(AND(Milestones!$AB$116="FT",Milestones!$AA$116=FT_Y5,EDATE($D86,Milestones!$AA$116)&lt;PolicyEff),1,Milestones!$AC$116)&amp;";  ","")&amp;IF(AND(EDATE($D86,Milestones!$AA$117)&lt;=AsOfDate,EDATE($D86,Milestones!$AA$117)&gt;=SchemeStart,IF($X86=0,$AD86,IF(AND($Z86&lt;&gt;"",EDATE($D86,Milestones!$AA$117)&gt;=$Z86),$AC86,IF(AND($Y86&lt;&gt;"",EDATE($D86,Milestones!$AA$117)&gt;=$Y86),$AB86,$AA86)))=Milestones!$AB$117),UPPER(TEXT(EDATE($D86,Milestones!$AA$117),"dd mmm yy"))&amp;" "&amp;Milestones!$AB$117&amp;" "&amp;IF(AND(Milestones!$AB$117="FT",Milestones!$AA$117=FT_Y5,EDATE($D86,Milestones!$AA$117)&lt;PolicyEff),1,Milestones!$AC$117)&amp;";  ","")&amp;IF(AND(EDATE($D86,Milestones!$AA$118)&lt;=AsOfDate,EDATE($D86,Milestones!$AA$118)&gt;=SchemeStart,IF($X86=0,$AD86,IF(AND($Z86&lt;&gt;"",EDATE($D86,Milestones!$AA$118)&gt;=$Z86),$AC86,IF(AND($Y86&lt;&gt;"",EDATE($D86,Milestones!$AA$118)&gt;=$Y86),$AB86,$AA86)))=Milestones!$AB$118),UPPER(TEXT(EDATE($D86,Milestones!$AA$118),"dd mmm yy"))&amp;" "&amp;Milestones!$AB$118&amp;" "&amp;IF(AND(Milestones!$AB$118="FT",Milestones!$AA$118=FT_Y5,EDATE($D86,Milestones!$AA$118)&lt;PolicyEff),1,Milestones!$AC$118)&amp;";  ","")&amp;IF(AND(EDATE($D86,Milestones!$AA$119)&lt;=AsOfDate,EDATE($D86,Milestones!$AA$119)&gt;=SchemeStart,IF($X86=0,$AD86,IF(AND($Z86&lt;&gt;"",EDATE($D86,Milestones!$AA$119)&gt;=$Z86),$AC86,IF(AND($Y86&lt;&gt;"",EDATE($D86,Milestones!$AA$119)&gt;=$Y86),$AB86,$AA86)))=Milestones!$AB$119),UPPER(TEXT(EDATE($D86,Milestones!$AA$119),"dd mmm yy"))&amp;" "&amp;Milestones!$AB$119&amp;" "&amp;IF(AND(Milestones!$AB$119="FT",Milestones!$AA$119=FT_Y5,EDATE($D86,Milestones!$AA$119)&lt;PolicyEff),1,Milestones!$AC$119)&amp;";  ","")&amp;IF(AND(EDATE($D86,Milestones!$AA$120)&lt;=AsOfDate,EDATE($D86,Milestones!$AA$120)&gt;=SchemeStart,IF($X86=0,$AD86,IF(AND($Z86&lt;&gt;"",EDATE($D86,Milestones!$AA$120)&gt;=$Z86),$AC86,IF(AND($Y86&lt;&gt;"",EDATE($D86,Milestones!$AA$120)&gt;=$Y86),$AB86,$AA86)))=Milestones!$AB$120),UPPER(TEXT(EDATE($D86,Milestones!$AA$120),"dd mmm yy"))&amp;" "&amp;Milestones!$AB$120&amp;" "&amp;IF(AND(Milestones!$AB$120="FT",Milestones!$AA$120=FT_Y5,EDATE($D86,Milestones!$AA$120)&lt;PolicyEff),1,Milestones!$AC$120)&amp;";  ","")&amp;IF(AND(EDATE($D86,Milestones!$AA$121)&lt;=AsOfDate,EDATE($D86,Milestones!$AA$121)&gt;=SchemeStart,IF($X86=0,$AD86,IF(AND($Z86&lt;&gt;"",EDATE($D86,Milestones!$AA$121)&gt;=$Z86),$AC86,IF(AND($Y86&lt;&gt;"",EDATE($D86,Milestones!$AA$121)&gt;=$Y86),$AB86,$AA86)))=Milestones!$AB$121),UPPER(TEXT(EDATE($D86,Milestones!$AA$121),"dd mmm yy"))&amp;" "&amp;Milestones!$AB$121&amp;" "&amp;IF(AND(Milestones!$AB$121="FT",Milestones!$AA$121=FT_Y5,EDATE($D86,Milestones!$AA$121)&lt;PolicyEff),1,Milestones!$AC$121)&amp;";  ","")&amp;IF(AND(EDATE($D86,Milestones!$AA$122)&lt;=AsOfDate,EDATE($D86,Milestones!$AA$122)&gt;=SchemeStart,IF($X86=0,$AD86,IF(AND($Z86&lt;&gt;"",EDATE($D86,Milestones!$AA$122)&gt;=$Z86),$AC86,IF(AND($Y86&lt;&gt;"",EDATE($D86,Milestones!$AA$122)&gt;=$Y86),$AB86,$AA86)))=Milestones!$AB$122),UPPER(TEXT(EDATE($D86,Milestones!$AA$122),"dd mmm yy"))&amp;" "&amp;Milestones!$AB$122&amp;" "&amp;IF(AND(Milestones!$AB$122="FT",Milestones!$AA$122=FT_Y5,EDATE($D86,Milestones!$AA$122)&lt;PolicyEff),1,Milestones!$AC$122)&amp;";  ","")&amp;IF(AND(EDATE($D86,Milestones!$AA$123)&lt;=AsOfDate,EDATE($D86,Milestones!$AA$123)&gt;=SchemeStart,IF($X86=0,$AD86,IF(AND($Z86&lt;&gt;"",EDATE($D86,Milestones!$AA$123)&gt;=$Z86),$AC86,IF(AND($Y86&lt;&gt;"",EDATE($D86,Milestones!$AA$123)&gt;=$Y86),$AB86,$AA86)))=Milestones!$AB$123),UPPER(TEXT(EDATE($D86,Milestones!$AA$123),"dd mmm yy"))&amp;" "&amp;Milestones!$AB$123&amp;" "&amp;IF(AND(Milestones!$AB$123="FT",Milestones!$AA$123=FT_Y5,EDATE($D86,Milestones!$AA$123)&lt;PolicyEff),1,Milestones!$AC$123)&amp;";  ","")&amp;IF(AND(EDATE($D86,Milestones!$AA$124)&lt;=AsOfDate,EDATE($D86,Milestones!$AA$124)&gt;=SchemeStart,IF($X86=0,$AD86,IF(AND($Z86&lt;&gt;"",EDATE($D86,Milestones!$AA$124)&gt;=$Z86),$AC86,IF(AND($Y86&lt;&gt;"",EDATE($D86,Milestones!$AA$124)&gt;=$Y86),$AB86,$AA86)))=Milestones!$AB$124),UPPER(TEXT(EDATE($D86,Milestones!$AA$124),"dd mmm yy"))&amp;" "&amp;Milestones!$AB$124&amp;" "&amp;IF(AND(Milestones!$AB$124="FT",Milestones!$AA$124=FT_Y5,EDATE($D86,Milestones!$AA$124)&lt;PolicyEff),1,Milestones!$AC$124)&amp;";  ","")&amp;IF(AND(EDATE($D86,Milestones!$AA$125)&lt;=AsOfDate,EDATE($D86,Milestones!$AA$125)&gt;=SchemeStart,IF($X86=0,$AD86,IF(AND($Z86&lt;&gt;"",EDATE($D86,Milestones!$AA$125)&gt;=$Z86),$AC86,IF(AND($Y86&lt;&gt;"",EDATE($D86,Milestones!$AA$125)&gt;=$Y86),$AB86,$AA86)))=Milestones!$AB$125),UPPER(TEXT(EDATE($D86,Milestones!$AA$125),"dd mmm yy"))&amp;" "&amp;Milestones!$AB$125&amp;" "&amp;IF(AND(Milestones!$AB$125="FT",Milestones!$AA$125=FT_Y5,EDATE($D86,Milestones!$AA$125)&lt;PolicyEff),1,Milestones!$AC$125)&amp;";  ","")&amp;IF(AND(EDATE($D86,Milestones!$AA$126)&lt;=AsOfDate,EDATE($D86,Milestones!$AA$126)&gt;=SchemeStart,IF($X86=0,$AD86,IF(AND($Z86&lt;&gt;"",EDATE($D86,Milestones!$AA$126)&gt;=$Z86),$AC86,IF(AND($Y86&lt;&gt;"",EDATE($D86,Milestones!$AA$126)&gt;=$Y86),$AB86,$AA86)))=Milestones!$AB$126),UPPER(TEXT(EDATE($D86,Milestones!$AA$126),"dd mmm yy"))&amp;" "&amp;Milestones!$AB$126&amp;" "&amp;IF(AND(Milestones!$AB$126="FT",Milestones!$AA$126=FT_Y5,EDATE($D86,Milestones!$AA$126)&lt;PolicyEff),1,Milestones!$AC$126)&amp;";  ","")&amp;IF(AND(EDATE($D86,Milestones!$AA$127)&lt;=AsOfDate,EDATE($D86,Milestones!$AA$127)&gt;=SchemeStart,IF($X86=0,$AD86,IF(AND($Z86&lt;&gt;"",EDATE($D86,Milestones!$AA$127)&gt;=$Z86),$AC86,IF(AND($Y86&lt;&gt;"",EDATE($D86,Milestones!$AA$127)&gt;=$Y86),$AB86,$AA86)))=Milestones!$AB$127),UPPER(TEXT(EDATE($D86,Milestones!$AA$127),"dd mmm yy"))&amp;" "&amp;Milestones!$AB$127&amp;" "&amp;IF(AND(Milestones!$AB$127="FT",Milestones!$AA$127=FT_Y5,EDATE($D86,Milestones!$AA$127)&lt;PolicyEff),1,Milestones!$AC$127)&amp;";  ",""))</f>
        <v/>
      </c>
      <c r="R86" s="0" t="str">
        <f aca="false">IF(OR($A86="",$D86=""),"",IF(AND(EDATE($D86,Milestones!$AA$128)&lt;=AsOfDate,EDATE($D86,Milestones!$AA$128)&gt;=SchemeStart,IF($X86=0,$AD86,IF(AND($Z86&lt;&gt;"",EDATE($D86,Milestones!$AA$128)&gt;=$Z86),$AC86,IF(AND($Y86&lt;&gt;"",EDATE($D86,Milestones!$AA$128)&gt;=$Y86),$AB86,$AA86)))=Milestones!$AB$128),UPPER(TEXT(EDATE($D86,Milestones!$AA$128),"dd mmm yy"))&amp;" "&amp;Milestones!$AB$128&amp;" "&amp;IF(AND(Milestones!$AB$128="FT",Milestones!$AA$128=FT_Y5,EDATE($D86,Milestones!$AA$128)&lt;PolicyEff),1,Milestones!$AC$128)&amp;";  ","")&amp;IF(AND(EDATE($D86,Milestones!$AA$129)&lt;=AsOfDate,EDATE($D86,Milestones!$AA$129)&gt;=SchemeStart,IF($X86=0,$AD86,IF(AND($Z86&lt;&gt;"",EDATE($D86,Milestones!$AA$129)&gt;=$Z86),$AC86,IF(AND($Y86&lt;&gt;"",EDATE($D86,Milestones!$AA$129)&gt;=$Y86),$AB86,$AA86)))=Milestones!$AB$129),UPPER(TEXT(EDATE($D86,Milestones!$AA$129),"dd mmm yy"))&amp;" "&amp;Milestones!$AB$129&amp;" "&amp;IF(AND(Milestones!$AB$129="FT",Milestones!$AA$129=FT_Y5,EDATE($D86,Milestones!$AA$129)&lt;PolicyEff),1,Milestones!$AC$129)&amp;";  ","")&amp;IF(AND(EDATE($D86,Milestones!$AA$130)&lt;=AsOfDate,EDATE($D86,Milestones!$AA$130)&gt;=SchemeStart,IF($X86=0,$AD86,IF(AND($Z86&lt;&gt;"",EDATE($D86,Milestones!$AA$130)&gt;=$Z86),$AC86,IF(AND($Y86&lt;&gt;"",EDATE($D86,Milestones!$AA$130)&gt;=$Y86),$AB86,$AA86)))=Milestones!$AB$130),UPPER(TEXT(EDATE($D86,Milestones!$AA$130),"dd mmm yy"))&amp;" "&amp;Milestones!$AB$130&amp;" "&amp;IF(AND(Milestones!$AB$130="FT",Milestones!$AA$130=FT_Y5,EDATE($D86,Milestones!$AA$130)&lt;PolicyEff),1,Milestones!$AC$130)&amp;";  ","")&amp;IF(AND(EDATE($D86,Milestones!$AA$131)&lt;=AsOfDate,EDATE($D86,Milestones!$AA$131)&gt;=SchemeStart,IF($X86=0,$AD86,IF(AND($Z86&lt;&gt;"",EDATE($D86,Milestones!$AA$131)&gt;=$Z86),$AC86,IF(AND($Y86&lt;&gt;"",EDATE($D86,Milestones!$AA$131)&gt;=$Y86),$AB86,$AA86)))=Milestones!$AB$131),UPPER(TEXT(EDATE($D86,Milestones!$AA$131),"dd mmm yy"))&amp;" "&amp;Milestones!$AB$131&amp;" "&amp;IF(AND(Milestones!$AB$131="FT",Milestones!$AA$131=FT_Y5,EDATE($D86,Milestones!$AA$131)&lt;PolicyEff),1,Milestones!$AC$131)&amp;";  ","")&amp;IF(AND(EDATE($D86,Milestones!$AA$132)&lt;=AsOfDate,EDATE($D86,Milestones!$AA$132)&gt;=SchemeStart,IF($X86=0,$AD86,IF(AND($Z86&lt;&gt;"",EDATE($D86,Milestones!$AA$132)&gt;=$Z86),$AC86,IF(AND($Y86&lt;&gt;"",EDATE($D86,Milestones!$AA$132)&gt;=$Y86),$AB86,$AA86)))=Milestones!$AB$132),UPPER(TEXT(EDATE($D86,Milestones!$AA$132),"dd mmm yy"))&amp;" "&amp;Milestones!$AB$132&amp;" "&amp;IF(AND(Milestones!$AB$132="FT",Milestones!$AA$132=FT_Y5,EDATE($D86,Milestones!$AA$132)&lt;PolicyEff),1,Milestones!$AC$132)&amp;";  ","")&amp;IF(AND(EDATE($D86,Milestones!$AA$133)&lt;=AsOfDate,EDATE($D86,Milestones!$AA$133)&gt;=SchemeStart,IF($X86=0,$AD86,IF(AND($Z86&lt;&gt;"",EDATE($D86,Milestones!$AA$133)&gt;=$Z86),$AC86,IF(AND($Y86&lt;&gt;"",EDATE($D86,Milestones!$AA$133)&gt;=$Y86),$AB86,$AA86)))=Milestones!$AB$133),UPPER(TEXT(EDATE($D86,Milestones!$AA$133),"dd mmm yy"))&amp;" "&amp;Milestones!$AB$133&amp;" "&amp;IF(AND(Milestones!$AB$133="FT",Milestones!$AA$133=FT_Y5,EDATE($D86,Milestones!$AA$133)&lt;PolicyEff),1,Milestones!$AC$133)&amp;";  ","")&amp;IF(AND(EDATE($D86,Milestones!$AA$134)&lt;=AsOfDate,EDATE($D86,Milestones!$AA$134)&gt;=SchemeStart,IF($X86=0,$AD86,IF(AND($Z86&lt;&gt;"",EDATE($D86,Milestones!$AA$134)&gt;=$Z86),$AC86,IF(AND($Y86&lt;&gt;"",EDATE($D86,Milestones!$AA$134)&gt;=$Y86),$AB86,$AA86)))=Milestones!$AB$134),UPPER(TEXT(EDATE($D86,Milestones!$AA$134),"dd mmm yy"))&amp;" "&amp;Milestones!$AB$134&amp;" "&amp;IF(AND(Milestones!$AB$134="FT",Milestones!$AA$134=FT_Y5,EDATE($D86,Milestones!$AA$134)&lt;PolicyEff),1,Milestones!$AC$134)&amp;";  ","")&amp;IF(AND(EDATE($D86,Milestones!$AA$135)&lt;=AsOfDate,EDATE($D86,Milestones!$AA$135)&gt;=SchemeStart,IF($X86=0,$AD86,IF(AND($Z86&lt;&gt;"",EDATE($D86,Milestones!$AA$135)&gt;=$Z86),$AC86,IF(AND($Y86&lt;&gt;"",EDATE($D86,Milestones!$AA$135)&gt;=$Y86),$AB86,$AA86)))=Milestones!$AB$135),UPPER(TEXT(EDATE($D86,Milestones!$AA$135),"dd mmm yy"))&amp;" "&amp;Milestones!$AB$135&amp;" "&amp;IF(AND(Milestones!$AB$135="FT",Milestones!$AA$135=FT_Y5,EDATE($D86,Milestones!$AA$135)&lt;PolicyEff),1,Milestones!$AC$135)&amp;";  ","")&amp;IF(AND(EDATE($D86,Milestones!$AA$136)&lt;=AsOfDate,EDATE($D86,Milestones!$AA$136)&gt;=SchemeStart,IF($X86=0,$AD86,IF(AND($Z86&lt;&gt;"",EDATE($D86,Milestones!$AA$136)&gt;=$Z86),$AC86,IF(AND($Y86&lt;&gt;"",EDATE($D86,Milestones!$AA$136)&gt;=$Y86),$AB86,$AA86)))=Milestones!$AB$136),UPPER(TEXT(EDATE($D86,Milestones!$AA$136),"dd mmm yy"))&amp;" "&amp;Milestones!$AB$136&amp;" "&amp;IF(AND(Milestones!$AB$136="FT",Milestones!$AA$136=FT_Y5,EDATE($D86,Milestones!$AA$136)&lt;PolicyEff),1,Milestones!$AC$136)&amp;";  ","")&amp;IF(AND(EDATE($D86,Milestones!$AA$137)&lt;=AsOfDate,EDATE($D86,Milestones!$AA$137)&gt;=SchemeStart,IF($X86=0,$AD86,IF(AND($Z86&lt;&gt;"",EDATE($D86,Milestones!$AA$137)&gt;=$Z86),$AC86,IF(AND($Y86&lt;&gt;"",EDATE($D86,Milestones!$AA$137)&gt;=$Y86),$AB86,$AA86)))=Milestones!$AB$137),UPPER(TEXT(EDATE($D86,Milestones!$AA$137),"dd mmm yy"))&amp;" "&amp;Milestones!$AB$137&amp;" "&amp;IF(AND(Milestones!$AB$137="FT",Milestones!$AA$137=FT_Y5,EDATE($D86,Milestones!$AA$137)&lt;PolicyEff),1,Milestones!$AC$137)&amp;";  ","")&amp;IF(AND(EDATE($D86,Milestones!$AA$138)&lt;=AsOfDate,EDATE($D86,Milestones!$AA$138)&gt;=SchemeStart,IF($X86=0,$AD86,IF(AND($Z86&lt;&gt;"",EDATE($D86,Milestones!$AA$138)&gt;=$Z86),$AC86,IF(AND($Y86&lt;&gt;"",EDATE($D86,Milestones!$AA$138)&gt;=$Y86),$AB86,$AA86)))=Milestones!$AB$138),UPPER(TEXT(EDATE($D86,Milestones!$AA$138),"dd mmm yy"))&amp;" "&amp;Milestones!$AB$138&amp;" "&amp;IF(AND(Milestones!$AB$138="FT",Milestones!$AA$138=FT_Y5,EDATE($D86,Milestones!$AA$138)&lt;PolicyEff),1,Milestones!$AC$138)&amp;";  ","")&amp;IF(AND(EDATE($D86,Milestones!$AA$139)&lt;=AsOfDate,EDATE($D86,Milestones!$AA$139)&gt;=SchemeStart,IF($X86=0,$AD86,IF(AND($Z86&lt;&gt;"",EDATE($D86,Milestones!$AA$139)&gt;=$Z86),$AC86,IF(AND($Y86&lt;&gt;"",EDATE($D86,Milestones!$AA$139)&gt;=$Y86),$AB86,$AA86)))=Milestones!$AB$139),UPPER(TEXT(EDATE($D86,Milestones!$AA$139),"dd mmm yy"))&amp;" "&amp;Milestones!$AB$139&amp;" "&amp;IF(AND(Milestones!$AB$139="FT",Milestones!$AA$139=FT_Y5,EDATE($D86,Milestones!$AA$139)&lt;PolicyEff),1,Milestones!$AC$139)&amp;";  ",""))</f>
        <v/>
      </c>
      <c r="S86" s="0" t="str">
        <f aca="false">IF(OR($A86="",$D86=""),"",IF(AND(EDATE($D86,Milestones!$AA$140)&lt;=AsOfDate,EDATE($D86,Milestones!$AA$140)&gt;=SchemeStart,IF($X86=0,$AD86,IF(AND($Z86&lt;&gt;"",EDATE($D86,Milestones!$AA$140)&gt;=$Z86),$AC86,IF(AND($Y86&lt;&gt;"",EDATE($D86,Milestones!$AA$140)&gt;=$Y86),$AB86,$AA86)))=Milestones!$AB$140),UPPER(TEXT(EDATE($D86,Milestones!$AA$140),"dd mmm yy"))&amp;" "&amp;Milestones!$AB$140&amp;" "&amp;IF(AND(Milestones!$AB$140="FT",Milestones!$AA$140=FT_Y5,EDATE($D86,Milestones!$AA$140)&lt;PolicyEff),1,Milestones!$AC$140)&amp;";  ","")&amp;IF(AND(EDATE($D86,Milestones!$AA$141)&lt;=AsOfDate,EDATE($D86,Milestones!$AA$141)&gt;=SchemeStart,IF($X86=0,$AD86,IF(AND($Z86&lt;&gt;"",EDATE($D86,Milestones!$AA$141)&gt;=$Z86),$AC86,IF(AND($Y86&lt;&gt;"",EDATE($D86,Milestones!$AA$141)&gt;=$Y86),$AB86,$AA86)))=Milestones!$AB$141),UPPER(TEXT(EDATE($D86,Milestones!$AA$141),"dd mmm yy"))&amp;" "&amp;Milestones!$AB$141&amp;" "&amp;IF(AND(Milestones!$AB$141="FT",Milestones!$AA$141=FT_Y5,EDATE($D86,Milestones!$AA$141)&lt;PolicyEff),1,Milestones!$AC$141)&amp;";  ","")&amp;IF(AND(EDATE($D86,Milestones!$AA$142)&lt;=AsOfDate,EDATE($D86,Milestones!$AA$142)&gt;=SchemeStart,IF($X86=0,$AD86,IF(AND($Z86&lt;&gt;"",EDATE($D86,Milestones!$AA$142)&gt;=$Z86),$AC86,IF(AND($Y86&lt;&gt;"",EDATE($D86,Milestones!$AA$142)&gt;=$Y86),$AB86,$AA86)))=Milestones!$AB$142),UPPER(TEXT(EDATE($D86,Milestones!$AA$142),"dd mmm yy"))&amp;" "&amp;Milestones!$AB$142&amp;" "&amp;IF(AND(Milestones!$AB$142="FT",Milestones!$AA$142=FT_Y5,EDATE($D86,Milestones!$AA$142)&lt;PolicyEff),1,Milestones!$AC$142)&amp;";  ","")&amp;IF(AND(EDATE($D86,Milestones!$AA$143)&lt;=AsOfDate,EDATE($D86,Milestones!$AA$143)&gt;=SchemeStart,IF($X86=0,$AD86,IF(AND($Z86&lt;&gt;"",EDATE($D86,Milestones!$AA$143)&gt;=$Z86),$AC86,IF(AND($Y86&lt;&gt;"",EDATE($D86,Milestones!$AA$143)&gt;=$Y86),$AB86,$AA86)))=Milestones!$AB$143),UPPER(TEXT(EDATE($D86,Milestones!$AA$143),"dd mmm yy"))&amp;" "&amp;Milestones!$AB$143&amp;" "&amp;IF(AND(Milestones!$AB$143="FT",Milestones!$AA$143=FT_Y5,EDATE($D86,Milestones!$AA$143)&lt;PolicyEff),1,Milestones!$AC$143)&amp;";  ","")&amp;IF(AND(EDATE($D86,Milestones!$AA$144)&lt;=AsOfDate,EDATE($D86,Milestones!$AA$144)&gt;=SchemeStart,IF($X86=0,$AD86,IF(AND($Z86&lt;&gt;"",EDATE($D86,Milestones!$AA$144)&gt;=$Z86),$AC86,IF(AND($Y86&lt;&gt;"",EDATE($D86,Milestones!$AA$144)&gt;=$Y86),$AB86,$AA86)))=Milestones!$AB$144),UPPER(TEXT(EDATE($D86,Milestones!$AA$144),"dd mmm yy"))&amp;" "&amp;Milestones!$AB$144&amp;" "&amp;IF(AND(Milestones!$AB$144="FT",Milestones!$AA$144=FT_Y5,EDATE($D86,Milestones!$AA$144)&lt;PolicyEff),1,Milestones!$AC$144)&amp;";  ","")&amp;IF(AND(EDATE($D86,Milestones!$AA$145)&lt;=AsOfDate,EDATE($D86,Milestones!$AA$145)&gt;=SchemeStart,IF($X86=0,$AD86,IF(AND($Z86&lt;&gt;"",EDATE($D86,Milestones!$AA$145)&gt;=$Z86),$AC86,IF(AND($Y86&lt;&gt;"",EDATE($D86,Milestones!$AA$145)&gt;=$Y86),$AB86,$AA86)))=Milestones!$AB$145),UPPER(TEXT(EDATE($D86,Milestones!$AA$145),"dd mmm yy"))&amp;" "&amp;Milestones!$AB$145&amp;" "&amp;IF(AND(Milestones!$AB$145="FT",Milestones!$AA$145=FT_Y5,EDATE($D86,Milestones!$AA$145)&lt;PolicyEff),1,Milestones!$AC$145)&amp;";  ","")&amp;IF(AND(EDATE($D86,Milestones!$AA$146)&lt;=AsOfDate,EDATE($D86,Milestones!$AA$146)&gt;=SchemeStart,IF($X86=0,$AD86,IF(AND($Z86&lt;&gt;"",EDATE($D86,Milestones!$AA$146)&gt;=$Z86),$AC86,IF(AND($Y86&lt;&gt;"",EDATE($D86,Milestones!$AA$146)&gt;=$Y86),$AB86,$AA86)))=Milestones!$AB$146),UPPER(TEXT(EDATE($D86,Milestones!$AA$146),"dd mmm yy"))&amp;" "&amp;Milestones!$AB$146&amp;" "&amp;IF(AND(Milestones!$AB$146="FT",Milestones!$AA$146=FT_Y5,EDATE($D86,Milestones!$AA$146)&lt;PolicyEff),1,Milestones!$AC$146)&amp;";  ","")&amp;IF(AND(EDATE($D86,Milestones!$AA$147)&lt;=AsOfDate,EDATE($D86,Milestones!$AA$147)&gt;=SchemeStart,IF($X86=0,$AD86,IF(AND($Z86&lt;&gt;"",EDATE($D86,Milestones!$AA$147)&gt;=$Z86),$AC86,IF(AND($Y86&lt;&gt;"",EDATE($D86,Milestones!$AA$147)&gt;=$Y86),$AB86,$AA86)))=Milestones!$AB$147),UPPER(TEXT(EDATE($D86,Milestones!$AA$147),"dd mmm yy"))&amp;" "&amp;Milestones!$AB$147&amp;" "&amp;IF(AND(Milestones!$AB$147="FT",Milestones!$AA$147=FT_Y5,EDATE($D86,Milestones!$AA$147)&lt;PolicyEff),1,Milestones!$AC$147)&amp;";  ","")&amp;IF(AND(EDATE($D86,Milestones!$AA$148)&lt;=AsOfDate,EDATE($D86,Milestones!$AA$148)&gt;=SchemeStart,IF($X86=0,$AD86,IF(AND($Z86&lt;&gt;"",EDATE($D86,Milestones!$AA$148)&gt;=$Z86),$AC86,IF(AND($Y86&lt;&gt;"",EDATE($D86,Milestones!$AA$148)&gt;=$Y86),$AB86,$AA86)))=Milestones!$AB$148),UPPER(TEXT(EDATE($D86,Milestones!$AA$148),"dd mmm yy"))&amp;" "&amp;Milestones!$AB$148&amp;" "&amp;IF(AND(Milestones!$AB$148="FT",Milestones!$AA$148=FT_Y5,EDATE($D86,Milestones!$AA$148)&lt;PolicyEff),1,Milestones!$AC$148)&amp;";  ","")&amp;IF(AND(EDATE($D86,Milestones!$AA$149)&lt;=AsOfDate,EDATE($D86,Milestones!$AA$149)&gt;=SchemeStart,IF($X86=0,$AD86,IF(AND($Z86&lt;&gt;"",EDATE($D86,Milestones!$AA$149)&gt;=$Z86),$AC86,IF(AND($Y86&lt;&gt;"",EDATE($D86,Milestones!$AA$149)&gt;=$Y86),$AB86,$AA86)))=Milestones!$AB$149),UPPER(TEXT(EDATE($D86,Milestones!$AA$149),"dd mmm yy"))&amp;" "&amp;Milestones!$AB$149&amp;" "&amp;IF(AND(Milestones!$AB$149="FT",Milestones!$AA$149=FT_Y5,EDATE($D86,Milestones!$AA$149)&lt;PolicyEff),1,Milestones!$AC$149)&amp;";  ","")&amp;IF(AND(EDATE($D86,Milestones!$AA$150)&lt;=AsOfDate,EDATE($D86,Milestones!$AA$150)&gt;=SchemeStart,IF($X86=0,$AD86,IF(AND($Z86&lt;&gt;"",EDATE($D86,Milestones!$AA$150)&gt;=$Z86),$AC86,IF(AND($Y86&lt;&gt;"",EDATE($D86,Milestones!$AA$150)&gt;=$Y86),$AB86,$AA86)))=Milestones!$AB$150),UPPER(TEXT(EDATE($D86,Milestones!$AA$150),"dd mmm yy"))&amp;" "&amp;Milestones!$AB$150&amp;" "&amp;IF(AND(Milestones!$AB$150="FT",Milestones!$AA$150=FT_Y5,EDATE($D86,Milestones!$AA$150)&lt;PolicyEff),1,Milestones!$AC$150)&amp;";  ","")&amp;IF(AND(EDATE($D86,Milestones!$AA$151)&lt;=AsOfDate,EDATE($D86,Milestones!$AA$151)&gt;=SchemeStart,IF($X86=0,$AD86,IF(AND($Z86&lt;&gt;"",EDATE($D86,Milestones!$AA$151)&gt;=$Z86),$AC86,IF(AND($Y86&lt;&gt;"",EDATE($D86,Milestones!$AA$151)&gt;=$Y86),$AB86,$AA86)))=Milestones!$AB$151),UPPER(TEXT(EDATE($D86,Milestones!$AA$151),"dd mmm yy"))&amp;" "&amp;Milestones!$AB$151&amp;" "&amp;IF(AND(Milestones!$AB$151="FT",Milestones!$AA$151=FT_Y5,EDATE($D86,Milestones!$AA$151)&lt;PolicyEff),1,Milestones!$AC$151)&amp;";  ",""))</f>
        <v/>
      </c>
      <c r="T86" s="0" t="str">
        <f aca="false">IF(OR($A86="",$D86=""),"",IF(AND(EDATE($D86,Milestones!$AA$152)&lt;=AsOfDate,EDATE($D86,Milestones!$AA$152)&gt;=SchemeStart,IF($X86=0,$AD86,IF(AND($Z86&lt;&gt;"",EDATE($D86,Milestones!$AA$152)&gt;=$Z86),$AC86,IF(AND($Y86&lt;&gt;"",EDATE($D86,Milestones!$AA$152)&gt;=$Y86),$AB86,$AA86)))=Milestones!$AB$152),UPPER(TEXT(EDATE($D86,Milestones!$AA$152),"dd mmm yy"))&amp;" "&amp;Milestones!$AB$152&amp;" "&amp;IF(AND(Milestones!$AB$152="FT",Milestones!$AA$152=FT_Y5,EDATE($D86,Milestones!$AA$152)&lt;PolicyEff),1,Milestones!$AC$152)&amp;";  ","")&amp;IF(AND(EDATE($D86,Milestones!$AA$153)&lt;=AsOfDate,EDATE($D86,Milestones!$AA$153)&gt;=SchemeStart,IF($X86=0,$AD86,IF(AND($Z86&lt;&gt;"",EDATE($D86,Milestones!$AA$153)&gt;=$Z86),$AC86,IF(AND($Y86&lt;&gt;"",EDATE($D86,Milestones!$AA$153)&gt;=$Y86),$AB86,$AA86)))=Milestones!$AB$153),UPPER(TEXT(EDATE($D86,Milestones!$AA$153),"dd mmm yy"))&amp;" "&amp;Milestones!$AB$153&amp;" "&amp;IF(AND(Milestones!$AB$153="FT",Milestones!$AA$153=FT_Y5,EDATE($D86,Milestones!$AA$153)&lt;PolicyEff),1,Milestones!$AC$153)&amp;";  ","")&amp;IF(AND(EDATE($D86,Milestones!$AA$154)&lt;=AsOfDate,EDATE($D86,Milestones!$AA$154)&gt;=SchemeStart,IF($X86=0,$AD86,IF(AND($Z86&lt;&gt;"",EDATE($D86,Milestones!$AA$154)&gt;=$Z86),$AC86,IF(AND($Y86&lt;&gt;"",EDATE($D86,Milestones!$AA$154)&gt;=$Y86),$AB86,$AA86)))=Milestones!$AB$154),UPPER(TEXT(EDATE($D86,Milestones!$AA$154),"dd mmm yy"))&amp;" "&amp;Milestones!$AB$154&amp;" "&amp;IF(AND(Milestones!$AB$154="FT",Milestones!$AA$154=FT_Y5,EDATE($D86,Milestones!$AA$154)&lt;PolicyEff),1,Milestones!$AC$154)&amp;";  ","")&amp;IF(AND(EDATE($D86,Milestones!$AA$155)&lt;=AsOfDate,EDATE($D86,Milestones!$AA$155)&gt;=SchemeStart,IF($X86=0,$AD86,IF(AND($Z86&lt;&gt;"",EDATE($D86,Milestones!$AA$155)&gt;=$Z86),$AC86,IF(AND($Y86&lt;&gt;"",EDATE($D86,Milestones!$AA$155)&gt;=$Y86),$AB86,$AA86)))=Milestones!$AB$155),UPPER(TEXT(EDATE($D86,Milestones!$AA$155),"dd mmm yy"))&amp;" "&amp;Milestones!$AB$155&amp;" "&amp;IF(AND(Milestones!$AB$155="FT",Milestones!$AA$155=FT_Y5,EDATE($D86,Milestones!$AA$155)&lt;PolicyEff),1,Milestones!$AC$155)&amp;";  ","")&amp;IF(AND(EDATE($D86,Milestones!$AA$156)&lt;=AsOfDate,EDATE($D86,Milestones!$AA$156)&gt;=SchemeStart,IF($X86=0,$AD86,IF(AND($Z86&lt;&gt;"",EDATE($D86,Milestones!$AA$156)&gt;=$Z86),$AC86,IF(AND($Y86&lt;&gt;"",EDATE($D86,Milestones!$AA$156)&gt;=$Y86),$AB86,$AA86)))=Milestones!$AB$156),UPPER(TEXT(EDATE($D86,Milestones!$AA$156),"dd mmm yy"))&amp;" "&amp;Milestones!$AB$156&amp;" "&amp;IF(AND(Milestones!$AB$156="FT",Milestones!$AA$156=FT_Y5,EDATE($D86,Milestones!$AA$156)&lt;PolicyEff),1,Milestones!$AC$156)&amp;";  ","")&amp;IF(AND(EDATE($D86,Milestones!$AA$157)&lt;=AsOfDate,EDATE($D86,Milestones!$AA$157)&gt;=SchemeStart,IF($X86=0,$AD86,IF(AND($Z86&lt;&gt;"",EDATE($D86,Milestones!$AA$157)&gt;=$Z86),$AC86,IF(AND($Y86&lt;&gt;"",EDATE($D86,Milestones!$AA$157)&gt;=$Y86),$AB86,$AA86)))=Milestones!$AB$157),UPPER(TEXT(EDATE($D86,Milestones!$AA$157),"dd mmm yy"))&amp;" "&amp;Milestones!$AB$157&amp;" "&amp;IF(AND(Milestones!$AB$157="FT",Milestones!$AA$157=FT_Y5,EDATE($D86,Milestones!$AA$157)&lt;PolicyEff),1,Milestones!$AC$157)&amp;";  ","")&amp;IF(AND(EDATE($D86,Milestones!$AA$158)&lt;=AsOfDate,EDATE($D86,Milestones!$AA$158)&gt;=SchemeStart,IF($X86=0,$AD86,IF(AND($Z86&lt;&gt;"",EDATE($D86,Milestones!$AA$158)&gt;=$Z86),$AC86,IF(AND($Y86&lt;&gt;"",EDATE($D86,Milestones!$AA$158)&gt;=$Y86),$AB86,$AA86)))=Milestones!$AB$158),UPPER(TEXT(EDATE($D86,Milestones!$AA$158),"dd mmm yy"))&amp;" "&amp;Milestones!$AB$158&amp;" "&amp;IF(AND(Milestones!$AB$158="FT",Milestones!$AA$158=FT_Y5,EDATE($D86,Milestones!$AA$158)&lt;PolicyEff),1,Milestones!$AC$158)&amp;";  ","")&amp;IF(AND(EDATE($D86,Milestones!$AA$159)&lt;=AsOfDate,EDATE($D86,Milestones!$AA$159)&gt;=SchemeStart,IF($X86=0,$AD86,IF(AND($Z86&lt;&gt;"",EDATE($D86,Milestones!$AA$159)&gt;=$Z86),$AC86,IF(AND($Y86&lt;&gt;"",EDATE($D86,Milestones!$AA$159)&gt;=$Y86),$AB86,$AA86)))=Milestones!$AB$159),UPPER(TEXT(EDATE($D86,Milestones!$AA$159),"dd mmm yy"))&amp;" "&amp;Milestones!$AB$159&amp;" "&amp;IF(AND(Milestones!$AB$159="FT",Milestones!$AA$159=FT_Y5,EDATE($D86,Milestones!$AA$159)&lt;PolicyEff),1,Milestones!$AC$159)&amp;";  ","")&amp;IF(AND(EDATE($D86,Milestones!$AA$160)&lt;=AsOfDate,EDATE($D86,Milestones!$AA$160)&gt;=SchemeStart,IF($X86=0,$AD86,IF(AND($Z86&lt;&gt;"",EDATE($D86,Milestones!$AA$160)&gt;=$Z86),$AC86,IF(AND($Y86&lt;&gt;"",EDATE($D86,Milestones!$AA$160)&gt;=$Y86),$AB86,$AA86)))=Milestones!$AB$160),UPPER(TEXT(EDATE($D86,Milestones!$AA$160),"dd mmm yy"))&amp;" "&amp;Milestones!$AB$160&amp;" "&amp;IF(AND(Milestones!$AB$160="FT",Milestones!$AA$160=FT_Y5,EDATE($D86,Milestones!$AA$160)&lt;PolicyEff),1,Milestones!$AC$160)&amp;";  ","")&amp;IF(AND(EDATE($D86,Milestones!$AA$161)&lt;=AsOfDate,EDATE($D86,Milestones!$AA$161)&gt;=SchemeStart,IF($X86=0,$AD86,IF(AND($Z86&lt;&gt;"",EDATE($D86,Milestones!$AA$161)&gt;=$Z86),$AC86,IF(AND($Y86&lt;&gt;"",EDATE($D86,Milestones!$AA$161)&gt;=$Y86),$AB86,$AA86)))=Milestones!$AB$161),UPPER(TEXT(EDATE($D86,Milestones!$AA$161),"dd mmm yy"))&amp;" "&amp;Milestones!$AB$161&amp;" "&amp;IF(AND(Milestones!$AB$161="FT",Milestones!$AA$161=FT_Y5,EDATE($D86,Milestones!$AA$161)&lt;PolicyEff),1,Milestones!$AC$161)&amp;";  ","")&amp;IF(AND(EDATE($D86,Milestones!$AA$162)&lt;=AsOfDate,EDATE($D86,Milestones!$AA$162)&gt;=SchemeStart,IF($X86=0,$AD86,IF(AND($Z86&lt;&gt;"",EDATE($D86,Milestones!$AA$162)&gt;=$Z86),$AC86,IF(AND($Y86&lt;&gt;"",EDATE($D86,Milestones!$AA$162)&gt;=$Y86),$AB86,$AA86)))=Milestones!$AB$162),UPPER(TEXT(EDATE($D86,Milestones!$AA$162),"dd mmm yy"))&amp;" "&amp;Milestones!$AB$162&amp;" "&amp;IF(AND(Milestones!$AB$162="FT",Milestones!$AA$162=FT_Y5,EDATE($D86,Milestones!$AA$162)&lt;PolicyEff),1,Milestones!$AC$162)&amp;";  ","")&amp;IF(AND(EDATE($D86,Milestones!$AA$163)&lt;=AsOfDate,EDATE($D86,Milestones!$AA$163)&gt;=SchemeStart,IF($X86=0,$AD86,IF(AND($Z86&lt;&gt;"",EDATE($D86,Milestones!$AA$163)&gt;=$Z86),$AC86,IF(AND($Y86&lt;&gt;"",EDATE($D86,Milestones!$AA$163)&gt;=$Y86),$AB86,$AA86)))=Milestones!$AB$163),UPPER(TEXT(EDATE($D86,Milestones!$AA$163),"dd mmm yy"))&amp;" "&amp;Milestones!$AB$163&amp;" "&amp;IF(AND(Milestones!$AB$163="FT",Milestones!$AA$163=FT_Y5,EDATE($D86,Milestones!$AA$163)&lt;PolicyEff),1,Milestones!$AC$163)&amp;";  ",""))</f>
        <v/>
      </c>
      <c r="U86" s="0" t="str">
        <f aca="false">IF(OR($A86="",$D86=""),"",IF(AND(EDATE($D86,Milestones!$AA$164)&lt;=AsOfDate,EDATE($D86,Milestones!$AA$164)&gt;=SchemeStart,IF($X86=0,$AD86,IF(AND($Z86&lt;&gt;"",EDATE($D86,Milestones!$AA$164)&gt;=$Z86),$AC86,IF(AND($Y86&lt;&gt;"",EDATE($D86,Milestones!$AA$164)&gt;=$Y86),$AB86,$AA86)))=Milestones!$AB$164),UPPER(TEXT(EDATE($D86,Milestones!$AA$164),"dd mmm yy"))&amp;" "&amp;Milestones!$AB$164&amp;" "&amp;IF(AND(Milestones!$AB$164="FT",Milestones!$AA$164=FT_Y5,EDATE($D86,Milestones!$AA$164)&lt;PolicyEff),1,Milestones!$AC$164)&amp;";  ","")&amp;IF(AND(EDATE($D86,Milestones!$AA$165)&lt;=AsOfDate,EDATE($D86,Milestones!$AA$165)&gt;=SchemeStart,IF($X86=0,$AD86,IF(AND($Z86&lt;&gt;"",EDATE($D86,Milestones!$AA$165)&gt;=$Z86),$AC86,IF(AND($Y86&lt;&gt;"",EDATE($D86,Milestones!$AA$165)&gt;=$Y86),$AB86,$AA86)))=Milestones!$AB$165),UPPER(TEXT(EDATE($D86,Milestones!$AA$165),"dd mmm yy"))&amp;" "&amp;Milestones!$AB$165&amp;" "&amp;IF(AND(Milestones!$AB$165="FT",Milestones!$AA$165=FT_Y5,EDATE($D86,Milestones!$AA$165)&lt;PolicyEff),1,Milestones!$AC$165)&amp;";  ","")&amp;IF(AND(EDATE($D86,Milestones!$AA$166)&lt;=AsOfDate,EDATE($D86,Milestones!$AA$166)&gt;=SchemeStart,IF($X86=0,$AD86,IF(AND($Z86&lt;&gt;"",EDATE($D86,Milestones!$AA$166)&gt;=$Z86),$AC86,IF(AND($Y86&lt;&gt;"",EDATE($D86,Milestones!$AA$166)&gt;=$Y86),$AB86,$AA86)))=Milestones!$AB$166),UPPER(TEXT(EDATE($D86,Milestones!$AA$166),"dd mmm yy"))&amp;" "&amp;Milestones!$AB$166&amp;" "&amp;IF(AND(Milestones!$AB$166="FT",Milestones!$AA$166=FT_Y5,EDATE($D86,Milestones!$AA$166)&lt;PolicyEff),1,Milestones!$AC$166)&amp;";  ","")&amp;IF(AND(EDATE($D86,Milestones!$AA$167)&lt;=AsOfDate,EDATE($D86,Milestones!$AA$167)&gt;=SchemeStart,IF($X86=0,$AD86,IF(AND($Z86&lt;&gt;"",EDATE($D86,Milestones!$AA$167)&gt;=$Z86),$AC86,IF(AND($Y86&lt;&gt;"",EDATE($D86,Milestones!$AA$167)&gt;=$Y86),$AB86,$AA86)))=Milestones!$AB$167),UPPER(TEXT(EDATE($D86,Milestones!$AA$167),"dd mmm yy"))&amp;" "&amp;Milestones!$AB$167&amp;" "&amp;IF(AND(Milestones!$AB$167="FT",Milestones!$AA$167=FT_Y5,EDATE($D86,Milestones!$AA$167)&lt;PolicyEff),1,Milestones!$AC$167)&amp;";  ","")&amp;IF(AND(EDATE($D86,Milestones!$AA$168)&lt;=AsOfDate,EDATE($D86,Milestones!$AA$168)&gt;=SchemeStart,IF($X86=0,$AD86,IF(AND($Z86&lt;&gt;"",EDATE($D86,Milestones!$AA$168)&gt;=$Z86),$AC86,IF(AND($Y86&lt;&gt;"",EDATE($D86,Milestones!$AA$168)&gt;=$Y86),$AB86,$AA86)))=Milestones!$AB$168),UPPER(TEXT(EDATE($D86,Milestones!$AA$168),"dd mmm yy"))&amp;" "&amp;Milestones!$AB$168&amp;" "&amp;IF(AND(Milestones!$AB$168="FT",Milestones!$AA$168=FT_Y5,EDATE($D86,Milestones!$AA$168)&lt;PolicyEff),1,Milestones!$AC$168)&amp;";  ","")&amp;IF(AND(EDATE($D86,Milestones!$AA$169)&lt;=AsOfDate,EDATE($D86,Milestones!$AA$169)&gt;=SchemeStart,IF($X86=0,$AD86,IF(AND($Z86&lt;&gt;"",EDATE($D86,Milestones!$AA$169)&gt;=$Z86),$AC86,IF(AND($Y86&lt;&gt;"",EDATE($D86,Milestones!$AA$169)&gt;=$Y86),$AB86,$AA86)))=Milestones!$AB$169),UPPER(TEXT(EDATE($D86,Milestones!$AA$169),"dd mmm yy"))&amp;" "&amp;Milestones!$AB$169&amp;" "&amp;IF(AND(Milestones!$AB$169="FT",Milestones!$AA$169=FT_Y5,EDATE($D86,Milestones!$AA$169)&lt;PolicyEff),1,Milestones!$AC$169)&amp;";  ","")&amp;IF(AND(EDATE($D86,Milestones!$AA$170)&lt;=AsOfDate,EDATE($D86,Milestones!$AA$170)&gt;=SchemeStart,IF($X86=0,$AD86,IF(AND($Z86&lt;&gt;"",EDATE($D86,Milestones!$AA$170)&gt;=$Z86),$AC86,IF(AND($Y86&lt;&gt;"",EDATE($D86,Milestones!$AA$170)&gt;=$Y86),$AB86,$AA86)))=Milestones!$AB$170),UPPER(TEXT(EDATE($D86,Milestones!$AA$170),"dd mmm yy"))&amp;" "&amp;Milestones!$AB$170&amp;" "&amp;IF(AND(Milestones!$AB$170="FT",Milestones!$AA$170=FT_Y5,EDATE($D86,Milestones!$AA$170)&lt;PolicyEff),1,Milestones!$AC$170)&amp;";  ","")&amp;IF(AND(EDATE($D86,Milestones!$AA$171)&lt;=AsOfDate,EDATE($D86,Milestones!$AA$171)&gt;=SchemeStart,IF($X86=0,$AD86,IF(AND($Z86&lt;&gt;"",EDATE($D86,Milestones!$AA$171)&gt;=$Z86),$AC86,IF(AND($Y86&lt;&gt;"",EDATE($D86,Milestones!$AA$171)&gt;=$Y86),$AB86,$AA86)))=Milestones!$AB$171),UPPER(TEXT(EDATE($D86,Milestones!$AA$171),"dd mmm yy"))&amp;" "&amp;Milestones!$AB$171&amp;" "&amp;IF(AND(Milestones!$AB$171="FT",Milestones!$AA$171=FT_Y5,EDATE($D86,Milestones!$AA$171)&lt;PolicyEff),1,Milestones!$AC$171)&amp;";  ","")&amp;IF(AND(EDATE($D86,Milestones!$AA$172)&lt;=AsOfDate,EDATE($D86,Milestones!$AA$172)&gt;=SchemeStart,IF($X86=0,$AD86,IF(AND($Z86&lt;&gt;"",EDATE($D86,Milestones!$AA$172)&gt;=$Z86),$AC86,IF(AND($Y86&lt;&gt;"",EDATE($D86,Milestones!$AA$172)&gt;=$Y86),$AB86,$AA86)))=Milestones!$AB$172),UPPER(TEXT(EDATE($D86,Milestones!$AA$172),"dd mmm yy"))&amp;" "&amp;Milestones!$AB$172&amp;" "&amp;IF(AND(Milestones!$AB$172="FT",Milestones!$AA$172=FT_Y5,EDATE($D86,Milestones!$AA$172)&lt;PolicyEff),1,Milestones!$AC$172)&amp;";  ","")&amp;IF(AND(EDATE($D86,Milestones!$AA$173)&lt;=AsOfDate,EDATE($D86,Milestones!$AA$173)&gt;=SchemeStart,IF($X86=0,$AD86,IF(AND($Z86&lt;&gt;"",EDATE($D86,Milestones!$AA$173)&gt;=$Z86),$AC86,IF(AND($Y86&lt;&gt;"",EDATE($D86,Milestones!$AA$173)&gt;=$Y86),$AB86,$AA86)))=Milestones!$AB$173),UPPER(TEXT(EDATE($D86,Milestones!$AA$173),"dd mmm yy"))&amp;" "&amp;Milestones!$AB$173&amp;" "&amp;IF(AND(Milestones!$AB$173="FT",Milestones!$AA$173=FT_Y5,EDATE($D86,Milestones!$AA$173)&lt;PolicyEff),1,Milestones!$AC$173)&amp;";  ","")&amp;IF(AND(EDATE($D86,Milestones!$AA$174)&lt;=AsOfDate,EDATE($D86,Milestones!$AA$174)&gt;=SchemeStart,IF($X86=0,$AD86,IF(AND($Z86&lt;&gt;"",EDATE($D86,Milestones!$AA$174)&gt;=$Z86),$AC86,IF(AND($Y86&lt;&gt;"",EDATE($D86,Milestones!$AA$174)&gt;=$Y86),$AB86,$AA86)))=Milestones!$AB$174),UPPER(TEXT(EDATE($D86,Milestones!$AA$174),"dd mmm yy"))&amp;" "&amp;Milestones!$AB$174&amp;" "&amp;IF(AND(Milestones!$AB$174="FT",Milestones!$AA$174=FT_Y5,EDATE($D86,Milestones!$AA$174)&lt;PolicyEff),1,Milestones!$AC$174)&amp;";  ","")&amp;IF(AND(EDATE($D86,Milestones!$AA$175)&lt;=AsOfDate,EDATE($D86,Milestones!$AA$175)&gt;=SchemeStart,IF($X86=0,$AD86,IF(AND($Z86&lt;&gt;"",EDATE($D86,Milestones!$AA$175)&gt;=$Z86),$AC86,IF(AND($Y86&lt;&gt;"",EDATE($D86,Milestones!$AA$175)&gt;=$Y86),$AB86,$AA86)))=Milestones!$AB$175),UPPER(TEXT(EDATE($D86,Milestones!$AA$175),"dd mmm yy"))&amp;" "&amp;Milestones!$AB$175&amp;" "&amp;IF(AND(Milestones!$AB$175="FT",Milestones!$AA$175=FT_Y5,EDATE($D86,Milestones!$AA$175)&lt;PolicyEff),1,Milestones!$AC$175)&amp;";  ",""))</f>
        <v/>
      </c>
      <c r="V86" s="0" t="str">
        <f aca="false">IF(OR($A86="",$D86=""),"",IF(AND(EDATE($D86,Milestones!$AA$176)&lt;=AsOfDate,EDATE($D86,Milestones!$AA$176)&gt;=SchemeStart,IF($X86=0,$AD86,IF(AND($Z86&lt;&gt;"",EDATE($D86,Milestones!$AA$176)&gt;=$Z86),$AC86,IF(AND($Y86&lt;&gt;"",EDATE($D86,Milestones!$AA$176)&gt;=$Y86),$AB86,$AA86)))=Milestones!$AB$176),UPPER(TEXT(EDATE($D86,Milestones!$AA$176),"dd mmm yy"))&amp;" "&amp;Milestones!$AB$176&amp;" "&amp;IF(AND(Milestones!$AB$176="FT",Milestones!$AA$176=FT_Y5,EDATE($D86,Milestones!$AA$176)&lt;PolicyEff),1,Milestones!$AC$176)&amp;";  ","")&amp;IF(AND(EDATE($D86,Milestones!$AA$177)&lt;=AsOfDate,EDATE($D86,Milestones!$AA$177)&gt;=SchemeStart,IF($X86=0,$AD86,IF(AND($Z86&lt;&gt;"",EDATE($D86,Milestones!$AA$177)&gt;=$Z86),$AC86,IF(AND($Y86&lt;&gt;"",EDATE($D86,Milestones!$AA$177)&gt;=$Y86),$AB86,$AA86)))=Milestones!$AB$177),UPPER(TEXT(EDATE($D86,Milestones!$AA$177),"dd mmm yy"))&amp;" "&amp;Milestones!$AB$177&amp;" "&amp;IF(AND(Milestones!$AB$177="FT",Milestones!$AA$177=FT_Y5,EDATE($D86,Milestones!$AA$177)&lt;PolicyEff),1,Milestones!$AC$177)&amp;";  ","")&amp;IF(AND(EDATE($D86,Milestones!$AA$178)&lt;=AsOfDate,EDATE($D86,Milestones!$AA$178)&gt;=SchemeStart,IF($X86=0,$AD86,IF(AND($Z86&lt;&gt;"",EDATE($D86,Milestones!$AA$178)&gt;=$Z86),$AC86,IF(AND($Y86&lt;&gt;"",EDATE($D86,Milestones!$AA$178)&gt;=$Y86),$AB86,$AA86)))=Milestones!$AB$178),UPPER(TEXT(EDATE($D86,Milestones!$AA$178),"dd mmm yy"))&amp;" "&amp;Milestones!$AB$178&amp;" "&amp;IF(AND(Milestones!$AB$178="FT",Milestones!$AA$178=FT_Y5,EDATE($D86,Milestones!$AA$178)&lt;PolicyEff),1,Milestones!$AC$178)&amp;";  ","")&amp;IF(AND(EDATE($D86,Milestones!$AA$179)&lt;=AsOfDate,EDATE($D86,Milestones!$AA$179)&gt;=SchemeStart,IF($X86=0,$AD86,IF(AND($Z86&lt;&gt;"",EDATE($D86,Milestones!$AA$179)&gt;=$Z86),$AC86,IF(AND($Y86&lt;&gt;"",EDATE($D86,Milestones!$AA$179)&gt;=$Y86),$AB86,$AA86)))=Milestones!$AB$179),UPPER(TEXT(EDATE($D86,Milestones!$AA$179),"dd mmm yy"))&amp;" "&amp;Milestones!$AB$179&amp;" "&amp;IF(AND(Milestones!$AB$179="FT",Milestones!$AA$179=FT_Y5,EDATE($D86,Milestones!$AA$179)&lt;PolicyEff),1,Milestones!$AC$179)&amp;";  ","")&amp;IF(AND(EDATE($D86,Milestones!$AA$180)&lt;=AsOfDate,EDATE($D86,Milestones!$AA$180)&gt;=SchemeStart,IF($X86=0,$AD86,IF(AND($Z86&lt;&gt;"",EDATE($D86,Milestones!$AA$180)&gt;=$Z86),$AC86,IF(AND($Y86&lt;&gt;"",EDATE($D86,Milestones!$AA$180)&gt;=$Y86),$AB86,$AA86)))=Milestones!$AB$180),UPPER(TEXT(EDATE($D86,Milestones!$AA$180),"dd mmm yy"))&amp;" "&amp;Milestones!$AB$180&amp;" "&amp;IF(AND(Milestones!$AB$180="FT",Milestones!$AA$180=FT_Y5,EDATE($D86,Milestones!$AA$180)&lt;PolicyEff),1,Milestones!$AC$180)&amp;";  ","")&amp;IF(AND(EDATE($D86,Milestones!$AA$181)&lt;=AsOfDate,EDATE($D86,Milestones!$AA$181)&gt;=SchemeStart,IF($X86=0,$AD86,IF(AND($Z86&lt;&gt;"",EDATE($D86,Milestones!$AA$181)&gt;=$Z86),$AC86,IF(AND($Y86&lt;&gt;"",EDATE($D86,Milestones!$AA$181)&gt;=$Y86),$AB86,$AA86)))=Milestones!$AB$181),UPPER(TEXT(EDATE($D86,Milestones!$AA$181),"dd mmm yy"))&amp;" "&amp;Milestones!$AB$181&amp;" "&amp;IF(AND(Milestones!$AB$181="FT",Milestones!$AA$181=FT_Y5,EDATE($D86,Milestones!$AA$181)&lt;PolicyEff),1,Milestones!$AC$181)&amp;";  ","")&amp;IF(AND(EDATE($D86,Milestones!$AA$182)&lt;=AsOfDate,EDATE($D86,Milestones!$AA$182)&gt;=SchemeStart,IF($X86=0,$AD86,IF(AND($Z86&lt;&gt;"",EDATE($D86,Milestones!$AA$182)&gt;=$Z86),$AC86,IF(AND($Y86&lt;&gt;"",EDATE($D86,Milestones!$AA$182)&gt;=$Y86),$AB86,$AA86)))=Milestones!$AB$182),UPPER(TEXT(EDATE($D86,Milestones!$AA$182),"dd mmm yy"))&amp;" "&amp;Milestones!$AB$182&amp;" "&amp;IF(AND(Milestones!$AB$182="FT",Milestones!$AA$182=FT_Y5,EDATE($D86,Milestones!$AA$182)&lt;PolicyEff),1,Milestones!$AC$182)&amp;";  ","")&amp;IF(AND(EDATE($D86,Milestones!$AA$183)&lt;=AsOfDate,EDATE($D86,Milestones!$AA$183)&gt;=SchemeStart,IF($X86=0,$AD86,IF(AND($Z86&lt;&gt;"",EDATE($D86,Milestones!$AA$183)&gt;=$Z86),$AC86,IF(AND($Y86&lt;&gt;"",EDATE($D86,Milestones!$AA$183)&gt;=$Y86),$AB86,$AA86)))=Milestones!$AB$183),UPPER(TEXT(EDATE($D86,Milestones!$AA$183),"dd mmm yy"))&amp;" "&amp;Milestones!$AB$183&amp;" "&amp;IF(AND(Milestones!$AB$183="FT",Milestones!$AA$183=FT_Y5,EDATE($D86,Milestones!$AA$183)&lt;PolicyEff),1,Milestones!$AC$183)&amp;";  ","")&amp;IF(AND(EDATE($D86,Milestones!$AA$184)&lt;=AsOfDate,EDATE($D86,Milestones!$AA$184)&gt;=SchemeStart,IF($X86=0,$AD86,IF(AND($Z86&lt;&gt;"",EDATE($D86,Milestones!$AA$184)&gt;=$Z86),$AC86,IF(AND($Y86&lt;&gt;"",EDATE($D86,Milestones!$AA$184)&gt;=$Y86),$AB86,$AA86)))=Milestones!$AB$184),UPPER(TEXT(EDATE($D86,Milestones!$AA$184),"dd mmm yy"))&amp;" "&amp;Milestones!$AB$184&amp;" "&amp;IF(AND(Milestones!$AB$184="FT",Milestones!$AA$184=FT_Y5,EDATE($D86,Milestones!$AA$184)&lt;PolicyEff),1,Milestones!$AC$184)&amp;";  ","")&amp;IF(AND(EDATE($D86,Milestones!$AA$185)&lt;=AsOfDate,EDATE($D86,Milestones!$AA$185)&gt;=SchemeStart,IF($X86=0,$AD86,IF(AND($Z86&lt;&gt;"",EDATE($D86,Milestones!$AA$185)&gt;=$Z86),$AC86,IF(AND($Y86&lt;&gt;"",EDATE($D86,Milestones!$AA$185)&gt;=$Y86),$AB86,$AA86)))=Milestones!$AB$185),UPPER(TEXT(EDATE($D86,Milestones!$AA$185),"dd mmm yy"))&amp;" "&amp;Milestones!$AB$185&amp;" "&amp;IF(AND(Milestones!$AB$185="FT",Milestones!$AA$185=FT_Y5,EDATE($D86,Milestones!$AA$185)&lt;PolicyEff),1,Milestones!$AC$185)&amp;";  ","")&amp;IF(AND(EDATE($D86,Milestones!$AA$186)&lt;=AsOfDate,EDATE($D86,Milestones!$AA$186)&gt;=SchemeStart,IF($X86=0,$AD86,IF(AND($Z86&lt;&gt;"",EDATE($D86,Milestones!$AA$186)&gt;=$Z86),$AC86,IF(AND($Y86&lt;&gt;"",EDATE($D86,Milestones!$AA$186)&gt;=$Y86),$AB86,$AA86)))=Milestones!$AB$186),UPPER(TEXT(EDATE($D86,Milestones!$AA$186),"dd mmm yy"))&amp;" "&amp;Milestones!$AB$186&amp;" "&amp;IF(AND(Milestones!$AB$186="FT",Milestones!$AA$186=FT_Y5,EDATE($D86,Milestones!$AA$186)&lt;PolicyEff),1,Milestones!$AC$186)&amp;";  ","")&amp;IF(AND(EDATE($D86,Milestones!$AA$187)&lt;=AsOfDate,EDATE($D86,Milestones!$AA$187)&gt;=SchemeStart,IF($X86=0,$AD86,IF(AND($Z86&lt;&gt;"",EDATE($D86,Milestones!$AA$187)&gt;=$Z86),$AC86,IF(AND($Y86&lt;&gt;"",EDATE($D86,Milestones!$AA$187)&gt;=$Y86),$AB86,$AA86)))=Milestones!$AB$187),UPPER(TEXT(EDATE($D86,Milestones!$AA$187),"dd mmm yy"))&amp;" "&amp;Milestones!$AB$187&amp;" "&amp;IF(AND(Milestones!$AB$187="FT",Milestones!$AA$187=FT_Y5,EDATE($D86,Milestones!$AA$187)&lt;PolicyEff),1,Milestones!$AC$187)&amp;";  ",""))</f>
        <v/>
      </c>
      <c r="W86" s="0" t="str">
        <f aca="false">IF(OR($A86="",$D86=""),"",IF(AND(EDATE($D86,Milestones!$AA$188)&lt;=AsOfDate,EDATE($D86,Milestones!$AA$188)&gt;=SchemeStart,IF($X86=0,$AD86,IF(AND($Z86&lt;&gt;"",EDATE($D86,Milestones!$AA$188)&gt;=$Z86),$AC86,IF(AND($Y86&lt;&gt;"",EDATE($D86,Milestones!$AA$188)&gt;=$Y86),$AB86,$AA86)))=Milestones!$AB$188),UPPER(TEXT(EDATE($D86,Milestones!$AA$188),"dd mmm yy"))&amp;" "&amp;Milestones!$AB$188&amp;" "&amp;IF(AND(Milestones!$AB$188="FT",Milestones!$AA$188=FT_Y5,EDATE($D86,Milestones!$AA$188)&lt;PolicyEff),1,Milestones!$AC$188)&amp;";  ","")&amp;IF(AND(EDATE($D86,Milestones!$AA$189)&lt;=AsOfDate,EDATE($D86,Milestones!$AA$189)&gt;=SchemeStart,IF($X86=0,$AD86,IF(AND($Z86&lt;&gt;"",EDATE($D86,Milestones!$AA$189)&gt;=$Z86),$AC86,IF(AND($Y86&lt;&gt;"",EDATE($D86,Milestones!$AA$189)&gt;=$Y86),$AB86,$AA86)))=Milestones!$AB$189),UPPER(TEXT(EDATE($D86,Milestones!$AA$189),"dd mmm yy"))&amp;" "&amp;Milestones!$AB$189&amp;" "&amp;IF(AND(Milestones!$AB$189="FT",Milestones!$AA$189=FT_Y5,EDATE($D86,Milestones!$AA$189)&lt;PolicyEff),1,Milestones!$AC$189)&amp;";  ","")&amp;IF(AND(EDATE($D86,Milestones!$AA$190)&lt;=AsOfDate,EDATE($D86,Milestones!$AA$190)&gt;=SchemeStart,IF($X86=0,$AD86,IF(AND($Z86&lt;&gt;"",EDATE($D86,Milestones!$AA$190)&gt;=$Z86),$AC86,IF(AND($Y86&lt;&gt;"",EDATE($D86,Milestones!$AA$190)&gt;=$Y86),$AB86,$AA86)))=Milestones!$AB$190),UPPER(TEXT(EDATE($D86,Milestones!$AA$190),"dd mmm yy"))&amp;" "&amp;Milestones!$AB$190&amp;" "&amp;IF(AND(Milestones!$AB$190="FT",Milestones!$AA$190=FT_Y5,EDATE($D86,Milestones!$AA$190)&lt;PolicyEff),1,Milestones!$AC$190)&amp;";  ","")&amp;IF(AND(EDATE($D86,Milestones!$AA$191)&lt;=AsOfDate,EDATE($D86,Milestones!$AA$191)&gt;=SchemeStart,IF($X86=0,$AD86,IF(AND($Z86&lt;&gt;"",EDATE($D86,Milestones!$AA$191)&gt;=$Z86),$AC86,IF(AND($Y86&lt;&gt;"",EDATE($D86,Milestones!$AA$191)&gt;=$Y86),$AB86,$AA86)))=Milestones!$AB$191),UPPER(TEXT(EDATE($D86,Milestones!$AA$191),"dd mmm yy"))&amp;" "&amp;Milestones!$AB$191&amp;" "&amp;IF(AND(Milestones!$AB$191="FT",Milestones!$AA$191=FT_Y5,EDATE($D86,Milestones!$AA$191)&lt;PolicyEff),1,Milestones!$AC$191)&amp;";  ","")&amp;IF(AND(EDATE($D86,Milestones!$AA$192)&lt;=AsOfDate,EDATE($D86,Milestones!$AA$192)&gt;=SchemeStart,IF($X86=0,$AD86,IF(AND($Z86&lt;&gt;"",EDATE($D86,Milestones!$AA$192)&gt;=$Z86),$AC86,IF(AND($Y86&lt;&gt;"",EDATE($D86,Milestones!$AA$192)&gt;=$Y86),$AB86,$AA86)))=Milestones!$AB$192),UPPER(TEXT(EDATE($D86,Milestones!$AA$192),"dd mmm yy"))&amp;" "&amp;Milestones!$AB$192&amp;" "&amp;IF(AND(Milestones!$AB$192="FT",Milestones!$AA$192=FT_Y5,EDATE($D86,Milestones!$AA$192)&lt;PolicyEff),1,Milestones!$AC$192)&amp;";  ","")&amp;IF(AND(EDATE($D86,Milestones!$AA$193)&lt;=AsOfDate,EDATE($D86,Milestones!$AA$193)&gt;=SchemeStart,IF($X86=0,$AD86,IF(AND($Z86&lt;&gt;"",EDATE($D86,Milestones!$AA$193)&gt;=$Z86),$AC86,IF(AND($Y86&lt;&gt;"",EDATE($D86,Milestones!$AA$193)&gt;=$Y86),$AB86,$AA86)))=Milestones!$AB$193),UPPER(TEXT(EDATE($D86,Milestones!$AA$193),"dd mmm yy"))&amp;" "&amp;Milestones!$AB$193&amp;" "&amp;IF(AND(Milestones!$AB$193="FT",Milestones!$AA$193=FT_Y5,EDATE($D86,Milestones!$AA$193)&lt;PolicyEff),1,Milestones!$AC$193)&amp;";  ","")&amp;IF(AND(EDATE($D86,Milestones!$AA$194)&lt;=AsOfDate,EDATE($D86,Milestones!$AA$194)&gt;=SchemeStart,IF($X86=0,$AD86,IF(AND($Z86&lt;&gt;"",EDATE($D86,Milestones!$AA$194)&gt;=$Z86),$AC86,IF(AND($Y86&lt;&gt;"",EDATE($D86,Milestones!$AA$194)&gt;=$Y86),$AB86,$AA86)))=Milestones!$AB$194),UPPER(TEXT(EDATE($D86,Milestones!$AA$194),"dd mmm yy"))&amp;" "&amp;Milestones!$AB$194&amp;" "&amp;IF(AND(Milestones!$AB$194="FT",Milestones!$AA$194=FT_Y5,EDATE($D86,Milestones!$AA$194)&lt;PolicyEff),1,Milestones!$AC$194)&amp;";  ","")&amp;IF(AND(EDATE($D86,Milestones!$AA$195)&lt;=AsOfDate,EDATE($D86,Milestones!$AA$195)&gt;=SchemeStart,IF($X86=0,$AD86,IF(AND($Z86&lt;&gt;"",EDATE($D86,Milestones!$AA$195)&gt;=$Z86),$AC86,IF(AND($Y86&lt;&gt;"",EDATE($D86,Milestones!$AA$195)&gt;=$Y86),$AB86,$AA86)))=Milestones!$AB$195),UPPER(TEXT(EDATE($D86,Milestones!$AA$195),"dd mmm yy"))&amp;" "&amp;Milestones!$AB$195&amp;" "&amp;IF(AND(Milestones!$AB$195="FT",Milestones!$AA$195=FT_Y5,EDATE($D86,Milestones!$AA$195)&lt;PolicyEff),1,Milestones!$AC$195)&amp;";  ","")&amp;IF(AND(EDATE($D86,Milestones!$AA$196)&lt;=AsOfDate,EDATE($D86,Milestones!$AA$196)&gt;=SchemeStart,IF($X86=0,$AD86,IF(AND($Z86&lt;&gt;"",EDATE($D86,Milestones!$AA$196)&gt;=$Z86),$AC86,IF(AND($Y86&lt;&gt;"",EDATE($D86,Milestones!$AA$196)&gt;=$Y86),$AB86,$AA86)))=Milestones!$AB$196),UPPER(TEXT(EDATE($D86,Milestones!$AA$196),"dd mmm yy"))&amp;" "&amp;Milestones!$AB$196&amp;" "&amp;IF(AND(Milestones!$AB$196="FT",Milestones!$AA$196=FT_Y5,EDATE($D86,Milestones!$AA$196)&lt;PolicyEff),1,Milestones!$AC$196)&amp;";  ","")&amp;IF(AND(EDATE($D86,Milestones!$AA$197)&lt;=AsOfDate,EDATE($D86,Milestones!$AA$197)&gt;=SchemeStart,IF($X86=0,$AD86,IF(AND($Z86&lt;&gt;"",EDATE($D86,Milestones!$AA$197)&gt;=$Z86),$AC86,IF(AND($Y86&lt;&gt;"",EDATE($D86,Milestones!$AA$197)&gt;=$Y86),$AB86,$AA86)))=Milestones!$AB$197),UPPER(TEXT(EDATE($D86,Milestones!$AA$197),"dd mmm yy"))&amp;" "&amp;Milestones!$AB$197&amp;" "&amp;IF(AND(Milestones!$AB$197="FT",Milestones!$AA$197=FT_Y5,EDATE($D86,Milestones!$AA$197)&lt;PolicyEff),1,Milestones!$AC$197)&amp;";  ","")&amp;IF(AND(EDATE($D86,Milestones!$AA$198)&lt;=AsOfDate,EDATE($D86,Milestones!$AA$198)&gt;=SchemeStart,IF($X86=0,$AD86,IF(AND($Z86&lt;&gt;"",EDATE($D86,Milestones!$AA$198)&gt;=$Z86),$AC86,IF(AND($Y86&lt;&gt;"",EDATE($D86,Milestones!$AA$198)&gt;=$Y86),$AB86,$AA86)))=Milestones!$AB$198),UPPER(TEXT(EDATE($D86,Milestones!$AA$198),"dd mmm yy"))&amp;" "&amp;Milestones!$AB$198&amp;" "&amp;IF(AND(Milestones!$AB$198="FT",Milestones!$AA$198=FT_Y5,EDATE($D86,Milestones!$AA$198)&lt;PolicyEff),1,Milestones!$AC$198)&amp;";  ","")&amp;IF(AND(EDATE($D86,Milestones!$AA$199)&lt;=AsOfDate,EDATE($D86,Milestones!$AA$199)&gt;=SchemeStart,IF($X86=0,$AD86,IF(AND($Z86&lt;&gt;"",EDATE($D86,Milestones!$AA$199)&gt;=$Z86),$AC86,IF(AND($Y86&lt;&gt;"",EDATE($D86,Milestones!$AA$199)&gt;=$Y86),$AB86,$AA86)))=Milestones!$AB$199),UPPER(TEXT(EDATE($D86,Milestones!$AA$199),"dd mmm yy"))&amp;" "&amp;Milestones!$AB$199&amp;" "&amp;IF(AND(Milestones!$AB$199="FT",Milestones!$AA$199=FT_Y5,EDATE($D86,Milestones!$AA$199)&lt;PolicyEff),1,Milestones!$AC$199)&amp;";  ",""))</f>
        <v/>
      </c>
      <c r="X86" s="0" t="str">
        <f aca="false">IF(Staff!$A86="","",Staff!$AM86)</f>
        <v/>
      </c>
      <c r="Y86" s="0" t="str">
        <f aca="false">IF(Staff!$A86="","",Staff!$AO86)</f>
        <v/>
      </c>
      <c r="Z86" s="0" t="str">
        <f aca="false">IF(Staff!$A86="","",Staff!$AP86)</f>
        <v/>
      </c>
      <c r="AA86" s="0" t="str">
        <f aca="false">IF(Staff!$A86="","",Staff!$AT86)</f>
        <v/>
      </c>
      <c r="AB86" s="0" t="str">
        <f aca="false">IF(Staff!$A86="","",Staff!$AU86)</f>
        <v/>
      </c>
      <c r="AC86" s="0" t="str">
        <f aca="false">IF(Staff!$A86="","",Staff!$AV86)</f>
        <v/>
      </c>
      <c r="AD86" s="0" t="str">
        <f aca="false">IF(Staff!$A86="","",Staff!$AW86)</f>
        <v/>
      </c>
    </row>
    <row r="87" customFormat="false" ht="15" hidden="false" customHeight="false" outlineLevel="0" collapsed="false">
      <c r="A87" s="16" t="str">
        <f aca="false">IF(Staff!$A87="","",Staff!$A87)</f>
        <v/>
      </c>
      <c r="B87" s="16" t="str">
        <f aca="false">IF(Staff!$A87="","",Staff!$B87)</f>
        <v/>
      </c>
      <c r="C87" s="16" t="str">
        <f aca="false">IF(Staff!$A87="","",Staff!$C87)</f>
        <v/>
      </c>
      <c r="D87" s="14" t="str">
        <f aca="false">IF(Staff!$A87="","",Staff!$AL87)</f>
        <v/>
      </c>
      <c r="E87" s="16" t="str">
        <f aca="false">IF(Staff!$A87="","",Staff!$O87)</f>
        <v/>
      </c>
      <c r="F87" s="16" t="str">
        <f aca="false">IF(E87="","",E87*HoursPerDay)</f>
        <v/>
      </c>
      <c r="G87" s="16" t="str">
        <f aca="false">IF(Staff!$A87="","",Staff!$AE87)</f>
        <v/>
      </c>
      <c r="H87" s="28" t="str">
        <f aca="false">IF($A87="","",I87&amp;J87&amp;K87&amp;L87&amp;M87&amp;N87&amp;O87&amp;P87&amp;Q87&amp;R87&amp;S87&amp;T87&amp;U87&amp;V87&amp;W87)</f>
        <v/>
      </c>
      <c r="I87" s="0" t="str">
        <f aca="false">IF(OR($A87="",$D87=""),"",IF(AND(EDATE($D87,Milestones!$AA$20)&lt;=AsOfDate,EDATE($D87,Milestones!$AA$20)&gt;=SchemeStart,IF($X87=0,$AD87,IF(AND($Z87&lt;&gt;"",EDATE($D87,Milestones!$AA$20)&gt;=$Z87),$AC87,IF(AND($Y87&lt;&gt;"",EDATE($D87,Milestones!$AA$20)&gt;=$Y87),$AB87,$AA87)))=Milestones!$AB$20),UPPER(TEXT(EDATE($D87,Milestones!$AA$20),"dd mmm yy"))&amp;" "&amp;Milestones!$AB$20&amp;" "&amp;IF(AND(Milestones!$AB$20="FT",Milestones!$AA$20=FT_Y5,EDATE($D87,Milestones!$AA$20)&lt;PolicyEff),1,Milestones!$AC$20)&amp;";  ","")&amp;IF(AND(EDATE($D87,Milestones!$AA$21)&lt;=AsOfDate,EDATE($D87,Milestones!$AA$21)&gt;=SchemeStart,IF($X87=0,$AD87,IF(AND($Z87&lt;&gt;"",EDATE($D87,Milestones!$AA$21)&gt;=$Z87),$AC87,IF(AND($Y87&lt;&gt;"",EDATE($D87,Milestones!$AA$21)&gt;=$Y87),$AB87,$AA87)))=Milestones!$AB$21),UPPER(TEXT(EDATE($D87,Milestones!$AA$21),"dd mmm yy"))&amp;" "&amp;Milestones!$AB$21&amp;" "&amp;IF(AND(Milestones!$AB$21="FT",Milestones!$AA$21=FT_Y5,EDATE($D87,Milestones!$AA$21)&lt;PolicyEff),1,Milestones!$AC$21)&amp;";  ","")&amp;IF(AND(EDATE($D87,Milestones!$AA$22)&lt;=AsOfDate,EDATE($D87,Milestones!$AA$22)&gt;=SchemeStart,IF($X87=0,$AD87,IF(AND($Z87&lt;&gt;"",EDATE($D87,Milestones!$AA$22)&gt;=$Z87),$AC87,IF(AND($Y87&lt;&gt;"",EDATE($D87,Milestones!$AA$22)&gt;=$Y87),$AB87,$AA87)))=Milestones!$AB$22),UPPER(TEXT(EDATE($D87,Milestones!$AA$22),"dd mmm yy"))&amp;" "&amp;Milestones!$AB$22&amp;" "&amp;IF(AND(Milestones!$AB$22="FT",Milestones!$AA$22=FT_Y5,EDATE($D87,Milestones!$AA$22)&lt;PolicyEff),1,Milestones!$AC$22)&amp;";  ","")&amp;IF(AND(EDATE($D87,Milestones!$AA$23)&lt;=AsOfDate,EDATE($D87,Milestones!$AA$23)&gt;=SchemeStart,IF($X87=0,$AD87,IF(AND($Z87&lt;&gt;"",EDATE($D87,Milestones!$AA$23)&gt;=$Z87),$AC87,IF(AND($Y87&lt;&gt;"",EDATE($D87,Milestones!$AA$23)&gt;=$Y87),$AB87,$AA87)))=Milestones!$AB$23),UPPER(TEXT(EDATE($D87,Milestones!$AA$23),"dd mmm yy"))&amp;" "&amp;Milestones!$AB$23&amp;" "&amp;IF(AND(Milestones!$AB$23="FT",Milestones!$AA$23=FT_Y5,EDATE($D87,Milestones!$AA$23)&lt;PolicyEff),1,Milestones!$AC$23)&amp;";  ","")&amp;IF(AND(EDATE($D87,Milestones!$AA$24)&lt;=AsOfDate,EDATE($D87,Milestones!$AA$24)&gt;=SchemeStart,IF($X87=0,$AD87,IF(AND($Z87&lt;&gt;"",EDATE($D87,Milestones!$AA$24)&gt;=$Z87),$AC87,IF(AND($Y87&lt;&gt;"",EDATE($D87,Milestones!$AA$24)&gt;=$Y87),$AB87,$AA87)))=Milestones!$AB$24),UPPER(TEXT(EDATE($D87,Milestones!$AA$24),"dd mmm yy"))&amp;" "&amp;Milestones!$AB$24&amp;" "&amp;IF(AND(Milestones!$AB$24="FT",Milestones!$AA$24=FT_Y5,EDATE($D87,Milestones!$AA$24)&lt;PolicyEff),1,Milestones!$AC$24)&amp;";  ","")&amp;IF(AND(EDATE($D87,Milestones!$AA$25)&lt;=AsOfDate,EDATE($D87,Milestones!$AA$25)&gt;=SchemeStart,IF($X87=0,$AD87,IF(AND($Z87&lt;&gt;"",EDATE($D87,Milestones!$AA$25)&gt;=$Z87),$AC87,IF(AND($Y87&lt;&gt;"",EDATE($D87,Milestones!$AA$25)&gt;=$Y87),$AB87,$AA87)))=Milestones!$AB$25),UPPER(TEXT(EDATE($D87,Milestones!$AA$25),"dd mmm yy"))&amp;" "&amp;Milestones!$AB$25&amp;" "&amp;IF(AND(Milestones!$AB$25="FT",Milestones!$AA$25=FT_Y5,EDATE($D87,Milestones!$AA$25)&lt;PolicyEff),1,Milestones!$AC$25)&amp;";  ","")&amp;IF(AND(EDATE($D87,Milestones!$AA$26)&lt;=AsOfDate,EDATE($D87,Milestones!$AA$26)&gt;=SchemeStart,IF($X87=0,$AD87,IF(AND($Z87&lt;&gt;"",EDATE($D87,Milestones!$AA$26)&gt;=$Z87),$AC87,IF(AND($Y87&lt;&gt;"",EDATE($D87,Milestones!$AA$26)&gt;=$Y87),$AB87,$AA87)))=Milestones!$AB$26),UPPER(TEXT(EDATE($D87,Milestones!$AA$26),"dd mmm yy"))&amp;" "&amp;Milestones!$AB$26&amp;" "&amp;IF(AND(Milestones!$AB$26="FT",Milestones!$AA$26=FT_Y5,EDATE($D87,Milestones!$AA$26)&lt;PolicyEff),1,Milestones!$AC$26)&amp;";  ","")&amp;IF(AND(EDATE($D87,Milestones!$AA$27)&lt;=AsOfDate,EDATE($D87,Milestones!$AA$27)&gt;=SchemeStart,IF($X87=0,$AD87,IF(AND($Z87&lt;&gt;"",EDATE($D87,Milestones!$AA$27)&gt;=$Z87),$AC87,IF(AND($Y87&lt;&gt;"",EDATE($D87,Milestones!$AA$27)&gt;=$Y87),$AB87,$AA87)))=Milestones!$AB$27),UPPER(TEXT(EDATE($D87,Milestones!$AA$27),"dd mmm yy"))&amp;" "&amp;Milestones!$AB$27&amp;" "&amp;IF(AND(Milestones!$AB$27="FT",Milestones!$AA$27=FT_Y5,EDATE($D87,Milestones!$AA$27)&lt;PolicyEff),1,Milestones!$AC$27)&amp;";  ","")&amp;IF(AND(EDATE($D87,Milestones!$AA$28)&lt;=AsOfDate,EDATE($D87,Milestones!$AA$28)&gt;=SchemeStart,IF($X87=0,$AD87,IF(AND($Z87&lt;&gt;"",EDATE($D87,Milestones!$AA$28)&gt;=$Z87),$AC87,IF(AND($Y87&lt;&gt;"",EDATE($D87,Milestones!$AA$28)&gt;=$Y87),$AB87,$AA87)))=Milestones!$AB$28),UPPER(TEXT(EDATE($D87,Milestones!$AA$28),"dd mmm yy"))&amp;" "&amp;Milestones!$AB$28&amp;" "&amp;IF(AND(Milestones!$AB$28="FT",Milestones!$AA$28=FT_Y5,EDATE($D87,Milestones!$AA$28)&lt;PolicyEff),1,Milestones!$AC$28)&amp;";  ","")&amp;IF(AND(EDATE($D87,Milestones!$AA$29)&lt;=AsOfDate,EDATE($D87,Milestones!$AA$29)&gt;=SchemeStart,IF($X87=0,$AD87,IF(AND($Z87&lt;&gt;"",EDATE($D87,Milestones!$AA$29)&gt;=$Z87),$AC87,IF(AND($Y87&lt;&gt;"",EDATE($D87,Milestones!$AA$29)&gt;=$Y87),$AB87,$AA87)))=Milestones!$AB$29),UPPER(TEXT(EDATE($D87,Milestones!$AA$29),"dd mmm yy"))&amp;" "&amp;Milestones!$AB$29&amp;" "&amp;IF(AND(Milestones!$AB$29="FT",Milestones!$AA$29=FT_Y5,EDATE($D87,Milestones!$AA$29)&lt;PolicyEff),1,Milestones!$AC$29)&amp;";  ","")&amp;IF(AND(EDATE($D87,Milestones!$AA$30)&lt;=AsOfDate,EDATE($D87,Milestones!$AA$30)&gt;=SchemeStart,IF($X87=0,$AD87,IF(AND($Z87&lt;&gt;"",EDATE($D87,Milestones!$AA$30)&gt;=$Z87),$AC87,IF(AND($Y87&lt;&gt;"",EDATE($D87,Milestones!$AA$30)&gt;=$Y87),$AB87,$AA87)))=Milestones!$AB$30),UPPER(TEXT(EDATE($D87,Milestones!$AA$30),"dd mmm yy"))&amp;" "&amp;Milestones!$AB$30&amp;" "&amp;IF(AND(Milestones!$AB$30="FT",Milestones!$AA$30=FT_Y5,EDATE($D87,Milestones!$AA$30)&lt;PolicyEff),1,Milestones!$AC$30)&amp;";  ","")&amp;IF(AND(EDATE($D87,Milestones!$AA$31)&lt;=AsOfDate,EDATE($D87,Milestones!$AA$31)&gt;=SchemeStart,IF($X87=0,$AD87,IF(AND($Z87&lt;&gt;"",EDATE($D87,Milestones!$AA$31)&gt;=$Z87),$AC87,IF(AND($Y87&lt;&gt;"",EDATE($D87,Milestones!$AA$31)&gt;=$Y87),$AB87,$AA87)))=Milestones!$AB$31),UPPER(TEXT(EDATE($D87,Milestones!$AA$31),"dd mmm yy"))&amp;" "&amp;Milestones!$AB$31&amp;" "&amp;IF(AND(Milestones!$AB$31="FT",Milestones!$AA$31=FT_Y5,EDATE($D87,Milestones!$AA$31)&lt;PolicyEff),1,Milestones!$AC$31)&amp;";  ",""))</f>
        <v/>
      </c>
      <c r="J87" s="0" t="str">
        <f aca="false">IF(OR($A87="",$D87=""),"",IF(AND(EDATE($D87,Milestones!$AA$32)&lt;=AsOfDate,EDATE($D87,Milestones!$AA$32)&gt;=SchemeStart,IF($X87=0,$AD87,IF(AND($Z87&lt;&gt;"",EDATE($D87,Milestones!$AA$32)&gt;=$Z87),$AC87,IF(AND($Y87&lt;&gt;"",EDATE($D87,Milestones!$AA$32)&gt;=$Y87),$AB87,$AA87)))=Milestones!$AB$32),UPPER(TEXT(EDATE($D87,Milestones!$AA$32),"dd mmm yy"))&amp;" "&amp;Milestones!$AB$32&amp;" "&amp;IF(AND(Milestones!$AB$32="FT",Milestones!$AA$32=FT_Y5,EDATE($D87,Milestones!$AA$32)&lt;PolicyEff),1,Milestones!$AC$32)&amp;";  ","")&amp;IF(AND(EDATE($D87,Milestones!$AA$33)&lt;=AsOfDate,EDATE($D87,Milestones!$AA$33)&gt;=SchemeStart,IF($X87=0,$AD87,IF(AND($Z87&lt;&gt;"",EDATE($D87,Milestones!$AA$33)&gt;=$Z87),$AC87,IF(AND($Y87&lt;&gt;"",EDATE($D87,Milestones!$AA$33)&gt;=$Y87),$AB87,$AA87)))=Milestones!$AB$33),UPPER(TEXT(EDATE($D87,Milestones!$AA$33),"dd mmm yy"))&amp;" "&amp;Milestones!$AB$33&amp;" "&amp;IF(AND(Milestones!$AB$33="FT",Milestones!$AA$33=FT_Y5,EDATE($D87,Milestones!$AA$33)&lt;PolicyEff),1,Milestones!$AC$33)&amp;";  ","")&amp;IF(AND(EDATE($D87,Milestones!$AA$34)&lt;=AsOfDate,EDATE($D87,Milestones!$AA$34)&gt;=SchemeStart,IF($X87=0,$AD87,IF(AND($Z87&lt;&gt;"",EDATE($D87,Milestones!$AA$34)&gt;=$Z87),$AC87,IF(AND($Y87&lt;&gt;"",EDATE($D87,Milestones!$AA$34)&gt;=$Y87),$AB87,$AA87)))=Milestones!$AB$34),UPPER(TEXT(EDATE($D87,Milestones!$AA$34),"dd mmm yy"))&amp;" "&amp;Milestones!$AB$34&amp;" "&amp;IF(AND(Milestones!$AB$34="FT",Milestones!$AA$34=FT_Y5,EDATE($D87,Milestones!$AA$34)&lt;PolicyEff),1,Milestones!$AC$34)&amp;";  ","")&amp;IF(AND(EDATE($D87,Milestones!$AA$35)&lt;=AsOfDate,EDATE($D87,Milestones!$AA$35)&gt;=SchemeStart,IF($X87=0,$AD87,IF(AND($Z87&lt;&gt;"",EDATE($D87,Milestones!$AA$35)&gt;=$Z87),$AC87,IF(AND($Y87&lt;&gt;"",EDATE($D87,Milestones!$AA$35)&gt;=$Y87),$AB87,$AA87)))=Milestones!$AB$35),UPPER(TEXT(EDATE($D87,Milestones!$AA$35),"dd mmm yy"))&amp;" "&amp;Milestones!$AB$35&amp;" "&amp;IF(AND(Milestones!$AB$35="FT",Milestones!$AA$35=FT_Y5,EDATE($D87,Milestones!$AA$35)&lt;PolicyEff),1,Milestones!$AC$35)&amp;";  ","")&amp;IF(AND(EDATE($D87,Milestones!$AA$36)&lt;=AsOfDate,EDATE($D87,Milestones!$AA$36)&gt;=SchemeStart,IF($X87=0,$AD87,IF(AND($Z87&lt;&gt;"",EDATE($D87,Milestones!$AA$36)&gt;=$Z87),$AC87,IF(AND($Y87&lt;&gt;"",EDATE($D87,Milestones!$AA$36)&gt;=$Y87),$AB87,$AA87)))=Milestones!$AB$36),UPPER(TEXT(EDATE($D87,Milestones!$AA$36),"dd mmm yy"))&amp;" "&amp;Milestones!$AB$36&amp;" "&amp;IF(AND(Milestones!$AB$36="FT",Milestones!$AA$36=FT_Y5,EDATE($D87,Milestones!$AA$36)&lt;PolicyEff),1,Milestones!$AC$36)&amp;";  ","")&amp;IF(AND(EDATE($D87,Milestones!$AA$37)&lt;=AsOfDate,EDATE($D87,Milestones!$AA$37)&gt;=SchemeStart,IF($X87=0,$AD87,IF(AND($Z87&lt;&gt;"",EDATE($D87,Milestones!$AA$37)&gt;=$Z87),$AC87,IF(AND($Y87&lt;&gt;"",EDATE($D87,Milestones!$AA$37)&gt;=$Y87),$AB87,$AA87)))=Milestones!$AB$37),UPPER(TEXT(EDATE($D87,Milestones!$AA$37),"dd mmm yy"))&amp;" "&amp;Milestones!$AB$37&amp;" "&amp;IF(AND(Milestones!$AB$37="FT",Milestones!$AA$37=FT_Y5,EDATE($D87,Milestones!$AA$37)&lt;PolicyEff),1,Milestones!$AC$37)&amp;";  ","")&amp;IF(AND(EDATE($D87,Milestones!$AA$38)&lt;=AsOfDate,EDATE($D87,Milestones!$AA$38)&gt;=SchemeStart,IF($X87=0,$AD87,IF(AND($Z87&lt;&gt;"",EDATE($D87,Milestones!$AA$38)&gt;=$Z87),$AC87,IF(AND($Y87&lt;&gt;"",EDATE($D87,Milestones!$AA$38)&gt;=$Y87),$AB87,$AA87)))=Milestones!$AB$38),UPPER(TEXT(EDATE($D87,Milestones!$AA$38),"dd mmm yy"))&amp;" "&amp;Milestones!$AB$38&amp;" "&amp;IF(AND(Milestones!$AB$38="FT",Milestones!$AA$38=FT_Y5,EDATE($D87,Milestones!$AA$38)&lt;PolicyEff),1,Milestones!$AC$38)&amp;";  ","")&amp;IF(AND(EDATE($D87,Milestones!$AA$39)&lt;=AsOfDate,EDATE($D87,Milestones!$AA$39)&gt;=SchemeStart,IF($X87=0,$AD87,IF(AND($Z87&lt;&gt;"",EDATE($D87,Milestones!$AA$39)&gt;=$Z87),$AC87,IF(AND($Y87&lt;&gt;"",EDATE($D87,Milestones!$AA$39)&gt;=$Y87),$AB87,$AA87)))=Milestones!$AB$39),UPPER(TEXT(EDATE($D87,Milestones!$AA$39),"dd mmm yy"))&amp;" "&amp;Milestones!$AB$39&amp;" "&amp;IF(AND(Milestones!$AB$39="FT",Milestones!$AA$39=FT_Y5,EDATE($D87,Milestones!$AA$39)&lt;PolicyEff),1,Milestones!$AC$39)&amp;";  ","")&amp;IF(AND(EDATE($D87,Milestones!$AA$40)&lt;=AsOfDate,EDATE($D87,Milestones!$AA$40)&gt;=SchemeStart,IF($X87=0,$AD87,IF(AND($Z87&lt;&gt;"",EDATE($D87,Milestones!$AA$40)&gt;=$Z87),$AC87,IF(AND($Y87&lt;&gt;"",EDATE($D87,Milestones!$AA$40)&gt;=$Y87),$AB87,$AA87)))=Milestones!$AB$40),UPPER(TEXT(EDATE($D87,Milestones!$AA$40),"dd mmm yy"))&amp;" "&amp;Milestones!$AB$40&amp;" "&amp;IF(AND(Milestones!$AB$40="FT",Milestones!$AA$40=FT_Y5,EDATE($D87,Milestones!$AA$40)&lt;PolicyEff),1,Milestones!$AC$40)&amp;";  ","")&amp;IF(AND(EDATE($D87,Milestones!$AA$41)&lt;=AsOfDate,EDATE($D87,Milestones!$AA$41)&gt;=SchemeStart,IF($X87=0,$AD87,IF(AND($Z87&lt;&gt;"",EDATE($D87,Milestones!$AA$41)&gt;=$Z87),$AC87,IF(AND($Y87&lt;&gt;"",EDATE($D87,Milestones!$AA$41)&gt;=$Y87),$AB87,$AA87)))=Milestones!$AB$41),UPPER(TEXT(EDATE($D87,Milestones!$AA$41),"dd mmm yy"))&amp;" "&amp;Milestones!$AB$41&amp;" "&amp;IF(AND(Milestones!$AB$41="FT",Milestones!$AA$41=FT_Y5,EDATE($D87,Milestones!$AA$41)&lt;PolicyEff),1,Milestones!$AC$41)&amp;";  ","")&amp;IF(AND(EDATE($D87,Milestones!$AA$42)&lt;=AsOfDate,EDATE($D87,Milestones!$AA$42)&gt;=SchemeStart,IF($X87=0,$AD87,IF(AND($Z87&lt;&gt;"",EDATE($D87,Milestones!$AA$42)&gt;=$Z87),$AC87,IF(AND($Y87&lt;&gt;"",EDATE($D87,Milestones!$AA$42)&gt;=$Y87),$AB87,$AA87)))=Milestones!$AB$42),UPPER(TEXT(EDATE($D87,Milestones!$AA$42),"dd mmm yy"))&amp;" "&amp;Milestones!$AB$42&amp;" "&amp;IF(AND(Milestones!$AB$42="FT",Milestones!$AA$42=FT_Y5,EDATE($D87,Milestones!$AA$42)&lt;PolicyEff),1,Milestones!$AC$42)&amp;";  ","")&amp;IF(AND(EDATE($D87,Milestones!$AA$43)&lt;=AsOfDate,EDATE($D87,Milestones!$AA$43)&gt;=SchemeStart,IF($X87=0,$AD87,IF(AND($Z87&lt;&gt;"",EDATE($D87,Milestones!$AA$43)&gt;=$Z87),$AC87,IF(AND($Y87&lt;&gt;"",EDATE($D87,Milestones!$AA$43)&gt;=$Y87),$AB87,$AA87)))=Milestones!$AB$43),UPPER(TEXT(EDATE($D87,Milestones!$AA$43),"dd mmm yy"))&amp;" "&amp;Milestones!$AB$43&amp;" "&amp;IF(AND(Milestones!$AB$43="FT",Milestones!$AA$43=FT_Y5,EDATE($D87,Milestones!$AA$43)&lt;PolicyEff),1,Milestones!$AC$43)&amp;";  ",""))</f>
        <v/>
      </c>
      <c r="K87" s="0" t="str">
        <f aca="false">IF(OR($A87="",$D87=""),"",IF(AND(EDATE($D87,Milestones!$AA$44)&lt;=AsOfDate,EDATE($D87,Milestones!$AA$44)&gt;=SchemeStart,IF($X87=0,$AD87,IF(AND($Z87&lt;&gt;"",EDATE($D87,Milestones!$AA$44)&gt;=$Z87),$AC87,IF(AND($Y87&lt;&gt;"",EDATE($D87,Milestones!$AA$44)&gt;=$Y87),$AB87,$AA87)))=Milestones!$AB$44),UPPER(TEXT(EDATE($D87,Milestones!$AA$44),"dd mmm yy"))&amp;" "&amp;Milestones!$AB$44&amp;" "&amp;IF(AND(Milestones!$AB$44="FT",Milestones!$AA$44=FT_Y5,EDATE($D87,Milestones!$AA$44)&lt;PolicyEff),1,Milestones!$AC$44)&amp;";  ","")&amp;IF(AND(EDATE($D87,Milestones!$AA$45)&lt;=AsOfDate,EDATE($D87,Milestones!$AA$45)&gt;=SchemeStart,IF($X87=0,$AD87,IF(AND($Z87&lt;&gt;"",EDATE($D87,Milestones!$AA$45)&gt;=$Z87),$AC87,IF(AND($Y87&lt;&gt;"",EDATE($D87,Milestones!$AA$45)&gt;=$Y87),$AB87,$AA87)))=Milestones!$AB$45),UPPER(TEXT(EDATE($D87,Milestones!$AA$45),"dd mmm yy"))&amp;" "&amp;Milestones!$AB$45&amp;" "&amp;IF(AND(Milestones!$AB$45="FT",Milestones!$AA$45=FT_Y5,EDATE($D87,Milestones!$AA$45)&lt;PolicyEff),1,Milestones!$AC$45)&amp;";  ","")&amp;IF(AND(EDATE($D87,Milestones!$AA$46)&lt;=AsOfDate,EDATE($D87,Milestones!$AA$46)&gt;=SchemeStart,IF($X87=0,$AD87,IF(AND($Z87&lt;&gt;"",EDATE($D87,Milestones!$AA$46)&gt;=$Z87),$AC87,IF(AND($Y87&lt;&gt;"",EDATE($D87,Milestones!$AA$46)&gt;=$Y87),$AB87,$AA87)))=Milestones!$AB$46),UPPER(TEXT(EDATE($D87,Milestones!$AA$46),"dd mmm yy"))&amp;" "&amp;Milestones!$AB$46&amp;" "&amp;IF(AND(Milestones!$AB$46="FT",Milestones!$AA$46=FT_Y5,EDATE($D87,Milestones!$AA$46)&lt;PolicyEff),1,Milestones!$AC$46)&amp;";  ","")&amp;IF(AND(EDATE($D87,Milestones!$AA$47)&lt;=AsOfDate,EDATE($D87,Milestones!$AA$47)&gt;=SchemeStart,IF($X87=0,$AD87,IF(AND($Z87&lt;&gt;"",EDATE($D87,Milestones!$AA$47)&gt;=$Z87),$AC87,IF(AND($Y87&lt;&gt;"",EDATE($D87,Milestones!$AA$47)&gt;=$Y87),$AB87,$AA87)))=Milestones!$AB$47),UPPER(TEXT(EDATE($D87,Milestones!$AA$47),"dd mmm yy"))&amp;" "&amp;Milestones!$AB$47&amp;" "&amp;IF(AND(Milestones!$AB$47="FT",Milestones!$AA$47=FT_Y5,EDATE($D87,Milestones!$AA$47)&lt;PolicyEff),1,Milestones!$AC$47)&amp;";  ","")&amp;IF(AND(EDATE($D87,Milestones!$AA$48)&lt;=AsOfDate,EDATE($D87,Milestones!$AA$48)&gt;=SchemeStart,IF($X87=0,$AD87,IF(AND($Z87&lt;&gt;"",EDATE($D87,Milestones!$AA$48)&gt;=$Z87),$AC87,IF(AND($Y87&lt;&gt;"",EDATE($D87,Milestones!$AA$48)&gt;=$Y87),$AB87,$AA87)))=Milestones!$AB$48),UPPER(TEXT(EDATE($D87,Milestones!$AA$48),"dd mmm yy"))&amp;" "&amp;Milestones!$AB$48&amp;" "&amp;IF(AND(Milestones!$AB$48="FT",Milestones!$AA$48=FT_Y5,EDATE($D87,Milestones!$AA$48)&lt;PolicyEff),1,Milestones!$AC$48)&amp;";  ","")&amp;IF(AND(EDATE($D87,Milestones!$AA$49)&lt;=AsOfDate,EDATE($D87,Milestones!$AA$49)&gt;=SchemeStart,IF($X87=0,$AD87,IF(AND($Z87&lt;&gt;"",EDATE($D87,Milestones!$AA$49)&gt;=$Z87),$AC87,IF(AND($Y87&lt;&gt;"",EDATE($D87,Milestones!$AA$49)&gt;=$Y87),$AB87,$AA87)))=Milestones!$AB$49),UPPER(TEXT(EDATE($D87,Milestones!$AA$49),"dd mmm yy"))&amp;" "&amp;Milestones!$AB$49&amp;" "&amp;IF(AND(Milestones!$AB$49="FT",Milestones!$AA$49=FT_Y5,EDATE($D87,Milestones!$AA$49)&lt;PolicyEff),1,Milestones!$AC$49)&amp;";  ","")&amp;IF(AND(EDATE($D87,Milestones!$AA$50)&lt;=AsOfDate,EDATE($D87,Milestones!$AA$50)&gt;=SchemeStart,IF($X87=0,$AD87,IF(AND($Z87&lt;&gt;"",EDATE($D87,Milestones!$AA$50)&gt;=$Z87),$AC87,IF(AND($Y87&lt;&gt;"",EDATE($D87,Milestones!$AA$50)&gt;=$Y87),$AB87,$AA87)))=Milestones!$AB$50),UPPER(TEXT(EDATE($D87,Milestones!$AA$50),"dd mmm yy"))&amp;" "&amp;Milestones!$AB$50&amp;" "&amp;IF(AND(Milestones!$AB$50="FT",Milestones!$AA$50=FT_Y5,EDATE($D87,Milestones!$AA$50)&lt;PolicyEff),1,Milestones!$AC$50)&amp;";  ","")&amp;IF(AND(EDATE($D87,Milestones!$AA$51)&lt;=AsOfDate,EDATE($D87,Milestones!$AA$51)&gt;=SchemeStart,IF($X87=0,$AD87,IF(AND($Z87&lt;&gt;"",EDATE($D87,Milestones!$AA$51)&gt;=$Z87),$AC87,IF(AND($Y87&lt;&gt;"",EDATE($D87,Milestones!$AA$51)&gt;=$Y87),$AB87,$AA87)))=Milestones!$AB$51),UPPER(TEXT(EDATE($D87,Milestones!$AA$51),"dd mmm yy"))&amp;" "&amp;Milestones!$AB$51&amp;" "&amp;IF(AND(Milestones!$AB$51="FT",Milestones!$AA$51=FT_Y5,EDATE($D87,Milestones!$AA$51)&lt;PolicyEff),1,Milestones!$AC$51)&amp;";  ","")&amp;IF(AND(EDATE($D87,Milestones!$AA$52)&lt;=AsOfDate,EDATE($D87,Milestones!$AA$52)&gt;=SchemeStart,IF($X87=0,$AD87,IF(AND($Z87&lt;&gt;"",EDATE($D87,Milestones!$AA$52)&gt;=$Z87),$AC87,IF(AND($Y87&lt;&gt;"",EDATE($D87,Milestones!$AA$52)&gt;=$Y87),$AB87,$AA87)))=Milestones!$AB$52),UPPER(TEXT(EDATE($D87,Milestones!$AA$52),"dd mmm yy"))&amp;" "&amp;Milestones!$AB$52&amp;" "&amp;IF(AND(Milestones!$AB$52="FT",Milestones!$AA$52=FT_Y5,EDATE($D87,Milestones!$AA$52)&lt;PolicyEff),1,Milestones!$AC$52)&amp;";  ","")&amp;IF(AND(EDATE($D87,Milestones!$AA$53)&lt;=AsOfDate,EDATE($D87,Milestones!$AA$53)&gt;=SchemeStart,IF($X87=0,$AD87,IF(AND($Z87&lt;&gt;"",EDATE($D87,Milestones!$AA$53)&gt;=$Z87),$AC87,IF(AND($Y87&lt;&gt;"",EDATE($D87,Milestones!$AA$53)&gt;=$Y87),$AB87,$AA87)))=Milestones!$AB$53),UPPER(TEXT(EDATE($D87,Milestones!$AA$53),"dd mmm yy"))&amp;" "&amp;Milestones!$AB$53&amp;" "&amp;IF(AND(Milestones!$AB$53="FT",Milestones!$AA$53=FT_Y5,EDATE($D87,Milestones!$AA$53)&lt;PolicyEff),1,Milestones!$AC$53)&amp;";  ","")&amp;IF(AND(EDATE($D87,Milestones!$AA$54)&lt;=AsOfDate,EDATE($D87,Milestones!$AA$54)&gt;=SchemeStart,IF($X87=0,$AD87,IF(AND($Z87&lt;&gt;"",EDATE($D87,Milestones!$AA$54)&gt;=$Z87),$AC87,IF(AND($Y87&lt;&gt;"",EDATE($D87,Milestones!$AA$54)&gt;=$Y87),$AB87,$AA87)))=Milestones!$AB$54),UPPER(TEXT(EDATE($D87,Milestones!$AA$54),"dd mmm yy"))&amp;" "&amp;Milestones!$AB$54&amp;" "&amp;IF(AND(Milestones!$AB$54="FT",Milestones!$AA$54=FT_Y5,EDATE($D87,Milestones!$AA$54)&lt;PolicyEff),1,Milestones!$AC$54)&amp;";  ","")&amp;IF(AND(EDATE($D87,Milestones!$AA$55)&lt;=AsOfDate,EDATE($D87,Milestones!$AA$55)&gt;=SchemeStart,IF($X87=0,$AD87,IF(AND($Z87&lt;&gt;"",EDATE($D87,Milestones!$AA$55)&gt;=$Z87),$AC87,IF(AND($Y87&lt;&gt;"",EDATE($D87,Milestones!$AA$55)&gt;=$Y87),$AB87,$AA87)))=Milestones!$AB$55),UPPER(TEXT(EDATE($D87,Milestones!$AA$55),"dd mmm yy"))&amp;" "&amp;Milestones!$AB$55&amp;" "&amp;IF(AND(Milestones!$AB$55="FT",Milestones!$AA$55=FT_Y5,EDATE($D87,Milestones!$AA$55)&lt;PolicyEff),1,Milestones!$AC$55)&amp;";  ",""))</f>
        <v/>
      </c>
      <c r="L87" s="0" t="str">
        <f aca="false">IF(OR($A87="",$D87=""),"",IF(AND(EDATE($D87,Milestones!$AA$56)&lt;=AsOfDate,EDATE($D87,Milestones!$AA$56)&gt;=SchemeStart,IF($X87=0,$AD87,IF(AND($Z87&lt;&gt;"",EDATE($D87,Milestones!$AA$56)&gt;=$Z87),$AC87,IF(AND($Y87&lt;&gt;"",EDATE($D87,Milestones!$AA$56)&gt;=$Y87),$AB87,$AA87)))=Milestones!$AB$56),UPPER(TEXT(EDATE($D87,Milestones!$AA$56),"dd mmm yy"))&amp;" "&amp;Milestones!$AB$56&amp;" "&amp;IF(AND(Milestones!$AB$56="FT",Milestones!$AA$56=FT_Y5,EDATE($D87,Milestones!$AA$56)&lt;PolicyEff),1,Milestones!$AC$56)&amp;";  ","")&amp;IF(AND(EDATE($D87,Milestones!$AA$57)&lt;=AsOfDate,EDATE($D87,Milestones!$AA$57)&gt;=SchemeStart,IF($X87=0,$AD87,IF(AND($Z87&lt;&gt;"",EDATE($D87,Milestones!$AA$57)&gt;=$Z87),$AC87,IF(AND($Y87&lt;&gt;"",EDATE($D87,Milestones!$AA$57)&gt;=$Y87),$AB87,$AA87)))=Milestones!$AB$57),UPPER(TEXT(EDATE($D87,Milestones!$AA$57),"dd mmm yy"))&amp;" "&amp;Milestones!$AB$57&amp;" "&amp;IF(AND(Milestones!$AB$57="FT",Milestones!$AA$57=FT_Y5,EDATE($D87,Milestones!$AA$57)&lt;PolicyEff),1,Milestones!$AC$57)&amp;";  ","")&amp;IF(AND(EDATE($D87,Milestones!$AA$58)&lt;=AsOfDate,EDATE($D87,Milestones!$AA$58)&gt;=SchemeStart,IF($X87=0,$AD87,IF(AND($Z87&lt;&gt;"",EDATE($D87,Milestones!$AA$58)&gt;=$Z87),$AC87,IF(AND($Y87&lt;&gt;"",EDATE($D87,Milestones!$AA$58)&gt;=$Y87),$AB87,$AA87)))=Milestones!$AB$58),UPPER(TEXT(EDATE($D87,Milestones!$AA$58),"dd mmm yy"))&amp;" "&amp;Milestones!$AB$58&amp;" "&amp;IF(AND(Milestones!$AB$58="FT",Milestones!$AA$58=FT_Y5,EDATE($D87,Milestones!$AA$58)&lt;PolicyEff),1,Milestones!$AC$58)&amp;";  ","")&amp;IF(AND(EDATE($D87,Milestones!$AA$59)&lt;=AsOfDate,EDATE($D87,Milestones!$AA$59)&gt;=SchemeStart,IF($X87=0,$AD87,IF(AND($Z87&lt;&gt;"",EDATE($D87,Milestones!$AA$59)&gt;=$Z87),$AC87,IF(AND($Y87&lt;&gt;"",EDATE($D87,Milestones!$AA$59)&gt;=$Y87),$AB87,$AA87)))=Milestones!$AB$59),UPPER(TEXT(EDATE($D87,Milestones!$AA$59),"dd mmm yy"))&amp;" "&amp;Milestones!$AB$59&amp;" "&amp;IF(AND(Milestones!$AB$59="FT",Milestones!$AA$59=FT_Y5,EDATE($D87,Milestones!$AA$59)&lt;PolicyEff),1,Milestones!$AC$59)&amp;";  ","")&amp;IF(AND(EDATE($D87,Milestones!$AA$60)&lt;=AsOfDate,EDATE($D87,Milestones!$AA$60)&gt;=SchemeStart,IF($X87=0,$AD87,IF(AND($Z87&lt;&gt;"",EDATE($D87,Milestones!$AA$60)&gt;=$Z87),$AC87,IF(AND($Y87&lt;&gt;"",EDATE($D87,Milestones!$AA$60)&gt;=$Y87),$AB87,$AA87)))=Milestones!$AB$60),UPPER(TEXT(EDATE($D87,Milestones!$AA$60),"dd mmm yy"))&amp;" "&amp;Milestones!$AB$60&amp;" "&amp;IF(AND(Milestones!$AB$60="FT",Milestones!$AA$60=FT_Y5,EDATE($D87,Milestones!$AA$60)&lt;PolicyEff),1,Milestones!$AC$60)&amp;";  ","")&amp;IF(AND(EDATE($D87,Milestones!$AA$61)&lt;=AsOfDate,EDATE($D87,Milestones!$AA$61)&gt;=SchemeStart,IF($X87=0,$AD87,IF(AND($Z87&lt;&gt;"",EDATE($D87,Milestones!$AA$61)&gt;=$Z87),$AC87,IF(AND($Y87&lt;&gt;"",EDATE($D87,Milestones!$AA$61)&gt;=$Y87),$AB87,$AA87)))=Milestones!$AB$61),UPPER(TEXT(EDATE($D87,Milestones!$AA$61),"dd mmm yy"))&amp;" "&amp;Milestones!$AB$61&amp;" "&amp;IF(AND(Milestones!$AB$61="FT",Milestones!$AA$61=FT_Y5,EDATE($D87,Milestones!$AA$61)&lt;PolicyEff),1,Milestones!$AC$61)&amp;";  ","")&amp;IF(AND(EDATE($D87,Milestones!$AA$62)&lt;=AsOfDate,EDATE($D87,Milestones!$AA$62)&gt;=SchemeStart,IF($X87=0,$AD87,IF(AND($Z87&lt;&gt;"",EDATE($D87,Milestones!$AA$62)&gt;=$Z87),$AC87,IF(AND($Y87&lt;&gt;"",EDATE($D87,Milestones!$AA$62)&gt;=$Y87),$AB87,$AA87)))=Milestones!$AB$62),UPPER(TEXT(EDATE($D87,Milestones!$AA$62),"dd mmm yy"))&amp;" "&amp;Milestones!$AB$62&amp;" "&amp;IF(AND(Milestones!$AB$62="FT",Milestones!$AA$62=FT_Y5,EDATE($D87,Milestones!$AA$62)&lt;PolicyEff),1,Milestones!$AC$62)&amp;";  ","")&amp;IF(AND(EDATE($D87,Milestones!$AA$63)&lt;=AsOfDate,EDATE($D87,Milestones!$AA$63)&gt;=SchemeStart,IF($X87=0,$AD87,IF(AND($Z87&lt;&gt;"",EDATE($D87,Milestones!$AA$63)&gt;=$Z87),$AC87,IF(AND($Y87&lt;&gt;"",EDATE($D87,Milestones!$AA$63)&gt;=$Y87),$AB87,$AA87)))=Milestones!$AB$63),UPPER(TEXT(EDATE($D87,Milestones!$AA$63),"dd mmm yy"))&amp;" "&amp;Milestones!$AB$63&amp;" "&amp;IF(AND(Milestones!$AB$63="FT",Milestones!$AA$63=FT_Y5,EDATE($D87,Milestones!$AA$63)&lt;PolicyEff),1,Milestones!$AC$63)&amp;";  ","")&amp;IF(AND(EDATE($D87,Milestones!$AA$64)&lt;=AsOfDate,EDATE($D87,Milestones!$AA$64)&gt;=SchemeStart,IF($X87=0,$AD87,IF(AND($Z87&lt;&gt;"",EDATE($D87,Milestones!$AA$64)&gt;=$Z87),$AC87,IF(AND($Y87&lt;&gt;"",EDATE($D87,Milestones!$AA$64)&gt;=$Y87),$AB87,$AA87)))=Milestones!$AB$64),UPPER(TEXT(EDATE($D87,Milestones!$AA$64),"dd mmm yy"))&amp;" "&amp;Milestones!$AB$64&amp;" "&amp;IF(AND(Milestones!$AB$64="FT",Milestones!$AA$64=FT_Y5,EDATE($D87,Milestones!$AA$64)&lt;PolicyEff),1,Milestones!$AC$64)&amp;";  ","")&amp;IF(AND(EDATE($D87,Milestones!$AA$65)&lt;=AsOfDate,EDATE($D87,Milestones!$AA$65)&gt;=SchemeStart,IF($X87=0,$AD87,IF(AND($Z87&lt;&gt;"",EDATE($D87,Milestones!$AA$65)&gt;=$Z87),$AC87,IF(AND($Y87&lt;&gt;"",EDATE($D87,Milestones!$AA$65)&gt;=$Y87),$AB87,$AA87)))=Milestones!$AB$65),UPPER(TEXT(EDATE($D87,Milestones!$AA$65),"dd mmm yy"))&amp;" "&amp;Milestones!$AB$65&amp;" "&amp;IF(AND(Milestones!$AB$65="FT",Milestones!$AA$65=FT_Y5,EDATE($D87,Milestones!$AA$65)&lt;PolicyEff),1,Milestones!$AC$65)&amp;";  ","")&amp;IF(AND(EDATE($D87,Milestones!$AA$66)&lt;=AsOfDate,EDATE($D87,Milestones!$AA$66)&gt;=SchemeStart,IF($X87=0,$AD87,IF(AND($Z87&lt;&gt;"",EDATE($D87,Milestones!$AA$66)&gt;=$Z87),$AC87,IF(AND($Y87&lt;&gt;"",EDATE($D87,Milestones!$AA$66)&gt;=$Y87),$AB87,$AA87)))=Milestones!$AB$66),UPPER(TEXT(EDATE($D87,Milestones!$AA$66),"dd mmm yy"))&amp;" "&amp;Milestones!$AB$66&amp;" "&amp;IF(AND(Milestones!$AB$66="FT",Milestones!$AA$66=FT_Y5,EDATE($D87,Milestones!$AA$66)&lt;PolicyEff),1,Milestones!$AC$66)&amp;";  ","")&amp;IF(AND(EDATE($D87,Milestones!$AA$67)&lt;=AsOfDate,EDATE($D87,Milestones!$AA$67)&gt;=SchemeStart,IF($X87=0,$AD87,IF(AND($Z87&lt;&gt;"",EDATE($D87,Milestones!$AA$67)&gt;=$Z87),$AC87,IF(AND($Y87&lt;&gt;"",EDATE($D87,Milestones!$AA$67)&gt;=$Y87),$AB87,$AA87)))=Milestones!$AB$67),UPPER(TEXT(EDATE($D87,Milestones!$AA$67),"dd mmm yy"))&amp;" "&amp;Milestones!$AB$67&amp;" "&amp;IF(AND(Milestones!$AB$67="FT",Milestones!$AA$67=FT_Y5,EDATE($D87,Milestones!$AA$67)&lt;PolicyEff),1,Milestones!$AC$67)&amp;";  ",""))</f>
        <v/>
      </c>
      <c r="M87" s="0" t="str">
        <f aca="false">IF(OR($A87="",$D87=""),"",IF(AND(EDATE($D87,Milestones!$AA$68)&lt;=AsOfDate,EDATE($D87,Milestones!$AA$68)&gt;=SchemeStart,IF($X87=0,$AD87,IF(AND($Z87&lt;&gt;"",EDATE($D87,Milestones!$AA$68)&gt;=$Z87),$AC87,IF(AND($Y87&lt;&gt;"",EDATE($D87,Milestones!$AA$68)&gt;=$Y87),$AB87,$AA87)))=Milestones!$AB$68),UPPER(TEXT(EDATE($D87,Milestones!$AA$68),"dd mmm yy"))&amp;" "&amp;Milestones!$AB$68&amp;" "&amp;IF(AND(Milestones!$AB$68="FT",Milestones!$AA$68=FT_Y5,EDATE($D87,Milestones!$AA$68)&lt;PolicyEff),1,Milestones!$AC$68)&amp;";  ","")&amp;IF(AND(EDATE($D87,Milestones!$AA$69)&lt;=AsOfDate,EDATE($D87,Milestones!$AA$69)&gt;=SchemeStart,IF($X87=0,$AD87,IF(AND($Z87&lt;&gt;"",EDATE($D87,Milestones!$AA$69)&gt;=$Z87),$AC87,IF(AND($Y87&lt;&gt;"",EDATE($D87,Milestones!$AA$69)&gt;=$Y87),$AB87,$AA87)))=Milestones!$AB$69),UPPER(TEXT(EDATE($D87,Milestones!$AA$69),"dd mmm yy"))&amp;" "&amp;Milestones!$AB$69&amp;" "&amp;IF(AND(Milestones!$AB$69="FT",Milestones!$AA$69=FT_Y5,EDATE($D87,Milestones!$AA$69)&lt;PolicyEff),1,Milestones!$AC$69)&amp;";  ","")&amp;IF(AND(EDATE($D87,Milestones!$AA$70)&lt;=AsOfDate,EDATE($D87,Milestones!$AA$70)&gt;=SchemeStart,IF($X87=0,$AD87,IF(AND($Z87&lt;&gt;"",EDATE($D87,Milestones!$AA$70)&gt;=$Z87),$AC87,IF(AND($Y87&lt;&gt;"",EDATE($D87,Milestones!$AA$70)&gt;=$Y87),$AB87,$AA87)))=Milestones!$AB$70),UPPER(TEXT(EDATE($D87,Milestones!$AA$70),"dd mmm yy"))&amp;" "&amp;Milestones!$AB$70&amp;" "&amp;IF(AND(Milestones!$AB$70="FT",Milestones!$AA$70=FT_Y5,EDATE($D87,Milestones!$AA$70)&lt;PolicyEff),1,Milestones!$AC$70)&amp;";  ","")&amp;IF(AND(EDATE($D87,Milestones!$AA$71)&lt;=AsOfDate,EDATE($D87,Milestones!$AA$71)&gt;=SchemeStart,IF($X87=0,$AD87,IF(AND($Z87&lt;&gt;"",EDATE($D87,Milestones!$AA$71)&gt;=$Z87),$AC87,IF(AND($Y87&lt;&gt;"",EDATE($D87,Milestones!$AA$71)&gt;=$Y87),$AB87,$AA87)))=Milestones!$AB$71),UPPER(TEXT(EDATE($D87,Milestones!$AA$71),"dd mmm yy"))&amp;" "&amp;Milestones!$AB$71&amp;" "&amp;IF(AND(Milestones!$AB$71="FT",Milestones!$AA$71=FT_Y5,EDATE($D87,Milestones!$AA$71)&lt;PolicyEff),1,Milestones!$AC$71)&amp;";  ","")&amp;IF(AND(EDATE($D87,Milestones!$AA$72)&lt;=AsOfDate,EDATE($D87,Milestones!$AA$72)&gt;=SchemeStart,IF($X87=0,$AD87,IF(AND($Z87&lt;&gt;"",EDATE($D87,Milestones!$AA$72)&gt;=$Z87),$AC87,IF(AND($Y87&lt;&gt;"",EDATE($D87,Milestones!$AA$72)&gt;=$Y87),$AB87,$AA87)))=Milestones!$AB$72),UPPER(TEXT(EDATE($D87,Milestones!$AA$72),"dd mmm yy"))&amp;" "&amp;Milestones!$AB$72&amp;" "&amp;IF(AND(Milestones!$AB$72="FT",Milestones!$AA$72=FT_Y5,EDATE($D87,Milestones!$AA$72)&lt;PolicyEff),1,Milestones!$AC$72)&amp;";  ","")&amp;IF(AND(EDATE($D87,Milestones!$AA$73)&lt;=AsOfDate,EDATE($D87,Milestones!$AA$73)&gt;=SchemeStart,IF($X87=0,$AD87,IF(AND($Z87&lt;&gt;"",EDATE($D87,Milestones!$AA$73)&gt;=$Z87),$AC87,IF(AND($Y87&lt;&gt;"",EDATE($D87,Milestones!$AA$73)&gt;=$Y87),$AB87,$AA87)))=Milestones!$AB$73),UPPER(TEXT(EDATE($D87,Milestones!$AA$73),"dd mmm yy"))&amp;" "&amp;Milestones!$AB$73&amp;" "&amp;IF(AND(Milestones!$AB$73="FT",Milestones!$AA$73=FT_Y5,EDATE($D87,Milestones!$AA$73)&lt;PolicyEff),1,Milestones!$AC$73)&amp;";  ","")&amp;IF(AND(EDATE($D87,Milestones!$AA$74)&lt;=AsOfDate,EDATE($D87,Milestones!$AA$74)&gt;=SchemeStart,IF($X87=0,$AD87,IF(AND($Z87&lt;&gt;"",EDATE($D87,Milestones!$AA$74)&gt;=$Z87),$AC87,IF(AND($Y87&lt;&gt;"",EDATE($D87,Milestones!$AA$74)&gt;=$Y87),$AB87,$AA87)))=Milestones!$AB$74),UPPER(TEXT(EDATE($D87,Milestones!$AA$74),"dd mmm yy"))&amp;" "&amp;Milestones!$AB$74&amp;" "&amp;IF(AND(Milestones!$AB$74="FT",Milestones!$AA$74=FT_Y5,EDATE($D87,Milestones!$AA$74)&lt;PolicyEff),1,Milestones!$AC$74)&amp;";  ","")&amp;IF(AND(EDATE($D87,Milestones!$AA$75)&lt;=AsOfDate,EDATE($D87,Milestones!$AA$75)&gt;=SchemeStart,IF($X87=0,$AD87,IF(AND($Z87&lt;&gt;"",EDATE($D87,Milestones!$AA$75)&gt;=$Z87),$AC87,IF(AND($Y87&lt;&gt;"",EDATE($D87,Milestones!$AA$75)&gt;=$Y87),$AB87,$AA87)))=Milestones!$AB$75),UPPER(TEXT(EDATE($D87,Milestones!$AA$75),"dd mmm yy"))&amp;" "&amp;Milestones!$AB$75&amp;" "&amp;IF(AND(Milestones!$AB$75="FT",Milestones!$AA$75=FT_Y5,EDATE($D87,Milestones!$AA$75)&lt;PolicyEff),1,Milestones!$AC$75)&amp;";  ","")&amp;IF(AND(EDATE($D87,Milestones!$AA$76)&lt;=AsOfDate,EDATE($D87,Milestones!$AA$76)&gt;=SchemeStart,IF($X87=0,$AD87,IF(AND($Z87&lt;&gt;"",EDATE($D87,Milestones!$AA$76)&gt;=$Z87),$AC87,IF(AND($Y87&lt;&gt;"",EDATE($D87,Milestones!$AA$76)&gt;=$Y87),$AB87,$AA87)))=Milestones!$AB$76),UPPER(TEXT(EDATE($D87,Milestones!$AA$76),"dd mmm yy"))&amp;" "&amp;Milestones!$AB$76&amp;" "&amp;IF(AND(Milestones!$AB$76="FT",Milestones!$AA$76=FT_Y5,EDATE($D87,Milestones!$AA$76)&lt;PolicyEff),1,Milestones!$AC$76)&amp;";  ","")&amp;IF(AND(EDATE($D87,Milestones!$AA$77)&lt;=AsOfDate,EDATE($D87,Milestones!$AA$77)&gt;=SchemeStart,IF($X87=0,$AD87,IF(AND($Z87&lt;&gt;"",EDATE($D87,Milestones!$AA$77)&gt;=$Z87),$AC87,IF(AND($Y87&lt;&gt;"",EDATE($D87,Milestones!$AA$77)&gt;=$Y87),$AB87,$AA87)))=Milestones!$AB$77),UPPER(TEXT(EDATE($D87,Milestones!$AA$77),"dd mmm yy"))&amp;" "&amp;Milestones!$AB$77&amp;" "&amp;IF(AND(Milestones!$AB$77="FT",Milestones!$AA$77=FT_Y5,EDATE($D87,Milestones!$AA$77)&lt;PolicyEff),1,Milestones!$AC$77)&amp;";  ","")&amp;IF(AND(EDATE($D87,Milestones!$AA$78)&lt;=AsOfDate,EDATE($D87,Milestones!$AA$78)&gt;=SchemeStart,IF($X87=0,$AD87,IF(AND($Z87&lt;&gt;"",EDATE($D87,Milestones!$AA$78)&gt;=$Z87),$AC87,IF(AND($Y87&lt;&gt;"",EDATE($D87,Milestones!$AA$78)&gt;=$Y87),$AB87,$AA87)))=Milestones!$AB$78),UPPER(TEXT(EDATE($D87,Milestones!$AA$78),"dd mmm yy"))&amp;" "&amp;Milestones!$AB$78&amp;" "&amp;IF(AND(Milestones!$AB$78="FT",Milestones!$AA$78=FT_Y5,EDATE($D87,Milestones!$AA$78)&lt;PolicyEff),1,Milestones!$AC$78)&amp;";  ","")&amp;IF(AND(EDATE($D87,Milestones!$AA$79)&lt;=AsOfDate,EDATE($D87,Milestones!$AA$79)&gt;=SchemeStart,IF($X87=0,$AD87,IF(AND($Z87&lt;&gt;"",EDATE($D87,Milestones!$AA$79)&gt;=$Z87),$AC87,IF(AND($Y87&lt;&gt;"",EDATE($D87,Milestones!$AA$79)&gt;=$Y87),$AB87,$AA87)))=Milestones!$AB$79),UPPER(TEXT(EDATE($D87,Milestones!$AA$79),"dd mmm yy"))&amp;" "&amp;Milestones!$AB$79&amp;" "&amp;IF(AND(Milestones!$AB$79="FT",Milestones!$AA$79=FT_Y5,EDATE($D87,Milestones!$AA$79)&lt;PolicyEff),1,Milestones!$AC$79)&amp;";  ",""))</f>
        <v/>
      </c>
      <c r="N87" s="0" t="str">
        <f aca="false">IF(OR($A87="",$D87=""),"",IF(AND(EDATE($D87,Milestones!$AA$80)&lt;=AsOfDate,EDATE($D87,Milestones!$AA$80)&gt;=SchemeStart,IF($X87=0,$AD87,IF(AND($Z87&lt;&gt;"",EDATE($D87,Milestones!$AA$80)&gt;=$Z87),$AC87,IF(AND($Y87&lt;&gt;"",EDATE($D87,Milestones!$AA$80)&gt;=$Y87),$AB87,$AA87)))=Milestones!$AB$80),UPPER(TEXT(EDATE($D87,Milestones!$AA$80),"dd mmm yy"))&amp;" "&amp;Milestones!$AB$80&amp;" "&amp;IF(AND(Milestones!$AB$80="FT",Milestones!$AA$80=FT_Y5,EDATE($D87,Milestones!$AA$80)&lt;PolicyEff),1,Milestones!$AC$80)&amp;";  ","")&amp;IF(AND(EDATE($D87,Milestones!$AA$81)&lt;=AsOfDate,EDATE($D87,Milestones!$AA$81)&gt;=SchemeStart,IF($X87=0,$AD87,IF(AND($Z87&lt;&gt;"",EDATE($D87,Milestones!$AA$81)&gt;=$Z87),$AC87,IF(AND($Y87&lt;&gt;"",EDATE($D87,Milestones!$AA$81)&gt;=$Y87),$AB87,$AA87)))=Milestones!$AB$81),UPPER(TEXT(EDATE($D87,Milestones!$AA$81),"dd mmm yy"))&amp;" "&amp;Milestones!$AB$81&amp;" "&amp;IF(AND(Milestones!$AB$81="FT",Milestones!$AA$81=FT_Y5,EDATE($D87,Milestones!$AA$81)&lt;PolicyEff),1,Milestones!$AC$81)&amp;";  ","")&amp;IF(AND(EDATE($D87,Milestones!$AA$82)&lt;=AsOfDate,EDATE($D87,Milestones!$AA$82)&gt;=SchemeStart,IF($X87=0,$AD87,IF(AND($Z87&lt;&gt;"",EDATE($D87,Milestones!$AA$82)&gt;=$Z87),$AC87,IF(AND($Y87&lt;&gt;"",EDATE($D87,Milestones!$AA$82)&gt;=$Y87),$AB87,$AA87)))=Milestones!$AB$82),UPPER(TEXT(EDATE($D87,Milestones!$AA$82),"dd mmm yy"))&amp;" "&amp;Milestones!$AB$82&amp;" "&amp;IF(AND(Milestones!$AB$82="FT",Milestones!$AA$82=FT_Y5,EDATE($D87,Milestones!$AA$82)&lt;PolicyEff),1,Milestones!$AC$82)&amp;";  ","")&amp;IF(AND(EDATE($D87,Milestones!$AA$83)&lt;=AsOfDate,EDATE($D87,Milestones!$AA$83)&gt;=SchemeStart,IF($X87=0,$AD87,IF(AND($Z87&lt;&gt;"",EDATE($D87,Milestones!$AA$83)&gt;=$Z87),$AC87,IF(AND($Y87&lt;&gt;"",EDATE($D87,Milestones!$AA$83)&gt;=$Y87),$AB87,$AA87)))=Milestones!$AB$83),UPPER(TEXT(EDATE($D87,Milestones!$AA$83),"dd mmm yy"))&amp;" "&amp;Milestones!$AB$83&amp;" "&amp;IF(AND(Milestones!$AB$83="FT",Milestones!$AA$83=FT_Y5,EDATE($D87,Milestones!$AA$83)&lt;PolicyEff),1,Milestones!$AC$83)&amp;";  ","")&amp;IF(AND(EDATE($D87,Milestones!$AA$84)&lt;=AsOfDate,EDATE($D87,Milestones!$AA$84)&gt;=SchemeStart,IF($X87=0,$AD87,IF(AND($Z87&lt;&gt;"",EDATE($D87,Milestones!$AA$84)&gt;=$Z87),$AC87,IF(AND($Y87&lt;&gt;"",EDATE($D87,Milestones!$AA$84)&gt;=$Y87),$AB87,$AA87)))=Milestones!$AB$84),UPPER(TEXT(EDATE($D87,Milestones!$AA$84),"dd mmm yy"))&amp;" "&amp;Milestones!$AB$84&amp;" "&amp;IF(AND(Milestones!$AB$84="FT",Milestones!$AA$84=FT_Y5,EDATE($D87,Milestones!$AA$84)&lt;PolicyEff),1,Milestones!$AC$84)&amp;";  ","")&amp;IF(AND(EDATE($D87,Milestones!$AA$85)&lt;=AsOfDate,EDATE($D87,Milestones!$AA$85)&gt;=SchemeStart,IF($X87=0,$AD87,IF(AND($Z87&lt;&gt;"",EDATE($D87,Milestones!$AA$85)&gt;=$Z87),$AC87,IF(AND($Y87&lt;&gt;"",EDATE($D87,Milestones!$AA$85)&gt;=$Y87),$AB87,$AA87)))=Milestones!$AB$85),UPPER(TEXT(EDATE($D87,Milestones!$AA$85),"dd mmm yy"))&amp;" "&amp;Milestones!$AB$85&amp;" "&amp;IF(AND(Milestones!$AB$85="FT",Milestones!$AA$85=FT_Y5,EDATE($D87,Milestones!$AA$85)&lt;PolicyEff),1,Milestones!$AC$85)&amp;";  ","")&amp;IF(AND(EDATE($D87,Milestones!$AA$86)&lt;=AsOfDate,EDATE($D87,Milestones!$AA$86)&gt;=SchemeStart,IF($X87=0,$AD87,IF(AND($Z87&lt;&gt;"",EDATE($D87,Milestones!$AA$86)&gt;=$Z87),$AC87,IF(AND($Y87&lt;&gt;"",EDATE($D87,Milestones!$AA$86)&gt;=$Y87),$AB87,$AA87)))=Milestones!$AB$86),UPPER(TEXT(EDATE($D87,Milestones!$AA$86),"dd mmm yy"))&amp;" "&amp;Milestones!$AB$86&amp;" "&amp;IF(AND(Milestones!$AB$86="FT",Milestones!$AA$86=FT_Y5,EDATE($D87,Milestones!$AA$86)&lt;PolicyEff),1,Milestones!$AC$86)&amp;";  ","")&amp;IF(AND(EDATE($D87,Milestones!$AA$87)&lt;=AsOfDate,EDATE($D87,Milestones!$AA$87)&gt;=SchemeStart,IF($X87=0,$AD87,IF(AND($Z87&lt;&gt;"",EDATE($D87,Milestones!$AA$87)&gt;=$Z87),$AC87,IF(AND($Y87&lt;&gt;"",EDATE($D87,Milestones!$AA$87)&gt;=$Y87),$AB87,$AA87)))=Milestones!$AB$87),UPPER(TEXT(EDATE($D87,Milestones!$AA$87),"dd mmm yy"))&amp;" "&amp;Milestones!$AB$87&amp;" "&amp;IF(AND(Milestones!$AB$87="FT",Milestones!$AA$87=FT_Y5,EDATE($D87,Milestones!$AA$87)&lt;PolicyEff),1,Milestones!$AC$87)&amp;";  ","")&amp;IF(AND(EDATE($D87,Milestones!$AA$88)&lt;=AsOfDate,EDATE($D87,Milestones!$AA$88)&gt;=SchemeStart,IF($X87=0,$AD87,IF(AND($Z87&lt;&gt;"",EDATE($D87,Milestones!$AA$88)&gt;=$Z87),$AC87,IF(AND($Y87&lt;&gt;"",EDATE($D87,Milestones!$AA$88)&gt;=$Y87),$AB87,$AA87)))=Milestones!$AB$88),UPPER(TEXT(EDATE($D87,Milestones!$AA$88),"dd mmm yy"))&amp;" "&amp;Milestones!$AB$88&amp;" "&amp;IF(AND(Milestones!$AB$88="FT",Milestones!$AA$88=FT_Y5,EDATE($D87,Milestones!$AA$88)&lt;PolicyEff),1,Milestones!$AC$88)&amp;";  ","")&amp;IF(AND(EDATE($D87,Milestones!$AA$89)&lt;=AsOfDate,EDATE($D87,Milestones!$AA$89)&gt;=SchemeStart,IF($X87=0,$AD87,IF(AND($Z87&lt;&gt;"",EDATE($D87,Milestones!$AA$89)&gt;=$Z87),$AC87,IF(AND($Y87&lt;&gt;"",EDATE($D87,Milestones!$AA$89)&gt;=$Y87),$AB87,$AA87)))=Milestones!$AB$89),UPPER(TEXT(EDATE($D87,Milestones!$AA$89),"dd mmm yy"))&amp;" "&amp;Milestones!$AB$89&amp;" "&amp;IF(AND(Milestones!$AB$89="FT",Milestones!$AA$89=FT_Y5,EDATE($D87,Milestones!$AA$89)&lt;PolicyEff),1,Milestones!$AC$89)&amp;";  ","")&amp;IF(AND(EDATE($D87,Milestones!$AA$90)&lt;=AsOfDate,EDATE($D87,Milestones!$AA$90)&gt;=SchemeStart,IF($X87=0,$AD87,IF(AND($Z87&lt;&gt;"",EDATE($D87,Milestones!$AA$90)&gt;=$Z87),$AC87,IF(AND($Y87&lt;&gt;"",EDATE($D87,Milestones!$AA$90)&gt;=$Y87),$AB87,$AA87)))=Milestones!$AB$90),UPPER(TEXT(EDATE($D87,Milestones!$AA$90),"dd mmm yy"))&amp;" "&amp;Milestones!$AB$90&amp;" "&amp;IF(AND(Milestones!$AB$90="FT",Milestones!$AA$90=FT_Y5,EDATE($D87,Milestones!$AA$90)&lt;PolicyEff),1,Milestones!$AC$90)&amp;";  ","")&amp;IF(AND(EDATE($D87,Milestones!$AA$91)&lt;=AsOfDate,EDATE($D87,Milestones!$AA$91)&gt;=SchemeStart,IF($X87=0,$AD87,IF(AND($Z87&lt;&gt;"",EDATE($D87,Milestones!$AA$91)&gt;=$Z87),$AC87,IF(AND($Y87&lt;&gt;"",EDATE($D87,Milestones!$AA$91)&gt;=$Y87),$AB87,$AA87)))=Milestones!$AB$91),UPPER(TEXT(EDATE($D87,Milestones!$AA$91),"dd mmm yy"))&amp;" "&amp;Milestones!$AB$91&amp;" "&amp;IF(AND(Milestones!$AB$91="FT",Milestones!$AA$91=FT_Y5,EDATE($D87,Milestones!$AA$91)&lt;PolicyEff),1,Milestones!$AC$91)&amp;";  ",""))</f>
        <v/>
      </c>
      <c r="O87" s="0" t="str">
        <f aca="false">IF(OR($A87="",$D87=""),"",IF(AND(EDATE($D87,Milestones!$AA$92)&lt;=AsOfDate,EDATE($D87,Milestones!$AA$92)&gt;=SchemeStart,IF($X87=0,$AD87,IF(AND($Z87&lt;&gt;"",EDATE($D87,Milestones!$AA$92)&gt;=$Z87),$AC87,IF(AND($Y87&lt;&gt;"",EDATE($D87,Milestones!$AA$92)&gt;=$Y87),$AB87,$AA87)))=Milestones!$AB$92),UPPER(TEXT(EDATE($D87,Milestones!$AA$92),"dd mmm yy"))&amp;" "&amp;Milestones!$AB$92&amp;" "&amp;IF(AND(Milestones!$AB$92="FT",Milestones!$AA$92=FT_Y5,EDATE($D87,Milestones!$AA$92)&lt;PolicyEff),1,Milestones!$AC$92)&amp;";  ","")&amp;IF(AND(EDATE($D87,Milestones!$AA$93)&lt;=AsOfDate,EDATE($D87,Milestones!$AA$93)&gt;=SchemeStart,IF($X87=0,$AD87,IF(AND($Z87&lt;&gt;"",EDATE($D87,Milestones!$AA$93)&gt;=$Z87),$AC87,IF(AND($Y87&lt;&gt;"",EDATE($D87,Milestones!$AA$93)&gt;=$Y87),$AB87,$AA87)))=Milestones!$AB$93),UPPER(TEXT(EDATE($D87,Milestones!$AA$93),"dd mmm yy"))&amp;" "&amp;Milestones!$AB$93&amp;" "&amp;IF(AND(Milestones!$AB$93="FT",Milestones!$AA$93=FT_Y5,EDATE($D87,Milestones!$AA$93)&lt;PolicyEff),1,Milestones!$AC$93)&amp;";  ","")&amp;IF(AND(EDATE($D87,Milestones!$AA$94)&lt;=AsOfDate,EDATE($D87,Milestones!$AA$94)&gt;=SchemeStart,IF($X87=0,$AD87,IF(AND($Z87&lt;&gt;"",EDATE($D87,Milestones!$AA$94)&gt;=$Z87),$AC87,IF(AND($Y87&lt;&gt;"",EDATE($D87,Milestones!$AA$94)&gt;=$Y87),$AB87,$AA87)))=Milestones!$AB$94),UPPER(TEXT(EDATE($D87,Milestones!$AA$94),"dd mmm yy"))&amp;" "&amp;Milestones!$AB$94&amp;" "&amp;IF(AND(Milestones!$AB$94="FT",Milestones!$AA$94=FT_Y5,EDATE($D87,Milestones!$AA$94)&lt;PolicyEff),1,Milestones!$AC$94)&amp;";  ","")&amp;IF(AND(EDATE($D87,Milestones!$AA$95)&lt;=AsOfDate,EDATE($D87,Milestones!$AA$95)&gt;=SchemeStart,IF($X87=0,$AD87,IF(AND($Z87&lt;&gt;"",EDATE($D87,Milestones!$AA$95)&gt;=$Z87),$AC87,IF(AND($Y87&lt;&gt;"",EDATE($D87,Milestones!$AA$95)&gt;=$Y87),$AB87,$AA87)))=Milestones!$AB$95),UPPER(TEXT(EDATE($D87,Milestones!$AA$95),"dd mmm yy"))&amp;" "&amp;Milestones!$AB$95&amp;" "&amp;IF(AND(Milestones!$AB$95="FT",Milestones!$AA$95=FT_Y5,EDATE($D87,Milestones!$AA$95)&lt;PolicyEff),1,Milestones!$AC$95)&amp;";  ","")&amp;IF(AND(EDATE($D87,Milestones!$AA$96)&lt;=AsOfDate,EDATE($D87,Milestones!$AA$96)&gt;=SchemeStart,IF($X87=0,$AD87,IF(AND($Z87&lt;&gt;"",EDATE($D87,Milestones!$AA$96)&gt;=$Z87),$AC87,IF(AND($Y87&lt;&gt;"",EDATE($D87,Milestones!$AA$96)&gt;=$Y87),$AB87,$AA87)))=Milestones!$AB$96),UPPER(TEXT(EDATE($D87,Milestones!$AA$96),"dd mmm yy"))&amp;" "&amp;Milestones!$AB$96&amp;" "&amp;IF(AND(Milestones!$AB$96="FT",Milestones!$AA$96=FT_Y5,EDATE($D87,Milestones!$AA$96)&lt;PolicyEff),1,Milestones!$AC$96)&amp;";  ","")&amp;IF(AND(EDATE($D87,Milestones!$AA$97)&lt;=AsOfDate,EDATE($D87,Milestones!$AA$97)&gt;=SchemeStart,IF($X87=0,$AD87,IF(AND($Z87&lt;&gt;"",EDATE($D87,Milestones!$AA$97)&gt;=$Z87),$AC87,IF(AND($Y87&lt;&gt;"",EDATE($D87,Milestones!$AA$97)&gt;=$Y87),$AB87,$AA87)))=Milestones!$AB$97),UPPER(TEXT(EDATE($D87,Milestones!$AA$97),"dd mmm yy"))&amp;" "&amp;Milestones!$AB$97&amp;" "&amp;IF(AND(Milestones!$AB$97="FT",Milestones!$AA$97=FT_Y5,EDATE($D87,Milestones!$AA$97)&lt;PolicyEff),1,Milestones!$AC$97)&amp;";  ","")&amp;IF(AND(EDATE($D87,Milestones!$AA$98)&lt;=AsOfDate,EDATE($D87,Milestones!$AA$98)&gt;=SchemeStart,IF($X87=0,$AD87,IF(AND($Z87&lt;&gt;"",EDATE($D87,Milestones!$AA$98)&gt;=$Z87),$AC87,IF(AND($Y87&lt;&gt;"",EDATE($D87,Milestones!$AA$98)&gt;=$Y87),$AB87,$AA87)))=Milestones!$AB$98),UPPER(TEXT(EDATE($D87,Milestones!$AA$98),"dd mmm yy"))&amp;" "&amp;Milestones!$AB$98&amp;" "&amp;IF(AND(Milestones!$AB$98="FT",Milestones!$AA$98=FT_Y5,EDATE($D87,Milestones!$AA$98)&lt;PolicyEff),1,Milestones!$AC$98)&amp;";  ","")&amp;IF(AND(EDATE($D87,Milestones!$AA$99)&lt;=AsOfDate,EDATE($D87,Milestones!$AA$99)&gt;=SchemeStart,IF($X87=0,$AD87,IF(AND($Z87&lt;&gt;"",EDATE($D87,Milestones!$AA$99)&gt;=$Z87),$AC87,IF(AND($Y87&lt;&gt;"",EDATE($D87,Milestones!$AA$99)&gt;=$Y87),$AB87,$AA87)))=Milestones!$AB$99),UPPER(TEXT(EDATE($D87,Milestones!$AA$99),"dd mmm yy"))&amp;" "&amp;Milestones!$AB$99&amp;" "&amp;IF(AND(Milestones!$AB$99="FT",Milestones!$AA$99=FT_Y5,EDATE($D87,Milestones!$AA$99)&lt;PolicyEff),1,Milestones!$AC$99)&amp;";  ","")&amp;IF(AND(EDATE($D87,Milestones!$AA$100)&lt;=AsOfDate,EDATE($D87,Milestones!$AA$100)&gt;=SchemeStart,IF($X87=0,$AD87,IF(AND($Z87&lt;&gt;"",EDATE($D87,Milestones!$AA$100)&gt;=$Z87),$AC87,IF(AND($Y87&lt;&gt;"",EDATE($D87,Milestones!$AA$100)&gt;=$Y87),$AB87,$AA87)))=Milestones!$AB$100),UPPER(TEXT(EDATE($D87,Milestones!$AA$100),"dd mmm yy"))&amp;" "&amp;Milestones!$AB$100&amp;" "&amp;IF(AND(Milestones!$AB$100="FT",Milestones!$AA$100=FT_Y5,EDATE($D87,Milestones!$AA$100)&lt;PolicyEff),1,Milestones!$AC$100)&amp;";  ","")&amp;IF(AND(EDATE($D87,Milestones!$AA$101)&lt;=AsOfDate,EDATE($D87,Milestones!$AA$101)&gt;=SchemeStart,IF($X87=0,$AD87,IF(AND($Z87&lt;&gt;"",EDATE($D87,Milestones!$AA$101)&gt;=$Z87),$AC87,IF(AND($Y87&lt;&gt;"",EDATE($D87,Milestones!$AA$101)&gt;=$Y87),$AB87,$AA87)))=Milestones!$AB$101),UPPER(TEXT(EDATE($D87,Milestones!$AA$101),"dd mmm yy"))&amp;" "&amp;Milestones!$AB$101&amp;" "&amp;IF(AND(Milestones!$AB$101="FT",Milestones!$AA$101=FT_Y5,EDATE($D87,Milestones!$AA$101)&lt;PolicyEff),1,Milestones!$AC$101)&amp;";  ","")&amp;IF(AND(EDATE($D87,Milestones!$AA$102)&lt;=AsOfDate,EDATE($D87,Milestones!$AA$102)&gt;=SchemeStart,IF($X87=0,$AD87,IF(AND($Z87&lt;&gt;"",EDATE($D87,Milestones!$AA$102)&gt;=$Z87),$AC87,IF(AND($Y87&lt;&gt;"",EDATE($D87,Milestones!$AA$102)&gt;=$Y87),$AB87,$AA87)))=Milestones!$AB$102),UPPER(TEXT(EDATE($D87,Milestones!$AA$102),"dd mmm yy"))&amp;" "&amp;Milestones!$AB$102&amp;" "&amp;IF(AND(Milestones!$AB$102="FT",Milestones!$AA$102=FT_Y5,EDATE($D87,Milestones!$AA$102)&lt;PolicyEff),1,Milestones!$AC$102)&amp;";  ","")&amp;IF(AND(EDATE($D87,Milestones!$AA$103)&lt;=AsOfDate,EDATE($D87,Milestones!$AA$103)&gt;=SchemeStart,IF($X87=0,$AD87,IF(AND($Z87&lt;&gt;"",EDATE($D87,Milestones!$AA$103)&gt;=$Z87),$AC87,IF(AND($Y87&lt;&gt;"",EDATE($D87,Milestones!$AA$103)&gt;=$Y87),$AB87,$AA87)))=Milestones!$AB$103),UPPER(TEXT(EDATE($D87,Milestones!$AA$103),"dd mmm yy"))&amp;" "&amp;Milestones!$AB$103&amp;" "&amp;IF(AND(Milestones!$AB$103="FT",Milestones!$AA$103=FT_Y5,EDATE($D87,Milestones!$AA$103)&lt;PolicyEff),1,Milestones!$AC$103)&amp;";  ",""))</f>
        <v/>
      </c>
      <c r="P87" s="0" t="str">
        <f aca="false">IF(OR($A87="",$D87=""),"",IF(AND(EDATE($D87,Milestones!$AA$104)&lt;=AsOfDate,EDATE($D87,Milestones!$AA$104)&gt;=SchemeStart,IF($X87=0,$AD87,IF(AND($Z87&lt;&gt;"",EDATE($D87,Milestones!$AA$104)&gt;=$Z87),$AC87,IF(AND($Y87&lt;&gt;"",EDATE($D87,Milestones!$AA$104)&gt;=$Y87),$AB87,$AA87)))=Milestones!$AB$104),UPPER(TEXT(EDATE($D87,Milestones!$AA$104),"dd mmm yy"))&amp;" "&amp;Milestones!$AB$104&amp;" "&amp;IF(AND(Milestones!$AB$104="FT",Milestones!$AA$104=FT_Y5,EDATE($D87,Milestones!$AA$104)&lt;PolicyEff),1,Milestones!$AC$104)&amp;";  ","")&amp;IF(AND(EDATE($D87,Milestones!$AA$105)&lt;=AsOfDate,EDATE($D87,Milestones!$AA$105)&gt;=SchemeStart,IF($X87=0,$AD87,IF(AND($Z87&lt;&gt;"",EDATE($D87,Milestones!$AA$105)&gt;=$Z87),$AC87,IF(AND($Y87&lt;&gt;"",EDATE($D87,Milestones!$AA$105)&gt;=$Y87),$AB87,$AA87)))=Milestones!$AB$105),UPPER(TEXT(EDATE($D87,Milestones!$AA$105),"dd mmm yy"))&amp;" "&amp;Milestones!$AB$105&amp;" "&amp;IF(AND(Milestones!$AB$105="FT",Milestones!$AA$105=FT_Y5,EDATE($D87,Milestones!$AA$105)&lt;PolicyEff),1,Milestones!$AC$105)&amp;";  ","")&amp;IF(AND(EDATE($D87,Milestones!$AA$106)&lt;=AsOfDate,EDATE($D87,Milestones!$AA$106)&gt;=SchemeStart,IF($X87=0,$AD87,IF(AND($Z87&lt;&gt;"",EDATE($D87,Milestones!$AA$106)&gt;=$Z87),$AC87,IF(AND($Y87&lt;&gt;"",EDATE($D87,Milestones!$AA$106)&gt;=$Y87),$AB87,$AA87)))=Milestones!$AB$106),UPPER(TEXT(EDATE($D87,Milestones!$AA$106),"dd mmm yy"))&amp;" "&amp;Milestones!$AB$106&amp;" "&amp;IF(AND(Milestones!$AB$106="FT",Milestones!$AA$106=FT_Y5,EDATE($D87,Milestones!$AA$106)&lt;PolicyEff),1,Milestones!$AC$106)&amp;";  ","")&amp;IF(AND(EDATE($D87,Milestones!$AA$107)&lt;=AsOfDate,EDATE($D87,Milestones!$AA$107)&gt;=SchemeStart,IF($X87=0,$AD87,IF(AND($Z87&lt;&gt;"",EDATE($D87,Milestones!$AA$107)&gt;=$Z87),$AC87,IF(AND($Y87&lt;&gt;"",EDATE($D87,Milestones!$AA$107)&gt;=$Y87),$AB87,$AA87)))=Milestones!$AB$107),UPPER(TEXT(EDATE($D87,Milestones!$AA$107),"dd mmm yy"))&amp;" "&amp;Milestones!$AB$107&amp;" "&amp;IF(AND(Milestones!$AB$107="FT",Milestones!$AA$107=FT_Y5,EDATE($D87,Milestones!$AA$107)&lt;PolicyEff),1,Milestones!$AC$107)&amp;";  ","")&amp;IF(AND(EDATE($D87,Milestones!$AA$108)&lt;=AsOfDate,EDATE($D87,Milestones!$AA$108)&gt;=SchemeStart,IF($X87=0,$AD87,IF(AND($Z87&lt;&gt;"",EDATE($D87,Milestones!$AA$108)&gt;=$Z87),$AC87,IF(AND($Y87&lt;&gt;"",EDATE($D87,Milestones!$AA$108)&gt;=$Y87),$AB87,$AA87)))=Milestones!$AB$108),UPPER(TEXT(EDATE($D87,Milestones!$AA$108),"dd mmm yy"))&amp;" "&amp;Milestones!$AB$108&amp;" "&amp;IF(AND(Milestones!$AB$108="FT",Milestones!$AA$108=FT_Y5,EDATE($D87,Milestones!$AA$108)&lt;PolicyEff),1,Milestones!$AC$108)&amp;";  ","")&amp;IF(AND(EDATE($D87,Milestones!$AA$109)&lt;=AsOfDate,EDATE($D87,Milestones!$AA$109)&gt;=SchemeStart,IF($X87=0,$AD87,IF(AND($Z87&lt;&gt;"",EDATE($D87,Milestones!$AA$109)&gt;=$Z87),$AC87,IF(AND($Y87&lt;&gt;"",EDATE($D87,Milestones!$AA$109)&gt;=$Y87),$AB87,$AA87)))=Milestones!$AB$109),UPPER(TEXT(EDATE($D87,Milestones!$AA$109),"dd mmm yy"))&amp;" "&amp;Milestones!$AB$109&amp;" "&amp;IF(AND(Milestones!$AB$109="FT",Milestones!$AA$109=FT_Y5,EDATE($D87,Milestones!$AA$109)&lt;PolicyEff),1,Milestones!$AC$109)&amp;";  ","")&amp;IF(AND(EDATE($D87,Milestones!$AA$110)&lt;=AsOfDate,EDATE($D87,Milestones!$AA$110)&gt;=SchemeStart,IF($X87=0,$AD87,IF(AND($Z87&lt;&gt;"",EDATE($D87,Milestones!$AA$110)&gt;=$Z87),$AC87,IF(AND($Y87&lt;&gt;"",EDATE($D87,Milestones!$AA$110)&gt;=$Y87),$AB87,$AA87)))=Milestones!$AB$110),UPPER(TEXT(EDATE($D87,Milestones!$AA$110),"dd mmm yy"))&amp;" "&amp;Milestones!$AB$110&amp;" "&amp;IF(AND(Milestones!$AB$110="FT",Milestones!$AA$110=FT_Y5,EDATE($D87,Milestones!$AA$110)&lt;PolicyEff),1,Milestones!$AC$110)&amp;";  ","")&amp;IF(AND(EDATE($D87,Milestones!$AA$111)&lt;=AsOfDate,EDATE($D87,Milestones!$AA$111)&gt;=SchemeStart,IF($X87=0,$AD87,IF(AND($Z87&lt;&gt;"",EDATE($D87,Milestones!$AA$111)&gt;=$Z87),$AC87,IF(AND($Y87&lt;&gt;"",EDATE($D87,Milestones!$AA$111)&gt;=$Y87),$AB87,$AA87)))=Milestones!$AB$111),UPPER(TEXT(EDATE($D87,Milestones!$AA$111),"dd mmm yy"))&amp;" "&amp;Milestones!$AB$111&amp;" "&amp;IF(AND(Milestones!$AB$111="FT",Milestones!$AA$111=FT_Y5,EDATE($D87,Milestones!$AA$111)&lt;PolicyEff),1,Milestones!$AC$111)&amp;";  ","")&amp;IF(AND(EDATE($D87,Milestones!$AA$112)&lt;=AsOfDate,EDATE($D87,Milestones!$AA$112)&gt;=SchemeStart,IF($X87=0,$AD87,IF(AND($Z87&lt;&gt;"",EDATE($D87,Milestones!$AA$112)&gt;=$Z87),$AC87,IF(AND($Y87&lt;&gt;"",EDATE($D87,Milestones!$AA$112)&gt;=$Y87),$AB87,$AA87)))=Milestones!$AB$112),UPPER(TEXT(EDATE($D87,Milestones!$AA$112),"dd mmm yy"))&amp;" "&amp;Milestones!$AB$112&amp;" "&amp;IF(AND(Milestones!$AB$112="FT",Milestones!$AA$112=FT_Y5,EDATE($D87,Milestones!$AA$112)&lt;PolicyEff),1,Milestones!$AC$112)&amp;";  ","")&amp;IF(AND(EDATE($D87,Milestones!$AA$113)&lt;=AsOfDate,EDATE($D87,Milestones!$AA$113)&gt;=SchemeStart,IF($X87=0,$AD87,IF(AND($Z87&lt;&gt;"",EDATE($D87,Milestones!$AA$113)&gt;=$Z87),$AC87,IF(AND($Y87&lt;&gt;"",EDATE($D87,Milestones!$AA$113)&gt;=$Y87),$AB87,$AA87)))=Milestones!$AB$113),UPPER(TEXT(EDATE($D87,Milestones!$AA$113),"dd mmm yy"))&amp;" "&amp;Milestones!$AB$113&amp;" "&amp;IF(AND(Milestones!$AB$113="FT",Milestones!$AA$113=FT_Y5,EDATE($D87,Milestones!$AA$113)&lt;PolicyEff),1,Milestones!$AC$113)&amp;";  ","")&amp;IF(AND(EDATE($D87,Milestones!$AA$114)&lt;=AsOfDate,EDATE($D87,Milestones!$AA$114)&gt;=SchemeStart,IF($X87=0,$AD87,IF(AND($Z87&lt;&gt;"",EDATE($D87,Milestones!$AA$114)&gt;=$Z87),$AC87,IF(AND($Y87&lt;&gt;"",EDATE($D87,Milestones!$AA$114)&gt;=$Y87),$AB87,$AA87)))=Milestones!$AB$114),UPPER(TEXT(EDATE($D87,Milestones!$AA$114),"dd mmm yy"))&amp;" "&amp;Milestones!$AB$114&amp;" "&amp;IF(AND(Milestones!$AB$114="FT",Milestones!$AA$114=FT_Y5,EDATE($D87,Milestones!$AA$114)&lt;PolicyEff),1,Milestones!$AC$114)&amp;";  ","")&amp;IF(AND(EDATE($D87,Milestones!$AA$115)&lt;=AsOfDate,EDATE($D87,Milestones!$AA$115)&gt;=SchemeStart,IF($X87=0,$AD87,IF(AND($Z87&lt;&gt;"",EDATE($D87,Milestones!$AA$115)&gt;=$Z87),$AC87,IF(AND($Y87&lt;&gt;"",EDATE($D87,Milestones!$AA$115)&gt;=$Y87),$AB87,$AA87)))=Milestones!$AB$115),UPPER(TEXT(EDATE($D87,Milestones!$AA$115),"dd mmm yy"))&amp;" "&amp;Milestones!$AB$115&amp;" "&amp;IF(AND(Milestones!$AB$115="FT",Milestones!$AA$115=FT_Y5,EDATE($D87,Milestones!$AA$115)&lt;PolicyEff),1,Milestones!$AC$115)&amp;";  ",""))</f>
        <v/>
      </c>
      <c r="Q87" s="0" t="str">
        <f aca="false">IF(OR($A87="",$D87=""),"",IF(AND(EDATE($D87,Milestones!$AA$116)&lt;=AsOfDate,EDATE($D87,Milestones!$AA$116)&gt;=SchemeStart,IF($X87=0,$AD87,IF(AND($Z87&lt;&gt;"",EDATE($D87,Milestones!$AA$116)&gt;=$Z87),$AC87,IF(AND($Y87&lt;&gt;"",EDATE($D87,Milestones!$AA$116)&gt;=$Y87),$AB87,$AA87)))=Milestones!$AB$116),UPPER(TEXT(EDATE($D87,Milestones!$AA$116),"dd mmm yy"))&amp;" "&amp;Milestones!$AB$116&amp;" "&amp;IF(AND(Milestones!$AB$116="FT",Milestones!$AA$116=FT_Y5,EDATE($D87,Milestones!$AA$116)&lt;PolicyEff),1,Milestones!$AC$116)&amp;";  ","")&amp;IF(AND(EDATE($D87,Milestones!$AA$117)&lt;=AsOfDate,EDATE($D87,Milestones!$AA$117)&gt;=SchemeStart,IF($X87=0,$AD87,IF(AND($Z87&lt;&gt;"",EDATE($D87,Milestones!$AA$117)&gt;=$Z87),$AC87,IF(AND($Y87&lt;&gt;"",EDATE($D87,Milestones!$AA$117)&gt;=$Y87),$AB87,$AA87)))=Milestones!$AB$117),UPPER(TEXT(EDATE($D87,Milestones!$AA$117),"dd mmm yy"))&amp;" "&amp;Milestones!$AB$117&amp;" "&amp;IF(AND(Milestones!$AB$117="FT",Milestones!$AA$117=FT_Y5,EDATE($D87,Milestones!$AA$117)&lt;PolicyEff),1,Milestones!$AC$117)&amp;";  ","")&amp;IF(AND(EDATE($D87,Milestones!$AA$118)&lt;=AsOfDate,EDATE($D87,Milestones!$AA$118)&gt;=SchemeStart,IF($X87=0,$AD87,IF(AND($Z87&lt;&gt;"",EDATE($D87,Milestones!$AA$118)&gt;=$Z87),$AC87,IF(AND($Y87&lt;&gt;"",EDATE($D87,Milestones!$AA$118)&gt;=$Y87),$AB87,$AA87)))=Milestones!$AB$118),UPPER(TEXT(EDATE($D87,Milestones!$AA$118),"dd mmm yy"))&amp;" "&amp;Milestones!$AB$118&amp;" "&amp;IF(AND(Milestones!$AB$118="FT",Milestones!$AA$118=FT_Y5,EDATE($D87,Milestones!$AA$118)&lt;PolicyEff),1,Milestones!$AC$118)&amp;";  ","")&amp;IF(AND(EDATE($D87,Milestones!$AA$119)&lt;=AsOfDate,EDATE($D87,Milestones!$AA$119)&gt;=SchemeStart,IF($X87=0,$AD87,IF(AND($Z87&lt;&gt;"",EDATE($D87,Milestones!$AA$119)&gt;=$Z87),$AC87,IF(AND($Y87&lt;&gt;"",EDATE($D87,Milestones!$AA$119)&gt;=$Y87),$AB87,$AA87)))=Milestones!$AB$119),UPPER(TEXT(EDATE($D87,Milestones!$AA$119),"dd mmm yy"))&amp;" "&amp;Milestones!$AB$119&amp;" "&amp;IF(AND(Milestones!$AB$119="FT",Milestones!$AA$119=FT_Y5,EDATE($D87,Milestones!$AA$119)&lt;PolicyEff),1,Milestones!$AC$119)&amp;";  ","")&amp;IF(AND(EDATE($D87,Milestones!$AA$120)&lt;=AsOfDate,EDATE($D87,Milestones!$AA$120)&gt;=SchemeStart,IF($X87=0,$AD87,IF(AND($Z87&lt;&gt;"",EDATE($D87,Milestones!$AA$120)&gt;=$Z87),$AC87,IF(AND($Y87&lt;&gt;"",EDATE($D87,Milestones!$AA$120)&gt;=$Y87),$AB87,$AA87)))=Milestones!$AB$120),UPPER(TEXT(EDATE($D87,Milestones!$AA$120),"dd mmm yy"))&amp;" "&amp;Milestones!$AB$120&amp;" "&amp;IF(AND(Milestones!$AB$120="FT",Milestones!$AA$120=FT_Y5,EDATE($D87,Milestones!$AA$120)&lt;PolicyEff),1,Milestones!$AC$120)&amp;";  ","")&amp;IF(AND(EDATE($D87,Milestones!$AA$121)&lt;=AsOfDate,EDATE($D87,Milestones!$AA$121)&gt;=SchemeStart,IF($X87=0,$AD87,IF(AND($Z87&lt;&gt;"",EDATE($D87,Milestones!$AA$121)&gt;=$Z87),$AC87,IF(AND($Y87&lt;&gt;"",EDATE($D87,Milestones!$AA$121)&gt;=$Y87),$AB87,$AA87)))=Milestones!$AB$121),UPPER(TEXT(EDATE($D87,Milestones!$AA$121),"dd mmm yy"))&amp;" "&amp;Milestones!$AB$121&amp;" "&amp;IF(AND(Milestones!$AB$121="FT",Milestones!$AA$121=FT_Y5,EDATE($D87,Milestones!$AA$121)&lt;PolicyEff),1,Milestones!$AC$121)&amp;";  ","")&amp;IF(AND(EDATE($D87,Milestones!$AA$122)&lt;=AsOfDate,EDATE($D87,Milestones!$AA$122)&gt;=SchemeStart,IF($X87=0,$AD87,IF(AND($Z87&lt;&gt;"",EDATE($D87,Milestones!$AA$122)&gt;=$Z87),$AC87,IF(AND($Y87&lt;&gt;"",EDATE($D87,Milestones!$AA$122)&gt;=$Y87),$AB87,$AA87)))=Milestones!$AB$122),UPPER(TEXT(EDATE($D87,Milestones!$AA$122),"dd mmm yy"))&amp;" "&amp;Milestones!$AB$122&amp;" "&amp;IF(AND(Milestones!$AB$122="FT",Milestones!$AA$122=FT_Y5,EDATE($D87,Milestones!$AA$122)&lt;PolicyEff),1,Milestones!$AC$122)&amp;";  ","")&amp;IF(AND(EDATE($D87,Milestones!$AA$123)&lt;=AsOfDate,EDATE($D87,Milestones!$AA$123)&gt;=SchemeStart,IF($X87=0,$AD87,IF(AND($Z87&lt;&gt;"",EDATE($D87,Milestones!$AA$123)&gt;=$Z87),$AC87,IF(AND($Y87&lt;&gt;"",EDATE($D87,Milestones!$AA$123)&gt;=$Y87),$AB87,$AA87)))=Milestones!$AB$123),UPPER(TEXT(EDATE($D87,Milestones!$AA$123),"dd mmm yy"))&amp;" "&amp;Milestones!$AB$123&amp;" "&amp;IF(AND(Milestones!$AB$123="FT",Milestones!$AA$123=FT_Y5,EDATE($D87,Milestones!$AA$123)&lt;PolicyEff),1,Milestones!$AC$123)&amp;";  ","")&amp;IF(AND(EDATE($D87,Milestones!$AA$124)&lt;=AsOfDate,EDATE($D87,Milestones!$AA$124)&gt;=SchemeStart,IF($X87=0,$AD87,IF(AND($Z87&lt;&gt;"",EDATE($D87,Milestones!$AA$124)&gt;=$Z87),$AC87,IF(AND($Y87&lt;&gt;"",EDATE($D87,Milestones!$AA$124)&gt;=$Y87),$AB87,$AA87)))=Milestones!$AB$124),UPPER(TEXT(EDATE($D87,Milestones!$AA$124),"dd mmm yy"))&amp;" "&amp;Milestones!$AB$124&amp;" "&amp;IF(AND(Milestones!$AB$124="FT",Milestones!$AA$124=FT_Y5,EDATE($D87,Milestones!$AA$124)&lt;PolicyEff),1,Milestones!$AC$124)&amp;";  ","")&amp;IF(AND(EDATE($D87,Milestones!$AA$125)&lt;=AsOfDate,EDATE($D87,Milestones!$AA$125)&gt;=SchemeStart,IF($X87=0,$AD87,IF(AND($Z87&lt;&gt;"",EDATE($D87,Milestones!$AA$125)&gt;=$Z87),$AC87,IF(AND($Y87&lt;&gt;"",EDATE($D87,Milestones!$AA$125)&gt;=$Y87),$AB87,$AA87)))=Milestones!$AB$125),UPPER(TEXT(EDATE($D87,Milestones!$AA$125),"dd mmm yy"))&amp;" "&amp;Milestones!$AB$125&amp;" "&amp;IF(AND(Milestones!$AB$125="FT",Milestones!$AA$125=FT_Y5,EDATE($D87,Milestones!$AA$125)&lt;PolicyEff),1,Milestones!$AC$125)&amp;";  ","")&amp;IF(AND(EDATE($D87,Milestones!$AA$126)&lt;=AsOfDate,EDATE($D87,Milestones!$AA$126)&gt;=SchemeStart,IF($X87=0,$AD87,IF(AND($Z87&lt;&gt;"",EDATE($D87,Milestones!$AA$126)&gt;=$Z87),$AC87,IF(AND($Y87&lt;&gt;"",EDATE($D87,Milestones!$AA$126)&gt;=$Y87),$AB87,$AA87)))=Milestones!$AB$126),UPPER(TEXT(EDATE($D87,Milestones!$AA$126),"dd mmm yy"))&amp;" "&amp;Milestones!$AB$126&amp;" "&amp;IF(AND(Milestones!$AB$126="FT",Milestones!$AA$126=FT_Y5,EDATE($D87,Milestones!$AA$126)&lt;PolicyEff),1,Milestones!$AC$126)&amp;";  ","")&amp;IF(AND(EDATE($D87,Milestones!$AA$127)&lt;=AsOfDate,EDATE($D87,Milestones!$AA$127)&gt;=SchemeStart,IF($X87=0,$AD87,IF(AND($Z87&lt;&gt;"",EDATE($D87,Milestones!$AA$127)&gt;=$Z87),$AC87,IF(AND($Y87&lt;&gt;"",EDATE($D87,Milestones!$AA$127)&gt;=$Y87),$AB87,$AA87)))=Milestones!$AB$127),UPPER(TEXT(EDATE($D87,Milestones!$AA$127),"dd mmm yy"))&amp;" "&amp;Milestones!$AB$127&amp;" "&amp;IF(AND(Milestones!$AB$127="FT",Milestones!$AA$127=FT_Y5,EDATE($D87,Milestones!$AA$127)&lt;PolicyEff),1,Milestones!$AC$127)&amp;";  ",""))</f>
        <v/>
      </c>
      <c r="R87" s="0" t="str">
        <f aca="false">IF(OR($A87="",$D87=""),"",IF(AND(EDATE($D87,Milestones!$AA$128)&lt;=AsOfDate,EDATE($D87,Milestones!$AA$128)&gt;=SchemeStart,IF($X87=0,$AD87,IF(AND($Z87&lt;&gt;"",EDATE($D87,Milestones!$AA$128)&gt;=$Z87),$AC87,IF(AND($Y87&lt;&gt;"",EDATE($D87,Milestones!$AA$128)&gt;=$Y87),$AB87,$AA87)))=Milestones!$AB$128),UPPER(TEXT(EDATE($D87,Milestones!$AA$128),"dd mmm yy"))&amp;" "&amp;Milestones!$AB$128&amp;" "&amp;IF(AND(Milestones!$AB$128="FT",Milestones!$AA$128=FT_Y5,EDATE($D87,Milestones!$AA$128)&lt;PolicyEff),1,Milestones!$AC$128)&amp;";  ","")&amp;IF(AND(EDATE($D87,Milestones!$AA$129)&lt;=AsOfDate,EDATE($D87,Milestones!$AA$129)&gt;=SchemeStart,IF($X87=0,$AD87,IF(AND($Z87&lt;&gt;"",EDATE($D87,Milestones!$AA$129)&gt;=$Z87),$AC87,IF(AND($Y87&lt;&gt;"",EDATE($D87,Milestones!$AA$129)&gt;=$Y87),$AB87,$AA87)))=Milestones!$AB$129),UPPER(TEXT(EDATE($D87,Milestones!$AA$129),"dd mmm yy"))&amp;" "&amp;Milestones!$AB$129&amp;" "&amp;IF(AND(Milestones!$AB$129="FT",Milestones!$AA$129=FT_Y5,EDATE($D87,Milestones!$AA$129)&lt;PolicyEff),1,Milestones!$AC$129)&amp;";  ","")&amp;IF(AND(EDATE($D87,Milestones!$AA$130)&lt;=AsOfDate,EDATE($D87,Milestones!$AA$130)&gt;=SchemeStart,IF($X87=0,$AD87,IF(AND($Z87&lt;&gt;"",EDATE($D87,Milestones!$AA$130)&gt;=$Z87),$AC87,IF(AND($Y87&lt;&gt;"",EDATE($D87,Milestones!$AA$130)&gt;=$Y87),$AB87,$AA87)))=Milestones!$AB$130),UPPER(TEXT(EDATE($D87,Milestones!$AA$130),"dd mmm yy"))&amp;" "&amp;Milestones!$AB$130&amp;" "&amp;IF(AND(Milestones!$AB$130="FT",Milestones!$AA$130=FT_Y5,EDATE($D87,Milestones!$AA$130)&lt;PolicyEff),1,Milestones!$AC$130)&amp;";  ","")&amp;IF(AND(EDATE($D87,Milestones!$AA$131)&lt;=AsOfDate,EDATE($D87,Milestones!$AA$131)&gt;=SchemeStart,IF($X87=0,$AD87,IF(AND($Z87&lt;&gt;"",EDATE($D87,Milestones!$AA$131)&gt;=$Z87),$AC87,IF(AND($Y87&lt;&gt;"",EDATE($D87,Milestones!$AA$131)&gt;=$Y87),$AB87,$AA87)))=Milestones!$AB$131),UPPER(TEXT(EDATE($D87,Milestones!$AA$131),"dd mmm yy"))&amp;" "&amp;Milestones!$AB$131&amp;" "&amp;IF(AND(Milestones!$AB$131="FT",Milestones!$AA$131=FT_Y5,EDATE($D87,Milestones!$AA$131)&lt;PolicyEff),1,Milestones!$AC$131)&amp;";  ","")&amp;IF(AND(EDATE($D87,Milestones!$AA$132)&lt;=AsOfDate,EDATE($D87,Milestones!$AA$132)&gt;=SchemeStart,IF($X87=0,$AD87,IF(AND($Z87&lt;&gt;"",EDATE($D87,Milestones!$AA$132)&gt;=$Z87),$AC87,IF(AND($Y87&lt;&gt;"",EDATE($D87,Milestones!$AA$132)&gt;=$Y87),$AB87,$AA87)))=Milestones!$AB$132),UPPER(TEXT(EDATE($D87,Milestones!$AA$132),"dd mmm yy"))&amp;" "&amp;Milestones!$AB$132&amp;" "&amp;IF(AND(Milestones!$AB$132="FT",Milestones!$AA$132=FT_Y5,EDATE($D87,Milestones!$AA$132)&lt;PolicyEff),1,Milestones!$AC$132)&amp;";  ","")&amp;IF(AND(EDATE($D87,Milestones!$AA$133)&lt;=AsOfDate,EDATE($D87,Milestones!$AA$133)&gt;=SchemeStart,IF($X87=0,$AD87,IF(AND($Z87&lt;&gt;"",EDATE($D87,Milestones!$AA$133)&gt;=$Z87),$AC87,IF(AND($Y87&lt;&gt;"",EDATE($D87,Milestones!$AA$133)&gt;=$Y87),$AB87,$AA87)))=Milestones!$AB$133),UPPER(TEXT(EDATE($D87,Milestones!$AA$133),"dd mmm yy"))&amp;" "&amp;Milestones!$AB$133&amp;" "&amp;IF(AND(Milestones!$AB$133="FT",Milestones!$AA$133=FT_Y5,EDATE($D87,Milestones!$AA$133)&lt;PolicyEff),1,Milestones!$AC$133)&amp;";  ","")&amp;IF(AND(EDATE($D87,Milestones!$AA$134)&lt;=AsOfDate,EDATE($D87,Milestones!$AA$134)&gt;=SchemeStart,IF($X87=0,$AD87,IF(AND($Z87&lt;&gt;"",EDATE($D87,Milestones!$AA$134)&gt;=$Z87),$AC87,IF(AND($Y87&lt;&gt;"",EDATE($D87,Milestones!$AA$134)&gt;=$Y87),$AB87,$AA87)))=Milestones!$AB$134),UPPER(TEXT(EDATE($D87,Milestones!$AA$134),"dd mmm yy"))&amp;" "&amp;Milestones!$AB$134&amp;" "&amp;IF(AND(Milestones!$AB$134="FT",Milestones!$AA$134=FT_Y5,EDATE($D87,Milestones!$AA$134)&lt;PolicyEff),1,Milestones!$AC$134)&amp;";  ","")&amp;IF(AND(EDATE($D87,Milestones!$AA$135)&lt;=AsOfDate,EDATE($D87,Milestones!$AA$135)&gt;=SchemeStart,IF($X87=0,$AD87,IF(AND($Z87&lt;&gt;"",EDATE($D87,Milestones!$AA$135)&gt;=$Z87),$AC87,IF(AND($Y87&lt;&gt;"",EDATE($D87,Milestones!$AA$135)&gt;=$Y87),$AB87,$AA87)))=Milestones!$AB$135),UPPER(TEXT(EDATE($D87,Milestones!$AA$135),"dd mmm yy"))&amp;" "&amp;Milestones!$AB$135&amp;" "&amp;IF(AND(Milestones!$AB$135="FT",Milestones!$AA$135=FT_Y5,EDATE($D87,Milestones!$AA$135)&lt;PolicyEff),1,Milestones!$AC$135)&amp;";  ","")&amp;IF(AND(EDATE($D87,Milestones!$AA$136)&lt;=AsOfDate,EDATE($D87,Milestones!$AA$136)&gt;=SchemeStart,IF($X87=0,$AD87,IF(AND($Z87&lt;&gt;"",EDATE($D87,Milestones!$AA$136)&gt;=$Z87),$AC87,IF(AND($Y87&lt;&gt;"",EDATE($D87,Milestones!$AA$136)&gt;=$Y87),$AB87,$AA87)))=Milestones!$AB$136),UPPER(TEXT(EDATE($D87,Milestones!$AA$136),"dd mmm yy"))&amp;" "&amp;Milestones!$AB$136&amp;" "&amp;IF(AND(Milestones!$AB$136="FT",Milestones!$AA$136=FT_Y5,EDATE($D87,Milestones!$AA$136)&lt;PolicyEff),1,Milestones!$AC$136)&amp;";  ","")&amp;IF(AND(EDATE($D87,Milestones!$AA$137)&lt;=AsOfDate,EDATE($D87,Milestones!$AA$137)&gt;=SchemeStart,IF($X87=0,$AD87,IF(AND($Z87&lt;&gt;"",EDATE($D87,Milestones!$AA$137)&gt;=$Z87),$AC87,IF(AND($Y87&lt;&gt;"",EDATE($D87,Milestones!$AA$137)&gt;=$Y87),$AB87,$AA87)))=Milestones!$AB$137),UPPER(TEXT(EDATE($D87,Milestones!$AA$137),"dd mmm yy"))&amp;" "&amp;Milestones!$AB$137&amp;" "&amp;IF(AND(Milestones!$AB$137="FT",Milestones!$AA$137=FT_Y5,EDATE($D87,Milestones!$AA$137)&lt;PolicyEff),1,Milestones!$AC$137)&amp;";  ","")&amp;IF(AND(EDATE($D87,Milestones!$AA$138)&lt;=AsOfDate,EDATE($D87,Milestones!$AA$138)&gt;=SchemeStart,IF($X87=0,$AD87,IF(AND($Z87&lt;&gt;"",EDATE($D87,Milestones!$AA$138)&gt;=$Z87),$AC87,IF(AND($Y87&lt;&gt;"",EDATE($D87,Milestones!$AA$138)&gt;=$Y87),$AB87,$AA87)))=Milestones!$AB$138),UPPER(TEXT(EDATE($D87,Milestones!$AA$138),"dd mmm yy"))&amp;" "&amp;Milestones!$AB$138&amp;" "&amp;IF(AND(Milestones!$AB$138="FT",Milestones!$AA$138=FT_Y5,EDATE($D87,Milestones!$AA$138)&lt;PolicyEff),1,Milestones!$AC$138)&amp;";  ","")&amp;IF(AND(EDATE($D87,Milestones!$AA$139)&lt;=AsOfDate,EDATE($D87,Milestones!$AA$139)&gt;=SchemeStart,IF($X87=0,$AD87,IF(AND($Z87&lt;&gt;"",EDATE($D87,Milestones!$AA$139)&gt;=$Z87),$AC87,IF(AND($Y87&lt;&gt;"",EDATE($D87,Milestones!$AA$139)&gt;=$Y87),$AB87,$AA87)))=Milestones!$AB$139),UPPER(TEXT(EDATE($D87,Milestones!$AA$139),"dd mmm yy"))&amp;" "&amp;Milestones!$AB$139&amp;" "&amp;IF(AND(Milestones!$AB$139="FT",Milestones!$AA$139=FT_Y5,EDATE($D87,Milestones!$AA$139)&lt;PolicyEff),1,Milestones!$AC$139)&amp;";  ",""))</f>
        <v/>
      </c>
      <c r="S87" s="0" t="str">
        <f aca="false">IF(OR($A87="",$D87=""),"",IF(AND(EDATE($D87,Milestones!$AA$140)&lt;=AsOfDate,EDATE($D87,Milestones!$AA$140)&gt;=SchemeStart,IF($X87=0,$AD87,IF(AND($Z87&lt;&gt;"",EDATE($D87,Milestones!$AA$140)&gt;=$Z87),$AC87,IF(AND($Y87&lt;&gt;"",EDATE($D87,Milestones!$AA$140)&gt;=$Y87),$AB87,$AA87)))=Milestones!$AB$140),UPPER(TEXT(EDATE($D87,Milestones!$AA$140),"dd mmm yy"))&amp;" "&amp;Milestones!$AB$140&amp;" "&amp;IF(AND(Milestones!$AB$140="FT",Milestones!$AA$140=FT_Y5,EDATE($D87,Milestones!$AA$140)&lt;PolicyEff),1,Milestones!$AC$140)&amp;";  ","")&amp;IF(AND(EDATE($D87,Milestones!$AA$141)&lt;=AsOfDate,EDATE($D87,Milestones!$AA$141)&gt;=SchemeStart,IF($X87=0,$AD87,IF(AND($Z87&lt;&gt;"",EDATE($D87,Milestones!$AA$141)&gt;=$Z87),$AC87,IF(AND($Y87&lt;&gt;"",EDATE($D87,Milestones!$AA$141)&gt;=$Y87),$AB87,$AA87)))=Milestones!$AB$141),UPPER(TEXT(EDATE($D87,Milestones!$AA$141),"dd mmm yy"))&amp;" "&amp;Milestones!$AB$141&amp;" "&amp;IF(AND(Milestones!$AB$141="FT",Milestones!$AA$141=FT_Y5,EDATE($D87,Milestones!$AA$141)&lt;PolicyEff),1,Milestones!$AC$141)&amp;";  ","")&amp;IF(AND(EDATE($D87,Milestones!$AA$142)&lt;=AsOfDate,EDATE($D87,Milestones!$AA$142)&gt;=SchemeStart,IF($X87=0,$AD87,IF(AND($Z87&lt;&gt;"",EDATE($D87,Milestones!$AA$142)&gt;=$Z87),$AC87,IF(AND($Y87&lt;&gt;"",EDATE($D87,Milestones!$AA$142)&gt;=$Y87),$AB87,$AA87)))=Milestones!$AB$142),UPPER(TEXT(EDATE($D87,Milestones!$AA$142),"dd mmm yy"))&amp;" "&amp;Milestones!$AB$142&amp;" "&amp;IF(AND(Milestones!$AB$142="FT",Milestones!$AA$142=FT_Y5,EDATE($D87,Milestones!$AA$142)&lt;PolicyEff),1,Milestones!$AC$142)&amp;";  ","")&amp;IF(AND(EDATE($D87,Milestones!$AA$143)&lt;=AsOfDate,EDATE($D87,Milestones!$AA$143)&gt;=SchemeStart,IF($X87=0,$AD87,IF(AND($Z87&lt;&gt;"",EDATE($D87,Milestones!$AA$143)&gt;=$Z87),$AC87,IF(AND($Y87&lt;&gt;"",EDATE($D87,Milestones!$AA$143)&gt;=$Y87),$AB87,$AA87)))=Milestones!$AB$143),UPPER(TEXT(EDATE($D87,Milestones!$AA$143),"dd mmm yy"))&amp;" "&amp;Milestones!$AB$143&amp;" "&amp;IF(AND(Milestones!$AB$143="FT",Milestones!$AA$143=FT_Y5,EDATE($D87,Milestones!$AA$143)&lt;PolicyEff),1,Milestones!$AC$143)&amp;";  ","")&amp;IF(AND(EDATE($D87,Milestones!$AA$144)&lt;=AsOfDate,EDATE($D87,Milestones!$AA$144)&gt;=SchemeStart,IF($X87=0,$AD87,IF(AND($Z87&lt;&gt;"",EDATE($D87,Milestones!$AA$144)&gt;=$Z87),$AC87,IF(AND($Y87&lt;&gt;"",EDATE($D87,Milestones!$AA$144)&gt;=$Y87),$AB87,$AA87)))=Milestones!$AB$144),UPPER(TEXT(EDATE($D87,Milestones!$AA$144),"dd mmm yy"))&amp;" "&amp;Milestones!$AB$144&amp;" "&amp;IF(AND(Milestones!$AB$144="FT",Milestones!$AA$144=FT_Y5,EDATE($D87,Milestones!$AA$144)&lt;PolicyEff),1,Milestones!$AC$144)&amp;";  ","")&amp;IF(AND(EDATE($D87,Milestones!$AA$145)&lt;=AsOfDate,EDATE($D87,Milestones!$AA$145)&gt;=SchemeStart,IF($X87=0,$AD87,IF(AND($Z87&lt;&gt;"",EDATE($D87,Milestones!$AA$145)&gt;=$Z87),$AC87,IF(AND($Y87&lt;&gt;"",EDATE($D87,Milestones!$AA$145)&gt;=$Y87),$AB87,$AA87)))=Milestones!$AB$145),UPPER(TEXT(EDATE($D87,Milestones!$AA$145),"dd mmm yy"))&amp;" "&amp;Milestones!$AB$145&amp;" "&amp;IF(AND(Milestones!$AB$145="FT",Milestones!$AA$145=FT_Y5,EDATE($D87,Milestones!$AA$145)&lt;PolicyEff),1,Milestones!$AC$145)&amp;";  ","")&amp;IF(AND(EDATE($D87,Milestones!$AA$146)&lt;=AsOfDate,EDATE($D87,Milestones!$AA$146)&gt;=SchemeStart,IF($X87=0,$AD87,IF(AND($Z87&lt;&gt;"",EDATE($D87,Milestones!$AA$146)&gt;=$Z87),$AC87,IF(AND($Y87&lt;&gt;"",EDATE($D87,Milestones!$AA$146)&gt;=$Y87),$AB87,$AA87)))=Milestones!$AB$146),UPPER(TEXT(EDATE($D87,Milestones!$AA$146),"dd mmm yy"))&amp;" "&amp;Milestones!$AB$146&amp;" "&amp;IF(AND(Milestones!$AB$146="FT",Milestones!$AA$146=FT_Y5,EDATE($D87,Milestones!$AA$146)&lt;PolicyEff),1,Milestones!$AC$146)&amp;";  ","")&amp;IF(AND(EDATE($D87,Milestones!$AA$147)&lt;=AsOfDate,EDATE($D87,Milestones!$AA$147)&gt;=SchemeStart,IF($X87=0,$AD87,IF(AND($Z87&lt;&gt;"",EDATE($D87,Milestones!$AA$147)&gt;=$Z87),$AC87,IF(AND($Y87&lt;&gt;"",EDATE($D87,Milestones!$AA$147)&gt;=$Y87),$AB87,$AA87)))=Milestones!$AB$147),UPPER(TEXT(EDATE($D87,Milestones!$AA$147),"dd mmm yy"))&amp;" "&amp;Milestones!$AB$147&amp;" "&amp;IF(AND(Milestones!$AB$147="FT",Milestones!$AA$147=FT_Y5,EDATE($D87,Milestones!$AA$147)&lt;PolicyEff),1,Milestones!$AC$147)&amp;";  ","")&amp;IF(AND(EDATE($D87,Milestones!$AA$148)&lt;=AsOfDate,EDATE($D87,Milestones!$AA$148)&gt;=SchemeStart,IF($X87=0,$AD87,IF(AND($Z87&lt;&gt;"",EDATE($D87,Milestones!$AA$148)&gt;=$Z87),$AC87,IF(AND($Y87&lt;&gt;"",EDATE($D87,Milestones!$AA$148)&gt;=$Y87),$AB87,$AA87)))=Milestones!$AB$148),UPPER(TEXT(EDATE($D87,Milestones!$AA$148),"dd mmm yy"))&amp;" "&amp;Milestones!$AB$148&amp;" "&amp;IF(AND(Milestones!$AB$148="FT",Milestones!$AA$148=FT_Y5,EDATE($D87,Milestones!$AA$148)&lt;PolicyEff),1,Milestones!$AC$148)&amp;";  ","")&amp;IF(AND(EDATE($D87,Milestones!$AA$149)&lt;=AsOfDate,EDATE($D87,Milestones!$AA$149)&gt;=SchemeStart,IF($X87=0,$AD87,IF(AND($Z87&lt;&gt;"",EDATE($D87,Milestones!$AA$149)&gt;=$Z87),$AC87,IF(AND($Y87&lt;&gt;"",EDATE($D87,Milestones!$AA$149)&gt;=$Y87),$AB87,$AA87)))=Milestones!$AB$149),UPPER(TEXT(EDATE($D87,Milestones!$AA$149),"dd mmm yy"))&amp;" "&amp;Milestones!$AB$149&amp;" "&amp;IF(AND(Milestones!$AB$149="FT",Milestones!$AA$149=FT_Y5,EDATE($D87,Milestones!$AA$149)&lt;PolicyEff),1,Milestones!$AC$149)&amp;";  ","")&amp;IF(AND(EDATE($D87,Milestones!$AA$150)&lt;=AsOfDate,EDATE($D87,Milestones!$AA$150)&gt;=SchemeStart,IF($X87=0,$AD87,IF(AND($Z87&lt;&gt;"",EDATE($D87,Milestones!$AA$150)&gt;=$Z87),$AC87,IF(AND($Y87&lt;&gt;"",EDATE($D87,Milestones!$AA$150)&gt;=$Y87),$AB87,$AA87)))=Milestones!$AB$150),UPPER(TEXT(EDATE($D87,Milestones!$AA$150),"dd mmm yy"))&amp;" "&amp;Milestones!$AB$150&amp;" "&amp;IF(AND(Milestones!$AB$150="FT",Milestones!$AA$150=FT_Y5,EDATE($D87,Milestones!$AA$150)&lt;PolicyEff),1,Milestones!$AC$150)&amp;";  ","")&amp;IF(AND(EDATE($D87,Milestones!$AA$151)&lt;=AsOfDate,EDATE($D87,Milestones!$AA$151)&gt;=SchemeStart,IF($X87=0,$AD87,IF(AND($Z87&lt;&gt;"",EDATE($D87,Milestones!$AA$151)&gt;=$Z87),$AC87,IF(AND($Y87&lt;&gt;"",EDATE($D87,Milestones!$AA$151)&gt;=$Y87),$AB87,$AA87)))=Milestones!$AB$151),UPPER(TEXT(EDATE($D87,Milestones!$AA$151),"dd mmm yy"))&amp;" "&amp;Milestones!$AB$151&amp;" "&amp;IF(AND(Milestones!$AB$151="FT",Milestones!$AA$151=FT_Y5,EDATE($D87,Milestones!$AA$151)&lt;PolicyEff),1,Milestones!$AC$151)&amp;";  ",""))</f>
        <v/>
      </c>
      <c r="T87" s="0" t="str">
        <f aca="false">IF(OR($A87="",$D87=""),"",IF(AND(EDATE($D87,Milestones!$AA$152)&lt;=AsOfDate,EDATE($D87,Milestones!$AA$152)&gt;=SchemeStart,IF($X87=0,$AD87,IF(AND($Z87&lt;&gt;"",EDATE($D87,Milestones!$AA$152)&gt;=$Z87),$AC87,IF(AND($Y87&lt;&gt;"",EDATE($D87,Milestones!$AA$152)&gt;=$Y87),$AB87,$AA87)))=Milestones!$AB$152),UPPER(TEXT(EDATE($D87,Milestones!$AA$152),"dd mmm yy"))&amp;" "&amp;Milestones!$AB$152&amp;" "&amp;IF(AND(Milestones!$AB$152="FT",Milestones!$AA$152=FT_Y5,EDATE($D87,Milestones!$AA$152)&lt;PolicyEff),1,Milestones!$AC$152)&amp;";  ","")&amp;IF(AND(EDATE($D87,Milestones!$AA$153)&lt;=AsOfDate,EDATE($D87,Milestones!$AA$153)&gt;=SchemeStart,IF($X87=0,$AD87,IF(AND($Z87&lt;&gt;"",EDATE($D87,Milestones!$AA$153)&gt;=$Z87),$AC87,IF(AND($Y87&lt;&gt;"",EDATE($D87,Milestones!$AA$153)&gt;=$Y87),$AB87,$AA87)))=Milestones!$AB$153),UPPER(TEXT(EDATE($D87,Milestones!$AA$153),"dd mmm yy"))&amp;" "&amp;Milestones!$AB$153&amp;" "&amp;IF(AND(Milestones!$AB$153="FT",Milestones!$AA$153=FT_Y5,EDATE($D87,Milestones!$AA$153)&lt;PolicyEff),1,Milestones!$AC$153)&amp;";  ","")&amp;IF(AND(EDATE($D87,Milestones!$AA$154)&lt;=AsOfDate,EDATE($D87,Milestones!$AA$154)&gt;=SchemeStart,IF($X87=0,$AD87,IF(AND($Z87&lt;&gt;"",EDATE($D87,Milestones!$AA$154)&gt;=$Z87),$AC87,IF(AND($Y87&lt;&gt;"",EDATE($D87,Milestones!$AA$154)&gt;=$Y87),$AB87,$AA87)))=Milestones!$AB$154),UPPER(TEXT(EDATE($D87,Milestones!$AA$154),"dd mmm yy"))&amp;" "&amp;Milestones!$AB$154&amp;" "&amp;IF(AND(Milestones!$AB$154="FT",Milestones!$AA$154=FT_Y5,EDATE($D87,Milestones!$AA$154)&lt;PolicyEff),1,Milestones!$AC$154)&amp;";  ","")&amp;IF(AND(EDATE($D87,Milestones!$AA$155)&lt;=AsOfDate,EDATE($D87,Milestones!$AA$155)&gt;=SchemeStart,IF($X87=0,$AD87,IF(AND($Z87&lt;&gt;"",EDATE($D87,Milestones!$AA$155)&gt;=$Z87),$AC87,IF(AND($Y87&lt;&gt;"",EDATE($D87,Milestones!$AA$155)&gt;=$Y87),$AB87,$AA87)))=Milestones!$AB$155),UPPER(TEXT(EDATE($D87,Milestones!$AA$155),"dd mmm yy"))&amp;" "&amp;Milestones!$AB$155&amp;" "&amp;IF(AND(Milestones!$AB$155="FT",Milestones!$AA$155=FT_Y5,EDATE($D87,Milestones!$AA$155)&lt;PolicyEff),1,Milestones!$AC$155)&amp;";  ","")&amp;IF(AND(EDATE($D87,Milestones!$AA$156)&lt;=AsOfDate,EDATE($D87,Milestones!$AA$156)&gt;=SchemeStart,IF($X87=0,$AD87,IF(AND($Z87&lt;&gt;"",EDATE($D87,Milestones!$AA$156)&gt;=$Z87),$AC87,IF(AND($Y87&lt;&gt;"",EDATE($D87,Milestones!$AA$156)&gt;=$Y87),$AB87,$AA87)))=Milestones!$AB$156),UPPER(TEXT(EDATE($D87,Milestones!$AA$156),"dd mmm yy"))&amp;" "&amp;Milestones!$AB$156&amp;" "&amp;IF(AND(Milestones!$AB$156="FT",Milestones!$AA$156=FT_Y5,EDATE($D87,Milestones!$AA$156)&lt;PolicyEff),1,Milestones!$AC$156)&amp;";  ","")&amp;IF(AND(EDATE($D87,Milestones!$AA$157)&lt;=AsOfDate,EDATE($D87,Milestones!$AA$157)&gt;=SchemeStart,IF($X87=0,$AD87,IF(AND($Z87&lt;&gt;"",EDATE($D87,Milestones!$AA$157)&gt;=$Z87),$AC87,IF(AND($Y87&lt;&gt;"",EDATE($D87,Milestones!$AA$157)&gt;=$Y87),$AB87,$AA87)))=Milestones!$AB$157),UPPER(TEXT(EDATE($D87,Milestones!$AA$157),"dd mmm yy"))&amp;" "&amp;Milestones!$AB$157&amp;" "&amp;IF(AND(Milestones!$AB$157="FT",Milestones!$AA$157=FT_Y5,EDATE($D87,Milestones!$AA$157)&lt;PolicyEff),1,Milestones!$AC$157)&amp;";  ","")&amp;IF(AND(EDATE($D87,Milestones!$AA$158)&lt;=AsOfDate,EDATE($D87,Milestones!$AA$158)&gt;=SchemeStart,IF($X87=0,$AD87,IF(AND($Z87&lt;&gt;"",EDATE($D87,Milestones!$AA$158)&gt;=$Z87),$AC87,IF(AND($Y87&lt;&gt;"",EDATE($D87,Milestones!$AA$158)&gt;=$Y87),$AB87,$AA87)))=Milestones!$AB$158),UPPER(TEXT(EDATE($D87,Milestones!$AA$158),"dd mmm yy"))&amp;" "&amp;Milestones!$AB$158&amp;" "&amp;IF(AND(Milestones!$AB$158="FT",Milestones!$AA$158=FT_Y5,EDATE($D87,Milestones!$AA$158)&lt;PolicyEff),1,Milestones!$AC$158)&amp;";  ","")&amp;IF(AND(EDATE($D87,Milestones!$AA$159)&lt;=AsOfDate,EDATE($D87,Milestones!$AA$159)&gt;=SchemeStart,IF($X87=0,$AD87,IF(AND($Z87&lt;&gt;"",EDATE($D87,Milestones!$AA$159)&gt;=$Z87),$AC87,IF(AND($Y87&lt;&gt;"",EDATE($D87,Milestones!$AA$159)&gt;=$Y87),$AB87,$AA87)))=Milestones!$AB$159),UPPER(TEXT(EDATE($D87,Milestones!$AA$159),"dd mmm yy"))&amp;" "&amp;Milestones!$AB$159&amp;" "&amp;IF(AND(Milestones!$AB$159="FT",Milestones!$AA$159=FT_Y5,EDATE($D87,Milestones!$AA$159)&lt;PolicyEff),1,Milestones!$AC$159)&amp;";  ","")&amp;IF(AND(EDATE($D87,Milestones!$AA$160)&lt;=AsOfDate,EDATE($D87,Milestones!$AA$160)&gt;=SchemeStart,IF($X87=0,$AD87,IF(AND($Z87&lt;&gt;"",EDATE($D87,Milestones!$AA$160)&gt;=$Z87),$AC87,IF(AND($Y87&lt;&gt;"",EDATE($D87,Milestones!$AA$160)&gt;=$Y87),$AB87,$AA87)))=Milestones!$AB$160),UPPER(TEXT(EDATE($D87,Milestones!$AA$160),"dd mmm yy"))&amp;" "&amp;Milestones!$AB$160&amp;" "&amp;IF(AND(Milestones!$AB$160="FT",Milestones!$AA$160=FT_Y5,EDATE($D87,Milestones!$AA$160)&lt;PolicyEff),1,Milestones!$AC$160)&amp;";  ","")&amp;IF(AND(EDATE($D87,Milestones!$AA$161)&lt;=AsOfDate,EDATE($D87,Milestones!$AA$161)&gt;=SchemeStart,IF($X87=0,$AD87,IF(AND($Z87&lt;&gt;"",EDATE($D87,Milestones!$AA$161)&gt;=$Z87),$AC87,IF(AND($Y87&lt;&gt;"",EDATE($D87,Milestones!$AA$161)&gt;=$Y87),$AB87,$AA87)))=Milestones!$AB$161),UPPER(TEXT(EDATE($D87,Milestones!$AA$161),"dd mmm yy"))&amp;" "&amp;Milestones!$AB$161&amp;" "&amp;IF(AND(Milestones!$AB$161="FT",Milestones!$AA$161=FT_Y5,EDATE($D87,Milestones!$AA$161)&lt;PolicyEff),1,Milestones!$AC$161)&amp;";  ","")&amp;IF(AND(EDATE($D87,Milestones!$AA$162)&lt;=AsOfDate,EDATE($D87,Milestones!$AA$162)&gt;=SchemeStart,IF($X87=0,$AD87,IF(AND($Z87&lt;&gt;"",EDATE($D87,Milestones!$AA$162)&gt;=$Z87),$AC87,IF(AND($Y87&lt;&gt;"",EDATE($D87,Milestones!$AA$162)&gt;=$Y87),$AB87,$AA87)))=Milestones!$AB$162),UPPER(TEXT(EDATE($D87,Milestones!$AA$162),"dd mmm yy"))&amp;" "&amp;Milestones!$AB$162&amp;" "&amp;IF(AND(Milestones!$AB$162="FT",Milestones!$AA$162=FT_Y5,EDATE($D87,Milestones!$AA$162)&lt;PolicyEff),1,Milestones!$AC$162)&amp;";  ","")&amp;IF(AND(EDATE($D87,Milestones!$AA$163)&lt;=AsOfDate,EDATE($D87,Milestones!$AA$163)&gt;=SchemeStart,IF($X87=0,$AD87,IF(AND($Z87&lt;&gt;"",EDATE($D87,Milestones!$AA$163)&gt;=$Z87),$AC87,IF(AND($Y87&lt;&gt;"",EDATE($D87,Milestones!$AA$163)&gt;=$Y87),$AB87,$AA87)))=Milestones!$AB$163),UPPER(TEXT(EDATE($D87,Milestones!$AA$163),"dd mmm yy"))&amp;" "&amp;Milestones!$AB$163&amp;" "&amp;IF(AND(Milestones!$AB$163="FT",Milestones!$AA$163=FT_Y5,EDATE($D87,Milestones!$AA$163)&lt;PolicyEff),1,Milestones!$AC$163)&amp;";  ",""))</f>
        <v/>
      </c>
      <c r="U87" s="0" t="str">
        <f aca="false">IF(OR($A87="",$D87=""),"",IF(AND(EDATE($D87,Milestones!$AA$164)&lt;=AsOfDate,EDATE($D87,Milestones!$AA$164)&gt;=SchemeStart,IF($X87=0,$AD87,IF(AND($Z87&lt;&gt;"",EDATE($D87,Milestones!$AA$164)&gt;=$Z87),$AC87,IF(AND($Y87&lt;&gt;"",EDATE($D87,Milestones!$AA$164)&gt;=$Y87),$AB87,$AA87)))=Milestones!$AB$164),UPPER(TEXT(EDATE($D87,Milestones!$AA$164),"dd mmm yy"))&amp;" "&amp;Milestones!$AB$164&amp;" "&amp;IF(AND(Milestones!$AB$164="FT",Milestones!$AA$164=FT_Y5,EDATE($D87,Milestones!$AA$164)&lt;PolicyEff),1,Milestones!$AC$164)&amp;";  ","")&amp;IF(AND(EDATE($D87,Milestones!$AA$165)&lt;=AsOfDate,EDATE($D87,Milestones!$AA$165)&gt;=SchemeStart,IF($X87=0,$AD87,IF(AND($Z87&lt;&gt;"",EDATE($D87,Milestones!$AA$165)&gt;=$Z87),$AC87,IF(AND($Y87&lt;&gt;"",EDATE($D87,Milestones!$AA$165)&gt;=$Y87),$AB87,$AA87)))=Milestones!$AB$165),UPPER(TEXT(EDATE($D87,Milestones!$AA$165),"dd mmm yy"))&amp;" "&amp;Milestones!$AB$165&amp;" "&amp;IF(AND(Milestones!$AB$165="FT",Milestones!$AA$165=FT_Y5,EDATE($D87,Milestones!$AA$165)&lt;PolicyEff),1,Milestones!$AC$165)&amp;";  ","")&amp;IF(AND(EDATE($D87,Milestones!$AA$166)&lt;=AsOfDate,EDATE($D87,Milestones!$AA$166)&gt;=SchemeStart,IF($X87=0,$AD87,IF(AND($Z87&lt;&gt;"",EDATE($D87,Milestones!$AA$166)&gt;=$Z87),$AC87,IF(AND($Y87&lt;&gt;"",EDATE($D87,Milestones!$AA$166)&gt;=$Y87),$AB87,$AA87)))=Milestones!$AB$166),UPPER(TEXT(EDATE($D87,Milestones!$AA$166),"dd mmm yy"))&amp;" "&amp;Milestones!$AB$166&amp;" "&amp;IF(AND(Milestones!$AB$166="FT",Milestones!$AA$166=FT_Y5,EDATE($D87,Milestones!$AA$166)&lt;PolicyEff),1,Milestones!$AC$166)&amp;";  ","")&amp;IF(AND(EDATE($D87,Milestones!$AA$167)&lt;=AsOfDate,EDATE($D87,Milestones!$AA$167)&gt;=SchemeStart,IF($X87=0,$AD87,IF(AND($Z87&lt;&gt;"",EDATE($D87,Milestones!$AA$167)&gt;=$Z87),$AC87,IF(AND($Y87&lt;&gt;"",EDATE($D87,Milestones!$AA$167)&gt;=$Y87),$AB87,$AA87)))=Milestones!$AB$167),UPPER(TEXT(EDATE($D87,Milestones!$AA$167),"dd mmm yy"))&amp;" "&amp;Milestones!$AB$167&amp;" "&amp;IF(AND(Milestones!$AB$167="FT",Milestones!$AA$167=FT_Y5,EDATE($D87,Milestones!$AA$167)&lt;PolicyEff),1,Milestones!$AC$167)&amp;";  ","")&amp;IF(AND(EDATE($D87,Milestones!$AA$168)&lt;=AsOfDate,EDATE($D87,Milestones!$AA$168)&gt;=SchemeStart,IF($X87=0,$AD87,IF(AND($Z87&lt;&gt;"",EDATE($D87,Milestones!$AA$168)&gt;=$Z87),$AC87,IF(AND($Y87&lt;&gt;"",EDATE($D87,Milestones!$AA$168)&gt;=$Y87),$AB87,$AA87)))=Milestones!$AB$168),UPPER(TEXT(EDATE($D87,Milestones!$AA$168),"dd mmm yy"))&amp;" "&amp;Milestones!$AB$168&amp;" "&amp;IF(AND(Milestones!$AB$168="FT",Milestones!$AA$168=FT_Y5,EDATE($D87,Milestones!$AA$168)&lt;PolicyEff),1,Milestones!$AC$168)&amp;";  ","")&amp;IF(AND(EDATE($D87,Milestones!$AA$169)&lt;=AsOfDate,EDATE($D87,Milestones!$AA$169)&gt;=SchemeStart,IF($X87=0,$AD87,IF(AND($Z87&lt;&gt;"",EDATE($D87,Milestones!$AA$169)&gt;=$Z87),$AC87,IF(AND($Y87&lt;&gt;"",EDATE($D87,Milestones!$AA$169)&gt;=$Y87),$AB87,$AA87)))=Milestones!$AB$169),UPPER(TEXT(EDATE($D87,Milestones!$AA$169),"dd mmm yy"))&amp;" "&amp;Milestones!$AB$169&amp;" "&amp;IF(AND(Milestones!$AB$169="FT",Milestones!$AA$169=FT_Y5,EDATE($D87,Milestones!$AA$169)&lt;PolicyEff),1,Milestones!$AC$169)&amp;";  ","")&amp;IF(AND(EDATE($D87,Milestones!$AA$170)&lt;=AsOfDate,EDATE($D87,Milestones!$AA$170)&gt;=SchemeStart,IF($X87=0,$AD87,IF(AND($Z87&lt;&gt;"",EDATE($D87,Milestones!$AA$170)&gt;=$Z87),$AC87,IF(AND($Y87&lt;&gt;"",EDATE($D87,Milestones!$AA$170)&gt;=$Y87),$AB87,$AA87)))=Milestones!$AB$170),UPPER(TEXT(EDATE($D87,Milestones!$AA$170),"dd mmm yy"))&amp;" "&amp;Milestones!$AB$170&amp;" "&amp;IF(AND(Milestones!$AB$170="FT",Milestones!$AA$170=FT_Y5,EDATE($D87,Milestones!$AA$170)&lt;PolicyEff),1,Milestones!$AC$170)&amp;";  ","")&amp;IF(AND(EDATE($D87,Milestones!$AA$171)&lt;=AsOfDate,EDATE($D87,Milestones!$AA$171)&gt;=SchemeStart,IF($X87=0,$AD87,IF(AND($Z87&lt;&gt;"",EDATE($D87,Milestones!$AA$171)&gt;=$Z87),$AC87,IF(AND($Y87&lt;&gt;"",EDATE($D87,Milestones!$AA$171)&gt;=$Y87),$AB87,$AA87)))=Milestones!$AB$171),UPPER(TEXT(EDATE($D87,Milestones!$AA$171),"dd mmm yy"))&amp;" "&amp;Milestones!$AB$171&amp;" "&amp;IF(AND(Milestones!$AB$171="FT",Milestones!$AA$171=FT_Y5,EDATE($D87,Milestones!$AA$171)&lt;PolicyEff),1,Milestones!$AC$171)&amp;";  ","")&amp;IF(AND(EDATE($D87,Milestones!$AA$172)&lt;=AsOfDate,EDATE($D87,Milestones!$AA$172)&gt;=SchemeStart,IF($X87=0,$AD87,IF(AND($Z87&lt;&gt;"",EDATE($D87,Milestones!$AA$172)&gt;=$Z87),$AC87,IF(AND($Y87&lt;&gt;"",EDATE($D87,Milestones!$AA$172)&gt;=$Y87),$AB87,$AA87)))=Milestones!$AB$172),UPPER(TEXT(EDATE($D87,Milestones!$AA$172),"dd mmm yy"))&amp;" "&amp;Milestones!$AB$172&amp;" "&amp;IF(AND(Milestones!$AB$172="FT",Milestones!$AA$172=FT_Y5,EDATE($D87,Milestones!$AA$172)&lt;PolicyEff),1,Milestones!$AC$172)&amp;";  ","")&amp;IF(AND(EDATE($D87,Milestones!$AA$173)&lt;=AsOfDate,EDATE($D87,Milestones!$AA$173)&gt;=SchemeStart,IF($X87=0,$AD87,IF(AND($Z87&lt;&gt;"",EDATE($D87,Milestones!$AA$173)&gt;=$Z87),$AC87,IF(AND($Y87&lt;&gt;"",EDATE($D87,Milestones!$AA$173)&gt;=$Y87),$AB87,$AA87)))=Milestones!$AB$173),UPPER(TEXT(EDATE($D87,Milestones!$AA$173),"dd mmm yy"))&amp;" "&amp;Milestones!$AB$173&amp;" "&amp;IF(AND(Milestones!$AB$173="FT",Milestones!$AA$173=FT_Y5,EDATE($D87,Milestones!$AA$173)&lt;PolicyEff),1,Milestones!$AC$173)&amp;";  ","")&amp;IF(AND(EDATE($D87,Milestones!$AA$174)&lt;=AsOfDate,EDATE($D87,Milestones!$AA$174)&gt;=SchemeStart,IF($X87=0,$AD87,IF(AND($Z87&lt;&gt;"",EDATE($D87,Milestones!$AA$174)&gt;=$Z87),$AC87,IF(AND($Y87&lt;&gt;"",EDATE($D87,Milestones!$AA$174)&gt;=$Y87),$AB87,$AA87)))=Milestones!$AB$174),UPPER(TEXT(EDATE($D87,Milestones!$AA$174),"dd mmm yy"))&amp;" "&amp;Milestones!$AB$174&amp;" "&amp;IF(AND(Milestones!$AB$174="FT",Milestones!$AA$174=FT_Y5,EDATE($D87,Milestones!$AA$174)&lt;PolicyEff),1,Milestones!$AC$174)&amp;";  ","")&amp;IF(AND(EDATE($D87,Milestones!$AA$175)&lt;=AsOfDate,EDATE($D87,Milestones!$AA$175)&gt;=SchemeStart,IF($X87=0,$AD87,IF(AND($Z87&lt;&gt;"",EDATE($D87,Milestones!$AA$175)&gt;=$Z87),$AC87,IF(AND($Y87&lt;&gt;"",EDATE($D87,Milestones!$AA$175)&gt;=$Y87),$AB87,$AA87)))=Milestones!$AB$175),UPPER(TEXT(EDATE($D87,Milestones!$AA$175),"dd mmm yy"))&amp;" "&amp;Milestones!$AB$175&amp;" "&amp;IF(AND(Milestones!$AB$175="FT",Milestones!$AA$175=FT_Y5,EDATE($D87,Milestones!$AA$175)&lt;PolicyEff),1,Milestones!$AC$175)&amp;";  ",""))</f>
        <v/>
      </c>
      <c r="V87" s="0" t="str">
        <f aca="false">IF(OR($A87="",$D87=""),"",IF(AND(EDATE($D87,Milestones!$AA$176)&lt;=AsOfDate,EDATE($D87,Milestones!$AA$176)&gt;=SchemeStart,IF($X87=0,$AD87,IF(AND($Z87&lt;&gt;"",EDATE($D87,Milestones!$AA$176)&gt;=$Z87),$AC87,IF(AND($Y87&lt;&gt;"",EDATE($D87,Milestones!$AA$176)&gt;=$Y87),$AB87,$AA87)))=Milestones!$AB$176),UPPER(TEXT(EDATE($D87,Milestones!$AA$176),"dd mmm yy"))&amp;" "&amp;Milestones!$AB$176&amp;" "&amp;IF(AND(Milestones!$AB$176="FT",Milestones!$AA$176=FT_Y5,EDATE($D87,Milestones!$AA$176)&lt;PolicyEff),1,Milestones!$AC$176)&amp;";  ","")&amp;IF(AND(EDATE($D87,Milestones!$AA$177)&lt;=AsOfDate,EDATE($D87,Milestones!$AA$177)&gt;=SchemeStart,IF($X87=0,$AD87,IF(AND($Z87&lt;&gt;"",EDATE($D87,Milestones!$AA$177)&gt;=$Z87),$AC87,IF(AND($Y87&lt;&gt;"",EDATE($D87,Milestones!$AA$177)&gt;=$Y87),$AB87,$AA87)))=Milestones!$AB$177),UPPER(TEXT(EDATE($D87,Milestones!$AA$177),"dd mmm yy"))&amp;" "&amp;Milestones!$AB$177&amp;" "&amp;IF(AND(Milestones!$AB$177="FT",Milestones!$AA$177=FT_Y5,EDATE($D87,Milestones!$AA$177)&lt;PolicyEff),1,Milestones!$AC$177)&amp;";  ","")&amp;IF(AND(EDATE($D87,Milestones!$AA$178)&lt;=AsOfDate,EDATE($D87,Milestones!$AA$178)&gt;=SchemeStart,IF($X87=0,$AD87,IF(AND($Z87&lt;&gt;"",EDATE($D87,Milestones!$AA$178)&gt;=$Z87),$AC87,IF(AND($Y87&lt;&gt;"",EDATE($D87,Milestones!$AA$178)&gt;=$Y87),$AB87,$AA87)))=Milestones!$AB$178),UPPER(TEXT(EDATE($D87,Milestones!$AA$178),"dd mmm yy"))&amp;" "&amp;Milestones!$AB$178&amp;" "&amp;IF(AND(Milestones!$AB$178="FT",Milestones!$AA$178=FT_Y5,EDATE($D87,Milestones!$AA$178)&lt;PolicyEff),1,Milestones!$AC$178)&amp;";  ","")&amp;IF(AND(EDATE($D87,Milestones!$AA$179)&lt;=AsOfDate,EDATE($D87,Milestones!$AA$179)&gt;=SchemeStart,IF($X87=0,$AD87,IF(AND($Z87&lt;&gt;"",EDATE($D87,Milestones!$AA$179)&gt;=$Z87),$AC87,IF(AND($Y87&lt;&gt;"",EDATE($D87,Milestones!$AA$179)&gt;=$Y87),$AB87,$AA87)))=Milestones!$AB$179),UPPER(TEXT(EDATE($D87,Milestones!$AA$179),"dd mmm yy"))&amp;" "&amp;Milestones!$AB$179&amp;" "&amp;IF(AND(Milestones!$AB$179="FT",Milestones!$AA$179=FT_Y5,EDATE($D87,Milestones!$AA$179)&lt;PolicyEff),1,Milestones!$AC$179)&amp;";  ","")&amp;IF(AND(EDATE($D87,Milestones!$AA$180)&lt;=AsOfDate,EDATE($D87,Milestones!$AA$180)&gt;=SchemeStart,IF($X87=0,$AD87,IF(AND($Z87&lt;&gt;"",EDATE($D87,Milestones!$AA$180)&gt;=$Z87),$AC87,IF(AND($Y87&lt;&gt;"",EDATE($D87,Milestones!$AA$180)&gt;=$Y87),$AB87,$AA87)))=Milestones!$AB$180),UPPER(TEXT(EDATE($D87,Milestones!$AA$180),"dd mmm yy"))&amp;" "&amp;Milestones!$AB$180&amp;" "&amp;IF(AND(Milestones!$AB$180="FT",Milestones!$AA$180=FT_Y5,EDATE($D87,Milestones!$AA$180)&lt;PolicyEff),1,Milestones!$AC$180)&amp;";  ","")&amp;IF(AND(EDATE($D87,Milestones!$AA$181)&lt;=AsOfDate,EDATE($D87,Milestones!$AA$181)&gt;=SchemeStart,IF($X87=0,$AD87,IF(AND($Z87&lt;&gt;"",EDATE($D87,Milestones!$AA$181)&gt;=$Z87),$AC87,IF(AND($Y87&lt;&gt;"",EDATE($D87,Milestones!$AA$181)&gt;=$Y87),$AB87,$AA87)))=Milestones!$AB$181),UPPER(TEXT(EDATE($D87,Milestones!$AA$181),"dd mmm yy"))&amp;" "&amp;Milestones!$AB$181&amp;" "&amp;IF(AND(Milestones!$AB$181="FT",Milestones!$AA$181=FT_Y5,EDATE($D87,Milestones!$AA$181)&lt;PolicyEff),1,Milestones!$AC$181)&amp;";  ","")&amp;IF(AND(EDATE($D87,Milestones!$AA$182)&lt;=AsOfDate,EDATE($D87,Milestones!$AA$182)&gt;=SchemeStart,IF($X87=0,$AD87,IF(AND($Z87&lt;&gt;"",EDATE($D87,Milestones!$AA$182)&gt;=$Z87),$AC87,IF(AND($Y87&lt;&gt;"",EDATE($D87,Milestones!$AA$182)&gt;=$Y87),$AB87,$AA87)))=Milestones!$AB$182),UPPER(TEXT(EDATE($D87,Milestones!$AA$182),"dd mmm yy"))&amp;" "&amp;Milestones!$AB$182&amp;" "&amp;IF(AND(Milestones!$AB$182="FT",Milestones!$AA$182=FT_Y5,EDATE($D87,Milestones!$AA$182)&lt;PolicyEff),1,Milestones!$AC$182)&amp;";  ","")&amp;IF(AND(EDATE($D87,Milestones!$AA$183)&lt;=AsOfDate,EDATE($D87,Milestones!$AA$183)&gt;=SchemeStart,IF($X87=0,$AD87,IF(AND($Z87&lt;&gt;"",EDATE($D87,Milestones!$AA$183)&gt;=$Z87),$AC87,IF(AND($Y87&lt;&gt;"",EDATE($D87,Milestones!$AA$183)&gt;=$Y87),$AB87,$AA87)))=Milestones!$AB$183),UPPER(TEXT(EDATE($D87,Milestones!$AA$183),"dd mmm yy"))&amp;" "&amp;Milestones!$AB$183&amp;" "&amp;IF(AND(Milestones!$AB$183="FT",Milestones!$AA$183=FT_Y5,EDATE($D87,Milestones!$AA$183)&lt;PolicyEff),1,Milestones!$AC$183)&amp;";  ","")&amp;IF(AND(EDATE($D87,Milestones!$AA$184)&lt;=AsOfDate,EDATE($D87,Milestones!$AA$184)&gt;=SchemeStart,IF($X87=0,$AD87,IF(AND($Z87&lt;&gt;"",EDATE($D87,Milestones!$AA$184)&gt;=$Z87),$AC87,IF(AND($Y87&lt;&gt;"",EDATE($D87,Milestones!$AA$184)&gt;=$Y87),$AB87,$AA87)))=Milestones!$AB$184),UPPER(TEXT(EDATE($D87,Milestones!$AA$184),"dd mmm yy"))&amp;" "&amp;Milestones!$AB$184&amp;" "&amp;IF(AND(Milestones!$AB$184="FT",Milestones!$AA$184=FT_Y5,EDATE($D87,Milestones!$AA$184)&lt;PolicyEff),1,Milestones!$AC$184)&amp;";  ","")&amp;IF(AND(EDATE($D87,Milestones!$AA$185)&lt;=AsOfDate,EDATE($D87,Milestones!$AA$185)&gt;=SchemeStart,IF($X87=0,$AD87,IF(AND($Z87&lt;&gt;"",EDATE($D87,Milestones!$AA$185)&gt;=$Z87),$AC87,IF(AND($Y87&lt;&gt;"",EDATE($D87,Milestones!$AA$185)&gt;=$Y87),$AB87,$AA87)))=Milestones!$AB$185),UPPER(TEXT(EDATE($D87,Milestones!$AA$185),"dd mmm yy"))&amp;" "&amp;Milestones!$AB$185&amp;" "&amp;IF(AND(Milestones!$AB$185="FT",Milestones!$AA$185=FT_Y5,EDATE($D87,Milestones!$AA$185)&lt;PolicyEff),1,Milestones!$AC$185)&amp;";  ","")&amp;IF(AND(EDATE($D87,Milestones!$AA$186)&lt;=AsOfDate,EDATE($D87,Milestones!$AA$186)&gt;=SchemeStart,IF($X87=0,$AD87,IF(AND($Z87&lt;&gt;"",EDATE($D87,Milestones!$AA$186)&gt;=$Z87),$AC87,IF(AND($Y87&lt;&gt;"",EDATE($D87,Milestones!$AA$186)&gt;=$Y87),$AB87,$AA87)))=Milestones!$AB$186),UPPER(TEXT(EDATE($D87,Milestones!$AA$186),"dd mmm yy"))&amp;" "&amp;Milestones!$AB$186&amp;" "&amp;IF(AND(Milestones!$AB$186="FT",Milestones!$AA$186=FT_Y5,EDATE($D87,Milestones!$AA$186)&lt;PolicyEff),1,Milestones!$AC$186)&amp;";  ","")&amp;IF(AND(EDATE($D87,Milestones!$AA$187)&lt;=AsOfDate,EDATE($D87,Milestones!$AA$187)&gt;=SchemeStart,IF($X87=0,$AD87,IF(AND($Z87&lt;&gt;"",EDATE($D87,Milestones!$AA$187)&gt;=$Z87),$AC87,IF(AND($Y87&lt;&gt;"",EDATE($D87,Milestones!$AA$187)&gt;=$Y87),$AB87,$AA87)))=Milestones!$AB$187),UPPER(TEXT(EDATE($D87,Milestones!$AA$187),"dd mmm yy"))&amp;" "&amp;Milestones!$AB$187&amp;" "&amp;IF(AND(Milestones!$AB$187="FT",Milestones!$AA$187=FT_Y5,EDATE($D87,Milestones!$AA$187)&lt;PolicyEff),1,Milestones!$AC$187)&amp;";  ",""))</f>
        <v/>
      </c>
      <c r="W87" s="0" t="str">
        <f aca="false">IF(OR($A87="",$D87=""),"",IF(AND(EDATE($D87,Milestones!$AA$188)&lt;=AsOfDate,EDATE($D87,Milestones!$AA$188)&gt;=SchemeStart,IF($X87=0,$AD87,IF(AND($Z87&lt;&gt;"",EDATE($D87,Milestones!$AA$188)&gt;=$Z87),$AC87,IF(AND($Y87&lt;&gt;"",EDATE($D87,Milestones!$AA$188)&gt;=$Y87),$AB87,$AA87)))=Milestones!$AB$188),UPPER(TEXT(EDATE($D87,Milestones!$AA$188),"dd mmm yy"))&amp;" "&amp;Milestones!$AB$188&amp;" "&amp;IF(AND(Milestones!$AB$188="FT",Milestones!$AA$188=FT_Y5,EDATE($D87,Milestones!$AA$188)&lt;PolicyEff),1,Milestones!$AC$188)&amp;";  ","")&amp;IF(AND(EDATE($D87,Milestones!$AA$189)&lt;=AsOfDate,EDATE($D87,Milestones!$AA$189)&gt;=SchemeStart,IF($X87=0,$AD87,IF(AND($Z87&lt;&gt;"",EDATE($D87,Milestones!$AA$189)&gt;=$Z87),$AC87,IF(AND($Y87&lt;&gt;"",EDATE($D87,Milestones!$AA$189)&gt;=$Y87),$AB87,$AA87)))=Milestones!$AB$189),UPPER(TEXT(EDATE($D87,Milestones!$AA$189),"dd mmm yy"))&amp;" "&amp;Milestones!$AB$189&amp;" "&amp;IF(AND(Milestones!$AB$189="FT",Milestones!$AA$189=FT_Y5,EDATE($D87,Milestones!$AA$189)&lt;PolicyEff),1,Milestones!$AC$189)&amp;";  ","")&amp;IF(AND(EDATE($D87,Milestones!$AA$190)&lt;=AsOfDate,EDATE($D87,Milestones!$AA$190)&gt;=SchemeStart,IF($X87=0,$AD87,IF(AND($Z87&lt;&gt;"",EDATE($D87,Milestones!$AA$190)&gt;=$Z87),$AC87,IF(AND($Y87&lt;&gt;"",EDATE($D87,Milestones!$AA$190)&gt;=$Y87),$AB87,$AA87)))=Milestones!$AB$190),UPPER(TEXT(EDATE($D87,Milestones!$AA$190),"dd mmm yy"))&amp;" "&amp;Milestones!$AB$190&amp;" "&amp;IF(AND(Milestones!$AB$190="FT",Milestones!$AA$190=FT_Y5,EDATE($D87,Milestones!$AA$190)&lt;PolicyEff),1,Milestones!$AC$190)&amp;";  ","")&amp;IF(AND(EDATE($D87,Milestones!$AA$191)&lt;=AsOfDate,EDATE($D87,Milestones!$AA$191)&gt;=SchemeStart,IF($X87=0,$AD87,IF(AND($Z87&lt;&gt;"",EDATE($D87,Milestones!$AA$191)&gt;=$Z87),$AC87,IF(AND($Y87&lt;&gt;"",EDATE($D87,Milestones!$AA$191)&gt;=$Y87),$AB87,$AA87)))=Milestones!$AB$191),UPPER(TEXT(EDATE($D87,Milestones!$AA$191),"dd mmm yy"))&amp;" "&amp;Milestones!$AB$191&amp;" "&amp;IF(AND(Milestones!$AB$191="FT",Milestones!$AA$191=FT_Y5,EDATE($D87,Milestones!$AA$191)&lt;PolicyEff),1,Milestones!$AC$191)&amp;";  ","")&amp;IF(AND(EDATE($D87,Milestones!$AA$192)&lt;=AsOfDate,EDATE($D87,Milestones!$AA$192)&gt;=SchemeStart,IF($X87=0,$AD87,IF(AND($Z87&lt;&gt;"",EDATE($D87,Milestones!$AA$192)&gt;=$Z87),$AC87,IF(AND($Y87&lt;&gt;"",EDATE($D87,Milestones!$AA$192)&gt;=$Y87),$AB87,$AA87)))=Milestones!$AB$192),UPPER(TEXT(EDATE($D87,Milestones!$AA$192),"dd mmm yy"))&amp;" "&amp;Milestones!$AB$192&amp;" "&amp;IF(AND(Milestones!$AB$192="FT",Milestones!$AA$192=FT_Y5,EDATE($D87,Milestones!$AA$192)&lt;PolicyEff),1,Milestones!$AC$192)&amp;";  ","")&amp;IF(AND(EDATE($D87,Milestones!$AA$193)&lt;=AsOfDate,EDATE($D87,Milestones!$AA$193)&gt;=SchemeStart,IF($X87=0,$AD87,IF(AND($Z87&lt;&gt;"",EDATE($D87,Milestones!$AA$193)&gt;=$Z87),$AC87,IF(AND($Y87&lt;&gt;"",EDATE($D87,Milestones!$AA$193)&gt;=$Y87),$AB87,$AA87)))=Milestones!$AB$193),UPPER(TEXT(EDATE($D87,Milestones!$AA$193),"dd mmm yy"))&amp;" "&amp;Milestones!$AB$193&amp;" "&amp;IF(AND(Milestones!$AB$193="FT",Milestones!$AA$193=FT_Y5,EDATE($D87,Milestones!$AA$193)&lt;PolicyEff),1,Milestones!$AC$193)&amp;";  ","")&amp;IF(AND(EDATE($D87,Milestones!$AA$194)&lt;=AsOfDate,EDATE($D87,Milestones!$AA$194)&gt;=SchemeStart,IF($X87=0,$AD87,IF(AND($Z87&lt;&gt;"",EDATE($D87,Milestones!$AA$194)&gt;=$Z87),$AC87,IF(AND($Y87&lt;&gt;"",EDATE($D87,Milestones!$AA$194)&gt;=$Y87),$AB87,$AA87)))=Milestones!$AB$194),UPPER(TEXT(EDATE($D87,Milestones!$AA$194),"dd mmm yy"))&amp;" "&amp;Milestones!$AB$194&amp;" "&amp;IF(AND(Milestones!$AB$194="FT",Milestones!$AA$194=FT_Y5,EDATE($D87,Milestones!$AA$194)&lt;PolicyEff),1,Milestones!$AC$194)&amp;";  ","")&amp;IF(AND(EDATE($D87,Milestones!$AA$195)&lt;=AsOfDate,EDATE($D87,Milestones!$AA$195)&gt;=SchemeStart,IF($X87=0,$AD87,IF(AND($Z87&lt;&gt;"",EDATE($D87,Milestones!$AA$195)&gt;=$Z87),$AC87,IF(AND($Y87&lt;&gt;"",EDATE($D87,Milestones!$AA$195)&gt;=$Y87),$AB87,$AA87)))=Milestones!$AB$195),UPPER(TEXT(EDATE($D87,Milestones!$AA$195),"dd mmm yy"))&amp;" "&amp;Milestones!$AB$195&amp;" "&amp;IF(AND(Milestones!$AB$195="FT",Milestones!$AA$195=FT_Y5,EDATE($D87,Milestones!$AA$195)&lt;PolicyEff),1,Milestones!$AC$195)&amp;";  ","")&amp;IF(AND(EDATE($D87,Milestones!$AA$196)&lt;=AsOfDate,EDATE($D87,Milestones!$AA$196)&gt;=SchemeStart,IF($X87=0,$AD87,IF(AND($Z87&lt;&gt;"",EDATE($D87,Milestones!$AA$196)&gt;=$Z87),$AC87,IF(AND($Y87&lt;&gt;"",EDATE($D87,Milestones!$AA$196)&gt;=$Y87),$AB87,$AA87)))=Milestones!$AB$196),UPPER(TEXT(EDATE($D87,Milestones!$AA$196),"dd mmm yy"))&amp;" "&amp;Milestones!$AB$196&amp;" "&amp;IF(AND(Milestones!$AB$196="FT",Milestones!$AA$196=FT_Y5,EDATE($D87,Milestones!$AA$196)&lt;PolicyEff),1,Milestones!$AC$196)&amp;";  ","")&amp;IF(AND(EDATE($D87,Milestones!$AA$197)&lt;=AsOfDate,EDATE($D87,Milestones!$AA$197)&gt;=SchemeStart,IF($X87=0,$AD87,IF(AND($Z87&lt;&gt;"",EDATE($D87,Milestones!$AA$197)&gt;=$Z87),$AC87,IF(AND($Y87&lt;&gt;"",EDATE($D87,Milestones!$AA$197)&gt;=$Y87),$AB87,$AA87)))=Milestones!$AB$197),UPPER(TEXT(EDATE($D87,Milestones!$AA$197),"dd mmm yy"))&amp;" "&amp;Milestones!$AB$197&amp;" "&amp;IF(AND(Milestones!$AB$197="FT",Milestones!$AA$197=FT_Y5,EDATE($D87,Milestones!$AA$197)&lt;PolicyEff),1,Milestones!$AC$197)&amp;";  ","")&amp;IF(AND(EDATE($D87,Milestones!$AA$198)&lt;=AsOfDate,EDATE($D87,Milestones!$AA$198)&gt;=SchemeStart,IF($X87=0,$AD87,IF(AND($Z87&lt;&gt;"",EDATE($D87,Milestones!$AA$198)&gt;=$Z87),$AC87,IF(AND($Y87&lt;&gt;"",EDATE($D87,Milestones!$AA$198)&gt;=$Y87),$AB87,$AA87)))=Milestones!$AB$198),UPPER(TEXT(EDATE($D87,Milestones!$AA$198),"dd mmm yy"))&amp;" "&amp;Milestones!$AB$198&amp;" "&amp;IF(AND(Milestones!$AB$198="FT",Milestones!$AA$198=FT_Y5,EDATE($D87,Milestones!$AA$198)&lt;PolicyEff),1,Milestones!$AC$198)&amp;";  ","")&amp;IF(AND(EDATE($D87,Milestones!$AA$199)&lt;=AsOfDate,EDATE($D87,Milestones!$AA$199)&gt;=SchemeStart,IF($X87=0,$AD87,IF(AND($Z87&lt;&gt;"",EDATE($D87,Milestones!$AA$199)&gt;=$Z87),$AC87,IF(AND($Y87&lt;&gt;"",EDATE($D87,Milestones!$AA$199)&gt;=$Y87),$AB87,$AA87)))=Milestones!$AB$199),UPPER(TEXT(EDATE($D87,Milestones!$AA$199),"dd mmm yy"))&amp;" "&amp;Milestones!$AB$199&amp;" "&amp;IF(AND(Milestones!$AB$199="FT",Milestones!$AA$199=FT_Y5,EDATE($D87,Milestones!$AA$199)&lt;PolicyEff),1,Milestones!$AC$199)&amp;";  ",""))</f>
        <v/>
      </c>
      <c r="X87" s="0" t="str">
        <f aca="false">IF(Staff!$A87="","",Staff!$AM87)</f>
        <v/>
      </c>
      <c r="Y87" s="0" t="str">
        <f aca="false">IF(Staff!$A87="","",Staff!$AO87)</f>
        <v/>
      </c>
      <c r="Z87" s="0" t="str">
        <f aca="false">IF(Staff!$A87="","",Staff!$AP87)</f>
        <v/>
      </c>
      <c r="AA87" s="0" t="str">
        <f aca="false">IF(Staff!$A87="","",Staff!$AT87)</f>
        <v/>
      </c>
      <c r="AB87" s="0" t="str">
        <f aca="false">IF(Staff!$A87="","",Staff!$AU87)</f>
        <v/>
      </c>
      <c r="AC87" s="0" t="str">
        <f aca="false">IF(Staff!$A87="","",Staff!$AV87)</f>
        <v/>
      </c>
      <c r="AD87" s="0" t="str">
        <f aca="false">IF(Staff!$A87="","",Staff!$AW87)</f>
        <v/>
      </c>
    </row>
    <row r="88" customFormat="false" ht="15" hidden="false" customHeight="false" outlineLevel="0" collapsed="false">
      <c r="A88" s="16" t="str">
        <f aca="false">IF(Staff!$A88="","",Staff!$A88)</f>
        <v/>
      </c>
      <c r="B88" s="16" t="str">
        <f aca="false">IF(Staff!$A88="","",Staff!$B88)</f>
        <v/>
      </c>
      <c r="C88" s="16" t="str">
        <f aca="false">IF(Staff!$A88="","",Staff!$C88)</f>
        <v/>
      </c>
      <c r="D88" s="14" t="str">
        <f aca="false">IF(Staff!$A88="","",Staff!$AL88)</f>
        <v/>
      </c>
      <c r="E88" s="16" t="str">
        <f aca="false">IF(Staff!$A88="","",Staff!$O88)</f>
        <v/>
      </c>
      <c r="F88" s="16" t="str">
        <f aca="false">IF(E88="","",E88*HoursPerDay)</f>
        <v/>
      </c>
      <c r="G88" s="16" t="str">
        <f aca="false">IF(Staff!$A88="","",Staff!$AE88)</f>
        <v/>
      </c>
      <c r="H88" s="28" t="str">
        <f aca="false">IF($A88="","",I88&amp;J88&amp;K88&amp;L88&amp;M88&amp;N88&amp;O88&amp;P88&amp;Q88&amp;R88&amp;S88&amp;T88&amp;U88&amp;V88&amp;W88)</f>
        <v/>
      </c>
      <c r="I88" s="0" t="str">
        <f aca="false">IF(OR($A88="",$D88=""),"",IF(AND(EDATE($D88,Milestones!$AA$20)&lt;=AsOfDate,EDATE($D88,Milestones!$AA$20)&gt;=SchemeStart,IF($X88=0,$AD88,IF(AND($Z88&lt;&gt;"",EDATE($D88,Milestones!$AA$20)&gt;=$Z88),$AC88,IF(AND($Y88&lt;&gt;"",EDATE($D88,Milestones!$AA$20)&gt;=$Y88),$AB88,$AA88)))=Milestones!$AB$20),UPPER(TEXT(EDATE($D88,Milestones!$AA$20),"dd mmm yy"))&amp;" "&amp;Milestones!$AB$20&amp;" "&amp;IF(AND(Milestones!$AB$20="FT",Milestones!$AA$20=FT_Y5,EDATE($D88,Milestones!$AA$20)&lt;PolicyEff),1,Milestones!$AC$20)&amp;";  ","")&amp;IF(AND(EDATE($D88,Milestones!$AA$21)&lt;=AsOfDate,EDATE($D88,Milestones!$AA$21)&gt;=SchemeStart,IF($X88=0,$AD88,IF(AND($Z88&lt;&gt;"",EDATE($D88,Milestones!$AA$21)&gt;=$Z88),$AC88,IF(AND($Y88&lt;&gt;"",EDATE($D88,Milestones!$AA$21)&gt;=$Y88),$AB88,$AA88)))=Milestones!$AB$21),UPPER(TEXT(EDATE($D88,Milestones!$AA$21),"dd mmm yy"))&amp;" "&amp;Milestones!$AB$21&amp;" "&amp;IF(AND(Milestones!$AB$21="FT",Milestones!$AA$21=FT_Y5,EDATE($D88,Milestones!$AA$21)&lt;PolicyEff),1,Milestones!$AC$21)&amp;";  ","")&amp;IF(AND(EDATE($D88,Milestones!$AA$22)&lt;=AsOfDate,EDATE($D88,Milestones!$AA$22)&gt;=SchemeStart,IF($X88=0,$AD88,IF(AND($Z88&lt;&gt;"",EDATE($D88,Milestones!$AA$22)&gt;=$Z88),$AC88,IF(AND($Y88&lt;&gt;"",EDATE($D88,Milestones!$AA$22)&gt;=$Y88),$AB88,$AA88)))=Milestones!$AB$22),UPPER(TEXT(EDATE($D88,Milestones!$AA$22),"dd mmm yy"))&amp;" "&amp;Milestones!$AB$22&amp;" "&amp;IF(AND(Milestones!$AB$22="FT",Milestones!$AA$22=FT_Y5,EDATE($D88,Milestones!$AA$22)&lt;PolicyEff),1,Milestones!$AC$22)&amp;";  ","")&amp;IF(AND(EDATE($D88,Milestones!$AA$23)&lt;=AsOfDate,EDATE($D88,Milestones!$AA$23)&gt;=SchemeStart,IF($X88=0,$AD88,IF(AND($Z88&lt;&gt;"",EDATE($D88,Milestones!$AA$23)&gt;=$Z88),$AC88,IF(AND($Y88&lt;&gt;"",EDATE($D88,Milestones!$AA$23)&gt;=$Y88),$AB88,$AA88)))=Milestones!$AB$23),UPPER(TEXT(EDATE($D88,Milestones!$AA$23),"dd mmm yy"))&amp;" "&amp;Milestones!$AB$23&amp;" "&amp;IF(AND(Milestones!$AB$23="FT",Milestones!$AA$23=FT_Y5,EDATE($D88,Milestones!$AA$23)&lt;PolicyEff),1,Milestones!$AC$23)&amp;";  ","")&amp;IF(AND(EDATE($D88,Milestones!$AA$24)&lt;=AsOfDate,EDATE($D88,Milestones!$AA$24)&gt;=SchemeStart,IF($X88=0,$AD88,IF(AND($Z88&lt;&gt;"",EDATE($D88,Milestones!$AA$24)&gt;=$Z88),$AC88,IF(AND($Y88&lt;&gt;"",EDATE($D88,Milestones!$AA$24)&gt;=$Y88),$AB88,$AA88)))=Milestones!$AB$24),UPPER(TEXT(EDATE($D88,Milestones!$AA$24),"dd mmm yy"))&amp;" "&amp;Milestones!$AB$24&amp;" "&amp;IF(AND(Milestones!$AB$24="FT",Milestones!$AA$24=FT_Y5,EDATE($D88,Milestones!$AA$24)&lt;PolicyEff),1,Milestones!$AC$24)&amp;";  ","")&amp;IF(AND(EDATE($D88,Milestones!$AA$25)&lt;=AsOfDate,EDATE($D88,Milestones!$AA$25)&gt;=SchemeStart,IF($X88=0,$AD88,IF(AND($Z88&lt;&gt;"",EDATE($D88,Milestones!$AA$25)&gt;=$Z88),$AC88,IF(AND($Y88&lt;&gt;"",EDATE($D88,Milestones!$AA$25)&gt;=$Y88),$AB88,$AA88)))=Milestones!$AB$25),UPPER(TEXT(EDATE($D88,Milestones!$AA$25),"dd mmm yy"))&amp;" "&amp;Milestones!$AB$25&amp;" "&amp;IF(AND(Milestones!$AB$25="FT",Milestones!$AA$25=FT_Y5,EDATE($D88,Milestones!$AA$25)&lt;PolicyEff),1,Milestones!$AC$25)&amp;";  ","")&amp;IF(AND(EDATE($D88,Milestones!$AA$26)&lt;=AsOfDate,EDATE($D88,Milestones!$AA$26)&gt;=SchemeStart,IF($X88=0,$AD88,IF(AND($Z88&lt;&gt;"",EDATE($D88,Milestones!$AA$26)&gt;=$Z88),$AC88,IF(AND($Y88&lt;&gt;"",EDATE($D88,Milestones!$AA$26)&gt;=$Y88),$AB88,$AA88)))=Milestones!$AB$26),UPPER(TEXT(EDATE($D88,Milestones!$AA$26),"dd mmm yy"))&amp;" "&amp;Milestones!$AB$26&amp;" "&amp;IF(AND(Milestones!$AB$26="FT",Milestones!$AA$26=FT_Y5,EDATE($D88,Milestones!$AA$26)&lt;PolicyEff),1,Milestones!$AC$26)&amp;";  ","")&amp;IF(AND(EDATE($D88,Milestones!$AA$27)&lt;=AsOfDate,EDATE($D88,Milestones!$AA$27)&gt;=SchemeStart,IF($X88=0,$AD88,IF(AND($Z88&lt;&gt;"",EDATE($D88,Milestones!$AA$27)&gt;=$Z88),$AC88,IF(AND($Y88&lt;&gt;"",EDATE($D88,Milestones!$AA$27)&gt;=$Y88),$AB88,$AA88)))=Milestones!$AB$27),UPPER(TEXT(EDATE($D88,Milestones!$AA$27),"dd mmm yy"))&amp;" "&amp;Milestones!$AB$27&amp;" "&amp;IF(AND(Milestones!$AB$27="FT",Milestones!$AA$27=FT_Y5,EDATE($D88,Milestones!$AA$27)&lt;PolicyEff),1,Milestones!$AC$27)&amp;";  ","")&amp;IF(AND(EDATE($D88,Milestones!$AA$28)&lt;=AsOfDate,EDATE($D88,Milestones!$AA$28)&gt;=SchemeStart,IF($X88=0,$AD88,IF(AND($Z88&lt;&gt;"",EDATE($D88,Milestones!$AA$28)&gt;=$Z88),$AC88,IF(AND($Y88&lt;&gt;"",EDATE($D88,Milestones!$AA$28)&gt;=$Y88),$AB88,$AA88)))=Milestones!$AB$28),UPPER(TEXT(EDATE($D88,Milestones!$AA$28),"dd mmm yy"))&amp;" "&amp;Milestones!$AB$28&amp;" "&amp;IF(AND(Milestones!$AB$28="FT",Milestones!$AA$28=FT_Y5,EDATE($D88,Milestones!$AA$28)&lt;PolicyEff),1,Milestones!$AC$28)&amp;";  ","")&amp;IF(AND(EDATE($D88,Milestones!$AA$29)&lt;=AsOfDate,EDATE($D88,Milestones!$AA$29)&gt;=SchemeStart,IF($X88=0,$AD88,IF(AND($Z88&lt;&gt;"",EDATE($D88,Milestones!$AA$29)&gt;=$Z88),$AC88,IF(AND($Y88&lt;&gt;"",EDATE($D88,Milestones!$AA$29)&gt;=$Y88),$AB88,$AA88)))=Milestones!$AB$29),UPPER(TEXT(EDATE($D88,Milestones!$AA$29),"dd mmm yy"))&amp;" "&amp;Milestones!$AB$29&amp;" "&amp;IF(AND(Milestones!$AB$29="FT",Milestones!$AA$29=FT_Y5,EDATE($D88,Milestones!$AA$29)&lt;PolicyEff),1,Milestones!$AC$29)&amp;";  ","")&amp;IF(AND(EDATE($D88,Milestones!$AA$30)&lt;=AsOfDate,EDATE($D88,Milestones!$AA$30)&gt;=SchemeStart,IF($X88=0,$AD88,IF(AND($Z88&lt;&gt;"",EDATE($D88,Milestones!$AA$30)&gt;=$Z88),$AC88,IF(AND($Y88&lt;&gt;"",EDATE($D88,Milestones!$AA$30)&gt;=$Y88),$AB88,$AA88)))=Milestones!$AB$30),UPPER(TEXT(EDATE($D88,Milestones!$AA$30),"dd mmm yy"))&amp;" "&amp;Milestones!$AB$30&amp;" "&amp;IF(AND(Milestones!$AB$30="FT",Milestones!$AA$30=FT_Y5,EDATE($D88,Milestones!$AA$30)&lt;PolicyEff),1,Milestones!$AC$30)&amp;";  ","")&amp;IF(AND(EDATE($D88,Milestones!$AA$31)&lt;=AsOfDate,EDATE($D88,Milestones!$AA$31)&gt;=SchemeStart,IF($X88=0,$AD88,IF(AND($Z88&lt;&gt;"",EDATE($D88,Milestones!$AA$31)&gt;=$Z88),$AC88,IF(AND($Y88&lt;&gt;"",EDATE($D88,Milestones!$AA$31)&gt;=$Y88),$AB88,$AA88)))=Milestones!$AB$31),UPPER(TEXT(EDATE($D88,Milestones!$AA$31),"dd mmm yy"))&amp;" "&amp;Milestones!$AB$31&amp;" "&amp;IF(AND(Milestones!$AB$31="FT",Milestones!$AA$31=FT_Y5,EDATE($D88,Milestones!$AA$31)&lt;PolicyEff),1,Milestones!$AC$31)&amp;";  ",""))</f>
        <v/>
      </c>
      <c r="J88" s="0" t="str">
        <f aca="false">IF(OR($A88="",$D88=""),"",IF(AND(EDATE($D88,Milestones!$AA$32)&lt;=AsOfDate,EDATE($D88,Milestones!$AA$32)&gt;=SchemeStart,IF($X88=0,$AD88,IF(AND($Z88&lt;&gt;"",EDATE($D88,Milestones!$AA$32)&gt;=$Z88),$AC88,IF(AND($Y88&lt;&gt;"",EDATE($D88,Milestones!$AA$32)&gt;=$Y88),$AB88,$AA88)))=Milestones!$AB$32),UPPER(TEXT(EDATE($D88,Milestones!$AA$32),"dd mmm yy"))&amp;" "&amp;Milestones!$AB$32&amp;" "&amp;IF(AND(Milestones!$AB$32="FT",Milestones!$AA$32=FT_Y5,EDATE($D88,Milestones!$AA$32)&lt;PolicyEff),1,Milestones!$AC$32)&amp;";  ","")&amp;IF(AND(EDATE($D88,Milestones!$AA$33)&lt;=AsOfDate,EDATE($D88,Milestones!$AA$33)&gt;=SchemeStart,IF($X88=0,$AD88,IF(AND($Z88&lt;&gt;"",EDATE($D88,Milestones!$AA$33)&gt;=$Z88),$AC88,IF(AND($Y88&lt;&gt;"",EDATE($D88,Milestones!$AA$33)&gt;=$Y88),$AB88,$AA88)))=Milestones!$AB$33),UPPER(TEXT(EDATE($D88,Milestones!$AA$33),"dd mmm yy"))&amp;" "&amp;Milestones!$AB$33&amp;" "&amp;IF(AND(Milestones!$AB$33="FT",Milestones!$AA$33=FT_Y5,EDATE($D88,Milestones!$AA$33)&lt;PolicyEff),1,Milestones!$AC$33)&amp;";  ","")&amp;IF(AND(EDATE($D88,Milestones!$AA$34)&lt;=AsOfDate,EDATE($D88,Milestones!$AA$34)&gt;=SchemeStart,IF($X88=0,$AD88,IF(AND($Z88&lt;&gt;"",EDATE($D88,Milestones!$AA$34)&gt;=$Z88),$AC88,IF(AND($Y88&lt;&gt;"",EDATE($D88,Milestones!$AA$34)&gt;=$Y88),$AB88,$AA88)))=Milestones!$AB$34),UPPER(TEXT(EDATE($D88,Milestones!$AA$34),"dd mmm yy"))&amp;" "&amp;Milestones!$AB$34&amp;" "&amp;IF(AND(Milestones!$AB$34="FT",Milestones!$AA$34=FT_Y5,EDATE($D88,Milestones!$AA$34)&lt;PolicyEff),1,Milestones!$AC$34)&amp;";  ","")&amp;IF(AND(EDATE($D88,Milestones!$AA$35)&lt;=AsOfDate,EDATE($D88,Milestones!$AA$35)&gt;=SchemeStart,IF($X88=0,$AD88,IF(AND($Z88&lt;&gt;"",EDATE($D88,Milestones!$AA$35)&gt;=$Z88),$AC88,IF(AND($Y88&lt;&gt;"",EDATE($D88,Milestones!$AA$35)&gt;=$Y88),$AB88,$AA88)))=Milestones!$AB$35),UPPER(TEXT(EDATE($D88,Milestones!$AA$35),"dd mmm yy"))&amp;" "&amp;Milestones!$AB$35&amp;" "&amp;IF(AND(Milestones!$AB$35="FT",Milestones!$AA$35=FT_Y5,EDATE($D88,Milestones!$AA$35)&lt;PolicyEff),1,Milestones!$AC$35)&amp;";  ","")&amp;IF(AND(EDATE($D88,Milestones!$AA$36)&lt;=AsOfDate,EDATE($D88,Milestones!$AA$36)&gt;=SchemeStart,IF($X88=0,$AD88,IF(AND($Z88&lt;&gt;"",EDATE($D88,Milestones!$AA$36)&gt;=$Z88),$AC88,IF(AND($Y88&lt;&gt;"",EDATE($D88,Milestones!$AA$36)&gt;=$Y88),$AB88,$AA88)))=Milestones!$AB$36),UPPER(TEXT(EDATE($D88,Milestones!$AA$36),"dd mmm yy"))&amp;" "&amp;Milestones!$AB$36&amp;" "&amp;IF(AND(Milestones!$AB$36="FT",Milestones!$AA$36=FT_Y5,EDATE($D88,Milestones!$AA$36)&lt;PolicyEff),1,Milestones!$AC$36)&amp;";  ","")&amp;IF(AND(EDATE($D88,Milestones!$AA$37)&lt;=AsOfDate,EDATE($D88,Milestones!$AA$37)&gt;=SchemeStart,IF($X88=0,$AD88,IF(AND($Z88&lt;&gt;"",EDATE($D88,Milestones!$AA$37)&gt;=$Z88),$AC88,IF(AND($Y88&lt;&gt;"",EDATE($D88,Milestones!$AA$37)&gt;=$Y88),$AB88,$AA88)))=Milestones!$AB$37),UPPER(TEXT(EDATE($D88,Milestones!$AA$37),"dd mmm yy"))&amp;" "&amp;Milestones!$AB$37&amp;" "&amp;IF(AND(Milestones!$AB$37="FT",Milestones!$AA$37=FT_Y5,EDATE($D88,Milestones!$AA$37)&lt;PolicyEff),1,Milestones!$AC$37)&amp;";  ","")&amp;IF(AND(EDATE($D88,Milestones!$AA$38)&lt;=AsOfDate,EDATE($D88,Milestones!$AA$38)&gt;=SchemeStart,IF($X88=0,$AD88,IF(AND($Z88&lt;&gt;"",EDATE($D88,Milestones!$AA$38)&gt;=$Z88),$AC88,IF(AND($Y88&lt;&gt;"",EDATE($D88,Milestones!$AA$38)&gt;=$Y88),$AB88,$AA88)))=Milestones!$AB$38),UPPER(TEXT(EDATE($D88,Milestones!$AA$38),"dd mmm yy"))&amp;" "&amp;Milestones!$AB$38&amp;" "&amp;IF(AND(Milestones!$AB$38="FT",Milestones!$AA$38=FT_Y5,EDATE($D88,Milestones!$AA$38)&lt;PolicyEff),1,Milestones!$AC$38)&amp;";  ","")&amp;IF(AND(EDATE($D88,Milestones!$AA$39)&lt;=AsOfDate,EDATE($D88,Milestones!$AA$39)&gt;=SchemeStart,IF($X88=0,$AD88,IF(AND($Z88&lt;&gt;"",EDATE($D88,Milestones!$AA$39)&gt;=$Z88),$AC88,IF(AND($Y88&lt;&gt;"",EDATE($D88,Milestones!$AA$39)&gt;=$Y88),$AB88,$AA88)))=Milestones!$AB$39),UPPER(TEXT(EDATE($D88,Milestones!$AA$39),"dd mmm yy"))&amp;" "&amp;Milestones!$AB$39&amp;" "&amp;IF(AND(Milestones!$AB$39="FT",Milestones!$AA$39=FT_Y5,EDATE($D88,Milestones!$AA$39)&lt;PolicyEff),1,Milestones!$AC$39)&amp;";  ","")&amp;IF(AND(EDATE($D88,Milestones!$AA$40)&lt;=AsOfDate,EDATE($D88,Milestones!$AA$40)&gt;=SchemeStart,IF($X88=0,$AD88,IF(AND($Z88&lt;&gt;"",EDATE($D88,Milestones!$AA$40)&gt;=$Z88),$AC88,IF(AND($Y88&lt;&gt;"",EDATE($D88,Milestones!$AA$40)&gt;=$Y88),$AB88,$AA88)))=Milestones!$AB$40),UPPER(TEXT(EDATE($D88,Milestones!$AA$40),"dd mmm yy"))&amp;" "&amp;Milestones!$AB$40&amp;" "&amp;IF(AND(Milestones!$AB$40="FT",Milestones!$AA$40=FT_Y5,EDATE($D88,Milestones!$AA$40)&lt;PolicyEff),1,Milestones!$AC$40)&amp;";  ","")&amp;IF(AND(EDATE($D88,Milestones!$AA$41)&lt;=AsOfDate,EDATE($D88,Milestones!$AA$41)&gt;=SchemeStart,IF($X88=0,$AD88,IF(AND($Z88&lt;&gt;"",EDATE($D88,Milestones!$AA$41)&gt;=$Z88),$AC88,IF(AND($Y88&lt;&gt;"",EDATE($D88,Milestones!$AA$41)&gt;=$Y88),$AB88,$AA88)))=Milestones!$AB$41),UPPER(TEXT(EDATE($D88,Milestones!$AA$41),"dd mmm yy"))&amp;" "&amp;Milestones!$AB$41&amp;" "&amp;IF(AND(Milestones!$AB$41="FT",Milestones!$AA$41=FT_Y5,EDATE($D88,Milestones!$AA$41)&lt;PolicyEff),1,Milestones!$AC$41)&amp;";  ","")&amp;IF(AND(EDATE($D88,Milestones!$AA$42)&lt;=AsOfDate,EDATE($D88,Milestones!$AA$42)&gt;=SchemeStart,IF($X88=0,$AD88,IF(AND($Z88&lt;&gt;"",EDATE($D88,Milestones!$AA$42)&gt;=$Z88),$AC88,IF(AND($Y88&lt;&gt;"",EDATE($D88,Milestones!$AA$42)&gt;=$Y88),$AB88,$AA88)))=Milestones!$AB$42),UPPER(TEXT(EDATE($D88,Milestones!$AA$42),"dd mmm yy"))&amp;" "&amp;Milestones!$AB$42&amp;" "&amp;IF(AND(Milestones!$AB$42="FT",Milestones!$AA$42=FT_Y5,EDATE($D88,Milestones!$AA$42)&lt;PolicyEff),1,Milestones!$AC$42)&amp;";  ","")&amp;IF(AND(EDATE($D88,Milestones!$AA$43)&lt;=AsOfDate,EDATE($D88,Milestones!$AA$43)&gt;=SchemeStart,IF($X88=0,$AD88,IF(AND($Z88&lt;&gt;"",EDATE($D88,Milestones!$AA$43)&gt;=$Z88),$AC88,IF(AND($Y88&lt;&gt;"",EDATE($D88,Milestones!$AA$43)&gt;=$Y88),$AB88,$AA88)))=Milestones!$AB$43),UPPER(TEXT(EDATE($D88,Milestones!$AA$43),"dd mmm yy"))&amp;" "&amp;Milestones!$AB$43&amp;" "&amp;IF(AND(Milestones!$AB$43="FT",Milestones!$AA$43=FT_Y5,EDATE($D88,Milestones!$AA$43)&lt;PolicyEff),1,Milestones!$AC$43)&amp;";  ",""))</f>
        <v/>
      </c>
      <c r="K88" s="0" t="str">
        <f aca="false">IF(OR($A88="",$D88=""),"",IF(AND(EDATE($D88,Milestones!$AA$44)&lt;=AsOfDate,EDATE($D88,Milestones!$AA$44)&gt;=SchemeStart,IF($X88=0,$AD88,IF(AND($Z88&lt;&gt;"",EDATE($D88,Milestones!$AA$44)&gt;=$Z88),$AC88,IF(AND($Y88&lt;&gt;"",EDATE($D88,Milestones!$AA$44)&gt;=$Y88),$AB88,$AA88)))=Milestones!$AB$44),UPPER(TEXT(EDATE($D88,Milestones!$AA$44),"dd mmm yy"))&amp;" "&amp;Milestones!$AB$44&amp;" "&amp;IF(AND(Milestones!$AB$44="FT",Milestones!$AA$44=FT_Y5,EDATE($D88,Milestones!$AA$44)&lt;PolicyEff),1,Milestones!$AC$44)&amp;";  ","")&amp;IF(AND(EDATE($D88,Milestones!$AA$45)&lt;=AsOfDate,EDATE($D88,Milestones!$AA$45)&gt;=SchemeStart,IF($X88=0,$AD88,IF(AND($Z88&lt;&gt;"",EDATE($D88,Milestones!$AA$45)&gt;=$Z88),$AC88,IF(AND($Y88&lt;&gt;"",EDATE($D88,Milestones!$AA$45)&gt;=$Y88),$AB88,$AA88)))=Milestones!$AB$45),UPPER(TEXT(EDATE($D88,Milestones!$AA$45),"dd mmm yy"))&amp;" "&amp;Milestones!$AB$45&amp;" "&amp;IF(AND(Milestones!$AB$45="FT",Milestones!$AA$45=FT_Y5,EDATE($D88,Milestones!$AA$45)&lt;PolicyEff),1,Milestones!$AC$45)&amp;";  ","")&amp;IF(AND(EDATE($D88,Milestones!$AA$46)&lt;=AsOfDate,EDATE($D88,Milestones!$AA$46)&gt;=SchemeStart,IF($X88=0,$AD88,IF(AND($Z88&lt;&gt;"",EDATE($D88,Milestones!$AA$46)&gt;=$Z88),$AC88,IF(AND($Y88&lt;&gt;"",EDATE($D88,Milestones!$AA$46)&gt;=$Y88),$AB88,$AA88)))=Milestones!$AB$46),UPPER(TEXT(EDATE($D88,Milestones!$AA$46),"dd mmm yy"))&amp;" "&amp;Milestones!$AB$46&amp;" "&amp;IF(AND(Milestones!$AB$46="FT",Milestones!$AA$46=FT_Y5,EDATE($D88,Milestones!$AA$46)&lt;PolicyEff),1,Milestones!$AC$46)&amp;";  ","")&amp;IF(AND(EDATE($D88,Milestones!$AA$47)&lt;=AsOfDate,EDATE($D88,Milestones!$AA$47)&gt;=SchemeStart,IF($X88=0,$AD88,IF(AND($Z88&lt;&gt;"",EDATE($D88,Milestones!$AA$47)&gt;=$Z88),$AC88,IF(AND($Y88&lt;&gt;"",EDATE($D88,Milestones!$AA$47)&gt;=$Y88),$AB88,$AA88)))=Milestones!$AB$47),UPPER(TEXT(EDATE($D88,Milestones!$AA$47),"dd mmm yy"))&amp;" "&amp;Milestones!$AB$47&amp;" "&amp;IF(AND(Milestones!$AB$47="FT",Milestones!$AA$47=FT_Y5,EDATE($D88,Milestones!$AA$47)&lt;PolicyEff),1,Milestones!$AC$47)&amp;";  ","")&amp;IF(AND(EDATE($D88,Milestones!$AA$48)&lt;=AsOfDate,EDATE($D88,Milestones!$AA$48)&gt;=SchemeStart,IF($X88=0,$AD88,IF(AND($Z88&lt;&gt;"",EDATE($D88,Milestones!$AA$48)&gt;=$Z88),$AC88,IF(AND($Y88&lt;&gt;"",EDATE($D88,Milestones!$AA$48)&gt;=$Y88),$AB88,$AA88)))=Milestones!$AB$48),UPPER(TEXT(EDATE($D88,Milestones!$AA$48),"dd mmm yy"))&amp;" "&amp;Milestones!$AB$48&amp;" "&amp;IF(AND(Milestones!$AB$48="FT",Milestones!$AA$48=FT_Y5,EDATE($D88,Milestones!$AA$48)&lt;PolicyEff),1,Milestones!$AC$48)&amp;";  ","")&amp;IF(AND(EDATE($D88,Milestones!$AA$49)&lt;=AsOfDate,EDATE($D88,Milestones!$AA$49)&gt;=SchemeStart,IF($X88=0,$AD88,IF(AND($Z88&lt;&gt;"",EDATE($D88,Milestones!$AA$49)&gt;=$Z88),$AC88,IF(AND($Y88&lt;&gt;"",EDATE($D88,Milestones!$AA$49)&gt;=$Y88),$AB88,$AA88)))=Milestones!$AB$49),UPPER(TEXT(EDATE($D88,Milestones!$AA$49),"dd mmm yy"))&amp;" "&amp;Milestones!$AB$49&amp;" "&amp;IF(AND(Milestones!$AB$49="FT",Milestones!$AA$49=FT_Y5,EDATE($D88,Milestones!$AA$49)&lt;PolicyEff),1,Milestones!$AC$49)&amp;";  ","")&amp;IF(AND(EDATE($D88,Milestones!$AA$50)&lt;=AsOfDate,EDATE($D88,Milestones!$AA$50)&gt;=SchemeStart,IF($X88=0,$AD88,IF(AND($Z88&lt;&gt;"",EDATE($D88,Milestones!$AA$50)&gt;=$Z88),$AC88,IF(AND($Y88&lt;&gt;"",EDATE($D88,Milestones!$AA$50)&gt;=$Y88),$AB88,$AA88)))=Milestones!$AB$50),UPPER(TEXT(EDATE($D88,Milestones!$AA$50),"dd mmm yy"))&amp;" "&amp;Milestones!$AB$50&amp;" "&amp;IF(AND(Milestones!$AB$50="FT",Milestones!$AA$50=FT_Y5,EDATE($D88,Milestones!$AA$50)&lt;PolicyEff),1,Milestones!$AC$50)&amp;";  ","")&amp;IF(AND(EDATE($D88,Milestones!$AA$51)&lt;=AsOfDate,EDATE($D88,Milestones!$AA$51)&gt;=SchemeStart,IF($X88=0,$AD88,IF(AND($Z88&lt;&gt;"",EDATE($D88,Milestones!$AA$51)&gt;=$Z88),$AC88,IF(AND($Y88&lt;&gt;"",EDATE($D88,Milestones!$AA$51)&gt;=$Y88),$AB88,$AA88)))=Milestones!$AB$51),UPPER(TEXT(EDATE($D88,Milestones!$AA$51),"dd mmm yy"))&amp;" "&amp;Milestones!$AB$51&amp;" "&amp;IF(AND(Milestones!$AB$51="FT",Milestones!$AA$51=FT_Y5,EDATE($D88,Milestones!$AA$51)&lt;PolicyEff),1,Milestones!$AC$51)&amp;";  ","")&amp;IF(AND(EDATE($D88,Milestones!$AA$52)&lt;=AsOfDate,EDATE($D88,Milestones!$AA$52)&gt;=SchemeStart,IF($X88=0,$AD88,IF(AND($Z88&lt;&gt;"",EDATE($D88,Milestones!$AA$52)&gt;=$Z88),$AC88,IF(AND($Y88&lt;&gt;"",EDATE($D88,Milestones!$AA$52)&gt;=$Y88),$AB88,$AA88)))=Milestones!$AB$52),UPPER(TEXT(EDATE($D88,Milestones!$AA$52),"dd mmm yy"))&amp;" "&amp;Milestones!$AB$52&amp;" "&amp;IF(AND(Milestones!$AB$52="FT",Milestones!$AA$52=FT_Y5,EDATE($D88,Milestones!$AA$52)&lt;PolicyEff),1,Milestones!$AC$52)&amp;";  ","")&amp;IF(AND(EDATE($D88,Milestones!$AA$53)&lt;=AsOfDate,EDATE($D88,Milestones!$AA$53)&gt;=SchemeStart,IF($X88=0,$AD88,IF(AND($Z88&lt;&gt;"",EDATE($D88,Milestones!$AA$53)&gt;=$Z88),$AC88,IF(AND($Y88&lt;&gt;"",EDATE($D88,Milestones!$AA$53)&gt;=$Y88),$AB88,$AA88)))=Milestones!$AB$53),UPPER(TEXT(EDATE($D88,Milestones!$AA$53),"dd mmm yy"))&amp;" "&amp;Milestones!$AB$53&amp;" "&amp;IF(AND(Milestones!$AB$53="FT",Milestones!$AA$53=FT_Y5,EDATE($D88,Milestones!$AA$53)&lt;PolicyEff),1,Milestones!$AC$53)&amp;";  ","")&amp;IF(AND(EDATE($D88,Milestones!$AA$54)&lt;=AsOfDate,EDATE($D88,Milestones!$AA$54)&gt;=SchemeStart,IF($X88=0,$AD88,IF(AND($Z88&lt;&gt;"",EDATE($D88,Milestones!$AA$54)&gt;=$Z88),$AC88,IF(AND($Y88&lt;&gt;"",EDATE($D88,Milestones!$AA$54)&gt;=$Y88),$AB88,$AA88)))=Milestones!$AB$54),UPPER(TEXT(EDATE($D88,Milestones!$AA$54),"dd mmm yy"))&amp;" "&amp;Milestones!$AB$54&amp;" "&amp;IF(AND(Milestones!$AB$54="FT",Milestones!$AA$54=FT_Y5,EDATE($D88,Milestones!$AA$54)&lt;PolicyEff),1,Milestones!$AC$54)&amp;";  ","")&amp;IF(AND(EDATE($D88,Milestones!$AA$55)&lt;=AsOfDate,EDATE($D88,Milestones!$AA$55)&gt;=SchemeStart,IF($X88=0,$AD88,IF(AND($Z88&lt;&gt;"",EDATE($D88,Milestones!$AA$55)&gt;=$Z88),$AC88,IF(AND($Y88&lt;&gt;"",EDATE($D88,Milestones!$AA$55)&gt;=$Y88),$AB88,$AA88)))=Milestones!$AB$55),UPPER(TEXT(EDATE($D88,Milestones!$AA$55),"dd mmm yy"))&amp;" "&amp;Milestones!$AB$55&amp;" "&amp;IF(AND(Milestones!$AB$55="FT",Milestones!$AA$55=FT_Y5,EDATE($D88,Milestones!$AA$55)&lt;PolicyEff),1,Milestones!$AC$55)&amp;";  ",""))</f>
        <v/>
      </c>
      <c r="L88" s="0" t="str">
        <f aca="false">IF(OR($A88="",$D88=""),"",IF(AND(EDATE($D88,Milestones!$AA$56)&lt;=AsOfDate,EDATE($D88,Milestones!$AA$56)&gt;=SchemeStart,IF($X88=0,$AD88,IF(AND($Z88&lt;&gt;"",EDATE($D88,Milestones!$AA$56)&gt;=$Z88),$AC88,IF(AND($Y88&lt;&gt;"",EDATE($D88,Milestones!$AA$56)&gt;=$Y88),$AB88,$AA88)))=Milestones!$AB$56),UPPER(TEXT(EDATE($D88,Milestones!$AA$56),"dd mmm yy"))&amp;" "&amp;Milestones!$AB$56&amp;" "&amp;IF(AND(Milestones!$AB$56="FT",Milestones!$AA$56=FT_Y5,EDATE($D88,Milestones!$AA$56)&lt;PolicyEff),1,Milestones!$AC$56)&amp;";  ","")&amp;IF(AND(EDATE($D88,Milestones!$AA$57)&lt;=AsOfDate,EDATE($D88,Milestones!$AA$57)&gt;=SchemeStart,IF($X88=0,$AD88,IF(AND($Z88&lt;&gt;"",EDATE($D88,Milestones!$AA$57)&gt;=$Z88),$AC88,IF(AND($Y88&lt;&gt;"",EDATE($D88,Milestones!$AA$57)&gt;=$Y88),$AB88,$AA88)))=Milestones!$AB$57),UPPER(TEXT(EDATE($D88,Milestones!$AA$57),"dd mmm yy"))&amp;" "&amp;Milestones!$AB$57&amp;" "&amp;IF(AND(Milestones!$AB$57="FT",Milestones!$AA$57=FT_Y5,EDATE($D88,Milestones!$AA$57)&lt;PolicyEff),1,Milestones!$AC$57)&amp;";  ","")&amp;IF(AND(EDATE($D88,Milestones!$AA$58)&lt;=AsOfDate,EDATE($D88,Milestones!$AA$58)&gt;=SchemeStart,IF($X88=0,$AD88,IF(AND($Z88&lt;&gt;"",EDATE($D88,Milestones!$AA$58)&gt;=$Z88),$AC88,IF(AND($Y88&lt;&gt;"",EDATE($D88,Milestones!$AA$58)&gt;=$Y88),$AB88,$AA88)))=Milestones!$AB$58),UPPER(TEXT(EDATE($D88,Milestones!$AA$58),"dd mmm yy"))&amp;" "&amp;Milestones!$AB$58&amp;" "&amp;IF(AND(Milestones!$AB$58="FT",Milestones!$AA$58=FT_Y5,EDATE($D88,Milestones!$AA$58)&lt;PolicyEff),1,Milestones!$AC$58)&amp;";  ","")&amp;IF(AND(EDATE($D88,Milestones!$AA$59)&lt;=AsOfDate,EDATE($D88,Milestones!$AA$59)&gt;=SchemeStart,IF($X88=0,$AD88,IF(AND($Z88&lt;&gt;"",EDATE($D88,Milestones!$AA$59)&gt;=$Z88),$AC88,IF(AND($Y88&lt;&gt;"",EDATE($D88,Milestones!$AA$59)&gt;=$Y88),$AB88,$AA88)))=Milestones!$AB$59),UPPER(TEXT(EDATE($D88,Milestones!$AA$59),"dd mmm yy"))&amp;" "&amp;Milestones!$AB$59&amp;" "&amp;IF(AND(Milestones!$AB$59="FT",Milestones!$AA$59=FT_Y5,EDATE($D88,Milestones!$AA$59)&lt;PolicyEff),1,Milestones!$AC$59)&amp;";  ","")&amp;IF(AND(EDATE($D88,Milestones!$AA$60)&lt;=AsOfDate,EDATE($D88,Milestones!$AA$60)&gt;=SchemeStart,IF($X88=0,$AD88,IF(AND($Z88&lt;&gt;"",EDATE($D88,Milestones!$AA$60)&gt;=$Z88),$AC88,IF(AND($Y88&lt;&gt;"",EDATE($D88,Milestones!$AA$60)&gt;=$Y88),$AB88,$AA88)))=Milestones!$AB$60),UPPER(TEXT(EDATE($D88,Milestones!$AA$60),"dd mmm yy"))&amp;" "&amp;Milestones!$AB$60&amp;" "&amp;IF(AND(Milestones!$AB$60="FT",Milestones!$AA$60=FT_Y5,EDATE($D88,Milestones!$AA$60)&lt;PolicyEff),1,Milestones!$AC$60)&amp;";  ","")&amp;IF(AND(EDATE($D88,Milestones!$AA$61)&lt;=AsOfDate,EDATE($D88,Milestones!$AA$61)&gt;=SchemeStart,IF($X88=0,$AD88,IF(AND($Z88&lt;&gt;"",EDATE($D88,Milestones!$AA$61)&gt;=$Z88),$AC88,IF(AND($Y88&lt;&gt;"",EDATE($D88,Milestones!$AA$61)&gt;=$Y88),$AB88,$AA88)))=Milestones!$AB$61),UPPER(TEXT(EDATE($D88,Milestones!$AA$61),"dd mmm yy"))&amp;" "&amp;Milestones!$AB$61&amp;" "&amp;IF(AND(Milestones!$AB$61="FT",Milestones!$AA$61=FT_Y5,EDATE($D88,Milestones!$AA$61)&lt;PolicyEff),1,Milestones!$AC$61)&amp;";  ","")&amp;IF(AND(EDATE($D88,Milestones!$AA$62)&lt;=AsOfDate,EDATE($D88,Milestones!$AA$62)&gt;=SchemeStart,IF($X88=0,$AD88,IF(AND($Z88&lt;&gt;"",EDATE($D88,Milestones!$AA$62)&gt;=$Z88),$AC88,IF(AND($Y88&lt;&gt;"",EDATE($D88,Milestones!$AA$62)&gt;=$Y88),$AB88,$AA88)))=Milestones!$AB$62),UPPER(TEXT(EDATE($D88,Milestones!$AA$62),"dd mmm yy"))&amp;" "&amp;Milestones!$AB$62&amp;" "&amp;IF(AND(Milestones!$AB$62="FT",Milestones!$AA$62=FT_Y5,EDATE($D88,Milestones!$AA$62)&lt;PolicyEff),1,Milestones!$AC$62)&amp;";  ","")&amp;IF(AND(EDATE($D88,Milestones!$AA$63)&lt;=AsOfDate,EDATE($D88,Milestones!$AA$63)&gt;=SchemeStart,IF($X88=0,$AD88,IF(AND($Z88&lt;&gt;"",EDATE($D88,Milestones!$AA$63)&gt;=$Z88),$AC88,IF(AND($Y88&lt;&gt;"",EDATE($D88,Milestones!$AA$63)&gt;=$Y88),$AB88,$AA88)))=Milestones!$AB$63),UPPER(TEXT(EDATE($D88,Milestones!$AA$63),"dd mmm yy"))&amp;" "&amp;Milestones!$AB$63&amp;" "&amp;IF(AND(Milestones!$AB$63="FT",Milestones!$AA$63=FT_Y5,EDATE($D88,Milestones!$AA$63)&lt;PolicyEff),1,Milestones!$AC$63)&amp;";  ","")&amp;IF(AND(EDATE($D88,Milestones!$AA$64)&lt;=AsOfDate,EDATE($D88,Milestones!$AA$64)&gt;=SchemeStart,IF($X88=0,$AD88,IF(AND($Z88&lt;&gt;"",EDATE($D88,Milestones!$AA$64)&gt;=$Z88),$AC88,IF(AND($Y88&lt;&gt;"",EDATE($D88,Milestones!$AA$64)&gt;=$Y88),$AB88,$AA88)))=Milestones!$AB$64),UPPER(TEXT(EDATE($D88,Milestones!$AA$64),"dd mmm yy"))&amp;" "&amp;Milestones!$AB$64&amp;" "&amp;IF(AND(Milestones!$AB$64="FT",Milestones!$AA$64=FT_Y5,EDATE($D88,Milestones!$AA$64)&lt;PolicyEff),1,Milestones!$AC$64)&amp;";  ","")&amp;IF(AND(EDATE($D88,Milestones!$AA$65)&lt;=AsOfDate,EDATE($D88,Milestones!$AA$65)&gt;=SchemeStart,IF($X88=0,$AD88,IF(AND($Z88&lt;&gt;"",EDATE($D88,Milestones!$AA$65)&gt;=$Z88),$AC88,IF(AND($Y88&lt;&gt;"",EDATE($D88,Milestones!$AA$65)&gt;=$Y88),$AB88,$AA88)))=Milestones!$AB$65),UPPER(TEXT(EDATE($D88,Milestones!$AA$65),"dd mmm yy"))&amp;" "&amp;Milestones!$AB$65&amp;" "&amp;IF(AND(Milestones!$AB$65="FT",Milestones!$AA$65=FT_Y5,EDATE($D88,Milestones!$AA$65)&lt;PolicyEff),1,Milestones!$AC$65)&amp;";  ","")&amp;IF(AND(EDATE($D88,Milestones!$AA$66)&lt;=AsOfDate,EDATE($D88,Milestones!$AA$66)&gt;=SchemeStart,IF($X88=0,$AD88,IF(AND($Z88&lt;&gt;"",EDATE($D88,Milestones!$AA$66)&gt;=$Z88),$AC88,IF(AND($Y88&lt;&gt;"",EDATE($D88,Milestones!$AA$66)&gt;=$Y88),$AB88,$AA88)))=Milestones!$AB$66),UPPER(TEXT(EDATE($D88,Milestones!$AA$66),"dd mmm yy"))&amp;" "&amp;Milestones!$AB$66&amp;" "&amp;IF(AND(Milestones!$AB$66="FT",Milestones!$AA$66=FT_Y5,EDATE($D88,Milestones!$AA$66)&lt;PolicyEff),1,Milestones!$AC$66)&amp;";  ","")&amp;IF(AND(EDATE($D88,Milestones!$AA$67)&lt;=AsOfDate,EDATE($D88,Milestones!$AA$67)&gt;=SchemeStart,IF($X88=0,$AD88,IF(AND($Z88&lt;&gt;"",EDATE($D88,Milestones!$AA$67)&gt;=$Z88),$AC88,IF(AND($Y88&lt;&gt;"",EDATE($D88,Milestones!$AA$67)&gt;=$Y88),$AB88,$AA88)))=Milestones!$AB$67),UPPER(TEXT(EDATE($D88,Milestones!$AA$67),"dd mmm yy"))&amp;" "&amp;Milestones!$AB$67&amp;" "&amp;IF(AND(Milestones!$AB$67="FT",Milestones!$AA$67=FT_Y5,EDATE($D88,Milestones!$AA$67)&lt;PolicyEff),1,Milestones!$AC$67)&amp;";  ",""))</f>
        <v/>
      </c>
      <c r="M88" s="0" t="str">
        <f aca="false">IF(OR($A88="",$D88=""),"",IF(AND(EDATE($D88,Milestones!$AA$68)&lt;=AsOfDate,EDATE($D88,Milestones!$AA$68)&gt;=SchemeStart,IF($X88=0,$AD88,IF(AND($Z88&lt;&gt;"",EDATE($D88,Milestones!$AA$68)&gt;=$Z88),$AC88,IF(AND($Y88&lt;&gt;"",EDATE($D88,Milestones!$AA$68)&gt;=$Y88),$AB88,$AA88)))=Milestones!$AB$68),UPPER(TEXT(EDATE($D88,Milestones!$AA$68),"dd mmm yy"))&amp;" "&amp;Milestones!$AB$68&amp;" "&amp;IF(AND(Milestones!$AB$68="FT",Milestones!$AA$68=FT_Y5,EDATE($D88,Milestones!$AA$68)&lt;PolicyEff),1,Milestones!$AC$68)&amp;";  ","")&amp;IF(AND(EDATE($D88,Milestones!$AA$69)&lt;=AsOfDate,EDATE($D88,Milestones!$AA$69)&gt;=SchemeStart,IF($X88=0,$AD88,IF(AND($Z88&lt;&gt;"",EDATE($D88,Milestones!$AA$69)&gt;=$Z88),$AC88,IF(AND($Y88&lt;&gt;"",EDATE($D88,Milestones!$AA$69)&gt;=$Y88),$AB88,$AA88)))=Milestones!$AB$69),UPPER(TEXT(EDATE($D88,Milestones!$AA$69),"dd mmm yy"))&amp;" "&amp;Milestones!$AB$69&amp;" "&amp;IF(AND(Milestones!$AB$69="FT",Milestones!$AA$69=FT_Y5,EDATE($D88,Milestones!$AA$69)&lt;PolicyEff),1,Milestones!$AC$69)&amp;";  ","")&amp;IF(AND(EDATE($D88,Milestones!$AA$70)&lt;=AsOfDate,EDATE($D88,Milestones!$AA$70)&gt;=SchemeStart,IF($X88=0,$AD88,IF(AND($Z88&lt;&gt;"",EDATE($D88,Milestones!$AA$70)&gt;=$Z88),$AC88,IF(AND($Y88&lt;&gt;"",EDATE($D88,Milestones!$AA$70)&gt;=$Y88),$AB88,$AA88)))=Milestones!$AB$70),UPPER(TEXT(EDATE($D88,Milestones!$AA$70),"dd mmm yy"))&amp;" "&amp;Milestones!$AB$70&amp;" "&amp;IF(AND(Milestones!$AB$70="FT",Milestones!$AA$70=FT_Y5,EDATE($D88,Milestones!$AA$70)&lt;PolicyEff),1,Milestones!$AC$70)&amp;";  ","")&amp;IF(AND(EDATE($D88,Milestones!$AA$71)&lt;=AsOfDate,EDATE($D88,Milestones!$AA$71)&gt;=SchemeStart,IF($X88=0,$AD88,IF(AND($Z88&lt;&gt;"",EDATE($D88,Milestones!$AA$71)&gt;=$Z88),$AC88,IF(AND($Y88&lt;&gt;"",EDATE($D88,Milestones!$AA$71)&gt;=$Y88),$AB88,$AA88)))=Milestones!$AB$71),UPPER(TEXT(EDATE($D88,Milestones!$AA$71),"dd mmm yy"))&amp;" "&amp;Milestones!$AB$71&amp;" "&amp;IF(AND(Milestones!$AB$71="FT",Milestones!$AA$71=FT_Y5,EDATE($D88,Milestones!$AA$71)&lt;PolicyEff),1,Milestones!$AC$71)&amp;";  ","")&amp;IF(AND(EDATE($D88,Milestones!$AA$72)&lt;=AsOfDate,EDATE($D88,Milestones!$AA$72)&gt;=SchemeStart,IF($X88=0,$AD88,IF(AND($Z88&lt;&gt;"",EDATE($D88,Milestones!$AA$72)&gt;=$Z88),$AC88,IF(AND($Y88&lt;&gt;"",EDATE($D88,Milestones!$AA$72)&gt;=$Y88),$AB88,$AA88)))=Milestones!$AB$72),UPPER(TEXT(EDATE($D88,Milestones!$AA$72),"dd mmm yy"))&amp;" "&amp;Milestones!$AB$72&amp;" "&amp;IF(AND(Milestones!$AB$72="FT",Milestones!$AA$72=FT_Y5,EDATE($D88,Milestones!$AA$72)&lt;PolicyEff),1,Milestones!$AC$72)&amp;";  ","")&amp;IF(AND(EDATE($D88,Milestones!$AA$73)&lt;=AsOfDate,EDATE($D88,Milestones!$AA$73)&gt;=SchemeStart,IF($X88=0,$AD88,IF(AND($Z88&lt;&gt;"",EDATE($D88,Milestones!$AA$73)&gt;=$Z88),$AC88,IF(AND($Y88&lt;&gt;"",EDATE($D88,Milestones!$AA$73)&gt;=$Y88),$AB88,$AA88)))=Milestones!$AB$73),UPPER(TEXT(EDATE($D88,Milestones!$AA$73),"dd mmm yy"))&amp;" "&amp;Milestones!$AB$73&amp;" "&amp;IF(AND(Milestones!$AB$73="FT",Milestones!$AA$73=FT_Y5,EDATE($D88,Milestones!$AA$73)&lt;PolicyEff),1,Milestones!$AC$73)&amp;";  ","")&amp;IF(AND(EDATE($D88,Milestones!$AA$74)&lt;=AsOfDate,EDATE($D88,Milestones!$AA$74)&gt;=SchemeStart,IF($X88=0,$AD88,IF(AND($Z88&lt;&gt;"",EDATE($D88,Milestones!$AA$74)&gt;=$Z88),$AC88,IF(AND($Y88&lt;&gt;"",EDATE($D88,Milestones!$AA$74)&gt;=$Y88),$AB88,$AA88)))=Milestones!$AB$74),UPPER(TEXT(EDATE($D88,Milestones!$AA$74),"dd mmm yy"))&amp;" "&amp;Milestones!$AB$74&amp;" "&amp;IF(AND(Milestones!$AB$74="FT",Milestones!$AA$74=FT_Y5,EDATE($D88,Milestones!$AA$74)&lt;PolicyEff),1,Milestones!$AC$74)&amp;";  ","")&amp;IF(AND(EDATE($D88,Milestones!$AA$75)&lt;=AsOfDate,EDATE($D88,Milestones!$AA$75)&gt;=SchemeStart,IF($X88=0,$AD88,IF(AND($Z88&lt;&gt;"",EDATE($D88,Milestones!$AA$75)&gt;=$Z88),$AC88,IF(AND($Y88&lt;&gt;"",EDATE($D88,Milestones!$AA$75)&gt;=$Y88),$AB88,$AA88)))=Milestones!$AB$75),UPPER(TEXT(EDATE($D88,Milestones!$AA$75),"dd mmm yy"))&amp;" "&amp;Milestones!$AB$75&amp;" "&amp;IF(AND(Milestones!$AB$75="FT",Milestones!$AA$75=FT_Y5,EDATE($D88,Milestones!$AA$75)&lt;PolicyEff),1,Milestones!$AC$75)&amp;";  ","")&amp;IF(AND(EDATE($D88,Milestones!$AA$76)&lt;=AsOfDate,EDATE($D88,Milestones!$AA$76)&gt;=SchemeStart,IF($X88=0,$AD88,IF(AND($Z88&lt;&gt;"",EDATE($D88,Milestones!$AA$76)&gt;=$Z88),$AC88,IF(AND($Y88&lt;&gt;"",EDATE($D88,Milestones!$AA$76)&gt;=$Y88),$AB88,$AA88)))=Milestones!$AB$76),UPPER(TEXT(EDATE($D88,Milestones!$AA$76),"dd mmm yy"))&amp;" "&amp;Milestones!$AB$76&amp;" "&amp;IF(AND(Milestones!$AB$76="FT",Milestones!$AA$76=FT_Y5,EDATE($D88,Milestones!$AA$76)&lt;PolicyEff),1,Milestones!$AC$76)&amp;";  ","")&amp;IF(AND(EDATE($D88,Milestones!$AA$77)&lt;=AsOfDate,EDATE($D88,Milestones!$AA$77)&gt;=SchemeStart,IF($X88=0,$AD88,IF(AND($Z88&lt;&gt;"",EDATE($D88,Milestones!$AA$77)&gt;=$Z88),$AC88,IF(AND($Y88&lt;&gt;"",EDATE($D88,Milestones!$AA$77)&gt;=$Y88),$AB88,$AA88)))=Milestones!$AB$77),UPPER(TEXT(EDATE($D88,Milestones!$AA$77),"dd mmm yy"))&amp;" "&amp;Milestones!$AB$77&amp;" "&amp;IF(AND(Milestones!$AB$77="FT",Milestones!$AA$77=FT_Y5,EDATE($D88,Milestones!$AA$77)&lt;PolicyEff),1,Milestones!$AC$77)&amp;";  ","")&amp;IF(AND(EDATE($D88,Milestones!$AA$78)&lt;=AsOfDate,EDATE($D88,Milestones!$AA$78)&gt;=SchemeStart,IF($X88=0,$AD88,IF(AND($Z88&lt;&gt;"",EDATE($D88,Milestones!$AA$78)&gt;=$Z88),$AC88,IF(AND($Y88&lt;&gt;"",EDATE($D88,Milestones!$AA$78)&gt;=$Y88),$AB88,$AA88)))=Milestones!$AB$78),UPPER(TEXT(EDATE($D88,Milestones!$AA$78),"dd mmm yy"))&amp;" "&amp;Milestones!$AB$78&amp;" "&amp;IF(AND(Milestones!$AB$78="FT",Milestones!$AA$78=FT_Y5,EDATE($D88,Milestones!$AA$78)&lt;PolicyEff),1,Milestones!$AC$78)&amp;";  ","")&amp;IF(AND(EDATE($D88,Milestones!$AA$79)&lt;=AsOfDate,EDATE($D88,Milestones!$AA$79)&gt;=SchemeStart,IF($X88=0,$AD88,IF(AND($Z88&lt;&gt;"",EDATE($D88,Milestones!$AA$79)&gt;=$Z88),$AC88,IF(AND($Y88&lt;&gt;"",EDATE($D88,Milestones!$AA$79)&gt;=$Y88),$AB88,$AA88)))=Milestones!$AB$79),UPPER(TEXT(EDATE($D88,Milestones!$AA$79),"dd mmm yy"))&amp;" "&amp;Milestones!$AB$79&amp;" "&amp;IF(AND(Milestones!$AB$79="FT",Milestones!$AA$79=FT_Y5,EDATE($D88,Milestones!$AA$79)&lt;PolicyEff),1,Milestones!$AC$79)&amp;";  ",""))</f>
        <v/>
      </c>
      <c r="N88" s="0" t="str">
        <f aca="false">IF(OR($A88="",$D88=""),"",IF(AND(EDATE($D88,Milestones!$AA$80)&lt;=AsOfDate,EDATE($D88,Milestones!$AA$80)&gt;=SchemeStart,IF($X88=0,$AD88,IF(AND($Z88&lt;&gt;"",EDATE($D88,Milestones!$AA$80)&gt;=$Z88),$AC88,IF(AND($Y88&lt;&gt;"",EDATE($D88,Milestones!$AA$80)&gt;=$Y88),$AB88,$AA88)))=Milestones!$AB$80),UPPER(TEXT(EDATE($D88,Milestones!$AA$80),"dd mmm yy"))&amp;" "&amp;Milestones!$AB$80&amp;" "&amp;IF(AND(Milestones!$AB$80="FT",Milestones!$AA$80=FT_Y5,EDATE($D88,Milestones!$AA$80)&lt;PolicyEff),1,Milestones!$AC$80)&amp;";  ","")&amp;IF(AND(EDATE($D88,Milestones!$AA$81)&lt;=AsOfDate,EDATE($D88,Milestones!$AA$81)&gt;=SchemeStart,IF($X88=0,$AD88,IF(AND($Z88&lt;&gt;"",EDATE($D88,Milestones!$AA$81)&gt;=$Z88),$AC88,IF(AND($Y88&lt;&gt;"",EDATE($D88,Milestones!$AA$81)&gt;=$Y88),$AB88,$AA88)))=Milestones!$AB$81),UPPER(TEXT(EDATE($D88,Milestones!$AA$81),"dd mmm yy"))&amp;" "&amp;Milestones!$AB$81&amp;" "&amp;IF(AND(Milestones!$AB$81="FT",Milestones!$AA$81=FT_Y5,EDATE($D88,Milestones!$AA$81)&lt;PolicyEff),1,Milestones!$AC$81)&amp;";  ","")&amp;IF(AND(EDATE($D88,Milestones!$AA$82)&lt;=AsOfDate,EDATE($D88,Milestones!$AA$82)&gt;=SchemeStart,IF($X88=0,$AD88,IF(AND($Z88&lt;&gt;"",EDATE($D88,Milestones!$AA$82)&gt;=$Z88),$AC88,IF(AND($Y88&lt;&gt;"",EDATE($D88,Milestones!$AA$82)&gt;=$Y88),$AB88,$AA88)))=Milestones!$AB$82),UPPER(TEXT(EDATE($D88,Milestones!$AA$82),"dd mmm yy"))&amp;" "&amp;Milestones!$AB$82&amp;" "&amp;IF(AND(Milestones!$AB$82="FT",Milestones!$AA$82=FT_Y5,EDATE($D88,Milestones!$AA$82)&lt;PolicyEff),1,Milestones!$AC$82)&amp;";  ","")&amp;IF(AND(EDATE($D88,Milestones!$AA$83)&lt;=AsOfDate,EDATE($D88,Milestones!$AA$83)&gt;=SchemeStart,IF($X88=0,$AD88,IF(AND($Z88&lt;&gt;"",EDATE($D88,Milestones!$AA$83)&gt;=$Z88),$AC88,IF(AND($Y88&lt;&gt;"",EDATE($D88,Milestones!$AA$83)&gt;=$Y88),$AB88,$AA88)))=Milestones!$AB$83),UPPER(TEXT(EDATE($D88,Milestones!$AA$83),"dd mmm yy"))&amp;" "&amp;Milestones!$AB$83&amp;" "&amp;IF(AND(Milestones!$AB$83="FT",Milestones!$AA$83=FT_Y5,EDATE($D88,Milestones!$AA$83)&lt;PolicyEff),1,Milestones!$AC$83)&amp;";  ","")&amp;IF(AND(EDATE($D88,Milestones!$AA$84)&lt;=AsOfDate,EDATE($D88,Milestones!$AA$84)&gt;=SchemeStart,IF($X88=0,$AD88,IF(AND($Z88&lt;&gt;"",EDATE($D88,Milestones!$AA$84)&gt;=$Z88),$AC88,IF(AND($Y88&lt;&gt;"",EDATE($D88,Milestones!$AA$84)&gt;=$Y88),$AB88,$AA88)))=Milestones!$AB$84),UPPER(TEXT(EDATE($D88,Milestones!$AA$84),"dd mmm yy"))&amp;" "&amp;Milestones!$AB$84&amp;" "&amp;IF(AND(Milestones!$AB$84="FT",Milestones!$AA$84=FT_Y5,EDATE($D88,Milestones!$AA$84)&lt;PolicyEff),1,Milestones!$AC$84)&amp;";  ","")&amp;IF(AND(EDATE($D88,Milestones!$AA$85)&lt;=AsOfDate,EDATE($D88,Milestones!$AA$85)&gt;=SchemeStart,IF($X88=0,$AD88,IF(AND($Z88&lt;&gt;"",EDATE($D88,Milestones!$AA$85)&gt;=$Z88),$AC88,IF(AND($Y88&lt;&gt;"",EDATE($D88,Milestones!$AA$85)&gt;=$Y88),$AB88,$AA88)))=Milestones!$AB$85),UPPER(TEXT(EDATE($D88,Milestones!$AA$85),"dd mmm yy"))&amp;" "&amp;Milestones!$AB$85&amp;" "&amp;IF(AND(Milestones!$AB$85="FT",Milestones!$AA$85=FT_Y5,EDATE($D88,Milestones!$AA$85)&lt;PolicyEff),1,Milestones!$AC$85)&amp;";  ","")&amp;IF(AND(EDATE($D88,Milestones!$AA$86)&lt;=AsOfDate,EDATE($D88,Milestones!$AA$86)&gt;=SchemeStart,IF($X88=0,$AD88,IF(AND($Z88&lt;&gt;"",EDATE($D88,Milestones!$AA$86)&gt;=$Z88),$AC88,IF(AND($Y88&lt;&gt;"",EDATE($D88,Milestones!$AA$86)&gt;=$Y88),$AB88,$AA88)))=Milestones!$AB$86),UPPER(TEXT(EDATE($D88,Milestones!$AA$86),"dd mmm yy"))&amp;" "&amp;Milestones!$AB$86&amp;" "&amp;IF(AND(Milestones!$AB$86="FT",Milestones!$AA$86=FT_Y5,EDATE($D88,Milestones!$AA$86)&lt;PolicyEff),1,Milestones!$AC$86)&amp;";  ","")&amp;IF(AND(EDATE($D88,Milestones!$AA$87)&lt;=AsOfDate,EDATE($D88,Milestones!$AA$87)&gt;=SchemeStart,IF($X88=0,$AD88,IF(AND($Z88&lt;&gt;"",EDATE($D88,Milestones!$AA$87)&gt;=$Z88),$AC88,IF(AND($Y88&lt;&gt;"",EDATE($D88,Milestones!$AA$87)&gt;=$Y88),$AB88,$AA88)))=Milestones!$AB$87),UPPER(TEXT(EDATE($D88,Milestones!$AA$87),"dd mmm yy"))&amp;" "&amp;Milestones!$AB$87&amp;" "&amp;IF(AND(Milestones!$AB$87="FT",Milestones!$AA$87=FT_Y5,EDATE($D88,Milestones!$AA$87)&lt;PolicyEff),1,Milestones!$AC$87)&amp;";  ","")&amp;IF(AND(EDATE($D88,Milestones!$AA$88)&lt;=AsOfDate,EDATE($D88,Milestones!$AA$88)&gt;=SchemeStart,IF($X88=0,$AD88,IF(AND($Z88&lt;&gt;"",EDATE($D88,Milestones!$AA$88)&gt;=$Z88),$AC88,IF(AND($Y88&lt;&gt;"",EDATE($D88,Milestones!$AA$88)&gt;=$Y88),$AB88,$AA88)))=Milestones!$AB$88),UPPER(TEXT(EDATE($D88,Milestones!$AA$88),"dd mmm yy"))&amp;" "&amp;Milestones!$AB$88&amp;" "&amp;IF(AND(Milestones!$AB$88="FT",Milestones!$AA$88=FT_Y5,EDATE($D88,Milestones!$AA$88)&lt;PolicyEff),1,Milestones!$AC$88)&amp;";  ","")&amp;IF(AND(EDATE($D88,Milestones!$AA$89)&lt;=AsOfDate,EDATE($D88,Milestones!$AA$89)&gt;=SchemeStart,IF($X88=0,$AD88,IF(AND($Z88&lt;&gt;"",EDATE($D88,Milestones!$AA$89)&gt;=$Z88),$AC88,IF(AND($Y88&lt;&gt;"",EDATE($D88,Milestones!$AA$89)&gt;=$Y88),$AB88,$AA88)))=Milestones!$AB$89),UPPER(TEXT(EDATE($D88,Milestones!$AA$89),"dd mmm yy"))&amp;" "&amp;Milestones!$AB$89&amp;" "&amp;IF(AND(Milestones!$AB$89="FT",Milestones!$AA$89=FT_Y5,EDATE($D88,Milestones!$AA$89)&lt;PolicyEff),1,Milestones!$AC$89)&amp;";  ","")&amp;IF(AND(EDATE($D88,Milestones!$AA$90)&lt;=AsOfDate,EDATE($D88,Milestones!$AA$90)&gt;=SchemeStart,IF($X88=0,$AD88,IF(AND($Z88&lt;&gt;"",EDATE($D88,Milestones!$AA$90)&gt;=$Z88),$AC88,IF(AND($Y88&lt;&gt;"",EDATE($D88,Milestones!$AA$90)&gt;=$Y88),$AB88,$AA88)))=Milestones!$AB$90),UPPER(TEXT(EDATE($D88,Milestones!$AA$90),"dd mmm yy"))&amp;" "&amp;Milestones!$AB$90&amp;" "&amp;IF(AND(Milestones!$AB$90="FT",Milestones!$AA$90=FT_Y5,EDATE($D88,Milestones!$AA$90)&lt;PolicyEff),1,Milestones!$AC$90)&amp;";  ","")&amp;IF(AND(EDATE($D88,Milestones!$AA$91)&lt;=AsOfDate,EDATE($D88,Milestones!$AA$91)&gt;=SchemeStart,IF($X88=0,$AD88,IF(AND($Z88&lt;&gt;"",EDATE($D88,Milestones!$AA$91)&gt;=$Z88),$AC88,IF(AND($Y88&lt;&gt;"",EDATE($D88,Milestones!$AA$91)&gt;=$Y88),$AB88,$AA88)))=Milestones!$AB$91),UPPER(TEXT(EDATE($D88,Milestones!$AA$91),"dd mmm yy"))&amp;" "&amp;Milestones!$AB$91&amp;" "&amp;IF(AND(Milestones!$AB$91="FT",Milestones!$AA$91=FT_Y5,EDATE($D88,Milestones!$AA$91)&lt;PolicyEff),1,Milestones!$AC$91)&amp;";  ",""))</f>
        <v/>
      </c>
      <c r="O88" s="0" t="str">
        <f aca="false">IF(OR($A88="",$D88=""),"",IF(AND(EDATE($D88,Milestones!$AA$92)&lt;=AsOfDate,EDATE($D88,Milestones!$AA$92)&gt;=SchemeStart,IF($X88=0,$AD88,IF(AND($Z88&lt;&gt;"",EDATE($D88,Milestones!$AA$92)&gt;=$Z88),$AC88,IF(AND($Y88&lt;&gt;"",EDATE($D88,Milestones!$AA$92)&gt;=$Y88),$AB88,$AA88)))=Milestones!$AB$92),UPPER(TEXT(EDATE($D88,Milestones!$AA$92),"dd mmm yy"))&amp;" "&amp;Milestones!$AB$92&amp;" "&amp;IF(AND(Milestones!$AB$92="FT",Milestones!$AA$92=FT_Y5,EDATE($D88,Milestones!$AA$92)&lt;PolicyEff),1,Milestones!$AC$92)&amp;";  ","")&amp;IF(AND(EDATE($D88,Milestones!$AA$93)&lt;=AsOfDate,EDATE($D88,Milestones!$AA$93)&gt;=SchemeStart,IF($X88=0,$AD88,IF(AND($Z88&lt;&gt;"",EDATE($D88,Milestones!$AA$93)&gt;=$Z88),$AC88,IF(AND($Y88&lt;&gt;"",EDATE($D88,Milestones!$AA$93)&gt;=$Y88),$AB88,$AA88)))=Milestones!$AB$93),UPPER(TEXT(EDATE($D88,Milestones!$AA$93),"dd mmm yy"))&amp;" "&amp;Milestones!$AB$93&amp;" "&amp;IF(AND(Milestones!$AB$93="FT",Milestones!$AA$93=FT_Y5,EDATE($D88,Milestones!$AA$93)&lt;PolicyEff),1,Milestones!$AC$93)&amp;";  ","")&amp;IF(AND(EDATE($D88,Milestones!$AA$94)&lt;=AsOfDate,EDATE($D88,Milestones!$AA$94)&gt;=SchemeStart,IF($X88=0,$AD88,IF(AND($Z88&lt;&gt;"",EDATE($D88,Milestones!$AA$94)&gt;=$Z88),$AC88,IF(AND($Y88&lt;&gt;"",EDATE($D88,Milestones!$AA$94)&gt;=$Y88),$AB88,$AA88)))=Milestones!$AB$94),UPPER(TEXT(EDATE($D88,Milestones!$AA$94),"dd mmm yy"))&amp;" "&amp;Milestones!$AB$94&amp;" "&amp;IF(AND(Milestones!$AB$94="FT",Milestones!$AA$94=FT_Y5,EDATE($D88,Milestones!$AA$94)&lt;PolicyEff),1,Milestones!$AC$94)&amp;";  ","")&amp;IF(AND(EDATE($D88,Milestones!$AA$95)&lt;=AsOfDate,EDATE($D88,Milestones!$AA$95)&gt;=SchemeStart,IF($X88=0,$AD88,IF(AND($Z88&lt;&gt;"",EDATE($D88,Milestones!$AA$95)&gt;=$Z88),$AC88,IF(AND($Y88&lt;&gt;"",EDATE($D88,Milestones!$AA$95)&gt;=$Y88),$AB88,$AA88)))=Milestones!$AB$95),UPPER(TEXT(EDATE($D88,Milestones!$AA$95),"dd mmm yy"))&amp;" "&amp;Milestones!$AB$95&amp;" "&amp;IF(AND(Milestones!$AB$95="FT",Milestones!$AA$95=FT_Y5,EDATE($D88,Milestones!$AA$95)&lt;PolicyEff),1,Milestones!$AC$95)&amp;";  ","")&amp;IF(AND(EDATE($D88,Milestones!$AA$96)&lt;=AsOfDate,EDATE($D88,Milestones!$AA$96)&gt;=SchemeStart,IF($X88=0,$AD88,IF(AND($Z88&lt;&gt;"",EDATE($D88,Milestones!$AA$96)&gt;=$Z88),$AC88,IF(AND($Y88&lt;&gt;"",EDATE($D88,Milestones!$AA$96)&gt;=$Y88),$AB88,$AA88)))=Milestones!$AB$96),UPPER(TEXT(EDATE($D88,Milestones!$AA$96),"dd mmm yy"))&amp;" "&amp;Milestones!$AB$96&amp;" "&amp;IF(AND(Milestones!$AB$96="FT",Milestones!$AA$96=FT_Y5,EDATE($D88,Milestones!$AA$96)&lt;PolicyEff),1,Milestones!$AC$96)&amp;";  ","")&amp;IF(AND(EDATE($D88,Milestones!$AA$97)&lt;=AsOfDate,EDATE($D88,Milestones!$AA$97)&gt;=SchemeStart,IF($X88=0,$AD88,IF(AND($Z88&lt;&gt;"",EDATE($D88,Milestones!$AA$97)&gt;=$Z88),$AC88,IF(AND($Y88&lt;&gt;"",EDATE($D88,Milestones!$AA$97)&gt;=$Y88),$AB88,$AA88)))=Milestones!$AB$97),UPPER(TEXT(EDATE($D88,Milestones!$AA$97),"dd mmm yy"))&amp;" "&amp;Milestones!$AB$97&amp;" "&amp;IF(AND(Milestones!$AB$97="FT",Milestones!$AA$97=FT_Y5,EDATE($D88,Milestones!$AA$97)&lt;PolicyEff),1,Milestones!$AC$97)&amp;";  ","")&amp;IF(AND(EDATE($D88,Milestones!$AA$98)&lt;=AsOfDate,EDATE($D88,Milestones!$AA$98)&gt;=SchemeStart,IF($X88=0,$AD88,IF(AND($Z88&lt;&gt;"",EDATE($D88,Milestones!$AA$98)&gt;=$Z88),$AC88,IF(AND($Y88&lt;&gt;"",EDATE($D88,Milestones!$AA$98)&gt;=$Y88),$AB88,$AA88)))=Milestones!$AB$98),UPPER(TEXT(EDATE($D88,Milestones!$AA$98),"dd mmm yy"))&amp;" "&amp;Milestones!$AB$98&amp;" "&amp;IF(AND(Milestones!$AB$98="FT",Milestones!$AA$98=FT_Y5,EDATE($D88,Milestones!$AA$98)&lt;PolicyEff),1,Milestones!$AC$98)&amp;";  ","")&amp;IF(AND(EDATE($D88,Milestones!$AA$99)&lt;=AsOfDate,EDATE($D88,Milestones!$AA$99)&gt;=SchemeStart,IF($X88=0,$AD88,IF(AND($Z88&lt;&gt;"",EDATE($D88,Milestones!$AA$99)&gt;=$Z88),$AC88,IF(AND($Y88&lt;&gt;"",EDATE($D88,Milestones!$AA$99)&gt;=$Y88),$AB88,$AA88)))=Milestones!$AB$99),UPPER(TEXT(EDATE($D88,Milestones!$AA$99),"dd mmm yy"))&amp;" "&amp;Milestones!$AB$99&amp;" "&amp;IF(AND(Milestones!$AB$99="FT",Milestones!$AA$99=FT_Y5,EDATE($D88,Milestones!$AA$99)&lt;PolicyEff),1,Milestones!$AC$99)&amp;";  ","")&amp;IF(AND(EDATE($D88,Milestones!$AA$100)&lt;=AsOfDate,EDATE($D88,Milestones!$AA$100)&gt;=SchemeStart,IF($X88=0,$AD88,IF(AND($Z88&lt;&gt;"",EDATE($D88,Milestones!$AA$100)&gt;=$Z88),$AC88,IF(AND($Y88&lt;&gt;"",EDATE($D88,Milestones!$AA$100)&gt;=$Y88),$AB88,$AA88)))=Milestones!$AB$100),UPPER(TEXT(EDATE($D88,Milestones!$AA$100),"dd mmm yy"))&amp;" "&amp;Milestones!$AB$100&amp;" "&amp;IF(AND(Milestones!$AB$100="FT",Milestones!$AA$100=FT_Y5,EDATE($D88,Milestones!$AA$100)&lt;PolicyEff),1,Milestones!$AC$100)&amp;";  ","")&amp;IF(AND(EDATE($D88,Milestones!$AA$101)&lt;=AsOfDate,EDATE($D88,Milestones!$AA$101)&gt;=SchemeStart,IF($X88=0,$AD88,IF(AND($Z88&lt;&gt;"",EDATE($D88,Milestones!$AA$101)&gt;=$Z88),$AC88,IF(AND($Y88&lt;&gt;"",EDATE($D88,Milestones!$AA$101)&gt;=$Y88),$AB88,$AA88)))=Milestones!$AB$101),UPPER(TEXT(EDATE($D88,Milestones!$AA$101),"dd mmm yy"))&amp;" "&amp;Milestones!$AB$101&amp;" "&amp;IF(AND(Milestones!$AB$101="FT",Milestones!$AA$101=FT_Y5,EDATE($D88,Milestones!$AA$101)&lt;PolicyEff),1,Milestones!$AC$101)&amp;";  ","")&amp;IF(AND(EDATE($D88,Milestones!$AA$102)&lt;=AsOfDate,EDATE($D88,Milestones!$AA$102)&gt;=SchemeStart,IF($X88=0,$AD88,IF(AND($Z88&lt;&gt;"",EDATE($D88,Milestones!$AA$102)&gt;=$Z88),$AC88,IF(AND($Y88&lt;&gt;"",EDATE($D88,Milestones!$AA$102)&gt;=$Y88),$AB88,$AA88)))=Milestones!$AB$102),UPPER(TEXT(EDATE($D88,Milestones!$AA$102),"dd mmm yy"))&amp;" "&amp;Milestones!$AB$102&amp;" "&amp;IF(AND(Milestones!$AB$102="FT",Milestones!$AA$102=FT_Y5,EDATE($D88,Milestones!$AA$102)&lt;PolicyEff),1,Milestones!$AC$102)&amp;";  ","")&amp;IF(AND(EDATE($D88,Milestones!$AA$103)&lt;=AsOfDate,EDATE($D88,Milestones!$AA$103)&gt;=SchemeStart,IF($X88=0,$AD88,IF(AND($Z88&lt;&gt;"",EDATE($D88,Milestones!$AA$103)&gt;=$Z88),$AC88,IF(AND($Y88&lt;&gt;"",EDATE($D88,Milestones!$AA$103)&gt;=$Y88),$AB88,$AA88)))=Milestones!$AB$103),UPPER(TEXT(EDATE($D88,Milestones!$AA$103),"dd mmm yy"))&amp;" "&amp;Milestones!$AB$103&amp;" "&amp;IF(AND(Milestones!$AB$103="FT",Milestones!$AA$103=FT_Y5,EDATE($D88,Milestones!$AA$103)&lt;PolicyEff),1,Milestones!$AC$103)&amp;";  ",""))</f>
        <v/>
      </c>
      <c r="P88" s="0" t="str">
        <f aca="false">IF(OR($A88="",$D88=""),"",IF(AND(EDATE($D88,Milestones!$AA$104)&lt;=AsOfDate,EDATE($D88,Milestones!$AA$104)&gt;=SchemeStart,IF($X88=0,$AD88,IF(AND($Z88&lt;&gt;"",EDATE($D88,Milestones!$AA$104)&gt;=$Z88),$AC88,IF(AND($Y88&lt;&gt;"",EDATE($D88,Milestones!$AA$104)&gt;=$Y88),$AB88,$AA88)))=Milestones!$AB$104),UPPER(TEXT(EDATE($D88,Milestones!$AA$104),"dd mmm yy"))&amp;" "&amp;Milestones!$AB$104&amp;" "&amp;IF(AND(Milestones!$AB$104="FT",Milestones!$AA$104=FT_Y5,EDATE($D88,Milestones!$AA$104)&lt;PolicyEff),1,Milestones!$AC$104)&amp;";  ","")&amp;IF(AND(EDATE($D88,Milestones!$AA$105)&lt;=AsOfDate,EDATE($D88,Milestones!$AA$105)&gt;=SchemeStart,IF($X88=0,$AD88,IF(AND($Z88&lt;&gt;"",EDATE($D88,Milestones!$AA$105)&gt;=$Z88),$AC88,IF(AND($Y88&lt;&gt;"",EDATE($D88,Milestones!$AA$105)&gt;=$Y88),$AB88,$AA88)))=Milestones!$AB$105),UPPER(TEXT(EDATE($D88,Milestones!$AA$105),"dd mmm yy"))&amp;" "&amp;Milestones!$AB$105&amp;" "&amp;IF(AND(Milestones!$AB$105="FT",Milestones!$AA$105=FT_Y5,EDATE($D88,Milestones!$AA$105)&lt;PolicyEff),1,Milestones!$AC$105)&amp;";  ","")&amp;IF(AND(EDATE($D88,Milestones!$AA$106)&lt;=AsOfDate,EDATE($D88,Milestones!$AA$106)&gt;=SchemeStart,IF($X88=0,$AD88,IF(AND($Z88&lt;&gt;"",EDATE($D88,Milestones!$AA$106)&gt;=$Z88),$AC88,IF(AND($Y88&lt;&gt;"",EDATE($D88,Milestones!$AA$106)&gt;=$Y88),$AB88,$AA88)))=Milestones!$AB$106),UPPER(TEXT(EDATE($D88,Milestones!$AA$106),"dd mmm yy"))&amp;" "&amp;Milestones!$AB$106&amp;" "&amp;IF(AND(Milestones!$AB$106="FT",Milestones!$AA$106=FT_Y5,EDATE($D88,Milestones!$AA$106)&lt;PolicyEff),1,Milestones!$AC$106)&amp;";  ","")&amp;IF(AND(EDATE($D88,Milestones!$AA$107)&lt;=AsOfDate,EDATE($D88,Milestones!$AA$107)&gt;=SchemeStart,IF($X88=0,$AD88,IF(AND($Z88&lt;&gt;"",EDATE($D88,Milestones!$AA$107)&gt;=$Z88),$AC88,IF(AND($Y88&lt;&gt;"",EDATE($D88,Milestones!$AA$107)&gt;=$Y88),$AB88,$AA88)))=Milestones!$AB$107),UPPER(TEXT(EDATE($D88,Milestones!$AA$107),"dd mmm yy"))&amp;" "&amp;Milestones!$AB$107&amp;" "&amp;IF(AND(Milestones!$AB$107="FT",Milestones!$AA$107=FT_Y5,EDATE($D88,Milestones!$AA$107)&lt;PolicyEff),1,Milestones!$AC$107)&amp;";  ","")&amp;IF(AND(EDATE($D88,Milestones!$AA$108)&lt;=AsOfDate,EDATE($D88,Milestones!$AA$108)&gt;=SchemeStart,IF($X88=0,$AD88,IF(AND($Z88&lt;&gt;"",EDATE($D88,Milestones!$AA$108)&gt;=$Z88),$AC88,IF(AND($Y88&lt;&gt;"",EDATE($D88,Milestones!$AA$108)&gt;=$Y88),$AB88,$AA88)))=Milestones!$AB$108),UPPER(TEXT(EDATE($D88,Milestones!$AA$108),"dd mmm yy"))&amp;" "&amp;Milestones!$AB$108&amp;" "&amp;IF(AND(Milestones!$AB$108="FT",Milestones!$AA$108=FT_Y5,EDATE($D88,Milestones!$AA$108)&lt;PolicyEff),1,Milestones!$AC$108)&amp;";  ","")&amp;IF(AND(EDATE($D88,Milestones!$AA$109)&lt;=AsOfDate,EDATE($D88,Milestones!$AA$109)&gt;=SchemeStart,IF($X88=0,$AD88,IF(AND($Z88&lt;&gt;"",EDATE($D88,Milestones!$AA$109)&gt;=$Z88),$AC88,IF(AND($Y88&lt;&gt;"",EDATE($D88,Milestones!$AA$109)&gt;=$Y88),$AB88,$AA88)))=Milestones!$AB$109),UPPER(TEXT(EDATE($D88,Milestones!$AA$109),"dd mmm yy"))&amp;" "&amp;Milestones!$AB$109&amp;" "&amp;IF(AND(Milestones!$AB$109="FT",Milestones!$AA$109=FT_Y5,EDATE($D88,Milestones!$AA$109)&lt;PolicyEff),1,Milestones!$AC$109)&amp;";  ","")&amp;IF(AND(EDATE($D88,Milestones!$AA$110)&lt;=AsOfDate,EDATE($D88,Milestones!$AA$110)&gt;=SchemeStart,IF($X88=0,$AD88,IF(AND($Z88&lt;&gt;"",EDATE($D88,Milestones!$AA$110)&gt;=$Z88),$AC88,IF(AND($Y88&lt;&gt;"",EDATE($D88,Milestones!$AA$110)&gt;=$Y88),$AB88,$AA88)))=Milestones!$AB$110),UPPER(TEXT(EDATE($D88,Milestones!$AA$110),"dd mmm yy"))&amp;" "&amp;Milestones!$AB$110&amp;" "&amp;IF(AND(Milestones!$AB$110="FT",Milestones!$AA$110=FT_Y5,EDATE($D88,Milestones!$AA$110)&lt;PolicyEff),1,Milestones!$AC$110)&amp;";  ","")&amp;IF(AND(EDATE($D88,Milestones!$AA$111)&lt;=AsOfDate,EDATE($D88,Milestones!$AA$111)&gt;=SchemeStart,IF($X88=0,$AD88,IF(AND($Z88&lt;&gt;"",EDATE($D88,Milestones!$AA$111)&gt;=$Z88),$AC88,IF(AND($Y88&lt;&gt;"",EDATE($D88,Milestones!$AA$111)&gt;=$Y88),$AB88,$AA88)))=Milestones!$AB$111),UPPER(TEXT(EDATE($D88,Milestones!$AA$111),"dd mmm yy"))&amp;" "&amp;Milestones!$AB$111&amp;" "&amp;IF(AND(Milestones!$AB$111="FT",Milestones!$AA$111=FT_Y5,EDATE($D88,Milestones!$AA$111)&lt;PolicyEff),1,Milestones!$AC$111)&amp;";  ","")&amp;IF(AND(EDATE($D88,Milestones!$AA$112)&lt;=AsOfDate,EDATE($D88,Milestones!$AA$112)&gt;=SchemeStart,IF($X88=0,$AD88,IF(AND($Z88&lt;&gt;"",EDATE($D88,Milestones!$AA$112)&gt;=$Z88),$AC88,IF(AND($Y88&lt;&gt;"",EDATE($D88,Milestones!$AA$112)&gt;=$Y88),$AB88,$AA88)))=Milestones!$AB$112),UPPER(TEXT(EDATE($D88,Milestones!$AA$112),"dd mmm yy"))&amp;" "&amp;Milestones!$AB$112&amp;" "&amp;IF(AND(Milestones!$AB$112="FT",Milestones!$AA$112=FT_Y5,EDATE($D88,Milestones!$AA$112)&lt;PolicyEff),1,Milestones!$AC$112)&amp;";  ","")&amp;IF(AND(EDATE($D88,Milestones!$AA$113)&lt;=AsOfDate,EDATE($D88,Milestones!$AA$113)&gt;=SchemeStart,IF($X88=0,$AD88,IF(AND($Z88&lt;&gt;"",EDATE($D88,Milestones!$AA$113)&gt;=$Z88),$AC88,IF(AND($Y88&lt;&gt;"",EDATE($D88,Milestones!$AA$113)&gt;=$Y88),$AB88,$AA88)))=Milestones!$AB$113),UPPER(TEXT(EDATE($D88,Milestones!$AA$113),"dd mmm yy"))&amp;" "&amp;Milestones!$AB$113&amp;" "&amp;IF(AND(Milestones!$AB$113="FT",Milestones!$AA$113=FT_Y5,EDATE($D88,Milestones!$AA$113)&lt;PolicyEff),1,Milestones!$AC$113)&amp;";  ","")&amp;IF(AND(EDATE($D88,Milestones!$AA$114)&lt;=AsOfDate,EDATE($D88,Milestones!$AA$114)&gt;=SchemeStart,IF($X88=0,$AD88,IF(AND($Z88&lt;&gt;"",EDATE($D88,Milestones!$AA$114)&gt;=$Z88),$AC88,IF(AND($Y88&lt;&gt;"",EDATE($D88,Milestones!$AA$114)&gt;=$Y88),$AB88,$AA88)))=Milestones!$AB$114),UPPER(TEXT(EDATE($D88,Milestones!$AA$114),"dd mmm yy"))&amp;" "&amp;Milestones!$AB$114&amp;" "&amp;IF(AND(Milestones!$AB$114="FT",Milestones!$AA$114=FT_Y5,EDATE($D88,Milestones!$AA$114)&lt;PolicyEff),1,Milestones!$AC$114)&amp;";  ","")&amp;IF(AND(EDATE($D88,Milestones!$AA$115)&lt;=AsOfDate,EDATE($D88,Milestones!$AA$115)&gt;=SchemeStart,IF($X88=0,$AD88,IF(AND($Z88&lt;&gt;"",EDATE($D88,Milestones!$AA$115)&gt;=$Z88),$AC88,IF(AND($Y88&lt;&gt;"",EDATE($D88,Milestones!$AA$115)&gt;=$Y88),$AB88,$AA88)))=Milestones!$AB$115),UPPER(TEXT(EDATE($D88,Milestones!$AA$115),"dd mmm yy"))&amp;" "&amp;Milestones!$AB$115&amp;" "&amp;IF(AND(Milestones!$AB$115="FT",Milestones!$AA$115=FT_Y5,EDATE($D88,Milestones!$AA$115)&lt;PolicyEff),1,Milestones!$AC$115)&amp;";  ",""))</f>
        <v/>
      </c>
      <c r="Q88" s="0" t="str">
        <f aca="false">IF(OR($A88="",$D88=""),"",IF(AND(EDATE($D88,Milestones!$AA$116)&lt;=AsOfDate,EDATE($D88,Milestones!$AA$116)&gt;=SchemeStart,IF($X88=0,$AD88,IF(AND($Z88&lt;&gt;"",EDATE($D88,Milestones!$AA$116)&gt;=$Z88),$AC88,IF(AND($Y88&lt;&gt;"",EDATE($D88,Milestones!$AA$116)&gt;=$Y88),$AB88,$AA88)))=Milestones!$AB$116),UPPER(TEXT(EDATE($D88,Milestones!$AA$116),"dd mmm yy"))&amp;" "&amp;Milestones!$AB$116&amp;" "&amp;IF(AND(Milestones!$AB$116="FT",Milestones!$AA$116=FT_Y5,EDATE($D88,Milestones!$AA$116)&lt;PolicyEff),1,Milestones!$AC$116)&amp;";  ","")&amp;IF(AND(EDATE($D88,Milestones!$AA$117)&lt;=AsOfDate,EDATE($D88,Milestones!$AA$117)&gt;=SchemeStart,IF($X88=0,$AD88,IF(AND($Z88&lt;&gt;"",EDATE($D88,Milestones!$AA$117)&gt;=$Z88),$AC88,IF(AND($Y88&lt;&gt;"",EDATE($D88,Milestones!$AA$117)&gt;=$Y88),$AB88,$AA88)))=Milestones!$AB$117),UPPER(TEXT(EDATE($D88,Milestones!$AA$117),"dd mmm yy"))&amp;" "&amp;Milestones!$AB$117&amp;" "&amp;IF(AND(Milestones!$AB$117="FT",Milestones!$AA$117=FT_Y5,EDATE($D88,Milestones!$AA$117)&lt;PolicyEff),1,Milestones!$AC$117)&amp;";  ","")&amp;IF(AND(EDATE($D88,Milestones!$AA$118)&lt;=AsOfDate,EDATE($D88,Milestones!$AA$118)&gt;=SchemeStart,IF($X88=0,$AD88,IF(AND($Z88&lt;&gt;"",EDATE($D88,Milestones!$AA$118)&gt;=$Z88),$AC88,IF(AND($Y88&lt;&gt;"",EDATE($D88,Milestones!$AA$118)&gt;=$Y88),$AB88,$AA88)))=Milestones!$AB$118),UPPER(TEXT(EDATE($D88,Milestones!$AA$118),"dd mmm yy"))&amp;" "&amp;Milestones!$AB$118&amp;" "&amp;IF(AND(Milestones!$AB$118="FT",Milestones!$AA$118=FT_Y5,EDATE($D88,Milestones!$AA$118)&lt;PolicyEff),1,Milestones!$AC$118)&amp;";  ","")&amp;IF(AND(EDATE($D88,Milestones!$AA$119)&lt;=AsOfDate,EDATE($D88,Milestones!$AA$119)&gt;=SchemeStart,IF($X88=0,$AD88,IF(AND($Z88&lt;&gt;"",EDATE($D88,Milestones!$AA$119)&gt;=$Z88),$AC88,IF(AND($Y88&lt;&gt;"",EDATE($D88,Milestones!$AA$119)&gt;=$Y88),$AB88,$AA88)))=Milestones!$AB$119),UPPER(TEXT(EDATE($D88,Milestones!$AA$119),"dd mmm yy"))&amp;" "&amp;Milestones!$AB$119&amp;" "&amp;IF(AND(Milestones!$AB$119="FT",Milestones!$AA$119=FT_Y5,EDATE($D88,Milestones!$AA$119)&lt;PolicyEff),1,Milestones!$AC$119)&amp;";  ","")&amp;IF(AND(EDATE($D88,Milestones!$AA$120)&lt;=AsOfDate,EDATE($D88,Milestones!$AA$120)&gt;=SchemeStart,IF($X88=0,$AD88,IF(AND($Z88&lt;&gt;"",EDATE($D88,Milestones!$AA$120)&gt;=$Z88),$AC88,IF(AND($Y88&lt;&gt;"",EDATE($D88,Milestones!$AA$120)&gt;=$Y88),$AB88,$AA88)))=Milestones!$AB$120),UPPER(TEXT(EDATE($D88,Milestones!$AA$120),"dd mmm yy"))&amp;" "&amp;Milestones!$AB$120&amp;" "&amp;IF(AND(Milestones!$AB$120="FT",Milestones!$AA$120=FT_Y5,EDATE($D88,Milestones!$AA$120)&lt;PolicyEff),1,Milestones!$AC$120)&amp;";  ","")&amp;IF(AND(EDATE($D88,Milestones!$AA$121)&lt;=AsOfDate,EDATE($D88,Milestones!$AA$121)&gt;=SchemeStart,IF($X88=0,$AD88,IF(AND($Z88&lt;&gt;"",EDATE($D88,Milestones!$AA$121)&gt;=$Z88),$AC88,IF(AND($Y88&lt;&gt;"",EDATE($D88,Milestones!$AA$121)&gt;=$Y88),$AB88,$AA88)))=Milestones!$AB$121),UPPER(TEXT(EDATE($D88,Milestones!$AA$121),"dd mmm yy"))&amp;" "&amp;Milestones!$AB$121&amp;" "&amp;IF(AND(Milestones!$AB$121="FT",Milestones!$AA$121=FT_Y5,EDATE($D88,Milestones!$AA$121)&lt;PolicyEff),1,Milestones!$AC$121)&amp;";  ","")&amp;IF(AND(EDATE($D88,Milestones!$AA$122)&lt;=AsOfDate,EDATE($D88,Milestones!$AA$122)&gt;=SchemeStart,IF($X88=0,$AD88,IF(AND($Z88&lt;&gt;"",EDATE($D88,Milestones!$AA$122)&gt;=$Z88),$AC88,IF(AND($Y88&lt;&gt;"",EDATE($D88,Milestones!$AA$122)&gt;=$Y88),$AB88,$AA88)))=Milestones!$AB$122),UPPER(TEXT(EDATE($D88,Milestones!$AA$122),"dd mmm yy"))&amp;" "&amp;Milestones!$AB$122&amp;" "&amp;IF(AND(Milestones!$AB$122="FT",Milestones!$AA$122=FT_Y5,EDATE($D88,Milestones!$AA$122)&lt;PolicyEff),1,Milestones!$AC$122)&amp;";  ","")&amp;IF(AND(EDATE($D88,Milestones!$AA$123)&lt;=AsOfDate,EDATE($D88,Milestones!$AA$123)&gt;=SchemeStart,IF($X88=0,$AD88,IF(AND($Z88&lt;&gt;"",EDATE($D88,Milestones!$AA$123)&gt;=$Z88),$AC88,IF(AND($Y88&lt;&gt;"",EDATE($D88,Milestones!$AA$123)&gt;=$Y88),$AB88,$AA88)))=Milestones!$AB$123),UPPER(TEXT(EDATE($D88,Milestones!$AA$123),"dd mmm yy"))&amp;" "&amp;Milestones!$AB$123&amp;" "&amp;IF(AND(Milestones!$AB$123="FT",Milestones!$AA$123=FT_Y5,EDATE($D88,Milestones!$AA$123)&lt;PolicyEff),1,Milestones!$AC$123)&amp;";  ","")&amp;IF(AND(EDATE($D88,Milestones!$AA$124)&lt;=AsOfDate,EDATE($D88,Milestones!$AA$124)&gt;=SchemeStart,IF($X88=0,$AD88,IF(AND($Z88&lt;&gt;"",EDATE($D88,Milestones!$AA$124)&gt;=$Z88),$AC88,IF(AND($Y88&lt;&gt;"",EDATE($D88,Milestones!$AA$124)&gt;=$Y88),$AB88,$AA88)))=Milestones!$AB$124),UPPER(TEXT(EDATE($D88,Milestones!$AA$124),"dd mmm yy"))&amp;" "&amp;Milestones!$AB$124&amp;" "&amp;IF(AND(Milestones!$AB$124="FT",Milestones!$AA$124=FT_Y5,EDATE($D88,Milestones!$AA$124)&lt;PolicyEff),1,Milestones!$AC$124)&amp;";  ","")&amp;IF(AND(EDATE($D88,Milestones!$AA$125)&lt;=AsOfDate,EDATE($D88,Milestones!$AA$125)&gt;=SchemeStart,IF($X88=0,$AD88,IF(AND($Z88&lt;&gt;"",EDATE($D88,Milestones!$AA$125)&gt;=$Z88),$AC88,IF(AND($Y88&lt;&gt;"",EDATE($D88,Milestones!$AA$125)&gt;=$Y88),$AB88,$AA88)))=Milestones!$AB$125),UPPER(TEXT(EDATE($D88,Milestones!$AA$125),"dd mmm yy"))&amp;" "&amp;Milestones!$AB$125&amp;" "&amp;IF(AND(Milestones!$AB$125="FT",Milestones!$AA$125=FT_Y5,EDATE($D88,Milestones!$AA$125)&lt;PolicyEff),1,Milestones!$AC$125)&amp;";  ","")&amp;IF(AND(EDATE($D88,Milestones!$AA$126)&lt;=AsOfDate,EDATE($D88,Milestones!$AA$126)&gt;=SchemeStart,IF($X88=0,$AD88,IF(AND($Z88&lt;&gt;"",EDATE($D88,Milestones!$AA$126)&gt;=$Z88),$AC88,IF(AND($Y88&lt;&gt;"",EDATE($D88,Milestones!$AA$126)&gt;=$Y88),$AB88,$AA88)))=Milestones!$AB$126),UPPER(TEXT(EDATE($D88,Milestones!$AA$126),"dd mmm yy"))&amp;" "&amp;Milestones!$AB$126&amp;" "&amp;IF(AND(Milestones!$AB$126="FT",Milestones!$AA$126=FT_Y5,EDATE($D88,Milestones!$AA$126)&lt;PolicyEff),1,Milestones!$AC$126)&amp;";  ","")&amp;IF(AND(EDATE($D88,Milestones!$AA$127)&lt;=AsOfDate,EDATE($D88,Milestones!$AA$127)&gt;=SchemeStart,IF($X88=0,$AD88,IF(AND($Z88&lt;&gt;"",EDATE($D88,Milestones!$AA$127)&gt;=$Z88),$AC88,IF(AND($Y88&lt;&gt;"",EDATE($D88,Milestones!$AA$127)&gt;=$Y88),$AB88,$AA88)))=Milestones!$AB$127),UPPER(TEXT(EDATE($D88,Milestones!$AA$127),"dd mmm yy"))&amp;" "&amp;Milestones!$AB$127&amp;" "&amp;IF(AND(Milestones!$AB$127="FT",Milestones!$AA$127=FT_Y5,EDATE($D88,Milestones!$AA$127)&lt;PolicyEff),1,Milestones!$AC$127)&amp;";  ",""))</f>
        <v/>
      </c>
      <c r="R88" s="0" t="str">
        <f aca="false">IF(OR($A88="",$D88=""),"",IF(AND(EDATE($D88,Milestones!$AA$128)&lt;=AsOfDate,EDATE($D88,Milestones!$AA$128)&gt;=SchemeStart,IF($X88=0,$AD88,IF(AND($Z88&lt;&gt;"",EDATE($D88,Milestones!$AA$128)&gt;=$Z88),$AC88,IF(AND($Y88&lt;&gt;"",EDATE($D88,Milestones!$AA$128)&gt;=$Y88),$AB88,$AA88)))=Milestones!$AB$128),UPPER(TEXT(EDATE($D88,Milestones!$AA$128),"dd mmm yy"))&amp;" "&amp;Milestones!$AB$128&amp;" "&amp;IF(AND(Milestones!$AB$128="FT",Milestones!$AA$128=FT_Y5,EDATE($D88,Milestones!$AA$128)&lt;PolicyEff),1,Milestones!$AC$128)&amp;";  ","")&amp;IF(AND(EDATE($D88,Milestones!$AA$129)&lt;=AsOfDate,EDATE($D88,Milestones!$AA$129)&gt;=SchemeStart,IF($X88=0,$AD88,IF(AND($Z88&lt;&gt;"",EDATE($D88,Milestones!$AA$129)&gt;=$Z88),$AC88,IF(AND($Y88&lt;&gt;"",EDATE($D88,Milestones!$AA$129)&gt;=$Y88),$AB88,$AA88)))=Milestones!$AB$129),UPPER(TEXT(EDATE($D88,Milestones!$AA$129),"dd mmm yy"))&amp;" "&amp;Milestones!$AB$129&amp;" "&amp;IF(AND(Milestones!$AB$129="FT",Milestones!$AA$129=FT_Y5,EDATE($D88,Milestones!$AA$129)&lt;PolicyEff),1,Milestones!$AC$129)&amp;";  ","")&amp;IF(AND(EDATE($D88,Milestones!$AA$130)&lt;=AsOfDate,EDATE($D88,Milestones!$AA$130)&gt;=SchemeStart,IF($X88=0,$AD88,IF(AND($Z88&lt;&gt;"",EDATE($D88,Milestones!$AA$130)&gt;=$Z88),$AC88,IF(AND($Y88&lt;&gt;"",EDATE($D88,Milestones!$AA$130)&gt;=$Y88),$AB88,$AA88)))=Milestones!$AB$130),UPPER(TEXT(EDATE($D88,Milestones!$AA$130),"dd mmm yy"))&amp;" "&amp;Milestones!$AB$130&amp;" "&amp;IF(AND(Milestones!$AB$130="FT",Milestones!$AA$130=FT_Y5,EDATE($D88,Milestones!$AA$130)&lt;PolicyEff),1,Milestones!$AC$130)&amp;";  ","")&amp;IF(AND(EDATE($D88,Milestones!$AA$131)&lt;=AsOfDate,EDATE($D88,Milestones!$AA$131)&gt;=SchemeStart,IF($X88=0,$AD88,IF(AND($Z88&lt;&gt;"",EDATE($D88,Milestones!$AA$131)&gt;=$Z88),$AC88,IF(AND($Y88&lt;&gt;"",EDATE($D88,Milestones!$AA$131)&gt;=$Y88),$AB88,$AA88)))=Milestones!$AB$131),UPPER(TEXT(EDATE($D88,Milestones!$AA$131),"dd mmm yy"))&amp;" "&amp;Milestones!$AB$131&amp;" "&amp;IF(AND(Milestones!$AB$131="FT",Milestones!$AA$131=FT_Y5,EDATE($D88,Milestones!$AA$131)&lt;PolicyEff),1,Milestones!$AC$131)&amp;";  ","")&amp;IF(AND(EDATE($D88,Milestones!$AA$132)&lt;=AsOfDate,EDATE($D88,Milestones!$AA$132)&gt;=SchemeStart,IF($X88=0,$AD88,IF(AND($Z88&lt;&gt;"",EDATE($D88,Milestones!$AA$132)&gt;=$Z88),$AC88,IF(AND($Y88&lt;&gt;"",EDATE($D88,Milestones!$AA$132)&gt;=$Y88),$AB88,$AA88)))=Milestones!$AB$132),UPPER(TEXT(EDATE($D88,Milestones!$AA$132),"dd mmm yy"))&amp;" "&amp;Milestones!$AB$132&amp;" "&amp;IF(AND(Milestones!$AB$132="FT",Milestones!$AA$132=FT_Y5,EDATE($D88,Milestones!$AA$132)&lt;PolicyEff),1,Milestones!$AC$132)&amp;";  ","")&amp;IF(AND(EDATE($D88,Milestones!$AA$133)&lt;=AsOfDate,EDATE($D88,Milestones!$AA$133)&gt;=SchemeStart,IF($X88=0,$AD88,IF(AND($Z88&lt;&gt;"",EDATE($D88,Milestones!$AA$133)&gt;=$Z88),$AC88,IF(AND($Y88&lt;&gt;"",EDATE($D88,Milestones!$AA$133)&gt;=$Y88),$AB88,$AA88)))=Milestones!$AB$133),UPPER(TEXT(EDATE($D88,Milestones!$AA$133),"dd mmm yy"))&amp;" "&amp;Milestones!$AB$133&amp;" "&amp;IF(AND(Milestones!$AB$133="FT",Milestones!$AA$133=FT_Y5,EDATE($D88,Milestones!$AA$133)&lt;PolicyEff),1,Milestones!$AC$133)&amp;";  ","")&amp;IF(AND(EDATE($D88,Milestones!$AA$134)&lt;=AsOfDate,EDATE($D88,Milestones!$AA$134)&gt;=SchemeStart,IF($X88=0,$AD88,IF(AND($Z88&lt;&gt;"",EDATE($D88,Milestones!$AA$134)&gt;=$Z88),$AC88,IF(AND($Y88&lt;&gt;"",EDATE($D88,Milestones!$AA$134)&gt;=$Y88),$AB88,$AA88)))=Milestones!$AB$134),UPPER(TEXT(EDATE($D88,Milestones!$AA$134),"dd mmm yy"))&amp;" "&amp;Milestones!$AB$134&amp;" "&amp;IF(AND(Milestones!$AB$134="FT",Milestones!$AA$134=FT_Y5,EDATE($D88,Milestones!$AA$134)&lt;PolicyEff),1,Milestones!$AC$134)&amp;";  ","")&amp;IF(AND(EDATE($D88,Milestones!$AA$135)&lt;=AsOfDate,EDATE($D88,Milestones!$AA$135)&gt;=SchemeStart,IF($X88=0,$AD88,IF(AND($Z88&lt;&gt;"",EDATE($D88,Milestones!$AA$135)&gt;=$Z88),$AC88,IF(AND($Y88&lt;&gt;"",EDATE($D88,Milestones!$AA$135)&gt;=$Y88),$AB88,$AA88)))=Milestones!$AB$135),UPPER(TEXT(EDATE($D88,Milestones!$AA$135),"dd mmm yy"))&amp;" "&amp;Milestones!$AB$135&amp;" "&amp;IF(AND(Milestones!$AB$135="FT",Milestones!$AA$135=FT_Y5,EDATE($D88,Milestones!$AA$135)&lt;PolicyEff),1,Milestones!$AC$135)&amp;";  ","")&amp;IF(AND(EDATE($D88,Milestones!$AA$136)&lt;=AsOfDate,EDATE($D88,Milestones!$AA$136)&gt;=SchemeStart,IF($X88=0,$AD88,IF(AND($Z88&lt;&gt;"",EDATE($D88,Milestones!$AA$136)&gt;=$Z88),$AC88,IF(AND($Y88&lt;&gt;"",EDATE($D88,Milestones!$AA$136)&gt;=$Y88),$AB88,$AA88)))=Milestones!$AB$136),UPPER(TEXT(EDATE($D88,Milestones!$AA$136),"dd mmm yy"))&amp;" "&amp;Milestones!$AB$136&amp;" "&amp;IF(AND(Milestones!$AB$136="FT",Milestones!$AA$136=FT_Y5,EDATE($D88,Milestones!$AA$136)&lt;PolicyEff),1,Milestones!$AC$136)&amp;";  ","")&amp;IF(AND(EDATE($D88,Milestones!$AA$137)&lt;=AsOfDate,EDATE($D88,Milestones!$AA$137)&gt;=SchemeStart,IF($X88=0,$AD88,IF(AND($Z88&lt;&gt;"",EDATE($D88,Milestones!$AA$137)&gt;=$Z88),$AC88,IF(AND($Y88&lt;&gt;"",EDATE($D88,Milestones!$AA$137)&gt;=$Y88),$AB88,$AA88)))=Milestones!$AB$137),UPPER(TEXT(EDATE($D88,Milestones!$AA$137),"dd mmm yy"))&amp;" "&amp;Milestones!$AB$137&amp;" "&amp;IF(AND(Milestones!$AB$137="FT",Milestones!$AA$137=FT_Y5,EDATE($D88,Milestones!$AA$137)&lt;PolicyEff),1,Milestones!$AC$137)&amp;";  ","")&amp;IF(AND(EDATE($D88,Milestones!$AA$138)&lt;=AsOfDate,EDATE($D88,Milestones!$AA$138)&gt;=SchemeStart,IF($X88=0,$AD88,IF(AND($Z88&lt;&gt;"",EDATE($D88,Milestones!$AA$138)&gt;=$Z88),$AC88,IF(AND($Y88&lt;&gt;"",EDATE($D88,Milestones!$AA$138)&gt;=$Y88),$AB88,$AA88)))=Milestones!$AB$138),UPPER(TEXT(EDATE($D88,Milestones!$AA$138),"dd mmm yy"))&amp;" "&amp;Milestones!$AB$138&amp;" "&amp;IF(AND(Milestones!$AB$138="FT",Milestones!$AA$138=FT_Y5,EDATE($D88,Milestones!$AA$138)&lt;PolicyEff),1,Milestones!$AC$138)&amp;";  ","")&amp;IF(AND(EDATE($D88,Milestones!$AA$139)&lt;=AsOfDate,EDATE($D88,Milestones!$AA$139)&gt;=SchemeStart,IF($X88=0,$AD88,IF(AND($Z88&lt;&gt;"",EDATE($D88,Milestones!$AA$139)&gt;=$Z88),$AC88,IF(AND($Y88&lt;&gt;"",EDATE($D88,Milestones!$AA$139)&gt;=$Y88),$AB88,$AA88)))=Milestones!$AB$139),UPPER(TEXT(EDATE($D88,Milestones!$AA$139),"dd mmm yy"))&amp;" "&amp;Milestones!$AB$139&amp;" "&amp;IF(AND(Milestones!$AB$139="FT",Milestones!$AA$139=FT_Y5,EDATE($D88,Milestones!$AA$139)&lt;PolicyEff),1,Milestones!$AC$139)&amp;";  ",""))</f>
        <v/>
      </c>
      <c r="S88" s="0" t="str">
        <f aca="false">IF(OR($A88="",$D88=""),"",IF(AND(EDATE($D88,Milestones!$AA$140)&lt;=AsOfDate,EDATE($D88,Milestones!$AA$140)&gt;=SchemeStart,IF($X88=0,$AD88,IF(AND($Z88&lt;&gt;"",EDATE($D88,Milestones!$AA$140)&gt;=$Z88),$AC88,IF(AND($Y88&lt;&gt;"",EDATE($D88,Milestones!$AA$140)&gt;=$Y88),$AB88,$AA88)))=Milestones!$AB$140),UPPER(TEXT(EDATE($D88,Milestones!$AA$140),"dd mmm yy"))&amp;" "&amp;Milestones!$AB$140&amp;" "&amp;IF(AND(Milestones!$AB$140="FT",Milestones!$AA$140=FT_Y5,EDATE($D88,Milestones!$AA$140)&lt;PolicyEff),1,Milestones!$AC$140)&amp;";  ","")&amp;IF(AND(EDATE($D88,Milestones!$AA$141)&lt;=AsOfDate,EDATE($D88,Milestones!$AA$141)&gt;=SchemeStart,IF($X88=0,$AD88,IF(AND($Z88&lt;&gt;"",EDATE($D88,Milestones!$AA$141)&gt;=$Z88),$AC88,IF(AND($Y88&lt;&gt;"",EDATE($D88,Milestones!$AA$141)&gt;=$Y88),$AB88,$AA88)))=Milestones!$AB$141),UPPER(TEXT(EDATE($D88,Milestones!$AA$141),"dd mmm yy"))&amp;" "&amp;Milestones!$AB$141&amp;" "&amp;IF(AND(Milestones!$AB$141="FT",Milestones!$AA$141=FT_Y5,EDATE($D88,Milestones!$AA$141)&lt;PolicyEff),1,Milestones!$AC$141)&amp;";  ","")&amp;IF(AND(EDATE($D88,Milestones!$AA$142)&lt;=AsOfDate,EDATE($D88,Milestones!$AA$142)&gt;=SchemeStart,IF($X88=0,$AD88,IF(AND($Z88&lt;&gt;"",EDATE($D88,Milestones!$AA$142)&gt;=$Z88),$AC88,IF(AND($Y88&lt;&gt;"",EDATE($D88,Milestones!$AA$142)&gt;=$Y88),$AB88,$AA88)))=Milestones!$AB$142),UPPER(TEXT(EDATE($D88,Milestones!$AA$142),"dd mmm yy"))&amp;" "&amp;Milestones!$AB$142&amp;" "&amp;IF(AND(Milestones!$AB$142="FT",Milestones!$AA$142=FT_Y5,EDATE($D88,Milestones!$AA$142)&lt;PolicyEff),1,Milestones!$AC$142)&amp;";  ","")&amp;IF(AND(EDATE($D88,Milestones!$AA$143)&lt;=AsOfDate,EDATE($D88,Milestones!$AA$143)&gt;=SchemeStart,IF($X88=0,$AD88,IF(AND($Z88&lt;&gt;"",EDATE($D88,Milestones!$AA$143)&gt;=$Z88),$AC88,IF(AND($Y88&lt;&gt;"",EDATE($D88,Milestones!$AA$143)&gt;=$Y88),$AB88,$AA88)))=Milestones!$AB$143),UPPER(TEXT(EDATE($D88,Milestones!$AA$143),"dd mmm yy"))&amp;" "&amp;Milestones!$AB$143&amp;" "&amp;IF(AND(Milestones!$AB$143="FT",Milestones!$AA$143=FT_Y5,EDATE($D88,Milestones!$AA$143)&lt;PolicyEff),1,Milestones!$AC$143)&amp;";  ","")&amp;IF(AND(EDATE($D88,Milestones!$AA$144)&lt;=AsOfDate,EDATE($D88,Milestones!$AA$144)&gt;=SchemeStart,IF($X88=0,$AD88,IF(AND($Z88&lt;&gt;"",EDATE($D88,Milestones!$AA$144)&gt;=$Z88),$AC88,IF(AND($Y88&lt;&gt;"",EDATE($D88,Milestones!$AA$144)&gt;=$Y88),$AB88,$AA88)))=Milestones!$AB$144),UPPER(TEXT(EDATE($D88,Milestones!$AA$144),"dd mmm yy"))&amp;" "&amp;Milestones!$AB$144&amp;" "&amp;IF(AND(Milestones!$AB$144="FT",Milestones!$AA$144=FT_Y5,EDATE($D88,Milestones!$AA$144)&lt;PolicyEff),1,Milestones!$AC$144)&amp;";  ","")&amp;IF(AND(EDATE($D88,Milestones!$AA$145)&lt;=AsOfDate,EDATE($D88,Milestones!$AA$145)&gt;=SchemeStart,IF($X88=0,$AD88,IF(AND($Z88&lt;&gt;"",EDATE($D88,Milestones!$AA$145)&gt;=$Z88),$AC88,IF(AND($Y88&lt;&gt;"",EDATE($D88,Milestones!$AA$145)&gt;=$Y88),$AB88,$AA88)))=Milestones!$AB$145),UPPER(TEXT(EDATE($D88,Milestones!$AA$145),"dd mmm yy"))&amp;" "&amp;Milestones!$AB$145&amp;" "&amp;IF(AND(Milestones!$AB$145="FT",Milestones!$AA$145=FT_Y5,EDATE($D88,Milestones!$AA$145)&lt;PolicyEff),1,Milestones!$AC$145)&amp;";  ","")&amp;IF(AND(EDATE($D88,Milestones!$AA$146)&lt;=AsOfDate,EDATE($D88,Milestones!$AA$146)&gt;=SchemeStart,IF($X88=0,$AD88,IF(AND($Z88&lt;&gt;"",EDATE($D88,Milestones!$AA$146)&gt;=$Z88),$AC88,IF(AND($Y88&lt;&gt;"",EDATE($D88,Milestones!$AA$146)&gt;=$Y88),$AB88,$AA88)))=Milestones!$AB$146),UPPER(TEXT(EDATE($D88,Milestones!$AA$146),"dd mmm yy"))&amp;" "&amp;Milestones!$AB$146&amp;" "&amp;IF(AND(Milestones!$AB$146="FT",Milestones!$AA$146=FT_Y5,EDATE($D88,Milestones!$AA$146)&lt;PolicyEff),1,Milestones!$AC$146)&amp;";  ","")&amp;IF(AND(EDATE($D88,Milestones!$AA$147)&lt;=AsOfDate,EDATE($D88,Milestones!$AA$147)&gt;=SchemeStart,IF($X88=0,$AD88,IF(AND($Z88&lt;&gt;"",EDATE($D88,Milestones!$AA$147)&gt;=$Z88),$AC88,IF(AND($Y88&lt;&gt;"",EDATE($D88,Milestones!$AA$147)&gt;=$Y88),$AB88,$AA88)))=Milestones!$AB$147),UPPER(TEXT(EDATE($D88,Milestones!$AA$147),"dd mmm yy"))&amp;" "&amp;Milestones!$AB$147&amp;" "&amp;IF(AND(Milestones!$AB$147="FT",Milestones!$AA$147=FT_Y5,EDATE($D88,Milestones!$AA$147)&lt;PolicyEff),1,Milestones!$AC$147)&amp;";  ","")&amp;IF(AND(EDATE($D88,Milestones!$AA$148)&lt;=AsOfDate,EDATE($D88,Milestones!$AA$148)&gt;=SchemeStart,IF($X88=0,$AD88,IF(AND($Z88&lt;&gt;"",EDATE($D88,Milestones!$AA$148)&gt;=$Z88),$AC88,IF(AND($Y88&lt;&gt;"",EDATE($D88,Milestones!$AA$148)&gt;=$Y88),$AB88,$AA88)))=Milestones!$AB$148),UPPER(TEXT(EDATE($D88,Milestones!$AA$148),"dd mmm yy"))&amp;" "&amp;Milestones!$AB$148&amp;" "&amp;IF(AND(Milestones!$AB$148="FT",Milestones!$AA$148=FT_Y5,EDATE($D88,Milestones!$AA$148)&lt;PolicyEff),1,Milestones!$AC$148)&amp;";  ","")&amp;IF(AND(EDATE($D88,Milestones!$AA$149)&lt;=AsOfDate,EDATE($D88,Milestones!$AA$149)&gt;=SchemeStart,IF($X88=0,$AD88,IF(AND($Z88&lt;&gt;"",EDATE($D88,Milestones!$AA$149)&gt;=$Z88),$AC88,IF(AND($Y88&lt;&gt;"",EDATE($D88,Milestones!$AA$149)&gt;=$Y88),$AB88,$AA88)))=Milestones!$AB$149),UPPER(TEXT(EDATE($D88,Milestones!$AA$149),"dd mmm yy"))&amp;" "&amp;Milestones!$AB$149&amp;" "&amp;IF(AND(Milestones!$AB$149="FT",Milestones!$AA$149=FT_Y5,EDATE($D88,Milestones!$AA$149)&lt;PolicyEff),1,Milestones!$AC$149)&amp;";  ","")&amp;IF(AND(EDATE($D88,Milestones!$AA$150)&lt;=AsOfDate,EDATE($D88,Milestones!$AA$150)&gt;=SchemeStart,IF($X88=0,$AD88,IF(AND($Z88&lt;&gt;"",EDATE($D88,Milestones!$AA$150)&gt;=$Z88),$AC88,IF(AND($Y88&lt;&gt;"",EDATE($D88,Milestones!$AA$150)&gt;=$Y88),$AB88,$AA88)))=Milestones!$AB$150),UPPER(TEXT(EDATE($D88,Milestones!$AA$150),"dd mmm yy"))&amp;" "&amp;Milestones!$AB$150&amp;" "&amp;IF(AND(Milestones!$AB$150="FT",Milestones!$AA$150=FT_Y5,EDATE($D88,Milestones!$AA$150)&lt;PolicyEff),1,Milestones!$AC$150)&amp;";  ","")&amp;IF(AND(EDATE($D88,Milestones!$AA$151)&lt;=AsOfDate,EDATE($D88,Milestones!$AA$151)&gt;=SchemeStart,IF($X88=0,$AD88,IF(AND($Z88&lt;&gt;"",EDATE($D88,Milestones!$AA$151)&gt;=$Z88),$AC88,IF(AND($Y88&lt;&gt;"",EDATE($D88,Milestones!$AA$151)&gt;=$Y88),$AB88,$AA88)))=Milestones!$AB$151),UPPER(TEXT(EDATE($D88,Milestones!$AA$151),"dd mmm yy"))&amp;" "&amp;Milestones!$AB$151&amp;" "&amp;IF(AND(Milestones!$AB$151="FT",Milestones!$AA$151=FT_Y5,EDATE($D88,Milestones!$AA$151)&lt;PolicyEff),1,Milestones!$AC$151)&amp;";  ",""))</f>
        <v/>
      </c>
      <c r="T88" s="0" t="str">
        <f aca="false">IF(OR($A88="",$D88=""),"",IF(AND(EDATE($D88,Milestones!$AA$152)&lt;=AsOfDate,EDATE($D88,Milestones!$AA$152)&gt;=SchemeStart,IF($X88=0,$AD88,IF(AND($Z88&lt;&gt;"",EDATE($D88,Milestones!$AA$152)&gt;=$Z88),$AC88,IF(AND($Y88&lt;&gt;"",EDATE($D88,Milestones!$AA$152)&gt;=$Y88),$AB88,$AA88)))=Milestones!$AB$152),UPPER(TEXT(EDATE($D88,Milestones!$AA$152),"dd mmm yy"))&amp;" "&amp;Milestones!$AB$152&amp;" "&amp;IF(AND(Milestones!$AB$152="FT",Milestones!$AA$152=FT_Y5,EDATE($D88,Milestones!$AA$152)&lt;PolicyEff),1,Milestones!$AC$152)&amp;";  ","")&amp;IF(AND(EDATE($D88,Milestones!$AA$153)&lt;=AsOfDate,EDATE($D88,Milestones!$AA$153)&gt;=SchemeStart,IF($X88=0,$AD88,IF(AND($Z88&lt;&gt;"",EDATE($D88,Milestones!$AA$153)&gt;=$Z88),$AC88,IF(AND($Y88&lt;&gt;"",EDATE($D88,Milestones!$AA$153)&gt;=$Y88),$AB88,$AA88)))=Milestones!$AB$153),UPPER(TEXT(EDATE($D88,Milestones!$AA$153),"dd mmm yy"))&amp;" "&amp;Milestones!$AB$153&amp;" "&amp;IF(AND(Milestones!$AB$153="FT",Milestones!$AA$153=FT_Y5,EDATE($D88,Milestones!$AA$153)&lt;PolicyEff),1,Milestones!$AC$153)&amp;";  ","")&amp;IF(AND(EDATE($D88,Milestones!$AA$154)&lt;=AsOfDate,EDATE($D88,Milestones!$AA$154)&gt;=SchemeStart,IF($X88=0,$AD88,IF(AND($Z88&lt;&gt;"",EDATE($D88,Milestones!$AA$154)&gt;=$Z88),$AC88,IF(AND($Y88&lt;&gt;"",EDATE($D88,Milestones!$AA$154)&gt;=$Y88),$AB88,$AA88)))=Milestones!$AB$154),UPPER(TEXT(EDATE($D88,Milestones!$AA$154),"dd mmm yy"))&amp;" "&amp;Milestones!$AB$154&amp;" "&amp;IF(AND(Milestones!$AB$154="FT",Milestones!$AA$154=FT_Y5,EDATE($D88,Milestones!$AA$154)&lt;PolicyEff),1,Milestones!$AC$154)&amp;";  ","")&amp;IF(AND(EDATE($D88,Milestones!$AA$155)&lt;=AsOfDate,EDATE($D88,Milestones!$AA$155)&gt;=SchemeStart,IF($X88=0,$AD88,IF(AND($Z88&lt;&gt;"",EDATE($D88,Milestones!$AA$155)&gt;=$Z88),$AC88,IF(AND($Y88&lt;&gt;"",EDATE($D88,Milestones!$AA$155)&gt;=$Y88),$AB88,$AA88)))=Milestones!$AB$155),UPPER(TEXT(EDATE($D88,Milestones!$AA$155),"dd mmm yy"))&amp;" "&amp;Milestones!$AB$155&amp;" "&amp;IF(AND(Milestones!$AB$155="FT",Milestones!$AA$155=FT_Y5,EDATE($D88,Milestones!$AA$155)&lt;PolicyEff),1,Milestones!$AC$155)&amp;";  ","")&amp;IF(AND(EDATE($D88,Milestones!$AA$156)&lt;=AsOfDate,EDATE($D88,Milestones!$AA$156)&gt;=SchemeStart,IF($X88=0,$AD88,IF(AND($Z88&lt;&gt;"",EDATE($D88,Milestones!$AA$156)&gt;=$Z88),$AC88,IF(AND($Y88&lt;&gt;"",EDATE($D88,Milestones!$AA$156)&gt;=$Y88),$AB88,$AA88)))=Milestones!$AB$156),UPPER(TEXT(EDATE($D88,Milestones!$AA$156),"dd mmm yy"))&amp;" "&amp;Milestones!$AB$156&amp;" "&amp;IF(AND(Milestones!$AB$156="FT",Milestones!$AA$156=FT_Y5,EDATE($D88,Milestones!$AA$156)&lt;PolicyEff),1,Milestones!$AC$156)&amp;";  ","")&amp;IF(AND(EDATE($D88,Milestones!$AA$157)&lt;=AsOfDate,EDATE($D88,Milestones!$AA$157)&gt;=SchemeStart,IF($X88=0,$AD88,IF(AND($Z88&lt;&gt;"",EDATE($D88,Milestones!$AA$157)&gt;=$Z88),$AC88,IF(AND($Y88&lt;&gt;"",EDATE($D88,Milestones!$AA$157)&gt;=$Y88),$AB88,$AA88)))=Milestones!$AB$157),UPPER(TEXT(EDATE($D88,Milestones!$AA$157),"dd mmm yy"))&amp;" "&amp;Milestones!$AB$157&amp;" "&amp;IF(AND(Milestones!$AB$157="FT",Milestones!$AA$157=FT_Y5,EDATE($D88,Milestones!$AA$157)&lt;PolicyEff),1,Milestones!$AC$157)&amp;";  ","")&amp;IF(AND(EDATE($D88,Milestones!$AA$158)&lt;=AsOfDate,EDATE($D88,Milestones!$AA$158)&gt;=SchemeStart,IF($X88=0,$AD88,IF(AND($Z88&lt;&gt;"",EDATE($D88,Milestones!$AA$158)&gt;=$Z88),$AC88,IF(AND($Y88&lt;&gt;"",EDATE($D88,Milestones!$AA$158)&gt;=$Y88),$AB88,$AA88)))=Milestones!$AB$158),UPPER(TEXT(EDATE($D88,Milestones!$AA$158),"dd mmm yy"))&amp;" "&amp;Milestones!$AB$158&amp;" "&amp;IF(AND(Milestones!$AB$158="FT",Milestones!$AA$158=FT_Y5,EDATE($D88,Milestones!$AA$158)&lt;PolicyEff),1,Milestones!$AC$158)&amp;";  ","")&amp;IF(AND(EDATE($D88,Milestones!$AA$159)&lt;=AsOfDate,EDATE($D88,Milestones!$AA$159)&gt;=SchemeStart,IF($X88=0,$AD88,IF(AND($Z88&lt;&gt;"",EDATE($D88,Milestones!$AA$159)&gt;=$Z88),$AC88,IF(AND($Y88&lt;&gt;"",EDATE($D88,Milestones!$AA$159)&gt;=$Y88),$AB88,$AA88)))=Milestones!$AB$159),UPPER(TEXT(EDATE($D88,Milestones!$AA$159),"dd mmm yy"))&amp;" "&amp;Milestones!$AB$159&amp;" "&amp;IF(AND(Milestones!$AB$159="FT",Milestones!$AA$159=FT_Y5,EDATE($D88,Milestones!$AA$159)&lt;PolicyEff),1,Milestones!$AC$159)&amp;";  ","")&amp;IF(AND(EDATE($D88,Milestones!$AA$160)&lt;=AsOfDate,EDATE($D88,Milestones!$AA$160)&gt;=SchemeStart,IF($X88=0,$AD88,IF(AND($Z88&lt;&gt;"",EDATE($D88,Milestones!$AA$160)&gt;=$Z88),$AC88,IF(AND($Y88&lt;&gt;"",EDATE($D88,Milestones!$AA$160)&gt;=$Y88),$AB88,$AA88)))=Milestones!$AB$160),UPPER(TEXT(EDATE($D88,Milestones!$AA$160),"dd mmm yy"))&amp;" "&amp;Milestones!$AB$160&amp;" "&amp;IF(AND(Milestones!$AB$160="FT",Milestones!$AA$160=FT_Y5,EDATE($D88,Milestones!$AA$160)&lt;PolicyEff),1,Milestones!$AC$160)&amp;";  ","")&amp;IF(AND(EDATE($D88,Milestones!$AA$161)&lt;=AsOfDate,EDATE($D88,Milestones!$AA$161)&gt;=SchemeStart,IF($X88=0,$AD88,IF(AND($Z88&lt;&gt;"",EDATE($D88,Milestones!$AA$161)&gt;=$Z88),$AC88,IF(AND($Y88&lt;&gt;"",EDATE($D88,Milestones!$AA$161)&gt;=$Y88),$AB88,$AA88)))=Milestones!$AB$161),UPPER(TEXT(EDATE($D88,Milestones!$AA$161),"dd mmm yy"))&amp;" "&amp;Milestones!$AB$161&amp;" "&amp;IF(AND(Milestones!$AB$161="FT",Milestones!$AA$161=FT_Y5,EDATE($D88,Milestones!$AA$161)&lt;PolicyEff),1,Milestones!$AC$161)&amp;";  ","")&amp;IF(AND(EDATE($D88,Milestones!$AA$162)&lt;=AsOfDate,EDATE($D88,Milestones!$AA$162)&gt;=SchemeStart,IF($X88=0,$AD88,IF(AND($Z88&lt;&gt;"",EDATE($D88,Milestones!$AA$162)&gt;=$Z88),$AC88,IF(AND($Y88&lt;&gt;"",EDATE($D88,Milestones!$AA$162)&gt;=$Y88),$AB88,$AA88)))=Milestones!$AB$162),UPPER(TEXT(EDATE($D88,Milestones!$AA$162),"dd mmm yy"))&amp;" "&amp;Milestones!$AB$162&amp;" "&amp;IF(AND(Milestones!$AB$162="FT",Milestones!$AA$162=FT_Y5,EDATE($D88,Milestones!$AA$162)&lt;PolicyEff),1,Milestones!$AC$162)&amp;";  ","")&amp;IF(AND(EDATE($D88,Milestones!$AA$163)&lt;=AsOfDate,EDATE($D88,Milestones!$AA$163)&gt;=SchemeStart,IF($X88=0,$AD88,IF(AND($Z88&lt;&gt;"",EDATE($D88,Milestones!$AA$163)&gt;=$Z88),$AC88,IF(AND($Y88&lt;&gt;"",EDATE($D88,Milestones!$AA$163)&gt;=$Y88),$AB88,$AA88)))=Milestones!$AB$163),UPPER(TEXT(EDATE($D88,Milestones!$AA$163),"dd mmm yy"))&amp;" "&amp;Milestones!$AB$163&amp;" "&amp;IF(AND(Milestones!$AB$163="FT",Milestones!$AA$163=FT_Y5,EDATE($D88,Milestones!$AA$163)&lt;PolicyEff),1,Milestones!$AC$163)&amp;";  ",""))</f>
        <v/>
      </c>
      <c r="U88" s="0" t="str">
        <f aca="false">IF(OR($A88="",$D88=""),"",IF(AND(EDATE($D88,Milestones!$AA$164)&lt;=AsOfDate,EDATE($D88,Milestones!$AA$164)&gt;=SchemeStart,IF($X88=0,$AD88,IF(AND($Z88&lt;&gt;"",EDATE($D88,Milestones!$AA$164)&gt;=$Z88),$AC88,IF(AND($Y88&lt;&gt;"",EDATE($D88,Milestones!$AA$164)&gt;=$Y88),$AB88,$AA88)))=Milestones!$AB$164),UPPER(TEXT(EDATE($D88,Milestones!$AA$164),"dd mmm yy"))&amp;" "&amp;Milestones!$AB$164&amp;" "&amp;IF(AND(Milestones!$AB$164="FT",Milestones!$AA$164=FT_Y5,EDATE($D88,Milestones!$AA$164)&lt;PolicyEff),1,Milestones!$AC$164)&amp;";  ","")&amp;IF(AND(EDATE($D88,Milestones!$AA$165)&lt;=AsOfDate,EDATE($D88,Milestones!$AA$165)&gt;=SchemeStart,IF($X88=0,$AD88,IF(AND($Z88&lt;&gt;"",EDATE($D88,Milestones!$AA$165)&gt;=$Z88),$AC88,IF(AND($Y88&lt;&gt;"",EDATE($D88,Milestones!$AA$165)&gt;=$Y88),$AB88,$AA88)))=Milestones!$AB$165),UPPER(TEXT(EDATE($D88,Milestones!$AA$165),"dd mmm yy"))&amp;" "&amp;Milestones!$AB$165&amp;" "&amp;IF(AND(Milestones!$AB$165="FT",Milestones!$AA$165=FT_Y5,EDATE($D88,Milestones!$AA$165)&lt;PolicyEff),1,Milestones!$AC$165)&amp;";  ","")&amp;IF(AND(EDATE($D88,Milestones!$AA$166)&lt;=AsOfDate,EDATE($D88,Milestones!$AA$166)&gt;=SchemeStart,IF($X88=0,$AD88,IF(AND($Z88&lt;&gt;"",EDATE($D88,Milestones!$AA$166)&gt;=$Z88),$AC88,IF(AND($Y88&lt;&gt;"",EDATE($D88,Milestones!$AA$166)&gt;=$Y88),$AB88,$AA88)))=Milestones!$AB$166),UPPER(TEXT(EDATE($D88,Milestones!$AA$166),"dd mmm yy"))&amp;" "&amp;Milestones!$AB$166&amp;" "&amp;IF(AND(Milestones!$AB$166="FT",Milestones!$AA$166=FT_Y5,EDATE($D88,Milestones!$AA$166)&lt;PolicyEff),1,Milestones!$AC$166)&amp;";  ","")&amp;IF(AND(EDATE($D88,Milestones!$AA$167)&lt;=AsOfDate,EDATE($D88,Milestones!$AA$167)&gt;=SchemeStart,IF($X88=0,$AD88,IF(AND($Z88&lt;&gt;"",EDATE($D88,Milestones!$AA$167)&gt;=$Z88),$AC88,IF(AND($Y88&lt;&gt;"",EDATE($D88,Milestones!$AA$167)&gt;=$Y88),$AB88,$AA88)))=Milestones!$AB$167),UPPER(TEXT(EDATE($D88,Milestones!$AA$167),"dd mmm yy"))&amp;" "&amp;Milestones!$AB$167&amp;" "&amp;IF(AND(Milestones!$AB$167="FT",Milestones!$AA$167=FT_Y5,EDATE($D88,Milestones!$AA$167)&lt;PolicyEff),1,Milestones!$AC$167)&amp;";  ","")&amp;IF(AND(EDATE($D88,Milestones!$AA$168)&lt;=AsOfDate,EDATE($D88,Milestones!$AA$168)&gt;=SchemeStart,IF($X88=0,$AD88,IF(AND($Z88&lt;&gt;"",EDATE($D88,Milestones!$AA$168)&gt;=$Z88),$AC88,IF(AND($Y88&lt;&gt;"",EDATE($D88,Milestones!$AA$168)&gt;=$Y88),$AB88,$AA88)))=Milestones!$AB$168),UPPER(TEXT(EDATE($D88,Milestones!$AA$168),"dd mmm yy"))&amp;" "&amp;Milestones!$AB$168&amp;" "&amp;IF(AND(Milestones!$AB$168="FT",Milestones!$AA$168=FT_Y5,EDATE($D88,Milestones!$AA$168)&lt;PolicyEff),1,Milestones!$AC$168)&amp;";  ","")&amp;IF(AND(EDATE($D88,Milestones!$AA$169)&lt;=AsOfDate,EDATE($D88,Milestones!$AA$169)&gt;=SchemeStart,IF($X88=0,$AD88,IF(AND($Z88&lt;&gt;"",EDATE($D88,Milestones!$AA$169)&gt;=$Z88),$AC88,IF(AND($Y88&lt;&gt;"",EDATE($D88,Milestones!$AA$169)&gt;=$Y88),$AB88,$AA88)))=Milestones!$AB$169),UPPER(TEXT(EDATE($D88,Milestones!$AA$169),"dd mmm yy"))&amp;" "&amp;Milestones!$AB$169&amp;" "&amp;IF(AND(Milestones!$AB$169="FT",Milestones!$AA$169=FT_Y5,EDATE($D88,Milestones!$AA$169)&lt;PolicyEff),1,Milestones!$AC$169)&amp;";  ","")&amp;IF(AND(EDATE($D88,Milestones!$AA$170)&lt;=AsOfDate,EDATE($D88,Milestones!$AA$170)&gt;=SchemeStart,IF($X88=0,$AD88,IF(AND($Z88&lt;&gt;"",EDATE($D88,Milestones!$AA$170)&gt;=$Z88),$AC88,IF(AND($Y88&lt;&gt;"",EDATE($D88,Milestones!$AA$170)&gt;=$Y88),$AB88,$AA88)))=Milestones!$AB$170),UPPER(TEXT(EDATE($D88,Milestones!$AA$170),"dd mmm yy"))&amp;" "&amp;Milestones!$AB$170&amp;" "&amp;IF(AND(Milestones!$AB$170="FT",Milestones!$AA$170=FT_Y5,EDATE($D88,Milestones!$AA$170)&lt;PolicyEff),1,Milestones!$AC$170)&amp;";  ","")&amp;IF(AND(EDATE($D88,Milestones!$AA$171)&lt;=AsOfDate,EDATE($D88,Milestones!$AA$171)&gt;=SchemeStart,IF($X88=0,$AD88,IF(AND($Z88&lt;&gt;"",EDATE($D88,Milestones!$AA$171)&gt;=$Z88),$AC88,IF(AND($Y88&lt;&gt;"",EDATE($D88,Milestones!$AA$171)&gt;=$Y88),$AB88,$AA88)))=Milestones!$AB$171),UPPER(TEXT(EDATE($D88,Milestones!$AA$171),"dd mmm yy"))&amp;" "&amp;Milestones!$AB$171&amp;" "&amp;IF(AND(Milestones!$AB$171="FT",Milestones!$AA$171=FT_Y5,EDATE($D88,Milestones!$AA$171)&lt;PolicyEff),1,Milestones!$AC$171)&amp;";  ","")&amp;IF(AND(EDATE($D88,Milestones!$AA$172)&lt;=AsOfDate,EDATE($D88,Milestones!$AA$172)&gt;=SchemeStart,IF($X88=0,$AD88,IF(AND($Z88&lt;&gt;"",EDATE($D88,Milestones!$AA$172)&gt;=$Z88),$AC88,IF(AND($Y88&lt;&gt;"",EDATE($D88,Milestones!$AA$172)&gt;=$Y88),$AB88,$AA88)))=Milestones!$AB$172),UPPER(TEXT(EDATE($D88,Milestones!$AA$172),"dd mmm yy"))&amp;" "&amp;Milestones!$AB$172&amp;" "&amp;IF(AND(Milestones!$AB$172="FT",Milestones!$AA$172=FT_Y5,EDATE($D88,Milestones!$AA$172)&lt;PolicyEff),1,Milestones!$AC$172)&amp;";  ","")&amp;IF(AND(EDATE($D88,Milestones!$AA$173)&lt;=AsOfDate,EDATE($D88,Milestones!$AA$173)&gt;=SchemeStart,IF($X88=0,$AD88,IF(AND($Z88&lt;&gt;"",EDATE($D88,Milestones!$AA$173)&gt;=$Z88),$AC88,IF(AND($Y88&lt;&gt;"",EDATE($D88,Milestones!$AA$173)&gt;=$Y88),$AB88,$AA88)))=Milestones!$AB$173),UPPER(TEXT(EDATE($D88,Milestones!$AA$173),"dd mmm yy"))&amp;" "&amp;Milestones!$AB$173&amp;" "&amp;IF(AND(Milestones!$AB$173="FT",Milestones!$AA$173=FT_Y5,EDATE($D88,Milestones!$AA$173)&lt;PolicyEff),1,Milestones!$AC$173)&amp;";  ","")&amp;IF(AND(EDATE($D88,Milestones!$AA$174)&lt;=AsOfDate,EDATE($D88,Milestones!$AA$174)&gt;=SchemeStart,IF($X88=0,$AD88,IF(AND($Z88&lt;&gt;"",EDATE($D88,Milestones!$AA$174)&gt;=$Z88),$AC88,IF(AND($Y88&lt;&gt;"",EDATE($D88,Milestones!$AA$174)&gt;=$Y88),$AB88,$AA88)))=Milestones!$AB$174),UPPER(TEXT(EDATE($D88,Milestones!$AA$174),"dd mmm yy"))&amp;" "&amp;Milestones!$AB$174&amp;" "&amp;IF(AND(Milestones!$AB$174="FT",Milestones!$AA$174=FT_Y5,EDATE($D88,Milestones!$AA$174)&lt;PolicyEff),1,Milestones!$AC$174)&amp;";  ","")&amp;IF(AND(EDATE($D88,Milestones!$AA$175)&lt;=AsOfDate,EDATE($D88,Milestones!$AA$175)&gt;=SchemeStart,IF($X88=0,$AD88,IF(AND($Z88&lt;&gt;"",EDATE($D88,Milestones!$AA$175)&gt;=$Z88),$AC88,IF(AND($Y88&lt;&gt;"",EDATE($D88,Milestones!$AA$175)&gt;=$Y88),$AB88,$AA88)))=Milestones!$AB$175),UPPER(TEXT(EDATE($D88,Milestones!$AA$175),"dd mmm yy"))&amp;" "&amp;Milestones!$AB$175&amp;" "&amp;IF(AND(Milestones!$AB$175="FT",Milestones!$AA$175=FT_Y5,EDATE($D88,Milestones!$AA$175)&lt;PolicyEff),1,Milestones!$AC$175)&amp;";  ",""))</f>
        <v/>
      </c>
      <c r="V88" s="0" t="str">
        <f aca="false">IF(OR($A88="",$D88=""),"",IF(AND(EDATE($D88,Milestones!$AA$176)&lt;=AsOfDate,EDATE($D88,Milestones!$AA$176)&gt;=SchemeStart,IF($X88=0,$AD88,IF(AND($Z88&lt;&gt;"",EDATE($D88,Milestones!$AA$176)&gt;=$Z88),$AC88,IF(AND($Y88&lt;&gt;"",EDATE($D88,Milestones!$AA$176)&gt;=$Y88),$AB88,$AA88)))=Milestones!$AB$176),UPPER(TEXT(EDATE($D88,Milestones!$AA$176),"dd mmm yy"))&amp;" "&amp;Milestones!$AB$176&amp;" "&amp;IF(AND(Milestones!$AB$176="FT",Milestones!$AA$176=FT_Y5,EDATE($D88,Milestones!$AA$176)&lt;PolicyEff),1,Milestones!$AC$176)&amp;";  ","")&amp;IF(AND(EDATE($D88,Milestones!$AA$177)&lt;=AsOfDate,EDATE($D88,Milestones!$AA$177)&gt;=SchemeStart,IF($X88=0,$AD88,IF(AND($Z88&lt;&gt;"",EDATE($D88,Milestones!$AA$177)&gt;=$Z88),$AC88,IF(AND($Y88&lt;&gt;"",EDATE($D88,Milestones!$AA$177)&gt;=$Y88),$AB88,$AA88)))=Milestones!$AB$177),UPPER(TEXT(EDATE($D88,Milestones!$AA$177),"dd mmm yy"))&amp;" "&amp;Milestones!$AB$177&amp;" "&amp;IF(AND(Milestones!$AB$177="FT",Milestones!$AA$177=FT_Y5,EDATE($D88,Milestones!$AA$177)&lt;PolicyEff),1,Milestones!$AC$177)&amp;";  ","")&amp;IF(AND(EDATE($D88,Milestones!$AA$178)&lt;=AsOfDate,EDATE($D88,Milestones!$AA$178)&gt;=SchemeStart,IF($X88=0,$AD88,IF(AND($Z88&lt;&gt;"",EDATE($D88,Milestones!$AA$178)&gt;=$Z88),$AC88,IF(AND($Y88&lt;&gt;"",EDATE($D88,Milestones!$AA$178)&gt;=$Y88),$AB88,$AA88)))=Milestones!$AB$178),UPPER(TEXT(EDATE($D88,Milestones!$AA$178),"dd mmm yy"))&amp;" "&amp;Milestones!$AB$178&amp;" "&amp;IF(AND(Milestones!$AB$178="FT",Milestones!$AA$178=FT_Y5,EDATE($D88,Milestones!$AA$178)&lt;PolicyEff),1,Milestones!$AC$178)&amp;";  ","")&amp;IF(AND(EDATE($D88,Milestones!$AA$179)&lt;=AsOfDate,EDATE($D88,Milestones!$AA$179)&gt;=SchemeStart,IF($X88=0,$AD88,IF(AND($Z88&lt;&gt;"",EDATE($D88,Milestones!$AA$179)&gt;=$Z88),$AC88,IF(AND($Y88&lt;&gt;"",EDATE($D88,Milestones!$AA$179)&gt;=$Y88),$AB88,$AA88)))=Milestones!$AB$179),UPPER(TEXT(EDATE($D88,Milestones!$AA$179),"dd mmm yy"))&amp;" "&amp;Milestones!$AB$179&amp;" "&amp;IF(AND(Milestones!$AB$179="FT",Milestones!$AA$179=FT_Y5,EDATE($D88,Milestones!$AA$179)&lt;PolicyEff),1,Milestones!$AC$179)&amp;";  ","")&amp;IF(AND(EDATE($D88,Milestones!$AA$180)&lt;=AsOfDate,EDATE($D88,Milestones!$AA$180)&gt;=SchemeStart,IF($X88=0,$AD88,IF(AND($Z88&lt;&gt;"",EDATE($D88,Milestones!$AA$180)&gt;=$Z88),$AC88,IF(AND($Y88&lt;&gt;"",EDATE($D88,Milestones!$AA$180)&gt;=$Y88),$AB88,$AA88)))=Milestones!$AB$180),UPPER(TEXT(EDATE($D88,Milestones!$AA$180),"dd mmm yy"))&amp;" "&amp;Milestones!$AB$180&amp;" "&amp;IF(AND(Milestones!$AB$180="FT",Milestones!$AA$180=FT_Y5,EDATE($D88,Milestones!$AA$180)&lt;PolicyEff),1,Milestones!$AC$180)&amp;";  ","")&amp;IF(AND(EDATE($D88,Milestones!$AA$181)&lt;=AsOfDate,EDATE($D88,Milestones!$AA$181)&gt;=SchemeStart,IF($X88=0,$AD88,IF(AND($Z88&lt;&gt;"",EDATE($D88,Milestones!$AA$181)&gt;=$Z88),$AC88,IF(AND($Y88&lt;&gt;"",EDATE($D88,Milestones!$AA$181)&gt;=$Y88),$AB88,$AA88)))=Milestones!$AB$181),UPPER(TEXT(EDATE($D88,Milestones!$AA$181),"dd mmm yy"))&amp;" "&amp;Milestones!$AB$181&amp;" "&amp;IF(AND(Milestones!$AB$181="FT",Milestones!$AA$181=FT_Y5,EDATE($D88,Milestones!$AA$181)&lt;PolicyEff),1,Milestones!$AC$181)&amp;";  ","")&amp;IF(AND(EDATE($D88,Milestones!$AA$182)&lt;=AsOfDate,EDATE($D88,Milestones!$AA$182)&gt;=SchemeStart,IF($X88=0,$AD88,IF(AND($Z88&lt;&gt;"",EDATE($D88,Milestones!$AA$182)&gt;=$Z88),$AC88,IF(AND($Y88&lt;&gt;"",EDATE($D88,Milestones!$AA$182)&gt;=$Y88),$AB88,$AA88)))=Milestones!$AB$182),UPPER(TEXT(EDATE($D88,Milestones!$AA$182),"dd mmm yy"))&amp;" "&amp;Milestones!$AB$182&amp;" "&amp;IF(AND(Milestones!$AB$182="FT",Milestones!$AA$182=FT_Y5,EDATE($D88,Milestones!$AA$182)&lt;PolicyEff),1,Milestones!$AC$182)&amp;";  ","")&amp;IF(AND(EDATE($D88,Milestones!$AA$183)&lt;=AsOfDate,EDATE($D88,Milestones!$AA$183)&gt;=SchemeStart,IF($X88=0,$AD88,IF(AND($Z88&lt;&gt;"",EDATE($D88,Milestones!$AA$183)&gt;=$Z88),$AC88,IF(AND($Y88&lt;&gt;"",EDATE($D88,Milestones!$AA$183)&gt;=$Y88),$AB88,$AA88)))=Milestones!$AB$183),UPPER(TEXT(EDATE($D88,Milestones!$AA$183),"dd mmm yy"))&amp;" "&amp;Milestones!$AB$183&amp;" "&amp;IF(AND(Milestones!$AB$183="FT",Milestones!$AA$183=FT_Y5,EDATE($D88,Milestones!$AA$183)&lt;PolicyEff),1,Milestones!$AC$183)&amp;";  ","")&amp;IF(AND(EDATE($D88,Milestones!$AA$184)&lt;=AsOfDate,EDATE($D88,Milestones!$AA$184)&gt;=SchemeStart,IF($X88=0,$AD88,IF(AND($Z88&lt;&gt;"",EDATE($D88,Milestones!$AA$184)&gt;=$Z88),$AC88,IF(AND($Y88&lt;&gt;"",EDATE($D88,Milestones!$AA$184)&gt;=$Y88),$AB88,$AA88)))=Milestones!$AB$184),UPPER(TEXT(EDATE($D88,Milestones!$AA$184),"dd mmm yy"))&amp;" "&amp;Milestones!$AB$184&amp;" "&amp;IF(AND(Milestones!$AB$184="FT",Milestones!$AA$184=FT_Y5,EDATE($D88,Milestones!$AA$184)&lt;PolicyEff),1,Milestones!$AC$184)&amp;";  ","")&amp;IF(AND(EDATE($D88,Milestones!$AA$185)&lt;=AsOfDate,EDATE($D88,Milestones!$AA$185)&gt;=SchemeStart,IF($X88=0,$AD88,IF(AND($Z88&lt;&gt;"",EDATE($D88,Milestones!$AA$185)&gt;=$Z88),$AC88,IF(AND($Y88&lt;&gt;"",EDATE($D88,Milestones!$AA$185)&gt;=$Y88),$AB88,$AA88)))=Milestones!$AB$185),UPPER(TEXT(EDATE($D88,Milestones!$AA$185),"dd mmm yy"))&amp;" "&amp;Milestones!$AB$185&amp;" "&amp;IF(AND(Milestones!$AB$185="FT",Milestones!$AA$185=FT_Y5,EDATE($D88,Milestones!$AA$185)&lt;PolicyEff),1,Milestones!$AC$185)&amp;";  ","")&amp;IF(AND(EDATE($D88,Milestones!$AA$186)&lt;=AsOfDate,EDATE($D88,Milestones!$AA$186)&gt;=SchemeStart,IF($X88=0,$AD88,IF(AND($Z88&lt;&gt;"",EDATE($D88,Milestones!$AA$186)&gt;=$Z88),$AC88,IF(AND($Y88&lt;&gt;"",EDATE($D88,Milestones!$AA$186)&gt;=$Y88),$AB88,$AA88)))=Milestones!$AB$186),UPPER(TEXT(EDATE($D88,Milestones!$AA$186),"dd mmm yy"))&amp;" "&amp;Milestones!$AB$186&amp;" "&amp;IF(AND(Milestones!$AB$186="FT",Milestones!$AA$186=FT_Y5,EDATE($D88,Milestones!$AA$186)&lt;PolicyEff),1,Milestones!$AC$186)&amp;";  ","")&amp;IF(AND(EDATE($D88,Milestones!$AA$187)&lt;=AsOfDate,EDATE($D88,Milestones!$AA$187)&gt;=SchemeStart,IF($X88=0,$AD88,IF(AND($Z88&lt;&gt;"",EDATE($D88,Milestones!$AA$187)&gt;=$Z88),$AC88,IF(AND($Y88&lt;&gt;"",EDATE($D88,Milestones!$AA$187)&gt;=$Y88),$AB88,$AA88)))=Milestones!$AB$187),UPPER(TEXT(EDATE($D88,Milestones!$AA$187),"dd mmm yy"))&amp;" "&amp;Milestones!$AB$187&amp;" "&amp;IF(AND(Milestones!$AB$187="FT",Milestones!$AA$187=FT_Y5,EDATE($D88,Milestones!$AA$187)&lt;PolicyEff),1,Milestones!$AC$187)&amp;";  ",""))</f>
        <v/>
      </c>
      <c r="W88" s="0" t="str">
        <f aca="false">IF(OR($A88="",$D88=""),"",IF(AND(EDATE($D88,Milestones!$AA$188)&lt;=AsOfDate,EDATE($D88,Milestones!$AA$188)&gt;=SchemeStart,IF($X88=0,$AD88,IF(AND($Z88&lt;&gt;"",EDATE($D88,Milestones!$AA$188)&gt;=$Z88),$AC88,IF(AND($Y88&lt;&gt;"",EDATE($D88,Milestones!$AA$188)&gt;=$Y88),$AB88,$AA88)))=Milestones!$AB$188),UPPER(TEXT(EDATE($D88,Milestones!$AA$188),"dd mmm yy"))&amp;" "&amp;Milestones!$AB$188&amp;" "&amp;IF(AND(Milestones!$AB$188="FT",Milestones!$AA$188=FT_Y5,EDATE($D88,Milestones!$AA$188)&lt;PolicyEff),1,Milestones!$AC$188)&amp;";  ","")&amp;IF(AND(EDATE($D88,Milestones!$AA$189)&lt;=AsOfDate,EDATE($D88,Milestones!$AA$189)&gt;=SchemeStart,IF($X88=0,$AD88,IF(AND($Z88&lt;&gt;"",EDATE($D88,Milestones!$AA$189)&gt;=$Z88),$AC88,IF(AND($Y88&lt;&gt;"",EDATE($D88,Milestones!$AA$189)&gt;=$Y88),$AB88,$AA88)))=Milestones!$AB$189),UPPER(TEXT(EDATE($D88,Milestones!$AA$189),"dd mmm yy"))&amp;" "&amp;Milestones!$AB$189&amp;" "&amp;IF(AND(Milestones!$AB$189="FT",Milestones!$AA$189=FT_Y5,EDATE($D88,Milestones!$AA$189)&lt;PolicyEff),1,Milestones!$AC$189)&amp;";  ","")&amp;IF(AND(EDATE($D88,Milestones!$AA$190)&lt;=AsOfDate,EDATE($D88,Milestones!$AA$190)&gt;=SchemeStart,IF($X88=0,$AD88,IF(AND($Z88&lt;&gt;"",EDATE($D88,Milestones!$AA$190)&gt;=$Z88),$AC88,IF(AND($Y88&lt;&gt;"",EDATE($D88,Milestones!$AA$190)&gt;=$Y88),$AB88,$AA88)))=Milestones!$AB$190),UPPER(TEXT(EDATE($D88,Milestones!$AA$190),"dd mmm yy"))&amp;" "&amp;Milestones!$AB$190&amp;" "&amp;IF(AND(Milestones!$AB$190="FT",Milestones!$AA$190=FT_Y5,EDATE($D88,Milestones!$AA$190)&lt;PolicyEff),1,Milestones!$AC$190)&amp;";  ","")&amp;IF(AND(EDATE($D88,Milestones!$AA$191)&lt;=AsOfDate,EDATE($D88,Milestones!$AA$191)&gt;=SchemeStart,IF($X88=0,$AD88,IF(AND($Z88&lt;&gt;"",EDATE($D88,Milestones!$AA$191)&gt;=$Z88),$AC88,IF(AND($Y88&lt;&gt;"",EDATE($D88,Milestones!$AA$191)&gt;=$Y88),$AB88,$AA88)))=Milestones!$AB$191),UPPER(TEXT(EDATE($D88,Milestones!$AA$191),"dd mmm yy"))&amp;" "&amp;Milestones!$AB$191&amp;" "&amp;IF(AND(Milestones!$AB$191="FT",Milestones!$AA$191=FT_Y5,EDATE($D88,Milestones!$AA$191)&lt;PolicyEff),1,Milestones!$AC$191)&amp;";  ","")&amp;IF(AND(EDATE($D88,Milestones!$AA$192)&lt;=AsOfDate,EDATE($D88,Milestones!$AA$192)&gt;=SchemeStart,IF($X88=0,$AD88,IF(AND($Z88&lt;&gt;"",EDATE($D88,Milestones!$AA$192)&gt;=$Z88),$AC88,IF(AND($Y88&lt;&gt;"",EDATE($D88,Milestones!$AA$192)&gt;=$Y88),$AB88,$AA88)))=Milestones!$AB$192),UPPER(TEXT(EDATE($D88,Milestones!$AA$192),"dd mmm yy"))&amp;" "&amp;Milestones!$AB$192&amp;" "&amp;IF(AND(Milestones!$AB$192="FT",Milestones!$AA$192=FT_Y5,EDATE($D88,Milestones!$AA$192)&lt;PolicyEff),1,Milestones!$AC$192)&amp;";  ","")&amp;IF(AND(EDATE($D88,Milestones!$AA$193)&lt;=AsOfDate,EDATE($D88,Milestones!$AA$193)&gt;=SchemeStart,IF($X88=0,$AD88,IF(AND($Z88&lt;&gt;"",EDATE($D88,Milestones!$AA$193)&gt;=$Z88),$AC88,IF(AND($Y88&lt;&gt;"",EDATE($D88,Milestones!$AA$193)&gt;=$Y88),$AB88,$AA88)))=Milestones!$AB$193),UPPER(TEXT(EDATE($D88,Milestones!$AA$193),"dd mmm yy"))&amp;" "&amp;Milestones!$AB$193&amp;" "&amp;IF(AND(Milestones!$AB$193="FT",Milestones!$AA$193=FT_Y5,EDATE($D88,Milestones!$AA$193)&lt;PolicyEff),1,Milestones!$AC$193)&amp;";  ","")&amp;IF(AND(EDATE($D88,Milestones!$AA$194)&lt;=AsOfDate,EDATE($D88,Milestones!$AA$194)&gt;=SchemeStart,IF($X88=0,$AD88,IF(AND($Z88&lt;&gt;"",EDATE($D88,Milestones!$AA$194)&gt;=$Z88),$AC88,IF(AND($Y88&lt;&gt;"",EDATE($D88,Milestones!$AA$194)&gt;=$Y88),$AB88,$AA88)))=Milestones!$AB$194),UPPER(TEXT(EDATE($D88,Milestones!$AA$194),"dd mmm yy"))&amp;" "&amp;Milestones!$AB$194&amp;" "&amp;IF(AND(Milestones!$AB$194="FT",Milestones!$AA$194=FT_Y5,EDATE($D88,Milestones!$AA$194)&lt;PolicyEff),1,Milestones!$AC$194)&amp;";  ","")&amp;IF(AND(EDATE($D88,Milestones!$AA$195)&lt;=AsOfDate,EDATE($D88,Milestones!$AA$195)&gt;=SchemeStart,IF($X88=0,$AD88,IF(AND($Z88&lt;&gt;"",EDATE($D88,Milestones!$AA$195)&gt;=$Z88),$AC88,IF(AND($Y88&lt;&gt;"",EDATE($D88,Milestones!$AA$195)&gt;=$Y88),$AB88,$AA88)))=Milestones!$AB$195),UPPER(TEXT(EDATE($D88,Milestones!$AA$195),"dd mmm yy"))&amp;" "&amp;Milestones!$AB$195&amp;" "&amp;IF(AND(Milestones!$AB$195="FT",Milestones!$AA$195=FT_Y5,EDATE($D88,Milestones!$AA$195)&lt;PolicyEff),1,Milestones!$AC$195)&amp;";  ","")&amp;IF(AND(EDATE($D88,Milestones!$AA$196)&lt;=AsOfDate,EDATE($D88,Milestones!$AA$196)&gt;=SchemeStart,IF($X88=0,$AD88,IF(AND($Z88&lt;&gt;"",EDATE($D88,Milestones!$AA$196)&gt;=$Z88),$AC88,IF(AND($Y88&lt;&gt;"",EDATE($D88,Milestones!$AA$196)&gt;=$Y88),$AB88,$AA88)))=Milestones!$AB$196),UPPER(TEXT(EDATE($D88,Milestones!$AA$196),"dd mmm yy"))&amp;" "&amp;Milestones!$AB$196&amp;" "&amp;IF(AND(Milestones!$AB$196="FT",Milestones!$AA$196=FT_Y5,EDATE($D88,Milestones!$AA$196)&lt;PolicyEff),1,Milestones!$AC$196)&amp;";  ","")&amp;IF(AND(EDATE($D88,Milestones!$AA$197)&lt;=AsOfDate,EDATE($D88,Milestones!$AA$197)&gt;=SchemeStart,IF($X88=0,$AD88,IF(AND($Z88&lt;&gt;"",EDATE($D88,Milestones!$AA$197)&gt;=$Z88),$AC88,IF(AND($Y88&lt;&gt;"",EDATE($D88,Milestones!$AA$197)&gt;=$Y88),$AB88,$AA88)))=Milestones!$AB$197),UPPER(TEXT(EDATE($D88,Milestones!$AA$197),"dd mmm yy"))&amp;" "&amp;Milestones!$AB$197&amp;" "&amp;IF(AND(Milestones!$AB$197="FT",Milestones!$AA$197=FT_Y5,EDATE($D88,Milestones!$AA$197)&lt;PolicyEff),1,Milestones!$AC$197)&amp;";  ","")&amp;IF(AND(EDATE($D88,Milestones!$AA$198)&lt;=AsOfDate,EDATE($D88,Milestones!$AA$198)&gt;=SchemeStart,IF($X88=0,$AD88,IF(AND($Z88&lt;&gt;"",EDATE($D88,Milestones!$AA$198)&gt;=$Z88),$AC88,IF(AND($Y88&lt;&gt;"",EDATE($D88,Milestones!$AA$198)&gt;=$Y88),$AB88,$AA88)))=Milestones!$AB$198),UPPER(TEXT(EDATE($D88,Milestones!$AA$198),"dd mmm yy"))&amp;" "&amp;Milestones!$AB$198&amp;" "&amp;IF(AND(Milestones!$AB$198="FT",Milestones!$AA$198=FT_Y5,EDATE($D88,Milestones!$AA$198)&lt;PolicyEff),1,Milestones!$AC$198)&amp;";  ","")&amp;IF(AND(EDATE($D88,Milestones!$AA$199)&lt;=AsOfDate,EDATE($D88,Milestones!$AA$199)&gt;=SchemeStart,IF($X88=0,$AD88,IF(AND($Z88&lt;&gt;"",EDATE($D88,Milestones!$AA$199)&gt;=$Z88),$AC88,IF(AND($Y88&lt;&gt;"",EDATE($D88,Milestones!$AA$199)&gt;=$Y88),$AB88,$AA88)))=Milestones!$AB$199),UPPER(TEXT(EDATE($D88,Milestones!$AA$199),"dd mmm yy"))&amp;" "&amp;Milestones!$AB$199&amp;" "&amp;IF(AND(Milestones!$AB$199="FT",Milestones!$AA$199=FT_Y5,EDATE($D88,Milestones!$AA$199)&lt;PolicyEff),1,Milestones!$AC$199)&amp;";  ",""))</f>
        <v/>
      </c>
      <c r="X88" s="0" t="str">
        <f aca="false">IF(Staff!$A88="","",Staff!$AM88)</f>
        <v/>
      </c>
      <c r="Y88" s="0" t="str">
        <f aca="false">IF(Staff!$A88="","",Staff!$AO88)</f>
        <v/>
      </c>
      <c r="Z88" s="0" t="str">
        <f aca="false">IF(Staff!$A88="","",Staff!$AP88)</f>
        <v/>
      </c>
      <c r="AA88" s="0" t="str">
        <f aca="false">IF(Staff!$A88="","",Staff!$AT88)</f>
        <v/>
      </c>
      <c r="AB88" s="0" t="str">
        <f aca="false">IF(Staff!$A88="","",Staff!$AU88)</f>
        <v/>
      </c>
      <c r="AC88" s="0" t="str">
        <f aca="false">IF(Staff!$A88="","",Staff!$AV88)</f>
        <v/>
      </c>
      <c r="AD88" s="0" t="str">
        <f aca="false">IF(Staff!$A88="","",Staff!$AW88)</f>
        <v/>
      </c>
    </row>
    <row r="89" customFormat="false" ht="15" hidden="false" customHeight="false" outlineLevel="0" collapsed="false">
      <c r="A89" s="16" t="str">
        <f aca="false">IF(Staff!$A89="","",Staff!$A89)</f>
        <v/>
      </c>
      <c r="B89" s="16" t="str">
        <f aca="false">IF(Staff!$A89="","",Staff!$B89)</f>
        <v/>
      </c>
      <c r="C89" s="16" t="str">
        <f aca="false">IF(Staff!$A89="","",Staff!$C89)</f>
        <v/>
      </c>
      <c r="D89" s="14" t="str">
        <f aca="false">IF(Staff!$A89="","",Staff!$AL89)</f>
        <v/>
      </c>
      <c r="E89" s="16" t="str">
        <f aca="false">IF(Staff!$A89="","",Staff!$O89)</f>
        <v/>
      </c>
      <c r="F89" s="16" t="str">
        <f aca="false">IF(E89="","",E89*HoursPerDay)</f>
        <v/>
      </c>
      <c r="G89" s="16" t="str">
        <f aca="false">IF(Staff!$A89="","",Staff!$AE89)</f>
        <v/>
      </c>
      <c r="H89" s="28" t="str">
        <f aca="false">IF($A89="","",I89&amp;J89&amp;K89&amp;L89&amp;M89&amp;N89&amp;O89&amp;P89&amp;Q89&amp;R89&amp;S89&amp;T89&amp;U89&amp;V89&amp;W89)</f>
        <v/>
      </c>
      <c r="I89" s="0" t="str">
        <f aca="false">IF(OR($A89="",$D89=""),"",IF(AND(EDATE($D89,Milestones!$AA$20)&lt;=AsOfDate,EDATE($D89,Milestones!$AA$20)&gt;=SchemeStart,IF($X89=0,$AD89,IF(AND($Z89&lt;&gt;"",EDATE($D89,Milestones!$AA$20)&gt;=$Z89),$AC89,IF(AND($Y89&lt;&gt;"",EDATE($D89,Milestones!$AA$20)&gt;=$Y89),$AB89,$AA89)))=Milestones!$AB$20),UPPER(TEXT(EDATE($D89,Milestones!$AA$20),"dd mmm yy"))&amp;" "&amp;Milestones!$AB$20&amp;" "&amp;IF(AND(Milestones!$AB$20="FT",Milestones!$AA$20=FT_Y5,EDATE($D89,Milestones!$AA$20)&lt;PolicyEff),1,Milestones!$AC$20)&amp;";  ","")&amp;IF(AND(EDATE($D89,Milestones!$AA$21)&lt;=AsOfDate,EDATE($D89,Milestones!$AA$21)&gt;=SchemeStart,IF($X89=0,$AD89,IF(AND($Z89&lt;&gt;"",EDATE($D89,Milestones!$AA$21)&gt;=$Z89),$AC89,IF(AND($Y89&lt;&gt;"",EDATE($D89,Milestones!$AA$21)&gt;=$Y89),$AB89,$AA89)))=Milestones!$AB$21),UPPER(TEXT(EDATE($D89,Milestones!$AA$21),"dd mmm yy"))&amp;" "&amp;Milestones!$AB$21&amp;" "&amp;IF(AND(Milestones!$AB$21="FT",Milestones!$AA$21=FT_Y5,EDATE($D89,Milestones!$AA$21)&lt;PolicyEff),1,Milestones!$AC$21)&amp;";  ","")&amp;IF(AND(EDATE($D89,Milestones!$AA$22)&lt;=AsOfDate,EDATE($D89,Milestones!$AA$22)&gt;=SchemeStart,IF($X89=0,$AD89,IF(AND($Z89&lt;&gt;"",EDATE($D89,Milestones!$AA$22)&gt;=$Z89),$AC89,IF(AND($Y89&lt;&gt;"",EDATE($D89,Milestones!$AA$22)&gt;=$Y89),$AB89,$AA89)))=Milestones!$AB$22),UPPER(TEXT(EDATE($D89,Milestones!$AA$22),"dd mmm yy"))&amp;" "&amp;Milestones!$AB$22&amp;" "&amp;IF(AND(Milestones!$AB$22="FT",Milestones!$AA$22=FT_Y5,EDATE($D89,Milestones!$AA$22)&lt;PolicyEff),1,Milestones!$AC$22)&amp;";  ","")&amp;IF(AND(EDATE($D89,Milestones!$AA$23)&lt;=AsOfDate,EDATE($D89,Milestones!$AA$23)&gt;=SchemeStart,IF($X89=0,$AD89,IF(AND($Z89&lt;&gt;"",EDATE($D89,Milestones!$AA$23)&gt;=$Z89),$AC89,IF(AND($Y89&lt;&gt;"",EDATE($D89,Milestones!$AA$23)&gt;=$Y89),$AB89,$AA89)))=Milestones!$AB$23),UPPER(TEXT(EDATE($D89,Milestones!$AA$23),"dd mmm yy"))&amp;" "&amp;Milestones!$AB$23&amp;" "&amp;IF(AND(Milestones!$AB$23="FT",Milestones!$AA$23=FT_Y5,EDATE($D89,Milestones!$AA$23)&lt;PolicyEff),1,Milestones!$AC$23)&amp;";  ","")&amp;IF(AND(EDATE($D89,Milestones!$AA$24)&lt;=AsOfDate,EDATE($D89,Milestones!$AA$24)&gt;=SchemeStart,IF($X89=0,$AD89,IF(AND($Z89&lt;&gt;"",EDATE($D89,Milestones!$AA$24)&gt;=$Z89),$AC89,IF(AND($Y89&lt;&gt;"",EDATE($D89,Milestones!$AA$24)&gt;=$Y89),$AB89,$AA89)))=Milestones!$AB$24),UPPER(TEXT(EDATE($D89,Milestones!$AA$24),"dd mmm yy"))&amp;" "&amp;Milestones!$AB$24&amp;" "&amp;IF(AND(Milestones!$AB$24="FT",Milestones!$AA$24=FT_Y5,EDATE($D89,Milestones!$AA$24)&lt;PolicyEff),1,Milestones!$AC$24)&amp;";  ","")&amp;IF(AND(EDATE($D89,Milestones!$AA$25)&lt;=AsOfDate,EDATE($D89,Milestones!$AA$25)&gt;=SchemeStart,IF($X89=0,$AD89,IF(AND($Z89&lt;&gt;"",EDATE($D89,Milestones!$AA$25)&gt;=$Z89),$AC89,IF(AND($Y89&lt;&gt;"",EDATE($D89,Milestones!$AA$25)&gt;=$Y89),$AB89,$AA89)))=Milestones!$AB$25),UPPER(TEXT(EDATE($D89,Milestones!$AA$25),"dd mmm yy"))&amp;" "&amp;Milestones!$AB$25&amp;" "&amp;IF(AND(Milestones!$AB$25="FT",Milestones!$AA$25=FT_Y5,EDATE($D89,Milestones!$AA$25)&lt;PolicyEff),1,Milestones!$AC$25)&amp;";  ","")&amp;IF(AND(EDATE($D89,Milestones!$AA$26)&lt;=AsOfDate,EDATE($D89,Milestones!$AA$26)&gt;=SchemeStart,IF($X89=0,$AD89,IF(AND($Z89&lt;&gt;"",EDATE($D89,Milestones!$AA$26)&gt;=$Z89),$AC89,IF(AND($Y89&lt;&gt;"",EDATE($D89,Milestones!$AA$26)&gt;=$Y89),$AB89,$AA89)))=Milestones!$AB$26),UPPER(TEXT(EDATE($D89,Milestones!$AA$26),"dd mmm yy"))&amp;" "&amp;Milestones!$AB$26&amp;" "&amp;IF(AND(Milestones!$AB$26="FT",Milestones!$AA$26=FT_Y5,EDATE($D89,Milestones!$AA$26)&lt;PolicyEff),1,Milestones!$AC$26)&amp;";  ","")&amp;IF(AND(EDATE($D89,Milestones!$AA$27)&lt;=AsOfDate,EDATE($D89,Milestones!$AA$27)&gt;=SchemeStart,IF($X89=0,$AD89,IF(AND($Z89&lt;&gt;"",EDATE($D89,Milestones!$AA$27)&gt;=$Z89),$AC89,IF(AND($Y89&lt;&gt;"",EDATE($D89,Milestones!$AA$27)&gt;=$Y89),$AB89,$AA89)))=Milestones!$AB$27),UPPER(TEXT(EDATE($D89,Milestones!$AA$27),"dd mmm yy"))&amp;" "&amp;Milestones!$AB$27&amp;" "&amp;IF(AND(Milestones!$AB$27="FT",Milestones!$AA$27=FT_Y5,EDATE($D89,Milestones!$AA$27)&lt;PolicyEff),1,Milestones!$AC$27)&amp;";  ","")&amp;IF(AND(EDATE($D89,Milestones!$AA$28)&lt;=AsOfDate,EDATE($D89,Milestones!$AA$28)&gt;=SchemeStart,IF($X89=0,$AD89,IF(AND($Z89&lt;&gt;"",EDATE($D89,Milestones!$AA$28)&gt;=$Z89),$AC89,IF(AND($Y89&lt;&gt;"",EDATE($D89,Milestones!$AA$28)&gt;=$Y89),$AB89,$AA89)))=Milestones!$AB$28),UPPER(TEXT(EDATE($D89,Milestones!$AA$28),"dd mmm yy"))&amp;" "&amp;Milestones!$AB$28&amp;" "&amp;IF(AND(Milestones!$AB$28="FT",Milestones!$AA$28=FT_Y5,EDATE($D89,Milestones!$AA$28)&lt;PolicyEff),1,Milestones!$AC$28)&amp;";  ","")&amp;IF(AND(EDATE($D89,Milestones!$AA$29)&lt;=AsOfDate,EDATE($D89,Milestones!$AA$29)&gt;=SchemeStart,IF($X89=0,$AD89,IF(AND($Z89&lt;&gt;"",EDATE($D89,Milestones!$AA$29)&gt;=$Z89),$AC89,IF(AND($Y89&lt;&gt;"",EDATE($D89,Milestones!$AA$29)&gt;=$Y89),$AB89,$AA89)))=Milestones!$AB$29),UPPER(TEXT(EDATE($D89,Milestones!$AA$29),"dd mmm yy"))&amp;" "&amp;Milestones!$AB$29&amp;" "&amp;IF(AND(Milestones!$AB$29="FT",Milestones!$AA$29=FT_Y5,EDATE($D89,Milestones!$AA$29)&lt;PolicyEff),1,Milestones!$AC$29)&amp;";  ","")&amp;IF(AND(EDATE($D89,Milestones!$AA$30)&lt;=AsOfDate,EDATE($D89,Milestones!$AA$30)&gt;=SchemeStart,IF($X89=0,$AD89,IF(AND($Z89&lt;&gt;"",EDATE($D89,Milestones!$AA$30)&gt;=$Z89),$AC89,IF(AND($Y89&lt;&gt;"",EDATE($D89,Milestones!$AA$30)&gt;=$Y89),$AB89,$AA89)))=Milestones!$AB$30),UPPER(TEXT(EDATE($D89,Milestones!$AA$30),"dd mmm yy"))&amp;" "&amp;Milestones!$AB$30&amp;" "&amp;IF(AND(Milestones!$AB$30="FT",Milestones!$AA$30=FT_Y5,EDATE($D89,Milestones!$AA$30)&lt;PolicyEff),1,Milestones!$AC$30)&amp;";  ","")&amp;IF(AND(EDATE($D89,Milestones!$AA$31)&lt;=AsOfDate,EDATE($D89,Milestones!$AA$31)&gt;=SchemeStart,IF($X89=0,$AD89,IF(AND($Z89&lt;&gt;"",EDATE($D89,Milestones!$AA$31)&gt;=$Z89),$AC89,IF(AND($Y89&lt;&gt;"",EDATE($D89,Milestones!$AA$31)&gt;=$Y89),$AB89,$AA89)))=Milestones!$AB$31),UPPER(TEXT(EDATE($D89,Milestones!$AA$31),"dd mmm yy"))&amp;" "&amp;Milestones!$AB$31&amp;" "&amp;IF(AND(Milestones!$AB$31="FT",Milestones!$AA$31=FT_Y5,EDATE($D89,Milestones!$AA$31)&lt;PolicyEff),1,Milestones!$AC$31)&amp;";  ",""))</f>
        <v/>
      </c>
      <c r="J89" s="0" t="str">
        <f aca="false">IF(OR($A89="",$D89=""),"",IF(AND(EDATE($D89,Milestones!$AA$32)&lt;=AsOfDate,EDATE($D89,Milestones!$AA$32)&gt;=SchemeStart,IF($X89=0,$AD89,IF(AND($Z89&lt;&gt;"",EDATE($D89,Milestones!$AA$32)&gt;=$Z89),$AC89,IF(AND($Y89&lt;&gt;"",EDATE($D89,Milestones!$AA$32)&gt;=$Y89),$AB89,$AA89)))=Milestones!$AB$32),UPPER(TEXT(EDATE($D89,Milestones!$AA$32),"dd mmm yy"))&amp;" "&amp;Milestones!$AB$32&amp;" "&amp;IF(AND(Milestones!$AB$32="FT",Milestones!$AA$32=FT_Y5,EDATE($D89,Milestones!$AA$32)&lt;PolicyEff),1,Milestones!$AC$32)&amp;";  ","")&amp;IF(AND(EDATE($D89,Milestones!$AA$33)&lt;=AsOfDate,EDATE($D89,Milestones!$AA$33)&gt;=SchemeStart,IF($X89=0,$AD89,IF(AND($Z89&lt;&gt;"",EDATE($D89,Milestones!$AA$33)&gt;=$Z89),$AC89,IF(AND($Y89&lt;&gt;"",EDATE($D89,Milestones!$AA$33)&gt;=$Y89),$AB89,$AA89)))=Milestones!$AB$33),UPPER(TEXT(EDATE($D89,Milestones!$AA$33),"dd mmm yy"))&amp;" "&amp;Milestones!$AB$33&amp;" "&amp;IF(AND(Milestones!$AB$33="FT",Milestones!$AA$33=FT_Y5,EDATE($D89,Milestones!$AA$33)&lt;PolicyEff),1,Milestones!$AC$33)&amp;";  ","")&amp;IF(AND(EDATE($D89,Milestones!$AA$34)&lt;=AsOfDate,EDATE($D89,Milestones!$AA$34)&gt;=SchemeStart,IF($X89=0,$AD89,IF(AND($Z89&lt;&gt;"",EDATE($D89,Milestones!$AA$34)&gt;=$Z89),$AC89,IF(AND($Y89&lt;&gt;"",EDATE($D89,Milestones!$AA$34)&gt;=$Y89),$AB89,$AA89)))=Milestones!$AB$34),UPPER(TEXT(EDATE($D89,Milestones!$AA$34),"dd mmm yy"))&amp;" "&amp;Milestones!$AB$34&amp;" "&amp;IF(AND(Milestones!$AB$34="FT",Milestones!$AA$34=FT_Y5,EDATE($D89,Milestones!$AA$34)&lt;PolicyEff),1,Milestones!$AC$34)&amp;";  ","")&amp;IF(AND(EDATE($D89,Milestones!$AA$35)&lt;=AsOfDate,EDATE($D89,Milestones!$AA$35)&gt;=SchemeStart,IF($X89=0,$AD89,IF(AND($Z89&lt;&gt;"",EDATE($D89,Milestones!$AA$35)&gt;=$Z89),$AC89,IF(AND($Y89&lt;&gt;"",EDATE($D89,Milestones!$AA$35)&gt;=$Y89),$AB89,$AA89)))=Milestones!$AB$35),UPPER(TEXT(EDATE($D89,Milestones!$AA$35),"dd mmm yy"))&amp;" "&amp;Milestones!$AB$35&amp;" "&amp;IF(AND(Milestones!$AB$35="FT",Milestones!$AA$35=FT_Y5,EDATE($D89,Milestones!$AA$35)&lt;PolicyEff),1,Milestones!$AC$35)&amp;";  ","")&amp;IF(AND(EDATE($D89,Milestones!$AA$36)&lt;=AsOfDate,EDATE($D89,Milestones!$AA$36)&gt;=SchemeStart,IF($X89=0,$AD89,IF(AND($Z89&lt;&gt;"",EDATE($D89,Milestones!$AA$36)&gt;=$Z89),$AC89,IF(AND($Y89&lt;&gt;"",EDATE($D89,Milestones!$AA$36)&gt;=$Y89),$AB89,$AA89)))=Milestones!$AB$36),UPPER(TEXT(EDATE($D89,Milestones!$AA$36),"dd mmm yy"))&amp;" "&amp;Milestones!$AB$36&amp;" "&amp;IF(AND(Milestones!$AB$36="FT",Milestones!$AA$36=FT_Y5,EDATE($D89,Milestones!$AA$36)&lt;PolicyEff),1,Milestones!$AC$36)&amp;";  ","")&amp;IF(AND(EDATE($D89,Milestones!$AA$37)&lt;=AsOfDate,EDATE($D89,Milestones!$AA$37)&gt;=SchemeStart,IF($X89=0,$AD89,IF(AND($Z89&lt;&gt;"",EDATE($D89,Milestones!$AA$37)&gt;=$Z89),$AC89,IF(AND($Y89&lt;&gt;"",EDATE($D89,Milestones!$AA$37)&gt;=$Y89),$AB89,$AA89)))=Milestones!$AB$37),UPPER(TEXT(EDATE($D89,Milestones!$AA$37),"dd mmm yy"))&amp;" "&amp;Milestones!$AB$37&amp;" "&amp;IF(AND(Milestones!$AB$37="FT",Milestones!$AA$37=FT_Y5,EDATE($D89,Milestones!$AA$37)&lt;PolicyEff),1,Milestones!$AC$37)&amp;";  ","")&amp;IF(AND(EDATE($D89,Milestones!$AA$38)&lt;=AsOfDate,EDATE($D89,Milestones!$AA$38)&gt;=SchemeStart,IF($X89=0,$AD89,IF(AND($Z89&lt;&gt;"",EDATE($D89,Milestones!$AA$38)&gt;=$Z89),$AC89,IF(AND($Y89&lt;&gt;"",EDATE($D89,Milestones!$AA$38)&gt;=$Y89),$AB89,$AA89)))=Milestones!$AB$38),UPPER(TEXT(EDATE($D89,Milestones!$AA$38),"dd mmm yy"))&amp;" "&amp;Milestones!$AB$38&amp;" "&amp;IF(AND(Milestones!$AB$38="FT",Milestones!$AA$38=FT_Y5,EDATE($D89,Milestones!$AA$38)&lt;PolicyEff),1,Milestones!$AC$38)&amp;";  ","")&amp;IF(AND(EDATE($D89,Milestones!$AA$39)&lt;=AsOfDate,EDATE($D89,Milestones!$AA$39)&gt;=SchemeStart,IF($X89=0,$AD89,IF(AND($Z89&lt;&gt;"",EDATE($D89,Milestones!$AA$39)&gt;=$Z89),$AC89,IF(AND($Y89&lt;&gt;"",EDATE($D89,Milestones!$AA$39)&gt;=$Y89),$AB89,$AA89)))=Milestones!$AB$39),UPPER(TEXT(EDATE($D89,Milestones!$AA$39),"dd mmm yy"))&amp;" "&amp;Milestones!$AB$39&amp;" "&amp;IF(AND(Milestones!$AB$39="FT",Milestones!$AA$39=FT_Y5,EDATE($D89,Milestones!$AA$39)&lt;PolicyEff),1,Milestones!$AC$39)&amp;";  ","")&amp;IF(AND(EDATE($D89,Milestones!$AA$40)&lt;=AsOfDate,EDATE($D89,Milestones!$AA$40)&gt;=SchemeStart,IF($X89=0,$AD89,IF(AND($Z89&lt;&gt;"",EDATE($D89,Milestones!$AA$40)&gt;=$Z89),$AC89,IF(AND($Y89&lt;&gt;"",EDATE($D89,Milestones!$AA$40)&gt;=$Y89),$AB89,$AA89)))=Milestones!$AB$40),UPPER(TEXT(EDATE($D89,Milestones!$AA$40),"dd mmm yy"))&amp;" "&amp;Milestones!$AB$40&amp;" "&amp;IF(AND(Milestones!$AB$40="FT",Milestones!$AA$40=FT_Y5,EDATE($D89,Milestones!$AA$40)&lt;PolicyEff),1,Milestones!$AC$40)&amp;";  ","")&amp;IF(AND(EDATE($D89,Milestones!$AA$41)&lt;=AsOfDate,EDATE($D89,Milestones!$AA$41)&gt;=SchemeStart,IF($X89=0,$AD89,IF(AND($Z89&lt;&gt;"",EDATE($D89,Milestones!$AA$41)&gt;=$Z89),$AC89,IF(AND($Y89&lt;&gt;"",EDATE($D89,Milestones!$AA$41)&gt;=$Y89),$AB89,$AA89)))=Milestones!$AB$41),UPPER(TEXT(EDATE($D89,Milestones!$AA$41),"dd mmm yy"))&amp;" "&amp;Milestones!$AB$41&amp;" "&amp;IF(AND(Milestones!$AB$41="FT",Milestones!$AA$41=FT_Y5,EDATE($D89,Milestones!$AA$41)&lt;PolicyEff),1,Milestones!$AC$41)&amp;";  ","")&amp;IF(AND(EDATE($D89,Milestones!$AA$42)&lt;=AsOfDate,EDATE($D89,Milestones!$AA$42)&gt;=SchemeStart,IF($X89=0,$AD89,IF(AND($Z89&lt;&gt;"",EDATE($D89,Milestones!$AA$42)&gt;=$Z89),$AC89,IF(AND($Y89&lt;&gt;"",EDATE($D89,Milestones!$AA$42)&gt;=$Y89),$AB89,$AA89)))=Milestones!$AB$42),UPPER(TEXT(EDATE($D89,Milestones!$AA$42),"dd mmm yy"))&amp;" "&amp;Milestones!$AB$42&amp;" "&amp;IF(AND(Milestones!$AB$42="FT",Milestones!$AA$42=FT_Y5,EDATE($D89,Milestones!$AA$42)&lt;PolicyEff),1,Milestones!$AC$42)&amp;";  ","")&amp;IF(AND(EDATE($D89,Milestones!$AA$43)&lt;=AsOfDate,EDATE($D89,Milestones!$AA$43)&gt;=SchemeStart,IF($X89=0,$AD89,IF(AND($Z89&lt;&gt;"",EDATE($D89,Milestones!$AA$43)&gt;=$Z89),$AC89,IF(AND($Y89&lt;&gt;"",EDATE($D89,Milestones!$AA$43)&gt;=$Y89),$AB89,$AA89)))=Milestones!$AB$43),UPPER(TEXT(EDATE($D89,Milestones!$AA$43),"dd mmm yy"))&amp;" "&amp;Milestones!$AB$43&amp;" "&amp;IF(AND(Milestones!$AB$43="FT",Milestones!$AA$43=FT_Y5,EDATE($D89,Milestones!$AA$43)&lt;PolicyEff),1,Milestones!$AC$43)&amp;";  ",""))</f>
        <v/>
      </c>
      <c r="K89" s="0" t="str">
        <f aca="false">IF(OR($A89="",$D89=""),"",IF(AND(EDATE($D89,Milestones!$AA$44)&lt;=AsOfDate,EDATE($D89,Milestones!$AA$44)&gt;=SchemeStart,IF($X89=0,$AD89,IF(AND($Z89&lt;&gt;"",EDATE($D89,Milestones!$AA$44)&gt;=$Z89),$AC89,IF(AND($Y89&lt;&gt;"",EDATE($D89,Milestones!$AA$44)&gt;=$Y89),$AB89,$AA89)))=Milestones!$AB$44),UPPER(TEXT(EDATE($D89,Milestones!$AA$44),"dd mmm yy"))&amp;" "&amp;Milestones!$AB$44&amp;" "&amp;IF(AND(Milestones!$AB$44="FT",Milestones!$AA$44=FT_Y5,EDATE($D89,Milestones!$AA$44)&lt;PolicyEff),1,Milestones!$AC$44)&amp;";  ","")&amp;IF(AND(EDATE($D89,Milestones!$AA$45)&lt;=AsOfDate,EDATE($D89,Milestones!$AA$45)&gt;=SchemeStart,IF($X89=0,$AD89,IF(AND($Z89&lt;&gt;"",EDATE($D89,Milestones!$AA$45)&gt;=$Z89),$AC89,IF(AND($Y89&lt;&gt;"",EDATE($D89,Milestones!$AA$45)&gt;=$Y89),$AB89,$AA89)))=Milestones!$AB$45),UPPER(TEXT(EDATE($D89,Milestones!$AA$45),"dd mmm yy"))&amp;" "&amp;Milestones!$AB$45&amp;" "&amp;IF(AND(Milestones!$AB$45="FT",Milestones!$AA$45=FT_Y5,EDATE($D89,Milestones!$AA$45)&lt;PolicyEff),1,Milestones!$AC$45)&amp;";  ","")&amp;IF(AND(EDATE($D89,Milestones!$AA$46)&lt;=AsOfDate,EDATE($D89,Milestones!$AA$46)&gt;=SchemeStart,IF($X89=0,$AD89,IF(AND($Z89&lt;&gt;"",EDATE($D89,Milestones!$AA$46)&gt;=$Z89),$AC89,IF(AND($Y89&lt;&gt;"",EDATE($D89,Milestones!$AA$46)&gt;=$Y89),$AB89,$AA89)))=Milestones!$AB$46),UPPER(TEXT(EDATE($D89,Milestones!$AA$46),"dd mmm yy"))&amp;" "&amp;Milestones!$AB$46&amp;" "&amp;IF(AND(Milestones!$AB$46="FT",Milestones!$AA$46=FT_Y5,EDATE($D89,Milestones!$AA$46)&lt;PolicyEff),1,Milestones!$AC$46)&amp;";  ","")&amp;IF(AND(EDATE($D89,Milestones!$AA$47)&lt;=AsOfDate,EDATE($D89,Milestones!$AA$47)&gt;=SchemeStart,IF($X89=0,$AD89,IF(AND($Z89&lt;&gt;"",EDATE($D89,Milestones!$AA$47)&gt;=$Z89),$AC89,IF(AND($Y89&lt;&gt;"",EDATE($D89,Milestones!$AA$47)&gt;=$Y89),$AB89,$AA89)))=Milestones!$AB$47),UPPER(TEXT(EDATE($D89,Milestones!$AA$47),"dd mmm yy"))&amp;" "&amp;Milestones!$AB$47&amp;" "&amp;IF(AND(Milestones!$AB$47="FT",Milestones!$AA$47=FT_Y5,EDATE($D89,Milestones!$AA$47)&lt;PolicyEff),1,Milestones!$AC$47)&amp;";  ","")&amp;IF(AND(EDATE($D89,Milestones!$AA$48)&lt;=AsOfDate,EDATE($D89,Milestones!$AA$48)&gt;=SchemeStart,IF($X89=0,$AD89,IF(AND($Z89&lt;&gt;"",EDATE($D89,Milestones!$AA$48)&gt;=$Z89),$AC89,IF(AND($Y89&lt;&gt;"",EDATE($D89,Milestones!$AA$48)&gt;=$Y89),$AB89,$AA89)))=Milestones!$AB$48),UPPER(TEXT(EDATE($D89,Milestones!$AA$48),"dd mmm yy"))&amp;" "&amp;Milestones!$AB$48&amp;" "&amp;IF(AND(Milestones!$AB$48="FT",Milestones!$AA$48=FT_Y5,EDATE($D89,Milestones!$AA$48)&lt;PolicyEff),1,Milestones!$AC$48)&amp;";  ","")&amp;IF(AND(EDATE($D89,Milestones!$AA$49)&lt;=AsOfDate,EDATE($D89,Milestones!$AA$49)&gt;=SchemeStart,IF($X89=0,$AD89,IF(AND($Z89&lt;&gt;"",EDATE($D89,Milestones!$AA$49)&gt;=$Z89),$AC89,IF(AND($Y89&lt;&gt;"",EDATE($D89,Milestones!$AA$49)&gt;=$Y89),$AB89,$AA89)))=Milestones!$AB$49),UPPER(TEXT(EDATE($D89,Milestones!$AA$49),"dd mmm yy"))&amp;" "&amp;Milestones!$AB$49&amp;" "&amp;IF(AND(Milestones!$AB$49="FT",Milestones!$AA$49=FT_Y5,EDATE($D89,Milestones!$AA$49)&lt;PolicyEff),1,Milestones!$AC$49)&amp;";  ","")&amp;IF(AND(EDATE($D89,Milestones!$AA$50)&lt;=AsOfDate,EDATE($D89,Milestones!$AA$50)&gt;=SchemeStart,IF($X89=0,$AD89,IF(AND($Z89&lt;&gt;"",EDATE($D89,Milestones!$AA$50)&gt;=$Z89),$AC89,IF(AND($Y89&lt;&gt;"",EDATE($D89,Milestones!$AA$50)&gt;=$Y89),$AB89,$AA89)))=Milestones!$AB$50),UPPER(TEXT(EDATE($D89,Milestones!$AA$50),"dd mmm yy"))&amp;" "&amp;Milestones!$AB$50&amp;" "&amp;IF(AND(Milestones!$AB$50="FT",Milestones!$AA$50=FT_Y5,EDATE($D89,Milestones!$AA$50)&lt;PolicyEff),1,Milestones!$AC$50)&amp;";  ","")&amp;IF(AND(EDATE($D89,Milestones!$AA$51)&lt;=AsOfDate,EDATE($D89,Milestones!$AA$51)&gt;=SchemeStart,IF($X89=0,$AD89,IF(AND($Z89&lt;&gt;"",EDATE($D89,Milestones!$AA$51)&gt;=$Z89),$AC89,IF(AND($Y89&lt;&gt;"",EDATE($D89,Milestones!$AA$51)&gt;=$Y89),$AB89,$AA89)))=Milestones!$AB$51),UPPER(TEXT(EDATE($D89,Milestones!$AA$51),"dd mmm yy"))&amp;" "&amp;Milestones!$AB$51&amp;" "&amp;IF(AND(Milestones!$AB$51="FT",Milestones!$AA$51=FT_Y5,EDATE($D89,Milestones!$AA$51)&lt;PolicyEff),1,Milestones!$AC$51)&amp;";  ","")&amp;IF(AND(EDATE($D89,Milestones!$AA$52)&lt;=AsOfDate,EDATE($D89,Milestones!$AA$52)&gt;=SchemeStart,IF($X89=0,$AD89,IF(AND($Z89&lt;&gt;"",EDATE($D89,Milestones!$AA$52)&gt;=$Z89),$AC89,IF(AND($Y89&lt;&gt;"",EDATE($D89,Milestones!$AA$52)&gt;=$Y89),$AB89,$AA89)))=Milestones!$AB$52),UPPER(TEXT(EDATE($D89,Milestones!$AA$52),"dd mmm yy"))&amp;" "&amp;Milestones!$AB$52&amp;" "&amp;IF(AND(Milestones!$AB$52="FT",Milestones!$AA$52=FT_Y5,EDATE($D89,Milestones!$AA$52)&lt;PolicyEff),1,Milestones!$AC$52)&amp;";  ","")&amp;IF(AND(EDATE($D89,Milestones!$AA$53)&lt;=AsOfDate,EDATE($D89,Milestones!$AA$53)&gt;=SchemeStart,IF($X89=0,$AD89,IF(AND($Z89&lt;&gt;"",EDATE($D89,Milestones!$AA$53)&gt;=$Z89),$AC89,IF(AND($Y89&lt;&gt;"",EDATE($D89,Milestones!$AA$53)&gt;=$Y89),$AB89,$AA89)))=Milestones!$AB$53),UPPER(TEXT(EDATE($D89,Milestones!$AA$53),"dd mmm yy"))&amp;" "&amp;Milestones!$AB$53&amp;" "&amp;IF(AND(Milestones!$AB$53="FT",Milestones!$AA$53=FT_Y5,EDATE($D89,Milestones!$AA$53)&lt;PolicyEff),1,Milestones!$AC$53)&amp;";  ","")&amp;IF(AND(EDATE($D89,Milestones!$AA$54)&lt;=AsOfDate,EDATE($D89,Milestones!$AA$54)&gt;=SchemeStart,IF($X89=0,$AD89,IF(AND($Z89&lt;&gt;"",EDATE($D89,Milestones!$AA$54)&gt;=$Z89),$AC89,IF(AND($Y89&lt;&gt;"",EDATE($D89,Milestones!$AA$54)&gt;=$Y89),$AB89,$AA89)))=Milestones!$AB$54),UPPER(TEXT(EDATE($D89,Milestones!$AA$54),"dd mmm yy"))&amp;" "&amp;Milestones!$AB$54&amp;" "&amp;IF(AND(Milestones!$AB$54="FT",Milestones!$AA$54=FT_Y5,EDATE($D89,Milestones!$AA$54)&lt;PolicyEff),1,Milestones!$AC$54)&amp;";  ","")&amp;IF(AND(EDATE($D89,Milestones!$AA$55)&lt;=AsOfDate,EDATE($D89,Milestones!$AA$55)&gt;=SchemeStart,IF($X89=0,$AD89,IF(AND($Z89&lt;&gt;"",EDATE($D89,Milestones!$AA$55)&gt;=$Z89),$AC89,IF(AND($Y89&lt;&gt;"",EDATE($D89,Milestones!$AA$55)&gt;=$Y89),$AB89,$AA89)))=Milestones!$AB$55),UPPER(TEXT(EDATE($D89,Milestones!$AA$55),"dd mmm yy"))&amp;" "&amp;Milestones!$AB$55&amp;" "&amp;IF(AND(Milestones!$AB$55="FT",Milestones!$AA$55=FT_Y5,EDATE($D89,Milestones!$AA$55)&lt;PolicyEff),1,Milestones!$AC$55)&amp;";  ",""))</f>
        <v/>
      </c>
      <c r="L89" s="0" t="str">
        <f aca="false">IF(OR($A89="",$D89=""),"",IF(AND(EDATE($D89,Milestones!$AA$56)&lt;=AsOfDate,EDATE($D89,Milestones!$AA$56)&gt;=SchemeStart,IF($X89=0,$AD89,IF(AND($Z89&lt;&gt;"",EDATE($D89,Milestones!$AA$56)&gt;=$Z89),$AC89,IF(AND($Y89&lt;&gt;"",EDATE($D89,Milestones!$AA$56)&gt;=$Y89),$AB89,$AA89)))=Milestones!$AB$56),UPPER(TEXT(EDATE($D89,Milestones!$AA$56),"dd mmm yy"))&amp;" "&amp;Milestones!$AB$56&amp;" "&amp;IF(AND(Milestones!$AB$56="FT",Milestones!$AA$56=FT_Y5,EDATE($D89,Milestones!$AA$56)&lt;PolicyEff),1,Milestones!$AC$56)&amp;";  ","")&amp;IF(AND(EDATE($D89,Milestones!$AA$57)&lt;=AsOfDate,EDATE($D89,Milestones!$AA$57)&gt;=SchemeStart,IF($X89=0,$AD89,IF(AND($Z89&lt;&gt;"",EDATE($D89,Milestones!$AA$57)&gt;=$Z89),$AC89,IF(AND($Y89&lt;&gt;"",EDATE($D89,Milestones!$AA$57)&gt;=$Y89),$AB89,$AA89)))=Milestones!$AB$57),UPPER(TEXT(EDATE($D89,Milestones!$AA$57),"dd mmm yy"))&amp;" "&amp;Milestones!$AB$57&amp;" "&amp;IF(AND(Milestones!$AB$57="FT",Milestones!$AA$57=FT_Y5,EDATE($D89,Milestones!$AA$57)&lt;PolicyEff),1,Milestones!$AC$57)&amp;";  ","")&amp;IF(AND(EDATE($D89,Milestones!$AA$58)&lt;=AsOfDate,EDATE($D89,Milestones!$AA$58)&gt;=SchemeStart,IF($X89=0,$AD89,IF(AND($Z89&lt;&gt;"",EDATE($D89,Milestones!$AA$58)&gt;=$Z89),$AC89,IF(AND($Y89&lt;&gt;"",EDATE($D89,Milestones!$AA$58)&gt;=$Y89),$AB89,$AA89)))=Milestones!$AB$58),UPPER(TEXT(EDATE($D89,Milestones!$AA$58),"dd mmm yy"))&amp;" "&amp;Milestones!$AB$58&amp;" "&amp;IF(AND(Milestones!$AB$58="FT",Milestones!$AA$58=FT_Y5,EDATE($D89,Milestones!$AA$58)&lt;PolicyEff),1,Milestones!$AC$58)&amp;";  ","")&amp;IF(AND(EDATE($D89,Milestones!$AA$59)&lt;=AsOfDate,EDATE($D89,Milestones!$AA$59)&gt;=SchemeStart,IF($X89=0,$AD89,IF(AND($Z89&lt;&gt;"",EDATE($D89,Milestones!$AA$59)&gt;=$Z89),$AC89,IF(AND($Y89&lt;&gt;"",EDATE($D89,Milestones!$AA$59)&gt;=$Y89),$AB89,$AA89)))=Milestones!$AB$59),UPPER(TEXT(EDATE($D89,Milestones!$AA$59),"dd mmm yy"))&amp;" "&amp;Milestones!$AB$59&amp;" "&amp;IF(AND(Milestones!$AB$59="FT",Milestones!$AA$59=FT_Y5,EDATE($D89,Milestones!$AA$59)&lt;PolicyEff),1,Milestones!$AC$59)&amp;";  ","")&amp;IF(AND(EDATE($D89,Milestones!$AA$60)&lt;=AsOfDate,EDATE($D89,Milestones!$AA$60)&gt;=SchemeStart,IF($X89=0,$AD89,IF(AND($Z89&lt;&gt;"",EDATE($D89,Milestones!$AA$60)&gt;=$Z89),$AC89,IF(AND($Y89&lt;&gt;"",EDATE($D89,Milestones!$AA$60)&gt;=$Y89),$AB89,$AA89)))=Milestones!$AB$60),UPPER(TEXT(EDATE($D89,Milestones!$AA$60),"dd mmm yy"))&amp;" "&amp;Milestones!$AB$60&amp;" "&amp;IF(AND(Milestones!$AB$60="FT",Milestones!$AA$60=FT_Y5,EDATE($D89,Milestones!$AA$60)&lt;PolicyEff),1,Milestones!$AC$60)&amp;";  ","")&amp;IF(AND(EDATE($D89,Milestones!$AA$61)&lt;=AsOfDate,EDATE($D89,Milestones!$AA$61)&gt;=SchemeStart,IF($X89=0,$AD89,IF(AND($Z89&lt;&gt;"",EDATE($D89,Milestones!$AA$61)&gt;=$Z89),$AC89,IF(AND($Y89&lt;&gt;"",EDATE($D89,Milestones!$AA$61)&gt;=$Y89),$AB89,$AA89)))=Milestones!$AB$61),UPPER(TEXT(EDATE($D89,Milestones!$AA$61),"dd mmm yy"))&amp;" "&amp;Milestones!$AB$61&amp;" "&amp;IF(AND(Milestones!$AB$61="FT",Milestones!$AA$61=FT_Y5,EDATE($D89,Milestones!$AA$61)&lt;PolicyEff),1,Milestones!$AC$61)&amp;";  ","")&amp;IF(AND(EDATE($D89,Milestones!$AA$62)&lt;=AsOfDate,EDATE($D89,Milestones!$AA$62)&gt;=SchemeStart,IF($X89=0,$AD89,IF(AND($Z89&lt;&gt;"",EDATE($D89,Milestones!$AA$62)&gt;=$Z89),$AC89,IF(AND($Y89&lt;&gt;"",EDATE($D89,Milestones!$AA$62)&gt;=$Y89),$AB89,$AA89)))=Milestones!$AB$62),UPPER(TEXT(EDATE($D89,Milestones!$AA$62),"dd mmm yy"))&amp;" "&amp;Milestones!$AB$62&amp;" "&amp;IF(AND(Milestones!$AB$62="FT",Milestones!$AA$62=FT_Y5,EDATE($D89,Milestones!$AA$62)&lt;PolicyEff),1,Milestones!$AC$62)&amp;";  ","")&amp;IF(AND(EDATE($D89,Milestones!$AA$63)&lt;=AsOfDate,EDATE($D89,Milestones!$AA$63)&gt;=SchemeStart,IF($X89=0,$AD89,IF(AND($Z89&lt;&gt;"",EDATE($D89,Milestones!$AA$63)&gt;=$Z89),$AC89,IF(AND($Y89&lt;&gt;"",EDATE($D89,Milestones!$AA$63)&gt;=$Y89),$AB89,$AA89)))=Milestones!$AB$63),UPPER(TEXT(EDATE($D89,Milestones!$AA$63),"dd mmm yy"))&amp;" "&amp;Milestones!$AB$63&amp;" "&amp;IF(AND(Milestones!$AB$63="FT",Milestones!$AA$63=FT_Y5,EDATE($D89,Milestones!$AA$63)&lt;PolicyEff),1,Milestones!$AC$63)&amp;";  ","")&amp;IF(AND(EDATE($D89,Milestones!$AA$64)&lt;=AsOfDate,EDATE($D89,Milestones!$AA$64)&gt;=SchemeStart,IF($X89=0,$AD89,IF(AND($Z89&lt;&gt;"",EDATE($D89,Milestones!$AA$64)&gt;=$Z89),$AC89,IF(AND($Y89&lt;&gt;"",EDATE($D89,Milestones!$AA$64)&gt;=$Y89),$AB89,$AA89)))=Milestones!$AB$64),UPPER(TEXT(EDATE($D89,Milestones!$AA$64),"dd mmm yy"))&amp;" "&amp;Milestones!$AB$64&amp;" "&amp;IF(AND(Milestones!$AB$64="FT",Milestones!$AA$64=FT_Y5,EDATE($D89,Milestones!$AA$64)&lt;PolicyEff),1,Milestones!$AC$64)&amp;";  ","")&amp;IF(AND(EDATE($D89,Milestones!$AA$65)&lt;=AsOfDate,EDATE($D89,Milestones!$AA$65)&gt;=SchemeStart,IF($X89=0,$AD89,IF(AND($Z89&lt;&gt;"",EDATE($D89,Milestones!$AA$65)&gt;=$Z89),$AC89,IF(AND($Y89&lt;&gt;"",EDATE($D89,Milestones!$AA$65)&gt;=$Y89),$AB89,$AA89)))=Milestones!$AB$65),UPPER(TEXT(EDATE($D89,Milestones!$AA$65),"dd mmm yy"))&amp;" "&amp;Milestones!$AB$65&amp;" "&amp;IF(AND(Milestones!$AB$65="FT",Milestones!$AA$65=FT_Y5,EDATE($D89,Milestones!$AA$65)&lt;PolicyEff),1,Milestones!$AC$65)&amp;";  ","")&amp;IF(AND(EDATE($D89,Milestones!$AA$66)&lt;=AsOfDate,EDATE($D89,Milestones!$AA$66)&gt;=SchemeStart,IF($X89=0,$AD89,IF(AND($Z89&lt;&gt;"",EDATE($D89,Milestones!$AA$66)&gt;=$Z89),$AC89,IF(AND($Y89&lt;&gt;"",EDATE($D89,Milestones!$AA$66)&gt;=$Y89),$AB89,$AA89)))=Milestones!$AB$66),UPPER(TEXT(EDATE($D89,Milestones!$AA$66),"dd mmm yy"))&amp;" "&amp;Milestones!$AB$66&amp;" "&amp;IF(AND(Milestones!$AB$66="FT",Milestones!$AA$66=FT_Y5,EDATE($D89,Milestones!$AA$66)&lt;PolicyEff),1,Milestones!$AC$66)&amp;";  ","")&amp;IF(AND(EDATE($D89,Milestones!$AA$67)&lt;=AsOfDate,EDATE($D89,Milestones!$AA$67)&gt;=SchemeStart,IF($X89=0,$AD89,IF(AND($Z89&lt;&gt;"",EDATE($D89,Milestones!$AA$67)&gt;=$Z89),$AC89,IF(AND($Y89&lt;&gt;"",EDATE($D89,Milestones!$AA$67)&gt;=$Y89),$AB89,$AA89)))=Milestones!$AB$67),UPPER(TEXT(EDATE($D89,Milestones!$AA$67),"dd mmm yy"))&amp;" "&amp;Milestones!$AB$67&amp;" "&amp;IF(AND(Milestones!$AB$67="FT",Milestones!$AA$67=FT_Y5,EDATE($D89,Milestones!$AA$67)&lt;PolicyEff),1,Milestones!$AC$67)&amp;";  ",""))</f>
        <v/>
      </c>
      <c r="M89" s="0" t="str">
        <f aca="false">IF(OR($A89="",$D89=""),"",IF(AND(EDATE($D89,Milestones!$AA$68)&lt;=AsOfDate,EDATE($D89,Milestones!$AA$68)&gt;=SchemeStart,IF($X89=0,$AD89,IF(AND($Z89&lt;&gt;"",EDATE($D89,Milestones!$AA$68)&gt;=$Z89),$AC89,IF(AND($Y89&lt;&gt;"",EDATE($D89,Milestones!$AA$68)&gt;=$Y89),$AB89,$AA89)))=Milestones!$AB$68),UPPER(TEXT(EDATE($D89,Milestones!$AA$68),"dd mmm yy"))&amp;" "&amp;Milestones!$AB$68&amp;" "&amp;IF(AND(Milestones!$AB$68="FT",Milestones!$AA$68=FT_Y5,EDATE($D89,Milestones!$AA$68)&lt;PolicyEff),1,Milestones!$AC$68)&amp;";  ","")&amp;IF(AND(EDATE($D89,Milestones!$AA$69)&lt;=AsOfDate,EDATE($D89,Milestones!$AA$69)&gt;=SchemeStart,IF($X89=0,$AD89,IF(AND($Z89&lt;&gt;"",EDATE($D89,Milestones!$AA$69)&gt;=$Z89),$AC89,IF(AND($Y89&lt;&gt;"",EDATE($D89,Milestones!$AA$69)&gt;=$Y89),$AB89,$AA89)))=Milestones!$AB$69),UPPER(TEXT(EDATE($D89,Milestones!$AA$69),"dd mmm yy"))&amp;" "&amp;Milestones!$AB$69&amp;" "&amp;IF(AND(Milestones!$AB$69="FT",Milestones!$AA$69=FT_Y5,EDATE($D89,Milestones!$AA$69)&lt;PolicyEff),1,Milestones!$AC$69)&amp;";  ","")&amp;IF(AND(EDATE($D89,Milestones!$AA$70)&lt;=AsOfDate,EDATE($D89,Milestones!$AA$70)&gt;=SchemeStart,IF($X89=0,$AD89,IF(AND($Z89&lt;&gt;"",EDATE($D89,Milestones!$AA$70)&gt;=$Z89),$AC89,IF(AND($Y89&lt;&gt;"",EDATE($D89,Milestones!$AA$70)&gt;=$Y89),$AB89,$AA89)))=Milestones!$AB$70),UPPER(TEXT(EDATE($D89,Milestones!$AA$70),"dd mmm yy"))&amp;" "&amp;Milestones!$AB$70&amp;" "&amp;IF(AND(Milestones!$AB$70="FT",Milestones!$AA$70=FT_Y5,EDATE($D89,Milestones!$AA$70)&lt;PolicyEff),1,Milestones!$AC$70)&amp;";  ","")&amp;IF(AND(EDATE($D89,Milestones!$AA$71)&lt;=AsOfDate,EDATE($D89,Milestones!$AA$71)&gt;=SchemeStart,IF($X89=0,$AD89,IF(AND($Z89&lt;&gt;"",EDATE($D89,Milestones!$AA$71)&gt;=$Z89),$AC89,IF(AND($Y89&lt;&gt;"",EDATE($D89,Milestones!$AA$71)&gt;=$Y89),$AB89,$AA89)))=Milestones!$AB$71),UPPER(TEXT(EDATE($D89,Milestones!$AA$71),"dd mmm yy"))&amp;" "&amp;Milestones!$AB$71&amp;" "&amp;IF(AND(Milestones!$AB$71="FT",Milestones!$AA$71=FT_Y5,EDATE($D89,Milestones!$AA$71)&lt;PolicyEff),1,Milestones!$AC$71)&amp;";  ","")&amp;IF(AND(EDATE($D89,Milestones!$AA$72)&lt;=AsOfDate,EDATE($D89,Milestones!$AA$72)&gt;=SchemeStart,IF($X89=0,$AD89,IF(AND($Z89&lt;&gt;"",EDATE($D89,Milestones!$AA$72)&gt;=$Z89),$AC89,IF(AND($Y89&lt;&gt;"",EDATE($D89,Milestones!$AA$72)&gt;=$Y89),$AB89,$AA89)))=Milestones!$AB$72),UPPER(TEXT(EDATE($D89,Milestones!$AA$72),"dd mmm yy"))&amp;" "&amp;Milestones!$AB$72&amp;" "&amp;IF(AND(Milestones!$AB$72="FT",Milestones!$AA$72=FT_Y5,EDATE($D89,Milestones!$AA$72)&lt;PolicyEff),1,Milestones!$AC$72)&amp;";  ","")&amp;IF(AND(EDATE($D89,Milestones!$AA$73)&lt;=AsOfDate,EDATE($D89,Milestones!$AA$73)&gt;=SchemeStart,IF($X89=0,$AD89,IF(AND($Z89&lt;&gt;"",EDATE($D89,Milestones!$AA$73)&gt;=$Z89),$AC89,IF(AND($Y89&lt;&gt;"",EDATE($D89,Milestones!$AA$73)&gt;=$Y89),$AB89,$AA89)))=Milestones!$AB$73),UPPER(TEXT(EDATE($D89,Milestones!$AA$73),"dd mmm yy"))&amp;" "&amp;Milestones!$AB$73&amp;" "&amp;IF(AND(Milestones!$AB$73="FT",Milestones!$AA$73=FT_Y5,EDATE($D89,Milestones!$AA$73)&lt;PolicyEff),1,Milestones!$AC$73)&amp;";  ","")&amp;IF(AND(EDATE($D89,Milestones!$AA$74)&lt;=AsOfDate,EDATE($D89,Milestones!$AA$74)&gt;=SchemeStart,IF($X89=0,$AD89,IF(AND($Z89&lt;&gt;"",EDATE($D89,Milestones!$AA$74)&gt;=$Z89),$AC89,IF(AND($Y89&lt;&gt;"",EDATE($D89,Milestones!$AA$74)&gt;=$Y89),$AB89,$AA89)))=Milestones!$AB$74),UPPER(TEXT(EDATE($D89,Milestones!$AA$74),"dd mmm yy"))&amp;" "&amp;Milestones!$AB$74&amp;" "&amp;IF(AND(Milestones!$AB$74="FT",Milestones!$AA$74=FT_Y5,EDATE($D89,Milestones!$AA$74)&lt;PolicyEff),1,Milestones!$AC$74)&amp;";  ","")&amp;IF(AND(EDATE($D89,Milestones!$AA$75)&lt;=AsOfDate,EDATE($D89,Milestones!$AA$75)&gt;=SchemeStart,IF($X89=0,$AD89,IF(AND($Z89&lt;&gt;"",EDATE($D89,Milestones!$AA$75)&gt;=$Z89),$AC89,IF(AND($Y89&lt;&gt;"",EDATE($D89,Milestones!$AA$75)&gt;=$Y89),$AB89,$AA89)))=Milestones!$AB$75),UPPER(TEXT(EDATE($D89,Milestones!$AA$75),"dd mmm yy"))&amp;" "&amp;Milestones!$AB$75&amp;" "&amp;IF(AND(Milestones!$AB$75="FT",Milestones!$AA$75=FT_Y5,EDATE($D89,Milestones!$AA$75)&lt;PolicyEff),1,Milestones!$AC$75)&amp;";  ","")&amp;IF(AND(EDATE($D89,Milestones!$AA$76)&lt;=AsOfDate,EDATE($D89,Milestones!$AA$76)&gt;=SchemeStart,IF($X89=0,$AD89,IF(AND($Z89&lt;&gt;"",EDATE($D89,Milestones!$AA$76)&gt;=$Z89),$AC89,IF(AND($Y89&lt;&gt;"",EDATE($D89,Milestones!$AA$76)&gt;=$Y89),$AB89,$AA89)))=Milestones!$AB$76),UPPER(TEXT(EDATE($D89,Milestones!$AA$76),"dd mmm yy"))&amp;" "&amp;Milestones!$AB$76&amp;" "&amp;IF(AND(Milestones!$AB$76="FT",Milestones!$AA$76=FT_Y5,EDATE($D89,Milestones!$AA$76)&lt;PolicyEff),1,Milestones!$AC$76)&amp;";  ","")&amp;IF(AND(EDATE($D89,Milestones!$AA$77)&lt;=AsOfDate,EDATE($D89,Milestones!$AA$77)&gt;=SchemeStart,IF($X89=0,$AD89,IF(AND($Z89&lt;&gt;"",EDATE($D89,Milestones!$AA$77)&gt;=$Z89),$AC89,IF(AND($Y89&lt;&gt;"",EDATE($D89,Milestones!$AA$77)&gt;=$Y89),$AB89,$AA89)))=Milestones!$AB$77),UPPER(TEXT(EDATE($D89,Milestones!$AA$77),"dd mmm yy"))&amp;" "&amp;Milestones!$AB$77&amp;" "&amp;IF(AND(Milestones!$AB$77="FT",Milestones!$AA$77=FT_Y5,EDATE($D89,Milestones!$AA$77)&lt;PolicyEff),1,Milestones!$AC$77)&amp;";  ","")&amp;IF(AND(EDATE($D89,Milestones!$AA$78)&lt;=AsOfDate,EDATE($D89,Milestones!$AA$78)&gt;=SchemeStart,IF($X89=0,$AD89,IF(AND($Z89&lt;&gt;"",EDATE($D89,Milestones!$AA$78)&gt;=$Z89),$AC89,IF(AND($Y89&lt;&gt;"",EDATE($D89,Milestones!$AA$78)&gt;=$Y89),$AB89,$AA89)))=Milestones!$AB$78),UPPER(TEXT(EDATE($D89,Milestones!$AA$78),"dd mmm yy"))&amp;" "&amp;Milestones!$AB$78&amp;" "&amp;IF(AND(Milestones!$AB$78="FT",Milestones!$AA$78=FT_Y5,EDATE($D89,Milestones!$AA$78)&lt;PolicyEff),1,Milestones!$AC$78)&amp;";  ","")&amp;IF(AND(EDATE($D89,Milestones!$AA$79)&lt;=AsOfDate,EDATE($D89,Milestones!$AA$79)&gt;=SchemeStart,IF($X89=0,$AD89,IF(AND($Z89&lt;&gt;"",EDATE($D89,Milestones!$AA$79)&gt;=$Z89),$AC89,IF(AND($Y89&lt;&gt;"",EDATE($D89,Milestones!$AA$79)&gt;=$Y89),$AB89,$AA89)))=Milestones!$AB$79),UPPER(TEXT(EDATE($D89,Milestones!$AA$79),"dd mmm yy"))&amp;" "&amp;Milestones!$AB$79&amp;" "&amp;IF(AND(Milestones!$AB$79="FT",Milestones!$AA$79=FT_Y5,EDATE($D89,Milestones!$AA$79)&lt;PolicyEff),1,Milestones!$AC$79)&amp;";  ",""))</f>
        <v/>
      </c>
      <c r="N89" s="0" t="str">
        <f aca="false">IF(OR($A89="",$D89=""),"",IF(AND(EDATE($D89,Milestones!$AA$80)&lt;=AsOfDate,EDATE($D89,Milestones!$AA$80)&gt;=SchemeStart,IF($X89=0,$AD89,IF(AND($Z89&lt;&gt;"",EDATE($D89,Milestones!$AA$80)&gt;=$Z89),$AC89,IF(AND($Y89&lt;&gt;"",EDATE($D89,Milestones!$AA$80)&gt;=$Y89),$AB89,$AA89)))=Milestones!$AB$80),UPPER(TEXT(EDATE($D89,Milestones!$AA$80),"dd mmm yy"))&amp;" "&amp;Milestones!$AB$80&amp;" "&amp;IF(AND(Milestones!$AB$80="FT",Milestones!$AA$80=FT_Y5,EDATE($D89,Milestones!$AA$80)&lt;PolicyEff),1,Milestones!$AC$80)&amp;";  ","")&amp;IF(AND(EDATE($D89,Milestones!$AA$81)&lt;=AsOfDate,EDATE($D89,Milestones!$AA$81)&gt;=SchemeStart,IF($X89=0,$AD89,IF(AND($Z89&lt;&gt;"",EDATE($D89,Milestones!$AA$81)&gt;=$Z89),$AC89,IF(AND($Y89&lt;&gt;"",EDATE($D89,Milestones!$AA$81)&gt;=$Y89),$AB89,$AA89)))=Milestones!$AB$81),UPPER(TEXT(EDATE($D89,Milestones!$AA$81),"dd mmm yy"))&amp;" "&amp;Milestones!$AB$81&amp;" "&amp;IF(AND(Milestones!$AB$81="FT",Milestones!$AA$81=FT_Y5,EDATE($D89,Milestones!$AA$81)&lt;PolicyEff),1,Milestones!$AC$81)&amp;";  ","")&amp;IF(AND(EDATE($D89,Milestones!$AA$82)&lt;=AsOfDate,EDATE($D89,Milestones!$AA$82)&gt;=SchemeStart,IF($X89=0,$AD89,IF(AND($Z89&lt;&gt;"",EDATE($D89,Milestones!$AA$82)&gt;=$Z89),$AC89,IF(AND($Y89&lt;&gt;"",EDATE($D89,Milestones!$AA$82)&gt;=$Y89),$AB89,$AA89)))=Milestones!$AB$82),UPPER(TEXT(EDATE($D89,Milestones!$AA$82),"dd mmm yy"))&amp;" "&amp;Milestones!$AB$82&amp;" "&amp;IF(AND(Milestones!$AB$82="FT",Milestones!$AA$82=FT_Y5,EDATE($D89,Milestones!$AA$82)&lt;PolicyEff),1,Milestones!$AC$82)&amp;";  ","")&amp;IF(AND(EDATE($D89,Milestones!$AA$83)&lt;=AsOfDate,EDATE($D89,Milestones!$AA$83)&gt;=SchemeStart,IF($X89=0,$AD89,IF(AND($Z89&lt;&gt;"",EDATE($D89,Milestones!$AA$83)&gt;=$Z89),$AC89,IF(AND($Y89&lt;&gt;"",EDATE($D89,Milestones!$AA$83)&gt;=$Y89),$AB89,$AA89)))=Milestones!$AB$83),UPPER(TEXT(EDATE($D89,Milestones!$AA$83),"dd mmm yy"))&amp;" "&amp;Milestones!$AB$83&amp;" "&amp;IF(AND(Milestones!$AB$83="FT",Milestones!$AA$83=FT_Y5,EDATE($D89,Milestones!$AA$83)&lt;PolicyEff),1,Milestones!$AC$83)&amp;";  ","")&amp;IF(AND(EDATE($D89,Milestones!$AA$84)&lt;=AsOfDate,EDATE($D89,Milestones!$AA$84)&gt;=SchemeStart,IF($X89=0,$AD89,IF(AND($Z89&lt;&gt;"",EDATE($D89,Milestones!$AA$84)&gt;=$Z89),$AC89,IF(AND($Y89&lt;&gt;"",EDATE($D89,Milestones!$AA$84)&gt;=$Y89),$AB89,$AA89)))=Milestones!$AB$84),UPPER(TEXT(EDATE($D89,Milestones!$AA$84),"dd mmm yy"))&amp;" "&amp;Milestones!$AB$84&amp;" "&amp;IF(AND(Milestones!$AB$84="FT",Milestones!$AA$84=FT_Y5,EDATE($D89,Milestones!$AA$84)&lt;PolicyEff),1,Milestones!$AC$84)&amp;";  ","")&amp;IF(AND(EDATE($D89,Milestones!$AA$85)&lt;=AsOfDate,EDATE($D89,Milestones!$AA$85)&gt;=SchemeStart,IF($X89=0,$AD89,IF(AND($Z89&lt;&gt;"",EDATE($D89,Milestones!$AA$85)&gt;=$Z89),$AC89,IF(AND($Y89&lt;&gt;"",EDATE($D89,Milestones!$AA$85)&gt;=$Y89),$AB89,$AA89)))=Milestones!$AB$85),UPPER(TEXT(EDATE($D89,Milestones!$AA$85),"dd mmm yy"))&amp;" "&amp;Milestones!$AB$85&amp;" "&amp;IF(AND(Milestones!$AB$85="FT",Milestones!$AA$85=FT_Y5,EDATE($D89,Milestones!$AA$85)&lt;PolicyEff),1,Milestones!$AC$85)&amp;";  ","")&amp;IF(AND(EDATE($D89,Milestones!$AA$86)&lt;=AsOfDate,EDATE($D89,Milestones!$AA$86)&gt;=SchemeStart,IF($X89=0,$AD89,IF(AND($Z89&lt;&gt;"",EDATE($D89,Milestones!$AA$86)&gt;=$Z89),$AC89,IF(AND($Y89&lt;&gt;"",EDATE($D89,Milestones!$AA$86)&gt;=$Y89),$AB89,$AA89)))=Milestones!$AB$86),UPPER(TEXT(EDATE($D89,Milestones!$AA$86),"dd mmm yy"))&amp;" "&amp;Milestones!$AB$86&amp;" "&amp;IF(AND(Milestones!$AB$86="FT",Milestones!$AA$86=FT_Y5,EDATE($D89,Milestones!$AA$86)&lt;PolicyEff),1,Milestones!$AC$86)&amp;";  ","")&amp;IF(AND(EDATE($D89,Milestones!$AA$87)&lt;=AsOfDate,EDATE($D89,Milestones!$AA$87)&gt;=SchemeStart,IF($X89=0,$AD89,IF(AND($Z89&lt;&gt;"",EDATE($D89,Milestones!$AA$87)&gt;=$Z89),$AC89,IF(AND($Y89&lt;&gt;"",EDATE($D89,Milestones!$AA$87)&gt;=$Y89),$AB89,$AA89)))=Milestones!$AB$87),UPPER(TEXT(EDATE($D89,Milestones!$AA$87),"dd mmm yy"))&amp;" "&amp;Milestones!$AB$87&amp;" "&amp;IF(AND(Milestones!$AB$87="FT",Milestones!$AA$87=FT_Y5,EDATE($D89,Milestones!$AA$87)&lt;PolicyEff),1,Milestones!$AC$87)&amp;";  ","")&amp;IF(AND(EDATE($D89,Milestones!$AA$88)&lt;=AsOfDate,EDATE($D89,Milestones!$AA$88)&gt;=SchemeStart,IF($X89=0,$AD89,IF(AND($Z89&lt;&gt;"",EDATE($D89,Milestones!$AA$88)&gt;=$Z89),$AC89,IF(AND($Y89&lt;&gt;"",EDATE($D89,Milestones!$AA$88)&gt;=$Y89),$AB89,$AA89)))=Milestones!$AB$88),UPPER(TEXT(EDATE($D89,Milestones!$AA$88),"dd mmm yy"))&amp;" "&amp;Milestones!$AB$88&amp;" "&amp;IF(AND(Milestones!$AB$88="FT",Milestones!$AA$88=FT_Y5,EDATE($D89,Milestones!$AA$88)&lt;PolicyEff),1,Milestones!$AC$88)&amp;";  ","")&amp;IF(AND(EDATE($D89,Milestones!$AA$89)&lt;=AsOfDate,EDATE($D89,Milestones!$AA$89)&gt;=SchemeStart,IF($X89=0,$AD89,IF(AND($Z89&lt;&gt;"",EDATE($D89,Milestones!$AA$89)&gt;=$Z89),$AC89,IF(AND($Y89&lt;&gt;"",EDATE($D89,Milestones!$AA$89)&gt;=$Y89),$AB89,$AA89)))=Milestones!$AB$89),UPPER(TEXT(EDATE($D89,Milestones!$AA$89),"dd mmm yy"))&amp;" "&amp;Milestones!$AB$89&amp;" "&amp;IF(AND(Milestones!$AB$89="FT",Milestones!$AA$89=FT_Y5,EDATE($D89,Milestones!$AA$89)&lt;PolicyEff),1,Milestones!$AC$89)&amp;";  ","")&amp;IF(AND(EDATE($D89,Milestones!$AA$90)&lt;=AsOfDate,EDATE($D89,Milestones!$AA$90)&gt;=SchemeStart,IF($X89=0,$AD89,IF(AND($Z89&lt;&gt;"",EDATE($D89,Milestones!$AA$90)&gt;=$Z89),$AC89,IF(AND($Y89&lt;&gt;"",EDATE($D89,Milestones!$AA$90)&gt;=$Y89),$AB89,$AA89)))=Milestones!$AB$90),UPPER(TEXT(EDATE($D89,Milestones!$AA$90),"dd mmm yy"))&amp;" "&amp;Milestones!$AB$90&amp;" "&amp;IF(AND(Milestones!$AB$90="FT",Milestones!$AA$90=FT_Y5,EDATE($D89,Milestones!$AA$90)&lt;PolicyEff),1,Milestones!$AC$90)&amp;";  ","")&amp;IF(AND(EDATE($D89,Milestones!$AA$91)&lt;=AsOfDate,EDATE($D89,Milestones!$AA$91)&gt;=SchemeStart,IF($X89=0,$AD89,IF(AND($Z89&lt;&gt;"",EDATE($D89,Milestones!$AA$91)&gt;=$Z89),$AC89,IF(AND($Y89&lt;&gt;"",EDATE($D89,Milestones!$AA$91)&gt;=$Y89),$AB89,$AA89)))=Milestones!$AB$91),UPPER(TEXT(EDATE($D89,Milestones!$AA$91),"dd mmm yy"))&amp;" "&amp;Milestones!$AB$91&amp;" "&amp;IF(AND(Milestones!$AB$91="FT",Milestones!$AA$91=FT_Y5,EDATE($D89,Milestones!$AA$91)&lt;PolicyEff),1,Milestones!$AC$91)&amp;";  ",""))</f>
        <v/>
      </c>
      <c r="O89" s="0" t="str">
        <f aca="false">IF(OR($A89="",$D89=""),"",IF(AND(EDATE($D89,Milestones!$AA$92)&lt;=AsOfDate,EDATE($D89,Milestones!$AA$92)&gt;=SchemeStart,IF($X89=0,$AD89,IF(AND($Z89&lt;&gt;"",EDATE($D89,Milestones!$AA$92)&gt;=$Z89),$AC89,IF(AND($Y89&lt;&gt;"",EDATE($D89,Milestones!$AA$92)&gt;=$Y89),$AB89,$AA89)))=Milestones!$AB$92),UPPER(TEXT(EDATE($D89,Milestones!$AA$92),"dd mmm yy"))&amp;" "&amp;Milestones!$AB$92&amp;" "&amp;IF(AND(Milestones!$AB$92="FT",Milestones!$AA$92=FT_Y5,EDATE($D89,Milestones!$AA$92)&lt;PolicyEff),1,Milestones!$AC$92)&amp;";  ","")&amp;IF(AND(EDATE($D89,Milestones!$AA$93)&lt;=AsOfDate,EDATE($D89,Milestones!$AA$93)&gt;=SchemeStart,IF($X89=0,$AD89,IF(AND($Z89&lt;&gt;"",EDATE($D89,Milestones!$AA$93)&gt;=$Z89),$AC89,IF(AND($Y89&lt;&gt;"",EDATE($D89,Milestones!$AA$93)&gt;=$Y89),$AB89,$AA89)))=Milestones!$AB$93),UPPER(TEXT(EDATE($D89,Milestones!$AA$93),"dd mmm yy"))&amp;" "&amp;Milestones!$AB$93&amp;" "&amp;IF(AND(Milestones!$AB$93="FT",Milestones!$AA$93=FT_Y5,EDATE($D89,Milestones!$AA$93)&lt;PolicyEff),1,Milestones!$AC$93)&amp;";  ","")&amp;IF(AND(EDATE($D89,Milestones!$AA$94)&lt;=AsOfDate,EDATE($D89,Milestones!$AA$94)&gt;=SchemeStart,IF($X89=0,$AD89,IF(AND($Z89&lt;&gt;"",EDATE($D89,Milestones!$AA$94)&gt;=$Z89),$AC89,IF(AND($Y89&lt;&gt;"",EDATE($D89,Milestones!$AA$94)&gt;=$Y89),$AB89,$AA89)))=Milestones!$AB$94),UPPER(TEXT(EDATE($D89,Milestones!$AA$94),"dd mmm yy"))&amp;" "&amp;Milestones!$AB$94&amp;" "&amp;IF(AND(Milestones!$AB$94="FT",Milestones!$AA$94=FT_Y5,EDATE($D89,Milestones!$AA$94)&lt;PolicyEff),1,Milestones!$AC$94)&amp;";  ","")&amp;IF(AND(EDATE($D89,Milestones!$AA$95)&lt;=AsOfDate,EDATE($D89,Milestones!$AA$95)&gt;=SchemeStart,IF($X89=0,$AD89,IF(AND($Z89&lt;&gt;"",EDATE($D89,Milestones!$AA$95)&gt;=$Z89),$AC89,IF(AND($Y89&lt;&gt;"",EDATE($D89,Milestones!$AA$95)&gt;=$Y89),$AB89,$AA89)))=Milestones!$AB$95),UPPER(TEXT(EDATE($D89,Milestones!$AA$95),"dd mmm yy"))&amp;" "&amp;Milestones!$AB$95&amp;" "&amp;IF(AND(Milestones!$AB$95="FT",Milestones!$AA$95=FT_Y5,EDATE($D89,Milestones!$AA$95)&lt;PolicyEff),1,Milestones!$AC$95)&amp;";  ","")&amp;IF(AND(EDATE($D89,Milestones!$AA$96)&lt;=AsOfDate,EDATE($D89,Milestones!$AA$96)&gt;=SchemeStart,IF($X89=0,$AD89,IF(AND($Z89&lt;&gt;"",EDATE($D89,Milestones!$AA$96)&gt;=$Z89),$AC89,IF(AND($Y89&lt;&gt;"",EDATE($D89,Milestones!$AA$96)&gt;=$Y89),$AB89,$AA89)))=Milestones!$AB$96),UPPER(TEXT(EDATE($D89,Milestones!$AA$96),"dd mmm yy"))&amp;" "&amp;Milestones!$AB$96&amp;" "&amp;IF(AND(Milestones!$AB$96="FT",Milestones!$AA$96=FT_Y5,EDATE($D89,Milestones!$AA$96)&lt;PolicyEff),1,Milestones!$AC$96)&amp;";  ","")&amp;IF(AND(EDATE($D89,Milestones!$AA$97)&lt;=AsOfDate,EDATE($D89,Milestones!$AA$97)&gt;=SchemeStart,IF($X89=0,$AD89,IF(AND($Z89&lt;&gt;"",EDATE($D89,Milestones!$AA$97)&gt;=$Z89),$AC89,IF(AND($Y89&lt;&gt;"",EDATE($D89,Milestones!$AA$97)&gt;=$Y89),$AB89,$AA89)))=Milestones!$AB$97),UPPER(TEXT(EDATE($D89,Milestones!$AA$97),"dd mmm yy"))&amp;" "&amp;Milestones!$AB$97&amp;" "&amp;IF(AND(Milestones!$AB$97="FT",Milestones!$AA$97=FT_Y5,EDATE($D89,Milestones!$AA$97)&lt;PolicyEff),1,Milestones!$AC$97)&amp;";  ","")&amp;IF(AND(EDATE($D89,Milestones!$AA$98)&lt;=AsOfDate,EDATE($D89,Milestones!$AA$98)&gt;=SchemeStart,IF($X89=0,$AD89,IF(AND($Z89&lt;&gt;"",EDATE($D89,Milestones!$AA$98)&gt;=$Z89),$AC89,IF(AND($Y89&lt;&gt;"",EDATE($D89,Milestones!$AA$98)&gt;=$Y89),$AB89,$AA89)))=Milestones!$AB$98),UPPER(TEXT(EDATE($D89,Milestones!$AA$98),"dd mmm yy"))&amp;" "&amp;Milestones!$AB$98&amp;" "&amp;IF(AND(Milestones!$AB$98="FT",Milestones!$AA$98=FT_Y5,EDATE($D89,Milestones!$AA$98)&lt;PolicyEff),1,Milestones!$AC$98)&amp;";  ","")&amp;IF(AND(EDATE($D89,Milestones!$AA$99)&lt;=AsOfDate,EDATE($D89,Milestones!$AA$99)&gt;=SchemeStart,IF($X89=0,$AD89,IF(AND($Z89&lt;&gt;"",EDATE($D89,Milestones!$AA$99)&gt;=$Z89),$AC89,IF(AND($Y89&lt;&gt;"",EDATE($D89,Milestones!$AA$99)&gt;=$Y89),$AB89,$AA89)))=Milestones!$AB$99),UPPER(TEXT(EDATE($D89,Milestones!$AA$99),"dd mmm yy"))&amp;" "&amp;Milestones!$AB$99&amp;" "&amp;IF(AND(Milestones!$AB$99="FT",Milestones!$AA$99=FT_Y5,EDATE($D89,Milestones!$AA$99)&lt;PolicyEff),1,Milestones!$AC$99)&amp;";  ","")&amp;IF(AND(EDATE($D89,Milestones!$AA$100)&lt;=AsOfDate,EDATE($D89,Milestones!$AA$100)&gt;=SchemeStart,IF($X89=0,$AD89,IF(AND($Z89&lt;&gt;"",EDATE($D89,Milestones!$AA$100)&gt;=$Z89),$AC89,IF(AND($Y89&lt;&gt;"",EDATE($D89,Milestones!$AA$100)&gt;=$Y89),$AB89,$AA89)))=Milestones!$AB$100),UPPER(TEXT(EDATE($D89,Milestones!$AA$100),"dd mmm yy"))&amp;" "&amp;Milestones!$AB$100&amp;" "&amp;IF(AND(Milestones!$AB$100="FT",Milestones!$AA$100=FT_Y5,EDATE($D89,Milestones!$AA$100)&lt;PolicyEff),1,Milestones!$AC$100)&amp;";  ","")&amp;IF(AND(EDATE($D89,Milestones!$AA$101)&lt;=AsOfDate,EDATE($D89,Milestones!$AA$101)&gt;=SchemeStart,IF($X89=0,$AD89,IF(AND($Z89&lt;&gt;"",EDATE($D89,Milestones!$AA$101)&gt;=$Z89),$AC89,IF(AND($Y89&lt;&gt;"",EDATE($D89,Milestones!$AA$101)&gt;=$Y89),$AB89,$AA89)))=Milestones!$AB$101),UPPER(TEXT(EDATE($D89,Milestones!$AA$101),"dd mmm yy"))&amp;" "&amp;Milestones!$AB$101&amp;" "&amp;IF(AND(Milestones!$AB$101="FT",Milestones!$AA$101=FT_Y5,EDATE($D89,Milestones!$AA$101)&lt;PolicyEff),1,Milestones!$AC$101)&amp;";  ","")&amp;IF(AND(EDATE($D89,Milestones!$AA$102)&lt;=AsOfDate,EDATE($D89,Milestones!$AA$102)&gt;=SchemeStart,IF($X89=0,$AD89,IF(AND($Z89&lt;&gt;"",EDATE($D89,Milestones!$AA$102)&gt;=$Z89),$AC89,IF(AND($Y89&lt;&gt;"",EDATE($D89,Milestones!$AA$102)&gt;=$Y89),$AB89,$AA89)))=Milestones!$AB$102),UPPER(TEXT(EDATE($D89,Milestones!$AA$102),"dd mmm yy"))&amp;" "&amp;Milestones!$AB$102&amp;" "&amp;IF(AND(Milestones!$AB$102="FT",Milestones!$AA$102=FT_Y5,EDATE($D89,Milestones!$AA$102)&lt;PolicyEff),1,Milestones!$AC$102)&amp;";  ","")&amp;IF(AND(EDATE($D89,Milestones!$AA$103)&lt;=AsOfDate,EDATE($D89,Milestones!$AA$103)&gt;=SchemeStart,IF($X89=0,$AD89,IF(AND($Z89&lt;&gt;"",EDATE($D89,Milestones!$AA$103)&gt;=$Z89),$AC89,IF(AND($Y89&lt;&gt;"",EDATE($D89,Milestones!$AA$103)&gt;=$Y89),$AB89,$AA89)))=Milestones!$AB$103),UPPER(TEXT(EDATE($D89,Milestones!$AA$103),"dd mmm yy"))&amp;" "&amp;Milestones!$AB$103&amp;" "&amp;IF(AND(Milestones!$AB$103="FT",Milestones!$AA$103=FT_Y5,EDATE($D89,Milestones!$AA$103)&lt;PolicyEff),1,Milestones!$AC$103)&amp;";  ",""))</f>
        <v/>
      </c>
      <c r="P89" s="0" t="str">
        <f aca="false">IF(OR($A89="",$D89=""),"",IF(AND(EDATE($D89,Milestones!$AA$104)&lt;=AsOfDate,EDATE($D89,Milestones!$AA$104)&gt;=SchemeStart,IF($X89=0,$AD89,IF(AND($Z89&lt;&gt;"",EDATE($D89,Milestones!$AA$104)&gt;=$Z89),$AC89,IF(AND($Y89&lt;&gt;"",EDATE($D89,Milestones!$AA$104)&gt;=$Y89),$AB89,$AA89)))=Milestones!$AB$104),UPPER(TEXT(EDATE($D89,Milestones!$AA$104),"dd mmm yy"))&amp;" "&amp;Milestones!$AB$104&amp;" "&amp;IF(AND(Milestones!$AB$104="FT",Milestones!$AA$104=FT_Y5,EDATE($D89,Milestones!$AA$104)&lt;PolicyEff),1,Milestones!$AC$104)&amp;";  ","")&amp;IF(AND(EDATE($D89,Milestones!$AA$105)&lt;=AsOfDate,EDATE($D89,Milestones!$AA$105)&gt;=SchemeStart,IF($X89=0,$AD89,IF(AND($Z89&lt;&gt;"",EDATE($D89,Milestones!$AA$105)&gt;=$Z89),$AC89,IF(AND($Y89&lt;&gt;"",EDATE($D89,Milestones!$AA$105)&gt;=$Y89),$AB89,$AA89)))=Milestones!$AB$105),UPPER(TEXT(EDATE($D89,Milestones!$AA$105),"dd mmm yy"))&amp;" "&amp;Milestones!$AB$105&amp;" "&amp;IF(AND(Milestones!$AB$105="FT",Milestones!$AA$105=FT_Y5,EDATE($D89,Milestones!$AA$105)&lt;PolicyEff),1,Milestones!$AC$105)&amp;";  ","")&amp;IF(AND(EDATE($D89,Milestones!$AA$106)&lt;=AsOfDate,EDATE($D89,Milestones!$AA$106)&gt;=SchemeStart,IF($X89=0,$AD89,IF(AND($Z89&lt;&gt;"",EDATE($D89,Milestones!$AA$106)&gt;=$Z89),$AC89,IF(AND($Y89&lt;&gt;"",EDATE($D89,Milestones!$AA$106)&gt;=$Y89),$AB89,$AA89)))=Milestones!$AB$106),UPPER(TEXT(EDATE($D89,Milestones!$AA$106),"dd mmm yy"))&amp;" "&amp;Milestones!$AB$106&amp;" "&amp;IF(AND(Milestones!$AB$106="FT",Milestones!$AA$106=FT_Y5,EDATE($D89,Milestones!$AA$106)&lt;PolicyEff),1,Milestones!$AC$106)&amp;";  ","")&amp;IF(AND(EDATE($D89,Milestones!$AA$107)&lt;=AsOfDate,EDATE($D89,Milestones!$AA$107)&gt;=SchemeStart,IF($X89=0,$AD89,IF(AND($Z89&lt;&gt;"",EDATE($D89,Milestones!$AA$107)&gt;=$Z89),$AC89,IF(AND($Y89&lt;&gt;"",EDATE($D89,Milestones!$AA$107)&gt;=$Y89),$AB89,$AA89)))=Milestones!$AB$107),UPPER(TEXT(EDATE($D89,Milestones!$AA$107),"dd mmm yy"))&amp;" "&amp;Milestones!$AB$107&amp;" "&amp;IF(AND(Milestones!$AB$107="FT",Milestones!$AA$107=FT_Y5,EDATE($D89,Milestones!$AA$107)&lt;PolicyEff),1,Milestones!$AC$107)&amp;";  ","")&amp;IF(AND(EDATE($D89,Milestones!$AA$108)&lt;=AsOfDate,EDATE($D89,Milestones!$AA$108)&gt;=SchemeStart,IF($X89=0,$AD89,IF(AND($Z89&lt;&gt;"",EDATE($D89,Milestones!$AA$108)&gt;=$Z89),$AC89,IF(AND($Y89&lt;&gt;"",EDATE($D89,Milestones!$AA$108)&gt;=$Y89),$AB89,$AA89)))=Milestones!$AB$108),UPPER(TEXT(EDATE($D89,Milestones!$AA$108),"dd mmm yy"))&amp;" "&amp;Milestones!$AB$108&amp;" "&amp;IF(AND(Milestones!$AB$108="FT",Milestones!$AA$108=FT_Y5,EDATE($D89,Milestones!$AA$108)&lt;PolicyEff),1,Milestones!$AC$108)&amp;";  ","")&amp;IF(AND(EDATE($D89,Milestones!$AA$109)&lt;=AsOfDate,EDATE($D89,Milestones!$AA$109)&gt;=SchemeStart,IF($X89=0,$AD89,IF(AND($Z89&lt;&gt;"",EDATE($D89,Milestones!$AA$109)&gt;=$Z89),$AC89,IF(AND($Y89&lt;&gt;"",EDATE($D89,Milestones!$AA$109)&gt;=$Y89),$AB89,$AA89)))=Milestones!$AB$109),UPPER(TEXT(EDATE($D89,Milestones!$AA$109),"dd mmm yy"))&amp;" "&amp;Milestones!$AB$109&amp;" "&amp;IF(AND(Milestones!$AB$109="FT",Milestones!$AA$109=FT_Y5,EDATE($D89,Milestones!$AA$109)&lt;PolicyEff),1,Milestones!$AC$109)&amp;";  ","")&amp;IF(AND(EDATE($D89,Milestones!$AA$110)&lt;=AsOfDate,EDATE($D89,Milestones!$AA$110)&gt;=SchemeStart,IF($X89=0,$AD89,IF(AND($Z89&lt;&gt;"",EDATE($D89,Milestones!$AA$110)&gt;=$Z89),$AC89,IF(AND($Y89&lt;&gt;"",EDATE($D89,Milestones!$AA$110)&gt;=$Y89),$AB89,$AA89)))=Milestones!$AB$110),UPPER(TEXT(EDATE($D89,Milestones!$AA$110),"dd mmm yy"))&amp;" "&amp;Milestones!$AB$110&amp;" "&amp;IF(AND(Milestones!$AB$110="FT",Milestones!$AA$110=FT_Y5,EDATE($D89,Milestones!$AA$110)&lt;PolicyEff),1,Milestones!$AC$110)&amp;";  ","")&amp;IF(AND(EDATE($D89,Milestones!$AA$111)&lt;=AsOfDate,EDATE($D89,Milestones!$AA$111)&gt;=SchemeStart,IF($X89=0,$AD89,IF(AND($Z89&lt;&gt;"",EDATE($D89,Milestones!$AA$111)&gt;=$Z89),$AC89,IF(AND($Y89&lt;&gt;"",EDATE($D89,Milestones!$AA$111)&gt;=$Y89),$AB89,$AA89)))=Milestones!$AB$111),UPPER(TEXT(EDATE($D89,Milestones!$AA$111),"dd mmm yy"))&amp;" "&amp;Milestones!$AB$111&amp;" "&amp;IF(AND(Milestones!$AB$111="FT",Milestones!$AA$111=FT_Y5,EDATE($D89,Milestones!$AA$111)&lt;PolicyEff),1,Milestones!$AC$111)&amp;";  ","")&amp;IF(AND(EDATE($D89,Milestones!$AA$112)&lt;=AsOfDate,EDATE($D89,Milestones!$AA$112)&gt;=SchemeStart,IF($X89=0,$AD89,IF(AND($Z89&lt;&gt;"",EDATE($D89,Milestones!$AA$112)&gt;=$Z89),$AC89,IF(AND($Y89&lt;&gt;"",EDATE($D89,Milestones!$AA$112)&gt;=$Y89),$AB89,$AA89)))=Milestones!$AB$112),UPPER(TEXT(EDATE($D89,Milestones!$AA$112),"dd mmm yy"))&amp;" "&amp;Milestones!$AB$112&amp;" "&amp;IF(AND(Milestones!$AB$112="FT",Milestones!$AA$112=FT_Y5,EDATE($D89,Milestones!$AA$112)&lt;PolicyEff),1,Milestones!$AC$112)&amp;";  ","")&amp;IF(AND(EDATE($D89,Milestones!$AA$113)&lt;=AsOfDate,EDATE($D89,Milestones!$AA$113)&gt;=SchemeStart,IF($X89=0,$AD89,IF(AND($Z89&lt;&gt;"",EDATE($D89,Milestones!$AA$113)&gt;=$Z89),$AC89,IF(AND($Y89&lt;&gt;"",EDATE($D89,Milestones!$AA$113)&gt;=$Y89),$AB89,$AA89)))=Milestones!$AB$113),UPPER(TEXT(EDATE($D89,Milestones!$AA$113),"dd mmm yy"))&amp;" "&amp;Milestones!$AB$113&amp;" "&amp;IF(AND(Milestones!$AB$113="FT",Milestones!$AA$113=FT_Y5,EDATE($D89,Milestones!$AA$113)&lt;PolicyEff),1,Milestones!$AC$113)&amp;";  ","")&amp;IF(AND(EDATE($D89,Milestones!$AA$114)&lt;=AsOfDate,EDATE($D89,Milestones!$AA$114)&gt;=SchemeStart,IF($X89=0,$AD89,IF(AND($Z89&lt;&gt;"",EDATE($D89,Milestones!$AA$114)&gt;=$Z89),$AC89,IF(AND($Y89&lt;&gt;"",EDATE($D89,Milestones!$AA$114)&gt;=$Y89),$AB89,$AA89)))=Milestones!$AB$114),UPPER(TEXT(EDATE($D89,Milestones!$AA$114),"dd mmm yy"))&amp;" "&amp;Milestones!$AB$114&amp;" "&amp;IF(AND(Milestones!$AB$114="FT",Milestones!$AA$114=FT_Y5,EDATE($D89,Milestones!$AA$114)&lt;PolicyEff),1,Milestones!$AC$114)&amp;";  ","")&amp;IF(AND(EDATE($D89,Milestones!$AA$115)&lt;=AsOfDate,EDATE($D89,Milestones!$AA$115)&gt;=SchemeStart,IF($X89=0,$AD89,IF(AND($Z89&lt;&gt;"",EDATE($D89,Milestones!$AA$115)&gt;=$Z89),$AC89,IF(AND($Y89&lt;&gt;"",EDATE($D89,Milestones!$AA$115)&gt;=$Y89),$AB89,$AA89)))=Milestones!$AB$115),UPPER(TEXT(EDATE($D89,Milestones!$AA$115),"dd mmm yy"))&amp;" "&amp;Milestones!$AB$115&amp;" "&amp;IF(AND(Milestones!$AB$115="FT",Milestones!$AA$115=FT_Y5,EDATE($D89,Milestones!$AA$115)&lt;PolicyEff),1,Milestones!$AC$115)&amp;";  ",""))</f>
        <v/>
      </c>
      <c r="Q89" s="0" t="str">
        <f aca="false">IF(OR($A89="",$D89=""),"",IF(AND(EDATE($D89,Milestones!$AA$116)&lt;=AsOfDate,EDATE($D89,Milestones!$AA$116)&gt;=SchemeStart,IF($X89=0,$AD89,IF(AND($Z89&lt;&gt;"",EDATE($D89,Milestones!$AA$116)&gt;=$Z89),$AC89,IF(AND($Y89&lt;&gt;"",EDATE($D89,Milestones!$AA$116)&gt;=$Y89),$AB89,$AA89)))=Milestones!$AB$116),UPPER(TEXT(EDATE($D89,Milestones!$AA$116),"dd mmm yy"))&amp;" "&amp;Milestones!$AB$116&amp;" "&amp;IF(AND(Milestones!$AB$116="FT",Milestones!$AA$116=FT_Y5,EDATE($D89,Milestones!$AA$116)&lt;PolicyEff),1,Milestones!$AC$116)&amp;";  ","")&amp;IF(AND(EDATE($D89,Milestones!$AA$117)&lt;=AsOfDate,EDATE($D89,Milestones!$AA$117)&gt;=SchemeStart,IF($X89=0,$AD89,IF(AND($Z89&lt;&gt;"",EDATE($D89,Milestones!$AA$117)&gt;=$Z89),$AC89,IF(AND($Y89&lt;&gt;"",EDATE($D89,Milestones!$AA$117)&gt;=$Y89),$AB89,$AA89)))=Milestones!$AB$117),UPPER(TEXT(EDATE($D89,Milestones!$AA$117),"dd mmm yy"))&amp;" "&amp;Milestones!$AB$117&amp;" "&amp;IF(AND(Milestones!$AB$117="FT",Milestones!$AA$117=FT_Y5,EDATE($D89,Milestones!$AA$117)&lt;PolicyEff),1,Milestones!$AC$117)&amp;";  ","")&amp;IF(AND(EDATE($D89,Milestones!$AA$118)&lt;=AsOfDate,EDATE($D89,Milestones!$AA$118)&gt;=SchemeStart,IF($X89=0,$AD89,IF(AND($Z89&lt;&gt;"",EDATE($D89,Milestones!$AA$118)&gt;=$Z89),$AC89,IF(AND($Y89&lt;&gt;"",EDATE($D89,Milestones!$AA$118)&gt;=$Y89),$AB89,$AA89)))=Milestones!$AB$118),UPPER(TEXT(EDATE($D89,Milestones!$AA$118),"dd mmm yy"))&amp;" "&amp;Milestones!$AB$118&amp;" "&amp;IF(AND(Milestones!$AB$118="FT",Milestones!$AA$118=FT_Y5,EDATE($D89,Milestones!$AA$118)&lt;PolicyEff),1,Milestones!$AC$118)&amp;";  ","")&amp;IF(AND(EDATE($D89,Milestones!$AA$119)&lt;=AsOfDate,EDATE($D89,Milestones!$AA$119)&gt;=SchemeStart,IF($X89=0,$AD89,IF(AND($Z89&lt;&gt;"",EDATE($D89,Milestones!$AA$119)&gt;=$Z89),$AC89,IF(AND($Y89&lt;&gt;"",EDATE($D89,Milestones!$AA$119)&gt;=$Y89),$AB89,$AA89)))=Milestones!$AB$119),UPPER(TEXT(EDATE($D89,Milestones!$AA$119),"dd mmm yy"))&amp;" "&amp;Milestones!$AB$119&amp;" "&amp;IF(AND(Milestones!$AB$119="FT",Milestones!$AA$119=FT_Y5,EDATE($D89,Milestones!$AA$119)&lt;PolicyEff),1,Milestones!$AC$119)&amp;";  ","")&amp;IF(AND(EDATE($D89,Milestones!$AA$120)&lt;=AsOfDate,EDATE($D89,Milestones!$AA$120)&gt;=SchemeStart,IF($X89=0,$AD89,IF(AND($Z89&lt;&gt;"",EDATE($D89,Milestones!$AA$120)&gt;=$Z89),$AC89,IF(AND($Y89&lt;&gt;"",EDATE($D89,Milestones!$AA$120)&gt;=$Y89),$AB89,$AA89)))=Milestones!$AB$120),UPPER(TEXT(EDATE($D89,Milestones!$AA$120),"dd mmm yy"))&amp;" "&amp;Milestones!$AB$120&amp;" "&amp;IF(AND(Milestones!$AB$120="FT",Milestones!$AA$120=FT_Y5,EDATE($D89,Milestones!$AA$120)&lt;PolicyEff),1,Milestones!$AC$120)&amp;";  ","")&amp;IF(AND(EDATE($D89,Milestones!$AA$121)&lt;=AsOfDate,EDATE($D89,Milestones!$AA$121)&gt;=SchemeStart,IF($X89=0,$AD89,IF(AND($Z89&lt;&gt;"",EDATE($D89,Milestones!$AA$121)&gt;=$Z89),$AC89,IF(AND($Y89&lt;&gt;"",EDATE($D89,Milestones!$AA$121)&gt;=$Y89),$AB89,$AA89)))=Milestones!$AB$121),UPPER(TEXT(EDATE($D89,Milestones!$AA$121),"dd mmm yy"))&amp;" "&amp;Milestones!$AB$121&amp;" "&amp;IF(AND(Milestones!$AB$121="FT",Milestones!$AA$121=FT_Y5,EDATE($D89,Milestones!$AA$121)&lt;PolicyEff),1,Milestones!$AC$121)&amp;";  ","")&amp;IF(AND(EDATE($D89,Milestones!$AA$122)&lt;=AsOfDate,EDATE($D89,Milestones!$AA$122)&gt;=SchemeStart,IF($X89=0,$AD89,IF(AND($Z89&lt;&gt;"",EDATE($D89,Milestones!$AA$122)&gt;=$Z89),$AC89,IF(AND($Y89&lt;&gt;"",EDATE($D89,Milestones!$AA$122)&gt;=$Y89),$AB89,$AA89)))=Milestones!$AB$122),UPPER(TEXT(EDATE($D89,Milestones!$AA$122),"dd mmm yy"))&amp;" "&amp;Milestones!$AB$122&amp;" "&amp;IF(AND(Milestones!$AB$122="FT",Milestones!$AA$122=FT_Y5,EDATE($D89,Milestones!$AA$122)&lt;PolicyEff),1,Milestones!$AC$122)&amp;";  ","")&amp;IF(AND(EDATE($D89,Milestones!$AA$123)&lt;=AsOfDate,EDATE($D89,Milestones!$AA$123)&gt;=SchemeStart,IF($X89=0,$AD89,IF(AND($Z89&lt;&gt;"",EDATE($D89,Milestones!$AA$123)&gt;=$Z89),$AC89,IF(AND($Y89&lt;&gt;"",EDATE($D89,Milestones!$AA$123)&gt;=$Y89),$AB89,$AA89)))=Milestones!$AB$123),UPPER(TEXT(EDATE($D89,Milestones!$AA$123),"dd mmm yy"))&amp;" "&amp;Milestones!$AB$123&amp;" "&amp;IF(AND(Milestones!$AB$123="FT",Milestones!$AA$123=FT_Y5,EDATE($D89,Milestones!$AA$123)&lt;PolicyEff),1,Milestones!$AC$123)&amp;";  ","")&amp;IF(AND(EDATE($D89,Milestones!$AA$124)&lt;=AsOfDate,EDATE($D89,Milestones!$AA$124)&gt;=SchemeStart,IF($X89=0,$AD89,IF(AND($Z89&lt;&gt;"",EDATE($D89,Milestones!$AA$124)&gt;=$Z89),$AC89,IF(AND($Y89&lt;&gt;"",EDATE($D89,Milestones!$AA$124)&gt;=$Y89),$AB89,$AA89)))=Milestones!$AB$124),UPPER(TEXT(EDATE($D89,Milestones!$AA$124),"dd mmm yy"))&amp;" "&amp;Milestones!$AB$124&amp;" "&amp;IF(AND(Milestones!$AB$124="FT",Milestones!$AA$124=FT_Y5,EDATE($D89,Milestones!$AA$124)&lt;PolicyEff),1,Milestones!$AC$124)&amp;";  ","")&amp;IF(AND(EDATE($D89,Milestones!$AA$125)&lt;=AsOfDate,EDATE($D89,Milestones!$AA$125)&gt;=SchemeStart,IF($X89=0,$AD89,IF(AND($Z89&lt;&gt;"",EDATE($D89,Milestones!$AA$125)&gt;=$Z89),$AC89,IF(AND($Y89&lt;&gt;"",EDATE($D89,Milestones!$AA$125)&gt;=$Y89),$AB89,$AA89)))=Milestones!$AB$125),UPPER(TEXT(EDATE($D89,Milestones!$AA$125),"dd mmm yy"))&amp;" "&amp;Milestones!$AB$125&amp;" "&amp;IF(AND(Milestones!$AB$125="FT",Milestones!$AA$125=FT_Y5,EDATE($D89,Milestones!$AA$125)&lt;PolicyEff),1,Milestones!$AC$125)&amp;";  ","")&amp;IF(AND(EDATE($D89,Milestones!$AA$126)&lt;=AsOfDate,EDATE($D89,Milestones!$AA$126)&gt;=SchemeStart,IF($X89=0,$AD89,IF(AND($Z89&lt;&gt;"",EDATE($D89,Milestones!$AA$126)&gt;=$Z89),$AC89,IF(AND($Y89&lt;&gt;"",EDATE($D89,Milestones!$AA$126)&gt;=$Y89),$AB89,$AA89)))=Milestones!$AB$126),UPPER(TEXT(EDATE($D89,Milestones!$AA$126),"dd mmm yy"))&amp;" "&amp;Milestones!$AB$126&amp;" "&amp;IF(AND(Milestones!$AB$126="FT",Milestones!$AA$126=FT_Y5,EDATE($D89,Milestones!$AA$126)&lt;PolicyEff),1,Milestones!$AC$126)&amp;";  ","")&amp;IF(AND(EDATE($D89,Milestones!$AA$127)&lt;=AsOfDate,EDATE($D89,Milestones!$AA$127)&gt;=SchemeStart,IF($X89=0,$AD89,IF(AND($Z89&lt;&gt;"",EDATE($D89,Milestones!$AA$127)&gt;=$Z89),$AC89,IF(AND($Y89&lt;&gt;"",EDATE($D89,Milestones!$AA$127)&gt;=$Y89),$AB89,$AA89)))=Milestones!$AB$127),UPPER(TEXT(EDATE($D89,Milestones!$AA$127),"dd mmm yy"))&amp;" "&amp;Milestones!$AB$127&amp;" "&amp;IF(AND(Milestones!$AB$127="FT",Milestones!$AA$127=FT_Y5,EDATE($D89,Milestones!$AA$127)&lt;PolicyEff),1,Milestones!$AC$127)&amp;";  ",""))</f>
        <v/>
      </c>
      <c r="R89" s="0" t="str">
        <f aca="false">IF(OR($A89="",$D89=""),"",IF(AND(EDATE($D89,Milestones!$AA$128)&lt;=AsOfDate,EDATE($D89,Milestones!$AA$128)&gt;=SchemeStart,IF($X89=0,$AD89,IF(AND($Z89&lt;&gt;"",EDATE($D89,Milestones!$AA$128)&gt;=$Z89),$AC89,IF(AND($Y89&lt;&gt;"",EDATE($D89,Milestones!$AA$128)&gt;=$Y89),$AB89,$AA89)))=Milestones!$AB$128),UPPER(TEXT(EDATE($D89,Milestones!$AA$128),"dd mmm yy"))&amp;" "&amp;Milestones!$AB$128&amp;" "&amp;IF(AND(Milestones!$AB$128="FT",Milestones!$AA$128=FT_Y5,EDATE($D89,Milestones!$AA$128)&lt;PolicyEff),1,Milestones!$AC$128)&amp;";  ","")&amp;IF(AND(EDATE($D89,Milestones!$AA$129)&lt;=AsOfDate,EDATE($D89,Milestones!$AA$129)&gt;=SchemeStart,IF($X89=0,$AD89,IF(AND($Z89&lt;&gt;"",EDATE($D89,Milestones!$AA$129)&gt;=$Z89),$AC89,IF(AND($Y89&lt;&gt;"",EDATE($D89,Milestones!$AA$129)&gt;=$Y89),$AB89,$AA89)))=Milestones!$AB$129),UPPER(TEXT(EDATE($D89,Milestones!$AA$129),"dd mmm yy"))&amp;" "&amp;Milestones!$AB$129&amp;" "&amp;IF(AND(Milestones!$AB$129="FT",Milestones!$AA$129=FT_Y5,EDATE($D89,Milestones!$AA$129)&lt;PolicyEff),1,Milestones!$AC$129)&amp;";  ","")&amp;IF(AND(EDATE($D89,Milestones!$AA$130)&lt;=AsOfDate,EDATE($D89,Milestones!$AA$130)&gt;=SchemeStart,IF($X89=0,$AD89,IF(AND($Z89&lt;&gt;"",EDATE($D89,Milestones!$AA$130)&gt;=$Z89),$AC89,IF(AND($Y89&lt;&gt;"",EDATE($D89,Milestones!$AA$130)&gt;=$Y89),$AB89,$AA89)))=Milestones!$AB$130),UPPER(TEXT(EDATE($D89,Milestones!$AA$130),"dd mmm yy"))&amp;" "&amp;Milestones!$AB$130&amp;" "&amp;IF(AND(Milestones!$AB$130="FT",Milestones!$AA$130=FT_Y5,EDATE($D89,Milestones!$AA$130)&lt;PolicyEff),1,Milestones!$AC$130)&amp;";  ","")&amp;IF(AND(EDATE($D89,Milestones!$AA$131)&lt;=AsOfDate,EDATE($D89,Milestones!$AA$131)&gt;=SchemeStart,IF($X89=0,$AD89,IF(AND($Z89&lt;&gt;"",EDATE($D89,Milestones!$AA$131)&gt;=$Z89),$AC89,IF(AND($Y89&lt;&gt;"",EDATE($D89,Milestones!$AA$131)&gt;=$Y89),$AB89,$AA89)))=Milestones!$AB$131),UPPER(TEXT(EDATE($D89,Milestones!$AA$131),"dd mmm yy"))&amp;" "&amp;Milestones!$AB$131&amp;" "&amp;IF(AND(Milestones!$AB$131="FT",Milestones!$AA$131=FT_Y5,EDATE($D89,Milestones!$AA$131)&lt;PolicyEff),1,Milestones!$AC$131)&amp;";  ","")&amp;IF(AND(EDATE($D89,Milestones!$AA$132)&lt;=AsOfDate,EDATE($D89,Milestones!$AA$132)&gt;=SchemeStart,IF($X89=0,$AD89,IF(AND($Z89&lt;&gt;"",EDATE($D89,Milestones!$AA$132)&gt;=$Z89),$AC89,IF(AND($Y89&lt;&gt;"",EDATE($D89,Milestones!$AA$132)&gt;=$Y89),$AB89,$AA89)))=Milestones!$AB$132),UPPER(TEXT(EDATE($D89,Milestones!$AA$132),"dd mmm yy"))&amp;" "&amp;Milestones!$AB$132&amp;" "&amp;IF(AND(Milestones!$AB$132="FT",Milestones!$AA$132=FT_Y5,EDATE($D89,Milestones!$AA$132)&lt;PolicyEff),1,Milestones!$AC$132)&amp;";  ","")&amp;IF(AND(EDATE($D89,Milestones!$AA$133)&lt;=AsOfDate,EDATE($D89,Milestones!$AA$133)&gt;=SchemeStart,IF($X89=0,$AD89,IF(AND($Z89&lt;&gt;"",EDATE($D89,Milestones!$AA$133)&gt;=$Z89),$AC89,IF(AND($Y89&lt;&gt;"",EDATE($D89,Milestones!$AA$133)&gt;=$Y89),$AB89,$AA89)))=Milestones!$AB$133),UPPER(TEXT(EDATE($D89,Milestones!$AA$133),"dd mmm yy"))&amp;" "&amp;Milestones!$AB$133&amp;" "&amp;IF(AND(Milestones!$AB$133="FT",Milestones!$AA$133=FT_Y5,EDATE($D89,Milestones!$AA$133)&lt;PolicyEff),1,Milestones!$AC$133)&amp;";  ","")&amp;IF(AND(EDATE($D89,Milestones!$AA$134)&lt;=AsOfDate,EDATE($D89,Milestones!$AA$134)&gt;=SchemeStart,IF($X89=0,$AD89,IF(AND($Z89&lt;&gt;"",EDATE($D89,Milestones!$AA$134)&gt;=$Z89),$AC89,IF(AND($Y89&lt;&gt;"",EDATE($D89,Milestones!$AA$134)&gt;=$Y89),$AB89,$AA89)))=Milestones!$AB$134),UPPER(TEXT(EDATE($D89,Milestones!$AA$134),"dd mmm yy"))&amp;" "&amp;Milestones!$AB$134&amp;" "&amp;IF(AND(Milestones!$AB$134="FT",Milestones!$AA$134=FT_Y5,EDATE($D89,Milestones!$AA$134)&lt;PolicyEff),1,Milestones!$AC$134)&amp;";  ","")&amp;IF(AND(EDATE($D89,Milestones!$AA$135)&lt;=AsOfDate,EDATE($D89,Milestones!$AA$135)&gt;=SchemeStart,IF($X89=0,$AD89,IF(AND($Z89&lt;&gt;"",EDATE($D89,Milestones!$AA$135)&gt;=$Z89),$AC89,IF(AND($Y89&lt;&gt;"",EDATE($D89,Milestones!$AA$135)&gt;=$Y89),$AB89,$AA89)))=Milestones!$AB$135),UPPER(TEXT(EDATE($D89,Milestones!$AA$135),"dd mmm yy"))&amp;" "&amp;Milestones!$AB$135&amp;" "&amp;IF(AND(Milestones!$AB$135="FT",Milestones!$AA$135=FT_Y5,EDATE($D89,Milestones!$AA$135)&lt;PolicyEff),1,Milestones!$AC$135)&amp;";  ","")&amp;IF(AND(EDATE($D89,Milestones!$AA$136)&lt;=AsOfDate,EDATE($D89,Milestones!$AA$136)&gt;=SchemeStart,IF($X89=0,$AD89,IF(AND($Z89&lt;&gt;"",EDATE($D89,Milestones!$AA$136)&gt;=$Z89),$AC89,IF(AND($Y89&lt;&gt;"",EDATE($D89,Milestones!$AA$136)&gt;=$Y89),$AB89,$AA89)))=Milestones!$AB$136),UPPER(TEXT(EDATE($D89,Milestones!$AA$136),"dd mmm yy"))&amp;" "&amp;Milestones!$AB$136&amp;" "&amp;IF(AND(Milestones!$AB$136="FT",Milestones!$AA$136=FT_Y5,EDATE($D89,Milestones!$AA$136)&lt;PolicyEff),1,Milestones!$AC$136)&amp;";  ","")&amp;IF(AND(EDATE($D89,Milestones!$AA$137)&lt;=AsOfDate,EDATE($D89,Milestones!$AA$137)&gt;=SchemeStart,IF($X89=0,$AD89,IF(AND($Z89&lt;&gt;"",EDATE($D89,Milestones!$AA$137)&gt;=$Z89),$AC89,IF(AND($Y89&lt;&gt;"",EDATE($D89,Milestones!$AA$137)&gt;=$Y89),$AB89,$AA89)))=Milestones!$AB$137),UPPER(TEXT(EDATE($D89,Milestones!$AA$137),"dd mmm yy"))&amp;" "&amp;Milestones!$AB$137&amp;" "&amp;IF(AND(Milestones!$AB$137="FT",Milestones!$AA$137=FT_Y5,EDATE($D89,Milestones!$AA$137)&lt;PolicyEff),1,Milestones!$AC$137)&amp;";  ","")&amp;IF(AND(EDATE($D89,Milestones!$AA$138)&lt;=AsOfDate,EDATE($D89,Milestones!$AA$138)&gt;=SchemeStart,IF($X89=0,$AD89,IF(AND($Z89&lt;&gt;"",EDATE($D89,Milestones!$AA$138)&gt;=$Z89),$AC89,IF(AND($Y89&lt;&gt;"",EDATE($D89,Milestones!$AA$138)&gt;=$Y89),$AB89,$AA89)))=Milestones!$AB$138),UPPER(TEXT(EDATE($D89,Milestones!$AA$138),"dd mmm yy"))&amp;" "&amp;Milestones!$AB$138&amp;" "&amp;IF(AND(Milestones!$AB$138="FT",Milestones!$AA$138=FT_Y5,EDATE($D89,Milestones!$AA$138)&lt;PolicyEff),1,Milestones!$AC$138)&amp;";  ","")&amp;IF(AND(EDATE($D89,Milestones!$AA$139)&lt;=AsOfDate,EDATE($D89,Milestones!$AA$139)&gt;=SchemeStart,IF($X89=0,$AD89,IF(AND($Z89&lt;&gt;"",EDATE($D89,Milestones!$AA$139)&gt;=$Z89),$AC89,IF(AND($Y89&lt;&gt;"",EDATE($D89,Milestones!$AA$139)&gt;=$Y89),$AB89,$AA89)))=Milestones!$AB$139),UPPER(TEXT(EDATE($D89,Milestones!$AA$139),"dd mmm yy"))&amp;" "&amp;Milestones!$AB$139&amp;" "&amp;IF(AND(Milestones!$AB$139="FT",Milestones!$AA$139=FT_Y5,EDATE($D89,Milestones!$AA$139)&lt;PolicyEff),1,Milestones!$AC$139)&amp;";  ",""))</f>
        <v/>
      </c>
      <c r="S89" s="0" t="str">
        <f aca="false">IF(OR($A89="",$D89=""),"",IF(AND(EDATE($D89,Milestones!$AA$140)&lt;=AsOfDate,EDATE($D89,Milestones!$AA$140)&gt;=SchemeStart,IF($X89=0,$AD89,IF(AND($Z89&lt;&gt;"",EDATE($D89,Milestones!$AA$140)&gt;=$Z89),$AC89,IF(AND($Y89&lt;&gt;"",EDATE($D89,Milestones!$AA$140)&gt;=$Y89),$AB89,$AA89)))=Milestones!$AB$140),UPPER(TEXT(EDATE($D89,Milestones!$AA$140),"dd mmm yy"))&amp;" "&amp;Milestones!$AB$140&amp;" "&amp;IF(AND(Milestones!$AB$140="FT",Milestones!$AA$140=FT_Y5,EDATE($D89,Milestones!$AA$140)&lt;PolicyEff),1,Milestones!$AC$140)&amp;";  ","")&amp;IF(AND(EDATE($D89,Milestones!$AA$141)&lt;=AsOfDate,EDATE($D89,Milestones!$AA$141)&gt;=SchemeStart,IF($X89=0,$AD89,IF(AND($Z89&lt;&gt;"",EDATE($D89,Milestones!$AA$141)&gt;=$Z89),$AC89,IF(AND($Y89&lt;&gt;"",EDATE($D89,Milestones!$AA$141)&gt;=$Y89),$AB89,$AA89)))=Milestones!$AB$141),UPPER(TEXT(EDATE($D89,Milestones!$AA$141),"dd mmm yy"))&amp;" "&amp;Milestones!$AB$141&amp;" "&amp;IF(AND(Milestones!$AB$141="FT",Milestones!$AA$141=FT_Y5,EDATE($D89,Milestones!$AA$141)&lt;PolicyEff),1,Milestones!$AC$141)&amp;";  ","")&amp;IF(AND(EDATE($D89,Milestones!$AA$142)&lt;=AsOfDate,EDATE($D89,Milestones!$AA$142)&gt;=SchemeStart,IF($X89=0,$AD89,IF(AND($Z89&lt;&gt;"",EDATE($D89,Milestones!$AA$142)&gt;=$Z89),$AC89,IF(AND($Y89&lt;&gt;"",EDATE($D89,Milestones!$AA$142)&gt;=$Y89),$AB89,$AA89)))=Milestones!$AB$142),UPPER(TEXT(EDATE($D89,Milestones!$AA$142),"dd mmm yy"))&amp;" "&amp;Milestones!$AB$142&amp;" "&amp;IF(AND(Milestones!$AB$142="FT",Milestones!$AA$142=FT_Y5,EDATE($D89,Milestones!$AA$142)&lt;PolicyEff),1,Milestones!$AC$142)&amp;";  ","")&amp;IF(AND(EDATE($D89,Milestones!$AA$143)&lt;=AsOfDate,EDATE($D89,Milestones!$AA$143)&gt;=SchemeStart,IF($X89=0,$AD89,IF(AND($Z89&lt;&gt;"",EDATE($D89,Milestones!$AA$143)&gt;=$Z89),$AC89,IF(AND($Y89&lt;&gt;"",EDATE($D89,Milestones!$AA$143)&gt;=$Y89),$AB89,$AA89)))=Milestones!$AB$143),UPPER(TEXT(EDATE($D89,Milestones!$AA$143),"dd mmm yy"))&amp;" "&amp;Milestones!$AB$143&amp;" "&amp;IF(AND(Milestones!$AB$143="FT",Milestones!$AA$143=FT_Y5,EDATE($D89,Milestones!$AA$143)&lt;PolicyEff),1,Milestones!$AC$143)&amp;";  ","")&amp;IF(AND(EDATE($D89,Milestones!$AA$144)&lt;=AsOfDate,EDATE($D89,Milestones!$AA$144)&gt;=SchemeStart,IF($X89=0,$AD89,IF(AND($Z89&lt;&gt;"",EDATE($D89,Milestones!$AA$144)&gt;=$Z89),$AC89,IF(AND($Y89&lt;&gt;"",EDATE($D89,Milestones!$AA$144)&gt;=$Y89),$AB89,$AA89)))=Milestones!$AB$144),UPPER(TEXT(EDATE($D89,Milestones!$AA$144),"dd mmm yy"))&amp;" "&amp;Milestones!$AB$144&amp;" "&amp;IF(AND(Milestones!$AB$144="FT",Milestones!$AA$144=FT_Y5,EDATE($D89,Milestones!$AA$144)&lt;PolicyEff),1,Milestones!$AC$144)&amp;";  ","")&amp;IF(AND(EDATE($D89,Milestones!$AA$145)&lt;=AsOfDate,EDATE($D89,Milestones!$AA$145)&gt;=SchemeStart,IF($X89=0,$AD89,IF(AND($Z89&lt;&gt;"",EDATE($D89,Milestones!$AA$145)&gt;=$Z89),$AC89,IF(AND($Y89&lt;&gt;"",EDATE($D89,Milestones!$AA$145)&gt;=$Y89),$AB89,$AA89)))=Milestones!$AB$145),UPPER(TEXT(EDATE($D89,Milestones!$AA$145),"dd mmm yy"))&amp;" "&amp;Milestones!$AB$145&amp;" "&amp;IF(AND(Milestones!$AB$145="FT",Milestones!$AA$145=FT_Y5,EDATE($D89,Milestones!$AA$145)&lt;PolicyEff),1,Milestones!$AC$145)&amp;";  ","")&amp;IF(AND(EDATE($D89,Milestones!$AA$146)&lt;=AsOfDate,EDATE($D89,Milestones!$AA$146)&gt;=SchemeStart,IF($X89=0,$AD89,IF(AND($Z89&lt;&gt;"",EDATE($D89,Milestones!$AA$146)&gt;=$Z89),$AC89,IF(AND($Y89&lt;&gt;"",EDATE($D89,Milestones!$AA$146)&gt;=$Y89),$AB89,$AA89)))=Milestones!$AB$146),UPPER(TEXT(EDATE($D89,Milestones!$AA$146),"dd mmm yy"))&amp;" "&amp;Milestones!$AB$146&amp;" "&amp;IF(AND(Milestones!$AB$146="FT",Milestones!$AA$146=FT_Y5,EDATE($D89,Milestones!$AA$146)&lt;PolicyEff),1,Milestones!$AC$146)&amp;";  ","")&amp;IF(AND(EDATE($D89,Milestones!$AA$147)&lt;=AsOfDate,EDATE($D89,Milestones!$AA$147)&gt;=SchemeStart,IF($X89=0,$AD89,IF(AND($Z89&lt;&gt;"",EDATE($D89,Milestones!$AA$147)&gt;=$Z89),$AC89,IF(AND($Y89&lt;&gt;"",EDATE($D89,Milestones!$AA$147)&gt;=$Y89),$AB89,$AA89)))=Milestones!$AB$147),UPPER(TEXT(EDATE($D89,Milestones!$AA$147),"dd mmm yy"))&amp;" "&amp;Milestones!$AB$147&amp;" "&amp;IF(AND(Milestones!$AB$147="FT",Milestones!$AA$147=FT_Y5,EDATE($D89,Milestones!$AA$147)&lt;PolicyEff),1,Milestones!$AC$147)&amp;";  ","")&amp;IF(AND(EDATE($D89,Milestones!$AA$148)&lt;=AsOfDate,EDATE($D89,Milestones!$AA$148)&gt;=SchemeStart,IF($X89=0,$AD89,IF(AND($Z89&lt;&gt;"",EDATE($D89,Milestones!$AA$148)&gt;=$Z89),$AC89,IF(AND($Y89&lt;&gt;"",EDATE($D89,Milestones!$AA$148)&gt;=$Y89),$AB89,$AA89)))=Milestones!$AB$148),UPPER(TEXT(EDATE($D89,Milestones!$AA$148),"dd mmm yy"))&amp;" "&amp;Milestones!$AB$148&amp;" "&amp;IF(AND(Milestones!$AB$148="FT",Milestones!$AA$148=FT_Y5,EDATE($D89,Milestones!$AA$148)&lt;PolicyEff),1,Milestones!$AC$148)&amp;";  ","")&amp;IF(AND(EDATE($D89,Milestones!$AA$149)&lt;=AsOfDate,EDATE($D89,Milestones!$AA$149)&gt;=SchemeStart,IF($X89=0,$AD89,IF(AND($Z89&lt;&gt;"",EDATE($D89,Milestones!$AA$149)&gt;=$Z89),$AC89,IF(AND($Y89&lt;&gt;"",EDATE($D89,Milestones!$AA$149)&gt;=$Y89),$AB89,$AA89)))=Milestones!$AB$149),UPPER(TEXT(EDATE($D89,Milestones!$AA$149),"dd mmm yy"))&amp;" "&amp;Milestones!$AB$149&amp;" "&amp;IF(AND(Milestones!$AB$149="FT",Milestones!$AA$149=FT_Y5,EDATE($D89,Milestones!$AA$149)&lt;PolicyEff),1,Milestones!$AC$149)&amp;";  ","")&amp;IF(AND(EDATE($D89,Milestones!$AA$150)&lt;=AsOfDate,EDATE($D89,Milestones!$AA$150)&gt;=SchemeStart,IF($X89=0,$AD89,IF(AND($Z89&lt;&gt;"",EDATE($D89,Milestones!$AA$150)&gt;=$Z89),$AC89,IF(AND($Y89&lt;&gt;"",EDATE($D89,Milestones!$AA$150)&gt;=$Y89),$AB89,$AA89)))=Milestones!$AB$150),UPPER(TEXT(EDATE($D89,Milestones!$AA$150),"dd mmm yy"))&amp;" "&amp;Milestones!$AB$150&amp;" "&amp;IF(AND(Milestones!$AB$150="FT",Milestones!$AA$150=FT_Y5,EDATE($D89,Milestones!$AA$150)&lt;PolicyEff),1,Milestones!$AC$150)&amp;";  ","")&amp;IF(AND(EDATE($D89,Milestones!$AA$151)&lt;=AsOfDate,EDATE($D89,Milestones!$AA$151)&gt;=SchemeStart,IF($X89=0,$AD89,IF(AND($Z89&lt;&gt;"",EDATE($D89,Milestones!$AA$151)&gt;=$Z89),$AC89,IF(AND($Y89&lt;&gt;"",EDATE($D89,Milestones!$AA$151)&gt;=$Y89),$AB89,$AA89)))=Milestones!$AB$151),UPPER(TEXT(EDATE($D89,Milestones!$AA$151),"dd mmm yy"))&amp;" "&amp;Milestones!$AB$151&amp;" "&amp;IF(AND(Milestones!$AB$151="FT",Milestones!$AA$151=FT_Y5,EDATE($D89,Milestones!$AA$151)&lt;PolicyEff),1,Milestones!$AC$151)&amp;";  ",""))</f>
        <v/>
      </c>
      <c r="T89" s="0" t="str">
        <f aca="false">IF(OR($A89="",$D89=""),"",IF(AND(EDATE($D89,Milestones!$AA$152)&lt;=AsOfDate,EDATE($D89,Milestones!$AA$152)&gt;=SchemeStart,IF($X89=0,$AD89,IF(AND($Z89&lt;&gt;"",EDATE($D89,Milestones!$AA$152)&gt;=$Z89),$AC89,IF(AND($Y89&lt;&gt;"",EDATE($D89,Milestones!$AA$152)&gt;=$Y89),$AB89,$AA89)))=Milestones!$AB$152),UPPER(TEXT(EDATE($D89,Milestones!$AA$152),"dd mmm yy"))&amp;" "&amp;Milestones!$AB$152&amp;" "&amp;IF(AND(Milestones!$AB$152="FT",Milestones!$AA$152=FT_Y5,EDATE($D89,Milestones!$AA$152)&lt;PolicyEff),1,Milestones!$AC$152)&amp;";  ","")&amp;IF(AND(EDATE($D89,Milestones!$AA$153)&lt;=AsOfDate,EDATE($D89,Milestones!$AA$153)&gt;=SchemeStart,IF($X89=0,$AD89,IF(AND($Z89&lt;&gt;"",EDATE($D89,Milestones!$AA$153)&gt;=$Z89),$AC89,IF(AND($Y89&lt;&gt;"",EDATE($D89,Milestones!$AA$153)&gt;=$Y89),$AB89,$AA89)))=Milestones!$AB$153),UPPER(TEXT(EDATE($D89,Milestones!$AA$153),"dd mmm yy"))&amp;" "&amp;Milestones!$AB$153&amp;" "&amp;IF(AND(Milestones!$AB$153="FT",Milestones!$AA$153=FT_Y5,EDATE($D89,Milestones!$AA$153)&lt;PolicyEff),1,Milestones!$AC$153)&amp;";  ","")&amp;IF(AND(EDATE($D89,Milestones!$AA$154)&lt;=AsOfDate,EDATE($D89,Milestones!$AA$154)&gt;=SchemeStart,IF($X89=0,$AD89,IF(AND($Z89&lt;&gt;"",EDATE($D89,Milestones!$AA$154)&gt;=$Z89),$AC89,IF(AND($Y89&lt;&gt;"",EDATE($D89,Milestones!$AA$154)&gt;=$Y89),$AB89,$AA89)))=Milestones!$AB$154),UPPER(TEXT(EDATE($D89,Milestones!$AA$154),"dd mmm yy"))&amp;" "&amp;Milestones!$AB$154&amp;" "&amp;IF(AND(Milestones!$AB$154="FT",Milestones!$AA$154=FT_Y5,EDATE($D89,Milestones!$AA$154)&lt;PolicyEff),1,Milestones!$AC$154)&amp;";  ","")&amp;IF(AND(EDATE($D89,Milestones!$AA$155)&lt;=AsOfDate,EDATE($D89,Milestones!$AA$155)&gt;=SchemeStart,IF($X89=0,$AD89,IF(AND($Z89&lt;&gt;"",EDATE($D89,Milestones!$AA$155)&gt;=$Z89),$AC89,IF(AND($Y89&lt;&gt;"",EDATE($D89,Milestones!$AA$155)&gt;=$Y89),$AB89,$AA89)))=Milestones!$AB$155),UPPER(TEXT(EDATE($D89,Milestones!$AA$155),"dd mmm yy"))&amp;" "&amp;Milestones!$AB$155&amp;" "&amp;IF(AND(Milestones!$AB$155="FT",Milestones!$AA$155=FT_Y5,EDATE($D89,Milestones!$AA$155)&lt;PolicyEff),1,Milestones!$AC$155)&amp;";  ","")&amp;IF(AND(EDATE($D89,Milestones!$AA$156)&lt;=AsOfDate,EDATE($D89,Milestones!$AA$156)&gt;=SchemeStart,IF($X89=0,$AD89,IF(AND($Z89&lt;&gt;"",EDATE($D89,Milestones!$AA$156)&gt;=$Z89),$AC89,IF(AND($Y89&lt;&gt;"",EDATE($D89,Milestones!$AA$156)&gt;=$Y89),$AB89,$AA89)))=Milestones!$AB$156),UPPER(TEXT(EDATE($D89,Milestones!$AA$156),"dd mmm yy"))&amp;" "&amp;Milestones!$AB$156&amp;" "&amp;IF(AND(Milestones!$AB$156="FT",Milestones!$AA$156=FT_Y5,EDATE($D89,Milestones!$AA$156)&lt;PolicyEff),1,Milestones!$AC$156)&amp;";  ","")&amp;IF(AND(EDATE($D89,Milestones!$AA$157)&lt;=AsOfDate,EDATE($D89,Milestones!$AA$157)&gt;=SchemeStart,IF($X89=0,$AD89,IF(AND($Z89&lt;&gt;"",EDATE($D89,Milestones!$AA$157)&gt;=$Z89),$AC89,IF(AND($Y89&lt;&gt;"",EDATE($D89,Milestones!$AA$157)&gt;=$Y89),$AB89,$AA89)))=Milestones!$AB$157),UPPER(TEXT(EDATE($D89,Milestones!$AA$157),"dd mmm yy"))&amp;" "&amp;Milestones!$AB$157&amp;" "&amp;IF(AND(Milestones!$AB$157="FT",Milestones!$AA$157=FT_Y5,EDATE($D89,Milestones!$AA$157)&lt;PolicyEff),1,Milestones!$AC$157)&amp;";  ","")&amp;IF(AND(EDATE($D89,Milestones!$AA$158)&lt;=AsOfDate,EDATE($D89,Milestones!$AA$158)&gt;=SchemeStart,IF($X89=0,$AD89,IF(AND($Z89&lt;&gt;"",EDATE($D89,Milestones!$AA$158)&gt;=$Z89),$AC89,IF(AND($Y89&lt;&gt;"",EDATE($D89,Milestones!$AA$158)&gt;=$Y89),$AB89,$AA89)))=Milestones!$AB$158),UPPER(TEXT(EDATE($D89,Milestones!$AA$158),"dd mmm yy"))&amp;" "&amp;Milestones!$AB$158&amp;" "&amp;IF(AND(Milestones!$AB$158="FT",Milestones!$AA$158=FT_Y5,EDATE($D89,Milestones!$AA$158)&lt;PolicyEff),1,Milestones!$AC$158)&amp;";  ","")&amp;IF(AND(EDATE($D89,Milestones!$AA$159)&lt;=AsOfDate,EDATE($D89,Milestones!$AA$159)&gt;=SchemeStart,IF($X89=0,$AD89,IF(AND($Z89&lt;&gt;"",EDATE($D89,Milestones!$AA$159)&gt;=$Z89),$AC89,IF(AND($Y89&lt;&gt;"",EDATE($D89,Milestones!$AA$159)&gt;=$Y89),$AB89,$AA89)))=Milestones!$AB$159),UPPER(TEXT(EDATE($D89,Milestones!$AA$159),"dd mmm yy"))&amp;" "&amp;Milestones!$AB$159&amp;" "&amp;IF(AND(Milestones!$AB$159="FT",Milestones!$AA$159=FT_Y5,EDATE($D89,Milestones!$AA$159)&lt;PolicyEff),1,Milestones!$AC$159)&amp;";  ","")&amp;IF(AND(EDATE($D89,Milestones!$AA$160)&lt;=AsOfDate,EDATE($D89,Milestones!$AA$160)&gt;=SchemeStart,IF($X89=0,$AD89,IF(AND($Z89&lt;&gt;"",EDATE($D89,Milestones!$AA$160)&gt;=$Z89),$AC89,IF(AND($Y89&lt;&gt;"",EDATE($D89,Milestones!$AA$160)&gt;=$Y89),$AB89,$AA89)))=Milestones!$AB$160),UPPER(TEXT(EDATE($D89,Milestones!$AA$160),"dd mmm yy"))&amp;" "&amp;Milestones!$AB$160&amp;" "&amp;IF(AND(Milestones!$AB$160="FT",Milestones!$AA$160=FT_Y5,EDATE($D89,Milestones!$AA$160)&lt;PolicyEff),1,Milestones!$AC$160)&amp;";  ","")&amp;IF(AND(EDATE($D89,Milestones!$AA$161)&lt;=AsOfDate,EDATE($D89,Milestones!$AA$161)&gt;=SchemeStart,IF($X89=0,$AD89,IF(AND($Z89&lt;&gt;"",EDATE($D89,Milestones!$AA$161)&gt;=$Z89),$AC89,IF(AND($Y89&lt;&gt;"",EDATE($D89,Milestones!$AA$161)&gt;=$Y89),$AB89,$AA89)))=Milestones!$AB$161),UPPER(TEXT(EDATE($D89,Milestones!$AA$161),"dd mmm yy"))&amp;" "&amp;Milestones!$AB$161&amp;" "&amp;IF(AND(Milestones!$AB$161="FT",Milestones!$AA$161=FT_Y5,EDATE($D89,Milestones!$AA$161)&lt;PolicyEff),1,Milestones!$AC$161)&amp;";  ","")&amp;IF(AND(EDATE($D89,Milestones!$AA$162)&lt;=AsOfDate,EDATE($D89,Milestones!$AA$162)&gt;=SchemeStart,IF($X89=0,$AD89,IF(AND($Z89&lt;&gt;"",EDATE($D89,Milestones!$AA$162)&gt;=$Z89),$AC89,IF(AND($Y89&lt;&gt;"",EDATE($D89,Milestones!$AA$162)&gt;=$Y89),$AB89,$AA89)))=Milestones!$AB$162),UPPER(TEXT(EDATE($D89,Milestones!$AA$162),"dd mmm yy"))&amp;" "&amp;Milestones!$AB$162&amp;" "&amp;IF(AND(Milestones!$AB$162="FT",Milestones!$AA$162=FT_Y5,EDATE($D89,Milestones!$AA$162)&lt;PolicyEff),1,Milestones!$AC$162)&amp;";  ","")&amp;IF(AND(EDATE($D89,Milestones!$AA$163)&lt;=AsOfDate,EDATE($D89,Milestones!$AA$163)&gt;=SchemeStart,IF($X89=0,$AD89,IF(AND($Z89&lt;&gt;"",EDATE($D89,Milestones!$AA$163)&gt;=$Z89),$AC89,IF(AND($Y89&lt;&gt;"",EDATE($D89,Milestones!$AA$163)&gt;=$Y89),$AB89,$AA89)))=Milestones!$AB$163),UPPER(TEXT(EDATE($D89,Milestones!$AA$163),"dd mmm yy"))&amp;" "&amp;Milestones!$AB$163&amp;" "&amp;IF(AND(Milestones!$AB$163="FT",Milestones!$AA$163=FT_Y5,EDATE($D89,Milestones!$AA$163)&lt;PolicyEff),1,Milestones!$AC$163)&amp;";  ",""))</f>
        <v/>
      </c>
      <c r="U89" s="0" t="str">
        <f aca="false">IF(OR($A89="",$D89=""),"",IF(AND(EDATE($D89,Milestones!$AA$164)&lt;=AsOfDate,EDATE($D89,Milestones!$AA$164)&gt;=SchemeStart,IF($X89=0,$AD89,IF(AND($Z89&lt;&gt;"",EDATE($D89,Milestones!$AA$164)&gt;=$Z89),$AC89,IF(AND($Y89&lt;&gt;"",EDATE($D89,Milestones!$AA$164)&gt;=$Y89),$AB89,$AA89)))=Milestones!$AB$164),UPPER(TEXT(EDATE($D89,Milestones!$AA$164),"dd mmm yy"))&amp;" "&amp;Milestones!$AB$164&amp;" "&amp;IF(AND(Milestones!$AB$164="FT",Milestones!$AA$164=FT_Y5,EDATE($D89,Milestones!$AA$164)&lt;PolicyEff),1,Milestones!$AC$164)&amp;";  ","")&amp;IF(AND(EDATE($D89,Milestones!$AA$165)&lt;=AsOfDate,EDATE($D89,Milestones!$AA$165)&gt;=SchemeStart,IF($X89=0,$AD89,IF(AND($Z89&lt;&gt;"",EDATE($D89,Milestones!$AA$165)&gt;=$Z89),$AC89,IF(AND($Y89&lt;&gt;"",EDATE($D89,Milestones!$AA$165)&gt;=$Y89),$AB89,$AA89)))=Milestones!$AB$165),UPPER(TEXT(EDATE($D89,Milestones!$AA$165),"dd mmm yy"))&amp;" "&amp;Milestones!$AB$165&amp;" "&amp;IF(AND(Milestones!$AB$165="FT",Milestones!$AA$165=FT_Y5,EDATE($D89,Milestones!$AA$165)&lt;PolicyEff),1,Milestones!$AC$165)&amp;";  ","")&amp;IF(AND(EDATE($D89,Milestones!$AA$166)&lt;=AsOfDate,EDATE($D89,Milestones!$AA$166)&gt;=SchemeStart,IF($X89=0,$AD89,IF(AND($Z89&lt;&gt;"",EDATE($D89,Milestones!$AA$166)&gt;=$Z89),$AC89,IF(AND($Y89&lt;&gt;"",EDATE($D89,Milestones!$AA$166)&gt;=$Y89),$AB89,$AA89)))=Milestones!$AB$166),UPPER(TEXT(EDATE($D89,Milestones!$AA$166),"dd mmm yy"))&amp;" "&amp;Milestones!$AB$166&amp;" "&amp;IF(AND(Milestones!$AB$166="FT",Milestones!$AA$166=FT_Y5,EDATE($D89,Milestones!$AA$166)&lt;PolicyEff),1,Milestones!$AC$166)&amp;";  ","")&amp;IF(AND(EDATE($D89,Milestones!$AA$167)&lt;=AsOfDate,EDATE($D89,Milestones!$AA$167)&gt;=SchemeStart,IF($X89=0,$AD89,IF(AND($Z89&lt;&gt;"",EDATE($D89,Milestones!$AA$167)&gt;=$Z89),$AC89,IF(AND($Y89&lt;&gt;"",EDATE($D89,Milestones!$AA$167)&gt;=$Y89),$AB89,$AA89)))=Milestones!$AB$167),UPPER(TEXT(EDATE($D89,Milestones!$AA$167),"dd mmm yy"))&amp;" "&amp;Milestones!$AB$167&amp;" "&amp;IF(AND(Milestones!$AB$167="FT",Milestones!$AA$167=FT_Y5,EDATE($D89,Milestones!$AA$167)&lt;PolicyEff),1,Milestones!$AC$167)&amp;";  ","")&amp;IF(AND(EDATE($D89,Milestones!$AA$168)&lt;=AsOfDate,EDATE($D89,Milestones!$AA$168)&gt;=SchemeStart,IF($X89=0,$AD89,IF(AND($Z89&lt;&gt;"",EDATE($D89,Milestones!$AA$168)&gt;=$Z89),$AC89,IF(AND($Y89&lt;&gt;"",EDATE($D89,Milestones!$AA$168)&gt;=$Y89),$AB89,$AA89)))=Milestones!$AB$168),UPPER(TEXT(EDATE($D89,Milestones!$AA$168),"dd mmm yy"))&amp;" "&amp;Milestones!$AB$168&amp;" "&amp;IF(AND(Milestones!$AB$168="FT",Milestones!$AA$168=FT_Y5,EDATE($D89,Milestones!$AA$168)&lt;PolicyEff),1,Milestones!$AC$168)&amp;";  ","")&amp;IF(AND(EDATE($D89,Milestones!$AA$169)&lt;=AsOfDate,EDATE($D89,Milestones!$AA$169)&gt;=SchemeStart,IF($X89=0,$AD89,IF(AND($Z89&lt;&gt;"",EDATE($D89,Milestones!$AA$169)&gt;=$Z89),$AC89,IF(AND($Y89&lt;&gt;"",EDATE($D89,Milestones!$AA$169)&gt;=$Y89),$AB89,$AA89)))=Milestones!$AB$169),UPPER(TEXT(EDATE($D89,Milestones!$AA$169),"dd mmm yy"))&amp;" "&amp;Milestones!$AB$169&amp;" "&amp;IF(AND(Milestones!$AB$169="FT",Milestones!$AA$169=FT_Y5,EDATE($D89,Milestones!$AA$169)&lt;PolicyEff),1,Milestones!$AC$169)&amp;";  ","")&amp;IF(AND(EDATE($D89,Milestones!$AA$170)&lt;=AsOfDate,EDATE($D89,Milestones!$AA$170)&gt;=SchemeStart,IF($X89=0,$AD89,IF(AND($Z89&lt;&gt;"",EDATE($D89,Milestones!$AA$170)&gt;=$Z89),$AC89,IF(AND($Y89&lt;&gt;"",EDATE($D89,Milestones!$AA$170)&gt;=$Y89),$AB89,$AA89)))=Milestones!$AB$170),UPPER(TEXT(EDATE($D89,Milestones!$AA$170),"dd mmm yy"))&amp;" "&amp;Milestones!$AB$170&amp;" "&amp;IF(AND(Milestones!$AB$170="FT",Milestones!$AA$170=FT_Y5,EDATE($D89,Milestones!$AA$170)&lt;PolicyEff),1,Milestones!$AC$170)&amp;";  ","")&amp;IF(AND(EDATE($D89,Milestones!$AA$171)&lt;=AsOfDate,EDATE($D89,Milestones!$AA$171)&gt;=SchemeStart,IF($X89=0,$AD89,IF(AND($Z89&lt;&gt;"",EDATE($D89,Milestones!$AA$171)&gt;=$Z89),$AC89,IF(AND($Y89&lt;&gt;"",EDATE($D89,Milestones!$AA$171)&gt;=$Y89),$AB89,$AA89)))=Milestones!$AB$171),UPPER(TEXT(EDATE($D89,Milestones!$AA$171),"dd mmm yy"))&amp;" "&amp;Milestones!$AB$171&amp;" "&amp;IF(AND(Milestones!$AB$171="FT",Milestones!$AA$171=FT_Y5,EDATE($D89,Milestones!$AA$171)&lt;PolicyEff),1,Milestones!$AC$171)&amp;";  ","")&amp;IF(AND(EDATE($D89,Milestones!$AA$172)&lt;=AsOfDate,EDATE($D89,Milestones!$AA$172)&gt;=SchemeStart,IF($X89=0,$AD89,IF(AND($Z89&lt;&gt;"",EDATE($D89,Milestones!$AA$172)&gt;=$Z89),$AC89,IF(AND($Y89&lt;&gt;"",EDATE($D89,Milestones!$AA$172)&gt;=$Y89),$AB89,$AA89)))=Milestones!$AB$172),UPPER(TEXT(EDATE($D89,Milestones!$AA$172),"dd mmm yy"))&amp;" "&amp;Milestones!$AB$172&amp;" "&amp;IF(AND(Milestones!$AB$172="FT",Milestones!$AA$172=FT_Y5,EDATE($D89,Milestones!$AA$172)&lt;PolicyEff),1,Milestones!$AC$172)&amp;";  ","")&amp;IF(AND(EDATE($D89,Milestones!$AA$173)&lt;=AsOfDate,EDATE($D89,Milestones!$AA$173)&gt;=SchemeStart,IF($X89=0,$AD89,IF(AND($Z89&lt;&gt;"",EDATE($D89,Milestones!$AA$173)&gt;=$Z89),$AC89,IF(AND($Y89&lt;&gt;"",EDATE($D89,Milestones!$AA$173)&gt;=$Y89),$AB89,$AA89)))=Milestones!$AB$173),UPPER(TEXT(EDATE($D89,Milestones!$AA$173),"dd mmm yy"))&amp;" "&amp;Milestones!$AB$173&amp;" "&amp;IF(AND(Milestones!$AB$173="FT",Milestones!$AA$173=FT_Y5,EDATE($D89,Milestones!$AA$173)&lt;PolicyEff),1,Milestones!$AC$173)&amp;";  ","")&amp;IF(AND(EDATE($D89,Milestones!$AA$174)&lt;=AsOfDate,EDATE($D89,Milestones!$AA$174)&gt;=SchemeStart,IF($X89=0,$AD89,IF(AND($Z89&lt;&gt;"",EDATE($D89,Milestones!$AA$174)&gt;=$Z89),$AC89,IF(AND($Y89&lt;&gt;"",EDATE($D89,Milestones!$AA$174)&gt;=$Y89),$AB89,$AA89)))=Milestones!$AB$174),UPPER(TEXT(EDATE($D89,Milestones!$AA$174),"dd mmm yy"))&amp;" "&amp;Milestones!$AB$174&amp;" "&amp;IF(AND(Milestones!$AB$174="FT",Milestones!$AA$174=FT_Y5,EDATE($D89,Milestones!$AA$174)&lt;PolicyEff),1,Milestones!$AC$174)&amp;";  ","")&amp;IF(AND(EDATE($D89,Milestones!$AA$175)&lt;=AsOfDate,EDATE($D89,Milestones!$AA$175)&gt;=SchemeStart,IF($X89=0,$AD89,IF(AND($Z89&lt;&gt;"",EDATE($D89,Milestones!$AA$175)&gt;=$Z89),$AC89,IF(AND($Y89&lt;&gt;"",EDATE($D89,Milestones!$AA$175)&gt;=$Y89),$AB89,$AA89)))=Milestones!$AB$175),UPPER(TEXT(EDATE($D89,Milestones!$AA$175),"dd mmm yy"))&amp;" "&amp;Milestones!$AB$175&amp;" "&amp;IF(AND(Milestones!$AB$175="FT",Milestones!$AA$175=FT_Y5,EDATE($D89,Milestones!$AA$175)&lt;PolicyEff),1,Milestones!$AC$175)&amp;";  ",""))</f>
        <v/>
      </c>
      <c r="V89" s="0" t="str">
        <f aca="false">IF(OR($A89="",$D89=""),"",IF(AND(EDATE($D89,Milestones!$AA$176)&lt;=AsOfDate,EDATE($D89,Milestones!$AA$176)&gt;=SchemeStart,IF($X89=0,$AD89,IF(AND($Z89&lt;&gt;"",EDATE($D89,Milestones!$AA$176)&gt;=$Z89),$AC89,IF(AND($Y89&lt;&gt;"",EDATE($D89,Milestones!$AA$176)&gt;=$Y89),$AB89,$AA89)))=Milestones!$AB$176),UPPER(TEXT(EDATE($D89,Milestones!$AA$176),"dd mmm yy"))&amp;" "&amp;Milestones!$AB$176&amp;" "&amp;IF(AND(Milestones!$AB$176="FT",Milestones!$AA$176=FT_Y5,EDATE($D89,Milestones!$AA$176)&lt;PolicyEff),1,Milestones!$AC$176)&amp;";  ","")&amp;IF(AND(EDATE($D89,Milestones!$AA$177)&lt;=AsOfDate,EDATE($D89,Milestones!$AA$177)&gt;=SchemeStart,IF($X89=0,$AD89,IF(AND($Z89&lt;&gt;"",EDATE($D89,Milestones!$AA$177)&gt;=$Z89),$AC89,IF(AND($Y89&lt;&gt;"",EDATE($D89,Milestones!$AA$177)&gt;=$Y89),$AB89,$AA89)))=Milestones!$AB$177),UPPER(TEXT(EDATE($D89,Milestones!$AA$177),"dd mmm yy"))&amp;" "&amp;Milestones!$AB$177&amp;" "&amp;IF(AND(Milestones!$AB$177="FT",Milestones!$AA$177=FT_Y5,EDATE($D89,Milestones!$AA$177)&lt;PolicyEff),1,Milestones!$AC$177)&amp;";  ","")&amp;IF(AND(EDATE($D89,Milestones!$AA$178)&lt;=AsOfDate,EDATE($D89,Milestones!$AA$178)&gt;=SchemeStart,IF($X89=0,$AD89,IF(AND($Z89&lt;&gt;"",EDATE($D89,Milestones!$AA$178)&gt;=$Z89),$AC89,IF(AND($Y89&lt;&gt;"",EDATE($D89,Milestones!$AA$178)&gt;=$Y89),$AB89,$AA89)))=Milestones!$AB$178),UPPER(TEXT(EDATE($D89,Milestones!$AA$178),"dd mmm yy"))&amp;" "&amp;Milestones!$AB$178&amp;" "&amp;IF(AND(Milestones!$AB$178="FT",Milestones!$AA$178=FT_Y5,EDATE($D89,Milestones!$AA$178)&lt;PolicyEff),1,Milestones!$AC$178)&amp;";  ","")&amp;IF(AND(EDATE($D89,Milestones!$AA$179)&lt;=AsOfDate,EDATE($D89,Milestones!$AA$179)&gt;=SchemeStart,IF($X89=0,$AD89,IF(AND($Z89&lt;&gt;"",EDATE($D89,Milestones!$AA$179)&gt;=$Z89),$AC89,IF(AND($Y89&lt;&gt;"",EDATE($D89,Milestones!$AA$179)&gt;=$Y89),$AB89,$AA89)))=Milestones!$AB$179),UPPER(TEXT(EDATE($D89,Milestones!$AA$179),"dd mmm yy"))&amp;" "&amp;Milestones!$AB$179&amp;" "&amp;IF(AND(Milestones!$AB$179="FT",Milestones!$AA$179=FT_Y5,EDATE($D89,Milestones!$AA$179)&lt;PolicyEff),1,Milestones!$AC$179)&amp;";  ","")&amp;IF(AND(EDATE($D89,Milestones!$AA$180)&lt;=AsOfDate,EDATE($D89,Milestones!$AA$180)&gt;=SchemeStart,IF($X89=0,$AD89,IF(AND($Z89&lt;&gt;"",EDATE($D89,Milestones!$AA$180)&gt;=$Z89),$AC89,IF(AND($Y89&lt;&gt;"",EDATE($D89,Milestones!$AA$180)&gt;=$Y89),$AB89,$AA89)))=Milestones!$AB$180),UPPER(TEXT(EDATE($D89,Milestones!$AA$180),"dd mmm yy"))&amp;" "&amp;Milestones!$AB$180&amp;" "&amp;IF(AND(Milestones!$AB$180="FT",Milestones!$AA$180=FT_Y5,EDATE($D89,Milestones!$AA$180)&lt;PolicyEff),1,Milestones!$AC$180)&amp;";  ","")&amp;IF(AND(EDATE($D89,Milestones!$AA$181)&lt;=AsOfDate,EDATE($D89,Milestones!$AA$181)&gt;=SchemeStart,IF($X89=0,$AD89,IF(AND($Z89&lt;&gt;"",EDATE($D89,Milestones!$AA$181)&gt;=$Z89),$AC89,IF(AND($Y89&lt;&gt;"",EDATE($D89,Milestones!$AA$181)&gt;=$Y89),$AB89,$AA89)))=Milestones!$AB$181),UPPER(TEXT(EDATE($D89,Milestones!$AA$181),"dd mmm yy"))&amp;" "&amp;Milestones!$AB$181&amp;" "&amp;IF(AND(Milestones!$AB$181="FT",Milestones!$AA$181=FT_Y5,EDATE($D89,Milestones!$AA$181)&lt;PolicyEff),1,Milestones!$AC$181)&amp;";  ","")&amp;IF(AND(EDATE($D89,Milestones!$AA$182)&lt;=AsOfDate,EDATE($D89,Milestones!$AA$182)&gt;=SchemeStart,IF($X89=0,$AD89,IF(AND($Z89&lt;&gt;"",EDATE($D89,Milestones!$AA$182)&gt;=$Z89),$AC89,IF(AND($Y89&lt;&gt;"",EDATE($D89,Milestones!$AA$182)&gt;=$Y89),$AB89,$AA89)))=Milestones!$AB$182),UPPER(TEXT(EDATE($D89,Milestones!$AA$182),"dd mmm yy"))&amp;" "&amp;Milestones!$AB$182&amp;" "&amp;IF(AND(Milestones!$AB$182="FT",Milestones!$AA$182=FT_Y5,EDATE($D89,Milestones!$AA$182)&lt;PolicyEff),1,Milestones!$AC$182)&amp;";  ","")&amp;IF(AND(EDATE($D89,Milestones!$AA$183)&lt;=AsOfDate,EDATE($D89,Milestones!$AA$183)&gt;=SchemeStart,IF($X89=0,$AD89,IF(AND($Z89&lt;&gt;"",EDATE($D89,Milestones!$AA$183)&gt;=$Z89),$AC89,IF(AND($Y89&lt;&gt;"",EDATE($D89,Milestones!$AA$183)&gt;=$Y89),$AB89,$AA89)))=Milestones!$AB$183),UPPER(TEXT(EDATE($D89,Milestones!$AA$183),"dd mmm yy"))&amp;" "&amp;Milestones!$AB$183&amp;" "&amp;IF(AND(Milestones!$AB$183="FT",Milestones!$AA$183=FT_Y5,EDATE($D89,Milestones!$AA$183)&lt;PolicyEff),1,Milestones!$AC$183)&amp;";  ","")&amp;IF(AND(EDATE($D89,Milestones!$AA$184)&lt;=AsOfDate,EDATE($D89,Milestones!$AA$184)&gt;=SchemeStart,IF($X89=0,$AD89,IF(AND($Z89&lt;&gt;"",EDATE($D89,Milestones!$AA$184)&gt;=$Z89),$AC89,IF(AND($Y89&lt;&gt;"",EDATE($D89,Milestones!$AA$184)&gt;=$Y89),$AB89,$AA89)))=Milestones!$AB$184),UPPER(TEXT(EDATE($D89,Milestones!$AA$184),"dd mmm yy"))&amp;" "&amp;Milestones!$AB$184&amp;" "&amp;IF(AND(Milestones!$AB$184="FT",Milestones!$AA$184=FT_Y5,EDATE($D89,Milestones!$AA$184)&lt;PolicyEff),1,Milestones!$AC$184)&amp;";  ","")&amp;IF(AND(EDATE($D89,Milestones!$AA$185)&lt;=AsOfDate,EDATE($D89,Milestones!$AA$185)&gt;=SchemeStart,IF($X89=0,$AD89,IF(AND($Z89&lt;&gt;"",EDATE($D89,Milestones!$AA$185)&gt;=$Z89),$AC89,IF(AND($Y89&lt;&gt;"",EDATE($D89,Milestones!$AA$185)&gt;=$Y89),$AB89,$AA89)))=Milestones!$AB$185),UPPER(TEXT(EDATE($D89,Milestones!$AA$185),"dd mmm yy"))&amp;" "&amp;Milestones!$AB$185&amp;" "&amp;IF(AND(Milestones!$AB$185="FT",Milestones!$AA$185=FT_Y5,EDATE($D89,Milestones!$AA$185)&lt;PolicyEff),1,Milestones!$AC$185)&amp;";  ","")&amp;IF(AND(EDATE($D89,Milestones!$AA$186)&lt;=AsOfDate,EDATE($D89,Milestones!$AA$186)&gt;=SchemeStart,IF($X89=0,$AD89,IF(AND($Z89&lt;&gt;"",EDATE($D89,Milestones!$AA$186)&gt;=$Z89),$AC89,IF(AND($Y89&lt;&gt;"",EDATE($D89,Milestones!$AA$186)&gt;=$Y89),$AB89,$AA89)))=Milestones!$AB$186),UPPER(TEXT(EDATE($D89,Milestones!$AA$186),"dd mmm yy"))&amp;" "&amp;Milestones!$AB$186&amp;" "&amp;IF(AND(Milestones!$AB$186="FT",Milestones!$AA$186=FT_Y5,EDATE($D89,Milestones!$AA$186)&lt;PolicyEff),1,Milestones!$AC$186)&amp;";  ","")&amp;IF(AND(EDATE($D89,Milestones!$AA$187)&lt;=AsOfDate,EDATE($D89,Milestones!$AA$187)&gt;=SchemeStart,IF($X89=0,$AD89,IF(AND($Z89&lt;&gt;"",EDATE($D89,Milestones!$AA$187)&gt;=$Z89),$AC89,IF(AND($Y89&lt;&gt;"",EDATE($D89,Milestones!$AA$187)&gt;=$Y89),$AB89,$AA89)))=Milestones!$AB$187),UPPER(TEXT(EDATE($D89,Milestones!$AA$187),"dd mmm yy"))&amp;" "&amp;Milestones!$AB$187&amp;" "&amp;IF(AND(Milestones!$AB$187="FT",Milestones!$AA$187=FT_Y5,EDATE($D89,Milestones!$AA$187)&lt;PolicyEff),1,Milestones!$AC$187)&amp;";  ",""))</f>
        <v/>
      </c>
      <c r="W89" s="0" t="str">
        <f aca="false">IF(OR($A89="",$D89=""),"",IF(AND(EDATE($D89,Milestones!$AA$188)&lt;=AsOfDate,EDATE($D89,Milestones!$AA$188)&gt;=SchemeStart,IF($X89=0,$AD89,IF(AND($Z89&lt;&gt;"",EDATE($D89,Milestones!$AA$188)&gt;=$Z89),$AC89,IF(AND($Y89&lt;&gt;"",EDATE($D89,Milestones!$AA$188)&gt;=$Y89),$AB89,$AA89)))=Milestones!$AB$188),UPPER(TEXT(EDATE($D89,Milestones!$AA$188),"dd mmm yy"))&amp;" "&amp;Milestones!$AB$188&amp;" "&amp;IF(AND(Milestones!$AB$188="FT",Milestones!$AA$188=FT_Y5,EDATE($D89,Milestones!$AA$188)&lt;PolicyEff),1,Milestones!$AC$188)&amp;";  ","")&amp;IF(AND(EDATE($D89,Milestones!$AA$189)&lt;=AsOfDate,EDATE($D89,Milestones!$AA$189)&gt;=SchemeStart,IF($X89=0,$AD89,IF(AND($Z89&lt;&gt;"",EDATE($D89,Milestones!$AA$189)&gt;=$Z89),$AC89,IF(AND($Y89&lt;&gt;"",EDATE($D89,Milestones!$AA$189)&gt;=$Y89),$AB89,$AA89)))=Milestones!$AB$189),UPPER(TEXT(EDATE($D89,Milestones!$AA$189),"dd mmm yy"))&amp;" "&amp;Milestones!$AB$189&amp;" "&amp;IF(AND(Milestones!$AB$189="FT",Milestones!$AA$189=FT_Y5,EDATE($D89,Milestones!$AA$189)&lt;PolicyEff),1,Milestones!$AC$189)&amp;";  ","")&amp;IF(AND(EDATE($D89,Milestones!$AA$190)&lt;=AsOfDate,EDATE($D89,Milestones!$AA$190)&gt;=SchemeStart,IF($X89=0,$AD89,IF(AND($Z89&lt;&gt;"",EDATE($D89,Milestones!$AA$190)&gt;=$Z89),$AC89,IF(AND($Y89&lt;&gt;"",EDATE($D89,Milestones!$AA$190)&gt;=$Y89),$AB89,$AA89)))=Milestones!$AB$190),UPPER(TEXT(EDATE($D89,Milestones!$AA$190),"dd mmm yy"))&amp;" "&amp;Milestones!$AB$190&amp;" "&amp;IF(AND(Milestones!$AB$190="FT",Milestones!$AA$190=FT_Y5,EDATE($D89,Milestones!$AA$190)&lt;PolicyEff),1,Milestones!$AC$190)&amp;";  ","")&amp;IF(AND(EDATE($D89,Milestones!$AA$191)&lt;=AsOfDate,EDATE($D89,Milestones!$AA$191)&gt;=SchemeStart,IF($X89=0,$AD89,IF(AND($Z89&lt;&gt;"",EDATE($D89,Milestones!$AA$191)&gt;=$Z89),$AC89,IF(AND($Y89&lt;&gt;"",EDATE($D89,Milestones!$AA$191)&gt;=$Y89),$AB89,$AA89)))=Milestones!$AB$191),UPPER(TEXT(EDATE($D89,Milestones!$AA$191),"dd mmm yy"))&amp;" "&amp;Milestones!$AB$191&amp;" "&amp;IF(AND(Milestones!$AB$191="FT",Milestones!$AA$191=FT_Y5,EDATE($D89,Milestones!$AA$191)&lt;PolicyEff),1,Milestones!$AC$191)&amp;";  ","")&amp;IF(AND(EDATE($D89,Milestones!$AA$192)&lt;=AsOfDate,EDATE($D89,Milestones!$AA$192)&gt;=SchemeStart,IF($X89=0,$AD89,IF(AND($Z89&lt;&gt;"",EDATE($D89,Milestones!$AA$192)&gt;=$Z89),$AC89,IF(AND($Y89&lt;&gt;"",EDATE($D89,Milestones!$AA$192)&gt;=$Y89),$AB89,$AA89)))=Milestones!$AB$192),UPPER(TEXT(EDATE($D89,Milestones!$AA$192),"dd mmm yy"))&amp;" "&amp;Milestones!$AB$192&amp;" "&amp;IF(AND(Milestones!$AB$192="FT",Milestones!$AA$192=FT_Y5,EDATE($D89,Milestones!$AA$192)&lt;PolicyEff),1,Milestones!$AC$192)&amp;";  ","")&amp;IF(AND(EDATE($D89,Milestones!$AA$193)&lt;=AsOfDate,EDATE($D89,Milestones!$AA$193)&gt;=SchemeStart,IF($X89=0,$AD89,IF(AND($Z89&lt;&gt;"",EDATE($D89,Milestones!$AA$193)&gt;=$Z89),$AC89,IF(AND($Y89&lt;&gt;"",EDATE($D89,Milestones!$AA$193)&gt;=$Y89),$AB89,$AA89)))=Milestones!$AB$193),UPPER(TEXT(EDATE($D89,Milestones!$AA$193),"dd mmm yy"))&amp;" "&amp;Milestones!$AB$193&amp;" "&amp;IF(AND(Milestones!$AB$193="FT",Milestones!$AA$193=FT_Y5,EDATE($D89,Milestones!$AA$193)&lt;PolicyEff),1,Milestones!$AC$193)&amp;";  ","")&amp;IF(AND(EDATE($D89,Milestones!$AA$194)&lt;=AsOfDate,EDATE($D89,Milestones!$AA$194)&gt;=SchemeStart,IF($X89=0,$AD89,IF(AND($Z89&lt;&gt;"",EDATE($D89,Milestones!$AA$194)&gt;=$Z89),$AC89,IF(AND($Y89&lt;&gt;"",EDATE($D89,Milestones!$AA$194)&gt;=$Y89),$AB89,$AA89)))=Milestones!$AB$194),UPPER(TEXT(EDATE($D89,Milestones!$AA$194),"dd mmm yy"))&amp;" "&amp;Milestones!$AB$194&amp;" "&amp;IF(AND(Milestones!$AB$194="FT",Milestones!$AA$194=FT_Y5,EDATE($D89,Milestones!$AA$194)&lt;PolicyEff),1,Milestones!$AC$194)&amp;";  ","")&amp;IF(AND(EDATE($D89,Milestones!$AA$195)&lt;=AsOfDate,EDATE($D89,Milestones!$AA$195)&gt;=SchemeStart,IF($X89=0,$AD89,IF(AND($Z89&lt;&gt;"",EDATE($D89,Milestones!$AA$195)&gt;=$Z89),$AC89,IF(AND($Y89&lt;&gt;"",EDATE($D89,Milestones!$AA$195)&gt;=$Y89),$AB89,$AA89)))=Milestones!$AB$195),UPPER(TEXT(EDATE($D89,Milestones!$AA$195),"dd mmm yy"))&amp;" "&amp;Milestones!$AB$195&amp;" "&amp;IF(AND(Milestones!$AB$195="FT",Milestones!$AA$195=FT_Y5,EDATE($D89,Milestones!$AA$195)&lt;PolicyEff),1,Milestones!$AC$195)&amp;";  ","")&amp;IF(AND(EDATE($D89,Milestones!$AA$196)&lt;=AsOfDate,EDATE($D89,Milestones!$AA$196)&gt;=SchemeStart,IF($X89=0,$AD89,IF(AND($Z89&lt;&gt;"",EDATE($D89,Milestones!$AA$196)&gt;=$Z89),$AC89,IF(AND($Y89&lt;&gt;"",EDATE($D89,Milestones!$AA$196)&gt;=$Y89),$AB89,$AA89)))=Milestones!$AB$196),UPPER(TEXT(EDATE($D89,Milestones!$AA$196),"dd mmm yy"))&amp;" "&amp;Milestones!$AB$196&amp;" "&amp;IF(AND(Milestones!$AB$196="FT",Milestones!$AA$196=FT_Y5,EDATE($D89,Milestones!$AA$196)&lt;PolicyEff),1,Milestones!$AC$196)&amp;";  ","")&amp;IF(AND(EDATE($D89,Milestones!$AA$197)&lt;=AsOfDate,EDATE($D89,Milestones!$AA$197)&gt;=SchemeStart,IF($X89=0,$AD89,IF(AND($Z89&lt;&gt;"",EDATE($D89,Milestones!$AA$197)&gt;=$Z89),$AC89,IF(AND($Y89&lt;&gt;"",EDATE($D89,Milestones!$AA$197)&gt;=$Y89),$AB89,$AA89)))=Milestones!$AB$197),UPPER(TEXT(EDATE($D89,Milestones!$AA$197),"dd mmm yy"))&amp;" "&amp;Milestones!$AB$197&amp;" "&amp;IF(AND(Milestones!$AB$197="FT",Milestones!$AA$197=FT_Y5,EDATE($D89,Milestones!$AA$197)&lt;PolicyEff),1,Milestones!$AC$197)&amp;";  ","")&amp;IF(AND(EDATE($D89,Milestones!$AA$198)&lt;=AsOfDate,EDATE($D89,Milestones!$AA$198)&gt;=SchemeStart,IF($X89=0,$AD89,IF(AND($Z89&lt;&gt;"",EDATE($D89,Milestones!$AA$198)&gt;=$Z89),$AC89,IF(AND($Y89&lt;&gt;"",EDATE($D89,Milestones!$AA$198)&gt;=$Y89),$AB89,$AA89)))=Milestones!$AB$198),UPPER(TEXT(EDATE($D89,Milestones!$AA$198),"dd mmm yy"))&amp;" "&amp;Milestones!$AB$198&amp;" "&amp;IF(AND(Milestones!$AB$198="FT",Milestones!$AA$198=FT_Y5,EDATE($D89,Milestones!$AA$198)&lt;PolicyEff),1,Milestones!$AC$198)&amp;";  ","")&amp;IF(AND(EDATE($D89,Milestones!$AA$199)&lt;=AsOfDate,EDATE($D89,Milestones!$AA$199)&gt;=SchemeStart,IF($X89=0,$AD89,IF(AND($Z89&lt;&gt;"",EDATE($D89,Milestones!$AA$199)&gt;=$Z89),$AC89,IF(AND($Y89&lt;&gt;"",EDATE($D89,Milestones!$AA$199)&gt;=$Y89),$AB89,$AA89)))=Milestones!$AB$199),UPPER(TEXT(EDATE($D89,Milestones!$AA$199),"dd mmm yy"))&amp;" "&amp;Milestones!$AB$199&amp;" "&amp;IF(AND(Milestones!$AB$199="FT",Milestones!$AA$199=FT_Y5,EDATE($D89,Milestones!$AA$199)&lt;PolicyEff),1,Milestones!$AC$199)&amp;";  ",""))</f>
        <v/>
      </c>
      <c r="X89" s="0" t="str">
        <f aca="false">IF(Staff!$A89="","",Staff!$AM89)</f>
        <v/>
      </c>
      <c r="Y89" s="0" t="str">
        <f aca="false">IF(Staff!$A89="","",Staff!$AO89)</f>
        <v/>
      </c>
      <c r="Z89" s="0" t="str">
        <f aca="false">IF(Staff!$A89="","",Staff!$AP89)</f>
        <v/>
      </c>
      <c r="AA89" s="0" t="str">
        <f aca="false">IF(Staff!$A89="","",Staff!$AT89)</f>
        <v/>
      </c>
      <c r="AB89" s="0" t="str">
        <f aca="false">IF(Staff!$A89="","",Staff!$AU89)</f>
        <v/>
      </c>
      <c r="AC89" s="0" t="str">
        <f aca="false">IF(Staff!$A89="","",Staff!$AV89)</f>
        <v/>
      </c>
      <c r="AD89" s="0" t="str">
        <f aca="false">IF(Staff!$A89="","",Staff!$AW89)</f>
        <v/>
      </c>
    </row>
    <row r="90" customFormat="false" ht="15" hidden="false" customHeight="false" outlineLevel="0" collapsed="false">
      <c r="A90" s="16" t="str">
        <f aca="false">IF(Staff!$A90="","",Staff!$A90)</f>
        <v/>
      </c>
      <c r="B90" s="16" t="str">
        <f aca="false">IF(Staff!$A90="","",Staff!$B90)</f>
        <v/>
      </c>
      <c r="C90" s="16" t="str">
        <f aca="false">IF(Staff!$A90="","",Staff!$C90)</f>
        <v/>
      </c>
      <c r="D90" s="14" t="str">
        <f aca="false">IF(Staff!$A90="","",Staff!$AL90)</f>
        <v/>
      </c>
      <c r="E90" s="16" t="str">
        <f aca="false">IF(Staff!$A90="","",Staff!$O90)</f>
        <v/>
      </c>
      <c r="F90" s="16" t="str">
        <f aca="false">IF(E90="","",E90*HoursPerDay)</f>
        <v/>
      </c>
      <c r="G90" s="16" t="str">
        <f aca="false">IF(Staff!$A90="","",Staff!$AE90)</f>
        <v/>
      </c>
      <c r="H90" s="28" t="str">
        <f aca="false">IF($A90="","",I90&amp;J90&amp;K90&amp;L90&amp;M90&amp;N90&amp;O90&amp;P90&amp;Q90&amp;R90&amp;S90&amp;T90&amp;U90&amp;V90&amp;W90)</f>
        <v/>
      </c>
      <c r="I90" s="0" t="str">
        <f aca="false">IF(OR($A90="",$D90=""),"",IF(AND(EDATE($D90,Milestones!$AA$20)&lt;=AsOfDate,EDATE($D90,Milestones!$AA$20)&gt;=SchemeStart,IF($X90=0,$AD90,IF(AND($Z90&lt;&gt;"",EDATE($D90,Milestones!$AA$20)&gt;=$Z90),$AC90,IF(AND($Y90&lt;&gt;"",EDATE($D90,Milestones!$AA$20)&gt;=$Y90),$AB90,$AA90)))=Milestones!$AB$20),UPPER(TEXT(EDATE($D90,Milestones!$AA$20),"dd mmm yy"))&amp;" "&amp;Milestones!$AB$20&amp;" "&amp;IF(AND(Milestones!$AB$20="FT",Milestones!$AA$20=FT_Y5,EDATE($D90,Milestones!$AA$20)&lt;PolicyEff),1,Milestones!$AC$20)&amp;";  ","")&amp;IF(AND(EDATE($D90,Milestones!$AA$21)&lt;=AsOfDate,EDATE($D90,Milestones!$AA$21)&gt;=SchemeStart,IF($X90=0,$AD90,IF(AND($Z90&lt;&gt;"",EDATE($D90,Milestones!$AA$21)&gt;=$Z90),$AC90,IF(AND($Y90&lt;&gt;"",EDATE($D90,Milestones!$AA$21)&gt;=$Y90),$AB90,$AA90)))=Milestones!$AB$21),UPPER(TEXT(EDATE($D90,Milestones!$AA$21),"dd mmm yy"))&amp;" "&amp;Milestones!$AB$21&amp;" "&amp;IF(AND(Milestones!$AB$21="FT",Milestones!$AA$21=FT_Y5,EDATE($D90,Milestones!$AA$21)&lt;PolicyEff),1,Milestones!$AC$21)&amp;";  ","")&amp;IF(AND(EDATE($D90,Milestones!$AA$22)&lt;=AsOfDate,EDATE($D90,Milestones!$AA$22)&gt;=SchemeStart,IF($X90=0,$AD90,IF(AND($Z90&lt;&gt;"",EDATE($D90,Milestones!$AA$22)&gt;=$Z90),$AC90,IF(AND($Y90&lt;&gt;"",EDATE($D90,Milestones!$AA$22)&gt;=$Y90),$AB90,$AA90)))=Milestones!$AB$22),UPPER(TEXT(EDATE($D90,Milestones!$AA$22),"dd mmm yy"))&amp;" "&amp;Milestones!$AB$22&amp;" "&amp;IF(AND(Milestones!$AB$22="FT",Milestones!$AA$22=FT_Y5,EDATE($D90,Milestones!$AA$22)&lt;PolicyEff),1,Milestones!$AC$22)&amp;";  ","")&amp;IF(AND(EDATE($D90,Milestones!$AA$23)&lt;=AsOfDate,EDATE($D90,Milestones!$AA$23)&gt;=SchemeStart,IF($X90=0,$AD90,IF(AND($Z90&lt;&gt;"",EDATE($D90,Milestones!$AA$23)&gt;=$Z90),$AC90,IF(AND($Y90&lt;&gt;"",EDATE($D90,Milestones!$AA$23)&gt;=$Y90),$AB90,$AA90)))=Milestones!$AB$23),UPPER(TEXT(EDATE($D90,Milestones!$AA$23),"dd mmm yy"))&amp;" "&amp;Milestones!$AB$23&amp;" "&amp;IF(AND(Milestones!$AB$23="FT",Milestones!$AA$23=FT_Y5,EDATE($D90,Milestones!$AA$23)&lt;PolicyEff),1,Milestones!$AC$23)&amp;";  ","")&amp;IF(AND(EDATE($D90,Milestones!$AA$24)&lt;=AsOfDate,EDATE($D90,Milestones!$AA$24)&gt;=SchemeStart,IF($X90=0,$AD90,IF(AND($Z90&lt;&gt;"",EDATE($D90,Milestones!$AA$24)&gt;=$Z90),$AC90,IF(AND($Y90&lt;&gt;"",EDATE($D90,Milestones!$AA$24)&gt;=$Y90),$AB90,$AA90)))=Milestones!$AB$24),UPPER(TEXT(EDATE($D90,Milestones!$AA$24),"dd mmm yy"))&amp;" "&amp;Milestones!$AB$24&amp;" "&amp;IF(AND(Milestones!$AB$24="FT",Milestones!$AA$24=FT_Y5,EDATE($D90,Milestones!$AA$24)&lt;PolicyEff),1,Milestones!$AC$24)&amp;";  ","")&amp;IF(AND(EDATE($D90,Milestones!$AA$25)&lt;=AsOfDate,EDATE($D90,Milestones!$AA$25)&gt;=SchemeStart,IF($X90=0,$AD90,IF(AND($Z90&lt;&gt;"",EDATE($D90,Milestones!$AA$25)&gt;=$Z90),$AC90,IF(AND($Y90&lt;&gt;"",EDATE($D90,Milestones!$AA$25)&gt;=$Y90),$AB90,$AA90)))=Milestones!$AB$25),UPPER(TEXT(EDATE($D90,Milestones!$AA$25),"dd mmm yy"))&amp;" "&amp;Milestones!$AB$25&amp;" "&amp;IF(AND(Milestones!$AB$25="FT",Milestones!$AA$25=FT_Y5,EDATE($D90,Milestones!$AA$25)&lt;PolicyEff),1,Milestones!$AC$25)&amp;";  ","")&amp;IF(AND(EDATE($D90,Milestones!$AA$26)&lt;=AsOfDate,EDATE($D90,Milestones!$AA$26)&gt;=SchemeStart,IF($X90=0,$AD90,IF(AND($Z90&lt;&gt;"",EDATE($D90,Milestones!$AA$26)&gt;=$Z90),$AC90,IF(AND($Y90&lt;&gt;"",EDATE($D90,Milestones!$AA$26)&gt;=$Y90),$AB90,$AA90)))=Milestones!$AB$26),UPPER(TEXT(EDATE($D90,Milestones!$AA$26),"dd mmm yy"))&amp;" "&amp;Milestones!$AB$26&amp;" "&amp;IF(AND(Milestones!$AB$26="FT",Milestones!$AA$26=FT_Y5,EDATE($D90,Milestones!$AA$26)&lt;PolicyEff),1,Milestones!$AC$26)&amp;";  ","")&amp;IF(AND(EDATE($D90,Milestones!$AA$27)&lt;=AsOfDate,EDATE($D90,Milestones!$AA$27)&gt;=SchemeStart,IF($X90=0,$AD90,IF(AND($Z90&lt;&gt;"",EDATE($D90,Milestones!$AA$27)&gt;=$Z90),$AC90,IF(AND($Y90&lt;&gt;"",EDATE($D90,Milestones!$AA$27)&gt;=$Y90),$AB90,$AA90)))=Milestones!$AB$27),UPPER(TEXT(EDATE($D90,Milestones!$AA$27),"dd mmm yy"))&amp;" "&amp;Milestones!$AB$27&amp;" "&amp;IF(AND(Milestones!$AB$27="FT",Milestones!$AA$27=FT_Y5,EDATE($D90,Milestones!$AA$27)&lt;PolicyEff),1,Milestones!$AC$27)&amp;";  ","")&amp;IF(AND(EDATE($D90,Milestones!$AA$28)&lt;=AsOfDate,EDATE($D90,Milestones!$AA$28)&gt;=SchemeStart,IF($X90=0,$AD90,IF(AND($Z90&lt;&gt;"",EDATE($D90,Milestones!$AA$28)&gt;=$Z90),$AC90,IF(AND($Y90&lt;&gt;"",EDATE($D90,Milestones!$AA$28)&gt;=$Y90),$AB90,$AA90)))=Milestones!$AB$28),UPPER(TEXT(EDATE($D90,Milestones!$AA$28),"dd mmm yy"))&amp;" "&amp;Milestones!$AB$28&amp;" "&amp;IF(AND(Milestones!$AB$28="FT",Milestones!$AA$28=FT_Y5,EDATE($D90,Milestones!$AA$28)&lt;PolicyEff),1,Milestones!$AC$28)&amp;";  ","")&amp;IF(AND(EDATE($D90,Milestones!$AA$29)&lt;=AsOfDate,EDATE($D90,Milestones!$AA$29)&gt;=SchemeStart,IF($X90=0,$AD90,IF(AND($Z90&lt;&gt;"",EDATE($D90,Milestones!$AA$29)&gt;=$Z90),$AC90,IF(AND($Y90&lt;&gt;"",EDATE($D90,Milestones!$AA$29)&gt;=$Y90),$AB90,$AA90)))=Milestones!$AB$29),UPPER(TEXT(EDATE($D90,Milestones!$AA$29),"dd mmm yy"))&amp;" "&amp;Milestones!$AB$29&amp;" "&amp;IF(AND(Milestones!$AB$29="FT",Milestones!$AA$29=FT_Y5,EDATE($D90,Milestones!$AA$29)&lt;PolicyEff),1,Milestones!$AC$29)&amp;";  ","")&amp;IF(AND(EDATE($D90,Milestones!$AA$30)&lt;=AsOfDate,EDATE($D90,Milestones!$AA$30)&gt;=SchemeStart,IF($X90=0,$AD90,IF(AND($Z90&lt;&gt;"",EDATE($D90,Milestones!$AA$30)&gt;=$Z90),$AC90,IF(AND($Y90&lt;&gt;"",EDATE($D90,Milestones!$AA$30)&gt;=$Y90),$AB90,$AA90)))=Milestones!$AB$30),UPPER(TEXT(EDATE($D90,Milestones!$AA$30),"dd mmm yy"))&amp;" "&amp;Milestones!$AB$30&amp;" "&amp;IF(AND(Milestones!$AB$30="FT",Milestones!$AA$30=FT_Y5,EDATE($D90,Milestones!$AA$30)&lt;PolicyEff),1,Milestones!$AC$30)&amp;";  ","")&amp;IF(AND(EDATE($D90,Milestones!$AA$31)&lt;=AsOfDate,EDATE($D90,Milestones!$AA$31)&gt;=SchemeStart,IF($X90=0,$AD90,IF(AND($Z90&lt;&gt;"",EDATE($D90,Milestones!$AA$31)&gt;=$Z90),$AC90,IF(AND($Y90&lt;&gt;"",EDATE($D90,Milestones!$AA$31)&gt;=$Y90),$AB90,$AA90)))=Milestones!$AB$31),UPPER(TEXT(EDATE($D90,Milestones!$AA$31),"dd mmm yy"))&amp;" "&amp;Milestones!$AB$31&amp;" "&amp;IF(AND(Milestones!$AB$31="FT",Milestones!$AA$31=FT_Y5,EDATE($D90,Milestones!$AA$31)&lt;PolicyEff),1,Milestones!$AC$31)&amp;";  ",""))</f>
        <v/>
      </c>
      <c r="J90" s="0" t="str">
        <f aca="false">IF(OR($A90="",$D90=""),"",IF(AND(EDATE($D90,Milestones!$AA$32)&lt;=AsOfDate,EDATE($D90,Milestones!$AA$32)&gt;=SchemeStart,IF($X90=0,$AD90,IF(AND($Z90&lt;&gt;"",EDATE($D90,Milestones!$AA$32)&gt;=$Z90),$AC90,IF(AND($Y90&lt;&gt;"",EDATE($D90,Milestones!$AA$32)&gt;=$Y90),$AB90,$AA90)))=Milestones!$AB$32),UPPER(TEXT(EDATE($D90,Milestones!$AA$32),"dd mmm yy"))&amp;" "&amp;Milestones!$AB$32&amp;" "&amp;IF(AND(Milestones!$AB$32="FT",Milestones!$AA$32=FT_Y5,EDATE($D90,Milestones!$AA$32)&lt;PolicyEff),1,Milestones!$AC$32)&amp;";  ","")&amp;IF(AND(EDATE($D90,Milestones!$AA$33)&lt;=AsOfDate,EDATE($D90,Milestones!$AA$33)&gt;=SchemeStart,IF($X90=0,$AD90,IF(AND($Z90&lt;&gt;"",EDATE($D90,Milestones!$AA$33)&gt;=$Z90),$AC90,IF(AND($Y90&lt;&gt;"",EDATE($D90,Milestones!$AA$33)&gt;=$Y90),$AB90,$AA90)))=Milestones!$AB$33),UPPER(TEXT(EDATE($D90,Milestones!$AA$33),"dd mmm yy"))&amp;" "&amp;Milestones!$AB$33&amp;" "&amp;IF(AND(Milestones!$AB$33="FT",Milestones!$AA$33=FT_Y5,EDATE($D90,Milestones!$AA$33)&lt;PolicyEff),1,Milestones!$AC$33)&amp;";  ","")&amp;IF(AND(EDATE($D90,Milestones!$AA$34)&lt;=AsOfDate,EDATE($D90,Milestones!$AA$34)&gt;=SchemeStart,IF($X90=0,$AD90,IF(AND($Z90&lt;&gt;"",EDATE($D90,Milestones!$AA$34)&gt;=$Z90),$AC90,IF(AND($Y90&lt;&gt;"",EDATE($D90,Milestones!$AA$34)&gt;=$Y90),$AB90,$AA90)))=Milestones!$AB$34),UPPER(TEXT(EDATE($D90,Milestones!$AA$34),"dd mmm yy"))&amp;" "&amp;Milestones!$AB$34&amp;" "&amp;IF(AND(Milestones!$AB$34="FT",Milestones!$AA$34=FT_Y5,EDATE($D90,Milestones!$AA$34)&lt;PolicyEff),1,Milestones!$AC$34)&amp;";  ","")&amp;IF(AND(EDATE($D90,Milestones!$AA$35)&lt;=AsOfDate,EDATE($D90,Milestones!$AA$35)&gt;=SchemeStart,IF($X90=0,$AD90,IF(AND($Z90&lt;&gt;"",EDATE($D90,Milestones!$AA$35)&gt;=$Z90),$AC90,IF(AND($Y90&lt;&gt;"",EDATE($D90,Milestones!$AA$35)&gt;=$Y90),$AB90,$AA90)))=Milestones!$AB$35),UPPER(TEXT(EDATE($D90,Milestones!$AA$35),"dd mmm yy"))&amp;" "&amp;Milestones!$AB$35&amp;" "&amp;IF(AND(Milestones!$AB$35="FT",Milestones!$AA$35=FT_Y5,EDATE($D90,Milestones!$AA$35)&lt;PolicyEff),1,Milestones!$AC$35)&amp;";  ","")&amp;IF(AND(EDATE($D90,Milestones!$AA$36)&lt;=AsOfDate,EDATE($D90,Milestones!$AA$36)&gt;=SchemeStart,IF($X90=0,$AD90,IF(AND($Z90&lt;&gt;"",EDATE($D90,Milestones!$AA$36)&gt;=$Z90),$AC90,IF(AND($Y90&lt;&gt;"",EDATE($D90,Milestones!$AA$36)&gt;=$Y90),$AB90,$AA90)))=Milestones!$AB$36),UPPER(TEXT(EDATE($D90,Milestones!$AA$36),"dd mmm yy"))&amp;" "&amp;Milestones!$AB$36&amp;" "&amp;IF(AND(Milestones!$AB$36="FT",Milestones!$AA$36=FT_Y5,EDATE($D90,Milestones!$AA$36)&lt;PolicyEff),1,Milestones!$AC$36)&amp;";  ","")&amp;IF(AND(EDATE($D90,Milestones!$AA$37)&lt;=AsOfDate,EDATE($D90,Milestones!$AA$37)&gt;=SchemeStart,IF($X90=0,$AD90,IF(AND($Z90&lt;&gt;"",EDATE($D90,Milestones!$AA$37)&gt;=$Z90),$AC90,IF(AND($Y90&lt;&gt;"",EDATE($D90,Milestones!$AA$37)&gt;=$Y90),$AB90,$AA90)))=Milestones!$AB$37),UPPER(TEXT(EDATE($D90,Milestones!$AA$37),"dd mmm yy"))&amp;" "&amp;Milestones!$AB$37&amp;" "&amp;IF(AND(Milestones!$AB$37="FT",Milestones!$AA$37=FT_Y5,EDATE($D90,Milestones!$AA$37)&lt;PolicyEff),1,Milestones!$AC$37)&amp;";  ","")&amp;IF(AND(EDATE($D90,Milestones!$AA$38)&lt;=AsOfDate,EDATE($D90,Milestones!$AA$38)&gt;=SchemeStart,IF($X90=0,$AD90,IF(AND($Z90&lt;&gt;"",EDATE($D90,Milestones!$AA$38)&gt;=$Z90),$AC90,IF(AND($Y90&lt;&gt;"",EDATE($D90,Milestones!$AA$38)&gt;=$Y90),$AB90,$AA90)))=Milestones!$AB$38),UPPER(TEXT(EDATE($D90,Milestones!$AA$38),"dd mmm yy"))&amp;" "&amp;Milestones!$AB$38&amp;" "&amp;IF(AND(Milestones!$AB$38="FT",Milestones!$AA$38=FT_Y5,EDATE($D90,Milestones!$AA$38)&lt;PolicyEff),1,Milestones!$AC$38)&amp;";  ","")&amp;IF(AND(EDATE($D90,Milestones!$AA$39)&lt;=AsOfDate,EDATE($D90,Milestones!$AA$39)&gt;=SchemeStart,IF($X90=0,$AD90,IF(AND($Z90&lt;&gt;"",EDATE($D90,Milestones!$AA$39)&gt;=$Z90),$AC90,IF(AND($Y90&lt;&gt;"",EDATE($D90,Milestones!$AA$39)&gt;=$Y90),$AB90,$AA90)))=Milestones!$AB$39),UPPER(TEXT(EDATE($D90,Milestones!$AA$39),"dd mmm yy"))&amp;" "&amp;Milestones!$AB$39&amp;" "&amp;IF(AND(Milestones!$AB$39="FT",Milestones!$AA$39=FT_Y5,EDATE($D90,Milestones!$AA$39)&lt;PolicyEff),1,Milestones!$AC$39)&amp;";  ","")&amp;IF(AND(EDATE($D90,Milestones!$AA$40)&lt;=AsOfDate,EDATE($D90,Milestones!$AA$40)&gt;=SchemeStart,IF($X90=0,$AD90,IF(AND($Z90&lt;&gt;"",EDATE($D90,Milestones!$AA$40)&gt;=$Z90),$AC90,IF(AND($Y90&lt;&gt;"",EDATE($D90,Milestones!$AA$40)&gt;=$Y90),$AB90,$AA90)))=Milestones!$AB$40),UPPER(TEXT(EDATE($D90,Milestones!$AA$40),"dd mmm yy"))&amp;" "&amp;Milestones!$AB$40&amp;" "&amp;IF(AND(Milestones!$AB$40="FT",Milestones!$AA$40=FT_Y5,EDATE($D90,Milestones!$AA$40)&lt;PolicyEff),1,Milestones!$AC$40)&amp;";  ","")&amp;IF(AND(EDATE($D90,Milestones!$AA$41)&lt;=AsOfDate,EDATE($D90,Milestones!$AA$41)&gt;=SchemeStart,IF($X90=0,$AD90,IF(AND($Z90&lt;&gt;"",EDATE($D90,Milestones!$AA$41)&gt;=$Z90),$AC90,IF(AND($Y90&lt;&gt;"",EDATE($D90,Milestones!$AA$41)&gt;=$Y90),$AB90,$AA90)))=Milestones!$AB$41),UPPER(TEXT(EDATE($D90,Milestones!$AA$41),"dd mmm yy"))&amp;" "&amp;Milestones!$AB$41&amp;" "&amp;IF(AND(Milestones!$AB$41="FT",Milestones!$AA$41=FT_Y5,EDATE($D90,Milestones!$AA$41)&lt;PolicyEff),1,Milestones!$AC$41)&amp;";  ","")&amp;IF(AND(EDATE($D90,Milestones!$AA$42)&lt;=AsOfDate,EDATE($D90,Milestones!$AA$42)&gt;=SchemeStart,IF($X90=0,$AD90,IF(AND($Z90&lt;&gt;"",EDATE($D90,Milestones!$AA$42)&gt;=$Z90),$AC90,IF(AND($Y90&lt;&gt;"",EDATE($D90,Milestones!$AA$42)&gt;=$Y90),$AB90,$AA90)))=Milestones!$AB$42),UPPER(TEXT(EDATE($D90,Milestones!$AA$42),"dd mmm yy"))&amp;" "&amp;Milestones!$AB$42&amp;" "&amp;IF(AND(Milestones!$AB$42="FT",Milestones!$AA$42=FT_Y5,EDATE($D90,Milestones!$AA$42)&lt;PolicyEff),1,Milestones!$AC$42)&amp;";  ","")&amp;IF(AND(EDATE($D90,Milestones!$AA$43)&lt;=AsOfDate,EDATE($D90,Milestones!$AA$43)&gt;=SchemeStart,IF($X90=0,$AD90,IF(AND($Z90&lt;&gt;"",EDATE($D90,Milestones!$AA$43)&gt;=$Z90),$AC90,IF(AND($Y90&lt;&gt;"",EDATE($D90,Milestones!$AA$43)&gt;=$Y90),$AB90,$AA90)))=Milestones!$AB$43),UPPER(TEXT(EDATE($D90,Milestones!$AA$43),"dd mmm yy"))&amp;" "&amp;Milestones!$AB$43&amp;" "&amp;IF(AND(Milestones!$AB$43="FT",Milestones!$AA$43=FT_Y5,EDATE($D90,Milestones!$AA$43)&lt;PolicyEff),1,Milestones!$AC$43)&amp;";  ",""))</f>
        <v/>
      </c>
      <c r="K90" s="0" t="str">
        <f aca="false">IF(OR($A90="",$D90=""),"",IF(AND(EDATE($D90,Milestones!$AA$44)&lt;=AsOfDate,EDATE($D90,Milestones!$AA$44)&gt;=SchemeStart,IF($X90=0,$AD90,IF(AND($Z90&lt;&gt;"",EDATE($D90,Milestones!$AA$44)&gt;=$Z90),$AC90,IF(AND($Y90&lt;&gt;"",EDATE($D90,Milestones!$AA$44)&gt;=$Y90),$AB90,$AA90)))=Milestones!$AB$44),UPPER(TEXT(EDATE($D90,Milestones!$AA$44),"dd mmm yy"))&amp;" "&amp;Milestones!$AB$44&amp;" "&amp;IF(AND(Milestones!$AB$44="FT",Milestones!$AA$44=FT_Y5,EDATE($D90,Milestones!$AA$44)&lt;PolicyEff),1,Milestones!$AC$44)&amp;";  ","")&amp;IF(AND(EDATE($D90,Milestones!$AA$45)&lt;=AsOfDate,EDATE($D90,Milestones!$AA$45)&gt;=SchemeStart,IF($X90=0,$AD90,IF(AND($Z90&lt;&gt;"",EDATE($D90,Milestones!$AA$45)&gt;=$Z90),$AC90,IF(AND($Y90&lt;&gt;"",EDATE($D90,Milestones!$AA$45)&gt;=$Y90),$AB90,$AA90)))=Milestones!$AB$45),UPPER(TEXT(EDATE($D90,Milestones!$AA$45),"dd mmm yy"))&amp;" "&amp;Milestones!$AB$45&amp;" "&amp;IF(AND(Milestones!$AB$45="FT",Milestones!$AA$45=FT_Y5,EDATE($D90,Milestones!$AA$45)&lt;PolicyEff),1,Milestones!$AC$45)&amp;";  ","")&amp;IF(AND(EDATE($D90,Milestones!$AA$46)&lt;=AsOfDate,EDATE($D90,Milestones!$AA$46)&gt;=SchemeStart,IF($X90=0,$AD90,IF(AND($Z90&lt;&gt;"",EDATE($D90,Milestones!$AA$46)&gt;=$Z90),$AC90,IF(AND($Y90&lt;&gt;"",EDATE($D90,Milestones!$AA$46)&gt;=$Y90),$AB90,$AA90)))=Milestones!$AB$46),UPPER(TEXT(EDATE($D90,Milestones!$AA$46),"dd mmm yy"))&amp;" "&amp;Milestones!$AB$46&amp;" "&amp;IF(AND(Milestones!$AB$46="FT",Milestones!$AA$46=FT_Y5,EDATE($D90,Milestones!$AA$46)&lt;PolicyEff),1,Milestones!$AC$46)&amp;";  ","")&amp;IF(AND(EDATE($D90,Milestones!$AA$47)&lt;=AsOfDate,EDATE($D90,Milestones!$AA$47)&gt;=SchemeStart,IF($X90=0,$AD90,IF(AND($Z90&lt;&gt;"",EDATE($D90,Milestones!$AA$47)&gt;=$Z90),$AC90,IF(AND($Y90&lt;&gt;"",EDATE($D90,Milestones!$AA$47)&gt;=$Y90),$AB90,$AA90)))=Milestones!$AB$47),UPPER(TEXT(EDATE($D90,Milestones!$AA$47),"dd mmm yy"))&amp;" "&amp;Milestones!$AB$47&amp;" "&amp;IF(AND(Milestones!$AB$47="FT",Milestones!$AA$47=FT_Y5,EDATE($D90,Milestones!$AA$47)&lt;PolicyEff),1,Milestones!$AC$47)&amp;";  ","")&amp;IF(AND(EDATE($D90,Milestones!$AA$48)&lt;=AsOfDate,EDATE($D90,Milestones!$AA$48)&gt;=SchemeStart,IF($X90=0,$AD90,IF(AND($Z90&lt;&gt;"",EDATE($D90,Milestones!$AA$48)&gt;=$Z90),$AC90,IF(AND($Y90&lt;&gt;"",EDATE($D90,Milestones!$AA$48)&gt;=$Y90),$AB90,$AA90)))=Milestones!$AB$48),UPPER(TEXT(EDATE($D90,Milestones!$AA$48),"dd mmm yy"))&amp;" "&amp;Milestones!$AB$48&amp;" "&amp;IF(AND(Milestones!$AB$48="FT",Milestones!$AA$48=FT_Y5,EDATE($D90,Milestones!$AA$48)&lt;PolicyEff),1,Milestones!$AC$48)&amp;";  ","")&amp;IF(AND(EDATE($D90,Milestones!$AA$49)&lt;=AsOfDate,EDATE($D90,Milestones!$AA$49)&gt;=SchemeStart,IF($X90=0,$AD90,IF(AND($Z90&lt;&gt;"",EDATE($D90,Milestones!$AA$49)&gt;=$Z90),$AC90,IF(AND($Y90&lt;&gt;"",EDATE($D90,Milestones!$AA$49)&gt;=$Y90),$AB90,$AA90)))=Milestones!$AB$49),UPPER(TEXT(EDATE($D90,Milestones!$AA$49),"dd mmm yy"))&amp;" "&amp;Milestones!$AB$49&amp;" "&amp;IF(AND(Milestones!$AB$49="FT",Milestones!$AA$49=FT_Y5,EDATE($D90,Milestones!$AA$49)&lt;PolicyEff),1,Milestones!$AC$49)&amp;";  ","")&amp;IF(AND(EDATE($D90,Milestones!$AA$50)&lt;=AsOfDate,EDATE($D90,Milestones!$AA$50)&gt;=SchemeStart,IF($X90=0,$AD90,IF(AND($Z90&lt;&gt;"",EDATE($D90,Milestones!$AA$50)&gt;=$Z90),$AC90,IF(AND($Y90&lt;&gt;"",EDATE($D90,Milestones!$AA$50)&gt;=$Y90),$AB90,$AA90)))=Milestones!$AB$50),UPPER(TEXT(EDATE($D90,Milestones!$AA$50),"dd mmm yy"))&amp;" "&amp;Milestones!$AB$50&amp;" "&amp;IF(AND(Milestones!$AB$50="FT",Milestones!$AA$50=FT_Y5,EDATE($D90,Milestones!$AA$50)&lt;PolicyEff),1,Milestones!$AC$50)&amp;";  ","")&amp;IF(AND(EDATE($D90,Milestones!$AA$51)&lt;=AsOfDate,EDATE($D90,Milestones!$AA$51)&gt;=SchemeStart,IF($X90=0,$AD90,IF(AND($Z90&lt;&gt;"",EDATE($D90,Milestones!$AA$51)&gt;=$Z90),$AC90,IF(AND($Y90&lt;&gt;"",EDATE($D90,Milestones!$AA$51)&gt;=$Y90),$AB90,$AA90)))=Milestones!$AB$51),UPPER(TEXT(EDATE($D90,Milestones!$AA$51),"dd mmm yy"))&amp;" "&amp;Milestones!$AB$51&amp;" "&amp;IF(AND(Milestones!$AB$51="FT",Milestones!$AA$51=FT_Y5,EDATE($D90,Milestones!$AA$51)&lt;PolicyEff),1,Milestones!$AC$51)&amp;";  ","")&amp;IF(AND(EDATE($D90,Milestones!$AA$52)&lt;=AsOfDate,EDATE($D90,Milestones!$AA$52)&gt;=SchemeStart,IF($X90=0,$AD90,IF(AND($Z90&lt;&gt;"",EDATE($D90,Milestones!$AA$52)&gt;=$Z90),$AC90,IF(AND($Y90&lt;&gt;"",EDATE($D90,Milestones!$AA$52)&gt;=$Y90),$AB90,$AA90)))=Milestones!$AB$52),UPPER(TEXT(EDATE($D90,Milestones!$AA$52),"dd mmm yy"))&amp;" "&amp;Milestones!$AB$52&amp;" "&amp;IF(AND(Milestones!$AB$52="FT",Milestones!$AA$52=FT_Y5,EDATE($D90,Milestones!$AA$52)&lt;PolicyEff),1,Milestones!$AC$52)&amp;";  ","")&amp;IF(AND(EDATE($D90,Milestones!$AA$53)&lt;=AsOfDate,EDATE($D90,Milestones!$AA$53)&gt;=SchemeStart,IF($X90=0,$AD90,IF(AND($Z90&lt;&gt;"",EDATE($D90,Milestones!$AA$53)&gt;=$Z90),$AC90,IF(AND($Y90&lt;&gt;"",EDATE($D90,Milestones!$AA$53)&gt;=$Y90),$AB90,$AA90)))=Milestones!$AB$53),UPPER(TEXT(EDATE($D90,Milestones!$AA$53),"dd mmm yy"))&amp;" "&amp;Milestones!$AB$53&amp;" "&amp;IF(AND(Milestones!$AB$53="FT",Milestones!$AA$53=FT_Y5,EDATE($D90,Milestones!$AA$53)&lt;PolicyEff),1,Milestones!$AC$53)&amp;";  ","")&amp;IF(AND(EDATE($D90,Milestones!$AA$54)&lt;=AsOfDate,EDATE($D90,Milestones!$AA$54)&gt;=SchemeStart,IF($X90=0,$AD90,IF(AND($Z90&lt;&gt;"",EDATE($D90,Milestones!$AA$54)&gt;=$Z90),$AC90,IF(AND($Y90&lt;&gt;"",EDATE($D90,Milestones!$AA$54)&gt;=$Y90),$AB90,$AA90)))=Milestones!$AB$54),UPPER(TEXT(EDATE($D90,Milestones!$AA$54),"dd mmm yy"))&amp;" "&amp;Milestones!$AB$54&amp;" "&amp;IF(AND(Milestones!$AB$54="FT",Milestones!$AA$54=FT_Y5,EDATE($D90,Milestones!$AA$54)&lt;PolicyEff),1,Milestones!$AC$54)&amp;";  ","")&amp;IF(AND(EDATE($D90,Milestones!$AA$55)&lt;=AsOfDate,EDATE($D90,Milestones!$AA$55)&gt;=SchemeStart,IF($X90=0,$AD90,IF(AND($Z90&lt;&gt;"",EDATE($D90,Milestones!$AA$55)&gt;=$Z90),$AC90,IF(AND($Y90&lt;&gt;"",EDATE($D90,Milestones!$AA$55)&gt;=$Y90),$AB90,$AA90)))=Milestones!$AB$55),UPPER(TEXT(EDATE($D90,Milestones!$AA$55),"dd mmm yy"))&amp;" "&amp;Milestones!$AB$55&amp;" "&amp;IF(AND(Milestones!$AB$55="FT",Milestones!$AA$55=FT_Y5,EDATE($D90,Milestones!$AA$55)&lt;PolicyEff),1,Milestones!$AC$55)&amp;";  ",""))</f>
        <v/>
      </c>
      <c r="L90" s="0" t="str">
        <f aca="false">IF(OR($A90="",$D90=""),"",IF(AND(EDATE($D90,Milestones!$AA$56)&lt;=AsOfDate,EDATE($D90,Milestones!$AA$56)&gt;=SchemeStart,IF($X90=0,$AD90,IF(AND($Z90&lt;&gt;"",EDATE($D90,Milestones!$AA$56)&gt;=$Z90),$AC90,IF(AND($Y90&lt;&gt;"",EDATE($D90,Milestones!$AA$56)&gt;=$Y90),$AB90,$AA90)))=Milestones!$AB$56),UPPER(TEXT(EDATE($D90,Milestones!$AA$56),"dd mmm yy"))&amp;" "&amp;Milestones!$AB$56&amp;" "&amp;IF(AND(Milestones!$AB$56="FT",Milestones!$AA$56=FT_Y5,EDATE($D90,Milestones!$AA$56)&lt;PolicyEff),1,Milestones!$AC$56)&amp;";  ","")&amp;IF(AND(EDATE($D90,Milestones!$AA$57)&lt;=AsOfDate,EDATE($D90,Milestones!$AA$57)&gt;=SchemeStart,IF($X90=0,$AD90,IF(AND($Z90&lt;&gt;"",EDATE($D90,Milestones!$AA$57)&gt;=$Z90),$AC90,IF(AND($Y90&lt;&gt;"",EDATE($D90,Milestones!$AA$57)&gt;=$Y90),$AB90,$AA90)))=Milestones!$AB$57),UPPER(TEXT(EDATE($D90,Milestones!$AA$57),"dd mmm yy"))&amp;" "&amp;Milestones!$AB$57&amp;" "&amp;IF(AND(Milestones!$AB$57="FT",Milestones!$AA$57=FT_Y5,EDATE($D90,Milestones!$AA$57)&lt;PolicyEff),1,Milestones!$AC$57)&amp;";  ","")&amp;IF(AND(EDATE($D90,Milestones!$AA$58)&lt;=AsOfDate,EDATE($D90,Milestones!$AA$58)&gt;=SchemeStart,IF($X90=0,$AD90,IF(AND($Z90&lt;&gt;"",EDATE($D90,Milestones!$AA$58)&gt;=$Z90),$AC90,IF(AND($Y90&lt;&gt;"",EDATE($D90,Milestones!$AA$58)&gt;=$Y90),$AB90,$AA90)))=Milestones!$AB$58),UPPER(TEXT(EDATE($D90,Milestones!$AA$58),"dd mmm yy"))&amp;" "&amp;Milestones!$AB$58&amp;" "&amp;IF(AND(Milestones!$AB$58="FT",Milestones!$AA$58=FT_Y5,EDATE($D90,Milestones!$AA$58)&lt;PolicyEff),1,Milestones!$AC$58)&amp;";  ","")&amp;IF(AND(EDATE($D90,Milestones!$AA$59)&lt;=AsOfDate,EDATE($D90,Milestones!$AA$59)&gt;=SchemeStart,IF($X90=0,$AD90,IF(AND($Z90&lt;&gt;"",EDATE($D90,Milestones!$AA$59)&gt;=$Z90),$AC90,IF(AND($Y90&lt;&gt;"",EDATE($D90,Milestones!$AA$59)&gt;=$Y90),$AB90,$AA90)))=Milestones!$AB$59),UPPER(TEXT(EDATE($D90,Milestones!$AA$59),"dd mmm yy"))&amp;" "&amp;Milestones!$AB$59&amp;" "&amp;IF(AND(Milestones!$AB$59="FT",Milestones!$AA$59=FT_Y5,EDATE($D90,Milestones!$AA$59)&lt;PolicyEff),1,Milestones!$AC$59)&amp;";  ","")&amp;IF(AND(EDATE($D90,Milestones!$AA$60)&lt;=AsOfDate,EDATE($D90,Milestones!$AA$60)&gt;=SchemeStart,IF($X90=0,$AD90,IF(AND($Z90&lt;&gt;"",EDATE($D90,Milestones!$AA$60)&gt;=$Z90),$AC90,IF(AND($Y90&lt;&gt;"",EDATE($D90,Milestones!$AA$60)&gt;=$Y90),$AB90,$AA90)))=Milestones!$AB$60),UPPER(TEXT(EDATE($D90,Milestones!$AA$60),"dd mmm yy"))&amp;" "&amp;Milestones!$AB$60&amp;" "&amp;IF(AND(Milestones!$AB$60="FT",Milestones!$AA$60=FT_Y5,EDATE($D90,Milestones!$AA$60)&lt;PolicyEff),1,Milestones!$AC$60)&amp;";  ","")&amp;IF(AND(EDATE($D90,Milestones!$AA$61)&lt;=AsOfDate,EDATE($D90,Milestones!$AA$61)&gt;=SchemeStart,IF($X90=0,$AD90,IF(AND($Z90&lt;&gt;"",EDATE($D90,Milestones!$AA$61)&gt;=$Z90),$AC90,IF(AND($Y90&lt;&gt;"",EDATE($D90,Milestones!$AA$61)&gt;=$Y90),$AB90,$AA90)))=Milestones!$AB$61),UPPER(TEXT(EDATE($D90,Milestones!$AA$61),"dd mmm yy"))&amp;" "&amp;Milestones!$AB$61&amp;" "&amp;IF(AND(Milestones!$AB$61="FT",Milestones!$AA$61=FT_Y5,EDATE($D90,Milestones!$AA$61)&lt;PolicyEff),1,Milestones!$AC$61)&amp;";  ","")&amp;IF(AND(EDATE($D90,Milestones!$AA$62)&lt;=AsOfDate,EDATE($D90,Milestones!$AA$62)&gt;=SchemeStart,IF($X90=0,$AD90,IF(AND($Z90&lt;&gt;"",EDATE($D90,Milestones!$AA$62)&gt;=$Z90),$AC90,IF(AND($Y90&lt;&gt;"",EDATE($D90,Milestones!$AA$62)&gt;=$Y90),$AB90,$AA90)))=Milestones!$AB$62),UPPER(TEXT(EDATE($D90,Milestones!$AA$62),"dd mmm yy"))&amp;" "&amp;Milestones!$AB$62&amp;" "&amp;IF(AND(Milestones!$AB$62="FT",Milestones!$AA$62=FT_Y5,EDATE($D90,Milestones!$AA$62)&lt;PolicyEff),1,Milestones!$AC$62)&amp;";  ","")&amp;IF(AND(EDATE($D90,Milestones!$AA$63)&lt;=AsOfDate,EDATE($D90,Milestones!$AA$63)&gt;=SchemeStart,IF($X90=0,$AD90,IF(AND($Z90&lt;&gt;"",EDATE($D90,Milestones!$AA$63)&gt;=$Z90),$AC90,IF(AND($Y90&lt;&gt;"",EDATE($D90,Milestones!$AA$63)&gt;=$Y90),$AB90,$AA90)))=Milestones!$AB$63),UPPER(TEXT(EDATE($D90,Milestones!$AA$63),"dd mmm yy"))&amp;" "&amp;Milestones!$AB$63&amp;" "&amp;IF(AND(Milestones!$AB$63="FT",Milestones!$AA$63=FT_Y5,EDATE($D90,Milestones!$AA$63)&lt;PolicyEff),1,Milestones!$AC$63)&amp;";  ","")&amp;IF(AND(EDATE($D90,Milestones!$AA$64)&lt;=AsOfDate,EDATE($D90,Milestones!$AA$64)&gt;=SchemeStart,IF($X90=0,$AD90,IF(AND($Z90&lt;&gt;"",EDATE($D90,Milestones!$AA$64)&gt;=$Z90),$AC90,IF(AND($Y90&lt;&gt;"",EDATE($D90,Milestones!$AA$64)&gt;=$Y90),$AB90,$AA90)))=Milestones!$AB$64),UPPER(TEXT(EDATE($D90,Milestones!$AA$64),"dd mmm yy"))&amp;" "&amp;Milestones!$AB$64&amp;" "&amp;IF(AND(Milestones!$AB$64="FT",Milestones!$AA$64=FT_Y5,EDATE($D90,Milestones!$AA$64)&lt;PolicyEff),1,Milestones!$AC$64)&amp;";  ","")&amp;IF(AND(EDATE($D90,Milestones!$AA$65)&lt;=AsOfDate,EDATE($D90,Milestones!$AA$65)&gt;=SchemeStart,IF($X90=0,$AD90,IF(AND($Z90&lt;&gt;"",EDATE($D90,Milestones!$AA$65)&gt;=$Z90),$AC90,IF(AND($Y90&lt;&gt;"",EDATE($D90,Milestones!$AA$65)&gt;=$Y90),$AB90,$AA90)))=Milestones!$AB$65),UPPER(TEXT(EDATE($D90,Milestones!$AA$65),"dd mmm yy"))&amp;" "&amp;Milestones!$AB$65&amp;" "&amp;IF(AND(Milestones!$AB$65="FT",Milestones!$AA$65=FT_Y5,EDATE($D90,Milestones!$AA$65)&lt;PolicyEff),1,Milestones!$AC$65)&amp;";  ","")&amp;IF(AND(EDATE($D90,Milestones!$AA$66)&lt;=AsOfDate,EDATE($D90,Milestones!$AA$66)&gt;=SchemeStart,IF($X90=0,$AD90,IF(AND($Z90&lt;&gt;"",EDATE($D90,Milestones!$AA$66)&gt;=$Z90),$AC90,IF(AND($Y90&lt;&gt;"",EDATE($D90,Milestones!$AA$66)&gt;=$Y90),$AB90,$AA90)))=Milestones!$AB$66),UPPER(TEXT(EDATE($D90,Milestones!$AA$66),"dd mmm yy"))&amp;" "&amp;Milestones!$AB$66&amp;" "&amp;IF(AND(Milestones!$AB$66="FT",Milestones!$AA$66=FT_Y5,EDATE($D90,Milestones!$AA$66)&lt;PolicyEff),1,Milestones!$AC$66)&amp;";  ","")&amp;IF(AND(EDATE($D90,Milestones!$AA$67)&lt;=AsOfDate,EDATE($D90,Milestones!$AA$67)&gt;=SchemeStart,IF($X90=0,$AD90,IF(AND($Z90&lt;&gt;"",EDATE($D90,Milestones!$AA$67)&gt;=$Z90),$AC90,IF(AND($Y90&lt;&gt;"",EDATE($D90,Milestones!$AA$67)&gt;=$Y90),$AB90,$AA90)))=Milestones!$AB$67),UPPER(TEXT(EDATE($D90,Milestones!$AA$67),"dd mmm yy"))&amp;" "&amp;Milestones!$AB$67&amp;" "&amp;IF(AND(Milestones!$AB$67="FT",Milestones!$AA$67=FT_Y5,EDATE($D90,Milestones!$AA$67)&lt;PolicyEff),1,Milestones!$AC$67)&amp;";  ",""))</f>
        <v/>
      </c>
      <c r="M90" s="0" t="str">
        <f aca="false">IF(OR($A90="",$D90=""),"",IF(AND(EDATE($D90,Milestones!$AA$68)&lt;=AsOfDate,EDATE($D90,Milestones!$AA$68)&gt;=SchemeStart,IF($X90=0,$AD90,IF(AND($Z90&lt;&gt;"",EDATE($D90,Milestones!$AA$68)&gt;=$Z90),$AC90,IF(AND($Y90&lt;&gt;"",EDATE($D90,Milestones!$AA$68)&gt;=$Y90),$AB90,$AA90)))=Milestones!$AB$68),UPPER(TEXT(EDATE($D90,Milestones!$AA$68),"dd mmm yy"))&amp;" "&amp;Milestones!$AB$68&amp;" "&amp;IF(AND(Milestones!$AB$68="FT",Milestones!$AA$68=FT_Y5,EDATE($D90,Milestones!$AA$68)&lt;PolicyEff),1,Milestones!$AC$68)&amp;";  ","")&amp;IF(AND(EDATE($D90,Milestones!$AA$69)&lt;=AsOfDate,EDATE($D90,Milestones!$AA$69)&gt;=SchemeStart,IF($X90=0,$AD90,IF(AND($Z90&lt;&gt;"",EDATE($D90,Milestones!$AA$69)&gt;=$Z90),$AC90,IF(AND($Y90&lt;&gt;"",EDATE($D90,Milestones!$AA$69)&gt;=$Y90),$AB90,$AA90)))=Milestones!$AB$69),UPPER(TEXT(EDATE($D90,Milestones!$AA$69),"dd mmm yy"))&amp;" "&amp;Milestones!$AB$69&amp;" "&amp;IF(AND(Milestones!$AB$69="FT",Milestones!$AA$69=FT_Y5,EDATE($D90,Milestones!$AA$69)&lt;PolicyEff),1,Milestones!$AC$69)&amp;";  ","")&amp;IF(AND(EDATE($D90,Milestones!$AA$70)&lt;=AsOfDate,EDATE($D90,Milestones!$AA$70)&gt;=SchemeStart,IF($X90=0,$AD90,IF(AND($Z90&lt;&gt;"",EDATE($D90,Milestones!$AA$70)&gt;=$Z90),$AC90,IF(AND($Y90&lt;&gt;"",EDATE($D90,Milestones!$AA$70)&gt;=$Y90),$AB90,$AA90)))=Milestones!$AB$70),UPPER(TEXT(EDATE($D90,Milestones!$AA$70),"dd mmm yy"))&amp;" "&amp;Milestones!$AB$70&amp;" "&amp;IF(AND(Milestones!$AB$70="FT",Milestones!$AA$70=FT_Y5,EDATE($D90,Milestones!$AA$70)&lt;PolicyEff),1,Milestones!$AC$70)&amp;";  ","")&amp;IF(AND(EDATE($D90,Milestones!$AA$71)&lt;=AsOfDate,EDATE($D90,Milestones!$AA$71)&gt;=SchemeStart,IF($X90=0,$AD90,IF(AND($Z90&lt;&gt;"",EDATE($D90,Milestones!$AA$71)&gt;=$Z90),$AC90,IF(AND($Y90&lt;&gt;"",EDATE($D90,Milestones!$AA$71)&gt;=$Y90),$AB90,$AA90)))=Milestones!$AB$71),UPPER(TEXT(EDATE($D90,Milestones!$AA$71),"dd mmm yy"))&amp;" "&amp;Milestones!$AB$71&amp;" "&amp;IF(AND(Milestones!$AB$71="FT",Milestones!$AA$71=FT_Y5,EDATE($D90,Milestones!$AA$71)&lt;PolicyEff),1,Milestones!$AC$71)&amp;";  ","")&amp;IF(AND(EDATE($D90,Milestones!$AA$72)&lt;=AsOfDate,EDATE($D90,Milestones!$AA$72)&gt;=SchemeStart,IF($X90=0,$AD90,IF(AND($Z90&lt;&gt;"",EDATE($D90,Milestones!$AA$72)&gt;=$Z90),$AC90,IF(AND($Y90&lt;&gt;"",EDATE($D90,Milestones!$AA$72)&gt;=$Y90),$AB90,$AA90)))=Milestones!$AB$72),UPPER(TEXT(EDATE($D90,Milestones!$AA$72),"dd mmm yy"))&amp;" "&amp;Milestones!$AB$72&amp;" "&amp;IF(AND(Milestones!$AB$72="FT",Milestones!$AA$72=FT_Y5,EDATE($D90,Milestones!$AA$72)&lt;PolicyEff),1,Milestones!$AC$72)&amp;";  ","")&amp;IF(AND(EDATE($D90,Milestones!$AA$73)&lt;=AsOfDate,EDATE($D90,Milestones!$AA$73)&gt;=SchemeStart,IF($X90=0,$AD90,IF(AND($Z90&lt;&gt;"",EDATE($D90,Milestones!$AA$73)&gt;=$Z90),$AC90,IF(AND($Y90&lt;&gt;"",EDATE($D90,Milestones!$AA$73)&gt;=$Y90),$AB90,$AA90)))=Milestones!$AB$73),UPPER(TEXT(EDATE($D90,Milestones!$AA$73),"dd mmm yy"))&amp;" "&amp;Milestones!$AB$73&amp;" "&amp;IF(AND(Milestones!$AB$73="FT",Milestones!$AA$73=FT_Y5,EDATE($D90,Milestones!$AA$73)&lt;PolicyEff),1,Milestones!$AC$73)&amp;";  ","")&amp;IF(AND(EDATE($D90,Milestones!$AA$74)&lt;=AsOfDate,EDATE($D90,Milestones!$AA$74)&gt;=SchemeStart,IF($X90=0,$AD90,IF(AND($Z90&lt;&gt;"",EDATE($D90,Milestones!$AA$74)&gt;=$Z90),$AC90,IF(AND($Y90&lt;&gt;"",EDATE($D90,Milestones!$AA$74)&gt;=$Y90),$AB90,$AA90)))=Milestones!$AB$74),UPPER(TEXT(EDATE($D90,Milestones!$AA$74),"dd mmm yy"))&amp;" "&amp;Milestones!$AB$74&amp;" "&amp;IF(AND(Milestones!$AB$74="FT",Milestones!$AA$74=FT_Y5,EDATE($D90,Milestones!$AA$74)&lt;PolicyEff),1,Milestones!$AC$74)&amp;";  ","")&amp;IF(AND(EDATE($D90,Milestones!$AA$75)&lt;=AsOfDate,EDATE($D90,Milestones!$AA$75)&gt;=SchemeStart,IF($X90=0,$AD90,IF(AND($Z90&lt;&gt;"",EDATE($D90,Milestones!$AA$75)&gt;=$Z90),$AC90,IF(AND($Y90&lt;&gt;"",EDATE($D90,Milestones!$AA$75)&gt;=$Y90),$AB90,$AA90)))=Milestones!$AB$75),UPPER(TEXT(EDATE($D90,Milestones!$AA$75),"dd mmm yy"))&amp;" "&amp;Milestones!$AB$75&amp;" "&amp;IF(AND(Milestones!$AB$75="FT",Milestones!$AA$75=FT_Y5,EDATE($D90,Milestones!$AA$75)&lt;PolicyEff),1,Milestones!$AC$75)&amp;";  ","")&amp;IF(AND(EDATE($D90,Milestones!$AA$76)&lt;=AsOfDate,EDATE($D90,Milestones!$AA$76)&gt;=SchemeStart,IF($X90=0,$AD90,IF(AND($Z90&lt;&gt;"",EDATE($D90,Milestones!$AA$76)&gt;=$Z90),$AC90,IF(AND($Y90&lt;&gt;"",EDATE($D90,Milestones!$AA$76)&gt;=$Y90),$AB90,$AA90)))=Milestones!$AB$76),UPPER(TEXT(EDATE($D90,Milestones!$AA$76),"dd mmm yy"))&amp;" "&amp;Milestones!$AB$76&amp;" "&amp;IF(AND(Milestones!$AB$76="FT",Milestones!$AA$76=FT_Y5,EDATE($D90,Milestones!$AA$76)&lt;PolicyEff),1,Milestones!$AC$76)&amp;";  ","")&amp;IF(AND(EDATE($D90,Milestones!$AA$77)&lt;=AsOfDate,EDATE($D90,Milestones!$AA$77)&gt;=SchemeStart,IF($X90=0,$AD90,IF(AND($Z90&lt;&gt;"",EDATE($D90,Milestones!$AA$77)&gt;=$Z90),$AC90,IF(AND($Y90&lt;&gt;"",EDATE($D90,Milestones!$AA$77)&gt;=$Y90),$AB90,$AA90)))=Milestones!$AB$77),UPPER(TEXT(EDATE($D90,Milestones!$AA$77),"dd mmm yy"))&amp;" "&amp;Milestones!$AB$77&amp;" "&amp;IF(AND(Milestones!$AB$77="FT",Milestones!$AA$77=FT_Y5,EDATE($D90,Milestones!$AA$77)&lt;PolicyEff),1,Milestones!$AC$77)&amp;";  ","")&amp;IF(AND(EDATE($D90,Milestones!$AA$78)&lt;=AsOfDate,EDATE($D90,Milestones!$AA$78)&gt;=SchemeStart,IF($X90=0,$AD90,IF(AND($Z90&lt;&gt;"",EDATE($D90,Milestones!$AA$78)&gt;=$Z90),$AC90,IF(AND($Y90&lt;&gt;"",EDATE($D90,Milestones!$AA$78)&gt;=$Y90),$AB90,$AA90)))=Milestones!$AB$78),UPPER(TEXT(EDATE($D90,Milestones!$AA$78),"dd mmm yy"))&amp;" "&amp;Milestones!$AB$78&amp;" "&amp;IF(AND(Milestones!$AB$78="FT",Milestones!$AA$78=FT_Y5,EDATE($D90,Milestones!$AA$78)&lt;PolicyEff),1,Milestones!$AC$78)&amp;";  ","")&amp;IF(AND(EDATE($D90,Milestones!$AA$79)&lt;=AsOfDate,EDATE($D90,Milestones!$AA$79)&gt;=SchemeStart,IF($X90=0,$AD90,IF(AND($Z90&lt;&gt;"",EDATE($D90,Milestones!$AA$79)&gt;=$Z90),$AC90,IF(AND($Y90&lt;&gt;"",EDATE($D90,Milestones!$AA$79)&gt;=$Y90),$AB90,$AA90)))=Milestones!$AB$79),UPPER(TEXT(EDATE($D90,Milestones!$AA$79),"dd mmm yy"))&amp;" "&amp;Milestones!$AB$79&amp;" "&amp;IF(AND(Milestones!$AB$79="FT",Milestones!$AA$79=FT_Y5,EDATE($D90,Milestones!$AA$79)&lt;PolicyEff),1,Milestones!$AC$79)&amp;";  ",""))</f>
        <v/>
      </c>
      <c r="N90" s="0" t="str">
        <f aca="false">IF(OR($A90="",$D90=""),"",IF(AND(EDATE($D90,Milestones!$AA$80)&lt;=AsOfDate,EDATE($D90,Milestones!$AA$80)&gt;=SchemeStart,IF($X90=0,$AD90,IF(AND($Z90&lt;&gt;"",EDATE($D90,Milestones!$AA$80)&gt;=$Z90),$AC90,IF(AND($Y90&lt;&gt;"",EDATE($D90,Milestones!$AA$80)&gt;=$Y90),$AB90,$AA90)))=Milestones!$AB$80),UPPER(TEXT(EDATE($D90,Milestones!$AA$80),"dd mmm yy"))&amp;" "&amp;Milestones!$AB$80&amp;" "&amp;IF(AND(Milestones!$AB$80="FT",Milestones!$AA$80=FT_Y5,EDATE($D90,Milestones!$AA$80)&lt;PolicyEff),1,Milestones!$AC$80)&amp;";  ","")&amp;IF(AND(EDATE($D90,Milestones!$AA$81)&lt;=AsOfDate,EDATE($D90,Milestones!$AA$81)&gt;=SchemeStart,IF($X90=0,$AD90,IF(AND($Z90&lt;&gt;"",EDATE($D90,Milestones!$AA$81)&gt;=$Z90),$AC90,IF(AND($Y90&lt;&gt;"",EDATE($D90,Milestones!$AA$81)&gt;=$Y90),$AB90,$AA90)))=Milestones!$AB$81),UPPER(TEXT(EDATE($D90,Milestones!$AA$81),"dd mmm yy"))&amp;" "&amp;Milestones!$AB$81&amp;" "&amp;IF(AND(Milestones!$AB$81="FT",Milestones!$AA$81=FT_Y5,EDATE($D90,Milestones!$AA$81)&lt;PolicyEff),1,Milestones!$AC$81)&amp;";  ","")&amp;IF(AND(EDATE($D90,Milestones!$AA$82)&lt;=AsOfDate,EDATE($D90,Milestones!$AA$82)&gt;=SchemeStart,IF($X90=0,$AD90,IF(AND($Z90&lt;&gt;"",EDATE($D90,Milestones!$AA$82)&gt;=$Z90),$AC90,IF(AND($Y90&lt;&gt;"",EDATE($D90,Milestones!$AA$82)&gt;=$Y90),$AB90,$AA90)))=Milestones!$AB$82),UPPER(TEXT(EDATE($D90,Milestones!$AA$82),"dd mmm yy"))&amp;" "&amp;Milestones!$AB$82&amp;" "&amp;IF(AND(Milestones!$AB$82="FT",Milestones!$AA$82=FT_Y5,EDATE($D90,Milestones!$AA$82)&lt;PolicyEff),1,Milestones!$AC$82)&amp;";  ","")&amp;IF(AND(EDATE($D90,Milestones!$AA$83)&lt;=AsOfDate,EDATE($D90,Milestones!$AA$83)&gt;=SchemeStart,IF($X90=0,$AD90,IF(AND($Z90&lt;&gt;"",EDATE($D90,Milestones!$AA$83)&gt;=$Z90),$AC90,IF(AND($Y90&lt;&gt;"",EDATE($D90,Milestones!$AA$83)&gt;=$Y90),$AB90,$AA90)))=Milestones!$AB$83),UPPER(TEXT(EDATE($D90,Milestones!$AA$83),"dd mmm yy"))&amp;" "&amp;Milestones!$AB$83&amp;" "&amp;IF(AND(Milestones!$AB$83="FT",Milestones!$AA$83=FT_Y5,EDATE($D90,Milestones!$AA$83)&lt;PolicyEff),1,Milestones!$AC$83)&amp;";  ","")&amp;IF(AND(EDATE($D90,Milestones!$AA$84)&lt;=AsOfDate,EDATE($D90,Milestones!$AA$84)&gt;=SchemeStart,IF($X90=0,$AD90,IF(AND($Z90&lt;&gt;"",EDATE($D90,Milestones!$AA$84)&gt;=$Z90),$AC90,IF(AND($Y90&lt;&gt;"",EDATE($D90,Milestones!$AA$84)&gt;=$Y90),$AB90,$AA90)))=Milestones!$AB$84),UPPER(TEXT(EDATE($D90,Milestones!$AA$84),"dd mmm yy"))&amp;" "&amp;Milestones!$AB$84&amp;" "&amp;IF(AND(Milestones!$AB$84="FT",Milestones!$AA$84=FT_Y5,EDATE($D90,Milestones!$AA$84)&lt;PolicyEff),1,Milestones!$AC$84)&amp;";  ","")&amp;IF(AND(EDATE($D90,Milestones!$AA$85)&lt;=AsOfDate,EDATE($D90,Milestones!$AA$85)&gt;=SchemeStart,IF($X90=0,$AD90,IF(AND($Z90&lt;&gt;"",EDATE($D90,Milestones!$AA$85)&gt;=$Z90),$AC90,IF(AND($Y90&lt;&gt;"",EDATE($D90,Milestones!$AA$85)&gt;=$Y90),$AB90,$AA90)))=Milestones!$AB$85),UPPER(TEXT(EDATE($D90,Milestones!$AA$85),"dd mmm yy"))&amp;" "&amp;Milestones!$AB$85&amp;" "&amp;IF(AND(Milestones!$AB$85="FT",Milestones!$AA$85=FT_Y5,EDATE($D90,Milestones!$AA$85)&lt;PolicyEff),1,Milestones!$AC$85)&amp;";  ","")&amp;IF(AND(EDATE($D90,Milestones!$AA$86)&lt;=AsOfDate,EDATE($D90,Milestones!$AA$86)&gt;=SchemeStart,IF($X90=0,$AD90,IF(AND($Z90&lt;&gt;"",EDATE($D90,Milestones!$AA$86)&gt;=$Z90),$AC90,IF(AND($Y90&lt;&gt;"",EDATE($D90,Milestones!$AA$86)&gt;=$Y90),$AB90,$AA90)))=Milestones!$AB$86),UPPER(TEXT(EDATE($D90,Milestones!$AA$86),"dd mmm yy"))&amp;" "&amp;Milestones!$AB$86&amp;" "&amp;IF(AND(Milestones!$AB$86="FT",Milestones!$AA$86=FT_Y5,EDATE($D90,Milestones!$AA$86)&lt;PolicyEff),1,Milestones!$AC$86)&amp;";  ","")&amp;IF(AND(EDATE($D90,Milestones!$AA$87)&lt;=AsOfDate,EDATE($D90,Milestones!$AA$87)&gt;=SchemeStart,IF($X90=0,$AD90,IF(AND($Z90&lt;&gt;"",EDATE($D90,Milestones!$AA$87)&gt;=$Z90),$AC90,IF(AND($Y90&lt;&gt;"",EDATE($D90,Milestones!$AA$87)&gt;=$Y90),$AB90,$AA90)))=Milestones!$AB$87),UPPER(TEXT(EDATE($D90,Milestones!$AA$87),"dd mmm yy"))&amp;" "&amp;Milestones!$AB$87&amp;" "&amp;IF(AND(Milestones!$AB$87="FT",Milestones!$AA$87=FT_Y5,EDATE($D90,Milestones!$AA$87)&lt;PolicyEff),1,Milestones!$AC$87)&amp;";  ","")&amp;IF(AND(EDATE($D90,Milestones!$AA$88)&lt;=AsOfDate,EDATE($D90,Milestones!$AA$88)&gt;=SchemeStart,IF($X90=0,$AD90,IF(AND($Z90&lt;&gt;"",EDATE($D90,Milestones!$AA$88)&gt;=$Z90),$AC90,IF(AND($Y90&lt;&gt;"",EDATE($D90,Milestones!$AA$88)&gt;=$Y90),$AB90,$AA90)))=Milestones!$AB$88),UPPER(TEXT(EDATE($D90,Milestones!$AA$88),"dd mmm yy"))&amp;" "&amp;Milestones!$AB$88&amp;" "&amp;IF(AND(Milestones!$AB$88="FT",Milestones!$AA$88=FT_Y5,EDATE($D90,Milestones!$AA$88)&lt;PolicyEff),1,Milestones!$AC$88)&amp;";  ","")&amp;IF(AND(EDATE($D90,Milestones!$AA$89)&lt;=AsOfDate,EDATE($D90,Milestones!$AA$89)&gt;=SchemeStart,IF($X90=0,$AD90,IF(AND($Z90&lt;&gt;"",EDATE($D90,Milestones!$AA$89)&gt;=$Z90),$AC90,IF(AND($Y90&lt;&gt;"",EDATE($D90,Milestones!$AA$89)&gt;=$Y90),$AB90,$AA90)))=Milestones!$AB$89),UPPER(TEXT(EDATE($D90,Milestones!$AA$89),"dd mmm yy"))&amp;" "&amp;Milestones!$AB$89&amp;" "&amp;IF(AND(Milestones!$AB$89="FT",Milestones!$AA$89=FT_Y5,EDATE($D90,Milestones!$AA$89)&lt;PolicyEff),1,Milestones!$AC$89)&amp;";  ","")&amp;IF(AND(EDATE($D90,Milestones!$AA$90)&lt;=AsOfDate,EDATE($D90,Milestones!$AA$90)&gt;=SchemeStart,IF($X90=0,$AD90,IF(AND($Z90&lt;&gt;"",EDATE($D90,Milestones!$AA$90)&gt;=$Z90),$AC90,IF(AND($Y90&lt;&gt;"",EDATE($D90,Milestones!$AA$90)&gt;=$Y90),$AB90,$AA90)))=Milestones!$AB$90),UPPER(TEXT(EDATE($D90,Milestones!$AA$90),"dd mmm yy"))&amp;" "&amp;Milestones!$AB$90&amp;" "&amp;IF(AND(Milestones!$AB$90="FT",Milestones!$AA$90=FT_Y5,EDATE($D90,Milestones!$AA$90)&lt;PolicyEff),1,Milestones!$AC$90)&amp;";  ","")&amp;IF(AND(EDATE($D90,Milestones!$AA$91)&lt;=AsOfDate,EDATE($D90,Milestones!$AA$91)&gt;=SchemeStart,IF($X90=0,$AD90,IF(AND($Z90&lt;&gt;"",EDATE($D90,Milestones!$AA$91)&gt;=$Z90),$AC90,IF(AND($Y90&lt;&gt;"",EDATE($D90,Milestones!$AA$91)&gt;=$Y90),$AB90,$AA90)))=Milestones!$AB$91),UPPER(TEXT(EDATE($D90,Milestones!$AA$91),"dd mmm yy"))&amp;" "&amp;Milestones!$AB$91&amp;" "&amp;IF(AND(Milestones!$AB$91="FT",Milestones!$AA$91=FT_Y5,EDATE($D90,Milestones!$AA$91)&lt;PolicyEff),1,Milestones!$AC$91)&amp;";  ",""))</f>
        <v/>
      </c>
      <c r="O90" s="0" t="str">
        <f aca="false">IF(OR($A90="",$D90=""),"",IF(AND(EDATE($D90,Milestones!$AA$92)&lt;=AsOfDate,EDATE($D90,Milestones!$AA$92)&gt;=SchemeStart,IF($X90=0,$AD90,IF(AND($Z90&lt;&gt;"",EDATE($D90,Milestones!$AA$92)&gt;=$Z90),$AC90,IF(AND($Y90&lt;&gt;"",EDATE($D90,Milestones!$AA$92)&gt;=$Y90),$AB90,$AA90)))=Milestones!$AB$92),UPPER(TEXT(EDATE($D90,Milestones!$AA$92),"dd mmm yy"))&amp;" "&amp;Milestones!$AB$92&amp;" "&amp;IF(AND(Milestones!$AB$92="FT",Milestones!$AA$92=FT_Y5,EDATE($D90,Milestones!$AA$92)&lt;PolicyEff),1,Milestones!$AC$92)&amp;";  ","")&amp;IF(AND(EDATE($D90,Milestones!$AA$93)&lt;=AsOfDate,EDATE($D90,Milestones!$AA$93)&gt;=SchemeStart,IF($X90=0,$AD90,IF(AND($Z90&lt;&gt;"",EDATE($D90,Milestones!$AA$93)&gt;=$Z90),$AC90,IF(AND($Y90&lt;&gt;"",EDATE($D90,Milestones!$AA$93)&gt;=$Y90),$AB90,$AA90)))=Milestones!$AB$93),UPPER(TEXT(EDATE($D90,Milestones!$AA$93),"dd mmm yy"))&amp;" "&amp;Milestones!$AB$93&amp;" "&amp;IF(AND(Milestones!$AB$93="FT",Milestones!$AA$93=FT_Y5,EDATE($D90,Milestones!$AA$93)&lt;PolicyEff),1,Milestones!$AC$93)&amp;";  ","")&amp;IF(AND(EDATE($D90,Milestones!$AA$94)&lt;=AsOfDate,EDATE($D90,Milestones!$AA$94)&gt;=SchemeStart,IF($X90=0,$AD90,IF(AND($Z90&lt;&gt;"",EDATE($D90,Milestones!$AA$94)&gt;=$Z90),$AC90,IF(AND($Y90&lt;&gt;"",EDATE($D90,Milestones!$AA$94)&gt;=$Y90),$AB90,$AA90)))=Milestones!$AB$94),UPPER(TEXT(EDATE($D90,Milestones!$AA$94),"dd mmm yy"))&amp;" "&amp;Milestones!$AB$94&amp;" "&amp;IF(AND(Milestones!$AB$94="FT",Milestones!$AA$94=FT_Y5,EDATE($D90,Milestones!$AA$94)&lt;PolicyEff),1,Milestones!$AC$94)&amp;";  ","")&amp;IF(AND(EDATE($D90,Milestones!$AA$95)&lt;=AsOfDate,EDATE($D90,Milestones!$AA$95)&gt;=SchemeStart,IF($X90=0,$AD90,IF(AND($Z90&lt;&gt;"",EDATE($D90,Milestones!$AA$95)&gt;=$Z90),$AC90,IF(AND($Y90&lt;&gt;"",EDATE($D90,Milestones!$AA$95)&gt;=$Y90),$AB90,$AA90)))=Milestones!$AB$95),UPPER(TEXT(EDATE($D90,Milestones!$AA$95),"dd mmm yy"))&amp;" "&amp;Milestones!$AB$95&amp;" "&amp;IF(AND(Milestones!$AB$95="FT",Milestones!$AA$95=FT_Y5,EDATE($D90,Milestones!$AA$95)&lt;PolicyEff),1,Milestones!$AC$95)&amp;";  ","")&amp;IF(AND(EDATE($D90,Milestones!$AA$96)&lt;=AsOfDate,EDATE($D90,Milestones!$AA$96)&gt;=SchemeStart,IF($X90=0,$AD90,IF(AND($Z90&lt;&gt;"",EDATE($D90,Milestones!$AA$96)&gt;=$Z90),$AC90,IF(AND($Y90&lt;&gt;"",EDATE($D90,Milestones!$AA$96)&gt;=$Y90),$AB90,$AA90)))=Milestones!$AB$96),UPPER(TEXT(EDATE($D90,Milestones!$AA$96),"dd mmm yy"))&amp;" "&amp;Milestones!$AB$96&amp;" "&amp;IF(AND(Milestones!$AB$96="FT",Milestones!$AA$96=FT_Y5,EDATE($D90,Milestones!$AA$96)&lt;PolicyEff),1,Milestones!$AC$96)&amp;";  ","")&amp;IF(AND(EDATE($D90,Milestones!$AA$97)&lt;=AsOfDate,EDATE($D90,Milestones!$AA$97)&gt;=SchemeStart,IF($X90=0,$AD90,IF(AND($Z90&lt;&gt;"",EDATE($D90,Milestones!$AA$97)&gt;=$Z90),$AC90,IF(AND($Y90&lt;&gt;"",EDATE($D90,Milestones!$AA$97)&gt;=$Y90),$AB90,$AA90)))=Milestones!$AB$97),UPPER(TEXT(EDATE($D90,Milestones!$AA$97),"dd mmm yy"))&amp;" "&amp;Milestones!$AB$97&amp;" "&amp;IF(AND(Milestones!$AB$97="FT",Milestones!$AA$97=FT_Y5,EDATE($D90,Milestones!$AA$97)&lt;PolicyEff),1,Milestones!$AC$97)&amp;";  ","")&amp;IF(AND(EDATE($D90,Milestones!$AA$98)&lt;=AsOfDate,EDATE($D90,Milestones!$AA$98)&gt;=SchemeStart,IF($X90=0,$AD90,IF(AND($Z90&lt;&gt;"",EDATE($D90,Milestones!$AA$98)&gt;=$Z90),$AC90,IF(AND($Y90&lt;&gt;"",EDATE($D90,Milestones!$AA$98)&gt;=$Y90),$AB90,$AA90)))=Milestones!$AB$98),UPPER(TEXT(EDATE($D90,Milestones!$AA$98),"dd mmm yy"))&amp;" "&amp;Milestones!$AB$98&amp;" "&amp;IF(AND(Milestones!$AB$98="FT",Milestones!$AA$98=FT_Y5,EDATE($D90,Milestones!$AA$98)&lt;PolicyEff),1,Milestones!$AC$98)&amp;";  ","")&amp;IF(AND(EDATE($D90,Milestones!$AA$99)&lt;=AsOfDate,EDATE($D90,Milestones!$AA$99)&gt;=SchemeStart,IF($X90=0,$AD90,IF(AND($Z90&lt;&gt;"",EDATE($D90,Milestones!$AA$99)&gt;=$Z90),$AC90,IF(AND($Y90&lt;&gt;"",EDATE($D90,Milestones!$AA$99)&gt;=$Y90),$AB90,$AA90)))=Milestones!$AB$99),UPPER(TEXT(EDATE($D90,Milestones!$AA$99),"dd mmm yy"))&amp;" "&amp;Milestones!$AB$99&amp;" "&amp;IF(AND(Milestones!$AB$99="FT",Milestones!$AA$99=FT_Y5,EDATE($D90,Milestones!$AA$99)&lt;PolicyEff),1,Milestones!$AC$99)&amp;";  ","")&amp;IF(AND(EDATE($D90,Milestones!$AA$100)&lt;=AsOfDate,EDATE($D90,Milestones!$AA$100)&gt;=SchemeStart,IF($X90=0,$AD90,IF(AND($Z90&lt;&gt;"",EDATE($D90,Milestones!$AA$100)&gt;=$Z90),$AC90,IF(AND($Y90&lt;&gt;"",EDATE($D90,Milestones!$AA$100)&gt;=$Y90),$AB90,$AA90)))=Milestones!$AB$100),UPPER(TEXT(EDATE($D90,Milestones!$AA$100),"dd mmm yy"))&amp;" "&amp;Milestones!$AB$100&amp;" "&amp;IF(AND(Milestones!$AB$100="FT",Milestones!$AA$100=FT_Y5,EDATE($D90,Milestones!$AA$100)&lt;PolicyEff),1,Milestones!$AC$100)&amp;";  ","")&amp;IF(AND(EDATE($D90,Milestones!$AA$101)&lt;=AsOfDate,EDATE($D90,Milestones!$AA$101)&gt;=SchemeStart,IF($X90=0,$AD90,IF(AND($Z90&lt;&gt;"",EDATE($D90,Milestones!$AA$101)&gt;=$Z90),$AC90,IF(AND($Y90&lt;&gt;"",EDATE($D90,Milestones!$AA$101)&gt;=$Y90),$AB90,$AA90)))=Milestones!$AB$101),UPPER(TEXT(EDATE($D90,Milestones!$AA$101),"dd mmm yy"))&amp;" "&amp;Milestones!$AB$101&amp;" "&amp;IF(AND(Milestones!$AB$101="FT",Milestones!$AA$101=FT_Y5,EDATE($D90,Milestones!$AA$101)&lt;PolicyEff),1,Milestones!$AC$101)&amp;";  ","")&amp;IF(AND(EDATE($D90,Milestones!$AA$102)&lt;=AsOfDate,EDATE($D90,Milestones!$AA$102)&gt;=SchemeStart,IF($X90=0,$AD90,IF(AND($Z90&lt;&gt;"",EDATE($D90,Milestones!$AA$102)&gt;=$Z90),$AC90,IF(AND($Y90&lt;&gt;"",EDATE($D90,Milestones!$AA$102)&gt;=$Y90),$AB90,$AA90)))=Milestones!$AB$102),UPPER(TEXT(EDATE($D90,Milestones!$AA$102),"dd mmm yy"))&amp;" "&amp;Milestones!$AB$102&amp;" "&amp;IF(AND(Milestones!$AB$102="FT",Milestones!$AA$102=FT_Y5,EDATE($D90,Milestones!$AA$102)&lt;PolicyEff),1,Milestones!$AC$102)&amp;";  ","")&amp;IF(AND(EDATE($D90,Milestones!$AA$103)&lt;=AsOfDate,EDATE($D90,Milestones!$AA$103)&gt;=SchemeStart,IF($X90=0,$AD90,IF(AND($Z90&lt;&gt;"",EDATE($D90,Milestones!$AA$103)&gt;=$Z90),$AC90,IF(AND($Y90&lt;&gt;"",EDATE($D90,Milestones!$AA$103)&gt;=$Y90),$AB90,$AA90)))=Milestones!$AB$103),UPPER(TEXT(EDATE($D90,Milestones!$AA$103),"dd mmm yy"))&amp;" "&amp;Milestones!$AB$103&amp;" "&amp;IF(AND(Milestones!$AB$103="FT",Milestones!$AA$103=FT_Y5,EDATE($D90,Milestones!$AA$103)&lt;PolicyEff),1,Milestones!$AC$103)&amp;";  ",""))</f>
        <v/>
      </c>
      <c r="P90" s="0" t="str">
        <f aca="false">IF(OR($A90="",$D90=""),"",IF(AND(EDATE($D90,Milestones!$AA$104)&lt;=AsOfDate,EDATE($D90,Milestones!$AA$104)&gt;=SchemeStart,IF($X90=0,$AD90,IF(AND($Z90&lt;&gt;"",EDATE($D90,Milestones!$AA$104)&gt;=$Z90),$AC90,IF(AND($Y90&lt;&gt;"",EDATE($D90,Milestones!$AA$104)&gt;=$Y90),$AB90,$AA90)))=Milestones!$AB$104),UPPER(TEXT(EDATE($D90,Milestones!$AA$104),"dd mmm yy"))&amp;" "&amp;Milestones!$AB$104&amp;" "&amp;IF(AND(Milestones!$AB$104="FT",Milestones!$AA$104=FT_Y5,EDATE($D90,Milestones!$AA$104)&lt;PolicyEff),1,Milestones!$AC$104)&amp;";  ","")&amp;IF(AND(EDATE($D90,Milestones!$AA$105)&lt;=AsOfDate,EDATE($D90,Milestones!$AA$105)&gt;=SchemeStart,IF($X90=0,$AD90,IF(AND($Z90&lt;&gt;"",EDATE($D90,Milestones!$AA$105)&gt;=$Z90),$AC90,IF(AND($Y90&lt;&gt;"",EDATE($D90,Milestones!$AA$105)&gt;=$Y90),$AB90,$AA90)))=Milestones!$AB$105),UPPER(TEXT(EDATE($D90,Milestones!$AA$105),"dd mmm yy"))&amp;" "&amp;Milestones!$AB$105&amp;" "&amp;IF(AND(Milestones!$AB$105="FT",Milestones!$AA$105=FT_Y5,EDATE($D90,Milestones!$AA$105)&lt;PolicyEff),1,Milestones!$AC$105)&amp;";  ","")&amp;IF(AND(EDATE($D90,Milestones!$AA$106)&lt;=AsOfDate,EDATE($D90,Milestones!$AA$106)&gt;=SchemeStart,IF($X90=0,$AD90,IF(AND($Z90&lt;&gt;"",EDATE($D90,Milestones!$AA$106)&gt;=$Z90),$AC90,IF(AND($Y90&lt;&gt;"",EDATE($D90,Milestones!$AA$106)&gt;=$Y90),$AB90,$AA90)))=Milestones!$AB$106),UPPER(TEXT(EDATE($D90,Milestones!$AA$106),"dd mmm yy"))&amp;" "&amp;Milestones!$AB$106&amp;" "&amp;IF(AND(Milestones!$AB$106="FT",Milestones!$AA$106=FT_Y5,EDATE($D90,Milestones!$AA$106)&lt;PolicyEff),1,Milestones!$AC$106)&amp;";  ","")&amp;IF(AND(EDATE($D90,Milestones!$AA$107)&lt;=AsOfDate,EDATE($D90,Milestones!$AA$107)&gt;=SchemeStart,IF($X90=0,$AD90,IF(AND($Z90&lt;&gt;"",EDATE($D90,Milestones!$AA$107)&gt;=$Z90),$AC90,IF(AND($Y90&lt;&gt;"",EDATE($D90,Milestones!$AA$107)&gt;=$Y90),$AB90,$AA90)))=Milestones!$AB$107),UPPER(TEXT(EDATE($D90,Milestones!$AA$107),"dd mmm yy"))&amp;" "&amp;Milestones!$AB$107&amp;" "&amp;IF(AND(Milestones!$AB$107="FT",Milestones!$AA$107=FT_Y5,EDATE($D90,Milestones!$AA$107)&lt;PolicyEff),1,Milestones!$AC$107)&amp;";  ","")&amp;IF(AND(EDATE($D90,Milestones!$AA$108)&lt;=AsOfDate,EDATE($D90,Milestones!$AA$108)&gt;=SchemeStart,IF($X90=0,$AD90,IF(AND($Z90&lt;&gt;"",EDATE($D90,Milestones!$AA$108)&gt;=$Z90),$AC90,IF(AND($Y90&lt;&gt;"",EDATE($D90,Milestones!$AA$108)&gt;=$Y90),$AB90,$AA90)))=Milestones!$AB$108),UPPER(TEXT(EDATE($D90,Milestones!$AA$108),"dd mmm yy"))&amp;" "&amp;Milestones!$AB$108&amp;" "&amp;IF(AND(Milestones!$AB$108="FT",Milestones!$AA$108=FT_Y5,EDATE($D90,Milestones!$AA$108)&lt;PolicyEff),1,Milestones!$AC$108)&amp;";  ","")&amp;IF(AND(EDATE($D90,Milestones!$AA$109)&lt;=AsOfDate,EDATE($D90,Milestones!$AA$109)&gt;=SchemeStart,IF($X90=0,$AD90,IF(AND($Z90&lt;&gt;"",EDATE($D90,Milestones!$AA$109)&gt;=$Z90),$AC90,IF(AND($Y90&lt;&gt;"",EDATE($D90,Milestones!$AA$109)&gt;=$Y90),$AB90,$AA90)))=Milestones!$AB$109),UPPER(TEXT(EDATE($D90,Milestones!$AA$109),"dd mmm yy"))&amp;" "&amp;Milestones!$AB$109&amp;" "&amp;IF(AND(Milestones!$AB$109="FT",Milestones!$AA$109=FT_Y5,EDATE($D90,Milestones!$AA$109)&lt;PolicyEff),1,Milestones!$AC$109)&amp;";  ","")&amp;IF(AND(EDATE($D90,Milestones!$AA$110)&lt;=AsOfDate,EDATE($D90,Milestones!$AA$110)&gt;=SchemeStart,IF($X90=0,$AD90,IF(AND($Z90&lt;&gt;"",EDATE($D90,Milestones!$AA$110)&gt;=$Z90),$AC90,IF(AND($Y90&lt;&gt;"",EDATE($D90,Milestones!$AA$110)&gt;=$Y90),$AB90,$AA90)))=Milestones!$AB$110),UPPER(TEXT(EDATE($D90,Milestones!$AA$110),"dd mmm yy"))&amp;" "&amp;Milestones!$AB$110&amp;" "&amp;IF(AND(Milestones!$AB$110="FT",Milestones!$AA$110=FT_Y5,EDATE($D90,Milestones!$AA$110)&lt;PolicyEff),1,Milestones!$AC$110)&amp;";  ","")&amp;IF(AND(EDATE($D90,Milestones!$AA$111)&lt;=AsOfDate,EDATE($D90,Milestones!$AA$111)&gt;=SchemeStart,IF($X90=0,$AD90,IF(AND($Z90&lt;&gt;"",EDATE($D90,Milestones!$AA$111)&gt;=$Z90),$AC90,IF(AND($Y90&lt;&gt;"",EDATE($D90,Milestones!$AA$111)&gt;=$Y90),$AB90,$AA90)))=Milestones!$AB$111),UPPER(TEXT(EDATE($D90,Milestones!$AA$111),"dd mmm yy"))&amp;" "&amp;Milestones!$AB$111&amp;" "&amp;IF(AND(Milestones!$AB$111="FT",Milestones!$AA$111=FT_Y5,EDATE($D90,Milestones!$AA$111)&lt;PolicyEff),1,Milestones!$AC$111)&amp;";  ","")&amp;IF(AND(EDATE($D90,Milestones!$AA$112)&lt;=AsOfDate,EDATE($D90,Milestones!$AA$112)&gt;=SchemeStart,IF($X90=0,$AD90,IF(AND($Z90&lt;&gt;"",EDATE($D90,Milestones!$AA$112)&gt;=$Z90),$AC90,IF(AND($Y90&lt;&gt;"",EDATE($D90,Milestones!$AA$112)&gt;=$Y90),$AB90,$AA90)))=Milestones!$AB$112),UPPER(TEXT(EDATE($D90,Milestones!$AA$112),"dd mmm yy"))&amp;" "&amp;Milestones!$AB$112&amp;" "&amp;IF(AND(Milestones!$AB$112="FT",Milestones!$AA$112=FT_Y5,EDATE($D90,Milestones!$AA$112)&lt;PolicyEff),1,Milestones!$AC$112)&amp;";  ","")&amp;IF(AND(EDATE($D90,Milestones!$AA$113)&lt;=AsOfDate,EDATE($D90,Milestones!$AA$113)&gt;=SchemeStart,IF($X90=0,$AD90,IF(AND($Z90&lt;&gt;"",EDATE($D90,Milestones!$AA$113)&gt;=$Z90),$AC90,IF(AND($Y90&lt;&gt;"",EDATE($D90,Milestones!$AA$113)&gt;=$Y90),$AB90,$AA90)))=Milestones!$AB$113),UPPER(TEXT(EDATE($D90,Milestones!$AA$113),"dd mmm yy"))&amp;" "&amp;Milestones!$AB$113&amp;" "&amp;IF(AND(Milestones!$AB$113="FT",Milestones!$AA$113=FT_Y5,EDATE($D90,Milestones!$AA$113)&lt;PolicyEff),1,Milestones!$AC$113)&amp;";  ","")&amp;IF(AND(EDATE($D90,Milestones!$AA$114)&lt;=AsOfDate,EDATE($D90,Milestones!$AA$114)&gt;=SchemeStart,IF($X90=0,$AD90,IF(AND($Z90&lt;&gt;"",EDATE($D90,Milestones!$AA$114)&gt;=$Z90),$AC90,IF(AND($Y90&lt;&gt;"",EDATE($D90,Milestones!$AA$114)&gt;=$Y90),$AB90,$AA90)))=Milestones!$AB$114),UPPER(TEXT(EDATE($D90,Milestones!$AA$114),"dd mmm yy"))&amp;" "&amp;Milestones!$AB$114&amp;" "&amp;IF(AND(Milestones!$AB$114="FT",Milestones!$AA$114=FT_Y5,EDATE($D90,Milestones!$AA$114)&lt;PolicyEff),1,Milestones!$AC$114)&amp;";  ","")&amp;IF(AND(EDATE($D90,Milestones!$AA$115)&lt;=AsOfDate,EDATE($D90,Milestones!$AA$115)&gt;=SchemeStart,IF($X90=0,$AD90,IF(AND($Z90&lt;&gt;"",EDATE($D90,Milestones!$AA$115)&gt;=$Z90),$AC90,IF(AND($Y90&lt;&gt;"",EDATE($D90,Milestones!$AA$115)&gt;=$Y90),$AB90,$AA90)))=Milestones!$AB$115),UPPER(TEXT(EDATE($D90,Milestones!$AA$115),"dd mmm yy"))&amp;" "&amp;Milestones!$AB$115&amp;" "&amp;IF(AND(Milestones!$AB$115="FT",Milestones!$AA$115=FT_Y5,EDATE($D90,Milestones!$AA$115)&lt;PolicyEff),1,Milestones!$AC$115)&amp;";  ",""))</f>
        <v/>
      </c>
      <c r="Q90" s="0" t="str">
        <f aca="false">IF(OR($A90="",$D90=""),"",IF(AND(EDATE($D90,Milestones!$AA$116)&lt;=AsOfDate,EDATE($D90,Milestones!$AA$116)&gt;=SchemeStart,IF($X90=0,$AD90,IF(AND($Z90&lt;&gt;"",EDATE($D90,Milestones!$AA$116)&gt;=$Z90),$AC90,IF(AND($Y90&lt;&gt;"",EDATE($D90,Milestones!$AA$116)&gt;=$Y90),$AB90,$AA90)))=Milestones!$AB$116),UPPER(TEXT(EDATE($D90,Milestones!$AA$116),"dd mmm yy"))&amp;" "&amp;Milestones!$AB$116&amp;" "&amp;IF(AND(Milestones!$AB$116="FT",Milestones!$AA$116=FT_Y5,EDATE($D90,Milestones!$AA$116)&lt;PolicyEff),1,Milestones!$AC$116)&amp;";  ","")&amp;IF(AND(EDATE($D90,Milestones!$AA$117)&lt;=AsOfDate,EDATE($D90,Milestones!$AA$117)&gt;=SchemeStart,IF($X90=0,$AD90,IF(AND($Z90&lt;&gt;"",EDATE($D90,Milestones!$AA$117)&gt;=$Z90),$AC90,IF(AND($Y90&lt;&gt;"",EDATE($D90,Milestones!$AA$117)&gt;=$Y90),$AB90,$AA90)))=Milestones!$AB$117),UPPER(TEXT(EDATE($D90,Milestones!$AA$117),"dd mmm yy"))&amp;" "&amp;Milestones!$AB$117&amp;" "&amp;IF(AND(Milestones!$AB$117="FT",Milestones!$AA$117=FT_Y5,EDATE($D90,Milestones!$AA$117)&lt;PolicyEff),1,Milestones!$AC$117)&amp;";  ","")&amp;IF(AND(EDATE($D90,Milestones!$AA$118)&lt;=AsOfDate,EDATE($D90,Milestones!$AA$118)&gt;=SchemeStart,IF($X90=0,$AD90,IF(AND($Z90&lt;&gt;"",EDATE($D90,Milestones!$AA$118)&gt;=$Z90),$AC90,IF(AND($Y90&lt;&gt;"",EDATE($D90,Milestones!$AA$118)&gt;=$Y90),$AB90,$AA90)))=Milestones!$AB$118),UPPER(TEXT(EDATE($D90,Milestones!$AA$118),"dd mmm yy"))&amp;" "&amp;Milestones!$AB$118&amp;" "&amp;IF(AND(Milestones!$AB$118="FT",Milestones!$AA$118=FT_Y5,EDATE($D90,Milestones!$AA$118)&lt;PolicyEff),1,Milestones!$AC$118)&amp;";  ","")&amp;IF(AND(EDATE($D90,Milestones!$AA$119)&lt;=AsOfDate,EDATE($D90,Milestones!$AA$119)&gt;=SchemeStart,IF($X90=0,$AD90,IF(AND($Z90&lt;&gt;"",EDATE($D90,Milestones!$AA$119)&gt;=$Z90),$AC90,IF(AND($Y90&lt;&gt;"",EDATE($D90,Milestones!$AA$119)&gt;=$Y90),$AB90,$AA90)))=Milestones!$AB$119),UPPER(TEXT(EDATE($D90,Milestones!$AA$119),"dd mmm yy"))&amp;" "&amp;Milestones!$AB$119&amp;" "&amp;IF(AND(Milestones!$AB$119="FT",Milestones!$AA$119=FT_Y5,EDATE($D90,Milestones!$AA$119)&lt;PolicyEff),1,Milestones!$AC$119)&amp;";  ","")&amp;IF(AND(EDATE($D90,Milestones!$AA$120)&lt;=AsOfDate,EDATE($D90,Milestones!$AA$120)&gt;=SchemeStart,IF($X90=0,$AD90,IF(AND($Z90&lt;&gt;"",EDATE($D90,Milestones!$AA$120)&gt;=$Z90),$AC90,IF(AND($Y90&lt;&gt;"",EDATE($D90,Milestones!$AA$120)&gt;=$Y90),$AB90,$AA90)))=Milestones!$AB$120),UPPER(TEXT(EDATE($D90,Milestones!$AA$120),"dd mmm yy"))&amp;" "&amp;Milestones!$AB$120&amp;" "&amp;IF(AND(Milestones!$AB$120="FT",Milestones!$AA$120=FT_Y5,EDATE($D90,Milestones!$AA$120)&lt;PolicyEff),1,Milestones!$AC$120)&amp;";  ","")&amp;IF(AND(EDATE($D90,Milestones!$AA$121)&lt;=AsOfDate,EDATE($D90,Milestones!$AA$121)&gt;=SchemeStart,IF($X90=0,$AD90,IF(AND($Z90&lt;&gt;"",EDATE($D90,Milestones!$AA$121)&gt;=$Z90),$AC90,IF(AND($Y90&lt;&gt;"",EDATE($D90,Milestones!$AA$121)&gt;=$Y90),$AB90,$AA90)))=Milestones!$AB$121),UPPER(TEXT(EDATE($D90,Milestones!$AA$121),"dd mmm yy"))&amp;" "&amp;Milestones!$AB$121&amp;" "&amp;IF(AND(Milestones!$AB$121="FT",Milestones!$AA$121=FT_Y5,EDATE($D90,Milestones!$AA$121)&lt;PolicyEff),1,Milestones!$AC$121)&amp;";  ","")&amp;IF(AND(EDATE($D90,Milestones!$AA$122)&lt;=AsOfDate,EDATE($D90,Milestones!$AA$122)&gt;=SchemeStart,IF($X90=0,$AD90,IF(AND($Z90&lt;&gt;"",EDATE($D90,Milestones!$AA$122)&gt;=$Z90),$AC90,IF(AND($Y90&lt;&gt;"",EDATE($D90,Milestones!$AA$122)&gt;=$Y90),$AB90,$AA90)))=Milestones!$AB$122),UPPER(TEXT(EDATE($D90,Milestones!$AA$122),"dd mmm yy"))&amp;" "&amp;Milestones!$AB$122&amp;" "&amp;IF(AND(Milestones!$AB$122="FT",Milestones!$AA$122=FT_Y5,EDATE($D90,Milestones!$AA$122)&lt;PolicyEff),1,Milestones!$AC$122)&amp;";  ","")&amp;IF(AND(EDATE($D90,Milestones!$AA$123)&lt;=AsOfDate,EDATE($D90,Milestones!$AA$123)&gt;=SchemeStart,IF($X90=0,$AD90,IF(AND($Z90&lt;&gt;"",EDATE($D90,Milestones!$AA$123)&gt;=$Z90),$AC90,IF(AND($Y90&lt;&gt;"",EDATE($D90,Milestones!$AA$123)&gt;=$Y90),$AB90,$AA90)))=Milestones!$AB$123),UPPER(TEXT(EDATE($D90,Milestones!$AA$123),"dd mmm yy"))&amp;" "&amp;Milestones!$AB$123&amp;" "&amp;IF(AND(Milestones!$AB$123="FT",Milestones!$AA$123=FT_Y5,EDATE($D90,Milestones!$AA$123)&lt;PolicyEff),1,Milestones!$AC$123)&amp;";  ","")&amp;IF(AND(EDATE($D90,Milestones!$AA$124)&lt;=AsOfDate,EDATE($D90,Milestones!$AA$124)&gt;=SchemeStart,IF($X90=0,$AD90,IF(AND($Z90&lt;&gt;"",EDATE($D90,Milestones!$AA$124)&gt;=$Z90),$AC90,IF(AND($Y90&lt;&gt;"",EDATE($D90,Milestones!$AA$124)&gt;=$Y90),$AB90,$AA90)))=Milestones!$AB$124),UPPER(TEXT(EDATE($D90,Milestones!$AA$124),"dd mmm yy"))&amp;" "&amp;Milestones!$AB$124&amp;" "&amp;IF(AND(Milestones!$AB$124="FT",Milestones!$AA$124=FT_Y5,EDATE($D90,Milestones!$AA$124)&lt;PolicyEff),1,Milestones!$AC$124)&amp;";  ","")&amp;IF(AND(EDATE($D90,Milestones!$AA$125)&lt;=AsOfDate,EDATE($D90,Milestones!$AA$125)&gt;=SchemeStart,IF($X90=0,$AD90,IF(AND($Z90&lt;&gt;"",EDATE($D90,Milestones!$AA$125)&gt;=$Z90),$AC90,IF(AND($Y90&lt;&gt;"",EDATE($D90,Milestones!$AA$125)&gt;=$Y90),$AB90,$AA90)))=Milestones!$AB$125),UPPER(TEXT(EDATE($D90,Milestones!$AA$125),"dd mmm yy"))&amp;" "&amp;Milestones!$AB$125&amp;" "&amp;IF(AND(Milestones!$AB$125="FT",Milestones!$AA$125=FT_Y5,EDATE($D90,Milestones!$AA$125)&lt;PolicyEff),1,Milestones!$AC$125)&amp;";  ","")&amp;IF(AND(EDATE($D90,Milestones!$AA$126)&lt;=AsOfDate,EDATE($D90,Milestones!$AA$126)&gt;=SchemeStart,IF($X90=0,$AD90,IF(AND($Z90&lt;&gt;"",EDATE($D90,Milestones!$AA$126)&gt;=$Z90),$AC90,IF(AND($Y90&lt;&gt;"",EDATE($D90,Milestones!$AA$126)&gt;=$Y90),$AB90,$AA90)))=Milestones!$AB$126),UPPER(TEXT(EDATE($D90,Milestones!$AA$126),"dd mmm yy"))&amp;" "&amp;Milestones!$AB$126&amp;" "&amp;IF(AND(Milestones!$AB$126="FT",Milestones!$AA$126=FT_Y5,EDATE($D90,Milestones!$AA$126)&lt;PolicyEff),1,Milestones!$AC$126)&amp;";  ","")&amp;IF(AND(EDATE($D90,Milestones!$AA$127)&lt;=AsOfDate,EDATE($D90,Milestones!$AA$127)&gt;=SchemeStart,IF($X90=0,$AD90,IF(AND($Z90&lt;&gt;"",EDATE($D90,Milestones!$AA$127)&gt;=$Z90),$AC90,IF(AND($Y90&lt;&gt;"",EDATE($D90,Milestones!$AA$127)&gt;=$Y90),$AB90,$AA90)))=Milestones!$AB$127),UPPER(TEXT(EDATE($D90,Milestones!$AA$127),"dd mmm yy"))&amp;" "&amp;Milestones!$AB$127&amp;" "&amp;IF(AND(Milestones!$AB$127="FT",Milestones!$AA$127=FT_Y5,EDATE($D90,Milestones!$AA$127)&lt;PolicyEff),1,Milestones!$AC$127)&amp;";  ",""))</f>
        <v/>
      </c>
      <c r="R90" s="0" t="str">
        <f aca="false">IF(OR($A90="",$D90=""),"",IF(AND(EDATE($D90,Milestones!$AA$128)&lt;=AsOfDate,EDATE($D90,Milestones!$AA$128)&gt;=SchemeStart,IF($X90=0,$AD90,IF(AND($Z90&lt;&gt;"",EDATE($D90,Milestones!$AA$128)&gt;=$Z90),$AC90,IF(AND($Y90&lt;&gt;"",EDATE($D90,Milestones!$AA$128)&gt;=$Y90),$AB90,$AA90)))=Milestones!$AB$128),UPPER(TEXT(EDATE($D90,Milestones!$AA$128),"dd mmm yy"))&amp;" "&amp;Milestones!$AB$128&amp;" "&amp;IF(AND(Milestones!$AB$128="FT",Milestones!$AA$128=FT_Y5,EDATE($D90,Milestones!$AA$128)&lt;PolicyEff),1,Milestones!$AC$128)&amp;";  ","")&amp;IF(AND(EDATE($D90,Milestones!$AA$129)&lt;=AsOfDate,EDATE($D90,Milestones!$AA$129)&gt;=SchemeStart,IF($X90=0,$AD90,IF(AND($Z90&lt;&gt;"",EDATE($D90,Milestones!$AA$129)&gt;=$Z90),$AC90,IF(AND($Y90&lt;&gt;"",EDATE($D90,Milestones!$AA$129)&gt;=$Y90),$AB90,$AA90)))=Milestones!$AB$129),UPPER(TEXT(EDATE($D90,Milestones!$AA$129),"dd mmm yy"))&amp;" "&amp;Milestones!$AB$129&amp;" "&amp;IF(AND(Milestones!$AB$129="FT",Milestones!$AA$129=FT_Y5,EDATE($D90,Milestones!$AA$129)&lt;PolicyEff),1,Milestones!$AC$129)&amp;";  ","")&amp;IF(AND(EDATE($D90,Milestones!$AA$130)&lt;=AsOfDate,EDATE($D90,Milestones!$AA$130)&gt;=SchemeStart,IF($X90=0,$AD90,IF(AND($Z90&lt;&gt;"",EDATE($D90,Milestones!$AA$130)&gt;=$Z90),$AC90,IF(AND($Y90&lt;&gt;"",EDATE($D90,Milestones!$AA$130)&gt;=$Y90),$AB90,$AA90)))=Milestones!$AB$130),UPPER(TEXT(EDATE($D90,Milestones!$AA$130),"dd mmm yy"))&amp;" "&amp;Milestones!$AB$130&amp;" "&amp;IF(AND(Milestones!$AB$130="FT",Milestones!$AA$130=FT_Y5,EDATE($D90,Milestones!$AA$130)&lt;PolicyEff),1,Milestones!$AC$130)&amp;";  ","")&amp;IF(AND(EDATE($D90,Milestones!$AA$131)&lt;=AsOfDate,EDATE($D90,Milestones!$AA$131)&gt;=SchemeStart,IF($X90=0,$AD90,IF(AND($Z90&lt;&gt;"",EDATE($D90,Milestones!$AA$131)&gt;=$Z90),$AC90,IF(AND($Y90&lt;&gt;"",EDATE($D90,Milestones!$AA$131)&gt;=$Y90),$AB90,$AA90)))=Milestones!$AB$131),UPPER(TEXT(EDATE($D90,Milestones!$AA$131),"dd mmm yy"))&amp;" "&amp;Milestones!$AB$131&amp;" "&amp;IF(AND(Milestones!$AB$131="FT",Milestones!$AA$131=FT_Y5,EDATE($D90,Milestones!$AA$131)&lt;PolicyEff),1,Milestones!$AC$131)&amp;";  ","")&amp;IF(AND(EDATE($D90,Milestones!$AA$132)&lt;=AsOfDate,EDATE($D90,Milestones!$AA$132)&gt;=SchemeStart,IF($X90=0,$AD90,IF(AND($Z90&lt;&gt;"",EDATE($D90,Milestones!$AA$132)&gt;=$Z90),$AC90,IF(AND($Y90&lt;&gt;"",EDATE($D90,Milestones!$AA$132)&gt;=$Y90),$AB90,$AA90)))=Milestones!$AB$132),UPPER(TEXT(EDATE($D90,Milestones!$AA$132),"dd mmm yy"))&amp;" "&amp;Milestones!$AB$132&amp;" "&amp;IF(AND(Milestones!$AB$132="FT",Milestones!$AA$132=FT_Y5,EDATE($D90,Milestones!$AA$132)&lt;PolicyEff),1,Milestones!$AC$132)&amp;";  ","")&amp;IF(AND(EDATE($D90,Milestones!$AA$133)&lt;=AsOfDate,EDATE($D90,Milestones!$AA$133)&gt;=SchemeStart,IF($X90=0,$AD90,IF(AND($Z90&lt;&gt;"",EDATE($D90,Milestones!$AA$133)&gt;=$Z90),$AC90,IF(AND($Y90&lt;&gt;"",EDATE($D90,Milestones!$AA$133)&gt;=$Y90),$AB90,$AA90)))=Milestones!$AB$133),UPPER(TEXT(EDATE($D90,Milestones!$AA$133),"dd mmm yy"))&amp;" "&amp;Milestones!$AB$133&amp;" "&amp;IF(AND(Milestones!$AB$133="FT",Milestones!$AA$133=FT_Y5,EDATE($D90,Milestones!$AA$133)&lt;PolicyEff),1,Milestones!$AC$133)&amp;";  ","")&amp;IF(AND(EDATE($D90,Milestones!$AA$134)&lt;=AsOfDate,EDATE($D90,Milestones!$AA$134)&gt;=SchemeStart,IF($X90=0,$AD90,IF(AND($Z90&lt;&gt;"",EDATE($D90,Milestones!$AA$134)&gt;=$Z90),$AC90,IF(AND($Y90&lt;&gt;"",EDATE($D90,Milestones!$AA$134)&gt;=$Y90),$AB90,$AA90)))=Milestones!$AB$134),UPPER(TEXT(EDATE($D90,Milestones!$AA$134),"dd mmm yy"))&amp;" "&amp;Milestones!$AB$134&amp;" "&amp;IF(AND(Milestones!$AB$134="FT",Milestones!$AA$134=FT_Y5,EDATE($D90,Milestones!$AA$134)&lt;PolicyEff),1,Milestones!$AC$134)&amp;";  ","")&amp;IF(AND(EDATE($D90,Milestones!$AA$135)&lt;=AsOfDate,EDATE($D90,Milestones!$AA$135)&gt;=SchemeStart,IF($X90=0,$AD90,IF(AND($Z90&lt;&gt;"",EDATE($D90,Milestones!$AA$135)&gt;=$Z90),$AC90,IF(AND($Y90&lt;&gt;"",EDATE($D90,Milestones!$AA$135)&gt;=$Y90),$AB90,$AA90)))=Milestones!$AB$135),UPPER(TEXT(EDATE($D90,Milestones!$AA$135),"dd mmm yy"))&amp;" "&amp;Milestones!$AB$135&amp;" "&amp;IF(AND(Milestones!$AB$135="FT",Milestones!$AA$135=FT_Y5,EDATE($D90,Milestones!$AA$135)&lt;PolicyEff),1,Milestones!$AC$135)&amp;";  ","")&amp;IF(AND(EDATE($D90,Milestones!$AA$136)&lt;=AsOfDate,EDATE($D90,Milestones!$AA$136)&gt;=SchemeStart,IF($X90=0,$AD90,IF(AND($Z90&lt;&gt;"",EDATE($D90,Milestones!$AA$136)&gt;=$Z90),$AC90,IF(AND($Y90&lt;&gt;"",EDATE($D90,Milestones!$AA$136)&gt;=$Y90),$AB90,$AA90)))=Milestones!$AB$136),UPPER(TEXT(EDATE($D90,Milestones!$AA$136),"dd mmm yy"))&amp;" "&amp;Milestones!$AB$136&amp;" "&amp;IF(AND(Milestones!$AB$136="FT",Milestones!$AA$136=FT_Y5,EDATE($D90,Milestones!$AA$136)&lt;PolicyEff),1,Milestones!$AC$136)&amp;";  ","")&amp;IF(AND(EDATE($D90,Milestones!$AA$137)&lt;=AsOfDate,EDATE($D90,Milestones!$AA$137)&gt;=SchemeStart,IF($X90=0,$AD90,IF(AND($Z90&lt;&gt;"",EDATE($D90,Milestones!$AA$137)&gt;=$Z90),$AC90,IF(AND($Y90&lt;&gt;"",EDATE($D90,Milestones!$AA$137)&gt;=$Y90),$AB90,$AA90)))=Milestones!$AB$137),UPPER(TEXT(EDATE($D90,Milestones!$AA$137),"dd mmm yy"))&amp;" "&amp;Milestones!$AB$137&amp;" "&amp;IF(AND(Milestones!$AB$137="FT",Milestones!$AA$137=FT_Y5,EDATE($D90,Milestones!$AA$137)&lt;PolicyEff),1,Milestones!$AC$137)&amp;";  ","")&amp;IF(AND(EDATE($D90,Milestones!$AA$138)&lt;=AsOfDate,EDATE($D90,Milestones!$AA$138)&gt;=SchemeStart,IF($X90=0,$AD90,IF(AND($Z90&lt;&gt;"",EDATE($D90,Milestones!$AA$138)&gt;=$Z90),$AC90,IF(AND($Y90&lt;&gt;"",EDATE($D90,Milestones!$AA$138)&gt;=$Y90),$AB90,$AA90)))=Milestones!$AB$138),UPPER(TEXT(EDATE($D90,Milestones!$AA$138),"dd mmm yy"))&amp;" "&amp;Milestones!$AB$138&amp;" "&amp;IF(AND(Milestones!$AB$138="FT",Milestones!$AA$138=FT_Y5,EDATE($D90,Milestones!$AA$138)&lt;PolicyEff),1,Milestones!$AC$138)&amp;";  ","")&amp;IF(AND(EDATE($D90,Milestones!$AA$139)&lt;=AsOfDate,EDATE($D90,Milestones!$AA$139)&gt;=SchemeStart,IF($X90=0,$AD90,IF(AND($Z90&lt;&gt;"",EDATE($D90,Milestones!$AA$139)&gt;=$Z90),$AC90,IF(AND($Y90&lt;&gt;"",EDATE($D90,Milestones!$AA$139)&gt;=$Y90),$AB90,$AA90)))=Milestones!$AB$139),UPPER(TEXT(EDATE($D90,Milestones!$AA$139),"dd mmm yy"))&amp;" "&amp;Milestones!$AB$139&amp;" "&amp;IF(AND(Milestones!$AB$139="FT",Milestones!$AA$139=FT_Y5,EDATE($D90,Milestones!$AA$139)&lt;PolicyEff),1,Milestones!$AC$139)&amp;";  ",""))</f>
        <v/>
      </c>
      <c r="S90" s="0" t="str">
        <f aca="false">IF(OR($A90="",$D90=""),"",IF(AND(EDATE($D90,Milestones!$AA$140)&lt;=AsOfDate,EDATE($D90,Milestones!$AA$140)&gt;=SchemeStart,IF($X90=0,$AD90,IF(AND($Z90&lt;&gt;"",EDATE($D90,Milestones!$AA$140)&gt;=$Z90),$AC90,IF(AND($Y90&lt;&gt;"",EDATE($D90,Milestones!$AA$140)&gt;=$Y90),$AB90,$AA90)))=Milestones!$AB$140),UPPER(TEXT(EDATE($D90,Milestones!$AA$140),"dd mmm yy"))&amp;" "&amp;Milestones!$AB$140&amp;" "&amp;IF(AND(Milestones!$AB$140="FT",Milestones!$AA$140=FT_Y5,EDATE($D90,Milestones!$AA$140)&lt;PolicyEff),1,Milestones!$AC$140)&amp;";  ","")&amp;IF(AND(EDATE($D90,Milestones!$AA$141)&lt;=AsOfDate,EDATE($D90,Milestones!$AA$141)&gt;=SchemeStart,IF($X90=0,$AD90,IF(AND($Z90&lt;&gt;"",EDATE($D90,Milestones!$AA$141)&gt;=$Z90),$AC90,IF(AND($Y90&lt;&gt;"",EDATE($D90,Milestones!$AA$141)&gt;=$Y90),$AB90,$AA90)))=Milestones!$AB$141),UPPER(TEXT(EDATE($D90,Milestones!$AA$141),"dd mmm yy"))&amp;" "&amp;Milestones!$AB$141&amp;" "&amp;IF(AND(Milestones!$AB$141="FT",Milestones!$AA$141=FT_Y5,EDATE($D90,Milestones!$AA$141)&lt;PolicyEff),1,Milestones!$AC$141)&amp;";  ","")&amp;IF(AND(EDATE($D90,Milestones!$AA$142)&lt;=AsOfDate,EDATE($D90,Milestones!$AA$142)&gt;=SchemeStart,IF($X90=0,$AD90,IF(AND($Z90&lt;&gt;"",EDATE($D90,Milestones!$AA$142)&gt;=$Z90),$AC90,IF(AND($Y90&lt;&gt;"",EDATE($D90,Milestones!$AA$142)&gt;=$Y90),$AB90,$AA90)))=Milestones!$AB$142),UPPER(TEXT(EDATE($D90,Milestones!$AA$142),"dd mmm yy"))&amp;" "&amp;Milestones!$AB$142&amp;" "&amp;IF(AND(Milestones!$AB$142="FT",Milestones!$AA$142=FT_Y5,EDATE($D90,Milestones!$AA$142)&lt;PolicyEff),1,Milestones!$AC$142)&amp;";  ","")&amp;IF(AND(EDATE($D90,Milestones!$AA$143)&lt;=AsOfDate,EDATE($D90,Milestones!$AA$143)&gt;=SchemeStart,IF($X90=0,$AD90,IF(AND($Z90&lt;&gt;"",EDATE($D90,Milestones!$AA$143)&gt;=$Z90),$AC90,IF(AND($Y90&lt;&gt;"",EDATE($D90,Milestones!$AA$143)&gt;=$Y90),$AB90,$AA90)))=Milestones!$AB$143),UPPER(TEXT(EDATE($D90,Milestones!$AA$143),"dd mmm yy"))&amp;" "&amp;Milestones!$AB$143&amp;" "&amp;IF(AND(Milestones!$AB$143="FT",Milestones!$AA$143=FT_Y5,EDATE($D90,Milestones!$AA$143)&lt;PolicyEff),1,Milestones!$AC$143)&amp;";  ","")&amp;IF(AND(EDATE($D90,Milestones!$AA$144)&lt;=AsOfDate,EDATE($D90,Milestones!$AA$144)&gt;=SchemeStart,IF($X90=0,$AD90,IF(AND($Z90&lt;&gt;"",EDATE($D90,Milestones!$AA$144)&gt;=$Z90),$AC90,IF(AND($Y90&lt;&gt;"",EDATE($D90,Milestones!$AA$144)&gt;=$Y90),$AB90,$AA90)))=Milestones!$AB$144),UPPER(TEXT(EDATE($D90,Milestones!$AA$144),"dd mmm yy"))&amp;" "&amp;Milestones!$AB$144&amp;" "&amp;IF(AND(Milestones!$AB$144="FT",Milestones!$AA$144=FT_Y5,EDATE($D90,Milestones!$AA$144)&lt;PolicyEff),1,Milestones!$AC$144)&amp;";  ","")&amp;IF(AND(EDATE($D90,Milestones!$AA$145)&lt;=AsOfDate,EDATE($D90,Milestones!$AA$145)&gt;=SchemeStart,IF($X90=0,$AD90,IF(AND($Z90&lt;&gt;"",EDATE($D90,Milestones!$AA$145)&gt;=$Z90),$AC90,IF(AND($Y90&lt;&gt;"",EDATE($D90,Milestones!$AA$145)&gt;=$Y90),$AB90,$AA90)))=Milestones!$AB$145),UPPER(TEXT(EDATE($D90,Milestones!$AA$145),"dd mmm yy"))&amp;" "&amp;Milestones!$AB$145&amp;" "&amp;IF(AND(Milestones!$AB$145="FT",Milestones!$AA$145=FT_Y5,EDATE($D90,Milestones!$AA$145)&lt;PolicyEff),1,Milestones!$AC$145)&amp;";  ","")&amp;IF(AND(EDATE($D90,Milestones!$AA$146)&lt;=AsOfDate,EDATE($D90,Milestones!$AA$146)&gt;=SchemeStart,IF($X90=0,$AD90,IF(AND($Z90&lt;&gt;"",EDATE($D90,Milestones!$AA$146)&gt;=$Z90),$AC90,IF(AND($Y90&lt;&gt;"",EDATE($D90,Milestones!$AA$146)&gt;=$Y90),$AB90,$AA90)))=Milestones!$AB$146),UPPER(TEXT(EDATE($D90,Milestones!$AA$146),"dd mmm yy"))&amp;" "&amp;Milestones!$AB$146&amp;" "&amp;IF(AND(Milestones!$AB$146="FT",Milestones!$AA$146=FT_Y5,EDATE($D90,Milestones!$AA$146)&lt;PolicyEff),1,Milestones!$AC$146)&amp;";  ","")&amp;IF(AND(EDATE($D90,Milestones!$AA$147)&lt;=AsOfDate,EDATE($D90,Milestones!$AA$147)&gt;=SchemeStart,IF($X90=0,$AD90,IF(AND($Z90&lt;&gt;"",EDATE($D90,Milestones!$AA$147)&gt;=$Z90),$AC90,IF(AND($Y90&lt;&gt;"",EDATE($D90,Milestones!$AA$147)&gt;=$Y90),$AB90,$AA90)))=Milestones!$AB$147),UPPER(TEXT(EDATE($D90,Milestones!$AA$147),"dd mmm yy"))&amp;" "&amp;Milestones!$AB$147&amp;" "&amp;IF(AND(Milestones!$AB$147="FT",Milestones!$AA$147=FT_Y5,EDATE($D90,Milestones!$AA$147)&lt;PolicyEff),1,Milestones!$AC$147)&amp;";  ","")&amp;IF(AND(EDATE($D90,Milestones!$AA$148)&lt;=AsOfDate,EDATE($D90,Milestones!$AA$148)&gt;=SchemeStart,IF($X90=0,$AD90,IF(AND($Z90&lt;&gt;"",EDATE($D90,Milestones!$AA$148)&gt;=$Z90),$AC90,IF(AND($Y90&lt;&gt;"",EDATE($D90,Milestones!$AA$148)&gt;=$Y90),$AB90,$AA90)))=Milestones!$AB$148),UPPER(TEXT(EDATE($D90,Milestones!$AA$148),"dd mmm yy"))&amp;" "&amp;Milestones!$AB$148&amp;" "&amp;IF(AND(Milestones!$AB$148="FT",Milestones!$AA$148=FT_Y5,EDATE($D90,Milestones!$AA$148)&lt;PolicyEff),1,Milestones!$AC$148)&amp;";  ","")&amp;IF(AND(EDATE($D90,Milestones!$AA$149)&lt;=AsOfDate,EDATE($D90,Milestones!$AA$149)&gt;=SchemeStart,IF($X90=0,$AD90,IF(AND($Z90&lt;&gt;"",EDATE($D90,Milestones!$AA$149)&gt;=$Z90),$AC90,IF(AND($Y90&lt;&gt;"",EDATE($D90,Milestones!$AA$149)&gt;=$Y90),$AB90,$AA90)))=Milestones!$AB$149),UPPER(TEXT(EDATE($D90,Milestones!$AA$149),"dd mmm yy"))&amp;" "&amp;Milestones!$AB$149&amp;" "&amp;IF(AND(Milestones!$AB$149="FT",Milestones!$AA$149=FT_Y5,EDATE($D90,Milestones!$AA$149)&lt;PolicyEff),1,Milestones!$AC$149)&amp;";  ","")&amp;IF(AND(EDATE($D90,Milestones!$AA$150)&lt;=AsOfDate,EDATE($D90,Milestones!$AA$150)&gt;=SchemeStart,IF($X90=0,$AD90,IF(AND($Z90&lt;&gt;"",EDATE($D90,Milestones!$AA$150)&gt;=$Z90),$AC90,IF(AND($Y90&lt;&gt;"",EDATE($D90,Milestones!$AA$150)&gt;=$Y90),$AB90,$AA90)))=Milestones!$AB$150),UPPER(TEXT(EDATE($D90,Milestones!$AA$150),"dd mmm yy"))&amp;" "&amp;Milestones!$AB$150&amp;" "&amp;IF(AND(Milestones!$AB$150="FT",Milestones!$AA$150=FT_Y5,EDATE($D90,Milestones!$AA$150)&lt;PolicyEff),1,Milestones!$AC$150)&amp;";  ","")&amp;IF(AND(EDATE($D90,Milestones!$AA$151)&lt;=AsOfDate,EDATE($D90,Milestones!$AA$151)&gt;=SchemeStart,IF($X90=0,$AD90,IF(AND($Z90&lt;&gt;"",EDATE($D90,Milestones!$AA$151)&gt;=$Z90),$AC90,IF(AND($Y90&lt;&gt;"",EDATE($D90,Milestones!$AA$151)&gt;=$Y90),$AB90,$AA90)))=Milestones!$AB$151),UPPER(TEXT(EDATE($D90,Milestones!$AA$151),"dd mmm yy"))&amp;" "&amp;Milestones!$AB$151&amp;" "&amp;IF(AND(Milestones!$AB$151="FT",Milestones!$AA$151=FT_Y5,EDATE($D90,Milestones!$AA$151)&lt;PolicyEff),1,Milestones!$AC$151)&amp;";  ",""))</f>
        <v/>
      </c>
      <c r="T90" s="0" t="str">
        <f aca="false">IF(OR($A90="",$D90=""),"",IF(AND(EDATE($D90,Milestones!$AA$152)&lt;=AsOfDate,EDATE($D90,Milestones!$AA$152)&gt;=SchemeStart,IF($X90=0,$AD90,IF(AND($Z90&lt;&gt;"",EDATE($D90,Milestones!$AA$152)&gt;=$Z90),$AC90,IF(AND($Y90&lt;&gt;"",EDATE($D90,Milestones!$AA$152)&gt;=$Y90),$AB90,$AA90)))=Milestones!$AB$152),UPPER(TEXT(EDATE($D90,Milestones!$AA$152),"dd mmm yy"))&amp;" "&amp;Milestones!$AB$152&amp;" "&amp;IF(AND(Milestones!$AB$152="FT",Milestones!$AA$152=FT_Y5,EDATE($D90,Milestones!$AA$152)&lt;PolicyEff),1,Milestones!$AC$152)&amp;";  ","")&amp;IF(AND(EDATE($D90,Milestones!$AA$153)&lt;=AsOfDate,EDATE($D90,Milestones!$AA$153)&gt;=SchemeStart,IF($X90=0,$AD90,IF(AND($Z90&lt;&gt;"",EDATE($D90,Milestones!$AA$153)&gt;=$Z90),$AC90,IF(AND($Y90&lt;&gt;"",EDATE($D90,Milestones!$AA$153)&gt;=$Y90),$AB90,$AA90)))=Milestones!$AB$153),UPPER(TEXT(EDATE($D90,Milestones!$AA$153),"dd mmm yy"))&amp;" "&amp;Milestones!$AB$153&amp;" "&amp;IF(AND(Milestones!$AB$153="FT",Milestones!$AA$153=FT_Y5,EDATE($D90,Milestones!$AA$153)&lt;PolicyEff),1,Milestones!$AC$153)&amp;";  ","")&amp;IF(AND(EDATE($D90,Milestones!$AA$154)&lt;=AsOfDate,EDATE($D90,Milestones!$AA$154)&gt;=SchemeStart,IF($X90=0,$AD90,IF(AND($Z90&lt;&gt;"",EDATE($D90,Milestones!$AA$154)&gt;=$Z90),$AC90,IF(AND($Y90&lt;&gt;"",EDATE($D90,Milestones!$AA$154)&gt;=$Y90),$AB90,$AA90)))=Milestones!$AB$154),UPPER(TEXT(EDATE($D90,Milestones!$AA$154),"dd mmm yy"))&amp;" "&amp;Milestones!$AB$154&amp;" "&amp;IF(AND(Milestones!$AB$154="FT",Milestones!$AA$154=FT_Y5,EDATE($D90,Milestones!$AA$154)&lt;PolicyEff),1,Milestones!$AC$154)&amp;";  ","")&amp;IF(AND(EDATE($D90,Milestones!$AA$155)&lt;=AsOfDate,EDATE($D90,Milestones!$AA$155)&gt;=SchemeStart,IF($X90=0,$AD90,IF(AND($Z90&lt;&gt;"",EDATE($D90,Milestones!$AA$155)&gt;=$Z90),$AC90,IF(AND($Y90&lt;&gt;"",EDATE($D90,Milestones!$AA$155)&gt;=$Y90),$AB90,$AA90)))=Milestones!$AB$155),UPPER(TEXT(EDATE($D90,Milestones!$AA$155),"dd mmm yy"))&amp;" "&amp;Milestones!$AB$155&amp;" "&amp;IF(AND(Milestones!$AB$155="FT",Milestones!$AA$155=FT_Y5,EDATE($D90,Milestones!$AA$155)&lt;PolicyEff),1,Milestones!$AC$155)&amp;";  ","")&amp;IF(AND(EDATE($D90,Milestones!$AA$156)&lt;=AsOfDate,EDATE($D90,Milestones!$AA$156)&gt;=SchemeStart,IF($X90=0,$AD90,IF(AND($Z90&lt;&gt;"",EDATE($D90,Milestones!$AA$156)&gt;=$Z90),$AC90,IF(AND($Y90&lt;&gt;"",EDATE($D90,Milestones!$AA$156)&gt;=$Y90),$AB90,$AA90)))=Milestones!$AB$156),UPPER(TEXT(EDATE($D90,Milestones!$AA$156),"dd mmm yy"))&amp;" "&amp;Milestones!$AB$156&amp;" "&amp;IF(AND(Milestones!$AB$156="FT",Milestones!$AA$156=FT_Y5,EDATE($D90,Milestones!$AA$156)&lt;PolicyEff),1,Milestones!$AC$156)&amp;";  ","")&amp;IF(AND(EDATE($D90,Milestones!$AA$157)&lt;=AsOfDate,EDATE($D90,Milestones!$AA$157)&gt;=SchemeStart,IF($X90=0,$AD90,IF(AND($Z90&lt;&gt;"",EDATE($D90,Milestones!$AA$157)&gt;=$Z90),$AC90,IF(AND($Y90&lt;&gt;"",EDATE($D90,Milestones!$AA$157)&gt;=$Y90),$AB90,$AA90)))=Milestones!$AB$157),UPPER(TEXT(EDATE($D90,Milestones!$AA$157),"dd mmm yy"))&amp;" "&amp;Milestones!$AB$157&amp;" "&amp;IF(AND(Milestones!$AB$157="FT",Milestones!$AA$157=FT_Y5,EDATE($D90,Milestones!$AA$157)&lt;PolicyEff),1,Milestones!$AC$157)&amp;";  ","")&amp;IF(AND(EDATE($D90,Milestones!$AA$158)&lt;=AsOfDate,EDATE($D90,Milestones!$AA$158)&gt;=SchemeStart,IF($X90=0,$AD90,IF(AND($Z90&lt;&gt;"",EDATE($D90,Milestones!$AA$158)&gt;=$Z90),$AC90,IF(AND($Y90&lt;&gt;"",EDATE($D90,Milestones!$AA$158)&gt;=$Y90),$AB90,$AA90)))=Milestones!$AB$158),UPPER(TEXT(EDATE($D90,Milestones!$AA$158),"dd mmm yy"))&amp;" "&amp;Milestones!$AB$158&amp;" "&amp;IF(AND(Milestones!$AB$158="FT",Milestones!$AA$158=FT_Y5,EDATE($D90,Milestones!$AA$158)&lt;PolicyEff),1,Milestones!$AC$158)&amp;";  ","")&amp;IF(AND(EDATE($D90,Milestones!$AA$159)&lt;=AsOfDate,EDATE($D90,Milestones!$AA$159)&gt;=SchemeStart,IF($X90=0,$AD90,IF(AND($Z90&lt;&gt;"",EDATE($D90,Milestones!$AA$159)&gt;=$Z90),$AC90,IF(AND($Y90&lt;&gt;"",EDATE($D90,Milestones!$AA$159)&gt;=$Y90),$AB90,$AA90)))=Milestones!$AB$159),UPPER(TEXT(EDATE($D90,Milestones!$AA$159),"dd mmm yy"))&amp;" "&amp;Milestones!$AB$159&amp;" "&amp;IF(AND(Milestones!$AB$159="FT",Milestones!$AA$159=FT_Y5,EDATE($D90,Milestones!$AA$159)&lt;PolicyEff),1,Milestones!$AC$159)&amp;";  ","")&amp;IF(AND(EDATE($D90,Milestones!$AA$160)&lt;=AsOfDate,EDATE($D90,Milestones!$AA$160)&gt;=SchemeStart,IF($X90=0,$AD90,IF(AND($Z90&lt;&gt;"",EDATE($D90,Milestones!$AA$160)&gt;=$Z90),$AC90,IF(AND($Y90&lt;&gt;"",EDATE($D90,Milestones!$AA$160)&gt;=$Y90),$AB90,$AA90)))=Milestones!$AB$160),UPPER(TEXT(EDATE($D90,Milestones!$AA$160),"dd mmm yy"))&amp;" "&amp;Milestones!$AB$160&amp;" "&amp;IF(AND(Milestones!$AB$160="FT",Milestones!$AA$160=FT_Y5,EDATE($D90,Milestones!$AA$160)&lt;PolicyEff),1,Milestones!$AC$160)&amp;";  ","")&amp;IF(AND(EDATE($D90,Milestones!$AA$161)&lt;=AsOfDate,EDATE($D90,Milestones!$AA$161)&gt;=SchemeStart,IF($X90=0,$AD90,IF(AND($Z90&lt;&gt;"",EDATE($D90,Milestones!$AA$161)&gt;=$Z90),$AC90,IF(AND($Y90&lt;&gt;"",EDATE($D90,Milestones!$AA$161)&gt;=$Y90),$AB90,$AA90)))=Milestones!$AB$161),UPPER(TEXT(EDATE($D90,Milestones!$AA$161),"dd mmm yy"))&amp;" "&amp;Milestones!$AB$161&amp;" "&amp;IF(AND(Milestones!$AB$161="FT",Milestones!$AA$161=FT_Y5,EDATE($D90,Milestones!$AA$161)&lt;PolicyEff),1,Milestones!$AC$161)&amp;";  ","")&amp;IF(AND(EDATE($D90,Milestones!$AA$162)&lt;=AsOfDate,EDATE($D90,Milestones!$AA$162)&gt;=SchemeStart,IF($X90=0,$AD90,IF(AND($Z90&lt;&gt;"",EDATE($D90,Milestones!$AA$162)&gt;=$Z90),$AC90,IF(AND($Y90&lt;&gt;"",EDATE($D90,Milestones!$AA$162)&gt;=$Y90),$AB90,$AA90)))=Milestones!$AB$162),UPPER(TEXT(EDATE($D90,Milestones!$AA$162),"dd mmm yy"))&amp;" "&amp;Milestones!$AB$162&amp;" "&amp;IF(AND(Milestones!$AB$162="FT",Milestones!$AA$162=FT_Y5,EDATE($D90,Milestones!$AA$162)&lt;PolicyEff),1,Milestones!$AC$162)&amp;";  ","")&amp;IF(AND(EDATE($D90,Milestones!$AA$163)&lt;=AsOfDate,EDATE($D90,Milestones!$AA$163)&gt;=SchemeStart,IF($X90=0,$AD90,IF(AND($Z90&lt;&gt;"",EDATE($D90,Milestones!$AA$163)&gt;=$Z90),$AC90,IF(AND($Y90&lt;&gt;"",EDATE($D90,Milestones!$AA$163)&gt;=$Y90),$AB90,$AA90)))=Milestones!$AB$163),UPPER(TEXT(EDATE($D90,Milestones!$AA$163),"dd mmm yy"))&amp;" "&amp;Milestones!$AB$163&amp;" "&amp;IF(AND(Milestones!$AB$163="FT",Milestones!$AA$163=FT_Y5,EDATE($D90,Milestones!$AA$163)&lt;PolicyEff),1,Milestones!$AC$163)&amp;";  ",""))</f>
        <v/>
      </c>
      <c r="U90" s="0" t="str">
        <f aca="false">IF(OR($A90="",$D90=""),"",IF(AND(EDATE($D90,Milestones!$AA$164)&lt;=AsOfDate,EDATE($D90,Milestones!$AA$164)&gt;=SchemeStart,IF($X90=0,$AD90,IF(AND($Z90&lt;&gt;"",EDATE($D90,Milestones!$AA$164)&gt;=$Z90),$AC90,IF(AND($Y90&lt;&gt;"",EDATE($D90,Milestones!$AA$164)&gt;=$Y90),$AB90,$AA90)))=Milestones!$AB$164),UPPER(TEXT(EDATE($D90,Milestones!$AA$164),"dd mmm yy"))&amp;" "&amp;Milestones!$AB$164&amp;" "&amp;IF(AND(Milestones!$AB$164="FT",Milestones!$AA$164=FT_Y5,EDATE($D90,Milestones!$AA$164)&lt;PolicyEff),1,Milestones!$AC$164)&amp;";  ","")&amp;IF(AND(EDATE($D90,Milestones!$AA$165)&lt;=AsOfDate,EDATE($D90,Milestones!$AA$165)&gt;=SchemeStart,IF($X90=0,$AD90,IF(AND($Z90&lt;&gt;"",EDATE($D90,Milestones!$AA$165)&gt;=$Z90),$AC90,IF(AND($Y90&lt;&gt;"",EDATE($D90,Milestones!$AA$165)&gt;=$Y90),$AB90,$AA90)))=Milestones!$AB$165),UPPER(TEXT(EDATE($D90,Milestones!$AA$165),"dd mmm yy"))&amp;" "&amp;Milestones!$AB$165&amp;" "&amp;IF(AND(Milestones!$AB$165="FT",Milestones!$AA$165=FT_Y5,EDATE($D90,Milestones!$AA$165)&lt;PolicyEff),1,Milestones!$AC$165)&amp;";  ","")&amp;IF(AND(EDATE($D90,Milestones!$AA$166)&lt;=AsOfDate,EDATE($D90,Milestones!$AA$166)&gt;=SchemeStart,IF($X90=0,$AD90,IF(AND($Z90&lt;&gt;"",EDATE($D90,Milestones!$AA$166)&gt;=$Z90),$AC90,IF(AND($Y90&lt;&gt;"",EDATE($D90,Milestones!$AA$166)&gt;=$Y90),$AB90,$AA90)))=Milestones!$AB$166),UPPER(TEXT(EDATE($D90,Milestones!$AA$166),"dd mmm yy"))&amp;" "&amp;Milestones!$AB$166&amp;" "&amp;IF(AND(Milestones!$AB$166="FT",Milestones!$AA$166=FT_Y5,EDATE($D90,Milestones!$AA$166)&lt;PolicyEff),1,Milestones!$AC$166)&amp;";  ","")&amp;IF(AND(EDATE($D90,Milestones!$AA$167)&lt;=AsOfDate,EDATE($D90,Milestones!$AA$167)&gt;=SchemeStart,IF($X90=0,$AD90,IF(AND($Z90&lt;&gt;"",EDATE($D90,Milestones!$AA$167)&gt;=$Z90),$AC90,IF(AND($Y90&lt;&gt;"",EDATE($D90,Milestones!$AA$167)&gt;=$Y90),$AB90,$AA90)))=Milestones!$AB$167),UPPER(TEXT(EDATE($D90,Milestones!$AA$167),"dd mmm yy"))&amp;" "&amp;Milestones!$AB$167&amp;" "&amp;IF(AND(Milestones!$AB$167="FT",Milestones!$AA$167=FT_Y5,EDATE($D90,Milestones!$AA$167)&lt;PolicyEff),1,Milestones!$AC$167)&amp;";  ","")&amp;IF(AND(EDATE($D90,Milestones!$AA$168)&lt;=AsOfDate,EDATE($D90,Milestones!$AA$168)&gt;=SchemeStart,IF($X90=0,$AD90,IF(AND($Z90&lt;&gt;"",EDATE($D90,Milestones!$AA$168)&gt;=$Z90),$AC90,IF(AND($Y90&lt;&gt;"",EDATE($D90,Milestones!$AA$168)&gt;=$Y90),$AB90,$AA90)))=Milestones!$AB$168),UPPER(TEXT(EDATE($D90,Milestones!$AA$168),"dd mmm yy"))&amp;" "&amp;Milestones!$AB$168&amp;" "&amp;IF(AND(Milestones!$AB$168="FT",Milestones!$AA$168=FT_Y5,EDATE($D90,Milestones!$AA$168)&lt;PolicyEff),1,Milestones!$AC$168)&amp;";  ","")&amp;IF(AND(EDATE($D90,Milestones!$AA$169)&lt;=AsOfDate,EDATE($D90,Milestones!$AA$169)&gt;=SchemeStart,IF($X90=0,$AD90,IF(AND($Z90&lt;&gt;"",EDATE($D90,Milestones!$AA$169)&gt;=$Z90),$AC90,IF(AND($Y90&lt;&gt;"",EDATE($D90,Milestones!$AA$169)&gt;=$Y90),$AB90,$AA90)))=Milestones!$AB$169),UPPER(TEXT(EDATE($D90,Milestones!$AA$169),"dd mmm yy"))&amp;" "&amp;Milestones!$AB$169&amp;" "&amp;IF(AND(Milestones!$AB$169="FT",Milestones!$AA$169=FT_Y5,EDATE($D90,Milestones!$AA$169)&lt;PolicyEff),1,Milestones!$AC$169)&amp;";  ","")&amp;IF(AND(EDATE($D90,Milestones!$AA$170)&lt;=AsOfDate,EDATE($D90,Milestones!$AA$170)&gt;=SchemeStart,IF($X90=0,$AD90,IF(AND($Z90&lt;&gt;"",EDATE($D90,Milestones!$AA$170)&gt;=$Z90),$AC90,IF(AND($Y90&lt;&gt;"",EDATE($D90,Milestones!$AA$170)&gt;=$Y90),$AB90,$AA90)))=Milestones!$AB$170),UPPER(TEXT(EDATE($D90,Milestones!$AA$170),"dd mmm yy"))&amp;" "&amp;Milestones!$AB$170&amp;" "&amp;IF(AND(Milestones!$AB$170="FT",Milestones!$AA$170=FT_Y5,EDATE($D90,Milestones!$AA$170)&lt;PolicyEff),1,Milestones!$AC$170)&amp;";  ","")&amp;IF(AND(EDATE($D90,Milestones!$AA$171)&lt;=AsOfDate,EDATE($D90,Milestones!$AA$171)&gt;=SchemeStart,IF($X90=0,$AD90,IF(AND($Z90&lt;&gt;"",EDATE($D90,Milestones!$AA$171)&gt;=$Z90),$AC90,IF(AND($Y90&lt;&gt;"",EDATE($D90,Milestones!$AA$171)&gt;=$Y90),$AB90,$AA90)))=Milestones!$AB$171),UPPER(TEXT(EDATE($D90,Milestones!$AA$171),"dd mmm yy"))&amp;" "&amp;Milestones!$AB$171&amp;" "&amp;IF(AND(Milestones!$AB$171="FT",Milestones!$AA$171=FT_Y5,EDATE($D90,Milestones!$AA$171)&lt;PolicyEff),1,Milestones!$AC$171)&amp;";  ","")&amp;IF(AND(EDATE($D90,Milestones!$AA$172)&lt;=AsOfDate,EDATE($D90,Milestones!$AA$172)&gt;=SchemeStart,IF($X90=0,$AD90,IF(AND($Z90&lt;&gt;"",EDATE($D90,Milestones!$AA$172)&gt;=$Z90),$AC90,IF(AND($Y90&lt;&gt;"",EDATE($D90,Milestones!$AA$172)&gt;=$Y90),$AB90,$AA90)))=Milestones!$AB$172),UPPER(TEXT(EDATE($D90,Milestones!$AA$172),"dd mmm yy"))&amp;" "&amp;Milestones!$AB$172&amp;" "&amp;IF(AND(Milestones!$AB$172="FT",Milestones!$AA$172=FT_Y5,EDATE($D90,Milestones!$AA$172)&lt;PolicyEff),1,Milestones!$AC$172)&amp;";  ","")&amp;IF(AND(EDATE($D90,Milestones!$AA$173)&lt;=AsOfDate,EDATE($D90,Milestones!$AA$173)&gt;=SchemeStart,IF($X90=0,$AD90,IF(AND($Z90&lt;&gt;"",EDATE($D90,Milestones!$AA$173)&gt;=$Z90),$AC90,IF(AND($Y90&lt;&gt;"",EDATE($D90,Milestones!$AA$173)&gt;=$Y90),$AB90,$AA90)))=Milestones!$AB$173),UPPER(TEXT(EDATE($D90,Milestones!$AA$173),"dd mmm yy"))&amp;" "&amp;Milestones!$AB$173&amp;" "&amp;IF(AND(Milestones!$AB$173="FT",Milestones!$AA$173=FT_Y5,EDATE($D90,Milestones!$AA$173)&lt;PolicyEff),1,Milestones!$AC$173)&amp;";  ","")&amp;IF(AND(EDATE($D90,Milestones!$AA$174)&lt;=AsOfDate,EDATE($D90,Milestones!$AA$174)&gt;=SchemeStart,IF($X90=0,$AD90,IF(AND($Z90&lt;&gt;"",EDATE($D90,Milestones!$AA$174)&gt;=$Z90),$AC90,IF(AND($Y90&lt;&gt;"",EDATE($D90,Milestones!$AA$174)&gt;=$Y90),$AB90,$AA90)))=Milestones!$AB$174),UPPER(TEXT(EDATE($D90,Milestones!$AA$174),"dd mmm yy"))&amp;" "&amp;Milestones!$AB$174&amp;" "&amp;IF(AND(Milestones!$AB$174="FT",Milestones!$AA$174=FT_Y5,EDATE($D90,Milestones!$AA$174)&lt;PolicyEff),1,Milestones!$AC$174)&amp;";  ","")&amp;IF(AND(EDATE($D90,Milestones!$AA$175)&lt;=AsOfDate,EDATE($D90,Milestones!$AA$175)&gt;=SchemeStart,IF($X90=0,$AD90,IF(AND($Z90&lt;&gt;"",EDATE($D90,Milestones!$AA$175)&gt;=$Z90),$AC90,IF(AND($Y90&lt;&gt;"",EDATE($D90,Milestones!$AA$175)&gt;=$Y90),$AB90,$AA90)))=Milestones!$AB$175),UPPER(TEXT(EDATE($D90,Milestones!$AA$175),"dd mmm yy"))&amp;" "&amp;Milestones!$AB$175&amp;" "&amp;IF(AND(Milestones!$AB$175="FT",Milestones!$AA$175=FT_Y5,EDATE($D90,Milestones!$AA$175)&lt;PolicyEff),1,Milestones!$AC$175)&amp;";  ",""))</f>
        <v/>
      </c>
      <c r="V90" s="0" t="str">
        <f aca="false">IF(OR($A90="",$D90=""),"",IF(AND(EDATE($D90,Milestones!$AA$176)&lt;=AsOfDate,EDATE($D90,Milestones!$AA$176)&gt;=SchemeStart,IF($X90=0,$AD90,IF(AND($Z90&lt;&gt;"",EDATE($D90,Milestones!$AA$176)&gt;=$Z90),$AC90,IF(AND($Y90&lt;&gt;"",EDATE($D90,Milestones!$AA$176)&gt;=$Y90),$AB90,$AA90)))=Milestones!$AB$176),UPPER(TEXT(EDATE($D90,Milestones!$AA$176),"dd mmm yy"))&amp;" "&amp;Milestones!$AB$176&amp;" "&amp;IF(AND(Milestones!$AB$176="FT",Milestones!$AA$176=FT_Y5,EDATE($D90,Milestones!$AA$176)&lt;PolicyEff),1,Milestones!$AC$176)&amp;";  ","")&amp;IF(AND(EDATE($D90,Milestones!$AA$177)&lt;=AsOfDate,EDATE($D90,Milestones!$AA$177)&gt;=SchemeStart,IF($X90=0,$AD90,IF(AND($Z90&lt;&gt;"",EDATE($D90,Milestones!$AA$177)&gt;=$Z90),$AC90,IF(AND($Y90&lt;&gt;"",EDATE($D90,Milestones!$AA$177)&gt;=$Y90),$AB90,$AA90)))=Milestones!$AB$177),UPPER(TEXT(EDATE($D90,Milestones!$AA$177),"dd mmm yy"))&amp;" "&amp;Milestones!$AB$177&amp;" "&amp;IF(AND(Milestones!$AB$177="FT",Milestones!$AA$177=FT_Y5,EDATE($D90,Milestones!$AA$177)&lt;PolicyEff),1,Milestones!$AC$177)&amp;";  ","")&amp;IF(AND(EDATE($D90,Milestones!$AA$178)&lt;=AsOfDate,EDATE($D90,Milestones!$AA$178)&gt;=SchemeStart,IF($X90=0,$AD90,IF(AND($Z90&lt;&gt;"",EDATE($D90,Milestones!$AA$178)&gt;=$Z90),$AC90,IF(AND($Y90&lt;&gt;"",EDATE($D90,Milestones!$AA$178)&gt;=$Y90),$AB90,$AA90)))=Milestones!$AB$178),UPPER(TEXT(EDATE($D90,Milestones!$AA$178),"dd mmm yy"))&amp;" "&amp;Milestones!$AB$178&amp;" "&amp;IF(AND(Milestones!$AB$178="FT",Milestones!$AA$178=FT_Y5,EDATE($D90,Milestones!$AA$178)&lt;PolicyEff),1,Milestones!$AC$178)&amp;";  ","")&amp;IF(AND(EDATE($D90,Milestones!$AA$179)&lt;=AsOfDate,EDATE($D90,Milestones!$AA$179)&gt;=SchemeStart,IF($X90=0,$AD90,IF(AND($Z90&lt;&gt;"",EDATE($D90,Milestones!$AA$179)&gt;=$Z90),$AC90,IF(AND($Y90&lt;&gt;"",EDATE($D90,Milestones!$AA$179)&gt;=$Y90),$AB90,$AA90)))=Milestones!$AB$179),UPPER(TEXT(EDATE($D90,Milestones!$AA$179),"dd mmm yy"))&amp;" "&amp;Milestones!$AB$179&amp;" "&amp;IF(AND(Milestones!$AB$179="FT",Milestones!$AA$179=FT_Y5,EDATE($D90,Milestones!$AA$179)&lt;PolicyEff),1,Milestones!$AC$179)&amp;";  ","")&amp;IF(AND(EDATE($D90,Milestones!$AA$180)&lt;=AsOfDate,EDATE($D90,Milestones!$AA$180)&gt;=SchemeStart,IF($X90=0,$AD90,IF(AND($Z90&lt;&gt;"",EDATE($D90,Milestones!$AA$180)&gt;=$Z90),$AC90,IF(AND($Y90&lt;&gt;"",EDATE($D90,Milestones!$AA$180)&gt;=$Y90),$AB90,$AA90)))=Milestones!$AB$180),UPPER(TEXT(EDATE($D90,Milestones!$AA$180),"dd mmm yy"))&amp;" "&amp;Milestones!$AB$180&amp;" "&amp;IF(AND(Milestones!$AB$180="FT",Milestones!$AA$180=FT_Y5,EDATE($D90,Milestones!$AA$180)&lt;PolicyEff),1,Milestones!$AC$180)&amp;";  ","")&amp;IF(AND(EDATE($D90,Milestones!$AA$181)&lt;=AsOfDate,EDATE($D90,Milestones!$AA$181)&gt;=SchemeStart,IF($X90=0,$AD90,IF(AND($Z90&lt;&gt;"",EDATE($D90,Milestones!$AA$181)&gt;=$Z90),$AC90,IF(AND($Y90&lt;&gt;"",EDATE($D90,Milestones!$AA$181)&gt;=$Y90),$AB90,$AA90)))=Milestones!$AB$181),UPPER(TEXT(EDATE($D90,Milestones!$AA$181),"dd mmm yy"))&amp;" "&amp;Milestones!$AB$181&amp;" "&amp;IF(AND(Milestones!$AB$181="FT",Milestones!$AA$181=FT_Y5,EDATE($D90,Milestones!$AA$181)&lt;PolicyEff),1,Milestones!$AC$181)&amp;";  ","")&amp;IF(AND(EDATE($D90,Milestones!$AA$182)&lt;=AsOfDate,EDATE($D90,Milestones!$AA$182)&gt;=SchemeStart,IF($X90=0,$AD90,IF(AND($Z90&lt;&gt;"",EDATE($D90,Milestones!$AA$182)&gt;=$Z90),$AC90,IF(AND($Y90&lt;&gt;"",EDATE($D90,Milestones!$AA$182)&gt;=$Y90),$AB90,$AA90)))=Milestones!$AB$182),UPPER(TEXT(EDATE($D90,Milestones!$AA$182),"dd mmm yy"))&amp;" "&amp;Milestones!$AB$182&amp;" "&amp;IF(AND(Milestones!$AB$182="FT",Milestones!$AA$182=FT_Y5,EDATE($D90,Milestones!$AA$182)&lt;PolicyEff),1,Milestones!$AC$182)&amp;";  ","")&amp;IF(AND(EDATE($D90,Milestones!$AA$183)&lt;=AsOfDate,EDATE($D90,Milestones!$AA$183)&gt;=SchemeStart,IF($X90=0,$AD90,IF(AND($Z90&lt;&gt;"",EDATE($D90,Milestones!$AA$183)&gt;=$Z90),$AC90,IF(AND($Y90&lt;&gt;"",EDATE($D90,Milestones!$AA$183)&gt;=$Y90),$AB90,$AA90)))=Milestones!$AB$183),UPPER(TEXT(EDATE($D90,Milestones!$AA$183),"dd mmm yy"))&amp;" "&amp;Milestones!$AB$183&amp;" "&amp;IF(AND(Milestones!$AB$183="FT",Milestones!$AA$183=FT_Y5,EDATE($D90,Milestones!$AA$183)&lt;PolicyEff),1,Milestones!$AC$183)&amp;";  ","")&amp;IF(AND(EDATE($D90,Milestones!$AA$184)&lt;=AsOfDate,EDATE($D90,Milestones!$AA$184)&gt;=SchemeStart,IF($X90=0,$AD90,IF(AND($Z90&lt;&gt;"",EDATE($D90,Milestones!$AA$184)&gt;=$Z90),$AC90,IF(AND($Y90&lt;&gt;"",EDATE($D90,Milestones!$AA$184)&gt;=$Y90),$AB90,$AA90)))=Milestones!$AB$184),UPPER(TEXT(EDATE($D90,Milestones!$AA$184),"dd mmm yy"))&amp;" "&amp;Milestones!$AB$184&amp;" "&amp;IF(AND(Milestones!$AB$184="FT",Milestones!$AA$184=FT_Y5,EDATE($D90,Milestones!$AA$184)&lt;PolicyEff),1,Milestones!$AC$184)&amp;";  ","")&amp;IF(AND(EDATE($D90,Milestones!$AA$185)&lt;=AsOfDate,EDATE($D90,Milestones!$AA$185)&gt;=SchemeStart,IF($X90=0,$AD90,IF(AND($Z90&lt;&gt;"",EDATE($D90,Milestones!$AA$185)&gt;=$Z90),$AC90,IF(AND($Y90&lt;&gt;"",EDATE($D90,Milestones!$AA$185)&gt;=$Y90),$AB90,$AA90)))=Milestones!$AB$185),UPPER(TEXT(EDATE($D90,Milestones!$AA$185),"dd mmm yy"))&amp;" "&amp;Milestones!$AB$185&amp;" "&amp;IF(AND(Milestones!$AB$185="FT",Milestones!$AA$185=FT_Y5,EDATE($D90,Milestones!$AA$185)&lt;PolicyEff),1,Milestones!$AC$185)&amp;";  ","")&amp;IF(AND(EDATE($D90,Milestones!$AA$186)&lt;=AsOfDate,EDATE($D90,Milestones!$AA$186)&gt;=SchemeStart,IF($X90=0,$AD90,IF(AND($Z90&lt;&gt;"",EDATE($D90,Milestones!$AA$186)&gt;=$Z90),$AC90,IF(AND($Y90&lt;&gt;"",EDATE($D90,Milestones!$AA$186)&gt;=$Y90),$AB90,$AA90)))=Milestones!$AB$186),UPPER(TEXT(EDATE($D90,Milestones!$AA$186),"dd mmm yy"))&amp;" "&amp;Milestones!$AB$186&amp;" "&amp;IF(AND(Milestones!$AB$186="FT",Milestones!$AA$186=FT_Y5,EDATE($D90,Milestones!$AA$186)&lt;PolicyEff),1,Milestones!$AC$186)&amp;";  ","")&amp;IF(AND(EDATE($D90,Milestones!$AA$187)&lt;=AsOfDate,EDATE($D90,Milestones!$AA$187)&gt;=SchemeStart,IF($X90=0,$AD90,IF(AND($Z90&lt;&gt;"",EDATE($D90,Milestones!$AA$187)&gt;=$Z90),$AC90,IF(AND($Y90&lt;&gt;"",EDATE($D90,Milestones!$AA$187)&gt;=$Y90),$AB90,$AA90)))=Milestones!$AB$187),UPPER(TEXT(EDATE($D90,Milestones!$AA$187),"dd mmm yy"))&amp;" "&amp;Milestones!$AB$187&amp;" "&amp;IF(AND(Milestones!$AB$187="FT",Milestones!$AA$187=FT_Y5,EDATE($D90,Milestones!$AA$187)&lt;PolicyEff),1,Milestones!$AC$187)&amp;";  ",""))</f>
        <v/>
      </c>
      <c r="W90" s="0" t="str">
        <f aca="false">IF(OR($A90="",$D90=""),"",IF(AND(EDATE($D90,Milestones!$AA$188)&lt;=AsOfDate,EDATE($D90,Milestones!$AA$188)&gt;=SchemeStart,IF($X90=0,$AD90,IF(AND($Z90&lt;&gt;"",EDATE($D90,Milestones!$AA$188)&gt;=$Z90),$AC90,IF(AND($Y90&lt;&gt;"",EDATE($D90,Milestones!$AA$188)&gt;=$Y90),$AB90,$AA90)))=Milestones!$AB$188),UPPER(TEXT(EDATE($D90,Milestones!$AA$188),"dd mmm yy"))&amp;" "&amp;Milestones!$AB$188&amp;" "&amp;IF(AND(Milestones!$AB$188="FT",Milestones!$AA$188=FT_Y5,EDATE($D90,Milestones!$AA$188)&lt;PolicyEff),1,Milestones!$AC$188)&amp;";  ","")&amp;IF(AND(EDATE($D90,Milestones!$AA$189)&lt;=AsOfDate,EDATE($D90,Milestones!$AA$189)&gt;=SchemeStart,IF($X90=0,$AD90,IF(AND($Z90&lt;&gt;"",EDATE($D90,Milestones!$AA$189)&gt;=$Z90),$AC90,IF(AND($Y90&lt;&gt;"",EDATE($D90,Milestones!$AA$189)&gt;=$Y90),$AB90,$AA90)))=Milestones!$AB$189),UPPER(TEXT(EDATE($D90,Milestones!$AA$189),"dd mmm yy"))&amp;" "&amp;Milestones!$AB$189&amp;" "&amp;IF(AND(Milestones!$AB$189="FT",Milestones!$AA$189=FT_Y5,EDATE($D90,Milestones!$AA$189)&lt;PolicyEff),1,Milestones!$AC$189)&amp;";  ","")&amp;IF(AND(EDATE($D90,Milestones!$AA$190)&lt;=AsOfDate,EDATE($D90,Milestones!$AA$190)&gt;=SchemeStart,IF($X90=0,$AD90,IF(AND($Z90&lt;&gt;"",EDATE($D90,Milestones!$AA$190)&gt;=$Z90),$AC90,IF(AND($Y90&lt;&gt;"",EDATE($D90,Milestones!$AA$190)&gt;=$Y90),$AB90,$AA90)))=Milestones!$AB$190),UPPER(TEXT(EDATE($D90,Milestones!$AA$190),"dd mmm yy"))&amp;" "&amp;Milestones!$AB$190&amp;" "&amp;IF(AND(Milestones!$AB$190="FT",Milestones!$AA$190=FT_Y5,EDATE($D90,Milestones!$AA$190)&lt;PolicyEff),1,Milestones!$AC$190)&amp;";  ","")&amp;IF(AND(EDATE($D90,Milestones!$AA$191)&lt;=AsOfDate,EDATE($D90,Milestones!$AA$191)&gt;=SchemeStart,IF($X90=0,$AD90,IF(AND($Z90&lt;&gt;"",EDATE($D90,Milestones!$AA$191)&gt;=$Z90),$AC90,IF(AND($Y90&lt;&gt;"",EDATE($D90,Milestones!$AA$191)&gt;=$Y90),$AB90,$AA90)))=Milestones!$AB$191),UPPER(TEXT(EDATE($D90,Milestones!$AA$191),"dd mmm yy"))&amp;" "&amp;Milestones!$AB$191&amp;" "&amp;IF(AND(Milestones!$AB$191="FT",Milestones!$AA$191=FT_Y5,EDATE($D90,Milestones!$AA$191)&lt;PolicyEff),1,Milestones!$AC$191)&amp;";  ","")&amp;IF(AND(EDATE($D90,Milestones!$AA$192)&lt;=AsOfDate,EDATE($D90,Milestones!$AA$192)&gt;=SchemeStart,IF($X90=0,$AD90,IF(AND($Z90&lt;&gt;"",EDATE($D90,Milestones!$AA$192)&gt;=$Z90),$AC90,IF(AND($Y90&lt;&gt;"",EDATE($D90,Milestones!$AA$192)&gt;=$Y90),$AB90,$AA90)))=Milestones!$AB$192),UPPER(TEXT(EDATE($D90,Milestones!$AA$192),"dd mmm yy"))&amp;" "&amp;Milestones!$AB$192&amp;" "&amp;IF(AND(Milestones!$AB$192="FT",Milestones!$AA$192=FT_Y5,EDATE($D90,Milestones!$AA$192)&lt;PolicyEff),1,Milestones!$AC$192)&amp;";  ","")&amp;IF(AND(EDATE($D90,Milestones!$AA$193)&lt;=AsOfDate,EDATE($D90,Milestones!$AA$193)&gt;=SchemeStart,IF($X90=0,$AD90,IF(AND($Z90&lt;&gt;"",EDATE($D90,Milestones!$AA$193)&gt;=$Z90),$AC90,IF(AND($Y90&lt;&gt;"",EDATE($D90,Milestones!$AA$193)&gt;=$Y90),$AB90,$AA90)))=Milestones!$AB$193),UPPER(TEXT(EDATE($D90,Milestones!$AA$193),"dd mmm yy"))&amp;" "&amp;Milestones!$AB$193&amp;" "&amp;IF(AND(Milestones!$AB$193="FT",Milestones!$AA$193=FT_Y5,EDATE($D90,Milestones!$AA$193)&lt;PolicyEff),1,Milestones!$AC$193)&amp;";  ","")&amp;IF(AND(EDATE($D90,Milestones!$AA$194)&lt;=AsOfDate,EDATE($D90,Milestones!$AA$194)&gt;=SchemeStart,IF($X90=0,$AD90,IF(AND($Z90&lt;&gt;"",EDATE($D90,Milestones!$AA$194)&gt;=$Z90),$AC90,IF(AND($Y90&lt;&gt;"",EDATE($D90,Milestones!$AA$194)&gt;=$Y90),$AB90,$AA90)))=Milestones!$AB$194),UPPER(TEXT(EDATE($D90,Milestones!$AA$194),"dd mmm yy"))&amp;" "&amp;Milestones!$AB$194&amp;" "&amp;IF(AND(Milestones!$AB$194="FT",Milestones!$AA$194=FT_Y5,EDATE($D90,Milestones!$AA$194)&lt;PolicyEff),1,Milestones!$AC$194)&amp;";  ","")&amp;IF(AND(EDATE($D90,Milestones!$AA$195)&lt;=AsOfDate,EDATE($D90,Milestones!$AA$195)&gt;=SchemeStart,IF($X90=0,$AD90,IF(AND($Z90&lt;&gt;"",EDATE($D90,Milestones!$AA$195)&gt;=$Z90),$AC90,IF(AND($Y90&lt;&gt;"",EDATE($D90,Milestones!$AA$195)&gt;=$Y90),$AB90,$AA90)))=Milestones!$AB$195),UPPER(TEXT(EDATE($D90,Milestones!$AA$195),"dd mmm yy"))&amp;" "&amp;Milestones!$AB$195&amp;" "&amp;IF(AND(Milestones!$AB$195="FT",Milestones!$AA$195=FT_Y5,EDATE($D90,Milestones!$AA$195)&lt;PolicyEff),1,Milestones!$AC$195)&amp;";  ","")&amp;IF(AND(EDATE($D90,Milestones!$AA$196)&lt;=AsOfDate,EDATE($D90,Milestones!$AA$196)&gt;=SchemeStart,IF($X90=0,$AD90,IF(AND($Z90&lt;&gt;"",EDATE($D90,Milestones!$AA$196)&gt;=$Z90),$AC90,IF(AND($Y90&lt;&gt;"",EDATE($D90,Milestones!$AA$196)&gt;=$Y90),$AB90,$AA90)))=Milestones!$AB$196),UPPER(TEXT(EDATE($D90,Milestones!$AA$196),"dd mmm yy"))&amp;" "&amp;Milestones!$AB$196&amp;" "&amp;IF(AND(Milestones!$AB$196="FT",Milestones!$AA$196=FT_Y5,EDATE($D90,Milestones!$AA$196)&lt;PolicyEff),1,Milestones!$AC$196)&amp;";  ","")&amp;IF(AND(EDATE($D90,Milestones!$AA$197)&lt;=AsOfDate,EDATE($D90,Milestones!$AA$197)&gt;=SchemeStart,IF($X90=0,$AD90,IF(AND($Z90&lt;&gt;"",EDATE($D90,Milestones!$AA$197)&gt;=$Z90),$AC90,IF(AND($Y90&lt;&gt;"",EDATE($D90,Milestones!$AA$197)&gt;=$Y90),$AB90,$AA90)))=Milestones!$AB$197),UPPER(TEXT(EDATE($D90,Milestones!$AA$197),"dd mmm yy"))&amp;" "&amp;Milestones!$AB$197&amp;" "&amp;IF(AND(Milestones!$AB$197="FT",Milestones!$AA$197=FT_Y5,EDATE($D90,Milestones!$AA$197)&lt;PolicyEff),1,Milestones!$AC$197)&amp;";  ","")&amp;IF(AND(EDATE($D90,Milestones!$AA$198)&lt;=AsOfDate,EDATE($D90,Milestones!$AA$198)&gt;=SchemeStart,IF($X90=0,$AD90,IF(AND($Z90&lt;&gt;"",EDATE($D90,Milestones!$AA$198)&gt;=$Z90),$AC90,IF(AND($Y90&lt;&gt;"",EDATE($D90,Milestones!$AA$198)&gt;=$Y90),$AB90,$AA90)))=Milestones!$AB$198),UPPER(TEXT(EDATE($D90,Milestones!$AA$198),"dd mmm yy"))&amp;" "&amp;Milestones!$AB$198&amp;" "&amp;IF(AND(Milestones!$AB$198="FT",Milestones!$AA$198=FT_Y5,EDATE($D90,Milestones!$AA$198)&lt;PolicyEff),1,Milestones!$AC$198)&amp;";  ","")&amp;IF(AND(EDATE($D90,Milestones!$AA$199)&lt;=AsOfDate,EDATE($D90,Milestones!$AA$199)&gt;=SchemeStart,IF($X90=0,$AD90,IF(AND($Z90&lt;&gt;"",EDATE($D90,Milestones!$AA$199)&gt;=$Z90),$AC90,IF(AND($Y90&lt;&gt;"",EDATE($D90,Milestones!$AA$199)&gt;=$Y90),$AB90,$AA90)))=Milestones!$AB$199),UPPER(TEXT(EDATE($D90,Milestones!$AA$199),"dd mmm yy"))&amp;" "&amp;Milestones!$AB$199&amp;" "&amp;IF(AND(Milestones!$AB$199="FT",Milestones!$AA$199=FT_Y5,EDATE($D90,Milestones!$AA$199)&lt;PolicyEff),1,Milestones!$AC$199)&amp;";  ",""))</f>
        <v/>
      </c>
      <c r="X90" s="0" t="str">
        <f aca="false">IF(Staff!$A90="","",Staff!$AM90)</f>
        <v/>
      </c>
      <c r="Y90" s="0" t="str">
        <f aca="false">IF(Staff!$A90="","",Staff!$AO90)</f>
        <v/>
      </c>
      <c r="Z90" s="0" t="str">
        <f aca="false">IF(Staff!$A90="","",Staff!$AP90)</f>
        <v/>
      </c>
      <c r="AA90" s="0" t="str">
        <f aca="false">IF(Staff!$A90="","",Staff!$AT90)</f>
        <v/>
      </c>
      <c r="AB90" s="0" t="str">
        <f aca="false">IF(Staff!$A90="","",Staff!$AU90)</f>
        <v/>
      </c>
      <c r="AC90" s="0" t="str">
        <f aca="false">IF(Staff!$A90="","",Staff!$AV90)</f>
        <v/>
      </c>
      <c r="AD90" s="0" t="str">
        <f aca="false">IF(Staff!$A90="","",Staff!$AW90)</f>
        <v/>
      </c>
    </row>
    <row r="91" customFormat="false" ht="15" hidden="false" customHeight="false" outlineLevel="0" collapsed="false">
      <c r="A91" s="16" t="str">
        <f aca="false">IF(Staff!$A91="","",Staff!$A91)</f>
        <v/>
      </c>
      <c r="B91" s="16" t="str">
        <f aca="false">IF(Staff!$A91="","",Staff!$B91)</f>
        <v/>
      </c>
      <c r="C91" s="16" t="str">
        <f aca="false">IF(Staff!$A91="","",Staff!$C91)</f>
        <v/>
      </c>
      <c r="D91" s="14" t="str">
        <f aca="false">IF(Staff!$A91="","",Staff!$AL91)</f>
        <v/>
      </c>
      <c r="E91" s="16" t="str">
        <f aca="false">IF(Staff!$A91="","",Staff!$O91)</f>
        <v/>
      </c>
      <c r="F91" s="16" t="str">
        <f aca="false">IF(E91="","",E91*HoursPerDay)</f>
        <v/>
      </c>
      <c r="G91" s="16" t="str">
        <f aca="false">IF(Staff!$A91="","",Staff!$AE91)</f>
        <v/>
      </c>
      <c r="H91" s="28" t="str">
        <f aca="false">IF($A91="","",I91&amp;J91&amp;K91&amp;L91&amp;M91&amp;N91&amp;O91&amp;P91&amp;Q91&amp;R91&amp;S91&amp;T91&amp;U91&amp;V91&amp;W91)</f>
        <v/>
      </c>
      <c r="I91" s="0" t="str">
        <f aca="false">IF(OR($A91="",$D91=""),"",IF(AND(EDATE($D91,Milestones!$AA$20)&lt;=AsOfDate,EDATE($D91,Milestones!$AA$20)&gt;=SchemeStart,IF($X91=0,$AD91,IF(AND($Z91&lt;&gt;"",EDATE($D91,Milestones!$AA$20)&gt;=$Z91),$AC91,IF(AND($Y91&lt;&gt;"",EDATE($D91,Milestones!$AA$20)&gt;=$Y91),$AB91,$AA91)))=Milestones!$AB$20),UPPER(TEXT(EDATE($D91,Milestones!$AA$20),"dd mmm yy"))&amp;" "&amp;Milestones!$AB$20&amp;" "&amp;IF(AND(Milestones!$AB$20="FT",Milestones!$AA$20=FT_Y5,EDATE($D91,Milestones!$AA$20)&lt;PolicyEff),1,Milestones!$AC$20)&amp;";  ","")&amp;IF(AND(EDATE($D91,Milestones!$AA$21)&lt;=AsOfDate,EDATE($D91,Milestones!$AA$21)&gt;=SchemeStart,IF($X91=0,$AD91,IF(AND($Z91&lt;&gt;"",EDATE($D91,Milestones!$AA$21)&gt;=$Z91),$AC91,IF(AND($Y91&lt;&gt;"",EDATE($D91,Milestones!$AA$21)&gt;=$Y91),$AB91,$AA91)))=Milestones!$AB$21),UPPER(TEXT(EDATE($D91,Milestones!$AA$21),"dd mmm yy"))&amp;" "&amp;Milestones!$AB$21&amp;" "&amp;IF(AND(Milestones!$AB$21="FT",Milestones!$AA$21=FT_Y5,EDATE($D91,Milestones!$AA$21)&lt;PolicyEff),1,Milestones!$AC$21)&amp;";  ","")&amp;IF(AND(EDATE($D91,Milestones!$AA$22)&lt;=AsOfDate,EDATE($D91,Milestones!$AA$22)&gt;=SchemeStart,IF($X91=0,$AD91,IF(AND($Z91&lt;&gt;"",EDATE($D91,Milestones!$AA$22)&gt;=$Z91),$AC91,IF(AND($Y91&lt;&gt;"",EDATE($D91,Milestones!$AA$22)&gt;=$Y91),$AB91,$AA91)))=Milestones!$AB$22),UPPER(TEXT(EDATE($D91,Milestones!$AA$22),"dd mmm yy"))&amp;" "&amp;Milestones!$AB$22&amp;" "&amp;IF(AND(Milestones!$AB$22="FT",Milestones!$AA$22=FT_Y5,EDATE($D91,Milestones!$AA$22)&lt;PolicyEff),1,Milestones!$AC$22)&amp;";  ","")&amp;IF(AND(EDATE($D91,Milestones!$AA$23)&lt;=AsOfDate,EDATE($D91,Milestones!$AA$23)&gt;=SchemeStart,IF($X91=0,$AD91,IF(AND($Z91&lt;&gt;"",EDATE($D91,Milestones!$AA$23)&gt;=$Z91),$AC91,IF(AND($Y91&lt;&gt;"",EDATE($D91,Milestones!$AA$23)&gt;=$Y91),$AB91,$AA91)))=Milestones!$AB$23),UPPER(TEXT(EDATE($D91,Milestones!$AA$23),"dd mmm yy"))&amp;" "&amp;Milestones!$AB$23&amp;" "&amp;IF(AND(Milestones!$AB$23="FT",Milestones!$AA$23=FT_Y5,EDATE($D91,Milestones!$AA$23)&lt;PolicyEff),1,Milestones!$AC$23)&amp;";  ","")&amp;IF(AND(EDATE($D91,Milestones!$AA$24)&lt;=AsOfDate,EDATE($D91,Milestones!$AA$24)&gt;=SchemeStart,IF($X91=0,$AD91,IF(AND($Z91&lt;&gt;"",EDATE($D91,Milestones!$AA$24)&gt;=$Z91),$AC91,IF(AND($Y91&lt;&gt;"",EDATE($D91,Milestones!$AA$24)&gt;=$Y91),$AB91,$AA91)))=Milestones!$AB$24),UPPER(TEXT(EDATE($D91,Milestones!$AA$24),"dd mmm yy"))&amp;" "&amp;Milestones!$AB$24&amp;" "&amp;IF(AND(Milestones!$AB$24="FT",Milestones!$AA$24=FT_Y5,EDATE($D91,Milestones!$AA$24)&lt;PolicyEff),1,Milestones!$AC$24)&amp;";  ","")&amp;IF(AND(EDATE($D91,Milestones!$AA$25)&lt;=AsOfDate,EDATE($D91,Milestones!$AA$25)&gt;=SchemeStart,IF($X91=0,$AD91,IF(AND($Z91&lt;&gt;"",EDATE($D91,Milestones!$AA$25)&gt;=$Z91),$AC91,IF(AND($Y91&lt;&gt;"",EDATE($D91,Milestones!$AA$25)&gt;=$Y91),$AB91,$AA91)))=Milestones!$AB$25),UPPER(TEXT(EDATE($D91,Milestones!$AA$25),"dd mmm yy"))&amp;" "&amp;Milestones!$AB$25&amp;" "&amp;IF(AND(Milestones!$AB$25="FT",Milestones!$AA$25=FT_Y5,EDATE($D91,Milestones!$AA$25)&lt;PolicyEff),1,Milestones!$AC$25)&amp;";  ","")&amp;IF(AND(EDATE($D91,Milestones!$AA$26)&lt;=AsOfDate,EDATE($D91,Milestones!$AA$26)&gt;=SchemeStart,IF($X91=0,$AD91,IF(AND($Z91&lt;&gt;"",EDATE($D91,Milestones!$AA$26)&gt;=$Z91),$AC91,IF(AND($Y91&lt;&gt;"",EDATE($D91,Milestones!$AA$26)&gt;=$Y91),$AB91,$AA91)))=Milestones!$AB$26),UPPER(TEXT(EDATE($D91,Milestones!$AA$26),"dd mmm yy"))&amp;" "&amp;Milestones!$AB$26&amp;" "&amp;IF(AND(Milestones!$AB$26="FT",Milestones!$AA$26=FT_Y5,EDATE($D91,Milestones!$AA$26)&lt;PolicyEff),1,Milestones!$AC$26)&amp;";  ","")&amp;IF(AND(EDATE($D91,Milestones!$AA$27)&lt;=AsOfDate,EDATE($D91,Milestones!$AA$27)&gt;=SchemeStart,IF($X91=0,$AD91,IF(AND($Z91&lt;&gt;"",EDATE($D91,Milestones!$AA$27)&gt;=$Z91),$AC91,IF(AND($Y91&lt;&gt;"",EDATE($D91,Milestones!$AA$27)&gt;=$Y91),$AB91,$AA91)))=Milestones!$AB$27),UPPER(TEXT(EDATE($D91,Milestones!$AA$27),"dd mmm yy"))&amp;" "&amp;Milestones!$AB$27&amp;" "&amp;IF(AND(Milestones!$AB$27="FT",Milestones!$AA$27=FT_Y5,EDATE($D91,Milestones!$AA$27)&lt;PolicyEff),1,Milestones!$AC$27)&amp;";  ","")&amp;IF(AND(EDATE($D91,Milestones!$AA$28)&lt;=AsOfDate,EDATE($D91,Milestones!$AA$28)&gt;=SchemeStart,IF($X91=0,$AD91,IF(AND($Z91&lt;&gt;"",EDATE($D91,Milestones!$AA$28)&gt;=$Z91),$AC91,IF(AND($Y91&lt;&gt;"",EDATE($D91,Milestones!$AA$28)&gt;=$Y91),$AB91,$AA91)))=Milestones!$AB$28),UPPER(TEXT(EDATE($D91,Milestones!$AA$28),"dd mmm yy"))&amp;" "&amp;Milestones!$AB$28&amp;" "&amp;IF(AND(Milestones!$AB$28="FT",Milestones!$AA$28=FT_Y5,EDATE($D91,Milestones!$AA$28)&lt;PolicyEff),1,Milestones!$AC$28)&amp;";  ","")&amp;IF(AND(EDATE($D91,Milestones!$AA$29)&lt;=AsOfDate,EDATE($D91,Milestones!$AA$29)&gt;=SchemeStart,IF($X91=0,$AD91,IF(AND($Z91&lt;&gt;"",EDATE($D91,Milestones!$AA$29)&gt;=$Z91),$AC91,IF(AND($Y91&lt;&gt;"",EDATE($D91,Milestones!$AA$29)&gt;=$Y91),$AB91,$AA91)))=Milestones!$AB$29),UPPER(TEXT(EDATE($D91,Milestones!$AA$29),"dd mmm yy"))&amp;" "&amp;Milestones!$AB$29&amp;" "&amp;IF(AND(Milestones!$AB$29="FT",Milestones!$AA$29=FT_Y5,EDATE($D91,Milestones!$AA$29)&lt;PolicyEff),1,Milestones!$AC$29)&amp;";  ","")&amp;IF(AND(EDATE($D91,Milestones!$AA$30)&lt;=AsOfDate,EDATE($D91,Milestones!$AA$30)&gt;=SchemeStart,IF($X91=0,$AD91,IF(AND($Z91&lt;&gt;"",EDATE($D91,Milestones!$AA$30)&gt;=$Z91),$AC91,IF(AND($Y91&lt;&gt;"",EDATE($D91,Milestones!$AA$30)&gt;=$Y91),$AB91,$AA91)))=Milestones!$AB$30),UPPER(TEXT(EDATE($D91,Milestones!$AA$30),"dd mmm yy"))&amp;" "&amp;Milestones!$AB$30&amp;" "&amp;IF(AND(Milestones!$AB$30="FT",Milestones!$AA$30=FT_Y5,EDATE($D91,Milestones!$AA$30)&lt;PolicyEff),1,Milestones!$AC$30)&amp;";  ","")&amp;IF(AND(EDATE($D91,Milestones!$AA$31)&lt;=AsOfDate,EDATE($D91,Milestones!$AA$31)&gt;=SchemeStart,IF($X91=0,$AD91,IF(AND($Z91&lt;&gt;"",EDATE($D91,Milestones!$AA$31)&gt;=$Z91),$AC91,IF(AND($Y91&lt;&gt;"",EDATE($D91,Milestones!$AA$31)&gt;=$Y91),$AB91,$AA91)))=Milestones!$AB$31),UPPER(TEXT(EDATE($D91,Milestones!$AA$31),"dd mmm yy"))&amp;" "&amp;Milestones!$AB$31&amp;" "&amp;IF(AND(Milestones!$AB$31="FT",Milestones!$AA$31=FT_Y5,EDATE($D91,Milestones!$AA$31)&lt;PolicyEff),1,Milestones!$AC$31)&amp;";  ",""))</f>
        <v/>
      </c>
      <c r="J91" s="0" t="str">
        <f aca="false">IF(OR($A91="",$D91=""),"",IF(AND(EDATE($D91,Milestones!$AA$32)&lt;=AsOfDate,EDATE($D91,Milestones!$AA$32)&gt;=SchemeStart,IF($X91=0,$AD91,IF(AND($Z91&lt;&gt;"",EDATE($D91,Milestones!$AA$32)&gt;=$Z91),$AC91,IF(AND($Y91&lt;&gt;"",EDATE($D91,Milestones!$AA$32)&gt;=$Y91),$AB91,$AA91)))=Milestones!$AB$32),UPPER(TEXT(EDATE($D91,Milestones!$AA$32),"dd mmm yy"))&amp;" "&amp;Milestones!$AB$32&amp;" "&amp;IF(AND(Milestones!$AB$32="FT",Milestones!$AA$32=FT_Y5,EDATE($D91,Milestones!$AA$32)&lt;PolicyEff),1,Milestones!$AC$32)&amp;";  ","")&amp;IF(AND(EDATE($D91,Milestones!$AA$33)&lt;=AsOfDate,EDATE($D91,Milestones!$AA$33)&gt;=SchemeStart,IF($X91=0,$AD91,IF(AND($Z91&lt;&gt;"",EDATE($D91,Milestones!$AA$33)&gt;=$Z91),$AC91,IF(AND($Y91&lt;&gt;"",EDATE($D91,Milestones!$AA$33)&gt;=$Y91),$AB91,$AA91)))=Milestones!$AB$33),UPPER(TEXT(EDATE($D91,Milestones!$AA$33),"dd mmm yy"))&amp;" "&amp;Milestones!$AB$33&amp;" "&amp;IF(AND(Milestones!$AB$33="FT",Milestones!$AA$33=FT_Y5,EDATE($D91,Milestones!$AA$33)&lt;PolicyEff),1,Milestones!$AC$33)&amp;";  ","")&amp;IF(AND(EDATE($D91,Milestones!$AA$34)&lt;=AsOfDate,EDATE($D91,Milestones!$AA$34)&gt;=SchemeStart,IF($X91=0,$AD91,IF(AND($Z91&lt;&gt;"",EDATE($D91,Milestones!$AA$34)&gt;=$Z91),$AC91,IF(AND($Y91&lt;&gt;"",EDATE($D91,Milestones!$AA$34)&gt;=$Y91),$AB91,$AA91)))=Milestones!$AB$34),UPPER(TEXT(EDATE($D91,Milestones!$AA$34),"dd mmm yy"))&amp;" "&amp;Milestones!$AB$34&amp;" "&amp;IF(AND(Milestones!$AB$34="FT",Milestones!$AA$34=FT_Y5,EDATE($D91,Milestones!$AA$34)&lt;PolicyEff),1,Milestones!$AC$34)&amp;";  ","")&amp;IF(AND(EDATE($D91,Milestones!$AA$35)&lt;=AsOfDate,EDATE($D91,Milestones!$AA$35)&gt;=SchemeStart,IF($X91=0,$AD91,IF(AND($Z91&lt;&gt;"",EDATE($D91,Milestones!$AA$35)&gt;=$Z91),$AC91,IF(AND($Y91&lt;&gt;"",EDATE($D91,Milestones!$AA$35)&gt;=$Y91),$AB91,$AA91)))=Milestones!$AB$35),UPPER(TEXT(EDATE($D91,Milestones!$AA$35),"dd mmm yy"))&amp;" "&amp;Milestones!$AB$35&amp;" "&amp;IF(AND(Milestones!$AB$35="FT",Milestones!$AA$35=FT_Y5,EDATE($D91,Milestones!$AA$35)&lt;PolicyEff),1,Milestones!$AC$35)&amp;";  ","")&amp;IF(AND(EDATE($D91,Milestones!$AA$36)&lt;=AsOfDate,EDATE($D91,Milestones!$AA$36)&gt;=SchemeStart,IF($X91=0,$AD91,IF(AND($Z91&lt;&gt;"",EDATE($D91,Milestones!$AA$36)&gt;=$Z91),$AC91,IF(AND($Y91&lt;&gt;"",EDATE($D91,Milestones!$AA$36)&gt;=$Y91),$AB91,$AA91)))=Milestones!$AB$36),UPPER(TEXT(EDATE($D91,Milestones!$AA$36),"dd mmm yy"))&amp;" "&amp;Milestones!$AB$36&amp;" "&amp;IF(AND(Milestones!$AB$36="FT",Milestones!$AA$36=FT_Y5,EDATE($D91,Milestones!$AA$36)&lt;PolicyEff),1,Milestones!$AC$36)&amp;";  ","")&amp;IF(AND(EDATE($D91,Milestones!$AA$37)&lt;=AsOfDate,EDATE($D91,Milestones!$AA$37)&gt;=SchemeStart,IF($X91=0,$AD91,IF(AND($Z91&lt;&gt;"",EDATE($D91,Milestones!$AA$37)&gt;=$Z91),$AC91,IF(AND($Y91&lt;&gt;"",EDATE($D91,Milestones!$AA$37)&gt;=$Y91),$AB91,$AA91)))=Milestones!$AB$37),UPPER(TEXT(EDATE($D91,Milestones!$AA$37),"dd mmm yy"))&amp;" "&amp;Milestones!$AB$37&amp;" "&amp;IF(AND(Milestones!$AB$37="FT",Milestones!$AA$37=FT_Y5,EDATE($D91,Milestones!$AA$37)&lt;PolicyEff),1,Milestones!$AC$37)&amp;";  ","")&amp;IF(AND(EDATE($D91,Milestones!$AA$38)&lt;=AsOfDate,EDATE($D91,Milestones!$AA$38)&gt;=SchemeStart,IF($X91=0,$AD91,IF(AND($Z91&lt;&gt;"",EDATE($D91,Milestones!$AA$38)&gt;=$Z91),$AC91,IF(AND($Y91&lt;&gt;"",EDATE($D91,Milestones!$AA$38)&gt;=$Y91),$AB91,$AA91)))=Milestones!$AB$38),UPPER(TEXT(EDATE($D91,Milestones!$AA$38),"dd mmm yy"))&amp;" "&amp;Milestones!$AB$38&amp;" "&amp;IF(AND(Milestones!$AB$38="FT",Milestones!$AA$38=FT_Y5,EDATE($D91,Milestones!$AA$38)&lt;PolicyEff),1,Milestones!$AC$38)&amp;";  ","")&amp;IF(AND(EDATE($D91,Milestones!$AA$39)&lt;=AsOfDate,EDATE($D91,Milestones!$AA$39)&gt;=SchemeStart,IF($X91=0,$AD91,IF(AND($Z91&lt;&gt;"",EDATE($D91,Milestones!$AA$39)&gt;=$Z91),$AC91,IF(AND($Y91&lt;&gt;"",EDATE($D91,Milestones!$AA$39)&gt;=$Y91),$AB91,$AA91)))=Milestones!$AB$39),UPPER(TEXT(EDATE($D91,Milestones!$AA$39),"dd mmm yy"))&amp;" "&amp;Milestones!$AB$39&amp;" "&amp;IF(AND(Milestones!$AB$39="FT",Milestones!$AA$39=FT_Y5,EDATE($D91,Milestones!$AA$39)&lt;PolicyEff),1,Milestones!$AC$39)&amp;";  ","")&amp;IF(AND(EDATE($D91,Milestones!$AA$40)&lt;=AsOfDate,EDATE($D91,Milestones!$AA$40)&gt;=SchemeStart,IF($X91=0,$AD91,IF(AND($Z91&lt;&gt;"",EDATE($D91,Milestones!$AA$40)&gt;=$Z91),$AC91,IF(AND($Y91&lt;&gt;"",EDATE($D91,Milestones!$AA$40)&gt;=$Y91),$AB91,$AA91)))=Milestones!$AB$40),UPPER(TEXT(EDATE($D91,Milestones!$AA$40),"dd mmm yy"))&amp;" "&amp;Milestones!$AB$40&amp;" "&amp;IF(AND(Milestones!$AB$40="FT",Milestones!$AA$40=FT_Y5,EDATE($D91,Milestones!$AA$40)&lt;PolicyEff),1,Milestones!$AC$40)&amp;";  ","")&amp;IF(AND(EDATE($D91,Milestones!$AA$41)&lt;=AsOfDate,EDATE($D91,Milestones!$AA$41)&gt;=SchemeStart,IF($X91=0,$AD91,IF(AND($Z91&lt;&gt;"",EDATE($D91,Milestones!$AA$41)&gt;=$Z91),$AC91,IF(AND($Y91&lt;&gt;"",EDATE($D91,Milestones!$AA$41)&gt;=$Y91),$AB91,$AA91)))=Milestones!$AB$41),UPPER(TEXT(EDATE($D91,Milestones!$AA$41),"dd mmm yy"))&amp;" "&amp;Milestones!$AB$41&amp;" "&amp;IF(AND(Milestones!$AB$41="FT",Milestones!$AA$41=FT_Y5,EDATE($D91,Milestones!$AA$41)&lt;PolicyEff),1,Milestones!$AC$41)&amp;";  ","")&amp;IF(AND(EDATE($D91,Milestones!$AA$42)&lt;=AsOfDate,EDATE($D91,Milestones!$AA$42)&gt;=SchemeStart,IF($X91=0,$AD91,IF(AND($Z91&lt;&gt;"",EDATE($D91,Milestones!$AA$42)&gt;=$Z91),$AC91,IF(AND($Y91&lt;&gt;"",EDATE($D91,Milestones!$AA$42)&gt;=$Y91),$AB91,$AA91)))=Milestones!$AB$42),UPPER(TEXT(EDATE($D91,Milestones!$AA$42),"dd mmm yy"))&amp;" "&amp;Milestones!$AB$42&amp;" "&amp;IF(AND(Milestones!$AB$42="FT",Milestones!$AA$42=FT_Y5,EDATE($D91,Milestones!$AA$42)&lt;PolicyEff),1,Milestones!$AC$42)&amp;";  ","")&amp;IF(AND(EDATE($D91,Milestones!$AA$43)&lt;=AsOfDate,EDATE($D91,Milestones!$AA$43)&gt;=SchemeStart,IF($X91=0,$AD91,IF(AND($Z91&lt;&gt;"",EDATE($D91,Milestones!$AA$43)&gt;=$Z91),$AC91,IF(AND($Y91&lt;&gt;"",EDATE($D91,Milestones!$AA$43)&gt;=$Y91),$AB91,$AA91)))=Milestones!$AB$43),UPPER(TEXT(EDATE($D91,Milestones!$AA$43),"dd mmm yy"))&amp;" "&amp;Milestones!$AB$43&amp;" "&amp;IF(AND(Milestones!$AB$43="FT",Milestones!$AA$43=FT_Y5,EDATE($D91,Milestones!$AA$43)&lt;PolicyEff),1,Milestones!$AC$43)&amp;";  ",""))</f>
        <v/>
      </c>
      <c r="K91" s="0" t="str">
        <f aca="false">IF(OR($A91="",$D91=""),"",IF(AND(EDATE($D91,Milestones!$AA$44)&lt;=AsOfDate,EDATE($D91,Milestones!$AA$44)&gt;=SchemeStart,IF($X91=0,$AD91,IF(AND($Z91&lt;&gt;"",EDATE($D91,Milestones!$AA$44)&gt;=$Z91),$AC91,IF(AND($Y91&lt;&gt;"",EDATE($D91,Milestones!$AA$44)&gt;=$Y91),$AB91,$AA91)))=Milestones!$AB$44),UPPER(TEXT(EDATE($D91,Milestones!$AA$44),"dd mmm yy"))&amp;" "&amp;Milestones!$AB$44&amp;" "&amp;IF(AND(Milestones!$AB$44="FT",Milestones!$AA$44=FT_Y5,EDATE($D91,Milestones!$AA$44)&lt;PolicyEff),1,Milestones!$AC$44)&amp;";  ","")&amp;IF(AND(EDATE($D91,Milestones!$AA$45)&lt;=AsOfDate,EDATE($D91,Milestones!$AA$45)&gt;=SchemeStart,IF($X91=0,$AD91,IF(AND($Z91&lt;&gt;"",EDATE($D91,Milestones!$AA$45)&gt;=$Z91),$AC91,IF(AND($Y91&lt;&gt;"",EDATE($D91,Milestones!$AA$45)&gt;=$Y91),$AB91,$AA91)))=Milestones!$AB$45),UPPER(TEXT(EDATE($D91,Milestones!$AA$45),"dd mmm yy"))&amp;" "&amp;Milestones!$AB$45&amp;" "&amp;IF(AND(Milestones!$AB$45="FT",Milestones!$AA$45=FT_Y5,EDATE($D91,Milestones!$AA$45)&lt;PolicyEff),1,Milestones!$AC$45)&amp;";  ","")&amp;IF(AND(EDATE($D91,Milestones!$AA$46)&lt;=AsOfDate,EDATE($D91,Milestones!$AA$46)&gt;=SchemeStart,IF($X91=0,$AD91,IF(AND($Z91&lt;&gt;"",EDATE($D91,Milestones!$AA$46)&gt;=$Z91),$AC91,IF(AND($Y91&lt;&gt;"",EDATE($D91,Milestones!$AA$46)&gt;=$Y91),$AB91,$AA91)))=Milestones!$AB$46),UPPER(TEXT(EDATE($D91,Milestones!$AA$46),"dd mmm yy"))&amp;" "&amp;Milestones!$AB$46&amp;" "&amp;IF(AND(Milestones!$AB$46="FT",Milestones!$AA$46=FT_Y5,EDATE($D91,Milestones!$AA$46)&lt;PolicyEff),1,Milestones!$AC$46)&amp;";  ","")&amp;IF(AND(EDATE($D91,Milestones!$AA$47)&lt;=AsOfDate,EDATE($D91,Milestones!$AA$47)&gt;=SchemeStart,IF($X91=0,$AD91,IF(AND($Z91&lt;&gt;"",EDATE($D91,Milestones!$AA$47)&gt;=$Z91),$AC91,IF(AND($Y91&lt;&gt;"",EDATE($D91,Milestones!$AA$47)&gt;=$Y91),$AB91,$AA91)))=Milestones!$AB$47),UPPER(TEXT(EDATE($D91,Milestones!$AA$47),"dd mmm yy"))&amp;" "&amp;Milestones!$AB$47&amp;" "&amp;IF(AND(Milestones!$AB$47="FT",Milestones!$AA$47=FT_Y5,EDATE($D91,Milestones!$AA$47)&lt;PolicyEff),1,Milestones!$AC$47)&amp;";  ","")&amp;IF(AND(EDATE($D91,Milestones!$AA$48)&lt;=AsOfDate,EDATE($D91,Milestones!$AA$48)&gt;=SchemeStart,IF($X91=0,$AD91,IF(AND($Z91&lt;&gt;"",EDATE($D91,Milestones!$AA$48)&gt;=$Z91),$AC91,IF(AND($Y91&lt;&gt;"",EDATE($D91,Milestones!$AA$48)&gt;=$Y91),$AB91,$AA91)))=Milestones!$AB$48),UPPER(TEXT(EDATE($D91,Milestones!$AA$48),"dd mmm yy"))&amp;" "&amp;Milestones!$AB$48&amp;" "&amp;IF(AND(Milestones!$AB$48="FT",Milestones!$AA$48=FT_Y5,EDATE($D91,Milestones!$AA$48)&lt;PolicyEff),1,Milestones!$AC$48)&amp;";  ","")&amp;IF(AND(EDATE($D91,Milestones!$AA$49)&lt;=AsOfDate,EDATE($D91,Milestones!$AA$49)&gt;=SchemeStart,IF($X91=0,$AD91,IF(AND($Z91&lt;&gt;"",EDATE($D91,Milestones!$AA$49)&gt;=$Z91),$AC91,IF(AND($Y91&lt;&gt;"",EDATE($D91,Milestones!$AA$49)&gt;=$Y91),$AB91,$AA91)))=Milestones!$AB$49),UPPER(TEXT(EDATE($D91,Milestones!$AA$49),"dd mmm yy"))&amp;" "&amp;Milestones!$AB$49&amp;" "&amp;IF(AND(Milestones!$AB$49="FT",Milestones!$AA$49=FT_Y5,EDATE($D91,Milestones!$AA$49)&lt;PolicyEff),1,Milestones!$AC$49)&amp;";  ","")&amp;IF(AND(EDATE($D91,Milestones!$AA$50)&lt;=AsOfDate,EDATE($D91,Milestones!$AA$50)&gt;=SchemeStart,IF($X91=0,$AD91,IF(AND($Z91&lt;&gt;"",EDATE($D91,Milestones!$AA$50)&gt;=$Z91),$AC91,IF(AND($Y91&lt;&gt;"",EDATE($D91,Milestones!$AA$50)&gt;=$Y91),$AB91,$AA91)))=Milestones!$AB$50),UPPER(TEXT(EDATE($D91,Milestones!$AA$50),"dd mmm yy"))&amp;" "&amp;Milestones!$AB$50&amp;" "&amp;IF(AND(Milestones!$AB$50="FT",Milestones!$AA$50=FT_Y5,EDATE($D91,Milestones!$AA$50)&lt;PolicyEff),1,Milestones!$AC$50)&amp;";  ","")&amp;IF(AND(EDATE($D91,Milestones!$AA$51)&lt;=AsOfDate,EDATE($D91,Milestones!$AA$51)&gt;=SchemeStart,IF($X91=0,$AD91,IF(AND($Z91&lt;&gt;"",EDATE($D91,Milestones!$AA$51)&gt;=$Z91),$AC91,IF(AND($Y91&lt;&gt;"",EDATE($D91,Milestones!$AA$51)&gt;=$Y91),$AB91,$AA91)))=Milestones!$AB$51),UPPER(TEXT(EDATE($D91,Milestones!$AA$51),"dd mmm yy"))&amp;" "&amp;Milestones!$AB$51&amp;" "&amp;IF(AND(Milestones!$AB$51="FT",Milestones!$AA$51=FT_Y5,EDATE($D91,Milestones!$AA$51)&lt;PolicyEff),1,Milestones!$AC$51)&amp;";  ","")&amp;IF(AND(EDATE($D91,Milestones!$AA$52)&lt;=AsOfDate,EDATE($D91,Milestones!$AA$52)&gt;=SchemeStart,IF($X91=0,$AD91,IF(AND($Z91&lt;&gt;"",EDATE($D91,Milestones!$AA$52)&gt;=$Z91),$AC91,IF(AND($Y91&lt;&gt;"",EDATE($D91,Milestones!$AA$52)&gt;=$Y91),$AB91,$AA91)))=Milestones!$AB$52),UPPER(TEXT(EDATE($D91,Milestones!$AA$52),"dd mmm yy"))&amp;" "&amp;Milestones!$AB$52&amp;" "&amp;IF(AND(Milestones!$AB$52="FT",Milestones!$AA$52=FT_Y5,EDATE($D91,Milestones!$AA$52)&lt;PolicyEff),1,Milestones!$AC$52)&amp;";  ","")&amp;IF(AND(EDATE($D91,Milestones!$AA$53)&lt;=AsOfDate,EDATE($D91,Milestones!$AA$53)&gt;=SchemeStart,IF($X91=0,$AD91,IF(AND($Z91&lt;&gt;"",EDATE($D91,Milestones!$AA$53)&gt;=$Z91),$AC91,IF(AND($Y91&lt;&gt;"",EDATE($D91,Milestones!$AA$53)&gt;=$Y91),$AB91,$AA91)))=Milestones!$AB$53),UPPER(TEXT(EDATE($D91,Milestones!$AA$53),"dd mmm yy"))&amp;" "&amp;Milestones!$AB$53&amp;" "&amp;IF(AND(Milestones!$AB$53="FT",Milestones!$AA$53=FT_Y5,EDATE($D91,Milestones!$AA$53)&lt;PolicyEff),1,Milestones!$AC$53)&amp;";  ","")&amp;IF(AND(EDATE($D91,Milestones!$AA$54)&lt;=AsOfDate,EDATE($D91,Milestones!$AA$54)&gt;=SchemeStart,IF($X91=0,$AD91,IF(AND($Z91&lt;&gt;"",EDATE($D91,Milestones!$AA$54)&gt;=$Z91),$AC91,IF(AND($Y91&lt;&gt;"",EDATE($D91,Milestones!$AA$54)&gt;=$Y91),$AB91,$AA91)))=Milestones!$AB$54),UPPER(TEXT(EDATE($D91,Milestones!$AA$54),"dd mmm yy"))&amp;" "&amp;Milestones!$AB$54&amp;" "&amp;IF(AND(Milestones!$AB$54="FT",Milestones!$AA$54=FT_Y5,EDATE($D91,Milestones!$AA$54)&lt;PolicyEff),1,Milestones!$AC$54)&amp;";  ","")&amp;IF(AND(EDATE($D91,Milestones!$AA$55)&lt;=AsOfDate,EDATE($D91,Milestones!$AA$55)&gt;=SchemeStart,IF($X91=0,$AD91,IF(AND($Z91&lt;&gt;"",EDATE($D91,Milestones!$AA$55)&gt;=$Z91),$AC91,IF(AND($Y91&lt;&gt;"",EDATE($D91,Milestones!$AA$55)&gt;=$Y91),$AB91,$AA91)))=Milestones!$AB$55),UPPER(TEXT(EDATE($D91,Milestones!$AA$55),"dd mmm yy"))&amp;" "&amp;Milestones!$AB$55&amp;" "&amp;IF(AND(Milestones!$AB$55="FT",Milestones!$AA$55=FT_Y5,EDATE($D91,Milestones!$AA$55)&lt;PolicyEff),1,Milestones!$AC$55)&amp;";  ",""))</f>
        <v/>
      </c>
      <c r="L91" s="0" t="str">
        <f aca="false">IF(OR($A91="",$D91=""),"",IF(AND(EDATE($D91,Milestones!$AA$56)&lt;=AsOfDate,EDATE($D91,Milestones!$AA$56)&gt;=SchemeStart,IF($X91=0,$AD91,IF(AND($Z91&lt;&gt;"",EDATE($D91,Milestones!$AA$56)&gt;=$Z91),$AC91,IF(AND($Y91&lt;&gt;"",EDATE($D91,Milestones!$AA$56)&gt;=$Y91),$AB91,$AA91)))=Milestones!$AB$56),UPPER(TEXT(EDATE($D91,Milestones!$AA$56),"dd mmm yy"))&amp;" "&amp;Milestones!$AB$56&amp;" "&amp;IF(AND(Milestones!$AB$56="FT",Milestones!$AA$56=FT_Y5,EDATE($D91,Milestones!$AA$56)&lt;PolicyEff),1,Milestones!$AC$56)&amp;";  ","")&amp;IF(AND(EDATE($D91,Milestones!$AA$57)&lt;=AsOfDate,EDATE($D91,Milestones!$AA$57)&gt;=SchemeStart,IF($X91=0,$AD91,IF(AND($Z91&lt;&gt;"",EDATE($D91,Milestones!$AA$57)&gt;=$Z91),$AC91,IF(AND($Y91&lt;&gt;"",EDATE($D91,Milestones!$AA$57)&gt;=$Y91),$AB91,$AA91)))=Milestones!$AB$57),UPPER(TEXT(EDATE($D91,Milestones!$AA$57),"dd mmm yy"))&amp;" "&amp;Milestones!$AB$57&amp;" "&amp;IF(AND(Milestones!$AB$57="FT",Milestones!$AA$57=FT_Y5,EDATE($D91,Milestones!$AA$57)&lt;PolicyEff),1,Milestones!$AC$57)&amp;";  ","")&amp;IF(AND(EDATE($D91,Milestones!$AA$58)&lt;=AsOfDate,EDATE($D91,Milestones!$AA$58)&gt;=SchemeStart,IF($X91=0,$AD91,IF(AND($Z91&lt;&gt;"",EDATE($D91,Milestones!$AA$58)&gt;=$Z91),$AC91,IF(AND($Y91&lt;&gt;"",EDATE($D91,Milestones!$AA$58)&gt;=$Y91),$AB91,$AA91)))=Milestones!$AB$58),UPPER(TEXT(EDATE($D91,Milestones!$AA$58),"dd mmm yy"))&amp;" "&amp;Milestones!$AB$58&amp;" "&amp;IF(AND(Milestones!$AB$58="FT",Milestones!$AA$58=FT_Y5,EDATE($D91,Milestones!$AA$58)&lt;PolicyEff),1,Milestones!$AC$58)&amp;";  ","")&amp;IF(AND(EDATE($D91,Milestones!$AA$59)&lt;=AsOfDate,EDATE($D91,Milestones!$AA$59)&gt;=SchemeStart,IF($X91=0,$AD91,IF(AND($Z91&lt;&gt;"",EDATE($D91,Milestones!$AA$59)&gt;=$Z91),$AC91,IF(AND($Y91&lt;&gt;"",EDATE($D91,Milestones!$AA$59)&gt;=$Y91),$AB91,$AA91)))=Milestones!$AB$59),UPPER(TEXT(EDATE($D91,Milestones!$AA$59),"dd mmm yy"))&amp;" "&amp;Milestones!$AB$59&amp;" "&amp;IF(AND(Milestones!$AB$59="FT",Milestones!$AA$59=FT_Y5,EDATE($D91,Milestones!$AA$59)&lt;PolicyEff),1,Milestones!$AC$59)&amp;";  ","")&amp;IF(AND(EDATE($D91,Milestones!$AA$60)&lt;=AsOfDate,EDATE($D91,Milestones!$AA$60)&gt;=SchemeStart,IF($X91=0,$AD91,IF(AND($Z91&lt;&gt;"",EDATE($D91,Milestones!$AA$60)&gt;=$Z91),$AC91,IF(AND($Y91&lt;&gt;"",EDATE($D91,Milestones!$AA$60)&gt;=$Y91),$AB91,$AA91)))=Milestones!$AB$60),UPPER(TEXT(EDATE($D91,Milestones!$AA$60),"dd mmm yy"))&amp;" "&amp;Milestones!$AB$60&amp;" "&amp;IF(AND(Milestones!$AB$60="FT",Milestones!$AA$60=FT_Y5,EDATE($D91,Milestones!$AA$60)&lt;PolicyEff),1,Milestones!$AC$60)&amp;";  ","")&amp;IF(AND(EDATE($D91,Milestones!$AA$61)&lt;=AsOfDate,EDATE($D91,Milestones!$AA$61)&gt;=SchemeStart,IF($X91=0,$AD91,IF(AND($Z91&lt;&gt;"",EDATE($D91,Milestones!$AA$61)&gt;=$Z91),$AC91,IF(AND($Y91&lt;&gt;"",EDATE($D91,Milestones!$AA$61)&gt;=$Y91),$AB91,$AA91)))=Milestones!$AB$61),UPPER(TEXT(EDATE($D91,Milestones!$AA$61),"dd mmm yy"))&amp;" "&amp;Milestones!$AB$61&amp;" "&amp;IF(AND(Milestones!$AB$61="FT",Milestones!$AA$61=FT_Y5,EDATE($D91,Milestones!$AA$61)&lt;PolicyEff),1,Milestones!$AC$61)&amp;";  ","")&amp;IF(AND(EDATE($D91,Milestones!$AA$62)&lt;=AsOfDate,EDATE($D91,Milestones!$AA$62)&gt;=SchemeStart,IF($X91=0,$AD91,IF(AND($Z91&lt;&gt;"",EDATE($D91,Milestones!$AA$62)&gt;=$Z91),$AC91,IF(AND($Y91&lt;&gt;"",EDATE($D91,Milestones!$AA$62)&gt;=$Y91),$AB91,$AA91)))=Milestones!$AB$62),UPPER(TEXT(EDATE($D91,Milestones!$AA$62),"dd mmm yy"))&amp;" "&amp;Milestones!$AB$62&amp;" "&amp;IF(AND(Milestones!$AB$62="FT",Milestones!$AA$62=FT_Y5,EDATE($D91,Milestones!$AA$62)&lt;PolicyEff),1,Milestones!$AC$62)&amp;";  ","")&amp;IF(AND(EDATE($D91,Milestones!$AA$63)&lt;=AsOfDate,EDATE($D91,Milestones!$AA$63)&gt;=SchemeStart,IF($X91=0,$AD91,IF(AND($Z91&lt;&gt;"",EDATE($D91,Milestones!$AA$63)&gt;=$Z91),$AC91,IF(AND($Y91&lt;&gt;"",EDATE($D91,Milestones!$AA$63)&gt;=$Y91),$AB91,$AA91)))=Milestones!$AB$63),UPPER(TEXT(EDATE($D91,Milestones!$AA$63),"dd mmm yy"))&amp;" "&amp;Milestones!$AB$63&amp;" "&amp;IF(AND(Milestones!$AB$63="FT",Milestones!$AA$63=FT_Y5,EDATE($D91,Milestones!$AA$63)&lt;PolicyEff),1,Milestones!$AC$63)&amp;";  ","")&amp;IF(AND(EDATE($D91,Milestones!$AA$64)&lt;=AsOfDate,EDATE($D91,Milestones!$AA$64)&gt;=SchemeStart,IF($X91=0,$AD91,IF(AND($Z91&lt;&gt;"",EDATE($D91,Milestones!$AA$64)&gt;=$Z91),$AC91,IF(AND($Y91&lt;&gt;"",EDATE($D91,Milestones!$AA$64)&gt;=$Y91),$AB91,$AA91)))=Milestones!$AB$64),UPPER(TEXT(EDATE($D91,Milestones!$AA$64),"dd mmm yy"))&amp;" "&amp;Milestones!$AB$64&amp;" "&amp;IF(AND(Milestones!$AB$64="FT",Milestones!$AA$64=FT_Y5,EDATE($D91,Milestones!$AA$64)&lt;PolicyEff),1,Milestones!$AC$64)&amp;";  ","")&amp;IF(AND(EDATE($D91,Milestones!$AA$65)&lt;=AsOfDate,EDATE($D91,Milestones!$AA$65)&gt;=SchemeStart,IF($X91=0,$AD91,IF(AND($Z91&lt;&gt;"",EDATE($D91,Milestones!$AA$65)&gt;=$Z91),$AC91,IF(AND($Y91&lt;&gt;"",EDATE($D91,Milestones!$AA$65)&gt;=$Y91),$AB91,$AA91)))=Milestones!$AB$65),UPPER(TEXT(EDATE($D91,Milestones!$AA$65),"dd mmm yy"))&amp;" "&amp;Milestones!$AB$65&amp;" "&amp;IF(AND(Milestones!$AB$65="FT",Milestones!$AA$65=FT_Y5,EDATE($D91,Milestones!$AA$65)&lt;PolicyEff),1,Milestones!$AC$65)&amp;";  ","")&amp;IF(AND(EDATE($D91,Milestones!$AA$66)&lt;=AsOfDate,EDATE($D91,Milestones!$AA$66)&gt;=SchemeStart,IF($X91=0,$AD91,IF(AND($Z91&lt;&gt;"",EDATE($D91,Milestones!$AA$66)&gt;=$Z91),$AC91,IF(AND($Y91&lt;&gt;"",EDATE($D91,Milestones!$AA$66)&gt;=$Y91),$AB91,$AA91)))=Milestones!$AB$66),UPPER(TEXT(EDATE($D91,Milestones!$AA$66),"dd mmm yy"))&amp;" "&amp;Milestones!$AB$66&amp;" "&amp;IF(AND(Milestones!$AB$66="FT",Milestones!$AA$66=FT_Y5,EDATE($D91,Milestones!$AA$66)&lt;PolicyEff),1,Milestones!$AC$66)&amp;";  ","")&amp;IF(AND(EDATE($D91,Milestones!$AA$67)&lt;=AsOfDate,EDATE($D91,Milestones!$AA$67)&gt;=SchemeStart,IF($X91=0,$AD91,IF(AND($Z91&lt;&gt;"",EDATE($D91,Milestones!$AA$67)&gt;=$Z91),$AC91,IF(AND($Y91&lt;&gt;"",EDATE($D91,Milestones!$AA$67)&gt;=$Y91),$AB91,$AA91)))=Milestones!$AB$67),UPPER(TEXT(EDATE($D91,Milestones!$AA$67),"dd mmm yy"))&amp;" "&amp;Milestones!$AB$67&amp;" "&amp;IF(AND(Milestones!$AB$67="FT",Milestones!$AA$67=FT_Y5,EDATE($D91,Milestones!$AA$67)&lt;PolicyEff),1,Milestones!$AC$67)&amp;";  ",""))</f>
        <v/>
      </c>
      <c r="M91" s="0" t="str">
        <f aca="false">IF(OR($A91="",$D91=""),"",IF(AND(EDATE($D91,Milestones!$AA$68)&lt;=AsOfDate,EDATE($D91,Milestones!$AA$68)&gt;=SchemeStart,IF($X91=0,$AD91,IF(AND($Z91&lt;&gt;"",EDATE($D91,Milestones!$AA$68)&gt;=$Z91),$AC91,IF(AND($Y91&lt;&gt;"",EDATE($D91,Milestones!$AA$68)&gt;=$Y91),$AB91,$AA91)))=Milestones!$AB$68),UPPER(TEXT(EDATE($D91,Milestones!$AA$68),"dd mmm yy"))&amp;" "&amp;Milestones!$AB$68&amp;" "&amp;IF(AND(Milestones!$AB$68="FT",Milestones!$AA$68=FT_Y5,EDATE($D91,Milestones!$AA$68)&lt;PolicyEff),1,Milestones!$AC$68)&amp;";  ","")&amp;IF(AND(EDATE($D91,Milestones!$AA$69)&lt;=AsOfDate,EDATE($D91,Milestones!$AA$69)&gt;=SchemeStart,IF($X91=0,$AD91,IF(AND($Z91&lt;&gt;"",EDATE($D91,Milestones!$AA$69)&gt;=$Z91),$AC91,IF(AND($Y91&lt;&gt;"",EDATE($D91,Milestones!$AA$69)&gt;=$Y91),$AB91,$AA91)))=Milestones!$AB$69),UPPER(TEXT(EDATE($D91,Milestones!$AA$69),"dd mmm yy"))&amp;" "&amp;Milestones!$AB$69&amp;" "&amp;IF(AND(Milestones!$AB$69="FT",Milestones!$AA$69=FT_Y5,EDATE($D91,Milestones!$AA$69)&lt;PolicyEff),1,Milestones!$AC$69)&amp;";  ","")&amp;IF(AND(EDATE($D91,Milestones!$AA$70)&lt;=AsOfDate,EDATE($D91,Milestones!$AA$70)&gt;=SchemeStart,IF($X91=0,$AD91,IF(AND($Z91&lt;&gt;"",EDATE($D91,Milestones!$AA$70)&gt;=$Z91),$AC91,IF(AND($Y91&lt;&gt;"",EDATE($D91,Milestones!$AA$70)&gt;=$Y91),$AB91,$AA91)))=Milestones!$AB$70),UPPER(TEXT(EDATE($D91,Milestones!$AA$70),"dd mmm yy"))&amp;" "&amp;Milestones!$AB$70&amp;" "&amp;IF(AND(Milestones!$AB$70="FT",Milestones!$AA$70=FT_Y5,EDATE($D91,Milestones!$AA$70)&lt;PolicyEff),1,Milestones!$AC$70)&amp;";  ","")&amp;IF(AND(EDATE($D91,Milestones!$AA$71)&lt;=AsOfDate,EDATE($D91,Milestones!$AA$71)&gt;=SchemeStart,IF($X91=0,$AD91,IF(AND($Z91&lt;&gt;"",EDATE($D91,Milestones!$AA$71)&gt;=$Z91),$AC91,IF(AND($Y91&lt;&gt;"",EDATE($D91,Milestones!$AA$71)&gt;=$Y91),$AB91,$AA91)))=Milestones!$AB$71),UPPER(TEXT(EDATE($D91,Milestones!$AA$71),"dd mmm yy"))&amp;" "&amp;Milestones!$AB$71&amp;" "&amp;IF(AND(Milestones!$AB$71="FT",Milestones!$AA$71=FT_Y5,EDATE($D91,Milestones!$AA$71)&lt;PolicyEff),1,Milestones!$AC$71)&amp;";  ","")&amp;IF(AND(EDATE($D91,Milestones!$AA$72)&lt;=AsOfDate,EDATE($D91,Milestones!$AA$72)&gt;=SchemeStart,IF($X91=0,$AD91,IF(AND($Z91&lt;&gt;"",EDATE($D91,Milestones!$AA$72)&gt;=$Z91),$AC91,IF(AND($Y91&lt;&gt;"",EDATE($D91,Milestones!$AA$72)&gt;=$Y91),$AB91,$AA91)))=Milestones!$AB$72),UPPER(TEXT(EDATE($D91,Milestones!$AA$72),"dd mmm yy"))&amp;" "&amp;Milestones!$AB$72&amp;" "&amp;IF(AND(Milestones!$AB$72="FT",Milestones!$AA$72=FT_Y5,EDATE($D91,Milestones!$AA$72)&lt;PolicyEff),1,Milestones!$AC$72)&amp;";  ","")&amp;IF(AND(EDATE($D91,Milestones!$AA$73)&lt;=AsOfDate,EDATE($D91,Milestones!$AA$73)&gt;=SchemeStart,IF($X91=0,$AD91,IF(AND($Z91&lt;&gt;"",EDATE($D91,Milestones!$AA$73)&gt;=$Z91),$AC91,IF(AND($Y91&lt;&gt;"",EDATE($D91,Milestones!$AA$73)&gt;=$Y91),$AB91,$AA91)))=Milestones!$AB$73),UPPER(TEXT(EDATE($D91,Milestones!$AA$73),"dd mmm yy"))&amp;" "&amp;Milestones!$AB$73&amp;" "&amp;IF(AND(Milestones!$AB$73="FT",Milestones!$AA$73=FT_Y5,EDATE($D91,Milestones!$AA$73)&lt;PolicyEff),1,Milestones!$AC$73)&amp;";  ","")&amp;IF(AND(EDATE($D91,Milestones!$AA$74)&lt;=AsOfDate,EDATE($D91,Milestones!$AA$74)&gt;=SchemeStart,IF($X91=0,$AD91,IF(AND($Z91&lt;&gt;"",EDATE($D91,Milestones!$AA$74)&gt;=$Z91),$AC91,IF(AND($Y91&lt;&gt;"",EDATE($D91,Milestones!$AA$74)&gt;=$Y91),$AB91,$AA91)))=Milestones!$AB$74),UPPER(TEXT(EDATE($D91,Milestones!$AA$74),"dd mmm yy"))&amp;" "&amp;Milestones!$AB$74&amp;" "&amp;IF(AND(Milestones!$AB$74="FT",Milestones!$AA$74=FT_Y5,EDATE($D91,Milestones!$AA$74)&lt;PolicyEff),1,Milestones!$AC$74)&amp;";  ","")&amp;IF(AND(EDATE($D91,Milestones!$AA$75)&lt;=AsOfDate,EDATE($D91,Milestones!$AA$75)&gt;=SchemeStart,IF($X91=0,$AD91,IF(AND($Z91&lt;&gt;"",EDATE($D91,Milestones!$AA$75)&gt;=$Z91),$AC91,IF(AND($Y91&lt;&gt;"",EDATE($D91,Milestones!$AA$75)&gt;=$Y91),$AB91,$AA91)))=Milestones!$AB$75),UPPER(TEXT(EDATE($D91,Milestones!$AA$75),"dd mmm yy"))&amp;" "&amp;Milestones!$AB$75&amp;" "&amp;IF(AND(Milestones!$AB$75="FT",Milestones!$AA$75=FT_Y5,EDATE($D91,Milestones!$AA$75)&lt;PolicyEff),1,Milestones!$AC$75)&amp;";  ","")&amp;IF(AND(EDATE($D91,Milestones!$AA$76)&lt;=AsOfDate,EDATE($D91,Milestones!$AA$76)&gt;=SchemeStart,IF($X91=0,$AD91,IF(AND($Z91&lt;&gt;"",EDATE($D91,Milestones!$AA$76)&gt;=$Z91),$AC91,IF(AND($Y91&lt;&gt;"",EDATE($D91,Milestones!$AA$76)&gt;=$Y91),$AB91,$AA91)))=Milestones!$AB$76),UPPER(TEXT(EDATE($D91,Milestones!$AA$76),"dd mmm yy"))&amp;" "&amp;Milestones!$AB$76&amp;" "&amp;IF(AND(Milestones!$AB$76="FT",Milestones!$AA$76=FT_Y5,EDATE($D91,Milestones!$AA$76)&lt;PolicyEff),1,Milestones!$AC$76)&amp;";  ","")&amp;IF(AND(EDATE($D91,Milestones!$AA$77)&lt;=AsOfDate,EDATE($D91,Milestones!$AA$77)&gt;=SchemeStart,IF($X91=0,$AD91,IF(AND($Z91&lt;&gt;"",EDATE($D91,Milestones!$AA$77)&gt;=$Z91),$AC91,IF(AND($Y91&lt;&gt;"",EDATE($D91,Milestones!$AA$77)&gt;=$Y91),$AB91,$AA91)))=Milestones!$AB$77),UPPER(TEXT(EDATE($D91,Milestones!$AA$77),"dd mmm yy"))&amp;" "&amp;Milestones!$AB$77&amp;" "&amp;IF(AND(Milestones!$AB$77="FT",Milestones!$AA$77=FT_Y5,EDATE($D91,Milestones!$AA$77)&lt;PolicyEff),1,Milestones!$AC$77)&amp;";  ","")&amp;IF(AND(EDATE($D91,Milestones!$AA$78)&lt;=AsOfDate,EDATE($D91,Milestones!$AA$78)&gt;=SchemeStart,IF($X91=0,$AD91,IF(AND($Z91&lt;&gt;"",EDATE($D91,Milestones!$AA$78)&gt;=$Z91),$AC91,IF(AND($Y91&lt;&gt;"",EDATE($D91,Milestones!$AA$78)&gt;=$Y91),$AB91,$AA91)))=Milestones!$AB$78),UPPER(TEXT(EDATE($D91,Milestones!$AA$78),"dd mmm yy"))&amp;" "&amp;Milestones!$AB$78&amp;" "&amp;IF(AND(Milestones!$AB$78="FT",Milestones!$AA$78=FT_Y5,EDATE($D91,Milestones!$AA$78)&lt;PolicyEff),1,Milestones!$AC$78)&amp;";  ","")&amp;IF(AND(EDATE($D91,Milestones!$AA$79)&lt;=AsOfDate,EDATE($D91,Milestones!$AA$79)&gt;=SchemeStart,IF($X91=0,$AD91,IF(AND($Z91&lt;&gt;"",EDATE($D91,Milestones!$AA$79)&gt;=$Z91),$AC91,IF(AND($Y91&lt;&gt;"",EDATE($D91,Milestones!$AA$79)&gt;=$Y91),$AB91,$AA91)))=Milestones!$AB$79),UPPER(TEXT(EDATE($D91,Milestones!$AA$79),"dd mmm yy"))&amp;" "&amp;Milestones!$AB$79&amp;" "&amp;IF(AND(Milestones!$AB$79="FT",Milestones!$AA$79=FT_Y5,EDATE($D91,Milestones!$AA$79)&lt;PolicyEff),1,Milestones!$AC$79)&amp;";  ",""))</f>
        <v/>
      </c>
      <c r="N91" s="0" t="str">
        <f aca="false">IF(OR($A91="",$D91=""),"",IF(AND(EDATE($D91,Milestones!$AA$80)&lt;=AsOfDate,EDATE($D91,Milestones!$AA$80)&gt;=SchemeStart,IF($X91=0,$AD91,IF(AND($Z91&lt;&gt;"",EDATE($D91,Milestones!$AA$80)&gt;=$Z91),$AC91,IF(AND($Y91&lt;&gt;"",EDATE($D91,Milestones!$AA$80)&gt;=$Y91),$AB91,$AA91)))=Milestones!$AB$80),UPPER(TEXT(EDATE($D91,Milestones!$AA$80),"dd mmm yy"))&amp;" "&amp;Milestones!$AB$80&amp;" "&amp;IF(AND(Milestones!$AB$80="FT",Milestones!$AA$80=FT_Y5,EDATE($D91,Milestones!$AA$80)&lt;PolicyEff),1,Milestones!$AC$80)&amp;";  ","")&amp;IF(AND(EDATE($D91,Milestones!$AA$81)&lt;=AsOfDate,EDATE($D91,Milestones!$AA$81)&gt;=SchemeStart,IF($X91=0,$AD91,IF(AND($Z91&lt;&gt;"",EDATE($D91,Milestones!$AA$81)&gt;=$Z91),$AC91,IF(AND($Y91&lt;&gt;"",EDATE($D91,Milestones!$AA$81)&gt;=$Y91),$AB91,$AA91)))=Milestones!$AB$81),UPPER(TEXT(EDATE($D91,Milestones!$AA$81),"dd mmm yy"))&amp;" "&amp;Milestones!$AB$81&amp;" "&amp;IF(AND(Milestones!$AB$81="FT",Milestones!$AA$81=FT_Y5,EDATE($D91,Milestones!$AA$81)&lt;PolicyEff),1,Milestones!$AC$81)&amp;";  ","")&amp;IF(AND(EDATE($D91,Milestones!$AA$82)&lt;=AsOfDate,EDATE($D91,Milestones!$AA$82)&gt;=SchemeStart,IF($X91=0,$AD91,IF(AND($Z91&lt;&gt;"",EDATE($D91,Milestones!$AA$82)&gt;=$Z91),$AC91,IF(AND($Y91&lt;&gt;"",EDATE($D91,Milestones!$AA$82)&gt;=$Y91),$AB91,$AA91)))=Milestones!$AB$82),UPPER(TEXT(EDATE($D91,Milestones!$AA$82),"dd mmm yy"))&amp;" "&amp;Milestones!$AB$82&amp;" "&amp;IF(AND(Milestones!$AB$82="FT",Milestones!$AA$82=FT_Y5,EDATE($D91,Milestones!$AA$82)&lt;PolicyEff),1,Milestones!$AC$82)&amp;";  ","")&amp;IF(AND(EDATE($D91,Milestones!$AA$83)&lt;=AsOfDate,EDATE($D91,Milestones!$AA$83)&gt;=SchemeStart,IF($X91=0,$AD91,IF(AND($Z91&lt;&gt;"",EDATE($D91,Milestones!$AA$83)&gt;=$Z91),$AC91,IF(AND($Y91&lt;&gt;"",EDATE($D91,Milestones!$AA$83)&gt;=$Y91),$AB91,$AA91)))=Milestones!$AB$83),UPPER(TEXT(EDATE($D91,Milestones!$AA$83),"dd mmm yy"))&amp;" "&amp;Milestones!$AB$83&amp;" "&amp;IF(AND(Milestones!$AB$83="FT",Milestones!$AA$83=FT_Y5,EDATE($D91,Milestones!$AA$83)&lt;PolicyEff),1,Milestones!$AC$83)&amp;";  ","")&amp;IF(AND(EDATE($D91,Milestones!$AA$84)&lt;=AsOfDate,EDATE($D91,Milestones!$AA$84)&gt;=SchemeStart,IF($X91=0,$AD91,IF(AND($Z91&lt;&gt;"",EDATE($D91,Milestones!$AA$84)&gt;=$Z91),$AC91,IF(AND($Y91&lt;&gt;"",EDATE($D91,Milestones!$AA$84)&gt;=$Y91),$AB91,$AA91)))=Milestones!$AB$84),UPPER(TEXT(EDATE($D91,Milestones!$AA$84),"dd mmm yy"))&amp;" "&amp;Milestones!$AB$84&amp;" "&amp;IF(AND(Milestones!$AB$84="FT",Milestones!$AA$84=FT_Y5,EDATE($D91,Milestones!$AA$84)&lt;PolicyEff),1,Milestones!$AC$84)&amp;";  ","")&amp;IF(AND(EDATE($D91,Milestones!$AA$85)&lt;=AsOfDate,EDATE($D91,Milestones!$AA$85)&gt;=SchemeStart,IF($X91=0,$AD91,IF(AND($Z91&lt;&gt;"",EDATE($D91,Milestones!$AA$85)&gt;=$Z91),$AC91,IF(AND($Y91&lt;&gt;"",EDATE($D91,Milestones!$AA$85)&gt;=$Y91),$AB91,$AA91)))=Milestones!$AB$85),UPPER(TEXT(EDATE($D91,Milestones!$AA$85),"dd mmm yy"))&amp;" "&amp;Milestones!$AB$85&amp;" "&amp;IF(AND(Milestones!$AB$85="FT",Milestones!$AA$85=FT_Y5,EDATE($D91,Milestones!$AA$85)&lt;PolicyEff),1,Milestones!$AC$85)&amp;";  ","")&amp;IF(AND(EDATE($D91,Milestones!$AA$86)&lt;=AsOfDate,EDATE($D91,Milestones!$AA$86)&gt;=SchemeStart,IF($X91=0,$AD91,IF(AND($Z91&lt;&gt;"",EDATE($D91,Milestones!$AA$86)&gt;=$Z91),$AC91,IF(AND($Y91&lt;&gt;"",EDATE($D91,Milestones!$AA$86)&gt;=$Y91),$AB91,$AA91)))=Milestones!$AB$86),UPPER(TEXT(EDATE($D91,Milestones!$AA$86),"dd mmm yy"))&amp;" "&amp;Milestones!$AB$86&amp;" "&amp;IF(AND(Milestones!$AB$86="FT",Milestones!$AA$86=FT_Y5,EDATE($D91,Milestones!$AA$86)&lt;PolicyEff),1,Milestones!$AC$86)&amp;";  ","")&amp;IF(AND(EDATE($D91,Milestones!$AA$87)&lt;=AsOfDate,EDATE($D91,Milestones!$AA$87)&gt;=SchemeStart,IF($X91=0,$AD91,IF(AND($Z91&lt;&gt;"",EDATE($D91,Milestones!$AA$87)&gt;=$Z91),$AC91,IF(AND($Y91&lt;&gt;"",EDATE($D91,Milestones!$AA$87)&gt;=$Y91),$AB91,$AA91)))=Milestones!$AB$87),UPPER(TEXT(EDATE($D91,Milestones!$AA$87),"dd mmm yy"))&amp;" "&amp;Milestones!$AB$87&amp;" "&amp;IF(AND(Milestones!$AB$87="FT",Milestones!$AA$87=FT_Y5,EDATE($D91,Milestones!$AA$87)&lt;PolicyEff),1,Milestones!$AC$87)&amp;";  ","")&amp;IF(AND(EDATE($D91,Milestones!$AA$88)&lt;=AsOfDate,EDATE($D91,Milestones!$AA$88)&gt;=SchemeStart,IF($X91=0,$AD91,IF(AND($Z91&lt;&gt;"",EDATE($D91,Milestones!$AA$88)&gt;=$Z91),$AC91,IF(AND($Y91&lt;&gt;"",EDATE($D91,Milestones!$AA$88)&gt;=$Y91),$AB91,$AA91)))=Milestones!$AB$88),UPPER(TEXT(EDATE($D91,Milestones!$AA$88),"dd mmm yy"))&amp;" "&amp;Milestones!$AB$88&amp;" "&amp;IF(AND(Milestones!$AB$88="FT",Milestones!$AA$88=FT_Y5,EDATE($D91,Milestones!$AA$88)&lt;PolicyEff),1,Milestones!$AC$88)&amp;";  ","")&amp;IF(AND(EDATE($D91,Milestones!$AA$89)&lt;=AsOfDate,EDATE($D91,Milestones!$AA$89)&gt;=SchemeStart,IF($X91=0,$AD91,IF(AND($Z91&lt;&gt;"",EDATE($D91,Milestones!$AA$89)&gt;=$Z91),$AC91,IF(AND($Y91&lt;&gt;"",EDATE($D91,Milestones!$AA$89)&gt;=$Y91),$AB91,$AA91)))=Milestones!$AB$89),UPPER(TEXT(EDATE($D91,Milestones!$AA$89),"dd mmm yy"))&amp;" "&amp;Milestones!$AB$89&amp;" "&amp;IF(AND(Milestones!$AB$89="FT",Milestones!$AA$89=FT_Y5,EDATE($D91,Milestones!$AA$89)&lt;PolicyEff),1,Milestones!$AC$89)&amp;";  ","")&amp;IF(AND(EDATE($D91,Milestones!$AA$90)&lt;=AsOfDate,EDATE($D91,Milestones!$AA$90)&gt;=SchemeStart,IF($X91=0,$AD91,IF(AND($Z91&lt;&gt;"",EDATE($D91,Milestones!$AA$90)&gt;=$Z91),$AC91,IF(AND($Y91&lt;&gt;"",EDATE($D91,Milestones!$AA$90)&gt;=$Y91),$AB91,$AA91)))=Milestones!$AB$90),UPPER(TEXT(EDATE($D91,Milestones!$AA$90),"dd mmm yy"))&amp;" "&amp;Milestones!$AB$90&amp;" "&amp;IF(AND(Milestones!$AB$90="FT",Milestones!$AA$90=FT_Y5,EDATE($D91,Milestones!$AA$90)&lt;PolicyEff),1,Milestones!$AC$90)&amp;";  ","")&amp;IF(AND(EDATE($D91,Milestones!$AA$91)&lt;=AsOfDate,EDATE($D91,Milestones!$AA$91)&gt;=SchemeStart,IF($X91=0,$AD91,IF(AND($Z91&lt;&gt;"",EDATE($D91,Milestones!$AA$91)&gt;=$Z91),$AC91,IF(AND($Y91&lt;&gt;"",EDATE($D91,Milestones!$AA$91)&gt;=$Y91),$AB91,$AA91)))=Milestones!$AB$91),UPPER(TEXT(EDATE($D91,Milestones!$AA$91),"dd mmm yy"))&amp;" "&amp;Milestones!$AB$91&amp;" "&amp;IF(AND(Milestones!$AB$91="FT",Milestones!$AA$91=FT_Y5,EDATE($D91,Milestones!$AA$91)&lt;PolicyEff),1,Milestones!$AC$91)&amp;";  ",""))</f>
        <v/>
      </c>
      <c r="O91" s="0" t="str">
        <f aca="false">IF(OR($A91="",$D91=""),"",IF(AND(EDATE($D91,Milestones!$AA$92)&lt;=AsOfDate,EDATE($D91,Milestones!$AA$92)&gt;=SchemeStart,IF($X91=0,$AD91,IF(AND($Z91&lt;&gt;"",EDATE($D91,Milestones!$AA$92)&gt;=$Z91),$AC91,IF(AND($Y91&lt;&gt;"",EDATE($D91,Milestones!$AA$92)&gt;=$Y91),$AB91,$AA91)))=Milestones!$AB$92),UPPER(TEXT(EDATE($D91,Milestones!$AA$92),"dd mmm yy"))&amp;" "&amp;Milestones!$AB$92&amp;" "&amp;IF(AND(Milestones!$AB$92="FT",Milestones!$AA$92=FT_Y5,EDATE($D91,Milestones!$AA$92)&lt;PolicyEff),1,Milestones!$AC$92)&amp;";  ","")&amp;IF(AND(EDATE($D91,Milestones!$AA$93)&lt;=AsOfDate,EDATE($D91,Milestones!$AA$93)&gt;=SchemeStart,IF($X91=0,$AD91,IF(AND($Z91&lt;&gt;"",EDATE($D91,Milestones!$AA$93)&gt;=$Z91),$AC91,IF(AND($Y91&lt;&gt;"",EDATE($D91,Milestones!$AA$93)&gt;=$Y91),$AB91,$AA91)))=Milestones!$AB$93),UPPER(TEXT(EDATE($D91,Milestones!$AA$93),"dd mmm yy"))&amp;" "&amp;Milestones!$AB$93&amp;" "&amp;IF(AND(Milestones!$AB$93="FT",Milestones!$AA$93=FT_Y5,EDATE($D91,Milestones!$AA$93)&lt;PolicyEff),1,Milestones!$AC$93)&amp;";  ","")&amp;IF(AND(EDATE($D91,Milestones!$AA$94)&lt;=AsOfDate,EDATE($D91,Milestones!$AA$94)&gt;=SchemeStart,IF($X91=0,$AD91,IF(AND($Z91&lt;&gt;"",EDATE($D91,Milestones!$AA$94)&gt;=$Z91),$AC91,IF(AND($Y91&lt;&gt;"",EDATE($D91,Milestones!$AA$94)&gt;=$Y91),$AB91,$AA91)))=Milestones!$AB$94),UPPER(TEXT(EDATE($D91,Milestones!$AA$94),"dd mmm yy"))&amp;" "&amp;Milestones!$AB$94&amp;" "&amp;IF(AND(Milestones!$AB$94="FT",Milestones!$AA$94=FT_Y5,EDATE($D91,Milestones!$AA$94)&lt;PolicyEff),1,Milestones!$AC$94)&amp;";  ","")&amp;IF(AND(EDATE($D91,Milestones!$AA$95)&lt;=AsOfDate,EDATE($D91,Milestones!$AA$95)&gt;=SchemeStart,IF($X91=0,$AD91,IF(AND($Z91&lt;&gt;"",EDATE($D91,Milestones!$AA$95)&gt;=$Z91),$AC91,IF(AND($Y91&lt;&gt;"",EDATE($D91,Milestones!$AA$95)&gt;=$Y91),$AB91,$AA91)))=Milestones!$AB$95),UPPER(TEXT(EDATE($D91,Milestones!$AA$95),"dd mmm yy"))&amp;" "&amp;Milestones!$AB$95&amp;" "&amp;IF(AND(Milestones!$AB$95="FT",Milestones!$AA$95=FT_Y5,EDATE($D91,Milestones!$AA$95)&lt;PolicyEff),1,Milestones!$AC$95)&amp;";  ","")&amp;IF(AND(EDATE($D91,Milestones!$AA$96)&lt;=AsOfDate,EDATE($D91,Milestones!$AA$96)&gt;=SchemeStart,IF($X91=0,$AD91,IF(AND($Z91&lt;&gt;"",EDATE($D91,Milestones!$AA$96)&gt;=$Z91),$AC91,IF(AND($Y91&lt;&gt;"",EDATE($D91,Milestones!$AA$96)&gt;=$Y91),$AB91,$AA91)))=Milestones!$AB$96),UPPER(TEXT(EDATE($D91,Milestones!$AA$96),"dd mmm yy"))&amp;" "&amp;Milestones!$AB$96&amp;" "&amp;IF(AND(Milestones!$AB$96="FT",Milestones!$AA$96=FT_Y5,EDATE($D91,Milestones!$AA$96)&lt;PolicyEff),1,Milestones!$AC$96)&amp;";  ","")&amp;IF(AND(EDATE($D91,Milestones!$AA$97)&lt;=AsOfDate,EDATE($D91,Milestones!$AA$97)&gt;=SchemeStart,IF($X91=0,$AD91,IF(AND($Z91&lt;&gt;"",EDATE($D91,Milestones!$AA$97)&gt;=$Z91),$AC91,IF(AND($Y91&lt;&gt;"",EDATE($D91,Milestones!$AA$97)&gt;=$Y91),$AB91,$AA91)))=Milestones!$AB$97),UPPER(TEXT(EDATE($D91,Milestones!$AA$97),"dd mmm yy"))&amp;" "&amp;Milestones!$AB$97&amp;" "&amp;IF(AND(Milestones!$AB$97="FT",Milestones!$AA$97=FT_Y5,EDATE($D91,Milestones!$AA$97)&lt;PolicyEff),1,Milestones!$AC$97)&amp;";  ","")&amp;IF(AND(EDATE($D91,Milestones!$AA$98)&lt;=AsOfDate,EDATE($D91,Milestones!$AA$98)&gt;=SchemeStart,IF($X91=0,$AD91,IF(AND($Z91&lt;&gt;"",EDATE($D91,Milestones!$AA$98)&gt;=$Z91),$AC91,IF(AND($Y91&lt;&gt;"",EDATE($D91,Milestones!$AA$98)&gt;=$Y91),$AB91,$AA91)))=Milestones!$AB$98),UPPER(TEXT(EDATE($D91,Milestones!$AA$98),"dd mmm yy"))&amp;" "&amp;Milestones!$AB$98&amp;" "&amp;IF(AND(Milestones!$AB$98="FT",Milestones!$AA$98=FT_Y5,EDATE($D91,Milestones!$AA$98)&lt;PolicyEff),1,Milestones!$AC$98)&amp;";  ","")&amp;IF(AND(EDATE($D91,Milestones!$AA$99)&lt;=AsOfDate,EDATE($D91,Milestones!$AA$99)&gt;=SchemeStart,IF($X91=0,$AD91,IF(AND($Z91&lt;&gt;"",EDATE($D91,Milestones!$AA$99)&gt;=$Z91),$AC91,IF(AND($Y91&lt;&gt;"",EDATE($D91,Milestones!$AA$99)&gt;=$Y91),$AB91,$AA91)))=Milestones!$AB$99),UPPER(TEXT(EDATE($D91,Milestones!$AA$99),"dd mmm yy"))&amp;" "&amp;Milestones!$AB$99&amp;" "&amp;IF(AND(Milestones!$AB$99="FT",Milestones!$AA$99=FT_Y5,EDATE($D91,Milestones!$AA$99)&lt;PolicyEff),1,Milestones!$AC$99)&amp;";  ","")&amp;IF(AND(EDATE($D91,Milestones!$AA$100)&lt;=AsOfDate,EDATE($D91,Milestones!$AA$100)&gt;=SchemeStart,IF($X91=0,$AD91,IF(AND($Z91&lt;&gt;"",EDATE($D91,Milestones!$AA$100)&gt;=$Z91),$AC91,IF(AND($Y91&lt;&gt;"",EDATE($D91,Milestones!$AA$100)&gt;=$Y91),$AB91,$AA91)))=Milestones!$AB$100),UPPER(TEXT(EDATE($D91,Milestones!$AA$100),"dd mmm yy"))&amp;" "&amp;Milestones!$AB$100&amp;" "&amp;IF(AND(Milestones!$AB$100="FT",Milestones!$AA$100=FT_Y5,EDATE($D91,Milestones!$AA$100)&lt;PolicyEff),1,Milestones!$AC$100)&amp;";  ","")&amp;IF(AND(EDATE($D91,Milestones!$AA$101)&lt;=AsOfDate,EDATE($D91,Milestones!$AA$101)&gt;=SchemeStart,IF($X91=0,$AD91,IF(AND($Z91&lt;&gt;"",EDATE($D91,Milestones!$AA$101)&gt;=$Z91),$AC91,IF(AND($Y91&lt;&gt;"",EDATE($D91,Milestones!$AA$101)&gt;=$Y91),$AB91,$AA91)))=Milestones!$AB$101),UPPER(TEXT(EDATE($D91,Milestones!$AA$101),"dd mmm yy"))&amp;" "&amp;Milestones!$AB$101&amp;" "&amp;IF(AND(Milestones!$AB$101="FT",Milestones!$AA$101=FT_Y5,EDATE($D91,Milestones!$AA$101)&lt;PolicyEff),1,Milestones!$AC$101)&amp;";  ","")&amp;IF(AND(EDATE($D91,Milestones!$AA$102)&lt;=AsOfDate,EDATE($D91,Milestones!$AA$102)&gt;=SchemeStart,IF($X91=0,$AD91,IF(AND($Z91&lt;&gt;"",EDATE($D91,Milestones!$AA$102)&gt;=$Z91),$AC91,IF(AND($Y91&lt;&gt;"",EDATE($D91,Milestones!$AA$102)&gt;=$Y91),$AB91,$AA91)))=Milestones!$AB$102),UPPER(TEXT(EDATE($D91,Milestones!$AA$102),"dd mmm yy"))&amp;" "&amp;Milestones!$AB$102&amp;" "&amp;IF(AND(Milestones!$AB$102="FT",Milestones!$AA$102=FT_Y5,EDATE($D91,Milestones!$AA$102)&lt;PolicyEff),1,Milestones!$AC$102)&amp;";  ","")&amp;IF(AND(EDATE($D91,Milestones!$AA$103)&lt;=AsOfDate,EDATE($D91,Milestones!$AA$103)&gt;=SchemeStart,IF($X91=0,$AD91,IF(AND($Z91&lt;&gt;"",EDATE($D91,Milestones!$AA$103)&gt;=$Z91),$AC91,IF(AND($Y91&lt;&gt;"",EDATE($D91,Milestones!$AA$103)&gt;=$Y91),$AB91,$AA91)))=Milestones!$AB$103),UPPER(TEXT(EDATE($D91,Milestones!$AA$103),"dd mmm yy"))&amp;" "&amp;Milestones!$AB$103&amp;" "&amp;IF(AND(Milestones!$AB$103="FT",Milestones!$AA$103=FT_Y5,EDATE($D91,Milestones!$AA$103)&lt;PolicyEff),1,Milestones!$AC$103)&amp;";  ",""))</f>
        <v/>
      </c>
      <c r="P91" s="0" t="str">
        <f aca="false">IF(OR($A91="",$D91=""),"",IF(AND(EDATE($D91,Milestones!$AA$104)&lt;=AsOfDate,EDATE($D91,Milestones!$AA$104)&gt;=SchemeStart,IF($X91=0,$AD91,IF(AND($Z91&lt;&gt;"",EDATE($D91,Milestones!$AA$104)&gt;=$Z91),$AC91,IF(AND($Y91&lt;&gt;"",EDATE($D91,Milestones!$AA$104)&gt;=$Y91),$AB91,$AA91)))=Milestones!$AB$104),UPPER(TEXT(EDATE($D91,Milestones!$AA$104),"dd mmm yy"))&amp;" "&amp;Milestones!$AB$104&amp;" "&amp;IF(AND(Milestones!$AB$104="FT",Milestones!$AA$104=FT_Y5,EDATE($D91,Milestones!$AA$104)&lt;PolicyEff),1,Milestones!$AC$104)&amp;";  ","")&amp;IF(AND(EDATE($D91,Milestones!$AA$105)&lt;=AsOfDate,EDATE($D91,Milestones!$AA$105)&gt;=SchemeStart,IF($X91=0,$AD91,IF(AND($Z91&lt;&gt;"",EDATE($D91,Milestones!$AA$105)&gt;=$Z91),$AC91,IF(AND($Y91&lt;&gt;"",EDATE($D91,Milestones!$AA$105)&gt;=$Y91),$AB91,$AA91)))=Milestones!$AB$105),UPPER(TEXT(EDATE($D91,Milestones!$AA$105),"dd mmm yy"))&amp;" "&amp;Milestones!$AB$105&amp;" "&amp;IF(AND(Milestones!$AB$105="FT",Milestones!$AA$105=FT_Y5,EDATE($D91,Milestones!$AA$105)&lt;PolicyEff),1,Milestones!$AC$105)&amp;";  ","")&amp;IF(AND(EDATE($D91,Milestones!$AA$106)&lt;=AsOfDate,EDATE($D91,Milestones!$AA$106)&gt;=SchemeStart,IF($X91=0,$AD91,IF(AND($Z91&lt;&gt;"",EDATE($D91,Milestones!$AA$106)&gt;=$Z91),$AC91,IF(AND($Y91&lt;&gt;"",EDATE($D91,Milestones!$AA$106)&gt;=$Y91),$AB91,$AA91)))=Milestones!$AB$106),UPPER(TEXT(EDATE($D91,Milestones!$AA$106),"dd mmm yy"))&amp;" "&amp;Milestones!$AB$106&amp;" "&amp;IF(AND(Milestones!$AB$106="FT",Milestones!$AA$106=FT_Y5,EDATE($D91,Milestones!$AA$106)&lt;PolicyEff),1,Milestones!$AC$106)&amp;";  ","")&amp;IF(AND(EDATE($D91,Milestones!$AA$107)&lt;=AsOfDate,EDATE($D91,Milestones!$AA$107)&gt;=SchemeStart,IF($X91=0,$AD91,IF(AND($Z91&lt;&gt;"",EDATE($D91,Milestones!$AA$107)&gt;=$Z91),$AC91,IF(AND($Y91&lt;&gt;"",EDATE($D91,Milestones!$AA$107)&gt;=$Y91),$AB91,$AA91)))=Milestones!$AB$107),UPPER(TEXT(EDATE($D91,Milestones!$AA$107),"dd mmm yy"))&amp;" "&amp;Milestones!$AB$107&amp;" "&amp;IF(AND(Milestones!$AB$107="FT",Milestones!$AA$107=FT_Y5,EDATE($D91,Milestones!$AA$107)&lt;PolicyEff),1,Milestones!$AC$107)&amp;";  ","")&amp;IF(AND(EDATE($D91,Milestones!$AA$108)&lt;=AsOfDate,EDATE($D91,Milestones!$AA$108)&gt;=SchemeStart,IF($X91=0,$AD91,IF(AND($Z91&lt;&gt;"",EDATE($D91,Milestones!$AA$108)&gt;=$Z91),$AC91,IF(AND($Y91&lt;&gt;"",EDATE($D91,Milestones!$AA$108)&gt;=$Y91),$AB91,$AA91)))=Milestones!$AB$108),UPPER(TEXT(EDATE($D91,Milestones!$AA$108),"dd mmm yy"))&amp;" "&amp;Milestones!$AB$108&amp;" "&amp;IF(AND(Milestones!$AB$108="FT",Milestones!$AA$108=FT_Y5,EDATE($D91,Milestones!$AA$108)&lt;PolicyEff),1,Milestones!$AC$108)&amp;";  ","")&amp;IF(AND(EDATE($D91,Milestones!$AA$109)&lt;=AsOfDate,EDATE($D91,Milestones!$AA$109)&gt;=SchemeStart,IF($X91=0,$AD91,IF(AND($Z91&lt;&gt;"",EDATE($D91,Milestones!$AA$109)&gt;=$Z91),$AC91,IF(AND($Y91&lt;&gt;"",EDATE($D91,Milestones!$AA$109)&gt;=$Y91),$AB91,$AA91)))=Milestones!$AB$109),UPPER(TEXT(EDATE($D91,Milestones!$AA$109),"dd mmm yy"))&amp;" "&amp;Milestones!$AB$109&amp;" "&amp;IF(AND(Milestones!$AB$109="FT",Milestones!$AA$109=FT_Y5,EDATE($D91,Milestones!$AA$109)&lt;PolicyEff),1,Milestones!$AC$109)&amp;";  ","")&amp;IF(AND(EDATE($D91,Milestones!$AA$110)&lt;=AsOfDate,EDATE($D91,Milestones!$AA$110)&gt;=SchemeStart,IF($X91=0,$AD91,IF(AND($Z91&lt;&gt;"",EDATE($D91,Milestones!$AA$110)&gt;=$Z91),$AC91,IF(AND($Y91&lt;&gt;"",EDATE($D91,Milestones!$AA$110)&gt;=$Y91),$AB91,$AA91)))=Milestones!$AB$110),UPPER(TEXT(EDATE($D91,Milestones!$AA$110),"dd mmm yy"))&amp;" "&amp;Milestones!$AB$110&amp;" "&amp;IF(AND(Milestones!$AB$110="FT",Milestones!$AA$110=FT_Y5,EDATE($D91,Milestones!$AA$110)&lt;PolicyEff),1,Milestones!$AC$110)&amp;";  ","")&amp;IF(AND(EDATE($D91,Milestones!$AA$111)&lt;=AsOfDate,EDATE($D91,Milestones!$AA$111)&gt;=SchemeStart,IF($X91=0,$AD91,IF(AND($Z91&lt;&gt;"",EDATE($D91,Milestones!$AA$111)&gt;=$Z91),$AC91,IF(AND($Y91&lt;&gt;"",EDATE($D91,Milestones!$AA$111)&gt;=$Y91),$AB91,$AA91)))=Milestones!$AB$111),UPPER(TEXT(EDATE($D91,Milestones!$AA$111),"dd mmm yy"))&amp;" "&amp;Milestones!$AB$111&amp;" "&amp;IF(AND(Milestones!$AB$111="FT",Milestones!$AA$111=FT_Y5,EDATE($D91,Milestones!$AA$111)&lt;PolicyEff),1,Milestones!$AC$111)&amp;";  ","")&amp;IF(AND(EDATE($D91,Milestones!$AA$112)&lt;=AsOfDate,EDATE($D91,Milestones!$AA$112)&gt;=SchemeStart,IF($X91=0,$AD91,IF(AND($Z91&lt;&gt;"",EDATE($D91,Milestones!$AA$112)&gt;=$Z91),$AC91,IF(AND($Y91&lt;&gt;"",EDATE($D91,Milestones!$AA$112)&gt;=$Y91),$AB91,$AA91)))=Milestones!$AB$112),UPPER(TEXT(EDATE($D91,Milestones!$AA$112),"dd mmm yy"))&amp;" "&amp;Milestones!$AB$112&amp;" "&amp;IF(AND(Milestones!$AB$112="FT",Milestones!$AA$112=FT_Y5,EDATE($D91,Milestones!$AA$112)&lt;PolicyEff),1,Milestones!$AC$112)&amp;";  ","")&amp;IF(AND(EDATE($D91,Milestones!$AA$113)&lt;=AsOfDate,EDATE($D91,Milestones!$AA$113)&gt;=SchemeStart,IF($X91=0,$AD91,IF(AND($Z91&lt;&gt;"",EDATE($D91,Milestones!$AA$113)&gt;=$Z91),$AC91,IF(AND($Y91&lt;&gt;"",EDATE($D91,Milestones!$AA$113)&gt;=$Y91),$AB91,$AA91)))=Milestones!$AB$113),UPPER(TEXT(EDATE($D91,Milestones!$AA$113),"dd mmm yy"))&amp;" "&amp;Milestones!$AB$113&amp;" "&amp;IF(AND(Milestones!$AB$113="FT",Milestones!$AA$113=FT_Y5,EDATE($D91,Milestones!$AA$113)&lt;PolicyEff),1,Milestones!$AC$113)&amp;";  ","")&amp;IF(AND(EDATE($D91,Milestones!$AA$114)&lt;=AsOfDate,EDATE($D91,Milestones!$AA$114)&gt;=SchemeStart,IF($X91=0,$AD91,IF(AND($Z91&lt;&gt;"",EDATE($D91,Milestones!$AA$114)&gt;=$Z91),$AC91,IF(AND($Y91&lt;&gt;"",EDATE($D91,Milestones!$AA$114)&gt;=$Y91),$AB91,$AA91)))=Milestones!$AB$114),UPPER(TEXT(EDATE($D91,Milestones!$AA$114),"dd mmm yy"))&amp;" "&amp;Milestones!$AB$114&amp;" "&amp;IF(AND(Milestones!$AB$114="FT",Milestones!$AA$114=FT_Y5,EDATE($D91,Milestones!$AA$114)&lt;PolicyEff),1,Milestones!$AC$114)&amp;";  ","")&amp;IF(AND(EDATE($D91,Milestones!$AA$115)&lt;=AsOfDate,EDATE($D91,Milestones!$AA$115)&gt;=SchemeStart,IF($X91=0,$AD91,IF(AND($Z91&lt;&gt;"",EDATE($D91,Milestones!$AA$115)&gt;=$Z91),$AC91,IF(AND($Y91&lt;&gt;"",EDATE($D91,Milestones!$AA$115)&gt;=$Y91),$AB91,$AA91)))=Milestones!$AB$115),UPPER(TEXT(EDATE($D91,Milestones!$AA$115),"dd mmm yy"))&amp;" "&amp;Milestones!$AB$115&amp;" "&amp;IF(AND(Milestones!$AB$115="FT",Milestones!$AA$115=FT_Y5,EDATE($D91,Milestones!$AA$115)&lt;PolicyEff),1,Milestones!$AC$115)&amp;";  ",""))</f>
        <v/>
      </c>
      <c r="Q91" s="0" t="str">
        <f aca="false">IF(OR($A91="",$D91=""),"",IF(AND(EDATE($D91,Milestones!$AA$116)&lt;=AsOfDate,EDATE($D91,Milestones!$AA$116)&gt;=SchemeStart,IF($X91=0,$AD91,IF(AND($Z91&lt;&gt;"",EDATE($D91,Milestones!$AA$116)&gt;=$Z91),$AC91,IF(AND($Y91&lt;&gt;"",EDATE($D91,Milestones!$AA$116)&gt;=$Y91),$AB91,$AA91)))=Milestones!$AB$116),UPPER(TEXT(EDATE($D91,Milestones!$AA$116),"dd mmm yy"))&amp;" "&amp;Milestones!$AB$116&amp;" "&amp;IF(AND(Milestones!$AB$116="FT",Milestones!$AA$116=FT_Y5,EDATE($D91,Milestones!$AA$116)&lt;PolicyEff),1,Milestones!$AC$116)&amp;";  ","")&amp;IF(AND(EDATE($D91,Milestones!$AA$117)&lt;=AsOfDate,EDATE($D91,Milestones!$AA$117)&gt;=SchemeStart,IF($X91=0,$AD91,IF(AND($Z91&lt;&gt;"",EDATE($D91,Milestones!$AA$117)&gt;=$Z91),$AC91,IF(AND($Y91&lt;&gt;"",EDATE($D91,Milestones!$AA$117)&gt;=$Y91),$AB91,$AA91)))=Milestones!$AB$117),UPPER(TEXT(EDATE($D91,Milestones!$AA$117),"dd mmm yy"))&amp;" "&amp;Milestones!$AB$117&amp;" "&amp;IF(AND(Milestones!$AB$117="FT",Milestones!$AA$117=FT_Y5,EDATE($D91,Milestones!$AA$117)&lt;PolicyEff),1,Milestones!$AC$117)&amp;";  ","")&amp;IF(AND(EDATE($D91,Milestones!$AA$118)&lt;=AsOfDate,EDATE($D91,Milestones!$AA$118)&gt;=SchemeStart,IF($X91=0,$AD91,IF(AND($Z91&lt;&gt;"",EDATE($D91,Milestones!$AA$118)&gt;=$Z91),$AC91,IF(AND($Y91&lt;&gt;"",EDATE($D91,Milestones!$AA$118)&gt;=$Y91),$AB91,$AA91)))=Milestones!$AB$118),UPPER(TEXT(EDATE($D91,Milestones!$AA$118),"dd mmm yy"))&amp;" "&amp;Milestones!$AB$118&amp;" "&amp;IF(AND(Milestones!$AB$118="FT",Milestones!$AA$118=FT_Y5,EDATE($D91,Milestones!$AA$118)&lt;PolicyEff),1,Milestones!$AC$118)&amp;";  ","")&amp;IF(AND(EDATE($D91,Milestones!$AA$119)&lt;=AsOfDate,EDATE($D91,Milestones!$AA$119)&gt;=SchemeStart,IF($X91=0,$AD91,IF(AND($Z91&lt;&gt;"",EDATE($D91,Milestones!$AA$119)&gt;=$Z91),$AC91,IF(AND($Y91&lt;&gt;"",EDATE($D91,Milestones!$AA$119)&gt;=$Y91),$AB91,$AA91)))=Milestones!$AB$119),UPPER(TEXT(EDATE($D91,Milestones!$AA$119),"dd mmm yy"))&amp;" "&amp;Milestones!$AB$119&amp;" "&amp;IF(AND(Milestones!$AB$119="FT",Milestones!$AA$119=FT_Y5,EDATE($D91,Milestones!$AA$119)&lt;PolicyEff),1,Milestones!$AC$119)&amp;";  ","")&amp;IF(AND(EDATE($D91,Milestones!$AA$120)&lt;=AsOfDate,EDATE($D91,Milestones!$AA$120)&gt;=SchemeStart,IF($X91=0,$AD91,IF(AND($Z91&lt;&gt;"",EDATE($D91,Milestones!$AA$120)&gt;=$Z91),$AC91,IF(AND($Y91&lt;&gt;"",EDATE($D91,Milestones!$AA$120)&gt;=$Y91),$AB91,$AA91)))=Milestones!$AB$120),UPPER(TEXT(EDATE($D91,Milestones!$AA$120),"dd mmm yy"))&amp;" "&amp;Milestones!$AB$120&amp;" "&amp;IF(AND(Milestones!$AB$120="FT",Milestones!$AA$120=FT_Y5,EDATE($D91,Milestones!$AA$120)&lt;PolicyEff),1,Milestones!$AC$120)&amp;";  ","")&amp;IF(AND(EDATE($D91,Milestones!$AA$121)&lt;=AsOfDate,EDATE($D91,Milestones!$AA$121)&gt;=SchemeStart,IF($X91=0,$AD91,IF(AND($Z91&lt;&gt;"",EDATE($D91,Milestones!$AA$121)&gt;=$Z91),$AC91,IF(AND($Y91&lt;&gt;"",EDATE($D91,Milestones!$AA$121)&gt;=$Y91),$AB91,$AA91)))=Milestones!$AB$121),UPPER(TEXT(EDATE($D91,Milestones!$AA$121),"dd mmm yy"))&amp;" "&amp;Milestones!$AB$121&amp;" "&amp;IF(AND(Milestones!$AB$121="FT",Milestones!$AA$121=FT_Y5,EDATE($D91,Milestones!$AA$121)&lt;PolicyEff),1,Milestones!$AC$121)&amp;";  ","")&amp;IF(AND(EDATE($D91,Milestones!$AA$122)&lt;=AsOfDate,EDATE($D91,Milestones!$AA$122)&gt;=SchemeStart,IF($X91=0,$AD91,IF(AND($Z91&lt;&gt;"",EDATE($D91,Milestones!$AA$122)&gt;=$Z91),$AC91,IF(AND($Y91&lt;&gt;"",EDATE($D91,Milestones!$AA$122)&gt;=$Y91),$AB91,$AA91)))=Milestones!$AB$122),UPPER(TEXT(EDATE($D91,Milestones!$AA$122),"dd mmm yy"))&amp;" "&amp;Milestones!$AB$122&amp;" "&amp;IF(AND(Milestones!$AB$122="FT",Milestones!$AA$122=FT_Y5,EDATE($D91,Milestones!$AA$122)&lt;PolicyEff),1,Milestones!$AC$122)&amp;";  ","")&amp;IF(AND(EDATE($D91,Milestones!$AA$123)&lt;=AsOfDate,EDATE($D91,Milestones!$AA$123)&gt;=SchemeStart,IF($X91=0,$AD91,IF(AND($Z91&lt;&gt;"",EDATE($D91,Milestones!$AA$123)&gt;=$Z91),$AC91,IF(AND($Y91&lt;&gt;"",EDATE($D91,Milestones!$AA$123)&gt;=$Y91),$AB91,$AA91)))=Milestones!$AB$123),UPPER(TEXT(EDATE($D91,Milestones!$AA$123),"dd mmm yy"))&amp;" "&amp;Milestones!$AB$123&amp;" "&amp;IF(AND(Milestones!$AB$123="FT",Milestones!$AA$123=FT_Y5,EDATE($D91,Milestones!$AA$123)&lt;PolicyEff),1,Milestones!$AC$123)&amp;";  ","")&amp;IF(AND(EDATE($D91,Milestones!$AA$124)&lt;=AsOfDate,EDATE($D91,Milestones!$AA$124)&gt;=SchemeStart,IF($X91=0,$AD91,IF(AND($Z91&lt;&gt;"",EDATE($D91,Milestones!$AA$124)&gt;=$Z91),$AC91,IF(AND($Y91&lt;&gt;"",EDATE($D91,Milestones!$AA$124)&gt;=$Y91),$AB91,$AA91)))=Milestones!$AB$124),UPPER(TEXT(EDATE($D91,Milestones!$AA$124),"dd mmm yy"))&amp;" "&amp;Milestones!$AB$124&amp;" "&amp;IF(AND(Milestones!$AB$124="FT",Milestones!$AA$124=FT_Y5,EDATE($D91,Milestones!$AA$124)&lt;PolicyEff),1,Milestones!$AC$124)&amp;";  ","")&amp;IF(AND(EDATE($D91,Milestones!$AA$125)&lt;=AsOfDate,EDATE($D91,Milestones!$AA$125)&gt;=SchemeStart,IF($X91=0,$AD91,IF(AND($Z91&lt;&gt;"",EDATE($D91,Milestones!$AA$125)&gt;=$Z91),$AC91,IF(AND($Y91&lt;&gt;"",EDATE($D91,Milestones!$AA$125)&gt;=$Y91),$AB91,$AA91)))=Milestones!$AB$125),UPPER(TEXT(EDATE($D91,Milestones!$AA$125),"dd mmm yy"))&amp;" "&amp;Milestones!$AB$125&amp;" "&amp;IF(AND(Milestones!$AB$125="FT",Milestones!$AA$125=FT_Y5,EDATE($D91,Milestones!$AA$125)&lt;PolicyEff),1,Milestones!$AC$125)&amp;";  ","")&amp;IF(AND(EDATE($D91,Milestones!$AA$126)&lt;=AsOfDate,EDATE($D91,Milestones!$AA$126)&gt;=SchemeStart,IF($X91=0,$AD91,IF(AND($Z91&lt;&gt;"",EDATE($D91,Milestones!$AA$126)&gt;=$Z91),$AC91,IF(AND($Y91&lt;&gt;"",EDATE($D91,Milestones!$AA$126)&gt;=$Y91),$AB91,$AA91)))=Milestones!$AB$126),UPPER(TEXT(EDATE($D91,Milestones!$AA$126),"dd mmm yy"))&amp;" "&amp;Milestones!$AB$126&amp;" "&amp;IF(AND(Milestones!$AB$126="FT",Milestones!$AA$126=FT_Y5,EDATE($D91,Milestones!$AA$126)&lt;PolicyEff),1,Milestones!$AC$126)&amp;";  ","")&amp;IF(AND(EDATE($D91,Milestones!$AA$127)&lt;=AsOfDate,EDATE($D91,Milestones!$AA$127)&gt;=SchemeStart,IF($X91=0,$AD91,IF(AND($Z91&lt;&gt;"",EDATE($D91,Milestones!$AA$127)&gt;=$Z91),$AC91,IF(AND($Y91&lt;&gt;"",EDATE($D91,Milestones!$AA$127)&gt;=$Y91),$AB91,$AA91)))=Milestones!$AB$127),UPPER(TEXT(EDATE($D91,Milestones!$AA$127),"dd mmm yy"))&amp;" "&amp;Milestones!$AB$127&amp;" "&amp;IF(AND(Milestones!$AB$127="FT",Milestones!$AA$127=FT_Y5,EDATE($D91,Milestones!$AA$127)&lt;PolicyEff),1,Milestones!$AC$127)&amp;";  ",""))</f>
        <v/>
      </c>
      <c r="R91" s="0" t="str">
        <f aca="false">IF(OR($A91="",$D91=""),"",IF(AND(EDATE($D91,Milestones!$AA$128)&lt;=AsOfDate,EDATE($D91,Milestones!$AA$128)&gt;=SchemeStart,IF($X91=0,$AD91,IF(AND($Z91&lt;&gt;"",EDATE($D91,Milestones!$AA$128)&gt;=$Z91),$AC91,IF(AND($Y91&lt;&gt;"",EDATE($D91,Milestones!$AA$128)&gt;=$Y91),$AB91,$AA91)))=Milestones!$AB$128),UPPER(TEXT(EDATE($D91,Milestones!$AA$128),"dd mmm yy"))&amp;" "&amp;Milestones!$AB$128&amp;" "&amp;IF(AND(Milestones!$AB$128="FT",Milestones!$AA$128=FT_Y5,EDATE($D91,Milestones!$AA$128)&lt;PolicyEff),1,Milestones!$AC$128)&amp;";  ","")&amp;IF(AND(EDATE($D91,Milestones!$AA$129)&lt;=AsOfDate,EDATE($D91,Milestones!$AA$129)&gt;=SchemeStart,IF($X91=0,$AD91,IF(AND($Z91&lt;&gt;"",EDATE($D91,Milestones!$AA$129)&gt;=$Z91),$AC91,IF(AND($Y91&lt;&gt;"",EDATE($D91,Milestones!$AA$129)&gt;=$Y91),$AB91,$AA91)))=Milestones!$AB$129),UPPER(TEXT(EDATE($D91,Milestones!$AA$129),"dd mmm yy"))&amp;" "&amp;Milestones!$AB$129&amp;" "&amp;IF(AND(Milestones!$AB$129="FT",Milestones!$AA$129=FT_Y5,EDATE($D91,Milestones!$AA$129)&lt;PolicyEff),1,Milestones!$AC$129)&amp;";  ","")&amp;IF(AND(EDATE($D91,Milestones!$AA$130)&lt;=AsOfDate,EDATE($D91,Milestones!$AA$130)&gt;=SchemeStart,IF($X91=0,$AD91,IF(AND($Z91&lt;&gt;"",EDATE($D91,Milestones!$AA$130)&gt;=$Z91),$AC91,IF(AND($Y91&lt;&gt;"",EDATE($D91,Milestones!$AA$130)&gt;=$Y91),$AB91,$AA91)))=Milestones!$AB$130),UPPER(TEXT(EDATE($D91,Milestones!$AA$130),"dd mmm yy"))&amp;" "&amp;Milestones!$AB$130&amp;" "&amp;IF(AND(Milestones!$AB$130="FT",Milestones!$AA$130=FT_Y5,EDATE($D91,Milestones!$AA$130)&lt;PolicyEff),1,Milestones!$AC$130)&amp;";  ","")&amp;IF(AND(EDATE($D91,Milestones!$AA$131)&lt;=AsOfDate,EDATE($D91,Milestones!$AA$131)&gt;=SchemeStart,IF($X91=0,$AD91,IF(AND($Z91&lt;&gt;"",EDATE($D91,Milestones!$AA$131)&gt;=$Z91),$AC91,IF(AND($Y91&lt;&gt;"",EDATE($D91,Milestones!$AA$131)&gt;=$Y91),$AB91,$AA91)))=Milestones!$AB$131),UPPER(TEXT(EDATE($D91,Milestones!$AA$131),"dd mmm yy"))&amp;" "&amp;Milestones!$AB$131&amp;" "&amp;IF(AND(Milestones!$AB$131="FT",Milestones!$AA$131=FT_Y5,EDATE($D91,Milestones!$AA$131)&lt;PolicyEff),1,Milestones!$AC$131)&amp;";  ","")&amp;IF(AND(EDATE($D91,Milestones!$AA$132)&lt;=AsOfDate,EDATE($D91,Milestones!$AA$132)&gt;=SchemeStart,IF($X91=0,$AD91,IF(AND($Z91&lt;&gt;"",EDATE($D91,Milestones!$AA$132)&gt;=$Z91),$AC91,IF(AND($Y91&lt;&gt;"",EDATE($D91,Milestones!$AA$132)&gt;=$Y91),$AB91,$AA91)))=Milestones!$AB$132),UPPER(TEXT(EDATE($D91,Milestones!$AA$132),"dd mmm yy"))&amp;" "&amp;Milestones!$AB$132&amp;" "&amp;IF(AND(Milestones!$AB$132="FT",Milestones!$AA$132=FT_Y5,EDATE($D91,Milestones!$AA$132)&lt;PolicyEff),1,Milestones!$AC$132)&amp;";  ","")&amp;IF(AND(EDATE($D91,Milestones!$AA$133)&lt;=AsOfDate,EDATE($D91,Milestones!$AA$133)&gt;=SchemeStart,IF($X91=0,$AD91,IF(AND($Z91&lt;&gt;"",EDATE($D91,Milestones!$AA$133)&gt;=$Z91),$AC91,IF(AND($Y91&lt;&gt;"",EDATE($D91,Milestones!$AA$133)&gt;=$Y91),$AB91,$AA91)))=Milestones!$AB$133),UPPER(TEXT(EDATE($D91,Milestones!$AA$133),"dd mmm yy"))&amp;" "&amp;Milestones!$AB$133&amp;" "&amp;IF(AND(Milestones!$AB$133="FT",Milestones!$AA$133=FT_Y5,EDATE($D91,Milestones!$AA$133)&lt;PolicyEff),1,Milestones!$AC$133)&amp;";  ","")&amp;IF(AND(EDATE($D91,Milestones!$AA$134)&lt;=AsOfDate,EDATE($D91,Milestones!$AA$134)&gt;=SchemeStart,IF($X91=0,$AD91,IF(AND($Z91&lt;&gt;"",EDATE($D91,Milestones!$AA$134)&gt;=$Z91),$AC91,IF(AND($Y91&lt;&gt;"",EDATE($D91,Milestones!$AA$134)&gt;=$Y91),$AB91,$AA91)))=Milestones!$AB$134),UPPER(TEXT(EDATE($D91,Milestones!$AA$134),"dd mmm yy"))&amp;" "&amp;Milestones!$AB$134&amp;" "&amp;IF(AND(Milestones!$AB$134="FT",Milestones!$AA$134=FT_Y5,EDATE($D91,Milestones!$AA$134)&lt;PolicyEff),1,Milestones!$AC$134)&amp;";  ","")&amp;IF(AND(EDATE($D91,Milestones!$AA$135)&lt;=AsOfDate,EDATE($D91,Milestones!$AA$135)&gt;=SchemeStart,IF($X91=0,$AD91,IF(AND($Z91&lt;&gt;"",EDATE($D91,Milestones!$AA$135)&gt;=$Z91),$AC91,IF(AND($Y91&lt;&gt;"",EDATE($D91,Milestones!$AA$135)&gt;=$Y91),$AB91,$AA91)))=Milestones!$AB$135),UPPER(TEXT(EDATE($D91,Milestones!$AA$135),"dd mmm yy"))&amp;" "&amp;Milestones!$AB$135&amp;" "&amp;IF(AND(Milestones!$AB$135="FT",Milestones!$AA$135=FT_Y5,EDATE($D91,Milestones!$AA$135)&lt;PolicyEff),1,Milestones!$AC$135)&amp;";  ","")&amp;IF(AND(EDATE($D91,Milestones!$AA$136)&lt;=AsOfDate,EDATE($D91,Milestones!$AA$136)&gt;=SchemeStart,IF($X91=0,$AD91,IF(AND($Z91&lt;&gt;"",EDATE($D91,Milestones!$AA$136)&gt;=$Z91),$AC91,IF(AND($Y91&lt;&gt;"",EDATE($D91,Milestones!$AA$136)&gt;=$Y91),$AB91,$AA91)))=Milestones!$AB$136),UPPER(TEXT(EDATE($D91,Milestones!$AA$136),"dd mmm yy"))&amp;" "&amp;Milestones!$AB$136&amp;" "&amp;IF(AND(Milestones!$AB$136="FT",Milestones!$AA$136=FT_Y5,EDATE($D91,Milestones!$AA$136)&lt;PolicyEff),1,Milestones!$AC$136)&amp;";  ","")&amp;IF(AND(EDATE($D91,Milestones!$AA$137)&lt;=AsOfDate,EDATE($D91,Milestones!$AA$137)&gt;=SchemeStart,IF($X91=0,$AD91,IF(AND($Z91&lt;&gt;"",EDATE($D91,Milestones!$AA$137)&gt;=$Z91),$AC91,IF(AND($Y91&lt;&gt;"",EDATE($D91,Milestones!$AA$137)&gt;=$Y91),$AB91,$AA91)))=Milestones!$AB$137),UPPER(TEXT(EDATE($D91,Milestones!$AA$137),"dd mmm yy"))&amp;" "&amp;Milestones!$AB$137&amp;" "&amp;IF(AND(Milestones!$AB$137="FT",Milestones!$AA$137=FT_Y5,EDATE($D91,Milestones!$AA$137)&lt;PolicyEff),1,Milestones!$AC$137)&amp;";  ","")&amp;IF(AND(EDATE($D91,Milestones!$AA$138)&lt;=AsOfDate,EDATE($D91,Milestones!$AA$138)&gt;=SchemeStart,IF($X91=0,$AD91,IF(AND($Z91&lt;&gt;"",EDATE($D91,Milestones!$AA$138)&gt;=$Z91),$AC91,IF(AND($Y91&lt;&gt;"",EDATE($D91,Milestones!$AA$138)&gt;=$Y91),$AB91,$AA91)))=Milestones!$AB$138),UPPER(TEXT(EDATE($D91,Milestones!$AA$138),"dd mmm yy"))&amp;" "&amp;Milestones!$AB$138&amp;" "&amp;IF(AND(Milestones!$AB$138="FT",Milestones!$AA$138=FT_Y5,EDATE($D91,Milestones!$AA$138)&lt;PolicyEff),1,Milestones!$AC$138)&amp;";  ","")&amp;IF(AND(EDATE($D91,Milestones!$AA$139)&lt;=AsOfDate,EDATE($D91,Milestones!$AA$139)&gt;=SchemeStart,IF($X91=0,$AD91,IF(AND($Z91&lt;&gt;"",EDATE($D91,Milestones!$AA$139)&gt;=$Z91),$AC91,IF(AND($Y91&lt;&gt;"",EDATE($D91,Milestones!$AA$139)&gt;=$Y91),$AB91,$AA91)))=Milestones!$AB$139),UPPER(TEXT(EDATE($D91,Milestones!$AA$139),"dd mmm yy"))&amp;" "&amp;Milestones!$AB$139&amp;" "&amp;IF(AND(Milestones!$AB$139="FT",Milestones!$AA$139=FT_Y5,EDATE($D91,Milestones!$AA$139)&lt;PolicyEff),1,Milestones!$AC$139)&amp;";  ",""))</f>
        <v/>
      </c>
      <c r="S91" s="0" t="str">
        <f aca="false">IF(OR($A91="",$D91=""),"",IF(AND(EDATE($D91,Milestones!$AA$140)&lt;=AsOfDate,EDATE($D91,Milestones!$AA$140)&gt;=SchemeStart,IF($X91=0,$AD91,IF(AND($Z91&lt;&gt;"",EDATE($D91,Milestones!$AA$140)&gt;=$Z91),$AC91,IF(AND($Y91&lt;&gt;"",EDATE($D91,Milestones!$AA$140)&gt;=$Y91),$AB91,$AA91)))=Milestones!$AB$140),UPPER(TEXT(EDATE($D91,Milestones!$AA$140),"dd mmm yy"))&amp;" "&amp;Milestones!$AB$140&amp;" "&amp;IF(AND(Milestones!$AB$140="FT",Milestones!$AA$140=FT_Y5,EDATE($D91,Milestones!$AA$140)&lt;PolicyEff),1,Milestones!$AC$140)&amp;";  ","")&amp;IF(AND(EDATE($D91,Milestones!$AA$141)&lt;=AsOfDate,EDATE($D91,Milestones!$AA$141)&gt;=SchemeStart,IF($X91=0,$AD91,IF(AND($Z91&lt;&gt;"",EDATE($D91,Milestones!$AA$141)&gt;=$Z91),$AC91,IF(AND($Y91&lt;&gt;"",EDATE($D91,Milestones!$AA$141)&gt;=$Y91),$AB91,$AA91)))=Milestones!$AB$141),UPPER(TEXT(EDATE($D91,Milestones!$AA$141),"dd mmm yy"))&amp;" "&amp;Milestones!$AB$141&amp;" "&amp;IF(AND(Milestones!$AB$141="FT",Milestones!$AA$141=FT_Y5,EDATE($D91,Milestones!$AA$141)&lt;PolicyEff),1,Milestones!$AC$141)&amp;";  ","")&amp;IF(AND(EDATE($D91,Milestones!$AA$142)&lt;=AsOfDate,EDATE($D91,Milestones!$AA$142)&gt;=SchemeStart,IF($X91=0,$AD91,IF(AND($Z91&lt;&gt;"",EDATE($D91,Milestones!$AA$142)&gt;=$Z91),$AC91,IF(AND($Y91&lt;&gt;"",EDATE($D91,Milestones!$AA$142)&gt;=$Y91),$AB91,$AA91)))=Milestones!$AB$142),UPPER(TEXT(EDATE($D91,Milestones!$AA$142),"dd mmm yy"))&amp;" "&amp;Milestones!$AB$142&amp;" "&amp;IF(AND(Milestones!$AB$142="FT",Milestones!$AA$142=FT_Y5,EDATE($D91,Milestones!$AA$142)&lt;PolicyEff),1,Milestones!$AC$142)&amp;";  ","")&amp;IF(AND(EDATE($D91,Milestones!$AA$143)&lt;=AsOfDate,EDATE($D91,Milestones!$AA$143)&gt;=SchemeStart,IF($X91=0,$AD91,IF(AND($Z91&lt;&gt;"",EDATE($D91,Milestones!$AA$143)&gt;=$Z91),$AC91,IF(AND($Y91&lt;&gt;"",EDATE($D91,Milestones!$AA$143)&gt;=$Y91),$AB91,$AA91)))=Milestones!$AB$143),UPPER(TEXT(EDATE($D91,Milestones!$AA$143),"dd mmm yy"))&amp;" "&amp;Milestones!$AB$143&amp;" "&amp;IF(AND(Milestones!$AB$143="FT",Milestones!$AA$143=FT_Y5,EDATE($D91,Milestones!$AA$143)&lt;PolicyEff),1,Milestones!$AC$143)&amp;";  ","")&amp;IF(AND(EDATE($D91,Milestones!$AA$144)&lt;=AsOfDate,EDATE($D91,Milestones!$AA$144)&gt;=SchemeStart,IF($X91=0,$AD91,IF(AND($Z91&lt;&gt;"",EDATE($D91,Milestones!$AA$144)&gt;=$Z91),$AC91,IF(AND($Y91&lt;&gt;"",EDATE($D91,Milestones!$AA$144)&gt;=$Y91),$AB91,$AA91)))=Milestones!$AB$144),UPPER(TEXT(EDATE($D91,Milestones!$AA$144),"dd mmm yy"))&amp;" "&amp;Milestones!$AB$144&amp;" "&amp;IF(AND(Milestones!$AB$144="FT",Milestones!$AA$144=FT_Y5,EDATE($D91,Milestones!$AA$144)&lt;PolicyEff),1,Milestones!$AC$144)&amp;";  ","")&amp;IF(AND(EDATE($D91,Milestones!$AA$145)&lt;=AsOfDate,EDATE($D91,Milestones!$AA$145)&gt;=SchemeStart,IF($X91=0,$AD91,IF(AND($Z91&lt;&gt;"",EDATE($D91,Milestones!$AA$145)&gt;=$Z91),$AC91,IF(AND($Y91&lt;&gt;"",EDATE($D91,Milestones!$AA$145)&gt;=$Y91),$AB91,$AA91)))=Milestones!$AB$145),UPPER(TEXT(EDATE($D91,Milestones!$AA$145),"dd mmm yy"))&amp;" "&amp;Milestones!$AB$145&amp;" "&amp;IF(AND(Milestones!$AB$145="FT",Milestones!$AA$145=FT_Y5,EDATE($D91,Milestones!$AA$145)&lt;PolicyEff),1,Milestones!$AC$145)&amp;";  ","")&amp;IF(AND(EDATE($D91,Milestones!$AA$146)&lt;=AsOfDate,EDATE($D91,Milestones!$AA$146)&gt;=SchemeStart,IF($X91=0,$AD91,IF(AND($Z91&lt;&gt;"",EDATE($D91,Milestones!$AA$146)&gt;=$Z91),$AC91,IF(AND($Y91&lt;&gt;"",EDATE($D91,Milestones!$AA$146)&gt;=$Y91),$AB91,$AA91)))=Milestones!$AB$146),UPPER(TEXT(EDATE($D91,Milestones!$AA$146),"dd mmm yy"))&amp;" "&amp;Milestones!$AB$146&amp;" "&amp;IF(AND(Milestones!$AB$146="FT",Milestones!$AA$146=FT_Y5,EDATE($D91,Milestones!$AA$146)&lt;PolicyEff),1,Milestones!$AC$146)&amp;";  ","")&amp;IF(AND(EDATE($D91,Milestones!$AA$147)&lt;=AsOfDate,EDATE($D91,Milestones!$AA$147)&gt;=SchemeStart,IF($X91=0,$AD91,IF(AND($Z91&lt;&gt;"",EDATE($D91,Milestones!$AA$147)&gt;=$Z91),$AC91,IF(AND($Y91&lt;&gt;"",EDATE($D91,Milestones!$AA$147)&gt;=$Y91),$AB91,$AA91)))=Milestones!$AB$147),UPPER(TEXT(EDATE($D91,Milestones!$AA$147),"dd mmm yy"))&amp;" "&amp;Milestones!$AB$147&amp;" "&amp;IF(AND(Milestones!$AB$147="FT",Milestones!$AA$147=FT_Y5,EDATE($D91,Milestones!$AA$147)&lt;PolicyEff),1,Milestones!$AC$147)&amp;";  ","")&amp;IF(AND(EDATE($D91,Milestones!$AA$148)&lt;=AsOfDate,EDATE($D91,Milestones!$AA$148)&gt;=SchemeStart,IF($X91=0,$AD91,IF(AND($Z91&lt;&gt;"",EDATE($D91,Milestones!$AA$148)&gt;=$Z91),$AC91,IF(AND($Y91&lt;&gt;"",EDATE($D91,Milestones!$AA$148)&gt;=$Y91),$AB91,$AA91)))=Milestones!$AB$148),UPPER(TEXT(EDATE($D91,Milestones!$AA$148),"dd mmm yy"))&amp;" "&amp;Milestones!$AB$148&amp;" "&amp;IF(AND(Milestones!$AB$148="FT",Milestones!$AA$148=FT_Y5,EDATE($D91,Milestones!$AA$148)&lt;PolicyEff),1,Milestones!$AC$148)&amp;";  ","")&amp;IF(AND(EDATE($D91,Milestones!$AA$149)&lt;=AsOfDate,EDATE($D91,Milestones!$AA$149)&gt;=SchemeStart,IF($X91=0,$AD91,IF(AND($Z91&lt;&gt;"",EDATE($D91,Milestones!$AA$149)&gt;=$Z91),$AC91,IF(AND($Y91&lt;&gt;"",EDATE($D91,Milestones!$AA$149)&gt;=$Y91),$AB91,$AA91)))=Milestones!$AB$149),UPPER(TEXT(EDATE($D91,Milestones!$AA$149),"dd mmm yy"))&amp;" "&amp;Milestones!$AB$149&amp;" "&amp;IF(AND(Milestones!$AB$149="FT",Milestones!$AA$149=FT_Y5,EDATE($D91,Milestones!$AA$149)&lt;PolicyEff),1,Milestones!$AC$149)&amp;";  ","")&amp;IF(AND(EDATE($D91,Milestones!$AA$150)&lt;=AsOfDate,EDATE($D91,Milestones!$AA$150)&gt;=SchemeStart,IF($X91=0,$AD91,IF(AND($Z91&lt;&gt;"",EDATE($D91,Milestones!$AA$150)&gt;=$Z91),$AC91,IF(AND($Y91&lt;&gt;"",EDATE($D91,Milestones!$AA$150)&gt;=$Y91),$AB91,$AA91)))=Milestones!$AB$150),UPPER(TEXT(EDATE($D91,Milestones!$AA$150),"dd mmm yy"))&amp;" "&amp;Milestones!$AB$150&amp;" "&amp;IF(AND(Milestones!$AB$150="FT",Milestones!$AA$150=FT_Y5,EDATE($D91,Milestones!$AA$150)&lt;PolicyEff),1,Milestones!$AC$150)&amp;";  ","")&amp;IF(AND(EDATE($D91,Milestones!$AA$151)&lt;=AsOfDate,EDATE($D91,Milestones!$AA$151)&gt;=SchemeStart,IF($X91=0,$AD91,IF(AND($Z91&lt;&gt;"",EDATE($D91,Milestones!$AA$151)&gt;=$Z91),$AC91,IF(AND($Y91&lt;&gt;"",EDATE($D91,Milestones!$AA$151)&gt;=$Y91),$AB91,$AA91)))=Milestones!$AB$151),UPPER(TEXT(EDATE($D91,Milestones!$AA$151),"dd mmm yy"))&amp;" "&amp;Milestones!$AB$151&amp;" "&amp;IF(AND(Milestones!$AB$151="FT",Milestones!$AA$151=FT_Y5,EDATE($D91,Milestones!$AA$151)&lt;PolicyEff),1,Milestones!$AC$151)&amp;";  ",""))</f>
        <v/>
      </c>
      <c r="T91" s="0" t="str">
        <f aca="false">IF(OR($A91="",$D91=""),"",IF(AND(EDATE($D91,Milestones!$AA$152)&lt;=AsOfDate,EDATE($D91,Milestones!$AA$152)&gt;=SchemeStart,IF($X91=0,$AD91,IF(AND($Z91&lt;&gt;"",EDATE($D91,Milestones!$AA$152)&gt;=$Z91),$AC91,IF(AND($Y91&lt;&gt;"",EDATE($D91,Milestones!$AA$152)&gt;=$Y91),$AB91,$AA91)))=Milestones!$AB$152),UPPER(TEXT(EDATE($D91,Milestones!$AA$152),"dd mmm yy"))&amp;" "&amp;Milestones!$AB$152&amp;" "&amp;IF(AND(Milestones!$AB$152="FT",Milestones!$AA$152=FT_Y5,EDATE($D91,Milestones!$AA$152)&lt;PolicyEff),1,Milestones!$AC$152)&amp;";  ","")&amp;IF(AND(EDATE($D91,Milestones!$AA$153)&lt;=AsOfDate,EDATE($D91,Milestones!$AA$153)&gt;=SchemeStart,IF($X91=0,$AD91,IF(AND($Z91&lt;&gt;"",EDATE($D91,Milestones!$AA$153)&gt;=$Z91),$AC91,IF(AND($Y91&lt;&gt;"",EDATE($D91,Milestones!$AA$153)&gt;=$Y91),$AB91,$AA91)))=Milestones!$AB$153),UPPER(TEXT(EDATE($D91,Milestones!$AA$153),"dd mmm yy"))&amp;" "&amp;Milestones!$AB$153&amp;" "&amp;IF(AND(Milestones!$AB$153="FT",Milestones!$AA$153=FT_Y5,EDATE($D91,Milestones!$AA$153)&lt;PolicyEff),1,Milestones!$AC$153)&amp;";  ","")&amp;IF(AND(EDATE($D91,Milestones!$AA$154)&lt;=AsOfDate,EDATE($D91,Milestones!$AA$154)&gt;=SchemeStart,IF($X91=0,$AD91,IF(AND($Z91&lt;&gt;"",EDATE($D91,Milestones!$AA$154)&gt;=$Z91),$AC91,IF(AND($Y91&lt;&gt;"",EDATE($D91,Milestones!$AA$154)&gt;=$Y91),$AB91,$AA91)))=Milestones!$AB$154),UPPER(TEXT(EDATE($D91,Milestones!$AA$154),"dd mmm yy"))&amp;" "&amp;Milestones!$AB$154&amp;" "&amp;IF(AND(Milestones!$AB$154="FT",Milestones!$AA$154=FT_Y5,EDATE($D91,Milestones!$AA$154)&lt;PolicyEff),1,Milestones!$AC$154)&amp;";  ","")&amp;IF(AND(EDATE($D91,Milestones!$AA$155)&lt;=AsOfDate,EDATE($D91,Milestones!$AA$155)&gt;=SchemeStart,IF($X91=0,$AD91,IF(AND($Z91&lt;&gt;"",EDATE($D91,Milestones!$AA$155)&gt;=$Z91),$AC91,IF(AND($Y91&lt;&gt;"",EDATE($D91,Milestones!$AA$155)&gt;=$Y91),$AB91,$AA91)))=Milestones!$AB$155),UPPER(TEXT(EDATE($D91,Milestones!$AA$155),"dd mmm yy"))&amp;" "&amp;Milestones!$AB$155&amp;" "&amp;IF(AND(Milestones!$AB$155="FT",Milestones!$AA$155=FT_Y5,EDATE($D91,Milestones!$AA$155)&lt;PolicyEff),1,Milestones!$AC$155)&amp;";  ","")&amp;IF(AND(EDATE($D91,Milestones!$AA$156)&lt;=AsOfDate,EDATE($D91,Milestones!$AA$156)&gt;=SchemeStart,IF($X91=0,$AD91,IF(AND($Z91&lt;&gt;"",EDATE($D91,Milestones!$AA$156)&gt;=$Z91),$AC91,IF(AND($Y91&lt;&gt;"",EDATE($D91,Milestones!$AA$156)&gt;=$Y91),$AB91,$AA91)))=Milestones!$AB$156),UPPER(TEXT(EDATE($D91,Milestones!$AA$156),"dd mmm yy"))&amp;" "&amp;Milestones!$AB$156&amp;" "&amp;IF(AND(Milestones!$AB$156="FT",Milestones!$AA$156=FT_Y5,EDATE($D91,Milestones!$AA$156)&lt;PolicyEff),1,Milestones!$AC$156)&amp;";  ","")&amp;IF(AND(EDATE($D91,Milestones!$AA$157)&lt;=AsOfDate,EDATE($D91,Milestones!$AA$157)&gt;=SchemeStart,IF($X91=0,$AD91,IF(AND($Z91&lt;&gt;"",EDATE($D91,Milestones!$AA$157)&gt;=$Z91),$AC91,IF(AND($Y91&lt;&gt;"",EDATE($D91,Milestones!$AA$157)&gt;=$Y91),$AB91,$AA91)))=Milestones!$AB$157),UPPER(TEXT(EDATE($D91,Milestones!$AA$157),"dd mmm yy"))&amp;" "&amp;Milestones!$AB$157&amp;" "&amp;IF(AND(Milestones!$AB$157="FT",Milestones!$AA$157=FT_Y5,EDATE($D91,Milestones!$AA$157)&lt;PolicyEff),1,Milestones!$AC$157)&amp;";  ","")&amp;IF(AND(EDATE($D91,Milestones!$AA$158)&lt;=AsOfDate,EDATE($D91,Milestones!$AA$158)&gt;=SchemeStart,IF($X91=0,$AD91,IF(AND($Z91&lt;&gt;"",EDATE($D91,Milestones!$AA$158)&gt;=$Z91),$AC91,IF(AND($Y91&lt;&gt;"",EDATE($D91,Milestones!$AA$158)&gt;=$Y91),$AB91,$AA91)))=Milestones!$AB$158),UPPER(TEXT(EDATE($D91,Milestones!$AA$158),"dd mmm yy"))&amp;" "&amp;Milestones!$AB$158&amp;" "&amp;IF(AND(Milestones!$AB$158="FT",Milestones!$AA$158=FT_Y5,EDATE($D91,Milestones!$AA$158)&lt;PolicyEff),1,Milestones!$AC$158)&amp;";  ","")&amp;IF(AND(EDATE($D91,Milestones!$AA$159)&lt;=AsOfDate,EDATE($D91,Milestones!$AA$159)&gt;=SchemeStart,IF($X91=0,$AD91,IF(AND($Z91&lt;&gt;"",EDATE($D91,Milestones!$AA$159)&gt;=$Z91),$AC91,IF(AND($Y91&lt;&gt;"",EDATE($D91,Milestones!$AA$159)&gt;=$Y91),$AB91,$AA91)))=Milestones!$AB$159),UPPER(TEXT(EDATE($D91,Milestones!$AA$159),"dd mmm yy"))&amp;" "&amp;Milestones!$AB$159&amp;" "&amp;IF(AND(Milestones!$AB$159="FT",Milestones!$AA$159=FT_Y5,EDATE($D91,Milestones!$AA$159)&lt;PolicyEff),1,Milestones!$AC$159)&amp;";  ","")&amp;IF(AND(EDATE($D91,Milestones!$AA$160)&lt;=AsOfDate,EDATE($D91,Milestones!$AA$160)&gt;=SchemeStart,IF($X91=0,$AD91,IF(AND($Z91&lt;&gt;"",EDATE($D91,Milestones!$AA$160)&gt;=$Z91),$AC91,IF(AND($Y91&lt;&gt;"",EDATE($D91,Milestones!$AA$160)&gt;=$Y91),$AB91,$AA91)))=Milestones!$AB$160),UPPER(TEXT(EDATE($D91,Milestones!$AA$160),"dd mmm yy"))&amp;" "&amp;Milestones!$AB$160&amp;" "&amp;IF(AND(Milestones!$AB$160="FT",Milestones!$AA$160=FT_Y5,EDATE($D91,Milestones!$AA$160)&lt;PolicyEff),1,Milestones!$AC$160)&amp;";  ","")&amp;IF(AND(EDATE($D91,Milestones!$AA$161)&lt;=AsOfDate,EDATE($D91,Milestones!$AA$161)&gt;=SchemeStart,IF($X91=0,$AD91,IF(AND($Z91&lt;&gt;"",EDATE($D91,Milestones!$AA$161)&gt;=$Z91),$AC91,IF(AND($Y91&lt;&gt;"",EDATE($D91,Milestones!$AA$161)&gt;=$Y91),$AB91,$AA91)))=Milestones!$AB$161),UPPER(TEXT(EDATE($D91,Milestones!$AA$161),"dd mmm yy"))&amp;" "&amp;Milestones!$AB$161&amp;" "&amp;IF(AND(Milestones!$AB$161="FT",Milestones!$AA$161=FT_Y5,EDATE($D91,Milestones!$AA$161)&lt;PolicyEff),1,Milestones!$AC$161)&amp;";  ","")&amp;IF(AND(EDATE($D91,Milestones!$AA$162)&lt;=AsOfDate,EDATE($D91,Milestones!$AA$162)&gt;=SchemeStart,IF($X91=0,$AD91,IF(AND($Z91&lt;&gt;"",EDATE($D91,Milestones!$AA$162)&gt;=$Z91),$AC91,IF(AND($Y91&lt;&gt;"",EDATE($D91,Milestones!$AA$162)&gt;=$Y91),$AB91,$AA91)))=Milestones!$AB$162),UPPER(TEXT(EDATE($D91,Milestones!$AA$162),"dd mmm yy"))&amp;" "&amp;Milestones!$AB$162&amp;" "&amp;IF(AND(Milestones!$AB$162="FT",Milestones!$AA$162=FT_Y5,EDATE($D91,Milestones!$AA$162)&lt;PolicyEff),1,Milestones!$AC$162)&amp;";  ","")&amp;IF(AND(EDATE($D91,Milestones!$AA$163)&lt;=AsOfDate,EDATE($D91,Milestones!$AA$163)&gt;=SchemeStart,IF($X91=0,$AD91,IF(AND($Z91&lt;&gt;"",EDATE($D91,Milestones!$AA$163)&gt;=$Z91),$AC91,IF(AND($Y91&lt;&gt;"",EDATE($D91,Milestones!$AA$163)&gt;=$Y91),$AB91,$AA91)))=Milestones!$AB$163),UPPER(TEXT(EDATE($D91,Milestones!$AA$163),"dd mmm yy"))&amp;" "&amp;Milestones!$AB$163&amp;" "&amp;IF(AND(Milestones!$AB$163="FT",Milestones!$AA$163=FT_Y5,EDATE($D91,Milestones!$AA$163)&lt;PolicyEff),1,Milestones!$AC$163)&amp;";  ",""))</f>
        <v/>
      </c>
      <c r="U91" s="0" t="str">
        <f aca="false">IF(OR($A91="",$D91=""),"",IF(AND(EDATE($D91,Milestones!$AA$164)&lt;=AsOfDate,EDATE($D91,Milestones!$AA$164)&gt;=SchemeStart,IF($X91=0,$AD91,IF(AND($Z91&lt;&gt;"",EDATE($D91,Milestones!$AA$164)&gt;=$Z91),$AC91,IF(AND($Y91&lt;&gt;"",EDATE($D91,Milestones!$AA$164)&gt;=$Y91),$AB91,$AA91)))=Milestones!$AB$164),UPPER(TEXT(EDATE($D91,Milestones!$AA$164),"dd mmm yy"))&amp;" "&amp;Milestones!$AB$164&amp;" "&amp;IF(AND(Milestones!$AB$164="FT",Milestones!$AA$164=FT_Y5,EDATE($D91,Milestones!$AA$164)&lt;PolicyEff),1,Milestones!$AC$164)&amp;";  ","")&amp;IF(AND(EDATE($D91,Milestones!$AA$165)&lt;=AsOfDate,EDATE($D91,Milestones!$AA$165)&gt;=SchemeStart,IF($X91=0,$AD91,IF(AND($Z91&lt;&gt;"",EDATE($D91,Milestones!$AA$165)&gt;=$Z91),$AC91,IF(AND($Y91&lt;&gt;"",EDATE($D91,Milestones!$AA$165)&gt;=$Y91),$AB91,$AA91)))=Milestones!$AB$165),UPPER(TEXT(EDATE($D91,Milestones!$AA$165),"dd mmm yy"))&amp;" "&amp;Milestones!$AB$165&amp;" "&amp;IF(AND(Milestones!$AB$165="FT",Milestones!$AA$165=FT_Y5,EDATE($D91,Milestones!$AA$165)&lt;PolicyEff),1,Milestones!$AC$165)&amp;";  ","")&amp;IF(AND(EDATE($D91,Milestones!$AA$166)&lt;=AsOfDate,EDATE($D91,Milestones!$AA$166)&gt;=SchemeStart,IF($X91=0,$AD91,IF(AND($Z91&lt;&gt;"",EDATE($D91,Milestones!$AA$166)&gt;=$Z91),$AC91,IF(AND($Y91&lt;&gt;"",EDATE($D91,Milestones!$AA$166)&gt;=$Y91),$AB91,$AA91)))=Milestones!$AB$166),UPPER(TEXT(EDATE($D91,Milestones!$AA$166),"dd mmm yy"))&amp;" "&amp;Milestones!$AB$166&amp;" "&amp;IF(AND(Milestones!$AB$166="FT",Milestones!$AA$166=FT_Y5,EDATE($D91,Milestones!$AA$166)&lt;PolicyEff),1,Milestones!$AC$166)&amp;";  ","")&amp;IF(AND(EDATE($D91,Milestones!$AA$167)&lt;=AsOfDate,EDATE($D91,Milestones!$AA$167)&gt;=SchemeStart,IF($X91=0,$AD91,IF(AND($Z91&lt;&gt;"",EDATE($D91,Milestones!$AA$167)&gt;=$Z91),$AC91,IF(AND($Y91&lt;&gt;"",EDATE($D91,Milestones!$AA$167)&gt;=$Y91),$AB91,$AA91)))=Milestones!$AB$167),UPPER(TEXT(EDATE($D91,Milestones!$AA$167),"dd mmm yy"))&amp;" "&amp;Milestones!$AB$167&amp;" "&amp;IF(AND(Milestones!$AB$167="FT",Milestones!$AA$167=FT_Y5,EDATE($D91,Milestones!$AA$167)&lt;PolicyEff),1,Milestones!$AC$167)&amp;";  ","")&amp;IF(AND(EDATE($D91,Milestones!$AA$168)&lt;=AsOfDate,EDATE($D91,Milestones!$AA$168)&gt;=SchemeStart,IF($X91=0,$AD91,IF(AND($Z91&lt;&gt;"",EDATE($D91,Milestones!$AA$168)&gt;=$Z91),$AC91,IF(AND($Y91&lt;&gt;"",EDATE($D91,Milestones!$AA$168)&gt;=$Y91),$AB91,$AA91)))=Milestones!$AB$168),UPPER(TEXT(EDATE($D91,Milestones!$AA$168),"dd mmm yy"))&amp;" "&amp;Milestones!$AB$168&amp;" "&amp;IF(AND(Milestones!$AB$168="FT",Milestones!$AA$168=FT_Y5,EDATE($D91,Milestones!$AA$168)&lt;PolicyEff),1,Milestones!$AC$168)&amp;";  ","")&amp;IF(AND(EDATE($D91,Milestones!$AA$169)&lt;=AsOfDate,EDATE($D91,Milestones!$AA$169)&gt;=SchemeStart,IF($X91=0,$AD91,IF(AND($Z91&lt;&gt;"",EDATE($D91,Milestones!$AA$169)&gt;=$Z91),$AC91,IF(AND($Y91&lt;&gt;"",EDATE($D91,Milestones!$AA$169)&gt;=$Y91),$AB91,$AA91)))=Milestones!$AB$169),UPPER(TEXT(EDATE($D91,Milestones!$AA$169),"dd mmm yy"))&amp;" "&amp;Milestones!$AB$169&amp;" "&amp;IF(AND(Milestones!$AB$169="FT",Milestones!$AA$169=FT_Y5,EDATE($D91,Milestones!$AA$169)&lt;PolicyEff),1,Milestones!$AC$169)&amp;";  ","")&amp;IF(AND(EDATE($D91,Milestones!$AA$170)&lt;=AsOfDate,EDATE($D91,Milestones!$AA$170)&gt;=SchemeStart,IF($X91=0,$AD91,IF(AND($Z91&lt;&gt;"",EDATE($D91,Milestones!$AA$170)&gt;=$Z91),$AC91,IF(AND($Y91&lt;&gt;"",EDATE($D91,Milestones!$AA$170)&gt;=$Y91),$AB91,$AA91)))=Milestones!$AB$170),UPPER(TEXT(EDATE($D91,Milestones!$AA$170),"dd mmm yy"))&amp;" "&amp;Milestones!$AB$170&amp;" "&amp;IF(AND(Milestones!$AB$170="FT",Milestones!$AA$170=FT_Y5,EDATE($D91,Milestones!$AA$170)&lt;PolicyEff),1,Milestones!$AC$170)&amp;";  ","")&amp;IF(AND(EDATE($D91,Milestones!$AA$171)&lt;=AsOfDate,EDATE($D91,Milestones!$AA$171)&gt;=SchemeStart,IF($X91=0,$AD91,IF(AND($Z91&lt;&gt;"",EDATE($D91,Milestones!$AA$171)&gt;=$Z91),$AC91,IF(AND($Y91&lt;&gt;"",EDATE($D91,Milestones!$AA$171)&gt;=$Y91),$AB91,$AA91)))=Milestones!$AB$171),UPPER(TEXT(EDATE($D91,Milestones!$AA$171),"dd mmm yy"))&amp;" "&amp;Milestones!$AB$171&amp;" "&amp;IF(AND(Milestones!$AB$171="FT",Milestones!$AA$171=FT_Y5,EDATE($D91,Milestones!$AA$171)&lt;PolicyEff),1,Milestones!$AC$171)&amp;";  ","")&amp;IF(AND(EDATE($D91,Milestones!$AA$172)&lt;=AsOfDate,EDATE($D91,Milestones!$AA$172)&gt;=SchemeStart,IF($X91=0,$AD91,IF(AND($Z91&lt;&gt;"",EDATE($D91,Milestones!$AA$172)&gt;=$Z91),$AC91,IF(AND($Y91&lt;&gt;"",EDATE($D91,Milestones!$AA$172)&gt;=$Y91),$AB91,$AA91)))=Milestones!$AB$172),UPPER(TEXT(EDATE($D91,Milestones!$AA$172),"dd mmm yy"))&amp;" "&amp;Milestones!$AB$172&amp;" "&amp;IF(AND(Milestones!$AB$172="FT",Milestones!$AA$172=FT_Y5,EDATE($D91,Milestones!$AA$172)&lt;PolicyEff),1,Milestones!$AC$172)&amp;";  ","")&amp;IF(AND(EDATE($D91,Milestones!$AA$173)&lt;=AsOfDate,EDATE($D91,Milestones!$AA$173)&gt;=SchemeStart,IF($X91=0,$AD91,IF(AND($Z91&lt;&gt;"",EDATE($D91,Milestones!$AA$173)&gt;=$Z91),$AC91,IF(AND($Y91&lt;&gt;"",EDATE($D91,Milestones!$AA$173)&gt;=$Y91),$AB91,$AA91)))=Milestones!$AB$173),UPPER(TEXT(EDATE($D91,Milestones!$AA$173),"dd mmm yy"))&amp;" "&amp;Milestones!$AB$173&amp;" "&amp;IF(AND(Milestones!$AB$173="FT",Milestones!$AA$173=FT_Y5,EDATE($D91,Milestones!$AA$173)&lt;PolicyEff),1,Milestones!$AC$173)&amp;";  ","")&amp;IF(AND(EDATE($D91,Milestones!$AA$174)&lt;=AsOfDate,EDATE($D91,Milestones!$AA$174)&gt;=SchemeStart,IF($X91=0,$AD91,IF(AND($Z91&lt;&gt;"",EDATE($D91,Milestones!$AA$174)&gt;=$Z91),$AC91,IF(AND($Y91&lt;&gt;"",EDATE($D91,Milestones!$AA$174)&gt;=$Y91),$AB91,$AA91)))=Milestones!$AB$174),UPPER(TEXT(EDATE($D91,Milestones!$AA$174),"dd mmm yy"))&amp;" "&amp;Milestones!$AB$174&amp;" "&amp;IF(AND(Milestones!$AB$174="FT",Milestones!$AA$174=FT_Y5,EDATE($D91,Milestones!$AA$174)&lt;PolicyEff),1,Milestones!$AC$174)&amp;";  ","")&amp;IF(AND(EDATE($D91,Milestones!$AA$175)&lt;=AsOfDate,EDATE($D91,Milestones!$AA$175)&gt;=SchemeStart,IF($X91=0,$AD91,IF(AND($Z91&lt;&gt;"",EDATE($D91,Milestones!$AA$175)&gt;=$Z91),$AC91,IF(AND($Y91&lt;&gt;"",EDATE($D91,Milestones!$AA$175)&gt;=$Y91),$AB91,$AA91)))=Milestones!$AB$175),UPPER(TEXT(EDATE($D91,Milestones!$AA$175),"dd mmm yy"))&amp;" "&amp;Milestones!$AB$175&amp;" "&amp;IF(AND(Milestones!$AB$175="FT",Milestones!$AA$175=FT_Y5,EDATE($D91,Milestones!$AA$175)&lt;PolicyEff),1,Milestones!$AC$175)&amp;";  ",""))</f>
        <v/>
      </c>
      <c r="V91" s="0" t="str">
        <f aca="false">IF(OR($A91="",$D91=""),"",IF(AND(EDATE($D91,Milestones!$AA$176)&lt;=AsOfDate,EDATE($D91,Milestones!$AA$176)&gt;=SchemeStart,IF($X91=0,$AD91,IF(AND($Z91&lt;&gt;"",EDATE($D91,Milestones!$AA$176)&gt;=$Z91),$AC91,IF(AND($Y91&lt;&gt;"",EDATE($D91,Milestones!$AA$176)&gt;=$Y91),$AB91,$AA91)))=Milestones!$AB$176),UPPER(TEXT(EDATE($D91,Milestones!$AA$176),"dd mmm yy"))&amp;" "&amp;Milestones!$AB$176&amp;" "&amp;IF(AND(Milestones!$AB$176="FT",Milestones!$AA$176=FT_Y5,EDATE($D91,Milestones!$AA$176)&lt;PolicyEff),1,Milestones!$AC$176)&amp;";  ","")&amp;IF(AND(EDATE($D91,Milestones!$AA$177)&lt;=AsOfDate,EDATE($D91,Milestones!$AA$177)&gt;=SchemeStart,IF($X91=0,$AD91,IF(AND($Z91&lt;&gt;"",EDATE($D91,Milestones!$AA$177)&gt;=$Z91),$AC91,IF(AND($Y91&lt;&gt;"",EDATE($D91,Milestones!$AA$177)&gt;=$Y91),$AB91,$AA91)))=Milestones!$AB$177),UPPER(TEXT(EDATE($D91,Milestones!$AA$177),"dd mmm yy"))&amp;" "&amp;Milestones!$AB$177&amp;" "&amp;IF(AND(Milestones!$AB$177="FT",Milestones!$AA$177=FT_Y5,EDATE($D91,Milestones!$AA$177)&lt;PolicyEff),1,Milestones!$AC$177)&amp;";  ","")&amp;IF(AND(EDATE($D91,Milestones!$AA$178)&lt;=AsOfDate,EDATE($D91,Milestones!$AA$178)&gt;=SchemeStart,IF($X91=0,$AD91,IF(AND($Z91&lt;&gt;"",EDATE($D91,Milestones!$AA$178)&gt;=$Z91),$AC91,IF(AND($Y91&lt;&gt;"",EDATE($D91,Milestones!$AA$178)&gt;=$Y91),$AB91,$AA91)))=Milestones!$AB$178),UPPER(TEXT(EDATE($D91,Milestones!$AA$178),"dd mmm yy"))&amp;" "&amp;Milestones!$AB$178&amp;" "&amp;IF(AND(Milestones!$AB$178="FT",Milestones!$AA$178=FT_Y5,EDATE($D91,Milestones!$AA$178)&lt;PolicyEff),1,Milestones!$AC$178)&amp;";  ","")&amp;IF(AND(EDATE($D91,Milestones!$AA$179)&lt;=AsOfDate,EDATE($D91,Milestones!$AA$179)&gt;=SchemeStart,IF($X91=0,$AD91,IF(AND($Z91&lt;&gt;"",EDATE($D91,Milestones!$AA$179)&gt;=$Z91),$AC91,IF(AND($Y91&lt;&gt;"",EDATE($D91,Milestones!$AA$179)&gt;=$Y91),$AB91,$AA91)))=Milestones!$AB$179),UPPER(TEXT(EDATE($D91,Milestones!$AA$179),"dd mmm yy"))&amp;" "&amp;Milestones!$AB$179&amp;" "&amp;IF(AND(Milestones!$AB$179="FT",Milestones!$AA$179=FT_Y5,EDATE($D91,Milestones!$AA$179)&lt;PolicyEff),1,Milestones!$AC$179)&amp;";  ","")&amp;IF(AND(EDATE($D91,Milestones!$AA$180)&lt;=AsOfDate,EDATE($D91,Milestones!$AA$180)&gt;=SchemeStart,IF($X91=0,$AD91,IF(AND($Z91&lt;&gt;"",EDATE($D91,Milestones!$AA$180)&gt;=$Z91),$AC91,IF(AND($Y91&lt;&gt;"",EDATE($D91,Milestones!$AA$180)&gt;=$Y91),$AB91,$AA91)))=Milestones!$AB$180),UPPER(TEXT(EDATE($D91,Milestones!$AA$180),"dd mmm yy"))&amp;" "&amp;Milestones!$AB$180&amp;" "&amp;IF(AND(Milestones!$AB$180="FT",Milestones!$AA$180=FT_Y5,EDATE($D91,Milestones!$AA$180)&lt;PolicyEff),1,Milestones!$AC$180)&amp;";  ","")&amp;IF(AND(EDATE($D91,Milestones!$AA$181)&lt;=AsOfDate,EDATE($D91,Milestones!$AA$181)&gt;=SchemeStart,IF($X91=0,$AD91,IF(AND($Z91&lt;&gt;"",EDATE($D91,Milestones!$AA$181)&gt;=$Z91),$AC91,IF(AND($Y91&lt;&gt;"",EDATE($D91,Milestones!$AA$181)&gt;=$Y91),$AB91,$AA91)))=Milestones!$AB$181),UPPER(TEXT(EDATE($D91,Milestones!$AA$181),"dd mmm yy"))&amp;" "&amp;Milestones!$AB$181&amp;" "&amp;IF(AND(Milestones!$AB$181="FT",Milestones!$AA$181=FT_Y5,EDATE($D91,Milestones!$AA$181)&lt;PolicyEff),1,Milestones!$AC$181)&amp;";  ","")&amp;IF(AND(EDATE($D91,Milestones!$AA$182)&lt;=AsOfDate,EDATE($D91,Milestones!$AA$182)&gt;=SchemeStart,IF($X91=0,$AD91,IF(AND($Z91&lt;&gt;"",EDATE($D91,Milestones!$AA$182)&gt;=$Z91),$AC91,IF(AND($Y91&lt;&gt;"",EDATE($D91,Milestones!$AA$182)&gt;=$Y91),$AB91,$AA91)))=Milestones!$AB$182),UPPER(TEXT(EDATE($D91,Milestones!$AA$182),"dd mmm yy"))&amp;" "&amp;Milestones!$AB$182&amp;" "&amp;IF(AND(Milestones!$AB$182="FT",Milestones!$AA$182=FT_Y5,EDATE($D91,Milestones!$AA$182)&lt;PolicyEff),1,Milestones!$AC$182)&amp;";  ","")&amp;IF(AND(EDATE($D91,Milestones!$AA$183)&lt;=AsOfDate,EDATE($D91,Milestones!$AA$183)&gt;=SchemeStart,IF($X91=0,$AD91,IF(AND($Z91&lt;&gt;"",EDATE($D91,Milestones!$AA$183)&gt;=$Z91),$AC91,IF(AND($Y91&lt;&gt;"",EDATE($D91,Milestones!$AA$183)&gt;=$Y91),$AB91,$AA91)))=Milestones!$AB$183),UPPER(TEXT(EDATE($D91,Milestones!$AA$183),"dd mmm yy"))&amp;" "&amp;Milestones!$AB$183&amp;" "&amp;IF(AND(Milestones!$AB$183="FT",Milestones!$AA$183=FT_Y5,EDATE($D91,Milestones!$AA$183)&lt;PolicyEff),1,Milestones!$AC$183)&amp;";  ","")&amp;IF(AND(EDATE($D91,Milestones!$AA$184)&lt;=AsOfDate,EDATE($D91,Milestones!$AA$184)&gt;=SchemeStart,IF($X91=0,$AD91,IF(AND($Z91&lt;&gt;"",EDATE($D91,Milestones!$AA$184)&gt;=$Z91),$AC91,IF(AND($Y91&lt;&gt;"",EDATE($D91,Milestones!$AA$184)&gt;=$Y91),$AB91,$AA91)))=Milestones!$AB$184),UPPER(TEXT(EDATE($D91,Milestones!$AA$184),"dd mmm yy"))&amp;" "&amp;Milestones!$AB$184&amp;" "&amp;IF(AND(Milestones!$AB$184="FT",Milestones!$AA$184=FT_Y5,EDATE($D91,Milestones!$AA$184)&lt;PolicyEff),1,Milestones!$AC$184)&amp;";  ","")&amp;IF(AND(EDATE($D91,Milestones!$AA$185)&lt;=AsOfDate,EDATE($D91,Milestones!$AA$185)&gt;=SchemeStart,IF($X91=0,$AD91,IF(AND($Z91&lt;&gt;"",EDATE($D91,Milestones!$AA$185)&gt;=$Z91),$AC91,IF(AND($Y91&lt;&gt;"",EDATE($D91,Milestones!$AA$185)&gt;=$Y91),$AB91,$AA91)))=Milestones!$AB$185),UPPER(TEXT(EDATE($D91,Milestones!$AA$185),"dd mmm yy"))&amp;" "&amp;Milestones!$AB$185&amp;" "&amp;IF(AND(Milestones!$AB$185="FT",Milestones!$AA$185=FT_Y5,EDATE($D91,Milestones!$AA$185)&lt;PolicyEff),1,Milestones!$AC$185)&amp;";  ","")&amp;IF(AND(EDATE($D91,Milestones!$AA$186)&lt;=AsOfDate,EDATE($D91,Milestones!$AA$186)&gt;=SchemeStart,IF($X91=0,$AD91,IF(AND($Z91&lt;&gt;"",EDATE($D91,Milestones!$AA$186)&gt;=$Z91),$AC91,IF(AND($Y91&lt;&gt;"",EDATE($D91,Milestones!$AA$186)&gt;=$Y91),$AB91,$AA91)))=Milestones!$AB$186),UPPER(TEXT(EDATE($D91,Milestones!$AA$186),"dd mmm yy"))&amp;" "&amp;Milestones!$AB$186&amp;" "&amp;IF(AND(Milestones!$AB$186="FT",Milestones!$AA$186=FT_Y5,EDATE($D91,Milestones!$AA$186)&lt;PolicyEff),1,Milestones!$AC$186)&amp;";  ","")&amp;IF(AND(EDATE($D91,Milestones!$AA$187)&lt;=AsOfDate,EDATE($D91,Milestones!$AA$187)&gt;=SchemeStart,IF($X91=0,$AD91,IF(AND($Z91&lt;&gt;"",EDATE($D91,Milestones!$AA$187)&gt;=$Z91),$AC91,IF(AND($Y91&lt;&gt;"",EDATE($D91,Milestones!$AA$187)&gt;=$Y91),$AB91,$AA91)))=Milestones!$AB$187),UPPER(TEXT(EDATE($D91,Milestones!$AA$187),"dd mmm yy"))&amp;" "&amp;Milestones!$AB$187&amp;" "&amp;IF(AND(Milestones!$AB$187="FT",Milestones!$AA$187=FT_Y5,EDATE($D91,Milestones!$AA$187)&lt;PolicyEff),1,Milestones!$AC$187)&amp;";  ",""))</f>
        <v/>
      </c>
      <c r="W91" s="0" t="str">
        <f aca="false">IF(OR($A91="",$D91=""),"",IF(AND(EDATE($D91,Milestones!$AA$188)&lt;=AsOfDate,EDATE($D91,Milestones!$AA$188)&gt;=SchemeStart,IF($X91=0,$AD91,IF(AND($Z91&lt;&gt;"",EDATE($D91,Milestones!$AA$188)&gt;=$Z91),$AC91,IF(AND($Y91&lt;&gt;"",EDATE($D91,Milestones!$AA$188)&gt;=$Y91),$AB91,$AA91)))=Milestones!$AB$188),UPPER(TEXT(EDATE($D91,Milestones!$AA$188),"dd mmm yy"))&amp;" "&amp;Milestones!$AB$188&amp;" "&amp;IF(AND(Milestones!$AB$188="FT",Milestones!$AA$188=FT_Y5,EDATE($D91,Milestones!$AA$188)&lt;PolicyEff),1,Milestones!$AC$188)&amp;";  ","")&amp;IF(AND(EDATE($D91,Milestones!$AA$189)&lt;=AsOfDate,EDATE($D91,Milestones!$AA$189)&gt;=SchemeStart,IF($X91=0,$AD91,IF(AND($Z91&lt;&gt;"",EDATE($D91,Milestones!$AA$189)&gt;=$Z91),$AC91,IF(AND($Y91&lt;&gt;"",EDATE($D91,Milestones!$AA$189)&gt;=$Y91),$AB91,$AA91)))=Milestones!$AB$189),UPPER(TEXT(EDATE($D91,Milestones!$AA$189),"dd mmm yy"))&amp;" "&amp;Milestones!$AB$189&amp;" "&amp;IF(AND(Milestones!$AB$189="FT",Milestones!$AA$189=FT_Y5,EDATE($D91,Milestones!$AA$189)&lt;PolicyEff),1,Milestones!$AC$189)&amp;";  ","")&amp;IF(AND(EDATE($D91,Milestones!$AA$190)&lt;=AsOfDate,EDATE($D91,Milestones!$AA$190)&gt;=SchemeStart,IF($X91=0,$AD91,IF(AND($Z91&lt;&gt;"",EDATE($D91,Milestones!$AA$190)&gt;=$Z91),$AC91,IF(AND($Y91&lt;&gt;"",EDATE($D91,Milestones!$AA$190)&gt;=$Y91),$AB91,$AA91)))=Milestones!$AB$190),UPPER(TEXT(EDATE($D91,Milestones!$AA$190),"dd mmm yy"))&amp;" "&amp;Milestones!$AB$190&amp;" "&amp;IF(AND(Milestones!$AB$190="FT",Milestones!$AA$190=FT_Y5,EDATE($D91,Milestones!$AA$190)&lt;PolicyEff),1,Milestones!$AC$190)&amp;";  ","")&amp;IF(AND(EDATE($D91,Milestones!$AA$191)&lt;=AsOfDate,EDATE($D91,Milestones!$AA$191)&gt;=SchemeStart,IF($X91=0,$AD91,IF(AND($Z91&lt;&gt;"",EDATE($D91,Milestones!$AA$191)&gt;=$Z91),$AC91,IF(AND($Y91&lt;&gt;"",EDATE($D91,Milestones!$AA$191)&gt;=$Y91),$AB91,$AA91)))=Milestones!$AB$191),UPPER(TEXT(EDATE($D91,Milestones!$AA$191),"dd mmm yy"))&amp;" "&amp;Milestones!$AB$191&amp;" "&amp;IF(AND(Milestones!$AB$191="FT",Milestones!$AA$191=FT_Y5,EDATE($D91,Milestones!$AA$191)&lt;PolicyEff),1,Milestones!$AC$191)&amp;";  ","")&amp;IF(AND(EDATE($D91,Milestones!$AA$192)&lt;=AsOfDate,EDATE($D91,Milestones!$AA$192)&gt;=SchemeStart,IF($X91=0,$AD91,IF(AND($Z91&lt;&gt;"",EDATE($D91,Milestones!$AA$192)&gt;=$Z91),$AC91,IF(AND($Y91&lt;&gt;"",EDATE($D91,Milestones!$AA$192)&gt;=$Y91),$AB91,$AA91)))=Milestones!$AB$192),UPPER(TEXT(EDATE($D91,Milestones!$AA$192),"dd mmm yy"))&amp;" "&amp;Milestones!$AB$192&amp;" "&amp;IF(AND(Milestones!$AB$192="FT",Milestones!$AA$192=FT_Y5,EDATE($D91,Milestones!$AA$192)&lt;PolicyEff),1,Milestones!$AC$192)&amp;";  ","")&amp;IF(AND(EDATE($D91,Milestones!$AA$193)&lt;=AsOfDate,EDATE($D91,Milestones!$AA$193)&gt;=SchemeStart,IF($X91=0,$AD91,IF(AND($Z91&lt;&gt;"",EDATE($D91,Milestones!$AA$193)&gt;=$Z91),$AC91,IF(AND($Y91&lt;&gt;"",EDATE($D91,Milestones!$AA$193)&gt;=$Y91),$AB91,$AA91)))=Milestones!$AB$193),UPPER(TEXT(EDATE($D91,Milestones!$AA$193),"dd mmm yy"))&amp;" "&amp;Milestones!$AB$193&amp;" "&amp;IF(AND(Milestones!$AB$193="FT",Milestones!$AA$193=FT_Y5,EDATE($D91,Milestones!$AA$193)&lt;PolicyEff),1,Milestones!$AC$193)&amp;";  ","")&amp;IF(AND(EDATE($D91,Milestones!$AA$194)&lt;=AsOfDate,EDATE($D91,Milestones!$AA$194)&gt;=SchemeStart,IF($X91=0,$AD91,IF(AND($Z91&lt;&gt;"",EDATE($D91,Milestones!$AA$194)&gt;=$Z91),$AC91,IF(AND($Y91&lt;&gt;"",EDATE($D91,Milestones!$AA$194)&gt;=$Y91),$AB91,$AA91)))=Milestones!$AB$194),UPPER(TEXT(EDATE($D91,Milestones!$AA$194),"dd mmm yy"))&amp;" "&amp;Milestones!$AB$194&amp;" "&amp;IF(AND(Milestones!$AB$194="FT",Milestones!$AA$194=FT_Y5,EDATE($D91,Milestones!$AA$194)&lt;PolicyEff),1,Milestones!$AC$194)&amp;";  ","")&amp;IF(AND(EDATE($D91,Milestones!$AA$195)&lt;=AsOfDate,EDATE($D91,Milestones!$AA$195)&gt;=SchemeStart,IF($X91=0,$AD91,IF(AND($Z91&lt;&gt;"",EDATE($D91,Milestones!$AA$195)&gt;=$Z91),$AC91,IF(AND($Y91&lt;&gt;"",EDATE($D91,Milestones!$AA$195)&gt;=$Y91),$AB91,$AA91)))=Milestones!$AB$195),UPPER(TEXT(EDATE($D91,Milestones!$AA$195),"dd mmm yy"))&amp;" "&amp;Milestones!$AB$195&amp;" "&amp;IF(AND(Milestones!$AB$195="FT",Milestones!$AA$195=FT_Y5,EDATE($D91,Milestones!$AA$195)&lt;PolicyEff),1,Milestones!$AC$195)&amp;";  ","")&amp;IF(AND(EDATE($D91,Milestones!$AA$196)&lt;=AsOfDate,EDATE($D91,Milestones!$AA$196)&gt;=SchemeStart,IF($X91=0,$AD91,IF(AND($Z91&lt;&gt;"",EDATE($D91,Milestones!$AA$196)&gt;=$Z91),$AC91,IF(AND($Y91&lt;&gt;"",EDATE($D91,Milestones!$AA$196)&gt;=$Y91),$AB91,$AA91)))=Milestones!$AB$196),UPPER(TEXT(EDATE($D91,Milestones!$AA$196),"dd mmm yy"))&amp;" "&amp;Milestones!$AB$196&amp;" "&amp;IF(AND(Milestones!$AB$196="FT",Milestones!$AA$196=FT_Y5,EDATE($D91,Milestones!$AA$196)&lt;PolicyEff),1,Milestones!$AC$196)&amp;";  ","")&amp;IF(AND(EDATE($D91,Milestones!$AA$197)&lt;=AsOfDate,EDATE($D91,Milestones!$AA$197)&gt;=SchemeStart,IF($X91=0,$AD91,IF(AND($Z91&lt;&gt;"",EDATE($D91,Milestones!$AA$197)&gt;=$Z91),$AC91,IF(AND($Y91&lt;&gt;"",EDATE($D91,Milestones!$AA$197)&gt;=$Y91),$AB91,$AA91)))=Milestones!$AB$197),UPPER(TEXT(EDATE($D91,Milestones!$AA$197),"dd mmm yy"))&amp;" "&amp;Milestones!$AB$197&amp;" "&amp;IF(AND(Milestones!$AB$197="FT",Milestones!$AA$197=FT_Y5,EDATE($D91,Milestones!$AA$197)&lt;PolicyEff),1,Milestones!$AC$197)&amp;";  ","")&amp;IF(AND(EDATE($D91,Milestones!$AA$198)&lt;=AsOfDate,EDATE($D91,Milestones!$AA$198)&gt;=SchemeStart,IF($X91=0,$AD91,IF(AND($Z91&lt;&gt;"",EDATE($D91,Milestones!$AA$198)&gt;=$Z91),$AC91,IF(AND($Y91&lt;&gt;"",EDATE($D91,Milestones!$AA$198)&gt;=$Y91),$AB91,$AA91)))=Milestones!$AB$198),UPPER(TEXT(EDATE($D91,Milestones!$AA$198),"dd mmm yy"))&amp;" "&amp;Milestones!$AB$198&amp;" "&amp;IF(AND(Milestones!$AB$198="FT",Milestones!$AA$198=FT_Y5,EDATE($D91,Milestones!$AA$198)&lt;PolicyEff),1,Milestones!$AC$198)&amp;";  ","")&amp;IF(AND(EDATE($D91,Milestones!$AA$199)&lt;=AsOfDate,EDATE($D91,Milestones!$AA$199)&gt;=SchemeStart,IF($X91=0,$AD91,IF(AND($Z91&lt;&gt;"",EDATE($D91,Milestones!$AA$199)&gt;=$Z91),$AC91,IF(AND($Y91&lt;&gt;"",EDATE($D91,Milestones!$AA$199)&gt;=$Y91),$AB91,$AA91)))=Milestones!$AB$199),UPPER(TEXT(EDATE($D91,Milestones!$AA$199),"dd mmm yy"))&amp;" "&amp;Milestones!$AB$199&amp;" "&amp;IF(AND(Milestones!$AB$199="FT",Milestones!$AA$199=FT_Y5,EDATE($D91,Milestones!$AA$199)&lt;PolicyEff),1,Milestones!$AC$199)&amp;";  ",""))</f>
        <v/>
      </c>
      <c r="X91" s="0" t="str">
        <f aca="false">IF(Staff!$A91="","",Staff!$AM91)</f>
        <v/>
      </c>
      <c r="Y91" s="0" t="str">
        <f aca="false">IF(Staff!$A91="","",Staff!$AO91)</f>
        <v/>
      </c>
      <c r="Z91" s="0" t="str">
        <f aca="false">IF(Staff!$A91="","",Staff!$AP91)</f>
        <v/>
      </c>
      <c r="AA91" s="0" t="str">
        <f aca="false">IF(Staff!$A91="","",Staff!$AT91)</f>
        <v/>
      </c>
      <c r="AB91" s="0" t="str">
        <f aca="false">IF(Staff!$A91="","",Staff!$AU91)</f>
        <v/>
      </c>
      <c r="AC91" s="0" t="str">
        <f aca="false">IF(Staff!$A91="","",Staff!$AV91)</f>
        <v/>
      </c>
      <c r="AD91" s="0" t="str">
        <f aca="false">IF(Staff!$A91="","",Staff!$AW91)</f>
        <v/>
      </c>
    </row>
    <row r="92" customFormat="false" ht="15" hidden="false" customHeight="false" outlineLevel="0" collapsed="false">
      <c r="A92" s="16" t="str">
        <f aca="false">IF(Staff!$A92="","",Staff!$A92)</f>
        <v/>
      </c>
      <c r="B92" s="16" t="str">
        <f aca="false">IF(Staff!$A92="","",Staff!$B92)</f>
        <v/>
      </c>
      <c r="C92" s="16" t="str">
        <f aca="false">IF(Staff!$A92="","",Staff!$C92)</f>
        <v/>
      </c>
      <c r="D92" s="14" t="str">
        <f aca="false">IF(Staff!$A92="","",Staff!$AL92)</f>
        <v/>
      </c>
      <c r="E92" s="16" t="str">
        <f aca="false">IF(Staff!$A92="","",Staff!$O92)</f>
        <v/>
      </c>
      <c r="F92" s="16" t="str">
        <f aca="false">IF(E92="","",E92*HoursPerDay)</f>
        <v/>
      </c>
      <c r="G92" s="16" t="str">
        <f aca="false">IF(Staff!$A92="","",Staff!$AE92)</f>
        <v/>
      </c>
      <c r="H92" s="28" t="str">
        <f aca="false">IF($A92="","",I92&amp;J92&amp;K92&amp;L92&amp;M92&amp;N92&amp;O92&amp;P92&amp;Q92&amp;R92&amp;S92&amp;T92&amp;U92&amp;V92&amp;W92)</f>
        <v/>
      </c>
      <c r="I92" s="0" t="str">
        <f aca="false">IF(OR($A92="",$D92=""),"",IF(AND(EDATE($D92,Milestones!$AA$20)&lt;=AsOfDate,EDATE($D92,Milestones!$AA$20)&gt;=SchemeStart,IF($X92=0,$AD92,IF(AND($Z92&lt;&gt;"",EDATE($D92,Milestones!$AA$20)&gt;=$Z92),$AC92,IF(AND($Y92&lt;&gt;"",EDATE($D92,Milestones!$AA$20)&gt;=$Y92),$AB92,$AA92)))=Milestones!$AB$20),UPPER(TEXT(EDATE($D92,Milestones!$AA$20),"dd mmm yy"))&amp;" "&amp;Milestones!$AB$20&amp;" "&amp;IF(AND(Milestones!$AB$20="FT",Milestones!$AA$20=FT_Y5,EDATE($D92,Milestones!$AA$20)&lt;PolicyEff),1,Milestones!$AC$20)&amp;";  ","")&amp;IF(AND(EDATE($D92,Milestones!$AA$21)&lt;=AsOfDate,EDATE($D92,Milestones!$AA$21)&gt;=SchemeStart,IF($X92=0,$AD92,IF(AND($Z92&lt;&gt;"",EDATE($D92,Milestones!$AA$21)&gt;=$Z92),$AC92,IF(AND($Y92&lt;&gt;"",EDATE($D92,Milestones!$AA$21)&gt;=$Y92),$AB92,$AA92)))=Milestones!$AB$21),UPPER(TEXT(EDATE($D92,Milestones!$AA$21),"dd mmm yy"))&amp;" "&amp;Milestones!$AB$21&amp;" "&amp;IF(AND(Milestones!$AB$21="FT",Milestones!$AA$21=FT_Y5,EDATE($D92,Milestones!$AA$21)&lt;PolicyEff),1,Milestones!$AC$21)&amp;";  ","")&amp;IF(AND(EDATE($D92,Milestones!$AA$22)&lt;=AsOfDate,EDATE($D92,Milestones!$AA$22)&gt;=SchemeStart,IF($X92=0,$AD92,IF(AND($Z92&lt;&gt;"",EDATE($D92,Milestones!$AA$22)&gt;=$Z92),$AC92,IF(AND($Y92&lt;&gt;"",EDATE($D92,Milestones!$AA$22)&gt;=$Y92),$AB92,$AA92)))=Milestones!$AB$22),UPPER(TEXT(EDATE($D92,Milestones!$AA$22),"dd mmm yy"))&amp;" "&amp;Milestones!$AB$22&amp;" "&amp;IF(AND(Milestones!$AB$22="FT",Milestones!$AA$22=FT_Y5,EDATE($D92,Milestones!$AA$22)&lt;PolicyEff),1,Milestones!$AC$22)&amp;";  ","")&amp;IF(AND(EDATE($D92,Milestones!$AA$23)&lt;=AsOfDate,EDATE($D92,Milestones!$AA$23)&gt;=SchemeStart,IF($X92=0,$AD92,IF(AND($Z92&lt;&gt;"",EDATE($D92,Milestones!$AA$23)&gt;=$Z92),$AC92,IF(AND($Y92&lt;&gt;"",EDATE($D92,Milestones!$AA$23)&gt;=$Y92),$AB92,$AA92)))=Milestones!$AB$23),UPPER(TEXT(EDATE($D92,Milestones!$AA$23),"dd mmm yy"))&amp;" "&amp;Milestones!$AB$23&amp;" "&amp;IF(AND(Milestones!$AB$23="FT",Milestones!$AA$23=FT_Y5,EDATE($D92,Milestones!$AA$23)&lt;PolicyEff),1,Milestones!$AC$23)&amp;";  ","")&amp;IF(AND(EDATE($D92,Milestones!$AA$24)&lt;=AsOfDate,EDATE($D92,Milestones!$AA$24)&gt;=SchemeStart,IF($X92=0,$AD92,IF(AND($Z92&lt;&gt;"",EDATE($D92,Milestones!$AA$24)&gt;=$Z92),$AC92,IF(AND($Y92&lt;&gt;"",EDATE($D92,Milestones!$AA$24)&gt;=$Y92),$AB92,$AA92)))=Milestones!$AB$24),UPPER(TEXT(EDATE($D92,Milestones!$AA$24),"dd mmm yy"))&amp;" "&amp;Milestones!$AB$24&amp;" "&amp;IF(AND(Milestones!$AB$24="FT",Milestones!$AA$24=FT_Y5,EDATE($D92,Milestones!$AA$24)&lt;PolicyEff),1,Milestones!$AC$24)&amp;";  ","")&amp;IF(AND(EDATE($D92,Milestones!$AA$25)&lt;=AsOfDate,EDATE($D92,Milestones!$AA$25)&gt;=SchemeStart,IF($X92=0,$AD92,IF(AND($Z92&lt;&gt;"",EDATE($D92,Milestones!$AA$25)&gt;=$Z92),$AC92,IF(AND($Y92&lt;&gt;"",EDATE($D92,Milestones!$AA$25)&gt;=$Y92),$AB92,$AA92)))=Milestones!$AB$25),UPPER(TEXT(EDATE($D92,Milestones!$AA$25),"dd mmm yy"))&amp;" "&amp;Milestones!$AB$25&amp;" "&amp;IF(AND(Milestones!$AB$25="FT",Milestones!$AA$25=FT_Y5,EDATE($D92,Milestones!$AA$25)&lt;PolicyEff),1,Milestones!$AC$25)&amp;";  ","")&amp;IF(AND(EDATE($D92,Milestones!$AA$26)&lt;=AsOfDate,EDATE($D92,Milestones!$AA$26)&gt;=SchemeStart,IF($X92=0,$AD92,IF(AND($Z92&lt;&gt;"",EDATE($D92,Milestones!$AA$26)&gt;=$Z92),$AC92,IF(AND($Y92&lt;&gt;"",EDATE($D92,Milestones!$AA$26)&gt;=$Y92),$AB92,$AA92)))=Milestones!$AB$26),UPPER(TEXT(EDATE($D92,Milestones!$AA$26),"dd mmm yy"))&amp;" "&amp;Milestones!$AB$26&amp;" "&amp;IF(AND(Milestones!$AB$26="FT",Milestones!$AA$26=FT_Y5,EDATE($D92,Milestones!$AA$26)&lt;PolicyEff),1,Milestones!$AC$26)&amp;";  ","")&amp;IF(AND(EDATE($D92,Milestones!$AA$27)&lt;=AsOfDate,EDATE($D92,Milestones!$AA$27)&gt;=SchemeStart,IF($X92=0,$AD92,IF(AND($Z92&lt;&gt;"",EDATE($D92,Milestones!$AA$27)&gt;=$Z92),$AC92,IF(AND($Y92&lt;&gt;"",EDATE($D92,Milestones!$AA$27)&gt;=$Y92),$AB92,$AA92)))=Milestones!$AB$27),UPPER(TEXT(EDATE($D92,Milestones!$AA$27),"dd mmm yy"))&amp;" "&amp;Milestones!$AB$27&amp;" "&amp;IF(AND(Milestones!$AB$27="FT",Milestones!$AA$27=FT_Y5,EDATE($D92,Milestones!$AA$27)&lt;PolicyEff),1,Milestones!$AC$27)&amp;";  ","")&amp;IF(AND(EDATE($D92,Milestones!$AA$28)&lt;=AsOfDate,EDATE($D92,Milestones!$AA$28)&gt;=SchemeStart,IF($X92=0,$AD92,IF(AND($Z92&lt;&gt;"",EDATE($D92,Milestones!$AA$28)&gt;=$Z92),$AC92,IF(AND($Y92&lt;&gt;"",EDATE($D92,Milestones!$AA$28)&gt;=$Y92),$AB92,$AA92)))=Milestones!$AB$28),UPPER(TEXT(EDATE($D92,Milestones!$AA$28),"dd mmm yy"))&amp;" "&amp;Milestones!$AB$28&amp;" "&amp;IF(AND(Milestones!$AB$28="FT",Milestones!$AA$28=FT_Y5,EDATE($D92,Milestones!$AA$28)&lt;PolicyEff),1,Milestones!$AC$28)&amp;";  ","")&amp;IF(AND(EDATE($D92,Milestones!$AA$29)&lt;=AsOfDate,EDATE($D92,Milestones!$AA$29)&gt;=SchemeStart,IF($X92=0,$AD92,IF(AND($Z92&lt;&gt;"",EDATE($D92,Milestones!$AA$29)&gt;=$Z92),$AC92,IF(AND($Y92&lt;&gt;"",EDATE($D92,Milestones!$AA$29)&gt;=$Y92),$AB92,$AA92)))=Milestones!$AB$29),UPPER(TEXT(EDATE($D92,Milestones!$AA$29),"dd mmm yy"))&amp;" "&amp;Milestones!$AB$29&amp;" "&amp;IF(AND(Milestones!$AB$29="FT",Milestones!$AA$29=FT_Y5,EDATE($D92,Milestones!$AA$29)&lt;PolicyEff),1,Milestones!$AC$29)&amp;";  ","")&amp;IF(AND(EDATE($D92,Milestones!$AA$30)&lt;=AsOfDate,EDATE($D92,Milestones!$AA$30)&gt;=SchemeStart,IF($X92=0,$AD92,IF(AND($Z92&lt;&gt;"",EDATE($D92,Milestones!$AA$30)&gt;=$Z92),$AC92,IF(AND($Y92&lt;&gt;"",EDATE($D92,Milestones!$AA$30)&gt;=$Y92),$AB92,$AA92)))=Milestones!$AB$30),UPPER(TEXT(EDATE($D92,Milestones!$AA$30),"dd mmm yy"))&amp;" "&amp;Milestones!$AB$30&amp;" "&amp;IF(AND(Milestones!$AB$30="FT",Milestones!$AA$30=FT_Y5,EDATE($D92,Milestones!$AA$30)&lt;PolicyEff),1,Milestones!$AC$30)&amp;";  ","")&amp;IF(AND(EDATE($D92,Milestones!$AA$31)&lt;=AsOfDate,EDATE($D92,Milestones!$AA$31)&gt;=SchemeStart,IF($X92=0,$AD92,IF(AND($Z92&lt;&gt;"",EDATE($D92,Milestones!$AA$31)&gt;=$Z92),$AC92,IF(AND($Y92&lt;&gt;"",EDATE($D92,Milestones!$AA$31)&gt;=$Y92),$AB92,$AA92)))=Milestones!$AB$31),UPPER(TEXT(EDATE($D92,Milestones!$AA$31),"dd mmm yy"))&amp;" "&amp;Milestones!$AB$31&amp;" "&amp;IF(AND(Milestones!$AB$31="FT",Milestones!$AA$31=FT_Y5,EDATE($D92,Milestones!$AA$31)&lt;PolicyEff),1,Milestones!$AC$31)&amp;";  ",""))</f>
        <v/>
      </c>
      <c r="J92" s="0" t="str">
        <f aca="false">IF(OR($A92="",$D92=""),"",IF(AND(EDATE($D92,Milestones!$AA$32)&lt;=AsOfDate,EDATE($D92,Milestones!$AA$32)&gt;=SchemeStart,IF($X92=0,$AD92,IF(AND($Z92&lt;&gt;"",EDATE($D92,Milestones!$AA$32)&gt;=$Z92),$AC92,IF(AND($Y92&lt;&gt;"",EDATE($D92,Milestones!$AA$32)&gt;=$Y92),$AB92,$AA92)))=Milestones!$AB$32),UPPER(TEXT(EDATE($D92,Milestones!$AA$32),"dd mmm yy"))&amp;" "&amp;Milestones!$AB$32&amp;" "&amp;IF(AND(Milestones!$AB$32="FT",Milestones!$AA$32=FT_Y5,EDATE($D92,Milestones!$AA$32)&lt;PolicyEff),1,Milestones!$AC$32)&amp;";  ","")&amp;IF(AND(EDATE($D92,Milestones!$AA$33)&lt;=AsOfDate,EDATE($D92,Milestones!$AA$33)&gt;=SchemeStart,IF($X92=0,$AD92,IF(AND($Z92&lt;&gt;"",EDATE($D92,Milestones!$AA$33)&gt;=$Z92),$AC92,IF(AND($Y92&lt;&gt;"",EDATE($D92,Milestones!$AA$33)&gt;=$Y92),$AB92,$AA92)))=Milestones!$AB$33),UPPER(TEXT(EDATE($D92,Milestones!$AA$33),"dd mmm yy"))&amp;" "&amp;Milestones!$AB$33&amp;" "&amp;IF(AND(Milestones!$AB$33="FT",Milestones!$AA$33=FT_Y5,EDATE($D92,Milestones!$AA$33)&lt;PolicyEff),1,Milestones!$AC$33)&amp;";  ","")&amp;IF(AND(EDATE($D92,Milestones!$AA$34)&lt;=AsOfDate,EDATE($D92,Milestones!$AA$34)&gt;=SchemeStart,IF($X92=0,$AD92,IF(AND($Z92&lt;&gt;"",EDATE($D92,Milestones!$AA$34)&gt;=$Z92),$AC92,IF(AND($Y92&lt;&gt;"",EDATE($D92,Milestones!$AA$34)&gt;=$Y92),$AB92,$AA92)))=Milestones!$AB$34),UPPER(TEXT(EDATE($D92,Milestones!$AA$34),"dd mmm yy"))&amp;" "&amp;Milestones!$AB$34&amp;" "&amp;IF(AND(Milestones!$AB$34="FT",Milestones!$AA$34=FT_Y5,EDATE($D92,Milestones!$AA$34)&lt;PolicyEff),1,Milestones!$AC$34)&amp;";  ","")&amp;IF(AND(EDATE($D92,Milestones!$AA$35)&lt;=AsOfDate,EDATE($D92,Milestones!$AA$35)&gt;=SchemeStart,IF($X92=0,$AD92,IF(AND($Z92&lt;&gt;"",EDATE($D92,Milestones!$AA$35)&gt;=$Z92),$AC92,IF(AND($Y92&lt;&gt;"",EDATE($D92,Milestones!$AA$35)&gt;=$Y92),$AB92,$AA92)))=Milestones!$AB$35),UPPER(TEXT(EDATE($D92,Milestones!$AA$35),"dd mmm yy"))&amp;" "&amp;Milestones!$AB$35&amp;" "&amp;IF(AND(Milestones!$AB$35="FT",Milestones!$AA$35=FT_Y5,EDATE($D92,Milestones!$AA$35)&lt;PolicyEff),1,Milestones!$AC$35)&amp;";  ","")&amp;IF(AND(EDATE($D92,Milestones!$AA$36)&lt;=AsOfDate,EDATE($D92,Milestones!$AA$36)&gt;=SchemeStart,IF($X92=0,$AD92,IF(AND($Z92&lt;&gt;"",EDATE($D92,Milestones!$AA$36)&gt;=$Z92),$AC92,IF(AND($Y92&lt;&gt;"",EDATE($D92,Milestones!$AA$36)&gt;=$Y92),$AB92,$AA92)))=Milestones!$AB$36),UPPER(TEXT(EDATE($D92,Milestones!$AA$36),"dd mmm yy"))&amp;" "&amp;Milestones!$AB$36&amp;" "&amp;IF(AND(Milestones!$AB$36="FT",Milestones!$AA$36=FT_Y5,EDATE($D92,Milestones!$AA$36)&lt;PolicyEff),1,Milestones!$AC$36)&amp;";  ","")&amp;IF(AND(EDATE($D92,Milestones!$AA$37)&lt;=AsOfDate,EDATE($D92,Milestones!$AA$37)&gt;=SchemeStart,IF($X92=0,$AD92,IF(AND($Z92&lt;&gt;"",EDATE($D92,Milestones!$AA$37)&gt;=$Z92),$AC92,IF(AND($Y92&lt;&gt;"",EDATE($D92,Milestones!$AA$37)&gt;=$Y92),$AB92,$AA92)))=Milestones!$AB$37),UPPER(TEXT(EDATE($D92,Milestones!$AA$37),"dd mmm yy"))&amp;" "&amp;Milestones!$AB$37&amp;" "&amp;IF(AND(Milestones!$AB$37="FT",Milestones!$AA$37=FT_Y5,EDATE($D92,Milestones!$AA$37)&lt;PolicyEff),1,Milestones!$AC$37)&amp;";  ","")&amp;IF(AND(EDATE($D92,Milestones!$AA$38)&lt;=AsOfDate,EDATE($D92,Milestones!$AA$38)&gt;=SchemeStart,IF($X92=0,$AD92,IF(AND($Z92&lt;&gt;"",EDATE($D92,Milestones!$AA$38)&gt;=$Z92),$AC92,IF(AND($Y92&lt;&gt;"",EDATE($D92,Milestones!$AA$38)&gt;=$Y92),$AB92,$AA92)))=Milestones!$AB$38),UPPER(TEXT(EDATE($D92,Milestones!$AA$38),"dd mmm yy"))&amp;" "&amp;Milestones!$AB$38&amp;" "&amp;IF(AND(Milestones!$AB$38="FT",Milestones!$AA$38=FT_Y5,EDATE($D92,Milestones!$AA$38)&lt;PolicyEff),1,Milestones!$AC$38)&amp;";  ","")&amp;IF(AND(EDATE($D92,Milestones!$AA$39)&lt;=AsOfDate,EDATE($D92,Milestones!$AA$39)&gt;=SchemeStart,IF($X92=0,$AD92,IF(AND($Z92&lt;&gt;"",EDATE($D92,Milestones!$AA$39)&gt;=$Z92),$AC92,IF(AND($Y92&lt;&gt;"",EDATE($D92,Milestones!$AA$39)&gt;=$Y92),$AB92,$AA92)))=Milestones!$AB$39),UPPER(TEXT(EDATE($D92,Milestones!$AA$39),"dd mmm yy"))&amp;" "&amp;Milestones!$AB$39&amp;" "&amp;IF(AND(Milestones!$AB$39="FT",Milestones!$AA$39=FT_Y5,EDATE($D92,Milestones!$AA$39)&lt;PolicyEff),1,Milestones!$AC$39)&amp;";  ","")&amp;IF(AND(EDATE($D92,Milestones!$AA$40)&lt;=AsOfDate,EDATE($D92,Milestones!$AA$40)&gt;=SchemeStart,IF($X92=0,$AD92,IF(AND($Z92&lt;&gt;"",EDATE($D92,Milestones!$AA$40)&gt;=$Z92),$AC92,IF(AND($Y92&lt;&gt;"",EDATE($D92,Milestones!$AA$40)&gt;=$Y92),$AB92,$AA92)))=Milestones!$AB$40),UPPER(TEXT(EDATE($D92,Milestones!$AA$40),"dd mmm yy"))&amp;" "&amp;Milestones!$AB$40&amp;" "&amp;IF(AND(Milestones!$AB$40="FT",Milestones!$AA$40=FT_Y5,EDATE($D92,Milestones!$AA$40)&lt;PolicyEff),1,Milestones!$AC$40)&amp;";  ","")&amp;IF(AND(EDATE($D92,Milestones!$AA$41)&lt;=AsOfDate,EDATE($D92,Milestones!$AA$41)&gt;=SchemeStart,IF($X92=0,$AD92,IF(AND($Z92&lt;&gt;"",EDATE($D92,Milestones!$AA$41)&gt;=$Z92),$AC92,IF(AND($Y92&lt;&gt;"",EDATE($D92,Milestones!$AA$41)&gt;=$Y92),$AB92,$AA92)))=Milestones!$AB$41),UPPER(TEXT(EDATE($D92,Milestones!$AA$41),"dd mmm yy"))&amp;" "&amp;Milestones!$AB$41&amp;" "&amp;IF(AND(Milestones!$AB$41="FT",Milestones!$AA$41=FT_Y5,EDATE($D92,Milestones!$AA$41)&lt;PolicyEff),1,Milestones!$AC$41)&amp;";  ","")&amp;IF(AND(EDATE($D92,Milestones!$AA$42)&lt;=AsOfDate,EDATE($D92,Milestones!$AA$42)&gt;=SchemeStart,IF($X92=0,$AD92,IF(AND($Z92&lt;&gt;"",EDATE($D92,Milestones!$AA$42)&gt;=$Z92),$AC92,IF(AND($Y92&lt;&gt;"",EDATE($D92,Milestones!$AA$42)&gt;=$Y92),$AB92,$AA92)))=Milestones!$AB$42),UPPER(TEXT(EDATE($D92,Milestones!$AA$42),"dd mmm yy"))&amp;" "&amp;Milestones!$AB$42&amp;" "&amp;IF(AND(Milestones!$AB$42="FT",Milestones!$AA$42=FT_Y5,EDATE($D92,Milestones!$AA$42)&lt;PolicyEff),1,Milestones!$AC$42)&amp;";  ","")&amp;IF(AND(EDATE($D92,Milestones!$AA$43)&lt;=AsOfDate,EDATE($D92,Milestones!$AA$43)&gt;=SchemeStart,IF($X92=0,$AD92,IF(AND($Z92&lt;&gt;"",EDATE($D92,Milestones!$AA$43)&gt;=$Z92),$AC92,IF(AND($Y92&lt;&gt;"",EDATE($D92,Milestones!$AA$43)&gt;=$Y92),$AB92,$AA92)))=Milestones!$AB$43),UPPER(TEXT(EDATE($D92,Milestones!$AA$43),"dd mmm yy"))&amp;" "&amp;Milestones!$AB$43&amp;" "&amp;IF(AND(Milestones!$AB$43="FT",Milestones!$AA$43=FT_Y5,EDATE($D92,Milestones!$AA$43)&lt;PolicyEff),1,Milestones!$AC$43)&amp;";  ",""))</f>
        <v/>
      </c>
      <c r="K92" s="0" t="str">
        <f aca="false">IF(OR($A92="",$D92=""),"",IF(AND(EDATE($D92,Milestones!$AA$44)&lt;=AsOfDate,EDATE($D92,Milestones!$AA$44)&gt;=SchemeStart,IF($X92=0,$AD92,IF(AND($Z92&lt;&gt;"",EDATE($D92,Milestones!$AA$44)&gt;=$Z92),$AC92,IF(AND($Y92&lt;&gt;"",EDATE($D92,Milestones!$AA$44)&gt;=$Y92),$AB92,$AA92)))=Milestones!$AB$44),UPPER(TEXT(EDATE($D92,Milestones!$AA$44),"dd mmm yy"))&amp;" "&amp;Milestones!$AB$44&amp;" "&amp;IF(AND(Milestones!$AB$44="FT",Milestones!$AA$44=FT_Y5,EDATE($D92,Milestones!$AA$44)&lt;PolicyEff),1,Milestones!$AC$44)&amp;";  ","")&amp;IF(AND(EDATE($D92,Milestones!$AA$45)&lt;=AsOfDate,EDATE($D92,Milestones!$AA$45)&gt;=SchemeStart,IF($X92=0,$AD92,IF(AND($Z92&lt;&gt;"",EDATE($D92,Milestones!$AA$45)&gt;=$Z92),$AC92,IF(AND($Y92&lt;&gt;"",EDATE($D92,Milestones!$AA$45)&gt;=$Y92),$AB92,$AA92)))=Milestones!$AB$45),UPPER(TEXT(EDATE($D92,Milestones!$AA$45),"dd mmm yy"))&amp;" "&amp;Milestones!$AB$45&amp;" "&amp;IF(AND(Milestones!$AB$45="FT",Milestones!$AA$45=FT_Y5,EDATE($D92,Milestones!$AA$45)&lt;PolicyEff),1,Milestones!$AC$45)&amp;";  ","")&amp;IF(AND(EDATE($D92,Milestones!$AA$46)&lt;=AsOfDate,EDATE($D92,Milestones!$AA$46)&gt;=SchemeStart,IF($X92=0,$AD92,IF(AND($Z92&lt;&gt;"",EDATE($D92,Milestones!$AA$46)&gt;=$Z92),$AC92,IF(AND($Y92&lt;&gt;"",EDATE($D92,Milestones!$AA$46)&gt;=$Y92),$AB92,$AA92)))=Milestones!$AB$46),UPPER(TEXT(EDATE($D92,Milestones!$AA$46),"dd mmm yy"))&amp;" "&amp;Milestones!$AB$46&amp;" "&amp;IF(AND(Milestones!$AB$46="FT",Milestones!$AA$46=FT_Y5,EDATE($D92,Milestones!$AA$46)&lt;PolicyEff),1,Milestones!$AC$46)&amp;";  ","")&amp;IF(AND(EDATE($D92,Milestones!$AA$47)&lt;=AsOfDate,EDATE($D92,Milestones!$AA$47)&gt;=SchemeStart,IF($X92=0,$AD92,IF(AND($Z92&lt;&gt;"",EDATE($D92,Milestones!$AA$47)&gt;=$Z92),$AC92,IF(AND($Y92&lt;&gt;"",EDATE($D92,Milestones!$AA$47)&gt;=$Y92),$AB92,$AA92)))=Milestones!$AB$47),UPPER(TEXT(EDATE($D92,Milestones!$AA$47),"dd mmm yy"))&amp;" "&amp;Milestones!$AB$47&amp;" "&amp;IF(AND(Milestones!$AB$47="FT",Milestones!$AA$47=FT_Y5,EDATE($D92,Milestones!$AA$47)&lt;PolicyEff),1,Milestones!$AC$47)&amp;";  ","")&amp;IF(AND(EDATE($D92,Milestones!$AA$48)&lt;=AsOfDate,EDATE($D92,Milestones!$AA$48)&gt;=SchemeStart,IF($X92=0,$AD92,IF(AND($Z92&lt;&gt;"",EDATE($D92,Milestones!$AA$48)&gt;=$Z92),$AC92,IF(AND($Y92&lt;&gt;"",EDATE($D92,Milestones!$AA$48)&gt;=$Y92),$AB92,$AA92)))=Milestones!$AB$48),UPPER(TEXT(EDATE($D92,Milestones!$AA$48),"dd mmm yy"))&amp;" "&amp;Milestones!$AB$48&amp;" "&amp;IF(AND(Milestones!$AB$48="FT",Milestones!$AA$48=FT_Y5,EDATE($D92,Milestones!$AA$48)&lt;PolicyEff),1,Milestones!$AC$48)&amp;";  ","")&amp;IF(AND(EDATE($D92,Milestones!$AA$49)&lt;=AsOfDate,EDATE($D92,Milestones!$AA$49)&gt;=SchemeStart,IF($X92=0,$AD92,IF(AND($Z92&lt;&gt;"",EDATE($D92,Milestones!$AA$49)&gt;=$Z92),$AC92,IF(AND($Y92&lt;&gt;"",EDATE($D92,Milestones!$AA$49)&gt;=$Y92),$AB92,$AA92)))=Milestones!$AB$49),UPPER(TEXT(EDATE($D92,Milestones!$AA$49),"dd mmm yy"))&amp;" "&amp;Milestones!$AB$49&amp;" "&amp;IF(AND(Milestones!$AB$49="FT",Milestones!$AA$49=FT_Y5,EDATE($D92,Milestones!$AA$49)&lt;PolicyEff),1,Milestones!$AC$49)&amp;";  ","")&amp;IF(AND(EDATE($D92,Milestones!$AA$50)&lt;=AsOfDate,EDATE($D92,Milestones!$AA$50)&gt;=SchemeStart,IF($X92=0,$AD92,IF(AND($Z92&lt;&gt;"",EDATE($D92,Milestones!$AA$50)&gt;=$Z92),$AC92,IF(AND($Y92&lt;&gt;"",EDATE($D92,Milestones!$AA$50)&gt;=$Y92),$AB92,$AA92)))=Milestones!$AB$50),UPPER(TEXT(EDATE($D92,Milestones!$AA$50),"dd mmm yy"))&amp;" "&amp;Milestones!$AB$50&amp;" "&amp;IF(AND(Milestones!$AB$50="FT",Milestones!$AA$50=FT_Y5,EDATE($D92,Milestones!$AA$50)&lt;PolicyEff),1,Milestones!$AC$50)&amp;";  ","")&amp;IF(AND(EDATE($D92,Milestones!$AA$51)&lt;=AsOfDate,EDATE($D92,Milestones!$AA$51)&gt;=SchemeStart,IF($X92=0,$AD92,IF(AND($Z92&lt;&gt;"",EDATE($D92,Milestones!$AA$51)&gt;=$Z92),$AC92,IF(AND($Y92&lt;&gt;"",EDATE($D92,Milestones!$AA$51)&gt;=$Y92),$AB92,$AA92)))=Milestones!$AB$51),UPPER(TEXT(EDATE($D92,Milestones!$AA$51),"dd mmm yy"))&amp;" "&amp;Milestones!$AB$51&amp;" "&amp;IF(AND(Milestones!$AB$51="FT",Milestones!$AA$51=FT_Y5,EDATE($D92,Milestones!$AA$51)&lt;PolicyEff),1,Milestones!$AC$51)&amp;";  ","")&amp;IF(AND(EDATE($D92,Milestones!$AA$52)&lt;=AsOfDate,EDATE($D92,Milestones!$AA$52)&gt;=SchemeStart,IF($X92=0,$AD92,IF(AND($Z92&lt;&gt;"",EDATE($D92,Milestones!$AA$52)&gt;=$Z92),$AC92,IF(AND($Y92&lt;&gt;"",EDATE($D92,Milestones!$AA$52)&gt;=$Y92),$AB92,$AA92)))=Milestones!$AB$52),UPPER(TEXT(EDATE($D92,Milestones!$AA$52),"dd mmm yy"))&amp;" "&amp;Milestones!$AB$52&amp;" "&amp;IF(AND(Milestones!$AB$52="FT",Milestones!$AA$52=FT_Y5,EDATE($D92,Milestones!$AA$52)&lt;PolicyEff),1,Milestones!$AC$52)&amp;";  ","")&amp;IF(AND(EDATE($D92,Milestones!$AA$53)&lt;=AsOfDate,EDATE($D92,Milestones!$AA$53)&gt;=SchemeStart,IF($X92=0,$AD92,IF(AND($Z92&lt;&gt;"",EDATE($D92,Milestones!$AA$53)&gt;=$Z92),$AC92,IF(AND($Y92&lt;&gt;"",EDATE($D92,Milestones!$AA$53)&gt;=$Y92),$AB92,$AA92)))=Milestones!$AB$53),UPPER(TEXT(EDATE($D92,Milestones!$AA$53),"dd mmm yy"))&amp;" "&amp;Milestones!$AB$53&amp;" "&amp;IF(AND(Milestones!$AB$53="FT",Milestones!$AA$53=FT_Y5,EDATE($D92,Milestones!$AA$53)&lt;PolicyEff),1,Milestones!$AC$53)&amp;";  ","")&amp;IF(AND(EDATE($D92,Milestones!$AA$54)&lt;=AsOfDate,EDATE($D92,Milestones!$AA$54)&gt;=SchemeStart,IF($X92=0,$AD92,IF(AND($Z92&lt;&gt;"",EDATE($D92,Milestones!$AA$54)&gt;=$Z92),$AC92,IF(AND($Y92&lt;&gt;"",EDATE($D92,Milestones!$AA$54)&gt;=$Y92),$AB92,$AA92)))=Milestones!$AB$54),UPPER(TEXT(EDATE($D92,Milestones!$AA$54),"dd mmm yy"))&amp;" "&amp;Milestones!$AB$54&amp;" "&amp;IF(AND(Milestones!$AB$54="FT",Milestones!$AA$54=FT_Y5,EDATE($D92,Milestones!$AA$54)&lt;PolicyEff),1,Milestones!$AC$54)&amp;";  ","")&amp;IF(AND(EDATE($D92,Milestones!$AA$55)&lt;=AsOfDate,EDATE($D92,Milestones!$AA$55)&gt;=SchemeStart,IF($X92=0,$AD92,IF(AND($Z92&lt;&gt;"",EDATE($D92,Milestones!$AA$55)&gt;=$Z92),$AC92,IF(AND($Y92&lt;&gt;"",EDATE($D92,Milestones!$AA$55)&gt;=$Y92),$AB92,$AA92)))=Milestones!$AB$55),UPPER(TEXT(EDATE($D92,Milestones!$AA$55),"dd mmm yy"))&amp;" "&amp;Milestones!$AB$55&amp;" "&amp;IF(AND(Milestones!$AB$55="FT",Milestones!$AA$55=FT_Y5,EDATE($D92,Milestones!$AA$55)&lt;PolicyEff),1,Milestones!$AC$55)&amp;";  ",""))</f>
        <v/>
      </c>
      <c r="L92" s="0" t="str">
        <f aca="false">IF(OR($A92="",$D92=""),"",IF(AND(EDATE($D92,Milestones!$AA$56)&lt;=AsOfDate,EDATE($D92,Milestones!$AA$56)&gt;=SchemeStart,IF($X92=0,$AD92,IF(AND($Z92&lt;&gt;"",EDATE($D92,Milestones!$AA$56)&gt;=$Z92),$AC92,IF(AND($Y92&lt;&gt;"",EDATE($D92,Milestones!$AA$56)&gt;=$Y92),$AB92,$AA92)))=Milestones!$AB$56),UPPER(TEXT(EDATE($D92,Milestones!$AA$56),"dd mmm yy"))&amp;" "&amp;Milestones!$AB$56&amp;" "&amp;IF(AND(Milestones!$AB$56="FT",Milestones!$AA$56=FT_Y5,EDATE($D92,Milestones!$AA$56)&lt;PolicyEff),1,Milestones!$AC$56)&amp;";  ","")&amp;IF(AND(EDATE($D92,Milestones!$AA$57)&lt;=AsOfDate,EDATE($D92,Milestones!$AA$57)&gt;=SchemeStart,IF($X92=0,$AD92,IF(AND($Z92&lt;&gt;"",EDATE($D92,Milestones!$AA$57)&gt;=$Z92),$AC92,IF(AND($Y92&lt;&gt;"",EDATE($D92,Milestones!$AA$57)&gt;=$Y92),$AB92,$AA92)))=Milestones!$AB$57),UPPER(TEXT(EDATE($D92,Milestones!$AA$57),"dd mmm yy"))&amp;" "&amp;Milestones!$AB$57&amp;" "&amp;IF(AND(Milestones!$AB$57="FT",Milestones!$AA$57=FT_Y5,EDATE($D92,Milestones!$AA$57)&lt;PolicyEff),1,Milestones!$AC$57)&amp;";  ","")&amp;IF(AND(EDATE($D92,Milestones!$AA$58)&lt;=AsOfDate,EDATE($D92,Milestones!$AA$58)&gt;=SchemeStart,IF($X92=0,$AD92,IF(AND($Z92&lt;&gt;"",EDATE($D92,Milestones!$AA$58)&gt;=$Z92),$AC92,IF(AND($Y92&lt;&gt;"",EDATE($D92,Milestones!$AA$58)&gt;=$Y92),$AB92,$AA92)))=Milestones!$AB$58),UPPER(TEXT(EDATE($D92,Milestones!$AA$58),"dd mmm yy"))&amp;" "&amp;Milestones!$AB$58&amp;" "&amp;IF(AND(Milestones!$AB$58="FT",Milestones!$AA$58=FT_Y5,EDATE($D92,Milestones!$AA$58)&lt;PolicyEff),1,Milestones!$AC$58)&amp;";  ","")&amp;IF(AND(EDATE($D92,Milestones!$AA$59)&lt;=AsOfDate,EDATE($D92,Milestones!$AA$59)&gt;=SchemeStart,IF($X92=0,$AD92,IF(AND($Z92&lt;&gt;"",EDATE($D92,Milestones!$AA$59)&gt;=$Z92),$AC92,IF(AND($Y92&lt;&gt;"",EDATE($D92,Milestones!$AA$59)&gt;=$Y92),$AB92,$AA92)))=Milestones!$AB$59),UPPER(TEXT(EDATE($D92,Milestones!$AA$59),"dd mmm yy"))&amp;" "&amp;Milestones!$AB$59&amp;" "&amp;IF(AND(Milestones!$AB$59="FT",Milestones!$AA$59=FT_Y5,EDATE($D92,Milestones!$AA$59)&lt;PolicyEff),1,Milestones!$AC$59)&amp;";  ","")&amp;IF(AND(EDATE($D92,Milestones!$AA$60)&lt;=AsOfDate,EDATE($D92,Milestones!$AA$60)&gt;=SchemeStart,IF($X92=0,$AD92,IF(AND($Z92&lt;&gt;"",EDATE($D92,Milestones!$AA$60)&gt;=$Z92),$AC92,IF(AND($Y92&lt;&gt;"",EDATE($D92,Milestones!$AA$60)&gt;=$Y92),$AB92,$AA92)))=Milestones!$AB$60),UPPER(TEXT(EDATE($D92,Milestones!$AA$60),"dd mmm yy"))&amp;" "&amp;Milestones!$AB$60&amp;" "&amp;IF(AND(Milestones!$AB$60="FT",Milestones!$AA$60=FT_Y5,EDATE($D92,Milestones!$AA$60)&lt;PolicyEff),1,Milestones!$AC$60)&amp;";  ","")&amp;IF(AND(EDATE($D92,Milestones!$AA$61)&lt;=AsOfDate,EDATE($D92,Milestones!$AA$61)&gt;=SchemeStart,IF($X92=0,$AD92,IF(AND($Z92&lt;&gt;"",EDATE($D92,Milestones!$AA$61)&gt;=$Z92),$AC92,IF(AND($Y92&lt;&gt;"",EDATE($D92,Milestones!$AA$61)&gt;=$Y92),$AB92,$AA92)))=Milestones!$AB$61),UPPER(TEXT(EDATE($D92,Milestones!$AA$61),"dd mmm yy"))&amp;" "&amp;Milestones!$AB$61&amp;" "&amp;IF(AND(Milestones!$AB$61="FT",Milestones!$AA$61=FT_Y5,EDATE($D92,Milestones!$AA$61)&lt;PolicyEff),1,Milestones!$AC$61)&amp;";  ","")&amp;IF(AND(EDATE($D92,Milestones!$AA$62)&lt;=AsOfDate,EDATE($D92,Milestones!$AA$62)&gt;=SchemeStart,IF($X92=0,$AD92,IF(AND($Z92&lt;&gt;"",EDATE($D92,Milestones!$AA$62)&gt;=$Z92),$AC92,IF(AND($Y92&lt;&gt;"",EDATE($D92,Milestones!$AA$62)&gt;=$Y92),$AB92,$AA92)))=Milestones!$AB$62),UPPER(TEXT(EDATE($D92,Milestones!$AA$62),"dd mmm yy"))&amp;" "&amp;Milestones!$AB$62&amp;" "&amp;IF(AND(Milestones!$AB$62="FT",Milestones!$AA$62=FT_Y5,EDATE($D92,Milestones!$AA$62)&lt;PolicyEff),1,Milestones!$AC$62)&amp;";  ","")&amp;IF(AND(EDATE($D92,Milestones!$AA$63)&lt;=AsOfDate,EDATE($D92,Milestones!$AA$63)&gt;=SchemeStart,IF($X92=0,$AD92,IF(AND($Z92&lt;&gt;"",EDATE($D92,Milestones!$AA$63)&gt;=$Z92),$AC92,IF(AND($Y92&lt;&gt;"",EDATE($D92,Milestones!$AA$63)&gt;=$Y92),$AB92,$AA92)))=Milestones!$AB$63),UPPER(TEXT(EDATE($D92,Milestones!$AA$63),"dd mmm yy"))&amp;" "&amp;Milestones!$AB$63&amp;" "&amp;IF(AND(Milestones!$AB$63="FT",Milestones!$AA$63=FT_Y5,EDATE($D92,Milestones!$AA$63)&lt;PolicyEff),1,Milestones!$AC$63)&amp;";  ","")&amp;IF(AND(EDATE($D92,Milestones!$AA$64)&lt;=AsOfDate,EDATE($D92,Milestones!$AA$64)&gt;=SchemeStart,IF($X92=0,$AD92,IF(AND($Z92&lt;&gt;"",EDATE($D92,Milestones!$AA$64)&gt;=$Z92),$AC92,IF(AND($Y92&lt;&gt;"",EDATE($D92,Milestones!$AA$64)&gt;=$Y92),$AB92,$AA92)))=Milestones!$AB$64),UPPER(TEXT(EDATE($D92,Milestones!$AA$64),"dd mmm yy"))&amp;" "&amp;Milestones!$AB$64&amp;" "&amp;IF(AND(Milestones!$AB$64="FT",Milestones!$AA$64=FT_Y5,EDATE($D92,Milestones!$AA$64)&lt;PolicyEff),1,Milestones!$AC$64)&amp;";  ","")&amp;IF(AND(EDATE($D92,Milestones!$AA$65)&lt;=AsOfDate,EDATE($D92,Milestones!$AA$65)&gt;=SchemeStart,IF($X92=0,$AD92,IF(AND($Z92&lt;&gt;"",EDATE($D92,Milestones!$AA$65)&gt;=$Z92),$AC92,IF(AND($Y92&lt;&gt;"",EDATE($D92,Milestones!$AA$65)&gt;=$Y92),$AB92,$AA92)))=Milestones!$AB$65),UPPER(TEXT(EDATE($D92,Milestones!$AA$65),"dd mmm yy"))&amp;" "&amp;Milestones!$AB$65&amp;" "&amp;IF(AND(Milestones!$AB$65="FT",Milestones!$AA$65=FT_Y5,EDATE($D92,Milestones!$AA$65)&lt;PolicyEff),1,Milestones!$AC$65)&amp;";  ","")&amp;IF(AND(EDATE($D92,Milestones!$AA$66)&lt;=AsOfDate,EDATE($D92,Milestones!$AA$66)&gt;=SchemeStart,IF($X92=0,$AD92,IF(AND($Z92&lt;&gt;"",EDATE($D92,Milestones!$AA$66)&gt;=$Z92),$AC92,IF(AND($Y92&lt;&gt;"",EDATE($D92,Milestones!$AA$66)&gt;=$Y92),$AB92,$AA92)))=Milestones!$AB$66),UPPER(TEXT(EDATE($D92,Milestones!$AA$66),"dd mmm yy"))&amp;" "&amp;Milestones!$AB$66&amp;" "&amp;IF(AND(Milestones!$AB$66="FT",Milestones!$AA$66=FT_Y5,EDATE($D92,Milestones!$AA$66)&lt;PolicyEff),1,Milestones!$AC$66)&amp;";  ","")&amp;IF(AND(EDATE($D92,Milestones!$AA$67)&lt;=AsOfDate,EDATE($D92,Milestones!$AA$67)&gt;=SchemeStart,IF($X92=0,$AD92,IF(AND($Z92&lt;&gt;"",EDATE($D92,Milestones!$AA$67)&gt;=$Z92),$AC92,IF(AND($Y92&lt;&gt;"",EDATE($D92,Milestones!$AA$67)&gt;=$Y92),$AB92,$AA92)))=Milestones!$AB$67),UPPER(TEXT(EDATE($D92,Milestones!$AA$67),"dd mmm yy"))&amp;" "&amp;Milestones!$AB$67&amp;" "&amp;IF(AND(Milestones!$AB$67="FT",Milestones!$AA$67=FT_Y5,EDATE($D92,Milestones!$AA$67)&lt;PolicyEff),1,Milestones!$AC$67)&amp;";  ",""))</f>
        <v/>
      </c>
      <c r="M92" s="0" t="str">
        <f aca="false">IF(OR($A92="",$D92=""),"",IF(AND(EDATE($D92,Milestones!$AA$68)&lt;=AsOfDate,EDATE($D92,Milestones!$AA$68)&gt;=SchemeStart,IF($X92=0,$AD92,IF(AND($Z92&lt;&gt;"",EDATE($D92,Milestones!$AA$68)&gt;=$Z92),$AC92,IF(AND($Y92&lt;&gt;"",EDATE($D92,Milestones!$AA$68)&gt;=$Y92),$AB92,$AA92)))=Milestones!$AB$68),UPPER(TEXT(EDATE($D92,Milestones!$AA$68),"dd mmm yy"))&amp;" "&amp;Milestones!$AB$68&amp;" "&amp;IF(AND(Milestones!$AB$68="FT",Milestones!$AA$68=FT_Y5,EDATE($D92,Milestones!$AA$68)&lt;PolicyEff),1,Milestones!$AC$68)&amp;";  ","")&amp;IF(AND(EDATE($D92,Milestones!$AA$69)&lt;=AsOfDate,EDATE($D92,Milestones!$AA$69)&gt;=SchemeStart,IF($X92=0,$AD92,IF(AND($Z92&lt;&gt;"",EDATE($D92,Milestones!$AA$69)&gt;=$Z92),$AC92,IF(AND($Y92&lt;&gt;"",EDATE($D92,Milestones!$AA$69)&gt;=$Y92),$AB92,$AA92)))=Milestones!$AB$69),UPPER(TEXT(EDATE($D92,Milestones!$AA$69),"dd mmm yy"))&amp;" "&amp;Milestones!$AB$69&amp;" "&amp;IF(AND(Milestones!$AB$69="FT",Milestones!$AA$69=FT_Y5,EDATE($D92,Milestones!$AA$69)&lt;PolicyEff),1,Milestones!$AC$69)&amp;";  ","")&amp;IF(AND(EDATE($D92,Milestones!$AA$70)&lt;=AsOfDate,EDATE($D92,Milestones!$AA$70)&gt;=SchemeStart,IF($X92=0,$AD92,IF(AND($Z92&lt;&gt;"",EDATE($D92,Milestones!$AA$70)&gt;=$Z92),$AC92,IF(AND($Y92&lt;&gt;"",EDATE($D92,Milestones!$AA$70)&gt;=$Y92),$AB92,$AA92)))=Milestones!$AB$70),UPPER(TEXT(EDATE($D92,Milestones!$AA$70),"dd mmm yy"))&amp;" "&amp;Milestones!$AB$70&amp;" "&amp;IF(AND(Milestones!$AB$70="FT",Milestones!$AA$70=FT_Y5,EDATE($D92,Milestones!$AA$70)&lt;PolicyEff),1,Milestones!$AC$70)&amp;";  ","")&amp;IF(AND(EDATE($D92,Milestones!$AA$71)&lt;=AsOfDate,EDATE($D92,Milestones!$AA$71)&gt;=SchemeStart,IF($X92=0,$AD92,IF(AND($Z92&lt;&gt;"",EDATE($D92,Milestones!$AA$71)&gt;=$Z92),$AC92,IF(AND($Y92&lt;&gt;"",EDATE($D92,Milestones!$AA$71)&gt;=$Y92),$AB92,$AA92)))=Milestones!$AB$71),UPPER(TEXT(EDATE($D92,Milestones!$AA$71),"dd mmm yy"))&amp;" "&amp;Milestones!$AB$71&amp;" "&amp;IF(AND(Milestones!$AB$71="FT",Milestones!$AA$71=FT_Y5,EDATE($D92,Milestones!$AA$71)&lt;PolicyEff),1,Milestones!$AC$71)&amp;";  ","")&amp;IF(AND(EDATE($D92,Milestones!$AA$72)&lt;=AsOfDate,EDATE($D92,Milestones!$AA$72)&gt;=SchemeStart,IF($X92=0,$AD92,IF(AND($Z92&lt;&gt;"",EDATE($D92,Milestones!$AA$72)&gt;=$Z92),$AC92,IF(AND($Y92&lt;&gt;"",EDATE($D92,Milestones!$AA$72)&gt;=$Y92),$AB92,$AA92)))=Milestones!$AB$72),UPPER(TEXT(EDATE($D92,Milestones!$AA$72),"dd mmm yy"))&amp;" "&amp;Milestones!$AB$72&amp;" "&amp;IF(AND(Milestones!$AB$72="FT",Milestones!$AA$72=FT_Y5,EDATE($D92,Milestones!$AA$72)&lt;PolicyEff),1,Milestones!$AC$72)&amp;";  ","")&amp;IF(AND(EDATE($D92,Milestones!$AA$73)&lt;=AsOfDate,EDATE($D92,Milestones!$AA$73)&gt;=SchemeStart,IF($X92=0,$AD92,IF(AND($Z92&lt;&gt;"",EDATE($D92,Milestones!$AA$73)&gt;=$Z92),$AC92,IF(AND($Y92&lt;&gt;"",EDATE($D92,Milestones!$AA$73)&gt;=$Y92),$AB92,$AA92)))=Milestones!$AB$73),UPPER(TEXT(EDATE($D92,Milestones!$AA$73),"dd mmm yy"))&amp;" "&amp;Milestones!$AB$73&amp;" "&amp;IF(AND(Milestones!$AB$73="FT",Milestones!$AA$73=FT_Y5,EDATE($D92,Milestones!$AA$73)&lt;PolicyEff),1,Milestones!$AC$73)&amp;";  ","")&amp;IF(AND(EDATE($D92,Milestones!$AA$74)&lt;=AsOfDate,EDATE($D92,Milestones!$AA$74)&gt;=SchemeStart,IF($X92=0,$AD92,IF(AND($Z92&lt;&gt;"",EDATE($D92,Milestones!$AA$74)&gt;=$Z92),$AC92,IF(AND($Y92&lt;&gt;"",EDATE($D92,Milestones!$AA$74)&gt;=$Y92),$AB92,$AA92)))=Milestones!$AB$74),UPPER(TEXT(EDATE($D92,Milestones!$AA$74),"dd mmm yy"))&amp;" "&amp;Milestones!$AB$74&amp;" "&amp;IF(AND(Milestones!$AB$74="FT",Milestones!$AA$74=FT_Y5,EDATE($D92,Milestones!$AA$74)&lt;PolicyEff),1,Milestones!$AC$74)&amp;";  ","")&amp;IF(AND(EDATE($D92,Milestones!$AA$75)&lt;=AsOfDate,EDATE($D92,Milestones!$AA$75)&gt;=SchemeStart,IF($X92=0,$AD92,IF(AND($Z92&lt;&gt;"",EDATE($D92,Milestones!$AA$75)&gt;=$Z92),$AC92,IF(AND($Y92&lt;&gt;"",EDATE($D92,Milestones!$AA$75)&gt;=$Y92),$AB92,$AA92)))=Milestones!$AB$75),UPPER(TEXT(EDATE($D92,Milestones!$AA$75),"dd mmm yy"))&amp;" "&amp;Milestones!$AB$75&amp;" "&amp;IF(AND(Milestones!$AB$75="FT",Milestones!$AA$75=FT_Y5,EDATE($D92,Milestones!$AA$75)&lt;PolicyEff),1,Milestones!$AC$75)&amp;";  ","")&amp;IF(AND(EDATE($D92,Milestones!$AA$76)&lt;=AsOfDate,EDATE($D92,Milestones!$AA$76)&gt;=SchemeStart,IF($X92=0,$AD92,IF(AND($Z92&lt;&gt;"",EDATE($D92,Milestones!$AA$76)&gt;=$Z92),$AC92,IF(AND($Y92&lt;&gt;"",EDATE($D92,Milestones!$AA$76)&gt;=$Y92),$AB92,$AA92)))=Milestones!$AB$76),UPPER(TEXT(EDATE($D92,Milestones!$AA$76),"dd mmm yy"))&amp;" "&amp;Milestones!$AB$76&amp;" "&amp;IF(AND(Milestones!$AB$76="FT",Milestones!$AA$76=FT_Y5,EDATE($D92,Milestones!$AA$76)&lt;PolicyEff),1,Milestones!$AC$76)&amp;";  ","")&amp;IF(AND(EDATE($D92,Milestones!$AA$77)&lt;=AsOfDate,EDATE($D92,Milestones!$AA$77)&gt;=SchemeStart,IF($X92=0,$AD92,IF(AND($Z92&lt;&gt;"",EDATE($D92,Milestones!$AA$77)&gt;=$Z92),$AC92,IF(AND($Y92&lt;&gt;"",EDATE($D92,Milestones!$AA$77)&gt;=$Y92),$AB92,$AA92)))=Milestones!$AB$77),UPPER(TEXT(EDATE($D92,Milestones!$AA$77),"dd mmm yy"))&amp;" "&amp;Milestones!$AB$77&amp;" "&amp;IF(AND(Milestones!$AB$77="FT",Milestones!$AA$77=FT_Y5,EDATE($D92,Milestones!$AA$77)&lt;PolicyEff),1,Milestones!$AC$77)&amp;";  ","")&amp;IF(AND(EDATE($D92,Milestones!$AA$78)&lt;=AsOfDate,EDATE($D92,Milestones!$AA$78)&gt;=SchemeStart,IF($X92=0,$AD92,IF(AND($Z92&lt;&gt;"",EDATE($D92,Milestones!$AA$78)&gt;=$Z92),$AC92,IF(AND($Y92&lt;&gt;"",EDATE($D92,Milestones!$AA$78)&gt;=$Y92),$AB92,$AA92)))=Milestones!$AB$78),UPPER(TEXT(EDATE($D92,Milestones!$AA$78),"dd mmm yy"))&amp;" "&amp;Milestones!$AB$78&amp;" "&amp;IF(AND(Milestones!$AB$78="FT",Milestones!$AA$78=FT_Y5,EDATE($D92,Milestones!$AA$78)&lt;PolicyEff),1,Milestones!$AC$78)&amp;";  ","")&amp;IF(AND(EDATE($D92,Milestones!$AA$79)&lt;=AsOfDate,EDATE($D92,Milestones!$AA$79)&gt;=SchemeStart,IF($X92=0,$AD92,IF(AND($Z92&lt;&gt;"",EDATE($D92,Milestones!$AA$79)&gt;=$Z92),$AC92,IF(AND($Y92&lt;&gt;"",EDATE($D92,Milestones!$AA$79)&gt;=$Y92),$AB92,$AA92)))=Milestones!$AB$79),UPPER(TEXT(EDATE($D92,Milestones!$AA$79),"dd mmm yy"))&amp;" "&amp;Milestones!$AB$79&amp;" "&amp;IF(AND(Milestones!$AB$79="FT",Milestones!$AA$79=FT_Y5,EDATE($D92,Milestones!$AA$79)&lt;PolicyEff),1,Milestones!$AC$79)&amp;";  ",""))</f>
        <v/>
      </c>
      <c r="N92" s="0" t="str">
        <f aca="false">IF(OR($A92="",$D92=""),"",IF(AND(EDATE($D92,Milestones!$AA$80)&lt;=AsOfDate,EDATE($D92,Milestones!$AA$80)&gt;=SchemeStart,IF($X92=0,$AD92,IF(AND($Z92&lt;&gt;"",EDATE($D92,Milestones!$AA$80)&gt;=$Z92),$AC92,IF(AND($Y92&lt;&gt;"",EDATE($D92,Milestones!$AA$80)&gt;=$Y92),$AB92,$AA92)))=Milestones!$AB$80),UPPER(TEXT(EDATE($D92,Milestones!$AA$80),"dd mmm yy"))&amp;" "&amp;Milestones!$AB$80&amp;" "&amp;IF(AND(Milestones!$AB$80="FT",Milestones!$AA$80=FT_Y5,EDATE($D92,Milestones!$AA$80)&lt;PolicyEff),1,Milestones!$AC$80)&amp;";  ","")&amp;IF(AND(EDATE($D92,Milestones!$AA$81)&lt;=AsOfDate,EDATE($D92,Milestones!$AA$81)&gt;=SchemeStart,IF($X92=0,$AD92,IF(AND($Z92&lt;&gt;"",EDATE($D92,Milestones!$AA$81)&gt;=$Z92),$AC92,IF(AND($Y92&lt;&gt;"",EDATE($D92,Milestones!$AA$81)&gt;=$Y92),$AB92,$AA92)))=Milestones!$AB$81),UPPER(TEXT(EDATE($D92,Milestones!$AA$81),"dd mmm yy"))&amp;" "&amp;Milestones!$AB$81&amp;" "&amp;IF(AND(Milestones!$AB$81="FT",Milestones!$AA$81=FT_Y5,EDATE($D92,Milestones!$AA$81)&lt;PolicyEff),1,Milestones!$AC$81)&amp;";  ","")&amp;IF(AND(EDATE($D92,Milestones!$AA$82)&lt;=AsOfDate,EDATE($D92,Milestones!$AA$82)&gt;=SchemeStart,IF($X92=0,$AD92,IF(AND($Z92&lt;&gt;"",EDATE($D92,Milestones!$AA$82)&gt;=$Z92),$AC92,IF(AND($Y92&lt;&gt;"",EDATE($D92,Milestones!$AA$82)&gt;=$Y92),$AB92,$AA92)))=Milestones!$AB$82),UPPER(TEXT(EDATE($D92,Milestones!$AA$82),"dd mmm yy"))&amp;" "&amp;Milestones!$AB$82&amp;" "&amp;IF(AND(Milestones!$AB$82="FT",Milestones!$AA$82=FT_Y5,EDATE($D92,Milestones!$AA$82)&lt;PolicyEff),1,Milestones!$AC$82)&amp;";  ","")&amp;IF(AND(EDATE($D92,Milestones!$AA$83)&lt;=AsOfDate,EDATE($D92,Milestones!$AA$83)&gt;=SchemeStart,IF($X92=0,$AD92,IF(AND($Z92&lt;&gt;"",EDATE($D92,Milestones!$AA$83)&gt;=$Z92),$AC92,IF(AND($Y92&lt;&gt;"",EDATE($D92,Milestones!$AA$83)&gt;=$Y92),$AB92,$AA92)))=Milestones!$AB$83),UPPER(TEXT(EDATE($D92,Milestones!$AA$83),"dd mmm yy"))&amp;" "&amp;Milestones!$AB$83&amp;" "&amp;IF(AND(Milestones!$AB$83="FT",Milestones!$AA$83=FT_Y5,EDATE($D92,Milestones!$AA$83)&lt;PolicyEff),1,Milestones!$AC$83)&amp;";  ","")&amp;IF(AND(EDATE($D92,Milestones!$AA$84)&lt;=AsOfDate,EDATE($D92,Milestones!$AA$84)&gt;=SchemeStart,IF($X92=0,$AD92,IF(AND($Z92&lt;&gt;"",EDATE($D92,Milestones!$AA$84)&gt;=$Z92),$AC92,IF(AND($Y92&lt;&gt;"",EDATE($D92,Milestones!$AA$84)&gt;=$Y92),$AB92,$AA92)))=Milestones!$AB$84),UPPER(TEXT(EDATE($D92,Milestones!$AA$84),"dd mmm yy"))&amp;" "&amp;Milestones!$AB$84&amp;" "&amp;IF(AND(Milestones!$AB$84="FT",Milestones!$AA$84=FT_Y5,EDATE($D92,Milestones!$AA$84)&lt;PolicyEff),1,Milestones!$AC$84)&amp;";  ","")&amp;IF(AND(EDATE($D92,Milestones!$AA$85)&lt;=AsOfDate,EDATE($D92,Milestones!$AA$85)&gt;=SchemeStart,IF($X92=0,$AD92,IF(AND($Z92&lt;&gt;"",EDATE($D92,Milestones!$AA$85)&gt;=$Z92),$AC92,IF(AND($Y92&lt;&gt;"",EDATE($D92,Milestones!$AA$85)&gt;=$Y92),$AB92,$AA92)))=Milestones!$AB$85),UPPER(TEXT(EDATE($D92,Milestones!$AA$85),"dd mmm yy"))&amp;" "&amp;Milestones!$AB$85&amp;" "&amp;IF(AND(Milestones!$AB$85="FT",Milestones!$AA$85=FT_Y5,EDATE($D92,Milestones!$AA$85)&lt;PolicyEff),1,Milestones!$AC$85)&amp;";  ","")&amp;IF(AND(EDATE($D92,Milestones!$AA$86)&lt;=AsOfDate,EDATE($D92,Milestones!$AA$86)&gt;=SchemeStart,IF($X92=0,$AD92,IF(AND($Z92&lt;&gt;"",EDATE($D92,Milestones!$AA$86)&gt;=$Z92),$AC92,IF(AND($Y92&lt;&gt;"",EDATE($D92,Milestones!$AA$86)&gt;=$Y92),$AB92,$AA92)))=Milestones!$AB$86),UPPER(TEXT(EDATE($D92,Milestones!$AA$86),"dd mmm yy"))&amp;" "&amp;Milestones!$AB$86&amp;" "&amp;IF(AND(Milestones!$AB$86="FT",Milestones!$AA$86=FT_Y5,EDATE($D92,Milestones!$AA$86)&lt;PolicyEff),1,Milestones!$AC$86)&amp;";  ","")&amp;IF(AND(EDATE($D92,Milestones!$AA$87)&lt;=AsOfDate,EDATE($D92,Milestones!$AA$87)&gt;=SchemeStart,IF($X92=0,$AD92,IF(AND($Z92&lt;&gt;"",EDATE($D92,Milestones!$AA$87)&gt;=$Z92),$AC92,IF(AND($Y92&lt;&gt;"",EDATE($D92,Milestones!$AA$87)&gt;=$Y92),$AB92,$AA92)))=Milestones!$AB$87),UPPER(TEXT(EDATE($D92,Milestones!$AA$87),"dd mmm yy"))&amp;" "&amp;Milestones!$AB$87&amp;" "&amp;IF(AND(Milestones!$AB$87="FT",Milestones!$AA$87=FT_Y5,EDATE($D92,Milestones!$AA$87)&lt;PolicyEff),1,Milestones!$AC$87)&amp;";  ","")&amp;IF(AND(EDATE($D92,Milestones!$AA$88)&lt;=AsOfDate,EDATE($D92,Milestones!$AA$88)&gt;=SchemeStart,IF($X92=0,$AD92,IF(AND($Z92&lt;&gt;"",EDATE($D92,Milestones!$AA$88)&gt;=$Z92),$AC92,IF(AND($Y92&lt;&gt;"",EDATE($D92,Milestones!$AA$88)&gt;=$Y92),$AB92,$AA92)))=Milestones!$AB$88),UPPER(TEXT(EDATE($D92,Milestones!$AA$88),"dd mmm yy"))&amp;" "&amp;Milestones!$AB$88&amp;" "&amp;IF(AND(Milestones!$AB$88="FT",Milestones!$AA$88=FT_Y5,EDATE($D92,Milestones!$AA$88)&lt;PolicyEff),1,Milestones!$AC$88)&amp;";  ","")&amp;IF(AND(EDATE($D92,Milestones!$AA$89)&lt;=AsOfDate,EDATE($D92,Milestones!$AA$89)&gt;=SchemeStart,IF($X92=0,$AD92,IF(AND($Z92&lt;&gt;"",EDATE($D92,Milestones!$AA$89)&gt;=$Z92),$AC92,IF(AND($Y92&lt;&gt;"",EDATE($D92,Milestones!$AA$89)&gt;=$Y92),$AB92,$AA92)))=Milestones!$AB$89),UPPER(TEXT(EDATE($D92,Milestones!$AA$89),"dd mmm yy"))&amp;" "&amp;Milestones!$AB$89&amp;" "&amp;IF(AND(Milestones!$AB$89="FT",Milestones!$AA$89=FT_Y5,EDATE($D92,Milestones!$AA$89)&lt;PolicyEff),1,Milestones!$AC$89)&amp;";  ","")&amp;IF(AND(EDATE($D92,Milestones!$AA$90)&lt;=AsOfDate,EDATE($D92,Milestones!$AA$90)&gt;=SchemeStart,IF($X92=0,$AD92,IF(AND($Z92&lt;&gt;"",EDATE($D92,Milestones!$AA$90)&gt;=$Z92),$AC92,IF(AND($Y92&lt;&gt;"",EDATE($D92,Milestones!$AA$90)&gt;=$Y92),$AB92,$AA92)))=Milestones!$AB$90),UPPER(TEXT(EDATE($D92,Milestones!$AA$90),"dd mmm yy"))&amp;" "&amp;Milestones!$AB$90&amp;" "&amp;IF(AND(Milestones!$AB$90="FT",Milestones!$AA$90=FT_Y5,EDATE($D92,Milestones!$AA$90)&lt;PolicyEff),1,Milestones!$AC$90)&amp;";  ","")&amp;IF(AND(EDATE($D92,Milestones!$AA$91)&lt;=AsOfDate,EDATE($D92,Milestones!$AA$91)&gt;=SchemeStart,IF($X92=0,$AD92,IF(AND($Z92&lt;&gt;"",EDATE($D92,Milestones!$AA$91)&gt;=$Z92),$AC92,IF(AND($Y92&lt;&gt;"",EDATE($D92,Milestones!$AA$91)&gt;=$Y92),$AB92,$AA92)))=Milestones!$AB$91),UPPER(TEXT(EDATE($D92,Milestones!$AA$91),"dd mmm yy"))&amp;" "&amp;Milestones!$AB$91&amp;" "&amp;IF(AND(Milestones!$AB$91="FT",Milestones!$AA$91=FT_Y5,EDATE($D92,Milestones!$AA$91)&lt;PolicyEff),1,Milestones!$AC$91)&amp;";  ",""))</f>
        <v/>
      </c>
      <c r="O92" s="0" t="str">
        <f aca="false">IF(OR($A92="",$D92=""),"",IF(AND(EDATE($D92,Milestones!$AA$92)&lt;=AsOfDate,EDATE($D92,Milestones!$AA$92)&gt;=SchemeStart,IF($X92=0,$AD92,IF(AND($Z92&lt;&gt;"",EDATE($D92,Milestones!$AA$92)&gt;=$Z92),$AC92,IF(AND($Y92&lt;&gt;"",EDATE($D92,Milestones!$AA$92)&gt;=$Y92),$AB92,$AA92)))=Milestones!$AB$92),UPPER(TEXT(EDATE($D92,Milestones!$AA$92),"dd mmm yy"))&amp;" "&amp;Milestones!$AB$92&amp;" "&amp;IF(AND(Milestones!$AB$92="FT",Milestones!$AA$92=FT_Y5,EDATE($D92,Milestones!$AA$92)&lt;PolicyEff),1,Milestones!$AC$92)&amp;";  ","")&amp;IF(AND(EDATE($D92,Milestones!$AA$93)&lt;=AsOfDate,EDATE($D92,Milestones!$AA$93)&gt;=SchemeStart,IF($X92=0,$AD92,IF(AND($Z92&lt;&gt;"",EDATE($D92,Milestones!$AA$93)&gt;=$Z92),$AC92,IF(AND($Y92&lt;&gt;"",EDATE($D92,Milestones!$AA$93)&gt;=$Y92),$AB92,$AA92)))=Milestones!$AB$93),UPPER(TEXT(EDATE($D92,Milestones!$AA$93),"dd mmm yy"))&amp;" "&amp;Milestones!$AB$93&amp;" "&amp;IF(AND(Milestones!$AB$93="FT",Milestones!$AA$93=FT_Y5,EDATE($D92,Milestones!$AA$93)&lt;PolicyEff),1,Milestones!$AC$93)&amp;";  ","")&amp;IF(AND(EDATE($D92,Milestones!$AA$94)&lt;=AsOfDate,EDATE($D92,Milestones!$AA$94)&gt;=SchemeStart,IF($X92=0,$AD92,IF(AND($Z92&lt;&gt;"",EDATE($D92,Milestones!$AA$94)&gt;=$Z92),$AC92,IF(AND($Y92&lt;&gt;"",EDATE($D92,Milestones!$AA$94)&gt;=$Y92),$AB92,$AA92)))=Milestones!$AB$94),UPPER(TEXT(EDATE($D92,Milestones!$AA$94),"dd mmm yy"))&amp;" "&amp;Milestones!$AB$94&amp;" "&amp;IF(AND(Milestones!$AB$94="FT",Milestones!$AA$94=FT_Y5,EDATE($D92,Milestones!$AA$94)&lt;PolicyEff),1,Milestones!$AC$94)&amp;";  ","")&amp;IF(AND(EDATE($D92,Milestones!$AA$95)&lt;=AsOfDate,EDATE($D92,Milestones!$AA$95)&gt;=SchemeStart,IF($X92=0,$AD92,IF(AND($Z92&lt;&gt;"",EDATE($D92,Milestones!$AA$95)&gt;=$Z92),$AC92,IF(AND($Y92&lt;&gt;"",EDATE($D92,Milestones!$AA$95)&gt;=$Y92),$AB92,$AA92)))=Milestones!$AB$95),UPPER(TEXT(EDATE($D92,Milestones!$AA$95),"dd mmm yy"))&amp;" "&amp;Milestones!$AB$95&amp;" "&amp;IF(AND(Milestones!$AB$95="FT",Milestones!$AA$95=FT_Y5,EDATE($D92,Milestones!$AA$95)&lt;PolicyEff),1,Milestones!$AC$95)&amp;";  ","")&amp;IF(AND(EDATE($D92,Milestones!$AA$96)&lt;=AsOfDate,EDATE($D92,Milestones!$AA$96)&gt;=SchemeStart,IF($X92=0,$AD92,IF(AND($Z92&lt;&gt;"",EDATE($D92,Milestones!$AA$96)&gt;=$Z92),$AC92,IF(AND($Y92&lt;&gt;"",EDATE($D92,Milestones!$AA$96)&gt;=$Y92),$AB92,$AA92)))=Milestones!$AB$96),UPPER(TEXT(EDATE($D92,Milestones!$AA$96),"dd mmm yy"))&amp;" "&amp;Milestones!$AB$96&amp;" "&amp;IF(AND(Milestones!$AB$96="FT",Milestones!$AA$96=FT_Y5,EDATE($D92,Milestones!$AA$96)&lt;PolicyEff),1,Milestones!$AC$96)&amp;";  ","")&amp;IF(AND(EDATE($D92,Milestones!$AA$97)&lt;=AsOfDate,EDATE($D92,Milestones!$AA$97)&gt;=SchemeStart,IF($X92=0,$AD92,IF(AND($Z92&lt;&gt;"",EDATE($D92,Milestones!$AA$97)&gt;=$Z92),$AC92,IF(AND($Y92&lt;&gt;"",EDATE($D92,Milestones!$AA$97)&gt;=$Y92),$AB92,$AA92)))=Milestones!$AB$97),UPPER(TEXT(EDATE($D92,Milestones!$AA$97),"dd mmm yy"))&amp;" "&amp;Milestones!$AB$97&amp;" "&amp;IF(AND(Milestones!$AB$97="FT",Milestones!$AA$97=FT_Y5,EDATE($D92,Milestones!$AA$97)&lt;PolicyEff),1,Milestones!$AC$97)&amp;";  ","")&amp;IF(AND(EDATE($D92,Milestones!$AA$98)&lt;=AsOfDate,EDATE($D92,Milestones!$AA$98)&gt;=SchemeStart,IF($X92=0,$AD92,IF(AND($Z92&lt;&gt;"",EDATE($D92,Milestones!$AA$98)&gt;=$Z92),$AC92,IF(AND($Y92&lt;&gt;"",EDATE($D92,Milestones!$AA$98)&gt;=$Y92),$AB92,$AA92)))=Milestones!$AB$98),UPPER(TEXT(EDATE($D92,Milestones!$AA$98),"dd mmm yy"))&amp;" "&amp;Milestones!$AB$98&amp;" "&amp;IF(AND(Milestones!$AB$98="FT",Milestones!$AA$98=FT_Y5,EDATE($D92,Milestones!$AA$98)&lt;PolicyEff),1,Milestones!$AC$98)&amp;";  ","")&amp;IF(AND(EDATE($D92,Milestones!$AA$99)&lt;=AsOfDate,EDATE($D92,Milestones!$AA$99)&gt;=SchemeStart,IF($X92=0,$AD92,IF(AND($Z92&lt;&gt;"",EDATE($D92,Milestones!$AA$99)&gt;=$Z92),$AC92,IF(AND($Y92&lt;&gt;"",EDATE($D92,Milestones!$AA$99)&gt;=$Y92),$AB92,$AA92)))=Milestones!$AB$99),UPPER(TEXT(EDATE($D92,Milestones!$AA$99),"dd mmm yy"))&amp;" "&amp;Milestones!$AB$99&amp;" "&amp;IF(AND(Milestones!$AB$99="FT",Milestones!$AA$99=FT_Y5,EDATE($D92,Milestones!$AA$99)&lt;PolicyEff),1,Milestones!$AC$99)&amp;";  ","")&amp;IF(AND(EDATE($D92,Milestones!$AA$100)&lt;=AsOfDate,EDATE($D92,Milestones!$AA$100)&gt;=SchemeStart,IF($X92=0,$AD92,IF(AND($Z92&lt;&gt;"",EDATE($D92,Milestones!$AA$100)&gt;=$Z92),$AC92,IF(AND($Y92&lt;&gt;"",EDATE($D92,Milestones!$AA$100)&gt;=$Y92),$AB92,$AA92)))=Milestones!$AB$100),UPPER(TEXT(EDATE($D92,Milestones!$AA$100),"dd mmm yy"))&amp;" "&amp;Milestones!$AB$100&amp;" "&amp;IF(AND(Milestones!$AB$100="FT",Milestones!$AA$100=FT_Y5,EDATE($D92,Milestones!$AA$100)&lt;PolicyEff),1,Milestones!$AC$100)&amp;";  ","")&amp;IF(AND(EDATE($D92,Milestones!$AA$101)&lt;=AsOfDate,EDATE($D92,Milestones!$AA$101)&gt;=SchemeStart,IF($X92=0,$AD92,IF(AND($Z92&lt;&gt;"",EDATE($D92,Milestones!$AA$101)&gt;=$Z92),$AC92,IF(AND($Y92&lt;&gt;"",EDATE($D92,Milestones!$AA$101)&gt;=$Y92),$AB92,$AA92)))=Milestones!$AB$101),UPPER(TEXT(EDATE($D92,Milestones!$AA$101),"dd mmm yy"))&amp;" "&amp;Milestones!$AB$101&amp;" "&amp;IF(AND(Milestones!$AB$101="FT",Milestones!$AA$101=FT_Y5,EDATE($D92,Milestones!$AA$101)&lt;PolicyEff),1,Milestones!$AC$101)&amp;";  ","")&amp;IF(AND(EDATE($D92,Milestones!$AA$102)&lt;=AsOfDate,EDATE($D92,Milestones!$AA$102)&gt;=SchemeStart,IF($X92=0,$AD92,IF(AND($Z92&lt;&gt;"",EDATE($D92,Milestones!$AA$102)&gt;=$Z92),$AC92,IF(AND($Y92&lt;&gt;"",EDATE($D92,Milestones!$AA$102)&gt;=$Y92),$AB92,$AA92)))=Milestones!$AB$102),UPPER(TEXT(EDATE($D92,Milestones!$AA$102),"dd mmm yy"))&amp;" "&amp;Milestones!$AB$102&amp;" "&amp;IF(AND(Milestones!$AB$102="FT",Milestones!$AA$102=FT_Y5,EDATE($D92,Milestones!$AA$102)&lt;PolicyEff),1,Milestones!$AC$102)&amp;";  ","")&amp;IF(AND(EDATE($D92,Milestones!$AA$103)&lt;=AsOfDate,EDATE($D92,Milestones!$AA$103)&gt;=SchemeStart,IF($X92=0,$AD92,IF(AND($Z92&lt;&gt;"",EDATE($D92,Milestones!$AA$103)&gt;=$Z92),$AC92,IF(AND($Y92&lt;&gt;"",EDATE($D92,Milestones!$AA$103)&gt;=$Y92),$AB92,$AA92)))=Milestones!$AB$103),UPPER(TEXT(EDATE($D92,Milestones!$AA$103),"dd mmm yy"))&amp;" "&amp;Milestones!$AB$103&amp;" "&amp;IF(AND(Milestones!$AB$103="FT",Milestones!$AA$103=FT_Y5,EDATE($D92,Milestones!$AA$103)&lt;PolicyEff),1,Milestones!$AC$103)&amp;";  ",""))</f>
        <v/>
      </c>
      <c r="P92" s="0" t="str">
        <f aca="false">IF(OR($A92="",$D92=""),"",IF(AND(EDATE($D92,Milestones!$AA$104)&lt;=AsOfDate,EDATE($D92,Milestones!$AA$104)&gt;=SchemeStart,IF($X92=0,$AD92,IF(AND($Z92&lt;&gt;"",EDATE($D92,Milestones!$AA$104)&gt;=$Z92),$AC92,IF(AND($Y92&lt;&gt;"",EDATE($D92,Milestones!$AA$104)&gt;=$Y92),$AB92,$AA92)))=Milestones!$AB$104),UPPER(TEXT(EDATE($D92,Milestones!$AA$104),"dd mmm yy"))&amp;" "&amp;Milestones!$AB$104&amp;" "&amp;IF(AND(Milestones!$AB$104="FT",Milestones!$AA$104=FT_Y5,EDATE($D92,Milestones!$AA$104)&lt;PolicyEff),1,Milestones!$AC$104)&amp;";  ","")&amp;IF(AND(EDATE($D92,Milestones!$AA$105)&lt;=AsOfDate,EDATE($D92,Milestones!$AA$105)&gt;=SchemeStart,IF($X92=0,$AD92,IF(AND($Z92&lt;&gt;"",EDATE($D92,Milestones!$AA$105)&gt;=$Z92),$AC92,IF(AND($Y92&lt;&gt;"",EDATE($D92,Milestones!$AA$105)&gt;=$Y92),$AB92,$AA92)))=Milestones!$AB$105),UPPER(TEXT(EDATE($D92,Milestones!$AA$105),"dd mmm yy"))&amp;" "&amp;Milestones!$AB$105&amp;" "&amp;IF(AND(Milestones!$AB$105="FT",Milestones!$AA$105=FT_Y5,EDATE($D92,Milestones!$AA$105)&lt;PolicyEff),1,Milestones!$AC$105)&amp;";  ","")&amp;IF(AND(EDATE($D92,Milestones!$AA$106)&lt;=AsOfDate,EDATE($D92,Milestones!$AA$106)&gt;=SchemeStart,IF($X92=0,$AD92,IF(AND($Z92&lt;&gt;"",EDATE($D92,Milestones!$AA$106)&gt;=$Z92),$AC92,IF(AND($Y92&lt;&gt;"",EDATE($D92,Milestones!$AA$106)&gt;=$Y92),$AB92,$AA92)))=Milestones!$AB$106),UPPER(TEXT(EDATE($D92,Milestones!$AA$106),"dd mmm yy"))&amp;" "&amp;Milestones!$AB$106&amp;" "&amp;IF(AND(Milestones!$AB$106="FT",Milestones!$AA$106=FT_Y5,EDATE($D92,Milestones!$AA$106)&lt;PolicyEff),1,Milestones!$AC$106)&amp;";  ","")&amp;IF(AND(EDATE($D92,Milestones!$AA$107)&lt;=AsOfDate,EDATE($D92,Milestones!$AA$107)&gt;=SchemeStart,IF($X92=0,$AD92,IF(AND($Z92&lt;&gt;"",EDATE($D92,Milestones!$AA$107)&gt;=$Z92),$AC92,IF(AND($Y92&lt;&gt;"",EDATE($D92,Milestones!$AA$107)&gt;=$Y92),$AB92,$AA92)))=Milestones!$AB$107),UPPER(TEXT(EDATE($D92,Milestones!$AA$107),"dd mmm yy"))&amp;" "&amp;Milestones!$AB$107&amp;" "&amp;IF(AND(Milestones!$AB$107="FT",Milestones!$AA$107=FT_Y5,EDATE($D92,Milestones!$AA$107)&lt;PolicyEff),1,Milestones!$AC$107)&amp;";  ","")&amp;IF(AND(EDATE($D92,Milestones!$AA$108)&lt;=AsOfDate,EDATE($D92,Milestones!$AA$108)&gt;=SchemeStart,IF($X92=0,$AD92,IF(AND($Z92&lt;&gt;"",EDATE($D92,Milestones!$AA$108)&gt;=$Z92),$AC92,IF(AND($Y92&lt;&gt;"",EDATE($D92,Milestones!$AA$108)&gt;=$Y92),$AB92,$AA92)))=Milestones!$AB$108),UPPER(TEXT(EDATE($D92,Milestones!$AA$108),"dd mmm yy"))&amp;" "&amp;Milestones!$AB$108&amp;" "&amp;IF(AND(Milestones!$AB$108="FT",Milestones!$AA$108=FT_Y5,EDATE($D92,Milestones!$AA$108)&lt;PolicyEff),1,Milestones!$AC$108)&amp;";  ","")&amp;IF(AND(EDATE($D92,Milestones!$AA$109)&lt;=AsOfDate,EDATE($D92,Milestones!$AA$109)&gt;=SchemeStart,IF($X92=0,$AD92,IF(AND($Z92&lt;&gt;"",EDATE($D92,Milestones!$AA$109)&gt;=$Z92),$AC92,IF(AND($Y92&lt;&gt;"",EDATE($D92,Milestones!$AA$109)&gt;=$Y92),$AB92,$AA92)))=Milestones!$AB$109),UPPER(TEXT(EDATE($D92,Milestones!$AA$109),"dd mmm yy"))&amp;" "&amp;Milestones!$AB$109&amp;" "&amp;IF(AND(Milestones!$AB$109="FT",Milestones!$AA$109=FT_Y5,EDATE($D92,Milestones!$AA$109)&lt;PolicyEff),1,Milestones!$AC$109)&amp;";  ","")&amp;IF(AND(EDATE($D92,Milestones!$AA$110)&lt;=AsOfDate,EDATE($D92,Milestones!$AA$110)&gt;=SchemeStart,IF($X92=0,$AD92,IF(AND($Z92&lt;&gt;"",EDATE($D92,Milestones!$AA$110)&gt;=$Z92),$AC92,IF(AND($Y92&lt;&gt;"",EDATE($D92,Milestones!$AA$110)&gt;=$Y92),$AB92,$AA92)))=Milestones!$AB$110),UPPER(TEXT(EDATE($D92,Milestones!$AA$110),"dd mmm yy"))&amp;" "&amp;Milestones!$AB$110&amp;" "&amp;IF(AND(Milestones!$AB$110="FT",Milestones!$AA$110=FT_Y5,EDATE($D92,Milestones!$AA$110)&lt;PolicyEff),1,Milestones!$AC$110)&amp;";  ","")&amp;IF(AND(EDATE($D92,Milestones!$AA$111)&lt;=AsOfDate,EDATE($D92,Milestones!$AA$111)&gt;=SchemeStart,IF($X92=0,$AD92,IF(AND($Z92&lt;&gt;"",EDATE($D92,Milestones!$AA$111)&gt;=$Z92),$AC92,IF(AND($Y92&lt;&gt;"",EDATE($D92,Milestones!$AA$111)&gt;=$Y92),$AB92,$AA92)))=Milestones!$AB$111),UPPER(TEXT(EDATE($D92,Milestones!$AA$111),"dd mmm yy"))&amp;" "&amp;Milestones!$AB$111&amp;" "&amp;IF(AND(Milestones!$AB$111="FT",Milestones!$AA$111=FT_Y5,EDATE($D92,Milestones!$AA$111)&lt;PolicyEff),1,Milestones!$AC$111)&amp;";  ","")&amp;IF(AND(EDATE($D92,Milestones!$AA$112)&lt;=AsOfDate,EDATE($D92,Milestones!$AA$112)&gt;=SchemeStart,IF($X92=0,$AD92,IF(AND($Z92&lt;&gt;"",EDATE($D92,Milestones!$AA$112)&gt;=$Z92),$AC92,IF(AND($Y92&lt;&gt;"",EDATE($D92,Milestones!$AA$112)&gt;=$Y92),$AB92,$AA92)))=Milestones!$AB$112),UPPER(TEXT(EDATE($D92,Milestones!$AA$112),"dd mmm yy"))&amp;" "&amp;Milestones!$AB$112&amp;" "&amp;IF(AND(Milestones!$AB$112="FT",Milestones!$AA$112=FT_Y5,EDATE($D92,Milestones!$AA$112)&lt;PolicyEff),1,Milestones!$AC$112)&amp;";  ","")&amp;IF(AND(EDATE($D92,Milestones!$AA$113)&lt;=AsOfDate,EDATE($D92,Milestones!$AA$113)&gt;=SchemeStart,IF($X92=0,$AD92,IF(AND($Z92&lt;&gt;"",EDATE($D92,Milestones!$AA$113)&gt;=$Z92),$AC92,IF(AND($Y92&lt;&gt;"",EDATE($D92,Milestones!$AA$113)&gt;=$Y92),$AB92,$AA92)))=Milestones!$AB$113),UPPER(TEXT(EDATE($D92,Milestones!$AA$113),"dd mmm yy"))&amp;" "&amp;Milestones!$AB$113&amp;" "&amp;IF(AND(Milestones!$AB$113="FT",Milestones!$AA$113=FT_Y5,EDATE($D92,Milestones!$AA$113)&lt;PolicyEff),1,Milestones!$AC$113)&amp;";  ","")&amp;IF(AND(EDATE($D92,Milestones!$AA$114)&lt;=AsOfDate,EDATE($D92,Milestones!$AA$114)&gt;=SchemeStart,IF($X92=0,$AD92,IF(AND($Z92&lt;&gt;"",EDATE($D92,Milestones!$AA$114)&gt;=$Z92),$AC92,IF(AND($Y92&lt;&gt;"",EDATE($D92,Milestones!$AA$114)&gt;=$Y92),$AB92,$AA92)))=Milestones!$AB$114),UPPER(TEXT(EDATE($D92,Milestones!$AA$114),"dd mmm yy"))&amp;" "&amp;Milestones!$AB$114&amp;" "&amp;IF(AND(Milestones!$AB$114="FT",Milestones!$AA$114=FT_Y5,EDATE($D92,Milestones!$AA$114)&lt;PolicyEff),1,Milestones!$AC$114)&amp;";  ","")&amp;IF(AND(EDATE($D92,Milestones!$AA$115)&lt;=AsOfDate,EDATE($D92,Milestones!$AA$115)&gt;=SchemeStart,IF($X92=0,$AD92,IF(AND($Z92&lt;&gt;"",EDATE($D92,Milestones!$AA$115)&gt;=$Z92),$AC92,IF(AND($Y92&lt;&gt;"",EDATE($D92,Milestones!$AA$115)&gt;=$Y92),$AB92,$AA92)))=Milestones!$AB$115),UPPER(TEXT(EDATE($D92,Milestones!$AA$115),"dd mmm yy"))&amp;" "&amp;Milestones!$AB$115&amp;" "&amp;IF(AND(Milestones!$AB$115="FT",Milestones!$AA$115=FT_Y5,EDATE($D92,Milestones!$AA$115)&lt;PolicyEff),1,Milestones!$AC$115)&amp;";  ",""))</f>
        <v/>
      </c>
      <c r="Q92" s="0" t="str">
        <f aca="false">IF(OR($A92="",$D92=""),"",IF(AND(EDATE($D92,Milestones!$AA$116)&lt;=AsOfDate,EDATE($D92,Milestones!$AA$116)&gt;=SchemeStart,IF($X92=0,$AD92,IF(AND($Z92&lt;&gt;"",EDATE($D92,Milestones!$AA$116)&gt;=$Z92),$AC92,IF(AND($Y92&lt;&gt;"",EDATE($D92,Milestones!$AA$116)&gt;=$Y92),$AB92,$AA92)))=Milestones!$AB$116),UPPER(TEXT(EDATE($D92,Milestones!$AA$116),"dd mmm yy"))&amp;" "&amp;Milestones!$AB$116&amp;" "&amp;IF(AND(Milestones!$AB$116="FT",Milestones!$AA$116=FT_Y5,EDATE($D92,Milestones!$AA$116)&lt;PolicyEff),1,Milestones!$AC$116)&amp;";  ","")&amp;IF(AND(EDATE($D92,Milestones!$AA$117)&lt;=AsOfDate,EDATE($D92,Milestones!$AA$117)&gt;=SchemeStart,IF($X92=0,$AD92,IF(AND($Z92&lt;&gt;"",EDATE($D92,Milestones!$AA$117)&gt;=$Z92),$AC92,IF(AND($Y92&lt;&gt;"",EDATE($D92,Milestones!$AA$117)&gt;=$Y92),$AB92,$AA92)))=Milestones!$AB$117),UPPER(TEXT(EDATE($D92,Milestones!$AA$117),"dd mmm yy"))&amp;" "&amp;Milestones!$AB$117&amp;" "&amp;IF(AND(Milestones!$AB$117="FT",Milestones!$AA$117=FT_Y5,EDATE($D92,Milestones!$AA$117)&lt;PolicyEff),1,Milestones!$AC$117)&amp;";  ","")&amp;IF(AND(EDATE($D92,Milestones!$AA$118)&lt;=AsOfDate,EDATE($D92,Milestones!$AA$118)&gt;=SchemeStart,IF($X92=0,$AD92,IF(AND($Z92&lt;&gt;"",EDATE($D92,Milestones!$AA$118)&gt;=$Z92),$AC92,IF(AND($Y92&lt;&gt;"",EDATE($D92,Milestones!$AA$118)&gt;=$Y92),$AB92,$AA92)))=Milestones!$AB$118),UPPER(TEXT(EDATE($D92,Milestones!$AA$118),"dd mmm yy"))&amp;" "&amp;Milestones!$AB$118&amp;" "&amp;IF(AND(Milestones!$AB$118="FT",Milestones!$AA$118=FT_Y5,EDATE($D92,Milestones!$AA$118)&lt;PolicyEff),1,Milestones!$AC$118)&amp;";  ","")&amp;IF(AND(EDATE($D92,Milestones!$AA$119)&lt;=AsOfDate,EDATE($D92,Milestones!$AA$119)&gt;=SchemeStart,IF($X92=0,$AD92,IF(AND($Z92&lt;&gt;"",EDATE($D92,Milestones!$AA$119)&gt;=$Z92),$AC92,IF(AND($Y92&lt;&gt;"",EDATE($D92,Milestones!$AA$119)&gt;=$Y92),$AB92,$AA92)))=Milestones!$AB$119),UPPER(TEXT(EDATE($D92,Milestones!$AA$119),"dd mmm yy"))&amp;" "&amp;Milestones!$AB$119&amp;" "&amp;IF(AND(Milestones!$AB$119="FT",Milestones!$AA$119=FT_Y5,EDATE($D92,Milestones!$AA$119)&lt;PolicyEff),1,Milestones!$AC$119)&amp;";  ","")&amp;IF(AND(EDATE($D92,Milestones!$AA$120)&lt;=AsOfDate,EDATE($D92,Milestones!$AA$120)&gt;=SchemeStart,IF($X92=0,$AD92,IF(AND($Z92&lt;&gt;"",EDATE($D92,Milestones!$AA$120)&gt;=$Z92),$AC92,IF(AND($Y92&lt;&gt;"",EDATE($D92,Milestones!$AA$120)&gt;=$Y92),$AB92,$AA92)))=Milestones!$AB$120),UPPER(TEXT(EDATE($D92,Milestones!$AA$120),"dd mmm yy"))&amp;" "&amp;Milestones!$AB$120&amp;" "&amp;IF(AND(Milestones!$AB$120="FT",Milestones!$AA$120=FT_Y5,EDATE($D92,Milestones!$AA$120)&lt;PolicyEff),1,Milestones!$AC$120)&amp;";  ","")&amp;IF(AND(EDATE($D92,Milestones!$AA$121)&lt;=AsOfDate,EDATE($D92,Milestones!$AA$121)&gt;=SchemeStart,IF($X92=0,$AD92,IF(AND($Z92&lt;&gt;"",EDATE($D92,Milestones!$AA$121)&gt;=$Z92),$AC92,IF(AND($Y92&lt;&gt;"",EDATE($D92,Milestones!$AA$121)&gt;=$Y92),$AB92,$AA92)))=Milestones!$AB$121),UPPER(TEXT(EDATE($D92,Milestones!$AA$121),"dd mmm yy"))&amp;" "&amp;Milestones!$AB$121&amp;" "&amp;IF(AND(Milestones!$AB$121="FT",Milestones!$AA$121=FT_Y5,EDATE($D92,Milestones!$AA$121)&lt;PolicyEff),1,Milestones!$AC$121)&amp;";  ","")&amp;IF(AND(EDATE($D92,Milestones!$AA$122)&lt;=AsOfDate,EDATE($D92,Milestones!$AA$122)&gt;=SchemeStart,IF($X92=0,$AD92,IF(AND($Z92&lt;&gt;"",EDATE($D92,Milestones!$AA$122)&gt;=$Z92),$AC92,IF(AND($Y92&lt;&gt;"",EDATE($D92,Milestones!$AA$122)&gt;=$Y92),$AB92,$AA92)))=Milestones!$AB$122),UPPER(TEXT(EDATE($D92,Milestones!$AA$122),"dd mmm yy"))&amp;" "&amp;Milestones!$AB$122&amp;" "&amp;IF(AND(Milestones!$AB$122="FT",Milestones!$AA$122=FT_Y5,EDATE($D92,Milestones!$AA$122)&lt;PolicyEff),1,Milestones!$AC$122)&amp;";  ","")&amp;IF(AND(EDATE($D92,Milestones!$AA$123)&lt;=AsOfDate,EDATE($D92,Milestones!$AA$123)&gt;=SchemeStart,IF($X92=0,$AD92,IF(AND($Z92&lt;&gt;"",EDATE($D92,Milestones!$AA$123)&gt;=$Z92),$AC92,IF(AND($Y92&lt;&gt;"",EDATE($D92,Milestones!$AA$123)&gt;=$Y92),$AB92,$AA92)))=Milestones!$AB$123),UPPER(TEXT(EDATE($D92,Milestones!$AA$123),"dd mmm yy"))&amp;" "&amp;Milestones!$AB$123&amp;" "&amp;IF(AND(Milestones!$AB$123="FT",Milestones!$AA$123=FT_Y5,EDATE($D92,Milestones!$AA$123)&lt;PolicyEff),1,Milestones!$AC$123)&amp;";  ","")&amp;IF(AND(EDATE($D92,Milestones!$AA$124)&lt;=AsOfDate,EDATE($D92,Milestones!$AA$124)&gt;=SchemeStart,IF($X92=0,$AD92,IF(AND($Z92&lt;&gt;"",EDATE($D92,Milestones!$AA$124)&gt;=$Z92),$AC92,IF(AND($Y92&lt;&gt;"",EDATE($D92,Milestones!$AA$124)&gt;=$Y92),$AB92,$AA92)))=Milestones!$AB$124),UPPER(TEXT(EDATE($D92,Milestones!$AA$124),"dd mmm yy"))&amp;" "&amp;Milestones!$AB$124&amp;" "&amp;IF(AND(Milestones!$AB$124="FT",Milestones!$AA$124=FT_Y5,EDATE($D92,Milestones!$AA$124)&lt;PolicyEff),1,Milestones!$AC$124)&amp;";  ","")&amp;IF(AND(EDATE($D92,Milestones!$AA$125)&lt;=AsOfDate,EDATE($D92,Milestones!$AA$125)&gt;=SchemeStart,IF($X92=0,$AD92,IF(AND($Z92&lt;&gt;"",EDATE($D92,Milestones!$AA$125)&gt;=$Z92),$AC92,IF(AND($Y92&lt;&gt;"",EDATE($D92,Milestones!$AA$125)&gt;=$Y92),$AB92,$AA92)))=Milestones!$AB$125),UPPER(TEXT(EDATE($D92,Milestones!$AA$125),"dd mmm yy"))&amp;" "&amp;Milestones!$AB$125&amp;" "&amp;IF(AND(Milestones!$AB$125="FT",Milestones!$AA$125=FT_Y5,EDATE($D92,Milestones!$AA$125)&lt;PolicyEff),1,Milestones!$AC$125)&amp;";  ","")&amp;IF(AND(EDATE($D92,Milestones!$AA$126)&lt;=AsOfDate,EDATE($D92,Milestones!$AA$126)&gt;=SchemeStart,IF($X92=0,$AD92,IF(AND($Z92&lt;&gt;"",EDATE($D92,Milestones!$AA$126)&gt;=$Z92),$AC92,IF(AND($Y92&lt;&gt;"",EDATE($D92,Milestones!$AA$126)&gt;=$Y92),$AB92,$AA92)))=Milestones!$AB$126),UPPER(TEXT(EDATE($D92,Milestones!$AA$126),"dd mmm yy"))&amp;" "&amp;Milestones!$AB$126&amp;" "&amp;IF(AND(Milestones!$AB$126="FT",Milestones!$AA$126=FT_Y5,EDATE($D92,Milestones!$AA$126)&lt;PolicyEff),1,Milestones!$AC$126)&amp;";  ","")&amp;IF(AND(EDATE($D92,Milestones!$AA$127)&lt;=AsOfDate,EDATE($D92,Milestones!$AA$127)&gt;=SchemeStart,IF($X92=0,$AD92,IF(AND($Z92&lt;&gt;"",EDATE($D92,Milestones!$AA$127)&gt;=$Z92),$AC92,IF(AND($Y92&lt;&gt;"",EDATE($D92,Milestones!$AA$127)&gt;=$Y92),$AB92,$AA92)))=Milestones!$AB$127),UPPER(TEXT(EDATE($D92,Milestones!$AA$127),"dd mmm yy"))&amp;" "&amp;Milestones!$AB$127&amp;" "&amp;IF(AND(Milestones!$AB$127="FT",Milestones!$AA$127=FT_Y5,EDATE($D92,Milestones!$AA$127)&lt;PolicyEff),1,Milestones!$AC$127)&amp;";  ",""))</f>
        <v/>
      </c>
      <c r="R92" s="0" t="str">
        <f aca="false">IF(OR($A92="",$D92=""),"",IF(AND(EDATE($D92,Milestones!$AA$128)&lt;=AsOfDate,EDATE($D92,Milestones!$AA$128)&gt;=SchemeStart,IF($X92=0,$AD92,IF(AND($Z92&lt;&gt;"",EDATE($D92,Milestones!$AA$128)&gt;=$Z92),$AC92,IF(AND($Y92&lt;&gt;"",EDATE($D92,Milestones!$AA$128)&gt;=$Y92),$AB92,$AA92)))=Milestones!$AB$128),UPPER(TEXT(EDATE($D92,Milestones!$AA$128),"dd mmm yy"))&amp;" "&amp;Milestones!$AB$128&amp;" "&amp;IF(AND(Milestones!$AB$128="FT",Milestones!$AA$128=FT_Y5,EDATE($D92,Milestones!$AA$128)&lt;PolicyEff),1,Milestones!$AC$128)&amp;";  ","")&amp;IF(AND(EDATE($D92,Milestones!$AA$129)&lt;=AsOfDate,EDATE($D92,Milestones!$AA$129)&gt;=SchemeStart,IF($X92=0,$AD92,IF(AND($Z92&lt;&gt;"",EDATE($D92,Milestones!$AA$129)&gt;=$Z92),$AC92,IF(AND($Y92&lt;&gt;"",EDATE($D92,Milestones!$AA$129)&gt;=$Y92),$AB92,$AA92)))=Milestones!$AB$129),UPPER(TEXT(EDATE($D92,Milestones!$AA$129),"dd mmm yy"))&amp;" "&amp;Milestones!$AB$129&amp;" "&amp;IF(AND(Milestones!$AB$129="FT",Milestones!$AA$129=FT_Y5,EDATE($D92,Milestones!$AA$129)&lt;PolicyEff),1,Milestones!$AC$129)&amp;";  ","")&amp;IF(AND(EDATE($D92,Milestones!$AA$130)&lt;=AsOfDate,EDATE($D92,Milestones!$AA$130)&gt;=SchemeStart,IF($X92=0,$AD92,IF(AND($Z92&lt;&gt;"",EDATE($D92,Milestones!$AA$130)&gt;=$Z92),$AC92,IF(AND($Y92&lt;&gt;"",EDATE($D92,Milestones!$AA$130)&gt;=$Y92),$AB92,$AA92)))=Milestones!$AB$130),UPPER(TEXT(EDATE($D92,Milestones!$AA$130),"dd mmm yy"))&amp;" "&amp;Milestones!$AB$130&amp;" "&amp;IF(AND(Milestones!$AB$130="FT",Milestones!$AA$130=FT_Y5,EDATE($D92,Milestones!$AA$130)&lt;PolicyEff),1,Milestones!$AC$130)&amp;";  ","")&amp;IF(AND(EDATE($D92,Milestones!$AA$131)&lt;=AsOfDate,EDATE($D92,Milestones!$AA$131)&gt;=SchemeStart,IF($X92=0,$AD92,IF(AND($Z92&lt;&gt;"",EDATE($D92,Milestones!$AA$131)&gt;=$Z92),$AC92,IF(AND($Y92&lt;&gt;"",EDATE($D92,Milestones!$AA$131)&gt;=$Y92),$AB92,$AA92)))=Milestones!$AB$131),UPPER(TEXT(EDATE($D92,Milestones!$AA$131),"dd mmm yy"))&amp;" "&amp;Milestones!$AB$131&amp;" "&amp;IF(AND(Milestones!$AB$131="FT",Milestones!$AA$131=FT_Y5,EDATE($D92,Milestones!$AA$131)&lt;PolicyEff),1,Milestones!$AC$131)&amp;";  ","")&amp;IF(AND(EDATE($D92,Milestones!$AA$132)&lt;=AsOfDate,EDATE($D92,Milestones!$AA$132)&gt;=SchemeStart,IF($X92=0,$AD92,IF(AND($Z92&lt;&gt;"",EDATE($D92,Milestones!$AA$132)&gt;=$Z92),$AC92,IF(AND($Y92&lt;&gt;"",EDATE($D92,Milestones!$AA$132)&gt;=$Y92),$AB92,$AA92)))=Milestones!$AB$132),UPPER(TEXT(EDATE($D92,Milestones!$AA$132),"dd mmm yy"))&amp;" "&amp;Milestones!$AB$132&amp;" "&amp;IF(AND(Milestones!$AB$132="FT",Milestones!$AA$132=FT_Y5,EDATE($D92,Milestones!$AA$132)&lt;PolicyEff),1,Milestones!$AC$132)&amp;";  ","")&amp;IF(AND(EDATE($D92,Milestones!$AA$133)&lt;=AsOfDate,EDATE($D92,Milestones!$AA$133)&gt;=SchemeStart,IF($X92=0,$AD92,IF(AND($Z92&lt;&gt;"",EDATE($D92,Milestones!$AA$133)&gt;=$Z92),$AC92,IF(AND($Y92&lt;&gt;"",EDATE($D92,Milestones!$AA$133)&gt;=$Y92),$AB92,$AA92)))=Milestones!$AB$133),UPPER(TEXT(EDATE($D92,Milestones!$AA$133),"dd mmm yy"))&amp;" "&amp;Milestones!$AB$133&amp;" "&amp;IF(AND(Milestones!$AB$133="FT",Milestones!$AA$133=FT_Y5,EDATE($D92,Milestones!$AA$133)&lt;PolicyEff),1,Milestones!$AC$133)&amp;";  ","")&amp;IF(AND(EDATE($D92,Milestones!$AA$134)&lt;=AsOfDate,EDATE($D92,Milestones!$AA$134)&gt;=SchemeStart,IF($X92=0,$AD92,IF(AND($Z92&lt;&gt;"",EDATE($D92,Milestones!$AA$134)&gt;=$Z92),$AC92,IF(AND($Y92&lt;&gt;"",EDATE($D92,Milestones!$AA$134)&gt;=$Y92),$AB92,$AA92)))=Milestones!$AB$134),UPPER(TEXT(EDATE($D92,Milestones!$AA$134),"dd mmm yy"))&amp;" "&amp;Milestones!$AB$134&amp;" "&amp;IF(AND(Milestones!$AB$134="FT",Milestones!$AA$134=FT_Y5,EDATE($D92,Milestones!$AA$134)&lt;PolicyEff),1,Milestones!$AC$134)&amp;";  ","")&amp;IF(AND(EDATE($D92,Milestones!$AA$135)&lt;=AsOfDate,EDATE($D92,Milestones!$AA$135)&gt;=SchemeStart,IF($X92=0,$AD92,IF(AND($Z92&lt;&gt;"",EDATE($D92,Milestones!$AA$135)&gt;=$Z92),$AC92,IF(AND($Y92&lt;&gt;"",EDATE($D92,Milestones!$AA$135)&gt;=$Y92),$AB92,$AA92)))=Milestones!$AB$135),UPPER(TEXT(EDATE($D92,Milestones!$AA$135),"dd mmm yy"))&amp;" "&amp;Milestones!$AB$135&amp;" "&amp;IF(AND(Milestones!$AB$135="FT",Milestones!$AA$135=FT_Y5,EDATE($D92,Milestones!$AA$135)&lt;PolicyEff),1,Milestones!$AC$135)&amp;";  ","")&amp;IF(AND(EDATE($D92,Milestones!$AA$136)&lt;=AsOfDate,EDATE($D92,Milestones!$AA$136)&gt;=SchemeStart,IF($X92=0,$AD92,IF(AND($Z92&lt;&gt;"",EDATE($D92,Milestones!$AA$136)&gt;=$Z92),$AC92,IF(AND($Y92&lt;&gt;"",EDATE($D92,Milestones!$AA$136)&gt;=$Y92),$AB92,$AA92)))=Milestones!$AB$136),UPPER(TEXT(EDATE($D92,Milestones!$AA$136),"dd mmm yy"))&amp;" "&amp;Milestones!$AB$136&amp;" "&amp;IF(AND(Milestones!$AB$136="FT",Milestones!$AA$136=FT_Y5,EDATE($D92,Milestones!$AA$136)&lt;PolicyEff),1,Milestones!$AC$136)&amp;";  ","")&amp;IF(AND(EDATE($D92,Milestones!$AA$137)&lt;=AsOfDate,EDATE($D92,Milestones!$AA$137)&gt;=SchemeStart,IF($X92=0,$AD92,IF(AND($Z92&lt;&gt;"",EDATE($D92,Milestones!$AA$137)&gt;=$Z92),$AC92,IF(AND($Y92&lt;&gt;"",EDATE($D92,Milestones!$AA$137)&gt;=$Y92),$AB92,$AA92)))=Milestones!$AB$137),UPPER(TEXT(EDATE($D92,Milestones!$AA$137),"dd mmm yy"))&amp;" "&amp;Milestones!$AB$137&amp;" "&amp;IF(AND(Milestones!$AB$137="FT",Milestones!$AA$137=FT_Y5,EDATE($D92,Milestones!$AA$137)&lt;PolicyEff),1,Milestones!$AC$137)&amp;";  ","")&amp;IF(AND(EDATE($D92,Milestones!$AA$138)&lt;=AsOfDate,EDATE($D92,Milestones!$AA$138)&gt;=SchemeStart,IF($X92=0,$AD92,IF(AND($Z92&lt;&gt;"",EDATE($D92,Milestones!$AA$138)&gt;=$Z92),$AC92,IF(AND($Y92&lt;&gt;"",EDATE($D92,Milestones!$AA$138)&gt;=$Y92),$AB92,$AA92)))=Milestones!$AB$138),UPPER(TEXT(EDATE($D92,Milestones!$AA$138),"dd mmm yy"))&amp;" "&amp;Milestones!$AB$138&amp;" "&amp;IF(AND(Milestones!$AB$138="FT",Milestones!$AA$138=FT_Y5,EDATE($D92,Milestones!$AA$138)&lt;PolicyEff),1,Milestones!$AC$138)&amp;";  ","")&amp;IF(AND(EDATE($D92,Milestones!$AA$139)&lt;=AsOfDate,EDATE($D92,Milestones!$AA$139)&gt;=SchemeStart,IF($X92=0,$AD92,IF(AND($Z92&lt;&gt;"",EDATE($D92,Milestones!$AA$139)&gt;=$Z92),$AC92,IF(AND($Y92&lt;&gt;"",EDATE($D92,Milestones!$AA$139)&gt;=$Y92),$AB92,$AA92)))=Milestones!$AB$139),UPPER(TEXT(EDATE($D92,Milestones!$AA$139),"dd mmm yy"))&amp;" "&amp;Milestones!$AB$139&amp;" "&amp;IF(AND(Milestones!$AB$139="FT",Milestones!$AA$139=FT_Y5,EDATE($D92,Milestones!$AA$139)&lt;PolicyEff),1,Milestones!$AC$139)&amp;";  ",""))</f>
        <v/>
      </c>
      <c r="S92" s="0" t="str">
        <f aca="false">IF(OR($A92="",$D92=""),"",IF(AND(EDATE($D92,Milestones!$AA$140)&lt;=AsOfDate,EDATE($D92,Milestones!$AA$140)&gt;=SchemeStart,IF($X92=0,$AD92,IF(AND($Z92&lt;&gt;"",EDATE($D92,Milestones!$AA$140)&gt;=$Z92),$AC92,IF(AND($Y92&lt;&gt;"",EDATE($D92,Milestones!$AA$140)&gt;=$Y92),$AB92,$AA92)))=Milestones!$AB$140),UPPER(TEXT(EDATE($D92,Milestones!$AA$140),"dd mmm yy"))&amp;" "&amp;Milestones!$AB$140&amp;" "&amp;IF(AND(Milestones!$AB$140="FT",Milestones!$AA$140=FT_Y5,EDATE($D92,Milestones!$AA$140)&lt;PolicyEff),1,Milestones!$AC$140)&amp;";  ","")&amp;IF(AND(EDATE($D92,Milestones!$AA$141)&lt;=AsOfDate,EDATE($D92,Milestones!$AA$141)&gt;=SchemeStart,IF($X92=0,$AD92,IF(AND($Z92&lt;&gt;"",EDATE($D92,Milestones!$AA$141)&gt;=$Z92),$AC92,IF(AND($Y92&lt;&gt;"",EDATE($D92,Milestones!$AA$141)&gt;=$Y92),$AB92,$AA92)))=Milestones!$AB$141),UPPER(TEXT(EDATE($D92,Milestones!$AA$141),"dd mmm yy"))&amp;" "&amp;Milestones!$AB$141&amp;" "&amp;IF(AND(Milestones!$AB$141="FT",Milestones!$AA$141=FT_Y5,EDATE($D92,Milestones!$AA$141)&lt;PolicyEff),1,Milestones!$AC$141)&amp;";  ","")&amp;IF(AND(EDATE($D92,Milestones!$AA$142)&lt;=AsOfDate,EDATE($D92,Milestones!$AA$142)&gt;=SchemeStart,IF($X92=0,$AD92,IF(AND($Z92&lt;&gt;"",EDATE($D92,Milestones!$AA$142)&gt;=$Z92),$AC92,IF(AND($Y92&lt;&gt;"",EDATE($D92,Milestones!$AA$142)&gt;=$Y92),$AB92,$AA92)))=Milestones!$AB$142),UPPER(TEXT(EDATE($D92,Milestones!$AA$142),"dd mmm yy"))&amp;" "&amp;Milestones!$AB$142&amp;" "&amp;IF(AND(Milestones!$AB$142="FT",Milestones!$AA$142=FT_Y5,EDATE($D92,Milestones!$AA$142)&lt;PolicyEff),1,Milestones!$AC$142)&amp;";  ","")&amp;IF(AND(EDATE($D92,Milestones!$AA$143)&lt;=AsOfDate,EDATE($D92,Milestones!$AA$143)&gt;=SchemeStart,IF($X92=0,$AD92,IF(AND($Z92&lt;&gt;"",EDATE($D92,Milestones!$AA$143)&gt;=$Z92),$AC92,IF(AND($Y92&lt;&gt;"",EDATE($D92,Milestones!$AA$143)&gt;=$Y92),$AB92,$AA92)))=Milestones!$AB$143),UPPER(TEXT(EDATE($D92,Milestones!$AA$143),"dd mmm yy"))&amp;" "&amp;Milestones!$AB$143&amp;" "&amp;IF(AND(Milestones!$AB$143="FT",Milestones!$AA$143=FT_Y5,EDATE($D92,Milestones!$AA$143)&lt;PolicyEff),1,Milestones!$AC$143)&amp;";  ","")&amp;IF(AND(EDATE($D92,Milestones!$AA$144)&lt;=AsOfDate,EDATE($D92,Milestones!$AA$144)&gt;=SchemeStart,IF($X92=0,$AD92,IF(AND($Z92&lt;&gt;"",EDATE($D92,Milestones!$AA$144)&gt;=$Z92),$AC92,IF(AND($Y92&lt;&gt;"",EDATE($D92,Milestones!$AA$144)&gt;=$Y92),$AB92,$AA92)))=Milestones!$AB$144),UPPER(TEXT(EDATE($D92,Milestones!$AA$144),"dd mmm yy"))&amp;" "&amp;Milestones!$AB$144&amp;" "&amp;IF(AND(Milestones!$AB$144="FT",Milestones!$AA$144=FT_Y5,EDATE($D92,Milestones!$AA$144)&lt;PolicyEff),1,Milestones!$AC$144)&amp;";  ","")&amp;IF(AND(EDATE($D92,Milestones!$AA$145)&lt;=AsOfDate,EDATE($D92,Milestones!$AA$145)&gt;=SchemeStart,IF($X92=0,$AD92,IF(AND($Z92&lt;&gt;"",EDATE($D92,Milestones!$AA$145)&gt;=$Z92),$AC92,IF(AND($Y92&lt;&gt;"",EDATE($D92,Milestones!$AA$145)&gt;=$Y92),$AB92,$AA92)))=Milestones!$AB$145),UPPER(TEXT(EDATE($D92,Milestones!$AA$145),"dd mmm yy"))&amp;" "&amp;Milestones!$AB$145&amp;" "&amp;IF(AND(Milestones!$AB$145="FT",Milestones!$AA$145=FT_Y5,EDATE($D92,Milestones!$AA$145)&lt;PolicyEff),1,Milestones!$AC$145)&amp;";  ","")&amp;IF(AND(EDATE($D92,Milestones!$AA$146)&lt;=AsOfDate,EDATE($D92,Milestones!$AA$146)&gt;=SchemeStart,IF($X92=0,$AD92,IF(AND($Z92&lt;&gt;"",EDATE($D92,Milestones!$AA$146)&gt;=$Z92),$AC92,IF(AND($Y92&lt;&gt;"",EDATE($D92,Milestones!$AA$146)&gt;=$Y92),$AB92,$AA92)))=Milestones!$AB$146),UPPER(TEXT(EDATE($D92,Milestones!$AA$146),"dd mmm yy"))&amp;" "&amp;Milestones!$AB$146&amp;" "&amp;IF(AND(Milestones!$AB$146="FT",Milestones!$AA$146=FT_Y5,EDATE($D92,Milestones!$AA$146)&lt;PolicyEff),1,Milestones!$AC$146)&amp;";  ","")&amp;IF(AND(EDATE($D92,Milestones!$AA$147)&lt;=AsOfDate,EDATE($D92,Milestones!$AA$147)&gt;=SchemeStart,IF($X92=0,$AD92,IF(AND($Z92&lt;&gt;"",EDATE($D92,Milestones!$AA$147)&gt;=$Z92),$AC92,IF(AND($Y92&lt;&gt;"",EDATE($D92,Milestones!$AA$147)&gt;=$Y92),$AB92,$AA92)))=Milestones!$AB$147),UPPER(TEXT(EDATE($D92,Milestones!$AA$147),"dd mmm yy"))&amp;" "&amp;Milestones!$AB$147&amp;" "&amp;IF(AND(Milestones!$AB$147="FT",Milestones!$AA$147=FT_Y5,EDATE($D92,Milestones!$AA$147)&lt;PolicyEff),1,Milestones!$AC$147)&amp;";  ","")&amp;IF(AND(EDATE($D92,Milestones!$AA$148)&lt;=AsOfDate,EDATE($D92,Milestones!$AA$148)&gt;=SchemeStart,IF($X92=0,$AD92,IF(AND($Z92&lt;&gt;"",EDATE($D92,Milestones!$AA$148)&gt;=$Z92),$AC92,IF(AND($Y92&lt;&gt;"",EDATE($D92,Milestones!$AA$148)&gt;=$Y92),$AB92,$AA92)))=Milestones!$AB$148),UPPER(TEXT(EDATE($D92,Milestones!$AA$148),"dd mmm yy"))&amp;" "&amp;Milestones!$AB$148&amp;" "&amp;IF(AND(Milestones!$AB$148="FT",Milestones!$AA$148=FT_Y5,EDATE($D92,Milestones!$AA$148)&lt;PolicyEff),1,Milestones!$AC$148)&amp;";  ","")&amp;IF(AND(EDATE($D92,Milestones!$AA$149)&lt;=AsOfDate,EDATE($D92,Milestones!$AA$149)&gt;=SchemeStart,IF($X92=0,$AD92,IF(AND($Z92&lt;&gt;"",EDATE($D92,Milestones!$AA$149)&gt;=$Z92),$AC92,IF(AND($Y92&lt;&gt;"",EDATE($D92,Milestones!$AA$149)&gt;=$Y92),$AB92,$AA92)))=Milestones!$AB$149),UPPER(TEXT(EDATE($D92,Milestones!$AA$149),"dd mmm yy"))&amp;" "&amp;Milestones!$AB$149&amp;" "&amp;IF(AND(Milestones!$AB$149="FT",Milestones!$AA$149=FT_Y5,EDATE($D92,Milestones!$AA$149)&lt;PolicyEff),1,Milestones!$AC$149)&amp;";  ","")&amp;IF(AND(EDATE($D92,Milestones!$AA$150)&lt;=AsOfDate,EDATE($D92,Milestones!$AA$150)&gt;=SchemeStart,IF($X92=0,$AD92,IF(AND($Z92&lt;&gt;"",EDATE($D92,Milestones!$AA$150)&gt;=$Z92),$AC92,IF(AND($Y92&lt;&gt;"",EDATE($D92,Milestones!$AA$150)&gt;=$Y92),$AB92,$AA92)))=Milestones!$AB$150),UPPER(TEXT(EDATE($D92,Milestones!$AA$150),"dd mmm yy"))&amp;" "&amp;Milestones!$AB$150&amp;" "&amp;IF(AND(Milestones!$AB$150="FT",Milestones!$AA$150=FT_Y5,EDATE($D92,Milestones!$AA$150)&lt;PolicyEff),1,Milestones!$AC$150)&amp;";  ","")&amp;IF(AND(EDATE($D92,Milestones!$AA$151)&lt;=AsOfDate,EDATE($D92,Milestones!$AA$151)&gt;=SchemeStart,IF($X92=0,$AD92,IF(AND($Z92&lt;&gt;"",EDATE($D92,Milestones!$AA$151)&gt;=$Z92),$AC92,IF(AND($Y92&lt;&gt;"",EDATE($D92,Milestones!$AA$151)&gt;=$Y92),$AB92,$AA92)))=Milestones!$AB$151),UPPER(TEXT(EDATE($D92,Milestones!$AA$151),"dd mmm yy"))&amp;" "&amp;Milestones!$AB$151&amp;" "&amp;IF(AND(Milestones!$AB$151="FT",Milestones!$AA$151=FT_Y5,EDATE($D92,Milestones!$AA$151)&lt;PolicyEff),1,Milestones!$AC$151)&amp;";  ",""))</f>
        <v/>
      </c>
      <c r="T92" s="0" t="str">
        <f aca="false">IF(OR($A92="",$D92=""),"",IF(AND(EDATE($D92,Milestones!$AA$152)&lt;=AsOfDate,EDATE($D92,Milestones!$AA$152)&gt;=SchemeStart,IF($X92=0,$AD92,IF(AND($Z92&lt;&gt;"",EDATE($D92,Milestones!$AA$152)&gt;=$Z92),$AC92,IF(AND($Y92&lt;&gt;"",EDATE($D92,Milestones!$AA$152)&gt;=$Y92),$AB92,$AA92)))=Milestones!$AB$152),UPPER(TEXT(EDATE($D92,Milestones!$AA$152),"dd mmm yy"))&amp;" "&amp;Milestones!$AB$152&amp;" "&amp;IF(AND(Milestones!$AB$152="FT",Milestones!$AA$152=FT_Y5,EDATE($D92,Milestones!$AA$152)&lt;PolicyEff),1,Milestones!$AC$152)&amp;";  ","")&amp;IF(AND(EDATE($D92,Milestones!$AA$153)&lt;=AsOfDate,EDATE($D92,Milestones!$AA$153)&gt;=SchemeStart,IF($X92=0,$AD92,IF(AND($Z92&lt;&gt;"",EDATE($D92,Milestones!$AA$153)&gt;=$Z92),$AC92,IF(AND($Y92&lt;&gt;"",EDATE($D92,Milestones!$AA$153)&gt;=$Y92),$AB92,$AA92)))=Milestones!$AB$153),UPPER(TEXT(EDATE($D92,Milestones!$AA$153),"dd mmm yy"))&amp;" "&amp;Milestones!$AB$153&amp;" "&amp;IF(AND(Milestones!$AB$153="FT",Milestones!$AA$153=FT_Y5,EDATE($D92,Milestones!$AA$153)&lt;PolicyEff),1,Milestones!$AC$153)&amp;";  ","")&amp;IF(AND(EDATE($D92,Milestones!$AA$154)&lt;=AsOfDate,EDATE($D92,Milestones!$AA$154)&gt;=SchemeStart,IF($X92=0,$AD92,IF(AND($Z92&lt;&gt;"",EDATE($D92,Milestones!$AA$154)&gt;=$Z92),$AC92,IF(AND($Y92&lt;&gt;"",EDATE($D92,Milestones!$AA$154)&gt;=$Y92),$AB92,$AA92)))=Milestones!$AB$154),UPPER(TEXT(EDATE($D92,Milestones!$AA$154),"dd mmm yy"))&amp;" "&amp;Milestones!$AB$154&amp;" "&amp;IF(AND(Milestones!$AB$154="FT",Milestones!$AA$154=FT_Y5,EDATE($D92,Milestones!$AA$154)&lt;PolicyEff),1,Milestones!$AC$154)&amp;";  ","")&amp;IF(AND(EDATE($D92,Milestones!$AA$155)&lt;=AsOfDate,EDATE($D92,Milestones!$AA$155)&gt;=SchemeStart,IF($X92=0,$AD92,IF(AND($Z92&lt;&gt;"",EDATE($D92,Milestones!$AA$155)&gt;=$Z92),$AC92,IF(AND($Y92&lt;&gt;"",EDATE($D92,Milestones!$AA$155)&gt;=$Y92),$AB92,$AA92)))=Milestones!$AB$155),UPPER(TEXT(EDATE($D92,Milestones!$AA$155),"dd mmm yy"))&amp;" "&amp;Milestones!$AB$155&amp;" "&amp;IF(AND(Milestones!$AB$155="FT",Milestones!$AA$155=FT_Y5,EDATE($D92,Milestones!$AA$155)&lt;PolicyEff),1,Milestones!$AC$155)&amp;";  ","")&amp;IF(AND(EDATE($D92,Milestones!$AA$156)&lt;=AsOfDate,EDATE($D92,Milestones!$AA$156)&gt;=SchemeStart,IF($X92=0,$AD92,IF(AND($Z92&lt;&gt;"",EDATE($D92,Milestones!$AA$156)&gt;=$Z92),$AC92,IF(AND($Y92&lt;&gt;"",EDATE($D92,Milestones!$AA$156)&gt;=$Y92),$AB92,$AA92)))=Milestones!$AB$156),UPPER(TEXT(EDATE($D92,Milestones!$AA$156),"dd mmm yy"))&amp;" "&amp;Milestones!$AB$156&amp;" "&amp;IF(AND(Milestones!$AB$156="FT",Milestones!$AA$156=FT_Y5,EDATE($D92,Milestones!$AA$156)&lt;PolicyEff),1,Milestones!$AC$156)&amp;";  ","")&amp;IF(AND(EDATE($D92,Milestones!$AA$157)&lt;=AsOfDate,EDATE($D92,Milestones!$AA$157)&gt;=SchemeStart,IF($X92=0,$AD92,IF(AND($Z92&lt;&gt;"",EDATE($D92,Milestones!$AA$157)&gt;=$Z92),$AC92,IF(AND($Y92&lt;&gt;"",EDATE($D92,Milestones!$AA$157)&gt;=$Y92),$AB92,$AA92)))=Milestones!$AB$157),UPPER(TEXT(EDATE($D92,Milestones!$AA$157),"dd mmm yy"))&amp;" "&amp;Milestones!$AB$157&amp;" "&amp;IF(AND(Milestones!$AB$157="FT",Milestones!$AA$157=FT_Y5,EDATE($D92,Milestones!$AA$157)&lt;PolicyEff),1,Milestones!$AC$157)&amp;";  ","")&amp;IF(AND(EDATE($D92,Milestones!$AA$158)&lt;=AsOfDate,EDATE($D92,Milestones!$AA$158)&gt;=SchemeStart,IF($X92=0,$AD92,IF(AND($Z92&lt;&gt;"",EDATE($D92,Milestones!$AA$158)&gt;=$Z92),$AC92,IF(AND($Y92&lt;&gt;"",EDATE($D92,Milestones!$AA$158)&gt;=$Y92),$AB92,$AA92)))=Milestones!$AB$158),UPPER(TEXT(EDATE($D92,Milestones!$AA$158),"dd mmm yy"))&amp;" "&amp;Milestones!$AB$158&amp;" "&amp;IF(AND(Milestones!$AB$158="FT",Milestones!$AA$158=FT_Y5,EDATE($D92,Milestones!$AA$158)&lt;PolicyEff),1,Milestones!$AC$158)&amp;";  ","")&amp;IF(AND(EDATE($D92,Milestones!$AA$159)&lt;=AsOfDate,EDATE($D92,Milestones!$AA$159)&gt;=SchemeStart,IF($X92=0,$AD92,IF(AND($Z92&lt;&gt;"",EDATE($D92,Milestones!$AA$159)&gt;=$Z92),$AC92,IF(AND($Y92&lt;&gt;"",EDATE($D92,Milestones!$AA$159)&gt;=$Y92),$AB92,$AA92)))=Milestones!$AB$159),UPPER(TEXT(EDATE($D92,Milestones!$AA$159),"dd mmm yy"))&amp;" "&amp;Milestones!$AB$159&amp;" "&amp;IF(AND(Milestones!$AB$159="FT",Milestones!$AA$159=FT_Y5,EDATE($D92,Milestones!$AA$159)&lt;PolicyEff),1,Milestones!$AC$159)&amp;";  ","")&amp;IF(AND(EDATE($D92,Milestones!$AA$160)&lt;=AsOfDate,EDATE($D92,Milestones!$AA$160)&gt;=SchemeStart,IF($X92=0,$AD92,IF(AND($Z92&lt;&gt;"",EDATE($D92,Milestones!$AA$160)&gt;=$Z92),$AC92,IF(AND($Y92&lt;&gt;"",EDATE($D92,Milestones!$AA$160)&gt;=$Y92),$AB92,$AA92)))=Milestones!$AB$160),UPPER(TEXT(EDATE($D92,Milestones!$AA$160),"dd mmm yy"))&amp;" "&amp;Milestones!$AB$160&amp;" "&amp;IF(AND(Milestones!$AB$160="FT",Milestones!$AA$160=FT_Y5,EDATE($D92,Milestones!$AA$160)&lt;PolicyEff),1,Milestones!$AC$160)&amp;";  ","")&amp;IF(AND(EDATE($D92,Milestones!$AA$161)&lt;=AsOfDate,EDATE($D92,Milestones!$AA$161)&gt;=SchemeStart,IF($X92=0,$AD92,IF(AND($Z92&lt;&gt;"",EDATE($D92,Milestones!$AA$161)&gt;=$Z92),$AC92,IF(AND($Y92&lt;&gt;"",EDATE($D92,Milestones!$AA$161)&gt;=$Y92),$AB92,$AA92)))=Milestones!$AB$161),UPPER(TEXT(EDATE($D92,Milestones!$AA$161),"dd mmm yy"))&amp;" "&amp;Milestones!$AB$161&amp;" "&amp;IF(AND(Milestones!$AB$161="FT",Milestones!$AA$161=FT_Y5,EDATE($D92,Milestones!$AA$161)&lt;PolicyEff),1,Milestones!$AC$161)&amp;";  ","")&amp;IF(AND(EDATE($D92,Milestones!$AA$162)&lt;=AsOfDate,EDATE($D92,Milestones!$AA$162)&gt;=SchemeStart,IF($X92=0,$AD92,IF(AND($Z92&lt;&gt;"",EDATE($D92,Milestones!$AA$162)&gt;=$Z92),$AC92,IF(AND($Y92&lt;&gt;"",EDATE($D92,Milestones!$AA$162)&gt;=$Y92),$AB92,$AA92)))=Milestones!$AB$162),UPPER(TEXT(EDATE($D92,Milestones!$AA$162),"dd mmm yy"))&amp;" "&amp;Milestones!$AB$162&amp;" "&amp;IF(AND(Milestones!$AB$162="FT",Milestones!$AA$162=FT_Y5,EDATE($D92,Milestones!$AA$162)&lt;PolicyEff),1,Milestones!$AC$162)&amp;";  ","")&amp;IF(AND(EDATE($D92,Milestones!$AA$163)&lt;=AsOfDate,EDATE($D92,Milestones!$AA$163)&gt;=SchemeStart,IF($X92=0,$AD92,IF(AND($Z92&lt;&gt;"",EDATE($D92,Milestones!$AA$163)&gt;=$Z92),$AC92,IF(AND($Y92&lt;&gt;"",EDATE($D92,Milestones!$AA$163)&gt;=$Y92),$AB92,$AA92)))=Milestones!$AB$163),UPPER(TEXT(EDATE($D92,Milestones!$AA$163),"dd mmm yy"))&amp;" "&amp;Milestones!$AB$163&amp;" "&amp;IF(AND(Milestones!$AB$163="FT",Milestones!$AA$163=FT_Y5,EDATE($D92,Milestones!$AA$163)&lt;PolicyEff),1,Milestones!$AC$163)&amp;";  ",""))</f>
        <v/>
      </c>
      <c r="U92" s="0" t="str">
        <f aca="false">IF(OR($A92="",$D92=""),"",IF(AND(EDATE($D92,Milestones!$AA$164)&lt;=AsOfDate,EDATE($D92,Milestones!$AA$164)&gt;=SchemeStart,IF($X92=0,$AD92,IF(AND($Z92&lt;&gt;"",EDATE($D92,Milestones!$AA$164)&gt;=$Z92),$AC92,IF(AND($Y92&lt;&gt;"",EDATE($D92,Milestones!$AA$164)&gt;=$Y92),$AB92,$AA92)))=Milestones!$AB$164),UPPER(TEXT(EDATE($D92,Milestones!$AA$164),"dd mmm yy"))&amp;" "&amp;Milestones!$AB$164&amp;" "&amp;IF(AND(Milestones!$AB$164="FT",Milestones!$AA$164=FT_Y5,EDATE($D92,Milestones!$AA$164)&lt;PolicyEff),1,Milestones!$AC$164)&amp;";  ","")&amp;IF(AND(EDATE($D92,Milestones!$AA$165)&lt;=AsOfDate,EDATE($D92,Milestones!$AA$165)&gt;=SchemeStart,IF($X92=0,$AD92,IF(AND($Z92&lt;&gt;"",EDATE($D92,Milestones!$AA$165)&gt;=$Z92),$AC92,IF(AND($Y92&lt;&gt;"",EDATE($D92,Milestones!$AA$165)&gt;=$Y92),$AB92,$AA92)))=Milestones!$AB$165),UPPER(TEXT(EDATE($D92,Milestones!$AA$165),"dd mmm yy"))&amp;" "&amp;Milestones!$AB$165&amp;" "&amp;IF(AND(Milestones!$AB$165="FT",Milestones!$AA$165=FT_Y5,EDATE($D92,Milestones!$AA$165)&lt;PolicyEff),1,Milestones!$AC$165)&amp;";  ","")&amp;IF(AND(EDATE($D92,Milestones!$AA$166)&lt;=AsOfDate,EDATE($D92,Milestones!$AA$166)&gt;=SchemeStart,IF($X92=0,$AD92,IF(AND($Z92&lt;&gt;"",EDATE($D92,Milestones!$AA$166)&gt;=$Z92),$AC92,IF(AND($Y92&lt;&gt;"",EDATE($D92,Milestones!$AA$166)&gt;=$Y92),$AB92,$AA92)))=Milestones!$AB$166),UPPER(TEXT(EDATE($D92,Milestones!$AA$166),"dd mmm yy"))&amp;" "&amp;Milestones!$AB$166&amp;" "&amp;IF(AND(Milestones!$AB$166="FT",Milestones!$AA$166=FT_Y5,EDATE($D92,Milestones!$AA$166)&lt;PolicyEff),1,Milestones!$AC$166)&amp;";  ","")&amp;IF(AND(EDATE($D92,Milestones!$AA$167)&lt;=AsOfDate,EDATE($D92,Milestones!$AA$167)&gt;=SchemeStart,IF($X92=0,$AD92,IF(AND($Z92&lt;&gt;"",EDATE($D92,Milestones!$AA$167)&gt;=$Z92),$AC92,IF(AND($Y92&lt;&gt;"",EDATE($D92,Milestones!$AA$167)&gt;=$Y92),$AB92,$AA92)))=Milestones!$AB$167),UPPER(TEXT(EDATE($D92,Milestones!$AA$167),"dd mmm yy"))&amp;" "&amp;Milestones!$AB$167&amp;" "&amp;IF(AND(Milestones!$AB$167="FT",Milestones!$AA$167=FT_Y5,EDATE($D92,Milestones!$AA$167)&lt;PolicyEff),1,Milestones!$AC$167)&amp;";  ","")&amp;IF(AND(EDATE($D92,Milestones!$AA$168)&lt;=AsOfDate,EDATE($D92,Milestones!$AA$168)&gt;=SchemeStart,IF($X92=0,$AD92,IF(AND($Z92&lt;&gt;"",EDATE($D92,Milestones!$AA$168)&gt;=$Z92),$AC92,IF(AND($Y92&lt;&gt;"",EDATE($D92,Milestones!$AA$168)&gt;=$Y92),$AB92,$AA92)))=Milestones!$AB$168),UPPER(TEXT(EDATE($D92,Milestones!$AA$168),"dd mmm yy"))&amp;" "&amp;Milestones!$AB$168&amp;" "&amp;IF(AND(Milestones!$AB$168="FT",Milestones!$AA$168=FT_Y5,EDATE($D92,Milestones!$AA$168)&lt;PolicyEff),1,Milestones!$AC$168)&amp;";  ","")&amp;IF(AND(EDATE($D92,Milestones!$AA$169)&lt;=AsOfDate,EDATE($D92,Milestones!$AA$169)&gt;=SchemeStart,IF($X92=0,$AD92,IF(AND($Z92&lt;&gt;"",EDATE($D92,Milestones!$AA$169)&gt;=$Z92),$AC92,IF(AND($Y92&lt;&gt;"",EDATE($D92,Milestones!$AA$169)&gt;=$Y92),$AB92,$AA92)))=Milestones!$AB$169),UPPER(TEXT(EDATE($D92,Milestones!$AA$169),"dd mmm yy"))&amp;" "&amp;Milestones!$AB$169&amp;" "&amp;IF(AND(Milestones!$AB$169="FT",Milestones!$AA$169=FT_Y5,EDATE($D92,Milestones!$AA$169)&lt;PolicyEff),1,Milestones!$AC$169)&amp;";  ","")&amp;IF(AND(EDATE($D92,Milestones!$AA$170)&lt;=AsOfDate,EDATE($D92,Milestones!$AA$170)&gt;=SchemeStart,IF($X92=0,$AD92,IF(AND($Z92&lt;&gt;"",EDATE($D92,Milestones!$AA$170)&gt;=$Z92),$AC92,IF(AND($Y92&lt;&gt;"",EDATE($D92,Milestones!$AA$170)&gt;=$Y92),$AB92,$AA92)))=Milestones!$AB$170),UPPER(TEXT(EDATE($D92,Milestones!$AA$170),"dd mmm yy"))&amp;" "&amp;Milestones!$AB$170&amp;" "&amp;IF(AND(Milestones!$AB$170="FT",Milestones!$AA$170=FT_Y5,EDATE($D92,Milestones!$AA$170)&lt;PolicyEff),1,Milestones!$AC$170)&amp;";  ","")&amp;IF(AND(EDATE($D92,Milestones!$AA$171)&lt;=AsOfDate,EDATE($D92,Milestones!$AA$171)&gt;=SchemeStart,IF($X92=0,$AD92,IF(AND($Z92&lt;&gt;"",EDATE($D92,Milestones!$AA$171)&gt;=$Z92),$AC92,IF(AND($Y92&lt;&gt;"",EDATE($D92,Milestones!$AA$171)&gt;=$Y92),$AB92,$AA92)))=Milestones!$AB$171),UPPER(TEXT(EDATE($D92,Milestones!$AA$171),"dd mmm yy"))&amp;" "&amp;Milestones!$AB$171&amp;" "&amp;IF(AND(Milestones!$AB$171="FT",Milestones!$AA$171=FT_Y5,EDATE($D92,Milestones!$AA$171)&lt;PolicyEff),1,Milestones!$AC$171)&amp;";  ","")&amp;IF(AND(EDATE($D92,Milestones!$AA$172)&lt;=AsOfDate,EDATE($D92,Milestones!$AA$172)&gt;=SchemeStart,IF($X92=0,$AD92,IF(AND($Z92&lt;&gt;"",EDATE($D92,Milestones!$AA$172)&gt;=$Z92),$AC92,IF(AND($Y92&lt;&gt;"",EDATE($D92,Milestones!$AA$172)&gt;=$Y92),$AB92,$AA92)))=Milestones!$AB$172),UPPER(TEXT(EDATE($D92,Milestones!$AA$172),"dd mmm yy"))&amp;" "&amp;Milestones!$AB$172&amp;" "&amp;IF(AND(Milestones!$AB$172="FT",Milestones!$AA$172=FT_Y5,EDATE($D92,Milestones!$AA$172)&lt;PolicyEff),1,Milestones!$AC$172)&amp;";  ","")&amp;IF(AND(EDATE($D92,Milestones!$AA$173)&lt;=AsOfDate,EDATE($D92,Milestones!$AA$173)&gt;=SchemeStart,IF($X92=0,$AD92,IF(AND($Z92&lt;&gt;"",EDATE($D92,Milestones!$AA$173)&gt;=$Z92),$AC92,IF(AND($Y92&lt;&gt;"",EDATE($D92,Milestones!$AA$173)&gt;=$Y92),$AB92,$AA92)))=Milestones!$AB$173),UPPER(TEXT(EDATE($D92,Milestones!$AA$173),"dd mmm yy"))&amp;" "&amp;Milestones!$AB$173&amp;" "&amp;IF(AND(Milestones!$AB$173="FT",Milestones!$AA$173=FT_Y5,EDATE($D92,Milestones!$AA$173)&lt;PolicyEff),1,Milestones!$AC$173)&amp;";  ","")&amp;IF(AND(EDATE($D92,Milestones!$AA$174)&lt;=AsOfDate,EDATE($D92,Milestones!$AA$174)&gt;=SchemeStart,IF($X92=0,$AD92,IF(AND($Z92&lt;&gt;"",EDATE($D92,Milestones!$AA$174)&gt;=$Z92),$AC92,IF(AND($Y92&lt;&gt;"",EDATE($D92,Milestones!$AA$174)&gt;=$Y92),$AB92,$AA92)))=Milestones!$AB$174),UPPER(TEXT(EDATE($D92,Milestones!$AA$174),"dd mmm yy"))&amp;" "&amp;Milestones!$AB$174&amp;" "&amp;IF(AND(Milestones!$AB$174="FT",Milestones!$AA$174=FT_Y5,EDATE($D92,Milestones!$AA$174)&lt;PolicyEff),1,Milestones!$AC$174)&amp;";  ","")&amp;IF(AND(EDATE($D92,Milestones!$AA$175)&lt;=AsOfDate,EDATE($D92,Milestones!$AA$175)&gt;=SchemeStart,IF($X92=0,$AD92,IF(AND($Z92&lt;&gt;"",EDATE($D92,Milestones!$AA$175)&gt;=$Z92),$AC92,IF(AND($Y92&lt;&gt;"",EDATE($D92,Milestones!$AA$175)&gt;=$Y92),$AB92,$AA92)))=Milestones!$AB$175),UPPER(TEXT(EDATE($D92,Milestones!$AA$175),"dd mmm yy"))&amp;" "&amp;Milestones!$AB$175&amp;" "&amp;IF(AND(Milestones!$AB$175="FT",Milestones!$AA$175=FT_Y5,EDATE($D92,Milestones!$AA$175)&lt;PolicyEff),1,Milestones!$AC$175)&amp;";  ",""))</f>
        <v/>
      </c>
      <c r="V92" s="0" t="str">
        <f aca="false">IF(OR($A92="",$D92=""),"",IF(AND(EDATE($D92,Milestones!$AA$176)&lt;=AsOfDate,EDATE($D92,Milestones!$AA$176)&gt;=SchemeStart,IF($X92=0,$AD92,IF(AND($Z92&lt;&gt;"",EDATE($D92,Milestones!$AA$176)&gt;=$Z92),$AC92,IF(AND($Y92&lt;&gt;"",EDATE($D92,Milestones!$AA$176)&gt;=$Y92),$AB92,$AA92)))=Milestones!$AB$176),UPPER(TEXT(EDATE($D92,Milestones!$AA$176),"dd mmm yy"))&amp;" "&amp;Milestones!$AB$176&amp;" "&amp;IF(AND(Milestones!$AB$176="FT",Milestones!$AA$176=FT_Y5,EDATE($D92,Milestones!$AA$176)&lt;PolicyEff),1,Milestones!$AC$176)&amp;";  ","")&amp;IF(AND(EDATE($D92,Milestones!$AA$177)&lt;=AsOfDate,EDATE($D92,Milestones!$AA$177)&gt;=SchemeStart,IF($X92=0,$AD92,IF(AND($Z92&lt;&gt;"",EDATE($D92,Milestones!$AA$177)&gt;=$Z92),$AC92,IF(AND($Y92&lt;&gt;"",EDATE($D92,Milestones!$AA$177)&gt;=$Y92),$AB92,$AA92)))=Milestones!$AB$177),UPPER(TEXT(EDATE($D92,Milestones!$AA$177),"dd mmm yy"))&amp;" "&amp;Milestones!$AB$177&amp;" "&amp;IF(AND(Milestones!$AB$177="FT",Milestones!$AA$177=FT_Y5,EDATE($D92,Milestones!$AA$177)&lt;PolicyEff),1,Milestones!$AC$177)&amp;";  ","")&amp;IF(AND(EDATE($D92,Milestones!$AA$178)&lt;=AsOfDate,EDATE($D92,Milestones!$AA$178)&gt;=SchemeStart,IF($X92=0,$AD92,IF(AND($Z92&lt;&gt;"",EDATE($D92,Milestones!$AA$178)&gt;=$Z92),$AC92,IF(AND($Y92&lt;&gt;"",EDATE($D92,Milestones!$AA$178)&gt;=$Y92),$AB92,$AA92)))=Milestones!$AB$178),UPPER(TEXT(EDATE($D92,Milestones!$AA$178),"dd mmm yy"))&amp;" "&amp;Milestones!$AB$178&amp;" "&amp;IF(AND(Milestones!$AB$178="FT",Milestones!$AA$178=FT_Y5,EDATE($D92,Milestones!$AA$178)&lt;PolicyEff),1,Milestones!$AC$178)&amp;";  ","")&amp;IF(AND(EDATE($D92,Milestones!$AA$179)&lt;=AsOfDate,EDATE($D92,Milestones!$AA$179)&gt;=SchemeStart,IF($X92=0,$AD92,IF(AND($Z92&lt;&gt;"",EDATE($D92,Milestones!$AA$179)&gt;=$Z92),$AC92,IF(AND($Y92&lt;&gt;"",EDATE($D92,Milestones!$AA$179)&gt;=$Y92),$AB92,$AA92)))=Milestones!$AB$179),UPPER(TEXT(EDATE($D92,Milestones!$AA$179),"dd mmm yy"))&amp;" "&amp;Milestones!$AB$179&amp;" "&amp;IF(AND(Milestones!$AB$179="FT",Milestones!$AA$179=FT_Y5,EDATE($D92,Milestones!$AA$179)&lt;PolicyEff),1,Milestones!$AC$179)&amp;";  ","")&amp;IF(AND(EDATE($D92,Milestones!$AA$180)&lt;=AsOfDate,EDATE($D92,Milestones!$AA$180)&gt;=SchemeStart,IF($X92=0,$AD92,IF(AND($Z92&lt;&gt;"",EDATE($D92,Milestones!$AA$180)&gt;=$Z92),$AC92,IF(AND($Y92&lt;&gt;"",EDATE($D92,Milestones!$AA$180)&gt;=$Y92),$AB92,$AA92)))=Milestones!$AB$180),UPPER(TEXT(EDATE($D92,Milestones!$AA$180),"dd mmm yy"))&amp;" "&amp;Milestones!$AB$180&amp;" "&amp;IF(AND(Milestones!$AB$180="FT",Milestones!$AA$180=FT_Y5,EDATE($D92,Milestones!$AA$180)&lt;PolicyEff),1,Milestones!$AC$180)&amp;";  ","")&amp;IF(AND(EDATE($D92,Milestones!$AA$181)&lt;=AsOfDate,EDATE($D92,Milestones!$AA$181)&gt;=SchemeStart,IF($X92=0,$AD92,IF(AND($Z92&lt;&gt;"",EDATE($D92,Milestones!$AA$181)&gt;=$Z92),$AC92,IF(AND($Y92&lt;&gt;"",EDATE($D92,Milestones!$AA$181)&gt;=$Y92),$AB92,$AA92)))=Milestones!$AB$181),UPPER(TEXT(EDATE($D92,Milestones!$AA$181),"dd mmm yy"))&amp;" "&amp;Milestones!$AB$181&amp;" "&amp;IF(AND(Milestones!$AB$181="FT",Milestones!$AA$181=FT_Y5,EDATE($D92,Milestones!$AA$181)&lt;PolicyEff),1,Milestones!$AC$181)&amp;";  ","")&amp;IF(AND(EDATE($D92,Milestones!$AA$182)&lt;=AsOfDate,EDATE($D92,Milestones!$AA$182)&gt;=SchemeStart,IF($X92=0,$AD92,IF(AND($Z92&lt;&gt;"",EDATE($D92,Milestones!$AA$182)&gt;=$Z92),$AC92,IF(AND($Y92&lt;&gt;"",EDATE($D92,Milestones!$AA$182)&gt;=$Y92),$AB92,$AA92)))=Milestones!$AB$182),UPPER(TEXT(EDATE($D92,Milestones!$AA$182),"dd mmm yy"))&amp;" "&amp;Milestones!$AB$182&amp;" "&amp;IF(AND(Milestones!$AB$182="FT",Milestones!$AA$182=FT_Y5,EDATE($D92,Milestones!$AA$182)&lt;PolicyEff),1,Milestones!$AC$182)&amp;";  ","")&amp;IF(AND(EDATE($D92,Milestones!$AA$183)&lt;=AsOfDate,EDATE($D92,Milestones!$AA$183)&gt;=SchemeStart,IF($X92=0,$AD92,IF(AND($Z92&lt;&gt;"",EDATE($D92,Milestones!$AA$183)&gt;=$Z92),$AC92,IF(AND($Y92&lt;&gt;"",EDATE($D92,Milestones!$AA$183)&gt;=$Y92),$AB92,$AA92)))=Milestones!$AB$183),UPPER(TEXT(EDATE($D92,Milestones!$AA$183),"dd mmm yy"))&amp;" "&amp;Milestones!$AB$183&amp;" "&amp;IF(AND(Milestones!$AB$183="FT",Milestones!$AA$183=FT_Y5,EDATE($D92,Milestones!$AA$183)&lt;PolicyEff),1,Milestones!$AC$183)&amp;";  ","")&amp;IF(AND(EDATE($D92,Milestones!$AA$184)&lt;=AsOfDate,EDATE($D92,Milestones!$AA$184)&gt;=SchemeStart,IF($X92=0,$AD92,IF(AND($Z92&lt;&gt;"",EDATE($D92,Milestones!$AA$184)&gt;=$Z92),$AC92,IF(AND($Y92&lt;&gt;"",EDATE($D92,Milestones!$AA$184)&gt;=$Y92),$AB92,$AA92)))=Milestones!$AB$184),UPPER(TEXT(EDATE($D92,Milestones!$AA$184),"dd mmm yy"))&amp;" "&amp;Milestones!$AB$184&amp;" "&amp;IF(AND(Milestones!$AB$184="FT",Milestones!$AA$184=FT_Y5,EDATE($D92,Milestones!$AA$184)&lt;PolicyEff),1,Milestones!$AC$184)&amp;";  ","")&amp;IF(AND(EDATE($D92,Milestones!$AA$185)&lt;=AsOfDate,EDATE($D92,Milestones!$AA$185)&gt;=SchemeStart,IF($X92=0,$AD92,IF(AND($Z92&lt;&gt;"",EDATE($D92,Milestones!$AA$185)&gt;=$Z92),$AC92,IF(AND($Y92&lt;&gt;"",EDATE($D92,Milestones!$AA$185)&gt;=$Y92),$AB92,$AA92)))=Milestones!$AB$185),UPPER(TEXT(EDATE($D92,Milestones!$AA$185),"dd mmm yy"))&amp;" "&amp;Milestones!$AB$185&amp;" "&amp;IF(AND(Milestones!$AB$185="FT",Milestones!$AA$185=FT_Y5,EDATE($D92,Milestones!$AA$185)&lt;PolicyEff),1,Milestones!$AC$185)&amp;";  ","")&amp;IF(AND(EDATE($D92,Milestones!$AA$186)&lt;=AsOfDate,EDATE($D92,Milestones!$AA$186)&gt;=SchemeStart,IF($X92=0,$AD92,IF(AND($Z92&lt;&gt;"",EDATE($D92,Milestones!$AA$186)&gt;=$Z92),$AC92,IF(AND($Y92&lt;&gt;"",EDATE($D92,Milestones!$AA$186)&gt;=$Y92),$AB92,$AA92)))=Milestones!$AB$186),UPPER(TEXT(EDATE($D92,Milestones!$AA$186),"dd mmm yy"))&amp;" "&amp;Milestones!$AB$186&amp;" "&amp;IF(AND(Milestones!$AB$186="FT",Milestones!$AA$186=FT_Y5,EDATE($D92,Milestones!$AA$186)&lt;PolicyEff),1,Milestones!$AC$186)&amp;";  ","")&amp;IF(AND(EDATE($D92,Milestones!$AA$187)&lt;=AsOfDate,EDATE($D92,Milestones!$AA$187)&gt;=SchemeStart,IF($X92=0,$AD92,IF(AND($Z92&lt;&gt;"",EDATE($D92,Milestones!$AA$187)&gt;=$Z92),$AC92,IF(AND($Y92&lt;&gt;"",EDATE($D92,Milestones!$AA$187)&gt;=$Y92),$AB92,$AA92)))=Milestones!$AB$187),UPPER(TEXT(EDATE($D92,Milestones!$AA$187),"dd mmm yy"))&amp;" "&amp;Milestones!$AB$187&amp;" "&amp;IF(AND(Milestones!$AB$187="FT",Milestones!$AA$187=FT_Y5,EDATE($D92,Milestones!$AA$187)&lt;PolicyEff),1,Milestones!$AC$187)&amp;";  ",""))</f>
        <v/>
      </c>
      <c r="W92" s="0" t="str">
        <f aca="false">IF(OR($A92="",$D92=""),"",IF(AND(EDATE($D92,Milestones!$AA$188)&lt;=AsOfDate,EDATE($D92,Milestones!$AA$188)&gt;=SchemeStart,IF($X92=0,$AD92,IF(AND($Z92&lt;&gt;"",EDATE($D92,Milestones!$AA$188)&gt;=$Z92),$AC92,IF(AND($Y92&lt;&gt;"",EDATE($D92,Milestones!$AA$188)&gt;=$Y92),$AB92,$AA92)))=Milestones!$AB$188),UPPER(TEXT(EDATE($D92,Milestones!$AA$188),"dd mmm yy"))&amp;" "&amp;Milestones!$AB$188&amp;" "&amp;IF(AND(Milestones!$AB$188="FT",Milestones!$AA$188=FT_Y5,EDATE($D92,Milestones!$AA$188)&lt;PolicyEff),1,Milestones!$AC$188)&amp;";  ","")&amp;IF(AND(EDATE($D92,Milestones!$AA$189)&lt;=AsOfDate,EDATE($D92,Milestones!$AA$189)&gt;=SchemeStart,IF($X92=0,$AD92,IF(AND($Z92&lt;&gt;"",EDATE($D92,Milestones!$AA$189)&gt;=$Z92),$AC92,IF(AND($Y92&lt;&gt;"",EDATE($D92,Milestones!$AA$189)&gt;=$Y92),$AB92,$AA92)))=Milestones!$AB$189),UPPER(TEXT(EDATE($D92,Milestones!$AA$189),"dd mmm yy"))&amp;" "&amp;Milestones!$AB$189&amp;" "&amp;IF(AND(Milestones!$AB$189="FT",Milestones!$AA$189=FT_Y5,EDATE($D92,Milestones!$AA$189)&lt;PolicyEff),1,Milestones!$AC$189)&amp;";  ","")&amp;IF(AND(EDATE($D92,Milestones!$AA$190)&lt;=AsOfDate,EDATE($D92,Milestones!$AA$190)&gt;=SchemeStart,IF($X92=0,$AD92,IF(AND($Z92&lt;&gt;"",EDATE($D92,Milestones!$AA$190)&gt;=$Z92),$AC92,IF(AND($Y92&lt;&gt;"",EDATE($D92,Milestones!$AA$190)&gt;=$Y92),$AB92,$AA92)))=Milestones!$AB$190),UPPER(TEXT(EDATE($D92,Milestones!$AA$190),"dd mmm yy"))&amp;" "&amp;Milestones!$AB$190&amp;" "&amp;IF(AND(Milestones!$AB$190="FT",Milestones!$AA$190=FT_Y5,EDATE($D92,Milestones!$AA$190)&lt;PolicyEff),1,Milestones!$AC$190)&amp;";  ","")&amp;IF(AND(EDATE($D92,Milestones!$AA$191)&lt;=AsOfDate,EDATE($D92,Milestones!$AA$191)&gt;=SchemeStart,IF($X92=0,$AD92,IF(AND($Z92&lt;&gt;"",EDATE($D92,Milestones!$AA$191)&gt;=$Z92),$AC92,IF(AND($Y92&lt;&gt;"",EDATE($D92,Milestones!$AA$191)&gt;=$Y92),$AB92,$AA92)))=Milestones!$AB$191),UPPER(TEXT(EDATE($D92,Milestones!$AA$191),"dd mmm yy"))&amp;" "&amp;Milestones!$AB$191&amp;" "&amp;IF(AND(Milestones!$AB$191="FT",Milestones!$AA$191=FT_Y5,EDATE($D92,Milestones!$AA$191)&lt;PolicyEff),1,Milestones!$AC$191)&amp;";  ","")&amp;IF(AND(EDATE($D92,Milestones!$AA$192)&lt;=AsOfDate,EDATE($D92,Milestones!$AA$192)&gt;=SchemeStart,IF($X92=0,$AD92,IF(AND($Z92&lt;&gt;"",EDATE($D92,Milestones!$AA$192)&gt;=$Z92),$AC92,IF(AND($Y92&lt;&gt;"",EDATE($D92,Milestones!$AA$192)&gt;=$Y92),$AB92,$AA92)))=Milestones!$AB$192),UPPER(TEXT(EDATE($D92,Milestones!$AA$192),"dd mmm yy"))&amp;" "&amp;Milestones!$AB$192&amp;" "&amp;IF(AND(Milestones!$AB$192="FT",Milestones!$AA$192=FT_Y5,EDATE($D92,Milestones!$AA$192)&lt;PolicyEff),1,Milestones!$AC$192)&amp;";  ","")&amp;IF(AND(EDATE($D92,Milestones!$AA$193)&lt;=AsOfDate,EDATE($D92,Milestones!$AA$193)&gt;=SchemeStart,IF($X92=0,$AD92,IF(AND($Z92&lt;&gt;"",EDATE($D92,Milestones!$AA$193)&gt;=$Z92),$AC92,IF(AND($Y92&lt;&gt;"",EDATE($D92,Milestones!$AA$193)&gt;=$Y92),$AB92,$AA92)))=Milestones!$AB$193),UPPER(TEXT(EDATE($D92,Milestones!$AA$193),"dd mmm yy"))&amp;" "&amp;Milestones!$AB$193&amp;" "&amp;IF(AND(Milestones!$AB$193="FT",Milestones!$AA$193=FT_Y5,EDATE($D92,Milestones!$AA$193)&lt;PolicyEff),1,Milestones!$AC$193)&amp;";  ","")&amp;IF(AND(EDATE($D92,Milestones!$AA$194)&lt;=AsOfDate,EDATE($D92,Milestones!$AA$194)&gt;=SchemeStart,IF($X92=0,$AD92,IF(AND($Z92&lt;&gt;"",EDATE($D92,Milestones!$AA$194)&gt;=$Z92),$AC92,IF(AND($Y92&lt;&gt;"",EDATE($D92,Milestones!$AA$194)&gt;=$Y92),$AB92,$AA92)))=Milestones!$AB$194),UPPER(TEXT(EDATE($D92,Milestones!$AA$194),"dd mmm yy"))&amp;" "&amp;Milestones!$AB$194&amp;" "&amp;IF(AND(Milestones!$AB$194="FT",Milestones!$AA$194=FT_Y5,EDATE($D92,Milestones!$AA$194)&lt;PolicyEff),1,Milestones!$AC$194)&amp;";  ","")&amp;IF(AND(EDATE($D92,Milestones!$AA$195)&lt;=AsOfDate,EDATE($D92,Milestones!$AA$195)&gt;=SchemeStart,IF($X92=0,$AD92,IF(AND($Z92&lt;&gt;"",EDATE($D92,Milestones!$AA$195)&gt;=$Z92),$AC92,IF(AND($Y92&lt;&gt;"",EDATE($D92,Milestones!$AA$195)&gt;=$Y92),$AB92,$AA92)))=Milestones!$AB$195),UPPER(TEXT(EDATE($D92,Milestones!$AA$195),"dd mmm yy"))&amp;" "&amp;Milestones!$AB$195&amp;" "&amp;IF(AND(Milestones!$AB$195="FT",Milestones!$AA$195=FT_Y5,EDATE($D92,Milestones!$AA$195)&lt;PolicyEff),1,Milestones!$AC$195)&amp;";  ","")&amp;IF(AND(EDATE($D92,Milestones!$AA$196)&lt;=AsOfDate,EDATE($D92,Milestones!$AA$196)&gt;=SchemeStart,IF($X92=0,$AD92,IF(AND($Z92&lt;&gt;"",EDATE($D92,Milestones!$AA$196)&gt;=$Z92),$AC92,IF(AND($Y92&lt;&gt;"",EDATE($D92,Milestones!$AA$196)&gt;=$Y92),$AB92,$AA92)))=Milestones!$AB$196),UPPER(TEXT(EDATE($D92,Milestones!$AA$196),"dd mmm yy"))&amp;" "&amp;Milestones!$AB$196&amp;" "&amp;IF(AND(Milestones!$AB$196="FT",Milestones!$AA$196=FT_Y5,EDATE($D92,Milestones!$AA$196)&lt;PolicyEff),1,Milestones!$AC$196)&amp;";  ","")&amp;IF(AND(EDATE($D92,Milestones!$AA$197)&lt;=AsOfDate,EDATE($D92,Milestones!$AA$197)&gt;=SchemeStart,IF($X92=0,$AD92,IF(AND($Z92&lt;&gt;"",EDATE($D92,Milestones!$AA$197)&gt;=$Z92),$AC92,IF(AND($Y92&lt;&gt;"",EDATE($D92,Milestones!$AA$197)&gt;=$Y92),$AB92,$AA92)))=Milestones!$AB$197),UPPER(TEXT(EDATE($D92,Milestones!$AA$197),"dd mmm yy"))&amp;" "&amp;Milestones!$AB$197&amp;" "&amp;IF(AND(Milestones!$AB$197="FT",Milestones!$AA$197=FT_Y5,EDATE($D92,Milestones!$AA$197)&lt;PolicyEff),1,Milestones!$AC$197)&amp;";  ","")&amp;IF(AND(EDATE($D92,Milestones!$AA$198)&lt;=AsOfDate,EDATE($D92,Milestones!$AA$198)&gt;=SchemeStart,IF($X92=0,$AD92,IF(AND($Z92&lt;&gt;"",EDATE($D92,Milestones!$AA$198)&gt;=$Z92),$AC92,IF(AND($Y92&lt;&gt;"",EDATE($D92,Milestones!$AA$198)&gt;=$Y92),$AB92,$AA92)))=Milestones!$AB$198),UPPER(TEXT(EDATE($D92,Milestones!$AA$198),"dd mmm yy"))&amp;" "&amp;Milestones!$AB$198&amp;" "&amp;IF(AND(Milestones!$AB$198="FT",Milestones!$AA$198=FT_Y5,EDATE($D92,Milestones!$AA$198)&lt;PolicyEff),1,Milestones!$AC$198)&amp;";  ","")&amp;IF(AND(EDATE($D92,Milestones!$AA$199)&lt;=AsOfDate,EDATE($D92,Milestones!$AA$199)&gt;=SchemeStart,IF($X92=0,$AD92,IF(AND($Z92&lt;&gt;"",EDATE($D92,Milestones!$AA$199)&gt;=$Z92),$AC92,IF(AND($Y92&lt;&gt;"",EDATE($D92,Milestones!$AA$199)&gt;=$Y92),$AB92,$AA92)))=Milestones!$AB$199),UPPER(TEXT(EDATE($D92,Milestones!$AA$199),"dd mmm yy"))&amp;" "&amp;Milestones!$AB$199&amp;" "&amp;IF(AND(Milestones!$AB$199="FT",Milestones!$AA$199=FT_Y5,EDATE($D92,Milestones!$AA$199)&lt;PolicyEff),1,Milestones!$AC$199)&amp;";  ",""))</f>
        <v/>
      </c>
      <c r="X92" s="0" t="str">
        <f aca="false">IF(Staff!$A92="","",Staff!$AM92)</f>
        <v/>
      </c>
      <c r="Y92" s="0" t="str">
        <f aca="false">IF(Staff!$A92="","",Staff!$AO92)</f>
        <v/>
      </c>
      <c r="Z92" s="0" t="str">
        <f aca="false">IF(Staff!$A92="","",Staff!$AP92)</f>
        <v/>
      </c>
      <c r="AA92" s="0" t="str">
        <f aca="false">IF(Staff!$A92="","",Staff!$AT92)</f>
        <v/>
      </c>
      <c r="AB92" s="0" t="str">
        <f aca="false">IF(Staff!$A92="","",Staff!$AU92)</f>
        <v/>
      </c>
      <c r="AC92" s="0" t="str">
        <f aca="false">IF(Staff!$A92="","",Staff!$AV92)</f>
        <v/>
      </c>
      <c r="AD92" s="0" t="str">
        <f aca="false">IF(Staff!$A92="","",Staff!$AW92)</f>
        <v/>
      </c>
    </row>
    <row r="93" customFormat="false" ht="15" hidden="false" customHeight="false" outlineLevel="0" collapsed="false">
      <c r="A93" s="16" t="str">
        <f aca="false">IF(Staff!$A93="","",Staff!$A93)</f>
        <v/>
      </c>
      <c r="B93" s="16" t="str">
        <f aca="false">IF(Staff!$A93="","",Staff!$B93)</f>
        <v/>
      </c>
      <c r="C93" s="16" t="str">
        <f aca="false">IF(Staff!$A93="","",Staff!$C93)</f>
        <v/>
      </c>
      <c r="D93" s="14" t="str">
        <f aca="false">IF(Staff!$A93="","",Staff!$AL93)</f>
        <v/>
      </c>
      <c r="E93" s="16" t="str">
        <f aca="false">IF(Staff!$A93="","",Staff!$O93)</f>
        <v/>
      </c>
      <c r="F93" s="16" t="str">
        <f aca="false">IF(E93="","",E93*HoursPerDay)</f>
        <v/>
      </c>
      <c r="G93" s="16" t="str">
        <f aca="false">IF(Staff!$A93="","",Staff!$AE93)</f>
        <v/>
      </c>
      <c r="H93" s="28" t="str">
        <f aca="false">IF($A93="","",I93&amp;J93&amp;K93&amp;L93&amp;M93&amp;N93&amp;O93&amp;P93&amp;Q93&amp;R93&amp;S93&amp;T93&amp;U93&amp;V93&amp;W93)</f>
        <v/>
      </c>
      <c r="I93" s="0" t="str">
        <f aca="false">IF(OR($A93="",$D93=""),"",IF(AND(EDATE($D93,Milestones!$AA$20)&lt;=AsOfDate,EDATE($D93,Milestones!$AA$20)&gt;=SchemeStart,IF($X93=0,$AD93,IF(AND($Z93&lt;&gt;"",EDATE($D93,Milestones!$AA$20)&gt;=$Z93),$AC93,IF(AND($Y93&lt;&gt;"",EDATE($D93,Milestones!$AA$20)&gt;=$Y93),$AB93,$AA93)))=Milestones!$AB$20),UPPER(TEXT(EDATE($D93,Milestones!$AA$20),"dd mmm yy"))&amp;" "&amp;Milestones!$AB$20&amp;" "&amp;IF(AND(Milestones!$AB$20="FT",Milestones!$AA$20=FT_Y5,EDATE($D93,Milestones!$AA$20)&lt;PolicyEff),1,Milestones!$AC$20)&amp;";  ","")&amp;IF(AND(EDATE($D93,Milestones!$AA$21)&lt;=AsOfDate,EDATE($D93,Milestones!$AA$21)&gt;=SchemeStart,IF($X93=0,$AD93,IF(AND($Z93&lt;&gt;"",EDATE($D93,Milestones!$AA$21)&gt;=$Z93),$AC93,IF(AND($Y93&lt;&gt;"",EDATE($D93,Milestones!$AA$21)&gt;=$Y93),$AB93,$AA93)))=Milestones!$AB$21),UPPER(TEXT(EDATE($D93,Milestones!$AA$21),"dd mmm yy"))&amp;" "&amp;Milestones!$AB$21&amp;" "&amp;IF(AND(Milestones!$AB$21="FT",Milestones!$AA$21=FT_Y5,EDATE($D93,Milestones!$AA$21)&lt;PolicyEff),1,Milestones!$AC$21)&amp;";  ","")&amp;IF(AND(EDATE($D93,Milestones!$AA$22)&lt;=AsOfDate,EDATE($D93,Milestones!$AA$22)&gt;=SchemeStart,IF($X93=0,$AD93,IF(AND($Z93&lt;&gt;"",EDATE($D93,Milestones!$AA$22)&gt;=$Z93),$AC93,IF(AND($Y93&lt;&gt;"",EDATE($D93,Milestones!$AA$22)&gt;=$Y93),$AB93,$AA93)))=Milestones!$AB$22),UPPER(TEXT(EDATE($D93,Milestones!$AA$22),"dd mmm yy"))&amp;" "&amp;Milestones!$AB$22&amp;" "&amp;IF(AND(Milestones!$AB$22="FT",Milestones!$AA$22=FT_Y5,EDATE($D93,Milestones!$AA$22)&lt;PolicyEff),1,Milestones!$AC$22)&amp;";  ","")&amp;IF(AND(EDATE($D93,Milestones!$AA$23)&lt;=AsOfDate,EDATE($D93,Milestones!$AA$23)&gt;=SchemeStart,IF($X93=0,$AD93,IF(AND($Z93&lt;&gt;"",EDATE($D93,Milestones!$AA$23)&gt;=$Z93),$AC93,IF(AND($Y93&lt;&gt;"",EDATE($D93,Milestones!$AA$23)&gt;=$Y93),$AB93,$AA93)))=Milestones!$AB$23),UPPER(TEXT(EDATE($D93,Milestones!$AA$23),"dd mmm yy"))&amp;" "&amp;Milestones!$AB$23&amp;" "&amp;IF(AND(Milestones!$AB$23="FT",Milestones!$AA$23=FT_Y5,EDATE($D93,Milestones!$AA$23)&lt;PolicyEff),1,Milestones!$AC$23)&amp;";  ","")&amp;IF(AND(EDATE($D93,Milestones!$AA$24)&lt;=AsOfDate,EDATE($D93,Milestones!$AA$24)&gt;=SchemeStart,IF($X93=0,$AD93,IF(AND($Z93&lt;&gt;"",EDATE($D93,Milestones!$AA$24)&gt;=$Z93),$AC93,IF(AND($Y93&lt;&gt;"",EDATE($D93,Milestones!$AA$24)&gt;=$Y93),$AB93,$AA93)))=Milestones!$AB$24),UPPER(TEXT(EDATE($D93,Milestones!$AA$24),"dd mmm yy"))&amp;" "&amp;Milestones!$AB$24&amp;" "&amp;IF(AND(Milestones!$AB$24="FT",Milestones!$AA$24=FT_Y5,EDATE($D93,Milestones!$AA$24)&lt;PolicyEff),1,Milestones!$AC$24)&amp;";  ","")&amp;IF(AND(EDATE($D93,Milestones!$AA$25)&lt;=AsOfDate,EDATE($D93,Milestones!$AA$25)&gt;=SchemeStart,IF($X93=0,$AD93,IF(AND($Z93&lt;&gt;"",EDATE($D93,Milestones!$AA$25)&gt;=$Z93),$AC93,IF(AND($Y93&lt;&gt;"",EDATE($D93,Milestones!$AA$25)&gt;=$Y93),$AB93,$AA93)))=Milestones!$AB$25),UPPER(TEXT(EDATE($D93,Milestones!$AA$25),"dd mmm yy"))&amp;" "&amp;Milestones!$AB$25&amp;" "&amp;IF(AND(Milestones!$AB$25="FT",Milestones!$AA$25=FT_Y5,EDATE($D93,Milestones!$AA$25)&lt;PolicyEff),1,Milestones!$AC$25)&amp;";  ","")&amp;IF(AND(EDATE($D93,Milestones!$AA$26)&lt;=AsOfDate,EDATE($D93,Milestones!$AA$26)&gt;=SchemeStart,IF($X93=0,$AD93,IF(AND($Z93&lt;&gt;"",EDATE($D93,Milestones!$AA$26)&gt;=$Z93),$AC93,IF(AND($Y93&lt;&gt;"",EDATE($D93,Milestones!$AA$26)&gt;=$Y93),$AB93,$AA93)))=Milestones!$AB$26),UPPER(TEXT(EDATE($D93,Milestones!$AA$26),"dd mmm yy"))&amp;" "&amp;Milestones!$AB$26&amp;" "&amp;IF(AND(Milestones!$AB$26="FT",Milestones!$AA$26=FT_Y5,EDATE($D93,Milestones!$AA$26)&lt;PolicyEff),1,Milestones!$AC$26)&amp;";  ","")&amp;IF(AND(EDATE($D93,Milestones!$AA$27)&lt;=AsOfDate,EDATE($D93,Milestones!$AA$27)&gt;=SchemeStart,IF($X93=0,$AD93,IF(AND($Z93&lt;&gt;"",EDATE($D93,Milestones!$AA$27)&gt;=$Z93),$AC93,IF(AND($Y93&lt;&gt;"",EDATE($D93,Milestones!$AA$27)&gt;=$Y93),$AB93,$AA93)))=Milestones!$AB$27),UPPER(TEXT(EDATE($D93,Milestones!$AA$27),"dd mmm yy"))&amp;" "&amp;Milestones!$AB$27&amp;" "&amp;IF(AND(Milestones!$AB$27="FT",Milestones!$AA$27=FT_Y5,EDATE($D93,Milestones!$AA$27)&lt;PolicyEff),1,Milestones!$AC$27)&amp;";  ","")&amp;IF(AND(EDATE($D93,Milestones!$AA$28)&lt;=AsOfDate,EDATE($D93,Milestones!$AA$28)&gt;=SchemeStart,IF($X93=0,$AD93,IF(AND($Z93&lt;&gt;"",EDATE($D93,Milestones!$AA$28)&gt;=$Z93),$AC93,IF(AND($Y93&lt;&gt;"",EDATE($D93,Milestones!$AA$28)&gt;=$Y93),$AB93,$AA93)))=Milestones!$AB$28),UPPER(TEXT(EDATE($D93,Milestones!$AA$28),"dd mmm yy"))&amp;" "&amp;Milestones!$AB$28&amp;" "&amp;IF(AND(Milestones!$AB$28="FT",Milestones!$AA$28=FT_Y5,EDATE($D93,Milestones!$AA$28)&lt;PolicyEff),1,Milestones!$AC$28)&amp;";  ","")&amp;IF(AND(EDATE($D93,Milestones!$AA$29)&lt;=AsOfDate,EDATE($D93,Milestones!$AA$29)&gt;=SchemeStart,IF($X93=0,$AD93,IF(AND($Z93&lt;&gt;"",EDATE($D93,Milestones!$AA$29)&gt;=$Z93),$AC93,IF(AND($Y93&lt;&gt;"",EDATE($D93,Milestones!$AA$29)&gt;=$Y93),$AB93,$AA93)))=Milestones!$AB$29),UPPER(TEXT(EDATE($D93,Milestones!$AA$29),"dd mmm yy"))&amp;" "&amp;Milestones!$AB$29&amp;" "&amp;IF(AND(Milestones!$AB$29="FT",Milestones!$AA$29=FT_Y5,EDATE($D93,Milestones!$AA$29)&lt;PolicyEff),1,Milestones!$AC$29)&amp;";  ","")&amp;IF(AND(EDATE($D93,Milestones!$AA$30)&lt;=AsOfDate,EDATE($D93,Milestones!$AA$30)&gt;=SchemeStart,IF($X93=0,$AD93,IF(AND($Z93&lt;&gt;"",EDATE($D93,Milestones!$AA$30)&gt;=$Z93),$AC93,IF(AND($Y93&lt;&gt;"",EDATE($D93,Milestones!$AA$30)&gt;=$Y93),$AB93,$AA93)))=Milestones!$AB$30),UPPER(TEXT(EDATE($D93,Milestones!$AA$30),"dd mmm yy"))&amp;" "&amp;Milestones!$AB$30&amp;" "&amp;IF(AND(Milestones!$AB$30="FT",Milestones!$AA$30=FT_Y5,EDATE($D93,Milestones!$AA$30)&lt;PolicyEff),1,Milestones!$AC$30)&amp;";  ","")&amp;IF(AND(EDATE($D93,Milestones!$AA$31)&lt;=AsOfDate,EDATE($D93,Milestones!$AA$31)&gt;=SchemeStart,IF($X93=0,$AD93,IF(AND($Z93&lt;&gt;"",EDATE($D93,Milestones!$AA$31)&gt;=$Z93),$AC93,IF(AND($Y93&lt;&gt;"",EDATE($D93,Milestones!$AA$31)&gt;=$Y93),$AB93,$AA93)))=Milestones!$AB$31),UPPER(TEXT(EDATE($D93,Milestones!$AA$31),"dd mmm yy"))&amp;" "&amp;Milestones!$AB$31&amp;" "&amp;IF(AND(Milestones!$AB$31="FT",Milestones!$AA$31=FT_Y5,EDATE($D93,Milestones!$AA$31)&lt;PolicyEff),1,Milestones!$AC$31)&amp;";  ",""))</f>
        <v/>
      </c>
      <c r="J93" s="0" t="str">
        <f aca="false">IF(OR($A93="",$D93=""),"",IF(AND(EDATE($D93,Milestones!$AA$32)&lt;=AsOfDate,EDATE($D93,Milestones!$AA$32)&gt;=SchemeStart,IF($X93=0,$AD93,IF(AND($Z93&lt;&gt;"",EDATE($D93,Milestones!$AA$32)&gt;=$Z93),$AC93,IF(AND($Y93&lt;&gt;"",EDATE($D93,Milestones!$AA$32)&gt;=$Y93),$AB93,$AA93)))=Milestones!$AB$32),UPPER(TEXT(EDATE($D93,Milestones!$AA$32),"dd mmm yy"))&amp;" "&amp;Milestones!$AB$32&amp;" "&amp;IF(AND(Milestones!$AB$32="FT",Milestones!$AA$32=FT_Y5,EDATE($D93,Milestones!$AA$32)&lt;PolicyEff),1,Milestones!$AC$32)&amp;";  ","")&amp;IF(AND(EDATE($D93,Milestones!$AA$33)&lt;=AsOfDate,EDATE($D93,Milestones!$AA$33)&gt;=SchemeStart,IF($X93=0,$AD93,IF(AND($Z93&lt;&gt;"",EDATE($D93,Milestones!$AA$33)&gt;=$Z93),$AC93,IF(AND($Y93&lt;&gt;"",EDATE($D93,Milestones!$AA$33)&gt;=$Y93),$AB93,$AA93)))=Milestones!$AB$33),UPPER(TEXT(EDATE($D93,Milestones!$AA$33),"dd mmm yy"))&amp;" "&amp;Milestones!$AB$33&amp;" "&amp;IF(AND(Milestones!$AB$33="FT",Milestones!$AA$33=FT_Y5,EDATE($D93,Milestones!$AA$33)&lt;PolicyEff),1,Milestones!$AC$33)&amp;";  ","")&amp;IF(AND(EDATE($D93,Milestones!$AA$34)&lt;=AsOfDate,EDATE($D93,Milestones!$AA$34)&gt;=SchemeStart,IF($X93=0,$AD93,IF(AND($Z93&lt;&gt;"",EDATE($D93,Milestones!$AA$34)&gt;=$Z93),$AC93,IF(AND($Y93&lt;&gt;"",EDATE($D93,Milestones!$AA$34)&gt;=$Y93),$AB93,$AA93)))=Milestones!$AB$34),UPPER(TEXT(EDATE($D93,Milestones!$AA$34),"dd mmm yy"))&amp;" "&amp;Milestones!$AB$34&amp;" "&amp;IF(AND(Milestones!$AB$34="FT",Milestones!$AA$34=FT_Y5,EDATE($D93,Milestones!$AA$34)&lt;PolicyEff),1,Milestones!$AC$34)&amp;";  ","")&amp;IF(AND(EDATE($D93,Milestones!$AA$35)&lt;=AsOfDate,EDATE($D93,Milestones!$AA$35)&gt;=SchemeStart,IF($X93=0,$AD93,IF(AND($Z93&lt;&gt;"",EDATE($D93,Milestones!$AA$35)&gt;=$Z93),$AC93,IF(AND($Y93&lt;&gt;"",EDATE($D93,Milestones!$AA$35)&gt;=$Y93),$AB93,$AA93)))=Milestones!$AB$35),UPPER(TEXT(EDATE($D93,Milestones!$AA$35),"dd mmm yy"))&amp;" "&amp;Milestones!$AB$35&amp;" "&amp;IF(AND(Milestones!$AB$35="FT",Milestones!$AA$35=FT_Y5,EDATE($D93,Milestones!$AA$35)&lt;PolicyEff),1,Milestones!$AC$35)&amp;";  ","")&amp;IF(AND(EDATE($D93,Milestones!$AA$36)&lt;=AsOfDate,EDATE($D93,Milestones!$AA$36)&gt;=SchemeStart,IF($X93=0,$AD93,IF(AND($Z93&lt;&gt;"",EDATE($D93,Milestones!$AA$36)&gt;=$Z93),$AC93,IF(AND($Y93&lt;&gt;"",EDATE($D93,Milestones!$AA$36)&gt;=$Y93),$AB93,$AA93)))=Milestones!$AB$36),UPPER(TEXT(EDATE($D93,Milestones!$AA$36),"dd mmm yy"))&amp;" "&amp;Milestones!$AB$36&amp;" "&amp;IF(AND(Milestones!$AB$36="FT",Milestones!$AA$36=FT_Y5,EDATE($D93,Milestones!$AA$36)&lt;PolicyEff),1,Milestones!$AC$36)&amp;";  ","")&amp;IF(AND(EDATE($D93,Milestones!$AA$37)&lt;=AsOfDate,EDATE($D93,Milestones!$AA$37)&gt;=SchemeStart,IF($X93=0,$AD93,IF(AND($Z93&lt;&gt;"",EDATE($D93,Milestones!$AA$37)&gt;=$Z93),$AC93,IF(AND($Y93&lt;&gt;"",EDATE($D93,Milestones!$AA$37)&gt;=$Y93),$AB93,$AA93)))=Milestones!$AB$37),UPPER(TEXT(EDATE($D93,Milestones!$AA$37),"dd mmm yy"))&amp;" "&amp;Milestones!$AB$37&amp;" "&amp;IF(AND(Milestones!$AB$37="FT",Milestones!$AA$37=FT_Y5,EDATE($D93,Milestones!$AA$37)&lt;PolicyEff),1,Milestones!$AC$37)&amp;";  ","")&amp;IF(AND(EDATE($D93,Milestones!$AA$38)&lt;=AsOfDate,EDATE($D93,Milestones!$AA$38)&gt;=SchemeStart,IF($X93=0,$AD93,IF(AND($Z93&lt;&gt;"",EDATE($D93,Milestones!$AA$38)&gt;=$Z93),$AC93,IF(AND($Y93&lt;&gt;"",EDATE($D93,Milestones!$AA$38)&gt;=$Y93),$AB93,$AA93)))=Milestones!$AB$38),UPPER(TEXT(EDATE($D93,Milestones!$AA$38),"dd mmm yy"))&amp;" "&amp;Milestones!$AB$38&amp;" "&amp;IF(AND(Milestones!$AB$38="FT",Milestones!$AA$38=FT_Y5,EDATE($D93,Milestones!$AA$38)&lt;PolicyEff),1,Milestones!$AC$38)&amp;";  ","")&amp;IF(AND(EDATE($D93,Milestones!$AA$39)&lt;=AsOfDate,EDATE($D93,Milestones!$AA$39)&gt;=SchemeStart,IF($X93=0,$AD93,IF(AND($Z93&lt;&gt;"",EDATE($D93,Milestones!$AA$39)&gt;=$Z93),$AC93,IF(AND($Y93&lt;&gt;"",EDATE($D93,Milestones!$AA$39)&gt;=$Y93),$AB93,$AA93)))=Milestones!$AB$39),UPPER(TEXT(EDATE($D93,Milestones!$AA$39),"dd mmm yy"))&amp;" "&amp;Milestones!$AB$39&amp;" "&amp;IF(AND(Milestones!$AB$39="FT",Milestones!$AA$39=FT_Y5,EDATE($D93,Milestones!$AA$39)&lt;PolicyEff),1,Milestones!$AC$39)&amp;";  ","")&amp;IF(AND(EDATE($D93,Milestones!$AA$40)&lt;=AsOfDate,EDATE($D93,Milestones!$AA$40)&gt;=SchemeStart,IF($X93=0,$AD93,IF(AND($Z93&lt;&gt;"",EDATE($D93,Milestones!$AA$40)&gt;=$Z93),$AC93,IF(AND($Y93&lt;&gt;"",EDATE($D93,Milestones!$AA$40)&gt;=$Y93),$AB93,$AA93)))=Milestones!$AB$40),UPPER(TEXT(EDATE($D93,Milestones!$AA$40),"dd mmm yy"))&amp;" "&amp;Milestones!$AB$40&amp;" "&amp;IF(AND(Milestones!$AB$40="FT",Milestones!$AA$40=FT_Y5,EDATE($D93,Milestones!$AA$40)&lt;PolicyEff),1,Milestones!$AC$40)&amp;";  ","")&amp;IF(AND(EDATE($D93,Milestones!$AA$41)&lt;=AsOfDate,EDATE($D93,Milestones!$AA$41)&gt;=SchemeStart,IF($X93=0,$AD93,IF(AND($Z93&lt;&gt;"",EDATE($D93,Milestones!$AA$41)&gt;=$Z93),$AC93,IF(AND($Y93&lt;&gt;"",EDATE($D93,Milestones!$AA$41)&gt;=$Y93),$AB93,$AA93)))=Milestones!$AB$41),UPPER(TEXT(EDATE($D93,Milestones!$AA$41),"dd mmm yy"))&amp;" "&amp;Milestones!$AB$41&amp;" "&amp;IF(AND(Milestones!$AB$41="FT",Milestones!$AA$41=FT_Y5,EDATE($D93,Milestones!$AA$41)&lt;PolicyEff),1,Milestones!$AC$41)&amp;";  ","")&amp;IF(AND(EDATE($D93,Milestones!$AA$42)&lt;=AsOfDate,EDATE($D93,Milestones!$AA$42)&gt;=SchemeStart,IF($X93=0,$AD93,IF(AND($Z93&lt;&gt;"",EDATE($D93,Milestones!$AA$42)&gt;=$Z93),$AC93,IF(AND($Y93&lt;&gt;"",EDATE($D93,Milestones!$AA$42)&gt;=$Y93),$AB93,$AA93)))=Milestones!$AB$42),UPPER(TEXT(EDATE($D93,Milestones!$AA$42),"dd mmm yy"))&amp;" "&amp;Milestones!$AB$42&amp;" "&amp;IF(AND(Milestones!$AB$42="FT",Milestones!$AA$42=FT_Y5,EDATE($D93,Milestones!$AA$42)&lt;PolicyEff),1,Milestones!$AC$42)&amp;";  ","")&amp;IF(AND(EDATE($D93,Milestones!$AA$43)&lt;=AsOfDate,EDATE($D93,Milestones!$AA$43)&gt;=SchemeStart,IF($X93=0,$AD93,IF(AND($Z93&lt;&gt;"",EDATE($D93,Milestones!$AA$43)&gt;=$Z93),$AC93,IF(AND($Y93&lt;&gt;"",EDATE($D93,Milestones!$AA$43)&gt;=$Y93),$AB93,$AA93)))=Milestones!$AB$43),UPPER(TEXT(EDATE($D93,Milestones!$AA$43),"dd mmm yy"))&amp;" "&amp;Milestones!$AB$43&amp;" "&amp;IF(AND(Milestones!$AB$43="FT",Milestones!$AA$43=FT_Y5,EDATE($D93,Milestones!$AA$43)&lt;PolicyEff),1,Milestones!$AC$43)&amp;";  ",""))</f>
        <v/>
      </c>
      <c r="K93" s="0" t="str">
        <f aca="false">IF(OR($A93="",$D93=""),"",IF(AND(EDATE($D93,Milestones!$AA$44)&lt;=AsOfDate,EDATE($D93,Milestones!$AA$44)&gt;=SchemeStart,IF($X93=0,$AD93,IF(AND($Z93&lt;&gt;"",EDATE($D93,Milestones!$AA$44)&gt;=$Z93),$AC93,IF(AND($Y93&lt;&gt;"",EDATE($D93,Milestones!$AA$44)&gt;=$Y93),$AB93,$AA93)))=Milestones!$AB$44),UPPER(TEXT(EDATE($D93,Milestones!$AA$44),"dd mmm yy"))&amp;" "&amp;Milestones!$AB$44&amp;" "&amp;IF(AND(Milestones!$AB$44="FT",Milestones!$AA$44=FT_Y5,EDATE($D93,Milestones!$AA$44)&lt;PolicyEff),1,Milestones!$AC$44)&amp;";  ","")&amp;IF(AND(EDATE($D93,Milestones!$AA$45)&lt;=AsOfDate,EDATE($D93,Milestones!$AA$45)&gt;=SchemeStart,IF($X93=0,$AD93,IF(AND($Z93&lt;&gt;"",EDATE($D93,Milestones!$AA$45)&gt;=$Z93),$AC93,IF(AND($Y93&lt;&gt;"",EDATE($D93,Milestones!$AA$45)&gt;=$Y93),$AB93,$AA93)))=Milestones!$AB$45),UPPER(TEXT(EDATE($D93,Milestones!$AA$45),"dd mmm yy"))&amp;" "&amp;Milestones!$AB$45&amp;" "&amp;IF(AND(Milestones!$AB$45="FT",Milestones!$AA$45=FT_Y5,EDATE($D93,Milestones!$AA$45)&lt;PolicyEff),1,Milestones!$AC$45)&amp;";  ","")&amp;IF(AND(EDATE($D93,Milestones!$AA$46)&lt;=AsOfDate,EDATE($D93,Milestones!$AA$46)&gt;=SchemeStart,IF($X93=0,$AD93,IF(AND($Z93&lt;&gt;"",EDATE($D93,Milestones!$AA$46)&gt;=$Z93),$AC93,IF(AND($Y93&lt;&gt;"",EDATE($D93,Milestones!$AA$46)&gt;=$Y93),$AB93,$AA93)))=Milestones!$AB$46),UPPER(TEXT(EDATE($D93,Milestones!$AA$46),"dd mmm yy"))&amp;" "&amp;Milestones!$AB$46&amp;" "&amp;IF(AND(Milestones!$AB$46="FT",Milestones!$AA$46=FT_Y5,EDATE($D93,Milestones!$AA$46)&lt;PolicyEff),1,Milestones!$AC$46)&amp;";  ","")&amp;IF(AND(EDATE($D93,Milestones!$AA$47)&lt;=AsOfDate,EDATE($D93,Milestones!$AA$47)&gt;=SchemeStart,IF($X93=0,$AD93,IF(AND($Z93&lt;&gt;"",EDATE($D93,Milestones!$AA$47)&gt;=$Z93),$AC93,IF(AND($Y93&lt;&gt;"",EDATE($D93,Milestones!$AA$47)&gt;=$Y93),$AB93,$AA93)))=Milestones!$AB$47),UPPER(TEXT(EDATE($D93,Milestones!$AA$47),"dd mmm yy"))&amp;" "&amp;Milestones!$AB$47&amp;" "&amp;IF(AND(Milestones!$AB$47="FT",Milestones!$AA$47=FT_Y5,EDATE($D93,Milestones!$AA$47)&lt;PolicyEff),1,Milestones!$AC$47)&amp;";  ","")&amp;IF(AND(EDATE($D93,Milestones!$AA$48)&lt;=AsOfDate,EDATE($D93,Milestones!$AA$48)&gt;=SchemeStart,IF($X93=0,$AD93,IF(AND($Z93&lt;&gt;"",EDATE($D93,Milestones!$AA$48)&gt;=$Z93),$AC93,IF(AND($Y93&lt;&gt;"",EDATE($D93,Milestones!$AA$48)&gt;=$Y93),$AB93,$AA93)))=Milestones!$AB$48),UPPER(TEXT(EDATE($D93,Milestones!$AA$48),"dd mmm yy"))&amp;" "&amp;Milestones!$AB$48&amp;" "&amp;IF(AND(Milestones!$AB$48="FT",Milestones!$AA$48=FT_Y5,EDATE($D93,Milestones!$AA$48)&lt;PolicyEff),1,Milestones!$AC$48)&amp;";  ","")&amp;IF(AND(EDATE($D93,Milestones!$AA$49)&lt;=AsOfDate,EDATE($D93,Milestones!$AA$49)&gt;=SchemeStart,IF($X93=0,$AD93,IF(AND($Z93&lt;&gt;"",EDATE($D93,Milestones!$AA$49)&gt;=$Z93),$AC93,IF(AND($Y93&lt;&gt;"",EDATE($D93,Milestones!$AA$49)&gt;=$Y93),$AB93,$AA93)))=Milestones!$AB$49),UPPER(TEXT(EDATE($D93,Milestones!$AA$49),"dd mmm yy"))&amp;" "&amp;Milestones!$AB$49&amp;" "&amp;IF(AND(Milestones!$AB$49="FT",Milestones!$AA$49=FT_Y5,EDATE($D93,Milestones!$AA$49)&lt;PolicyEff),1,Milestones!$AC$49)&amp;";  ","")&amp;IF(AND(EDATE($D93,Milestones!$AA$50)&lt;=AsOfDate,EDATE($D93,Milestones!$AA$50)&gt;=SchemeStart,IF($X93=0,$AD93,IF(AND($Z93&lt;&gt;"",EDATE($D93,Milestones!$AA$50)&gt;=$Z93),$AC93,IF(AND($Y93&lt;&gt;"",EDATE($D93,Milestones!$AA$50)&gt;=$Y93),$AB93,$AA93)))=Milestones!$AB$50),UPPER(TEXT(EDATE($D93,Milestones!$AA$50),"dd mmm yy"))&amp;" "&amp;Milestones!$AB$50&amp;" "&amp;IF(AND(Milestones!$AB$50="FT",Milestones!$AA$50=FT_Y5,EDATE($D93,Milestones!$AA$50)&lt;PolicyEff),1,Milestones!$AC$50)&amp;";  ","")&amp;IF(AND(EDATE($D93,Milestones!$AA$51)&lt;=AsOfDate,EDATE($D93,Milestones!$AA$51)&gt;=SchemeStart,IF($X93=0,$AD93,IF(AND($Z93&lt;&gt;"",EDATE($D93,Milestones!$AA$51)&gt;=$Z93),$AC93,IF(AND($Y93&lt;&gt;"",EDATE($D93,Milestones!$AA$51)&gt;=$Y93),$AB93,$AA93)))=Milestones!$AB$51),UPPER(TEXT(EDATE($D93,Milestones!$AA$51),"dd mmm yy"))&amp;" "&amp;Milestones!$AB$51&amp;" "&amp;IF(AND(Milestones!$AB$51="FT",Milestones!$AA$51=FT_Y5,EDATE($D93,Milestones!$AA$51)&lt;PolicyEff),1,Milestones!$AC$51)&amp;";  ","")&amp;IF(AND(EDATE($D93,Milestones!$AA$52)&lt;=AsOfDate,EDATE($D93,Milestones!$AA$52)&gt;=SchemeStart,IF($X93=0,$AD93,IF(AND($Z93&lt;&gt;"",EDATE($D93,Milestones!$AA$52)&gt;=$Z93),$AC93,IF(AND($Y93&lt;&gt;"",EDATE($D93,Milestones!$AA$52)&gt;=$Y93),$AB93,$AA93)))=Milestones!$AB$52),UPPER(TEXT(EDATE($D93,Milestones!$AA$52),"dd mmm yy"))&amp;" "&amp;Milestones!$AB$52&amp;" "&amp;IF(AND(Milestones!$AB$52="FT",Milestones!$AA$52=FT_Y5,EDATE($D93,Milestones!$AA$52)&lt;PolicyEff),1,Milestones!$AC$52)&amp;";  ","")&amp;IF(AND(EDATE($D93,Milestones!$AA$53)&lt;=AsOfDate,EDATE($D93,Milestones!$AA$53)&gt;=SchemeStart,IF($X93=0,$AD93,IF(AND($Z93&lt;&gt;"",EDATE($D93,Milestones!$AA$53)&gt;=$Z93),$AC93,IF(AND($Y93&lt;&gt;"",EDATE($D93,Milestones!$AA$53)&gt;=$Y93),$AB93,$AA93)))=Milestones!$AB$53),UPPER(TEXT(EDATE($D93,Milestones!$AA$53),"dd mmm yy"))&amp;" "&amp;Milestones!$AB$53&amp;" "&amp;IF(AND(Milestones!$AB$53="FT",Milestones!$AA$53=FT_Y5,EDATE($D93,Milestones!$AA$53)&lt;PolicyEff),1,Milestones!$AC$53)&amp;";  ","")&amp;IF(AND(EDATE($D93,Milestones!$AA$54)&lt;=AsOfDate,EDATE($D93,Milestones!$AA$54)&gt;=SchemeStart,IF($X93=0,$AD93,IF(AND($Z93&lt;&gt;"",EDATE($D93,Milestones!$AA$54)&gt;=$Z93),$AC93,IF(AND($Y93&lt;&gt;"",EDATE($D93,Milestones!$AA$54)&gt;=$Y93),$AB93,$AA93)))=Milestones!$AB$54),UPPER(TEXT(EDATE($D93,Milestones!$AA$54),"dd mmm yy"))&amp;" "&amp;Milestones!$AB$54&amp;" "&amp;IF(AND(Milestones!$AB$54="FT",Milestones!$AA$54=FT_Y5,EDATE($D93,Milestones!$AA$54)&lt;PolicyEff),1,Milestones!$AC$54)&amp;";  ","")&amp;IF(AND(EDATE($D93,Milestones!$AA$55)&lt;=AsOfDate,EDATE($D93,Milestones!$AA$55)&gt;=SchemeStart,IF($X93=0,$AD93,IF(AND($Z93&lt;&gt;"",EDATE($D93,Milestones!$AA$55)&gt;=$Z93),$AC93,IF(AND($Y93&lt;&gt;"",EDATE($D93,Milestones!$AA$55)&gt;=$Y93),$AB93,$AA93)))=Milestones!$AB$55),UPPER(TEXT(EDATE($D93,Milestones!$AA$55),"dd mmm yy"))&amp;" "&amp;Milestones!$AB$55&amp;" "&amp;IF(AND(Milestones!$AB$55="FT",Milestones!$AA$55=FT_Y5,EDATE($D93,Milestones!$AA$55)&lt;PolicyEff),1,Milestones!$AC$55)&amp;";  ",""))</f>
        <v/>
      </c>
      <c r="L93" s="0" t="str">
        <f aca="false">IF(OR($A93="",$D93=""),"",IF(AND(EDATE($D93,Milestones!$AA$56)&lt;=AsOfDate,EDATE($D93,Milestones!$AA$56)&gt;=SchemeStart,IF($X93=0,$AD93,IF(AND($Z93&lt;&gt;"",EDATE($D93,Milestones!$AA$56)&gt;=$Z93),$AC93,IF(AND($Y93&lt;&gt;"",EDATE($D93,Milestones!$AA$56)&gt;=$Y93),$AB93,$AA93)))=Milestones!$AB$56),UPPER(TEXT(EDATE($D93,Milestones!$AA$56),"dd mmm yy"))&amp;" "&amp;Milestones!$AB$56&amp;" "&amp;IF(AND(Milestones!$AB$56="FT",Milestones!$AA$56=FT_Y5,EDATE($D93,Milestones!$AA$56)&lt;PolicyEff),1,Milestones!$AC$56)&amp;";  ","")&amp;IF(AND(EDATE($D93,Milestones!$AA$57)&lt;=AsOfDate,EDATE($D93,Milestones!$AA$57)&gt;=SchemeStart,IF($X93=0,$AD93,IF(AND($Z93&lt;&gt;"",EDATE($D93,Milestones!$AA$57)&gt;=$Z93),$AC93,IF(AND($Y93&lt;&gt;"",EDATE($D93,Milestones!$AA$57)&gt;=$Y93),$AB93,$AA93)))=Milestones!$AB$57),UPPER(TEXT(EDATE($D93,Milestones!$AA$57),"dd mmm yy"))&amp;" "&amp;Milestones!$AB$57&amp;" "&amp;IF(AND(Milestones!$AB$57="FT",Milestones!$AA$57=FT_Y5,EDATE($D93,Milestones!$AA$57)&lt;PolicyEff),1,Milestones!$AC$57)&amp;";  ","")&amp;IF(AND(EDATE($D93,Milestones!$AA$58)&lt;=AsOfDate,EDATE($D93,Milestones!$AA$58)&gt;=SchemeStart,IF($X93=0,$AD93,IF(AND($Z93&lt;&gt;"",EDATE($D93,Milestones!$AA$58)&gt;=$Z93),$AC93,IF(AND($Y93&lt;&gt;"",EDATE($D93,Milestones!$AA$58)&gt;=$Y93),$AB93,$AA93)))=Milestones!$AB$58),UPPER(TEXT(EDATE($D93,Milestones!$AA$58),"dd mmm yy"))&amp;" "&amp;Milestones!$AB$58&amp;" "&amp;IF(AND(Milestones!$AB$58="FT",Milestones!$AA$58=FT_Y5,EDATE($D93,Milestones!$AA$58)&lt;PolicyEff),1,Milestones!$AC$58)&amp;";  ","")&amp;IF(AND(EDATE($D93,Milestones!$AA$59)&lt;=AsOfDate,EDATE($D93,Milestones!$AA$59)&gt;=SchemeStart,IF($X93=0,$AD93,IF(AND($Z93&lt;&gt;"",EDATE($D93,Milestones!$AA$59)&gt;=$Z93),$AC93,IF(AND($Y93&lt;&gt;"",EDATE($D93,Milestones!$AA$59)&gt;=$Y93),$AB93,$AA93)))=Milestones!$AB$59),UPPER(TEXT(EDATE($D93,Milestones!$AA$59),"dd mmm yy"))&amp;" "&amp;Milestones!$AB$59&amp;" "&amp;IF(AND(Milestones!$AB$59="FT",Milestones!$AA$59=FT_Y5,EDATE($D93,Milestones!$AA$59)&lt;PolicyEff),1,Milestones!$AC$59)&amp;";  ","")&amp;IF(AND(EDATE($D93,Milestones!$AA$60)&lt;=AsOfDate,EDATE($D93,Milestones!$AA$60)&gt;=SchemeStart,IF($X93=0,$AD93,IF(AND($Z93&lt;&gt;"",EDATE($D93,Milestones!$AA$60)&gt;=$Z93),$AC93,IF(AND($Y93&lt;&gt;"",EDATE($D93,Milestones!$AA$60)&gt;=$Y93),$AB93,$AA93)))=Milestones!$AB$60),UPPER(TEXT(EDATE($D93,Milestones!$AA$60),"dd mmm yy"))&amp;" "&amp;Milestones!$AB$60&amp;" "&amp;IF(AND(Milestones!$AB$60="FT",Milestones!$AA$60=FT_Y5,EDATE($D93,Milestones!$AA$60)&lt;PolicyEff),1,Milestones!$AC$60)&amp;";  ","")&amp;IF(AND(EDATE($D93,Milestones!$AA$61)&lt;=AsOfDate,EDATE($D93,Milestones!$AA$61)&gt;=SchemeStart,IF($X93=0,$AD93,IF(AND($Z93&lt;&gt;"",EDATE($D93,Milestones!$AA$61)&gt;=$Z93),$AC93,IF(AND($Y93&lt;&gt;"",EDATE($D93,Milestones!$AA$61)&gt;=$Y93),$AB93,$AA93)))=Milestones!$AB$61),UPPER(TEXT(EDATE($D93,Milestones!$AA$61),"dd mmm yy"))&amp;" "&amp;Milestones!$AB$61&amp;" "&amp;IF(AND(Milestones!$AB$61="FT",Milestones!$AA$61=FT_Y5,EDATE($D93,Milestones!$AA$61)&lt;PolicyEff),1,Milestones!$AC$61)&amp;";  ","")&amp;IF(AND(EDATE($D93,Milestones!$AA$62)&lt;=AsOfDate,EDATE($D93,Milestones!$AA$62)&gt;=SchemeStart,IF($X93=0,$AD93,IF(AND($Z93&lt;&gt;"",EDATE($D93,Milestones!$AA$62)&gt;=$Z93),$AC93,IF(AND($Y93&lt;&gt;"",EDATE($D93,Milestones!$AA$62)&gt;=$Y93),$AB93,$AA93)))=Milestones!$AB$62),UPPER(TEXT(EDATE($D93,Milestones!$AA$62),"dd mmm yy"))&amp;" "&amp;Milestones!$AB$62&amp;" "&amp;IF(AND(Milestones!$AB$62="FT",Milestones!$AA$62=FT_Y5,EDATE($D93,Milestones!$AA$62)&lt;PolicyEff),1,Milestones!$AC$62)&amp;";  ","")&amp;IF(AND(EDATE($D93,Milestones!$AA$63)&lt;=AsOfDate,EDATE($D93,Milestones!$AA$63)&gt;=SchemeStart,IF($X93=0,$AD93,IF(AND($Z93&lt;&gt;"",EDATE($D93,Milestones!$AA$63)&gt;=$Z93),$AC93,IF(AND($Y93&lt;&gt;"",EDATE($D93,Milestones!$AA$63)&gt;=$Y93),$AB93,$AA93)))=Milestones!$AB$63),UPPER(TEXT(EDATE($D93,Milestones!$AA$63),"dd mmm yy"))&amp;" "&amp;Milestones!$AB$63&amp;" "&amp;IF(AND(Milestones!$AB$63="FT",Milestones!$AA$63=FT_Y5,EDATE($D93,Milestones!$AA$63)&lt;PolicyEff),1,Milestones!$AC$63)&amp;";  ","")&amp;IF(AND(EDATE($D93,Milestones!$AA$64)&lt;=AsOfDate,EDATE($D93,Milestones!$AA$64)&gt;=SchemeStart,IF($X93=0,$AD93,IF(AND($Z93&lt;&gt;"",EDATE($D93,Milestones!$AA$64)&gt;=$Z93),$AC93,IF(AND($Y93&lt;&gt;"",EDATE($D93,Milestones!$AA$64)&gt;=$Y93),$AB93,$AA93)))=Milestones!$AB$64),UPPER(TEXT(EDATE($D93,Milestones!$AA$64),"dd mmm yy"))&amp;" "&amp;Milestones!$AB$64&amp;" "&amp;IF(AND(Milestones!$AB$64="FT",Milestones!$AA$64=FT_Y5,EDATE($D93,Milestones!$AA$64)&lt;PolicyEff),1,Milestones!$AC$64)&amp;";  ","")&amp;IF(AND(EDATE($D93,Milestones!$AA$65)&lt;=AsOfDate,EDATE($D93,Milestones!$AA$65)&gt;=SchemeStart,IF($X93=0,$AD93,IF(AND($Z93&lt;&gt;"",EDATE($D93,Milestones!$AA$65)&gt;=$Z93),$AC93,IF(AND($Y93&lt;&gt;"",EDATE($D93,Milestones!$AA$65)&gt;=$Y93),$AB93,$AA93)))=Milestones!$AB$65),UPPER(TEXT(EDATE($D93,Milestones!$AA$65),"dd mmm yy"))&amp;" "&amp;Milestones!$AB$65&amp;" "&amp;IF(AND(Milestones!$AB$65="FT",Milestones!$AA$65=FT_Y5,EDATE($D93,Milestones!$AA$65)&lt;PolicyEff),1,Milestones!$AC$65)&amp;";  ","")&amp;IF(AND(EDATE($D93,Milestones!$AA$66)&lt;=AsOfDate,EDATE($D93,Milestones!$AA$66)&gt;=SchemeStart,IF($X93=0,$AD93,IF(AND($Z93&lt;&gt;"",EDATE($D93,Milestones!$AA$66)&gt;=$Z93),$AC93,IF(AND($Y93&lt;&gt;"",EDATE($D93,Milestones!$AA$66)&gt;=$Y93),$AB93,$AA93)))=Milestones!$AB$66),UPPER(TEXT(EDATE($D93,Milestones!$AA$66),"dd mmm yy"))&amp;" "&amp;Milestones!$AB$66&amp;" "&amp;IF(AND(Milestones!$AB$66="FT",Milestones!$AA$66=FT_Y5,EDATE($D93,Milestones!$AA$66)&lt;PolicyEff),1,Milestones!$AC$66)&amp;";  ","")&amp;IF(AND(EDATE($D93,Milestones!$AA$67)&lt;=AsOfDate,EDATE($D93,Milestones!$AA$67)&gt;=SchemeStart,IF($X93=0,$AD93,IF(AND($Z93&lt;&gt;"",EDATE($D93,Milestones!$AA$67)&gt;=$Z93),$AC93,IF(AND($Y93&lt;&gt;"",EDATE($D93,Milestones!$AA$67)&gt;=$Y93),$AB93,$AA93)))=Milestones!$AB$67),UPPER(TEXT(EDATE($D93,Milestones!$AA$67),"dd mmm yy"))&amp;" "&amp;Milestones!$AB$67&amp;" "&amp;IF(AND(Milestones!$AB$67="FT",Milestones!$AA$67=FT_Y5,EDATE($D93,Milestones!$AA$67)&lt;PolicyEff),1,Milestones!$AC$67)&amp;";  ",""))</f>
        <v/>
      </c>
      <c r="M93" s="0" t="str">
        <f aca="false">IF(OR($A93="",$D93=""),"",IF(AND(EDATE($D93,Milestones!$AA$68)&lt;=AsOfDate,EDATE($D93,Milestones!$AA$68)&gt;=SchemeStart,IF($X93=0,$AD93,IF(AND($Z93&lt;&gt;"",EDATE($D93,Milestones!$AA$68)&gt;=$Z93),$AC93,IF(AND($Y93&lt;&gt;"",EDATE($D93,Milestones!$AA$68)&gt;=$Y93),$AB93,$AA93)))=Milestones!$AB$68),UPPER(TEXT(EDATE($D93,Milestones!$AA$68),"dd mmm yy"))&amp;" "&amp;Milestones!$AB$68&amp;" "&amp;IF(AND(Milestones!$AB$68="FT",Milestones!$AA$68=FT_Y5,EDATE($D93,Milestones!$AA$68)&lt;PolicyEff),1,Milestones!$AC$68)&amp;";  ","")&amp;IF(AND(EDATE($D93,Milestones!$AA$69)&lt;=AsOfDate,EDATE($D93,Milestones!$AA$69)&gt;=SchemeStart,IF($X93=0,$AD93,IF(AND($Z93&lt;&gt;"",EDATE($D93,Milestones!$AA$69)&gt;=$Z93),$AC93,IF(AND($Y93&lt;&gt;"",EDATE($D93,Milestones!$AA$69)&gt;=$Y93),$AB93,$AA93)))=Milestones!$AB$69),UPPER(TEXT(EDATE($D93,Milestones!$AA$69),"dd mmm yy"))&amp;" "&amp;Milestones!$AB$69&amp;" "&amp;IF(AND(Milestones!$AB$69="FT",Milestones!$AA$69=FT_Y5,EDATE($D93,Milestones!$AA$69)&lt;PolicyEff),1,Milestones!$AC$69)&amp;";  ","")&amp;IF(AND(EDATE($D93,Milestones!$AA$70)&lt;=AsOfDate,EDATE($D93,Milestones!$AA$70)&gt;=SchemeStart,IF($X93=0,$AD93,IF(AND($Z93&lt;&gt;"",EDATE($D93,Milestones!$AA$70)&gt;=$Z93),$AC93,IF(AND($Y93&lt;&gt;"",EDATE($D93,Milestones!$AA$70)&gt;=$Y93),$AB93,$AA93)))=Milestones!$AB$70),UPPER(TEXT(EDATE($D93,Milestones!$AA$70),"dd mmm yy"))&amp;" "&amp;Milestones!$AB$70&amp;" "&amp;IF(AND(Milestones!$AB$70="FT",Milestones!$AA$70=FT_Y5,EDATE($D93,Milestones!$AA$70)&lt;PolicyEff),1,Milestones!$AC$70)&amp;";  ","")&amp;IF(AND(EDATE($D93,Milestones!$AA$71)&lt;=AsOfDate,EDATE($D93,Milestones!$AA$71)&gt;=SchemeStart,IF($X93=0,$AD93,IF(AND($Z93&lt;&gt;"",EDATE($D93,Milestones!$AA$71)&gt;=$Z93),$AC93,IF(AND($Y93&lt;&gt;"",EDATE($D93,Milestones!$AA$71)&gt;=$Y93),$AB93,$AA93)))=Milestones!$AB$71),UPPER(TEXT(EDATE($D93,Milestones!$AA$71),"dd mmm yy"))&amp;" "&amp;Milestones!$AB$71&amp;" "&amp;IF(AND(Milestones!$AB$71="FT",Milestones!$AA$71=FT_Y5,EDATE($D93,Milestones!$AA$71)&lt;PolicyEff),1,Milestones!$AC$71)&amp;";  ","")&amp;IF(AND(EDATE($D93,Milestones!$AA$72)&lt;=AsOfDate,EDATE($D93,Milestones!$AA$72)&gt;=SchemeStart,IF($X93=0,$AD93,IF(AND($Z93&lt;&gt;"",EDATE($D93,Milestones!$AA$72)&gt;=$Z93),$AC93,IF(AND($Y93&lt;&gt;"",EDATE($D93,Milestones!$AA$72)&gt;=$Y93),$AB93,$AA93)))=Milestones!$AB$72),UPPER(TEXT(EDATE($D93,Milestones!$AA$72),"dd mmm yy"))&amp;" "&amp;Milestones!$AB$72&amp;" "&amp;IF(AND(Milestones!$AB$72="FT",Milestones!$AA$72=FT_Y5,EDATE($D93,Milestones!$AA$72)&lt;PolicyEff),1,Milestones!$AC$72)&amp;";  ","")&amp;IF(AND(EDATE($D93,Milestones!$AA$73)&lt;=AsOfDate,EDATE($D93,Milestones!$AA$73)&gt;=SchemeStart,IF($X93=0,$AD93,IF(AND($Z93&lt;&gt;"",EDATE($D93,Milestones!$AA$73)&gt;=$Z93),$AC93,IF(AND($Y93&lt;&gt;"",EDATE($D93,Milestones!$AA$73)&gt;=$Y93),$AB93,$AA93)))=Milestones!$AB$73),UPPER(TEXT(EDATE($D93,Milestones!$AA$73),"dd mmm yy"))&amp;" "&amp;Milestones!$AB$73&amp;" "&amp;IF(AND(Milestones!$AB$73="FT",Milestones!$AA$73=FT_Y5,EDATE($D93,Milestones!$AA$73)&lt;PolicyEff),1,Milestones!$AC$73)&amp;";  ","")&amp;IF(AND(EDATE($D93,Milestones!$AA$74)&lt;=AsOfDate,EDATE($D93,Milestones!$AA$74)&gt;=SchemeStart,IF($X93=0,$AD93,IF(AND($Z93&lt;&gt;"",EDATE($D93,Milestones!$AA$74)&gt;=$Z93),$AC93,IF(AND($Y93&lt;&gt;"",EDATE($D93,Milestones!$AA$74)&gt;=$Y93),$AB93,$AA93)))=Milestones!$AB$74),UPPER(TEXT(EDATE($D93,Milestones!$AA$74),"dd mmm yy"))&amp;" "&amp;Milestones!$AB$74&amp;" "&amp;IF(AND(Milestones!$AB$74="FT",Milestones!$AA$74=FT_Y5,EDATE($D93,Milestones!$AA$74)&lt;PolicyEff),1,Milestones!$AC$74)&amp;";  ","")&amp;IF(AND(EDATE($D93,Milestones!$AA$75)&lt;=AsOfDate,EDATE($D93,Milestones!$AA$75)&gt;=SchemeStart,IF($X93=0,$AD93,IF(AND($Z93&lt;&gt;"",EDATE($D93,Milestones!$AA$75)&gt;=$Z93),$AC93,IF(AND($Y93&lt;&gt;"",EDATE($D93,Milestones!$AA$75)&gt;=$Y93),$AB93,$AA93)))=Milestones!$AB$75),UPPER(TEXT(EDATE($D93,Milestones!$AA$75),"dd mmm yy"))&amp;" "&amp;Milestones!$AB$75&amp;" "&amp;IF(AND(Milestones!$AB$75="FT",Milestones!$AA$75=FT_Y5,EDATE($D93,Milestones!$AA$75)&lt;PolicyEff),1,Milestones!$AC$75)&amp;";  ","")&amp;IF(AND(EDATE($D93,Milestones!$AA$76)&lt;=AsOfDate,EDATE($D93,Milestones!$AA$76)&gt;=SchemeStart,IF($X93=0,$AD93,IF(AND($Z93&lt;&gt;"",EDATE($D93,Milestones!$AA$76)&gt;=$Z93),$AC93,IF(AND($Y93&lt;&gt;"",EDATE($D93,Milestones!$AA$76)&gt;=$Y93),$AB93,$AA93)))=Milestones!$AB$76),UPPER(TEXT(EDATE($D93,Milestones!$AA$76),"dd mmm yy"))&amp;" "&amp;Milestones!$AB$76&amp;" "&amp;IF(AND(Milestones!$AB$76="FT",Milestones!$AA$76=FT_Y5,EDATE($D93,Milestones!$AA$76)&lt;PolicyEff),1,Milestones!$AC$76)&amp;";  ","")&amp;IF(AND(EDATE($D93,Milestones!$AA$77)&lt;=AsOfDate,EDATE($D93,Milestones!$AA$77)&gt;=SchemeStart,IF($X93=0,$AD93,IF(AND($Z93&lt;&gt;"",EDATE($D93,Milestones!$AA$77)&gt;=$Z93),$AC93,IF(AND($Y93&lt;&gt;"",EDATE($D93,Milestones!$AA$77)&gt;=$Y93),$AB93,$AA93)))=Milestones!$AB$77),UPPER(TEXT(EDATE($D93,Milestones!$AA$77),"dd mmm yy"))&amp;" "&amp;Milestones!$AB$77&amp;" "&amp;IF(AND(Milestones!$AB$77="FT",Milestones!$AA$77=FT_Y5,EDATE($D93,Milestones!$AA$77)&lt;PolicyEff),1,Milestones!$AC$77)&amp;";  ","")&amp;IF(AND(EDATE($D93,Milestones!$AA$78)&lt;=AsOfDate,EDATE($D93,Milestones!$AA$78)&gt;=SchemeStart,IF($X93=0,$AD93,IF(AND($Z93&lt;&gt;"",EDATE($D93,Milestones!$AA$78)&gt;=$Z93),$AC93,IF(AND($Y93&lt;&gt;"",EDATE($D93,Milestones!$AA$78)&gt;=$Y93),$AB93,$AA93)))=Milestones!$AB$78),UPPER(TEXT(EDATE($D93,Milestones!$AA$78),"dd mmm yy"))&amp;" "&amp;Milestones!$AB$78&amp;" "&amp;IF(AND(Milestones!$AB$78="FT",Milestones!$AA$78=FT_Y5,EDATE($D93,Milestones!$AA$78)&lt;PolicyEff),1,Milestones!$AC$78)&amp;";  ","")&amp;IF(AND(EDATE($D93,Milestones!$AA$79)&lt;=AsOfDate,EDATE($D93,Milestones!$AA$79)&gt;=SchemeStart,IF($X93=0,$AD93,IF(AND($Z93&lt;&gt;"",EDATE($D93,Milestones!$AA$79)&gt;=$Z93),$AC93,IF(AND($Y93&lt;&gt;"",EDATE($D93,Milestones!$AA$79)&gt;=$Y93),$AB93,$AA93)))=Milestones!$AB$79),UPPER(TEXT(EDATE($D93,Milestones!$AA$79),"dd mmm yy"))&amp;" "&amp;Milestones!$AB$79&amp;" "&amp;IF(AND(Milestones!$AB$79="FT",Milestones!$AA$79=FT_Y5,EDATE($D93,Milestones!$AA$79)&lt;PolicyEff),1,Milestones!$AC$79)&amp;";  ",""))</f>
        <v/>
      </c>
      <c r="N93" s="0" t="str">
        <f aca="false">IF(OR($A93="",$D93=""),"",IF(AND(EDATE($D93,Milestones!$AA$80)&lt;=AsOfDate,EDATE($D93,Milestones!$AA$80)&gt;=SchemeStart,IF($X93=0,$AD93,IF(AND($Z93&lt;&gt;"",EDATE($D93,Milestones!$AA$80)&gt;=$Z93),$AC93,IF(AND($Y93&lt;&gt;"",EDATE($D93,Milestones!$AA$80)&gt;=$Y93),$AB93,$AA93)))=Milestones!$AB$80),UPPER(TEXT(EDATE($D93,Milestones!$AA$80),"dd mmm yy"))&amp;" "&amp;Milestones!$AB$80&amp;" "&amp;IF(AND(Milestones!$AB$80="FT",Milestones!$AA$80=FT_Y5,EDATE($D93,Milestones!$AA$80)&lt;PolicyEff),1,Milestones!$AC$80)&amp;";  ","")&amp;IF(AND(EDATE($D93,Milestones!$AA$81)&lt;=AsOfDate,EDATE($D93,Milestones!$AA$81)&gt;=SchemeStart,IF($X93=0,$AD93,IF(AND($Z93&lt;&gt;"",EDATE($D93,Milestones!$AA$81)&gt;=$Z93),$AC93,IF(AND($Y93&lt;&gt;"",EDATE($D93,Milestones!$AA$81)&gt;=$Y93),$AB93,$AA93)))=Milestones!$AB$81),UPPER(TEXT(EDATE($D93,Milestones!$AA$81),"dd mmm yy"))&amp;" "&amp;Milestones!$AB$81&amp;" "&amp;IF(AND(Milestones!$AB$81="FT",Milestones!$AA$81=FT_Y5,EDATE($D93,Milestones!$AA$81)&lt;PolicyEff),1,Milestones!$AC$81)&amp;";  ","")&amp;IF(AND(EDATE($D93,Milestones!$AA$82)&lt;=AsOfDate,EDATE($D93,Milestones!$AA$82)&gt;=SchemeStart,IF($X93=0,$AD93,IF(AND($Z93&lt;&gt;"",EDATE($D93,Milestones!$AA$82)&gt;=$Z93),$AC93,IF(AND($Y93&lt;&gt;"",EDATE($D93,Milestones!$AA$82)&gt;=$Y93),$AB93,$AA93)))=Milestones!$AB$82),UPPER(TEXT(EDATE($D93,Milestones!$AA$82),"dd mmm yy"))&amp;" "&amp;Milestones!$AB$82&amp;" "&amp;IF(AND(Milestones!$AB$82="FT",Milestones!$AA$82=FT_Y5,EDATE($D93,Milestones!$AA$82)&lt;PolicyEff),1,Milestones!$AC$82)&amp;";  ","")&amp;IF(AND(EDATE($D93,Milestones!$AA$83)&lt;=AsOfDate,EDATE($D93,Milestones!$AA$83)&gt;=SchemeStart,IF($X93=0,$AD93,IF(AND($Z93&lt;&gt;"",EDATE($D93,Milestones!$AA$83)&gt;=$Z93),$AC93,IF(AND($Y93&lt;&gt;"",EDATE($D93,Milestones!$AA$83)&gt;=$Y93),$AB93,$AA93)))=Milestones!$AB$83),UPPER(TEXT(EDATE($D93,Milestones!$AA$83),"dd mmm yy"))&amp;" "&amp;Milestones!$AB$83&amp;" "&amp;IF(AND(Milestones!$AB$83="FT",Milestones!$AA$83=FT_Y5,EDATE($D93,Milestones!$AA$83)&lt;PolicyEff),1,Milestones!$AC$83)&amp;";  ","")&amp;IF(AND(EDATE($D93,Milestones!$AA$84)&lt;=AsOfDate,EDATE($D93,Milestones!$AA$84)&gt;=SchemeStart,IF($X93=0,$AD93,IF(AND($Z93&lt;&gt;"",EDATE($D93,Milestones!$AA$84)&gt;=$Z93),$AC93,IF(AND($Y93&lt;&gt;"",EDATE($D93,Milestones!$AA$84)&gt;=$Y93),$AB93,$AA93)))=Milestones!$AB$84),UPPER(TEXT(EDATE($D93,Milestones!$AA$84),"dd mmm yy"))&amp;" "&amp;Milestones!$AB$84&amp;" "&amp;IF(AND(Milestones!$AB$84="FT",Milestones!$AA$84=FT_Y5,EDATE($D93,Milestones!$AA$84)&lt;PolicyEff),1,Milestones!$AC$84)&amp;";  ","")&amp;IF(AND(EDATE($D93,Milestones!$AA$85)&lt;=AsOfDate,EDATE($D93,Milestones!$AA$85)&gt;=SchemeStart,IF($X93=0,$AD93,IF(AND($Z93&lt;&gt;"",EDATE($D93,Milestones!$AA$85)&gt;=$Z93),$AC93,IF(AND($Y93&lt;&gt;"",EDATE($D93,Milestones!$AA$85)&gt;=$Y93),$AB93,$AA93)))=Milestones!$AB$85),UPPER(TEXT(EDATE($D93,Milestones!$AA$85),"dd mmm yy"))&amp;" "&amp;Milestones!$AB$85&amp;" "&amp;IF(AND(Milestones!$AB$85="FT",Milestones!$AA$85=FT_Y5,EDATE($D93,Milestones!$AA$85)&lt;PolicyEff),1,Milestones!$AC$85)&amp;";  ","")&amp;IF(AND(EDATE($D93,Milestones!$AA$86)&lt;=AsOfDate,EDATE($D93,Milestones!$AA$86)&gt;=SchemeStart,IF($X93=0,$AD93,IF(AND($Z93&lt;&gt;"",EDATE($D93,Milestones!$AA$86)&gt;=$Z93),$AC93,IF(AND($Y93&lt;&gt;"",EDATE($D93,Milestones!$AA$86)&gt;=$Y93),$AB93,$AA93)))=Milestones!$AB$86),UPPER(TEXT(EDATE($D93,Milestones!$AA$86),"dd mmm yy"))&amp;" "&amp;Milestones!$AB$86&amp;" "&amp;IF(AND(Milestones!$AB$86="FT",Milestones!$AA$86=FT_Y5,EDATE($D93,Milestones!$AA$86)&lt;PolicyEff),1,Milestones!$AC$86)&amp;";  ","")&amp;IF(AND(EDATE($D93,Milestones!$AA$87)&lt;=AsOfDate,EDATE($D93,Milestones!$AA$87)&gt;=SchemeStart,IF($X93=0,$AD93,IF(AND($Z93&lt;&gt;"",EDATE($D93,Milestones!$AA$87)&gt;=$Z93),$AC93,IF(AND($Y93&lt;&gt;"",EDATE($D93,Milestones!$AA$87)&gt;=$Y93),$AB93,$AA93)))=Milestones!$AB$87),UPPER(TEXT(EDATE($D93,Milestones!$AA$87),"dd mmm yy"))&amp;" "&amp;Milestones!$AB$87&amp;" "&amp;IF(AND(Milestones!$AB$87="FT",Milestones!$AA$87=FT_Y5,EDATE($D93,Milestones!$AA$87)&lt;PolicyEff),1,Milestones!$AC$87)&amp;";  ","")&amp;IF(AND(EDATE($D93,Milestones!$AA$88)&lt;=AsOfDate,EDATE($D93,Milestones!$AA$88)&gt;=SchemeStart,IF($X93=0,$AD93,IF(AND($Z93&lt;&gt;"",EDATE($D93,Milestones!$AA$88)&gt;=$Z93),$AC93,IF(AND($Y93&lt;&gt;"",EDATE($D93,Milestones!$AA$88)&gt;=$Y93),$AB93,$AA93)))=Milestones!$AB$88),UPPER(TEXT(EDATE($D93,Milestones!$AA$88),"dd mmm yy"))&amp;" "&amp;Milestones!$AB$88&amp;" "&amp;IF(AND(Milestones!$AB$88="FT",Milestones!$AA$88=FT_Y5,EDATE($D93,Milestones!$AA$88)&lt;PolicyEff),1,Milestones!$AC$88)&amp;";  ","")&amp;IF(AND(EDATE($D93,Milestones!$AA$89)&lt;=AsOfDate,EDATE($D93,Milestones!$AA$89)&gt;=SchemeStart,IF($X93=0,$AD93,IF(AND($Z93&lt;&gt;"",EDATE($D93,Milestones!$AA$89)&gt;=$Z93),$AC93,IF(AND($Y93&lt;&gt;"",EDATE($D93,Milestones!$AA$89)&gt;=$Y93),$AB93,$AA93)))=Milestones!$AB$89),UPPER(TEXT(EDATE($D93,Milestones!$AA$89),"dd mmm yy"))&amp;" "&amp;Milestones!$AB$89&amp;" "&amp;IF(AND(Milestones!$AB$89="FT",Milestones!$AA$89=FT_Y5,EDATE($D93,Milestones!$AA$89)&lt;PolicyEff),1,Milestones!$AC$89)&amp;";  ","")&amp;IF(AND(EDATE($D93,Milestones!$AA$90)&lt;=AsOfDate,EDATE($D93,Milestones!$AA$90)&gt;=SchemeStart,IF($X93=0,$AD93,IF(AND($Z93&lt;&gt;"",EDATE($D93,Milestones!$AA$90)&gt;=$Z93),$AC93,IF(AND($Y93&lt;&gt;"",EDATE($D93,Milestones!$AA$90)&gt;=$Y93),$AB93,$AA93)))=Milestones!$AB$90),UPPER(TEXT(EDATE($D93,Milestones!$AA$90),"dd mmm yy"))&amp;" "&amp;Milestones!$AB$90&amp;" "&amp;IF(AND(Milestones!$AB$90="FT",Milestones!$AA$90=FT_Y5,EDATE($D93,Milestones!$AA$90)&lt;PolicyEff),1,Milestones!$AC$90)&amp;";  ","")&amp;IF(AND(EDATE($D93,Milestones!$AA$91)&lt;=AsOfDate,EDATE($D93,Milestones!$AA$91)&gt;=SchemeStart,IF($X93=0,$AD93,IF(AND($Z93&lt;&gt;"",EDATE($D93,Milestones!$AA$91)&gt;=$Z93),$AC93,IF(AND($Y93&lt;&gt;"",EDATE($D93,Milestones!$AA$91)&gt;=$Y93),$AB93,$AA93)))=Milestones!$AB$91),UPPER(TEXT(EDATE($D93,Milestones!$AA$91),"dd mmm yy"))&amp;" "&amp;Milestones!$AB$91&amp;" "&amp;IF(AND(Milestones!$AB$91="FT",Milestones!$AA$91=FT_Y5,EDATE($D93,Milestones!$AA$91)&lt;PolicyEff),1,Milestones!$AC$91)&amp;";  ",""))</f>
        <v/>
      </c>
      <c r="O93" s="0" t="str">
        <f aca="false">IF(OR($A93="",$D93=""),"",IF(AND(EDATE($D93,Milestones!$AA$92)&lt;=AsOfDate,EDATE($D93,Milestones!$AA$92)&gt;=SchemeStart,IF($X93=0,$AD93,IF(AND($Z93&lt;&gt;"",EDATE($D93,Milestones!$AA$92)&gt;=$Z93),$AC93,IF(AND($Y93&lt;&gt;"",EDATE($D93,Milestones!$AA$92)&gt;=$Y93),$AB93,$AA93)))=Milestones!$AB$92),UPPER(TEXT(EDATE($D93,Milestones!$AA$92),"dd mmm yy"))&amp;" "&amp;Milestones!$AB$92&amp;" "&amp;IF(AND(Milestones!$AB$92="FT",Milestones!$AA$92=FT_Y5,EDATE($D93,Milestones!$AA$92)&lt;PolicyEff),1,Milestones!$AC$92)&amp;";  ","")&amp;IF(AND(EDATE($D93,Milestones!$AA$93)&lt;=AsOfDate,EDATE($D93,Milestones!$AA$93)&gt;=SchemeStart,IF($X93=0,$AD93,IF(AND($Z93&lt;&gt;"",EDATE($D93,Milestones!$AA$93)&gt;=$Z93),$AC93,IF(AND($Y93&lt;&gt;"",EDATE($D93,Milestones!$AA$93)&gt;=$Y93),$AB93,$AA93)))=Milestones!$AB$93),UPPER(TEXT(EDATE($D93,Milestones!$AA$93),"dd mmm yy"))&amp;" "&amp;Milestones!$AB$93&amp;" "&amp;IF(AND(Milestones!$AB$93="FT",Milestones!$AA$93=FT_Y5,EDATE($D93,Milestones!$AA$93)&lt;PolicyEff),1,Milestones!$AC$93)&amp;";  ","")&amp;IF(AND(EDATE($D93,Milestones!$AA$94)&lt;=AsOfDate,EDATE($D93,Milestones!$AA$94)&gt;=SchemeStart,IF($X93=0,$AD93,IF(AND($Z93&lt;&gt;"",EDATE($D93,Milestones!$AA$94)&gt;=$Z93),$AC93,IF(AND($Y93&lt;&gt;"",EDATE($D93,Milestones!$AA$94)&gt;=$Y93),$AB93,$AA93)))=Milestones!$AB$94),UPPER(TEXT(EDATE($D93,Milestones!$AA$94),"dd mmm yy"))&amp;" "&amp;Milestones!$AB$94&amp;" "&amp;IF(AND(Milestones!$AB$94="FT",Milestones!$AA$94=FT_Y5,EDATE($D93,Milestones!$AA$94)&lt;PolicyEff),1,Milestones!$AC$94)&amp;";  ","")&amp;IF(AND(EDATE($D93,Milestones!$AA$95)&lt;=AsOfDate,EDATE($D93,Milestones!$AA$95)&gt;=SchemeStart,IF($X93=0,$AD93,IF(AND($Z93&lt;&gt;"",EDATE($D93,Milestones!$AA$95)&gt;=$Z93),$AC93,IF(AND($Y93&lt;&gt;"",EDATE($D93,Milestones!$AA$95)&gt;=$Y93),$AB93,$AA93)))=Milestones!$AB$95),UPPER(TEXT(EDATE($D93,Milestones!$AA$95),"dd mmm yy"))&amp;" "&amp;Milestones!$AB$95&amp;" "&amp;IF(AND(Milestones!$AB$95="FT",Milestones!$AA$95=FT_Y5,EDATE($D93,Milestones!$AA$95)&lt;PolicyEff),1,Milestones!$AC$95)&amp;";  ","")&amp;IF(AND(EDATE($D93,Milestones!$AA$96)&lt;=AsOfDate,EDATE($D93,Milestones!$AA$96)&gt;=SchemeStart,IF($X93=0,$AD93,IF(AND($Z93&lt;&gt;"",EDATE($D93,Milestones!$AA$96)&gt;=$Z93),$AC93,IF(AND($Y93&lt;&gt;"",EDATE($D93,Milestones!$AA$96)&gt;=$Y93),$AB93,$AA93)))=Milestones!$AB$96),UPPER(TEXT(EDATE($D93,Milestones!$AA$96),"dd mmm yy"))&amp;" "&amp;Milestones!$AB$96&amp;" "&amp;IF(AND(Milestones!$AB$96="FT",Milestones!$AA$96=FT_Y5,EDATE($D93,Milestones!$AA$96)&lt;PolicyEff),1,Milestones!$AC$96)&amp;";  ","")&amp;IF(AND(EDATE($D93,Milestones!$AA$97)&lt;=AsOfDate,EDATE($D93,Milestones!$AA$97)&gt;=SchemeStart,IF($X93=0,$AD93,IF(AND($Z93&lt;&gt;"",EDATE($D93,Milestones!$AA$97)&gt;=$Z93),$AC93,IF(AND($Y93&lt;&gt;"",EDATE($D93,Milestones!$AA$97)&gt;=$Y93),$AB93,$AA93)))=Milestones!$AB$97),UPPER(TEXT(EDATE($D93,Milestones!$AA$97),"dd mmm yy"))&amp;" "&amp;Milestones!$AB$97&amp;" "&amp;IF(AND(Milestones!$AB$97="FT",Milestones!$AA$97=FT_Y5,EDATE($D93,Milestones!$AA$97)&lt;PolicyEff),1,Milestones!$AC$97)&amp;";  ","")&amp;IF(AND(EDATE($D93,Milestones!$AA$98)&lt;=AsOfDate,EDATE($D93,Milestones!$AA$98)&gt;=SchemeStart,IF($X93=0,$AD93,IF(AND($Z93&lt;&gt;"",EDATE($D93,Milestones!$AA$98)&gt;=$Z93),$AC93,IF(AND($Y93&lt;&gt;"",EDATE($D93,Milestones!$AA$98)&gt;=$Y93),$AB93,$AA93)))=Milestones!$AB$98),UPPER(TEXT(EDATE($D93,Milestones!$AA$98),"dd mmm yy"))&amp;" "&amp;Milestones!$AB$98&amp;" "&amp;IF(AND(Milestones!$AB$98="FT",Milestones!$AA$98=FT_Y5,EDATE($D93,Milestones!$AA$98)&lt;PolicyEff),1,Milestones!$AC$98)&amp;";  ","")&amp;IF(AND(EDATE($D93,Milestones!$AA$99)&lt;=AsOfDate,EDATE($D93,Milestones!$AA$99)&gt;=SchemeStart,IF($X93=0,$AD93,IF(AND($Z93&lt;&gt;"",EDATE($D93,Milestones!$AA$99)&gt;=$Z93),$AC93,IF(AND($Y93&lt;&gt;"",EDATE($D93,Milestones!$AA$99)&gt;=$Y93),$AB93,$AA93)))=Milestones!$AB$99),UPPER(TEXT(EDATE($D93,Milestones!$AA$99),"dd mmm yy"))&amp;" "&amp;Milestones!$AB$99&amp;" "&amp;IF(AND(Milestones!$AB$99="FT",Milestones!$AA$99=FT_Y5,EDATE($D93,Milestones!$AA$99)&lt;PolicyEff),1,Milestones!$AC$99)&amp;";  ","")&amp;IF(AND(EDATE($D93,Milestones!$AA$100)&lt;=AsOfDate,EDATE($D93,Milestones!$AA$100)&gt;=SchemeStart,IF($X93=0,$AD93,IF(AND($Z93&lt;&gt;"",EDATE($D93,Milestones!$AA$100)&gt;=$Z93),$AC93,IF(AND($Y93&lt;&gt;"",EDATE($D93,Milestones!$AA$100)&gt;=$Y93),$AB93,$AA93)))=Milestones!$AB$100),UPPER(TEXT(EDATE($D93,Milestones!$AA$100),"dd mmm yy"))&amp;" "&amp;Milestones!$AB$100&amp;" "&amp;IF(AND(Milestones!$AB$100="FT",Milestones!$AA$100=FT_Y5,EDATE($D93,Milestones!$AA$100)&lt;PolicyEff),1,Milestones!$AC$100)&amp;";  ","")&amp;IF(AND(EDATE($D93,Milestones!$AA$101)&lt;=AsOfDate,EDATE($D93,Milestones!$AA$101)&gt;=SchemeStart,IF($X93=0,$AD93,IF(AND($Z93&lt;&gt;"",EDATE($D93,Milestones!$AA$101)&gt;=$Z93),$AC93,IF(AND($Y93&lt;&gt;"",EDATE($D93,Milestones!$AA$101)&gt;=$Y93),$AB93,$AA93)))=Milestones!$AB$101),UPPER(TEXT(EDATE($D93,Milestones!$AA$101),"dd mmm yy"))&amp;" "&amp;Milestones!$AB$101&amp;" "&amp;IF(AND(Milestones!$AB$101="FT",Milestones!$AA$101=FT_Y5,EDATE($D93,Milestones!$AA$101)&lt;PolicyEff),1,Milestones!$AC$101)&amp;";  ","")&amp;IF(AND(EDATE($D93,Milestones!$AA$102)&lt;=AsOfDate,EDATE($D93,Milestones!$AA$102)&gt;=SchemeStart,IF($X93=0,$AD93,IF(AND($Z93&lt;&gt;"",EDATE($D93,Milestones!$AA$102)&gt;=$Z93),$AC93,IF(AND($Y93&lt;&gt;"",EDATE($D93,Milestones!$AA$102)&gt;=$Y93),$AB93,$AA93)))=Milestones!$AB$102),UPPER(TEXT(EDATE($D93,Milestones!$AA$102),"dd mmm yy"))&amp;" "&amp;Milestones!$AB$102&amp;" "&amp;IF(AND(Milestones!$AB$102="FT",Milestones!$AA$102=FT_Y5,EDATE($D93,Milestones!$AA$102)&lt;PolicyEff),1,Milestones!$AC$102)&amp;";  ","")&amp;IF(AND(EDATE($D93,Milestones!$AA$103)&lt;=AsOfDate,EDATE($D93,Milestones!$AA$103)&gt;=SchemeStart,IF($X93=0,$AD93,IF(AND($Z93&lt;&gt;"",EDATE($D93,Milestones!$AA$103)&gt;=$Z93),$AC93,IF(AND($Y93&lt;&gt;"",EDATE($D93,Milestones!$AA$103)&gt;=$Y93),$AB93,$AA93)))=Milestones!$AB$103),UPPER(TEXT(EDATE($D93,Milestones!$AA$103),"dd mmm yy"))&amp;" "&amp;Milestones!$AB$103&amp;" "&amp;IF(AND(Milestones!$AB$103="FT",Milestones!$AA$103=FT_Y5,EDATE($D93,Milestones!$AA$103)&lt;PolicyEff),1,Milestones!$AC$103)&amp;";  ",""))</f>
        <v/>
      </c>
      <c r="P93" s="0" t="str">
        <f aca="false">IF(OR($A93="",$D93=""),"",IF(AND(EDATE($D93,Milestones!$AA$104)&lt;=AsOfDate,EDATE($D93,Milestones!$AA$104)&gt;=SchemeStart,IF($X93=0,$AD93,IF(AND($Z93&lt;&gt;"",EDATE($D93,Milestones!$AA$104)&gt;=$Z93),$AC93,IF(AND($Y93&lt;&gt;"",EDATE($D93,Milestones!$AA$104)&gt;=$Y93),$AB93,$AA93)))=Milestones!$AB$104),UPPER(TEXT(EDATE($D93,Milestones!$AA$104),"dd mmm yy"))&amp;" "&amp;Milestones!$AB$104&amp;" "&amp;IF(AND(Milestones!$AB$104="FT",Milestones!$AA$104=FT_Y5,EDATE($D93,Milestones!$AA$104)&lt;PolicyEff),1,Milestones!$AC$104)&amp;";  ","")&amp;IF(AND(EDATE($D93,Milestones!$AA$105)&lt;=AsOfDate,EDATE($D93,Milestones!$AA$105)&gt;=SchemeStart,IF($X93=0,$AD93,IF(AND($Z93&lt;&gt;"",EDATE($D93,Milestones!$AA$105)&gt;=$Z93),$AC93,IF(AND($Y93&lt;&gt;"",EDATE($D93,Milestones!$AA$105)&gt;=$Y93),$AB93,$AA93)))=Milestones!$AB$105),UPPER(TEXT(EDATE($D93,Milestones!$AA$105),"dd mmm yy"))&amp;" "&amp;Milestones!$AB$105&amp;" "&amp;IF(AND(Milestones!$AB$105="FT",Milestones!$AA$105=FT_Y5,EDATE($D93,Milestones!$AA$105)&lt;PolicyEff),1,Milestones!$AC$105)&amp;";  ","")&amp;IF(AND(EDATE($D93,Milestones!$AA$106)&lt;=AsOfDate,EDATE($D93,Milestones!$AA$106)&gt;=SchemeStart,IF($X93=0,$AD93,IF(AND($Z93&lt;&gt;"",EDATE($D93,Milestones!$AA$106)&gt;=$Z93),$AC93,IF(AND($Y93&lt;&gt;"",EDATE($D93,Milestones!$AA$106)&gt;=$Y93),$AB93,$AA93)))=Milestones!$AB$106),UPPER(TEXT(EDATE($D93,Milestones!$AA$106),"dd mmm yy"))&amp;" "&amp;Milestones!$AB$106&amp;" "&amp;IF(AND(Milestones!$AB$106="FT",Milestones!$AA$106=FT_Y5,EDATE($D93,Milestones!$AA$106)&lt;PolicyEff),1,Milestones!$AC$106)&amp;";  ","")&amp;IF(AND(EDATE($D93,Milestones!$AA$107)&lt;=AsOfDate,EDATE($D93,Milestones!$AA$107)&gt;=SchemeStart,IF($X93=0,$AD93,IF(AND($Z93&lt;&gt;"",EDATE($D93,Milestones!$AA$107)&gt;=$Z93),$AC93,IF(AND($Y93&lt;&gt;"",EDATE($D93,Milestones!$AA$107)&gt;=$Y93),$AB93,$AA93)))=Milestones!$AB$107),UPPER(TEXT(EDATE($D93,Milestones!$AA$107),"dd mmm yy"))&amp;" "&amp;Milestones!$AB$107&amp;" "&amp;IF(AND(Milestones!$AB$107="FT",Milestones!$AA$107=FT_Y5,EDATE($D93,Milestones!$AA$107)&lt;PolicyEff),1,Milestones!$AC$107)&amp;";  ","")&amp;IF(AND(EDATE($D93,Milestones!$AA$108)&lt;=AsOfDate,EDATE($D93,Milestones!$AA$108)&gt;=SchemeStart,IF($X93=0,$AD93,IF(AND($Z93&lt;&gt;"",EDATE($D93,Milestones!$AA$108)&gt;=$Z93),$AC93,IF(AND($Y93&lt;&gt;"",EDATE($D93,Milestones!$AA$108)&gt;=$Y93),$AB93,$AA93)))=Milestones!$AB$108),UPPER(TEXT(EDATE($D93,Milestones!$AA$108),"dd mmm yy"))&amp;" "&amp;Milestones!$AB$108&amp;" "&amp;IF(AND(Milestones!$AB$108="FT",Milestones!$AA$108=FT_Y5,EDATE($D93,Milestones!$AA$108)&lt;PolicyEff),1,Milestones!$AC$108)&amp;";  ","")&amp;IF(AND(EDATE($D93,Milestones!$AA$109)&lt;=AsOfDate,EDATE($D93,Milestones!$AA$109)&gt;=SchemeStart,IF($X93=0,$AD93,IF(AND($Z93&lt;&gt;"",EDATE($D93,Milestones!$AA$109)&gt;=$Z93),$AC93,IF(AND($Y93&lt;&gt;"",EDATE($D93,Milestones!$AA$109)&gt;=$Y93),$AB93,$AA93)))=Milestones!$AB$109),UPPER(TEXT(EDATE($D93,Milestones!$AA$109),"dd mmm yy"))&amp;" "&amp;Milestones!$AB$109&amp;" "&amp;IF(AND(Milestones!$AB$109="FT",Milestones!$AA$109=FT_Y5,EDATE($D93,Milestones!$AA$109)&lt;PolicyEff),1,Milestones!$AC$109)&amp;";  ","")&amp;IF(AND(EDATE($D93,Milestones!$AA$110)&lt;=AsOfDate,EDATE($D93,Milestones!$AA$110)&gt;=SchemeStart,IF($X93=0,$AD93,IF(AND($Z93&lt;&gt;"",EDATE($D93,Milestones!$AA$110)&gt;=$Z93),$AC93,IF(AND($Y93&lt;&gt;"",EDATE($D93,Milestones!$AA$110)&gt;=$Y93),$AB93,$AA93)))=Milestones!$AB$110),UPPER(TEXT(EDATE($D93,Milestones!$AA$110),"dd mmm yy"))&amp;" "&amp;Milestones!$AB$110&amp;" "&amp;IF(AND(Milestones!$AB$110="FT",Milestones!$AA$110=FT_Y5,EDATE($D93,Milestones!$AA$110)&lt;PolicyEff),1,Milestones!$AC$110)&amp;";  ","")&amp;IF(AND(EDATE($D93,Milestones!$AA$111)&lt;=AsOfDate,EDATE($D93,Milestones!$AA$111)&gt;=SchemeStart,IF($X93=0,$AD93,IF(AND($Z93&lt;&gt;"",EDATE($D93,Milestones!$AA$111)&gt;=$Z93),$AC93,IF(AND($Y93&lt;&gt;"",EDATE($D93,Milestones!$AA$111)&gt;=$Y93),$AB93,$AA93)))=Milestones!$AB$111),UPPER(TEXT(EDATE($D93,Milestones!$AA$111),"dd mmm yy"))&amp;" "&amp;Milestones!$AB$111&amp;" "&amp;IF(AND(Milestones!$AB$111="FT",Milestones!$AA$111=FT_Y5,EDATE($D93,Milestones!$AA$111)&lt;PolicyEff),1,Milestones!$AC$111)&amp;";  ","")&amp;IF(AND(EDATE($D93,Milestones!$AA$112)&lt;=AsOfDate,EDATE($D93,Milestones!$AA$112)&gt;=SchemeStart,IF($X93=0,$AD93,IF(AND($Z93&lt;&gt;"",EDATE($D93,Milestones!$AA$112)&gt;=$Z93),$AC93,IF(AND($Y93&lt;&gt;"",EDATE($D93,Milestones!$AA$112)&gt;=$Y93),$AB93,$AA93)))=Milestones!$AB$112),UPPER(TEXT(EDATE($D93,Milestones!$AA$112),"dd mmm yy"))&amp;" "&amp;Milestones!$AB$112&amp;" "&amp;IF(AND(Milestones!$AB$112="FT",Milestones!$AA$112=FT_Y5,EDATE($D93,Milestones!$AA$112)&lt;PolicyEff),1,Milestones!$AC$112)&amp;";  ","")&amp;IF(AND(EDATE($D93,Milestones!$AA$113)&lt;=AsOfDate,EDATE($D93,Milestones!$AA$113)&gt;=SchemeStart,IF($X93=0,$AD93,IF(AND($Z93&lt;&gt;"",EDATE($D93,Milestones!$AA$113)&gt;=$Z93),$AC93,IF(AND($Y93&lt;&gt;"",EDATE($D93,Milestones!$AA$113)&gt;=$Y93),$AB93,$AA93)))=Milestones!$AB$113),UPPER(TEXT(EDATE($D93,Milestones!$AA$113),"dd mmm yy"))&amp;" "&amp;Milestones!$AB$113&amp;" "&amp;IF(AND(Milestones!$AB$113="FT",Milestones!$AA$113=FT_Y5,EDATE($D93,Milestones!$AA$113)&lt;PolicyEff),1,Milestones!$AC$113)&amp;";  ","")&amp;IF(AND(EDATE($D93,Milestones!$AA$114)&lt;=AsOfDate,EDATE($D93,Milestones!$AA$114)&gt;=SchemeStart,IF($X93=0,$AD93,IF(AND($Z93&lt;&gt;"",EDATE($D93,Milestones!$AA$114)&gt;=$Z93),$AC93,IF(AND($Y93&lt;&gt;"",EDATE($D93,Milestones!$AA$114)&gt;=$Y93),$AB93,$AA93)))=Milestones!$AB$114),UPPER(TEXT(EDATE($D93,Milestones!$AA$114),"dd mmm yy"))&amp;" "&amp;Milestones!$AB$114&amp;" "&amp;IF(AND(Milestones!$AB$114="FT",Milestones!$AA$114=FT_Y5,EDATE($D93,Milestones!$AA$114)&lt;PolicyEff),1,Milestones!$AC$114)&amp;";  ","")&amp;IF(AND(EDATE($D93,Milestones!$AA$115)&lt;=AsOfDate,EDATE($D93,Milestones!$AA$115)&gt;=SchemeStart,IF($X93=0,$AD93,IF(AND($Z93&lt;&gt;"",EDATE($D93,Milestones!$AA$115)&gt;=$Z93),$AC93,IF(AND($Y93&lt;&gt;"",EDATE($D93,Milestones!$AA$115)&gt;=$Y93),$AB93,$AA93)))=Milestones!$AB$115),UPPER(TEXT(EDATE($D93,Milestones!$AA$115),"dd mmm yy"))&amp;" "&amp;Milestones!$AB$115&amp;" "&amp;IF(AND(Milestones!$AB$115="FT",Milestones!$AA$115=FT_Y5,EDATE($D93,Milestones!$AA$115)&lt;PolicyEff),1,Milestones!$AC$115)&amp;";  ",""))</f>
        <v/>
      </c>
      <c r="Q93" s="0" t="str">
        <f aca="false">IF(OR($A93="",$D93=""),"",IF(AND(EDATE($D93,Milestones!$AA$116)&lt;=AsOfDate,EDATE($D93,Milestones!$AA$116)&gt;=SchemeStart,IF($X93=0,$AD93,IF(AND($Z93&lt;&gt;"",EDATE($D93,Milestones!$AA$116)&gt;=$Z93),$AC93,IF(AND($Y93&lt;&gt;"",EDATE($D93,Milestones!$AA$116)&gt;=$Y93),$AB93,$AA93)))=Milestones!$AB$116),UPPER(TEXT(EDATE($D93,Milestones!$AA$116),"dd mmm yy"))&amp;" "&amp;Milestones!$AB$116&amp;" "&amp;IF(AND(Milestones!$AB$116="FT",Milestones!$AA$116=FT_Y5,EDATE($D93,Milestones!$AA$116)&lt;PolicyEff),1,Milestones!$AC$116)&amp;";  ","")&amp;IF(AND(EDATE($D93,Milestones!$AA$117)&lt;=AsOfDate,EDATE($D93,Milestones!$AA$117)&gt;=SchemeStart,IF($X93=0,$AD93,IF(AND($Z93&lt;&gt;"",EDATE($D93,Milestones!$AA$117)&gt;=$Z93),$AC93,IF(AND($Y93&lt;&gt;"",EDATE($D93,Milestones!$AA$117)&gt;=$Y93),$AB93,$AA93)))=Milestones!$AB$117),UPPER(TEXT(EDATE($D93,Milestones!$AA$117),"dd mmm yy"))&amp;" "&amp;Milestones!$AB$117&amp;" "&amp;IF(AND(Milestones!$AB$117="FT",Milestones!$AA$117=FT_Y5,EDATE($D93,Milestones!$AA$117)&lt;PolicyEff),1,Milestones!$AC$117)&amp;";  ","")&amp;IF(AND(EDATE($D93,Milestones!$AA$118)&lt;=AsOfDate,EDATE($D93,Milestones!$AA$118)&gt;=SchemeStart,IF($X93=0,$AD93,IF(AND($Z93&lt;&gt;"",EDATE($D93,Milestones!$AA$118)&gt;=$Z93),$AC93,IF(AND($Y93&lt;&gt;"",EDATE($D93,Milestones!$AA$118)&gt;=$Y93),$AB93,$AA93)))=Milestones!$AB$118),UPPER(TEXT(EDATE($D93,Milestones!$AA$118),"dd mmm yy"))&amp;" "&amp;Milestones!$AB$118&amp;" "&amp;IF(AND(Milestones!$AB$118="FT",Milestones!$AA$118=FT_Y5,EDATE($D93,Milestones!$AA$118)&lt;PolicyEff),1,Milestones!$AC$118)&amp;";  ","")&amp;IF(AND(EDATE($D93,Milestones!$AA$119)&lt;=AsOfDate,EDATE($D93,Milestones!$AA$119)&gt;=SchemeStart,IF($X93=0,$AD93,IF(AND($Z93&lt;&gt;"",EDATE($D93,Milestones!$AA$119)&gt;=$Z93),$AC93,IF(AND($Y93&lt;&gt;"",EDATE($D93,Milestones!$AA$119)&gt;=$Y93),$AB93,$AA93)))=Milestones!$AB$119),UPPER(TEXT(EDATE($D93,Milestones!$AA$119),"dd mmm yy"))&amp;" "&amp;Milestones!$AB$119&amp;" "&amp;IF(AND(Milestones!$AB$119="FT",Milestones!$AA$119=FT_Y5,EDATE($D93,Milestones!$AA$119)&lt;PolicyEff),1,Milestones!$AC$119)&amp;";  ","")&amp;IF(AND(EDATE($D93,Milestones!$AA$120)&lt;=AsOfDate,EDATE($D93,Milestones!$AA$120)&gt;=SchemeStart,IF($X93=0,$AD93,IF(AND($Z93&lt;&gt;"",EDATE($D93,Milestones!$AA$120)&gt;=$Z93),$AC93,IF(AND($Y93&lt;&gt;"",EDATE($D93,Milestones!$AA$120)&gt;=$Y93),$AB93,$AA93)))=Milestones!$AB$120),UPPER(TEXT(EDATE($D93,Milestones!$AA$120),"dd mmm yy"))&amp;" "&amp;Milestones!$AB$120&amp;" "&amp;IF(AND(Milestones!$AB$120="FT",Milestones!$AA$120=FT_Y5,EDATE($D93,Milestones!$AA$120)&lt;PolicyEff),1,Milestones!$AC$120)&amp;";  ","")&amp;IF(AND(EDATE($D93,Milestones!$AA$121)&lt;=AsOfDate,EDATE($D93,Milestones!$AA$121)&gt;=SchemeStart,IF($X93=0,$AD93,IF(AND($Z93&lt;&gt;"",EDATE($D93,Milestones!$AA$121)&gt;=$Z93),$AC93,IF(AND($Y93&lt;&gt;"",EDATE($D93,Milestones!$AA$121)&gt;=$Y93),$AB93,$AA93)))=Milestones!$AB$121),UPPER(TEXT(EDATE($D93,Milestones!$AA$121),"dd mmm yy"))&amp;" "&amp;Milestones!$AB$121&amp;" "&amp;IF(AND(Milestones!$AB$121="FT",Milestones!$AA$121=FT_Y5,EDATE($D93,Milestones!$AA$121)&lt;PolicyEff),1,Milestones!$AC$121)&amp;";  ","")&amp;IF(AND(EDATE($D93,Milestones!$AA$122)&lt;=AsOfDate,EDATE($D93,Milestones!$AA$122)&gt;=SchemeStart,IF($X93=0,$AD93,IF(AND($Z93&lt;&gt;"",EDATE($D93,Milestones!$AA$122)&gt;=$Z93),$AC93,IF(AND($Y93&lt;&gt;"",EDATE($D93,Milestones!$AA$122)&gt;=$Y93),$AB93,$AA93)))=Milestones!$AB$122),UPPER(TEXT(EDATE($D93,Milestones!$AA$122),"dd mmm yy"))&amp;" "&amp;Milestones!$AB$122&amp;" "&amp;IF(AND(Milestones!$AB$122="FT",Milestones!$AA$122=FT_Y5,EDATE($D93,Milestones!$AA$122)&lt;PolicyEff),1,Milestones!$AC$122)&amp;";  ","")&amp;IF(AND(EDATE($D93,Milestones!$AA$123)&lt;=AsOfDate,EDATE($D93,Milestones!$AA$123)&gt;=SchemeStart,IF($X93=0,$AD93,IF(AND($Z93&lt;&gt;"",EDATE($D93,Milestones!$AA$123)&gt;=$Z93),$AC93,IF(AND($Y93&lt;&gt;"",EDATE($D93,Milestones!$AA$123)&gt;=$Y93),$AB93,$AA93)))=Milestones!$AB$123),UPPER(TEXT(EDATE($D93,Milestones!$AA$123),"dd mmm yy"))&amp;" "&amp;Milestones!$AB$123&amp;" "&amp;IF(AND(Milestones!$AB$123="FT",Milestones!$AA$123=FT_Y5,EDATE($D93,Milestones!$AA$123)&lt;PolicyEff),1,Milestones!$AC$123)&amp;";  ","")&amp;IF(AND(EDATE($D93,Milestones!$AA$124)&lt;=AsOfDate,EDATE($D93,Milestones!$AA$124)&gt;=SchemeStart,IF($X93=0,$AD93,IF(AND($Z93&lt;&gt;"",EDATE($D93,Milestones!$AA$124)&gt;=$Z93),$AC93,IF(AND($Y93&lt;&gt;"",EDATE($D93,Milestones!$AA$124)&gt;=$Y93),$AB93,$AA93)))=Milestones!$AB$124),UPPER(TEXT(EDATE($D93,Milestones!$AA$124),"dd mmm yy"))&amp;" "&amp;Milestones!$AB$124&amp;" "&amp;IF(AND(Milestones!$AB$124="FT",Milestones!$AA$124=FT_Y5,EDATE($D93,Milestones!$AA$124)&lt;PolicyEff),1,Milestones!$AC$124)&amp;";  ","")&amp;IF(AND(EDATE($D93,Milestones!$AA$125)&lt;=AsOfDate,EDATE($D93,Milestones!$AA$125)&gt;=SchemeStart,IF($X93=0,$AD93,IF(AND($Z93&lt;&gt;"",EDATE($D93,Milestones!$AA$125)&gt;=$Z93),$AC93,IF(AND($Y93&lt;&gt;"",EDATE($D93,Milestones!$AA$125)&gt;=$Y93),$AB93,$AA93)))=Milestones!$AB$125),UPPER(TEXT(EDATE($D93,Milestones!$AA$125),"dd mmm yy"))&amp;" "&amp;Milestones!$AB$125&amp;" "&amp;IF(AND(Milestones!$AB$125="FT",Milestones!$AA$125=FT_Y5,EDATE($D93,Milestones!$AA$125)&lt;PolicyEff),1,Milestones!$AC$125)&amp;";  ","")&amp;IF(AND(EDATE($D93,Milestones!$AA$126)&lt;=AsOfDate,EDATE($D93,Milestones!$AA$126)&gt;=SchemeStart,IF($X93=0,$AD93,IF(AND($Z93&lt;&gt;"",EDATE($D93,Milestones!$AA$126)&gt;=$Z93),$AC93,IF(AND($Y93&lt;&gt;"",EDATE($D93,Milestones!$AA$126)&gt;=$Y93),$AB93,$AA93)))=Milestones!$AB$126),UPPER(TEXT(EDATE($D93,Milestones!$AA$126),"dd mmm yy"))&amp;" "&amp;Milestones!$AB$126&amp;" "&amp;IF(AND(Milestones!$AB$126="FT",Milestones!$AA$126=FT_Y5,EDATE($D93,Milestones!$AA$126)&lt;PolicyEff),1,Milestones!$AC$126)&amp;";  ","")&amp;IF(AND(EDATE($D93,Milestones!$AA$127)&lt;=AsOfDate,EDATE($D93,Milestones!$AA$127)&gt;=SchemeStart,IF($X93=0,$AD93,IF(AND($Z93&lt;&gt;"",EDATE($D93,Milestones!$AA$127)&gt;=$Z93),$AC93,IF(AND($Y93&lt;&gt;"",EDATE($D93,Milestones!$AA$127)&gt;=$Y93),$AB93,$AA93)))=Milestones!$AB$127),UPPER(TEXT(EDATE($D93,Milestones!$AA$127),"dd mmm yy"))&amp;" "&amp;Milestones!$AB$127&amp;" "&amp;IF(AND(Milestones!$AB$127="FT",Milestones!$AA$127=FT_Y5,EDATE($D93,Milestones!$AA$127)&lt;PolicyEff),1,Milestones!$AC$127)&amp;";  ",""))</f>
        <v/>
      </c>
      <c r="R93" s="0" t="str">
        <f aca="false">IF(OR($A93="",$D93=""),"",IF(AND(EDATE($D93,Milestones!$AA$128)&lt;=AsOfDate,EDATE($D93,Milestones!$AA$128)&gt;=SchemeStart,IF($X93=0,$AD93,IF(AND($Z93&lt;&gt;"",EDATE($D93,Milestones!$AA$128)&gt;=$Z93),$AC93,IF(AND($Y93&lt;&gt;"",EDATE($D93,Milestones!$AA$128)&gt;=$Y93),$AB93,$AA93)))=Milestones!$AB$128),UPPER(TEXT(EDATE($D93,Milestones!$AA$128),"dd mmm yy"))&amp;" "&amp;Milestones!$AB$128&amp;" "&amp;IF(AND(Milestones!$AB$128="FT",Milestones!$AA$128=FT_Y5,EDATE($D93,Milestones!$AA$128)&lt;PolicyEff),1,Milestones!$AC$128)&amp;";  ","")&amp;IF(AND(EDATE($D93,Milestones!$AA$129)&lt;=AsOfDate,EDATE($D93,Milestones!$AA$129)&gt;=SchemeStart,IF($X93=0,$AD93,IF(AND($Z93&lt;&gt;"",EDATE($D93,Milestones!$AA$129)&gt;=$Z93),$AC93,IF(AND($Y93&lt;&gt;"",EDATE($D93,Milestones!$AA$129)&gt;=$Y93),$AB93,$AA93)))=Milestones!$AB$129),UPPER(TEXT(EDATE($D93,Milestones!$AA$129),"dd mmm yy"))&amp;" "&amp;Milestones!$AB$129&amp;" "&amp;IF(AND(Milestones!$AB$129="FT",Milestones!$AA$129=FT_Y5,EDATE($D93,Milestones!$AA$129)&lt;PolicyEff),1,Milestones!$AC$129)&amp;";  ","")&amp;IF(AND(EDATE($D93,Milestones!$AA$130)&lt;=AsOfDate,EDATE($D93,Milestones!$AA$130)&gt;=SchemeStart,IF($X93=0,$AD93,IF(AND($Z93&lt;&gt;"",EDATE($D93,Milestones!$AA$130)&gt;=$Z93),$AC93,IF(AND($Y93&lt;&gt;"",EDATE($D93,Milestones!$AA$130)&gt;=$Y93),$AB93,$AA93)))=Milestones!$AB$130),UPPER(TEXT(EDATE($D93,Milestones!$AA$130),"dd mmm yy"))&amp;" "&amp;Milestones!$AB$130&amp;" "&amp;IF(AND(Milestones!$AB$130="FT",Milestones!$AA$130=FT_Y5,EDATE($D93,Milestones!$AA$130)&lt;PolicyEff),1,Milestones!$AC$130)&amp;";  ","")&amp;IF(AND(EDATE($D93,Milestones!$AA$131)&lt;=AsOfDate,EDATE($D93,Milestones!$AA$131)&gt;=SchemeStart,IF($X93=0,$AD93,IF(AND($Z93&lt;&gt;"",EDATE($D93,Milestones!$AA$131)&gt;=$Z93),$AC93,IF(AND($Y93&lt;&gt;"",EDATE($D93,Milestones!$AA$131)&gt;=$Y93),$AB93,$AA93)))=Milestones!$AB$131),UPPER(TEXT(EDATE($D93,Milestones!$AA$131),"dd mmm yy"))&amp;" "&amp;Milestones!$AB$131&amp;" "&amp;IF(AND(Milestones!$AB$131="FT",Milestones!$AA$131=FT_Y5,EDATE($D93,Milestones!$AA$131)&lt;PolicyEff),1,Milestones!$AC$131)&amp;";  ","")&amp;IF(AND(EDATE($D93,Milestones!$AA$132)&lt;=AsOfDate,EDATE($D93,Milestones!$AA$132)&gt;=SchemeStart,IF($X93=0,$AD93,IF(AND($Z93&lt;&gt;"",EDATE($D93,Milestones!$AA$132)&gt;=$Z93),$AC93,IF(AND($Y93&lt;&gt;"",EDATE($D93,Milestones!$AA$132)&gt;=$Y93),$AB93,$AA93)))=Milestones!$AB$132),UPPER(TEXT(EDATE($D93,Milestones!$AA$132),"dd mmm yy"))&amp;" "&amp;Milestones!$AB$132&amp;" "&amp;IF(AND(Milestones!$AB$132="FT",Milestones!$AA$132=FT_Y5,EDATE($D93,Milestones!$AA$132)&lt;PolicyEff),1,Milestones!$AC$132)&amp;";  ","")&amp;IF(AND(EDATE($D93,Milestones!$AA$133)&lt;=AsOfDate,EDATE($D93,Milestones!$AA$133)&gt;=SchemeStart,IF($X93=0,$AD93,IF(AND($Z93&lt;&gt;"",EDATE($D93,Milestones!$AA$133)&gt;=$Z93),$AC93,IF(AND($Y93&lt;&gt;"",EDATE($D93,Milestones!$AA$133)&gt;=$Y93),$AB93,$AA93)))=Milestones!$AB$133),UPPER(TEXT(EDATE($D93,Milestones!$AA$133),"dd mmm yy"))&amp;" "&amp;Milestones!$AB$133&amp;" "&amp;IF(AND(Milestones!$AB$133="FT",Milestones!$AA$133=FT_Y5,EDATE($D93,Milestones!$AA$133)&lt;PolicyEff),1,Milestones!$AC$133)&amp;";  ","")&amp;IF(AND(EDATE($D93,Milestones!$AA$134)&lt;=AsOfDate,EDATE($D93,Milestones!$AA$134)&gt;=SchemeStart,IF($X93=0,$AD93,IF(AND($Z93&lt;&gt;"",EDATE($D93,Milestones!$AA$134)&gt;=$Z93),$AC93,IF(AND($Y93&lt;&gt;"",EDATE($D93,Milestones!$AA$134)&gt;=$Y93),$AB93,$AA93)))=Milestones!$AB$134),UPPER(TEXT(EDATE($D93,Milestones!$AA$134),"dd mmm yy"))&amp;" "&amp;Milestones!$AB$134&amp;" "&amp;IF(AND(Milestones!$AB$134="FT",Milestones!$AA$134=FT_Y5,EDATE($D93,Milestones!$AA$134)&lt;PolicyEff),1,Milestones!$AC$134)&amp;";  ","")&amp;IF(AND(EDATE($D93,Milestones!$AA$135)&lt;=AsOfDate,EDATE($D93,Milestones!$AA$135)&gt;=SchemeStart,IF($X93=0,$AD93,IF(AND($Z93&lt;&gt;"",EDATE($D93,Milestones!$AA$135)&gt;=$Z93),$AC93,IF(AND($Y93&lt;&gt;"",EDATE($D93,Milestones!$AA$135)&gt;=$Y93),$AB93,$AA93)))=Milestones!$AB$135),UPPER(TEXT(EDATE($D93,Milestones!$AA$135),"dd mmm yy"))&amp;" "&amp;Milestones!$AB$135&amp;" "&amp;IF(AND(Milestones!$AB$135="FT",Milestones!$AA$135=FT_Y5,EDATE($D93,Milestones!$AA$135)&lt;PolicyEff),1,Milestones!$AC$135)&amp;";  ","")&amp;IF(AND(EDATE($D93,Milestones!$AA$136)&lt;=AsOfDate,EDATE($D93,Milestones!$AA$136)&gt;=SchemeStart,IF($X93=0,$AD93,IF(AND($Z93&lt;&gt;"",EDATE($D93,Milestones!$AA$136)&gt;=$Z93),$AC93,IF(AND($Y93&lt;&gt;"",EDATE($D93,Milestones!$AA$136)&gt;=$Y93),$AB93,$AA93)))=Milestones!$AB$136),UPPER(TEXT(EDATE($D93,Milestones!$AA$136),"dd mmm yy"))&amp;" "&amp;Milestones!$AB$136&amp;" "&amp;IF(AND(Milestones!$AB$136="FT",Milestones!$AA$136=FT_Y5,EDATE($D93,Milestones!$AA$136)&lt;PolicyEff),1,Milestones!$AC$136)&amp;";  ","")&amp;IF(AND(EDATE($D93,Milestones!$AA$137)&lt;=AsOfDate,EDATE($D93,Milestones!$AA$137)&gt;=SchemeStart,IF($X93=0,$AD93,IF(AND($Z93&lt;&gt;"",EDATE($D93,Milestones!$AA$137)&gt;=$Z93),$AC93,IF(AND($Y93&lt;&gt;"",EDATE($D93,Milestones!$AA$137)&gt;=$Y93),$AB93,$AA93)))=Milestones!$AB$137),UPPER(TEXT(EDATE($D93,Milestones!$AA$137),"dd mmm yy"))&amp;" "&amp;Milestones!$AB$137&amp;" "&amp;IF(AND(Milestones!$AB$137="FT",Milestones!$AA$137=FT_Y5,EDATE($D93,Milestones!$AA$137)&lt;PolicyEff),1,Milestones!$AC$137)&amp;";  ","")&amp;IF(AND(EDATE($D93,Milestones!$AA$138)&lt;=AsOfDate,EDATE($D93,Milestones!$AA$138)&gt;=SchemeStart,IF($X93=0,$AD93,IF(AND($Z93&lt;&gt;"",EDATE($D93,Milestones!$AA$138)&gt;=$Z93),$AC93,IF(AND($Y93&lt;&gt;"",EDATE($D93,Milestones!$AA$138)&gt;=$Y93),$AB93,$AA93)))=Milestones!$AB$138),UPPER(TEXT(EDATE($D93,Milestones!$AA$138),"dd mmm yy"))&amp;" "&amp;Milestones!$AB$138&amp;" "&amp;IF(AND(Milestones!$AB$138="FT",Milestones!$AA$138=FT_Y5,EDATE($D93,Milestones!$AA$138)&lt;PolicyEff),1,Milestones!$AC$138)&amp;";  ","")&amp;IF(AND(EDATE($D93,Milestones!$AA$139)&lt;=AsOfDate,EDATE($D93,Milestones!$AA$139)&gt;=SchemeStart,IF($X93=0,$AD93,IF(AND($Z93&lt;&gt;"",EDATE($D93,Milestones!$AA$139)&gt;=$Z93),$AC93,IF(AND($Y93&lt;&gt;"",EDATE($D93,Milestones!$AA$139)&gt;=$Y93),$AB93,$AA93)))=Milestones!$AB$139),UPPER(TEXT(EDATE($D93,Milestones!$AA$139),"dd mmm yy"))&amp;" "&amp;Milestones!$AB$139&amp;" "&amp;IF(AND(Milestones!$AB$139="FT",Milestones!$AA$139=FT_Y5,EDATE($D93,Milestones!$AA$139)&lt;PolicyEff),1,Milestones!$AC$139)&amp;";  ",""))</f>
        <v/>
      </c>
      <c r="S93" s="0" t="str">
        <f aca="false">IF(OR($A93="",$D93=""),"",IF(AND(EDATE($D93,Milestones!$AA$140)&lt;=AsOfDate,EDATE($D93,Milestones!$AA$140)&gt;=SchemeStart,IF($X93=0,$AD93,IF(AND($Z93&lt;&gt;"",EDATE($D93,Milestones!$AA$140)&gt;=$Z93),$AC93,IF(AND($Y93&lt;&gt;"",EDATE($D93,Milestones!$AA$140)&gt;=$Y93),$AB93,$AA93)))=Milestones!$AB$140),UPPER(TEXT(EDATE($D93,Milestones!$AA$140),"dd mmm yy"))&amp;" "&amp;Milestones!$AB$140&amp;" "&amp;IF(AND(Milestones!$AB$140="FT",Milestones!$AA$140=FT_Y5,EDATE($D93,Milestones!$AA$140)&lt;PolicyEff),1,Milestones!$AC$140)&amp;";  ","")&amp;IF(AND(EDATE($D93,Milestones!$AA$141)&lt;=AsOfDate,EDATE($D93,Milestones!$AA$141)&gt;=SchemeStart,IF($X93=0,$AD93,IF(AND($Z93&lt;&gt;"",EDATE($D93,Milestones!$AA$141)&gt;=$Z93),$AC93,IF(AND($Y93&lt;&gt;"",EDATE($D93,Milestones!$AA$141)&gt;=$Y93),$AB93,$AA93)))=Milestones!$AB$141),UPPER(TEXT(EDATE($D93,Milestones!$AA$141),"dd mmm yy"))&amp;" "&amp;Milestones!$AB$141&amp;" "&amp;IF(AND(Milestones!$AB$141="FT",Milestones!$AA$141=FT_Y5,EDATE($D93,Milestones!$AA$141)&lt;PolicyEff),1,Milestones!$AC$141)&amp;";  ","")&amp;IF(AND(EDATE($D93,Milestones!$AA$142)&lt;=AsOfDate,EDATE($D93,Milestones!$AA$142)&gt;=SchemeStart,IF($X93=0,$AD93,IF(AND($Z93&lt;&gt;"",EDATE($D93,Milestones!$AA$142)&gt;=$Z93),$AC93,IF(AND($Y93&lt;&gt;"",EDATE($D93,Milestones!$AA$142)&gt;=$Y93),$AB93,$AA93)))=Milestones!$AB$142),UPPER(TEXT(EDATE($D93,Milestones!$AA$142),"dd mmm yy"))&amp;" "&amp;Milestones!$AB$142&amp;" "&amp;IF(AND(Milestones!$AB$142="FT",Milestones!$AA$142=FT_Y5,EDATE($D93,Milestones!$AA$142)&lt;PolicyEff),1,Milestones!$AC$142)&amp;";  ","")&amp;IF(AND(EDATE($D93,Milestones!$AA$143)&lt;=AsOfDate,EDATE($D93,Milestones!$AA$143)&gt;=SchemeStart,IF($X93=0,$AD93,IF(AND($Z93&lt;&gt;"",EDATE($D93,Milestones!$AA$143)&gt;=$Z93),$AC93,IF(AND($Y93&lt;&gt;"",EDATE($D93,Milestones!$AA$143)&gt;=$Y93),$AB93,$AA93)))=Milestones!$AB$143),UPPER(TEXT(EDATE($D93,Milestones!$AA$143),"dd mmm yy"))&amp;" "&amp;Milestones!$AB$143&amp;" "&amp;IF(AND(Milestones!$AB$143="FT",Milestones!$AA$143=FT_Y5,EDATE($D93,Milestones!$AA$143)&lt;PolicyEff),1,Milestones!$AC$143)&amp;";  ","")&amp;IF(AND(EDATE($D93,Milestones!$AA$144)&lt;=AsOfDate,EDATE($D93,Milestones!$AA$144)&gt;=SchemeStart,IF($X93=0,$AD93,IF(AND($Z93&lt;&gt;"",EDATE($D93,Milestones!$AA$144)&gt;=$Z93),$AC93,IF(AND($Y93&lt;&gt;"",EDATE($D93,Milestones!$AA$144)&gt;=$Y93),$AB93,$AA93)))=Milestones!$AB$144),UPPER(TEXT(EDATE($D93,Milestones!$AA$144),"dd mmm yy"))&amp;" "&amp;Milestones!$AB$144&amp;" "&amp;IF(AND(Milestones!$AB$144="FT",Milestones!$AA$144=FT_Y5,EDATE($D93,Milestones!$AA$144)&lt;PolicyEff),1,Milestones!$AC$144)&amp;";  ","")&amp;IF(AND(EDATE($D93,Milestones!$AA$145)&lt;=AsOfDate,EDATE($D93,Milestones!$AA$145)&gt;=SchemeStart,IF($X93=0,$AD93,IF(AND($Z93&lt;&gt;"",EDATE($D93,Milestones!$AA$145)&gt;=$Z93),$AC93,IF(AND($Y93&lt;&gt;"",EDATE($D93,Milestones!$AA$145)&gt;=$Y93),$AB93,$AA93)))=Milestones!$AB$145),UPPER(TEXT(EDATE($D93,Milestones!$AA$145),"dd mmm yy"))&amp;" "&amp;Milestones!$AB$145&amp;" "&amp;IF(AND(Milestones!$AB$145="FT",Milestones!$AA$145=FT_Y5,EDATE($D93,Milestones!$AA$145)&lt;PolicyEff),1,Milestones!$AC$145)&amp;";  ","")&amp;IF(AND(EDATE($D93,Milestones!$AA$146)&lt;=AsOfDate,EDATE($D93,Milestones!$AA$146)&gt;=SchemeStart,IF($X93=0,$AD93,IF(AND($Z93&lt;&gt;"",EDATE($D93,Milestones!$AA$146)&gt;=$Z93),$AC93,IF(AND($Y93&lt;&gt;"",EDATE($D93,Milestones!$AA$146)&gt;=$Y93),$AB93,$AA93)))=Milestones!$AB$146),UPPER(TEXT(EDATE($D93,Milestones!$AA$146),"dd mmm yy"))&amp;" "&amp;Milestones!$AB$146&amp;" "&amp;IF(AND(Milestones!$AB$146="FT",Milestones!$AA$146=FT_Y5,EDATE($D93,Milestones!$AA$146)&lt;PolicyEff),1,Milestones!$AC$146)&amp;";  ","")&amp;IF(AND(EDATE($D93,Milestones!$AA$147)&lt;=AsOfDate,EDATE($D93,Milestones!$AA$147)&gt;=SchemeStart,IF($X93=0,$AD93,IF(AND($Z93&lt;&gt;"",EDATE($D93,Milestones!$AA$147)&gt;=$Z93),$AC93,IF(AND($Y93&lt;&gt;"",EDATE($D93,Milestones!$AA$147)&gt;=$Y93),$AB93,$AA93)))=Milestones!$AB$147),UPPER(TEXT(EDATE($D93,Milestones!$AA$147),"dd mmm yy"))&amp;" "&amp;Milestones!$AB$147&amp;" "&amp;IF(AND(Milestones!$AB$147="FT",Milestones!$AA$147=FT_Y5,EDATE($D93,Milestones!$AA$147)&lt;PolicyEff),1,Milestones!$AC$147)&amp;";  ","")&amp;IF(AND(EDATE($D93,Milestones!$AA$148)&lt;=AsOfDate,EDATE($D93,Milestones!$AA$148)&gt;=SchemeStart,IF($X93=0,$AD93,IF(AND($Z93&lt;&gt;"",EDATE($D93,Milestones!$AA$148)&gt;=$Z93),$AC93,IF(AND($Y93&lt;&gt;"",EDATE($D93,Milestones!$AA$148)&gt;=$Y93),$AB93,$AA93)))=Milestones!$AB$148),UPPER(TEXT(EDATE($D93,Milestones!$AA$148),"dd mmm yy"))&amp;" "&amp;Milestones!$AB$148&amp;" "&amp;IF(AND(Milestones!$AB$148="FT",Milestones!$AA$148=FT_Y5,EDATE($D93,Milestones!$AA$148)&lt;PolicyEff),1,Milestones!$AC$148)&amp;";  ","")&amp;IF(AND(EDATE($D93,Milestones!$AA$149)&lt;=AsOfDate,EDATE($D93,Milestones!$AA$149)&gt;=SchemeStart,IF($X93=0,$AD93,IF(AND($Z93&lt;&gt;"",EDATE($D93,Milestones!$AA$149)&gt;=$Z93),$AC93,IF(AND($Y93&lt;&gt;"",EDATE($D93,Milestones!$AA$149)&gt;=$Y93),$AB93,$AA93)))=Milestones!$AB$149),UPPER(TEXT(EDATE($D93,Milestones!$AA$149),"dd mmm yy"))&amp;" "&amp;Milestones!$AB$149&amp;" "&amp;IF(AND(Milestones!$AB$149="FT",Milestones!$AA$149=FT_Y5,EDATE($D93,Milestones!$AA$149)&lt;PolicyEff),1,Milestones!$AC$149)&amp;";  ","")&amp;IF(AND(EDATE($D93,Milestones!$AA$150)&lt;=AsOfDate,EDATE($D93,Milestones!$AA$150)&gt;=SchemeStart,IF($X93=0,$AD93,IF(AND($Z93&lt;&gt;"",EDATE($D93,Milestones!$AA$150)&gt;=$Z93),$AC93,IF(AND($Y93&lt;&gt;"",EDATE($D93,Milestones!$AA$150)&gt;=$Y93),$AB93,$AA93)))=Milestones!$AB$150),UPPER(TEXT(EDATE($D93,Milestones!$AA$150),"dd mmm yy"))&amp;" "&amp;Milestones!$AB$150&amp;" "&amp;IF(AND(Milestones!$AB$150="FT",Milestones!$AA$150=FT_Y5,EDATE($D93,Milestones!$AA$150)&lt;PolicyEff),1,Milestones!$AC$150)&amp;";  ","")&amp;IF(AND(EDATE($D93,Milestones!$AA$151)&lt;=AsOfDate,EDATE($D93,Milestones!$AA$151)&gt;=SchemeStart,IF($X93=0,$AD93,IF(AND($Z93&lt;&gt;"",EDATE($D93,Milestones!$AA$151)&gt;=$Z93),$AC93,IF(AND($Y93&lt;&gt;"",EDATE($D93,Milestones!$AA$151)&gt;=$Y93),$AB93,$AA93)))=Milestones!$AB$151),UPPER(TEXT(EDATE($D93,Milestones!$AA$151),"dd mmm yy"))&amp;" "&amp;Milestones!$AB$151&amp;" "&amp;IF(AND(Milestones!$AB$151="FT",Milestones!$AA$151=FT_Y5,EDATE($D93,Milestones!$AA$151)&lt;PolicyEff),1,Milestones!$AC$151)&amp;";  ",""))</f>
        <v/>
      </c>
      <c r="T93" s="0" t="str">
        <f aca="false">IF(OR($A93="",$D93=""),"",IF(AND(EDATE($D93,Milestones!$AA$152)&lt;=AsOfDate,EDATE($D93,Milestones!$AA$152)&gt;=SchemeStart,IF($X93=0,$AD93,IF(AND($Z93&lt;&gt;"",EDATE($D93,Milestones!$AA$152)&gt;=$Z93),$AC93,IF(AND($Y93&lt;&gt;"",EDATE($D93,Milestones!$AA$152)&gt;=$Y93),$AB93,$AA93)))=Milestones!$AB$152),UPPER(TEXT(EDATE($D93,Milestones!$AA$152),"dd mmm yy"))&amp;" "&amp;Milestones!$AB$152&amp;" "&amp;IF(AND(Milestones!$AB$152="FT",Milestones!$AA$152=FT_Y5,EDATE($D93,Milestones!$AA$152)&lt;PolicyEff),1,Milestones!$AC$152)&amp;";  ","")&amp;IF(AND(EDATE($D93,Milestones!$AA$153)&lt;=AsOfDate,EDATE($D93,Milestones!$AA$153)&gt;=SchemeStart,IF($X93=0,$AD93,IF(AND($Z93&lt;&gt;"",EDATE($D93,Milestones!$AA$153)&gt;=$Z93),$AC93,IF(AND($Y93&lt;&gt;"",EDATE($D93,Milestones!$AA$153)&gt;=$Y93),$AB93,$AA93)))=Milestones!$AB$153),UPPER(TEXT(EDATE($D93,Milestones!$AA$153),"dd mmm yy"))&amp;" "&amp;Milestones!$AB$153&amp;" "&amp;IF(AND(Milestones!$AB$153="FT",Milestones!$AA$153=FT_Y5,EDATE($D93,Milestones!$AA$153)&lt;PolicyEff),1,Milestones!$AC$153)&amp;";  ","")&amp;IF(AND(EDATE($D93,Milestones!$AA$154)&lt;=AsOfDate,EDATE($D93,Milestones!$AA$154)&gt;=SchemeStart,IF($X93=0,$AD93,IF(AND($Z93&lt;&gt;"",EDATE($D93,Milestones!$AA$154)&gt;=$Z93),$AC93,IF(AND($Y93&lt;&gt;"",EDATE($D93,Milestones!$AA$154)&gt;=$Y93),$AB93,$AA93)))=Milestones!$AB$154),UPPER(TEXT(EDATE($D93,Milestones!$AA$154),"dd mmm yy"))&amp;" "&amp;Milestones!$AB$154&amp;" "&amp;IF(AND(Milestones!$AB$154="FT",Milestones!$AA$154=FT_Y5,EDATE($D93,Milestones!$AA$154)&lt;PolicyEff),1,Milestones!$AC$154)&amp;";  ","")&amp;IF(AND(EDATE($D93,Milestones!$AA$155)&lt;=AsOfDate,EDATE($D93,Milestones!$AA$155)&gt;=SchemeStart,IF($X93=0,$AD93,IF(AND($Z93&lt;&gt;"",EDATE($D93,Milestones!$AA$155)&gt;=$Z93),$AC93,IF(AND($Y93&lt;&gt;"",EDATE($D93,Milestones!$AA$155)&gt;=$Y93),$AB93,$AA93)))=Milestones!$AB$155),UPPER(TEXT(EDATE($D93,Milestones!$AA$155),"dd mmm yy"))&amp;" "&amp;Milestones!$AB$155&amp;" "&amp;IF(AND(Milestones!$AB$155="FT",Milestones!$AA$155=FT_Y5,EDATE($D93,Milestones!$AA$155)&lt;PolicyEff),1,Milestones!$AC$155)&amp;";  ","")&amp;IF(AND(EDATE($D93,Milestones!$AA$156)&lt;=AsOfDate,EDATE($D93,Milestones!$AA$156)&gt;=SchemeStart,IF($X93=0,$AD93,IF(AND($Z93&lt;&gt;"",EDATE($D93,Milestones!$AA$156)&gt;=$Z93),$AC93,IF(AND($Y93&lt;&gt;"",EDATE($D93,Milestones!$AA$156)&gt;=$Y93),$AB93,$AA93)))=Milestones!$AB$156),UPPER(TEXT(EDATE($D93,Milestones!$AA$156),"dd mmm yy"))&amp;" "&amp;Milestones!$AB$156&amp;" "&amp;IF(AND(Milestones!$AB$156="FT",Milestones!$AA$156=FT_Y5,EDATE($D93,Milestones!$AA$156)&lt;PolicyEff),1,Milestones!$AC$156)&amp;";  ","")&amp;IF(AND(EDATE($D93,Milestones!$AA$157)&lt;=AsOfDate,EDATE($D93,Milestones!$AA$157)&gt;=SchemeStart,IF($X93=0,$AD93,IF(AND($Z93&lt;&gt;"",EDATE($D93,Milestones!$AA$157)&gt;=$Z93),$AC93,IF(AND($Y93&lt;&gt;"",EDATE($D93,Milestones!$AA$157)&gt;=$Y93),$AB93,$AA93)))=Milestones!$AB$157),UPPER(TEXT(EDATE($D93,Milestones!$AA$157),"dd mmm yy"))&amp;" "&amp;Milestones!$AB$157&amp;" "&amp;IF(AND(Milestones!$AB$157="FT",Milestones!$AA$157=FT_Y5,EDATE($D93,Milestones!$AA$157)&lt;PolicyEff),1,Milestones!$AC$157)&amp;";  ","")&amp;IF(AND(EDATE($D93,Milestones!$AA$158)&lt;=AsOfDate,EDATE($D93,Milestones!$AA$158)&gt;=SchemeStart,IF($X93=0,$AD93,IF(AND($Z93&lt;&gt;"",EDATE($D93,Milestones!$AA$158)&gt;=$Z93),$AC93,IF(AND($Y93&lt;&gt;"",EDATE($D93,Milestones!$AA$158)&gt;=$Y93),$AB93,$AA93)))=Milestones!$AB$158),UPPER(TEXT(EDATE($D93,Milestones!$AA$158),"dd mmm yy"))&amp;" "&amp;Milestones!$AB$158&amp;" "&amp;IF(AND(Milestones!$AB$158="FT",Milestones!$AA$158=FT_Y5,EDATE($D93,Milestones!$AA$158)&lt;PolicyEff),1,Milestones!$AC$158)&amp;";  ","")&amp;IF(AND(EDATE($D93,Milestones!$AA$159)&lt;=AsOfDate,EDATE($D93,Milestones!$AA$159)&gt;=SchemeStart,IF($X93=0,$AD93,IF(AND($Z93&lt;&gt;"",EDATE($D93,Milestones!$AA$159)&gt;=$Z93),$AC93,IF(AND($Y93&lt;&gt;"",EDATE($D93,Milestones!$AA$159)&gt;=$Y93),$AB93,$AA93)))=Milestones!$AB$159),UPPER(TEXT(EDATE($D93,Milestones!$AA$159),"dd mmm yy"))&amp;" "&amp;Milestones!$AB$159&amp;" "&amp;IF(AND(Milestones!$AB$159="FT",Milestones!$AA$159=FT_Y5,EDATE($D93,Milestones!$AA$159)&lt;PolicyEff),1,Milestones!$AC$159)&amp;";  ","")&amp;IF(AND(EDATE($D93,Milestones!$AA$160)&lt;=AsOfDate,EDATE($D93,Milestones!$AA$160)&gt;=SchemeStart,IF($X93=0,$AD93,IF(AND($Z93&lt;&gt;"",EDATE($D93,Milestones!$AA$160)&gt;=$Z93),$AC93,IF(AND($Y93&lt;&gt;"",EDATE($D93,Milestones!$AA$160)&gt;=$Y93),$AB93,$AA93)))=Milestones!$AB$160),UPPER(TEXT(EDATE($D93,Milestones!$AA$160),"dd mmm yy"))&amp;" "&amp;Milestones!$AB$160&amp;" "&amp;IF(AND(Milestones!$AB$160="FT",Milestones!$AA$160=FT_Y5,EDATE($D93,Milestones!$AA$160)&lt;PolicyEff),1,Milestones!$AC$160)&amp;";  ","")&amp;IF(AND(EDATE($D93,Milestones!$AA$161)&lt;=AsOfDate,EDATE($D93,Milestones!$AA$161)&gt;=SchemeStart,IF($X93=0,$AD93,IF(AND($Z93&lt;&gt;"",EDATE($D93,Milestones!$AA$161)&gt;=$Z93),$AC93,IF(AND($Y93&lt;&gt;"",EDATE($D93,Milestones!$AA$161)&gt;=$Y93),$AB93,$AA93)))=Milestones!$AB$161),UPPER(TEXT(EDATE($D93,Milestones!$AA$161),"dd mmm yy"))&amp;" "&amp;Milestones!$AB$161&amp;" "&amp;IF(AND(Milestones!$AB$161="FT",Milestones!$AA$161=FT_Y5,EDATE($D93,Milestones!$AA$161)&lt;PolicyEff),1,Milestones!$AC$161)&amp;";  ","")&amp;IF(AND(EDATE($D93,Milestones!$AA$162)&lt;=AsOfDate,EDATE($D93,Milestones!$AA$162)&gt;=SchemeStart,IF($X93=0,$AD93,IF(AND($Z93&lt;&gt;"",EDATE($D93,Milestones!$AA$162)&gt;=$Z93),$AC93,IF(AND($Y93&lt;&gt;"",EDATE($D93,Milestones!$AA$162)&gt;=$Y93),$AB93,$AA93)))=Milestones!$AB$162),UPPER(TEXT(EDATE($D93,Milestones!$AA$162),"dd mmm yy"))&amp;" "&amp;Milestones!$AB$162&amp;" "&amp;IF(AND(Milestones!$AB$162="FT",Milestones!$AA$162=FT_Y5,EDATE($D93,Milestones!$AA$162)&lt;PolicyEff),1,Milestones!$AC$162)&amp;";  ","")&amp;IF(AND(EDATE($D93,Milestones!$AA$163)&lt;=AsOfDate,EDATE($D93,Milestones!$AA$163)&gt;=SchemeStart,IF($X93=0,$AD93,IF(AND($Z93&lt;&gt;"",EDATE($D93,Milestones!$AA$163)&gt;=$Z93),$AC93,IF(AND($Y93&lt;&gt;"",EDATE($D93,Milestones!$AA$163)&gt;=$Y93),$AB93,$AA93)))=Milestones!$AB$163),UPPER(TEXT(EDATE($D93,Milestones!$AA$163),"dd mmm yy"))&amp;" "&amp;Milestones!$AB$163&amp;" "&amp;IF(AND(Milestones!$AB$163="FT",Milestones!$AA$163=FT_Y5,EDATE($D93,Milestones!$AA$163)&lt;PolicyEff),1,Milestones!$AC$163)&amp;";  ",""))</f>
        <v/>
      </c>
      <c r="U93" s="0" t="str">
        <f aca="false">IF(OR($A93="",$D93=""),"",IF(AND(EDATE($D93,Milestones!$AA$164)&lt;=AsOfDate,EDATE($D93,Milestones!$AA$164)&gt;=SchemeStart,IF($X93=0,$AD93,IF(AND($Z93&lt;&gt;"",EDATE($D93,Milestones!$AA$164)&gt;=$Z93),$AC93,IF(AND($Y93&lt;&gt;"",EDATE($D93,Milestones!$AA$164)&gt;=$Y93),$AB93,$AA93)))=Milestones!$AB$164),UPPER(TEXT(EDATE($D93,Milestones!$AA$164),"dd mmm yy"))&amp;" "&amp;Milestones!$AB$164&amp;" "&amp;IF(AND(Milestones!$AB$164="FT",Milestones!$AA$164=FT_Y5,EDATE($D93,Milestones!$AA$164)&lt;PolicyEff),1,Milestones!$AC$164)&amp;";  ","")&amp;IF(AND(EDATE($D93,Milestones!$AA$165)&lt;=AsOfDate,EDATE($D93,Milestones!$AA$165)&gt;=SchemeStart,IF($X93=0,$AD93,IF(AND($Z93&lt;&gt;"",EDATE($D93,Milestones!$AA$165)&gt;=$Z93),$AC93,IF(AND($Y93&lt;&gt;"",EDATE($D93,Milestones!$AA$165)&gt;=$Y93),$AB93,$AA93)))=Milestones!$AB$165),UPPER(TEXT(EDATE($D93,Milestones!$AA$165),"dd mmm yy"))&amp;" "&amp;Milestones!$AB$165&amp;" "&amp;IF(AND(Milestones!$AB$165="FT",Milestones!$AA$165=FT_Y5,EDATE($D93,Milestones!$AA$165)&lt;PolicyEff),1,Milestones!$AC$165)&amp;";  ","")&amp;IF(AND(EDATE($D93,Milestones!$AA$166)&lt;=AsOfDate,EDATE($D93,Milestones!$AA$166)&gt;=SchemeStart,IF($X93=0,$AD93,IF(AND($Z93&lt;&gt;"",EDATE($D93,Milestones!$AA$166)&gt;=$Z93),$AC93,IF(AND($Y93&lt;&gt;"",EDATE($D93,Milestones!$AA$166)&gt;=$Y93),$AB93,$AA93)))=Milestones!$AB$166),UPPER(TEXT(EDATE($D93,Milestones!$AA$166),"dd mmm yy"))&amp;" "&amp;Milestones!$AB$166&amp;" "&amp;IF(AND(Milestones!$AB$166="FT",Milestones!$AA$166=FT_Y5,EDATE($D93,Milestones!$AA$166)&lt;PolicyEff),1,Milestones!$AC$166)&amp;";  ","")&amp;IF(AND(EDATE($D93,Milestones!$AA$167)&lt;=AsOfDate,EDATE($D93,Milestones!$AA$167)&gt;=SchemeStart,IF($X93=0,$AD93,IF(AND($Z93&lt;&gt;"",EDATE($D93,Milestones!$AA$167)&gt;=$Z93),$AC93,IF(AND($Y93&lt;&gt;"",EDATE($D93,Milestones!$AA$167)&gt;=$Y93),$AB93,$AA93)))=Milestones!$AB$167),UPPER(TEXT(EDATE($D93,Milestones!$AA$167),"dd mmm yy"))&amp;" "&amp;Milestones!$AB$167&amp;" "&amp;IF(AND(Milestones!$AB$167="FT",Milestones!$AA$167=FT_Y5,EDATE($D93,Milestones!$AA$167)&lt;PolicyEff),1,Milestones!$AC$167)&amp;";  ","")&amp;IF(AND(EDATE($D93,Milestones!$AA$168)&lt;=AsOfDate,EDATE($D93,Milestones!$AA$168)&gt;=SchemeStart,IF($X93=0,$AD93,IF(AND($Z93&lt;&gt;"",EDATE($D93,Milestones!$AA$168)&gt;=$Z93),$AC93,IF(AND($Y93&lt;&gt;"",EDATE($D93,Milestones!$AA$168)&gt;=$Y93),$AB93,$AA93)))=Milestones!$AB$168),UPPER(TEXT(EDATE($D93,Milestones!$AA$168),"dd mmm yy"))&amp;" "&amp;Milestones!$AB$168&amp;" "&amp;IF(AND(Milestones!$AB$168="FT",Milestones!$AA$168=FT_Y5,EDATE($D93,Milestones!$AA$168)&lt;PolicyEff),1,Milestones!$AC$168)&amp;";  ","")&amp;IF(AND(EDATE($D93,Milestones!$AA$169)&lt;=AsOfDate,EDATE($D93,Milestones!$AA$169)&gt;=SchemeStart,IF($X93=0,$AD93,IF(AND($Z93&lt;&gt;"",EDATE($D93,Milestones!$AA$169)&gt;=$Z93),$AC93,IF(AND($Y93&lt;&gt;"",EDATE($D93,Milestones!$AA$169)&gt;=$Y93),$AB93,$AA93)))=Milestones!$AB$169),UPPER(TEXT(EDATE($D93,Milestones!$AA$169),"dd mmm yy"))&amp;" "&amp;Milestones!$AB$169&amp;" "&amp;IF(AND(Milestones!$AB$169="FT",Milestones!$AA$169=FT_Y5,EDATE($D93,Milestones!$AA$169)&lt;PolicyEff),1,Milestones!$AC$169)&amp;";  ","")&amp;IF(AND(EDATE($D93,Milestones!$AA$170)&lt;=AsOfDate,EDATE($D93,Milestones!$AA$170)&gt;=SchemeStart,IF($X93=0,$AD93,IF(AND($Z93&lt;&gt;"",EDATE($D93,Milestones!$AA$170)&gt;=$Z93),$AC93,IF(AND($Y93&lt;&gt;"",EDATE($D93,Milestones!$AA$170)&gt;=$Y93),$AB93,$AA93)))=Milestones!$AB$170),UPPER(TEXT(EDATE($D93,Milestones!$AA$170),"dd mmm yy"))&amp;" "&amp;Milestones!$AB$170&amp;" "&amp;IF(AND(Milestones!$AB$170="FT",Milestones!$AA$170=FT_Y5,EDATE($D93,Milestones!$AA$170)&lt;PolicyEff),1,Milestones!$AC$170)&amp;";  ","")&amp;IF(AND(EDATE($D93,Milestones!$AA$171)&lt;=AsOfDate,EDATE($D93,Milestones!$AA$171)&gt;=SchemeStart,IF($X93=0,$AD93,IF(AND($Z93&lt;&gt;"",EDATE($D93,Milestones!$AA$171)&gt;=$Z93),$AC93,IF(AND($Y93&lt;&gt;"",EDATE($D93,Milestones!$AA$171)&gt;=$Y93),$AB93,$AA93)))=Milestones!$AB$171),UPPER(TEXT(EDATE($D93,Milestones!$AA$171),"dd mmm yy"))&amp;" "&amp;Milestones!$AB$171&amp;" "&amp;IF(AND(Milestones!$AB$171="FT",Milestones!$AA$171=FT_Y5,EDATE($D93,Milestones!$AA$171)&lt;PolicyEff),1,Milestones!$AC$171)&amp;";  ","")&amp;IF(AND(EDATE($D93,Milestones!$AA$172)&lt;=AsOfDate,EDATE($D93,Milestones!$AA$172)&gt;=SchemeStart,IF($X93=0,$AD93,IF(AND($Z93&lt;&gt;"",EDATE($D93,Milestones!$AA$172)&gt;=$Z93),$AC93,IF(AND($Y93&lt;&gt;"",EDATE($D93,Milestones!$AA$172)&gt;=$Y93),$AB93,$AA93)))=Milestones!$AB$172),UPPER(TEXT(EDATE($D93,Milestones!$AA$172),"dd mmm yy"))&amp;" "&amp;Milestones!$AB$172&amp;" "&amp;IF(AND(Milestones!$AB$172="FT",Milestones!$AA$172=FT_Y5,EDATE($D93,Milestones!$AA$172)&lt;PolicyEff),1,Milestones!$AC$172)&amp;";  ","")&amp;IF(AND(EDATE($D93,Milestones!$AA$173)&lt;=AsOfDate,EDATE($D93,Milestones!$AA$173)&gt;=SchemeStart,IF($X93=0,$AD93,IF(AND($Z93&lt;&gt;"",EDATE($D93,Milestones!$AA$173)&gt;=$Z93),$AC93,IF(AND($Y93&lt;&gt;"",EDATE($D93,Milestones!$AA$173)&gt;=$Y93),$AB93,$AA93)))=Milestones!$AB$173),UPPER(TEXT(EDATE($D93,Milestones!$AA$173),"dd mmm yy"))&amp;" "&amp;Milestones!$AB$173&amp;" "&amp;IF(AND(Milestones!$AB$173="FT",Milestones!$AA$173=FT_Y5,EDATE($D93,Milestones!$AA$173)&lt;PolicyEff),1,Milestones!$AC$173)&amp;";  ","")&amp;IF(AND(EDATE($D93,Milestones!$AA$174)&lt;=AsOfDate,EDATE($D93,Milestones!$AA$174)&gt;=SchemeStart,IF($X93=0,$AD93,IF(AND($Z93&lt;&gt;"",EDATE($D93,Milestones!$AA$174)&gt;=$Z93),$AC93,IF(AND($Y93&lt;&gt;"",EDATE($D93,Milestones!$AA$174)&gt;=$Y93),$AB93,$AA93)))=Milestones!$AB$174),UPPER(TEXT(EDATE($D93,Milestones!$AA$174),"dd mmm yy"))&amp;" "&amp;Milestones!$AB$174&amp;" "&amp;IF(AND(Milestones!$AB$174="FT",Milestones!$AA$174=FT_Y5,EDATE($D93,Milestones!$AA$174)&lt;PolicyEff),1,Milestones!$AC$174)&amp;";  ","")&amp;IF(AND(EDATE($D93,Milestones!$AA$175)&lt;=AsOfDate,EDATE($D93,Milestones!$AA$175)&gt;=SchemeStart,IF($X93=0,$AD93,IF(AND($Z93&lt;&gt;"",EDATE($D93,Milestones!$AA$175)&gt;=$Z93),$AC93,IF(AND($Y93&lt;&gt;"",EDATE($D93,Milestones!$AA$175)&gt;=$Y93),$AB93,$AA93)))=Milestones!$AB$175),UPPER(TEXT(EDATE($D93,Milestones!$AA$175),"dd mmm yy"))&amp;" "&amp;Milestones!$AB$175&amp;" "&amp;IF(AND(Milestones!$AB$175="FT",Milestones!$AA$175=FT_Y5,EDATE($D93,Milestones!$AA$175)&lt;PolicyEff),1,Milestones!$AC$175)&amp;";  ",""))</f>
        <v/>
      </c>
      <c r="V93" s="0" t="str">
        <f aca="false">IF(OR($A93="",$D93=""),"",IF(AND(EDATE($D93,Milestones!$AA$176)&lt;=AsOfDate,EDATE($D93,Milestones!$AA$176)&gt;=SchemeStart,IF($X93=0,$AD93,IF(AND($Z93&lt;&gt;"",EDATE($D93,Milestones!$AA$176)&gt;=$Z93),$AC93,IF(AND($Y93&lt;&gt;"",EDATE($D93,Milestones!$AA$176)&gt;=$Y93),$AB93,$AA93)))=Milestones!$AB$176),UPPER(TEXT(EDATE($D93,Milestones!$AA$176),"dd mmm yy"))&amp;" "&amp;Milestones!$AB$176&amp;" "&amp;IF(AND(Milestones!$AB$176="FT",Milestones!$AA$176=FT_Y5,EDATE($D93,Milestones!$AA$176)&lt;PolicyEff),1,Milestones!$AC$176)&amp;";  ","")&amp;IF(AND(EDATE($D93,Milestones!$AA$177)&lt;=AsOfDate,EDATE($D93,Milestones!$AA$177)&gt;=SchemeStart,IF($X93=0,$AD93,IF(AND($Z93&lt;&gt;"",EDATE($D93,Milestones!$AA$177)&gt;=$Z93),$AC93,IF(AND($Y93&lt;&gt;"",EDATE($D93,Milestones!$AA$177)&gt;=$Y93),$AB93,$AA93)))=Milestones!$AB$177),UPPER(TEXT(EDATE($D93,Milestones!$AA$177),"dd mmm yy"))&amp;" "&amp;Milestones!$AB$177&amp;" "&amp;IF(AND(Milestones!$AB$177="FT",Milestones!$AA$177=FT_Y5,EDATE($D93,Milestones!$AA$177)&lt;PolicyEff),1,Milestones!$AC$177)&amp;";  ","")&amp;IF(AND(EDATE($D93,Milestones!$AA$178)&lt;=AsOfDate,EDATE($D93,Milestones!$AA$178)&gt;=SchemeStart,IF($X93=0,$AD93,IF(AND($Z93&lt;&gt;"",EDATE($D93,Milestones!$AA$178)&gt;=$Z93),$AC93,IF(AND($Y93&lt;&gt;"",EDATE($D93,Milestones!$AA$178)&gt;=$Y93),$AB93,$AA93)))=Milestones!$AB$178),UPPER(TEXT(EDATE($D93,Milestones!$AA$178),"dd mmm yy"))&amp;" "&amp;Milestones!$AB$178&amp;" "&amp;IF(AND(Milestones!$AB$178="FT",Milestones!$AA$178=FT_Y5,EDATE($D93,Milestones!$AA$178)&lt;PolicyEff),1,Milestones!$AC$178)&amp;";  ","")&amp;IF(AND(EDATE($D93,Milestones!$AA$179)&lt;=AsOfDate,EDATE($D93,Milestones!$AA$179)&gt;=SchemeStart,IF($X93=0,$AD93,IF(AND($Z93&lt;&gt;"",EDATE($D93,Milestones!$AA$179)&gt;=$Z93),$AC93,IF(AND($Y93&lt;&gt;"",EDATE($D93,Milestones!$AA$179)&gt;=$Y93),$AB93,$AA93)))=Milestones!$AB$179),UPPER(TEXT(EDATE($D93,Milestones!$AA$179),"dd mmm yy"))&amp;" "&amp;Milestones!$AB$179&amp;" "&amp;IF(AND(Milestones!$AB$179="FT",Milestones!$AA$179=FT_Y5,EDATE($D93,Milestones!$AA$179)&lt;PolicyEff),1,Milestones!$AC$179)&amp;";  ","")&amp;IF(AND(EDATE($D93,Milestones!$AA$180)&lt;=AsOfDate,EDATE($D93,Milestones!$AA$180)&gt;=SchemeStart,IF($X93=0,$AD93,IF(AND($Z93&lt;&gt;"",EDATE($D93,Milestones!$AA$180)&gt;=$Z93),$AC93,IF(AND($Y93&lt;&gt;"",EDATE($D93,Milestones!$AA$180)&gt;=$Y93),$AB93,$AA93)))=Milestones!$AB$180),UPPER(TEXT(EDATE($D93,Milestones!$AA$180),"dd mmm yy"))&amp;" "&amp;Milestones!$AB$180&amp;" "&amp;IF(AND(Milestones!$AB$180="FT",Milestones!$AA$180=FT_Y5,EDATE($D93,Milestones!$AA$180)&lt;PolicyEff),1,Milestones!$AC$180)&amp;";  ","")&amp;IF(AND(EDATE($D93,Milestones!$AA$181)&lt;=AsOfDate,EDATE($D93,Milestones!$AA$181)&gt;=SchemeStart,IF($X93=0,$AD93,IF(AND($Z93&lt;&gt;"",EDATE($D93,Milestones!$AA$181)&gt;=$Z93),$AC93,IF(AND($Y93&lt;&gt;"",EDATE($D93,Milestones!$AA$181)&gt;=$Y93),$AB93,$AA93)))=Milestones!$AB$181),UPPER(TEXT(EDATE($D93,Milestones!$AA$181),"dd mmm yy"))&amp;" "&amp;Milestones!$AB$181&amp;" "&amp;IF(AND(Milestones!$AB$181="FT",Milestones!$AA$181=FT_Y5,EDATE($D93,Milestones!$AA$181)&lt;PolicyEff),1,Milestones!$AC$181)&amp;";  ","")&amp;IF(AND(EDATE($D93,Milestones!$AA$182)&lt;=AsOfDate,EDATE($D93,Milestones!$AA$182)&gt;=SchemeStart,IF($X93=0,$AD93,IF(AND($Z93&lt;&gt;"",EDATE($D93,Milestones!$AA$182)&gt;=$Z93),$AC93,IF(AND($Y93&lt;&gt;"",EDATE($D93,Milestones!$AA$182)&gt;=$Y93),$AB93,$AA93)))=Milestones!$AB$182),UPPER(TEXT(EDATE($D93,Milestones!$AA$182),"dd mmm yy"))&amp;" "&amp;Milestones!$AB$182&amp;" "&amp;IF(AND(Milestones!$AB$182="FT",Milestones!$AA$182=FT_Y5,EDATE($D93,Milestones!$AA$182)&lt;PolicyEff),1,Milestones!$AC$182)&amp;";  ","")&amp;IF(AND(EDATE($D93,Milestones!$AA$183)&lt;=AsOfDate,EDATE($D93,Milestones!$AA$183)&gt;=SchemeStart,IF($X93=0,$AD93,IF(AND($Z93&lt;&gt;"",EDATE($D93,Milestones!$AA$183)&gt;=$Z93),$AC93,IF(AND($Y93&lt;&gt;"",EDATE($D93,Milestones!$AA$183)&gt;=$Y93),$AB93,$AA93)))=Milestones!$AB$183),UPPER(TEXT(EDATE($D93,Milestones!$AA$183),"dd mmm yy"))&amp;" "&amp;Milestones!$AB$183&amp;" "&amp;IF(AND(Milestones!$AB$183="FT",Milestones!$AA$183=FT_Y5,EDATE($D93,Milestones!$AA$183)&lt;PolicyEff),1,Milestones!$AC$183)&amp;";  ","")&amp;IF(AND(EDATE($D93,Milestones!$AA$184)&lt;=AsOfDate,EDATE($D93,Milestones!$AA$184)&gt;=SchemeStart,IF($X93=0,$AD93,IF(AND($Z93&lt;&gt;"",EDATE($D93,Milestones!$AA$184)&gt;=$Z93),$AC93,IF(AND($Y93&lt;&gt;"",EDATE($D93,Milestones!$AA$184)&gt;=$Y93),$AB93,$AA93)))=Milestones!$AB$184),UPPER(TEXT(EDATE($D93,Milestones!$AA$184),"dd mmm yy"))&amp;" "&amp;Milestones!$AB$184&amp;" "&amp;IF(AND(Milestones!$AB$184="FT",Milestones!$AA$184=FT_Y5,EDATE($D93,Milestones!$AA$184)&lt;PolicyEff),1,Milestones!$AC$184)&amp;";  ","")&amp;IF(AND(EDATE($D93,Milestones!$AA$185)&lt;=AsOfDate,EDATE($D93,Milestones!$AA$185)&gt;=SchemeStart,IF($X93=0,$AD93,IF(AND($Z93&lt;&gt;"",EDATE($D93,Milestones!$AA$185)&gt;=$Z93),$AC93,IF(AND($Y93&lt;&gt;"",EDATE($D93,Milestones!$AA$185)&gt;=$Y93),$AB93,$AA93)))=Milestones!$AB$185),UPPER(TEXT(EDATE($D93,Milestones!$AA$185),"dd mmm yy"))&amp;" "&amp;Milestones!$AB$185&amp;" "&amp;IF(AND(Milestones!$AB$185="FT",Milestones!$AA$185=FT_Y5,EDATE($D93,Milestones!$AA$185)&lt;PolicyEff),1,Milestones!$AC$185)&amp;";  ","")&amp;IF(AND(EDATE($D93,Milestones!$AA$186)&lt;=AsOfDate,EDATE($D93,Milestones!$AA$186)&gt;=SchemeStart,IF($X93=0,$AD93,IF(AND($Z93&lt;&gt;"",EDATE($D93,Milestones!$AA$186)&gt;=$Z93),$AC93,IF(AND($Y93&lt;&gt;"",EDATE($D93,Milestones!$AA$186)&gt;=$Y93),$AB93,$AA93)))=Milestones!$AB$186),UPPER(TEXT(EDATE($D93,Milestones!$AA$186),"dd mmm yy"))&amp;" "&amp;Milestones!$AB$186&amp;" "&amp;IF(AND(Milestones!$AB$186="FT",Milestones!$AA$186=FT_Y5,EDATE($D93,Milestones!$AA$186)&lt;PolicyEff),1,Milestones!$AC$186)&amp;";  ","")&amp;IF(AND(EDATE($D93,Milestones!$AA$187)&lt;=AsOfDate,EDATE($D93,Milestones!$AA$187)&gt;=SchemeStart,IF($X93=0,$AD93,IF(AND($Z93&lt;&gt;"",EDATE($D93,Milestones!$AA$187)&gt;=$Z93),$AC93,IF(AND($Y93&lt;&gt;"",EDATE($D93,Milestones!$AA$187)&gt;=$Y93),$AB93,$AA93)))=Milestones!$AB$187),UPPER(TEXT(EDATE($D93,Milestones!$AA$187),"dd mmm yy"))&amp;" "&amp;Milestones!$AB$187&amp;" "&amp;IF(AND(Milestones!$AB$187="FT",Milestones!$AA$187=FT_Y5,EDATE($D93,Milestones!$AA$187)&lt;PolicyEff),1,Milestones!$AC$187)&amp;";  ",""))</f>
        <v/>
      </c>
      <c r="W93" s="0" t="str">
        <f aca="false">IF(OR($A93="",$D93=""),"",IF(AND(EDATE($D93,Milestones!$AA$188)&lt;=AsOfDate,EDATE($D93,Milestones!$AA$188)&gt;=SchemeStart,IF($X93=0,$AD93,IF(AND($Z93&lt;&gt;"",EDATE($D93,Milestones!$AA$188)&gt;=$Z93),$AC93,IF(AND($Y93&lt;&gt;"",EDATE($D93,Milestones!$AA$188)&gt;=$Y93),$AB93,$AA93)))=Milestones!$AB$188),UPPER(TEXT(EDATE($D93,Milestones!$AA$188),"dd mmm yy"))&amp;" "&amp;Milestones!$AB$188&amp;" "&amp;IF(AND(Milestones!$AB$188="FT",Milestones!$AA$188=FT_Y5,EDATE($D93,Milestones!$AA$188)&lt;PolicyEff),1,Milestones!$AC$188)&amp;";  ","")&amp;IF(AND(EDATE($D93,Milestones!$AA$189)&lt;=AsOfDate,EDATE($D93,Milestones!$AA$189)&gt;=SchemeStart,IF($X93=0,$AD93,IF(AND($Z93&lt;&gt;"",EDATE($D93,Milestones!$AA$189)&gt;=$Z93),$AC93,IF(AND($Y93&lt;&gt;"",EDATE($D93,Milestones!$AA$189)&gt;=$Y93),$AB93,$AA93)))=Milestones!$AB$189),UPPER(TEXT(EDATE($D93,Milestones!$AA$189),"dd mmm yy"))&amp;" "&amp;Milestones!$AB$189&amp;" "&amp;IF(AND(Milestones!$AB$189="FT",Milestones!$AA$189=FT_Y5,EDATE($D93,Milestones!$AA$189)&lt;PolicyEff),1,Milestones!$AC$189)&amp;";  ","")&amp;IF(AND(EDATE($D93,Milestones!$AA$190)&lt;=AsOfDate,EDATE($D93,Milestones!$AA$190)&gt;=SchemeStart,IF($X93=0,$AD93,IF(AND($Z93&lt;&gt;"",EDATE($D93,Milestones!$AA$190)&gt;=$Z93),$AC93,IF(AND($Y93&lt;&gt;"",EDATE($D93,Milestones!$AA$190)&gt;=$Y93),$AB93,$AA93)))=Milestones!$AB$190),UPPER(TEXT(EDATE($D93,Milestones!$AA$190),"dd mmm yy"))&amp;" "&amp;Milestones!$AB$190&amp;" "&amp;IF(AND(Milestones!$AB$190="FT",Milestones!$AA$190=FT_Y5,EDATE($D93,Milestones!$AA$190)&lt;PolicyEff),1,Milestones!$AC$190)&amp;";  ","")&amp;IF(AND(EDATE($D93,Milestones!$AA$191)&lt;=AsOfDate,EDATE($D93,Milestones!$AA$191)&gt;=SchemeStart,IF($X93=0,$AD93,IF(AND($Z93&lt;&gt;"",EDATE($D93,Milestones!$AA$191)&gt;=$Z93),$AC93,IF(AND($Y93&lt;&gt;"",EDATE($D93,Milestones!$AA$191)&gt;=$Y93),$AB93,$AA93)))=Milestones!$AB$191),UPPER(TEXT(EDATE($D93,Milestones!$AA$191),"dd mmm yy"))&amp;" "&amp;Milestones!$AB$191&amp;" "&amp;IF(AND(Milestones!$AB$191="FT",Milestones!$AA$191=FT_Y5,EDATE($D93,Milestones!$AA$191)&lt;PolicyEff),1,Milestones!$AC$191)&amp;";  ","")&amp;IF(AND(EDATE($D93,Milestones!$AA$192)&lt;=AsOfDate,EDATE($D93,Milestones!$AA$192)&gt;=SchemeStart,IF($X93=0,$AD93,IF(AND($Z93&lt;&gt;"",EDATE($D93,Milestones!$AA$192)&gt;=$Z93),$AC93,IF(AND($Y93&lt;&gt;"",EDATE($D93,Milestones!$AA$192)&gt;=$Y93),$AB93,$AA93)))=Milestones!$AB$192),UPPER(TEXT(EDATE($D93,Milestones!$AA$192),"dd mmm yy"))&amp;" "&amp;Milestones!$AB$192&amp;" "&amp;IF(AND(Milestones!$AB$192="FT",Milestones!$AA$192=FT_Y5,EDATE($D93,Milestones!$AA$192)&lt;PolicyEff),1,Milestones!$AC$192)&amp;";  ","")&amp;IF(AND(EDATE($D93,Milestones!$AA$193)&lt;=AsOfDate,EDATE($D93,Milestones!$AA$193)&gt;=SchemeStart,IF($X93=0,$AD93,IF(AND($Z93&lt;&gt;"",EDATE($D93,Milestones!$AA$193)&gt;=$Z93),$AC93,IF(AND($Y93&lt;&gt;"",EDATE($D93,Milestones!$AA$193)&gt;=$Y93),$AB93,$AA93)))=Milestones!$AB$193),UPPER(TEXT(EDATE($D93,Milestones!$AA$193),"dd mmm yy"))&amp;" "&amp;Milestones!$AB$193&amp;" "&amp;IF(AND(Milestones!$AB$193="FT",Milestones!$AA$193=FT_Y5,EDATE($D93,Milestones!$AA$193)&lt;PolicyEff),1,Milestones!$AC$193)&amp;";  ","")&amp;IF(AND(EDATE($D93,Milestones!$AA$194)&lt;=AsOfDate,EDATE($D93,Milestones!$AA$194)&gt;=SchemeStart,IF($X93=0,$AD93,IF(AND($Z93&lt;&gt;"",EDATE($D93,Milestones!$AA$194)&gt;=$Z93),$AC93,IF(AND($Y93&lt;&gt;"",EDATE($D93,Milestones!$AA$194)&gt;=$Y93),$AB93,$AA93)))=Milestones!$AB$194),UPPER(TEXT(EDATE($D93,Milestones!$AA$194),"dd mmm yy"))&amp;" "&amp;Milestones!$AB$194&amp;" "&amp;IF(AND(Milestones!$AB$194="FT",Milestones!$AA$194=FT_Y5,EDATE($D93,Milestones!$AA$194)&lt;PolicyEff),1,Milestones!$AC$194)&amp;";  ","")&amp;IF(AND(EDATE($D93,Milestones!$AA$195)&lt;=AsOfDate,EDATE($D93,Milestones!$AA$195)&gt;=SchemeStart,IF($X93=0,$AD93,IF(AND($Z93&lt;&gt;"",EDATE($D93,Milestones!$AA$195)&gt;=$Z93),$AC93,IF(AND($Y93&lt;&gt;"",EDATE($D93,Milestones!$AA$195)&gt;=$Y93),$AB93,$AA93)))=Milestones!$AB$195),UPPER(TEXT(EDATE($D93,Milestones!$AA$195),"dd mmm yy"))&amp;" "&amp;Milestones!$AB$195&amp;" "&amp;IF(AND(Milestones!$AB$195="FT",Milestones!$AA$195=FT_Y5,EDATE($D93,Milestones!$AA$195)&lt;PolicyEff),1,Milestones!$AC$195)&amp;";  ","")&amp;IF(AND(EDATE($D93,Milestones!$AA$196)&lt;=AsOfDate,EDATE($D93,Milestones!$AA$196)&gt;=SchemeStart,IF($X93=0,$AD93,IF(AND($Z93&lt;&gt;"",EDATE($D93,Milestones!$AA$196)&gt;=$Z93),$AC93,IF(AND($Y93&lt;&gt;"",EDATE($D93,Milestones!$AA$196)&gt;=$Y93),$AB93,$AA93)))=Milestones!$AB$196),UPPER(TEXT(EDATE($D93,Milestones!$AA$196),"dd mmm yy"))&amp;" "&amp;Milestones!$AB$196&amp;" "&amp;IF(AND(Milestones!$AB$196="FT",Milestones!$AA$196=FT_Y5,EDATE($D93,Milestones!$AA$196)&lt;PolicyEff),1,Milestones!$AC$196)&amp;";  ","")&amp;IF(AND(EDATE($D93,Milestones!$AA$197)&lt;=AsOfDate,EDATE($D93,Milestones!$AA$197)&gt;=SchemeStart,IF($X93=0,$AD93,IF(AND($Z93&lt;&gt;"",EDATE($D93,Milestones!$AA$197)&gt;=$Z93),$AC93,IF(AND($Y93&lt;&gt;"",EDATE($D93,Milestones!$AA$197)&gt;=$Y93),$AB93,$AA93)))=Milestones!$AB$197),UPPER(TEXT(EDATE($D93,Milestones!$AA$197),"dd mmm yy"))&amp;" "&amp;Milestones!$AB$197&amp;" "&amp;IF(AND(Milestones!$AB$197="FT",Milestones!$AA$197=FT_Y5,EDATE($D93,Milestones!$AA$197)&lt;PolicyEff),1,Milestones!$AC$197)&amp;";  ","")&amp;IF(AND(EDATE($D93,Milestones!$AA$198)&lt;=AsOfDate,EDATE($D93,Milestones!$AA$198)&gt;=SchemeStart,IF($X93=0,$AD93,IF(AND($Z93&lt;&gt;"",EDATE($D93,Milestones!$AA$198)&gt;=$Z93),$AC93,IF(AND($Y93&lt;&gt;"",EDATE($D93,Milestones!$AA$198)&gt;=$Y93),$AB93,$AA93)))=Milestones!$AB$198),UPPER(TEXT(EDATE($D93,Milestones!$AA$198),"dd mmm yy"))&amp;" "&amp;Milestones!$AB$198&amp;" "&amp;IF(AND(Milestones!$AB$198="FT",Milestones!$AA$198=FT_Y5,EDATE($D93,Milestones!$AA$198)&lt;PolicyEff),1,Milestones!$AC$198)&amp;";  ","")&amp;IF(AND(EDATE($D93,Milestones!$AA$199)&lt;=AsOfDate,EDATE($D93,Milestones!$AA$199)&gt;=SchemeStart,IF($X93=0,$AD93,IF(AND($Z93&lt;&gt;"",EDATE($D93,Milestones!$AA$199)&gt;=$Z93),$AC93,IF(AND($Y93&lt;&gt;"",EDATE($D93,Milestones!$AA$199)&gt;=$Y93),$AB93,$AA93)))=Milestones!$AB$199),UPPER(TEXT(EDATE($D93,Milestones!$AA$199),"dd mmm yy"))&amp;" "&amp;Milestones!$AB$199&amp;" "&amp;IF(AND(Milestones!$AB$199="FT",Milestones!$AA$199=FT_Y5,EDATE($D93,Milestones!$AA$199)&lt;PolicyEff),1,Milestones!$AC$199)&amp;";  ",""))</f>
        <v/>
      </c>
      <c r="X93" s="0" t="str">
        <f aca="false">IF(Staff!$A93="","",Staff!$AM93)</f>
        <v/>
      </c>
      <c r="Y93" s="0" t="str">
        <f aca="false">IF(Staff!$A93="","",Staff!$AO93)</f>
        <v/>
      </c>
      <c r="Z93" s="0" t="str">
        <f aca="false">IF(Staff!$A93="","",Staff!$AP93)</f>
        <v/>
      </c>
      <c r="AA93" s="0" t="str">
        <f aca="false">IF(Staff!$A93="","",Staff!$AT93)</f>
        <v/>
      </c>
      <c r="AB93" s="0" t="str">
        <f aca="false">IF(Staff!$A93="","",Staff!$AU93)</f>
        <v/>
      </c>
      <c r="AC93" s="0" t="str">
        <f aca="false">IF(Staff!$A93="","",Staff!$AV93)</f>
        <v/>
      </c>
      <c r="AD93" s="0" t="str">
        <f aca="false">IF(Staff!$A93="","",Staff!$AW93)</f>
        <v/>
      </c>
    </row>
    <row r="94" customFormat="false" ht="15" hidden="false" customHeight="false" outlineLevel="0" collapsed="false">
      <c r="A94" s="16" t="str">
        <f aca="false">IF(Staff!$A94="","",Staff!$A94)</f>
        <v/>
      </c>
      <c r="B94" s="16" t="str">
        <f aca="false">IF(Staff!$A94="","",Staff!$B94)</f>
        <v/>
      </c>
      <c r="C94" s="16" t="str">
        <f aca="false">IF(Staff!$A94="","",Staff!$C94)</f>
        <v/>
      </c>
      <c r="D94" s="14" t="str">
        <f aca="false">IF(Staff!$A94="","",Staff!$AL94)</f>
        <v/>
      </c>
      <c r="E94" s="16" t="str">
        <f aca="false">IF(Staff!$A94="","",Staff!$O94)</f>
        <v/>
      </c>
      <c r="F94" s="16" t="str">
        <f aca="false">IF(E94="","",E94*HoursPerDay)</f>
        <v/>
      </c>
      <c r="G94" s="16" t="str">
        <f aca="false">IF(Staff!$A94="","",Staff!$AE94)</f>
        <v/>
      </c>
      <c r="H94" s="28" t="str">
        <f aca="false">IF($A94="","",I94&amp;J94&amp;K94&amp;L94&amp;M94&amp;N94&amp;O94&amp;P94&amp;Q94&amp;R94&amp;S94&amp;T94&amp;U94&amp;V94&amp;W94)</f>
        <v/>
      </c>
      <c r="I94" s="0" t="str">
        <f aca="false">IF(OR($A94="",$D94=""),"",IF(AND(EDATE($D94,Milestones!$AA$20)&lt;=AsOfDate,EDATE($D94,Milestones!$AA$20)&gt;=SchemeStart,IF($X94=0,$AD94,IF(AND($Z94&lt;&gt;"",EDATE($D94,Milestones!$AA$20)&gt;=$Z94),$AC94,IF(AND($Y94&lt;&gt;"",EDATE($D94,Milestones!$AA$20)&gt;=$Y94),$AB94,$AA94)))=Milestones!$AB$20),UPPER(TEXT(EDATE($D94,Milestones!$AA$20),"dd mmm yy"))&amp;" "&amp;Milestones!$AB$20&amp;" "&amp;IF(AND(Milestones!$AB$20="FT",Milestones!$AA$20=FT_Y5,EDATE($D94,Milestones!$AA$20)&lt;PolicyEff),1,Milestones!$AC$20)&amp;";  ","")&amp;IF(AND(EDATE($D94,Milestones!$AA$21)&lt;=AsOfDate,EDATE($D94,Milestones!$AA$21)&gt;=SchemeStart,IF($X94=0,$AD94,IF(AND($Z94&lt;&gt;"",EDATE($D94,Milestones!$AA$21)&gt;=$Z94),$AC94,IF(AND($Y94&lt;&gt;"",EDATE($D94,Milestones!$AA$21)&gt;=$Y94),$AB94,$AA94)))=Milestones!$AB$21),UPPER(TEXT(EDATE($D94,Milestones!$AA$21),"dd mmm yy"))&amp;" "&amp;Milestones!$AB$21&amp;" "&amp;IF(AND(Milestones!$AB$21="FT",Milestones!$AA$21=FT_Y5,EDATE($D94,Milestones!$AA$21)&lt;PolicyEff),1,Milestones!$AC$21)&amp;";  ","")&amp;IF(AND(EDATE($D94,Milestones!$AA$22)&lt;=AsOfDate,EDATE($D94,Milestones!$AA$22)&gt;=SchemeStart,IF($X94=0,$AD94,IF(AND($Z94&lt;&gt;"",EDATE($D94,Milestones!$AA$22)&gt;=$Z94),$AC94,IF(AND($Y94&lt;&gt;"",EDATE($D94,Milestones!$AA$22)&gt;=$Y94),$AB94,$AA94)))=Milestones!$AB$22),UPPER(TEXT(EDATE($D94,Milestones!$AA$22),"dd mmm yy"))&amp;" "&amp;Milestones!$AB$22&amp;" "&amp;IF(AND(Milestones!$AB$22="FT",Milestones!$AA$22=FT_Y5,EDATE($D94,Milestones!$AA$22)&lt;PolicyEff),1,Milestones!$AC$22)&amp;";  ","")&amp;IF(AND(EDATE($D94,Milestones!$AA$23)&lt;=AsOfDate,EDATE($D94,Milestones!$AA$23)&gt;=SchemeStart,IF($X94=0,$AD94,IF(AND($Z94&lt;&gt;"",EDATE($D94,Milestones!$AA$23)&gt;=$Z94),$AC94,IF(AND($Y94&lt;&gt;"",EDATE($D94,Milestones!$AA$23)&gt;=$Y94),$AB94,$AA94)))=Milestones!$AB$23),UPPER(TEXT(EDATE($D94,Milestones!$AA$23),"dd mmm yy"))&amp;" "&amp;Milestones!$AB$23&amp;" "&amp;IF(AND(Milestones!$AB$23="FT",Milestones!$AA$23=FT_Y5,EDATE($D94,Milestones!$AA$23)&lt;PolicyEff),1,Milestones!$AC$23)&amp;";  ","")&amp;IF(AND(EDATE($D94,Milestones!$AA$24)&lt;=AsOfDate,EDATE($D94,Milestones!$AA$24)&gt;=SchemeStart,IF($X94=0,$AD94,IF(AND($Z94&lt;&gt;"",EDATE($D94,Milestones!$AA$24)&gt;=$Z94),$AC94,IF(AND($Y94&lt;&gt;"",EDATE($D94,Milestones!$AA$24)&gt;=$Y94),$AB94,$AA94)))=Milestones!$AB$24),UPPER(TEXT(EDATE($D94,Milestones!$AA$24),"dd mmm yy"))&amp;" "&amp;Milestones!$AB$24&amp;" "&amp;IF(AND(Milestones!$AB$24="FT",Milestones!$AA$24=FT_Y5,EDATE($D94,Milestones!$AA$24)&lt;PolicyEff),1,Milestones!$AC$24)&amp;";  ","")&amp;IF(AND(EDATE($D94,Milestones!$AA$25)&lt;=AsOfDate,EDATE($D94,Milestones!$AA$25)&gt;=SchemeStart,IF($X94=0,$AD94,IF(AND($Z94&lt;&gt;"",EDATE($D94,Milestones!$AA$25)&gt;=$Z94),$AC94,IF(AND($Y94&lt;&gt;"",EDATE($D94,Milestones!$AA$25)&gt;=$Y94),$AB94,$AA94)))=Milestones!$AB$25),UPPER(TEXT(EDATE($D94,Milestones!$AA$25),"dd mmm yy"))&amp;" "&amp;Milestones!$AB$25&amp;" "&amp;IF(AND(Milestones!$AB$25="FT",Milestones!$AA$25=FT_Y5,EDATE($D94,Milestones!$AA$25)&lt;PolicyEff),1,Milestones!$AC$25)&amp;";  ","")&amp;IF(AND(EDATE($D94,Milestones!$AA$26)&lt;=AsOfDate,EDATE($D94,Milestones!$AA$26)&gt;=SchemeStart,IF($X94=0,$AD94,IF(AND($Z94&lt;&gt;"",EDATE($D94,Milestones!$AA$26)&gt;=$Z94),$AC94,IF(AND($Y94&lt;&gt;"",EDATE($D94,Milestones!$AA$26)&gt;=$Y94),$AB94,$AA94)))=Milestones!$AB$26),UPPER(TEXT(EDATE($D94,Milestones!$AA$26),"dd mmm yy"))&amp;" "&amp;Milestones!$AB$26&amp;" "&amp;IF(AND(Milestones!$AB$26="FT",Milestones!$AA$26=FT_Y5,EDATE($D94,Milestones!$AA$26)&lt;PolicyEff),1,Milestones!$AC$26)&amp;";  ","")&amp;IF(AND(EDATE($D94,Milestones!$AA$27)&lt;=AsOfDate,EDATE($D94,Milestones!$AA$27)&gt;=SchemeStart,IF($X94=0,$AD94,IF(AND($Z94&lt;&gt;"",EDATE($D94,Milestones!$AA$27)&gt;=$Z94),$AC94,IF(AND($Y94&lt;&gt;"",EDATE($D94,Milestones!$AA$27)&gt;=$Y94),$AB94,$AA94)))=Milestones!$AB$27),UPPER(TEXT(EDATE($D94,Milestones!$AA$27),"dd mmm yy"))&amp;" "&amp;Milestones!$AB$27&amp;" "&amp;IF(AND(Milestones!$AB$27="FT",Milestones!$AA$27=FT_Y5,EDATE($D94,Milestones!$AA$27)&lt;PolicyEff),1,Milestones!$AC$27)&amp;";  ","")&amp;IF(AND(EDATE($D94,Milestones!$AA$28)&lt;=AsOfDate,EDATE($D94,Milestones!$AA$28)&gt;=SchemeStart,IF($X94=0,$AD94,IF(AND($Z94&lt;&gt;"",EDATE($D94,Milestones!$AA$28)&gt;=$Z94),$AC94,IF(AND($Y94&lt;&gt;"",EDATE($D94,Milestones!$AA$28)&gt;=$Y94),$AB94,$AA94)))=Milestones!$AB$28),UPPER(TEXT(EDATE($D94,Milestones!$AA$28),"dd mmm yy"))&amp;" "&amp;Milestones!$AB$28&amp;" "&amp;IF(AND(Milestones!$AB$28="FT",Milestones!$AA$28=FT_Y5,EDATE($D94,Milestones!$AA$28)&lt;PolicyEff),1,Milestones!$AC$28)&amp;";  ","")&amp;IF(AND(EDATE($D94,Milestones!$AA$29)&lt;=AsOfDate,EDATE($D94,Milestones!$AA$29)&gt;=SchemeStart,IF($X94=0,$AD94,IF(AND($Z94&lt;&gt;"",EDATE($D94,Milestones!$AA$29)&gt;=$Z94),$AC94,IF(AND($Y94&lt;&gt;"",EDATE($D94,Milestones!$AA$29)&gt;=$Y94),$AB94,$AA94)))=Milestones!$AB$29),UPPER(TEXT(EDATE($D94,Milestones!$AA$29),"dd mmm yy"))&amp;" "&amp;Milestones!$AB$29&amp;" "&amp;IF(AND(Milestones!$AB$29="FT",Milestones!$AA$29=FT_Y5,EDATE($D94,Milestones!$AA$29)&lt;PolicyEff),1,Milestones!$AC$29)&amp;";  ","")&amp;IF(AND(EDATE($D94,Milestones!$AA$30)&lt;=AsOfDate,EDATE($D94,Milestones!$AA$30)&gt;=SchemeStart,IF($X94=0,$AD94,IF(AND($Z94&lt;&gt;"",EDATE($D94,Milestones!$AA$30)&gt;=$Z94),$AC94,IF(AND($Y94&lt;&gt;"",EDATE($D94,Milestones!$AA$30)&gt;=$Y94),$AB94,$AA94)))=Milestones!$AB$30),UPPER(TEXT(EDATE($D94,Milestones!$AA$30),"dd mmm yy"))&amp;" "&amp;Milestones!$AB$30&amp;" "&amp;IF(AND(Milestones!$AB$30="FT",Milestones!$AA$30=FT_Y5,EDATE($D94,Milestones!$AA$30)&lt;PolicyEff),1,Milestones!$AC$30)&amp;";  ","")&amp;IF(AND(EDATE($D94,Milestones!$AA$31)&lt;=AsOfDate,EDATE($D94,Milestones!$AA$31)&gt;=SchemeStart,IF($X94=0,$AD94,IF(AND($Z94&lt;&gt;"",EDATE($D94,Milestones!$AA$31)&gt;=$Z94),$AC94,IF(AND($Y94&lt;&gt;"",EDATE($D94,Milestones!$AA$31)&gt;=$Y94),$AB94,$AA94)))=Milestones!$AB$31),UPPER(TEXT(EDATE($D94,Milestones!$AA$31),"dd mmm yy"))&amp;" "&amp;Milestones!$AB$31&amp;" "&amp;IF(AND(Milestones!$AB$31="FT",Milestones!$AA$31=FT_Y5,EDATE($D94,Milestones!$AA$31)&lt;PolicyEff),1,Milestones!$AC$31)&amp;";  ",""))</f>
        <v/>
      </c>
      <c r="J94" s="0" t="str">
        <f aca="false">IF(OR($A94="",$D94=""),"",IF(AND(EDATE($D94,Milestones!$AA$32)&lt;=AsOfDate,EDATE($D94,Milestones!$AA$32)&gt;=SchemeStart,IF($X94=0,$AD94,IF(AND($Z94&lt;&gt;"",EDATE($D94,Milestones!$AA$32)&gt;=$Z94),$AC94,IF(AND($Y94&lt;&gt;"",EDATE($D94,Milestones!$AA$32)&gt;=$Y94),$AB94,$AA94)))=Milestones!$AB$32),UPPER(TEXT(EDATE($D94,Milestones!$AA$32),"dd mmm yy"))&amp;" "&amp;Milestones!$AB$32&amp;" "&amp;IF(AND(Milestones!$AB$32="FT",Milestones!$AA$32=FT_Y5,EDATE($D94,Milestones!$AA$32)&lt;PolicyEff),1,Milestones!$AC$32)&amp;";  ","")&amp;IF(AND(EDATE($D94,Milestones!$AA$33)&lt;=AsOfDate,EDATE($D94,Milestones!$AA$33)&gt;=SchemeStart,IF($X94=0,$AD94,IF(AND($Z94&lt;&gt;"",EDATE($D94,Milestones!$AA$33)&gt;=$Z94),$AC94,IF(AND($Y94&lt;&gt;"",EDATE($D94,Milestones!$AA$33)&gt;=$Y94),$AB94,$AA94)))=Milestones!$AB$33),UPPER(TEXT(EDATE($D94,Milestones!$AA$33),"dd mmm yy"))&amp;" "&amp;Milestones!$AB$33&amp;" "&amp;IF(AND(Milestones!$AB$33="FT",Milestones!$AA$33=FT_Y5,EDATE($D94,Milestones!$AA$33)&lt;PolicyEff),1,Milestones!$AC$33)&amp;";  ","")&amp;IF(AND(EDATE($D94,Milestones!$AA$34)&lt;=AsOfDate,EDATE($D94,Milestones!$AA$34)&gt;=SchemeStart,IF($X94=0,$AD94,IF(AND($Z94&lt;&gt;"",EDATE($D94,Milestones!$AA$34)&gt;=$Z94),$AC94,IF(AND($Y94&lt;&gt;"",EDATE($D94,Milestones!$AA$34)&gt;=$Y94),$AB94,$AA94)))=Milestones!$AB$34),UPPER(TEXT(EDATE($D94,Milestones!$AA$34),"dd mmm yy"))&amp;" "&amp;Milestones!$AB$34&amp;" "&amp;IF(AND(Milestones!$AB$34="FT",Milestones!$AA$34=FT_Y5,EDATE($D94,Milestones!$AA$34)&lt;PolicyEff),1,Milestones!$AC$34)&amp;";  ","")&amp;IF(AND(EDATE($D94,Milestones!$AA$35)&lt;=AsOfDate,EDATE($D94,Milestones!$AA$35)&gt;=SchemeStart,IF($X94=0,$AD94,IF(AND($Z94&lt;&gt;"",EDATE($D94,Milestones!$AA$35)&gt;=$Z94),$AC94,IF(AND($Y94&lt;&gt;"",EDATE($D94,Milestones!$AA$35)&gt;=$Y94),$AB94,$AA94)))=Milestones!$AB$35),UPPER(TEXT(EDATE($D94,Milestones!$AA$35),"dd mmm yy"))&amp;" "&amp;Milestones!$AB$35&amp;" "&amp;IF(AND(Milestones!$AB$35="FT",Milestones!$AA$35=FT_Y5,EDATE($D94,Milestones!$AA$35)&lt;PolicyEff),1,Milestones!$AC$35)&amp;";  ","")&amp;IF(AND(EDATE($D94,Milestones!$AA$36)&lt;=AsOfDate,EDATE($D94,Milestones!$AA$36)&gt;=SchemeStart,IF($X94=0,$AD94,IF(AND($Z94&lt;&gt;"",EDATE($D94,Milestones!$AA$36)&gt;=$Z94),$AC94,IF(AND($Y94&lt;&gt;"",EDATE($D94,Milestones!$AA$36)&gt;=$Y94),$AB94,$AA94)))=Milestones!$AB$36),UPPER(TEXT(EDATE($D94,Milestones!$AA$36),"dd mmm yy"))&amp;" "&amp;Milestones!$AB$36&amp;" "&amp;IF(AND(Milestones!$AB$36="FT",Milestones!$AA$36=FT_Y5,EDATE($D94,Milestones!$AA$36)&lt;PolicyEff),1,Milestones!$AC$36)&amp;";  ","")&amp;IF(AND(EDATE($D94,Milestones!$AA$37)&lt;=AsOfDate,EDATE($D94,Milestones!$AA$37)&gt;=SchemeStart,IF($X94=0,$AD94,IF(AND($Z94&lt;&gt;"",EDATE($D94,Milestones!$AA$37)&gt;=$Z94),$AC94,IF(AND($Y94&lt;&gt;"",EDATE($D94,Milestones!$AA$37)&gt;=$Y94),$AB94,$AA94)))=Milestones!$AB$37),UPPER(TEXT(EDATE($D94,Milestones!$AA$37),"dd mmm yy"))&amp;" "&amp;Milestones!$AB$37&amp;" "&amp;IF(AND(Milestones!$AB$37="FT",Milestones!$AA$37=FT_Y5,EDATE($D94,Milestones!$AA$37)&lt;PolicyEff),1,Milestones!$AC$37)&amp;";  ","")&amp;IF(AND(EDATE($D94,Milestones!$AA$38)&lt;=AsOfDate,EDATE($D94,Milestones!$AA$38)&gt;=SchemeStart,IF($X94=0,$AD94,IF(AND($Z94&lt;&gt;"",EDATE($D94,Milestones!$AA$38)&gt;=$Z94),$AC94,IF(AND($Y94&lt;&gt;"",EDATE($D94,Milestones!$AA$38)&gt;=$Y94),$AB94,$AA94)))=Milestones!$AB$38),UPPER(TEXT(EDATE($D94,Milestones!$AA$38),"dd mmm yy"))&amp;" "&amp;Milestones!$AB$38&amp;" "&amp;IF(AND(Milestones!$AB$38="FT",Milestones!$AA$38=FT_Y5,EDATE($D94,Milestones!$AA$38)&lt;PolicyEff),1,Milestones!$AC$38)&amp;";  ","")&amp;IF(AND(EDATE($D94,Milestones!$AA$39)&lt;=AsOfDate,EDATE($D94,Milestones!$AA$39)&gt;=SchemeStart,IF($X94=0,$AD94,IF(AND($Z94&lt;&gt;"",EDATE($D94,Milestones!$AA$39)&gt;=$Z94),$AC94,IF(AND($Y94&lt;&gt;"",EDATE($D94,Milestones!$AA$39)&gt;=$Y94),$AB94,$AA94)))=Milestones!$AB$39),UPPER(TEXT(EDATE($D94,Milestones!$AA$39),"dd mmm yy"))&amp;" "&amp;Milestones!$AB$39&amp;" "&amp;IF(AND(Milestones!$AB$39="FT",Milestones!$AA$39=FT_Y5,EDATE($D94,Milestones!$AA$39)&lt;PolicyEff),1,Milestones!$AC$39)&amp;";  ","")&amp;IF(AND(EDATE($D94,Milestones!$AA$40)&lt;=AsOfDate,EDATE($D94,Milestones!$AA$40)&gt;=SchemeStart,IF($X94=0,$AD94,IF(AND($Z94&lt;&gt;"",EDATE($D94,Milestones!$AA$40)&gt;=$Z94),$AC94,IF(AND($Y94&lt;&gt;"",EDATE($D94,Milestones!$AA$40)&gt;=$Y94),$AB94,$AA94)))=Milestones!$AB$40),UPPER(TEXT(EDATE($D94,Milestones!$AA$40),"dd mmm yy"))&amp;" "&amp;Milestones!$AB$40&amp;" "&amp;IF(AND(Milestones!$AB$40="FT",Milestones!$AA$40=FT_Y5,EDATE($D94,Milestones!$AA$40)&lt;PolicyEff),1,Milestones!$AC$40)&amp;";  ","")&amp;IF(AND(EDATE($D94,Milestones!$AA$41)&lt;=AsOfDate,EDATE($D94,Milestones!$AA$41)&gt;=SchemeStart,IF($X94=0,$AD94,IF(AND($Z94&lt;&gt;"",EDATE($D94,Milestones!$AA$41)&gt;=$Z94),$AC94,IF(AND($Y94&lt;&gt;"",EDATE($D94,Milestones!$AA$41)&gt;=$Y94),$AB94,$AA94)))=Milestones!$AB$41),UPPER(TEXT(EDATE($D94,Milestones!$AA$41),"dd mmm yy"))&amp;" "&amp;Milestones!$AB$41&amp;" "&amp;IF(AND(Milestones!$AB$41="FT",Milestones!$AA$41=FT_Y5,EDATE($D94,Milestones!$AA$41)&lt;PolicyEff),1,Milestones!$AC$41)&amp;";  ","")&amp;IF(AND(EDATE($D94,Milestones!$AA$42)&lt;=AsOfDate,EDATE($D94,Milestones!$AA$42)&gt;=SchemeStart,IF($X94=0,$AD94,IF(AND($Z94&lt;&gt;"",EDATE($D94,Milestones!$AA$42)&gt;=$Z94),$AC94,IF(AND($Y94&lt;&gt;"",EDATE($D94,Milestones!$AA$42)&gt;=$Y94),$AB94,$AA94)))=Milestones!$AB$42),UPPER(TEXT(EDATE($D94,Milestones!$AA$42),"dd mmm yy"))&amp;" "&amp;Milestones!$AB$42&amp;" "&amp;IF(AND(Milestones!$AB$42="FT",Milestones!$AA$42=FT_Y5,EDATE($D94,Milestones!$AA$42)&lt;PolicyEff),1,Milestones!$AC$42)&amp;";  ","")&amp;IF(AND(EDATE($D94,Milestones!$AA$43)&lt;=AsOfDate,EDATE($D94,Milestones!$AA$43)&gt;=SchemeStart,IF($X94=0,$AD94,IF(AND($Z94&lt;&gt;"",EDATE($D94,Milestones!$AA$43)&gt;=$Z94),$AC94,IF(AND($Y94&lt;&gt;"",EDATE($D94,Milestones!$AA$43)&gt;=$Y94),$AB94,$AA94)))=Milestones!$AB$43),UPPER(TEXT(EDATE($D94,Milestones!$AA$43),"dd mmm yy"))&amp;" "&amp;Milestones!$AB$43&amp;" "&amp;IF(AND(Milestones!$AB$43="FT",Milestones!$AA$43=FT_Y5,EDATE($D94,Milestones!$AA$43)&lt;PolicyEff),1,Milestones!$AC$43)&amp;";  ",""))</f>
        <v/>
      </c>
      <c r="K94" s="0" t="str">
        <f aca="false">IF(OR($A94="",$D94=""),"",IF(AND(EDATE($D94,Milestones!$AA$44)&lt;=AsOfDate,EDATE($D94,Milestones!$AA$44)&gt;=SchemeStart,IF($X94=0,$AD94,IF(AND($Z94&lt;&gt;"",EDATE($D94,Milestones!$AA$44)&gt;=$Z94),$AC94,IF(AND($Y94&lt;&gt;"",EDATE($D94,Milestones!$AA$44)&gt;=$Y94),$AB94,$AA94)))=Milestones!$AB$44),UPPER(TEXT(EDATE($D94,Milestones!$AA$44),"dd mmm yy"))&amp;" "&amp;Milestones!$AB$44&amp;" "&amp;IF(AND(Milestones!$AB$44="FT",Milestones!$AA$44=FT_Y5,EDATE($D94,Milestones!$AA$44)&lt;PolicyEff),1,Milestones!$AC$44)&amp;";  ","")&amp;IF(AND(EDATE($D94,Milestones!$AA$45)&lt;=AsOfDate,EDATE($D94,Milestones!$AA$45)&gt;=SchemeStart,IF($X94=0,$AD94,IF(AND($Z94&lt;&gt;"",EDATE($D94,Milestones!$AA$45)&gt;=$Z94),$AC94,IF(AND($Y94&lt;&gt;"",EDATE($D94,Milestones!$AA$45)&gt;=$Y94),$AB94,$AA94)))=Milestones!$AB$45),UPPER(TEXT(EDATE($D94,Milestones!$AA$45),"dd mmm yy"))&amp;" "&amp;Milestones!$AB$45&amp;" "&amp;IF(AND(Milestones!$AB$45="FT",Milestones!$AA$45=FT_Y5,EDATE($D94,Milestones!$AA$45)&lt;PolicyEff),1,Milestones!$AC$45)&amp;";  ","")&amp;IF(AND(EDATE($D94,Milestones!$AA$46)&lt;=AsOfDate,EDATE($D94,Milestones!$AA$46)&gt;=SchemeStart,IF($X94=0,$AD94,IF(AND($Z94&lt;&gt;"",EDATE($D94,Milestones!$AA$46)&gt;=$Z94),$AC94,IF(AND($Y94&lt;&gt;"",EDATE($D94,Milestones!$AA$46)&gt;=$Y94),$AB94,$AA94)))=Milestones!$AB$46),UPPER(TEXT(EDATE($D94,Milestones!$AA$46),"dd mmm yy"))&amp;" "&amp;Milestones!$AB$46&amp;" "&amp;IF(AND(Milestones!$AB$46="FT",Milestones!$AA$46=FT_Y5,EDATE($D94,Milestones!$AA$46)&lt;PolicyEff),1,Milestones!$AC$46)&amp;";  ","")&amp;IF(AND(EDATE($D94,Milestones!$AA$47)&lt;=AsOfDate,EDATE($D94,Milestones!$AA$47)&gt;=SchemeStart,IF($X94=0,$AD94,IF(AND($Z94&lt;&gt;"",EDATE($D94,Milestones!$AA$47)&gt;=$Z94),$AC94,IF(AND($Y94&lt;&gt;"",EDATE($D94,Milestones!$AA$47)&gt;=$Y94),$AB94,$AA94)))=Milestones!$AB$47),UPPER(TEXT(EDATE($D94,Milestones!$AA$47),"dd mmm yy"))&amp;" "&amp;Milestones!$AB$47&amp;" "&amp;IF(AND(Milestones!$AB$47="FT",Milestones!$AA$47=FT_Y5,EDATE($D94,Milestones!$AA$47)&lt;PolicyEff),1,Milestones!$AC$47)&amp;";  ","")&amp;IF(AND(EDATE($D94,Milestones!$AA$48)&lt;=AsOfDate,EDATE($D94,Milestones!$AA$48)&gt;=SchemeStart,IF($X94=0,$AD94,IF(AND($Z94&lt;&gt;"",EDATE($D94,Milestones!$AA$48)&gt;=$Z94),$AC94,IF(AND($Y94&lt;&gt;"",EDATE($D94,Milestones!$AA$48)&gt;=$Y94),$AB94,$AA94)))=Milestones!$AB$48),UPPER(TEXT(EDATE($D94,Milestones!$AA$48),"dd mmm yy"))&amp;" "&amp;Milestones!$AB$48&amp;" "&amp;IF(AND(Milestones!$AB$48="FT",Milestones!$AA$48=FT_Y5,EDATE($D94,Milestones!$AA$48)&lt;PolicyEff),1,Milestones!$AC$48)&amp;";  ","")&amp;IF(AND(EDATE($D94,Milestones!$AA$49)&lt;=AsOfDate,EDATE($D94,Milestones!$AA$49)&gt;=SchemeStart,IF($X94=0,$AD94,IF(AND($Z94&lt;&gt;"",EDATE($D94,Milestones!$AA$49)&gt;=$Z94),$AC94,IF(AND($Y94&lt;&gt;"",EDATE($D94,Milestones!$AA$49)&gt;=$Y94),$AB94,$AA94)))=Milestones!$AB$49),UPPER(TEXT(EDATE($D94,Milestones!$AA$49),"dd mmm yy"))&amp;" "&amp;Milestones!$AB$49&amp;" "&amp;IF(AND(Milestones!$AB$49="FT",Milestones!$AA$49=FT_Y5,EDATE($D94,Milestones!$AA$49)&lt;PolicyEff),1,Milestones!$AC$49)&amp;";  ","")&amp;IF(AND(EDATE($D94,Milestones!$AA$50)&lt;=AsOfDate,EDATE($D94,Milestones!$AA$50)&gt;=SchemeStart,IF($X94=0,$AD94,IF(AND($Z94&lt;&gt;"",EDATE($D94,Milestones!$AA$50)&gt;=$Z94),$AC94,IF(AND($Y94&lt;&gt;"",EDATE($D94,Milestones!$AA$50)&gt;=$Y94),$AB94,$AA94)))=Milestones!$AB$50),UPPER(TEXT(EDATE($D94,Milestones!$AA$50),"dd mmm yy"))&amp;" "&amp;Milestones!$AB$50&amp;" "&amp;IF(AND(Milestones!$AB$50="FT",Milestones!$AA$50=FT_Y5,EDATE($D94,Milestones!$AA$50)&lt;PolicyEff),1,Milestones!$AC$50)&amp;";  ","")&amp;IF(AND(EDATE($D94,Milestones!$AA$51)&lt;=AsOfDate,EDATE($D94,Milestones!$AA$51)&gt;=SchemeStart,IF($X94=0,$AD94,IF(AND($Z94&lt;&gt;"",EDATE($D94,Milestones!$AA$51)&gt;=$Z94),$AC94,IF(AND($Y94&lt;&gt;"",EDATE($D94,Milestones!$AA$51)&gt;=$Y94),$AB94,$AA94)))=Milestones!$AB$51),UPPER(TEXT(EDATE($D94,Milestones!$AA$51),"dd mmm yy"))&amp;" "&amp;Milestones!$AB$51&amp;" "&amp;IF(AND(Milestones!$AB$51="FT",Milestones!$AA$51=FT_Y5,EDATE($D94,Milestones!$AA$51)&lt;PolicyEff),1,Milestones!$AC$51)&amp;";  ","")&amp;IF(AND(EDATE($D94,Milestones!$AA$52)&lt;=AsOfDate,EDATE($D94,Milestones!$AA$52)&gt;=SchemeStart,IF($X94=0,$AD94,IF(AND($Z94&lt;&gt;"",EDATE($D94,Milestones!$AA$52)&gt;=$Z94),$AC94,IF(AND($Y94&lt;&gt;"",EDATE($D94,Milestones!$AA$52)&gt;=$Y94),$AB94,$AA94)))=Milestones!$AB$52),UPPER(TEXT(EDATE($D94,Milestones!$AA$52),"dd mmm yy"))&amp;" "&amp;Milestones!$AB$52&amp;" "&amp;IF(AND(Milestones!$AB$52="FT",Milestones!$AA$52=FT_Y5,EDATE($D94,Milestones!$AA$52)&lt;PolicyEff),1,Milestones!$AC$52)&amp;";  ","")&amp;IF(AND(EDATE($D94,Milestones!$AA$53)&lt;=AsOfDate,EDATE($D94,Milestones!$AA$53)&gt;=SchemeStart,IF($X94=0,$AD94,IF(AND($Z94&lt;&gt;"",EDATE($D94,Milestones!$AA$53)&gt;=$Z94),$AC94,IF(AND($Y94&lt;&gt;"",EDATE($D94,Milestones!$AA$53)&gt;=$Y94),$AB94,$AA94)))=Milestones!$AB$53),UPPER(TEXT(EDATE($D94,Milestones!$AA$53),"dd mmm yy"))&amp;" "&amp;Milestones!$AB$53&amp;" "&amp;IF(AND(Milestones!$AB$53="FT",Milestones!$AA$53=FT_Y5,EDATE($D94,Milestones!$AA$53)&lt;PolicyEff),1,Milestones!$AC$53)&amp;";  ","")&amp;IF(AND(EDATE($D94,Milestones!$AA$54)&lt;=AsOfDate,EDATE($D94,Milestones!$AA$54)&gt;=SchemeStart,IF($X94=0,$AD94,IF(AND($Z94&lt;&gt;"",EDATE($D94,Milestones!$AA$54)&gt;=$Z94),$AC94,IF(AND($Y94&lt;&gt;"",EDATE($D94,Milestones!$AA$54)&gt;=$Y94),$AB94,$AA94)))=Milestones!$AB$54),UPPER(TEXT(EDATE($D94,Milestones!$AA$54),"dd mmm yy"))&amp;" "&amp;Milestones!$AB$54&amp;" "&amp;IF(AND(Milestones!$AB$54="FT",Milestones!$AA$54=FT_Y5,EDATE($D94,Milestones!$AA$54)&lt;PolicyEff),1,Milestones!$AC$54)&amp;";  ","")&amp;IF(AND(EDATE($D94,Milestones!$AA$55)&lt;=AsOfDate,EDATE($D94,Milestones!$AA$55)&gt;=SchemeStart,IF($X94=0,$AD94,IF(AND($Z94&lt;&gt;"",EDATE($D94,Milestones!$AA$55)&gt;=$Z94),$AC94,IF(AND($Y94&lt;&gt;"",EDATE($D94,Milestones!$AA$55)&gt;=$Y94),$AB94,$AA94)))=Milestones!$AB$55),UPPER(TEXT(EDATE($D94,Milestones!$AA$55),"dd mmm yy"))&amp;" "&amp;Milestones!$AB$55&amp;" "&amp;IF(AND(Milestones!$AB$55="FT",Milestones!$AA$55=FT_Y5,EDATE($D94,Milestones!$AA$55)&lt;PolicyEff),1,Milestones!$AC$55)&amp;";  ",""))</f>
        <v/>
      </c>
      <c r="L94" s="0" t="str">
        <f aca="false">IF(OR($A94="",$D94=""),"",IF(AND(EDATE($D94,Milestones!$AA$56)&lt;=AsOfDate,EDATE($D94,Milestones!$AA$56)&gt;=SchemeStart,IF($X94=0,$AD94,IF(AND($Z94&lt;&gt;"",EDATE($D94,Milestones!$AA$56)&gt;=$Z94),$AC94,IF(AND($Y94&lt;&gt;"",EDATE($D94,Milestones!$AA$56)&gt;=$Y94),$AB94,$AA94)))=Milestones!$AB$56),UPPER(TEXT(EDATE($D94,Milestones!$AA$56),"dd mmm yy"))&amp;" "&amp;Milestones!$AB$56&amp;" "&amp;IF(AND(Milestones!$AB$56="FT",Milestones!$AA$56=FT_Y5,EDATE($D94,Milestones!$AA$56)&lt;PolicyEff),1,Milestones!$AC$56)&amp;";  ","")&amp;IF(AND(EDATE($D94,Milestones!$AA$57)&lt;=AsOfDate,EDATE($D94,Milestones!$AA$57)&gt;=SchemeStart,IF($X94=0,$AD94,IF(AND($Z94&lt;&gt;"",EDATE($D94,Milestones!$AA$57)&gt;=$Z94),$AC94,IF(AND($Y94&lt;&gt;"",EDATE($D94,Milestones!$AA$57)&gt;=$Y94),$AB94,$AA94)))=Milestones!$AB$57),UPPER(TEXT(EDATE($D94,Milestones!$AA$57),"dd mmm yy"))&amp;" "&amp;Milestones!$AB$57&amp;" "&amp;IF(AND(Milestones!$AB$57="FT",Milestones!$AA$57=FT_Y5,EDATE($D94,Milestones!$AA$57)&lt;PolicyEff),1,Milestones!$AC$57)&amp;";  ","")&amp;IF(AND(EDATE($D94,Milestones!$AA$58)&lt;=AsOfDate,EDATE($D94,Milestones!$AA$58)&gt;=SchemeStart,IF($X94=0,$AD94,IF(AND($Z94&lt;&gt;"",EDATE($D94,Milestones!$AA$58)&gt;=$Z94),$AC94,IF(AND($Y94&lt;&gt;"",EDATE($D94,Milestones!$AA$58)&gt;=$Y94),$AB94,$AA94)))=Milestones!$AB$58),UPPER(TEXT(EDATE($D94,Milestones!$AA$58),"dd mmm yy"))&amp;" "&amp;Milestones!$AB$58&amp;" "&amp;IF(AND(Milestones!$AB$58="FT",Milestones!$AA$58=FT_Y5,EDATE($D94,Milestones!$AA$58)&lt;PolicyEff),1,Milestones!$AC$58)&amp;";  ","")&amp;IF(AND(EDATE($D94,Milestones!$AA$59)&lt;=AsOfDate,EDATE($D94,Milestones!$AA$59)&gt;=SchemeStart,IF($X94=0,$AD94,IF(AND($Z94&lt;&gt;"",EDATE($D94,Milestones!$AA$59)&gt;=$Z94),$AC94,IF(AND($Y94&lt;&gt;"",EDATE($D94,Milestones!$AA$59)&gt;=$Y94),$AB94,$AA94)))=Milestones!$AB$59),UPPER(TEXT(EDATE($D94,Milestones!$AA$59),"dd mmm yy"))&amp;" "&amp;Milestones!$AB$59&amp;" "&amp;IF(AND(Milestones!$AB$59="FT",Milestones!$AA$59=FT_Y5,EDATE($D94,Milestones!$AA$59)&lt;PolicyEff),1,Milestones!$AC$59)&amp;";  ","")&amp;IF(AND(EDATE($D94,Milestones!$AA$60)&lt;=AsOfDate,EDATE($D94,Milestones!$AA$60)&gt;=SchemeStart,IF($X94=0,$AD94,IF(AND($Z94&lt;&gt;"",EDATE($D94,Milestones!$AA$60)&gt;=$Z94),$AC94,IF(AND($Y94&lt;&gt;"",EDATE($D94,Milestones!$AA$60)&gt;=$Y94),$AB94,$AA94)))=Milestones!$AB$60),UPPER(TEXT(EDATE($D94,Milestones!$AA$60),"dd mmm yy"))&amp;" "&amp;Milestones!$AB$60&amp;" "&amp;IF(AND(Milestones!$AB$60="FT",Milestones!$AA$60=FT_Y5,EDATE($D94,Milestones!$AA$60)&lt;PolicyEff),1,Milestones!$AC$60)&amp;";  ","")&amp;IF(AND(EDATE($D94,Milestones!$AA$61)&lt;=AsOfDate,EDATE($D94,Milestones!$AA$61)&gt;=SchemeStart,IF($X94=0,$AD94,IF(AND($Z94&lt;&gt;"",EDATE($D94,Milestones!$AA$61)&gt;=$Z94),$AC94,IF(AND($Y94&lt;&gt;"",EDATE($D94,Milestones!$AA$61)&gt;=$Y94),$AB94,$AA94)))=Milestones!$AB$61),UPPER(TEXT(EDATE($D94,Milestones!$AA$61),"dd mmm yy"))&amp;" "&amp;Milestones!$AB$61&amp;" "&amp;IF(AND(Milestones!$AB$61="FT",Milestones!$AA$61=FT_Y5,EDATE($D94,Milestones!$AA$61)&lt;PolicyEff),1,Milestones!$AC$61)&amp;";  ","")&amp;IF(AND(EDATE($D94,Milestones!$AA$62)&lt;=AsOfDate,EDATE($D94,Milestones!$AA$62)&gt;=SchemeStart,IF($X94=0,$AD94,IF(AND($Z94&lt;&gt;"",EDATE($D94,Milestones!$AA$62)&gt;=$Z94),$AC94,IF(AND($Y94&lt;&gt;"",EDATE($D94,Milestones!$AA$62)&gt;=$Y94),$AB94,$AA94)))=Milestones!$AB$62),UPPER(TEXT(EDATE($D94,Milestones!$AA$62),"dd mmm yy"))&amp;" "&amp;Milestones!$AB$62&amp;" "&amp;IF(AND(Milestones!$AB$62="FT",Milestones!$AA$62=FT_Y5,EDATE($D94,Milestones!$AA$62)&lt;PolicyEff),1,Milestones!$AC$62)&amp;";  ","")&amp;IF(AND(EDATE($D94,Milestones!$AA$63)&lt;=AsOfDate,EDATE($D94,Milestones!$AA$63)&gt;=SchemeStart,IF($X94=0,$AD94,IF(AND($Z94&lt;&gt;"",EDATE($D94,Milestones!$AA$63)&gt;=$Z94),$AC94,IF(AND($Y94&lt;&gt;"",EDATE($D94,Milestones!$AA$63)&gt;=$Y94),$AB94,$AA94)))=Milestones!$AB$63),UPPER(TEXT(EDATE($D94,Milestones!$AA$63),"dd mmm yy"))&amp;" "&amp;Milestones!$AB$63&amp;" "&amp;IF(AND(Milestones!$AB$63="FT",Milestones!$AA$63=FT_Y5,EDATE($D94,Milestones!$AA$63)&lt;PolicyEff),1,Milestones!$AC$63)&amp;";  ","")&amp;IF(AND(EDATE($D94,Milestones!$AA$64)&lt;=AsOfDate,EDATE($D94,Milestones!$AA$64)&gt;=SchemeStart,IF($X94=0,$AD94,IF(AND($Z94&lt;&gt;"",EDATE($D94,Milestones!$AA$64)&gt;=$Z94),$AC94,IF(AND($Y94&lt;&gt;"",EDATE($D94,Milestones!$AA$64)&gt;=$Y94),$AB94,$AA94)))=Milestones!$AB$64),UPPER(TEXT(EDATE($D94,Milestones!$AA$64),"dd mmm yy"))&amp;" "&amp;Milestones!$AB$64&amp;" "&amp;IF(AND(Milestones!$AB$64="FT",Milestones!$AA$64=FT_Y5,EDATE($D94,Milestones!$AA$64)&lt;PolicyEff),1,Milestones!$AC$64)&amp;";  ","")&amp;IF(AND(EDATE($D94,Milestones!$AA$65)&lt;=AsOfDate,EDATE($D94,Milestones!$AA$65)&gt;=SchemeStart,IF($X94=0,$AD94,IF(AND($Z94&lt;&gt;"",EDATE($D94,Milestones!$AA$65)&gt;=$Z94),$AC94,IF(AND($Y94&lt;&gt;"",EDATE($D94,Milestones!$AA$65)&gt;=$Y94),$AB94,$AA94)))=Milestones!$AB$65),UPPER(TEXT(EDATE($D94,Milestones!$AA$65),"dd mmm yy"))&amp;" "&amp;Milestones!$AB$65&amp;" "&amp;IF(AND(Milestones!$AB$65="FT",Milestones!$AA$65=FT_Y5,EDATE($D94,Milestones!$AA$65)&lt;PolicyEff),1,Milestones!$AC$65)&amp;";  ","")&amp;IF(AND(EDATE($D94,Milestones!$AA$66)&lt;=AsOfDate,EDATE($D94,Milestones!$AA$66)&gt;=SchemeStart,IF($X94=0,$AD94,IF(AND($Z94&lt;&gt;"",EDATE($D94,Milestones!$AA$66)&gt;=$Z94),$AC94,IF(AND($Y94&lt;&gt;"",EDATE($D94,Milestones!$AA$66)&gt;=$Y94),$AB94,$AA94)))=Milestones!$AB$66),UPPER(TEXT(EDATE($D94,Milestones!$AA$66),"dd mmm yy"))&amp;" "&amp;Milestones!$AB$66&amp;" "&amp;IF(AND(Milestones!$AB$66="FT",Milestones!$AA$66=FT_Y5,EDATE($D94,Milestones!$AA$66)&lt;PolicyEff),1,Milestones!$AC$66)&amp;";  ","")&amp;IF(AND(EDATE($D94,Milestones!$AA$67)&lt;=AsOfDate,EDATE($D94,Milestones!$AA$67)&gt;=SchemeStart,IF($X94=0,$AD94,IF(AND($Z94&lt;&gt;"",EDATE($D94,Milestones!$AA$67)&gt;=$Z94),$AC94,IF(AND($Y94&lt;&gt;"",EDATE($D94,Milestones!$AA$67)&gt;=$Y94),$AB94,$AA94)))=Milestones!$AB$67),UPPER(TEXT(EDATE($D94,Milestones!$AA$67),"dd mmm yy"))&amp;" "&amp;Milestones!$AB$67&amp;" "&amp;IF(AND(Milestones!$AB$67="FT",Milestones!$AA$67=FT_Y5,EDATE($D94,Milestones!$AA$67)&lt;PolicyEff),1,Milestones!$AC$67)&amp;";  ",""))</f>
        <v/>
      </c>
      <c r="M94" s="0" t="str">
        <f aca="false">IF(OR($A94="",$D94=""),"",IF(AND(EDATE($D94,Milestones!$AA$68)&lt;=AsOfDate,EDATE($D94,Milestones!$AA$68)&gt;=SchemeStart,IF($X94=0,$AD94,IF(AND($Z94&lt;&gt;"",EDATE($D94,Milestones!$AA$68)&gt;=$Z94),$AC94,IF(AND($Y94&lt;&gt;"",EDATE($D94,Milestones!$AA$68)&gt;=$Y94),$AB94,$AA94)))=Milestones!$AB$68),UPPER(TEXT(EDATE($D94,Milestones!$AA$68),"dd mmm yy"))&amp;" "&amp;Milestones!$AB$68&amp;" "&amp;IF(AND(Milestones!$AB$68="FT",Milestones!$AA$68=FT_Y5,EDATE($D94,Milestones!$AA$68)&lt;PolicyEff),1,Milestones!$AC$68)&amp;";  ","")&amp;IF(AND(EDATE($D94,Milestones!$AA$69)&lt;=AsOfDate,EDATE($D94,Milestones!$AA$69)&gt;=SchemeStart,IF($X94=0,$AD94,IF(AND($Z94&lt;&gt;"",EDATE($D94,Milestones!$AA$69)&gt;=$Z94),$AC94,IF(AND($Y94&lt;&gt;"",EDATE($D94,Milestones!$AA$69)&gt;=$Y94),$AB94,$AA94)))=Milestones!$AB$69),UPPER(TEXT(EDATE($D94,Milestones!$AA$69),"dd mmm yy"))&amp;" "&amp;Milestones!$AB$69&amp;" "&amp;IF(AND(Milestones!$AB$69="FT",Milestones!$AA$69=FT_Y5,EDATE($D94,Milestones!$AA$69)&lt;PolicyEff),1,Milestones!$AC$69)&amp;";  ","")&amp;IF(AND(EDATE($D94,Milestones!$AA$70)&lt;=AsOfDate,EDATE($D94,Milestones!$AA$70)&gt;=SchemeStart,IF($X94=0,$AD94,IF(AND($Z94&lt;&gt;"",EDATE($D94,Milestones!$AA$70)&gt;=$Z94),$AC94,IF(AND($Y94&lt;&gt;"",EDATE($D94,Milestones!$AA$70)&gt;=$Y94),$AB94,$AA94)))=Milestones!$AB$70),UPPER(TEXT(EDATE($D94,Milestones!$AA$70),"dd mmm yy"))&amp;" "&amp;Milestones!$AB$70&amp;" "&amp;IF(AND(Milestones!$AB$70="FT",Milestones!$AA$70=FT_Y5,EDATE($D94,Milestones!$AA$70)&lt;PolicyEff),1,Milestones!$AC$70)&amp;";  ","")&amp;IF(AND(EDATE($D94,Milestones!$AA$71)&lt;=AsOfDate,EDATE($D94,Milestones!$AA$71)&gt;=SchemeStart,IF($X94=0,$AD94,IF(AND($Z94&lt;&gt;"",EDATE($D94,Milestones!$AA$71)&gt;=$Z94),$AC94,IF(AND($Y94&lt;&gt;"",EDATE($D94,Milestones!$AA$71)&gt;=$Y94),$AB94,$AA94)))=Milestones!$AB$71),UPPER(TEXT(EDATE($D94,Milestones!$AA$71),"dd mmm yy"))&amp;" "&amp;Milestones!$AB$71&amp;" "&amp;IF(AND(Milestones!$AB$71="FT",Milestones!$AA$71=FT_Y5,EDATE($D94,Milestones!$AA$71)&lt;PolicyEff),1,Milestones!$AC$71)&amp;";  ","")&amp;IF(AND(EDATE($D94,Milestones!$AA$72)&lt;=AsOfDate,EDATE($D94,Milestones!$AA$72)&gt;=SchemeStart,IF($X94=0,$AD94,IF(AND($Z94&lt;&gt;"",EDATE($D94,Milestones!$AA$72)&gt;=$Z94),$AC94,IF(AND($Y94&lt;&gt;"",EDATE($D94,Milestones!$AA$72)&gt;=$Y94),$AB94,$AA94)))=Milestones!$AB$72),UPPER(TEXT(EDATE($D94,Milestones!$AA$72),"dd mmm yy"))&amp;" "&amp;Milestones!$AB$72&amp;" "&amp;IF(AND(Milestones!$AB$72="FT",Milestones!$AA$72=FT_Y5,EDATE($D94,Milestones!$AA$72)&lt;PolicyEff),1,Milestones!$AC$72)&amp;";  ","")&amp;IF(AND(EDATE($D94,Milestones!$AA$73)&lt;=AsOfDate,EDATE($D94,Milestones!$AA$73)&gt;=SchemeStart,IF($X94=0,$AD94,IF(AND($Z94&lt;&gt;"",EDATE($D94,Milestones!$AA$73)&gt;=$Z94),$AC94,IF(AND($Y94&lt;&gt;"",EDATE($D94,Milestones!$AA$73)&gt;=$Y94),$AB94,$AA94)))=Milestones!$AB$73),UPPER(TEXT(EDATE($D94,Milestones!$AA$73),"dd mmm yy"))&amp;" "&amp;Milestones!$AB$73&amp;" "&amp;IF(AND(Milestones!$AB$73="FT",Milestones!$AA$73=FT_Y5,EDATE($D94,Milestones!$AA$73)&lt;PolicyEff),1,Milestones!$AC$73)&amp;";  ","")&amp;IF(AND(EDATE($D94,Milestones!$AA$74)&lt;=AsOfDate,EDATE($D94,Milestones!$AA$74)&gt;=SchemeStart,IF($X94=0,$AD94,IF(AND($Z94&lt;&gt;"",EDATE($D94,Milestones!$AA$74)&gt;=$Z94),$AC94,IF(AND($Y94&lt;&gt;"",EDATE($D94,Milestones!$AA$74)&gt;=$Y94),$AB94,$AA94)))=Milestones!$AB$74),UPPER(TEXT(EDATE($D94,Milestones!$AA$74),"dd mmm yy"))&amp;" "&amp;Milestones!$AB$74&amp;" "&amp;IF(AND(Milestones!$AB$74="FT",Milestones!$AA$74=FT_Y5,EDATE($D94,Milestones!$AA$74)&lt;PolicyEff),1,Milestones!$AC$74)&amp;";  ","")&amp;IF(AND(EDATE($D94,Milestones!$AA$75)&lt;=AsOfDate,EDATE($D94,Milestones!$AA$75)&gt;=SchemeStart,IF($X94=0,$AD94,IF(AND($Z94&lt;&gt;"",EDATE($D94,Milestones!$AA$75)&gt;=$Z94),$AC94,IF(AND($Y94&lt;&gt;"",EDATE($D94,Milestones!$AA$75)&gt;=$Y94),$AB94,$AA94)))=Milestones!$AB$75),UPPER(TEXT(EDATE($D94,Milestones!$AA$75),"dd mmm yy"))&amp;" "&amp;Milestones!$AB$75&amp;" "&amp;IF(AND(Milestones!$AB$75="FT",Milestones!$AA$75=FT_Y5,EDATE($D94,Milestones!$AA$75)&lt;PolicyEff),1,Milestones!$AC$75)&amp;";  ","")&amp;IF(AND(EDATE($D94,Milestones!$AA$76)&lt;=AsOfDate,EDATE($D94,Milestones!$AA$76)&gt;=SchemeStart,IF($X94=0,$AD94,IF(AND($Z94&lt;&gt;"",EDATE($D94,Milestones!$AA$76)&gt;=$Z94),$AC94,IF(AND($Y94&lt;&gt;"",EDATE($D94,Milestones!$AA$76)&gt;=$Y94),$AB94,$AA94)))=Milestones!$AB$76),UPPER(TEXT(EDATE($D94,Milestones!$AA$76),"dd mmm yy"))&amp;" "&amp;Milestones!$AB$76&amp;" "&amp;IF(AND(Milestones!$AB$76="FT",Milestones!$AA$76=FT_Y5,EDATE($D94,Milestones!$AA$76)&lt;PolicyEff),1,Milestones!$AC$76)&amp;";  ","")&amp;IF(AND(EDATE($D94,Milestones!$AA$77)&lt;=AsOfDate,EDATE($D94,Milestones!$AA$77)&gt;=SchemeStart,IF($X94=0,$AD94,IF(AND($Z94&lt;&gt;"",EDATE($D94,Milestones!$AA$77)&gt;=$Z94),$AC94,IF(AND($Y94&lt;&gt;"",EDATE($D94,Milestones!$AA$77)&gt;=$Y94),$AB94,$AA94)))=Milestones!$AB$77),UPPER(TEXT(EDATE($D94,Milestones!$AA$77),"dd mmm yy"))&amp;" "&amp;Milestones!$AB$77&amp;" "&amp;IF(AND(Milestones!$AB$77="FT",Milestones!$AA$77=FT_Y5,EDATE($D94,Milestones!$AA$77)&lt;PolicyEff),1,Milestones!$AC$77)&amp;";  ","")&amp;IF(AND(EDATE($D94,Milestones!$AA$78)&lt;=AsOfDate,EDATE($D94,Milestones!$AA$78)&gt;=SchemeStart,IF($X94=0,$AD94,IF(AND($Z94&lt;&gt;"",EDATE($D94,Milestones!$AA$78)&gt;=$Z94),$AC94,IF(AND($Y94&lt;&gt;"",EDATE($D94,Milestones!$AA$78)&gt;=$Y94),$AB94,$AA94)))=Milestones!$AB$78),UPPER(TEXT(EDATE($D94,Milestones!$AA$78),"dd mmm yy"))&amp;" "&amp;Milestones!$AB$78&amp;" "&amp;IF(AND(Milestones!$AB$78="FT",Milestones!$AA$78=FT_Y5,EDATE($D94,Milestones!$AA$78)&lt;PolicyEff),1,Milestones!$AC$78)&amp;";  ","")&amp;IF(AND(EDATE($D94,Milestones!$AA$79)&lt;=AsOfDate,EDATE($D94,Milestones!$AA$79)&gt;=SchemeStart,IF($X94=0,$AD94,IF(AND($Z94&lt;&gt;"",EDATE($D94,Milestones!$AA$79)&gt;=$Z94),$AC94,IF(AND($Y94&lt;&gt;"",EDATE($D94,Milestones!$AA$79)&gt;=$Y94),$AB94,$AA94)))=Milestones!$AB$79),UPPER(TEXT(EDATE($D94,Milestones!$AA$79),"dd mmm yy"))&amp;" "&amp;Milestones!$AB$79&amp;" "&amp;IF(AND(Milestones!$AB$79="FT",Milestones!$AA$79=FT_Y5,EDATE($D94,Milestones!$AA$79)&lt;PolicyEff),1,Milestones!$AC$79)&amp;";  ",""))</f>
        <v/>
      </c>
      <c r="N94" s="0" t="str">
        <f aca="false">IF(OR($A94="",$D94=""),"",IF(AND(EDATE($D94,Milestones!$AA$80)&lt;=AsOfDate,EDATE($D94,Milestones!$AA$80)&gt;=SchemeStart,IF($X94=0,$AD94,IF(AND($Z94&lt;&gt;"",EDATE($D94,Milestones!$AA$80)&gt;=$Z94),$AC94,IF(AND($Y94&lt;&gt;"",EDATE($D94,Milestones!$AA$80)&gt;=$Y94),$AB94,$AA94)))=Milestones!$AB$80),UPPER(TEXT(EDATE($D94,Milestones!$AA$80),"dd mmm yy"))&amp;" "&amp;Milestones!$AB$80&amp;" "&amp;IF(AND(Milestones!$AB$80="FT",Milestones!$AA$80=FT_Y5,EDATE($D94,Milestones!$AA$80)&lt;PolicyEff),1,Milestones!$AC$80)&amp;";  ","")&amp;IF(AND(EDATE($D94,Milestones!$AA$81)&lt;=AsOfDate,EDATE($D94,Milestones!$AA$81)&gt;=SchemeStart,IF($X94=0,$AD94,IF(AND($Z94&lt;&gt;"",EDATE($D94,Milestones!$AA$81)&gt;=$Z94),$AC94,IF(AND($Y94&lt;&gt;"",EDATE($D94,Milestones!$AA$81)&gt;=$Y94),$AB94,$AA94)))=Milestones!$AB$81),UPPER(TEXT(EDATE($D94,Milestones!$AA$81),"dd mmm yy"))&amp;" "&amp;Milestones!$AB$81&amp;" "&amp;IF(AND(Milestones!$AB$81="FT",Milestones!$AA$81=FT_Y5,EDATE($D94,Milestones!$AA$81)&lt;PolicyEff),1,Milestones!$AC$81)&amp;";  ","")&amp;IF(AND(EDATE($D94,Milestones!$AA$82)&lt;=AsOfDate,EDATE($D94,Milestones!$AA$82)&gt;=SchemeStart,IF($X94=0,$AD94,IF(AND($Z94&lt;&gt;"",EDATE($D94,Milestones!$AA$82)&gt;=$Z94),$AC94,IF(AND($Y94&lt;&gt;"",EDATE($D94,Milestones!$AA$82)&gt;=$Y94),$AB94,$AA94)))=Milestones!$AB$82),UPPER(TEXT(EDATE($D94,Milestones!$AA$82),"dd mmm yy"))&amp;" "&amp;Milestones!$AB$82&amp;" "&amp;IF(AND(Milestones!$AB$82="FT",Milestones!$AA$82=FT_Y5,EDATE($D94,Milestones!$AA$82)&lt;PolicyEff),1,Milestones!$AC$82)&amp;";  ","")&amp;IF(AND(EDATE($D94,Milestones!$AA$83)&lt;=AsOfDate,EDATE($D94,Milestones!$AA$83)&gt;=SchemeStart,IF($X94=0,$AD94,IF(AND($Z94&lt;&gt;"",EDATE($D94,Milestones!$AA$83)&gt;=$Z94),$AC94,IF(AND($Y94&lt;&gt;"",EDATE($D94,Milestones!$AA$83)&gt;=$Y94),$AB94,$AA94)))=Milestones!$AB$83),UPPER(TEXT(EDATE($D94,Milestones!$AA$83),"dd mmm yy"))&amp;" "&amp;Milestones!$AB$83&amp;" "&amp;IF(AND(Milestones!$AB$83="FT",Milestones!$AA$83=FT_Y5,EDATE($D94,Milestones!$AA$83)&lt;PolicyEff),1,Milestones!$AC$83)&amp;";  ","")&amp;IF(AND(EDATE($D94,Milestones!$AA$84)&lt;=AsOfDate,EDATE($D94,Milestones!$AA$84)&gt;=SchemeStart,IF($X94=0,$AD94,IF(AND($Z94&lt;&gt;"",EDATE($D94,Milestones!$AA$84)&gt;=$Z94),$AC94,IF(AND($Y94&lt;&gt;"",EDATE($D94,Milestones!$AA$84)&gt;=$Y94),$AB94,$AA94)))=Milestones!$AB$84),UPPER(TEXT(EDATE($D94,Milestones!$AA$84),"dd mmm yy"))&amp;" "&amp;Milestones!$AB$84&amp;" "&amp;IF(AND(Milestones!$AB$84="FT",Milestones!$AA$84=FT_Y5,EDATE($D94,Milestones!$AA$84)&lt;PolicyEff),1,Milestones!$AC$84)&amp;";  ","")&amp;IF(AND(EDATE($D94,Milestones!$AA$85)&lt;=AsOfDate,EDATE($D94,Milestones!$AA$85)&gt;=SchemeStart,IF($X94=0,$AD94,IF(AND($Z94&lt;&gt;"",EDATE($D94,Milestones!$AA$85)&gt;=$Z94),$AC94,IF(AND($Y94&lt;&gt;"",EDATE($D94,Milestones!$AA$85)&gt;=$Y94),$AB94,$AA94)))=Milestones!$AB$85),UPPER(TEXT(EDATE($D94,Milestones!$AA$85),"dd mmm yy"))&amp;" "&amp;Milestones!$AB$85&amp;" "&amp;IF(AND(Milestones!$AB$85="FT",Milestones!$AA$85=FT_Y5,EDATE($D94,Milestones!$AA$85)&lt;PolicyEff),1,Milestones!$AC$85)&amp;";  ","")&amp;IF(AND(EDATE($D94,Milestones!$AA$86)&lt;=AsOfDate,EDATE($D94,Milestones!$AA$86)&gt;=SchemeStart,IF($X94=0,$AD94,IF(AND($Z94&lt;&gt;"",EDATE($D94,Milestones!$AA$86)&gt;=$Z94),$AC94,IF(AND($Y94&lt;&gt;"",EDATE($D94,Milestones!$AA$86)&gt;=$Y94),$AB94,$AA94)))=Milestones!$AB$86),UPPER(TEXT(EDATE($D94,Milestones!$AA$86),"dd mmm yy"))&amp;" "&amp;Milestones!$AB$86&amp;" "&amp;IF(AND(Milestones!$AB$86="FT",Milestones!$AA$86=FT_Y5,EDATE($D94,Milestones!$AA$86)&lt;PolicyEff),1,Milestones!$AC$86)&amp;";  ","")&amp;IF(AND(EDATE($D94,Milestones!$AA$87)&lt;=AsOfDate,EDATE($D94,Milestones!$AA$87)&gt;=SchemeStart,IF($X94=0,$AD94,IF(AND($Z94&lt;&gt;"",EDATE($D94,Milestones!$AA$87)&gt;=$Z94),$AC94,IF(AND($Y94&lt;&gt;"",EDATE($D94,Milestones!$AA$87)&gt;=$Y94),$AB94,$AA94)))=Milestones!$AB$87),UPPER(TEXT(EDATE($D94,Milestones!$AA$87),"dd mmm yy"))&amp;" "&amp;Milestones!$AB$87&amp;" "&amp;IF(AND(Milestones!$AB$87="FT",Milestones!$AA$87=FT_Y5,EDATE($D94,Milestones!$AA$87)&lt;PolicyEff),1,Milestones!$AC$87)&amp;";  ","")&amp;IF(AND(EDATE($D94,Milestones!$AA$88)&lt;=AsOfDate,EDATE($D94,Milestones!$AA$88)&gt;=SchemeStart,IF($X94=0,$AD94,IF(AND($Z94&lt;&gt;"",EDATE($D94,Milestones!$AA$88)&gt;=$Z94),$AC94,IF(AND($Y94&lt;&gt;"",EDATE($D94,Milestones!$AA$88)&gt;=$Y94),$AB94,$AA94)))=Milestones!$AB$88),UPPER(TEXT(EDATE($D94,Milestones!$AA$88),"dd mmm yy"))&amp;" "&amp;Milestones!$AB$88&amp;" "&amp;IF(AND(Milestones!$AB$88="FT",Milestones!$AA$88=FT_Y5,EDATE($D94,Milestones!$AA$88)&lt;PolicyEff),1,Milestones!$AC$88)&amp;";  ","")&amp;IF(AND(EDATE($D94,Milestones!$AA$89)&lt;=AsOfDate,EDATE($D94,Milestones!$AA$89)&gt;=SchemeStart,IF($X94=0,$AD94,IF(AND($Z94&lt;&gt;"",EDATE($D94,Milestones!$AA$89)&gt;=$Z94),$AC94,IF(AND($Y94&lt;&gt;"",EDATE($D94,Milestones!$AA$89)&gt;=$Y94),$AB94,$AA94)))=Milestones!$AB$89),UPPER(TEXT(EDATE($D94,Milestones!$AA$89),"dd mmm yy"))&amp;" "&amp;Milestones!$AB$89&amp;" "&amp;IF(AND(Milestones!$AB$89="FT",Milestones!$AA$89=FT_Y5,EDATE($D94,Milestones!$AA$89)&lt;PolicyEff),1,Milestones!$AC$89)&amp;";  ","")&amp;IF(AND(EDATE($D94,Milestones!$AA$90)&lt;=AsOfDate,EDATE($D94,Milestones!$AA$90)&gt;=SchemeStart,IF($X94=0,$AD94,IF(AND($Z94&lt;&gt;"",EDATE($D94,Milestones!$AA$90)&gt;=$Z94),$AC94,IF(AND($Y94&lt;&gt;"",EDATE($D94,Milestones!$AA$90)&gt;=$Y94),$AB94,$AA94)))=Milestones!$AB$90),UPPER(TEXT(EDATE($D94,Milestones!$AA$90),"dd mmm yy"))&amp;" "&amp;Milestones!$AB$90&amp;" "&amp;IF(AND(Milestones!$AB$90="FT",Milestones!$AA$90=FT_Y5,EDATE($D94,Milestones!$AA$90)&lt;PolicyEff),1,Milestones!$AC$90)&amp;";  ","")&amp;IF(AND(EDATE($D94,Milestones!$AA$91)&lt;=AsOfDate,EDATE($D94,Milestones!$AA$91)&gt;=SchemeStart,IF($X94=0,$AD94,IF(AND($Z94&lt;&gt;"",EDATE($D94,Milestones!$AA$91)&gt;=$Z94),$AC94,IF(AND($Y94&lt;&gt;"",EDATE($D94,Milestones!$AA$91)&gt;=$Y94),$AB94,$AA94)))=Milestones!$AB$91),UPPER(TEXT(EDATE($D94,Milestones!$AA$91),"dd mmm yy"))&amp;" "&amp;Milestones!$AB$91&amp;" "&amp;IF(AND(Milestones!$AB$91="FT",Milestones!$AA$91=FT_Y5,EDATE($D94,Milestones!$AA$91)&lt;PolicyEff),1,Milestones!$AC$91)&amp;";  ",""))</f>
        <v/>
      </c>
      <c r="O94" s="0" t="str">
        <f aca="false">IF(OR($A94="",$D94=""),"",IF(AND(EDATE($D94,Milestones!$AA$92)&lt;=AsOfDate,EDATE($D94,Milestones!$AA$92)&gt;=SchemeStart,IF($X94=0,$AD94,IF(AND($Z94&lt;&gt;"",EDATE($D94,Milestones!$AA$92)&gt;=$Z94),$AC94,IF(AND($Y94&lt;&gt;"",EDATE($D94,Milestones!$AA$92)&gt;=$Y94),$AB94,$AA94)))=Milestones!$AB$92),UPPER(TEXT(EDATE($D94,Milestones!$AA$92),"dd mmm yy"))&amp;" "&amp;Milestones!$AB$92&amp;" "&amp;IF(AND(Milestones!$AB$92="FT",Milestones!$AA$92=FT_Y5,EDATE($D94,Milestones!$AA$92)&lt;PolicyEff),1,Milestones!$AC$92)&amp;";  ","")&amp;IF(AND(EDATE($D94,Milestones!$AA$93)&lt;=AsOfDate,EDATE($D94,Milestones!$AA$93)&gt;=SchemeStart,IF($X94=0,$AD94,IF(AND($Z94&lt;&gt;"",EDATE($D94,Milestones!$AA$93)&gt;=$Z94),$AC94,IF(AND($Y94&lt;&gt;"",EDATE($D94,Milestones!$AA$93)&gt;=$Y94),$AB94,$AA94)))=Milestones!$AB$93),UPPER(TEXT(EDATE($D94,Milestones!$AA$93),"dd mmm yy"))&amp;" "&amp;Milestones!$AB$93&amp;" "&amp;IF(AND(Milestones!$AB$93="FT",Milestones!$AA$93=FT_Y5,EDATE($D94,Milestones!$AA$93)&lt;PolicyEff),1,Milestones!$AC$93)&amp;";  ","")&amp;IF(AND(EDATE($D94,Milestones!$AA$94)&lt;=AsOfDate,EDATE($D94,Milestones!$AA$94)&gt;=SchemeStart,IF($X94=0,$AD94,IF(AND($Z94&lt;&gt;"",EDATE($D94,Milestones!$AA$94)&gt;=$Z94),$AC94,IF(AND($Y94&lt;&gt;"",EDATE($D94,Milestones!$AA$94)&gt;=$Y94),$AB94,$AA94)))=Milestones!$AB$94),UPPER(TEXT(EDATE($D94,Milestones!$AA$94),"dd mmm yy"))&amp;" "&amp;Milestones!$AB$94&amp;" "&amp;IF(AND(Milestones!$AB$94="FT",Milestones!$AA$94=FT_Y5,EDATE($D94,Milestones!$AA$94)&lt;PolicyEff),1,Milestones!$AC$94)&amp;";  ","")&amp;IF(AND(EDATE($D94,Milestones!$AA$95)&lt;=AsOfDate,EDATE($D94,Milestones!$AA$95)&gt;=SchemeStart,IF($X94=0,$AD94,IF(AND($Z94&lt;&gt;"",EDATE($D94,Milestones!$AA$95)&gt;=$Z94),$AC94,IF(AND($Y94&lt;&gt;"",EDATE($D94,Milestones!$AA$95)&gt;=$Y94),$AB94,$AA94)))=Milestones!$AB$95),UPPER(TEXT(EDATE($D94,Milestones!$AA$95),"dd mmm yy"))&amp;" "&amp;Milestones!$AB$95&amp;" "&amp;IF(AND(Milestones!$AB$95="FT",Milestones!$AA$95=FT_Y5,EDATE($D94,Milestones!$AA$95)&lt;PolicyEff),1,Milestones!$AC$95)&amp;";  ","")&amp;IF(AND(EDATE($D94,Milestones!$AA$96)&lt;=AsOfDate,EDATE($D94,Milestones!$AA$96)&gt;=SchemeStart,IF($X94=0,$AD94,IF(AND($Z94&lt;&gt;"",EDATE($D94,Milestones!$AA$96)&gt;=$Z94),$AC94,IF(AND($Y94&lt;&gt;"",EDATE($D94,Milestones!$AA$96)&gt;=$Y94),$AB94,$AA94)))=Milestones!$AB$96),UPPER(TEXT(EDATE($D94,Milestones!$AA$96),"dd mmm yy"))&amp;" "&amp;Milestones!$AB$96&amp;" "&amp;IF(AND(Milestones!$AB$96="FT",Milestones!$AA$96=FT_Y5,EDATE($D94,Milestones!$AA$96)&lt;PolicyEff),1,Milestones!$AC$96)&amp;";  ","")&amp;IF(AND(EDATE($D94,Milestones!$AA$97)&lt;=AsOfDate,EDATE($D94,Milestones!$AA$97)&gt;=SchemeStart,IF($X94=0,$AD94,IF(AND($Z94&lt;&gt;"",EDATE($D94,Milestones!$AA$97)&gt;=$Z94),$AC94,IF(AND($Y94&lt;&gt;"",EDATE($D94,Milestones!$AA$97)&gt;=$Y94),$AB94,$AA94)))=Milestones!$AB$97),UPPER(TEXT(EDATE($D94,Milestones!$AA$97),"dd mmm yy"))&amp;" "&amp;Milestones!$AB$97&amp;" "&amp;IF(AND(Milestones!$AB$97="FT",Milestones!$AA$97=FT_Y5,EDATE($D94,Milestones!$AA$97)&lt;PolicyEff),1,Milestones!$AC$97)&amp;";  ","")&amp;IF(AND(EDATE($D94,Milestones!$AA$98)&lt;=AsOfDate,EDATE($D94,Milestones!$AA$98)&gt;=SchemeStart,IF($X94=0,$AD94,IF(AND($Z94&lt;&gt;"",EDATE($D94,Milestones!$AA$98)&gt;=$Z94),$AC94,IF(AND($Y94&lt;&gt;"",EDATE($D94,Milestones!$AA$98)&gt;=$Y94),$AB94,$AA94)))=Milestones!$AB$98),UPPER(TEXT(EDATE($D94,Milestones!$AA$98),"dd mmm yy"))&amp;" "&amp;Milestones!$AB$98&amp;" "&amp;IF(AND(Milestones!$AB$98="FT",Milestones!$AA$98=FT_Y5,EDATE($D94,Milestones!$AA$98)&lt;PolicyEff),1,Milestones!$AC$98)&amp;";  ","")&amp;IF(AND(EDATE($D94,Milestones!$AA$99)&lt;=AsOfDate,EDATE($D94,Milestones!$AA$99)&gt;=SchemeStart,IF($X94=0,$AD94,IF(AND($Z94&lt;&gt;"",EDATE($D94,Milestones!$AA$99)&gt;=$Z94),$AC94,IF(AND($Y94&lt;&gt;"",EDATE($D94,Milestones!$AA$99)&gt;=$Y94),$AB94,$AA94)))=Milestones!$AB$99),UPPER(TEXT(EDATE($D94,Milestones!$AA$99),"dd mmm yy"))&amp;" "&amp;Milestones!$AB$99&amp;" "&amp;IF(AND(Milestones!$AB$99="FT",Milestones!$AA$99=FT_Y5,EDATE($D94,Milestones!$AA$99)&lt;PolicyEff),1,Milestones!$AC$99)&amp;";  ","")&amp;IF(AND(EDATE($D94,Milestones!$AA$100)&lt;=AsOfDate,EDATE($D94,Milestones!$AA$100)&gt;=SchemeStart,IF($X94=0,$AD94,IF(AND($Z94&lt;&gt;"",EDATE($D94,Milestones!$AA$100)&gt;=$Z94),$AC94,IF(AND($Y94&lt;&gt;"",EDATE($D94,Milestones!$AA$100)&gt;=$Y94),$AB94,$AA94)))=Milestones!$AB$100),UPPER(TEXT(EDATE($D94,Milestones!$AA$100),"dd mmm yy"))&amp;" "&amp;Milestones!$AB$100&amp;" "&amp;IF(AND(Milestones!$AB$100="FT",Milestones!$AA$100=FT_Y5,EDATE($D94,Milestones!$AA$100)&lt;PolicyEff),1,Milestones!$AC$100)&amp;";  ","")&amp;IF(AND(EDATE($D94,Milestones!$AA$101)&lt;=AsOfDate,EDATE($D94,Milestones!$AA$101)&gt;=SchemeStart,IF($X94=0,$AD94,IF(AND($Z94&lt;&gt;"",EDATE($D94,Milestones!$AA$101)&gt;=$Z94),$AC94,IF(AND($Y94&lt;&gt;"",EDATE($D94,Milestones!$AA$101)&gt;=$Y94),$AB94,$AA94)))=Milestones!$AB$101),UPPER(TEXT(EDATE($D94,Milestones!$AA$101),"dd mmm yy"))&amp;" "&amp;Milestones!$AB$101&amp;" "&amp;IF(AND(Milestones!$AB$101="FT",Milestones!$AA$101=FT_Y5,EDATE($D94,Milestones!$AA$101)&lt;PolicyEff),1,Milestones!$AC$101)&amp;";  ","")&amp;IF(AND(EDATE($D94,Milestones!$AA$102)&lt;=AsOfDate,EDATE($D94,Milestones!$AA$102)&gt;=SchemeStart,IF($X94=0,$AD94,IF(AND($Z94&lt;&gt;"",EDATE($D94,Milestones!$AA$102)&gt;=$Z94),$AC94,IF(AND($Y94&lt;&gt;"",EDATE($D94,Milestones!$AA$102)&gt;=$Y94),$AB94,$AA94)))=Milestones!$AB$102),UPPER(TEXT(EDATE($D94,Milestones!$AA$102),"dd mmm yy"))&amp;" "&amp;Milestones!$AB$102&amp;" "&amp;IF(AND(Milestones!$AB$102="FT",Milestones!$AA$102=FT_Y5,EDATE($D94,Milestones!$AA$102)&lt;PolicyEff),1,Milestones!$AC$102)&amp;";  ","")&amp;IF(AND(EDATE($D94,Milestones!$AA$103)&lt;=AsOfDate,EDATE($D94,Milestones!$AA$103)&gt;=SchemeStart,IF($X94=0,$AD94,IF(AND($Z94&lt;&gt;"",EDATE($D94,Milestones!$AA$103)&gt;=$Z94),$AC94,IF(AND($Y94&lt;&gt;"",EDATE($D94,Milestones!$AA$103)&gt;=$Y94),$AB94,$AA94)))=Milestones!$AB$103),UPPER(TEXT(EDATE($D94,Milestones!$AA$103),"dd mmm yy"))&amp;" "&amp;Milestones!$AB$103&amp;" "&amp;IF(AND(Milestones!$AB$103="FT",Milestones!$AA$103=FT_Y5,EDATE($D94,Milestones!$AA$103)&lt;PolicyEff),1,Milestones!$AC$103)&amp;";  ",""))</f>
        <v/>
      </c>
      <c r="P94" s="0" t="str">
        <f aca="false">IF(OR($A94="",$D94=""),"",IF(AND(EDATE($D94,Milestones!$AA$104)&lt;=AsOfDate,EDATE($D94,Milestones!$AA$104)&gt;=SchemeStart,IF($X94=0,$AD94,IF(AND($Z94&lt;&gt;"",EDATE($D94,Milestones!$AA$104)&gt;=$Z94),$AC94,IF(AND($Y94&lt;&gt;"",EDATE($D94,Milestones!$AA$104)&gt;=$Y94),$AB94,$AA94)))=Milestones!$AB$104),UPPER(TEXT(EDATE($D94,Milestones!$AA$104),"dd mmm yy"))&amp;" "&amp;Milestones!$AB$104&amp;" "&amp;IF(AND(Milestones!$AB$104="FT",Milestones!$AA$104=FT_Y5,EDATE($D94,Milestones!$AA$104)&lt;PolicyEff),1,Milestones!$AC$104)&amp;";  ","")&amp;IF(AND(EDATE($D94,Milestones!$AA$105)&lt;=AsOfDate,EDATE($D94,Milestones!$AA$105)&gt;=SchemeStart,IF($X94=0,$AD94,IF(AND($Z94&lt;&gt;"",EDATE($D94,Milestones!$AA$105)&gt;=$Z94),$AC94,IF(AND($Y94&lt;&gt;"",EDATE($D94,Milestones!$AA$105)&gt;=$Y94),$AB94,$AA94)))=Milestones!$AB$105),UPPER(TEXT(EDATE($D94,Milestones!$AA$105),"dd mmm yy"))&amp;" "&amp;Milestones!$AB$105&amp;" "&amp;IF(AND(Milestones!$AB$105="FT",Milestones!$AA$105=FT_Y5,EDATE($D94,Milestones!$AA$105)&lt;PolicyEff),1,Milestones!$AC$105)&amp;";  ","")&amp;IF(AND(EDATE($D94,Milestones!$AA$106)&lt;=AsOfDate,EDATE($D94,Milestones!$AA$106)&gt;=SchemeStart,IF($X94=0,$AD94,IF(AND($Z94&lt;&gt;"",EDATE($D94,Milestones!$AA$106)&gt;=$Z94),$AC94,IF(AND($Y94&lt;&gt;"",EDATE($D94,Milestones!$AA$106)&gt;=$Y94),$AB94,$AA94)))=Milestones!$AB$106),UPPER(TEXT(EDATE($D94,Milestones!$AA$106),"dd mmm yy"))&amp;" "&amp;Milestones!$AB$106&amp;" "&amp;IF(AND(Milestones!$AB$106="FT",Milestones!$AA$106=FT_Y5,EDATE($D94,Milestones!$AA$106)&lt;PolicyEff),1,Milestones!$AC$106)&amp;";  ","")&amp;IF(AND(EDATE($D94,Milestones!$AA$107)&lt;=AsOfDate,EDATE($D94,Milestones!$AA$107)&gt;=SchemeStart,IF($X94=0,$AD94,IF(AND($Z94&lt;&gt;"",EDATE($D94,Milestones!$AA$107)&gt;=$Z94),$AC94,IF(AND($Y94&lt;&gt;"",EDATE($D94,Milestones!$AA$107)&gt;=$Y94),$AB94,$AA94)))=Milestones!$AB$107),UPPER(TEXT(EDATE($D94,Milestones!$AA$107),"dd mmm yy"))&amp;" "&amp;Milestones!$AB$107&amp;" "&amp;IF(AND(Milestones!$AB$107="FT",Milestones!$AA$107=FT_Y5,EDATE($D94,Milestones!$AA$107)&lt;PolicyEff),1,Milestones!$AC$107)&amp;";  ","")&amp;IF(AND(EDATE($D94,Milestones!$AA$108)&lt;=AsOfDate,EDATE($D94,Milestones!$AA$108)&gt;=SchemeStart,IF($X94=0,$AD94,IF(AND($Z94&lt;&gt;"",EDATE($D94,Milestones!$AA$108)&gt;=$Z94),$AC94,IF(AND($Y94&lt;&gt;"",EDATE($D94,Milestones!$AA$108)&gt;=$Y94),$AB94,$AA94)))=Milestones!$AB$108),UPPER(TEXT(EDATE($D94,Milestones!$AA$108),"dd mmm yy"))&amp;" "&amp;Milestones!$AB$108&amp;" "&amp;IF(AND(Milestones!$AB$108="FT",Milestones!$AA$108=FT_Y5,EDATE($D94,Milestones!$AA$108)&lt;PolicyEff),1,Milestones!$AC$108)&amp;";  ","")&amp;IF(AND(EDATE($D94,Milestones!$AA$109)&lt;=AsOfDate,EDATE($D94,Milestones!$AA$109)&gt;=SchemeStart,IF($X94=0,$AD94,IF(AND($Z94&lt;&gt;"",EDATE($D94,Milestones!$AA$109)&gt;=$Z94),$AC94,IF(AND($Y94&lt;&gt;"",EDATE($D94,Milestones!$AA$109)&gt;=$Y94),$AB94,$AA94)))=Milestones!$AB$109),UPPER(TEXT(EDATE($D94,Milestones!$AA$109),"dd mmm yy"))&amp;" "&amp;Milestones!$AB$109&amp;" "&amp;IF(AND(Milestones!$AB$109="FT",Milestones!$AA$109=FT_Y5,EDATE($D94,Milestones!$AA$109)&lt;PolicyEff),1,Milestones!$AC$109)&amp;";  ","")&amp;IF(AND(EDATE($D94,Milestones!$AA$110)&lt;=AsOfDate,EDATE($D94,Milestones!$AA$110)&gt;=SchemeStart,IF($X94=0,$AD94,IF(AND($Z94&lt;&gt;"",EDATE($D94,Milestones!$AA$110)&gt;=$Z94),$AC94,IF(AND($Y94&lt;&gt;"",EDATE($D94,Milestones!$AA$110)&gt;=$Y94),$AB94,$AA94)))=Milestones!$AB$110),UPPER(TEXT(EDATE($D94,Milestones!$AA$110),"dd mmm yy"))&amp;" "&amp;Milestones!$AB$110&amp;" "&amp;IF(AND(Milestones!$AB$110="FT",Milestones!$AA$110=FT_Y5,EDATE($D94,Milestones!$AA$110)&lt;PolicyEff),1,Milestones!$AC$110)&amp;";  ","")&amp;IF(AND(EDATE($D94,Milestones!$AA$111)&lt;=AsOfDate,EDATE($D94,Milestones!$AA$111)&gt;=SchemeStart,IF($X94=0,$AD94,IF(AND($Z94&lt;&gt;"",EDATE($D94,Milestones!$AA$111)&gt;=$Z94),$AC94,IF(AND($Y94&lt;&gt;"",EDATE($D94,Milestones!$AA$111)&gt;=$Y94),$AB94,$AA94)))=Milestones!$AB$111),UPPER(TEXT(EDATE($D94,Milestones!$AA$111),"dd mmm yy"))&amp;" "&amp;Milestones!$AB$111&amp;" "&amp;IF(AND(Milestones!$AB$111="FT",Milestones!$AA$111=FT_Y5,EDATE($D94,Milestones!$AA$111)&lt;PolicyEff),1,Milestones!$AC$111)&amp;";  ","")&amp;IF(AND(EDATE($D94,Milestones!$AA$112)&lt;=AsOfDate,EDATE($D94,Milestones!$AA$112)&gt;=SchemeStart,IF($X94=0,$AD94,IF(AND($Z94&lt;&gt;"",EDATE($D94,Milestones!$AA$112)&gt;=$Z94),$AC94,IF(AND($Y94&lt;&gt;"",EDATE($D94,Milestones!$AA$112)&gt;=$Y94),$AB94,$AA94)))=Milestones!$AB$112),UPPER(TEXT(EDATE($D94,Milestones!$AA$112),"dd mmm yy"))&amp;" "&amp;Milestones!$AB$112&amp;" "&amp;IF(AND(Milestones!$AB$112="FT",Milestones!$AA$112=FT_Y5,EDATE($D94,Milestones!$AA$112)&lt;PolicyEff),1,Milestones!$AC$112)&amp;";  ","")&amp;IF(AND(EDATE($D94,Milestones!$AA$113)&lt;=AsOfDate,EDATE($D94,Milestones!$AA$113)&gt;=SchemeStart,IF($X94=0,$AD94,IF(AND($Z94&lt;&gt;"",EDATE($D94,Milestones!$AA$113)&gt;=$Z94),$AC94,IF(AND($Y94&lt;&gt;"",EDATE($D94,Milestones!$AA$113)&gt;=$Y94),$AB94,$AA94)))=Milestones!$AB$113),UPPER(TEXT(EDATE($D94,Milestones!$AA$113),"dd mmm yy"))&amp;" "&amp;Milestones!$AB$113&amp;" "&amp;IF(AND(Milestones!$AB$113="FT",Milestones!$AA$113=FT_Y5,EDATE($D94,Milestones!$AA$113)&lt;PolicyEff),1,Milestones!$AC$113)&amp;";  ","")&amp;IF(AND(EDATE($D94,Milestones!$AA$114)&lt;=AsOfDate,EDATE($D94,Milestones!$AA$114)&gt;=SchemeStart,IF($X94=0,$AD94,IF(AND($Z94&lt;&gt;"",EDATE($D94,Milestones!$AA$114)&gt;=$Z94),$AC94,IF(AND($Y94&lt;&gt;"",EDATE($D94,Milestones!$AA$114)&gt;=$Y94),$AB94,$AA94)))=Milestones!$AB$114),UPPER(TEXT(EDATE($D94,Milestones!$AA$114),"dd mmm yy"))&amp;" "&amp;Milestones!$AB$114&amp;" "&amp;IF(AND(Milestones!$AB$114="FT",Milestones!$AA$114=FT_Y5,EDATE($D94,Milestones!$AA$114)&lt;PolicyEff),1,Milestones!$AC$114)&amp;";  ","")&amp;IF(AND(EDATE($D94,Milestones!$AA$115)&lt;=AsOfDate,EDATE($D94,Milestones!$AA$115)&gt;=SchemeStart,IF($X94=0,$AD94,IF(AND($Z94&lt;&gt;"",EDATE($D94,Milestones!$AA$115)&gt;=$Z94),$AC94,IF(AND($Y94&lt;&gt;"",EDATE($D94,Milestones!$AA$115)&gt;=$Y94),$AB94,$AA94)))=Milestones!$AB$115),UPPER(TEXT(EDATE($D94,Milestones!$AA$115),"dd mmm yy"))&amp;" "&amp;Milestones!$AB$115&amp;" "&amp;IF(AND(Milestones!$AB$115="FT",Milestones!$AA$115=FT_Y5,EDATE($D94,Milestones!$AA$115)&lt;PolicyEff),1,Milestones!$AC$115)&amp;";  ",""))</f>
        <v/>
      </c>
      <c r="Q94" s="0" t="str">
        <f aca="false">IF(OR($A94="",$D94=""),"",IF(AND(EDATE($D94,Milestones!$AA$116)&lt;=AsOfDate,EDATE($D94,Milestones!$AA$116)&gt;=SchemeStart,IF($X94=0,$AD94,IF(AND($Z94&lt;&gt;"",EDATE($D94,Milestones!$AA$116)&gt;=$Z94),$AC94,IF(AND($Y94&lt;&gt;"",EDATE($D94,Milestones!$AA$116)&gt;=$Y94),$AB94,$AA94)))=Milestones!$AB$116),UPPER(TEXT(EDATE($D94,Milestones!$AA$116),"dd mmm yy"))&amp;" "&amp;Milestones!$AB$116&amp;" "&amp;IF(AND(Milestones!$AB$116="FT",Milestones!$AA$116=FT_Y5,EDATE($D94,Milestones!$AA$116)&lt;PolicyEff),1,Milestones!$AC$116)&amp;";  ","")&amp;IF(AND(EDATE($D94,Milestones!$AA$117)&lt;=AsOfDate,EDATE($D94,Milestones!$AA$117)&gt;=SchemeStart,IF($X94=0,$AD94,IF(AND($Z94&lt;&gt;"",EDATE($D94,Milestones!$AA$117)&gt;=$Z94),$AC94,IF(AND($Y94&lt;&gt;"",EDATE($D94,Milestones!$AA$117)&gt;=$Y94),$AB94,$AA94)))=Milestones!$AB$117),UPPER(TEXT(EDATE($D94,Milestones!$AA$117),"dd mmm yy"))&amp;" "&amp;Milestones!$AB$117&amp;" "&amp;IF(AND(Milestones!$AB$117="FT",Milestones!$AA$117=FT_Y5,EDATE($D94,Milestones!$AA$117)&lt;PolicyEff),1,Milestones!$AC$117)&amp;";  ","")&amp;IF(AND(EDATE($D94,Milestones!$AA$118)&lt;=AsOfDate,EDATE($D94,Milestones!$AA$118)&gt;=SchemeStart,IF($X94=0,$AD94,IF(AND($Z94&lt;&gt;"",EDATE($D94,Milestones!$AA$118)&gt;=$Z94),$AC94,IF(AND($Y94&lt;&gt;"",EDATE($D94,Milestones!$AA$118)&gt;=$Y94),$AB94,$AA94)))=Milestones!$AB$118),UPPER(TEXT(EDATE($D94,Milestones!$AA$118),"dd mmm yy"))&amp;" "&amp;Milestones!$AB$118&amp;" "&amp;IF(AND(Milestones!$AB$118="FT",Milestones!$AA$118=FT_Y5,EDATE($D94,Milestones!$AA$118)&lt;PolicyEff),1,Milestones!$AC$118)&amp;";  ","")&amp;IF(AND(EDATE($D94,Milestones!$AA$119)&lt;=AsOfDate,EDATE($D94,Milestones!$AA$119)&gt;=SchemeStart,IF($X94=0,$AD94,IF(AND($Z94&lt;&gt;"",EDATE($D94,Milestones!$AA$119)&gt;=$Z94),$AC94,IF(AND($Y94&lt;&gt;"",EDATE($D94,Milestones!$AA$119)&gt;=$Y94),$AB94,$AA94)))=Milestones!$AB$119),UPPER(TEXT(EDATE($D94,Milestones!$AA$119),"dd mmm yy"))&amp;" "&amp;Milestones!$AB$119&amp;" "&amp;IF(AND(Milestones!$AB$119="FT",Milestones!$AA$119=FT_Y5,EDATE($D94,Milestones!$AA$119)&lt;PolicyEff),1,Milestones!$AC$119)&amp;";  ","")&amp;IF(AND(EDATE($D94,Milestones!$AA$120)&lt;=AsOfDate,EDATE($D94,Milestones!$AA$120)&gt;=SchemeStart,IF($X94=0,$AD94,IF(AND($Z94&lt;&gt;"",EDATE($D94,Milestones!$AA$120)&gt;=$Z94),$AC94,IF(AND($Y94&lt;&gt;"",EDATE($D94,Milestones!$AA$120)&gt;=$Y94),$AB94,$AA94)))=Milestones!$AB$120),UPPER(TEXT(EDATE($D94,Milestones!$AA$120),"dd mmm yy"))&amp;" "&amp;Milestones!$AB$120&amp;" "&amp;IF(AND(Milestones!$AB$120="FT",Milestones!$AA$120=FT_Y5,EDATE($D94,Milestones!$AA$120)&lt;PolicyEff),1,Milestones!$AC$120)&amp;";  ","")&amp;IF(AND(EDATE($D94,Milestones!$AA$121)&lt;=AsOfDate,EDATE($D94,Milestones!$AA$121)&gt;=SchemeStart,IF($X94=0,$AD94,IF(AND($Z94&lt;&gt;"",EDATE($D94,Milestones!$AA$121)&gt;=$Z94),$AC94,IF(AND($Y94&lt;&gt;"",EDATE($D94,Milestones!$AA$121)&gt;=$Y94),$AB94,$AA94)))=Milestones!$AB$121),UPPER(TEXT(EDATE($D94,Milestones!$AA$121),"dd mmm yy"))&amp;" "&amp;Milestones!$AB$121&amp;" "&amp;IF(AND(Milestones!$AB$121="FT",Milestones!$AA$121=FT_Y5,EDATE($D94,Milestones!$AA$121)&lt;PolicyEff),1,Milestones!$AC$121)&amp;";  ","")&amp;IF(AND(EDATE($D94,Milestones!$AA$122)&lt;=AsOfDate,EDATE($D94,Milestones!$AA$122)&gt;=SchemeStart,IF($X94=0,$AD94,IF(AND($Z94&lt;&gt;"",EDATE($D94,Milestones!$AA$122)&gt;=$Z94),$AC94,IF(AND($Y94&lt;&gt;"",EDATE($D94,Milestones!$AA$122)&gt;=$Y94),$AB94,$AA94)))=Milestones!$AB$122),UPPER(TEXT(EDATE($D94,Milestones!$AA$122),"dd mmm yy"))&amp;" "&amp;Milestones!$AB$122&amp;" "&amp;IF(AND(Milestones!$AB$122="FT",Milestones!$AA$122=FT_Y5,EDATE($D94,Milestones!$AA$122)&lt;PolicyEff),1,Milestones!$AC$122)&amp;";  ","")&amp;IF(AND(EDATE($D94,Milestones!$AA$123)&lt;=AsOfDate,EDATE($D94,Milestones!$AA$123)&gt;=SchemeStart,IF($X94=0,$AD94,IF(AND($Z94&lt;&gt;"",EDATE($D94,Milestones!$AA$123)&gt;=$Z94),$AC94,IF(AND($Y94&lt;&gt;"",EDATE($D94,Milestones!$AA$123)&gt;=$Y94),$AB94,$AA94)))=Milestones!$AB$123),UPPER(TEXT(EDATE($D94,Milestones!$AA$123),"dd mmm yy"))&amp;" "&amp;Milestones!$AB$123&amp;" "&amp;IF(AND(Milestones!$AB$123="FT",Milestones!$AA$123=FT_Y5,EDATE($D94,Milestones!$AA$123)&lt;PolicyEff),1,Milestones!$AC$123)&amp;";  ","")&amp;IF(AND(EDATE($D94,Milestones!$AA$124)&lt;=AsOfDate,EDATE($D94,Milestones!$AA$124)&gt;=SchemeStart,IF($X94=0,$AD94,IF(AND($Z94&lt;&gt;"",EDATE($D94,Milestones!$AA$124)&gt;=$Z94),$AC94,IF(AND($Y94&lt;&gt;"",EDATE($D94,Milestones!$AA$124)&gt;=$Y94),$AB94,$AA94)))=Milestones!$AB$124),UPPER(TEXT(EDATE($D94,Milestones!$AA$124),"dd mmm yy"))&amp;" "&amp;Milestones!$AB$124&amp;" "&amp;IF(AND(Milestones!$AB$124="FT",Milestones!$AA$124=FT_Y5,EDATE($D94,Milestones!$AA$124)&lt;PolicyEff),1,Milestones!$AC$124)&amp;";  ","")&amp;IF(AND(EDATE($D94,Milestones!$AA$125)&lt;=AsOfDate,EDATE($D94,Milestones!$AA$125)&gt;=SchemeStart,IF($X94=0,$AD94,IF(AND($Z94&lt;&gt;"",EDATE($D94,Milestones!$AA$125)&gt;=$Z94),$AC94,IF(AND($Y94&lt;&gt;"",EDATE($D94,Milestones!$AA$125)&gt;=$Y94),$AB94,$AA94)))=Milestones!$AB$125),UPPER(TEXT(EDATE($D94,Milestones!$AA$125),"dd mmm yy"))&amp;" "&amp;Milestones!$AB$125&amp;" "&amp;IF(AND(Milestones!$AB$125="FT",Milestones!$AA$125=FT_Y5,EDATE($D94,Milestones!$AA$125)&lt;PolicyEff),1,Milestones!$AC$125)&amp;";  ","")&amp;IF(AND(EDATE($D94,Milestones!$AA$126)&lt;=AsOfDate,EDATE($D94,Milestones!$AA$126)&gt;=SchemeStart,IF($X94=0,$AD94,IF(AND($Z94&lt;&gt;"",EDATE($D94,Milestones!$AA$126)&gt;=$Z94),$AC94,IF(AND($Y94&lt;&gt;"",EDATE($D94,Milestones!$AA$126)&gt;=$Y94),$AB94,$AA94)))=Milestones!$AB$126),UPPER(TEXT(EDATE($D94,Milestones!$AA$126),"dd mmm yy"))&amp;" "&amp;Milestones!$AB$126&amp;" "&amp;IF(AND(Milestones!$AB$126="FT",Milestones!$AA$126=FT_Y5,EDATE($D94,Milestones!$AA$126)&lt;PolicyEff),1,Milestones!$AC$126)&amp;";  ","")&amp;IF(AND(EDATE($D94,Milestones!$AA$127)&lt;=AsOfDate,EDATE($D94,Milestones!$AA$127)&gt;=SchemeStart,IF($X94=0,$AD94,IF(AND($Z94&lt;&gt;"",EDATE($D94,Milestones!$AA$127)&gt;=$Z94),$AC94,IF(AND($Y94&lt;&gt;"",EDATE($D94,Milestones!$AA$127)&gt;=$Y94),$AB94,$AA94)))=Milestones!$AB$127),UPPER(TEXT(EDATE($D94,Milestones!$AA$127),"dd mmm yy"))&amp;" "&amp;Milestones!$AB$127&amp;" "&amp;IF(AND(Milestones!$AB$127="FT",Milestones!$AA$127=FT_Y5,EDATE($D94,Milestones!$AA$127)&lt;PolicyEff),1,Milestones!$AC$127)&amp;";  ",""))</f>
        <v/>
      </c>
      <c r="R94" s="0" t="str">
        <f aca="false">IF(OR($A94="",$D94=""),"",IF(AND(EDATE($D94,Milestones!$AA$128)&lt;=AsOfDate,EDATE($D94,Milestones!$AA$128)&gt;=SchemeStart,IF($X94=0,$AD94,IF(AND($Z94&lt;&gt;"",EDATE($D94,Milestones!$AA$128)&gt;=$Z94),$AC94,IF(AND($Y94&lt;&gt;"",EDATE($D94,Milestones!$AA$128)&gt;=$Y94),$AB94,$AA94)))=Milestones!$AB$128),UPPER(TEXT(EDATE($D94,Milestones!$AA$128),"dd mmm yy"))&amp;" "&amp;Milestones!$AB$128&amp;" "&amp;IF(AND(Milestones!$AB$128="FT",Milestones!$AA$128=FT_Y5,EDATE($D94,Milestones!$AA$128)&lt;PolicyEff),1,Milestones!$AC$128)&amp;";  ","")&amp;IF(AND(EDATE($D94,Milestones!$AA$129)&lt;=AsOfDate,EDATE($D94,Milestones!$AA$129)&gt;=SchemeStart,IF($X94=0,$AD94,IF(AND($Z94&lt;&gt;"",EDATE($D94,Milestones!$AA$129)&gt;=$Z94),$AC94,IF(AND($Y94&lt;&gt;"",EDATE($D94,Milestones!$AA$129)&gt;=$Y94),$AB94,$AA94)))=Milestones!$AB$129),UPPER(TEXT(EDATE($D94,Milestones!$AA$129),"dd mmm yy"))&amp;" "&amp;Milestones!$AB$129&amp;" "&amp;IF(AND(Milestones!$AB$129="FT",Milestones!$AA$129=FT_Y5,EDATE($D94,Milestones!$AA$129)&lt;PolicyEff),1,Milestones!$AC$129)&amp;";  ","")&amp;IF(AND(EDATE($D94,Milestones!$AA$130)&lt;=AsOfDate,EDATE($D94,Milestones!$AA$130)&gt;=SchemeStart,IF($X94=0,$AD94,IF(AND($Z94&lt;&gt;"",EDATE($D94,Milestones!$AA$130)&gt;=$Z94),$AC94,IF(AND($Y94&lt;&gt;"",EDATE($D94,Milestones!$AA$130)&gt;=$Y94),$AB94,$AA94)))=Milestones!$AB$130),UPPER(TEXT(EDATE($D94,Milestones!$AA$130),"dd mmm yy"))&amp;" "&amp;Milestones!$AB$130&amp;" "&amp;IF(AND(Milestones!$AB$130="FT",Milestones!$AA$130=FT_Y5,EDATE($D94,Milestones!$AA$130)&lt;PolicyEff),1,Milestones!$AC$130)&amp;";  ","")&amp;IF(AND(EDATE($D94,Milestones!$AA$131)&lt;=AsOfDate,EDATE($D94,Milestones!$AA$131)&gt;=SchemeStart,IF($X94=0,$AD94,IF(AND($Z94&lt;&gt;"",EDATE($D94,Milestones!$AA$131)&gt;=$Z94),$AC94,IF(AND($Y94&lt;&gt;"",EDATE($D94,Milestones!$AA$131)&gt;=$Y94),$AB94,$AA94)))=Milestones!$AB$131),UPPER(TEXT(EDATE($D94,Milestones!$AA$131),"dd mmm yy"))&amp;" "&amp;Milestones!$AB$131&amp;" "&amp;IF(AND(Milestones!$AB$131="FT",Milestones!$AA$131=FT_Y5,EDATE($D94,Milestones!$AA$131)&lt;PolicyEff),1,Milestones!$AC$131)&amp;";  ","")&amp;IF(AND(EDATE($D94,Milestones!$AA$132)&lt;=AsOfDate,EDATE($D94,Milestones!$AA$132)&gt;=SchemeStart,IF($X94=0,$AD94,IF(AND($Z94&lt;&gt;"",EDATE($D94,Milestones!$AA$132)&gt;=$Z94),$AC94,IF(AND($Y94&lt;&gt;"",EDATE($D94,Milestones!$AA$132)&gt;=$Y94),$AB94,$AA94)))=Milestones!$AB$132),UPPER(TEXT(EDATE($D94,Milestones!$AA$132),"dd mmm yy"))&amp;" "&amp;Milestones!$AB$132&amp;" "&amp;IF(AND(Milestones!$AB$132="FT",Milestones!$AA$132=FT_Y5,EDATE($D94,Milestones!$AA$132)&lt;PolicyEff),1,Milestones!$AC$132)&amp;";  ","")&amp;IF(AND(EDATE($D94,Milestones!$AA$133)&lt;=AsOfDate,EDATE($D94,Milestones!$AA$133)&gt;=SchemeStart,IF($X94=0,$AD94,IF(AND($Z94&lt;&gt;"",EDATE($D94,Milestones!$AA$133)&gt;=$Z94),$AC94,IF(AND($Y94&lt;&gt;"",EDATE($D94,Milestones!$AA$133)&gt;=$Y94),$AB94,$AA94)))=Milestones!$AB$133),UPPER(TEXT(EDATE($D94,Milestones!$AA$133),"dd mmm yy"))&amp;" "&amp;Milestones!$AB$133&amp;" "&amp;IF(AND(Milestones!$AB$133="FT",Milestones!$AA$133=FT_Y5,EDATE($D94,Milestones!$AA$133)&lt;PolicyEff),1,Milestones!$AC$133)&amp;";  ","")&amp;IF(AND(EDATE($D94,Milestones!$AA$134)&lt;=AsOfDate,EDATE($D94,Milestones!$AA$134)&gt;=SchemeStart,IF($X94=0,$AD94,IF(AND($Z94&lt;&gt;"",EDATE($D94,Milestones!$AA$134)&gt;=$Z94),$AC94,IF(AND($Y94&lt;&gt;"",EDATE($D94,Milestones!$AA$134)&gt;=$Y94),$AB94,$AA94)))=Milestones!$AB$134),UPPER(TEXT(EDATE($D94,Milestones!$AA$134),"dd mmm yy"))&amp;" "&amp;Milestones!$AB$134&amp;" "&amp;IF(AND(Milestones!$AB$134="FT",Milestones!$AA$134=FT_Y5,EDATE($D94,Milestones!$AA$134)&lt;PolicyEff),1,Milestones!$AC$134)&amp;";  ","")&amp;IF(AND(EDATE($D94,Milestones!$AA$135)&lt;=AsOfDate,EDATE($D94,Milestones!$AA$135)&gt;=SchemeStart,IF($X94=0,$AD94,IF(AND($Z94&lt;&gt;"",EDATE($D94,Milestones!$AA$135)&gt;=$Z94),$AC94,IF(AND($Y94&lt;&gt;"",EDATE($D94,Milestones!$AA$135)&gt;=$Y94),$AB94,$AA94)))=Milestones!$AB$135),UPPER(TEXT(EDATE($D94,Milestones!$AA$135),"dd mmm yy"))&amp;" "&amp;Milestones!$AB$135&amp;" "&amp;IF(AND(Milestones!$AB$135="FT",Milestones!$AA$135=FT_Y5,EDATE($D94,Milestones!$AA$135)&lt;PolicyEff),1,Milestones!$AC$135)&amp;";  ","")&amp;IF(AND(EDATE($D94,Milestones!$AA$136)&lt;=AsOfDate,EDATE($D94,Milestones!$AA$136)&gt;=SchemeStart,IF($X94=0,$AD94,IF(AND($Z94&lt;&gt;"",EDATE($D94,Milestones!$AA$136)&gt;=$Z94),$AC94,IF(AND($Y94&lt;&gt;"",EDATE($D94,Milestones!$AA$136)&gt;=$Y94),$AB94,$AA94)))=Milestones!$AB$136),UPPER(TEXT(EDATE($D94,Milestones!$AA$136),"dd mmm yy"))&amp;" "&amp;Milestones!$AB$136&amp;" "&amp;IF(AND(Milestones!$AB$136="FT",Milestones!$AA$136=FT_Y5,EDATE($D94,Milestones!$AA$136)&lt;PolicyEff),1,Milestones!$AC$136)&amp;";  ","")&amp;IF(AND(EDATE($D94,Milestones!$AA$137)&lt;=AsOfDate,EDATE($D94,Milestones!$AA$137)&gt;=SchemeStart,IF($X94=0,$AD94,IF(AND($Z94&lt;&gt;"",EDATE($D94,Milestones!$AA$137)&gt;=$Z94),$AC94,IF(AND($Y94&lt;&gt;"",EDATE($D94,Milestones!$AA$137)&gt;=$Y94),$AB94,$AA94)))=Milestones!$AB$137),UPPER(TEXT(EDATE($D94,Milestones!$AA$137),"dd mmm yy"))&amp;" "&amp;Milestones!$AB$137&amp;" "&amp;IF(AND(Milestones!$AB$137="FT",Milestones!$AA$137=FT_Y5,EDATE($D94,Milestones!$AA$137)&lt;PolicyEff),1,Milestones!$AC$137)&amp;";  ","")&amp;IF(AND(EDATE($D94,Milestones!$AA$138)&lt;=AsOfDate,EDATE($D94,Milestones!$AA$138)&gt;=SchemeStart,IF($X94=0,$AD94,IF(AND($Z94&lt;&gt;"",EDATE($D94,Milestones!$AA$138)&gt;=$Z94),$AC94,IF(AND($Y94&lt;&gt;"",EDATE($D94,Milestones!$AA$138)&gt;=$Y94),$AB94,$AA94)))=Milestones!$AB$138),UPPER(TEXT(EDATE($D94,Milestones!$AA$138),"dd mmm yy"))&amp;" "&amp;Milestones!$AB$138&amp;" "&amp;IF(AND(Milestones!$AB$138="FT",Milestones!$AA$138=FT_Y5,EDATE($D94,Milestones!$AA$138)&lt;PolicyEff),1,Milestones!$AC$138)&amp;";  ","")&amp;IF(AND(EDATE($D94,Milestones!$AA$139)&lt;=AsOfDate,EDATE($D94,Milestones!$AA$139)&gt;=SchemeStart,IF($X94=0,$AD94,IF(AND($Z94&lt;&gt;"",EDATE($D94,Milestones!$AA$139)&gt;=$Z94),$AC94,IF(AND($Y94&lt;&gt;"",EDATE($D94,Milestones!$AA$139)&gt;=$Y94),$AB94,$AA94)))=Milestones!$AB$139),UPPER(TEXT(EDATE($D94,Milestones!$AA$139),"dd mmm yy"))&amp;" "&amp;Milestones!$AB$139&amp;" "&amp;IF(AND(Milestones!$AB$139="FT",Milestones!$AA$139=FT_Y5,EDATE($D94,Milestones!$AA$139)&lt;PolicyEff),1,Milestones!$AC$139)&amp;";  ",""))</f>
        <v/>
      </c>
      <c r="S94" s="0" t="str">
        <f aca="false">IF(OR($A94="",$D94=""),"",IF(AND(EDATE($D94,Milestones!$AA$140)&lt;=AsOfDate,EDATE($D94,Milestones!$AA$140)&gt;=SchemeStart,IF($X94=0,$AD94,IF(AND($Z94&lt;&gt;"",EDATE($D94,Milestones!$AA$140)&gt;=$Z94),$AC94,IF(AND($Y94&lt;&gt;"",EDATE($D94,Milestones!$AA$140)&gt;=$Y94),$AB94,$AA94)))=Milestones!$AB$140),UPPER(TEXT(EDATE($D94,Milestones!$AA$140),"dd mmm yy"))&amp;" "&amp;Milestones!$AB$140&amp;" "&amp;IF(AND(Milestones!$AB$140="FT",Milestones!$AA$140=FT_Y5,EDATE($D94,Milestones!$AA$140)&lt;PolicyEff),1,Milestones!$AC$140)&amp;";  ","")&amp;IF(AND(EDATE($D94,Milestones!$AA$141)&lt;=AsOfDate,EDATE($D94,Milestones!$AA$141)&gt;=SchemeStart,IF($X94=0,$AD94,IF(AND($Z94&lt;&gt;"",EDATE($D94,Milestones!$AA$141)&gt;=$Z94),$AC94,IF(AND($Y94&lt;&gt;"",EDATE($D94,Milestones!$AA$141)&gt;=$Y94),$AB94,$AA94)))=Milestones!$AB$141),UPPER(TEXT(EDATE($D94,Milestones!$AA$141),"dd mmm yy"))&amp;" "&amp;Milestones!$AB$141&amp;" "&amp;IF(AND(Milestones!$AB$141="FT",Milestones!$AA$141=FT_Y5,EDATE($D94,Milestones!$AA$141)&lt;PolicyEff),1,Milestones!$AC$141)&amp;";  ","")&amp;IF(AND(EDATE($D94,Milestones!$AA$142)&lt;=AsOfDate,EDATE($D94,Milestones!$AA$142)&gt;=SchemeStart,IF($X94=0,$AD94,IF(AND($Z94&lt;&gt;"",EDATE($D94,Milestones!$AA$142)&gt;=$Z94),$AC94,IF(AND($Y94&lt;&gt;"",EDATE($D94,Milestones!$AA$142)&gt;=$Y94),$AB94,$AA94)))=Milestones!$AB$142),UPPER(TEXT(EDATE($D94,Milestones!$AA$142),"dd mmm yy"))&amp;" "&amp;Milestones!$AB$142&amp;" "&amp;IF(AND(Milestones!$AB$142="FT",Milestones!$AA$142=FT_Y5,EDATE($D94,Milestones!$AA$142)&lt;PolicyEff),1,Milestones!$AC$142)&amp;";  ","")&amp;IF(AND(EDATE($D94,Milestones!$AA$143)&lt;=AsOfDate,EDATE($D94,Milestones!$AA$143)&gt;=SchemeStart,IF($X94=0,$AD94,IF(AND($Z94&lt;&gt;"",EDATE($D94,Milestones!$AA$143)&gt;=$Z94),$AC94,IF(AND($Y94&lt;&gt;"",EDATE($D94,Milestones!$AA$143)&gt;=$Y94),$AB94,$AA94)))=Milestones!$AB$143),UPPER(TEXT(EDATE($D94,Milestones!$AA$143),"dd mmm yy"))&amp;" "&amp;Milestones!$AB$143&amp;" "&amp;IF(AND(Milestones!$AB$143="FT",Milestones!$AA$143=FT_Y5,EDATE($D94,Milestones!$AA$143)&lt;PolicyEff),1,Milestones!$AC$143)&amp;";  ","")&amp;IF(AND(EDATE($D94,Milestones!$AA$144)&lt;=AsOfDate,EDATE($D94,Milestones!$AA$144)&gt;=SchemeStart,IF($X94=0,$AD94,IF(AND($Z94&lt;&gt;"",EDATE($D94,Milestones!$AA$144)&gt;=$Z94),$AC94,IF(AND($Y94&lt;&gt;"",EDATE($D94,Milestones!$AA$144)&gt;=$Y94),$AB94,$AA94)))=Milestones!$AB$144),UPPER(TEXT(EDATE($D94,Milestones!$AA$144),"dd mmm yy"))&amp;" "&amp;Milestones!$AB$144&amp;" "&amp;IF(AND(Milestones!$AB$144="FT",Milestones!$AA$144=FT_Y5,EDATE($D94,Milestones!$AA$144)&lt;PolicyEff),1,Milestones!$AC$144)&amp;";  ","")&amp;IF(AND(EDATE($D94,Milestones!$AA$145)&lt;=AsOfDate,EDATE($D94,Milestones!$AA$145)&gt;=SchemeStart,IF($X94=0,$AD94,IF(AND($Z94&lt;&gt;"",EDATE($D94,Milestones!$AA$145)&gt;=$Z94),$AC94,IF(AND($Y94&lt;&gt;"",EDATE($D94,Milestones!$AA$145)&gt;=$Y94),$AB94,$AA94)))=Milestones!$AB$145),UPPER(TEXT(EDATE($D94,Milestones!$AA$145),"dd mmm yy"))&amp;" "&amp;Milestones!$AB$145&amp;" "&amp;IF(AND(Milestones!$AB$145="FT",Milestones!$AA$145=FT_Y5,EDATE($D94,Milestones!$AA$145)&lt;PolicyEff),1,Milestones!$AC$145)&amp;";  ","")&amp;IF(AND(EDATE($D94,Milestones!$AA$146)&lt;=AsOfDate,EDATE($D94,Milestones!$AA$146)&gt;=SchemeStart,IF($X94=0,$AD94,IF(AND($Z94&lt;&gt;"",EDATE($D94,Milestones!$AA$146)&gt;=$Z94),$AC94,IF(AND($Y94&lt;&gt;"",EDATE($D94,Milestones!$AA$146)&gt;=$Y94),$AB94,$AA94)))=Milestones!$AB$146),UPPER(TEXT(EDATE($D94,Milestones!$AA$146),"dd mmm yy"))&amp;" "&amp;Milestones!$AB$146&amp;" "&amp;IF(AND(Milestones!$AB$146="FT",Milestones!$AA$146=FT_Y5,EDATE($D94,Milestones!$AA$146)&lt;PolicyEff),1,Milestones!$AC$146)&amp;";  ","")&amp;IF(AND(EDATE($D94,Milestones!$AA$147)&lt;=AsOfDate,EDATE($D94,Milestones!$AA$147)&gt;=SchemeStart,IF($X94=0,$AD94,IF(AND($Z94&lt;&gt;"",EDATE($D94,Milestones!$AA$147)&gt;=$Z94),$AC94,IF(AND($Y94&lt;&gt;"",EDATE($D94,Milestones!$AA$147)&gt;=$Y94),$AB94,$AA94)))=Milestones!$AB$147),UPPER(TEXT(EDATE($D94,Milestones!$AA$147),"dd mmm yy"))&amp;" "&amp;Milestones!$AB$147&amp;" "&amp;IF(AND(Milestones!$AB$147="FT",Milestones!$AA$147=FT_Y5,EDATE($D94,Milestones!$AA$147)&lt;PolicyEff),1,Milestones!$AC$147)&amp;";  ","")&amp;IF(AND(EDATE($D94,Milestones!$AA$148)&lt;=AsOfDate,EDATE($D94,Milestones!$AA$148)&gt;=SchemeStart,IF($X94=0,$AD94,IF(AND($Z94&lt;&gt;"",EDATE($D94,Milestones!$AA$148)&gt;=$Z94),$AC94,IF(AND($Y94&lt;&gt;"",EDATE($D94,Milestones!$AA$148)&gt;=$Y94),$AB94,$AA94)))=Milestones!$AB$148),UPPER(TEXT(EDATE($D94,Milestones!$AA$148),"dd mmm yy"))&amp;" "&amp;Milestones!$AB$148&amp;" "&amp;IF(AND(Milestones!$AB$148="FT",Milestones!$AA$148=FT_Y5,EDATE($D94,Milestones!$AA$148)&lt;PolicyEff),1,Milestones!$AC$148)&amp;";  ","")&amp;IF(AND(EDATE($D94,Milestones!$AA$149)&lt;=AsOfDate,EDATE($D94,Milestones!$AA$149)&gt;=SchemeStart,IF($X94=0,$AD94,IF(AND($Z94&lt;&gt;"",EDATE($D94,Milestones!$AA$149)&gt;=$Z94),$AC94,IF(AND($Y94&lt;&gt;"",EDATE($D94,Milestones!$AA$149)&gt;=$Y94),$AB94,$AA94)))=Milestones!$AB$149),UPPER(TEXT(EDATE($D94,Milestones!$AA$149),"dd mmm yy"))&amp;" "&amp;Milestones!$AB$149&amp;" "&amp;IF(AND(Milestones!$AB$149="FT",Milestones!$AA$149=FT_Y5,EDATE($D94,Milestones!$AA$149)&lt;PolicyEff),1,Milestones!$AC$149)&amp;";  ","")&amp;IF(AND(EDATE($D94,Milestones!$AA$150)&lt;=AsOfDate,EDATE($D94,Milestones!$AA$150)&gt;=SchemeStart,IF($X94=0,$AD94,IF(AND($Z94&lt;&gt;"",EDATE($D94,Milestones!$AA$150)&gt;=$Z94),$AC94,IF(AND($Y94&lt;&gt;"",EDATE($D94,Milestones!$AA$150)&gt;=$Y94),$AB94,$AA94)))=Milestones!$AB$150),UPPER(TEXT(EDATE($D94,Milestones!$AA$150),"dd mmm yy"))&amp;" "&amp;Milestones!$AB$150&amp;" "&amp;IF(AND(Milestones!$AB$150="FT",Milestones!$AA$150=FT_Y5,EDATE($D94,Milestones!$AA$150)&lt;PolicyEff),1,Milestones!$AC$150)&amp;";  ","")&amp;IF(AND(EDATE($D94,Milestones!$AA$151)&lt;=AsOfDate,EDATE($D94,Milestones!$AA$151)&gt;=SchemeStart,IF($X94=0,$AD94,IF(AND($Z94&lt;&gt;"",EDATE($D94,Milestones!$AA$151)&gt;=$Z94),$AC94,IF(AND($Y94&lt;&gt;"",EDATE($D94,Milestones!$AA$151)&gt;=$Y94),$AB94,$AA94)))=Milestones!$AB$151),UPPER(TEXT(EDATE($D94,Milestones!$AA$151),"dd mmm yy"))&amp;" "&amp;Milestones!$AB$151&amp;" "&amp;IF(AND(Milestones!$AB$151="FT",Milestones!$AA$151=FT_Y5,EDATE($D94,Milestones!$AA$151)&lt;PolicyEff),1,Milestones!$AC$151)&amp;";  ",""))</f>
        <v/>
      </c>
      <c r="T94" s="0" t="str">
        <f aca="false">IF(OR($A94="",$D94=""),"",IF(AND(EDATE($D94,Milestones!$AA$152)&lt;=AsOfDate,EDATE($D94,Milestones!$AA$152)&gt;=SchemeStart,IF($X94=0,$AD94,IF(AND($Z94&lt;&gt;"",EDATE($D94,Milestones!$AA$152)&gt;=$Z94),$AC94,IF(AND($Y94&lt;&gt;"",EDATE($D94,Milestones!$AA$152)&gt;=$Y94),$AB94,$AA94)))=Milestones!$AB$152),UPPER(TEXT(EDATE($D94,Milestones!$AA$152),"dd mmm yy"))&amp;" "&amp;Milestones!$AB$152&amp;" "&amp;IF(AND(Milestones!$AB$152="FT",Milestones!$AA$152=FT_Y5,EDATE($D94,Milestones!$AA$152)&lt;PolicyEff),1,Milestones!$AC$152)&amp;";  ","")&amp;IF(AND(EDATE($D94,Milestones!$AA$153)&lt;=AsOfDate,EDATE($D94,Milestones!$AA$153)&gt;=SchemeStart,IF($X94=0,$AD94,IF(AND($Z94&lt;&gt;"",EDATE($D94,Milestones!$AA$153)&gt;=$Z94),$AC94,IF(AND($Y94&lt;&gt;"",EDATE($D94,Milestones!$AA$153)&gt;=$Y94),$AB94,$AA94)))=Milestones!$AB$153),UPPER(TEXT(EDATE($D94,Milestones!$AA$153),"dd mmm yy"))&amp;" "&amp;Milestones!$AB$153&amp;" "&amp;IF(AND(Milestones!$AB$153="FT",Milestones!$AA$153=FT_Y5,EDATE($D94,Milestones!$AA$153)&lt;PolicyEff),1,Milestones!$AC$153)&amp;";  ","")&amp;IF(AND(EDATE($D94,Milestones!$AA$154)&lt;=AsOfDate,EDATE($D94,Milestones!$AA$154)&gt;=SchemeStart,IF($X94=0,$AD94,IF(AND($Z94&lt;&gt;"",EDATE($D94,Milestones!$AA$154)&gt;=$Z94),$AC94,IF(AND($Y94&lt;&gt;"",EDATE($D94,Milestones!$AA$154)&gt;=$Y94),$AB94,$AA94)))=Milestones!$AB$154),UPPER(TEXT(EDATE($D94,Milestones!$AA$154),"dd mmm yy"))&amp;" "&amp;Milestones!$AB$154&amp;" "&amp;IF(AND(Milestones!$AB$154="FT",Milestones!$AA$154=FT_Y5,EDATE($D94,Milestones!$AA$154)&lt;PolicyEff),1,Milestones!$AC$154)&amp;";  ","")&amp;IF(AND(EDATE($D94,Milestones!$AA$155)&lt;=AsOfDate,EDATE($D94,Milestones!$AA$155)&gt;=SchemeStart,IF($X94=0,$AD94,IF(AND($Z94&lt;&gt;"",EDATE($D94,Milestones!$AA$155)&gt;=$Z94),$AC94,IF(AND($Y94&lt;&gt;"",EDATE($D94,Milestones!$AA$155)&gt;=$Y94),$AB94,$AA94)))=Milestones!$AB$155),UPPER(TEXT(EDATE($D94,Milestones!$AA$155),"dd mmm yy"))&amp;" "&amp;Milestones!$AB$155&amp;" "&amp;IF(AND(Milestones!$AB$155="FT",Milestones!$AA$155=FT_Y5,EDATE($D94,Milestones!$AA$155)&lt;PolicyEff),1,Milestones!$AC$155)&amp;";  ","")&amp;IF(AND(EDATE($D94,Milestones!$AA$156)&lt;=AsOfDate,EDATE($D94,Milestones!$AA$156)&gt;=SchemeStart,IF($X94=0,$AD94,IF(AND($Z94&lt;&gt;"",EDATE($D94,Milestones!$AA$156)&gt;=$Z94),$AC94,IF(AND($Y94&lt;&gt;"",EDATE($D94,Milestones!$AA$156)&gt;=$Y94),$AB94,$AA94)))=Milestones!$AB$156),UPPER(TEXT(EDATE($D94,Milestones!$AA$156),"dd mmm yy"))&amp;" "&amp;Milestones!$AB$156&amp;" "&amp;IF(AND(Milestones!$AB$156="FT",Milestones!$AA$156=FT_Y5,EDATE($D94,Milestones!$AA$156)&lt;PolicyEff),1,Milestones!$AC$156)&amp;";  ","")&amp;IF(AND(EDATE($D94,Milestones!$AA$157)&lt;=AsOfDate,EDATE($D94,Milestones!$AA$157)&gt;=SchemeStart,IF($X94=0,$AD94,IF(AND($Z94&lt;&gt;"",EDATE($D94,Milestones!$AA$157)&gt;=$Z94),$AC94,IF(AND($Y94&lt;&gt;"",EDATE($D94,Milestones!$AA$157)&gt;=$Y94),$AB94,$AA94)))=Milestones!$AB$157),UPPER(TEXT(EDATE($D94,Milestones!$AA$157),"dd mmm yy"))&amp;" "&amp;Milestones!$AB$157&amp;" "&amp;IF(AND(Milestones!$AB$157="FT",Milestones!$AA$157=FT_Y5,EDATE($D94,Milestones!$AA$157)&lt;PolicyEff),1,Milestones!$AC$157)&amp;";  ","")&amp;IF(AND(EDATE($D94,Milestones!$AA$158)&lt;=AsOfDate,EDATE($D94,Milestones!$AA$158)&gt;=SchemeStart,IF($X94=0,$AD94,IF(AND($Z94&lt;&gt;"",EDATE($D94,Milestones!$AA$158)&gt;=$Z94),$AC94,IF(AND($Y94&lt;&gt;"",EDATE($D94,Milestones!$AA$158)&gt;=$Y94),$AB94,$AA94)))=Milestones!$AB$158),UPPER(TEXT(EDATE($D94,Milestones!$AA$158),"dd mmm yy"))&amp;" "&amp;Milestones!$AB$158&amp;" "&amp;IF(AND(Milestones!$AB$158="FT",Milestones!$AA$158=FT_Y5,EDATE($D94,Milestones!$AA$158)&lt;PolicyEff),1,Milestones!$AC$158)&amp;";  ","")&amp;IF(AND(EDATE($D94,Milestones!$AA$159)&lt;=AsOfDate,EDATE($D94,Milestones!$AA$159)&gt;=SchemeStart,IF($X94=0,$AD94,IF(AND($Z94&lt;&gt;"",EDATE($D94,Milestones!$AA$159)&gt;=$Z94),$AC94,IF(AND($Y94&lt;&gt;"",EDATE($D94,Milestones!$AA$159)&gt;=$Y94),$AB94,$AA94)))=Milestones!$AB$159),UPPER(TEXT(EDATE($D94,Milestones!$AA$159),"dd mmm yy"))&amp;" "&amp;Milestones!$AB$159&amp;" "&amp;IF(AND(Milestones!$AB$159="FT",Milestones!$AA$159=FT_Y5,EDATE($D94,Milestones!$AA$159)&lt;PolicyEff),1,Milestones!$AC$159)&amp;";  ","")&amp;IF(AND(EDATE($D94,Milestones!$AA$160)&lt;=AsOfDate,EDATE($D94,Milestones!$AA$160)&gt;=SchemeStart,IF($X94=0,$AD94,IF(AND($Z94&lt;&gt;"",EDATE($D94,Milestones!$AA$160)&gt;=$Z94),$AC94,IF(AND($Y94&lt;&gt;"",EDATE($D94,Milestones!$AA$160)&gt;=$Y94),$AB94,$AA94)))=Milestones!$AB$160),UPPER(TEXT(EDATE($D94,Milestones!$AA$160),"dd mmm yy"))&amp;" "&amp;Milestones!$AB$160&amp;" "&amp;IF(AND(Milestones!$AB$160="FT",Milestones!$AA$160=FT_Y5,EDATE($D94,Milestones!$AA$160)&lt;PolicyEff),1,Milestones!$AC$160)&amp;";  ","")&amp;IF(AND(EDATE($D94,Milestones!$AA$161)&lt;=AsOfDate,EDATE($D94,Milestones!$AA$161)&gt;=SchemeStart,IF($X94=0,$AD94,IF(AND($Z94&lt;&gt;"",EDATE($D94,Milestones!$AA$161)&gt;=$Z94),$AC94,IF(AND($Y94&lt;&gt;"",EDATE($D94,Milestones!$AA$161)&gt;=$Y94),$AB94,$AA94)))=Milestones!$AB$161),UPPER(TEXT(EDATE($D94,Milestones!$AA$161),"dd mmm yy"))&amp;" "&amp;Milestones!$AB$161&amp;" "&amp;IF(AND(Milestones!$AB$161="FT",Milestones!$AA$161=FT_Y5,EDATE($D94,Milestones!$AA$161)&lt;PolicyEff),1,Milestones!$AC$161)&amp;";  ","")&amp;IF(AND(EDATE($D94,Milestones!$AA$162)&lt;=AsOfDate,EDATE($D94,Milestones!$AA$162)&gt;=SchemeStart,IF($X94=0,$AD94,IF(AND($Z94&lt;&gt;"",EDATE($D94,Milestones!$AA$162)&gt;=$Z94),$AC94,IF(AND($Y94&lt;&gt;"",EDATE($D94,Milestones!$AA$162)&gt;=$Y94),$AB94,$AA94)))=Milestones!$AB$162),UPPER(TEXT(EDATE($D94,Milestones!$AA$162),"dd mmm yy"))&amp;" "&amp;Milestones!$AB$162&amp;" "&amp;IF(AND(Milestones!$AB$162="FT",Milestones!$AA$162=FT_Y5,EDATE($D94,Milestones!$AA$162)&lt;PolicyEff),1,Milestones!$AC$162)&amp;";  ","")&amp;IF(AND(EDATE($D94,Milestones!$AA$163)&lt;=AsOfDate,EDATE($D94,Milestones!$AA$163)&gt;=SchemeStart,IF($X94=0,$AD94,IF(AND($Z94&lt;&gt;"",EDATE($D94,Milestones!$AA$163)&gt;=$Z94),$AC94,IF(AND($Y94&lt;&gt;"",EDATE($D94,Milestones!$AA$163)&gt;=$Y94),$AB94,$AA94)))=Milestones!$AB$163),UPPER(TEXT(EDATE($D94,Milestones!$AA$163),"dd mmm yy"))&amp;" "&amp;Milestones!$AB$163&amp;" "&amp;IF(AND(Milestones!$AB$163="FT",Milestones!$AA$163=FT_Y5,EDATE($D94,Milestones!$AA$163)&lt;PolicyEff),1,Milestones!$AC$163)&amp;";  ",""))</f>
        <v/>
      </c>
      <c r="U94" s="0" t="str">
        <f aca="false">IF(OR($A94="",$D94=""),"",IF(AND(EDATE($D94,Milestones!$AA$164)&lt;=AsOfDate,EDATE($D94,Milestones!$AA$164)&gt;=SchemeStart,IF($X94=0,$AD94,IF(AND($Z94&lt;&gt;"",EDATE($D94,Milestones!$AA$164)&gt;=$Z94),$AC94,IF(AND($Y94&lt;&gt;"",EDATE($D94,Milestones!$AA$164)&gt;=$Y94),$AB94,$AA94)))=Milestones!$AB$164),UPPER(TEXT(EDATE($D94,Milestones!$AA$164),"dd mmm yy"))&amp;" "&amp;Milestones!$AB$164&amp;" "&amp;IF(AND(Milestones!$AB$164="FT",Milestones!$AA$164=FT_Y5,EDATE($D94,Milestones!$AA$164)&lt;PolicyEff),1,Milestones!$AC$164)&amp;";  ","")&amp;IF(AND(EDATE($D94,Milestones!$AA$165)&lt;=AsOfDate,EDATE($D94,Milestones!$AA$165)&gt;=SchemeStart,IF($X94=0,$AD94,IF(AND($Z94&lt;&gt;"",EDATE($D94,Milestones!$AA$165)&gt;=$Z94),$AC94,IF(AND($Y94&lt;&gt;"",EDATE($D94,Milestones!$AA$165)&gt;=$Y94),$AB94,$AA94)))=Milestones!$AB$165),UPPER(TEXT(EDATE($D94,Milestones!$AA$165),"dd mmm yy"))&amp;" "&amp;Milestones!$AB$165&amp;" "&amp;IF(AND(Milestones!$AB$165="FT",Milestones!$AA$165=FT_Y5,EDATE($D94,Milestones!$AA$165)&lt;PolicyEff),1,Milestones!$AC$165)&amp;";  ","")&amp;IF(AND(EDATE($D94,Milestones!$AA$166)&lt;=AsOfDate,EDATE($D94,Milestones!$AA$166)&gt;=SchemeStart,IF($X94=0,$AD94,IF(AND($Z94&lt;&gt;"",EDATE($D94,Milestones!$AA$166)&gt;=$Z94),$AC94,IF(AND($Y94&lt;&gt;"",EDATE($D94,Milestones!$AA$166)&gt;=$Y94),$AB94,$AA94)))=Milestones!$AB$166),UPPER(TEXT(EDATE($D94,Milestones!$AA$166),"dd mmm yy"))&amp;" "&amp;Milestones!$AB$166&amp;" "&amp;IF(AND(Milestones!$AB$166="FT",Milestones!$AA$166=FT_Y5,EDATE($D94,Milestones!$AA$166)&lt;PolicyEff),1,Milestones!$AC$166)&amp;";  ","")&amp;IF(AND(EDATE($D94,Milestones!$AA$167)&lt;=AsOfDate,EDATE($D94,Milestones!$AA$167)&gt;=SchemeStart,IF($X94=0,$AD94,IF(AND($Z94&lt;&gt;"",EDATE($D94,Milestones!$AA$167)&gt;=$Z94),$AC94,IF(AND($Y94&lt;&gt;"",EDATE($D94,Milestones!$AA$167)&gt;=$Y94),$AB94,$AA94)))=Milestones!$AB$167),UPPER(TEXT(EDATE($D94,Milestones!$AA$167),"dd mmm yy"))&amp;" "&amp;Milestones!$AB$167&amp;" "&amp;IF(AND(Milestones!$AB$167="FT",Milestones!$AA$167=FT_Y5,EDATE($D94,Milestones!$AA$167)&lt;PolicyEff),1,Milestones!$AC$167)&amp;";  ","")&amp;IF(AND(EDATE($D94,Milestones!$AA$168)&lt;=AsOfDate,EDATE($D94,Milestones!$AA$168)&gt;=SchemeStart,IF($X94=0,$AD94,IF(AND($Z94&lt;&gt;"",EDATE($D94,Milestones!$AA$168)&gt;=$Z94),$AC94,IF(AND($Y94&lt;&gt;"",EDATE($D94,Milestones!$AA$168)&gt;=$Y94),$AB94,$AA94)))=Milestones!$AB$168),UPPER(TEXT(EDATE($D94,Milestones!$AA$168),"dd mmm yy"))&amp;" "&amp;Milestones!$AB$168&amp;" "&amp;IF(AND(Milestones!$AB$168="FT",Milestones!$AA$168=FT_Y5,EDATE($D94,Milestones!$AA$168)&lt;PolicyEff),1,Milestones!$AC$168)&amp;";  ","")&amp;IF(AND(EDATE($D94,Milestones!$AA$169)&lt;=AsOfDate,EDATE($D94,Milestones!$AA$169)&gt;=SchemeStart,IF($X94=0,$AD94,IF(AND($Z94&lt;&gt;"",EDATE($D94,Milestones!$AA$169)&gt;=$Z94),$AC94,IF(AND($Y94&lt;&gt;"",EDATE($D94,Milestones!$AA$169)&gt;=$Y94),$AB94,$AA94)))=Milestones!$AB$169),UPPER(TEXT(EDATE($D94,Milestones!$AA$169),"dd mmm yy"))&amp;" "&amp;Milestones!$AB$169&amp;" "&amp;IF(AND(Milestones!$AB$169="FT",Milestones!$AA$169=FT_Y5,EDATE($D94,Milestones!$AA$169)&lt;PolicyEff),1,Milestones!$AC$169)&amp;";  ","")&amp;IF(AND(EDATE($D94,Milestones!$AA$170)&lt;=AsOfDate,EDATE($D94,Milestones!$AA$170)&gt;=SchemeStart,IF($X94=0,$AD94,IF(AND($Z94&lt;&gt;"",EDATE($D94,Milestones!$AA$170)&gt;=$Z94),$AC94,IF(AND($Y94&lt;&gt;"",EDATE($D94,Milestones!$AA$170)&gt;=$Y94),$AB94,$AA94)))=Milestones!$AB$170),UPPER(TEXT(EDATE($D94,Milestones!$AA$170),"dd mmm yy"))&amp;" "&amp;Milestones!$AB$170&amp;" "&amp;IF(AND(Milestones!$AB$170="FT",Milestones!$AA$170=FT_Y5,EDATE($D94,Milestones!$AA$170)&lt;PolicyEff),1,Milestones!$AC$170)&amp;";  ","")&amp;IF(AND(EDATE($D94,Milestones!$AA$171)&lt;=AsOfDate,EDATE($D94,Milestones!$AA$171)&gt;=SchemeStart,IF($X94=0,$AD94,IF(AND($Z94&lt;&gt;"",EDATE($D94,Milestones!$AA$171)&gt;=$Z94),$AC94,IF(AND($Y94&lt;&gt;"",EDATE($D94,Milestones!$AA$171)&gt;=$Y94),$AB94,$AA94)))=Milestones!$AB$171),UPPER(TEXT(EDATE($D94,Milestones!$AA$171),"dd mmm yy"))&amp;" "&amp;Milestones!$AB$171&amp;" "&amp;IF(AND(Milestones!$AB$171="FT",Milestones!$AA$171=FT_Y5,EDATE($D94,Milestones!$AA$171)&lt;PolicyEff),1,Milestones!$AC$171)&amp;";  ","")&amp;IF(AND(EDATE($D94,Milestones!$AA$172)&lt;=AsOfDate,EDATE($D94,Milestones!$AA$172)&gt;=SchemeStart,IF($X94=0,$AD94,IF(AND($Z94&lt;&gt;"",EDATE($D94,Milestones!$AA$172)&gt;=$Z94),$AC94,IF(AND($Y94&lt;&gt;"",EDATE($D94,Milestones!$AA$172)&gt;=$Y94),$AB94,$AA94)))=Milestones!$AB$172),UPPER(TEXT(EDATE($D94,Milestones!$AA$172),"dd mmm yy"))&amp;" "&amp;Milestones!$AB$172&amp;" "&amp;IF(AND(Milestones!$AB$172="FT",Milestones!$AA$172=FT_Y5,EDATE($D94,Milestones!$AA$172)&lt;PolicyEff),1,Milestones!$AC$172)&amp;";  ","")&amp;IF(AND(EDATE($D94,Milestones!$AA$173)&lt;=AsOfDate,EDATE($D94,Milestones!$AA$173)&gt;=SchemeStart,IF($X94=0,$AD94,IF(AND($Z94&lt;&gt;"",EDATE($D94,Milestones!$AA$173)&gt;=$Z94),$AC94,IF(AND($Y94&lt;&gt;"",EDATE($D94,Milestones!$AA$173)&gt;=$Y94),$AB94,$AA94)))=Milestones!$AB$173),UPPER(TEXT(EDATE($D94,Milestones!$AA$173),"dd mmm yy"))&amp;" "&amp;Milestones!$AB$173&amp;" "&amp;IF(AND(Milestones!$AB$173="FT",Milestones!$AA$173=FT_Y5,EDATE($D94,Milestones!$AA$173)&lt;PolicyEff),1,Milestones!$AC$173)&amp;";  ","")&amp;IF(AND(EDATE($D94,Milestones!$AA$174)&lt;=AsOfDate,EDATE($D94,Milestones!$AA$174)&gt;=SchemeStart,IF($X94=0,$AD94,IF(AND($Z94&lt;&gt;"",EDATE($D94,Milestones!$AA$174)&gt;=$Z94),$AC94,IF(AND($Y94&lt;&gt;"",EDATE($D94,Milestones!$AA$174)&gt;=$Y94),$AB94,$AA94)))=Milestones!$AB$174),UPPER(TEXT(EDATE($D94,Milestones!$AA$174),"dd mmm yy"))&amp;" "&amp;Milestones!$AB$174&amp;" "&amp;IF(AND(Milestones!$AB$174="FT",Milestones!$AA$174=FT_Y5,EDATE($D94,Milestones!$AA$174)&lt;PolicyEff),1,Milestones!$AC$174)&amp;";  ","")&amp;IF(AND(EDATE($D94,Milestones!$AA$175)&lt;=AsOfDate,EDATE($D94,Milestones!$AA$175)&gt;=SchemeStart,IF($X94=0,$AD94,IF(AND($Z94&lt;&gt;"",EDATE($D94,Milestones!$AA$175)&gt;=$Z94),$AC94,IF(AND($Y94&lt;&gt;"",EDATE($D94,Milestones!$AA$175)&gt;=$Y94),$AB94,$AA94)))=Milestones!$AB$175),UPPER(TEXT(EDATE($D94,Milestones!$AA$175),"dd mmm yy"))&amp;" "&amp;Milestones!$AB$175&amp;" "&amp;IF(AND(Milestones!$AB$175="FT",Milestones!$AA$175=FT_Y5,EDATE($D94,Milestones!$AA$175)&lt;PolicyEff),1,Milestones!$AC$175)&amp;";  ",""))</f>
        <v/>
      </c>
      <c r="V94" s="0" t="str">
        <f aca="false">IF(OR($A94="",$D94=""),"",IF(AND(EDATE($D94,Milestones!$AA$176)&lt;=AsOfDate,EDATE($D94,Milestones!$AA$176)&gt;=SchemeStart,IF($X94=0,$AD94,IF(AND($Z94&lt;&gt;"",EDATE($D94,Milestones!$AA$176)&gt;=$Z94),$AC94,IF(AND($Y94&lt;&gt;"",EDATE($D94,Milestones!$AA$176)&gt;=$Y94),$AB94,$AA94)))=Milestones!$AB$176),UPPER(TEXT(EDATE($D94,Milestones!$AA$176),"dd mmm yy"))&amp;" "&amp;Milestones!$AB$176&amp;" "&amp;IF(AND(Milestones!$AB$176="FT",Milestones!$AA$176=FT_Y5,EDATE($D94,Milestones!$AA$176)&lt;PolicyEff),1,Milestones!$AC$176)&amp;";  ","")&amp;IF(AND(EDATE($D94,Milestones!$AA$177)&lt;=AsOfDate,EDATE($D94,Milestones!$AA$177)&gt;=SchemeStart,IF($X94=0,$AD94,IF(AND($Z94&lt;&gt;"",EDATE($D94,Milestones!$AA$177)&gt;=$Z94),$AC94,IF(AND($Y94&lt;&gt;"",EDATE($D94,Milestones!$AA$177)&gt;=$Y94),$AB94,$AA94)))=Milestones!$AB$177),UPPER(TEXT(EDATE($D94,Milestones!$AA$177),"dd mmm yy"))&amp;" "&amp;Milestones!$AB$177&amp;" "&amp;IF(AND(Milestones!$AB$177="FT",Milestones!$AA$177=FT_Y5,EDATE($D94,Milestones!$AA$177)&lt;PolicyEff),1,Milestones!$AC$177)&amp;";  ","")&amp;IF(AND(EDATE($D94,Milestones!$AA$178)&lt;=AsOfDate,EDATE($D94,Milestones!$AA$178)&gt;=SchemeStart,IF($X94=0,$AD94,IF(AND($Z94&lt;&gt;"",EDATE($D94,Milestones!$AA$178)&gt;=$Z94),$AC94,IF(AND($Y94&lt;&gt;"",EDATE($D94,Milestones!$AA$178)&gt;=$Y94),$AB94,$AA94)))=Milestones!$AB$178),UPPER(TEXT(EDATE($D94,Milestones!$AA$178),"dd mmm yy"))&amp;" "&amp;Milestones!$AB$178&amp;" "&amp;IF(AND(Milestones!$AB$178="FT",Milestones!$AA$178=FT_Y5,EDATE($D94,Milestones!$AA$178)&lt;PolicyEff),1,Milestones!$AC$178)&amp;";  ","")&amp;IF(AND(EDATE($D94,Milestones!$AA$179)&lt;=AsOfDate,EDATE($D94,Milestones!$AA$179)&gt;=SchemeStart,IF($X94=0,$AD94,IF(AND($Z94&lt;&gt;"",EDATE($D94,Milestones!$AA$179)&gt;=$Z94),$AC94,IF(AND($Y94&lt;&gt;"",EDATE($D94,Milestones!$AA$179)&gt;=$Y94),$AB94,$AA94)))=Milestones!$AB$179),UPPER(TEXT(EDATE($D94,Milestones!$AA$179),"dd mmm yy"))&amp;" "&amp;Milestones!$AB$179&amp;" "&amp;IF(AND(Milestones!$AB$179="FT",Milestones!$AA$179=FT_Y5,EDATE($D94,Milestones!$AA$179)&lt;PolicyEff),1,Milestones!$AC$179)&amp;";  ","")&amp;IF(AND(EDATE($D94,Milestones!$AA$180)&lt;=AsOfDate,EDATE($D94,Milestones!$AA$180)&gt;=SchemeStart,IF($X94=0,$AD94,IF(AND($Z94&lt;&gt;"",EDATE($D94,Milestones!$AA$180)&gt;=$Z94),$AC94,IF(AND($Y94&lt;&gt;"",EDATE($D94,Milestones!$AA$180)&gt;=$Y94),$AB94,$AA94)))=Milestones!$AB$180),UPPER(TEXT(EDATE($D94,Milestones!$AA$180),"dd mmm yy"))&amp;" "&amp;Milestones!$AB$180&amp;" "&amp;IF(AND(Milestones!$AB$180="FT",Milestones!$AA$180=FT_Y5,EDATE($D94,Milestones!$AA$180)&lt;PolicyEff),1,Milestones!$AC$180)&amp;";  ","")&amp;IF(AND(EDATE($D94,Milestones!$AA$181)&lt;=AsOfDate,EDATE($D94,Milestones!$AA$181)&gt;=SchemeStart,IF($X94=0,$AD94,IF(AND($Z94&lt;&gt;"",EDATE($D94,Milestones!$AA$181)&gt;=$Z94),$AC94,IF(AND($Y94&lt;&gt;"",EDATE($D94,Milestones!$AA$181)&gt;=$Y94),$AB94,$AA94)))=Milestones!$AB$181),UPPER(TEXT(EDATE($D94,Milestones!$AA$181),"dd mmm yy"))&amp;" "&amp;Milestones!$AB$181&amp;" "&amp;IF(AND(Milestones!$AB$181="FT",Milestones!$AA$181=FT_Y5,EDATE($D94,Milestones!$AA$181)&lt;PolicyEff),1,Milestones!$AC$181)&amp;";  ","")&amp;IF(AND(EDATE($D94,Milestones!$AA$182)&lt;=AsOfDate,EDATE($D94,Milestones!$AA$182)&gt;=SchemeStart,IF($X94=0,$AD94,IF(AND($Z94&lt;&gt;"",EDATE($D94,Milestones!$AA$182)&gt;=$Z94),$AC94,IF(AND($Y94&lt;&gt;"",EDATE($D94,Milestones!$AA$182)&gt;=$Y94),$AB94,$AA94)))=Milestones!$AB$182),UPPER(TEXT(EDATE($D94,Milestones!$AA$182),"dd mmm yy"))&amp;" "&amp;Milestones!$AB$182&amp;" "&amp;IF(AND(Milestones!$AB$182="FT",Milestones!$AA$182=FT_Y5,EDATE($D94,Milestones!$AA$182)&lt;PolicyEff),1,Milestones!$AC$182)&amp;";  ","")&amp;IF(AND(EDATE($D94,Milestones!$AA$183)&lt;=AsOfDate,EDATE($D94,Milestones!$AA$183)&gt;=SchemeStart,IF($X94=0,$AD94,IF(AND($Z94&lt;&gt;"",EDATE($D94,Milestones!$AA$183)&gt;=$Z94),$AC94,IF(AND($Y94&lt;&gt;"",EDATE($D94,Milestones!$AA$183)&gt;=$Y94),$AB94,$AA94)))=Milestones!$AB$183),UPPER(TEXT(EDATE($D94,Milestones!$AA$183),"dd mmm yy"))&amp;" "&amp;Milestones!$AB$183&amp;" "&amp;IF(AND(Milestones!$AB$183="FT",Milestones!$AA$183=FT_Y5,EDATE($D94,Milestones!$AA$183)&lt;PolicyEff),1,Milestones!$AC$183)&amp;";  ","")&amp;IF(AND(EDATE($D94,Milestones!$AA$184)&lt;=AsOfDate,EDATE($D94,Milestones!$AA$184)&gt;=SchemeStart,IF($X94=0,$AD94,IF(AND($Z94&lt;&gt;"",EDATE($D94,Milestones!$AA$184)&gt;=$Z94),$AC94,IF(AND($Y94&lt;&gt;"",EDATE($D94,Milestones!$AA$184)&gt;=$Y94),$AB94,$AA94)))=Milestones!$AB$184),UPPER(TEXT(EDATE($D94,Milestones!$AA$184),"dd mmm yy"))&amp;" "&amp;Milestones!$AB$184&amp;" "&amp;IF(AND(Milestones!$AB$184="FT",Milestones!$AA$184=FT_Y5,EDATE($D94,Milestones!$AA$184)&lt;PolicyEff),1,Milestones!$AC$184)&amp;";  ","")&amp;IF(AND(EDATE($D94,Milestones!$AA$185)&lt;=AsOfDate,EDATE($D94,Milestones!$AA$185)&gt;=SchemeStart,IF($X94=0,$AD94,IF(AND($Z94&lt;&gt;"",EDATE($D94,Milestones!$AA$185)&gt;=$Z94),$AC94,IF(AND($Y94&lt;&gt;"",EDATE($D94,Milestones!$AA$185)&gt;=$Y94),$AB94,$AA94)))=Milestones!$AB$185),UPPER(TEXT(EDATE($D94,Milestones!$AA$185),"dd mmm yy"))&amp;" "&amp;Milestones!$AB$185&amp;" "&amp;IF(AND(Milestones!$AB$185="FT",Milestones!$AA$185=FT_Y5,EDATE($D94,Milestones!$AA$185)&lt;PolicyEff),1,Milestones!$AC$185)&amp;";  ","")&amp;IF(AND(EDATE($D94,Milestones!$AA$186)&lt;=AsOfDate,EDATE($D94,Milestones!$AA$186)&gt;=SchemeStart,IF($X94=0,$AD94,IF(AND($Z94&lt;&gt;"",EDATE($D94,Milestones!$AA$186)&gt;=$Z94),$AC94,IF(AND($Y94&lt;&gt;"",EDATE($D94,Milestones!$AA$186)&gt;=$Y94),$AB94,$AA94)))=Milestones!$AB$186),UPPER(TEXT(EDATE($D94,Milestones!$AA$186),"dd mmm yy"))&amp;" "&amp;Milestones!$AB$186&amp;" "&amp;IF(AND(Milestones!$AB$186="FT",Milestones!$AA$186=FT_Y5,EDATE($D94,Milestones!$AA$186)&lt;PolicyEff),1,Milestones!$AC$186)&amp;";  ","")&amp;IF(AND(EDATE($D94,Milestones!$AA$187)&lt;=AsOfDate,EDATE($D94,Milestones!$AA$187)&gt;=SchemeStart,IF($X94=0,$AD94,IF(AND($Z94&lt;&gt;"",EDATE($D94,Milestones!$AA$187)&gt;=$Z94),$AC94,IF(AND($Y94&lt;&gt;"",EDATE($D94,Milestones!$AA$187)&gt;=$Y94),$AB94,$AA94)))=Milestones!$AB$187),UPPER(TEXT(EDATE($D94,Milestones!$AA$187),"dd mmm yy"))&amp;" "&amp;Milestones!$AB$187&amp;" "&amp;IF(AND(Milestones!$AB$187="FT",Milestones!$AA$187=FT_Y5,EDATE($D94,Milestones!$AA$187)&lt;PolicyEff),1,Milestones!$AC$187)&amp;";  ",""))</f>
        <v/>
      </c>
      <c r="W94" s="0" t="str">
        <f aca="false">IF(OR($A94="",$D94=""),"",IF(AND(EDATE($D94,Milestones!$AA$188)&lt;=AsOfDate,EDATE($D94,Milestones!$AA$188)&gt;=SchemeStart,IF($X94=0,$AD94,IF(AND($Z94&lt;&gt;"",EDATE($D94,Milestones!$AA$188)&gt;=$Z94),$AC94,IF(AND($Y94&lt;&gt;"",EDATE($D94,Milestones!$AA$188)&gt;=$Y94),$AB94,$AA94)))=Milestones!$AB$188),UPPER(TEXT(EDATE($D94,Milestones!$AA$188),"dd mmm yy"))&amp;" "&amp;Milestones!$AB$188&amp;" "&amp;IF(AND(Milestones!$AB$188="FT",Milestones!$AA$188=FT_Y5,EDATE($D94,Milestones!$AA$188)&lt;PolicyEff),1,Milestones!$AC$188)&amp;";  ","")&amp;IF(AND(EDATE($D94,Milestones!$AA$189)&lt;=AsOfDate,EDATE($D94,Milestones!$AA$189)&gt;=SchemeStart,IF($X94=0,$AD94,IF(AND($Z94&lt;&gt;"",EDATE($D94,Milestones!$AA$189)&gt;=$Z94),$AC94,IF(AND($Y94&lt;&gt;"",EDATE($D94,Milestones!$AA$189)&gt;=$Y94),$AB94,$AA94)))=Milestones!$AB$189),UPPER(TEXT(EDATE($D94,Milestones!$AA$189),"dd mmm yy"))&amp;" "&amp;Milestones!$AB$189&amp;" "&amp;IF(AND(Milestones!$AB$189="FT",Milestones!$AA$189=FT_Y5,EDATE($D94,Milestones!$AA$189)&lt;PolicyEff),1,Milestones!$AC$189)&amp;";  ","")&amp;IF(AND(EDATE($D94,Milestones!$AA$190)&lt;=AsOfDate,EDATE($D94,Milestones!$AA$190)&gt;=SchemeStart,IF($X94=0,$AD94,IF(AND($Z94&lt;&gt;"",EDATE($D94,Milestones!$AA$190)&gt;=$Z94),$AC94,IF(AND($Y94&lt;&gt;"",EDATE($D94,Milestones!$AA$190)&gt;=$Y94),$AB94,$AA94)))=Milestones!$AB$190),UPPER(TEXT(EDATE($D94,Milestones!$AA$190),"dd mmm yy"))&amp;" "&amp;Milestones!$AB$190&amp;" "&amp;IF(AND(Milestones!$AB$190="FT",Milestones!$AA$190=FT_Y5,EDATE($D94,Milestones!$AA$190)&lt;PolicyEff),1,Milestones!$AC$190)&amp;";  ","")&amp;IF(AND(EDATE($D94,Milestones!$AA$191)&lt;=AsOfDate,EDATE($D94,Milestones!$AA$191)&gt;=SchemeStart,IF($X94=0,$AD94,IF(AND($Z94&lt;&gt;"",EDATE($D94,Milestones!$AA$191)&gt;=$Z94),$AC94,IF(AND($Y94&lt;&gt;"",EDATE($D94,Milestones!$AA$191)&gt;=$Y94),$AB94,$AA94)))=Milestones!$AB$191),UPPER(TEXT(EDATE($D94,Milestones!$AA$191),"dd mmm yy"))&amp;" "&amp;Milestones!$AB$191&amp;" "&amp;IF(AND(Milestones!$AB$191="FT",Milestones!$AA$191=FT_Y5,EDATE($D94,Milestones!$AA$191)&lt;PolicyEff),1,Milestones!$AC$191)&amp;";  ","")&amp;IF(AND(EDATE($D94,Milestones!$AA$192)&lt;=AsOfDate,EDATE($D94,Milestones!$AA$192)&gt;=SchemeStart,IF($X94=0,$AD94,IF(AND($Z94&lt;&gt;"",EDATE($D94,Milestones!$AA$192)&gt;=$Z94),$AC94,IF(AND($Y94&lt;&gt;"",EDATE($D94,Milestones!$AA$192)&gt;=$Y94),$AB94,$AA94)))=Milestones!$AB$192),UPPER(TEXT(EDATE($D94,Milestones!$AA$192),"dd mmm yy"))&amp;" "&amp;Milestones!$AB$192&amp;" "&amp;IF(AND(Milestones!$AB$192="FT",Milestones!$AA$192=FT_Y5,EDATE($D94,Milestones!$AA$192)&lt;PolicyEff),1,Milestones!$AC$192)&amp;";  ","")&amp;IF(AND(EDATE($D94,Milestones!$AA$193)&lt;=AsOfDate,EDATE($D94,Milestones!$AA$193)&gt;=SchemeStart,IF($X94=0,$AD94,IF(AND($Z94&lt;&gt;"",EDATE($D94,Milestones!$AA$193)&gt;=$Z94),$AC94,IF(AND($Y94&lt;&gt;"",EDATE($D94,Milestones!$AA$193)&gt;=$Y94),$AB94,$AA94)))=Milestones!$AB$193),UPPER(TEXT(EDATE($D94,Milestones!$AA$193),"dd mmm yy"))&amp;" "&amp;Milestones!$AB$193&amp;" "&amp;IF(AND(Milestones!$AB$193="FT",Milestones!$AA$193=FT_Y5,EDATE($D94,Milestones!$AA$193)&lt;PolicyEff),1,Milestones!$AC$193)&amp;";  ","")&amp;IF(AND(EDATE($D94,Milestones!$AA$194)&lt;=AsOfDate,EDATE($D94,Milestones!$AA$194)&gt;=SchemeStart,IF($X94=0,$AD94,IF(AND($Z94&lt;&gt;"",EDATE($D94,Milestones!$AA$194)&gt;=$Z94),$AC94,IF(AND($Y94&lt;&gt;"",EDATE($D94,Milestones!$AA$194)&gt;=$Y94),$AB94,$AA94)))=Milestones!$AB$194),UPPER(TEXT(EDATE($D94,Milestones!$AA$194),"dd mmm yy"))&amp;" "&amp;Milestones!$AB$194&amp;" "&amp;IF(AND(Milestones!$AB$194="FT",Milestones!$AA$194=FT_Y5,EDATE($D94,Milestones!$AA$194)&lt;PolicyEff),1,Milestones!$AC$194)&amp;";  ","")&amp;IF(AND(EDATE($D94,Milestones!$AA$195)&lt;=AsOfDate,EDATE($D94,Milestones!$AA$195)&gt;=SchemeStart,IF($X94=0,$AD94,IF(AND($Z94&lt;&gt;"",EDATE($D94,Milestones!$AA$195)&gt;=$Z94),$AC94,IF(AND($Y94&lt;&gt;"",EDATE($D94,Milestones!$AA$195)&gt;=$Y94),$AB94,$AA94)))=Milestones!$AB$195),UPPER(TEXT(EDATE($D94,Milestones!$AA$195),"dd mmm yy"))&amp;" "&amp;Milestones!$AB$195&amp;" "&amp;IF(AND(Milestones!$AB$195="FT",Milestones!$AA$195=FT_Y5,EDATE($D94,Milestones!$AA$195)&lt;PolicyEff),1,Milestones!$AC$195)&amp;";  ","")&amp;IF(AND(EDATE($D94,Milestones!$AA$196)&lt;=AsOfDate,EDATE($D94,Milestones!$AA$196)&gt;=SchemeStart,IF($X94=0,$AD94,IF(AND($Z94&lt;&gt;"",EDATE($D94,Milestones!$AA$196)&gt;=$Z94),$AC94,IF(AND($Y94&lt;&gt;"",EDATE($D94,Milestones!$AA$196)&gt;=$Y94),$AB94,$AA94)))=Milestones!$AB$196),UPPER(TEXT(EDATE($D94,Milestones!$AA$196),"dd mmm yy"))&amp;" "&amp;Milestones!$AB$196&amp;" "&amp;IF(AND(Milestones!$AB$196="FT",Milestones!$AA$196=FT_Y5,EDATE($D94,Milestones!$AA$196)&lt;PolicyEff),1,Milestones!$AC$196)&amp;";  ","")&amp;IF(AND(EDATE($D94,Milestones!$AA$197)&lt;=AsOfDate,EDATE($D94,Milestones!$AA$197)&gt;=SchemeStart,IF($X94=0,$AD94,IF(AND($Z94&lt;&gt;"",EDATE($D94,Milestones!$AA$197)&gt;=$Z94),$AC94,IF(AND($Y94&lt;&gt;"",EDATE($D94,Milestones!$AA$197)&gt;=$Y94),$AB94,$AA94)))=Milestones!$AB$197),UPPER(TEXT(EDATE($D94,Milestones!$AA$197),"dd mmm yy"))&amp;" "&amp;Milestones!$AB$197&amp;" "&amp;IF(AND(Milestones!$AB$197="FT",Milestones!$AA$197=FT_Y5,EDATE($D94,Milestones!$AA$197)&lt;PolicyEff),1,Milestones!$AC$197)&amp;";  ","")&amp;IF(AND(EDATE($D94,Milestones!$AA$198)&lt;=AsOfDate,EDATE($D94,Milestones!$AA$198)&gt;=SchemeStart,IF($X94=0,$AD94,IF(AND($Z94&lt;&gt;"",EDATE($D94,Milestones!$AA$198)&gt;=$Z94),$AC94,IF(AND($Y94&lt;&gt;"",EDATE($D94,Milestones!$AA$198)&gt;=$Y94),$AB94,$AA94)))=Milestones!$AB$198),UPPER(TEXT(EDATE($D94,Milestones!$AA$198),"dd mmm yy"))&amp;" "&amp;Milestones!$AB$198&amp;" "&amp;IF(AND(Milestones!$AB$198="FT",Milestones!$AA$198=FT_Y5,EDATE($D94,Milestones!$AA$198)&lt;PolicyEff),1,Milestones!$AC$198)&amp;";  ","")&amp;IF(AND(EDATE($D94,Milestones!$AA$199)&lt;=AsOfDate,EDATE($D94,Milestones!$AA$199)&gt;=SchemeStart,IF($X94=0,$AD94,IF(AND($Z94&lt;&gt;"",EDATE($D94,Milestones!$AA$199)&gt;=$Z94),$AC94,IF(AND($Y94&lt;&gt;"",EDATE($D94,Milestones!$AA$199)&gt;=$Y94),$AB94,$AA94)))=Milestones!$AB$199),UPPER(TEXT(EDATE($D94,Milestones!$AA$199),"dd mmm yy"))&amp;" "&amp;Milestones!$AB$199&amp;" "&amp;IF(AND(Milestones!$AB$199="FT",Milestones!$AA$199=FT_Y5,EDATE($D94,Milestones!$AA$199)&lt;PolicyEff),1,Milestones!$AC$199)&amp;";  ",""))</f>
        <v/>
      </c>
      <c r="X94" s="0" t="str">
        <f aca="false">IF(Staff!$A94="","",Staff!$AM94)</f>
        <v/>
      </c>
      <c r="Y94" s="0" t="str">
        <f aca="false">IF(Staff!$A94="","",Staff!$AO94)</f>
        <v/>
      </c>
      <c r="Z94" s="0" t="str">
        <f aca="false">IF(Staff!$A94="","",Staff!$AP94)</f>
        <v/>
      </c>
      <c r="AA94" s="0" t="str">
        <f aca="false">IF(Staff!$A94="","",Staff!$AT94)</f>
        <v/>
      </c>
      <c r="AB94" s="0" t="str">
        <f aca="false">IF(Staff!$A94="","",Staff!$AU94)</f>
        <v/>
      </c>
      <c r="AC94" s="0" t="str">
        <f aca="false">IF(Staff!$A94="","",Staff!$AV94)</f>
        <v/>
      </c>
      <c r="AD94" s="0" t="str">
        <f aca="false">IF(Staff!$A94="","",Staff!$AW94)</f>
        <v/>
      </c>
    </row>
    <row r="95" customFormat="false" ht="15" hidden="false" customHeight="false" outlineLevel="0" collapsed="false">
      <c r="A95" s="16" t="str">
        <f aca="false">IF(Staff!$A95="","",Staff!$A95)</f>
        <v/>
      </c>
      <c r="B95" s="16" t="str">
        <f aca="false">IF(Staff!$A95="","",Staff!$B95)</f>
        <v/>
      </c>
      <c r="C95" s="16" t="str">
        <f aca="false">IF(Staff!$A95="","",Staff!$C95)</f>
        <v/>
      </c>
      <c r="D95" s="14" t="str">
        <f aca="false">IF(Staff!$A95="","",Staff!$AL95)</f>
        <v/>
      </c>
      <c r="E95" s="16" t="str">
        <f aca="false">IF(Staff!$A95="","",Staff!$O95)</f>
        <v/>
      </c>
      <c r="F95" s="16" t="str">
        <f aca="false">IF(E95="","",E95*HoursPerDay)</f>
        <v/>
      </c>
      <c r="G95" s="16" t="str">
        <f aca="false">IF(Staff!$A95="","",Staff!$AE95)</f>
        <v/>
      </c>
      <c r="H95" s="28" t="str">
        <f aca="false">IF($A95="","",I95&amp;J95&amp;K95&amp;L95&amp;M95&amp;N95&amp;O95&amp;P95&amp;Q95&amp;R95&amp;S95&amp;T95&amp;U95&amp;V95&amp;W95)</f>
        <v/>
      </c>
      <c r="I95" s="0" t="str">
        <f aca="false">IF(OR($A95="",$D95=""),"",IF(AND(EDATE($D95,Milestones!$AA$20)&lt;=AsOfDate,EDATE($D95,Milestones!$AA$20)&gt;=SchemeStart,IF($X95=0,$AD95,IF(AND($Z95&lt;&gt;"",EDATE($D95,Milestones!$AA$20)&gt;=$Z95),$AC95,IF(AND($Y95&lt;&gt;"",EDATE($D95,Milestones!$AA$20)&gt;=$Y95),$AB95,$AA95)))=Milestones!$AB$20),UPPER(TEXT(EDATE($D95,Milestones!$AA$20),"dd mmm yy"))&amp;" "&amp;Milestones!$AB$20&amp;" "&amp;IF(AND(Milestones!$AB$20="FT",Milestones!$AA$20=FT_Y5,EDATE($D95,Milestones!$AA$20)&lt;PolicyEff),1,Milestones!$AC$20)&amp;";  ","")&amp;IF(AND(EDATE($D95,Milestones!$AA$21)&lt;=AsOfDate,EDATE($D95,Milestones!$AA$21)&gt;=SchemeStart,IF($X95=0,$AD95,IF(AND($Z95&lt;&gt;"",EDATE($D95,Milestones!$AA$21)&gt;=$Z95),$AC95,IF(AND($Y95&lt;&gt;"",EDATE($D95,Milestones!$AA$21)&gt;=$Y95),$AB95,$AA95)))=Milestones!$AB$21),UPPER(TEXT(EDATE($D95,Milestones!$AA$21),"dd mmm yy"))&amp;" "&amp;Milestones!$AB$21&amp;" "&amp;IF(AND(Milestones!$AB$21="FT",Milestones!$AA$21=FT_Y5,EDATE($D95,Milestones!$AA$21)&lt;PolicyEff),1,Milestones!$AC$21)&amp;";  ","")&amp;IF(AND(EDATE($D95,Milestones!$AA$22)&lt;=AsOfDate,EDATE($D95,Milestones!$AA$22)&gt;=SchemeStart,IF($X95=0,$AD95,IF(AND($Z95&lt;&gt;"",EDATE($D95,Milestones!$AA$22)&gt;=$Z95),$AC95,IF(AND($Y95&lt;&gt;"",EDATE($D95,Milestones!$AA$22)&gt;=$Y95),$AB95,$AA95)))=Milestones!$AB$22),UPPER(TEXT(EDATE($D95,Milestones!$AA$22),"dd mmm yy"))&amp;" "&amp;Milestones!$AB$22&amp;" "&amp;IF(AND(Milestones!$AB$22="FT",Milestones!$AA$22=FT_Y5,EDATE($D95,Milestones!$AA$22)&lt;PolicyEff),1,Milestones!$AC$22)&amp;";  ","")&amp;IF(AND(EDATE($D95,Milestones!$AA$23)&lt;=AsOfDate,EDATE($D95,Milestones!$AA$23)&gt;=SchemeStart,IF($X95=0,$AD95,IF(AND($Z95&lt;&gt;"",EDATE($D95,Milestones!$AA$23)&gt;=$Z95),$AC95,IF(AND($Y95&lt;&gt;"",EDATE($D95,Milestones!$AA$23)&gt;=$Y95),$AB95,$AA95)))=Milestones!$AB$23),UPPER(TEXT(EDATE($D95,Milestones!$AA$23),"dd mmm yy"))&amp;" "&amp;Milestones!$AB$23&amp;" "&amp;IF(AND(Milestones!$AB$23="FT",Milestones!$AA$23=FT_Y5,EDATE($D95,Milestones!$AA$23)&lt;PolicyEff),1,Milestones!$AC$23)&amp;";  ","")&amp;IF(AND(EDATE($D95,Milestones!$AA$24)&lt;=AsOfDate,EDATE($D95,Milestones!$AA$24)&gt;=SchemeStart,IF($X95=0,$AD95,IF(AND($Z95&lt;&gt;"",EDATE($D95,Milestones!$AA$24)&gt;=$Z95),$AC95,IF(AND($Y95&lt;&gt;"",EDATE($D95,Milestones!$AA$24)&gt;=$Y95),$AB95,$AA95)))=Milestones!$AB$24),UPPER(TEXT(EDATE($D95,Milestones!$AA$24),"dd mmm yy"))&amp;" "&amp;Milestones!$AB$24&amp;" "&amp;IF(AND(Milestones!$AB$24="FT",Milestones!$AA$24=FT_Y5,EDATE($D95,Milestones!$AA$24)&lt;PolicyEff),1,Milestones!$AC$24)&amp;";  ","")&amp;IF(AND(EDATE($D95,Milestones!$AA$25)&lt;=AsOfDate,EDATE($D95,Milestones!$AA$25)&gt;=SchemeStart,IF($X95=0,$AD95,IF(AND($Z95&lt;&gt;"",EDATE($D95,Milestones!$AA$25)&gt;=$Z95),$AC95,IF(AND($Y95&lt;&gt;"",EDATE($D95,Milestones!$AA$25)&gt;=$Y95),$AB95,$AA95)))=Milestones!$AB$25),UPPER(TEXT(EDATE($D95,Milestones!$AA$25),"dd mmm yy"))&amp;" "&amp;Milestones!$AB$25&amp;" "&amp;IF(AND(Milestones!$AB$25="FT",Milestones!$AA$25=FT_Y5,EDATE($D95,Milestones!$AA$25)&lt;PolicyEff),1,Milestones!$AC$25)&amp;";  ","")&amp;IF(AND(EDATE($D95,Milestones!$AA$26)&lt;=AsOfDate,EDATE($D95,Milestones!$AA$26)&gt;=SchemeStart,IF($X95=0,$AD95,IF(AND($Z95&lt;&gt;"",EDATE($D95,Milestones!$AA$26)&gt;=$Z95),$AC95,IF(AND($Y95&lt;&gt;"",EDATE($D95,Milestones!$AA$26)&gt;=$Y95),$AB95,$AA95)))=Milestones!$AB$26),UPPER(TEXT(EDATE($D95,Milestones!$AA$26),"dd mmm yy"))&amp;" "&amp;Milestones!$AB$26&amp;" "&amp;IF(AND(Milestones!$AB$26="FT",Milestones!$AA$26=FT_Y5,EDATE($D95,Milestones!$AA$26)&lt;PolicyEff),1,Milestones!$AC$26)&amp;";  ","")&amp;IF(AND(EDATE($D95,Milestones!$AA$27)&lt;=AsOfDate,EDATE($D95,Milestones!$AA$27)&gt;=SchemeStart,IF($X95=0,$AD95,IF(AND($Z95&lt;&gt;"",EDATE($D95,Milestones!$AA$27)&gt;=$Z95),$AC95,IF(AND($Y95&lt;&gt;"",EDATE($D95,Milestones!$AA$27)&gt;=$Y95),$AB95,$AA95)))=Milestones!$AB$27),UPPER(TEXT(EDATE($D95,Milestones!$AA$27),"dd mmm yy"))&amp;" "&amp;Milestones!$AB$27&amp;" "&amp;IF(AND(Milestones!$AB$27="FT",Milestones!$AA$27=FT_Y5,EDATE($D95,Milestones!$AA$27)&lt;PolicyEff),1,Milestones!$AC$27)&amp;";  ","")&amp;IF(AND(EDATE($D95,Milestones!$AA$28)&lt;=AsOfDate,EDATE($D95,Milestones!$AA$28)&gt;=SchemeStart,IF($X95=0,$AD95,IF(AND($Z95&lt;&gt;"",EDATE($D95,Milestones!$AA$28)&gt;=$Z95),$AC95,IF(AND($Y95&lt;&gt;"",EDATE($D95,Milestones!$AA$28)&gt;=$Y95),$AB95,$AA95)))=Milestones!$AB$28),UPPER(TEXT(EDATE($D95,Milestones!$AA$28),"dd mmm yy"))&amp;" "&amp;Milestones!$AB$28&amp;" "&amp;IF(AND(Milestones!$AB$28="FT",Milestones!$AA$28=FT_Y5,EDATE($D95,Milestones!$AA$28)&lt;PolicyEff),1,Milestones!$AC$28)&amp;";  ","")&amp;IF(AND(EDATE($D95,Milestones!$AA$29)&lt;=AsOfDate,EDATE($D95,Milestones!$AA$29)&gt;=SchemeStart,IF($X95=0,$AD95,IF(AND($Z95&lt;&gt;"",EDATE($D95,Milestones!$AA$29)&gt;=$Z95),$AC95,IF(AND($Y95&lt;&gt;"",EDATE($D95,Milestones!$AA$29)&gt;=$Y95),$AB95,$AA95)))=Milestones!$AB$29),UPPER(TEXT(EDATE($D95,Milestones!$AA$29),"dd mmm yy"))&amp;" "&amp;Milestones!$AB$29&amp;" "&amp;IF(AND(Milestones!$AB$29="FT",Milestones!$AA$29=FT_Y5,EDATE($D95,Milestones!$AA$29)&lt;PolicyEff),1,Milestones!$AC$29)&amp;";  ","")&amp;IF(AND(EDATE($D95,Milestones!$AA$30)&lt;=AsOfDate,EDATE($D95,Milestones!$AA$30)&gt;=SchemeStart,IF($X95=0,$AD95,IF(AND($Z95&lt;&gt;"",EDATE($D95,Milestones!$AA$30)&gt;=$Z95),$AC95,IF(AND($Y95&lt;&gt;"",EDATE($D95,Milestones!$AA$30)&gt;=$Y95),$AB95,$AA95)))=Milestones!$AB$30),UPPER(TEXT(EDATE($D95,Milestones!$AA$30),"dd mmm yy"))&amp;" "&amp;Milestones!$AB$30&amp;" "&amp;IF(AND(Milestones!$AB$30="FT",Milestones!$AA$30=FT_Y5,EDATE($D95,Milestones!$AA$30)&lt;PolicyEff),1,Milestones!$AC$30)&amp;";  ","")&amp;IF(AND(EDATE($D95,Milestones!$AA$31)&lt;=AsOfDate,EDATE($D95,Milestones!$AA$31)&gt;=SchemeStart,IF($X95=0,$AD95,IF(AND($Z95&lt;&gt;"",EDATE($D95,Milestones!$AA$31)&gt;=$Z95),$AC95,IF(AND($Y95&lt;&gt;"",EDATE($D95,Milestones!$AA$31)&gt;=$Y95),$AB95,$AA95)))=Milestones!$AB$31),UPPER(TEXT(EDATE($D95,Milestones!$AA$31),"dd mmm yy"))&amp;" "&amp;Milestones!$AB$31&amp;" "&amp;IF(AND(Milestones!$AB$31="FT",Milestones!$AA$31=FT_Y5,EDATE($D95,Milestones!$AA$31)&lt;PolicyEff),1,Milestones!$AC$31)&amp;";  ",""))</f>
        <v/>
      </c>
      <c r="J95" s="0" t="str">
        <f aca="false">IF(OR($A95="",$D95=""),"",IF(AND(EDATE($D95,Milestones!$AA$32)&lt;=AsOfDate,EDATE($D95,Milestones!$AA$32)&gt;=SchemeStart,IF($X95=0,$AD95,IF(AND($Z95&lt;&gt;"",EDATE($D95,Milestones!$AA$32)&gt;=$Z95),$AC95,IF(AND($Y95&lt;&gt;"",EDATE($D95,Milestones!$AA$32)&gt;=$Y95),$AB95,$AA95)))=Milestones!$AB$32),UPPER(TEXT(EDATE($D95,Milestones!$AA$32),"dd mmm yy"))&amp;" "&amp;Milestones!$AB$32&amp;" "&amp;IF(AND(Milestones!$AB$32="FT",Milestones!$AA$32=FT_Y5,EDATE($D95,Milestones!$AA$32)&lt;PolicyEff),1,Milestones!$AC$32)&amp;";  ","")&amp;IF(AND(EDATE($D95,Milestones!$AA$33)&lt;=AsOfDate,EDATE($D95,Milestones!$AA$33)&gt;=SchemeStart,IF($X95=0,$AD95,IF(AND($Z95&lt;&gt;"",EDATE($D95,Milestones!$AA$33)&gt;=$Z95),$AC95,IF(AND($Y95&lt;&gt;"",EDATE($D95,Milestones!$AA$33)&gt;=$Y95),$AB95,$AA95)))=Milestones!$AB$33),UPPER(TEXT(EDATE($D95,Milestones!$AA$33),"dd mmm yy"))&amp;" "&amp;Milestones!$AB$33&amp;" "&amp;IF(AND(Milestones!$AB$33="FT",Milestones!$AA$33=FT_Y5,EDATE($D95,Milestones!$AA$33)&lt;PolicyEff),1,Milestones!$AC$33)&amp;";  ","")&amp;IF(AND(EDATE($D95,Milestones!$AA$34)&lt;=AsOfDate,EDATE($D95,Milestones!$AA$34)&gt;=SchemeStart,IF($X95=0,$AD95,IF(AND($Z95&lt;&gt;"",EDATE($D95,Milestones!$AA$34)&gt;=$Z95),$AC95,IF(AND($Y95&lt;&gt;"",EDATE($D95,Milestones!$AA$34)&gt;=$Y95),$AB95,$AA95)))=Milestones!$AB$34),UPPER(TEXT(EDATE($D95,Milestones!$AA$34),"dd mmm yy"))&amp;" "&amp;Milestones!$AB$34&amp;" "&amp;IF(AND(Milestones!$AB$34="FT",Milestones!$AA$34=FT_Y5,EDATE($D95,Milestones!$AA$34)&lt;PolicyEff),1,Milestones!$AC$34)&amp;";  ","")&amp;IF(AND(EDATE($D95,Milestones!$AA$35)&lt;=AsOfDate,EDATE($D95,Milestones!$AA$35)&gt;=SchemeStart,IF($X95=0,$AD95,IF(AND($Z95&lt;&gt;"",EDATE($D95,Milestones!$AA$35)&gt;=$Z95),$AC95,IF(AND($Y95&lt;&gt;"",EDATE($D95,Milestones!$AA$35)&gt;=$Y95),$AB95,$AA95)))=Milestones!$AB$35),UPPER(TEXT(EDATE($D95,Milestones!$AA$35),"dd mmm yy"))&amp;" "&amp;Milestones!$AB$35&amp;" "&amp;IF(AND(Milestones!$AB$35="FT",Milestones!$AA$35=FT_Y5,EDATE($D95,Milestones!$AA$35)&lt;PolicyEff),1,Milestones!$AC$35)&amp;";  ","")&amp;IF(AND(EDATE($D95,Milestones!$AA$36)&lt;=AsOfDate,EDATE($D95,Milestones!$AA$36)&gt;=SchemeStart,IF($X95=0,$AD95,IF(AND($Z95&lt;&gt;"",EDATE($D95,Milestones!$AA$36)&gt;=$Z95),$AC95,IF(AND($Y95&lt;&gt;"",EDATE($D95,Milestones!$AA$36)&gt;=$Y95),$AB95,$AA95)))=Milestones!$AB$36),UPPER(TEXT(EDATE($D95,Milestones!$AA$36),"dd mmm yy"))&amp;" "&amp;Milestones!$AB$36&amp;" "&amp;IF(AND(Milestones!$AB$36="FT",Milestones!$AA$36=FT_Y5,EDATE($D95,Milestones!$AA$36)&lt;PolicyEff),1,Milestones!$AC$36)&amp;";  ","")&amp;IF(AND(EDATE($D95,Milestones!$AA$37)&lt;=AsOfDate,EDATE($D95,Milestones!$AA$37)&gt;=SchemeStart,IF($X95=0,$AD95,IF(AND($Z95&lt;&gt;"",EDATE($D95,Milestones!$AA$37)&gt;=$Z95),$AC95,IF(AND($Y95&lt;&gt;"",EDATE($D95,Milestones!$AA$37)&gt;=$Y95),$AB95,$AA95)))=Milestones!$AB$37),UPPER(TEXT(EDATE($D95,Milestones!$AA$37),"dd mmm yy"))&amp;" "&amp;Milestones!$AB$37&amp;" "&amp;IF(AND(Milestones!$AB$37="FT",Milestones!$AA$37=FT_Y5,EDATE($D95,Milestones!$AA$37)&lt;PolicyEff),1,Milestones!$AC$37)&amp;";  ","")&amp;IF(AND(EDATE($D95,Milestones!$AA$38)&lt;=AsOfDate,EDATE($D95,Milestones!$AA$38)&gt;=SchemeStart,IF($X95=0,$AD95,IF(AND($Z95&lt;&gt;"",EDATE($D95,Milestones!$AA$38)&gt;=$Z95),$AC95,IF(AND($Y95&lt;&gt;"",EDATE($D95,Milestones!$AA$38)&gt;=$Y95),$AB95,$AA95)))=Milestones!$AB$38),UPPER(TEXT(EDATE($D95,Milestones!$AA$38),"dd mmm yy"))&amp;" "&amp;Milestones!$AB$38&amp;" "&amp;IF(AND(Milestones!$AB$38="FT",Milestones!$AA$38=FT_Y5,EDATE($D95,Milestones!$AA$38)&lt;PolicyEff),1,Milestones!$AC$38)&amp;";  ","")&amp;IF(AND(EDATE($D95,Milestones!$AA$39)&lt;=AsOfDate,EDATE($D95,Milestones!$AA$39)&gt;=SchemeStart,IF($X95=0,$AD95,IF(AND($Z95&lt;&gt;"",EDATE($D95,Milestones!$AA$39)&gt;=$Z95),$AC95,IF(AND($Y95&lt;&gt;"",EDATE($D95,Milestones!$AA$39)&gt;=$Y95),$AB95,$AA95)))=Milestones!$AB$39),UPPER(TEXT(EDATE($D95,Milestones!$AA$39),"dd mmm yy"))&amp;" "&amp;Milestones!$AB$39&amp;" "&amp;IF(AND(Milestones!$AB$39="FT",Milestones!$AA$39=FT_Y5,EDATE($D95,Milestones!$AA$39)&lt;PolicyEff),1,Milestones!$AC$39)&amp;";  ","")&amp;IF(AND(EDATE($D95,Milestones!$AA$40)&lt;=AsOfDate,EDATE($D95,Milestones!$AA$40)&gt;=SchemeStart,IF($X95=0,$AD95,IF(AND($Z95&lt;&gt;"",EDATE($D95,Milestones!$AA$40)&gt;=$Z95),$AC95,IF(AND($Y95&lt;&gt;"",EDATE($D95,Milestones!$AA$40)&gt;=$Y95),$AB95,$AA95)))=Milestones!$AB$40),UPPER(TEXT(EDATE($D95,Milestones!$AA$40),"dd mmm yy"))&amp;" "&amp;Milestones!$AB$40&amp;" "&amp;IF(AND(Milestones!$AB$40="FT",Milestones!$AA$40=FT_Y5,EDATE($D95,Milestones!$AA$40)&lt;PolicyEff),1,Milestones!$AC$40)&amp;";  ","")&amp;IF(AND(EDATE($D95,Milestones!$AA$41)&lt;=AsOfDate,EDATE($D95,Milestones!$AA$41)&gt;=SchemeStart,IF($X95=0,$AD95,IF(AND($Z95&lt;&gt;"",EDATE($D95,Milestones!$AA$41)&gt;=$Z95),$AC95,IF(AND($Y95&lt;&gt;"",EDATE($D95,Milestones!$AA$41)&gt;=$Y95),$AB95,$AA95)))=Milestones!$AB$41),UPPER(TEXT(EDATE($D95,Milestones!$AA$41),"dd mmm yy"))&amp;" "&amp;Milestones!$AB$41&amp;" "&amp;IF(AND(Milestones!$AB$41="FT",Milestones!$AA$41=FT_Y5,EDATE($D95,Milestones!$AA$41)&lt;PolicyEff),1,Milestones!$AC$41)&amp;";  ","")&amp;IF(AND(EDATE($D95,Milestones!$AA$42)&lt;=AsOfDate,EDATE($D95,Milestones!$AA$42)&gt;=SchemeStart,IF($X95=0,$AD95,IF(AND($Z95&lt;&gt;"",EDATE($D95,Milestones!$AA$42)&gt;=$Z95),$AC95,IF(AND($Y95&lt;&gt;"",EDATE($D95,Milestones!$AA$42)&gt;=$Y95),$AB95,$AA95)))=Milestones!$AB$42),UPPER(TEXT(EDATE($D95,Milestones!$AA$42),"dd mmm yy"))&amp;" "&amp;Milestones!$AB$42&amp;" "&amp;IF(AND(Milestones!$AB$42="FT",Milestones!$AA$42=FT_Y5,EDATE($D95,Milestones!$AA$42)&lt;PolicyEff),1,Milestones!$AC$42)&amp;";  ","")&amp;IF(AND(EDATE($D95,Milestones!$AA$43)&lt;=AsOfDate,EDATE($D95,Milestones!$AA$43)&gt;=SchemeStart,IF($X95=0,$AD95,IF(AND($Z95&lt;&gt;"",EDATE($D95,Milestones!$AA$43)&gt;=$Z95),$AC95,IF(AND($Y95&lt;&gt;"",EDATE($D95,Milestones!$AA$43)&gt;=$Y95),$AB95,$AA95)))=Milestones!$AB$43),UPPER(TEXT(EDATE($D95,Milestones!$AA$43),"dd mmm yy"))&amp;" "&amp;Milestones!$AB$43&amp;" "&amp;IF(AND(Milestones!$AB$43="FT",Milestones!$AA$43=FT_Y5,EDATE($D95,Milestones!$AA$43)&lt;PolicyEff),1,Milestones!$AC$43)&amp;";  ",""))</f>
        <v/>
      </c>
      <c r="K95" s="0" t="str">
        <f aca="false">IF(OR($A95="",$D95=""),"",IF(AND(EDATE($D95,Milestones!$AA$44)&lt;=AsOfDate,EDATE($D95,Milestones!$AA$44)&gt;=SchemeStart,IF($X95=0,$AD95,IF(AND($Z95&lt;&gt;"",EDATE($D95,Milestones!$AA$44)&gt;=$Z95),$AC95,IF(AND($Y95&lt;&gt;"",EDATE($D95,Milestones!$AA$44)&gt;=$Y95),$AB95,$AA95)))=Milestones!$AB$44),UPPER(TEXT(EDATE($D95,Milestones!$AA$44),"dd mmm yy"))&amp;" "&amp;Milestones!$AB$44&amp;" "&amp;IF(AND(Milestones!$AB$44="FT",Milestones!$AA$44=FT_Y5,EDATE($D95,Milestones!$AA$44)&lt;PolicyEff),1,Milestones!$AC$44)&amp;";  ","")&amp;IF(AND(EDATE($D95,Milestones!$AA$45)&lt;=AsOfDate,EDATE($D95,Milestones!$AA$45)&gt;=SchemeStart,IF($X95=0,$AD95,IF(AND($Z95&lt;&gt;"",EDATE($D95,Milestones!$AA$45)&gt;=$Z95),$AC95,IF(AND($Y95&lt;&gt;"",EDATE($D95,Milestones!$AA$45)&gt;=$Y95),$AB95,$AA95)))=Milestones!$AB$45),UPPER(TEXT(EDATE($D95,Milestones!$AA$45),"dd mmm yy"))&amp;" "&amp;Milestones!$AB$45&amp;" "&amp;IF(AND(Milestones!$AB$45="FT",Milestones!$AA$45=FT_Y5,EDATE($D95,Milestones!$AA$45)&lt;PolicyEff),1,Milestones!$AC$45)&amp;";  ","")&amp;IF(AND(EDATE($D95,Milestones!$AA$46)&lt;=AsOfDate,EDATE($D95,Milestones!$AA$46)&gt;=SchemeStart,IF($X95=0,$AD95,IF(AND($Z95&lt;&gt;"",EDATE($D95,Milestones!$AA$46)&gt;=$Z95),$AC95,IF(AND($Y95&lt;&gt;"",EDATE($D95,Milestones!$AA$46)&gt;=$Y95),$AB95,$AA95)))=Milestones!$AB$46),UPPER(TEXT(EDATE($D95,Milestones!$AA$46),"dd mmm yy"))&amp;" "&amp;Milestones!$AB$46&amp;" "&amp;IF(AND(Milestones!$AB$46="FT",Milestones!$AA$46=FT_Y5,EDATE($D95,Milestones!$AA$46)&lt;PolicyEff),1,Milestones!$AC$46)&amp;";  ","")&amp;IF(AND(EDATE($D95,Milestones!$AA$47)&lt;=AsOfDate,EDATE($D95,Milestones!$AA$47)&gt;=SchemeStart,IF($X95=0,$AD95,IF(AND($Z95&lt;&gt;"",EDATE($D95,Milestones!$AA$47)&gt;=$Z95),$AC95,IF(AND($Y95&lt;&gt;"",EDATE($D95,Milestones!$AA$47)&gt;=$Y95),$AB95,$AA95)))=Milestones!$AB$47),UPPER(TEXT(EDATE($D95,Milestones!$AA$47),"dd mmm yy"))&amp;" "&amp;Milestones!$AB$47&amp;" "&amp;IF(AND(Milestones!$AB$47="FT",Milestones!$AA$47=FT_Y5,EDATE($D95,Milestones!$AA$47)&lt;PolicyEff),1,Milestones!$AC$47)&amp;";  ","")&amp;IF(AND(EDATE($D95,Milestones!$AA$48)&lt;=AsOfDate,EDATE($D95,Milestones!$AA$48)&gt;=SchemeStart,IF($X95=0,$AD95,IF(AND($Z95&lt;&gt;"",EDATE($D95,Milestones!$AA$48)&gt;=$Z95),$AC95,IF(AND($Y95&lt;&gt;"",EDATE($D95,Milestones!$AA$48)&gt;=$Y95),$AB95,$AA95)))=Milestones!$AB$48),UPPER(TEXT(EDATE($D95,Milestones!$AA$48),"dd mmm yy"))&amp;" "&amp;Milestones!$AB$48&amp;" "&amp;IF(AND(Milestones!$AB$48="FT",Milestones!$AA$48=FT_Y5,EDATE($D95,Milestones!$AA$48)&lt;PolicyEff),1,Milestones!$AC$48)&amp;";  ","")&amp;IF(AND(EDATE($D95,Milestones!$AA$49)&lt;=AsOfDate,EDATE($D95,Milestones!$AA$49)&gt;=SchemeStart,IF($X95=0,$AD95,IF(AND($Z95&lt;&gt;"",EDATE($D95,Milestones!$AA$49)&gt;=$Z95),$AC95,IF(AND($Y95&lt;&gt;"",EDATE($D95,Milestones!$AA$49)&gt;=$Y95),$AB95,$AA95)))=Milestones!$AB$49),UPPER(TEXT(EDATE($D95,Milestones!$AA$49),"dd mmm yy"))&amp;" "&amp;Milestones!$AB$49&amp;" "&amp;IF(AND(Milestones!$AB$49="FT",Milestones!$AA$49=FT_Y5,EDATE($D95,Milestones!$AA$49)&lt;PolicyEff),1,Milestones!$AC$49)&amp;";  ","")&amp;IF(AND(EDATE($D95,Milestones!$AA$50)&lt;=AsOfDate,EDATE($D95,Milestones!$AA$50)&gt;=SchemeStart,IF($X95=0,$AD95,IF(AND($Z95&lt;&gt;"",EDATE($D95,Milestones!$AA$50)&gt;=$Z95),$AC95,IF(AND($Y95&lt;&gt;"",EDATE($D95,Milestones!$AA$50)&gt;=$Y95),$AB95,$AA95)))=Milestones!$AB$50),UPPER(TEXT(EDATE($D95,Milestones!$AA$50),"dd mmm yy"))&amp;" "&amp;Milestones!$AB$50&amp;" "&amp;IF(AND(Milestones!$AB$50="FT",Milestones!$AA$50=FT_Y5,EDATE($D95,Milestones!$AA$50)&lt;PolicyEff),1,Milestones!$AC$50)&amp;";  ","")&amp;IF(AND(EDATE($D95,Milestones!$AA$51)&lt;=AsOfDate,EDATE($D95,Milestones!$AA$51)&gt;=SchemeStart,IF($X95=0,$AD95,IF(AND($Z95&lt;&gt;"",EDATE($D95,Milestones!$AA$51)&gt;=$Z95),$AC95,IF(AND($Y95&lt;&gt;"",EDATE($D95,Milestones!$AA$51)&gt;=$Y95),$AB95,$AA95)))=Milestones!$AB$51),UPPER(TEXT(EDATE($D95,Milestones!$AA$51),"dd mmm yy"))&amp;" "&amp;Milestones!$AB$51&amp;" "&amp;IF(AND(Milestones!$AB$51="FT",Milestones!$AA$51=FT_Y5,EDATE($D95,Milestones!$AA$51)&lt;PolicyEff),1,Milestones!$AC$51)&amp;";  ","")&amp;IF(AND(EDATE($D95,Milestones!$AA$52)&lt;=AsOfDate,EDATE($D95,Milestones!$AA$52)&gt;=SchemeStart,IF($X95=0,$AD95,IF(AND($Z95&lt;&gt;"",EDATE($D95,Milestones!$AA$52)&gt;=$Z95),$AC95,IF(AND($Y95&lt;&gt;"",EDATE($D95,Milestones!$AA$52)&gt;=$Y95),$AB95,$AA95)))=Milestones!$AB$52),UPPER(TEXT(EDATE($D95,Milestones!$AA$52),"dd mmm yy"))&amp;" "&amp;Milestones!$AB$52&amp;" "&amp;IF(AND(Milestones!$AB$52="FT",Milestones!$AA$52=FT_Y5,EDATE($D95,Milestones!$AA$52)&lt;PolicyEff),1,Milestones!$AC$52)&amp;";  ","")&amp;IF(AND(EDATE($D95,Milestones!$AA$53)&lt;=AsOfDate,EDATE($D95,Milestones!$AA$53)&gt;=SchemeStart,IF($X95=0,$AD95,IF(AND($Z95&lt;&gt;"",EDATE($D95,Milestones!$AA$53)&gt;=$Z95),$AC95,IF(AND($Y95&lt;&gt;"",EDATE($D95,Milestones!$AA$53)&gt;=$Y95),$AB95,$AA95)))=Milestones!$AB$53),UPPER(TEXT(EDATE($D95,Milestones!$AA$53),"dd mmm yy"))&amp;" "&amp;Milestones!$AB$53&amp;" "&amp;IF(AND(Milestones!$AB$53="FT",Milestones!$AA$53=FT_Y5,EDATE($D95,Milestones!$AA$53)&lt;PolicyEff),1,Milestones!$AC$53)&amp;";  ","")&amp;IF(AND(EDATE($D95,Milestones!$AA$54)&lt;=AsOfDate,EDATE($D95,Milestones!$AA$54)&gt;=SchemeStart,IF($X95=0,$AD95,IF(AND($Z95&lt;&gt;"",EDATE($D95,Milestones!$AA$54)&gt;=$Z95),$AC95,IF(AND($Y95&lt;&gt;"",EDATE($D95,Milestones!$AA$54)&gt;=$Y95),$AB95,$AA95)))=Milestones!$AB$54),UPPER(TEXT(EDATE($D95,Milestones!$AA$54),"dd mmm yy"))&amp;" "&amp;Milestones!$AB$54&amp;" "&amp;IF(AND(Milestones!$AB$54="FT",Milestones!$AA$54=FT_Y5,EDATE($D95,Milestones!$AA$54)&lt;PolicyEff),1,Milestones!$AC$54)&amp;";  ","")&amp;IF(AND(EDATE($D95,Milestones!$AA$55)&lt;=AsOfDate,EDATE($D95,Milestones!$AA$55)&gt;=SchemeStart,IF($X95=0,$AD95,IF(AND($Z95&lt;&gt;"",EDATE($D95,Milestones!$AA$55)&gt;=$Z95),$AC95,IF(AND($Y95&lt;&gt;"",EDATE($D95,Milestones!$AA$55)&gt;=$Y95),$AB95,$AA95)))=Milestones!$AB$55),UPPER(TEXT(EDATE($D95,Milestones!$AA$55),"dd mmm yy"))&amp;" "&amp;Milestones!$AB$55&amp;" "&amp;IF(AND(Milestones!$AB$55="FT",Milestones!$AA$55=FT_Y5,EDATE($D95,Milestones!$AA$55)&lt;PolicyEff),1,Milestones!$AC$55)&amp;";  ",""))</f>
        <v/>
      </c>
      <c r="L95" s="0" t="str">
        <f aca="false">IF(OR($A95="",$D95=""),"",IF(AND(EDATE($D95,Milestones!$AA$56)&lt;=AsOfDate,EDATE($D95,Milestones!$AA$56)&gt;=SchemeStart,IF($X95=0,$AD95,IF(AND($Z95&lt;&gt;"",EDATE($D95,Milestones!$AA$56)&gt;=$Z95),$AC95,IF(AND($Y95&lt;&gt;"",EDATE($D95,Milestones!$AA$56)&gt;=$Y95),$AB95,$AA95)))=Milestones!$AB$56),UPPER(TEXT(EDATE($D95,Milestones!$AA$56),"dd mmm yy"))&amp;" "&amp;Milestones!$AB$56&amp;" "&amp;IF(AND(Milestones!$AB$56="FT",Milestones!$AA$56=FT_Y5,EDATE($D95,Milestones!$AA$56)&lt;PolicyEff),1,Milestones!$AC$56)&amp;";  ","")&amp;IF(AND(EDATE($D95,Milestones!$AA$57)&lt;=AsOfDate,EDATE($D95,Milestones!$AA$57)&gt;=SchemeStart,IF($X95=0,$AD95,IF(AND($Z95&lt;&gt;"",EDATE($D95,Milestones!$AA$57)&gt;=$Z95),$AC95,IF(AND($Y95&lt;&gt;"",EDATE($D95,Milestones!$AA$57)&gt;=$Y95),$AB95,$AA95)))=Milestones!$AB$57),UPPER(TEXT(EDATE($D95,Milestones!$AA$57),"dd mmm yy"))&amp;" "&amp;Milestones!$AB$57&amp;" "&amp;IF(AND(Milestones!$AB$57="FT",Milestones!$AA$57=FT_Y5,EDATE($D95,Milestones!$AA$57)&lt;PolicyEff),1,Milestones!$AC$57)&amp;";  ","")&amp;IF(AND(EDATE($D95,Milestones!$AA$58)&lt;=AsOfDate,EDATE($D95,Milestones!$AA$58)&gt;=SchemeStart,IF($X95=0,$AD95,IF(AND($Z95&lt;&gt;"",EDATE($D95,Milestones!$AA$58)&gt;=$Z95),$AC95,IF(AND($Y95&lt;&gt;"",EDATE($D95,Milestones!$AA$58)&gt;=$Y95),$AB95,$AA95)))=Milestones!$AB$58),UPPER(TEXT(EDATE($D95,Milestones!$AA$58),"dd mmm yy"))&amp;" "&amp;Milestones!$AB$58&amp;" "&amp;IF(AND(Milestones!$AB$58="FT",Milestones!$AA$58=FT_Y5,EDATE($D95,Milestones!$AA$58)&lt;PolicyEff),1,Milestones!$AC$58)&amp;";  ","")&amp;IF(AND(EDATE($D95,Milestones!$AA$59)&lt;=AsOfDate,EDATE($D95,Milestones!$AA$59)&gt;=SchemeStart,IF($X95=0,$AD95,IF(AND($Z95&lt;&gt;"",EDATE($D95,Milestones!$AA$59)&gt;=$Z95),$AC95,IF(AND($Y95&lt;&gt;"",EDATE($D95,Milestones!$AA$59)&gt;=$Y95),$AB95,$AA95)))=Milestones!$AB$59),UPPER(TEXT(EDATE($D95,Milestones!$AA$59),"dd mmm yy"))&amp;" "&amp;Milestones!$AB$59&amp;" "&amp;IF(AND(Milestones!$AB$59="FT",Milestones!$AA$59=FT_Y5,EDATE($D95,Milestones!$AA$59)&lt;PolicyEff),1,Milestones!$AC$59)&amp;";  ","")&amp;IF(AND(EDATE($D95,Milestones!$AA$60)&lt;=AsOfDate,EDATE($D95,Milestones!$AA$60)&gt;=SchemeStart,IF($X95=0,$AD95,IF(AND($Z95&lt;&gt;"",EDATE($D95,Milestones!$AA$60)&gt;=$Z95),$AC95,IF(AND($Y95&lt;&gt;"",EDATE($D95,Milestones!$AA$60)&gt;=$Y95),$AB95,$AA95)))=Milestones!$AB$60),UPPER(TEXT(EDATE($D95,Milestones!$AA$60),"dd mmm yy"))&amp;" "&amp;Milestones!$AB$60&amp;" "&amp;IF(AND(Milestones!$AB$60="FT",Milestones!$AA$60=FT_Y5,EDATE($D95,Milestones!$AA$60)&lt;PolicyEff),1,Milestones!$AC$60)&amp;";  ","")&amp;IF(AND(EDATE($D95,Milestones!$AA$61)&lt;=AsOfDate,EDATE($D95,Milestones!$AA$61)&gt;=SchemeStart,IF($X95=0,$AD95,IF(AND($Z95&lt;&gt;"",EDATE($D95,Milestones!$AA$61)&gt;=$Z95),$AC95,IF(AND($Y95&lt;&gt;"",EDATE($D95,Milestones!$AA$61)&gt;=$Y95),$AB95,$AA95)))=Milestones!$AB$61),UPPER(TEXT(EDATE($D95,Milestones!$AA$61),"dd mmm yy"))&amp;" "&amp;Milestones!$AB$61&amp;" "&amp;IF(AND(Milestones!$AB$61="FT",Milestones!$AA$61=FT_Y5,EDATE($D95,Milestones!$AA$61)&lt;PolicyEff),1,Milestones!$AC$61)&amp;";  ","")&amp;IF(AND(EDATE($D95,Milestones!$AA$62)&lt;=AsOfDate,EDATE($D95,Milestones!$AA$62)&gt;=SchemeStart,IF($X95=0,$AD95,IF(AND($Z95&lt;&gt;"",EDATE($D95,Milestones!$AA$62)&gt;=$Z95),$AC95,IF(AND($Y95&lt;&gt;"",EDATE($D95,Milestones!$AA$62)&gt;=$Y95),$AB95,$AA95)))=Milestones!$AB$62),UPPER(TEXT(EDATE($D95,Milestones!$AA$62),"dd mmm yy"))&amp;" "&amp;Milestones!$AB$62&amp;" "&amp;IF(AND(Milestones!$AB$62="FT",Milestones!$AA$62=FT_Y5,EDATE($D95,Milestones!$AA$62)&lt;PolicyEff),1,Milestones!$AC$62)&amp;";  ","")&amp;IF(AND(EDATE($D95,Milestones!$AA$63)&lt;=AsOfDate,EDATE($D95,Milestones!$AA$63)&gt;=SchemeStart,IF($X95=0,$AD95,IF(AND($Z95&lt;&gt;"",EDATE($D95,Milestones!$AA$63)&gt;=$Z95),$AC95,IF(AND($Y95&lt;&gt;"",EDATE($D95,Milestones!$AA$63)&gt;=$Y95),$AB95,$AA95)))=Milestones!$AB$63),UPPER(TEXT(EDATE($D95,Milestones!$AA$63),"dd mmm yy"))&amp;" "&amp;Milestones!$AB$63&amp;" "&amp;IF(AND(Milestones!$AB$63="FT",Milestones!$AA$63=FT_Y5,EDATE($D95,Milestones!$AA$63)&lt;PolicyEff),1,Milestones!$AC$63)&amp;";  ","")&amp;IF(AND(EDATE($D95,Milestones!$AA$64)&lt;=AsOfDate,EDATE($D95,Milestones!$AA$64)&gt;=SchemeStart,IF($X95=0,$AD95,IF(AND($Z95&lt;&gt;"",EDATE($D95,Milestones!$AA$64)&gt;=$Z95),$AC95,IF(AND($Y95&lt;&gt;"",EDATE($D95,Milestones!$AA$64)&gt;=$Y95),$AB95,$AA95)))=Milestones!$AB$64),UPPER(TEXT(EDATE($D95,Milestones!$AA$64),"dd mmm yy"))&amp;" "&amp;Milestones!$AB$64&amp;" "&amp;IF(AND(Milestones!$AB$64="FT",Milestones!$AA$64=FT_Y5,EDATE($D95,Milestones!$AA$64)&lt;PolicyEff),1,Milestones!$AC$64)&amp;";  ","")&amp;IF(AND(EDATE($D95,Milestones!$AA$65)&lt;=AsOfDate,EDATE($D95,Milestones!$AA$65)&gt;=SchemeStart,IF($X95=0,$AD95,IF(AND($Z95&lt;&gt;"",EDATE($D95,Milestones!$AA$65)&gt;=$Z95),$AC95,IF(AND($Y95&lt;&gt;"",EDATE($D95,Milestones!$AA$65)&gt;=$Y95),$AB95,$AA95)))=Milestones!$AB$65),UPPER(TEXT(EDATE($D95,Milestones!$AA$65),"dd mmm yy"))&amp;" "&amp;Milestones!$AB$65&amp;" "&amp;IF(AND(Milestones!$AB$65="FT",Milestones!$AA$65=FT_Y5,EDATE($D95,Milestones!$AA$65)&lt;PolicyEff),1,Milestones!$AC$65)&amp;";  ","")&amp;IF(AND(EDATE($D95,Milestones!$AA$66)&lt;=AsOfDate,EDATE($D95,Milestones!$AA$66)&gt;=SchemeStart,IF($X95=0,$AD95,IF(AND($Z95&lt;&gt;"",EDATE($D95,Milestones!$AA$66)&gt;=$Z95),$AC95,IF(AND($Y95&lt;&gt;"",EDATE($D95,Milestones!$AA$66)&gt;=$Y95),$AB95,$AA95)))=Milestones!$AB$66),UPPER(TEXT(EDATE($D95,Milestones!$AA$66),"dd mmm yy"))&amp;" "&amp;Milestones!$AB$66&amp;" "&amp;IF(AND(Milestones!$AB$66="FT",Milestones!$AA$66=FT_Y5,EDATE($D95,Milestones!$AA$66)&lt;PolicyEff),1,Milestones!$AC$66)&amp;";  ","")&amp;IF(AND(EDATE($D95,Milestones!$AA$67)&lt;=AsOfDate,EDATE($D95,Milestones!$AA$67)&gt;=SchemeStart,IF($X95=0,$AD95,IF(AND($Z95&lt;&gt;"",EDATE($D95,Milestones!$AA$67)&gt;=$Z95),$AC95,IF(AND($Y95&lt;&gt;"",EDATE($D95,Milestones!$AA$67)&gt;=$Y95),$AB95,$AA95)))=Milestones!$AB$67),UPPER(TEXT(EDATE($D95,Milestones!$AA$67),"dd mmm yy"))&amp;" "&amp;Milestones!$AB$67&amp;" "&amp;IF(AND(Milestones!$AB$67="FT",Milestones!$AA$67=FT_Y5,EDATE($D95,Milestones!$AA$67)&lt;PolicyEff),1,Milestones!$AC$67)&amp;";  ",""))</f>
        <v/>
      </c>
      <c r="M95" s="0" t="str">
        <f aca="false">IF(OR($A95="",$D95=""),"",IF(AND(EDATE($D95,Milestones!$AA$68)&lt;=AsOfDate,EDATE($D95,Milestones!$AA$68)&gt;=SchemeStart,IF($X95=0,$AD95,IF(AND($Z95&lt;&gt;"",EDATE($D95,Milestones!$AA$68)&gt;=$Z95),$AC95,IF(AND($Y95&lt;&gt;"",EDATE($D95,Milestones!$AA$68)&gt;=$Y95),$AB95,$AA95)))=Milestones!$AB$68),UPPER(TEXT(EDATE($D95,Milestones!$AA$68),"dd mmm yy"))&amp;" "&amp;Milestones!$AB$68&amp;" "&amp;IF(AND(Milestones!$AB$68="FT",Milestones!$AA$68=FT_Y5,EDATE($D95,Milestones!$AA$68)&lt;PolicyEff),1,Milestones!$AC$68)&amp;";  ","")&amp;IF(AND(EDATE($D95,Milestones!$AA$69)&lt;=AsOfDate,EDATE($D95,Milestones!$AA$69)&gt;=SchemeStart,IF($X95=0,$AD95,IF(AND($Z95&lt;&gt;"",EDATE($D95,Milestones!$AA$69)&gt;=$Z95),$AC95,IF(AND($Y95&lt;&gt;"",EDATE($D95,Milestones!$AA$69)&gt;=$Y95),$AB95,$AA95)))=Milestones!$AB$69),UPPER(TEXT(EDATE($D95,Milestones!$AA$69),"dd mmm yy"))&amp;" "&amp;Milestones!$AB$69&amp;" "&amp;IF(AND(Milestones!$AB$69="FT",Milestones!$AA$69=FT_Y5,EDATE($D95,Milestones!$AA$69)&lt;PolicyEff),1,Milestones!$AC$69)&amp;";  ","")&amp;IF(AND(EDATE($D95,Milestones!$AA$70)&lt;=AsOfDate,EDATE($D95,Milestones!$AA$70)&gt;=SchemeStart,IF($X95=0,$AD95,IF(AND($Z95&lt;&gt;"",EDATE($D95,Milestones!$AA$70)&gt;=$Z95),$AC95,IF(AND($Y95&lt;&gt;"",EDATE($D95,Milestones!$AA$70)&gt;=$Y95),$AB95,$AA95)))=Milestones!$AB$70),UPPER(TEXT(EDATE($D95,Milestones!$AA$70),"dd mmm yy"))&amp;" "&amp;Milestones!$AB$70&amp;" "&amp;IF(AND(Milestones!$AB$70="FT",Milestones!$AA$70=FT_Y5,EDATE($D95,Milestones!$AA$70)&lt;PolicyEff),1,Milestones!$AC$70)&amp;";  ","")&amp;IF(AND(EDATE($D95,Milestones!$AA$71)&lt;=AsOfDate,EDATE($D95,Milestones!$AA$71)&gt;=SchemeStart,IF($X95=0,$AD95,IF(AND($Z95&lt;&gt;"",EDATE($D95,Milestones!$AA$71)&gt;=$Z95),$AC95,IF(AND($Y95&lt;&gt;"",EDATE($D95,Milestones!$AA$71)&gt;=$Y95),$AB95,$AA95)))=Milestones!$AB$71),UPPER(TEXT(EDATE($D95,Milestones!$AA$71),"dd mmm yy"))&amp;" "&amp;Milestones!$AB$71&amp;" "&amp;IF(AND(Milestones!$AB$71="FT",Milestones!$AA$71=FT_Y5,EDATE($D95,Milestones!$AA$71)&lt;PolicyEff),1,Milestones!$AC$71)&amp;";  ","")&amp;IF(AND(EDATE($D95,Milestones!$AA$72)&lt;=AsOfDate,EDATE($D95,Milestones!$AA$72)&gt;=SchemeStart,IF($X95=0,$AD95,IF(AND($Z95&lt;&gt;"",EDATE($D95,Milestones!$AA$72)&gt;=$Z95),$AC95,IF(AND($Y95&lt;&gt;"",EDATE($D95,Milestones!$AA$72)&gt;=$Y95),$AB95,$AA95)))=Milestones!$AB$72),UPPER(TEXT(EDATE($D95,Milestones!$AA$72),"dd mmm yy"))&amp;" "&amp;Milestones!$AB$72&amp;" "&amp;IF(AND(Milestones!$AB$72="FT",Milestones!$AA$72=FT_Y5,EDATE($D95,Milestones!$AA$72)&lt;PolicyEff),1,Milestones!$AC$72)&amp;";  ","")&amp;IF(AND(EDATE($D95,Milestones!$AA$73)&lt;=AsOfDate,EDATE($D95,Milestones!$AA$73)&gt;=SchemeStart,IF($X95=0,$AD95,IF(AND($Z95&lt;&gt;"",EDATE($D95,Milestones!$AA$73)&gt;=$Z95),$AC95,IF(AND($Y95&lt;&gt;"",EDATE($D95,Milestones!$AA$73)&gt;=$Y95),$AB95,$AA95)))=Milestones!$AB$73),UPPER(TEXT(EDATE($D95,Milestones!$AA$73),"dd mmm yy"))&amp;" "&amp;Milestones!$AB$73&amp;" "&amp;IF(AND(Milestones!$AB$73="FT",Milestones!$AA$73=FT_Y5,EDATE($D95,Milestones!$AA$73)&lt;PolicyEff),1,Milestones!$AC$73)&amp;";  ","")&amp;IF(AND(EDATE($D95,Milestones!$AA$74)&lt;=AsOfDate,EDATE($D95,Milestones!$AA$74)&gt;=SchemeStart,IF($X95=0,$AD95,IF(AND($Z95&lt;&gt;"",EDATE($D95,Milestones!$AA$74)&gt;=$Z95),$AC95,IF(AND($Y95&lt;&gt;"",EDATE($D95,Milestones!$AA$74)&gt;=$Y95),$AB95,$AA95)))=Milestones!$AB$74),UPPER(TEXT(EDATE($D95,Milestones!$AA$74),"dd mmm yy"))&amp;" "&amp;Milestones!$AB$74&amp;" "&amp;IF(AND(Milestones!$AB$74="FT",Milestones!$AA$74=FT_Y5,EDATE($D95,Milestones!$AA$74)&lt;PolicyEff),1,Milestones!$AC$74)&amp;";  ","")&amp;IF(AND(EDATE($D95,Milestones!$AA$75)&lt;=AsOfDate,EDATE($D95,Milestones!$AA$75)&gt;=SchemeStart,IF($X95=0,$AD95,IF(AND($Z95&lt;&gt;"",EDATE($D95,Milestones!$AA$75)&gt;=$Z95),$AC95,IF(AND($Y95&lt;&gt;"",EDATE($D95,Milestones!$AA$75)&gt;=$Y95),$AB95,$AA95)))=Milestones!$AB$75),UPPER(TEXT(EDATE($D95,Milestones!$AA$75),"dd mmm yy"))&amp;" "&amp;Milestones!$AB$75&amp;" "&amp;IF(AND(Milestones!$AB$75="FT",Milestones!$AA$75=FT_Y5,EDATE($D95,Milestones!$AA$75)&lt;PolicyEff),1,Milestones!$AC$75)&amp;";  ","")&amp;IF(AND(EDATE($D95,Milestones!$AA$76)&lt;=AsOfDate,EDATE($D95,Milestones!$AA$76)&gt;=SchemeStart,IF($X95=0,$AD95,IF(AND($Z95&lt;&gt;"",EDATE($D95,Milestones!$AA$76)&gt;=$Z95),$AC95,IF(AND($Y95&lt;&gt;"",EDATE($D95,Milestones!$AA$76)&gt;=$Y95),$AB95,$AA95)))=Milestones!$AB$76),UPPER(TEXT(EDATE($D95,Milestones!$AA$76),"dd mmm yy"))&amp;" "&amp;Milestones!$AB$76&amp;" "&amp;IF(AND(Milestones!$AB$76="FT",Milestones!$AA$76=FT_Y5,EDATE($D95,Milestones!$AA$76)&lt;PolicyEff),1,Milestones!$AC$76)&amp;";  ","")&amp;IF(AND(EDATE($D95,Milestones!$AA$77)&lt;=AsOfDate,EDATE($D95,Milestones!$AA$77)&gt;=SchemeStart,IF($X95=0,$AD95,IF(AND($Z95&lt;&gt;"",EDATE($D95,Milestones!$AA$77)&gt;=$Z95),$AC95,IF(AND($Y95&lt;&gt;"",EDATE($D95,Milestones!$AA$77)&gt;=$Y95),$AB95,$AA95)))=Milestones!$AB$77),UPPER(TEXT(EDATE($D95,Milestones!$AA$77),"dd mmm yy"))&amp;" "&amp;Milestones!$AB$77&amp;" "&amp;IF(AND(Milestones!$AB$77="FT",Milestones!$AA$77=FT_Y5,EDATE($D95,Milestones!$AA$77)&lt;PolicyEff),1,Milestones!$AC$77)&amp;";  ","")&amp;IF(AND(EDATE($D95,Milestones!$AA$78)&lt;=AsOfDate,EDATE($D95,Milestones!$AA$78)&gt;=SchemeStart,IF($X95=0,$AD95,IF(AND($Z95&lt;&gt;"",EDATE($D95,Milestones!$AA$78)&gt;=$Z95),$AC95,IF(AND($Y95&lt;&gt;"",EDATE($D95,Milestones!$AA$78)&gt;=$Y95),$AB95,$AA95)))=Milestones!$AB$78),UPPER(TEXT(EDATE($D95,Milestones!$AA$78),"dd mmm yy"))&amp;" "&amp;Milestones!$AB$78&amp;" "&amp;IF(AND(Milestones!$AB$78="FT",Milestones!$AA$78=FT_Y5,EDATE($D95,Milestones!$AA$78)&lt;PolicyEff),1,Milestones!$AC$78)&amp;";  ","")&amp;IF(AND(EDATE($D95,Milestones!$AA$79)&lt;=AsOfDate,EDATE($D95,Milestones!$AA$79)&gt;=SchemeStart,IF($X95=0,$AD95,IF(AND($Z95&lt;&gt;"",EDATE($D95,Milestones!$AA$79)&gt;=$Z95),$AC95,IF(AND($Y95&lt;&gt;"",EDATE($D95,Milestones!$AA$79)&gt;=$Y95),$AB95,$AA95)))=Milestones!$AB$79),UPPER(TEXT(EDATE($D95,Milestones!$AA$79),"dd mmm yy"))&amp;" "&amp;Milestones!$AB$79&amp;" "&amp;IF(AND(Milestones!$AB$79="FT",Milestones!$AA$79=FT_Y5,EDATE($D95,Milestones!$AA$79)&lt;PolicyEff),1,Milestones!$AC$79)&amp;";  ",""))</f>
        <v/>
      </c>
      <c r="N95" s="0" t="str">
        <f aca="false">IF(OR($A95="",$D95=""),"",IF(AND(EDATE($D95,Milestones!$AA$80)&lt;=AsOfDate,EDATE($D95,Milestones!$AA$80)&gt;=SchemeStart,IF($X95=0,$AD95,IF(AND($Z95&lt;&gt;"",EDATE($D95,Milestones!$AA$80)&gt;=$Z95),$AC95,IF(AND($Y95&lt;&gt;"",EDATE($D95,Milestones!$AA$80)&gt;=$Y95),$AB95,$AA95)))=Milestones!$AB$80),UPPER(TEXT(EDATE($D95,Milestones!$AA$80),"dd mmm yy"))&amp;" "&amp;Milestones!$AB$80&amp;" "&amp;IF(AND(Milestones!$AB$80="FT",Milestones!$AA$80=FT_Y5,EDATE($D95,Milestones!$AA$80)&lt;PolicyEff),1,Milestones!$AC$80)&amp;";  ","")&amp;IF(AND(EDATE($D95,Milestones!$AA$81)&lt;=AsOfDate,EDATE($D95,Milestones!$AA$81)&gt;=SchemeStart,IF($X95=0,$AD95,IF(AND($Z95&lt;&gt;"",EDATE($D95,Milestones!$AA$81)&gt;=$Z95),$AC95,IF(AND($Y95&lt;&gt;"",EDATE($D95,Milestones!$AA$81)&gt;=$Y95),$AB95,$AA95)))=Milestones!$AB$81),UPPER(TEXT(EDATE($D95,Milestones!$AA$81),"dd mmm yy"))&amp;" "&amp;Milestones!$AB$81&amp;" "&amp;IF(AND(Milestones!$AB$81="FT",Milestones!$AA$81=FT_Y5,EDATE($D95,Milestones!$AA$81)&lt;PolicyEff),1,Milestones!$AC$81)&amp;";  ","")&amp;IF(AND(EDATE($D95,Milestones!$AA$82)&lt;=AsOfDate,EDATE($D95,Milestones!$AA$82)&gt;=SchemeStart,IF($X95=0,$AD95,IF(AND($Z95&lt;&gt;"",EDATE($D95,Milestones!$AA$82)&gt;=$Z95),$AC95,IF(AND($Y95&lt;&gt;"",EDATE($D95,Milestones!$AA$82)&gt;=$Y95),$AB95,$AA95)))=Milestones!$AB$82),UPPER(TEXT(EDATE($D95,Milestones!$AA$82),"dd mmm yy"))&amp;" "&amp;Milestones!$AB$82&amp;" "&amp;IF(AND(Milestones!$AB$82="FT",Milestones!$AA$82=FT_Y5,EDATE($D95,Milestones!$AA$82)&lt;PolicyEff),1,Milestones!$AC$82)&amp;";  ","")&amp;IF(AND(EDATE($D95,Milestones!$AA$83)&lt;=AsOfDate,EDATE($D95,Milestones!$AA$83)&gt;=SchemeStart,IF($X95=0,$AD95,IF(AND($Z95&lt;&gt;"",EDATE($D95,Milestones!$AA$83)&gt;=$Z95),$AC95,IF(AND($Y95&lt;&gt;"",EDATE($D95,Milestones!$AA$83)&gt;=$Y95),$AB95,$AA95)))=Milestones!$AB$83),UPPER(TEXT(EDATE($D95,Milestones!$AA$83),"dd mmm yy"))&amp;" "&amp;Milestones!$AB$83&amp;" "&amp;IF(AND(Milestones!$AB$83="FT",Milestones!$AA$83=FT_Y5,EDATE($D95,Milestones!$AA$83)&lt;PolicyEff),1,Milestones!$AC$83)&amp;";  ","")&amp;IF(AND(EDATE($D95,Milestones!$AA$84)&lt;=AsOfDate,EDATE($D95,Milestones!$AA$84)&gt;=SchemeStart,IF($X95=0,$AD95,IF(AND($Z95&lt;&gt;"",EDATE($D95,Milestones!$AA$84)&gt;=$Z95),$AC95,IF(AND($Y95&lt;&gt;"",EDATE($D95,Milestones!$AA$84)&gt;=$Y95),$AB95,$AA95)))=Milestones!$AB$84),UPPER(TEXT(EDATE($D95,Milestones!$AA$84),"dd mmm yy"))&amp;" "&amp;Milestones!$AB$84&amp;" "&amp;IF(AND(Milestones!$AB$84="FT",Milestones!$AA$84=FT_Y5,EDATE($D95,Milestones!$AA$84)&lt;PolicyEff),1,Milestones!$AC$84)&amp;";  ","")&amp;IF(AND(EDATE($D95,Milestones!$AA$85)&lt;=AsOfDate,EDATE($D95,Milestones!$AA$85)&gt;=SchemeStart,IF($X95=0,$AD95,IF(AND($Z95&lt;&gt;"",EDATE($D95,Milestones!$AA$85)&gt;=$Z95),$AC95,IF(AND($Y95&lt;&gt;"",EDATE($D95,Milestones!$AA$85)&gt;=$Y95),$AB95,$AA95)))=Milestones!$AB$85),UPPER(TEXT(EDATE($D95,Milestones!$AA$85),"dd mmm yy"))&amp;" "&amp;Milestones!$AB$85&amp;" "&amp;IF(AND(Milestones!$AB$85="FT",Milestones!$AA$85=FT_Y5,EDATE($D95,Milestones!$AA$85)&lt;PolicyEff),1,Milestones!$AC$85)&amp;";  ","")&amp;IF(AND(EDATE($D95,Milestones!$AA$86)&lt;=AsOfDate,EDATE($D95,Milestones!$AA$86)&gt;=SchemeStart,IF($X95=0,$AD95,IF(AND($Z95&lt;&gt;"",EDATE($D95,Milestones!$AA$86)&gt;=$Z95),$AC95,IF(AND($Y95&lt;&gt;"",EDATE($D95,Milestones!$AA$86)&gt;=$Y95),$AB95,$AA95)))=Milestones!$AB$86),UPPER(TEXT(EDATE($D95,Milestones!$AA$86),"dd mmm yy"))&amp;" "&amp;Milestones!$AB$86&amp;" "&amp;IF(AND(Milestones!$AB$86="FT",Milestones!$AA$86=FT_Y5,EDATE($D95,Milestones!$AA$86)&lt;PolicyEff),1,Milestones!$AC$86)&amp;";  ","")&amp;IF(AND(EDATE($D95,Milestones!$AA$87)&lt;=AsOfDate,EDATE($D95,Milestones!$AA$87)&gt;=SchemeStart,IF($X95=0,$AD95,IF(AND($Z95&lt;&gt;"",EDATE($D95,Milestones!$AA$87)&gt;=$Z95),$AC95,IF(AND($Y95&lt;&gt;"",EDATE($D95,Milestones!$AA$87)&gt;=$Y95),$AB95,$AA95)))=Milestones!$AB$87),UPPER(TEXT(EDATE($D95,Milestones!$AA$87),"dd mmm yy"))&amp;" "&amp;Milestones!$AB$87&amp;" "&amp;IF(AND(Milestones!$AB$87="FT",Milestones!$AA$87=FT_Y5,EDATE($D95,Milestones!$AA$87)&lt;PolicyEff),1,Milestones!$AC$87)&amp;";  ","")&amp;IF(AND(EDATE($D95,Milestones!$AA$88)&lt;=AsOfDate,EDATE($D95,Milestones!$AA$88)&gt;=SchemeStart,IF($X95=0,$AD95,IF(AND($Z95&lt;&gt;"",EDATE($D95,Milestones!$AA$88)&gt;=$Z95),$AC95,IF(AND($Y95&lt;&gt;"",EDATE($D95,Milestones!$AA$88)&gt;=$Y95),$AB95,$AA95)))=Milestones!$AB$88),UPPER(TEXT(EDATE($D95,Milestones!$AA$88),"dd mmm yy"))&amp;" "&amp;Milestones!$AB$88&amp;" "&amp;IF(AND(Milestones!$AB$88="FT",Milestones!$AA$88=FT_Y5,EDATE($D95,Milestones!$AA$88)&lt;PolicyEff),1,Milestones!$AC$88)&amp;";  ","")&amp;IF(AND(EDATE($D95,Milestones!$AA$89)&lt;=AsOfDate,EDATE($D95,Milestones!$AA$89)&gt;=SchemeStart,IF($X95=0,$AD95,IF(AND($Z95&lt;&gt;"",EDATE($D95,Milestones!$AA$89)&gt;=$Z95),$AC95,IF(AND($Y95&lt;&gt;"",EDATE($D95,Milestones!$AA$89)&gt;=$Y95),$AB95,$AA95)))=Milestones!$AB$89),UPPER(TEXT(EDATE($D95,Milestones!$AA$89),"dd mmm yy"))&amp;" "&amp;Milestones!$AB$89&amp;" "&amp;IF(AND(Milestones!$AB$89="FT",Milestones!$AA$89=FT_Y5,EDATE($D95,Milestones!$AA$89)&lt;PolicyEff),1,Milestones!$AC$89)&amp;";  ","")&amp;IF(AND(EDATE($D95,Milestones!$AA$90)&lt;=AsOfDate,EDATE($D95,Milestones!$AA$90)&gt;=SchemeStart,IF($X95=0,$AD95,IF(AND($Z95&lt;&gt;"",EDATE($D95,Milestones!$AA$90)&gt;=$Z95),$AC95,IF(AND($Y95&lt;&gt;"",EDATE($D95,Milestones!$AA$90)&gt;=$Y95),$AB95,$AA95)))=Milestones!$AB$90),UPPER(TEXT(EDATE($D95,Milestones!$AA$90),"dd mmm yy"))&amp;" "&amp;Milestones!$AB$90&amp;" "&amp;IF(AND(Milestones!$AB$90="FT",Milestones!$AA$90=FT_Y5,EDATE($D95,Milestones!$AA$90)&lt;PolicyEff),1,Milestones!$AC$90)&amp;";  ","")&amp;IF(AND(EDATE($D95,Milestones!$AA$91)&lt;=AsOfDate,EDATE($D95,Milestones!$AA$91)&gt;=SchemeStart,IF($X95=0,$AD95,IF(AND($Z95&lt;&gt;"",EDATE($D95,Milestones!$AA$91)&gt;=$Z95),$AC95,IF(AND($Y95&lt;&gt;"",EDATE($D95,Milestones!$AA$91)&gt;=$Y95),$AB95,$AA95)))=Milestones!$AB$91),UPPER(TEXT(EDATE($D95,Milestones!$AA$91),"dd mmm yy"))&amp;" "&amp;Milestones!$AB$91&amp;" "&amp;IF(AND(Milestones!$AB$91="FT",Milestones!$AA$91=FT_Y5,EDATE($D95,Milestones!$AA$91)&lt;PolicyEff),1,Milestones!$AC$91)&amp;";  ",""))</f>
        <v/>
      </c>
      <c r="O95" s="0" t="str">
        <f aca="false">IF(OR($A95="",$D95=""),"",IF(AND(EDATE($D95,Milestones!$AA$92)&lt;=AsOfDate,EDATE($D95,Milestones!$AA$92)&gt;=SchemeStart,IF($X95=0,$AD95,IF(AND($Z95&lt;&gt;"",EDATE($D95,Milestones!$AA$92)&gt;=$Z95),$AC95,IF(AND($Y95&lt;&gt;"",EDATE($D95,Milestones!$AA$92)&gt;=$Y95),$AB95,$AA95)))=Milestones!$AB$92),UPPER(TEXT(EDATE($D95,Milestones!$AA$92),"dd mmm yy"))&amp;" "&amp;Milestones!$AB$92&amp;" "&amp;IF(AND(Milestones!$AB$92="FT",Milestones!$AA$92=FT_Y5,EDATE($D95,Milestones!$AA$92)&lt;PolicyEff),1,Milestones!$AC$92)&amp;";  ","")&amp;IF(AND(EDATE($D95,Milestones!$AA$93)&lt;=AsOfDate,EDATE($D95,Milestones!$AA$93)&gt;=SchemeStart,IF($X95=0,$AD95,IF(AND($Z95&lt;&gt;"",EDATE($D95,Milestones!$AA$93)&gt;=$Z95),$AC95,IF(AND($Y95&lt;&gt;"",EDATE($D95,Milestones!$AA$93)&gt;=$Y95),$AB95,$AA95)))=Milestones!$AB$93),UPPER(TEXT(EDATE($D95,Milestones!$AA$93),"dd mmm yy"))&amp;" "&amp;Milestones!$AB$93&amp;" "&amp;IF(AND(Milestones!$AB$93="FT",Milestones!$AA$93=FT_Y5,EDATE($D95,Milestones!$AA$93)&lt;PolicyEff),1,Milestones!$AC$93)&amp;";  ","")&amp;IF(AND(EDATE($D95,Milestones!$AA$94)&lt;=AsOfDate,EDATE($D95,Milestones!$AA$94)&gt;=SchemeStart,IF($X95=0,$AD95,IF(AND($Z95&lt;&gt;"",EDATE($D95,Milestones!$AA$94)&gt;=$Z95),$AC95,IF(AND($Y95&lt;&gt;"",EDATE($D95,Milestones!$AA$94)&gt;=$Y95),$AB95,$AA95)))=Milestones!$AB$94),UPPER(TEXT(EDATE($D95,Milestones!$AA$94),"dd mmm yy"))&amp;" "&amp;Milestones!$AB$94&amp;" "&amp;IF(AND(Milestones!$AB$94="FT",Milestones!$AA$94=FT_Y5,EDATE($D95,Milestones!$AA$94)&lt;PolicyEff),1,Milestones!$AC$94)&amp;";  ","")&amp;IF(AND(EDATE($D95,Milestones!$AA$95)&lt;=AsOfDate,EDATE($D95,Milestones!$AA$95)&gt;=SchemeStart,IF($X95=0,$AD95,IF(AND($Z95&lt;&gt;"",EDATE($D95,Milestones!$AA$95)&gt;=$Z95),$AC95,IF(AND($Y95&lt;&gt;"",EDATE($D95,Milestones!$AA$95)&gt;=$Y95),$AB95,$AA95)))=Milestones!$AB$95),UPPER(TEXT(EDATE($D95,Milestones!$AA$95),"dd mmm yy"))&amp;" "&amp;Milestones!$AB$95&amp;" "&amp;IF(AND(Milestones!$AB$95="FT",Milestones!$AA$95=FT_Y5,EDATE($D95,Milestones!$AA$95)&lt;PolicyEff),1,Milestones!$AC$95)&amp;";  ","")&amp;IF(AND(EDATE($D95,Milestones!$AA$96)&lt;=AsOfDate,EDATE($D95,Milestones!$AA$96)&gt;=SchemeStart,IF($X95=0,$AD95,IF(AND($Z95&lt;&gt;"",EDATE($D95,Milestones!$AA$96)&gt;=$Z95),$AC95,IF(AND($Y95&lt;&gt;"",EDATE($D95,Milestones!$AA$96)&gt;=$Y95),$AB95,$AA95)))=Milestones!$AB$96),UPPER(TEXT(EDATE($D95,Milestones!$AA$96),"dd mmm yy"))&amp;" "&amp;Milestones!$AB$96&amp;" "&amp;IF(AND(Milestones!$AB$96="FT",Milestones!$AA$96=FT_Y5,EDATE($D95,Milestones!$AA$96)&lt;PolicyEff),1,Milestones!$AC$96)&amp;";  ","")&amp;IF(AND(EDATE($D95,Milestones!$AA$97)&lt;=AsOfDate,EDATE($D95,Milestones!$AA$97)&gt;=SchemeStart,IF($X95=0,$AD95,IF(AND($Z95&lt;&gt;"",EDATE($D95,Milestones!$AA$97)&gt;=$Z95),$AC95,IF(AND($Y95&lt;&gt;"",EDATE($D95,Milestones!$AA$97)&gt;=$Y95),$AB95,$AA95)))=Milestones!$AB$97),UPPER(TEXT(EDATE($D95,Milestones!$AA$97),"dd mmm yy"))&amp;" "&amp;Milestones!$AB$97&amp;" "&amp;IF(AND(Milestones!$AB$97="FT",Milestones!$AA$97=FT_Y5,EDATE($D95,Milestones!$AA$97)&lt;PolicyEff),1,Milestones!$AC$97)&amp;";  ","")&amp;IF(AND(EDATE($D95,Milestones!$AA$98)&lt;=AsOfDate,EDATE($D95,Milestones!$AA$98)&gt;=SchemeStart,IF($X95=0,$AD95,IF(AND($Z95&lt;&gt;"",EDATE($D95,Milestones!$AA$98)&gt;=$Z95),$AC95,IF(AND($Y95&lt;&gt;"",EDATE($D95,Milestones!$AA$98)&gt;=$Y95),$AB95,$AA95)))=Milestones!$AB$98),UPPER(TEXT(EDATE($D95,Milestones!$AA$98),"dd mmm yy"))&amp;" "&amp;Milestones!$AB$98&amp;" "&amp;IF(AND(Milestones!$AB$98="FT",Milestones!$AA$98=FT_Y5,EDATE($D95,Milestones!$AA$98)&lt;PolicyEff),1,Milestones!$AC$98)&amp;";  ","")&amp;IF(AND(EDATE($D95,Milestones!$AA$99)&lt;=AsOfDate,EDATE($D95,Milestones!$AA$99)&gt;=SchemeStart,IF($X95=0,$AD95,IF(AND($Z95&lt;&gt;"",EDATE($D95,Milestones!$AA$99)&gt;=$Z95),$AC95,IF(AND($Y95&lt;&gt;"",EDATE($D95,Milestones!$AA$99)&gt;=$Y95),$AB95,$AA95)))=Milestones!$AB$99),UPPER(TEXT(EDATE($D95,Milestones!$AA$99),"dd mmm yy"))&amp;" "&amp;Milestones!$AB$99&amp;" "&amp;IF(AND(Milestones!$AB$99="FT",Milestones!$AA$99=FT_Y5,EDATE($D95,Milestones!$AA$99)&lt;PolicyEff),1,Milestones!$AC$99)&amp;";  ","")&amp;IF(AND(EDATE($D95,Milestones!$AA$100)&lt;=AsOfDate,EDATE($D95,Milestones!$AA$100)&gt;=SchemeStart,IF($X95=0,$AD95,IF(AND($Z95&lt;&gt;"",EDATE($D95,Milestones!$AA$100)&gt;=$Z95),$AC95,IF(AND($Y95&lt;&gt;"",EDATE($D95,Milestones!$AA$100)&gt;=$Y95),$AB95,$AA95)))=Milestones!$AB$100),UPPER(TEXT(EDATE($D95,Milestones!$AA$100),"dd mmm yy"))&amp;" "&amp;Milestones!$AB$100&amp;" "&amp;IF(AND(Milestones!$AB$100="FT",Milestones!$AA$100=FT_Y5,EDATE($D95,Milestones!$AA$100)&lt;PolicyEff),1,Milestones!$AC$100)&amp;";  ","")&amp;IF(AND(EDATE($D95,Milestones!$AA$101)&lt;=AsOfDate,EDATE($D95,Milestones!$AA$101)&gt;=SchemeStart,IF($X95=0,$AD95,IF(AND($Z95&lt;&gt;"",EDATE($D95,Milestones!$AA$101)&gt;=$Z95),$AC95,IF(AND($Y95&lt;&gt;"",EDATE($D95,Milestones!$AA$101)&gt;=$Y95),$AB95,$AA95)))=Milestones!$AB$101),UPPER(TEXT(EDATE($D95,Milestones!$AA$101),"dd mmm yy"))&amp;" "&amp;Milestones!$AB$101&amp;" "&amp;IF(AND(Milestones!$AB$101="FT",Milestones!$AA$101=FT_Y5,EDATE($D95,Milestones!$AA$101)&lt;PolicyEff),1,Milestones!$AC$101)&amp;";  ","")&amp;IF(AND(EDATE($D95,Milestones!$AA$102)&lt;=AsOfDate,EDATE($D95,Milestones!$AA$102)&gt;=SchemeStart,IF($X95=0,$AD95,IF(AND($Z95&lt;&gt;"",EDATE($D95,Milestones!$AA$102)&gt;=$Z95),$AC95,IF(AND($Y95&lt;&gt;"",EDATE($D95,Milestones!$AA$102)&gt;=$Y95),$AB95,$AA95)))=Milestones!$AB$102),UPPER(TEXT(EDATE($D95,Milestones!$AA$102),"dd mmm yy"))&amp;" "&amp;Milestones!$AB$102&amp;" "&amp;IF(AND(Milestones!$AB$102="FT",Milestones!$AA$102=FT_Y5,EDATE($D95,Milestones!$AA$102)&lt;PolicyEff),1,Milestones!$AC$102)&amp;";  ","")&amp;IF(AND(EDATE($D95,Milestones!$AA$103)&lt;=AsOfDate,EDATE($D95,Milestones!$AA$103)&gt;=SchemeStart,IF($X95=0,$AD95,IF(AND($Z95&lt;&gt;"",EDATE($D95,Milestones!$AA$103)&gt;=$Z95),$AC95,IF(AND($Y95&lt;&gt;"",EDATE($D95,Milestones!$AA$103)&gt;=$Y95),$AB95,$AA95)))=Milestones!$AB$103),UPPER(TEXT(EDATE($D95,Milestones!$AA$103),"dd mmm yy"))&amp;" "&amp;Milestones!$AB$103&amp;" "&amp;IF(AND(Milestones!$AB$103="FT",Milestones!$AA$103=FT_Y5,EDATE($D95,Milestones!$AA$103)&lt;PolicyEff),1,Milestones!$AC$103)&amp;";  ",""))</f>
        <v/>
      </c>
      <c r="P95" s="0" t="str">
        <f aca="false">IF(OR($A95="",$D95=""),"",IF(AND(EDATE($D95,Milestones!$AA$104)&lt;=AsOfDate,EDATE($D95,Milestones!$AA$104)&gt;=SchemeStart,IF($X95=0,$AD95,IF(AND($Z95&lt;&gt;"",EDATE($D95,Milestones!$AA$104)&gt;=$Z95),$AC95,IF(AND($Y95&lt;&gt;"",EDATE($D95,Milestones!$AA$104)&gt;=$Y95),$AB95,$AA95)))=Milestones!$AB$104),UPPER(TEXT(EDATE($D95,Milestones!$AA$104),"dd mmm yy"))&amp;" "&amp;Milestones!$AB$104&amp;" "&amp;IF(AND(Milestones!$AB$104="FT",Milestones!$AA$104=FT_Y5,EDATE($D95,Milestones!$AA$104)&lt;PolicyEff),1,Milestones!$AC$104)&amp;";  ","")&amp;IF(AND(EDATE($D95,Milestones!$AA$105)&lt;=AsOfDate,EDATE($D95,Milestones!$AA$105)&gt;=SchemeStart,IF($X95=0,$AD95,IF(AND($Z95&lt;&gt;"",EDATE($D95,Milestones!$AA$105)&gt;=$Z95),$AC95,IF(AND($Y95&lt;&gt;"",EDATE($D95,Milestones!$AA$105)&gt;=$Y95),$AB95,$AA95)))=Milestones!$AB$105),UPPER(TEXT(EDATE($D95,Milestones!$AA$105),"dd mmm yy"))&amp;" "&amp;Milestones!$AB$105&amp;" "&amp;IF(AND(Milestones!$AB$105="FT",Milestones!$AA$105=FT_Y5,EDATE($D95,Milestones!$AA$105)&lt;PolicyEff),1,Milestones!$AC$105)&amp;";  ","")&amp;IF(AND(EDATE($D95,Milestones!$AA$106)&lt;=AsOfDate,EDATE($D95,Milestones!$AA$106)&gt;=SchemeStart,IF($X95=0,$AD95,IF(AND($Z95&lt;&gt;"",EDATE($D95,Milestones!$AA$106)&gt;=$Z95),$AC95,IF(AND($Y95&lt;&gt;"",EDATE($D95,Milestones!$AA$106)&gt;=$Y95),$AB95,$AA95)))=Milestones!$AB$106),UPPER(TEXT(EDATE($D95,Milestones!$AA$106),"dd mmm yy"))&amp;" "&amp;Milestones!$AB$106&amp;" "&amp;IF(AND(Milestones!$AB$106="FT",Milestones!$AA$106=FT_Y5,EDATE($D95,Milestones!$AA$106)&lt;PolicyEff),1,Milestones!$AC$106)&amp;";  ","")&amp;IF(AND(EDATE($D95,Milestones!$AA$107)&lt;=AsOfDate,EDATE($D95,Milestones!$AA$107)&gt;=SchemeStart,IF($X95=0,$AD95,IF(AND($Z95&lt;&gt;"",EDATE($D95,Milestones!$AA$107)&gt;=$Z95),$AC95,IF(AND($Y95&lt;&gt;"",EDATE($D95,Milestones!$AA$107)&gt;=$Y95),$AB95,$AA95)))=Milestones!$AB$107),UPPER(TEXT(EDATE($D95,Milestones!$AA$107),"dd mmm yy"))&amp;" "&amp;Milestones!$AB$107&amp;" "&amp;IF(AND(Milestones!$AB$107="FT",Milestones!$AA$107=FT_Y5,EDATE($D95,Milestones!$AA$107)&lt;PolicyEff),1,Milestones!$AC$107)&amp;";  ","")&amp;IF(AND(EDATE($D95,Milestones!$AA$108)&lt;=AsOfDate,EDATE($D95,Milestones!$AA$108)&gt;=SchemeStart,IF($X95=0,$AD95,IF(AND($Z95&lt;&gt;"",EDATE($D95,Milestones!$AA$108)&gt;=$Z95),$AC95,IF(AND($Y95&lt;&gt;"",EDATE($D95,Milestones!$AA$108)&gt;=$Y95),$AB95,$AA95)))=Milestones!$AB$108),UPPER(TEXT(EDATE($D95,Milestones!$AA$108),"dd mmm yy"))&amp;" "&amp;Milestones!$AB$108&amp;" "&amp;IF(AND(Milestones!$AB$108="FT",Milestones!$AA$108=FT_Y5,EDATE($D95,Milestones!$AA$108)&lt;PolicyEff),1,Milestones!$AC$108)&amp;";  ","")&amp;IF(AND(EDATE($D95,Milestones!$AA$109)&lt;=AsOfDate,EDATE($D95,Milestones!$AA$109)&gt;=SchemeStart,IF($X95=0,$AD95,IF(AND($Z95&lt;&gt;"",EDATE($D95,Milestones!$AA$109)&gt;=$Z95),$AC95,IF(AND($Y95&lt;&gt;"",EDATE($D95,Milestones!$AA$109)&gt;=$Y95),$AB95,$AA95)))=Milestones!$AB$109),UPPER(TEXT(EDATE($D95,Milestones!$AA$109),"dd mmm yy"))&amp;" "&amp;Milestones!$AB$109&amp;" "&amp;IF(AND(Milestones!$AB$109="FT",Milestones!$AA$109=FT_Y5,EDATE($D95,Milestones!$AA$109)&lt;PolicyEff),1,Milestones!$AC$109)&amp;";  ","")&amp;IF(AND(EDATE($D95,Milestones!$AA$110)&lt;=AsOfDate,EDATE($D95,Milestones!$AA$110)&gt;=SchemeStart,IF($X95=0,$AD95,IF(AND($Z95&lt;&gt;"",EDATE($D95,Milestones!$AA$110)&gt;=$Z95),$AC95,IF(AND($Y95&lt;&gt;"",EDATE($D95,Milestones!$AA$110)&gt;=$Y95),$AB95,$AA95)))=Milestones!$AB$110),UPPER(TEXT(EDATE($D95,Milestones!$AA$110),"dd mmm yy"))&amp;" "&amp;Milestones!$AB$110&amp;" "&amp;IF(AND(Milestones!$AB$110="FT",Milestones!$AA$110=FT_Y5,EDATE($D95,Milestones!$AA$110)&lt;PolicyEff),1,Milestones!$AC$110)&amp;";  ","")&amp;IF(AND(EDATE($D95,Milestones!$AA$111)&lt;=AsOfDate,EDATE($D95,Milestones!$AA$111)&gt;=SchemeStart,IF($X95=0,$AD95,IF(AND($Z95&lt;&gt;"",EDATE($D95,Milestones!$AA$111)&gt;=$Z95),$AC95,IF(AND($Y95&lt;&gt;"",EDATE($D95,Milestones!$AA$111)&gt;=$Y95),$AB95,$AA95)))=Milestones!$AB$111),UPPER(TEXT(EDATE($D95,Milestones!$AA$111),"dd mmm yy"))&amp;" "&amp;Milestones!$AB$111&amp;" "&amp;IF(AND(Milestones!$AB$111="FT",Milestones!$AA$111=FT_Y5,EDATE($D95,Milestones!$AA$111)&lt;PolicyEff),1,Milestones!$AC$111)&amp;";  ","")&amp;IF(AND(EDATE($D95,Milestones!$AA$112)&lt;=AsOfDate,EDATE($D95,Milestones!$AA$112)&gt;=SchemeStart,IF($X95=0,$AD95,IF(AND($Z95&lt;&gt;"",EDATE($D95,Milestones!$AA$112)&gt;=$Z95),$AC95,IF(AND($Y95&lt;&gt;"",EDATE($D95,Milestones!$AA$112)&gt;=$Y95),$AB95,$AA95)))=Milestones!$AB$112),UPPER(TEXT(EDATE($D95,Milestones!$AA$112),"dd mmm yy"))&amp;" "&amp;Milestones!$AB$112&amp;" "&amp;IF(AND(Milestones!$AB$112="FT",Milestones!$AA$112=FT_Y5,EDATE($D95,Milestones!$AA$112)&lt;PolicyEff),1,Milestones!$AC$112)&amp;";  ","")&amp;IF(AND(EDATE($D95,Milestones!$AA$113)&lt;=AsOfDate,EDATE($D95,Milestones!$AA$113)&gt;=SchemeStart,IF($X95=0,$AD95,IF(AND($Z95&lt;&gt;"",EDATE($D95,Milestones!$AA$113)&gt;=$Z95),$AC95,IF(AND($Y95&lt;&gt;"",EDATE($D95,Milestones!$AA$113)&gt;=$Y95),$AB95,$AA95)))=Milestones!$AB$113),UPPER(TEXT(EDATE($D95,Milestones!$AA$113),"dd mmm yy"))&amp;" "&amp;Milestones!$AB$113&amp;" "&amp;IF(AND(Milestones!$AB$113="FT",Milestones!$AA$113=FT_Y5,EDATE($D95,Milestones!$AA$113)&lt;PolicyEff),1,Milestones!$AC$113)&amp;";  ","")&amp;IF(AND(EDATE($D95,Milestones!$AA$114)&lt;=AsOfDate,EDATE($D95,Milestones!$AA$114)&gt;=SchemeStart,IF($X95=0,$AD95,IF(AND($Z95&lt;&gt;"",EDATE($D95,Milestones!$AA$114)&gt;=$Z95),$AC95,IF(AND($Y95&lt;&gt;"",EDATE($D95,Milestones!$AA$114)&gt;=$Y95),$AB95,$AA95)))=Milestones!$AB$114),UPPER(TEXT(EDATE($D95,Milestones!$AA$114),"dd mmm yy"))&amp;" "&amp;Milestones!$AB$114&amp;" "&amp;IF(AND(Milestones!$AB$114="FT",Milestones!$AA$114=FT_Y5,EDATE($D95,Milestones!$AA$114)&lt;PolicyEff),1,Milestones!$AC$114)&amp;";  ","")&amp;IF(AND(EDATE($D95,Milestones!$AA$115)&lt;=AsOfDate,EDATE($D95,Milestones!$AA$115)&gt;=SchemeStart,IF($X95=0,$AD95,IF(AND($Z95&lt;&gt;"",EDATE($D95,Milestones!$AA$115)&gt;=$Z95),$AC95,IF(AND($Y95&lt;&gt;"",EDATE($D95,Milestones!$AA$115)&gt;=$Y95),$AB95,$AA95)))=Milestones!$AB$115),UPPER(TEXT(EDATE($D95,Milestones!$AA$115),"dd mmm yy"))&amp;" "&amp;Milestones!$AB$115&amp;" "&amp;IF(AND(Milestones!$AB$115="FT",Milestones!$AA$115=FT_Y5,EDATE($D95,Milestones!$AA$115)&lt;PolicyEff),1,Milestones!$AC$115)&amp;";  ",""))</f>
        <v/>
      </c>
      <c r="Q95" s="0" t="str">
        <f aca="false">IF(OR($A95="",$D95=""),"",IF(AND(EDATE($D95,Milestones!$AA$116)&lt;=AsOfDate,EDATE($D95,Milestones!$AA$116)&gt;=SchemeStart,IF($X95=0,$AD95,IF(AND($Z95&lt;&gt;"",EDATE($D95,Milestones!$AA$116)&gt;=$Z95),$AC95,IF(AND($Y95&lt;&gt;"",EDATE($D95,Milestones!$AA$116)&gt;=$Y95),$AB95,$AA95)))=Milestones!$AB$116),UPPER(TEXT(EDATE($D95,Milestones!$AA$116),"dd mmm yy"))&amp;" "&amp;Milestones!$AB$116&amp;" "&amp;IF(AND(Milestones!$AB$116="FT",Milestones!$AA$116=FT_Y5,EDATE($D95,Milestones!$AA$116)&lt;PolicyEff),1,Milestones!$AC$116)&amp;";  ","")&amp;IF(AND(EDATE($D95,Milestones!$AA$117)&lt;=AsOfDate,EDATE($D95,Milestones!$AA$117)&gt;=SchemeStart,IF($X95=0,$AD95,IF(AND($Z95&lt;&gt;"",EDATE($D95,Milestones!$AA$117)&gt;=$Z95),$AC95,IF(AND($Y95&lt;&gt;"",EDATE($D95,Milestones!$AA$117)&gt;=$Y95),$AB95,$AA95)))=Milestones!$AB$117),UPPER(TEXT(EDATE($D95,Milestones!$AA$117),"dd mmm yy"))&amp;" "&amp;Milestones!$AB$117&amp;" "&amp;IF(AND(Milestones!$AB$117="FT",Milestones!$AA$117=FT_Y5,EDATE($D95,Milestones!$AA$117)&lt;PolicyEff),1,Milestones!$AC$117)&amp;";  ","")&amp;IF(AND(EDATE($D95,Milestones!$AA$118)&lt;=AsOfDate,EDATE($D95,Milestones!$AA$118)&gt;=SchemeStart,IF($X95=0,$AD95,IF(AND($Z95&lt;&gt;"",EDATE($D95,Milestones!$AA$118)&gt;=$Z95),$AC95,IF(AND($Y95&lt;&gt;"",EDATE($D95,Milestones!$AA$118)&gt;=$Y95),$AB95,$AA95)))=Milestones!$AB$118),UPPER(TEXT(EDATE($D95,Milestones!$AA$118),"dd mmm yy"))&amp;" "&amp;Milestones!$AB$118&amp;" "&amp;IF(AND(Milestones!$AB$118="FT",Milestones!$AA$118=FT_Y5,EDATE($D95,Milestones!$AA$118)&lt;PolicyEff),1,Milestones!$AC$118)&amp;";  ","")&amp;IF(AND(EDATE($D95,Milestones!$AA$119)&lt;=AsOfDate,EDATE($D95,Milestones!$AA$119)&gt;=SchemeStart,IF($X95=0,$AD95,IF(AND($Z95&lt;&gt;"",EDATE($D95,Milestones!$AA$119)&gt;=$Z95),$AC95,IF(AND($Y95&lt;&gt;"",EDATE($D95,Milestones!$AA$119)&gt;=$Y95),$AB95,$AA95)))=Milestones!$AB$119),UPPER(TEXT(EDATE($D95,Milestones!$AA$119),"dd mmm yy"))&amp;" "&amp;Milestones!$AB$119&amp;" "&amp;IF(AND(Milestones!$AB$119="FT",Milestones!$AA$119=FT_Y5,EDATE($D95,Milestones!$AA$119)&lt;PolicyEff),1,Milestones!$AC$119)&amp;";  ","")&amp;IF(AND(EDATE($D95,Milestones!$AA$120)&lt;=AsOfDate,EDATE($D95,Milestones!$AA$120)&gt;=SchemeStart,IF($X95=0,$AD95,IF(AND($Z95&lt;&gt;"",EDATE($D95,Milestones!$AA$120)&gt;=$Z95),$AC95,IF(AND($Y95&lt;&gt;"",EDATE($D95,Milestones!$AA$120)&gt;=$Y95),$AB95,$AA95)))=Milestones!$AB$120),UPPER(TEXT(EDATE($D95,Milestones!$AA$120),"dd mmm yy"))&amp;" "&amp;Milestones!$AB$120&amp;" "&amp;IF(AND(Milestones!$AB$120="FT",Milestones!$AA$120=FT_Y5,EDATE($D95,Milestones!$AA$120)&lt;PolicyEff),1,Milestones!$AC$120)&amp;";  ","")&amp;IF(AND(EDATE($D95,Milestones!$AA$121)&lt;=AsOfDate,EDATE($D95,Milestones!$AA$121)&gt;=SchemeStart,IF($X95=0,$AD95,IF(AND($Z95&lt;&gt;"",EDATE($D95,Milestones!$AA$121)&gt;=$Z95),$AC95,IF(AND($Y95&lt;&gt;"",EDATE($D95,Milestones!$AA$121)&gt;=$Y95),$AB95,$AA95)))=Milestones!$AB$121),UPPER(TEXT(EDATE($D95,Milestones!$AA$121),"dd mmm yy"))&amp;" "&amp;Milestones!$AB$121&amp;" "&amp;IF(AND(Milestones!$AB$121="FT",Milestones!$AA$121=FT_Y5,EDATE($D95,Milestones!$AA$121)&lt;PolicyEff),1,Milestones!$AC$121)&amp;";  ","")&amp;IF(AND(EDATE($D95,Milestones!$AA$122)&lt;=AsOfDate,EDATE($D95,Milestones!$AA$122)&gt;=SchemeStart,IF($X95=0,$AD95,IF(AND($Z95&lt;&gt;"",EDATE($D95,Milestones!$AA$122)&gt;=$Z95),$AC95,IF(AND($Y95&lt;&gt;"",EDATE($D95,Milestones!$AA$122)&gt;=$Y95),$AB95,$AA95)))=Milestones!$AB$122),UPPER(TEXT(EDATE($D95,Milestones!$AA$122),"dd mmm yy"))&amp;" "&amp;Milestones!$AB$122&amp;" "&amp;IF(AND(Milestones!$AB$122="FT",Milestones!$AA$122=FT_Y5,EDATE($D95,Milestones!$AA$122)&lt;PolicyEff),1,Milestones!$AC$122)&amp;";  ","")&amp;IF(AND(EDATE($D95,Milestones!$AA$123)&lt;=AsOfDate,EDATE($D95,Milestones!$AA$123)&gt;=SchemeStart,IF($X95=0,$AD95,IF(AND($Z95&lt;&gt;"",EDATE($D95,Milestones!$AA$123)&gt;=$Z95),$AC95,IF(AND($Y95&lt;&gt;"",EDATE($D95,Milestones!$AA$123)&gt;=$Y95),$AB95,$AA95)))=Milestones!$AB$123),UPPER(TEXT(EDATE($D95,Milestones!$AA$123),"dd mmm yy"))&amp;" "&amp;Milestones!$AB$123&amp;" "&amp;IF(AND(Milestones!$AB$123="FT",Milestones!$AA$123=FT_Y5,EDATE($D95,Milestones!$AA$123)&lt;PolicyEff),1,Milestones!$AC$123)&amp;";  ","")&amp;IF(AND(EDATE($D95,Milestones!$AA$124)&lt;=AsOfDate,EDATE($D95,Milestones!$AA$124)&gt;=SchemeStart,IF($X95=0,$AD95,IF(AND($Z95&lt;&gt;"",EDATE($D95,Milestones!$AA$124)&gt;=$Z95),$AC95,IF(AND($Y95&lt;&gt;"",EDATE($D95,Milestones!$AA$124)&gt;=$Y95),$AB95,$AA95)))=Milestones!$AB$124),UPPER(TEXT(EDATE($D95,Milestones!$AA$124),"dd mmm yy"))&amp;" "&amp;Milestones!$AB$124&amp;" "&amp;IF(AND(Milestones!$AB$124="FT",Milestones!$AA$124=FT_Y5,EDATE($D95,Milestones!$AA$124)&lt;PolicyEff),1,Milestones!$AC$124)&amp;";  ","")&amp;IF(AND(EDATE($D95,Milestones!$AA$125)&lt;=AsOfDate,EDATE($D95,Milestones!$AA$125)&gt;=SchemeStart,IF($X95=0,$AD95,IF(AND($Z95&lt;&gt;"",EDATE($D95,Milestones!$AA$125)&gt;=$Z95),$AC95,IF(AND($Y95&lt;&gt;"",EDATE($D95,Milestones!$AA$125)&gt;=$Y95),$AB95,$AA95)))=Milestones!$AB$125),UPPER(TEXT(EDATE($D95,Milestones!$AA$125),"dd mmm yy"))&amp;" "&amp;Milestones!$AB$125&amp;" "&amp;IF(AND(Milestones!$AB$125="FT",Milestones!$AA$125=FT_Y5,EDATE($D95,Milestones!$AA$125)&lt;PolicyEff),1,Milestones!$AC$125)&amp;";  ","")&amp;IF(AND(EDATE($D95,Milestones!$AA$126)&lt;=AsOfDate,EDATE($D95,Milestones!$AA$126)&gt;=SchemeStart,IF($X95=0,$AD95,IF(AND($Z95&lt;&gt;"",EDATE($D95,Milestones!$AA$126)&gt;=$Z95),$AC95,IF(AND($Y95&lt;&gt;"",EDATE($D95,Milestones!$AA$126)&gt;=$Y95),$AB95,$AA95)))=Milestones!$AB$126),UPPER(TEXT(EDATE($D95,Milestones!$AA$126),"dd mmm yy"))&amp;" "&amp;Milestones!$AB$126&amp;" "&amp;IF(AND(Milestones!$AB$126="FT",Milestones!$AA$126=FT_Y5,EDATE($D95,Milestones!$AA$126)&lt;PolicyEff),1,Milestones!$AC$126)&amp;";  ","")&amp;IF(AND(EDATE($D95,Milestones!$AA$127)&lt;=AsOfDate,EDATE($D95,Milestones!$AA$127)&gt;=SchemeStart,IF($X95=0,$AD95,IF(AND($Z95&lt;&gt;"",EDATE($D95,Milestones!$AA$127)&gt;=$Z95),$AC95,IF(AND($Y95&lt;&gt;"",EDATE($D95,Milestones!$AA$127)&gt;=$Y95),$AB95,$AA95)))=Milestones!$AB$127),UPPER(TEXT(EDATE($D95,Milestones!$AA$127),"dd mmm yy"))&amp;" "&amp;Milestones!$AB$127&amp;" "&amp;IF(AND(Milestones!$AB$127="FT",Milestones!$AA$127=FT_Y5,EDATE($D95,Milestones!$AA$127)&lt;PolicyEff),1,Milestones!$AC$127)&amp;";  ",""))</f>
        <v/>
      </c>
      <c r="R95" s="0" t="str">
        <f aca="false">IF(OR($A95="",$D95=""),"",IF(AND(EDATE($D95,Milestones!$AA$128)&lt;=AsOfDate,EDATE($D95,Milestones!$AA$128)&gt;=SchemeStart,IF($X95=0,$AD95,IF(AND($Z95&lt;&gt;"",EDATE($D95,Milestones!$AA$128)&gt;=$Z95),$AC95,IF(AND($Y95&lt;&gt;"",EDATE($D95,Milestones!$AA$128)&gt;=$Y95),$AB95,$AA95)))=Milestones!$AB$128),UPPER(TEXT(EDATE($D95,Milestones!$AA$128),"dd mmm yy"))&amp;" "&amp;Milestones!$AB$128&amp;" "&amp;IF(AND(Milestones!$AB$128="FT",Milestones!$AA$128=FT_Y5,EDATE($D95,Milestones!$AA$128)&lt;PolicyEff),1,Milestones!$AC$128)&amp;";  ","")&amp;IF(AND(EDATE($D95,Milestones!$AA$129)&lt;=AsOfDate,EDATE($D95,Milestones!$AA$129)&gt;=SchemeStart,IF($X95=0,$AD95,IF(AND($Z95&lt;&gt;"",EDATE($D95,Milestones!$AA$129)&gt;=$Z95),$AC95,IF(AND($Y95&lt;&gt;"",EDATE($D95,Milestones!$AA$129)&gt;=$Y95),$AB95,$AA95)))=Milestones!$AB$129),UPPER(TEXT(EDATE($D95,Milestones!$AA$129),"dd mmm yy"))&amp;" "&amp;Milestones!$AB$129&amp;" "&amp;IF(AND(Milestones!$AB$129="FT",Milestones!$AA$129=FT_Y5,EDATE($D95,Milestones!$AA$129)&lt;PolicyEff),1,Milestones!$AC$129)&amp;";  ","")&amp;IF(AND(EDATE($D95,Milestones!$AA$130)&lt;=AsOfDate,EDATE($D95,Milestones!$AA$130)&gt;=SchemeStart,IF($X95=0,$AD95,IF(AND($Z95&lt;&gt;"",EDATE($D95,Milestones!$AA$130)&gt;=$Z95),$AC95,IF(AND($Y95&lt;&gt;"",EDATE($D95,Milestones!$AA$130)&gt;=$Y95),$AB95,$AA95)))=Milestones!$AB$130),UPPER(TEXT(EDATE($D95,Milestones!$AA$130),"dd mmm yy"))&amp;" "&amp;Milestones!$AB$130&amp;" "&amp;IF(AND(Milestones!$AB$130="FT",Milestones!$AA$130=FT_Y5,EDATE($D95,Milestones!$AA$130)&lt;PolicyEff),1,Milestones!$AC$130)&amp;";  ","")&amp;IF(AND(EDATE($D95,Milestones!$AA$131)&lt;=AsOfDate,EDATE($D95,Milestones!$AA$131)&gt;=SchemeStart,IF($X95=0,$AD95,IF(AND($Z95&lt;&gt;"",EDATE($D95,Milestones!$AA$131)&gt;=$Z95),$AC95,IF(AND($Y95&lt;&gt;"",EDATE($D95,Milestones!$AA$131)&gt;=$Y95),$AB95,$AA95)))=Milestones!$AB$131),UPPER(TEXT(EDATE($D95,Milestones!$AA$131),"dd mmm yy"))&amp;" "&amp;Milestones!$AB$131&amp;" "&amp;IF(AND(Milestones!$AB$131="FT",Milestones!$AA$131=FT_Y5,EDATE($D95,Milestones!$AA$131)&lt;PolicyEff),1,Milestones!$AC$131)&amp;";  ","")&amp;IF(AND(EDATE($D95,Milestones!$AA$132)&lt;=AsOfDate,EDATE($D95,Milestones!$AA$132)&gt;=SchemeStart,IF($X95=0,$AD95,IF(AND($Z95&lt;&gt;"",EDATE($D95,Milestones!$AA$132)&gt;=$Z95),$AC95,IF(AND($Y95&lt;&gt;"",EDATE($D95,Milestones!$AA$132)&gt;=$Y95),$AB95,$AA95)))=Milestones!$AB$132),UPPER(TEXT(EDATE($D95,Milestones!$AA$132),"dd mmm yy"))&amp;" "&amp;Milestones!$AB$132&amp;" "&amp;IF(AND(Milestones!$AB$132="FT",Milestones!$AA$132=FT_Y5,EDATE($D95,Milestones!$AA$132)&lt;PolicyEff),1,Milestones!$AC$132)&amp;";  ","")&amp;IF(AND(EDATE($D95,Milestones!$AA$133)&lt;=AsOfDate,EDATE($D95,Milestones!$AA$133)&gt;=SchemeStart,IF($X95=0,$AD95,IF(AND($Z95&lt;&gt;"",EDATE($D95,Milestones!$AA$133)&gt;=$Z95),$AC95,IF(AND($Y95&lt;&gt;"",EDATE($D95,Milestones!$AA$133)&gt;=$Y95),$AB95,$AA95)))=Milestones!$AB$133),UPPER(TEXT(EDATE($D95,Milestones!$AA$133),"dd mmm yy"))&amp;" "&amp;Milestones!$AB$133&amp;" "&amp;IF(AND(Milestones!$AB$133="FT",Milestones!$AA$133=FT_Y5,EDATE($D95,Milestones!$AA$133)&lt;PolicyEff),1,Milestones!$AC$133)&amp;";  ","")&amp;IF(AND(EDATE($D95,Milestones!$AA$134)&lt;=AsOfDate,EDATE($D95,Milestones!$AA$134)&gt;=SchemeStart,IF($X95=0,$AD95,IF(AND($Z95&lt;&gt;"",EDATE($D95,Milestones!$AA$134)&gt;=$Z95),$AC95,IF(AND($Y95&lt;&gt;"",EDATE($D95,Milestones!$AA$134)&gt;=$Y95),$AB95,$AA95)))=Milestones!$AB$134),UPPER(TEXT(EDATE($D95,Milestones!$AA$134),"dd mmm yy"))&amp;" "&amp;Milestones!$AB$134&amp;" "&amp;IF(AND(Milestones!$AB$134="FT",Milestones!$AA$134=FT_Y5,EDATE($D95,Milestones!$AA$134)&lt;PolicyEff),1,Milestones!$AC$134)&amp;";  ","")&amp;IF(AND(EDATE($D95,Milestones!$AA$135)&lt;=AsOfDate,EDATE($D95,Milestones!$AA$135)&gt;=SchemeStart,IF($X95=0,$AD95,IF(AND($Z95&lt;&gt;"",EDATE($D95,Milestones!$AA$135)&gt;=$Z95),$AC95,IF(AND($Y95&lt;&gt;"",EDATE($D95,Milestones!$AA$135)&gt;=$Y95),$AB95,$AA95)))=Milestones!$AB$135),UPPER(TEXT(EDATE($D95,Milestones!$AA$135),"dd mmm yy"))&amp;" "&amp;Milestones!$AB$135&amp;" "&amp;IF(AND(Milestones!$AB$135="FT",Milestones!$AA$135=FT_Y5,EDATE($D95,Milestones!$AA$135)&lt;PolicyEff),1,Milestones!$AC$135)&amp;";  ","")&amp;IF(AND(EDATE($D95,Milestones!$AA$136)&lt;=AsOfDate,EDATE($D95,Milestones!$AA$136)&gt;=SchemeStart,IF($X95=0,$AD95,IF(AND($Z95&lt;&gt;"",EDATE($D95,Milestones!$AA$136)&gt;=$Z95),$AC95,IF(AND($Y95&lt;&gt;"",EDATE($D95,Milestones!$AA$136)&gt;=$Y95),$AB95,$AA95)))=Milestones!$AB$136),UPPER(TEXT(EDATE($D95,Milestones!$AA$136),"dd mmm yy"))&amp;" "&amp;Milestones!$AB$136&amp;" "&amp;IF(AND(Milestones!$AB$136="FT",Milestones!$AA$136=FT_Y5,EDATE($D95,Milestones!$AA$136)&lt;PolicyEff),1,Milestones!$AC$136)&amp;";  ","")&amp;IF(AND(EDATE($D95,Milestones!$AA$137)&lt;=AsOfDate,EDATE($D95,Milestones!$AA$137)&gt;=SchemeStart,IF($X95=0,$AD95,IF(AND($Z95&lt;&gt;"",EDATE($D95,Milestones!$AA$137)&gt;=$Z95),$AC95,IF(AND($Y95&lt;&gt;"",EDATE($D95,Milestones!$AA$137)&gt;=$Y95),$AB95,$AA95)))=Milestones!$AB$137),UPPER(TEXT(EDATE($D95,Milestones!$AA$137),"dd mmm yy"))&amp;" "&amp;Milestones!$AB$137&amp;" "&amp;IF(AND(Milestones!$AB$137="FT",Milestones!$AA$137=FT_Y5,EDATE($D95,Milestones!$AA$137)&lt;PolicyEff),1,Milestones!$AC$137)&amp;";  ","")&amp;IF(AND(EDATE($D95,Milestones!$AA$138)&lt;=AsOfDate,EDATE($D95,Milestones!$AA$138)&gt;=SchemeStart,IF($X95=0,$AD95,IF(AND($Z95&lt;&gt;"",EDATE($D95,Milestones!$AA$138)&gt;=$Z95),$AC95,IF(AND($Y95&lt;&gt;"",EDATE($D95,Milestones!$AA$138)&gt;=$Y95),$AB95,$AA95)))=Milestones!$AB$138),UPPER(TEXT(EDATE($D95,Milestones!$AA$138),"dd mmm yy"))&amp;" "&amp;Milestones!$AB$138&amp;" "&amp;IF(AND(Milestones!$AB$138="FT",Milestones!$AA$138=FT_Y5,EDATE($D95,Milestones!$AA$138)&lt;PolicyEff),1,Milestones!$AC$138)&amp;";  ","")&amp;IF(AND(EDATE($D95,Milestones!$AA$139)&lt;=AsOfDate,EDATE($D95,Milestones!$AA$139)&gt;=SchemeStart,IF($X95=0,$AD95,IF(AND($Z95&lt;&gt;"",EDATE($D95,Milestones!$AA$139)&gt;=$Z95),$AC95,IF(AND($Y95&lt;&gt;"",EDATE($D95,Milestones!$AA$139)&gt;=$Y95),$AB95,$AA95)))=Milestones!$AB$139),UPPER(TEXT(EDATE($D95,Milestones!$AA$139),"dd mmm yy"))&amp;" "&amp;Milestones!$AB$139&amp;" "&amp;IF(AND(Milestones!$AB$139="FT",Milestones!$AA$139=FT_Y5,EDATE($D95,Milestones!$AA$139)&lt;PolicyEff),1,Milestones!$AC$139)&amp;";  ",""))</f>
        <v/>
      </c>
      <c r="S95" s="0" t="str">
        <f aca="false">IF(OR($A95="",$D95=""),"",IF(AND(EDATE($D95,Milestones!$AA$140)&lt;=AsOfDate,EDATE($D95,Milestones!$AA$140)&gt;=SchemeStart,IF($X95=0,$AD95,IF(AND($Z95&lt;&gt;"",EDATE($D95,Milestones!$AA$140)&gt;=$Z95),$AC95,IF(AND($Y95&lt;&gt;"",EDATE($D95,Milestones!$AA$140)&gt;=$Y95),$AB95,$AA95)))=Milestones!$AB$140),UPPER(TEXT(EDATE($D95,Milestones!$AA$140),"dd mmm yy"))&amp;" "&amp;Milestones!$AB$140&amp;" "&amp;IF(AND(Milestones!$AB$140="FT",Milestones!$AA$140=FT_Y5,EDATE($D95,Milestones!$AA$140)&lt;PolicyEff),1,Milestones!$AC$140)&amp;";  ","")&amp;IF(AND(EDATE($D95,Milestones!$AA$141)&lt;=AsOfDate,EDATE($D95,Milestones!$AA$141)&gt;=SchemeStart,IF($X95=0,$AD95,IF(AND($Z95&lt;&gt;"",EDATE($D95,Milestones!$AA$141)&gt;=$Z95),$AC95,IF(AND($Y95&lt;&gt;"",EDATE($D95,Milestones!$AA$141)&gt;=$Y95),$AB95,$AA95)))=Milestones!$AB$141),UPPER(TEXT(EDATE($D95,Milestones!$AA$141),"dd mmm yy"))&amp;" "&amp;Milestones!$AB$141&amp;" "&amp;IF(AND(Milestones!$AB$141="FT",Milestones!$AA$141=FT_Y5,EDATE($D95,Milestones!$AA$141)&lt;PolicyEff),1,Milestones!$AC$141)&amp;";  ","")&amp;IF(AND(EDATE($D95,Milestones!$AA$142)&lt;=AsOfDate,EDATE($D95,Milestones!$AA$142)&gt;=SchemeStart,IF($X95=0,$AD95,IF(AND($Z95&lt;&gt;"",EDATE($D95,Milestones!$AA$142)&gt;=$Z95),$AC95,IF(AND($Y95&lt;&gt;"",EDATE($D95,Milestones!$AA$142)&gt;=$Y95),$AB95,$AA95)))=Milestones!$AB$142),UPPER(TEXT(EDATE($D95,Milestones!$AA$142),"dd mmm yy"))&amp;" "&amp;Milestones!$AB$142&amp;" "&amp;IF(AND(Milestones!$AB$142="FT",Milestones!$AA$142=FT_Y5,EDATE($D95,Milestones!$AA$142)&lt;PolicyEff),1,Milestones!$AC$142)&amp;";  ","")&amp;IF(AND(EDATE($D95,Milestones!$AA$143)&lt;=AsOfDate,EDATE($D95,Milestones!$AA$143)&gt;=SchemeStart,IF($X95=0,$AD95,IF(AND($Z95&lt;&gt;"",EDATE($D95,Milestones!$AA$143)&gt;=$Z95),$AC95,IF(AND($Y95&lt;&gt;"",EDATE($D95,Milestones!$AA$143)&gt;=$Y95),$AB95,$AA95)))=Milestones!$AB$143),UPPER(TEXT(EDATE($D95,Milestones!$AA$143),"dd mmm yy"))&amp;" "&amp;Milestones!$AB$143&amp;" "&amp;IF(AND(Milestones!$AB$143="FT",Milestones!$AA$143=FT_Y5,EDATE($D95,Milestones!$AA$143)&lt;PolicyEff),1,Milestones!$AC$143)&amp;";  ","")&amp;IF(AND(EDATE($D95,Milestones!$AA$144)&lt;=AsOfDate,EDATE($D95,Milestones!$AA$144)&gt;=SchemeStart,IF($X95=0,$AD95,IF(AND($Z95&lt;&gt;"",EDATE($D95,Milestones!$AA$144)&gt;=$Z95),$AC95,IF(AND($Y95&lt;&gt;"",EDATE($D95,Milestones!$AA$144)&gt;=$Y95),$AB95,$AA95)))=Milestones!$AB$144),UPPER(TEXT(EDATE($D95,Milestones!$AA$144),"dd mmm yy"))&amp;" "&amp;Milestones!$AB$144&amp;" "&amp;IF(AND(Milestones!$AB$144="FT",Milestones!$AA$144=FT_Y5,EDATE($D95,Milestones!$AA$144)&lt;PolicyEff),1,Milestones!$AC$144)&amp;";  ","")&amp;IF(AND(EDATE($D95,Milestones!$AA$145)&lt;=AsOfDate,EDATE($D95,Milestones!$AA$145)&gt;=SchemeStart,IF($X95=0,$AD95,IF(AND($Z95&lt;&gt;"",EDATE($D95,Milestones!$AA$145)&gt;=$Z95),$AC95,IF(AND($Y95&lt;&gt;"",EDATE($D95,Milestones!$AA$145)&gt;=$Y95),$AB95,$AA95)))=Milestones!$AB$145),UPPER(TEXT(EDATE($D95,Milestones!$AA$145),"dd mmm yy"))&amp;" "&amp;Milestones!$AB$145&amp;" "&amp;IF(AND(Milestones!$AB$145="FT",Milestones!$AA$145=FT_Y5,EDATE($D95,Milestones!$AA$145)&lt;PolicyEff),1,Milestones!$AC$145)&amp;";  ","")&amp;IF(AND(EDATE($D95,Milestones!$AA$146)&lt;=AsOfDate,EDATE($D95,Milestones!$AA$146)&gt;=SchemeStart,IF($X95=0,$AD95,IF(AND($Z95&lt;&gt;"",EDATE($D95,Milestones!$AA$146)&gt;=$Z95),$AC95,IF(AND($Y95&lt;&gt;"",EDATE($D95,Milestones!$AA$146)&gt;=$Y95),$AB95,$AA95)))=Milestones!$AB$146),UPPER(TEXT(EDATE($D95,Milestones!$AA$146),"dd mmm yy"))&amp;" "&amp;Milestones!$AB$146&amp;" "&amp;IF(AND(Milestones!$AB$146="FT",Milestones!$AA$146=FT_Y5,EDATE($D95,Milestones!$AA$146)&lt;PolicyEff),1,Milestones!$AC$146)&amp;";  ","")&amp;IF(AND(EDATE($D95,Milestones!$AA$147)&lt;=AsOfDate,EDATE($D95,Milestones!$AA$147)&gt;=SchemeStart,IF($X95=0,$AD95,IF(AND($Z95&lt;&gt;"",EDATE($D95,Milestones!$AA$147)&gt;=$Z95),$AC95,IF(AND($Y95&lt;&gt;"",EDATE($D95,Milestones!$AA$147)&gt;=$Y95),$AB95,$AA95)))=Milestones!$AB$147),UPPER(TEXT(EDATE($D95,Milestones!$AA$147),"dd mmm yy"))&amp;" "&amp;Milestones!$AB$147&amp;" "&amp;IF(AND(Milestones!$AB$147="FT",Milestones!$AA$147=FT_Y5,EDATE($D95,Milestones!$AA$147)&lt;PolicyEff),1,Milestones!$AC$147)&amp;";  ","")&amp;IF(AND(EDATE($D95,Milestones!$AA$148)&lt;=AsOfDate,EDATE($D95,Milestones!$AA$148)&gt;=SchemeStart,IF($X95=0,$AD95,IF(AND($Z95&lt;&gt;"",EDATE($D95,Milestones!$AA$148)&gt;=$Z95),$AC95,IF(AND($Y95&lt;&gt;"",EDATE($D95,Milestones!$AA$148)&gt;=$Y95),$AB95,$AA95)))=Milestones!$AB$148),UPPER(TEXT(EDATE($D95,Milestones!$AA$148),"dd mmm yy"))&amp;" "&amp;Milestones!$AB$148&amp;" "&amp;IF(AND(Milestones!$AB$148="FT",Milestones!$AA$148=FT_Y5,EDATE($D95,Milestones!$AA$148)&lt;PolicyEff),1,Milestones!$AC$148)&amp;";  ","")&amp;IF(AND(EDATE($D95,Milestones!$AA$149)&lt;=AsOfDate,EDATE($D95,Milestones!$AA$149)&gt;=SchemeStart,IF($X95=0,$AD95,IF(AND($Z95&lt;&gt;"",EDATE($D95,Milestones!$AA$149)&gt;=$Z95),$AC95,IF(AND($Y95&lt;&gt;"",EDATE($D95,Milestones!$AA$149)&gt;=$Y95),$AB95,$AA95)))=Milestones!$AB$149),UPPER(TEXT(EDATE($D95,Milestones!$AA$149),"dd mmm yy"))&amp;" "&amp;Milestones!$AB$149&amp;" "&amp;IF(AND(Milestones!$AB$149="FT",Milestones!$AA$149=FT_Y5,EDATE($D95,Milestones!$AA$149)&lt;PolicyEff),1,Milestones!$AC$149)&amp;";  ","")&amp;IF(AND(EDATE($D95,Milestones!$AA$150)&lt;=AsOfDate,EDATE($D95,Milestones!$AA$150)&gt;=SchemeStart,IF($X95=0,$AD95,IF(AND($Z95&lt;&gt;"",EDATE($D95,Milestones!$AA$150)&gt;=$Z95),$AC95,IF(AND($Y95&lt;&gt;"",EDATE($D95,Milestones!$AA$150)&gt;=$Y95),$AB95,$AA95)))=Milestones!$AB$150),UPPER(TEXT(EDATE($D95,Milestones!$AA$150),"dd mmm yy"))&amp;" "&amp;Milestones!$AB$150&amp;" "&amp;IF(AND(Milestones!$AB$150="FT",Milestones!$AA$150=FT_Y5,EDATE($D95,Milestones!$AA$150)&lt;PolicyEff),1,Milestones!$AC$150)&amp;";  ","")&amp;IF(AND(EDATE($D95,Milestones!$AA$151)&lt;=AsOfDate,EDATE($D95,Milestones!$AA$151)&gt;=SchemeStart,IF($X95=0,$AD95,IF(AND($Z95&lt;&gt;"",EDATE($D95,Milestones!$AA$151)&gt;=$Z95),$AC95,IF(AND($Y95&lt;&gt;"",EDATE($D95,Milestones!$AA$151)&gt;=$Y95),$AB95,$AA95)))=Milestones!$AB$151),UPPER(TEXT(EDATE($D95,Milestones!$AA$151),"dd mmm yy"))&amp;" "&amp;Milestones!$AB$151&amp;" "&amp;IF(AND(Milestones!$AB$151="FT",Milestones!$AA$151=FT_Y5,EDATE($D95,Milestones!$AA$151)&lt;PolicyEff),1,Milestones!$AC$151)&amp;";  ",""))</f>
        <v/>
      </c>
      <c r="T95" s="0" t="str">
        <f aca="false">IF(OR($A95="",$D95=""),"",IF(AND(EDATE($D95,Milestones!$AA$152)&lt;=AsOfDate,EDATE($D95,Milestones!$AA$152)&gt;=SchemeStart,IF($X95=0,$AD95,IF(AND($Z95&lt;&gt;"",EDATE($D95,Milestones!$AA$152)&gt;=$Z95),$AC95,IF(AND($Y95&lt;&gt;"",EDATE($D95,Milestones!$AA$152)&gt;=$Y95),$AB95,$AA95)))=Milestones!$AB$152),UPPER(TEXT(EDATE($D95,Milestones!$AA$152),"dd mmm yy"))&amp;" "&amp;Milestones!$AB$152&amp;" "&amp;IF(AND(Milestones!$AB$152="FT",Milestones!$AA$152=FT_Y5,EDATE($D95,Milestones!$AA$152)&lt;PolicyEff),1,Milestones!$AC$152)&amp;";  ","")&amp;IF(AND(EDATE($D95,Milestones!$AA$153)&lt;=AsOfDate,EDATE($D95,Milestones!$AA$153)&gt;=SchemeStart,IF($X95=0,$AD95,IF(AND($Z95&lt;&gt;"",EDATE($D95,Milestones!$AA$153)&gt;=$Z95),$AC95,IF(AND($Y95&lt;&gt;"",EDATE($D95,Milestones!$AA$153)&gt;=$Y95),$AB95,$AA95)))=Milestones!$AB$153),UPPER(TEXT(EDATE($D95,Milestones!$AA$153),"dd mmm yy"))&amp;" "&amp;Milestones!$AB$153&amp;" "&amp;IF(AND(Milestones!$AB$153="FT",Milestones!$AA$153=FT_Y5,EDATE($D95,Milestones!$AA$153)&lt;PolicyEff),1,Milestones!$AC$153)&amp;";  ","")&amp;IF(AND(EDATE($D95,Milestones!$AA$154)&lt;=AsOfDate,EDATE($D95,Milestones!$AA$154)&gt;=SchemeStart,IF($X95=0,$AD95,IF(AND($Z95&lt;&gt;"",EDATE($D95,Milestones!$AA$154)&gt;=$Z95),$AC95,IF(AND($Y95&lt;&gt;"",EDATE($D95,Milestones!$AA$154)&gt;=$Y95),$AB95,$AA95)))=Milestones!$AB$154),UPPER(TEXT(EDATE($D95,Milestones!$AA$154),"dd mmm yy"))&amp;" "&amp;Milestones!$AB$154&amp;" "&amp;IF(AND(Milestones!$AB$154="FT",Milestones!$AA$154=FT_Y5,EDATE($D95,Milestones!$AA$154)&lt;PolicyEff),1,Milestones!$AC$154)&amp;";  ","")&amp;IF(AND(EDATE($D95,Milestones!$AA$155)&lt;=AsOfDate,EDATE($D95,Milestones!$AA$155)&gt;=SchemeStart,IF($X95=0,$AD95,IF(AND($Z95&lt;&gt;"",EDATE($D95,Milestones!$AA$155)&gt;=$Z95),$AC95,IF(AND($Y95&lt;&gt;"",EDATE($D95,Milestones!$AA$155)&gt;=$Y95),$AB95,$AA95)))=Milestones!$AB$155),UPPER(TEXT(EDATE($D95,Milestones!$AA$155),"dd mmm yy"))&amp;" "&amp;Milestones!$AB$155&amp;" "&amp;IF(AND(Milestones!$AB$155="FT",Milestones!$AA$155=FT_Y5,EDATE($D95,Milestones!$AA$155)&lt;PolicyEff),1,Milestones!$AC$155)&amp;";  ","")&amp;IF(AND(EDATE($D95,Milestones!$AA$156)&lt;=AsOfDate,EDATE($D95,Milestones!$AA$156)&gt;=SchemeStart,IF($X95=0,$AD95,IF(AND($Z95&lt;&gt;"",EDATE($D95,Milestones!$AA$156)&gt;=$Z95),$AC95,IF(AND($Y95&lt;&gt;"",EDATE($D95,Milestones!$AA$156)&gt;=$Y95),$AB95,$AA95)))=Milestones!$AB$156),UPPER(TEXT(EDATE($D95,Milestones!$AA$156),"dd mmm yy"))&amp;" "&amp;Milestones!$AB$156&amp;" "&amp;IF(AND(Milestones!$AB$156="FT",Milestones!$AA$156=FT_Y5,EDATE($D95,Milestones!$AA$156)&lt;PolicyEff),1,Milestones!$AC$156)&amp;";  ","")&amp;IF(AND(EDATE($D95,Milestones!$AA$157)&lt;=AsOfDate,EDATE($D95,Milestones!$AA$157)&gt;=SchemeStart,IF($X95=0,$AD95,IF(AND($Z95&lt;&gt;"",EDATE($D95,Milestones!$AA$157)&gt;=$Z95),$AC95,IF(AND($Y95&lt;&gt;"",EDATE($D95,Milestones!$AA$157)&gt;=$Y95),$AB95,$AA95)))=Milestones!$AB$157),UPPER(TEXT(EDATE($D95,Milestones!$AA$157),"dd mmm yy"))&amp;" "&amp;Milestones!$AB$157&amp;" "&amp;IF(AND(Milestones!$AB$157="FT",Milestones!$AA$157=FT_Y5,EDATE($D95,Milestones!$AA$157)&lt;PolicyEff),1,Milestones!$AC$157)&amp;";  ","")&amp;IF(AND(EDATE($D95,Milestones!$AA$158)&lt;=AsOfDate,EDATE($D95,Milestones!$AA$158)&gt;=SchemeStart,IF($X95=0,$AD95,IF(AND($Z95&lt;&gt;"",EDATE($D95,Milestones!$AA$158)&gt;=$Z95),$AC95,IF(AND($Y95&lt;&gt;"",EDATE($D95,Milestones!$AA$158)&gt;=$Y95),$AB95,$AA95)))=Milestones!$AB$158),UPPER(TEXT(EDATE($D95,Milestones!$AA$158),"dd mmm yy"))&amp;" "&amp;Milestones!$AB$158&amp;" "&amp;IF(AND(Milestones!$AB$158="FT",Milestones!$AA$158=FT_Y5,EDATE($D95,Milestones!$AA$158)&lt;PolicyEff),1,Milestones!$AC$158)&amp;";  ","")&amp;IF(AND(EDATE($D95,Milestones!$AA$159)&lt;=AsOfDate,EDATE($D95,Milestones!$AA$159)&gt;=SchemeStart,IF($X95=0,$AD95,IF(AND($Z95&lt;&gt;"",EDATE($D95,Milestones!$AA$159)&gt;=$Z95),$AC95,IF(AND($Y95&lt;&gt;"",EDATE($D95,Milestones!$AA$159)&gt;=$Y95),$AB95,$AA95)))=Milestones!$AB$159),UPPER(TEXT(EDATE($D95,Milestones!$AA$159),"dd mmm yy"))&amp;" "&amp;Milestones!$AB$159&amp;" "&amp;IF(AND(Milestones!$AB$159="FT",Milestones!$AA$159=FT_Y5,EDATE($D95,Milestones!$AA$159)&lt;PolicyEff),1,Milestones!$AC$159)&amp;";  ","")&amp;IF(AND(EDATE($D95,Milestones!$AA$160)&lt;=AsOfDate,EDATE($D95,Milestones!$AA$160)&gt;=SchemeStart,IF($X95=0,$AD95,IF(AND($Z95&lt;&gt;"",EDATE($D95,Milestones!$AA$160)&gt;=$Z95),$AC95,IF(AND($Y95&lt;&gt;"",EDATE($D95,Milestones!$AA$160)&gt;=$Y95),$AB95,$AA95)))=Milestones!$AB$160),UPPER(TEXT(EDATE($D95,Milestones!$AA$160),"dd mmm yy"))&amp;" "&amp;Milestones!$AB$160&amp;" "&amp;IF(AND(Milestones!$AB$160="FT",Milestones!$AA$160=FT_Y5,EDATE($D95,Milestones!$AA$160)&lt;PolicyEff),1,Milestones!$AC$160)&amp;";  ","")&amp;IF(AND(EDATE($D95,Milestones!$AA$161)&lt;=AsOfDate,EDATE($D95,Milestones!$AA$161)&gt;=SchemeStart,IF($X95=0,$AD95,IF(AND($Z95&lt;&gt;"",EDATE($D95,Milestones!$AA$161)&gt;=$Z95),$AC95,IF(AND($Y95&lt;&gt;"",EDATE($D95,Milestones!$AA$161)&gt;=$Y95),$AB95,$AA95)))=Milestones!$AB$161),UPPER(TEXT(EDATE($D95,Milestones!$AA$161),"dd mmm yy"))&amp;" "&amp;Milestones!$AB$161&amp;" "&amp;IF(AND(Milestones!$AB$161="FT",Milestones!$AA$161=FT_Y5,EDATE($D95,Milestones!$AA$161)&lt;PolicyEff),1,Milestones!$AC$161)&amp;";  ","")&amp;IF(AND(EDATE($D95,Milestones!$AA$162)&lt;=AsOfDate,EDATE($D95,Milestones!$AA$162)&gt;=SchemeStart,IF($X95=0,$AD95,IF(AND($Z95&lt;&gt;"",EDATE($D95,Milestones!$AA$162)&gt;=$Z95),$AC95,IF(AND($Y95&lt;&gt;"",EDATE($D95,Milestones!$AA$162)&gt;=$Y95),$AB95,$AA95)))=Milestones!$AB$162),UPPER(TEXT(EDATE($D95,Milestones!$AA$162),"dd mmm yy"))&amp;" "&amp;Milestones!$AB$162&amp;" "&amp;IF(AND(Milestones!$AB$162="FT",Milestones!$AA$162=FT_Y5,EDATE($D95,Milestones!$AA$162)&lt;PolicyEff),1,Milestones!$AC$162)&amp;";  ","")&amp;IF(AND(EDATE($D95,Milestones!$AA$163)&lt;=AsOfDate,EDATE($D95,Milestones!$AA$163)&gt;=SchemeStart,IF($X95=0,$AD95,IF(AND($Z95&lt;&gt;"",EDATE($D95,Milestones!$AA$163)&gt;=$Z95),$AC95,IF(AND($Y95&lt;&gt;"",EDATE($D95,Milestones!$AA$163)&gt;=$Y95),$AB95,$AA95)))=Milestones!$AB$163),UPPER(TEXT(EDATE($D95,Milestones!$AA$163),"dd mmm yy"))&amp;" "&amp;Milestones!$AB$163&amp;" "&amp;IF(AND(Milestones!$AB$163="FT",Milestones!$AA$163=FT_Y5,EDATE($D95,Milestones!$AA$163)&lt;PolicyEff),1,Milestones!$AC$163)&amp;";  ",""))</f>
        <v/>
      </c>
      <c r="U95" s="0" t="str">
        <f aca="false">IF(OR($A95="",$D95=""),"",IF(AND(EDATE($D95,Milestones!$AA$164)&lt;=AsOfDate,EDATE($D95,Milestones!$AA$164)&gt;=SchemeStart,IF($X95=0,$AD95,IF(AND($Z95&lt;&gt;"",EDATE($D95,Milestones!$AA$164)&gt;=$Z95),$AC95,IF(AND($Y95&lt;&gt;"",EDATE($D95,Milestones!$AA$164)&gt;=$Y95),$AB95,$AA95)))=Milestones!$AB$164),UPPER(TEXT(EDATE($D95,Milestones!$AA$164),"dd mmm yy"))&amp;" "&amp;Milestones!$AB$164&amp;" "&amp;IF(AND(Milestones!$AB$164="FT",Milestones!$AA$164=FT_Y5,EDATE($D95,Milestones!$AA$164)&lt;PolicyEff),1,Milestones!$AC$164)&amp;";  ","")&amp;IF(AND(EDATE($D95,Milestones!$AA$165)&lt;=AsOfDate,EDATE($D95,Milestones!$AA$165)&gt;=SchemeStart,IF($X95=0,$AD95,IF(AND($Z95&lt;&gt;"",EDATE($D95,Milestones!$AA$165)&gt;=$Z95),$AC95,IF(AND($Y95&lt;&gt;"",EDATE($D95,Milestones!$AA$165)&gt;=$Y95),$AB95,$AA95)))=Milestones!$AB$165),UPPER(TEXT(EDATE($D95,Milestones!$AA$165),"dd mmm yy"))&amp;" "&amp;Milestones!$AB$165&amp;" "&amp;IF(AND(Milestones!$AB$165="FT",Milestones!$AA$165=FT_Y5,EDATE($D95,Milestones!$AA$165)&lt;PolicyEff),1,Milestones!$AC$165)&amp;";  ","")&amp;IF(AND(EDATE($D95,Milestones!$AA$166)&lt;=AsOfDate,EDATE($D95,Milestones!$AA$166)&gt;=SchemeStart,IF($X95=0,$AD95,IF(AND($Z95&lt;&gt;"",EDATE($D95,Milestones!$AA$166)&gt;=$Z95),$AC95,IF(AND($Y95&lt;&gt;"",EDATE($D95,Milestones!$AA$166)&gt;=$Y95),$AB95,$AA95)))=Milestones!$AB$166),UPPER(TEXT(EDATE($D95,Milestones!$AA$166),"dd mmm yy"))&amp;" "&amp;Milestones!$AB$166&amp;" "&amp;IF(AND(Milestones!$AB$166="FT",Milestones!$AA$166=FT_Y5,EDATE($D95,Milestones!$AA$166)&lt;PolicyEff),1,Milestones!$AC$166)&amp;";  ","")&amp;IF(AND(EDATE($D95,Milestones!$AA$167)&lt;=AsOfDate,EDATE($D95,Milestones!$AA$167)&gt;=SchemeStart,IF($X95=0,$AD95,IF(AND($Z95&lt;&gt;"",EDATE($D95,Milestones!$AA$167)&gt;=$Z95),$AC95,IF(AND($Y95&lt;&gt;"",EDATE($D95,Milestones!$AA$167)&gt;=$Y95),$AB95,$AA95)))=Milestones!$AB$167),UPPER(TEXT(EDATE($D95,Milestones!$AA$167),"dd mmm yy"))&amp;" "&amp;Milestones!$AB$167&amp;" "&amp;IF(AND(Milestones!$AB$167="FT",Milestones!$AA$167=FT_Y5,EDATE($D95,Milestones!$AA$167)&lt;PolicyEff),1,Milestones!$AC$167)&amp;";  ","")&amp;IF(AND(EDATE($D95,Milestones!$AA$168)&lt;=AsOfDate,EDATE($D95,Milestones!$AA$168)&gt;=SchemeStart,IF($X95=0,$AD95,IF(AND($Z95&lt;&gt;"",EDATE($D95,Milestones!$AA$168)&gt;=$Z95),$AC95,IF(AND($Y95&lt;&gt;"",EDATE($D95,Milestones!$AA$168)&gt;=$Y95),$AB95,$AA95)))=Milestones!$AB$168),UPPER(TEXT(EDATE($D95,Milestones!$AA$168),"dd mmm yy"))&amp;" "&amp;Milestones!$AB$168&amp;" "&amp;IF(AND(Milestones!$AB$168="FT",Milestones!$AA$168=FT_Y5,EDATE($D95,Milestones!$AA$168)&lt;PolicyEff),1,Milestones!$AC$168)&amp;";  ","")&amp;IF(AND(EDATE($D95,Milestones!$AA$169)&lt;=AsOfDate,EDATE($D95,Milestones!$AA$169)&gt;=SchemeStart,IF($X95=0,$AD95,IF(AND($Z95&lt;&gt;"",EDATE($D95,Milestones!$AA$169)&gt;=$Z95),$AC95,IF(AND($Y95&lt;&gt;"",EDATE($D95,Milestones!$AA$169)&gt;=$Y95),$AB95,$AA95)))=Milestones!$AB$169),UPPER(TEXT(EDATE($D95,Milestones!$AA$169),"dd mmm yy"))&amp;" "&amp;Milestones!$AB$169&amp;" "&amp;IF(AND(Milestones!$AB$169="FT",Milestones!$AA$169=FT_Y5,EDATE($D95,Milestones!$AA$169)&lt;PolicyEff),1,Milestones!$AC$169)&amp;";  ","")&amp;IF(AND(EDATE($D95,Milestones!$AA$170)&lt;=AsOfDate,EDATE($D95,Milestones!$AA$170)&gt;=SchemeStart,IF($X95=0,$AD95,IF(AND($Z95&lt;&gt;"",EDATE($D95,Milestones!$AA$170)&gt;=$Z95),$AC95,IF(AND($Y95&lt;&gt;"",EDATE($D95,Milestones!$AA$170)&gt;=$Y95),$AB95,$AA95)))=Milestones!$AB$170),UPPER(TEXT(EDATE($D95,Milestones!$AA$170),"dd mmm yy"))&amp;" "&amp;Milestones!$AB$170&amp;" "&amp;IF(AND(Milestones!$AB$170="FT",Milestones!$AA$170=FT_Y5,EDATE($D95,Milestones!$AA$170)&lt;PolicyEff),1,Milestones!$AC$170)&amp;";  ","")&amp;IF(AND(EDATE($D95,Milestones!$AA$171)&lt;=AsOfDate,EDATE($D95,Milestones!$AA$171)&gt;=SchemeStart,IF($X95=0,$AD95,IF(AND($Z95&lt;&gt;"",EDATE($D95,Milestones!$AA$171)&gt;=$Z95),$AC95,IF(AND($Y95&lt;&gt;"",EDATE($D95,Milestones!$AA$171)&gt;=$Y95),$AB95,$AA95)))=Milestones!$AB$171),UPPER(TEXT(EDATE($D95,Milestones!$AA$171),"dd mmm yy"))&amp;" "&amp;Milestones!$AB$171&amp;" "&amp;IF(AND(Milestones!$AB$171="FT",Milestones!$AA$171=FT_Y5,EDATE($D95,Milestones!$AA$171)&lt;PolicyEff),1,Milestones!$AC$171)&amp;";  ","")&amp;IF(AND(EDATE($D95,Milestones!$AA$172)&lt;=AsOfDate,EDATE($D95,Milestones!$AA$172)&gt;=SchemeStart,IF($X95=0,$AD95,IF(AND($Z95&lt;&gt;"",EDATE($D95,Milestones!$AA$172)&gt;=$Z95),$AC95,IF(AND($Y95&lt;&gt;"",EDATE($D95,Milestones!$AA$172)&gt;=$Y95),$AB95,$AA95)))=Milestones!$AB$172),UPPER(TEXT(EDATE($D95,Milestones!$AA$172),"dd mmm yy"))&amp;" "&amp;Milestones!$AB$172&amp;" "&amp;IF(AND(Milestones!$AB$172="FT",Milestones!$AA$172=FT_Y5,EDATE($D95,Milestones!$AA$172)&lt;PolicyEff),1,Milestones!$AC$172)&amp;";  ","")&amp;IF(AND(EDATE($D95,Milestones!$AA$173)&lt;=AsOfDate,EDATE($D95,Milestones!$AA$173)&gt;=SchemeStart,IF($X95=0,$AD95,IF(AND($Z95&lt;&gt;"",EDATE($D95,Milestones!$AA$173)&gt;=$Z95),$AC95,IF(AND($Y95&lt;&gt;"",EDATE($D95,Milestones!$AA$173)&gt;=$Y95),$AB95,$AA95)))=Milestones!$AB$173),UPPER(TEXT(EDATE($D95,Milestones!$AA$173),"dd mmm yy"))&amp;" "&amp;Milestones!$AB$173&amp;" "&amp;IF(AND(Milestones!$AB$173="FT",Milestones!$AA$173=FT_Y5,EDATE($D95,Milestones!$AA$173)&lt;PolicyEff),1,Milestones!$AC$173)&amp;";  ","")&amp;IF(AND(EDATE($D95,Milestones!$AA$174)&lt;=AsOfDate,EDATE($D95,Milestones!$AA$174)&gt;=SchemeStart,IF($X95=0,$AD95,IF(AND($Z95&lt;&gt;"",EDATE($D95,Milestones!$AA$174)&gt;=$Z95),$AC95,IF(AND($Y95&lt;&gt;"",EDATE($D95,Milestones!$AA$174)&gt;=$Y95),$AB95,$AA95)))=Milestones!$AB$174),UPPER(TEXT(EDATE($D95,Milestones!$AA$174),"dd mmm yy"))&amp;" "&amp;Milestones!$AB$174&amp;" "&amp;IF(AND(Milestones!$AB$174="FT",Milestones!$AA$174=FT_Y5,EDATE($D95,Milestones!$AA$174)&lt;PolicyEff),1,Milestones!$AC$174)&amp;";  ","")&amp;IF(AND(EDATE($D95,Milestones!$AA$175)&lt;=AsOfDate,EDATE($D95,Milestones!$AA$175)&gt;=SchemeStart,IF($X95=0,$AD95,IF(AND($Z95&lt;&gt;"",EDATE($D95,Milestones!$AA$175)&gt;=$Z95),$AC95,IF(AND($Y95&lt;&gt;"",EDATE($D95,Milestones!$AA$175)&gt;=$Y95),$AB95,$AA95)))=Milestones!$AB$175),UPPER(TEXT(EDATE($D95,Milestones!$AA$175),"dd mmm yy"))&amp;" "&amp;Milestones!$AB$175&amp;" "&amp;IF(AND(Milestones!$AB$175="FT",Milestones!$AA$175=FT_Y5,EDATE($D95,Milestones!$AA$175)&lt;PolicyEff),1,Milestones!$AC$175)&amp;";  ",""))</f>
        <v/>
      </c>
      <c r="V95" s="0" t="str">
        <f aca="false">IF(OR($A95="",$D95=""),"",IF(AND(EDATE($D95,Milestones!$AA$176)&lt;=AsOfDate,EDATE($D95,Milestones!$AA$176)&gt;=SchemeStart,IF($X95=0,$AD95,IF(AND($Z95&lt;&gt;"",EDATE($D95,Milestones!$AA$176)&gt;=$Z95),$AC95,IF(AND($Y95&lt;&gt;"",EDATE($D95,Milestones!$AA$176)&gt;=$Y95),$AB95,$AA95)))=Milestones!$AB$176),UPPER(TEXT(EDATE($D95,Milestones!$AA$176),"dd mmm yy"))&amp;" "&amp;Milestones!$AB$176&amp;" "&amp;IF(AND(Milestones!$AB$176="FT",Milestones!$AA$176=FT_Y5,EDATE($D95,Milestones!$AA$176)&lt;PolicyEff),1,Milestones!$AC$176)&amp;";  ","")&amp;IF(AND(EDATE($D95,Milestones!$AA$177)&lt;=AsOfDate,EDATE($D95,Milestones!$AA$177)&gt;=SchemeStart,IF($X95=0,$AD95,IF(AND($Z95&lt;&gt;"",EDATE($D95,Milestones!$AA$177)&gt;=$Z95),$AC95,IF(AND($Y95&lt;&gt;"",EDATE($D95,Milestones!$AA$177)&gt;=$Y95),$AB95,$AA95)))=Milestones!$AB$177),UPPER(TEXT(EDATE($D95,Milestones!$AA$177),"dd mmm yy"))&amp;" "&amp;Milestones!$AB$177&amp;" "&amp;IF(AND(Milestones!$AB$177="FT",Milestones!$AA$177=FT_Y5,EDATE($D95,Milestones!$AA$177)&lt;PolicyEff),1,Milestones!$AC$177)&amp;";  ","")&amp;IF(AND(EDATE($D95,Milestones!$AA$178)&lt;=AsOfDate,EDATE($D95,Milestones!$AA$178)&gt;=SchemeStart,IF($X95=0,$AD95,IF(AND($Z95&lt;&gt;"",EDATE($D95,Milestones!$AA$178)&gt;=$Z95),$AC95,IF(AND($Y95&lt;&gt;"",EDATE($D95,Milestones!$AA$178)&gt;=$Y95),$AB95,$AA95)))=Milestones!$AB$178),UPPER(TEXT(EDATE($D95,Milestones!$AA$178),"dd mmm yy"))&amp;" "&amp;Milestones!$AB$178&amp;" "&amp;IF(AND(Milestones!$AB$178="FT",Milestones!$AA$178=FT_Y5,EDATE($D95,Milestones!$AA$178)&lt;PolicyEff),1,Milestones!$AC$178)&amp;";  ","")&amp;IF(AND(EDATE($D95,Milestones!$AA$179)&lt;=AsOfDate,EDATE($D95,Milestones!$AA$179)&gt;=SchemeStart,IF($X95=0,$AD95,IF(AND($Z95&lt;&gt;"",EDATE($D95,Milestones!$AA$179)&gt;=$Z95),$AC95,IF(AND($Y95&lt;&gt;"",EDATE($D95,Milestones!$AA$179)&gt;=$Y95),$AB95,$AA95)))=Milestones!$AB$179),UPPER(TEXT(EDATE($D95,Milestones!$AA$179),"dd mmm yy"))&amp;" "&amp;Milestones!$AB$179&amp;" "&amp;IF(AND(Milestones!$AB$179="FT",Milestones!$AA$179=FT_Y5,EDATE($D95,Milestones!$AA$179)&lt;PolicyEff),1,Milestones!$AC$179)&amp;";  ","")&amp;IF(AND(EDATE($D95,Milestones!$AA$180)&lt;=AsOfDate,EDATE($D95,Milestones!$AA$180)&gt;=SchemeStart,IF($X95=0,$AD95,IF(AND($Z95&lt;&gt;"",EDATE($D95,Milestones!$AA$180)&gt;=$Z95),$AC95,IF(AND($Y95&lt;&gt;"",EDATE($D95,Milestones!$AA$180)&gt;=$Y95),$AB95,$AA95)))=Milestones!$AB$180),UPPER(TEXT(EDATE($D95,Milestones!$AA$180),"dd mmm yy"))&amp;" "&amp;Milestones!$AB$180&amp;" "&amp;IF(AND(Milestones!$AB$180="FT",Milestones!$AA$180=FT_Y5,EDATE($D95,Milestones!$AA$180)&lt;PolicyEff),1,Milestones!$AC$180)&amp;";  ","")&amp;IF(AND(EDATE($D95,Milestones!$AA$181)&lt;=AsOfDate,EDATE($D95,Milestones!$AA$181)&gt;=SchemeStart,IF($X95=0,$AD95,IF(AND($Z95&lt;&gt;"",EDATE($D95,Milestones!$AA$181)&gt;=$Z95),$AC95,IF(AND($Y95&lt;&gt;"",EDATE($D95,Milestones!$AA$181)&gt;=$Y95),$AB95,$AA95)))=Milestones!$AB$181),UPPER(TEXT(EDATE($D95,Milestones!$AA$181),"dd mmm yy"))&amp;" "&amp;Milestones!$AB$181&amp;" "&amp;IF(AND(Milestones!$AB$181="FT",Milestones!$AA$181=FT_Y5,EDATE($D95,Milestones!$AA$181)&lt;PolicyEff),1,Milestones!$AC$181)&amp;";  ","")&amp;IF(AND(EDATE($D95,Milestones!$AA$182)&lt;=AsOfDate,EDATE($D95,Milestones!$AA$182)&gt;=SchemeStart,IF($X95=0,$AD95,IF(AND($Z95&lt;&gt;"",EDATE($D95,Milestones!$AA$182)&gt;=$Z95),$AC95,IF(AND($Y95&lt;&gt;"",EDATE($D95,Milestones!$AA$182)&gt;=$Y95),$AB95,$AA95)))=Milestones!$AB$182),UPPER(TEXT(EDATE($D95,Milestones!$AA$182),"dd mmm yy"))&amp;" "&amp;Milestones!$AB$182&amp;" "&amp;IF(AND(Milestones!$AB$182="FT",Milestones!$AA$182=FT_Y5,EDATE($D95,Milestones!$AA$182)&lt;PolicyEff),1,Milestones!$AC$182)&amp;";  ","")&amp;IF(AND(EDATE($D95,Milestones!$AA$183)&lt;=AsOfDate,EDATE($D95,Milestones!$AA$183)&gt;=SchemeStart,IF($X95=0,$AD95,IF(AND($Z95&lt;&gt;"",EDATE($D95,Milestones!$AA$183)&gt;=$Z95),$AC95,IF(AND($Y95&lt;&gt;"",EDATE($D95,Milestones!$AA$183)&gt;=$Y95),$AB95,$AA95)))=Milestones!$AB$183),UPPER(TEXT(EDATE($D95,Milestones!$AA$183),"dd mmm yy"))&amp;" "&amp;Milestones!$AB$183&amp;" "&amp;IF(AND(Milestones!$AB$183="FT",Milestones!$AA$183=FT_Y5,EDATE($D95,Milestones!$AA$183)&lt;PolicyEff),1,Milestones!$AC$183)&amp;";  ","")&amp;IF(AND(EDATE($D95,Milestones!$AA$184)&lt;=AsOfDate,EDATE($D95,Milestones!$AA$184)&gt;=SchemeStart,IF($X95=0,$AD95,IF(AND($Z95&lt;&gt;"",EDATE($D95,Milestones!$AA$184)&gt;=$Z95),$AC95,IF(AND($Y95&lt;&gt;"",EDATE($D95,Milestones!$AA$184)&gt;=$Y95),$AB95,$AA95)))=Milestones!$AB$184),UPPER(TEXT(EDATE($D95,Milestones!$AA$184),"dd mmm yy"))&amp;" "&amp;Milestones!$AB$184&amp;" "&amp;IF(AND(Milestones!$AB$184="FT",Milestones!$AA$184=FT_Y5,EDATE($D95,Milestones!$AA$184)&lt;PolicyEff),1,Milestones!$AC$184)&amp;";  ","")&amp;IF(AND(EDATE($D95,Milestones!$AA$185)&lt;=AsOfDate,EDATE($D95,Milestones!$AA$185)&gt;=SchemeStart,IF($X95=0,$AD95,IF(AND($Z95&lt;&gt;"",EDATE($D95,Milestones!$AA$185)&gt;=$Z95),$AC95,IF(AND($Y95&lt;&gt;"",EDATE($D95,Milestones!$AA$185)&gt;=$Y95),$AB95,$AA95)))=Milestones!$AB$185),UPPER(TEXT(EDATE($D95,Milestones!$AA$185),"dd mmm yy"))&amp;" "&amp;Milestones!$AB$185&amp;" "&amp;IF(AND(Milestones!$AB$185="FT",Milestones!$AA$185=FT_Y5,EDATE($D95,Milestones!$AA$185)&lt;PolicyEff),1,Milestones!$AC$185)&amp;";  ","")&amp;IF(AND(EDATE($D95,Milestones!$AA$186)&lt;=AsOfDate,EDATE($D95,Milestones!$AA$186)&gt;=SchemeStart,IF($X95=0,$AD95,IF(AND($Z95&lt;&gt;"",EDATE($D95,Milestones!$AA$186)&gt;=$Z95),$AC95,IF(AND($Y95&lt;&gt;"",EDATE($D95,Milestones!$AA$186)&gt;=$Y95),$AB95,$AA95)))=Milestones!$AB$186),UPPER(TEXT(EDATE($D95,Milestones!$AA$186),"dd mmm yy"))&amp;" "&amp;Milestones!$AB$186&amp;" "&amp;IF(AND(Milestones!$AB$186="FT",Milestones!$AA$186=FT_Y5,EDATE($D95,Milestones!$AA$186)&lt;PolicyEff),1,Milestones!$AC$186)&amp;";  ","")&amp;IF(AND(EDATE($D95,Milestones!$AA$187)&lt;=AsOfDate,EDATE($D95,Milestones!$AA$187)&gt;=SchemeStart,IF($X95=0,$AD95,IF(AND($Z95&lt;&gt;"",EDATE($D95,Milestones!$AA$187)&gt;=$Z95),$AC95,IF(AND($Y95&lt;&gt;"",EDATE($D95,Milestones!$AA$187)&gt;=$Y95),$AB95,$AA95)))=Milestones!$AB$187),UPPER(TEXT(EDATE($D95,Milestones!$AA$187),"dd mmm yy"))&amp;" "&amp;Milestones!$AB$187&amp;" "&amp;IF(AND(Milestones!$AB$187="FT",Milestones!$AA$187=FT_Y5,EDATE($D95,Milestones!$AA$187)&lt;PolicyEff),1,Milestones!$AC$187)&amp;";  ",""))</f>
        <v/>
      </c>
      <c r="W95" s="0" t="str">
        <f aca="false">IF(OR($A95="",$D95=""),"",IF(AND(EDATE($D95,Milestones!$AA$188)&lt;=AsOfDate,EDATE($D95,Milestones!$AA$188)&gt;=SchemeStart,IF($X95=0,$AD95,IF(AND($Z95&lt;&gt;"",EDATE($D95,Milestones!$AA$188)&gt;=$Z95),$AC95,IF(AND($Y95&lt;&gt;"",EDATE($D95,Milestones!$AA$188)&gt;=$Y95),$AB95,$AA95)))=Milestones!$AB$188),UPPER(TEXT(EDATE($D95,Milestones!$AA$188),"dd mmm yy"))&amp;" "&amp;Milestones!$AB$188&amp;" "&amp;IF(AND(Milestones!$AB$188="FT",Milestones!$AA$188=FT_Y5,EDATE($D95,Milestones!$AA$188)&lt;PolicyEff),1,Milestones!$AC$188)&amp;";  ","")&amp;IF(AND(EDATE($D95,Milestones!$AA$189)&lt;=AsOfDate,EDATE($D95,Milestones!$AA$189)&gt;=SchemeStart,IF($X95=0,$AD95,IF(AND($Z95&lt;&gt;"",EDATE($D95,Milestones!$AA$189)&gt;=$Z95),$AC95,IF(AND($Y95&lt;&gt;"",EDATE($D95,Milestones!$AA$189)&gt;=$Y95),$AB95,$AA95)))=Milestones!$AB$189),UPPER(TEXT(EDATE($D95,Milestones!$AA$189),"dd mmm yy"))&amp;" "&amp;Milestones!$AB$189&amp;" "&amp;IF(AND(Milestones!$AB$189="FT",Milestones!$AA$189=FT_Y5,EDATE($D95,Milestones!$AA$189)&lt;PolicyEff),1,Milestones!$AC$189)&amp;";  ","")&amp;IF(AND(EDATE($D95,Milestones!$AA$190)&lt;=AsOfDate,EDATE($D95,Milestones!$AA$190)&gt;=SchemeStart,IF($X95=0,$AD95,IF(AND($Z95&lt;&gt;"",EDATE($D95,Milestones!$AA$190)&gt;=$Z95),$AC95,IF(AND($Y95&lt;&gt;"",EDATE($D95,Milestones!$AA$190)&gt;=$Y95),$AB95,$AA95)))=Milestones!$AB$190),UPPER(TEXT(EDATE($D95,Milestones!$AA$190),"dd mmm yy"))&amp;" "&amp;Milestones!$AB$190&amp;" "&amp;IF(AND(Milestones!$AB$190="FT",Milestones!$AA$190=FT_Y5,EDATE($D95,Milestones!$AA$190)&lt;PolicyEff),1,Milestones!$AC$190)&amp;";  ","")&amp;IF(AND(EDATE($D95,Milestones!$AA$191)&lt;=AsOfDate,EDATE($D95,Milestones!$AA$191)&gt;=SchemeStart,IF($X95=0,$AD95,IF(AND($Z95&lt;&gt;"",EDATE($D95,Milestones!$AA$191)&gt;=$Z95),$AC95,IF(AND($Y95&lt;&gt;"",EDATE($D95,Milestones!$AA$191)&gt;=$Y95),$AB95,$AA95)))=Milestones!$AB$191),UPPER(TEXT(EDATE($D95,Milestones!$AA$191),"dd mmm yy"))&amp;" "&amp;Milestones!$AB$191&amp;" "&amp;IF(AND(Milestones!$AB$191="FT",Milestones!$AA$191=FT_Y5,EDATE($D95,Milestones!$AA$191)&lt;PolicyEff),1,Milestones!$AC$191)&amp;";  ","")&amp;IF(AND(EDATE($D95,Milestones!$AA$192)&lt;=AsOfDate,EDATE($D95,Milestones!$AA$192)&gt;=SchemeStart,IF($X95=0,$AD95,IF(AND($Z95&lt;&gt;"",EDATE($D95,Milestones!$AA$192)&gt;=$Z95),$AC95,IF(AND($Y95&lt;&gt;"",EDATE($D95,Milestones!$AA$192)&gt;=$Y95),$AB95,$AA95)))=Milestones!$AB$192),UPPER(TEXT(EDATE($D95,Milestones!$AA$192),"dd mmm yy"))&amp;" "&amp;Milestones!$AB$192&amp;" "&amp;IF(AND(Milestones!$AB$192="FT",Milestones!$AA$192=FT_Y5,EDATE($D95,Milestones!$AA$192)&lt;PolicyEff),1,Milestones!$AC$192)&amp;";  ","")&amp;IF(AND(EDATE($D95,Milestones!$AA$193)&lt;=AsOfDate,EDATE($D95,Milestones!$AA$193)&gt;=SchemeStart,IF($X95=0,$AD95,IF(AND($Z95&lt;&gt;"",EDATE($D95,Milestones!$AA$193)&gt;=$Z95),$AC95,IF(AND($Y95&lt;&gt;"",EDATE($D95,Milestones!$AA$193)&gt;=$Y95),$AB95,$AA95)))=Milestones!$AB$193),UPPER(TEXT(EDATE($D95,Milestones!$AA$193),"dd mmm yy"))&amp;" "&amp;Milestones!$AB$193&amp;" "&amp;IF(AND(Milestones!$AB$193="FT",Milestones!$AA$193=FT_Y5,EDATE($D95,Milestones!$AA$193)&lt;PolicyEff),1,Milestones!$AC$193)&amp;";  ","")&amp;IF(AND(EDATE($D95,Milestones!$AA$194)&lt;=AsOfDate,EDATE($D95,Milestones!$AA$194)&gt;=SchemeStart,IF($X95=0,$AD95,IF(AND($Z95&lt;&gt;"",EDATE($D95,Milestones!$AA$194)&gt;=$Z95),$AC95,IF(AND($Y95&lt;&gt;"",EDATE($D95,Milestones!$AA$194)&gt;=$Y95),$AB95,$AA95)))=Milestones!$AB$194),UPPER(TEXT(EDATE($D95,Milestones!$AA$194),"dd mmm yy"))&amp;" "&amp;Milestones!$AB$194&amp;" "&amp;IF(AND(Milestones!$AB$194="FT",Milestones!$AA$194=FT_Y5,EDATE($D95,Milestones!$AA$194)&lt;PolicyEff),1,Milestones!$AC$194)&amp;";  ","")&amp;IF(AND(EDATE($D95,Milestones!$AA$195)&lt;=AsOfDate,EDATE($D95,Milestones!$AA$195)&gt;=SchemeStart,IF($X95=0,$AD95,IF(AND($Z95&lt;&gt;"",EDATE($D95,Milestones!$AA$195)&gt;=$Z95),$AC95,IF(AND($Y95&lt;&gt;"",EDATE($D95,Milestones!$AA$195)&gt;=$Y95),$AB95,$AA95)))=Milestones!$AB$195),UPPER(TEXT(EDATE($D95,Milestones!$AA$195),"dd mmm yy"))&amp;" "&amp;Milestones!$AB$195&amp;" "&amp;IF(AND(Milestones!$AB$195="FT",Milestones!$AA$195=FT_Y5,EDATE($D95,Milestones!$AA$195)&lt;PolicyEff),1,Milestones!$AC$195)&amp;";  ","")&amp;IF(AND(EDATE($D95,Milestones!$AA$196)&lt;=AsOfDate,EDATE($D95,Milestones!$AA$196)&gt;=SchemeStart,IF($X95=0,$AD95,IF(AND($Z95&lt;&gt;"",EDATE($D95,Milestones!$AA$196)&gt;=$Z95),$AC95,IF(AND($Y95&lt;&gt;"",EDATE($D95,Milestones!$AA$196)&gt;=$Y95),$AB95,$AA95)))=Milestones!$AB$196),UPPER(TEXT(EDATE($D95,Milestones!$AA$196),"dd mmm yy"))&amp;" "&amp;Milestones!$AB$196&amp;" "&amp;IF(AND(Milestones!$AB$196="FT",Milestones!$AA$196=FT_Y5,EDATE($D95,Milestones!$AA$196)&lt;PolicyEff),1,Milestones!$AC$196)&amp;";  ","")&amp;IF(AND(EDATE($D95,Milestones!$AA$197)&lt;=AsOfDate,EDATE($D95,Milestones!$AA$197)&gt;=SchemeStart,IF($X95=0,$AD95,IF(AND($Z95&lt;&gt;"",EDATE($D95,Milestones!$AA$197)&gt;=$Z95),$AC95,IF(AND($Y95&lt;&gt;"",EDATE($D95,Milestones!$AA$197)&gt;=$Y95),$AB95,$AA95)))=Milestones!$AB$197),UPPER(TEXT(EDATE($D95,Milestones!$AA$197),"dd mmm yy"))&amp;" "&amp;Milestones!$AB$197&amp;" "&amp;IF(AND(Milestones!$AB$197="FT",Milestones!$AA$197=FT_Y5,EDATE($D95,Milestones!$AA$197)&lt;PolicyEff),1,Milestones!$AC$197)&amp;";  ","")&amp;IF(AND(EDATE($D95,Milestones!$AA$198)&lt;=AsOfDate,EDATE($D95,Milestones!$AA$198)&gt;=SchemeStart,IF($X95=0,$AD95,IF(AND($Z95&lt;&gt;"",EDATE($D95,Milestones!$AA$198)&gt;=$Z95),$AC95,IF(AND($Y95&lt;&gt;"",EDATE($D95,Milestones!$AA$198)&gt;=$Y95),$AB95,$AA95)))=Milestones!$AB$198),UPPER(TEXT(EDATE($D95,Milestones!$AA$198),"dd mmm yy"))&amp;" "&amp;Milestones!$AB$198&amp;" "&amp;IF(AND(Milestones!$AB$198="FT",Milestones!$AA$198=FT_Y5,EDATE($D95,Milestones!$AA$198)&lt;PolicyEff),1,Milestones!$AC$198)&amp;";  ","")&amp;IF(AND(EDATE($D95,Milestones!$AA$199)&lt;=AsOfDate,EDATE($D95,Milestones!$AA$199)&gt;=SchemeStart,IF($X95=0,$AD95,IF(AND($Z95&lt;&gt;"",EDATE($D95,Milestones!$AA$199)&gt;=$Z95),$AC95,IF(AND($Y95&lt;&gt;"",EDATE($D95,Milestones!$AA$199)&gt;=$Y95),$AB95,$AA95)))=Milestones!$AB$199),UPPER(TEXT(EDATE($D95,Milestones!$AA$199),"dd mmm yy"))&amp;" "&amp;Milestones!$AB$199&amp;" "&amp;IF(AND(Milestones!$AB$199="FT",Milestones!$AA$199=FT_Y5,EDATE($D95,Milestones!$AA$199)&lt;PolicyEff),1,Milestones!$AC$199)&amp;";  ",""))</f>
        <v/>
      </c>
      <c r="X95" s="0" t="str">
        <f aca="false">IF(Staff!$A95="","",Staff!$AM95)</f>
        <v/>
      </c>
      <c r="Y95" s="0" t="str">
        <f aca="false">IF(Staff!$A95="","",Staff!$AO95)</f>
        <v/>
      </c>
      <c r="Z95" s="0" t="str">
        <f aca="false">IF(Staff!$A95="","",Staff!$AP95)</f>
        <v/>
      </c>
      <c r="AA95" s="0" t="str">
        <f aca="false">IF(Staff!$A95="","",Staff!$AT95)</f>
        <v/>
      </c>
      <c r="AB95" s="0" t="str">
        <f aca="false">IF(Staff!$A95="","",Staff!$AU95)</f>
        <v/>
      </c>
      <c r="AC95" s="0" t="str">
        <f aca="false">IF(Staff!$A95="","",Staff!$AV95)</f>
        <v/>
      </c>
      <c r="AD95" s="0" t="str">
        <f aca="false">IF(Staff!$A95="","",Staff!$AW95)</f>
        <v/>
      </c>
    </row>
    <row r="96" customFormat="false" ht="15" hidden="false" customHeight="false" outlineLevel="0" collapsed="false">
      <c r="A96" s="16" t="str">
        <f aca="false">IF(Staff!$A96="","",Staff!$A96)</f>
        <v/>
      </c>
      <c r="B96" s="16" t="str">
        <f aca="false">IF(Staff!$A96="","",Staff!$B96)</f>
        <v/>
      </c>
      <c r="C96" s="16" t="str">
        <f aca="false">IF(Staff!$A96="","",Staff!$C96)</f>
        <v/>
      </c>
      <c r="D96" s="14" t="str">
        <f aca="false">IF(Staff!$A96="","",Staff!$AL96)</f>
        <v/>
      </c>
      <c r="E96" s="16" t="str">
        <f aca="false">IF(Staff!$A96="","",Staff!$O96)</f>
        <v/>
      </c>
      <c r="F96" s="16" t="str">
        <f aca="false">IF(E96="","",E96*HoursPerDay)</f>
        <v/>
      </c>
      <c r="G96" s="16" t="str">
        <f aca="false">IF(Staff!$A96="","",Staff!$AE96)</f>
        <v/>
      </c>
      <c r="H96" s="28" t="str">
        <f aca="false">IF($A96="","",I96&amp;J96&amp;K96&amp;L96&amp;M96&amp;N96&amp;O96&amp;P96&amp;Q96&amp;R96&amp;S96&amp;T96&amp;U96&amp;V96&amp;W96)</f>
        <v/>
      </c>
      <c r="I96" s="0" t="str">
        <f aca="false">IF(OR($A96="",$D96=""),"",IF(AND(EDATE($D96,Milestones!$AA$20)&lt;=AsOfDate,EDATE($D96,Milestones!$AA$20)&gt;=SchemeStart,IF($X96=0,$AD96,IF(AND($Z96&lt;&gt;"",EDATE($D96,Milestones!$AA$20)&gt;=$Z96),$AC96,IF(AND($Y96&lt;&gt;"",EDATE($D96,Milestones!$AA$20)&gt;=$Y96),$AB96,$AA96)))=Milestones!$AB$20),UPPER(TEXT(EDATE($D96,Milestones!$AA$20),"dd mmm yy"))&amp;" "&amp;Milestones!$AB$20&amp;" "&amp;IF(AND(Milestones!$AB$20="FT",Milestones!$AA$20=FT_Y5,EDATE($D96,Milestones!$AA$20)&lt;PolicyEff),1,Milestones!$AC$20)&amp;";  ","")&amp;IF(AND(EDATE($D96,Milestones!$AA$21)&lt;=AsOfDate,EDATE($D96,Milestones!$AA$21)&gt;=SchemeStart,IF($X96=0,$AD96,IF(AND($Z96&lt;&gt;"",EDATE($D96,Milestones!$AA$21)&gt;=$Z96),$AC96,IF(AND($Y96&lt;&gt;"",EDATE($D96,Milestones!$AA$21)&gt;=$Y96),$AB96,$AA96)))=Milestones!$AB$21),UPPER(TEXT(EDATE($D96,Milestones!$AA$21),"dd mmm yy"))&amp;" "&amp;Milestones!$AB$21&amp;" "&amp;IF(AND(Milestones!$AB$21="FT",Milestones!$AA$21=FT_Y5,EDATE($D96,Milestones!$AA$21)&lt;PolicyEff),1,Milestones!$AC$21)&amp;";  ","")&amp;IF(AND(EDATE($D96,Milestones!$AA$22)&lt;=AsOfDate,EDATE($D96,Milestones!$AA$22)&gt;=SchemeStart,IF($X96=0,$AD96,IF(AND($Z96&lt;&gt;"",EDATE($D96,Milestones!$AA$22)&gt;=$Z96),$AC96,IF(AND($Y96&lt;&gt;"",EDATE($D96,Milestones!$AA$22)&gt;=$Y96),$AB96,$AA96)))=Milestones!$AB$22),UPPER(TEXT(EDATE($D96,Milestones!$AA$22),"dd mmm yy"))&amp;" "&amp;Milestones!$AB$22&amp;" "&amp;IF(AND(Milestones!$AB$22="FT",Milestones!$AA$22=FT_Y5,EDATE($D96,Milestones!$AA$22)&lt;PolicyEff),1,Milestones!$AC$22)&amp;";  ","")&amp;IF(AND(EDATE($D96,Milestones!$AA$23)&lt;=AsOfDate,EDATE($D96,Milestones!$AA$23)&gt;=SchemeStart,IF($X96=0,$AD96,IF(AND($Z96&lt;&gt;"",EDATE($D96,Milestones!$AA$23)&gt;=$Z96),$AC96,IF(AND($Y96&lt;&gt;"",EDATE($D96,Milestones!$AA$23)&gt;=$Y96),$AB96,$AA96)))=Milestones!$AB$23),UPPER(TEXT(EDATE($D96,Milestones!$AA$23),"dd mmm yy"))&amp;" "&amp;Milestones!$AB$23&amp;" "&amp;IF(AND(Milestones!$AB$23="FT",Milestones!$AA$23=FT_Y5,EDATE($D96,Milestones!$AA$23)&lt;PolicyEff),1,Milestones!$AC$23)&amp;";  ","")&amp;IF(AND(EDATE($D96,Milestones!$AA$24)&lt;=AsOfDate,EDATE($D96,Milestones!$AA$24)&gt;=SchemeStart,IF($X96=0,$AD96,IF(AND($Z96&lt;&gt;"",EDATE($D96,Milestones!$AA$24)&gt;=$Z96),$AC96,IF(AND($Y96&lt;&gt;"",EDATE($D96,Milestones!$AA$24)&gt;=$Y96),$AB96,$AA96)))=Milestones!$AB$24),UPPER(TEXT(EDATE($D96,Milestones!$AA$24),"dd mmm yy"))&amp;" "&amp;Milestones!$AB$24&amp;" "&amp;IF(AND(Milestones!$AB$24="FT",Milestones!$AA$24=FT_Y5,EDATE($D96,Milestones!$AA$24)&lt;PolicyEff),1,Milestones!$AC$24)&amp;";  ","")&amp;IF(AND(EDATE($D96,Milestones!$AA$25)&lt;=AsOfDate,EDATE($D96,Milestones!$AA$25)&gt;=SchemeStart,IF($X96=0,$AD96,IF(AND($Z96&lt;&gt;"",EDATE($D96,Milestones!$AA$25)&gt;=$Z96),$AC96,IF(AND($Y96&lt;&gt;"",EDATE($D96,Milestones!$AA$25)&gt;=$Y96),$AB96,$AA96)))=Milestones!$AB$25),UPPER(TEXT(EDATE($D96,Milestones!$AA$25),"dd mmm yy"))&amp;" "&amp;Milestones!$AB$25&amp;" "&amp;IF(AND(Milestones!$AB$25="FT",Milestones!$AA$25=FT_Y5,EDATE($D96,Milestones!$AA$25)&lt;PolicyEff),1,Milestones!$AC$25)&amp;";  ","")&amp;IF(AND(EDATE($D96,Milestones!$AA$26)&lt;=AsOfDate,EDATE($D96,Milestones!$AA$26)&gt;=SchemeStart,IF($X96=0,$AD96,IF(AND($Z96&lt;&gt;"",EDATE($D96,Milestones!$AA$26)&gt;=$Z96),$AC96,IF(AND($Y96&lt;&gt;"",EDATE($D96,Milestones!$AA$26)&gt;=$Y96),$AB96,$AA96)))=Milestones!$AB$26),UPPER(TEXT(EDATE($D96,Milestones!$AA$26),"dd mmm yy"))&amp;" "&amp;Milestones!$AB$26&amp;" "&amp;IF(AND(Milestones!$AB$26="FT",Milestones!$AA$26=FT_Y5,EDATE($D96,Milestones!$AA$26)&lt;PolicyEff),1,Milestones!$AC$26)&amp;";  ","")&amp;IF(AND(EDATE($D96,Milestones!$AA$27)&lt;=AsOfDate,EDATE($D96,Milestones!$AA$27)&gt;=SchemeStart,IF($X96=0,$AD96,IF(AND($Z96&lt;&gt;"",EDATE($D96,Milestones!$AA$27)&gt;=$Z96),$AC96,IF(AND($Y96&lt;&gt;"",EDATE($D96,Milestones!$AA$27)&gt;=$Y96),$AB96,$AA96)))=Milestones!$AB$27),UPPER(TEXT(EDATE($D96,Milestones!$AA$27),"dd mmm yy"))&amp;" "&amp;Milestones!$AB$27&amp;" "&amp;IF(AND(Milestones!$AB$27="FT",Milestones!$AA$27=FT_Y5,EDATE($D96,Milestones!$AA$27)&lt;PolicyEff),1,Milestones!$AC$27)&amp;";  ","")&amp;IF(AND(EDATE($D96,Milestones!$AA$28)&lt;=AsOfDate,EDATE($D96,Milestones!$AA$28)&gt;=SchemeStart,IF($X96=0,$AD96,IF(AND($Z96&lt;&gt;"",EDATE($D96,Milestones!$AA$28)&gt;=$Z96),$AC96,IF(AND($Y96&lt;&gt;"",EDATE($D96,Milestones!$AA$28)&gt;=$Y96),$AB96,$AA96)))=Milestones!$AB$28),UPPER(TEXT(EDATE($D96,Milestones!$AA$28),"dd mmm yy"))&amp;" "&amp;Milestones!$AB$28&amp;" "&amp;IF(AND(Milestones!$AB$28="FT",Milestones!$AA$28=FT_Y5,EDATE($D96,Milestones!$AA$28)&lt;PolicyEff),1,Milestones!$AC$28)&amp;";  ","")&amp;IF(AND(EDATE($D96,Milestones!$AA$29)&lt;=AsOfDate,EDATE($D96,Milestones!$AA$29)&gt;=SchemeStart,IF($X96=0,$AD96,IF(AND($Z96&lt;&gt;"",EDATE($D96,Milestones!$AA$29)&gt;=$Z96),$AC96,IF(AND($Y96&lt;&gt;"",EDATE($D96,Milestones!$AA$29)&gt;=$Y96),$AB96,$AA96)))=Milestones!$AB$29),UPPER(TEXT(EDATE($D96,Milestones!$AA$29),"dd mmm yy"))&amp;" "&amp;Milestones!$AB$29&amp;" "&amp;IF(AND(Milestones!$AB$29="FT",Milestones!$AA$29=FT_Y5,EDATE($D96,Milestones!$AA$29)&lt;PolicyEff),1,Milestones!$AC$29)&amp;";  ","")&amp;IF(AND(EDATE($D96,Milestones!$AA$30)&lt;=AsOfDate,EDATE($D96,Milestones!$AA$30)&gt;=SchemeStart,IF($X96=0,$AD96,IF(AND($Z96&lt;&gt;"",EDATE($D96,Milestones!$AA$30)&gt;=$Z96),$AC96,IF(AND($Y96&lt;&gt;"",EDATE($D96,Milestones!$AA$30)&gt;=$Y96),$AB96,$AA96)))=Milestones!$AB$30),UPPER(TEXT(EDATE($D96,Milestones!$AA$30),"dd mmm yy"))&amp;" "&amp;Milestones!$AB$30&amp;" "&amp;IF(AND(Milestones!$AB$30="FT",Milestones!$AA$30=FT_Y5,EDATE($D96,Milestones!$AA$30)&lt;PolicyEff),1,Milestones!$AC$30)&amp;";  ","")&amp;IF(AND(EDATE($D96,Milestones!$AA$31)&lt;=AsOfDate,EDATE($D96,Milestones!$AA$31)&gt;=SchemeStart,IF($X96=0,$AD96,IF(AND($Z96&lt;&gt;"",EDATE($D96,Milestones!$AA$31)&gt;=$Z96),$AC96,IF(AND($Y96&lt;&gt;"",EDATE($D96,Milestones!$AA$31)&gt;=$Y96),$AB96,$AA96)))=Milestones!$AB$31),UPPER(TEXT(EDATE($D96,Milestones!$AA$31),"dd mmm yy"))&amp;" "&amp;Milestones!$AB$31&amp;" "&amp;IF(AND(Milestones!$AB$31="FT",Milestones!$AA$31=FT_Y5,EDATE($D96,Milestones!$AA$31)&lt;PolicyEff),1,Milestones!$AC$31)&amp;";  ",""))</f>
        <v/>
      </c>
      <c r="J96" s="0" t="str">
        <f aca="false">IF(OR($A96="",$D96=""),"",IF(AND(EDATE($D96,Milestones!$AA$32)&lt;=AsOfDate,EDATE($D96,Milestones!$AA$32)&gt;=SchemeStart,IF($X96=0,$AD96,IF(AND($Z96&lt;&gt;"",EDATE($D96,Milestones!$AA$32)&gt;=$Z96),$AC96,IF(AND($Y96&lt;&gt;"",EDATE($D96,Milestones!$AA$32)&gt;=$Y96),$AB96,$AA96)))=Milestones!$AB$32),UPPER(TEXT(EDATE($D96,Milestones!$AA$32),"dd mmm yy"))&amp;" "&amp;Milestones!$AB$32&amp;" "&amp;IF(AND(Milestones!$AB$32="FT",Milestones!$AA$32=FT_Y5,EDATE($D96,Milestones!$AA$32)&lt;PolicyEff),1,Milestones!$AC$32)&amp;";  ","")&amp;IF(AND(EDATE($D96,Milestones!$AA$33)&lt;=AsOfDate,EDATE($D96,Milestones!$AA$33)&gt;=SchemeStart,IF($X96=0,$AD96,IF(AND($Z96&lt;&gt;"",EDATE($D96,Milestones!$AA$33)&gt;=$Z96),$AC96,IF(AND($Y96&lt;&gt;"",EDATE($D96,Milestones!$AA$33)&gt;=$Y96),$AB96,$AA96)))=Milestones!$AB$33),UPPER(TEXT(EDATE($D96,Milestones!$AA$33),"dd mmm yy"))&amp;" "&amp;Milestones!$AB$33&amp;" "&amp;IF(AND(Milestones!$AB$33="FT",Milestones!$AA$33=FT_Y5,EDATE($D96,Milestones!$AA$33)&lt;PolicyEff),1,Milestones!$AC$33)&amp;";  ","")&amp;IF(AND(EDATE($D96,Milestones!$AA$34)&lt;=AsOfDate,EDATE($D96,Milestones!$AA$34)&gt;=SchemeStart,IF($X96=0,$AD96,IF(AND($Z96&lt;&gt;"",EDATE($D96,Milestones!$AA$34)&gt;=$Z96),$AC96,IF(AND($Y96&lt;&gt;"",EDATE($D96,Milestones!$AA$34)&gt;=$Y96),$AB96,$AA96)))=Milestones!$AB$34),UPPER(TEXT(EDATE($D96,Milestones!$AA$34),"dd mmm yy"))&amp;" "&amp;Milestones!$AB$34&amp;" "&amp;IF(AND(Milestones!$AB$34="FT",Milestones!$AA$34=FT_Y5,EDATE($D96,Milestones!$AA$34)&lt;PolicyEff),1,Milestones!$AC$34)&amp;";  ","")&amp;IF(AND(EDATE($D96,Milestones!$AA$35)&lt;=AsOfDate,EDATE($D96,Milestones!$AA$35)&gt;=SchemeStart,IF($X96=0,$AD96,IF(AND($Z96&lt;&gt;"",EDATE($D96,Milestones!$AA$35)&gt;=$Z96),$AC96,IF(AND($Y96&lt;&gt;"",EDATE($D96,Milestones!$AA$35)&gt;=$Y96),$AB96,$AA96)))=Milestones!$AB$35),UPPER(TEXT(EDATE($D96,Milestones!$AA$35),"dd mmm yy"))&amp;" "&amp;Milestones!$AB$35&amp;" "&amp;IF(AND(Milestones!$AB$35="FT",Milestones!$AA$35=FT_Y5,EDATE($D96,Milestones!$AA$35)&lt;PolicyEff),1,Milestones!$AC$35)&amp;";  ","")&amp;IF(AND(EDATE($D96,Milestones!$AA$36)&lt;=AsOfDate,EDATE($D96,Milestones!$AA$36)&gt;=SchemeStart,IF($X96=0,$AD96,IF(AND($Z96&lt;&gt;"",EDATE($D96,Milestones!$AA$36)&gt;=$Z96),$AC96,IF(AND($Y96&lt;&gt;"",EDATE($D96,Milestones!$AA$36)&gt;=$Y96),$AB96,$AA96)))=Milestones!$AB$36),UPPER(TEXT(EDATE($D96,Milestones!$AA$36),"dd mmm yy"))&amp;" "&amp;Milestones!$AB$36&amp;" "&amp;IF(AND(Milestones!$AB$36="FT",Milestones!$AA$36=FT_Y5,EDATE($D96,Milestones!$AA$36)&lt;PolicyEff),1,Milestones!$AC$36)&amp;";  ","")&amp;IF(AND(EDATE($D96,Milestones!$AA$37)&lt;=AsOfDate,EDATE($D96,Milestones!$AA$37)&gt;=SchemeStart,IF($X96=0,$AD96,IF(AND($Z96&lt;&gt;"",EDATE($D96,Milestones!$AA$37)&gt;=$Z96),$AC96,IF(AND($Y96&lt;&gt;"",EDATE($D96,Milestones!$AA$37)&gt;=$Y96),$AB96,$AA96)))=Milestones!$AB$37),UPPER(TEXT(EDATE($D96,Milestones!$AA$37),"dd mmm yy"))&amp;" "&amp;Milestones!$AB$37&amp;" "&amp;IF(AND(Milestones!$AB$37="FT",Milestones!$AA$37=FT_Y5,EDATE($D96,Milestones!$AA$37)&lt;PolicyEff),1,Milestones!$AC$37)&amp;";  ","")&amp;IF(AND(EDATE($D96,Milestones!$AA$38)&lt;=AsOfDate,EDATE($D96,Milestones!$AA$38)&gt;=SchemeStart,IF($X96=0,$AD96,IF(AND($Z96&lt;&gt;"",EDATE($D96,Milestones!$AA$38)&gt;=$Z96),$AC96,IF(AND($Y96&lt;&gt;"",EDATE($D96,Milestones!$AA$38)&gt;=$Y96),$AB96,$AA96)))=Milestones!$AB$38),UPPER(TEXT(EDATE($D96,Milestones!$AA$38),"dd mmm yy"))&amp;" "&amp;Milestones!$AB$38&amp;" "&amp;IF(AND(Milestones!$AB$38="FT",Milestones!$AA$38=FT_Y5,EDATE($D96,Milestones!$AA$38)&lt;PolicyEff),1,Milestones!$AC$38)&amp;";  ","")&amp;IF(AND(EDATE($D96,Milestones!$AA$39)&lt;=AsOfDate,EDATE($D96,Milestones!$AA$39)&gt;=SchemeStart,IF($X96=0,$AD96,IF(AND($Z96&lt;&gt;"",EDATE($D96,Milestones!$AA$39)&gt;=$Z96),$AC96,IF(AND($Y96&lt;&gt;"",EDATE($D96,Milestones!$AA$39)&gt;=$Y96),$AB96,$AA96)))=Milestones!$AB$39),UPPER(TEXT(EDATE($D96,Milestones!$AA$39),"dd mmm yy"))&amp;" "&amp;Milestones!$AB$39&amp;" "&amp;IF(AND(Milestones!$AB$39="FT",Milestones!$AA$39=FT_Y5,EDATE($D96,Milestones!$AA$39)&lt;PolicyEff),1,Milestones!$AC$39)&amp;";  ","")&amp;IF(AND(EDATE($D96,Milestones!$AA$40)&lt;=AsOfDate,EDATE($D96,Milestones!$AA$40)&gt;=SchemeStart,IF($X96=0,$AD96,IF(AND($Z96&lt;&gt;"",EDATE($D96,Milestones!$AA$40)&gt;=$Z96),$AC96,IF(AND($Y96&lt;&gt;"",EDATE($D96,Milestones!$AA$40)&gt;=$Y96),$AB96,$AA96)))=Milestones!$AB$40),UPPER(TEXT(EDATE($D96,Milestones!$AA$40),"dd mmm yy"))&amp;" "&amp;Milestones!$AB$40&amp;" "&amp;IF(AND(Milestones!$AB$40="FT",Milestones!$AA$40=FT_Y5,EDATE($D96,Milestones!$AA$40)&lt;PolicyEff),1,Milestones!$AC$40)&amp;";  ","")&amp;IF(AND(EDATE($D96,Milestones!$AA$41)&lt;=AsOfDate,EDATE($D96,Milestones!$AA$41)&gt;=SchemeStart,IF($X96=0,$AD96,IF(AND($Z96&lt;&gt;"",EDATE($D96,Milestones!$AA$41)&gt;=$Z96),$AC96,IF(AND($Y96&lt;&gt;"",EDATE($D96,Milestones!$AA$41)&gt;=$Y96),$AB96,$AA96)))=Milestones!$AB$41),UPPER(TEXT(EDATE($D96,Milestones!$AA$41),"dd mmm yy"))&amp;" "&amp;Milestones!$AB$41&amp;" "&amp;IF(AND(Milestones!$AB$41="FT",Milestones!$AA$41=FT_Y5,EDATE($D96,Milestones!$AA$41)&lt;PolicyEff),1,Milestones!$AC$41)&amp;";  ","")&amp;IF(AND(EDATE($D96,Milestones!$AA$42)&lt;=AsOfDate,EDATE($D96,Milestones!$AA$42)&gt;=SchemeStart,IF($X96=0,$AD96,IF(AND($Z96&lt;&gt;"",EDATE($D96,Milestones!$AA$42)&gt;=$Z96),$AC96,IF(AND($Y96&lt;&gt;"",EDATE($D96,Milestones!$AA$42)&gt;=$Y96),$AB96,$AA96)))=Milestones!$AB$42),UPPER(TEXT(EDATE($D96,Milestones!$AA$42),"dd mmm yy"))&amp;" "&amp;Milestones!$AB$42&amp;" "&amp;IF(AND(Milestones!$AB$42="FT",Milestones!$AA$42=FT_Y5,EDATE($D96,Milestones!$AA$42)&lt;PolicyEff),1,Milestones!$AC$42)&amp;";  ","")&amp;IF(AND(EDATE($D96,Milestones!$AA$43)&lt;=AsOfDate,EDATE($D96,Milestones!$AA$43)&gt;=SchemeStart,IF($X96=0,$AD96,IF(AND($Z96&lt;&gt;"",EDATE($D96,Milestones!$AA$43)&gt;=$Z96),$AC96,IF(AND($Y96&lt;&gt;"",EDATE($D96,Milestones!$AA$43)&gt;=$Y96),$AB96,$AA96)))=Milestones!$AB$43),UPPER(TEXT(EDATE($D96,Milestones!$AA$43),"dd mmm yy"))&amp;" "&amp;Milestones!$AB$43&amp;" "&amp;IF(AND(Milestones!$AB$43="FT",Milestones!$AA$43=FT_Y5,EDATE($D96,Milestones!$AA$43)&lt;PolicyEff),1,Milestones!$AC$43)&amp;";  ",""))</f>
        <v/>
      </c>
      <c r="K96" s="0" t="str">
        <f aca="false">IF(OR($A96="",$D96=""),"",IF(AND(EDATE($D96,Milestones!$AA$44)&lt;=AsOfDate,EDATE($D96,Milestones!$AA$44)&gt;=SchemeStart,IF($X96=0,$AD96,IF(AND($Z96&lt;&gt;"",EDATE($D96,Milestones!$AA$44)&gt;=$Z96),$AC96,IF(AND($Y96&lt;&gt;"",EDATE($D96,Milestones!$AA$44)&gt;=$Y96),$AB96,$AA96)))=Milestones!$AB$44),UPPER(TEXT(EDATE($D96,Milestones!$AA$44),"dd mmm yy"))&amp;" "&amp;Milestones!$AB$44&amp;" "&amp;IF(AND(Milestones!$AB$44="FT",Milestones!$AA$44=FT_Y5,EDATE($D96,Milestones!$AA$44)&lt;PolicyEff),1,Milestones!$AC$44)&amp;";  ","")&amp;IF(AND(EDATE($D96,Milestones!$AA$45)&lt;=AsOfDate,EDATE($D96,Milestones!$AA$45)&gt;=SchemeStart,IF($X96=0,$AD96,IF(AND($Z96&lt;&gt;"",EDATE($D96,Milestones!$AA$45)&gt;=$Z96),$AC96,IF(AND($Y96&lt;&gt;"",EDATE($D96,Milestones!$AA$45)&gt;=$Y96),$AB96,$AA96)))=Milestones!$AB$45),UPPER(TEXT(EDATE($D96,Milestones!$AA$45),"dd mmm yy"))&amp;" "&amp;Milestones!$AB$45&amp;" "&amp;IF(AND(Milestones!$AB$45="FT",Milestones!$AA$45=FT_Y5,EDATE($D96,Milestones!$AA$45)&lt;PolicyEff),1,Milestones!$AC$45)&amp;";  ","")&amp;IF(AND(EDATE($D96,Milestones!$AA$46)&lt;=AsOfDate,EDATE($D96,Milestones!$AA$46)&gt;=SchemeStart,IF($X96=0,$AD96,IF(AND($Z96&lt;&gt;"",EDATE($D96,Milestones!$AA$46)&gt;=$Z96),$AC96,IF(AND($Y96&lt;&gt;"",EDATE($D96,Milestones!$AA$46)&gt;=$Y96),$AB96,$AA96)))=Milestones!$AB$46),UPPER(TEXT(EDATE($D96,Milestones!$AA$46),"dd mmm yy"))&amp;" "&amp;Milestones!$AB$46&amp;" "&amp;IF(AND(Milestones!$AB$46="FT",Milestones!$AA$46=FT_Y5,EDATE($D96,Milestones!$AA$46)&lt;PolicyEff),1,Milestones!$AC$46)&amp;";  ","")&amp;IF(AND(EDATE($D96,Milestones!$AA$47)&lt;=AsOfDate,EDATE($D96,Milestones!$AA$47)&gt;=SchemeStart,IF($X96=0,$AD96,IF(AND($Z96&lt;&gt;"",EDATE($D96,Milestones!$AA$47)&gt;=$Z96),$AC96,IF(AND($Y96&lt;&gt;"",EDATE($D96,Milestones!$AA$47)&gt;=$Y96),$AB96,$AA96)))=Milestones!$AB$47),UPPER(TEXT(EDATE($D96,Milestones!$AA$47),"dd mmm yy"))&amp;" "&amp;Milestones!$AB$47&amp;" "&amp;IF(AND(Milestones!$AB$47="FT",Milestones!$AA$47=FT_Y5,EDATE($D96,Milestones!$AA$47)&lt;PolicyEff),1,Milestones!$AC$47)&amp;";  ","")&amp;IF(AND(EDATE($D96,Milestones!$AA$48)&lt;=AsOfDate,EDATE($D96,Milestones!$AA$48)&gt;=SchemeStart,IF($X96=0,$AD96,IF(AND($Z96&lt;&gt;"",EDATE($D96,Milestones!$AA$48)&gt;=$Z96),$AC96,IF(AND($Y96&lt;&gt;"",EDATE($D96,Milestones!$AA$48)&gt;=$Y96),$AB96,$AA96)))=Milestones!$AB$48),UPPER(TEXT(EDATE($D96,Milestones!$AA$48),"dd mmm yy"))&amp;" "&amp;Milestones!$AB$48&amp;" "&amp;IF(AND(Milestones!$AB$48="FT",Milestones!$AA$48=FT_Y5,EDATE($D96,Milestones!$AA$48)&lt;PolicyEff),1,Milestones!$AC$48)&amp;";  ","")&amp;IF(AND(EDATE($D96,Milestones!$AA$49)&lt;=AsOfDate,EDATE($D96,Milestones!$AA$49)&gt;=SchemeStart,IF($X96=0,$AD96,IF(AND($Z96&lt;&gt;"",EDATE($D96,Milestones!$AA$49)&gt;=$Z96),$AC96,IF(AND($Y96&lt;&gt;"",EDATE($D96,Milestones!$AA$49)&gt;=$Y96),$AB96,$AA96)))=Milestones!$AB$49),UPPER(TEXT(EDATE($D96,Milestones!$AA$49),"dd mmm yy"))&amp;" "&amp;Milestones!$AB$49&amp;" "&amp;IF(AND(Milestones!$AB$49="FT",Milestones!$AA$49=FT_Y5,EDATE($D96,Milestones!$AA$49)&lt;PolicyEff),1,Milestones!$AC$49)&amp;";  ","")&amp;IF(AND(EDATE($D96,Milestones!$AA$50)&lt;=AsOfDate,EDATE($D96,Milestones!$AA$50)&gt;=SchemeStart,IF($X96=0,$AD96,IF(AND($Z96&lt;&gt;"",EDATE($D96,Milestones!$AA$50)&gt;=$Z96),$AC96,IF(AND($Y96&lt;&gt;"",EDATE($D96,Milestones!$AA$50)&gt;=$Y96),$AB96,$AA96)))=Milestones!$AB$50),UPPER(TEXT(EDATE($D96,Milestones!$AA$50),"dd mmm yy"))&amp;" "&amp;Milestones!$AB$50&amp;" "&amp;IF(AND(Milestones!$AB$50="FT",Milestones!$AA$50=FT_Y5,EDATE($D96,Milestones!$AA$50)&lt;PolicyEff),1,Milestones!$AC$50)&amp;";  ","")&amp;IF(AND(EDATE($D96,Milestones!$AA$51)&lt;=AsOfDate,EDATE($D96,Milestones!$AA$51)&gt;=SchemeStart,IF($X96=0,$AD96,IF(AND($Z96&lt;&gt;"",EDATE($D96,Milestones!$AA$51)&gt;=$Z96),$AC96,IF(AND($Y96&lt;&gt;"",EDATE($D96,Milestones!$AA$51)&gt;=$Y96),$AB96,$AA96)))=Milestones!$AB$51),UPPER(TEXT(EDATE($D96,Milestones!$AA$51),"dd mmm yy"))&amp;" "&amp;Milestones!$AB$51&amp;" "&amp;IF(AND(Milestones!$AB$51="FT",Milestones!$AA$51=FT_Y5,EDATE($D96,Milestones!$AA$51)&lt;PolicyEff),1,Milestones!$AC$51)&amp;";  ","")&amp;IF(AND(EDATE($D96,Milestones!$AA$52)&lt;=AsOfDate,EDATE($D96,Milestones!$AA$52)&gt;=SchemeStart,IF($X96=0,$AD96,IF(AND($Z96&lt;&gt;"",EDATE($D96,Milestones!$AA$52)&gt;=$Z96),$AC96,IF(AND($Y96&lt;&gt;"",EDATE($D96,Milestones!$AA$52)&gt;=$Y96),$AB96,$AA96)))=Milestones!$AB$52),UPPER(TEXT(EDATE($D96,Milestones!$AA$52),"dd mmm yy"))&amp;" "&amp;Milestones!$AB$52&amp;" "&amp;IF(AND(Milestones!$AB$52="FT",Milestones!$AA$52=FT_Y5,EDATE($D96,Milestones!$AA$52)&lt;PolicyEff),1,Milestones!$AC$52)&amp;";  ","")&amp;IF(AND(EDATE($D96,Milestones!$AA$53)&lt;=AsOfDate,EDATE($D96,Milestones!$AA$53)&gt;=SchemeStart,IF($X96=0,$AD96,IF(AND($Z96&lt;&gt;"",EDATE($D96,Milestones!$AA$53)&gt;=$Z96),$AC96,IF(AND($Y96&lt;&gt;"",EDATE($D96,Milestones!$AA$53)&gt;=$Y96),$AB96,$AA96)))=Milestones!$AB$53),UPPER(TEXT(EDATE($D96,Milestones!$AA$53),"dd mmm yy"))&amp;" "&amp;Milestones!$AB$53&amp;" "&amp;IF(AND(Milestones!$AB$53="FT",Milestones!$AA$53=FT_Y5,EDATE($D96,Milestones!$AA$53)&lt;PolicyEff),1,Milestones!$AC$53)&amp;";  ","")&amp;IF(AND(EDATE($D96,Milestones!$AA$54)&lt;=AsOfDate,EDATE($D96,Milestones!$AA$54)&gt;=SchemeStart,IF($X96=0,$AD96,IF(AND($Z96&lt;&gt;"",EDATE($D96,Milestones!$AA$54)&gt;=$Z96),$AC96,IF(AND($Y96&lt;&gt;"",EDATE($D96,Milestones!$AA$54)&gt;=$Y96),$AB96,$AA96)))=Milestones!$AB$54),UPPER(TEXT(EDATE($D96,Milestones!$AA$54),"dd mmm yy"))&amp;" "&amp;Milestones!$AB$54&amp;" "&amp;IF(AND(Milestones!$AB$54="FT",Milestones!$AA$54=FT_Y5,EDATE($D96,Milestones!$AA$54)&lt;PolicyEff),1,Milestones!$AC$54)&amp;";  ","")&amp;IF(AND(EDATE($D96,Milestones!$AA$55)&lt;=AsOfDate,EDATE($D96,Milestones!$AA$55)&gt;=SchemeStart,IF($X96=0,$AD96,IF(AND($Z96&lt;&gt;"",EDATE($D96,Milestones!$AA$55)&gt;=$Z96),$AC96,IF(AND($Y96&lt;&gt;"",EDATE($D96,Milestones!$AA$55)&gt;=$Y96),$AB96,$AA96)))=Milestones!$AB$55),UPPER(TEXT(EDATE($D96,Milestones!$AA$55),"dd mmm yy"))&amp;" "&amp;Milestones!$AB$55&amp;" "&amp;IF(AND(Milestones!$AB$55="FT",Milestones!$AA$55=FT_Y5,EDATE($D96,Milestones!$AA$55)&lt;PolicyEff),1,Milestones!$AC$55)&amp;";  ",""))</f>
        <v/>
      </c>
      <c r="L96" s="0" t="str">
        <f aca="false">IF(OR($A96="",$D96=""),"",IF(AND(EDATE($D96,Milestones!$AA$56)&lt;=AsOfDate,EDATE($D96,Milestones!$AA$56)&gt;=SchemeStart,IF($X96=0,$AD96,IF(AND($Z96&lt;&gt;"",EDATE($D96,Milestones!$AA$56)&gt;=$Z96),$AC96,IF(AND($Y96&lt;&gt;"",EDATE($D96,Milestones!$AA$56)&gt;=$Y96),$AB96,$AA96)))=Milestones!$AB$56),UPPER(TEXT(EDATE($D96,Milestones!$AA$56),"dd mmm yy"))&amp;" "&amp;Milestones!$AB$56&amp;" "&amp;IF(AND(Milestones!$AB$56="FT",Milestones!$AA$56=FT_Y5,EDATE($D96,Milestones!$AA$56)&lt;PolicyEff),1,Milestones!$AC$56)&amp;";  ","")&amp;IF(AND(EDATE($D96,Milestones!$AA$57)&lt;=AsOfDate,EDATE($D96,Milestones!$AA$57)&gt;=SchemeStart,IF($X96=0,$AD96,IF(AND($Z96&lt;&gt;"",EDATE($D96,Milestones!$AA$57)&gt;=$Z96),$AC96,IF(AND($Y96&lt;&gt;"",EDATE($D96,Milestones!$AA$57)&gt;=$Y96),$AB96,$AA96)))=Milestones!$AB$57),UPPER(TEXT(EDATE($D96,Milestones!$AA$57),"dd mmm yy"))&amp;" "&amp;Milestones!$AB$57&amp;" "&amp;IF(AND(Milestones!$AB$57="FT",Milestones!$AA$57=FT_Y5,EDATE($D96,Milestones!$AA$57)&lt;PolicyEff),1,Milestones!$AC$57)&amp;";  ","")&amp;IF(AND(EDATE($D96,Milestones!$AA$58)&lt;=AsOfDate,EDATE($D96,Milestones!$AA$58)&gt;=SchemeStart,IF($X96=0,$AD96,IF(AND($Z96&lt;&gt;"",EDATE($D96,Milestones!$AA$58)&gt;=$Z96),$AC96,IF(AND($Y96&lt;&gt;"",EDATE($D96,Milestones!$AA$58)&gt;=$Y96),$AB96,$AA96)))=Milestones!$AB$58),UPPER(TEXT(EDATE($D96,Milestones!$AA$58),"dd mmm yy"))&amp;" "&amp;Milestones!$AB$58&amp;" "&amp;IF(AND(Milestones!$AB$58="FT",Milestones!$AA$58=FT_Y5,EDATE($D96,Milestones!$AA$58)&lt;PolicyEff),1,Milestones!$AC$58)&amp;";  ","")&amp;IF(AND(EDATE($D96,Milestones!$AA$59)&lt;=AsOfDate,EDATE($D96,Milestones!$AA$59)&gt;=SchemeStart,IF($X96=0,$AD96,IF(AND($Z96&lt;&gt;"",EDATE($D96,Milestones!$AA$59)&gt;=$Z96),$AC96,IF(AND($Y96&lt;&gt;"",EDATE($D96,Milestones!$AA$59)&gt;=$Y96),$AB96,$AA96)))=Milestones!$AB$59),UPPER(TEXT(EDATE($D96,Milestones!$AA$59),"dd mmm yy"))&amp;" "&amp;Milestones!$AB$59&amp;" "&amp;IF(AND(Milestones!$AB$59="FT",Milestones!$AA$59=FT_Y5,EDATE($D96,Milestones!$AA$59)&lt;PolicyEff),1,Milestones!$AC$59)&amp;";  ","")&amp;IF(AND(EDATE($D96,Milestones!$AA$60)&lt;=AsOfDate,EDATE($D96,Milestones!$AA$60)&gt;=SchemeStart,IF($X96=0,$AD96,IF(AND($Z96&lt;&gt;"",EDATE($D96,Milestones!$AA$60)&gt;=$Z96),$AC96,IF(AND($Y96&lt;&gt;"",EDATE($D96,Milestones!$AA$60)&gt;=$Y96),$AB96,$AA96)))=Milestones!$AB$60),UPPER(TEXT(EDATE($D96,Milestones!$AA$60),"dd mmm yy"))&amp;" "&amp;Milestones!$AB$60&amp;" "&amp;IF(AND(Milestones!$AB$60="FT",Milestones!$AA$60=FT_Y5,EDATE($D96,Milestones!$AA$60)&lt;PolicyEff),1,Milestones!$AC$60)&amp;";  ","")&amp;IF(AND(EDATE($D96,Milestones!$AA$61)&lt;=AsOfDate,EDATE($D96,Milestones!$AA$61)&gt;=SchemeStart,IF($X96=0,$AD96,IF(AND($Z96&lt;&gt;"",EDATE($D96,Milestones!$AA$61)&gt;=$Z96),$AC96,IF(AND($Y96&lt;&gt;"",EDATE($D96,Milestones!$AA$61)&gt;=$Y96),$AB96,$AA96)))=Milestones!$AB$61),UPPER(TEXT(EDATE($D96,Milestones!$AA$61),"dd mmm yy"))&amp;" "&amp;Milestones!$AB$61&amp;" "&amp;IF(AND(Milestones!$AB$61="FT",Milestones!$AA$61=FT_Y5,EDATE($D96,Milestones!$AA$61)&lt;PolicyEff),1,Milestones!$AC$61)&amp;";  ","")&amp;IF(AND(EDATE($D96,Milestones!$AA$62)&lt;=AsOfDate,EDATE($D96,Milestones!$AA$62)&gt;=SchemeStart,IF($X96=0,$AD96,IF(AND($Z96&lt;&gt;"",EDATE($D96,Milestones!$AA$62)&gt;=$Z96),$AC96,IF(AND($Y96&lt;&gt;"",EDATE($D96,Milestones!$AA$62)&gt;=$Y96),$AB96,$AA96)))=Milestones!$AB$62),UPPER(TEXT(EDATE($D96,Milestones!$AA$62),"dd mmm yy"))&amp;" "&amp;Milestones!$AB$62&amp;" "&amp;IF(AND(Milestones!$AB$62="FT",Milestones!$AA$62=FT_Y5,EDATE($D96,Milestones!$AA$62)&lt;PolicyEff),1,Milestones!$AC$62)&amp;";  ","")&amp;IF(AND(EDATE($D96,Milestones!$AA$63)&lt;=AsOfDate,EDATE($D96,Milestones!$AA$63)&gt;=SchemeStart,IF($X96=0,$AD96,IF(AND($Z96&lt;&gt;"",EDATE($D96,Milestones!$AA$63)&gt;=$Z96),$AC96,IF(AND($Y96&lt;&gt;"",EDATE($D96,Milestones!$AA$63)&gt;=$Y96),$AB96,$AA96)))=Milestones!$AB$63),UPPER(TEXT(EDATE($D96,Milestones!$AA$63),"dd mmm yy"))&amp;" "&amp;Milestones!$AB$63&amp;" "&amp;IF(AND(Milestones!$AB$63="FT",Milestones!$AA$63=FT_Y5,EDATE($D96,Milestones!$AA$63)&lt;PolicyEff),1,Milestones!$AC$63)&amp;";  ","")&amp;IF(AND(EDATE($D96,Milestones!$AA$64)&lt;=AsOfDate,EDATE($D96,Milestones!$AA$64)&gt;=SchemeStart,IF($X96=0,$AD96,IF(AND($Z96&lt;&gt;"",EDATE($D96,Milestones!$AA$64)&gt;=$Z96),$AC96,IF(AND($Y96&lt;&gt;"",EDATE($D96,Milestones!$AA$64)&gt;=$Y96),$AB96,$AA96)))=Milestones!$AB$64),UPPER(TEXT(EDATE($D96,Milestones!$AA$64),"dd mmm yy"))&amp;" "&amp;Milestones!$AB$64&amp;" "&amp;IF(AND(Milestones!$AB$64="FT",Milestones!$AA$64=FT_Y5,EDATE($D96,Milestones!$AA$64)&lt;PolicyEff),1,Milestones!$AC$64)&amp;";  ","")&amp;IF(AND(EDATE($D96,Milestones!$AA$65)&lt;=AsOfDate,EDATE($D96,Milestones!$AA$65)&gt;=SchemeStart,IF($X96=0,$AD96,IF(AND($Z96&lt;&gt;"",EDATE($D96,Milestones!$AA$65)&gt;=$Z96),$AC96,IF(AND($Y96&lt;&gt;"",EDATE($D96,Milestones!$AA$65)&gt;=$Y96),$AB96,$AA96)))=Milestones!$AB$65),UPPER(TEXT(EDATE($D96,Milestones!$AA$65),"dd mmm yy"))&amp;" "&amp;Milestones!$AB$65&amp;" "&amp;IF(AND(Milestones!$AB$65="FT",Milestones!$AA$65=FT_Y5,EDATE($D96,Milestones!$AA$65)&lt;PolicyEff),1,Milestones!$AC$65)&amp;";  ","")&amp;IF(AND(EDATE($D96,Milestones!$AA$66)&lt;=AsOfDate,EDATE($D96,Milestones!$AA$66)&gt;=SchemeStart,IF($X96=0,$AD96,IF(AND($Z96&lt;&gt;"",EDATE($D96,Milestones!$AA$66)&gt;=$Z96),$AC96,IF(AND($Y96&lt;&gt;"",EDATE($D96,Milestones!$AA$66)&gt;=$Y96),$AB96,$AA96)))=Milestones!$AB$66),UPPER(TEXT(EDATE($D96,Milestones!$AA$66),"dd mmm yy"))&amp;" "&amp;Milestones!$AB$66&amp;" "&amp;IF(AND(Milestones!$AB$66="FT",Milestones!$AA$66=FT_Y5,EDATE($D96,Milestones!$AA$66)&lt;PolicyEff),1,Milestones!$AC$66)&amp;";  ","")&amp;IF(AND(EDATE($D96,Milestones!$AA$67)&lt;=AsOfDate,EDATE($D96,Milestones!$AA$67)&gt;=SchemeStart,IF($X96=0,$AD96,IF(AND($Z96&lt;&gt;"",EDATE($D96,Milestones!$AA$67)&gt;=$Z96),$AC96,IF(AND($Y96&lt;&gt;"",EDATE($D96,Milestones!$AA$67)&gt;=$Y96),$AB96,$AA96)))=Milestones!$AB$67),UPPER(TEXT(EDATE($D96,Milestones!$AA$67),"dd mmm yy"))&amp;" "&amp;Milestones!$AB$67&amp;" "&amp;IF(AND(Milestones!$AB$67="FT",Milestones!$AA$67=FT_Y5,EDATE($D96,Milestones!$AA$67)&lt;PolicyEff),1,Milestones!$AC$67)&amp;";  ",""))</f>
        <v/>
      </c>
      <c r="M96" s="0" t="str">
        <f aca="false">IF(OR($A96="",$D96=""),"",IF(AND(EDATE($D96,Milestones!$AA$68)&lt;=AsOfDate,EDATE($D96,Milestones!$AA$68)&gt;=SchemeStart,IF($X96=0,$AD96,IF(AND($Z96&lt;&gt;"",EDATE($D96,Milestones!$AA$68)&gt;=$Z96),$AC96,IF(AND($Y96&lt;&gt;"",EDATE($D96,Milestones!$AA$68)&gt;=$Y96),$AB96,$AA96)))=Milestones!$AB$68),UPPER(TEXT(EDATE($D96,Milestones!$AA$68),"dd mmm yy"))&amp;" "&amp;Milestones!$AB$68&amp;" "&amp;IF(AND(Milestones!$AB$68="FT",Milestones!$AA$68=FT_Y5,EDATE($D96,Milestones!$AA$68)&lt;PolicyEff),1,Milestones!$AC$68)&amp;";  ","")&amp;IF(AND(EDATE($D96,Milestones!$AA$69)&lt;=AsOfDate,EDATE($D96,Milestones!$AA$69)&gt;=SchemeStart,IF($X96=0,$AD96,IF(AND($Z96&lt;&gt;"",EDATE($D96,Milestones!$AA$69)&gt;=$Z96),$AC96,IF(AND($Y96&lt;&gt;"",EDATE($D96,Milestones!$AA$69)&gt;=$Y96),$AB96,$AA96)))=Milestones!$AB$69),UPPER(TEXT(EDATE($D96,Milestones!$AA$69),"dd mmm yy"))&amp;" "&amp;Milestones!$AB$69&amp;" "&amp;IF(AND(Milestones!$AB$69="FT",Milestones!$AA$69=FT_Y5,EDATE($D96,Milestones!$AA$69)&lt;PolicyEff),1,Milestones!$AC$69)&amp;";  ","")&amp;IF(AND(EDATE($D96,Milestones!$AA$70)&lt;=AsOfDate,EDATE($D96,Milestones!$AA$70)&gt;=SchemeStart,IF($X96=0,$AD96,IF(AND($Z96&lt;&gt;"",EDATE($D96,Milestones!$AA$70)&gt;=$Z96),$AC96,IF(AND($Y96&lt;&gt;"",EDATE($D96,Milestones!$AA$70)&gt;=$Y96),$AB96,$AA96)))=Milestones!$AB$70),UPPER(TEXT(EDATE($D96,Milestones!$AA$70),"dd mmm yy"))&amp;" "&amp;Milestones!$AB$70&amp;" "&amp;IF(AND(Milestones!$AB$70="FT",Milestones!$AA$70=FT_Y5,EDATE($D96,Milestones!$AA$70)&lt;PolicyEff),1,Milestones!$AC$70)&amp;";  ","")&amp;IF(AND(EDATE($D96,Milestones!$AA$71)&lt;=AsOfDate,EDATE($D96,Milestones!$AA$71)&gt;=SchemeStart,IF($X96=0,$AD96,IF(AND($Z96&lt;&gt;"",EDATE($D96,Milestones!$AA$71)&gt;=$Z96),$AC96,IF(AND($Y96&lt;&gt;"",EDATE($D96,Milestones!$AA$71)&gt;=$Y96),$AB96,$AA96)))=Milestones!$AB$71),UPPER(TEXT(EDATE($D96,Milestones!$AA$71),"dd mmm yy"))&amp;" "&amp;Milestones!$AB$71&amp;" "&amp;IF(AND(Milestones!$AB$71="FT",Milestones!$AA$71=FT_Y5,EDATE($D96,Milestones!$AA$71)&lt;PolicyEff),1,Milestones!$AC$71)&amp;";  ","")&amp;IF(AND(EDATE($D96,Milestones!$AA$72)&lt;=AsOfDate,EDATE($D96,Milestones!$AA$72)&gt;=SchemeStart,IF($X96=0,$AD96,IF(AND($Z96&lt;&gt;"",EDATE($D96,Milestones!$AA$72)&gt;=$Z96),$AC96,IF(AND($Y96&lt;&gt;"",EDATE($D96,Milestones!$AA$72)&gt;=$Y96),$AB96,$AA96)))=Milestones!$AB$72),UPPER(TEXT(EDATE($D96,Milestones!$AA$72),"dd mmm yy"))&amp;" "&amp;Milestones!$AB$72&amp;" "&amp;IF(AND(Milestones!$AB$72="FT",Milestones!$AA$72=FT_Y5,EDATE($D96,Milestones!$AA$72)&lt;PolicyEff),1,Milestones!$AC$72)&amp;";  ","")&amp;IF(AND(EDATE($D96,Milestones!$AA$73)&lt;=AsOfDate,EDATE($D96,Milestones!$AA$73)&gt;=SchemeStart,IF($X96=0,$AD96,IF(AND($Z96&lt;&gt;"",EDATE($D96,Milestones!$AA$73)&gt;=$Z96),$AC96,IF(AND($Y96&lt;&gt;"",EDATE($D96,Milestones!$AA$73)&gt;=$Y96),$AB96,$AA96)))=Milestones!$AB$73),UPPER(TEXT(EDATE($D96,Milestones!$AA$73),"dd mmm yy"))&amp;" "&amp;Milestones!$AB$73&amp;" "&amp;IF(AND(Milestones!$AB$73="FT",Milestones!$AA$73=FT_Y5,EDATE($D96,Milestones!$AA$73)&lt;PolicyEff),1,Milestones!$AC$73)&amp;";  ","")&amp;IF(AND(EDATE($D96,Milestones!$AA$74)&lt;=AsOfDate,EDATE($D96,Milestones!$AA$74)&gt;=SchemeStart,IF($X96=0,$AD96,IF(AND($Z96&lt;&gt;"",EDATE($D96,Milestones!$AA$74)&gt;=$Z96),$AC96,IF(AND($Y96&lt;&gt;"",EDATE($D96,Milestones!$AA$74)&gt;=$Y96),$AB96,$AA96)))=Milestones!$AB$74),UPPER(TEXT(EDATE($D96,Milestones!$AA$74),"dd mmm yy"))&amp;" "&amp;Milestones!$AB$74&amp;" "&amp;IF(AND(Milestones!$AB$74="FT",Milestones!$AA$74=FT_Y5,EDATE($D96,Milestones!$AA$74)&lt;PolicyEff),1,Milestones!$AC$74)&amp;";  ","")&amp;IF(AND(EDATE($D96,Milestones!$AA$75)&lt;=AsOfDate,EDATE($D96,Milestones!$AA$75)&gt;=SchemeStart,IF($X96=0,$AD96,IF(AND($Z96&lt;&gt;"",EDATE($D96,Milestones!$AA$75)&gt;=$Z96),$AC96,IF(AND($Y96&lt;&gt;"",EDATE($D96,Milestones!$AA$75)&gt;=$Y96),$AB96,$AA96)))=Milestones!$AB$75),UPPER(TEXT(EDATE($D96,Milestones!$AA$75),"dd mmm yy"))&amp;" "&amp;Milestones!$AB$75&amp;" "&amp;IF(AND(Milestones!$AB$75="FT",Milestones!$AA$75=FT_Y5,EDATE($D96,Milestones!$AA$75)&lt;PolicyEff),1,Milestones!$AC$75)&amp;";  ","")&amp;IF(AND(EDATE($D96,Milestones!$AA$76)&lt;=AsOfDate,EDATE($D96,Milestones!$AA$76)&gt;=SchemeStart,IF($X96=0,$AD96,IF(AND($Z96&lt;&gt;"",EDATE($D96,Milestones!$AA$76)&gt;=$Z96),$AC96,IF(AND($Y96&lt;&gt;"",EDATE($D96,Milestones!$AA$76)&gt;=$Y96),$AB96,$AA96)))=Milestones!$AB$76),UPPER(TEXT(EDATE($D96,Milestones!$AA$76),"dd mmm yy"))&amp;" "&amp;Milestones!$AB$76&amp;" "&amp;IF(AND(Milestones!$AB$76="FT",Milestones!$AA$76=FT_Y5,EDATE($D96,Milestones!$AA$76)&lt;PolicyEff),1,Milestones!$AC$76)&amp;";  ","")&amp;IF(AND(EDATE($D96,Milestones!$AA$77)&lt;=AsOfDate,EDATE($D96,Milestones!$AA$77)&gt;=SchemeStart,IF($X96=0,$AD96,IF(AND($Z96&lt;&gt;"",EDATE($D96,Milestones!$AA$77)&gt;=$Z96),$AC96,IF(AND($Y96&lt;&gt;"",EDATE($D96,Milestones!$AA$77)&gt;=$Y96),$AB96,$AA96)))=Milestones!$AB$77),UPPER(TEXT(EDATE($D96,Milestones!$AA$77),"dd mmm yy"))&amp;" "&amp;Milestones!$AB$77&amp;" "&amp;IF(AND(Milestones!$AB$77="FT",Milestones!$AA$77=FT_Y5,EDATE($D96,Milestones!$AA$77)&lt;PolicyEff),1,Milestones!$AC$77)&amp;";  ","")&amp;IF(AND(EDATE($D96,Milestones!$AA$78)&lt;=AsOfDate,EDATE($D96,Milestones!$AA$78)&gt;=SchemeStart,IF($X96=0,$AD96,IF(AND($Z96&lt;&gt;"",EDATE($D96,Milestones!$AA$78)&gt;=$Z96),$AC96,IF(AND($Y96&lt;&gt;"",EDATE($D96,Milestones!$AA$78)&gt;=$Y96),$AB96,$AA96)))=Milestones!$AB$78),UPPER(TEXT(EDATE($D96,Milestones!$AA$78),"dd mmm yy"))&amp;" "&amp;Milestones!$AB$78&amp;" "&amp;IF(AND(Milestones!$AB$78="FT",Milestones!$AA$78=FT_Y5,EDATE($D96,Milestones!$AA$78)&lt;PolicyEff),1,Milestones!$AC$78)&amp;";  ","")&amp;IF(AND(EDATE($D96,Milestones!$AA$79)&lt;=AsOfDate,EDATE($D96,Milestones!$AA$79)&gt;=SchemeStart,IF($X96=0,$AD96,IF(AND($Z96&lt;&gt;"",EDATE($D96,Milestones!$AA$79)&gt;=$Z96),$AC96,IF(AND($Y96&lt;&gt;"",EDATE($D96,Milestones!$AA$79)&gt;=$Y96),$AB96,$AA96)))=Milestones!$AB$79),UPPER(TEXT(EDATE($D96,Milestones!$AA$79),"dd mmm yy"))&amp;" "&amp;Milestones!$AB$79&amp;" "&amp;IF(AND(Milestones!$AB$79="FT",Milestones!$AA$79=FT_Y5,EDATE($D96,Milestones!$AA$79)&lt;PolicyEff),1,Milestones!$AC$79)&amp;";  ",""))</f>
        <v/>
      </c>
      <c r="N96" s="0" t="str">
        <f aca="false">IF(OR($A96="",$D96=""),"",IF(AND(EDATE($D96,Milestones!$AA$80)&lt;=AsOfDate,EDATE($D96,Milestones!$AA$80)&gt;=SchemeStart,IF($X96=0,$AD96,IF(AND($Z96&lt;&gt;"",EDATE($D96,Milestones!$AA$80)&gt;=$Z96),$AC96,IF(AND($Y96&lt;&gt;"",EDATE($D96,Milestones!$AA$80)&gt;=$Y96),$AB96,$AA96)))=Milestones!$AB$80),UPPER(TEXT(EDATE($D96,Milestones!$AA$80),"dd mmm yy"))&amp;" "&amp;Milestones!$AB$80&amp;" "&amp;IF(AND(Milestones!$AB$80="FT",Milestones!$AA$80=FT_Y5,EDATE($D96,Milestones!$AA$80)&lt;PolicyEff),1,Milestones!$AC$80)&amp;";  ","")&amp;IF(AND(EDATE($D96,Milestones!$AA$81)&lt;=AsOfDate,EDATE($D96,Milestones!$AA$81)&gt;=SchemeStart,IF($X96=0,$AD96,IF(AND($Z96&lt;&gt;"",EDATE($D96,Milestones!$AA$81)&gt;=$Z96),$AC96,IF(AND($Y96&lt;&gt;"",EDATE($D96,Milestones!$AA$81)&gt;=$Y96),$AB96,$AA96)))=Milestones!$AB$81),UPPER(TEXT(EDATE($D96,Milestones!$AA$81),"dd mmm yy"))&amp;" "&amp;Milestones!$AB$81&amp;" "&amp;IF(AND(Milestones!$AB$81="FT",Milestones!$AA$81=FT_Y5,EDATE($D96,Milestones!$AA$81)&lt;PolicyEff),1,Milestones!$AC$81)&amp;";  ","")&amp;IF(AND(EDATE($D96,Milestones!$AA$82)&lt;=AsOfDate,EDATE($D96,Milestones!$AA$82)&gt;=SchemeStart,IF($X96=0,$AD96,IF(AND($Z96&lt;&gt;"",EDATE($D96,Milestones!$AA$82)&gt;=$Z96),$AC96,IF(AND($Y96&lt;&gt;"",EDATE($D96,Milestones!$AA$82)&gt;=$Y96),$AB96,$AA96)))=Milestones!$AB$82),UPPER(TEXT(EDATE($D96,Milestones!$AA$82),"dd mmm yy"))&amp;" "&amp;Milestones!$AB$82&amp;" "&amp;IF(AND(Milestones!$AB$82="FT",Milestones!$AA$82=FT_Y5,EDATE($D96,Milestones!$AA$82)&lt;PolicyEff),1,Milestones!$AC$82)&amp;";  ","")&amp;IF(AND(EDATE($D96,Milestones!$AA$83)&lt;=AsOfDate,EDATE($D96,Milestones!$AA$83)&gt;=SchemeStart,IF($X96=0,$AD96,IF(AND($Z96&lt;&gt;"",EDATE($D96,Milestones!$AA$83)&gt;=$Z96),$AC96,IF(AND($Y96&lt;&gt;"",EDATE($D96,Milestones!$AA$83)&gt;=$Y96),$AB96,$AA96)))=Milestones!$AB$83),UPPER(TEXT(EDATE($D96,Milestones!$AA$83),"dd mmm yy"))&amp;" "&amp;Milestones!$AB$83&amp;" "&amp;IF(AND(Milestones!$AB$83="FT",Milestones!$AA$83=FT_Y5,EDATE($D96,Milestones!$AA$83)&lt;PolicyEff),1,Milestones!$AC$83)&amp;";  ","")&amp;IF(AND(EDATE($D96,Milestones!$AA$84)&lt;=AsOfDate,EDATE($D96,Milestones!$AA$84)&gt;=SchemeStart,IF($X96=0,$AD96,IF(AND($Z96&lt;&gt;"",EDATE($D96,Milestones!$AA$84)&gt;=$Z96),$AC96,IF(AND($Y96&lt;&gt;"",EDATE($D96,Milestones!$AA$84)&gt;=$Y96),$AB96,$AA96)))=Milestones!$AB$84),UPPER(TEXT(EDATE($D96,Milestones!$AA$84),"dd mmm yy"))&amp;" "&amp;Milestones!$AB$84&amp;" "&amp;IF(AND(Milestones!$AB$84="FT",Milestones!$AA$84=FT_Y5,EDATE($D96,Milestones!$AA$84)&lt;PolicyEff),1,Milestones!$AC$84)&amp;";  ","")&amp;IF(AND(EDATE($D96,Milestones!$AA$85)&lt;=AsOfDate,EDATE($D96,Milestones!$AA$85)&gt;=SchemeStart,IF($X96=0,$AD96,IF(AND($Z96&lt;&gt;"",EDATE($D96,Milestones!$AA$85)&gt;=$Z96),$AC96,IF(AND($Y96&lt;&gt;"",EDATE($D96,Milestones!$AA$85)&gt;=$Y96),$AB96,$AA96)))=Milestones!$AB$85),UPPER(TEXT(EDATE($D96,Milestones!$AA$85),"dd mmm yy"))&amp;" "&amp;Milestones!$AB$85&amp;" "&amp;IF(AND(Milestones!$AB$85="FT",Milestones!$AA$85=FT_Y5,EDATE($D96,Milestones!$AA$85)&lt;PolicyEff),1,Milestones!$AC$85)&amp;";  ","")&amp;IF(AND(EDATE($D96,Milestones!$AA$86)&lt;=AsOfDate,EDATE($D96,Milestones!$AA$86)&gt;=SchemeStart,IF($X96=0,$AD96,IF(AND($Z96&lt;&gt;"",EDATE($D96,Milestones!$AA$86)&gt;=$Z96),$AC96,IF(AND($Y96&lt;&gt;"",EDATE($D96,Milestones!$AA$86)&gt;=$Y96),$AB96,$AA96)))=Milestones!$AB$86),UPPER(TEXT(EDATE($D96,Milestones!$AA$86),"dd mmm yy"))&amp;" "&amp;Milestones!$AB$86&amp;" "&amp;IF(AND(Milestones!$AB$86="FT",Milestones!$AA$86=FT_Y5,EDATE($D96,Milestones!$AA$86)&lt;PolicyEff),1,Milestones!$AC$86)&amp;";  ","")&amp;IF(AND(EDATE($D96,Milestones!$AA$87)&lt;=AsOfDate,EDATE($D96,Milestones!$AA$87)&gt;=SchemeStart,IF($X96=0,$AD96,IF(AND($Z96&lt;&gt;"",EDATE($D96,Milestones!$AA$87)&gt;=$Z96),$AC96,IF(AND($Y96&lt;&gt;"",EDATE($D96,Milestones!$AA$87)&gt;=$Y96),$AB96,$AA96)))=Milestones!$AB$87),UPPER(TEXT(EDATE($D96,Milestones!$AA$87),"dd mmm yy"))&amp;" "&amp;Milestones!$AB$87&amp;" "&amp;IF(AND(Milestones!$AB$87="FT",Milestones!$AA$87=FT_Y5,EDATE($D96,Milestones!$AA$87)&lt;PolicyEff),1,Milestones!$AC$87)&amp;";  ","")&amp;IF(AND(EDATE($D96,Milestones!$AA$88)&lt;=AsOfDate,EDATE($D96,Milestones!$AA$88)&gt;=SchemeStart,IF($X96=0,$AD96,IF(AND($Z96&lt;&gt;"",EDATE($D96,Milestones!$AA$88)&gt;=$Z96),$AC96,IF(AND($Y96&lt;&gt;"",EDATE($D96,Milestones!$AA$88)&gt;=$Y96),$AB96,$AA96)))=Milestones!$AB$88),UPPER(TEXT(EDATE($D96,Milestones!$AA$88),"dd mmm yy"))&amp;" "&amp;Milestones!$AB$88&amp;" "&amp;IF(AND(Milestones!$AB$88="FT",Milestones!$AA$88=FT_Y5,EDATE($D96,Milestones!$AA$88)&lt;PolicyEff),1,Milestones!$AC$88)&amp;";  ","")&amp;IF(AND(EDATE($D96,Milestones!$AA$89)&lt;=AsOfDate,EDATE($D96,Milestones!$AA$89)&gt;=SchemeStart,IF($X96=0,$AD96,IF(AND($Z96&lt;&gt;"",EDATE($D96,Milestones!$AA$89)&gt;=$Z96),$AC96,IF(AND($Y96&lt;&gt;"",EDATE($D96,Milestones!$AA$89)&gt;=$Y96),$AB96,$AA96)))=Milestones!$AB$89),UPPER(TEXT(EDATE($D96,Milestones!$AA$89),"dd mmm yy"))&amp;" "&amp;Milestones!$AB$89&amp;" "&amp;IF(AND(Milestones!$AB$89="FT",Milestones!$AA$89=FT_Y5,EDATE($D96,Milestones!$AA$89)&lt;PolicyEff),1,Milestones!$AC$89)&amp;";  ","")&amp;IF(AND(EDATE($D96,Milestones!$AA$90)&lt;=AsOfDate,EDATE($D96,Milestones!$AA$90)&gt;=SchemeStart,IF($X96=0,$AD96,IF(AND($Z96&lt;&gt;"",EDATE($D96,Milestones!$AA$90)&gt;=$Z96),$AC96,IF(AND($Y96&lt;&gt;"",EDATE($D96,Milestones!$AA$90)&gt;=$Y96),$AB96,$AA96)))=Milestones!$AB$90),UPPER(TEXT(EDATE($D96,Milestones!$AA$90),"dd mmm yy"))&amp;" "&amp;Milestones!$AB$90&amp;" "&amp;IF(AND(Milestones!$AB$90="FT",Milestones!$AA$90=FT_Y5,EDATE($D96,Milestones!$AA$90)&lt;PolicyEff),1,Milestones!$AC$90)&amp;";  ","")&amp;IF(AND(EDATE($D96,Milestones!$AA$91)&lt;=AsOfDate,EDATE($D96,Milestones!$AA$91)&gt;=SchemeStart,IF($X96=0,$AD96,IF(AND($Z96&lt;&gt;"",EDATE($D96,Milestones!$AA$91)&gt;=$Z96),$AC96,IF(AND($Y96&lt;&gt;"",EDATE($D96,Milestones!$AA$91)&gt;=$Y96),$AB96,$AA96)))=Milestones!$AB$91),UPPER(TEXT(EDATE($D96,Milestones!$AA$91),"dd mmm yy"))&amp;" "&amp;Milestones!$AB$91&amp;" "&amp;IF(AND(Milestones!$AB$91="FT",Milestones!$AA$91=FT_Y5,EDATE($D96,Milestones!$AA$91)&lt;PolicyEff),1,Milestones!$AC$91)&amp;";  ",""))</f>
        <v/>
      </c>
      <c r="O96" s="0" t="str">
        <f aca="false">IF(OR($A96="",$D96=""),"",IF(AND(EDATE($D96,Milestones!$AA$92)&lt;=AsOfDate,EDATE($D96,Milestones!$AA$92)&gt;=SchemeStart,IF($X96=0,$AD96,IF(AND($Z96&lt;&gt;"",EDATE($D96,Milestones!$AA$92)&gt;=$Z96),$AC96,IF(AND($Y96&lt;&gt;"",EDATE($D96,Milestones!$AA$92)&gt;=$Y96),$AB96,$AA96)))=Milestones!$AB$92),UPPER(TEXT(EDATE($D96,Milestones!$AA$92),"dd mmm yy"))&amp;" "&amp;Milestones!$AB$92&amp;" "&amp;IF(AND(Milestones!$AB$92="FT",Milestones!$AA$92=FT_Y5,EDATE($D96,Milestones!$AA$92)&lt;PolicyEff),1,Milestones!$AC$92)&amp;";  ","")&amp;IF(AND(EDATE($D96,Milestones!$AA$93)&lt;=AsOfDate,EDATE($D96,Milestones!$AA$93)&gt;=SchemeStart,IF($X96=0,$AD96,IF(AND($Z96&lt;&gt;"",EDATE($D96,Milestones!$AA$93)&gt;=$Z96),$AC96,IF(AND($Y96&lt;&gt;"",EDATE($D96,Milestones!$AA$93)&gt;=$Y96),$AB96,$AA96)))=Milestones!$AB$93),UPPER(TEXT(EDATE($D96,Milestones!$AA$93),"dd mmm yy"))&amp;" "&amp;Milestones!$AB$93&amp;" "&amp;IF(AND(Milestones!$AB$93="FT",Milestones!$AA$93=FT_Y5,EDATE($D96,Milestones!$AA$93)&lt;PolicyEff),1,Milestones!$AC$93)&amp;";  ","")&amp;IF(AND(EDATE($D96,Milestones!$AA$94)&lt;=AsOfDate,EDATE($D96,Milestones!$AA$94)&gt;=SchemeStart,IF($X96=0,$AD96,IF(AND($Z96&lt;&gt;"",EDATE($D96,Milestones!$AA$94)&gt;=$Z96),$AC96,IF(AND($Y96&lt;&gt;"",EDATE($D96,Milestones!$AA$94)&gt;=$Y96),$AB96,$AA96)))=Milestones!$AB$94),UPPER(TEXT(EDATE($D96,Milestones!$AA$94),"dd mmm yy"))&amp;" "&amp;Milestones!$AB$94&amp;" "&amp;IF(AND(Milestones!$AB$94="FT",Milestones!$AA$94=FT_Y5,EDATE($D96,Milestones!$AA$94)&lt;PolicyEff),1,Milestones!$AC$94)&amp;";  ","")&amp;IF(AND(EDATE($D96,Milestones!$AA$95)&lt;=AsOfDate,EDATE($D96,Milestones!$AA$95)&gt;=SchemeStart,IF($X96=0,$AD96,IF(AND($Z96&lt;&gt;"",EDATE($D96,Milestones!$AA$95)&gt;=$Z96),$AC96,IF(AND($Y96&lt;&gt;"",EDATE($D96,Milestones!$AA$95)&gt;=$Y96),$AB96,$AA96)))=Milestones!$AB$95),UPPER(TEXT(EDATE($D96,Milestones!$AA$95),"dd mmm yy"))&amp;" "&amp;Milestones!$AB$95&amp;" "&amp;IF(AND(Milestones!$AB$95="FT",Milestones!$AA$95=FT_Y5,EDATE($D96,Milestones!$AA$95)&lt;PolicyEff),1,Milestones!$AC$95)&amp;";  ","")&amp;IF(AND(EDATE($D96,Milestones!$AA$96)&lt;=AsOfDate,EDATE($D96,Milestones!$AA$96)&gt;=SchemeStart,IF($X96=0,$AD96,IF(AND($Z96&lt;&gt;"",EDATE($D96,Milestones!$AA$96)&gt;=$Z96),$AC96,IF(AND($Y96&lt;&gt;"",EDATE($D96,Milestones!$AA$96)&gt;=$Y96),$AB96,$AA96)))=Milestones!$AB$96),UPPER(TEXT(EDATE($D96,Milestones!$AA$96),"dd mmm yy"))&amp;" "&amp;Milestones!$AB$96&amp;" "&amp;IF(AND(Milestones!$AB$96="FT",Milestones!$AA$96=FT_Y5,EDATE($D96,Milestones!$AA$96)&lt;PolicyEff),1,Milestones!$AC$96)&amp;";  ","")&amp;IF(AND(EDATE($D96,Milestones!$AA$97)&lt;=AsOfDate,EDATE($D96,Milestones!$AA$97)&gt;=SchemeStart,IF($X96=0,$AD96,IF(AND($Z96&lt;&gt;"",EDATE($D96,Milestones!$AA$97)&gt;=$Z96),$AC96,IF(AND($Y96&lt;&gt;"",EDATE($D96,Milestones!$AA$97)&gt;=$Y96),$AB96,$AA96)))=Milestones!$AB$97),UPPER(TEXT(EDATE($D96,Milestones!$AA$97),"dd mmm yy"))&amp;" "&amp;Milestones!$AB$97&amp;" "&amp;IF(AND(Milestones!$AB$97="FT",Milestones!$AA$97=FT_Y5,EDATE($D96,Milestones!$AA$97)&lt;PolicyEff),1,Milestones!$AC$97)&amp;";  ","")&amp;IF(AND(EDATE($D96,Milestones!$AA$98)&lt;=AsOfDate,EDATE($D96,Milestones!$AA$98)&gt;=SchemeStart,IF($X96=0,$AD96,IF(AND($Z96&lt;&gt;"",EDATE($D96,Milestones!$AA$98)&gt;=$Z96),$AC96,IF(AND($Y96&lt;&gt;"",EDATE($D96,Milestones!$AA$98)&gt;=$Y96),$AB96,$AA96)))=Milestones!$AB$98),UPPER(TEXT(EDATE($D96,Milestones!$AA$98),"dd mmm yy"))&amp;" "&amp;Milestones!$AB$98&amp;" "&amp;IF(AND(Milestones!$AB$98="FT",Milestones!$AA$98=FT_Y5,EDATE($D96,Milestones!$AA$98)&lt;PolicyEff),1,Milestones!$AC$98)&amp;";  ","")&amp;IF(AND(EDATE($D96,Milestones!$AA$99)&lt;=AsOfDate,EDATE($D96,Milestones!$AA$99)&gt;=SchemeStart,IF($X96=0,$AD96,IF(AND($Z96&lt;&gt;"",EDATE($D96,Milestones!$AA$99)&gt;=$Z96),$AC96,IF(AND($Y96&lt;&gt;"",EDATE($D96,Milestones!$AA$99)&gt;=$Y96),$AB96,$AA96)))=Milestones!$AB$99),UPPER(TEXT(EDATE($D96,Milestones!$AA$99),"dd mmm yy"))&amp;" "&amp;Milestones!$AB$99&amp;" "&amp;IF(AND(Milestones!$AB$99="FT",Milestones!$AA$99=FT_Y5,EDATE($D96,Milestones!$AA$99)&lt;PolicyEff),1,Milestones!$AC$99)&amp;";  ","")&amp;IF(AND(EDATE($D96,Milestones!$AA$100)&lt;=AsOfDate,EDATE($D96,Milestones!$AA$100)&gt;=SchemeStart,IF($X96=0,$AD96,IF(AND($Z96&lt;&gt;"",EDATE($D96,Milestones!$AA$100)&gt;=$Z96),$AC96,IF(AND($Y96&lt;&gt;"",EDATE($D96,Milestones!$AA$100)&gt;=$Y96),$AB96,$AA96)))=Milestones!$AB$100),UPPER(TEXT(EDATE($D96,Milestones!$AA$100),"dd mmm yy"))&amp;" "&amp;Milestones!$AB$100&amp;" "&amp;IF(AND(Milestones!$AB$100="FT",Milestones!$AA$100=FT_Y5,EDATE($D96,Milestones!$AA$100)&lt;PolicyEff),1,Milestones!$AC$100)&amp;";  ","")&amp;IF(AND(EDATE($D96,Milestones!$AA$101)&lt;=AsOfDate,EDATE($D96,Milestones!$AA$101)&gt;=SchemeStart,IF($X96=0,$AD96,IF(AND($Z96&lt;&gt;"",EDATE($D96,Milestones!$AA$101)&gt;=$Z96),$AC96,IF(AND($Y96&lt;&gt;"",EDATE($D96,Milestones!$AA$101)&gt;=$Y96),$AB96,$AA96)))=Milestones!$AB$101),UPPER(TEXT(EDATE($D96,Milestones!$AA$101),"dd mmm yy"))&amp;" "&amp;Milestones!$AB$101&amp;" "&amp;IF(AND(Milestones!$AB$101="FT",Milestones!$AA$101=FT_Y5,EDATE($D96,Milestones!$AA$101)&lt;PolicyEff),1,Milestones!$AC$101)&amp;";  ","")&amp;IF(AND(EDATE($D96,Milestones!$AA$102)&lt;=AsOfDate,EDATE($D96,Milestones!$AA$102)&gt;=SchemeStart,IF($X96=0,$AD96,IF(AND($Z96&lt;&gt;"",EDATE($D96,Milestones!$AA$102)&gt;=$Z96),$AC96,IF(AND($Y96&lt;&gt;"",EDATE($D96,Milestones!$AA$102)&gt;=$Y96),$AB96,$AA96)))=Milestones!$AB$102),UPPER(TEXT(EDATE($D96,Milestones!$AA$102),"dd mmm yy"))&amp;" "&amp;Milestones!$AB$102&amp;" "&amp;IF(AND(Milestones!$AB$102="FT",Milestones!$AA$102=FT_Y5,EDATE($D96,Milestones!$AA$102)&lt;PolicyEff),1,Milestones!$AC$102)&amp;";  ","")&amp;IF(AND(EDATE($D96,Milestones!$AA$103)&lt;=AsOfDate,EDATE($D96,Milestones!$AA$103)&gt;=SchemeStart,IF($X96=0,$AD96,IF(AND($Z96&lt;&gt;"",EDATE($D96,Milestones!$AA$103)&gt;=$Z96),$AC96,IF(AND($Y96&lt;&gt;"",EDATE($D96,Milestones!$AA$103)&gt;=$Y96),$AB96,$AA96)))=Milestones!$AB$103),UPPER(TEXT(EDATE($D96,Milestones!$AA$103),"dd mmm yy"))&amp;" "&amp;Milestones!$AB$103&amp;" "&amp;IF(AND(Milestones!$AB$103="FT",Milestones!$AA$103=FT_Y5,EDATE($D96,Milestones!$AA$103)&lt;PolicyEff),1,Milestones!$AC$103)&amp;";  ",""))</f>
        <v/>
      </c>
      <c r="P96" s="0" t="str">
        <f aca="false">IF(OR($A96="",$D96=""),"",IF(AND(EDATE($D96,Milestones!$AA$104)&lt;=AsOfDate,EDATE($D96,Milestones!$AA$104)&gt;=SchemeStart,IF($X96=0,$AD96,IF(AND($Z96&lt;&gt;"",EDATE($D96,Milestones!$AA$104)&gt;=$Z96),$AC96,IF(AND($Y96&lt;&gt;"",EDATE($D96,Milestones!$AA$104)&gt;=$Y96),$AB96,$AA96)))=Milestones!$AB$104),UPPER(TEXT(EDATE($D96,Milestones!$AA$104),"dd mmm yy"))&amp;" "&amp;Milestones!$AB$104&amp;" "&amp;IF(AND(Milestones!$AB$104="FT",Milestones!$AA$104=FT_Y5,EDATE($D96,Milestones!$AA$104)&lt;PolicyEff),1,Milestones!$AC$104)&amp;";  ","")&amp;IF(AND(EDATE($D96,Milestones!$AA$105)&lt;=AsOfDate,EDATE($D96,Milestones!$AA$105)&gt;=SchemeStart,IF($X96=0,$AD96,IF(AND($Z96&lt;&gt;"",EDATE($D96,Milestones!$AA$105)&gt;=$Z96),$AC96,IF(AND($Y96&lt;&gt;"",EDATE($D96,Milestones!$AA$105)&gt;=$Y96),$AB96,$AA96)))=Milestones!$AB$105),UPPER(TEXT(EDATE($D96,Milestones!$AA$105),"dd mmm yy"))&amp;" "&amp;Milestones!$AB$105&amp;" "&amp;IF(AND(Milestones!$AB$105="FT",Milestones!$AA$105=FT_Y5,EDATE($D96,Milestones!$AA$105)&lt;PolicyEff),1,Milestones!$AC$105)&amp;";  ","")&amp;IF(AND(EDATE($D96,Milestones!$AA$106)&lt;=AsOfDate,EDATE($D96,Milestones!$AA$106)&gt;=SchemeStart,IF($X96=0,$AD96,IF(AND($Z96&lt;&gt;"",EDATE($D96,Milestones!$AA$106)&gt;=$Z96),$AC96,IF(AND($Y96&lt;&gt;"",EDATE($D96,Milestones!$AA$106)&gt;=$Y96),$AB96,$AA96)))=Milestones!$AB$106),UPPER(TEXT(EDATE($D96,Milestones!$AA$106),"dd mmm yy"))&amp;" "&amp;Milestones!$AB$106&amp;" "&amp;IF(AND(Milestones!$AB$106="FT",Milestones!$AA$106=FT_Y5,EDATE($D96,Milestones!$AA$106)&lt;PolicyEff),1,Milestones!$AC$106)&amp;";  ","")&amp;IF(AND(EDATE($D96,Milestones!$AA$107)&lt;=AsOfDate,EDATE($D96,Milestones!$AA$107)&gt;=SchemeStart,IF($X96=0,$AD96,IF(AND($Z96&lt;&gt;"",EDATE($D96,Milestones!$AA$107)&gt;=$Z96),$AC96,IF(AND($Y96&lt;&gt;"",EDATE($D96,Milestones!$AA$107)&gt;=$Y96),$AB96,$AA96)))=Milestones!$AB$107),UPPER(TEXT(EDATE($D96,Milestones!$AA$107),"dd mmm yy"))&amp;" "&amp;Milestones!$AB$107&amp;" "&amp;IF(AND(Milestones!$AB$107="FT",Milestones!$AA$107=FT_Y5,EDATE($D96,Milestones!$AA$107)&lt;PolicyEff),1,Milestones!$AC$107)&amp;";  ","")&amp;IF(AND(EDATE($D96,Milestones!$AA$108)&lt;=AsOfDate,EDATE($D96,Milestones!$AA$108)&gt;=SchemeStart,IF($X96=0,$AD96,IF(AND($Z96&lt;&gt;"",EDATE($D96,Milestones!$AA$108)&gt;=$Z96),$AC96,IF(AND($Y96&lt;&gt;"",EDATE($D96,Milestones!$AA$108)&gt;=$Y96),$AB96,$AA96)))=Milestones!$AB$108),UPPER(TEXT(EDATE($D96,Milestones!$AA$108),"dd mmm yy"))&amp;" "&amp;Milestones!$AB$108&amp;" "&amp;IF(AND(Milestones!$AB$108="FT",Milestones!$AA$108=FT_Y5,EDATE($D96,Milestones!$AA$108)&lt;PolicyEff),1,Milestones!$AC$108)&amp;";  ","")&amp;IF(AND(EDATE($D96,Milestones!$AA$109)&lt;=AsOfDate,EDATE($D96,Milestones!$AA$109)&gt;=SchemeStart,IF($X96=0,$AD96,IF(AND($Z96&lt;&gt;"",EDATE($D96,Milestones!$AA$109)&gt;=$Z96),$AC96,IF(AND($Y96&lt;&gt;"",EDATE($D96,Milestones!$AA$109)&gt;=$Y96),$AB96,$AA96)))=Milestones!$AB$109),UPPER(TEXT(EDATE($D96,Milestones!$AA$109),"dd mmm yy"))&amp;" "&amp;Milestones!$AB$109&amp;" "&amp;IF(AND(Milestones!$AB$109="FT",Milestones!$AA$109=FT_Y5,EDATE($D96,Milestones!$AA$109)&lt;PolicyEff),1,Milestones!$AC$109)&amp;";  ","")&amp;IF(AND(EDATE($D96,Milestones!$AA$110)&lt;=AsOfDate,EDATE($D96,Milestones!$AA$110)&gt;=SchemeStart,IF($X96=0,$AD96,IF(AND($Z96&lt;&gt;"",EDATE($D96,Milestones!$AA$110)&gt;=$Z96),$AC96,IF(AND($Y96&lt;&gt;"",EDATE($D96,Milestones!$AA$110)&gt;=$Y96),$AB96,$AA96)))=Milestones!$AB$110),UPPER(TEXT(EDATE($D96,Milestones!$AA$110),"dd mmm yy"))&amp;" "&amp;Milestones!$AB$110&amp;" "&amp;IF(AND(Milestones!$AB$110="FT",Milestones!$AA$110=FT_Y5,EDATE($D96,Milestones!$AA$110)&lt;PolicyEff),1,Milestones!$AC$110)&amp;";  ","")&amp;IF(AND(EDATE($D96,Milestones!$AA$111)&lt;=AsOfDate,EDATE($D96,Milestones!$AA$111)&gt;=SchemeStart,IF($X96=0,$AD96,IF(AND($Z96&lt;&gt;"",EDATE($D96,Milestones!$AA$111)&gt;=$Z96),$AC96,IF(AND($Y96&lt;&gt;"",EDATE($D96,Milestones!$AA$111)&gt;=$Y96),$AB96,$AA96)))=Milestones!$AB$111),UPPER(TEXT(EDATE($D96,Milestones!$AA$111),"dd mmm yy"))&amp;" "&amp;Milestones!$AB$111&amp;" "&amp;IF(AND(Milestones!$AB$111="FT",Milestones!$AA$111=FT_Y5,EDATE($D96,Milestones!$AA$111)&lt;PolicyEff),1,Milestones!$AC$111)&amp;";  ","")&amp;IF(AND(EDATE($D96,Milestones!$AA$112)&lt;=AsOfDate,EDATE($D96,Milestones!$AA$112)&gt;=SchemeStart,IF($X96=0,$AD96,IF(AND($Z96&lt;&gt;"",EDATE($D96,Milestones!$AA$112)&gt;=$Z96),$AC96,IF(AND($Y96&lt;&gt;"",EDATE($D96,Milestones!$AA$112)&gt;=$Y96),$AB96,$AA96)))=Milestones!$AB$112),UPPER(TEXT(EDATE($D96,Milestones!$AA$112),"dd mmm yy"))&amp;" "&amp;Milestones!$AB$112&amp;" "&amp;IF(AND(Milestones!$AB$112="FT",Milestones!$AA$112=FT_Y5,EDATE($D96,Milestones!$AA$112)&lt;PolicyEff),1,Milestones!$AC$112)&amp;";  ","")&amp;IF(AND(EDATE($D96,Milestones!$AA$113)&lt;=AsOfDate,EDATE($D96,Milestones!$AA$113)&gt;=SchemeStart,IF($X96=0,$AD96,IF(AND($Z96&lt;&gt;"",EDATE($D96,Milestones!$AA$113)&gt;=$Z96),$AC96,IF(AND($Y96&lt;&gt;"",EDATE($D96,Milestones!$AA$113)&gt;=$Y96),$AB96,$AA96)))=Milestones!$AB$113),UPPER(TEXT(EDATE($D96,Milestones!$AA$113),"dd mmm yy"))&amp;" "&amp;Milestones!$AB$113&amp;" "&amp;IF(AND(Milestones!$AB$113="FT",Milestones!$AA$113=FT_Y5,EDATE($D96,Milestones!$AA$113)&lt;PolicyEff),1,Milestones!$AC$113)&amp;";  ","")&amp;IF(AND(EDATE($D96,Milestones!$AA$114)&lt;=AsOfDate,EDATE($D96,Milestones!$AA$114)&gt;=SchemeStart,IF($X96=0,$AD96,IF(AND($Z96&lt;&gt;"",EDATE($D96,Milestones!$AA$114)&gt;=$Z96),$AC96,IF(AND($Y96&lt;&gt;"",EDATE($D96,Milestones!$AA$114)&gt;=$Y96),$AB96,$AA96)))=Milestones!$AB$114),UPPER(TEXT(EDATE($D96,Milestones!$AA$114),"dd mmm yy"))&amp;" "&amp;Milestones!$AB$114&amp;" "&amp;IF(AND(Milestones!$AB$114="FT",Milestones!$AA$114=FT_Y5,EDATE($D96,Milestones!$AA$114)&lt;PolicyEff),1,Milestones!$AC$114)&amp;";  ","")&amp;IF(AND(EDATE($D96,Milestones!$AA$115)&lt;=AsOfDate,EDATE($D96,Milestones!$AA$115)&gt;=SchemeStart,IF($X96=0,$AD96,IF(AND($Z96&lt;&gt;"",EDATE($D96,Milestones!$AA$115)&gt;=$Z96),$AC96,IF(AND($Y96&lt;&gt;"",EDATE($D96,Milestones!$AA$115)&gt;=$Y96),$AB96,$AA96)))=Milestones!$AB$115),UPPER(TEXT(EDATE($D96,Milestones!$AA$115),"dd mmm yy"))&amp;" "&amp;Milestones!$AB$115&amp;" "&amp;IF(AND(Milestones!$AB$115="FT",Milestones!$AA$115=FT_Y5,EDATE($D96,Milestones!$AA$115)&lt;PolicyEff),1,Milestones!$AC$115)&amp;";  ",""))</f>
        <v/>
      </c>
      <c r="Q96" s="0" t="str">
        <f aca="false">IF(OR($A96="",$D96=""),"",IF(AND(EDATE($D96,Milestones!$AA$116)&lt;=AsOfDate,EDATE($D96,Milestones!$AA$116)&gt;=SchemeStart,IF($X96=0,$AD96,IF(AND($Z96&lt;&gt;"",EDATE($D96,Milestones!$AA$116)&gt;=$Z96),$AC96,IF(AND($Y96&lt;&gt;"",EDATE($D96,Milestones!$AA$116)&gt;=$Y96),$AB96,$AA96)))=Milestones!$AB$116),UPPER(TEXT(EDATE($D96,Milestones!$AA$116),"dd mmm yy"))&amp;" "&amp;Milestones!$AB$116&amp;" "&amp;IF(AND(Milestones!$AB$116="FT",Milestones!$AA$116=FT_Y5,EDATE($D96,Milestones!$AA$116)&lt;PolicyEff),1,Milestones!$AC$116)&amp;";  ","")&amp;IF(AND(EDATE($D96,Milestones!$AA$117)&lt;=AsOfDate,EDATE($D96,Milestones!$AA$117)&gt;=SchemeStart,IF($X96=0,$AD96,IF(AND($Z96&lt;&gt;"",EDATE($D96,Milestones!$AA$117)&gt;=$Z96),$AC96,IF(AND($Y96&lt;&gt;"",EDATE($D96,Milestones!$AA$117)&gt;=$Y96),$AB96,$AA96)))=Milestones!$AB$117),UPPER(TEXT(EDATE($D96,Milestones!$AA$117),"dd mmm yy"))&amp;" "&amp;Milestones!$AB$117&amp;" "&amp;IF(AND(Milestones!$AB$117="FT",Milestones!$AA$117=FT_Y5,EDATE($D96,Milestones!$AA$117)&lt;PolicyEff),1,Milestones!$AC$117)&amp;";  ","")&amp;IF(AND(EDATE($D96,Milestones!$AA$118)&lt;=AsOfDate,EDATE($D96,Milestones!$AA$118)&gt;=SchemeStart,IF($X96=0,$AD96,IF(AND($Z96&lt;&gt;"",EDATE($D96,Milestones!$AA$118)&gt;=$Z96),$AC96,IF(AND($Y96&lt;&gt;"",EDATE($D96,Milestones!$AA$118)&gt;=$Y96),$AB96,$AA96)))=Milestones!$AB$118),UPPER(TEXT(EDATE($D96,Milestones!$AA$118),"dd mmm yy"))&amp;" "&amp;Milestones!$AB$118&amp;" "&amp;IF(AND(Milestones!$AB$118="FT",Milestones!$AA$118=FT_Y5,EDATE($D96,Milestones!$AA$118)&lt;PolicyEff),1,Milestones!$AC$118)&amp;";  ","")&amp;IF(AND(EDATE($D96,Milestones!$AA$119)&lt;=AsOfDate,EDATE($D96,Milestones!$AA$119)&gt;=SchemeStart,IF($X96=0,$AD96,IF(AND($Z96&lt;&gt;"",EDATE($D96,Milestones!$AA$119)&gt;=$Z96),$AC96,IF(AND($Y96&lt;&gt;"",EDATE($D96,Milestones!$AA$119)&gt;=$Y96),$AB96,$AA96)))=Milestones!$AB$119),UPPER(TEXT(EDATE($D96,Milestones!$AA$119),"dd mmm yy"))&amp;" "&amp;Milestones!$AB$119&amp;" "&amp;IF(AND(Milestones!$AB$119="FT",Milestones!$AA$119=FT_Y5,EDATE($D96,Milestones!$AA$119)&lt;PolicyEff),1,Milestones!$AC$119)&amp;";  ","")&amp;IF(AND(EDATE($D96,Milestones!$AA$120)&lt;=AsOfDate,EDATE($D96,Milestones!$AA$120)&gt;=SchemeStart,IF($X96=0,$AD96,IF(AND($Z96&lt;&gt;"",EDATE($D96,Milestones!$AA$120)&gt;=$Z96),$AC96,IF(AND($Y96&lt;&gt;"",EDATE($D96,Milestones!$AA$120)&gt;=$Y96),$AB96,$AA96)))=Milestones!$AB$120),UPPER(TEXT(EDATE($D96,Milestones!$AA$120),"dd mmm yy"))&amp;" "&amp;Milestones!$AB$120&amp;" "&amp;IF(AND(Milestones!$AB$120="FT",Milestones!$AA$120=FT_Y5,EDATE($D96,Milestones!$AA$120)&lt;PolicyEff),1,Milestones!$AC$120)&amp;";  ","")&amp;IF(AND(EDATE($D96,Milestones!$AA$121)&lt;=AsOfDate,EDATE($D96,Milestones!$AA$121)&gt;=SchemeStart,IF($X96=0,$AD96,IF(AND($Z96&lt;&gt;"",EDATE($D96,Milestones!$AA$121)&gt;=$Z96),$AC96,IF(AND($Y96&lt;&gt;"",EDATE($D96,Milestones!$AA$121)&gt;=$Y96),$AB96,$AA96)))=Milestones!$AB$121),UPPER(TEXT(EDATE($D96,Milestones!$AA$121),"dd mmm yy"))&amp;" "&amp;Milestones!$AB$121&amp;" "&amp;IF(AND(Milestones!$AB$121="FT",Milestones!$AA$121=FT_Y5,EDATE($D96,Milestones!$AA$121)&lt;PolicyEff),1,Milestones!$AC$121)&amp;";  ","")&amp;IF(AND(EDATE($D96,Milestones!$AA$122)&lt;=AsOfDate,EDATE($D96,Milestones!$AA$122)&gt;=SchemeStart,IF($X96=0,$AD96,IF(AND($Z96&lt;&gt;"",EDATE($D96,Milestones!$AA$122)&gt;=$Z96),$AC96,IF(AND($Y96&lt;&gt;"",EDATE($D96,Milestones!$AA$122)&gt;=$Y96),$AB96,$AA96)))=Milestones!$AB$122),UPPER(TEXT(EDATE($D96,Milestones!$AA$122),"dd mmm yy"))&amp;" "&amp;Milestones!$AB$122&amp;" "&amp;IF(AND(Milestones!$AB$122="FT",Milestones!$AA$122=FT_Y5,EDATE($D96,Milestones!$AA$122)&lt;PolicyEff),1,Milestones!$AC$122)&amp;";  ","")&amp;IF(AND(EDATE($D96,Milestones!$AA$123)&lt;=AsOfDate,EDATE($D96,Milestones!$AA$123)&gt;=SchemeStart,IF($X96=0,$AD96,IF(AND($Z96&lt;&gt;"",EDATE($D96,Milestones!$AA$123)&gt;=$Z96),$AC96,IF(AND($Y96&lt;&gt;"",EDATE($D96,Milestones!$AA$123)&gt;=$Y96),$AB96,$AA96)))=Milestones!$AB$123),UPPER(TEXT(EDATE($D96,Milestones!$AA$123),"dd mmm yy"))&amp;" "&amp;Milestones!$AB$123&amp;" "&amp;IF(AND(Milestones!$AB$123="FT",Milestones!$AA$123=FT_Y5,EDATE($D96,Milestones!$AA$123)&lt;PolicyEff),1,Milestones!$AC$123)&amp;";  ","")&amp;IF(AND(EDATE($D96,Milestones!$AA$124)&lt;=AsOfDate,EDATE($D96,Milestones!$AA$124)&gt;=SchemeStart,IF($X96=0,$AD96,IF(AND($Z96&lt;&gt;"",EDATE($D96,Milestones!$AA$124)&gt;=$Z96),$AC96,IF(AND($Y96&lt;&gt;"",EDATE($D96,Milestones!$AA$124)&gt;=$Y96),$AB96,$AA96)))=Milestones!$AB$124),UPPER(TEXT(EDATE($D96,Milestones!$AA$124),"dd mmm yy"))&amp;" "&amp;Milestones!$AB$124&amp;" "&amp;IF(AND(Milestones!$AB$124="FT",Milestones!$AA$124=FT_Y5,EDATE($D96,Milestones!$AA$124)&lt;PolicyEff),1,Milestones!$AC$124)&amp;";  ","")&amp;IF(AND(EDATE($D96,Milestones!$AA$125)&lt;=AsOfDate,EDATE($D96,Milestones!$AA$125)&gt;=SchemeStart,IF($X96=0,$AD96,IF(AND($Z96&lt;&gt;"",EDATE($D96,Milestones!$AA$125)&gt;=$Z96),$AC96,IF(AND($Y96&lt;&gt;"",EDATE($D96,Milestones!$AA$125)&gt;=$Y96),$AB96,$AA96)))=Milestones!$AB$125),UPPER(TEXT(EDATE($D96,Milestones!$AA$125),"dd mmm yy"))&amp;" "&amp;Milestones!$AB$125&amp;" "&amp;IF(AND(Milestones!$AB$125="FT",Milestones!$AA$125=FT_Y5,EDATE($D96,Milestones!$AA$125)&lt;PolicyEff),1,Milestones!$AC$125)&amp;";  ","")&amp;IF(AND(EDATE($D96,Milestones!$AA$126)&lt;=AsOfDate,EDATE($D96,Milestones!$AA$126)&gt;=SchemeStart,IF($X96=0,$AD96,IF(AND($Z96&lt;&gt;"",EDATE($D96,Milestones!$AA$126)&gt;=$Z96),$AC96,IF(AND($Y96&lt;&gt;"",EDATE($D96,Milestones!$AA$126)&gt;=$Y96),$AB96,$AA96)))=Milestones!$AB$126),UPPER(TEXT(EDATE($D96,Milestones!$AA$126),"dd mmm yy"))&amp;" "&amp;Milestones!$AB$126&amp;" "&amp;IF(AND(Milestones!$AB$126="FT",Milestones!$AA$126=FT_Y5,EDATE($D96,Milestones!$AA$126)&lt;PolicyEff),1,Milestones!$AC$126)&amp;";  ","")&amp;IF(AND(EDATE($D96,Milestones!$AA$127)&lt;=AsOfDate,EDATE($D96,Milestones!$AA$127)&gt;=SchemeStart,IF($X96=0,$AD96,IF(AND($Z96&lt;&gt;"",EDATE($D96,Milestones!$AA$127)&gt;=$Z96),$AC96,IF(AND($Y96&lt;&gt;"",EDATE($D96,Milestones!$AA$127)&gt;=$Y96),$AB96,$AA96)))=Milestones!$AB$127),UPPER(TEXT(EDATE($D96,Milestones!$AA$127),"dd mmm yy"))&amp;" "&amp;Milestones!$AB$127&amp;" "&amp;IF(AND(Milestones!$AB$127="FT",Milestones!$AA$127=FT_Y5,EDATE($D96,Milestones!$AA$127)&lt;PolicyEff),1,Milestones!$AC$127)&amp;";  ",""))</f>
        <v/>
      </c>
      <c r="R96" s="0" t="str">
        <f aca="false">IF(OR($A96="",$D96=""),"",IF(AND(EDATE($D96,Milestones!$AA$128)&lt;=AsOfDate,EDATE($D96,Milestones!$AA$128)&gt;=SchemeStart,IF($X96=0,$AD96,IF(AND($Z96&lt;&gt;"",EDATE($D96,Milestones!$AA$128)&gt;=$Z96),$AC96,IF(AND($Y96&lt;&gt;"",EDATE($D96,Milestones!$AA$128)&gt;=$Y96),$AB96,$AA96)))=Milestones!$AB$128),UPPER(TEXT(EDATE($D96,Milestones!$AA$128),"dd mmm yy"))&amp;" "&amp;Milestones!$AB$128&amp;" "&amp;IF(AND(Milestones!$AB$128="FT",Milestones!$AA$128=FT_Y5,EDATE($D96,Milestones!$AA$128)&lt;PolicyEff),1,Milestones!$AC$128)&amp;";  ","")&amp;IF(AND(EDATE($D96,Milestones!$AA$129)&lt;=AsOfDate,EDATE($D96,Milestones!$AA$129)&gt;=SchemeStart,IF($X96=0,$AD96,IF(AND($Z96&lt;&gt;"",EDATE($D96,Milestones!$AA$129)&gt;=$Z96),$AC96,IF(AND($Y96&lt;&gt;"",EDATE($D96,Milestones!$AA$129)&gt;=$Y96),$AB96,$AA96)))=Milestones!$AB$129),UPPER(TEXT(EDATE($D96,Milestones!$AA$129),"dd mmm yy"))&amp;" "&amp;Milestones!$AB$129&amp;" "&amp;IF(AND(Milestones!$AB$129="FT",Milestones!$AA$129=FT_Y5,EDATE($D96,Milestones!$AA$129)&lt;PolicyEff),1,Milestones!$AC$129)&amp;";  ","")&amp;IF(AND(EDATE($D96,Milestones!$AA$130)&lt;=AsOfDate,EDATE($D96,Milestones!$AA$130)&gt;=SchemeStart,IF($X96=0,$AD96,IF(AND($Z96&lt;&gt;"",EDATE($D96,Milestones!$AA$130)&gt;=$Z96),$AC96,IF(AND($Y96&lt;&gt;"",EDATE($D96,Milestones!$AA$130)&gt;=$Y96),$AB96,$AA96)))=Milestones!$AB$130),UPPER(TEXT(EDATE($D96,Milestones!$AA$130),"dd mmm yy"))&amp;" "&amp;Milestones!$AB$130&amp;" "&amp;IF(AND(Milestones!$AB$130="FT",Milestones!$AA$130=FT_Y5,EDATE($D96,Milestones!$AA$130)&lt;PolicyEff),1,Milestones!$AC$130)&amp;";  ","")&amp;IF(AND(EDATE($D96,Milestones!$AA$131)&lt;=AsOfDate,EDATE($D96,Milestones!$AA$131)&gt;=SchemeStart,IF($X96=0,$AD96,IF(AND($Z96&lt;&gt;"",EDATE($D96,Milestones!$AA$131)&gt;=$Z96),$AC96,IF(AND($Y96&lt;&gt;"",EDATE($D96,Milestones!$AA$131)&gt;=$Y96),$AB96,$AA96)))=Milestones!$AB$131),UPPER(TEXT(EDATE($D96,Milestones!$AA$131),"dd mmm yy"))&amp;" "&amp;Milestones!$AB$131&amp;" "&amp;IF(AND(Milestones!$AB$131="FT",Milestones!$AA$131=FT_Y5,EDATE($D96,Milestones!$AA$131)&lt;PolicyEff),1,Milestones!$AC$131)&amp;";  ","")&amp;IF(AND(EDATE($D96,Milestones!$AA$132)&lt;=AsOfDate,EDATE($D96,Milestones!$AA$132)&gt;=SchemeStart,IF($X96=0,$AD96,IF(AND($Z96&lt;&gt;"",EDATE($D96,Milestones!$AA$132)&gt;=$Z96),$AC96,IF(AND($Y96&lt;&gt;"",EDATE($D96,Milestones!$AA$132)&gt;=$Y96),$AB96,$AA96)))=Milestones!$AB$132),UPPER(TEXT(EDATE($D96,Milestones!$AA$132),"dd mmm yy"))&amp;" "&amp;Milestones!$AB$132&amp;" "&amp;IF(AND(Milestones!$AB$132="FT",Milestones!$AA$132=FT_Y5,EDATE($D96,Milestones!$AA$132)&lt;PolicyEff),1,Milestones!$AC$132)&amp;";  ","")&amp;IF(AND(EDATE($D96,Milestones!$AA$133)&lt;=AsOfDate,EDATE($D96,Milestones!$AA$133)&gt;=SchemeStart,IF($X96=0,$AD96,IF(AND($Z96&lt;&gt;"",EDATE($D96,Milestones!$AA$133)&gt;=$Z96),$AC96,IF(AND($Y96&lt;&gt;"",EDATE($D96,Milestones!$AA$133)&gt;=$Y96),$AB96,$AA96)))=Milestones!$AB$133),UPPER(TEXT(EDATE($D96,Milestones!$AA$133),"dd mmm yy"))&amp;" "&amp;Milestones!$AB$133&amp;" "&amp;IF(AND(Milestones!$AB$133="FT",Milestones!$AA$133=FT_Y5,EDATE($D96,Milestones!$AA$133)&lt;PolicyEff),1,Milestones!$AC$133)&amp;";  ","")&amp;IF(AND(EDATE($D96,Milestones!$AA$134)&lt;=AsOfDate,EDATE($D96,Milestones!$AA$134)&gt;=SchemeStart,IF($X96=0,$AD96,IF(AND($Z96&lt;&gt;"",EDATE($D96,Milestones!$AA$134)&gt;=$Z96),$AC96,IF(AND($Y96&lt;&gt;"",EDATE($D96,Milestones!$AA$134)&gt;=$Y96),$AB96,$AA96)))=Milestones!$AB$134),UPPER(TEXT(EDATE($D96,Milestones!$AA$134),"dd mmm yy"))&amp;" "&amp;Milestones!$AB$134&amp;" "&amp;IF(AND(Milestones!$AB$134="FT",Milestones!$AA$134=FT_Y5,EDATE($D96,Milestones!$AA$134)&lt;PolicyEff),1,Milestones!$AC$134)&amp;";  ","")&amp;IF(AND(EDATE($D96,Milestones!$AA$135)&lt;=AsOfDate,EDATE($D96,Milestones!$AA$135)&gt;=SchemeStart,IF($X96=0,$AD96,IF(AND($Z96&lt;&gt;"",EDATE($D96,Milestones!$AA$135)&gt;=$Z96),$AC96,IF(AND($Y96&lt;&gt;"",EDATE($D96,Milestones!$AA$135)&gt;=$Y96),$AB96,$AA96)))=Milestones!$AB$135),UPPER(TEXT(EDATE($D96,Milestones!$AA$135),"dd mmm yy"))&amp;" "&amp;Milestones!$AB$135&amp;" "&amp;IF(AND(Milestones!$AB$135="FT",Milestones!$AA$135=FT_Y5,EDATE($D96,Milestones!$AA$135)&lt;PolicyEff),1,Milestones!$AC$135)&amp;";  ","")&amp;IF(AND(EDATE($D96,Milestones!$AA$136)&lt;=AsOfDate,EDATE($D96,Milestones!$AA$136)&gt;=SchemeStart,IF($X96=0,$AD96,IF(AND($Z96&lt;&gt;"",EDATE($D96,Milestones!$AA$136)&gt;=$Z96),$AC96,IF(AND($Y96&lt;&gt;"",EDATE($D96,Milestones!$AA$136)&gt;=$Y96),$AB96,$AA96)))=Milestones!$AB$136),UPPER(TEXT(EDATE($D96,Milestones!$AA$136),"dd mmm yy"))&amp;" "&amp;Milestones!$AB$136&amp;" "&amp;IF(AND(Milestones!$AB$136="FT",Milestones!$AA$136=FT_Y5,EDATE($D96,Milestones!$AA$136)&lt;PolicyEff),1,Milestones!$AC$136)&amp;";  ","")&amp;IF(AND(EDATE($D96,Milestones!$AA$137)&lt;=AsOfDate,EDATE($D96,Milestones!$AA$137)&gt;=SchemeStart,IF($X96=0,$AD96,IF(AND($Z96&lt;&gt;"",EDATE($D96,Milestones!$AA$137)&gt;=$Z96),$AC96,IF(AND($Y96&lt;&gt;"",EDATE($D96,Milestones!$AA$137)&gt;=$Y96),$AB96,$AA96)))=Milestones!$AB$137),UPPER(TEXT(EDATE($D96,Milestones!$AA$137),"dd mmm yy"))&amp;" "&amp;Milestones!$AB$137&amp;" "&amp;IF(AND(Milestones!$AB$137="FT",Milestones!$AA$137=FT_Y5,EDATE($D96,Milestones!$AA$137)&lt;PolicyEff),1,Milestones!$AC$137)&amp;";  ","")&amp;IF(AND(EDATE($D96,Milestones!$AA$138)&lt;=AsOfDate,EDATE($D96,Milestones!$AA$138)&gt;=SchemeStart,IF($X96=0,$AD96,IF(AND($Z96&lt;&gt;"",EDATE($D96,Milestones!$AA$138)&gt;=$Z96),$AC96,IF(AND($Y96&lt;&gt;"",EDATE($D96,Milestones!$AA$138)&gt;=$Y96),$AB96,$AA96)))=Milestones!$AB$138),UPPER(TEXT(EDATE($D96,Milestones!$AA$138),"dd mmm yy"))&amp;" "&amp;Milestones!$AB$138&amp;" "&amp;IF(AND(Milestones!$AB$138="FT",Milestones!$AA$138=FT_Y5,EDATE($D96,Milestones!$AA$138)&lt;PolicyEff),1,Milestones!$AC$138)&amp;";  ","")&amp;IF(AND(EDATE($D96,Milestones!$AA$139)&lt;=AsOfDate,EDATE($D96,Milestones!$AA$139)&gt;=SchemeStart,IF($X96=0,$AD96,IF(AND($Z96&lt;&gt;"",EDATE($D96,Milestones!$AA$139)&gt;=$Z96),$AC96,IF(AND($Y96&lt;&gt;"",EDATE($D96,Milestones!$AA$139)&gt;=$Y96),$AB96,$AA96)))=Milestones!$AB$139),UPPER(TEXT(EDATE($D96,Milestones!$AA$139),"dd mmm yy"))&amp;" "&amp;Milestones!$AB$139&amp;" "&amp;IF(AND(Milestones!$AB$139="FT",Milestones!$AA$139=FT_Y5,EDATE($D96,Milestones!$AA$139)&lt;PolicyEff),1,Milestones!$AC$139)&amp;";  ",""))</f>
        <v/>
      </c>
      <c r="S96" s="0" t="str">
        <f aca="false">IF(OR($A96="",$D96=""),"",IF(AND(EDATE($D96,Milestones!$AA$140)&lt;=AsOfDate,EDATE($D96,Milestones!$AA$140)&gt;=SchemeStart,IF($X96=0,$AD96,IF(AND($Z96&lt;&gt;"",EDATE($D96,Milestones!$AA$140)&gt;=$Z96),$AC96,IF(AND($Y96&lt;&gt;"",EDATE($D96,Milestones!$AA$140)&gt;=$Y96),$AB96,$AA96)))=Milestones!$AB$140),UPPER(TEXT(EDATE($D96,Milestones!$AA$140),"dd mmm yy"))&amp;" "&amp;Milestones!$AB$140&amp;" "&amp;IF(AND(Milestones!$AB$140="FT",Milestones!$AA$140=FT_Y5,EDATE($D96,Milestones!$AA$140)&lt;PolicyEff),1,Milestones!$AC$140)&amp;";  ","")&amp;IF(AND(EDATE($D96,Milestones!$AA$141)&lt;=AsOfDate,EDATE($D96,Milestones!$AA$141)&gt;=SchemeStart,IF($X96=0,$AD96,IF(AND($Z96&lt;&gt;"",EDATE($D96,Milestones!$AA$141)&gt;=$Z96),$AC96,IF(AND($Y96&lt;&gt;"",EDATE($D96,Milestones!$AA$141)&gt;=$Y96),$AB96,$AA96)))=Milestones!$AB$141),UPPER(TEXT(EDATE($D96,Milestones!$AA$141),"dd mmm yy"))&amp;" "&amp;Milestones!$AB$141&amp;" "&amp;IF(AND(Milestones!$AB$141="FT",Milestones!$AA$141=FT_Y5,EDATE($D96,Milestones!$AA$141)&lt;PolicyEff),1,Milestones!$AC$141)&amp;";  ","")&amp;IF(AND(EDATE($D96,Milestones!$AA$142)&lt;=AsOfDate,EDATE($D96,Milestones!$AA$142)&gt;=SchemeStart,IF($X96=0,$AD96,IF(AND($Z96&lt;&gt;"",EDATE($D96,Milestones!$AA$142)&gt;=$Z96),$AC96,IF(AND($Y96&lt;&gt;"",EDATE($D96,Milestones!$AA$142)&gt;=$Y96),$AB96,$AA96)))=Milestones!$AB$142),UPPER(TEXT(EDATE($D96,Milestones!$AA$142),"dd mmm yy"))&amp;" "&amp;Milestones!$AB$142&amp;" "&amp;IF(AND(Milestones!$AB$142="FT",Milestones!$AA$142=FT_Y5,EDATE($D96,Milestones!$AA$142)&lt;PolicyEff),1,Milestones!$AC$142)&amp;";  ","")&amp;IF(AND(EDATE($D96,Milestones!$AA$143)&lt;=AsOfDate,EDATE($D96,Milestones!$AA$143)&gt;=SchemeStart,IF($X96=0,$AD96,IF(AND($Z96&lt;&gt;"",EDATE($D96,Milestones!$AA$143)&gt;=$Z96),$AC96,IF(AND($Y96&lt;&gt;"",EDATE($D96,Milestones!$AA$143)&gt;=$Y96),$AB96,$AA96)))=Milestones!$AB$143),UPPER(TEXT(EDATE($D96,Milestones!$AA$143),"dd mmm yy"))&amp;" "&amp;Milestones!$AB$143&amp;" "&amp;IF(AND(Milestones!$AB$143="FT",Milestones!$AA$143=FT_Y5,EDATE($D96,Milestones!$AA$143)&lt;PolicyEff),1,Milestones!$AC$143)&amp;";  ","")&amp;IF(AND(EDATE($D96,Milestones!$AA$144)&lt;=AsOfDate,EDATE($D96,Milestones!$AA$144)&gt;=SchemeStart,IF($X96=0,$AD96,IF(AND($Z96&lt;&gt;"",EDATE($D96,Milestones!$AA$144)&gt;=$Z96),$AC96,IF(AND($Y96&lt;&gt;"",EDATE($D96,Milestones!$AA$144)&gt;=$Y96),$AB96,$AA96)))=Milestones!$AB$144),UPPER(TEXT(EDATE($D96,Milestones!$AA$144),"dd mmm yy"))&amp;" "&amp;Milestones!$AB$144&amp;" "&amp;IF(AND(Milestones!$AB$144="FT",Milestones!$AA$144=FT_Y5,EDATE($D96,Milestones!$AA$144)&lt;PolicyEff),1,Milestones!$AC$144)&amp;";  ","")&amp;IF(AND(EDATE($D96,Milestones!$AA$145)&lt;=AsOfDate,EDATE($D96,Milestones!$AA$145)&gt;=SchemeStart,IF($X96=0,$AD96,IF(AND($Z96&lt;&gt;"",EDATE($D96,Milestones!$AA$145)&gt;=$Z96),$AC96,IF(AND($Y96&lt;&gt;"",EDATE($D96,Milestones!$AA$145)&gt;=$Y96),$AB96,$AA96)))=Milestones!$AB$145),UPPER(TEXT(EDATE($D96,Milestones!$AA$145),"dd mmm yy"))&amp;" "&amp;Milestones!$AB$145&amp;" "&amp;IF(AND(Milestones!$AB$145="FT",Milestones!$AA$145=FT_Y5,EDATE($D96,Milestones!$AA$145)&lt;PolicyEff),1,Milestones!$AC$145)&amp;";  ","")&amp;IF(AND(EDATE($D96,Milestones!$AA$146)&lt;=AsOfDate,EDATE($D96,Milestones!$AA$146)&gt;=SchemeStart,IF($X96=0,$AD96,IF(AND($Z96&lt;&gt;"",EDATE($D96,Milestones!$AA$146)&gt;=$Z96),$AC96,IF(AND($Y96&lt;&gt;"",EDATE($D96,Milestones!$AA$146)&gt;=$Y96),$AB96,$AA96)))=Milestones!$AB$146),UPPER(TEXT(EDATE($D96,Milestones!$AA$146),"dd mmm yy"))&amp;" "&amp;Milestones!$AB$146&amp;" "&amp;IF(AND(Milestones!$AB$146="FT",Milestones!$AA$146=FT_Y5,EDATE($D96,Milestones!$AA$146)&lt;PolicyEff),1,Milestones!$AC$146)&amp;";  ","")&amp;IF(AND(EDATE($D96,Milestones!$AA$147)&lt;=AsOfDate,EDATE($D96,Milestones!$AA$147)&gt;=SchemeStart,IF($X96=0,$AD96,IF(AND($Z96&lt;&gt;"",EDATE($D96,Milestones!$AA$147)&gt;=$Z96),$AC96,IF(AND($Y96&lt;&gt;"",EDATE($D96,Milestones!$AA$147)&gt;=$Y96),$AB96,$AA96)))=Milestones!$AB$147),UPPER(TEXT(EDATE($D96,Milestones!$AA$147),"dd mmm yy"))&amp;" "&amp;Milestones!$AB$147&amp;" "&amp;IF(AND(Milestones!$AB$147="FT",Milestones!$AA$147=FT_Y5,EDATE($D96,Milestones!$AA$147)&lt;PolicyEff),1,Milestones!$AC$147)&amp;";  ","")&amp;IF(AND(EDATE($D96,Milestones!$AA$148)&lt;=AsOfDate,EDATE($D96,Milestones!$AA$148)&gt;=SchemeStart,IF($X96=0,$AD96,IF(AND($Z96&lt;&gt;"",EDATE($D96,Milestones!$AA$148)&gt;=$Z96),$AC96,IF(AND($Y96&lt;&gt;"",EDATE($D96,Milestones!$AA$148)&gt;=$Y96),$AB96,$AA96)))=Milestones!$AB$148),UPPER(TEXT(EDATE($D96,Milestones!$AA$148),"dd mmm yy"))&amp;" "&amp;Milestones!$AB$148&amp;" "&amp;IF(AND(Milestones!$AB$148="FT",Milestones!$AA$148=FT_Y5,EDATE($D96,Milestones!$AA$148)&lt;PolicyEff),1,Milestones!$AC$148)&amp;";  ","")&amp;IF(AND(EDATE($D96,Milestones!$AA$149)&lt;=AsOfDate,EDATE($D96,Milestones!$AA$149)&gt;=SchemeStart,IF($X96=0,$AD96,IF(AND($Z96&lt;&gt;"",EDATE($D96,Milestones!$AA$149)&gt;=$Z96),$AC96,IF(AND($Y96&lt;&gt;"",EDATE($D96,Milestones!$AA$149)&gt;=$Y96),$AB96,$AA96)))=Milestones!$AB$149),UPPER(TEXT(EDATE($D96,Milestones!$AA$149),"dd mmm yy"))&amp;" "&amp;Milestones!$AB$149&amp;" "&amp;IF(AND(Milestones!$AB$149="FT",Milestones!$AA$149=FT_Y5,EDATE($D96,Milestones!$AA$149)&lt;PolicyEff),1,Milestones!$AC$149)&amp;";  ","")&amp;IF(AND(EDATE($D96,Milestones!$AA$150)&lt;=AsOfDate,EDATE($D96,Milestones!$AA$150)&gt;=SchemeStart,IF($X96=0,$AD96,IF(AND($Z96&lt;&gt;"",EDATE($D96,Milestones!$AA$150)&gt;=$Z96),$AC96,IF(AND($Y96&lt;&gt;"",EDATE($D96,Milestones!$AA$150)&gt;=$Y96),$AB96,$AA96)))=Milestones!$AB$150),UPPER(TEXT(EDATE($D96,Milestones!$AA$150),"dd mmm yy"))&amp;" "&amp;Milestones!$AB$150&amp;" "&amp;IF(AND(Milestones!$AB$150="FT",Milestones!$AA$150=FT_Y5,EDATE($D96,Milestones!$AA$150)&lt;PolicyEff),1,Milestones!$AC$150)&amp;";  ","")&amp;IF(AND(EDATE($D96,Milestones!$AA$151)&lt;=AsOfDate,EDATE($D96,Milestones!$AA$151)&gt;=SchemeStart,IF($X96=0,$AD96,IF(AND($Z96&lt;&gt;"",EDATE($D96,Milestones!$AA$151)&gt;=$Z96),$AC96,IF(AND($Y96&lt;&gt;"",EDATE($D96,Milestones!$AA$151)&gt;=$Y96),$AB96,$AA96)))=Milestones!$AB$151),UPPER(TEXT(EDATE($D96,Milestones!$AA$151),"dd mmm yy"))&amp;" "&amp;Milestones!$AB$151&amp;" "&amp;IF(AND(Milestones!$AB$151="FT",Milestones!$AA$151=FT_Y5,EDATE($D96,Milestones!$AA$151)&lt;PolicyEff),1,Milestones!$AC$151)&amp;";  ",""))</f>
        <v/>
      </c>
      <c r="T96" s="0" t="str">
        <f aca="false">IF(OR($A96="",$D96=""),"",IF(AND(EDATE($D96,Milestones!$AA$152)&lt;=AsOfDate,EDATE($D96,Milestones!$AA$152)&gt;=SchemeStart,IF($X96=0,$AD96,IF(AND($Z96&lt;&gt;"",EDATE($D96,Milestones!$AA$152)&gt;=$Z96),$AC96,IF(AND($Y96&lt;&gt;"",EDATE($D96,Milestones!$AA$152)&gt;=$Y96),$AB96,$AA96)))=Milestones!$AB$152),UPPER(TEXT(EDATE($D96,Milestones!$AA$152),"dd mmm yy"))&amp;" "&amp;Milestones!$AB$152&amp;" "&amp;IF(AND(Milestones!$AB$152="FT",Milestones!$AA$152=FT_Y5,EDATE($D96,Milestones!$AA$152)&lt;PolicyEff),1,Milestones!$AC$152)&amp;";  ","")&amp;IF(AND(EDATE($D96,Milestones!$AA$153)&lt;=AsOfDate,EDATE($D96,Milestones!$AA$153)&gt;=SchemeStart,IF($X96=0,$AD96,IF(AND($Z96&lt;&gt;"",EDATE($D96,Milestones!$AA$153)&gt;=$Z96),$AC96,IF(AND($Y96&lt;&gt;"",EDATE($D96,Milestones!$AA$153)&gt;=$Y96),$AB96,$AA96)))=Milestones!$AB$153),UPPER(TEXT(EDATE($D96,Milestones!$AA$153),"dd mmm yy"))&amp;" "&amp;Milestones!$AB$153&amp;" "&amp;IF(AND(Milestones!$AB$153="FT",Milestones!$AA$153=FT_Y5,EDATE($D96,Milestones!$AA$153)&lt;PolicyEff),1,Milestones!$AC$153)&amp;";  ","")&amp;IF(AND(EDATE($D96,Milestones!$AA$154)&lt;=AsOfDate,EDATE($D96,Milestones!$AA$154)&gt;=SchemeStart,IF($X96=0,$AD96,IF(AND($Z96&lt;&gt;"",EDATE($D96,Milestones!$AA$154)&gt;=$Z96),$AC96,IF(AND($Y96&lt;&gt;"",EDATE($D96,Milestones!$AA$154)&gt;=$Y96),$AB96,$AA96)))=Milestones!$AB$154),UPPER(TEXT(EDATE($D96,Milestones!$AA$154),"dd mmm yy"))&amp;" "&amp;Milestones!$AB$154&amp;" "&amp;IF(AND(Milestones!$AB$154="FT",Milestones!$AA$154=FT_Y5,EDATE($D96,Milestones!$AA$154)&lt;PolicyEff),1,Milestones!$AC$154)&amp;";  ","")&amp;IF(AND(EDATE($D96,Milestones!$AA$155)&lt;=AsOfDate,EDATE($D96,Milestones!$AA$155)&gt;=SchemeStart,IF($X96=0,$AD96,IF(AND($Z96&lt;&gt;"",EDATE($D96,Milestones!$AA$155)&gt;=$Z96),$AC96,IF(AND($Y96&lt;&gt;"",EDATE($D96,Milestones!$AA$155)&gt;=$Y96),$AB96,$AA96)))=Milestones!$AB$155),UPPER(TEXT(EDATE($D96,Milestones!$AA$155),"dd mmm yy"))&amp;" "&amp;Milestones!$AB$155&amp;" "&amp;IF(AND(Milestones!$AB$155="FT",Milestones!$AA$155=FT_Y5,EDATE($D96,Milestones!$AA$155)&lt;PolicyEff),1,Milestones!$AC$155)&amp;";  ","")&amp;IF(AND(EDATE($D96,Milestones!$AA$156)&lt;=AsOfDate,EDATE($D96,Milestones!$AA$156)&gt;=SchemeStart,IF($X96=0,$AD96,IF(AND($Z96&lt;&gt;"",EDATE($D96,Milestones!$AA$156)&gt;=$Z96),$AC96,IF(AND($Y96&lt;&gt;"",EDATE($D96,Milestones!$AA$156)&gt;=$Y96),$AB96,$AA96)))=Milestones!$AB$156),UPPER(TEXT(EDATE($D96,Milestones!$AA$156),"dd mmm yy"))&amp;" "&amp;Milestones!$AB$156&amp;" "&amp;IF(AND(Milestones!$AB$156="FT",Milestones!$AA$156=FT_Y5,EDATE($D96,Milestones!$AA$156)&lt;PolicyEff),1,Milestones!$AC$156)&amp;";  ","")&amp;IF(AND(EDATE($D96,Milestones!$AA$157)&lt;=AsOfDate,EDATE($D96,Milestones!$AA$157)&gt;=SchemeStart,IF($X96=0,$AD96,IF(AND($Z96&lt;&gt;"",EDATE($D96,Milestones!$AA$157)&gt;=$Z96),$AC96,IF(AND($Y96&lt;&gt;"",EDATE($D96,Milestones!$AA$157)&gt;=$Y96),$AB96,$AA96)))=Milestones!$AB$157),UPPER(TEXT(EDATE($D96,Milestones!$AA$157),"dd mmm yy"))&amp;" "&amp;Milestones!$AB$157&amp;" "&amp;IF(AND(Milestones!$AB$157="FT",Milestones!$AA$157=FT_Y5,EDATE($D96,Milestones!$AA$157)&lt;PolicyEff),1,Milestones!$AC$157)&amp;";  ","")&amp;IF(AND(EDATE($D96,Milestones!$AA$158)&lt;=AsOfDate,EDATE($D96,Milestones!$AA$158)&gt;=SchemeStart,IF($X96=0,$AD96,IF(AND($Z96&lt;&gt;"",EDATE($D96,Milestones!$AA$158)&gt;=$Z96),$AC96,IF(AND($Y96&lt;&gt;"",EDATE($D96,Milestones!$AA$158)&gt;=$Y96),$AB96,$AA96)))=Milestones!$AB$158),UPPER(TEXT(EDATE($D96,Milestones!$AA$158),"dd mmm yy"))&amp;" "&amp;Milestones!$AB$158&amp;" "&amp;IF(AND(Milestones!$AB$158="FT",Milestones!$AA$158=FT_Y5,EDATE($D96,Milestones!$AA$158)&lt;PolicyEff),1,Milestones!$AC$158)&amp;";  ","")&amp;IF(AND(EDATE($D96,Milestones!$AA$159)&lt;=AsOfDate,EDATE($D96,Milestones!$AA$159)&gt;=SchemeStart,IF($X96=0,$AD96,IF(AND($Z96&lt;&gt;"",EDATE($D96,Milestones!$AA$159)&gt;=$Z96),$AC96,IF(AND($Y96&lt;&gt;"",EDATE($D96,Milestones!$AA$159)&gt;=$Y96),$AB96,$AA96)))=Milestones!$AB$159),UPPER(TEXT(EDATE($D96,Milestones!$AA$159),"dd mmm yy"))&amp;" "&amp;Milestones!$AB$159&amp;" "&amp;IF(AND(Milestones!$AB$159="FT",Milestones!$AA$159=FT_Y5,EDATE($D96,Milestones!$AA$159)&lt;PolicyEff),1,Milestones!$AC$159)&amp;";  ","")&amp;IF(AND(EDATE($D96,Milestones!$AA$160)&lt;=AsOfDate,EDATE($D96,Milestones!$AA$160)&gt;=SchemeStart,IF($X96=0,$AD96,IF(AND($Z96&lt;&gt;"",EDATE($D96,Milestones!$AA$160)&gt;=$Z96),$AC96,IF(AND($Y96&lt;&gt;"",EDATE($D96,Milestones!$AA$160)&gt;=$Y96),$AB96,$AA96)))=Milestones!$AB$160),UPPER(TEXT(EDATE($D96,Milestones!$AA$160),"dd mmm yy"))&amp;" "&amp;Milestones!$AB$160&amp;" "&amp;IF(AND(Milestones!$AB$160="FT",Milestones!$AA$160=FT_Y5,EDATE($D96,Milestones!$AA$160)&lt;PolicyEff),1,Milestones!$AC$160)&amp;";  ","")&amp;IF(AND(EDATE($D96,Milestones!$AA$161)&lt;=AsOfDate,EDATE($D96,Milestones!$AA$161)&gt;=SchemeStart,IF($X96=0,$AD96,IF(AND($Z96&lt;&gt;"",EDATE($D96,Milestones!$AA$161)&gt;=$Z96),$AC96,IF(AND($Y96&lt;&gt;"",EDATE($D96,Milestones!$AA$161)&gt;=$Y96),$AB96,$AA96)))=Milestones!$AB$161),UPPER(TEXT(EDATE($D96,Milestones!$AA$161),"dd mmm yy"))&amp;" "&amp;Milestones!$AB$161&amp;" "&amp;IF(AND(Milestones!$AB$161="FT",Milestones!$AA$161=FT_Y5,EDATE($D96,Milestones!$AA$161)&lt;PolicyEff),1,Milestones!$AC$161)&amp;";  ","")&amp;IF(AND(EDATE($D96,Milestones!$AA$162)&lt;=AsOfDate,EDATE($D96,Milestones!$AA$162)&gt;=SchemeStart,IF($X96=0,$AD96,IF(AND($Z96&lt;&gt;"",EDATE($D96,Milestones!$AA$162)&gt;=$Z96),$AC96,IF(AND($Y96&lt;&gt;"",EDATE($D96,Milestones!$AA$162)&gt;=$Y96),$AB96,$AA96)))=Milestones!$AB$162),UPPER(TEXT(EDATE($D96,Milestones!$AA$162),"dd mmm yy"))&amp;" "&amp;Milestones!$AB$162&amp;" "&amp;IF(AND(Milestones!$AB$162="FT",Milestones!$AA$162=FT_Y5,EDATE($D96,Milestones!$AA$162)&lt;PolicyEff),1,Milestones!$AC$162)&amp;";  ","")&amp;IF(AND(EDATE($D96,Milestones!$AA$163)&lt;=AsOfDate,EDATE($D96,Milestones!$AA$163)&gt;=SchemeStart,IF($X96=0,$AD96,IF(AND($Z96&lt;&gt;"",EDATE($D96,Milestones!$AA$163)&gt;=$Z96),$AC96,IF(AND($Y96&lt;&gt;"",EDATE($D96,Milestones!$AA$163)&gt;=$Y96),$AB96,$AA96)))=Milestones!$AB$163),UPPER(TEXT(EDATE($D96,Milestones!$AA$163),"dd mmm yy"))&amp;" "&amp;Milestones!$AB$163&amp;" "&amp;IF(AND(Milestones!$AB$163="FT",Milestones!$AA$163=FT_Y5,EDATE($D96,Milestones!$AA$163)&lt;PolicyEff),1,Milestones!$AC$163)&amp;";  ",""))</f>
        <v/>
      </c>
      <c r="U96" s="0" t="str">
        <f aca="false">IF(OR($A96="",$D96=""),"",IF(AND(EDATE($D96,Milestones!$AA$164)&lt;=AsOfDate,EDATE($D96,Milestones!$AA$164)&gt;=SchemeStart,IF($X96=0,$AD96,IF(AND($Z96&lt;&gt;"",EDATE($D96,Milestones!$AA$164)&gt;=$Z96),$AC96,IF(AND($Y96&lt;&gt;"",EDATE($D96,Milestones!$AA$164)&gt;=$Y96),$AB96,$AA96)))=Milestones!$AB$164),UPPER(TEXT(EDATE($D96,Milestones!$AA$164),"dd mmm yy"))&amp;" "&amp;Milestones!$AB$164&amp;" "&amp;IF(AND(Milestones!$AB$164="FT",Milestones!$AA$164=FT_Y5,EDATE($D96,Milestones!$AA$164)&lt;PolicyEff),1,Milestones!$AC$164)&amp;";  ","")&amp;IF(AND(EDATE($D96,Milestones!$AA$165)&lt;=AsOfDate,EDATE($D96,Milestones!$AA$165)&gt;=SchemeStart,IF($X96=0,$AD96,IF(AND($Z96&lt;&gt;"",EDATE($D96,Milestones!$AA$165)&gt;=$Z96),$AC96,IF(AND($Y96&lt;&gt;"",EDATE($D96,Milestones!$AA$165)&gt;=$Y96),$AB96,$AA96)))=Milestones!$AB$165),UPPER(TEXT(EDATE($D96,Milestones!$AA$165),"dd mmm yy"))&amp;" "&amp;Milestones!$AB$165&amp;" "&amp;IF(AND(Milestones!$AB$165="FT",Milestones!$AA$165=FT_Y5,EDATE($D96,Milestones!$AA$165)&lt;PolicyEff),1,Milestones!$AC$165)&amp;";  ","")&amp;IF(AND(EDATE($D96,Milestones!$AA$166)&lt;=AsOfDate,EDATE($D96,Milestones!$AA$166)&gt;=SchemeStart,IF($X96=0,$AD96,IF(AND($Z96&lt;&gt;"",EDATE($D96,Milestones!$AA$166)&gt;=$Z96),$AC96,IF(AND($Y96&lt;&gt;"",EDATE($D96,Milestones!$AA$166)&gt;=$Y96),$AB96,$AA96)))=Milestones!$AB$166),UPPER(TEXT(EDATE($D96,Milestones!$AA$166),"dd mmm yy"))&amp;" "&amp;Milestones!$AB$166&amp;" "&amp;IF(AND(Milestones!$AB$166="FT",Milestones!$AA$166=FT_Y5,EDATE($D96,Milestones!$AA$166)&lt;PolicyEff),1,Milestones!$AC$166)&amp;";  ","")&amp;IF(AND(EDATE($D96,Milestones!$AA$167)&lt;=AsOfDate,EDATE($D96,Milestones!$AA$167)&gt;=SchemeStart,IF($X96=0,$AD96,IF(AND($Z96&lt;&gt;"",EDATE($D96,Milestones!$AA$167)&gt;=$Z96),$AC96,IF(AND($Y96&lt;&gt;"",EDATE($D96,Milestones!$AA$167)&gt;=$Y96),$AB96,$AA96)))=Milestones!$AB$167),UPPER(TEXT(EDATE($D96,Milestones!$AA$167),"dd mmm yy"))&amp;" "&amp;Milestones!$AB$167&amp;" "&amp;IF(AND(Milestones!$AB$167="FT",Milestones!$AA$167=FT_Y5,EDATE($D96,Milestones!$AA$167)&lt;PolicyEff),1,Milestones!$AC$167)&amp;";  ","")&amp;IF(AND(EDATE($D96,Milestones!$AA$168)&lt;=AsOfDate,EDATE($D96,Milestones!$AA$168)&gt;=SchemeStart,IF($X96=0,$AD96,IF(AND($Z96&lt;&gt;"",EDATE($D96,Milestones!$AA$168)&gt;=$Z96),$AC96,IF(AND($Y96&lt;&gt;"",EDATE($D96,Milestones!$AA$168)&gt;=$Y96),$AB96,$AA96)))=Milestones!$AB$168),UPPER(TEXT(EDATE($D96,Milestones!$AA$168),"dd mmm yy"))&amp;" "&amp;Milestones!$AB$168&amp;" "&amp;IF(AND(Milestones!$AB$168="FT",Milestones!$AA$168=FT_Y5,EDATE($D96,Milestones!$AA$168)&lt;PolicyEff),1,Milestones!$AC$168)&amp;";  ","")&amp;IF(AND(EDATE($D96,Milestones!$AA$169)&lt;=AsOfDate,EDATE($D96,Milestones!$AA$169)&gt;=SchemeStart,IF($X96=0,$AD96,IF(AND($Z96&lt;&gt;"",EDATE($D96,Milestones!$AA$169)&gt;=$Z96),$AC96,IF(AND($Y96&lt;&gt;"",EDATE($D96,Milestones!$AA$169)&gt;=$Y96),$AB96,$AA96)))=Milestones!$AB$169),UPPER(TEXT(EDATE($D96,Milestones!$AA$169),"dd mmm yy"))&amp;" "&amp;Milestones!$AB$169&amp;" "&amp;IF(AND(Milestones!$AB$169="FT",Milestones!$AA$169=FT_Y5,EDATE($D96,Milestones!$AA$169)&lt;PolicyEff),1,Milestones!$AC$169)&amp;";  ","")&amp;IF(AND(EDATE($D96,Milestones!$AA$170)&lt;=AsOfDate,EDATE($D96,Milestones!$AA$170)&gt;=SchemeStart,IF($X96=0,$AD96,IF(AND($Z96&lt;&gt;"",EDATE($D96,Milestones!$AA$170)&gt;=$Z96),$AC96,IF(AND($Y96&lt;&gt;"",EDATE($D96,Milestones!$AA$170)&gt;=$Y96),$AB96,$AA96)))=Milestones!$AB$170),UPPER(TEXT(EDATE($D96,Milestones!$AA$170),"dd mmm yy"))&amp;" "&amp;Milestones!$AB$170&amp;" "&amp;IF(AND(Milestones!$AB$170="FT",Milestones!$AA$170=FT_Y5,EDATE($D96,Milestones!$AA$170)&lt;PolicyEff),1,Milestones!$AC$170)&amp;";  ","")&amp;IF(AND(EDATE($D96,Milestones!$AA$171)&lt;=AsOfDate,EDATE($D96,Milestones!$AA$171)&gt;=SchemeStart,IF($X96=0,$AD96,IF(AND($Z96&lt;&gt;"",EDATE($D96,Milestones!$AA$171)&gt;=$Z96),$AC96,IF(AND($Y96&lt;&gt;"",EDATE($D96,Milestones!$AA$171)&gt;=$Y96),$AB96,$AA96)))=Milestones!$AB$171),UPPER(TEXT(EDATE($D96,Milestones!$AA$171),"dd mmm yy"))&amp;" "&amp;Milestones!$AB$171&amp;" "&amp;IF(AND(Milestones!$AB$171="FT",Milestones!$AA$171=FT_Y5,EDATE($D96,Milestones!$AA$171)&lt;PolicyEff),1,Milestones!$AC$171)&amp;";  ","")&amp;IF(AND(EDATE($D96,Milestones!$AA$172)&lt;=AsOfDate,EDATE($D96,Milestones!$AA$172)&gt;=SchemeStart,IF($X96=0,$AD96,IF(AND($Z96&lt;&gt;"",EDATE($D96,Milestones!$AA$172)&gt;=$Z96),$AC96,IF(AND($Y96&lt;&gt;"",EDATE($D96,Milestones!$AA$172)&gt;=$Y96),$AB96,$AA96)))=Milestones!$AB$172),UPPER(TEXT(EDATE($D96,Milestones!$AA$172),"dd mmm yy"))&amp;" "&amp;Milestones!$AB$172&amp;" "&amp;IF(AND(Milestones!$AB$172="FT",Milestones!$AA$172=FT_Y5,EDATE($D96,Milestones!$AA$172)&lt;PolicyEff),1,Milestones!$AC$172)&amp;";  ","")&amp;IF(AND(EDATE($D96,Milestones!$AA$173)&lt;=AsOfDate,EDATE($D96,Milestones!$AA$173)&gt;=SchemeStart,IF($X96=0,$AD96,IF(AND($Z96&lt;&gt;"",EDATE($D96,Milestones!$AA$173)&gt;=$Z96),$AC96,IF(AND($Y96&lt;&gt;"",EDATE($D96,Milestones!$AA$173)&gt;=$Y96),$AB96,$AA96)))=Milestones!$AB$173),UPPER(TEXT(EDATE($D96,Milestones!$AA$173),"dd mmm yy"))&amp;" "&amp;Milestones!$AB$173&amp;" "&amp;IF(AND(Milestones!$AB$173="FT",Milestones!$AA$173=FT_Y5,EDATE($D96,Milestones!$AA$173)&lt;PolicyEff),1,Milestones!$AC$173)&amp;";  ","")&amp;IF(AND(EDATE($D96,Milestones!$AA$174)&lt;=AsOfDate,EDATE($D96,Milestones!$AA$174)&gt;=SchemeStart,IF($X96=0,$AD96,IF(AND($Z96&lt;&gt;"",EDATE($D96,Milestones!$AA$174)&gt;=$Z96),$AC96,IF(AND($Y96&lt;&gt;"",EDATE($D96,Milestones!$AA$174)&gt;=$Y96),$AB96,$AA96)))=Milestones!$AB$174),UPPER(TEXT(EDATE($D96,Milestones!$AA$174),"dd mmm yy"))&amp;" "&amp;Milestones!$AB$174&amp;" "&amp;IF(AND(Milestones!$AB$174="FT",Milestones!$AA$174=FT_Y5,EDATE($D96,Milestones!$AA$174)&lt;PolicyEff),1,Milestones!$AC$174)&amp;";  ","")&amp;IF(AND(EDATE($D96,Milestones!$AA$175)&lt;=AsOfDate,EDATE($D96,Milestones!$AA$175)&gt;=SchemeStart,IF($X96=0,$AD96,IF(AND($Z96&lt;&gt;"",EDATE($D96,Milestones!$AA$175)&gt;=$Z96),$AC96,IF(AND($Y96&lt;&gt;"",EDATE($D96,Milestones!$AA$175)&gt;=$Y96),$AB96,$AA96)))=Milestones!$AB$175),UPPER(TEXT(EDATE($D96,Milestones!$AA$175),"dd mmm yy"))&amp;" "&amp;Milestones!$AB$175&amp;" "&amp;IF(AND(Milestones!$AB$175="FT",Milestones!$AA$175=FT_Y5,EDATE($D96,Milestones!$AA$175)&lt;PolicyEff),1,Milestones!$AC$175)&amp;";  ",""))</f>
        <v/>
      </c>
      <c r="V96" s="0" t="str">
        <f aca="false">IF(OR($A96="",$D96=""),"",IF(AND(EDATE($D96,Milestones!$AA$176)&lt;=AsOfDate,EDATE($D96,Milestones!$AA$176)&gt;=SchemeStart,IF($X96=0,$AD96,IF(AND($Z96&lt;&gt;"",EDATE($D96,Milestones!$AA$176)&gt;=$Z96),$AC96,IF(AND($Y96&lt;&gt;"",EDATE($D96,Milestones!$AA$176)&gt;=$Y96),$AB96,$AA96)))=Milestones!$AB$176),UPPER(TEXT(EDATE($D96,Milestones!$AA$176),"dd mmm yy"))&amp;" "&amp;Milestones!$AB$176&amp;" "&amp;IF(AND(Milestones!$AB$176="FT",Milestones!$AA$176=FT_Y5,EDATE($D96,Milestones!$AA$176)&lt;PolicyEff),1,Milestones!$AC$176)&amp;";  ","")&amp;IF(AND(EDATE($D96,Milestones!$AA$177)&lt;=AsOfDate,EDATE($D96,Milestones!$AA$177)&gt;=SchemeStart,IF($X96=0,$AD96,IF(AND($Z96&lt;&gt;"",EDATE($D96,Milestones!$AA$177)&gt;=$Z96),$AC96,IF(AND($Y96&lt;&gt;"",EDATE($D96,Milestones!$AA$177)&gt;=$Y96),$AB96,$AA96)))=Milestones!$AB$177),UPPER(TEXT(EDATE($D96,Milestones!$AA$177),"dd mmm yy"))&amp;" "&amp;Milestones!$AB$177&amp;" "&amp;IF(AND(Milestones!$AB$177="FT",Milestones!$AA$177=FT_Y5,EDATE($D96,Milestones!$AA$177)&lt;PolicyEff),1,Milestones!$AC$177)&amp;";  ","")&amp;IF(AND(EDATE($D96,Milestones!$AA$178)&lt;=AsOfDate,EDATE($D96,Milestones!$AA$178)&gt;=SchemeStart,IF($X96=0,$AD96,IF(AND($Z96&lt;&gt;"",EDATE($D96,Milestones!$AA$178)&gt;=$Z96),$AC96,IF(AND($Y96&lt;&gt;"",EDATE($D96,Milestones!$AA$178)&gt;=$Y96),$AB96,$AA96)))=Milestones!$AB$178),UPPER(TEXT(EDATE($D96,Milestones!$AA$178),"dd mmm yy"))&amp;" "&amp;Milestones!$AB$178&amp;" "&amp;IF(AND(Milestones!$AB$178="FT",Milestones!$AA$178=FT_Y5,EDATE($D96,Milestones!$AA$178)&lt;PolicyEff),1,Milestones!$AC$178)&amp;";  ","")&amp;IF(AND(EDATE($D96,Milestones!$AA$179)&lt;=AsOfDate,EDATE($D96,Milestones!$AA$179)&gt;=SchemeStart,IF($X96=0,$AD96,IF(AND($Z96&lt;&gt;"",EDATE($D96,Milestones!$AA$179)&gt;=$Z96),$AC96,IF(AND($Y96&lt;&gt;"",EDATE($D96,Milestones!$AA$179)&gt;=$Y96),$AB96,$AA96)))=Milestones!$AB$179),UPPER(TEXT(EDATE($D96,Milestones!$AA$179),"dd mmm yy"))&amp;" "&amp;Milestones!$AB$179&amp;" "&amp;IF(AND(Milestones!$AB$179="FT",Milestones!$AA$179=FT_Y5,EDATE($D96,Milestones!$AA$179)&lt;PolicyEff),1,Milestones!$AC$179)&amp;";  ","")&amp;IF(AND(EDATE($D96,Milestones!$AA$180)&lt;=AsOfDate,EDATE($D96,Milestones!$AA$180)&gt;=SchemeStart,IF($X96=0,$AD96,IF(AND($Z96&lt;&gt;"",EDATE($D96,Milestones!$AA$180)&gt;=$Z96),$AC96,IF(AND($Y96&lt;&gt;"",EDATE($D96,Milestones!$AA$180)&gt;=$Y96),$AB96,$AA96)))=Milestones!$AB$180),UPPER(TEXT(EDATE($D96,Milestones!$AA$180),"dd mmm yy"))&amp;" "&amp;Milestones!$AB$180&amp;" "&amp;IF(AND(Milestones!$AB$180="FT",Milestones!$AA$180=FT_Y5,EDATE($D96,Milestones!$AA$180)&lt;PolicyEff),1,Milestones!$AC$180)&amp;";  ","")&amp;IF(AND(EDATE($D96,Milestones!$AA$181)&lt;=AsOfDate,EDATE($D96,Milestones!$AA$181)&gt;=SchemeStart,IF($X96=0,$AD96,IF(AND($Z96&lt;&gt;"",EDATE($D96,Milestones!$AA$181)&gt;=$Z96),$AC96,IF(AND($Y96&lt;&gt;"",EDATE($D96,Milestones!$AA$181)&gt;=$Y96),$AB96,$AA96)))=Milestones!$AB$181),UPPER(TEXT(EDATE($D96,Milestones!$AA$181),"dd mmm yy"))&amp;" "&amp;Milestones!$AB$181&amp;" "&amp;IF(AND(Milestones!$AB$181="FT",Milestones!$AA$181=FT_Y5,EDATE($D96,Milestones!$AA$181)&lt;PolicyEff),1,Milestones!$AC$181)&amp;";  ","")&amp;IF(AND(EDATE($D96,Milestones!$AA$182)&lt;=AsOfDate,EDATE($D96,Milestones!$AA$182)&gt;=SchemeStart,IF($X96=0,$AD96,IF(AND($Z96&lt;&gt;"",EDATE($D96,Milestones!$AA$182)&gt;=$Z96),$AC96,IF(AND($Y96&lt;&gt;"",EDATE($D96,Milestones!$AA$182)&gt;=$Y96),$AB96,$AA96)))=Milestones!$AB$182),UPPER(TEXT(EDATE($D96,Milestones!$AA$182),"dd mmm yy"))&amp;" "&amp;Milestones!$AB$182&amp;" "&amp;IF(AND(Milestones!$AB$182="FT",Milestones!$AA$182=FT_Y5,EDATE($D96,Milestones!$AA$182)&lt;PolicyEff),1,Milestones!$AC$182)&amp;";  ","")&amp;IF(AND(EDATE($D96,Milestones!$AA$183)&lt;=AsOfDate,EDATE($D96,Milestones!$AA$183)&gt;=SchemeStart,IF($X96=0,$AD96,IF(AND($Z96&lt;&gt;"",EDATE($D96,Milestones!$AA$183)&gt;=$Z96),$AC96,IF(AND($Y96&lt;&gt;"",EDATE($D96,Milestones!$AA$183)&gt;=$Y96),$AB96,$AA96)))=Milestones!$AB$183),UPPER(TEXT(EDATE($D96,Milestones!$AA$183),"dd mmm yy"))&amp;" "&amp;Milestones!$AB$183&amp;" "&amp;IF(AND(Milestones!$AB$183="FT",Milestones!$AA$183=FT_Y5,EDATE($D96,Milestones!$AA$183)&lt;PolicyEff),1,Milestones!$AC$183)&amp;";  ","")&amp;IF(AND(EDATE($D96,Milestones!$AA$184)&lt;=AsOfDate,EDATE($D96,Milestones!$AA$184)&gt;=SchemeStart,IF($X96=0,$AD96,IF(AND($Z96&lt;&gt;"",EDATE($D96,Milestones!$AA$184)&gt;=$Z96),$AC96,IF(AND($Y96&lt;&gt;"",EDATE($D96,Milestones!$AA$184)&gt;=$Y96),$AB96,$AA96)))=Milestones!$AB$184),UPPER(TEXT(EDATE($D96,Milestones!$AA$184),"dd mmm yy"))&amp;" "&amp;Milestones!$AB$184&amp;" "&amp;IF(AND(Milestones!$AB$184="FT",Milestones!$AA$184=FT_Y5,EDATE($D96,Milestones!$AA$184)&lt;PolicyEff),1,Milestones!$AC$184)&amp;";  ","")&amp;IF(AND(EDATE($D96,Milestones!$AA$185)&lt;=AsOfDate,EDATE($D96,Milestones!$AA$185)&gt;=SchemeStart,IF($X96=0,$AD96,IF(AND($Z96&lt;&gt;"",EDATE($D96,Milestones!$AA$185)&gt;=$Z96),$AC96,IF(AND($Y96&lt;&gt;"",EDATE($D96,Milestones!$AA$185)&gt;=$Y96),$AB96,$AA96)))=Milestones!$AB$185),UPPER(TEXT(EDATE($D96,Milestones!$AA$185),"dd mmm yy"))&amp;" "&amp;Milestones!$AB$185&amp;" "&amp;IF(AND(Milestones!$AB$185="FT",Milestones!$AA$185=FT_Y5,EDATE($D96,Milestones!$AA$185)&lt;PolicyEff),1,Milestones!$AC$185)&amp;";  ","")&amp;IF(AND(EDATE($D96,Milestones!$AA$186)&lt;=AsOfDate,EDATE($D96,Milestones!$AA$186)&gt;=SchemeStart,IF($X96=0,$AD96,IF(AND($Z96&lt;&gt;"",EDATE($D96,Milestones!$AA$186)&gt;=$Z96),$AC96,IF(AND($Y96&lt;&gt;"",EDATE($D96,Milestones!$AA$186)&gt;=$Y96),$AB96,$AA96)))=Milestones!$AB$186),UPPER(TEXT(EDATE($D96,Milestones!$AA$186),"dd mmm yy"))&amp;" "&amp;Milestones!$AB$186&amp;" "&amp;IF(AND(Milestones!$AB$186="FT",Milestones!$AA$186=FT_Y5,EDATE($D96,Milestones!$AA$186)&lt;PolicyEff),1,Milestones!$AC$186)&amp;";  ","")&amp;IF(AND(EDATE($D96,Milestones!$AA$187)&lt;=AsOfDate,EDATE($D96,Milestones!$AA$187)&gt;=SchemeStart,IF($X96=0,$AD96,IF(AND($Z96&lt;&gt;"",EDATE($D96,Milestones!$AA$187)&gt;=$Z96),$AC96,IF(AND($Y96&lt;&gt;"",EDATE($D96,Milestones!$AA$187)&gt;=$Y96),$AB96,$AA96)))=Milestones!$AB$187),UPPER(TEXT(EDATE($D96,Milestones!$AA$187),"dd mmm yy"))&amp;" "&amp;Milestones!$AB$187&amp;" "&amp;IF(AND(Milestones!$AB$187="FT",Milestones!$AA$187=FT_Y5,EDATE($D96,Milestones!$AA$187)&lt;PolicyEff),1,Milestones!$AC$187)&amp;";  ",""))</f>
        <v/>
      </c>
      <c r="W96" s="0" t="str">
        <f aca="false">IF(OR($A96="",$D96=""),"",IF(AND(EDATE($D96,Milestones!$AA$188)&lt;=AsOfDate,EDATE($D96,Milestones!$AA$188)&gt;=SchemeStart,IF($X96=0,$AD96,IF(AND($Z96&lt;&gt;"",EDATE($D96,Milestones!$AA$188)&gt;=$Z96),$AC96,IF(AND($Y96&lt;&gt;"",EDATE($D96,Milestones!$AA$188)&gt;=$Y96),$AB96,$AA96)))=Milestones!$AB$188),UPPER(TEXT(EDATE($D96,Milestones!$AA$188),"dd mmm yy"))&amp;" "&amp;Milestones!$AB$188&amp;" "&amp;IF(AND(Milestones!$AB$188="FT",Milestones!$AA$188=FT_Y5,EDATE($D96,Milestones!$AA$188)&lt;PolicyEff),1,Milestones!$AC$188)&amp;";  ","")&amp;IF(AND(EDATE($D96,Milestones!$AA$189)&lt;=AsOfDate,EDATE($D96,Milestones!$AA$189)&gt;=SchemeStart,IF($X96=0,$AD96,IF(AND($Z96&lt;&gt;"",EDATE($D96,Milestones!$AA$189)&gt;=$Z96),$AC96,IF(AND($Y96&lt;&gt;"",EDATE($D96,Milestones!$AA$189)&gt;=$Y96),$AB96,$AA96)))=Milestones!$AB$189),UPPER(TEXT(EDATE($D96,Milestones!$AA$189),"dd mmm yy"))&amp;" "&amp;Milestones!$AB$189&amp;" "&amp;IF(AND(Milestones!$AB$189="FT",Milestones!$AA$189=FT_Y5,EDATE($D96,Milestones!$AA$189)&lt;PolicyEff),1,Milestones!$AC$189)&amp;";  ","")&amp;IF(AND(EDATE($D96,Milestones!$AA$190)&lt;=AsOfDate,EDATE($D96,Milestones!$AA$190)&gt;=SchemeStart,IF($X96=0,$AD96,IF(AND($Z96&lt;&gt;"",EDATE($D96,Milestones!$AA$190)&gt;=$Z96),$AC96,IF(AND($Y96&lt;&gt;"",EDATE($D96,Milestones!$AA$190)&gt;=$Y96),$AB96,$AA96)))=Milestones!$AB$190),UPPER(TEXT(EDATE($D96,Milestones!$AA$190),"dd mmm yy"))&amp;" "&amp;Milestones!$AB$190&amp;" "&amp;IF(AND(Milestones!$AB$190="FT",Milestones!$AA$190=FT_Y5,EDATE($D96,Milestones!$AA$190)&lt;PolicyEff),1,Milestones!$AC$190)&amp;";  ","")&amp;IF(AND(EDATE($D96,Milestones!$AA$191)&lt;=AsOfDate,EDATE($D96,Milestones!$AA$191)&gt;=SchemeStart,IF($X96=0,$AD96,IF(AND($Z96&lt;&gt;"",EDATE($D96,Milestones!$AA$191)&gt;=$Z96),$AC96,IF(AND($Y96&lt;&gt;"",EDATE($D96,Milestones!$AA$191)&gt;=$Y96),$AB96,$AA96)))=Milestones!$AB$191),UPPER(TEXT(EDATE($D96,Milestones!$AA$191),"dd mmm yy"))&amp;" "&amp;Milestones!$AB$191&amp;" "&amp;IF(AND(Milestones!$AB$191="FT",Milestones!$AA$191=FT_Y5,EDATE($D96,Milestones!$AA$191)&lt;PolicyEff),1,Milestones!$AC$191)&amp;";  ","")&amp;IF(AND(EDATE($D96,Milestones!$AA$192)&lt;=AsOfDate,EDATE($D96,Milestones!$AA$192)&gt;=SchemeStart,IF($X96=0,$AD96,IF(AND($Z96&lt;&gt;"",EDATE($D96,Milestones!$AA$192)&gt;=$Z96),$AC96,IF(AND($Y96&lt;&gt;"",EDATE($D96,Milestones!$AA$192)&gt;=$Y96),$AB96,$AA96)))=Milestones!$AB$192),UPPER(TEXT(EDATE($D96,Milestones!$AA$192),"dd mmm yy"))&amp;" "&amp;Milestones!$AB$192&amp;" "&amp;IF(AND(Milestones!$AB$192="FT",Milestones!$AA$192=FT_Y5,EDATE($D96,Milestones!$AA$192)&lt;PolicyEff),1,Milestones!$AC$192)&amp;";  ","")&amp;IF(AND(EDATE($D96,Milestones!$AA$193)&lt;=AsOfDate,EDATE($D96,Milestones!$AA$193)&gt;=SchemeStart,IF($X96=0,$AD96,IF(AND($Z96&lt;&gt;"",EDATE($D96,Milestones!$AA$193)&gt;=$Z96),$AC96,IF(AND($Y96&lt;&gt;"",EDATE($D96,Milestones!$AA$193)&gt;=$Y96),$AB96,$AA96)))=Milestones!$AB$193),UPPER(TEXT(EDATE($D96,Milestones!$AA$193),"dd mmm yy"))&amp;" "&amp;Milestones!$AB$193&amp;" "&amp;IF(AND(Milestones!$AB$193="FT",Milestones!$AA$193=FT_Y5,EDATE($D96,Milestones!$AA$193)&lt;PolicyEff),1,Milestones!$AC$193)&amp;";  ","")&amp;IF(AND(EDATE($D96,Milestones!$AA$194)&lt;=AsOfDate,EDATE($D96,Milestones!$AA$194)&gt;=SchemeStart,IF($X96=0,$AD96,IF(AND($Z96&lt;&gt;"",EDATE($D96,Milestones!$AA$194)&gt;=$Z96),$AC96,IF(AND($Y96&lt;&gt;"",EDATE($D96,Milestones!$AA$194)&gt;=$Y96),$AB96,$AA96)))=Milestones!$AB$194),UPPER(TEXT(EDATE($D96,Milestones!$AA$194),"dd mmm yy"))&amp;" "&amp;Milestones!$AB$194&amp;" "&amp;IF(AND(Milestones!$AB$194="FT",Milestones!$AA$194=FT_Y5,EDATE($D96,Milestones!$AA$194)&lt;PolicyEff),1,Milestones!$AC$194)&amp;";  ","")&amp;IF(AND(EDATE($D96,Milestones!$AA$195)&lt;=AsOfDate,EDATE($D96,Milestones!$AA$195)&gt;=SchemeStart,IF($X96=0,$AD96,IF(AND($Z96&lt;&gt;"",EDATE($D96,Milestones!$AA$195)&gt;=$Z96),$AC96,IF(AND($Y96&lt;&gt;"",EDATE($D96,Milestones!$AA$195)&gt;=$Y96),$AB96,$AA96)))=Milestones!$AB$195),UPPER(TEXT(EDATE($D96,Milestones!$AA$195),"dd mmm yy"))&amp;" "&amp;Milestones!$AB$195&amp;" "&amp;IF(AND(Milestones!$AB$195="FT",Milestones!$AA$195=FT_Y5,EDATE($D96,Milestones!$AA$195)&lt;PolicyEff),1,Milestones!$AC$195)&amp;";  ","")&amp;IF(AND(EDATE($D96,Milestones!$AA$196)&lt;=AsOfDate,EDATE($D96,Milestones!$AA$196)&gt;=SchemeStart,IF($X96=0,$AD96,IF(AND($Z96&lt;&gt;"",EDATE($D96,Milestones!$AA$196)&gt;=$Z96),$AC96,IF(AND($Y96&lt;&gt;"",EDATE($D96,Milestones!$AA$196)&gt;=$Y96),$AB96,$AA96)))=Milestones!$AB$196),UPPER(TEXT(EDATE($D96,Milestones!$AA$196),"dd mmm yy"))&amp;" "&amp;Milestones!$AB$196&amp;" "&amp;IF(AND(Milestones!$AB$196="FT",Milestones!$AA$196=FT_Y5,EDATE($D96,Milestones!$AA$196)&lt;PolicyEff),1,Milestones!$AC$196)&amp;";  ","")&amp;IF(AND(EDATE($D96,Milestones!$AA$197)&lt;=AsOfDate,EDATE($D96,Milestones!$AA$197)&gt;=SchemeStart,IF($X96=0,$AD96,IF(AND($Z96&lt;&gt;"",EDATE($D96,Milestones!$AA$197)&gt;=$Z96),$AC96,IF(AND($Y96&lt;&gt;"",EDATE($D96,Milestones!$AA$197)&gt;=$Y96),$AB96,$AA96)))=Milestones!$AB$197),UPPER(TEXT(EDATE($D96,Milestones!$AA$197),"dd mmm yy"))&amp;" "&amp;Milestones!$AB$197&amp;" "&amp;IF(AND(Milestones!$AB$197="FT",Milestones!$AA$197=FT_Y5,EDATE($D96,Milestones!$AA$197)&lt;PolicyEff),1,Milestones!$AC$197)&amp;";  ","")&amp;IF(AND(EDATE($D96,Milestones!$AA$198)&lt;=AsOfDate,EDATE($D96,Milestones!$AA$198)&gt;=SchemeStart,IF($X96=0,$AD96,IF(AND($Z96&lt;&gt;"",EDATE($D96,Milestones!$AA$198)&gt;=$Z96),$AC96,IF(AND($Y96&lt;&gt;"",EDATE($D96,Milestones!$AA$198)&gt;=$Y96),$AB96,$AA96)))=Milestones!$AB$198),UPPER(TEXT(EDATE($D96,Milestones!$AA$198),"dd mmm yy"))&amp;" "&amp;Milestones!$AB$198&amp;" "&amp;IF(AND(Milestones!$AB$198="FT",Milestones!$AA$198=FT_Y5,EDATE($D96,Milestones!$AA$198)&lt;PolicyEff),1,Milestones!$AC$198)&amp;";  ","")&amp;IF(AND(EDATE($D96,Milestones!$AA$199)&lt;=AsOfDate,EDATE($D96,Milestones!$AA$199)&gt;=SchemeStart,IF($X96=0,$AD96,IF(AND($Z96&lt;&gt;"",EDATE($D96,Milestones!$AA$199)&gt;=$Z96),$AC96,IF(AND($Y96&lt;&gt;"",EDATE($D96,Milestones!$AA$199)&gt;=$Y96),$AB96,$AA96)))=Milestones!$AB$199),UPPER(TEXT(EDATE($D96,Milestones!$AA$199),"dd mmm yy"))&amp;" "&amp;Milestones!$AB$199&amp;" "&amp;IF(AND(Milestones!$AB$199="FT",Milestones!$AA$199=FT_Y5,EDATE($D96,Milestones!$AA$199)&lt;PolicyEff),1,Milestones!$AC$199)&amp;";  ",""))</f>
        <v/>
      </c>
      <c r="X96" s="0" t="str">
        <f aca="false">IF(Staff!$A96="","",Staff!$AM96)</f>
        <v/>
      </c>
      <c r="Y96" s="0" t="str">
        <f aca="false">IF(Staff!$A96="","",Staff!$AO96)</f>
        <v/>
      </c>
      <c r="Z96" s="0" t="str">
        <f aca="false">IF(Staff!$A96="","",Staff!$AP96)</f>
        <v/>
      </c>
      <c r="AA96" s="0" t="str">
        <f aca="false">IF(Staff!$A96="","",Staff!$AT96)</f>
        <v/>
      </c>
      <c r="AB96" s="0" t="str">
        <f aca="false">IF(Staff!$A96="","",Staff!$AU96)</f>
        <v/>
      </c>
      <c r="AC96" s="0" t="str">
        <f aca="false">IF(Staff!$A96="","",Staff!$AV96)</f>
        <v/>
      </c>
      <c r="AD96" s="0" t="str">
        <f aca="false">IF(Staff!$A96="","",Staff!$AW96)</f>
        <v/>
      </c>
    </row>
    <row r="97" customFormat="false" ht="15" hidden="false" customHeight="false" outlineLevel="0" collapsed="false">
      <c r="A97" s="16" t="str">
        <f aca="false">IF(Staff!$A97="","",Staff!$A97)</f>
        <v/>
      </c>
      <c r="B97" s="16" t="str">
        <f aca="false">IF(Staff!$A97="","",Staff!$B97)</f>
        <v/>
      </c>
      <c r="C97" s="16" t="str">
        <f aca="false">IF(Staff!$A97="","",Staff!$C97)</f>
        <v/>
      </c>
      <c r="D97" s="14" t="str">
        <f aca="false">IF(Staff!$A97="","",Staff!$AL97)</f>
        <v/>
      </c>
      <c r="E97" s="16" t="str">
        <f aca="false">IF(Staff!$A97="","",Staff!$O97)</f>
        <v/>
      </c>
      <c r="F97" s="16" t="str">
        <f aca="false">IF(E97="","",E97*HoursPerDay)</f>
        <v/>
      </c>
      <c r="G97" s="16" t="str">
        <f aca="false">IF(Staff!$A97="","",Staff!$AE97)</f>
        <v/>
      </c>
      <c r="H97" s="28" t="str">
        <f aca="false">IF($A97="","",I97&amp;J97&amp;K97&amp;L97&amp;M97&amp;N97&amp;O97&amp;P97&amp;Q97&amp;R97&amp;S97&amp;T97&amp;U97&amp;V97&amp;W97)</f>
        <v/>
      </c>
      <c r="I97" s="0" t="str">
        <f aca="false">IF(OR($A97="",$D97=""),"",IF(AND(EDATE($D97,Milestones!$AA$20)&lt;=AsOfDate,EDATE($D97,Milestones!$AA$20)&gt;=SchemeStart,IF($X97=0,$AD97,IF(AND($Z97&lt;&gt;"",EDATE($D97,Milestones!$AA$20)&gt;=$Z97),$AC97,IF(AND($Y97&lt;&gt;"",EDATE($D97,Milestones!$AA$20)&gt;=$Y97),$AB97,$AA97)))=Milestones!$AB$20),UPPER(TEXT(EDATE($D97,Milestones!$AA$20),"dd mmm yy"))&amp;" "&amp;Milestones!$AB$20&amp;" "&amp;IF(AND(Milestones!$AB$20="FT",Milestones!$AA$20=FT_Y5,EDATE($D97,Milestones!$AA$20)&lt;PolicyEff),1,Milestones!$AC$20)&amp;";  ","")&amp;IF(AND(EDATE($D97,Milestones!$AA$21)&lt;=AsOfDate,EDATE($D97,Milestones!$AA$21)&gt;=SchemeStart,IF($X97=0,$AD97,IF(AND($Z97&lt;&gt;"",EDATE($D97,Milestones!$AA$21)&gt;=$Z97),$AC97,IF(AND($Y97&lt;&gt;"",EDATE($D97,Milestones!$AA$21)&gt;=$Y97),$AB97,$AA97)))=Milestones!$AB$21),UPPER(TEXT(EDATE($D97,Milestones!$AA$21),"dd mmm yy"))&amp;" "&amp;Milestones!$AB$21&amp;" "&amp;IF(AND(Milestones!$AB$21="FT",Milestones!$AA$21=FT_Y5,EDATE($D97,Milestones!$AA$21)&lt;PolicyEff),1,Milestones!$AC$21)&amp;";  ","")&amp;IF(AND(EDATE($D97,Milestones!$AA$22)&lt;=AsOfDate,EDATE($D97,Milestones!$AA$22)&gt;=SchemeStart,IF($X97=0,$AD97,IF(AND($Z97&lt;&gt;"",EDATE($D97,Milestones!$AA$22)&gt;=$Z97),$AC97,IF(AND($Y97&lt;&gt;"",EDATE($D97,Milestones!$AA$22)&gt;=$Y97),$AB97,$AA97)))=Milestones!$AB$22),UPPER(TEXT(EDATE($D97,Milestones!$AA$22),"dd mmm yy"))&amp;" "&amp;Milestones!$AB$22&amp;" "&amp;IF(AND(Milestones!$AB$22="FT",Milestones!$AA$22=FT_Y5,EDATE($D97,Milestones!$AA$22)&lt;PolicyEff),1,Milestones!$AC$22)&amp;";  ","")&amp;IF(AND(EDATE($D97,Milestones!$AA$23)&lt;=AsOfDate,EDATE($D97,Milestones!$AA$23)&gt;=SchemeStart,IF($X97=0,$AD97,IF(AND($Z97&lt;&gt;"",EDATE($D97,Milestones!$AA$23)&gt;=$Z97),$AC97,IF(AND($Y97&lt;&gt;"",EDATE($D97,Milestones!$AA$23)&gt;=$Y97),$AB97,$AA97)))=Milestones!$AB$23),UPPER(TEXT(EDATE($D97,Milestones!$AA$23),"dd mmm yy"))&amp;" "&amp;Milestones!$AB$23&amp;" "&amp;IF(AND(Milestones!$AB$23="FT",Milestones!$AA$23=FT_Y5,EDATE($D97,Milestones!$AA$23)&lt;PolicyEff),1,Milestones!$AC$23)&amp;";  ","")&amp;IF(AND(EDATE($D97,Milestones!$AA$24)&lt;=AsOfDate,EDATE($D97,Milestones!$AA$24)&gt;=SchemeStart,IF($X97=0,$AD97,IF(AND($Z97&lt;&gt;"",EDATE($D97,Milestones!$AA$24)&gt;=$Z97),$AC97,IF(AND($Y97&lt;&gt;"",EDATE($D97,Milestones!$AA$24)&gt;=$Y97),$AB97,$AA97)))=Milestones!$AB$24),UPPER(TEXT(EDATE($D97,Milestones!$AA$24),"dd mmm yy"))&amp;" "&amp;Milestones!$AB$24&amp;" "&amp;IF(AND(Milestones!$AB$24="FT",Milestones!$AA$24=FT_Y5,EDATE($D97,Milestones!$AA$24)&lt;PolicyEff),1,Milestones!$AC$24)&amp;";  ","")&amp;IF(AND(EDATE($D97,Milestones!$AA$25)&lt;=AsOfDate,EDATE($D97,Milestones!$AA$25)&gt;=SchemeStart,IF($X97=0,$AD97,IF(AND($Z97&lt;&gt;"",EDATE($D97,Milestones!$AA$25)&gt;=$Z97),$AC97,IF(AND($Y97&lt;&gt;"",EDATE($D97,Milestones!$AA$25)&gt;=$Y97),$AB97,$AA97)))=Milestones!$AB$25),UPPER(TEXT(EDATE($D97,Milestones!$AA$25),"dd mmm yy"))&amp;" "&amp;Milestones!$AB$25&amp;" "&amp;IF(AND(Milestones!$AB$25="FT",Milestones!$AA$25=FT_Y5,EDATE($D97,Milestones!$AA$25)&lt;PolicyEff),1,Milestones!$AC$25)&amp;";  ","")&amp;IF(AND(EDATE($D97,Milestones!$AA$26)&lt;=AsOfDate,EDATE($D97,Milestones!$AA$26)&gt;=SchemeStart,IF($X97=0,$AD97,IF(AND($Z97&lt;&gt;"",EDATE($D97,Milestones!$AA$26)&gt;=$Z97),$AC97,IF(AND($Y97&lt;&gt;"",EDATE($D97,Milestones!$AA$26)&gt;=$Y97),$AB97,$AA97)))=Milestones!$AB$26),UPPER(TEXT(EDATE($D97,Milestones!$AA$26),"dd mmm yy"))&amp;" "&amp;Milestones!$AB$26&amp;" "&amp;IF(AND(Milestones!$AB$26="FT",Milestones!$AA$26=FT_Y5,EDATE($D97,Milestones!$AA$26)&lt;PolicyEff),1,Milestones!$AC$26)&amp;";  ","")&amp;IF(AND(EDATE($D97,Milestones!$AA$27)&lt;=AsOfDate,EDATE($D97,Milestones!$AA$27)&gt;=SchemeStart,IF($X97=0,$AD97,IF(AND($Z97&lt;&gt;"",EDATE($D97,Milestones!$AA$27)&gt;=$Z97),$AC97,IF(AND($Y97&lt;&gt;"",EDATE($D97,Milestones!$AA$27)&gt;=$Y97),$AB97,$AA97)))=Milestones!$AB$27),UPPER(TEXT(EDATE($D97,Milestones!$AA$27),"dd mmm yy"))&amp;" "&amp;Milestones!$AB$27&amp;" "&amp;IF(AND(Milestones!$AB$27="FT",Milestones!$AA$27=FT_Y5,EDATE($D97,Milestones!$AA$27)&lt;PolicyEff),1,Milestones!$AC$27)&amp;";  ","")&amp;IF(AND(EDATE($D97,Milestones!$AA$28)&lt;=AsOfDate,EDATE($D97,Milestones!$AA$28)&gt;=SchemeStart,IF($X97=0,$AD97,IF(AND($Z97&lt;&gt;"",EDATE($D97,Milestones!$AA$28)&gt;=$Z97),$AC97,IF(AND($Y97&lt;&gt;"",EDATE($D97,Milestones!$AA$28)&gt;=$Y97),$AB97,$AA97)))=Milestones!$AB$28),UPPER(TEXT(EDATE($D97,Milestones!$AA$28),"dd mmm yy"))&amp;" "&amp;Milestones!$AB$28&amp;" "&amp;IF(AND(Milestones!$AB$28="FT",Milestones!$AA$28=FT_Y5,EDATE($D97,Milestones!$AA$28)&lt;PolicyEff),1,Milestones!$AC$28)&amp;";  ","")&amp;IF(AND(EDATE($D97,Milestones!$AA$29)&lt;=AsOfDate,EDATE($D97,Milestones!$AA$29)&gt;=SchemeStart,IF($X97=0,$AD97,IF(AND($Z97&lt;&gt;"",EDATE($D97,Milestones!$AA$29)&gt;=$Z97),$AC97,IF(AND($Y97&lt;&gt;"",EDATE($D97,Milestones!$AA$29)&gt;=$Y97),$AB97,$AA97)))=Milestones!$AB$29),UPPER(TEXT(EDATE($D97,Milestones!$AA$29),"dd mmm yy"))&amp;" "&amp;Milestones!$AB$29&amp;" "&amp;IF(AND(Milestones!$AB$29="FT",Milestones!$AA$29=FT_Y5,EDATE($D97,Milestones!$AA$29)&lt;PolicyEff),1,Milestones!$AC$29)&amp;";  ","")&amp;IF(AND(EDATE($D97,Milestones!$AA$30)&lt;=AsOfDate,EDATE($D97,Milestones!$AA$30)&gt;=SchemeStart,IF($X97=0,$AD97,IF(AND($Z97&lt;&gt;"",EDATE($D97,Milestones!$AA$30)&gt;=$Z97),$AC97,IF(AND($Y97&lt;&gt;"",EDATE($D97,Milestones!$AA$30)&gt;=$Y97),$AB97,$AA97)))=Milestones!$AB$30),UPPER(TEXT(EDATE($D97,Milestones!$AA$30),"dd mmm yy"))&amp;" "&amp;Milestones!$AB$30&amp;" "&amp;IF(AND(Milestones!$AB$30="FT",Milestones!$AA$30=FT_Y5,EDATE($D97,Milestones!$AA$30)&lt;PolicyEff),1,Milestones!$AC$30)&amp;";  ","")&amp;IF(AND(EDATE($D97,Milestones!$AA$31)&lt;=AsOfDate,EDATE($D97,Milestones!$AA$31)&gt;=SchemeStart,IF($X97=0,$AD97,IF(AND($Z97&lt;&gt;"",EDATE($D97,Milestones!$AA$31)&gt;=$Z97),$AC97,IF(AND($Y97&lt;&gt;"",EDATE($D97,Milestones!$AA$31)&gt;=$Y97),$AB97,$AA97)))=Milestones!$AB$31),UPPER(TEXT(EDATE($D97,Milestones!$AA$31),"dd mmm yy"))&amp;" "&amp;Milestones!$AB$31&amp;" "&amp;IF(AND(Milestones!$AB$31="FT",Milestones!$AA$31=FT_Y5,EDATE($D97,Milestones!$AA$31)&lt;PolicyEff),1,Milestones!$AC$31)&amp;";  ",""))</f>
        <v/>
      </c>
      <c r="J97" s="0" t="str">
        <f aca="false">IF(OR($A97="",$D97=""),"",IF(AND(EDATE($D97,Milestones!$AA$32)&lt;=AsOfDate,EDATE($D97,Milestones!$AA$32)&gt;=SchemeStart,IF($X97=0,$AD97,IF(AND($Z97&lt;&gt;"",EDATE($D97,Milestones!$AA$32)&gt;=$Z97),$AC97,IF(AND($Y97&lt;&gt;"",EDATE($D97,Milestones!$AA$32)&gt;=$Y97),$AB97,$AA97)))=Milestones!$AB$32),UPPER(TEXT(EDATE($D97,Milestones!$AA$32),"dd mmm yy"))&amp;" "&amp;Milestones!$AB$32&amp;" "&amp;IF(AND(Milestones!$AB$32="FT",Milestones!$AA$32=FT_Y5,EDATE($D97,Milestones!$AA$32)&lt;PolicyEff),1,Milestones!$AC$32)&amp;";  ","")&amp;IF(AND(EDATE($D97,Milestones!$AA$33)&lt;=AsOfDate,EDATE($D97,Milestones!$AA$33)&gt;=SchemeStart,IF($X97=0,$AD97,IF(AND($Z97&lt;&gt;"",EDATE($D97,Milestones!$AA$33)&gt;=$Z97),$AC97,IF(AND($Y97&lt;&gt;"",EDATE($D97,Milestones!$AA$33)&gt;=$Y97),$AB97,$AA97)))=Milestones!$AB$33),UPPER(TEXT(EDATE($D97,Milestones!$AA$33),"dd mmm yy"))&amp;" "&amp;Milestones!$AB$33&amp;" "&amp;IF(AND(Milestones!$AB$33="FT",Milestones!$AA$33=FT_Y5,EDATE($D97,Milestones!$AA$33)&lt;PolicyEff),1,Milestones!$AC$33)&amp;";  ","")&amp;IF(AND(EDATE($D97,Milestones!$AA$34)&lt;=AsOfDate,EDATE($D97,Milestones!$AA$34)&gt;=SchemeStart,IF($X97=0,$AD97,IF(AND($Z97&lt;&gt;"",EDATE($D97,Milestones!$AA$34)&gt;=$Z97),$AC97,IF(AND($Y97&lt;&gt;"",EDATE($D97,Milestones!$AA$34)&gt;=$Y97),$AB97,$AA97)))=Milestones!$AB$34),UPPER(TEXT(EDATE($D97,Milestones!$AA$34),"dd mmm yy"))&amp;" "&amp;Milestones!$AB$34&amp;" "&amp;IF(AND(Milestones!$AB$34="FT",Milestones!$AA$34=FT_Y5,EDATE($D97,Milestones!$AA$34)&lt;PolicyEff),1,Milestones!$AC$34)&amp;";  ","")&amp;IF(AND(EDATE($D97,Milestones!$AA$35)&lt;=AsOfDate,EDATE($D97,Milestones!$AA$35)&gt;=SchemeStart,IF($X97=0,$AD97,IF(AND($Z97&lt;&gt;"",EDATE($D97,Milestones!$AA$35)&gt;=$Z97),$AC97,IF(AND($Y97&lt;&gt;"",EDATE($D97,Milestones!$AA$35)&gt;=$Y97),$AB97,$AA97)))=Milestones!$AB$35),UPPER(TEXT(EDATE($D97,Milestones!$AA$35),"dd mmm yy"))&amp;" "&amp;Milestones!$AB$35&amp;" "&amp;IF(AND(Milestones!$AB$35="FT",Milestones!$AA$35=FT_Y5,EDATE($D97,Milestones!$AA$35)&lt;PolicyEff),1,Milestones!$AC$35)&amp;";  ","")&amp;IF(AND(EDATE($D97,Milestones!$AA$36)&lt;=AsOfDate,EDATE($D97,Milestones!$AA$36)&gt;=SchemeStart,IF($X97=0,$AD97,IF(AND($Z97&lt;&gt;"",EDATE($D97,Milestones!$AA$36)&gt;=$Z97),$AC97,IF(AND($Y97&lt;&gt;"",EDATE($D97,Milestones!$AA$36)&gt;=$Y97),$AB97,$AA97)))=Milestones!$AB$36),UPPER(TEXT(EDATE($D97,Milestones!$AA$36),"dd mmm yy"))&amp;" "&amp;Milestones!$AB$36&amp;" "&amp;IF(AND(Milestones!$AB$36="FT",Milestones!$AA$36=FT_Y5,EDATE($D97,Milestones!$AA$36)&lt;PolicyEff),1,Milestones!$AC$36)&amp;";  ","")&amp;IF(AND(EDATE($D97,Milestones!$AA$37)&lt;=AsOfDate,EDATE($D97,Milestones!$AA$37)&gt;=SchemeStart,IF($X97=0,$AD97,IF(AND($Z97&lt;&gt;"",EDATE($D97,Milestones!$AA$37)&gt;=$Z97),$AC97,IF(AND($Y97&lt;&gt;"",EDATE($D97,Milestones!$AA$37)&gt;=$Y97),$AB97,$AA97)))=Milestones!$AB$37),UPPER(TEXT(EDATE($D97,Milestones!$AA$37),"dd mmm yy"))&amp;" "&amp;Milestones!$AB$37&amp;" "&amp;IF(AND(Milestones!$AB$37="FT",Milestones!$AA$37=FT_Y5,EDATE($D97,Milestones!$AA$37)&lt;PolicyEff),1,Milestones!$AC$37)&amp;";  ","")&amp;IF(AND(EDATE($D97,Milestones!$AA$38)&lt;=AsOfDate,EDATE($D97,Milestones!$AA$38)&gt;=SchemeStart,IF($X97=0,$AD97,IF(AND($Z97&lt;&gt;"",EDATE($D97,Milestones!$AA$38)&gt;=$Z97),$AC97,IF(AND($Y97&lt;&gt;"",EDATE($D97,Milestones!$AA$38)&gt;=$Y97),$AB97,$AA97)))=Milestones!$AB$38),UPPER(TEXT(EDATE($D97,Milestones!$AA$38),"dd mmm yy"))&amp;" "&amp;Milestones!$AB$38&amp;" "&amp;IF(AND(Milestones!$AB$38="FT",Milestones!$AA$38=FT_Y5,EDATE($D97,Milestones!$AA$38)&lt;PolicyEff),1,Milestones!$AC$38)&amp;";  ","")&amp;IF(AND(EDATE($D97,Milestones!$AA$39)&lt;=AsOfDate,EDATE($D97,Milestones!$AA$39)&gt;=SchemeStart,IF($X97=0,$AD97,IF(AND($Z97&lt;&gt;"",EDATE($D97,Milestones!$AA$39)&gt;=$Z97),$AC97,IF(AND($Y97&lt;&gt;"",EDATE($D97,Milestones!$AA$39)&gt;=$Y97),$AB97,$AA97)))=Milestones!$AB$39),UPPER(TEXT(EDATE($D97,Milestones!$AA$39),"dd mmm yy"))&amp;" "&amp;Milestones!$AB$39&amp;" "&amp;IF(AND(Milestones!$AB$39="FT",Milestones!$AA$39=FT_Y5,EDATE($D97,Milestones!$AA$39)&lt;PolicyEff),1,Milestones!$AC$39)&amp;";  ","")&amp;IF(AND(EDATE($D97,Milestones!$AA$40)&lt;=AsOfDate,EDATE($D97,Milestones!$AA$40)&gt;=SchemeStart,IF($X97=0,$AD97,IF(AND($Z97&lt;&gt;"",EDATE($D97,Milestones!$AA$40)&gt;=$Z97),$AC97,IF(AND($Y97&lt;&gt;"",EDATE($D97,Milestones!$AA$40)&gt;=$Y97),$AB97,$AA97)))=Milestones!$AB$40),UPPER(TEXT(EDATE($D97,Milestones!$AA$40),"dd mmm yy"))&amp;" "&amp;Milestones!$AB$40&amp;" "&amp;IF(AND(Milestones!$AB$40="FT",Milestones!$AA$40=FT_Y5,EDATE($D97,Milestones!$AA$40)&lt;PolicyEff),1,Milestones!$AC$40)&amp;";  ","")&amp;IF(AND(EDATE($D97,Milestones!$AA$41)&lt;=AsOfDate,EDATE($D97,Milestones!$AA$41)&gt;=SchemeStart,IF($X97=0,$AD97,IF(AND($Z97&lt;&gt;"",EDATE($D97,Milestones!$AA$41)&gt;=$Z97),$AC97,IF(AND($Y97&lt;&gt;"",EDATE($D97,Milestones!$AA$41)&gt;=$Y97),$AB97,$AA97)))=Milestones!$AB$41),UPPER(TEXT(EDATE($D97,Milestones!$AA$41),"dd mmm yy"))&amp;" "&amp;Milestones!$AB$41&amp;" "&amp;IF(AND(Milestones!$AB$41="FT",Milestones!$AA$41=FT_Y5,EDATE($D97,Milestones!$AA$41)&lt;PolicyEff),1,Milestones!$AC$41)&amp;";  ","")&amp;IF(AND(EDATE($D97,Milestones!$AA$42)&lt;=AsOfDate,EDATE($D97,Milestones!$AA$42)&gt;=SchemeStart,IF($X97=0,$AD97,IF(AND($Z97&lt;&gt;"",EDATE($D97,Milestones!$AA$42)&gt;=$Z97),$AC97,IF(AND($Y97&lt;&gt;"",EDATE($D97,Milestones!$AA$42)&gt;=$Y97),$AB97,$AA97)))=Milestones!$AB$42),UPPER(TEXT(EDATE($D97,Milestones!$AA$42),"dd mmm yy"))&amp;" "&amp;Milestones!$AB$42&amp;" "&amp;IF(AND(Milestones!$AB$42="FT",Milestones!$AA$42=FT_Y5,EDATE($D97,Milestones!$AA$42)&lt;PolicyEff),1,Milestones!$AC$42)&amp;";  ","")&amp;IF(AND(EDATE($D97,Milestones!$AA$43)&lt;=AsOfDate,EDATE($D97,Milestones!$AA$43)&gt;=SchemeStart,IF($X97=0,$AD97,IF(AND($Z97&lt;&gt;"",EDATE($D97,Milestones!$AA$43)&gt;=$Z97),$AC97,IF(AND($Y97&lt;&gt;"",EDATE($D97,Milestones!$AA$43)&gt;=$Y97),$AB97,$AA97)))=Milestones!$AB$43),UPPER(TEXT(EDATE($D97,Milestones!$AA$43),"dd mmm yy"))&amp;" "&amp;Milestones!$AB$43&amp;" "&amp;IF(AND(Milestones!$AB$43="FT",Milestones!$AA$43=FT_Y5,EDATE($D97,Milestones!$AA$43)&lt;PolicyEff),1,Milestones!$AC$43)&amp;";  ",""))</f>
        <v/>
      </c>
      <c r="K97" s="0" t="str">
        <f aca="false">IF(OR($A97="",$D97=""),"",IF(AND(EDATE($D97,Milestones!$AA$44)&lt;=AsOfDate,EDATE($D97,Milestones!$AA$44)&gt;=SchemeStart,IF($X97=0,$AD97,IF(AND($Z97&lt;&gt;"",EDATE($D97,Milestones!$AA$44)&gt;=$Z97),$AC97,IF(AND($Y97&lt;&gt;"",EDATE($D97,Milestones!$AA$44)&gt;=$Y97),$AB97,$AA97)))=Milestones!$AB$44),UPPER(TEXT(EDATE($D97,Milestones!$AA$44),"dd mmm yy"))&amp;" "&amp;Milestones!$AB$44&amp;" "&amp;IF(AND(Milestones!$AB$44="FT",Milestones!$AA$44=FT_Y5,EDATE($D97,Milestones!$AA$44)&lt;PolicyEff),1,Milestones!$AC$44)&amp;";  ","")&amp;IF(AND(EDATE($D97,Milestones!$AA$45)&lt;=AsOfDate,EDATE($D97,Milestones!$AA$45)&gt;=SchemeStart,IF($X97=0,$AD97,IF(AND($Z97&lt;&gt;"",EDATE($D97,Milestones!$AA$45)&gt;=$Z97),$AC97,IF(AND($Y97&lt;&gt;"",EDATE($D97,Milestones!$AA$45)&gt;=$Y97),$AB97,$AA97)))=Milestones!$AB$45),UPPER(TEXT(EDATE($D97,Milestones!$AA$45),"dd mmm yy"))&amp;" "&amp;Milestones!$AB$45&amp;" "&amp;IF(AND(Milestones!$AB$45="FT",Milestones!$AA$45=FT_Y5,EDATE($D97,Milestones!$AA$45)&lt;PolicyEff),1,Milestones!$AC$45)&amp;";  ","")&amp;IF(AND(EDATE($D97,Milestones!$AA$46)&lt;=AsOfDate,EDATE($D97,Milestones!$AA$46)&gt;=SchemeStart,IF($X97=0,$AD97,IF(AND($Z97&lt;&gt;"",EDATE($D97,Milestones!$AA$46)&gt;=$Z97),$AC97,IF(AND($Y97&lt;&gt;"",EDATE($D97,Milestones!$AA$46)&gt;=$Y97),$AB97,$AA97)))=Milestones!$AB$46),UPPER(TEXT(EDATE($D97,Milestones!$AA$46),"dd mmm yy"))&amp;" "&amp;Milestones!$AB$46&amp;" "&amp;IF(AND(Milestones!$AB$46="FT",Milestones!$AA$46=FT_Y5,EDATE($D97,Milestones!$AA$46)&lt;PolicyEff),1,Milestones!$AC$46)&amp;";  ","")&amp;IF(AND(EDATE($D97,Milestones!$AA$47)&lt;=AsOfDate,EDATE($D97,Milestones!$AA$47)&gt;=SchemeStart,IF($X97=0,$AD97,IF(AND($Z97&lt;&gt;"",EDATE($D97,Milestones!$AA$47)&gt;=$Z97),$AC97,IF(AND($Y97&lt;&gt;"",EDATE($D97,Milestones!$AA$47)&gt;=$Y97),$AB97,$AA97)))=Milestones!$AB$47),UPPER(TEXT(EDATE($D97,Milestones!$AA$47),"dd mmm yy"))&amp;" "&amp;Milestones!$AB$47&amp;" "&amp;IF(AND(Milestones!$AB$47="FT",Milestones!$AA$47=FT_Y5,EDATE($D97,Milestones!$AA$47)&lt;PolicyEff),1,Milestones!$AC$47)&amp;";  ","")&amp;IF(AND(EDATE($D97,Milestones!$AA$48)&lt;=AsOfDate,EDATE($D97,Milestones!$AA$48)&gt;=SchemeStart,IF($X97=0,$AD97,IF(AND($Z97&lt;&gt;"",EDATE($D97,Milestones!$AA$48)&gt;=$Z97),$AC97,IF(AND($Y97&lt;&gt;"",EDATE($D97,Milestones!$AA$48)&gt;=$Y97),$AB97,$AA97)))=Milestones!$AB$48),UPPER(TEXT(EDATE($D97,Milestones!$AA$48),"dd mmm yy"))&amp;" "&amp;Milestones!$AB$48&amp;" "&amp;IF(AND(Milestones!$AB$48="FT",Milestones!$AA$48=FT_Y5,EDATE($D97,Milestones!$AA$48)&lt;PolicyEff),1,Milestones!$AC$48)&amp;";  ","")&amp;IF(AND(EDATE($D97,Milestones!$AA$49)&lt;=AsOfDate,EDATE($D97,Milestones!$AA$49)&gt;=SchemeStart,IF($X97=0,$AD97,IF(AND($Z97&lt;&gt;"",EDATE($D97,Milestones!$AA$49)&gt;=$Z97),$AC97,IF(AND($Y97&lt;&gt;"",EDATE($D97,Milestones!$AA$49)&gt;=$Y97),$AB97,$AA97)))=Milestones!$AB$49),UPPER(TEXT(EDATE($D97,Milestones!$AA$49),"dd mmm yy"))&amp;" "&amp;Milestones!$AB$49&amp;" "&amp;IF(AND(Milestones!$AB$49="FT",Milestones!$AA$49=FT_Y5,EDATE($D97,Milestones!$AA$49)&lt;PolicyEff),1,Milestones!$AC$49)&amp;";  ","")&amp;IF(AND(EDATE($D97,Milestones!$AA$50)&lt;=AsOfDate,EDATE($D97,Milestones!$AA$50)&gt;=SchemeStart,IF($X97=0,$AD97,IF(AND($Z97&lt;&gt;"",EDATE($D97,Milestones!$AA$50)&gt;=$Z97),$AC97,IF(AND($Y97&lt;&gt;"",EDATE($D97,Milestones!$AA$50)&gt;=$Y97),$AB97,$AA97)))=Milestones!$AB$50),UPPER(TEXT(EDATE($D97,Milestones!$AA$50),"dd mmm yy"))&amp;" "&amp;Milestones!$AB$50&amp;" "&amp;IF(AND(Milestones!$AB$50="FT",Milestones!$AA$50=FT_Y5,EDATE($D97,Milestones!$AA$50)&lt;PolicyEff),1,Milestones!$AC$50)&amp;";  ","")&amp;IF(AND(EDATE($D97,Milestones!$AA$51)&lt;=AsOfDate,EDATE($D97,Milestones!$AA$51)&gt;=SchemeStart,IF($X97=0,$AD97,IF(AND($Z97&lt;&gt;"",EDATE($D97,Milestones!$AA$51)&gt;=$Z97),$AC97,IF(AND($Y97&lt;&gt;"",EDATE($D97,Milestones!$AA$51)&gt;=$Y97),$AB97,$AA97)))=Milestones!$AB$51),UPPER(TEXT(EDATE($D97,Milestones!$AA$51),"dd mmm yy"))&amp;" "&amp;Milestones!$AB$51&amp;" "&amp;IF(AND(Milestones!$AB$51="FT",Milestones!$AA$51=FT_Y5,EDATE($D97,Milestones!$AA$51)&lt;PolicyEff),1,Milestones!$AC$51)&amp;";  ","")&amp;IF(AND(EDATE($D97,Milestones!$AA$52)&lt;=AsOfDate,EDATE($D97,Milestones!$AA$52)&gt;=SchemeStart,IF($X97=0,$AD97,IF(AND($Z97&lt;&gt;"",EDATE($D97,Milestones!$AA$52)&gt;=$Z97),$AC97,IF(AND($Y97&lt;&gt;"",EDATE($D97,Milestones!$AA$52)&gt;=$Y97),$AB97,$AA97)))=Milestones!$AB$52),UPPER(TEXT(EDATE($D97,Milestones!$AA$52),"dd mmm yy"))&amp;" "&amp;Milestones!$AB$52&amp;" "&amp;IF(AND(Milestones!$AB$52="FT",Milestones!$AA$52=FT_Y5,EDATE($D97,Milestones!$AA$52)&lt;PolicyEff),1,Milestones!$AC$52)&amp;";  ","")&amp;IF(AND(EDATE($D97,Milestones!$AA$53)&lt;=AsOfDate,EDATE($D97,Milestones!$AA$53)&gt;=SchemeStart,IF($X97=0,$AD97,IF(AND($Z97&lt;&gt;"",EDATE($D97,Milestones!$AA$53)&gt;=$Z97),$AC97,IF(AND($Y97&lt;&gt;"",EDATE($D97,Milestones!$AA$53)&gt;=$Y97),$AB97,$AA97)))=Milestones!$AB$53),UPPER(TEXT(EDATE($D97,Milestones!$AA$53),"dd mmm yy"))&amp;" "&amp;Milestones!$AB$53&amp;" "&amp;IF(AND(Milestones!$AB$53="FT",Milestones!$AA$53=FT_Y5,EDATE($D97,Milestones!$AA$53)&lt;PolicyEff),1,Milestones!$AC$53)&amp;";  ","")&amp;IF(AND(EDATE($D97,Milestones!$AA$54)&lt;=AsOfDate,EDATE($D97,Milestones!$AA$54)&gt;=SchemeStart,IF($X97=0,$AD97,IF(AND($Z97&lt;&gt;"",EDATE($D97,Milestones!$AA$54)&gt;=$Z97),$AC97,IF(AND($Y97&lt;&gt;"",EDATE($D97,Milestones!$AA$54)&gt;=$Y97),$AB97,$AA97)))=Milestones!$AB$54),UPPER(TEXT(EDATE($D97,Milestones!$AA$54),"dd mmm yy"))&amp;" "&amp;Milestones!$AB$54&amp;" "&amp;IF(AND(Milestones!$AB$54="FT",Milestones!$AA$54=FT_Y5,EDATE($D97,Milestones!$AA$54)&lt;PolicyEff),1,Milestones!$AC$54)&amp;";  ","")&amp;IF(AND(EDATE($D97,Milestones!$AA$55)&lt;=AsOfDate,EDATE($D97,Milestones!$AA$55)&gt;=SchemeStart,IF($X97=0,$AD97,IF(AND($Z97&lt;&gt;"",EDATE($D97,Milestones!$AA$55)&gt;=$Z97),$AC97,IF(AND($Y97&lt;&gt;"",EDATE($D97,Milestones!$AA$55)&gt;=$Y97),$AB97,$AA97)))=Milestones!$AB$55),UPPER(TEXT(EDATE($D97,Milestones!$AA$55),"dd mmm yy"))&amp;" "&amp;Milestones!$AB$55&amp;" "&amp;IF(AND(Milestones!$AB$55="FT",Milestones!$AA$55=FT_Y5,EDATE($D97,Milestones!$AA$55)&lt;PolicyEff),1,Milestones!$AC$55)&amp;";  ",""))</f>
        <v/>
      </c>
      <c r="L97" s="0" t="str">
        <f aca="false">IF(OR($A97="",$D97=""),"",IF(AND(EDATE($D97,Milestones!$AA$56)&lt;=AsOfDate,EDATE($D97,Milestones!$AA$56)&gt;=SchemeStart,IF($X97=0,$AD97,IF(AND($Z97&lt;&gt;"",EDATE($D97,Milestones!$AA$56)&gt;=$Z97),$AC97,IF(AND($Y97&lt;&gt;"",EDATE($D97,Milestones!$AA$56)&gt;=$Y97),$AB97,$AA97)))=Milestones!$AB$56),UPPER(TEXT(EDATE($D97,Milestones!$AA$56),"dd mmm yy"))&amp;" "&amp;Milestones!$AB$56&amp;" "&amp;IF(AND(Milestones!$AB$56="FT",Milestones!$AA$56=FT_Y5,EDATE($D97,Milestones!$AA$56)&lt;PolicyEff),1,Milestones!$AC$56)&amp;";  ","")&amp;IF(AND(EDATE($D97,Milestones!$AA$57)&lt;=AsOfDate,EDATE($D97,Milestones!$AA$57)&gt;=SchemeStart,IF($X97=0,$AD97,IF(AND($Z97&lt;&gt;"",EDATE($D97,Milestones!$AA$57)&gt;=$Z97),$AC97,IF(AND($Y97&lt;&gt;"",EDATE($D97,Milestones!$AA$57)&gt;=$Y97),$AB97,$AA97)))=Milestones!$AB$57),UPPER(TEXT(EDATE($D97,Milestones!$AA$57),"dd mmm yy"))&amp;" "&amp;Milestones!$AB$57&amp;" "&amp;IF(AND(Milestones!$AB$57="FT",Milestones!$AA$57=FT_Y5,EDATE($D97,Milestones!$AA$57)&lt;PolicyEff),1,Milestones!$AC$57)&amp;";  ","")&amp;IF(AND(EDATE($D97,Milestones!$AA$58)&lt;=AsOfDate,EDATE($D97,Milestones!$AA$58)&gt;=SchemeStart,IF($X97=0,$AD97,IF(AND($Z97&lt;&gt;"",EDATE($D97,Milestones!$AA$58)&gt;=$Z97),$AC97,IF(AND($Y97&lt;&gt;"",EDATE($D97,Milestones!$AA$58)&gt;=$Y97),$AB97,$AA97)))=Milestones!$AB$58),UPPER(TEXT(EDATE($D97,Milestones!$AA$58),"dd mmm yy"))&amp;" "&amp;Milestones!$AB$58&amp;" "&amp;IF(AND(Milestones!$AB$58="FT",Milestones!$AA$58=FT_Y5,EDATE($D97,Milestones!$AA$58)&lt;PolicyEff),1,Milestones!$AC$58)&amp;";  ","")&amp;IF(AND(EDATE($D97,Milestones!$AA$59)&lt;=AsOfDate,EDATE($D97,Milestones!$AA$59)&gt;=SchemeStart,IF($X97=0,$AD97,IF(AND($Z97&lt;&gt;"",EDATE($D97,Milestones!$AA$59)&gt;=$Z97),$AC97,IF(AND($Y97&lt;&gt;"",EDATE($D97,Milestones!$AA$59)&gt;=$Y97),$AB97,$AA97)))=Milestones!$AB$59),UPPER(TEXT(EDATE($D97,Milestones!$AA$59),"dd mmm yy"))&amp;" "&amp;Milestones!$AB$59&amp;" "&amp;IF(AND(Milestones!$AB$59="FT",Milestones!$AA$59=FT_Y5,EDATE($D97,Milestones!$AA$59)&lt;PolicyEff),1,Milestones!$AC$59)&amp;";  ","")&amp;IF(AND(EDATE($D97,Milestones!$AA$60)&lt;=AsOfDate,EDATE($D97,Milestones!$AA$60)&gt;=SchemeStart,IF($X97=0,$AD97,IF(AND($Z97&lt;&gt;"",EDATE($D97,Milestones!$AA$60)&gt;=$Z97),$AC97,IF(AND($Y97&lt;&gt;"",EDATE($D97,Milestones!$AA$60)&gt;=$Y97),$AB97,$AA97)))=Milestones!$AB$60),UPPER(TEXT(EDATE($D97,Milestones!$AA$60),"dd mmm yy"))&amp;" "&amp;Milestones!$AB$60&amp;" "&amp;IF(AND(Milestones!$AB$60="FT",Milestones!$AA$60=FT_Y5,EDATE($D97,Milestones!$AA$60)&lt;PolicyEff),1,Milestones!$AC$60)&amp;";  ","")&amp;IF(AND(EDATE($D97,Milestones!$AA$61)&lt;=AsOfDate,EDATE($D97,Milestones!$AA$61)&gt;=SchemeStart,IF($X97=0,$AD97,IF(AND($Z97&lt;&gt;"",EDATE($D97,Milestones!$AA$61)&gt;=$Z97),$AC97,IF(AND($Y97&lt;&gt;"",EDATE($D97,Milestones!$AA$61)&gt;=$Y97),$AB97,$AA97)))=Milestones!$AB$61),UPPER(TEXT(EDATE($D97,Milestones!$AA$61),"dd mmm yy"))&amp;" "&amp;Milestones!$AB$61&amp;" "&amp;IF(AND(Milestones!$AB$61="FT",Milestones!$AA$61=FT_Y5,EDATE($D97,Milestones!$AA$61)&lt;PolicyEff),1,Milestones!$AC$61)&amp;";  ","")&amp;IF(AND(EDATE($D97,Milestones!$AA$62)&lt;=AsOfDate,EDATE($D97,Milestones!$AA$62)&gt;=SchemeStart,IF($X97=0,$AD97,IF(AND($Z97&lt;&gt;"",EDATE($D97,Milestones!$AA$62)&gt;=$Z97),$AC97,IF(AND($Y97&lt;&gt;"",EDATE($D97,Milestones!$AA$62)&gt;=$Y97),$AB97,$AA97)))=Milestones!$AB$62),UPPER(TEXT(EDATE($D97,Milestones!$AA$62),"dd mmm yy"))&amp;" "&amp;Milestones!$AB$62&amp;" "&amp;IF(AND(Milestones!$AB$62="FT",Milestones!$AA$62=FT_Y5,EDATE($D97,Milestones!$AA$62)&lt;PolicyEff),1,Milestones!$AC$62)&amp;";  ","")&amp;IF(AND(EDATE($D97,Milestones!$AA$63)&lt;=AsOfDate,EDATE($D97,Milestones!$AA$63)&gt;=SchemeStart,IF($X97=0,$AD97,IF(AND($Z97&lt;&gt;"",EDATE($D97,Milestones!$AA$63)&gt;=$Z97),$AC97,IF(AND($Y97&lt;&gt;"",EDATE($D97,Milestones!$AA$63)&gt;=$Y97),$AB97,$AA97)))=Milestones!$AB$63),UPPER(TEXT(EDATE($D97,Milestones!$AA$63),"dd mmm yy"))&amp;" "&amp;Milestones!$AB$63&amp;" "&amp;IF(AND(Milestones!$AB$63="FT",Milestones!$AA$63=FT_Y5,EDATE($D97,Milestones!$AA$63)&lt;PolicyEff),1,Milestones!$AC$63)&amp;";  ","")&amp;IF(AND(EDATE($D97,Milestones!$AA$64)&lt;=AsOfDate,EDATE($D97,Milestones!$AA$64)&gt;=SchemeStart,IF($X97=0,$AD97,IF(AND($Z97&lt;&gt;"",EDATE($D97,Milestones!$AA$64)&gt;=$Z97),$AC97,IF(AND($Y97&lt;&gt;"",EDATE($D97,Milestones!$AA$64)&gt;=$Y97),$AB97,$AA97)))=Milestones!$AB$64),UPPER(TEXT(EDATE($D97,Milestones!$AA$64),"dd mmm yy"))&amp;" "&amp;Milestones!$AB$64&amp;" "&amp;IF(AND(Milestones!$AB$64="FT",Milestones!$AA$64=FT_Y5,EDATE($D97,Milestones!$AA$64)&lt;PolicyEff),1,Milestones!$AC$64)&amp;";  ","")&amp;IF(AND(EDATE($D97,Milestones!$AA$65)&lt;=AsOfDate,EDATE($D97,Milestones!$AA$65)&gt;=SchemeStart,IF($X97=0,$AD97,IF(AND($Z97&lt;&gt;"",EDATE($D97,Milestones!$AA$65)&gt;=$Z97),$AC97,IF(AND($Y97&lt;&gt;"",EDATE($D97,Milestones!$AA$65)&gt;=$Y97),$AB97,$AA97)))=Milestones!$AB$65),UPPER(TEXT(EDATE($D97,Milestones!$AA$65),"dd mmm yy"))&amp;" "&amp;Milestones!$AB$65&amp;" "&amp;IF(AND(Milestones!$AB$65="FT",Milestones!$AA$65=FT_Y5,EDATE($D97,Milestones!$AA$65)&lt;PolicyEff),1,Milestones!$AC$65)&amp;";  ","")&amp;IF(AND(EDATE($D97,Milestones!$AA$66)&lt;=AsOfDate,EDATE($D97,Milestones!$AA$66)&gt;=SchemeStart,IF($X97=0,$AD97,IF(AND($Z97&lt;&gt;"",EDATE($D97,Milestones!$AA$66)&gt;=$Z97),$AC97,IF(AND($Y97&lt;&gt;"",EDATE($D97,Milestones!$AA$66)&gt;=$Y97),$AB97,$AA97)))=Milestones!$AB$66),UPPER(TEXT(EDATE($D97,Milestones!$AA$66),"dd mmm yy"))&amp;" "&amp;Milestones!$AB$66&amp;" "&amp;IF(AND(Milestones!$AB$66="FT",Milestones!$AA$66=FT_Y5,EDATE($D97,Milestones!$AA$66)&lt;PolicyEff),1,Milestones!$AC$66)&amp;";  ","")&amp;IF(AND(EDATE($D97,Milestones!$AA$67)&lt;=AsOfDate,EDATE($D97,Milestones!$AA$67)&gt;=SchemeStart,IF($X97=0,$AD97,IF(AND($Z97&lt;&gt;"",EDATE($D97,Milestones!$AA$67)&gt;=$Z97),$AC97,IF(AND($Y97&lt;&gt;"",EDATE($D97,Milestones!$AA$67)&gt;=$Y97),$AB97,$AA97)))=Milestones!$AB$67),UPPER(TEXT(EDATE($D97,Milestones!$AA$67),"dd mmm yy"))&amp;" "&amp;Milestones!$AB$67&amp;" "&amp;IF(AND(Milestones!$AB$67="FT",Milestones!$AA$67=FT_Y5,EDATE($D97,Milestones!$AA$67)&lt;PolicyEff),1,Milestones!$AC$67)&amp;";  ",""))</f>
        <v/>
      </c>
      <c r="M97" s="0" t="str">
        <f aca="false">IF(OR($A97="",$D97=""),"",IF(AND(EDATE($D97,Milestones!$AA$68)&lt;=AsOfDate,EDATE($D97,Milestones!$AA$68)&gt;=SchemeStart,IF($X97=0,$AD97,IF(AND($Z97&lt;&gt;"",EDATE($D97,Milestones!$AA$68)&gt;=$Z97),$AC97,IF(AND($Y97&lt;&gt;"",EDATE($D97,Milestones!$AA$68)&gt;=$Y97),$AB97,$AA97)))=Milestones!$AB$68),UPPER(TEXT(EDATE($D97,Milestones!$AA$68),"dd mmm yy"))&amp;" "&amp;Milestones!$AB$68&amp;" "&amp;IF(AND(Milestones!$AB$68="FT",Milestones!$AA$68=FT_Y5,EDATE($D97,Milestones!$AA$68)&lt;PolicyEff),1,Milestones!$AC$68)&amp;";  ","")&amp;IF(AND(EDATE($D97,Milestones!$AA$69)&lt;=AsOfDate,EDATE($D97,Milestones!$AA$69)&gt;=SchemeStart,IF($X97=0,$AD97,IF(AND($Z97&lt;&gt;"",EDATE($D97,Milestones!$AA$69)&gt;=$Z97),$AC97,IF(AND($Y97&lt;&gt;"",EDATE($D97,Milestones!$AA$69)&gt;=$Y97),$AB97,$AA97)))=Milestones!$AB$69),UPPER(TEXT(EDATE($D97,Milestones!$AA$69),"dd mmm yy"))&amp;" "&amp;Milestones!$AB$69&amp;" "&amp;IF(AND(Milestones!$AB$69="FT",Milestones!$AA$69=FT_Y5,EDATE($D97,Milestones!$AA$69)&lt;PolicyEff),1,Milestones!$AC$69)&amp;";  ","")&amp;IF(AND(EDATE($D97,Milestones!$AA$70)&lt;=AsOfDate,EDATE($D97,Milestones!$AA$70)&gt;=SchemeStart,IF($X97=0,$AD97,IF(AND($Z97&lt;&gt;"",EDATE($D97,Milestones!$AA$70)&gt;=$Z97),$AC97,IF(AND($Y97&lt;&gt;"",EDATE($D97,Milestones!$AA$70)&gt;=$Y97),$AB97,$AA97)))=Milestones!$AB$70),UPPER(TEXT(EDATE($D97,Milestones!$AA$70),"dd mmm yy"))&amp;" "&amp;Milestones!$AB$70&amp;" "&amp;IF(AND(Milestones!$AB$70="FT",Milestones!$AA$70=FT_Y5,EDATE($D97,Milestones!$AA$70)&lt;PolicyEff),1,Milestones!$AC$70)&amp;";  ","")&amp;IF(AND(EDATE($D97,Milestones!$AA$71)&lt;=AsOfDate,EDATE($D97,Milestones!$AA$71)&gt;=SchemeStart,IF($X97=0,$AD97,IF(AND($Z97&lt;&gt;"",EDATE($D97,Milestones!$AA$71)&gt;=$Z97),$AC97,IF(AND($Y97&lt;&gt;"",EDATE($D97,Milestones!$AA$71)&gt;=$Y97),$AB97,$AA97)))=Milestones!$AB$71),UPPER(TEXT(EDATE($D97,Milestones!$AA$71),"dd mmm yy"))&amp;" "&amp;Milestones!$AB$71&amp;" "&amp;IF(AND(Milestones!$AB$71="FT",Milestones!$AA$71=FT_Y5,EDATE($D97,Milestones!$AA$71)&lt;PolicyEff),1,Milestones!$AC$71)&amp;";  ","")&amp;IF(AND(EDATE($D97,Milestones!$AA$72)&lt;=AsOfDate,EDATE($D97,Milestones!$AA$72)&gt;=SchemeStart,IF($X97=0,$AD97,IF(AND($Z97&lt;&gt;"",EDATE($D97,Milestones!$AA$72)&gt;=$Z97),$AC97,IF(AND($Y97&lt;&gt;"",EDATE($D97,Milestones!$AA$72)&gt;=$Y97),$AB97,$AA97)))=Milestones!$AB$72),UPPER(TEXT(EDATE($D97,Milestones!$AA$72),"dd mmm yy"))&amp;" "&amp;Milestones!$AB$72&amp;" "&amp;IF(AND(Milestones!$AB$72="FT",Milestones!$AA$72=FT_Y5,EDATE($D97,Milestones!$AA$72)&lt;PolicyEff),1,Milestones!$AC$72)&amp;";  ","")&amp;IF(AND(EDATE($D97,Milestones!$AA$73)&lt;=AsOfDate,EDATE($D97,Milestones!$AA$73)&gt;=SchemeStart,IF($X97=0,$AD97,IF(AND($Z97&lt;&gt;"",EDATE($D97,Milestones!$AA$73)&gt;=$Z97),$AC97,IF(AND($Y97&lt;&gt;"",EDATE($D97,Milestones!$AA$73)&gt;=$Y97),$AB97,$AA97)))=Milestones!$AB$73),UPPER(TEXT(EDATE($D97,Milestones!$AA$73),"dd mmm yy"))&amp;" "&amp;Milestones!$AB$73&amp;" "&amp;IF(AND(Milestones!$AB$73="FT",Milestones!$AA$73=FT_Y5,EDATE($D97,Milestones!$AA$73)&lt;PolicyEff),1,Milestones!$AC$73)&amp;";  ","")&amp;IF(AND(EDATE($D97,Milestones!$AA$74)&lt;=AsOfDate,EDATE($D97,Milestones!$AA$74)&gt;=SchemeStart,IF($X97=0,$AD97,IF(AND($Z97&lt;&gt;"",EDATE($D97,Milestones!$AA$74)&gt;=$Z97),$AC97,IF(AND($Y97&lt;&gt;"",EDATE($D97,Milestones!$AA$74)&gt;=$Y97),$AB97,$AA97)))=Milestones!$AB$74),UPPER(TEXT(EDATE($D97,Milestones!$AA$74),"dd mmm yy"))&amp;" "&amp;Milestones!$AB$74&amp;" "&amp;IF(AND(Milestones!$AB$74="FT",Milestones!$AA$74=FT_Y5,EDATE($D97,Milestones!$AA$74)&lt;PolicyEff),1,Milestones!$AC$74)&amp;";  ","")&amp;IF(AND(EDATE($D97,Milestones!$AA$75)&lt;=AsOfDate,EDATE($D97,Milestones!$AA$75)&gt;=SchemeStart,IF($X97=0,$AD97,IF(AND($Z97&lt;&gt;"",EDATE($D97,Milestones!$AA$75)&gt;=$Z97),$AC97,IF(AND($Y97&lt;&gt;"",EDATE($D97,Milestones!$AA$75)&gt;=$Y97),$AB97,$AA97)))=Milestones!$AB$75),UPPER(TEXT(EDATE($D97,Milestones!$AA$75),"dd mmm yy"))&amp;" "&amp;Milestones!$AB$75&amp;" "&amp;IF(AND(Milestones!$AB$75="FT",Milestones!$AA$75=FT_Y5,EDATE($D97,Milestones!$AA$75)&lt;PolicyEff),1,Milestones!$AC$75)&amp;";  ","")&amp;IF(AND(EDATE($D97,Milestones!$AA$76)&lt;=AsOfDate,EDATE($D97,Milestones!$AA$76)&gt;=SchemeStart,IF($X97=0,$AD97,IF(AND($Z97&lt;&gt;"",EDATE($D97,Milestones!$AA$76)&gt;=$Z97),$AC97,IF(AND($Y97&lt;&gt;"",EDATE($D97,Milestones!$AA$76)&gt;=$Y97),$AB97,$AA97)))=Milestones!$AB$76),UPPER(TEXT(EDATE($D97,Milestones!$AA$76),"dd mmm yy"))&amp;" "&amp;Milestones!$AB$76&amp;" "&amp;IF(AND(Milestones!$AB$76="FT",Milestones!$AA$76=FT_Y5,EDATE($D97,Milestones!$AA$76)&lt;PolicyEff),1,Milestones!$AC$76)&amp;";  ","")&amp;IF(AND(EDATE($D97,Milestones!$AA$77)&lt;=AsOfDate,EDATE($D97,Milestones!$AA$77)&gt;=SchemeStart,IF($X97=0,$AD97,IF(AND($Z97&lt;&gt;"",EDATE($D97,Milestones!$AA$77)&gt;=$Z97),$AC97,IF(AND($Y97&lt;&gt;"",EDATE($D97,Milestones!$AA$77)&gt;=$Y97),$AB97,$AA97)))=Milestones!$AB$77),UPPER(TEXT(EDATE($D97,Milestones!$AA$77),"dd mmm yy"))&amp;" "&amp;Milestones!$AB$77&amp;" "&amp;IF(AND(Milestones!$AB$77="FT",Milestones!$AA$77=FT_Y5,EDATE($D97,Milestones!$AA$77)&lt;PolicyEff),1,Milestones!$AC$77)&amp;";  ","")&amp;IF(AND(EDATE($D97,Milestones!$AA$78)&lt;=AsOfDate,EDATE($D97,Milestones!$AA$78)&gt;=SchemeStart,IF($X97=0,$AD97,IF(AND($Z97&lt;&gt;"",EDATE($D97,Milestones!$AA$78)&gt;=$Z97),$AC97,IF(AND($Y97&lt;&gt;"",EDATE($D97,Milestones!$AA$78)&gt;=$Y97),$AB97,$AA97)))=Milestones!$AB$78),UPPER(TEXT(EDATE($D97,Milestones!$AA$78),"dd mmm yy"))&amp;" "&amp;Milestones!$AB$78&amp;" "&amp;IF(AND(Milestones!$AB$78="FT",Milestones!$AA$78=FT_Y5,EDATE($D97,Milestones!$AA$78)&lt;PolicyEff),1,Milestones!$AC$78)&amp;";  ","")&amp;IF(AND(EDATE($D97,Milestones!$AA$79)&lt;=AsOfDate,EDATE($D97,Milestones!$AA$79)&gt;=SchemeStart,IF($X97=0,$AD97,IF(AND($Z97&lt;&gt;"",EDATE($D97,Milestones!$AA$79)&gt;=$Z97),$AC97,IF(AND($Y97&lt;&gt;"",EDATE($D97,Milestones!$AA$79)&gt;=$Y97),$AB97,$AA97)))=Milestones!$AB$79),UPPER(TEXT(EDATE($D97,Milestones!$AA$79),"dd mmm yy"))&amp;" "&amp;Milestones!$AB$79&amp;" "&amp;IF(AND(Milestones!$AB$79="FT",Milestones!$AA$79=FT_Y5,EDATE($D97,Milestones!$AA$79)&lt;PolicyEff),1,Milestones!$AC$79)&amp;";  ",""))</f>
        <v/>
      </c>
      <c r="N97" s="0" t="str">
        <f aca="false">IF(OR($A97="",$D97=""),"",IF(AND(EDATE($D97,Milestones!$AA$80)&lt;=AsOfDate,EDATE($D97,Milestones!$AA$80)&gt;=SchemeStart,IF($X97=0,$AD97,IF(AND($Z97&lt;&gt;"",EDATE($D97,Milestones!$AA$80)&gt;=$Z97),$AC97,IF(AND($Y97&lt;&gt;"",EDATE($D97,Milestones!$AA$80)&gt;=$Y97),$AB97,$AA97)))=Milestones!$AB$80),UPPER(TEXT(EDATE($D97,Milestones!$AA$80),"dd mmm yy"))&amp;" "&amp;Milestones!$AB$80&amp;" "&amp;IF(AND(Milestones!$AB$80="FT",Milestones!$AA$80=FT_Y5,EDATE($D97,Milestones!$AA$80)&lt;PolicyEff),1,Milestones!$AC$80)&amp;";  ","")&amp;IF(AND(EDATE($D97,Milestones!$AA$81)&lt;=AsOfDate,EDATE($D97,Milestones!$AA$81)&gt;=SchemeStart,IF($X97=0,$AD97,IF(AND($Z97&lt;&gt;"",EDATE($D97,Milestones!$AA$81)&gt;=$Z97),$AC97,IF(AND($Y97&lt;&gt;"",EDATE($D97,Milestones!$AA$81)&gt;=$Y97),$AB97,$AA97)))=Milestones!$AB$81),UPPER(TEXT(EDATE($D97,Milestones!$AA$81),"dd mmm yy"))&amp;" "&amp;Milestones!$AB$81&amp;" "&amp;IF(AND(Milestones!$AB$81="FT",Milestones!$AA$81=FT_Y5,EDATE($D97,Milestones!$AA$81)&lt;PolicyEff),1,Milestones!$AC$81)&amp;";  ","")&amp;IF(AND(EDATE($D97,Milestones!$AA$82)&lt;=AsOfDate,EDATE($D97,Milestones!$AA$82)&gt;=SchemeStart,IF($X97=0,$AD97,IF(AND($Z97&lt;&gt;"",EDATE($D97,Milestones!$AA$82)&gt;=$Z97),$AC97,IF(AND($Y97&lt;&gt;"",EDATE($D97,Milestones!$AA$82)&gt;=$Y97),$AB97,$AA97)))=Milestones!$AB$82),UPPER(TEXT(EDATE($D97,Milestones!$AA$82),"dd mmm yy"))&amp;" "&amp;Milestones!$AB$82&amp;" "&amp;IF(AND(Milestones!$AB$82="FT",Milestones!$AA$82=FT_Y5,EDATE($D97,Milestones!$AA$82)&lt;PolicyEff),1,Milestones!$AC$82)&amp;";  ","")&amp;IF(AND(EDATE($D97,Milestones!$AA$83)&lt;=AsOfDate,EDATE($D97,Milestones!$AA$83)&gt;=SchemeStart,IF($X97=0,$AD97,IF(AND($Z97&lt;&gt;"",EDATE($D97,Milestones!$AA$83)&gt;=$Z97),$AC97,IF(AND($Y97&lt;&gt;"",EDATE($D97,Milestones!$AA$83)&gt;=$Y97),$AB97,$AA97)))=Milestones!$AB$83),UPPER(TEXT(EDATE($D97,Milestones!$AA$83),"dd mmm yy"))&amp;" "&amp;Milestones!$AB$83&amp;" "&amp;IF(AND(Milestones!$AB$83="FT",Milestones!$AA$83=FT_Y5,EDATE($D97,Milestones!$AA$83)&lt;PolicyEff),1,Milestones!$AC$83)&amp;";  ","")&amp;IF(AND(EDATE($D97,Milestones!$AA$84)&lt;=AsOfDate,EDATE($D97,Milestones!$AA$84)&gt;=SchemeStart,IF($X97=0,$AD97,IF(AND($Z97&lt;&gt;"",EDATE($D97,Milestones!$AA$84)&gt;=$Z97),$AC97,IF(AND($Y97&lt;&gt;"",EDATE($D97,Milestones!$AA$84)&gt;=$Y97),$AB97,$AA97)))=Milestones!$AB$84),UPPER(TEXT(EDATE($D97,Milestones!$AA$84),"dd mmm yy"))&amp;" "&amp;Milestones!$AB$84&amp;" "&amp;IF(AND(Milestones!$AB$84="FT",Milestones!$AA$84=FT_Y5,EDATE($D97,Milestones!$AA$84)&lt;PolicyEff),1,Milestones!$AC$84)&amp;";  ","")&amp;IF(AND(EDATE($D97,Milestones!$AA$85)&lt;=AsOfDate,EDATE($D97,Milestones!$AA$85)&gt;=SchemeStart,IF($X97=0,$AD97,IF(AND($Z97&lt;&gt;"",EDATE($D97,Milestones!$AA$85)&gt;=$Z97),$AC97,IF(AND($Y97&lt;&gt;"",EDATE($D97,Milestones!$AA$85)&gt;=$Y97),$AB97,$AA97)))=Milestones!$AB$85),UPPER(TEXT(EDATE($D97,Milestones!$AA$85),"dd mmm yy"))&amp;" "&amp;Milestones!$AB$85&amp;" "&amp;IF(AND(Milestones!$AB$85="FT",Milestones!$AA$85=FT_Y5,EDATE($D97,Milestones!$AA$85)&lt;PolicyEff),1,Milestones!$AC$85)&amp;";  ","")&amp;IF(AND(EDATE($D97,Milestones!$AA$86)&lt;=AsOfDate,EDATE($D97,Milestones!$AA$86)&gt;=SchemeStart,IF($X97=0,$AD97,IF(AND($Z97&lt;&gt;"",EDATE($D97,Milestones!$AA$86)&gt;=$Z97),$AC97,IF(AND($Y97&lt;&gt;"",EDATE($D97,Milestones!$AA$86)&gt;=$Y97),$AB97,$AA97)))=Milestones!$AB$86),UPPER(TEXT(EDATE($D97,Milestones!$AA$86),"dd mmm yy"))&amp;" "&amp;Milestones!$AB$86&amp;" "&amp;IF(AND(Milestones!$AB$86="FT",Milestones!$AA$86=FT_Y5,EDATE($D97,Milestones!$AA$86)&lt;PolicyEff),1,Milestones!$AC$86)&amp;";  ","")&amp;IF(AND(EDATE($D97,Milestones!$AA$87)&lt;=AsOfDate,EDATE($D97,Milestones!$AA$87)&gt;=SchemeStart,IF($X97=0,$AD97,IF(AND($Z97&lt;&gt;"",EDATE($D97,Milestones!$AA$87)&gt;=$Z97),$AC97,IF(AND($Y97&lt;&gt;"",EDATE($D97,Milestones!$AA$87)&gt;=$Y97),$AB97,$AA97)))=Milestones!$AB$87),UPPER(TEXT(EDATE($D97,Milestones!$AA$87),"dd mmm yy"))&amp;" "&amp;Milestones!$AB$87&amp;" "&amp;IF(AND(Milestones!$AB$87="FT",Milestones!$AA$87=FT_Y5,EDATE($D97,Milestones!$AA$87)&lt;PolicyEff),1,Milestones!$AC$87)&amp;";  ","")&amp;IF(AND(EDATE($D97,Milestones!$AA$88)&lt;=AsOfDate,EDATE($D97,Milestones!$AA$88)&gt;=SchemeStart,IF($X97=0,$AD97,IF(AND($Z97&lt;&gt;"",EDATE($D97,Milestones!$AA$88)&gt;=$Z97),$AC97,IF(AND($Y97&lt;&gt;"",EDATE($D97,Milestones!$AA$88)&gt;=$Y97),$AB97,$AA97)))=Milestones!$AB$88),UPPER(TEXT(EDATE($D97,Milestones!$AA$88),"dd mmm yy"))&amp;" "&amp;Milestones!$AB$88&amp;" "&amp;IF(AND(Milestones!$AB$88="FT",Milestones!$AA$88=FT_Y5,EDATE($D97,Milestones!$AA$88)&lt;PolicyEff),1,Milestones!$AC$88)&amp;";  ","")&amp;IF(AND(EDATE($D97,Milestones!$AA$89)&lt;=AsOfDate,EDATE($D97,Milestones!$AA$89)&gt;=SchemeStart,IF($X97=0,$AD97,IF(AND($Z97&lt;&gt;"",EDATE($D97,Milestones!$AA$89)&gt;=$Z97),$AC97,IF(AND($Y97&lt;&gt;"",EDATE($D97,Milestones!$AA$89)&gt;=$Y97),$AB97,$AA97)))=Milestones!$AB$89),UPPER(TEXT(EDATE($D97,Milestones!$AA$89),"dd mmm yy"))&amp;" "&amp;Milestones!$AB$89&amp;" "&amp;IF(AND(Milestones!$AB$89="FT",Milestones!$AA$89=FT_Y5,EDATE($D97,Milestones!$AA$89)&lt;PolicyEff),1,Milestones!$AC$89)&amp;";  ","")&amp;IF(AND(EDATE($D97,Milestones!$AA$90)&lt;=AsOfDate,EDATE($D97,Milestones!$AA$90)&gt;=SchemeStart,IF($X97=0,$AD97,IF(AND($Z97&lt;&gt;"",EDATE($D97,Milestones!$AA$90)&gt;=$Z97),$AC97,IF(AND($Y97&lt;&gt;"",EDATE($D97,Milestones!$AA$90)&gt;=$Y97),$AB97,$AA97)))=Milestones!$AB$90),UPPER(TEXT(EDATE($D97,Milestones!$AA$90),"dd mmm yy"))&amp;" "&amp;Milestones!$AB$90&amp;" "&amp;IF(AND(Milestones!$AB$90="FT",Milestones!$AA$90=FT_Y5,EDATE($D97,Milestones!$AA$90)&lt;PolicyEff),1,Milestones!$AC$90)&amp;";  ","")&amp;IF(AND(EDATE($D97,Milestones!$AA$91)&lt;=AsOfDate,EDATE($D97,Milestones!$AA$91)&gt;=SchemeStart,IF($X97=0,$AD97,IF(AND($Z97&lt;&gt;"",EDATE($D97,Milestones!$AA$91)&gt;=$Z97),$AC97,IF(AND($Y97&lt;&gt;"",EDATE($D97,Milestones!$AA$91)&gt;=$Y97),$AB97,$AA97)))=Milestones!$AB$91),UPPER(TEXT(EDATE($D97,Milestones!$AA$91),"dd mmm yy"))&amp;" "&amp;Milestones!$AB$91&amp;" "&amp;IF(AND(Milestones!$AB$91="FT",Milestones!$AA$91=FT_Y5,EDATE($D97,Milestones!$AA$91)&lt;PolicyEff),1,Milestones!$AC$91)&amp;";  ",""))</f>
        <v/>
      </c>
      <c r="O97" s="0" t="str">
        <f aca="false">IF(OR($A97="",$D97=""),"",IF(AND(EDATE($D97,Milestones!$AA$92)&lt;=AsOfDate,EDATE($D97,Milestones!$AA$92)&gt;=SchemeStart,IF($X97=0,$AD97,IF(AND($Z97&lt;&gt;"",EDATE($D97,Milestones!$AA$92)&gt;=$Z97),$AC97,IF(AND($Y97&lt;&gt;"",EDATE($D97,Milestones!$AA$92)&gt;=$Y97),$AB97,$AA97)))=Milestones!$AB$92),UPPER(TEXT(EDATE($D97,Milestones!$AA$92),"dd mmm yy"))&amp;" "&amp;Milestones!$AB$92&amp;" "&amp;IF(AND(Milestones!$AB$92="FT",Milestones!$AA$92=FT_Y5,EDATE($D97,Milestones!$AA$92)&lt;PolicyEff),1,Milestones!$AC$92)&amp;";  ","")&amp;IF(AND(EDATE($D97,Milestones!$AA$93)&lt;=AsOfDate,EDATE($D97,Milestones!$AA$93)&gt;=SchemeStart,IF($X97=0,$AD97,IF(AND($Z97&lt;&gt;"",EDATE($D97,Milestones!$AA$93)&gt;=$Z97),$AC97,IF(AND($Y97&lt;&gt;"",EDATE($D97,Milestones!$AA$93)&gt;=$Y97),$AB97,$AA97)))=Milestones!$AB$93),UPPER(TEXT(EDATE($D97,Milestones!$AA$93),"dd mmm yy"))&amp;" "&amp;Milestones!$AB$93&amp;" "&amp;IF(AND(Milestones!$AB$93="FT",Milestones!$AA$93=FT_Y5,EDATE($D97,Milestones!$AA$93)&lt;PolicyEff),1,Milestones!$AC$93)&amp;";  ","")&amp;IF(AND(EDATE($D97,Milestones!$AA$94)&lt;=AsOfDate,EDATE($D97,Milestones!$AA$94)&gt;=SchemeStart,IF($X97=0,$AD97,IF(AND($Z97&lt;&gt;"",EDATE($D97,Milestones!$AA$94)&gt;=$Z97),$AC97,IF(AND($Y97&lt;&gt;"",EDATE($D97,Milestones!$AA$94)&gt;=$Y97),$AB97,$AA97)))=Milestones!$AB$94),UPPER(TEXT(EDATE($D97,Milestones!$AA$94),"dd mmm yy"))&amp;" "&amp;Milestones!$AB$94&amp;" "&amp;IF(AND(Milestones!$AB$94="FT",Milestones!$AA$94=FT_Y5,EDATE($D97,Milestones!$AA$94)&lt;PolicyEff),1,Milestones!$AC$94)&amp;";  ","")&amp;IF(AND(EDATE($D97,Milestones!$AA$95)&lt;=AsOfDate,EDATE($D97,Milestones!$AA$95)&gt;=SchemeStart,IF($X97=0,$AD97,IF(AND($Z97&lt;&gt;"",EDATE($D97,Milestones!$AA$95)&gt;=$Z97),$AC97,IF(AND($Y97&lt;&gt;"",EDATE($D97,Milestones!$AA$95)&gt;=$Y97),$AB97,$AA97)))=Milestones!$AB$95),UPPER(TEXT(EDATE($D97,Milestones!$AA$95),"dd mmm yy"))&amp;" "&amp;Milestones!$AB$95&amp;" "&amp;IF(AND(Milestones!$AB$95="FT",Milestones!$AA$95=FT_Y5,EDATE($D97,Milestones!$AA$95)&lt;PolicyEff),1,Milestones!$AC$95)&amp;";  ","")&amp;IF(AND(EDATE($D97,Milestones!$AA$96)&lt;=AsOfDate,EDATE($D97,Milestones!$AA$96)&gt;=SchemeStart,IF($X97=0,$AD97,IF(AND($Z97&lt;&gt;"",EDATE($D97,Milestones!$AA$96)&gt;=$Z97),$AC97,IF(AND($Y97&lt;&gt;"",EDATE($D97,Milestones!$AA$96)&gt;=$Y97),$AB97,$AA97)))=Milestones!$AB$96),UPPER(TEXT(EDATE($D97,Milestones!$AA$96),"dd mmm yy"))&amp;" "&amp;Milestones!$AB$96&amp;" "&amp;IF(AND(Milestones!$AB$96="FT",Milestones!$AA$96=FT_Y5,EDATE($D97,Milestones!$AA$96)&lt;PolicyEff),1,Milestones!$AC$96)&amp;";  ","")&amp;IF(AND(EDATE($D97,Milestones!$AA$97)&lt;=AsOfDate,EDATE($D97,Milestones!$AA$97)&gt;=SchemeStart,IF($X97=0,$AD97,IF(AND($Z97&lt;&gt;"",EDATE($D97,Milestones!$AA$97)&gt;=$Z97),$AC97,IF(AND($Y97&lt;&gt;"",EDATE($D97,Milestones!$AA$97)&gt;=$Y97),$AB97,$AA97)))=Milestones!$AB$97),UPPER(TEXT(EDATE($D97,Milestones!$AA$97),"dd mmm yy"))&amp;" "&amp;Milestones!$AB$97&amp;" "&amp;IF(AND(Milestones!$AB$97="FT",Milestones!$AA$97=FT_Y5,EDATE($D97,Milestones!$AA$97)&lt;PolicyEff),1,Milestones!$AC$97)&amp;";  ","")&amp;IF(AND(EDATE($D97,Milestones!$AA$98)&lt;=AsOfDate,EDATE($D97,Milestones!$AA$98)&gt;=SchemeStart,IF($X97=0,$AD97,IF(AND($Z97&lt;&gt;"",EDATE($D97,Milestones!$AA$98)&gt;=$Z97),$AC97,IF(AND($Y97&lt;&gt;"",EDATE($D97,Milestones!$AA$98)&gt;=$Y97),$AB97,$AA97)))=Milestones!$AB$98),UPPER(TEXT(EDATE($D97,Milestones!$AA$98),"dd mmm yy"))&amp;" "&amp;Milestones!$AB$98&amp;" "&amp;IF(AND(Milestones!$AB$98="FT",Milestones!$AA$98=FT_Y5,EDATE($D97,Milestones!$AA$98)&lt;PolicyEff),1,Milestones!$AC$98)&amp;";  ","")&amp;IF(AND(EDATE($D97,Milestones!$AA$99)&lt;=AsOfDate,EDATE($D97,Milestones!$AA$99)&gt;=SchemeStart,IF($X97=0,$AD97,IF(AND($Z97&lt;&gt;"",EDATE($D97,Milestones!$AA$99)&gt;=$Z97),$AC97,IF(AND($Y97&lt;&gt;"",EDATE($D97,Milestones!$AA$99)&gt;=$Y97),$AB97,$AA97)))=Milestones!$AB$99),UPPER(TEXT(EDATE($D97,Milestones!$AA$99),"dd mmm yy"))&amp;" "&amp;Milestones!$AB$99&amp;" "&amp;IF(AND(Milestones!$AB$99="FT",Milestones!$AA$99=FT_Y5,EDATE($D97,Milestones!$AA$99)&lt;PolicyEff),1,Milestones!$AC$99)&amp;";  ","")&amp;IF(AND(EDATE($D97,Milestones!$AA$100)&lt;=AsOfDate,EDATE($D97,Milestones!$AA$100)&gt;=SchemeStart,IF($X97=0,$AD97,IF(AND($Z97&lt;&gt;"",EDATE($D97,Milestones!$AA$100)&gt;=$Z97),$AC97,IF(AND($Y97&lt;&gt;"",EDATE($D97,Milestones!$AA$100)&gt;=$Y97),$AB97,$AA97)))=Milestones!$AB$100),UPPER(TEXT(EDATE($D97,Milestones!$AA$100),"dd mmm yy"))&amp;" "&amp;Milestones!$AB$100&amp;" "&amp;IF(AND(Milestones!$AB$100="FT",Milestones!$AA$100=FT_Y5,EDATE($D97,Milestones!$AA$100)&lt;PolicyEff),1,Milestones!$AC$100)&amp;";  ","")&amp;IF(AND(EDATE($D97,Milestones!$AA$101)&lt;=AsOfDate,EDATE($D97,Milestones!$AA$101)&gt;=SchemeStart,IF($X97=0,$AD97,IF(AND($Z97&lt;&gt;"",EDATE($D97,Milestones!$AA$101)&gt;=$Z97),$AC97,IF(AND($Y97&lt;&gt;"",EDATE($D97,Milestones!$AA$101)&gt;=$Y97),$AB97,$AA97)))=Milestones!$AB$101),UPPER(TEXT(EDATE($D97,Milestones!$AA$101),"dd mmm yy"))&amp;" "&amp;Milestones!$AB$101&amp;" "&amp;IF(AND(Milestones!$AB$101="FT",Milestones!$AA$101=FT_Y5,EDATE($D97,Milestones!$AA$101)&lt;PolicyEff),1,Milestones!$AC$101)&amp;";  ","")&amp;IF(AND(EDATE($D97,Milestones!$AA$102)&lt;=AsOfDate,EDATE($D97,Milestones!$AA$102)&gt;=SchemeStart,IF($X97=0,$AD97,IF(AND($Z97&lt;&gt;"",EDATE($D97,Milestones!$AA$102)&gt;=$Z97),$AC97,IF(AND($Y97&lt;&gt;"",EDATE($D97,Milestones!$AA$102)&gt;=$Y97),$AB97,$AA97)))=Milestones!$AB$102),UPPER(TEXT(EDATE($D97,Milestones!$AA$102),"dd mmm yy"))&amp;" "&amp;Milestones!$AB$102&amp;" "&amp;IF(AND(Milestones!$AB$102="FT",Milestones!$AA$102=FT_Y5,EDATE($D97,Milestones!$AA$102)&lt;PolicyEff),1,Milestones!$AC$102)&amp;";  ","")&amp;IF(AND(EDATE($D97,Milestones!$AA$103)&lt;=AsOfDate,EDATE($D97,Milestones!$AA$103)&gt;=SchemeStart,IF($X97=0,$AD97,IF(AND($Z97&lt;&gt;"",EDATE($D97,Milestones!$AA$103)&gt;=$Z97),$AC97,IF(AND($Y97&lt;&gt;"",EDATE($D97,Milestones!$AA$103)&gt;=$Y97),$AB97,$AA97)))=Milestones!$AB$103),UPPER(TEXT(EDATE($D97,Milestones!$AA$103),"dd mmm yy"))&amp;" "&amp;Milestones!$AB$103&amp;" "&amp;IF(AND(Milestones!$AB$103="FT",Milestones!$AA$103=FT_Y5,EDATE($D97,Milestones!$AA$103)&lt;PolicyEff),1,Milestones!$AC$103)&amp;";  ",""))</f>
        <v/>
      </c>
      <c r="P97" s="0" t="str">
        <f aca="false">IF(OR($A97="",$D97=""),"",IF(AND(EDATE($D97,Milestones!$AA$104)&lt;=AsOfDate,EDATE($D97,Milestones!$AA$104)&gt;=SchemeStart,IF($X97=0,$AD97,IF(AND($Z97&lt;&gt;"",EDATE($D97,Milestones!$AA$104)&gt;=$Z97),$AC97,IF(AND($Y97&lt;&gt;"",EDATE($D97,Milestones!$AA$104)&gt;=$Y97),$AB97,$AA97)))=Milestones!$AB$104),UPPER(TEXT(EDATE($D97,Milestones!$AA$104),"dd mmm yy"))&amp;" "&amp;Milestones!$AB$104&amp;" "&amp;IF(AND(Milestones!$AB$104="FT",Milestones!$AA$104=FT_Y5,EDATE($D97,Milestones!$AA$104)&lt;PolicyEff),1,Milestones!$AC$104)&amp;";  ","")&amp;IF(AND(EDATE($D97,Milestones!$AA$105)&lt;=AsOfDate,EDATE($D97,Milestones!$AA$105)&gt;=SchemeStart,IF($X97=0,$AD97,IF(AND($Z97&lt;&gt;"",EDATE($D97,Milestones!$AA$105)&gt;=$Z97),$AC97,IF(AND($Y97&lt;&gt;"",EDATE($D97,Milestones!$AA$105)&gt;=$Y97),$AB97,$AA97)))=Milestones!$AB$105),UPPER(TEXT(EDATE($D97,Milestones!$AA$105),"dd mmm yy"))&amp;" "&amp;Milestones!$AB$105&amp;" "&amp;IF(AND(Milestones!$AB$105="FT",Milestones!$AA$105=FT_Y5,EDATE($D97,Milestones!$AA$105)&lt;PolicyEff),1,Milestones!$AC$105)&amp;";  ","")&amp;IF(AND(EDATE($D97,Milestones!$AA$106)&lt;=AsOfDate,EDATE($D97,Milestones!$AA$106)&gt;=SchemeStart,IF($X97=0,$AD97,IF(AND($Z97&lt;&gt;"",EDATE($D97,Milestones!$AA$106)&gt;=$Z97),$AC97,IF(AND($Y97&lt;&gt;"",EDATE($D97,Milestones!$AA$106)&gt;=$Y97),$AB97,$AA97)))=Milestones!$AB$106),UPPER(TEXT(EDATE($D97,Milestones!$AA$106),"dd mmm yy"))&amp;" "&amp;Milestones!$AB$106&amp;" "&amp;IF(AND(Milestones!$AB$106="FT",Milestones!$AA$106=FT_Y5,EDATE($D97,Milestones!$AA$106)&lt;PolicyEff),1,Milestones!$AC$106)&amp;";  ","")&amp;IF(AND(EDATE($D97,Milestones!$AA$107)&lt;=AsOfDate,EDATE($D97,Milestones!$AA$107)&gt;=SchemeStart,IF($X97=0,$AD97,IF(AND($Z97&lt;&gt;"",EDATE($D97,Milestones!$AA$107)&gt;=$Z97),$AC97,IF(AND($Y97&lt;&gt;"",EDATE($D97,Milestones!$AA$107)&gt;=$Y97),$AB97,$AA97)))=Milestones!$AB$107),UPPER(TEXT(EDATE($D97,Milestones!$AA$107),"dd mmm yy"))&amp;" "&amp;Milestones!$AB$107&amp;" "&amp;IF(AND(Milestones!$AB$107="FT",Milestones!$AA$107=FT_Y5,EDATE($D97,Milestones!$AA$107)&lt;PolicyEff),1,Milestones!$AC$107)&amp;";  ","")&amp;IF(AND(EDATE($D97,Milestones!$AA$108)&lt;=AsOfDate,EDATE($D97,Milestones!$AA$108)&gt;=SchemeStart,IF($X97=0,$AD97,IF(AND($Z97&lt;&gt;"",EDATE($D97,Milestones!$AA$108)&gt;=$Z97),$AC97,IF(AND($Y97&lt;&gt;"",EDATE($D97,Milestones!$AA$108)&gt;=$Y97),$AB97,$AA97)))=Milestones!$AB$108),UPPER(TEXT(EDATE($D97,Milestones!$AA$108),"dd mmm yy"))&amp;" "&amp;Milestones!$AB$108&amp;" "&amp;IF(AND(Milestones!$AB$108="FT",Milestones!$AA$108=FT_Y5,EDATE($D97,Milestones!$AA$108)&lt;PolicyEff),1,Milestones!$AC$108)&amp;";  ","")&amp;IF(AND(EDATE($D97,Milestones!$AA$109)&lt;=AsOfDate,EDATE($D97,Milestones!$AA$109)&gt;=SchemeStart,IF($X97=0,$AD97,IF(AND($Z97&lt;&gt;"",EDATE($D97,Milestones!$AA$109)&gt;=$Z97),$AC97,IF(AND($Y97&lt;&gt;"",EDATE($D97,Milestones!$AA$109)&gt;=$Y97),$AB97,$AA97)))=Milestones!$AB$109),UPPER(TEXT(EDATE($D97,Milestones!$AA$109),"dd mmm yy"))&amp;" "&amp;Milestones!$AB$109&amp;" "&amp;IF(AND(Milestones!$AB$109="FT",Milestones!$AA$109=FT_Y5,EDATE($D97,Milestones!$AA$109)&lt;PolicyEff),1,Milestones!$AC$109)&amp;";  ","")&amp;IF(AND(EDATE($D97,Milestones!$AA$110)&lt;=AsOfDate,EDATE($D97,Milestones!$AA$110)&gt;=SchemeStart,IF($X97=0,$AD97,IF(AND($Z97&lt;&gt;"",EDATE($D97,Milestones!$AA$110)&gt;=$Z97),$AC97,IF(AND($Y97&lt;&gt;"",EDATE($D97,Milestones!$AA$110)&gt;=$Y97),$AB97,$AA97)))=Milestones!$AB$110),UPPER(TEXT(EDATE($D97,Milestones!$AA$110),"dd mmm yy"))&amp;" "&amp;Milestones!$AB$110&amp;" "&amp;IF(AND(Milestones!$AB$110="FT",Milestones!$AA$110=FT_Y5,EDATE($D97,Milestones!$AA$110)&lt;PolicyEff),1,Milestones!$AC$110)&amp;";  ","")&amp;IF(AND(EDATE($D97,Milestones!$AA$111)&lt;=AsOfDate,EDATE($D97,Milestones!$AA$111)&gt;=SchemeStart,IF($X97=0,$AD97,IF(AND($Z97&lt;&gt;"",EDATE($D97,Milestones!$AA$111)&gt;=$Z97),$AC97,IF(AND($Y97&lt;&gt;"",EDATE($D97,Milestones!$AA$111)&gt;=$Y97),$AB97,$AA97)))=Milestones!$AB$111),UPPER(TEXT(EDATE($D97,Milestones!$AA$111),"dd mmm yy"))&amp;" "&amp;Milestones!$AB$111&amp;" "&amp;IF(AND(Milestones!$AB$111="FT",Milestones!$AA$111=FT_Y5,EDATE($D97,Milestones!$AA$111)&lt;PolicyEff),1,Milestones!$AC$111)&amp;";  ","")&amp;IF(AND(EDATE($D97,Milestones!$AA$112)&lt;=AsOfDate,EDATE($D97,Milestones!$AA$112)&gt;=SchemeStart,IF($X97=0,$AD97,IF(AND($Z97&lt;&gt;"",EDATE($D97,Milestones!$AA$112)&gt;=$Z97),$AC97,IF(AND($Y97&lt;&gt;"",EDATE($D97,Milestones!$AA$112)&gt;=$Y97),$AB97,$AA97)))=Milestones!$AB$112),UPPER(TEXT(EDATE($D97,Milestones!$AA$112),"dd mmm yy"))&amp;" "&amp;Milestones!$AB$112&amp;" "&amp;IF(AND(Milestones!$AB$112="FT",Milestones!$AA$112=FT_Y5,EDATE($D97,Milestones!$AA$112)&lt;PolicyEff),1,Milestones!$AC$112)&amp;";  ","")&amp;IF(AND(EDATE($D97,Milestones!$AA$113)&lt;=AsOfDate,EDATE($D97,Milestones!$AA$113)&gt;=SchemeStart,IF($X97=0,$AD97,IF(AND($Z97&lt;&gt;"",EDATE($D97,Milestones!$AA$113)&gt;=$Z97),$AC97,IF(AND($Y97&lt;&gt;"",EDATE($D97,Milestones!$AA$113)&gt;=$Y97),$AB97,$AA97)))=Milestones!$AB$113),UPPER(TEXT(EDATE($D97,Milestones!$AA$113),"dd mmm yy"))&amp;" "&amp;Milestones!$AB$113&amp;" "&amp;IF(AND(Milestones!$AB$113="FT",Milestones!$AA$113=FT_Y5,EDATE($D97,Milestones!$AA$113)&lt;PolicyEff),1,Milestones!$AC$113)&amp;";  ","")&amp;IF(AND(EDATE($D97,Milestones!$AA$114)&lt;=AsOfDate,EDATE($D97,Milestones!$AA$114)&gt;=SchemeStart,IF($X97=0,$AD97,IF(AND($Z97&lt;&gt;"",EDATE($D97,Milestones!$AA$114)&gt;=$Z97),$AC97,IF(AND($Y97&lt;&gt;"",EDATE($D97,Milestones!$AA$114)&gt;=$Y97),$AB97,$AA97)))=Milestones!$AB$114),UPPER(TEXT(EDATE($D97,Milestones!$AA$114),"dd mmm yy"))&amp;" "&amp;Milestones!$AB$114&amp;" "&amp;IF(AND(Milestones!$AB$114="FT",Milestones!$AA$114=FT_Y5,EDATE($D97,Milestones!$AA$114)&lt;PolicyEff),1,Milestones!$AC$114)&amp;";  ","")&amp;IF(AND(EDATE($D97,Milestones!$AA$115)&lt;=AsOfDate,EDATE($D97,Milestones!$AA$115)&gt;=SchemeStart,IF($X97=0,$AD97,IF(AND($Z97&lt;&gt;"",EDATE($D97,Milestones!$AA$115)&gt;=$Z97),$AC97,IF(AND($Y97&lt;&gt;"",EDATE($D97,Milestones!$AA$115)&gt;=$Y97),$AB97,$AA97)))=Milestones!$AB$115),UPPER(TEXT(EDATE($D97,Milestones!$AA$115),"dd mmm yy"))&amp;" "&amp;Milestones!$AB$115&amp;" "&amp;IF(AND(Milestones!$AB$115="FT",Milestones!$AA$115=FT_Y5,EDATE($D97,Milestones!$AA$115)&lt;PolicyEff),1,Milestones!$AC$115)&amp;";  ",""))</f>
        <v/>
      </c>
      <c r="Q97" s="0" t="str">
        <f aca="false">IF(OR($A97="",$D97=""),"",IF(AND(EDATE($D97,Milestones!$AA$116)&lt;=AsOfDate,EDATE($D97,Milestones!$AA$116)&gt;=SchemeStart,IF($X97=0,$AD97,IF(AND($Z97&lt;&gt;"",EDATE($D97,Milestones!$AA$116)&gt;=$Z97),$AC97,IF(AND($Y97&lt;&gt;"",EDATE($D97,Milestones!$AA$116)&gt;=$Y97),$AB97,$AA97)))=Milestones!$AB$116),UPPER(TEXT(EDATE($D97,Milestones!$AA$116),"dd mmm yy"))&amp;" "&amp;Milestones!$AB$116&amp;" "&amp;IF(AND(Milestones!$AB$116="FT",Milestones!$AA$116=FT_Y5,EDATE($D97,Milestones!$AA$116)&lt;PolicyEff),1,Milestones!$AC$116)&amp;";  ","")&amp;IF(AND(EDATE($D97,Milestones!$AA$117)&lt;=AsOfDate,EDATE($D97,Milestones!$AA$117)&gt;=SchemeStart,IF($X97=0,$AD97,IF(AND($Z97&lt;&gt;"",EDATE($D97,Milestones!$AA$117)&gt;=$Z97),$AC97,IF(AND($Y97&lt;&gt;"",EDATE($D97,Milestones!$AA$117)&gt;=$Y97),$AB97,$AA97)))=Milestones!$AB$117),UPPER(TEXT(EDATE($D97,Milestones!$AA$117),"dd mmm yy"))&amp;" "&amp;Milestones!$AB$117&amp;" "&amp;IF(AND(Milestones!$AB$117="FT",Milestones!$AA$117=FT_Y5,EDATE($D97,Milestones!$AA$117)&lt;PolicyEff),1,Milestones!$AC$117)&amp;";  ","")&amp;IF(AND(EDATE($D97,Milestones!$AA$118)&lt;=AsOfDate,EDATE($D97,Milestones!$AA$118)&gt;=SchemeStart,IF($X97=0,$AD97,IF(AND($Z97&lt;&gt;"",EDATE($D97,Milestones!$AA$118)&gt;=$Z97),$AC97,IF(AND($Y97&lt;&gt;"",EDATE($D97,Milestones!$AA$118)&gt;=$Y97),$AB97,$AA97)))=Milestones!$AB$118),UPPER(TEXT(EDATE($D97,Milestones!$AA$118),"dd mmm yy"))&amp;" "&amp;Milestones!$AB$118&amp;" "&amp;IF(AND(Milestones!$AB$118="FT",Milestones!$AA$118=FT_Y5,EDATE($D97,Milestones!$AA$118)&lt;PolicyEff),1,Milestones!$AC$118)&amp;";  ","")&amp;IF(AND(EDATE($D97,Milestones!$AA$119)&lt;=AsOfDate,EDATE($D97,Milestones!$AA$119)&gt;=SchemeStart,IF($X97=0,$AD97,IF(AND($Z97&lt;&gt;"",EDATE($D97,Milestones!$AA$119)&gt;=$Z97),$AC97,IF(AND($Y97&lt;&gt;"",EDATE($D97,Milestones!$AA$119)&gt;=$Y97),$AB97,$AA97)))=Milestones!$AB$119),UPPER(TEXT(EDATE($D97,Milestones!$AA$119),"dd mmm yy"))&amp;" "&amp;Milestones!$AB$119&amp;" "&amp;IF(AND(Milestones!$AB$119="FT",Milestones!$AA$119=FT_Y5,EDATE($D97,Milestones!$AA$119)&lt;PolicyEff),1,Milestones!$AC$119)&amp;";  ","")&amp;IF(AND(EDATE($D97,Milestones!$AA$120)&lt;=AsOfDate,EDATE($D97,Milestones!$AA$120)&gt;=SchemeStart,IF($X97=0,$AD97,IF(AND($Z97&lt;&gt;"",EDATE($D97,Milestones!$AA$120)&gt;=$Z97),$AC97,IF(AND($Y97&lt;&gt;"",EDATE($D97,Milestones!$AA$120)&gt;=$Y97),$AB97,$AA97)))=Milestones!$AB$120),UPPER(TEXT(EDATE($D97,Milestones!$AA$120),"dd mmm yy"))&amp;" "&amp;Milestones!$AB$120&amp;" "&amp;IF(AND(Milestones!$AB$120="FT",Milestones!$AA$120=FT_Y5,EDATE($D97,Milestones!$AA$120)&lt;PolicyEff),1,Milestones!$AC$120)&amp;";  ","")&amp;IF(AND(EDATE($D97,Milestones!$AA$121)&lt;=AsOfDate,EDATE($D97,Milestones!$AA$121)&gt;=SchemeStart,IF($X97=0,$AD97,IF(AND($Z97&lt;&gt;"",EDATE($D97,Milestones!$AA$121)&gt;=$Z97),$AC97,IF(AND($Y97&lt;&gt;"",EDATE($D97,Milestones!$AA$121)&gt;=$Y97),$AB97,$AA97)))=Milestones!$AB$121),UPPER(TEXT(EDATE($D97,Milestones!$AA$121),"dd mmm yy"))&amp;" "&amp;Milestones!$AB$121&amp;" "&amp;IF(AND(Milestones!$AB$121="FT",Milestones!$AA$121=FT_Y5,EDATE($D97,Milestones!$AA$121)&lt;PolicyEff),1,Milestones!$AC$121)&amp;";  ","")&amp;IF(AND(EDATE($D97,Milestones!$AA$122)&lt;=AsOfDate,EDATE($D97,Milestones!$AA$122)&gt;=SchemeStart,IF($X97=0,$AD97,IF(AND($Z97&lt;&gt;"",EDATE($D97,Milestones!$AA$122)&gt;=$Z97),$AC97,IF(AND($Y97&lt;&gt;"",EDATE($D97,Milestones!$AA$122)&gt;=$Y97),$AB97,$AA97)))=Milestones!$AB$122),UPPER(TEXT(EDATE($D97,Milestones!$AA$122),"dd mmm yy"))&amp;" "&amp;Milestones!$AB$122&amp;" "&amp;IF(AND(Milestones!$AB$122="FT",Milestones!$AA$122=FT_Y5,EDATE($D97,Milestones!$AA$122)&lt;PolicyEff),1,Milestones!$AC$122)&amp;";  ","")&amp;IF(AND(EDATE($D97,Milestones!$AA$123)&lt;=AsOfDate,EDATE($D97,Milestones!$AA$123)&gt;=SchemeStart,IF($X97=0,$AD97,IF(AND($Z97&lt;&gt;"",EDATE($D97,Milestones!$AA$123)&gt;=$Z97),$AC97,IF(AND($Y97&lt;&gt;"",EDATE($D97,Milestones!$AA$123)&gt;=$Y97),$AB97,$AA97)))=Milestones!$AB$123),UPPER(TEXT(EDATE($D97,Milestones!$AA$123),"dd mmm yy"))&amp;" "&amp;Milestones!$AB$123&amp;" "&amp;IF(AND(Milestones!$AB$123="FT",Milestones!$AA$123=FT_Y5,EDATE($D97,Milestones!$AA$123)&lt;PolicyEff),1,Milestones!$AC$123)&amp;";  ","")&amp;IF(AND(EDATE($D97,Milestones!$AA$124)&lt;=AsOfDate,EDATE($D97,Milestones!$AA$124)&gt;=SchemeStart,IF($X97=0,$AD97,IF(AND($Z97&lt;&gt;"",EDATE($D97,Milestones!$AA$124)&gt;=$Z97),$AC97,IF(AND($Y97&lt;&gt;"",EDATE($D97,Milestones!$AA$124)&gt;=$Y97),$AB97,$AA97)))=Milestones!$AB$124),UPPER(TEXT(EDATE($D97,Milestones!$AA$124),"dd mmm yy"))&amp;" "&amp;Milestones!$AB$124&amp;" "&amp;IF(AND(Milestones!$AB$124="FT",Milestones!$AA$124=FT_Y5,EDATE($D97,Milestones!$AA$124)&lt;PolicyEff),1,Milestones!$AC$124)&amp;";  ","")&amp;IF(AND(EDATE($D97,Milestones!$AA$125)&lt;=AsOfDate,EDATE($D97,Milestones!$AA$125)&gt;=SchemeStart,IF($X97=0,$AD97,IF(AND($Z97&lt;&gt;"",EDATE($D97,Milestones!$AA$125)&gt;=$Z97),$AC97,IF(AND($Y97&lt;&gt;"",EDATE($D97,Milestones!$AA$125)&gt;=$Y97),$AB97,$AA97)))=Milestones!$AB$125),UPPER(TEXT(EDATE($D97,Milestones!$AA$125),"dd mmm yy"))&amp;" "&amp;Milestones!$AB$125&amp;" "&amp;IF(AND(Milestones!$AB$125="FT",Milestones!$AA$125=FT_Y5,EDATE($D97,Milestones!$AA$125)&lt;PolicyEff),1,Milestones!$AC$125)&amp;";  ","")&amp;IF(AND(EDATE($D97,Milestones!$AA$126)&lt;=AsOfDate,EDATE($D97,Milestones!$AA$126)&gt;=SchemeStart,IF($X97=0,$AD97,IF(AND($Z97&lt;&gt;"",EDATE($D97,Milestones!$AA$126)&gt;=$Z97),$AC97,IF(AND($Y97&lt;&gt;"",EDATE($D97,Milestones!$AA$126)&gt;=$Y97),$AB97,$AA97)))=Milestones!$AB$126),UPPER(TEXT(EDATE($D97,Milestones!$AA$126),"dd mmm yy"))&amp;" "&amp;Milestones!$AB$126&amp;" "&amp;IF(AND(Milestones!$AB$126="FT",Milestones!$AA$126=FT_Y5,EDATE($D97,Milestones!$AA$126)&lt;PolicyEff),1,Milestones!$AC$126)&amp;";  ","")&amp;IF(AND(EDATE($D97,Milestones!$AA$127)&lt;=AsOfDate,EDATE($D97,Milestones!$AA$127)&gt;=SchemeStart,IF($X97=0,$AD97,IF(AND($Z97&lt;&gt;"",EDATE($D97,Milestones!$AA$127)&gt;=$Z97),$AC97,IF(AND($Y97&lt;&gt;"",EDATE($D97,Milestones!$AA$127)&gt;=$Y97),$AB97,$AA97)))=Milestones!$AB$127),UPPER(TEXT(EDATE($D97,Milestones!$AA$127),"dd mmm yy"))&amp;" "&amp;Milestones!$AB$127&amp;" "&amp;IF(AND(Milestones!$AB$127="FT",Milestones!$AA$127=FT_Y5,EDATE($D97,Milestones!$AA$127)&lt;PolicyEff),1,Milestones!$AC$127)&amp;";  ",""))</f>
        <v/>
      </c>
      <c r="R97" s="0" t="str">
        <f aca="false">IF(OR($A97="",$D97=""),"",IF(AND(EDATE($D97,Milestones!$AA$128)&lt;=AsOfDate,EDATE($D97,Milestones!$AA$128)&gt;=SchemeStart,IF($X97=0,$AD97,IF(AND($Z97&lt;&gt;"",EDATE($D97,Milestones!$AA$128)&gt;=$Z97),$AC97,IF(AND($Y97&lt;&gt;"",EDATE($D97,Milestones!$AA$128)&gt;=$Y97),$AB97,$AA97)))=Milestones!$AB$128),UPPER(TEXT(EDATE($D97,Milestones!$AA$128),"dd mmm yy"))&amp;" "&amp;Milestones!$AB$128&amp;" "&amp;IF(AND(Milestones!$AB$128="FT",Milestones!$AA$128=FT_Y5,EDATE($D97,Milestones!$AA$128)&lt;PolicyEff),1,Milestones!$AC$128)&amp;";  ","")&amp;IF(AND(EDATE($D97,Milestones!$AA$129)&lt;=AsOfDate,EDATE($D97,Milestones!$AA$129)&gt;=SchemeStart,IF($X97=0,$AD97,IF(AND($Z97&lt;&gt;"",EDATE($D97,Milestones!$AA$129)&gt;=$Z97),$AC97,IF(AND($Y97&lt;&gt;"",EDATE($D97,Milestones!$AA$129)&gt;=$Y97),$AB97,$AA97)))=Milestones!$AB$129),UPPER(TEXT(EDATE($D97,Milestones!$AA$129),"dd mmm yy"))&amp;" "&amp;Milestones!$AB$129&amp;" "&amp;IF(AND(Milestones!$AB$129="FT",Milestones!$AA$129=FT_Y5,EDATE($D97,Milestones!$AA$129)&lt;PolicyEff),1,Milestones!$AC$129)&amp;";  ","")&amp;IF(AND(EDATE($D97,Milestones!$AA$130)&lt;=AsOfDate,EDATE($D97,Milestones!$AA$130)&gt;=SchemeStart,IF($X97=0,$AD97,IF(AND($Z97&lt;&gt;"",EDATE($D97,Milestones!$AA$130)&gt;=$Z97),$AC97,IF(AND($Y97&lt;&gt;"",EDATE($D97,Milestones!$AA$130)&gt;=$Y97),$AB97,$AA97)))=Milestones!$AB$130),UPPER(TEXT(EDATE($D97,Milestones!$AA$130),"dd mmm yy"))&amp;" "&amp;Milestones!$AB$130&amp;" "&amp;IF(AND(Milestones!$AB$130="FT",Milestones!$AA$130=FT_Y5,EDATE($D97,Milestones!$AA$130)&lt;PolicyEff),1,Milestones!$AC$130)&amp;";  ","")&amp;IF(AND(EDATE($D97,Milestones!$AA$131)&lt;=AsOfDate,EDATE($D97,Milestones!$AA$131)&gt;=SchemeStart,IF($X97=0,$AD97,IF(AND($Z97&lt;&gt;"",EDATE($D97,Milestones!$AA$131)&gt;=$Z97),$AC97,IF(AND($Y97&lt;&gt;"",EDATE($D97,Milestones!$AA$131)&gt;=$Y97),$AB97,$AA97)))=Milestones!$AB$131),UPPER(TEXT(EDATE($D97,Milestones!$AA$131),"dd mmm yy"))&amp;" "&amp;Milestones!$AB$131&amp;" "&amp;IF(AND(Milestones!$AB$131="FT",Milestones!$AA$131=FT_Y5,EDATE($D97,Milestones!$AA$131)&lt;PolicyEff),1,Milestones!$AC$131)&amp;";  ","")&amp;IF(AND(EDATE($D97,Milestones!$AA$132)&lt;=AsOfDate,EDATE($D97,Milestones!$AA$132)&gt;=SchemeStart,IF($X97=0,$AD97,IF(AND($Z97&lt;&gt;"",EDATE($D97,Milestones!$AA$132)&gt;=$Z97),$AC97,IF(AND($Y97&lt;&gt;"",EDATE($D97,Milestones!$AA$132)&gt;=$Y97),$AB97,$AA97)))=Milestones!$AB$132),UPPER(TEXT(EDATE($D97,Milestones!$AA$132),"dd mmm yy"))&amp;" "&amp;Milestones!$AB$132&amp;" "&amp;IF(AND(Milestones!$AB$132="FT",Milestones!$AA$132=FT_Y5,EDATE($D97,Milestones!$AA$132)&lt;PolicyEff),1,Milestones!$AC$132)&amp;";  ","")&amp;IF(AND(EDATE($D97,Milestones!$AA$133)&lt;=AsOfDate,EDATE($D97,Milestones!$AA$133)&gt;=SchemeStart,IF($X97=0,$AD97,IF(AND($Z97&lt;&gt;"",EDATE($D97,Milestones!$AA$133)&gt;=$Z97),$AC97,IF(AND($Y97&lt;&gt;"",EDATE($D97,Milestones!$AA$133)&gt;=$Y97),$AB97,$AA97)))=Milestones!$AB$133),UPPER(TEXT(EDATE($D97,Milestones!$AA$133),"dd mmm yy"))&amp;" "&amp;Milestones!$AB$133&amp;" "&amp;IF(AND(Milestones!$AB$133="FT",Milestones!$AA$133=FT_Y5,EDATE($D97,Milestones!$AA$133)&lt;PolicyEff),1,Milestones!$AC$133)&amp;";  ","")&amp;IF(AND(EDATE($D97,Milestones!$AA$134)&lt;=AsOfDate,EDATE($D97,Milestones!$AA$134)&gt;=SchemeStart,IF($X97=0,$AD97,IF(AND($Z97&lt;&gt;"",EDATE($D97,Milestones!$AA$134)&gt;=$Z97),$AC97,IF(AND($Y97&lt;&gt;"",EDATE($D97,Milestones!$AA$134)&gt;=$Y97),$AB97,$AA97)))=Milestones!$AB$134),UPPER(TEXT(EDATE($D97,Milestones!$AA$134),"dd mmm yy"))&amp;" "&amp;Milestones!$AB$134&amp;" "&amp;IF(AND(Milestones!$AB$134="FT",Milestones!$AA$134=FT_Y5,EDATE($D97,Milestones!$AA$134)&lt;PolicyEff),1,Milestones!$AC$134)&amp;";  ","")&amp;IF(AND(EDATE($D97,Milestones!$AA$135)&lt;=AsOfDate,EDATE($D97,Milestones!$AA$135)&gt;=SchemeStart,IF($X97=0,$AD97,IF(AND($Z97&lt;&gt;"",EDATE($D97,Milestones!$AA$135)&gt;=$Z97),$AC97,IF(AND($Y97&lt;&gt;"",EDATE($D97,Milestones!$AA$135)&gt;=$Y97),$AB97,$AA97)))=Milestones!$AB$135),UPPER(TEXT(EDATE($D97,Milestones!$AA$135),"dd mmm yy"))&amp;" "&amp;Milestones!$AB$135&amp;" "&amp;IF(AND(Milestones!$AB$135="FT",Milestones!$AA$135=FT_Y5,EDATE($D97,Milestones!$AA$135)&lt;PolicyEff),1,Milestones!$AC$135)&amp;";  ","")&amp;IF(AND(EDATE($D97,Milestones!$AA$136)&lt;=AsOfDate,EDATE($D97,Milestones!$AA$136)&gt;=SchemeStart,IF($X97=0,$AD97,IF(AND($Z97&lt;&gt;"",EDATE($D97,Milestones!$AA$136)&gt;=$Z97),$AC97,IF(AND($Y97&lt;&gt;"",EDATE($D97,Milestones!$AA$136)&gt;=$Y97),$AB97,$AA97)))=Milestones!$AB$136),UPPER(TEXT(EDATE($D97,Milestones!$AA$136),"dd mmm yy"))&amp;" "&amp;Milestones!$AB$136&amp;" "&amp;IF(AND(Milestones!$AB$136="FT",Milestones!$AA$136=FT_Y5,EDATE($D97,Milestones!$AA$136)&lt;PolicyEff),1,Milestones!$AC$136)&amp;";  ","")&amp;IF(AND(EDATE($D97,Milestones!$AA$137)&lt;=AsOfDate,EDATE($D97,Milestones!$AA$137)&gt;=SchemeStart,IF($X97=0,$AD97,IF(AND($Z97&lt;&gt;"",EDATE($D97,Milestones!$AA$137)&gt;=$Z97),$AC97,IF(AND($Y97&lt;&gt;"",EDATE($D97,Milestones!$AA$137)&gt;=$Y97),$AB97,$AA97)))=Milestones!$AB$137),UPPER(TEXT(EDATE($D97,Milestones!$AA$137),"dd mmm yy"))&amp;" "&amp;Milestones!$AB$137&amp;" "&amp;IF(AND(Milestones!$AB$137="FT",Milestones!$AA$137=FT_Y5,EDATE($D97,Milestones!$AA$137)&lt;PolicyEff),1,Milestones!$AC$137)&amp;";  ","")&amp;IF(AND(EDATE($D97,Milestones!$AA$138)&lt;=AsOfDate,EDATE($D97,Milestones!$AA$138)&gt;=SchemeStart,IF($X97=0,$AD97,IF(AND($Z97&lt;&gt;"",EDATE($D97,Milestones!$AA$138)&gt;=$Z97),$AC97,IF(AND($Y97&lt;&gt;"",EDATE($D97,Milestones!$AA$138)&gt;=$Y97),$AB97,$AA97)))=Milestones!$AB$138),UPPER(TEXT(EDATE($D97,Milestones!$AA$138),"dd mmm yy"))&amp;" "&amp;Milestones!$AB$138&amp;" "&amp;IF(AND(Milestones!$AB$138="FT",Milestones!$AA$138=FT_Y5,EDATE($D97,Milestones!$AA$138)&lt;PolicyEff),1,Milestones!$AC$138)&amp;";  ","")&amp;IF(AND(EDATE($D97,Milestones!$AA$139)&lt;=AsOfDate,EDATE($D97,Milestones!$AA$139)&gt;=SchemeStart,IF($X97=0,$AD97,IF(AND($Z97&lt;&gt;"",EDATE($D97,Milestones!$AA$139)&gt;=$Z97),$AC97,IF(AND($Y97&lt;&gt;"",EDATE($D97,Milestones!$AA$139)&gt;=$Y97),$AB97,$AA97)))=Milestones!$AB$139),UPPER(TEXT(EDATE($D97,Milestones!$AA$139),"dd mmm yy"))&amp;" "&amp;Milestones!$AB$139&amp;" "&amp;IF(AND(Milestones!$AB$139="FT",Milestones!$AA$139=FT_Y5,EDATE($D97,Milestones!$AA$139)&lt;PolicyEff),1,Milestones!$AC$139)&amp;";  ",""))</f>
        <v/>
      </c>
      <c r="S97" s="0" t="str">
        <f aca="false">IF(OR($A97="",$D97=""),"",IF(AND(EDATE($D97,Milestones!$AA$140)&lt;=AsOfDate,EDATE($D97,Milestones!$AA$140)&gt;=SchemeStart,IF($X97=0,$AD97,IF(AND($Z97&lt;&gt;"",EDATE($D97,Milestones!$AA$140)&gt;=$Z97),$AC97,IF(AND($Y97&lt;&gt;"",EDATE($D97,Milestones!$AA$140)&gt;=$Y97),$AB97,$AA97)))=Milestones!$AB$140),UPPER(TEXT(EDATE($D97,Milestones!$AA$140),"dd mmm yy"))&amp;" "&amp;Milestones!$AB$140&amp;" "&amp;IF(AND(Milestones!$AB$140="FT",Milestones!$AA$140=FT_Y5,EDATE($D97,Milestones!$AA$140)&lt;PolicyEff),1,Milestones!$AC$140)&amp;";  ","")&amp;IF(AND(EDATE($D97,Milestones!$AA$141)&lt;=AsOfDate,EDATE($D97,Milestones!$AA$141)&gt;=SchemeStart,IF($X97=0,$AD97,IF(AND($Z97&lt;&gt;"",EDATE($D97,Milestones!$AA$141)&gt;=$Z97),$AC97,IF(AND($Y97&lt;&gt;"",EDATE($D97,Milestones!$AA$141)&gt;=$Y97),$AB97,$AA97)))=Milestones!$AB$141),UPPER(TEXT(EDATE($D97,Milestones!$AA$141),"dd mmm yy"))&amp;" "&amp;Milestones!$AB$141&amp;" "&amp;IF(AND(Milestones!$AB$141="FT",Milestones!$AA$141=FT_Y5,EDATE($D97,Milestones!$AA$141)&lt;PolicyEff),1,Milestones!$AC$141)&amp;";  ","")&amp;IF(AND(EDATE($D97,Milestones!$AA$142)&lt;=AsOfDate,EDATE($D97,Milestones!$AA$142)&gt;=SchemeStart,IF($X97=0,$AD97,IF(AND($Z97&lt;&gt;"",EDATE($D97,Milestones!$AA$142)&gt;=$Z97),$AC97,IF(AND($Y97&lt;&gt;"",EDATE($D97,Milestones!$AA$142)&gt;=$Y97),$AB97,$AA97)))=Milestones!$AB$142),UPPER(TEXT(EDATE($D97,Milestones!$AA$142),"dd mmm yy"))&amp;" "&amp;Milestones!$AB$142&amp;" "&amp;IF(AND(Milestones!$AB$142="FT",Milestones!$AA$142=FT_Y5,EDATE($D97,Milestones!$AA$142)&lt;PolicyEff),1,Milestones!$AC$142)&amp;";  ","")&amp;IF(AND(EDATE($D97,Milestones!$AA$143)&lt;=AsOfDate,EDATE($D97,Milestones!$AA$143)&gt;=SchemeStart,IF($X97=0,$AD97,IF(AND($Z97&lt;&gt;"",EDATE($D97,Milestones!$AA$143)&gt;=$Z97),$AC97,IF(AND($Y97&lt;&gt;"",EDATE($D97,Milestones!$AA$143)&gt;=$Y97),$AB97,$AA97)))=Milestones!$AB$143),UPPER(TEXT(EDATE($D97,Milestones!$AA$143),"dd mmm yy"))&amp;" "&amp;Milestones!$AB$143&amp;" "&amp;IF(AND(Milestones!$AB$143="FT",Milestones!$AA$143=FT_Y5,EDATE($D97,Milestones!$AA$143)&lt;PolicyEff),1,Milestones!$AC$143)&amp;";  ","")&amp;IF(AND(EDATE($D97,Milestones!$AA$144)&lt;=AsOfDate,EDATE($D97,Milestones!$AA$144)&gt;=SchemeStart,IF($X97=0,$AD97,IF(AND($Z97&lt;&gt;"",EDATE($D97,Milestones!$AA$144)&gt;=$Z97),$AC97,IF(AND($Y97&lt;&gt;"",EDATE($D97,Milestones!$AA$144)&gt;=$Y97),$AB97,$AA97)))=Milestones!$AB$144),UPPER(TEXT(EDATE($D97,Milestones!$AA$144),"dd mmm yy"))&amp;" "&amp;Milestones!$AB$144&amp;" "&amp;IF(AND(Milestones!$AB$144="FT",Milestones!$AA$144=FT_Y5,EDATE($D97,Milestones!$AA$144)&lt;PolicyEff),1,Milestones!$AC$144)&amp;";  ","")&amp;IF(AND(EDATE($D97,Milestones!$AA$145)&lt;=AsOfDate,EDATE($D97,Milestones!$AA$145)&gt;=SchemeStart,IF($X97=0,$AD97,IF(AND($Z97&lt;&gt;"",EDATE($D97,Milestones!$AA$145)&gt;=$Z97),$AC97,IF(AND($Y97&lt;&gt;"",EDATE($D97,Milestones!$AA$145)&gt;=$Y97),$AB97,$AA97)))=Milestones!$AB$145),UPPER(TEXT(EDATE($D97,Milestones!$AA$145),"dd mmm yy"))&amp;" "&amp;Milestones!$AB$145&amp;" "&amp;IF(AND(Milestones!$AB$145="FT",Milestones!$AA$145=FT_Y5,EDATE($D97,Milestones!$AA$145)&lt;PolicyEff),1,Milestones!$AC$145)&amp;";  ","")&amp;IF(AND(EDATE($D97,Milestones!$AA$146)&lt;=AsOfDate,EDATE($D97,Milestones!$AA$146)&gt;=SchemeStart,IF($X97=0,$AD97,IF(AND($Z97&lt;&gt;"",EDATE($D97,Milestones!$AA$146)&gt;=$Z97),$AC97,IF(AND($Y97&lt;&gt;"",EDATE($D97,Milestones!$AA$146)&gt;=$Y97),$AB97,$AA97)))=Milestones!$AB$146),UPPER(TEXT(EDATE($D97,Milestones!$AA$146),"dd mmm yy"))&amp;" "&amp;Milestones!$AB$146&amp;" "&amp;IF(AND(Milestones!$AB$146="FT",Milestones!$AA$146=FT_Y5,EDATE($D97,Milestones!$AA$146)&lt;PolicyEff),1,Milestones!$AC$146)&amp;";  ","")&amp;IF(AND(EDATE($D97,Milestones!$AA$147)&lt;=AsOfDate,EDATE($D97,Milestones!$AA$147)&gt;=SchemeStart,IF($X97=0,$AD97,IF(AND($Z97&lt;&gt;"",EDATE($D97,Milestones!$AA$147)&gt;=$Z97),$AC97,IF(AND($Y97&lt;&gt;"",EDATE($D97,Milestones!$AA$147)&gt;=$Y97),$AB97,$AA97)))=Milestones!$AB$147),UPPER(TEXT(EDATE($D97,Milestones!$AA$147),"dd mmm yy"))&amp;" "&amp;Milestones!$AB$147&amp;" "&amp;IF(AND(Milestones!$AB$147="FT",Milestones!$AA$147=FT_Y5,EDATE($D97,Milestones!$AA$147)&lt;PolicyEff),1,Milestones!$AC$147)&amp;";  ","")&amp;IF(AND(EDATE($D97,Milestones!$AA$148)&lt;=AsOfDate,EDATE($D97,Milestones!$AA$148)&gt;=SchemeStart,IF($X97=0,$AD97,IF(AND($Z97&lt;&gt;"",EDATE($D97,Milestones!$AA$148)&gt;=$Z97),$AC97,IF(AND($Y97&lt;&gt;"",EDATE($D97,Milestones!$AA$148)&gt;=$Y97),$AB97,$AA97)))=Milestones!$AB$148),UPPER(TEXT(EDATE($D97,Milestones!$AA$148),"dd mmm yy"))&amp;" "&amp;Milestones!$AB$148&amp;" "&amp;IF(AND(Milestones!$AB$148="FT",Milestones!$AA$148=FT_Y5,EDATE($D97,Milestones!$AA$148)&lt;PolicyEff),1,Milestones!$AC$148)&amp;";  ","")&amp;IF(AND(EDATE($D97,Milestones!$AA$149)&lt;=AsOfDate,EDATE($D97,Milestones!$AA$149)&gt;=SchemeStart,IF($X97=0,$AD97,IF(AND($Z97&lt;&gt;"",EDATE($D97,Milestones!$AA$149)&gt;=$Z97),$AC97,IF(AND($Y97&lt;&gt;"",EDATE($D97,Milestones!$AA$149)&gt;=$Y97),$AB97,$AA97)))=Milestones!$AB$149),UPPER(TEXT(EDATE($D97,Milestones!$AA$149),"dd mmm yy"))&amp;" "&amp;Milestones!$AB$149&amp;" "&amp;IF(AND(Milestones!$AB$149="FT",Milestones!$AA$149=FT_Y5,EDATE($D97,Milestones!$AA$149)&lt;PolicyEff),1,Milestones!$AC$149)&amp;";  ","")&amp;IF(AND(EDATE($D97,Milestones!$AA$150)&lt;=AsOfDate,EDATE($D97,Milestones!$AA$150)&gt;=SchemeStart,IF($X97=0,$AD97,IF(AND($Z97&lt;&gt;"",EDATE($D97,Milestones!$AA$150)&gt;=$Z97),$AC97,IF(AND($Y97&lt;&gt;"",EDATE($D97,Milestones!$AA$150)&gt;=$Y97),$AB97,$AA97)))=Milestones!$AB$150),UPPER(TEXT(EDATE($D97,Milestones!$AA$150),"dd mmm yy"))&amp;" "&amp;Milestones!$AB$150&amp;" "&amp;IF(AND(Milestones!$AB$150="FT",Milestones!$AA$150=FT_Y5,EDATE($D97,Milestones!$AA$150)&lt;PolicyEff),1,Milestones!$AC$150)&amp;";  ","")&amp;IF(AND(EDATE($D97,Milestones!$AA$151)&lt;=AsOfDate,EDATE($D97,Milestones!$AA$151)&gt;=SchemeStart,IF($X97=0,$AD97,IF(AND($Z97&lt;&gt;"",EDATE($D97,Milestones!$AA$151)&gt;=$Z97),$AC97,IF(AND($Y97&lt;&gt;"",EDATE($D97,Milestones!$AA$151)&gt;=$Y97),$AB97,$AA97)))=Milestones!$AB$151),UPPER(TEXT(EDATE($D97,Milestones!$AA$151),"dd mmm yy"))&amp;" "&amp;Milestones!$AB$151&amp;" "&amp;IF(AND(Milestones!$AB$151="FT",Milestones!$AA$151=FT_Y5,EDATE($D97,Milestones!$AA$151)&lt;PolicyEff),1,Milestones!$AC$151)&amp;";  ",""))</f>
        <v/>
      </c>
      <c r="T97" s="0" t="str">
        <f aca="false">IF(OR($A97="",$D97=""),"",IF(AND(EDATE($D97,Milestones!$AA$152)&lt;=AsOfDate,EDATE($D97,Milestones!$AA$152)&gt;=SchemeStart,IF($X97=0,$AD97,IF(AND($Z97&lt;&gt;"",EDATE($D97,Milestones!$AA$152)&gt;=$Z97),$AC97,IF(AND($Y97&lt;&gt;"",EDATE($D97,Milestones!$AA$152)&gt;=$Y97),$AB97,$AA97)))=Milestones!$AB$152),UPPER(TEXT(EDATE($D97,Milestones!$AA$152),"dd mmm yy"))&amp;" "&amp;Milestones!$AB$152&amp;" "&amp;IF(AND(Milestones!$AB$152="FT",Milestones!$AA$152=FT_Y5,EDATE($D97,Milestones!$AA$152)&lt;PolicyEff),1,Milestones!$AC$152)&amp;";  ","")&amp;IF(AND(EDATE($D97,Milestones!$AA$153)&lt;=AsOfDate,EDATE($D97,Milestones!$AA$153)&gt;=SchemeStart,IF($X97=0,$AD97,IF(AND($Z97&lt;&gt;"",EDATE($D97,Milestones!$AA$153)&gt;=$Z97),$AC97,IF(AND($Y97&lt;&gt;"",EDATE($D97,Milestones!$AA$153)&gt;=$Y97),$AB97,$AA97)))=Milestones!$AB$153),UPPER(TEXT(EDATE($D97,Milestones!$AA$153),"dd mmm yy"))&amp;" "&amp;Milestones!$AB$153&amp;" "&amp;IF(AND(Milestones!$AB$153="FT",Milestones!$AA$153=FT_Y5,EDATE($D97,Milestones!$AA$153)&lt;PolicyEff),1,Milestones!$AC$153)&amp;";  ","")&amp;IF(AND(EDATE($D97,Milestones!$AA$154)&lt;=AsOfDate,EDATE($D97,Milestones!$AA$154)&gt;=SchemeStart,IF($X97=0,$AD97,IF(AND($Z97&lt;&gt;"",EDATE($D97,Milestones!$AA$154)&gt;=$Z97),$AC97,IF(AND($Y97&lt;&gt;"",EDATE($D97,Milestones!$AA$154)&gt;=$Y97),$AB97,$AA97)))=Milestones!$AB$154),UPPER(TEXT(EDATE($D97,Milestones!$AA$154),"dd mmm yy"))&amp;" "&amp;Milestones!$AB$154&amp;" "&amp;IF(AND(Milestones!$AB$154="FT",Milestones!$AA$154=FT_Y5,EDATE($D97,Milestones!$AA$154)&lt;PolicyEff),1,Milestones!$AC$154)&amp;";  ","")&amp;IF(AND(EDATE($D97,Milestones!$AA$155)&lt;=AsOfDate,EDATE($D97,Milestones!$AA$155)&gt;=SchemeStart,IF($X97=0,$AD97,IF(AND($Z97&lt;&gt;"",EDATE($D97,Milestones!$AA$155)&gt;=$Z97),$AC97,IF(AND($Y97&lt;&gt;"",EDATE($D97,Milestones!$AA$155)&gt;=$Y97),$AB97,$AA97)))=Milestones!$AB$155),UPPER(TEXT(EDATE($D97,Milestones!$AA$155),"dd mmm yy"))&amp;" "&amp;Milestones!$AB$155&amp;" "&amp;IF(AND(Milestones!$AB$155="FT",Milestones!$AA$155=FT_Y5,EDATE($D97,Milestones!$AA$155)&lt;PolicyEff),1,Milestones!$AC$155)&amp;";  ","")&amp;IF(AND(EDATE($D97,Milestones!$AA$156)&lt;=AsOfDate,EDATE($D97,Milestones!$AA$156)&gt;=SchemeStart,IF($X97=0,$AD97,IF(AND($Z97&lt;&gt;"",EDATE($D97,Milestones!$AA$156)&gt;=$Z97),$AC97,IF(AND($Y97&lt;&gt;"",EDATE($D97,Milestones!$AA$156)&gt;=$Y97),$AB97,$AA97)))=Milestones!$AB$156),UPPER(TEXT(EDATE($D97,Milestones!$AA$156),"dd mmm yy"))&amp;" "&amp;Milestones!$AB$156&amp;" "&amp;IF(AND(Milestones!$AB$156="FT",Milestones!$AA$156=FT_Y5,EDATE($D97,Milestones!$AA$156)&lt;PolicyEff),1,Milestones!$AC$156)&amp;";  ","")&amp;IF(AND(EDATE($D97,Milestones!$AA$157)&lt;=AsOfDate,EDATE($D97,Milestones!$AA$157)&gt;=SchemeStart,IF($X97=0,$AD97,IF(AND($Z97&lt;&gt;"",EDATE($D97,Milestones!$AA$157)&gt;=$Z97),$AC97,IF(AND($Y97&lt;&gt;"",EDATE($D97,Milestones!$AA$157)&gt;=$Y97),$AB97,$AA97)))=Milestones!$AB$157),UPPER(TEXT(EDATE($D97,Milestones!$AA$157),"dd mmm yy"))&amp;" "&amp;Milestones!$AB$157&amp;" "&amp;IF(AND(Milestones!$AB$157="FT",Milestones!$AA$157=FT_Y5,EDATE($D97,Milestones!$AA$157)&lt;PolicyEff),1,Milestones!$AC$157)&amp;";  ","")&amp;IF(AND(EDATE($D97,Milestones!$AA$158)&lt;=AsOfDate,EDATE($D97,Milestones!$AA$158)&gt;=SchemeStart,IF($X97=0,$AD97,IF(AND($Z97&lt;&gt;"",EDATE($D97,Milestones!$AA$158)&gt;=$Z97),$AC97,IF(AND($Y97&lt;&gt;"",EDATE($D97,Milestones!$AA$158)&gt;=$Y97),$AB97,$AA97)))=Milestones!$AB$158),UPPER(TEXT(EDATE($D97,Milestones!$AA$158),"dd mmm yy"))&amp;" "&amp;Milestones!$AB$158&amp;" "&amp;IF(AND(Milestones!$AB$158="FT",Milestones!$AA$158=FT_Y5,EDATE($D97,Milestones!$AA$158)&lt;PolicyEff),1,Milestones!$AC$158)&amp;";  ","")&amp;IF(AND(EDATE($D97,Milestones!$AA$159)&lt;=AsOfDate,EDATE($D97,Milestones!$AA$159)&gt;=SchemeStart,IF($X97=0,$AD97,IF(AND($Z97&lt;&gt;"",EDATE($D97,Milestones!$AA$159)&gt;=$Z97),$AC97,IF(AND($Y97&lt;&gt;"",EDATE($D97,Milestones!$AA$159)&gt;=$Y97),$AB97,$AA97)))=Milestones!$AB$159),UPPER(TEXT(EDATE($D97,Milestones!$AA$159),"dd mmm yy"))&amp;" "&amp;Milestones!$AB$159&amp;" "&amp;IF(AND(Milestones!$AB$159="FT",Milestones!$AA$159=FT_Y5,EDATE($D97,Milestones!$AA$159)&lt;PolicyEff),1,Milestones!$AC$159)&amp;";  ","")&amp;IF(AND(EDATE($D97,Milestones!$AA$160)&lt;=AsOfDate,EDATE($D97,Milestones!$AA$160)&gt;=SchemeStart,IF($X97=0,$AD97,IF(AND($Z97&lt;&gt;"",EDATE($D97,Milestones!$AA$160)&gt;=$Z97),$AC97,IF(AND($Y97&lt;&gt;"",EDATE($D97,Milestones!$AA$160)&gt;=$Y97),$AB97,$AA97)))=Milestones!$AB$160),UPPER(TEXT(EDATE($D97,Milestones!$AA$160),"dd mmm yy"))&amp;" "&amp;Milestones!$AB$160&amp;" "&amp;IF(AND(Milestones!$AB$160="FT",Milestones!$AA$160=FT_Y5,EDATE($D97,Milestones!$AA$160)&lt;PolicyEff),1,Milestones!$AC$160)&amp;";  ","")&amp;IF(AND(EDATE($D97,Milestones!$AA$161)&lt;=AsOfDate,EDATE($D97,Milestones!$AA$161)&gt;=SchemeStart,IF($X97=0,$AD97,IF(AND($Z97&lt;&gt;"",EDATE($D97,Milestones!$AA$161)&gt;=$Z97),$AC97,IF(AND($Y97&lt;&gt;"",EDATE($D97,Milestones!$AA$161)&gt;=$Y97),$AB97,$AA97)))=Milestones!$AB$161),UPPER(TEXT(EDATE($D97,Milestones!$AA$161),"dd mmm yy"))&amp;" "&amp;Milestones!$AB$161&amp;" "&amp;IF(AND(Milestones!$AB$161="FT",Milestones!$AA$161=FT_Y5,EDATE($D97,Milestones!$AA$161)&lt;PolicyEff),1,Milestones!$AC$161)&amp;";  ","")&amp;IF(AND(EDATE($D97,Milestones!$AA$162)&lt;=AsOfDate,EDATE($D97,Milestones!$AA$162)&gt;=SchemeStart,IF($X97=0,$AD97,IF(AND($Z97&lt;&gt;"",EDATE($D97,Milestones!$AA$162)&gt;=$Z97),$AC97,IF(AND($Y97&lt;&gt;"",EDATE($D97,Milestones!$AA$162)&gt;=$Y97),$AB97,$AA97)))=Milestones!$AB$162),UPPER(TEXT(EDATE($D97,Milestones!$AA$162),"dd mmm yy"))&amp;" "&amp;Milestones!$AB$162&amp;" "&amp;IF(AND(Milestones!$AB$162="FT",Milestones!$AA$162=FT_Y5,EDATE($D97,Milestones!$AA$162)&lt;PolicyEff),1,Milestones!$AC$162)&amp;";  ","")&amp;IF(AND(EDATE($D97,Milestones!$AA$163)&lt;=AsOfDate,EDATE($D97,Milestones!$AA$163)&gt;=SchemeStart,IF($X97=0,$AD97,IF(AND($Z97&lt;&gt;"",EDATE($D97,Milestones!$AA$163)&gt;=$Z97),$AC97,IF(AND($Y97&lt;&gt;"",EDATE($D97,Milestones!$AA$163)&gt;=$Y97),$AB97,$AA97)))=Milestones!$AB$163),UPPER(TEXT(EDATE($D97,Milestones!$AA$163),"dd mmm yy"))&amp;" "&amp;Milestones!$AB$163&amp;" "&amp;IF(AND(Milestones!$AB$163="FT",Milestones!$AA$163=FT_Y5,EDATE($D97,Milestones!$AA$163)&lt;PolicyEff),1,Milestones!$AC$163)&amp;";  ",""))</f>
        <v/>
      </c>
      <c r="U97" s="0" t="str">
        <f aca="false">IF(OR($A97="",$D97=""),"",IF(AND(EDATE($D97,Milestones!$AA$164)&lt;=AsOfDate,EDATE($D97,Milestones!$AA$164)&gt;=SchemeStart,IF($X97=0,$AD97,IF(AND($Z97&lt;&gt;"",EDATE($D97,Milestones!$AA$164)&gt;=$Z97),$AC97,IF(AND($Y97&lt;&gt;"",EDATE($D97,Milestones!$AA$164)&gt;=$Y97),$AB97,$AA97)))=Milestones!$AB$164),UPPER(TEXT(EDATE($D97,Milestones!$AA$164),"dd mmm yy"))&amp;" "&amp;Milestones!$AB$164&amp;" "&amp;IF(AND(Milestones!$AB$164="FT",Milestones!$AA$164=FT_Y5,EDATE($D97,Milestones!$AA$164)&lt;PolicyEff),1,Milestones!$AC$164)&amp;";  ","")&amp;IF(AND(EDATE($D97,Milestones!$AA$165)&lt;=AsOfDate,EDATE($D97,Milestones!$AA$165)&gt;=SchemeStart,IF($X97=0,$AD97,IF(AND($Z97&lt;&gt;"",EDATE($D97,Milestones!$AA$165)&gt;=$Z97),$AC97,IF(AND($Y97&lt;&gt;"",EDATE($D97,Milestones!$AA$165)&gt;=$Y97),$AB97,$AA97)))=Milestones!$AB$165),UPPER(TEXT(EDATE($D97,Milestones!$AA$165),"dd mmm yy"))&amp;" "&amp;Milestones!$AB$165&amp;" "&amp;IF(AND(Milestones!$AB$165="FT",Milestones!$AA$165=FT_Y5,EDATE($D97,Milestones!$AA$165)&lt;PolicyEff),1,Milestones!$AC$165)&amp;";  ","")&amp;IF(AND(EDATE($D97,Milestones!$AA$166)&lt;=AsOfDate,EDATE($D97,Milestones!$AA$166)&gt;=SchemeStart,IF($X97=0,$AD97,IF(AND($Z97&lt;&gt;"",EDATE($D97,Milestones!$AA$166)&gt;=$Z97),$AC97,IF(AND($Y97&lt;&gt;"",EDATE($D97,Milestones!$AA$166)&gt;=$Y97),$AB97,$AA97)))=Milestones!$AB$166),UPPER(TEXT(EDATE($D97,Milestones!$AA$166),"dd mmm yy"))&amp;" "&amp;Milestones!$AB$166&amp;" "&amp;IF(AND(Milestones!$AB$166="FT",Milestones!$AA$166=FT_Y5,EDATE($D97,Milestones!$AA$166)&lt;PolicyEff),1,Milestones!$AC$166)&amp;";  ","")&amp;IF(AND(EDATE($D97,Milestones!$AA$167)&lt;=AsOfDate,EDATE($D97,Milestones!$AA$167)&gt;=SchemeStart,IF($X97=0,$AD97,IF(AND($Z97&lt;&gt;"",EDATE($D97,Milestones!$AA$167)&gt;=$Z97),$AC97,IF(AND($Y97&lt;&gt;"",EDATE($D97,Milestones!$AA$167)&gt;=$Y97),$AB97,$AA97)))=Milestones!$AB$167),UPPER(TEXT(EDATE($D97,Milestones!$AA$167),"dd mmm yy"))&amp;" "&amp;Milestones!$AB$167&amp;" "&amp;IF(AND(Milestones!$AB$167="FT",Milestones!$AA$167=FT_Y5,EDATE($D97,Milestones!$AA$167)&lt;PolicyEff),1,Milestones!$AC$167)&amp;";  ","")&amp;IF(AND(EDATE($D97,Milestones!$AA$168)&lt;=AsOfDate,EDATE($D97,Milestones!$AA$168)&gt;=SchemeStart,IF($X97=0,$AD97,IF(AND($Z97&lt;&gt;"",EDATE($D97,Milestones!$AA$168)&gt;=$Z97),$AC97,IF(AND($Y97&lt;&gt;"",EDATE($D97,Milestones!$AA$168)&gt;=$Y97),$AB97,$AA97)))=Milestones!$AB$168),UPPER(TEXT(EDATE($D97,Milestones!$AA$168),"dd mmm yy"))&amp;" "&amp;Milestones!$AB$168&amp;" "&amp;IF(AND(Milestones!$AB$168="FT",Milestones!$AA$168=FT_Y5,EDATE($D97,Milestones!$AA$168)&lt;PolicyEff),1,Milestones!$AC$168)&amp;";  ","")&amp;IF(AND(EDATE($D97,Milestones!$AA$169)&lt;=AsOfDate,EDATE($D97,Milestones!$AA$169)&gt;=SchemeStart,IF($X97=0,$AD97,IF(AND($Z97&lt;&gt;"",EDATE($D97,Milestones!$AA$169)&gt;=$Z97),$AC97,IF(AND($Y97&lt;&gt;"",EDATE($D97,Milestones!$AA$169)&gt;=$Y97),$AB97,$AA97)))=Milestones!$AB$169),UPPER(TEXT(EDATE($D97,Milestones!$AA$169),"dd mmm yy"))&amp;" "&amp;Milestones!$AB$169&amp;" "&amp;IF(AND(Milestones!$AB$169="FT",Milestones!$AA$169=FT_Y5,EDATE($D97,Milestones!$AA$169)&lt;PolicyEff),1,Milestones!$AC$169)&amp;";  ","")&amp;IF(AND(EDATE($D97,Milestones!$AA$170)&lt;=AsOfDate,EDATE($D97,Milestones!$AA$170)&gt;=SchemeStart,IF($X97=0,$AD97,IF(AND($Z97&lt;&gt;"",EDATE($D97,Milestones!$AA$170)&gt;=$Z97),$AC97,IF(AND($Y97&lt;&gt;"",EDATE($D97,Milestones!$AA$170)&gt;=$Y97),$AB97,$AA97)))=Milestones!$AB$170),UPPER(TEXT(EDATE($D97,Milestones!$AA$170),"dd mmm yy"))&amp;" "&amp;Milestones!$AB$170&amp;" "&amp;IF(AND(Milestones!$AB$170="FT",Milestones!$AA$170=FT_Y5,EDATE($D97,Milestones!$AA$170)&lt;PolicyEff),1,Milestones!$AC$170)&amp;";  ","")&amp;IF(AND(EDATE($D97,Milestones!$AA$171)&lt;=AsOfDate,EDATE($D97,Milestones!$AA$171)&gt;=SchemeStart,IF($X97=0,$AD97,IF(AND($Z97&lt;&gt;"",EDATE($D97,Milestones!$AA$171)&gt;=$Z97),$AC97,IF(AND($Y97&lt;&gt;"",EDATE($D97,Milestones!$AA$171)&gt;=$Y97),$AB97,$AA97)))=Milestones!$AB$171),UPPER(TEXT(EDATE($D97,Milestones!$AA$171),"dd mmm yy"))&amp;" "&amp;Milestones!$AB$171&amp;" "&amp;IF(AND(Milestones!$AB$171="FT",Milestones!$AA$171=FT_Y5,EDATE($D97,Milestones!$AA$171)&lt;PolicyEff),1,Milestones!$AC$171)&amp;";  ","")&amp;IF(AND(EDATE($D97,Milestones!$AA$172)&lt;=AsOfDate,EDATE($D97,Milestones!$AA$172)&gt;=SchemeStart,IF($X97=0,$AD97,IF(AND($Z97&lt;&gt;"",EDATE($D97,Milestones!$AA$172)&gt;=$Z97),$AC97,IF(AND($Y97&lt;&gt;"",EDATE($D97,Milestones!$AA$172)&gt;=$Y97),$AB97,$AA97)))=Milestones!$AB$172),UPPER(TEXT(EDATE($D97,Milestones!$AA$172),"dd mmm yy"))&amp;" "&amp;Milestones!$AB$172&amp;" "&amp;IF(AND(Milestones!$AB$172="FT",Milestones!$AA$172=FT_Y5,EDATE($D97,Milestones!$AA$172)&lt;PolicyEff),1,Milestones!$AC$172)&amp;";  ","")&amp;IF(AND(EDATE($D97,Milestones!$AA$173)&lt;=AsOfDate,EDATE($D97,Milestones!$AA$173)&gt;=SchemeStart,IF($X97=0,$AD97,IF(AND($Z97&lt;&gt;"",EDATE($D97,Milestones!$AA$173)&gt;=$Z97),$AC97,IF(AND($Y97&lt;&gt;"",EDATE($D97,Milestones!$AA$173)&gt;=$Y97),$AB97,$AA97)))=Milestones!$AB$173),UPPER(TEXT(EDATE($D97,Milestones!$AA$173),"dd mmm yy"))&amp;" "&amp;Milestones!$AB$173&amp;" "&amp;IF(AND(Milestones!$AB$173="FT",Milestones!$AA$173=FT_Y5,EDATE($D97,Milestones!$AA$173)&lt;PolicyEff),1,Milestones!$AC$173)&amp;";  ","")&amp;IF(AND(EDATE($D97,Milestones!$AA$174)&lt;=AsOfDate,EDATE($D97,Milestones!$AA$174)&gt;=SchemeStart,IF($X97=0,$AD97,IF(AND($Z97&lt;&gt;"",EDATE($D97,Milestones!$AA$174)&gt;=$Z97),$AC97,IF(AND($Y97&lt;&gt;"",EDATE($D97,Milestones!$AA$174)&gt;=$Y97),$AB97,$AA97)))=Milestones!$AB$174),UPPER(TEXT(EDATE($D97,Milestones!$AA$174),"dd mmm yy"))&amp;" "&amp;Milestones!$AB$174&amp;" "&amp;IF(AND(Milestones!$AB$174="FT",Milestones!$AA$174=FT_Y5,EDATE($D97,Milestones!$AA$174)&lt;PolicyEff),1,Milestones!$AC$174)&amp;";  ","")&amp;IF(AND(EDATE($D97,Milestones!$AA$175)&lt;=AsOfDate,EDATE($D97,Milestones!$AA$175)&gt;=SchemeStart,IF($X97=0,$AD97,IF(AND($Z97&lt;&gt;"",EDATE($D97,Milestones!$AA$175)&gt;=$Z97),$AC97,IF(AND($Y97&lt;&gt;"",EDATE($D97,Milestones!$AA$175)&gt;=$Y97),$AB97,$AA97)))=Milestones!$AB$175),UPPER(TEXT(EDATE($D97,Milestones!$AA$175),"dd mmm yy"))&amp;" "&amp;Milestones!$AB$175&amp;" "&amp;IF(AND(Milestones!$AB$175="FT",Milestones!$AA$175=FT_Y5,EDATE($D97,Milestones!$AA$175)&lt;PolicyEff),1,Milestones!$AC$175)&amp;";  ",""))</f>
        <v/>
      </c>
      <c r="V97" s="0" t="str">
        <f aca="false">IF(OR($A97="",$D97=""),"",IF(AND(EDATE($D97,Milestones!$AA$176)&lt;=AsOfDate,EDATE($D97,Milestones!$AA$176)&gt;=SchemeStart,IF($X97=0,$AD97,IF(AND($Z97&lt;&gt;"",EDATE($D97,Milestones!$AA$176)&gt;=$Z97),$AC97,IF(AND($Y97&lt;&gt;"",EDATE($D97,Milestones!$AA$176)&gt;=$Y97),$AB97,$AA97)))=Milestones!$AB$176),UPPER(TEXT(EDATE($D97,Milestones!$AA$176),"dd mmm yy"))&amp;" "&amp;Milestones!$AB$176&amp;" "&amp;IF(AND(Milestones!$AB$176="FT",Milestones!$AA$176=FT_Y5,EDATE($D97,Milestones!$AA$176)&lt;PolicyEff),1,Milestones!$AC$176)&amp;";  ","")&amp;IF(AND(EDATE($D97,Milestones!$AA$177)&lt;=AsOfDate,EDATE($D97,Milestones!$AA$177)&gt;=SchemeStart,IF($X97=0,$AD97,IF(AND($Z97&lt;&gt;"",EDATE($D97,Milestones!$AA$177)&gt;=$Z97),$AC97,IF(AND($Y97&lt;&gt;"",EDATE($D97,Milestones!$AA$177)&gt;=$Y97),$AB97,$AA97)))=Milestones!$AB$177),UPPER(TEXT(EDATE($D97,Milestones!$AA$177),"dd mmm yy"))&amp;" "&amp;Milestones!$AB$177&amp;" "&amp;IF(AND(Milestones!$AB$177="FT",Milestones!$AA$177=FT_Y5,EDATE($D97,Milestones!$AA$177)&lt;PolicyEff),1,Milestones!$AC$177)&amp;";  ","")&amp;IF(AND(EDATE($D97,Milestones!$AA$178)&lt;=AsOfDate,EDATE($D97,Milestones!$AA$178)&gt;=SchemeStart,IF($X97=0,$AD97,IF(AND($Z97&lt;&gt;"",EDATE($D97,Milestones!$AA$178)&gt;=$Z97),$AC97,IF(AND($Y97&lt;&gt;"",EDATE($D97,Milestones!$AA$178)&gt;=$Y97),$AB97,$AA97)))=Milestones!$AB$178),UPPER(TEXT(EDATE($D97,Milestones!$AA$178),"dd mmm yy"))&amp;" "&amp;Milestones!$AB$178&amp;" "&amp;IF(AND(Milestones!$AB$178="FT",Milestones!$AA$178=FT_Y5,EDATE($D97,Milestones!$AA$178)&lt;PolicyEff),1,Milestones!$AC$178)&amp;";  ","")&amp;IF(AND(EDATE($D97,Milestones!$AA$179)&lt;=AsOfDate,EDATE($D97,Milestones!$AA$179)&gt;=SchemeStart,IF($X97=0,$AD97,IF(AND($Z97&lt;&gt;"",EDATE($D97,Milestones!$AA$179)&gt;=$Z97),$AC97,IF(AND($Y97&lt;&gt;"",EDATE($D97,Milestones!$AA$179)&gt;=$Y97),$AB97,$AA97)))=Milestones!$AB$179),UPPER(TEXT(EDATE($D97,Milestones!$AA$179),"dd mmm yy"))&amp;" "&amp;Milestones!$AB$179&amp;" "&amp;IF(AND(Milestones!$AB$179="FT",Milestones!$AA$179=FT_Y5,EDATE($D97,Milestones!$AA$179)&lt;PolicyEff),1,Milestones!$AC$179)&amp;";  ","")&amp;IF(AND(EDATE($D97,Milestones!$AA$180)&lt;=AsOfDate,EDATE($D97,Milestones!$AA$180)&gt;=SchemeStart,IF($X97=0,$AD97,IF(AND($Z97&lt;&gt;"",EDATE($D97,Milestones!$AA$180)&gt;=$Z97),$AC97,IF(AND($Y97&lt;&gt;"",EDATE($D97,Milestones!$AA$180)&gt;=$Y97),$AB97,$AA97)))=Milestones!$AB$180),UPPER(TEXT(EDATE($D97,Milestones!$AA$180),"dd mmm yy"))&amp;" "&amp;Milestones!$AB$180&amp;" "&amp;IF(AND(Milestones!$AB$180="FT",Milestones!$AA$180=FT_Y5,EDATE($D97,Milestones!$AA$180)&lt;PolicyEff),1,Milestones!$AC$180)&amp;";  ","")&amp;IF(AND(EDATE($D97,Milestones!$AA$181)&lt;=AsOfDate,EDATE($D97,Milestones!$AA$181)&gt;=SchemeStart,IF($X97=0,$AD97,IF(AND($Z97&lt;&gt;"",EDATE($D97,Milestones!$AA$181)&gt;=$Z97),$AC97,IF(AND($Y97&lt;&gt;"",EDATE($D97,Milestones!$AA$181)&gt;=$Y97),$AB97,$AA97)))=Milestones!$AB$181),UPPER(TEXT(EDATE($D97,Milestones!$AA$181),"dd mmm yy"))&amp;" "&amp;Milestones!$AB$181&amp;" "&amp;IF(AND(Milestones!$AB$181="FT",Milestones!$AA$181=FT_Y5,EDATE($D97,Milestones!$AA$181)&lt;PolicyEff),1,Milestones!$AC$181)&amp;";  ","")&amp;IF(AND(EDATE($D97,Milestones!$AA$182)&lt;=AsOfDate,EDATE($D97,Milestones!$AA$182)&gt;=SchemeStart,IF($X97=0,$AD97,IF(AND($Z97&lt;&gt;"",EDATE($D97,Milestones!$AA$182)&gt;=$Z97),$AC97,IF(AND($Y97&lt;&gt;"",EDATE($D97,Milestones!$AA$182)&gt;=$Y97),$AB97,$AA97)))=Milestones!$AB$182),UPPER(TEXT(EDATE($D97,Milestones!$AA$182),"dd mmm yy"))&amp;" "&amp;Milestones!$AB$182&amp;" "&amp;IF(AND(Milestones!$AB$182="FT",Milestones!$AA$182=FT_Y5,EDATE($D97,Milestones!$AA$182)&lt;PolicyEff),1,Milestones!$AC$182)&amp;";  ","")&amp;IF(AND(EDATE($D97,Milestones!$AA$183)&lt;=AsOfDate,EDATE($D97,Milestones!$AA$183)&gt;=SchemeStart,IF($X97=0,$AD97,IF(AND($Z97&lt;&gt;"",EDATE($D97,Milestones!$AA$183)&gt;=$Z97),$AC97,IF(AND($Y97&lt;&gt;"",EDATE($D97,Milestones!$AA$183)&gt;=$Y97),$AB97,$AA97)))=Milestones!$AB$183),UPPER(TEXT(EDATE($D97,Milestones!$AA$183),"dd mmm yy"))&amp;" "&amp;Milestones!$AB$183&amp;" "&amp;IF(AND(Milestones!$AB$183="FT",Milestones!$AA$183=FT_Y5,EDATE($D97,Milestones!$AA$183)&lt;PolicyEff),1,Milestones!$AC$183)&amp;";  ","")&amp;IF(AND(EDATE($D97,Milestones!$AA$184)&lt;=AsOfDate,EDATE($D97,Milestones!$AA$184)&gt;=SchemeStart,IF($X97=0,$AD97,IF(AND($Z97&lt;&gt;"",EDATE($D97,Milestones!$AA$184)&gt;=$Z97),$AC97,IF(AND($Y97&lt;&gt;"",EDATE($D97,Milestones!$AA$184)&gt;=$Y97),$AB97,$AA97)))=Milestones!$AB$184),UPPER(TEXT(EDATE($D97,Milestones!$AA$184),"dd mmm yy"))&amp;" "&amp;Milestones!$AB$184&amp;" "&amp;IF(AND(Milestones!$AB$184="FT",Milestones!$AA$184=FT_Y5,EDATE($D97,Milestones!$AA$184)&lt;PolicyEff),1,Milestones!$AC$184)&amp;";  ","")&amp;IF(AND(EDATE($D97,Milestones!$AA$185)&lt;=AsOfDate,EDATE($D97,Milestones!$AA$185)&gt;=SchemeStart,IF($X97=0,$AD97,IF(AND($Z97&lt;&gt;"",EDATE($D97,Milestones!$AA$185)&gt;=$Z97),$AC97,IF(AND($Y97&lt;&gt;"",EDATE($D97,Milestones!$AA$185)&gt;=$Y97),$AB97,$AA97)))=Milestones!$AB$185),UPPER(TEXT(EDATE($D97,Milestones!$AA$185),"dd mmm yy"))&amp;" "&amp;Milestones!$AB$185&amp;" "&amp;IF(AND(Milestones!$AB$185="FT",Milestones!$AA$185=FT_Y5,EDATE($D97,Milestones!$AA$185)&lt;PolicyEff),1,Milestones!$AC$185)&amp;";  ","")&amp;IF(AND(EDATE($D97,Milestones!$AA$186)&lt;=AsOfDate,EDATE($D97,Milestones!$AA$186)&gt;=SchemeStart,IF($X97=0,$AD97,IF(AND($Z97&lt;&gt;"",EDATE($D97,Milestones!$AA$186)&gt;=$Z97),$AC97,IF(AND($Y97&lt;&gt;"",EDATE($D97,Milestones!$AA$186)&gt;=$Y97),$AB97,$AA97)))=Milestones!$AB$186),UPPER(TEXT(EDATE($D97,Milestones!$AA$186),"dd mmm yy"))&amp;" "&amp;Milestones!$AB$186&amp;" "&amp;IF(AND(Milestones!$AB$186="FT",Milestones!$AA$186=FT_Y5,EDATE($D97,Milestones!$AA$186)&lt;PolicyEff),1,Milestones!$AC$186)&amp;";  ","")&amp;IF(AND(EDATE($D97,Milestones!$AA$187)&lt;=AsOfDate,EDATE($D97,Milestones!$AA$187)&gt;=SchemeStart,IF($X97=0,$AD97,IF(AND($Z97&lt;&gt;"",EDATE($D97,Milestones!$AA$187)&gt;=$Z97),$AC97,IF(AND($Y97&lt;&gt;"",EDATE($D97,Milestones!$AA$187)&gt;=$Y97),$AB97,$AA97)))=Milestones!$AB$187),UPPER(TEXT(EDATE($D97,Milestones!$AA$187),"dd mmm yy"))&amp;" "&amp;Milestones!$AB$187&amp;" "&amp;IF(AND(Milestones!$AB$187="FT",Milestones!$AA$187=FT_Y5,EDATE($D97,Milestones!$AA$187)&lt;PolicyEff),1,Milestones!$AC$187)&amp;";  ",""))</f>
        <v/>
      </c>
      <c r="W97" s="0" t="str">
        <f aca="false">IF(OR($A97="",$D97=""),"",IF(AND(EDATE($D97,Milestones!$AA$188)&lt;=AsOfDate,EDATE($D97,Milestones!$AA$188)&gt;=SchemeStart,IF($X97=0,$AD97,IF(AND($Z97&lt;&gt;"",EDATE($D97,Milestones!$AA$188)&gt;=$Z97),$AC97,IF(AND($Y97&lt;&gt;"",EDATE($D97,Milestones!$AA$188)&gt;=$Y97),$AB97,$AA97)))=Milestones!$AB$188),UPPER(TEXT(EDATE($D97,Milestones!$AA$188),"dd mmm yy"))&amp;" "&amp;Milestones!$AB$188&amp;" "&amp;IF(AND(Milestones!$AB$188="FT",Milestones!$AA$188=FT_Y5,EDATE($D97,Milestones!$AA$188)&lt;PolicyEff),1,Milestones!$AC$188)&amp;";  ","")&amp;IF(AND(EDATE($D97,Milestones!$AA$189)&lt;=AsOfDate,EDATE($D97,Milestones!$AA$189)&gt;=SchemeStart,IF($X97=0,$AD97,IF(AND($Z97&lt;&gt;"",EDATE($D97,Milestones!$AA$189)&gt;=$Z97),$AC97,IF(AND($Y97&lt;&gt;"",EDATE($D97,Milestones!$AA$189)&gt;=$Y97),$AB97,$AA97)))=Milestones!$AB$189),UPPER(TEXT(EDATE($D97,Milestones!$AA$189),"dd mmm yy"))&amp;" "&amp;Milestones!$AB$189&amp;" "&amp;IF(AND(Milestones!$AB$189="FT",Milestones!$AA$189=FT_Y5,EDATE($D97,Milestones!$AA$189)&lt;PolicyEff),1,Milestones!$AC$189)&amp;";  ","")&amp;IF(AND(EDATE($D97,Milestones!$AA$190)&lt;=AsOfDate,EDATE($D97,Milestones!$AA$190)&gt;=SchemeStart,IF($X97=0,$AD97,IF(AND($Z97&lt;&gt;"",EDATE($D97,Milestones!$AA$190)&gt;=$Z97),$AC97,IF(AND($Y97&lt;&gt;"",EDATE($D97,Milestones!$AA$190)&gt;=$Y97),$AB97,$AA97)))=Milestones!$AB$190),UPPER(TEXT(EDATE($D97,Milestones!$AA$190),"dd mmm yy"))&amp;" "&amp;Milestones!$AB$190&amp;" "&amp;IF(AND(Milestones!$AB$190="FT",Milestones!$AA$190=FT_Y5,EDATE($D97,Milestones!$AA$190)&lt;PolicyEff),1,Milestones!$AC$190)&amp;";  ","")&amp;IF(AND(EDATE($D97,Milestones!$AA$191)&lt;=AsOfDate,EDATE($D97,Milestones!$AA$191)&gt;=SchemeStart,IF($X97=0,$AD97,IF(AND($Z97&lt;&gt;"",EDATE($D97,Milestones!$AA$191)&gt;=$Z97),$AC97,IF(AND($Y97&lt;&gt;"",EDATE($D97,Milestones!$AA$191)&gt;=$Y97),$AB97,$AA97)))=Milestones!$AB$191),UPPER(TEXT(EDATE($D97,Milestones!$AA$191),"dd mmm yy"))&amp;" "&amp;Milestones!$AB$191&amp;" "&amp;IF(AND(Milestones!$AB$191="FT",Milestones!$AA$191=FT_Y5,EDATE($D97,Milestones!$AA$191)&lt;PolicyEff),1,Milestones!$AC$191)&amp;";  ","")&amp;IF(AND(EDATE($D97,Milestones!$AA$192)&lt;=AsOfDate,EDATE($D97,Milestones!$AA$192)&gt;=SchemeStart,IF($X97=0,$AD97,IF(AND($Z97&lt;&gt;"",EDATE($D97,Milestones!$AA$192)&gt;=$Z97),$AC97,IF(AND($Y97&lt;&gt;"",EDATE($D97,Milestones!$AA$192)&gt;=$Y97),$AB97,$AA97)))=Milestones!$AB$192),UPPER(TEXT(EDATE($D97,Milestones!$AA$192),"dd mmm yy"))&amp;" "&amp;Milestones!$AB$192&amp;" "&amp;IF(AND(Milestones!$AB$192="FT",Milestones!$AA$192=FT_Y5,EDATE($D97,Milestones!$AA$192)&lt;PolicyEff),1,Milestones!$AC$192)&amp;";  ","")&amp;IF(AND(EDATE($D97,Milestones!$AA$193)&lt;=AsOfDate,EDATE($D97,Milestones!$AA$193)&gt;=SchemeStart,IF($X97=0,$AD97,IF(AND($Z97&lt;&gt;"",EDATE($D97,Milestones!$AA$193)&gt;=$Z97),$AC97,IF(AND($Y97&lt;&gt;"",EDATE($D97,Milestones!$AA$193)&gt;=$Y97),$AB97,$AA97)))=Milestones!$AB$193),UPPER(TEXT(EDATE($D97,Milestones!$AA$193),"dd mmm yy"))&amp;" "&amp;Milestones!$AB$193&amp;" "&amp;IF(AND(Milestones!$AB$193="FT",Milestones!$AA$193=FT_Y5,EDATE($D97,Milestones!$AA$193)&lt;PolicyEff),1,Milestones!$AC$193)&amp;";  ","")&amp;IF(AND(EDATE($D97,Milestones!$AA$194)&lt;=AsOfDate,EDATE($D97,Milestones!$AA$194)&gt;=SchemeStart,IF($X97=0,$AD97,IF(AND($Z97&lt;&gt;"",EDATE($D97,Milestones!$AA$194)&gt;=$Z97),$AC97,IF(AND($Y97&lt;&gt;"",EDATE($D97,Milestones!$AA$194)&gt;=$Y97),$AB97,$AA97)))=Milestones!$AB$194),UPPER(TEXT(EDATE($D97,Milestones!$AA$194),"dd mmm yy"))&amp;" "&amp;Milestones!$AB$194&amp;" "&amp;IF(AND(Milestones!$AB$194="FT",Milestones!$AA$194=FT_Y5,EDATE($D97,Milestones!$AA$194)&lt;PolicyEff),1,Milestones!$AC$194)&amp;";  ","")&amp;IF(AND(EDATE($D97,Milestones!$AA$195)&lt;=AsOfDate,EDATE($D97,Milestones!$AA$195)&gt;=SchemeStart,IF($X97=0,$AD97,IF(AND($Z97&lt;&gt;"",EDATE($D97,Milestones!$AA$195)&gt;=$Z97),$AC97,IF(AND($Y97&lt;&gt;"",EDATE($D97,Milestones!$AA$195)&gt;=$Y97),$AB97,$AA97)))=Milestones!$AB$195),UPPER(TEXT(EDATE($D97,Milestones!$AA$195),"dd mmm yy"))&amp;" "&amp;Milestones!$AB$195&amp;" "&amp;IF(AND(Milestones!$AB$195="FT",Milestones!$AA$195=FT_Y5,EDATE($D97,Milestones!$AA$195)&lt;PolicyEff),1,Milestones!$AC$195)&amp;";  ","")&amp;IF(AND(EDATE($D97,Milestones!$AA$196)&lt;=AsOfDate,EDATE($D97,Milestones!$AA$196)&gt;=SchemeStart,IF($X97=0,$AD97,IF(AND($Z97&lt;&gt;"",EDATE($D97,Milestones!$AA$196)&gt;=$Z97),$AC97,IF(AND($Y97&lt;&gt;"",EDATE($D97,Milestones!$AA$196)&gt;=$Y97),$AB97,$AA97)))=Milestones!$AB$196),UPPER(TEXT(EDATE($D97,Milestones!$AA$196),"dd mmm yy"))&amp;" "&amp;Milestones!$AB$196&amp;" "&amp;IF(AND(Milestones!$AB$196="FT",Milestones!$AA$196=FT_Y5,EDATE($D97,Milestones!$AA$196)&lt;PolicyEff),1,Milestones!$AC$196)&amp;";  ","")&amp;IF(AND(EDATE($D97,Milestones!$AA$197)&lt;=AsOfDate,EDATE($D97,Milestones!$AA$197)&gt;=SchemeStart,IF($X97=0,$AD97,IF(AND($Z97&lt;&gt;"",EDATE($D97,Milestones!$AA$197)&gt;=$Z97),$AC97,IF(AND($Y97&lt;&gt;"",EDATE($D97,Milestones!$AA$197)&gt;=$Y97),$AB97,$AA97)))=Milestones!$AB$197),UPPER(TEXT(EDATE($D97,Milestones!$AA$197),"dd mmm yy"))&amp;" "&amp;Milestones!$AB$197&amp;" "&amp;IF(AND(Milestones!$AB$197="FT",Milestones!$AA$197=FT_Y5,EDATE($D97,Milestones!$AA$197)&lt;PolicyEff),1,Milestones!$AC$197)&amp;";  ","")&amp;IF(AND(EDATE($D97,Milestones!$AA$198)&lt;=AsOfDate,EDATE($D97,Milestones!$AA$198)&gt;=SchemeStart,IF($X97=0,$AD97,IF(AND($Z97&lt;&gt;"",EDATE($D97,Milestones!$AA$198)&gt;=$Z97),$AC97,IF(AND($Y97&lt;&gt;"",EDATE($D97,Milestones!$AA$198)&gt;=$Y97),$AB97,$AA97)))=Milestones!$AB$198),UPPER(TEXT(EDATE($D97,Milestones!$AA$198),"dd mmm yy"))&amp;" "&amp;Milestones!$AB$198&amp;" "&amp;IF(AND(Milestones!$AB$198="FT",Milestones!$AA$198=FT_Y5,EDATE($D97,Milestones!$AA$198)&lt;PolicyEff),1,Milestones!$AC$198)&amp;";  ","")&amp;IF(AND(EDATE($D97,Milestones!$AA$199)&lt;=AsOfDate,EDATE($D97,Milestones!$AA$199)&gt;=SchemeStart,IF($X97=0,$AD97,IF(AND($Z97&lt;&gt;"",EDATE($D97,Milestones!$AA$199)&gt;=$Z97),$AC97,IF(AND($Y97&lt;&gt;"",EDATE($D97,Milestones!$AA$199)&gt;=$Y97),$AB97,$AA97)))=Milestones!$AB$199),UPPER(TEXT(EDATE($D97,Milestones!$AA$199),"dd mmm yy"))&amp;" "&amp;Milestones!$AB$199&amp;" "&amp;IF(AND(Milestones!$AB$199="FT",Milestones!$AA$199=FT_Y5,EDATE($D97,Milestones!$AA$199)&lt;PolicyEff),1,Milestones!$AC$199)&amp;";  ",""))</f>
        <v/>
      </c>
      <c r="X97" s="0" t="str">
        <f aca="false">IF(Staff!$A97="","",Staff!$AM97)</f>
        <v/>
      </c>
      <c r="Y97" s="0" t="str">
        <f aca="false">IF(Staff!$A97="","",Staff!$AO97)</f>
        <v/>
      </c>
      <c r="Z97" s="0" t="str">
        <f aca="false">IF(Staff!$A97="","",Staff!$AP97)</f>
        <v/>
      </c>
      <c r="AA97" s="0" t="str">
        <f aca="false">IF(Staff!$A97="","",Staff!$AT97)</f>
        <v/>
      </c>
      <c r="AB97" s="0" t="str">
        <f aca="false">IF(Staff!$A97="","",Staff!$AU97)</f>
        <v/>
      </c>
      <c r="AC97" s="0" t="str">
        <f aca="false">IF(Staff!$A97="","",Staff!$AV97)</f>
        <v/>
      </c>
      <c r="AD97" s="0" t="str">
        <f aca="false">IF(Staff!$A97="","",Staff!$AW97)</f>
        <v/>
      </c>
    </row>
    <row r="98" customFormat="false" ht="15" hidden="false" customHeight="false" outlineLevel="0" collapsed="false">
      <c r="A98" s="16" t="str">
        <f aca="false">IF(Staff!$A98="","",Staff!$A98)</f>
        <v/>
      </c>
      <c r="B98" s="16" t="str">
        <f aca="false">IF(Staff!$A98="","",Staff!$B98)</f>
        <v/>
      </c>
      <c r="C98" s="16" t="str">
        <f aca="false">IF(Staff!$A98="","",Staff!$C98)</f>
        <v/>
      </c>
      <c r="D98" s="14" t="str">
        <f aca="false">IF(Staff!$A98="","",Staff!$AL98)</f>
        <v/>
      </c>
      <c r="E98" s="16" t="str">
        <f aca="false">IF(Staff!$A98="","",Staff!$O98)</f>
        <v/>
      </c>
      <c r="F98" s="16" t="str">
        <f aca="false">IF(E98="","",E98*HoursPerDay)</f>
        <v/>
      </c>
      <c r="G98" s="16" t="str">
        <f aca="false">IF(Staff!$A98="","",Staff!$AE98)</f>
        <v/>
      </c>
      <c r="H98" s="28" t="str">
        <f aca="false">IF($A98="","",I98&amp;J98&amp;K98&amp;L98&amp;M98&amp;N98&amp;O98&amp;P98&amp;Q98&amp;R98&amp;S98&amp;T98&amp;U98&amp;V98&amp;W98)</f>
        <v/>
      </c>
      <c r="I98" s="0" t="str">
        <f aca="false">IF(OR($A98="",$D98=""),"",IF(AND(EDATE($D98,Milestones!$AA$20)&lt;=AsOfDate,EDATE($D98,Milestones!$AA$20)&gt;=SchemeStart,IF($X98=0,$AD98,IF(AND($Z98&lt;&gt;"",EDATE($D98,Milestones!$AA$20)&gt;=$Z98),$AC98,IF(AND($Y98&lt;&gt;"",EDATE($D98,Milestones!$AA$20)&gt;=$Y98),$AB98,$AA98)))=Milestones!$AB$20),UPPER(TEXT(EDATE($D98,Milestones!$AA$20),"dd mmm yy"))&amp;" "&amp;Milestones!$AB$20&amp;" "&amp;IF(AND(Milestones!$AB$20="FT",Milestones!$AA$20=FT_Y5,EDATE($D98,Milestones!$AA$20)&lt;PolicyEff),1,Milestones!$AC$20)&amp;";  ","")&amp;IF(AND(EDATE($D98,Milestones!$AA$21)&lt;=AsOfDate,EDATE($D98,Milestones!$AA$21)&gt;=SchemeStart,IF($X98=0,$AD98,IF(AND($Z98&lt;&gt;"",EDATE($D98,Milestones!$AA$21)&gt;=$Z98),$AC98,IF(AND($Y98&lt;&gt;"",EDATE($D98,Milestones!$AA$21)&gt;=$Y98),$AB98,$AA98)))=Milestones!$AB$21),UPPER(TEXT(EDATE($D98,Milestones!$AA$21),"dd mmm yy"))&amp;" "&amp;Milestones!$AB$21&amp;" "&amp;IF(AND(Milestones!$AB$21="FT",Milestones!$AA$21=FT_Y5,EDATE($D98,Milestones!$AA$21)&lt;PolicyEff),1,Milestones!$AC$21)&amp;";  ","")&amp;IF(AND(EDATE($D98,Milestones!$AA$22)&lt;=AsOfDate,EDATE($D98,Milestones!$AA$22)&gt;=SchemeStart,IF($X98=0,$AD98,IF(AND($Z98&lt;&gt;"",EDATE($D98,Milestones!$AA$22)&gt;=$Z98),$AC98,IF(AND($Y98&lt;&gt;"",EDATE($D98,Milestones!$AA$22)&gt;=$Y98),$AB98,$AA98)))=Milestones!$AB$22),UPPER(TEXT(EDATE($D98,Milestones!$AA$22),"dd mmm yy"))&amp;" "&amp;Milestones!$AB$22&amp;" "&amp;IF(AND(Milestones!$AB$22="FT",Milestones!$AA$22=FT_Y5,EDATE($D98,Milestones!$AA$22)&lt;PolicyEff),1,Milestones!$AC$22)&amp;";  ","")&amp;IF(AND(EDATE($D98,Milestones!$AA$23)&lt;=AsOfDate,EDATE($D98,Milestones!$AA$23)&gt;=SchemeStart,IF($X98=0,$AD98,IF(AND($Z98&lt;&gt;"",EDATE($D98,Milestones!$AA$23)&gt;=$Z98),$AC98,IF(AND($Y98&lt;&gt;"",EDATE($D98,Milestones!$AA$23)&gt;=$Y98),$AB98,$AA98)))=Milestones!$AB$23),UPPER(TEXT(EDATE($D98,Milestones!$AA$23),"dd mmm yy"))&amp;" "&amp;Milestones!$AB$23&amp;" "&amp;IF(AND(Milestones!$AB$23="FT",Milestones!$AA$23=FT_Y5,EDATE($D98,Milestones!$AA$23)&lt;PolicyEff),1,Milestones!$AC$23)&amp;";  ","")&amp;IF(AND(EDATE($D98,Milestones!$AA$24)&lt;=AsOfDate,EDATE($D98,Milestones!$AA$24)&gt;=SchemeStart,IF($X98=0,$AD98,IF(AND($Z98&lt;&gt;"",EDATE($D98,Milestones!$AA$24)&gt;=$Z98),$AC98,IF(AND($Y98&lt;&gt;"",EDATE($D98,Milestones!$AA$24)&gt;=$Y98),$AB98,$AA98)))=Milestones!$AB$24),UPPER(TEXT(EDATE($D98,Milestones!$AA$24),"dd mmm yy"))&amp;" "&amp;Milestones!$AB$24&amp;" "&amp;IF(AND(Milestones!$AB$24="FT",Milestones!$AA$24=FT_Y5,EDATE($D98,Milestones!$AA$24)&lt;PolicyEff),1,Milestones!$AC$24)&amp;";  ","")&amp;IF(AND(EDATE($D98,Milestones!$AA$25)&lt;=AsOfDate,EDATE($D98,Milestones!$AA$25)&gt;=SchemeStart,IF($X98=0,$AD98,IF(AND($Z98&lt;&gt;"",EDATE($D98,Milestones!$AA$25)&gt;=$Z98),$AC98,IF(AND($Y98&lt;&gt;"",EDATE($D98,Milestones!$AA$25)&gt;=$Y98),$AB98,$AA98)))=Milestones!$AB$25),UPPER(TEXT(EDATE($D98,Milestones!$AA$25),"dd mmm yy"))&amp;" "&amp;Milestones!$AB$25&amp;" "&amp;IF(AND(Milestones!$AB$25="FT",Milestones!$AA$25=FT_Y5,EDATE($D98,Milestones!$AA$25)&lt;PolicyEff),1,Milestones!$AC$25)&amp;";  ","")&amp;IF(AND(EDATE($D98,Milestones!$AA$26)&lt;=AsOfDate,EDATE($D98,Milestones!$AA$26)&gt;=SchemeStart,IF($X98=0,$AD98,IF(AND($Z98&lt;&gt;"",EDATE($D98,Milestones!$AA$26)&gt;=$Z98),$AC98,IF(AND($Y98&lt;&gt;"",EDATE($D98,Milestones!$AA$26)&gt;=$Y98),$AB98,$AA98)))=Milestones!$AB$26),UPPER(TEXT(EDATE($D98,Milestones!$AA$26),"dd mmm yy"))&amp;" "&amp;Milestones!$AB$26&amp;" "&amp;IF(AND(Milestones!$AB$26="FT",Milestones!$AA$26=FT_Y5,EDATE($D98,Milestones!$AA$26)&lt;PolicyEff),1,Milestones!$AC$26)&amp;";  ","")&amp;IF(AND(EDATE($D98,Milestones!$AA$27)&lt;=AsOfDate,EDATE($D98,Milestones!$AA$27)&gt;=SchemeStart,IF($X98=0,$AD98,IF(AND($Z98&lt;&gt;"",EDATE($D98,Milestones!$AA$27)&gt;=$Z98),$AC98,IF(AND($Y98&lt;&gt;"",EDATE($D98,Milestones!$AA$27)&gt;=$Y98),$AB98,$AA98)))=Milestones!$AB$27),UPPER(TEXT(EDATE($D98,Milestones!$AA$27),"dd mmm yy"))&amp;" "&amp;Milestones!$AB$27&amp;" "&amp;IF(AND(Milestones!$AB$27="FT",Milestones!$AA$27=FT_Y5,EDATE($D98,Milestones!$AA$27)&lt;PolicyEff),1,Milestones!$AC$27)&amp;";  ","")&amp;IF(AND(EDATE($D98,Milestones!$AA$28)&lt;=AsOfDate,EDATE($D98,Milestones!$AA$28)&gt;=SchemeStart,IF($X98=0,$AD98,IF(AND($Z98&lt;&gt;"",EDATE($D98,Milestones!$AA$28)&gt;=$Z98),$AC98,IF(AND($Y98&lt;&gt;"",EDATE($D98,Milestones!$AA$28)&gt;=$Y98),$AB98,$AA98)))=Milestones!$AB$28),UPPER(TEXT(EDATE($D98,Milestones!$AA$28),"dd mmm yy"))&amp;" "&amp;Milestones!$AB$28&amp;" "&amp;IF(AND(Milestones!$AB$28="FT",Milestones!$AA$28=FT_Y5,EDATE($D98,Milestones!$AA$28)&lt;PolicyEff),1,Milestones!$AC$28)&amp;";  ","")&amp;IF(AND(EDATE($D98,Milestones!$AA$29)&lt;=AsOfDate,EDATE($D98,Milestones!$AA$29)&gt;=SchemeStart,IF($X98=0,$AD98,IF(AND($Z98&lt;&gt;"",EDATE($D98,Milestones!$AA$29)&gt;=$Z98),$AC98,IF(AND($Y98&lt;&gt;"",EDATE($D98,Milestones!$AA$29)&gt;=$Y98),$AB98,$AA98)))=Milestones!$AB$29),UPPER(TEXT(EDATE($D98,Milestones!$AA$29),"dd mmm yy"))&amp;" "&amp;Milestones!$AB$29&amp;" "&amp;IF(AND(Milestones!$AB$29="FT",Milestones!$AA$29=FT_Y5,EDATE($D98,Milestones!$AA$29)&lt;PolicyEff),1,Milestones!$AC$29)&amp;";  ","")&amp;IF(AND(EDATE($D98,Milestones!$AA$30)&lt;=AsOfDate,EDATE($D98,Milestones!$AA$30)&gt;=SchemeStart,IF($X98=0,$AD98,IF(AND($Z98&lt;&gt;"",EDATE($D98,Milestones!$AA$30)&gt;=$Z98),$AC98,IF(AND($Y98&lt;&gt;"",EDATE($D98,Milestones!$AA$30)&gt;=$Y98),$AB98,$AA98)))=Milestones!$AB$30),UPPER(TEXT(EDATE($D98,Milestones!$AA$30),"dd mmm yy"))&amp;" "&amp;Milestones!$AB$30&amp;" "&amp;IF(AND(Milestones!$AB$30="FT",Milestones!$AA$30=FT_Y5,EDATE($D98,Milestones!$AA$30)&lt;PolicyEff),1,Milestones!$AC$30)&amp;";  ","")&amp;IF(AND(EDATE($D98,Milestones!$AA$31)&lt;=AsOfDate,EDATE($D98,Milestones!$AA$31)&gt;=SchemeStart,IF($X98=0,$AD98,IF(AND($Z98&lt;&gt;"",EDATE($D98,Milestones!$AA$31)&gt;=$Z98),$AC98,IF(AND($Y98&lt;&gt;"",EDATE($D98,Milestones!$AA$31)&gt;=$Y98),$AB98,$AA98)))=Milestones!$AB$31),UPPER(TEXT(EDATE($D98,Milestones!$AA$31),"dd mmm yy"))&amp;" "&amp;Milestones!$AB$31&amp;" "&amp;IF(AND(Milestones!$AB$31="FT",Milestones!$AA$31=FT_Y5,EDATE($D98,Milestones!$AA$31)&lt;PolicyEff),1,Milestones!$AC$31)&amp;";  ",""))</f>
        <v/>
      </c>
      <c r="J98" s="0" t="str">
        <f aca="false">IF(OR($A98="",$D98=""),"",IF(AND(EDATE($D98,Milestones!$AA$32)&lt;=AsOfDate,EDATE($D98,Milestones!$AA$32)&gt;=SchemeStart,IF($X98=0,$AD98,IF(AND($Z98&lt;&gt;"",EDATE($D98,Milestones!$AA$32)&gt;=$Z98),$AC98,IF(AND($Y98&lt;&gt;"",EDATE($D98,Milestones!$AA$32)&gt;=$Y98),$AB98,$AA98)))=Milestones!$AB$32),UPPER(TEXT(EDATE($D98,Milestones!$AA$32),"dd mmm yy"))&amp;" "&amp;Milestones!$AB$32&amp;" "&amp;IF(AND(Milestones!$AB$32="FT",Milestones!$AA$32=FT_Y5,EDATE($D98,Milestones!$AA$32)&lt;PolicyEff),1,Milestones!$AC$32)&amp;";  ","")&amp;IF(AND(EDATE($D98,Milestones!$AA$33)&lt;=AsOfDate,EDATE($D98,Milestones!$AA$33)&gt;=SchemeStart,IF($X98=0,$AD98,IF(AND($Z98&lt;&gt;"",EDATE($D98,Milestones!$AA$33)&gt;=$Z98),$AC98,IF(AND($Y98&lt;&gt;"",EDATE($D98,Milestones!$AA$33)&gt;=$Y98),$AB98,$AA98)))=Milestones!$AB$33),UPPER(TEXT(EDATE($D98,Milestones!$AA$33),"dd mmm yy"))&amp;" "&amp;Milestones!$AB$33&amp;" "&amp;IF(AND(Milestones!$AB$33="FT",Milestones!$AA$33=FT_Y5,EDATE($D98,Milestones!$AA$33)&lt;PolicyEff),1,Milestones!$AC$33)&amp;";  ","")&amp;IF(AND(EDATE($D98,Milestones!$AA$34)&lt;=AsOfDate,EDATE($D98,Milestones!$AA$34)&gt;=SchemeStart,IF($X98=0,$AD98,IF(AND($Z98&lt;&gt;"",EDATE($D98,Milestones!$AA$34)&gt;=$Z98),$AC98,IF(AND($Y98&lt;&gt;"",EDATE($D98,Milestones!$AA$34)&gt;=$Y98),$AB98,$AA98)))=Milestones!$AB$34),UPPER(TEXT(EDATE($D98,Milestones!$AA$34),"dd mmm yy"))&amp;" "&amp;Milestones!$AB$34&amp;" "&amp;IF(AND(Milestones!$AB$34="FT",Milestones!$AA$34=FT_Y5,EDATE($D98,Milestones!$AA$34)&lt;PolicyEff),1,Milestones!$AC$34)&amp;";  ","")&amp;IF(AND(EDATE($D98,Milestones!$AA$35)&lt;=AsOfDate,EDATE($D98,Milestones!$AA$35)&gt;=SchemeStart,IF($X98=0,$AD98,IF(AND($Z98&lt;&gt;"",EDATE($D98,Milestones!$AA$35)&gt;=$Z98),$AC98,IF(AND($Y98&lt;&gt;"",EDATE($D98,Milestones!$AA$35)&gt;=$Y98),$AB98,$AA98)))=Milestones!$AB$35),UPPER(TEXT(EDATE($D98,Milestones!$AA$35),"dd mmm yy"))&amp;" "&amp;Milestones!$AB$35&amp;" "&amp;IF(AND(Milestones!$AB$35="FT",Milestones!$AA$35=FT_Y5,EDATE($D98,Milestones!$AA$35)&lt;PolicyEff),1,Milestones!$AC$35)&amp;";  ","")&amp;IF(AND(EDATE($D98,Milestones!$AA$36)&lt;=AsOfDate,EDATE($D98,Milestones!$AA$36)&gt;=SchemeStart,IF($X98=0,$AD98,IF(AND($Z98&lt;&gt;"",EDATE($D98,Milestones!$AA$36)&gt;=$Z98),$AC98,IF(AND($Y98&lt;&gt;"",EDATE($D98,Milestones!$AA$36)&gt;=$Y98),$AB98,$AA98)))=Milestones!$AB$36),UPPER(TEXT(EDATE($D98,Milestones!$AA$36),"dd mmm yy"))&amp;" "&amp;Milestones!$AB$36&amp;" "&amp;IF(AND(Milestones!$AB$36="FT",Milestones!$AA$36=FT_Y5,EDATE($D98,Milestones!$AA$36)&lt;PolicyEff),1,Milestones!$AC$36)&amp;";  ","")&amp;IF(AND(EDATE($D98,Milestones!$AA$37)&lt;=AsOfDate,EDATE($D98,Milestones!$AA$37)&gt;=SchemeStart,IF($X98=0,$AD98,IF(AND($Z98&lt;&gt;"",EDATE($D98,Milestones!$AA$37)&gt;=$Z98),$AC98,IF(AND($Y98&lt;&gt;"",EDATE($D98,Milestones!$AA$37)&gt;=$Y98),$AB98,$AA98)))=Milestones!$AB$37),UPPER(TEXT(EDATE($D98,Milestones!$AA$37),"dd mmm yy"))&amp;" "&amp;Milestones!$AB$37&amp;" "&amp;IF(AND(Milestones!$AB$37="FT",Milestones!$AA$37=FT_Y5,EDATE($D98,Milestones!$AA$37)&lt;PolicyEff),1,Milestones!$AC$37)&amp;";  ","")&amp;IF(AND(EDATE($D98,Milestones!$AA$38)&lt;=AsOfDate,EDATE($D98,Milestones!$AA$38)&gt;=SchemeStart,IF($X98=0,$AD98,IF(AND($Z98&lt;&gt;"",EDATE($D98,Milestones!$AA$38)&gt;=$Z98),$AC98,IF(AND($Y98&lt;&gt;"",EDATE($D98,Milestones!$AA$38)&gt;=$Y98),$AB98,$AA98)))=Milestones!$AB$38),UPPER(TEXT(EDATE($D98,Milestones!$AA$38),"dd mmm yy"))&amp;" "&amp;Milestones!$AB$38&amp;" "&amp;IF(AND(Milestones!$AB$38="FT",Milestones!$AA$38=FT_Y5,EDATE($D98,Milestones!$AA$38)&lt;PolicyEff),1,Milestones!$AC$38)&amp;";  ","")&amp;IF(AND(EDATE($D98,Milestones!$AA$39)&lt;=AsOfDate,EDATE($D98,Milestones!$AA$39)&gt;=SchemeStart,IF($X98=0,$AD98,IF(AND($Z98&lt;&gt;"",EDATE($D98,Milestones!$AA$39)&gt;=$Z98),$AC98,IF(AND($Y98&lt;&gt;"",EDATE($D98,Milestones!$AA$39)&gt;=$Y98),$AB98,$AA98)))=Milestones!$AB$39),UPPER(TEXT(EDATE($D98,Milestones!$AA$39),"dd mmm yy"))&amp;" "&amp;Milestones!$AB$39&amp;" "&amp;IF(AND(Milestones!$AB$39="FT",Milestones!$AA$39=FT_Y5,EDATE($D98,Milestones!$AA$39)&lt;PolicyEff),1,Milestones!$AC$39)&amp;";  ","")&amp;IF(AND(EDATE($D98,Milestones!$AA$40)&lt;=AsOfDate,EDATE($D98,Milestones!$AA$40)&gt;=SchemeStart,IF($X98=0,$AD98,IF(AND($Z98&lt;&gt;"",EDATE($D98,Milestones!$AA$40)&gt;=$Z98),$AC98,IF(AND($Y98&lt;&gt;"",EDATE($D98,Milestones!$AA$40)&gt;=$Y98),$AB98,$AA98)))=Milestones!$AB$40),UPPER(TEXT(EDATE($D98,Milestones!$AA$40),"dd mmm yy"))&amp;" "&amp;Milestones!$AB$40&amp;" "&amp;IF(AND(Milestones!$AB$40="FT",Milestones!$AA$40=FT_Y5,EDATE($D98,Milestones!$AA$40)&lt;PolicyEff),1,Milestones!$AC$40)&amp;";  ","")&amp;IF(AND(EDATE($D98,Milestones!$AA$41)&lt;=AsOfDate,EDATE($D98,Milestones!$AA$41)&gt;=SchemeStart,IF($X98=0,$AD98,IF(AND($Z98&lt;&gt;"",EDATE($D98,Milestones!$AA$41)&gt;=$Z98),$AC98,IF(AND($Y98&lt;&gt;"",EDATE($D98,Milestones!$AA$41)&gt;=$Y98),$AB98,$AA98)))=Milestones!$AB$41),UPPER(TEXT(EDATE($D98,Milestones!$AA$41),"dd mmm yy"))&amp;" "&amp;Milestones!$AB$41&amp;" "&amp;IF(AND(Milestones!$AB$41="FT",Milestones!$AA$41=FT_Y5,EDATE($D98,Milestones!$AA$41)&lt;PolicyEff),1,Milestones!$AC$41)&amp;";  ","")&amp;IF(AND(EDATE($D98,Milestones!$AA$42)&lt;=AsOfDate,EDATE($D98,Milestones!$AA$42)&gt;=SchemeStart,IF($X98=0,$AD98,IF(AND($Z98&lt;&gt;"",EDATE($D98,Milestones!$AA$42)&gt;=$Z98),$AC98,IF(AND($Y98&lt;&gt;"",EDATE($D98,Milestones!$AA$42)&gt;=$Y98),$AB98,$AA98)))=Milestones!$AB$42),UPPER(TEXT(EDATE($D98,Milestones!$AA$42),"dd mmm yy"))&amp;" "&amp;Milestones!$AB$42&amp;" "&amp;IF(AND(Milestones!$AB$42="FT",Milestones!$AA$42=FT_Y5,EDATE($D98,Milestones!$AA$42)&lt;PolicyEff),1,Milestones!$AC$42)&amp;";  ","")&amp;IF(AND(EDATE($D98,Milestones!$AA$43)&lt;=AsOfDate,EDATE($D98,Milestones!$AA$43)&gt;=SchemeStart,IF($X98=0,$AD98,IF(AND($Z98&lt;&gt;"",EDATE($D98,Milestones!$AA$43)&gt;=$Z98),$AC98,IF(AND($Y98&lt;&gt;"",EDATE($D98,Milestones!$AA$43)&gt;=$Y98),$AB98,$AA98)))=Milestones!$AB$43),UPPER(TEXT(EDATE($D98,Milestones!$AA$43),"dd mmm yy"))&amp;" "&amp;Milestones!$AB$43&amp;" "&amp;IF(AND(Milestones!$AB$43="FT",Milestones!$AA$43=FT_Y5,EDATE($D98,Milestones!$AA$43)&lt;PolicyEff),1,Milestones!$AC$43)&amp;";  ",""))</f>
        <v/>
      </c>
      <c r="K98" s="0" t="str">
        <f aca="false">IF(OR($A98="",$D98=""),"",IF(AND(EDATE($D98,Milestones!$AA$44)&lt;=AsOfDate,EDATE($D98,Milestones!$AA$44)&gt;=SchemeStart,IF($X98=0,$AD98,IF(AND($Z98&lt;&gt;"",EDATE($D98,Milestones!$AA$44)&gt;=$Z98),$AC98,IF(AND($Y98&lt;&gt;"",EDATE($D98,Milestones!$AA$44)&gt;=$Y98),$AB98,$AA98)))=Milestones!$AB$44),UPPER(TEXT(EDATE($D98,Milestones!$AA$44),"dd mmm yy"))&amp;" "&amp;Milestones!$AB$44&amp;" "&amp;IF(AND(Milestones!$AB$44="FT",Milestones!$AA$44=FT_Y5,EDATE($D98,Milestones!$AA$44)&lt;PolicyEff),1,Milestones!$AC$44)&amp;";  ","")&amp;IF(AND(EDATE($D98,Milestones!$AA$45)&lt;=AsOfDate,EDATE($D98,Milestones!$AA$45)&gt;=SchemeStart,IF($X98=0,$AD98,IF(AND($Z98&lt;&gt;"",EDATE($D98,Milestones!$AA$45)&gt;=$Z98),$AC98,IF(AND($Y98&lt;&gt;"",EDATE($D98,Milestones!$AA$45)&gt;=$Y98),$AB98,$AA98)))=Milestones!$AB$45),UPPER(TEXT(EDATE($D98,Milestones!$AA$45),"dd mmm yy"))&amp;" "&amp;Milestones!$AB$45&amp;" "&amp;IF(AND(Milestones!$AB$45="FT",Milestones!$AA$45=FT_Y5,EDATE($D98,Milestones!$AA$45)&lt;PolicyEff),1,Milestones!$AC$45)&amp;";  ","")&amp;IF(AND(EDATE($D98,Milestones!$AA$46)&lt;=AsOfDate,EDATE($D98,Milestones!$AA$46)&gt;=SchemeStart,IF($X98=0,$AD98,IF(AND($Z98&lt;&gt;"",EDATE($D98,Milestones!$AA$46)&gt;=$Z98),$AC98,IF(AND($Y98&lt;&gt;"",EDATE($D98,Milestones!$AA$46)&gt;=$Y98),$AB98,$AA98)))=Milestones!$AB$46),UPPER(TEXT(EDATE($D98,Milestones!$AA$46),"dd mmm yy"))&amp;" "&amp;Milestones!$AB$46&amp;" "&amp;IF(AND(Milestones!$AB$46="FT",Milestones!$AA$46=FT_Y5,EDATE($D98,Milestones!$AA$46)&lt;PolicyEff),1,Milestones!$AC$46)&amp;";  ","")&amp;IF(AND(EDATE($D98,Milestones!$AA$47)&lt;=AsOfDate,EDATE($D98,Milestones!$AA$47)&gt;=SchemeStart,IF($X98=0,$AD98,IF(AND($Z98&lt;&gt;"",EDATE($D98,Milestones!$AA$47)&gt;=$Z98),$AC98,IF(AND($Y98&lt;&gt;"",EDATE($D98,Milestones!$AA$47)&gt;=$Y98),$AB98,$AA98)))=Milestones!$AB$47),UPPER(TEXT(EDATE($D98,Milestones!$AA$47),"dd mmm yy"))&amp;" "&amp;Milestones!$AB$47&amp;" "&amp;IF(AND(Milestones!$AB$47="FT",Milestones!$AA$47=FT_Y5,EDATE($D98,Milestones!$AA$47)&lt;PolicyEff),1,Milestones!$AC$47)&amp;";  ","")&amp;IF(AND(EDATE($D98,Milestones!$AA$48)&lt;=AsOfDate,EDATE($D98,Milestones!$AA$48)&gt;=SchemeStart,IF($X98=0,$AD98,IF(AND($Z98&lt;&gt;"",EDATE($D98,Milestones!$AA$48)&gt;=$Z98),$AC98,IF(AND($Y98&lt;&gt;"",EDATE($D98,Milestones!$AA$48)&gt;=$Y98),$AB98,$AA98)))=Milestones!$AB$48),UPPER(TEXT(EDATE($D98,Milestones!$AA$48),"dd mmm yy"))&amp;" "&amp;Milestones!$AB$48&amp;" "&amp;IF(AND(Milestones!$AB$48="FT",Milestones!$AA$48=FT_Y5,EDATE($D98,Milestones!$AA$48)&lt;PolicyEff),1,Milestones!$AC$48)&amp;";  ","")&amp;IF(AND(EDATE($D98,Milestones!$AA$49)&lt;=AsOfDate,EDATE($D98,Milestones!$AA$49)&gt;=SchemeStart,IF($X98=0,$AD98,IF(AND($Z98&lt;&gt;"",EDATE($D98,Milestones!$AA$49)&gt;=$Z98),$AC98,IF(AND($Y98&lt;&gt;"",EDATE($D98,Milestones!$AA$49)&gt;=$Y98),$AB98,$AA98)))=Milestones!$AB$49),UPPER(TEXT(EDATE($D98,Milestones!$AA$49),"dd mmm yy"))&amp;" "&amp;Milestones!$AB$49&amp;" "&amp;IF(AND(Milestones!$AB$49="FT",Milestones!$AA$49=FT_Y5,EDATE($D98,Milestones!$AA$49)&lt;PolicyEff),1,Milestones!$AC$49)&amp;";  ","")&amp;IF(AND(EDATE($D98,Milestones!$AA$50)&lt;=AsOfDate,EDATE($D98,Milestones!$AA$50)&gt;=SchemeStart,IF($X98=0,$AD98,IF(AND($Z98&lt;&gt;"",EDATE($D98,Milestones!$AA$50)&gt;=$Z98),$AC98,IF(AND($Y98&lt;&gt;"",EDATE($D98,Milestones!$AA$50)&gt;=$Y98),$AB98,$AA98)))=Milestones!$AB$50),UPPER(TEXT(EDATE($D98,Milestones!$AA$50),"dd mmm yy"))&amp;" "&amp;Milestones!$AB$50&amp;" "&amp;IF(AND(Milestones!$AB$50="FT",Milestones!$AA$50=FT_Y5,EDATE($D98,Milestones!$AA$50)&lt;PolicyEff),1,Milestones!$AC$50)&amp;";  ","")&amp;IF(AND(EDATE($D98,Milestones!$AA$51)&lt;=AsOfDate,EDATE($D98,Milestones!$AA$51)&gt;=SchemeStart,IF($X98=0,$AD98,IF(AND($Z98&lt;&gt;"",EDATE($D98,Milestones!$AA$51)&gt;=$Z98),$AC98,IF(AND($Y98&lt;&gt;"",EDATE($D98,Milestones!$AA$51)&gt;=$Y98),$AB98,$AA98)))=Milestones!$AB$51),UPPER(TEXT(EDATE($D98,Milestones!$AA$51),"dd mmm yy"))&amp;" "&amp;Milestones!$AB$51&amp;" "&amp;IF(AND(Milestones!$AB$51="FT",Milestones!$AA$51=FT_Y5,EDATE($D98,Milestones!$AA$51)&lt;PolicyEff),1,Milestones!$AC$51)&amp;";  ","")&amp;IF(AND(EDATE($D98,Milestones!$AA$52)&lt;=AsOfDate,EDATE($D98,Milestones!$AA$52)&gt;=SchemeStart,IF($X98=0,$AD98,IF(AND($Z98&lt;&gt;"",EDATE($D98,Milestones!$AA$52)&gt;=$Z98),$AC98,IF(AND($Y98&lt;&gt;"",EDATE($D98,Milestones!$AA$52)&gt;=$Y98),$AB98,$AA98)))=Milestones!$AB$52),UPPER(TEXT(EDATE($D98,Milestones!$AA$52),"dd mmm yy"))&amp;" "&amp;Milestones!$AB$52&amp;" "&amp;IF(AND(Milestones!$AB$52="FT",Milestones!$AA$52=FT_Y5,EDATE($D98,Milestones!$AA$52)&lt;PolicyEff),1,Milestones!$AC$52)&amp;";  ","")&amp;IF(AND(EDATE($D98,Milestones!$AA$53)&lt;=AsOfDate,EDATE($D98,Milestones!$AA$53)&gt;=SchemeStart,IF($X98=0,$AD98,IF(AND($Z98&lt;&gt;"",EDATE($D98,Milestones!$AA$53)&gt;=$Z98),$AC98,IF(AND($Y98&lt;&gt;"",EDATE($D98,Milestones!$AA$53)&gt;=$Y98),$AB98,$AA98)))=Milestones!$AB$53),UPPER(TEXT(EDATE($D98,Milestones!$AA$53),"dd mmm yy"))&amp;" "&amp;Milestones!$AB$53&amp;" "&amp;IF(AND(Milestones!$AB$53="FT",Milestones!$AA$53=FT_Y5,EDATE($D98,Milestones!$AA$53)&lt;PolicyEff),1,Milestones!$AC$53)&amp;";  ","")&amp;IF(AND(EDATE($D98,Milestones!$AA$54)&lt;=AsOfDate,EDATE($D98,Milestones!$AA$54)&gt;=SchemeStart,IF($X98=0,$AD98,IF(AND($Z98&lt;&gt;"",EDATE($D98,Milestones!$AA$54)&gt;=$Z98),$AC98,IF(AND($Y98&lt;&gt;"",EDATE($D98,Milestones!$AA$54)&gt;=$Y98),$AB98,$AA98)))=Milestones!$AB$54),UPPER(TEXT(EDATE($D98,Milestones!$AA$54),"dd mmm yy"))&amp;" "&amp;Milestones!$AB$54&amp;" "&amp;IF(AND(Milestones!$AB$54="FT",Milestones!$AA$54=FT_Y5,EDATE($D98,Milestones!$AA$54)&lt;PolicyEff),1,Milestones!$AC$54)&amp;";  ","")&amp;IF(AND(EDATE($D98,Milestones!$AA$55)&lt;=AsOfDate,EDATE($D98,Milestones!$AA$55)&gt;=SchemeStart,IF($X98=0,$AD98,IF(AND($Z98&lt;&gt;"",EDATE($D98,Milestones!$AA$55)&gt;=$Z98),$AC98,IF(AND($Y98&lt;&gt;"",EDATE($D98,Milestones!$AA$55)&gt;=$Y98),$AB98,$AA98)))=Milestones!$AB$55),UPPER(TEXT(EDATE($D98,Milestones!$AA$55),"dd mmm yy"))&amp;" "&amp;Milestones!$AB$55&amp;" "&amp;IF(AND(Milestones!$AB$55="FT",Milestones!$AA$55=FT_Y5,EDATE($D98,Milestones!$AA$55)&lt;PolicyEff),1,Milestones!$AC$55)&amp;";  ",""))</f>
        <v/>
      </c>
      <c r="L98" s="0" t="str">
        <f aca="false">IF(OR($A98="",$D98=""),"",IF(AND(EDATE($D98,Milestones!$AA$56)&lt;=AsOfDate,EDATE($D98,Milestones!$AA$56)&gt;=SchemeStart,IF($X98=0,$AD98,IF(AND($Z98&lt;&gt;"",EDATE($D98,Milestones!$AA$56)&gt;=$Z98),$AC98,IF(AND($Y98&lt;&gt;"",EDATE($D98,Milestones!$AA$56)&gt;=$Y98),$AB98,$AA98)))=Milestones!$AB$56),UPPER(TEXT(EDATE($D98,Milestones!$AA$56),"dd mmm yy"))&amp;" "&amp;Milestones!$AB$56&amp;" "&amp;IF(AND(Milestones!$AB$56="FT",Milestones!$AA$56=FT_Y5,EDATE($D98,Milestones!$AA$56)&lt;PolicyEff),1,Milestones!$AC$56)&amp;";  ","")&amp;IF(AND(EDATE($D98,Milestones!$AA$57)&lt;=AsOfDate,EDATE($D98,Milestones!$AA$57)&gt;=SchemeStart,IF($X98=0,$AD98,IF(AND($Z98&lt;&gt;"",EDATE($D98,Milestones!$AA$57)&gt;=$Z98),$AC98,IF(AND($Y98&lt;&gt;"",EDATE($D98,Milestones!$AA$57)&gt;=$Y98),$AB98,$AA98)))=Milestones!$AB$57),UPPER(TEXT(EDATE($D98,Milestones!$AA$57),"dd mmm yy"))&amp;" "&amp;Milestones!$AB$57&amp;" "&amp;IF(AND(Milestones!$AB$57="FT",Milestones!$AA$57=FT_Y5,EDATE($D98,Milestones!$AA$57)&lt;PolicyEff),1,Milestones!$AC$57)&amp;";  ","")&amp;IF(AND(EDATE($D98,Milestones!$AA$58)&lt;=AsOfDate,EDATE($D98,Milestones!$AA$58)&gt;=SchemeStart,IF($X98=0,$AD98,IF(AND($Z98&lt;&gt;"",EDATE($D98,Milestones!$AA$58)&gt;=$Z98),$AC98,IF(AND($Y98&lt;&gt;"",EDATE($D98,Milestones!$AA$58)&gt;=$Y98),$AB98,$AA98)))=Milestones!$AB$58),UPPER(TEXT(EDATE($D98,Milestones!$AA$58),"dd mmm yy"))&amp;" "&amp;Milestones!$AB$58&amp;" "&amp;IF(AND(Milestones!$AB$58="FT",Milestones!$AA$58=FT_Y5,EDATE($D98,Milestones!$AA$58)&lt;PolicyEff),1,Milestones!$AC$58)&amp;";  ","")&amp;IF(AND(EDATE($D98,Milestones!$AA$59)&lt;=AsOfDate,EDATE($D98,Milestones!$AA$59)&gt;=SchemeStart,IF($X98=0,$AD98,IF(AND($Z98&lt;&gt;"",EDATE($D98,Milestones!$AA$59)&gt;=$Z98),$AC98,IF(AND($Y98&lt;&gt;"",EDATE($D98,Milestones!$AA$59)&gt;=$Y98),$AB98,$AA98)))=Milestones!$AB$59),UPPER(TEXT(EDATE($D98,Milestones!$AA$59),"dd mmm yy"))&amp;" "&amp;Milestones!$AB$59&amp;" "&amp;IF(AND(Milestones!$AB$59="FT",Milestones!$AA$59=FT_Y5,EDATE($D98,Milestones!$AA$59)&lt;PolicyEff),1,Milestones!$AC$59)&amp;";  ","")&amp;IF(AND(EDATE($D98,Milestones!$AA$60)&lt;=AsOfDate,EDATE($D98,Milestones!$AA$60)&gt;=SchemeStart,IF($X98=0,$AD98,IF(AND($Z98&lt;&gt;"",EDATE($D98,Milestones!$AA$60)&gt;=$Z98),$AC98,IF(AND($Y98&lt;&gt;"",EDATE($D98,Milestones!$AA$60)&gt;=$Y98),$AB98,$AA98)))=Milestones!$AB$60),UPPER(TEXT(EDATE($D98,Milestones!$AA$60),"dd mmm yy"))&amp;" "&amp;Milestones!$AB$60&amp;" "&amp;IF(AND(Milestones!$AB$60="FT",Milestones!$AA$60=FT_Y5,EDATE($D98,Milestones!$AA$60)&lt;PolicyEff),1,Milestones!$AC$60)&amp;";  ","")&amp;IF(AND(EDATE($D98,Milestones!$AA$61)&lt;=AsOfDate,EDATE($D98,Milestones!$AA$61)&gt;=SchemeStart,IF($X98=0,$AD98,IF(AND($Z98&lt;&gt;"",EDATE($D98,Milestones!$AA$61)&gt;=$Z98),$AC98,IF(AND($Y98&lt;&gt;"",EDATE($D98,Milestones!$AA$61)&gt;=$Y98),$AB98,$AA98)))=Milestones!$AB$61),UPPER(TEXT(EDATE($D98,Milestones!$AA$61),"dd mmm yy"))&amp;" "&amp;Milestones!$AB$61&amp;" "&amp;IF(AND(Milestones!$AB$61="FT",Milestones!$AA$61=FT_Y5,EDATE($D98,Milestones!$AA$61)&lt;PolicyEff),1,Milestones!$AC$61)&amp;";  ","")&amp;IF(AND(EDATE($D98,Milestones!$AA$62)&lt;=AsOfDate,EDATE($D98,Milestones!$AA$62)&gt;=SchemeStart,IF($X98=0,$AD98,IF(AND($Z98&lt;&gt;"",EDATE($D98,Milestones!$AA$62)&gt;=$Z98),$AC98,IF(AND($Y98&lt;&gt;"",EDATE($D98,Milestones!$AA$62)&gt;=$Y98),$AB98,$AA98)))=Milestones!$AB$62),UPPER(TEXT(EDATE($D98,Milestones!$AA$62),"dd mmm yy"))&amp;" "&amp;Milestones!$AB$62&amp;" "&amp;IF(AND(Milestones!$AB$62="FT",Milestones!$AA$62=FT_Y5,EDATE($D98,Milestones!$AA$62)&lt;PolicyEff),1,Milestones!$AC$62)&amp;";  ","")&amp;IF(AND(EDATE($D98,Milestones!$AA$63)&lt;=AsOfDate,EDATE($D98,Milestones!$AA$63)&gt;=SchemeStart,IF($X98=0,$AD98,IF(AND($Z98&lt;&gt;"",EDATE($D98,Milestones!$AA$63)&gt;=$Z98),$AC98,IF(AND($Y98&lt;&gt;"",EDATE($D98,Milestones!$AA$63)&gt;=$Y98),$AB98,$AA98)))=Milestones!$AB$63),UPPER(TEXT(EDATE($D98,Milestones!$AA$63),"dd mmm yy"))&amp;" "&amp;Milestones!$AB$63&amp;" "&amp;IF(AND(Milestones!$AB$63="FT",Milestones!$AA$63=FT_Y5,EDATE($D98,Milestones!$AA$63)&lt;PolicyEff),1,Milestones!$AC$63)&amp;";  ","")&amp;IF(AND(EDATE($D98,Milestones!$AA$64)&lt;=AsOfDate,EDATE($D98,Milestones!$AA$64)&gt;=SchemeStart,IF($X98=0,$AD98,IF(AND($Z98&lt;&gt;"",EDATE($D98,Milestones!$AA$64)&gt;=$Z98),$AC98,IF(AND($Y98&lt;&gt;"",EDATE($D98,Milestones!$AA$64)&gt;=$Y98),$AB98,$AA98)))=Milestones!$AB$64),UPPER(TEXT(EDATE($D98,Milestones!$AA$64),"dd mmm yy"))&amp;" "&amp;Milestones!$AB$64&amp;" "&amp;IF(AND(Milestones!$AB$64="FT",Milestones!$AA$64=FT_Y5,EDATE($D98,Milestones!$AA$64)&lt;PolicyEff),1,Milestones!$AC$64)&amp;";  ","")&amp;IF(AND(EDATE($D98,Milestones!$AA$65)&lt;=AsOfDate,EDATE($D98,Milestones!$AA$65)&gt;=SchemeStart,IF($X98=0,$AD98,IF(AND($Z98&lt;&gt;"",EDATE($D98,Milestones!$AA$65)&gt;=$Z98),$AC98,IF(AND($Y98&lt;&gt;"",EDATE($D98,Milestones!$AA$65)&gt;=$Y98),$AB98,$AA98)))=Milestones!$AB$65),UPPER(TEXT(EDATE($D98,Milestones!$AA$65),"dd mmm yy"))&amp;" "&amp;Milestones!$AB$65&amp;" "&amp;IF(AND(Milestones!$AB$65="FT",Milestones!$AA$65=FT_Y5,EDATE($D98,Milestones!$AA$65)&lt;PolicyEff),1,Milestones!$AC$65)&amp;";  ","")&amp;IF(AND(EDATE($D98,Milestones!$AA$66)&lt;=AsOfDate,EDATE($D98,Milestones!$AA$66)&gt;=SchemeStart,IF($X98=0,$AD98,IF(AND($Z98&lt;&gt;"",EDATE($D98,Milestones!$AA$66)&gt;=$Z98),$AC98,IF(AND($Y98&lt;&gt;"",EDATE($D98,Milestones!$AA$66)&gt;=$Y98),$AB98,$AA98)))=Milestones!$AB$66),UPPER(TEXT(EDATE($D98,Milestones!$AA$66),"dd mmm yy"))&amp;" "&amp;Milestones!$AB$66&amp;" "&amp;IF(AND(Milestones!$AB$66="FT",Milestones!$AA$66=FT_Y5,EDATE($D98,Milestones!$AA$66)&lt;PolicyEff),1,Milestones!$AC$66)&amp;";  ","")&amp;IF(AND(EDATE($D98,Milestones!$AA$67)&lt;=AsOfDate,EDATE($D98,Milestones!$AA$67)&gt;=SchemeStart,IF($X98=0,$AD98,IF(AND($Z98&lt;&gt;"",EDATE($D98,Milestones!$AA$67)&gt;=$Z98),$AC98,IF(AND($Y98&lt;&gt;"",EDATE($D98,Milestones!$AA$67)&gt;=$Y98),$AB98,$AA98)))=Milestones!$AB$67),UPPER(TEXT(EDATE($D98,Milestones!$AA$67),"dd mmm yy"))&amp;" "&amp;Milestones!$AB$67&amp;" "&amp;IF(AND(Milestones!$AB$67="FT",Milestones!$AA$67=FT_Y5,EDATE($D98,Milestones!$AA$67)&lt;PolicyEff),1,Milestones!$AC$67)&amp;";  ",""))</f>
        <v/>
      </c>
      <c r="M98" s="0" t="str">
        <f aca="false">IF(OR($A98="",$D98=""),"",IF(AND(EDATE($D98,Milestones!$AA$68)&lt;=AsOfDate,EDATE($D98,Milestones!$AA$68)&gt;=SchemeStart,IF($X98=0,$AD98,IF(AND($Z98&lt;&gt;"",EDATE($D98,Milestones!$AA$68)&gt;=$Z98),$AC98,IF(AND($Y98&lt;&gt;"",EDATE($D98,Milestones!$AA$68)&gt;=$Y98),$AB98,$AA98)))=Milestones!$AB$68),UPPER(TEXT(EDATE($D98,Milestones!$AA$68),"dd mmm yy"))&amp;" "&amp;Milestones!$AB$68&amp;" "&amp;IF(AND(Milestones!$AB$68="FT",Milestones!$AA$68=FT_Y5,EDATE($D98,Milestones!$AA$68)&lt;PolicyEff),1,Milestones!$AC$68)&amp;";  ","")&amp;IF(AND(EDATE($D98,Milestones!$AA$69)&lt;=AsOfDate,EDATE($D98,Milestones!$AA$69)&gt;=SchemeStart,IF($X98=0,$AD98,IF(AND($Z98&lt;&gt;"",EDATE($D98,Milestones!$AA$69)&gt;=$Z98),$AC98,IF(AND($Y98&lt;&gt;"",EDATE($D98,Milestones!$AA$69)&gt;=$Y98),$AB98,$AA98)))=Milestones!$AB$69),UPPER(TEXT(EDATE($D98,Milestones!$AA$69),"dd mmm yy"))&amp;" "&amp;Milestones!$AB$69&amp;" "&amp;IF(AND(Milestones!$AB$69="FT",Milestones!$AA$69=FT_Y5,EDATE($D98,Milestones!$AA$69)&lt;PolicyEff),1,Milestones!$AC$69)&amp;";  ","")&amp;IF(AND(EDATE($D98,Milestones!$AA$70)&lt;=AsOfDate,EDATE($D98,Milestones!$AA$70)&gt;=SchemeStart,IF($X98=0,$AD98,IF(AND($Z98&lt;&gt;"",EDATE($D98,Milestones!$AA$70)&gt;=$Z98),$AC98,IF(AND($Y98&lt;&gt;"",EDATE($D98,Milestones!$AA$70)&gt;=$Y98),$AB98,$AA98)))=Milestones!$AB$70),UPPER(TEXT(EDATE($D98,Milestones!$AA$70),"dd mmm yy"))&amp;" "&amp;Milestones!$AB$70&amp;" "&amp;IF(AND(Milestones!$AB$70="FT",Milestones!$AA$70=FT_Y5,EDATE($D98,Milestones!$AA$70)&lt;PolicyEff),1,Milestones!$AC$70)&amp;";  ","")&amp;IF(AND(EDATE($D98,Milestones!$AA$71)&lt;=AsOfDate,EDATE($D98,Milestones!$AA$71)&gt;=SchemeStart,IF($X98=0,$AD98,IF(AND($Z98&lt;&gt;"",EDATE($D98,Milestones!$AA$71)&gt;=$Z98),$AC98,IF(AND($Y98&lt;&gt;"",EDATE($D98,Milestones!$AA$71)&gt;=$Y98),$AB98,$AA98)))=Milestones!$AB$71),UPPER(TEXT(EDATE($D98,Milestones!$AA$71),"dd mmm yy"))&amp;" "&amp;Milestones!$AB$71&amp;" "&amp;IF(AND(Milestones!$AB$71="FT",Milestones!$AA$71=FT_Y5,EDATE($D98,Milestones!$AA$71)&lt;PolicyEff),1,Milestones!$AC$71)&amp;";  ","")&amp;IF(AND(EDATE($D98,Milestones!$AA$72)&lt;=AsOfDate,EDATE($D98,Milestones!$AA$72)&gt;=SchemeStart,IF($X98=0,$AD98,IF(AND($Z98&lt;&gt;"",EDATE($D98,Milestones!$AA$72)&gt;=$Z98),$AC98,IF(AND($Y98&lt;&gt;"",EDATE($D98,Milestones!$AA$72)&gt;=$Y98),$AB98,$AA98)))=Milestones!$AB$72),UPPER(TEXT(EDATE($D98,Milestones!$AA$72),"dd mmm yy"))&amp;" "&amp;Milestones!$AB$72&amp;" "&amp;IF(AND(Milestones!$AB$72="FT",Milestones!$AA$72=FT_Y5,EDATE($D98,Milestones!$AA$72)&lt;PolicyEff),1,Milestones!$AC$72)&amp;";  ","")&amp;IF(AND(EDATE($D98,Milestones!$AA$73)&lt;=AsOfDate,EDATE($D98,Milestones!$AA$73)&gt;=SchemeStart,IF($X98=0,$AD98,IF(AND($Z98&lt;&gt;"",EDATE($D98,Milestones!$AA$73)&gt;=$Z98),$AC98,IF(AND($Y98&lt;&gt;"",EDATE($D98,Milestones!$AA$73)&gt;=$Y98),$AB98,$AA98)))=Milestones!$AB$73),UPPER(TEXT(EDATE($D98,Milestones!$AA$73),"dd mmm yy"))&amp;" "&amp;Milestones!$AB$73&amp;" "&amp;IF(AND(Milestones!$AB$73="FT",Milestones!$AA$73=FT_Y5,EDATE($D98,Milestones!$AA$73)&lt;PolicyEff),1,Milestones!$AC$73)&amp;";  ","")&amp;IF(AND(EDATE($D98,Milestones!$AA$74)&lt;=AsOfDate,EDATE($D98,Milestones!$AA$74)&gt;=SchemeStart,IF($X98=0,$AD98,IF(AND($Z98&lt;&gt;"",EDATE($D98,Milestones!$AA$74)&gt;=$Z98),$AC98,IF(AND($Y98&lt;&gt;"",EDATE($D98,Milestones!$AA$74)&gt;=$Y98),$AB98,$AA98)))=Milestones!$AB$74),UPPER(TEXT(EDATE($D98,Milestones!$AA$74),"dd mmm yy"))&amp;" "&amp;Milestones!$AB$74&amp;" "&amp;IF(AND(Milestones!$AB$74="FT",Milestones!$AA$74=FT_Y5,EDATE($D98,Milestones!$AA$74)&lt;PolicyEff),1,Milestones!$AC$74)&amp;";  ","")&amp;IF(AND(EDATE($D98,Milestones!$AA$75)&lt;=AsOfDate,EDATE($D98,Milestones!$AA$75)&gt;=SchemeStart,IF($X98=0,$AD98,IF(AND($Z98&lt;&gt;"",EDATE($D98,Milestones!$AA$75)&gt;=$Z98),$AC98,IF(AND($Y98&lt;&gt;"",EDATE($D98,Milestones!$AA$75)&gt;=$Y98),$AB98,$AA98)))=Milestones!$AB$75),UPPER(TEXT(EDATE($D98,Milestones!$AA$75),"dd mmm yy"))&amp;" "&amp;Milestones!$AB$75&amp;" "&amp;IF(AND(Milestones!$AB$75="FT",Milestones!$AA$75=FT_Y5,EDATE($D98,Milestones!$AA$75)&lt;PolicyEff),1,Milestones!$AC$75)&amp;";  ","")&amp;IF(AND(EDATE($D98,Milestones!$AA$76)&lt;=AsOfDate,EDATE($D98,Milestones!$AA$76)&gt;=SchemeStart,IF($X98=0,$AD98,IF(AND($Z98&lt;&gt;"",EDATE($D98,Milestones!$AA$76)&gt;=$Z98),$AC98,IF(AND($Y98&lt;&gt;"",EDATE($D98,Milestones!$AA$76)&gt;=$Y98),$AB98,$AA98)))=Milestones!$AB$76),UPPER(TEXT(EDATE($D98,Milestones!$AA$76),"dd mmm yy"))&amp;" "&amp;Milestones!$AB$76&amp;" "&amp;IF(AND(Milestones!$AB$76="FT",Milestones!$AA$76=FT_Y5,EDATE($D98,Milestones!$AA$76)&lt;PolicyEff),1,Milestones!$AC$76)&amp;";  ","")&amp;IF(AND(EDATE($D98,Milestones!$AA$77)&lt;=AsOfDate,EDATE($D98,Milestones!$AA$77)&gt;=SchemeStart,IF($X98=0,$AD98,IF(AND($Z98&lt;&gt;"",EDATE($D98,Milestones!$AA$77)&gt;=$Z98),$AC98,IF(AND($Y98&lt;&gt;"",EDATE($D98,Milestones!$AA$77)&gt;=$Y98),$AB98,$AA98)))=Milestones!$AB$77),UPPER(TEXT(EDATE($D98,Milestones!$AA$77),"dd mmm yy"))&amp;" "&amp;Milestones!$AB$77&amp;" "&amp;IF(AND(Milestones!$AB$77="FT",Milestones!$AA$77=FT_Y5,EDATE($D98,Milestones!$AA$77)&lt;PolicyEff),1,Milestones!$AC$77)&amp;";  ","")&amp;IF(AND(EDATE($D98,Milestones!$AA$78)&lt;=AsOfDate,EDATE($D98,Milestones!$AA$78)&gt;=SchemeStart,IF($X98=0,$AD98,IF(AND($Z98&lt;&gt;"",EDATE($D98,Milestones!$AA$78)&gt;=$Z98),$AC98,IF(AND($Y98&lt;&gt;"",EDATE($D98,Milestones!$AA$78)&gt;=$Y98),$AB98,$AA98)))=Milestones!$AB$78),UPPER(TEXT(EDATE($D98,Milestones!$AA$78),"dd mmm yy"))&amp;" "&amp;Milestones!$AB$78&amp;" "&amp;IF(AND(Milestones!$AB$78="FT",Milestones!$AA$78=FT_Y5,EDATE($D98,Milestones!$AA$78)&lt;PolicyEff),1,Milestones!$AC$78)&amp;";  ","")&amp;IF(AND(EDATE($D98,Milestones!$AA$79)&lt;=AsOfDate,EDATE($D98,Milestones!$AA$79)&gt;=SchemeStart,IF($X98=0,$AD98,IF(AND($Z98&lt;&gt;"",EDATE($D98,Milestones!$AA$79)&gt;=$Z98),$AC98,IF(AND($Y98&lt;&gt;"",EDATE($D98,Milestones!$AA$79)&gt;=$Y98),$AB98,$AA98)))=Milestones!$AB$79),UPPER(TEXT(EDATE($D98,Milestones!$AA$79),"dd mmm yy"))&amp;" "&amp;Milestones!$AB$79&amp;" "&amp;IF(AND(Milestones!$AB$79="FT",Milestones!$AA$79=FT_Y5,EDATE($D98,Milestones!$AA$79)&lt;PolicyEff),1,Milestones!$AC$79)&amp;";  ",""))</f>
        <v/>
      </c>
      <c r="N98" s="0" t="str">
        <f aca="false">IF(OR($A98="",$D98=""),"",IF(AND(EDATE($D98,Milestones!$AA$80)&lt;=AsOfDate,EDATE($D98,Milestones!$AA$80)&gt;=SchemeStart,IF($X98=0,$AD98,IF(AND($Z98&lt;&gt;"",EDATE($D98,Milestones!$AA$80)&gt;=$Z98),$AC98,IF(AND($Y98&lt;&gt;"",EDATE($D98,Milestones!$AA$80)&gt;=$Y98),$AB98,$AA98)))=Milestones!$AB$80),UPPER(TEXT(EDATE($D98,Milestones!$AA$80),"dd mmm yy"))&amp;" "&amp;Milestones!$AB$80&amp;" "&amp;IF(AND(Milestones!$AB$80="FT",Milestones!$AA$80=FT_Y5,EDATE($D98,Milestones!$AA$80)&lt;PolicyEff),1,Milestones!$AC$80)&amp;";  ","")&amp;IF(AND(EDATE($D98,Milestones!$AA$81)&lt;=AsOfDate,EDATE($D98,Milestones!$AA$81)&gt;=SchemeStart,IF($X98=0,$AD98,IF(AND($Z98&lt;&gt;"",EDATE($D98,Milestones!$AA$81)&gt;=$Z98),$AC98,IF(AND($Y98&lt;&gt;"",EDATE($D98,Milestones!$AA$81)&gt;=$Y98),$AB98,$AA98)))=Milestones!$AB$81),UPPER(TEXT(EDATE($D98,Milestones!$AA$81),"dd mmm yy"))&amp;" "&amp;Milestones!$AB$81&amp;" "&amp;IF(AND(Milestones!$AB$81="FT",Milestones!$AA$81=FT_Y5,EDATE($D98,Milestones!$AA$81)&lt;PolicyEff),1,Milestones!$AC$81)&amp;";  ","")&amp;IF(AND(EDATE($D98,Milestones!$AA$82)&lt;=AsOfDate,EDATE($D98,Milestones!$AA$82)&gt;=SchemeStart,IF($X98=0,$AD98,IF(AND($Z98&lt;&gt;"",EDATE($D98,Milestones!$AA$82)&gt;=$Z98),$AC98,IF(AND($Y98&lt;&gt;"",EDATE($D98,Milestones!$AA$82)&gt;=$Y98),$AB98,$AA98)))=Milestones!$AB$82),UPPER(TEXT(EDATE($D98,Milestones!$AA$82),"dd mmm yy"))&amp;" "&amp;Milestones!$AB$82&amp;" "&amp;IF(AND(Milestones!$AB$82="FT",Milestones!$AA$82=FT_Y5,EDATE($D98,Milestones!$AA$82)&lt;PolicyEff),1,Milestones!$AC$82)&amp;";  ","")&amp;IF(AND(EDATE($D98,Milestones!$AA$83)&lt;=AsOfDate,EDATE($D98,Milestones!$AA$83)&gt;=SchemeStart,IF($X98=0,$AD98,IF(AND($Z98&lt;&gt;"",EDATE($D98,Milestones!$AA$83)&gt;=$Z98),$AC98,IF(AND($Y98&lt;&gt;"",EDATE($D98,Milestones!$AA$83)&gt;=$Y98),$AB98,$AA98)))=Milestones!$AB$83),UPPER(TEXT(EDATE($D98,Milestones!$AA$83),"dd mmm yy"))&amp;" "&amp;Milestones!$AB$83&amp;" "&amp;IF(AND(Milestones!$AB$83="FT",Milestones!$AA$83=FT_Y5,EDATE($D98,Milestones!$AA$83)&lt;PolicyEff),1,Milestones!$AC$83)&amp;";  ","")&amp;IF(AND(EDATE($D98,Milestones!$AA$84)&lt;=AsOfDate,EDATE($D98,Milestones!$AA$84)&gt;=SchemeStart,IF($X98=0,$AD98,IF(AND($Z98&lt;&gt;"",EDATE($D98,Milestones!$AA$84)&gt;=$Z98),$AC98,IF(AND($Y98&lt;&gt;"",EDATE($D98,Milestones!$AA$84)&gt;=$Y98),$AB98,$AA98)))=Milestones!$AB$84),UPPER(TEXT(EDATE($D98,Milestones!$AA$84),"dd mmm yy"))&amp;" "&amp;Milestones!$AB$84&amp;" "&amp;IF(AND(Milestones!$AB$84="FT",Milestones!$AA$84=FT_Y5,EDATE($D98,Milestones!$AA$84)&lt;PolicyEff),1,Milestones!$AC$84)&amp;";  ","")&amp;IF(AND(EDATE($D98,Milestones!$AA$85)&lt;=AsOfDate,EDATE($D98,Milestones!$AA$85)&gt;=SchemeStart,IF($X98=0,$AD98,IF(AND($Z98&lt;&gt;"",EDATE($D98,Milestones!$AA$85)&gt;=$Z98),$AC98,IF(AND($Y98&lt;&gt;"",EDATE($D98,Milestones!$AA$85)&gt;=$Y98),$AB98,$AA98)))=Milestones!$AB$85),UPPER(TEXT(EDATE($D98,Milestones!$AA$85),"dd mmm yy"))&amp;" "&amp;Milestones!$AB$85&amp;" "&amp;IF(AND(Milestones!$AB$85="FT",Milestones!$AA$85=FT_Y5,EDATE($D98,Milestones!$AA$85)&lt;PolicyEff),1,Milestones!$AC$85)&amp;";  ","")&amp;IF(AND(EDATE($D98,Milestones!$AA$86)&lt;=AsOfDate,EDATE($D98,Milestones!$AA$86)&gt;=SchemeStart,IF($X98=0,$AD98,IF(AND($Z98&lt;&gt;"",EDATE($D98,Milestones!$AA$86)&gt;=$Z98),$AC98,IF(AND($Y98&lt;&gt;"",EDATE($D98,Milestones!$AA$86)&gt;=$Y98),$AB98,$AA98)))=Milestones!$AB$86),UPPER(TEXT(EDATE($D98,Milestones!$AA$86),"dd mmm yy"))&amp;" "&amp;Milestones!$AB$86&amp;" "&amp;IF(AND(Milestones!$AB$86="FT",Milestones!$AA$86=FT_Y5,EDATE($D98,Milestones!$AA$86)&lt;PolicyEff),1,Milestones!$AC$86)&amp;";  ","")&amp;IF(AND(EDATE($D98,Milestones!$AA$87)&lt;=AsOfDate,EDATE($D98,Milestones!$AA$87)&gt;=SchemeStart,IF($X98=0,$AD98,IF(AND($Z98&lt;&gt;"",EDATE($D98,Milestones!$AA$87)&gt;=$Z98),$AC98,IF(AND($Y98&lt;&gt;"",EDATE($D98,Milestones!$AA$87)&gt;=$Y98),$AB98,$AA98)))=Milestones!$AB$87),UPPER(TEXT(EDATE($D98,Milestones!$AA$87),"dd mmm yy"))&amp;" "&amp;Milestones!$AB$87&amp;" "&amp;IF(AND(Milestones!$AB$87="FT",Milestones!$AA$87=FT_Y5,EDATE($D98,Milestones!$AA$87)&lt;PolicyEff),1,Milestones!$AC$87)&amp;";  ","")&amp;IF(AND(EDATE($D98,Milestones!$AA$88)&lt;=AsOfDate,EDATE($D98,Milestones!$AA$88)&gt;=SchemeStart,IF($X98=0,$AD98,IF(AND($Z98&lt;&gt;"",EDATE($D98,Milestones!$AA$88)&gt;=$Z98),$AC98,IF(AND($Y98&lt;&gt;"",EDATE($D98,Milestones!$AA$88)&gt;=$Y98),$AB98,$AA98)))=Milestones!$AB$88),UPPER(TEXT(EDATE($D98,Milestones!$AA$88),"dd mmm yy"))&amp;" "&amp;Milestones!$AB$88&amp;" "&amp;IF(AND(Milestones!$AB$88="FT",Milestones!$AA$88=FT_Y5,EDATE($D98,Milestones!$AA$88)&lt;PolicyEff),1,Milestones!$AC$88)&amp;";  ","")&amp;IF(AND(EDATE($D98,Milestones!$AA$89)&lt;=AsOfDate,EDATE($D98,Milestones!$AA$89)&gt;=SchemeStart,IF($X98=0,$AD98,IF(AND($Z98&lt;&gt;"",EDATE($D98,Milestones!$AA$89)&gt;=$Z98),$AC98,IF(AND($Y98&lt;&gt;"",EDATE($D98,Milestones!$AA$89)&gt;=$Y98),$AB98,$AA98)))=Milestones!$AB$89),UPPER(TEXT(EDATE($D98,Milestones!$AA$89),"dd mmm yy"))&amp;" "&amp;Milestones!$AB$89&amp;" "&amp;IF(AND(Milestones!$AB$89="FT",Milestones!$AA$89=FT_Y5,EDATE($D98,Milestones!$AA$89)&lt;PolicyEff),1,Milestones!$AC$89)&amp;";  ","")&amp;IF(AND(EDATE($D98,Milestones!$AA$90)&lt;=AsOfDate,EDATE($D98,Milestones!$AA$90)&gt;=SchemeStart,IF($X98=0,$AD98,IF(AND($Z98&lt;&gt;"",EDATE($D98,Milestones!$AA$90)&gt;=$Z98),$AC98,IF(AND($Y98&lt;&gt;"",EDATE($D98,Milestones!$AA$90)&gt;=$Y98),$AB98,$AA98)))=Milestones!$AB$90),UPPER(TEXT(EDATE($D98,Milestones!$AA$90),"dd mmm yy"))&amp;" "&amp;Milestones!$AB$90&amp;" "&amp;IF(AND(Milestones!$AB$90="FT",Milestones!$AA$90=FT_Y5,EDATE($D98,Milestones!$AA$90)&lt;PolicyEff),1,Milestones!$AC$90)&amp;";  ","")&amp;IF(AND(EDATE($D98,Milestones!$AA$91)&lt;=AsOfDate,EDATE($D98,Milestones!$AA$91)&gt;=SchemeStart,IF($X98=0,$AD98,IF(AND($Z98&lt;&gt;"",EDATE($D98,Milestones!$AA$91)&gt;=$Z98),$AC98,IF(AND($Y98&lt;&gt;"",EDATE($D98,Milestones!$AA$91)&gt;=$Y98),$AB98,$AA98)))=Milestones!$AB$91),UPPER(TEXT(EDATE($D98,Milestones!$AA$91),"dd mmm yy"))&amp;" "&amp;Milestones!$AB$91&amp;" "&amp;IF(AND(Milestones!$AB$91="FT",Milestones!$AA$91=FT_Y5,EDATE($D98,Milestones!$AA$91)&lt;PolicyEff),1,Milestones!$AC$91)&amp;";  ",""))</f>
        <v/>
      </c>
      <c r="O98" s="0" t="str">
        <f aca="false">IF(OR($A98="",$D98=""),"",IF(AND(EDATE($D98,Milestones!$AA$92)&lt;=AsOfDate,EDATE($D98,Milestones!$AA$92)&gt;=SchemeStart,IF($X98=0,$AD98,IF(AND($Z98&lt;&gt;"",EDATE($D98,Milestones!$AA$92)&gt;=$Z98),$AC98,IF(AND($Y98&lt;&gt;"",EDATE($D98,Milestones!$AA$92)&gt;=$Y98),$AB98,$AA98)))=Milestones!$AB$92),UPPER(TEXT(EDATE($D98,Milestones!$AA$92),"dd mmm yy"))&amp;" "&amp;Milestones!$AB$92&amp;" "&amp;IF(AND(Milestones!$AB$92="FT",Milestones!$AA$92=FT_Y5,EDATE($D98,Milestones!$AA$92)&lt;PolicyEff),1,Milestones!$AC$92)&amp;";  ","")&amp;IF(AND(EDATE($D98,Milestones!$AA$93)&lt;=AsOfDate,EDATE($D98,Milestones!$AA$93)&gt;=SchemeStart,IF($X98=0,$AD98,IF(AND($Z98&lt;&gt;"",EDATE($D98,Milestones!$AA$93)&gt;=$Z98),$AC98,IF(AND($Y98&lt;&gt;"",EDATE($D98,Milestones!$AA$93)&gt;=$Y98),$AB98,$AA98)))=Milestones!$AB$93),UPPER(TEXT(EDATE($D98,Milestones!$AA$93),"dd mmm yy"))&amp;" "&amp;Milestones!$AB$93&amp;" "&amp;IF(AND(Milestones!$AB$93="FT",Milestones!$AA$93=FT_Y5,EDATE($D98,Milestones!$AA$93)&lt;PolicyEff),1,Milestones!$AC$93)&amp;";  ","")&amp;IF(AND(EDATE($D98,Milestones!$AA$94)&lt;=AsOfDate,EDATE($D98,Milestones!$AA$94)&gt;=SchemeStart,IF($X98=0,$AD98,IF(AND($Z98&lt;&gt;"",EDATE($D98,Milestones!$AA$94)&gt;=$Z98),$AC98,IF(AND($Y98&lt;&gt;"",EDATE($D98,Milestones!$AA$94)&gt;=$Y98),$AB98,$AA98)))=Milestones!$AB$94),UPPER(TEXT(EDATE($D98,Milestones!$AA$94),"dd mmm yy"))&amp;" "&amp;Milestones!$AB$94&amp;" "&amp;IF(AND(Milestones!$AB$94="FT",Milestones!$AA$94=FT_Y5,EDATE($D98,Milestones!$AA$94)&lt;PolicyEff),1,Milestones!$AC$94)&amp;";  ","")&amp;IF(AND(EDATE($D98,Milestones!$AA$95)&lt;=AsOfDate,EDATE($D98,Milestones!$AA$95)&gt;=SchemeStart,IF($X98=0,$AD98,IF(AND($Z98&lt;&gt;"",EDATE($D98,Milestones!$AA$95)&gt;=$Z98),$AC98,IF(AND($Y98&lt;&gt;"",EDATE($D98,Milestones!$AA$95)&gt;=$Y98),$AB98,$AA98)))=Milestones!$AB$95),UPPER(TEXT(EDATE($D98,Milestones!$AA$95),"dd mmm yy"))&amp;" "&amp;Milestones!$AB$95&amp;" "&amp;IF(AND(Milestones!$AB$95="FT",Milestones!$AA$95=FT_Y5,EDATE($D98,Milestones!$AA$95)&lt;PolicyEff),1,Milestones!$AC$95)&amp;";  ","")&amp;IF(AND(EDATE($D98,Milestones!$AA$96)&lt;=AsOfDate,EDATE($D98,Milestones!$AA$96)&gt;=SchemeStart,IF($X98=0,$AD98,IF(AND($Z98&lt;&gt;"",EDATE($D98,Milestones!$AA$96)&gt;=$Z98),$AC98,IF(AND($Y98&lt;&gt;"",EDATE($D98,Milestones!$AA$96)&gt;=$Y98),$AB98,$AA98)))=Milestones!$AB$96),UPPER(TEXT(EDATE($D98,Milestones!$AA$96),"dd mmm yy"))&amp;" "&amp;Milestones!$AB$96&amp;" "&amp;IF(AND(Milestones!$AB$96="FT",Milestones!$AA$96=FT_Y5,EDATE($D98,Milestones!$AA$96)&lt;PolicyEff),1,Milestones!$AC$96)&amp;";  ","")&amp;IF(AND(EDATE($D98,Milestones!$AA$97)&lt;=AsOfDate,EDATE($D98,Milestones!$AA$97)&gt;=SchemeStart,IF($X98=0,$AD98,IF(AND($Z98&lt;&gt;"",EDATE($D98,Milestones!$AA$97)&gt;=$Z98),$AC98,IF(AND($Y98&lt;&gt;"",EDATE($D98,Milestones!$AA$97)&gt;=$Y98),$AB98,$AA98)))=Milestones!$AB$97),UPPER(TEXT(EDATE($D98,Milestones!$AA$97),"dd mmm yy"))&amp;" "&amp;Milestones!$AB$97&amp;" "&amp;IF(AND(Milestones!$AB$97="FT",Milestones!$AA$97=FT_Y5,EDATE($D98,Milestones!$AA$97)&lt;PolicyEff),1,Milestones!$AC$97)&amp;";  ","")&amp;IF(AND(EDATE($D98,Milestones!$AA$98)&lt;=AsOfDate,EDATE($D98,Milestones!$AA$98)&gt;=SchemeStart,IF($X98=0,$AD98,IF(AND($Z98&lt;&gt;"",EDATE($D98,Milestones!$AA$98)&gt;=$Z98),$AC98,IF(AND($Y98&lt;&gt;"",EDATE($D98,Milestones!$AA$98)&gt;=$Y98),$AB98,$AA98)))=Milestones!$AB$98),UPPER(TEXT(EDATE($D98,Milestones!$AA$98),"dd mmm yy"))&amp;" "&amp;Milestones!$AB$98&amp;" "&amp;IF(AND(Milestones!$AB$98="FT",Milestones!$AA$98=FT_Y5,EDATE($D98,Milestones!$AA$98)&lt;PolicyEff),1,Milestones!$AC$98)&amp;";  ","")&amp;IF(AND(EDATE($D98,Milestones!$AA$99)&lt;=AsOfDate,EDATE($D98,Milestones!$AA$99)&gt;=SchemeStart,IF($X98=0,$AD98,IF(AND($Z98&lt;&gt;"",EDATE($D98,Milestones!$AA$99)&gt;=$Z98),$AC98,IF(AND($Y98&lt;&gt;"",EDATE($D98,Milestones!$AA$99)&gt;=$Y98),$AB98,$AA98)))=Milestones!$AB$99),UPPER(TEXT(EDATE($D98,Milestones!$AA$99),"dd mmm yy"))&amp;" "&amp;Milestones!$AB$99&amp;" "&amp;IF(AND(Milestones!$AB$99="FT",Milestones!$AA$99=FT_Y5,EDATE($D98,Milestones!$AA$99)&lt;PolicyEff),1,Milestones!$AC$99)&amp;";  ","")&amp;IF(AND(EDATE($D98,Milestones!$AA$100)&lt;=AsOfDate,EDATE($D98,Milestones!$AA$100)&gt;=SchemeStart,IF($X98=0,$AD98,IF(AND($Z98&lt;&gt;"",EDATE($D98,Milestones!$AA$100)&gt;=$Z98),$AC98,IF(AND($Y98&lt;&gt;"",EDATE($D98,Milestones!$AA$100)&gt;=$Y98),$AB98,$AA98)))=Milestones!$AB$100),UPPER(TEXT(EDATE($D98,Milestones!$AA$100),"dd mmm yy"))&amp;" "&amp;Milestones!$AB$100&amp;" "&amp;IF(AND(Milestones!$AB$100="FT",Milestones!$AA$100=FT_Y5,EDATE($D98,Milestones!$AA$100)&lt;PolicyEff),1,Milestones!$AC$100)&amp;";  ","")&amp;IF(AND(EDATE($D98,Milestones!$AA$101)&lt;=AsOfDate,EDATE($D98,Milestones!$AA$101)&gt;=SchemeStart,IF($X98=0,$AD98,IF(AND($Z98&lt;&gt;"",EDATE($D98,Milestones!$AA$101)&gt;=$Z98),$AC98,IF(AND($Y98&lt;&gt;"",EDATE($D98,Milestones!$AA$101)&gt;=$Y98),$AB98,$AA98)))=Milestones!$AB$101),UPPER(TEXT(EDATE($D98,Milestones!$AA$101),"dd mmm yy"))&amp;" "&amp;Milestones!$AB$101&amp;" "&amp;IF(AND(Milestones!$AB$101="FT",Milestones!$AA$101=FT_Y5,EDATE($D98,Milestones!$AA$101)&lt;PolicyEff),1,Milestones!$AC$101)&amp;";  ","")&amp;IF(AND(EDATE($D98,Milestones!$AA$102)&lt;=AsOfDate,EDATE($D98,Milestones!$AA$102)&gt;=SchemeStart,IF($X98=0,$AD98,IF(AND($Z98&lt;&gt;"",EDATE($D98,Milestones!$AA$102)&gt;=$Z98),$AC98,IF(AND($Y98&lt;&gt;"",EDATE($D98,Milestones!$AA$102)&gt;=$Y98),$AB98,$AA98)))=Milestones!$AB$102),UPPER(TEXT(EDATE($D98,Milestones!$AA$102),"dd mmm yy"))&amp;" "&amp;Milestones!$AB$102&amp;" "&amp;IF(AND(Milestones!$AB$102="FT",Milestones!$AA$102=FT_Y5,EDATE($D98,Milestones!$AA$102)&lt;PolicyEff),1,Milestones!$AC$102)&amp;";  ","")&amp;IF(AND(EDATE($D98,Milestones!$AA$103)&lt;=AsOfDate,EDATE($D98,Milestones!$AA$103)&gt;=SchemeStart,IF($X98=0,$AD98,IF(AND($Z98&lt;&gt;"",EDATE($D98,Milestones!$AA$103)&gt;=$Z98),$AC98,IF(AND($Y98&lt;&gt;"",EDATE($D98,Milestones!$AA$103)&gt;=$Y98),$AB98,$AA98)))=Milestones!$AB$103),UPPER(TEXT(EDATE($D98,Milestones!$AA$103),"dd mmm yy"))&amp;" "&amp;Milestones!$AB$103&amp;" "&amp;IF(AND(Milestones!$AB$103="FT",Milestones!$AA$103=FT_Y5,EDATE($D98,Milestones!$AA$103)&lt;PolicyEff),1,Milestones!$AC$103)&amp;";  ",""))</f>
        <v/>
      </c>
      <c r="P98" s="0" t="str">
        <f aca="false">IF(OR($A98="",$D98=""),"",IF(AND(EDATE($D98,Milestones!$AA$104)&lt;=AsOfDate,EDATE($D98,Milestones!$AA$104)&gt;=SchemeStart,IF($X98=0,$AD98,IF(AND($Z98&lt;&gt;"",EDATE($D98,Milestones!$AA$104)&gt;=$Z98),$AC98,IF(AND($Y98&lt;&gt;"",EDATE($D98,Milestones!$AA$104)&gt;=$Y98),$AB98,$AA98)))=Milestones!$AB$104),UPPER(TEXT(EDATE($D98,Milestones!$AA$104),"dd mmm yy"))&amp;" "&amp;Milestones!$AB$104&amp;" "&amp;IF(AND(Milestones!$AB$104="FT",Milestones!$AA$104=FT_Y5,EDATE($D98,Milestones!$AA$104)&lt;PolicyEff),1,Milestones!$AC$104)&amp;";  ","")&amp;IF(AND(EDATE($D98,Milestones!$AA$105)&lt;=AsOfDate,EDATE($D98,Milestones!$AA$105)&gt;=SchemeStart,IF($X98=0,$AD98,IF(AND($Z98&lt;&gt;"",EDATE($D98,Milestones!$AA$105)&gt;=$Z98),$AC98,IF(AND($Y98&lt;&gt;"",EDATE($D98,Milestones!$AA$105)&gt;=$Y98),$AB98,$AA98)))=Milestones!$AB$105),UPPER(TEXT(EDATE($D98,Milestones!$AA$105),"dd mmm yy"))&amp;" "&amp;Milestones!$AB$105&amp;" "&amp;IF(AND(Milestones!$AB$105="FT",Milestones!$AA$105=FT_Y5,EDATE($D98,Milestones!$AA$105)&lt;PolicyEff),1,Milestones!$AC$105)&amp;";  ","")&amp;IF(AND(EDATE($D98,Milestones!$AA$106)&lt;=AsOfDate,EDATE($D98,Milestones!$AA$106)&gt;=SchemeStart,IF($X98=0,$AD98,IF(AND($Z98&lt;&gt;"",EDATE($D98,Milestones!$AA$106)&gt;=$Z98),$AC98,IF(AND($Y98&lt;&gt;"",EDATE($D98,Milestones!$AA$106)&gt;=$Y98),$AB98,$AA98)))=Milestones!$AB$106),UPPER(TEXT(EDATE($D98,Milestones!$AA$106),"dd mmm yy"))&amp;" "&amp;Milestones!$AB$106&amp;" "&amp;IF(AND(Milestones!$AB$106="FT",Milestones!$AA$106=FT_Y5,EDATE($D98,Milestones!$AA$106)&lt;PolicyEff),1,Milestones!$AC$106)&amp;";  ","")&amp;IF(AND(EDATE($D98,Milestones!$AA$107)&lt;=AsOfDate,EDATE($D98,Milestones!$AA$107)&gt;=SchemeStart,IF($X98=0,$AD98,IF(AND($Z98&lt;&gt;"",EDATE($D98,Milestones!$AA$107)&gt;=$Z98),$AC98,IF(AND($Y98&lt;&gt;"",EDATE($D98,Milestones!$AA$107)&gt;=$Y98),$AB98,$AA98)))=Milestones!$AB$107),UPPER(TEXT(EDATE($D98,Milestones!$AA$107),"dd mmm yy"))&amp;" "&amp;Milestones!$AB$107&amp;" "&amp;IF(AND(Milestones!$AB$107="FT",Milestones!$AA$107=FT_Y5,EDATE($D98,Milestones!$AA$107)&lt;PolicyEff),1,Milestones!$AC$107)&amp;";  ","")&amp;IF(AND(EDATE($D98,Milestones!$AA$108)&lt;=AsOfDate,EDATE($D98,Milestones!$AA$108)&gt;=SchemeStart,IF($X98=0,$AD98,IF(AND($Z98&lt;&gt;"",EDATE($D98,Milestones!$AA$108)&gt;=$Z98),$AC98,IF(AND($Y98&lt;&gt;"",EDATE($D98,Milestones!$AA$108)&gt;=$Y98),$AB98,$AA98)))=Milestones!$AB$108),UPPER(TEXT(EDATE($D98,Milestones!$AA$108),"dd mmm yy"))&amp;" "&amp;Milestones!$AB$108&amp;" "&amp;IF(AND(Milestones!$AB$108="FT",Milestones!$AA$108=FT_Y5,EDATE($D98,Milestones!$AA$108)&lt;PolicyEff),1,Milestones!$AC$108)&amp;";  ","")&amp;IF(AND(EDATE($D98,Milestones!$AA$109)&lt;=AsOfDate,EDATE($D98,Milestones!$AA$109)&gt;=SchemeStart,IF($X98=0,$AD98,IF(AND($Z98&lt;&gt;"",EDATE($D98,Milestones!$AA$109)&gt;=$Z98),$AC98,IF(AND($Y98&lt;&gt;"",EDATE($D98,Milestones!$AA$109)&gt;=$Y98),$AB98,$AA98)))=Milestones!$AB$109),UPPER(TEXT(EDATE($D98,Milestones!$AA$109),"dd mmm yy"))&amp;" "&amp;Milestones!$AB$109&amp;" "&amp;IF(AND(Milestones!$AB$109="FT",Milestones!$AA$109=FT_Y5,EDATE($D98,Milestones!$AA$109)&lt;PolicyEff),1,Milestones!$AC$109)&amp;";  ","")&amp;IF(AND(EDATE($D98,Milestones!$AA$110)&lt;=AsOfDate,EDATE($D98,Milestones!$AA$110)&gt;=SchemeStart,IF($X98=0,$AD98,IF(AND($Z98&lt;&gt;"",EDATE($D98,Milestones!$AA$110)&gt;=$Z98),$AC98,IF(AND($Y98&lt;&gt;"",EDATE($D98,Milestones!$AA$110)&gt;=$Y98),$AB98,$AA98)))=Milestones!$AB$110),UPPER(TEXT(EDATE($D98,Milestones!$AA$110),"dd mmm yy"))&amp;" "&amp;Milestones!$AB$110&amp;" "&amp;IF(AND(Milestones!$AB$110="FT",Milestones!$AA$110=FT_Y5,EDATE($D98,Milestones!$AA$110)&lt;PolicyEff),1,Milestones!$AC$110)&amp;";  ","")&amp;IF(AND(EDATE($D98,Milestones!$AA$111)&lt;=AsOfDate,EDATE($D98,Milestones!$AA$111)&gt;=SchemeStart,IF($X98=0,$AD98,IF(AND($Z98&lt;&gt;"",EDATE($D98,Milestones!$AA$111)&gt;=$Z98),$AC98,IF(AND($Y98&lt;&gt;"",EDATE($D98,Milestones!$AA$111)&gt;=$Y98),$AB98,$AA98)))=Milestones!$AB$111),UPPER(TEXT(EDATE($D98,Milestones!$AA$111),"dd mmm yy"))&amp;" "&amp;Milestones!$AB$111&amp;" "&amp;IF(AND(Milestones!$AB$111="FT",Milestones!$AA$111=FT_Y5,EDATE($D98,Milestones!$AA$111)&lt;PolicyEff),1,Milestones!$AC$111)&amp;";  ","")&amp;IF(AND(EDATE($D98,Milestones!$AA$112)&lt;=AsOfDate,EDATE($D98,Milestones!$AA$112)&gt;=SchemeStart,IF($X98=0,$AD98,IF(AND($Z98&lt;&gt;"",EDATE($D98,Milestones!$AA$112)&gt;=$Z98),$AC98,IF(AND($Y98&lt;&gt;"",EDATE($D98,Milestones!$AA$112)&gt;=$Y98),$AB98,$AA98)))=Milestones!$AB$112),UPPER(TEXT(EDATE($D98,Milestones!$AA$112),"dd mmm yy"))&amp;" "&amp;Milestones!$AB$112&amp;" "&amp;IF(AND(Milestones!$AB$112="FT",Milestones!$AA$112=FT_Y5,EDATE($D98,Milestones!$AA$112)&lt;PolicyEff),1,Milestones!$AC$112)&amp;";  ","")&amp;IF(AND(EDATE($D98,Milestones!$AA$113)&lt;=AsOfDate,EDATE($D98,Milestones!$AA$113)&gt;=SchemeStart,IF($X98=0,$AD98,IF(AND($Z98&lt;&gt;"",EDATE($D98,Milestones!$AA$113)&gt;=$Z98),$AC98,IF(AND($Y98&lt;&gt;"",EDATE($D98,Milestones!$AA$113)&gt;=$Y98),$AB98,$AA98)))=Milestones!$AB$113),UPPER(TEXT(EDATE($D98,Milestones!$AA$113),"dd mmm yy"))&amp;" "&amp;Milestones!$AB$113&amp;" "&amp;IF(AND(Milestones!$AB$113="FT",Milestones!$AA$113=FT_Y5,EDATE($D98,Milestones!$AA$113)&lt;PolicyEff),1,Milestones!$AC$113)&amp;";  ","")&amp;IF(AND(EDATE($D98,Milestones!$AA$114)&lt;=AsOfDate,EDATE($D98,Milestones!$AA$114)&gt;=SchemeStart,IF($X98=0,$AD98,IF(AND($Z98&lt;&gt;"",EDATE($D98,Milestones!$AA$114)&gt;=$Z98),$AC98,IF(AND($Y98&lt;&gt;"",EDATE($D98,Milestones!$AA$114)&gt;=$Y98),$AB98,$AA98)))=Milestones!$AB$114),UPPER(TEXT(EDATE($D98,Milestones!$AA$114),"dd mmm yy"))&amp;" "&amp;Milestones!$AB$114&amp;" "&amp;IF(AND(Milestones!$AB$114="FT",Milestones!$AA$114=FT_Y5,EDATE($D98,Milestones!$AA$114)&lt;PolicyEff),1,Milestones!$AC$114)&amp;";  ","")&amp;IF(AND(EDATE($D98,Milestones!$AA$115)&lt;=AsOfDate,EDATE($D98,Milestones!$AA$115)&gt;=SchemeStart,IF($X98=0,$AD98,IF(AND($Z98&lt;&gt;"",EDATE($D98,Milestones!$AA$115)&gt;=$Z98),$AC98,IF(AND($Y98&lt;&gt;"",EDATE($D98,Milestones!$AA$115)&gt;=$Y98),$AB98,$AA98)))=Milestones!$AB$115),UPPER(TEXT(EDATE($D98,Milestones!$AA$115),"dd mmm yy"))&amp;" "&amp;Milestones!$AB$115&amp;" "&amp;IF(AND(Milestones!$AB$115="FT",Milestones!$AA$115=FT_Y5,EDATE($D98,Milestones!$AA$115)&lt;PolicyEff),1,Milestones!$AC$115)&amp;";  ",""))</f>
        <v/>
      </c>
      <c r="Q98" s="0" t="str">
        <f aca="false">IF(OR($A98="",$D98=""),"",IF(AND(EDATE($D98,Milestones!$AA$116)&lt;=AsOfDate,EDATE($D98,Milestones!$AA$116)&gt;=SchemeStart,IF($X98=0,$AD98,IF(AND($Z98&lt;&gt;"",EDATE($D98,Milestones!$AA$116)&gt;=$Z98),$AC98,IF(AND($Y98&lt;&gt;"",EDATE($D98,Milestones!$AA$116)&gt;=$Y98),$AB98,$AA98)))=Milestones!$AB$116),UPPER(TEXT(EDATE($D98,Milestones!$AA$116),"dd mmm yy"))&amp;" "&amp;Milestones!$AB$116&amp;" "&amp;IF(AND(Milestones!$AB$116="FT",Milestones!$AA$116=FT_Y5,EDATE($D98,Milestones!$AA$116)&lt;PolicyEff),1,Milestones!$AC$116)&amp;";  ","")&amp;IF(AND(EDATE($D98,Milestones!$AA$117)&lt;=AsOfDate,EDATE($D98,Milestones!$AA$117)&gt;=SchemeStart,IF($X98=0,$AD98,IF(AND($Z98&lt;&gt;"",EDATE($D98,Milestones!$AA$117)&gt;=$Z98),$AC98,IF(AND($Y98&lt;&gt;"",EDATE($D98,Milestones!$AA$117)&gt;=$Y98),$AB98,$AA98)))=Milestones!$AB$117),UPPER(TEXT(EDATE($D98,Milestones!$AA$117),"dd mmm yy"))&amp;" "&amp;Milestones!$AB$117&amp;" "&amp;IF(AND(Milestones!$AB$117="FT",Milestones!$AA$117=FT_Y5,EDATE($D98,Milestones!$AA$117)&lt;PolicyEff),1,Milestones!$AC$117)&amp;";  ","")&amp;IF(AND(EDATE($D98,Milestones!$AA$118)&lt;=AsOfDate,EDATE($D98,Milestones!$AA$118)&gt;=SchemeStart,IF($X98=0,$AD98,IF(AND($Z98&lt;&gt;"",EDATE($D98,Milestones!$AA$118)&gt;=$Z98),$AC98,IF(AND($Y98&lt;&gt;"",EDATE($D98,Milestones!$AA$118)&gt;=$Y98),$AB98,$AA98)))=Milestones!$AB$118),UPPER(TEXT(EDATE($D98,Milestones!$AA$118),"dd mmm yy"))&amp;" "&amp;Milestones!$AB$118&amp;" "&amp;IF(AND(Milestones!$AB$118="FT",Milestones!$AA$118=FT_Y5,EDATE($D98,Milestones!$AA$118)&lt;PolicyEff),1,Milestones!$AC$118)&amp;";  ","")&amp;IF(AND(EDATE($D98,Milestones!$AA$119)&lt;=AsOfDate,EDATE($D98,Milestones!$AA$119)&gt;=SchemeStart,IF($X98=0,$AD98,IF(AND($Z98&lt;&gt;"",EDATE($D98,Milestones!$AA$119)&gt;=$Z98),$AC98,IF(AND($Y98&lt;&gt;"",EDATE($D98,Milestones!$AA$119)&gt;=$Y98),$AB98,$AA98)))=Milestones!$AB$119),UPPER(TEXT(EDATE($D98,Milestones!$AA$119),"dd mmm yy"))&amp;" "&amp;Milestones!$AB$119&amp;" "&amp;IF(AND(Milestones!$AB$119="FT",Milestones!$AA$119=FT_Y5,EDATE($D98,Milestones!$AA$119)&lt;PolicyEff),1,Milestones!$AC$119)&amp;";  ","")&amp;IF(AND(EDATE($D98,Milestones!$AA$120)&lt;=AsOfDate,EDATE($D98,Milestones!$AA$120)&gt;=SchemeStart,IF($X98=0,$AD98,IF(AND($Z98&lt;&gt;"",EDATE($D98,Milestones!$AA$120)&gt;=$Z98),$AC98,IF(AND($Y98&lt;&gt;"",EDATE($D98,Milestones!$AA$120)&gt;=$Y98),$AB98,$AA98)))=Milestones!$AB$120),UPPER(TEXT(EDATE($D98,Milestones!$AA$120),"dd mmm yy"))&amp;" "&amp;Milestones!$AB$120&amp;" "&amp;IF(AND(Milestones!$AB$120="FT",Milestones!$AA$120=FT_Y5,EDATE($D98,Milestones!$AA$120)&lt;PolicyEff),1,Milestones!$AC$120)&amp;";  ","")&amp;IF(AND(EDATE($D98,Milestones!$AA$121)&lt;=AsOfDate,EDATE($D98,Milestones!$AA$121)&gt;=SchemeStart,IF($X98=0,$AD98,IF(AND($Z98&lt;&gt;"",EDATE($D98,Milestones!$AA$121)&gt;=$Z98),$AC98,IF(AND($Y98&lt;&gt;"",EDATE($D98,Milestones!$AA$121)&gt;=$Y98),$AB98,$AA98)))=Milestones!$AB$121),UPPER(TEXT(EDATE($D98,Milestones!$AA$121),"dd mmm yy"))&amp;" "&amp;Milestones!$AB$121&amp;" "&amp;IF(AND(Milestones!$AB$121="FT",Milestones!$AA$121=FT_Y5,EDATE($D98,Milestones!$AA$121)&lt;PolicyEff),1,Milestones!$AC$121)&amp;";  ","")&amp;IF(AND(EDATE($D98,Milestones!$AA$122)&lt;=AsOfDate,EDATE($D98,Milestones!$AA$122)&gt;=SchemeStart,IF($X98=0,$AD98,IF(AND($Z98&lt;&gt;"",EDATE($D98,Milestones!$AA$122)&gt;=$Z98),$AC98,IF(AND($Y98&lt;&gt;"",EDATE($D98,Milestones!$AA$122)&gt;=$Y98),$AB98,$AA98)))=Milestones!$AB$122),UPPER(TEXT(EDATE($D98,Milestones!$AA$122),"dd mmm yy"))&amp;" "&amp;Milestones!$AB$122&amp;" "&amp;IF(AND(Milestones!$AB$122="FT",Milestones!$AA$122=FT_Y5,EDATE($D98,Milestones!$AA$122)&lt;PolicyEff),1,Milestones!$AC$122)&amp;";  ","")&amp;IF(AND(EDATE($D98,Milestones!$AA$123)&lt;=AsOfDate,EDATE($D98,Milestones!$AA$123)&gt;=SchemeStart,IF($X98=0,$AD98,IF(AND($Z98&lt;&gt;"",EDATE($D98,Milestones!$AA$123)&gt;=$Z98),$AC98,IF(AND($Y98&lt;&gt;"",EDATE($D98,Milestones!$AA$123)&gt;=$Y98),$AB98,$AA98)))=Milestones!$AB$123),UPPER(TEXT(EDATE($D98,Milestones!$AA$123),"dd mmm yy"))&amp;" "&amp;Milestones!$AB$123&amp;" "&amp;IF(AND(Milestones!$AB$123="FT",Milestones!$AA$123=FT_Y5,EDATE($D98,Milestones!$AA$123)&lt;PolicyEff),1,Milestones!$AC$123)&amp;";  ","")&amp;IF(AND(EDATE($D98,Milestones!$AA$124)&lt;=AsOfDate,EDATE($D98,Milestones!$AA$124)&gt;=SchemeStart,IF($X98=0,$AD98,IF(AND($Z98&lt;&gt;"",EDATE($D98,Milestones!$AA$124)&gt;=$Z98),$AC98,IF(AND($Y98&lt;&gt;"",EDATE($D98,Milestones!$AA$124)&gt;=$Y98),$AB98,$AA98)))=Milestones!$AB$124),UPPER(TEXT(EDATE($D98,Milestones!$AA$124),"dd mmm yy"))&amp;" "&amp;Milestones!$AB$124&amp;" "&amp;IF(AND(Milestones!$AB$124="FT",Milestones!$AA$124=FT_Y5,EDATE($D98,Milestones!$AA$124)&lt;PolicyEff),1,Milestones!$AC$124)&amp;";  ","")&amp;IF(AND(EDATE($D98,Milestones!$AA$125)&lt;=AsOfDate,EDATE($D98,Milestones!$AA$125)&gt;=SchemeStart,IF($X98=0,$AD98,IF(AND($Z98&lt;&gt;"",EDATE($D98,Milestones!$AA$125)&gt;=$Z98),$AC98,IF(AND($Y98&lt;&gt;"",EDATE($D98,Milestones!$AA$125)&gt;=$Y98),$AB98,$AA98)))=Milestones!$AB$125),UPPER(TEXT(EDATE($D98,Milestones!$AA$125),"dd mmm yy"))&amp;" "&amp;Milestones!$AB$125&amp;" "&amp;IF(AND(Milestones!$AB$125="FT",Milestones!$AA$125=FT_Y5,EDATE($D98,Milestones!$AA$125)&lt;PolicyEff),1,Milestones!$AC$125)&amp;";  ","")&amp;IF(AND(EDATE($D98,Milestones!$AA$126)&lt;=AsOfDate,EDATE($D98,Milestones!$AA$126)&gt;=SchemeStart,IF($X98=0,$AD98,IF(AND($Z98&lt;&gt;"",EDATE($D98,Milestones!$AA$126)&gt;=$Z98),$AC98,IF(AND($Y98&lt;&gt;"",EDATE($D98,Milestones!$AA$126)&gt;=$Y98),$AB98,$AA98)))=Milestones!$AB$126),UPPER(TEXT(EDATE($D98,Milestones!$AA$126),"dd mmm yy"))&amp;" "&amp;Milestones!$AB$126&amp;" "&amp;IF(AND(Milestones!$AB$126="FT",Milestones!$AA$126=FT_Y5,EDATE($D98,Milestones!$AA$126)&lt;PolicyEff),1,Milestones!$AC$126)&amp;";  ","")&amp;IF(AND(EDATE($D98,Milestones!$AA$127)&lt;=AsOfDate,EDATE($D98,Milestones!$AA$127)&gt;=SchemeStart,IF($X98=0,$AD98,IF(AND($Z98&lt;&gt;"",EDATE($D98,Milestones!$AA$127)&gt;=$Z98),$AC98,IF(AND($Y98&lt;&gt;"",EDATE($D98,Milestones!$AA$127)&gt;=$Y98),$AB98,$AA98)))=Milestones!$AB$127),UPPER(TEXT(EDATE($D98,Milestones!$AA$127),"dd mmm yy"))&amp;" "&amp;Milestones!$AB$127&amp;" "&amp;IF(AND(Milestones!$AB$127="FT",Milestones!$AA$127=FT_Y5,EDATE($D98,Milestones!$AA$127)&lt;PolicyEff),1,Milestones!$AC$127)&amp;";  ",""))</f>
        <v/>
      </c>
      <c r="R98" s="0" t="str">
        <f aca="false">IF(OR($A98="",$D98=""),"",IF(AND(EDATE($D98,Milestones!$AA$128)&lt;=AsOfDate,EDATE($D98,Milestones!$AA$128)&gt;=SchemeStart,IF($X98=0,$AD98,IF(AND($Z98&lt;&gt;"",EDATE($D98,Milestones!$AA$128)&gt;=$Z98),$AC98,IF(AND($Y98&lt;&gt;"",EDATE($D98,Milestones!$AA$128)&gt;=$Y98),$AB98,$AA98)))=Milestones!$AB$128),UPPER(TEXT(EDATE($D98,Milestones!$AA$128),"dd mmm yy"))&amp;" "&amp;Milestones!$AB$128&amp;" "&amp;IF(AND(Milestones!$AB$128="FT",Milestones!$AA$128=FT_Y5,EDATE($D98,Milestones!$AA$128)&lt;PolicyEff),1,Milestones!$AC$128)&amp;";  ","")&amp;IF(AND(EDATE($D98,Milestones!$AA$129)&lt;=AsOfDate,EDATE($D98,Milestones!$AA$129)&gt;=SchemeStart,IF($X98=0,$AD98,IF(AND($Z98&lt;&gt;"",EDATE($D98,Milestones!$AA$129)&gt;=$Z98),$AC98,IF(AND($Y98&lt;&gt;"",EDATE($D98,Milestones!$AA$129)&gt;=$Y98),$AB98,$AA98)))=Milestones!$AB$129),UPPER(TEXT(EDATE($D98,Milestones!$AA$129),"dd mmm yy"))&amp;" "&amp;Milestones!$AB$129&amp;" "&amp;IF(AND(Milestones!$AB$129="FT",Milestones!$AA$129=FT_Y5,EDATE($D98,Milestones!$AA$129)&lt;PolicyEff),1,Milestones!$AC$129)&amp;";  ","")&amp;IF(AND(EDATE($D98,Milestones!$AA$130)&lt;=AsOfDate,EDATE($D98,Milestones!$AA$130)&gt;=SchemeStart,IF($X98=0,$AD98,IF(AND($Z98&lt;&gt;"",EDATE($D98,Milestones!$AA$130)&gt;=$Z98),$AC98,IF(AND($Y98&lt;&gt;"",EDATE($D98,Milestones!$AA$130)&gt;=$Y98),$AB98,$AA98)))=Milestones!$AB$130),UPPER(TEXT(EDATE($D98,Milestones!$AA$130),"dd mmm yy"))&amp;" "&amp;Milestones!$AB$130&amp;" "&amp;IF(AND(Milestones!$AB$130="FT",Milestones!$AA$130=FT_Y5,EDATE($D98,Milestones!$AA$130)&lt;PolicyEff),1,Milestones!$AC$130)&amp;";  ","")&amp;IF(AND(EDATE($D98,Milestones!$AA$131)&lt;=AsOfDate,EDATE($D98,Milestones!$AA$131)&gt;=SchemeStart,IF($X98=0,$AD98,IF(AND($Z98&lt;&gt;"",EDATE($D98,Milestones!$AA$131)&gt;=$Z98),$AC98,IF(AND($Y98&lt;&gt;"",EDATE($D98,Milestones!$AA$131)&gt;=$Y98),$AB98,$AA98)))=Milestones!$AB$131),UPPER(TEXT(EDATE($D98,Milestones!$AA$131),"dd mmm yy"))&amp;" "&amp;Milestones!$AB$131&amp;" "&amp;IF(AND(Milestones!$AB$131="FT",Milestones!$AA$131=FT_Y5,EDATE($D98,Milestones!$AA$131)&lt;PolicyEff),1,Milestones!$AC$131)&amp;";  ","")&amp;IF(AND(EDATE($D98,Milestones!$AA$132)&lt;=AsOfDate,EDATE($D98,Milestones!$AA$132)&gt;=SchemeStart,IF($X98=0,$AD98,IF(AND($Z98&lt;&gt;"",EDATE($D98,Milestones!$AA$132)&gt;=$Z98),$AC98,IF(AND($Y98&lt;&gt;"",EDATE($D98,Milestones!$AA$132)&gt;=$Y98),$AB98,$AA98)))=Milestones!$AB$132),UPPER(TEXT(EDATE($D98,Milestones!$AA$132),"dd mmm yy"))&amp;" "&amp;Milestones!$AB$132&amp;" "&amp;IF(AND(Milestones!$AB$132="FT",Milestones!$AA$132=FT_Y5,EDATE($D98,Milestones!$AA$132)&lt;PolicyEff),1,Milestones!$AC$132)&amp;";  ","")&amp;IF(AND(EDATE($D98,Milestones!$AA$133)&lt;=AsOfDate,EDATE($D98,Milestones!$AA$133)&gt;=SchemeStart,IF($X98=0,$AD98,IF(AND($Z98&lt;&gt;"",EDATE($D98,Milestones!$AA$133)&gt;=$Z98),$AC98,IF(AND($Y98&lt;&gt;"",EDATE($D98,Milestones!$AA$133)&gt;=$Y98),$AB98,$AA98)))=Milestones!$AB$133),UPPER(TEXT(EDATE($D98,Milestones!$AA$133),"dd mmm yy"))&amp;" "&amp;Milestones!$AB$133&amp;" "&amp;IF(AND(Milestones!$AB$133="FT",Milestones!$AA$133=FT_Y5,EDATE($D98,Milestones!$AA$133)&lt;PolicyEff),1,Milestones!$AC$133)&amp;";  ","")&amp;IF(AND(EDATE($D98,Milestones!$AA$134)&lt;=AsOfDate,EDATE($D98,Milestones!$AA$134)&gt;=SchemeStart,IF($X98=0,$AD98,IF(AND($Z98&lt;&gt;"",EDATE($D98,Milestones!$AA$134)&gt;=$Z98),$AC98,IF(AND($Y98&lt;&gt;"",EDATE($D98,Milestones!$AA$134)&gt;=$Y98),$AB98,$AA98)))=Milestones!$AB$134),UPPER(TEXT(EDATE($D98,Milestones!$AA$134),"dd mmm yy"))&amp;" "&amp;Milestones!$AB$134&amp;" "&amp;IF(AND(Milestones!$AB$134="FT",Milestones!$AA$134=FT_Y5,EDATE($D98,Milestones!$AA$134)&lt;PolicyEff),1,Milestones!$AC$134)&amp;";  ","")&amp;IF(AND(EDATE($D98,Milestones!$AA$135)&lt;=AsOfDate,EDATE($D98,Milestones!$AA$135)&gt;=SchemeStart,IF($X98=0,$AD98,IF(AND($Z98&lt;&gt;"",EDATE($D98,Milestones!$AA$135)&gt;=$Z98),$AC98,IF(AND($Y98&lt;&gt;"",EDATE($D98,Milestones!$AA$135)&gt;=$Y98),$AB98,$AA98)))=Milestones!$AB$135),UPPER(TEXT(EDATE($D98,Milestones!$AA$135),"dd mmm yy"))&amp;" "&amp;Milestones!$AB$135&amp;" "&amp;IF(AND(Milestones!$AB$135="FT",Milestones!$AA$135=FT_Y5,EDATE($D98,Milestones!$AA$135)&lt;PolicyEff),1,Milestones!$AC$135)&amp;";  ","")&amp;IF(AND(EDATE($D98,Milestones!$AA$136)&lt;=AsOfDate,EDATE($D98,Milestones!$AA$136)&gt;=SchemeStart,IF($X98=0,$AD98,IF(AND($Z98&lt;&gt;"",EDATE($D98,Milestones!$AA$136)&gt;=$Z98),$AC98,IF(AND($Y98&lt;&gt;"",EDATE($D98,Milestones!$AA$136)&gt;=$Y98),$AB98,$AA98)))=Milestones!$AB$136),UPPER(TEXT(EDATE($D98,Milestones!$AA$136),"dd mmm yy"))&amp;" "&amp;Milestones!$AB$136&amp;" "&amp;IF(AND(Milestones!$AB$136="FT",Milestones!$AA$136=FT_Y5,EDATE($D98,Milestones!$AA$136)&lt;PolicyEff),1,Milestones!$AC$136)&amp;";  ","")&amp;IF(AND(EDATE($D98,Milestones!$AA$137)&lt;=AsOfDate,EDATE($D98,Milestones!$AA$137)&gt;=SchemeStart,IF($X98=0,$AD98,IF(AND($Z98&lt;&gt;"",EDATE($D98,Milestones!$AA$137)&gt;=$Z98),$AC98,IF(AND($Y98&lt;&gt;"",EDATE($D98,Milestones!$AA$137)&gt;=$Y98),$AB98,$AA98)))=Milestones!$AB$137),UPPER(TEXT(EDATE($D98,Milestones!$AA$137),"dd mmm yy"))&amp;" "&amp;Milestones!$AB$137&amp;" "&amp;IF(AND(Milestones!$AB$137="FT",Milestones!$AA$137=FT_Y5,EDATE($D98,Milestones!$AA$137)&lt;PolicyEff),1,Milestones!$AC$137)&amp;";  ","")&amp;IF(AND(EDATE($D98,Milestones!$AA$138)&lt;=AsOfDate,EDATE($D98,Milestones!$AA$138)&gt;=SchemeStart,IF($X98=0,$AD98,IF(AND($Z98&lt;&gt;"",EDATE($D98,Milestones!$AA$138)&gt;=$Z98),$AC98,IF(AND($Y98&lt;&gt;"",EDATE($D98,Milestones!$AA$138)&gt;=$Y98),$AB98,$AA98)))=Milestones!$AB$138),UPPER(TEXT(EDATE($D98,Milestones!$AA$138),"dd mmm yy"))&amp;" "&amp;Milestones!$AB$138&amp;" "&amp;IF(AND(Milestones!$AB$138="FT",Milestones!$AA$138=FT_Y5,EDATE($D98,Milestones!$AA$138)&lt;PolicyEff),1,Milestones!$AC$138)&amp;";  ","")&amp;IF(AND(EDATE($D98,Milestones!$AA$139)&lt;=AsOfDate,EDATE($D98,Milestones!$AA$139)&gt;=SchemeStart,IF($X98=0,$AD98,IF(AND($Z98&lt;&gt;"",EDATE($D98,Milestones!$AA$139)&gt;=$Z98),$AC98,IF(AND($Y98&lt;&gt;"",EDATE($D98,Milestones!$AA$139)&gt;=$Y98),$AB98,$AA98)))=Milestones!$AB$139),UPPER(TEXT(EDATE($D98,Milestones!$AA$139),"dd mmm yy"))&amp;" "&amp;Milestones!$AB$139&amp;" "&amp;IF(AND(Milestones!$AB$139="FT",Milestones!$AA$139=FT_Y5,EDATE($D98,Milestones!$AA$139)&lt;PolicyEff),1,Milestones!$AC$139)&amp;";  ",""))</f>
        <v/>
      </c>
      <c r="S98" s="0" t="str">
        <f aca="false">IF(OR($A98="",$D98=""),"",IF(AND(EDATE($D98,Milestones!$AA$140)&lt;=AsOfDate,EDATE($D98,Milestones!$AA$140)&gt;=SchemeStart,IF($X98=0,$AD98,IF(AND($Z98&lt;&gt;"",EDATE($D98,Milestones!$AA$140)&gt;=$Z98),$AC98,IF(AND($Y98&lt;&gt;"",EDATE($D98,Milestones!$AA$140)&gt;=$Y98),$AB98,$AA98)))=Milestones!$AB$140),UPPER(TEXT(EDATE($D98,Milestones!$AA$140),"dd mmm yy"))&amp;" "&amp;Milestones!$AB$140&amp;" "&amp;IF(AND(Milestones!$AB$140="FT",Milestones!$AA$140=FT_Y5,EDATE($D98,Milestones!$AA$140)&lt;PolicyEff),1,Milestones!$AC$140)&amp;";  ","")&amp;IF(AND(EDATE($D98,Milestones!$AA$141)&lt;=AsOfDate,EDATE($D98,Milestones!$AA$141)&gt;=SchemeStart,IF($X98=0,$AD98,IF(AND($Z98&lt;&gt;"",EDATE($D98,Milestones!$AA$141)&gt;=$Z98),$AC98,IF(AND($Y98&lt;&gt;"",EDATE($D98,Milestones!$AA$141)&gt;=$Y98),$AB98,$AA98)))=Milestones!$AB$141),UPPER(TEXT(EDATE($D98,Milestones!$AA$141),"dd mmm yy"))&amp;" "&amp;Milestones!$AB$141&amp;" "&amp;IF(AND(Milestones!$AB$141="FT",Milestones!$AA$141=FT_Y5,EDATE($D98,Milestones!$AA$141)&lt;PolicyEff),1,Milestones!$AC$141)&amp;";  ","")&amp;IF(AND(EDATE($D98,Milestones!$AA$142)&lt;=AsOfDate,EDATE($D98,Milestones!$AA$142)&gt;=SchemeStart,IF($X98=0,$AD98,IF(AND($Z98&lt;&gt;"",EDATE($D98,Milestones!$AA$142)&gt;=$Z98),$AC98,IF(AND($Y98&lt;&gt;"",EDATE($D98,Milestones!$AA$142)&gt;=$Y98),$AB98,$AA98)))=Milestones!$AB$142),UPPER(TEXT(EDATE($D98,Milestones!$AA$142),"dd mmm yy"))&amp;" "&amp;Milestones!$AB$142&amp;" "&amp;IF(AND(Milestones!$AB$142="FT",Milestones!$AA$142=FT_Y5,EDATE($D98,Milestones!$AA$142)&lt;PolicyEff),1,Milestones!$AC$142)&amp;";  ","")&amp;IF(AND(EDATE($D98,Milestones!$AA$143)&lt;=AsOfDate,EDATE($D98,Milestones!$AA$143)&gt;=SchemeStart,IF($X98=0,$AD98,IF(AND($Z98&lt;&gt;"",EDATE($D98,Milestones!$AA$143)&gt;=$Z98),$AC98,IF(AND($Y98&lt;&gt;"",EDATE($D98,Milestones!$AA$143)&gt;=$Y98),$AB98,$AA98)))=Milestones!$AB$143),UPPER(TEXT(EDATE($D98,Milestones!$AA$143),"dd mmm yy"))&amp;" "&amp;Milestones!$AB$143&amp;" "&amp;IF(AND(Milestones!$AB$143="FT",Milestones!$AA$143=FT_Y5,EDATE($D98,Milestones!$AA$143)&lt;PolicyEff),1,Milestones!$AC$143)&amp;";  ","")&amp;IF(AND(EDATE($D98,Milestones!$AA$144)&lt;=AsOfDate,EDATE($D98,Milestones!$AA$144)&gt;=SchemeStart,IF($X98=0,$AD98,IF(AND($Z98&lt;&gt;"",EDATE($D98,Milestones!$AA$144)&gt;=$Z98),$AC98,IF(AND($Y98&lt;&gt;"",EDATE($D98,Milestones!$AA$144)&gt;=$Y98),$AB98,$AA98)))=Milestones!$AB$144),UPPER(TEXT(EDATE($D98,Milestones!$AA$144),"dd mmm yy"))&amp;" "&amp;Milestones!$AB$144&amp;" "&amp;IF(AND(Milestones!$AB$144="FT",Milestones!$AA$144=FT_Y5,EDATE($D98,Milestones!$AA$144)&lt;PolicyEff),1,Milestones!$AC$144)&amp;";  ","")&amp;IF(AND(EDATE($D98,Milestones!$AA$145)&lt;=AsOfDate,EDATE($D98,Milestones!$AA$145)&gt;=SchemeStart,IF($X98=0,$AD98,IF(AND($Z98&lt;&gt;"",EDATE($D98,Milestones!$AA$145)&gt;=$Z98),$AC98,IF(AND($Y98&lt;&gt;"",EDATE($D98,Milestones!$AA$145)&gt;=$Y98),$AB98,$AA98)))=Milestones!$AB$145),UPPER(TEXT(EDATE($D98,Milestones!$AA$145),"dd mmm yy"))&amp;" "&amp;Milestones!$AB$145&amp;" "&amp;IF(AND(Milestones!$AB$145="FT",Milestones!$AA$145=FT_Y5,EDATE($D98,Milestones!$AA$145)&lt;PolicyEff),1,Milestones!$AC$145)&amp;";  ","")&amp;IF(AND(EDATE($D98,Milestones!$AA$146)&lt;=AsOfDate,EDATE($D98,Milestones!$AA$146)&gt;=SchemeStart,IF($X98=0,$AD98,IF(AND($Z98&lt;&gt;"",EDATE($D98,Milestones!$AA$146)&gt;=$Z98),$AC98,IF(AND($Y98&lt;&gt;"",EDATE($D98,Milestones!$AA$146)&gt;=$Y98),$AB98,$AA98)))=Milestones!$AB$146),UPPER(TEXT(EDATE($D98,Milestones!$AA$146),"dd mmm yy"))&amp;" "&amp;Milestones!$AB$146&amp;" "&amp;IF(AND(Milestones!$AB$146="FT",Milestones!$AA$146=FT_Y5,EDATE($D98,Milestones!$AA$146)&lt;PolicyEff),1,Milestones!$AC$146)&amp;";  ","")&amp;IF(AND(EDATE($D98,Milestones!$AA$147)&lt;=AsOfDate,EDATE($D98,Milestones!$AA$147)&gt;=SchemeStart,IF($X98=0,$AD98,IF(AND($Z98&lt;&gt;"",EDATE($D98,Milestones!$AA$147)&gt;=$Z98),$AC98,IF(AND($Y98&lt;&gt;"",EDATE($D98,Milestones!$AA$147)&gt;=$Y98),$AB98,$AA98)))=Milestones!$AB$147),UPPER(TEXT(EDATE($D98,Milestones!$AA$147),"dd mmm yy"))&amp;" "&amp;Milestones!$AB$147&amp;" "&amp;IF(AND(Milestones!$AB$147="FT",Milestones!$AA$147=FT_Y5,EDATE($D98,Milestones!$AA$147)&lt;PolicyEff),1,Milestones!$AC$147)&amp;";  ","")&amp;IF(AND(EDATE($D98,Milestones!$AA$148)&lt;=AsOfDate,EDATE($D98,Milestones!$AA$148)&gt;=SchemeStart,IF($X98=0,$AD98,IF(AND($Z98&lt;&gt;"",EDATE($D98,Milestones!$AA$148)&gt;=$Z98),$AC98,IF(AND($Y98&lt;&gt;"",EDATE($D98,Milestones!$AA$148)&gt;=$Y98),$AB98,$AA98)))=Milestones!$AB$148),UPPER(TEXT(EDATE($D98,Milestones!$AA$148),"dd mmm yy"))&amp;" "&amp;Milestones!$AB$148&amp;" "&amp;IF(AND(Milestones!$AB$148="FT",Milestones!$AA$148=FT_Y5,EDATE($D98,Milestones!$AA$148)&lt;PolicyEff),1,Milestones!$AC$148)&amp;";  ","")&amp;IF(AND(EDATE($D98,Milestones!$AA$149)&lt;=AsOfDate,EDATE($D98,Milestones!$AA$149)&gt;=SchemeStart,IF($X98=0,$AD98,IF(AND($Z98&lt;&gt;"",EDATE($D98,Milestones!$AA$149)&gt;=$Z98),$AC98,IF(AND($Y98&lt;&gt;"",EDATE($D98,Milestones!$AA$149)&gt;=$Y98),$AB98,$AA98)))=Milestones!$AB$149),UPPER(TEXT(EDATE($D98,Milestones!$AA$149),"dd mmm yy"))&amp;" "&amp;Milestones!$AB$149&amp;" "&amp;IF(AND(Milestones!$AB$149="FT",Milestones!$AA$149=FT_Y5,EDATE($D98,Milestones!$AA$149)&lt;PolicyEff),1,Milestones!$AC$149)&amp;";  ","")&amp;IF(AND(EDATE($D98,Milestones!$AA$150)&lt;=AsOfDate,EDATE($D98,Milestones!$AA$150)&gt;=SchemeStart,IF($X98=0,$AD98,IF(AND($Z98&lt;&gt;"",EDATE($D98,Milestones!$AA$150)&gt;=$Z98),$AC98,IF(AND($Y98&lt;&gt;"",EDATE($D98,Milestones!$AA$150)&gt;=$Y98),$AB98,$AA98)))=Milestones!$AB$150),UPPER(TEXT(EDATE($D98,Milestones!$AA$150),"dd mmm yy"))&amp;" "&amp;Milestones!$AB$150&amp;" "&amp;IF(AND(Milestones!$AB$150="FT",Milestones!$AA$150=FT_Y5,EDATE($D98,Milestones!$AA$150)&lt;PolicyEff),1,Milestones!$AC$150)&amp;";  ","")&amp;IF(AND(EDATE($D98,Milestones!$AA$151)&lt;=AsOfDate,EDATE($D98,Milestones!$AA$151)&gt;=SchemeStart,IF($X98=0,$AD98,IF(AND($Z98&lt;&gt;"",EDATE($D98,Milestones!$AA$151)&gt;=$Z98),$AC98,IF(AND($Y98&lt;&gt;"",EDATE($D98,Milestones!$AA$151)&gt;=$Y98),$AB98,$AA98)))=Milestones!$AB$151),UPPER(TEXT(EDATE($D98,Milestones!$AA$151),"dd mmm yy"))&amp;" "&amp;Milestones!$AB$151&amp;" "&amp;IF(AND(Milestones!$AB$151="FT",Milestones!$AA$151=FT_Y5,EDATE($D98,Milestones!$AA$151)&lt;PolicyEff),1,Milestones!$AC$151)&amp;";  ",""))</f>
        <v/>
      </c>
      <c r="T98" s="0" t="str">
        <f aca="false">IF(OR($A98="",$D98=""),"",IF(AND(EDATE($D98,Milestones!$AA$152)&lt;=AsOfDate,EDATE($D98,Milestones!$AA$152)&gt;=SchemeStart,IF($X98=0,$AD98,IF(AND($Z98&lt;&gt;"",EDATE($D98,Milestones!$AA$152)&gt;=$Z98),$AC98,IF(AND($Y98&lt;&gt;"",EDATE($D98,Milestones!$AA$152)&gt;=$Y98),$AB98,$AA98)))=Milestones!$AB$152),UPPER(TEXT(EDATE($D98,Milestones!$AA$152),"dd mmm yy"))&amp;" "&amp;Milestones!$AB$152&amp;" "&amp;IF(AND(Milestones!$AB$152="FT",Milestones!$AA$152=FT_Y5,EDATE($D98,Milestones!$AA$152)&lt;PolicyEff),1,Milestones!$AC$152)&amp;";  ","")&amp;IF(AND(EDATE($D98,Milestones!$AA$153)&lt;=AsOfDate,EDATE($D98,Milestones!$AA$153)&gt;=SchemeStart,IF($X98=0,$AD98,IF(AND($Z98&lt;&gt;"",EDATE($D98,Milestones!$AA$153)&gt;=$Z98),$AC98,IF(AND($Y98&lt;&gt;"",EDATE($D98,Milestones!$AA$153)&gt;=$Y98),$AB98,$AA98)))=Milestones!$AB$153),UPPER(TEXT(EDATE($D98,Milestones!$AA$153),"dd mmm yy"))&amp;" "&amp;Milestones!$AB$153&amp;" "&amp;IF(AND(Milestones!$AB$153="FT",Milestones!$AA$153=FT_Y5,EDATE($D98,Milestones!$AA$153)&lt;PolicyEff),1,Milestones!$AC$153)&amp;";  ","")&amp;IF(AND(EDATE($D98,Milestones!$AA$154)&lt;=AsOfDate,EDATE($D98,Milestones!$AA$154)&gt;=SchemeStart,IF($X98=0,$AD98,IF(AND($Z98&lt;&gt;"",EDATE($D98,Milestones!$AA$154)&gt;=$Z98),$AC98,IF(AND($Y98&lt;&gt;"",EDATE($D98,Milestones!$AA$154)&gt;=$Y98),$AB98,$AA98)))=Milestones!$AB$154),UPPER(TEXT(EDATE($D98,Milestones!$AA$154),"dd mmm yy"))&amp;" "&amp;Milestones!$AB$154&amp;" "&amp;IF(AND(Milestones!$AB$154="FT",Milestones!$AA$154=FT_Y5,EDATE($D98,Milestones!$AA$154)&lt;PolicyEff),1,Milestones!$AC$154)&amp;";  ","")&amp;IF(AND(EDATE($D98,Milestones!$AA$155)&lt;=AsOfDate,EDATE($D98,Milestones!$AA$155)&gt;=SchemeStart,IF($X98=0,$AD98,IF(AND($Z98&lt;&gt;"",EDATE($D98,Milestones!$AA$155)&gt;=$Z98),$AC98,IF(AND($Y98&lt;&gt;"",EDATE($D98,Milestones!$AA$155)&gt;=$Y98),$AB98,$AA98)))=Milestones!$AB$155),UPPER(TEXT(EDATE($D98,Milestones!$AA$155),"dd mmm yy"))&amp;" "&amp;Milestones!$AB$155&amp;" "&amp;IF(AND(Milestones!$AB$155="FT",Milestones!$AA$155=FT_Y5,EDATE($D98,Milestones!$AA$155)&lt;PolicyEff),1,Milestones!$AC$155)&amp;";  ","")&amp;IF(AND(EDATE($D98,Milestones!$AA$156)&lt;=AsOfDate,EDATE($D98,Milestones!$AA$156)&gt;=SchemeStart,IF($X98=0,$AD98,IF(AND($Z98&lt;&gt;"",EDATE($D98,Milestones!$AA$156)&gt;=$Z98),$AC98,IF(AND($Y98&lt;&gt;"",EDATE($D98,Milestones!$AA$156)&gt;=$Y98),$AB98,$AA98)))=Milestones!$AB$156),UPPER(TEXT(EDATE($D98,Milestones!$AA$156),"dd mmm yy"))&amp;" "&amp;Milestones!$AB$156&amp;" "&amp;IF(AND(Milestones!$AB$156="FT",Milestones!$AA$156=FT_Y5,EDATE($D98,Milestones!$AA$156)&lt;PolicyEff),1,Milestones!$AC$156)&amp;";  ","")&amp;IF(AND(EDATE($D98,Milestones!$AA$157)&lt;=AsOfDate,EDATE($D98,Milestones!$AA$157)&gt;=SchemeStart,IF($X98=0,$AD98,IF(AND($Z98&lt;&gt;"",EDATE($D98,Milestones!$AA$157)&gt;=$Z98),$AC98,IF(AND($Y98&lt;&gt;"",EDATE($D98,Milestones!$AA$157)&gt;=$Y98),$AB98,$AA98)))=Milestones!$AB$157),UPPER(TEXT(EDATE($D98,Milestones!$AA$157),"dd mmm yy"))&amp;" "&amp;Milestones!$AB$157&amp;" "&amp;IF(AND(Milestones!$AB$157="FT",Milestones!$AA$157=FT_Y5,EDATE($D98,Milestones!$AA$157)&lt;PolicyEff),1,Milestones!$AC$157)&amp;";  ","")&amp;IF(AND(EDATE($D98,Milestones!$AA$158)&lt;=AsOfDate,EDATE($D98,Milestones!$AA$158)&gt;=SchemeStart,IF($X98=0,$AD98,IF(AND($Z98&lt;&gt;"",EDATE($D98,Milestones!$AA$158)&gt;=$Z98),$AC98,IF(AND($Y98&lt;&gt;"",EDATE($D98,Milestones!$AA$158)&gt;=$Y98),$AB98,$AA98)))=Milestones!$AB$158),UPPER(TEXT(EDATE($D98,Milestones!$AA$158),"dd mmm yy"))&amp;" "&amp;Milestones!$AB$158&amp;" "&amp;IF(AND(Milestones!$AB$158="FT",Milestones!$AA$158=FT_Y5,EDATE($D98,Milestones!$AA$158)&lt;PolicyEff),1,Milestones!$AC$158)&amp;";  ","")&amp;IF(AND(EDATE($D98,Milestones!$AA$159)&lt;=AsOfDate,EDATE($D98,Milestones!$AA$159)&gt;=SchemeStart,IF($X98=0,$AD98,IF(AND($Z98&lt;&gt;"",EDATE($D98,Milestones!$AA$159)&gt;=$Z98),$AC98,IF(AND($Y98&lt;&gt;"",EDATE($D98,Milestones!$AA$159)&gt;=$Y98),$AB98,$AA98)))=Milestones!$AB$159),UPPER(TEXT(EDATE($D98,Milestones!$AA$159),"dd mmm yy"))&amp;" "&amp;Milestones!$AB$159&amp;" "&amp;IF(AND(Milestones!$AB$159="FT",Milestones!$AA$159=FT_Y5,EDATE($D98,Milestones!$AA$159)&lt;PolicyEff),1,Milestones!$AC$159)&amp;";  ","")&amp;IF(AND(EDATE($D98,Milestones!$AA$160)&lt;=AsOfDate,EDATE($D98,Milestones!$AA$160)&gt;=SchemeStart,IF($X98=0,$AD98,IF(AND($Z98&lt;&gt;"",EDATE($D98,Milestones!$AA$160)&gt;=$Z98),$AC98,IF(AND($Y98&lt;&gt;"",EDATE($D98,Milestones!$AA$160)&gt;=$Y98),$AB98,$AA98)))=Milestones!$AB$160),UPPER(TEXT(EDATE($D98,Milestones!$AA$160),"dd mmm yy"))&amp;" "&amp;Milestones!$AB$160&amp;" "&amp;IF(AND(Milestones!$AB$160="FT",Milestones!$AA$160=FT_Y5,EDATE($D98,Milestones!$AA$160)&lt;PolicyEff),1,Milestones!$AC$160)&amp;";  ","")&amp;IF(AND(EDATE($D98,Milestones!$AA$161)&lt;=AsOfDate,EDATE($D98,Milestones!$AA$161)&gt;=SchemeStart,IF($X98=0,$AD98,IF(AND($Z98&lt;&gt;"",EDATE($D98,Milestones!$AA$161)&gt;=$Z98),$AC98,IF(AND($Y98&lt;&gt;"",EDATE($D98,Milestones!$AA$161)&gt;=$Y98),$AB98,$AA98)))=Milestones!$AB$161),UPPER(TEXT(EDATE($D98,Milestones!$AA$161),"dd mmm yy"))&amp;" "&amp;Milestones!$AB$161&amp;" "&amp;IF(AND(Milestones!$AB$161="FT",Milestones!$AA$161=FT_Y5,EDATE($D98,Milestones!$AA$161)&lt;PolicyEff),1,Milestones!$AC$161)&amp;";  ","")&amp;IF(AND(EDATE($D98,Milestones!$AA$162)&lt;=AsOfDate,EDATE($D98,Milestones!$AA$162)&gt;=SchemeStart,IF($X98=0,$AD98,IF(AND($Z98&lt;&gt;"",EDATE($D98,Milestones!$AA$162)&gt;=$Z98),$AC98,IF(AND($Y98&lt;&gt;"",EDATE($D98,Milestones!$AA$162)&gt;=$Y98),$AB98,$AA98)))=Milestones!$AB$162),UPPER(TEXT(EDATE($D98,Milestones!$AA$162),"dd mmm yy"))&amp;" "&amp;Milestones!$AB$162&amp;" "&amp;IF(AND(Milestones!$AB$162="FT",Milestones!$AA$162=FT_Y5,EDATE($D98,Milestones!$AA$162)&lt;PolicyEff),1,Milestones!$AC$162)&amp;";  ","")&amp;IF(AND(EDATE($D98,Milestones!$AA$163)&lt;=AsOfDate,EDATE($D98,Milestones!$AA$163)&gt;=SchemeStart,IF($X98=0,$AD98,IF(AND($Z98&lt;&gt;"",EDATE($D98,Milestones!$AA$163)&gt;=$Z98),$AC98,IF(AND($Y98&lt;&gt;"",EDATE($D98,Milestones!$AA$163)&gt;=$Y98),$AB98,$AA98)))=Milestones!$AB$163),UPPER(TEXT(EDATE($D98,Milestones!$AA$163),"dd mmm yy"))&amp;" "&amp;Milestones!$AB$163&amp;" "&amp;IF(AND(Milestones!$AB$163="FT",Milestones!$AA$163=FT_Y5,EDATE($D98,Milestones!$AA$163)&lt;PolicyEff),1,Milestones!$AC$163)&amp;";  ",""))</f>
        <v/>
      </c>
      <c r="U98" s="0" t="str">
        <f aca="false">IF(OR($A98="",$D98=""),"",IF(AND(EDATE($D98,Milestones!$AA$164)&lt;=AsOfDate,EDATE($D98,Milestones!$AA$164)&gt;=SchemeStart,IF($X98=0,$AD98,IF(AND($Z98&lt;&gt;"",EDATE($D98,Milestones!$AA$164)&gt;=$Z98),$AC98,IF(AND($Y98&lt;&gt;"",EDATE($D98,Milestones!$AA$164)&gt;=$Y98),$AB98,$AA98)))=Milestones!$AB$164),UPPER(TEXT(EDATE($D98,Milestones!$AA$164),"dd mmm yy"))&amp;" "&amp;Milestones!$AB$164&amp;" "&amp;IF(AND(Milestones!$AB$164="FT",Milestones!$AA$164=FT_Y5,EDATE($D98,Milestones!$AA$164)&lt;PolicyEff),1,Milestones!$AC$164)&amp;";  ","")&amp;IF(AND(EDATE($D98,Milestones!$AA$165)&lt;=AsOfDate,EDATE($D98,Milestones!$AA$165)&gt;=SchemeStart,IF($X98=0,$AD98,IF(AND($Z98&lt;&gt;"",EDATE($D98,Milestones!$AA$165)&gt;=$Z98),$AC98,IF(AND($Y98&lt;&gt;"",EDATE($D98,Milestones!$AA$165)&gt;=$Y98),$AB98,$AA98)))=Milestones!$AB$165),UPPER(TEXT(EDATE($D98,Milestones!$AA$165),"dd mmm yy"))&amp;" "&amp;Milestones!$AB$165&amp;" "&amp;IF(AND(Milestones!$AB$165="FT",Milestones!$AA$165=FT_Y5,EDATE($D98,Milestones!$AA$165)&lt;PolicyEff),1,Milestones!$AC$165)&amp;";  ","")&amp;IF(AND(EDATE($D98,Milestones!$AA$166)&lt;=AsOfDate,EDATE($D98,Milestones!$AA$166)&gt;=SchemeStart,IF($X98=0,$AD98,IF(AND($Z98&lt;&gt;"",EDATE($D98,Milestones!$AA$166)&gt;=$Z98),$AC98,IF(AND($Y98&lt;&gt;"",EDATE($D98,Milestones!$AA$166)&gt;=$Y98),$AB98,$AA98)))=Milestones!$AB$166),UPPER(TEXT(EDATE($D98,Milestones!$AA$166),"dd mmm yy"))&amp;" "&amp;Milestones!$AB$166&amp;" "&amp;IF(AND(Milestones!$AB$166="FT",Milestones!$AA$166=FT_Y5,EDATE($D98,Milestones!$AA$166)&lt;PolicyEff),1,Milestones!$AC$166)&amp;";  ","")&amp;IF(AND(EDATE($D98,Milestones!$AA$167)&lt;=AsOfDate,EDATE($D98,Milestones!$AA$167)&gt;=SchemeStart,IF($X98=0,$AD98,IF(AND($Z98&lt;&gt;"",EDATE($D98,Milestones!$AA$167)&gt;=$Z98),$AC98,IF(AND($Y98&lt;&gt;"",EDATE($D98,Milestones!$AA$167)&gt;=$Y98),$AB98,$AA98)))=Milestones!$AB$167),UPPER(TEXT(EDATE($D98,Milestones!$AA$167),"dd mmm yy"))&amp;" "&amp;Milestones!$AB$167&amp;" "&amp;IF(AND(Milestones!$AB$167="FT",Milestones!$AA$167=FT_Y5,EDATE($D98,Milestones!$AA$167)&lt;PolicyEff),1,Milestones!$AC$167)&amp;";  ","")&amp;IF(AND(EDATE($D98,Milestones!$AA$168)&lt;=AsOfDate,EDATE($D98,Milestones!$AA$168)&gt;=SchemeStart,IF($X98=0,$AD98,IF(AND($Z98&lt;&gt;"",EDATE($D98,Milestones!$AA$168)&gt;=$Z98),$AC98,IF(AND($Y98&lt;&gt;"",EDATE($D98,Milestones!$AA$168)&gt;=$Y98),$AB98,$AA98)))=Milestones!$AB$168),UPPER(TEXT(EDATE($D98,Milestones!$AA$168),"dd mmm yy"))&amp;" "&amp;Milestones!$AB$168&amp;" "&amp;IF(AND(Milestones!$AB$168="FT",Milestones!$AA$168=FT_Y5,EDATE($D98,Milestones!$AA$168)&lt;PolicyEff),1,Milestones!$AC$168)&amp;";  ","")&amp;IF(AND(EDATE($D98,Milestones!$AA$169)&lt;=AsOfDate,EDATE($D98,Milestones!$AA$169)&gt;=SchemeStart,IF($X98=0,$AD98,IF(AND($Z98&lt;&gt;"",EDATE($D98,Milestones!$AA$169)&gt;=$Z98),$AC98,IF(AND($Y98&lt;&gt;"",EDATE($D98,Milestones!$AA$169)&gt;=$Y98),$AB98,$AA98)))=Milestones!$AB$169),UPPER(TEXT(EDATE($D98,Milestones!$AA$169),"dd mmm yy"))&amp;" "&amp;Milestones!$AB$169&amp;" "&amp;IF(AND(Milestones!$AB$169="FT",Milestones!$AA$169=FT_Y5,EDATE($D98,Milestones!$AA$169)&lt;PolicyEff),1,Milestones!$AC$169)&amp;";  ","")&amp;IF(AND(EDATE($D98,Milestones!$AA$170)&lt;=AsOfDate,EDATE($D98,Milestones!$AA$170)&gt;=SchemeStart,IF($X98=0,$AD98,IF(AND($Z98&lt;&gt;"",EDATE($D98,Milestones!$AA$170)&gt;=$Z98),$AC98,IF(AND($Y98&lt;&gt;"",EDATE($D98,Milestones!$AA$170)&gt;=$Y98),$AB98,$AA98)))=Milestones!$AB$170),UPPER(TEXT(EDATE($D98,Milestones!$AA$170),"dd mmm yy"))&amp;" "&amp;Milestones!$AB$170&amp;" "&amp;IF(AND(Milestones!$AB$170="FT",Milestones!$AA$170=FT_Y5,EDATE($D98,Milestones!$AA$170)&lt;PolicyEff),1,Milestones!$AC$170)&amp;";  ","")&amp;IF(AND(EDATE($D98,Milestones!$AA$171)&lt;=AsOfDate,EDATE($D98,Milestones!$AA$171)&gt;=SchemeStart,IF($X98=0,$AD98,IF(AND($Z98&lt;&gt;"",EDATE($D98,Milestones!$AA$171)&gt;=$Z98),$AC98,IF(AND($Y98&lt;&gt;"",EDATE($D98,Milestones!$AA$171)&gt;=$Y98),$AB98,$AA98)))=Milestones!$AB$171),UPPER(TEXT(EDATE($D98,Milestones!$AA$171),"dd mmm yy"))&amp;" "&amp;Milestones!$AB$171&amp;" "&amp;IF(AND(Milestones!$AB$171="FT",Milestones!$AA$171=FT_Y5,EDATE($D98,Milestones!$AA$171)&lt;PolicyEff),1,Milestones!$AC$171)&amp;";  ","")&amp;IF(AND(EDATE($D98,Milestones!$AA$172)&lt;=AsOfDate,EDATE($D98,Milestones!$AA$172)&gt;=SchemeStart,IF($X98=0,$AD98,IF(AND($Z98&lt;&gt;"",EDATE($D98,Milestones!$AA$172)&gt;=$Z98),$AC98,IF(AND($Y98&lt;&gt;"",EDATE($D98,Milestones!$AA$172)&gt;=$Y98),$AB98,$AA98)))=Milestones!$AB$172),UPPER(TEXT(EDATE($D98,Milestones!$AA$172),"dd mmm yy"))&amp;" "&amp;Milestones!$AB$172&amp;" "&amp;IF(AND(Milestones!$AB$172="FT",Milestones!$AA$172=FT_Y5,EDATE($D98,Milestones!$AA$172)&lt;PolicyEff),1,Milestones!$AC$172)&amp;";  ","")&amp;IF(AND(EDATE($D98,Milestones!$AA$173)&lt;=AsOfDate,EDATE($D98,Milestones!$AA$173)&gt;=SchemeStart,IF($X98=0,$AD98,IF(AND($Z98&lt;&gt;"",EDATE($D98,Milestones!$AA$173)&gt;=$Z98),$AC98,IF(AND($Y98&lt;&gt;"",EDATE($D98,Milestones!$AA$173)&gt;=$Y98),$AB98,$AA98)))=Milestones!$AB$173),UPPER(TEXT(EDATE($D98,Milestones!$AA$173),"dd mmm yy"))&amp;" "&amp;Milestones!$AB$173&amp;" "&amp;IF(AND(Milestones!$AB$173="FT",Milestones!$AA$173=FT_Y5,EDATE($D98,Milestones!$AA$173)&lt;PolicyEff),1,Milestones!$AC$173)&amp;";  ","")&amp;IF(AND(EDATE($D98,Milestones!$AA$174)&lt;=AsOfDate,EDATE($D98,Milestones!$AA$174)&gt;=SchemeStart,IF($X98=0,$AD98,IF(AND($Z98&lt;&gt;"",EDATE($D98,Milestones!$AA$174)&gt;=$Z98),$AC98,IF(AND($Y98&lt;&gt;"",EDATE($D98,Milestones!$AA$174)&gt;=$Y98),$AB98,$AA98)))=Milestones!$AB$174),UPPER(TEXT(EDATE($D98,Milestones!$AA$174),"dd mmm yy"))&amp;" "&amp;Milestones!$AB$174&amp;" "&amp;IF(AND(Milestones!$AB$174="FT",Milestones!$AA$174=FT_Y5,EDATE($D98,Milestones!$AA$174)&lt;PolicyEff),1,Milestones!$AC$174)&amp;";  ","")&amp;IF(AND(EDATE($D98,Milestones!$AA$175)&lt;=AsOfDate,EDATE($D98,Milestones!$AA$175)&gt;=SchemeStart,IF($X98=0,$AD98,IF(AND($Z98&lt;&gt;"",EDATE($D98,Milestones!$AA$175)&gt;=$Z98),$AC98,IF(AND($Y98&lt;&gt;"",EDATE($D98,Milestones!$AA$175)&gt;=$Y98),$AB98,$AA98)))=Milestones!$AB$175),UPPER(TEXT(EDATE($D98,Milestones!$AA$175),"dd mmm yy"))&amp;" "&amp;Milestones!$AB$175&amp;" "&amp;IF(AND(Milestones!$AB$175="FT",Milestones!$AA$175=FT_Y5,EDATE($D98,Milestones!$AA$175)&lt;PolicyEff),1,Milestones!$AC$175)&amp;";  ",""))</f>
        <v/>
      </c>
      <c r="V98" s="0" t="str">
        <f aca="false">IF(OR($A98="",$D98=""),"",IF(AND(EDATE($D98,Milestones!$AA$176)&lt;=AsOfDate,EDATE($D98,Milestones!$AA$176)&gt;=SchemeStart,IF($X98=0,$AD98,IF(AND($Z98&lt;&gt;"",EDATE($D98,Milestones!$AA$176)&gt;=$Z98),$AC98,IF(AND($Y98&lt;&gt;"",EDATE($D98,Milestones!$AA$176)&gt;=$Y98),$AB98,$AA98)))=Milestones!$AB$176),UPPER(TEXT(EDATE($D98,Milestones!$AA$176),"dd mmm yy"))&amp;" "&amp;Milestones!$AB$176&amp;" "&amp;IF(AND(Milestones!$AB$176="FT",Milestones!$AA$176=FT_Y5,EDATE($D98,Milestones!$AA$176)&lt;PolicyEff),1,Milestones!$AC$176)&amp;";  ","")&amp;IF(AND(EDATE($D98,Milestones!$AA$177)&lt;=AsOfDate,EDATE($D98,Milestones!$AA$177)&gt;=SchemeStart,IF($X98=0,$AD98,IF(AND($Z98&lt;&gt;"",EDATE($D98,Milestones!$AA$177)&gt;=$Z98),$AC98,IF(AND($Y98&lt;&gt;"",EDATE($D98,Milestones!$AA$177)&gt;=$Y98),$AB98,$AA98)))=Milestones!$AB$177),UPPER(TEXT(EDATE($D98,Milestones!$AA$177),"dd mmm yy"))&amp;" "&amp;Milestones!$AB$177&amp;" "&amp;IF(AND(Milestones!$AB$177="FT",Milestones!$AA$177=FT_Y5,EDATE($D98,Milestones!$AA$177)&lt;PolicyEff),1,Milestones!$AC$177)&amp;";  ","")&amp;IF(AND(EDATE($D98,Milestones!$AA$178)&lt;=AsOfDate,EDATE($D98,Milestones!$AA$178)&gt;=SchemeStart,IF($X98=0,$AD98,IF(AND($Z98&lt;&gt;"",EDATE($D98,Milestones!$AA$178)&gt;=$Z98),$AC98,IF(AND($Y98&lt;&gt;"",EDATE($D98,Milestones!$AA$178)&gt;=$Y98),$AB98,$AA98)))=Milestones!$AB$178),UPPER(TEXT(EDATE($D98,Milestones!$AA$178),"dd mmm yy"))&amp;" "&amp;Milestones!$AB$178&amp;" "&amp;IF(AND(Milestones!$AB$178="FT",Milestones!$AA$178=FT_Y5,EDATE($D98,Milestones!$AA$178)&lt;PolicyEff),1,Milestones!$AC$178)&amp;";  ","")&amp;IF(AND(EDATE($D98,Milestones!$AA$179)&lt;=AsOfDate,EDATE($D98,Milestones!$AA$179)&gt;=SchemeStart,IF($X98=0,$AD98,IF(AND($Z98&lt;&gt;"",EDATE($D98,Milestones!$AA$179)&gt;=$Z98),$AC98,IF(AND($Y98&lt;&gt;"",EDATE($D98,Milestones!$AA$179)&gt;=$Y98),$AB98,$AA98)))=Milestones!$AB$179),UPPER(TEXT(EDATE($D98,Milestones!$AA$179),"dd mmm yy"))&amp;" "&amp;Milestones!$AB$179&amp;" "&amp;IF(AND(Milestones!$AB$179="FT",Milestones!$AA$179=FT_Y5,EDATE($D98,Milestones!$AA$179)&lt;PolicyEff),1,Milestones!$AC$179)&amp;";  ","")&amp;IF(AND(EDATE($D98,Milestones!$AA$180)&lt;=AsOfDate,EDATE($D98,Milestones!$AA$180)&gt;=SchemeStart,IF($X98=0,$AD98,IF(AND($Z98&lt;&gt;"",EDATE($D98,Milestones!$AA$180)&gt;=$Z98),$AC98,IF(AND($Y98&lt;&gt;"",EDATE($D98,Milestones!$AA$180)&gt;=$Y98),$AB98,$AA98)))=Milestones!$AB$180),UPPER(TEXT(EDATE($D98,Milestones!$AA$180),"dd mmm yy"))&amp;" "&amp;Milestones!$AB$180&amp;" "&amp;IF(AND(Milestones!$AB$180="FT",Milestones!$AA$180=FT_Y5,EDATE($D98,Milestones!$AA$180)&lt;PolicyEff),1,Milestones!$AC$180)&amp;";  ","")&amp;IF(AND(EDATE($D98,Milestones!$AA$181)&lt;=AsOfDate,EDATE($D98,Milestones!$AA$181)&gt;=SchemeStart,IF($X98=0,$AD98,IF(AND($Z98&lt;&gt;"",EDATE($D98,Milestones!$AA$181)&gt;=$Z98),$AC98,IF(AND($Y98&lt;&gt;"",EDATE($D98,Milestones!$AA$181)&gt;=$Y98),$AB98,$AA98)))=Milestones!$AB$181),UPPER(TEXT(EDATE($D98,Milestones!$AA$181),"dd mmm yy"))&amp;" "&amp;Milestones!$AB$181&amp;" "&amp;IF(AND(Milestones!$AB$181="FT",Milestones!$AA$181=FT_Y5,EDATE($D98,Milestones!$AA$181)&lt;PolicyEff),1,Milestones!$AC$181)&amp;";  ","")&amp;IF(AND(EDATE($D98,Milestones!$AA$182)&lt;=AsOfDate,EDATE($D98,Milestones!$AA$182)&gt;=SchemeStart,IF($X98=0,$AD98,IF(AND($Z98&lt;&gt;"",EDATE($D98,Milestones!$AA$182)&gt;=$Z98),$AC98,IF(AND($Y98&lt;&gt;"",EDATE($D98,Milestones!$AA$182)&gt;=$Y98),$AB98,$AA98)))=Milestones!$AB$182),UPPER(TEXT(EDATE($D98,Milestones!$AA$182),"dd mmm yy"))&amp;" "&amp;Milestones!$AB$182&amp;" "&amp;IF(AND(Milestones!$AB$182="FT",Milestones!$AA$182=FT_Y5,EDATE($D98,Milestones!$AA$182)&lt;PolicyEff),1,Milestones!$AC$182)&amp;";  ","")&amp;IF(AND(EDATE($D98,Milestones!$AA$183)&lt;=AsOfDate,EDATE($D98,Milestones!$AA$183)&gt;=SchemeStart,IF($X98=0,$AD98,IF(AND($Z98&lt;&gt;"",EDATE($D98,Milestones!$AA$183)&gt;=$Z98),$AC98,IF(AND($Y98&lt;&gt;"",EDATE($D98,Milestones!$AA$183)&gt;=$Y98),$AB98,$AA98)))=Milestones!$AB$183),UPPER(TEXT(EDATE($D98,Milestones!$AA$183),"dd mmm yy"))&amp;" "&amp;Milestones!$AB$183&amp;" "&amp;IF(AND(Milestones!$AB$183="FT",Milestones!$AA$183=FT_Y5,EDATE($D98,Milestones!$AA$183)&lt;PolicyEff),1,Milestones!$AC$183)&amp;";  ","")&amp;IF(AND(EDATE($D98,Milestones!$AA$184)&lt;=AsOfDate,EDATE($D98,Milestones!$AA$184)&gt;=SchemeStart,IF($X98=0,$AD98,IF(AND($Z98&lt;&gt;"",EDATE($D98,Milestones!$AA$184)&gt;=$Z98),$AC98,IF(AND($Y98&lt;&gt;"",EDATE($D98,Milestones!$AA$184)&gt;=$Y98),$AB98,$AA98)))=Milestones!$AB$184),UPPER(TEXT(EDATE($D98,Milestones!$AA$184),"dd mmm yy"))&amp;" "&amp;Milestones!$AB$184&amp;" "&amp;IF(AND(Milestones!$AB$184="FT",Milestones!$AA$184=FT_Y5,EDATE($D98,Milestones!$AA$184)&lt;PolicyEff),1,Milestones!$AC$184)&amp;";  ","")&amp;IF(AND(EDATE($D98,Milestones!$AA$185)&lt;=AsOfDate,EDATE($D98,Milestones!$AA$185)&gt;=SchemeStart,IF($X98=0,$AD98,IF(AND($Z98&lt;&gt;"",EDATE($D98,Milestones!$AA$185)&gt;=$Z98),$AC98,IF(AND($Y98&lt;&gt;"",EDATE($D98,Milestones!$AA$185)&gt;=$Y98),$AB98,$AA98)))=Milestones!$AB$185),UPPER(TEXT(EDATE($D98,Milestones!$AA$185),"dd mmm yy"))&amp;" "&amp;Milestones!$AB$185&amp;" "&amp;IF(AND(Milestones!$AB$185="FT",Milestones!$AA$185=FT_Y5,EDATE($D98,Milestones!$AA$185)&lt;PolicyEff),1,Milestones!$AC$185)&amp;";  ","")&amp;IF(AND(EDATE($D98,Milestones!$AA$186)&lt;=AsOfDate,EDATE($D98,Milestones!$AA$186)&gt;=SchemeStart,IF($X98=0,$AD98,IF(AND($Z98&lt;&gt;"",EDATE($D98,Milestones!$AA$186)&gt;=$Z98),$AC98,IF(AND($Y98&lt;&gt;"",EDATE($D98,Milestones!$AA$186)&gt;=$Y98),$AB98,$AA98)))=Milestones!$AB$186),UPPER(TEXT(EDATE($D98,Milestones!$AA$186),"dd mmm yy"))&amp;" "&amp;Milestones!$AB$186&amp;" "&amp;IF(AND(Milestones!$AB$186="FT",Milestones!$AA$186=FT_Y5,EDATE($D98,Milestones!$AA$186)&lt;PolicyEff),1,Milestones!$AC$186)&amp;";  ","")&amp;IF(AND(EDATE($D98,Milestones!$AA$187)&lt;=AsOfDate,EDATE($D98,Milestones!$AA$187)&gt;=SchemeStart,IF($X98=0,$AD98,IF(AND($Z98&lt;&gt;"",EDATE($D98,Milestones!$AA$187)&gt;=$Z98),$AC98,IF(AND($Y98&lt;&gt;"",EDATE($D98,Milestones!$AA$187)&gt;=$Y98),$AB98,$AA98)))=Milestones!$AB$187),UPPER(TEXT(EDATE($D98,Milestones!$AA$187),"dd mmm yy"))&amp;" "&amp;Milestones!$AB$187&amp;" "&amp;IF(AND(Milestones!$AB$187="FT",Milestones!$AA$187=FT_Y5,EDATE($D98,Milestones!$AA$187)&lt;PolicyEff),1,Milestones!$AC$187)&amp;";  ",""))</f>
        <v/>
      </c>
      <c r="W98" s="0" t="str">
        <f aca="false">IF(OR($A98="",$D98=""),"",IF(AND(EDATE($D98,Milestones!$AA$188)&lt;=AsOfDate,EDATE($D98,Milestones!$AA$188)&gt;=SchemeStart,IF($X98=0,$AD98,IF(AND($Z98&lt;&gt;"",EDATE($D98,Milestones!$AA$188)&gt;=$Z98),$AC98,IF(AND($Y98&lt;&gt;"",EDATE($D98,Milestones!$AA$188)&gt;=$Y98),$AB98,$AA98)))=Milestones!$AB$188),UPPER(TEXT(EDATE($D98,Milestones!$AA$188),"dd mmm yy"))&amp;" "&amp;Milestones!$AB$188&amp;" "&amp;IF(AND(Milestones!$AB$188="FT",Milestones!$AA$188=FT_Y5,EDATE($D98,Milestones!$AA$188)&lt;PolicyEff),1,Milestones!$AC$188)&amp;";  ","")&amp;IF(AND(EDATE($D98,Milestones!$AA$189)&lt;=AsOfDate,EDATE($D98,Milestones!$AA$189)&gt;=SchemeStart,IF($X98=0,$AD98,IF(AND($Z98&lt;&gt;"",EDATE($D98,Milestones!$AA$189)&gt;=$Z98),$AC98,IF(AND($Y98&lt;&gt;"",EDATE($D98,Milestones!$AA$189)&gt;=$Y98),$AB98,$AA98)))=Milestones!$AB$189),UPPER(TEXT(EDATE($D98,Milestones!$AA$189),"dd mmm yy"))&amp;" "&amp;Milestones!$AB$189&amp;" "&amp;IF(AND(Milestones!$AB$189="FT",Milestones!$AA$189=FT_Y5,EDATE($D98,Milestones!$AA$189)&lt;PolicyEff),1,Milestones!$AC$189)&amp;";  ","")&amp;IF(AND(EDATE($D98,Milestones!$AA$190)&lt;=AsOfDate,EDATE($D98,Milestones!$AA$190)&gt;=SchemeStart,IF($X98=0,$AD98,IF(AND($Z98&lt;&gt;"",EDATE($D98,Milestones!$AA$190)&gt;=$Z98),$AC98,IF(AND($Y98&lt;&gt;"",EDATE($D98,Milestones!$AA$190)&gt;=$Y98),$AB98,$AA98)))=Milestones!$AB$190),UPPER(TEXT(EDATE($D98,Milestones!$AA$190),"dd mmm yy"))&amp;" "&amp;Milestones!$AB$190&amp;" "&amp;IF(AND(Milestones!$AB$190="FT",Milestones!$AA$190=FT_Y5,EDATE($D98,Milestones!$AA$190)&lt;PolicyEff),1,Milestones!$AC$190)&amp;";  ","")&amp;IF(AND(EDATE($D98,Milestones!$AA$191)&lt;=AsOfDate,EDATE($D98,Milestones!$AA$191)&gt;=SchemeStart,IF($X98=0,$AD98,IF(AND($Z98&lt;&gt;"",EDATE($D98,Milestones!$AA$191)&gt;=$Z98),$AC98,IF(AND($Y98&lt;&gt;"",EDATE($D98,Milestones!$AA$191)&gt;=$Y98),$AB98,$AA98)))=Milestones!$AB$191),UPPER(TEXT(EDATE($D98,Milestones!$AA$191),"dd mmm yy"))&amp;" "&amp;Milestones!$AB$191&amp;" "&amp;IF(AND(Milestones!$AB$191="FT",Milestones!$AA$191=FT_Y5,EDATE($D98,Milestones!$AA$191)&lt;PolicyEff),1,Milestones!$AC$191)&amp;";  ","")&amp;IF(AND(EDATE($D98,Milestones!$AA$192)&lt;=AsOfDate,EDATE($D98,Milestones!$AA$192)&gt;=SchemeStart,IF($X98=0,$AD98,IF(AND($Z98&lt;&gt;"",EDATE($D98,Milestones!$AA$192)&gt;=$Z98),$AC98,IF(AND($Y98&lt;&gt;"",EDATE($D98,Milestones!$AA$192)&gt;=$Y98),$AB98,$AA98)))=Milestones!$AB$192),UPPER(TEXT(EDATE($D98,Milestones!$AA$192),"dd mmm yy"))&amp;" "&amp;Milestones!$AB$192&amp;" "&amp;IF(AND(Milestones!$AB$192="FT",Milestones!$AA$192=FT_Y5,EDATE($D98,Milestones!$AA$192)&lt;PolicyEff),1,Milestones!$AC$192)&amp;";  ","")&amp;IF(AND(EDATE($D98,Milestones!$AA$193)&lt;=AsOfDate,EDATE($D98,Milestones!$AA$193)&gt;=SchemeStart,IF($X98=0,$AD98,IF(AND($Z98&lt;&gt;"",EDATE($D98,Milestones!$AA$193)&gt;=$Z98),$AC98,IF(AND($Y98&lt;&gt;"",EDATE($D98,Milestones!$AA$193)&gt;=$Y98),$AB98,$AA98)))=Milestones!$AB$193),UPPER(TEXT(EDATE($D98,Milestones!$AA$193),"dd mmm yy"))&amp;" "&amp;Milestones!$AB$193&amp;" "&amp;IF(AND(Milestones!$AB$193="FT",Milestones!$AA$193=FT_Y5,EDATE($D98,Milestones!$AA$193)&lt;PolicyEff),1,Milestones!$AC$193)&amp;";  ","")&amp;IF(AND(EDATE($D98,Milestones!$AA$194)&lt;=AsOfDate,EDATE($D98,Milestones!$AA$194)&gt;=SchemeStart,IF($X98=0,$AD98,IF(AND($Z98&lt;&gt;"",EDATE($D98,Milestones!$AA$194)&gt;=$Z98),$AC98,IF(AND($Y98&lt;&gt;"",EDATE($D98,Milestones!$AA$194)&gt;=$Y98),$AB98,$AA98)))=Milestones!$AB$194),UPPER(TEXT(EDATE($D98,Milestones!$AA$194),"dd mmm yy"))&amp;" "&amp;Milestones!$AB$194&amp;" "&amp;IF(AND(Milestones!$AB$194="FT",Milestones!$AA$194=FT_Y5,EDATE($D98,Milestones!$AA$194)&lt;PolicyEff),1,Milestones!$AC$194)&amp;";  ","")&amp;IF(AND(EDATE($D98,Milestones!$AA$195)&lt;=AsOfDate,EDATE($D98,Milestones!$AA$195)&gt;=SchemeStart,IF($X98=0,$AD98,IF(AND($Z98&lt;&gt;"",EDATE($D98,Milestones!$AA$195)&gt;=$Z98),$AC98,IF(AND($Y98&lt;&gt;"",EDATE($D98,Milestones!$AA$195)&gt;=$Y98),$AB98,$AA98)))=Milestones!$AB$195),UPPER(TEXT(EDATE($D98,Milestones!$AA$195),"dd mmm yy"))&amp;" "&amp;Milestones!$AB$195&amp;" "&amp;IF(AND(Milestones!$AB$195="FT",Milestones!$AA$195=FT_Y5,EDATE($D98,Milestones!$AA$195)&lt;PolicyEff),1,Milestones!$AC$195)&amp;";  ","")&amp;IF(AND(EDATE($D98,Milestones!$AA$196)&lt;=AsOfDate,EDATE($D98,Milestones!$AA$196)&gt;=SchemeStart,IF($X98=0,$AD98,IF(AND($Z98&lt;&gt;"",EDATE($D98,Milestones!$AA$196)&gt;=$Z98),$AC98,IF(AND($Y98&lt;&gt;"",EDATE($D98,Milestones!$AA$196)&gt;=$Y98),$AB98,$AA98)))=Milestones!$AB$196),UPPER(TEXT(EDATE($D98,Milestones!$AA$196),"dd mmm yy"))&amp;" "&amp;Milestones!$AB$196&amp;" "&amp;IF(AND(Milestones!$AB$196="FT",Milestones!$AA$196=FT_Y5,EDATE($D98,Milestones!$AA$196)&lt;PolicyEff),1,Milestones!$AC$196)&amp;";  ","")&amp;IF(AND(EDATE($D98,Milestones!$AA$197)&lt;=AsOfDate,EDATE($D98,Milestones!$AA$197)&gt;=SchemeStart,IF($X98=0,$AD98,IF(AND($Z98&lt;&gt;"",EDATE($D98,Milestones!$AA$197)&gt;=$Z98),$AC98,IF(AND($Y98&lt;&gt;"",EDATE($D98,Milestones!$AA$197)&gt;=$Y98),$AB98,$AA98)))=Milestones!$AB$197),UPPER(TEXT(EDATE($D98,Milestones!$AA$197),"dd mmm yy"))&amp;" "&amp;Milestones!$AB$197&amp;" "&amp;IF(AND(Milestones!$AB$197="FT",Milestones!$AA$197=FT_Y5,EDATE($D98,Milestones!$AA$197)&lt;PolicyEff),1,Milestones!$AC$197)&amp;";  ","")&amp;IF(AND(EDATE($D98,Milestones!$AA$198)&lt;=AsOfDate,EDATE($D98,Milestones!$AA$198)&gt;=SchemeStart,IF($X98=0,$AD98,IF(AND($Z98&lt;&gt;"",EDATE($D98,Milestones!$AA$198)&gt;=$Z98),$AC98,IF(AND($Y98&lt;&gt;"",EDATE($D98,Milestones!$AA$198)&gt;=$Y98),$AB98,$AA98)))=Milestones!$AB$198),UPPER(TEXT(EDATE($D98,Milestones!$AA$198),"dd mmm yy"))&amp;" "&amp;Milestones!$AB$198&amp;" "&amp;IF(AND(Milestones!$AB$198="FT",Milestones!$AA$198=FT_Y5,EDATE($D98,Milestones!$AA$198)&lt;PolicyEff),1,Milestones!$AC$198)&amp;";  ","")&amp;IF(AND(EDATE($D98,Milestones!$AA$199)&lt;=AsOfDate,EDATE($D98,Milestones!$AA$199)&gt;=SchemeStart,IF($X98=0,$AD98,IF(AND($Z98&lt;&gt;"",EDATE($D98,Milestones!$AA$199)&gt;=$Z98),$AC98,IF(AND($Y98&lt;&gt;"",EDATE($D98,Milestones!$AA$199)&gt;=$Y98),$AB98,$AA98)))=Milestones!$AB$199),UPPER(TEXT(EDATE($D98,Milestones!$AA$199),"dd mmm yy"))&amp;" "&amp;Milestones!$AB$199&amp;" "&amp;IF(AND(Milestones!$AB$199="FT",Milestones!$AA$199=FT_Y5,EDATE($D98,Milestones!$AA$199)&lt;PolicyEff),1,Milestones!$AC$199)&amp;";  ",""))</f>
        <v/>
      </c>
      <c r="X98" s="0" t="str">
        <f aca="false">IF(Staff!$A98="","",Staff!$AM98)</f>
        <v/>
      </c>
      <c r="Y98" s="0" t="str">
        <f aca="false">IF(Staff!$A98="","",Staff!$AO98)</f>
        <v/>
      </c>
      <c r="Z98" s="0" t="str">
        <f aca="false">IF(Staff!$A98="","",Staff!$AP98)</f>
        <v/>
      </c>
      <c r="AA98" s="0" t="str">
        <f aca="false">IF(Staff!$A98="","",Staff!$AT98)</f>
        <v/>
      </c>
      <c r="AB98" s="0" t="str">
        <f aca="false">IF(Staff!$A98="","",Staff!$AU98)</f>
        <v/>
      </c>
      <c r="AC98" s="0" t="str">
        <f aca="false">IF(Staff!$A98="","",Staff!$AV98)</f>
        <v/>
      </c>
      <c r="AD98" s="0" t="str">
        <f aca="false">IF(Staff!$A98="","",Staff!$AW98)</f>
        <v/>
      </c>
    </row>
    <row r="99" customFormat="false" ht="15" hidden="false" customHeight="false" outlineLevel="0" collapsed="false">
      <c r="A99" s="16" t="str">
        <f aca="false">IF(Staff!$A99="","",Staff!$A99)</f>
        <v/>
      </c>
      <c r="B99" s="16" t="str">
        <f aca="false">IF(Staff!$A99="","",Staff!$B99)</f>
        <v/>
      </c>
      <c r="C99" s="16" t="str">
        <f aca="false">IF(Staff!$A99="","",Staff!$C99)</f>
        <v/>
      </c>
      <c r="D99" s="14" t="str">
        <f aca="false">IF(Staff!$A99="","",Staff!$AL99)</f>
        <v/>
      </c>
      <c r="E99" s="16" t="str">
        <f aca="false">IF(Staff!$A99="","",Staff!$O99)</f>
        <v/>
      </c>
      <c r="F99" s="16" t="str">
        <f aca="false">IF(E99="","",E99*HoursPerDay)</f>
        <v/>
      </c>
      <c r="G99" s="16" t="str">
        <f aca="false">IF(Staff!$A99="","",Staff!$AE99)</f>
        <v/>
      </c>
      <c r="H99" s="28" t="str">
        <f aca="false">IF($A99="","",I99&amp;J99&amp;K99&amp;L99&amp;M99&amp;N99&amp;O99&amp;P99&amp;Q99&amp;R99&amp;S99&amp;T99&amp;U99&amp;V99&amp;W99)</f>
        <v/>
      </c>
      <c r="I99" s="0" t="str">
        <f aca="false">IF(OR($A99="",$D99=""),"",IF(AND(EDATE($D99,Milestones!$AA$20)&lt;=AsOfDate,EDATE($D99,Milestones!$AA$20)&gt;=SchemeStart,IF($X99=0,$AD99,IF(AND($Z99&lt;&gt;"",EDATE($D99,Milestones!$AA$20)&gt;=$Z99),$AC99,IF(AND($Y99&lt;&gt;"",EDATE($D99,Milestones!$AA$20)&gt;=$Y99),$AB99,$AA99)))=Milestones!$AB$20),UPPER(TEXT(EDATE($D99,Milestones!$AA$20),"dd mmm yy"))&amp;" "&amp;Milestones!$AB$20&amp;" "&amp;IF(AND(Milestones!$AB$20="FT",Milestones!$AA$20=FT_Y5,EDATE($D99,Milestones!$AA$20)&lt;PolicyEff),1,Milestones!$AC$20)&amp;";  ","")&amp;IF(AND(EDATE($D99,Milestones!$AA$21)&lt;=AsOfDate,EDATE($D99,Milestones!$AA$21)&gt;=SchemeStart,IF($X99=0,$AD99,IF(AND($Z99&lt;&gt;"",EDATE($D99,Milestones!$AA$21)&gt;=$Z99),$AC99,IF(AND($Y99&lt;&gt;"",EDATE($D99,Milestones!$AA$21)&gt;=$Y99),$AB99,$AA99)))=Milestones!$AB$21),UPPER(TEXT(EDATE($D99,Milestones!$AA$21),"dd mmm yy"))&amp;" "&amp;Milestones!$AB$21&amp;" "&amp;IF(AND(Milestones!$AB$21="FT",Milestones!$AA$21=FT_Y5,EDATE($D99,Milestones!$AA$21)&lt;PolicyEff),1,Milestones!$AC$21)&amp;";  ","")&amp;IF(AND(EDATE($D99,Milestones!$AA$22)&lt;=AsOfDate,EDATE($D99,Milestones!$AA$22)&gt;=SchemeStart,IF($X99=0,$AD99,IF(AND($Z99&lt;&gt;"",EDATE($D99,Milestones!$AA$22)&gt;=$Z99),$AC99,IF(AND($Y99&lt;&gt;"",EDATE($D99,Milestones!$AA$22)&gt;=$Y99),$AB99,$AA99)))=Milestones!$AB$22),UPPER(TEXT(EDATE($D99,Milestones!$AA$22),"dd mmm yy"))&amp;" "&amp;Milestones!$AB$22&amp;" "&amp;IF(AND(Milestones!$AB$22="FT",Milestones!$AA$22=FT_Y5,EDATE($D99,Milestones!$AA$22)&lt;PolicyEff),1,Milestones!$AC$22)&amp;";  ","")&amp;IF(AND(EDATE($D99,Milestones!$AA$23)&lt;=AsOfDate,EDATE($D99,Milestones!$AA$23)&gt;=SchemeStart,IF($X99=0,$AD99,IF(AND($Z99&lt;&gt;"",EDATE($D99,Milestones!$AA$23)&gt;=$Z99),$AC99,IF(AND($Y99&lt;&gt;"",EDATE($D99,Milestones!$AA$23)&gt;=$Y99),$AB99,$AA99)))=Milestones!$AB$23),UPPER(TEXT(EDATE($D99,Milestones!$AA$23),"dd mmm yy"))&amp;" "&amp;Milestones!$AB$23&amp;" "&amp;IF(AND(Milestones!$AB$23="FT",Milestones!$AA$23=FT_Y5,EDATE($D99,Milestones!$AA$23)&lt;PolicyEff),1,Milestones!$AC$23)&amp;";  ","")&amp;IF(AND(EDATE($D99,Milestones!$AA$24)&lt;=AsOfDate,EDATE($D99,Milestones!$AA$24)&gt;=SchemeStart,IF($X99=0,$AD99,IF(AND($Z99&lt;&gt;"",EDATE($D99,Milestones!$AA$24)&gt;=$Z99),$AC99,IF(AND($Y99&lt;&gt;"",EDATE($D99,Milestones!$AA$24)&gt;=$Y99),$AB99,$AA99)))=Milestones!$AB$24),UPPER(TEXT(EDATE($D99,Milestones!$AA$24),"dd mmm yy"))&amp;" "&amp;Milestones!$AB$24&amp;" "&amp;IF(AND(Milestones!$AB$24="FT",Milestones!$AA$24=FT_Y5,EDATE($D99,Milestones!$AA$24)&lt;PolicyEff),1,Milestones!$AC$24)&amp;";  ","")&amp;IF(AND(EDATE($D99,Milestones!$AA$25)&lt;=AsOfDate,EDATE($D99,Milestones!$AA$25)&gt;=SchemeStart,IF($X99=0,$AD99,IF(AND($Z99&lt;&gt;"",EDATE($D99,Milestones!$AA$25)&gt;=$Z99),$AC99,IF(AND($Y99&lt;&gt;"",EDATE($D99,Milestones!$AA$25)&gt;=$Y99),$AB99,$AA99)))=Milestones!$AB$25),UPPER(TEXT(EDATE($D99,Milestones!$AA$25),"dd mmm yy"))&amp;" "&amp;Milestones!$AB$25&amp;" "&amp;IF(AND(Milestones!$AB$25="FT",Milestones!$AA$25=FT_Y5,EDATE($D99,Milestones!$AA$25)&lt;PolicyEff),1,Milestones!$AC$25)&amp;";  ","")&amp;IF(AND(EDATE($D99,Milestones!$AA$26)&lt;=AsOfDate,EDATE($D99,Milestones!$AA$26)&gt;=SchemeStart,IF($X99=0,$AD99,IF(AND($Z99&lt;&gt;"",EDATE($D99,Milestones!$AA$26)&gt;=$Z99),$AC99,IF(AND($Y99&lt;&gt;"",EDATE($D99,Milestones!$AA$26)&gt;=$Y99),$AB99,$AA99)))=Milestones!$AB$26),UPPER(TEXT(EDATE($D99,Milestones!$AA$26),"dd mmm yy"))&amp;" "&amp;Milestones!$AB$26&amp;" "&amp;IF(AND(Milestones!$AB$26="FT",Milestones!$AA$26=FT_Y5,EDATE($D99,Milestones!$AA$26)&lt;PolicyEff),1,Milestones!$AC$26)&amp;";  ","")&amp;IF(AND(EDATE($D99,Milestones!$AA$27)&lt;=AsOfDate,EDATE($D99,Milestones!$AA$27)&gt;=SchemeStart,IF($X99=0,$AD99,IF(AND($Z99&lt;&gt;"",EDATE($D99,Milestones!$AA$27)&gt;=$Z99),$AC99,IF(AND($Y99&lt;&gt;"",EDATE($D99,Milestones!$AA$27)&gt;=$Y99),$AB99,$AA99)))=Milestones!$AB$27),UPPER(TEXT(EDATE($D99,Milestones!$AA$27),"dd mmm yy"))&amp;" "&amp;Milestones!$AB$27&amp;" "&amp;IF(AND(Milestones!$AB$27="FT",Milestones!$AA$27=FT_Y5,EDATE($D99,Milestones!$AA$27)&lt;PolicyEff),1,Milestones!$AC$27)&amp;";  ","")&amp;IF(AND(EDATE($D99,Milestones!$AA$28)&lt;=AsOfDate,EDATE($D99,Milestones!$AA$28)&gt;=SchemeStart,IF($X99=0,$AD99,IF(AND($Z99&lt;&gt;"",EDATE($D99,Milestones!$AA$28)&gt;=$Z99),$AC99,IF(AND($Y99&lt;&gt;"",EDATE($D99,Milestones!$AA$28)&gt;=$Y99),$AB99,$AA99)))=Milestones!$AB$28),UPPER(TEXT(EDATE($D99,Milestones!$AA$28),"dd mmm yy"))&amp;" "&amp;Milestones!$AB$28&amp;" "&amp;IF(AND(Milestones!$AB$28="FT",Milestones!$AA$28=FT_Y5,EDATE($D99,Milestones!$AA$28)&lt;PolicyEff),1,Milestones!$AC$28)&amp;";  ","")&amp;IF(AND(EDATE($D99,Milestones!$AA$29)&lt;=AsOfDate,EDATE($D99,Milestones!$AA$29)&gt;=SchemeStart,IF($X99=0,$AD99,IF(AND($Z99&lt;&gt;"",EDATE($D99,Milestones!$AA$29)&gt;=$Z99),$AC99,IF(AND($Y99&lt;&gt;"",EDATE($D99,Milestones!$AA$29)&gt;=$Y99),$AB99,$AA99)))=Milestones!$AB$29),UPPER(TEXT(EDATE($D99,Milestones!$AA$29),"dd mmm yy"))&amp;" "&amp;Milestones!$AB$29&amp;" "&amp;IF(AND(Milestones!$AB$29="FT",Milestones!$AA$29=FT_Y5,EDATE($D99,Milestones!$AA$29)&lt;PolicyEff),1,Milestones!$AC$29)&amp;";  ","")&amp;IF(AND(EDATE($D99,Milestones!$AA$30)&lt;=AsOfDate,EDATE($D99,Milestones!$AA$30)&gt;=SchemeStart,IF($X99=0,$AD99,IF(AND($Z99&lt;&gt;"",EDATE($D99,Milestones!$AA$30)&gt;=$Z99),$AC99,IF(AND($Y99&lt;&gt;"",EDATE($D99,Milestones!$AA$30)&gt;=$Y99),$AB99,$AA99)))=Milestones!$AB$30),UPPER(TEXT(EDATE($D99,Milestones!$AA$30),"dd mmm yy"))&amp;" "&amp;Milestones!$AB$30&amp;" "&amp;IF(AND(Milestones!$AB$30="FT",Milestones!$AA$30=FT_Y5,EDATE($D99,Milestones!$AA$30)&lt;PolicyEff),1,Milestones!$AC$30)&amp;";  ","")&amp;IF(AND(EDATE($D99,Milestones!$AA$31)&lt;=AsOfDate,EDATE($D99,Milestones!$AA$31)&gt;=SchemeStart,IF($X99=0,$AD99,IF(AND($Z99&lt;&gt;"",EDATE($D99,Milestones!$AA$31)&gt;=$Z99),$AC99,IF(AND($Y99&lt;&gt;"",EDATE($D99,Milestones!$AA$31)&gt;=$Y99),$AB99,$AA99)))=Milestones!$AB$31),UPPER(TEXT(EDATE($D99,Milestones!$AA$31),"dd mmm yy"))&amp;" "&amp;Milestones!$AB$31&amp;" "&amp;IF(AND(Milestones!$AB$31="FT",Milestones!$AA$31=FT_Y5,EDATE($D99,Milestones!$AA$31)&lt;PolicyEff),1,Milestones!$AC$31)&amp;";  ",""))</f>
        <v/>
      </c>
      <c r="J99" s="0" t="str">
        <f aca="false">IF(OR($A99="",$D99=""),"",IF(AND(EDATE($D99,Milestones!$AA$32)&lt;=AsOfDate,EDATE($D99,Milestones!$AA$32)&gt;=SchemeStart,IF($X99=0,$AD99,IF(AND($Z99&lt;&gt;"",EDATE($D99,Milestones!$AA$32)&gt;=$Z99),$AC99,IF(AND($Y99&lt;&gt;"",EDATE($D99,Milestones!$AA$32)&gt;=$Y99),$AB99,$AA99)))=Milestones!$AB$32),UPPER(TEXT(EDATE($D99,Milestones!$AA$32),"dd mmm yy"))&amp;" "&amp;Milestones!$AB$32&amp;" "&amp;IF(AND(Milestones!$AB$32="FT",Milestones!$AA$32=FT_Y5,EDATE($D99,Milestones!$AA$32)&lt;PolicyEff),1,Milestones!$AC$32)&amp;";  ","")&amp;IF(AND(EDATE($D99,Milestones!$AA$33)&lt;=AsOfDate,EDATE($D99,Milestones!$AA$33)&gt;=SchemeStart,IF($X99=0,$AD99,IF(AND($Z99&lt;&gt;"",EDATE($D99,Milestones!$AA$33)&gt;=$Z99),$AC99,IF(AND($Y99&lt;&gt;"",EDATE($D99,Milestones!$AA$33)&gt;=$Y99),$AB99,$AA99)))=Milestones!$AB$33),UPPER(TEXT(EDATE($D99,Milestones!$AA$33),"dd mmm yy"))&amp;" "&amp;Milestones!$AB$33&amp;" "&amp;IF(AND(Milestones!$AB$33="FT",Milestones!$AA$33=FT_Y5,EDATE($D99,Milestones!$AA$33)&lt;PolicyEff),1,Milestones!$AC$33)&amp;";  ","")&amp;IF(AND(EDATE($D99,Milestones!$AA$34)&lt;=AsOfDate,EDATE($D99,Milestones!$AA$34)&gt;=SchemeStart,IF($X99=0,$AD99,IF(AND($Z99&lt;&gt;"",EDATE($D99,Milestones!$AA$34)&gt;=$Z99),$AC99,IF(AND($Y99&lt;&gt;"",EDATE($D99,Milestones!$AA$34)&gt;=$Y99),$AB99,$AA99)))=Milestones!$AB$34),UPPER(TEXT(EDATE($D99,Milestones!$AA$34),"dd mmm yy"))&amp;" "&amp;Milestones!$AB$34&amp;" "&amp;IF(AND(Milestones!$AB$34="FT",Milestones!$AA$34=FT_Y5,EDATE($D99,Milestones!$AA$34)&lt;PolicyEff),1,Milestones!$AC$34)&amp;";  ","")&amp;IF(AND(EDATE($D99,Milestones!$AA$35)&lt;=AsOfDate,EDATE($D99,Milestones!$AA$35)&gt;=SchemeStart,IF($X99=0,$AD99,IF(AND($Z99&lt;&gt;"",EDATE($D99,Milestones!$AA$35)&gt;=$Z99),$AC99,IF(AND($Y99&lt;&gt;"",EDATE($D99,Milestones!$AA$35)&gt;=$Y99),$AB99,$AA99)))=Milestones!$AB$35),UPPER(TEXT(EDATE($D99,Milestones!$AA$35),"dd mmm yy"))&amp;" "&amp;Milestones!$AB$35&amp;" "&amp;IF(AND(Milestones!$AB$35="FT",Milestones!$AA$35=FT_Y5,EDATE($D99,Milestones!$AA$35)&lt;PolicyEff),1,Milestones!$AC$35)&amp;";  ","")&amp;IF(AND(EDATE($D99,Milestones!$AA$36)&lt;=AsOfDate,EDATE($D99,Milestones!$AA$36)&gt;=SchemeStart,IF($X99=0,$AD99,IF(AND($Z99&lt;&gt;"",EDATE($D99,Milestones!$AA$36)&gt;=$Z99),$AC99,IF(AND($Y99&lt;&gt;"",EDATE($D99,Milestones!$AA$36)&gt;=$Y99),$AB99,$AA99)))=Milestones!$AB$36),UPPER(TEXT(EDATE($D99,Milestones!$AA$36),"dd mmm yy"))&amp;" "&amp;Milestones!$AB$36&amp;" "&amp;IF(AND(Milestones!$AB$36="FT",Milestones!$AA$36=FT_Y5,EDATE($D99,Milestones!$AA$36)&lt;PolicyEff),1,Milestones!$AC$36)&amp;";  ","")&amp;IF(AND(EDATE($D99,Milestones!$AA$37)&lt;=AsOfDate,EDATE($D99,Milestones!$AA$37)&gt;=SchemeStart,IF($X99=0,$AD99,IF(AND($Z99&lt;&gt;"",EDATE($D99,Milestones!$AA$37)&gt;=$Z99),$AC99,IF(AND($Y99&lt;&gt;"",EDATE($D99,Milestones!$AA$37)&gt;=$Y99),$AB99,$AA99)))=Milestones!$AB$37),UPPER(TEXT(EDATE($D99,Milestones!$AA$37),"dd mmm yy"))&amp;" "&amp;Milestones!$AB$37&amp;" "&amp;IF(AND(Milestones!$AB$37="FT",Milestones!$AA$37=FT_Y5,EDATE($D99,Milestones!$AA$37)&lt;PolicyEff),1,Milestones!$AC$37)&amp;";  ","")&amp;IF(AND(EDATE($D99,Milestones!$AA$38)&lt;=AsOfDate,EDATE($D99,Milestones!$AA$38)&gt;=SchemeStart,IF($X99=0,$AD99,IF(AND($Z99&lt;&gt;"",EDATE($D99,Milestones!$AA$38)&gt;=$Z99),$AC99,IF(AND($Y99&lt;&gt;"",EDATE($D99,Milestones!$AA$38)&gt;=$Y99),$AB99,$AA99)))=Milestones!$AB$38),UPPER(TEXT(EDATE($D99,Milestones!$AA$38),"dd mmm yy"))&amp;" "&amp;Milestones!$AB$38&amp;" "&amp;IF(AND(Milestones!$AB$38="FT",Milestones!$AA$38=FT_Y5,EDATE($D99,Milestones!$AA$38)&lt;PolicyEff),1,Milestones!$AC$38)&amp;";  ","")&amp;IF(AND(EDATE($D99,Milestones!$AA$39)&lt;=AsOfDate,EDATE($D99,Milestones!$AA$39)&gt;=SchemeStart,IF($X99=0,$AD99,IF(AND($Z99&lt;&gt;"",EDATE($D99,Milestones!$AA$39)&gt;=$Z99),$AC99,IF(AND($Y99&lt;&gt;"",EDATE($D99,Milestones!$AA$39)&gt;=$Y99),$AB99,$AA99)))=Milestones!$AB$39),UPPER(TEXT(EDATE($D99,Milestones!$AA$39),"dd mmm yy"))&amp;" "&amp;Milestones!$AB$39&amp;" "&amp;IF(AND(Milestones!$AB$39="FT",Milestones!$AA$39=FT_Y5,EDATE($D99,Milestones!$AA$39)&lt;PolicyEff),1,Milestones!$AC$39)&amp;";  ","")&amp;IF(AND(EDATE($D99,Milestones!$AA$40)&lt;=AsOfDate,EDATE($D99,Milestones!$AA$40)&gt;=SchemeStart,IF($X99=0,$AD99,IF(AND($Z99&lt;&gt;"",EDATE($D99,Milestones!$AA$40)&gt;=$Z99),$AC99,IF(AND($Y99&lt;&gt;"",EDATE($D99,Milestones!$AA$40)&gt;=$Y99),$AB99,$AA99)))=Milestones!$AB$40),UPPER(TEXT(EDATE($D99,Milestones!$AA$40),"dd mmm yy"))&amp;" "&amp;Milestones!$AB$40&amp;" "&amp;IF(AND(Milestones!$AB$40="FT",Milestones!$AA$40=FT_Y5,EDATE($D99,Milestones!$AA$40)&lt;PolicyEff),1,Milestones!$AC$40)&amp;";  ","")&amp;IF(AND(EDATE($D99,Milestones!$AA$41)&lt;=AsOfDate,EDATE($D99,Milestones!$AA$41)&gt;=SchemeStart,IF($X99=0,$AD99,IF(AND($Z99&lt;&gt;"",EDATE($D99,Milestones!$AA$41)&gt;=$Z99),$AC99,IF(AND($Y99&lt;&gt;"",EDATE($D99,Milestones!$AA$41)&gt;=$Y99),$AB99,$AA99)))=Milestones!$AB$41),UPPER(TEXT(EDATE($D99,Milestones!$AA$41),"dd mmm yy"))&amp;" "&amp;Milestones!$AB$41&amp;" "&amp;IF(AND(Milestones!$AB$41="FT",Milestones!$AA$41=FT_Y5,EDATE($D99,Milestones!$AA$41)&lt;PolicyEff),1,Milestones!$AC$41)&amp;";  ","")&amp;IF(AND(EDATE($D99,Milestones!$AA$42)&lt;=AsOfDate,EDATE($D99,Milestones!$AA$42)&gt;=SchemeStart,IF($X99=0,$AD99,IF(AND($Z99&lt;&gt;"",EDATE($D99,Milestones!$AA$42)&gt;=$Z99),$AC99,IF(AND($Y99&lt;&gt;"",EDATE($D99,Milestones!$AA$42)&gt;=$Y99),$AB99,$AA99)))=Milestones!$AB$42),UPPER(TEXT(EDATE($D99,Milestones!$AA$42),"dd mmm yy"))&amp;" "&amp;Milestones!$AB$42&amp;" "&amp;IF(AND(Milestones!$AB$42="FT",Milestones!$AA$42=FT_Y5,EDATE($D99,Milestones!$AA$42)&lt;PolicyEff),1,Milestones!$AC$42)&amp;";  ","")&amp;IF(AND(EDATE($D99,Milestones!$AA$43)&lt;=AsOfDate,EDATE($D99,Milestones!$AA$43)&gt;=SchemeStart,IF($X99=0,$AD99,IF(AND($Z99&lt;&gt;"",EDATE($D99,Milestones!$AA$43)&gt;=$Z99),$AC99,IF(AND($Y99&lt;&gt;"",EDATE($D99,Milestones!$AA$43)&gt;=$Y99),$AB99,$AA99)))=Milestones!$AB$43),UPPER(TEXT(EDATE($D99,Milestones!$AA$43),"dd mmm yy"))&amp;" "&amp;Milestones!$AB$43&amp;" "&amp;IF(AND(Milestones!$AB$43="FT",Milestones!$AA$43=FT_Y5,EDATE($D99,Milestones!$AA$43)&lt;PolicyEff),1,Milestones!$AC$43)&amp;";  ",""))</f>
        <v/>
      </c>
      <c r="K99" s="0" t="str">
        <f aca="false">IF(OR($A99="",$D99=""),"",IF(AND(EDATE($D99,Milestones!$AA$44)&lt;=AsOfDate,EDATE($D99,Milestones!$AA$44)&gt;=SchemeStart,IF($X99=0,$AD99,IF(AND($Z99&lt;&gt;"",EDATE($D99,Milestones!$AA$44)&gt;=$Z99),$AC99,IF(AND($Y99&lt;&gt;"",EDATE($D99,Milestones!$AA$44)&gt;=$Y99),$AB99,$AA99)))=Milestones!$AB$44),UPPER(TEXT(EDATE($D99,Milestones!$AA$44),"dd mmm yy"))&amp;" "&amp;Milestones!$AB$44&amp;" "&amp;IF(AND(Milestones!$AB$44="FT",Milestones!$AA$44=FT_Y5,EDATE($D99,Milestones!$AA$44)&lt;PolicyEff),1,Milestones!$AC$44)&amp;";  ","")&amp;IF(AND(EDATE($D99,Milestones!$AA$45)&lt;=AsOfDate,EDATE($D99,Milestones!$AA$45)&gt;=SchemeStart,IF($X99=0,$AD99,IF(AND($Z99&lt;&gt;"",EDATE($D99,Milestones!$AA$45)&gt;=$Z99),$AC99,IF(AND($Y99&lt;&gt;"",EDATE($D99,Milestones!$AA$45)&gt;=$Y99),$AB99,$AA99)))=Milestones!$AB$45),UPPER(TEXT(EDATE($D99,Milestones!$AA$45),"dd mmm yy"))&amp;" "&amp;Milestones!$AB$45&amp;" "&amp;IF(AND(Milestones!$AB$45="FT",Milestones!$AA$45=FT_Y5,EDATE($D99,Milestones!$AA$45)&lt;PolicyEff),1,Milestones!$AC$45)&amp;";  ","")&amp;IF(AND(EDATE($D99,Milestones!$AA$46)&lt;=AsOfDate,EDATE($D99,Milestones!$AA$46)&gt;=SchemeStart,IF($X99=0,$AD99,IF(AND($Z99&lt;&gt;"",EDATE($D99,Milestones!$AA$46)&gt;=$Z99),$AC99,IF(AND($Y99&lt;&gt;"",EDATE($D99,Milestones!$AA$46)&gt;=$Y99),$AB99,$AA99)))=Milestones!$AB$46),UPPER(TEXT(EDATE($D99,Milestones!$AA$46),"dd mmm yy"))&amp;" "&amp;Milestones!$AB$46&amp;" "&amp;IF(AND(Milestones!$AB$46="FT",Milestones!$AA$46=FT_Y5,EDATE($D99,Milestones!$AA$46)&lt;PolicyEff),1,Milestones!$AC$46)&amp;";  ","")&amp;IF(AND(EDATE($D99,Milestones!$AA$47)&lt;=AsOfDate,EDATE($D99,Milestones!$AA$47)&gt;=SchemeStart,IF($X99=0,$AD99,IF(AND($Z99&lt;&gt;"",EDATE($D99,Milestones!$AA$47)&gt;=$Z99),$AC99,IF(AND($Y99&lt;&gt;"",EDATE($D99,Milestones!$AA$47)&gt;=$Y99),$AB99,$AA99)))=Milestones!$AB$47),UPPER(TEXT(EDATE($D99,Milestones!$AA$47),"dd mmm yy"))&amp;" "&amp;Milestones!$AB$47&amp;" "&amp;IF(AND(Milestones!$AB$47="FT",Milestones!$AA$47=FT_Y5,EDATE($D99,Milestones!$AA$47)&lt;PolicyEff),1,Milestones!$AC$47)&amp;";  ","")&amp;IF(AND(EDATE($D99,Milestones!$AA$48)&lt;=AsOfDate,EDATE($D99,Milestones!$AA$48)&gt;=SchemeStart,IF($X99=0,$AD99,IF(AND($Z99&lt;&gt;"",EDATE($D99,Milestones!$AA$48)&gt;=$Z99),$AC99,IF(AND($Y99&lt;&gt;"",EDATE($D99,Milestones!$AA$48)&gt;=$Y99),$AB99,$AA99)))=Milestones!$AB$48),UPPER(TEXT(EDATE($D99,Milestones!$AA$48),"dd mmm yy"))&amp;" "&amp;Milestones!$AB$48&amp;" "&amp;IF(AND(Milestones!$AB$48="FT",Milestones!$AA$48=FT_Y5,EDATE($D99,Milestones!$AA$48)&lt;PolicyEff),1,Milestones!$AC$48)&amp;";  ","")&amp;IF(AND(EDATE($D99,Milestones!$AA$49)&lt;=AsOfDate,EDATE($D99,Milestones!$AA$49)&gt;=SchemeStart,IF($X99=0,$AD99,IF(AND($Z99&lt;&gt;"",EDATE($D99,Milestones!$AA$49)&gt;=$Z99),$AC99,IF(AND($Y99&lt;&gt;"",EDATE($D99,Milestones!$AA$49)&gt;=$Y99),$AB99,$AA99)))=Milestones!$AB$49),UPPER(TEXT(EDATE($D99,Milestones!$AA$49),"dd mmm yy"))&amp;" "&amp;Milestones!$AB$49&amp;" "&amp;IF(AND(Milestones!$AB$49="FT",Milestones!$AA$49=FT_Y5,EDATE($D99,Milestones!$AA$49)&lt;PolicyEff),1,Milestones!$AC$49)&amp;";  ","")&amp;IF(AND(EDATE($D99,Milestones!$AA$50)&lt;=AsOfDate,EDATE($D99,Milestones!$AA$50)&gt;=SchemeStart,IF($X99=0,$AD99,IF(AND($Z99&lt;&gt;"",EDATE($D99,Milestones!$AA$50)&gt;=$Z99),$AC99,IF(AND($Y99&lt;&gt;"",EDATE($D99,Milestones!$AA$50)&gt;=$Y99),$AB99,$AA99)))=Milestones!$AB$50),UPPER(TEXT(EDATE($D99,Milestones!$AA$50),"dd mmm yy"))&amp;" "&amp;Milestones!$AB$50&amp;" "&amp;IF(AND(Milestones!$AB$50="FT",Milestones!$AA$50=FT_Y5,EDATE($D99,Milestones!$AA$50)&lt;PolicyEff),1,Milestones!$AC$50)&amp;";  ","")&amp;IF(AND(EDATE($D99,Milestones!$AA$51)&lt;=AsOfDate,EDATE($D99,Milestones!$AA$51)&gt;=SchemeStart,IF($X99=0,$AD99,IF(AND($Z99&lt;&gt;"",EDATE($D99,Milestones!$AA$51)&gt;=$Z99),$AC99,IF(AND($Y99&lt;&gt;"",EDATE($D99,Milestones!$AA$51)&gt;=$Y99),$AB99,$AA99)))=Milestones!$AB$51),UPPER(TEXT(EDATE($D99,Milestones!$AA$51),"dd mmm yy"))&amp;" "&amp;Milestones!$AB$51&amp;" "&amp;IF(AND(Milestones!$AB$51="FT",Milestones!$AA$51=FT_Y5,EDATE($D99,Milestones!$AA$51)&lt;PolicyEff),1,Milestones!$AC$51)&amp;";  ","")&amp;IF(AND(EDATE($D99,Milestones!$AA$52)&lt;=AsOfDate,EDATE($D99,Milestones!$AA$52)&gt;=SchemeStart,IF($X99=0,$AD99,IF(AND($Z99&lt;&gt;"",EDATE($D99,Milestones!$AA$52)&gt;=$Z99),$AC99,IF(AND($Y99&lt;&gt;"",EDATE($D99,Milestones!$AA$52)&gt;=$Y99),$AB99,$AA99)))=Milestones!$AB$52),UPPER(TEXT(EDATE($D99,Milestones!$AA$52),"dd mmm yy"))&amp;" "&amp;Milestones!$AB$52&amp;" "&amp;IF(AND(Milestones!$AB$52="FT",Milestones!$AA$52=FT_Y5,EDATE($D99,Milestones!$AA$52)&lt;PolicyEff),1,Milestones!$AC$52)&amp;";  ","")&amp;IF(AND(EDATE($D99,Milestones!$AA$53)&lt;=AsOfDate,EDATE($D99,Milestones!$AA$53)&gt;=SchemeStart,IF($X99=0,$AD99,IF(AND($Z99&lt;&gt;"",EDATE($D99,Milestones!$AA$53)&gt;=$Z99),$AC99,IF(AND($Y99&lt;&gt;"",EDATE($D99,Milestones!$AA$53)&gt;=$Y99),$AB99,$AA99)))=Milestones!$AB$53),UPPER(TEXT(EDATE($D99,Milestones!$AA$53),"dd mmm yy"))&amp;" "&amp;Milestones!$AB$53&amp;" "&amp;IF(AND(Milestones!$AB$53="FT",Milestones!$AA$53=FT_Y5,EDATE($D99,Milestones!$AA$53)&lt;PolicyEff),1,Milestones!$AC$53)&amp;";  ","")&amp;IF(AND(EDATE($D99,Milestones!$AA$54)&lt;=AsOfDate,EDATE($D99,Milestones!$AA$54)&gt;=SchemeStart,IF($X99=0,$AD99,IF(AND($Z99&lt;&gt;"",EDATE($D99,Milestones!$AA$54)&gt;=$Z99),$AC99,IF(AND($Y99&lt;&gt;"",EDATE($D99,Milestones!$AA$54)&gt;=$Y99),$AB99,$AA99)))=Milestones!$AB$54),UPPER(TEXT(EDATE($D99,Milestones!$AA$54),"dd mmm yy"))&amp;" "&amp;Milestones!$AB$54&amp;" "&amp;IF(AND(Milestones!$AB$54="FT",Milestones!$AA$54=FT_Y5,EDATE($D99,Milestones!$AA$54)&lt;PolicyEff),1,Milestones!$AC$54)&amp;";  ","")&amp;IF(AND(EDATE($D99,Milestones!$AA$55)&lt;=AsOfDate,EDATE($D99,Milestones!$AA$55)&gt;=SchemeStart,IF($X99=0,$AD99,IF(AND($Z99&lt;&gt;"",EDATE($D99,Milestones!$AA$55)&gt;=$Z99),$AC99,IF(AND($Y99&lt;&gt;"",EDATE($D99,Milestones!$AA$55)&gt;=$Y99),$AB99,$AA99)))=Milestones!$AB$55),UPPER(TEXT(EDATE($D99,Milestones!$AA$55),"dd mmm yy"))&amp;" "&amp;Milestones!$AB$55&amp;" "&amp;IF(AND(Milestones!$AB$55="FT",Milestones!$AA$55=FT_Y5,EDATE($D99,Milestones!$AA$55)&lt;PolicyEff),1,Milestones!$AC$55)&amp;";  ",""))</f>
        <v/>
      </c>
      <c r="L99" s="0" t="str">
        <f aca="false">IF(OR($A99="",$D99=""),"",IF(AND(EDATE($D99,Milestones!$AA$56)&lt;=AsOfDate,EDATE($D99,Milestones!$AA$56)&gt;=SchemeStart,IF($X99=0,$AD99,IF(AND($Z99&lt;&gt;"",EDATE($D99,Milestones!$AA$56)&gt;=$Z99),$AC99,IF(AND($Y99&lt;&gt;"",EDATE($D99,Milestones!$AA$56)&gt;=$Y99),$AB99,$AA99)))=Milestones!$AB$56),UPPER(TEXT(EDATE($D99,Milestones!$AA$56),"dd mmm yy"))&amp;" "&amp;Milestones!$AB$56&amp;" "&amp;IF(AND(Milestones!$AB$56="FT",Milestones!$AA$56=FT_Y5,EDATE($D99,Milestones!$AA$56)&lt;PolicyEff),1,Milestones!$AC$56)&amp;";  ","")&amp;IF(AND(EDATE($D99,Milestones!$AA$57)&lt;=AsOfDate,EDATE($D99,Milestones!$AA$57)&gt;=SchemeStart,IF($X99=0,$AD99,IF(AND($Z99&lt;&gt;"",EDATE($D99,Milestones!$AA$57)&gt;=$Z99),$AC99,IF(AND($Y99&lt;&gt;"",EDATE($D99,Milestones!$AA$57)&gt;=$Y99),$AB99,$AA99)))=Milestones!$AB$57),UPPER(TEXT(EDATE($D99,Milestones!$AA$57),"dd mmm yy"))&amp;" "&amp;Milestones!$AB$57&amp;" "&amp;IF(AND(Milestones!$AB$57="FT",Milestones!$AA$57=FT_Y5,EDATE($D99,Milestones!$AA$57)&lt;PolicyEff),1,Milestones!$AC$57)&amp;";  ","")&amp;IF(AND(EDATE($D99,Milestones!$AA$58)&lt;=AsOfDate,EDATE($D99,Milestones!$AA$58)&gt;=SchemeStart,IF($X99=0,$AD99,IF(AND($Z99&lt;&gt;"",EDATE($D99,Milestones!$AA$58)&gt;=$Z99),$AC99,IF(AND($Y99&lt;&gt;"",EDATE($D99,Milestones!$AA$58)&gt;=$Y99),$AB99,$AA99)))=Milestones!$AB$58),UPPER(TEXT(EDATE($D99,Milestones!$AA$58),"dd mmm yy"))&amp;" "&amp;Milestones!$AB$58&amp;" "&amp;IF(AND(Milestones!$AB$58="FT",Milestones!$AA$58=FT_Y5,EDATE($D99,Milestones!$AA$58)&lt;PolicyEff),1,Milestones!$AC$58)&amp;";  ","")&amp;IF(AND(EDATE($D99,Milestones!$AA$59)&lt;=AsOfDate,EDATE($D99,Milestones!$AA$59)&gt;=SchemeStart,IF($X99=0,$AD99,IF(AND($Z99&lt;&gt;"",EDATE($D99,Milestones!$AA$59)&gt;=$Z99),$AC99,IF(AND($Y99&lt;&gt;"",EDATE($D99,Milestones!$AA$59)&gt;=$Y99),$AB99,$AA99)))=Milestones!$AB$59),UPPER(TEXT(EDATE($D99,Milestones!$AA$59),"dd mmm yy"))&amp;" "&amp;Milestones!$AB$59&amp;" "&amp;IF(AND(Milestones!$AB$59="FT",Milestones!$AA$59=FT_Y5,EDATE($D99,Milestones!$AA$59)&lt;PolicyEff),1,Milestones!$AC$59)&amp;";  ","")&amp;IF(AND(EDATE($D99,Milestones!$AA$60)&lt;=AsOfDate,EDATE($D99,Milestones!$AA$60)&gt;=SchemeStart,IF($X99=0,$AD99,IF(AND($Z99&lt;&gt;"",EDATE($D99,Milestones!$AA$60)&gt;=$Z99),$AC99,IF(AND($Y99&lt;&gt;"",EDATE($D99,Milestones!$AA$60)&gt;=$Y99),$AB99,$AA99)))=Milestones!$AB$60),UPPER(TEXT(EDATE($D99,Milestones!$AA$60),"dd mmm yy"))&amp;" "&amp;Milestones!$AB$60&amp;" "&amp;IF(AND(Milestones!$AB$60="FT",Milestones!$AA$60=FT_Y5,EDATE($D99,Milestones!$AA$60)&lt;PolicyEff),1,Milestones!$AC$60)&amp;";  ","")&amp;IF(AND(EDATE($D99,Milestones!$AA$61)&lt;=AsOfDate,EDATE($D99,Milestones!$AA$61)&gt;=SchemeStart,IF($X99=0,$AD99,IF(AND($Z99&lt;&gt;"",EDATE($D99,Milestones!$AA$61)&gt;=$Z99),$AC99,IF(AND($Y99&lt;&gt;"",EDATE($D99,Milestones!$AA$61)&gt;=$Y99),$AB99,$AA99)))=Milestones!$AB$61),UPPER(TEXT(EDATE($D99,Milestones!$AA$61),"dd mmm yy"))&amp;" "&amp;Milestones!$AB$61&amp;" "&amp;IF(AND(Milestones!$AB$61="FT",Milestones!$AA$61=FT_Y5,EDATE($D99,Milestones!$AA$61)&lt;PolicyEff),1,Milestones!$AC$61)&amp;";  ","")&amp;IF(AND(EDATE($D99,Milestones!$AA$62)&lt;=AsOfDate,EDATE($D99,Milestones!$AA$62)&gt;=SchemeStart,IF($X99=0,$AD99,IF(AND($Z99&lt;&gt;"",EDATE($D99,Milestones!$AA$62)&gt;=$Z99),$AC99,IF(AND($Y99&lt;&gt;"",EDATE($D99,Milestones!$AA$62)&gt;=$Y99),$AB99,$AA99)))=Milestones!$AB$62),UPPER(TEXT(EDATE($D99,Milestones!$AA$62),"dd mmm yy"))&amp;" "&amp;Milestones!$AB$62&amp;" "&amp;IF(AND(Milestones!$AB$62="FT",Milestones!$AA$62=FT_Y5,EDATE($D99,Milestones!$AA$62)&lt;PolicyEff),1,Milestones!$AC$62)&amp;";  ","")&amp;IF(AND(EDATE($D99,Milestones!$AA$63)&lt;=AsOfDate,EDATE($D99,Milestones!$AA$63)&gt;=SchemeStart,IF($X99=0,$AD99,IF(AND($Z99&lt;&gt;"",EDATE($D99,Milestones!$AA$63)&gt;=$Z99),$AC99,IF(AND($Y99&lt;&gt;"",EDATE($D99,Milestones!$AA$63)&gt;=$Y99),$AB99,$AA99)))=Milestones!$AB$63),UPPER(TEXT(EDATE($D99,Milestones!$AA$63),"dd mmm yy"))&amp;" "&amp;Milestones!$AB$63&amp;" "&amp;IF(AND(Milestones!$AB$63="FT",Milestones!$AA$63=FT_Y5,EDATE($D99,Milestones!$AA$63)&lt;PolicyEff),1,Milestones!$AC$63)&amp;";  ","")&amp;IF(AND(EDATE($D99,Milestones!$AA$64)&lt;=AsOfDate,EDATE($D99,Milestones!$AA$64)&gt;=SchemeStart,IF($X99=0,$AD99,IF(AND($Z99&lt;&gt;"",EDATE($D99,Milestones!$AA$64)&gt;=$Z99),$AC99,IF(AND($Y99&lt;&gt;"",EDATE($D99,Milestones!$AA$64)&gt;=$Y99),$AB99,$AA99)))=Milestones!$AB$64),UPPER(TEXT(EDATE($D99,Milestones!$AA$64),"dd mmm yy"))&amp;" "&amp;Milestones!$AB$64&amp;" "&amp;IF(AND(Milestones!$AB$64="FT",Milestones!$AA$64=FT_Y5,EDATE($D99,Milestones!$AA$64)&lt;PolicyEff),1,Milestones!$AC$64)&amp;";  ","")&amp;IF(AND(EDATE($D99,Milestones!$AA$65)&lt;=AsOfDate,EDATE($D99,Milestones!$AA$65)&gt;=SchemeStart,IF($X99=0,$AD99,IF(AND($Z99&lt;&gt;"",EDATE($D99,Milestones!$AA$65)&gt;=$Z99),$AC99,IF(AND($Y99&lt;&gt;"",EDATE($D99,Milestones!$AA$65)&gt;=$Y99),$AB99,$AA99)))=Milestones!$AB$65),UPPER(TEXT(EDATE($D99,Milestones!$AA$65),"dd mmm yy"))&amp;" "&amp;Milestones!$AB$65&amp;" "&amp;IF(AND(Milestones!$AB$65="FT",Milestones!$AA$65=FT_Y5,EDATE($D99,Milestones!$AA$65)&lt;PolicyEff),1,Milestones!$AC$65)&amp;";  ","")&amp;IF(AND(EDATE($D99,Milestones!$AA$66)&lt;=AsOfDate,EDATE($D99,Milestones!$AA$66)&gt;=SchemeStart,IF($X99=0,$AD99,IF(AND($Z99&lt;&gt;"",EDATE($D99,Milestones!$AA$66)&gt;=$Z99),$AC99,IF(AND($Y99&lt;&gt;"",EDATE($D99,Milestones!$AA$66)&gt;=$Y99),$AB99,$AA99)))=Milestones!$AB$66),UPPER(TEXT(EDATE($D99,Milestones!$AA$66),"dd mmm yy"))&amp;" "&amp;Milestones!$AB$66&amp;" "&amp;IF(AND(Milestones!$AB$66="FT",Milestones!$AA$66=FT_Y5,EDATE($D99,Milestones!$AA$66)&lt;PolicyEff),1,Milestones!$AC$66)&amp;";  ","")&amp;IF(AND(EDATE($D99,Milestones!$AA$67)&lt;=AsOfDate,EDATE($D99,Milestones!$AA$67)&gt;=SchemeStart,IF($X99=0,$AD99,IF(AND($Z99&lt;&gt;"",EDATE($D99,Milestones!$AA$67)&gt;=$Z99),$AC99,IF(AND($Y99&lt;&gt;"",EDATE($D99,Milestones!$AA$67)&gt;=$Y99),$AB99,$AA99)))=Milestones!$AB$67),UPPER(TEXT(EDATE($D99,Milestones!$AA$67),"dd mmm yy"))&amp;" "&amp;Milestones!$AB$67&amp;" "&amp;IF(AND(Milestones!$AB$67="FT",Milestones!$AA$67=FT_Y5,EDATE($D99,Milestones!$AA$67)&lt;PolicyEff),1,Milestones!$AC$67)&amp;";  ",""))</f>
        <v/>
      </c>
      <c r="M99" s="0" t="str">
        <f aca="false">IF(OR($A99="",$D99=""),"",IF(AND(EDATE($D99,Milestones!$AA$68)&lt;=AsOfDate,EDATE($D99,Milestones!$AA$68)&gt;=SchemeStart,IF($X99=0,$AD99,IF(AND($Z99&lt;&gt;"",EDATE($D99,Milestones!$AA$68)&gt;=$Z99),$AC99,IF(AND($Y99&lt;&gt;"",EDATE($D99,Milestones!$AA$68)&gt;=$Y99),$AB99,$AA99)))=Milestones!$AB$68),UPPER(TEXT(EDATE($D99,Milestones!$AA$68),"dd mmm yy"))&amp;" "&amp;Milestones!$AB$68&amp;" "&amp;IF(AND(Milestones!$AB$68="FT",Milestones!$AA$68=FT_Y5,EDATE($D99,Milestones!$AA$68)&lt;PolicyEff),1,Milestones!$AC$68)&amp;";  ","")&amp;IF(AND(EDATE($D99,Milestones!$AA$69)&lt;=AsOfDate,EDATE($D99,Milestones!$AA$69)&gt;=SchemeStart,IF($X99=0,$AD99,IF(AND($Z99&lt;&gt;"",EDATE($D99,Milestones!$AA$69)&gt;=$Z99),$AC99,IF(AND($Y99&lt;&gt;"",EDATE($D99,Milestones!$AA$69)&gt;=$Y99),$AB99,$AA99)))=Milestones!$AB$69),UPPER(TEXT(EDATE($D99,Milestones!$AA$69),"dd mmm yy"))&amp;" "&amp;Milestones!$AB$69&amp;" "&amp;IF(AND(Milestones!$AB$69="FT",Milestones!$AA$69=FT_Y5,EDATE($D99,Milestones!$AA$69)&lt;PolicyEff),1,Milestones!$AC$69)&amp;";  ","")&amp;IF(AND(EDATE($D99,Milestones!$AA$70)&lt;=AsOfDate,EDATE($D99,Milestones!$AA$70)&gt;=SchemeStart,IF($X99=0,$AD99,IF(AND($Z99&lt;&gt;"",EDATE($D99,Milestones!$AA$70)&gt;=$Z99),$AC99,IF(AND($Y99&lt;&gt;"",EDATE($D99,Milestones!$AA$70)&gt;=$Y99),$AB99,$AA99)))=Milestones!$AB$70),UPPER(TEXT(EDATE($D99,Milestones!$AA$70),"dd mmm yy"))&amp;" "&amp;Milestones!$AB$70&amp;" "&amp;IF(AND(Milestones!$AB$70="FT",Milestones!$AA$70=FT_Y5,EDATE($D99,Milestones!$AA$70)&lt;PolicyEff),1,Milestones!$AC$70)&amp;";  ","")&amp;IF(AND(EDATE($D99,Milestones!$AA$71)&lt;=AsOfDate,EDATE($D99,Milestones!$AA$71)&gt;=SchemeStart,IF($X99=0,$AD99,IF(AND($Z99&lt;&gt;"",EDATE($D99,Milestones!$AA$71)&gt;=$Z99),$AC99,IF(AND($Y99&lt;&gt;"",EDATE($D99,Milestones!$AA$71)&gt;=$Y99),$AB99,$AA99)))=Milestones!$AB$71),UPPER(TEXT(EDATE($D99,Milestones!$AA$71),"dd mmm yy"))&amp;" "&amp;Milestones!$AB$71&amp;" "&amp;IF(AND(Milestones!$AB$71="FT",Milestones!$AA$71=FT_Y5,EDATE($D99,Milestones!$AA$71)&lt;PolicyEff),1,Milestones!$AC$71)&amp;";  ","")&amp;IF(AND(EDATE($D99,Milestones!$AA$72)&lt;=AsOfDate,EDATE($D99,Milestones!$AA$72)&gt;=SchemeStart,IF($X99=0,$AD99,IF(AND($Z99&lt;&gt;"",EDATE($D99,Milestones!$AA$72)&gt;=$Z99),$AC99,IF(AND($Y99&lt;&gt;"",EDATE($D99,Milestones!$AA$72)&gt;=$Y99),$AB99,$AA99)))=Milestones!$AB$72),UPPER(TEXT(EDATE($D99,Milestones!$AA$72),"dd mmm yy"))&amp;" "&amp;Milestones!$AB$72&amp;" "&amp;IF(AND(Milestones!$AB$72="FT",Milestones!$AA$72=FT_Y5,EDATE($D99,Milestones!$AA$72)&lt;PolicyEff),1,Milestones!$AC$72)&amp;";  ","")&amp;IF(AND(EDATE($D99,Milestones!$AA$73)&lt;=AsOfDate,EDATE($D99,Milestones!$AA$73)&gt;=SchemeStart,IF($X99=0,$AD99,IF(AND($Z99&lt;&gt;"",EDATE($D99,Milestones!$AA$73)&gt;=$Z99),$AC99,IF(AND($Y99&lt;&gt;"",EDATE($D99,Milestones!$AA$73)&gt;=$Y99),$AB99,$AA99)))=Milestones!$AB$73),UPPER(TEXT(EDATE($D99,Milestones!$AA$73),"dd mmm yy"))&amp;" "&amp;Milestones!$AB$73&amp;" "&amp;IF(AND(Milestones!$AB$73="FT",Milestones!$AA$73=FT_Y5,EDATE($D99,Milestones!$AA$73)&lt;PolicyEff),1,Milestones!$AC$73)&amp;";  ","")&amp;IF(AND(EDATE($D99,Milestones!$AA$74)&lt;=AsOfDate,EDATE($D99,Milestones!$AA$74)&gt;=SchemeStart,IF($X99=0,$AD99,IF(AND($Z99&lt;&gt;"",EDATE($D99,Milestones!$AA$74)&gt;=$Z99),$AC99,IF(AND($Y99&lt;&gt;"",EDATE($D99,Milestones!$AA$74)&gt;=$Y99),$AB99,$AA99)))=Milestones!$AB$74),UPPER(TEXT(EDATE($D99,Milestones!$AA$74),"dd mmm yy"))&amp;" "&amp;Milestones!$AB$74&amp;" "&amp;IF(AND(Milestones!$AB$74="FT",Milestones!$AA$74=FT_Y5,EDATE($D99,Milestones!$AA$74)&lt;PolicyEff),1,Milestones!$AC$74)&amp;";  ","")&amp;IF(AND(EDATE($D99,Milestones!$AA$75)&lt;=AsOfDate,EDATE($D99,Milestones!$AA$75)&gt;=SchemeStart,IF($X99=0,$AD99,IF(AND($Z99&lt;&gt;"",EDATE($D99,Milestones!$AA$75)&gt;=$Z99),$AC99,IF(AND($Y99&lt;&gt;"",EDATE($D99,Milestones!$AA$75)&gt;=$Y99),$AB99,$AA99)))=Milestones!$AB$75),UPPER(TEXT(EDATE($D99,Milestones!$AA$75),"dd mmm yy"))&amp;" "&amp;Milestones!$AB$75&amp;" "&amp;IF(AND(Milestones!$AB$75="FT",Milestones!$AA$75=FT_Y5,EDATE($D99,Milestones!$AA$75)&lt;PolicyEff),1,Milestones!$AC$75)&amp;";  ","")&amp;IF(AND(EDATE($D99,Milestones!$AA$76)&lt;=AsOfDate,EDATE($D99,Milestones!$AA$76)&gt;=SchemeStart,IF($X99=0,$AD99,IF(AND($Z99&lt;&gt;"",EDATE($D99,Milestones!$AA$76)&gt;=$Z99),$AC99,IF(AND($Y99&lt;&gt;"",EDATE($D99,Milestones!$AA$76)&gt;=$Y99),$AB99,$AA99)))=Milestones!$AB$76),UPPER(TEXT(EDATE($D99,Milestones!$AA$76),"dd mmm yy"))&amp;" "&amp;Milestones!$AB$76&amp;" "&amp;IF(AND(Milestones!$AB$76="FT",Milestones!$AA$76=FT_Y5,EDATE($D99,Milestones!$AA$76)&lt;PolicyEff),1,Milestones!$AC$76)&amp;";  ","")&amp;IF(AND(EDATE($D99,Milestones!$AA$77)&lt;=AsOfDate,EDATE($D99,Milestones!$AA$77)&gt;=SchemeStart,IF($X99=0,$AD99,IF(AND($Z99&lt;&gt;"",EDATE($D99,Milestones!$AA$77)&gt;=$Z99),$AC99,IF(AND($Y99&lt;&gt;"",EDATE($D99,Milestones!$AA$77)&gt;=$Y99),$AB99,$AA99)))=Milestones!$AB$77),UPPER(TEXT(EDATE($D99,Milestones!$AA$77),"dd mmm yy"))&amp;" "&amp;Milestones!$AB$77&amp;" "&amp;IF(AND(Milestones!$AB$77="FT",Milestones!$AA$77=FT_Y5,EDATE($D99,Milestones!$AA$77)&lt;PolicyEff),1,Milestones!$AC$77)&amp;";  ","")&amp;IF(AND(EDATE($D99,Milestones!$AA$78)&lt;=AsOfDate,EDATE($D99,Milestones!$AA$78)&gt;=SchemeStart,IF($X99=0,$AD99,IF(AND($Z99&lt;&gt;"",EDATE($D99,Milestones!$AA$78)&gt;=$Z99),$AC99,IF(AND($Y99&lt;&gt;"",EDATE($D99,Milestones!$AA$78)&gt;=$Y99),$AB99,$AA99)))=Milestones!$AB$78),UPPER(TEXT(EDATE($D99,Milestones!$AA$78),"dd mmm yy"))&amp;" "&amp;Milestones!$AB$78&amp;" "&amp;IF(AND(Milestones!$AB$78="FT",Milestones!$AA$78=FT_Y5,EDATE($D99,Milestones!$AA$78)&lt;PolicyEff),1,Milestones!$AC$78)&amp;";  ","")&amp;IF(AND(EDATE($D99,Milestones!$AA$79)&lt;=AsOfDate,EDATE($D99,Milestones!$AA$79)&gt;=SchemeStart,IF($X99=0,$AD99,IF(AND($Z99&lt;&gt;"",EDATE($D99,Milestones!$AA$79)&gt;=$Z99),$AC99,IF(AND($Y99&lt;&gt;"",EDATE($D99,Milestones!$AA$79)&gt;=$Y99),$AB99,$AA99)))=Milestones!$AB$79),UPPER(TEXT(EDATE($D99,Milestones!$AA$79),"dd mmm yy"))&amp;" "&amp;Milestones!$AB$79&amp;" "&amp;IF(AND(Milestones!$AB$79="FT",Milestones!$AA$79=FT_Y5,EDATE($D99,Milestones!$AA$79)&lt;PolicyEff),1,Milestones!$AC$79)&amp;";  ",""))</f>
        <v/>
      </c>
      <c r="N99" s="0" t="str">
        <f aca="false">IF(OR($A99="",$D99=""),"",IF(AND(EDATE($D99,Milestones!$AA$80)&lt;=AsOfDate,EDATE($D99,Milestones!$AA$80)&gt;=SchemeStart,IF($X99=0,$AD99,IF(AND($Z99&lt;&gt;"",EDATE($D99,Milestones!$AA$80)&gt;=$Z99),$AC99,IF(AND($Y99&lt;&gt;"",EDATE($D99,Milestones!$AA$80)&gt;=$Y99),$AB99,$AA99)))=Milestones!$AB$80),UPPER(TEXT(EDATE($D99,Milestones!$AA$80),"dd mmm yy"))&amp;" "&amp;Milestones!$AB$80&amp;" "&amp;IF(AND(Milestones!$AB$80="FT",Milestones!$AA$80=FT_Y5,EDATE($D99,Milestones!$AA$80)&lt;PolicyEff),1,Milestones!$AC$80)&amp;";  ","")&amp;IF(AND(EDATE($D99,Milestones!$AA$81)&lt;=AsOfDate,EDATE($D99,Milestones!$AA$81)&gt;=SchemeStart,IF($X99=0,$AD99,IF(AND($Z99&lt;&gt;"",EDATE($D99,Milestones!$AA$81)&gt;=$Z99),$AC99,IF(AND($Y99&lt;&gt;"",EDATE($D99,Milestones!$AA$81)&gt;=$Y99),$AB99,$AA99)))=Milestones!$AB$81),UPPER(TEXT(EDATE($D99,Milestones!$AA$81),"dd mmm yy"))&amp;" "&amp;Milestones!$AB$81&amp;" "&amp;IF(AND(Milestones!$AB$81="FT",Milestones!$AA$81=FT_Y5,EDATE($D99,Milestones!$AA$81)&lt;PolicyEff),1,Milestones!$AC$81)&amp;";  ","")&amp;IF(AND(EDATE($D99,Milestones!$AA$82)&lt;=AsOfDate,EDATE($D99,Milestones!$AA$82)&gt;=SchemeStart,IF($X99=0,$AD99,IF(AND($Z99&lt;&gt;"",EDATE($D99,Milestones!$AA$82)&gt;=$Z99),$AC99,IF(AND($Y99&lt;&gt;"",EDATE($D99,Milestones!$AA$82)&gt;=$Y99),$AB99,$AA99)))=Milestones!$AB$82),UPPER(TEXT(EDATE($D99,Milestones!$AA$82),"dd mmm yy"))&amp;" "&amp;Milestones!$AB$82&amp;" "&amp;IF(AND(Milestones!$AB$82="FT",Milestones!$AA$82=FT_Y5,EDATE($D99,Milestones!$AA$82)&lt;PolicyEff),1,Milestones!$AC$82)&amp;";  ","")&amp;IF(AND(EDATE($D99,Milestones!$AA$83)&lt;=AsOfDate,EDATE($D99,Milestones!$AA$83)&gt;=SchemeStart,IF($X99=0,$AD99,IF(AND($Z99&lt;&gt;"",EDATE($D99,Milestones!$AA$83)&gt;=$Z99),$AC99,IF(AND($Y99&lt;&gt;"",EDATE($D99,Milestones!$AA$83)&gt;=$Y99),$AB99,$AA99)))=Milestones!$AB$83),UPPER(TEXT(EDATE($D99,Milestones!$AA$83),"dd mmm yy"))&amp;" "&amp;Milestones!$AB$83&amp;" "&amp;IF(AND(Milestones!$AB$83="FT",Milestones!$AA$83=FT_Y5,EDATE($D99,Milestones!$AA$83)&lt;PolicyEff),1,Milestones!$AC$83)&amp;";  ","")&amp;IF(AND(EDATE($D99,Milestones!$AA$84)&lt;=AsOfDate,EDATE($D99,Milestones!$AA$84)&gt;=SchemeStart,IF($X99=0,$AD99,IF(AND($Z99&lt;&gt;"",EDATE($D99,Milestones!$AA$84)&gt;=$Z99),$AC99,IF(AND($Y99&lt;&gt;"",EDATE($D99,Milestones!$AA$84)&gt;=$Y99),$AB99,$AA99)))=Milestones!$AB$84),UPPER(TEXT(EDATE($D99,Milestones!$AA$84),"dd mmm yy"))&amp;" "&amp;Milestones!$AB$84&amp;" "&amp;IF(AND(Milestones!$AB$84="FT",Milestones!$AA$84=FT_Y5,EDATE($D99,Milestones!$AA$84)&lt;PolicyEff),1,Milestones!$AC$84)&amp;";  ","")&amp;IF(AND(EDATE($D99,Milestones!$AA$85)&lt;=AsOfDate,EDATE($D99,Milestones!$AA$85)&gt;=SchemeStart,IF($X99=0,$AD99,IF(AND($Z99&lt;&gt;"",EDATE($D99,Milestones!$AA$85)&gt;=$Z99),$AC99,IF(AND($Y99&lt;&gt;"",EDATE($D99,Milestones!$AA$85)&gt;=$Y99),$AB99,$AA99)))=Milestones!$AB$85),UPPER(TEXT(EDATE($D99,Milestones!$AA$85),"dd mmm yy"))&amp;" "&amp;Milestones!$AB$85&amp;" "&amp;IF(AND(Milestones!$AB$85="FT",Milestones!$AA$85=FT_Y5,EDATE($D99,Milestones!$AA$85)&lt;PolicyEff),1,Milestones!$AC$85)&amp;";  ","")&amp;IF(AND(EDATE($D99,Milestones!$AA$86)&lt;=AsOfDate,EDATE($D99,Milestones!$AA$86)&gt;=SchemeStart,IF($X99=0,$AD99,IF(AND($Z99&lt;&gt;"",EDATE($D99,Milestones!$AA$86)&gt;=$Z99),$AC99,IF(AND($Y99&lt;&gt;"",EDATE($D99,Milestones!$AA$86)&gt;=$Y99),$AB99,$AA99)))=Milestones!$AB$86),UPPER(TEXT(EDATE($D99,Milestones!$AA$86),"dd mmm yy"))&amp;" "&amp;Milestones!$AB$86&amp;" "&amp;IF(AND(Milestones!$AB$86="FT",Milestones!$AA$86=FT_Y5,EDATE($D99,Milestones!$AA$86)&lt;PolicyEff),1,Milestones!$AC$86)&amp;";  ","")&amp;IF(AND(EDATE($D99,Milestones!$AA$87)&lt;=AsOfDate,EDATE($D99,Milestones!$AA$87)&gt;=SchemeStart,IF($X99=0,$AD99,IF(AND($Z99&lt;&gt;"",EDATE($D99,Milestones!$AA$87)&gt;=$Z99),$AC99,IF(AND($Y99&lt;&gt;"",EDATE($D99,Milestones!$AA$87)&gt;=$Y99),$AB99,$AA99)))=Milestones!$AB$87),UPPER(TEXT(EDATE($D99,Milestones!$AA$87),"dd mmm yy"))&amp;" "&amp;Milestones!$AB$87&amp;" "&amp;IF(AND(Milestones!$AB$87="FT",Milestones!$AA$87=FT_Y5,EDATE($D99,Milestones!$AA$87)&lt;PolicyEff),1,Milestones!$AC$87)&amp;";  ","")&amp;IF(AND(EDATE($D99,Milestones!$AA$88)&lt;=AsOfDate,EDATE($D99,Milestones!$AA$88)&gt;=SchemeStart,IF($X99=0,$AD99,IF(AND($Z99&lt;&gt;"",EDATE($D99,Milestones!$AA$88)&gt;=$Z99),$AC99,IF(AND($Y99&lt;&gt;"",EDATE($D99,Milestones!$AA$88)&gt;=$Y99),$AB99,$AA99)))=Milestones!$AB$88),UPPER(TEXT(EDATE($D99,Milestones!$AA$88),"dd mmm yy"))&amp;" "&amp;Milestones!$AB$88&amp;" "&amp;IF(AND(Milestones!$AB$88="FT",Milestones!$AA$88=FT_Y5,EDATE($D99,Milestones!$AA$88)&lt;PolicyEff),1,Milestones!$AC$88)&amp;";  ","")&amp;IF(AND(EDATE($D99,Milestones!$AA$89)&lt;=AsOfDate,EDATE($D99,Milestones!$AA$89)&gt;=SchemeStart,IF($X99=0,$AD99,IF(AND($Z99&lt;&gt;"",EDATE($D99,Milestones!$AA$89)&gt;=$Z99),$AC99,IF(AND($Y99&lt;&gt;"",EDATE($D99,Milestones!$AA$89)&gt;=$Y99),$AB99,$AA99)))=Milestones!$AB$89),UPPER(TEXT(EDATE($D99,Milestones!$AA$89),"dd mmm yy"))&amp;" "&amp;Milestones!$AB$89&amp;" "&amp;IF(AND(Milestones!$AB$89="FT",Milestones!$AA$89=FT_Y5,EDATE($D99,Milestones!$AA$89)&lt;PolicyEff),1,Milestones!$AC$89)&amp;";  ","")&amp;IF(AND(EDATE($D99,Milestones!$AA$90)&lt;=AsOfDate,EDATE($D99,Milestones!$AA$90)&gt;=SchemeStart,IF($X99=0,$AD99,IF(AND($Z99&lt;&gt;"",EDATE($D99,Milestones!$AA$90)&gt;=$Z99),$AC99,IF(AND($Y99&lt;&gt;"",EDATE($D99,Milestones!$AA$90)&gt;=$Y99),$AB99,$AA99)))=Milestones!$AB$90),UPPER(TEXT(EDATE($D99,Milestones!$AA$90),"dd mmm yy"))&amp;" "&amp;Milestones!$AB$90&amp;" "&amp;IF(AND(Milestones!$AB$90="FT",Milestones!$AA$90=FT_Y5,EDATE($D99,Milestones!$AA$90)&lt;PolicyEff),1,Milestones!$AC$90)&amp;";  ","")&amp;IF(AND(EDATE($D99,Milestones!$AA$91)&lt;=AsOfDate,EDATE($D99,Milestones!$AA$91)&gt;=SchemeStart,IF($X99=0,$AD99,IF(AND($Z99&lt;&gt;"",EDATE($D99,Milestones!$AA$91)&gt;=$Z99),$AC99,IF(AND($Y99&lt;&gt;"",EDATE($D99,Milestones!$AA$91)&gt;=$Y99),$AB99,$AA99)))=Milestones!$AB$91),UPPER(TEXT(EDATE($D99,Milestones!$AA$91),"dd mmm yy"))&amp;" "&amp;Milestones!$AB$91&amp;" "&amp;IF(AND(Milestones!$AB$91="FT",Milestones!$AA$91=FT_Y5,EDATE($D99,Milestones!$AA$91)&lt;PolicyEff),1,Milestones!$AC$91)&amp;";  ",""))</f>
        <v/>
      </c>
      <c r="O99" s="0" t="str">
        <f aca="false">IF(OR($A99="",$D99=""),"",IF(AND(EDATE($D99,Milestones!$AA$92)&lt;=AsOfDate,EDATE($D99,Milestones!$AA$92)&gt;=SchemeStart,IF($X99=0,$AD99,IF(AND($Z99&lt;&gt;"",EDATE($D99,Milestones!$AA$92)&gt;=$Z99),$AC99,IF(AND($Y99&lt;&gt;"",EDATE($D99,Milestones!$AA$92)&gt;=$Y99),$AB99,$AA99)))=Milestones!$AB$92),UPPER(TEXT(EDATE($D99,Milestones!$AA$92),"dd mmm yy"))&amp;" "&amp;Milestones!$AB$92&amp;" "&amp;IF(AND(Milestones!$AB$92="FT",Milestones!$AA$92=FT_Y5,EDATE($D99,Milestones!$AA$92)&lt;PolicyEff),1,Milestones!$AC$92)&amp;";  ","")&amp;IF(AND(EDATE($D99,Milestones!$AA$93)&lt;=AsOfDate,EDATE($D99,Milestones!$AA$93)&gt;=SchemeStart,IF($X99=0,$AD99,IF(AND($Z99&lt;&gt;"",EDATE($D99,Milestones!$AA$93)&gt;=$Z99),$AC99,IF(AND($Y99&lt;&gt;"",EDATE($D99,Milestones!$AA$93)&gt;=$Y99),$AB99,$AA99)))=Milestones!$AB$93),UPPER(TEXT(EDATE($D99,Milestones!$AA$93),"dd mmm yy"))&amp;" "&amp;Milestones!$AB$93&amp;" "&amp;IF(AND(Milestones!$AB$93="FT",Milestones!$AA$93=FT_Y5,EDATE($D99,Milestones!$AA$93)&lt;PolicyEff),1,Milestones!$AC$93)&amp;";  ","")&amp;IF(AND(EDATE($D99,Milestones!$AA$94)&lt;=AsOfDate,EDATE($D99,Milestones!$AA$94)&gt;=SchemeStart,IF($X99=0,$AD99,IF(AND($Z99&lt;&gt;"",EDATE($D99,Milestones!$AA$94)&gt;=$Z99),$AC99,IF(AND($Y99&lt;&gt;"",EDATE($D99,Milestones!$AA$94)&gt;=$Y99),$AB99,$AA99)))=Milestones!$AB$94),UPPER(TEXT(EDATE($D99,Milestones!$AA$94),"dd mmm yy"))&amp;" "&amp;Milestones!$AB$94&amp;" "&amp;IF(AND(Milestones!$AB$94="FT",Milestones!$AA$94=FT_Y5,EDATE($D99,Milestones!$AA$94)&lt;PolicyEff),1,Milestones!$AC$94)&amp;";  ","")&amp;IF(AND(EDATE($D99,Milestones!$AA$95)&lt;=AsOfDate,EDATE($D99,Milestones!$AA$95)&gt;=SchemeStart,IF($X99=0,$AD99,IF(AND($Z99&lt;&gt;"",EDATE($D99,Milestones!$AA$95)&gt;=$Z99),$AC99,IF(AND($Y99&lt;&gt;"",EDATE($D99,Milestones!$AA$95)&gt;=$Y99),$AB99,$AA99)))=Milestones!$AB$95),UPPER(TEXT(EDATE($D99,Milestones!$AA$95),"dd mmm yy"))&amp;" "&amp;Milestones!$AB$95&amp;" "&amp;IF(AND(Milestones!$AB$95="FT",Milestones!$AA$95=FT_Y5,EDATE($D99,Milestones!$AA$95)&lt;PolicyEff),1,Milestones!$AC$95)&amp;";  ","")&amp;IF(AND(EDATE($D99,Milestones!$AA$96)&lt;=AsOfDate,EDATE($D99,Milestones!$AA$96)&gt;=SchemeStart,IF($X99=0,$AD99,IF(AND($Z99&lt;&gt;"",EDATE($D99,Milestones!$AA$96)&gt;=$Z99),$AC99,IF(AND($Y99&lt;&gt;"",EDATE($D99,Milestones!$AA$96)&gt;=$Y99),$AB99,$AA99)))=Milestones!$AB$96),UPPER(TEXT(EDATE($D99,Milestones!$AA$96),"dd mmm yy"))&amp;" "&amp;Milestones!$AB$96&amp;" "&amp;IF(AND(Milestones!$AB$96="FT",Milestones!$AA$96=FT_Y5,EDATE($D99,Milestones!$AA$96)&lt;PolicyEff),1,Milestones!$AC$96)&amp;";  ","")&amp;IF(AND(EDATE($D99,Milestones!$AA$97)&lt;=AsOfDate,EDATE($D99,Milestones!$AA$97)&gt;=SchemeStart,IF($X99=0,$AD99,IF(AND($Z99&lt;&gt;"",EDATE($D99,Milestones!$AA$97)&gt;=$Z99),$AC99,IF(AND($Y99&lt;&gt;"",EDATE($D99,Milestones!$AA$97)&gt;=$Y99),$AB99,$AA99)))=Milestones!$AB$97),UPPER(TEXT(EDATE($D99,Milestones!$AA$97),"dd mmm yy"))&amp;" "&amp;Milestones!$AB$97&amp;" "&amp;IF(AND(Milestones!$AB$97="FT",Milestones!$AA$97=FT_Y5,EDATE($D99,Milestones!$AA$97)&lt;PolicyEff),1,Milestones!$AC$97)&amp;";  ","")&amp;IF(AND(EDATE($D99,Milestones!$AA$98)&lt;=AsOfDate,EDATE($D99,Milestones!$AA$98)&gt;=SchemeStart,IF($X99=0,$AD99,IF(AND($Z99&lt;&gt;"",EDATE($D99,Milestones!$AA$98)&gt;=$Z99),$AC99,IF(AND($Y99&lt;&gt;"",EDATE($D99,Milestones!$AA$98)&gt;=$Y99),$AB99,$AA99)))=Milestones!$AB$98),UPPER(TEXT(EDATE($D99,Milestones!$AA$98),"dd mmm yy"))&amp;" "&amp;Milestones!$AB$98&amp;" "&amp;IF(AND(Milestones!$AB$98="FT",Milestones!$AA$98=FT_Y5,EDATE($D99,Milestones!$AA$98)&lt;PolicyEff),1,Milestones!$AC$98)&amp;";  ","")&amp;IF(AND(EDATE($D99,Milestones!$AA$99)&lt;=AsOfDate,EDATE($D99,Milestones!$AA$99)&gt;=SchemeStart,IF($X99=0,$AD99,IF(AND($Z99&lt;&gt;"",EDATE($D99,Milestones!$AA$99)&gt;=$Z99),$AC99,IF(AND($Y99&lt;&gt;"",EDATE($D99,Milestones!$AA$99)&gt;=$Y99),$AB99,$AA99)))=Milestones!$AB$99),UPPER(TEXT(EDATE($D99,Milestones!$AA$99),"dd mmm yy"))&amp;" "&amp;Milestones!$AB$99&amp;" "&amp;IF(AND(Milestones!$AB$99="FT",Milestones!$AA$99=FT_Y5,EDATE($D99,Milestones!$AA$99)&lt;PolicyEff),1,Milestones!$AC$99)&amp;";  ","")&amp;IF(AND(EDATE($D99,Milestones!$AA$100)&lt;=AsOfDate,EDATE($D99,Milestones!$AA$100)&gt;=SchemeStart,IF($X99=0,$AD99,IF(AND($Z99&lt;&gt;"",EDATE($D99,Milestones!$AA$100)&gt;=$Z99),$AC99,IF(AND($Y99&lt;&gt;"",EDATE($D99,Milestones!$AA$100)&gt;=$Y99),$AB99,$AA99)))=Milestones!$AB$100),UPPER(TEXT(EDATE($D99,Milestones!$AA$100),"dd mmm yy"))&amp;" "&amp;Milestones!$AB$100&amp;" "&amp;IF(AND(Milestones!$AB$100="FT",Milestones!$AA$100=FT_Y5,EDATE($D99,Milestones!$AA$100)&lt;PolicyEff),1,Milestones!$AC$100)&amp;";  ","")&amp;IF(AND(EDATE($D99,Milestones!$AA$101)&lt;=AsOfDate,EDATE($D99,Milestones!$AA$101)&gt;=SchemeStart,IF($X99=0,$AD99,IF(AND($Z99&lt;&gt;"",EDATE($D99,Milestones!$AA$101)&gt;=$Z99),$AC99,IF(AND($Y99&lt;&gt;"",EDATE($D99,Milestones!$AA$101)&gt;=$Y99),$AB99,$AA99)))=Milestones!$AB$101),UPPER(TEXT(EDATE($D99,Milestones!$AA$101),"dd mmm yy"))&amp;" "&amp;Milestones!$AB$101&amp;" "&amp;IF(AND(Milestones!$AB$101="FT",Milestones!$AA$101=FT_Y5,EDATE($D99,Milestones!$AA$101)&lt;PolicyEff),1,Milestones!$AC$101)&amp;";  ","")&amp;IF(AND(EDATE($D99,Milestones!$AA$102)&lt;=AsOfDate,EDATE($D99,Milestones!$AA$102)&gt;=SchemeStart,IF($X99=0,$AD99,IF(AND($Z99&lt;&gt;"",EDATE($D99,Milestones!$AA$102)&gt;=$Z99),$AC99,IF(AND($Y99&lt;&gt;"",EDATE($D99,Milestones!$AA$102)&gt;=$Y99),$AB99,$AA99)))=Milestones!$AB$102),UPPER(TEXT(EDATE($D99,Milestones!$AA$102),"dd mmm yy"))&amp;" "&amp;Milestones!$AB$102&amp;" "&amp;IF(AND(Milestones!$AB$102="FT",Milestones!$AA$102=FT_Y5,EDATE($D99,Milestones!$AA$102)&lt;PolicyEff),1,Milestones!$AC$102)&amp;";  ","")&amp;IF(AND(EDATE($D99,Milestones!$AA$103)&lt;=AsOfDate,EDATE($D99,Milestones!$AA$103)&gt;=SchemeStart,IF($X99=0,$AD99,IF(AND($Z99&lt;&gt;"",EDATE($D99,Milestones!$AA$103)&gt;=$Z99),$AC99,IF(AND($Y99&lt;&gt;"",EDATE($D99,Milestones!$AA$103)&gt;=$Y99),$AB99,$AA99)))=Milestones!$AB$103),UPPER(TEXT(EDATE($D99,Milestones!$AA$103),"dd mmm yy"))&amp;" "&amp;Milestones!$AB$103&amp;" "&amp;IF(AND(Milestones!$AB$103="FT",Milestones!$AA$103=FT_Y5,EDATE($D99,Milestones!$AA$103)&lt;PolicyEff),1,Milestones!$AC$103)&amp;";  ",""))</f>
        <v/>
      </c>
      <c r="P99" s="0" t="str">
        <f aca="false">IF(OR($A99="",$D99=""),"",IF(AND(EDATE($D99,Milestones!$AA$104)&lt;=AsOfDate,EDATE($D99,Milestones!$AA$104)&gt;=SchemeStart,IF($X99=0,$AD99,IF(AND($Z99&lt;&gt;"",EDATE($D99,Milestones!$AA$104)&gt;=$Z99),$AC99,IF(AND($Y99&lt;&gt;"",EDATE($D99,Milestones!$AA$104)&gt;=$Y99),$AB99,$AA99)))=Milestones!$AB$104),UPPER(TEXT(EDATE($D99,Milestones!$AA$104),"dd mmm yy"))&amp;" "&amp;Milestones!$AB$104&amp;" "&amp;IF(AND(Milestones!$AB$104="FT",Milestones!$AA$104=FT_Y5,EDATE($D99,Milestones!$AA$104)&lt;PolicyEff),1,Milestones!$AC$104)&amp;";  ","")&amp;IF(AND(EDATE($D99,Milestones!$AA$105)&lt;=AsOfDate,EDATE($D99,Milestones!$AA$105)&gt;=SchemeStart,IF($X99=0,$AD99,IF(AND($Z99&lt;&gt;"",EDATE($D99,Milestones!$AA$105)&gt;=$Z99),$AC99,IF(AND($Y99&lt;&gt;"",EDATE($D99,Milestones!$AA$105)&gt;=$Y99),$AB99,$AA99)))=Milestones!$AB$105),UPPER(TEXT(EDATE($D99,Milestones!$AA$105),"dd mmm yy"))&amp;" "&amp;Milestones!$AB$105&amp;" "&amp;IF(AND(Milestones!$AB$105="FT",Milestones!$AA$105=FT_Y5,EDATE($D99,Milestones!$AA$105)&lt;PolicyEff),1,Milestones!$AC$105)&amp;";  ","")&amp;IF(AND(EDATE($D99,Milestones!$AA$106)&lt;=AsOfDate,EDATE($D99,Milestones!$AA$106)&gt;=SchemeStart,IF($X99=0,$AD99,IF(AND($Z99&lt;&gt;"",EDATE($D99,Milestones!$AA$106)&gt;=$Z99),$AC99,IF(AND($Y99&lt;&gt;"",EDATE($D99,Milestones!$AA$106)&gt;=$Y99),$AB99,$AA99)))=Milestones!$AB$106),UPPER(TEXT(EDATE($D99,Milestones!$AA$106),"dd mmm yy"))&amp;" "&amp;Milestones!$AB$106&amp;" "&amp;IF(AND(Milestones!$AB$106="FT",Milestones!$AA$106=FT_Y5,EDATE($D99,Milestones!$AA$106)&lt;PolicyEff),1,Milestones!$AC$106)&amp;";  ","")&amp;IF(AND(EDATE($D99,Milestones!$AA$107)&lt;=AsOfDate,EDATE($D99,Milestones!$AA$107)&gt;=SchemeStart,IF($X99=0,$AD99,IF(AND($Z99&lt;&gt;"",EDATE($D99,Milestones!$AA$107)&gt;=$Z99),$AC99,IF(AND($Y99&lt;&gt;"",EDATE($D99,Milestones!$AA$107)&gt;=$Y99),$AB99,$AA99)))=Milestones!$AB$107),UPPER(TEXT(EDATE($D99,Milestones!$AA$107),"dd mmm yy"))&amp;" "&amp;Milestones!$AB$107&amp;" "&amp;IF(AND(Milestones!$AB$107="FT",Milestones!$AA$107=FT_Y5,EDATE($D99,Milestones!$AA$107)&lt;PolicyEff),1,Milestones!$AC$107)&amp;";  ","")&amp;IF(AND(EDATE($D99,Milestones!$AA$108)&lt;=AsOfDate,EDATE($D99,Milestones!$AA$108)&gt;=SchemeStart,IF($X99=0,$AD99,IF(AND($Z99&lt;&gt;"",EDATE($D99,Milestones!$AA$108)&gt;=$Z99),$AC99,IF(AND($Y99&lt;&gt;"",EDATE($D99,Milestones!$AA$108)&gt;=$Y99),$AB99,$AA99)))=Milestones!$AB$108),UPPER(TEXT(EDATE($D99,Milestones!$AA$108),"dd mmm yy"))&amp;" "&amp;Milestones!$AB$108&amp;" "&amp;IF(AND(Milestones!$AB$108="FT",Milestones!$AA$108=FT_Y5,EDATE($D99,Milestones!$AA$108)&lt;PolicyEff),1,Milestones!$AC$108)&amp;";  ","")&amp;IF(AND(EDATE($D99,Milestones!$AA$109)&lt;=AsOfDate,EDATE($D99,Milestones!$AA$109)&gt;=SchemeStart,IF($X99=0,$AD99,IF(AND($Z99&lt;&gt;"",EDATE($D99,Milestones!$AA$109)&gt;=$Z99),$AC99,IF(AND($Y99&lt;&gt;"",EDATE($D99,Milestones!$AA$109)&gt;=$Y99),$AB99,$AA99)))=Milestones!$AB$109),UPPER(TEXT(EDATE($D99,Milestones!$AA$109),"dd mmm yy"))&amp;" "&amp;Milestones!$AB$109&amp;" "&amp;IF(AND(Milestones!$AB$109="FT",Milestones!$AA$109=FT_Y5,EDATE($D99,Milestones!$AA$109)&lt;PolicyEff),1,Milestones!$AC$109)&amp;";  ","")&amp;IF(AND(EDATE($D99,Milestones!$AA$110)&lt;=AsOfDate,EDATE($D99,Milestones!$AA$110)&gt;=SchemeStart,IF($X99=0,$AD99,IF(AND($Z99&lt;&gt;"",EDATE($D99,Milestones!$AA$110)&gt;=$Z99),$AC99,IF(AND($Y99&lt;&gt;"",EDATE($D99,Milestones!$AA$110)&gt;=$Y99),$AB99,$AA99)))=Milestones!$AB$110),UPPER(TEXT(EDATE($D99,Milestones!$AA$110),"dd mmm yy"))&amp;" "&amp;Milestones!$AB$110&amp;" "&amp;IF(AND(Milestones!$AB$110="FT",Milestones!$AA$110=FT_Y5,EDATE($D99,Milestones!$AA$110)&lt;PolicyEff),1,Milestones!$AC$110)&amp;";  ","")&amp;IF(AND(EDATE($D99,Milestones!$AA$111)&lt;=AsOfDate,EDATE($D99,Milestones!$AA$111)&gt;=SchemeStart,IF($X99=0,$AD99,IF(AND($Z99&lt;&gt;"",EDATE($D99,Milestones!$AA$111)&gt;=$Z99),$AC99,IF(AND($Y99&lt;&gt;"",EDATE($D99,Milestones!$AA$111)&gt;=$Y99),$AB99,$AA99)))=Milestones!$AB$111),UPPER(TEXT(EDATE($D99,Milestones!$AA$111),"dd mmm yy"))&amp;" "&amp;Milestones!$AB$111&amp;" "&amp;IF(AND(Milestones!$AB$111="FT",Milestones!$AA$111=FT_Y5,EDATE($D99,Milestones!$AA$111)&lt;PolicyEff),1,Milestones!$AC$111)&amp;";  ","")&amp;IF(AND(EDATE($D99,Milestones!$AA$112)&lt;=AsOfDate,EDATE($D99,Milestones!$AA$112)&gt;=SchemeStart,IF($X99=0,$AD99,IF(AND($Z99&lt;&gt;"",EDATE($D99,Milestones!$AA$112)&gt;=$Z99),$AC99,IF(AND($Y99&lt;&gt;"",EDATE($D99,Milestones!$AA$112)&gt;=$Y99),$AB99,$AA99)))=Milestones!$AB$112),UPPER(TEXT(EDATE($D99,Milestones!$AA$112),"dd mmm yy"))&amp;" "&amp;Milestones!$AB$112&amp;" "&amp;IF(AND(Milestones!$AB$112="FT",Milestones!$AA$112=FT_Y5,EDATE($D99,Milestones!$AA$112)&lt;PolicyEff),1,Milestones!$AC$112)&amp;";  ","")&amp;IF(AND(EDATE($D99,Milestones!$AA$113)&lt;=AsOfDate,EDATE($D99,Milestones!$AA$113)&gt;=SchemeStart,IF($X99=0,$AD99,IF(AND($Z99&lt;&gt;"",EDATE($D99,Milestones!$AA$113)&gt;=$Z99),$AC99,IF(AND($Y99&lt;&gt;"",EDATE($D99,Milestones!$AA$113)&gt;=$Y99),$AB99,$AA99)))=Milestones!$AB$113),UPPER(TEXT(EDATE($D99,Milestones!$AA$113),"dd mmm yy"))&amp;" "&amp;Milestones!$AB$113&amp;" "&amp;IF(AND(Milestones!$AB$113="FT",Milestones!$AA$113=FT_Y5,EDATE($D99,Milestones!$AA$113)&lt;PolicyEff),1,Milestones!$AC$113)&amp;";  ","")&amp;IF(AND(EDATE($D99,Milestones!$AA$114)&lt;=AsOfDate,EDATE($D99,Milestones!$AA$114)&gt;=SchemeStart,IF($X99=0,$AD99,IF(AND($Z99&lt;&gt;"",EDATE($D99,Milestones!$AA$114)&gt;=$Z99),$AC99,IF(AND($Y99&lt;&gt;"",EDATE($D99,Milestones!$AA$114)&gt;=$Y99),$AB99,$AA99)))=Milestones!$AB$114),UPPER(TEXT(EDATE($D99,Milestones!$AA$114),"dd mmm yy"))&amp;" "&amp;Milestones!$AB$114&amp;" "&amp;IF(AND(Milestones!$AB$114="FT",Milestones!$AA$114=FT_Y5,EDATE($D99,Milestones!$AA$114)&lt;PolicyEff),1,Milestones!$AC$114)&amp;";  ","")&amp;IF(AND(EDATE($D99,Milestones!$AA$115)&lt;=AsOfDate,EDATE($D99,Milestones!$AA$115)&gt;=SchemeStart,IF($X99=0,$AD99,IF(AND($Z99&lt;&gt;"",EDATE($D99,Milestones!$AA$115)&gt;=$Z99),$AC99,IF(AND($Y99&lt;&gt;"",EDATE($D99,Milestones!$AA$115)&gt;=$Y99),$AB99,$AA99)))=Milestones!$AB$115),UPPER(TEXT(EDATE($D99,Milestones!$AA$115),"dd mmm yy"))&amp;" "&amp;Milestones!$AB$115&amp;" "&amp;IF(AND(Milestones!$AB$115="FT",Milestones!$AA$115=FT_Y5,EDATE($D99,Milestones!$AA$115)&lt;PolicyEff),1,Milestones!$AC$115)&amp;";  ",""))</f>
        <v/>
      </c>
      <c r="Q99" s="0" t="str">
        <f aca="false">IF(OR($A99="",$D99=""),"",IF(AND(EDATE($D99,Milestones!$AA$116)&lt;=AsOfDate,EDATE($D99,Milestones!$AA$116)&gt;=SchemeStart,IF($X99=0,$AD99,IF(AND($Z99&lt;&gt;"",EDATE($D99,Milestones!$AA$116)&gt;=$Z99),$AC99,IF(AND($Y99&lt;&gt;"",EDATE($D99,Milestones!$AA$116)&gt;=$Y99),$AB99,$AA99)))=Milestones!$AB$116),UPPER(TEXT(EDATE($D99,Milestones!$AA$116),"dd mmm yy"))&amp;" "&amp;Milestones!$AB$116&amp;" "&amp;IF(AND(Milestones!$AB$116="FT",Milestones!$AA$116=FT_Y5,EDATE($D99,Milestones!$AA$116)&lt;PolicyEff),1,Milestones!$AC$116)&amp;";  ","")&amp;IF(AND(EDATE($D99,Milestones!$AA$117)&lt;=AsOfDate,EDATE($D99,Milestones!$AA$117)&gt;=SchemeStart,IF($X99=0,$AD99,IF(AND($Z99&lt;&gt;"",EDATE($D99,Milestones!$AA$117)&gt;=$Z99),$AC99,IF(AND($Y99&lt;&gt;"",EDATE($D99,Milestones!$AA$117)&gt;=$Y99),$AB99,$AA99)))=Milestones!$AB$117),UPPER(TEXT(EDATE($D99,Milestones!$AA$117),"dd mmm yy"))&amp;" "&amp;Milestones!$AB$117&amp;" "&amp;IF(AND(Milestones!$AB$117="FT",Milestones!$AA$117=FT_Y5,EDATE($D99,Milestones!$AA$117)&lt;PolicyEff),1,Milestones!$AC$117)&amp;";  ","")&amp;IF(AND(EDATE($D99,Milestones!$AA$118)&lt;=AsOfDate,EDATE($D99,Milestones!$AA$118)&gt;=SchemeStart,IF($X99=0,$AD99,IF(AND($Z99&lt;&gt;"",EDATE($D99,Milestones!$AA$118)&gt;=$Z99),$AC99,IF(AND($Y99&lt;&gt;"",EDATE($D99,Milestones!$AA$118)&gt;=$Y99),$AB99,$AA99)))=Milestones!$AB$118),UPPER(TEXT(EDATE($D99,Milestones!$AA$118),"dd mmm yy"))&amp;" "&amp;Milestones!$AB$118&amp;" "&amp;IF(AND(Milestones!$AB$118="FT",Milestones!$AA$118=FT_Y5,EDATE($D99,Milestones!$AA$118)&lt;PolicyEff),1,Milestones!$AC$118)&amp;";  ","")&amp;IF(AND(EDATE($D99,Milestones!$AA$119)&lt;=AsOfDate,EDATE($D99,Milestones!$AA$119)&gt;=SchemeStart,IF($X99=0,$AD99,IF(AND($Z99&lt;&gt;"",EDATE($D99,Milestones!$AA$119)&gt;=$Z99),$AC99,IF(AND($Y99&lt;&gt;"",EDATE($D99,Milestones!$AA$119)&gt;=$Y99),$AB99,$AA99)))=Milestones!$AB$119),UPPER(TEXT(EDATE($D99,Milestones!$AA$119),"dd mmm yy"))&amp;" "&amp;Milestones!$AB$119&amp;" "&amp;IF(AND(Milestones!$AB$119="FT",Milestones!$AA$119=FT_Y5,EDATE($D99,Milestones!$AA$119)&lt;PolicyEff),1,Milestones!$AC$119)&amp;";  ","")&amp;IF(AND(EDATE($D99,Milestones!$AA$120)&lt;=AsOfDate,EDATE($D99,Milestones!$AA$120)&gt;=SchemeStart,IF($X99=0,$AD99,IF(AND($Z99&lt;&gt;"",EDATE($D99,Milestones!$AA$120)&gt;=$Z99),$AC99,IF(AND($Y99&lt;&gt;"",EDATE($D99,Milestones!$AA$120)&gt;=$Y99),$AB99,$AA99)))=Milestones!$AB$120),UPPER(TEXT(EDATE($D99,Milestones!$AA$120),"dd mmm yy"))&amp;" "&amp;Milestones!$AB$120&amp;" "&amp;IF(AND(Milestones!$AB$120="FT",Milestones!$AA$120=FT_Y5,EDATE($D99,Milestones!$AA$120)&lt;PolicyEff),1,Milestones!$AC$120)&amp;";  ","")&amp;IF(AND(EDATE($D99,Milestones!$AA$121)&lt;=AsOfDate,EDATE($D99,Milestones!$AA$121)&gt;=SchemeStart,IF($X99=0,$AD99,IF(AND($Z99&lt;&gt;"",EDATE($D99,Milestones!$AA$121)&gt;=$Z99),$AC99,IF(AND($Y99&lt;&gt;"",EDATE($D99,Milestones!$AA$121)&gt;=$Y99),$AB99,$AA99)))=Milestones!$AB$121),UPPER(TEXT(EDATE($D99,Milestones!$AA$121),"dd mmm yy"))&amp;" "&amp;Milestones!$AB$121&amp;" "&amp;IF(AND(Milestones!$AB$121="FT",Milestones!$AA$121=FT_Y5,EDATE($D99,Milestones!$AA$121)&lt;PolicyEff),1,Milestones!$AC$121)&amp;";  ","")&amp;IF(AND(EDATE($D99,Milestones!$AA$122)&lt;=AsOfDate,EDATE($D99,Milestones!$AA$122)&gt;=SchemeStart,IF($X99=0,$AD99,IF(AND($Z99&lt;&gt;"",EDATE($D99,Milestones!$AA$122)&gt;=$Z99),$AC99,IF(AND($Y99&lt;&gt;"",EDATE($D99,Milestones!$AA$122)&gt;=$Y99),$AB99,$AA99)))=Milestones!$AB$122),UPPER(TEXT(EDATE($D99,Milestones!$AA$122),"dd mmm yy"))&amp;" "&amp;Milestones!$AB$122&amp;" "&amp;IF(AND(Milestones!$AB$122="FT",Milestones!$AA$122=FT_Y5,EDATE($D99,Milestones!$AA$122)&lt;PolicyEff),1,Milestones!$AC$122)&amp;";  ","")&amp;IF(AND(EDATE($D99,Milestones!$AA$123)&lt;=AsOfDate,EDATE($D99,Milestones!$AA$123)&gt;=SchemeStart,IF($X99=0,$AD99,IF(AND($Z99&lt;&gt;"",EDATE($D99,Milestones!$AA$123)&gt;=$Z99),$AC99,IF(AND($Y99&lt;&gt;"",EDATE($D99,Milestones!$AA$123)&gt;=$Y99),$AB99,$AA99)))=Milestones!$AB$123),UPPER(TEXT(EDATE($D99,Milestones!$AA$123),"dd mmm yy"))&amp;" "&amp;Milestones!$AB$123&amp;" "&amp;IF(AND(Milestones!$AB$123="FT",Milestones!$AA$123=FT_Y5,EDATE($D99,Milestones!$AA$123)&lt;PolicyEff),1,Milestones!$AC$123)&amp;";  ","")&amp;IF(AND(EDATE($D99,Milestones!$AA$124)&lt;=AsOfDate,EDATE($D99,Milestones!$AA$124)&gt;=SchemeStart,IF($X99=0,$AD99,IF(AND($Z99&lt;&gt;"",EDATE($D99,Milestones!$AA$124)&gt;=$Z99),$AC99,IF(AND($Y99&lt;&gt;"",EDATE($D99,Milestones!$AA$124)&gt;=$Y99),$AB99,$AA99)))=Milestones!$AB$124),UPPER(TEXT(EDATE($D99,Milestones!$AA$124),"dd mmm yy"))&amp;" "&amp;Milestones!$AB$124&amp;" "&amp;IF(AND(Milestones!$AB$124="FT",Milestones!$AA$124=FT_Y5,EDATE($D99,Milestones!$AA$124)&lt;PolicyEff),1,Milestones!$AC$124)&amp;";  ","")&amp;IF(AND(EDATE($D99,Milestones!$AA$125)&lt;=AsOfDate,EDATE($D99,Milestones!$AA$125)&gt;=SchemeStart,IF($X99=0,$AD99,IF(AND($Z99&lt;&gt;"",EDATE($D99,Milestones!$AA$125)&gt;=$Z99),$AC99,IF(AND($Y99&lt;&gt;"",EDATE($D99,Milestones!$AA$125)&gt;=$Y99),$AB99,$AA99)))=Milestones!$AB$125),UPPER(TEXT(EDATE($D99,Milestones!$AA$125),"dd mmm yy"))&amp;" "&amp;Milestones!$AB$125&amp;" "&amp;IF(AND(Milestones!$AB$125="FT",Milestones!$AA$125=FT_Y5,EDATE($D99,Milestones!$AA$125)&lt;PolicyEff),1,Milestones!$AC$125)&amp;";  ","")&amp;IF(AND(EDATE($D99,Milestones!$AA$126)&lt;=AsOfDate,EDATE($D99,Milestones!$AA$126)&gt;=SchemeStart,IF($X99=0,$AD99,IF(AND($Z99&lt;&gt;"",EDATE($D99,Milestones!$AA$126)&gt;=$Z99),$AC99,IF(AND($Y99&lt;&gt;"",EDATE($D99,Milestones!$AA$126)&gt;=$Y99),$AB99,$AA99)))=Milestones!$AB$126),UPPER(TEXT(EDATE($D99,Milestones!$AA$126),"dd mmm yy"))&amp;" "&amp;Milestones!$AB$126&amp;" "&amp;IF(AND(Milestones!$AB$126="FT",Milestones!$AA$126=FT_Y5,EDATE($D99,Milestones!$AA$126)&lt;PolicyEff),1,Milestones!$AC$126)&amp;";  ","")&amp;IF(AND(EDATE($D99,Milestones!$AA$127)&lt;=AsOfDate,EDATE($D99,Milestones!$AA$127)&gt;=SchemeStart,IF($X99=0,$AD99,IF(AND($Z99&lt;&gt;"",EDATE($D99,Milestones!$AA$127)&gt;=$Z99),$AC99,IF(AND($Y99&lt;&gt;"",EDATE($D99,Milestones!$AA$127)&gt;=$Y99),$AB99,$AA99)))=Milestones!$AB$127),UPPER(TEXT(EDATE($D99,Milestones!$AA$127),"dd mmm yy"))&amp;" "&amp;Milestones!$AB$127&amp;" "&amp;IF(AND(Milestones!$AB$127="FT",Milestones!$AA$127=FT_Y5,EDATE($D99,Milestones!$AA$127)&lt;PolicyEff),1,Milestones!$AC$127)&amp;";  ",""))</f>
        <v/>
      </c>
      <c r="R99" s="0" t="str">
        <f aca="false">IF(OR($A99="",$D99=""),"",IF(AND(EDATE($D99,Milestones!$AA$128)&lt;=AsOfDate,EDATE($D99,Milestones!$AA$128)&gt;=SchemeStart,IF($X99=0,$AD99,IF(AND($Z99&lt;&gt;"",EDATE($D99,Milestones!$AA$128)&gt;=$Z99),$AC99,IF(AND($Y99&lt;&gt;"",EDATE($D99,Milestones!$AA$128)&gt;=$Y99),$AB99,$AA99)))=Milestones!$AB$128),UPPER(TEXT(EDATE($D99,Milestones!$AA$128),"dd mmm yy"))&amp;" "&amp;Milestones!$AB$128&amp;" "&amp;IF(AND(Milestones!$AB$128="FT",Milestones!$AA$128=FT_Y5,EDATE($D99,Milestones!$AA$128)&lt;PolicyEff),1,Milestones!$AC$128)&amp;";  ","")&amp;IF(AND(EDATE($D99,Milestones!$AA$129)&lt;=AsOfDate,EDATE($D99,Milestones!$AA$129)&gt;=SchemeStart,IF($X99=0,$AD99,IF(AND($Z99&lt;&gt;"",EDATE($D99,Milestones!$AA$129)&gt;=$Z99),$AC99,IF(AND($Y99&lt;&gt;"",EDATE($D99,Milestones!$AA$129)&gt;=$Y99),$AB99,$AA99)))=Milestones!$AB$129),UPPER(TEXT(EDATE($D99,Milestones!$AA$129),"dd mmm yy"))&amp;" "&amp;Milestones!$AB$129&amp;" "&amp;IF(AND(Milestones!$AB$129="FT",Milestones!$AA$129=FT_Y5,EDATE($D99,Milestones!$AA$129)&lt;PolicyEff),1,Milestones!$AC$129)&amp;";  ","")&amp;IF(AND(EDATE($D99,Milestones!$AA$130)&lt;=AsOfDate,EDATE($D99,Milestones!$AA$130)&gt;=SchemeStart,IF($X99=0,$AD99,IF(AND($Z99&lt;&gt;"",EDATE($D99,Milestones!$AA$130)&gt;=$Z99),$AC99,IF(AND($Y99&lt;&gt;"",EDATE($D99,Milestones!$AA$130)&gt;=$Y99),$AB99,$AA99)))=Milestones!$AB$130),UPPER(TEXT(EDATE($D99,Milestones!$AA$130),"dd mmm yy"))&amp;" "&amp;Milestones!$AB$130&amp;" "&amp;IF(AND(Milestones!$AB$130="FT",Milestones!$AA$130=FT_Y5,EDATE($D99,Milestones!$AA$130)&lt;PolicyEff),1,Milestones!$AC$130)&amp;";  ","")&amp;IF(AND(EDATE($D99,Milestones!$AA$131)&lt;=AsOfDate,EDATE($D99,Milestones!$AA$131)&gt;=SchemeStart,IF($X99=0,$AD99,IF(AND($Z99&lt;&gt;"",EDATE($D99,Milestones!$AA$131)&gt;=$Z99),$AC99,IF(AND($Y99&lt;&gt;"",EDATE($D99,Milestones!$AA$131)&gt;=$Y99),$AB99,$AA99)))=Milestones!$AB$131),UPPER(TEXT(EDATE($D99,Milestones!$AA$131),"dd mmm yy"))&amp;" "&amp;Milestones!$AB$131&amp;" "&amp;IF(AND(Milestones!$AB$131="FT",Milestones!$AA$131=FT_Y5,EDATE($D99,Milestones!$AA$131)&lt;PolicyEff),1,Milestones!$AC$131)&amp;";  ","")&amp;IF(AND(EDATE($D99,Milestones!$AA$132)&lt;=AsOfDate,EDATE($D99,Milestones!$AA$132)&gt;=SchemeStart,IF($X99=0,$AD99,IF(AND($Z99&lt;&gt;"",EDATE($D99,Milestones!$AA$132)&gt;=$Z99),$AC99,IF(AND($Y99&lt;&gt;"",EDATE($D99,Milestones!$AA$132)&gt;=$Y99),$AB99,$AA99)))=Milestones!$AB$132),UPPER(TEXT(EDATE($D99,Milestones!$AA$132),"dd mmm yy"))&amp;" "&amp;Milestones!$AB$132&amp;" "&amp;IF(AND(Milestones!$AB$132="FT",Milestones!$AA$132=FT_Y5,EDATE($D99,Milestones!$AA$132)&lt;PolicyEff),1,Milestones!$AC$132)&amp;";  ","")&amp;IF(AND(EDATE($D99,Milestones!$AA$133)&lt;=AsOfDate,EDATE($D99,Milestones!$AA$133)&gt;=SchemeStart,IF($X99=0,$AD99,IF(AND($Z99&lt;&gt;"",EDATE($D99,Milestones!$AA$133)&gt;=$Z99),$AC99,IF(AND($Y99&lt;&gt;"",EDATE($D99,Milestones!$AA$133)&gt;=$Y99),$AB99,$AA99)))=Milestones!$AB$133),UPPER(TEXT(EDATE($D99,Milestones!$AA$133),"dd mmm yy"))&amp;" "&amp;Milestones!$AB$133&amp;" "&amp;IF(AND(Milestones!$AB$133="FT",Milestones!$AA$133=FT_Y5,EDATE($D99,Milestones!$AA$133)&lt;PolicyEff),1,Milestones!$AC$133)&amp;";  ","")&amp;IF(AND(EDATE($D99,Milestones!$AA$134)&lt;=AsOfDate,EDATE($D99,Milestones!$AA$134)&gt;=SchemeStart,IF($X99=0,$AD99,IF(AND($Z99&lt;&gt;"",EDATE($D99,Milestones!$AA$134)&gt;=$Z99),$AC99,IF(AND($Y99&lt;&gt;"",EDATE($D99,Milestones!$AA$134)&gt;=$Y99),$AB99,$AA99)))=Milestones!$AB$134),UPPER(TEXT(EDATE($D99,Milestones!$AA$134),"dd mmm yy"))&amp;" "&amp;Milestones!$AB$134&amp;" "&amp;IF(AND(Milestones!$AB$134="FT",Milestones!$AA$134=FT_Y5,EDATE($D99,Milestones!$AA$134)&lt;PolicyEff),1,Milestones!$AC$134)&amp;";  ","")&amp;IF(AND(EDATE($D99,Milestones!$AA$135)&lt;=AsOfDate,EDATE($D99,Milestones!$AA$135)&gt;=SchemeStart,IF($X99=0,$AD99,IF(AND($Z99&lt;&gt;"",EDATE($D99,Milestones!$AA$135)&gt;=$Z99),$AC99,IF(AND($Y99&lt;&gt;"",EDATE($D99,Milestones!$AA$135)&gt;=$Y99),$AB99,$AA99)))=Milestones!$AB$135),UPPER(TEXT(EDATE($D99,Milestones!$AA$135),"dd mmm yy"))&amp;" "&amp;Milestones!$AB$135&amp;" "&amp;IF(AND(Milestones!$AB$135="FT",Milestones!$AA$135=FT_Y5,EDATE($D99,Milestones!$AA$135)&lt;PolicyEff),1,Milestones!$AC$135)&amp;";  ","")&amp;IF(AND(EDATE($D99,Milestones!$AA$136)&lt;=AsOfDate,EDATE($D99,Milestones!$AA$136)&gt;=SchemeStart,IF($X99=0,$AD99,IF(AND($Z99&lt;&gt;"",EDATE($D99,Milestones!$AA$136)&gt;=$Z99),$AC99,IF(AND($Y99&lt;&gt;"",EDATE($D99,Milestones!$AA$136)&gt;=$Y99),$AB99,$AA99)))=Milestones!$AB$136),UPPER(TEXT(EDATE($D99,Milestones!$AA$136),"dd mmm yy"))&amp;" "&amp;Milestones!$AB$136&amp;" "&amp;IF(AND(Milestones!$AB$136="FT",Milestones!$AA$136=FT_Y5,EDATE($D99,Milestones!$AA$136)&lt;PolicyEff),1,Milestones!$AC$136)&amp;";  ","")&amp;IF(AND(EDATE($D99,Milestones!$AA$137)&lt;=AsOfDate,EDATE($D99,Milestones!$AA$137)&gt;=SchemeStart,IF($X99=0,$AD99,IF(AND($Z99&lt;&gt;"",EDATE($D99,Milestones!$AA$137)&gt;=$Z99),$AC99,IF(AND($Y99&lt;&gt;"",EDATE($D99,Milestones!$AA$137)&gt;=$Y99),$AB99,$AA99)))=Milestones!$AB$137),UPPER(TEXT(EDATE($D99,Milestones!$AA$137),"dd mmm yy"))&amp;" "&amp;Milestones!$AB$137&amp;" "&amp;IF(AND(Milestones!$AB$137="FT",Milestones!$AA$137=FT_Y5,EDATE($D99,Milestones!$AA$137)&lt;PolicyEff),1,Milestones!$AC$137)&amp;";  ","")&amp;IF(AND(EDATE($D99,Milestones!$AA$138)&lt;=AsOfDate,EDATE($D99,Milestones!$AA$138)&gt;=SchemeStart,IF($X99=0,$AD99,IF(AND($Z99&lt;&gt;"",EDATE($D99,Milestones!$AA$138)&gt;=$Z99),$AC99,IF(AND($Y99&lt;&gt;"",EDATE($D99,Milestones!$AA$138)&gt;=$Y99),$AB99,$AA99)))=Milestones!$AB$138),UPPER(TEXT(EDATE($D99,Milestones!$AA$138),"dd mmm yy"))&amp;" "&amp;Milestones!$AB$138&amp;" "&amp;IF(AND(Milestones!$AB$138="FT",Milestones!$AA$138=FT_Y5,EDATE($D99,Milestones!$AA$138)&lt;PolicyEff),1,Milestones!$AC$138)&amp;";  ","")&amp;IF(AND(EDATE($D99,Milestones!$AA$139)&lt;=AsOfDate,EDATE($D99,Milestones!$AA$139)&gt;=SchemeStart,IF($X99=0,$AD99,IF(AND($Z99&lt;&gt;"",EDATE($D99,Milestones!$AA$139)&gt;=$Z99),$AC99,IF(AND($Y99&lt;&gt;"",EDATE($D99,Milestones!$AA$139)&gt;=$Y99),$AB99,$AA99)))=Milestones!$AB$139),UPPER(TEXT(EDATE($D99,Milestones!$AA$139),"dd mmm yy"))&amp;" "&amp;Milestones!$AB$139&amp;" "&amp;IF(AND(Milestones!$AB$139="FT",Milestones!$AA$139=FT_Y5,EDATE($D99,Milestones!$AA$139)&lt;PolicyEff),1,Milestones!$AC$139)&amp;";  ",""))</f>
        <v/>
      </c>
      <c r="S99" s="0" t="str">
        <f aca="false">IF(OR($A99="",$D99=""),"",IF(AND(EDATE($D99,Milestones!$AA$140)&lt;=AsOfDate,EDATE($D99,Milestones!$AA$140)&gt;=SchemeStart,IF($X99=0,$AD99,IF(AND($Z99&lt;&gt;"",EDATE($D99,Milestones!$AA$140)&gt;=$Z99),$AC99,IF(AND($Y99&lt;&gt;"",EDATE($D99,Milestones!$AA$140)&gt;=$Y99),$AB99,$AA99)))=Milestones!$AB$140),UPPER(TEXT(EDATE($D99,Milestones!$AA$140),"dd mmm yy"))&amp;" "&amp;Milestones!$AB$140&amp;" "&amp;IF(AND(Milestones!$AB$140="FT",Milestones!$AA$140=FT_Y5,EDATE($D99,Milestones!$AA$140)&lt;PolicyEff),1,Milestones!$AC$140)&amp;";  ","")&amp;IF(AND(EDATE($D99,Milestones!$AA$141)&lt;=AsOfDate,EDATE($D99,Milestones!$AA$141)&gt;=SchemeStart,IF($X99=0,$AD99,IF(AND($Z99&lt;&gt;"",EDATE($D99,Milestones!$AA$141)&gt;=$Z99),$AC99,IF(AND($Y99&lt;&gt;"",EDATE($D99,Milestones!$AA$141)&gt;=$Y99),$AB99,$AA99)))=Milestones!$AB$141),UPPER(TEXT(EDATE($D99,Milestones!$AA$141),"dd mmm yy"))&amp;" "&amp;Milestones!$AB$141&amp;" "&amp;IF(AND(Milestones!$AB$141="FT",Milestones!$AA$141=FT_Y5,EDATE($D99,Milestones!$AA$141)&lt;PolicyEff),1,Milestones!$AC$141)&amp;";  ","")&amp;IF(AND(EDATE($D99,Milestones!$AA$142)&lt;=AsOfDate,EDATE($D99,Milestones!$AA$142)&gt;=SchemeStart,IF($X99=0,$AD99,IF(AND($Z99&lt;&gt;"",EDATE($D99,Milestones!$AA$142)&gt;=$Z99),$AC99,IF(AND($Y99&lt;&gt;"",EDATE($D99,Milestones!$AA$142)&gt;=$Y99),$AB99,$AA99)))=Milestones!$AB$142),UPPER(TEXT(EDATE($D99,Milestones!$AA$142),"dd mmm yy"))&amp;" "&amp;Milestones!$AB$142&amp;" "&amp;IF(AND(Milestones!$AB$142="FT",Milestones!$AA$142=FT_Y5,EDATE($D99,Milestones!$AA$142)&lt;PolicyEff),1,Milestones!$AC$142)&amp;";  ","")&amp;IF(AND(EDATE($D99,Milestones!$AA$143)&lt;=AsOfDate,EDATE($D99,Milestones!$AA$143)&gt;=SchemeStart,IF($X99=0,$AD99,IF(AND($Z99&lt;&gt;"",EDATE($D99,Milestones!$AA$143)&gt;=$Z99),$AC99,IF(AND($Y99&lt;&gt;"",EDATE($D99,Milestones!$AA$143)&gt;=$Y99),$AB99,$AA99)))=Milestones!$AB$143),UPPER(TEXT(EDATE($D99,Milestones!$AA$143),"dd mmm yy"))&amp;" "&amp;Milestones!$AB$143&amp;" "&amp;IF(AND(Milestones!$AB$143="FT",Milestones!$AA$143=FT_Y5,EDATE($D99,Milestones!$AA$143)&lt;PolicyEff),1,Milestones!$AC$143)&amp;";  ","")&amp;IF(AND(EDATE($D99,Milestones!$AA$144)&lt;=AsOfDate,EDATE($D99,Milestones!$AA$144)&gt;=SchemeStart,IF($X99=0,$AD99,IF(AND($Z99&lt;&gt;"",EDATE($D99,Milestones!$AA$144)&gt;=$Z99),$AC99,IF(AND($Y99&lt;&gt;"",EDATE($D99,Milestones!$AA$144)&gt;=$Y99),$AB99,$AA99)))=Milestones!$AB$144),UPPER(TEXT(EDATE($D99,Milestones!$AA$144),"dd mmm yy"))&amp;" "&amp;Milestones!$AB$144&amp;" "&amp;IF(AND(Milestones!$AB$144="FT",Milestones!$AA$144=FT_Y5,EDATE($D99,Milestones!$AA$144)&lt;PolicyEff),1,Milestones!$AC$144)&amp;";  ","")&amp;IF(AND(EDATE($D99,Milestones!$AA$145)&lt;=AsOfDate,EDATE($D99,Milestones!$AA$145)&gt;=SchemeStart,IF($X99=0,$AD99,IF(AND($Z99&lt;&gt;"",EDATE($D99,Milestones!$AA$145)&gt;=$Z99),$AC99,IF(AND($Y99&lt;&gt;"",EDATE($D99,Milestones!$AA$145)&gt;=$Y99),$AB99,$AA99)))=Milestones!$AB$145),UPPER(TEXT(EDATE($D99,Milestones!$AA$145),"dd mmm yy"))&amp;" "&amp;Milestones!$AB$145&amp;" "&amp;IF(AND(Milestones!$AB$145="FT",Milestones!$AA$145=FT_Y5,EDATE($D99,Milestones!$AA$145)&lt;PolicyEff),1,Milestones!$AC$145)&amp;";  ","")&amp;IF(AND(EDATE($D99,Milestones!$AA$146)&lt;=AsOfDate,EDATE($D99,Milestones!$AA$146)&gt;=SchemeStart,IF($X99=0,$AD99,IF(AND($Z99&lt;&gt;"",EDATE($D99,Milestones!$AA$146)&gt;=$Z99),$AC99,IF(AND($Y99&lt;&gt;"",EDATE($D99,Milestones!$AA$146)&gt;=$Y99),$AB99,$AA99)))=Milestones!$AB$146),UPPER(TEXT(EDATE($D99,Milestones!$AA$146),"dd mmm yy"))&amp;" "&amp;Milestones!$AB$146&amp;" "&amp;IF(AND(Milestones!$AB$146="FT",Milestones!$AA$146=FT_Y5,EDATE($D99,Milestones!$AA$146)&lt;PolicyEff),1,Milestones!$AC$146)&amp;";  ","")&amp;IF(AND(EDATE($D99,Milestones!$AA$147)&lt;=AsOfDate,EDATE($D99,Milestones!$AA$147)&gt;=SchemeStart,IF($X99=0,$AD99,IF(AND($Z99&lt;&gt;"",EDATE($D99,Milestones!$AA$147)&gt;=$Z99),$AC99,IF(AND($Y99&lt;&gt;"",EDATE($D99,Milestones!$AA$147)&gt;=$Y99),$AB99,$AA99)))=Milestones!$AB$147),UPPER(TEXT(EDATE($D99,Milestones!$AA$147),"dd mmm yy"))&amp;" "&amp;Milestones!$AB$147&amp;" "&amp;IF(AND(Milestones!$AB$147="FT",Milestones!$AA$147=FT_Y5,EDATE($D99,Milestones!$AA$147)&lt;PolicyEff),1,Milestones!$AC$147)&amp;";  ","")&amp;IF(AND(EDATE($D99,Milestones!$AA$148)&lt;=AsOfDate,EDATE($D99,Milestones!$AA$148)&gt;=SchemeStart,IF($X99=0,$AD99,IF(AND($Z99&lt;&gt;"",EDATE($D99,Milestones!$AA$148)&gt;=$Z99),$AC99,IF(AND($Y99&lt;&gt;"",EDATE($D99,Milestones!$AA$148)&gt;=$Y99),$AB99,$AA99)))=Milestones!$AB$148),UPPER(TEXT(EDATE($D99,Milestones!$AA$148),"dd mmm yy"))&amp;" "&amp;Milestones!$AB$148&amp;" "&amp;IF(AND(Milestones!$AB$148="FT",Milestones!$AA$148=FT_Y5,EDATE($D99,Milestones!$AA$148)&lt;PolicyEff),1,Milestones!$AC$148)&amp;";  ","")&amp;IF(AND(EDATE($D99,Milestones!$AA$149)&lt;=AsOfDate,EDATE($D99,Milestones!$AA$149)&gt;=SchemeStart,IF($X99=0,$AD99,IF(AND($Z99&lt;&gt;"",EDATE($D99,Milestones!$AA$149)&gt;=$Z99),$AC99,IF(AND($Y99&lt;&gt;"",EDATE($D99,Milestones!$AA$149)&gt;=$Y99),$AB99,$AA99)))=Milestones!$AB$149),UPPER(TEXT(EDATE($D99,Milestones!$AA$149),"dd mmm yy"))&amp;" "&amp;Milestones!$AB$149&amp;" "&amp;IF(AND(Milestones!$AB$149="FT",Milestones!$AA$149=FT_Y5,EDATE($D99,Milestones!$AA$149)&lt;PolicyEff),1,Milestones!$AC$149)&amp;";  ","")&amp;IF(AND(EDATE($D99,Milestones!$AA$150)&lt;=AsOfDate,EDATE($D99,Milestones!$AA$150)&gt;=SchemeStart,IF($X99=0,$AD99,IF(AND($Z99&lt;&gt;"",EDATE($D99,Milestones!$AA$150)&gt;=$Z99),$AC99,IF(AND($Y99&lt;&gt;"",EDATE($D99,Milestones!$AA$150)&gt;=$Y99),$AB99,$AA99)))=Milestones!$AB$150),UPPER(TEXT(EDATE($D99,Milestones!$AA$150),"dd mmm yy"))&amp;" "&amp;Milestones!$AB$150&amp;" "&amp;IF(AND(Milestones!$AB$150="FT",Milestones!$AA$150=FT_Y5,EDATE($D99,Milestones!$AA$150)&lt;PolicyEff),1,Milestones!$AC$150)&amp;";  ","")&amp;IF(AND(EDATE($D99,Milestones!$AA$151)&lt;=AsOfDate,EDATE($D99,Milestones!$AA$151)&gt;=SchemeStart,IF($X99=0,$AD99,IF(AND($Z99&lt;&gt;"",EDATE($D99,Milestones!$AA$151)&gt;=$Z99),$AC99,IF(AND($Y99&lt;&gt;"",EDATE($D99,Milestones!$AA$151)&gt;=$Y99),$AB99,$AA99)))=Milestones!$AB$151),UPPER(TEXT(EDATE($D99,Milestones!$AA$151),"dd mmm yy"))&amp;" "&amp;Milestones!$AB$151&amp;" "&amp;IF(AND(Milestones!$AB$151="FT",Milestones!$AA$151=FT_Y5,EDATE($D99,Milestones!$AA$151)&lt;PolicyEff),1,Milestones!$AC$151)&amp;";  ",""))</f>
        <v/>
      </c>
      <c r="T99" s="0" t="str">
        <f aca="false">IF(OR($A99="",$D99=""),"",IF(AND(EDATE($D99,Milestones!$AA$152)&lt;=AsOfDate,EDATE($D99,Milestones!$AA$152)&gt;=SchemeStart,IF($X99=0,$AD99,IF(AND($Z99&lt;&gt;"",EDATE($D99,Milestones!$AA$152)&gt;=$Z99),$AC99,IF(AND($Y99&lt;&gt;"",EDATE($D99,Milestones!$AA$152)&gt;=$Y99),$AB99,$AA99)))=Milestones!$AB$152),UPPER(TEXT(EDATE($D99,Milestones!$AA$152),"dd mmm yy"))&amp;" "&amp;Milestones!$AB$152&amp;" "&amp;IF(AND(Milestones!$AB$152="FT",Milestones!$AA$152=FT_Y5,EDATE($D99,Milestones!$AA$152)&lt;PolicyEff),1,Milestones!$AC$152)&amp;";  ","")&amp;IF(AND(EDATE($D99,Milestones!$AA$153)&lt;=AsOfDate,EDATE($D99,Milestones!$AA$153)&gt;=SchemeStart,IF($X99=0,$AD99,IF(AND($Z99&lt;&gt;"",EDATE($D99,Milestones!$AA$153)&gt;=$Z99),$AC99,IF(AND($Y99&lt;&gt;"",EDATE($D99,Milestones!$AA$153)&gt;=$Y99),$AB99,$AA99)))=Milestones!$AB$153),UPPER(TEXT(EDATE($D99,Milestones!$AA$153),"dd mmm yy"))&amp;" "&amp;Milestones!$AB$153&amp;" "&amp;IF(AND(Milestones!$AB$153="FT",Milestones!$AA$153=FT_Y5,EDATE($D99,Milestones!$AA$153)&lt;PolicyEff),1,Milestones!$AC$153)&amp;";  ","")&amp;IF(AND(EDATE($D99,Milestones!$AA$154)&lt;=AsOfDate,EDATE($D99,Milestones!$AA$154)&gt;=SchemeStart,IF($X99=0,$AD99,IF(AND($Z99&lt;&gt;"",EDATE($D99,Milestones!$AA$154)&gt;=$Z99),$AC99,IF(AND($Y99&lt;&gt;"",EDATE($D99,Milestones!$AA$154)&gt;=$Y99),$AB99,$AA99)))=Milestones!$AB$154),UPPER(TEXT(EDATE($D99,Milestones!$AA$154),"dd mmm yy"))&amp;" "&amp;Milestones!$AB$154&amp;" "&amp;IF(AND(Milestones!$AB$154="FT",Milestones!$AA$154=FT_Y5,EDATE($D99,Milestones!$AA$154)&lt;PolicyEff),1,Milestones!$AC$154)&amp;";  ","")&amp;IF(AND(EDATE($D99,Milestones!$AA$155)&lt;=AsOfDate,EDATE($D99,Milestones!$AA$155)&gt;=SchemeStart,IF($X99=0,$AD99,IF(AND($Z99&lt;&gt;"",EDATE($D99,Milestones!$AA$155)&gt;=$Z99),$AC99,IF(AND($Y99&lt;&gt;"",EDATE($D99,Milestones!$AA$155)&gt;=$Y99),$AB99,$AA99)))=Milestones!$AB$155),UPPER(TEXT(EDATE($D99,Milestones!$AA$155),"dd mmm yy"))&amp;" "&amp;Milestones!$AB$155&amp;" "&amp;IF(AND(Milestones!$AB$155="FT",Milestones!$AA$155=FT_Y5,EDATE($D99,Milestones!$AA$155)&lt;PolicyEff),1,Milestones!$AC$155)&amp;";  ","")&amp;IF(AND(EDATE($D99,Milestones!$AA$156)&lt;=AsOfDate,EDATE($D99,Milestones!$AA$156)&gt;=SchemeStart,IF($X99=0,$AD99,IF(AND($Z99&lt;&gt;"",EDATE($D99,Milestones!$AA$156)&gt;=$Z99),$AC99,IF(AND($Y99&lt;&gt;"",EDATE($D99,Milestones!$AA$156)&gt;=$Y99),$AB99,$AA99)))=Milestones!$AB$156),UPPER(TEXT(EDATE($D99,Milestones!$AA$156),"dd mmm yy"))&amp;" "&amp;Milestones!$AB$156&amp;" "&amp;IF(AND(Milestones!$AB$156="FT",Milestones!$AA$156=FT_Y5,EDATE($D99,Milestones!$AA$156)&lt;PolicyEff),1,Milestones!$AC$156)&amp;";  ","")&amp;IF(AND(EDATE($D99,Milestones!$AA$157)&lt;=AsOfDate,EDATE($D99,Milestones!$AA$157)&gt;=SchemeStart,IF($X99=0,$AD99,IF(AND($Z99&lt;&gt;"",EDATE($D99,Milestones!$AA$157)&gt;=$Z99),$AC99,IF(AND($Y99&lt;&gt;"",EDATE($D99,Milestones!$AA$157)&gt;=$Y99),$AB99,$AA99)))=Milestones!$AB$157),UPPER(TEXT(EDATE($D99,Milestones!$AA$157),"dd mmm yy"))&amp;" "&amp;Milestones!$AB$157&amp;" "&amp;IF(AND(Milestones!$AB$157="FT",Milestones!$AA$157=FT_Y5,EDATE($D99,Milestones!$AA$157)&lt;PolicyEff),1,Milestones!$AC$157)&amp;";  ","")&amp;IF(AND(EDATE($D99,Milestones!$AA$158)&lt;=AsOfDate,EDATE($D99,Milestones!$AA$158)&gt;=SchemeStart,IF($X99=0,$AD99,IF(AND($Z99&lt;&gt;"",EDATE($D99,Milestones!$AA$158)&gt;=$Z99),$AC99,IF(AND($Y99&lt;&gt;"",EDATE($D99,Milestones!$AA$158)&gt;=$Y99),$AB99,$AA99)))=Milestones!$AB$158),UPPER(TEXT(EDATE($D99,Milestones!$AA$158),"dd mmm yy"))&amp;" "&amp;Milestones!$AB$158&amp;" "&amp;IF(AND(Milestones!$AB$158="FT",Milestones!$AA$158=FT_Y5,EDATE($D99,Milestones!$AA$158)&lt;PolicyEff),1,Milestones!$AC$158)&amp;";  ","")&amp;IF(AND(EDATE($D99,Milestones!$AA$159)&lt;=AsOfDate,EDATE($D99,Milestones!$AA$159)&gt;=SchemeStart,IF($X99=0,$AD99,IF(AND($Z99&lt;&gt;"",EDATE($D99,Milestones!$AA$159)&gt;=$Z99),$AC99,IF(AND($Y99&lt;&gt;"",EDATE($D99,Milestones!$AA$159)&gt;=$Y99),$AB99,$AA99)))=Milestones!$AB$159),UPPER(TEXT(EDATE($D99,Milestones!$AA$159),"dd mmm yy"))&amp;" "&amp;Milestones!$AB$159&amp;" "&amp;IF(AND(Milestones!$AB$159="FT",Milestones!$AA$159=FT_Y5,EDATE($D99,Milestones!$AA$159)&lt;PolicyEff),1,Milestones!$AC$159)&amp;";  ","")&amp;IF(AND(EDATE($D99,Milestones!$AA$160)&lt;=AsOfDate,EDATE($D99,Milestones!$AA$160)&gt;=SchemeStart,IF($X99=0,$AD99,IF(AND($Z99&lt;&gt;"",EDATE($D99,Milestones!$AA$160)&gt;=$Z99),$AC99,IF(AND($Y99&lt;&gt;"",EDATE($D99,Milestones!$AA$160)&gt;=$Y99),$AB99,$AA99)))=Milestones!$AB$160),UPPER(TEXT(EDATE($D99,Milestones!$AA$160),"dd mmm yy"))&amp;" "&amp;Milestones!$AB$160&amp;" "&amp;IF(AND(Milestones!$AB$160="FT",Milestones!$AA$160=FT_Y5,EDATE($D99,Milestones!$AA$160)&lt;PolicyEff),1,Milestones!$AC$160)&amp;";  ","")&amp;IF(AND(EDATE($D99,Milestones!$AA$161)&lt;=AsOfDate,EDATE($D99,Milestones!$AA$161)&gt;=SchemeStart,IF($X99=0,$AD99,IF(AND($Z99&lt;&gt;"",EDATE($D99,Milestones!$AA$161)&gt;=$Z99),$AC99,IF(AND($Y99&lt;&gt;"",EDATE($D99,Milestones!$AA$161)&gt;=$Y99),$AB99,$AA99)))=Milestones!$AB$161),UPPER(TEXT(EDATE($D99,Milestones!$AA$161),"dd mmm yy"))&amp;" "&amp;Milestones!$AB$161&amp;" "&amp;IF(AND(Milestones!$AB$161="FT",Milestones!$AA$161=FT_Y5,EDATE($D99,Milestones!$AA$161)&lt;PolicyEff),1,Milestones!$AC$161)&amp;";  ","")&amp;IF(AND(EDATE($D99,Milestones!$AA$162)&lt;=AsOfDate,EDATE($D99,Milestones!$AA$162)&gt;=SchemeStart,IF($X99=0,$AD99,IF(AND($Z99&lt;&gt;"",EDATE($D99,Milestones!$AA$162)&gt;=$Z99),$AC99,IF(AND($Y99&lt;&gt;"",EDATE($D99,Milestones!$AA$162)&gt;=$Y99),$AB99,$AA99)))=Milestones!$AB$162),UPPER(TEXT(EDATE($D99,Milestones!$AA$162),"dd mmm yy"))&amp;" "&amp;Milestones!$AB$162&amp;" "&amp;IF(AND(Milestones!$AB$162="FT",Milestones!$AA$162=FT_Y5,EDATE($D99,Milestones!$AA$162)&lt;PolicyEff),1,Milestones!$AC$162)&amp;";  ","")&amp;IF(AND(EDATE($D99,Milestones!$AA$163)&lt;=AsOfDate,EDATE($D99,Milestones!$AA$163)&gt;=SchemeStart,IF($X99=0,$AD99,IF(AND($Z99&lt;&gt;"",EDATE($D99,Milestones!$AA$163)&gt;=$Z99),$AC99,IF(AND($Y99&lt;&gt;"",EDATE($D99,Milestones!$AA$163)&gt;=$Y99),$AB99,$AA99)))=Milestones!$AB$163),UPPER(TEXT(EDATE($D99,Milestones!$AA$163),"dd mmm yy"))&amp;" "&amp;Milestones!$AB$163&amp;" "&amp;IF(AND(Milestones!$AB$163="FT",Milestones!$AA$163=FT_Y5,EDATE($D99,Milestones!$AA$163)&lt;PolicyEff),1,Milestones!$AC$163)&amp;";  ",""))</f>
        <v/>
      </c>
      <c r="U99" s="0" t="str">
        <f aca="false">IF(OR($A99="",$D99=""),"",IF(AND(EDATE($D99,Milestones!$AA$164)&lt;=AsOfDate,EDATE($D99,Milestones!$AA$164)&gt;=SchemeStart,IF($X99=0,$AD99,IF(AND($Z99&lt;&gt;"",EDATE($D99,Milestones!$AA$164)&gt;=$Z99),$AC99,IF(AND($Y99&lt;&gt;"",EDATE($D99,Milestones!$AA$164)&gt;=$Y99),$AB99,$AA99)))=Milestones!$AB$164),UPPER(TEXT(EDATE($D99,Milestones!$AA$164),"dd mmm yy"))&amp;" "&amp;Milestones!$AB$164&amp;" "&amp;IF(AND(Milestones!$AB$164="FT",Milestones!$AA$164=FT_Y5,EDATE($D99,Milestones!$AA$164)&lt;PolicyEff),1,Milestones!$AC$164)&amp;";  ","")&amp;IF(AND(EDATE($D99,Milestones!$AA$165)&lt;=AsOfDate,EDATE($D99,Milestones!$AA$165)&gt;=SchemeStart,IF($X99=0,$AD99,IF(AND($Z99&lt;&gt;"",EDATE($D99,Milestones!$AA$165)&gt;=$Z99),$AC99,IF(AND($Y99&lt;&gt;"",EDATE($D99,Milestones!$AA$165)&gt;=$Y99),$AB99,$AA99)))=Milestones!$AB$165),UPPER(TEXT(EDATE($D99,Milestones!$AA$165),"dd mmm yy"))&amp;" "&amp;Milestones!$AB$165&amp;" "&amp;IF(AND(Milestones!$AB$165="FT",Milestones!$AA$165=FT_Y5,EDATE($D99,Milestones!$AA$165)&lt;PolicyEff),1,Milestones!$AC$165)&amp;";  ","")&amp;IF(AND(EDATE($D99,Milestones!$AA$166)&lt;=AsOfDate,EDATE($D99,Milestones!$AA$166)&gt;=SchemeStart,IF($X99=0,$AD99,IF(AND($Z99&lt;&gt;"",EDATE($D99,Milestones!$AA$166)&gt;=$Z99),$AC99,IF(AND($Y99&lt;&gt;"",EDATE($D99,Milestones!$AA$166)&gt;=$Y99),$AB99,$AA99)))=Milestones!$AB$166),UPPER(TEXT(EDATE($D99,Milestones!$AA$166),"dd mmm yy"))&amp;" "&amp;Milestones!$AB$166&amp;" "&amp;IF(AND(Milestones!$AB$166="FT",Milestones!$AA$166=FT_Y5,EDATE($D99,Milestones!$AA$166)&lt;PolicyEff),1,Milestones!$AC$166)&amp;";  ","")&amp;IF(AND(EDATE($D99,Milestones!$AA$167)&lt;=AsOfDate,EDATE($D99,Milestones!$AA$167)&gt;=SchemeStart,IF($X99=0,$AD99,IF(AND($Z99&lt;&gt;"",EDATE($D99,Milestones!$AA$167)&gt;=$Z99),$AC99,IF(AND($Y99&lt;&gt;"",EDATE($D99,Milestones!$AA$167)&gt;=$Y99),$AB99,$AA99)))=Milestones!$AB$167),UPPER(TEXT(EDATE($D99,Milestones!$AA$167),"dd mmm yy"))&amp;" "&amp;Milestones!$AB$167&amp;" "&amp;IF(AND(Milestones!$AB$167="FT",Milestones!$AA$167=FT_Y5,EDATE($D99,Milestones!$AA$167)&lt;PolicyEff),1,Milestones!$AC$167)&amp;";  ","")&amp;IF(AND(EDATE($D99,Milestones!$AA$168)&lt;=AsOfDate,EDATE($D99,Milestones!$AA$168)&gt;=SchemeStart,IF($X99=0,$AD99,IF(AND($Z99&lt;&gt;"",EDATE($D99,Milestones!$AA$168)&gt;=$Z99),$AC99,IF(AND($Y99&lt;&gt;"",EDATE($D99,Milestones!$AA$168)&gt;=$Y99),$AB99,$AA99)))=Milestones!$AB$168),UPPER(TEXT(EDATE($D99,Milestones!$AA$168),"dd mmm yy"))&amp;" "&amp;Milestones!$AB$168&amp;" "&amp;IF(AND(Milestones!$AB$168="FT",Milestones!$AA$168=FT_Y5,EDATE($D99,Milestones!$AA$168)&lt;PolicyEff),1,Milestones!$AC$168)&amp;";  ","")&amp;IF(AND(EDATE($D99,Milestones!$AA$169)&lt;=AsOfDate,EDATE($D99,Milestones!$AA$169)&gt;=SchemeStart,IF($X99=0,$AD99,IF(AND($Z99&lt;&gt;"",EDATE($D99,Milestones!$AA$169)&gt;=$Z99),$AC99,IF(AND($Y99&lt;&gt;"",EDATE($D99,Milestones!$AA$169)&gt;=$Y99),$AB99,$AA99)))=Milestones!$AB$169),UPPER(TEXT(EDATE($D99,Milestones!$AA$169),"dd mmm yy"))&amp;" "&amp;Milestones!$AB$169&amp;" "&amp;IF(AND(Milestones!$AB$169="FT",Milestones!$AA$169=FT_Y5,EDATE($D99,Milestones!$AA$169)&lt;PolicyEff),1,Milestones!$AC$169)&amp;";  ","")&amp;IF(AND(EDATE($D99,Milestones!$AA$170)&lt;=AsOfDate,EDATE($D99,Milestones!$AA$170)&gt;=SchemeStart,IF($X99=0,$AD99,IF(AND($Z99&lt;&gt;"",EDATE($D99,Milestones!$AA$170)&gt;=$Z99),$AC99,IF(AND($Y99&lt;&gt;"",EDATE($D99,Milestones!$AA$170)&gt;=$Y99),$AB99,$AA99)))=Milestones!$AB$170),UPPER(TEXT(EDATE($D99,Milestones!$AA$170),"dd mmm yy"))&amp;" "&amp;Milestones!$AB$170&amp;" "&amp;IF(AND(Milestones!$AB$170="FT",Milestones!$AA$170=FT_Y5,EDATE($D99,Milestones!$AA$170)&lt;PolicyEff),1,Milestones!$AC$170)&amp;";  ","")&amp;IF(AND(EDATE($D99,Milestones!$AA$171)&lt;=AsOfDate,EDATE($D99,Milestones!$AA$171)&gt;=SchemeStart,IF($X99=0,$AD99,IF(AND($Z99&lt;&gt;"",EDATE($D99,Milestones!$AA$171)&gt;=$Z99),$AC99,IF(AND($Y99&lt;&gt;"",EDATE($D99,Milestones!$AA$171)&gt;=$Y99),$AB99,$AA99)))=Milestones!$AB$171),UPPER(TEXT(EDATE($D99,Milestones!$AA$171),"dd mmm yy"))&amp;" "&amp;Milestones!$AB$171&amp;" "&amp;IF(AND(Milestones!$AB$171="FT",Milestones!$AA$171=FT_Y5,EDATE($D99,Milestones!$AA$171)&lt;PolicyEff),1,Milestones!$AC$171)&amp;";  ","")&amp;IF(AND(EDATE($D99,Milestones!$AA$172)&lt;=AsOfDate,EDATE($D99,Milestones!$AA$172)&gt;=SchemeStart,IF($X99=0,$AD99,IF(AND($Z99&lt;&gt;"",EDATE($D99,Milestones!$AA$172)&gt;=$Z99),$AC99,IF(AND($Y99&lt;&gt;"",EDATE($D99,Milestones!$AA$172)&gt;=$Y99),$AB99,$AA99)))=Milestones!$AB$172),UPPER(TEXT(EDATE($D99,Milestones!$AA$172),"dd mmm yy"))&amp;" "&amp;Milestones!$AB$172&amp;" "&amp;IF(AND(Milestones!$AB$172="FT",Milestones!$AA$172=FT_Y5,EDATE($D99,Milestones!$AA$172)&lt;PolicyEff),1,Milestones!$AC$172)&amp;";  ","")&amp;IF(AND(EDATE($D99,Milestones!$AA$173)&lt;=AsOfDate,EDATE($D99,Milestones!$AA$173)&gt;=SchemeStart,IF($X99=0,$AD99,IF(AND($Z99&lt;&gt;"",EDATE($D99,Milestones!$AA$173)&gt;=$Z99),$AC99,IF(AND($Y99&lt;&gt;"",EDATE($D99,Milestones!$AA$173)&gt;=$Y99),$AB99,$AA99)))=Milestones!$AB$173),UPPER(TEXT(EDATE($D99,Milestones!$AA$173),"dd mmm yy"))&amp;" "&amp;Milestones!$AB$173&amp;" "&amp;IF(AND(Milestones!$AB$173="FT",Milestones!$AA$173=FT_Y5,EDATE($D99,Milestones!$AA$173)&lt;PolicyEff),1,Milestones!$AC$173)&amp;";  ","")&amp;IF(AND(EDATE($D99,Milestones!$AA$174)&lt;=AsOfDate,EDATE($D99,Milestones!$AA$174)&gt;=SchemeStart,IF($X99=0,$AD99,IF(AND($Z99&lt;&gt;"",EDATE($D99,Milestones!$AA$174)&gt;=$Z99),$AC99,IF(AND($Y99&lt;&gt;"",EDATE($D99,Milestones!$AA$174)&gt;=$Y99),$AB99,$AA99)))=Milestones!$AB$174),UPPER(TEXT(EDATE($D99,Milestones!$AA$174),"dd mmm yy"))&amp;" "&amp;Milestones!$AB$174&amp;" "&amp;IF(AND(Milestones!$AB$174="FT",Milestones!$AA$174=FT_Y5,EDATE($D99,Milestones!$AA$174)&lt;PolicyEff),1,Milestones!$AC$174)&amp;";  ","")&amp;IF(AND(EDATE($D99,Milestones!$AA$175)&lt;=AsOfDate,EDATE($D99,Milestones!$AA$175)&gt;=SchemeStart,IF($X99=0,$AD99,IF(AND($Z99&lt;&gt;"",EDATE($D99,Milestones!$AA$175)&gt;=$Z99),$AC99,IF(AND($Y99&lt;&gt;"",EDATE($D99,Milestones!$AA$175)&gt;=$Y99),$AB99,$AA99)))=Milestones!$AB$175),UPPER(TEXT(EDATE($D99,Milestones!$AA$175),"dd mmm yy"))&amp;" "&amp;Milestones!$AB$175&amp;" "&amp;IF(AND(Milestones!$AB$175="FT",Milestones!$AA$175=FT_Y5,EDATE($D99,Milestones!$AA$175)&lt;PolicyEff),1,Milestones!$AC$175)&amp;";  ",""))</f>
        <v/>
      </c>
      <c r="V99" s="0" t="str">
        <f aca="false">IF(OR($A99="",$D99=""),"",IF(AND(EDATE($D99,Milestones!$AA$176)&lt;=AsOfDate,EDATE($D99,Milestones!$AA$176)&gt;=SchemeStart,IF($X99=0,$AD99,IF(AND($Z99&lt;&gt;"",EDATE($D99,Milestones!$AA$176)&gt;=$Z99),$AC99,IF(AND($Y99&lt;&gt;"",EDATE($D99,Milestones!$AA$176)&gt;=$Y99),$AB99,$AA99)))=Milestones!$AB$176),UPPER(TEXT(EDATE($D99,Milestones!$AA$176),"dd mmm yy"))&amp;" "&amp;Milestones!$AB$176&amp;" "&amp;IF(AND(Milestones!$AB$176="FT",Milestones!$AA$176=FT_Y5,EDATE($D99,Milestones!$AA$176)&lt;PolicyEff),1,Milestones!$AC$176)&amp;";  ","")&amp;IF(AND(EDATE($D99,Milestones!$AA$177)&lt;=AsOfDate,EDATE($D99,Milestones!$AA$177)&gt;=SchemeStart,IF($X99=0,$AD99,IF(AND($Z99&lt;&gt;"",EDATE($D99,Milestones!$AA$177)&gt;=$Z99),$AC99,IF(AND($Y99&lt;&gt;"",EDATE($D99,Milestones!$AA$177)&gt;=$Y99),$AB99,$AA99)))=Milestones!$AB$177),UPPER(TEXT(EDATE($D99,Milestones!$AA$177),"dd mmm yy"))&amp;" "&amp;Milestones!$AB$177&amp;" "&amp;IF(AND(Milestones!$AB$177="FT",Milestones!$AA$177=FT_Y5,EDATE($D99,Milestones!$AA$177)&lt;PolicyEff),1,Milestones!$AC$177)&amp;";  ","")&amp;IF(AND(EDATE($D99,Milestones!$AA$178)&lt;=AsOfDate,EDATE($D99,Milestones!$AA$178)&gt;=SchemeStart,IF($X99=0,$AD99,IF(AND($Z99&lt;&gt;"",EDATE($D99,Milestones!$AA$178)&gt;=$Z99),$AC99,IF(AND($Y99&lt;&gt;"",EDATE($D99,Milestones!$AA$178)&gt;=$Y99),$AB99,$AA99)))=Milestones!$AB$178),UPPER(TEXT(EDATE($D99,Milestones!$AA$178),"dd mmm yy"))&amp;" "&amp;Milestones!$AB$178&amp;" "&amp;IF(AND(Milestones!$AB$178="FT",Milestones!$AA$178=FT_Y5,EDATE($D99,Milestones!$AA$178)&lt;PolicyEff),1,Milestones!$AC$178)&amp;";  ","")&amp;IF(AND(EDATE($D99,Milestones!$AA$179)&lt;=AsOfDate,EDATE($D99,Milestones!$AA$179)&gt;=SchemeStart,IF($X99=0,$AD99,IF(AND($Z99&lt;&gt;"",EDATE($D99,Milestones!$AA$179)&gt;=$Z99),$AC99,IF(AND($Y99&lt;&gt;"",EDATE($D99,Milestones!$AA$179)&gt;=$Y99),$AB99,$AA99)))=Milestones!$AB$179),UPPER(TEXT(EDATE($D99,Milestones!$AA$179),"dd mmm yy"))&amp;" "&amp;Milestones!$AB$179&amp;" "&amp;IF(AND(Milestones!$AB$179="FT",Milestones!$AA$179=FT_Y5,EDATE($D99,Milestones!$AA$179)&lt;PolicyEff),1,Milestones!$AC$179)&amp;";  ","")&amp;IF(AND(EDATE($D99,Milestones!$AA$180)&lt;=AsOfDate,EDATE($D99,Milestones!$AA$180)&gt;=SchemeStart,IF($X99=0,$AD99,IF(AND($Z99&lt;&gt;"",EDATE($D99,Milestones!$AA$180)&gt;=$Z99),$AC99,IF(AND($Y99&lt;&gt;"",EDATE($D99,Milestones!$AA$180)&gt;=$Y99),$AB99,$AA99)))=Milestones!$AB$180),UPPER(TEXT(EDATE($D99,Milestones!$AA$180),"dd mmm yy"))&amp;" "&amp;Milestones!$AB$180&amp;" "&amp;IF(AND(Milestones!$AB$180="FT",Milestones!$AA$180=FT_Y5,EDATE($D99,Milestones!$AA$180)&lt;PolicyEff),1,Milestones!$AC$180)&amp;";  ","")&amp;IF(AND(EDATE($D99,Milestones!$AA$181)&lt;=AsOfDate,EDATE($D99,Milestones!$AA$181)&gt;=SchemeStart,IF($X99=0,$AD99,IF(AND($Z99&lt;&gt;"",EDATE($D99,Milestones!$AA$181)&gt;=$Z99),$AC99,IF(AND($Y99&lt;&gt;"",EDATE($D99,Milestones!$AA$181)&gt;=$Y99),$AB99,$AA99)))=Milestones!$AB$181),UPPER(TEXT(EDATE($D99,Milestones!$AA$181),"dd mmm yy"))&amp;" "&amp;Milestones!$AB$181&amp;" "&amp;IF(AND(Milestones!$AB$181="FT",Milestones!$AA$181=FT_Y5,EDATE($D99,Milestones!$AA$181)&lt;PolicyEff),1,Milestones!$AC$181)&amp;";  ","")&amp;IF(AND(EDATE($D99,Milestones!$AA$182)&lt;=AsOfDate,EDATE($D99,Milestones!$AA$182)&gt;=SchemeStart,IF($X99=0,$AD99,IF(AND($Z99&lt;&gt;"",EDATE($D99,Milestones!$AA$182)&gt;=$Z99),$AC99,IF(AND($Y99&lt;&gt;"",EDATE($D99,Milestones!$AA$182)&gt;=$Y99),$AB99,$AA99)))=Milestones!$AB$182),UPPER(TEXT(EDATE($D99,Milestones!$AA$182),"dd mmm yy"))&amp;" "&amp;Milestones!$AB$182&amp;" "&amp;IF(AND(Milestones!$AB$182="FT",Milestones!$AA$182=FT_Y5,EDATE($D99,Milestones!$AA$182)&lt;PolicyEff),1,Milestones!$AC$182)&amp;";  ","")&amp;IF(AND(EDATE($D99,Milestones!$AA$183)&lt;=AsOfDate,EDATE($D99,Milestones!$AA$183)&gt;=SchemeStart,IF($X99=0,$AD99,IF(AND($Z99&lt;&gt;"",EDATE($D99,Milestones!$AA$183)&gt;=$Z99),$AC99,IF(AND($Y99&lt;&gt;"",EDATE($D99,Milestones!$AA$183)&gt;=$Y99),$AB99,$AA99)))=Milestones!$AB$183),UPPER(TEXT(EDATE($D99,Milestones!$AA$183),"dd mmm yy"))&amp;" "&amp;Milestones!$AB$183&amp;" "&amp;IF(AND(Milestones!$AB$183="FT",Milestones!$AA$183=FT_Y5,EDATE($D99,Milestones!$AA$183)&lt;PolicyEff),1,Milestones!$AC$183)&amp;";  ","")&amp;IF(AND(EDATE($D99,Milestones!$AA$184)&lt;=AsOfDate,EDATE($D99,Milestones!$AA$184)&gt;=SchemeStart,IF($X99=0,$AD99,IF(AND($Z99&lt;&gt;"",EDATE($D99,Milestones!$AA$184)&gt;=$Z99),$AC99,IF(AND($Y99&lt;&gt;"",EDATE($D99,Milestones!$AA$184)&gt;=$Y99),$AB99,$AA99)))=Milestones!$AB$184),UPPER(TEXT(EDATE($D99,Milestones!$AA$184),"dd mmm yy"))&amp;" "&amp;Milestones!$AB$184&amp;" "&amp;IF(AND(Milestones!$AB$184="FT",Milestones!$AA$184=FT_Y5,EDATE($D99,Milestones!$AA$184)&lt;PolicyEff),1,Milestones!$AC$184)&amp;";  ","")&amp;IF(AND(EDATE($D99,Milestones!$AA$185)&lt;=AsOfDate,EDATE($D99,Milestones!$AA$185)&gt;=SchemeStart,IF($X99=0,$AD99,IF(AND($Z99&lt;&gt;"",EDATE($D99,Milestones!$AA$185)&gt;=$Z99),$AC99,IF(AND($Y99&lt;&gt;"",EDATE($D99,Milestones!$AA$185)&gt;=$Y99),$AB99,$AA99)))=Milestones!$AB$185),UPPER(TEXT(EDATE($D99,Milestones!$AA$185),"dd mmm yy"))&amp;" "&amp;Milestones!$AB$185&amp;" "&amp;IF(AND(Milestones!$AB$185="FT",Milestones!$AA$185=FT_Y5,EDATE($D99,Milestones!$AA$185)&lt;PolicyEff),1,Milestones!$AC$185)&amp;";  ","")&amp;IF(AND(EDATE($D99,Milestones!$AA$186)&lt;=AsOfDate,EDATE($D99,Milestones!$AA$186)&gt;=SchemeStart,IF($X99=0,$AD99,IF(AND($Z99&lt;&gt;"",EDATE($D99,Milestones!$AA$186)&gt;=$Z99),$AC99,IF(AND($Y99&lt;&gt;"",EDATE($D99,Milestones!$AA$186)&gt;=$Y99),$AB99,$AA99)))=Milestones!$AB$186),UPPER(TEXT(EDATE($D99,Milestones!$AA$186),"dd mmm yy"))&amp;" "&amp;Milestones!$AB$186&amp;" "&amp;IF(AND(Milestones!$AB$186="FT",Milestones!$AA$186=FT_Y5,EDATE($D99,Milestones!$AA$186)&lt;PolicyEff),1,Milestones!$AC$186)&amp;";  ","")&amp;IF(AND(EDATE($D99,Milestones!$AA$187)&lt;=AsOfDate,EDATE($D99,Milestones!$AA$187)&gt;=SchemeStart,IF($X99=0,$AD99,IF(AND($Z99&lt;&gt;"",EDATE($D99,Milestones!$AA$187)&gt;=$Z99),$AC99,IF(AND($Y99&lt;&gt;"",EDATE($D99,Milestones!$AA$187)&gt;=$Y99),$AB99,$AA99)))=Milestones!$AB$187),UPPER(TEXT(EDATE($D99,Milestones!$AA$187),"dd mmm yy"))&amp;" "&amp;Milestones!$AB$187&amp;" "&amp;IF(AND(Milestones!$AB$187="FT",Milestones!$AA$187=FT_Y5,EDATE($D99,Milestones!$AA$187)&lt;PolicyEff),1,Milestones!$AC$187)&amp;";  ",""))</f>
        <v/>
      </c>
      <c r="W99" s="0" t="str">
        <f aca="false">IF(OR($A99="",$D99=""),"",IF(AND(EDATE($D99,Milestones!$AA$188)&lt;=AsOfDate,EDATE($D99,Milestones!$AA$188)&gt;=SchemeStart,IF($X99=0,$AD99,IF(AND($Z99&lt;&gt;"",EDATE($D99,Milestones!$AA$188)&gt;=$Z99),$AC99,IF(AND($Y99&lt;&gt;"",EDATE($D99,Milestones!$AA$188)&gt;=$Y99),$AB99,$AA99)))=Milestones!$AB$188),UPPER(TEXT(EDATE($D99,Milestones!$AA$188),"dd mmm yy"))&amp;" "&amp;Milestones!$AB$188&amp;" "&amp;IF(AND(Milestones!$AB$188="FT",Milestones!$AA$188=FT_Y5,EDATE($D99,Milestones!$AA$188)&lt;PolicyEff),1,Milestones!$AC$188)&amp;";  ","")&amp;IF(AND(EDATE($D99,Milestones!$AA$189)&lt;=AsOfDate,EDATE($D99,Milestones!$AA$189)&gt;=SchemeStart,IF($X99=0,$AD99,IF(AND($Z99&lt;&gt;"",EDATE($D99,Milestones!$AA$189)&gt;=$Z99),$AC99,IF(AND($Y99&lt;&gt;"",EDATE($D99,Milestones!$AA$189)&gt;=$Y99),$AB99,$AA99)))=Milestones!$AB$189),UPPER(TEXT(EDATE($D99,Milestones!$AA$189),"dd mmm yy"))&amp;" "&amp;Milestones!$AB$189&amp;" "&amp;IF(AND(Milestones!$AB$189="FT",Milestones!$AA$189=FT_Y5,EDATE($D99,Milestones!$AA$189)&lt;PolicyEff),1,Milestones!$AC$189)&amp;";  ","")&amp;IF(AND(EDATE($D99,Milestones!$AA$190)&lt;=AsOfDate,EDATE($D99,Milestones!$AA$190)&gt;=SchemeStart,IF($X99=0,$AD99,IF(AND($Z99&lt;&gt;"",EDATE($D99,Milestones!$AA$190)&gt;=$Z99),$AC99,IF(AND($Y99&lt;&gt;"",EDATE($D99,Milestones!$AA$190)&gt;=$Y99),$AB99,$AA99)))=Milestones!$AB$190),UPPER(TEXT(EDATE($D99,Milestones!$AA$190),"dd mmm yy"))&amp;" "&amp;Milestones!$AB$190&amp;" "&amp;IF(AND(Milestones!$AB$190="FT",Milestones!$AA$190=FT_Y5,EDATE($D99,Milestones!$AA$190)&lt;PolicyEff),1,Milestones!$AC$190)&amp;";  ","")&amp;IF(AND(EDATE($D99,Milestones!$AA$191)&lt;=AsOfDate,EDATE($D99,Milestones!$AA$191)&gt;=SchemeStart,IF($X99=0,$AD99,IF(AND($Z99&lt;&gt;"",EDATE($D99,Milestones!$AA$191)&gt;=$Z99),$AC99,IF(AND($Y99&lt;&gt;"",EDATE($D99,Milestones!$AA$191)&gt;=$Y99),$AB99,$AA99)))=Milestones!$AB$191),UPPER(TEXT(EDATE($D99,Milestones!$AA$191),"dd mmm yy"))&amp;" "&amp;Milestones!$AB$191&amp;" "&amp;IF(AND(Milestones!$AB$191="FT",Milestones!$AA$191=FT_Y5,EDATE($D99,Milestones!$AA$191)&lt;PolicyEff),1,Milestones!$AC$191)&amp;";  ","")&amp;IF(AND(EDATE($D99,Milestones!$AA$192)&lt;=AsOfDate,EDATE($D99,Milestones!$AA$192)&gt;=SchemeStart,IF($X99=0,$AD99,IF(AND($Z99&lt;&gt;"",EDATE($D99,Milestones!$AA$192)&gt;=$Z99),$AC99,IF(AND($Y99&lt;&gt;"",EDATE($D99,Milestones!$AA$192)&gt;=$Y99),$AB99,$AA99)))=Milestones!$AB$192),UPPER(TEXT(EDATE($D99,Milestones!$AA$192),"dd mmm yy"))&amp;" "&amp;Milestones!$AB$192&amp;" "&amp;IF(AND(Milestones!$AB$192="FT",Milestones!$AA$192=FT_Y5,EDATE($D99,Milestones!$AA$192)&lt;PolicyEff),1,Milestones!$AC$192)&amp;";  ","")&amp;IF(AND(EDATE($D99,Milestones!$AA$193)&lt;=AsOfDate,EDATE($D99,Milestones!$AA$193)&gt;=SchemeStart,IF($X99=0,$AD99,IF(AND($Z99&lt;&gt;"",EDATE($D99,Milestones!$AA$193)&gt;=$Z99),$AC99,IF(AND($Y99&lt;&gt;"",EDATE($D99,Milestones!$AA$193)&gt;=$Y99),$AB99,$AA99)))=Milestones!$AB$193),UPPER(TEXT(EDATE($D99,Milestones!$AA$193),"dd mmm yy"))&amp;" "&amp;Milestones!$AB$193&amp;" "&amp;IF(AND(Milestones!$AB$193="FT",Milestones!$AA$193=FT_Y5,EDATE($D99,Milestones!$AA$193)&lt;PolicyEff),1,Milestones!$AC$193)&amp;";  ","")&amp;IF(AND(EDATE($D99,Milestones!$AA$194)&lt;=AsOfDate,EDATE($D99,Milestones!$AA$194)&gt;=SchemeStart,IF($X99=0,$AD99,IF(AND($Z99&lt;&gt;"",EDATE($D99,Milestones!$AA$194)&gt;=$Z99),$AC99,IF(AND($Y99&lt;&gt;"",EDATE($D99,Milestones!$AA$194)&gt;=$Y99),$AB99,$AA99)))=Milestones!$AB$194),UPPER(TEXT(EDATE($D99,Milestones!$AA$194),"dd mmm yy"))&amp;" "&amp;Milestones!$AB$194&amp;" "&amp;IF(AND(Milestones!$AB$194="FT",Milestones!$AA$194=FT_Y5,EDATE($D99,Milestones!$AA$194)&lt;PolicyEff),1,Milestones!$AC$194)&amp;";  ","")&amp;IF(AND(EDATE($D99,Milestones!$AA$195)&lt;=AsOfDate,EDATE($D99,Milestones!$AA$195)&gt;=SchemeStart,IF($X99=0,$AD99,IF(AND($Z99&lt;&gt;"",EDATE($D99,Milestones!$AA$195)&gt;=$Z99),$AC99,IF(AND($Y99&lt;&gt;"",EDATE($D99,Milestones!$AA$195)&gt;=$Y99),$AB99,$AA99)))=Milestones!$AB$195),UPPER(TEXT(EDATE($D99,Milestones!$AA$195),"dd mmm yy"))&amp;" "&amp;Milestones!$AB$195&amp;" "&amp;IF(AND(Milestones!$AB$195="FT",Milestones!$AA$195=FT_Y5,EDATE($D99,Milestones!$AA$195)&lt;PolicyEff),1,Milestones!$AC$195)&amp;";  ","")&amp;IF(AND(EDATE($D99,Milestones!$AA$196)&lt;=AsOfDate,EDATE($D99,Milestones!$AA$196)&gt;=SchemeStart,IF($X99=0,$AD99,IF(AND($Z99&lt;&gt;"",EDATE($D99,Milestones!$AA$196)&gt;=$Z99),$AC99,IF(AND($Y99&lt;&gt;"",EDATE($D99,Milestones!$AA$196)&gt;=$Y99),$AB99,$AA99)))=Milestones!$AB$196),UPPER(TEXT(EDATE($D99,Milestones!$AA$196),"dd mmm yy"))&amp;" "&amp;Milestones!$AB$196&amp;" "&amp;IF(AND(Milestones!$AB$196="FT",Milestones!$AA$196=FT_Y5,EDATE($D99,Milestones!$AA$196)&lt;PolicyEff),1,Milestones!$AC$196)&amp;";  ","")&amp;IF(AND(EDATE($D99,Milestones!$AA$197)&lt;=AsOfDate,EDATE($D99,Milestones!$AA$197)&gt;=SchemeStart,IF($X99=0,$AD99,IF(AND($Z99&lt;&gt;"",EDATE($D99,Milestones!$AA$197)&gt;=$Z99),$AC99,IF(AND($Y99&lt;&gt;"",EDATE($D99,Milestones!$AA$197)&gt;=$Y99),$AB99,$AA99)))=Milestones!$AB$197),UPPER(TEXT(EDATE($D99,Milestones!$AA$197),"dd mmm yy"))&amp;" "&amp;Milestones!$AB$197&amp;" "&amp;IF(AND(Milestones!$AB$197="FT",Milestones!$AA$197=FT_Y5,EDATE($D99,Milestones!$AA$197)&lt;PolicyEff),1,Milestones!$AC$197)&amp;";  ","")&amp;IF(AND(EDATE($D99,Milestones!$AA$198)&lt;=AsOfDate,EDATE($D99,Milestones!$AA$198)&gt;=SchemeStart,IF($X99=0,$AD99,IF(AND($Z99&lt;&gt;"",EDATE($D99,Milestones!$AA$198)&gt;=$Z99),$AC99,IF(AND($Y99&lt;&gt;"",EDATE($D99,Milestones!$AA$198)&gt;=$Y99),$AB99,$AA99)))=Milestones!$AB$198),UPPER(TEXT(EDATE($D99,Milestones!$AA$198),"dd mmm yy"))&amp;" "&amp;Milestones!$AB$198&amp;" "&amp;IF(AND(Milestones!$AB$198="FT",Milestones!$AA$198=FT_Y5,EDATE($D99,Milestones!$AA$198)&lt;PolicyEff),1,Milestones!$AC$198)&amp;";  ","")&amp;IF(AND(EDATE($D99,Milestones!$AA$199)&lt;=AsOfDate,EDATE($D99,Milestones!$AA$199)&gt;=SchemeStart,IF($X99=0,$AD99,IF(AND($Z99&lt;&gt;"",EDATE($D99,Milestones!$AA$199)&gt;=$Z99),$AC99,IF(AND($Y99&lt;&gt;"",EDATE($D99,Milestones!$AA$199)&gt;=$Y99),$AB99,$AA99)))=Milestones!$AB$199),UPPER(TEXT(EDATE($D99,Milestones!$AA$199),"dd mmm yy"))&amp;" "&amp;Milestones!$AB$199&amp;" "&amp;IF(AND(Milestones!$AB$199="FT",Milestones!$AA$199=FT_Y5,EDATE($D99,Milestones!$AA$199)&lt;PolicyEff),1,Milestones!$AC$199)&amp;";  ",""))</f>
        <v/>
      </c>
      <c r="X99" s="0" t="str">
        <f aca="false">IF(Staff!$A99="","",Staff!$AM99)</f>
        <v/>
      </c>
      <c r="Y99" s="0" t="str">
        <f aca="false">IF(Staff!$A99="","",Staff!$AO99)</f>
        <v/>
      </c>
      <c r="Z99" s="0" t="str">
        <f aca="false">IF(Staff!$A99="","",Staff!$AP99)</f>
        <v/>
      </c>
      <c r="AA99" s="0" t="str">
        <f aca="false">IF(Staff!$A99="","",Staff!$AT99)</f>
        <v/>
      </c>
      <c r="AB99" s="0" t="str">
        <f aca="false">IF(Staff!$A99="","",Staff!$AU99)</f>
        <v/>
      </c>
      <c r="AC99" s="0" t="str">
        <f aca="false">IF(Staff!$A99="","",Staff!$AV99)</f>
        <v/>
      </c>
      <c r="AD99" s="0" t="str">
        <f aca="false">IF(Staff!$A99="","",Staff!$AW99)</f>
        <v/>
      </c>
    </row>
    <row r="100" customFormat="false" ht="15" hidden="false" customHeight="false" outlineLevel="0" collapsed="false">
      <c r="A100" s="16" t="str">
        <f aca="false">IF(Staff!$A100="","",Staff!$A100)</f>
        <v/>
      </c>
      <c r="B100" s="16" t="str">
        <f aca="false">IF(Staff!$A100="","",Staff!$B100)</f>
        <v/>
      </c>
      <c r="C100" s="16" t="str">
        <f aca="false">IF(Staff!$A100="","",Staff!$C100)</f>
        <v/>
      </c>
      <c r="D100" s="14" t="str">
        <f aca="false">IF(Staff!$A100="","",Staff!$AL100)</f>
        <v/>
      </c>
      <c r="E100" s="16" t="str">
        <f aca="false">IF(Staff!$A100="","",Staff!$O100)</f>
        <v/>
      </c>
      <c r="F100" s="16" t="str">
        <f aca="false">IF(E100="","",E100*HoursPerDay)</f>
        <v/>
      </c>
      <c r="G100" s="16" t="str">
        <f aca="false">IF(Staff!$A100="","",Staff!$AE100)</f>
        <v/>
      </c>
      <c r="H100" s="28" t="str">
        <f aca="false">IF($A100="","",I100&amp;J100&amp;K100&amp;L100&amp;M100&amp;N100&amp;O100&amp;P100&amp;Q100&amp;R100&amp;S100&amp;T100&amp;U100&amp;V100&amp;W100)</f>
        <v/>
      </c>
      <c r="I100" s="0" t="str">
        <f aca="false">IF(OR($A100="",$D100=""),"",IF(AND(EDATE($D100,Milestones!$AA$20)&lt;=AsOfDate,EDATE($D100,Milestones!$AA$20)&gt;=SchemeStart,IF($X100=0,$AD100,IF(AND($Z100&lt;&gt;"",EDATE($D100,Milestones!$AA$20)&gt;=$Z100),$AC100,IF(AND($Y100&lt;&gt;"",EDATE($D100,Milestones!$AA$20)&gt;=$Y100),$AB100,$AA100)))=Milestones!$AB$20),UPPER(TEXT(EDATE($D100,Milestones!$AA$20),"dd mmm yy"))&amp;" "&amp;Milestones!$AB$20&amp;" "&amp;IF(AND(Milestones!$AB$20="FT",Milestones!$AA$20=FT_Y5,EDATE($D100,Milestones!$AA$20)&lt;PolicyEff),1,Milestones!$AC$20)&amp;";  ","")&amp;IF(AND(EDATE($D100,Milestones!$AA$21)&lt;=AsOfDate,EDATE($D100,Milestones!$AA$21)&gt;=SchemeStart,IF($X100=0,$AD100,IF(AND($Z100&lt;&gt;"",EDATE($D100,Milestones!$AA$21)&gt;=$Z100),$AC100,IF(AND($Y100&lt;&gt;"",EDATE($D100,Milestones!$AA$21)&gt;=$Y100),$AB100,$AA100)))=Milestones!$AB$21),UPPER(TEXT(EDATE($D100,Milestones!$AA$21),"dd mmm yy"))&amp;" "&amp;Milestones!$AB$21&amp;" "&amp;IF(AND(Milestones!$AB$21="FT",Milestones!$AA$21=FT_Y5,EDATE($D100,Milestones!$AA$21)&lt;PolicyEff),1,Milestones!$AC$21)&amp;";  ","")&amp;IF(AND(EDATE($D100,Milestones!$AA$22)&lt;=AsOfDate,EDATE($D100,Milestones!$AA$22)&gt;=SchemeStart,IF($X100=0,$AD100,IF(AND($Z100&lt;&gt;"",EDATE($D100,Milestones!$AA$22)&gt;=$Z100),$AC100,IF(AND($Y100&lt;&gt;"",EDATE($D100,Milestones!$AA$22)&gt;=$Y100),$AB100,$AA100)))=Milestones!$AB$22),UPPER(TEXT(EDATE($D100,Milestones!$AA$22),"dd mmm yy"))&amp;" "&amp;Milestones!$AB$22&amp;" "&amp;IF(AND(Milestones!$AB$22="FT",Milestones!$AA$22=FT_Y5,EDATE($D100,Milestones!$AA$22)&lt;PolicyEff),1,Milestones!$AC$22)&amp;";  ","")&amp;IF(AND(EDATE($D100,Milestones!$AA$23)&lt;=AsOfDate,EDATE($D100,Milestones!$AA$23)&gt;=SchemeStart,IF($X100=0,$AD100,IF(AND($Z100&lt;&gt;"",EDATE($D100,Milestones!$AA$23)&gt;=$Z100),$AC100,IF(AND($Y100&lt;&gt;"",EDATE($D100,Milestones!$AA$23)&gt;=$Y100),$AB100,$AA100)))=Milestones!$AB$23),UPPER(TEXT(EDATE($D100,Milestones!$AA$23),"dd mmm yy"))&amp;" "&amp;Milestones!$AB$23&amp;" "&amp;IF(AND(Milestones!$AB$23="FT",Milestones!$AA$23=FT_Y5,EDATE($D100,Milestones!$AA$23)&lt;PolicyEff),1,Milestones!$AC$23)&amp;";  ","")&amp;IF(AND(EDATE($D100,Milestones!$AA$24)&lt;=AsOfDate,EDATE($D100,Milestones!$AA$24)&gt;=SchemeStart,IF($X100=0,$AD100,IF(AND($Z100&lt;&gt;"",EDATE($D100,Milestones!$AA$24)&gt;=$Z100),$AC100,IF(AND($Y100&lt;&gt;"",EDATE($D100,Milestones!$AA$24)&gt;=$Y100),$AB100,$AA100)))=Milestones!$AB$24),UPPER(TEXT(EDATE($D100,Milestones!$AA$24),"dd mmm yy"))&amp;" "&amp;Milestones!$AB$24&amp;" "&amp;IF(AND(Milestones!$AB$24="FT",Milestones!$AA$24=FT_Y5,EDATE($D100,Milestones!$AA$24)&lt;PolicyEff),1,Milestones!$AC$24)&amp;";  ","")&amp;IF(AND(EDATE($D100,Milestones!$AA$25)&lt;=AsOfDate,EDATE($D100,Milestones!$AA$25)&gt;=SchemeStart,IF($X100=0,$AD100,IF(AND($Z100&lt;&gt;"",EDATE($D100,Milestones!$AA$25)&gt;=$Z100),$AC100,IF(AND($Y100&lt;&gt;"",EDATE($D100,Milestones!$AA$25)&gt;=$Y100),$AB100,$AA100)))=Milestones!$AB$25),UPPER(TEXT(EDATE($D100,Milestones!$AA$25),"dd mmm yy"))&amp;" "&amp;Milestones!$AB$25&amp;" "&amp;IF(AND(Milestones!$AB$25="FT",Milestones!$AA$25=FT_Y5,EDATE($D100,Milestones!$AA$25)&lt;PolicyEff),1,Milestones!$AC$25)&amp;";  ","")&amp;IF(AND(EDATE($D100,Milestones!$AA$26)&lt;=AsOfDate,EDATE($D100,Milestones!$AA$26)&gt;=SchemeStart,IF($X100=0,$AD100,IF(AND($Z100&lt;&gt;"",EDATE($D100,Milestones!$AA$26)&gt;=$Z100),$AC100,IF(AND($Y100&lt;&gt;"",EDATE($D100,Milestones!$AA$26)&gt;=$Y100),$AB100,$AA100)))=Milestones!$AB$26),UPPER(TEXT(EDATE($D100,Milestones!$AA$26),"dd mmm yy"))&amp;" "&amp;Milestones!$AB$26&amp;" "&amp;IF(AND(Milestones!$AB$26="FT",Milestones!$AA$26=FT_Y5,EDATE($D100,Milestones!$AA$26)&lt;PolicyEff),1,Milestones!$AC$26)&amp;";  ","")&amp;IF(AND(EDATE($D100,Milestones!$AA$27)&lt;=AsOfDate,EDATE($D100,Milestones!$AA$27)&gt;=SchemeStart,IF($X100=0,$AD100,IF(AND($Z100&lt;&gt;"",EDATE($D100,Milestones!$AA$27)&gt;=$Z100),$AC100,IF(AND($Y100&lt;&gt;"",EDATE($D100,Milestones!$AA$27)&gt;=$Y100),$AB100,$AA100)))=Milestones!$AB$27),UPPER(TEXT(EDATE($D100,Milestones!$AA$27),"dd mmm yy"))&amp;" "&amp;Milestones!$AB$27&amp;" "&amp;IF(AND(Milestones!$AB$27="FT",Milestones!$AA$27=FT_Y5,EDATE($D100,Milestones!$AA$27)&lt;PolicyEff),1,Milestones!$AC$27)&amp;";  ","")&amp;IF(AND(EDATE($D100,Milestones!$AA$28)&lt;=AsOfDate,EDATE($D100,Milestones!$AA$28)&gt;=SchemeStart,IF($X100=0,$AD100,IF(AND($Z100&lt;&gt;"",EDATE($D100,Milestones!$AA$28)&gt;=$Z100),$AC100,IF(AND($Y100&lt;&gt;"",EDATE($D100,Milestones!$AA$28)&gt;=$Y100),$AB100,$AA100)))=Milestones!$AB$28),UPPER(TEXT(EDATE($D100,Milestones!$AA$28),"dd mmm yy"))&amp;" "&amp;Milestones!$AB$28&amp;" "&amp;IF(AND(Milestones!$AB$28="FT",Milestones!$AA$28=FT_Y5,EDATE($D100,Milestones!$AA$28)&lt;PolicyEff),1,Milestones!$AC$28)&amp;";  ","")&amp;IF(AND(EDATE($D100,Milestones!$AA$29)&lt;=AsOfDate,EDATE($D100,Milestones!$AA$29)&gt;=SchemeStart,IF($X100=0,$AD100,IF(AND($Z100&lt;&gt;"",EDATE($D100,Milestones!$AA$29)&gt;=$Z100),$AC100,IF(AND($Y100&lt;&gt;"",EDATE($D100,Milestones!$AA$29)&gt;=$Y100),$AB100,$AA100)))=Milestones!$AB$29),UPPER(TEXT(EDATE($D100,Milestones!$AA$29),"dd mmm yy"))&amp;" "&amp;Milestones!$AB$29&amp;" "&amp;IF(AND(Milestones!$AB$29="FT",Milestones!$AA$29=FT_Y5,EDATE($D100,Milestones!$AA$29)&lt;PolicyEff),1,Milestones!$AC$29)&amp;";  ","")&amp;IF(AND(EDATE($D100,Milestones!$AA$30)&lt;=AsOfDate,EDATE($D100,Milestones!$AA$30)&gt;=SchemeStart,IF($X100=0,$AD100,IF(AND($Z100&lt;&gt;"",EDATE($D100,Milestones!$AA$30)&gt;=$Z100),$AC100,IF(AND($Y100&lt;&gt;"",EDATE($D100,Milestones!$AA$30)&gt;=$Y100),$AB100,$AA100)))=Milestones!$AB$30),UPPER(TEXT(EDATE($D100,Milestones!$AA$30),"dd mmm yy"))&amp;" "&amp;Milestones!$AB$30&amp;" "&amp;IF(AND(Milestones!$AB$30="FT",Milestones!$AA$30=FT_Y5,EDATE($D100,Milestones!$AA$30)&lt;PolicyEff),1,Milestones!$AC$30)&amp;";  ","")&amp;IF(AND(EDATE($D100,Milestones!$AA$31)&lt;=AsOfDate,EDATE($D100,Milestones!$AA$31)&gt;=SchemeStart,IF($X100=0,$AD100,IF(AND($Z100&lt;&gt;"",EDATE($D100,Milestones!$AA$31)&gt;=$Z100),$AC100,IF(AND($Y100&lt;&gt;"",EDATE($D100,Milestones!$AA$31)&gt;=$Y100),$AB100,$AA100)))=Milestones!$AB$31),UPPER(TEXT(EDATE($D100,Milestones!$AA$31),"dd mmm yy"))&amp;" "&amp;Milestones!$AB$31&amp;" "&amp;IF(AND(Milestones!$AB$31="FT",Milestones!$AA$31=FT_Y5,EDATE($D100,Milestones!$AA$31)&lt;PolicyEff),1,Milestones!$AC$31)&amp;";  ",""))</f>
        <v/>
      </c>
      <c r="J100" s="0" t="str">
        <f aca="false">IF(OR($A100="",$D100=""),"",IF(AND(EDATE($D100,Milestones!$AA$32)&lt;=AsOfDate,EDATE($D100,Milestones!$AA$32)&gt;=SchemeStart,IF($X100=0,$AD100,IF(AND($Z100&lt;&gt;"",EDATE($D100,Milestones!$AA$32)&gt;=$Z100),$AC100,IF(AND($Y100&lt;&gt;"",EDATE($D100,Milestones!$AA$32)&gt;=$Y100),$AB100,$AA100)))=Milestones!$AB$32),UPPER(TEXT(EDATE($D100,Milestones!$AA$32),"dd mmm yy"))&amp;" "&amp;Milestones!$AB$32&amp;" "&amp;IF(AND(Milestones!$AB$32="FT",Milestones!$AA$32=FT_Y5,EDATE($D100,Milestones!$AA$32)&lt;PolicyEff),1,Milestones!$AC$32)&amp;";  ","")&amp;IF(AND(EDATE($D100,Milestones!$AA$33)&lt;=AsOfDate,EDATE($D100,Milestones!$AA$33)&gt;=SchemeStart,IF($X100=0,$AD100,IF(AND($Z100&lt;&gt;"",EDATE($D100,Milestones!$AA$33)&gt;=$Z100),$AC100,IF(AND($Y100&lt;&gt;"",EDATE($D100,Milestones!$AA$33)&gt;=$Y100),$AB100,$AA100)))=Milestones!$AB$33),UPPER(TEXT(EDATE($D100,Milestones!$AA$33),"dd mmm yy"))&amp;" "&amp;Milestones!$AB$33&amp;" "&amp;IF(AND(Milestones!$AB$33="FT",Milestones!$AA$33=FT_Y5,EDATE($D100,Milestones!$AA$33)&lt;PolicyEff),1,Milestones!$AC$33)&amp;";  ","")&amp;IF(AND(EDATE($D100,Milestones!$AA$34)&lt;=AsOfDate,EDATE($D100,Milestones!$AA$34)&gt;=SchemeStart,IF($X100=0,$AD100,IF(AND($Z100&lt;&gt;"",EDATE($D100,Milestones!$AA$34)&gt;=$Z100),$AC100,IF(AND($Y100&lt;&gt;"",EDATE($D100,Milestones!$AA$34)&gt;=$Y100),$AB100,$AA100)))=Milestones!$AB$34),UPPER(TEXT(EDATE($D100,Milestones!$AA$34),"dd mmm yy"))&amp;" "&amp;Milestones!$AB$34&amp;" "&amp;IF(AND(Milestones!$AB$34="FT",Milestones!$AA$34=FT_Y5,EDATE($D100,Milestones!$AA$34)&lt;PolicyEff),1,Milestones!$AC$34)&amp;";  ","")&amp;IF(AND(EDATE($D100,Milestones!$AA$35)&lt;=AsOfDate,EDATE($D100,Milestones!$AA$35)&gt;=SchemeStart,IF($X100=0,$AD100,IF(AND($Z100&lt;&gt;"",EDATE($D100,Milestones!$AA$35)&gt;=$Z100),$AC100,IF(AND($Y100&lt;&gt;"",EDATE($D100,Milestones!$AA$35)&gt;=$Y100),$AB100,$AA100)))=Milestones!$AB$35),UPPER(TEXT(EDATE($D100,Milestones!$AA$35),"dd mmm yy"))&amp;" "&amp;Milestones!$AB$35&amp;" "&amp;IF(AND(Milestones!$AB$35="FT",Milestones!$AA$35=FT_Y5,EDATE($D100,Milestones!$AA$35)&lt;PolicyEff),1,Milestones!$AC$35)&amp;";  ","")&amp;IF(AND(EDATE($D100,Milestones!$AA$36)&lt;=AsOfDate,EDATE($D100,Milestones!$AA$36)&gt;=SchemeStart,IF($X100=0,$AD100,IF(AND($Z100&lt;&gt;"",EDATE($D100,Milestones!$AA$36)&gt;=$Z100),$AC100,IF(AND($Y100&lt;&gt;"",EDATE($D100,Milestones!$AA$36)&gt;=$Y100),$AB100,$AA100)))=Milestones!$AB$36),UPPER(TEXT(EDATE($D100,Milestones!$AA$36),"dd mmm yy"))&amp;" "&amp;Milestones!$AB$36&amp;" "&amp;IF(AND(Milestones!$AB$36="FT",Milestones!$AA$36=FT_Y5,EDATE($D100,Milestones!$AA$36)&lt;PolicyEff),1,Milestones!$AC$36)&amp;";  ","")&amp;IF(AND(EDATE($D100,Milestones!$AA$37)&lt;=AsOfDate,EDATE($D100,Milestones!$AA$37)&gt;=SchemeStart,IF($X100=0,$AD100,IF(AND($Z100&lt;&gt;"",EDATE($D100,Milestones!$AA$37)&gt;=$Z100),$AC100,IF(AND($Y100&lt;&gt;"",EDATE($D100,Milestones!$AA$37)&gt;=$Y100),$AB100,$AA100)))=Milestones!$AB$37),UPPER(TEXT(EDATE($D100,Milestones!$AA$37),"dd mmm yy"))&amp;" "&amp;Milestones!$AB$37&amp;" "&amp;IF(AND(Milestones!$AB$37="FT",Milestones!$AA$37=FT_Y5,EDATE($D100,Milestones!$AA$37)&lt;PolicyEff),1,Milestones!$AC$37)&amp;";  ","")&amp;IF(AND(EDATE($D100,Milestones!$AA$38)&lt;=AsOfDate,EDATE($D100,Milestones!$AA$38)&gt;=SchemeStart,IF($X100=0,$AD100,IF(AND($Z100&lt;&gt;"",EDATE($D100,Milestones!$AA$38)&gt;=$Z100),$AC100,IF(AND($Y100&lt;&gt;"",EDATE($D100,Milestones!$AA$38)&gt;=$Y100),$AB100,$AA100)))=Milestones!$AB$38),UPPER(TEXT(EDATE($D100,Milestones!$AA$38),"dd mmm yy"))&amp;" "&amp;Milestones!$AB$38&amp;" "&amp;IF(AND(Milestones!$AB$38="FT",Milestones!$AA$38=FT_Y5,EDATE($D100,Milestones!$AA$38)&lt;PolicyEff),1,Milestones!$AC$38)&amp;";  ","")&amp;IF(AND(EDATE($D100,Milestones!$AA$39)&lt;=AsOfDate,EDATE($D100,Milestones!$AA$39)&gt;=SchemeStart,IF($X100=0,$AD100,IF(AND($Z100&lt;&gt;"",EDATE($D100,Milestones!$AA$39)&gt;=$Z100),$AC100,IF(AND($Y100&lt;&gt;"",EDATE($D100,Milestones!$AA$39)&gt;=$Y100),$AB100,$AA100)))=Milestones!$AB$39),UPPER(TEXT(EDATE($D100,Milestones!$AA$39),"dd mmm yy"))&amp;" "&amp;Milestones!$AB$39&amp;" "&amp;IF(AND(Milestones!$AB$39="FT",Milestones!$AA$39=FT_Y5,EDATE($D100,Milestones!$AA$39)&lt;PolicyEff),1,Milestones!$AC$39)&amp;";  ","")&amp;IF(AND(EDATE($D100,Milestones!$AA$40)&lt;=AsOfDate,EDATE($D100,Milestones!$AA$40)&gt;=SchemeStart,IF($X100=0,$AD100,IF(AND($Z100&lt;&gt;"",EDATE($D100,Milestones!$AA$40)&gt;=$Z100),$AC100,IF(AND($Y100&lt;&gt;"",EDATE($D100,Milestones!$AA$40)&gt;=$Y100),$AB100,$AA100)))=Milestones!$AB$40),UPPER(TEXT(EDATE($D100,Milestones!$AA$40),"dd mmm yy"))&amp;" "&amp;Milestones!$AB$40&amp;" "&amp;IF(AND(Milestones!$AB$40="FT",Milestones!$AA$40=FT_Y5,EDATE($D100,Milestones!$AA$40)&lt;PolicyEff),1,Milestones!$AC$40)&amp;";  ","")&amp;IF(AND(EDATE($D100,Milestones!$AA$41)&lt;=AsOfDate,EDATE($D100,Milestones!$AA$41)&gt;=SchemeStart,IF($X100=0,$AD100,IF(AND($Z100&lt;&gt;"",EDATE($D100,Milestones!$AA$41)&gt;=$Z100),$AC100,IF(AND($Y100&lt;&gt;"",EDATE($D100,Milestones!$AA$41)&gt;=$Y100),$AB100,$AA100)))=Milestones!$AB$41),UPPER(TEXT(EDATE($D100,Milestones!$AA$41),"dd mmm yy"))&amp;" "&amp;Milestones!$AB$41&amp;" "&amp;IF(AND(Milestones!$AB$41="FT",Milestones!$AA$41=FT_Y5,EDATE($D100,Milestones!$AA$41)&lt;PolicyEff),1,Milestones!$AC$41)&amp;";  ","")&amp;IF(AND(EDATE($D100,Milestones!$AA$42)&lt;=AsOfDate,EDATE($D100,Milestones!$AA$42)&gt;=SchemeStart,IF($X100=0,$AD100,IF(AND($Z100&lt;&gt;"",EDATE($D100,Milestones!$AA$42)&gt;=$Z100),$AC100,IF(AND($Y100&lt;&gt;"",EDATE($D100,Milestones!$AA$42)&gt;=$Y100),$AB100,$AA100)))=Milestones!$AB$42),UPPER(TEXT(EDATE($D100,Milestones!$AA$42),"dd mmm yy"))&amp;" "&amp;Milestones!$AB$42&amp;" "&amp;IF(AND(Milestones!$AB$42="FT",Milestones!$AA$42=FT_Y5,EDATE($D100,Milestones!$AA$42)&lt;PolicyEff),1,Milestones!$AC$42)&amp;";  ","")&amp;IF(AND(EDATE($D100,Milestones!$AA$43)&lt;=AsOfDate,EDATE($D100,Milestones!$AA$43)&gt;=SchemeStart,IF($X100=0,$AD100,IF(AND($Z100&lt;&gt;"",EDATE($D100,Milestones!$AA$43)&gt;=$Z100),$AC100,IF(AND($Y100&lt;&gt;"",EDATE($D100,Milestones!$AA$43)&gt;=$Y100),$AB100,$AA100)))=Milestones!$AB$43),UPPER(TEXT(EDATE($D100,Milestones!$AA$43),"dd mmm yy"))&amp;" "&amp;Milestones!$AB$43&amp;" "&amp;IF(AND(Milestones!$AB$43="FT",Milestones!$AA$43=FT_Y5,EDATE($D100,Milestones!$AA$43)&lt;PolicyEff),1,Milestones!$AC$43)&amp;";  ",""))</f>
        <v/>
      </c>
      <c r="K100" s="0" t="str">
        <f aca="false">IF(OR($A100="",$D100=""),"",IF(AND(EDATE($D100,Milestones!$AA$44)&lt;=AsOfDate,EDATE($D100,Milestones!$AA$44)&gt;=SchemeStart,IF($X100=0,$AD100,IF(AND($Z100&lt;&gt;"",EDATE($D100,Milestones!$AA$44)&gt;=$Z100),$AC100,IF(AND($Y100&lt;&gt;"",EDATE($D100,Milestones!$AA$44)&gt;=$Y100),$AB100,$AA100)))=Milestones!$AB$44),UPPER(TEXT(EDATE($D100,Milestones!$AA$44),"dd mmm yy"))&amp;" "&amp;Milestones!$AB$44&amp;" "&amp;IF(AND(Milestones!$AB$44="FT",Milestones!$AA$44=FT_Y5,EDATE($D100,Milestones!$AA$44)&lt;PolicyEff),1,Milestones!$AC$44)&amp;";  ","")&amp;IF(AND(EDATE($D100,Milestones!$AA$45)&lt;=AsOfDate,EDATE($D100,Milestones!$AA$45)&gt;=SchemeStart,IF($X100=0,$AD100,IF(AND($Z100&lt;&gt;"",EDATE($D100,Milestones!$AA$45)&gt;=$Z100),$AC100,IF(AND($Y100&lt;&gt;"",EDATE($D100,Milestones!$AA$45)&gt;=$Y100),$AB100,$AA100)))=Milestones!$AB$45),UPPER(TEXT(EDATE($D100,Milestones!$AA$45),"dd mmm yy"))&amp;" "&amp;Milestones!$AB$45&amp;" "&amp;IF(AND(Milestones!$AB$45="FT",Milestones!$AA$45=FT_Y5,EDATE($D100,Milestones!$AA$45)&lt;PolicyEff),1,Milestones!$AC$45)&amp;";  ","")&amp;IF(AND(EDATE($D100,Milestones!$AA$46)&lt;=AsOfDate,EDATE($D100,Milestones!$AA$46)&gt;=SchemeStart,IF($X100=0,$AD100,IF(AND($Z100&lt;&gt;"",EDATE($D100,Milestones!$AA$46)&gt;=$Z100),$AC100,IF(AND($Y100&lt;&gt;"",EDATE($D100,Milestones!$AA$46)&gt;=$Y100),$AB100,$AA100)))=Milestones!$AB$46),UPPER(TEXT(EDATE($D100,Milestones!$AA$46),"dd mmm yy"))&amp;" "&amp;Milestones!$AB$46&amp;" "&amp;IF(AND(Milestones!$AB$46="FT",Milestones!$AA$46=FT_Y5,EDATE($D100,Milestones!$AA$46)&lt;PolicyEff),1,Milestones!$AC$46)&amp;";  ","")&amp;IF(AND(EDATE($D100,Milestones!$AA$47)&lt;=AsOfDate,EDATE($D100,Milestones!$AA$47)&gt;=SchemeStart,IF($X100=0,$AD100,IF(AND($Z100&lt;&gt;"",EDATE($D100,Milestones!$AA$47)&gt;=$Z100),$AC100,IF(AND($Y100&lt;&gt;"",EDATE($D100,Milestones!$AA$47)&gt;=$Y100),$AB100,$AA100)))=Milestones!$AB$47),UPPER(TEXT(EDATE($D100,Milestones!$AA$47),"dd mmm yy"))&amp;" "&amp;Milestones!$AB$47&amp;" "&amp;IF(AND(Milestones!$AB$47="FT",Milestones!$AA$47=FT_Y5,EDATE($D100,Milestones!$AA$47)&lt;PolicyEff),1,Milestones!$AC$47)&amp;";  ","")&amp;IF(AND(EDATE($D100,Milestones!$AA$48)&lt;=AsOfDate,EDATE($D100,Milestones!$AA$48)&gt;=SchemeStart,IF($X100=0,$AD100,IF(AND($Z100&lt;&gt;"",EDATE($D100,Milestones!$AA$48)&gt;=$Z100),$AC100,IF(AND($Y100&lt;&gt;"",EDATE($D100,Milestones!$AA$48)&gt;=$Y100),$AB100,$AA100)))=Milestones!$AB$48),UPPER(TEXT(EDATE($D100,Milestones!$AA$48),"dd mmm yy"))&amp;" "&amp;Milestones!$AB$48&amp;" "&amp;IF(AND(Milestones!$AB$48="FT",Milestones!$AA$48=FT_Y5,EDATE($D100,Milestones!$AA$48)&lt;PolicyEff),1,Milestones!$AC$48)&amp;";  ","")&amp;IF(AND(EDATE($D100,Milestones!$AA$49)&lt;=AsOfDate,EDATE($D100,Milestones!$AA$49)&gt;=SchemeStart,IF($X100=0,$AD100,IF(AND($Z100&lt;&gt;"",EDATE($D100,Milestones!$AA$49)&gt;=$Z100),$AC100,IF(AND($Y100&lt;&gt;"",EDATE($D100,Milestones!$AA$49)&gt;=$Y100),$AB100,$AA100)))=Milestones!$AB$49),UPPER(TEXT(EDATE($D100,Milestones!$AA$49),"dd mmm yy"))&amp;" "&amp;Milestones!$AB$49&amp;" "&amp;IF(AND(Milestones!$AB$49="FT",Milestones!$AA$49=FT_Y5,EDATE($D100,Milestones!$AA$49)&lt;PolicyEff),1,Milestones!$AC$49)&amp;";  ","")&amp;IF(AND(EDATE($D100,Milestones!$AA$50)&lt;=AsOfDate,EDATE($D100,Milestones!$AA$50)&gt;=SchemeStart,IF($X100=0,$AD100,IF(AND($Z100&lt;&gt;"",EDATE($D100,Milestones!$AA$50)&gt;=$Z100),$AC100,IF(AND($Y100&lt;&gt;"",EDATE($D100,Milestones!$AA$50)&gt;=$Y100),$AB100,$AA100)))=Milestones!$AB$50),UPPER(TEXT(EDATE($D100,Milestones!$AA$50),"dd mmm yy"))&amp;" "&amp;Milestones!$AB$50&amp;" "&amp;IF(AND(Milestones!$AB$50="FT",Milestones!$AA$50=FT_Y5,EDATE($D100,Milestones!$AA$50)&lt;PolicyEff),1,Milestones!$AC$50)&amp;";  ","")&amp;IF(AND(EDATE($D100,Milestones!$AA$51)&lt;=AsOfDate,EDATE($D100,Milestones!$AA$51)&gt;=SchemeStart,IF($X100=0,$AD100,IF(AND($Z100&lt;&gt;"",EDATE($D100,Milestones!$AA$51)&gt;=$Z100),$AC100,IF(AND($Y100&lt;&gt;"",EDATE($D100,Milestones!$AA$51)&gt;=$Y100),$AB100,$AA100)))=Milestones!$AB$51),UPPER(TEXT(EDATE($D100,Milestones!$AA$51),"dd mmm yy"))&amp;" "&amp;Milestones!$AB$51&amp;" "&amp;IF(AND(Milestones!$AB$51="FT",Milestones!$AA$51=FT_Y5,EDATE($D100,Milestones!$AA$51)&lt;PolicyEff),1,Milestones!$AC$51)&amp;";  ","")&amp;IF(AND(EDATE($D100,Milestones!$AA$52)&lt;=AsOfDate,EDATE($D100,Milestones!$AA$52)&gt;=SchemeStart,IF($X100=0,$AD100,IF(AND($Z100&lt;&gt;"",EDATE($D100,Milestones!$AA$52)&gt;=$Z100),$AC100,IF(AND($Y100&lt;&gt;"",EDATE($D100,Milestones!$AA$52)&gt;=$Y100),$AB100,$AA100)))=Milestones!$AB$52),UPPER(TEXT(EDATE($D100,Milestones!$AA$52),"dd mmm yy"))&amp;" "&amp;Milestones!$AB$52&amp;" "&amp;IF(AND(Milestones!$AB$52="FT",Milestones!$AA$52=FT_Y5,EDATE($D100,Milestones!$AA$52)&lt;PolicyEff),1,Milestones!$AC$52)&amp;";  ","")&amp;IF(AND(EDATE($D100,Milestones!$AA$53)&lt;=AsOfDate,EDATE($D100,Milestones!$AA$53)&gt;=SchemeStart,IF($X100=0,$AD100,IF(AND($Z100&lt;&gt;"",EDATE($D100,Milestones!$AA$53)&gt;=$Z100),$AC100,IF(AND($Y100&lt;&gt;"",EDATE($D100,Milestones!$AA$53)&gt;=$Y100),$AB100,$AA100)))=Milestones!$AB$53),UPPER(TEXT(EDATE($D100,Milestones!$AA$53),"dd mmm yy"))&amp;" "&amp;Milestones!$AB$53&amp;" "&amp;IF(AND(Milestones!$AB$53="FT",Milestones!$AA$53=FT_Y5,EDATE($D100,Milestones!$AA$53)&lt;PolicyEff),1,Milestones!$AC$53)&amp;";  ","")&amp;IF(AND(EDATE($D100,Milestones!$AA$54)&lt;=AsOfDate,EDATE($D100,Milestones!$AA$54)&gt;=SchemeStart,IF($X100=0,$AD100,IF(AND($Z100&lt;&gt;"",EDATE($D100,Milestones!$AA$54)&gt;=$Z100),$AC100,IF(AND($Y100&lt;&gt;"",EDATE($D100,Milestones!$AA$54)&gt;=$Y100),$AB100,$AA100)))=Milestones!$AB$54),UPPER(TEXT(EDATE($D100,Milestones!$AA$54),"dd mmm yy"))&amp;" "&amp;Milestones!$AB$54&amp;" "&amp;IF(AND(Milestones!$AB$54="FT",Milestones!$AA$54=FT_Y5,EDATE($D100,Milestones!$AA$54)&lt;PolicyEff),1,Milestones!$AC$54)&amp;";  ","")&amp;IF(AND(EDATE($D100,Milestones!$AA$55)&lt;=AsOfDate,EDATE($D100,Milestones!$AA$55)&gt;=SchemeStart,IF($X100=0,$AD100,IF(AND($Z100&lt;&gt;"",EDATE($D100,Milestones!$AA$55)&gt;=$Z100),$AC100,IF(AND($Y100&lt;&gt;"",EDATE($D100,Milestones!$AA$55)&gt;=$Y100),$AB100,$AA100)))=Milestones!$AB$55),UPPER(TEXT(EDATE($D100,Milestones!$AA$55),"dd mmm yy"))&amp;" "&amp;Milestones!$AB$55&amp;" "&amp;IF(AND(Milestones!$AB$55="FT",Milestones!$AA$55=FT_Y5,EDATE($D100,Milestones!$AA$55)&lt;PolicyEff),1,Milestones!$AC$55)&amp;";  ",""))</f>
        <v/>
      </c>
      <c r="L100" s="0" t="str">
        <f aca="false">IF(OR($A100="",$D100=""),"",IF(AND(EDATE($D100,Milestones!$AA$56)&lt;=AsOfDate,EDATE($D100,Milestones!$AA$56)&gt;=SchemeStart,IF($X100=0,$AD100,IF(AND($Z100&lt;&gt;"",EDATE($D100,Milestones!$AA$56)&gt;=$Z100),$AC100,IF(AND($Y100&lt;&gt;"",EDATE($D100,Milestones!$AA$56)&gt;=$Y100),$AB100,$AA100)))=Milestones!$AB$56),UPPER(TEXT(EDATE($D100,Milestones!$AA$56),"dd mmm yy"))&amp;" "&amp;Milestones!$AB$56&amp;" "&amp;IF(AND(Milestones!$AB$56="FT",Milestones!$AA$56=FT_Y5,EDATE($D100,Milestones!$AA$56)&lt;PolicyEff),1,Milestones!$AC$56)&amp;";  ","")&amp;IF(AND(EDATE($D100,Milestones!$AA$57)&lt;=AsOfDate,EDATE($D100,Milestones!$AA$57)&gt;=SchemeStart,IF($X100=0,$AD100,IF(AND($Z100&lt;&gt;"",EDATE($D100,Milestones!$AA$57)&gt;=$Z100),$AC100,IF(AND($Y100&lt;&gt;"",EDATE($D100,Milestones!$AA$57)&gt;=$Y100),$AB100,$AA100)))=Milestones!$AB$57),UPPER(TEXT(EDATE($D100,Milestones!$AA$57),"dd mmm yy"))&amp;" "&amp;Milestones!$AB$57&amp;" "&amp;IF(AND(Milestones!$AB$57="FT",Milestones!$AA$57=FT_Y5,EDATE($D100,Milestones!$AA$57)&lt;PolicyEff),1,Milestones!$AC$57)&amp;";  ","")&amp;IF(AND(EDATE($D100,Milestones!$AA$58)&lt;=AsOfDate,EDATE($D100,Milestones!$AA$58)&gt;=SchemeStart,IF($X100=0,$AD100,IF(AND($Z100&lt;&gt;"",EDATE($D100,Milestones!$AA$58)&gt;=$Z100),$AC100,IF(AND($Y100&lt;&gt;"",EDATE($D100,Milestones!$AA$58)&gt;=$Y100),$AB100,$AA100)))=Milestones!$AB$58),UPPER(TEXT(EDATE($D100,Milestones!$AA$58),"dd mmm yy"))&amp;" "&amp;Milestones!$AB$58&amp;" "&amp;IF(AND(Milestones!$AB$58="FT",Milestones!$AA$58=FT_Y5,EDATE($D100,Milestones!$AA$58)&lt;PolicyEff),1,Milestones!$AC$58)&amp;";  ","")&amp;IF(AND(EDATE($D100,Milestones!$AA$59)&lt;=AsOfDate,EDATE($D100,Milestones!$AA$59)&gt;=SchemeStart,IF($X100=0,$AD100,IF(AND($Z100&lt;&gt;"",EDATE($D100,Milestones!$AA$59)&gt;=$Z100),$AC100,IF(AND($Y100&lt;&gt;"",EDATE($D100,Milestones!$AA$59)&gt;=$Y100),$AB100,$AA100)))=Milestones!$AB$59),UPPER(TEXT(EDATE($D100,Milestones!$AA$59),"dd mmm yy"))&amp;" "&amp;Milestones!$AB$59&amp;" "&amp;IF(AND(Milestones!$AB$59="FT",Milestones!$AA$59=FT_Y5,EDATE($D100,Milestones!$AA$59)&lt;PolicyEff),1,Milestones!$AC$59)&amp;";  ","")&amp;IF(AND(EDATE($D100,Milestones!$AA$60)&lt;=AsOfDate,EDATE($D100,Milestones!$AA$60)&gt;=SchemeStart,IF($X100=0,$AD100,IF(AND($Z100&lt;&gt;"",EDATE($D100,Milestones!$AA$60)&gt;=$Z100),$AC100,IF(AND($Y100&lt;&gt;"",EDATE($D100,Milestones!$AA$60)&gt;=$Y100),$AB100,$AA100)))=Milestones!$AB$60),UPPER(TEXT(EDATE($D100,Milestones!$AA$60),"dd mmm yy"))&amp;" "&amp;Milestones!$AB$60&amp;" "&amp;IF(AND(Milestones!$AB$60="FT",Milestones!$AA$60=FT_Y5,EDATE($D100,Milestones!$AA$60)&lt;PolicyEff),1,Milestones!$AC$60)&amp;";  ","")&amp;IF(AND(EDATE($D100,Milestones!$AA$61)&lt;=AsOfDate,EDATE($D100,Milestones!$AA$61)&gt;=SchemeStart,IF($X100=0,$AD100,IF(AND($Z100&lt;&gt;"",EDATE($D100,Milestones!$AA$61)&gt;=$Z100),$AC100,IF(AND($Y100&lt;&gt;"",EDATE($D100,Milestones!$AA$61)&gt;=$Y100),$AB100,$AA100)))=Milestones!$AB$61),UPPER(TEXT(EDATE($D100,Milestones!$AA$61),"dd mmm yy"))&amp;" "&amp;Milestones!$AB$61&amp;" "&amp;IF(AND(Milestones!$AB$61="FT",Milestones!$AA$61=FT_Y5,EDATE($D100,Milestones!$AA$61)&lt;PolicyEff),1,Milestones!$AC$61)&amp;";  ","")&amp;IF(AND(EDATE($D100,Milestones!$AA$62)&lt;=AsOfDate,EDATE($D100,Milestones!$AA$62)&gt;=SchemeStart,IF($X100=0,$AD100,IF(AND($Z100&lt;&gt;"",EDATE($D100,Milestones!$AA$62)&gt;=$Z100),$AC100,IF(AND($Y100&lt;&gt;"",EDATE($D100,Milestones!$AA$62)&gt;=$Y100),$AB100,$AA100)))=Milestones!$AB$62),UPPER(TEXT(EDATE($D100,Milestones!$AA$62),"dd mmm yy"))&amp;" "&amp;Milestones!$AB$62&amp;" "&amp;IF(AND(Milestones!$AB$62="FT",Milestones!$AA$62=FT_Y5,EDATE($D100,Milestones!$AA$62)&lt;PolicyEff),1,Milestones!$AC$62)&amp;";  ","")&amp;IF(AND(EDATE($D100,Milestones!$AA$63)&lt;=AsOfDate,EDATE($D100,Milestones!$AA$63)&gt;=SchemeStart,IF($X100=0,$AD100,IF(AND($Z100&lt;&gt;"",EDATE($D100,Milestones!$AA$63)&gt;=$Z100),$AC100,IF(AND($Y100&lt;&gt;"",EDATE($D100,Milestones!$AA$63)&gt;=$Y100),$AB100,$AA100)))=Milestones!$AB$63),UPPER(TEXT(EDATE($D100,Milestones!$AA$63),"dd mmm yy"))&amp;" "&amp;Milestones!$AB$63&amp;" "&amp;IF(AND(Milestones!$AB$63="FT",Milestones!$AA$63=FT_Y5,EDATE($D100,Milestones!$AA$63)&lt;PolicyEff),1,Milestones!$AC$63)&amp;";  ","")&amp;IF(AND(EDATE($D100,Milestones!$AA$64)&lt;=AsOfDate,EDATE($D100,Milestones!$AA$64)&gt;=SchemeStart,IF($X100=0,$AD100,IF(AND($Z100&lt;&gt;"",EDATE($D100,Milestones!$AA$64)&gt;=$Z100),$AC100,IF(AND($Y100&lt;&gt;"",EDATE($D100,Milestones!$AA$64)&gt;=$Y100),$AB100,$AA100)))=Milestones!$AB$64),UPPER(TEXT(EDATE($D100,Milestones!$AA$64),"dd mmm yy"))&amp;" "&amp;Milestones!$AB$64&amp;" "&amp;IF(AND(Milestones!$AB$64="FT",Milestones!$AA$64=FT_Y5,EDATE($D100,Milestones!$AA$64)&lt;PolicyEff),1,Milestones!$AC$64)&amp;";  ","")&amp;IF(AND(EDATE($D100,Milestones!$AA$65)&lt;=AsOfDate,EDATE($D100,Milestones!$AA$65)&gt;=SchemeStart,IF($X100=0,$AD100,IF(AND($Z100&lt;&gt;"",EDATE($D100,Milestones!$AA$65)&gt;=$Z100),$AC100,IF(AND($Y100&lt;&gt;"",EDATE($D100,Milestones!$AA$65)&gt;=$Y100),$AB100,$AA100)))=Milestones!$AB$65),UPPER(TEXT(EDATE($D100,Milestones!$AA$65),"dd mmm yy"))&amp;" "&amp;Milestones!$AB$65&amp;" "&amp;IF(AND(Milestones!$AB$65="FT",Milestones!$AA$65=FT_Y5,EDATE($D100,Milestones!$AA$65)&lt;PolicyEff),1,Milestones!$AC$65)&amp;";  ","")&amp;IF(AND(EDATE($D100,Milestones!$AA$66)&lt;=AsOfDate,EDATE($D100,Milestones!$AA$66)&gt;=SchemeStart,IF($X100=0,$AD100,IF(AND($Z100&lt;&gt;"",EDATE($D100,Milestones!$AA$66)&gt;=$Z100),$AC100,IF(AND($Y100&lt;&gt;"",EDATE($D100,Milestones!$AA$66)&gt;=$Y100),$AB100,$AA100)))=Milestones!$AB$66),UPPER(TEXT(EDATE($D100,Milestones!$AA$66),"dd mmm yy"))&amp;" "&amp;Milestones!$AB$66&amp;" "&amp;IF(AND(Milestones!$AB$66="FT",Milestones!$AA$66=FT_Y5,EDATE($D100,Milestones!$AA$66)&lt;PolicyEff),1,Milestones!$AC$66)&amp;";  ","")&amp;IF(AND(EDATE($D100,Milestones!$AA$67)&lt;=AsOfDate,EDATE($D100,Milestones!$AA$67)&gt;=SchemeStart,IF($X100=0,$AD100,IF(AND($Z100&lt;&gt;"",EDATE($D100,Milestones!$AA$67)&gt;=$Z100),$AC100,IF(AND($Y100&lt;&gt;"",EDATE($D100,Milestones!$AA$67)&gt;=$Y100),$AB100,$AA100)))=Milestones!$AB$67),UPPER(TEXT(EDATE($D100,Milestones!$AA$67),"dd mmm yy"))&amp;" "&amp;Milestones!$AB$67&amp;" "&amp;IF(AND(Milestones!$AB$67="FT",Milestones!$AA$67=FT_Y5,EDATE($D100,Milestones!$AA$67)&lt;PolicyEff),1,Milestones!$AC$67)&amp;";  ",""))</f>
        <v/>
      </c>
      <c r="M100" s="0" t="str">
        <f aca="false">IF(OR($A100="",$D100=""),"",IF(AND(EDATE($D100,Milestones!$AA$68)&lt;=AsOfDate,EDATE($D100,Milestones!$AA$68)&gt;=SchemeStart,IF($X100=0,$AD100,IF(AND($Z100&lt;&gt;"",EDATE($D100,Milestones!$AA$68)&gt;=$Z100),$AC100,IF(AND($Y100&lt;&gt;"",EDATE($D100,Milestones!$AA$68)&gt;=$Y100),$AB100,$AA100)))=Milestones!$AB$68),UPPER(TEXT(EDATE($D100,Milestones!$AA$68),"dd mmm yy"))&amp;" "&amp;Milestones!$AB$68&amp;" "&amp;IF(AND(Milestones!$AB$68="FT",Milestones!$AA$68=FT_Y5,EDATE($D100,Milestones!$AA$68)&lt;PolicyEff),1,Milestones!$AC$68)&amp;";  ","")&amp;IF(AND(EDATE($D100,Milestones!$AA$69)&lt;=AsOfDate,EDATE($D100,Milestones!$AA$69)&gt;=SchemeStart,IF($X100=0,$AD100,IF(AND($Z100&lt;&gt;"",EDATE($D100,Milestones!$AA$69)&gt;=$Z100),$AC100,IF(AND($Y100&lt;&gt;"",EDATE($D100,Milestones!$AA$69)&gt;=$Y100),$AB100,$AA100)))=Milestones!$AB$69),UPPER(TEXT(EDATE($D100,Milestones!$AA$69),"dd mmm yy"))&amp;" "&amp;Milestones!$AB$69&amp;" "&amp;IF(AND(Milestones!$AB$69="FT",Milestones!$AA$69=FT_Y5,EDATE($D100,Milestones!$AA$69)&lt;PolicyEff),1,Milestones!$AC$69)&amp;";  ","")&amp;IF(AND(EDATE($D100,Milestones!$AA$70)&lt;=AsOfDate,EDATE($D100,Milestones!$AA$70)&gt;=SchemeStart,IF($X100=0,$AD100,IF(AND($Z100&lt;&gt;"",EDATE($D100,Milestones!$AA$70)&gt;=$Z100),$AC100,IF(AND($Y100&lt;&gt;"",EDATE($D100,Milestones!$AA$70)&gt;=$Y100),$AB100,$AA100)))=Milestones!$AB$70),UPPER(TEXT(EDATE($D100,Milestones!$AA$70),"dd mmm yy"))&amp;" "&amp;Milestones!$AB$70&amp;" "&amp;IF(AND(Milestones!$AB$70="FT",Milestones!$AA$70=FT_Y5,EDATE($D100,Milestones!$AA$70)&lt;PolicyEff),1,Milestones!$AC$70)&amp;";  ","")&amp;IF(AND(EDATE($D100,Milestones!$AA$71)&lt;=AsOfDate,EDATE($D100,Milestones!$AA$71)&gt;=SchemeStart,IF($X100=0,$AD100,IF(AND($Z100&lt;&gt;"",EDATE($D100,Milestones!$AA$71)&gt;=$Z100),$AC100,IF(AND($Y100&lt;&gt;"",EDATE($D100,Milestones!$AA$71)&gt;=$Y100),$AB100,$AA100)))=Milestones!$AB$71),UPPER(TEXT(EDATE($D100,Milestones!$AA$71),"dd mmm yy"))&amp;" "&amp;Milestones!$AB$71&amp;" "&amp;IF(AND(Milestones!$AB$71="FT",Milestones!$AA$71=FT_Y5,EDATE($D100,Milestones!$AA$71)&lt;PolicyEff),1,Milestones!$AC$71)&amp;";  ","")&amp;IF(AND(EDATE($D100,Milestones!$AA$72)&lt;=AsOfDate,EDATE($D100,Milestones!$AA$72)&gt;=SchemeStart,IF($X100=0,$AD100,IF(AND($Z100&lt;&gt;"",EDATE($D100,Milestones!$AA$72)&gt;=$Z100),$AC100,IF(AND($Y100&lt;&gt;"",EDATE($D100,Milestones!$AA$72)&gt;=$Y100),$AB100,$AA100)))=Milestones!$AB$72),UPPER(TEXT(EDATE($D100,Milestones!$AA$72),"dd mmm yy"))&amp;" "&amp;Milestones!$AB$72&amp;" "&amp;IF(AND(Milestones!$AB$72="FT",Milestones!$AA$72=FT_Y5,EDATE($D100,Milestones!$AA$72)&lt;PolicyEff),1,Milestones!$AC$72)&amp;";  ","")&amp;IF(AND(EDATE($D100,Milestones!$AA$73)&lt;=AsOfDate,EDATE($D100,Milestones!$AA$73)&gt;=SchemeStart,IF($X100=0,$AD100,IF(AND($Z100&lt;&gt;"",EDATE($D100,Milestones!$AA$73)&gt;=$Z100),$AC100,IF(AND($Y100&lt;&gt;"",EDATE($D100,Milestones!$AA$73)&gt;=$Y100),$AB100,$AA100)))=Milestones!$AB$73),UPPER(TEXT(EDATE($D100,Milestones!$AA$73),"dd mmm yy"))&amp;" "&amp;Milestones!$AB$73&amp;" "&amp;IF(AND(Milestones!$AB$73="FT",Milestones!$AA$73=FT_Y5,EDATE($D100,Milestones!$AA$73)&lt;PolicyEff),1,Milestones!$AC$73)&amp;";  ","")&amp;IF(AND(EDATE($D100,Milestones!$AA$74)&lt;=AsOfDate,EDATE($D100,Milestones!$AA$74)&gt;=SchemeStart,IF($X100=0,$AD100,IF(AND($Z100&lt;&gt;"",EDATE($D100,Milestones!$AA$74)&gt;=$Z100),$AC100,IF(AND($Y100&lt;&gt;"",EDATE($D100,Milestones!$AA$74)&gt;=$Y100),$AB100,$AA100)))=Milestones!$AB$74),UPPER(TEXT(EDATE($D100,Milestones!$AA$74),"dd mmm yy"))&amp;" "&amp;Milestones!$AB$74&amp;" "&amp;IF(AND(Milestones!$AB$74="FT",Milestones!$AA$74=FT_Y5,EDATE($D100,Milestones!$AA$74)&lt;PolicyEff),1,Milestones!$AC$74)&amp;";  ","")&amp;IF(AND(EDATE($D100,Milestones!$AA$75)&lt;=AsOfDate,EDATE($D100,Milestones!$AA$75)&gt;=SchemeStart,IF($X100=0,$AD100,IF(AND($Z100&lt;&gt;"",EDATE($D100,Milestones!$AA$75)&gt;=$Z100),$AC100,IF(AND($Y100&lt;&gt;"",EDATE($D100,Milestones!$AA$75)&gt;=$Y100),$AB100,$AA100)))=Milestones!$AB$75),UPPER(TEXT(EDATE($D100,Milestones!$AA$75),"dd mmm yy"))&amp;" "&amp;Milestones!$AB$75&amp;" "&amp;IF(AND(Milestones!$AB$75="FT",Milestones!$AA$75=FT_Y5,EDATE($D100,Milestones!$AA$75)&lt;PolicyEff),1,Milestones!$AC$75)&amp;";  ","")&amp;IF(AND(EDATE($D100,Milestones!$AA$76)&lt;=AsOfDate,EDATE($D100,Milestones!$AA$76)&gt;=SchemeStart,IF($X100=0,$AD100,IF(AND($Z100&lt;&gt;"",EDATE($D100,Milestones!$AA$76)&gt;=$Z100),$AC100,IF(AND($Y100&lt;&gt;"",EDATE($D100,Milestones!$AA$76)&gt;=$Y100),$AB100,$AA100)))=Milestones!$AB$76),UPPER(TEXT(EDATE($D100,Milestones!$AA$76),"dd mmm yy"))&amp;" "&amp;Milestones!$AB$76&amp;" "&amp;IF(AND(Milestones!$AB$76="FT",Milestones!$AA$76=FT_Y5,EDATE($D100,Milestones!$AA$76)&lt;PolicyEff),1,Milestones!$AC$76)&amp;";  ","")&amp;IF(AND(EDATE($D100,Milestones!$AA$77)&lt;=AsOfDate,EDATE($D100,Milestones!$AA$77)&gt;=SchemeStart,IF($X100=0,$AD100,IF(AND($Z100&lt;&gt;"",EDATE($D100,Milestones!$AA$77)&gt;=$Z100),$AC100,IF(AND($Y100&lt;&gt;"",EDATE($D100,Milestones!$AA$77)&gt;=$Y100),$AB100,$AA100)))=Milestones!$AB$77),UPPER(TEXT(EDATE($D100,Milestones!$AA$77),"dd mmm yy"))&amp;" "&amp;Milestones!$AB$77&amp;" "&amp;IF(AND(Milestones!$AB$77="FT",Milestones!$AA$77=FT_Y5,EDATE($D100,Milestones!$AA$77)&lt;PolicyEff),1,Milestones!$AC$77)&amp;";  ","")&amp;IF(AND(EDATE($D100,Milestones!$AA$78)&lt;=AsOfDate,EDATE($D100,Milestones!$AA$78)&gt;=SchemeStart,IF($X100=0,$AD100,IF(AND($Z100&lt;&gt;"",EDATE($D100,Milestones!$AA$78)&gt;=$Z100),$AC100,IF(AND($Y100&lt;&gt;"",EDATE($D100,Milestones!$AA$78)&gt;=$Y100),$AB100,$AA100)))=Milestones!$AB$78),UPPER(TEXT(EDATE($D100,Milestones!$AA$78),"dd mmm yy"))&amp;" "&amp;Milestones!$AB$78&amp;" "&amp;IF(AND(Milestones!$AB$78="FT",Milestones!$AA$78=FT_Y5,EDATE($D100,Milestones!$AA$78)&lt;PolicyEff),1,Milestones!$AC$78)&amp;";  ","")&amp;IF(AND(EDATE($D100,Milestones!$AA$79)&lt;=AsOfDate,EDATE($D100,Milestones!$AA$79)&gt;=SchemeStart,IF($X100=0,$AD100,IF(AND($Z100&lt;&gt;"",EDATE($D100,Milestones!$AA$79)&gt;=$Z100),$AC100,IF(AND($Y100&lt;&gt;"",EDATE($D100,Milestones!$AA$79)&gt;=$Y100),$AB100,$AA100)))=Milestones!$AB$79),UPPER(TEXT(EDATE($D100,Milestones!$AA$79),"dd mmm yy"))&amp;" "&amp;Milestones!$AB$79&amp;" "&amp;IF(AND(Milestones!$AB$79="FT",Milestones!$AA$79=FT_Y5,EDATE($D100,Milestones!$AA$79)&lt;PolicyEff),1,Milestones!$AC$79)&amp;";  ",""))</f>
        <v/>
      </c>
      <c r="N100" s="0" t="str">
        <f aca="false">IF(OR($A100="",$D100=""),"",IF(AND(EDATE($D100,Milestones!$AA$80)&lt;=AsOfDate,EDATE($D100,Milestones!$AA$80)&gt;=SchemeStart,IF($X100=0,$AD100,IF(AND($Z100&lt;&gt;"",EDATE($D100,Milestones!$AA$80)&gt;=$Z100),$AC100,IF(AND($Y100&lt;&gt;"",EDATE($D100,Milestones!$AA$80)&gt;=$Y100),$AB100,$AA100)))=Milestones!$AB$80),UPPER(TEXT(EDATE($D100,Milestones!$AA$80),"dd mmm yy"))&amp;" "&amp;Milestones!$AB$80&amp;" "&amp;IF(AND(Milestones!$AB$80="FT",Milestones!$AA$80=FT_Y5,EDATE($D100,Milestones!$AA$80)&lt;PolicyEff),1,Milestones!$AC$80)&amp;";  ","")&amp;IF(AND(EDATE($D100,Milestones!$AA$81)&lt;=AsOfDate,EDATE($D100,Milestones!$AA$81)&gt;=SchemeStart,IF($X100=0,$AD100,IF(AND($Z100&lt;&gt;"",EDATE($D100,Milestones!$AA$81)&gt;=$Z100),$AC100,IF(AND($Y100&lt;&gt;"",EDATE($D100,Milestones!$AA$81)&gt;=$Y100),$AB100,$AA100)))=Milestones!$AB$81),UPPER(TEXT(EDATE($D100,Milestones!$AA$81),"dd mmm yy"))&amp;" "&amp;Milestones!$AB$81&amp;" "&amp;IF(AND(Milestones!$AB$81="FT",Milestones!$AA$81=FT_Y5,EDATE($D100,Milestones!$AA$81)&lt;PolicyEff),1,Milestones!$AC$81)&amp;";  ","")&amp;IF(AND(EDATE($D100,Milestones!$AA$82)&lt;=AsOfDate,EDATE($D100,Milestones!$AA$82)&gt;=SchemeStart,IF($X100=0,$AD100,IF(AND($Z100&lt;&gt;"",EDATE($D100,Milestones!$AA$82)&gt;=$Z100),$AC100,IF(AND($Y100&lt;&gt;"",EDATE($D100,Milestones!$AA$82)&gt;=$Y100),$AB100,$AA100)))=Milestones!$AB$82),UPPER(TEXT(EDATE($D100,Milestones!$AA$82),"dd mmm yy"))&amp;" "&amp;Milestones!$AB$82&amp;" "&amp;IF(AND(Milestones!$AB$82="FT",Milestones!$AA$82=FT_Y5,EDATE($D100,Milestones!$AA$82)&lt;PolicyEff),1,Milestones!$AC$82)&amp;";  ","")&amp;IF(AND(EDATE($D100,Milestones!$AA$83)&lt;=AsOfDate,EDATE($D100,Milestones!$AA$83)&gt;=SchemeStart,IF($X100=0,$AD100,IF(AND($Z100&lt;&gt;"",EDATE($D100,Milestones!$AA$83)&gt;=$Z100),$AC100,IF(AND($Y100&lt;&gt;"",EDATE($D100,Milestones!$AA$83)&gt;=$Y100),$AB100,$AA100)))=Milestones!$AB$83),UPPER(TEXT(EDATE($D100,Milestones!$AA$83),"dd mmm yy"))&amp;" "&amp;Milestones!$AB$83&amp;" "&amp;IF(AND(Milestones!$AB$83="FT",Milestones!$AA$83=FT_Y5,EDATE($D100,Milestones!$AA$83)&lt;PolicyEff),1,Milestones!$AC$83)&amp;";  ","")&amp;IF(AND(EDATE($D100,Milestones!$AA$84)&lt;=AsOfDate,EDATE($D100,Milestones!$AA$84)&gt;=SchemeStart,IF($X100=0,$AD100,IF(AND($Z100&lt;&gt;"",EDATE($D100,Milestones!$AA$84)&gt;=$Z100),$AC100,IF(AND($Y100&lt;&gt;"",EDATE($D100,Milestones!$AA$84)&gt;=$Y100),$AB100,$AA100)))=Milestones!$AB$84),UPPER(TEXT(EDATE($D100,Milestones!$AA$84),"dd mmm yy"))&amp;" "&amp;Milestones!$AB$84&amp;" "&amp;IF(AND(Milestones!$AB$84="FT",Milestones!$AA$84=FT_Y5,EDATE($D100,Milestones!$AA$84)&lt;PolicyEff),1,Milestones!$AC$84)&amp;";  ","")&amp;IF(AND(EDATE($D100,Milestones!$AA$85)&lt;=AsOfDate,EDATE($D100,Milestones!$AA$85)&gt;=SchemeStart,IF($X100=0,$AD100,IF(AND($Z100&lt;&gt;"",EDATE($D100,Milestones!$AA$85)&gt;=$Z100),$AC100,IF(AND($Y100&lt;&gt;"",EDATE($D100,Milestones!$AA$85)&gt;=$Y100),$AB100,$AA100)))=Milestones!$AB$85),UPPER(TEXT(EDATE($D100,Milestones!$AA$85),"dd mmm yy"))&amp;" "&amp;Milestones!$AB$85&amp;" "&amp;IF(AND(Milestones!$AB$85="FT",Milestones!$AA$85=FT_Y5,EDATE($D100,Milestones!$AA$85)&lt;PolicyEff),1,Milestones!$AC$85)&amp;";  ","")&amp;IF(AND(EDATE($D100,Milestones!$AA$86)&lt;=AsOfDate,EDATE($D100,Milestones!$AA$86)&gt;=SchemeStart,IF($X100=0,$AD100,IF(AND($Z100&lt;&gt;"",EDATE($D100,Milestones!$AA$86)&gt;=$Z100),$AC100,IF(AND($Y100&lt;&gt;"",EDATE($D100,Milestones!$AA$86)&gt;=$Y100),$AB100,$AA100)))=Milestones!$AB$86),UPPER(TEXT(EDATE($D100,Milestones!$AA$86),"dd mmm yy"))&amp;" "&amp;Milestones!$AB$86&amp;" "&amp;IF(AND(Milestones!$AB$86="FT",Milestones!$AA$86=FT_Y5,EDATE($D100,Milestones!$AA$86)&lt;PolicyEff),1,Milestones!$AC$86)&amp;";  ","")&amp;IF(AND(EDATE($D100,Milestones!$AA$87)&lt;=AsOfDate,EDATE($D100,Milestones!$AA$87)&gt;=SchemeStart,IF($X100=0,$AD100,IF(AND($Z100&lt;&gt;"",EDATE($D100,Milestones!$AA$87)&gt;=$Z100),$AC100,IF(AND($Y100&lt;&gt;"",EDATE($D100,Milestones!$AA$87)&gt;=$Y100),$AB100,$AA100)))=Milestones!$AB$87),UPPER(TEXT(EDATE($D100,Milestones!$AA$87),"dd mmm yy"))&amp;" "&amp;Milestones!$AB$87&amp;" "&amp;IF(AND(Milestones!$AB$87="FT",Milestones!$AA$87=FT_Y5,EDATE($D100,Milestones!$AA$87)&lt;PolicyEff),1,Milestones!$AC$87)&amp;";  ","")&amp;IF(AND(EDATE($D100,Milestones!$AA$88)&lt;=AsOfDate,EDATE($D100,Milestones!$AA$88)&gt;=SchemeStart,IF($X100=0,$AD100,IF(AND($Z100&lt;&gt;"",EDATE($D100,Milestones!$AA$88)&gt;=$Z100),$AC100,IF(AND($Y100&lt;&gt;"",EDATE($D100,Milestones!$AA$88)&gt;=$Y100),$AB100,$AA100)))=Milestones!$AB$88),UPPER(TEXT(EDATE($D100,Milestones!$AA$88),"dd mmm yy"))&amp;" "&amp;Milestones!$AB$88&amp;" "&amp;IF(AND(Milestones!$AB$88="FT",Milestones!$AA$88=FT_Y5,EDATE($D100,Milestones!$AA$88)&lt;PolicyEff),1,Milestones!$AC$88)&amp;";  ","")&amp;IF(AND(EDATE($D100,Milestones!$AA$89)&lt;=AsOfDate,EDATE($D100,Milestones!$AA$89)&gt;=SchemeStart,IF($X100=0,$AD100,IF(AND($Z100&lt;&gt;"",EDATE($D100,Milestones!$AA$89)&gt;=$Z100),$AC100,IF(AND($Y100&lt;&gt;"",EDATE($D100,Milestones!$AA$89)&gt;=$Y100),$AB100,$AA100)))=Milestones!$AB$89),UPPER(TEXT(EDATE($D100,Milestones!$AA$89),"dd mmm yy"))&amp;" "&amp;Milestones!$AB$89&amp;" "&amp;IF(AND(Milestones!$AB$89="FT",Milestones!$AA$89=FT_Y5,EDATE($D100,Milestones!$AA$89)&lt;PolicyEff),1,Milestones!$AC$89)&amp;";  ","")&amp;IF(AND(EDATE($D100,Milestones!$AA$90)&lt;=AsOfDate,EDATE($D100,Milestones!$AA$90)&gt;=SchemeStart,IF($X100=0,$AD100,IF(AND($Z100&lt;&gt;"",EDATE($D100,Milestones!$AA$90)&gt;=$Z100),$AC100,IF(AND($Y100&lt;&gt;"",EDATE($D100,Milestones!$AA$90)&gt;=$Y100),$AB100,$AA100)))=Milestones!$AB$90),UPPER(TEXT(EDATE($D100,Milestones!$AA$90),"dd mmm yy"))&amp;" "&amp;Milestones!$AB$90&amp;" "&amp;IF(AND(Milestones!$AB$90="FT",Milestones!$AA$90=FT_Y5,EDATE($D100,Milestones!$AA$90)&lt;PolicyEff),1,Milestones!$AC$90)&amp;";  ","")&amp;IF(AND(EDATE($D100,Milestones!$AA$91)&lt;=AsOfDate,EDATE($D100,Milestones!$AA$91)&gt;=SchemeStart,IF($X100=0,$AD100,IF(AND($Z100&lt;&gt;"",EDATE($D100,Milestones!$AA$91)&gt;=$Z100),$AC100,IF(AND($Y100&lt;&gt;"",EDATE($D100,Milestones!$AA$91)&gt;=$Y100),$AB100,$AA100)))=Milestones!$AB$91),UPPER(TEXT(EDATE($D100,Milestones!$AA$91),"dd mmm yy"))&amp;" "&amp;Milestones!$AB$91&amp;" "&amp;IF(AND(Milestones!$AB$91="FT",Milestones!$AA$91=FT_Y5,EDATE($D100,Milestones!$AA$91)&lt;PolicyEff),1,Milestones!$AC$91)&amp;";  ",""))</f>
        <v/>
      </c>
      <c r="O100" s="0" t="str">
        <f aca="false">IF(OR($A100="",$D100=""),"",IF(AND(EDATE($D100,Milestones!$AA$92)&lt;=AsOfDate,EDATE($D100,Milestones!$AA$92)&gt;=SchemeStart,IF($X100=0,$AD100,IF(AND($Z100&lt;&gt;"",EDATE($D100,Milestones!$AA$92)&gt;=$Z100),$AC100,IF(AND($Y100&lt;&gt;"",EDATE($D100,Milestones!$AA$92)&gt;=$Y100),$AB100,$AA100)))=Milestones!$AB$92),UPPER(TEXT(EDATE($D100,Milestones!$AA$92),"dd mmm yy"))&amp;" "&amp;Milestones!$AB$92&amp;" "&amp;IF(AND(Milestones!$AB$92="FT",Milestones!$AA$92=FT_Y5,EDATE($D100,Milestones!$AA$92)&lt;PolicyEff),1,Milestones!$AC$92)&amp;";  ","")&amp;IF(AND(EDATE($D100,Milestones!$AA$93)&lt;=AsOfDate,EDATE($D100,Milestones!$AA$93)&gt;=SchemeStart,IF($X100=0,$AD100,IF(AND($Z100&lt;&gt;"",EDATE($D100,Milestones!$AA$93)&gt;=$Z100),$AC100,IF(AND($Y100&lt;&gt;"",EDATE($D100,Milestones!$AA$93)&gt;=$Y100),$AB100,$AA100)))=Milestones!$AB$93),UPPER(TEXT(EDATE($D100,Milestones!$AA$93),"dd mmm yy"))&amp;" "&amp;Milestones!$AB$93&amp;" "&amp;IF(AND(Milestones!$AB$93="FT",Milestones!$AA$93=FT_Y5,EDATE($D100,Milestones!$AA$93)&lt;PolicyEff),1,Milestones!$AC$93)&amp;";  ","")&amp;IF(AND(EDATE($D100,Milestones!$AA$94)&lt;=AsOfDate,EDATE($D100,Milestones!$AA$94)&gt;=SchemeStart,IF($X100=0,$AD100,IF(AND($Z100&lt;&gt;"",EDATE($D100,Milestones!$AA$94)&gt;=$Z100),$AC100,IF(AND($Y100&lt;&gt;"",EDATE($D100,Milestones!$AA$94)&gt;=$Y100),$AB100,$AA100)))=Milestones!$AB$94),UPPER(TEXT(EDATE($D100,Milestones!$AA$94),"dd mmm yy"))&amp;" "&amp;Milestones!$AB$94&amp;" "&amp;IF(AND(Milestones!$AB$94="FT",Milestones!$AA$94=FT_Y5,EDATE($D100,Milestones!$AA$94)&lt;PolicyEff),1,Milestones!$AC$94)&amp;";  ","")&amp;IF(AND(EDATE($D100,Milestones!$AA$95)&lt;=AsOfDate,EDATE($D100,Milestones!$AA$95)&gt;=SchemeStart,IF($X100=0,$AD100,IF(AND($Z100&lt;&gt;"",EDATE($D100,Milestones!$AA$95)&gt;=$Z100),$AC100,IF(AND($Y100&lt;&gt;"",EDATE($D100,Milestones!$AA$95)&gt;=$Y100),$AB100,$AA100)))=Milestones!$AB$95),UPPER(TEXT(EDATE($D100,Milestones!$AA$95),"dd mmm yy"))&amp;" "&amp;Milestones!$AB$95&amp;" "&amp;IF(AND(Milestones!$AB$95="FT",Milestones!$AA$95=FT_Y5,EDATE($D100,Milestones!$AA$95)&lt;PolicyEff),1,Milestones!$AC$95)&amp;";  ","")&amp;IF(AND(EDATE($D100,Milestones!$AA$96)&lt;=AsOfDate,EDATE($D100,Milestones!$AA$96)&gt;=SchemeStart,IF($X100=0,$AD100,IF(AND($Z100&lt;&gt;"",EDATE($D100,Milestones!$AA$96)&gt;=$Z100),$AC100,IF(AND($Y100&lt;&gt;"",EDATE($D100,Milestones!$AA$96)&gt;=$Y100),$AB100,$AA100)))=Milestones!$AB$96),UPPER(TEXT(EDATE($D100,Milestones!$AA$96),"dd mmm yy"))&amp;" "&amp;Milestones!$AB$96&amp;" "&amp;IF(AND(Milestones!$AB$96="FT",Milestones!$AA$96=FT_Y5,EDATE($D100,Milestones!$AA$96)&lt;PolicyEff),1,Milestones!$AC$96)&amp;";  ","")&amp;IF(AND(EDATE($D100,Milestones!$AA$97)&lt;=AsOfDate,EDATE($D100,Milestones!$AA$97)&gt;=SchemeStart,IF($X100=0,$AD100,IF(AND($Z100&lt;&gt;"",EDATE($D100,Milestones!$AA$97)&gt;=$Z100),$AC100,IF(AND($Y100&lt;&gt;"",EDATE($D100,Milestones!$AA$97)&gt;=$Y100),$AB100,$AA100)))=Milestones!$AB$97),UPPER(TEXT(EDATE($D100,Milestones!$AA$97),"dd mmm yy"))&amp;" "&amp;Milestones!$AB$97&amp;" "&amp;IF(AND(Milestones!$AB$97="FT",Milestones!$AA$97=FT_Y5,EDATE($D100,Milestones!$AA$97)&lt;PolicyEff),1,Milestones!$AC$97)&amp;";  ","")&amp;IF(AND(EDATE($D100,Milestones!$AA$98)&lt;=AsOfDate,EDATE($D100,Milestones!$AA$98)&gt;=SchemeStart,IF($X100=0,$AD100,IF(AND($Z100&lt;&gt;"",EDATE($D100,Milestones!$AA$98)&gt;=$Z100),$AC100,IF(AND($Y100&lt;&gt;"",EDATE($D100,Milestones!$AA$98)&gt;=$Y100),$AB100,$AA100)))=Milestones!$AB$98),UPPER(TEXT(EDATE($D100,Milestones!$AA$98),"dd mmm yy"))&amp;" "&amp;Milestones!$AB$98&amp;" "&amp;IF(AND(Milestones!$AB$98="FT",Milestones!$AA$98=FT_Y5,EDATE($D100,Milestones!$AA$98)&lt;PolicyEff),1,Milestones!$AC$98)&amp;";  ","")&amp;IF(AND(EDATE($D100,Milestones!$AA$99)&lt;=AsOfDate,EDATE($D100,Milestones!$AA$99)&gt;=SchemeStart,IF($X100=0,$AD100,IF(AND($Z100&lt;&gt;"",EDATE($D100,Milestones!$AA$99)&gt;=$Z100),$AC100,IF(AND($Y100&lt;&gt;"",EDATE($D100,Milestones!$AA$99)&gt;=$Y100),$AB100,$AA100)))=Milestones!$AB$99),UPPER(TEXT(EDATE($D100,Milestones!$AA$99),"dd mmm yy"))&amp;" "&amp;Milestones!$AB$99&amp;" "&amp;IF(AND(Milestones!$AB$99="FT",Milestones!$AA$99=FT_Y5,EDATE($D100,Milestones!$AA$99)&lt;PolicyEff),1,Milestones!$AC$99)&amp;";  ","")&amp;IF(AND(EDATE($D100,Milestones!$AA$100)&lt;=AsOfDate,EDATE($D100,Milestones!$AA$100)&gt;=SchemeStart,IF($X100=0,$AD100,IF(AND($Z100&lt;&gt;"",EDATE($D100,Milestones!$AA$100)&gt;=$Z100),$AC100,IF(AND($Y100&lt;&gt;"",EDATE($D100,Milestones!$AA$100)&gt;=$Y100),$AB100,$AA100)))=Milestones!$AB$100),UPPER(TEXT(EDATE($D100,Milestones!$AA$100),"dd mmm yy"))&amp;" "&amp;Milestones!$AB$100&amp;" "&amp;IF(AND(Milestones!$AB$100="FT",Milestones!$AA$100=FT_Y5,EDATE($D100,Milestones!$AA$100)&lt;PolicyEff),1,Milestones!$AC$100)&amp;";  ","")&amp;IF(AND(EDATE($D100,Milestones!$AA$101)&lt;=AsOfDate,EDATE($D100,Milestones!$AA$101)&gt;=SchemeStart,IF($X100=0,$AD100,IF(AND($Z100&lt;&gt;"",EDATE($D100,Milestones!$AA$101)&gt;=$Z100),$AC100,IF(AND($Y100&lt;&gt;"",EDATE($D100,Milestones!$AA$101)&gt;=$Y100),$AB100,$AA100)))=Milestones!$AB$101),UPPER(TEXT(EDATE($D100,Milestones!$AA$101),"dd mmm yy"))&amp;" "&amp;Milestones!$AB$101&amp;" "&amp;IF(AND(Milestones!$AB$101="FT",Milestones!$AA$101=FT_Y5,EDATE($D100,Milestones!$AA$101)&lt;PolicyEff),1,Milestones!$AC$101)&amp;";  ","")&amp;IF(AND(EDATE($D100,Milestones!$AA$102)&lt;=AsOfDate,EDATE($D100,Milestones!$AA$102)&gt;=SchemeStart,IF($X100=0,$AD100,IF(AND($Z100&lt;&gt;"",EDATE($D100,Milestones!$AA$102)&gt;=$Z100),$AC100,IF(AND($Y100&lt;&gt;"",EDATE($D100,Milestones!$AA$102)&gt;=$Y100),$AB100,$AA100)))=Milestones!$AB$102),UPPER(TEXT(EDATE($D100,Milestones!$AA$102),"dd mmm yy"))&amp;" "&amp;Milestones!$AB$102&amp;" "&amp;IF(AND(Milestones!$AB$102="FT",Milestones!$AA$102=FT_Y5,EDATE($D100,Milestones!$AA$102)&lt;PolicyEff),1,Milestones!$AC$102)&amp;";  ","")&amp;IF(AND(EDATE($D100,Milestones!$AA$103)&lt;=AsOfDate,EDATE($D100,Milestones!$AA$103)&gt;=SchemeStart,IF($X100=0,$AD100,IF(AND($Z100&lt;&gt;"",EDATE($D100,Milestones!$AA$103)&gt;=$Z100),$AC100,IF(AND($Y100&lt;&gt;"",EDATE($D100,Milestones!$AA$103)&gt;=$Y100),$AB100,$AA100)))=Milestones!$AB$103),UPPER(TEXT(EDATE($D100,Milestones!$AA$103),"dd mmm yy"))&amp;" "&amp;Milestones!$AB$103&amp;" "&amp;IF(AND(Milestones!$AB$103="FT",Milestones!$AA$103=FT_Y5,EDATE($D100,Milestones!$AA$103)&lt;PolicyEff),1,Milestones!$AC$103)&amp;";  ",""))</f>
        <v/>
      </c>
      <c r="P100" s="0" t="str">
        <f aca="false">IF(OR($A100="",$D100=""),"",IF(AND(EDATE($D100,Milestones!$AA$104)&lt;=AsOfDate,EDATE($D100,Milestones!$AA$104)&gt;=SchemeStart,IF($X100=0,$AD100,IF(AND($Z100&lt;&gt;"",EDATE($D100,Milestones!$AA$104)&gt;=$Z100),$AC100,IF(AND($Y100&lt;&gt;"",EDATE($D100,Milestones!$AA$104)&gt;=$Y100),$AB100,$AA100)))=Milestones!$AB$104),UPPER(TEXT(EDATE($D100,Milestones!$AA$104),"dd mmm yy"))&amp;" "&amp;Milestones!$AB$104&amp;" "&amp;IF(AND(Milestones!$AB$104="FT",Milestones!$AA$104=FT_Y5,EDATE($D100,Milestones!$AA$104)&lt;PolicyEff),1,Milestones!$AC$104)&amp;";  ","")&amp;IF(AND(EDATE($D100,Milestones!$AA$105)&lt;=AsOfDate,EDATE($D100,Milestones!$AA$105)&gt;=SchemeStart,IF($X100=0,$AD100,IF(AND($Z100&lt;&gt;"",EDATE($D100,Milestones!$AA$105)&gt;=$Z100),$AC100,IF(AND($Y100&lt;&gt;"",EDATE($D100,Milestones!$AA$105)&gt;=$Y100),$AB100,$AA100)))=Milestones!$AB$105),UPPER(TEXT(EDATE($D100,Milestones!$AA$105),"dd mmm yy"))&amp;" "&amp;Milestones!$AB$105&amp;" "&amp;IF(AND(Milestones!$AB$105="FT",Milestones!$AA$105=FT_Y5,EDATE($D100,Milestones!$AA$105)&lt;PolicyEff),1,Milestones!$AC$105)&amp;";  ","")&amp;IF(AND(EDATE($D100,Milestones!$AA$106)&lt;=AsOfDate,EDATE($D100,Milestones!$AA$106)&gt;=SchemeStart,IF($X100=0,$AD100,IF(AND($Z100&lt;&gt;"",EDATE($D100,Milestones!$AA$106)&gt;=$Z100),$AC100,IF(AND($Y100&lt;&gt;"",EDATE($D100,Milestones!$AA$106)&gt;=$Y100),$AB100,$AA100)))=Milestones!$AB$106),UPPER(TEXT(EDATE($D100,Milestones!$AA$106),"dd mmm yy"))&amp;" "&amp;Milestones!$AB$106&amp;" "&amp;IF(AND(Milestones!$AB$106="FT",Milestones!$AA$106=FT_Y5,EDATE($D100,Milestones!$AA$106)&lt;PolicyEff),1,Milestones!$AC$106)&amp;";  ","")&amp;IF(AND(EDATE($D100,Milestones!$AA$107)&lt;=AsOfDate,EDATE($D100,Milestones!$AA$107)&gt;=SchemeStart,IF($X100=0,$AD100,IF(AND($Z100&lt;&gt;"",EDATE($D100,Milestones!$AA$107)&gt;=$Z100),$AC100,IF(AND($Y100&lt;&gt;"",EDATE($D100,Milestones!$AA$107)&gt;=$Y100),$AB100,$AA100)))=Milestones!$AB$107),UPPER(TEXT(EDATE($D100,Milestones!$AA$107),"dd mmm yy"))&amp;" "&amp;Milestones!$AB$107&amp;" "&amp;IF(AND(Milestones!$AB$107="FT",Milestones!$AA$107=FT_Y5,EDATE($D100,Milestones!$AA$107)&lt;PolicyEff),1,Milestones!$AC$107)&amp;";  ","")&amp;IF(AND(EDATE($D100,Milestones!$AA$108)&lt;=AsOfDate,EDATE($D100,Milestones!$AA$108)&gt;=SchemeStart,IF($X100=0,$AD100,IF(AND($Z100&lt;&gt;"",EDATE($D100,Milestones!$AA$108)&gt;=$Z100),$AC100,IF(AND($Y100&lt;&gt;"",EDATE($D100,Milestones!$AA$108)&gt;=$Y100),$AB100,$AA100)))=Milestones!$AB$108),UPPER(TEXT(EDATE($D100,Milestones!$AA$108),"dd mmm yy"))&amp;" "&amp;Milestones!$AB$108&amp;" "&amp;IF(AND(Milestones!$AB$108="FT",Milestones!$AA$108=FT_Y5,EDATE($D100,Milestones!$AA$108)&lt;PolicyEff),1,Milestones!$AC$108)&amp;";  ","")&amp;IF(AND(EDATE($D100,Milestones!$AA$109)&lt;=AsOfDate,EDATE($D100,Milestones!$AA$109)&gt;=SchemeStart,IF($X100=0,$AD100,IF(AND($Z100&lt;&gt;"",EDATE($D100,Milestones!$AA$109)&gt;=$Z100),$AC100,IF(AND($Y100&lt;&gt;"",EDATE($D100,Milestones!$AA$109)&gt;=$Y100),$AB100,$AA100)))=Milestones!$AB$109),UPPER(TEXT(EDATE($D100,Milestones!$AA$109),"dd mmm yy"))&amp;" "&amp;Milestones!$AB$109&amp;" "&amp;IF(AND(Milestones!$AB$109="FT",Milestones!$AA$109=FT_Y5,EDATE($D100,Milestones!$AA$109)&lt;PolicyEff),1,Milestones!$AC$109)&amp;";  ","")&amp;IF(AND(EDATE($D100,Milestones!$AA$110)&lt;=AsOfDate,EDATE($D100,Milestones!$AA$110)&gt;=SchemeStart,IF($X100=0,$AD100,IF(AND($Z100&lt;&gt;"",EDATE($D100,Milestones!$AA$110)&gt;=$Z100),$AC100,IF(AND($Y100&lt;&gt;"",EDATE($D100,Milestones!$AA$110)&gt;=$Y100),$AB100,$AA100)))=Milestones!$AB$110),UPPER(TEXT(EDATE($D100,Milestones!$AA$110),"dd mmm yy"))&amp;" "&amp;Milestones!$AB$110&amp;" "&amp;IF(AND(Milestones!$AB$110="FT",Milestones!$AA$110=FT_Y5,EDATE($D100,Milestones!$AA$110)&lt;PolicyEff),1,Milestones!$AC$110)&amp;";  ","")&amp;IF(AND(EDATE($D100,Milestones!$AA$111)&lt;=AsOfDate,EDATE($D100,Milestones!$AA$111)&gt;=SchemeStart,IF($X100=0,$AD100,IF(AND($Z100&lt;&gt;"",EDATE($D100,Milestones!$AA$111)&gt;=$Z100),$AC100,IF(AND($Y100&lt;&gt;"",EDATE($D100,Milestones!$AA$111)&gt;=$Y100),$AB100,$AA100)))=Milestones!$AB$111),UPPER(TEXT(EDATE($D100,Milestones!$AA$111),"dd mmm yy"))&amp;" "&amp;Milestones!$AB$111&amp;" "&amp;IF(AND(Milestones!$AB$111="FT",Milestones!$AA$111=FT_Y5,EDATE($D100,Milestones!$AA$111)&lt;PolicyEff),1,Milestones!$AC$111)&amp;";  ","")&amp;IF(AND(EDATE($D100,Milestones!$AA$112)&lt;=AsOfDate,EDATE($D100,Milestones!$AA$112)&gt;=SchemeStart,IF($X100=0,$AD100,IF(AND($Z100&lt;&gt;"",EDATE($D100,Milestones!$AA$112)&gt;=$Z100),$AC100,IF(AND($Y100&lt;&gt;"",EDATE($D100,Milestones!$AA$112)&gt;=$Y100),$AB100,$AA100)))=Milestones!$AB$112),UPPER(TEXT(EDATE($D100,Milestones!$AA$112),"dd mmm yy"))&amp;" "&amp;Milestones!$AB$112&amp;" "&amp;IF(AND(Milestones!$AB$112="FT",Milestones!$AA$112=FT_Y5,EDATE($D100,Milestones!$AA$112)&lt;PolicyEff),1,Milestones!$AC$112)&amp;";  ","")&amp;IF(AND(EDATE($D100,Milestones!$AA$113)&lt;=AsOfDate,EDATE($D100,Milestones!$AA$113)&gt;=SchemeStart,IF($X100=0,$AD100,IF(AND($Z100&lt;&gt;"",EDATE($D100,Milestones!$AA$113)&gt;=$Z100),$AC100,IF(AND($Y100&lt;&gt;"",EDATE($D100,Milestones!$AA$113)&gt;=$Y100),$AB100,$AA100)))=Milestones!$AB$113),UPPER(TEXT(EDATE($D100,Milestones!$AA$113),"dd mmm yy"))&amp;" "&amp;Milestones!$AB$113&amp;" "&amp;IF(AND(Milestones!$AB$113="FT",Milestones!$AA$113=FT_Y5,EDATE($D100,Milestones!$AA$113)&lt;PolicyEff),1,Milestones!$AC$113)&amp;";  ","")&amp;IF(AND(EDATE($D100,Milestones!$AA$114)&lt;=AsOfDate,EDATE($D100,Milestones!$AA$114)&gt;=SchemeStart,IF($X100=0,$AD100,IF(AND($Z100&lt;&gt;"",EDATE($D100,Milestones!$AA$114)&gt;=$Z100),$AC100,IF(AND($Y100&lt;&gt;"",EDATE($D100,Milestones!$AA$114)&gt;=$Y100),$AB100,$AA100)))=Milestones!$AB$114),UPPER(TEXT(EDATE($D100,Milestones!$AA$114),"dd mmm yy"))&amp;" "&amp;Milestones!$AB$114&amp;" "&amp;IF(AND(Milestones!$AB$114="FT",Milestones!$AA$114=FT_Y5,EDATE($D100,Milestones!$AA$114)&lt;PolicyEff),1,Milestones!$AC$114)&amp;";  ","")&amp;IF(AND(EDATE($D100,Milestones!$AA$115)&lt;=AsOfDate,EDATE($D100,Milestones!$AA$115)&gt;=SchemeStart,IF($X100=0,$AD100,IF(AND($Z100&lt;&gt;"",EDATE($D100,Milestones!$AA$115)&gt;=$Z100),$AC100,IF(AND($Y100&lt;&gt;"",EDATE($D100,Milestones!$AA$115)&gt;=$Y100),$AB100,$AA100)))=Milestones!$AB$115),UPPER(TEXT(EDATE($D100,Milestones!$AA$115),"dd mmm yy"))&amp;" "&amp;Milestones!$AB$115&amp;" "&amp;IF(AND(Milestones!$AB$115="FT",Milestones!$AA$115=FT_Y5,EDATE($D100,Milestones!$AA$115)&lt;PolicyEff),1,Milestones!$AC$115)&amp;";  ",""))</f>
        <v/>
      </c>
      <c r="Q100" s="0" t="str">
        <f aca="false">IF(OR($A100="",$D100=""),"",IF(AND(EDATE($D100,Milestones!$AA$116)&lt;=AsOfDate,EDATE($D100,Milestones!$AA$116)&gt;=SchemeStart,IF($X100=0,$AD100,IF(AND($Z100&lt;&gt;"",EDATE($D100,Milestones!$AA$116)&gt;=$Z100),$AC100,IF(AND($Y100&lt;&gt;"",EDATE($D100,Milestones!$AA$116)&gt;=$Y100),$AB100,$AA100)))=Milestones!$AB$116),UPPER(TEXT(EDATE($D100,Milestones!$AA$116),"dd mmm yy"))&amp;" "&amp;Milestones!$AB$116&amp;" "&amp;IF(AND(Milestones!$AB$116="FT",Milestones!$AA$116=FT_Y5,EDATE($D100,Milestones!$AA$116)&lt;PolicyEff),1,Milestones!$AC$116)&amp;";  ","")&amp;IF(AND(EDATE($D100,Milestones!$AA$117)&lt;=AsOfDate,EDATE($D100,Milestones!$AA$117)&gt;=SchemeStart,IF($X100=0,$AD100,IF(AND($Z100&lt;&gt;"",EDATE($D100,Milestones!$AA$117)&gt;=$Z100),$AC100,IF(AND($Y100&lt;&gt;"",EDATE($D100,Milestones!$AA$117)&gt;=$Y100),$AB100,$AA100)))=Milestones!$AB$117),UPPER(TEXT(EDATE($D100,Milestones!$AA$117),"dd mmm yy"))&amp;" "&amp;Milestones!$AB$117&amp;" "&amp;IF(AND(Milestones!$AB$117="FT",Milestones!$AA$117=FT_Y5,EDATE($D100,Milestones!$AA$117)&lt;PolicyEff),1,Milestones!$AC$117)&amp;";  ","")&amp;IF(AND(EDATE($D100,Milestones!$AA$118)&lt;=AsOfDate,EDATE($D100,Milestones!$AA$118)&gt;=SchemeStart,IF($X100=0,$AD100,IF(AND($Z100&lt;&gt;"",EDATE($D100,Milestones!$AA$118)&gt;=$Z100),$AC100,IF(AND($Y100&lt;&gt;"",EDATE($D100,Milestones!$AA$118)&gt;=$Y100),$AB100,$AA100)))=Milestones!$AB$118),UPPER(TEXT(EDATE($D100,Milestones!$AA$118),"dd mmm yy"))&amp;" "&amp;Milestones!$AB$118&amp;" "&amp;IF(AND(Milestones!$AB$118="FT",Milestones!$AA$118=FT_Y5,EDATE($D100,Milestones!$AA$118)&lt;PolicyEff),1,Milestones!$AC$118)&amp;";  ","")&amp;IF(AND(EDATE($D100,Milestones!$AA$119)&lt;=AsOfDate,EDATE($D100,Milestones!$AA$119)&gt;=SchemeStart,IF($X100=0,$AD100,IF(AND($Z100&lt;&gt;"",EDATE($D100,Milestones!$AA$119)&gt;=$Z100),$AC100,IF(AND($Y100&lt;&gt;"",EDATE($D100,Milestones!$AA$119)&gt;=$Y100),$AB100,$AA100)))=Milestones!$AB$119),UPPER(TEXT(EDATE($D100,Milestones!$AA$119),"dd mmm yy"))&amp;" "&amp;Milestones!$AB$119&amp;" "&amp;IF(AND(Milestones!$AB$119="FT",Milestones!$AA$119=FT_Y5,EDATE($D100,Milestones!$AA$119)&lt;PolicyEff),1,Milestones!$AC$119)&amp;";  ","")&amp;IF(AND(EDATE($D100,Milestones!$AA$120)&lt;=AsOfDate,EDATE($D100,Milestones!$AA$120)&gt;=SchemeStart,IF($X100=0,$AD100,IF(AND($Z100&lt;&gt;"",EDATE($D100,Milestones!$AA$120)&gt;=$Z100),$AC100,IF(AND($Y100&lt;&gt;"",EDATE($D100,Milestones!$AA$120)&gt;=$Y100),$AB100,$AA100)))=Milestones!$AB$120),UPPER(TEXT(EDATE($D100,Milestones!$AA$120),"dd mmm yy"))&amp;" "&amp;Milestones!$AB$120&amp;" "&amp;IF(AND(Milestones!$AB$120="FT",Milestones!$AA$120=FT_Y5,EDATE($D100,Milestones!$AA$120)&lt;PolicyEff),1,Milestones!$AC$120)&amp;";  ","")&amp;IF(AND(EDATE($D100,Milestones!$AA$121)&lt;=AsOfDate,EDATE($D100,Milestones!$AA$121)&gt;=SchemeStart,IF($X100=0,$AD100,IF(AND($Z100&lt;&gt;"",EDATE($D100,Milestones!$AA$121)&gt;=$Z100),$AC100,IF(AND($Y100&lt;&gt;"",EDATE($D100,Milestones!$AA$121)&gt;=$Y100),$AB100,$AA100)))=Milestones!$AB$121),UPPER(TEXT(EDATE($D100,Milestones!$AA$121),"dd mmm yy"))&amp;" "&amp;Milestones!$AB$121&amp;" "&amp;IF(AND(Milestones!$AB$121="FT",Milestones!$AA$121=FT_Y5,EDATE($D100,Milestones!$AA$121)&lt;PolicyEff),1,Milestones!$AC$121)&amp;";  ","")&amp;IF(AND(EDATE($D100,Milestones!$AA$122)&lt;=AsOfDate,EDATE($D100,Milestones!$AA$122)&gt;=SchemeStart,IF($X100=0,$AD100,IF(AND($Z100&lt;&gt;"",EDATE($D100,Milestones!$AA$122)&gt;=$Z100),$AC100,IF(AND($Y100&lt;&gt;"",EDATE($D100,Milestones!$AA$122)&gt;=$Y100),$AB100,$AA100)))=Milestones!$AB$122),UPPER(TEXT(EDATE($D100,Milestones!$AA$122),"dd mmm yy"))&amp;" "&amp;Milestones!$AB$122&amp;" "&amp;IF(AND(Milestones!$AB$122="FT",Milestones!$AA$122=FT_Y5,EDATE($D100,Milestones!$AA$122)&lt;PolicyEff),1,Milestones!$AC$122)&amp;";  ","")&amp;IF(AND(EDATE($D100,Milestones!$AA$123)&lt;=AsOfDate,EDATE($D100,Milestones!$AA$123)&gt;=SchemeStart,IF($X100=0,$AD100,IF(AND($Z100&lt;&gt;"",EDATE($D100,Milestones!$AA$123)&gt;=$Z100),$AC100,IF(AND($Y100&lt;&gt;"",EDATE($D100,Milestones!$AA$123)&gt;=$Y100),$AB100,$AA100)))=Milestones!$AB$123),UPPER(TEXT(EDATE($D100,Milestones!$AA$123),"dd mmm yy"))&amp;" "&amp;Milestones!$AB$123&amp;" "&amp;IF(AND(Milestones!$AB$123="FT",Milestones!$AA$123=FT_Y5,EDATE($D100,Milestones!$AA$123)&lt;PolicyEff),1,Milestones!$AC$123)&amp;";  ","")&amp;IF(AND(EDATE($D100,Milestones!$AA$124)&lt;=AsOfDate,EDATE($D100,Milestones!$AA$124)&gt;=SchemeStart,IF($X100=0,$AD100,IF(AND($Z100&lt;&gt;"",EDATE($D100,Milestones!$AA$124)&gt;=$Z100),$AC100,IF(AND($Y100&lt;&gt;"",EDATE($D100,Milestones!$AA$124)&gt;=$Y100),$AB100,$AA100)))=Milestones!$AB$124),UPPER(TEXT(EDATE($D100,Milestones!$AA$124),"dd mmm yy"))&amp;" "&amp;Milestones!$AB$124&amp;" "&amp;IF(AND(Milestones!$AB$124="FT",Milestones!$AA$124=FT_Y5,EDATE($D100,Milestones!$AA$124)&lt;PolicyEff),1,Milestones!$AC$124)&amp;";  ","")&amp;IF(AND(EDATE($D100,Milestones!$AA$125)&lt;=AsOfDate,EDATE($D100,Milestones!$AA$125)&gt;=SchemeStart,IF($X100=0,$AD100,IF(AND($Z100&lt;&gt;"",EDATE($D100,Milestones!$AA$125)&gt;=$Z100),$AC100,IF(AND($Y100&lt;&gt;"",EDATE($D100,Milestones!$AA$125)&gt;=$Y100),$AB100,$AA100)))=Milestones!$AB$125),UPPER(TEXT(EDATE($D100,Milestones!$AA$125),"dd mmm yy"))&amp;" "&amp;Milestones!$AB$125&amp;" "&amp;IF(AND(Milestones!$AB$125="FT",Milestones!$AA$125=FT_Y5,EDATE($D100,Milestones!$AA$125)&lt;PolicyEff),1,Milestones!$AC$125)&amp;";  ","")&amp;IF(AND(EDATE($D100,Milestones!$AA$126)&lt;=AsOfDate,EDATE($D100,Milestones!$AA$126)&gt;=SchemeStart,IF($X100=0,$AD100,IF(AND($Z100&lt;&gt;"",EDATE($D100,Milestones!$AA$126)&gt;=$Z100),$AC100,IF(AND($Y100&lt;&gt;"",EDATE($D100,Milestones!$AA$126)&gt;=$Y100),$AB100,$AA100)))=Milestones!$AB$126),UPPER(TEXT(EDATE($D100,Milestones!$AA$126),"dd mmm yy"))&amp;" "&amp;Milestones!$AB$126&amp;" "&amp;IF(AND(Milestones!$AB$126="FT",Milestones!$AA$126=FT_Y5,EDATE($D100,Milestones!$AA$126)&lt;PolicyEff),1,Milestones!$AC$126)&amp;";  ","")&amp;IF(AND(EDATE($D100,Milestones!$AA$127)&lt;=AsOfDate,EDATE($D100,Milestones!$AA$127)&gt;=SchemeStart,IF($X100=0,$AD100,IF(AND($Z100&lt;&gt;"",EDATE($D100,Milestones!$AA$127)&gt;=$Z100),$AC100,IF(AND($Y100&lt;&gt;"",EDATE($D100,Milestones!$AA$127)&gt;=$Y100),$AB100,$AA100)))=Milestones!$AB$127),UPPER(TEXT(EDATE($D100,Milestones!$AA$127),"dd mmm yy"))&amp;" "&amp;Milestones!$AB$127&amp;" "&amp;IF(AND(Milestones!$AB$127="FT",Milestones!$AA$127=FT_Y5,EDATE($D100,Milestones!$AA$127)&lt;PolicyEff),1,Milestones!$AC$127)&amp;";  ",""))</f>
        <v/>
      </c>
      <c r="R100" s="0" t="str">
        <f aca="false">IF(OR($A100="",$D100=""),"",IF(AND(EDATE($D100,Milestones!$AA$128)&lt;=AsOfDate,EDATE($D100,Milestones!$AA$128)&gt;=SchemeStart,IF($X100=0,$AD100,IF(AND($Z100&lt;&gt;"",EDATE($D100,Milestones!$AA$128)&gt;=$Z100),$AC100,IF(AND($Y100&lt;&gt;"",EDATE($D100,Milestones!$AA$128)&gt;=$Y100),$AB100,$AA100)))=Milestones!$AB$128),UPPER(TEXT(EDATE($D100,Milestones!$AA$128),"dd mmm yy"))&amp;" "&amp;Milestones!$AB$128&amp;" "&amp;IF(AND(Milestones!$AB$128="FT",Milestones!$AA$128=FT_Y5,EDATE($D100,Milestones!$AA$128)&lt;PolicyEff),1,Milestones!$AC$128)&amp;";  ","")&amp;IF(AND(EDATE($D100,Milestones!$AA$129)&lt;=AsOfDate,EDATE($D100,Milestones!$AA$129)&gt;=SchemeStart,IF($X100=0,$AD100,IF(AND($Z100&lt;&gt;"",EDATE($D100,Milestones!$AA$129)&gt;=$Z100),$AC100,IF(AND($Y100&lt;&gt;"",EDATE($D100,Milestones!$AA$129)&gt;=$Y100),$AB100,$AA100)))=Milestones!$AB$129),UPPER(TEXT(EDATE($D100,Milestones!$AA$129),"dd mmm yy"))&amp;" "&amp;Milestones!$AB$129&amp;" "&amp;IF(AND(Milestones!$AB$129="FT",Milestones!$AA$129=FT_Y5,EDATE($D100,Milestones!$AA$129)&lt;PolicyEff),1,Milestones!$AC$129)&amp;";  ","")&amp;IF(AND(EDATE($D100,Milestones!$AA$130)&lt;=AsOfDate,EDATE($D100,Milestones!$AA$130)&gt;=SchemeStart,IF($X100=0,$AD100,IF(AND($Z100&lt;&gt;"",EDATE($D100,Milestones!$AA$130)&gt;=$Z100),$AC100,IF(AND($Y100&lt;&gt;"",EDATE($D100,Milestones!$AA$130)&gt;=$Y100),$AB100,$AA100)))=Milestones!$AB$130),UPPER(TEXT(EDATE($D100,Milestones!$AA$130),"dd mmm yy"))&amp;" "&amp;Milestones!$AB$130&amp;" "&amp;IF(AND(Milestones!$AB$130="FT",Milestones!$AA$130=FT_Y5,EDATE($D100,Milestones!$AA$130)&lt;PolicyEff),1,Milestones!$AC$130)&amp;";  ","")&amp;IF(AND(EDATE($D100,Milestones!$AA$131)&lt;=AsOfDate,EDATE($D100,Milestones!$AA$131)&gt;=SchemeStart,IF($X100=0,$AD100,IF(AND($Z100&lt;&gt;"",EDATE($D100,Milestones!$AA$131)&gt;=$Z100),$AC100,IF(AND($Y100&lt;&gt;"",EDATE($D100,Milestones!$AA$131)&gt;=$Y100),$AB100,$AA100)))=Milestones!$AB$131),UPPER(TEXT(EDATE($D100,Milestones!$AA$131),"dd mmm yy"))&amp;" "&amp;Milestones!$AB$131&amp;" "&amp;IF(AND(Milestones!$AB$131="FT",Milestones!$AA$131=FT_Y5,EDATE($D100,Milestones!$AA$131)&lt;PolicyEff),1,Milestones!$AC$131)&amp;";  ","")&amp;IF(AND(EDATE($D100,Milestones!$AA$132)&lt;=AsOfDate,EDATE($D100,Milestones!$AA$132)&gt;=SchemeStart,IF($X100=0,$AD100,IF(AND($Z100&lt;&gt;"",EDATE($D100,Milestones!$AA$132)&gt;=$Z100),$AC100,IF(AND($Y100&lt;&gt;"",EDATE($D100,Milestones!$AA$132)&gt;=$Y100),$AB100,$AA100)))=Milestones!$AB$132),UPPER(TEXT(EDATE($D100,Milestones!$AA$132),"dd mmm yy"))&amp;" "&amp;Milestones!$AB$132&amp;" "&amp;IF(AND(Milestones!$AB$132="FT",Milestones!$AA$132=FT_Y5,EDATE($D100,Milestones!$AA$132)&lt;PolicyEff),1,Milestones!$AC$132)&amp;";  ","")&amp;IF(AND(EDATE($D100,Milestones!$AA$133)&lt;=AsOfDate,EDATE($D100,Milestones!$AA$133)&gt;=SchemeStart,IF($X100=0,$AD100,IF(AND($Z100&lt;&gt;"",EDATE($D100,Milestones!$AA$133)&gt;=$Z100),$AC100,IF(AND($Y100&lt;&gt;"",EDATE($D100,Milestones!$AA$133)&gt;=$Y100),$AB100,$AA100)))=Milestones!$AB$133),UPPER(TEXT(EDATE($D100,Milestones!$AA$133),"dd mmm yy"))&amp;" "&amp;Milestones!$AB$133&amp;" "&amp;IF(AND(Milestones!$AB$133="FT",Milestones!$AA$133=FT_Y5,EDATE($D100,Milestones!$AA$133)&lt;PolicyEff),1,Milestones!$AC$133)&amp;";  ","")&amp;IF(AND(EDATE($D100,Milestones!$AA$134)&lt;=AsOfDate,EDATE($D100,Milestones!$AA$134)&gt;=SchemeStart,IF($X100=0,$AD100,IF(AND($Z100&lt;&gt;"",EDATE($D100,Milestones!$AA$134)&gt;=$Z100),$AC100,IF(AND($Y100&lt;&gt;"",EDATE($D100,Milestones!$AA$134)&gt;=$Y100),$AB100,$AA100)))=Milestones!$AB$134),UPPER(TEXT(EDATE($D100,Milestones!$AA$134),"dd mmm yy"))&amp;" "&amp;Milestones!$AB$134&amp;" "&amp;IF(AND(Milestones!$AB$134="FT",Milestones!$AA$134=FT_Y5,EDATE($D100,Milestones!$AA$134)&lt;PolicyEff),1,Milestones!$AC$134)&amp;";  ","")&amp;IF(AND(EDATE($D100,Milestones!$AA$135)&lt;=AsOfDate,EDATE($D100,Milestones!$AA$135)&gt;=SchemeStart,IF($X100=0,$AD100,IF(AND($Z100&lt;&gt;"",EDATE($D100,Milestones!$AA$135)&gt;=$Z100),$AC100,IF(AND($Y100&lt;&gt;"",EDATE($D100,Milestones!$AA$135)&gt;=$Y100),$AB100,$AA100)))=Milestones!$AB$135),UPPER(TEXT(EDATE($D100,Milestones!$AA$135),"dd mmm yy"))&amp;" "&amp;Milestones!$AB$135&amp;" "&amp;IF(AND(Milestones!$AB$135="FT",Milestones!$AA$135=FT_Y5,EDATE($D100,Milestones!$AA$135)&lt;PolicyEff),1,Milestones!$AC$135)&amp;";  ","")&amp;IF(AND(EDATE($D100,Milestones!$AA$136)&lt;=AsOfDate,EDATE($D100,Milestones!$AA$136)&gt;=SchemeStart,IF($X100=0,$AD100,IF(AND($Z100&lt;&gt;"",EDATE($D100,Milestones!$AA$136)&gt;=$Z100),$AC100,IF(AND($Y100&lt;&gt;"",EDATE($D100,Milestones!$AA$136)&gt;=$Y100),$AB100,$AA100)))=Milestones!$AB$136),UPPER(TEXT(EDATE($D100,Milestones!$AA$136),"dd mmm yy"))&amp;" "&amp;Milestones!$AB$136&amp;" "&amp;IF(AND(Milestones!$AB$136="FT",Milestones!$AA$136=FT_Y5,EDATE($D100,Milestones!$AA$136)&lt;PolicyEff),1,Milestones!$AC$136)&amp;";  ","")&amp;IF(AND(EDATE($D100,Milestones!$AA$137)&lt;=AsOfDate,EDATE($D100,Milestones!$AA$137)&gt;=SchemeStart,IF($X100=0,$AD100,IF(AND($Z100&lt;&gt;"",EDATE($D100,Milestones!$AA$137)&gt;=$Z100),$AC100,IF(AND($Y100&lt;&gt;"",EDATE($D100,Milestones!$AA$137)&gt;=$Y100),$AB100,$AA100)))=Milestones!$AB$137),UPPER(TEXT(EDATE($D100,Milestones!$AA$137),"dd mmm yy"))&amp;" "&amp;Milestones!$AB$137&amp;" "&amp;IF(AND(Milestones!$AB$137="FT",Milestones!$AA$137=FT_Y5,EDATE($D100,Milestones!$AA$137)&lt;PolicyEff),1,Milestones!$AC$137)&amp;";  ","")&amp;IF(AND(EDATE($D100,Milestones!$AA$138)&lt;=AsOfDate,EDATE($D100,Milestones!$AA$138)&gt;=SchemeStart,IF($X100=0,$AD100,IF(AND($Z100&lt;&gt;"",EDATE($D100,Milestones!$AA$138)&gt;=$Z100),$AC100,IF(AND($Y100&lt;&gt;"",EDATE($D100,Milestones!$AA$138)&gt;=$Y100),$AB100,$AA100)))=Milestones!$AB$138),UPPER(TEXT(EDATE($D100,Milestones!$AA$138),"dd mmm yy"))&amp;" "&amp;Milestones!$AB$138&amp;" "&amp;IF(AND(Milestones!$AB$138="FT",Milestones!$AA$138=FT_Y5,EDATE($D100,Milestones!$AA$138)&lt;PolicyEff),1,Milestones!$AC$138)&amp;";  ","")&amp;IF(AND(EDATE($D100,Milestones!$AA$139)&lt;=AsOfDate,EDATE($D100,Milestones!$AA$139)&gt;=SchemeStart,IF($X100=0,$AD100,IF(AND($Z100&lt;&gt;"",EDATE($D100,Milestones!$AA$139)&gt;=$Z100),$AC100,IF(AND($Y100&lt;&gt;"",EDATE($D100,Milestones!$AA$139)&gt;=$Y100),$AB100,$AA100)))=Milestones!$AB$139),UPPER(TEXT(EDATE($D100,Milestones!$AA$139),"dd mmm yy"))&amp;" "&amp;Milestones!$AB$139&amp;" "&amp;IF(AND(Milestones!$AB$139="FT",Milestones!$AA$139=FT_Y5,EDATE($D100,Milestones!$AA$139)&lt;PolicyEff),1,Milestones!$AC$139)&amp;";  ",""))</f>
        <v/>
      </c>
      <c r="S100" s="0" t="str">
        <f aca="false">IF(OR($A100="",$D100=""),"",IF(AND(EDATE($D100,Milestones!$AA$140)&lt;=AsOfDate,EDATE($D100,Milestones!$AA$140)&gt;=SchemeStart,IF($X100=0,$AD100,IF(AND($Z100&lt;&gt;"",EDATE($D100,Milestones!$AA$140)&gt;=$Z100),$AC100,IF(AND($Y100&lt;&gt;"",EDATE($D100,Milestones!$AA$140)&gt;=$Y100),$AB100,$AA100)))=Milestones!$AB$140),UPPER(TEXT(EDATE($D100,Milestones!$AA$140),"dd mmm yy"))&amp;" "&amp;Milestones!$AB$140&amp;" "&amp;IF(AND(Milestones!$AB$140="FT",Milestones!$AA$140=FT_Y5,EDATE($D100,Milestones!$AA$140)&lt;PolicyEff),1,Milestones!$AC$140)&amp;";  ","")&amp;IF(AND(EDATE($D100,Milestones!$AA$141)&lt;=AsOfDate,EDATE($D100,Milestones!$AA$141)&gt;=SchemeStart,IF($X100=0,$AD100,IF(AND($Z100&lt;&gt;"",EDATE($D100,Milestones!$AA$141)&gt;=$Z100),$AC100,IF(AND($Y100&lt;&gt;"",EDATE($D100,Milestones!$AA$141)&gt;=$Y100),$AB100,$AA100)))=Milestones!$AB$141),UPPER(TEXT(EDATE($D100,Milestones!$AA$141),"dd mmm yy"))&amp;" "&amp;Milestones!$AB$141&amp;" "&amp;IF(AND(Milestones!$AB$141="FT",Milestones!$AA$141=FT_Y5,EDATE($D100,Milestones!$AA$141)&lt;PolicyEff),1,Milestones!$AC$141)&amp;";  ","")&amp;IF(AND(EDATE($D100,Milestones!$AA$142)&lt;=AsOfDate,EDATE($D100,Milestones!$AA$142)&gt;=SchemeStart,IF($X100=0,$AD100,IF(AND($Z100&lt;&gt;"",EDATE($D100,Milestones!$AA$142)&gt;=$Z100),$AC100,IF(AND($Y100&lt;&gt;"",EDATE($D100,Milestones!$AA$142)&gt;=$Y100),$AB100,$AA100)))=Milestones!$AB$142),UPPER(TEXT(EDATE($D100,Milestones!$AA$142),"dd mmm yy"))&amp;" "&amp;Milestones!$AB$142&amp;" "&amp;IF(AND(Milestones!$AB$142="FT",Milestones!$AA$142=FT_Y5,EDATE($D100,Milestones!$AA$142)&lt;PolicyEff),1,Milestones!$AC$142)&amp;";  ","")&amp;IF(AND(EDATE($D100,Milestones!$AA$143)&lt;=AsOfDate,EDATE($D100,Milestones!$AA$143)&gt;=SchemeStart,IF($X100=0,$AD100,IF(AND($Z100&lt;&gt;"",EDATE($D100,Milestones!$AA$143)&gt;=$Z100),$AC100,IF(AND($Y100&lt;&gt;"",EDATE($D100,Milestones!$AA$143)&gt;=$Y100),$AB100,$AA100)))=Milestones!$AB$143),UPPER(TEXT(EDATE($D100,Milestones!$AA$143),"dd mmm yy"))&amp;" "&amp;Milestones!$AB$143&amp;" "&amp;IF(AND(Milestones!$AB$143="FT",Milestones!$AA$143=FT_Y5,EDATE($D100,Milestones!$AA$143)&lt;PolicyEff),1,Milestones!$AC$143)&amp;";  ","")&amp;IF(AND(EDATE($D100,Milestones!$AA$144)&lt;=AsOfDate,EDATE($D100,Milestones!$AA$144)&gt;=SchemeStart,IF($X100=0,$AD100,IF(AND($Z100&lt;&gt;"",EDATE($D100,Milestones!$AA$144)&gt;=$Z100),$AC100,IF(AND($Y100&lt;&gt;"",EDATE($D100,Milestones!$AA$144)&gt;=$Y100),$AB100,$AA100)))=Milestones!$AB$144),UPPER(TEXT(EDATE($D100,Milestones!$AA$144),"dd mmm yy"))&amp;" "&amp;Milestones!$AB$144&amp;" "&amp;IF(AND(Milestones!$AB$144="FT",Milestones!$AA$144=FT_Y5,EDATE($D100,Milestones!$AA$144)&lt;PolicyEff),1,Milestones!$AC$144)&amp;";  ","")&amp;IF(AND(EDATE($D100,Milestones!$AA$145)&lt;=AsOfDate,EDATE($D100,Milestones!$AA$145)&gt;=SchemeStart,IF($X100=0,$AD100,IF(AND($Z100&lt;&gt;"",EDATE($D100,Milestones!$AA$145)&gt;=$Z100),$AC100,IF(AND($Y100&lt;&gt;"",EDATE($D100,Milestones!$AA$145)&gt;=$Y100),$AB100,$AA100)))=Milestones!$AB$145),UPPER(TEXT(EDATE($D100,Milestones!$AA$145),"dd mmm yy"))&amp;" "&amp;Milestones!$AB$145&amp;" "&amp;IF(AND(Milestones!$AB$145="FT",Milestones!$AA$145=FT_Y5,EDATE($D100,Milestones!$AA$145)&lt;PolicyEff),1,Milestones!$AC$145)&amp;";  ","")&amp;IF(AND(EDATE($D100,Milestones!$AA$146)&lt;=AsOfDate,EDATE($D100,Milestones!$AA$146)&gt;=SchemeStart,IF($X100=0,$AD100,IF(AND($Z100&lt;&gt;"",EDATE($D100,Milestones!$AA$146)&gt;=$Z100),$AC100,IF(AND($Y100&lt;&gt;"",EDATE($D100,Milestones!$AA$146)&gt;=$Y100),$AB100,$AA100)))=Milestones!$AB$146),UPPER(TEXT(EDATE($D100,Milestones!$AA$146),"dd mmm yy"))&amp;" "&amp;Milestones!$AB$146&amp;" "&amp;IF(AND(Milestones!$AB$146="FT",Milestones!$AA$146=FT_Y5,EDATE($D100,Milestones!$AA$146)&lt;PolicyEff),1,Milestones!$AC$146)&amp;";  ","")&amp;IF(AND(EDATE($D100,Milestones!$AA$147)&lt;=AsOfDate,EDATE($D100,Milestones!$AA$147)&gt;=SchemeStart,IF($X100=0,$AD100,IF(AND($Z100&lt;&gt;"",EDATE($D100,Milestones!$AA$147)&gt;=$Z100),$AC100,IF(AND($Y100&lt;&gt;"",EDATE($D100,Milestones!$AA$147)&gt;=$Y100),$AB100,$AA100)))=Milestones!$AB$147),UPPER(TEXT(EDATE($D100,Milestones!$AA$147),"dd mmm yy"))&amp;" "&amp;Milestones!$AB$147&amp;" "&amp;IF(AND(Milestones!$AB$147="FT",Milestones!$AA$147=FT_Y5,EDATE($D100,Milestones!$AA$147)&lt;PolicyEff),1,Milestones!$AC$147)&amp;";  ","")&amp;IF(AND(EDATE($D100,Milestones!$AA$148)&lt;=AsOfDate,EDATE($D100,Milestones!$AA$148)&gt;=SchemeStart,IF($X100=0,$AD100,IF(AND($Z100&lt;&gt;"",EDATE($D100,Milestones!$AA$148)&gt;=$Z100),$AC100,IF(AND($Y100&lt;&gt;"",EDATE($D100,Milestones!$AA$148)&gt;=$Y100),$AB100,$AA100)))=Milestones!$AB$148),UPPER(TEXT(EDATE($D100,Milestones!$AA$148),"dd mmm yy"))&amp;" "&amp;Milestones!$AB$148&amp;" "&amp;IF(AND(Milestones!$AB$148="FT",Milestones!$AA$148=FT_Y5,EDATE($D100,Milestones!$AA$148)&lt;PolicyEff),1,Milestones!$AC$148)&amp;";  ","")&amp;IF(AND(EDATE($D100,Milestones!$AA$149)&lt;=AsOfDate,EDATE($D100,Milestones!$AA$149)&gt;=SchemeStart,IF($X100=0,$AD100,IF(AND($Z100&lt;&gt;"",EDATE($D100,Milestones!$AA$149)&gt;=$Z100),$AC100,IF(AND($Y100&lt;&gt;"",EDATE($D100,Milestones!$AA$149)&gt;=$Y100),$AB100,$AA100)))=Milestones!$AB$149),UPPER(TEXT(EDATE($D100,Milestones!$AA$149),"dd mmm yy"))&amp;" "&amp;Milestones!$AB$149&amp;" "&amp;IF(AND(Milestones!$AB$149="FT",Milestones!$AA$149=FT_Y5,EDATE($D100,Milestones!$AA$149)&lt;PolicyEff),1,Milestones!$AC$149)&amp;";  ","")&amp;IF(AND(EDATE($D100,Milestones!$AA$150)&lt;=AsOfDate,EDATE($D100,Milestones!$AA$150)&gt;=SchemeStart,IF($X100=0,$AD100,IF(AND($Z100&lt;&gt;"",EDATE($D100,Milestones!$AA$150)&gt;=$Z100),$AC100,IF(AND($Y100&lt;&gt;"",EDATE($D100,Milestones!$AA$150)&gt;=$Y100),$AB100,$AA100)))=Milestones!$AB$150),UPPER(TEXT(EDATE($D100,Milestones!$AA$150),"dd mmm yy"))&amp;" "&amp;Milestones!$AB$150&amp;" "&amp;IF(AND(Milestones!$AB$150="FT",Milestones!$AA$150=FT_Y5,EDATE($D100,Milestones!$AA$150)&lt;PolicyEff),1,Milestones!$AC$150)&amp;";  ","")&amp;IF(AND(EDATE($D100,Milestones!$AA$151)&lt;=AsOfDate,EDATE($D100,Milestones!$AA$151)&gt;=SchemeStart,IF($X100=0,$AD100,IF(AND($Z100&lt;&gt;"",EDATE($D100,Milestones!$AA$151)&gt;=$Z100),$AC100,IF(AND($Y100&lt;&gt;"",EDATE($D100,Milestones!$AA$151)&gt;=$Y100),$AB100,$AA100)))=Milestones!$AB$151),UPPER(TEXT(EDATE($D100,Milestones!$AA$151),"dd mmm yy"))&amp;" "&amp;Milestones!$AB$151&amp;" "&amp;IF(AND(Milestones!$AB$151="FT",Milestones!$AA$151=FT_Y5,EDATE($D100,Milestones!$AA$151)&lt;PolicyEff),1,Milestones!$AC$151)&amp;";  ",""))</f>
        <v/>
      </c>
      <c r="T100" s="0" t="str">
        <f aca="false">IF(OR($A100="",$D100=""),"",IF(AND(EDATE($D100,Milestones!$AA$152)&lt;=AsOfDate,EDATE($D100,Milestones!$AA$152)&gt;=SchemeStart,IF($X100=0,$AD100,IF(AND($Z100&lt;&gt;"",EDATE($D100,Milestones!$AA$152)&gt;=$Z100),$AC100,IF(AND($Y100&lt;&gt;"",EDATE($D100,Milestones!$AA$152)&gt;=$Y100),$AB100,$AA100)))=Milestones!$AB$152),UPPER(TEXT(EDATE($D100,Milestones!$AA$152),"dd mmm yy"))&amp;" "&amp;Milestones!$AB$152&amp;" "&amp;IF(AND(Milestones!$AB$152="FT",Milestones!$AA$152=FT_Y5,EDATE($D100,Milestones!$AA$152)&lt;PolicyEff),1,Milestones!$AC$152)&amp;";  ","")&amp;IF(AND(EDATE($D100,Milestones!$AA$153)&lt;=AsOfDate,EDATE($D100,Milestones!$AA$153)&gt;=SchemeStart,IF($X100=0,$AD100,IF(AND($Z100&lt;&gt;"",EDATE($D100,Milestones!$AA$153)&gt;=$Z100),$AC100,IF(AND($Y100&lt;&gt;"",EDATE($D100,Milestones!$AA$153)&gt;=$Y100),$AB100,$AA100)))=Milestones!$AB$153),UPPER(TEXT(EDATE($D100,Milestones!$AA$153),"dd mmm yy"))&amp;" "&amp;Milestones!$AB$153&amp;" "&amp;IF(AND(Milestones!$AB$153="FT",Milestones!$AA$153=FT_Y5,EDATE($D100,Milestones!$AA$153)&lt;PolicyEff),1,Milestones!$AC$153)&amp;";  ","")&amp;IF(AND(EDATE($D100,Milestones!$AA$154)&lt;=AsOfDate,EDATE($D100,Milestones!$AA$154)&gt;=SchemeStart,IF($X100=0,$AD100,IF(AND($Z100&lt;&gt;"",EDATE($D100,Milestones!$AA$154)&gt;=$Z100),$AC100,IF(AND($Y100&lt;&gt;"",EDATE($D100,Milestones!$AA$154)&gt;=$Y100),$AB100,$AA100)))=Milestones!$AB$154),UPPER(TEXT(EDATE($D100,Milestones!$AA$154),"dd mmm yy"))&amp;" "&amp;Milestones!$AB$154&amp;" "&amp;IF(AND(Milestones!$AB$154="FT",Milestones!$AA$154=FT_Y5,EDATE($D100,Milestones!$AA$154)&lt;PolicyEff),1,Milestones!$AC$154)&amp;";  ","")&amp;IF(AND(EDATE($D100,Milestones!$AA$155)&lt;=AsOfDate,EDATE($D100,Milestones!$AA$155)&gt;=SchemeStart,IF($X100=0,$AD100,IF(AND($Z100&lt;&gt;"",EDATE($D100,Milestones!$AA$155)&gt;=$Z100),$AC100,IF(AND($Y100&lt;&gt;"",EDATE($D100,Milestones!$AA$155)&gt;=$Y100),$AB100,$AA100)))=Milestones!$AB$155),UPPER(TEXT(EDATE($D100,Milestones!$AA$155),"dd mmm yy"))&amp;" "&amp;Milestones!$AB$155&amp;" "&amp;IF(AND(Milestones!$AB$155="FT",Milestones!$AA$155=FT_Y5,EDATE($D100,Milestones!$AA$155)&lt;PolicyEff),1,Milestones!$AC$155)&amp;";  ","")&amp;IF(AND(EDATE($D100,Milestones!$AA$156)&lt;=AsOfDate,EDATE($D100,Milestones!$AA$156)&gt;=SchemeStart,IF($X100=0,$AD100,IF(AND($Z100&lt;&gt;"",EDATE($D100,Milestones!$AA$156)&gt;=$Z100),$AC100,IF(AND($Y100&lt;&gt;"",EDATE($D100,Milestones!$AA$156)&gt;=$Y100),$AB100,$AA100)))=Milestones!$AB$156),UPPER(TEXT(EDATE($D100,Milestones!$AA$156),"dd mmm yy"))&amp;" "&amp;Milestones!$AB$156&amp;" "&amp;IF(AND(Milestones!$AB$156="FT",Milestones!$AA$156=FT_Y5,EDATE($D100,Milestones!$AA$156)&lt;PolicyEff),1,Milestones!$AC$156)&amp;";  ","")&amp;IF(AND(EDATE($D100,Milestones!$AA$157)&lt;=AsOfDate,EDATE($D100,Milestones!$AA$157)&gt;=SchemeStart,IF($X100=0,$AD100,IF(AND($Z100&lt;&gt;"",EDATE($D100,Milestones!$AA$157)&gt;=$Z100),$AC100,IF(AND($Y100&lt;&gt;"",EDATE($D100,Milestones!$AA$157)&gt;=$Y100),$AB100,$AA100)))=Milestones!$AB$157),UPPER(TEXT(EDATE($D100,Milestones!$AA$157),"dd mmm yy"))&amp;" "&amp;Milestones!$AB$157&amp;" "&amp;IF(AND(Milestones!$AB$157="FT",Milestones!$AA$157=FT_Y5,EDATE($D100,Milestones!$AA$157)&lt;PolicyEff),1,Milestones!$AC$157)&amp;";  ","")&amp;IF(AND(EDATE($D100,Milestones!$AA$158)&lt;=AsOfDate,EDATE($D100,Milestones!$AA$158)&gt;=SchemeStart,IF($X100=0,$AD100,IF(AND($Z100&lt;&gt;"",EDATE($D100,Milestones!$AA$158)&gt;=$Z100),$AC100,IF(AND($Y100&lt;&gt;"",EDATE($D100,Milestones!$AA$158)&gt;=$Y100),$AB100,$AA100)))=Milestones!$AB$158),UPPER(TEXT(EDATE($D100,Milestones!$AA$158),"dd mmm yy"))&amp;" "&amp;Milestones!$AB$158&amp;" "&amp;IF(AND(Milestones!$AB$158="FT",Milestones!$AA$158=FT_Y5,EDATE($D100,Milestones!$AA$158)&lt;PolicyEff),1,Milestones!$AC$158)&amp;";  ","")&amp;IF(AND(EDATE($D100,Milestones!$AA$159)&lt;=AsOfDate,EDATE($D100,Milestones!$AA$159)&gt;=SchemeStart,IF($X100=0,$AD100,IF(AND($Z100&lt;&gt;"",EDATE($D100,Milestones!$AA$159)&gt;=$Z100),$AC100,IF(AND($Y100&lt;&gt;"",EDATE($D100,Milestones!$AA$159)&gt;=$Y100),$AB100,$AA100)))=Milestones!$AB$159),UPPER(TEXT(EDATE($D100,Milestones!$AA$159),"dd mmm yy"))&amp;" "&amp;Milestones!$AB$159&amp;" "&amp;IF(AND(Milestones!$AB$159="FT",Milestones!$AA$159=FT_Y5,EDATE($D100,Milestones!$AA$159)&lt;PolicyEff),1,Milestones!$AC$159)&amp;";  ","")&amp;IF(AND(EDATE($D100,Milestones!$AA$160)&lt;=AsOfDate,EDATE($D100,Milestones!$AA$160)&gt;=SchemeStart,IF($X100=0,$AD100,IF(AND($Z100&lt;&gt;"",EDATE($D100,Milestones!$AA$160)&gt;=$Z100),$AC100,IF(AND($Y100&lt;&gt;"",EDATE($D100,Milestones!$AA$160)&gt;=$Y100),$AB100,$AA100)))=Milestones!$AB$160),UPPER(TEXT(EDATE($D100,Milestones!$AA$160),"dd mmm yy"))&amp;" "&amp;Milestones!$AB$160&amp;" "&amp;IF(AND(Milestones!$AB$160="FT",Milestones!$AA$160=FT_Y5,EDATE($D100,Milestones!$AA$160)&lt;PolicyEff),1,Milestones!$AC$160)&amp;";  ","")&amp;IF(AND(EDATE($D100,Milestones!$AA$161)&lt;=AsOfDate,EDATE($D100,Milestones!$AA$161)&gt;=SchemeStart,IF($X100=0,$AD100,IF(AND($Z100&lt;&gt;"",EDATE($D100,Milestones!$AA$161)&gt;=$Z100),$AC100,IF(AND($Y100&lt;&gt;"",EDATE($D100,Milestones!$AA$161)&gt;=$Y100),$AB100,$AA100)))=Milestones!$AB$161),UPPER(TEXT(EDATE($D100,Milestones!$AA$161),"dd mmm yy"))&amp;" "&amp;Milestones!$AB$161&amp;" "&amp;IF(AND(Milestones!$AB$161="FT",Milestones!$AA$161=FT_Y5,EDATE($D100,Milestones!$AA$161)&lt;PolicyEff),1,Milestones!$AC$161)&amp;";  ","")&amp;IF(AND(EDATE($D100,Milestones!$AA$162)&lt;=AsOfDate,EDATE($D100,Milestones!$AA$162)&gt;=SchemeStart,IF($X100=0,$AD100,IF(AND($Z100&lt;&gt;"",EDATE($D100,Milestones!$AA$162)&gt;=$Z100),$AC100,IF(AND($Y100&lt;&gt;"",EDATE($D100,Milestones!$AA$162)&gt;=$Y100),$AB100,$AA100)))=Milestones!$AB$162),UPPER(TEXT(EDATE($D100,Milestones!$AA$162),"dd mmm yy"))&amp;" "&amp;Milestones!$AB$162&amp;" "&amp;IF(AND(Milestones!$AB$162="FT",Milestones!$AA$162=FT_Y5,EDATE($D100,Milestones!$AA$162)&lt;PolicyEff),1,Milestones!$AC$162)&amp;";  ","")&amp;IF(AND(EDATE($D100,Milestones!$AA$163)&lt;=AsOfDate,EDATE($D100,Milestones!$AA$163)&gt;=SchemeStart,IF($X100=0,$AD100,IF(AND($Z100&lt;&gt;"",EDATE($D100,Milestones!$AA$163)&gt;=$Z100),$AC100,IF(AND($Y100&lt;&gt;"",EDATE($D100,Milestones!$AA$163)&gt;=$Y100),$AB100,$AA100)))=Milestones!$AB$163),UPPER(TEXT(EDATE($D100,Milestones!$AA$163),"dd mmm yy"))&amp;" "&amp;Milestones!$AB$163&amp;" "&amp;IF(AND(Milestones!$AB$163="FT",Milestones!$AA$163=FT_Y5,EDATE($D100,Milestones!$AA$163)&lt;PolicyEff),1,Milestones!$AC$163)&amp;";  ",""))</f>
        <v/>
      </c>
      <c r="U100" s="0" t="str">
        <f aca="false">IF(OR($A100="",$D100=""),"",IF(AND(EDATE($D100,Milestones!$AA$164)&lt;=AsOfDate,EDATE($D100,Milestones!$AA$164)&gt;=SchemeStart,IF($X100=0,$AD100,IF(AND($Z100&lt;&gt;"",EDATE($D100,Milestones!$AA$164)&gt;=$Z100),$AC100,IF(AND($Y100&lt;&gt;"",EDATE($D100,Milestones!$AA$164)&gt;=$Y100),$AB100,$AA100)))=Milestones!$AB$164),UPPER(TEXT(EDATE($D100,Milestones!$AA$164),"dd mmm yy"))&amp;" "&amp;Milestones!$AB$164&amp;" "&amp;IF(AND(Milestones!$AB$164="FT",Milestones!$AA$164=FT_Y5,EDATE($D100,Milestones!$AA$164)&lt;PolicyEff),1,Milestones!$AC$164)&amp;";  ","")&amp;IF(AND(EDATE($D100,Milestones!$AA$165)&lt;=AsOfDate,EDATE($D100,Milestones!$AA$165)&gt;=SchemeStart,IF($X100=0,$AD100,IF(AND($Z100&lt;&gt;"",EDATE($D100,Milestones!$AA$165)&gt;=$Z100),$AC100,IF(AND($Y100&lt;&gt;"",EDATE($D100,Milestones!$AA$165)&gt;=$Y100),$AB100,$AA100)))=Milestones!$AB$165),UPPER(TEXT(EDATE($D100,Milestones!$AA$165),"dd mmm yy"))&amp;" "&amp;Milestones!$AB$165&amp;" "&amp;IF(AND(Milestones!$AB$165="FT",Milestones!$AA$165=FT_Y5,EDATE($D100,Milestones!$AA$165)&lt;PolicyEff),1,Milestones!$AC$165)&amp;";  ","")&amp;IF(AND(EDATE($D100,Milestones!$AA$166)&lt;=AsOfDate,EDATE($D100,Milestones!$AA$166)&gt;=SchemeStart,IF($X100=0,$AD100,IF(AND($Z100&lt;&gt;"",EDATE($D100,Milestones!$AA$166)&gt;=$Z100),$AC100,IF(AND($Y100&lt;&gt;"",EDATE($D100,Milestones!$AA$166)&gt;=$Y100),$AB100,$AA100)))=Milestones!$AB$166),UPPER(TEXT(EDATE($D100,Milestones!$AA$166),"dd mmm yy"))&amp;" "&amp;Milestones!$AB$166&amp;" "&amp;IF(AND(Milestones!$AB$166="FT",Milestones!$AA$166=FT_Y5,EDATE($D100,Milestones!$AA$166)&lt;PolicyEff),1,Milestones!$AC$166)&amp;";  ","")&amp;IF(AND(EDATE($D100,Milestones!$AA$167)&lt;=AsOfDate,EDATE($D100,Milestones!$AA$167)&gt;=SchemeStart,IF($X100=0,$AD100,IF(AND($Z100&lt;&gt;"",EDATE($D100,Milestones!$AA$167)&gt;=$Z100),$AC100,IF(AND($Y100&lt;&gt;"",EDATE($D100,Milestones!$AA$167)&gt;=$Y100),$AB100,$AA100)))=Milestones!$AB$167),UPPER(TEXT(EDATE($D100,Milestones!$AA$167),"dd mmm yy"))&amp;" "&amp;Milestones!$AB$167&amp;" "&amp;IF(AND(Milestones!$AB$167="FT",Milestones!$AA$167=FT_Y5,EDATE($D100,Milestones!$AA$167)&lt;PolicyEff),1,Milestones!$AC$167)&amp;";  ","")&amp;IF(AND(EDATE($D100,Milestones!$AA$168)&lt;=AsOfDate,EDATE($D100,Milestones!$AA$168)&gt;=SchemeStart,IF($X100=0,$AD100,IF(AND($Z100&lt;&gt;"",EDATE($D100,Milestones!$AA$168)&gt;=$Z100),$AC100,IF(AND($Y100&lt;&gt;"",EDATE($D100,Milestones!$AA$168)&gt;=$Y100),$AB100,$AA100)))=Milestones!$AB$168),UPPER(TEXT(EDATE($D100,Milestones!$AA$168),"dd mmm yy"))&amp;" "&amp;Milestones!$AB$168&amp;" "&amp;IF(AND(Milestones!$AB$168="FT",Milestones!$AA$168=FT_Y5,EDATE($D100,Milestones!$AA$168)&lt;PolicyEff),1,Milestones!$AC$168)&amp;";  ","")&amp;IF(AND(EDATE($D100,Milestones!$AA$169)&lt;=AsOfDate,EDATE($D100,Milestones!$AA$169)&gt;=SchemeStart,IF($X100=0,$AD100,IF(AND($Z100&lt;&gt;"",EDATE($D100,Milestones!$AA$169)&gt;=$Z100),$AC100,IF(AND($Y100&lt;&gt;"",EDATE($D100,Milestones!$AA$169)&gt;=$Y100),$AB100,$AA100)))=Milestones!$AB$169),UPPER(TEXT(EDATE($D100,Milestones!$AA$169),"dd mmm yy"))&amp;" "&amp;Milestones!$AB$169&amp;" "&amp;IF(AND(Milestones!$AB$169="FT",Milestones!$AA$169=FT_Y5,EDATE($D100,Milestones!$AA$169)&lt;PolicyEff),1,Milestones!$AC$169)&amp;";  ","")&amp;IF(AND(EDATE($D100,Milestones!$AA$170)&lt;=AsOfDate,EDATE($D100,Milestones!$AA$170)&gt;=SchemeStart,IF($X100=0,$AD100,IF(AND($Z100&lt;&gt;"",EDATE($D100,Milestones!$AA$170)&gt;=$Z100),$AC100,IF(AND($Y100&lt;&gt;"",EDATE($D100,Milestones!$AA$170)&gt;=$Y100),$AB100,$AA100)))=Milestones!$AB$170),UPPER(TEXT(EDATE($D100,Milestones!$AA$170),"dd mmm yy"))&amp;" "&amp;Milestones!$AB$170&amp;" "&amp;IF(AND(Milestones!$AB$170="FT",Milestones!$AA$170=FT_Y5,EDATE($D100,Milestones!$AA$170)&lt;PolicyEff),1,Milestones!$AC$170)&amp;";  ","")&amp;IF(AND(EDATE($D100,Milestones!$AA$171)&lt;=AsOfDate,EDATE($D100,Milestones!$AA$171)&gt;=SchemeStart,IF($X100=0,$AD100,IF(AND($Z100&lt;&gt;"",EDATE($D100,Milestones!$AA$171)&gt;=$Z100),$AC100,IF(AND($Y100&lt;&gt;"",EDATE($D100,Milestones!$AA$171)&gt;=$Y100),$AB100,$AA100)))=Milestones!$AB$171),UPPER(TEXT(EDATE($D100,Milestones!$AA$171),"dd mmm yy"))&amp;" "&amp;Milestones!$AB$171&amp;" "&amp;IF(AND(Milestones!$AB$171="FT",Milestones!$AA$171=FT_Y5,EDATE($D100,Milestones!$AA$171)&lt;PolicyEff),1,Milestones!$AC$171)&amp;";  ","")&amp;IF(AND(EDATE($D100,Milestones!$AA$172)&lt;=AsOfDate,EDATE($D100,Milestones!$AA$172)&gt;=SchemeStart,IF($X100=0,$AD100,IF(AND($Z100&lt;&gt;"",EDATE($D100,Milestones!$AA$172)&gt;=$Z100),$AC100,IF(AND($Y100&lt;&gt;"",EDATE($D100,Milestones!$AA$172)&gt;=$Y100),$AB100,$AA100)))=Milestones!$AB$172),UPPER(TEXT(EDATE($D100,Milestones!$AA$172),"dd mmm yy"))&amp;" "&amp;Milestones!$AB$172&amp;" "&amp;IF(AND(Milestones!$AB$172="FT",Milestones!$AA$172=FT_Y5,EDATE($D100,Milestones!$AA$172)&lt;PolicyEff),1,Milestones!$AC$172)&amp;";  ","")&amp;IF(AND(EDATE($D100,Milestones!$AA$173)&lt;=AsOfDate,EDATE($D100,Milestones!$AA$173)&gt;=SchemeStart,IF($X100=0,$AD100,IF(AND($Z100&lt;&gt;"",EDATE($D100,Milestones!$AA$173)&gt;=$Z100),$AC100,IF(AND($Y100&lt;&gt;"",EDATE($D100,Milestones!$AA$173)&gt;=$Y100),$AB100,$AA100)))=Milestones!$AB$173),UPPER(TEXT(EDATE($D100,Milestones!$AA$173),"dd mmm yy"))&amp;" "&amp;Milestones!$AB$173&amp;" "&amp;IF(AND(Milestones!$AB$173="FT",Milestones!$AA$173=FT_Y5,EDATE($D100,Milestones!$AA$173)&lt;PolicyEff),1,Milestones!$AC$173)&amp;";  ","")&amp;IF(AND(EDATE($D100,Milestones!$AA$174)&lt;=AsOfDate,EDATE($D100,Milestones!$AA$174)&gt;=SchemeStart,IF($X100=0,$AD100,IF(AND($Z100&lt;&gt;"",EDATE($D100,Milestones!$AA$174)&gt;=$Z100),$AC100,IF(AND($Y100&lt;&gt;"",EDATE($D100,Milestones!$AA$174)&gt;=$Y100),$AB100,$AA100)))=Milestones!$AB$174),UPPER(TEXT(EDATE($D100,Milestones!$AA$174),"dd mmm yy"))&amp;" "&amp;Milestones!$AB$174&amp;" "&amp;IF(AND(Milestones!$AB$174="FT",Milestones!$AA$174=FT_Y5,EDATE($D100,Milestones!$AA$174)&lt;PolicyEff),1,Milestones!$AC$174)&amp;";  ","")&amp;IF(AND(EDATE($D100,Milestones!$AA$175)&lt;=AsOfDate,EDATE($D100,Milestones!$AA$175)&gt;=SchemeStart,IF($X100=0,$AD100,IF(AND($Z100&lt;&gt;"",EDATE($D100,Milestones!$AA$175)&gt;=$Z100),$AC100,IF(AND($Y100&lt;&gt;"",EDATE($D100,Milestones!$AA$175)&gt;=$Y100),$AB100,$AA100)))=Milestones!$AB$175),UPPER(TEXT(EDATE($D100,Milestones!$AA$175),"dd mmm yy"))&amp;" "&amp;Milestones!$AB$175&amp;" "&amp;IF(AND(Milestones!$AB$175="FT",Milestones!$AA$175=FT_Y5,EDATE($D100,Milestones!$AA$175)&lt;PolicyEff),1,Milestones!$AC$175)&amp;";  ",""))</f>
        <v/>
      </c>
      <c r="V100" s="0" t="str">
        <f aca="false">IF(OR($A100="",$D100=""),"",IF(AND(EDATE($D100,Milestones!$AA$176)&lt;=AsOfDate,EDATE($D100,Milestones!$AA$176)&gt;=SchemeStart,IF($X100=0,$AD100,IF(AND($Z100&lt;&gt;"",EDATE($D100,Milestones!$AA$176)&gt;=$Z100),$AC100,IF(AND($Y100&lt;&gt;"",EDATE($D100,Milestones!$AA$176)&gt;=$Y100),$AB100,$AA100)))=Milestones!$AB$176),UPPER(TEXT(EDATE($D100,Milestones!$AA$176),"dd mmm yy"))&amp;" "&amp;Milestones!$AB$176&amp;" "&amp;IF(AND(Milestones!$AB$176="FT",Milestones!$AA$176=FT_Y5,EDATE($D100,Milestones!$AA$176)&lt;PolicyEff),1,Milestones!$AC$176)&amp;";  ","")&amp;IF(AND(EDATE($D100,Milestones!$AA$177)&lt;=AsOfDate,EDATE($D100,Milestones!$AA$177)&gt;=SchemeStart,IF($X100=0,$AD100,IF(AND($Z100&lt;&gt;"",EDATE($D100,Milestones!$AA$177)&gt;=$Z100),$AC100,IF(AND($Y100&lt;&gt;"",EDATE($D100,Milestones!$AA$177)&gt;=$Y100),$AB100,$AA100)))=Milestones!$AB$177),UPPER(TEXT(EDATE($D100,Milestones!$AA$177),"dd mmm yy"))&amp;" "&amp;Milestones!$AB$177&amp;" "&amp;IF(AND(Milestones!$AB$177="FT",Milestones!$AA$177=FT_Y5,EDATE($D100,Milestones!$AA$177)&lt;PolicyEff),1,Milestones!$AC$177)&amp;";  ","")&amp;IF(AND(EDATE($D100,Milestones!$AA$178)&lt;=AsOfDate,EDATE($D100,Milestones!$AA$178)&gt;=SchemeStart,IF($X100=0,$AD100,IF(AND($Z100&lt;&gt;"",EDATE($D100,Milestones!$AA$178)&gt;=$Z100),$AC100,IF(AND($Y100&lt;&gt;"",EDATE($D100,Milestones!$AA$178)&gt;=$Y100),$AB100,$AA100)))=Milestones!$AB$178),UPPER(TEXT(EDATE($D100,Milestones!$AA$178),"dd mmm yy"))&amp;" "&amp;Milestones!$AB$178&amp;" "&amp;IF(AND(Milestones!$AB$178="FT",Milestones!$AA$178=FT_Y5,EDATE($D100,Milestones!$AA$178)&lt;PolicyEff),1,Milestones!$AC$178)&amp;";  ","")&amp;IF(AND(EDATE($D100,Milestones!$AA$179)&lt;=AsOfDate,EDATE($D100,Milestones!$AA$179)&gt;=SchemeStart,IF($X100=0,$AD100,IF(AND($Z100&lt;&gt;"",EDATE($D100,Milestones!$AA$179)&gt;=$Z100),$AC100,IF(AND($Y100&lt;&gt;"",EDATE($D100,Milestones!$AA$179)&gt;=$Y100),$AB100,$AA100)))=Milestones!$AB$179),UPPER(TEXT(EDATE($D100,Milestones!$AA$179),"dd mmm yy"))&amp;" "&amp;Milestones!$AB$179&amp;" "&amp;IF(AND(Milestones!$AB$179="FT",Milestones!$AA$179=FT_Y5,EDATE($D100,Milestones!$AA$179)&lt;PolicyEff),1,Milestones!$AC$179)&amp;";  ","")&amp;IF(AND(EDATE($D100,Milestones!$AA$180)&lt;=AsOfDate,EDATE($D100,Milestones!$AA$180)&gt;=SchemeStart,IF($X100=0,$AD100,IF(AND($Z100&lt;&gt;"",EDATE($D100,Milestones!$AA$180)&gt;=$Z100),$AC100,IF(AND($Y100&lt;&gt;"",EDATE($D100,Milestones!$AA$180)&gt;=$Y100),$AB100,$AA100)))=Milestones!$AB$180),UPPER(TEXT(EDATE($D100,Milestones!$AA$180),"dd mmm yy"))&amp;" "&amp;Milestones!$AB$180&amp;" "&amp;IF(AND(Milestones!$AB$180="FT",Milestones!$AA$180=FT_Y5,EDATE($D100,Milestones!$AA$180)&lt;PolicyEff),1,Milestones!$AC$180)&amp;";  ","")&amp;IF(AND(EDATE($D100,Milestones!$AA$181)&lt;=AsOfDate,EDATE($D100,Milestones!$AA$181)&gt;=SchemeStart,IF($X100=0,$AD100,IF(AND($Z100&lt;&gt;"",EDATE($D100,Milestones!$AA$181)&gt;=$Z100),$AC100,IF(AND($Y100&lt;&gt;"",EDATE($D100,Milestones!$AA$181)&gt;=$Y100),$AB100,$AA100)))=Milestones!$AB$181),UPPER(TEXT(EDATE($D100,Milestones!$AA$181),"dd mmm yy"))&amp;" "&amp;Milestones!$AB$181&amp;" "&amp;IF(AND(Milestones!$AB$181="FT",Milestones!$AA$181=FT_Y5,EDATE($D100,Milestones!$AA$181)&lt;PolicyEff),1,Milestones!$AC$181)&amp;";  ","")&amp;IF(AND(EDATE($D100,Milestones!$AA$182)&lt;=AsOfDate,EDATE($D100,Milestones!$AA$182)&gt;=SchemeStart,IF($X100=0,$AD100,IF(AND($Z100&lt;&gt;"",EDATE($D100,Milestones!$AA$182)&gt;=$Z100),$AC100,IF(AND($Y100&lt;&gt;"",EDATE($D100,Milestones!$AA$182)&gt;=$Y100),$AB100,$AA100)))=Milestones!$AB$182),UPPER(TEXT(EDATE($D100,Milestones!$AA$182),"dd mmm yy"))&amp;" "&amp;Milestones!$AB$182&amp;" "&amp;IF(AND(Milestones!$AB$182="FT",Milestones!$AA$182=FT_Y5,EDATE($D100,Milestones!$AA$182)&lt;PolicyEff),1,Milestones!$AC$182)&amp;";  ","")&amp;IF(AND(EDATE($D100,Milestones!$AA$183)&lt;=AsOfDate,EDATE($D100,Milestones!$AA$183)&gt;=SchemeStart,IF($X100=0,$AD100,IF(AND($Z100&lt;&gt;"",EDATE($D100,Milestones!$AA$183)&gt;=$Z100),$AC100,IF(AND($Y100&lt;&gt;"",EDATE($D100,Milestones!$AA$183)&gt;=$Y100),$AB100,$AA100)))=Milestones!$AB$183),UPPER(TEXT(EDATE($D100,Milestones!$AA$183),"dd mmm yy"))&amp;" "&amp;Milestones!$AB$183&amp;" "&amp;IF(AND(Milestones!$AB$183="FT",Milestones!$AA$183=FT_Y5,EDATE($D100,Milestones!$AA$183)&lt;PolicyEff),1,Milestones!$AC$183)&amp;";  ","")&amp;IF(AND(EDATE($D100,Milestones!$AA$184)&lt;=AsOfDate,EDATE($D100,Milestones!$AA$184)&gt;=SchemeStart,IF($X100=0,$AD100,IF(AND($Z100&lt;&gt;"",EDATE($D100,Milestones!$AA$184)&gt;=$Z100),$AC100,IF(AND($Y100&lt;&gt;"",EDATE($D100,Milestones!$AA$184)&gt;=$Y100),$AB100,$AA100)))=Milestones!$AB$184),UPPER(TEXT(EDATE($D100,Milestones!$AA$184),"dd mmm yy"))&amp;" "&amp;Milestones!$AB$184&amp;" "&amp;IF(AND(Milestones!$AB$184="FT",Milestones!$AA$184=FT_Y5,EDATE($D100,Milestones!$AA$184)&lt;PolicyEff),1,Milestones!$AC$184)&amp;";  ","")&amp;IF(AND(EDATE($D100,Milestones!$AA$185)&lt;=AsOfDate,EDATE($D100,Milestones!$AA$185)&gt;=SchemeStart,IF($X100=0,$AD100,IF(AND($Z100&lt;&gt;"",EDATE($D100,Milestones!$AA$185)&gt;=$Z100),$AC100,IF(AND($Y100&lt;&gt;"",EDATE($D100,Milestones!$AA$185)&gt;=$Y100),$AB100,$AA100)))=Milestones!$AB$185),UPPER(TEXT(EDATE($D100,Milestones!$AA$185),"dd mmm yy"))&amp;" "&amp;Milestones!$AB$185&amp;" "&amp;IF(AND(Milestones!$AB$185="FT",Milestones!$AA$185=FT_Y5,EDATE($D100,Milestones!$AA$185)&lt;PolicyEff),1,Milestones!$AC$185)&amp;";  ","")&amp;IF(AND(EDATE($D100,Milestones!$AA$186)&lt;=AsOfDate,EDATE($D100,Milestones!$AA$186)&gt;=SchemeStart,IF($X100=0,$AD100,IF(AND($Z100&lt;&gt;"",EDATE($D100,Milestones!$AA$186)&gt;=$Z100),$AC100,IF(AND($Y100&lt;&gt;"",EDATE($D100,Milestones!$AA$186)&gt;=$Y100),$AB100,$AA100)))=Milestones!$AB$186),UPPER(TEXT(EDATE($D100,Milestones!$AA$186),"dd mmm yy"))&amp;" "&amp;Milestones!$AB$186&amp;" "&amp;IF(AND(Milestones!$AB$186="FT",Milestones!$AA$186=FT_Y5,EDATE($D100,Milestones!$AA$186)&lt;PolicyEff),1,Milestones!$AC$186)&amp;";  ","")&amp;IF(AND(EDATE($D100,Milestones!$AA$187)&lt;=AsOfDate,EDATE($D100,Milestones!$AA$187)&gt;=SchemeStart,IF($X100=0,$AD100,IF(AND($Z100&lt;&gt;"",EDATE($D100,Milestones!$AA$187)&gt;=$Z100),$AC100,IF(AND($Y100&lt;&gt;"",EDATE($D100,Milestones!$AA$187)&gt;=$Y100),$AB100,$AA100)))=Milestones!$AB$187),UPPER(TEXT(EDATE($D100,Milestones!$AA$187),"dd mmm yy"))&amp;" "&amp;Milestones!$AB$187&amp;" "&amp;IF(AND(Milestones!$AB$187="FT",Milestones!$AA$187=FT_Y5,EDATE($D100,Milestones!$AA$187)&lt;PolicyEff),1,Milestones!$AC$187)&amp;";  ",""))</f>
        <v/>
      </c>
      <c r="W100" s="0" t="str">
        <f aca="false">IF(OR($A100="",$D100=""),"",IF(AND(EDATE($D100,Milestones!$AA$188)&lt;=AsOfDate,EDATE($D100,Milestones!$AA$188)&gt;=SchemeStart,IF($X100=0,$AD100,IF(AND($Z100&lt;&gt;"",EDATE($D100,Milestones!$AA$188)&gt;=$Z100),$AC100,IF(AND($Y100&lt;&gt;"",EDATE($D100,Milestones!$AA$188)&gt;=$Y100),$AB100,$AA100)))=Milestones!$AB$188),UPPER(TEXT(EDATE($D100,Milestones!$AA$188),"dd mmm yy"))&amp;" "&amp;Milestones!$AB$188&amp;" "&amp;IF(AND(Milestones!$AB$188="FT",Milestones!$AA$188=FT_Y5,EDATE($D100,Milestones!$AA$188)&lt;PolicyEff),1,Milestones!$AC$188)&amp;";  ","")&amp;IF(AND(EDATE($D100,Milestones!$AA$189)&lt;=AsOfDate,EDATE($D100,Milestones!$AA$189)&gt;=SchemeStart,IF($X100=0,$AD100,IF(AND($Z100&lt;&gt;"",EDATE($D100,Milestones!$AA$189)&gt;=$Z100),$AC100,IF(AND($Y100&lt;&gt;"",EDATE($D100,Milestones!$AA$189)&gt;=$Y100),$AB100,$AA100)))=Milestones!$AB$189),UPPER(TEXT(EDATE($D100,Milestones!$AA$189),"dd mmm yy"))&amp;" "&amp;Milestones!$AB$189&amp;" "&amp;IF(AND(Milestones!$AB$189="FT",Milestones!$AA$189=FT_Y5,EDATE($D100,Milestones!$AA$189)&lt;PolicyEff),1,Milestones!$AC$189)&amp;";  ","")&amp;IF(AND(EDATE($D100,Milestones!$AA$190)&lt;=AsOfDate,EDATE($D100,Milestones!$AA$190)&gt;=SchemeStart,IF($X100=0,$AD100,IF(AND($Z100&lt;&gt;"",EDATE($D100,Milestones!$AA$190)&gt;=$Z100),$AC100,IF(AND($Y100&lt;&gt;"",EDATE($D100,Milestones!$AA$190)&gt;=$Y100),$AB100,$AA100)))=Milestones!$AB$190),UPPER(TEXT(EDATE($D100,Milestones!$AA$190),"dd mmm yy"))&amp;" "&amp;Milestones!$AB$190&amp;" "&amp;IF(AND(Milestones!$AB$190="FT",Milestones!$AA$190=FT_Y5,EDATE($D100,Milestones!$AA$190)&lt;PolicyEff),1,Milestones!$AC$190)&amp;";  ","")&amp;IF(AND(EDATE($D100,Milestones!$AA$191)&lt;=AsOfDate,EDATE($D100,Milestones!$AA$191)&gt;=SchemeStart,IF($X100=0,$AD100,IF(AND($Z100&lt;&gt;"",EDATE($D100,Milestones!$AA$191)&gt;=$Z100),$AC100,IF(AND($Y100&lt;&gt;"",EDATE($D100,Milestones!$AA$191)&gt;=$Y100),$AB100,$AA100)))=Milestones!$AB$191),UPPER(TEXT(EDATE($D100,Milestones!$AA$191),"dd mmm yy"))&amp;" "&amp;Milestones!$AB$191&amp;" "&amp;IF(AND(Milestones!$AB$191="FT",Milestones!$AA$191=FT_Y5,EDATE($D100,Milestones!$AA$191)&lt;PolicyEff),1,Milestones!$AC$191)&amp;";  ","")&amp;IF(AND(EDATE($D100,Milestones!$AA$192)&lt;=AsOfDate,EDATE($D100,Milestones!$AA$192)&gt;=SchemeStart,IF($X100=0,$AD100,IF(AND($Z100&lt;&gt;"",EDATE($D100,Milestones!$AA$192)&gt;=$Z100),$AC100,IF(AND($Y100&lt;&gt;"",EDATE($D100,Milestones!$AA$192)&gt;=$Y100),$AB100,$AA100)))=Milestones!$AB$192),UPPER(TEXT(EDATE($D100,Milestones!$AA$192),"dd mmm yy"))&amp;" "&amp;Milestones!$AB$192&amp;" "&amp;IF(AND(Milestones!$AB$192="FT",Milestones!$AA$192=FT_Y5,EDATE($D100,Milestones!$AA$192)&lt;PolicyEff),1,Milestones!$AC$192)&amp;";  ","")&amp;IF(AND(EDATE($D100,Milestones!$AA$193)&lt;=AsOfDate,EDATE($D100,Milestones!$AA$193)&gt;=SchemeStart,IF($X100=0,$AD100,IF(AND($Z100&lt;&gt;"",EDATE($D100,Milestones!$AA$193)&gt;=$Z100),$AC100,IF(AND($Y100&lt;&gt;"",EDATE($D100,Milestones!$AA$193)&gt;=$Y100),$AB100,$AA100)))=Milestones!$AB$193),UPPER(TEXT(EDATE($D100,Milestones!$AA$193),"dd mmm yy"))&amp;" "&amp;Milestones!$AB$193&amp;" "&amp;IF(AND(Milestones!$AB$193="FT",Milestones!$AA$193=FT_Y5,EDATE($D100,Milestones!$AA$193)&lt;PolicyEff),1,Milestones!$AC$193)&amp;";  ","")&amp;IF(AND(EDATE($D100,Milestones!$AA$194)&lt;=AsOfDate,EDATE($D100,Milestones!$AA$194)&gt;=SchemeStart,IF($X100=0,$AD100,IF(AND($Z100&lt;&gt;"",EDATE($D100,Milestones!$AA$194)&gt;=$Z100),$AC100,IF(AND($Y100&lt;&gt;"",EDATE($D100,Milestones!$AA$194)&gt;=$Y100),$AB100,$AA100)))=Milestones!$AB$194),UPPER(TEXT(EDATE($D100,Milestones!$AA$194),"dd mmm yy"))&amp;" "&amp;Milestones!$AB$194&amp;" "&amp;IF(AND(Milestones!$AB$194="FT",Milestones!$AA$194=FT_Y5,EDATE($D100,Milestones!$AA$194)&lt;PolicyEff),1,Milestones!$AC$194)&amp;";  ","")&amp;IF(AND(EDATE($D100,Milestones!$AA$195)&lt;=AsOfDate,EDATE($D100,Milestones!$AA$195)&gt;=SchemeStart,IF($X100=0,$AD100,IF(AND($Z100&lt;&gt;"",EDATE($D100,Milestones!$AA$195)&gt;=$Z100),$AC100,IF(AND($Y100&lt;&gt;"",EDATE($D100,Milestones!$AA$195)&gt;=$Y100),$AB100,$AA100)))=Milestones!$AB$195),UPPER(TEXT(EDATE($D100,Milestones!$AA$195),"dd mmm yy"))&amp;" "&amp;Milestones!$AB$195&amp;" "&amp;IF(AND(Milestones!$AB$195="FT",Milestones!$AA$195=FT_Y5,EDATE($D100,Milestones!$AA$195)&lt;PolicyEff),1,Milestones!$AC$195)&amp;";  ","")&amp;IF(AND(EDATE($D100,Milestones!$AA$196)&lt;=AsOfDate,EDATE($D100,Milestones!$AA$196)&gt;=SchemeStart,IF($X100=0,$AD100,IF(AND($Z100&lt;&gt;"",EDATE($D100,Milestones!$AA$196)&gt;=$Z100),$AC100,IF(AND($Y100&lt;&gt;"",EDATE($D100,Milestones!$AA$196)&gt;=$Y100),$AB100,$AA100)))=Milestones!$AB$196),UPPER(TEXT(EDATE($D100,Milestones!$AA$196),"dd mmm yy"))&amp;" "&amp;Milestones!$AB$196&amp;" "&amp;IF(AND(Milestones!$AB$196="FT",Milestones!$AA$196=FT_Y5,EDATE($D100,Milestones!$AA$196)&lt;PolicyEff),1,Milestones!$AC$196)&amp;";  ","")&amp;IF(AND(EDATE($D100,Milestones!$AA$197)&lt;=AsOfDate,EDATE($D100,Milestones!$AA$197)&gt;=SchemeStart,IF($X100=0,$AD100,IF(AND($Z100&lt;&gt;"",EDATE($D100,Milestones!$AA$197)&gt;=$Z100),$AC100,IF(AND($Y100&lt;&gt;"",EDATE($D100,Milestones!$AA$197)&gt;=$Y100),$AB100,$AA100)))=Milestones!$AB$197),UPPER(TEXT(EDATE($D100,Milestones!$AA$197),"dd mmm yy"))&amp;" "&amp;Milestones!$AB$197&amp;" "&amp;IF(AND(Milestones!$AB$197="FT",Milestones!$AA$197=FT_Y5,EDATE($D100,Milestones!$AA$197)&lt;PolicyEff),1,Milestones!$AC$197)&amp;";  ","")&amp;IF(AND(EDATE($D100,Milestones!$AA$198)&lt;=AsOfDate,EDATE($D100,Milestones!$AA$198)&gt;=SchemeStart,IF($X100=0,$AD100,IF(AND($Z100&lt;&gt;"",EDATE($D100,Milestones!$AA$198)&gt;=$Z100),$AC100,IF(AND($Y100&lt;&gt;"",EDATE($D100,Milestones!$AA$198)&gt;=$Y100),$AB100,$AA100)))=Milestones!$AB$198),UPPER(TEXT(EDATE($D100,Milestones!$AA$198),"dd mmm yy"))&amp;" "&amp;Milestones!$AB$198&amp;" "&amp;IF(AND(Milestones!$AB$198="FT",Milestones!$AA$198=FT_Y5,EDATE($D100,Milestones!$AA$198)&lt;PolicyEff),1,Milestones!$AC$198)&amp;";  ","")&amp;IF(AND(EDATE($D100,Milestones!$AA$199)&lt;=AsOfDate,EDATE($D100,Milestones!$AA$199)&gt;=SchemeStart,IF($X100=0,$AD100,IF(AND($Z100&lt;&gt;"",EDATE($D100,Milestones!$AA$199)&gt;=$Z100),$AC100,IF(AND($Y100&lt;&gt;"",EDATE($D100,Milestones!$AA$199)&gt;=$Y100),$AB100,$AA100)))=Milestones!$AB$199),UPPER(TEXT(EDATE($D100,Milestones!$AA$199),"dd mmm yy"))&amp;" "&amp;Milestones!$AB$199&amp;" "&amp;IF(AND(Milestones!$AB$199="FT",Milestones!$AA$199=FT_Y5,EDATE($D100,Milestones!$AA$199)&lt;PolicyEff),1,Milestones!$AC$199)&amp;";  ",""))</f>
        <v/>
      </c>
      <c r="X100" s="0" t="str">
        <f aca="false">IF(Staff!$A100="","",Staff!$AM100)</f>
        <v/>
      </c>
      <c r="Y100" s="0" t="str">
        <f aca="false">IF(Staff!$A100="","",Staff!$AO100)</f>
        <v/>
      </c>
      <c r="Z100" s="0" t="str">
        <f aca="false">IF(Staff!$A100="","",Staff!$AP100)</f>
        <v/>
      </c>
      <c r="AA100" s="0" t="str">
        <f aca="false">IF(Staff!$A100="","",Staff!$AT100)</f>
        <v/>
      </c>
      <c r="AB100" s="0" t="str">
        <f aca="false">IF(Staff!$A100="","",Staff!$AU100)</f>
        <v/>
      </c>
      <c r="AC100" s="0" t="str">
        <f aca="false">IF(Staff!$A100="","",Staff!$AV100)</f>
        <v/>
      </c>
      <c r="AD100" s="0" t="str">
        <f aca="false">IF(Staff!$A100="","",Staff!$AW100)</f>
        <v/>
      </c>
    </row>
    <row r="101" customFormat="false" ht="15" hidden="false" customHeight="false" outlineLevel="0" collapsed="false">
      <c r="A101" s="16" t="str">
        <f aca="false">IF(Staff!$A101="","",Staff!$A101)</f>
        <v/>
      </c>
      <c r="B101" s="16" t="str">
        <f aca="false">IF(Staff!$A101="","",Staff!$B101)</f>
        <v/>
      </c>
      <c r="C101" s="16" t="str">
        <f aca="false">IF(Staff!$A101="","",Staff!$C101)</f>
        <v/>
      </c>
      <c r="D101" s="14" t="str">
        <f aca="false">IF(Staff!$A101="","",Staff!$AL101)</f>
        <v/>
      </c>
      <c r="E101" s="16" t="str">
        <f aca="false">IF(Staff!$A101="","",Staff!$O101)</f>
        <v/>
      </c>
      <c r="F101" s="16" t="str">
        <f aca="false">IF(E101="","",E101*HoursPerDay)</f>
        <v/>
      </c>
      <c r="G101" s="16" t="str">
        <f aca="false">IF(Staff!$A101="","",Staff!$AE101)</f>
        <v/>
      </c>
      <c r="H101" s="28" t="str">
        <f aca="false">IF($A101="","",I101&amp;J101&amp;K101&amp;L101&amp;M101&amp;N101&amp;O101&amp;P101&amp;Q101&amp;R101&amp;S101&amp;T101&amp;U101&amp;V101&amp;W101)</f>
        <v/>
      </c>
      <c r="I101" s="0" t="str">
        <f aca="false">IF(OR($A101="",$D101=""),"",IF(AND(EDATE($D101,Milestones!$AA$20)&lt;=AsOfDate,EDATE($D101,Milestones!$AA$20)&gt;=SchemeStart,IF($X101=0,$AD101,IF(AND($Z101&lt;&gt;"",EDATE($D101,Milestones!$AA$20)&gt;=$Z101),$AC101,IF(AND($Y101&lt;&gt;"",EDATE($D101,Milestones!$AA$20)&gt;=$Y101),$AB101,$AA101)))=Milestones!$AB$20),UPPER(TEXT(EDATE($D101,Milestones!$AA$20),"dd mmm yy"))&amp;" "&amp;Milestones!$AB$20&amp;" "&amp;IF(AND(Milestones!$AB$20="FT",Milestones!$AA$20=FT_Y5,EDATE($D101,Milestones!$AA$20)&lt;PolicyEff),1,Milestones!$AC$20)&amp;";  ","")&amp;IF(AND(EDATE($D101,Milestones!$AA$21)&lt;=AsOfDate,EDATE($D101,Milestones!$AA$21)&gt;=SchemeStart,IF($X101=0,$AD101,IF(AND($Z101&lt;&gt;"",EDATE($D101,Milestones!$AA$21)&gt;=$Z101),$AC101,IF(AND($Y101&lt;&gt;"",EDATE($D101,Milestones!$AA$21)&gt;=$Y101),$AB101,$AA101)))=Milestones!$AB$21),UPPER(TEXT(EDATE($D101,Milestones!$AA$21),"dd mmm yy"))&amp;" "&amp;Milestones!$AB$21&amp;" "&amp;IF(AND(Milestones!$AB$21="FT",Milestones!$AA$21=FT_Y5,EDATE($D101,Milestones!$AA$21)&lt;PolicyEff),1,Milestones!$AC$21)&amp;";  ","")&amp;IF(AND(EDATE($D101,Milestones!$AA$22)&lt;=AsOfDate,EDATE($D101,Milestones!$AA$22)&gt;=SchemeStart,IF($X101=0,$AD101,IF(AND($Z101&lt;&gt;"",EDATE($D101,Milestones!$AA$22)&gt;=$Z101),$AC101,IF(AND($Y101&lt;&gt;"",EDATE($D101,Milestones!$AA$22)&gt;=$Y101),$AB101,$AA101)))=Milestones!$AB$22),UPPER(TEXT(EDATE($D101,Milestones!$AA$22),"dd mmm yy"))&amp;" "&amp;Milestones!$AB$22&amp;" "&amp;IF(AND(Milestones!$AB$22="FT",Milestones!$AA$22=FT_Y5,EDATE($D101,Milestones!$AA$22)&lt;PolicyEff),1,Milestones!$AC$22)&amp;";  ","")&amp;IF(AND(EDATE($D101,Milestones!$AA$23)&lt;=AsOfDate,EDATE($D101,Milestones!$AA$23)&gt;=SchemeStart,IF($X101=0,$AD101,IF(AND($Z101&lt;&gt;"",EDATE($D101,Milestones!$AA$23)&gt;=$Z101),$AC101,IF(AND($Y101&lt;&gt;"",EDATE($D101,Milestones!$AA$23)&gt;=$Y101),$AB101,$AA101)))=Milestones!$AB$23),UPPER(TEXT(EDATE($D101,Milestones!$AA$23),"dd mmm yy"))&amp;" "&amp;Milestones!$AB$23&amp;" "&amp;IF(AND(Milestones!$AB$23="FT",Milestones!$AA$23=FT_Y5,EDATE($D101,Milestones!$AA$23)&lt;PolicyEff),1,Milestones!$AC$23)&amp;";  ","")&amp;IF(AND(EDATE($D101,Milestones!$AA$24)&lt;=AsOfDate,EDATE($D101,Milestones!$AA$24)&gt;=SchemeStart,IF($X101=0,$AD101,IF(AND($Z101&lt;&gt;"",EDATE($D101,Milestones!$AA$24)&gt;=$Z101),$AC101,IF(AND($Y101&lt;&gt;"",EDATE($D101,Milestones!$AA$24)&gt;=$Y101),$AB101,$AA101)))=Milestones!$AB$24),UPPER(TEXT(EDATE($D101,Milestones!$AA$24),"dd mmm yy"))&amp;" "&amp;Milestones!$AB$24&amp;" "&amp;IF(AND(Milestones!$AB$24="FT",Milestones!$AA$24=FT_Y5,EDATE($D101,Milestones!$AA$24)&lt;PolicyEff),1,Milestones!$AC$24)&amp;";  ","")&amp;IF(AND(EDATE($D101,Milestones!$AA$25)&lt;=AsOfDate,EDATE($D101,Milestones!$AA$25)&gt;=SchemeStart,IF($X101=0,$AD101,IF(AND($Z101&lt;&gt;"",EDATE($D101,Milestones!$AA$25)&gt;=$Z101),$AC101,IF(AND($Y101&lt;&gt;"",EDATE($D101,Milestones!$AA$25)&gt;=$Y101),$AB101,$AA101)))=Milestones!$AB$25),UPPER(TEXT(EDATE($D101,Milestones!$AA$25),"dd mmm yy"))&amp;" "&amp;Milestones!$AB$25&amp;" "&amp;IF(AND(Milestones!$AB$25="FT",Milestones!$AA$25=FT_Y5,EDATE($D101,Milestones!$AA$25)&lt;PolicyEff),1,Milestones!$AC$25)&amp;";  ","")&amp;IF(AND(EDATE($D101,Milestones!$AA$26)&lt;=AsOfDate,EDATE($D101,Milestones!$AA$26)&gt;=SchemeStart,IF($X101=0,$AD101,IF(AND($Z101&lt;&gt;"",EDATE($D101,Milestones!$AA$26)&gt;=$Z101),$AC101,IF(AND($Y101&lt;&gt;"",EDATE($D101,Milestones!$AA$26)&gt;=$Y101),$AB101,$AA101)))=Milestones!$AB$26),UPPER(TEXT(EDATE($D101,Milestones!$AA$26),"dd mmm yy"))&amp;" "&amp;Milestones!$AB$26&amp;" "&amp;IF(AND(Milestones!$AB$26="FT",Milestones!$AA$26=FT_Y5,EDATE($D101,Milestones!$AA$26)&lt;PolicyEff),1,Milestones!$AC$26)&amp;";  ","")&amp;IF(AND(EDATE($D101,Milestones!$AA$27)&lt;=AsOfDate,EDATE($D101,Milestones!$AA$27)&gt;=SchemeStart,IF($X101=0,$AD101,IF(AND($Z101&lt;&gt;"",EDATE($D101,Milestones!$AA$27)&gt;=$Z101),$AC101,IF(AND($Y101&lt;&gt;"",EDATE($D101,Milestones!$AA$27)&gt;=$Y101),$AB101,$AA101)))=Milestones!$AB$27),UPPER(TEXT(EDATE($D101,Milestones!$AA$27),"dd mmm yy"))&amp;" "&amp;Milestones!$AB$27&amp;" "&amp;IF(AND(Milestones!$AB$27="FT",Milestones!$AA$27=FT_Y5,EDATE($D101,Milestones!$AA$27)&lt;PolicyEff),1,Milestones!$AC$27)&amp;";  ","")&amp;IF(AND(EDATE($D101,Milestones!$AA$28)&lt;=AsOfDate,EDATE($D101,Milestones!$AA$28)&gt;=SchemeStart,IF($X101=0,$AD101,IF(AND($Z101&lt;&gt;"",EDATE($D101,Milestones!$AA$28)&gt;=$Z101),$AC101,IF(AND($Y101&lt;&gt;"",EDATE($D101,Milestones!$AA$28)&gt;=$Y101),$AB101,$AA101)))=Milestones!$AB$28),UPPER(TEXT(EDATE($D101,Milestones!$AA$28),"dd mmm yy"))&amp;" "&amp;Milestones!$AB$28&amp;" "&amp;IF(AND(Milestones!$AB$28="FT",Milestones!$AA$28=FT_Y5,EDATE($D101,Milestones!$AA$28)&lt;PolicyEff),1,Milestones!$AC$28)&amp;";  ","")&amp;IF(AND(EDATE($D101,Milestones!$AA$29)&lt;=AsOfDate,EDATE($D101,Milestones!$AA$29)&gt;=SchemeStart,IF($X101=0,$AD101,IF(AND($Z101&lt;&gt;"",EDATE($D101,Milestones!$AA$29)&gt;=$Z101),$AC101,IF(AND($Y101&lt;&gt;"",EDATE($D101,Milestones!$AA$29)&gt;=$Y101),$AB101,$AA101)))=Milestones!$AB$29),UPPER(TEXT(EDATE($D101,Milestones!$AA$29),"dd mmm yy"))&amp;" "&amp;Milestones!$AB$29&amp;" "&amp;IF(AND(Milestones!$AB$29="FT",Milestones!$AA$29=FT_Y5,EDATE($D101,Milestones!$AA$29)&lt;PolicyEff),1,Milestones!$AC$29)&amp;";  ","")&amp;IF(AND(EDATE($D101,Milestones!$AA$30)&lt;=AsOfDate,EDATE($D101,Milestones!$AA$30)&gt;=SchemeStart,IF($X101=0,$AD101,IF(AND($Z101&lt;&gt;"",EDATE($D101,Milestones!$AA$30)&gt;=$Z101),$AC101,IF(AND($Y101&lt;&gt;"",EDATE($D101,Milestones!$AA$30)&gt;=$Y101),$AB101,$AA101)))=Milestones!$AB$30),UPPER(TEXT(EDATE($D101,Milestones!$AA$30),"dd mmm yy"))&amp;" "&amp;Milestones!$AB$30&amp;" "&amp;IF(AND(Milestones!$AB$30="FT",Milestones!$AA$30=FT_Y5,EDATE($D101,Milestones!$AA$30)&lt;PolicyEff),1,Milestones!$AC$30)&amp;";  ","")&amp;IF(AND(EDATE($D101,Milestones!$AA$31)&lt;=AsOfDate,EDATE($D101,Milestones!$AA$31)&gt;=SchemeStart,IF($X101=0,$AD101,IF(AND($Z101&lt;&gt;"",EDATE($D101,Milestones!$AA$31)&gt;=$Z101),$AC101,IF(AND($Y101&lt;&gt;"",EDATE($D101,Milestones!$AA$31)&gt;=$Y101),$AB101,$AA101)))=Milestones!$AB$31),UPPER(TEXT(EDATE($D101,Milestones!$AA$31),"dd mmm yy"))&amp;" "&amp;Milestones!$AB$31&amp;" "&amp;IF(AND(Milestones!$AB$31="FT",Milestones!$AA$31=FT_Y5,EDATE($D101,Milestones!$AA$31)&lt;PolicyEff),1,Milestones!$AC$31)&amp;";  ",""))</f>
        <v/>
      </c>
      <c r="J101" s="0" t="str">
        <f aca="false">IF(OR($A101="",$D101=""),"",IF(AND(EDATE($D101,Milestones!$AA$32)&lt;=AsOfDate,EDATE($D101,Milestones!$AA$32)&gt;=SchemeStart,IF($X101=0,$AD101,IF(AND($Z101&lt;&gt;"",EDATE($D101,Milestones!$AA$32)&gt;=$Z101),$AC101,IF(AND($Y101&lt;&gt;"",EDATE($D101,Milestones!$AA$32)&gt;=$Y101),$AB101,$AA101)))=Milestones!$AB$32),UPPER(TEXT(EDATE($D101,Milestones!$AA$32),"dd mmm yy"))&amp;" "&amp;Milestones!$AB$32&amp;" "&amp;IF(AND(Milestones!$AB$32="FT",Milestones!$AA$32=FT_Y5,EDATE($D101,Milestones!$AA$32)&lt;PolicyEff),1,Milestones!$AC$32)&amp;";  ","")&amp;IF(AND(EDATE($D101,Milestones!$AA$33)&lt;=AsOfDate,EDATE($D101,Milestones!$AA$33)&gt;=SchemeStart,IF($X101=0,$AD101,IF(AND($Z101&lt;&gt;"",EDATE($D101,Milestones!$AA$33)&gt;=$Z101),$AC101,IF(AND($Y101&lt;&gt;"",EDATE($D101,Milestones!$AA$33)&gt;=$Y101),$AB101,$AA101)))=Milestones!$AB$33),UPPER(TEXT(EDATE($D101,Milestones!$AA$33),"dd mmm yy"))&amp;" "&amp;Milestones!$AB$33&amp;" "&amp;IF(AND(Milestones!$AB$33="FT",Milestones!$AA$33=FT_Y5,EDATE($D101,Milestones!$AA$33)&lt;PolicyEff),1,Milestones!$AC$33)&amp;";  ","")&amp;IF(AND(EDATE($D101,Milestones!$AA$34)&lt;=AsOfDate,EDATE($D101,Milestones!$AA$34)&gt;=SchemeStart,IF($X101=0,$AD101,IF(AND($Z101&lt;&gt;"",EDATE($D101,Milestones!$AA$34)&gt;=$Z101),$AC101,IF(AND($Y101&lt;&gt;"",EDATE($D101,Milestones!$AA$34)&gt;=$Y101),$AB101,$AA101)))=Milestones!$AB$34),UPPER(TEXT(EDATE($D101,Milestones!$AA$34),"dd mmm yy"))&amp;" "&amp;Milestones!$AB$34&amp;" "&amp;IF(AND(Milestones!$AB$34="FT",Milestones!$AA$34=FT_Y5,EDATE($D101,Milestones!$AA$34)&lt;PolicyEff),1,Milestones!$AC$34)&amp;";  ","")&amp;IF(AND(EDATE($D101,Milestones!$AA$35)&lt;=AsOfDate,EDATE($D101,Milestones!$AA$35)&gt;=SchemeStart,IF($X101=0,$AD101,IF(AND($Z101&lt;&gt;"",EDATE($D101,Milestones!$AA$35)&gt;=$Z101),$AC101,IF(AND($Y101&lt;&gt;"",EDATE($D101,Milestones!$AA$35)&gt;=$Y101),$AB101,$AA101)))=Milestones!$AB$35),UPPER(TEXT(EDATE($D101,Milestones!$AA$35),"dd mmm yy"))&amp;" "&amp;Milestones!$AB$35&amp;" "&amp;IF(AND(Milestones!$AB$35="FT",Milestones!$AA$35=FT_Y5,EDATE($D101,Milestones!$AA$35)&lt;PolicyEff),1,Milestones!$AC$35)&amp;";  ","")&amp;IF(AND(EDATE($D101,Milestones!$AA$36)&lt;=AsOfDate,EDATE($D101,Milestones!$AA$36)&gt;=SchemeStart,IF($X101=0,$AD101,IF(AND($Z101&lt;&gt;"",EDATE($D101,Milestones!$AA$36)&gt;=$Z101),$AC101,IF(AND($Y101&lt;&gt;"",EDATE($D101,Milestones!$AA$36)&gt;=$Y101),$AB101,$AA101)))=Milestones!$AB$36),UPPER(TEXT(EDATE($D101,Milestones!$AA$36),"dd mmm yy"))&amp;" "&amp;Milestones!$AB$36&amp;" "&amp;IF(AND(Milestones!$AB$36="FT",Milestones!$AA$36=FT_Y5,EDATE($D101,Milestones!$AA$36)&lt;PolicyEff),1,Milestones!$AC$36)&amp;";  ","")&amp;IF(AND(EDATE($D101,Milestones!$AA$37)&lt;=AsOfDate,EDATE($D101,Milestones!$AA$37)&gt;=SchemeStart,IF($X101=0,$AD101,IF(AND($Z101&lt;&gt;"",EDATE($D101,Milestones!$AA$37)&gt;=$Z101),$AC101,IF(AND($Y101&lt;&gt;"",EDATE($D101,Milestones!$AA$37)&gt;=$Y101),$AB101,$AA101)))=Milestones!$AB$37),UPPER(TEXT(EDATE($D101,Milestones!$AA$37),"dd mmm yy"))&amp;" "&amp;Milestones!$AB$37&amp;" "&amp;IF(AND(Milestones!$AB$37="FT",Milestones!$AA$37=FT_Y5,EDATE($D101,Milestones!$AA$37)&lt;PolicyEff),1,Milestones!$AC$37)&amp;";  ","")&amp;IF(AND(EDATE($D101,Milestones!$AA$38)&lt;=AsOfDate,EDATE($D101,Milestones!$AA$38)&gt;=SchemeStart,IF($X101=0,$AD101,IF(AND($Z101&lt;&gt;"",EDATE($D101,Milestones!$AA$38)&gt;=$Z101),$AC101,IF(AND($Y101&lt;&gt;"",EDATE($D101,Milestones!$AA$38)&gt;=$Y101),$AB101,$AA101)))=Milestones!$AB$38),UPPER(TEXT(EDATE($D101,Milestones!$AA$38),"dd mmm yy"))&amp;" "&amp;Milestones!$AB$38&amp;" "&amp;IF(AND(Milestones!$AB$38="FT",Milestones!$AA$38=FT_Y5,EDATE($D101,Milestones!$AA$38)&lt;PolicyEff),1,Milestones!$AC$38)&amp;";  ","")&amp;IF(AND(EDATE($D101,Milestones!$AA$39)&lt;=AsOfDate,EDATE($D101,Milestones!$AA$39)&gt;=SchemeStart,IF($X101=0,$AD101,IF(AND($Z101&lt;&gt;"",EDATE($D101,Milestones!$AA$39)&gt;=$Z101),$AC101,IF(AND($Y101&lt;&gt;"",EDATE($D101,Milestones!$AA$39)&gt;=$Y101),$AB101,$AA101)))=Milestones!$AB$39),UPPER(TEXT(EDATE($D101,Milestones!$AA$39),"dd mmm yy"))&amp;" "&amp;Milestones!$AB$39&amp;" "&amp;IF(AND(Milestones!$AB$39="FT",Milestones!$AA$39=FT_Y5,EDATE($D101,Milestones!$AA$39)&lt;PolicyEff),1,Milestones!$AC$39)&amp;";  ","")&amp;IF(AND(EDATE($D101,Milestones!$AA$40)&lt;=AsOfDate,EDATE($D101,Milestones!$AA$40)&gt;=SchemeStart,IF($X101=0,$AD101,IF(AND($Z101&lt;&gt;"",EDATE($D101,Milestones!$AA$40)&gt;=$Z101),$AC101,IF(AND($Y101&lt;&gt;"",EDATE($D101,Milestones!$AA$40)&gt;=$Y101),$AB101,$AA101)))=Milestones!$AB$40),UPPER(TEXT(EDATE($D101,Milestones!$AA$40),"dd mmm yy"))&amp;" "&amp;Milestones!$AB$40&amp;" "&amp;IF(AND(Milestones!$AB$40="FT",Milestones!$AA$40=FT_Y5,EDATE($D101,Milestones!$AA$40)&lt;PolicyEff),1,Milestones!$AC$40)&amp;";  ","")&amp;IF(AND(EDATE($D101,Milestones!$AA$41)&lt;=AsOfDate,EDATE($D101,Milestones!$AA$41)&gt;=SchemeStart,IF($X101=0,$AD101,IF(AND($Z101&lt;&gt;"",EDATE($D101,Milestones!$AA$41)&gt;=$Z101),$AC101,IF(AND($Y101&lt;&gt;"",EDATE($D101,Milestones!$AA$41)&gt;=$Y101),$AB101,$AA101)))=Milestones!$AB$41),UPPER(TEXT(EDATE($D101,Milestones!$AA$41),"dd mmm yy"))&amp;" "&amp;Milestones!$AB$41&amp;" "&amp;IF(AND(Milestones!$AB$41="FT",Milestones!$AA$41=FT_Y5,EDATE($D101,Milestones!$AA$41)&lt;PolicyEff),1,Milestones!$AC$41)&amp;";  ","")&amp;IF(AND(EDATE($D101,Milestones!$AA$42)&lt;=AsOfDate,EDATE($D101,Milestones!$AA$42)&gt;=SchemeStart,IF($X101=0,$AD101,IF(AND($Z101&lt;&gt;"",EDATE($D101,Milestones!$AA$42)&gt;=$Z101),$AC101,IF(AND($Y101&lt;&gt;"",EDATE($D101,Milestones!$AA$42)&gt;=$Y101),$AB101,$AA101)))=Milestones!$AB$42),UPPER(TEXT(EDATE($D101,Milestones!$AA$42),"dd mmm yy"))&amp;" "&amp;Milestones!$AB$42&amp;" "&amp;IF(AND(Milestones!$AB$42="FT",Milestones!$AA$42=FT_Y5,EDATE($D101,Milestones!$AA$42)&lt;PolicyEff),1,Milestones!$AC$42)&amp;";  ","")&amp;IF(AND(EDATE($D101,Milestones!$AA$43)&lt;=AsOfDate,EDATE($D101,Milestones!$AA$43)&gt;=SchemeStart,IF($X101=0,$AD101,IF(AND($Z101&lt;&gt;"",EDATE($D101,Milestones!$AA$43)&gt;=$Z101),$AC101,IF(AND($Y101&lt;&gt;"",EDATE($D101,Milestones!$AA$43)&gt;=$Y101),$AB101,$AA101)))=Milestones!$AB$43),UPPER(TEXT(EDATE($D101,Milestones!$AA$43),"dd mmm yy"))&amp;" "&amp;Milestones!$AB$43&amp;" "&amp;IF(AND(Milestones!$AB$43="FT",Milestones!$AA$43=FT_Y5,EDATE($D101,Milestones!$AA$43)&lt;PolicyEff),1,Milestones!$AC$43)&amp;";  ",""))</f>
        <v/>
      </c>
      <c r="K101" s="0" t="str">
        <f aca="false">IF(OR($A101="",$D101=""),"",IF(AND(EDATE($D101,Milestones!$AA$44)&lt;=AsOfDate,EDATE($D101,Milestones!$AA$44)&gt;=SchemeStart,IF($X101=0,$AD101,IF(AND($Z101&lt;&gt;"",EDATE($D101,Milestones!$AA$44)&gt;=$Z101),$AC101,IF(AND($Y101&lt;&gt;"",EDATE($D101,Milestones!$AA$44)&gt;=$Y101),$AB101,$AA101)))=Milestones!$AB$44),UPPER(TEXT(EDATE($D101,Milestones!$AA$44),"dd mmm yy"))&amp;" "&amp;Milestones!$AB$44&amp;" "&amp;IF(AND(Milestones!$AB$44="FT",Milestones!$AA$44=FT_Y5,EDATE($D101,Milestones!$AA$44)&lt;PolicyEff),1,Milestones!$AC$44)&amp;";  ","")&amp;IF(AND(EDATE($D101,Milestones!$AA$45)&lt;=AsOfDate,EDATE($D101,Milestones!$AA$45)&gt;=SchemeStart,IF($X101=0,$AD101,IF(AND($Z101&lt;&gt;"",EDATE($D101,Milestones!$AA$45)&gt;=$Z101),$AC101,IF(AND($Y101&lt;&gt;"",EDATE($D101,Milestones!$AA$45)&gt;=$Y101),$AB101,$AA101)))=Milestones!$AB$45),UPPER(TEXT(EDATE($D101,Milestones!$AA$45),"dd mmm yy"))&amp;" "&amp;Milestones!$AB$45&amp;" "&amp;IF(AND(Milestones!$AB$45="FT",Milestones!$AA$45=FT_Y5,EDATE($D101,Milestones!$AA$45)&lt;PolicyEff),1,Milestones!$AC$45)&amp;";  ","")&amp;IF(AND(EDATE($D101,Milestones!$AA$46)&lt;=AsOfDate,EDATE($D101,Milestones!$AA$46)&gt;=SchemeStart,IF($X101=0,$AD101,IF(AND($Z101&lt;&gt;"",EDATE($D101,Milestones!$AA$46)&gt;=$Z101),$AC101,IF(AND($Y101&lt;&gt;"",EDATE($D101,Milestones!$AA$46)&gt;=$Y101),$AB101,$AA101)))=Milestones!$AB$46),UPPER(TEXT(EDATE($D101,Milestones!$AA$46),"dd mmm yy"))&amp;" "&amp;Milestones!$AB$46&amp;" "&amp;IF(AND(Milestones!$AB$46="FT",Milestones!$AA$46=FT_Y5,EDATE($D101,Milestones!$AA$46)&lt;PolicyEff),1,Milestones!$AC$46)&amp;";  ","")&amp;IF(AND(EDATE($D101,Milestones!$AA$47)&lt;=AsOfDate,EDATE($D101,Milestones!$AA$47)&gt;=SchemeStart,IF($X101=0,$AD101,IF(AND($Z101&lt;&gt;"",EDATE($D101,Milestones!$AA$47)&gt;=$Z101),$AC101,IF(AND($Y101&lt;&gt;"",EDATE($D101,Milestones!$AA$47)&gt;=$Y101),$AB101,$AA101)))=Milestones!$AB$47),UPPER(TEXT(EDATE($D101,Milestones!$AA$47),"dd mmm yy"))&amp;" "&amp;Milestones!$AB$47&amp;" "&amp;IF(AND(Milestones!$AB$47="FT",Milestones!$AA$47=FT_Y5,EDATE($D101,Milestones!$AA$47)&lt;PolicyEff),1,Milestones!$AC$47)&amp;";  ","")&amp;IF(AND(EDATE($D101,Milestones!$AA$48)&lt;=AsOfDate,EDATE($D101,Milestones!$AA$48)&gt;=SchemeStart,IF($X101=0,$AD101,IF(AND($Z101&lt;&gt;"",EDATE($D101,Milestones!$AA$48)&gt;=$Z101),$AC101,IF(AND($Y101&lt;&gt;"",EDATE($D101,Milestones!$AA$48)&gt;=$Y101),$AB101,$AA101)))=Milestones!$AB$48),UPPER(TEXT(EDATE($D101,Milestones!$AA$48),"dd mmm yy"))&amp;" "&amp;Milestones!$AB$48&amp;" "&amp;IF(AND(Milestones!$AB$48="FT",Milestones!$AA$48=FT_Y5,EDATE($D101,Milestones!$AA$48)&lt;PolicyEff),1,Milestones!$AC$48)&amp;";  ","")&amp;IF(AND(EDATE($D101,Milestones!$AA$49)&lt;=AsOfDate,EDATE($D101,Milestones!$AA$49)&gt;=SchemeStart,IF($X101=0,$AD101,IF(AND($Z101&lt;&gt;"",EDATE($D101,Milestones!$AA$49)&gt;=$Z101),$AC101,IF(AND($Y101&lt;&gt;"",EDATE($D101,Milestones!$AA$49)&gt;=$Y101),$AB101,$AA101)))=Milestones!$AB$49),UPPER(TEXT(EDATE($D101,Milestones!$AA$49),"dd mmm yy"))&amp;" "&amp;Milestones!$AB$49&amp;" "&amp;IF(AND(Milestones!$AB$49="FT",Milestones!$AA$49=FT_Y5,EDATE($D101,Milestones!$AA$49)&lt;PolicyEff),1,Milestones!$AC$49)&amp;";  ","")&amp;IF(AND(EDATE($D101,Milestones!$AA$50)&lt;=AsOfDate,EDATE($D101,Milestones!$AA$50)&gt;=SchemeStart,IF($X101=0,$AD101,IF(AND($Z101&lt;&gt;"",EDATE($D101,Milestones!$AA$50)&gt;=$Z101),$AC101,IF(AND($Y101&lt;&gt;"",EDATE($D101,Milestones!$AA$50)&gt;=$Y101),$AB101,$AA101)))=Milestones!$AB$50),UPPER(TEXT(EDATE($D101,Milestones!$AA$50),"dd mmm yy"))&amp;" "&amp;Milestones!$AB$50&amp;" "&amp;IF(AND(Milestones!$AB$50="FT",Milestones!$AA$50=FT_Y5,EDATE($D101,Milestones!$AA$50)&lt;PolicyEff),1,Milestones!$AC$50)&amp;";  ","")&amp;IF(AND(EDATE($D101,Milestones!$AA$51)&lt;=AsOfDate,EDATE($D101,Milestones!$AA$51)&gt;=SchemeStart,IF($X101=0,$AD101,IF(AND($Z101&lt;&gt;"",EDATE($D101,Milestones!$AA$51)&gt;=$Z101),$AC101,IF(AND($Y101&lt;&gt;"",EDATE($D101,Milestones!$AA$51)&gt;=$Y101),$AB101,$AA101)))=Milestones!$AB$51),UPPER(TEXT(EDATE($D101,Milestones!$AA$51),"dd mmm yy"))&amp;" "&amp;Milestones!$AB$51&amp;" "&amp;IF(AND(Milestones!$AB$51="FT",Milestones!$AA$51=FT_Y5,EDATE($D101,Milestones!$AA$51)&lt;PolicyEff),1,Milestones!$AC$51)&amp;";  ","")&amp;IF(AND(EDATE($D101,Milestones!$AA$52)&lt;=AsOfDate,EDATE($D101,Milestones!$AA$52)&gt;=SchemeStart,IF($X101=0,$AD101,IF(AND($Z101&lt;&gt;"",EDATE($D101,Milestones!$AA$52)&gt;=$Z101),$AC101,IF(AND($Y101&lt;&gt;"",EDATE($D101,Milestones!$AA$52)&gt;=$Y101),$AB101,$AA101)))=Milestones!$AB$52),UPPER(TEXT(EDATE($D101,Milestones!$AA$52),"dd mmm yy"))&amp;" "&amp;Milestones!$AB$52&amp;" "&amp;IF(AND(Milestones!$AB$52="FT",Milestones!$AA$52=FT_Y5,EDATE($D101,Milestones!$AA$52)&lt;PolicyEff),1,Milestones!$AC$52)&amp;";  ","")&amp;IF(AND(EDATE($D101,Milestones!$AA$53)&lt;=AsOfDate,EDATE($D101,Milestones!$AA$53)&gt;=SchemeStart,IF($X101=0,$AD101,IF(AND($Z101&lt;&gt;"",EDATE($D101,Milestones!$AA$53)&gt;=$Z101),$AC101,IF(AND($Y101&lt;&gt;"",EDATE($D101,Milestones!$AA$53)&gt;=$Y101),$AB101,$AA101)))=Milestones!$AB$53),UPPER(TEXT(EDATE($D101,Milestones!$AA$53),"dd mmm yy"))&amp;" "&amp;Milestones!$AB$53&amp;" "&amp;IF(AND(Milestones!$AB$53="FT",Milestones!$AA$53=FT_Y5,EDATE($D101,Milestones!$AA$53)&lt;PolicyEff),1,Milestones!$AC$53)&amp;";  ","")&amp;IF(AND(EDATE($D101,Milestones!$AA$54)&lt;=AsOfDate,EDATE($D101,Milestones!$AA$54)&gt;=SchemeStart,IF($X101=0,$AD101,IF(AND($Z101&lt;&gt;"",EDATE($D101,Milestones!$AA$54)&gt;=$Z101),$AC101,IF(AND($Y101&lt;&gt;"",EDATE($D101,Milestones!$AA$54)&gt;=$Y101),$AB101,$AA101)))=Milestones!$AB$54),UPPER(TEXT(EDATE($D101,Milestones!$AA$54),"dd mmm yy"))&amp;" "&amp;Milestones!$AB$54&amp;" "&amp;IF(AND(Milestones!$AB$54="FT",Milestones!$AA$54=FT_Y5,EDATE($D101,Milestones!$AA$54)&lt;PolicyEff),1,Milestones!$AC$54)&amp;";  ","")&amp;IF(AND(EDATE($D101,Milestones!$AA$55)&lt;=AsOfDate,EDATE($D101,Milestones!$AA$55)&gt;=SchemeStart,IF($X101=0,$AD101,IF(AND($Z101&lt;&gt;"",EDATE($D101,Milestones!$AA$55)&gt;=$Z101),$AC101,IF(AND($Y101&lt;&gt;"",EDATE($D101,Milestones!$AA$55)&gt;=$Y101),$AB101,$AA101)))=Milestones!$AB$55),UPPER(TEXT(EDATE($D101,Milestones!$AA$55),"dd mmm yy"))&amp;" "&amp;Milestones!$AB$55&amp;" "&amp;IF(AND(Milestones!$AB$55="FT",Milestones!$AA$55=FT_Y5,EDATE($D101,Milestones!$AA$55)&lt;PolicyEff),1,Milestones!$AC$55)&amp;";  ",""))</f>
        <v/>
      </c>
      <c r="L101" s="0" t="str">
        <f aca="false">IF(OR($A101="",$D101=""),"",IF(AND(EDATE($D101,Milestones!$AA$56)&lt;=AsOfDate,EDATE($D101,Milestones!$AA$56)&gt;=SchemeStart,IF($X101=0,$AD101,IF(AND($Z101&lt;&gt;"",EDATE($D101,Milestones!$AA$56)&gt;=$Z101),$AC101,IF(AND($Y101&lt;&gt;"",EDATE($D101,Milestones!$AA$56)&gt;=$Y101),$AB101,$AA101)))=Milestones!$AB$56),UPPER(TEXT(EDATE($D101,Milestones!$AA$56),"dd mmm yy"))&amp;" "&amp;Milestones!$AB$56&amp;" "&amp;IF(AND(Milestones!$AB$56="FT",Milestones!$AA$56=FT_Y5,EDATE($D101,Milestones!$AA$56)&lt;PolicyEff),1,Milestones!$AC$56)&amp;";  ","")&amp;IF(AND(EDATE($D101,Milestones!$AA$57)&lt;=AsOfDate,EDATE($D101,Milestones!$AA$57)&gt;=SchemeStart,IF($X101=0,$AD101,IF(AND($Z101&lt;&gt;"",EDATE($D101,Milestones!$AA$57)&gt;=$Z101),$AC101,IF(AND($Y101&lt;&gt;"",EDATE($D101,Milestones!$AA$57)&gt;=$Y101),$AB101,$AA101)))=Milestones!$AB$57),UPPER(TEXT(EDATE($D101,Milestones!$AA$57),"dd mmm yy"))&amp;" "&amp;Milestones!$AB$57&amp;" "&amp;IF(AND(Milestones!$AB$57="FT",Milestones!$AA$57=FT_Y5,EDATE($D101,Milestones!$AA$57)&lt;PolicyEff),1,Milestones!$AC$57)&amp;";  ","")&amp;IF(AND(EDATE($D101,Milestones!$AA$58)&lt;=AsOfDate,EDATE($D101,Milestones!$AA$58)&gt;=SchemeStart,IF($X101=0,$AD101,IF(AND($Z101&lt;&gt;"",EDATE($D101,Milestones!$AA$58)&gt;=$Z101),$AC101,IF(AND($Y101&lt;&gt;"",EDATE($D101,Milestones!$AA$58)&gt;=$Y101),$AB101,$AA101)))=Milestones!$AB$58),UPPER(TEXT(EDATE($D101,Milestones!$AA$58),"dd mmm yy"))&amp;" "&amp;Milestones!$AB$58&amp;" "&amp;IF(AND(Milestones!$AB$58="FT",Milestones!$AA$58=FT_Y5,EDATE($D101,Milestones!$AA$58)&lt;PolicyEff),1,Milestones!$AC$58)&amp;";  ","")&amp;IF(AND(EDATE($D101,Milestones!$AA$59)&lt;=AsOfDate,EDATE($D101,Milestones!$AA$59)&gt;=SchemeStart,IF($X101=0,$AD101,IF(AND($Z101&lt;&gt;"",EDATE($D101,Milestones!$AA$59)&gt;=$Z101),$AC101,IF(AND($Y101&lt;&gt;"",EDATE($D101,Milestones!$AA$59)&gt;=$Y101),$AB101,$AA101)))=Milestones!$AB$59),UPPER(TEXT(EDATE($D101,Milestones!$AA$59),"dd mmm yy"))&amp;" "&amp;Milestones!$AB$59&amp;" "&amp;IF(AND(Milestones!$AB$59="FT",Milestones!$AA$59=FT_Y5,EDATE($D101,Milestones!$AA$59)&lt;PolicyEff),1,Milestones!$AC$59)&amp;";  ","")&amp;IF(AND(EDATE($D101,Milestones!$AA$60)&lt;=AsOfDate,EDATE($D101,Milestones!$AA$60)&gt;=SchemeStart,IF($X101=0,$AD101,IF(AND($Z101&lt;&gt;"",EDATE($D101,Milestones!$AA$60)&gt;=$Z101),$AC101,IF(AND($Y101&lt;&gt;"",EDATE($D101,Milestones!$AA$60)&gt;=$Y101),$AB101,$AA101)))=Milestones!$AB$60),UPPER(TEXT(EDATE($D101,Milestones!$AA$60),"dd mmm yy"))&amp;" "&amp;Milestones!$AB$60&amp;" "&amp;IF(AND(Milestones!$AB$60="FT",Milestones!$AA$60=FT_Y5,EDATE($D101,Milestones!$AA$60)&lt;PolicyEff),1,Milestones!$AC$60)&amp;";  ","")&amp;IF(AND(EDATE($D101,Milestones!$AA$61)&lt;=AsOfDate,EDATE($D101,Milestones!$AA$61)&gt;=SchemeStart,IF($X101=0,$AD101,IF(AND($Z101&lt;&gt;"",EDATE($D101,Milestones!$AA$61)&gt;=$Z101),$AC101,IF(AND($Y101&lt;&gt;"",EDATE($D101,Milestones!$AA$61)&gt;=$Y101),$AB101,$AA101)))=Milestones!$AB$61),UPPER(TEXT(EDATE($D101,Milestones!$AA$61),"dd mmm yy"))&amp;" "&amp;Milestones!$AB$61&amp;" "&amp;IF(AND(Milestones!$AB$61="FT",Milestones!$AA$61=FT_Y5,EDATE($D101,Milestones!$AA$61)&lt;PolicyEff),1,Milestones!$AC$61)&amp;";  ","")&amp;IF(AND(EDATE($D101,Milestones!$AA$62)&lt;=AsOfDate,EDATE($D101,Milestones!$AA$62)&gt;=SchemeStart,IF($X101=0,$AD101,IF(AND($Z101&lt;&gt;"",EDATE($D101,Milestones!$AA$62)&gt;=$Z101),$AC101,IF(AND($Y101&lt;&gt;"",EDATE($D101,Milestones!$AA$62)&gt;=$Y101),$AB101,$AA101)))=Milestones!$AB$62),UPPER(TEXT(EDATE($D101,Milestones!$AA$62),"dd mmm yy"))&amp;" "&amp;Milestones!$AB$62&amp;" "&amp;IF(AND(Milestones!$AB$62="FT",Milestones!$AA$62=FT_Y5,EDATE($D101,Milestones!$AA$62)&lt;PolicyEff),1,Milestones!$AC$62)&amp;";  ","")&amp;IF(AND(EDATE($D101,Milestones!$AA$63)&lt;=AsOfDate,EDATE($D101,Milestones!$AA$63)&gt;=SchemeStart,IF($X101=0,$AD101,IF(AND($Z101&lt;&gt;"",EDATE($D101,Milestones!$AA$63)&gt;=$Z101),$AC101,IF(AND($Y101&lt;&gt;"",EDATE($D101,Milestones!$AA$63)&gt;=$Y101),$AB101,$AA101)))=Milestones!$AB$63),UPPER(TEXT(EDATE($D101,Milestones!$AA$63),"dd mmm yy"))&amp;" "&amp;Milestones!$AB$63&amp;" "&amp;IF(AND(Milestones!$AB$63="FT",Milestones!$AA$63=FT_Y5,EDATE($D101,Milestones!$AA$63)&lt;PolicyEff),1,Milestones!$AC$63)&amp;";  ","")&amp;IF(AND(EDATE($D101,Milestones!$AA$64)&lt;=AsOfDate,EDATE($D101,Milestones!$AA$64)&gt;=SchemeStart,IF($X101=0,$AD101,IF(AND($Z101&lt;&gt;"",EDATE($D101,Milestones!$AA$64)&gt;=$Z101),$AC101,IF(AND($Y101&lt;&gt;"",EDATE($D101,Milestones!$AA$64)&gt;=$Y101),$AB101,$AA101)))=Milestones!$AB$64),UPPER(TEXT(EDATE($D101,Milestones!$AA$64),"dd mmm yy"))&amp;" "&amp;Milestones!$AB$64&amp;" "&amp;IF(AND(Milestones!$AB$64="FT",Milestones!$AA$64=FT_Y5,EDATE($D101,Milestones!$AA$64)&lt;PolicyEff),1,Milestones!$AC$64)&amp;";  ","")&amp;IF(AND(EDATE($D101,Milestones!$AA$65)&lt;=AsOfDate,EDATE($D101,Milestones!$AA$65)&gt;=SchemeStart,IF($X101=0,$AD101,IF(AND($Z101&lt;&gt;"",EDATE($D101,Milestones!$AA$65)&gt;=$Z101),$AC101,IF(AND($Y101&lt;&gt;"",EDATE($D101,Milestones!$AA$65)&gt;=$Y101),$AB101,$AA101)))=Milestones!$AB$65),UPPER(TEXT(EDATE($D101,Milestones!$AA$65),"dd mmm yy"))&amp;" "&amp;Milestones!$AB$65&amp;" "&amp;IF(AND(Milestones!$AB$65="FT",Milestones!$AA$65=FT_Y5,EDATE($D101,Milestones!$AA$65)&lt;PolicyEff),1,Milestones!$AC$65)&amp;";  ","")&amp;IF(AND(EDATE($D101,Milestones!$AA$66)&lt;=AsOfDate,EDATE($D101,Milestones!$AA$66)&gt;=SchemeStart,IF($X101=0,$AD101,IF(AND($Z101&lt;&gt;"",EDATE($D101,Milestones!$AA$66)&gt;=$Z101),$AC101,IF(AND($Y101&lt;&gt;"",EDATE($D101,Milestones!$AA$66)&gt;=$Y101),$AB101,$AA101)))=Milestones!$AB$66),UPPER(TEXT(EDATE($D101,Milestones!$AA$66),"dd mmm yy"))&amp;" "&amp;Milestones!$AB$66&amp;" "&amp;IF(AND(Milestones!$AB$66="FT",Milestones!$AA$66=FT_Y5,EDATE($D101,Milestones!$AA$66)&lt;PolicyEff),1,Milestones!$AC$66)&amp;";  ","")&amp;IF(AND(EDATE($D101,Milestones!$AA$67)&lt;=AsOfDate,EDATE($D101,Milestones!$AA$67)&gt;=SchemeStart,IF($X101=0,$AD101,IF(AND($Z101&lt;&gt;"",EDATE($D101,Milestones!$AA$67)&gt;=$Z101),$AC101,IF(AND($Y101&lt;&gt;"",EDATE($D101,Milestones!$AA$67)&gt;=$Y101),$AB101,$AA101)))=Milestones!$AB$67),UPPER(TEXT(EDATE($D101,Milestones!$AA$67),"dd mmm yy"))&amp;" "&amp;Milestones!$AB$67&amp;" "&amp;IF(AND(Milestones!$AB$67="FT",Milestones!$AA$67=FT_Y5,EDATE($D101,Milestones!$AA$67)&lt;PolicyEff),1,Milestones!$AC$67)&amp;";  ",""))</f>
        <v/>
      </c>
      <c r="M101" s="0" t="str">
        <f aca="false">IF(OR($A101="",$D101=""),"",IF(AND(EDATE($D101,Milestones!$AA$68)&lt;=AsOfDate,EDATE($D101,Milestones!$AA$68)&gt;=SchemeStart,IF($X101=0,$AD101,IF(AND($Z101&lt;&gt;"",EDATE($D101,Milestones!$AA$68)&gt;=$Z101),$AC101,IF(AND($Y101&lt;&gt;"",EDATE($D101,Milestones!$AA$68)&gt;=$Y101),$AB101,$AA101)))=Milestones!$AB$68),UPPER(TEXT(EDATE($D101,Milestones!$AA$68),"dd mmm yy"))&amp;" "&amp;Milestones!$AB$68&amp;" "&amp;IF(AND(Milestones!$AB$68="FT",Milestones!$AA$68=FT_Y5,EDATE($D101,Milestones!$AA$68)&lt;PolicyEff),1,Milestones!$AC$68)&amp;";  ","")&amp;IF(AND(EDATE($D101,Milestones!$AA$69)&lt;=AsOfDate,EDATE($D101,Milestones!$AA$69)&gt;=SchemeStart,IF($X101=0,$AD101,IF(AND($Z101&lt;&gt;"",EDATE($D101,Milestones!$AA$69)&gt;=$Z101),$AC101,IF(AND($Y101&lt;&gt;"",EDATE($D101,Milestones!$AA$69)&gt;=$Y101),$AB101,$AA101)))=Milestones!$AB$69),UPPER(TEXT(EDATE($D101,Milestones!$AA$69),"dd mmm yy"))&amp;" "&amp;Milestones!$AB$69&amp;" "&amp;IF(AND(Milestones!$AB$69="FT",Milestones!$AA$69=FT_Y5,EDATE($D101,Milestones!$AA$69)&lt;PolicyEff),1,Milestones!$AC$69)&amp;";  ","")&amp;IF(AND(EDATE($D101,Milestones!$AA$70)&lt;=AsOfDate,EDATE($D101,Milestones!$AA$70)&gt;=SchemeStart,IF($X101=0,$AD101,IF(AND($Z101&lt;&gt;"",EDATE($D101,Milestones!$AA$70)&gt;=$Z101),$AC101,IF(AND($Y101&lt;&gt;"",EDATE($D101,Milestones!$AA$70)&gt;=$Y101),$AB101,$AA101)))=Milestones!$AB$70),UPPER(TEXT(EDATE($D101,Milestones!$AA$70),"dd mmm yy"))&amp;" "&amp;Milestones!$AB$70&amp;" "&amp;IF(AND(Milestones!$AB$70="FT",Milestones!$AA$70=FT_Y5,EDATE($D101,Milestones!$AA$70)&lt;PolicyEff),1,Milestones!$AC$70)&amp;";  ","")&amp;IF(AND(EDATE($D101,Milestones!$AA$71)&lt;=AsOfDate,EDATE($D101,Milestones!$AA$71)&gt;=SchemeStart,IF($X101=0,$AD101,IF(AND($Z101&lt;&gt;"",EDATE($D101,Milestones!$AA$71)&gt;=$Z101),$AC101,IF(AND($Y101&lt;&gt;"",EDATE($D101,Milestones!$AA$71)&gt;=$Y101),$AB101,$AA101)))=Milestones!$AB$71),UPPER(TEXT(EDATE($D101,Milestones!$AA$71),"dd mmm yy"))&amp;" "&amp;Milestones!$AB$71&amp;" "&amp;IF(AND(Milestones!$AB$71="FT",Milestones!$AA$71=FT_Y5,EDATE($D101,Milestones!$AA$71)&lt;PolicyEff),1,Milestones!$AC$71)&amp;";  ","")&amp;IF(AND(EDATE($D101,Milestones!$AA$72)&lt;=AsOfDate,EDATE($D101,Milestones!$AA$72)&gt;=SchemeStart,IF($X101=0,$AD101,IF(AND($Z101&lt;&gt;"",EDATE($D101,Milestones!$AA$72)&gt;=$Z101),$AC101,IF(AND($Y101&lt;&gt;"",EDATE($D101,Milestones!$AA$72)&gt;=$Y101),$AB101,$AA101)))=Milestones!$AB$72),UPPER(TEXT(EDATE($D101,Milestones!$AA$72),"dd mmm yy"))&amp;" "&amp;Milestones!$AB$72&amp;" "&amp;IF(AND(Milestones!$AB$72="FT",Milestones!$AA$72=FT_Y5,EDATE($D101,Milestones!$AA$72)&lt;PolicyEff),1,Milestones!$AC$72)&amp;";  ","")&amp;IF(AND(EDATE($D101,Milestones!$AA$73)&lt;=AsOfDate,EDATE($D101,Milestones!$AA$73)&gt;=SchemeStart,IF($X101=0,$AD101,IF(AND($Z101&lt;&gt;"",EDATE($D101,Milestones!$AA$73)&gt;=$Z101),$AC101,IF(AND($Y101&lt;&gt;"",EDATE($D101,Milestones!$AA$73)&gt;=$Y101),$AB101,$AA101)))=Milestones!$AB$73),UPPER(TEXT(EDATE($D101,Milestones!$AA$73),"dd mmm yy"))&amp;" "&amp;Milestones!$AB$73&amp;" "&amp;IF(AND(Milestones!$AB$73="FT",Milestones!$AA$73=FT_Y5,EDATE($D101,Milestones!$AA$73)&lt;PolicyEff),1,Milestones!$AC$73)&amp;";  ","")&amp;IF(AND(EDATE($D101,Milestones!$AA$74)&lt;=AsOfDate,EDATE($D101,Milestones!$AA$74)&gt;=SchemeStart,IF($X101=0,$AD101,IF(AND($Z101&lt;&gt;"",EDATE($D101,Milestones!$AA$74)&gt;=$Z101),$AC101,IF(AND($Y101&lt;&gt;"",EDATE($D101,Milestones!$AA$74)&gt;=$Y101),$AB101,$AA101)))=Milestones!$AB$74),UPPER(TEXT(EDATE($D101,Milestones!$AA$74),"dd mmm yy"))&amp;" "&amp;Milestones!$AB$74&amp;" "&amp;IF(AND(Milestones!$AB$74="FT",Milestones!$AA$74=FT_Y5,EDATE($D101,Milestones!$AA$74)&lt;PolicyEff),1,Milestones!$AC$74)&amp;";  ","")&amp;IF(AND(EDATE($D101,Milestones!$AA$75)&lt;=AsOfDate,EDATE($D101,Milestones!$AA$75)&gt;=SchemeStart,IF($X101=0,$AD101,IF(AND($Z101&lt;&gt;"",EDATE($D101,Milestones!$AA$75)&gt;=$Z101),$AC101,IF(AND($Y101&lt;&gt;"",EDATE($D101,Milestones!$AA$75)&gt;=$Y101),$AB101,$AA101)))=Milestones!$AB$75),UPPER(TEXT(EDATE($D101,Milestones!$AA$75),"dd mmm yy"))&amp;" "&amp;Milestones!$AB$75&amp;" "&amp;IF(AND(Milestones!$AB$75="FT",Milestones!$AA$75=FT_Y5,EDATE($D101,Milestones!$AA$75)&lt;PolicyEff),1,Milestones!$AC$75)&amp;";  ","")&amp;IF(AND(EDATE($D101,Milestones!$AA$76)&lt;=AsOfDate,EDATE($D101,Milestones!$AA$76)&gt;=SchemeStart,IF($X101=0,$AD101,IF(AND($Z101&lt;&gt;"",EDATE($D101,Milestones!$AA$76)&gt;=$Z101),$AC101,IF(AND($Y101&lt;&gt;"",EDATE($D101,Milestones!$AA$76)&gt;=$Y101),$AB101,$AA101)))=Milestones!$AB$76),UPPER(TEXT(EDATE($D101,Milestones!$AA$76),"dd mmm yy"))&amp;" "&amp;Milestones!$AB$76&amp;" "&amp;IF(AND(Milestones!$AB$76="FT",Milestones!$AA$76=FT_Y5,EDATE($D101,Milestones!$AA$76)&lt;PolicyEff),1,Milestones!$AC$76)&amp;";  ","")&amp;IF(AND(EDATE($D101,Milestones!$AA$77)&lt;=AsOfDate,EDATE($D101,Milestones!$AA$77)&gt;=SchemeStart,IF($X101=0,$AD101,IF(AND($Z101&lt;&gt;"",EDATE($D101,Milestones!$AA$77)&gt;=$Z101),$AC101,IF(AND($Y101&lt;&gt;"",EDATE($D101,Milestones!$AA$77)&gt;=$Y101),$AB101,$AA101)))=Milestones!$AB$77),UPPER(TEXT(EDATE($D101,Milestones!$AA$77),"dd mmm yy"))&amp;" "&amp;Milestones!$AB$77&amp;" "&amp;IF(AND(Milestones!$AB$77="FT",Milestones!$AA$77=FT_Y5,EDATE($D101,Milestones!$AA$77)&lt;PolicyEff),1,Milestones!$AC$77)&amp;";  ","")&amp;IF(AND(EDATE($D101,Milestones!$AA$78)&lt;=AsOfDate,EDATE($D101,Milestones!$AA$78)&gt;=SchemeStart,IF($X101=0,$AD101,IF(AND($Z101&lt;&gt;"",EDATE($D101,Milestones!$AA$78)&gt;=$Z101),$AC101,IF(AND($Y101&lt;&gt;"",EDATE($D101,Milestones!$AA$78)&gt;=$Y101),$AB101,$AA101)))=Milestones!$AB$78),UPPER(TEXT(EDATE($D101,Milestones!$AA$78),"dd mmm yy"))&amp;" "&amp;Milestones!$AB$78&amp;" "&amp;IF(AND(Milestones!$AB$78="FT",Milestones!$AA$78=FT_Y5,EDATE($D101,Milestones!$AA$78)&lt;PolicyEff),1,Milestones!$AC$78)&amp;";  ","")&amp;IF(AND(EDATE($D101,Milestones!$AA$79)&lt;=AsOfDate,EDATE($D101,Milestones!$AA$79)&gt;=SchemeStart,IF($X101=0,$AD101,IF(AND($Z101&lt;&gt;"",EDATE($D101,Milestones!$AA$79)&gt;=$Z101),$AC101,IF(AND($Y101&lt;&gt;"",EDATE($D101,Milestones!$AA$79)&gt;=$Y101),$AB101,$AA101)))=Milestones!$AB$79),UPPER(TEXT(EDATE($D101,Milestones!$AA$79),"dd mmm yy"))&amp;" "&amp;Milestones!$AB$79&amp;" "&amp;IF(AND(Milestones!$AB$79="FT",Milestones!$AA$79=FT_Y5,EDATE($D101,Milestones!$AA$79)&lt;PolicyEff),1,Milestones!$AC$79)&amp;";  ",""))</f>
        <v/>
      </c>
      <c r="N101" s="0" t="str">
        <f aca="false">IF(OR($A101="",$D101=""),"",IF(AND(EDATE($D101,Milestones!$AA$80)&lt;=AsOfDate,EDATE($D101,Milestones!$AA$80)&gt;=SchemeStart,IF($X101=0,$AD101,IF(AND($Z101&lt;&gt;"",EDATE($D101,Milestones!$AA$80)&gt;=$Z101),$AC101,IF(AND($Y101&lt;&gt;"",EDATE($D101,Milestones!$AA$80)&gt;=$Y101),$AB101,$AA101)))=Milestones!$AB$80),UPPER(TEXT(EDATE($D101,Milestones!$AA$80),"dd mmm yy"))&amp;" "&amp;Milestones!$AB$80&amp;" "&amp;IF(AND(Milestones!$AB$80="FT",Milestones!$AA$80=FT_Y5,EDATE($D101,Milestones!$AA$80)&lt;PolicyEff),1,Milestones!$AC$80)&amp;";  ","")&amp;IF(AND(EDATE($D101,Milestones!$AA$81)&lt;=AsOfDate,EDATE($D101,Milestones!$AA$81)&gt;=SchemeStart,IF($X101=0,$AD101,IF(AND($Z101&lt;&gt;"",EDATE($D101,Milestones!$AA$81)&gt;=$Z101),$AC101,IF(AND($Y101&lt;&gt;"",EDATE($D101,Milestones!$AA$81)&gt;=$Y101),$AB101,$AA101)))=Milestones!$AB$81),UPPER(TEXT(EDATE($D101,Milestones!$AA$81),"dd mmm yy"))&amp;" "&amp;Milestones!$AB$81&amp;" "&amp;IF(AND(Milestones!$AB$81="FT",Milestones!$AA$81=FT_Y5,EDATE($D101,Milestones!$AA$81)&lt;PolicyEff),1,Milestones!$AC$81)&amp;";  ","")&amp;IF(AND(EDATE($D101,Milestones!$AA$82)&lt;=AsOfDate,EDATE($D101,Milestones!$AA$82)&gt;=SchemeStart,IF($X101=0,$AD101,IF(AND($Z101&lt;&gt;"",EDATE($D101,Milestones!$AA$82)&gt;=$Z101),$AC101,IF(AND($Y101&lt;&gt;"",EDATE($D101,Milestones!$AA$82)&gt;=$Y101),$AB101,$AA101)))=Milestones!$AB$82),UPPER(TEXT(EDATE($D101,Milestones!$AA$82),"dd mmm yy"))&amp;" "&amp;Milestones!$AB$82&amp;" "&amp;IF(AND(Milestones!$AB$82="FT",Milestones!$AA$82=FT_Y5,EDATE($D101,Milestones!$AA$82)&lt;PolicyEff),1,Milestones!$AC$82)&amp;";  ","")&amp;IF(AND(EDATE($D101,Milestones!$AA$83)&lt;=AsOfDate,EDATE($D101,Milestones!$AA$83)&gt;=SchemeStart,IF($X101=0,$AD101,IF(AND($Z101&lt;&gt;"",EDATE($D101,Milestones!$AA$83)&gt;=$Z101),$AC101,IF(AND($Y101&lt;&gt;"",EDATE($D101,Milestones!$AA$83)&gt;=$Y101),$AB101,$AA101)))=Milestones!$AB$83),UPPER(TEXT(EDATE($D101,Milestones!$AA$83),"dd mmm yy"))&amp;" "&amp;Milestones!$AB$83&amp;" "&amp;IF(AND(Milestones!$AB$83="FT",Milestones!$AA$83=FT_Y5,EDATE($D101,Milestones!$AA$83)&lt;PolicyEff),1,Milestones!$AC$83)&amp;";  ","")&amp;IF(AND(EDATE($D101,Milestones!$AA$84)&lt;=AsOfDate,EDATE($D101,Milestones!$AA$84)&gt;=SchemeStart,IF($X101=0,$AD101,IF(AND($Z101&lt;&gt;"",EDATE($D101,Milestones!$AA$84)&gt;=$Z101),$AC101,IF(AND($Y101&lt;&gt;"",EDATE($D101,Milestones!$AA$84)&gt;=$Y101),$AB101,$AA101)))=Milestones!$AB$84),UPPER(TEXT(EDATE($D101,Milestones!$AA$84),"dd mmm yy"))&amp;" "&amp;Milestones!$AB$84&amp;" "&amp;IF(AND(Milestones!$AB$84="FT",Milestones!$AA$84=FT_Y5,EDATE($D101,Milestones!$AA$84)&lt;PolicyEff),1,Milestones!$AC$84)&amp;";  ","")&amp;IF(AND(EDATE($D101,Milestones!$AA$85)&lt;=AsOfDate,EDATE($D101,Milestones!$AA$85)&gt;=SchemeStart,IF($X101=0,$AD101,IF(AND($Z101&lt;&gt;"",EDATE($D101,Milestones!$AA$85)&gt;=$Z101),$AC101,IF(AND($Y101&lt;&gt;"",EDATE($D101,Milestones!$AA$85)&gt;=$Y101),$AB101,$AA101)))=Milestones!$AB$85),UPPER(TEXT(EDATE($D101,Milestones!$AA$85),"dd mmm yy"))&amp;" "&amp;Milestones!$AB$85&amp;" "&amp;IF(AND(Milestones!$AB$85="FT",Milestones!$AA$85=FT_Y5,EDATE($D101,Milestones!$AA$85)&lt;PolicyEff),1,Milestones!$AC$85)&amp;";  ","")&amp;IF(AND(EDATE($D101,Milestones!$AA$86)&lt;=AsOfDate,EDATE($D101,Milestones!$AA$86)&gt;=SchemeStart,IF($X101=0,$AD101,IF(AND($Z101&lt;&gt;"",EDATE($D101,Milestones!$AA$86)&gt;=$Z101),$AC101,IF(AND($Y101&lt;&gt;"",EDATE($D101,Milestones!$AA$86)&gt;=$Y101),$AB101,$AA101)))=Milestones!$AB$86),UPPER(TEXT(EDATE($D101,Milestones!$AA$86),"dd mmm yy"))&amp;" "&amp;Milestones!$AB$86&amp;" "&amp;IF(AND(Milestones!$AB$86="FT",Milestones!$AA$86=FT_Y5,EDATE($D101,Milestones!$AA$86)&lt;PolicyEff),1,Milestones!$AC$86)&amp;";  ","")&amp;IF(AND(EDATE($D101,Milestones!$AA$87)&lt;=AsOfDate,EDATE($D101,Milestones!$AA$87)&gt;=SchemeStart,IF($X101=0,$AD101,IF(AND($Z101&lt;&gt;"",EDATE($D101,Milestones!$AA$87)&gt;=$Z101),$AC101,IF(AND($Y101&lt;&gt;"",EDATE($D101,Milestones!$AA$87)&gt;=$Y101),$AB101,$AA101)))=Milestones!$AB$87),UPPER(TEXT(EDATE($D101,Milestones!$AA$87),"dd mmm yy"))&amp;" "&amp;Milestones!$AB$87&amp;" "&amp;IF(AND(Milestones!$AB$87="FT",Milestones!$AA$87=FT_Y5,EDATE($D101,Milestones!$AA$87)&lt;PolicyEff),1,Milestones!$AC$87)&amp;";  ","")&amp;IF(AND(EDATE($D101,Milestones!$AA$88)&lt;=AsOfDate,EDATE($D101,Milestones!$AA$88)&gt;=SchemeStart,IF($X101=0,$AD101,IF(AND($Z101&lt;&gt;"",EDATE($D101,Milestones!$AA$88)&gt;=$Z101),$AC101,IF(AND($Y101&lt;&gt;"",EDATE($D101,Milestones!$AA$88)&gt;=$Y101),$AB101,$AA101)))=Milestones!$AB$88),UPPER(TEXT(EDATE($D101,Milestones!$AA$88),"dd mmm yy"))&amp;" "&amp;Milestones!$AB$88&amp;" "&amp;IF(AND(Milestones!$AB$88="FT",Milestones!$AA$88=FT_Y5,EDATE($D101,Milestones!$AA$88)&lt;PolicyEff),1,Milestones!$AC$88)&amp;";  ","")&amp;IF(AND(EDATE($D101,Milestones!$AA$89)&lt;=AsOfDate,EDATE($D101,Milestones!$AA$89)&gt;=SchemeStart,IF($X101=0,$AD101,IF(AND($Z101&lt;&gt;"",EDATE($D101,Milestones!$AA$89)&gt;=$Z101),$AC101,IF(AND($Y101&lt;&gt;"",EDATE($D101,Milestones!$AA$89)&gt;=$Y101),$AB101,$AA101)))=Milestones!$AB$89),UPPER(TEXT(EDATE($D101,Milestones!$AA$89),"dd mmm yy"))&amp;" "&amp;Milestones!$AB$89&amp;" "&amp;IF(AND(Milestones!$AB$89="FT",Milestones!$AA$89=FT_Y5,EDATE($D101,Milestones!$AA$89)&lt;PolicyEff),1,Milestones!$AC$89)&amp;";  ","")&amp;IF(AND(EDATE($D101,Milestones!$AA$90)&lt;=AsOfDate,EDATE($D101,Milestones!$AA$90)&gt;=SchemeStart,IF($X101=0,$AD101,IF(AND($Z101&lt;&gt;"",EDATE($D101,Milestones!$AA$90)&gt;=$Z101),$AC101,IF(AND($Y101&lt;&gt;"",EDATE($D101,Milestones!$AA$90)&gt;=$Y101),$AB101,$AA101)))=Milestones!$AB$90),UPPER(TEXT(EDATE($D101,Milestones!$AA$90),"dd mmm yy"))&amp;" "&amp;Milestones!$AB$90&amp;" "&amp;IF(AND(Milestones!$AB$90="FT",Milestones!$AA$90=FT_Y5,EDATE($D101,Milestones!$AA$90)&lt;PolicyEff),1,Milestones!$AC$90)&amp;";  ","")&amp;IF(AND(EDATE($D101,Milestones!$AA$91)&lt;=AsOfDate,EDATE($D101,Milestones!$AA$91)&gt;=SchemeStart,IF($X101=0,$AD101,IF(AND($Z101&lt;&gt;"",EDATE($D101,Milestones!$AA$91)&gt;=$Z101),$AC101,IF(AND($Y101&lt;&gt;"",EDATE($D101,Milestones!$AA$91)&gt;=$Y101),$AB101,$AA101)))=Milestones!$AB$91),UPPER(TEXT(EDATE($D101,Milestones!$AA$91),"dd mmm yy"))&amp;" "&amp;Milestones!$AB$91&amp;" "&amp;IF(AND(Milestones!$AB$91="FT",Milestones!$AA$91=FT_Y5,EDATE($D101,Milestones!$AA$91)&lt;PolicyEff),1,Milestones!$AC$91)&amp;";  ",""))</f>
        <v/>
      </c>
      <c r="O101" s="0" t="str">
        <f aca="false">IF(OR($A101="",$D101=""),"",IF(AND(EDATE($D101,Milestones!$AA$92)&lt;=AsOfDate,EDATE($D101,Milestones!$AA$92)&gt;=SchemeStart,IF($X101=0,$AD101,IF(AND($Z101&lt;&gt;"",EDATE($D101,Milestones!$AA$92)&gt;=$Z101),$AC101,IF(AND($Y101&lt;&gt;"",EDATE($D101,Milestones!$AA$92)&gt;=$Y101),$AB101,$AA101)))=Milestones!$AB$92),UPPER(TEXT(EDATE($D101,Milestones!$AA$92),"dd mmm yy"))&amp;" "&amp;Milestones!$AB$92&amp;" "&amp;IF(AND(Milestones!$AB$92="FT",Milestones!$AA$92=FT_Y5,EDATE($D101,Milestones!$AA$92)&lt;PolicyEff),1,Milestones!$AC$92)&amp;";  ","")&amp;IF(AND(EDATE($D101,Milestones!$AA$93)&lt;=AsOfDate,EDATE($D101,Milestones!$AA$93)&gt;=SchemeStart,IF($X101=0,$AD101,IF(AND($Z101&lt;&gt;"",EDATE($D101,Milestones!$AA$93)&gt;=$Z101),$AC101,IF(AND($Y101&lt;&gt;"",EDATE($D101,Milestones!$AA$93)&gt;=$Y101),$AB101,$AA101)))=Milestones!$AB$93),UPPER(TEXT(EDATE($D101,Milestones!$AA$93),"dd mmm yy"))&amp;" "&amp;Milestones!$AB$93&amp;" "&amp;IF(AND(Milestones!$AB$93="FT",Milestones!$AA$93=FT_Y5,EDATE($D101,Milestones!$AA$93)&lt;PolicyEff),1,Milestones!$AC$93)&amp;";  ","")&amp;IF(AND(EDATE($D101,Milestones!$AA$94)&lt;=AsOfDate,EDATE($D101,Milestones!$AA$94)&gt;=SchemeStart,IF($X101=0,$AD101,IF(AND($Z101&lt;&gt;"",EDATE($D101,Milestones!$AA$94)&gt;=$Z101),$AC101,IF(AND($Y101&lt;&gt;"",EDATE($D101,Milestones!$AA$94)&gt;=$Y101),$AB101,$AA101)))=Milestones!$AB$94),UPPER(TEXT(EDATE($D101,Milestones!$AA$94),"dd mmm yy"))&amp;" "&amp;Milestones!$AB$94&amp;" "&amp;IF(AND(Milestones!$AB$94="FT",Milestones!$AA$94=FT_Y5,EDATE($D101,Milestones!$AA$94)&lt;PolicyEff),1,Milestones!$AC$94)&amp;";  ","")&amp;IF(AND(EDATE($D101,Milestones!$AA$95)&lt;=AsOfDate,EDATE($D101,Milestones!$AA$95)&gt;=SchemeStart,IF($X101=0,$AD101,IF(AND($Z101&lt;&gt;"",EDATE($D101,Milestones!$AA$95)&gt;=$Z101),$AC101,IF(AND($Y101&lt;&gt;"",EDATE($D101,Milestones!$AA$95)&gt;=$Y101),$AB101,$AA101)))=Milestones!$AB$95),UPPER(TEXT(EDATE($D101,Milestones!$AA$95),"dd mmm yy"))&amp;" "&amp;Milestones!$AB$95&amp;" "&amp;IF(AND(Milestones!$AB$95="FT",Milestones!$AA$95=FT_Y5,EDATE($D101,Milestones!$AA$95)&lt;PolicyEff),1,Milestones!$AC$95)&amp;";  ","")&amp;IF(AND(EDATE($D101,Milestones!$AA$96)&lt;=AsOfDate,EDATE($D101,Milestones!$AA$96)&gt;=SchemeStart,IF($X101=0,$AD101,IF(AND($Z101&lt;&gt;"",EDATE($D101,Milestones!$AA$96)&gt;=$Z101),$AC101,IF(AND($Y101&lt;&gt;"",EDATE($D101,Milestones!$AA$96)&gt;=$Y101),$AB101,$AA101)))=Milestones!$AB$96),UPPER(TEXT(EDATE($D101,Milestones!$AA$96),"dd mmm yy"))&amp;" "&amp;Milestones!$AB$96&amp;" "&amp;IF(AND(Milestones!$AB$96="FT",Milestones!$AA$96=FT_Y5,EDATE($D101,Milestones!$AA$96)&lt;PolicyEff),1,Milestones!$AC$96)&amp;";  ","")&amp;IF(AND(EDATE($D101,Milestones!$AA$97)&lt;=AsOfDate,EDATE($D101,Milestones!$AA$97)&gt;=SchemeStart,IF($X101=0,$AD101,IF(AND($Z101&lt;&gt;"",EDATE($D101,Milestones!$AA$97)&gt;=$Z101),$AC101,IF(AND($Y101&lt;&gt;"",EDATE($D101,Milestones!$AA$97)&gt;=$Y101),$AB101,$AA101)))=Milestones!$AB$97),UPPER(TEXT(EDATE($D101,Milestones!$AA$97),"dd mmm yy"))&amp;" "&amp;Milestones!$AB$97&amp;" "&amp;IF(AND(Milestones!$AB$97="FT",Milestones!$AA$97=FT_Y5,EDATE($D101,Milestones!$AA$97)&lt;PolicyEff),1,Milestones!$AC$97)&amp;";  ","")&amp;IF(AND(EDATE($D101,Milestones!$AA$98)&lt;=AsOfDate,EDATE($D101,Milestones!$AA$98)&gt;=SchemeStart,IF($X101=0,$AD101,IF(AND($Z101&lt;&gt;"",EDATE($D101,Milestones!$AA$98)&gt;=$Z101),$AC101,IF(AND($Y101&lt;&gt;"",EDATE($D101,Milestones!$AA$98)&gt;=$Y101),$AB101,$AA101)))=Milestones!$AB$98),UPPER(TEXT(EDATE($D101,Milestones!$AA$98),"dd mmm yy"))&amp;" "&amp;Milestones!$AB$98&amp;" "&amp;IF(AND(Milestones!$AB$98="FT",Milestones!$AA$98=FT_Y5,EDATE($D101,Milestones!$AA$98)&lt;PolicyEff),1,Milestones!$AC$98)&amp;";  ","")&amp;IF(AND(EDATE($D101,Milestones!$AA$99)&lt;=AsOfDate,EDATE($D101,Milestones!$AA$99)&gt;=SchemeStart,IF($X101=0,$AD101,IF(AND($Z101&lt;&gt;"",EDATE($D101,Milestones!$AA$99)&gt;=$Z101),$AC101,IF(AND($Y101&lt;&gt;"",EDATE($D101,Milestones!$AA$99)&gt;=$Y101),$AB101,$AA101)))=Milestones!$AB$99),UPPER(TEXT(EDATE($D101,Milestones!$AA$99),"dd mmm yy"))&amp;" "&amp;Milestones!$AB$99&amp;" "&amp;IF(AND(Milestones!$AB$99="FT",Milestones!$AA$99=FT_Y5,EDATE($D101,Milestones!$AA$99)&lt;PolicyEff),1,Milestones!$AC$99)&amp;";  ","")&amp;IF(AND(EDATE($D101,Milestones!$AA$100)&lt;=AsOfDate,EDATE($D101,Milestones!$AA$100)&gt;=SchemeStart,IF($X101=0,$AD101,IF(AND($Z101&lt;&gt;"",EDATE($D101,Milestones!$AA$100)&gt;=$Z101),$AC101,IF(AND($Y101&lt;&gt;"",EDATE($D101,Milestones!$AA$100)&gt;=$Y101),$AB101,$AA101)))=Milestones!$AB$100),UPPER(TEXT(EDATE($D101,Milestones!$AA$100),"dd mmm yy"))&amp;" "&amp;Milestones!$AB$100&amp;" "&amp;IF(AND(Milestones!$AB$100="FT",Milestones!$AA$100=FT_Y5,EDATE($D101,Milestones!$AA$100)&lt;PolicyEff),1,Milestones!$AC$100)&amp;";  ","")&amp;IF(AND(EDATE($D101,Milestones!$AA$101)&lt;=AsOfDate,EDATE($D101,Milestones!$AA$101)&gt;=SchemeStart,IF($X101=0,$AD101,IF(AND($Z101&lt;&gt;"",EDATE($D101,Milestones!$AA$101)&gt;=$Z101),$AC101,IF(AND($Y101&lt;&gt;"",EDATE($D101,Milestones!$AA$101)&gt;=$Y101),$AB101,$AA101)))=Milestones!$AB$101),UPPER(TEXT(EDATE($D101,Milestones!$AA$101),"dd mmm yy"))&amp;" "&amp;Milestones!$AB$101&amp;" "&amp;IF(AND(Milestones!$AB$101="FT",Milestones!$AA$101=FT_Y5,EDATE($D101,Milestones!$AA$101)&lt;PolicyEff),1,Milestones!$AC$101)&amp;";  ","")&amp;IF(AND(EDATE($D101,Milestones!$AA$102)&lt;=AsOfDate,EDATE($D101,Milestones!$AA$102)&gt;=SchemeStart,IF($X101=0,$AD101,IF(AND($Z101&lt;&gt;"",EDATE($D101,Milestones!$AA$102)&gt;=$Z101),$AC101,IF(AND($Y101&lt;&gt;"",EDATE($D101,Milestones!$AA$102)&gt;=$Y101),$AB101,$AA101)))=Milestones!$AB$102),UPPER(TEXT(EDATE($D101,Milestones!$AA$102),"dd mmm yy"))&amp;" "&amp;Milestones!$AB$102&amp;" "&amp;IF(AND(Milestones!$AB$102="FT",Milestones!$AA$102=FT_Y5,EDATE($D101,Milestones!$AA$102)&lt;PolicyEff),1,Milestones!$AC$102)&amp;";  ","")&amp;IF(AND(EDATE($D101,Milestones!$AA$103)&lt;=AsOfDate,EDATE($D101,Milestones!$AA$103)&gt;=SchemeStart,IF($X101=0,$AD101,IF(AND($Z101&lt;&gt;"",EDATE($D101,Milestones!$AA$103)&gt;=$Z101),$AC101,IF(AND($Y101&lt;&gt;"",EDATE($D101,Milestones!$AA$103)&gt;=$Y101),$AB101,$AA101)))=Milestones!$AB$103),UPPER(TEXT(EDATE($D101,Milestones!$AA$103),"dd mmm yy"))&amp;" "&amp;Milestones!$AB$103&amp;" "&amp;IF(AND(Milestones!$AB$103="FT",Milestones!$AA$103=FT_Y5,EDATE($D101,Milestones!$AA$103)&lt;PolicyEff),1,Milestones!$AC$103)&amp;";  ",""))</f>
        <v/>
      </c>
      <c r="P101" s="0" t="str">
        <f aca="false">IF(OR($A101="",$D101=""),"",IF(AND(EDATE($D101,Milestones!$AA$104)&lt;=AsOfDate,EDATE($D101,Milestones!$AA$104)&gt;=SchemeStart,IF($X101=0,$AD101,IF(AND($Z101&lt;&gt;"",EDATE($D101,Milestones!$AA$104)&gt;=$Z101),$AC101,IF(AND($Y101&lt;&gt;"",EDATE($D101,Milestones!$AA$104)&gt;=$Y101),$AB101,$AA101)))=Milestones!$AB$104),UPPER(TEXT(EDATE($D101,Milestones!$AA$104),"dd mmm yy"))&amp;" "&amp;Milestones!$AB$104&amp;" "&amp;IF(AND(Milestones!$AB$104="FT",Milestones!$AA$104=FT_Y5,EDATE($D101,Milestones!$AA$104)&lt;PolicyEff),1,Milestones!$AC$104)&amp;";  ","")&amp;IF(AND(EDATE($D101,Milestones!$AA$105)&lt;=AsOfDate,EDATE($D101,Milestones!$AA$105)&gt;=SchemeStart,IF($X101=0,$AD101,IF(AND($Z101&lt;&gt;"",EDATE($D101,Milestones!$AA$105)&gt;=$Z101),$AC101,IF(AND($Y101&lt;&gt;"",EDATE($D101,Milestones!$AA$105)&gt;=$Y101),$AB101,$AA101)))=Milestones!$AB$105),UPPER(TEXT(EDATE($D101,Milestones!$AA$105),"dd mmm yy"))&amp;" "&amp;Milestones!$AB$105&amp;" "&amp;IF(AND(Milestones!$AB$105="FT",Milestones!$AA$105=FT_Y5,EDATE($D101,Milestones!$AA$105)&lt;PolicyEff),1,Milestones!$AC$105)&amp;";  ","")&amp;IF(AND(EDATE($D101,Milestones!$AA$106)&lt;=AsOfDate,EDATE($D101,Milestones!$AA$106)&gt;=SchemeStart,IF($X101=0,$AD101,IF(AND($Z101&lt;&gt;"",EDATE($D101,Milestones!$AA$106)&gt;=$Z101),$AC101,IF(AND($Y101&lt;&gt;"",EDATE($D101,Milestones!$AA$106)&gt;=$Y101),$AB101,$AA101)))=Milestones!$AB$106),UPPER(TEXT(EDATE($D101,Milestones!$AA$106),"dd mmm yy"))&amp;" "&amp;Milestones!$AB$106&amp;" "&amp;IF(AND(Milestones!$AB$106="FT",Milestones!$AA$106=FT_Y5,EDATE($D101,Milestones!$AA$106)&lt;PolicyEff),1,Milestones!$AC$106)&amp;";  ","")&amp;IF(AND(EDATE($D101,Milestones!$AA$107)&lt;=AsOfDate,EDATE($D101,Milestones!$AA$107)&gt;=SchemeStart,IF($X101=0,$AD101,IF(AND($Z101&lt;&gt;"",EDATE($D101,Milestones!$AA$107)&gt;=$Z101),$AC101,IF(AND($Y101&lt;&gt;"",EDATE($D101,Milestones!$AA$107)&gt;=$Y101),$AB101,$AA101)))=Milestones!$AB$107),UPPER(TEXT(EDATE($D101,Milestones!$AA$107),"dd mmm yy"))&amp;" "&amp;Milestones!$AB$107&amp;" "&amp;IF(AND(Milestones!$AB$107="FT",Milestones!$AA$107=FT_Y5,EDATE($D101,Milestones!$AA$107)&lt;PolicyEff),1,Milestones!$AC$107)&amp;";  ","")&amp;IF(AND(EDATE($D101,Milestones!$AA$108)&lt;=AsOfDate,EDATE($D101,Milestones!$AA$108)&gt;=SchemeStart,IF($X101=0,$AD101,IF(AND($Z101&lt;&gt;"",EDATE($D101,Milestones!$AA$108)&gt;=$Z101),$AC101,IF(AND($Y101&lt;&gt;"",EDATE($D101,Milestones!$AA$108)&gt;=$Y101),$AB101,$AA101)))=Milestones!$AB$108),UPPER(TEXT(EDATE($D101,Milestones!$AA$108),"dd mmm yy"))&amp;" "&amp;Milestones!$AB$108&amp;" "&amp;IF(AND(Milestones!$AB$108="FT",Milestones!$AA$108=FT_Y5,EDATE($D101,Milestones!$AA$108)&lt;PolicyEff),1,Milestones!$AC$108)&amp;";  ","")&amp;IF(AND(EDATE($D101,Milestones!$AA$109)&lt;=AsOfDate,EDATE($D101,Milestones!$AA$109)&gt;=SchemeStart,IF($X101=0,$AD101,IF(AND($Z101&lt;&gt;"",EDATE($D101,Milestones!$AA$109)&gt;=$Z101),$AC101,IF(AND($Y101&lt;&gt;"",EDATE($D101,Milestones!$AA$109)&gt;=$Y101),$AB101,$AA101)))=Milestones!$AB$109),UPPER(TEXT(EDATE($D101,Milestones!$AA$109),"dd mmm yy"))&amp;" "&amp;Milestones!$AB$109&amp;" "&amp;IF(AND(Milestones!$AB$109="FT",Milestones!$AA$109=FT_Y5,EDATE($D101,Milestones!$AA$109)&lt;PolicyEff),1,Milestones!$AC$109)&amp;";  ","")&amp;IF(AND(EDATE($D101,Milestones!$AA$110)&lt;=AsOfDate,EDATE($D101,Milestones!$AA$110)&gt;=SchemeStart,IF($X101=0,$AD101,IF(AND($Z101&lt;&gt;"",EDATE($D101,Milestones!$AA$110)&gt;=$Z101),$AC101,IF(AND($Y101&lt;&gt;"",EDATE($D101,Milestones!$AA$110)&gt;=$Y101),$AB101,$AA101)))=Milestones!$AB$110),UPPER(TEXT(EDATE($D101,Milestones!$AA$110),"dd mmm yy"))&amp;" "&amp;Milestones!$AB$110&amp;" "&amp;IF(AND(Milestones!$AB$110="FT",Milestones!$AA$110=FT_Y5,EDATE($D101,Milestones!$AA$110)&lt;PolicyEff),1,Milestones!$AC$110)&amp;";  ","")&amp;IF(AND(EDATE($D101,Milestones!$AA$111)&lt;=AsOfDate,EDATE($D101,Milestones!$AA$111)&gt;=SchemeStart,IF($X101=0,$AD101,IF(AND($Z101&lt;&gt;"",EDATE($D101,Milestones!$AA$111)&gt;=$Z101),$AC101,IF(AND($Y101&lt;&gt;"",EDATE($D101,Milestones!$AA$111)&gt;=$Y101),$AB101,$AA101)))=Milestones!$AB$111),UPPER(TEXT(EDATE($D101,Milestones!$AA$111),"dd mmm yy"))&amp;" "&amp;Milestones!$AB$111&amp;" "&amp;IF(AND(Milestones!$AB$111="FT",Milestones!$AA$111=FT_Y5,EDATE($D101,Milestones!$AA$111)&lt;PolicyEff),1,Milestones!$AC$111)&amp;";  ","")&amp;IF(AND(EDATE($D101,Milestones!$AA$112)&lt;=AsOfDate,EDATE($D101,Milestones!$AA$112)&gt;=SchemeStart,IF($X101=0,$AD101,IF(AND($Z101&lt;&gt;"",EDATE($D101,Milestones!$AA$112)&gt;=$Z101),$AC101,IF(AND($Y101&lt;&gt;"",EDATE($D101,Milestones!$AA$112)&gt;=$Y101),$AB101,$AA101)))=Milestones!$AB$112),UPPER(TEXT(EDATE($D101,Milestones!$AA$112),"dd mmm yy"))&amp;" "&amp;Milestones!$AB$112&amp;" "&amp;IF(AND(Milestones!$AB$112="FT",Milestones!$AA$112=FT_Y5,EDATE($D101,Milestones!$AA$112)&lt;PolicyEff),1,Milestones!$AC$112)&amp;";  ","")&amp;IF(AND(EDATE($D101,Milestones!$AA$113)&lt;=AsOfDate,EDATE($D101,Milestones!$AA$113)&gt;=SchemeStart,IF($X101=0,$AD101,IF(AND($Z101&lt;&gt;"",EDATE($D101,Milestones!$AA$113)&gt;=$Z101),$AC101,IF(AND($Y101&lt;&gt;"",EDATE($D101,Milestones!$AA$113)&gt;=$Y101),$AB101,$AA101)))=Milestones!$AB$113),UPPER(TEXT(EDATE($D101,Milestones!$AA$113),"dd mmm yy"))&amp;" "&amp;Milestones!$AB$113&amp;" "&amp;IF(AND(Milestones!$AB$113="FT",Milestones!$AA$113=FT_Y5,EDATE($D101,Milestones!$AA$113)&lt;PolicyEff),1,Milestones!$AC$113)&amp;";  ","")&amp;IF(AND(EDATE($D101,Milestones!$AA$114)&lt;=AsOfDate,EDATE($D101,Milestones!$AA$114)&gt;=SchemeStart,IF($X101=0,$AD101,IF(AND($Z101&lt;&gt;"",EDATE($D101,Milestones!$AA$114)&gt;=$Z101),$AC101,IF(AND($Y101&lt;&gt;"",EDATE($D101,Milestones!$AA$114)&gt;=$Y101),$AB101,$AA101)))=Milestones!$AB$114),UPPER(TEXT(EDATE($D101,Milestones!$AA$114),"dd mmm yy"))&amp;" "&amp;Milestones!$AB$114&amp;" "&amp;IF(AND(Milestones!$AB$114="FT",Milestones!$AA$114=FT_Y5,EDATE($D101,Milestones!$AA$114)&lt;PolicyEff),1,Milestones!$AC$114)&amp;";  ","")&amp;IF(AND(EDATE($D101,Milestones!$AA$115)&lt;=AsOfDate,EDATE($D101,Milestones!$AA$115)&gt;=SchemeStart,IF($X101=0,$AD101,IF(AND($Z101&lt;&gt;"",EDATE($D101,Milestones!$AA$115)&gt;=$Z101),$AC101,IF(AND($Y101&lt;&gt;"",EDATE($D101,Milestones!$AA$115)&gt;=$Y101),$AB101,$AA101)))=Milestones!$AB$115),UPPER(TEXT(EDATE($D101,Milestones!$AA$115),"dd mmm yy"))&amp;" "&amp;Milestones!$AB$115&amp;" "&amp;IF(AND(Milestones!$AB$115="FT",Milestones!$AA$115=FT_Y5,EDATE($D101,Milestones!$AA$115)&lt;PolicyEff),1,Milestones!$AC$115)&amp;";  ",""))</f>
        <v/>
      </c>
      <c r="Q101" s="0" t="str">
        <f aca="false">IF(OR($A101="",$D101=""),"",IF(AND(EDATE($D101,Milestones!$AA$116)&lt;=AsOfDate,EDATE($D101,Milestones!$AA$116)&gt;=SchemeStart,IF($X101=0,$AD101,IF(AND($Z101&lt;&gt;"",EDATE($D101,Milestones!$AA$116)&gt;=$Z101),$AC101,IF(AND($Y101&lt;&gt;"",EDATE($D101,Milestones!$AA$116)&gt;=$Y101),$AB101,$AA101)))=Milestones!$AB$116),UPPER(TEXT(EDATE($D101,Milestones!$AA$116),"dd mmm yy"))&amp;" "&amp;Milestones!$AB$116&amp;" "&amp;IF(AND(Milestones!$AB$116="FT",Milestones!$AA$116=FT_Y5,EDATE($D101,Milestones!$AA$116)&lt;PolicyEff),1,Milestones!$AC$116)&amp;";  ","")&amp;IF(AND(EDATE($D101,Milestones!$AA$117)&lt;=AsOfDate,EDATE($D101,Milestones!$AA$117)&gt;=SchemeStart,IF($X101=0,$AD101,IF(AND($Z101&lt;&gt;"",EDATE($D101,Milestones!$AA$117)&gt;=$Z101),$AC101,IF(AND($Y101&lt;&gt;"",EDATE($D101,Milestones!$AA$117)&gt;=$Y101),$AB101,$AA101)))=Milestones!$AB$117),UPPER(TEXT(EDATE($D101,Milestones!$AA$117),"dd mmm yy"))&amp;" "&amp;Milestones!$AB$117&amp;" "&amp;IF(AND(Milestones!$AB$117="FT",Milestones!$AA$117=FT_Y5,EDATE($D101,Milestones!$AA$117)&lt;PolicyEff),1,Milestones!$AC$117)&amp;";  ","")&amp;IF(AND(EDATE($D101,Milestones!$AA$118)&lt;=AsOfDate,EDATE($D101,Milestones!$AA$118)&gt;=SchemeStart,IF($X101=0,$AD101,IF(AND($Z101&lt;&gt;"",EDATE($D101,Milestones!$AA$118)&gt;=$Z101),$AC101,IF(AND($Y101&lt;&gt;"",EDATE($D101,Milestones!$AA$118)&gt;=$Y101),$AB101,$AA101)))=Milestones!$AB$118),UPPER(TEXT(EDATE($D101,Milestones!$AA$118),"dd mmm yy"))&amp;" "&amp;Milestones!$AB$118&amp;" "&amp;IF(AND(Milestones!$AB$118="FT",Milestones!$AA$118=FT_Y5,EDATE($D101,Milestones!$AA$118)&lt;PolicyEff),1,Milestones!$AC$118)&amp;";  ","")&amp;IF(AND(EDATE($D101,Milestones!$AA$119)&lt;=AsOfDate,EDATE($D101,Milestones!$AA$119)&gt;=SchemeStart,IF($X101=0,$AD101,IF(AND($Z101&lt;&gt;"",EDATE($D101,Milestones!$AA$119)&gt;=$Z101),$AC101,IF(AND($Y101&lt;&gt;"",EDATE($D101,Milestones!$AA$119)&gt;=$Y101),$AB101,$AA101)))=Milestones!$AB$119),UPPER(TEXT(EDATE($D101,Milestones!$AA$119),"dd mmm yy"))&amp;" "&amp;Milestones!$AB$119&amp;" "&amp;IF(AND(Milestones!$AB$119="FT",Milestones!$AA$119=FT_Y5,EDATE($D101,Milestones!$AA$119)&lt;PolicyEff),1,Milestones!$AC$119)&amp;";  ","")&amp;IF(AND(EDATE($D101,Milestones!$AA$120)&lt;=AsOfDate,EDATE($D101,Milestones!$AA$120)&gt;=SchemeStart,IF($X101=0,$AD101,IF(AND($Z101&lt;&gt;"",EDATE($D101,Milestones!$AA$120)&gt;=$Z101),$AC101,IF(AND($Y101&lt;&gt;"",EDATE($D101,Milestones!$AA$120)&gt;=$Y101),$AB101,$AA101)))=Milestones!$AB$120),UPPER(TEXT(EDATE($D101,Milestones!$AA$120),"dd mmm yy"))&amp;" "&amp;Milestones!$AB$120&amp;" "&amp;IF(AND(Milestones!$AB$120="FT",Milestones!$AA$120=FT_Y5,EDATE($D101,Milestones!$AA$120)&lt;PolicyEff),1,Milestones!$AC$120)&amp;";  ","")&amp;IF(AND(EDATE($D101,Milestones!$AA$121)&lt;=AsOfDate,EDATE($D101,Milestones!$AA$121)&gt;=SchemeStart,IF($X101=0,$AD101,IF(AND($Z101&lt;&gt;"",EDATE($D101,Milestones!$AA$121)&gt;=$Z101),$AC101,IF(AND($Y101&lt;&gt;"",EDATE($D101,Milestones!$AA$121)&gt;=$Y101),$AB101,$AA101)))=Milestones!$AB$121),UPPER(TEXT(EDATE($D101,Milestones!$AA$121),"dd mmm yy"))&amp;" "&amp;Milestones!$AB$121&amp;" "&amp;IF(AND(Milestones!$AB$121="FT",Milestones!$AA$121=FT_Y5,EDATE($D101,Milestones!$AA$121)&lt;PolicyEff),1,Milestones!$AC$121)&amp;";  ","")&amp;IF(AND(EDATE($D101,Milestones!$AA$122)&lt;=AsOfDate,EDATE($D101,Milestones!$AA$122)&gt;=SchemeStart,IF($X101=0,$AD101,IF(AND($Z101&lt;&gt;"",EDATE($D101,Milestones!$AA$122)&gt;=$Z101),$AC101,IF(AND($Y101&lt;&gt;"",EDATE($D101,Milestones!$AA$122)&gt;=$Y101),$AB101,$AA101)))=Milestones!$AB$122),UPPER(TEXT(EDATE($D101,Milestones!$AA$122),"dd mmm yy"))&amp;" "&amp;Milestones!$AB$122&amp;" "&amp;IF(AND(Milestones!$AB$122="FT",Milestones!$AA$122=FT_Y5,EDATE($D101,Milestones!$AA$122)&lt;PolicyEff),1,Milestones!$AC$122)&amp;";  ","")&amp;IF(AND(EDATE($D101,Milestones!$AA$123)&lt;=AsOfDate,EDATE($D101,Milestones!$AA$123)&gt;=SchemeStart,IF($X101=0,$AD101,IF(AND($Z101&lt;&gt;"",EDATE($D101,Milestones!$AA$123)&gt;=$Z101),$AC101,IF(AND($Y101&lt;&gt;"",EDATE($D101,Milestones!$AA$123)&gt;=$Y101),$AB101,$AA101)))=Milestones!$AB$123),UPPER(TEXT(EDATE($D101,Milestones!$AA$123),"dd mmm yy"))&amp;" "&amp;Milestones!$AB$123&amp;" "&amp;IF(AND(Milestones!$AB$123="FT",Milestones!$AA$123=FT_Y5,EDATE($D101,Milestones!$AA$123)&lt;PolicyEff),1,Milestones!$AC$123)&amp;";  ","")&amp;IF(AND(EDATE($D101,Milestones!$AA$124)&lt;=AsOfDate,EDATE($D101,Milestones!$AA$124)&gt;=SchemeStart,IF($X101=0,$AD101,IF(AND($Z101&lt;&gt;"",EDATE($D101,Milestones!$AA$124)&gt;=$Z101),$AC101,IF(AND($Y101&lt;&gt;"",EDATE($D101,Milestones!$AA$124)&gt;=$Y101),$AB101,$AA101)))=Milestones!$AB$124),UPPER(TEXT(EDATE($D101,Milestones!$AA$124),"dd mmm yy"))&amp;" "&amp;Milestones!$AB$124&amp;" "&amp;IF(AND(Milestones!$AB$124="FT",Milestones!$AA$124=FT_Y5,EDATE($D101,Milestones!$AA$124)&lt;PolicyEff),1,Milestones!$AC$124)&amp;";  ","")&amp;IF(AND(EDATE($D101,Milestones!$AA$125)&lt;=AsOfDate,EDATE($D101,Milestones!$AA$125)&gt;=SchemeStart,IF($X101=0,$AD101,IF(AND($Z101&lt;&gt;"",EDATE($D101,Milestones!$AA$125)&gt;=$Z101),$AC101,IF(AND($Y101&lt;&gt;"",EDATE($D101,Milestones!$AA$125)&gt;=$Y101),$AB101,$AA101)))=Milestones!$AB$125),UPPER(TEXT(EDATE($D101,Milestones!$AA$125),"dd mmm yy"))&amp;" "&amp;Milestones!$AB$125&amp;" "&amp;IF(AND(Milestones!$AB$125="FT",Milestones!$AA$125=FT_Y5,EDATE($D101,Milestones!$AA$125)&lt;PolicyEff),1,Milestones!$AC$125)&amp;";  ","")&amp;IF(AND(EDATE($D101,Milestones!$AA$126)&lt;=AsOfDate,EDATE($D101,Milestones!$AA$126)&gt;=SchemeStart,IF($X101=0,$AD101,IF(AND($Z101&lt;&gt;"",EDATE($D101,Milestones!$AA$126)&gt;=$Z101),$AC101,IF(AND($Y101&lt;&gt;"",EDATE($D101,Milestones!$AA$126)&gt;=$Y101),$AB101,$AA101)))=Milestones!$AB$126),UPPER(TEXT(EDATE($D101,Milestones!$AA$126),"dd mmm yy"))&amp;" "&amp;Milestones!$AB$126&amp;" "&amp;IF(AND(Milestones!$AB$126="FT",Milestones!$AA$126=FT_Y5,EDATE($D101,Milestones!$AA$126)&lt;PolicyEff),1,Milestones!$AC$126)&amp;";  ","")&amp;IF(AND(EDATE($D101,Milestones!$AA$127)&lt;=AsOfDate,EDATE($D101,Milestones!$AA$127)&gt;=SchemeStart,IF($X101=0,$AD101,IF(AND($Z101&lt;&gt;"",EDATE($D101,Milestones!$AA$127)&gt;=$Z101),$AC101,IF(AND($Y101&lt;&gt;"",EDATE($D101,Milestones!$AA$127)&gt;=$Y101),$AB101,$AA101)))=Milestones!$AB$127),UPPER(TEXT(EDATE($D101,Milestones!$AA$127),"dd mmm yy"))&amp;" "&amp;Milestones!$AB$127&amp;" "&amp;IF(AND(Milestones!$AB$127="FT",Milestones!$AA$127=FT_Y5,EDATE($D101,Milestones!$AA$127)&lt;PolicyEff),1,Milestones!$AC$127)&amp;";  ",""))</f>
        <v/>
      </c>
      <c r="R101" s="0" t="str">
        <f aca="false">IF(OR($A101="",$D101=""),"",IF(AND(EDATE($D101,Milestones!$AA$128)&lt;=AsOfDate,EDATE($D101,Milestones!$AA$128)&gt;=SchemeStart,IF($X101=0,$AD101,IF(AND($Z101&lt;&gt;"",EDATE($D101,Milestones!$AA$128)&gt;=$Z101),$AC101,IF(AND($Y101&lt;&gt;"",EDATE($D101,Milestones!$AA$128)&gt;=$Y101),$AB101,$AA101)))=Milestones!$AB$128),UPPER(TEXT(EDATE($D101,Milestones!$AA$128),"dd mmm yy"))&amp;" "&amp;Milestones!$AB$128&amp;" "&amp;IF(AND(Milestones!$AB$128="FT",Milestones!$AA$128=FT_Y5,EDATE($D101,Milestones!$AA$128)&lt;PolicyEff),1,Milestones!$AC$128)&amp;";  ","")&amp;IF(AND(EDATE($D101,Milestones!$AA$129)&lt;=AsOfDate,EDATE($D101,Milestones!$AA$129)&gt;=SchemeStart,IF($X101=0,$AD101,IF(AND($Z101&lt;&gt;"",EDATE($D101,Milestones!$AA$129)&gt;=$Z101),$AC101,IF(AND($Y101&lt;&gt;"",EDATE($D101,Milestones!$AA$129)&gt;=$Y101),$AB101,$AA101)))=Milestones!$AB$129),UPPER(TEXT(EDATE($D101,Milestones!$AA$129),"dd mmm yy"))&amp;" "&amp;Milestones!$AB$129&amp;" "&amp;IF(AND(Milestones!$AB$129="FT",Milestones!$AA$129=FT_Y5,EDATE($D101,Milestones!$AA$129)&lt;PolicyEff),1,Milestones!$AC$129)&amp;";  ","")&amp;IF(AND(EDATE($D101,Milestones!$AA$130)&lt;=AsOfDate,EDATE($D101,Milestones!$AA$130)&gt;=SchemeStart,IF($X101=0,$AD101,IF(AND($Z101&lt;&gt;"",EDATE($D101,Milestones!$AA$130)&gt;=$Z101),$AC101,IF(AND($Y101&lt;&gt;"",EDATE($D101,Milestones!$AA$130)&gt;=$Y101),$AB101,$AA101)))=Milestones!$AB$130),UPPER(TEXT(EDATE($D101,Milestones!$AA$130),"dd mmm yy"))&amp;" "&amp;Milestones!$AB$130&amp;" "&amp;IF(AND(Milestones!$AB$130="FT",Milestones!$AA$130=FT_Y5,EDATE($D101,Milestones!$AA$130)&lt;PolicyEff),1,Milestones!$AC$130)&amp;";  ","")&amp;IF(AND(EDATE($D101,Milestones!$AA$131)&lt;=AsOfDate,EDATE($D101,Milestones!$AA$131)&gt;=SchemeStart,IF($X101=0,$AD101,IF(AND($Z101&lt;&gt;"",EDATE($D101,Milestones!$AA$131)&gt;=$Z101),$AC101,IF(AND($Y101&lt;&gt;"",EDATE($D101,Milestones!$AA$131)&gt;=$Y101),$AB101,$AA101)))=Milestones!$AB$131),UPPER(TEXT(EDATE($D101,Milestones!$AA$131),"dd mmm yy"))&amp;" "&amp;Milestones!$AB$131&amp;" "&amp;IF(AND(Milestones!$AB$131="FT",Milestones!$AA$131=FT_Y5,EDATE($D101,Milestones!$AA$131)&lt;PolicyEff),1,Milestones!$AC$131)&amp;";  ","")&amp;IF(AND(EDATE($D101,Milestones!$AA$132)&lt;=AsOfDate,EDATE($D101,Milestones!$AA$132)&gt;=SchemeStart,IF($X101=0,$AD101,IF(AND($Z101&lt;&gt;"",EDATE($D101,Milestones!$AA$132)&gt;=$Z101),$AC101,IF(AND($Y101&lt;&gt;"",EDATE($D101,Milestones!$AA$132)&gt;=$Y101),$AB101,$AA101)))=Milestones!$AB$132),UPPER(TEXT(EDATE($D101,Milestones!$AA$132),"dd mmm yy"))&amp;" "&amp;Milestones!$AB$132&amp;" "&amp;IF(AND(Milestones!$AB$132="FT",Milestones!$AA$132=FT_Y5,EDATE($D101,Milestones!$AA$132)&lt;PolicyEff),1,Milestones!$AC$132)&amp;";  ","")&amp;IF(AND(EDATE($D101,Milestones!$AA$133)&lt;=AsOfDate,EDATE($D101,Milestones!$AA$133)&gt;=SchemeStart,IF($X101=0,$AD101,IF(AND($Z101&lt;&gt;"",EDATE($D101,Milestones!$AA$133)&gt;=$Z101),$AC101,IF(AND($Y101&lt;&gt;"",EDATE($D101,Milestones!$AA$133)&gt;=$Y101),$AB101,$AA101)))=Milestones!$AB$133),UPPER(TEXT(EDATE($D101,Milestones!$AA$133),"dd mmm yy"))&amp;" "&amp;Milestones!$AB$133&amp;" "&amp;IF(AND(Milestones!$AB$133="FT",Milestones!$AA$133=FT_Y5,EDATE($D101,Milestones!$AA$133)&lt;PolicyEff),1,Milestones!$AC$133)&amp;";  ","")&amp;IF(AND(EDATE($D101,Milestones!$AA$134)&lt;=AsOfDate,EDATE($D101,Milestones!$AA$134)&gt;=SchemeStart,IF($X101=0,$AD101,IF(AND($Z101&lt;&gt;"",EDATE($D101,Milestones!$AA$134)&gt;=$Z101),$AC101,IF(AND($Y101&lt;&gt;"",EDATE($D101,Milestones!$AA$134)&gt;=$Y101),$AB101,$AA101)))=Milestones!$AB$134),UPPER(TEXT(EDATE($D101,Milestones!$AA$134),"dd mmm yy"))&amp;" "&amp;Milestones!$AB$134&amp;" "&amp;IF(AND(Milestones!$AB$134="FT",Milestones!$AA$134=FT_Y5,EDATE($D101,Milestones!$AA$134)&lt;PolicyEff),1,Milestones!$AC$134)&amp;";  ","")&amp;IF(AND(EDATE($D101,Milestones!$AA$135)&lt;=AsOfDate,EDATE($D101,Milestones!$AA$135)&gt;=SchemeStart,IF($X101=0,$AD101,IF(AND($Z101&lt;&gt;"",EDATE($D101,Milestones!$AA$135)&gt;=$Z101),$AC101,IF(AND($Y101&lt;&gt;"",EDATE($D101,Milestones!$AA$135)&gt;=$Y101),$AB101,$AA101)))=Milestones!$AB$135),UPPER(TEXT(EDATE($D101,Milestones!$AA$135),"dd mmm yy"))&amp;" "&amp;Milestones!$AB$135&amp;" "&amp;IF(AND(Milestones!$AB$135="FT",Milestones!$AA$135=FT_Y5,EDATE($D101,Milestones!$AA$135)&lt;PolicyEff),1,Milestones!$AC$135)&amp;";  ","")&amp;IF(AND(EDATE($D101,Milestones!$AA$136)&lt;=AsOfDate,EDATE($D101,Milestones!$AA$136)&gt;=SchemeStart,IF($X101=0,$AD101,IF(AND($Z101&lt;&gt;"",EDATE($D101,Milestones!$AA$136)&gt;=$Z101),$AC101,IF(AND($Y101&lt;&gt;"",EDATE($D101,Milestones!$AA$136)&gt;=$Y101),$AB101,$AA101)))=Milestones!$AB$136),UPPER(TEXT(EDATE($D101,Milestones!$AA$136),"dd mmm yy"))&amp;" "&amp;Milestones!$AB$136&amp;" "&amp;IF(AND(Milestones!$AB$136="FT",Milestones!$AA$136=FT_Y5,EDATE($D101,Milestones!$AA$136)&lt;PolicyEff),1,Milestones!$AC$136)&amp;";  ","")&amp;IF(AND(EDATE($D101,Milestones!$AA$137)&lt;=AsOfDate,EDATE($D101,Milestones!$AA$137)&gt;=SchemeStart,IF($X101=0,$AD101,IF(AND($Z101&lt;&gt;"",EDATE($D101,Milestones!$AA$137)&gt;=$Z101),$AC101,IF(AND($Y101&lt;&gt;"",EDATE($D101,Milestones!$AA$137)&gt;=$Y101),$AB101,$AA101)))=Milestones!$AB$137),UPPER(TEXT(EDATE($D101,Milestones!$AA$137),"dd mmm yy"))&amp;" "&amp;Milestones!$AB$137&amp;" "&amp;IF(AND(Milestones!$AB$137="FT",Milestones!$AA$137=FT_Y5,EDATE($D101,Milestones!$AA$137)&lt;PolicyEff),1,Milestones!$AC$137)&amp;";  ","")&amp;IF(AND(EDATE($D101,Milestones!$AA$138)&lt;=AsOfDate,EDATE($D101,Milestones!$AA$138)&gt;=SchemeStart,IF($X101=0,$AD101,IF(AND($Z101&lt;&gt;"",EDATE($D101,Milestones!$AA$138)&gt;=$Z101),$AC101,IF(AND($Y101&lt;&gt;"",EDATE($D101,Milestones!$AA$138)&gt;=$Y101),$AB101,$AA101)))=Milestones!$AB$138),UPPER(TEXT(EDATE($D101,Milestones!$AA$138),"dd mmm yy"))&amp;" "&amp;Milestones!$AB$138&amp;" "&amp;IF(AND(Milestones!$AB$138="FT",Milestones!$AA$138=FT_Y5,EDATE($D101,Milestones!$AA$138)&lt;PolicyEff),1,Milestones!$AC$138)&amp;";  ","")&amp;IF(AND(EDATE($D101,Milestones!$AA$139)&lt;=AsOfDate,EDATE($D101,Milestones!$AA$139)&gt;=SchemeStart,IF($X101=0,$AD101,IF(AND($Z101&lt;&gt;"",EDATE($D101,Milestones!$AA$139)&gt;=$Z101),$AC101,IF(AND($Y101&lt;&gt;"",EDATE($D101,Milestones!$AA$139)&gt;=$Y101),$AB101,$AA101)))=Milestones!$AB$139),UPPER(TEXT(EDATE($D101,Milestones!$AA$139),"dd mmm yy"))&amp;" "&amp;Milestones!$AB$139&amp;" "&amp;IF(AND(Milestones!$AB$139="FT",Milestones!$AA$139=FT_Y5,EDATE($D101,Milestones!$AA$139)&lt;PolicyEff),1,Milestones!$AC$139)&amp;";  ",""))</f>
        <v/>
      </c>
      <c r="S101" s="0" t="str">
        <f aca="false">IF(OR($A101="",$D101=""),"",IF(AND(EDATE($D101,Milestones!$AA$140)&lt;=AsOfDate,EDATE($D101,Milestones!$AA$140)&gt;=SchemeStart,IF($X101=0,$AD101,IF(AND($Z101&lt;&gt;"",EDATE($D101,Milestones!$AA$140)&gt;=$Z101),$AC101,IF(AND($Y101&lt;&gt;"",EDATE($D101,Milestones!$AA$140)&gt;=$Y101),$AB101,$AA101)))=Milestones!$AB$140),UPPER(TEXT(EDATE($D101,Milestones!$AA$140),"dd mmm yy"))&amp;" "&amp;Milestones!$AB$140&amp;" "&amp;IF(AND(Milestones!$AB$140="FT",Milestones!$AA$140=FT_Y5,EDATE($D101,Milestones!$AA$140)&lt;PolicyEff),1,Milestones!$AC$140)&amp;";  ","")&amp;IF(AND(EDATE($D101,Milestones!$AA$141)&lt;=AsOfDate,EDATE($D101,Milestones!$AA$141)&gt;=SchemeStart,IF($X101=0,$AD101,IF(AND($Z101&lt;&gt;"",EDATE($D101,Milestones!$AA$141)&gt;=$Z101),$AC101,IF(AND($Y101&lt;&gt;"",EDATE($D101,Milestones!$AA$141)&gt;=$Y101),$AB101,$AA101)))=Milestones!$AB$141),UPPER(TEXT(EDATE($D101,Milestones!$AA$141),"dd mmm yy"))&amp;" "&amp;Milestones!$AB$141&amp;" "&amp;IF(AND(Milestones!$AB$141="FT",Milestones!$AA$141=FT_Y5,EDATE($D101,Milestones!$AA$141)&lt;PolicyEff),1,Milestones!$AC$141)&amp;";  ","")&amp;IF(AND(EDATE($D101,Milestones!$AA$142)&lt;=AsOfDate,EDATE($D101,Milestones!$AA$142)&gt;=SchemeStart,IF($X101=0,$AD101,IF(AND($Z101&lt;&gt;"",EDATE($D101,Milestones!$AA$142)&gt;=$Z101),$AC101,IF(AND($Y101&lt;&gt;"",EDATE($D101,Milestones!$AA$142)&gt;=$Y101),$AB101,$AA101)))=Milestones!$AB$142),UPPER(TEXT(EDATE($D101,Milestones!$AA$142),"dd mmm yy"))&amp;" "&amp;Milestones!$AB$142&amp;" "&amp;IF(AND(Milestones!$AB$142="FT",Milestones!$AA$142=FT_Y5,EDATE($D101,Milestones!$AA$142)&lt;PolicyEff),1,Milestones!$AC$142)&amp;";  ","")&amp;IF(AND(EDATE($D101,Milestones!$AA$143)&lt;=AsOfDate,EDATE($D101,Milestones!$AA$143)&gt;=SchemeStart,IF($X101=0,$AD101,IF(AND($Z101&lt;&gt;"",EDATE($D101,Milestones!$AA$143)&gt;=$Z101),$AC101,IF(AND($Y101&lt;&gt;"",EDATE($D101,Milestones!$AA$143)&gt;=$Y101),$AB101,$AA101)))=Milestones!$AB$143),UPPER(TEXT(EDATE($D101,Milestones!$AA$143),"dd mmm yy"))&amp;" "&amp;Milestones!$AB$143&amp;" "&amp;IF(AND(Milestones!$AB$143="FT",Milestones!$AA$143=FT_Y5,EDATE($D101,Milestones!$AA$143)&lt;PolicyEff),1,Milestones!$AC$143)&amp;";  ","")&amp;IF(AND(EDATE($D101,Milestones!$AA$144)&lt;=AsOfDate,EDATE($D101,Milestones!$AA$144)&gt;=SchemeStart,IF($X101=0,$AD101,IF(AND($Z101&lt;&gt;"",EDATE($D101,Milestones!$AA$144)&gt;=$Z101),$AC101,IF(AND($Y101&lt;&gt;"",EDATE($D101,Milestones!$AA$144)&gt;=$Y101),$AB101,$AA101)))=Milestones!$AB$144),UPPER(TEXT(EDATE($D101,Milestones!$AA$144),"dd mmm yy"))&amp;" "&amp;Milestones!$AB$144&amp;" "&amp;IF(AND(Milestones!$AB$144="FT",Milestones!$AA$144=FT_Y5,EDATE($D101,Milestones!$AA$144)&lt;PolicyEff),1,Milestones!$AC$144)&amp;";  ","")&amp;IF(AND(EDATE($D101,Milestones!$AA$145)&lt;=AsOfDate,EDATE($D101,Milestones!$AA$145)&gt;=SchemeStart,IF($X101=0,$AD101,IF(AND($Z101&lt;&gt;"",EDATE($D101,Milestones!$AA$145)&gt;=$Z101),$AC101,IF(AND($Y101&lt;&gt;"",EDATE($D101,Milestones!$AA$145)&gt;=$Y101),$AB101,$AA101)))=Milestones!$AB$145),UPPER(TEXT(EDATE($D101,Milestones!$AA$145),"dd mmm yy"))&amp;" "&amp;Milestones!$AB$145&amp;" "&amp;IF(AND(Milestones!$AB$145="FT",Milestones!$AA$145=FT_Y5,EDATE($D101,Milestones!$AA$145)&lt;PolicyEff),1,Milestones!$AC$145)&amp;";  ","")&amp;IF(AND(EDATE($D101,Milestones!$AA$146)&lt;=AsOfDate,EDATE($D101,Milestones!$AA$146)&gt;=SchemeStart,IF($X101=0,$AD101,IF(AND($Z101&lt;&gt;"",EDATE($D101,Milestones!$AA$146)&gt;=$Z101),$AC101,IF(AND($Y101&lt;&gt;"",EDATE($D101,Milestones!$AA$146)&gt;=$Y101),$AB101,$AA101)))=Milestones!$AB$146),UPPER(TEXT(EDATE($D101,Milestones!$AA$146),"dd mmm yy"))&amp;" "&amp;Milestones!$AB$146&amp;" "&amp;IF(AND(Milestones!$AB$146="FT",Milestones!$AA$146=FT_Y5,EDATE($D101,Milestones!$AA$146)&lt;PolicyEff),1,Milestones!$AC$146)&amp;";  ","")&amp;IF(AND(EDATE($D101,Milestones!$AA$147)&lt;=AsOfDate,EDATE($D101,Milestones!$AA$147)&gt;=SchemeStart,IF($X101=0,$AD101,IF(AND($Z101&lt;&gt;"",EDATE($D101,Milestones!$AA$147)&gt;=$Z101),$AC101,IF(AND($Y101&lt;&gt;"",EDATE($D101,Milestones!$AA$147)&gt;=$Y101),$AB101,$AA101)))=Milestones!$AB$147),UPPER(TEXT(EDATE($D101,Milestones!$AA$147),"dd mmm yy"))&amp;" "&amp;Milestones!$AB$147&amp;" "&amp;IF(AND(Milestones!$AB$147="FT",Milestones!$AA$147=FT_Y5,EDATE($D101,Milestones!$AA$147)&lt;PolicyEff),1,Milestones!$AC$147)&amp;";  ","")&amp;IF(AND(EDATE($D101,Milestones!$AA$148)&lt;=AsOfDate,EDATE($D101,Milestones!$AA$148)&gt;=SchemeStart,IF($X101=0,$AD101,IF(AND($Z101&lt;&gt;"",EDATE($D101,Milestones!$AA$148)&gt;=$Z101),$AC101,IF(AND($Y101&lt;&gt;"",EDATE($D101,Milestones!$AA$148)&gt;=$Y101),$AB101,$AA101)))=Milestones!$AB$148),UPPER(TEXT(EDATE($D101,Milestones!$AA$148),"dd mmm yy"))&amp;" "&amp;Milestones!$AB$148&amp;" "&amp;IF(AND(Milestones!$AB$148="FT",Milestones!$AA$148=FT_Y5,EDATE($D101,Milestones!$AA$148)&lt;PolicyEff),1,Milestones!$AC$148)&amp;";  ","")&amp;IF(AND(EDATE($D101,Milestones!$AA$149)&lt;=AsOfDate,EDATE($D101,Milestones!$AA$149)&gt;=SchemeStart,IF($X101=0,$AD101,IF(AND($Z101&lt;&gt;"",EDATE($D101,Milestones!$AA$149)&gt;=$Z101),$AC101,IF(AND($Y101&lt;&gt;"",EDATE($D101,Milestones!$AA$149)&gt;=$Y101),$AB101,$AA101)))=Milestones!$AB$149),UPPER(TEXT(EDATE($D101,Milestones!$AA$149),"dd mmm yy"))&amp;" "&amp;Milestones!$AB$149&amp;" "&amp;IF(AND(Milestones!$AB$149="FT",Milestones!$AA$149=FT_Y5,EDATE($D101,Milestones!$AA$149)&lt;PolicyEff),1,Milestones!$AC$149)&amp;";  ","")&amp;IF(AND(EDATE($D101,Milestones!$AA$150)&lt;=AsOfDate,EDATE($D101,Milestones!$AA$150)&gt;=SchemeStart,IF($X101=0,$AD101,IF(AND($Z101&lt;&gt;"",EDATE($D101,Milestones!$AA$150)&gt;=$Z101),$AC101,IF(AND($Y101&lt;&gt;"",EDATE($D101,Milestones!$AA$150)&gt;=$Y101),$AB101,$AA101)))=Milestones!$AB$150),UPPER(TEXT(EDATE($D101,Milestones!$AA$150),"dd mmm yy"))&amp;" "&amp;Milestones!$AB$150&amp;" "&amp;IF(AND(Milestones!$AB$150="FT",Milestones!$AA$150=FT_Y5,EDATE($D101,Milestones!$AA$150)&lt;PolicyEff),1,Milestones!$AC$150)&amp;";  ","")&amp;IF(AND(EDATE($D101,Milestones!$AA$151)&lt;=AsOfDate,EDATE($D101,Milestones!$AA$151)&gt;=SchemeStart,IF($X101=0,$AD101,IF(AND($Z101&lt;&gt;"",EDATE($D101,Milestones!$AA$151)&gt;=$Z101),$AC101,IF(AND($Y101&lt;&gt;"",EDATE($D101,Milestones!$AA$151)&gt;=$Y101),$AB101,$AA101)))=Milestones!$AB$151),UPPER(TEXT(EDATE($D101,Milestones!$AA$151),"dd mmm yy"))&amp;" "&amp;Milestones!$AB$151&amp;" "&amp;IF(AND(Milestones!$AB$151="FT",Milestones!$AA$151=FT_Y5,EDATE($D101,Milestones!$AA$151)&lt;PolicyEff),1,Milestones!$AC$151)&amp;";  ",""))</f>
        <v/>
      </c>
      <c r="T101" s="0" t="str">
        <f aca="false">IF(OR($A101="",$D101=""),"",IF(AND(EDATE($D101,Milestones!$AA$152)&lt;=AsOfDate,EDATE($D101,Milestones!$AA$152)&gt;=SchemeStart,IF($X101=0,$AD101,IF(AND($Z101&lt;&gt;"",EDATE($D101,Milestones!$AA$152)&gt;=$Z101),$AC101,IF(AND($Y101&lt;&gt;"",EDATE($D101,Milestones!$AA$152)&gt;=$Y101),$AB101,$AA101)))=Milestones!$AB$152),UPPER(TEXT(EDATE($D101,Milestones!$AA$152),"dd mmm yy"))&amp;" "&amp;Milestones!$AB$152&amp;" "&amp;IF(AND(Milestones!$AB$152="FT",Milestones!$AA$152=FT_Y5,EDATE($D101,Milestones!$AA$152)&lt;PolicyEff),1,Milestones!$AC$152)&amp;";  ","")&amp;IF(AND(EDATE($D101,Milestones!$AA$153)&lt;=AsOfDate,EDATE($D101,Milestones!$AA$153)&gt;=SchemeStart,IF($X101=0,$AD101,IF(AND($Z101&lt;&gt;"",EDATE($D101,Milestones!$AA$153)&gt;=$Z101),$AC101,IF(AND($Y101&lt;&gt;"",EDATE($D101,Milestones!$AA$153)&gt;=$Y101),$AB101,$AA101)))=Milestones!$AB$153),UPPER(TEXT(EDATE($D101,Milestones!$AA$153),"dd mmm yy"))&amp;" "&amp;Milestones!$AB$153&amp;" "&amp;IF(AND(Milestones!$AB$153="FT",Milestones!$AA$153=FT_Y5,EDATE($D101,Milestones!$AA$153)&lt;PolicyEff),1,Milestones!$AC$153)&amp;";  ","")&amp;IF(AND(EDATE($D101,Milestones!$AA$154)&lt;=AsOfDate,EDATE($D101,Milestones!$AA$154)&gt;=SchemeStart,IF($X101=0,$AD101,IF(AND($Z101&lt;&gt;"",EDATE($D101,Milestones!$AA$154)&gt;=$Z101),$AC101,IF(AND($Y101&lt;&gt;"",EDATE($D101,Milestones!$AA$154)&gt;=$Y101),$AB101,$AA101)))=Milestones!$AB$154),UPPER(TEXT(EDATE($D101,Milestones!$AA$154),"dd mmm yy"))&amp;" "&amp;Milestones!$AB$154&amp;" "&amp;IF(AND(Milestones!$AB$154="FT",Milestones!$AA$154=FT_Y5,EDATE($D101,Milestones!$AA$154)&lt;PolicyEff),1,Milestones!$AC$154)&amp;";  ","")&amp;IF(AND(EDATE($D101,Milestones!$AA$155)&lt;=AsOfDate,EDATE($D101,Milestones!$AA$155)&gt;=SchemeStart,IF($X101=0,$AD101,IF(AND($Z101&lt;&gt;"",EDATE($D101,Milestones!$AA$155)&gt;=$Z101),$AC101,IF(AND($Y101&lt;&gt;"",EDATE($D101,Milestones!$AA$155)&gt;=$Y101),$AB101,$AA101)))=Milestones!$AB$155),UPPER(TEXT(EDATE($D101,Milestones!$AA$155),"dd mmm yy"))&amp;" "&amp;Milestones!$AB$155&amp;" "&amp;IF(AND(Milestones!$AB$155="FT",Milestones!$AA$155=FT_Y5,EDATE($D101,Milestones!$AA$155)&lt;PolicyEff),1,Milestones!$AC$155)&amp;";  ","")&amp;IF(AND(EDATE($D101,Milestones!$AA$156)&lt;=AsOfDate,EDATE($D101,Milestones!$AA$156)&gt;=SchemeStart,IF($X101=0,$AD101,IF(AND($Z101&lt;&gt;"",EDATE($D101,Milestones!$AA$156)&gt;=$Z101),$AC101,IF(AND($Y101&lt;&gt;"",EDATE($D101,Milestones!$AA$156)&gt;=$Y101),$AB101,$AA101)))=Milestones!$AB$156),UPPER(TEXT(EDATE($D101,Milestones!$AA$156),"dd mmm yy"))&amp;" "&amp;Milestones!$AB$156&amp;" "&amp;IF(AND(Milestones!$AB$156="FT",Milestones!$AA$156=FT_Y5,EDATE($D101,Milestones!$AA$156)&lt;PolicyEff),1,Milestones!$AC$156)&amp;";  ","")&amp;IF(AND(EDATE($D101,Milestones!$AA$157)&lt;=AsOfDate,EDATE($D101,Milestones!$AA$157)&gt;=SchemeStart,IF($X101=0,$AD101,IF(AND($Z101&lt;&gt;"",EDATE($D101,Milestones!$AA$157)&gt;=$Z101),$AC101,IF(AND($Y101&lt;&gt;"",EDATE($D101,Milestones!$AA$157)&gt;=$Y101),$AB101,$AA101)))=Milestones!$AB$157),UPPER(TEXT(EDATE($D101,Milestones!$AA$157),"dd mmm yy"))&amp;" "&amp;Milestones!$AB$157&amp;" "&amp;IF(AND(Milestones!$AB$157="FT",Milestones!$AA$157=FT_Y5,EDATE($D101,Milestones!$AA$157)&lt;PolicyEff),1,Milestones!$AC$157)&amp;";  ","")&amp;IF(AND(EDATE($D101,Milestones!$AA$158)&lt;=AsOfDate,EDATE($D101,Milestones!$AA$158)&gt;=SchemeStart,IF($X101=0,$AD101,IF(AND($Z101&lt;&gt;"",EDATE($D101,Milestones!$AA$158)&gt;=$Z101),$AC101,IF(AND($Y101&lt;&gt;"",EDATE($D101,Milestones!$AA$158)&gt;=$Y101),$AB101,$AA101)))=Milestones!$AB$158),UPPER(TEXT(EDATE($D101,Milestones!$AA$158),"dd mmm yy"))&amp;" "&amp;Milestones!$AB$158&amp;" "&amp;IF(AND(Milestones!$AB$158="FT",Milestones!$AA$158=FT_Y5,EDATE($D101,Milestones!$AA$158)&lt;PolicyEff),1,Milestones!$AC$158)&amp;";  ","")&amp;IF(AND(EDATE($D101,Milestones!$AA$159)&lt;=AsOfDate,EDATE($D101,Milestones!$AA$159)&gt;=SchemeStart,IF($X101=0,$AD101,IF(AND($Z101&lt;&gt;"",EDATE($D101,Milestones!$AA$159)&gt;=$Z101),$AC101,IF(AND($Y101&lt;&gt;"",EDATE($D101,Milestones!$AA$159)&gt;=$Y101),$AB101,$AA101)))=Milestones!$AB$159),UPPER(TEXT(EDATE($D101,Milestones!$AA$159),"dd mmm yy"))&amp;" "&amp;Milestones!$AB$159&amp;" "&amp;IF(AND(Milestones!$AB$159="FT",Milestones!$AA$159=FT_Y5,EDATE($D101,Milestones!$AA$159)&lt;PolicyEff),1,Milestones!$AC$159)&amp;";  ","")&amp;IF(AND(EDATE($D101,Milestones!$AA$160)&lt;=AsOfDate,EDATE($D101,Milestones!$AA$160)&gt;=SchemeStart,IF($X101=0,$AD101,IF(AND($Z101&lt;&gt;"",EDATE($D101,Milestones!$AA$160)&gt;=$Z101),$AC101,IF(AND($Y101&lt;&gt;"",EDATE($D101,Milestones!$AA$160)&gt;=$Y101),$AB101,$AA101)))=Milestones!$AB$160),UPPER(TEXT(EDATE($D101,Milestones!$AA$160),"dd mmm yy"))&amp;" "&amp;Milestones!$AB$160&amp;" "&amp;IF(AND(Milestones!$AB$160="FT",Milestones!$AA$160=FT_Y5,EDATE($D101,Milestones!$AA$160)&lt;PolicyEff),1,Milestones!$AC$160)&amp;";  ","")&amp;IF(AND(EDATE($D101,Milestones!$AA$161)&lt;=AsOfDate,EDATE($D101,Milestones!$AA$161)&gt;=SchemeStart,IF($X101=0,$AD101,IF(AND($Z101&lt;&gt;"",EDATE($D101,Milestones!$AA$161)&gt;=$Z101),$AC101,IF(AND($Y101&lt;&gt;"",EDATE($D101,Milestones!$AA$161)&gt;=$Y101),$AB101,$AA101)))=Milestones!$AB$161),UPPER(TEXT(EDATE($D101,Milestones!$AA$161),"dd mmm yy"))&amp;" "&amp;Milestones!$AB$161&amp;" "&amp;IF(AND(Milestones!$AB$161="FT",Milestones!$AA$161=FT_Y5,EDATE($D101,Milestones!$AA$161)&lt;PolicyEff),1,Milestones!$AC$161)&amp;";  ","")&amp;IF(AND(EDATE($D101,Milestones!$AA$162)&lt;=AsOfDate,EDATE($D101,Milestones!$AA$162)&gt;=SchemeStart,IF($X101=0,$AD101,IF(AND($Z101&lt;&gt;"",EDATE($D101,Milestones!$AA$162)&gt;=$Z101),$AC101,IF(AND($Y101&lt;&gt;"",EDATE($D101,Milestones!$AA$162)&gt;=$Y101),$AB101,$AA101)))=Milestones!$AB$162),UPPER(TEXT(EDATE($D101,Milestones!$AA$162),"dd mmm yy"))&amp;" "&amp;Milestones!$AB$162&amp;" "&amp;IF(AND(Milestones!$AB$162="FT",Milestones!$AA$162=FT_Y5,EDATE($D101,Milestones!$AA$162)&lt;PolicyEff),1,Milestones!$AC$162)&amp;";  ","")&amp;IF(AND(EDATE($D101,Milestones!$AA$163)&lt;=AsOfDate,EDATE($D101,Milestones!$AA$163)&gt;=SchemeStart,IF($X101=0,$AD101,IF(AND($Z101&lt;&gt;"",EDATE($D101,Milestones!$AA$163)&gt;=$Z101),$AC101,IF(AND($Y101&lt;&gt;"",EDATE($D101,Milestones!$AA$163)&gt;=$Y101),$AB101,$AA101)))=Milestones!$AB$163),UPPER(TEXT(EDATE($D101,Milestones!$AA$163),"dd mmm yy"))&amp;" "&amp;Milestones!$AB$163&amp;" "&amp;IF(AND(Milestones!$AB$163="FT",Milestones!$AA$163=FT_Y5,EDATE($D101,Milestones!$AA$163)&lt;PolicyEff),1,Milestones!$AC$163)&amp;";  ",""))</f>
        <v/>
      </c>
      <c r="U101" s="0" t="str">
        <f aca="false">IF(OR($A101="",$D101=""),"",IF(AND(EDATE($D101,Milestones!$AA$164)&lt;=AsOfDate,EDATE($D101,Milestones!$AA$164)&gt;=SchemeStart,IF($X101=0,$AD101,IF(AND($Z101&lt;&gt;"",EDATE($D101,Milestones!$AA$164)&gt;=$Z101),$AC101,IF(AND($Y101&lt;&gt;"",EDATE($D101,Milestones!$AA$164)&gt;=$Y101),$AB101,$AA101)))=Milestones!$AB$164),UPPER(TEXT(EDATE($D101,Milestones!$AA$164),"dd mmm yy"))&amp;" "&amp;Milestones!$AB$164&amp;" "&amp;IF(AND(Milestones!$AB$164="FT",Milestones!$AA$164=FT_Y5,EDATE($D101,Milestones!$AA$164)&lt;PolicyEff),1,Milestones!$AC$164)&amp;";  ","")&amp;IF(AND(EDATE($D101,Milestones!$AA$165)&lt;=AsOfDate,EDATE($D101,Milestones!$AA$165)&gt;=SchemeStart,IF($X101=0,$AD101,IF(AND($Z101&lt;&gt;"",EDATE($D101,Milestones!$AA$165)&gt;=$Z101),$AC101,IF(AND($Y101&lt;&gt;"",EDATE($D101,Milestones!$AA$165)&gt;=$Y101),$AB101,$AA101)))=Milestones!$AB$165),UPPER(TEXT(EDATE($D101,Milestones!$AA$165),"dd mmm yy"))&amp;" "&amp;Milestones!$AB$165&amp;" "&amp;IF(AND(Milestones!$AB$165="FT",Milestones!$AA$165=FT_Y5,EDATE($D101,Milestones!$AA$165)&lt;PolicyEff),1,Milestones!$AC$165)&amp;";  ","")&amp;IF(AND(EDATE($D101,Milestones!$AA$166)&lt;=AsOfDate,EDATE($D101,Milestones!$AA$166)&gt;=SchemeStart,IF($X101=0,$AD101,IF(AND($Z101&lt;&gt;"",EDATE($D101,Milestones!$AA$166)&gt;=$Z101),$AC101,IF(AND($Y101&lt;&gt;"",EDATE($D101,Milestones!$AA$166)&gt;=$Y101),$AB101,$AA101)))=Milestones!$AB$166),UPPER(TEXT(EDATE($D101,Milestones!$AA$166),"dd mmm yy"))&amp;" "&amp;Milestones!$AB$166&amp;" "&amp;IF(AND(Milestones!$AB$166="FT",Milestones!$AA$166=FT_Y5,EDATE($D101,Milestones!$AA$166)&lt;PolicyEff),1,Milestones!$AC$166)&amp;";  ","")&amp;IF(AND(EDATE($D101,Milestones!$AA$167)&lt;=AsOfDate,EDATE($D101,Milestones!$AA$167)&gt;=SchemeStart,IF($X101=0,$AD101,IF(AND($Z101&lt;&gt;"",EDATE($D101,Milestones!$AA$167)&gt;=$Z101),$AC101,IF(AND($Y101&lt;&gt;"",EDATE($D101,Milestones!$AA$167)&gt;=$Y101),$AB101,$AA101)))=Milestones!$AB$167),UPPER(TEXT(EDATE($D101,Milestones!$AA$167),"dd mmm yy"))&amp;" "&amp;Milestones!$AB$167&amp;" "&amp;IF(AND(Milestones!$AB$167="FT",Milestones!$AA$167=FT_Y5,EDATE($D101,Milestones!$AA$167)&lt;PolicyEff),1,Milestones!$AC$167)&amp;";  ","")&amp;IF(AND(EDATE($D101,Milestones!$AA$168)&lt;=AsOfDate,EDATE($D101,Milestones!$AA$168)&gt;=SchemeStart,IF($X101=0,$AD101,IF(AND($Z101&lt;&gt;"",EDATE($D101,Milestones!$AA$168)&gt;=$Z101),$AC101,IF(AND($Y101&lt;&gt;"",EDATE($D101,Milestones!$AA$168)&gt;=$Y101),$AB101,$AA101)))=Milestones!$AB$168),UPPER(TEXT(EDATE($D101,Milestones!$AA$168),"dd mmm yy"))&amp;" "&amp;Milestones!$AB$168&amp;" "&amp;IF(AND(Milestones!$AB$168="FT",Milestones!$AA$168=FT_Y5,EDATE($D101,Milestones!$AA$168)&lt;PolicyEff),1,Milestones!$AC$168)&amp;";  ","")&amp;IF(AND(EDATE($D101,Milestones!$AA$169)&lt;=AsOfDate,EDATE($D101,Milestones!$AA$169)&gt;=SchemeStart,IF($X101=0,$AD101,IF(AND($Z101&lt;&gt;"",EDATE($D101,Milestones!$AA$169)&gt;=$Z101),$AC101,IF(AND($Y101&lt;&gt;"",EDATE($D101,Milestones!$AA$169)&gt;=$Y101),$AB101,$AA101)))=Milestones!$AB$169),UPPER(TEXT(EDATE($D101,Milestones!$AA$169),"dd mmm yy"))&amp;" "&amp;Milestones!$AB$169&amp;" "&amp;IF(AND(Milestones!$AB$169="FT",Milestones!$AA$169=FT_Y5,EDATE($D101,Milestones!$AA$169)&lt;PolicyEff),1,Milestones!$AC$169)&amp;";  ","")&amp;IF(AND(EDATE($D101,Milestones!$AA$170)&lt;=AsOfDate,EDATE($D101,Milestones!$AA$170)&gt;=SchemeStart,IF($X101=0,$AD101,IF(AND($Z101&lt;&gt;"",EDATE($D101,Milestones!$AA$170)&gt;=$Z101),$AC101,IF(AND($Y101&lt;&gt;"",EDATE($D101,Milestones!$AA$170)&gt;=$Y101),$AB101,$AA101)))=Milestones!$AB$170),UPPER(TEXT(EDATE($D101,Milestones!$AA$170),"dd mmm yy"))&amp;" "&amp;Milestones!$AB$170&amp;" "&amp;IF(AND(Milestones!$AB$170="FT",Milestones!$AA$170=FT_Y5,EDATE($D101,Milestones!$AA$170)&lt;PolicyEff),1,Milestones!$AC$170)&amp;";  ","")&amp;IF(AND(EDATE($D101,Milestones!$AA$171)&lt;=AsOfDate,EDATE($D101,Milestones!$AA$171)&gt;=SchemeStart,IF($X101=0,$AD101,IF(AND($Z101&lt;&gt;"",EDATE($D101,Milestones!$AA$171)&gt;=$Z101),$AC101,IF(AND($Y101&lt;&gt;"",EDATE($D101,Milestones!$AA$171)&gt;=$Y101),$AB101,$AA101)))=Milestones!$AB$171),UPPER(TEXT(EDATE($D101,Milestones!$AA$171),"dd mmm yy"))&amp;" "&amp;Milestones!$AB$171&amp;" "&amp;IF(AND(Milestones!$AB$171="FT",Milestones!$AA$171=FT_Y5,EDATE($D101,Milestones!$AA$171)&lt;PolicyEff),1,Milestones!$AC$171)&amp;";  ","")&amp;IF(AND(EDATE($D101,Milestones!$AA$172)&lt;=AsOfDate,EDATE($D101,Milestones!$AA$172)&gt;=SchemeStart,IF($X101=0,$AD101,IF(AND($Z101&lt;&gt;"",EDATE($D101,Milestones!$AA$172)&gt;=$Z101),$AC101,IF(AND($Y101&lt;&gt;"",EDATE($D101,Milestones!$AA$172)&gt;=$Y101),$AB101,$AA101)))=Milestones!$AB$172),UPPER(TEXT(EDATE($D101,Milestones!$AA$172),"dd mmm yy"))&amp;" "&amp;Milestones!$AB$172&amp;" "&amp;IF(AND(Milestones!$AB$172="FT",Milestones!$AA$172=FT_Y5,EDATE($D101,Milestones!$AA$172)&lt;PolicyEff),1,Milestones!$AC$172)&amp;";  ","")&amp;IF(AND(EDATE($D101,Milestones!$AA$173)&lt;=AsOfDate,EDATE($D101,Milestones!$AA$173)&gt;=SchemeStart,IF($X101=0,$AD101,IF(AND($Z101&lt;&gt;"",EDATE($D101,Milestones!$AA$173)&gt;=$Z101),$AC101,IF(AND($Y101&lt;&gt;"",EDATE($D101,Milestones!$AA$173)&gt;=$Y101),$AB101,$AA101)))=Milestones!$AB$173),UPPER(TEXT(EDATE($D101,Milestones!$AA$173),"dd mmm yy"))&amp;" "&amp;Milestones!$AB$173&amp;" "&amp;IF(AND(Milestones!$AB$173="FT",Milestones!$AA$173=FT_Y5,EDATE($D101,Milestones!$AA$173)&lt;PolicyEff),1,Milestones!$AC$173)&amp;";  ","")&amp;IF(AND(EDATE($D101,Milestones!$AA$174)&lt;=AsOfDate,EDATE($D101,Milestones!$AA$174)&gt;=SchemeStart,IF($X101=0,$AD101,IF(AND($Z101&lt;&gt;"",EDATE($D101,Milestones!$AA$174)&gt;=$Z101),$AC101,IF(AND($Y101&lt;&gt;"",EDATE($D101,Milestones!$AA$174)&gt;=$Y101),$AB101,$AA101)))=Milestones!$AB$174),UPPER(TEXT(EDATE($D101,Milestones!$AA$174),"dd mmm yy"))&amp;" "&amp;Milestones!$AB$174&amp;" "&amp;IF(AND(Milestones!$AB$174="FT",Milestones!$AA$174=FT_Y5,EDATE($D101,Milestones!$AA$174)&lt;PolicyEff),1,Milestones!$AC$174)&amp;";  ","")&amp;IF(AND(EDATE($D101,Milestones!$AA$175)&lt;=AsOfDate,EDATE($D101,Milestones!$AA$175)&gt;=SchemeStart,IF($X101=0,$AD101,IF(AND($Z101&lt;&gt;"",EDATE($D101,Milestones!$AA$175)&gt;=$Z101),$AC101,IF(AND($Y101&lt;&gt;"",EDATE($D101,Milestones!$AA$175)&gt;=$Y101),$AB101,$AA101)))=Milestones!$AB$175),UPPER(TEXT(EDATE($D101,Milestones!$AA$175),"dd mmm yy"))&amp;" "&amp;Milestones!$AB$175&amp;" "&amp;IF(AND(Milestones!$AB$175="FT",Milestones!$AA$175=FT_Y5,EDATE($D101,Milestones!$AA$175)&lt;PolicyEff),1,Milestones!$AC$175)&amp;";  ",""))</f>
        <v/>
      </c>
      <c r="V101" s="0" t="str">
        <f aca="false">IF(OR($A101="",$D101=""),"",IF(AND(EDATE($D101,Milestones!$AA$176)&lt;=AsOfDate,EDATE($D101,Milestones!$AA$176)&gt;=SchemeStart,IF($X101=0,$AD101,IF(AND($Z101&lt;&gt;"",EDATE($D101,Milestones!$AA$176)&gt;=$Z101),$AC101,IF(AND($Y101&lt;&gt;"",EDATE($D101,Milestones!$AA$176)&gt;=$Y101),$AB101,$AA101)))=Milestones!$AB$176),UPPER(TEXT(EDATE($D101,Milestones!$AA$176),"dd mmm yy"))&amp;" "&amp;Milestones!$AB$176&amp;" "&amp;IF(AND(Milestones!$AB$176="FT",Milestones!$AA$176=FT_Y5,EDATE($D101,Milestones!$AA$176)&lt;PolicyEff),1,Milestones!$AC$176)&amp;";  ","")&amp;IF(AND(EDATE($D101,Milestones!$AA$177)&lt;=AsOfDate,EDATE($D101,Milestones!$AA$177)&gt;=SchemeStart,IF($X101=0,$AD101,IF(AND($Z101&lt;&gt;"",EDATE($D101,Milestones!$AA$177)&gt;=$Z101),$AC101,IF(AND($Y101&lt;&gt;"",EDATE($D101,Milestones!$AA$177)&gt;=$Y101),$AB101,$AA101)))=Milestones!$AB$177),UPPER(TEXT(EDATE($D101,Milestones!$AA$177),"dd mmm yy"))&amp;" "&amp;Milestones!$AB$177&amp;" "&amp;IF(AND(Milestones!$AB$177="FT",Milestones!$AA$177=FT_Y5,EDATE($D101,Milestones!$AA$177)&lt;PolicyEff),1,Milestones!$AC$177)&amp;";  ","")&amp;IF(AND(EDATE($D101,Milestones!$AA$178)&lt;=AsOfDate,EDATE($D101,Milestones!$AA$178)&gt;=SchemeStart,IF($X101=0,$AD101,IF(AND($Z101&lt;&gt;"",EDATE($D101,Milestones!$AA$178)&gt;=$Z101),$AC101,IF(AND($Y101&lt;&gt;"",EDATE($D101,Milestones!$AA$178)&gt;=$Y101),$AB101,$AA101)))=Milestones!$AB$178),UPPER(TEXT(EDATE($D101,Milestones!$AA$178),"dd mmm yy"))&amp;" "&amp;Milestones!$AB$178&amp;" "&amp;IF(AND(Milestones!$AB$178="FT",Milestones!$AA$178=FT_Y5,EDATE($D101,Milestones!$AA$178)&lt;PolicyEff),1,Milestones!$AC$178)&amp;";  ","")&amp;IF(AND(EDATE($D101,Milestones!$AA$179)&lt;=AsOfDate,EDATE($D101,Milestones!$AA$179)&gt;=SchemeStart,IF($X101=0,$AD101,IF(AND($Z101&lt;&gt;"",EDATE($D101,Milestones!$AA$179)&gt;=$Z101),$AC101,IF(AND($Y101&lt;&gt;"",EDATE($D101,Milestones!$AA$179)&gt;=$Y101),$AB101,$AA101)))=Milestones!$AB$179),UPPER(TEXT(EDATE($D101,Milestones!$AA$179),"dd mmm yy"))&amp;" "&amp;Milestones!$AB$179&amp;" "&amp;IF(AND(Milestones!$AB$179="FT",Milestones!$AA$179=FT_Y5,EDATE($D101,Milestones!$AA$179)&lt;PolicyEff),1,Milestones!$AC$179)&amp;";  ","")&amp;IF(AND(EDATE($D101,Milestones!$AA$180)&lt;=AsOfDate,EDATE($D101,Milestones!$AA$180)&gt;=SchemeStart,IF($X101=0,$AD101,IF(AND($Z101&lt;&gt;"",EDATE($D101,Milestones!$AA$180)&gt;=$Z101),$AC101,IF(AND($Y101&lt;&gt;"",EDATE($D101,Milestones!$AA$180)&gt;=$Y101),$AB101,$AA101)))=Milestones!$AB$180),UPPER(TEXT(EDATE($D101,Milestones!$AA$180),"dd mmm yy"))&amp;" "&amp;Milestones!$AB$180&amp;" "&amp;IF(AND(Milestones!$AB$180="FT",Milestones!$AA$180=FT_Y5,EDATE($D101,Milestones!$AA$180)&lt;PolicyEff),1,Milestones!$AC$180)&amp;";  ","")&amp;IF(AND(EDATE($D101,Milestones!$AA$181)&lt;=AsOfDate,EDATE($D101,Milestones!$AA$181)&gt;=SchemeStart,IF($X101=0,$AD101,IF(AND($Z101&lt;&gt;"",EDATE($D101,Milestones!$AA$181)&gt;=$Z101),$AC101,IF(AND($Y101&lt;&gt;"",EDATE($D101,Milestones!$AA$181)&gt;=$Y101),$AB101,$AA101)))=Milestones!$AB$181),UPPER(TEXT(EDATE($D101,Milestones!$AA$181),"dd mmm yy"))&amp;" "&amp;Milestones!$AB$181&amp;" "&amp;IF(AND(Milestones!$AB$181="FT",Milestones!$AA$181=FT_Y5,EDATE($D101,Milestones!$AA$181)&lt;PolicyEff),1,Milestones!$AC$181)&amp;";  ","")&amp;IF(AND(EDATE($D101,Milestones!$AA$182)&lt;=AsOfDate,EDATE($D101,Milestones!$AA$182)&gt;=SchemeStart,IF($X101=0,$AD101,IF(AND($Z101&lt;&gt;"",EDATE($D101,Milestones!$AA$182)&gt;=$Z101),$AC101,IF(AND($Y101&lt;&gt;"",EDATE($D101,Milestones!$AA$182)&gt;=$Y101),$AB101,$AA101)))=Milestones!$AB$182),UPPER(TEXT(EDATE($D101,Milestones!$AA$182),"dd mmm yy"))&amp;" "&amp;Milestones!$AB$182&amp;" "&amp;IF(AND(Milestones!$AB$182="FT",Milestones!$AA$182=FT_Y5,EDATE($D101,Milestones!$AA$182)&lt;PolicyEff),1,Milestones!$AC$182)&amp;";  ","")&amp;IF(AND(EDATE($D101,Milestones!$AA$183)&lt;=AsOfDate,EDATE($D101,Milestones!$AA$183)&gt;=SchemeStart,IF($X101=0,$AD101,IF(AND($Z101&lt;&gt;"",EDATE($D101,Milestones!$AA$183)&gt;=$Z101),$AC101,IF(AND($Y101&lt;&gt;"",EDATE($D101,Milestones!$AA$183)&gt;=$Y101),$AB101,$AA101)))=Milestones!$AB$183),UPPER(TEXT(EDATE($D101,Milestones!$AA$183),"dd mmm yy"))&amp;" "&amp;Milestones!$AB$183&amp;" "&amp;IF(AND(Milestones!$AB$183="FT",Milestones!$AA$183=FT_Y5,EDATE($D101,Milestones!$AA$183)&lt;PolicyEff),1,Milestones!$AC$183)&amp;";  ","")&amp;IF(AND(EDATE($D101,Milestones!$AA$184)&lt;=AsOfDate,EDATE($D101,Milestones!$AA$184)&gt;=SchemeStart,IF($X101=0,$AD101,IF(AND($Z101&lt;&gt;"",EDATE($D101,Milestones!$AA$184)&gt;=$Z101),$AC101,IF(AND($Y101&lt;&gt;"",EDATE($D101,Milestones!$AA$184)&gt;=$Y101),$AB101,$AA101)))=Milestones!$AB$184),UPPER(TEXT(EDATE($D101,Milestones!$AA$184),"dd mmm yy"))&amp;" "&amp;Milestones!$AB$184&amp;" "&amp;IF(AND(Milestones!$AB$184="FT",Milestones!$AA$184=FT_Y5,EDATE($D101,Milestones!$AA$184)&lt;PolicyEff),1,Milestones!$AC$184)&amp;";  ","")&amp;IF(AND(EDATE($D101,Milestones!$AA$185)&lt;=AsOfDate,EDATE($D101,Milestones!$AA$185)&gt;=SchemeStart,IF($X101=0,$AD101,IF(AND($Z101&lt;&gt;"",EDATE($D101,Milestones!$AA$185)&gt;=$Z101),$AC101,IF(AND($Y101&lt;&gt;"",EDATE($D101,Milestones!$AA$185)&gt;=$Y101),$AB101,$AA101)))=Milestones!$AB$185),UPPER(TEXT(EDATE($D101,Milestones!$AA$185),"dd mmm yy"))&amp;" "&amp;Milestones!$AB$185&amp;" "&amp;IF(AND(Milestones!$AB$185="FT",Milestones!$AA$185=FT_Y5,EDATE($D101,Milestones!$AA$185)&lt;PolicyEff),1,Milestones!$AC$185)&amp;";  ","")&amp;IF(AND(EDATE($D101,Milestones!$AA$186)&lt;=AsOfDate,EDATE($D101,Milestones!$AA$186)&gt;=SchemeStart,IF($X101=0,$AD101,IF(AND($Z101&lt;&gt;"",EDATE($D101,Milestones!$AA$186)&gt;=$Z101),$AC101,IF(AND($Y101&lt;&gt;"",EDATE($D101,Milestones!$AA$186)&gt;=$Y101),$AB101,$AA101)))=Milestones!$AB$186),UPPER(TEXT(EDATE($D101,Milestones!$AA$186),"dd mmm yy"))&amp;" "&amp;Milestones!$AB$186&amp;" "&amp;IF(AND(Milestones!$AB$186="FT",Milestones!$AA$186=FT_Y5,EDATE($D101,Milestones!$AA$186)&lt;PolicyEff),1,Milestones!$AC$186)&amp;";  ","")&amp;IF(AND(EDATE($D101,Milestones!$AA$187)&lt;=AsOfDate,EDATE($D101,Milestones!$AA$187)&gt;=SchemeStart,IF($X101=0,$AD101,IF(AND($Z101&lt;&gt;"",EDATE($D101,Milestones!$AA$187)&gt;=$Z101),$AC101,IF(AND($Y101&lt;&gt;"",EDATE($D101,Milestones!$AA$187)&gt;=$Y101),$AB101,$AA101)))=Milestones!$AB$187),UPPER(TEXT(EDATE($D101,Milestones!$AA$187),"dd mmm yy"))&amp;" "&amp;Milestones!$AB$187&amp;" "&amp;IF(AND(Milestones!$AB$187="FT",Milestones!$AA$187=FT_Y5,EDATE($D101,Milestones!$AA$187)&lt;PolicyEff),1,Milestones!$AC$187)&amp;";  ",""))</f>
        <v/>
      </c>
      <c r="W101" s="0" t="str">
        <f aca="false">IF(OR($A101="",$D101=""),"",IF(AND(EDATE($D101,Milestones!$AA$188)&lt;=AsOfDate,EDATE($D101,Milestones!$AA$188)&gt;=SchemeStart,IF($X101=0,$AD101,IF(AND($Z101&lt;&gt;"",EDATE($D101,Milestones!$AA$188)&gt;=$Z101),$AC101,IF(AND($Y101&lt;&gt;"",EDATE($D101,Milestones!$AA$188)&gt;=$Y101),$AB101,$AA101)))=Milestones!$AB$188),UPPER(TEXT(EDATE($D101,Milestones!$AA$188),"dd mmm yy"))&amp;" "&amp;Milestones!$AB$188&amp;" "&amp;IF(AND(Milestones!$AB$188="FT",Milestones!$AA$188=FT_Y5,EDATE($D101,Milestones!$AA$188)&lt;PolicyEff),1,Milestones!$AC$188)&amp;";  ","")&amp;IF(AND(EDATE($D101,Milestones!$AA$189)&lt;=AsOfDate,EDATE($D101,Milestones!$AA$189)&gt;=SchemeStart,IF($X101=0,$AD101,IF(AND($Z101&lt;&gt;"",EDATE($D101,Milestones!$AA$189)&gt;=$Z101),$AC101,IF(AND($Y101&lt;&gt;"",EDATE($D101,Milestones!$AA$189)&gt;=$Y101),$AB101,$AA101)))=Milestones!$AB$189),UPPER(TEXT(EDATE($D101,Milestones!$AA$189),"dd mmm yy"))&amp;" "&amp;Milestones!$AB$189&amp;" "&amp;IF(AND(Milestones!$AB$189="FT",Milestones!$AA$189=FT_Y5,EDATE($D101,Milestones!$AA$189)&lt;PolicyEff),1,Milestones!$AC$189)&amp;";  ","")&amp;IF(AND(EDATE($D101,Milestones!$AA$190)&lt;=AsOfDate,EDATE($D101,Milestones!$AA$190)&gt;=SchemeStart,IF($X101=0,$AD101,IF(AND($Z101&lt;&gt;"",EDATE($D101,Milestones!$AA$190)&gt;=$Z101),$AC101,IF(AND($Y101&lt;&gt;"",EDATE($D101,Milestones!$AA$190)&gt;=$Y101),$AB101,$AA101)))=Milestones!$AB$190),UPPER(TEXT(EDATE($D101,Milestones!$AA$190),"dd mmm yy"))&amp;" "&amp;Milestones!$AB$190&amp;" "&amp;IF(AND(Milestones!$AB$190="FT",Milestones!$AA$190=FT_Y5,EDATE($D101,Milestones!$AA$190)&lt;PolicyEff),1,Milestones!$AC$190)&amp;";  ","")&amp;IF(AND(EDATE($D101,Milestones!$AA$191)&lt;=AsOfDate,EDATE($D101,Milestones!$AA$191)&gt;=SchemeStart,IF($X101=0,$AD101,IF(AND($Z101&lt;&gt;"",EDATE($D101,Milestones!$AA$191)&gt;=$Z101),$AC101,IF(AND($Y101&lt;&gt;"",EDATE($D101,Milestones!$AA$191)&gt;=$Y101),$AB101,$AA101)))=Milestones!$AB$191),UPPER(TEXT(EDATE($D101,Milestones!$AA$191),"dd mmm yy"))&amp;" "&amp;Milestones!$AB$191&amp;" "&amp;IF(AND(Milestones!$AB$191="FT",Milestones!$AA$191=FT_Y5,EDATE($D101,Milestones!$AA$191)&lt;PolicyEff),1,Milestones!$AC$191)&amp;";  ","")&amp;IF(AND(EDATE($D101,Milestones!$AA$192)&lt;=AsOfDate,EDATE($D101,Milestones!$AA$192)&gt;=SchemeStart,IF($X101=0,$AD101,IF(AND($Z101&lt;&gt;"",EDATE($D101,Milestones!$AA$192)&gt;=$Z101),$AC101,IF(AND($Y101&lt;&gt;"",EDATE($D101,Milestones!$AA$192)&gt;=$Y101),$AB101,$AA101)))=Milestones!$AB$192),UPPER(TEXT(EDATE($D101,Milestones!$AA$192),"dd mmm yy"))&amp;" "&amp;Milestones!$AB$192&amp;" "&amp;IF(AND(Milestones!$AB$192="FT",Milestones!$AA$192=FT_Y5,EDATE($D101,Milestones!$AA$192)&lt;PolicyEff),1,Milestones!$AC$192)&amp;";  ","")&amp;IF(AND(EDATE($D101,Milestones!$AA$193)&lt;=AsOfDate,EDATE($D101,Milestones!$AA$193)&gt;=SchemeStart,IF($X101=0,$AD101,IF(AND($Z101&lt;&gt;"",EDATE($D101,Milestones!$AA$193)&gt;=$Z101),$AC101,IF(AND($Y101&lt;&gt;"",EDATE($D101,Milestones!$AA$193)&gt;=$Y101),$AB101,$AA101)))=Milestones!$AB$193),UPPER(TEXT(EDATE($D101,Milestones!$AA$193),"dd mmm yy"))&amp;" "&amp;Milestones!$AB$193&amp;" "&amp;IF(AND(Milestones!$AB$193="FT",Milestones!$AA$193=FT_Y5,EDATE($D101,Milestones!$AA$193)&lt;PolicyEff),1,Milestones!$AC$193)&amp;";  ","")&amp;IF(AND(EDATE($D101,Milestones!$AA$194)&lt;=AsOfDate,EDATE($D101,Milestones!$AA$194)&gt;=SchemeStart,IF($X101=0,$AD101,IF(AND($Z101&lt;&gt;"",EDATE($D101,Milestones!$AA$194)&gt;=$Z101),$AC101,IF(AND($Y101&lt;&gt;"",EDATE($D101,Milestones!$AA$194)&gt;=$Y101),$AB101,$AA101)))=Milestones!$AB$194),UPPER(TEXT(EDATE($D101,Milestones!$AA$194),"dd mmm yy"))&amp;" "&amp;Milestones!$AB$194&amp;" "&amp;IF(AND(Milestones!$AB$194="FT",Milestones!$AA$194=FT_Y5,EDATE($D101,Milestones!$AA$194)&lt;PolicyEff),1,Milestones!$AC$194)&amp;";  ","")&amp;IF(AND(EDATE($D101,Milestones!$AA$195)&lt;=AsOfDate,EDATE($D101,Milestones!$AA$195)&gt;=SchemeStart,IF($X101=0,$AD101,IF(AND($Z101&lt;&gt;"",EDATE($D101,Milestones!$AA$195)&gt;=$Z101),$AC101,IF(AND($Y101&lt;&gt;"",EDATE($D101,Milestones!$AA$195)&gt;=$Y101),$AB101,$AA101)))=Milestones!$AB$195),UPPER(TEXT(EDATE($D101,Milestones!$AA$195),"dd mmm yy"))&amp;" "&amp;Milestones!$AB$195&amp;" "&amp;IF(AND(Milestones!$AB$195="FT",Milestones!$AA$195=FT_Y5,EDATE($D101,Milestones!$AA$195)&lt;PolicyEff),1,Milestones!$AC$195)&amp;";  ","")&amp;IF(AND(EDATE($D101,Milestones!$AA$196)&lt;=AsOfDate,EDATE($D101,Milestones!$AA$196)&gt;=SchemeStart,IF($X101=0,$AD101,IF(AND($Z101&lt;&gt;"",EDATE($D101,Milestones!$AA$196)&gt;=$Z101),$AC101,IF(AND($Y101&lt;&gt;"",EDATE($D101,Milestones!$AA$196)&gt;=$Y101),$AB101,$AA101)))=Milestones!$AB$196),UPPER(TEXT(EDATE($D101,Milestones!$AA$196),"dd mmm yy"))&amp;" "&amp;Milestones!$AB$196&amp;" "&amp;IF(AND(Milestones!$AB$196="FT",Milestones!$AA$196=FT_Y5,EDATE($D101,Milestones!$AA$196)&lt;PolicyEff),1,Milestones!$AC$196)&amp;";  ","")&amp;IF(AND(EDATE($D101,Milestones!$AA$197)&lt;=AsOfDate,EDATE($D101,Milestones!$AA$197)&gt;=SchemeStart,IF($X101=0,$AD101,IF(AND($Z101&lt;&gt;"",EDATE($D101,Milestones!$AA$197)&gt;=$Z101),$AC101,IF(AND($Y101&lt;&gt;"",EDATE($D101,Milestones!$AA$197)&gt;=$Y101),$AB101,$AA101)))=Milestones!$AB$197),UPPER(TEXT(EDATE($D101,Milestones!$AA$197),"dd mmm yy"))&amp;" "&amp;Milestones!$AB$197&amp;" "&amp;IF(AND(Milestones!$AB$197="FT",Milestones!$AA$197=FT_Y5,EDATE($D101,Milestones!$AA$197)&lt;PolicyEff),1,Milestones!$AC$197)&amp;";  ","")&amp;IF(AND(EDATE($D101,Milestones!$AA$198)&lt;=AsOfDate,EDATE($D101,Milestones!$AA$198)&gt;=SchemeStart,IF($X101=0,$AD101,IF(AND($Z101&lt;&gt;"",EDATE($D101,Milestones!$AA$198)&gt;=$Z101),$AC101,IF(AND($Y101&lt;&gt;"",EDATE($D101,Milestones!$AA$198)&gt;=$Y101),$AB101,$AA101)))=Milestones!$AB$198),UPPER(TEXT(EDATE($D101,Milestones!$AA$198),"dd mmm yy"))&amp;" "&amp;Milestones!$AB$198&amp;" "&amp;IF(AND(Milestones!$AB$198="FT",Milestones!$AA$198=FT_Y5,EDATE($D101,Milestones!$AA$198)&lt;PolicyEff),1,Milestones!$AC$198)&amp;";  ","")&amp;IF(AND(EDATE($D101,Milestones!$AA$199)&lt;=AsOfDate,EDATE($D101,Milestones!$AA$199)&gt;=SchemeStart,IF($X101=0,$AD101,IF(AND($Z101&lt;&gt;"",EDATE($D101,Milestones!$AA$199)&gt;=$Z101),$AC101,IF(AND($Y101&lt;&gt;"",EDATE($D101,Milestones!$AA$199)&gt;=$Y101),$AB101,$AA101)))=Milestones!$AB$199),UPPER(TEXT(EDATE($D101,Milestones!$AA$199),"dd mmm yy"))&amp;" "&amp;Milestones!$AB$199&amp;" "&amp;IF(AND(Milestones!$AB$199="FT",Milestones!$AA$199=FT_Y5,EDATE($D101,Milestones!$AA$199)&lt;PolicyEff),1,Milestones!$AC$199)&amp;";  ",""))</f>
        <v/>
      </c>
      <c r="X101" s="0" t="str">
        <f aca="false">IF(Staff!$A101="","",Staff!$AM101)</f>
        <v/>
      </c>
      <c r="Y101" s="0" t="str">
        <f aca="false">IF(Staff!$A101="","",Staff!$AO101)</f>
        <v/>
      </c>
      <c r="Z101" s="0" t="str">
        <f aca="false">IF(Staff!$A101="","",Staff!$AP101)</f>
        <v/>
      </c>
      <c r="AA101" s="0" t="str">
        <f aca="false">IF(Staff!$A101="","",Staff!$AT101)</f>
        <v/>
      </c>
      <c r="AB101" s="0" t="str">
        <f aca="false">IF(Staff!$A101="","",Staff!$AU101)</f>
        <v/>
      </c>
      <c r="AC101" s="0" t="str">
        <f aca="false">IF(Staff!$A101="","",Staff!$AV101)</f>
        <v/>
      </c>
      <c r="AD101" s="0" t="str">
        <f aca="false">IF(Staff!$A101="","",Staff!$AW101)</f>
        <v/>
      </c>
    </row>
    <row r="102" customFormat="false" ht="15" hidden="false" customHeight="false" outlineLevel="0" collapsed="false">
      <c r="A102" s="16" t="str">
        <f aca="false">IF(Staff!$A102="","",Staff!$A102)</f>
        <v/>
      </c>
      <c r="B102" s="16" t="str">
        <f aca="false">IF(Staff!$A102="","",Staff!$B102)</f>
        <v/>
      </c>
      <c r="C102" s="16" t="str">
        <f aca="false">IF(Staff!$A102="","",Staff!$C102)</f>
        <v/>
      </c>
      <c r="D102" s="14" t="str">
        <f aca="false">IF(Staff!$A102="","",Staff!$AL102)</f>
        <v/>
      </c>
      <c r="E102" s="16" t="str">
        <f aca="false">IF(Staff!$A102="","",Staff!$O102)</f>
        <v/>
      </c>
      <c r="F102" s="16" t="str">
        <f aca="false">IF(E102="","",E102*HoursPerDay)</f>
        <v/>
      </c>
      <c r="G102" s="16" t="str">
        <f aca="false">IF(Staff!$A102="","",Staff!$AE102)</f>
        <v/>
      </c>
      <c r="H102" s="28" t="str">
        <f aca="false">IF($A102="","",I102&amp;J102&amp;K102&amp;L102&amp;M102&amp;N102&amp;O102&amp;P102&amp;Q102&amp;R102&amp;S102&amp;T102&amp;U102&amp;V102&amp;W102)</f>
        <v/>
      </c>
      <c r="I102" s="0" t="str">
        <f aca="false">IF(OR($A102="",$D102=""),"",IF(AND(EDATE($D102,Milestones!$AA$20)&lt;=AsOfDate,EDATE($D102,Milestones!$AA$20)&gt;=SchemeStart,IF($X102=0,$AD102,IF(AND($Z102&lt;&gt;"",EDATE($D102,Milestones!$AA$20)&gt;=$Z102),$AC102,IF(AND($Y102&lt;&gt;"",EDATE($D102,Milestones!$AA$20)&gt;=$Y102),$AB102,$AA102)))=Milestones!$AB$20),UPPER(TEXT(EDATE($D102,Milestones!$AA$20),"dd mmm yy"))&amp;" "&amp;Milestones!$AB$20&amp;" "&amp;IF(AND(Milestones!$AB$20="FT",Milestones!$AA$20=FT_Y5,EDATE($D102,Milestones!$AA$20)&lt;PolicyEff),1,Milestones!$AC$20)&amp;";  ","")&amp;IF(AND(EDATE($D102,Milestones!$AA$21)&lt;=AsOfDate,EDATE($D102,Milestones!$AA$21)&gt;=SchemeStart,IF($X102=0,$AD102,IF(AND($Z102&lt;&gt;"",EDATE($D102,Milestones!$AA$21)&gt;=$Z102),$AC102,IF(AND($Y102&lt;&gt;"",EDATE($D102,Milestones!$AA$21)&gt;=$Y102),$AB102,$AA102)))=Milestones!$AB$21),UPPER(TEXT(EDATE($D102,Milestones!$AA$21),"dd mmm yy"))&amp;" "&amp;Milestones!$AB$21&amp;" "&amp;IF(AND(Milestones!$AB$21="FT",Milestones!$AA$21=FT_Y5,EDATE($D102,Milestones!$AA$21)&lt;PolicyEff),1,Milestones!$AC$21)&amp;";  ","")&amp;IF(AND(EDATE($D102,Milestones!$AA$22)&lt;=AsOfDate,EDATE($D102,Milestones!$AA$22)&gt;=SchemeStart,IF($X102=0,$AD102,IF(AND($Z102&lt;&gt;"",EDATE($D102,Milestones!$AA$22)&gt;=$Z102),$AC102,IF(AND($Y102&lt;&gt;"",EDATE($D102,Milestones!$AA$22)&gt;=$Y102),$AB102,$AA102)))=Milestones!$AB$22),UPPER(TEXT(EDATE($D102,Milestones!$AA$22),"dd mmm yy"))&amp;" "&amp;Milestones!$AB$22&amp;" "&amp;IF(AND(Milestones!$AB$22="FT",Milestones!$AA$22=FT_Y5,EDATE($D102,Milestones!$AA$22)&lt;PolicyEff),1,Milestones!$AC$22)&amp;";  ","")&amp;IF(AND(EDATE($D102,Milestones!$AA$23)&lt;=AsOfDate,EDATE($D102,Milestones!$AA$23)&gt;=SchemeStart,IF($X102=0,$AD102,IF(AND($Z102&lt;&gt;"",EDATE($D102,Milestones!$AA$23)&gt;=$Z102),$AC102,IF(AND($Y102&lt;&gt;"",EDATE($D102,Milestones!$AA$23)&gt;=$Y102),$AB102,$AA102)))=Milestones!$AB$23),UPPER(TEXT(EDATE($D102,Milestones!$AA$23),"dd mmm yy"))&amp;" "&amp;Milestones!$AB$23&amp;" "&amp;IF(AND(Milestones!$AB$23="FT",Milestones!$AA$23=FT_Y5,EDATE($D102,Milestones!$AA$23)&lt;PolicyEff),1,Milestones!$AC$23)&amp;";  ","")&amp;IF(AND(EDATE($D102,Milestones!$AA$24)&lt;=AsOfDate,EDATE($D102,Milestones!$AA$24)&gt;=SchemeStart,IF($X102=0,$AD102,IF(AND($Z102&lt;&gt;"",EDATE($D102,Milestones!$AA$24)&gt;=$Z102),$AC102,IF(AND($Y102&lt;&gt;"",EDATE($D102,Milestones!$AA$24)&gt;=$Y102),$AB102,$AA102)))=Milestones!$AB$24),UPPER(TEXT(EDATE($D102,Milestones!$AA$24),"dd mmm yy"))&amp;" "&amp;Milestones!$AB$24&amp;" "&amp;IF(AND(Milestones!$AB$24="FT",Milestones!$AA$24=FT_Y5,EDATE($D102,Milestones!$AA$24)&lt;PolicyEff),1,Milestones!$AC$24)&amp;";  ","")&amp;IF(AND(EDATE($D102,Milestones!$AA$25)&lt;=AsOfDate,EDATE($D102,Milestones!$AA$25)&gt;=SchemeStart,IF($X102=0,$AD102,IF(AND($Z102&lt;&gt;"",EDATE($D102,Milestones!$AA$25)&gt;=$Z102),$AC102,IF(AND($Y102&lt;&gt;"",EDATE($D102,Milestones!$AA$25)&gt;=$Y102),$AB102,$AA102)))=Milestones!$AB$25),UPPER(TEXT(EDATE($D102,Milestones!$AA$25),"dd mmm yy"))&amp;" "&amp;Milestones!$AB$25&amp;" "&amp;IF(AND(Milestones!$AB$25="FT",Milestones!$AA$25=FT_Y5,EDATE($D102,Milestones!$AA$25)&lt;PolicyEff),1,Milestones!$AC$25)&amp;";  ","")&amp;IF(AND(EDATE($D102,Milestones!$AA$26)&lt;=AsOfDate,EDATE($D102,Milestones!$AA$26)&gt;=SchemeStart,IF($X102=0,$AD102,IF(AND($Z102&lt;&gt;"",EDATE($D102,Milestones!$AA$26)&gt;=$Z102),$AC102,IF(AND($Y102&lt;&gt;"",EDATE($D102,Milestones!$AA$26)&gt;=$Y102),$AB102,$AA102)))=Milestones!$AB$26),UPPER(TEXT(EDATE($D102,Milestones!$AA$26),"dd mmm yy"))&amp;" "&amp;Milestones!$AB$26&amp;" "&amp;IF(AND(Milestones!$AB$26="FT",Milestones!$AA$26=FT_Y5,EDATE($D102,Milestones!$AA$26)&lt;PolicyEff),1,Milestones!$AC$26)&amp;";  ","")&amp;IF(AND(EDATE($D102,Milestones!$AA$27)&lt;=AsOfDate,EDATE($D102,Milestones!$AA$27)&gt;=SchemeStart,IF($X102=0,$AD102,IF(AND($Z102&lt;&gt;"",EDATE($D102,Milestones!$AA$27)&gt;=$Z102),$AC102,IF(AND($Y102&lt;&gt;"",EDATE($D102,Milestones!$AA$27)&gt;=$Y102),$AB102,$AA102)))=Milestones!$AB$27),UPPER(TEXT(EDATE($D102,Milestones!$AA$27),"dd mmm yy"))&amp;" "&amp;Milestones!$AB$27&amp;" "&amp;IF(AND(Milestones!$AB$27="FT",Milestones!$AA$27=FT_Y5,EDATE($D102,Milestones!$AA$27)&lt;PolicyEff),1,Milestones!$AC$27)&amp;";  ","")&amp;IF(AND(EDATE($D102,Milestones!$AA$28)&lt;=AsOfDate,EDATE($D102,Milestones!$AA$28)&gt;=SchemeStart,IF($X102=0,$AD102,IF(AND($Z102&lt;&gt;"",EDATE($D102,Milestones!$AA$28)&gt;=$Z102),$AC102,IF(AND($Y102&lt;&gt;"",EDATE($D102,Milestones!$AA$28)&gt;=$Y102),$AB102,$AA102)))=Milestones!$AB$28),UPPER(TEXT(EDATE($D102,Milestones!$AA$28),"dd mmm yy"))&amp;" "&amp;Milestones!$AB$28&amp;" "&amp;IF(AND(Milestones!$AB$28="FT",Milestones!$AA$28=FT_Y5,EDATE($D102,Milestones!$AA$28)&lt;PolicyEff),1,Milestones!$AC$28)&amp;";  ","")&amp;IF(AND(EDATE($D102,Milestones!$AA$29)&lt;=AsOfDate,EDATE($D102,Milestones!$AA$29)&gt;=SchemeStart,IF($X102=0,$AD102,IF(AND($Z102&lt;&gt;"",EDATE($D102,Milestones!$AA$29)&gt;=$Z102),$AC102,IF(AND($Y102&lt;&gt;"",EDATE($D102,Milestones!$AA$29)&gt;=$Y102),$AB102,$AA102)))=Milestones!$AB$29),UPPER(TEXT(EDATE($D102,Milestones!$AA$29),"dd mmm yy"))&amp;" "&amp;Milestones!$AB$29&amp;" "&amp;IF(AND(Milestones!$AB$29="FT",Milestones!$AA$29=FT_Y5,EDATE($D102,Milestones!$AA$29)&lt;PolicyEff),1,Milestones!$AC$29)&amp;";  ","")&amp;IF(AND(EDATE($D102,Milestones!$AA$30)&lt;=AsOfDate,EDATE($D102,Milestones!$AA$30)&gt;=SchemeStart,IF($X102=0,$AD102,IF(AND($Z102&lt;&gt;"",EDATE($D102,Milestones!$AA$30)&gt;=$Z102),$AC102,IF(AND($Y102&lt;&gt;"",EDATE($D102,Milestones!$AA$30)&gt;=$Y102),$AB102,$AA102)))=Milestones!$AB$30),UPPER(TEXT(EDATE($D102,Milestones!$AA$30),"dd mmm yy"))&amp;" "&amp;Milestones!$AB$30&amp;" "&amp;IF(AND(Milestones!$AB$30="FT",Milestones!$AA$30=FT_Y5,EDATE($D102,Milestones!$AA$30)&lt;PolicyEff),1,Milestones!$AC$30)&amp;";  ","")&amp;IF(AND(EDATE($D102,Milestones!$AA$31)&lt;=AsOfDate,EDATE($D102,Milestones!$AA$31)&gt;=SchemeStart,IF($X102=0,$AD102,IF(AND($Z102&lt;&gt;"",EDATE($D102,Milestones!$AA$31)&gt;=$Z102),$AC102,IF(AND($Y102&lt;&gt;"",EDATE($D102,Milestones!$AA$31)&gt;=$Y102),$AB102,$AA102)))=Milestones!$AB$31),UPPER(TEXT(EDATE($D102,Milestones!$AA$31),"dd mmm yy"))&amp;" "&amp;Milestones!$AB$31&amp;" "&amp;IF(AND(Milestones!$AB$31="FT",Milestones!$AA$31=FT_Y5,EDATE($D102,Milestones!$AA$31)&lt;PolicyEff),1,Milestones!$AC$31)&amp;";  ",""))</f>
        <v/>
      </c>
      <c r="J102" s="0" t="str">
        <f aca="false">IF(OR($A102="",$D102=""),"",IF(AND(EDATE($D102,Milestones!$AA$32)&lt;=AsOfDate,EDATE($D102,Milestones!$AA$32)&gt;=SchemeStart,IF($X102=0,$AD102,IF(AND($Z102&lt;&gt;"",EDATE($D102,Milestones!$AA$32)&gt;=$Z102),$AC102,IF(AND($Y102&lt;&gt;"",EDATE($D102,Milestones!$AA$32)&gt;=$Y102),$AB102,$AA102)))=Milestones!$AB$32),UPPER(TEXT(EDATE($D102,Milestones!$AA$32),"dd mmm yy"))&amp;" "&amp;Milestones!$AB$32&amp;" "&amp;IF(AND(Milestones!$AB$32="FT",Milestones!$AA$32=FT_Y5,EDATE($D102,Milestones!$AA$32)&lt;PolicyEff),1,Milestones!$AC$32)&amp;";  ","")&amp;IF(AND(EDATE($D102,Milestones!$AA$33)&lt;=AsOfDate,EDATE($D102,Milestones!$AA$33)&gt;=SchemeStart,IF($X102=0,$AD102,IF(AND($Z102&lt;&gt;"",EDATE($D102,Milestones!$AA$33)&gt;=$Z102),$AC102,IF(AND($Y102&lt;&gt;"",EDATE($D102,Milestones!$AA$33)&gt;=$Y102),$AB102,$AA102)))=Milestones!$AB$33),UPPER(TEXT(EDATE($D102,Milestones!$AA$33),"dd mmm yy"))&amp;" "&amp;Milestones!$AB$33&amp;" "&amp;IF(AND(Milestones!$AB$33="FT",Milestones!$AA$33=FT_Y5,EDATE($D102,Milestones!$AA$33)&lt;PolicyEff),1,Milestones!$AC$33)&amp;";  ","")&amp;IF(AND(EDATE($D102,Milestones!$AA$34)&lt;=AsOfDate,EDATE($D102,Milestones!$AA$34)&gt;=SchemeStart,IF($X102=0,$AD102,IF(AND($Z102&lt;&gt;"",EDATE($D102,Milestones!$AA$34)&gt;=$Z102),$AC102,IF(AND($Y102&lt;&gt;"",EDATE($D102,Milestones!$AA$34)&gt;=$Y102),$AB102,$AA102)))=Milestones!$AB$34),UPPER(TEXT(EDATE($D102,Milestones!$AA$34),"dd mmm yy"))&amp;" "&amp;Milestones!$AB$34&amp;" "&amp;IF(AND(Milestones!$AB$34="FT",Milestones!$AA$34=FT_Y5,EDATE($D102,Milestones!$AA$34)&lt;PolicyEff),1,Milestones!$AC$34)&amp;";  ","")&amp;IF(AND(EDATE($D102,Milestones!$AA$35)&lt;=AsOfDate,EDATE($D102,Milestones!$AA$35)&gt;=SchemeStart,IF($X102=0,$AD102,IF(AND($Z102&lt;&gt;"",EDATE($D102,Milestones!$AA$35)&gt;=$Z102),$AC102,IF(AND($Y102&lt;&gt;"",EDATE($D102,Milestones!$AA$35)&gt;=$Y102),$AB102,$AA102)))=Milestones!$AB$35),UPPER(TEXT(EDATE($D102,Milestones!$AA$35),"dd mmm yy"))&amp;" "&amp;Milestones!$AB$35&amp;" "&amp;IF(AND(Milestones!$AB$35="FT",Milestones!$AA$35=FT_Y5,EDATE($D102,Milestones!$AA$35)&lt;PolicyEff),1,Milestones!$AC$35)&amp;";  ","")&amp;IF(AND(EDATE($D102,Milestones!$AA$36)&lt;=AsOfDate,EDATE($D102,Milestones!$AA$36)&gt;=SchemeStart,IF($X102=0,$AD102,IF(AND($Z102&lt;&gt;"",EDATE($D102,Milestones!$AA$36)&gt;=$Z102),$AC102,IF(AND($Y102&lt;&gt;"",EDATE($D102,Milestones!$AA$36)&gt;=$Y102),$AB102,$AA102)))=Milestones!$AB$36),UPPER(TEXT(EDATE($D102,Milestones!$AA$36),"dd mmm yy"))&amp;" "&amp;Milestones!$AB$36&amp;" "&amp;IF(AND(Milestones!$AB$36="FT",Milestones!$AA$36=FT_Y5,EDATE($D102,Milestones!$AA$36)&lt;PolicyEff),1,Milestones!$AC$36)&amp;";  ","")&amp;IF(AND(EDATE($D102,Milestones!$AA$37)&lt;=AsOfDate,EDATE($D102,Milestones!$AA$37)&gt;=SchemeStart,IF($X102=0,$AD102,IF(AND($Z102&lt;&gt;"",EDATE($D102,Milestones!$AA$37)&gt;=$Z102),$AC102,IF(AND($Y102&lt;&gt;"",EDATE($D102,Milestones!$AA$37)&gt;=$Y102),$AB102,$AA102)))=Milestones!$AB$37),UPPER(TEXT(EDATE($D102,Milestones!$AA$37),"dd mmm yy"))&amp;" "&amp;Milestones!$AB$37&amp;" "&amp;IF(AND(Milestones!$AB$37="FT",Milestones!$AA$37=FT_Y5,EDATE($D102,Milestones!$AA$37)&lt;PolicyEff),1,Milestones!$AC$37)&amp;";  ","")&amp;IF(AND(EDATE($D102,Milestones!$AA$38)&lt;=AsOfDate,EDATE($D102,Milestones!$AA$38)&gt;=SchemeStart,IF($X102=0,$AD102,IF(AND($Z102&lt;&gt;"",EDATE($D102,Milestones!$AA$38)&gt;=$Z102),$AC102,IF(AND($Y102&lt;&gt;"",EDATE($D102,Milestones!$AA$38)&gt;=$Y102),$AB102,$AA102)))=Milestones!$AB$38),UPPER(TEXT(EDATE($D102,Milestones!$AA$38),"dd mmm yy"))&amp;" "&amp;Milestones!$AB$38&amp;" "&amp;IF(AND(Milestones!$AB$38="FT",Milestones!$AA$38=FT_Y5,EDATE($D102,Milestones!$AA$38)&lt;PolicyEff),1,Milestones!$AC$38)&amp;";  ","")&amp;IF(AND(EDATE($D102,Milestones!$AA$39)&lt;=AsOfDate,EDATE($D102,Milestones!$AA$39)&gt;=SchemeStart,IF($X102=0,$AD102,IF(AND($Z102&lt;&gt;"",EDATE($D102,Milestones!$AA$39)&gt;=$Z102),$AC102,IF(AND($Y102&lt;&gt;"",EDATE($D102,Milestones!$AA$39)&gt;=$Y102),$AB102,$AA102)))=Milestones!$AB$39),UPPER(TEXT(EDATE($D102,Milestones!$AA$39),"dd mmm yy"))&amp;" "&amp;Milestones!$AB$39&amp;" "&amp;IF(AND(Milestones!$AB$39="FT",Milestones!$AA$39=FT_Y5,EDATE($D102,Milestones!$AA$39)&lt;PolicyEff),1,Milestones!$AC$39)&amp;";  ","")&amp;IF(AND(EDATE($D102,Milestones!$AA$40)&lt;=AsOfDate,EDATE($D102,Milestones!$AA$40)&gt;=SchemeStart,IF($X102=0,$AD102,IF(AND($Z102&lt;&gt;"",EDATE($D102,Milestones!$AA$40)&gt;=$Z102),$AC102,IF(AND($Y102&lt;&gt;"",EDATE($D102,Milestones!$AA$40)&gt;=$Y102),$AB102,$AA102)))=Milestones!$AB$40),UPPER(TEXT(EDATE($D102,Milestones!$AA$40),"dd mmm yy"))&amp;" "&amp;Milestones!$AB$40&amp;" "&amp;IF(AND(Milestones!$AB$40="FT",Milestones!$AA$40=FT_Y5,EDATE($D102,Milestones!$AA$40)&lt;PolicyEff),1,Milestones!$AC$40)&amp;";  ","")&amp;IF(AND(EDATE($D102,Milestones!$AA$41)&lt;=AsOfDate,EDATE($D102,Milestones!$AA$41)&gt;=SchemeStart,IF($X102=0,$AD102,IF(AND($Z102&lt;&gt;"",EDATE($D102,Milestones!$AA$41)&gt;=$Z102),$AC102,IF(AND($Y102&lt;&gt;"",EDATE($D102,Milestones!$AA$41)&gt;=$Y102),$AB102,$AA102)))=Milestones!$AB$41),UPPER(TEXT(EDATE($D102,Milestones!$AA$41),"dd mmm yy"))&amp;" "&amp;Milestones!$AB$41&amp;" "&amp;IF(AND(Milestones!$AB$41="FT",Milestones!$AA$41=FT_Y5,EDATE($D102,Milestones!$AA$41)&lt;PolicyEff),1,Milestones!$AC$41)&amp;";  ","")&amp;IF(AND(EDATE($D102,Milestones!$AA$42)&lt;=AsOfDate,EDATE($D102,Milestones!$AA$42)&gt;=SchemeStart,IF($X102=0,$AD102,IF(AND($Z102&lt;&gt;"",EDATE($D102,Milestones!$AA$42)&gt;=$Z102),$AC102,IF(AND($Y102&lt;&gt;"",EDATE($D102,Milestones!$AA$42)&gt;=$Y102),$AB102,$AA102)))=Milestones!$AB$42),UPPER(TEXT(EDATE($D102,Milestones!$AA$42),"dd mmm yy"))&amp;" "&amp;Milestones!$AB$42&amp;" "&amp;IF(AND(Milestones!$AB$42="FT",Milestones!$AA$42=FT_Y5,EDATE($D102,Milestones!$AA$42)&lt;PolicyEff),1,Milestones!$AC$42)&amp;";  ","")&amp;IF(AND(EDATE($D102,Milestones!$AA$43)&lt;=AsOfDate,EDATE($D102,Milestones!$AA$43)&gt;=SchemeStart,IF($X102=0,$AD102,IF(AND($Z102&lt;&gt;"",EDATE($D102,Milestones!$AA$43)&gt;=$Z102),$AC102,IF(AND($Y102&lt;&gt;"",EDATE($D102,Milestones!$AA$43)&gt;=$Y102),$AB102,$AA102)))=Milestones!$AB$43),UPPER(TEXT(EDATE($D102,Milestones!$AA$43),"dd mmm yy"))&amp;" "&amp;Milestones!$AB$43&amp;" "&amp;IF(AND(Milestones!$AB$43="FT",Milestones!$AA$43=FT_Y5,EDATE($D102,Milestones!$AA$43)&lt;PolicyEff),1,Milestones!$AC$43)&amp;";  ",""))</f>
        <v/>
      </c>
      <c r="K102" s="0" t="str">
        <f aca="false">IF(OR($A102="",$D102=""),"",IF(AND(EDATE($D102,Milestones!$AA$44)&lt;=AsOfDate,EDATE($D102,Milestones!$AA$44)&gt;=SchemeStart,IF($X102=0,$AD102,IF(AND($Z102&lt;&gt;"",EDATE($D102,Milestones!$AA$44)&gt;=$Z102),$AC102,IF(AND($Y102&lt;&gt;"",EDATE($D102,Milestones!$AA$44)&gt;=$Y102),$AB102,$AA102)))=Milestones!$AB$44),UPPER(TEXT(EDATE($D102,Milestones!$AA$44),"dd mmm yy"))&amp;" "&amp;Milestones!$AB$44&amp;" "&amp;IF(AND(Milestones!$AB$44="FT",Milestones!$AA$44=FT_Y5,EDATE($D102,Milestones!$AA$44)&lt;PolicyEff),1,Milestones!$AC$44)&amp;";  ","")&amp;IF(AND(EDATE($D102,Milestones!$AA$45)&lt;=AsOfDate,EDATE($D102,Milestones!$AA$45)&gt;=SchemeStart,IF($X102=0,$AD102,IF(AND($Z102&lt;&gt;"",EDATE($D102,Milestones!$AA$45)&gt;=$Z102),$AC102,IF(AND($Y102&lt;&gt;"",EDATE($D102,Milestones!$AA$45)&gt;=$Y102),$AB102,$AA102)))=Milestones!$AB$45),UPPER(TEXT(EDATE($D102,Milestones!$AA$45),"dd mmm yy"))&amp;" "&amp;Milestones!$AB$45&amp;" "&amp;IF(AND(Milestones!$AB$45="FT",Milestones!$AA$45=FT_Y5,EDATE($D102,Milestones!$AA$45)&lt;PolicyEff),1,Milestones!$AC$45)&amp;";  ","")&amp;IF(AND(EDATE($D102,Milestones!$AA$46)&lt;=AsOfDate,EDATE($D102,Milestones!$AA$46)&gt;=SchemeStart,IF($X102=0,$AD102,IF(AND($Z102&lt;&gt;"",EDATE($D102,Milestones!$AA$46)&gt;=$Z102),$AC102,IF(AND($Y102&lt;&gt;"",EDATE($D102,Milestones!$AA$46)&gt;=$Y102),$AB102,$AA102)))=Milestones!$AB$46),UPPER(TEXT(EDATE($D102,Milestones!$AA$46),"dd mmm yy"))&amp;" "&amp;Milestones!$AB$46&amp;" "&amp;IF(AND(Milestones!$AB$46="FT",Milestones!$AA$46=FT_Y5,EDATE($D102,Milestones!$AA$46)&lt;PolicyEff),1,Milestones!$AC$46)&amp;";  ","")&amp;IF(AND(EDATE($D102,Milestones!$AA$47)&lt;=AsOfDate,EDATE($D102,Milestones!$AA$47)&gt;=SchemeStart,IF($X102=0,$AD102,IF(AND($Z102&lt;&gt;"",EDATE($D102,Milestones!$AA$47)&gt;=$Z102),$AC102,IF(AND($Y102&lt;&gt;"",EDATE($D102,Milestones!$AA$47)&gt;=$Y102),$AB102,$AA102)))=Milestones!$AB$47),UPPER(TEXT(EDATE($D102,Milestones!$AA$47),"dd mmm yy"))&amp;" "&amp;Milestones!$AB$47&amp;" "&amp;IF(AND(Milestones!$AB$47="FT",Milestones!$AA$47=FT_Y5,EDATE($D102,Milestones!$AA$47)&lt;PolicyEff),1,Milestones!$AC$47)&amp;";  ","")&amp;IF(AND(EDATE($D102,Milestones!$AA$48)&lt;=AsOfDate,EDATE($D102,Milestones!$AA$48)&gt;=SchemeStart,IF($X102=0,$AD102,IF(AND($Z102&lt;&gt;"",EDATE($D102,Milestones!$AA$48)&gt;=$Z102),$AC102,IF(AND($Y102&lt;&gt;"",EDATE($D102,Milestones!$AA$48)&gt;=$Y102),$AB102,$AA102)))=Milestones!$AB$48),UPPER(TEXT(EDATE($D102,Milestones!$AA$48),"dd mmm yy"))&amp;" "&amp;Milestones!$AB$48&amp;" "&amp;IF(AND(Milestones!$AB$48="FT",Milestones!$AA$48=FT_Y5,EDATE($D102,Milestones!$AA$48)&lt;PolicyEff),1,Milestones!$AC$48)&amp;";  ","")&amp;IF(AND(EDATE($D102,Milestones!$AA$49)&lt;=AsOfDate,EDATE($D102,Milestones!$AA$49)&gt;=SchemeStart,IF($X102=0,$AD102,IF(AND($Z102&lt;&gt;"",EDATE($D102,Milestones!$AA$49)&gt;=$Z102),$AC102,IF(AND($Y102&lt;&gt;"",EDATE($D102,Milestones!$AA$49)&gt;=$Y102),$AB102,$AA102)))=Milestones!$AB$49),UPPER(TEXT(EDATE($D102,Milestones!$AA$49),"dd mmm yy"))&amp;" "&amp;Milestones!$AB$49&amp;" "&amp;IF(AND(Milestones!$AB$49="FT",Milestones!$AA$49=FT_Y5,EDATE($D102,Milestones!$AA$49)&lt;PolicyEff),1,Milestones!$AC$49)&amp;";  ","")&amp;IF(AND(EDATE($D102,Milestones!$AA$50)&lt;=AsOfDate,EDATE($D102,Milestones!$AA$50)&gt;=SchemeStart,IF($X102=0,$AD102,IF(AND($Z102&lt;&gt;"",EDATE($D102,Milestones!$AA$50)&gt;=$Z102),$AC102,IF(AND($Y102&lt;&gt;"",EDATE($D102,Milestones!$AA$50)&gt;=$Y102),$AB102,$AA102)))=Milestones!$AB$50),UPPER(TEXT(EDATE($D102,Milestones!$AA$50),"dd mmm yy"))&amp;" "&amp;Milestones!$AB$50&amp;" "&amp;IF(AND(Milestones!$AB$50="FT",Milestones!$AA$50=FT_Y5,EDATE($D102,Milestones!$AA$50)&lt;PolicyEff),1,Milestones!$AC$50)&amp;";  ","")&amp;IF(AND(EDATE($D102,Milestones!$AA$51)&lt;=AsOfDate,EDATE($D102,Milestones!$AA$51)&gt;=SchemeStart,IF($X102=0,$AD102,IF(AND($Z102&lt;&gt;"",EDATE($D102,Milestones!$AA$51)&gt;=$Z102),$AC102,IF(AND($Y102&lt;&gt;"",EDATE($D102,Milestones!$AA$51)&gt;=$Y102),$AB102,$AA102)))=Milestones!$AB$51),UPPER(TEXT(EDATE($D102,Milestones!$AA$51),"dd mmm yy"))&amp;" "&amp;Milestones!$AB$51&amp;" "&amp;IF(AND(Milestones!$AB$51="FT",Milestones!$AA$51=FT_Y5,EDATE($D102,Milestones!$AA$51)&lt;PolicyEff),1,Milestones!$AC$51)&amp;";  ","")&amp;IF(AND(EDATE($D102,Milestones!$AA$52)&lt;=AsOfDate,EDATE($D102,Milestones!$AA$52)&gt;=SchemeStart,IF($X102=0,$AD102,IF(AND($Z102&lt;&gt;"",EDATE($D102,Milestones!$AA$52)&gt;=$Z102),$AC102,IF(AND($Y102&lt;&gt;"",EDATE($D102,Milestones!$AA$52)&gt;=$Y102),$AB102,$AA102)))=Milestones!$AB$52),UPPER(TEXT(EDATE($D102,Milestones!$AA$52),"dd mmm yy"))&amp;" "&amp;Milestones!$AB$52&amp;" "&amp;IF(AND(Milestones!$AB$52="FT",Milestones!$AA$52=FT_Y5,EDATE($D102,Milestones!$AA$52)&lt;PolicyEff),1,Milestones!$AC$52)&amp;";  ","")&amp;IF(AND(EDATE($D102,Milestones!$AA$53)&lt;=AsOfDate,EDATE($D102,Milestones!$AA$53)&gt;=SchemeStart,IF($X102=0,$AD102,IF(AND($Z102&lt;&gt;"",EDATE($D102,Milestones!$AA$53)&gt;=$Z102),$AC102,IF(AND($Y102&lt;&gt;"",EDATE($D102,Milestones!$AA$53)&gt;=$Y102),$AB102,$AA102)))=Milestones!$AB$53),UPPER(TEXT(EDATE($D102,Milestones!$AA$53),"dd mmm yy"))&amp;" "&amp;Milestones!$AB$53&amp;" "&amp;IF(AND(Milestones!$AB$53="FT",Milestones!$AA$53=FT_Y5,EDATE($D102,Milestones!$AA$53)&lt;PolicyEff),1,Milestones!$AC$53)&amp;";  ","")&amp;IF(AND(EDATE($D102,Milestones!$AA$54)&lt;=AsOfDate,EDATE($D102,Milestones!$AA$54)&gt;=SchemeStart,IF($X102=0,$AD102,IF(AND($Z102&lt;&gt;"",EDATE($D102,Milestones!$AA$54)&gt;=$Z102),$AC102,IF(AND($Y102&lt;&gt;"",EDATE($D102,Milestones!$AA$54)&gt;=$Y102),$AB102,$AA102)))=Milestones!$AB$54),UPPER(TEXT(EDATE($D102,Milestones!$AA$54),"dd mmm yy"))&amp;" "&amp;Milestones!$AB$54&amp;" "&amp;IF(AND(Milestones!$AB$54="FT",Milestones!$AA$54=FT_Y5,EDATE($D102,Milestones!$AA$54)&lt;PolicyEff),1,Milestones!$AC$54)&amp;";  ","")&amp;IF(AND(EDATE($D102,Milestones!$AA$55)&lt;=AsOfDate,EDATE($D102,Milestones!$AA$55)&gt;=SchemeStart,IF($X102=0,$AD102,IF(AND($Z102&lt;&gt;"",EDATE($D102,Milestones!$AA$55)&gt;=$Z102),$AC102,IF(AND($Y102&lt;&gt;"",EDATE($D102,Milestones!$AA$55)&gt;=$Y102),$AB102,$AA102)))=Milestones!$AB$55),UPPER(TEXT(EDATE($D102,Milestones!$AA$55),"dd mmm yy"))&amp;" "&amp;Milestones!$AB$55&amp;" "&amp;IF(AND(Milestones!$AB$55="FT",Milestones!$AA$55=FT_Y5,EDATE($D102,Milestones!$AA$55)&lt;PolicyEff),1,Milestones!$AC$55)&amp;";  ",""))</f>
        <v/>
      </c>
      <c r="L102" s="0" t="str">
        <f aca="false">IF(OR($A102="",$D102=""),"",IF(AND(EDATE($D102,Milestones!$AA$56)&lt;=AsOfDate,EDATE($D102,Milestones!$AA$56)&gt;=SchemeStart,IF($X102=0,$AD102,IF(AND($Z102&lt;&gt;"",EDATE($D102,Milestones!$AA$56)&gt;=$Z102),$AC102,IF(AND($Y102&lt;&gt;"",EDATE($D102,Milestones!$AA$56)&gt;=$Y102),$AB102,$AA102)))=Milestones!$AB$56),UPPER(TEXT(EDATE($D102,Milestones!$AA$56),"dd mmm yy"))&amp;" "&amp;Milestones!$AB$56&amp;" "&amp;IF(AND(Milestones!$AB$56="FT",Milestones!$AA$56=FT_Y5,EDATE($D102,Milestones!$AA$56)&lt;PolicyEff),1,Milestones!$AC$56)&amp;";  ","")&amp;IF(AND(EDATE($D102,Milestones!$AA$57)&lt;=AsOfDate,EDATE($D102,Milestones!$AA$57)&gt;=SchemeStart,IF($X102=0,$AD102,IF(AND($Z102&lt;&gt;"",EDATE($D102,Milestones!$AA$57)&gt;=$Z102),$AC102,IF(AND($Y102&lt;&gt;"",EDATE($D102,Milestones!$AA$57)&gt;=$Y102),$AB102,$AA102)))=Milestones!$AB$57),UPPER(TEXT(EDATE($D102,Milestones!$AA$57),"dd mmm yy"))&amp;" "&amp;Milestones!$AB$57&amp;" "&amp;IF(AND(Milestones!$AB$57="FT",Milestones!$AA$57=FT_Y5,EDATE($D102,Milestones!$AA$57)&lt;PolicyEff),1,Milestones!$AC$57)&amp;";  ","")&amp;IF(AND(EDATE($D102,Milestones!$AA$58)&lt;=AsOfDate,EDATE($D102,Milestones!$AA$58)&gt;=SchemeStart,IF($X102=0,$AD102,IF(AND($Z102&lt;&gt;"",EDATE($D102,Milestones!$AA$58)&gt;=$Z102),$AC102,IF(AND($Y102&lt;&gt;"",EDATE($D102,Milestones!$AA$58)&gt;=$Y102),$AB102,$AA102)))=Milestones!$AB$58),UPPER(TEXT(EDATE($D102,Milestones!$AA$58),"dd mmm yy"))&amp;" "&amp;Milestones!$AB$58&amp;" "&amp;IF(AND(Milestones!$AB$58="FT",Milestones!$AA$58=FT_Y5,EDATE($D102,Milestones!$AA$58)&lt;PolicyEff),1,Milestones!$AC$58)&amp;";  ","")&amp;IF(AND(EDATE($D102,Milestones!$AA$59)&lt;=AsOfDate,EDATE($D102,Milestones!$AA$59)&gt;=SchemeStart,IF($X102=0,$AD102,IF(AND($Z102&lt;&gt;"",EDATE($D102,Milestones!$AA$59)&gt;=$Z102),$AC102,IF(AND($Y102&lt;&gt;"",EDATE($D102,Milestones!$AA$59)&gt;=$Y102),$AB102,$AA102)))=Milestones!$AB$59),UPPER(TEXT(EDATE($D102,Milestones!$AA$59),"dd mmm yy"))&amp;" "&amp;Milestones!$AB$59&amp;" "&amp;IF(AND(Milestones!$AB$59="FT",Milestones!$AA$59=FT_Y5,EDATE($D102,Milestones!$AA$59)&lt;PolicyEff),1,Milestones!$AC$59)&amp;";  ","")&amp;IF(AND(EDATE($D102,Milestones!$AA$60)&lt;=AsOfDate,EDATE($D102,Milestones!$AA$60)&gt;=SchemeStart,IF($X102=0,$AD102,IF(AND($Z102&lt;&gt;"",EDATE($D102,Milestones!$AA$60)&gt;=$Z102),$AC102,IF(AND($Y102&lt;&gt;"",EDATE($D102,Milestones!$AA$60)&gt;=$Y102),$AB102,$AA102)))=Milestones!$AB$60),UPPER(TEXT(EDATE($D102,Milestones!$AA$60),"dd mmm yy"))&amp;" "&amp;Milestones!$AB$60&amp;" "&amp;IF(AND(Milestones!$AB$60="FT",Milestones!$AA$60=FT_Y5,EDATE($D102,Milestones!$AA$60)&lt;PolicyEff),1,Milestones!$AC$60)&amp;";  ","")&amp;IF(AND(EDATE($D102,Milestones!$AA$61)&lt;=AsOfDate,EDATE($D102,Milestones!$AA$61)&gt;=SchemeStart,IF($X102=0,$AD102,IF(AND($Z102&lt;&gt;"",EDATE($D102,Milestones!$AA$61)&gt;=$Z102),$AC102,IF(AND($Y102&lt;&gt;"",EDATE($D102,Milestones!$AA$61)&gt;=$Y102),$AB102,$AA102)))=Milestones!$AB$61),UPPER(TEXT(EDATE($D102,Milestones!$AA$61),"dd mmm yy"))&amp;" "&amp;Milestones!$AB$61&amp;" "&amp;IF(AND(Milestones!$AB$61="FT",Milestones!$AA$61=FT_Y5,EDATE($D102,Milestones!$AA$61)&lt;PolicyEff),1,Milestones!$AC$61)&amp;";  ","")&amp;IF(AND(EDATE($D102,Milestones!$AA$62)&lt;=AsOfDate,EDATE($D102,Milestones!$AA$62)&gt;=SchemeStart,IF($X102=0,$AD102,IF(AND($Z102&lt;&gt;"",EDATE($D102,Milestones!$AA$62)&gt;=$Z102),$AC102,IF(AND($Y102&lt;&gt;"",EDATE($D102,Milestones!$AA$62)&gt;=$Y102),$AB102,$AA102)))=Milestones!$AB$62),UPPER(TEXT(EDATE($D102,Milestones!$AA$62),"dd mmm yy"))&amp;" "&amp;Milestones!$AB$62&amp;" "&amp;IF(AND(Milestones!$AB$62="FT",Milestones!$AA$62=FT_Y5,EDATE($D102,Milestones!$AA$62)&lt;PolicyEff),1,Milestones!$AC$62)&amp;";  ","")&amp;IF(AND(EDATE($D102,Milestones!$AA$63)&lt;=AsOfDate,EDATE($D102,Milestones!$AA$63)&gt;=SchemeStart,IF($X102=0,$AD102,IF(AND($Z102&lt;&gt;"",EDATE($D102,Milestones!$AA$63)&gt;=$Z102),$AC102,IF(AND($Y102&lt;&gt;"",EDATE($D102,Milestones!$AA$63)&gt;=$Y102),$AB102,$AA102)))=Milestones!$AB$63),UPPER(TEXT(EDATE($D102,Milestones!$AA$63),"dd mmm yy"))&amp;" "&amp;Milestones!$AB$63&amp;" "&amp;IF(AND(Milestones!$AB$63="FT",Milestones!$AA$63=FT_Y5,EDATE($D102,Milestones!$AA$63)&lt;PolicyEff),1,Milestones!$AC$63)&amp;";  ","")&amp;IF(AND(EDATE($D102,Milestones!$AA$64)&lt;=AsOfDate,EDATE($D102,Milestones!$AA$64)&gt;=SchemeStart,IF($X102=0,$AD102,IF(AND($Z102&lt;&gt;"",EDATE($D102,Milestones!$AA$64)&gt;=$Z102),$AC102,IF(AND($Y102&lt;&gt;"",EDATE($D102,Milestones!$AA$64)&gt;=$Y102),$AB102,$AA102)))=Milestones!$AB$64),UPPER(TEXT(EDATE($D102,Milestones!$AA$64),"dd mmm yy"))&amp;" "&amp;Milestones!$AB$64&amp;" "&amp;IF(AND(Milestones!$AB$64="FT",Milestones!$AA$64=FT_Y5,EDATE($D102,Milestones!$AA$64)&lt;PolicyEff),1,Milestones!$AC$64)&amp;";  ","")&amp;IF(AND(EDATE($D102,Milestones!$AA$65)&lt;=AsOfDate,EDATE($D102,Milestones!$AA$65)&gt;=SchemeStart,IF($X102=0,$AD102,IF(AND($Z102&lt;&gt;"",EDATE($D102,Milestones!$AA$65)&gt;=$Z102),$AC102,IF(AND($Y102&lt;&gt;"",EDATE($D102,Milestones!$AA$65)&gt;=$Y102),$AB102,$AA102)))=Milestones!$AB$65),UPPER(TEXT(EDATE($D102,Milestones!$AA$65),"dd mmm yy"))&amp;" "&amp;Milestones!$AB$65&amp;" "&amp;IF(AND(Milestones!$AB$65="FT",Milestones!$AA$65=FT_Y5,EDATE($D102,Milestones!$AA$65)&lt;PolicyEff),1,Milestones!$AC$65)&amp;";  ","")&amp;IF(AND(EDATE($D102,Milestones!$AA$66)&lt;=AsOfDate,EDATE($D102,Milestones!$AA$66)&gt;=SchemeStart,IF($X102=0,$AD102,IF(AND($Z102&lt;&gt;"",EDATE($D102,Milestones!$AA$66)&gt;=$Z102),$AC102,IF(AND($Y102&lt;&gt;"",EDATE($D102,Milestones!$AA$66)&gt;=$Y102),$AB102,$AA102)))=Milestones!$AB$66),UPPER(TEXT(EDATE($D102,Milestones!$AA$66),"dd mmm yy"))&amp;" "&amp;Milestones!$AB$66&amp;" "&amp;IF(AND(Milestones!$AB$66="FT",Milestones!$AA$66=FT_Y5,EDATE($D102,Milestones!$AA$66)&lt;PolicyEff),1,Milestones!$AC$66)&amp;";  ","")&amp;IF(AND(EDATE($D102,Milestones!$AA$67)&lt;=AsOfDate,EDATE($D102,Milestones!$AA$67)&gt;=SchemeStart,IF($X102=0,$AD102,IF(AND($Z102&lt;&gt;"",EDATE($D102,Milestones!$AA$67)&gt;=$Z102),$AC102,IF(AND($Y102&lt;&gt;"",EDATE($D102,Milestones!$AA$67)&gt;=$Y102),$AB102,$AA102)))=Milestones!$AB$67),UPPER(TEXT(EDATE($D102,Milestones!$AA$67),"dd mmm yy"))&amp;" "&amp;Milestones!$AB$67&amp;" "&amp;IF(AND(Milestones!$AB$67="FT",Milestones!$AA$67=FT_Y5,EDATE($D102,Milestones!$AA$67)&lt;PolicyEff),1,Milestones!$AC$67)&amp;";  ",""))</f>
        <v/>
      </c>
      <c r="M102" s="0" t="str">
        <f aca="false">IF(OR($A102="",$D102=""),"",IF(AND(EDATE($D102,Milestones!$AA$68)&lt;=AsOfDate,EDATE($D102,Milestones!$AA$68)&gt;=SchemeStart,IF($X102=0,$AD102,IF(AND($Z102&lt;&gt;"",EDATE($D102,Milestones!$AA$68)&gt;=$Z102),$AC102,IF(AND($Y102&lt;&gt;"",EDATE($D102,Milestones!$AA$68)&gt;=$Y102),$AB102,$AA102)))=Milestones!$AB$68),UPPER(TEXT(EDATE($D102,Milestones!$AA$68),"dd mmm yy"))&amp;" "&amp;Milestones!$AB$68&amp;" "&amp;IF(AND(Milestones!$AB$68="FT",Milestones!$AA$68=FT_Y5,EDATE($D102,Milestones!$AA$68)&lt;PolicyEff),1,Milestones!$AC$68)&amp;";  ","")&amp;IF(AND(EDATE($D102,Milestones!$AA$69)&lt;=AsOfDate,EDATE($D102,Milestones!$AA$69)&gt;=SchemeStart,IF($X102=0,$AD102,IF(AND($Z102&lt;&gt;"",EDATE($D102,Milestones!$AA$69)&gt;=$Z102),$AC102,IF(AND($Y102&lt;&gt;"",EDATE($D102,Milestones!$AA$69)&gt;=$Y102),$AB102,$AA102)))=Milestones!$AB$69),UPPER(TEXT(EDATE($D102,Milestones!$AA$69),"dd mmm yy"))&amp;" "&amp;Milestones!$AB$69&amp;" "&amp;IF(AND(Milestones!$AB$69="FT",Milestones!$AA$69=FT_Y5,EDATE($D102,Milestones!$AA$69)&lt;PolicyEff),1,Milestones!$AC$69)&amp;";  ","")&amp;IF(AND(EDATE($D102,Milestones!$AA$70)&lt;=AsOfDate,EDATE($D102,Milestones!$AA$70)&gt;=SchemeStart,IF($X102=0,$AD102,IF(AND($Z102&lt;&gt;"",EDATE($D102,Milestones!$AA$70)&gt;=$Z102),$AC102,IF(AND($Y102&lt;&gt;"",EDATE($D102,Milestones!$AA$70)&gt;=$Y102),$AB102,$AA102)))=Milestones!$AB$70),UPPER(TEXT(EDATE($D102,Milestones!$AA$70),"dd mmm yy"))&amp;" "&amp;Milestones!$AB$70&amp;" "&amp;IF(AND(Milestones!$AB$70="FT",Milestones!$AA$70=FT_Y5,EDATE($D102,Milestones!$AA$70)&lt;PolicyEff),1,Milestones!$AC$70)&amp;";  ","")&amp;IF(AND(EDATE($D102,Milestones!$AA$71)&lt;=AsOfDate,EDATE($D102,Milestones!$AA$71)&gt;=SchemeStart,IF($X102=0,$AD102,IF(AND($Z102&lt;&gt;"",EDATE($D102,Milestones!$AA$71)&gt;=$Z102),$AC102,IF(AND($Y102&lt;&gt;"",EDATE($D102,Milestones!$AA$71)&gt;=$Y102),$AB102,$AA102)))=Milestones!$AB$71),UPPER(TEXT(EDATE($D102,Milestones!$AA$71),"dd mmm yy"))&amp;" "&amp;Milestones!$AB$71&amp;" "&amp;IF(AND(Milestones!$AB$71="FT",Milestones!$AA$71=FT_Y5,EDATE($D102,Milestones!$AA$71)&lt;PolicyEff),1,Milestones!$AC$71)&amp;";  ","")&amp;IF(AND(EDATE($D102,Milestones!$AA$72)&lt;=AsOfDate,EDATE($D102,Milestones!$AA$72)&gt;=SchemeStart,IF($X102=0,$AD102,IF(AND($Z102&lt;&gt;"",EDATE($D102,Milestones!$AA$72)&gt;=$Z102),$AC102,IF(AND($Y102&lt;&gt;"",EDATE($D102,Milestones!$AA$72)&gt;=$Y102),$AB102,$AA102)))=Milestones!$AB$72),UPPER(TEXT(EDATE($D102,Milestones!$AA$72),"dd mmm yy"))&amp;" "&amp;Milestones!$AB$72&amp;" "&amp;IF(AND(Milestones!$AB$72="FT",Milestones!$AA$72=FT_Y5,EDATE($D102,Milestones!$AA$72)&lt;PolicyEff),1,Milestones!$AC$72)&amp;";  ","")&amp;IF(AND(EDATE($D102,Milestones!$AA$73)&lt;=AsOfDate,EDATE($D102,Milestones!$AA$73)&gt;=SchemeStart,IF($X102=0,$AD102,IF(AND($Z102&lt;&gt;"",EDATE($D102,Milestones!$AA$73)&gt;=$Z102),$AC102,IF(AND($Y102&lt;&gt;"",EDATE($D102,Milestones!$AA$73)&gt;=$Y102),$AB102,$AA102)))=Milestones!$AB$73),UPPER(TEXT(EDATE($D102,Milestones!$AA$73),"dd mmm yy"))&amp;" "&amp;Milestones!$AB$73&amp;" "&amp;IF(AND(Milestones!$AB$73="FT",Milestones!$AA$73=FT_Y5,EDATE($D102,Milestones!$AA$73)&lt;PolicyEff),1,Milestones!$AC$73)&amp;";  ","")&amp;IF(AND(EDATE($D102,Milestones!$AA$74)&lt;=AsOfDate,EDATE($D102,Milestones!$AA$74)&gt;=SchemeStart,IF($X102=0,$AD102,IF(AND($Z102&lt;&gt;"",EDATE($D102,Milestones!$AA$74)&gt;=$Z102),$AC102,IF(AND($Y102&lt;&gt;"",EDATE($D102,Milestones!$AA$74)&gt;=$Y102),$AB102,$AA102)))=Milestones!$AB$74),UPPER(TEXT(EDATE($D102,Milestones!$AA$74),"dd mmm yy"))&amp;" "&amp;Milestones!$AB$74&amp;" "&amp;IF(AND(Milestones!$AB$74="FT",Milestones!$AA$74=FT_Y5,EDATE($D102,Milestones!$AA$74)&lt;PolicyEff),1,Milestones!$AC$74)&amp;";  ","")&amp;IF(AND(EDATE($D102,Milestones!$AA$75)&lt;=AsOfDate,EDATE($D102,Milestones!$AA$75)&gt;=SchemeStart,IF($X102=0,$AD102,IF(AND($Z102&lt;&gt;"",EDATE($D102,Milestones!$AA$75)&gt;=$Z102),$AC102,IF(AND($Y102&lt;&gt;"",EDATE($D102,Milestones!$AA$75)&gt;=$Y102),$AB102,$AA102)))=Milestones!$AB$75),UPPER(TEXT(EDATE($D102,Milestones!$AA$75),"dd mmm yy"))&amp;" "&amp;Milestones!$AB$75&amp;" "&amp;IF(AND(Milestones!$AB$75="FT",Milestones!$AA$75=FT_Y5,EDATE($D102,Milestones!$AA$75)&lt;PolicyEff),1,Milestones!$AC$75)&amp;";  ","")&amp;IF(AND(EDATE($D102,Milestones!$AA$76)&lt;=AsOfDate,EDATE($D102,Milestones!$AA$76)&gt;=SchemeStart,IF($X102=0,$AD102,IF(AND($Z102&lt;&gt;"",EDATE($D102,Milestones!$AA$76)&gt;=$Z102),$AC102,IF(AND($Y102&lt;&gt;"",EDATE($D102,Milestones!$AA$76)&gt;=$Y102),$AB102,$AA102)))=Milestones!$AB$76),UPPER(TEXT(EDATE($D102,Milestones!$AA$76),"dd mmm yy"))&amp;" "&amp;Milestones!$AB$76&amp;" "&amp;IF(AND(Milestones!$AB$76="FT",Milestones!$AA$76=FT_Y5,EDATE($D102,Milestones!$AA$76)&lt;PolicyEff),1,Milestones!$AC$76)&amp;";  ","")&amp;IF(AND(EDATE($D102,Milestones!$AA$77)&lt;=AsOfDate,EDATE($D102,Milestones!$AA$77)&gt;=SchemeStart,IF($X102=0,$AD102,IF(AND($Z102&lt;&gt;"",EDATE($D102,Milestones!$AA$77)&gt;=$Z102),$AC102,IF(AND($Y102&lt;&gt;"",EDATE($D102,Milestones!$AA$77)&gt;=$Y102),$AB102,$AA102)))=Milestones!$AB$77),UPPER(TEXT(EDATE($D102,Milestones!$AA$77),"dd mmm yy"))&amp;" "&amp;Milestones!$AB$77&amp;" "&amp;IF(AND(Milestones!$AB$77="FT",Milestones!$AA$77=FT_Y5,EDATE($D102,Milestones!$AA$77)&lt;PolicyEff),1,Milestones!$AC$77)&amp;";  ","")&amp;IF(AND(EDATE($D102,Milestones!$AA$78)&lt;=AsOfDate,EDATE($D102,Milestones!$AA$78)&gt;=SchemeStart,IF($X102=0,$AD102,IF(AND($Z102&lt;&gt;"",EDATE($D102,Milestones!$AA$78)&gt;=$Z102),$AC102,IF(AND($Y102&lt;&gt;"",EDATE($D102,Milestones!$AA$78)&gt;=$Y102),$AB102,$AA102)))=Milestones!$AB$78),UPPER(TEXT(EDATE($D102,Milestones!$AA$78),"dd mmm yy"))&amp;" "&amp;Milestones!$AB$78&amp;" "&amp;IF(AND(Milestones!$AB$78="FT",Milestones!$AA$78=FT_Y5,EDATE($D102,Milestones!$AA$78)&lt;PolicyEff),1,Milestones!$AC$78)&amp;";  ","")&amp;IF(AND(EDATE($D102,Milestones!$AA$79)&lt;=AsOfDate,EDATE($D102,Milestones!$AA$79)&gt;=SchemeStart,IF($X102=0,$AD102,IF(AND($Z102&lt;&gt;"",EDATE($D102,Milestones!$AA$79)&gt;=$Z102),$AC102,IF(AND($Y102&lt;&gt;"",EDATE($D102,Milestones!$AA$79)&gt;=$Y102),$AB102,$AA102)))=Milestones!$AB$79),UPPER(TEXT(EDATE($D102,Milestones!$AA$79),"dd mmm yy"))&amp;" "&amp;Milestones!$AB$79&amp;" "&amp;IF(AND(Milestones!$AB$79="FT",Milestones!$AA$79=FT_Y5,EDATE($D102,Milestones!$AA$79)&lt;PolicyEff),1,Milestones!$AC$79)&amp;";  ",""))</f>
        <v/>
      </c>
      <c r="N102" s="0" t="str">
        <f aca="false">IF(OR($A102="",$D102=""),"",IF(AND(EDATE($D102,Milestones!$AA$80)&lt;=AsOfDate,EDATE($D102,Milestones!$AA$80)&gt;=SchemeStart,IF($X102=0,$AD102,IF(AND($Z102&lt;&gt;"",EDATE($D102,Milestones!$AA$80)&gt;=$Z102),$AC102,IF(AND($Y102&lt;&gt;"",EDATE($D102,Milestones!$AA$80)&gt;=$Y102),$AB102,$AA102)))=Milestones!$AB$80),UPPER(TEXT(EDATE($D102,Milestones!$AA$80),"dd mmm yy"))&amp;" "&amp;Milestones!$AB$80&amp;" "&amp;IF(AND(Milestones!$AB$80="FT",Milestones!$AA$80=FT_Y5,EDATE($D102,Milestones!$AA$80)&lt;PolicyEff),1,Milestones!$AC$80)&amp;";  ","")&amp;IF(AND(EDATE($D102,Milestones!$AA$81)&lt;=AsOfDate,EDATE($D102,Milestones!$AA$81)&gt;=SchemeStart,IF($X102=0,$AD102,IF(AND($Z102&lt;&gt;"",EDATE($D102,Milestones!$AA$81)&gt;=$Z102),$AC102,IF(AND($Y102&lt;&gt;"",EDATE($D102,Milestones!$AA$81)&gt;=$Y102),$AB102,$AA102)))=Milestones!$AB$81),UPPER(TEXT(EDATE($D102,Milestones!$AA$81),"dd mmm yy"))&amp;" "&amp;Milestones!$AB$81&amp;" "&amp;IF(AND(Milestones!$AB$81="FT",Milestones!$AA$81=FT_Y5,EDATE($D102,Milestones!$AA$81)&lt;PolicyEff),1,Milestones!$AC$81)&amp;";  ","")&amp;IF(AND(EDATE($D102,Milestones!$AA$82)&lt;=AsOfDate,EDATE($D102,Milestones!$AA$82)&gt;=SchemeStart,IF($X102=0,$AD102,IF(AND($Z102&lt;&gt;"",EDATE($D102,Milestones!$AA$82)&gt;=$Z102),$AC102,IF(AND($Y102&lt;&gt;"",EDATE($D102,Milestones!$AA$82)&gt;=$Y102),$AB102,$AA102)))=Milestones!$AB$82),UPPER(TEXT(EDATE($D102,Milestones!$AA$82),"dd mmm yy"))&amp;" "&amp;Milestones!$AB$82&amp;" "&amp;IF(AND(Milestones!$AB$82="FT",Milestones!$AA$82=FT_Y5,EDATE($D102,Milestones!$AA$82)&lt;PolicyEff),1,Milestones!$AC$82)&amp;";  ","")&amp;IF(AND(EDATE($D102,Milestones!$AA$83)&lt;=AsOfDate,EDATE($D102,Milestones!$AA$83)&gt;=SchemeStart,IF($X102=0,$AD102,IF(AND($Z102&lt;&gt;"",EDATE($D102,Milestones!$AA$83)&gt;=$Z102),$AC102,IF(AND($Y102&lt;&gt;"",EDATE($D102,Milestones!$AA$83)&gt;=$Y102),$AB102,$AA102)))=Milestones!$AB$83),UPPER(TEXT(EDATE($D102,Milestones!$AA$83),"dd mmm yy"))&amp;" "&amp;Milestones!$AB$83&amp;" "&amp;IF(AND(Milestones!$AB$83="FT",Milestones!$AA$83=FT_Y5,EDATE($D102,Milestones!$AA$83)&lt;PolicyEff),1,Milestones!$AC$83)&amp;";  ","")&amp;IF(AND(EDATE($D102,Milestones!$AA$84)&lt;=AsOfDate,EDATE($D102,Milestones!$AA$84)&gt;=SchemeStart,IF($X102=0,$AD102,IF(AND($Z102&lt;&gt;"",EDATE($D102,Milestones!$AA$84)&gt;=$Z102),$AC102,IF(AND($Y102&lt;&gt;"",EDATE($D102,Milestones!$AA$84)&gt;=$Y102),$AB102,$AA102)))=Milestones!$AB$84),UPPER(TEXT(EDATE($D102,Milestones!$AA$84),"dd mmm yy"))&amp;" "&amp;Milestones!$AB$84&amp;" "&amp;IF(AND(Milestones!$AB$84="FT",Milestones!$AA$84=FT_Y5,EDATE($D102,Milestones!$AA$84)&lt;PolicyEff),1,Milestones!$AC$84)&amp;";  ","")&amp;IF(AND(EDATE($D102,Milestones!$AA$85)&lt;=AsOfDate,EDATE($D102,Milestones!$AA$85)&gt;=SchemeStart,IF($X102=0,$AD102,IF(AND($Z102&lt;&gt;"",EDATE($D102,Milestones!$AA$85)&gt;=$Z102),$AC102,IF(AND($Y102&lt;&gt;"",EDATE($D102,Milestones!$AA$85)&gt;=$Y102),$AB102,$AA102)))=Milestones!$AB$85),UPPER(TEXT(EDATE($D102,Milestones!$AA$85),"dd mmm yy"))&amp;" "&amp;Milestones!$AB$85&amp;" "&amp;IF(AND(Milestones!$AB$85="FT",Milestones!$AA$85=FT_Y5,EDATE($D102,Milestones!$AA$85)&lt;PolicyEff),1,Milestones!$AC$85)&amp;";  ","")&amp;IF(AND(EDATE($D102,Milestones!$AA$86)&lt;=AsOfDate,EDATE($D102,Milestones!$AA$86)&gt;=SchemeStart,IF($X102=0,$AD102,IF(AND($Z102&lt;&gt;"",EDATE($D102,Milestones!$AA$86)&gt;=$Z102),$AC102,IF(AND($Y102&lt;&gt;"",EDATE($D102,Milestones!$AA$86)&gt;=$Y102),$AB102,$AA102)))=Milestones!$AB$86),UPPER(TEXT(EDATE($D102,Milestones!$AA$86),"dd mmm yy"))&amp;" "&amp;Milestones!$AB$86&amp;" "&amp;IF(AND(Milestones!$AB$86="FT",Milestones!$AA$86=FT_Y5,EDATE($D102,Milestones!$AA$86)&lt;PolicyEff),1,Milestones!$AC$86)&amp;";  ","")&amp;IF(AND(EDATE($D102,Milestones!$AA$87)&lt;=AsOfDate,EDATE($D102,Milestones!$AA$87)&gt;=SchemeStart,IF($X102=0,$AD102,IF(AND($Z102&lt;&gt;"",EDATE($D102,Milestones!$AA$87)&gt;=$Z102),$AC102,IF(AND($Y102&lt;&gt;"",EDATE($D102,Milestones!$AA$87)&gt;=$Y102),$AB102,$AA102)))=Milestones!$AB$87),UPPER(TEXT(EDATE($D102,Milestones!$AA$87),"dd mmm yy"))&amp;" "&amp;Milestones!$AB$87&amp;" "&amp;IF(AND(Milestones!$AB$87="FT",Milestones!$AA$87=FT_Y5,EDATE($D102,Milestones!$AA$87)&lt;PolicyEff),1,Milestones!$AC$87)&amp;";  ","")&amp;IF(AND(EDATE($D102,Milestones!$AA$88)&lt;=AsOfDate,EDATE($D102,Milestones!$AA$88)&gt;=SchemeStart,IF($X102=0,$AD102,IF(AND($Z102&lt;&gt;"",EDATE($D102,Milestones!$AA$88)&gt;=$Z102),$AC102,IF(AND($Y102&lt;&gt;"",EDATE($D102,Milestones!$AA$88)&gt;=$Y102),$AB102,$AA102)))=Milestones!$AB$88),UPPER(TEXT(EDATE($D102,Milestones!$AA$88),"dd mmm yy"))&amp;" "&amp;Milestones!$AB$88&amp;" "&amp;IF(AND(Milestones!$AB$88="FT",Milestones!$AA$88=FT_Y5,EDATE($D102,Milestones!$AA$88)&lt;PolicyEff),1,Milestones!$AC$88)&amp;";  ","")&amp;IF(AND(EDATE($D102,Milestones!$AA$89)&lt;=AsOfDate,EDATE($D102,Milestones!$AA$89)&gt;=SchemeStart,IF($X102=0,$AD102,IF(AND($Z102&lt;&gt;"",EDATE($D102,Milestones!$AA$89)&gt;=$Z102),$AC102,IF(AND($Y102&lt;&gt;"",EDATE($D102,Milestones!$AA$89)&gt;=$Y102),$AB102,$AA102)))=Milestones!$AB$89),UPPER(TEXT(EDATE($D102,Milestones!$AA$89),"dd mmm yy"))&amp;" "&amp;Milestones!$AB$89&amp;" "&amp;IF(AND(Milestones!$AB$89="FT",Milestones!$AA$89=FT_Y5,EDATE($D102,Milestones!$AA$89)&lt;PolicyEff),1,Milestones!$AC$89)&amp;";  ","")&amp;IF(AND(EDATE($D102,Milestones!$AA$90)&lt;=AsOfDate,EDATE($D102,Milestones!$AA$90)&gt;=SchemeStart,IF($X102=0,$AD102,IF(AND($Z102&lt;&gt;"",EDATE($D102,Milestones!$AA$90)&gt;=$Z102),$AC102,IF(AND($Y102&lt;&gt;"",EDATE($D102,Milestones!$AA$90)&gt;=$Y102),$AB102,$AA102)))=Milestones!$AB$90),UPPER(TEXT(EDATE($D102,Milestones!$AA$90),"dd mmm yy"))&amp;" "&amp;Milestones!$AB$90&amp;" "&amp;IF(AND(Milestones!$AB$90="FT",Milestones!$AA$90=FT_Y5,EDATE($D102,Milestones!$AA$90)&lt;PolicyEff),1,Milestones!$AC$90)&amp;";  ","")&amp;IF(AND(EDATE($D102,Milestones!$AA$91)&lt;=AsOfDate,EDATE($D102,Milestones!$AA$91)&gt;=SchemeStart,IF($X102=0,$AD102,IF(AND($Z102&lt;&gt;"",EDATE($D102,Milestones!$AA$91)&gt;=$Z102),$AC102,IF(AND($Y102&lt;&gt;"",EDATE($D102,Milestones!$AA$91)&gt;=$Y102),$AB102,$AA102)))=Milestones!$AB$91),UPPER(TEXT(EDATE($D102,Milestones!$AA$91),"dd mmm yy"))&amp;" "&amp;Milestones!$AB$91&amp;" "&amp;IF(AND(Milestones!$AB$91="FT",Milestones!$AA$91=FT_Y5,EDATE($D102,Milestones!$AA$91)&lt;PolicyEff),1,Milestones!$AC$91)&amp;";  ",""))</f>
        <v/>
      </c>
      <c r="O102" s="0" t="str">
        <f aca="false">IF(OR($A102="",$D102=""),"",IF(AND(EDATE($D102,Milestones!$AA$92)&lt;=AsOfDate,EDATE($D102,Milestones!$AA$92)&gt;=SchemeStart,IF($X102=0,$AD102,IF(AND($Z102&lt;&gt;"",EDATE($D102,Milestones!$AA$92)&gt;=$Z102),$AC102,IF(AND($Y102&lt;&gt;"",EDATE($D102,Milestones!$AA$92)&gt;=$Y102),$AB102,$AA102)))=Milestones!$AB$92),UPPER(TEXT(EDATE($D102,Milestones!$AA$92),"dd mmm yy"))&amp;" "&amp;Milestones!$AB$92&amp;" "&amp;IF(AND(Milestones!$AB$92="FT",Milestones!$AA$92=FT_Y5,EDATE($D102,Milestones!$AA$92)&lt;PolicyEff),1,Milestones!$AC$92)&amp;";  ","")&amp;IF(AND(EDATE($D102,Milestones!$AA$93)&lt;=AsOfDate,EDATE($D102,Milestones!$AA$93)&gt;=SchemeStart,IF($X102=0,$AD102,IF(AND($Z102&lt;&gt;"",EDATE($D102,Milestones!$AA$93)&gt;=$Z102),$AC102,IF(AND($Y102&lt;&gt;"",EDATE($D102,Milestones!$AA$93)&gt;=$Y102),$AB102,$AA102)))=Milestones!$AB$93),UPPER(TEXT(EDATE($D102,Milestones!$AA$93),"dd mmm yy"))&amp;" "&amp;Milestones!$AB$93&amp;" "&amp;IF(AND(Milestones!$AB$93="FT",Milestones!$AA$93=FT_Y5,EDATE($D102,Milestones!$AA$93)&lt;PolicyEff),1,Milestones!$AC$93)&amp;";  ","")&amp;IF(AND(EDATE($D102,Milestones!$AA$94)&lt;=AsOfDate,EDATE($D102,Milestones!$AA$94)&gt;=SchemeStart,IF($X102=0,$AD102,IF(AND($Z102&lt;&gt;"",EDATE($D102,Milestones!$AA$94)&gt;=$Z102),$AC102,IF(AND($Y102&lt;&gt;"",EDATE($D102,Milestones!$AA$94)&gt;=$Y102),$AB102,$AA102)))=Milestones!$AB$94),UPPER(TEXT(EDATE($D102,Milestones!$AA$94),"dd mmm yy"))&amp;" "&amp;Milestones!$AB$94&amp;" "&amp;IF(AND(Milestones!$AB$94="FT",Milestones!$AA$94=FT_Y5,EDATE($D102,Milestones!$AA$94)&lt;PolicyEff),1,Milestones!$AC$94)&amp;";  ","")&amp;IF(AND(EDATE($D102,Milestones!$AA$95)&lt;=AsOfDate,EDATE($D102,Milestones!$AA$95)&gt;=SchemeStart,IF($X102=0,$AD102,IF(AND($Z102&lt;&gt;"",EDATE($D102,Milestones!$AA$95)&gt;=$Z102),$AC102,IF(AND($Y102&lt;&gt;"",EDATE($D102,Milestones!$AA$95)&gt;=$Y102),$AB102,$AA102)))=Milestones!$AB$95),UPPER(TEXT(EDATE($D102,Milestones!$AA$95),"dd mmm yy"))&amp;" "&amp;Milestones!$AB$95&amp;" "&amp;IF(AND(Milestones!$AB$95="FT",Milestones!$AA$95=FT_Y5,EDATE($D102,Milestones!$AA$95)&lt;PolicyEff),1,Milestones!$AC$95)&amp;";  ","")&amp;IF(AND(EDATE($D102,Milestones!$AA$96)&lt;=AsOfDate,EDATE($D102,Milestones!$AA$96)&gt;=SchemeStart,IF($X102=0,$AD102,IF(AND($Z102&lt;&gt;"",EDATE($D102,Milestones!$AA$96)&gt;=$Z102),$AC102,IF(AND($Y102&lt;&gt;"",EDATE($D102,Milestones!$AA$96)&gt;=$Y102),$AB102,$AA102)))=Milestones!$AB$96),UPPER(TEXT(EDATE($D102,Milestones!$AA$96),"dd mmm yy"))&amp;" "&amp;Milestones!$AB$96&amp;" "&amp;IF(AND(Milestones!$AB$96="FT",Milestones!$AA$96=FT_Y5,EDATE($D102,Milestones!$AA$96)&lt;PolicyEff),1,Milestones!$AC$96)&amp;";  ","")&amp;IF(AND(EDATE($D102,Milestones!$AA$97)&lt;=AsOfDate,EDATE($D102,Milestones!$AA$97)&gt;=SchemeStart,IF($X102=0,$AD102,IF(AND($Z102&lt;&gt;"",EDATE($D102,Milestones!$AA$97)&gt;=$Z102),$AC102,IF(AND($Y102&lt;&gt;"",EDATE($D102,Milestones!$AA$97)&gt;=$Y102),$AB102,$AA102)))=Milestones!$AB$97),UPPER(TEXT(EDATE($D102,Milestones!$AA$97),"dd mmm yy"))&amp;" "&amp;Milestones!$AB$97&amp;" "&amp;IF(AND(Milestones!$AB$97="FT",Milestones!$AA$97=FT_Y5,EDATE($D102,Milestones!$AA$97)&lt;PolicyEff),1,Milestones!$AC$97)&amp;";  ","")&amp;IF(AND(EDATE($D102,Milestones!$AA$98)&lt;=AsOfDate,EDATE($D102,Milestones!$AA$98)&gt;=SchemeStart,IF($X102=0,$AD102,IF(AND($Z102&lt;&gt;"",EDATE($D102,Milestones!$AA$98)&gt;=$Z102),$AC102,IF(AND($Y102&lt;&gt;"",EDATE($D102,Milestones!$AA$98)&gt;=$Y102),$AB102,$AA102)))=Milestones!$AB$98),UPPER(TEXT(EDATE($D102,Milestones!$AA$98),"dd mmm yy"))&amp;" "&amp;Milestones!$AB$98&amp;" "&amp;IF(AND(Milestones!$AB$98="FT",Milestones!$AA$98=FT_Y5,EDATE($D102,Milestones!$AA$98)&lt;PolicyEff),1,Milestones!$AC$98)&amp;";  ","")&amp;IF(AND(EDATE($D102,Milestones!$AA$99)&lt;=AsOfDate,EDATE($D102,Milestones!$AA$99)&gt;=SchemeStart,IF($X102=0,$AD102,IF(AND($Z102&lt;&gt;"",EDATE($D102,Milestones!$AA$99)&gt;=$Z102),$AC102,IF(AND($Y102&lt;&gt;"",EDATE($D102,Milestones!$AA$99)&gt;=$Y102),$AB102,$AA102)))=Milestones!$AB$99),UPPER(TEXT(EDATE($D102,Milestones!$AA$99),"dd mmm yy"))&amp;" "&amp;Milestones!$AB$99&amp;" "&amp;IF(AND(Milestones!$AB$99="FT",Milestones!$AA$99=FT_Y5,EDATE($D102,Milestones!$AA$99)&lt;PolicyEff),1,Milestones!$AC$99)&amp;";  ","")&amp;IF(AND(EDATE($D102,Milestones!$AA$100)&lt;=AsOfDate,EDATE($D102,Milestones!$AA$100)&gt;=SchemeStart,IF($X102=0,$AD102,IF(AND($Z102&lt;&gt;"",EDATE($D102,Milestones!$AA$100)&gt;=$Z102),$AC102,IF(AND($Y102&lt;&gt;"",EDATE($D102,Milestones!$AA$100)&gt;=$Y102),$AB102,$AA102)))=Milestones!$AB$100),UPPER(TEXT(EDATE($D102,Milestones!$AA$100),"dd mmm yy"))&amp;" "&amp;Milestones!$AB$100&amp;" "&amp;IF(AND(Milestones!$AB$100="FT",Milestones!$AA$100=FT_Y5,EDATE($D102,Milestones!$AA$100)&lt;PolicyEff),1,Milestones!$AC$100)&amp;";  ","")&amp;IF(AND(EDATE($D102,Milestones!$AA$101)&lt;=AsOfDate,EDATE($D102,Milestones!$AA$101)&gt;=SchemeStart,IF($X102=0,$AD102,IF(AND($Z102&lt;&gt;"",EDATE($D102,Milestones!$AA$101)&gt;=$Z102),$AC102,IF(AND($Y102&lt;&gt;"",EDATE($D102,Milestones!$AA$101)&gt;=$Y102),$AB102,$AA102)))=Milestones!$AB$101),UPPER(TEXT(EDATE($D102,Milestones!$AA$101),"dd mmm yy"))&amp;" "&amp;Milestones!$AB$101&amp;" "&amp;IF(AND(Milestones!$AB$101="FT",Milestones!$AA$101=FT_Y5,EDATE($D102,Milestones!$AA$101)&lt;PolicyEff),1,Milestones!$AC$101)&amp;";  ","")&amp;IF(AND(EDATE($D102,Milestones!$AA$102)&lt;=AsOfDate,EDATE($D102,Milestones!$AA$102)&gt;=SchemeStart,IF($X102=0,$AD102,IF(AND($Z102&lt;&gt;"",EDATE($D102,Milestones!$AA$102)&gt;=$Z102),$AC102,IF(AND($Y102&lt;&gt;"",EDATE($D102,Milestones!$AA$102)&gt;=$Y102),$AB102,$AA102)))=Milestones!$AB$102),UPPER(TEXT(EDATE($D102,Milestones!$AA$102),"dd mmm yy"))&amp;" "&amp;Milestones!$AB$102&amp;" "&amp;IF(AND(Milestones!$AB$102="FT",Milestones!$AA$102=FT_Y5,EDATE($D102,Milestones!$AA$102)&lt;PolicyEff),1,Milestones!$AC$102)&amp;";  ","")&amp;IF(AND(EDATE($D102,Milestones!$AA$103)&lt;=AsOfDate,EDATE($D102,Milestones!$AA$103)&gt;=SchemeStart,IF($X102=0,$AD102,IF(AND($Z102&lt;&gt;"",EDATE($D102,Milestones!$AA$103)&gt;=$Z102),$AC102,IF(AND($Y102&lt;&gt;"",EDATE($D102,Milestones!$AA$103)&gt;=$Y102),$AB102,$AA102)))=Milestones!$AB$103),UPPER(TEXT(EDATE($D102,Milestones!$AA$103),"dd mmm yy"))&amp;" "&amp;Milestones!$AB$103&amp;" "&amp;IF(AND(Milestones!$AB$103="FT",Milestones!$AA$103=FT_Y5,EDATE($D102,Milestones!$AA$103)&lt;PolicyEff),1,Milestones!$AC$103)&amp;";  ",""))</f>
        <v/>
      </c>
      <c r="P102" s="0" t="str">
        <f aca="false">IF(OR($A102="",$D102=""),"",IF(AND(EDATE($D102,Milestones!$AA$104)&lt;=AsOfDate,EDATE($D102,Milestones!$AA$104)&gt;=SchemeStart,IF($X102=0,$AD102,IF(AND($Z102&lt;&gt;"",EDATE($D102,Milestones!$AA$104)&gt;=$Z102),$AC102,IF(AND($Y102&lt;&gt;"",EDATE($D102,Milestones!$AA$104)&gt;=$Y102),$AB102,$AA102)))=Milestones!$AB$104),UPPER(TEXT(EDATE($D102,Milestones!$AA$104),"dd mmm yy"))&amp;" "&amp;Milestones!$AB$104&amp;" "&amp;IF(AND(Milestones!$AB$104="FT",Milestones!$AA$104=FT_Y5,EDATE($D102,Milestones!$AA$104)&lt;PolicyEff),1,Milestones!$AC$104)&amp;";  ","")&amp;IF(AND(EDATE($D102,Milestones!$AA$105)&lt;=AsOfDate,EDATE($D102,Milestones!$AA$105)&gt;=SchemeStart,IF($X102=0,$AD102,IF(AND($Z102&lt;&gt;"",EDATE($D102,Milestones!$AA$105)&gt;=$Z102),$AC102,IF(AND($Y102&lt;&gt;"",EDATE($D102,Milestones!$AA$105)&gt;=$Y102),$AB102,$AA102)))=Milestones!$AB$105),UPPER(TEXT(EDATE($D102,Milestones!$AA$105),"dd mmm yy"))&amp;" "&amp;Milestones!$AB$105&amp;" "&amp;IF(AND(Milestones!$AB$105="FT",Milestones!$AA$105=FT_Y5,EDATE($D102,Milestones!$AA$105)&lt;PolicyEff),1,Milestones!$AC$105)&amp;";  ","")&amp;IF(AND(EDATE($D102,Milestones!$AA$106)&lt;=AsOfDate,EDATE($D102,Milestones!$AA$106)&gt;=SchemeStart,IF($X102=0,$AD102,IF(AND($Z102&lt;&gt;"",EDATE($D102,Milestones!$AA$106)&gt;=$Z102),$AC102,IF(AND($Y102&lt;&gt;"",EDATE($D102,Milestones!$AA$106)&gt;=$Y102),$AB102,$AA102)))=Milestones!$AB$106),UPPER(TEXT(EDATE($D102,Milestones!$AA$106),"dd mmm yy"))&amp;" "&amp;Milestones!$AB$106&amp;" "&amp;IF(AND(Milestones!$AB$106="FT",Milestones!$AA$106=FT_Y5,EDATE($D102,Milestones!$AA$106)&lt;PolicyEff),1,Milestones!$AC$106)&amp;";  ","")&amp;IF(AND(EDATE($D102,Milestones!$AA$107)&lt;=AsOfDate,EDATE($D102,Milestones!$AA$107)&gt;=SchemeStart,IF($X102=0,$AD102,IF(AND($Z102&lt;&gt;"",EDATE($D102,Milestones!$AA$107)&gt;=$Z102),$AC102,IF(AND($Y102&lt;&gt;"",EDATE($D102,Milestones!$AA$107)&gt;=$Y102),$AB102,$AA102)))=Milestones!$AB$107),UPPER(TEXT(EDATE($D102,Milestones!$AA$107),"dd mmm yy"))&amp;" "&amp;Milestones!$AB$107&amp;" "&amp;IF(AND(Milestones!$AB$107="FT",Milestones!$AA$107=FT_Y5,EDATE($D102,Milestones!$AA$107)&lt;PolicyEff),1,Milestones!$AC$107)&amp;";  ","")&amp;IF(AND(EDATE($D102,Milestones!$AA$108)&lt;=AsOfDate,EDATE($D102,Milestones!$AA$108)&gt;=SchemeStart,IF($X102=0,$AD102,IF(AND($Z102&lt;&gt;"",EDATE($D102,Milestones!$AA$108)&gt;=$Z102),$AC102,IF(AND($Y102&lt;&gt;"",EDATE($D102,Milestones!$AA$108)&gt;=$Y102),$AB102,$AA102)))=Milestones!$AB$108),UPPER(TEXT(EDATE($D102,Milestones!$AA$108),"dd mmm yy"))&amp;" "&amp;Milestones!$AB$108&amp;" "&amp;IF(AND(Milestones!$AB$108="FT",Milestones!$AA$108=FT_Y5,EDATE($D102,Milestones!$AA$108)&lt;PolicyEff),1,Milestones!$AC$108)&amp;";  ","")&amp;IF(AND(EDATE($D102,Milestones!$AA$109)&lt;=AsOfDate,EDATE($D102,Milestones!$AA$109)&gt;=SchemeStart,IF($X102=0,$AD102,IF(AND($Z102&lt;&gt;"",EDATE($D102,Milestones!$AA$109)&gt;=$Z102),$AC102,IF(AND($Y102&lt;&gt;"",EDATE($D102,Milestones!$AA$109)&gt;=$Y102),$AB102,$AA102)))=Milestones!$AB$109),UPPER(TEXT(EDATE($D102,Milestones!$AA$109),"dd mmm yy"))&amp;" "&amp;Milestones!$AB$109&amp;" "&amp;IF(AND(Milestones!$AB$109="FT",Milestones!$AA$109=FT_Y5,EDATE($D102,Milestones!$AA$109)&lt;PolicyEff),1,Milestones!$AC$109)&amp;";  ","")&amp;IF(AND(EDATE($D102,Milestones!$AA$110)&lt;=AsOfDate,EDATE($D102,Milestones!$AA$110)&gt;=SchemeStart,IF($X102=0,$AD102,IF(AND($Z102&lt;&gt;"",EDATE($D102,Milestones!$AA$110)&gt;=$Z102),$AC102,IF(AND($Y102&lt;&gt;"",EDATE($D102,Milestones!$AA$110)&gt;=$Y102),$AB102,$AA102)))=Milestones!$AB$110),UPPER(TEXT(EDATE($D102,Milestones!$AA$110),"dd mmm yy"))&amp;" "&amp;Milestones!$AB$110&amp;" "&amp;IF(AND(Milestones!$AB$110="FT",Milestones!$AA$110=FT_Y5,EDATE($D102,Milestones!$AA$110)&lt;PolicyEff),1,Milestones!$AC$110)&amp;";  ","")&amp;IF(AND(EDATE($D102,Milestones!$AA$111)&lt;=AsOfDate,EDATE($D102,Milestones!$AA$111)&gt;=SchemeStart,IF($X102=0,$AD102,IF(AND($Z102&lt;&gt;"",EDATE($D102,Milestones!$AA$111)&gt;=$Z102),$AC102,IF(AND($Y102&lt;&gt;"",EDATE($D102,Milestones!$AA$111)&gt;=$Y102),$AB102,$AA102)))=Milestones!$AB$111),UPPER(TEXT(EDATE($D102,Milestones!$AA$111),"dd mmm yy"))&amp;" "&amp;Milestones!$AB$111&amp;" "&amp;IF(AND(Milestones!$AB$111="FT",Milestones!$AA$111=FT_Y5,EDATE($D102,Milestones!$AA$111)&lt;PolicyEff),1,Milestones!$AC$111)&amp;";  ","")&amp;IF(AND(EDATE($D102,Milestones!$AA$112)&lt;=AsOfDate,EDATE($D102,Milestones!$AA$112)&gt;=SchemeStart,IF($X102=0,$AD102,IF(AND($Z102&lt;&gt;"",EDATE($D102,Milestones!$AA$112)&gt;=$Z102),$AC102,IF(AND($Y102&lt;&gt;"",EDATE($D102,Milestones!$AA$112)&gt;=$Y102),$AB102,$AA102)))=Milestones!$AB$112),UPPER(TEXT(EDATE($D102,Milestones!$AA$112),"dd mmm yy"))&amp;" "&amp;Milestones!$AB$112&amp;" "&amp;IF(AND(Milestones!$AB$112="FT",Milestones!$AA$112=FT_Y5,EDATE($D102,Milestones!$AA$112)&lt;PolicyEff),1,Milestones!$AC$112)&amp;";  ","")&amp;IF(AND(EDATE($D102,Milestones!$AA$113)&lt;=AsOfDate,EDATE($D102,Milestones!$AA$113)&gt;=SchemeStart,IF($X102=0,$AD102,IF(AND($Z102&lt;&gt;"",EDATE($D102,Milestones!$AA$113)&gt;=$Z102),$AC102,IF(AND($Y102&lt;&gt;"",EDATE($D102,Milestones!$AA$113)&gt;=$Y102),$AB102,$AA102)))=Milestones!$AB$113),UPPER(TEXT(EDATE($D102,Milestones!$AA$113),"dd mmm yy"))&amp;" "&amp;Milestones!$AB$113&amp;" "&amp;IF(AND(Milestones!$AB$113="FT",Milestones!$AA$113=FT_Y5,EDATE($D102,Milestones!$AA$113)&lt;PolicyEff),1,Milestones!$AC$113)&amp;";  ","")&amp;IF(AND(EDATE($D102,Milestones!$AA$114)&lt;=AsOfDate,EDATE($D102,Milestones!$AA$114)&gt;=SchemeStart,IF($X102=0,$AD102,IF(AND($Z102&lt;&gt;"",EDATE($D102,Milestones!$AA$114)&gt;=$Z102),$AC102,IF(AND($Y102&lt;&gt;"",EDATE($D102,Milestones!$AA$114)&gt;=$Y102),$AB102,$AA102)))=Milestones!$AB$114),UPPER(TEXT(EDATE($D102,Milestones!$AA$114),"dd mmm yy"))&amp;" "&amp;Milestones!$AB$114&amp;" "&amp;IF(AND(Milestones!$AB$114="FT",Milestones!$AA$114=FT_Y5,EDATE($D102,Milestones!$AA$114)&lt;PolicyEff),1,Milestones!$AC$114)&amp;";  ","")&amp;IF(AND(EDATE($D102,Milestones!$AA$115)&lt;=AsOfDate,EDATE($D102,Milestones!$AA$115)&gt;=SchemeStart,IF($X102=0,$AD102,IF(AND($Z102&lt;&gt;"",EDATE($D102,Milestones!$AA$115)&gt;=$Z102),$AC102,IF(AND($Y102&lt;&gt;"",EDATE($D102,Milestones!$AA$115)&gt;=$Y102),$AB102,$AA102)))=Milestones!$AB$115),UPPER(TEXT(EDATE($D102,Milestones!$AA$115),"dd mmm yy"))&amp;" "&amp;Milestones!$AB$115&amp;" "&amp;IF(AND(Milestones!$AB$115="FT",Milestones!$AA$115=FT_Y5,EDATE($D102,Milestones!$AA$115)&lt;PolicyEff),1,Milestones!$AC$115)&amp;";  ",""))</f>
        <v/>
      </c>
      <c r="Q102" s="0" t="str">
        <f aca="false">IF(OR($A102="",$D102=""),"",IF(AND(EDATE($D102,Milestones!$AA$116)&lt;=AsOfDate,EDATE($D102,Milestones!$AA$116)&gt;=SchemeStart,IF($X102=0,$AD102,IF(AND($Z102&lt;&gt;"",EDATE($D102,Milestones!$AA$116)&gt;=$Z102),$AC102,IF(AND($Y102&lt;&gt;"",EDATE($D102,Milestones!$AA$116)&gt;=$Y102),$AB102,$AA102)))=Milestones!$AB$116),UPPER(TEXT(EDATE($D102,Milestones!$AA$116),"dd mmm yy"))&amp;" "&amp;Milestones!$AB$116&amp;" "&amp;IF(AND(Milestones!$AB$116="FT",Milestones!$AA$116=FT_Y5,EDATE($D102,Milestones!$AA$116)&lt;PolicyEff),1,Milestones!$AC$116)&amp;";  ","")&amp;IF(AND(EDATE($D102,Milestones!$AA$117)&lt;=AsOfDate,EDATE($D102,Milestones!$AA$117)&gt;=SchemeStart,IF($X102=0,$AD102,IF(AND($Z102&lt;&gt;"",EDATE($D102,Milestones!$AA$117)&gt;=$Z102),$AC102,IF(AND($Y102&lt;&gt;"",EDATE($D102,Milestones!$AA$117)&gt;=$Y102),$AB102,$AA102)))=Milestones!$AB$117),UPPER(TEXT(EDATE($D102,Milestones!$AA$117),"dd mmm yy"))&amp;" "&amp;Milestones!$AB$117&amp;" "&amp;IF(AND(Milestones!$AB$117="FT",Milestones!$AA$117=FT_Y5,EDATE($D102,Milestones!$AA$117)&lt;PolicyEff),1,Milestones!$AC$117)&amp;";  ","")&amp;IF(AND(EDATE($D102,Milestones!$AA$118)&lt;=AsOfDate,EDATE($D102,Milestones!$AA$118)&gt;=SchemeStart,IF($X102=0,$AD102,IF(AND($Z102&lt;&gt;"",EDATE($D102,Milestones!$AA$118)&gt;=$Z102),$AC102,IF(AND($Y102&lt;&gt;"",EDATE($D102,Milestones!$AA$118)&gt;=$Y102),$AB102,$AA102)))=Milestones!$AB$118),UPPER(TEXT(EDATE($D102,Milestones!$AA$118),"dd mmm yy"))&amp;" "&amp;Milestones!$AB$118&amp;" "&amp;IF(AND(Milestones!$AB$118="FT",Milestones!$AA$118=FT_Y5,EDATE($D102,Milestones!$AA$118)&lt;PolicyEff),1,Milestones!$AC$118)&amp;";  ","")&amp;IF(AND(EDATE($D102,Milestones!$AA$119)&lt;=AsOfDate,EDATE($D102,Milestones!$AA$119)&gt;=SchemeStart,IF($X102=0,$AD102,IF(AND($Z102&lt;&gt;"",EDATE($D102,Milestones!$AA$119)&gt;=$Z102),$AC102,IF(AND($Y102&lt;&gt;"",EDATE($D102,Milestones!$AA$119)&gt;=$Y102),$AB102,$AA102)))=Milestones!$AB$119),UPPER(TEXT(EDATE($D102,Milestones!$AA$119),"dd mmm yy"))&amp;" "&amp;Milestones!$AB$119&amp;" "&amp;IF(AND(Milestones!$AB$119="FT",Milestones!$AA$119=FT_Y5,EDATE($D102,Milestones!$AA$119)&lt;PolicyEff),1,Milestones!$AC$119)&amp;";  ","")&amp;IF(AND(EDATE($D102,Milestones!$AA$120)&lt;=AsOfDate,EDATE($D102,Milestones!$AA$120)&gt;=SchemeStart,IF($X102=0,$AD102,IF(AND($Z102&lt;&gt;"",EDATE($D102,Milestones!$AA$120)&gt;=$Z102),$AC102,IF(AND($Y102&lt;&gt;"",EDATE($D102,Milestones!$AA$120)&gt;=$Y102),$AB102,$AA102)))=Milestones!$AB$120),UPPER(TEXT(EDATE($D102,Milestones!$AA$120),"dd mmm yy"))&amp;" "&amp;Milestones!$AB$120&amp;" "&amp;IF(AND(Milestones!$AB$120="FT",Milestones!$AA$120=FT_Y5,EDATE($D102,Milestones!$AA$120)&lt;PolicyEff),1,Milestones!$AC$120)&amp;";  ","")&amp;IF(AND(EDATE($D102,Milestones!$AA$121)&lt;=AsOfDate,EDATE($D102,Milestones!$AA$121)&gt;=SchemeStart,IF($X102=0,$AD102,IF(AND($Z102&lt;&gt;"",EDATE($D102,Milestones!$AA$121)&gt;=$Z102),$AC102,IF(AND($Y102&lt;&gt;"",EDATE($D102,Milestones!$AA$121)&gt;=$Y102),$AB102,$AA102)))=Milestones!$AB$121),UPPER(TEXT(EDATE($D102,Milestones!$AA$121),"dd mmm yy"))&amp;" "&amp;Milestones!$AB$121&amp;" "&amp;IF(AND(Milestones!$AB$121="FT",Milestones!$AA$121=FT_Y5,EDATE($D102,Milestones!$AA$121)&lt;PolicyEff),1,Milestones!$AC$121)&amp;";  ","")&amp;IF(AND(EDATE($D102,Milestones!$AA$122)&lt;=AsOfDate,EDATE($D102,Milestones!$AA$122)&gt;=SchemeStart,IF($X102=0,$AD102,IF(AND($Z102&lt;&gt;"",EDATE($D102,Milestones!$AA$122)&gt;=$Z102),$AC102,IF(AND($Y102&lt;&gt;"",EDATE($D102,Milestones!$AA$122)&gt;=$Y102),$AB102,$AA102)))=Milestones!$AB$122),UPPER(TEXT(EDATE($D102,Milestones!$AA$122),"dd mmm yy"))&amp;" "&amp;Milestones!$AB$122&amp;" "&amp;IF(AND(Milestones!$AB$122="FT",Milestones!$AA$122=FT_Y5,EDATE($D102,Milestones!$AA$122)&lt;PolicyEff),1,Milestones!$AC$122)&amp;";  ","")&amp;IF(AND(EDATE($D102,Milestones!$AA$123)&lt;=AsOfDate,EDATE($D102,Milestones!$AA$123)&gt;=SchemeStart,IF($X102=0,$AD102,IF(AND($Z102&lt;&gt;"",EDATE($D102,Milestones!$AA$123)&gt;=$Z102),$AC102,IF(AND($Y102&lt;&gt;"",EDATE($D102,Milestones!$AA$123)&gt;=$Y102),$AB102,$AA102)))=Milestones!$AB$123),UPPER(TEXT(EDATE($D102,Milestones!$AA$123),"dd mmm yy"))&amp;" "&amp;Milestones!$AB$123&amp;" "&amp;IF(AND(Milestones!$AB$123="FT",Milestones!$AA$123=FT_Y5,EDATE($D102,Milestones!$AA$123)&lt;PolicyEff),1,Milestones!$AC$123)&amp;";  ","")&amp;IF(AND(EDATE($D102,Milestones!$AA$124)&lt;=AsOfDate,EDATE($D102,Milestones!$AA$124)&gt;=SchemeStart,IF($X102=0,$AD102,IF(AND($Z102&lt;&gt;"",EDATE($D102,Milestones!$AA$124)&gt;=$Z102),$AC102,IF(AND($Y102&lt;&gt;"",EDATE($D102,Milestones!$AA$124)&gt;=$Y102),$AB102,$AA102)))=Milestones!$AB$124),UPPER(TEXT(EDATE($D102,Milestones!$AA$124),"dd mmm yy"))&amp;" "&amp;Milestones!$AB$124&amp;" "&amp;IF(AND(Milestones!$AB$124="FT",Milestones!$AA$124=FT_Y5,EDATE($D102,Milestones!$AA$124)&lt;PolicyEff),1,Milestones!$AC$124)&amp;";  ","")&amp;IF(AND(EDATE($D102,Milestones!$AA$125)&lt;=AsOfDate,EDATE($D102,Milestones!$AA$125)&gt;=SchemeStart,IF($X102=0,$AD102,IF(AND($Z102&lt;&gt;"",EDATE($D102,Milestones!$AA$125)&gt;=$Z102),$AC102,IF(AND($Y102&lt;&gt;"",EDATE($D102,Milestones!$AA$125)&gt;=$Y102),$AB102,$AA102)))=Milestones!$AB$125),UPPER(TEXT(EDATE($D102,Milestones!$AA$125),"dd mmm yy"))&amp;" "&amp;Milestones!$AB$125&amp;" "&amp;IF(AND(Milestones!$AB$125="FT",Milestones!$AA$125=FT_Y5,EDATE($D102,Milestones!$AA$125)&lt;PolicyEff),1,Milestones!$AC$125)&amp;";  ","")&amp;IF(AND(EDATE($D102,Milestones!$AA$126)&lt;=AsOfDate,EDATE($D102,Milestones!$AA$126)&gt;=SchemeStart,IF($X102=0,$AD102,IF(AND($Z102&lt;&gt;"",EDATE($D102,Milestones!$AA$126)&gt;=$Z102),$AC102,IF(AND($Y102&lt;&gt;"",EDATE($D102,Milestones!$AA$126)&gt;=$Y102),$AB102,$AA102)))=Milestones!$AB$126),UPPER(TEXT(EDATE($D102,Milestones!$AA$126),"dd mmm yy"))&amp;" "&amp;Milestones!$AB$126&amp;" "&amp;IF(AND(Milestones!$AB$126="FT",Milestones!$AA$126=FT_Y5,EDATE($D102,Milestones!$AA$126)&lt;PolicyEff),1,Milestones!$AC$126)&amp;";  ","")&amp;IF(AND(EDATE($D102,Milestones!$AA$127)&lt;=AsOfDate,EDATE($D102,Milestones!$AA$127)&gt;=SchemeStart,IF($X102=0,$AD102,IF(AND($Z102&lt;&gt;"",EDATE($D102,Milestones!$AA$127)&gt;=$Z102),$AC102,IF(AND($Y102&lt;&gt;"",EDATE($D102,Milestones!$AA$127)&gt;=$Y102),$AB102,$AA102)))=Milestones!$AB$127),UPPER(TEXT(EDATE($D102,Milestones!$AA$127),"dd mmm yy"))&amp;" "&amp;Milestones!$AB$127&amp;" "&amp;IF(AND(Milestones!$AB$127="FT",Milestones!$AA$127=FT_Y5,EDATE($D102,Milestones!$AA$127)&lt;PolicyEff),1,Milestones!$AC$127)&amp;";  ",""))</f>
        <v/>
      </c>
      <c r="R102" s="0" t="str">
        <f aca="false">IF(OR($A102="",$D102=""),"",IF(AND(EDATE($D102,Milestones!$AA$128)&lt;=AsOfDate,EDATE($D102,Milestones!$AA$128)&gt;=SchemeStart,IF($X102=0,$AD102,IF(AND($Z102&lt;&gt;"",EDATE($D102,Milestones!$AA$128)&gt;=$Z102),$AC102,IF(AND($Y102&lt;&gt;"",EDATE($D102,Milestones!$AA$128)&gt;=$Y102),$AB102,$AA102)))=Milestones!$AB$128),UPPER(TEXT(EDATE($D102,Milestones!$AA$128),"dd mmm yy"))&amp;" "&amp;Milestones!$AB$128&amp;" "&amp;IF(AND(Milestones!$AB$128="FT",Milestones!$AA$128=FT_Y5,EDATE($D102,Milestones!$AA$128)&lt;PolicyEff),1,Milestones!$AC$128)&amp;";  ","")&amp;IF(AND(EDATE($D102,Milestones!$AA$129)&lt;=AsOfDate,EDATE($D102,Milestones!$AA$129)&gt;=SchemeStart,IF($X102=0,$AD102,IF(AND($Z102&lt;&gt;"",EDATE($D102,Milestones!$AA$129)&gt;=$Z102),$AC102,IF(AND($Y102&lt;&gt;"",EDATE($D102,Milestones!$AA$129)&gt;=$Y102),$AB102,$AA102)))=Milestones!$AB$129),UPPER(TEXT(EDATE($D102,Milestones!$AA$129),"dd mmm yy"))&amp;" "&amp;Milestones!$AB$129&amp;" "&amp;IF(AND(Milestones!$AB$129="FT",Milestones!$AA$129=FT_Y5,EDATE($D102,Milestones!$AA$129)&lt;PolicyEff),1,Milestones!$AC$129)&amp;";  ","")&amp;IF(AND(EDATE($D102,Milestones!$AA$130)&lt;=AsOfDate,EDATE($D102,Milestones!$AA$130)&gt;=SchemeStart,IF($X102=0,$AD102,IF(AND($Z102&lt;&gt;"",EDATE($D102,Milestones!$AA$130)&gt;=$Z102),$AC102,IF(AND($Y102&lt;&gt;"",EDATE($D102,Milestones!$AA$130)&gt;=$Y102),$AB102,$AA102)))=Milestones!$AB$130),UPPER(TEXT(EDATE($D102,Milestones!$AA$130),"dd mmm yy"))&amp;" "&amp;Milestones!$AB$130&amp;" "&amp;IF(AND(Milestones!$AB$130="FT",Milestones!$AA$130=FT_Y5,EDATE($D102,Milestones!$AA$130)&lt;PolicyEff),1,Milestones!$AC$130)&amp;";  ","")&amp;IF(AND(EDATE($D102,Milestones!$AA$131)&lt;=AsOfDate,EDATE($D102,Milestones!$AA$131)&gt;=SchemeStart,IF($X102=0,$AD102,IF(AND($Z102&lt;&gt;"",EDATE($D102,Milestones!$AA$131)&gt;=$Z102),$AC102,IF(AND($Y102&lt;&gt;"",EDATE($D102,Milestones!$AA$131)&gt;=$Y102),$AB102,$AA102)))=Milestones!$AB$131),UPPER(TEXT(EDATE($D102,Milestones!$AA$131),"dd mmm yy"))&amp;" "&amp;Milestones!$AB$131&amp;" "&amp;IF(AND(Milestones!$AB$131="FT",Milestones!$AA$131=FT_Y5,EDATE($D102,Milestones!$AA$131)&lt;PolicyEff),1,Milestones!$AC$131)&amp;";  ","")&amp;IF(AND(EDATE($D102,Milestones!$AA$132)&lt;=AsOfDate,EDATE($D102,Milestones!$AA$132)&gt;=SchemeStart,IF($X102=0,$AD102,IF(AND($Z102&lt;&gt;"",EDATE($D102,Milestones!$AA$132)&gt;=$Z102),$AC102,IF(AND($Y102&lt;&gt;"",EDATE($D102,Milestones!$AA$132)&gt;=$Y102),$AB102,$AA102)))=Milestones!$AB$132),UPPER(TEXT(EDATE($D102,Milestones!$AA$132),"dd mmm yy"))&amp;" "&amp;Milestones!$AB$132&amp;" "&amp;IF(AND(Milestones!$AB$132="FT",Milestones!$AA$132=FT_Y5,EDATE($D102,Milestones!$AA$132)&lt;PolicyEff),1,Milestones!$AC$132)&amp;";  ","")&amp;IF(AND(EDATE($D102,Milestones!$AA$133)&lt;=AsOfDate,EDATE($D102,Milestones!$AA$133)&gt;=SchemeStart,IF($X102=0,$AD102,IF(AND($Z102&lt;&gt;"",EDATE($D102,Milestones!$AA$133)&gt;=$Z102),$AC102,IF(AND($Y102&lt;&gt;"",EDATE($D102,Milestones!$AA$133)&gt;=$Y102),$AB102,$AA102)))=Milestones!$AB$133),UPPER(TEXT(EDATE($D102,Milestones!$AA$133),"dd mmm yy"))&amp;" "&amp;Milestones!$AB$133&amp;" "&amp;IF(AND(Milestones!$AB$133="FT",Milestones!$AA$133=FT_Y5,EDATE($D102,Milestones!$AA$133)&lt;PolicyEff),1,Milestones!$AC$133)&amp;";  ","")&amp;IF(AND(EDATE($D102,Milestones!$AA$134)&lt;=AsOfDate,EDATE($D102,Milestones!$AA$134)&gt;=SchemeStart,IF($X102=0,$AD102,IF(AND($Z102&lt;&gt;"",EDATE($D102,Milestones!$AA$134)&gt;=$Z102),$AC102,IF(AND($Y102&lt;&gt;"",EDATE($D102,Milestones!$AA$134)&gt;=$Y102),$AB102,$AA102)))=Milestones!$AB$134),UPPER(TEXT(EDATE($D102,Milestones!$AA$134),"dd mmm yy"))&amp;" "&amp;Milestones!$AB$134&amp;" "&amp;IF(AND(Milestones!$AB$134="FT",Milestones!$AA$134=FT_Y5,EDATE($D102,Milestones!$AA$134)&lt;PolicyEff),1,Milestones!$AC$134)&amp;";  ","")&amp;IF(AND(EDATE($D102,Milestones!$AA$135)&lt;=AsOfDate,EDATE($D102,Milestones!$AA$135)&gt;=SchemeStart,IF($X102=0,$AD102,IF(AND($Z102&lt;&gt;"",EDATE($D102,Milestones!$AA$135)&gt;=$Z102),$AC102,IF(AND($Y102&lt;&gt;"",EDATE($D102,Milestones!$AA$135)&gt;=$Y102),$AB102,$AA102)))=Milestones!$AB$135),UPPER(TEXT(EDATE($D102,Milestones!$AA$135),"dd mmm yy"))&amp;" "&amp;Milestones!$AB$135&amp;" "&amp;IF(AND(Milestones!$AB$135="FT",Milestones!$AA$135=FT_Y5,EDATE($D102,Milestones!$AA$135)&lt;PolicyEff),1,Milestones!$AC$135)&amp;";  ","")&amp;IF(AND(EDATE($D102,Milestones!$AA$136)&lt;=AsOfDate,EDATE($D102,Milestones!$AA$136)&gt;=SchemeStart,IF($X102=0,$AD102,IF(AND($Z102&lt;&gt;"",EDATE($D102,Milestones!$AA$136)&gt;=$Z102),$AC102,IF(AND($Y102&lt;&gt;"",EDATE($D102,Milestones!$AA$136)&gt;=$Y102),$AB102,$AA102)))=Milestones!$AB$136),UPPER(TEXT(EDATE($D102,Milestones!$AA$136),"dd mmm yy"))&amp;" "&amp;Milestones!$AB$136&amp;" "&amp;IF(AND(Milestones!$AB$136="FT",Milestones!$AA$136=FT_Y5,EDATE($D102,Milestones!$AA$136)&lt;PolicyEff),1,Milestones!$AC$136)&amp;";  ","")&amp;IF(AND(EDATE($D102,Milestones!$AA$137)&lt;=AsOfDate,EDATE($D102,Milestones!$AA$137)&gt;=SchemeStart,IF($X102=0,$AD102,IF(AND($Z102&lt;&gt;"",EDATE($D102,Milestones!$AA$137)&gt;=$Z102),$AC102,IF(AND($Y102&lt;&gt;"",EDATE($D102,Milestones!$AA$137)&gt;=$Y102),$AB102,$AA102)))=Milestones!$AB$137),UPPER(TEXT(EDATE($D102,Milestones!$AA$137),"dd mmm yy"))&amp;" "&amp;Milestones!$AB$137&amp;" "&amp;IF(AND(Milestones!$AB$137="FT",Milestones!$AA$137=FT_Y5,EDATE($D102,Milestones!$AA$137)&lt;PolicyEff),1,Milestones!$AC$137)&amp;";  ","")&amp;IF(AND(EDATE($D102,Milestones!$AA$138)&lt;=AsOfDate,EDATE($D102,Milestones!$AA$138)&gt;=SchemeStart,IF($X102=0,$AD102,IF(AND($Z102&lt;&gt;"",EDATE($D102,Milestones!$AA$138)&gt;=$Z102),$AC102,IF(AND($Y102&lt;&gt;"",EDATE($D102,Milestones!$AA$138)&gt;=$Y102),$AB102,$AA102)))=Milestones!$AB$138),UPPER(TEXT(EDATE($D102,Milestones!$AA$138),"dd mmm yy"))&amp;" "&amp;Milestones!$AB$138&amp;" "&amp;IF(AND(Milestones!$AB$138="FT",Milestones!$AA$138=FT_Y5,EDATE($D102,Milestones!$AA$138)&lt;PolicyEff),1,Milestones!$AC$138)&amp;";  ","")&amp;IF(AND(EDATE($D102,Milestones!$AA$139)&lt;=AsOfDate,EDATE($D102,Milestones!$AA$139)&gt;=SchemeStart,IF($X102=0,$AD102,IF(AND($Z102&lt;&gt;"",EDATE($D102,Milestones!$AA$139)&gt;=$Z102),$AC102,IF(AND($Y102&lt;&gt;"",EDATE($D102,Milestones!$AA$139)&gt;=$Y102),$AB102,$AA102)))=Milestones!$AB$139),UPPER(TEXT(EDATE($D102,Milestones!$AA$139),"dd mmm yy"))&amp;" "&amp;Milestones!$AB$139&amp;" "&amp;IF(AND(Milestones!$AB$139="FT",Milestones!$AA$139=FT_Y5,EDATE($D102,Milestones!$AA$139)&lt;PolicyEff),1,Milestones!$AC$139)&amp;";  ",""))</f>
        <v/>
      </c>
      <c r="S102" s="0" t="str">
        <f aca="false">IF(OR($A102="",$D102=""),"",IF(AND(EDATE($D102,Milestones!$AA$140)&lt;=AsOfDate,EDATE($D102,Milestones!$AA$140)&gt;=SchemeStart,IF($X102=0,$AD102,IF(AND($Z102&lt;&gt;"",EDATE($D102,Milestones!$AA$140)&gt;=$Z102),$AC102,IF(AND($Y102&lt;&gt;"",EDATE($D102,Milestones!$AA$140)&gt;=$Y102),$AB102,$AA102)))=Milestones!$AB$140),UPPER(TEXT(EDATE($D102,Milestones!$AA$140),"dd mmm yy"))&amp;" "&amp;Milestones!$AB$140&amp;" "&amp;IF(AND(Milestones!$AB$140="FT",Milestones!$AA$140=FT_Y5,EDATE($D102,Milestones!$AA$140)&lt;PolicyEff),1,Milestones!$AC$140)&amp;";  ","")&amp;IF(AND(EDATE($D102,Milestones!$AA$141)&lt;=AsOfDate,EDATE($D102,Milestones!$AA$141)&gt;=SchemeStart,IF($X102=0,$AD102,IF(AND($Z102&lt;&gt;"",EDATE($D102,Milestones!$AA$141)&gt;=$Z102),$AC102,IF(AND($Y102&lt;&gt;"",EDATE($D102,Milestones!$AA$141)&gt;=$Y102),$AB102,$AA102)))=Milestones!$AB$141),UPPER(TEXT(EDATE($D102,Milestones!$AA$141),"dd mmm yy"))&amp;" "&amp;Milestones!$AB$141&amp;" "&amp;IF(AND(Milestones!$AB$141="FT",Milestones!$AA$141=FT_Y5,EDATE($D102,Milestones!$AA$141)&lt;PolicyEff),1,Milestones!$AC$141)&amp;";  ","")&amp;IF(AND(EDATE($D102,Milestones!$AA$142)&lt;=AsOfDate,EDATE($D102,Milestones!$AA$142)&gt;=SchemeStart,IF($X102=0,$AD102,IF(AND($Z102&lt;&gt;"",EDATE($D102,Milestones!$AA$142)&gt;=$Z102),$AC102,IF(AND($Y102&lt;&gt;"",EDATE($D102,Milestones!$AA$142)&gt;=$Y102),$AB102,$AA102)))=Milestones!$AB$142),UPPER(TEXT(EDATE($D102,Milestones!$AA$142),"dd mmm yy"))&amp;" "&amp;Milestones!$AB$142&amp;" "&amp;IF(AND(Milestones!$AB$142="FT",Milestones!$AA$142=FT_Y5,EDATE($D102,Milestones!$AA$142)&lt;PolicyEff),1,Milestones!$AC$142)&amp;";  ","")&amp;IF(AND(EDATE($D102,Milestones!$AA$143)&lt;=AsOfDate,EDATE($D102,Milestones!$AA$143)&gt;=SchemeStart,IF($X102=0,$AD102,IF(AND($Z102&lt;&gt;"",EDATE($D102,Milestones!$AA$143)&gt;=$Z102),$AC102,IF(AND($Y102&lt;&gt;"",EDATE($D102,Milestones!$AA$143)&gt;=$Y102),$AB102,$AA102)))=Milestones!$AB$143),UPPER(TEXT(EDATE($D102,Milestones!$AA$143),"dd mmm yy"))&amp;" "&amp;Milestones!$AB$143&amp;" "&amp;IF(AND(Milestones!$AB$143="FT",Milestones!$AA$143=FT_Y5,EDATE($D102,Milestones!$AA$143)&lt;PolicyEff),1,Milestones!$AC$143)&amp;";  ","")&amp;IF(AND(EDATE($D102,Milestones!$AA$144)&lt;=AsOfDate,EDATE($D102,Milestones!$AA$144)&gt;=SchemeStart,IF($X102=0,$AD102,IF(AND($Z102&lt;&gt;"",EDATE($D102,Milestones!$AA$144)&gt;=$Z102),$AC102,IF(AND($Y102&lt;&gt;"",EDATE($D102,Milestones!$AA$144)&gt;=$Y102),$AB102,$AA102)))=Milestones!$AB$144),UPPER(TEXT(EDATE($D102,Milestones!$AA$144),"dd mmm yy"))&amp;" "&amp;Milestones!$AB$144&amp;" "&amp;IF(AND(Milestones!$AB$144="FT",Milestones!$AA$144=FT_Y5,EDATE($D102,Milestones!$AA$144)&lt;PolicyEff),1,Milestones!$AC$144)&amp;";  ","")&amp;IF(AND(EDATE($D102,Milestones!$AA$145)&lt;=AsOfDate,EDATE($D102,Milestones!$AA$145)&gt;=SchemeStart,IF($X102=0,$AD102,IF(AND($Z102&lt;&gt;"",EDATE($D102,Milestones!$AA$145)&gt;=$Z102),$AC102,IF(AND($Y102&lt;&gt;"",EDATE($D102,Milestones!$AA$145)&gt;=$Y102),$AB102,$AA102)))=Milestones!$AB$145),UPPER(TEXT(EDATE($D102,Milestones!$AA$145),"dd mmm yy"))&amp;" "&amp;Milestones!$AB$145&amp;" "&amp;IF(AND(Milestones!$AB$145="FT",Milestones!$AA$145=FT_Y5,EDATE($D102,Milestones!$AA$145)&lt;PolicyEff),1,Milestones!$AC$145)&amp;";  ","")&amp;IF(AND(EDATE($D102,Milestones!$AA$146)&lt;=AsOfDate,EDATE($D102,Milestones!$AA$146)&gt;=SchemeStart,IF($X102=0,$AD102,IF(AND($Z102&lt;&gt;"",EDATE($D102,Milestones!$AA$146)&gt;=$Z102),$AC102,IF(AND($Y102&lt;&gt;"",EDATE($D102,Milestones!$AA$146)&gt;=$Y102),$AB102,$AA102)))=Milestones!$AB$146),UPPER(TEXT(EDATE($D102,Milestones!$AA$146),"dd mmm yy"))&amp;" "&amp;Milestones!$AB$146&amp;" "&amp;IF(AND(Milestones!$AB$146="FT",Milestones!$AA$146=FT_Y5,EDATE($D102,Milestones!$AA$146)&lt;PolicyEff),1,Milestones!$AC$146)&amp;";  ","")&amp;IF(AND(EDATE($D102,Milestones!$AA$147)&lt;=AsOfDate,EDATE($D102,Milestones!$AA$147)&gt;=SchemeStart,IF($X102=0,$AD102,IF(AND($Z102&lt;&gt;"",EDATE($D102,Milestones!$AA$147)&gt;=$Z102),$AC102,IF(AND($Y102&lt;&gt;"",EDATE($D102,Milestones!$AA$147)&gt;=$Y102),$AB102,$AA102)))=Milestones!$AB$147),UPPER(TEXT(EDATE($D102,Milestones!$AA$147),"dd mmm yy"))&amp;" "&amp;Milestones!$AB$147&amp;" "&amp;IF(AND(Milestones!$AB$147="FT",Milestones!$AA$147=FT_Y5,EDATE($D102,Milestones!$AA$147)&lt;PolicyEff),1,Milestones!$AC$147)&amp;";  ","")&amp;IF(AND(EDATE($D102,Milestones!$AA$148)&lt;=AsOfDate,EDATE($D102,Milestones!$AA$148)&gt;=SchemeStart,IF($X102=0,$AD102,IF(AND($Z102&lt;&gt;"",EDATE($D102,Milestones!$AA$148)&gt;=$Z102),$AC102,IF(AND($Y102&lt;&gt;"",EDATE($D102,Milestones!$AA$148)&gt;=$Y102),$AB102,$AA102)))=Milestones!$AB$148),UPPER(TEXT(EDATE($D102,Milestones!$AA$148),"dd mmm yy"))&amp;" "&amp;Milestones!$AB$148&amp;" "&amp;IF(AND(Milestones!$AB$148="FT",Milestones!$AA$148=FT_Y5,EDATE($D102,Milestones!$AA$148)&lt;PolicyEff),1,Milestones!$AC$148)&amp;";  ","")&amp;IF(AND(EDATE($D102,Milestones!$AA$149)&lt;=AsOfDate,EDATE($D102,Milestones!$AA$149)&gt;=SchemeStart,IF($X102=0,$AD102,IF(AND($Z102&lt;&gt;"",EDATE($D102,Milestones!$AA$149)&gt;=$Z102),$AC102,IF(AND($Y102&lt;&gt;"",EDATE($D102,Milestones!$AA$149)&gt;=$Y102),$AB102,$AA102)))=Milestones!$AB$149),UPPER(TEXT(EDATE($D102,Milestones!$AA$149),"dd mmm yy"))&amp;" "&amp;Milestones!$AB$149&amp;" "&amp;IF(AND(Milestones!$AB$149="FT",Milestones!$AA$149=FT_Y5,EDATE($D102,Milestones!$AA$149)&lt;PolicyEff),1,Milestones!$AC$149)&amp;";  ","")&amp;IF(AND(EDATE($D102,Milestones!$AA$150)&lt;=AsOfDate,EDATE($D102,Milestones!$AA$150)&gt;=SchemeStart,IF($X102=0,$AD102,IF(AND($Z102&lt;&gt;"",EDATE($D102,Milestones!$AA$150)&gt;=$Z102),$AC102,IF(AND($Y102&lt;&gt;"",EDATE($D102,Milestones!$AA$150)&gt;=$Y102),$AB102,$AA102)))=Milestones!$AB$150),UPPER(TEXT(EDATE($D102,Milestones!$AA$150),"dd mmm yy"))&amp;" "&amp;Milestones!$AB$150&amp;" "&amp;IF(AND(Milestones!$AB$150="FT",Milestones!$AA$150=FT_Y5,EDATE($D102,Milestones!$AA$150)&lt;PolicyEff),1,Milestones!$AC$150)&amp;";  ","")&amp;IF(AND(EDATE($D102,Milestones!$AA$151)&lt;=AsOfDate,EDATE($D102,Milestones!$AA$151)&gt;=SchemeStart,IF($X102=0,$AD102,IF(AND($Z102&lt;&gt;"",EDATE($D102,Milestones!$AA$151)&gt;=$Z102),$AC102,IF(AND($Y102&lt;&gt;"",EDATE($D102,Milestones!$AA$151)&gt;=$Y102),$AB102,$AA102)))=Milestones!$AB$151),UPPER(TEXT(EDATE($D102,Milestones!$AA$151),"dd mmm yy"))&amp;" "&amp;Milestones!$AB$151&amp;" "&amp;IF(AND(Milestones!$AB$151="FT",Milestones!$AA$151=FT_Y5,EDATE($D102,Milestones!$AA$151)&lt;PolicyEff),1,Milestones!$AC$151)&amp;";  ",""))</f>
        <v/>
      </c>
      <c r="T102" s="0" t="str">
        <f aca="false">IF(OR($A102="",$D102=""),"",IF(AND(EDATE($D102,Milestones!$AA$152)&lt;=AsOfDate,EDATE($D102,Milestones!$AA$152)&gt;=SchemeStart,IF($X102=0,$AD102,IF(AND($Z102&lt;&gt;"",EDATE($D102,Milestones!$AA$152)&gt;=$Z102),$AC102,IF(AND($Y102&lt;&gt;"",EDATE($D102,Milestones!$AA$152)&gt;=$Y102),$AB102,$AA102)))=Milestones!$AB$152),UPPER(TEXT(EDATE($D102,Milestones!$AA$152),"dd mmm yy"))&amp;" "&amp;Milestones!$AB$152&amp;" "&amp;IF(AND(Milestones!$AB$152="FT",Milestones!$AA$152=FT_Y5,EDATE($D102,Milestones!$AA$152)&lt;PolicyEff),1,Milestones!$AC$152)&amp;";  ","")&amp;IF(AND(EDATE($D102,Milestones!$AA$153)&lt;=AsOfDate,EDATE($D102,Milestones!$AA$153)&gt;=SchemeStart,IF($X102=0,$AD102,IF(AND($Z102&lt;&gt;"",EDATE($D102,Milestones!$AA$153)&gt;=$Z102),$AC102,IF(AND($Y102&lt;&gt;"",EDATE($D102,Milestones!$AA$153)&gt;=$Y102),$AB102,$AA102)))=Milestones!$AB$153),UPPER(TEXT(EDATE($D102,Milestones!$AA$153),"dd mmm yy"))&amp;" "&amp;Milestones!$AB$153&amp;" "&amp;IF(AND(Milestones!$AB$153="FT",Milestones!$AA$153=FT_Y5,EDATE($D102,Milestones!$AA$153)&lt;PolicyEff),1,Milestones!$AC$153)&amp;";  ","")&amp;IF(AND(EDATE($D102,Milestones!$AA$154)&lt;=AsOfDate,EDATE($D102,Milestones!$AA$154)&gt;=SchemeStart,IF($X102=0,$AD102,IF(AND($Z102&lt;&gt;"",EDATE($D102,Milestones!$AA$154)&gt;=$Z102),$AC102,IF(AND($Y102&lt;&gt;"",EDATE($D102,Milestones!$AA$154)&gt;=$Y102),$AB102,$AA102)))=Milestones!$AB$154),UPPER(TEXT(EDATE($D102,Milestones!$AA$154),"dd mmm yy"))&amp;" "&amp;Milestones!$AB$154&amp;" "&amp;IF(AND(Milestones!$AB$154="FT",Milestones!$AA$154=FT_Y5,EDATE($D102,Milestones!$AA$154)&lt;PolicyEff),1,Milestones!$AC$154)&amp;";  ","")&amp;IF(AND(EDATE($D102,Milestones!$AA$155)&lt;=AsOfDate,EDATE($D102,Milestones!$AA$155)&gt;=SchemeStart,IF($X102=0,$AD102,IF(AND($Z102&lt;&gt;"",EDATE($D102,Milestones!$AA$155)&gt;=$Z102),$AC102,IF(AND($Y102&lt;&gt;"",EDATE($D102,Milestones!$AA$155)&gt;=$Y102),$AB102,$AA102)))=Milestones!$AB$155),UPPER(TEXT(EDATE($D102,Milestones!$AA$155),"dd mmm yy"))&amp;" "&amp;Milestones!$AB$155&amp;" "&amp;IF(AND(Milestones!$AB$155="FT",Milestones!$AA$155=FT_Y5,EDATE($D102,Milestones!$AA$155)&lt;PolicyEff),1,Milestones!$AC$155)&amp;";  ","")&amp;IF(AND(EDATE($D102,Milestones!$AA$156)&lt;=AsOfDate,EDATE($D102,Milestones!$AA$156)&gt;=SchemeStart,IF($X102=0,$AD102,IF(AND($Z102&lt;&gt;"",EDATE($D102,Milestones!$AA$156)&gt;=$Z102),$AC102,IF(AND($Y102&lt;&gt;"",EDATE($D102,Milestones!$AA$156)&gt;=$Y102),$AB102,$AA102)))=Milestones!$AB$156),UPPER(TEXT(EDATE($D102,Milestones!$AA$156),"dd mmm yy"))&amp;" "&amp;Milestones!$AB$156&amp;" "&amp;IF(AND(Milestones!$AB$156="FT",Milestones!$AA$156=FT_Y5,EDATE($D102,Milestones!$AA$156)&lt;PolicyEff),1,Milestones!$AC$156)&amp;";  ","")&amp;IF(AND(EDATE($D102,Milestones!$AA$157)&lt;=AsOfDate,EDATE($D102,Milestones!$AA$157)&gt;=SchemeStart,IF($X102=0,$AD102,IF(AND($Z102&lt;&gt;"",EDATE($D102,Milestones!$AA$157)&gt;=$Z102),$AC102,IF(AND($Y102&lt;&gt;"",EDATE($D102,Milestones!$AA$157)&gt;=$Y102),$AB102,$AA102)))=Milestones!$AB$157),UPPER(TEXT(EDATE($D102,Milestones!$AA$157),"dd mmm yy"))&amp;" "&amp;Milestones!$AB$157&amp;" "&amp;IF(AND(Milestones!$AB$157="FT",Milestones!$AA$157=FT_Y5,EDATE($D102,Milestones!$AA$157)&lt;PolicyEff),1,Milestones!$AC$157)&amp;";  ","")&amp;IF(AND(EDATE($D102,Milestones!$AA$158)&lt;=AsOfDate,EDATE($D102,Milestones!$AA$158)&gt;=SchemeStart,IF($X102=0,$AD102,IF(AND($Z102&lt;&gt;"",EDATE($D102,Milestones!$AA$158)&gt;=$Z102),$AC102,IF(AND($Y102&lt;&gt;"",EDATE($D102,Milestones!$AA$158)&gt;=$Y102),$AB102,$AA102)))=Milestones!$AB$158),UPPER(TEXT(EDATE($D102,Milestones!$AA$158),"dd mmm yy"))&amp;" "&amp;Milestones!$AB$158&amp;" "&amp;IF(AND(Milestones!$AB$158="FT",Milestones!$AA$158=FT_Y5,EDATE($D102,Milestones!$AA$158)&lt;PolicyEff),1,Milestones!$AC$158)&amp;";  ","")&amp;IF(AND(EDATE($D102,Milestones!$AA$159)&lt;=AsOfDate,EDATE($D102,Milestones!$AA$159)&gt;=SchemeStart,IF($X102=0,$AD102,IF(AND($Z102&lt;&gt;"",EDATE($D102,Milestones!$AA$159)&gt;=$Z102),$AC102,IF(AND($Y102&lt;&gt;"",EDATE($D102,Milestones!$AA$159)&gt;=$Y102),$AB102,$AA102)))=Milestones!$AB$159),UPPER(TEXT(EDATE($D102,Milestones!$AA$159),"dd mmm yy"))&amp;" "&amp;Milestones!$AB$159&amp;" "&amp;IF(AND(Milestones!$AB$159="FT",Milestones!$AA$159=FT_Y5,EDATE($D102,Milestones!$AA$159)&lt;PolicyEff),1,Milestones!$AC$159)&amp;";  ","")&amp;IF(AND(EDATE($D102,Milestones!$AA$160)&lt;=AsOfDate,EDATE($D102,Milestones!$AA$160)&gt;=SchemeStart,IF($X102=0,$AD102,IF(AND($Z102&lt;&gt;"",EDATE($D102,Milestones!$AA$160)&gt;=$Z102),$AC102,IF(AND($Y102&lt;&gt;"",EDATE($D102,Milestones!$AA$160)&gt;=$Y102),$AB102,$AA102)))=Milestones!$AB$160),UPPER(TEXT(EDATE($D102,Milestones!$AA$160),"dd mmm yy"))&amp;" "&amp;Milestones!$AB$160&amp;" "&amp;IF(AND(Milestones!$AB$160="FT",Milestones!$AA$160=FT_Y5,EDATE($D102,Milestones!$AA$160)&lt;PolicyEff),1,Milestones!$AC$160)&amp;";  ","")&amp;IF(AND(EDATE($D102,Milestones!$AA$161)&lt;=AsOfDate,EDATE($D102,Milestones!$AA$161)&gt;=SchemeStart,IF($X102=0,$AD102,IF(AND($Z102&lt;&gt;"",EDATE($D102,Milestones!$AA$161)&gt;=$Z102),$AC102,IF(AND($Y102&lt;&gt;"",EDATE($D102,Milestones!$AA$161)&gt;=$Y102),$AB102,$AA102)))=Milestones!$AB$161),UPPER(TEXT(EDATE($D102,Milestones!$AA$161),"dd mmm yy"))&amp;" "&amp;Milestones!$AB$161&amp;" "&amp;IF(AND(Milestones!$AB$161="FT",Milestones!$AA$161=FT_Y5,EDATE($D102,Milestones!$AA$161)&lt;PolicyEff),1,Milestones!$AC$161)&amp;";  ","")&amp;IF(AND(EDATE($D102,Milestones!$AA$162)&lt;=AsOfDate,EDATE($D102,Milestones!$AA$162)&gt;=SchemeStart,IF($X102=0,$AD102,IF(AND($Z102&lt;&gt;"",EDATE($D102,Milestones!$AA$162)&gt;=$Z102),$AC102,IF(AND($Y102&lt;&gt;"",EDATE($D102,Milestones!$AA$162)&gt;=$Y102),$AB102,$AA102)))=Milestones!$AB$162),UPPER(TEXT(EDATE($D102,Milestones!$AA$162),"dd mmm yy"))&amp;" "&amp;Milestones!$AB$162&amp;" "&amp;IF(AND(Milestones!$AB$162="FT",Milestones!$AA$162=FT_Y5,EDATE($D102,Milestones!$AA$162)&lt;PolicyEff),1,Milestones!$AC$162)&amp;";  ","")&amp;IF(AND(EDATE($D102,Milestones!$AA$163)&lt;=AsOfDate,EDATE($D102,Milestones!$AA$163)&gt;=SchemeStart,IF($X102=0,$AD102,IF(AND($Z102&lt;&gt;"",EDATE($D102,Milestones!$AA$163)&gt;=$Z102),$AC102,IF(AND($Y102&lt;&gt;"",EDATE($D102,Milestones!$AA$163)&gt;=$Y102),$AB102,$AA102)))=Milestones!$AB$163),UPPER(TEXT(EDATE($D102,Milestones!$AA$163),"dd mmm yy"))&amp;" "&amp;Milestones!$AB$163&amp;" "&amp;IF(AND(Milestones!$AB$163="FT",Milestones!$AA$163=FT_Y5,EDATE($D102,Milestones!$AA$163)&lt;PolicyEff),1,Milestones!$AC$163)&amp;";  ",""))</f>
        <v/>
      </c>
      <c r="U102" s="0" t="str">
        <f aca="false">IF(OR($A102="",$D102=""),"",IF(AND(EDATE($D102,Milestones!$AA$164)&lt;=AsOfDate,EDATE($D102,Milestones!$AA$164)&gt;=SchemeStart,IF($X102=0,$AD102,IF(AND($Z102&lt;&gt;"",EDATE($D102,Milestones!$AA$164)&gt;=$Z102),$AC102,IF(AND($Y102&lt;&gt;"",EDATE($D102,Milestones!$AA$164)&gt;=$Y102),$AB102,$AA102)))=Milestones!$AB$164),UPPER(TEXT(EDATE($D102,Milestones!$AA$164),"dd mmm yy"))&amp;" "&amp;Milestones!$AB$164&amp;" "&amp;IF(AND(Milestones!$AB$164="FT",Milestones!$AA$164=FT_Y5,EDATE($D102,Milestones!$AA$164)&lt;PolicyEff),1,Milestones!$AC$164)&amp;";  ","")&amp;IF(AND(EDATE($D102,Milestones!$AA$165)&lt;=AsOfDate,EDATE($D102,Milestones!$AA$165)&gt;=SchemeStart,IF($X102=0,$AD102,IF(AND($Z102&lt;&gt;"",EDATE($D102,Milestones!$AA$165)&gt;=$Z102),$AC102,IF(AND($Y102&lt;&gt;"",EDATE($D102,Milestones!$AA$165)&gt;=$Y102),$AB102,$AA102)))=Milestones!$AB$165),UPPER(TEXT(EDATE($D102,Milestones!$AA$165),"dd mmm yy"))&amp;" "&amp;Milestones!$AB$165&amp;" "&amp;IF(AND(Milestones!$AB$165="FT",Milestones!$AA$165=FT_Y5,EDATE($D102,Milestones!$AA$165)&lt;PolicyEff),1,Milestones!$AC$165)&amp;";  ","")&amp;IF(AND(EDATE($D102,Milestones!$AA$166)&lt;=AsOfDate,EDATE($D102,Milestones!$AA$166)&gt;=SchemeStart,IF($X102=0,$AD102,IF(AND($Z102&lt;&gt;"",EDATE($D102,Milestones!$AA$166)&gt;=$Z102),$AC102,IF(AND($Y102&lt;&gt;"",EDATE($D102,Milestones!$AA$166)&gt;=$Y102),$AB102,$AA102)))=Milestones!$AB$166),UPPER(TEXT(EDATE($D102,Milestones!$AA$166),"dd mmm yy"))&amp;" "&amp;Milestones!$AB$166&amp;" "&amp;IF(AND(Milestones!$AB$166="FT",Milestones!$AA$166=FT_Y5,EDATE($D102,Milestones!$AA$166)&lt;PolicyEff),1,Milestones!$AC$166)&amp;";  ","")&amp;IF(AND(EDATE($D102,Milestones!$AA$167)&lt;=AsOfDate,EDATE($D102,Milestones!$AA$167)&gt;=SchemeStart,IF($X102=0,$AD102,IF(AND($Z102&lt;&gt;"",EDATE($D102,Milestones!$AA$167)&gt;=$Z102),$AC102,IF(AND($Y102&lt;&gt;"",EDATE($D102,Milestones!$AA$167)&gt;=$Y102),$AB102,$AA102)))=Milestones!$AB$167),UPPER(TEXT(EDATE($D102,Milestones!$AA$167),"dd mmm yy"))&amp;" "&amp;Milestones!$AB$167&amp;" "&amp;IF(AND(Milestones!$AB$167="FT",Milestones!$AA$167=FT_Y5,EDATE($D102,Milestones!$AA$167)&lt;PolicyEff),1,Milestones!$AC$167)&amp;";  ","")&amp;IF(AND(EDATE($D102,Milestones!$AA$168)&lt;=AsOfDate,EDATE($D102,Milestones!$AA$168)&gt;=SchemeStart,IF($X102=0,$AD102,IF(AND($Z102&lt;&gt;"",EDATE($D102,Milestones!$AA$168)&gt;=$Z102),$AC102,IF(AND($Y102&lt;&gt;"",EDATE($D102,Milestones!$AA$168)&gt;=$Y102),$AB102,$AA102)))=Milestones!$AB$168),UPPER(TEXT(EDATE($D102,Milestones!$AA$168),"dd mmm yy"))&amp;" "&amp;Milestones!$AB$168&amp;" "&amp;IF(AND(Milestones!$AB$168="FT",Milestones!$AA$168=FT_Y5,EDATE($D102,Milestones!$AA$168)&lt;PolicyEff),1,Milestones!$AC$168)&amp;";  ","")&amp;IF(AND(EDATE($D102,Milestones!$AA$169)&lt;=AsOfDate,EDATE($D102,Milestones!$AA$169)&gt;=SchemeStart,IF($X102=0,$AD102,IF(AND($Z102&lt;&gt;"",EDATE($D102,Milestones!$AA$169)&gt;=$Z102),$AC102,IF(AND($Y102&lt;&gt;"",EDATE($D102,Milestones!$AA$169)&gt;=$Y102),$AB102,$AA102)))=Milestones!$AB$169),UPPER(TEXT(EDATE($D102,Milestones!$AA$169),"dd mmm yy"))&amp;" "&amp;Milestones!$AB$169&amp;" "&amp;IF(AND(Milestones!$AB$169="FT",Milestones!$AA$169=FT_Y5,EDATE($D102,Milestones!$AA$169)&lt;PolicyEff),1,Milestones!$AC$169)&amp;";  ","")&amp;IF(AND(EDATE($D102,Milestones!$AA$170)&lt;=AsOfDate,EDATE($D102,Milestones!$AA$170)&gt;=SchemeStart,IF($X102=0,$AD102,IF(AND($Z102&lt;&gt;"",EDATE($D102,Milestones!$AA$170)&gt;=$Z102),$AC102,IF(AND($Y102&lt;&gt;"",EDATE($D102,Milestones!$AA$170)&gt;=$Y102),$AB102,$AA102)))=Milestones!$AB$170),UPPER(TEXT(EDATE($D102,Milestones!$AA$170),"dd mmm yy"))&amp;" "&amp;Milestones!$AB$170&amp;" "&amp;IF(AND(Milestones!$AB$170="FT",Milestones!$AA$170=FT_Y5,EDATE($D102,Milestones!$AA$170)&lt;PolicyEff),1,Milestones!$AC$170)&amp;";  ","")&amp;IF(AND(EDATE($D102,Milestones!$AA$171)&lt;=AsOfDate,EDATE($D102,Milestones!$AA$171)&gt;=SchemeStart,IF($X102=0,$AD102,IF(AND($Z102&lt;&gt;"",EDATE($D102,Milestones!$AA$171)&gt;=$Z102),$AC102,IF(AND($Y102&lt;&gt;"",EDATE($D102,Milestones!$AA$171)&gt;=$Y102),$AB102,$AA102)))=Milestones!$AB$171),UPPER(TEXT(EDATE($D102,Milestones!$AA$171),"dd mmm yy"))&amp;" "&amp;Milestones!$AB$171&amp;" "&amp;IF(AND(Milestones!$AB$171="FT",Milestones!$AA$171=FT_Y5,EDATE($D102,Milestones!$AA$171)&lt;PolicyEff),1,Milestones!$AC$171)&amp;";  ","")&amp;IF(AND(EDATE($D102,Milestones!$AA$172)&lt;=AsOfDate,EDATE($D102,Milestones!$AA$172)&gt;=SchemeStart,IF($X102=0,$AD102,IF(AND($Z102&lt;&gt;"",EDATE($D102,Milestones!$AA$172)&gt;=$Z102),$AC102,IF(AND($Y102&lt;&gt;"",EDATE($D102,Milestones!$AA$172)&gt;=$Y102),$AB102,$AA102)))=Milestones!$AB$172),UPPER(TEXT(EDATE($D102,Milestones!$AA$172),"dd mmm yy"))&amp;" "&amp;Milestones!$AB$172&amp;" "&amp;IF(AND(Milestones!$AB$172="FT",Milestones!$AA$172=FT_Y5,EDATE($D102,Milestones!$AA$172)&lt;PolicyEff),1,Milestones!$AC$172)&amp;";  ","")&amp;IF(AND(EDATE($D102,Milestones!$AA$173)&lt;=AsOfDate,EDATE($D102,Milestones!$AA$173)&gt;=SchemeStart,IF($X102=0,$AD102,IF(AND($Z102&lt;&gt;"",EDATE($D102,Milestones!$AA$173)&gt;=$Z102),$AC102,IF(AND($Y102&lt;&gt;"",EDATE($D102,Milestones!$AA$173)&gt;=$Y102),$AB102,$AA102)))=Milestones!$AB$173),UPPER(TEXT(EDATE($D102,Milestones!$AA$173),"dd mmm yy"))&amp;" "&amp;Milestones!$AB$173&amp;" "&amp;IF(AND(Milestones!$AB$173="FT",Milestones!$AA$173=FT_Y5,EDATE($D102,Milestones!$AA$173)&lt;PolicyEff),1,Milestones!$AC$173)&amp;";  ","")&amp;IF(AND(EDATE($D102,Milestones!$AA$174)&lt;=AsOfDate,EDATE($D102,Milestones!$AA$174)&gt;=SchemeStart,IF($X102=0,$AD102,IF(AND($Z102&lt;&gt;"",EDATE($D102,Milestones!$AA$174)&gt;=$Z102),$AC102,IF(AND($Y102&lt;&gt;"",EDATE($D102,Milestones!$AA$174)&gt;=$Y102),$AB102,$AA102)))=Milestones!$AB$174),UPPER(TEXT(EDATE($D102,Milestones!$AA$174),"dd mmm yy"))&amp;" "&amp;Milestones!$AB$174&amp;" "&amp;IF(AND(Milestones!$AB$174="FT",Milestones!$AA$174=FT_Y5,EDATE($D102,Milestones!$AA$174)&lt;PolicyEff),1,Milestones!$AC$174)&amp;";  ","")&amp;IF(AND(EDATE($D102,Milestones!$AA$175)&lt;=AsOfDate,EDATE($D102,Milestones!$AA$175)&gt;=SchemeStart,IF($X102=0,$AD102,IF(AND($Z102&lt;&gt;"",EDATE($D102,Milestones!$AA$175)&gt;=$Z102),$AC102,IF(AND($Y102&lt;&gt;"",EDATE($D102,Milestones!$AA$175)&gt;=$Y102),$AB102,$AA102)))=Milestones!$AB$175),UPPER(TEXT(EDATE($D102,Milestones!$AA$175),"dd mmm yy"))&amp;" "&amp;Milestones!$AB$175&amp;" "&amp;IF(AND(Milestones!$AB$175="FT",Milestones!$AA$175=FT_Y5,EDATE($D102,Milestones!$AA$175)&lt;PolicyEff),1,Milestones!$AC$175)&amp;";  ",""))</f>
        <v/>
      </c>
      <c r="V102" s="0" t="str">
        <f aca="false">IF(OR($A102="",$D102=""),"",IF(AND(EDATE($D102,Milestones!$AA$176)&lt;=AsOfDate,EDATE($D102,Milestones!$AA$176)&gt;=SchemeStart,IF($X102=0,$AD102,IF(AND($Z102&lt;&gt;"",EDATE($D102,Milestones!$AA$176)&gt;=$Z102),$AC102,IF(AND($Y102&lt;&gt;"",EDATE($D102,Milestones!$AA$176)&gt;=$Y102),$AB102,$AA102)))=Milestones!$AB$176),UPPER(TEXT(EDATE($D102,Milestones!$AA$176),"dd mmm yy"))&amp;" "&amp;Milestones!$AB$176&amp;" "&amp;IF(AND(Milestones!$AB$176="FT",Milestones!$AA$176=FT_Y5,EDATE($D102,Milestones!$AA$176)&lt;PolicyEff),1,Milestones!$AC$176)&amp;";  ","")&amp;IF(AND(EDATE($D102,Milestones!$AA$177)&lt;=AsOfDate,EDATE($D102,Milestones!$AA$177)&gt;=SchemeStart,IF($X102=0,$AD102,IF(AND($Z102&lt;&gt;"",EDATE($D102,Milestones!$AA$177)&gt;=$Z102),$AC102,IF(AND($Y102&lt;&gt;"",EDATE($D102,Milestones!$AA$177)&gt;=$Y102),$AB102,$AA102)))=Milestones!$AB$177),UPPER(TEXT(EDATE($D102,Milestones!$AA$177),"dd mmm yy"))&amp;" "&amp;Milestones!$AB$177&amp;" "&amp;IF(AND(Milestones!$AB$177="FT",Milestones!$AA$177=FT_Y5,EDATE($D102,Milestones!$AA$177)&lt;PolicyEff),1,Milestones!$AC$177)&amp;";  ","")&amp;IF(AND(EDATE($D102,Milestones!$AA$178)&lt;=AsOfDate,EDATE($D102,Milestones!$AA$178)&gt;=SchemeStart,IF($X102=0,$AD102,IF(AND($Z102&lt;&gt;"",EDATE($D102,Milestones!$AA$178)&gt;=$Z102),$AC102,IF(AND($Y102&lt;&gt;"",EDATE($D102,Milestones!$AA$178)&gt;=$Y102),$AB102,$AA102)))=Milestones!$AB$178),UPPER(TEXT(EDATE($D102,Milestones!$AA$178),"dd mmm yy"))&amp;" "&amp;Milestones!$AB$178&amp;" "&amp;IF(AND(Milestones!$AB$178="FT",Milestones!$AA$178=FT_Y5,EDATE($D102,Milestones!$AA$178)&lt;PolicyEff),1,Milestones!$AC$178)&amp;";  ","")&amp;IF(AND(EDATE($D102,Milestones!$AA$179)&lt;=AsOfDate,EDATE($D102,Milestones!$AA$179)&gt;=SchemeStart,IF($X102=0,$AD102,IF(AND($Z102&lt;&gt;"",EDATE($D102,Milestones!$AA$179)&gt;=$Z102),$AC102,IF(AND($Y102&lt;&gt;"",EDATE($D102,Milestones!$AA$179)&gt;=$Y102),$AB102,$AA102)))=Milestones!$AB$179),UPPER(TEXT(EDATE($D102,Milestones!$AA$179),"dd mmm yy"))&amp;" "&amp;Milestones!$AB$179&amp;" "&amp;IF(AND(Milestones!$AB$179="FT",Milestones!$AA$179=FT_Y5,EDATE($D102,Milestones!$AA$179)&lt;PolicyEff),1,Milestones!$AC$179)&amp;";  ","")&amp;IF(AND(EDATE($D102,Milestones!$AA$180)&lt;=AsOfDate,EDATE($D102,Milestones!$AA$180)&gt;=SchemeStart,IF($X102=0,$AD102,IF(AND($Z102&lt;&gt;"",EDATE($D102,Milestones!$AA$180)&gt;=$Z102),$AC102,IF(AND($Y102&lt;&gt;"",EDATE($D102,Milestones!$AA$180)&gt;=$Y102),$AB102,$AA102)))=Milestones!$AB$180),UPPER(TEXT(EDATE($D102,Milestones!$AA$180),"dd mmm yy"))&amp;" "&amp;Milestones!$AB$180&amp;" "&amp;IF(AND(Milestones!$AB$180="FT",Milestones!$AA$180=FT_Y5,EDATE($D102,Milestones!$AA$180)&lt;PolicyEff),1,Milestones!$AC$180)&amp;";  ","")&amp;IF(AND(EDATE($D102,Milestones!$AA$181)&lt;=AsOfDate,EDATE($D102,Milestones!$AA$181)&gt;=SchemeStart,IF($X102=0,$AD102,IF(AND($Z102&lt;&gt;"",EDATE($D102,Milestones!$AA$181)&gt;=$Z102),$AC102,IF(AND($Y102&lt;&gt;"",EDATE($D102,Milestones!$AA$181)&gt;=$Y102),$AB102,$AA102)))=Milestones!$AB$181),UPPER(TEXT(EDATE($D102,Milestones!$AA$181),"dd mmm yy"))&amp;" "&amp;Milestones!$AB$181&amp;" "&amp;IF(AND(Milestones!$AB$181="FT",Milestones!$AA$181=FT_Y5,EDATE($D102,Milestones!$AA$181)&lt;PolicyEff),1,Milestones!$AC$181)&amp;";  ","")&amp;IF(AND(EDATE($D102,Milestones!$AA$182)&lt;=AsOfDate,EDATE($D102,Milestones!$AA$182)&gt;=SchemeStart,IF($X102=0,$AD102,IF(AND($Z102&lt;&gt;"",EDATE($D102,Milestones!$AA$182)&gt;=$Z102),$AC102,IF(AND($Y102&lt;&gt;"",EDATE($D102,Milestones!$AA$182)&gt;=$Y102),$AB102,$AA102)))=Milestones!$AB$182),UPPER(TEXT(EDATE($D102,Milestones!$AA$182),"dd mmm yy"))&amp;" "&amp;Milestones!$AB$182&amp;" "&amp;IF(AND(Milestones!$AB$182="FT",Milestones!$AA$182=FT_Y5,EDATE($D102,Milestones!$AA$182)&lt;PolicyEff),1,Milestones!$AC$182)&amp;";  ","")&amp;IF(AND(EDATE($D102,Milestones!$AA$183)&lt;=AsOfDate,EDATE($D102,Milestones!$AA$183)&gt;=SchemeStart,IF($X102=0,$AD102,IF(AND($Z102&lt;&gt;"",EDATE($D102,Milestones!$AA$183)&gt;=$Z102),$AC102,IF(AND($Y102&lt;&gt;"",EDATE($D102,Milestones!$AA$183)&gt;=$Y102),$AB102,$AA102)))=Milestones!$AB$183),UPPER(TEXT(EDATE($D102,Milestones!$AA$183),"dd mmm yy"))&amp;" "&amp;Milestones!$AB$183&amp;" "&amp;IF(AND(Milestones!$AB$183="FT",Milestones!$AA$183=FT_Y5,EDATE($D102,Milestones!$AA$183)&lt;PolicyEff),1,Milestones!$AC$183)&amp;";  ","")&amp;IF(AND(EDATE($D102,Milestones!$AA$184)&lt;=AsOfDate,EDATE($D102,Milestones!$AA$184)&gt;=SchemeStart,IF($X102=0,$AD102,IF(AND($Z102&lt;&gt;"",EDATE($D102,Milestones!$AA$184)&gt;=$Z102),$AC102,IF(AND($Y102&lt;&gt;"",EDATE($D102,Milestones!$AA$184)&gt;=$Y102),$AB102,$AA102)))=Milestones!$AB$184),UPPER(TEXT(EDATE($D102,Milestones!$AA$184),"dd mmm yy"))&amp;" "&amp;Milestones!$AB$184&amp;" "&amp;IF(AND(Milestones!$AB$184="FT",Milestones!$AA$184=FT_Y5,EDATE($D102,Milestones!$AA$184)&lt;PolicyEff),1,Milestones!$AC$184)&amp;";  ","")&amp;IF(AND(EDATE($D102,Milestones!$AA$185)&lt;=AsOfDate,EDATE($D102,Milestones!$AA$185)&gt;=SchemeStart,IF($X102=0,$AD102,IF(AND($Z102&lt;&gt;"",EDATE($D102,Milestones!$AA$185)&gt;=$Z102),$AC102,IF(AND($Y102&lt;&gt;"",EDATE($D102,Milestones!$AA$185)&gt;=$Y102),$AB102,$AA102)))=Milestones!$AB$185),UPPER(TEXT(EDATE($D102,Milestones!$AA$185),"dd mmm yy"))&amp;" "&amp;Milestones!$AB$185&amp;" "&amp;IF(AND(Milestones!$AB$185="FT",Milestones!$AA$185=FT_Y5,EDATE($D102,Milestones!$AA$185)&lt;PolicyEff),1,Milestones!$AC$185)&amp;";  ","")&amp;IF(AND(EDATE($D102,Milestones!$AA$186)&lt;=AsOfDate,EDATE($D102,Milestones!$AA$186)&gt;=SchemeStart,IF($X102=0,$AD102,IF(AND($Z102&lt;&gt;"",EDATE($D102,Milestones!$AA$186)&gt;=$Z102),$AC102,IF(AND($Y102&lt;&gt;"",EDATE($D102,Milestones!$AA$186)&gt;=$Y102),$AB102,$AA102)))=Milestones!$AB$186),UPPER(TEXT(EDATE($D102,Milestones!$AA$186),"dd mmm yy"))&amp;" "&amp;Milestones!$AB$186&amp;" "&amp;IF(AND(Milestones!$AB$186="FT",Milestones!$AA$186=FT_Y5,EDATE($D102,Milestones!$AA$186)&lt;PolicyEff),1,Milestones!$AC$186)&amp;";  ","")&amp;IF(AND(EDATE($D102,Milestones!$AA$187)&lt;=AsOfDate,EDATE($D102,Milestones!$AA$187)&gt;=SchemeStart,IF($X102=0,$AD102,IF(AND($Z102&lt;&gt;"",EDATE($D102,Milestones!$AA$187)&gt;=$Z102),$AC102,IF(AND($Y102&lt;&gt;"",EDATE($D102,Milestones!$AA$187)&gt;=$Y102),$AB102,$AA102)))=Milestones!$AB$187),UPPER(TEXT(EDATE($D102,Milestones!$AA$187),"dd mmm yy"))&amp;" "&amp;Milestones!$AB$187&amp;" "&amp;IF(AND(Milestones!$AB$187="FT",Milestones!$AA$187=FT_Y5,EDATE($D102,Milestones!$AA$187)&lt;PolicyEff),1,Milestones!$AC$187)&amp;";  ",""))</f>
        <v/>
      </c>
      <c r="W102" s="0" t="str">
        <f aca="false">IF(OR($A102="",$D102=""),"",IF(AND(EDATE($D102,Milestones!$AA$188)&lt;=AsOfDate,EDATE($D102,Milestones!$AA$188)&gt;=SchemeStart,IF($X102=0,$AD102,IF(AND($Z102&lt;&gt;"",EDATE($D102,Milestones!$AA$188)&gt;=$Z102),$AC102,IF(AND($Y102&lt;&gt;"",EDATE($D102,Milestones!$AA$188)&gt;=$Y102),$AB102,$AA102)))=Milestones!$AB$188),UPPER(TEXT(EDATE($D102,Milestones!$AA$188),"dd mmm yy"))&amp;" "&amp;Milestones!$AB$188&amp;" "&amp;IF(AND(Milestones!$AB$188="FT",Milestones!$AA$188=FT_Y5,EDATE($D102,Milestones!$AA$188)&lt;PolicyEff),1,Milestones!$AC$188)&amp;";  ","")&amp;IF(AND(EDATE($D102,Milestones!$AA$189)&lt;=AsOfDate,EDATE($D102,Milestones!$AA$189)&gt;=SchemeStart,IF($X102=0,$AD102,IF(AND($Z102&lt;&gt;"",EDATE($D102,Milestones!$AA$189)&gt;=$Z102),$AC102,IF(AND($Y102&lt;&gt;"",EDATE($D102,Milestones!$AA$189)&gt;=$Y102),$AB102,$AA102)))=Milestones!$AB$189),UPPER(TEXT(EDATE($D102,Milestones!$AA$189),"dd mmm yy"))&amp;" "&amp;Milestones!$AB$189&amp;" "&amp;IF(AND(Milestones!$AB$189="FT",Milestones!$AA$189=FT_Y5,EDATE($D102,Milestones!$AA$189)&lt;PolicyEff),1,Milestones!$AC$189)&amp;";  ","")&amp;IF(AND(EDATE($D102,Milestones!$AA$190)&lt;=AsOfDate,EDATE($D102,Milestones!$AA$190)&gt;=SchemeStart,IF($X102=0,$AD102,IF(AND($Z102&lt;&gt;"",EDATE($D102,Milestones!$AA$190)&gt;=$Z102),$AC102,IF(AND($Y102&lt;&gt;"",EDATE($D102,Milestones!$AA$190)&gt;=$Y102),$AB102,$AA102)))=Milestones!$AB$190),UPPER(TEXT(EDATE($D102,Milestones!$AA$190),"dd mmm yy"))&amp;" "&amp;Milestones!$AB$190&amp;" "&amp;IF(AND(Milestones!$AB$190="FT",Milestones!$AA$190=FT_Y5,EDATE($D102,Milestones!$AA$190)&lt;PolicyEff),1,Milestones!$AC$190)&amp;";  ","")&amp;IF(AND(EDATE($D102,Milestones!$AA$191)&lt;=AsOfDate,EDATE($D102,Milestones!$AA$191)&gt;=SchemeStart,IF($X102=0,$AD102,IF(AND($Z102&lt;&gt;"",EDATE($D102,Milestones!$AA$191)&gt;=$Z102),$AC102,IF(AND($Y102&lt;&gt;"",EDATE($D102,Milestones!$AA$191)&gt;=$Y102),$AB102,$AA102)))=Milestones!$AB$191),UPPER(TEXT(EDATE($D102,Milestones!$AA$191),"dd mmm yy"))&amp;" "&amp;Milestones!$AB$191&amp;" "&amp;IF(AND(Milestones!$AB$191="FT",Milestones!$AA$191=FT_Y5,EDATE($D102,Milestones!$AA$191)&lt;PolicyEff),1,Milestones!$AC$191)&amp;";  ","")&amp;IF(AND(EDATE($D102,Milestones!$AA$192)&lt;=AsOfDate,EDATE($D102,Milestones!$AA$192)&gt;=SchemeStart,IF($X102=0,$AD102,IF(AND($Z102&lt;&gt;"",EDATE($D102,Milestones!$AA$192)&gt;=$Z102),$AC102,IF(AND($Y102&lt;&gt;"",EDATE($D102,Milestones!$AA$192)&gt;=$Y102),$AB102,$AA102)))=Milestones!$AB$192),UPPER(TEXT(EDATE($D102,Milestones!$AA$192),"dd mmm yy"))&amp;" "&amp;Milestones!$AB$192&amp;" "&amp;IF(AND(Milestones!$AB$192="FT",Milestones!$AA$192=FT_Y5,EDATE($D102,Milestones!$AA$192)&lt;PolicyEff),1,Milestones!$AC$192)&amp;";  ","")&amp;IF(AND(EDATE($D102,Milestones!$AA$193)&lt;=AsOfDate,EDATE($D102,Milestones!$AA$193)&gt;=SchemeStart,IF($X102=0,$AD102,IF(AND($Z102&lt;&gt;"",EDATE($D102,Milestones!$AA$193)&gt;=$Z102),$AC102,IF(AND($Y102&lt;&gt;"",EDATE($D102,Milestones!$AA$193)&gt;=$Y102),$AB102,$AA102)))=Milestones!$AB$193),UPPER(TEXT(EDATE($D102,Milestones!$AA$193),"dd mmm yy"))&amp;" "&amp;Milestones!$AB$193&amp;" "&amp;IF(AND(Milestones!$AB$193="FT",Milestones!$AA$193=FT_Y5,EDATE($D102,Milestones!$AA$193)&lt;PolicyEff),1,Milestones!$AC$193)&amp;";  ","")&amp;IF(AND(EDATE($D102,Milestones!$AA$194)&lt;=AsOfDate,EDATE($D102,Milestones!$AA$194)&gt;=SchemeStart,IF($X102=0,$AD102,IF(AND($Z102&lt;&gt;"",EDATE($D102,Milestones!$AA$194)&gt;=$Z102),$AC102,IF(AND($Y102&lt;&gt;"",EDATE($D102,Milestones!$AA$194)&gt;=$Y102),$AB102,$AA102)))=Milestones!$AB$194),UPPER(TEXT(EDATE($D102,Milestones!$AA$194),"dd mmm yy"))&amp;" "&amp;Milestones!$AB$194&amp;" "&amp;IF(AND(Milestones!$AB$194="FT",Milestones!$AA$194=FT_Y5,EDATE($D102,Milestones!$AA$194)&lt;PolicyEff),1,Milestones!$AC$194)&amp;";  ","")&amp;IF(AND(EDATE($D102,Milestones!$AA$195)&lt;=AsOfDate,EDATE($D102,Milestones!$AA$195)&gt;=SchemeStart,IF($X102=0,$AD102,IF(AND($Z102&lt;&gt;"",EDATE($D102,Milestones!$AA$195)&gt;=$Z102),$AC102,IF(AND($Y102&lt;&gt;"",EDATE($D102,Milestones!$AA$195)&gt;=$Y102),$AB102,$AA102)))=Milestones!$AB$195),UPPER(TEXT(EDATE($D102,Milestones!$AA$195),"dd mmm yy"))&amp;" "&amp;Milestones!$AB$195&amp;" "&amp;IF(AND(Milestones!$AB$195="FT",Milestones!$AA$195=FT_Y5,EDATE($D102,Milestones!$AA$195)&lt;PolicyEff),1,Milestones!$AC$195)&amp;";  ","")&amp;IF(AND(EDATE($D102,Milestones!$AA$196)&lt;=AsOfDate,EDATE($D102,Milestones!$AA$196)&gt;=SchemeStart,IF($X102=0,$AD102,IF(AND($Z102&lt;&gt;"",EDATE($D102,Milestones!$AA$196)&gt;=$Z102),$AC102,IF(AND($Y102&lt;&gt;"",EDATE($D102,Milestones!$AA$196)&gt;=$Y102),$AB102,$AA102)))=Milestones!$AB$196),UPPER(TEXT(EDATE($D102,Milestones!$AA$196),"dd mmm yy"))&amp;" "&amp;Milestones!$AB$196&amp;" "&amp;IF(AND(Milestones!$AB$196="FT",Milestones!$AA$196=FT_Y5,EDATE($D102,Milestones!$AA$196)&lt;PolicyEff),1,Milestones!$AC$196)&amp;";  ","")&amp;IF(AND(EDATE($D102,Milestones!$AA$197)&lt;=AsOfDate,EDATE($D102,Milestones!$AA$197)&gt;=SchemeStart,IF($X102=0,$AD102,IF(AND($Z102&lt;&gt;"",EDATE($D102,Milestones!$AA$197)&gt;=$Z102),$AC102,IF(AND($Y102&lt;&gt;"",EDATE($D102,Milestones!$AA$197)&gt;=$Y102),$AB102,$AA102)))=Milestones!$AB$197),UPPER(TEXT(EDATE($D102,Milestones!$AA$197),"dd mmm yy"))&amp;" "&amp;Milestones!$AB$197&amp;" "&amp;IF(AND(Milestones!$AB$197="FT",Milestones!$AA$197=FT_Y5,EDATE($D102,Milestones!$AA$197)&lt;PolicyEff),1,Milestones!$AC$197)&amp;";  ","")&amp;IF(AND(EDATE($D102,Milestones!$AA$198)&lt;=AsOfDate,EDATE($D102,Milestones!$AA$198)&gt;=SchemeStart,IF($X102=0,$AD102,IF(AND($Z102&lt;&gt;"",EDATE($D102,Milestones!$AA$198)&gt;=$Z102),$AC102,IF(AND($Y102&lt;&gt;"",EDATE($D102,Milestones!$AA$198)&gt;=$Y102),$AB102,$AA102)))=Milestones!$AB$198),UPPER(TEXT(EDATE($D102,Milestones!$AA$198),"dd mmm yy"))&amp;" "&amp;Milestones!$AB$198&amp;" "&amp;IF(AND(Milestones!$AB$198="FT",Milestones!$AA$198=FT_Y5,EDATE($D102,Milestones!$AA$198)&lt;PolicyEff),1,Milestones!$AC$198)&amp;";  ","")&amp;IF(AND(EDATE($D102,Milestones!$AA$199)&lt;=AsOfDate,EDATE($D102,Milestones!$AA$199)&gt;=SchemeStart,IF($X102=0,$AD102,IF(AND($Z102&lt;&gt;"",EDATE($D102,Milestones!$AA$199)&gt;=$Z102),$AC102,IF(AND($Y102&lt;&gt;"",EDATE($D102,Milestones!$AA$199)&gt;=$Y102),$AB102,$AA102)))=Milestones!$AB$199),UPPER(TEXT(EDATE($D102,Milestones!$AA$199),"dd mmm yy"))&amp;" "&amp;Milestones!$AB$199&amp;" "&amp;IF(AND(Milestones!$AB$199="FT",Milestones!$AA$199=FT_Y5,EDATE($D102,Milestones!$AA$199)&lt;PolicyEff),1,Milestones!$AC$199)&amp;";  ",""))</f>
        <v/>
      </c>
      <c r="X102" s="0" t="str">
        <f aca="false">IF(Staff!$A102="","",Staff!$AM102)</f>
        <v/>
      </c>
      <c r="Y102" s="0" t="str">
        <f aca="false">IF(Staff!$A102="","",Staff!$AO102)</f>
        <v/>
      </c>
      <c r="Z102" s="0" t="str">
        <f aca="false">IF(Staff!$A102="","",Staff!$AP102)</f>
        <v/>
      </c>
      <c r="AA102" s="0" t="str">
        <f aca="false">IF(Staff!$A102="","",Staff!$AT102)</f>
        <v/>
      </c>
      <c r="AB102" s="0" t="str">
        <f aca="false">IF(Staff!$A102="","",Staff!$AU102)</f>
        <v/>
      </c>
      <c r="AC102" s="0" t="str">
        <f aca="false">IF(Staff!$A102="","",Staff!$AV102)</f>
        <v/>
      </c>
      <c r="AD102" s="0" t="str">
        <f aca="false">IF(Staff!$A102="","",Staff!$AW102)</f>
        <v/>
      </c>
    </row>
    <row r="103" customFormat="false" ht="15" hidden="false" customHeight="false" outlineLevel="0" collapsed="false">
      <c r="A103" s="16" t="str">
        <f aca="false">IF(Staff!$A103="","",Staff!$A103)</f>
        <v/>
      </c>
      <c r="B103" s="16" t="str">
        <f aca="false">IF(Staff!$A103="","",Staff!$B103)</f>
        <v/>
      </c>
      <c r="C103" s="16" t="str">
        <f aca="false">IF(Staff!$A103="","",Staff!$C103)</f>
        <v/>
      </c>
      <c r="D103" s="14" t="str">
        <f aca="false">IF(Staff!$A103="","",Staff!$AL103)</f>
        <v/>
      </c>
      <c r="E103" s="16" t="str">
        <f aca="false">IF(Staff!$A103="","",Staff!$O103)</f>
        <v/>
      </c>
      <c r="F103" s="16" t="str">
        <f aca="false">IF(E103="","",E103*HoursPerDay)</f>
        <v/>
      </c>
      <c r="G103" s="16" t="str">
        <f aca="false">IF(Staff!$A103="","",Staff!$AE103)</f>
        <v/>
      </c>
      <c r="H103" s="28" t="str">
        <f aca="false">IF($A103="","",I103&amp;J103&amp;K103&amp;L103&amp;M103&amp;N103&amp;O103&amp;P103&amp;Q103&amp;R103&amp;S103&amp;T103&amp;U103&amp;V103&amp;W103)</f>
        <v/>
      </c>
      <c r="I103" s="0" t="str">
        <f aca="false">IF(OR($A103="",$D103=""),"",IF(AND(EDATE($D103,Milestones!$AA$20)&lt;=AsOfDate,EDATE($D103,Milestones!$AA$20)&gt;=SchemeStart,IF($X103=0,$AD103,IF(AND($Z103&lt;&gt;"",EDATE($D103,Milestones!$AA$20)&gt;=$Z103),$AC103,IF(AND($Y103&lt;&gt;"",EDATE($D103,Milestones!$AA$20)&gt;=$Y103),$AB103,$AA103)))=Milestones!$AB$20),UPPER(TEXT(EDATE($D103,Milestones!$AA$20),"dd mmm yy"))&amp;" "&amp;Milestones!$AB$20&amp;" "&amp;IF(AND(Milestones!$AB$20="FT",Milestones!$AA$20=FT_Y5,EDATE($D103,Milestones!$AA$20)&lt;PolicyEff),1,Milestones!$AC$20)&amp;";  ","")&amp;IF(AND(EDATE($D103,Milestones!$AA$21)&lt;=AsOfDate,EDATE($D103,Milestones!$AA$21)&gt;=SchemeStart,IF($X103=0,$AD103,IF(AND($Z103&lt;&gt;"",EDATE($D103,Milestones!$AA$21)&gt;=$Z103),$AC103,IF(AND($Y103&lt;&gt;"",EDATE($D103,Milestones!$AA$21)&gt;=$Y103),$AB103,$AA103)))=Milestones!$AB$21),UPPER(TEXT(EDATE($D103,Milestones!$AA$21),"dd mmm yy"))&amp;" "&amp;Milestones!$AB$21&amp;" "&amp;IF(AND(Milestones!$AB$21="FT",Milestones!$AA$21=FT_Y5,EDATE($D103,Milestones!$AA$21)&lt;PolicyEff),1,Milestones!$AC$21)&amp;";  ","")&amp;IF(AND(EDATE($D103,Milestones!$AA$22)&lt;=AsOfDate,EDATE($D103,Milestones!$AA$22)&gt;=SchemeStart,IF($X103=0,$AD103,IF(AND($Z103&lt;&gt;"",EDATE($D103,Milestones!$AA$22)&gt;=$Z103),$AC103,IF(AND($Y103&lt;&gt;"",EDATE($D103,Milestones!$AA$22)&gt;=$Y103),$AB103,$AA103)))=Milestones!$AB$22),UPPER(TEXT(EDATE($D103,Milestones!$AA$22),"dd mmm yy"))&amp;" "&amp;Milestones!$AB$22&amp;" "&amp;IF(AND(Milestones!$AB$22="FT",Milestones!$AA$22=FT_Y5,EDATE($D103,Milestones!$AA$22)&lt;PolicyEff),1,Milestones!$AC$22)&amp;";  ","")&amp;IF(AND(EDATE($D103,Milestones!$AA$23)&lt;=AsOfDate,EDATE($D103,Milestones!$AA$23)&gt;=SchemeStart,IF($X103=0,$AD103,IF(AND($Z103&lt;&gt;"",EDATE($D103,Milestones!$AA$23)&gt;=$Z103),$AC103,IF(AND($Y103&lt;&gt;"",EDATE($D103,Milestones!$AA$23)&gt;=$Y103),$AB103,$AA103)))=Milestones!$AB$23),UPPER(TEXT(EDATE($D103,Milestones!$AA$23),"dd mmm yy"))&amp;" "&amp;Milestones!$AB$23&amp;" "&amp;IF(AND(Milestones!$AB$23="FT",Milestones!$AA$23=FT_Y5,EDATE($D103,Milestones!$AA$23)&lt;PolicyEff),1,Milestones!$AC$23)&amp;";  ","")&amp;IF(AND(EDATE($D103,Milestones!$AA$24)&lt;=AsOfDate,EDATE($D103,Milestones!$AA$24)&gt;=SchemeStart,IF($X103=0,$AD103,IF(AND($Z103&lt;&gt;"",EDATE($D103,Milestones!$AA$24)&gt;=$Z103),$AC103,IF(AND($Y103&lt;&gt;"",EDATE($D103,Milestones!$AA$24)&gt;=$Y103),$AB103,$AA103)))=Milestones!$AB$24),UPPER(TEXT(EDATE($D103,Milestones!$AA$24),"dd mmm yy"))&amp;" "&amp;Milestones!$AB$24&amp;" "&amp;IF(AND(Milestones!$AB$24="FT",Milestones!$AA$24=FT_Y5,EDATE($D103,Milestones!$AA$24)&lt;PolicyEff),1,Milestones!$AC$24)&amp;";  ","")&amp;IF(AND(EDATE($D103,Milestones!$AA$25)&lt;=AsOfDate,EDATE($D103,Milestones!$AA$25)&gt;=SchemeStart,IF($X103=0,$AD103,IF(AND($Z103&lt;&gt;"",EDATE($D103,Milestones!$AA$25)&gt;=$Z103),$AC103,IF(AND($Y103&lt;&gt;"",EDATE($D103,Milestones!$AA$25)&gt;=$Y103),$AB103,$AA103)))=Milestones!$AB$25),UPPER(TEXT(EDATE($D103,Milestones!$AA$25),"dd mmm yy"))&amp;" "&amp;Milestones!$AB$25&amp;" "&amp;IF(AND(Milestones!$AB$25="FT",Milestones!$AA$25=FT_Y5,EDATE($D103,Milestones!$AA$25)&lt;PolicyEff),1,Milestones!$AC$25)&amp;";  ","")&amp;IF(AND(EDATE($D103,Milestones!$AA$26)&lt;=AsOfDate,EDATE($D103,Milestones!$AA$26)&gt;=SchemeStart,IF($X103=0,$AD103,IF(AND($Z103&lt;&gt;"",EDATE($D103,Milestones!$AA$26)&gt;=$Z103),$AC103,IF(AND($Y103&lt;&gt;"",EDATE($D103,Milestones!$AA$26)&gt;=$Y103),$AB103,$AA103)))=Milestones!$AB$26),UPPER(TEXT(EDATE($D103,Milestones!$AA$26),"dd mmm yy"))&amp;" "&amp;Milestones!$AB$26&amp;" "&amp;IF(AND(Milestones!$AB$26="FT",Milestones!$AA$26=FT_Y5,EDATE($D103,Milestones!$AA$26)&lt;PolicyEff),1,Milestones!$AC$26)&amp;";  ","")&amp;IF(AND(EDATE($D103,Milestones!$AA$27)&lt;=AsOfDate,EDATE($D103,Milestones!$AA$27)&gt;=SchemeStart,IF($X103=0,$AD103,IF(AND($Z103&lt;&gt;"",EDATE($D103,Milestones!$AA$27)&gt;=$Z103),$AC103,IF(AND($Y103&lt;&gt;"",EDATE($D103,Milestones!$AA$27)&gt;=$Y103),$AB103,$AA103)))=Milestones!$AB$27),UPPER(TEXT(EDATE($D103,Milestones!$AA$27),"dd mmm yy"))&amp;" "&amp;Milestones!$AB$27&amp;" "&amp;IF(AND(Milestones!$AB$27="FT",Milestones!$AA$27=FT_Y5,EDATE($D103,Milestones!$AA$27)&lt;PolicyEff),1,Milestones!$AC$27)&amp;";  ","")&amp;IF(AND(EDATE($D103,Milestones!$AA$28)&lt;=AsOfDate,EDATE($D103,Milestones!$AA$28)&gt;=SchemeStart,IF($X103=0,$AD103,IF(AND($Z103&lt;&gt;"",EDATE($D103,Milestones!$AA$28)&gt;=$Z103),$AC103,IF(AND($Y103&lt;&gt;"",EDATE($D103,Milestones!$AA$28)&gt;=$Y103),$AB103,$AA103)))=Milestones!$AB$28),UPPER(TEXT(EDATE($D103,Milestones!$AA$28),"dd mmm yy"))&amp;" "&amp;Milestones!$AB$28&amp;" "&amp;IF(AND(Milestones!$AB$28="FT",Milestones!$AA$28=FT_Y5,EDATE($D103,Milestones!$AA$28)&lt;PolicyEff),1,Milestones!$AC$28)&amp;";  ","")&amp;IF(AND(EDATE($D103,Milestones!$AA$29)&lt;=AsOfDate,EDATE($D103,Milestones!$AA$29)&gt;=SchemeStart,IF($X103=0,$AD103,IF(AND($Z103&lt;&gt;"",EDATE($D103,Milestones!$AA$29)&gt;=$Z103),$AC103,IF(AND($Y103&lt;&gt;"",EDATE($D103,Milestones!$AA$29)&gt;=$Y103),$AB103,$AA103)))=Milestones!$AB$29),UPPER(TEXT(EDATE($D103,Milestones!$AA$29),"dd mmm yy"))&amp;" "&amp;Milestones!$AB$29&amp;" "&amp;IF(AND(Milestones!$AB$29="FT",Milestones!$AA$29=FT_Y5,EDATE($D103,Milestones!$AA$29)&lt;PolicyEff),1,Milestones!$AC$29)&amp;";  ","")&amp;IF(AND(EDATE($D103,Milestones!$AA$30)&lt;=AsOfDate,EDATE($D103,Milestones!$AA$30)&gt;=SchemeStart,IF($X103=0,$AD103,IF(AND($Z103&lt;&gt;"",EDATE($D103,Milestones!$AA$30)&gt;=$Z103),$AC103,IF(AND($Y103&lt;&gt;"",EDATE($D103,Milestones!$AA$30)&gt;=$Y103),$AB103,$AA103)))=Milestones!$AB$30),UPPER(TEXT(EDATE($D103,Milestones!$AA$30),"dd mmm yy"))&amp;" "&amp;Milestones!$AB$30&amp;" "&amp;IF(AND(Milestones!$AB$30="FT",Milestones!$AA$30=FT_Y5,EDATE($D103,Milestones!$AA$30)&lt;PolicyEff),1,Milestones!$AC$30)&amp;";  ","")&amp;IF(AND(EDATE($D103,Milestones!$AA$31)&lt;=AsOfDate,EDATE($D103,Milestones!$AA$31)&gt;=SchemeStart,IF($X103=0,$AD103,IF(AND($Z103&lt;&gt;"",EDATE($D103,Milestones!$AA$31)&gt;=$Z103),$AC103,IF(AND($Y103&lt;&gt;"",EDATE($D103,Milestones!$AA$31)&gt;=$Y103),$AB103,$AA103)))=Milestones!$AB$31),UPPER(TEXT(EDATE($D103,Milestones!$AA$31),"dd mmm yy"))&amp;" "&amp;Milestones!$AB$31&amp;" "&amp;IF(AND(Milestones!$AB$31="FT",Milestones!$AA$31=FT_Y5,EDATE($D103,Milestones!$AA$31)&lt;PolicyEff),1,Milestones!$AC$31)&amp;";  ",""))</f>
        <v/>
      </c>
      <c r="J103" s="0" t="str">
        <f aca="false">IF(OR($A103="",$D103=""),"",IF(AND(EDATE($D103,Milestones!$AA$32)&lt;=AsOfDate,EDATE($D103,Milestones!$AA$32)&gt;=SchemeStart,IF($X103=0,$AD103,IF(AND($Z103&lt;&gt;"",EDATE($D103,Milestones!$AA$32)&gt;=$Z103),$AC103,IF(AND($Y103&lt;&gt;"",EDATE($D103,Milestones!$AA$32)&gt;=$Y103),$AB103,$AA103)))=Milestones!$AB$32),UPPER(TEXT(EDATE($D103,Milestones!$AA$32),"dd mmm yy"))&amp;" "&amp;Milestones!$AB$32&amp;" "&amp;IF(AND(Milestones!$AB$32="FT",Milestones!$AA$32=FT_Y5,EDATE($D103,Milestones!$AA$32)&lt;PolicyEff),1,Milestones!$AC$32)&amp;";  ","")&amp;IF(AND(EDATE($D103,Milestones!$AA$33)&lt;=AsOfDate,EDATE($D103,Milestones!$AA$33)&gt;=SchemeStart,IF($X103=0,$AD103,IF(AND($Z103&lt;&gt;"",EDATE($D103,Milestones!$AA$33)&gt;=$Z103),$AC103,IF(AND($Y103&lt;&gt;"",EDATE($D103,Milestones!$AA$33)&gt;=$Y103),$AB103,$AA103)))=Milestones!$AB$33),UPPER(TEXT(EDATE($D103,Milestones!$AA$33),"dd mmm yy"))&amp;" "&amp;Milestones!$AB$33&amp;" "&amp;IF(AND(Milestones!$AB$33="FT",Milestones!$AA$33=FT_Y5,EDATE($D103,Milestones!$AA$33)&lt;PolicyEff),1,Milestones!$AC$33)&amp;";  ","")&amp;IF(AND(EDATE($D103,Milestones!$AA$34)&lt;=AsOfDate,EDATE($D103,Milestones!$AA$34)&gt;=SchemeStart,IF($X103=0,$AD103,IF(AND($Z103&lt;&gt;"",EDATE($D103,Milestones!$AA$34)&gt;=$Z103),$AC103,IF(AND($Y103&lt;&gt;"",EDATE($D103,Milestones!$AA$34)&gt;=$Y103),$AB103,$AA103)))=Milestones!$AB$34),UPPER(TEXT(EDATE($D103,Milestones!$AA$34),"dd mmm yy"))&amp;" "&amp;Milestones!$AB$34&amp;" "&amp;IF(AND(Milestones!$AB$34="FT",Milestones!$AA$34=FT_Y5,EDATE($D103,Milestones!$AA$34)&lt;PolicyEff),1,Milestones!$AC$34)&amp;";  ","")&amp;IF(AND(EDATE($D103,Milestones!$AA$35)&lt;=AsOfDate,EDATE($D103,Milestones!$AA$35)&gt;=SchemeStart,IF($X103=0,$AD103,IF(AND($Z103&lt;&gt;"",EDATE($D103,Milestones!$AA$35)&gt;=$Z103),$AC103,IF(AND($Y103&lt;&gt;"",EDATE($D103,Milestones!$AA$35)&gt;=$Y103),$AB103,$AA103)))=Milestones!$AB$35),UPPER(TEXT(EDATE($D103,Milestones!$AA$35),"dd mmm yy"))&amp;" "&amp;Milestones!$AB$35&amp;" "&amp;IF(AND(Milestones!$AB$35="FT",Milestones!$AA$35=FT_Y5,EDATE($D103,Milestones!$AA$35)&lt;PolicyEff),1,Milestones!$AC$35)&amp;";  ","")&amp;IF(AND(EDATE($D103,Milestones!$AA$36)&lt;=AsOfDate,EDATE($D103,Milestones!$AA$36)&gt;=SchemeStart,IF($X103=0,$AD103,IF(AND($Z103&lt;&gt;"",EDATE($D103,Milestones!$AA$36)&gt;=$Z103),$AC103,IF(AND($Y103&lt;&gt;"",EDATE($D103,Milestones!$AA$36)&gt;=$Y103),$AB103,$AA103)))=Milestones!$AB$36),UPPER(TEXT(EDATE($D103,Milestones!$AA$36),"dd mmm yy"))&amp;" "&amp;Milestones!$AB$36&amp;" "&amp;IF(AND(Milestones!$AB$36="FT",Milestones!$AA$36=FT_Y5,EDATE($D103,Milestones!$AA$36)&lt;PolicyEff),1,Milestones!$AC$36)&amp;";  ","")&amp;IF(AND(EDATE($D103,Milestones!$AA$37)&lt;=AsOfDate,EDATE($D103,Milestones!$AA$37)&gt;=SchemeStart,IF($X103=0,$AD103,IF(AND($Z103&lt;&gt;"",EDATE($D103,Milestones!$AA$37)&gt;=$Z103),$AC103,IF(AND($Y103&lt;&gt;"",EDATE($D103,Milestones!$AA$37)&gt;=$Y103),$AB103,$AA103)))=Milestones!$AB$37),UPPER(TEXT(EDATE($D103,Milestones!$AA$37),"dd mmm yy"))&amp;" "&amp;Milestones!$AB$37&amp;" "&amp;IF(AND(Milestones!$AB$37="FT",Milestones!$AA$37=FT_Y5,EDATE($D103,Milestones!$AA$37)&lt;PolicyEff),1,Milestones!$AC$37)&amp;";  ","")&amp;IF(AND(EDATE($D103,Milestones!$AA$38)&lt;=AsOfDate,EDATE($D103,Milestones!$AA$38)&gt;=SchemeStart,IF($X103=0,$AD103,IF(AND($Z103&lt;&gt;"",EDATE($D103,Milestones!$AA$38)&gt;=$Z103),$AC103,IF(AND($Y103&lt;&gt;"",EDATE($D103,Milestones!$AA$38)&gt;=$Y103),$AB103,$AA103)))=Milestones!$AB$38),UPPER(TEXT(EDATE($D103,Milestones!$AA$38),"dd mmm yy"))&amp;" "&amp;Milestones!$AB$38&amp;" "&amp;IF(AND(Milestones!$AB$38="FT",Milestones!$AA$38=FT_Y5,EDATE($D103,Milestones!$AA$38)&lt;PolicyEff),1,Milestones!$AC$38)&amp;";  ","")&amp;IF(AND(EDATE($D103,Milestones!$AA$39)&lt;=AsOfDate,EDATE($D103,Milestones!$AA$39)&gt;=SchemeStart,IF($X103=0,$AD103,IF(AND($Z103&lt;&gt;"",EDATE($D103,Milestones!$AA$39)&gt;=$Z103),$AC103,IF(AND($Y103&lt;&gt;"",EDATE($D103,Milestones!$AA$39)&gt;=$Y103),$AB103,$AA103)))=Milestones!$AB$39),UPPER(TEXT(EDATE($D103,Milestones!$AA$39),"dd mmm yy"))&amp;" "&amp;Milestones!$AB$39&amp;" "&amp;IF(AND(Milestones!$AB$39="FT",Milestones!$AA$39=FT_Y5,EDATE($D103,Milestones!$AA$39)&lt;PolicyEff),1,Milestones!$AC$39)&amp;";  ","")&amp;IF(AND(EDATE($D103,Milestones!$AA$40)&lt;=AsOfDate,EDATE($D103,Milestones!$AA$40)&gt;=SchemeStart,IF($X103=0,$AD103,IF(AND($Z103&lt;&gt;"",EDATE($D103,Milestones!$AA$40)&gt;=$Z103),$AC103,IF(AND($Y103&lt;&gt;"",EDATE($D103,Milestones!$AA$40)&gt;=$Y103),$AB103,$AA103)))=Milestones!$AB$40),UPPER(TEXT(EDATE($D103,Milestones!$AA$40),"dd mmm yy"))&amp;" "&amp;Milestones!$AB$40&amp;" "&amp;IF(AND(Milestones!$AB$40="FT",Milestones!$AA$40=FT_Y5,EDATE($D103,Milestones!$AA$40)&lt;PolicyEff),1,Milestones!$AC$40)&amp;";  ","")&amp;IF(AND(EDATE($D103,Milestones!$AA$41)&lt;=AsOfDate,EDATE($D103,Milestones!$AA$41)&gt;=SchemeStart,IF($X103=0,$AD103,IF(AND($Z103&lt;&gt;"",EDATE($D103,Milestones!$AA$41)&gt;=$Z103),$AC103,IF(AND($Y103&lt;&gt;"",EDATE($D103,Milestones!$AA$41)&gt;=$Y103),$AB103,$AA103)))=Milestones!$AB$41),UPPER(TEXT(EDATE($D103,Milestones!$AA$41),"dd mmm yy"))&amp;" "&amp;Milestones!$AB$41&amp;" "&amp;IF(AND(Milestones!$AB$41="FT",Milestones!$AA$41=FT_Y5,EDATE($D103,Milestones!$AA$41)&lt;PolicyEff),1,Milestones!$AC$41)&amp;";  ","")&amp;IF(AND(EDATE($D103,Milestones!$AA$42)&lt;=AsOfDate,EDATE($D103,Milestones!$AA$42)&gt;=SchemeStart,IF($X103=0,$AD103,IF(AND($Z103&lt;&gt;"",EDATE($D103,Milestones!$AA$42)&gt;=$Z103),$AC103,IF(AND($Y103&lt;&gt;"",EDATE($D103,Milestones!$AA$42)&gt;=$Y103),$AB103,$AA103)))=Milestones!$AB$42),UPPER(TEXT(EDATE($D103,Milestones!$AA$42),"dd mmm yy"))&amp;" "&amp;Milestones!$AB$42&amp;" "&amp;IF(AND(Milestones!$AB$42="FT",Milestones!$AA$42=FT_Y5,EDATE($D103,Milestones!$AA$42)&lt;PolicyEff),1,Milestones!$AC$42)&amp;";  ","")&amp;IF(AND(EDATE($D103,Milestones!$AA$43)&lt;=AsOfDate,EDATE($D103,Milestones!$AA$43)&gt;=SchemeStart,IF($X103=0,$AD103,IF(AND($Z103&lt;&gt;"",EDATE($D103,Milestones!$AA$43)&gt;=$Z103),$AC103,IF(AND($Y103&lt;&gt;"",EDATE($D103,Milestones!$AA$43)&gt;=$Y103),$AB103,$AA103)))=Milestones!$AB$43),UPPER(TEXT(EDATE($D103,Milestones!$AA$43),"dd mmm yy"))&amp;" "&amp;Milestones!$AB$43&amp;" "&amp;IF(AND(Milestones!$AB$43="FT",Milestones!$AA$43=FT_Y5,EDATE($D103,Milestones!$AA$43)&lt;PolicyEff),1,Milestones!$AC$43)&amp;";  ",""))</f>
        <v/>
      </c>
      <c r="K103" s="0" t="str">
        <f aca="false">IF(OR($A103="",$D103=""),"",IF(AND(EDATE($D103,Milestones!$AA$44)&lt;=AsOfDate,EDATE($D103,Milestones!$AA$44)&gt;=SchemeStart,IF($X103=0,$AD103,IF(AND($Z103&lt;&gt;"",EDATE($D103,Milestones!$AA$44)&gt;=$Z103),$AC103,IF(AND($Y103&lt;&gt;"",EDATE($D103,Milestones!$AA$44)&gt;=$Y103),$AB103,$AA103)))=Milestones!$AB$44),UPPER(TEXT(EDATE($D103,Milestones!$AA$44),"dd mmm yy"))&amp;" "&amp;Milestones!$AB$44&amp;" "&amp;IF(AND(Milestones!$AB$44="FT",Milestones!$AA$44=FT_Y5,EDATE($D103,Milestones!$AA$44)&lt;PolicyEff),1,Milestones!$AC$44)&amp;";  ","")&amp;IF(AND(EDATE($D103,Milestones!$AA$45)&lt;=AsOfDate,EDATE($D103,Milestones!$AA$45)&gt;=SchemeStart,IF($X103=0,$AD103,IF(AND($Z103&lt;&gt;"",EDATE($D103,Milestones!$AA$45)&gt;=$Z103),$AC103,IF(AND($Y103&lt;&gt;"",EDATE($D103,Milestones!$AA$45)&gt;=$Y103),$AB103,$AA103)))=Milestones!$AB$45),UPPER(TEXT(EDATE($D103,Milestones!$AA$45),"dd mmm yy"))&amp;" "&amp;Milestones!$AB$45&amp;" "&amp;IF(AND(Milestones!$AB$45="FT",Milestones!$AA$45=FT_Y5,EDATE($D103,Milestones!$AA$45)&lt;PolicyEff),1,Milestones!$AC$45)&amp;";  ","")&amp;IF(AND(EDATE($D103,Milestones!$AA$46)&lt;=AsOfDate,EDATE($D103,Milestones!$AA$46)&gt;=SchemeStart,IF($X103=0,$AD103,IF(AND($Z103&lt;&gt;"",EDATE($D103,Milestones!$AA$46)&gt;=$Z103),$AC103,IF(AND($Y103&lt;&gt;"",EDATE($D103,Milestones!$AA$46)&gt;=$Y103),$AB103,$AA103)))=Milestones!$AB$46),UPPER(TEXT(EDATE($D103,Milestones!$AA$46),"dd mmm yy"))&amp;" "&amp;Milestones!$AB$46&amp;" "&amp;IF(AND(Milestones!$AB$46="FT",Milestones!$AA$46=FT_Y5,EDATE($D103,Milestones!$AA$46)&lt;PolicyEff),1,Milestones!$AC$46)&amp;";  ","")&amp;IF(AND(EDATE($D103,Milestones!$AA$47)&lt;=AsOfDate,EDATE($D103,Milestones!$AA$47)&gt;=SchemeStart,IF($X103=0,$AD103,IF(AND($Z103&lt;&gt;"",EDATE($D103,Milestones!$AA$47)&gt;=$Z103),$AC103,IF(AND($Y103&lt;&gt;"",EDATE($D103,Milestones!$AA$47)&gt;=$Y103),$AB103,$AA103)))=Milestones!$AB$47),UPPER(TEXT(EDATE($D103,Milestones!$AA$47),"dd mmm yy"))&amp;" "&amp;Milestones!$AB$47&amp;" "&amp;IF(AND(Milestones!$AB$47="FT",Milestones!$AA$47=FT_Y5,EDATE($D103,Milestones!$AA$47)&lt;PolicyEff),1,Milestones!$AC$47)&amp;";  ","")&amp;IF(AND(EDATE($D103,Milestones!$AA$48)&lt;=AsOfDate,EDATE($D103,Milestones!$AA$48)&gt;=SchemeStart,IF($X103=0,$AD103,IF(AND($Z103&lt;&gt;"",EDATE($D103,Milestones!$AA$48)&gt;=$Z103),$AC103,IF(AND($Y103&lt;&gt;"",EDATE($D103,Milestones!$AA$48)&gt;=$Y103),$AB103,$AA103)))=Milestones!$AB$48),UPPER(TEXT(EDATE($D103,Milestones!$AA$48),"dd mmm yy"))&amp;" "&amp;Milestones!$AB$48&amp;" "&amp;IF(AND(Milestones!$AB$48="FT",Milestones!$AA$48=FT_Y5,EDATE($D103,Milestones!$AA$48)&lt;PolicyEff),1,Milestones!$AC$48)&amp;";  ","")&amp;IF(AND(EDATE($D103,Milestones!$AA$49)&lt;=AsOfDate,EDATE($D103,Milestones!$AA$49)&gt;=SchemeStart,IF($X103=0,$AD103,IF(AND($Z103&lt;&gt;"",EDATE($D103,Milestones!$AA$49)&gt;=$Z103),$AC103,IF(AND($Y103&lt;&gt;"",EDATE($D103,Milestones!$AA$49)&gt;=$Y103),$AB103,$AA103)))=Milestones!$AB$49),UPPER(TEXT(EDATE($D103,Milestones!$AA$49),"dd mmm yy"))&amp;" "&amp;Milestones!$AB$49&amp;" "&amp;IF(AND(Milestones!$AB$49="FT",Milestones!$AA$49=FT_Y5,EDATE($D103,Milestones!$AA$49)&lt;PolicyEff),1,Milestones!$AC$49)&amp;";  ","")&amp;IF(AND(EDATE($D103,Milestones!$AA$50)&lt;=AsOfDate,EDATE($D103,Milestones!$AA$50)&gt;=SchemeStart,IF($X103=0,$AD103,IF(AND($Z103&lt;&gt;"",EDATE($D103,Milestones!$AA$50)&gt;=$Z103),$AC103,IF(AND($Y103&lt;&gt;"",EDATE($D103,Milestones!$AA$50)&gt;=$Y103),$AB103,$AA103)))=Milestones!$AB$50),UPPER(TEXT(EDATE($D103,Milestones!$AA$50),"dd mmm yy"))&amp;" "&amp;Milestones!$AB$50&amp;" "&amp;IF(AND(Milestones!$AB$50="FT",Milestones!$AA$50=FT_Y5,EDATE($D103,Milestones!$AA$50)&lt;PolicyEff),1,Milestones!$AC$50)&amp;";  ","")&amp;IF(AND(EDATE($D103,Milestones!$AA$51)&lt;=AsOfDate,EDATE($D103,Milestones!$AA$51)&gt;=SchemeStart,IF($X103=0,$AD103,IF(AND($Z103&lt;&gt;"",EDATE($D103,Milestones!$AA$51)&gt;=$Z103),$AC103,IF(AND($Y103&lt;&gt;"",EDATE($D103,Milestones!$AA$51)&gt;=$Y103),$AB103,$AA103)))=Milestones!$AB$51),UPPER(TEXT(EDATE($D103,Milestones!$AA$51),"dd mmm yy"))&amp;" "&amp;Milestones!$AB$51&amp;" "&amp;IF(AND(Milestones!$AB$51="FT",Milestones!$AA$51=FT_Y5,EDATE($D103,Milestones!$AA$51)&lt;PolicyEff),1,Milestones!$AC$51)&amp;";  ","")&amp;IF(AND(EDATE($D103,Milestones!$AA$52)&lt;=AsOfDate,EDATE($D103,Milestones!$AA$52)&gt;=SchemeStart,IF($X103=0,$AD103,IF(AND($Z103&lt;&gt;"",EDATE($D103,Milestones!$AA$52)&gt;=$Z103),$AC103,IF(AND($Y103&lt;&gt;"",EDATE($D103,Milestones!$AA$52)&gt;=$Y103),$AB103,$AA103)))=Milestones!$AB$52),UPPER(TEXT(EDATE($D103,Milestones!$AA$52),"dd mmm yy"))&amp;" "&amp;Milestones!$AB$52&amp;" "&amp;IF(AND(Milestones!$AB$52="FT",Milestones!$AA$52=FT_Y5,EDATE($D103,Milestones!$AA$52)&lt;PolicyEff),1,Milestones!$AC$52)&amp;";  ","")&amp;IF(AND(EDATE($D103,Milestones!$AA$53)&lt;=AsOfDate,EDATE($D103,Milestones!$AA$53)&gt;=SchemeStart,IF($X103=0,$AD103,IF(AND($Z103&lt;&gt;"",EDATE($D103,Milestones!$AA$53)&gt;=$Z103),$AC103,IF(AND($Y103&lt;&gt;"",EDATE($D103,Milestones!$AA$53)&gt;=$Y103),$AB103,$AA103)))=Milestones!$AB$53),UPPER(TEXT(EDATE($D103,Milestones!$AA$53),"dd mmm yy"))&amp;" "&amp;Milestones!$AB$53&amp;" "&amp;IF(AND(Milestones!$AB$53="FT",Milestones!$AA$53=FT_Y5,EDATE($D103,Milestones!$AA$53)&lt;PolicyEff),1,Milestones!$AC$53)&amp;";  ","")&amp;IF(AND(EDATE($D103,Milestones!$AA$54)&lt;=AsOfDate,EDATE($D103,Milestones!$AA$54)&gt;=SchemeStart,IF($X103=0,$AD103,IF(AND($Z103&lt;&gt;"",EDATE($D103,Milestones!$AA$54)&gt;=$Z103),$AC103,IF(AND($Y103&lt;&gt;"",EDATE($D103,Milestones!$AA$54)&gt;=$Y103),$AB103,$AA103)))=Milestones!$AB$54),UPPER(TEXT(EDATE($D103,Milestones!$AA$54),"dd mmm yy"))&amp;" "&amp;Milestones!$AB$54&amp;" "&amp;IF(AND(Milestones!$AB$54="FT",Milestones!$AA$54=FT_Y5,EDATE($D103,Milestones!$AA$54)&lt;PolicyEff),1,Milestones!$AC$54)&amp;";  ","")&amp;IF(AND(EDATE($D103,Milestones!$AA$55)&lt;=AsOfDate,EDATE($D103,Milestones!$AA$55)&gt;=SchemeStart,IF($X103=0,$AD103,IF(AND($Z103&lt;&gt;"",EDATE($D103,Milestones!$AA$55)&gt;=$Z103),$AC103,IF(AND($Y103&lt;&gt;"",EDATE($D103,Milestones!$AA$55)&gt;=$Y103),$AB103,$AA103)))=Milestones!$AB$55),UPPER(TEXT(EDATE($D103,Milestones!$AA$55),"dd mmm yy"))&amp;" "&amp;Milestones!$AB$55&amp;" "&amp;IF(AND(Milestones!$AB$55="FT",Milestones!$AA$55=FT_Y5,EDATE($D103,Milestones!$AA$55)&lt;PolicyEff),1,Milestones!$AC$55)&amp;";  ",""))</f>
        <v/>
      </c>
      <c r="L103" s="0" t="str">
        <f aca="false">IF(OR($A103="",$D103=""),"",IF(AND(EDATE($D103,Milestones!$AA$56)&lt;=AsOfDate,EDATE($D103,Milestones!$AA$56)&gt;=SchemeStart,IF($X103=0,$AD103,IF(AND($Z103&lt;&gt;"",EDATE($D103,Milestones!$AA$56)&gt;=$Z103),$AC103,IF(AND($Y103&lt;&gt;"",EDATE($D103,Milestones!$AA$56)&gt;=$Y103),$AB103,$AA103)))=Milestones!$AB$56),UPPER(TEXT(EDATE($D103,Milestones!$AA$56),"dd mmm yy"))&amp;" "&amp;Milestones!$AB$56&amp;" "&amp;IF(AND(Milestones!$AB$56="FT",Milestones!$AA$56=FT_Y5,EDATE($D103,Milestones!$AA$56)&lt;PolicyEff),1,Milestones!$AC$56)&amp;";  ","")&amp;IF(AND(EDATE($D103,Milestones!$AA$57)&lt;=AsOfDate,EDATE($D103,Milestones!$AA$57)&gt;=SchemeStart,IF($X103=0,$AD103,IF(AND($Z103&lt;&gt;"",EDATE($D103,Milestones!$AA$57)&gt;=$Z103),$AC103,IF(AND($Y103&lt;&gt;"",EDATE($D103,Milestones!$AA$57)&gt;=$Y103),$AB103,$AA103)))=Milestones!$AB$57),UPPER(TEXT(EDATE($D103,Milestones!$AA$57),"dd mmm yy"))&amp;" "&amp;Milestones!$AB$57&amp;" "&amp;IF(AND(Milestones!$AB$57="FT",Milestones!$AA$57=FT_Y5,EDATE($D103,Milestones!$AA$57)&lt;PolicyEff),1,Milestones!$AC$57)&amp;";  ","")&amp;IF(AND(EDATE($D103,Milestones!$AA$58)&lt;=AsOfDate,EDATE($D103,Milestones!$AA$58)&gt;=SchemeStart,IF($X103=0,$AD103,IF(AND($Z103&lt;&gt;"",EDATE($D103,Milestones!$AA$58)&gt;=$Z103),$AC103,IF(AND($Y103&lt;&gt;"",EDATE($D103,Milestones!$AA$58)&gt;=$Y103),$AB103,$AA103)))=Milestones!$AB$58),UPPER(TEXT(EDATE($D103,Milestones!$AA$58),"dd mmm yy"))&amp;" "&amp;Milestones!$AB$58&amp;" "&amp;IF(AND(Milestones!$AB$58="FT",Milestones!$AA$58=FT_Y5,EDATE($D103,Milestones!$AA$58)&lt;PolicyEff),1,Milestones!$AC$58)&amp;";  ","")&amp;IF(AND(EDATE($D103,Milestones!$AA$59)&lt;=AsOfDate,EDATE($D103,Milestones!$AA$59)&gt;=SchemeStart,IF($X103=0,$AD103,IF(AND($Z103&lt;&gt;"",EDATE($D103,Milestones!$AA$59)&gt;=$Z103),$AC103,IF(AND($Y103&lt;&gt;"",EDATE($D103,Milestones!$AA$59)&gt;=$Y103),$AB103,$AA103)))=Milestones!$AB$59),UPPER(TEXT(EDATE($D103,Milestones!$AA$59),"dd mmm yy"))&amp;" "&amp;Milestones!$AB$59&amp;" "&amp;IF(AND(Milestones!$AB$59="FT",Milestones!$AA$59=FT_Y5,EDATE($D103,Milestones!$AA$59)&lt;PolicyEff),1,Milestones!$AC$59)&amp;";  ","")&amp;IF(AND(EDATE($D103,Milestones!$AA$60)&lt;=AsOfDate,EDATE($D103,Milestones!$AA$60)&gt;=SchemeStart,IF($X103=0,$AD103,IF(AND($Z103&lt;&gt;"",EDATE($D103,Milestones!$AA$60)&gt;=$Z103),$AC103,IF(AND($Y103&lt;&gt;"",EDATE($D103,Milestones!$AA$60)&gt;=$Y103),$AB103,$AA103)))=Milestones!$AB$60),UPPER(TEXT(EDATE($D103,Milestones!$AA$60),"dd mmm yy"))&amp;" "&amp;Milestones!$AB$60&amp;" "&amp;IF(AND(Milestones!$AB$60="FT",Milestones!$AA$60=FT_Y5,EDATE($D103,Milestones!$AA$60)&lt;PolicyEff),1,Milestones!$AC$60)&amp;";  ","")&amp;IF(AND(EDATE($D103,Milestones!$AA$61)&lt;=AsOfDate,EDATE($D103,Milestones!$AA$61)&gt;=SchemeStart,IF($X103=0,$AD103,IF(AND($Z103&lt;&gt;"",EDATE($D103,Milestones!$AA$61)&gt;=$Z103),$AC103,IF(AND($Y103&lt;&gt;"",EDATE($D103,Milestones!$AA$61)&gt;=$Y103),$AB103,$AA103)))=Milestones!$AB$61),UPPER(TEXT(EDATE($D103,Milestones!$AA$61),"dd mmm yy"))&amp;" "&amp;Milestones!$AB$61&amp;" "&amp;IF(AND(Milestones!$AB$61="FT",Milestones!$AA$61=FT_Y5,EDATE($D103,Milestones!$AA$61)&lt;PolicyEff),1,Milestones!$AC$61)&amp;";  ","")&amp;IF(AND(EDATE($D103,Milestones!$AA$62)&lt;=AsOfDate,EDATE($D103,Milestones!$AA$62)&gt;=SchemeStart,IF($X103=0,$AD103,IF(AND($Z103&lt;&gt;"",EDATE($D103,Milestones!$AA$62)&gt;=$Z103),$AC103,IF(AND($Y103&lt;&gt;"",EDATE($D103,Milestones!$AA$62)&gt;=$Y103),$AB103,$AA103)))=Milestones!$AB$62),UPPER(TEXT(EDATE($D103,Milestones!$AA$62),"dd mmm yy"))&amp;" "&amp;Milestones!$AB$62&amp;" "&amp;IF(AND(Milestones!$AB$62="FT",Milestones!$AA$62=FT_Y5,EDATE($D103,Milestones!$AA$62)&lt;PolicyEff),1,Milestones!$AC$62)&amp;";  ","")&amp;IF(AND(EDATE($D103,Milestones!$AA$63)&lt;=AsOfDate,EDATE($D103,Milestones!$AA$63)&gt;=SchemeStart,IF($X103=0,$AD103,IF(AND($Z103&lt;&gt;"",EDATE($D103,Milestones!$AA$63)&gt;=$Z103),$AC103,IF(AND($Y103&lt;&gt;"",EDATE($D103,Milestones!$AA$63)&gt;=$Y103),$AB103,$AA103)))=Milestones!$AB$63),UPPER(TEXT(EDATE($D103,Milestones!$AA$63),"dd mmm yy"))&amp;" "&amp;Milestones!$AB$63&amp;" "&amp;IF(AND(Milestones!$AB$63="FT",Milestones!$AA$63=FT_Y5,EDATE($D103,Milestones!$AA$63)&lt;PolicyEff),1,Milestones!$AC$63)&amp;";  ","")&amp;IF(AND(EDATE($D103,Milestones!$AA$64)&lt;=AsOfDate,EDATE($D103,Milestones!$AA$64)&gt;=SchemeStart,IF($X103=0,$AD103,IF(AND($Z103&lt;&gt;"",EDATE($D103,Milestones!$AA$64)&gt;=$Z103),$AC103,IF(AND($Y103&lt;&gt;"",EDATE($D103,Milestones!$AA$64)&gt;=$Y103),$AB103,$AA103)))=Milestones!$AB$64),UPPER(TEXT(EDATE($D103,Milestones!$AA$64),"dd mmm yy"))&amp;" "&amp;Milestones!$AB$64&amp;" "&amp;IF(AND(Milestones!$AB$64="FT",Milestones!$AA$64=FT_Y5,EDATE($D103,Milestones!$AA$64)&lt;PolicyEff),1,Milestones!$AC$64)&amp;";  ","")&amp;IF(AND(EDATE($D103,Milestones!$AA$65)&lt;=AsOfDate,EDATE($D103,Milestones!$AA$65)&gt;=SchemeStart,IF($X103=0,$AD103,IF(AND($Z103&lt;&gt;"",EDATE($D103,Milestones!$AA$65)&gt;=$Z103),$AC103,IF(AND($Y103&lt;&gt;"",EDATE($D103,Milestones!$AA$65)&gt;=$Y103),$AB103,$AA103)))=Milestones!$AB$65),UPPER(TEXT(EDATE($D103,Milestones!$AA$65),"dd mmm yy"))&amp;" "&amp;Milestones!$AB$65&amp;" "&amp;IF(AND(Milestones!$AB$65="FT",Milestones!$AA$65=FT_Y5,EDATE($D103,Milestones!$AA$65)&lt;PolicyEff),1,Milestones!$AC$65)&amp;";  ","")&amp;IF(AND(EDATE($D103,Milestones!$AA$66)&lt;=AsOfDate,EDATE($D103,Milestones!$AA$66)&gt;=SchemeStart,IF($X103=0,$AD103,IF(AND($Z103&lt;&gt;"",EDATE($D103,Milestones!$AA$66)&gt;=$Z103),$AC103,IF(AND($Y103&lt;&gt;"",EDATE($D103,Milestones!$AA$66)&gt;=$Y103),$AB103,$AA103)))=Milestones!$AB$66),UPPER(TEXT(EDATE($D103,Milestones!$AA$66),"dd mmm yy"))&amp;" "&amp;Milestones!$AB$66&amp;" "&amp;IF(AND(Milestones!$AB$66="FT",Milestones!$AA$66=FT_Y5,EDATE($D103,Milestones!$AA$66)&lt;PolicyEff),1,Milestones!$AC$66)&amp;";  ","")&amp;IF(AND(EDATE($D103,Milestones!$AA$67)&lt;=AsOfDate,EDATE($D103,Milestones!$AA$67)&gt;=SchemeStart,IF($X103=0,$AD103,IF(AND($Z103&lt;&gt;"",EDATE($D103,Milestones!$AA$67)&gt;=$Z103),$AC103,IF(AND($Y103&lt;&gt;"",EDATE($D103,Milestones!$AA$67)&gt;=$Y103),$AB103,$AA103)))=Milestones!$AB$67),UPPER(TEXT(EDATE($D103,Milestones!$AA$67),"dd mmm yy"))&amp;" "&amp;Milestones!$AB$67&amp;" "&amp;IF(AND(Milestones!$AB$67="FT",Milestones!$AA$67=FT_Y5,EDATE($D103,Milestones!$AA$67)&lt;PolicyEff),1,Milestones!$AC$67)&amp;";  ",""))</f>
        <v/>
      </c>
      <c r="M103" s="0" t="str">
        <f aca="false">IF(OR($A103="",$D103=""),"",IF(AND(EDATE($D103,Milestones!$AA$68)&lt;=AsOfDate,EDATE($D103,Milestones!$AA$68)&gt;=SchemeStart,IF($X103=0,$AD103,IF(AND($Z103&lt;&gt;"",EDATE($D103,Milestones!$AA$68)&gt;=$Z103),$AC103,IF(AND($Y103&lt;&gt;"",EDATE($D103,Milestones!$AA$68)&gt;=$Y103),$AB103,$AA103)))=Milestones!$AB$68),UPPER(TEXT(EDATE($D103,Milestones!$AA$68),"dd mmm yy"))&amp;" "&amp;Milestones!$AB$68&amp;" "&amp;IF(AND(Milestones!$AB$68="FT",Milestones!$AA$68=FT_Y5,EDATE($D103,Milestones!$AA$68)&lt;PolicyEff),1,Milestones!$AC$68)&amp;";  ","")&amp;IF(AND(EDATE($D103,Milestones!$AA$69)&lt;=AsOfDate,EDATE($D103,Milestones!$AA$69)&gt;=SchemeStart,IF($X103=0,$AD103,IF(AND($Z103&lt;&gt;"",EDATE($D103,Milestones!$AA$69)&gt;=$Z103),$AC103,IF(AND($Y103&lt;&gt;"",EDATE($D103,Milestones!$AA$69)&gt;=$Y103),$AB103,$AA103)))=Milestones!$AB$69),UPPER(TEXT(EDATE($D103,Milestones!$AA$69),"dd mmm yy"))&amp;" "&amp;Milestones!$AB$69&amp;" "&amp;IF(AND(Milestones!$AB$69="FT",Milestones!$AA$69=FT_Y5,EDATE($D103,Milestones!$AA$69)&lt;PolicyEff),1,Milestones!$AC$69)&amp;";  ","")&amp;IF(AND(EDATE($D103,Milestones!$AA$70)&lt;=AsOfDate,EDATE($D103,Milestones!$AA$70)&gt;=SchemeStart,IF($X103=0,$AD103,IF(AND($Z103&lt;&gt;"",EDATE($D103,Milestones!$AA$70)&gt;=$Z103),$AC103,IF(AND($Y103&lt;&gt;"",EDATE($D103,Milestones!$AA$70)&gt;=$Y103),$AB103,$AA103)))=Milestones!$AB$70),UPPER(TEXT(EDATE($D103,Milestones!$AA$70),"dd mmm yy"))&amp;" "&amp;Milestones!$AB$70&amp;" "&amp;IF(AND(Milestones!$AB$70="FT",Milestones!$AA$70=FT_Y5,EDATE($D103,Milestones!$AA$70)&lt;PolicyEff),1,Milestones!$AC$70)&amp;";  ","")&amp;IF(AND(EDATE($D103,Milestones!$AA$71)&lt;=AsOfDate,EDATE($D103,Milestones!$AA$71)&gt;=SchemeStart,IF($X103=0,$AD103,IF(AND($Z103&lt;&gt;"",EDATE($D103,Milestones!$AA$71)&gt;=$Z103),$AC103,IF(AND($Y103&lt;&gt;"",EDATE($D103,Milestones!$AA$71)&gt;=$Y103),$AB103,$AA103)))=Milestones!$AB$71),UPPER(TEXT(EDATE($D103,Milestones!$AA$71),"dd mmm yy"))&amp;" "&amp;Milestones!$AB$71&amp;" "&amp;IF(AND(Milestones!$AB$71="FT",Milestones!$AA$71=FT_Y5,EDATE($D103,Milestones!$AA$71)&lt;PolicyEff),1,Milestones!$AC$71)&amp;";  ","")&amp;IF(AND(EDATE($D103,Milestones!$AA$72)&lt;=AsOfDate,EDATE($D103,Milestones!$AA$72)&gt;=SchemeStart,IF($X103=0,$AD103,IF(AND($Z103&lt;&gt;"",EDATE($D103,Milestones!$AA$72)&gt;=$Z103),$AC103,IF(AND($Y103&lt;&gt;"",EDATE($D103,Milestones!$AA$72)&gt;=$Y103),$AB103,$AA103)))=Milestones!$AB$72),UPPER(TEXT(EDATE($D103,Milestones!$AA$72),"dd mmm yy"))&amp;" "&amp;Milestones!$AB$72&amp;" "&amp;IF(AND(Milestones!$AB$72="FT",Milestones!$AA$72=FT_Y5,EDATE($D103,Milestones!$AA$72)&lt;PolicyEff),1,Milestones!$AC$72)&amp;";  ","")&amp;IF(AND(EDATE($D103,Milestones!$AA$73)&lt;=AsOfDate,EDATE($D103,Milestones!$AA$73)&gt;=SchemeStart,IF($X103=0,$AD103,IF(AND($Z103&lt;&gt;"",EDATE($D103,Milestones!$AA$73)&gt;=$Z103),$AC103,IF(AND($Y103&lt;&gt;"",EDATE($D103,Milestones!$AA$73)&gt;=$Y103),$AB103,$AA103)))=Milestones!$AB$73),UPPER(TEXT(EDATE($D103,Milestones!$AA$73),"dd mmm yy"))&amp;" "&amp;Milestones!$AB$73&amp;" "&amp;IF(AND(Milestones!$AB$73="FT",Milestones!$AA$73=FT_Y5,EDATE($D103,Milestones!$AA$73)&lt;PolicyEff),1,Milestones!$AC$73)&amp;";  ","")&amp;IF(AND(EDATE($D103,Milestones!$AA$74)&lt;=AsOfDate,EDATE($D103,Milestones!$AA$74)&gt;=SchemeStart,IF($X103=0,$AD103,IF(AND($Z103&lt;&gt;"",EDATE($D103,Milestones!$AA$74)&gt;=$Z103),$AC103,IF(AND($Y103&lt;&gt;"",EDATE($D103,Milestones!$AA$74)&gt;=$Y103),$AB103,$AA103)))=Milestones!$AB$74),UPPER(TEXT(EDATE($D103,Milestones!$AA$74),"dd mmm yy"))&amp;" "&amp;Milestones!$AB$74&amp;" "&amp;IF(AND(Milestones!$AB$74="FT",Milestones!$AA$74=FT_Y5,EDATE($D103,Milestones!$AA$74)&lt;PolicyEff),1,Milestones!$AC$74)&amp;";  ","")&amp;IF(AND(EDATE($D103,Milestones!$AA$75)&lt;=AsOfDate,EDATE($D103,Milestones!$AA$75)&gt;=SchemeStart,IF($X103=0,$AD103,IF(AND($Z103&lt;&gt;"",EDATE($D103,Milestones!$AA$75)&gt;=$Z103),$AC103,IF(AND($Y103&lt;&gt;"",EDATE($D103,Milestones!$AA$75)&gt;=$Y103),$AB103,$AA103)))=Milestones!$AB$75),UPPER(TEXT(EDATE($D103,Milestones!$AA$75),"dd mmm yy"))&amp;" "&amp;Milestones!$AB$75&amp;" "&amp;IF(AND(Milestones!$AB$75="FT",Milestones!$AA$75=FT_Y5,EDATE($D103,Milestones!$AA$75)&lt;PolicyEff),1,Milestones!$AC$75)&amp;";  ","")&amp;IF(AND(EDATE($D103,Milestones!$AA$76)&lt;=AsOfDate,EDATE($D103,Milestones!$AA$76)&gt;=SchemeStart,IF($X103=0,$AD103,IF(AND($Z103&lt;&gt;"",EDATE($D103,Milestones!$AA$76)&gt;=$Z103),$AC103,IF(AND($Y103&lt;&gt;"",EDATE($D103,Milestones!$AA$76)&gt;=$Y103),$AB103,$AA103)))=Milestones!$AB$76),UPPER(TEXT(EDATE($D103,Milestones!$AA$76),"dd mmm yy"))&amp;" "&amp;Milestones!$AB$76&amp;" "&amp;IF(AND(Milestones!$AB$76="FT",Milestones!$AA$76=FT_Y5,EDATE($D103,Milestones!$AA$76)&lt;PolicyEff),1,Milestones!$AC$76)&amp;";  ","")&amp;IF(AND(EDATE($D103,Milestones!$AA$77)&lt;=AsOfDate,EDATE($D103,Milestones!$AA$77)&gt;=SchemeStart,IF($X103=0,$AD103,IF(AND($Z103&lt;&gt;"",EDATE($D103,Milestones!$AA$77)&gt;=$Z103),$AC103,IF(AND($Y103&lt;&gt;"",EDATE($D103,Milestones!$AA$77)&gt;=$Y103),$AB103,$AA103)))=Milestones!$AB$77),UPPER(TEXT(EDATE($D103,Milestones!$AA$77),"dd mmm yy"))&amp;" "&amp;Milestones!$AB$77&amp;" "&amp;IF(AND(Milestones!$AB$77="FT",Milestones!$AA$77=FT_Y5,EDATE($D103,Milestones!$AA$77)&lt;PolicyEff),1,Milestones!$AC$77)&amp;";  ","")&amp;IF(AND(EDATE($D103,Milestones!$AA$78)&lt;=AsOfDate,EDATE($D103,Milestones!$AA$78)&gt;=SchemeStart,IF($X103=0,$AD103,IF(AND($Z103&lt;&gt;"",EDATE($D103,Milestones!$AA$78)&gt;=$Z103),$AC103,IF(AND($Y103&lt;&gt;"",EDATE($D103,Milestones!$AA$78)&gt;=$Y103),$AB103,$AA103)))=Milestones!$AB$78),UPPER(TEXT(EDATE($D103,Milestones!$AA$78),"dd mmm yy"))&amp;" "&amp;Milestones!$AB$78&amp;" "&amp;IF(AND(Milestones!$AB$78="FT",Milestones!$AA$78=FT_Y5,EDATE($D103,Milestones!$AA$78)&lt;PolicyEff),1,Milestones!$AC$78)&amp;";  ","")&amp;IF(AND(EDATE($D103,Milestones!$AA$79)&lt;=AsOfDate,EDATE($D103,Milestones!$AA$79)&gt;=SchemeStart,IF($X103=0,$AD103,IF(AND($Z103&lt;&gt;"",EDATE($D103,Milestones!$AA$79)&gt;=$Z103),$AC103,IF(AND($Y103&lt;&gt;"",EDATE($D103,Milestones!$AA$79)&gt;=$Y103),$AB103,$AA103)))=Milestones!$AB$79),UPPER(TEXT(EDATE($D103,Milestones!$AA$79),"dd mmm yy"))&amp;" "&amp;Milestones!$AB$79&amp;" "&amp;IF(AND(Milestones!$AB$79="FT",Milestones!$AA$79=FT_Y5,EDATE($D103,Milestones!$AA$79)&lt;PolicyEff),1,Milestones!$AC$79)&amp;";  ",""))</f>
        <v/>
      </c>
      <c r="N103" s="0" t="str">
        <f aca="false">IF(OR($A103="",$D103=""),"",IF(AND(EDATE($D103,Milestones!$AA$80)&lt;=AsOfDate,EDATE($D103,Milestones!$AA$80)&gt;=SchemeStart,IF($X103=0,$AD103,IF(AND($Z103&lt;&gt;"",EDATE($D103,Milestones!$AA$80)&gt;=$Z103),$AC103,IF(AND($Y103&lt;&gt;"",EDATE($D103,Milestones!$AA$80)&gt;=$Y103),$AB103,$AA103)))=Milestones!$AB$80),UPPER(TEXT(EDATE($D103,Milestones!$AA$80),"dd mmm yy"))&amp;" "&amp;Milestones!$AB$80&amp;" "&amp;IF(AND(Milestones!$AB$80="FT",Milestones!$AA$80=FT_Y5,EDATE($D103,Milestones!$AA$80)&lt;PolicyEff),1,Milestones!$AC$80)&amp;";  ","")&amp;IF(AND(EDATE($D103,Milestones!$AA$81)&lt;=AsOfDate,EDATE($D103,Milestones!$AA$81)&gt;=SchemeStart,IF($X103=0,$AD103,IF(AND($Z103&lt;&gt;"",EDATE($D103,Milestones!$AA$81)&gt;=$Z103),$AC103,IF(AND($Y103&lt;&gt;"",EDATE($D103,Milestones!$AA$81)&gt;=$Y103),$AB103,$AA103)))=Milestones!$AB$81),UPPER(TEXT(EDATE($D103,Milestones!$AA$81),"dd mmm yy"))&amp;" "&amp;Milestones!$AB$81&amp;" "&amp;IF(AND(Milestones!$AB$81="FT",Milestones!$AA$81=FT_Y5,EDATE($D103,Milestones!$AA$81)&lt;PolicyEff),1,Milestones!$AC$81)&amp;";  ","")&amp;IF(AND(EDATE($D103,Milestones!$AA$82)&lt;=AsOfDate,EDATE($D103,Milestones!$AA$82)&gt;=SchemeStart,IF($X103=0,$AD103,IF(AND($Z103&lt;&gt;"",EDATE($D103,Milestones!$AA$82)&gt;=$Z103),$AC103,IF(AND($Y103&lt;&gt;"",EDATE($D103,Milestones!$AA$82)&gt;=$Y103),$AB103,$AA103)))=Milestones!$AB$82),UPPER(TEXT(EDATE($D103,Milestones!$AA$82),"dd mmm yy"))&amp;" "&amp;Milestones!$AB$82&amp;" "&amp;IF(AND(Milestones!$AB$82="FT",Milestones!$AA$82=FT_Y5,EDATE($D103,Milestones!$AA$82)&lt;PolicyEff),1,Milestones!$AC$82)&amp;";  ","")&amp;IF(AND(EDATE($D103,Milestones!$AA$83)&lt;=AsOfDate,EDATE($D103,Milestones!$AA$83)&gt;=SchemeStart,IF($X103=0,$AD103,IF(AND($Z103&lt;&gt;"",EDATE($D103,Milestones!$AA$83)&gt;=$Z103),$AC103,IF(AND($Y103&lt;&gt;"",EDATE($D103,Milestones!$AA$83)&gt;=$Y103),$AB103,$AA103)))=Milestones!$AB$83),UPPER(TEXT(EDATE($D103,Milestones!$AA$83),"dd mmm yy"))&amp;" "&amp;Milestones!$AB$83&amp;" "&amp;IF(AND(Milestones!$AB$83="FT",Milestones!$AA$83=FT_Y5,EDATE($D103,Milestones!$AA$83)&lt;PolicyEff),1,Milestones!$AC$83)&amp;";  ","")&amp;IF(AND(EDATE($D103,Milestones!$AA$84)&lt;=AsOfDate,EDATE($D103,Milestones!$AA$84)&gt;=SchemeStart,IF($X103=0,$AD103,IF(AND($Z103&lt;&gt;"",EDATE($D103,Milestones!$AA$84)&gt;=$Z103),$AC103,IF(AND($Y103&lt;&gt;"",EDATE($D103,Milestones!$AA$84)&gt;=$Y103),$AB103,$AA103)))=Milestones!$AB$84),UPPER(TEXT(EDATE($D103,Milestones!$AA$84),"dd mmm yy"))&amp;" "&amp;Milestones!$AB$84&amp;" "&amp;IF(AND(Milestones!$AB$84="FT",Milestones!$AA$84=FT_Y5,EDATE($D103,Milestones!$AA$84)&lt;PolicyEff),1,Milestones!$AC$84)&amp;";  ","")&amp;IF(AND(EDATE($D103,Milestones!$AA$85)&lt;=AsOfDate,EDATE($D103,Milestones!$AA$85)&gt;=SchemeStart,IF($X103=0,$AD103,IF(AND($Z103&lt;&gt;"",EDATE($D103,Milestones!$AA$85)&gt;=$Z103),$AC103,IF(AND($Y103&lt;&gt;"",EDATE($D103,Milestones!$AA$85)&gt;=$Y103),$AB103,$AA103)))=Milestones!$AB$85),UPPER(TEXT(EDATE($D103,Milestones!$AA$85),"dd mmm yy"))&amp;" "&amp;Milestones!$AB$85&amp;" "&amp;IF(AND(Milestones!$AB$85="FT",Milestones!$AA$85=FT_Y5,EDATE($D103,Milestones!$AA$85)&lt;PolicyEff),1,Milestones!$AC$85)&amp;";  ","")&amp;IF(AND(EDATE($D103,Milestones!$AA$86)&lt;=AsOfDate,EDATE($D103,Milestones!$AA$86)&gt;=SchemeStart,IF($X103=0,$AD103,IF(AND($Z103&lt;&gt;"",EDATE($D103,Milestones!$AA$86)&gt;=$Z103),$AC103,IF(AND($Y103&lt;&gt;"",EDATE($D103,Milestones!$AA$86)&gt;=$Y103),$AB103,$AA103)))=Milestones!$AB$86),UPPER(TEXT(EDATE($D103,Milestones!$AA$86),"dd mmm yy"))&amp;" "&amp;Milestones!$AB$86&amp;" "&amp;IF(AND(Milestones!$AB$86="FT",Milestones!$AA$86=FT_Y5,EDATE($D103,Milestones!$AA$86)&lt;PolicyEff),1,Milestones!$AC$86)&amp;";  ","")&amp;IF(AND(EDATE($D103,Milestones!$AA$87)&lt;=AsOfDate,EDATE($D103,Milestones!$AA$87)&gt;=SchemeStart,IF($X103=0,$AD103,IF(AND($Z103&lt;&gt;"",EDATE($D103,Milestones!$AA$87)&gt;=$Z103),$AC103,IF(AND($Y103&lt;&gt;"",EDATE($D103,Milestones!$AA$87)&gt;=$Y103),$AB103,$AA103)))=Milestones!$AB$87),UPPER(TEXT(EDATE($D103,Milestones!$AA$87),"dd mmm yy"))&amp;" "&amp;Milestones!$AB$87&amp;" "&amp;IF(AND(Milestones!$AB$87="FT",Milestones!$AA$87=FT_Y5,EDATE($D103,Milestones!$AA$87)&lt;PolicyEff),1,Milestones!$AC$87)&amp;";  ","")&amp;IF(AND(EDATE($D103,Milestones!$AA$88)&lt;=AsOfDate,EDATE($D103,Milestones!$AA$88)&gt;=SchemeStart,IF($X103=0,$AD103,IF(AND($Z103&lt;&gt;"",EDATE($D103,Milestones!$AA$88)&gt;=$Z103),$AC103,IF(AND($Y103&lt;&gt;"",EDATE($D103,Milestones!$AA$88)&gt;=$Y103),$AB103,$AA103)))=Milestones!$AB$88),UPPER(TEXT(EDATE($D103,Milestones!$AA$88),"dd mmm yy"))&amp;" "&amp;Milestones!$AB$88&amp;" "&amp;IF(AND(Milestones!$AB$88="FT",Milestones!$AA$88=FT_Y5,EDATE($D103,Milestones!$AA$88)&lt;PolicyEff),1,Milestones!$AC$88)&amp;";  ","")&amp;IF(AND(EDATE($D103,Milestones!$AA$89)&lt;=AsOfDate,EDATE($D103,Milestones!$AA$89)&gt;=SchemeStart,IF($X103=0,$AD103,IF(AND($Z103&lt;&gt;"",EDATE($D103,Milestones!$AA$89)&gt;=$Z103),$AC103,IF(AND($Y103&lt;&gt;"",EDATE($D103,Milestones!$AA$89)&gt;=$Y103),$AB103,$AA103)))=Milestones!$AB$89),UPPER(TEXT(EDATE($D103,Milestones!$AA$89),"dd mmm yy"))&amp;" "&amp;Milestones!$AB$89&amp;" "&amp;IF(AND(Milestones!$AB$89="FT",Milestones!$AA$89=FT_Y5,EDATE($D103,Milestones!$AA$89)&lt;PolicyEff),1,Milestones!$AC$89)&amp;";  ","")&amp;IF(AND(EDATE($D103,Milestones!$AA$90)&lt;=AsOfDate,EDATE($D103,Milestones!$AA$90)&gt;=SchemeStart,IF($X103=0,$AD103,IF(AND($Z103&lt;&gt;"",EDATE($D103,Milestones!$AA$90)&gt;=$Z103),$AC103,IF(AND($Y103&lt;&gt;"",EDATE($D103,Milestones!$AA$90)&gt;=$Y103),$AB103,$AA103)))=Milestones!$AB$90),UPPER(TEXT(EDATE($D103,Milestones!$AA$90),"dd mmm yy"))&amp;" "&amp;Milestones!$AB$90&amp;" "&amp;IF(AND(Milestones!$AB$90="FT",Milestones!$AA$90=FT_Y5,EDATE($D103,Milestones!$AA$90)&lt;PolicyEff),1,Milestones!$AC$90)&amp;";  ","")&amp;IF(AND(EDATE($D103,Milestones!$AA$91)&lt;=AsOfDate,EDATE($D103,Milestones!$AA$91)&gt;=SchemeStart,IF($X103=0,$AD103,IF(AND($Z103&lt;&gt;"",EDATE($D103,Milestones!$AA$91)&gt;=$Z103),$AC103,IF(AND($Y103&lt;&gt;"",EDATE($D103,Milestones!$AA$91)&gt;=$Y103),$AB103,$AA103)))=Milestones!$AB$91),UPPER(TEXT(EDATE($D103,Milestones!$AA$91),"dd mmm yy"))&amp;" "&amp;Milestones!$AB$91&amp;" "&amp;IF(AND(Milestones!$AB$91="FT",Milestones!$AA$91=FT_Y5,EDATE($D103,Milestones!$AA$91)&lt;PolicyEff),1,Milestones!$AC$91)&amp;";  ",""))</f>
        <v/>
      </c>
      <c r="O103" s="0" t="str">
        <f aca="false">IF(OR($A103="",$D103=""),"",IF(AND(EDATE($D103,Milestones!$AA$92)&lt;=AsOfDate,EDATE($D103,Milestones!$AA$92)&gt;=SchemeStart,IF($X103=0,$AD103,IF(AND($Z103&lt;&gt;"",EDATE($D103,Milestones!$AA$92)&gt;=$Z103),$AC103,IF(AND($Y103&lt;&gt;"",EDATE($D103,Milestones!$AA$92)&gt;=$Y103),$AB103,$AA103)))=Milestones!$AB$92),UPPER(TEXT(EDATE($D103,Milestones!$AA$92),"dd mmm yy"))&amp;" "&amp;Milestones!$AB$92&amp;" "&amp;IF(AND(Milestones!$AB$92="FT",Milestones!$AA$92=FT_Y5,EDATE($D103,Milestones!$AA$92)&lt;PolicyEff),1,Milestones!$AC$92)&amp;";  ","")&amp;IF(AND(EDATE($D103,Milestones!$AA$93)&lt;=AsOfDate,EDATE($D103,Milestones!$AA$93)&gt;=SchemeStart,IF($X103=0,$AD103,IF(AND($Z103&lt;&gt;"",EDATE($D103,Milestones!$AA$93)&gt;=$Z103),$AC103,IF(AND($Y103&lt;&gt;"",EDATE($D103,Milestones!$AA$93)&gt;=$Y103),$AB103,$AA103)))=Milestones!$AB$93),UPPER(TEXT(EDATE($D103,Milestones!$AA$93),"dd mmm yy"))&amp;" "&amp;Milestones!$AB$93&amp;" "&amp;IF(AND(Milestones!$AB$93="FT",Milestones!$AA$93=FT_Y5,EDATE($D103,Milestones!$AA$93)&lt;PolicyEff),1,Milestones!$AC$93)&amp;";  ","")&amp;IF(AND(EDATE($D103,Milestones!$AA$94)&lt;=AsOfDate,EDATE($D103,Milestones!$AA$94)&gt;=SchemeStart,IF($X103=0,$AD103,IF(AND($Z103&lt;&gt;"",EDATE($D103,Milestones!$AA$94)&gt;=$Z103),$AC103,IF(AND($Y103&lt;&gt;"",EDATE($D103,Milestones!$AA$94)&gt;=$Y103),$AB103,$AA103)))=Milestones!$AB$94),UPPER(TEXT(EDATE($D103,Milestones!$AA$94),"dd mmm yy"))&amp;" "&amp;Milestones!$AB$94&amp;" "&amp;IF(AND(Milestones!$AB$94="FT",Milestones!$AA$94=FT_Y5,EDATE($D103,Milestones!$AA$94)&lt;PolicyEff),1,Milestones!$AC$94)&amp;";  ","")&amp;IF(AND(EDATE($D103,Milestones!$AA$95)&lt;=AsOfDate,EDATE($D103,Milestones!$AA$95)&gt;=SchemeStart,IF($X103=0,$AD103,IF(AND($Z103&lt;&gt;"",EDATE($D103,Milestones!$AA$95)&gt;=$Z103),$AC103,IF(AND($Y103&lt;&gt;"",EDATE($D103,Milestones!$AA$95)&gt;=$Y103),$AB103,$AA103)))=Milestones!$AB$95),UPPER(TEXT(EDATE($D103,Milestones!$AA$95),"dd mmm yy"))&amp;" "&amp;Milestones!$AB$95&amp;" "&amp;IF(AND(Milestones!$AB$95="FT",Milestones!$AA$95=FT_Y5,EDATE($D103,Milestones!$AA$95)&lt;PolicyEff),1,Milestones!$AC$95)&amp;";  ","")&amp;IF(AND(EDATE($D103,Milestones!$AA$96)&lt;=AsOfDate,EDATE($D103,Milestones!$AA$96)&gt;=SchemeStart,IF($X103=0,$AD103,IF(AND($Z103&lt;&gt;"",EDATE($D103,Milestones!$AA$96)&gt;=$Z103),$AC103,IF(AND($Y103&lt;&gt;"",EDATE($D103,Milestones!$AA$96)&gt;=$Y103),$AB103,$AA103)))=Milestones!$AB$96),UPPER(TEXT(EDATE($D103,Milestones!$AA$96),"dd mmm yy"))&amp;" "&amp;Milestones!$AB$96&amp;" "&amp;IF(AND(Milestones!$AB$96="FT",Milestones!$AA$96=FT_Y5,EDATE($D103,Milestones!$AA$96)&lt;PolicyEff),1,Milestones!$AC$96)&amp;";  ","")&amp;IF(AND(EDATE($D103,Milestones!$AA$97)&lt;=AsOfDate,EDATE($D103,Milestones!$AA$97)&gt;=SchemeStart,IF($X103=0,$AD103,IF(AND($Z103&lt;&gt;"",EDATE($D103,Milestones!$AA$97)&gt;=$Z103),$AC103,IF(AND($Y103&lt;&gt;"",EDATE($D103,Milestones!$AA$97)&gt;=$Y103),$AB103,$AA103)))=Milestones!$AB$97),UPPER(TEXT(EDATE($D103,Milestones!$AA$97),"dd mmm yy"))&amp;" "&amp;Milestones!$AB$97&amp;" "&amp;IF(AND(Milestones!$AB$97="FT",Milestones!$AA$97=FT_Y5,EDATE($D103,Milestones!$AA$97)&lt;PolicyEff),1,Milestones!$AC$97)&amp;";  ","")&amp;IF(AND(EDATE($D103,Milestones!$AA$98)&lt;=AsOfDate,EDATE($D103,Milestones!$AA$98)&gt;=SchemeStart,IF($X103=0,$AD103,IF(AND($Z103&lt;&gt;"",EDATE($D103,Milestones!$AA$98)&gt;=$Z103),$AC103,IF(AND($Y103&lt;&gt;"",EDATE($D103,Milestones!$AA$98)&gt;=$Y103),$AB103,$AA103)))=Milestones!$AB$98),UPPER(TEXT(EDATE($D103,Milestones!$AA$98),"dd mmm yy"))&amp;" "&amp;Milestones!$AB$98&amp;" "&amp;IF(AND(Milestones!$AB$98="FT",Milestones!$AA$98=FT_Y5,EDATE($D103,Milestones!$AA$98)&lt;PolicyEff),1,Milestones!$AC$98)&amp;";  ","")&amp;IF(AND(EDATE($D103,Milestones!$AA$99)&lt;=AsOfDate,EDATE($D103,Milestones!$AA$99)&gt;=SchemeStart,IF($X103=0,$AD103,IF(AND($Z103&lt;&gt;"",EDATE($D103,Milestones!$AA$99)&gt;=$Z103),$AC103,IF(AND($Y103&lt;&gt;"",EDATE($D103,Milestones!$AA$99)&gt;=$Y103),$AB103,$AA103)))=Milestones!$AB$99),UPPER(TEXT(EDATE($D103,Milestones!$AA$99),"dd mmm yy"))&amp;" "&amp;Milestones!$AB$99&amp;" "&amp;IF(AND(Milestones!$AB$99="FT",Milestones!$AA$99=FT_Y5,EDATE($D103,Milestones!$AA$99)&lt;PolicyEff),1,Milestones!$AC$99)&amp;";  ","")&amp;IF(AND(EDATE($D103,Milestones!$AA$100)&lt;=AsOfDate,EDATE($D103,Milestones!$AA$100)&gt;=SchemeStart,IF($X103=0,$AD103,IF(AND($Z103&lt;&gt;"",EDATE($D103,Milestones!$AA$100)&gt;=$Z103),$AC103,IF(AND($Y103&lt;&gt;"",EDATE($D103,Milestones!$AA$100)&gt;=$Y103),$AB103,$AA103)))=Milestones!$AB$100),UPPER(TEXT(EDATE($D103,Milestones!$AA$100),"dd mmm yy"))&amp;" "&amp;Milestones!$AB$100&amp;" "&amp;IF(AND(Milestones!$AB$100="FT",Milestones!$AA$100=FT_Y5,EDATE($D103,Milestones!$AA$100)&lt;PolicyEff),1,Milestones!$AC$100)&amp;";  ","")&amp;IF(AND(EDATE($D103,Milestones!$AA$101)&lt;=AsOfDate,EDATE($D103,Milestones!$AA$101)&gt;=SchemeStart,IF($X103=0,$AD103,IF(AND($Z103&lt;&gt;"",EDATE($D103,Milestones!$AA$101)&gt;=$Z103),$AC103,IF(AND($Y103&lt;&gt;"",EDATE($D103,Milestones!$AA$101)&gt;=$Y103),$AB103,$AA103)))=Milestones!$AB$101),UPPER(TEXT(EDATE($D103,Milestones!$AA$101),"dd mmm yy"))&amp;" "&amp;Milestones!$AB$101&amp;" "&amp;IF(AND(Milestones!$AB$101="FT",Milestones!$AA$101=FT_Y5,EDATE($D103,Milestones!$AA$101)&lt;PolicyEff),1,Milestones!$AC$101)&amp;";  ","")&amp;IF(AND(EDATE($D103,Milestones!$AA$102)&lt;=AsOfDate,EDATE($D103,Milestones!$AA$102)&gt;=SchemeStart,IF($X103=0,$AD103,IF(AND($Z103&lt;&gt;"",EDATE($D103,Milestones!$AA$102)&gt;=$Z103),$AC103,IF(AND($Y103&lt;&gt;"",EDATE($D103,Milestones!$AA$102)&gt;=$Y103),$AB103,$AA103)))=Milestones!$AB$102),UPPER(TEXT(EDATE($D103,Milestones!$AA$102),"dd mmm yy"))&amp;" "&amp;Milestones!$AB$102&amp;" "&amp;IF(AND(Milestones!$AB$102="FT",Milestones!$AA$102=FT_Y5,EDATE($D103,Milestones!$AA$102)&lt;PolicyEff),1,Milestones!$AC$102)&amp;";  ","")&amp;IF(AND(EDATE($D103,Milestones!$AA$103)&lt;=AsOfDate,EDATE($D103,Milestones!$AA$103)&gt;=SchemeStart,IF($X103=0,$AD103,IF(AND($Z103&lt;&gt;"",EDATE($D103,Milestones!$AA$103)&gt;=$Z103),$AC103,IF(AND($Y103&lt;&gt;"",EDATE($D103,Milestones!$AA$103)&gt;=$Y103),$AB103,$AA103)))=Milestones!$AB$103),UPPER(TEXT(EDATE($D103,Milestones!$AA$103),"dd mmm yy"))&amp;" "&amp;Milestones!$AB$103&amp;" "&amp;IF(AND(Milestones!$AB$103="FT",Milestones!$AA$103=FT_Y5,EDATE($D103,Milestones!$AA$103)&lt;PolicyEff),1,Milestones!$AC$103)&amp;";  ",""))</f>
        <v/>
      </c>
      <c r="P103" s="0" t="str">
        <f aca="false">IF(OR($A103="",$D103=""),"",IF(AND(EDATE($D103,Milestones!$AA$104)&lt;=AsOfDate,EDATE($D103,Milestones!$AA$104)&gt;=SchemeStart,IF($X103=0,$AD103,IF(AND($Z103&lt;&gt;"",EDATE($D103,Milestones!$AA$104)&gt;=$Z103),$AC103,IF(AND($Y103&lt;&gt;"",EDATE($D103,Milestones!$AA$104)&gt;=$Y103),$AB103,$AA103)))=Milestones!$AB$104),UPPER(TEXT(EDATE($D103,Milestones!$AA$104),"dd mmm yy"))&amp;" "&amp;Milestones!$AB$104&amp;" "&amp;IF(AND(Milestones!$AB$104="FT",Milestones!$AA$104=FT_Y5,EDATE($D103,Milestones!$AA$104)&lt;PolicyEff),1,Milestones!$AC$104)&amp;";  ","")&amp;IF(AND(EDATE($D103,Milestones!$AA$105)&lt;=AsOfDate,EDATE($D103,Milestones!$AA$105)&gt;=SchemeStart,IF($X103=0,$AD103,IF(AND($Z103&lt;&gt;"",EDATE($D103,Milestones!$AA$105)&gt;=$Z103),$AC103,IF(AND($Y103&lt;&gt;"",EDATE($D103,Milestones!$AA$105)&gt;=$Y103),$AB103,$AA103)))=Milestones!$AB$105),UPPER(TEXT(EDATE($D103,Milestones!$AA$105),"dd mmm yy"))&amp;" "&amp;Milestones!$AB$105&amp;" "&amp;IF(AND(Milestones!$AB$105="FT",Milestones!$AA$105=FT_Y5,EDATE($D103,Milestones!$AA$105)&lt;PolicyEff),1,Milestones!$AC$105)&amp;";  ","")&amp;IF(AND(EDATE($D103,Milestones!$AA$106)&lt;=AsOfDate,EDATE($D103,Milestones!$AA$106)&gt;=SchemeStart,IF($X103=0,$AD103,IF(AND($Z103&lt;&gt;"",EDATE($D103,Milestones!$AA$106)&gt;=$Z103),$AC103,IF(AND($Y103&lt;&gt;"",EDATE($D103,Milestones!$AA$106)&gt;=$Y103),$AB103,$AA103)))=Milestones!$AB$106),UPPER(TEXT(EDATE($D103,Milestones!$AA$106),"dd mmm yy"))&amp;" "&amp;Milestones!$AB$106&amp;" "&amp;IF(AND(Milestones!$AB$106="FT",Milestones!$AA$106=FT_Y5,EDATE($D103,Milestones!$AA$106)&lt;PolicyEff),1,Milestones!$AC$106)&amp;";  ","")&amp;IF(AND(EDATE($D103,Milestones!$AA$107)&lt;=AsOfDate,EDATE($D103,Milestones!$AA$107)&gt;=SchemeStart,IF($X103=0,$AD103,IF(AND($Z103&lt;&gt;"",EDATE($D103,Milestones!$AA$107)&gt;=$Z103),$AC103,IF(AND($Y103&lt;&gt;"",EDATE($D103,Milestones!$AA$107)&gt;=$Y103),$AB103,$AA103)))=Milestones!$AB$107),UPPER(TEXT(EDATE($D103,Milestones!$AA$107),"dd mmm yy"))&amp;" "&amp;Milestones!$AB$107&amp;" "&amp;IF(AND(Milestones!$AB$107="FT",Milestones!$AA$107=FT_Y5,EDATE($D103,Milestones!$AA$107)&lt;PolicyEff),1,Milestones!$AC$107)&amp;";  ","")&amp;IF(AND(EDATE($D103,Milestones!$AA$108)&lt;=AsOfDate,EDATE($D103,Milestones!$AA$108)&gt;=SchemeStart,IF($X103=0,$AD103,IF(AND($Z103&lt;&gt;"",EDATE($D103,Milestones!$AA$108)&gt;=$Z103),$AC103,IF(AND($Y103&lt;&gt;"",EDATE($D103,Milestones!$AA$108)&gt;=$Y103),$AB103,$AA103)))=Milestones!$AB$108),UPPER(TEXT(EDATE($D103,Milestones!$AA$108),"dd mmm yy"))&amp;" "&amp;Milestones!$AB$108&amp;" "&amp;IF(AND(Milestones!$AB$108="FT",Milestones!$AA$108=FT_Y5,EDATE($D103,Milestones!$AA$108)&lt;PolicyEff),1,Milestones!$AC$108)&amp;";  ","")&amp;IF(AND(EDATE($D103,Milestones!$AA$109)&lt;=AsOfDate,EDATE($D103,Milestones!$AA$109)&gt;=SchemeStart,IF($X103=0,$AD103,IF(AND($Z103&lt;&gt;"",EDATE($D103,Milestones!$AA$109)&gt;=$Z103),$AC103,IF(AND($Y103&lt;&gt;"",EDATE($D103,Milestones!$AA$109)&gt;=$Y103),$AB103,$AA103)))=Milestones!$AB$109),UPPER(TEXT(EDATE($D103,Milestones!$AA$109),"dd mmm yy"))&amp;" "&amp;Milestones!$AB$109&amp;" "&amp;IF(AND(Milestones!$AB$109="FT",Milestones!$AA$109=FT_Y5,EDATE($D103,Milestones!$AA$109)&lt;PolicyEff),1,Milestones!$AC$109)&amp;";  ","")&amp;IF(AND(EDATE($D103,Milestones!$AA$110)&lt;=AsOfDate,EDATE($D103,Milestones!$AA$110)&gt;=SchemeStart,IF($X103=0,$AD103,IF(AND($Z103&lt;&gt;"",EDATE($D103,Milestones!$AA$110)&gt;=$Z103),$AC103,IF(AND($Y103&lt;&gt;"",EDATE($D103,Milestones!$AA$110)&gt;=$Y103),$AB103,$AA103)))=Milestones!$AB$110),UPPER(TEXT(EDATE($D103,Milestones!$AA$110),"dd mmm yy"))&amp;" "&amp;Milestones!$AB$110&amp;" "&amp;IF(AND(Milestones!$AB$110="FT",Milestones!$AA$110=FT_Y5,EDATE($D103,Milestones!$AA$110)&lt;PolicyEff),1,Milestones!$AC$110)&amp;";  ","")&amp;IF(AND(EDATE($D103,Milestones!$AA$111)&lt;=AsOfDate,EDATE($D103,Milestones!$AA$111)&gt;=SchemeStart,IF($X103=0,$AD103,IF(AND($Z103&lt;&gt;"",EDATE($D103,Milestones!$AA$111)&gt;=$Z103),$AC103,IF(AND($Y103&lt;&gt;"",EDATE($D103,Milestones!$AA$111)&gt;=$Y103),$AB103,$AA103)))=Milestones!$AB$111),UPPER(TEXT(EDATE($D103,Milestones!$AA$111),"dd mmm yy"))&amp;" "&amp;Milestones!$AB$111&amp;" "&amp;IF(AND(Milestones!$AB$111="FT",Milestones!$AA$111=FT_Y5,EDATE($D103,Milestones!$AA$111)&lt;PolicyEff),1,Milestones!$AC$111)&amp;";  ","")&amp;IF(AND(EDATE($D103,Milestones!$AA$112)&lt;=AsOfDate,EDATE($D103,Milestones!$AA$112)&gt;=SchemeStart,IF($X103=0,$AD103,IF(AND($Z103&lt;&gt;"",EDATE($D103,Milestones!$AA$112)&gt;=$Z103),$AC103,IF(AND($Y103&lt;&gt;"",EDATE($D103,Milestones!$AA$112)&gt;=$Y103),$AB103,$AA103)))=Milestones!$AB$112),UPPER(TEXT(EDATE($D103,Milestones!$AA$112),"dd mmm yy"))&amp;" "&amp;Milestones!$AB$112&amp;" "&amp;IF(AND(Milestones!$AB$112="FT",Milestones!$AA$112=FT_Y5,EDATE($D103,Milestones!$AA$112)&lt;PolicyEff),1,Milestones!$AC$112)&amp;";  ","")&amp;IF(AND(EDATE($D103,Milestones!$AA$113)&lt;=AsOfDate,EDATE($D103,Milestones!$AA$113)&gt;=SchemeStart,IF($X103=0,$AD103,IF(AND($Z103&lt;&gt;"",EDATE($D103,Milestones!$AA$113)&gt;=$Z103),$AC103,IF(AND($Y103&lt;&gt;"",EDATE($D103,Milestones!$AA$113)&gt;=$Y103),$AB103,$AA103)))=Milestones!$AB$113),UPPER(TEXT(EDATE($D103,Milestones!$AA$113),"dd mmm yy"))&amp;" "&amp;Milestones!$AB$113&amp;" "&amp;IF(AND(Milestones!$AB$113="FT",Milestones!$AA$113=FT_Y5,EDATE($D103,Milestones!$AA$113)&lt;PolicyEff),1,Milestones!$AC$113)&amp;";  ","")&amp;IF(AND(EDATE($D103,Milestones!$AA$114)&lt;=AsOfDate,EDATE($D103,Milestones!$AA$114)&gt;=SchemeStart,IF($X103=0,$AD103,IF(AND($Z103&lt;&gt;"",EDATE($D103,Milestones!$AA$114)&gt;=$Z103),$AC103,IF(AND($Y103&lt;&gt;"",EDATE($D103,Milestones!$AA$114)&gt;=$Y103),$AB103,$AA103)))=Milestones!$AB$114),UPPER(TEXT(EDATE($D103,Milestones!$AA$114),"dd mmm yy"))&amp;" "&amp;Milestones!$AB$114&amp;" "&amp;IF(AND(Milestones!$AB$114="FT",Milestones!$AA$114=FT_Y5,EDATE($D103,Milestones!$AA$114)&lt;PolicyEff),1,Milestones!$AC$114)&amp;";  ","")&amp;IF(AND(EDATE($D103,Milestones!$AA$115)&lt;=AsOfDate,EDATE($D103,Milestones!$AA$115)&gt;=SchemeStart,IF($X103=0,$AD103,IF(AND($Z103&lt;&gt;"",EDATE($D103,Milestones!$AA$115)&gt;=$Z103),$AC103,IF(AND($Y103&lt;&gt;"",EDATE($D103,Milestones!$AA$115)&gt;=$Y103),$AB103,$AA103)))=Milestones!$AB$115),UPPER(TEXT(EDATE($D103,Milestones!$AA$115),"dd mmm yy"))&amp;" "&amp;Milestones!$AB$115&amp;" "&amp;IF(AND(Milestones!$AB$115="FT",Milestones!$AA$115=FT_Y5,EDATE($D103,Milestones!$AA$115)&lt;PolicyEff),1,Milestones!$AC$115)&amp;";  ",""))</f>
        <v/>
      </c>
      <c r="Q103" s="0" t="str">
        <f aca="false">IF(OR($A103="",$D103=""),"",IF(AND(EDATE($D103,Milestones!$AA$116)&lt;=AsOfDate,EDATE($D103,Milestones!$AA$116)&gt;=SchemeStart,IF($X103=0,$AD103,IF(AND($Z103&lt;&gt;"",EDATE($D103,Milestones!$AA$116)&gt;=$Z103),$AC103,IF(AND($Y103&lt;&gt;"",EDATE($D103,Milestones!$AA$116)&gt;=$Y103),$AB103,$AA103)))=Milestones!$AB$116),UPPER(TEXT(EDATE($D103,Milestones!$AA$116),"dd mmm yy"))&amp;" "&amp;Milestones!$AB$116&amp;" "&amp;IF(AND(Milestones!$AB$116="FT",Milestones!$AA$116=FT_Y5,EDATE($D103,Milestones!$AA$116)&lt;PolicyEff),1,Milestones!$AC$116)&amp;";  ","")&amp;IF(AND(EDATE($D103,Milestones!$AA$117)&lt;=AsOfDate,EDATE($D103,Milestones!$AA$117)&gt;=SchemeStart,IF($X103=0,$AD103,IF(AND($Z103&lt;&gt;"",EDATE($D103,Milestones!$AA$117)&gt;=$Z103),$AC103,IF(AND($Y103&lt;&gt;"",EDATE($D103,Milestones!$AA$117)&gt;=$Y103),$AB103,$AA103)))=Milestones!$AB$117),UPPER(TEXT(EDATE($D103,Milestones!$AA$117),"dd mmm yy"))&amp;" "&amp;Milestones!$AB$117&amp;" "&amp;IF(AND(Milestones!$AB$117="FT",Milestones!$AA$117=FT_Y5,EDATE($D103,Milestones!$AA$117)&lt;PolicyEff),1,Milestones!$AC$117)&amp;";  ","")&amp;IF(AND(EDATE($D103,Milestones!$AA$118)&lt;=AsOfDate,EDATE($D103,Milestones!$AA$118)&gt;=SchemeStart,IF($X103=0,$AD103,IF(AND($Z103&lt;&gt;"",EDATE($D103,Milestones!$AA$118)&gt;=$Z103),$AC103,IF(AND($Y103&lt;&gt;"",EDATE($D103,Milestones!$AA$118)&gt;=$Y103),$AB103,$AA103)))=Milestones!$AB$118),UPPER(TEXT(EDATE($D103,Milestones!$AA$118),"dd mmm yy"))&amp;" "&amp;Milestones!$AB$118&amp;" "&amp;IF(AND(Milestones!$AB$118="FT",Milestones!$AA$118=FT_Y5,EDATE($D103,Milestones!$AA$118)&lt;PolicyEff),1,Milestones!$AC$118)&amp;";  ","")&amp;IF(AND(EDATE($D103,Milestones!$AA$119)&lt;=AsOfDate,EDATE($D103,Milestones!$AA$119)&gt;=SchemeStart,IF($X103=0,$AD103,IF(AND($Z103&lt;&gt;"",EDATE($D103,Milestones!$AA$119)&gt;=$Z103),$AC103,IF(AND($Y103&lt;&gt;"",EDATE($D103,Milestones!$AA$119)&gt;=$Y103),$AB103,$AA103)))=Milestones!$AB$119),UPPER(TEXT(EDATE($D103,Milestones!$AA$119),"dd mmm yy"))&amp;" "&amp;Milestones!$AB$119&amp;" "&amp;IF(AND(Milestones!$AB$119="FT",Milestones!$AA$119=FT_Y5,EDATE($D103,Milestones!$AA$119)&lt;PolicyEff),1,Milestones!$AC$119)&amp;";  ","")&amp;IF(AND(EDATE($D103,Milestones!$AA$120)&lt;=AsOfDate,EDATE($D103,Milestones!$AA$120)&gt;=SchemeStart,IF($X103=0,$AD103,IF(AND($Z103&lt;&gt;"",EDATE($D103,Milestones!$AA$120)&gt;=$Z103),$AC103,IF(AND($Y103&lt;&gt;"",EDATE($D103,Milestones!$AA$120)&gt;=$Y103),$AB103,$AA103)))=Milestones!$AB$120),UPPER(TEXT(EDATE($D103,Milestones!$AA$120),"dd mmm yy"))&amp;" "&amp;Milestones!$AB$120&amp;" "&amp;IF(AND(Milestones!$AB$120="FT",Milestones!$AA$120=FT_Y5,EDATE($D103,Milestones!$AA$120)&lt;PolicyEff),1,Milestones!$AC$120)&amp;";  ","")&amp;IF(AND(EDATE($D103,Milestones!$AA$121)&lt;=AsOfDate,EDATE($D103,Milestones!$AA$121)&gt;=SchemeStart,IF($X103=0,$AD103,IF(AND($Z103&lt;&gt;"",EDATE($D103,Milestones!$AA$121)&gt;=$Z103),$AC103,IF(AND($Y103&lt;&gt;"",EDATE($D103,Milestones!$AA$121)&gt;=$Y103),$AB103,$AA103)))=Milestones!$AB$121),UPPER(TEXT(EDATE($D103,Milestones!$AA$121),"dd mmm yy"))&amp;" "&amp;Milestones!$AB$121&amp;" "&amp;IF(AND(Milestones!$AB$121="FT",Milestones!$AA$121=FT_Y5,EDATE($D103,Milestones!$AA$121)&lt;PolicyEff),1,Milestones!$AC$121)&amp;";  ","")&amp;IF(AND(EDATE($D103,Milestones!$AA$122)&lt;=AsOfDate,EDATE($D103,Milestones!$AA$122)&gt;=SchemeStart,IF($X103=0,$AD103,IF(AND($Z103&lt;&gt;"",EDATE($D103,Milestones!$AA$122)&gt;=$Z103),$AC103,IF(AND($Y103&lt;&gt;"",EDATE($D103,Milestones!$AA$122)&gt;=$Y103),$AB103,$AA103)))=Milestones!$AB$122),UPPER(TEXT(EDATE($D103,Milestones!$AA$122),"dd mmm yy"))&amp;" "&amp;Milestones!$AB$122&amp;" "&amp;IF(AND(Milestones!$AB$122="FT",Milestones!$AA$122=FT_Y5,EDATE($D103,Milestones!$AA$122)&lt;PolicyEff),1,Milestones!$AC$122)&amp;";  ","")&amp;IF(AND(EDATE($D103,Milestones!$AA$123)&lt;=AsOfDate,EDATE($D103,Milestones!$AA$123)&gt;=SchemeStart,IF($X103=0,$AD103,IF(AND($Z103&lt;&gt;"",EDATE($D103,Milestones!$AA$123)&gt;=$Z103),$AC103,IF(AND($Y103&lt;&gt;"",EDATE($D103,Milestones!$AA$123)&gt;=$Y103),$AB103,$AA103)))=Milestones!$AB$123),UPPER(TEXT(EDATE($D103,Milestones!$AA$123),"dd mmm yy"))&amp;" "&amp;Milestones!$AB$123&amp;" "&amp;IF(AND(Milestones!$AB$123="FT",Milestones!$AA$123=FT_Y5,EDATE($D103,Milestones!$AA$123)&lt;PolicyEff),1,Milestones!$AC$123)&amp;";  ","")&amp;IF(AND(EDATE($D103,Milestones!$AA$124)&lt;=AsOfDate,EDATE($D103,Milestones!$AA$124)&gt;=SchemeStart,IF($X103=0,$AD103,IF(AND($Z103&lt;&gt;"",EDATE($D103,Milestones!$AA$124)&gt;=$Z103),$AC103,IF(AND($Y103&lt;&gt;"",EDATE($D103,Milestones!$AA$124)&gt;=$Y103),$AB103,$AA103)))=Milestones!$AB$124),UPPER(TEXT(EDATE($D103,Milestones!$AA$124),"dd mmm yy"))&amp;" "&amp;Milestones!$AB$124&amp;" "&amp;IF(AND(Milestones!$AB$124="FT",Milestones!$AA$124=FT_Y5,EDATE($D103,Milestones!$AA$124)&lt;PolicyEff),1,Milestones!$AC$124)&amp;";  ","")&amp;IF(AND(EDATE($D103,Milestones!$AA$125)&lt;=AsOfDate,EDATE($D103,Milestones!$AA$125)&gt;=SchemeStart,IF($X103=0,$AD103,IF(AND($Z103&lt;&gt;"",EDATE($D103,Milestones!$AA$125)&gt;=$Z103),$AC103,IF(AND($Y103&lt;&gt;"",EDATE($D103,Milestones!$AA$125)&gt;=$Y103),$AB103,$AA103)))=Milestones!$AB$125),UPPER(TEXT(EDATE($D103,Milestones!$AA$125),"dd mmm yy"))&amp;" "&amp;Milestones!$AB$125&amp;" "&amp;IF(AND(Milestones!$AB$125="FT",Milestones!$AA$125=FT_Y5,EDATE($D103,Milestones!$AA$125)&lt;PolicyEff),1,Milestones!$AC$125)&amp;";  ","")&amp;IF(AND(EDATE($D103,Milestones!$AA$126)&lt;=AsOfDate,EDATE($D103,Milestones!$AA$126)&gt;=SchemeStart,IF($X103=0,$AD103,IF(AND($Z103&lt;&gt;"",EDATE($D103,Milestones!$AA$126)&gt;=$Z103),$AC103,IF(AND($Y103&lt;&gt;"",EDATE($D103,Milestones!$AA$126)&gt;=$Y103),$AB103,$AA103)))=Milestones!$AB$126),UPPER(TEXT(EDATE($D103,Milestones!$AA$126),"dd mmm yy"))&amp;" "&amp;Milestones!$AB$126&amp;" "&amp;IF(AND(Milestones!$AB$126="FT",Milestones!$AA$126=FT_Y5,EDATE($D103,Milestones!$AA$126)&lt;PolicyEff),1,Milestones!$AC$126)&amp;";  ","")&amp;IF(AND(EDATE($D103,Milestones!$AA$127)&lt;=AsOfDate,EDATE($D103,Milestones!$AA$127)&gt;=SchemeStart,IF($X103=0,$AD103,IF(AND($Z103&lt;&gt;"",EDATE($D103,Milestones!$AA$127)&gt;=$Z103),$AC103,IF(AND($Y103&lt;&gt;"",EDATE($D103,Milestones!$AA$127)&gt;=$Y103),$AB103,$AA103)))=Milestones!$AB$127),UPPER(TEXT(EDATE($D103,Milestones!$AA$127),"dd mmm yy"))&amp;" "&amp;Milestones!$AB$127&amp;" "&amp;IF(AND(Milestones!$AB$127="FT",Milestones!$AA$127=FT_Y5,EDATE($D103,Milestones!$AA$127)&lt;PolicyEff),1,Milestones!$AC$127)&amp;";  ",""))</f>
        <v/>
      </c>
      <c r="R103" s="0" t="str">
        <f aca="false">IF(OR($A103="",$D103=""),"",IF(AND(EDATE($D103,Milestones!$AA$128)&lt;=AsOfDate,EDATE($D103,Milestones!$AA$128)&gt;=SchemeStart,IF($X103=0,$AD103,IF(AND($Z103&lt;&gt;"",EDATE($D103,Milestones!$AA$128)&gt;=$Z103),$AC103,IF(AND($Y103&lt;&gt;"",EDATE($D103,Milestones!$AA$128)&gt;=$Y103),$AB103,$AA103)))=Milestones!$AB$128),UPPER(TEXT(EDATE($D103,Milestones!$AA$128),"dd mmm yy"))&amp;" "&amp;Milestones!$AB$128&amp;" "&amp;IF(AND(Milestones!$AB$128="FT",Milestones!$AA$128=FT_Y5,EDATE($D103,Milestones!$AA$128)&lt;PolicyEff),1,Milestones!$AC$128)&amp;";  ","")&amp;IF(AND(EDATE($D103,Milestones!$AA$129)&lt;=AsOfDate,EDATE($D103,Milestones!$AA$129)&gt;=SchemeStart,IF($X103=0,$AD103,IF(AND($Z103&lt;&gt;"",EDATE($D103,Milestones!$AA$129)&gt;=$Z103),$AC103,IF(AND($Y103&lt;&gt;"",EDATE($D103,Milestones!$AA$129)&gt;=$Y103),$AB103,$AA103)))=Milestones!$AB$129),UPPER(TEXT(EDATE($D103,Milestones!$AA$129),"dd mmm yy"))&amp;" "&amp;Milestones!$AB$129&amp;" "&amp;IF(AND(Milestones!$AB$129="FT",Milestones!$AA$129=FT_Y5,EDATE($D103,Milestones!$AA$129)&lt;PolicyEff),1,Milestones!$AC$129)&amp;";  ","")&amp;IF(AND(EDATE($D103,Milestones!$AA$130)&lt;=AsOfDate,EDATE($D103,Milestones!$AA$130)&gt;=SchemeStart,IF($X103=0,$AD103,IF(AND($Z103&lt;&gt;"",EDATE($D103,Milestones!$AA$130)&gt;=$Z103),$AC103,IF(AND($Y103&lt;&gt;"",EDATE($D103,Milestones!$AA$130)&gt;=$Y103),$AB103,$AA103)))=Milestones!$AB$130),UPPER(TEXT(EDATE($D103,Milestones!$AA$130),"dd mmm yy"))&amp;" "&amp;Milestones!$AB$130&amp;" "&amp;IF(AND(Milestones!$AB$130="FT",Milestones!$AA$130=FT_Y5,EDATE($D103,Milestones!$AA$130)&lt;PolicyEff),1,Milestones!$AC$130)&amp;";  ","")&amp;IF(AND(EDATE($D103,Milestones!$AA$131)&lt;=AsOfDate,EDATE($D103,Milestones!$AA$131)&gt;=SchemeStart,IF($X103=0,$AD103,IF(AND($Z103&lt;&gt;"",EDATE($D103,Milestones!$AA$131)&gt;=$Z103),$AC103,IF(AND($Y103&lt;&gt;"",EDATE($D103,Milestones!$AA$131)&gt;=$Y103),$AB103,$AA103)))=Milestones!$AB$131),UPPER(TEXT(EDATE($D103,Milestones!$AA$131),"dd mmm yy"))&amp;" "&amp;Milestones!$AB$131&amp;" "&amp;IF(AND(Milestones!$AB$131="FT",Milestones!$AA$131=FT_Y5,EDATE($D103,Milestones!$AA$131)&lt;PolicyEff),1,Milestones!$AC$131)&amp;";  ","")&amp;IF(AND(EDATE($D103,Milestones!$AA$132)&lt;=AsOfDate,EDATE($D103,Milestones!$AA$132)&gt;=SchemeStart,IF($X103=0,$AD103,IF(AND($Z103&lt;&gt;"",EDATE($D103,Milestones!$AA$132)&gt;=$Z103),$AC103,IF(AND($Y103&lt;&gt;"",EDATE($D103,Milestones!$AA$132)&gt;=$Y103),$AB103,$AA103)))=Milestones!$AB$132),UPPER(TEXT(EDATE($D103,Milestones!$AA$132),"dd mmm yy"))&amp;" "&amp;Milestones!$AB$132&amp;" "&amp;IF(AND(Milestones!$AB$132="FT",Milestones!$AA$132=FT_Y5,EDATE($D103,Milestones!$AA$132)&lt;PolicyEff),1,Milestones!$AC$132)&amp;";  ","")&amp;IF(AND(EDATE($D103,Milestones!$AA$133)&lt;=AsOfDate,EDATE($D103,Milestones!$AA$133)&gt;=SchemeStart,IF($X103=0,$AD103,IF(AND($Z103&lt;&gt;"",EDATE($D103,Milestones!$AA$133)&gt;=$Z103),$AC103,IF(AND($Y103&lt;&gt;"",EDATE($D103,Milestones!$AA$133)&gt;=$Y103),$AB103,$AA103)))=Milestones!$AB$133),UPPER(TEXT(EDATE($D103,Milestones!$AA$133),"dd mmm yy"))&amp;" "&amp;Milestones!$AB$133&amp;" "&amp;IF(AND(Milestones!$AB$133="FT",Milestones!$AA$133=FT_Y5,EDATE($D103,Milestones!$AA$133)&lt;PolicyEff),1,Milestones!$AC$133)&amp;";  ","")&amp;IF(AND(EDATE($D103,Milestones!$AA$134)&lt;=AsOfDate,EDATE($D103,Milestones!$AA$134)&gt;=SchemeStart,IF($X103=0,$AD103,IF(AND($Z103&lt;&gt;"",EDATE($D103,Milestones!$AA$134)&gt;=$Z103),$AC103,IF(AND($Y103&lt;&gt;"",EDATE($D103,Milestones!$AA$134)&gt;=$Y103),$AB103,$AA103)))=Milestones!$AB$134),UPPER(TEXT(EDATE($D103,Milestones!$AA$134),"dd mmm yy"))&amp;" "&amp;Milestones!$AB$134&amp;" "&amp;IF(AND(Milestones!$AB$134="FT",Milestones!$AA$134=FT_Y5,EDATE($D103,Milestones!$AA$134)&lt;PolicyEff),1,Milestones!$AC$134)&amp;";  ","")&amp;IF(AND(EDATE($D103,Milestones!$AA$135)&lt;=AsOfDate,EDATE($D103,Milestones!$AA$135)&gt;=SchemeStart,IF($X103=0,$AD103,IF(AND($Z103&lt;&gt;"",EDATE($D103,Milestones!$AA$135)&gt;=$Z103),$AC103,IF(AND($Y103&lt;&gt;"",EDATE($D103,Milestones!$AA$135)&gt;=$Y103),$AB103,$AA103)))=Milestones!$AB$135),UPPER(TEXT(EDATE($D103,Milestones!$AA$135),"dd mmm yy"))&amp;" "&amp;Milestones!$AB$135&amp;" "&amp;IF(AND(Milestones!$AB$135="FT",Milestones!$AA$135=FT_Y5,EDATE($D103,Milestones!$AA$135)&lt;PolicyEff),1,Milestones!$AC$135)&amp;";  ","")&amp;IF(AND(EDATE($D103,Milestones!$AA$136)&lt;=AsOfDate,EDATE($D103,Milestones!$AA$136)&gt;=SchemeStart,IF($X103=0,$AD103,IF(AND($Z103&lt;&gt;"",EDATE($D103,Milestones!$AA$136)&gt;=$Z103),$AC103,IF(AND($Y103&lt;&gt;"",EDATE($D103,Milestones!$AA$136)&gt;=$Y103),$AB103,$AA103)))=Milestones!$AB$136),UPPER(TEXT(EDATE($D103,Milestones!$AA$136),"dd mmm yy"))&amp;" "&amp;Milestones!$AB$136&amp;" "&amp;IF(AND(Milestones!$AB$136="FT",Milestones!$AA$136=FT_Y5,EDATE($D103,Milestones!$AA$136)&lt;PolicyEff),1,Milestones!$AC$136)&amp;";  ","")&amp;IF(AND(EDATE($D103,Milestones!$AA$137)&lt;=AsOfDate,EDATE($D103,Milestones!$AA$137)&gt;=SchemeStart,IF($X103=0,$AD103,IF(AND($Z103&lt;&gt;"",EDATE($D103,Milestones!$AA$137)&gt;=$Z103),$AC103,IF(AND($Y103&lt;&gt;"",EDATE($D103,Milestones!$AA$137)&gt;=$Y103),$AB103,$AA103)))=Milestones!$AB$137),UPPER(TEXT(EDATE($D103,Milestones!$AA$137),"dd mmm yy"))&amp;" "&amp;Milestones!$AB$137&amp;" "&amp;IF(AND(Milestones!$AB$137="FT",Milestones!$AA$137=FT_Y5,EDATE($D103,Milestones!$AA$137)&lt;PolicyEff),1,Milestones!$AC$137)&amp;";  ","")&amp;IF(AND(EDATE($D103,Milestones!$AA$138)&lt;=AsOfDate,EDATE($D103,Milestones!$AA$138)&gt;=SchemeStart,IF($X103=0,$AD103,IF(AND($Z103&lt;&gt;"",EDATE($D103,Milestones!$AA$138)&gt;=$Z103),$AC103,IF(AND($Y103&lt;&gt;"",EDATE($D103,Milestones!$AA$138)&gt;=$Y103),$AB103,$AA103)))=Milestones!$AB$138),UPPER(TEXT(EDATE($D103,Milestones!$AA$138),"dd mmm yy"))&amp;" "&amp;Milestones!$AB$138&amp;" "&amp;IF(AND(Milestones!$AB$138="FT",Milestones!$AA$138=FT_Y5,EDATE($D103,Milestones!$AA$138)&lt;PolicyEff),1,Milestones!$AC$138)&amp;";  ","")&amp;IF(AND(EDATE($D103,Milestones!$AA$139)&lt;=AsOfDate,EDATE($D103,Milestones!$AA$139)&gt;=SchemeStart,IF($X103=0,$AD103,IF(AND($Z103&lt;&gt;"",EDATE($D103,Milestones!$AA$139)&gt;=$Z103),$AC103,IF(AND($Y103&lt;&gt;"",EDATE($D103,Milestones!$AA$139)&gt;=$Y103),$AB103,$AA103)))=Milestones!$AB$139),UPPER(TEXT(EDATE($D103,Milestones!$AA$139),"dd mmm yy"))&amp;" "&amp;Milestones!$AB$139&amp;" "&amp;IF(AND(Milestones!$AB$139="FT",Milestones!$AA$139=FT_Y5,EDATE($D103,Milestones!$AA$139)&lt;PolicyEff),1,Milestones!$AC$139)&amp;";  ",""))</f>
        <v/>
      </c>
      <c r="S103" s="0" t="str">
        <f aca="false">IF(OR($A103="",$D103=""),"",IF(AND(EDATE($D103,Milestones!$AA$140)&lt;=AsOfDate,EDATE($D103,Milestones!$AA$140)&gt;=SchemeStart,IF($X103=0,$AD103,IF(AND($Z103&lt;&gt;"",EDATE($D103,Milestones!$AA$140)&gt;=$Z103),$AC103,IF(AND($Y103&lt;&gt;"",EDATE($D103,Milestones!$AA$140)&gt;=$Y103),$AB103,$AA103)))=Milestones!$AB$140),UPPER(TEXT(EDATE($D103,Milestones!$AA$140),"dd mmm yy"))&amp;" "&amp;Milestones!$AB$140&amp;" "&amp;IF(AND(Milestones!$AB$140="FT",Milestones!$AA$140=FT_Y5,EDATE($D103,Milestones!$AA$140)&lt;PolicyEff),1,Milestones!$AC$140)&amp;";  ","")&amp;IF(AND(EDATE($D103,Milestones!$AA$141)&lt;=AsOfDate,EDATE($D103,Milestones!$AA$141)&gt;=SchemeStart,IF($X103=0,$AD103,IF(AND($Z103&lt;&gt;"",EDATE($D103,Milestones!$AA$141)&gt;=$Z103),$AC103,IF(AND($Y103&lt;&gt;"",EDATE($D103,Milestones!$AA$141)&gt;=$Y103),$AB103,$AA103)))=Milestones!$AB$141),UPPER(TEXT(EDATE($D103,Milestones!$AA$141),"dd mmm yy"))&amp;" "&amp;Milestones!$AB$141&amp;" "&amp;IF(AND(Milestones!$AB$141="FT",Milestones!$AA$141=FT_Y5,EDATE($D103,Milestones!$AA$141)&lt;PolicyEff),1,Milestones!$AC$141)&amp;";  ","")&amp;IF(AND(EDATE($D103,Milestones!$AA$142)&lt;=AsOfDate,EDATE($D103,Milestones!$AA$142)&gt;=SchemeStart,IF($X103=0,$AD103,IF(AND($Z103&lt;&gt;"",EDATE($D103,Milestones!$AA$142)&gt;=$Z103),$AC103,IF(AND($Y103&lt;&gt;"",EDATE($D103,Milestones!$AA$142)&gt;=$Y103),$AB103,$AA103)))=Milestones!$AB$142),UPPER(TEXT(EDATE($D103,Milestones!$AA$142),"dd mmm yy"))&amp;" "&amp;Milestones!$AB$142&amp;" "&amp;IF(AND(Milestones!$AB$142="FT",Milestones!$AA$142=FT_Y5,EDATE($D103,Milestones!$AA$142)&lt;PolicyEff),1,Milestones!$AC$142)&amp;";  ","")&amp;IF(AND(EDATE($D103,Milestones!$AA$143)&lt;=AsOfDate,EDATE($D103,Milestones!$AA$143)&gt;=SchemeStart,IF($X103=0,$AD103,IF(AND($Z103&lt;&gt;"",EDATE($D103,Milestones!$AA$143)&gt;=$Z103),$AC103,IF(AND($Y103&lt;&gt;"",EDATE($D103,Milestones!$AA$143)&gt;=$Y103),$AB103,$AA103)))=Milestones!$AB$143),UPPER(TEXT(EDATE($D103,Milestones!$AA$143),"dd mmm yy"))&amp;" "&amp;Milestones!$AB$143&amp;" "&amp;IF(AND(Milestones!$AB$143="FT",Milestones!$AA$143=FT_Y5,EDATE($D103,Milestones!$AA$143)&lt;PolicyEff),1,Milestones!$AC$143)&amp;";  ","")&amp;IF(AND(EDATE($D103,Milestones!$AA$144)&lt;=AsOfDate,EDATE($D103,Milestones!$AA$144)&gt;=SchemeStart,IF($X103=0,$AD103,IF(AND($Z103&lt;&gt;"",EDATE($D103,Milestones!$AA$144)&gt;=$Z103),$AC103,IF(AND($Y103&lt;&gt;"",EDATE($D103,Milestones!$AA$144)&gt;=$Y103),$AB103,$AA103)))=Milestones!$AB$144),UPPER(TEXT(EDATE($D103,Milestones!$AA$144),"dd mmm yy"))&amp;" "&amp;Milestones!$AB$144&amp;" "&amp;IF(AND(Milestones!$AB$144="FT",Milestones!$AA$144=FT_Y5,EDATE($D103,Milestones!$AA$144)&lt;PolicyEff),1,Milestones!$AC$144)&amp;";  ","")&amp;IF(AND(EDATE($D103,Milestones!$AA$145)&lt;=AsOfDate,EDATE($D103,Milestones!$AA$145)&gt;=SchemeStart,IF($X103=0,$AD103,IF(AND($Z103&lt;&gt;"",EDATE($D103,Milestones!$AA$145)&gt;=$Z103),$AC103,IF(AND($Y103&lt;&gt;"",EDATE($D103,Milestones!$AA$145)&gt;=$Y103),$AB103,$AA103)))=Milestones!$AB$145),UPPER(TEXT(EDATE($D103,Milestones!$AA$145),"dd mmm yy"))&amp;" "&amp;Milestones!$AB$145&amp;" "&amp;IF(AND(Milestones!$AB$145="FT",Milestones!$AA$145=FT_Y5,EDATE($D103,Milestones!$AA$145)&lt;PolicyEff),1,Milestones!$AC$145)&amp;";  ","")&amp;IF(AND(EDATE($D103,Milestones!$AA$146)&lt;=AsOfDate,EDATE($D103,Milestones!$AA$146)&gt;=SchemeStart,IF($X103=0,$AD103,IF(AND($Z103&lt;&gt;"",EDATE($D103,Milestones!$AA$146)&gt;=$Z103),$AC103,IF(AND($Y103&lt;&gt;"",EDATE($D103,Milestones!$AA$146)&gt;=$Y103),$AB103,$AA103)))=Milestones!$AB$146),UPPER(TEXT(EDATE($D103,Milestones!$AA$146),"dd mmm yy"))&amp;" "&amp;Milestones!$AB$146&amp;" "&amp;IF(AND(Milestones!$AB$146="FT",Milestones!$AA$146=FT_Y5,EDATE($D103,Milestones!$AA$146)&lt;PolicyEff),1,Milestones!$AC$146)&amp;";  ","")&amp;IF(AND(EDATE($D103,Milestones!$AA$147)&lt;=AsOfDate,EDATE($D103,Milestones!$AA$147)&gt;=SchemeStart,IF($X103=0,$AD103,IF(AND($Z103&lt;&gt;"",EDATE($D103,Milestones!$AA$147)&gt;=$Z103),$AC103,IF(AND($Y103&lt;&gt;"",EDATE($D103,Milestones!$AA$147)&gt;=$Y103),$AB103,$AA103)))=Milestones!$AB$147),UPPER(TEXT(EDATE($D103,Milestones!$AA$147),"dd mmm yy"))&amp;" "&amp;Milestones!$AB$147&amp;" "&amp;IF(AND(Milestones!$AB$147="FT",Milestones!$AA$147=FT_Y5,EDATE($D103,Milestones!$AA$147)&lt;PolicyEff),1,Milestones!$AC$147)&amp;";  ","")&amp;IF(AND(EDATE($D103,Milestones!$AA$148)&lt;=AsOfDate,EDATE($D103,Milestones!$AA$148)&gt;=SchemeStart,IF($X103=0,$AD103,IF(AND($Z103&lt;&gt;"",EDATE($D103,Milestones!$AA$148)&gt;=$Z103),$AC103,IF(AND($Y103&lt;&gt;"",EDATE($D103,Milestones!$AA$148)&gt;=$Y103),$AB103,$AA103)))=Milestones!$AB$148),UPPER(TEXT(EDATE($D103,Milestones!$AA$148),"dd mmm yy"))&amp;" "&amp;Milestones!$AB$148&amp;" "&amp;IF(AND(Milestones!$AB$148="FT",Milestones!$AA$148=FT_Y5,EDATE($D103,Milestones!$AA$148)&lt;PolicyEff),1,Milestones!$AC$148)&amp;";  ","")&amp;IF(AND(EDATE($D103,Milestones!$AA$149)&lt;=AsOfDate,EDATE($D103,Milestones!$AA$149)&gt;=SchemeStart,IF($X103=0,$AD103,IF(AND($Z103&lt;&gt;"",EDATE($D103,Milestones!$AA$149)&gt;=$Z103),$AC103,IF(AND($Y103&lt;&gt;"",EDATE($D103,Milestones!$AA$149)&gt;=$Y103),$AB103,$AA103)))=Milestones!$AB$149),UPPER(TEXT(EDATE($D103,Milestones!$AA$149),"dd mmm yy"))&amp;" "&amp;Milestones!$AB$149&amp;" "&amp;IF(AND(Milestones!$AB$149="FT",Milestones!$AA$149=FT_Y5,EDATE($D103,Milestones!$AA$149)&lt;PolicyEff),1,Milestones!$AC$149)&amp;";  ","")&amp;IF(AND(EDATE($D103,Milestones!$AA$150)&lt;=AsOfDate,EDATE($D103,Milestones!$AA$150)&gt;=SchemeStart,IF($X103=0,$AD103,IF(AND($Z103&lt;&gt;"",EDATE($D103,Milestones!$AA$150)&gt;=$Z103),$AC103,IF(AND($Y103&lt;&gt;"",EDATE($D103,Milestones!$AA$150)&gt;=$Y103),$AB103,$AA103)))=Milestones!$AB$150),UPPER(TEXT(EDATE($D103,Milestones!$AA$150),"dd mmm yy"))&amp;" "&amp;Milestones!$AB$150&amp;" "&amp;IF(AND(Milestones!$AB$150="FT",Milestones!$AA$150=FT_Y5,EDATE($D103,Milestones!$AA$150)&lt;PolicyEff),1,Milestones!$AC$150)&amp;";  ","")&amp;IF(AND(EDATE($D103,Milestones!$AA$151)&lt;=AsOfDate,EDATE($D103,Milestones!$AA$151)&gt;=SchemeStart,IF($X103=0,$AD103,IF(AND($Z103&lt;&gt;"",EDATE($D103,Milestones!$AA$151)&gt;=$Z103),$AC103,IF(AND($Y103&lt;&gt;"",EDATE($D103,Milestones!$AA$151)&gt;=$Y103),$AB103,$AA103)))=Milestones!$AB$151),UPPER(TEXT(EDATE($D103,Milestones!$AA$151),"dd mmm yy"))&amp;" "&amp;Milestones!$AB$151&amp;" "&amp;IF(AND(Milestones!$AB$151="FT",Milestones!$AA$151=FT_Y5,EDATE($D103,Milestones!$AA$151)&lt;PolicyEff),1,Milestones!$AC$151)&amp;";  ",""))</f>
        <v/>
      </c>
      <c r="T103" s="0" t="str">
        <f aca="false">IF(OR($A103="",$D103=""),"",IF(AND(EDATE($D103,Milestones!$AA$152)&lt;=AsOfDate,EDATE($D103,Milestones!$AA$152)&gt;=SchemeStart,IF($X103=0,$AD103,IF(AND($Z103&lt;&gt;"",EDATE($D103,Milestones!$AA$152)&gt;=$Z103),$AC103,IF(AND($Y103&lt;&gt;"",EDATE($D103,Milestones!$AA$152)&gt;=$Y103),$AB103,$AA103)))=Milestones!$AB$152),UPPER(TEXT(EDATE($D103,Milestones!$AA$152),"dd mmm yy"))&amp;" "&amp;Milestones!$AB$152&amp;" "&amp;IF(AND(Milestones!$AB$152="FT",Milestones!$AA$152=FT_Y5,EDATE($D103,Milestones!$AA$152)&lt;PolicyEff),1,Milestones!$AC$152)&amp;";  ","")&amp;IF(AND(EDATE($D103,Milestones!$AA$153)&lt;=AsOfDate,EDATE($D103,Milestones!$AA$153)&gt;=SchemeStart,IF($X103=0,$AD103,IF(AND($Z103&lt;&gt;"",EDATE($D103,Milestones!$AA$153)&gt;=$Z103),$AC103,IF(AND($Y103&lt;&gt;"",EDATE($D103,Milestones!$AA$153)&gt;=$Y103),$AB103,$AA103)))=Milestones!$AB$153),UPPER(TEXT(EDATE($D103,Milestones!$AA$153),"dd mmm yy"))&amp;" "&amp;Milestones!$AB$153&amp;" "&amp;IF(AND(Milestones!$AB$153="FT",Milestones!$AA$153=FT_Y5,EDATE($D103,Milestones!$AA$153)&lt;PolicyEff),1,Milestones!$AC$153)&amp;";  ","")&amp;IF(AND(EDATE($D103,Milestones!$AA$154)&lt;=AsOfDate,EDATE($D103,Milestones!$AA$154)&gt;=SchemeStart,IF($X103=0,$AD103,IF(AND($Z103&lt;&gt;"",EDATE($D103,Milestones!$AA$154)&gt;=$Z103),$AC103,IF(AND($Y103&lt;&gt;"",EDATE($D103,Milestones!$AA$154)&gt;=$Y103),$AB103,$AA103)))=Milestones!$AB$154),UPPER(TEXT(EDATE($D103,Milestones!$AA$154),"dd mmm yy"))&amp;" "&amp;Milestones!$AB$154&amp;" "&amp;IF(AND(Milestones!$AB$154="FT",Milestones!$AA$154=FT_Y5,EDATE($D103,Milestones!$AA$154)&lt;PolicyEff),1,Milestones!$AC$154)&amp;";  ","")&amp;IF(AND(EDATE($D103,Milestones!$AA$155)&lt;=AsOfDate,EDATE($D103,Milestones!$AA$155)&gt;=SchemeStart,IF($X103=0,$AD103,IF(AND($Z103&lt;&gt;"",EDATE($D103,Milestones!$AA$155)&gt;=$Z103),$AC103,IF(AND($Y103&lt;&gt;"",EDATE($D103,Milestones!$AA$155)&gt;=$Y103),$AB103,$AA103)))=Milestones!$AB$155),UPPER(TEXT(EDATE($D103,Milestones!$AA$155),"dd mmm yy"))&amp;" "&amp;Milestones!$AB$155&amp;" "&amp;IF(AND(Milestones!$AB$155="FT",Milestones!$AA$155=FT_Y5,EDATE($D103,Milestones!$AA$155)&lt;PolicyEff),1,Milestones!$AC$155)&amp;";  ","")&amp;IF(AND(EDATE($D103,Milestones!$AA$156)&lt;=AsOfDate,EDATE($D103,Milestones!$AA$156)&gt;=SchemeStart,IF($X103=0,$AD103,IF(AND($Z103&lt;&gt;"",EDATE($D103,Milestones!$AA$156)&gt;=$Z103),$AC103,IF(AND($Y103&lt;&gt;"",EDATE($D103,Milestones!$AA$156)&gt;=$Y103),$AB103,$AA103)))=Milestones!$AB$156),UPPER(TEXT(EDATE($D103,Milestones!$AA$156),"dd mmm yy"))&amp;" "&amp;Milestones!$AB$156&amp;" "&amp;IF(AND(Milestones!$AB$156="FT",Milestones!$AA$156=FT_Y5,EDATE($D103,Milestones!$AA$156)&lt;PolicyEff),1,Milestones!$AC$156)&amp;";  ","")&amp;IF(AND(EDATE($D103,Milestones!$AA$157)&lt;=AsOfDate,EDATE($D103,Milestones!$AA$157)&gt;=SchemeStart,IF($X103=0,$AD103,IF(AND($Z103&lt;&gt;"",EDATE($D103,Milestones!$AA$157)&gt;=$Z103),$AC103,IF(AND($Y103&lt;&gt;"",EDATE($D103,Milestones!$AA$157)&gt;=$Y103),$AB103,$AA103)))=Milestones!$AB$157),UPPER(TEXT(EDATE($D103,Milestones!$AA$157),"dd mmm yy"))&amp;" "&amp;Milestones!$AB$157&amp;" "&amp;IF(AND(Milestones!$AB$157="FT",Milestones!$AA$157=FT_Y5,EDATE($D103,Milestones!$AA$157)&lt;PolicyEff),1,Milestones!$AC$157)&amp;";  ","")&amp;IF(AND(EDATE($D103,Milestones!$AA$158)&lt;=AsOfDate,EDATE($D103,Milestones!$AA$158)&gt;=SchemeStart,IF($X103=0,$AD103,IF(AND($Z103&lt;&gt;"",EDATE($D103,Milestones!$AA$158)&gt;=$Z103),$AC103,IF(AND($Y103&lt;&gt;"",EDATE($D103,Milestones!$AA$158)&gt;=$Y103),$AB103,$AA103)))=Milestones!$AB$158),UPPER(TEXT(EDATE($D103,Milestones!$AA$158),"dd mmm yy"))&amp;" "&amp;Milestones!$AB$158&amp;" "&amp;IF(AND(Milestones!$AB$158="FT",Milestones!$AA$158=FT_Y5,EDATE($D103,Milestones!$AA$158)&lt;PolicyEff),1,Milestones!$AC$158)&amp;";  ","")&amp;IF(AND(EDATE($D103,Milestones!$AA$159)&lt;=AsOfDate,EDATE($D103,Milestones!$AA$159)&gt;=SchemeStart,IF($X103=0,$AD103,IF(AND($Z103&lt;&gt;"",EDATE($D103,Milestones!$AA$159)&gt;=$Z103),$AC103,IF(AND($Y103&lt;&gt;"",EDATE($D103,Milestones!$AA$159)&gt;=$Y103),$AB103,$AA103)))=Milestones!$AB$159),UPPER(TEXT(EDATE($D103,Milestones!$AA$159),"dd mmm yy"))&amp;" "&amp;Milestones!$AB$159&amp;" "&amp;IF(AND(Milestones!$AB$159="FT",Milestones!$AA$159=FT_Y5,EDATE($D103,Milestones!$AA$159)&lt;PolicyEff),1,Milestones!$AC$159)&amp;";  ","")&amp;IF(AND(EDATE($D103,Milestones!$AA$160)&lt;=AsOfDate,EDATE($D103,Milestones!$AA$160)&gt;=SchemeStart,IF($X103=0,$AD103,IF(AND($Z103&lt;&gt;"",EDATE($D103,Milestones!$AA$160)&gt;=$Z103),$AC103,IF(AND($Y103&lt;&gt;"",EDATE($D103,Milestones!$AA$160)&gt;=$Y103),$AB103,$AA103)))=Milestones!$AB$160),UPPER(TEXT(EDATE($D103,Milestones!$AA$160),"dd mmm yy"))&amp;" "&amp;Milestones!$AB$160&amp;" "&amp;IF(AND(Milestones!$AB$160="FT",Milestones!$AA$160=FT_Y5,EDATE($D103,Milestones!$AA$160)&lt;PolicyEff),1,Milestones!$AC$160)&amp;";  ","")&amp;IF(AND(EDATE($D103,Milestones!$AA$161)&lt;=AsOfDate,EDATE($D103,Milestones!$AA$161)&gt;=SchemeStart,IF($X103=0,$AD103,IF(AND($Z103&lt;&gt;"",EDATE($D103,Milestones!$AA$161)&gt;=$Z103),$AC103,IF(AND($Y103&lt;&gt;"",EDATE($D103,Milestones!$AA$161)&gt;=$Y103),$AB103,$AA103)))=Milestones!$AB$161),UPPER(TEXT(EDATE($D103,Milestones!$AA$161),"dd mmm yy"))&amp;" "&amp;Milestones!$AB$161&amp;" "&amp;IF(AND(Milestones!$AB$161="FT",Milestones!$AA$161=FT_Y5,EDATE($D103,Milestones!$AA$161)&lt;PolicyEff),1,Milestones!$AC$161)&amp;";  ","")&amp;IF(AND(EDATE($D103,Milestones!$AA$162)&lt;=AsOfDate,EDATE($D103,Milestones!$AA$162)&gt;=SchemeStart,IF($X103=0,$AD103,IF(AND($Z103&lt;&gt;"",EDATE($D103,Milestones!$AA$162)&gt;=$Z103),$AC103,IF(AND($Y103&lt;&gt;"",EDATE($D103,Milestones!$AA$162)&gt;=$Y103),$AB103,$AA103)))=Milestones!$AB$162),UPPER(TEXT(EDATE($D103,Milestones!$AA$162),"dd mmm yy"))&amp;" "&amp;Milestones!$AB$162&amp;" "&amp;IF(AND(Milestones!$AB$162="FT",Milestones!$AA$162=FT_Y5,EDATE($D103,Milestones!$AA$162)&lt;PolicyEff),1,Milestones!$AC$162)&amp;";  ","")&amp;IF(AND(EDATE($D103,Milestones!$AA$163)&lt;=AsOfDate,EDATE($D103,Milestones!$AA$163)&gt;=SchemeStart,IF($X103=0,$AD103,IF(AND($Z103&lt;&gt;"",EDATE($D103,Milestones!$AA$163)&gt;=$Z103),$AC103,IF(AND($Y103&lt;&gt;"",EDATE($D103,Milestones!$AA$163)&gt;=$Y103),$AB103,$AA103)))=Milestones!$AB$163),UPPER(TEXT(EDATE($D103,Milestones!$AA$163),"dd mmm yy"))&amp;" "&amp;Milestones!$AB$163&amp;" "&amp;IF(AND(Milestones!$AB$163="FT",Milestones!$AA$163=FT_Y5,EDATE($D103,Milestones!$AA$163)&lt;PolicyEff),1,Milestones!$AC$163)&amp;";  ",""))</f>
        <v/>
      </c>
      <c r="U103" s="0" t="str">
        <f aca="false">IF(OR($A103="",$D103=""),"",IF(AND(EDATE($D103,Milestones!$AA$164)&lt;=AsOfDate,EDATE($D103,Milestones!$AA$164)&gt;=SchemeStart,IF($X103=0,$AD103,IF(AND($Z103&lt;&gt;"",EDATE($D103,Milestones!$AA$164)&gt;=$Z103),$AC103,IF(AND($Y103&lt;&gt;"",EDATE($D103,Milestones!$AA$164)&gt;=$Y103),$AB103,$AA103)))=Milestones!$AB$164),UPPER(TEXT(EDATE($D103,Milestones!$AA$164),"dd mmm yy"))&amp;" "&amp;Milestones!$AB$164&amp;" "&amp;IF(AND(Milestones!$AB$164="FT",Milestones!$AA$164=FT_Y5,EDATE($D103,Milestones!$AA$164)&lt;PolicyEff),1,Milestones!$AC$164)&amp;";  ","")&amp;IF(AND(EDATE($D103,Milestones!$AA$165)&lt;=AsOfDate,EDATE($D103,Milestones!$AA$165)&gt;=SchemeStart,IF($X103=0,$AD103,IF(AND($Z103&lt;&gt;"",EDATE($D103,Milestones!$AA$165)&gt;=$Z103),$AC103,IF(AND($Y103&lt;&gt;"",EDATE($D103,Milestones!$AA$165)&gt;=$Y103),$AB103,$AA103)))=Milestones!$AB$165),UPPER(TEXT(EDATE($D103,Milestones!$AA$165),"dd mmm yy"))&amp;" "&amp;Milestones!$AB$165&amp;" "&amp;IF(AND(Milestones!$AB$165="FT",Milestones!$AA$165=FT_Y5,EDATE($D103,Milestones!$AA$165)&lt;PolicyEff),1,Milestones!$AC$165)&amp;";  ","")&amp;IF(AND(EDATE($D103,Milestones!$AA$166)&lt;=AsOfDate,EDATE($D103,Milestones!$AA$166)&gt;=SchemeStart,IF($X103=0,$AD103,IF(AND($Z103&lt;&gt;"",EDATE($D103,Milestones!$AA$166)&gt;=$Z103),$AC103,IF(AND($Y103&lt;&gt;"",EDATE($D103,Milestones!$AA$166)&gt;=$Y103),$AB103,$AA103)))=Milestones!$AB$166),UPPER(TEXT(EDATE($D103,Milestones!$AA$166),"dd mmm yy"))&amp;" "&amp;Milestones!$AB$166&amp;" "&amp;IF(AND(Milestones!$AB$166="FT",Milestones!$AA$166=FT_Y5,EDATE($D103,Milestones!$AA$166)&lt;PolicyEff),1,Milestones!$AC$166)&amp;";  ","")&amp;IF(AND(EDATE($D103,Milestones!$AA$167)&lt;=AsOfDate,EDATE($D103,Milestones!$AA$167)&gt;=SchemeStart,IF($X103=0,$AD103,IF(AND($Z103&lt;&gt;"",EDATE($D103,Milestones!$AA$167)&gt;=$Z103),$AC103,IF(AND($Y103&lt;&gt;"",EDATE($D103,Milestones!$AA$167)&gt;=$Y103),$AB103,$AA103)))=Milestones!$AB$167),UPPER(TEXT(EDATE($D103,Milestones!$AA$167),"dd mmm yy"))&amp;" "&amp;Milestones!$AB$167&amp;" "&amp;IF(AND(Milestones!$AB$167="FT",Milestones!$AA$167=FT_Y5,EDATE($D103,Milestones!$AA$167)&lt;PolicyEff),1,Milestones!$AC$167)&amp;";  ","")&amp;IF(AND(EDATE($D103,Milestones!$AA$168)&lt;=AsOfDate,EDATE($D103,Milestones!$AA$168)&gt;=SchemeStart,IF($X103=0,$AD103,IF(AND($Z103&lt;&gt;"",EDATE($D103,Milestones!$AA$168)&gt;=$Z103),$AC103,IF(AND($Y103&lt;&gt;"",EDATE($D103,Milestones!$AA$168)&gt;=$Y103),$AB103,$AA103)))=Milestones!$AB$168),UPPER(TEXT(EDATE($D103,Milestones!$AA$168),"dd mmm yy"))&amp;" "&amp;Milestones!$AB$168&amp;" "&amp;IF(AND(Milestones!$AB$168="FT",Milestones!$AA$168=FT_Y5,EDATE($D103,Milestones!$AA$168)&lt;PolicyEff),1,Milestones!$AC$168)&amp;";  ","")&amp;IF(AND(EDATE($D103,Milestones!$AA$169)&lt;=AsOfDate,EDATE($D103,Milestones!$AA$169)&gt;=SchemeStart,IF($X103=0,$AD103,IF(AND($Z103&lt;&gt;"",EDATE($D103,Milestones!$AA$169)&gt;=$Z103),$AC103,IF(AND($Y103&lt;&gt;"",EDATE($D103,Milestones!$AA$169)&gt;=$Y103),$AB103,$AA103)))=Milestones!$AB$169),UPPER(TEXT(EDATE($D103,Milestones!$AA$169),"dd mmm yy"))&amp;" "&amp;Milestones!$AB$169&amp;" "&amp;IF(AND(Milestones!$AB$169="FT",Milestones!$AA$169=FT_Y5,EDATE($D103,Milestones!$AA$169)&lt;PolicyEff),1,Milestones!$AC$169)&amp;";  ","")&amp;IF(AND(EDATE($D103,Milestones!$AA$170)&lt;=AsOfDate,EDATE($D103,Milestones!$AA$170)&gt;=SchemeStart,IF($X103=0,$AD103,IF(AND($Z103&lt;&gt;"",EDATE($D103,Milestones!$AA$170)&gt;=$Z103),$AC103,IF(AND($Y103&lt;&gt;"",EDATE($D103,Milestones!$AA$170)&gt;=$Y103),$AB103,$AA103)))=Milestones!$AB$170),UPPER(TEXT(EDATE($D103,Milestones!$AA$170),"dd mmm yy"))&amp;" "&amp;Milestones!$AB$170&amp;" "&amp;IF(AND(Milestones!$AB$170="FT",Milestones!$AA$170=FT_Y5,EDATE($D103,Milestones!$AA$170)&lt;PolicyEff),1,Milestones!$AC$170)&amp;";  ","")&amp;IF(AND(EDATE($D103,Milestones!$AA$171)&lt;=AsOfDate,EDATE($D103,Milestones!$AA$171)&gt;=SchemeStart,IF($X103=0,$AD103,IF(AND($Z103&lt;&gt;"",EDATE($D103,Milestones!$AA$171)&gt;=$Z103),$AC103,IF(AND($Y103&lt;&gt;"",EDATE($D103,Milestones!$AA$171)&gt;=$Y103),$AB103,$AA103)))=Milestones!$AB$171),UPPER(TEXT(EDATE($D103,Milestones!$AA$171),"dd mmm yy"))&amp;" "&amp;Milestones!$AB$171&amp;" "&amp;IF(AND(Milestones!$AB$171="FT",Milestones!$AA$171=FT_Y5,EDATE($D103,Milestones!$AA$171)&lt;PolicyEff),1,Milestones!$AC$171)&amp;";  ","")&amp;IF(AND(EDATE($D103,Milestones!$AA$172)&lt;=AsOfDate,EDATE($D103,Milestones!$AA$172)&gt;=SchemeStart,IF($X103=0,$AD103,IF(AND($Z103&lt;&gt;"",EDATE($D103,Milestones!$AA$172)&gt;=$Z103),$AC103,IF(AND($Y103&lt;&gt;"",EDATE($D103,Milestones!$AA$172)&gt;=$Y103),$AB103,$AA103)))=Milestones!$AB$172),UPPER(TEXT(EDATE($D103,Milestones!$AA$172),"dd mmm yy"))&amp;" "&amp;Milestones!$AB$172&amp;" "&amp;IF(AND(Milestones!$AB$172="FT",Milestones!$AA$172=FT_Y5,EDATE($D103,Milestones!$AA$172)&lt;PolicyEff),1,Milestones!$AC$172)&amp;";  ","")&amp;IF(AND(EDATE($D103,Milestones!$AA$173)&lt;=AsOfDate,EDATE($D103,Milestones!$AA$173)&gt;=SchemeStart,IF($X103=0,$AD103,IF(AND($Z103&lt;&gt;"",EDATE($D103,Milestones!$AA$173)&gt;=$Z103),$AC103,IF(AND($Y103&lt;&gt;"",EDATE($D103,Milestones!$AA$173)&gt;=$Y103),$AB103,$AA103)))=Milestones!$AB$173),UPPER(TEXT(EDATE($D103,Milestones!$AA$173),"dd mmm yy"))&amp;" "&amp;Milestones!$AB$173&amp;" "&amp;IF(AND(Milestones!$AB$173="FT",Milestones!$AA$173=FT_Y5,EDATE($D103,Milestones!$AA$173)&lt;PolicyEff),1,Milestones!$AC$173)&amp;";  ","")&amp;IF(AND(EDATE($D103,Milestones!$AA$174)&lt;=AsOfDate,EDATE($D103,Milestones!$AA$174)&gt;=SchemeStart,IF($X103=0,$AD103,IF(AND($Z103&lt;&gt;"",EDATE($D103,Milestones!$AA$174)&gt;=$Z103),$AC103,IF(AND($Y103&lt;&gt;"",EDATE($D103,Milestones!$AA$174)&gt;=$Y103),$AB103,$AA103)))=Milestones!$AB$174),UPPER(TEXT(EDATE($D103,Milestones!$AA$174),"dd mmm yy"))&amp;" "&amp;Milestones!$AB$174&amp;" "&amp;IF(AND(Milestones!$AB$174="FT",Milestones!$AA$174=FT_Y5,EDATE($D103,Milestones!$AA$174)&lt;PolicyEff),1,Milestones!$AC$174)&amp;";  ","")&amp;IF(AND(EDATE($D103,Milestones!$AA$175)&lt;=AsOfDate,EDATE($D103,Milestones!$AA$175)&gt;=SchemeStart,IF($X103=0,$AD103,IF(AND($Z103&lt;&gt;"",EDATE($D103,Milestones!$AA$175)&gt;=$Z103),$AC103,IF(AND($Y103&lt;&gt;"",EDATE($D103,Milestones!$AA$175)&gt;=$Y103),$AB103,$AA103)))=Milestones!$AB$175),UPPER(TEXT(EDATE($D103,Milestones!$AA$175),"dd mmm yy"))&amp;" "&amp;Milestones!$AB$175&amp;" "&amp;IF(AND(Milestones!$AB$175="FT",Milestones!$AA$175=FT_Y5,EDATE($D103,Milestones!$AA$175)&lt;PolicyEff),1,Milestones!$AC$175)&amp;";  ",""))</f>
        <v/>
      </c>
      <c r="V103" s="0" t="str">
        <f aca="false">IF(OR($A103="",$D103=""),"",IF(AND(EDATE($D103,Milestones!$AA$176)&lt;=AsOfDate,EDATE($D103,Milestones!$AA$176)&gt;=SchemeStart,IF($X103=0,$AD103,IF(AND($Z103&lt;&gt;"",EDATE($D103,Milestones!$AA$176)&gt;=$Z103),$AC103,IF(AND($Y103&lt;&gt;"",EDATE($D103,Milestones!$AA$176)&gt;=$Y103),$AB103,$AA103)))=Milestones!$AB$176),UPPER(TEXT(EDATE($D103,Milestones!$AA$176),"dd mmm yy"))&amp;" "&amp;Milestones!$AB$176&amp;" "&amp;IF(AND(Milestones!$AB$176="FT",Milestones!$AA$176=FT_Y5,EDATE($D103,Milestones!$AA$176)&lt;PolicyEff),1,Milestones!$AC$176)&amp;";  ","")&amp;IF(AND(EDATE($D103,Milestones!$AA$177)&lt;=AsOfDate,EDATE($D103,Milestones!$AA$177)&gt;=SchemeStart,IF($X103=0,$AD103,IF(AND($Z103&lt;&gt;"",EDATE($D103,Milestones!$AA$177)&gt;=$Z103),$AC103,IF(AND($Y103&lt;&gt;"",EDATE($D103,Milestones!$AA$177)&gt;=$Y103),$AB103,$AA103)))=Milestones!$AB$177),UPPER(TEXT(EDATE($D103,Milestones!$AA$177),"dd mmm yy"))&amp;" "&amp;Milestones!$AB$177&amp;" "&amp;IF(AND(Milestones!$AB$177="FT",Milestones!$AA$177=FT_Y5,EDATE($D103,Milestones!$AA$177)&lt;PolicyEff),1,Milestones!$AC$177)&amp;";  ","")&amp;IF(AND(EDATE($D103,Milestones!$AA$178)&lt;=AsOfDate,EDATE($D103,Milestones!$AA$178)&gt;=SchemeStart,IF($X103=0,$AD103,IF(AND($Z103&lt;&gt;"",EDATE($D103,Milestones!$AA$178)&gt;=$Z103),$AC103,IF(AND($Y103&lt;&gt;"",EDATE($D103,Milestones!$AA$178)&gt;=$Y103),$AB103,$AA103)))=Milestones!$AB$178),UPPER(TEXT(EDATE($D103,Milestones!$AA$178),"dd mmm yy"))&amp;" "&amp;Milestones!$AB$178&amp;" "&amp;IF(AND(Milestones!$AB$178="FT",Milestones!$AA$178=FT_Y5,EDATE($D103,Milestones!$AA$178)&lt;PolicyEff),1,Milestones!$AC$178)&amp;";  ","")&amp;IF(AND(EDATE($D103,Milestones!$AA$179)&lt;=AsOfDate,EDATE($D103,Milestones!$AA$179)&gt;=SchemeStart,IF($X103=0,$AD103,IF(AND($Z103&lt;&gt;"",EDATE($D103,Milestones!$AA$179)&gt;=$Z103),$AC103,IF(AND($Y103&lt;&gt;"",EDATE($D103,Milestones!$AA$179)&gt;=$Y103),$AB103,$AA103)))=Milestones!$AB$179),UPPER(TEXT(EDATE($D103,Milestones!$AA$179),"dd mmm yy"))&amp;" "&amp;Milestones!$AB$179&amp;" "&amp;IF(AND(Milestones!$AB$179="FT",Milestones!$AA$179=FT_Y5,EDATE($D103,Milestones!$AA$179)&lt;PolicyEff),1,Milestones!$AC$179)&amp;";  ","")&amp;IF(AND(EDATE($D103,Milestones!$AA$180)&lt;=AsOfDate,EDATE($D103,Milestones!$AA$180)&gt;=SchemeStart,IF($X103=0,$AD103,IF(AND($Z103&lt;&gt;"",EDATE($D103,Milestones!$AA$180)&gt;=$Z103),$AC103,IF(AND($Y103&lt;&gt;"",EDATE($D103,Milestones!$AA$180)&gt;=$Y103),$AB103,$AA103)))=Milestones!$AB$180),UPPER(TEXT(EDATE($D103,Milestones!$AA$180),"dd mmm yy"))&amp;" "&amp;Milestones!$AB$180&amp;" "&amp;IF(AND(Milestones!$AB$180="FT",Milestones!$AA$180=FT_Y5,EDATE($D103,Milestones!$AA$180)&lt;PolicyEff),1,Milestones!$AC$180)&amp;";  ","")&amp;IF(AND(EDATE($D103,Milestones!$AA$181)&lt;=AsOfDate,EDATE($D103,Milestones!$AA$181)&gt;=SchemeStart,IF($X103=0,$AD103,IF(AND($Z103&lt;&gt;"",EDATE($D103,Milestones!$AA$181)&gt;=$Z103),$AC103,IF(AND($Y103&lt;&gt;"",EDATE($D103,Milestones!$AA$181)&gt;=$Y103),$AB103,$AA103)))=Milestones!$AB$181),UPPER(TEXT(EDATE($D103,Milestones!$AA$181),"dd mmm yy"))&amp;" "&amp;Milestones!$AB$181&amp;" "&amp;IF(AND(Milestones!$AB$181="FT",Milestones!$AA$181=FT_Y5,EDATE($D103,Milestones!$AA$181)&lt;PolicyEff),1,Milestones!$AC$181)&amp;";  ","")&amp;IF(AND(EDATE($D103,Milestones!$AA$182)&lt;=AsOfDate,EDATE($D103,Milestones!$AA$182)&gt;=SchemeStart,IF($X103=0,$AD103,IF(AND($Z103&lt;&gt;"",EDATE($D103,Milestones!$AA$182)&gt;=$Z103),$AC103,IF(AND($Y103&lt;&gt;"",EDATE($D103,Milestones!$AA$182)&gt;=$Y103),$AB103,$AA103)))=Milestones!$AB$182),UPPER(TEXT(EDATE($D103,Milestones!$AA$182),"dd mmm yy"))&amp;" "&amp;Milestones!$AB$182&amp;" "&amp;IF(AND(Milestones!$AB$182="FT",Milestones!$AA$182=FT_Y5,EDATE($D103,Milestones!$AA$182)&lt;PolicyEff),1,Milestones!$AC$182)&amp;";  ","")&amp;IF(AND(EDATE($D103,Milestones!$AA$183)&lt;=AsOfDate,EDATE($D103,Milestones!$AA$183)&gt;=SchemeStart,IF($X103=0,$AD103,IF(AND($Z103&lt;&gt;"",EDATE($D103,Milestones!$AA$183)&gt;=$Z103),$AC103,IF(AND($Y103&lt;&gt;"",EDATE($D103,Milestones!$AA$183)&gt;=$Y103),$AB103,$AA103)))=Milestones!$AB$183),UPPER(TEXT(EDATE($D103,Milestones!$AA$183),"dd mmm yy"))&amp;" "&amp;Milestones!$AB$183&amp;" "&amp;IF(AND(Milestones!$AB$183="FT",Milestones!$AA$183=FT_Y5,EDATE($D103,Milestones!$AA$183)&lt;PolicyEff),1,Milestones!$AC$183)&amp;";  ","")&amp;IF(AND(EDATE($D103,Milestones!$AA$184)&lt;=AsOfDate,EDATE($D103,Milestones!$AA$184)&gt;=SchemeStart,IF($X103=0,$AD103,IF(AND($Z103&lt;&gt;"",EDATE($D103,Milestones!$AA$184)&gt;=$Z103),$AC103,IF(AND($Y103&lt;&gt;"",EDATE($D103,Milestones!$AA$184)&gt;=$Y103),$AB103,$AA103)))=Milestones!$AB$184),UPPER(TEXT(EDATE($D103,Milestones!$AA$184),"dd mmm yy"))&amp;" "&amp;Milestones!$AB$184&amp;" "&amp;IF(AND(Milestones!$AB$184="FT",Milestones!$AA$184=FT_Y5,EDATE($D103,Milestones!$AA$184)&lt;PolicyEff),1,Milestones!$AC$184)&amp;";  ","")&amp;IF(AND(EDATE($D103,Milestones!$AA$185)&lt;=AsOfDate,EDATE($D103,Milestones!$AA$185)&gt;=SchemeStart,IF($X103=0,$AD103,IF(AND($Z103&lt;&gt;"",EDATE($D103,Milestones!$AA$185)&gt;=$Z103),$AC103,IF(AND($Y103&lt;&gt;"",EDATE($D103,Milestones!$AA$185)&gt;=$Y103),$AB103,$AA103)))=Milestones!$AB$185),UPPER(TEXT(EDATE($D103,Milestones!$AA$185),"dd mmm yy"))&amp;" "&amp;Milestones!$AB$185&amp;" "&amp;IF(AND(Milestones!$AB$185="FT",Milestones!$AA$185=FT_Y5,EDATE($D103,Milestones!$AA$185)&lt;PolicyEff),1,Milestones!$AC$185)&amp;";  ","")&amp;IF(AND(EDATE($D103,Milestones!$AA$186)&lt;=AsOfDate,EDATE($D103,Milestones!$AA$186)&gt;=SchemeStart,IF($X103=0,$AD103,IF(AND($Z103&lt;&gt;"",EDATE($D103,Milestones!$AA$186)&gt;=$Z103),$AC103,IF(AND($Y103&lt;&gt;"",EDATE($D103,Milestones!$AA$186)&gt;=$Y103),$AB103,$AA103)))=Milestones!$AB$186),UPPER(TEXT(EDATE($D103,Milestones!$AA$186),"dd mmm yy"))&amp;" "&amp;Milestones!$AB$186&amp;" "&amp;IF(AND(Milestones!$AB$186="FT",Milestones!$AA$186=FT_Y5,EDATE($D103,Milestones!$AA$186)&lt;PolicyEff),1,Milestones!$AC$186)&amp;";  ","")&amp;IF(AND(EDATE($D103,Milestones!$AA$187)&lt;=AsOfDate,EDATE($D103,Milestones!$AA$187)&gt;=SchemeStart,IF($X103=0,$AD103,IF(AND($Z103&lt;&gt;"",EDATE($D103,Milestones!$AA$187)&gt;=$Z103),$AC103,IF(AND($Y103&lt;&gt;"",EDATE($D103,Milestones!$AA$187)&gt;=$Y103),$AB103,$AA103)))=Milestones!$AB$187),UPPER(TEXT(EDATE($D103,Milestones!$AA$187),"dd mmm yy"))&amp;" "&amp;Milestones!$AB$187&amp;" "&amp;IF(AND(Milestones!$AB$187="FT",Milestones!$AA$187=FT_Y5,EDATE($D103,Milestones!$AA$187)&lt;PolicyEff),1,Milestones!$AC$187)&amp;";  ",""))</f>
        <v/>
      </c>
      <c r="W103" s="0" t="str">
        <f aca="false">IF(OR($A103="",$D103=""),"",IF(AND(EDATE($D103,Milestones!$AA$188)&lt;=AsOfDate,EDATE($D103,Milestones!$AA$188)&gt;=SchemeStart,IF($X103=0,$AD103,IF(AND($Z103&lt;&gt;"",EDATE($D103,Milestones!$AA$188)&gt;=$Z103),$AC103,IF(AND($Y103&lt;&gt;"",EDATE($D103,Milestones!$AA$188)&gt;=$Y103),$AB103,$AA103)))=Milestones!$AB$188),UPPER(TEXT(EDATE($D103,Milestones!$AA$188),"dd mmm yy"))&amp;" "&amp;Milestones!$AB$188&amp;" "&amp;IF(AND(Milestones!$AB$188="FT",Milestones!$AA$188=FT_Y5,EDATE($D103,Milestones!$AA$188)&lt;PolicyEff),1,Milestones!$AC$188)&amp;";  ","")&amp;IF(AND(EDATE($D103,Milestones!$AA$189)&lt;=AsOfDate,EDATE($D103,Milestones!$AA$189)&gt;=SchemeStart,IF($X103=0,$AD103,IF(AND($Z103&lt;&gt;"",EDATE($D103,Milestones!$AA$189)&gt;=$Z103),$AC103,IF(AND($Y103&lt;&gt;"",EDATE($D103,Milestones!$AA$189)&gt;=$Y103),$AB103,$AA103)))=Milestones!$AB$189),UPPER(TEXT(EDATE($D103,Milestones!$AA$189),"dd mmm yy"))&amp;" "&amp;Milestones!$AB$189&amp;" "&amp;IF(AND(Milestones!$AB$189="FT",Milestones!$AA$189=FT_Y5,EDATE($D103,Milestones!$AA$189)&lt;PolicyEff),1,Milestones!$AC$189)&amp;";  ","")&amp;IF(AND(EDATE($D103,Milestones!$AA$190)&lt;=AsOfDate,EDATE($D103,Milestones!$AA$190)&gt;=SchemeStart,IF($X103=0,$AD103,IF(AND($Z103&lt;&gt;"",EDATE($D103,Milestones!$AA$190)&gt;=$Z103),$AC103,IF(AND($Y103&lt;&gt;"",EDATE($D103,Milestones!$AA$190)&gt;=$Y103),$AB103,$AA103)))=Milestones!$AB$190),UPPER(TEXT(EDATE($D103,Milestones!$AA$190),"dd mmm yy"))&amp;" "&amp;Milestones!$AB$190&amp;" "&amp;IF(AND(Milestones!$AB$190="FT",Milestones!$AA$190=FT_Y5,EDATE($D103,Milestones!$AA$190)&lt;PolicyEff),1,Milestones!$AC$190)&amp;";  ","")&amp;IF(AND(EDATE($D103,Milestones!$AA$191)&lt;=AsOfDate,EDATE($D103,Milestones!$AA$191)&gt;=SchemeStart,IF($X103=0,$AD103,IF(AND($Z103&lt;&gt;"",EDATE($D103,Milestones!$AA$191)&gt;=$Z103),$AC103,IF(AND($Y103&lt;&gt;"",EDATE($D103,Milestones!$AA$191)&gt;=$Y103),$AB103,$AA103)))=Milestones!$AB$191),UPPER(TEXT(EDATE($D103,Milestones!$AA$191),"dd mmm yy"))&amp;" "&amp;Milestones!$AB$191&amp;" "&amp;IF(AND(Milestones!$AB$191="FT",Milestones!$AA$191=FT_Y5,EDATE($D103,Milestones!$AA$191)&lt;PolicyEff),1,Milestones!$AC$191)&amp;";  ","")&amp;IF(AND(EDATE($D103,Milestones!$AA$192)&lt;=AsOfDate,EDATE($D103,Milestones!$AA$192)&gt;=SchemeStart,IF($X103=0,$AD103,IF(AND($Z103&lt;&gt;"",EDATE($D103,Milestones!$AA$192)&gt;=$Z103),$AC103,IF(AND($Y103&lt;&gt;"",EDATE($D103,Milestones!$AA$192)&gt;=$Y103),$AB103,$AA103)))=Milestones!$AB$192),UPPER(TEXT(EDATE($D103,Milestones!$AA$192),"dd mmm yy"))&amp;" "&amp;Milestones!$AB$192&amp;" "&amp;IF(AND(Milestones!$AB$192="FT",Milestones!$AA$192=FT_Y5,EDATE($D103,Milestones!$AA$192)&lt;PolicyEff),1,Milestones!$AC$192)&amp;";  ","")&amp;IF(AND(EDATE($D103,Milestones!$AA$193)&lt;=AsOfDate,EDATE($D103,Milestones!$AA$193)&gt;=SchemeStart,IF($X103=0,$AD103,IF(AND($Z103&lt;&gt;"",EDATE($D103,Milestones!$AA$193)&gt;=$Z103),$AC103,IF(AND($Y103&lt;&gt;"",EDATE($D103,Milestones!$AA$193)&gt;=$Y103),$AB103,$AA103)))=Milestones!$AB$193),UPPER(TEXT(EDATE($D103,Milestones!$AA$193),"dd mmm yy"))&amp;" "&amp;Milestones!$AB$193&amp;" "&amp;IF(AND(Milestones!$AB$193="FT",Milestones!$AA$193=FT_Y5,EDATE($D103,Milestones!$AA$193)&lt;PolicyEff),1,Milestones!$AC$193)&amp;";  ","")&amp;IF(AND(EDATE($D103,Milestones!$AA$194)&lt;=AsOfDate,EDATE($D103,Milestones!$AA$194)&gt;=SchemeStart,IF($X103=0,$AD103,IF(AND($Z103&lt;&gt;"",EDATE($D103,Milestones!$AA$194)&gt;=$Z103),$AC103,IF(AND($Y103&lt;&gt;"",EDATE($D103,Milestones!$AA$194)&gt;=$Y103),$AB103,$AA103)))=Milestones!$AB$194),UPPER(TEXT(EDATE($D103,Milestones!$AA$194),"dd mmm yy"))&amp;" "&amp;Milestones!$AB$194&amp;" "&amp;IF(AND(Milestones!$AB$194="FT",Milestones!$AA$194=FT_Y5,EDATE($D103,Milestones!$AA$194)&lt;PolicyEff),1,Milestones!$AC$194)&amp;";  ","")&amp;IF(AND(EDATE($D103,Milestones!$AA$195)&lt;=AsOfDate,EDATE($D103,Milestones!$AA$195)&gt;=SchemeStart,IF($X103=0,$AD103,IF(AND($Z103&lt;&gt;"",EDATE($D103,Milestones!$AA$195)&gt;=$Z103),$AC103,IF(AND($Y103&lt;&gt;"",EDATE($D103,Milestones!$AA$195)&gt;=$Y103),$AB103,$AA103)))=Milestones!$AB$195),UPPER(TEXT(EDATE($D103,Milestones!$AA$195),"dd mmm yy"))&amp;" "&amp;Milestones!$AB$195&amp;" "&amp;IF(AND(Milestones!$AB$195="FT",Milestones!$AA$195=FT_Y5,EDATE($D103,Milestones!$AA$195)&lt;PolicyEff),1,Milestones!$AC$195)&amp;";  ","")&amp;IF(AND(EDATE($D103,Milestones!$AA$196)&lt;=AsOfDate,EDATE($D103,Milestones!$AA$196)&gt;=SchemeStart,IF($X103=0,$AD103,IF(AND($Z103&lt;&gt;"",EDATE($D103,Milestones!$AA$196)&gt;=$Z103),$AC103,IF(AND($Y103&lt;&gt;"",EDATE($D103,Milestones!$AA$196)&gt;=$Y103),$AB103,$AA103)))=Milestones!$AB$196),UPPER(TEXT(EDATE($D103,Milestones!$AA$196),"dd mmm yy"))&amp;" "&amp;Milestones!$AB$196&amp;" "&amp;IF(AND(Milestones!$AB$196="FT",Milestones!$AA$196=FT_Y5,EDATE($D103,Milestones!$AA$196)&lt;PolicyEff),1,Milestones!$AC$196)&amp;";  ","")&amp;IF(AND(EDATE($D103,Milestones!$AA$197)&lt;=AsOfDate,EDATE($D103,Milestones!$AA$197)&gt;=SchemeStart,IF($X103=0,$AD103,IF(AND($Z103&lt;&gt;"",EDATE($D103,Milestones!$AA$197)&gt;=$Z103),$AC103,IF(AND($Y103&lt;&gt;"",EDATE($D103,Milestones!$AA$197)&gt;=$Y103),$AB103,$AA103)))=Milestones!$AB$197),UPPER(TEXT(EDATE($D103,Milestones!$AA$197),"dd mmm yy"))&amp;" "&amp;Milestones!$AB$197&amp;" "&amp;IF(AND(Milestones!$AB$197="FT",Milestones!$AA$197=FT_Y5,EDATE($D103,Milestones!$AA$197)&lt;PolicyEff),1,Milestones!$AC$197)&amp;";  ","")&amp;IF(AND(EDATE($D103,Milestones!$AA$198)&lt;=AsOfDate,EDATE($D103,Milestones!$AA$198)&gt;=SchemeStart,IF($X103=0,$AD103,IF(AND($Z103&lt;&gt;"",EDATE($D103,Milestones!$AA$198)&gt;=$Z103),$AC103,IF(AND($Y103&lt;&gt;"",EDATE($D103,Milestones!$AA$198)&gt;=$Y103),$AB103,$AA103)))=Milestones!$AB$198),UPPER(TEXT(EDATE($D103,Milestones!$AA$198),"dd mmm yy"))&amp;" "&amp;Milestones!$AB$198&amp;" "&amp;IF(AND(Milestones!$AB$198="FT",Milestones!$AA$198=FT_Y5,EDATE($D103,Milestones!$AA$198)&lt;PolicyEff),1,Milestones!$AC$198)&amp;";  ","")&amp;IF(AND(EDATE($D103,Milestones!$AA$199)&lt;=AsOfDate,EDATE($D103,Milestones!$AA$199)&gt;=SchemeStart,IF($X103=0,$AD103,IF(AND($Z103&lt;&gt;"",EDATE($D103,Milestones!$AA$199)&gt;=$Z103),$AC103,IF(AND($Y103&lt;&gt;"",EDATE($D103,Milestones!$AA$199)&gt;=$Y103),$AB103,$AA103)))=Milestones!$AB$199),UPPER(TEXT(EDATE($D103,Milestones!$AA$199),"dd mmm yy"))&amp;" "&amp;Milestones!$AB$199&amp;" "&amp;IF(AND(Milestones!$AB$199="FT",Milestones!$AA$199=FT_Y5,EDATE($D103,Milestones!$AA$199)&lt;PolicyEff),1,Milestones!$AC$199)&amp;";  ",""))</f>
        <v/>
      </c>
      <c r="X103" s="0" t="str">
        <f aca="false">IF(Staff!$A103="","",Staff!$AM103)</f>
        <v/>
      </c>
      <c r="Y103" s="0" t="str">
        <f aca="false">IF(Staff!$A103="","",Staff!$AO103)</f>
        <v/>
      </c>
      <c r="Z103" s="0" t="str">
        <f aca="false">IF(Staff!$A103="","",Staff!$AP103)</f>
        <v/>
      </c>
      <c r="AA103" s="0" t="str">
        <f aca="false">IF(Staff!$A103="","",Staff!$AT103)</f>
        <v/>
      </c>
      <c r="AB103" s="0" t="str">
        <f aca="false">IF(Staff!$A103="","",Staff!$AU103)</f>
        <v/>
      </c>
      <c r="AC103" s="0" t="str">
        <f aca="false">IF(Staff!$A103="","",Staff!$AV103)</f>
        <v/>
      </c>
      <c r="AD103" s="0" t="str">
        <f aca="false">IF(Staff!$A103="","",Staff!$AW103)</f>
        <v/>
      </c>
    </row>
    <row r="104" customFormat="false" ht="15" hidden="false" customHeight="false" outlineLevel="0" collapsed="false">
      <c r="A104" s="16" t="str">
        <f aca="false">IF(Staff!$A104="","",Staff!$A104)</f>
        <v/>
      </c>
      <c r="B104" s="16" t="str">
        <f aca="false">IF(Staff!$A104="","",Staff!$B104)</f>
        <v/>
      </c>
      <c r="C104" s="16" t="str">
        <f aca="false">IF(Staff!$A104="","",Staff!$C104)</f>
        <v/>
      </c>
      <c r="D104" s="14" t="str">
        <f aca="false">IF(Staff!$A104="","",Staff!$AL104)</f>
        <v/>
      </c>
      <c r="E104" s="16" t="str">
        <f aca="false">IF(Staff!$A104="","",Staff!$O104)</f>
        <v/>
      </c>
      <c r="F104" s="16" t="str">
        <f aca="false">IF(E104="","",E104*HoursPerDay)</f>
        <v/>
      </c>
      <c r="G104" s="16" t="str">
        <f aca="false">IF(Staff!$A104="","",Staff!$AE104)</f>
        <v/>
      </c>
      <c r="H104" s="28" t="str">
        <f aca="false">IF($A104="","",I104&amp;J104&amp;K104&amp;L104&amp;M104&amp;N104&amp;O104&amp;P104&amp;Q104&amp;R104&amp;S104&amp;T104&amp;U104&amp;V104&amp;W104)</f>
        <v/>
      </c>
      <c r="I104" s="0" t="str">
        <f aca="false">IF(OR($A104="",$D104=""),"",IF(AND(EDATE($D104,Milestones!$AA$20)&lt;=AsOfDate,EDATE($D104,Milestones!$AA$20)&gt;=SchemeStart,IF($X104=0,$AD104,IF(AND($Z104&lt;&gt;"",EDATE($D104,Milestones!$AA$20)&gt;=$Z104),$AC104,IF(AND($Y104&lt;&gt;"",EDATE($D104,Milestones!$AA$20)&gt;=$Y104),$AB104,$AA104)))=Milestones!$AB$20),UPPER(TEXT(EDATE($D104,Milestones!$AA$20),"dd mmm yy"))&amp;" "&amp;Milestones!$AB$20&amp;" "&amp;IF(AND(Milestones!$AB$20="FT",Milestones!$AA$20=FT_Y5,EDATE($D104,Milestones!$AA$20)&lt;PolicyEff),1,Milestones!$AC$20)&amp;";  ","")&amp;IF(AND(EDATE($D104,Milestones!$AA$21)&lt;=AsOfDate,EDATE($D104,Milestones!$AA$21)&gt;=SchemeStart,IF($X104=0,$AD104,IF(AND($Z104&lt;&gt;"",EDATE($D104,Milestones!$AA$21)&gt;=$Z104),$AC104,IF(AND($Y104&lt;&gt;"",EDATE($D104,Milestones!$AA$21)&gt;=$Y104),$AB104,$AA104)))=Milestones!$AB$21),UPPER(TEXT(EDATE($D104,Milestones!$AA$21),"dd mmm yy"))&amp;" "&amp;Milestones!$AB$21&amp;" "&amp;IF(AND(Milestones!$AB$21="FT",Milestones!$AA$21=FT_Y5,EDATE($D104,Milestones!$AA$21)&lt;PolicyEff),1,Milestones!$AC$21)&amp;";  ","")&amp;IF(AND(EDATE($D104,Milestones!$AA$22)&lt;=AsOfDate,EDATE($D104,Milestones!$AA$22)&gt;=SchemeStart,IF($X104=0,$AD104,IF(AND($Z104&lt;&gt;"",EDATE($D104,Milestones!$AA$22)&gt;=$Z104),$AC104,IF(AND($Y104&lt;&gt;"",EDATE($D104,Milestones!$AA$22)&gt;=$Y104),$AB104,$AA104)))=Milestones!$AB$22),UPPER(TEXT(EDATE($D104,Milestones!$AA$22),"dd mmm yy"))&amp;" "&amp;Milestones!$AB$22&amp;" "&amp;IF(AND(Milestones!$AB$22="FT",Milestones!$AA$22=FT_Y5,EDATE($D104,Milestones!$AA$22)&lt;PolicyEff),1,Milestones!$AC$22)&amp;";  ","")&amp;IF(AND(EDATE($D104,Milestones!$AA$23)&lt;=AsOfDate,EDATE($D104,Milestones!$AA$23)&gt;=SchemeStart,IF($X104=0,$AD104,IF(AND($Z104&lt;&gt;"",EDATE($D104,Milestones!$AA$23)&gt;=$Z104),$AC104,IF(AND($Y104&lt;&gt;"",EDATE($D104,Milestones!$AA$23)&gt;=$Y104),$AB104,$AA104)))=Milestones!$AB$23),UPPER(TEXT(EDATE($D104,Milestones!$AA$23),"dd mmm yy"))&amp;" "&amp;Milestones!$AB$23&amp;" "&amp;IF(AND(Milestones!$AB$23="FT",Milestones!$AA$23=FT_Y5,EDATE($D104,Milestones!$AA$23)&lt;PolicyEff),1,Milestones!$AC$23)&amp;";  ","")&amp;IF(AND(EDATE($D104,Milestones!$AA$24)&lt;=AsOfDate,EDATE($D104,Milestones!$AA$24)&gt;=SchemeStart,IF($X104=0,$AD104,IF(AND($Z104&lt;&gt;"",EDATE($D104,Milestones!$AA$24)&gt;=$Z104),$AC104,IF(AND($Y104&lt;&gt;"",EDATE($D104,Milestones!$AA$24)&gt;=$Y104),$AB104,$AA104)))=Milestones!$AB$24),UPPER(TEXT(EDATE($D104,Milestones!$AA$24),"dd mmm yy"))&amp;" "&amp;Milestones!$AB$24&amp;" "&amp;IF(AND(Milestones!$AB$24="FT",Milestones!$AA$24=FT_Y5,EDATE($D104,Milestones!$AA$24)&lt;PolicyEff),1,Milestones!$AC$24)&amp;";  ","")&amp;IF(AND(EDATE($D104,Milestones!$AA$25)&lt;=AsOfDate,EDATE($D104,Milestones!$AA$25)&gt;=SchemeStart,IF($X104=0,$AD104,IF(AND($Z104&lt;&gt;"",EDATE($D104,Milestones!$AA$25)&gt;=$Z104),$AC104,IF(AND($Y104&lt;&gt;"",EDATE($D104,Milestones!$AA$25)&gt;=$Y104),$AB104,$AA104)))=Milestones!$AB$25),UPPER(TEXT(EDATE($D104,Milestones!$AA$25),"dd mmm yy"))&amp;" "&amp;Milestones!$AB$25&amp;" "&amp;IF(AND(Milestones!$AB$25="FT",Milestones!$AA$25=FT_Y5,EDATE($D104,Milestones!$AA$25)&lt;PolicyEff),1,Milestones!$AC$25)&amp;";  ","")&amp;IF(AND(EDATE($D104,Milestones!$AA$26)&lt;=AsOfDate,EDATE($D104,Milestones!$AA$26)&gt;=SchemeStart,IF($X104=0,$AD104,IF(AND($Z104&lt;&gt;"",EDATE($D104,Milestones!$AA$26)&gt;=$Z104),$AC104,IF(AND($Y104&lt;&gt;"",EDATE($D104,Milestones!$AA$26)&gt;=$Y104),$AB104,$AA104)))=Milestones!$AB$26),UPPER(TEXT(EDATE($D104,Milestones!$AA$26),"dd mmm yy"))&amp;" "&amp;Milestones!$AB$26&amp;" "&amp;IF(AND(Milestones!$AB$26="FT",Milestones!$AA$26=FT_Y5,EDATE($D104,Milestones!$AA$26)&lt;PolicyEff),1,Milestones!$AC$26)&amp;";  ","")&amp;IF(AND(EDATE($D104,Milestones!$AA$27)&lt;=AsOfDate,EDATE($D104,Milestones!$AA$27)&gt;=SchemeStart,IF($X104=0,$AD104,IF(AND($Z104&lt;&gt;"",EDATE($D104,Milestones!$AA$27)&gt;=$Z104),$AC104,IF(AND($Y104&lt;&gt;"",EDATE($D104,Milestones!$AA$27)&gt;=$Y104),$AB104,$AA104)))=Milestones!$AB$27),UPPER(TEXT(EDATE($D104,Milestones!$AA$27),"dd mmm yy"))&amp;" "&amp;Milestones!$AB$27&amp;" "&amp;IF(AND(Milestones!$AB$27="FT",Milestones!$AA$27=FT_Y5,EDATE($D104,Milestones!$AA$27)&lt;PolicyEff),1,Milestones!$AC$27)&amp;";  ","")&amp;IF(AND(EDATE($D104,Milestones!$AA$28)&lt;=AsOfDate,EDATE($D104,Milestones!$AA$28)&gt;=SchemeStart,IF($X104=0,$AD104,IF(AND($Z104&lt;&gt;"",EDATE($D104,Milestones!$AA$28)&gt;=$Z104),$AC104,IF(AND($Y104&lt;&gt;"",EDATE($D104,Milestones!$AA$28)&gt;=$Y104),$AB104,$AA104)))=Milestones!$AB$28),UPPER(TEXT(EDATE($D104,Milestones!$AA$28),"dd mmm yy"))&amp;" "&amp;Milestones!$AB$28&amp;" "&amp;IF(AND(Milestones!$AB$28="FT",Milestones!$AA$28=FT_Y5,EDATE($D104,Milestones!$AA$28)&lt;PolicyEff),1,Milestones!$AC$28)&amp;";  ","")&amp;IF(AND(EDATE($D104,Milestones!$AA$29)&lt;=AsOfDate,EDATE($D104,Milestones!$AA$29)&gt;=SchemeStart,IF($X104=0,$AD104,IF(AND($Z104&lt;&gt;"",EDATE($D104,Milestones!$AA$29)&gt;=$Z104),$AC104,IF(AND($Y104&lt;&gt;"",EDATE($D104,Milestones!$AA$29)&gt;=$Y104),$AB104,$AA104)))=Milestones!$AB$29),UPPER(TEXT(EDATE($D104,Milestones!$AA$29),"dd mmm yy"))&amp;" "&amp;Milestones!$AB$29&amp;" "&amp;IF(AND(Milestones!$AB$29="FT",Milestones!$AA$29=FT_Y5,EDATE($D104,Milestones!$AA$29)&lt;PolicyEff),1,Milestones!$AC$29)&amp;";  ","")&amp;IF(AND(EDATE($D104,Milestones!$AA$30)&lt;=AsOfDate,EDATE($D104,Milestones!$AA$30)&gt;=SchemeStart,IF($X104=0,$AD104,IF(AND($Z104&lt;&gt;"",EDATE($D104,Milestones!$AA$30)&gt;=$Z104),$AC104,IF(AND($Y104&lt;&gt;"",EDATE($D104,Milestones!$AA$30)&gt;=$Y104),$AB104,$AA104)))=Milestones!$AB$30),UPPER(TEXT(EDATE($D104,Milestones!$AA$30),"dd mmm yy"))&amp;" "&amp;Milestones!$AB$30&amp;" "&amp;IF(AND(Milestones!$AB$30="FT",Milestones!$AA$30=FT_Y5,EDATE($D104,Milestones!$AA$30)&lt;PolicyEff),1,Milestones!$AC$30)&amp;";  ","")&amp;IF(AND(EDATE($D104,Milestones!$AA$31)&lt;=AsOfDate,EDATE($D104,Milestones!$AA$31)&gt;=SchemeStart,IF($X104=0,$AD104,IF(AND($Z104&lt;&gt;"",EDATE($D104,Milestones!$AA$31)&gt;=$Z104),$AC104,IF(AND($Y104&lt;&gt;"",EDATE($D104,Milestones!$AA$31)&gt;=$Y104),$AB104,$AA104)))=Milestones!$AB$31),UPPER(TEXT(EDATE($D104,Milestones!$AA$31),"dd mmm yy"))&amp;" "&amp;Milestones!$AB$31&amp;" "&amp;IF(AND(Milestones!$AB$31="FT",Milestones!$AA$31=FT_Y5,EDATE($D104,Milestones!$AA$31)&lt;PolicyEff),1,Milestones!$AC$31)&amp;";  ",""))</f>
        <v/>
      </c>
      <c r="J104" s="0" t="str">
        <f aca="false">IF(OR($A104="",$D104=""),"",IF(AND(EDATE($D104,Milestones!$AA$32)&lt;=AsOfDate,EDATE($D104,Milestones!$AA$32)&gt;=SchemeStart,IF($X104=0,$AD104,IF(AND($Z104&lt;&gt;"",EDATE($D104,Milestones!$AA$32)&gt;=$Z104),$AC104,IF(AND($Y104&lt;&gt;"",EDATE($D104,Milestones!$AA$32)&gt;=$Y104),$AB104,$AA104)))=Milestones!$AB$32),UPPER(TEXT(EDATE($D104,Milestones!$AA$32),"dd mmm yy"))&amp;" "&amp;Milestones!$AB$32&amp;" "&amp;IF(AND(Milestones!$AB$32="FT",Milestones!$AA$32=FT_Y5,EDATE($D104,Milestones!$AA$32)&lt;PolicyEff),1,Milestones!$AC$32)&amp;";  ","")&amp;IF(AND(EDATE($D104,Milestones!$AA$33)&lt;=AsOfDate,EDATE($D104,Milestones!$AA$33)&gt;=SchemeStart,IF($X104=0,$AD104,IF(AND($Z104&lt;&gt;"",EDATE($D104,Milestones!$AA$33)&gt;=$Z104),$AC104,IF(AND($Y104&lt;&gt;"",EDATE($D104,Milestones!$AA$33)&gt;=$Y104),$AB104,$AA104)))=Milestones!$AB$33),UPPER(TEXT(EDATE($D104,Milestones!$AA$33),"dd mmm yy"))&amp;" "&amp;Milestones!$AB$33&amp;" "&amp;IF(AND(Milestones!$AB$33="FT",Milestones!$AA$33=FT_Y5,EDATE($D104,Milestones!$AA$33)&lt;PolicyEff),1,Milestones!$AC$33)&amp;";  ","")&amp;IF(AND(EDATE($D104,Milestones!$AA$34)&lt;=AsOfDate,EDATE($D104,Milestones!$AA$34)&gt;=SchemeStart,IF($X104=0,$AD104,IF(AND($Z104&lt;&gt;"",EDATE($D104,Milestones!$AA$34)&gt;=$Z104),$AC104,IF(AND($Y104&lt;&gt;"",EDATE($D104,Milestones!$AA$34)&gt;=$Y104),$AB104,$AA104)))=Milestones!$AB$34),UPPER(TEXT(EDATE($D104,Milestones!$AA$34),"dd mmm yy"))&amp;" "&amp;Milestones!$AB$34&amp;" "&amp;IF(AND(Milestones!$AB$34="FT",Milestones!$AA$34=FT_Y5,EDATE($D104,Milestones!$AA$34)&lt;PolicyEff),1,Milestones!$AC$34)&amp;";  ","")&amp;IF(AND(EDATE($D104,Milestones!$AA$35)&lt;=AsOfDate,EDATE($D104,Milestones!$AA$35)&gt;=SchemeStart,IF($X104=0,$AD104,IF(AND($Z104&lt;&gt;"",EDATE($D104,Milestones!$AA$35)&gt;=$Z104),$AC104,IF(AND($Y104&lt;&gt;"",EDATE($D104,Milestones!$AA$35)&gt;=$Y104),$AB104,$AA104)))=Milestones!$AB$35),UPPER(TEXT(EDATE($D104,Milestones!$AA$35),"dd mmm yy"))&amp;" "&amp;Milestones!$AB$35&amp;" "&amp;IF(AND(Milestones!$AB$35="FT",Milestones!$AA$35=FT_Y5,EDATE($D104,Milestones!$AA$35)&lt;PolicyEff),1,Milestones!$AC$35)&amp;";  ","")&amp;IF(AND(EDATE($D104,Milestones!$AA$36)&lt;=AsOfDate,EDATE($D104,Milestones!$AA$36)&gt;=SchemeStart,IF($X104=0,$AD104,IF(AND($Z104&lt;&gt;"",EDATE($D104,Milestones!$AA$36)&gt;=$Z104),$AC104,IF(AND($Y104&lt;&gt;"",EDATE($D104,Milestones!$AA$36)&gt;=$Y104),$AB104,$AA104)))=Milestones!$AB$36),UPPER(TEXT(EDATE($D104,Milestones!$AA$36),"dd mmm yy"))&amp;" "&amp;Milestones!$AB$36&amp;" "&amp;IF(AND(Milestones!$AB$36="FT",Milestones!$AA$36=FT_Y5,EDATE($D104,Milestones!$AA$36)&lt;PolicyEff),1,Milestones!$AC$36)&amp;";  ","")&amp;IF(AND(EDATE($D104,Milestones!$AA$37)&lt;=AsOfDate,EDATE($D104,Milestones!$AA$37)&gt;=SchemeStart,IF($X104=0,$AD104,IF(AND($Z104&lt;&gt;"",EDATE($D104,Milestones!$AA$37)&gt;=$Z104),$AC104,IF(AND($Y104&lt;&gt;"",EDATE($D104,Milestones!$AA$37)&gt;=$Y104),$AB104,$AA104)))=Milestones!$AB$37),UPPER(TEXT(EDATE($D104,Milestones!$AA$37),"dd mmm yy"))&amp;" "&amp;Milestones!$AB$37&amp;" "&amp;IF(AND(Milestones!$AB$37="FT",Milestones!$AA$37=FT_Y5,EDATE($D104,Milestones!$AA$37)&lt;PolicyEff),1,Milestones!$AC$37)&amp;";  ","")&amp;IF(AND(EDATE($D104,Milestones!$AA$38)&lt;=AsOfDate,EDATE($D104,Milestones!$AA$38)&gt;=SchemeStart,IF($X104=0,$AD104,IF(AND($Z104&lt;&gt;"",EDATE($D104,Milestones!$AA$38)&gt;=$Z104),$AC104,IF(AND($Y104&lt;&gt;"",EDATE($D104,Milestones!$AA$38)&gt;=$Y104),$AB104,$AA104)))=Milestones!$AB$38),UPPER(TEXT(EDATE($D104,Milestones!$AA$38),"dd mmm yy"))&amp;" "&amp;Milestones!$AB$38&amp;" "&amp;IF(AND(Milestones!$AB$38="FT",Milestones!$AA$38=FT_Y5,EDATE($D104,Milestones!$AA$38)&lt;PolicyEff),1,Milestones!$AC$38)&amp;";  ","")&amp;IF(AND(EDATE($D104,Milestones!$AA$39)&lt;=AsOfDate,EDATE($D104,Milestones!$AA$39)&gt;=SchemeStart,IF($X104=0,$AD104,IF(AND($Z104&lt;&gt;"",EDATE($D104,Milestones!$AA$39)&gt;=$Z104),$AC104,IF(AND($Y104&lt;&gt;"",EDATE($D104,Milestones!$AA$39)&gt;=$Y104),$AB104,$AA104)))=Milestones!$AB$39),UPPER(TEXT(EDATE($D104,Milestones!$AA$39),"dd mmm yy"))&amp;" "&amp;Milestones!$AB$39&amp;" "&amp;IF(AND(Milestones!$AB$39="FT",Milestones!$AA$39=FT_Y5,EDATE($D104,Milestones!$AA$39)&lt;PolicyEff),1,Milestones!$AC$39)&amp;";  ","")&amp;IF(AND(EDATE($D104,Milestones!$AA$40)&lt;=AsOfDate,EDATE($D104,Milestones!$AA$40)&gt;=SchemeStart,IF($X104=0,$AD104,IF(AND($Z104&lt;&gt;"",EDATE($D104,Milestones!$AA$40)&gt;=$Z104),$AC104,IF(AND($Y104&lt;&gt;"",EDATE($D104,Milestones!$AA$40)&gt;=$Y104),$AB104,$AA104)))=Milestones!$AB$40),UPPER(TEXT(EDATE($D104,Milestones!$AA$40),"dd mmm yy"))&amp;" "&amp;Milestones!$AB$40&amp;" "&amp;IF(AND(Milestones!$AB$40="FT",Milestones!$AA$40=FT_Y5,EDATE($D104,Milestones!$AA$40)&lt;PolicyEff),1,Milestones!$AC$40)&amp;";  ","")&amp;IF(AND(EDATE($D104,Milestones!$AA$41)&lt;=AsOfDate,EDATE($D104,Milestones!$AA$41)&gt;=SchemeStart,IF($X104=0,$AD104,IF(AND($Z104&lt;&gt;"",EDATE($D104,Milestones!$AA$41)&gt;=$Z104),$AC104,IF(AND($Y104&lt;&gt;"",EDATE($D104,Milestones!$AA$41)&gt;=$Y104),$AB104,$AA104)))=Milestones!$AB$41),UPPER(TEXT(EDATE($D104,Milestones!$AA$41),"dd mmm yy"))&amp;" "&amp;Milestones!$AB$41&amp;" "&amp;IF(AND(Milestones!$AB$41="FT",Milestones!$AA$41=FT_Y5,EDATE($D104,Milestones!$AA$41)&lt;PolicyEff),1,Milestones!$AC$41)&amp;";  ","")&amp;IF(AND(EDATE($D104,Milestones!$AA$42)&lt;=AsOfDate,EDATE($D104,Milestones!$AA$42)&gt;=SchemeStart,IF($X104=0,$AD104,IF(AND($Z104&lt;&gt;"",EDATE($D104,Milestones!$AA$42)&gt;=$Z104),$AC104,IF(AND($Y104&lt;&gt;"",EDATE($D104,Milestones!$AA$42)&gt;=$Y104),$AB104,$AA104)))=Milestones!$AB$42),UPPER(TEXT(EDATE($D104,Milestones!$AA$42),"dd mmm yy"))&amp;" "&amp;Milestones!$AB$42&amp;" "&amp;IF(AND(Milestones!$AB$42="FT",Milestones!$AA$42=FT_Y5,EDATE($D104,Milestones!$AA$42)&lt;PolicyEff),1,Milestones!$AC$42)&amp;";  ","")&amp;IF(AND(EDATE($D104,Milestones!$AA$43)&lt;=AsOfDate,EDATE($D104,Milestones!$AA$43)&gt;=SchemeStart,IF($X104=0,$AD104,IF(AND($Z104&lt;&gt;"",EDATE($D104,Milestones!$AA$43)&gt;=$Z104),$AC104,IF(AND($Y104&lt;&gt;"",EDATE($D104,Milestones!$AA$43)&gt;=$Y104),$AB104,$AA104)))=Milestones!$AB$43),UPPER(TEXT(EDATE($D104,Milestones!$AA$43),"dd mmm yy"))&amp;" "&amp;Milestones!$AB$43&amp;" "&amp;IF(AND(Milestones!$AB$43="FT",Milestones!$AA$43=FT_Y5,EDATE($D104,Milestones!$AA$43)&lt;PolicyEff),1,Milestones!$AC$43)&amp;";  ",""))</f>
        <v/>
      </c>
      <c r="K104" s="0" t="str">
        <f aca="false">IF(OR($A104="",$D104=""),"",IF(AND(EDATE($D104,Milestones!$AA$44)&lt;=AsOfDate,EDATE($D104,Milestones!$AA$44)&gt;=SchemeStart,IF($X104=0,$AD104,IF(AND($Z104&lt;&gt;"",EDATE($D104,Milestones!$AA$44)&gt;=$Z104),$AC104,IF(AND($Y104&lt;&gt;"",EDATE($D104,Milestones!$AA$44)&gt;=$Y104),$AB104,$AA104)))=Milestones!$AB$44),UPPER(TEXT(EDATE($D104,Milestones!$AA$44),"dd mmm yy"))&amp;" "&amp;Milestones!$AB$44&amp;" "&amp;IF(AND(Milestones!$AB$44="FT",Milestones!$AA$44=FT_Y5,EDATE($D104,Milestones!$AA$44)&lt;PolicyEff),1,Milestones!$AC$44)&amp;";  ","")&amp;IF(AND(EDATE($D104,Milestones!$AA$45)&lt;=AsOfDate,EDATE($D104,Milestones!$AA$45)&gt;=SchemeStart,IF($X104=0,$AD104,IF(AND($Z104&lt;&gt;"",EDATE($D104,Milestones!$AA$45)&gt;=$Z104),$AC104,IF(AND($Y104&lt;&gt;"",EDATE($D104,Milestones!$AA$45)&gt;=$Y104),$AB104,$AA104)))=Milestones!$AB$45),UPPER(TEXT(EDATE($D104,Milestones!$AA$45),"dd mmm yy"))&amp;" "&amp;Milestones!$AB$45&amp;" "&amp;IF(AND(Milestones!$AB$45="FT",Milestones!$AA$45=FT_Y5,EDATE($D104,Milestones!$AA$45)&lt;PolicyEff),1,Milestones!$AC$45)&amp;";  ","")&amp;IF(AND(EDATE($D104,Milestones!$AA$46)&lt;=AsOfDate,EDATE($D104,Milestones!$AA$46)&gt;=SchemeStart,IF($X104=0,$AD104,IF(AND($Z104&lt;&gt;"",EDATE($D104,Milestones!$AA$46)&gt;=$Z104),$AC104,IF(AND($Y104&lt;&gt;"",EDATE($D104,Milestones!$AA$46)&gt;=$Y104),$AB104,$AA104)))=Milestones!$AB$46),UPPER(TEXT(EDATE($D104,Milestones!$AA$46),"dd mmm yy"))&amp;" "&amp;Milestones!$AB$46&amp;" "&amp;IF(AND(Milestones!$AB$46="FT",Milestones!$AA$46=FT_Y5,EDATE($D104,Milestones!$AA$46)&lt;PolicyEff),1,Milestones!$AC$46)&amp;";  ","")&amp;IF(AND(EDATE($D104,Milestones!$AA$47)&lt;=AsOfDate,EDATE($D104,Milestones!$AA$47)&gt;=SchemeStart,IF($X104=0,$AD104,IF(AND($Z104&lt;&gt;"",EDATE($D104,Milestones!$AA$47)&gt;=$Z104),$AC104,IF(AND($Y104&lt;&gt;"",EDATE($D104,Milestones!$AA$47)&gt;=$Y104),$AB104,$AA104)))=Milestones!$AB$47),UPPER(TEXT(EDATE($D104,Milestones!$AA$47),"dd mmm yy"))&amp;" "&amp;Milestones!$AB$47&amp;" "&amp;IF(AND(Milestones!$AB$47="FT",Milestones!$AA$47=FT_Y5,EDATE($D104,Milestones!$AA$47)&lt;PolicyEff),1,Milestones!$AC$47)&amp;";  ","")&amp;IF(AND(EDATE($D104,Milestones!$AA$48)&lt;=AsOfDate,EDATE($D104,Milestones!$AA$48)&gt;=SchemeStart,IF($X104=0,$AD104,IF(AND($Z104&lt;&gt;"",EDATE($D104,Milestones!$AA$48)&gt;=$Z104),$AC104,IF(AND($Y104&lt;&gt;"",EDATE($D104,Milestones!$AA$48)&gt;=$Y104),$AB104,$AA104)))=Milestones!$AB$48),UPPER(TEXT(EDATE($D104,Milestones!$AA$48),"dd mmm yy"))&amp;" "&amp;Milestones!$AB$48&amp;" "&amp;IF(AND(Milestones!$AB$48="FT",Milestones!$AA$48=FT_Y5,EDATE($D104,Milestones!$AA$48)&lt;PolicyEff),1,Milestones!$AC$48)&amp;";  ","")&amp;IF(AND(EDATE($D104,Milestones!$AA$49)&lt;=AsOfDate,EDATE($D104,Milestones!$AA$49)&gt;=SchemeStart,IF($X104=0,$AD104,IF(AND($Z104&lt;&gt;"",EDATE($D104,Milestones!$AA$49)&gt;=$Z104),$AC104,IF(AND($Y104&lt;&gt;"",EDATE($D104,Milestones!$AA$49)&gt;=$Y104),$AB104,$AA104)))=Milestones!$AB$49),UPPER(TEXT(EDATE($D104,Milestones!$AA$49),"dd mmm yy"))&amp;" "&amp;Milestones!$AB$49&amp;" "&amp;IF(AND(Milestones!$AB$49="FT",Milestones!$AA$49=FT_Y5,EDATE($D104,Milestones!$AA$49)&lt;PolicyEff),1,Milestones!$AC$49)&amp;";  ","")&amp;IF(AND(EDATE($D104,Milestones!$AA$50)&lt;=AsOfDate,EDATE($D104,Milestones!$AA$50)&gt;=SchemeStart,IF($X104=0,$AD104,IF(AND($Z104&lt;&gt;"",EDATE($D104,Milestones!$AA$50)&gt;=$Z104),$AC104,IF(AND($Y104&lt;&gt;"",EDATE($D104,Milestones!$AA$50)&gt;=$Y104),$AB104,$AA104)))=Milestones!$AB$50),UPPER(TEXT(EDATE($D104,Milestones!$AA$50),"dd mmm yy"))&amp;" "&amp;Milestones!$AB$50&amp;" "&amp;IF(AND(Milestones!$AB$50="FT",Milestones!$AA$50=FT_Y5,EDATE($D104,Milestones!$AA$50)&lt;PolicyEff),1,Milestones!$AC$50)&amp;";  ","")&amp;IF(AND(EDATE($D104,Milestones!$AA$51)&lt;=AsOfDate,EDATE($D104,Milestones!$AA$51)&gt;=SchemeStart,IF($X104=0,$AD104,IF(AND($Z104&lt;&gt;"",EDATE($D104,Milestones!$AA$51)&gt;=$Z104),$AC104,IF(AND($Y104&lt;&gt;"",EDATE($D104,Milestones!$AA$51)&gt;=$Y104),$AB104,$AA104)))=Milestones!$AB$51),UPPER(TEXT(EDATE($D104,Milestones!$AA$51),"dd mmm yy"))&amp;" "&amp;Milestones!$AB$51&amp;" "&amp;IF(AND(Milestones!$AB$51="FT",Milestones!$AA$51=FT_Y5,EDATE($D104,Milestones!$AA$51)&lt;PolicyEff),1,Milestones!$AC$51)&amp;";  ","")&amp;IF(AND(EDATE($D104,Milestones!$AA$52)&lt;=AsOfDate,EDATE($D104,Milestones!$AA$52)&gt;=SchemeStart,IF($X104=0,$AD104,IF(AND($Z104&lt;&gt;"",EDATE($D104,Milestones!$AA$52)&gt;=$Z104),$AC104,IF(AND($Y104&lt;&gt;"",EDATE($D104,Milestones!$AA$52)&gt;=$Y104),$AB104,$AA104)))=Milestones!$AB$52),UPPER(TEXT(EDATE($D104,Milestones!$AA$52),"dd mmm yy"))&amp;" "&amp;Milestones!$AB$52&amp;" "&amp;IF(AND(Milestones!$AB$52="FT",Milestones!$AA$52=FT_Y5,EDATE($D104,Milestones!$AA$52)&lt;PolicyEff),1,Milestones!$AC$52)&amp;";  ","")&amp;IF(AND(EDATE($D104,Milestones!$AA$53)&lt;=AsOfDate,EDATE($D104,Milestones!$AA$53)&gt;=SchemeStart,IF($X104=0,$AD104,IF(AND($Z104&lt;&gt;"",EDATE($D104,Milestones!$AA$53)&gt;=$Z104),$AC104,IF(AND($Y104&lt;&gt;"",EDATE($D104,Milestones!$AA$53)&gt;=$Y104),$AB104,$AA104)))=Milestones!$AB$53),UPPER(TEXT(EDATE($D104,Milestones!$AA$53),"dd mmm yy"))&amp;" "&amp;Milestones!$AB$53&amp;" "&amp;IF(AND(Milestones!$AB$53="FT",Milestones!$AA$53=FT_Y5,EDATE($D104,Milestones!$AA$53)&lt;PolicyEff),1,Milestones!$AC$53)&amp;";  ","")&amp;IF(AND(EDATE($D104,Milestones!$AA$54)&lt;=AsOfDate,EDATE($D104,Milestones!$AA$54)&gt;=SchemeStart,IF($X104=0,$AD104,IF(AND($Z104&lt;&gt;"",EDATE($D104,Milestones!$AA$54)&gt;=$Z104),$AC104,IF(AND($Y104&lt;&gt;"",EDATE($D104,Milestones!$AA$54)&gt;=$Y104),$AB104,$AA104)))=Milestones!$AB$54),UPPER(TEXT(EDATE($D104,Milestones!$AA$54),"dd mmm yy"))&amp;" "&amp;Milestones!$AB$54&amp;" "&amp;IF(AND(Milestones!$AB$54="FT",Milestones!$AA$54=FT_Y5,EDATE($D104,Milestones!$AA$54)&lt;PolicyEff),1,Milestones!$AC$54)&amp;";  ","")&amp;IF(AND(EDATE($D104,Milestones!$AA$55)&lt;=AsOfDate,EDATE($D104,Milestones!$AA$55)&gt;=SchemeStart,IF($X104=0,$AD104,IF(AND($Z104&lt;&gt;"",EDATE($D104,Milestones!$AA$55)&gt;=$Z104),$AC104,IF(AND($Y104&lt;&gt;"",EDATE($D104,Milestones!$AA$55)&gt;=$Y104),$AB104,$AA104)))=Milestones!$AB$55),UPPER(TEXT(EDATE($D104,Milestones!$AA$55),"dd mmm yy"))&amp;" "&amp;Milestones!$AB$55&amp;" "&amp;IF(AND(Milestones!$AB$55="FT",Milestones!$AA$55=FT_Y5,EDATE($D104,Milestones!$AA$55)&lt;PolicyEff),1,Milestones!$AC$55)&amp;";  ",""))</f>
        <v/>
      </c>
      <c r="L104" s="0" t="str">
        <f aca="false">IF(OR($A104="",$D104=""),"",IF(AND(EDATE($D104,Milestones!$AA$56)&lt;=AsOfDate,EDATE($D104,Milestones!$AA$56)&gt;=SchemeStart,IF($X104=0,$AD104,IF(AND($Z104&lt;&gt;"",EDATE($D104,Milestones!$AA$56)&gt;=$Z104),$AC104,IF(AND($Y104&lt;&gt;"",EDATE($D104,Milestones!$AA$56)&gt;=$Y104),$AB104,$AA104)))=Milestones!$AB$56),UPPER(TEXT(EDATE($D104,Milestones!$AA$56),"dd mmm yy"))&amp;" "&amp;Milestones!$AB$56&amp;" "&amp;IF(AND(Milestones!$AB$56="FT",Milestones!$AA$56=FT_Y5,EDATE($D104,Milestones!$AA$56)&lt;PolicyEff),1,Milestones!$AC$56)&amp;";  ","")&amp;IF(AND(EDATE($D104,Milestones!$AA$57)&lt;=AsOfDate,EDATE($D104,Milestones!$AA$57)&gt;=SchemeStart,IF($X104=0,$AD104,IF(AND($Z104&lt;&gt;"",EDATE($D104,Milestones!$AA$57)&gt;=$Z104),$AC104,IF(AND($Y104&lt;&gt;"",EDATE($D104,Milestones!$AA$57)&gt;=$Y104),$AB104,$AA104)))=Milestones!$AB$57),UPPER(TEXT(EDATE($D104,Milestones!$AA$57),"dd mmm yy"))&amp;" "&amp;Milestones!$AB$57&amp;" "&amp;IF(AND(Milestones!$AB$57="FT",Milestones!$AA$57=FT_Y5,EDATE($D104,Milestones!$AA$57)&lt;PolicyEff),1,Milestones!$AC$57)&amp;";  ","")&amp;IF(AND(EDATE($D104,Milestones!$AA$58)&lt;=AsOfDate,EDATE($D104,Milestones!$AA$58)&gt;=SchemeStart,IF($X104=0,$AD104,IF(AND($Z104&lt;&gt;"",EDATE($D104,Milestones!$AA$58)&gt;=$Z104),$AC104,IF(AND($Y104&lt;&gt;"",EDATE($D104,Milestones!$AA$58)&gt;=$Y104),$AB104,$AA104)))=Milestones!$AB$58),UPPER(TEXT(EDATE($D104,Milestones!$AA$58),"dd mmm yy"))&amp;" "&amp;Milestones!$AB$58&amp;" "&amp;IF(AND(Milestones!$AB$58="FT",Milestones!$AA$58=FT_Y5,EDATE($D104,Milestones!$AA$58)&lt;PolicyEff),1,Milestones!$AC$58)&amp;";  ","")&amp;IF(AND(EDATE($D104,Milestones!$AA$59)&lt;=AsOfDate,EDATE($D104,Milestones!$AA$59)&gt;=SchemeStart,IF($X104=0,$AD104,IF(AND($Z104&lt;&gt;"",EDATE($D104,Milestones!$AA$59)&gt;=$Z104),$AC104,IF(AND($Y104&lt;&gt;"",EDATE($D104,Milestones!$AA$59)&gt;=$Y104),$AB104,$AA104)))=Milestones!$AB$59),UPPER(TEXT(EDATE($D104,Milestones!$AA$59),"dd mmm yy"))&amp;" "&amp;Milestones!$AB$59&amp;" "&amp;IF(AND(Milestones!$AB$59="FT",Milestones!$AA$59=FT_Y5,EDATE($D104,Milestones!$AA$59)&lt;PolicyEff),1,Milestones!$AC$59)&amp;";  ","")&amp;IF(AND(EDATE($D104,Milestones!$AA$60)&lt;=AsOfDate,EDATE($D104,Milestones!$AA$60)&gt;=SchemeStart,IF($X104=0,$AD104,IF(AND($Z104&lt;&gt;"",EDATE($D104,Milestones!$AA$60)&gt;=$Z104),$AC104,IF(AND($Y104&lt;&gt;"",EDATE($D104,Milestones!$AA$60)&gt;=$Y104),$AB104,$AA104)))=Milestones!$AB$60),UPPER(TEXT(EDATE($D104,Milestones!$AA$60),"dd mmm yy"))&amp;" "&amp;Milestones!$AB$60&amp;" "&amp;IF(AND(Milestones!$AB$60="FT",Milestones!$AA$60=FT_Y5,EDATE($D104,Milestones!$AA$60)&lt;PolicyEff),1,Milestones!$AC$60)&amp;";  ","")&amp;IF(AND(EDATE($D104,Milestones!$AA$61)&lt;=AsOfDate,EDATE($D104,Milestones!$AA$61)&gt;=SchemeStart,IF($X104=0,$AD104,IF(AND($Z104&lt;&gt;"",EDATE($D104,Milestones!$AA$61)&gt;=$Z104),$AC104,IF(AND($Y104&lt;&gt;"",EDATE($D104,Milestones!$AA$61)&gt;=$Y104),$AB104,$AA104)))=Milestones!$AB$61),UPPER(TEXT(EDATE($D104,Milestones!$AA$61),"dd mmm yy"))&amp;" "&amp;Milestones!$AB$61&amp;" "&amp;IF(AND(Milestones!$AB$61="FT",Milestones!$AA$61=FT_Y5,EDATE($D104,Milestones!$AA$61)&lt;PolicyEff),1,Milestones!$AC$61)&amp;";  ","")&amp;IF(AND(EDATE($D104,Milestones!$AA$62)&lt;=AsOfDate,EDATE($D104,Milestones!$AA$62)&gt;=SchemeStart,IF($X104=0,$AD104,IF(AND($Z104&lt;&gt;"",EDATE($D104,Milestones!$AA$62)&gt;=$Z104),$AC104,IF(AND($Y104&lt;&gt;"",EDATE($D104,Milestones!$AA$62)&gt;=$Y104),$AB104,$AA104)))=Milestones!$AB$62),UPPER(TEXT(EDATE($D104,Milestones!$AA$62),"dd mmm yy"))&amp;" "&amp;Milestones!$AB$62&amp;" "&amp;IF(AND(Milestones!$AB$62="FT",Milestones!$AA$62=FT_Y5,EDATE($D104,Milestones!$AA$62)&lt;PolicyEff),1,Milestones!$AC$62)&amp;";  ","")&amp;IF(AND(EDATE($D104,Milestones!$AA$63)&lt;=AsOfDate,EDATE($D104,Milestones!$AA$63)&gt;=SchemeStart,IF($X104=0,$AD104,IF(AND($Z104&lt;&gt;"",EDATE($D104,Milestones!$AA$63)&gt;=$Z104),$AC104,IF(AND($Y104&lt;&gt;"",EDATE($D104,Milestones!$AA$63)&gt;=$Y104),$AB104,$AA104)))=Milestones!$AB$63),UPPER(TEXT(EDATE($D104,Milestones!$AA$63),"dd mmm yy"))&amp;" "&amp;Milestones!$AB$63&amp;" "&amp;IF(AND(Milestones!$AB$63="FT",Milestones!$AA$63=FT_Y5,EDATE($D104,Milestones!$AA$63)&lt;PolicyEff),1,Milestones!$AC$63)&amp;";  ","")&amp;IF(AND(EDATE($D104,Milestones!$AA$64)&lt;=AsOfDate,EDATE($D104,Milestones!$AA$64)&gt;=SchemeStart,IF($X104=0,$AD104,IF(AND($Z104&lt;&gt;"",EDATE($D104,Milestones!$AA$64)&gt;=$Z104),$AC104,IF(AND($Y104&lt;&gt;"",EDATE($D104,Milestones!$AA$64)&gt;=$Y104),$AB104,$AA104)))=Milestones!$AB$64),UPPER(TEXT(EDATE($D104,Milestones!$AA$64),"dd mmm yy"))&amp;" "&amp;Milestones!$AB$64&amp;" "&amp;IF(AND(Milestones!$AB$64="FT",Milestones!$AA$64=FT_Y5,EDATE($D104,Milestones!$AA$64)&lt;PolicyEff),1,Milestones!$AC$64)&amp;";  ","")&amp;IF(AND(EDATE($D104,Milestones!$AA$65)&lt;=AsOfDate,EDATE($D104,Milestones!$AA$65)&gt;=SchemeStart,IF($X104=0,$AD104,IF(AND($Z104&lt;&gt;"",EDATE($D104,Milestones!$AA$65)&gt;=$Z104),$AC104,IF(AND($Y104&lt;&gt;"",EDATE($D104,Milestones!$AA$65)&gt;=$Y104),$AB104,$AA104)))=Milestones!$AB$65),UPPER(TEXT(EDATE($D104,Milestones!$AA$65),"dd mmm yy"))&amp;" "&amp;Milestones!$AB$65&amp;" "&amp;IF(AND(Milestones!$AB$65="FT",Milestones!$AA$65=FT_Y5,EDATE($D104,Milestones!$AA$65)&lt;PolicyEff),1,Milestones!$AC$65)&amp;";  ","")&amp;IF(AND(EDATE($D104,Milestones!$AA$66)&lt;=AsOfDate,EDATE($D104,Milestones!$AA$66)&gt;=SchemeStart,IF($X104=0,$AD104,IF(AND($Z104&lt;&gt;"",EDATE($D104,Milestones!$AA$66)&gt;=$Z104),$AC104,IF(AND($Y104&lt;&gt;"",EDATE($D104,Milestones!$AA$66)&gt;=$Y104),$AB104,$AA104)))=Milestones!$AB$66),UPPER(TEXT(EDATE($D104,Milestones!$AA$66),"dd mmm yy"))&amp;" "&amp;Milestones!$AB$66&amp;" "&amp;IF(AND(Milestones!$AB$66="FT",Milestones!$AA$66=FT_Y5,EDATE($D104,Milestones!$AA$66)&lt;PolicyEff),1,Milestones!$AC$66)&amp;";  ","")&amp;IF(AND(EDATE($D104,Milestones!$AA$67)&lt;=AsOfDate,EDATE($D104,Milestones!$AA$67)&gt;=SchemeStart,IF($X104=0,$AD104,IF(AND($Z104&lt;&gt;"",EDATE($D104,Milestones!$AA$67)&gt;=$Z104),$AC104,IF(AND($Y104&lt;&gt;"",EDATE($D104,Milestones!$AA$67)&gt;=$Y104),$AB104,$AA104)))=Milestones!$AB$67),UPPER(TEXT(EDATE($D104,Milestones!$AA$67),"dd mmm yy"))&amp;" "&amp;Milestones!$AB$67&amp;" "&amp;IF(AND(Milestones!$AB$67="FT",Milestones!$AA$67=FT_Y5,EDATE($D104,Milestones!$AA$67)&lt;PolicyEff),1,Milestones!$AC$67)&amp;";  ",""))</f>
        <v/>
      </c>
      <c r="M104" s="0" t="str">
        <f aca="false">IF(OR($A104="",$D104=""),"",IF(AND(EDATE($D104,Milestones!$AA$68)&lt;=AsOfDate,EDATE($D104,Milestones!$AA$68)&gt;=SchemeStart,IF($X104=0,$AD104,IF(AND($Z104&lt;&gt;"",EDATE($D104,Milestones!$AA$68)&gt;=$Z104),$AC104,IF(AND($Y104&lt;&gt;"",EDATE($D104,Milestones!$AA$68)&gt;=$Y104),$AB104,$AA104)))=Milestones!$AB$68),UPPER(TEXT(EDATE($D104,Milestones!$AA$68),"dd mmm yy"))&amp;" "&amp;Milestones!$AB$68&amp;" "&amp;IF(AND(Milestones!$AB$68="FT",Milestones!$AA$68=FT_Y5,EDATE($D104,Milestones!$AA$68)&lt;PolicyEff),1,Milestones!$AC$68)&amp;";  ","")&amp;IF(AND(EDATE($D104,Milestones!$AA$69)&lt;=AsOfDate,EDATE($D104,Milestones!$AA$69)&gt;=SchemeStart,IF($X104=0,$AD104,IF(AND($Z104&lt;&gt;"",EDATE($D104,Milestones!$AA$69)&gt;=$Z104),$AC104,IF(AND($Y104&lt;&gt;"",EDATE($D104,Milestones!$AA$69)&gt;=$Y104),$AB104,$AA104)))=Milestones!$AB$69),UPPER(TEXT(EDATE($D104,Milestones!$AA$69),"dd mmm yy"))&amp;" "&amp;Milestones!$AB$69&amp;" "&amp;IF(AND(Milestones!$AB$69="FT",Milestones!$AA$69=FT_Y5,EDATE($D104,Milestones!$AA$69)&lt;PolicyEff),1,Milestones!$AC$69)&amp;";  ","")&amp;IF(AND(EDATE($D104,Milestones!$AA$70)&lt;=AsOfDate,EDATE($D104,Milestones!$AA$70)&gt;=SchemeStart,IF($X104=0,$AD104,IF(AND($Z104&lt;&gt;"",EDATE($D104,Milestones!$AA$70)&gt;=$Z104),$AC104,IF(AND($Y104&lt;&gt;"",EDATE($D104,Milestones!$AA$70)&gt;=$Y104),$AB104,$AA104)))=Milestones!$AB$70),UPPER(TEXT(EDATE($D104,Milestones!$AA$70),"dd mmm yy"))&amp;" "&amp;Milestones!$AB$70&amp;" "&amp;IF(AND(Milestones!$AB$70="FT",Milestones!$AA$70=FT_Y5,EDATE($D104,Milestones!$AA$70)&lt;PolicyEff),1,Milestones!$AC$70)&amp;";  ","")&amp;IF(AND(EDATE($D104,Milestones!$AA$71)&lt;=AsOfDate,EDATE($D104,Milestones!$AA$71)&gt;=SchemeStart,IF($X104=0,$AD104,IF(AND($Z104&lt;&gt;"",EDATE($D104,Milestones!$AA$71)&gt;=$Z104),$AC104,IF(AND($Y104&lt;&gt;"",EDATE($D104,Milestones!$AA$71)&gt;=$Y104),$AB104,$AA104)))=Milestones!$AB$71),UPPER(TEXT(EDATE($D104,Milestones!$AA$71),"dd mmm yy"))&amp;" "&amp;Milestones!$AB$71&amp;" "&amp;IF(AND(Milestones!$AB$71="FT",Milestones!$AA$71=FT_Y5,EDATE($D104,Milestones!$AA$71)&lt;PolicyEff),1,Milestones!$AC$71)&amp;";  ","")&amp;IF(AND(EDATE($D104,Milestones!$AA$72)&lt;=AsOfDate,EDATE($D104,Milestones!$AA$72)&gt;=SchemeStart,IF($X104=0,$AD104,IF(AND($Z104&lt;&gt;"",EDATE($D104,Milestones!$AA$72)&gt;=$Z104),$AC104,IF(AND($Y104&lt;&gt;"",EDATE($D104,Milestones!$AA$72)&gt;=$Y104),$AB104,$AA104)))=Milestones!$AB$72),UPPER(TEXT(EDATE($D104,Milestones!$AA$72),"dd mmm yy"))&amp;" "&amp;Milestones!$AB$72&amp;" "&amp;IF(AND(Milestones!$AB$72="FT",Milestones!$AA$72=FT_Y5,EDATE($D104,Milestones!$AA$72)&lt;PolicyEff),1,Milestones!$AC$72)&amp;";  ","")&amp;IF(AND(EDATE($D104,Milestones!$AA$73)&lt;=AsOfDate,EDATE($D104,Milestones!$AA$73)&gt;=SchemeStart,IF($X104=0,$AD104,IF(AND($Z104&lt;&gt;"",EDATE($D104,Milestones!$AA$73)&gt;=$Z104),$AC104,IF(AND($Y104&lt;&gt;"",EDATE($D104,Milestones!$AA$73)&gt;=$Y104),$AB104,$AA104)))=Milestones!$AB$73),UPPER(TEXT(EDATE($D104,Milestones!$AA$73),"dd mmm yy"))&amp;" "&amp;Milestones!$AB$73&amp;" "&amp;IF(AND(Milestones!$AB$73="FT",Milestones!$AA$73=FT_Y5,EDATE($D104,Milestones!$AA$73)&lt;PolicyEff),1,Milestones!$AC$73)&amp;";  ","")&amp;IF(AND(EDATE($D104,Milestones!$AA$74)&lt;=AsOfDate,EDATE($D104,Milestones!$AA$74)&gt;=SchemeStart,IF($X104=0,$AD104,IF(AND($Z104&lt;&gt;"",EDATE($D104,Milestones!$AA$74)&gt;=$Z104),$AC104,IF(AND($Y104&lt;&gt;"",EDATE($D104,Milestones!$AA$74)&gt;=$Y104),$AB104,$AA104)))=Milestones!$AB$74),UPPER(TEXT(EDATE($D104,Milestones!$AA$74),"dd mmm yy"))&amp;" "&amp;Milestones!$AB$74&amp;" "&amp;IF(AND(Milestones!$AB$74="FT",Milestones!$AA$74=FT_Y5,EDATE($D104,Milestones!$AA$74)&lt;PolicyEff),1,Milestones!$AC$74)&amp;";  ","")&amp;IF(AND(EDATE($D104,Milestones!$AA$75)&lt;=AsOfDate,EDATE($D104,Milestones!$AA$75)&gt;=SchemeStart,IF($X104=0,$AD104,IF(AND($Z104&lt;&gt;"",EDATE($D104,Milestones!$AA$75)&gt;=$Z104),$AC104,IF(AND($Y104&lt;&gt;"",EDATE($D104,Milestones!$AA$75)&gt;=$Y104),$AB104,$AA104)))=Milestones!$AB$75),UPPER(TEXT(EDATE($D104,Milestones!$AA$75),"dd mmm yy"))&amp;" "&amp;Milestones!$AB$75&amp;" "&amp;IF(AND(Milestones!$AB$75="FT",Milestones!$AA$75=FT_Y5,EDATE($D104,Milestones!$AA$75)&lt;PolicyEff),1,Milestones!$AC$75)&amp;";  ","")&amp;IF(AND(EDATE($D104,Milestones!$AA$76)&lt;=AsOfDate,EDATE($D104,Milestones!$AA$76)&gt;=SchemeStart,IF($X104=0,$AD104,IF(AND($Z104&lt;&gt;"",EDATE($D104,Milestones!$AA$76)&gt;=$Z104),$AC104,IF(AND($Y104&lt;&gt;"",EDATE($D104,Milestones!$AA$76)&gt;=$Y104),$AB104,$AA104)))=Milestones!$AB$76),UPPER(TEXT(EDATE($D104,Milestones!$AA$76),"dd mmm yy"))&amp;" "&amp;Milestones!$AB$76&amp;" "&amp;IF(AND(Milestones!$AB$76="FT",Milestones!$AA$76=FT_Y5,EDATE($D104,Milestones!$AA$76)&lt;PolicyEff),1,Milestones!$AC$76)&amp;";  ","")&amp;IF(AND(EDATE($D104,Milestones!$AA$77)&lt;=AsOfDate,EDATE($D104,Milestones!$AA$77)&gt;=SchemeStart,IF($X104=0,$AD104,IF(AND($Z104&lt;&gt;"",EDATE($D104,Milestones!$AA$77)&gt;=$Z104),$AC104,IF(AND($Y104&lt;&gt;"",EDATE($D104,Milestones!$AA$77)&gt;=$Y104),$AB104,$AA104)))=Milestones!$AB$77),UPPER(TEXT(EDATE($D104,Milestones!$AA$77),"dd mmm yy"))&amp;" "&amp;Milestones!$AB$77&amp;" "&amp;IF(AND(Milestones!$AB$77="FT",Milestones!$AA$77=FT_Y5,EDATE($D104,Milestones!$AA$77)&lt;PolicyEff),1,Milestones!$AC$77)&amp;";  ","")&amp;IF(AND(EDATE($D104,Milestones!$AA$78)&lt;=AsOfDate,EDATE($D104,Milestones!$AA$78)&gt;=SchemeStart,IF($X104=0,$AD104,IF(AND($Z104&lt;&gt;"",EDATE($D104,Milestones!$AA$78)&gt;=$Z104),$AC104,IF(AND($Y104&lt;&gt;"",EDATE($D104,Milestones!$AA$78)&gt;=$Y104),$AB104,$AA104)))=Milestones!$AB$78),UPPER(TEXT(EDATE($D104,Milestones!$AA$78),"dd mmm yy"))&amp;" "&amp;Milestones!$AB$78&amp;" "&amp;IF(AND(Milestones!$AB$78="FT",Milestones!$AA$78=FT_Y5,EDATE($D104,Milestones!$AA$78)&lt;PolicyEff),1,Milestones!$AC$78)&amp;";  ","")&amp;IF(AND(EDATE($D104,Milestones!$AA$79)&lt;=AsOfDate,EDATE($D104,Milestones!$AA$79)&gt;=SchemeStart,IF($X104=0,$AD104,IF(AND($Z104&lt;&gt;"",EDATE($D104,Milestones!$AA$79)&gt;=$Z104),$AC104,IF(AND($Y104&lt;&gt;"",EDATE($D104,Milestones!$AA$79)&gt;=$Y104),$AB104,$AA104)))=Milestones!$AB$79),UPPER(TEXT(EDATE($D104,Milestones!$AA$79),"dd mmm yy"))&amp;" "&amp;Milestones!$AB$79&amp;" "&amp;IF(AND(Milestones!$AB$79="FT",Milestones!$AA$79=FT_Y5,EDATE($D104,Milestones!$AA$79)&lt;PolicyEff),1,Milestones!$AC$79)&amp;";  ",""))</f>
        <v/>
      </c>
      <c r="N104" s="0" t="str">
        <f aca="false">IF(OR($A104="",$D104=""),"",IF(AND(EDATE($D104,Milestones!$AA$80)&lt;=AsOfDate,EDATE($D104,Milestones!$AA$80)&gt;=SchemeStart,IF($X104=0,$AD104,IF(AND($Z104&lt;&gt;"",EDATE($D104,Milestones!$AA$80)&gt;=$Z104),$AC104,IF(AND($Y104&lt;&gt;"",EDATE($D104,Milestones!$AA$80)&gt;=$Y104),$AB104,$AA104)))=Milestones!$AB$80),UPPER(TEXT(EDATE($D104,Milestones!$AA$80),"dd mmm yy"))&amp;" "&amp;Milestones!$AB$80&amp;" "&amp;IF(AND(Milestones!$AB$80="FT",Milestones!$AA$80=FT_Y5,EDATE($D104,Milestones!$AA$80)&lt;PolicyEff),1,Milestones!$AC$80)&amp;";  ","")&amp;IF(AND(EDATE($D104,Milestones!$AA$81)&lt;=AsOfDate,EDATE($D104,Milestones!$AA$81)&gt;=SchemeStart,IF($X104=0,$AD104,IF(AND($Z104&lt;&gt;"",EDATE($D104,Milestones!$AA$81)&gt;=$Z104),$AC104,IF(AND($Y104&lt;&gt;"",EDATE($D104,Milestones!$AA$81)&gt;=$Y104),$AB104,$AA104)))=Milestones!$AB$81),UPPER(TEXT(EDATE($D104,Milestones!$AA$81),"dd mmm yy"))&amp;" "&amp;Milestones!$AB$81&amp;" "&amp;IF(AND(Milestones!$AB$81="FT",Milestones!$AA$81=FT_Y5,EDATE($D104,Milestones!$AA$81)&lt;PolicyEff),1,Milestones!$AC$81)&amp;";  ","")&amp;IF(AND(EDATE($D104,Milestones!$AA$82)&lt;=AsOfDate,EDATE($D104,Milestones!$AA$82)&gt;=SchemeStart,IF($X104=0,$AD104,IF(AND($Z104&lt;&gt;"",EDATE($D104,Milestones!$AA$82)&gt;=$Z104),$AC104,IF(AND($Y104&lt;&gt;"",EDATE($D104,Milestones!$AA$82)&gt;=$Y104),$AB104,$AA104)))=Milestones!$AB$82),UPPER(TEXT(EDATE($D104,Milestones!$AA$82),"dd mmm yy"))&amp;" "&amp;Milestones!$AB$82&amp;" "&amp;IF(AND(Milestones!$AB$82="FT",Milestones!$AA$82=FT_Y5,EDATE($D104,Milestones!$AA$82)&lt;PolicyEff),1,Milestones!$AC$82)&amp;";  ","")&amp;IF(AND(EDATE($D104,Milestones!$AA$83)&lt;=AsOfDate,EDATE($D104,Milestones!$AA$83)&gt;=SchemeStart,IF($X104=0,$AD104,IF(AND($Z104&lt;&gt;"",EDATE($D104,Milestones!$AA$83)&gt;=$Z104),$AC104,IF(AND($Y104&lt;&gt;"",EDATE($D104,Milestones!$AA$83)&gt;=$Y104),$AB104,$AA104)))=Milestones!$AB$83),UPPER(TEXT(EDATE($D104,Milestones!$AA$83),"dd mmm yy"))&amp;" "&amp;Milestones!$AB$83&amp;" "&amp;IF(AND(Milestones!$AB$83="FT",Milestones!$AA$83=FT_Y5,EDATE($D104,Milestones!$AA$83)&lt;PolicyEff),1,Milestones!$AC$83)&amp;";  ","")&amp;IF(AND(EDATE($D104,Milestones!$AA$84)&lt;=AsOfDate,EDATE($D104,Milestones!$AA$84)&gt;=SchemeStart,IF($X104=0,$AD104,IF(AND($Z104&lt;&gt;"",EDATE($D104,Milestones!$AA$84)&gt;=$Z104),$AC104,IF(AND($Y104&lt;&gt;"",EDATE($D104,Milestones!$AA$84)&gt;=$Y104),$AB104,$AA104)))=Milestones!$AB$84),UPPER(TEXT(EDATE($D104,Milestones!$AA$84),"dd mmm yy"))&amp;" "&amp;Milestones!$AB$84&amp;" "&amp;IF(AND(Milestones!$AB$84="FT",Milestones!$AA$84=FT_Y5,EDATE($D104,Milestones!$AA$84)&lt;PolicyEff),1,Milestones!$AC$84)&amp;";  ","")&amp;IF(AND(EDATE($D104,Milestones!$AA$85)&lt;=AsOfDate,EDATE($D104,Milestones!$AA$85)&gt;=SchemeStart,IF($X104=0,$AD104,IF(AND($Z104&lt;&gt;"",EDATE($D104,Milestones!$AA$85)&gt;=$Z104),$AC104,IF(AND($Y104&lt;&gt;"",EDATE($D104,Milestones!$AA$85)&gt;=$Y104),$AB104,$AA104)))=Milestones!$AB$85),UPPER(TEXT(EDATE($D104,Milestones!$AA$85),"dd mmm yy"))&amp;" "&amp;Milestones!$AB$85&amp;" "&amp;IF(AND(Milestones!$AB$85="FT",Milestones!$AA$85=FT_Y5,EDATE($D104,Milestones!$AA$85)&lt;PolicyEff),1,Milestones!$AC$85)&amp;";  ","")&amp;IF(AND(EDATE($D104,Milestones!$AA$86)&lt;=AsOfDate,EDATE($D104,Milestones!$AA$86)&gt;=SchemeStart,IF($X104=0,$AD104,IF(AND($Z104&lt;&gt;"",EDATE($D104,Milestones!$AA$86)&gt;=$Z104),$AC104,IF(AND($Y104&lt;&gt;"",EDATE($D104,Milestones!$AA$86)&gt;=$Y104),$AB104,$AA104)))=Milestones!$AB$86),UPPER(TEXT(EDATE($D104,Milestones!$AA$86),"dd mmm yy"))&amp;" "&amp;Milestones!$AB$86&amp;" "&amp;IF(AND(Milestones!$AB$86="FT",Milestones!$AA$86=FT_Y5,EDATE($D104,Milestones!$AA$86)&lt;PolicyEff),1,Milestones!$AC$86)&amp;";  ","")&amp;IF(AND(EDATE($D104,Milestones!$AA$87)&lt;=AsOfDate,EDATE($D104,Milestones!$AA$87)&gt;=SchemeStart,IF($X104=0,$AD104,IF(AND($Z104&lt;&gt;"",EDATE($D104,Milestones!$AA$87)&gt;=$Z104),$AC104,IF(AND($Y104&lt;&gt;"",EDATE($D104,Milestones!$AA$87)&gt;=$Y104),$AB104,$AA104)))=Milestones!$AB$87),UPPER(TEXT(EDATE($D104,Milestones!$AA$87),"dd mmm yy"))&amp;" "&amp;Milestones!$AB$87&amp;" "&amp;IF(AND(Milestones!$AB$87="FT",Milestones!$AA$87=FT_Y5,EDATE($D104,Milestones!$AA$87)&lt;PolicyEff),1,Milestones!$AC$87)&amp;";  ","")&amp;IF(AND(EDATE($D104,Milestones!$AA$88)&lt;=AsOfDate,EDATE($D104,Milestones!$AA$88)&gt;=SchemeStart,IF($X104=0,$AD104,IF(AND($Z104&lt;&gt;"",EDATE($D104,Milestones!$AA$88)&gt;=$Z104),$AC104,IF(AND($Y104&lt;&gt;"",EDATE($D104,Milestones!$AA$88)&gt;=$Y104),$AB104,$AA104)))=Milestones!$AB$88),UPPER(TEXT(EDATE($D104,Milestones!$AA$88),"dd mmm yy"))&amp;" "&amp;Milestones!$AB$88&amp;" "&amp;IF(AND(Milestones!$AB$88="FT",Milestones!$AA$88=FT_Y5,EDATE($D104,Milestones!$AA$88)&lt;PolicyEff),1,Milestones!$AC$88)&amp;";  ","")&amp;IF(AND(EDATE($D104,Milestones!$AA$89)&lt;=AsOfDate,EDATE($D104,Milestones!$AA$89)&gt;=SchemeStart,IF($X104=0,$AD104,IF(AND($Z104&lt;&gt;"",EDATE($D104,Milestones!$AA$89)&gt;=$Z104),$AC104,IF(AND($Y104&lt;&gt;"",EDATE($D104,Milestones!$AA$89)&gt;=$Y104),$AB104,$AA104)))=Milestones!$AB$89),UPPER(TEXT(EDATE($D104,Milestones!$AA$89),"dd mmm yy"))&amp;" "&amp;Milestones!$AB$89&amp;" "&amp;IF(AND(Milestones!$AB$89="FT",Milestones!$AA$89=FT_Y5,EDATE($D104,Milestones!$AA$89)&lt;PolicyEff),1,Milestones!$AC$89)&amp;";  ","")&amp;IF(AND(EDATE($D104,Milestones!$AA$90)&lt;=AsOfDate,EDATE($D104,Milestones!$AA$90)&gt;=SchemeStart,IF($X104=0,$AD104,IF(AND($Z104&lt;&gt;"",EDATE($D104,Milestones!$AA$90)&gt;=$Z104),$AC104,IF(AND($Y104&lt;&gt;"",EDATE($D104,Milestones!$AA$90)&gt;=$Y104),$AB104,$AA104)))=Milestones!$AB$90),UPPER(TEXT(EDATE($D104,Milestones!$AA$90),"dd mmm yy"))&amp;" "&amp;Milestones!$AB$90&amp;" "&amp;IF(AND(Milestones!$AB$90="FT",Milestones!$AA$90=FT_Y5,EDATE($D104,Milestones!$AA$90)&lt;PolicyEff),1,Milestones!$AC$90)&amp;";  ","")&amp;IF(AND(EDATE($D104,Milestones!$AA$91)&lt;=AsOfDate,EDATE($D104,Milestones!$AA$91)&gt;=SchemeStart,IF($X104=0,$AD104,IF(AND($Z104&lt;&gt;"",EDATE($D104,Milestones!$AA$91)&gt;=$Z104),$AC104,IF(AND($Y104&lt;&gt;"",EDATE($D104,Milestones!$AA$91)&gt;=$Y104),$AB104,$AA104)))=Milestones!$AB$91),UPPER(TEXT(EDATE($D104,Milestones!$AA$91),"dd mmm yy"))&amp;" "&amp;Milestones!$AB$91&amp;" "&amp;IF(AND(Milestones!$AB$91="FT",Milestones!$AA$91=FT_Y5,EDATE($D104,Milestones!$AA$91)&lt;PolicyEff),1,Milestones!$AC$91)&amp;";  ",""))</f>
        <v/>
      </c>
      <c r="O104" s="0" t="str">
        <f aca="false">IF(OR($A104="",$D104=""),"",IF(AND(EDATE($D104,Milestones!$AA$92)&lt;=AsOfDate,EDATE($D104,Milestones!$AA$92)&gt;=SchemeStart,IF($X104=0,$AD104,IF(AND($Z104&lt;&gt;"",EDATE($D104,Milestones!$AA$92)&gt;=$Z104),$AC104,IF(AND($Y104&lt;&gt;"",EDATE($D104,Milestones!$AA$92)&gt;=$Y104),$AB104,$AA104)))=Milestones!$AB$92),UPPER(TEXT(EDATE($D104,Milestones!$AA$92),"dd mmm yy"))&amp;" "&amp;Milestones!$AB$92&amp;" "&amp;IF(AND(Milestones!$AB$92="FT",Milestones!$AA$92=FT_Y5,EDATE($D104,Milestones!$AA$92)&lt;PolicyEff),1,Milestones!$AC$92)&amp;";  ","")&amp;IF(AND(EDATE($D104,Milestones!$AA$93)&lt;=AsOfDate,EDATE($D104,Milestones!$AA$93)&gt;=SchemeStart,IF($X104=0,$AD104,IF(AND($Z104&lt;&gt;"",EDATE($D104,Milestones!$AA$93)&gt;=$Z104),$AC104,IF(AND($Y104&lt;&gt;"",EDATE($D104,Milestones!$AA$93)&gt;=$Y104),$AB104,$AA104)))=Milestones!$AB$93),UPPER(TEXT(EDATE($D104,Milestones!$AA$93),"dd mmm yy"))&amp;" "&amp;Milestones!$AB$93&amp;" "&amp;IF(AND(Milestones!$AB$93="FT",Milestones!$AA$93=FT_Y5,EDATE($D104,Milestones!$AA$93)&lt;PolicyEff),1,Milestones!$AC$93)&amp;";  ","")&amp;IF(AND(EDATE($D104,Milestones!$AA$94)&lt;=AsOfDate,EDATE($D104,Milestones!$AA$94)&gt;=SchemeStart,IF($X104=0,$AD104,IF(AND($Z104&lt;&gt;"",EDATE($D104,Milestones!$AA$94)&gt;=$Z104),$AC104,IF(AND($Y104&lt;&gt;"",EDATE($D104,Milestones!$AA$94)&gt;=$Y104),$AB104,$AA104)))=Milestones!$AB$94),UPPER(TEXT(EDATE($D104,Milestones!$AA$94),"dd mmm yy"))&amp;" "&amp;Milestones!$AB$94&amp;" "&amp;IF(AND(Milestones!$AB$94="FT",Milestones!$AA$94=FT_Y5,EDATE($D104,Milestones!$AA$94)&lt;PolicyEff),1,Milestones!$AC$94)&amp;";  ","")&amp;IF(AND(EDATE($D104,Milestones!$AA$95)&lt;=AsOfDate,EDATE($D104,Milestones!$AA$95)&gt;=SchemeStart,IF($X104=0,$AD104,IF(AND($Z104&lt;&gt;"",EDATE($D104,Milestones!$AA$95)&gt;=$Z104),$AC104,IF(AND($Y104&lt;&gt;"",EDATE($D104,Milestones!$AA$95)&gt;=$Y104),$AB104,$AA104)))=Milestones!$AB$95),UPPER(TEXT(EDATE($D104,Milestones!$AA$95),"dd mmm yy"))&amp;" "&amp;Milestones!$AB$95&amp;" "&amp;IF(AND(Milestones!$AB$95="FT",Milestones!$AA$95=FT_Y5,EDATE($D104,Milestones!$AA$95)&lt;PolicyEff),1,Milestones!$AC$95)&amp;";  ","")&amp;IF(AND(EDATE($D104,Milestones!$AA$96)&lt;=AsOfDate,EDATE($D104,Milestones!$AA$96)&gt;=SchemeStart,IF($X104=0,$AD104,IF(AND($Z104&lt;&gt;"",EDATE($D104,Milestones!$AA$96)&gt;=$Z104),$AC104,IF(AND($Y104&lt;&gt;"",EDATE($D104,Milestones!$AA$96)&gt;=$Y104),$AB104,$AA104)))=Milestones!$AB$96),UPPER(TEXT(EDATE($D104,Milestones!$AA$96),"dd mmm yy"))&amp;" "&amp;Milestones!$AB$96&amp;" "&amp;IF(AND(Milestones!$AB$96="FT",Milestones!$AA$96=FT_Y5,EDATE($D104,Milestones!$AA$96)&lt;PolicyEff),1,Milestones!$AC$96)&amp;";  ","")&amp;IF(AND(EDATE($D104,Milestones!$AA$97)&lt;=AsOfDate,EDATE($D104,Milestones!$AA$97)&gt;=SchemeStart,IF($X104=0,$AD104,IF(AND($Z104&lt;&gt;"",EDATE($D104,Milestones!$AA$97)&gt;=$Z104),$AC104,IF(AND($Y104&lt;&gt;"",EDATE($D104,Milestones!$AA$97)&gt;=$Y104),$AB104,$AA104)))=Milestones!$AB$97),UPPER(TEXT(EDATE($D104,Milestones!$AA$97),"dd mmm yy"))&amp;" "&amp;Milestones!$AB$97&amp;" "&amp;IF(AND(Milestones!$AB$97="FT",Milestones!$AA$97=FT_Y5,EDATE($D104,Milestones!$AA$97)&lt;PolicyEff),1,Milestones!$AC$97)&amp;";  ","")&amp;IF(AND(EDATE($D104,Milestones!$AA$98)&lt;=AsOfDate,EDATE($D104,Milestones!$AA$98)&gt;=SchemeStart,IF($X104=0,$AD104,IF(AND($Z104&lt;&gt;"",EDATE($D104,Milestones!$AA$98)&gt;=$Z104),$AC104,IF(AND($Y104&lt;&gt;"",EDATE($D104,Milestones!$AA$98)&gt;=$Y104),$AB104,$AA104)))=Milestones!$AB$98),UPPER(TEXT(EDATE($D104,Milestones!$AA$98),"dd mmm yy"))&amp;" "&amp;Milestones!$AB$98&amp;" "&amp;IF(AND(Milestones!$AB$98="FT",Milestones!$AA$98=FT_Y5,EDATE($D104,Milestones!$AA$98)&lt;PolicyEff),1,Milestones!$AC$98)&amp;";  ","")&amp;IF(AND(EDATE($D104,Milestones!$AA$99)&lt;=AsOfDate,EDATE($D104,Milestones!$AA$99)&gt;=SchemeStart,IF($X104=0,$AD104,IF(AND($Z104&lt;&gt;"",EDATE($D104,Milestones!$AA$99)&gt;=$Z104),$AC104,IF(AND($Y104&lt;&gt;"",EDATE($D104,Milestones!$AA$99)&gt;=$Y104),$AB104,$AA104)))=Milestones!$AB$99),UPPER(TEXT(EDATE($D104,Milestones!$AA$99),"dd mmm yy"))&amp;" "&amp;Milestones!$AB$99&amp;" "&amp;IF(AND(Milestones!$AB$99="FT",Milestones!$AA$99=FT_Y5,EDATE($D104,Milestones!$AA$99)&lt;PolicyEff),1,Milestones!$AC$99)&amp;";  ","")&amp;IF(AND(EDATE($D104,Milestones!$AA$100)&lt;=AsOfDate,EDATE($D104,Milestones!$AA$100)&gt;=SchemeStart,IF($X104=0,$AD104,IF(AND($Z104&lt;&gt;"",EDATE($D104,Milestones!$AA$100)&gt;=$Z104),$AC104,IF(AND($Y104&lt;&gt;"",EDATE($D104,Milestones!$AA$100)&gt;=$Y104),$AB104,$AA104)))=Milestones!$AB$100),UPPER(TEXT(EDATE($D104,Milestones!$AA$100),"dd mmm yy"))&amp;" "&amp;Milestones!$AB$100&amp;" "&amp;IF(AND(Milestones!$AB$100="FT",Milestones!$AA$100=FT_Y5,EDATE($D104,Milestones!$AA$100)&lt;PolicyEff),1,Milestones!$AC$100)&amp;";  ","")&amp;IF(AND(EDATE($D104,Milestones!$AA$101)&lt;=AsOfDate,EDATE($D104,Milestones!$AA$101)&gt;=SchemeStart,IF($X104=0,$AD104,IF(AND($Z104&lt;&gt;"",EDATE($D104,Milestones!$AA$101)&gt;=$Z104),$AC104,IF(AND($Y104&lt;&gt;"",EDATE($D104,Milestones!$AA$101)&gt;=$Y104),$AB104,$AA104)))=Milestones!$AB$101),UPPER(TEXT(EDATE($D104,Milestones!$AA$101),"dd mmm yy"))&amp;" "&amp;Milestones!$AB$101&amp;" "&amp;IF(AND(Milestones!$AB$101="FT",Milestones!$AA$101=FT_Y5,EDATE($D104,Milestones!$AA$101)&lt;PolicyEff),1,Milestones!$AC$101)&amp;";  ","")&amp;IF(AND(EDATE($D104,Milestones!$AA$102)&lt;=AsOfDate,EDATE($D104,Milestones!$AA$102)&gt;=SchemeStart,IF($X104=0,$AD104,IF(AND($Z104&lt;&gt;"",EDATE($D104,Milestones!$AA$102)&gt;=$Z104),$AC104,IF(AND($Y104&lt;&gt;"",EDATE($D104,Milestones!$AA$102)&gt;=$Y104),$AB104,$AA104)))=Milestones!$AB$102),UPPER(TEXT(EDATE($D104,Milestones!$AA$102),"dd mmm yy"))&amp;" "&amp;Milestones!$AB$102&amp;" "&amp;IF(AND(Milestones!$AB$102="FT",Milestones!$AA$102=FT_Y5,EDATE($D104,Milestones!$AA$102)&lt;PolicyEff),1,Milestones!$AC$102)&amp;";  ","")&amp;IF(AND(EDATE($D104,Milestones!$AA$103)&lt;=AsOfDate,EDATE($D104,Milestones!$AA$103)&gt;=SchemeStart,IF($X104=0,$AD104,IF(AND($Z104&lt;&gt;"",EDATE($D104,Milestones!$AA$103)&gt;=$Z104),$AC104,IF(AND($Y104&lt;&gt;"",EDATE($D104,Milestones!$AA$103)&gt;=$Y104),$AB104,$AA104)))=Milestones!$AB$103),UPPER(TEXT(EDATE($D104,Milestones!$AA$103),"dd mmm yy"))&amp;" "&amp;Milestones!$AB$103&amp;" "&amp;IF(AND(Milestones!$AB$103="FT",Milestones!$AA$103=FT_Y5,EDATE($D104,Milestones!$AA$103)&lt;PolicyEff),1,Milestones!$AC$103)&amp;";  ",""))</f>
        <v/>
      </c>
      <c r="P104" s="0" t="str">
        <f aca="false">IF(OR($A104="",$D104=""),"",IF(AND(EDATE($D104,Milestones!$AA$104)&lt;=AsOfDate,EDATE($D104,Milestones!$AA$104)&gt;=SchemeStart,IF($X104=0,$AD104,IF(AND($Z104&lt;&gt;"",EDATE($D104,Milestones!$AA$104)&gt;=$Z104),$AC104,IF(AND($Y104&lt;&gt;"",EDATE($D104,Milestones!$AA$104)&gt;=$Y104),$AB104,$AA104)))=Milestones!$AB$104),UPPER(TEXT(EDATE($D104,Milestones!$AA$104),"dd mmm yy"))&amp;" "&amp;Milestones!$AB$104&amp;" "&amp;IF(AND(Milestones!$AB$104="FT",Milestones!$AA$104=FT_Y5,EDATE($D104,Milestones!$AA$104)&lt;PolicyEff),1,Milestones!$AC$104)&amp;";  ","")&amp;IF(AND(EDATE($D104,Milestones!$AA$105)&lt;=AsOfDate,EDATE($D104,Milestones!$AA$105)&gt;=SchemeStart,IF($X104=0,$AD104,IF(AND($Z104&lt;&gt;"",EDATE($D104,Milestones!$AA$105)&gt;=$Z104),$AC104,IF(AND($Y104&lt;&gt;"",EDATE($D104,Milestones!$AA$105)&gt;=$Y104),$AB104,$AA104)))=Milestones!$AB$105),UPPER(TEXT(EDATE($D104,Milestones!$AA$105),"dd mmm yy"))&amp;" "&amp;Milestones!$AB$105&amp;" "&amp;IF(AND(Milestones!$AB$105="FT",Milestones!$AA$105=FT_Y5,EDATE($D104,Milestones!$AA$105)&lt;PolicyEff),1,Milestones!$AC$105)&amp;";  ","")&amp;IF(AND(EDATE($D104,Milestones!$AA$106)&lt;=AsOfDate,EDATE($D104,Milestones!$AA$106)&gt;=SchemeStart,IF($X104=0,$AD104,IF(AND($Z104&lt;&gt;"",EDATE($D104,Milestones!$AA$106)&gt;=$Z104),$AC104,IF(AND($Y104&lt;&gt;"",EDATE($D104,Milestones!$AA$106)&gt;=$Y104),$AB104,$AA104)))=Milestones!$AB$106),UPPER(TEXT(EDATE($D104,Milestones!$AA$106),"dd mmm yy"))&amp;" "&amp;Milestones!$AB$106&amp;" "&amp;IF(AND(Milestones!$AB$106="FT",Milestones!$AA$106=FT_Y5,EDATE($D104,Milestones!$AA$106)&lt;PolicyEff),1,Milestones!$AC$106)&amp;";  ","")&amp;IF(AND(EDATE($D104,Milestones!$AA$107)&lt;=AsOfDate,EDATE($D104,Milestones!$AA$107)&gt;=SchemeStart,IF($X104=0,$AD104,IF(AND($Z104&lt;&gt;"",EDATE($D104,Milestones!$AA$107)&gt;=$Z104),$AC104,IF(AND($Y104&lt;&gt;"",EDATE($D104,Milestones!$AA$107)&gt;=$Y104),$AB104,$AA104)))=Milestones!$AB$107),UPPER(TEXT(EDATE($D104,Milestones!$AA$107),"dd mmm yy"))&amp;" "&amp;Milestones!$AB$107&amp;" "&amp;IF(AND(Milestones!$AB$107="FT",Milestones!$AA$107=FT_Y5,EDATE($D104,Milestones!$AA$107)&lt;PolicyEff),1,Milestones!$AC$107)&amp;";  ","")&amp;IF(AND(EDATE($D104,Milestones!$AA$108)&lt;=AsOfDate,EDATE($D104,Milestones!$AA$108)&gt;=SchemeStart,IF($X104=0,$AD104,IF(AND($Z104&lt;&gt;"",EDATE($D104,Milestones!$AA$108)&gt;=$Z104),$AC104,IF(AND($Y104&lt;&gt;"",EDATE($D104,Milestones!$AA$108)&gt;=$Y104),$AB104,$AA104)))=Milestones!$AB$108),UPPER(TEXT(EDATE($D104,Milestones!$AA$108),"dd mmm yy"))&amp;" "&amp;Milestones!$AB$108&amp;" "&amp;IF(AND(Milestones!$AB$108="FT",Milestones!$AA$108=FT_Y5,EDATE($D104,Milestones!$AA$108)&lt;PolicyEff),1,Milestones!$AC$108)&amp;";  ","")&amp;IF(AND(EDATE($D104,Milestones!$AA$109)&lt;=AsOfDate,EDATE($D104,Milestones!$AA$109)&gt;=SchemeStart,IF($X104=0,$AD104,IF(AND($Z104&lt;&gt;"",EDATE($D104,Milestones!$AA$109)&gt;=$Z104),$AC104,IF(AND($Y104&lt;&gt;"",EDATE($D104,Milestones!$AA$109)&gt;=$Y104),$AB104,$AA104)))=Milestones!$AB$109),UPPER(TEXT(EDATE($D104,Milestones!$AA$109),"dd mmm yy"))&amp;" "&amp;Milestones!$AB$109&amp;" "&amp;IF(AND(Milestones!$AB$109="FT",Milestones!$AA$109=FT_Y5,EDATE($D104,Milestones!$AA$109)&lt;PolicyEff),1,Milestones!$AC$109)&amp;";  ","")&amp;IF(AND(EDATE($D104,Milestones!$AA$110)&lt;=AsOfDate,EDATE($D104,Milestones!$AA$110)&gt;=SchemeStart,IF($X104=0,$AD104,IF(AND($Z104&lt;&gt;"",EDATE($D104,Milestones!$AA$110)&gt;=$Z104),$AC104,IF(AND($Y104&lt;&gt;"",EDATE($D104,Milestones!$AA$110)&gt;=$Y104),$AB104,$AA104)))=Milestones!$AB$110),UPPER(TEXT(EDATE($D104,Milestones!$AA$110),"dd mmm yy"))&amp;" "&amp;Milestones!$AB$110&amp;" "&amp;IF(AND(Milestones!$AB$110="FT",Milestones!$AA$110=FT_Y5,EDATE($D104,Milestones!$AA$110)&lt;PolicyEff),1,Milestones!$AC$110)&amp;";  ","")&amp;IF(AND(EDATE($D104,Milestones!$AA$111)&lt;=AsOfDate,EDATE($D104,Milestones!$AA$111)&gt;=SchemeStart,IF($X104=0,$AD104,IF(AND($Z104&lt;&gt;"",EDATE($D104,Milestones!$AA$111)&gt;=$Z104),$AC104,IF(AND($Y104&lt;&gt;"",EDATE($D104,Milestones!$AA$111)&gt;=$Y104),$AB104,$AA104)))=Milestones!$AB$111),UPPER(TEXT(EDATE($D104,Milestones!$AA$111),"dd mmm yy"))&amp;" "&amp;Milestones!$AB$111&amp;" "&amp;IF(AND(Milestones!$AB$111="FT",Milestones!$AA$111=FT_Y5,EDATE($D104,Milestones!$AA$111)&lt;PolicyEff),1,Milestones!$AC$111)&amp;";  ","")&amp;IF(AND(EDATE($D104,Milestones!$AA$112)&lt;=AsOfDate,EDATE($D104,Milestones!$AA$112)&gt;=SchemeStart,IF($X104=0,$AD104,IF(AND($Z104&lt;&gt;"",EDATE($D104,Milestones!$AA$112)&gt;=$Z104),$AC104,IF(AND($Y104&lt;&gt;"",EDATE($D104,Milestones!$AA$112)&gt;=$Y104),$AB104,$AA104)))=Milestones!$AB$112),UPPER(TEXT(EDATE($D104,Milestones!$AA$112),"dd mmm yy"))&amp;" "&amp;Milestones!$AB$112&amp;" "&amp;IF(AND(Milestones!$AB$112="FT",Milestones!$AA$112=FT_Y5,EDATE($D104,Milestones!$AA$112)&lt;PolicyEff),1,Milestones!$AC$112)&amp;";  ","")&amp;IF(AND(EDATE($D104,Milestones!$AA$113)&lt;=AsOfDate,EDATE($D104,Milestones!$AA$113)&gt;=SchemeStart,IF($X104=0,$AD104,IF(AND($Z104&lt;&gt;"",EDATE($D104,Milestones!$AA$113)&gt;=$Z104),$AC104,IF(AND($Y104&lt;&gt;"",EDATE($D104,Milestones!$AA$113)&gt;=$Y104),$AB104,$AA104)))=Milestones!$AB$113),UPPER(TEXT(EDATE($D104,Milestones!$AA$113),"dd mmm yy"))&amp;" "&amp;Milestones!$AB$113&amp;" "&amp;IF(AND(Milestones!$AB$113="FT",Milestones!$AA$113=FT_Y5,EDATE($D104,Milestones!$AA$113)&lt;PolicyEff),1,Milestones!$AC$113)&amp;";  ","")&amp;IF(AND(EDATE($D104,Milestones!$AA$114)&lt;=AsOfDate,EDATE($D104,Milestones!$AA$114)&gt;=SchemeStart,IF($X104=0,$AD104,IF(AND($Z104&lt;&gt;"",EDATE($D104,Milestones!$AA$114)&gt;=$Z104),$AC104,IF(AND($Y104&lt;&gt;"",EDATE($D104,Milestones!$AA$114)&gt;=$Y104),$AB104,$AA104)))=Milestones!$AB$114),UPPER(TEXT(EDATE($D104,Milestones!$AA$114),"dd mmm yy"))&amp;" "&amp;Milestones!$AB$114&amp;" "&amp;IF(AND(Milestones!$AB$114="FT",Milestones!$AA$114=FT_Y5,EDATE($D104,Milestones!$AA$114)&lt;PolicyEff),1,Milestones!$AC$114)&amp;";  ","")&amp;IF(AND(EDATE($D104,Milestones!$AA$115)&lt;=AsOfDate,EDATE($D104,Milestones!$AA$115)&gt;=SchemeStart,IF($X104=0,$AD104,IF(AND($Z104&lt;&gt;"",EDATE($D104,Milestones!$AA$115)&gt;=$Z104),$AC104,IF(AND($Y104&lt;&gt;"",EDATE($D104,Milestones!$AA$115)&gt;=$Y104),$AB104,$AA104)))=Milestones!$AB$115),UPPER(TEXT(EDATE($D104,Milestones!$AA$115),"dd mmm yy"))&amp;" "&amp;Milestones!$AB$115&amp;" "&amp;IF(AND(Milestones!$AB$115="FT",Milestones!$AA$115=FT_Y5,EDATE($D104,Milestones!$AA$115)&lt;PolicyEff),1,Milestones!$AC$115)&amp;";  ",""))</f>
        <v/>
      </c>
      <c r="Q104" s="0" t="str">
        <f aca="false">IF(OR($A104="",$D104=""),"",IF(AND(EDATE($D104,Milestones!$AA$116)&lt;=AsOfDate,EDATE($D104,Milestones!$AA$116)&gt;=SchemeStart,IF($X104=0,$AD104,IF(AND($Z104&lt;&gt;"",EDATE($D104,Milestones!$AA$116)&gt;=$Z104),$AC104,IF(AND($Y104&lt;&gt;"",EDATE($D104,Milestones!$AA$116)&gt;=$Y104),$AB104,$AA104)))=Milestones!$AB$116),UPPER(TEXT(EDATE($D104,Milestones!$AA$116),"dd mmm yy"))&amp;" "&amp;Milestones!$AB$116&amp;" "&amp;IF(AND(Milestones!$AB$116="FT",Milestones!$AA$116=FT_Y5,EDATE($D104,Milestones!$AA$116)&lt;PolicyEff),1,Milestones!$AC$116)&amp;";  ","")&amp;IF(AND(EDATE($D104,Milestones!$AA$117)&lt;=AsOfDate,EDATE($D104,Milestones!$AA$117)&gt;=SchemeStart,IF($X104=0,$AD104,IF(AND($Z104&lt;&gt;"",EDATE($D104,Milestones!$AA$117)&gt;=$Z104),$AC104,IF(AND($Y104&lt;&gt;"",EDATE($D104,Milestones!$AA$117)&gt;=$Y104),$AB104,$AA104)))=Milestones!$AB$117),UPPER(TEXT(EDATE($D104,Milestones!$AA$117),"dd mmm yy"))&amp;" "&amp;Milestones!$AB$117&amp;" "&amp;IF(AND(Milestones!$AB$117="FT",Milestones!$AA$117=FT_Y5,EDATE($D104,Milestones!$AA$117)&lt;PolicyEff),1,Milestones!$AC$117)&amp;";  ","")&amp;IF(AND(EDATE($D104,Milestones!$AA$118)&lt;=AsOfDate,EDATE($D104,Milestones!$AA$118)&gt;=SchemeStart,IF($X104=0,$AD104,IF(AND($Z104&lt;&gt;"",EDATE($D104,Milestones!$AA$118)&gt;=$Z104),$AC104,IF(AND($Y104&lt;&gt;"",EDATE($D104,Milestones!$AA$118)&gt;=$Y104),$AB104,$AA104)))=Milestones!$AB$118),UPPER(TEXT(EDATE($D104,Milestones!$AA$118),"dd mmm yy"))&amp;" "&amp;Milestones!$AB$118&amp;" "&amp;IF(AND(Milestones!$AB$118="FT",Milestones!$AA$118=FT_Y5,EDATE($D104,Milestones!$AA$118)&lt;PolicyEff),1,Milestones!$AC$118)&amp;";  ","")&amp;IF(AND(EDATE($D104,Milestones!$AA$119)&lt;=AsOfDate,EDATE($D104,Milestones!$AA$119)&gt;=SchemeStart,IF($X104=0,$AD104,IF(AND($Z104&lt;&gt;"",EDATE($D104,Milestones!$AA$119)&gt;=$Z104),$AC104,IF(AND($Y104&lt;&gt;"",EDATE($D104,Milestones!$AA$119)&gt;=$Y104),$AB104,$AA104)))=Milestones!$AB$119),UPPER(TEXT(EDATE($D104,Milestones!$AA$119),"dd mmm yy"))&amp;" "&amp;Milestones!$AB$119&amp;" "&amp;IF(AND(Milestones!$AB$119="FT",Milestones!$AA$119=FT_Y5,EDATE($D104,Milestones!$AA$119)&lt;PolicyEff),1,Milestones!$AC$119)&amp;";  ","")&amp;IF(AND(EDATE($D104,Milestones!$AA$120)&lt;=AsOfDate,EDATE($D104,Milestones!$AA$120)&gt;=SchemeStart,IF($X104=0,$AD104,IF(AND($Z104&lt;&gt;"",EDATE($D104,Milestones!$AA$120)&gt;=$Z104),$AC104,IF(AND($Y104&lt;&gt;"",EDATE($D104,Milestones!$AA$120)&gt;=$Y104),$AB104,$AA104)))=Milestones!$AB$120),UPPER(TEXT(EDATE($D104,Milestones!$AA$120),"dd mmm yy"))&amp;" "&amp;Milestones!$AB$120&amp;" "&amp;IF(AND(Milestones!$AB$120="FT",Milestones!$AA$120=FT_Y5,EDATE($D104,Milestones!$AA$120)&lt;PolicyEff),1,Milestones!$AC$120)&amp;";  ","")&amp;IF(AND(EDATE($D104,Milestones!$AA$121)&lt;=AsOfDate,EDATE($D104,Milestones!$AA$121)&gt;=SchemeStart,IF($X104=0,$AD104,IF(AND($Z104&lt;&gt;"",EDATE($D104,Milestones!$AA$121)&gt;=$Z104),$AC104,IF(AND($Y104&lt;&gt;"",EDATE($D104,Milestones!$AA$121)&gt;=$Y104),$AB104,$AA104)))=Milestones!$AB$121),UPPER(TEXT(EDATE($D104,Milestones!$AA$121),"dd mmm yy"))&amp;" "&amp;Milestones!$AB$121&amp;" "&amp;IF(AND(Milestones!$AB$121="FT",Milestones!$AA$121=FT_Y5,EDATE($D104,Milestones!$AA$121)&lt;PolicyEff),1,Milestones!$AC$121)&amp;";  ","")&amp;IF(AND(EDATE($D104,Milestones!$AA$122)&lt;=AsOfDate,EDATE($D104,Milestones!$AA$122)&gt;=SchemeStart,IF($X104=0,$AD104,IF(AND($Z104&lt;&gt;"",EDATE($D104,Milestones!$AA$122)&gt;=$Z104),$AC104,IF(AND($Y104&lt;&gt;"",EDATE($D104,Milestones!$AA$122)&gt;=$Y104),$AB104,$AA104)))=Milestones!$AB$122),UPPER(TEXT(EDATE($D104,Milestones!$AA$122),"dd mmm yy"))&amp;" "&amp;Milestones!$AB$122&amp;" "&amp;IF(AND(Milestones!$AB$122="FT",Milestones!$AA$122=FT_Y5,EDATE($D104,Milestones!$AA$122)&lt;PolicyEff),1,Milestones!$AC$122)&amp;";  ","")&amp;IF(AND(EDATE($D104,Milestones!$AA$123)&lt;=AsOfDate,EDATE($D104,Milestones!$AA$123)&gt;=SchemeStart,IF($X104=0,$AD104,IF(AND($Z104&lt;&gt;"",EDATE($D104,Milestones!$AA$123)&gt;=$Z104),$AC104,IF(AND($Y104&lt;&gt;"",EDATE($D104,Milestones!$AA$123)&gt;=$Y104),$AB104,$AA104)))=Milestones!$AB$123),UPPER(TEXT(EDATE($D104,Milestones!$AA$123),"dd mmm yy"))&amp;" "&amp;Milestones!$AB$123&amp;" "&amp;IF(AND(Milestones!$AB$123="FT",Milestones!$AA$123=FT_Y5,EDATE($D104,Milestones!$AA$123)&lt;PolicyEff),1,Milestones!$AC$123)&amp;";  ","")&amp;IF(AND(EDATE($D104,Milestones!$AA$124)&lt;=AsOfDate,EDATE($D104,Milestones!$AA$124)&gt;=SchemeStart,IF($X104=0,$AD104,IF(AND($Z104&lt;&gt;"",EDATE($D104,Milestones!$AA$124)&gt;=$Z104),$AC104,IF(AND($Y104&lt;&gt;"",EDATE($D104,Milestones!$AA$124)&gt;=$Y104),$AB104,$AA104)))=Milestones!$AB$124),UPPER(TEXT(EDATE($D104,Milestones!$AA$124),"dd mmm yy"))&amp;" "&amp;Milestones!$AB$124&amp;" "&amp;IF(AND(Milestones!$AB$124="FT",Milestones!$AA$124=FT_Y5,EDATE($D104,Milestones!$AA$124)&lt;PolicyEff),1,Milestones!$AC$124)&amp;";  ","")&amp;IF(AND(EDATE($D104,Milestones!$AA$125)&lt;=AsOfDate,EDATE($D104,Milestones!$AA$125)&gt;=SchemeStart,IF($X104=0,$AD104,IF(AND($Z104&lt;&gt;"",EDATE($D104,Milestones!$AA$125)&gt;=$Z104),$AC104,IF(AND($Y104&lt;&gt;"",EDATE($D104,Milestones!$AA$125)&gt;=$Y104),$AB104,$AA104)))=Milestones!$AB$125),UPPER(TEXT(EDATE($D104,Milestones!$AA$125),"dd mmm yy"))&amp;" "&amp;Milestones!$AB$125&amp;" "&amp;IF(AND(Milestones!$AB$125="FT",Milestones!$AA$125=FT_Y5,EDATE($D104,Milestones!$AA$125)&lt;PolicyEff),1,Milestones!$AC$125)&amp;";  ","")&amp;IF(AND(EDATE($D104,Milestones!$AA$126)&lt;=AsOfDate,EDATE($D104,Milestones!$AA$126)&gt;=SchemeStart,IF($X104=0,$AD104,IF(AND($Z104&lt;&gt;"",EDATE($D104,Milestones!$AA$126)&gt;=$Z104),$AC104,IF(AND($Y104&lt;&gt;"",EDATE($D104,Milestones!$AA$126)&gt;=$Y104),$AB104,$AA104)))=Milestones!$AB$126),UPPER(TEXT(EDATE($D104,Milestones!$AA$126),"dd mmm yy"))&amp;" "&amp;Milestones!$AB$126&amp;" "&amp;IF(AND(Milestones!$AB$126="FT",Milestones!$AA$126=FT_Y5,EDATE($D104,Milestones!$AA$126)&lt;PolicyEff),1,Milestones!$AC$126)&amp;";  ","")&amp;IF(AND(EDATE($D104,Milestones!$AA$127)&lt;=AsOfDate,EDATE($D104,Milestones!$AA$127)&gt;=SchemeStart,IF($X104=0,$AD104,IF(AND($Z104&lt;&gt;"",EDATE($D104,Milestones!$AA$127)&gt;=$Z104),$AC104,IF(AND($Y104&lt;&gt;"",EDATE($D104,Milestones!$AA$127)&gt;=$Y104),$AB104,$AA104)))=Milestones!$AB$127),UPPER(TEXT(EDATE($D104,Milestones!$AA$127),"dd mmm yy"))&amp;" "&amp;Milestones!$AB$127&amp;" "&amp;IF(AND(Milestones!$AB$127="FT",Milestones!$AA$127=FT_Y5,EDATE($D104,Milestones!$AA$127)&lt;PolicyEff),1,Milestones!$AC$127)&amp;";  ",""))</f>
        <v/>
      </c>
      <c r="R104" s="0" t="str">
        <f aca="false">IF(OR($A104="",$D104=""),"",IF(AND(EDATE($D104,Milestones!$AA$128)&lt;=AsOfDate,EDATE($D104,Milestones!$AA$128)&gt;=SchemeStart,IF($X104=0,$AD104,IF(AND($Z104&lt;&gt;"",EDATE($D104,Milestones!$AA$128)&gt;=$Z104),$AC104,IF(AND($Y104&lt;&gt;"",EDATE($D104,Milestones!$AA$128)&gt;=$Y104),$AB104,$AA104)))=Milestones!$AB$128),UPPER(TEXT(EDATE($D104,Milestones!$AA$128),"dd mmm yy"))&amp;" "&amp;Milestones!$AB$128&amp;" "&amp;IF(AND(Milestones!$AB$128="FT",Milestones!$AA$128=FT_Y5,EDATE($D104,Milestones!$AA$128)&lt;PolicyEff),1,Milestones!$AC$128)&amp;";  ","")&amp;IF(AND(EDATE($D104,Milestones!$AA$129)&lt;=AsOfDate,EDATE($D104,Milestones!$AA$129)&gt;=SchemeStart,IF($X104=0,$AD104,IF(AND($Z104&lt;&gt;"",EDATE($D104,Milestones!$AA$129)&gt;=$Z104),$AC104,IF(AND($Y104&lt;&gt;"",EDATE($D104,Milestones!$AA$129)&gt;=$Y104),$AB104,$AA104)))=Milestones!$AB$129),UPPER(TEXT(EDATE($D104,Milestones!$AA$129),"dd mmm yy"))&amp;" "&amp;Milestones!$AB$129&amp;" "&amp;IF(AND(Milestones!$AB$129="FT",Milestones!$AA$129=FT_Y5,EDATE($D104,Milestones!$AA$129)&lt;PolicyEff),1,Milestones!$AC$129)&amp;";  ","")&amp;IF(AND(EDATE($D104,Milestones!$AA$130)&lt;=AsOfDate,EDATE($D104,Milestones!$AA$130)&gt;=SchemeStart,IF($X104=0,$AD104,IF(AND($Z104&lt;&gt;"",EDATE($D104,Milestones!$AA$130)&gt;=$Z104),$AC104,IF(AND($Y104&lt;&gt;"",EDATE($D104,Milestones!$AA$130)&gt;=$Y104),$AB104,$AA104)))=Milestones!$AB$130),UPPER(TEXT(EDATE($D104,Milestones!$AA$130),"dd mmm yy"))&amp;" "&amp;Milestones!$AB$130&amp;" "&amp;IF(AND(Milestones!$AB$130="FT",Milestones!$AA$130=FT_Y5,EDATE($D104,Milestones!$AA$130)&lt;PolicyEff),1,Milestones!$AC$130)&amp;";  ","")&amp;IF(AND(EDATE($D104,Milestones!$AA$131)&lt;=AsOfDate,EDATE($D104,Milestones!$AA$131)&gt;=SchemeStart,IF($X104=0,$AD104,IF(AND($Z104&lt;&gt;"",EDATE($D104,Milestones!$AA$131)&gt;=$Z104),$AC104,IF(AND($Y104&lt;&gt;"",EDATE($D104,Milestones!$AA$131)&gt;=$Y104),$AB104,$AA104)))=Milestones!$AB$131),UPPER(TEXT(EDATE($D104,Milestones!$AA$131),"dd mmm yy"))&amp;" "&amp;Milestones!$AB$131&amp;" "&amp;IF(AND(Milestones!$AB$131="FT",Milestones!$AA$131=FT_Y5,EDATE($D104,Milestones!$AA$131)&lt;PolicyEff),1,Milestones!$AC$131)&amp;";  ","")&amp;IF(AND(EDATE($D104,Milestones!$AA$132)&lt;=AsOfDate,EDATE($D104,Milestones!$AA$132)&gt;=SchemeStart,IF($X104=0,$AD104,IF(AND($Z104&lt;&gt;"",EDATE($D104,Milestones!$AA$132)&gt;=$Z104),$AC104,IF(AND($Y104&lt;&gt;"",EDATE($D104,Milestones!$AA$132)&gt;=$Y104),$AB104,$AA104)))=Milestones!$AB$132),UPPER(TEXT(EDATE($D104,Milestones!$AA$132),"dd mmm yy"))&amp;" "&amp;Milestones!$AB$132&amp;" "&amp;IF(AND(Milestones!$AB$132="FT",Milestones!$AA$132=FT_Y5,EDATE($D104,Milestones!$AA$132)&lt;PolicyEff),1,Milestones!$AC$132)&amp;";  ","")&amp;IF(AND(EDATE($D104,Milestones!$AA$133)&lt;=AsOfDate,EDATE($D104,Milestones!$AA$133)&gt;=SchemeStart,IF($X104=0,$AD104,IF(AND($Z104&lt;&gt;"",EDATE($D104,Milestones!$AA$133)&gt;=$Z104),$AC104,IF(AND($Y104&lt;&gt;"",EDATE($D104,Milestones!$AA$133)&gt;=$Y104),$AB104,$AA104)))=Milestones!$AB$133),UPPER(TEXT(EDATE($D104,Milestones!$AA$133),"dd mmm yy"))&amp;" "&amp;Milestones!$AB$133&amp;" "&amp;IF(AND(Milestones!$AB$133="FT",Milestones!$AA$133=FT_Y5,EDATE($D104,Milestones!$AA$133)&lt;PolicyEff),1,Milestones!$AC$133)&amp;";  ","")&amp;IF(AND(EDATE($D104,Milestones!$AA$134)&lt;=AsOfDate,EDATE($D104,Milestones!$AA$134)&gt;=SchemeStart,IF($X104=0,$AD104,IF(AND($Z104&lt;&gt;"",EDATE($D104,Milestones!$AA$134)&gt;=$Z104),$AC104,IF(AND($Y104&lt;&gt;"",EDATE($D104,Milestones!$AA$134)&gt;=$Y104),$AB104,$AA104)))=Milestones!$AB$134),UPPER(TEXT(EDATE($D104,Milestones!$AA$134),"dd mmm yy"))&amp;" "&amp;Milestones!$AB$134&amp;" "&amp;IF(AND(Milestones!$AB$134="FT",Milestones!$AA$134=FT_Y5,EDATE($D104,Milestones!$AA$134)&lt;PolicyEff),1,Milestones!$AC$134)&amp;";  ","")&amp;IF(AND(EDATE($D104,Milestones!$AA$135)&lt;=AsOfDate,EDATE($D104,Milestones!$AA$135)&gt;=SchemeStart,IF($X104=0,$AD104,IF(AND($Z104&lt;&gt;"",EDATE($D104,Milestones!$AA$135)&gt;=$Z104),$AC104,IF(AND($Y104&lt;&gt;"",EDATE($D104,Milestones!$AA$135)&gt;=$Y104),$AB104,$AA104)))=Milestones!$AB$135),UPPER(TEXT(EDATE($D104,Milestones!$AA$135),"dd mmm yy"))&amp;" "&amp;Milestones!$AB$135&amp;" "&amp;IF(AND(Milestones!$AB$135="FT",Milestones!$AA$135=FT_Y5,EDATE($D104,Milestones!$AA$135)&lt;PolicyEff),1,Milestones!$AC$135)&amp;";  ","")&amp;IF(AND(EDATE($D104,Milestones!$AA$136)&lt;=AsOfDate,EDATE($D104,Milestones!$AA$136)&gt;=SchemeStart,IF($X104=0,$AD104,IF(AND($Z104&lt;&gt;"",EDATE($D104,Milestones!$AA$136)&gt;=$Z104),$AC104,IF(AND($Y104&lt;&gt;"",EDATE($D104,Milestones!$AA$136)&gt;=$Y104),$AB104,$AA104)))=Milestones!$AB$136),UPPER(TEXT(EDATE($D104,Milestones!$AA$136),"dd mmm yy"))&amp;" "&amp;Milestones!$AB$136&amp;" "&amp;IF(AND(Milestones!$AB$136="FT",Milestones!$AA$136=FT_Y5,EDATE($D104,Milestones!$AA$136)&lt;PolicyEff),1,Milestones!$AC$136)&amp;";  ","")&amp;IF(AND(EDATE($D104,Milestones!$AA$137)&lt;=AsOfDate,EDATE($D104,Milestones!$AA$137)&gt;=SchemeStart,IF($X104=0,$AD104,IF(AND($Z104&lt;&gt;"",EDATE($D104,Milestones!$AA$137)&gt;=$Z104),$AC104,IF(AND($Y104&lt;&gt;"",EDATE($D104,Milestones!$AA$137)&gt;=$Y104),$AB104,$AA104)))=Milestones!$AB$137),UPPER(TEXT(EDATE($D104,Milestones!$AA$137),"dd mmm yy"))&amp;" "&amp;Milestones!$AB$137&amp;" "&amp;IF(AND(Milestones!$AB$137="FT",Milestones!$AA$137=FT_Y5,EDATE($D104,Milestones!$AA$137)&lt;PolicyEff),1,Milestones!$AC$137)&amp;";  ","")&amp;IF(AND(EDATE($D104,Milestones!$AA$138)&lt;=AsOfDate,EDATE($D104,Milestones!$AA$138)&gt;=SchemeStart,IF($X104=0,$AD104,IF(AND($Z104&lt;&gt;"",EDATE($D104,Milestones!$AA$138)&gt;=$Z104),$AC104,IF(AND($Y104&lt;&gt;"",EDATE($D104,Milestones!$AA$138)&gt;=$Y104),$AB104,$AA104)))=Milestones!$AB$138),UPPER(TEXT(EDATE($D104,Milestones!$AA$138),"dd mmm yy"))&amp;" "&amp;Milestones!$AB$138&amp;" "&amp;IF(AND(Milestones!$AB$138="FT",Milestones!$AA$138=FT_Y5,EDATE($D104,Milestones!$AA$138)&lt;PolicyEff),1,Milestones!$AC$138)&amp;";  ","")&amp;IF(AND(EDATE($D104,Milestones!$AA$139)&lt;=AsOfDate,EDATE($D104,Milestones!$AA$139)&gt;=SchemeStart,IF($X104=0,$AD104,IF(AND($Z104&lt;&gt;"",EDATE($D104,Milestones!$AA$139)&gt;=$Z104),$AC104,IF(AND($Y104&lt;&gt;"",EDATE($D104,Milestones!$AA$139)&gt;=$Y104),$AB104,$AA104)))=Milestones!$AB$139),UPPER(TEXT(EDATE($D104,Milestones!$AA$139),"dd mmm yy"))&amp;" "&amp;Milestones!$AB$139&amp;" "&amp;IF(AND(Milestones!$AB$139="FT",Milestones!$AA$139=FT_Y5,EDATE($D104,Milestones!$AA$139)&lt;PolicyEff),1,Milestones!$AC$139)&amp;";  ",""))</f>
        <v/>
      </c>
      <c r="S104" s="0" t="str">
        <f aca="false">IF(OR($A104="",$D104=""),"",IF(AND(EDATE($D104,Milestones!$AA$140)&lt;=AsOfDate,EDATE($D104,Milestones!$AA$140)&gt;=SchemeStart,IF($X104=0,$AD104,IF(AND($Z104&lt;&gt;"",EDATE($D104,Milestones!$AA$140)&gt;=$Z104),$AC104,IF(AND($Y104&lt;&gt;"",EDATE($D104,Milestones!$AA$140)&gt;=$Y104),$AB104,$AA104)))=Milestones!$AB$140),UPPER(TEXT(EDATE($D104,Milestones!$AA$140),"dd mmm yy"))&amp;" "&amp;Milestones!$AB$140&amp;" "&amp;IF(AND(Milestones!$AB$140="FT",Milestones!$AA$140=FT_Y5,EDATE($D104,Milestones!$AA$140)&lt;PolicyEff),1,Milestones!$AC$140)&amp;";  ","")&amp;IF(AND(EDATE($D104,Milestones!$AA$141)&lt;=AsOfDate,EDATE($D104,Milestones!$AA$141)&gt;=SchemeStart,IF($X104=0,$AD104,IF(AND($Z104&lt;&gt;"",EDATE($D104,Milestones!$AA$141)&gt;=$Z104),$AC104,IF(AND($Y104&lt;&gt;"",EDATE($D104,Milestones!$AA$141)&gt;=$Y104),$AB104,$AA104)))=Milestones!$AB$141),UPPER(TEXT(EDATE($D104,Milestones!$AA$141),"dd mmm yy"))&amp;" "&amp;Milestones!$AB$141&amp;" "&amp;IF(AND(Milestones!$AB$141="FT",Milestones!$AA$141=FT_Y5,EDATE($D104,Milestones!$AA$141)&lt;PolicyEff),1,Milestones!$AC$141)&amp;";  ","")&amp;IF(AND(EDATE($D104,Milestones!$AA$142)&lt;=AsOfDate,EDATE($D104,Milestones!$AA$142)&gt;=SchemeStart,IF($X104=0,$AD104,IF(AND($Z104&lt;&gt;"",EDATE($D104,Milestones!$AA$142)&gt;=$Z104),$AC104,IF(AND($Y104&lt;&gt;"",EDATE($D104,Milestones!$AA$142)&gt;=$Y104),$AB104,$AA104)))=Milestones!$AB$142),UPPER(TEXT(EDATE($D104,Milestones!$AA$142),"dd mmm yy"))&amp;" "&amp;Milestones!$AB$142&amp;" "&amp;IF(AND(Milestones!$AB$142="FT",Milestones!$AA$142=FT_Y5,EDATE($D104,Milestones!$AA$142)&lt;PolicyEff),1,Milestones!$AC$142)&amp;";  ","")&amp;IF(AND(EDATE($D104,Milestones!$AA$143)&lt;=AsOfDate,EDATE($D104,Milestones!$AA$143)&gt;=SchemeStart,IF($X104=0,$AD104,IF(AND($Z104&lt;&gt;"",EDATE($D104,Milestones!$AA$143)&gt;=$Z104),$AC104,IF(AND($Y104&lt;&gt;"",EDATE($D104,Milestones!$AA$143)&gt;=$Y104),$AB104,$AA104)))=Milestones!$AB$143),UPPER(TEXT(EDATE($D104,Milestones!$AA$143),"dd mmm yy"))&amp;" "&amp;Milestones!$AB$143&amp;" "&amp;IF(AND(Milestones!$AB$143="FT",Milestones!$AA$143=FT_Y5,EDATE($D104,Milestones!$AA$143)&lt;PolicyEff),1,Milestones!$AC$143)&amp;";  ","")&amp;IF(AND(EDATE($D104,Milestones!$AA$144)&lt;=AsOfDate,EDATE($D104,Milestones!$AA$144)&gt;=SchemeStart,IF($X104=0,$AD104,IF(AND($Z104&lt;&gt;"",EDATE($D104,Milestones!$AA$144)&gt;=$Z104),$AC104,IF(AND($Y104&lt;&gt;"",EDATE($D104,Milestones!$AA$144)&gt;=$Y104),$AB104,$AA104)))=Milestones!$AB$144),UPPER(TEXT(EDATE($D104,Milestones!$AA$144),"dd mmm yy"))&amp;" "&amp;Milestones!$AB$144&amp;" "&amp;IF(AND(Milestones!$AB$144="FT",Milestones!$AA$144=FT_Y5,EDATE($D104,Milestones!$AA$144)&lt;PolicyEff),1,Milestones!$AC$144)&amp;";  ","")&amp;IF(AND(EDATE($D104,Milestones!$AA$145)&lt;=AsOfDate,EDATE($D104,Milestones!$AA$145)&gt;=SchemeStart,IF($X104=0,$AD104,IF(AND($Z104&lt;&gt;"",EDATE($D104,Milestones!$AA$145)&gt;=$Z104),$AC104,IF(AND($Y104&lt;&gt;"",EDATE($D104,Milestones!$AA$145)&gt;=$Y104),$AB104,$AA104)))=Milestones!$AB$145),UPPER(TEXT(EDATE($D104,Milestones!$AA$145),"dd mmm yy"))&amp;" "&amp;Milestones!$AB$145&amp;" "&amp;IF(AND(Milestones!$AB$145="FT",Milestones!$AA$145=FT_Y5,EDATE($D104,Milestones!$AA$145)&lt;PolicyEff),1,Milestones!$AC$145)&amp;";  ","")&amp;IF(AND(EDATE($D104,Milestones!$AA$146)&lt;=AsOfDate,EDATE($D104,Milestones!$AA$146)&gt;=SchemeStart,IF($X104=0,$AD104,IF(AND($Z104&lt;&gt;"",EDATE($D104,Milestones!$AA$146)&gt;=$Z104),$AC104,IF(AND($Y104&lt;&gt;"",EDATE($D104,Milestones!$AA$146)&gt;=$Y104),$AB104,$AA104)))=Milestones!$AB$146),UPPER(TEXT(EDATE($D104,Milestones!$AA$146),"dd mmm yy"))&amp;" "&amp;Milestones!$AB$146&amp;" "&amp;IF(AND(Milestones!$AB$146="FT",Milestones!$AA$146=FT_Y5,EDATE($D104,Milestones!$AA$146)&lt;PolicyEff),1,Milestones!$AC$146)&amp;";  ","")&amp;IF(AND(EDATE($D104,Milestones!$AA$147)&lt;=AsOfDate,EDATE($D104,Milestones!$AA$147)&gt;=SchemeStart,IF($X104=0,$AD104,IF(AND($Z104&lt;&gt;"",EDATE($D104,Milestones!$AA$147)&gt;=$Z104),$AC104,IF(AND($Y104&lt;&gt;"",EDATE($D104,Milestones!$AA$147)&gt;=$Y104),$AB104,$AA104)))=Milestones!$AB$147),UPPER(TEXT(EDATE($D104,Milestones!$AA$147),"dd mmm yy"))&amp;" "&amp;Milestones!$AB$147&amp;" "&amp;IF(AND(Milestones!$AB$147="FT",Milestones!$AA$147=FT_Y5,EDATE($D104,Milestones!$AA$147)&lt;PolicyEff),1,Milestones!$AC$147)&amp;";  ","")&amp;IF(AND(EDATE($D104,Milestones!$AA$148)&lt;=AsOfDate,EDATE($D104,Milestones!$AA$148)&gt;=SchemeStart,IF($X104=0,$AD104,IF(AND($Z104&lt;&gt;"",EDATE($D104,Milestones!$AA$148)&gt;=$Z104),$AC104,IF(AND($Y104&lt;&gt;"",EDATE($D104,Milestones!$AA$148)&gt;=$Y104),$AB104,$AA104)))=Milestones!$AB$148),UPPER(TEXT(EDATE($D104,Milestones!$AA$148),"dd mmm yy"))&amp;" "&amp;Milestones!$AB$148&amp;" "&amp;IF(AND(Milestones!$AB$148="FT",Milestones!$AA$148=FT_Y5,EDATE($D104,Milestones!$AA$148)&lt;PolicyEff),1,Milestones!$AC$148)&amp;";  ","")&amp;IF(AND(EDATE($D104,Milestones!$AA$149)&lt;=AsOfDate,EDATE($D104,Milestones!$AA$149)&gt;=SchemeStart,IF($X104=0,$AD104,IF(AND($Z104&lt;&gt;"",EDATE($D104,Milestones!$AA$149)&gt;=$Z104),$AC104,IF(AND($Y104&lt;&gt;"",EDATE($D104,Milestones!$AA$149)&gt;=$Y104),$AB104,$AA104)))=Milestones!$AB$149),UPPER(TEXT(EDATE($D104,Milestones!$AA$149),"dd mmm yy"))&amp;" "&amp;Milestones!$AB$149&amp;" "&amp;IF(AND(Milestones!$AB$149="FT",Milestones!$AA$149=FT_Y5,EDATE($D104,Milestones!$AA$149)&lt;PolicyEff),1,Milestones!$AC$149)&amp;";  ","")&amp;IF(AND(EDATE($D104,Milestones!$AA$150)&lt;=AsOfDate,EDATE($D104,Milestones!$AA$150)&gt;=SchemeStart,IF($X104=0,$AD104,IF(AND($Z104&lt;&gt;"",EDATE($D104,Milestones!$AA$150)&gt;=$Z104),$AC104,IF(AND($Y104&lt;&gt;"",EDATE($D104,Milestones!$AA$150)&gt;=$Y104),$AB104,$AA104)))=Milestones!$AB$150),UPPER(TEXT(EDATE($D104,Milestones!$AA$150),"dd mmm yy"))&amp;" "&amp;Milestones!$AB$150&amp;" "&amp;IF(AND(Milestones!$AB$150="FT",Milestones!$AA$150=FT_Y5,EDATE($D104,Milestones!$AA$150)&lt;PolicyEff),1,Milestones!$AC$150)&amp;";  ","")&amp;IF(AND(EDATE($D104,Milestones!$AA$151)&lt;=AsOfDate,EDATE($D104,Milestones!$AA$151)&gt;=SchemeStart,IF($X104=0,$AD104,IF(AND($Z104&lt;&gt;"",EDATE($D104,Milestones!$AA$151)&gt;=$Z104),$AC104,IF(AND($Y104&lt;&gt;"",EDATE($D104,Milestones!$AA$151)&gt;=$Y104),$AB104,$AA104)))=Milestones!$AB$151),UPPER(TEXT(EDATE($D104,Milestones!$AA$151),"dd mmm yy"))&amp;" "&amp;Milestones!$AB$151&amp;" "&amp;IF(AND(Milestones!$AB$151="FT",Milestones!$AA$151=FT_Y5,EDATE($D104,Milestones!$AA$151)&lt;PolicyEff),1,Milestones!$AC$151)&amp;";  ",""))</f>
        <v/>
      </c>
      <c r="T104" s="0" t="str">
        <f aca="false">IF(OR($A104="",$D104=""),"",IF(AND(EDATE($D104,Milestones!$AA$152)&lt;=AsOfDate,EDATE($D104,Milestones!$AA$152)&gt;=SchemeStart,IF($X104=0,$AD104,IF(AND($Z104&lt;&gt;"",EDATE($D104,Milestones!$AA$152)&gt;=$Z104),$AC104,IF(AND($Y104&lt;&gt;"",EDATE($D104,Milestones!$AA$152)&gt;=$Y104),$AB104,$AA104)))=Milestones!$AB$152),UPPER(TEXT(EDATE($D104,Milestones!$AA$152),"dd mmm yy"))&amp;" "&amp;Milestones!$AB$152&amp;" "&amp;IF(AND(Milestones!$AB$152="FT",Milestones!$AA$152=FT_Y5,EDATE($D104,Milestones!$AA$152)&lt;PolicyEff),1,Milestones!$AC$152)&amp;";  ","")&amp;IF(AND(EDATE($D104,Milestones!$AA$153)&lt;=AsOfDate,EDATE($D104,Milestones!$AA$153)&gt;=SchemeStart,IF($X104=0,$AD104,IF(AND($Z104&lt;&gt;"",EDATE($D104,Milestones!$AA$153)&gt;=$Z104),$AC104,IF(AND($Y104&lt;&gt;"",EDATE($D104,Milestones!$AA$153)&gt;=$Y104),$AB104,$AA104)))=Milestones!$AB$153),UPPER(TEXT(EDATE($D104,Milestones!$AA$153),"dd mmm yy"))&amp;" "&amp;Milestones!$AB$153&amp;" "&amp;IF(AND(Milestones!$AB$153="FT",Milestones!$AA$153=FT_Y5,EDATE($D104,Milestones!$AA$153)&lt;PolicyEff),1,Milestones!$AC$153)&amp;";  ","")&amp;IF(AND(EDATE($D104,Milestones!$AA$154)&lt;=AsOfDate,EDATE($D104,Milestones!$AA$154)&gt;=SchemeStart,IF($X104=0,$AD104,IF(AND($Z104&lt;&gt;"",EDATE($D104,Milestones!$AA$154)&gt;=$Z104),$AC104,IF(AND($Y104&lt;&gt;"",EDATE($D104,Milestones!$AA$154)&gt;=$Y104),$AB104,$AA104)))=Milestones!$AB$154),UPPER(TEXT(EDATE($D104,Milestones!$AA$154),"dd mmm yy"))&amp;" "&amp;Milestones!$AB$154&amp;" "&amp;IF(AND(Milestones!$AB$154="FT",Milestones!$AA$154=FT_Y5,EDATE($D104,Milestones!$AA$154)&lt;PolicyEff),1,Milestones!$AC$154)&amp;";  ","")&amp;IF(AND(EDATE($D104,Milestones!$AA$155)&lt;=AsOfDate,EDATE($D104,Milestones!$AA$155)&gt;=SchemeStart,IF($X104=0,$AD104,IF(AND($Z104&lt;&gt;"",EDATE($D104,Milestones!$AA$155)&gt;=$Z104),$AC104,IF(AND($Y104&lt;&gt;"",EDATE($D104,Milestones!$AA$155)&gt;=$Y104),$AB104,$AA104)))=Milestones!$AB$155),UPPER(TEXT(EDATE($D104,Milestones!$AA$155),"dd mmm yy"))&amp;" "&amp;Milestones!$AB$155&amp;" "&amp;IF(AND(Milestones!$AB$155="FT",Milestones!$AA$155=FT_Y5,EDATE($D104,Milestones!$AA$155)&lt;PolicyEff),1,Milestones!$AC$155)&amp;";  ","")&amp;IF(AND(EDATE($D104,Milestones!$AA$156)&lt;=AsOfDate,EDATE($D104,Milestones!$AA$156)&gt;=SchemeStart,IF($X104=0,$AD104,IF(AND($Z104&lt;&gt;"",EDATE($D104,Milestones!$AA$156)&gt;=$Z104),$AC104,IF(AND($Y104&lt;&gt;"",EDATE($D104,Milestones!$AA$156)&gt;=$Y104),$AB104,$AA104)))=Milestones!$AB$156),UPPER(TEXT(EDATE($D104,Milestones!$AA$156),"dd mmm yy"))&amp;" "&amp;Milestones!$AB$156&amp;" "&amp;IF(AND(Milestones!$AB$156="FT",Milestones!$AA$156=FT_Y5,EDATE($D104,Milestones!$AA$156)&lt;PolicyEff),1,Milestones!$AC$156)&amp;";  ","")&amp;IF(AND(EDATE($D104,Milestones!$AA$157)&lt;=AsOfDate,EDATE($D104,Milestones!$AA$157)&gt;=SchemeStart,IF($X104=0,$AD104,IF(AND($Z104&lt;&gt;"",EDATE($D104,Milestones!$AA$157)&gt;=$Z104),$AC104,IF(AND($Y104&lt;&gt;"",EDATE($D104,Milestones!$AA$157)&gt;=$Y104),$AB104,$AA104)))=Milestones!$AB$157),UPPER(TEXT(EDATE($D104,Milestones!$AA$157),"dd mmm yy"))&amp;" "&amp;Milestones!$AB$157&amp;" "&amp;IF(AND(Milestones!$AB$157="FT",Milestones!$AA$157=FT_Y5,EDATE($D104,Milestones!$AA$157)&lt;PolicyEff),1,Milestones!$AC$157)&amp;";  ","")&amp;IF(AND(EDATE($D104,Milestones!$AA$158)&lt;=AsOfDate,EDATE($D104,Milestones!$AA$158)&gt;=SchemeStart,IF($X104=0,$AD104,IF(AND($Z104&lt;&gt;"",EDATE($D104,Milestones!$AA$158)&gt;=$Z104),$AC104,IF(AND($Y104&lt;&gt;"",EDATE($D104,Milestones!$AA$158)&gt;=$Y104),$AB104,$AA104)))=Milestones!$AB$158),UPPER(TEXT(EDATE($D104,Milestones!$AA$158),"dd mmm yy"))&amp;" "&amp;Milestones!$AB$158&amp;" "&amp;IF(AND(Milestones!$AB$158="FT",Milestones!$AA$158=FT_Y5,EDATE($D104,Milestones!$AA$158)&lt;PolicyEff),1,Milestones!$AC$158)&amp;";  ","")&amp;IF(AND(EDATE($D104,Milestones!$AA$159)&lt;=AsOfDate,EDATE($D104,Milestones!$AA$159)&gt;=SchemeStart,IF($X104=0,$AD104,IF(AND($Z104&lt;&gt;"",EDATE($D104,Milestones!$AA$159)&gt;=$Z104),$AC104,IF(AND($Y104&lt;&gt;"",EDATE($D104,Milestones!$AA$159)&gt;=$Y104),$AB104,$AA104)))=Milestones!$AB$159),UPPER(TEXT(EDATE($D104,Milestones!$AA$159),"dd mmm yy"))&amp;" "&amp;Milestones!$AB$159&amp;" "&amp;IF(AND(Milestones!$AB$159="FT",Milestones!$AA$159=FT_Y5,EDATE($D104,Milestones!$AA$159)&lt;PolicyEff),1,Milestones!$AC$159)&amp;";  ","")&amp;IF(AND(EDATE($D104,Milestones!$AA$160)&lt;=AsOfDate,EDATE($D104,Milestones!$AA$160)&gt;=SchemeStart,IF($X104=0,$AD104,IF(AND($Z104&lt;&gt;"",EDATE($D104,Milestones!$AA$160)&gt;=$Z104),$AC104,IF(AND($Y104&lt;&gt;"",EDATE($D104,Milestones!$AA$160)&gt;=$Y104),$AB104,$AA104)))=Milestones!$AB$160),UPPER(TEXT(EDATE($D104,Milestones!$AA$160),"dd mmm yy"))&amp;" "&amp;Milestones!$AB$160&amp;" "&amp;IF(AND(Milestones!$AB$160="FT",Milestones!$AA$160=FT_Y5,EDATE($D104,Milestones!$AA$160)&lt;PolicyEff),1,Milestones!$AC$160)&amp;";  ","")&amp;IF(AND(EDATE($D104,Milestones!$AA$161)&lt;=AsOfDate,EDATE($D104,Milestones!$AA$161)&gt;=SchemeStart,IF($X104=0,$AD104,IF(AND($Z104&lt;&gt;"",EDATE($D104,Milestones!$AA$161)&gt;=$Z104),$AC104,IF(AND($Y104&lt;&gt;"",EDATE($D104,Milestones!$AA$161)&gt;=$Y104),$AB104,$AA104)))=Milestones!$AB$161),UPPER(TEXT(EDATE($D104,Milestones!$AA$161),"dd mmm yy"))&amp;" "&amp;Milestones!$AB$161&amp;" "&amp;IF(AND(Milestones!$AB$161="FT",Milestones!$AA$161=FT_Y5,EDATE($D104,Milestones!$AA$161)&lt;PolicyEff),1,Milestones!$AC$161)&amp;";  ","")&amp;IF(AND(EDATE($D104,Milestones!$AA$162)&lt;=AsOfDate,EDATE($D104,Milestones!$AA$162)&gt;=SchemeStart,IF($X104=0,$AD104,IF(AND($Z104&lt;&gt;"",EDATE($D104,Milestones!$AA$162)&gt;=$Z104),$AC104,IF(AND($Y104&lt;&gt;"",EDATE($D104,Milestones!$AA$162)&gt;=$Y104),$AB104,$AA104)))=Milestones!$AB$162),UPPER(TEXT(EDATE($D104,Milestones!$AA$162),"dd mmm yy"))&amp;" "&amp;Milestones!$AB$162&amp;" "&amp;IF(AND(Milestones!$AB$162="FT",Milestones!$AA$162=FT_Y5,EDATE($D104,Milestones!$AA$162)&lt;PolicyEff),1,Milestones!$AC$162)&amp;";  ","")&amp;IF(AND(EDATE($D104,Milestones!$AA$163)&lt;=AsOfDate,EDATE($D104,Milestones!$AA$163)&gt;=SchemeStart,IF($X104=0,$AD104,IF(AND($Z104&lt;&gt;"",EDATE($D104,Milestones!$AA$163)&gt;=$Z104),$AC104,IF(AND($Y104&lt;&gt;"",EDATE($D104,Milestones!$AA$163)&gt;=$Y104),$AB104,$AA104)))=Milestones!$AB$163),UPPER(TEXT(EDATE($D104,Milestones!$AA$163),"dd mmm yy"))&amp;" "&amp;Milestones!$AB$163&amp;" "&amp;IF(AND(Milestones!$AB$163="FT",Milestones!$AA$163=FT_Y5,EDATE($D104,Milestones!$AA$163)&lt;PolicyEff),1,Milestones!$AC$163)&amp;";  ",""))</f>
        <v/>
      </c>
      <c r="U104" s="0" t="str">
        <f aca="false">IF(OR($A104="",$D104=""),"",IF(AND(EDATE($D104,Milestones!$AA$164)&lt;=AsOfDate,EDATE($D104,Milestones!$AA$164)&gt;=SchemeStart,IF($X104=0,$AD104,IF(AND($Z104&lt;&gt;"",EDATE($D104,Milestones!$AA$164)&gt;=$Z104),$AC104,IF(AND($Y104&lt;&gt;"",EDATE($D104,Milestones!$AA$164)&gt;=$Y104),$AB104,$AA104)))=Milestones!$AB$164),UPPER(TEXT(EDATE($D104,Milestones!$AA$164),"dd mmm yy"))&amp;" "&amp;Milestones!$AB$164&amp;" "&amp;IF(AND(Milestones!$AB$164="FT",Milestones!$AA$164=FT_Y5,EDATE($D104,Milestones!$AA$164)&lt;PolicyEff),1,Milestones!$AC$164)&amp;";  ","")&amp;IF(AND(EDATE($D104,Milestones!$AA$165)&lt;=AsOfDate,EDATE($D104,Milestones!$AA$165)&gt;=SchemeStart,IF($X104=0,$AD104,IF(AND($Z104&lt;&gt;"",EDATE($D104,Milestones!$AA$165)&gt;=$Z104),$AC104,IF(AND($Y104&lt;&gt;"",EDATE($D104,Milestones!$AA$165)&gt;=$Y104),$AB104,$AA104)))=Milestones!$AB$165),UPPER(TEXT(EDATE($D104,Milestones!$AA$165),"dd mmm yy"))&amp;" "&amp;Milestones!$AB$165&amp;" "&amp;IF(AND(Milestones!$AB$165="FT",Milestones!$AA$165=FT_Y5,EDATE($D104,Milestones!$AA$165)&lt;PolicyEff),1,Milestones!$AC$165)&amp;";  ","")&amp;IF(AND(EDATE($D104,Milestones!$AA$166)&lt;=AsOfDate,EDATE($D104,Milestones!$AA$166)&gt;=SchemeStart,IF($X104=0,$AD104,IF(AND($Z104&lt;&gt;"",EDATE($D104,Milestones!$AA$166)&gt;=$Z104),$AC104,IF(AND($Y104&lt;&gt;"",EDATE($D104,Milestones!$AA$166)&gt;=$Y104),$AB104,$AA104)))=Milestones!$AB$166),UPPER(TEXT(EDATE($D104,Milestones!$AA$166),"dd mmm yy"))&amp;" "&amp;Milestones!$AB$166&amp;" "&amp;IF(AND(Milestones!$AB$166="FT",Milestones!$AA$166=FT_Y5,EDATE($D104,Milestones!$AA$166)&lt;PolicyEff),1,Milestones!$AC$166)&amp;";  ","")&amp;IF(AND(EDATE($D104,Milestones!$AA$167)&lt;=AsOfDate,EDATE($D104,Milestones!$AA$167)&gt;=SchemeStart,IF($X104=0,$AD104,IF(AND($Z104&lt;&gt;"",EDATE($D104,Milestones!$AA$167)&gt;=$Z104),$AC104,IF(AND($Y104&lt;&gt;"",EDATE($D104,Milestones!$AA$167)&gt;=$Y104),$AB104,$AA104)))=Milestones!$AB$167),UPPER(TEXT(EDATE($D104,Milestones!$AA$167),"dd mmm yy"))&amp;" "&amp;Milestones!$AB$167&amp;" "&amp;IF(AND(Milestones!$AB$167="FT",Milestones!$AA$167=FT_Y5,EDATE($D104,Milestones!$AA$167)&lt;PolicyEff),1,Milestones!$AC$167)&amp;";  ","")&amp;IF(AND(EDATE($D104,Milestones!$AA$168)&lt;=AsOfDate,EDATE($D104,Milestones!$AA$168)&gt;=SchemeStart,IF($X104=0,$AD104,IF(AND($Z104&lt;&gt;"",EDATE($D104,Milestones!$AA$168)&gt;=$Z104),$AC104,IF(AND($Y104&lt;&gt;"",EDATE($D104,Milestones!$AA$168)&gt;=$Y104),$AB104,$AA104)))=Milestones!$AB$168),UPPER(TEXT(EDATE($D104,Milestones!$AA$168),"dd mmm yy"))&amp;" "&amp;Milestones!$AB$168&amp;" "&amp;IF(AND(Milestones!$AB$168="FT",Milestones!$AA$168=FT_Y5,EDATE($D104,Milestones!$AA$168)&lt;PolicyEff),1,Milestones!$AC$168)&amp;";  ","")&amp;IF(AND(EDATE($D104,Milestones!$AA$169)&lt;=AsOfDate,EDATE($D104,Milestones!$AA$169)&gt;=SchemeStart,IF($X104=0,$AD104,IF(AND($Z104&lt;&gt;"",EDATE($D104,Milestones!$AA$169)&gt;=$Z104),$AC104,IF(AND($Y104&lt;&gt;"",EDATE($D104,Milestones!$AA$169)&gt;=$Y104),$AB104,$AA104)))=Milestones!$AB$169),UPPER(TEXT(EDATE($D104,Milestones!$AA$169),"dd mmm yy"))&amp;" "&amp;Milestones!$AB$169&amp;" "&amp;IF(AND(Milestones!$AB$169="FT",Milestones!$AA$169=FT_Y5,EDATE($D104,Milestones!$AA$169)&lt;PolicyEff),1,Milestones!$AC$169)&amp;";  ","")&amp;IF(AND(EDATE($D104,Milestones!$AA$170)&lt;=AsOfDate,EDATE($D104,Milestones!$AA$170)&gt;=SchemeStart,IF($X104=0,$AD104,IF(AND($Z104&lt;&gt;"",EDATE($D104,Milestones!$AA$170)&gt;=$Z104),$AC104,IF(AND($Y104&lt;&gt;"",EDATE($D104,Milestones!$AA$170)&gt;=$Y104),$AB104,$AA104)))=Milestones!$AB$170),UPPER(TEXT(EDATE($D104,Milestones!$AA$170),"dd mmm yy"))&amp;" "&amp;Milestones!$AB$170&amp;" "&amp;IF(AND(Milestones!$AB$170="FT",Milestones!$AA$170=FT_Y5,EDATE($D104,Milestones!$AA$170)&lt;PolicyEff),1,Milestones!$AC$170)&amp;";  ","")&amp;IF(AND(EDATE($D104,Milestones!$AA$171)&lt;=AsOfDate,EDATE($D104,Milestones!$AA$171)&gt;=SchemeStart,IF($X104=0,$AD104,IF(AND($Z104&lt;&gt;"",EDATE($D104,Milestones!$AA$171)&gt;=$Z104),$AC104,IF(AND($Y104&lt;&gt;"",EDATE($D104,Milestones!$AA$171)&gt;=$Y104),$AB104,$AA104)))=Milestones!$AB$171),UPPER(TEXT(EDATE($D104,Milestones!$AA$171),"dd mmm yy"))&amp;" "&amp;Milestones!$AB$171&amp;" "&amp;IF(AND(Milestones!$AB$171="FT",Milestones!$AA$171=FT_Y5,EDATE($D104,Milestones!$AA$171)&lt;PolicyEff),1,Milestones!$AC$171)&amp;";  ","")&amp;IF(AND(EDATE($D104,Milestones!$AA$172)&lt;=AsOfDate,EDATE($D104,Milestones!$AA$172)&gt;=SchemeStart,IF($X104=0,$AD104,IF(AND($Z104&lt;&gt;"",EDATE($D104,Milestones!$AA$172)&gt;=$Z104),$AC104,IF(AND($Y104&lt;&gt;"",EDATE($D104,Milestones!$AA$172)&gt;=$Y104),$AB104,$AA104)))=Milestones!$AB$172),UPPER(TEXT(EDATE($D104,Milestones!$AA$172),"dd mmm yy"))&amp;" "&amp;Milestones!$AB$172&amp;" "&amp;IF(AND(Milestones!$AB$172="FT",Milestones!$AA$172=FT_Y5,EDATE($D104,Milestones!$AA$172)&lt;PolicyEff),1,Milestones!$AC$172)&amp;";  ","")&amp;IF(AND(EDATE($D104,Milestones!$AA$173)&lt;=AsOfDate,EDATE($D104,Milestones!$AA$173)&gt;=SchemeStart,IF($X104=0,$AD104,IF(AND($Z104&lt;&gt;"",EDATE($D104,Milestones!$AA$173)&gt;=$Z104),$AC104,IF(AND($Y104&lt;&gt;"",EDATE($D104,Milestones!$AA$173)&gt;=$Y104),$AB104,$AA104)))=Milestones!$AB$173),UPPER(TEXT(EDATE($D104,Milestones!$AA$173),"dd mmm yy"))&amp;" "&amp;Milestones!$AB$173&amp;" "&amp;IF(AND(Milestones!$AB$173="FT",Milestones!$AA$173=FT_Y5,EDATE($D104,Milestones!$AA$173)&lt;PolicyEff),1,Milestones!$AC$173)&amp;";  ","")&amp;IF(AND(EDATE($D104,Milestones!$AA$174)&lt;=AsOfDate,EDATE($D104,Milestones!$AA$174)&gt;=SchemeStart,IF($X104=0,$AD104,IF(AND($Z104&lt;&gt;"",EDATE($D104,Milestones!$AA$174)&gt;=$Z104),$AC104,IF(AND($Y104&lt;&gt;"",EDATE($D104,Milestones!$AA$174)&gt;=$Y104),$AB104,$AA104)))=Milestones!$AB$174),UPPER(TEXT(EDATE($D104,Milestones!$AA$174),"dd mmm yy"))&amp;" "&amp;Milestones!$AB$174&amp;" "&amp;IF(AND(Milestones!$AB$174="FT",Milestones!$AA$174=FT_Y5,EDATE($D104,Milestones!$AA$174)&lt;PolicyEff),1,Milestones!$AC$174)&amp;";  ","")&amp;IF(AND(EDATE($D104,Milestones!$AA$175)&lt;=AsOfDate,EDATE($D104,Milestones!$AA$175)&gt;=SchemeStart,IF($X104=0,$AD104,IF(AND($Z104&lt;&gt;"",EDATE($D104,Milestones!$AA$175)&gt;=$Z104),$AC104,IF(AND($Y104&lt;&gt;"",EDATE($D104,Milestones!$AA$175)&gt;=$Y104),$AB104,$AA104)))=Milestones!$AB$175),UPPER(TEXT(EDATE($D104,Milestones!$AA$175),"dd mmm yy"))&amp;" "&amp;Milestones!$AB$175&amp;" "&amp;IF(AND(Milestones!$AB$175="FT",Milestones!$AA$175=FT_Y5,EDATE($D104,Milestones!$AA$175)&lt;PolicyEff),1,Milestones!$AC$175)&amp;";  ",""))</f>
        <v/>
      </c>
      <c r="V104" s="0" t="str">
        <f aca="false">IF(OR($A104="",$D104=""),"",IF(AND(EDATE($D104,Milestones!$AA$176)&lt;=AsOfDate,EDATE($D104,Milestones!$AA$176)&gt;=SchemeStart,IF($X104=0,$AD104,IF(AND($Z104&lt;&gt;"",EDATE($D104,Milestones!$AA$176)&gt;=$Z104),$AC104,IF(AND($Y104&lt;&gt;"",EDATE($D104,Milestones!$AA$176)&gt;=$Y104),$AB104,$AA104)))=Milestones!$AB$176),UPPER(TEXT(EDATE($D104,Milestones!$AA$176),"dd mmm yy"))&amp;" "&amp;Milestones!$AB$176&amp;" "&amp;IF(AND(Milestones!$AB$176="FT",Milestones!$AA$176=FT_Y5,EDATE($D104,Milestones!$AA$176)&lt;PolicyEff),1,Milestones!$AC$176)&amp;";  ","")&amp;IF(AND(EDATE($D104,Milestones!$AA$177)&lt;=AsOfDate,EDATE($D104,Milestones!$AA$177)&gt;=SchemeStart,IF($X104=0,$AD104,IF(AND($Z104&lt;&gt;"",EDATE($D104,Milestones!$AA$177)&gt;=$Z104),$AC104,IF(AND($Y104&lt;&gt;"",EDATE($D104,Milestones!$AA$177)&gt;=$Y104),$AB104,$AA104)))=Milestones!$AB$177),UPPER(TEXT(EDATE($D104,Milestones!$AA$177),"dd mmm yy"))&amp;" "&amp;Milestones!$AB$177&amp;" "&amp;IF(AND(Milestones!$AB$177="FT",Milestones!$AA$177=FT_Y5,EDATE($D104,Milestones!$AA$177)&lt;PolicyEff),1,Milestones!$AC$177)&amp;";  ","")&amp;IF(AND(EDATE($D104,Milestones!$AA$178)&lt;=AsOfDate,EDATE($D104,Milestones!$AA$178)&gt;=SchemeStart,IF($X104=0,$AD104,IF(AND($Z104&lt;&gt;"",EDATE($D104,Milestones!$AA$178)&gt;=$Z104),$AC104,IF(AND($Y104&lt;&gt;"",EDATE($D104,Milestones!$AA$178)&gt;=$Y104),$AB104,$AA104)))=Milestones!$AB$178),UPPER(TEXT(EDATE($D104,Milestones!$AA$178),"dd mmm yy"))&amp;" "&amp;Milestones!$AB$178&amp;" "&amp;IF(AND(Milestones!$AB$178="FT",Milestones!$AA$178=FT_Y5,EDATE($D104,Milestones!$AA$178)&lt;PolicyEff),1,Milestones!$AC$178)&amp;";  ","")&amp;IF(AND(EDATE($D104,Milestones!$AA$179)&lt;=AsOfDate,EDATE($D104,Milestones!$AA$179)&gt;=SchemeStart,IF($X104=0,$AD104,IF(AND($Z104&lt;&gt;"",EDATE($D104,Milestones!$AA$179)&gt;=$Z104),$AC104,IF(AND($Y104&lt;&gt;"",EDATE($D104,Milestones!$AA$179)&gt;=$Y104),$AB104,$AA104)))=Milestones!$AB$179),UPPER(TEXT(EDATE($D104,Milestones!$AA$179),"dd mmm yy"))&amp;" "&amp;Milestones!$AB$179&amp;" "&amp;IF(AND(Milestones!$AB$179="FT",Milestones!$AA$179=FT_Y5,EDATE($D104,Milestones!$AA$179)&lt;PolicyEff),1,Milestones!$AC$179)&amp;";  ","")&amp;IF(AND(EDATE($D104,Milestones!$AA$180)&lt;=AsOfDate,EDATE($D104,Milestones!$AA$180)&gt;=SchemeStart,IF($X104=0,$AD104,IF(AND($Z104&lt;&gt;"",EDATE($D104,Milestones!$AA$180)&gt;=$Z104),$AC104,IF(AND($Y104&lt;&gt;"",EDATE($D104,Milestones!$AA$180)&gt;=$Y104),$AB104,$AA104)))=Milestones!$AB$180),UPPER(TEXT(EDATE($D104,Milestones!$AA$180),"dd mmm yy"))&amp;" "&amp;Milestones!$AB$180&amp;" "&amp;IF(AND(Milestones!$AB$180="FT",Milestones!$AA$180=FT_Y5,EDATE($D104,Milestones!$AA$180)&lt;PolicyEff),1,Milestones!$AC$180)&amp;";  ","")&amp;IF(AND(EDATE($D104,Milestones!$AA$181)&lt;=AsOfDate,EDATE($D104,Milestones!$AA$181)&gt;=SchemeStart,IF($X104=0,$AD104,IF(AND($Z104&lt;&gt;"",EDATE($D104,Milestones!$AA$181)&gt;=$Z104),$AC104,IF(AND($Y104&lt;&gt;"",EDATE($D104,Milestones!$AA$181)&gt;=$Y104),$AB104,$AA104)))=Milestones!$AB$181),UPPER(TEXT(EDATE($D104,Milestones!$AA$181),"dd mmm yy"))&amp;" "&amp;Milestones!$AB$181&amp;" "&amp;IF(AND(Milestones!$AB$181="FT",Milestones!$AA$181=FT_Y5,EDATE($D104,Milestones!$AA$181)&lt;PolicyEff),1,Milestones!$AC$181)&amp;";  ","")&amp;IF(AND(EDATE($D104,Milestones!$AA$182)&lt;=AsOfDate,EDATE($D104,Milestones!$AA$182)&gt;=SchemeStart,IF($X104=0,$AD104,IF(AND($Z104&lt;&gt;"",EDATE($D104,Milestones!$AA$182)&gt;=$Z104),$AC104,IF(AND($Y104&lt;&gt;"",EDATE($D104,Milestones!$AA$182)&gt;=$Y104),$AB104,$AA104)))=Milestones!$AB$182),UPPER(TEXT(EDATE($D104,Milestones!$AA$182),"dd mmm yy"))&amp;" "&amp;Milestones!$AB$182&amp;" "&amp;IF(AND(Milestones!$AB$182="FT",Milestones!$AA$182=FT_Y5,EDATE($D104,Milestones!$AA$182)&lt;PolicyEff),1,Milestones!$AC$182)&amp;";  ","")&amp;IF(AND(EDATE($D104,Milestones!$AA$183)&lt;=AsOfDate,EDATE($D104,Milestones!$AA$183)&gt;=SchemeStart,IF($X104=0,$AD104,IF(AND($Z104&lt;&gt;"",EDATE($D104,Milestones!$AA$183)&gt;=$Z104),$AC104,IF(AND($Y104&lt;&gt;"",EDATE($D104,Milestones!$AA$183)&gt;=$Y104),$AB104,$AA104)))=Milestones!$AB$183),UPPER(TEXT(EDATE($D104,Milestones!$AA$183),"dd mmm yy"))&amp;" "&amp;Milestones!$AB$183&amp;" "&amp;IF(AND(Milestones!$AB$183="FT",Milestones!$AA$183=FT_Y5,EDATE($D104,Milestones!$AA$183)&lt;PolicyEff),1,Milestones!$AC$183)&amp;";  ","")&amp;IF(AND(EDATE($D104,Milestones!$AA$184)&lt;=AsOfDate,EDATE($D104,Milestones!$AA$184)&gt;=SchemeStart,IF($X104=0,$AD104,IF(AND($Z104&lt;&gt;"",EDATE($D104,Milestones!$AA$184)&gt;=$Z104),$AC104,IF(AND($Y104&lt;&gt;"",EDATE($D104,Milestones!$AA$184)&gt;=$Y104),$AB104,$AA104)))=Milestones!$AB$184),UPPER(TEXT(EDATE($D104,Milestones!$AA$184),"dd mmm yy"))&amp;" "&amp;Milestones!$AB$184&amp;" "&amp;IF(AND(Milestones!$AB$184="FT",Milestones!$AA$184=FT_Y5,EDATE($D104,Milestones!$AA$184)&lt;PolicyEff),1,Milestones!$AC$184)&amp;";  ","")&amp;IF(AND(EDATE($D104,Milestones!$AA$185)&lt;=AsOfDate,EDATE($D104,Milestones!$AA$185)&gt;=SchemeStart,IF($X104=0,$AD104,IF(AND($Z104&lt;&gt;"",EDATE($D104,Milestones!$AA$185)&gt;=$Z104),$AC104,IF(AND($Y104&lt;&gt;"",EDATE($D104,Milestones!$AA$185)&gt;=$Y104),$AB104,$AA104)))=Milestones!$AB$185),UPPER(TEXT(EDATE($D104,Milestones!$AA$185),"dd mmm yy"))&amp;" "&amp;Milestones!$AB$185&amp;" "&amp;IF(AND(Milestones!$AB$185="FT",Milestones!$AA$185=FT_Y5,EDATE($D104,Milestones!$AA$185)&lt;PolicyEff),1,Milestones!$AC$185)&amp;";  ","")&amp;IF(AND(EDATE($D104,Milestones!$AA$186)&lt;=AsOfDate,EDATE($D104,Milestones!$AA$186)&gt;=SchemeStart,IF($X104=0,$AD104,IF(AND($Z104&lt;&gt;"",EDATE($D104,Milestones!$AA$186)&gt;=$Z104),$AC104,IF(AND($Y104&lt;&gt;"",EDATE($D104,Milestones!$AA$186)&gt;=$Y104),$AB104,$AA104)))=Milestones!$AB$186),UPPER(TEXT(EDATE($D104,Milestones!$AA$186),"dd mmm yy"))&amp;" "&amp;Milestones!$AB$186&amp;" "&amp;IF(AND(Milestones!$AB$186="FT",Milestones!$AA$186=FT_Y5,EDATE($D104,Milestones!$AA$186)&lt;PolicyEff),1,Milestones!$AC$186)&amp;";  ","")&amp;IF(AND(EDATE($D104,Milestones!$AA$187)&lt;=AsOfDate,EDATE($D104,Milestones!$AA$187)&gt;=SchemeStart,IF($X104=0,$AD104,IF(AND($Z104&lt;&gt;"",EDATE($D104,Milestones!$AA$187)&gt;=$Z104),$AC104,IF(AND($Y104&lt;&gt;"",EDATE($D104,Milestones!$AA$187)&gt;=$Y104),$AB104,$AA104)))=Milestones!$AB$187),UPPER(TEXT(EDATE($D104,Milestones!$AA$187),"dd mmm yy"))&amp;" "&amp;Milestones!$AB$187&amp;" "&amp;IF(AND(Milestones!$AB$187="FT",Milestones!$AA$187=FT_Y5,EDATE($D104,Milestones!$AA$187)&lt;PolicyEff),1,Milestones!$AC$187)&amp;";  ",""))</f>
        <v/>
      </c>
      <c r="W104" s="0" t="str">
        <f aca="false">IF(OR($A104="",$D104=""),"",IF(AND(EDATE($D104,Milestones!$AA$188)&lt;=AsOfDate,EDATE($D104,Milestones!$AA$188)&gt;=SchemeStart,IF($X104=0,$AD104,IF(AND($Z104&lt;&gt;"",EDATE($D104,Milestones!$AA$188)&gt;=$Z104),$AC104,IF(AND($Y104&lt;&gt;"",EDATE($D104,Milestones!$AA$188)&gt;=$Y104),$AB104,$AA104)))=Milestones!$AB$188),UPPER(TEXT(EDATE($D104,Milestones!$AA$188),"dd mmm yy"))&amp;" "&amp;Milestones!$AB$188&amp;" "&amp;IF(AND(Milestones!$AB$188="FT",Milestones!$AA$188=FT_Y5,EDATE($D104,Milestones!$AA$188)&lt;PolicyEff),1,Milestones!$AC$188)&amp;";  ","")&amp;IF(AND(EDATE($D104,Milestones!$AA$189)&lt;=AsOfDate,EDATE($D104,Milestones!$AA$189)&gt;=SchemeStart,IF($X104=0,$AD104,IF(AND($Z104&lt;&gt;"",EDATE($D104,Milestones!$AA$189)&gt;=$Z104),$AC104,IF(AND($Y104&lt;&gt;"",EDATE($D104,Milestones!$AA$189)&gt;=$Y104),$AB104,$AA104)))=Milestones!$AB$189),UPPER(TEXT(EDATE($D104,Milestones!$AA$189),"dd mmm yy"))&amp;" "&amp;Milestones!$AB$189&amp;" "&amp;IF(AND(Milestones!$AB$189="FT",Milestones!$AA$189=FT_Y5,EDATE($D104,Milestones!$AA$189)&lt;PolicyEff),1,Milestones!$AC$189)&amp;";  ","")&amp;IF(AND(EDATE($D104,Milestones!$AA$190)&lt;=AsOfDate,EDATE($D104,Milestones!$AA$190)&gt;=SchemeStart,IF($X104=0,$AD104,IF(AND($Z104&lt;&gt;"",EDATE($D104,Milestones!$AA$190)&gt;=$Z104),$AC104,IF(AND($Y104&lt;&gt;"",EDATE($D104,Milestones!$AA$190)&gt;=$Y104),$AB104,$AA104)))=Milestones!$AB$190),UPPER(TEXT(EDATE($D104,Milestones!$AA$190),"dd mmm yy"))&amp;" "&amp;Milestones!$AB$190&amp;" "&amp;IF(AND(Milestones!$AB$190="FT",Milestones!$AA$190=FT_Y5,EDATE($D104,Milestones!$AA$190)&lt;PolicyEff),1,Milestones!$AC$190)&amp;";  ","")&amp;IF(AND(EDATE($D104,Milestones!$AA$191)&lt;=AsOfDate,EDATE($D104,Milestones!$AA$191)&gt;=SchemeStart,IF($X104=0,$AD104,IF(AND($Z104&lt;&gt;"",EDATE($D104,Milestones!$AA$191)&gt;=$Z104),$AC104,IF(AND($Y104&lt;&gt;"",EDATE($D104,Milestones!$AA$191)&gt;=$Y104),$AB104,$AA104)))=Milestones!$AB$191),UPPER(TEXT(EDATE($D104,Milestones!$AA$191),"dd mmm yy"))&amp;" "&amp;Milestones!$AB$191&amp;" "&amp;IF(AND(Milestones!$AB$191="FT",Milestones!$AA$191=FT_Y5,EDATE($D104,Milestones!$AA$191)&lt;PolicyEff),1,Milestones!$AC$191)&amp;";  ","")&amp;IF(AND(EDATE($D104,Milestones!$AA$192)&lt;=AsOfDate,EDATE($D104,Milestones!$AA$192)&gt;=SchemeStart,IF($X104=0,$AD104,IF(AND($Z104&lt;&gt;"",EDATE($D104,Milestones!$AA$192)&gt;=$Z104),$AC104,IF(AND($Y104&lt;&gt;"",EDATE($D104,Milestones!$AA$192)&gt;=$Y104),$AB104,$AA104)))=Milestones!$AB$192),UPPER(TEXT(EDATE($D104,Milestones!$AA$192),"dd mmm yy"))&amp;" "&amp;Milestones!$AB$192&amp;" "&amp;IF(AND(Milestones!$AB$192="FT",Milestones!$AA$192=FT_Y5,EDATE($D104,Milestones!$AA$192)&lt;PolicyEff),1,Milestones!$AC$192)&amp;";  ","")&amp;IF(AND(EDATE($D104,Milestones!$AA$193)&lt;=AsOfDate,EDATE($D104,Milestones!$AA$193)&gt;=SchemeStart,IF($X104=0,$AD104,IF(AND($Z104&lt;&gt;"",EDATE($D104,Milestones!$AA$193)&gt;=$Z104),$AC104,IF(AND($Y104&lt;&gt;"",EDATE($D104,Milestones!$AA$193)&gt;=$Y104),$AB104,$AA104)))=Milestones!$AB$193),UPPER(TEXT(EDATE($D104,Milestones!$AA$193),"dd mmm yy"))&amp;" "&amp;Milestones!$AB$193&amp;" "&amp;IF(AND(Milestones!$AB$193="FT",Milestones!$AA$193=FT_Y5,EDATE($D104,Milestones!$AA$193)&lt;PolicyEff),1,Milestones!$AC$193)&amp;";  ","")&amp;IF(AND(EDATE($D104,Milestones!$AA$194)&lt;=AsOfDate,EDATE($D104,Milestones!$AA$194)&gt;=SchemeStart,IF($X104=0,$AD104,IF(AND($Z104&lt;&gt;"",EDATE($D104,Milestones!$AA$194)&gt;=$Z104),$AC104,IF(AND($Y104&lt;&gt;"",EDATE($D104,Milestones!$AA$194)&gt;=$Y104),$AB104,$AA104)))=Milestones!$AB$194),UPPER(TEXT(EDATE($D104,Milestones!$AA$194),"dd mmm yy"))&amp;" "&amp;Milestones!$AB$194&amp;" "&amp;IF(AND(Milestones!$AB$194="FT",Milestones!$AA$194=FT_Y5,EDATE($D104,Milestones!$AA$194)&lt;PolicyEff),1,Milestones!$AC$194)&amp;";  ","")&amp;IF(AND(EDATE($D104,Milestones!$AA$195)&lt;=AsOfDate,EDATE($D104,Milestones!$AA$195)&gt;=SchemeStart,IF($X104=0,$AD104,IF(AND($Z104&lt;&gt;"",EDATE($D104,Milestones!$AA$195)&gt;=$Z104),$AC104,IF(AND($Y104&lt;&gt;"",EDATE($D104,Milestones!$AA$195)&gt;=$Y104),$AB104,$AA104)))=Milestones!$AB$195),UPPER(TEXT(EDATE($D104,Milestones!$AA$195),"dd mmm yy"))&amp;" "&amp;Milestones!$AB$195&amp;" "&amp;IF(AND(Milestones!$AB$195="FT",Milestones!$AA$195=FT_Y5,EDATE($D104,Milestones!$AA$195)&lt;PolicyEff),1,Milestones!$AC$195)&amp;";  ","")&amp;IF(AND(EDATE($D104,Milestones!$AA$196)&lt;=AsOfDate,EDATE($D104,Milestones!$AA$196)&gt;=SchemeStart,IF($X104=0,$AD104,IF(AND($Z104&lt;&gt;"",EDATE($D104,Milestones!$AA$196)&gt;=$Z104),$AC104,IF(AND($Y104&lt;&gt;"",EDATE($D104,Milestones!$AA$196)&gt;=$Y104),$AB104,$AA104)))=Milestones!$AB$196),UPPER(TEXT(EDATE($D104,Milestones!$AA$196),"dd mmm yy"))&amp;" "&amp;Milestones!$AB$196&amp;" "&amp;IF(AND(Milestones!$AB$196="FT",Milestones!$AA$196=FT_Y5,EDATE($D104,Milestones!$AA$196)&lt;PolicyEff),1,Milestones!$AC$196)&amp;";  ","")&amp;IF(AND(EDATE($D104,Milestones!$AA$197)&lt;=AsOfDate,EDATE($D104,Milestones!$AA$197)&gt;=SchemeStart,IF($X104=0,$AD104,IF(AND($Z104&lt;&gt;"",EDATE($D104,Milestones!$AA$197)&gt;=$Z104),$AC104,IF(AND($Y104&lt;&gt;"",EDATE($D104,Milestones!$AA$197)&gt;=$Y104),$AB104,$AA104)))=Milestones!$AB$197),UPPER(TEXT(EDATE($D104,Milestones!$AA$197),"dd mmm yy"))&amp;" "&amp;Milestones!$AB$197&amp;" "&amp;IF(AND(Milestones!$AB$197="FT",Milestones!$AA$197=FT_Y5,EDATE($D104,Milestones!$AA$197)&lt;PolicyEff),1,Milestones!$AC$197)&amp;";  ","")&amp;IF(AND(EDATE($D104,Milestones!$AA$198)&lt;=AsOfDate,EDATE($D104,Milestones!$AA$198)&gt;=SchemeStart,IF($X104=0,$AD104,IF(AND($Z104&lt;&gt;"",EDATE($D104,Milestones!$AA$198)&gt;=$Z104),$AC104,IF(AND($Y104&lt;&gt;"",EDATE($D104,Milestones!$AA$198)&gt;=$Y104),$AB104,$AA104)))=Milestones!$AB$198),UPPER(TEXT(EDATE($D104,Milestones!$AA$198),"dd mmm yy"))&amp;" "&amp;Milestones!$AB$198&amp;" "&amp;IF(AND(Milestones!$AB$198="FT",Milestones!$AA$198=FT_Y5,EDATE($D104,Milestones!$AA$198)&lt;PolicyEff),1,Milestones!$AC$198)&amp;";  ","")&amp;IF(AND(EDATE($D104,Milestones!$AA$199)&lt;=AsOfDate,EDATE($D104,Milestones!$AA$199)&gt;=SchemeStart,IF($X104=0,$AD104,IF(AND($Z104&lt;&gt;"",EDATE($D104,Milestones!$AA$199)&gt;=$Z104),$AC104,IF(AND($Y104&lt;&gt;"",EDATE($D104,Milestones!$AA$199)&gt;=$Y104),$AB104,$AA104)))=Milestones!$AB$199),UPPER(TEXT(EDATE($D104,Milestones!$AA$199),"dd mmm yy"))&amp;" "&amp;Milestones!$AB$199&amp;" "&amp;IF(AND(Milestones!$AB$199="FT",Milestones!$AA$199=FT_Y5,EDATE($D104,Milestones!$AA$199)&lt;PolicyEff),1,Milestones!$AC$199)&amp;";  ",""))</f>
        <v/>
      </c>
      <c r="X104" s="0" t="str">
        <f aca="false">IF(Staff!$A104="","",Staff!$AM104)</f>
        <v/>
      </c>
      <c r="Y104" s="0" t="str">
        <f aca="false">IF(Staff!$A104="","",Staff!$AO104)</f>
        <v/>
      </c>
      <c r="Z104" s="0" t="str">
        <f aca="false">IF(Staff!$A104="","",Staff!$AP104)</f>
        <v/>
      </c>
      <c r="AA104" s="0" t="str">
        <f aca="false">IF(Staff!$A104="","",Staff!$AT104)</f>
        <v/>
      </c>
      <c r="AB104" s="0" t="str">
        <f aca="false">IF(Staff!$A104="","",Staff!$AU104)</f>
        <v/>
      </c>
      <c r="AC104" s="0" t="str">
        <f aca="false">IF(Staff!$A104="","",Staff!$AV104)</f>
        <v/>
      </c>
      <c r="AD104" s="0" t="str">
        <f aca="false">IF(Staff!$A104="","",Staff!$AW104)</f>
        <v/>
      </c>
    </row>
    <row r="105" customFormat="false" ht="15" hidden="false" customHeight="false" outlineLevel="0" collapsed="false">
      <c r="A105" s="16" t="str">
        <f aca="false">IF(Staff!$A105="","",Staff!$A105)</f>
        <v/>
      </c>
      <c r="B105" s="16" t="str">
        <f aca="false">IF(Staff!$A105="","",Staff!$B105)</f>
        <v/>
      </c>
      <c r="C105" s="16" t="str">
        <f aca="false">IF(Staff!$A105="","",Staff!$C105)</f>
        <v/>
      </c>
      <c r="D105" s="14" t="str">
        <f aca="false">IF(Staff!$A105="","",Staff!$AL105)</f>
        <v/>
      </c>
      <c r="E105" s="16" t="str">
        <f aca="false">IF(Staff!$A105="","",Staff!$O105)</f>
        <v/>
      </c>
      <c r="F105" s="16" t="str">
        <f aca="false">IF(E105="","",E105*HoursPerDay)</f>
        <v/>
      </c>
      <c r="G105" s="16" t="str">
        <f aca="false">IF(Staff!$A105="","",Staff!$AE105)</f>
        <v/>
      </c>
      <c r="H105" s="28" t="str">
        <f aca="false">IF($A105="","",I105&amp;J105&amp;K105&amp;L105&amp;M105&amp;N105&amp;O105&amp;P105&amp;Q105&amp;R105&amp;S105&amp;T105&amp;U105&amp;V105&amp;W105)</f>
        <v/>
      </c>
      <c r="I105" s="0" t="str">
        <f aca="false">IF(OR($A105="",$D105=""),"",IF(AND(EDATE($D105,Milestones!$AA$20)&lt;=AsOfDate,EDATE($D105,Milestones!$AA$20)&gt;=SchemeStart,IF($X105=0,$AD105,IF(AND($Z105&lt;&gt;"",EDATE($D105,Milestones!$AA$20)&gt;=$Z105),$AC105,IF(AND($Y105&lt;&gt;"",EDATE($D105,Milestones!$AA$20)&gt;=$Y105),$AB105,$AA105)))=Milestones!$AB$20),UPPER(TEXT(EDATE($D105,Milestones!$AA$20),"dd mmm yy"))&amp;" "&amp;Milestones!$AB$20&amp;" "&amp;IF(AND(Milestones!$AB$20="FT",Milestones!$AA$20=FT_Y5,EDATE($D105,Milestones!$AA$20)&lt;PolicyEff),1,Milestones!$AC$20)&amp;";  ","")&amp;IF(AND(EDATE($D105,Milestones!$AA$21)&lt;=AsOfDate,EDATE($D105,Milestones!$AA$21)&gt;=SchemeStart,IF($X105=0,$AD105,IF(AND($Z105&lt;&gt;"",EDATE($D105,Milestones!$AA$21)&gt;=$Z105),$AC105,IF(AND($Y105&lt;&gt;"",EDATE($D105,Milestones!$AA$21)&gt;=$Y105),$AB105,$AA105)))=Milestones!$AB$21),UPPER(TEXT(EDATE($D105,Milestones!$AA$21),"dd mmm yy"))&amp;" "&amp;Milestones!$AB$21&amp;" "&amp;IF(AND(Milestones!$AB$21="FT",Milestones!$AA$21=FT_Y5,EDATE($D105,Milestones!$AA$21)&lt;PolicyEff),1,Milestones!$AC$21)&amp;";  ","")&amp;IF(AND(EDATE($D105,Milestones!$AA$22)&lt;=AsOfDate,EDATE($D105,Milestones!$AA$22)&gt;=SchemeStart,IF($X105=0,$AD105,IF(AND($Z105&lt;&gt;"",EDATE($D105,Milestones!$AA$22)&gt;=$Z105),$AC105,IF(AND($Y105&lt;&gt;"",EDATE($D105,Milestones!$AA$22)&gt;=$Y105),$AB105,$AA105)))=Milestones!$AB$22),UPPER(TEXT(EDATE($D105,Milestones!$AA$22),"dd mmm yy"))&amp;" "&amp;Milestones!$AB$22&amp;" "&amp;IF(AND(Milestones!$AB$22="FT",Milestones!$AA$22=FT_Y5,EDATE($D105,Milestones!$AA$22)&lt;PolicyEff),1,Milestones!$AC$22)&amp;";  ","")&amp;IF(AND(EDATE($D105,Milestones!$AA$23)&lt;=AsOfDate,EDATE($D105,Milestones!$AA$23)&gt;=SchemeStart,IF($X105=0,$AD105,IF(AND($Z105&lt;&gt;"",EDATE($D105,Milestones!$AA$23)&gt;=$Z105),$AC105,IF(AND($Y105&lt;&gt;"",EDATE($D105,Milestones!$AA$23)&gt;=$Y105),$AB105,$AA105)))=Milestones!$AB$23),UPPER(TEXT(EDATE($D105,Milestones!$AA$23),"dd mmm yy"))&amp;" "&amp;Milestones!$AB$23&amp;" "&amp;IF(AND(Milestones!$AB$23="FT",Milestones!$AA$23=FT_Y5,EDATE($D105,Milestones!$AA$23)&lt;PolicyEff),1,Milestones!$AC$23)&amp;";  ","")&amp;IF(AND(EDATE($D105,Milestones!$AA$24)&lt;=AsOfDate,EDATE($D105,Milestones!$AA$24)&gt;=SchemeStart,IF($X105=0,$AD105,IF(AND($Z105&lt;&gt;"",EDATE($D105,Milestones!$AA$24)&gt;=$Z105),$AC105,IF(AND($Y105&lt;&gt;"",EDATE($D105,Milestones!$AA$24)&gt;=$Y105),$AB105,$AA105)))=Milestones!$AB$24),UPPER(TEXT(EDATE($D105,Milestones!$AA$24),"dd mmm yy"))&amp;" "&amp;Milestones!$AB$24&amp;" "&amp;IF(AND(Milestones!$AB$24="FT",Milestones!$AA$24=FT_Y5,EDATE($D105,Milestones!$AA$24)&lt;PolicyEff),1,Milestones!$AC$24)&amp;";  ","")&amp;IF(AND(EDATE($D105,Milestones!$AA$25)&lt;=AsOfDate,EDATE($D105,Milestones!$AA$25)&gt;=SchemeStart,IF($X105=0,$AD105,IF(AND($Z105&lt;&gt;"",EDATE($D105,Milestones!$AA$25)&gt;=$Z105),$AC105,IF(AND($Y105&lt;&gt;"",EDATE($D105,Milestones!$AA$25)&gt;=$Y105),$AB105,$AA105)))=Milestones!$AB$25),UPPER(TEXT(EDATE($D105,Milestones!$AA$25),"dd mmm yy"))&amp;" "&amp;Milestones!$AB$25&amp;" "&amp;IF(AND(Milestones!$AB$25="FT",Milestones!$AA$25=FT_Y5,EDATE($D105,Milestones!$AA$25)&lt;PolicyEff),1,Milestones!$AC$25)&amp;";  ","")&amp;IF(AND(EDATE($D105,Milestones!$AA$26)&lt;=AsOfDate,EDATE($D105,Milestones!$AA$26)&gt;=SchemeStart,IF($X105=0,$AD105,IF(AND($Z105&lt;&gt;"",EDATE($D105,Milestones!$AA$26)&gt;=$Z105),$AC105,IF(AND($Y105&lt;&gt;"",EDATE($D105,Milestones!$AA$26)&gt;=$Y105),$AB105,$AA105)))=Milestones!$AB$26),UPPER(TEXT(EDATE($D105,Milestones!$AA$26),"dd mmm yy"))&amp;" "&amp;Milestones!$AB$26&amp;" "&amp;IF(AND(Milestones!$AB$26="FT",Milestones!$AA$26=FT_Y5,EDATE($D105,Milestones!$AA$26)&lt;PolicyEff),1,Milestones!$AC$26)&amp;";  ","")&amp;IF(AND(EDATE($D105,Milestones!$AA$27)&lt;=AsOfDate,EDATE($D105,Milestones!$AA$27)&gt;=SchemeStart,IF($X105=0,$AD105,IF(AND($Z105&lt;&gt;"",EDATE($D105,Milestones!$AA$27)&gt;=$Z105),$AC105,IF(AND($Y105&lt;&gt;"",EDATE($D105,Milestones!$AA$27)&gt;=$Y105),$AB105,$AA105)))=Milestones!$AB$27),UPPER(TEXT(EDATE($D105,Milestones!$AA$27),"dd mmm yy"))&amp;" "&amp;Milestones!$AB$27&amp;" "&amp;IF(AND(Milestones!$AB$27="FT",Milestones!$AA$27=FT_Y5,EDATE($D105,Milestones!$AA$27)&lt;PolicyEff),1,Milestones!$AC$27)&amp;";  ","")&amp;IF(AND(EDATE($D105,Milestones!$AA$28)&lt;=AsOfDate,EDATE($D105,Milestones!$AA$28)&gt;=SchemeStart,IF($X105=0,$AD105,IF(AND($Z105&lt;&gt;"",EDATE($D105,Milestones!$AA$28)&gt;=$Z105),$AC105,IF(AND($Y105&lt;&gt;"",EDATE($D105,Milestones!$AA$28)&gt;=$Y105),$AB105,$AA105)))=Milestones!$AB$28),UPPER(TEXT(EDATE($D105,Milestones!$AA$28),"dd mmm yy"))&amp;" "&amp;Milestones!$AB$28&amp;" "&amp;IF(AND(Milestones!$AB$28="FT",Milestones!$AA$28=FT_Y5,EDATE($D105,Milestones!$AA$28)&lt;PolicyEff),1,Milestones!$AC$28)&amp;";  ","")&amp;IF(AND(EDATE($D105,Milestones!$AA$29)&lt;=AsOfDate,EDATE($D105,Milestones!$AA$29)&gt;=SchemeStart,IF($X105=0,$AD105,IF(AND($Z105&lt;&gt;"",EDATE($D105,Milestones!$AA$29)&gt;=$Z105),$AC105,IF(AND($Y105&lt;&gt;"",EDATE($D105,Milestones!$AA$29)&gt;=$Y105),$AB105,$AA105)))=Milestones!$AB$29),UPPER(TEXT(EDATE($D105,Milestones!$AA$29),"dd mmm yy"))&amp;" "&amp;Milestones!$AB$29&amp;" "&amp;IF(AND(Milestones!$AB$29="FT",Milestones!$AA$29=FT_Y5,EDATE($D105,Milestones!$AA$29)&lt;PolicyEff),1,Milestones!$AC$29)&amp;";  ","")&amp;IF(AND(EDATE($D105,Milestones!$AA$30)&lt;=AsOfDate,EDATE($D105,Milestones!$AA$30)&gt;=SchemeStart,IF($X105=0,$AD105,IF(AND($Z105&lt;&gt;"",EDATE($D105,Milestones!$AA$30)&gt;=$Z105),$AC105,IF(AND($Y105&lt;&gt;"",EDATE($D105,Milestones!$AA$30)&gt;=$Y105),$AB105,$AA105)))=Milestones!$AB$30),UPPER(TEXT(EDATE($D105,Milestones!$AA$30),"dd mmm yy"))&amp;" "&amp;Milestones!$AB$30&amp;" "&amp;IF(AND(Milestones!$AB$30="FT",Milestones!$AA$30=FT_Y5,EDATE($D105,Milestones!$AA$30)&lt;PolicyEff),1,Milestones!$AC$30)&amp;";  ","")&amp;IF(AND(EDATE($D105,Milestones!$AA$31)&lt;=AsOfDate,EDATE($D105,Milestones!$AA$31)&gt;=SchemeStart,IF($X105=0,$AD105,IF(AND($Z105&lt;&gt;"",EDATE($D105,Milestones!$AA$31)&gt;=$Z105),$AC105,IF(AND($Y105&lt;&gt;"",EDATE($D105,Milestones!$AA$31)&gt;=$Y105),$AB105,$AA105)))=Milestones!$AB$31),UPPER(TEXT(EDATE($D105,Milestones!$AA$31),"dd mmm yy"))&amp;" "&amp;Milestones!$AB$31&amp;" "&amp;IF(AND(Milestones!$AB$31="FT",Milestones!$AA$31=FT_Y5,EDATE($D105,Milestones!$AA$31)&lt;PolicyEff),1,Milestones!$AC$31)&amp;";  ",""))</f>
        <v/>
      </c>
      <c r="J105" s="0" t="str">
        <f aca="false">IF(OR($A105="",$D105=""),"",IF(AND(EDATE($D105,Milestones!$AA$32)&lt;=AsOfDate,EDATE($D105,Milestones!$AA$32)&gt;=SchemeStart,IF($X105=0,$AD105,IF(AND($Z105&lt;&gt;"",EDATE($D105,Milestones!$AA$32)&gt;=$Z105),$AC105,IF(AND($Y105&lt;&gt;"",EDATE($D105,Milestones!$AA$32)&gt;=$Y105),$AB105,$AA105)))=Milestones!$AB$32),UPPER(TEXT(EDATE($D105,Milestones!$AA$32),"dd mmm yy"))&amp;" "&amp;Milestones!$AB$32&amp;" "&amp;IF(AND(Milestones!$AB$32="FT",Milestones!$AA$32=FT_Y5,EDATE($D105,Milestones!$AA$32)&lt;PolicyEff),1,Milestones!$AC$32)&amp;";  ","")&amp;IF(AND(EDATE($D105,Milestones!$AA$33)&lt;=AsOfDate,EDATE($D105,Milestones!$AA$33)&gt;=SchemeStart,IF($X105=0,$AD105,IF(AND($Z105&lt;&gt;"",EDATE($D105,Milestones!$AA$33)&gt;=$Z105),$AC105,IF(AND($Y105&lt;&gt;"",EDATE($D105,Milestones!$AA$33)&gt;=$Y105),$AB105,$AA105)))=Milestones!$AB$33),UPPER(TEXT(EDATE($D105,Milestones!$AA$33),"dd mmm yy"))&amp;" "&amp;Milestones!$AB$33&amp;" "&amp;IF(AND(Milestones!$AB$33="FT",Milestones!$AA$33=FT_Y5,EDATE($D105,Milestones!$AA$33)&lt;PolicyEff),1,Milestones!$AC$33)&amp;";  ","")&amp;IF(AND(EDATE($D105,Milestones!$AA$34)&lt;=AsOfDate,EDATE($D105,Milestones!$AA$34)&gt;=SchemeStart,IF($X105=0,$AD105,IF(AND($Z105&lt;&gt;"",EDATE($D105,Milestones!$AA$34)&gt;=$Z105),$AC105,IF(AND($Y105&lt;&gt;"",EDATE($D105,Milestones!$AA$34)&gt;=$Y105),$AB105,$AA105)))=Milestones!$AB$34),UPPER(TEXT(EDATE($D105,Milestones!$AA$34),"dd mmm yy"))&amp;" "&amp;Milestones!$AB$34&amp;" "&amp;IF(AND(Milestones!$AB$34="FT",Milestones!$AA$34=FT_Y5,EDATE($D105,Milestones!$AA$34)&lt;PolicyEff),1,Milestones!$AC$34)&amp;";  ","")&amp;IF(AND(EDATE($D105,Milestones!$AA$35)&lt;=AsOfDate,EDATE($D105,Milestones!$AA$35)&gt;=SchemeStart,IF($X105=0,$AD105,IF(AND($Z105&lt;&gt;"",EDATE($D105,Milestones!$AA$35)&gt;=$Z105),$AC105,IF(AND($Y105&lt;&gt;"",EDATE($D105,Milestones!$AA$35)&gt;=$Y105),$AB105,$AA105)))=Milestones!$AB$35),UPPER(TEXT(EDATE($D105,Milestones!$AA$35),"dd mmm yy"))&amp;" "&amp;Milestones!$AB$35&amp;" "&amp;IF(AND(Milestones!$AB$35="FT",Milestones!$AA$35=FT_Y5,EDATE($D105,Milestones!$AA$35)&lt;PolicyEff),1,Milestones!$AC$35)&amp;";  ","")&amp;IF(AND(EDATE($D105,Milestones!$AA$36)&lt;=AsOfDate,EDATE($D105,Milestones!$AA$36)&gt;=SchemeStart,IF($X105=0,$AD105,IF(AND($Z105&lt;&gt;"",EDATE($D105,Milestones!$AA$36)&gt;=$Z105),$AC105,IF(AND($Y105&lt;&gt;"",EDATE($D105,Milestones!$AA$36)&gt;=$Y105),$AB105,$AA105)))=Milestones!$AB$36),UPPER(TEXT(EDATE($D105,Milestones!$AA$36),"dd mmm yy"))&amp;" "&amp;Milestones!$AB$36&amp;" "&amp;IF(AND(Milestones!$AB$36="FT",Milestones!$AA$36=FT_Y5,EDATE($D105,Milestones!$AA$36)&lt;PolicyEff),1,Milestones!$AC$36)&amp;";  ","")&amp;IF(AND(EDATE($D105,Milestones!$AA$37)&lt;=AsOfDate,EDATE($D105,Milestones!$AA$37)&gt;=SchemeStart,IF($X105=0,$AD105,IF(AND($Z105&lt;&gt;"",EDATE($D105,Milestones!$AA$37)&gt;=$Z105),$AC105,IF(AND($Y105&lt;&gt;"",EDATE($D105,Milestones!$AA$37)&gt;=$Y105),$AB105,$AA105)))=Milestones!$AB$37),UPPER(TEXT(EDATE($D105,Milestones!$AA$37),"dd mmm yy"))&amp;" "&amp;Milestones!$AB$37&amp;" "&amp;IF(AND(Milestones!$AB$37="FT",Milestones!$AA$37=FT_Y5,EDATE($D105,Milestones!$AA$37)&lt;PolicyEff),1,Milestones!$AC$37)&amp;";  ","")&amp;IF(AND(EDATE($D105,Milestones!$AA$38)&lt;=AsOfDate,EDATE($D105,Milestones!$AA$38)&gt;=SchemeStart,IF($X105=0,$AD105,IF(AND($Z105&lt;&gt;"",EDATE($D105,Milestones!$AA$38)&gt;=$Z105),$AC105,IF(AND($Y105&lt;&gt;"",EDATE($D105,Milestones!$AA$38)&gt;=$Y105),$AB105,$AA105)))=Milestones!$AB$38),UPPER(TEXT(EDATE($D105,Milestones!$AA$38),"dd mmm yy"))&amp;" "&amp;Milestones!$AB$38&amp;" "&amp;IF(AND(Milestones!$AB$38="FT",Milestones!$AA$38=FT_Y5,EDATE($D105,Milestones!$AA$38)&lt;PolicyEff),1,Milestones!$AC$38)&amp;";  ","")&amp;IF(AND(EDATE($D105,Milestones!$AA$39)&lt;=AsOfDate,EDATE($D105,Milestones!$AA$39)&gt;=SchemeStart,IF($X105=0,$AD105,IF(AND($Z105&lt;&gt;"",EDATE($D105,Milestones!$AA$39)&gt;=$Z105),$AC105,IF(AND($Y105&lt;&gt;"",EDATE($D105,Milestones!$AA$39)&gt;=$Y105),$AB105,$AA105)))=Milestones!$AB$39),UPPER(TEXT(EDATE($D105,Milestones!$AA$39),"dd mmm yy"))&amp;" "&amp;Milestones!$AB$39&amp;" "&amp;IF(AND(Milestones!$AB$39="FT",Milestones!$AA$39=FT_Y5,EDATE($D105,Milestones!$AA$39)&lt;PolicyEff),1,Milestones!$AC$39)&amp;";  ","")&amp;IF(AND(EDATE($D105,Milestones!$AA$40)&lt;=AsOfDate,EDATE($D105,Milestones!$AA$40)&gt;=SchemeStart,IF($X105=0,$AD105,IF(AND($Z105&lt;&gt;"",EDATE($D105,Milestones!$AA$40)&gt;=$Z105),$AC105,IF(AND($Y105&lt;&gt;"",EDATE($D105,Milestones!$AA$40)&gt;=$Y105),$AB105,$AA105)))=Milestones!$AB$40),UPPER(TEXT(EDATE($D105,Milestones!$AA$40),"dd mmm yy"))&amp;" "&amp;Milestones!$AB$40&amp;" "&amp;IF(AND(Milestones!$AB$40="FT",Milestones!$AA$40=FT_Y5,EDATE($D105,Milestones!$AA$40)&lt;PolicyEff),1,Milestones!$AC$40)&amp;";  ","")&amp;IF(AND(EDATE($D105,Milestones!$AA$41)&lt;=AsOfDate,EDATE($D105,Milestones!$AA$41)&gt;=SchemeStart,IF($X105=0,$AD105,IF(AND($Z105&lt;&gt;"",EDATE($D105,Milestones!$AA$41)&gt;=$Z105),$AC105,IF(AND($Y105&lt;&gt;"",EDATE($D105,Milestones!$AA$41)&gt;=$Y105),$AB105,$AA105)))=Milestones!$AB$41),UPPER(TEXT(EDATE($D105,Milestones!$AA$41),"dd mmm yy"))&amp;" "&amp;Milestones!$AB$41&amp;" "&amp;IF(AND(Milestones!$AB$41="FT",Milestones!$AA$41=FT_Y5,EDATE($D105,Milestones!$AA$41)&lt;PolicyEff),1,Milestones!$AC$41)&amp;";  ","")&amp;IF(AND(EDATE($D105,Milestones!$AA$42)&lt;=AsOfDate,EDATE($D105,Milestones!$AA$42)&gt;=SchemeStart,IF($X105=0,$AD105,IF(AND($Z105&lt;&gt;"",EDATE($D105,Milestones!$AA$42)&gt;=$Z105),$AC105,IF(AND($Y105&lt;&gt;"",EDATE($D105,Milestones!$AA$42)&gt;=$Y105),$AB105,$AA105)))=Milestones!$AB$42),UPPER(TEXT(EDATE($D105,Milestones!$AA$42),"dd mmm yy"))&amp;" "&amp;Milestones!$AB$42&amp;" "&amp;IF(AND(Milestones!$AB$42="FT",Milestones!$AA$42=FT_Y5,EDATE($D105,Milestones!$AA$42)&lt;PolicyEff),1,Milestones!$AC$42)&amp;";  ","")&amp;IF(AND(EDATE($D105,Milestones!$AA$43)&lt;=AsOfDate,EDATE($D105,Milestones!$AA$43)&gt;=SchemeStart,IF($X105=0,$AD105,IF(AND($Z105&lt;&gt;"",EDATE($D105,Milestones!$AA$43)&gt;=$Z105),$AC105,IF(AND($Y105&lt;&gt;"",EDATE($D105,Milestones!$AA$43)&gt;=$Y105),$AB105,$AA105)))=Milestones!$AB$43),UPPER(TEXT(EDATE($D105,Milestones!$AA$43),"dd mmm yy"))&amp;" "&amp;Milestones!$AB$43&amp;" "&amp;IF(AND(Milestones!$AB$43="FT",Milestones!$AA$43=FT_Y5,EDATE($D105,Milestones!$AA$43)&lt;PolicyEff),1,Milestones!$AC$43)&amp;";  ",""))</f>
        <v/>
      </c>
      <c r="K105" s="0" t="str">
        <f aca="false">IF(OR($A105="",$D105=""),"",IF(AND(EDATE($D105,Milestones!$AA$44)&lt;=AsOfDate,EDATE($D105,Milestones!$AA$44)&gt;=SchemeStart,IF($X105=0,$AD105,IF(AND($Z105&lt;&gt;"",EDATE($D105,Milestones!$AA$44)&gt;=$Z105),$AC105,IF(AND($Y105&lt;&gt;"",EDATE($D105,Milestones!$AA$44)&gt;=$Y105),$AB105,$AA105)))=Milestones!$AB$44),UPPER(TEXT(EDATE($D105,Milestones!$AA$44),"dd mmm yy"))&amp;" "&amp;Milestones!$AB$44&amp;" "&amp;IF(AND(Milestones!$AB$44="FT",Milestones!$AA$44=FT_Y5,EDATE($D105,Milestones!$AA$44)&lt;PolicyEff),1,Milestones!$AC$44)&amp;";  ","")&amp;IF(AND(EDATE($D105,Milestones!$AA$45)&lt;=AsOfDate,EDATE($D105,Milestones!$AA$45)&gt;=SchemeStart,IF($X105=0,$AD105,IF(AND($Z105&lt;&gt;"",EDATE($D105,Milestones!$AA$45)&gt;=$Z105),$AC105,IF(AND($Y105&lt;&gt;"",EDATE($D105,Milestones!$AA$45)&gt;=$Y105),$AB105,$AA105)))=Milestones!$AB$45),UPPER(TEXT(EDATE($D105,Milestones!$AA$45),"dd mmm yy"))&amp;" "&amp;Milestones!$AB$45&amp;" "&amp;IF(AND(Milestones!$AB$45="FT",Milestones!$AA$45=FT_Y5,EDATE($D105,Milestones!$AA$45)&lt;PolicyEff),1,Milestones!$AC$45)&amp;";  ","")&amp;IF(AND(EDATE($D105,Milestones!$AA$46)&lt;=AsOfDate,EDATE($D105,Milestones!$AA$46)&gt;=SchemeStart,IF($X105=0,$AD105,IF(AND($Z105&lt;&gt;"",EDATE($D105,Milestones!$AA$46)&gt;=$Z105),$AC105,IF(AND($Y105&lt;&gt;"",EDATE($D105,Milestones!$AA$46)&gt;=$Y105),$AB105,$AA105)))=Milestones!$AB$46),UPPER(TEXT(EDATE($D105,Milestones!$AA$46),"dd mmm yy"))&amp;" "&amp;Milestones!$AB$46&amp;" "&amp;IF(AND(Milestones!$AB$46="FT",Milestones!$AA$46=FT_Y5,EDATE($D105,Milestones!$AA$46)&lt;PolicyEff),1,Milestones!$AC$46)&amp;";  ","")&amp;IF(AND(EDATE($D105,Milestones!$AA$47)&lt;=AsOfDate,EDATE($D105,Milestones!$AA$47)&gt;=SchemeStart,IF($X105=0,$AD105,IF(AND($Z105&lt;&gt;"",EDATE($D105,Milestones!$AA$47)&gt;=$Z105),$AC105,IF(AND($Y105&lt;&gt;"",EDATE($D105,Milestones!$AA$47)&gt;=$Y105),$AB105,$AA105)))=Milestones!$AB$47),UPPER(TEXT(EDATE($D105,Milestones!$AA$47),"dd mmm yy"))&amp;" "&amp;Milestones!$AB$47&amp;" "&amp;IF(AND(Milestones!$AB$47="FT",Milestones!$AA$47=FT_Y5,EDATE($D105,Milestones!$AA$47)&lt;PolicyEff),1,Milestones!$AC$47)&amp;";  ","")&amp;IF(AND(EDATE($D105,Milestones!$AA$48)&lt;=AsOfDate,EDATE($D105,Milestones!$AA$48)&gt;=SchemeStart,IF($X105=0,$AD105,IF(AND($Z105&lt;&gt;"",EDATE($D105,Milestones!$AA$48)&gt;=$Z105),$AC105,IF(AND($Y105&lt;&gt;"",EDATE($D105,Milestones!$AA$48)&gt;=$Y105),$AB105,$AA105)))=Milestones!$AB$48),UPPER(TEXT(EDATE($D105,Milestones!$AA$48),"dd mmm yy"))&amp;" "&amp;Milestones!$AB$48&amp;" "&amp;IF(AND(Milestones!$AB$48="FT",Milestones!$AA$48=FT_Y5,EDATE($D105,Milestones!$AA$48)&lt;PolicyEff),1,Milestones!$AC$48)&amp;";  ","")&amp;IF(AND(EDATE($D105,Milestones!$AA$49)&lt;=AsOfDate,EDATE($D105,Milestones!$AA$49)&gt;=SchemeStart,IF($X105=0,$AD105,IF(AND($Z105&lt;&gt;"",EDATE($D105,Milestones!$AA$49)&gt;=$Z105),$AC105,IF(AND($Y105&lt;&gt;"",EDATE($D105,Milestones!$AA$49)&gt;=$Y105),$AB105,$AA105)))=Milestones!$AB$49),UPPER(TEXT(EDATE($D105,Milestones!$AA$49),"dd mmm yy"))&amp;" "&amp;Milestones!$AB$49&amp;" "&amp;IF(AND(Milestones!$AB$49="FT",Milestones!$AA$49=FT_Y5,EDATE($D105,Milestones!$AA$49)&lt;PolicyEff),1,Milestones!$AC$49)&amp;";  ","")&amp;IF(AND(EDATE($D105,Milestones!$AA$50)&lt;=AsOfDate,EDATE($D105,Milestones!$AA$50)&gt;=SchemeStart,IF($X105=0,$AD105,IF(AND($Z105&lt;&gt;"",EDATE($D105,Milestones!$AA$50)&gt;=$Z105),$AC105,IF(AND($Y105&lt;&gt;"",EDATE($D105,Milestones!$AA$50)&gt;=$Y105),$AB105,$AA105)))=Milestones!$AB$50),UPPER(TEXT(EDATE($D105,Milestones!$AA$50),"dd mmm yy"))&amp;" "&amp;Milestones!$AB$50&amp;" "&amp;IF(AND(Milestones!$AB$50="FT",Milestones!$AA$50=FT_Y5,EDATE($D105,Milestones!$AA$50)&lt;PolicyEff),1,Milestones!$AC$50)&amp;";  ","")&amp;IF(AND(EDATE($D105,Milestones!$AA$51)&lt;=AsOfDate,EDATE($D105,Milestones!$AA$51)&gt;=SchemeStart,IF($X105=0,$AD105,IF(AND($Z105&lt;&gt;"",EDATE($D105,Milestones!$AA$51)&gt;=$Z105),$AC105,IF(AND($Y105&lt;&gt;"",EDATE($D105,Milestones!$AA$51)&gt;=$Y105),$AB105,$AA105)))=Milestones!$AB$51),UPPER(TEXT(EDATE($D105,Milestones!$AA$51),"dd mmm yy"))&amp;" "&amp;Milestones!$AB$51&amp;" "&amp;IF(AND(Milestones!$AB$51="FT",Milestones!$AA$51=FT_Y5,EDATE($D105,Milestones!$AA$51)&lt;PolicyEff),1,Milestones!$AC$51)&amp;";  ","")&amp;IF(AND(EDATE($D105,Milestones!$AA$52)&lt;=AsOfDate,EDATE($D105,Milestones!$AA$52)&gt;=SchemeStart,IF($X105=0,$AD105,IF(AND($Z105&lt;&gt;"",EDATE($D105,Milestones!$AA$52)&gt;=$Z105),$AC105,IF(AND($Y105&lt;&gt;"",EDATE($D105,Milestones!$AA$52)&gt;=$Y105),$AB105,$AA105)))=Milestones!$AB$52),UPPER(TEXT(EDATE($D105,Milestones!$AA$52),"dd mmm yy"))&amp;" "&amp;Milestones!$AB$52&amp;" "&amp;IF(AND(Milestones!$AB$52="FT",Milestones!$AA$52=FT_Y5,EDATE($D105,Milestones!$AA$52)&lt;PolicyEff),1,Milestones!$AC$52)&amp;";  ","")&amp;IF(AND(EDATE($D105,Milestones!$AA$53)&lt;=AsOfDate,EDATE($D105,Milestones!$AA$53)&gt;=SchemeStart,IF($X105=0,$AD105,IF(AND($Z105&lt;&gt;"",EDATE($D105,Milestones!$AA$53)&gt;=$Z105),$AC105,IF(AND($Y105&lt;&gt;"",EDATE($D105,Milestones!$AA$53)&gt;=$Y105),$AB105,$AA105)))=Milestones!$AB$53),UPPER(TEXT(EDATE($D105,Milestones!$AA$53),"dd mmm yy"))&amp;" "&amp;Milestones!$AB$53&amp;" "&amp;IF(AND(Milestones!$AB$53="FT",Milestones!$AA$53=FT_Y5,EDATE($D105,Milestones!$AA$53)&lt;PolicyEff),1,Milestones!$AC$53)&amp;";  ","")&amp;IF(AND(EDATE($D105,Milestones!$AA$54)&lt;=AsOfDate,EDATE($D105,Milestones!$AA$54)&gt;=SchemeStart,IF($X105=0,$AD105,IF(AND($Z105&lt;&gt;"",EDATE($D105,Milestones!$AA$54)&gt;=$Z105),$AC105,IF(AND($Y105&lt;&gt;"",EDATE($D105,Milestones!$AA$54)&gt;=$Y105),$AB105,$AA105)))=Milestones!$AB$54),UPPER(TEXT(EDATE($D105,Milestones!$AA$54),"dd mmm yy"))&amp;" "&amp;Milestones!$AB$54&amp;" "&amp;IF(AND(Milestones!$AB$54="FT",Milestones!$AA$54=FT_Y5,EDATE($D105,Milestones!$AA$54)&lt;PolicyEff),1,Milestones!$AC$54)&amp;";  ","")&amp;IF(AND(EDATE($D105,Milestones!$AA$55)&lt;=AsOfDate,EDATE($D105,Milestones!$AA$55)&gt;=SchemeStart,IF($X105=0,$AD105,IF(AND($Z105&lt;&gt;"",EDATE($D105,Milestones!$AA$55)&gt;=$Z105),$AC105,IF(AND($Y105&lt;&gt;"",EDATE($D105,Milestones!$AA$55)&gt;=$Y105),$AB105,$AA105)))=Milestones!$AB$55),UPPER(TEXT(EDATE($D105,Milestones!$AA$55),"dd mmm yy"))&amp;" "&amp;Milestones!$AB$55&amp;" "&amp;IF(AND(Milestones!$AB$55="FT",Milestones!$AA$55=FT_Y5,EDATE($D105,Milestones!$AA$55)&lt;PolicyEff),1,Milestones!$AC$55)&amp;";  ",""))</f>
        <v/>
      </c>
      <c r="L105" s="0" t="str">
        <f aca="false">IF(OR($A105="",$D105=""),"",IF(AND(EDATE($D105,Milestones!$AA$56)&lt;=AsOfDate,EDATE($D105,Milestones!$AA$56)&gt;=SchemeStart,IF($X105=0,$AD105,IF(AND($Z105&lt;&gt;"",EDATE($D105,Milestones!$AA$56)&gt;=$Z105),$AC105,IF(AND($Y105&lt;&gt;"",EDATE($D105,Milestones!$AA$56)&gt;=$Y105),$AB105,$AA105)))=Milestones!$AB$56),UPPER(TEXT(EDATE($D105,Milestones!$AA$56),"dd mmm yy"))&amp;" "&amp;Milestones!$AB$56&amp;" "&amp;IF(AND(Milestones!$AB$56="FT",Milestones!$AA$56=FT_Y5,EDATE($D105,Milestones!$AA$56)&lt;PolicyEff),1,Milestones!$AC$56)&amp;";  ","")&amp;IF(AND(EDATE($D105,Milestones!$AA$57)&lt;=AsOfDate,EDATE($D105,Milestones!$AA$57)&gt;=SchemeStart,IF($X105=0,$AD105,IF(AND($Z105&lt;&gt;"",EDATE($D105,Milestones!$AA$57)&gt;=$Z105),$AC105,IF(AND($Y105&lt;&gt;"",EDATE($D105,Milestones!$AA$57)&gt;=$Y105),$AB105,$AA105)))=Milestones!$AB$57),UPPER(TEXT(EDATE($D105,Milestones!$AA$57),"dd mmm yy"))&amp;" "&amp;Milestones!$AB$57&amp;" "&amp;IF(AND(Milestones!$AB$57="FT",Milestones!$AA$57=FT_Y5,EDATE($D105,Milestones!$AA$57)&lt;PolicyEff),1,Milestones!$AC$57)&amp;";  ","")&amp;IF(AND(EDATE($D105,Milestones!$AA$58)&lt;=AsOfDate,EDATE($D105,Milestones!$AA$58)&gt;=SchemeStart,IF($X105=0,$AD105,IF(AND($Z105&lt;&gt;"",EDATE($D105,Milestones!$AA$58)&gt;=$Z105),$AC105,IF(AND($Y105&lt;&gt;"",EDATE($D105,Milestones!$AA$58)&gt;=$Y105),$AB105,$AA105)))=Milestones!$AB$58),UPPER(TEXT(EDATE($D105,Milestones!$AA$58),"dd mmm yy"))&amp;" "&amp;Milestones!$AB$58&amp;" "&amp;IF(AND(Milestones!$AB$58="FT",Milestones!$AA$58=FT_Y5,EDATE($D105,Milestones!$AA$58)&lt;PolicyEff),1,Milestones!$AC$58)&amp;";  ","")&amp;IF(AND(EDATE($D105,Milestones!$AA$59)&lt;=AsOfDate,EDATE($D105,Milestones!$AA$59)&gt;=SchemeStart,IF($X105=0,$AD105,IF(AND($Z105&lt;&gt;"",EDATE($D105,Milestones!$AA$59)&gt;=$Z105),$AC105,IF(AND($Y105&lt;&gt;"",EDATE($D105,Milestones!$AA$59)&gt;=$Y105),$AB105,$AA105)))=Milestones!$AB$59),UPPER(TEXT(EDATE($D105,Milestones!$AA$59),"dd mmm yy"))&amp;" "&amp;Milestones!$AB$59&amp;" "&amp;IF(AND(Milestones!$AB$59="FT",Milestones!$AA$59=FT_Y5,EDATE($D105,Milestones!$AA$59)&lt;PolicyEff),1,Milestones!$AC$59)&amp;";  ","")&amp;IF(AND(EDATE($D105,Milestones!$AA$60)&lt;=AsOfDate,EDATE($D105,Milestones!$AA$60)&gt;=SchemeStart,IF($X105=0,$AD105,IF(AND($Z105&lt;&gt;"",EDATE($D105,Milestones!$AA$60)&gt;=$Z105),$AC105,IF(AND($Y105&lt;&gt;"",EDATE($D105,Milestones!$AA$60)&gt;=$Y105),$AB105,$AA105)))=Milestones!$AB$60),UPPER(TEXT(EDATE($D105,Milestones!$AA$60),"dd mmm yy"))&amp;" "&amp;Milestones!$AB$60&amp;" "&amp;IF(AND(Milestones!$AB$60="FT",Milestones!$AA$60=FT_Y5,EDATE($D105,Milestones!$AA$60)&lt;PolicyEff),1,Milestones!$AC$60)&amp;";  ","")&amp;IF(AND(EDATE($D105,Milestones!$AA$61)&lt;=AsOfDate,EDATE($D105,Milestones!$AA$61)&gt;=SchemeStart,IF($X105=0,$AD105,IF(AND($Z105&lt;&gt;"",EDATE($D105,Milestones!$AA$61)&gt;=$Z105),$AC105,IF(AND($Y105&lt;&gt;"",EDATE($D105,Milestones!$AA$61)&gt;=$Y105),$AB105,$AA105)))=Milestones!$AB$61),UPPER(TEXT(EDATE($D105,Milestones!$AA$61),"dd mmm yy"))&amp;" "&amp;Milestones!$AB$61&amp;" "&amp;IF(AND(Milestones!$AB$61="FT",Milestones!$AA$61=FT_Y5,EDATE($D105,Milestones!$AA$61)&lt;PolicyEff),1,Milestones!$AC$61)&amp;";  ","")&amp;IF(AND(EDATE($D105,Milestones!$AA$62)&lt;=AsOfDate,EDATE($D105,Milestones!$AA$62)&gt;=SchemeStart,IF($X105=0,$AD105,IF(AND($Z105&lt;&gt;"",EDATE($D105,Milestones!$AA$62)&gt;=$Z105),$AC105,IF(AND($Y105&lt;&gt;"",EDATE($D105,Milestones!$AA$62)&gt;=$Y105),$AB105,$AA105)))=Milestones!$AB$62),UPPER(TEXT(EDATE($D105,Milestones!$AA$62),"dd mmm yy"))&amp;" "&amp;Milestones!$AB$62&amp;" "&amp;IF(AND(Milestones!$AB$62="FT",Milestones!$AA$62=FT_Y5,EDATE($D105,Milestones!$AA$62)&lt;PolicyEff),1,Milestones!$AC$62)&amp;";  ","")&amp;IF(AND(EDATE($D105,Milestones!$AA$63)&lt;=AsOfDate,EDATE($D105,Milestones!$AA$63)&gt;=SchemeStart,IF($X105=0,$AD105,IF(AND($Z105&lt;&gt;"",EDATE($D105,Milestones!$AA$63)&gt;=$Z105),$AC105,IF(AND($Y105&lt;&gt;"",EDATE($D105,Milestones!$AA$63)&gt;=$Y105),$AB105,$AA105)))=Milestones!$AB$63),UPPER(TEXT(EDATE($D105,Milestones!$AA$63),"dd mmm yy"))&amp;" "&amp;Milestones!$AB$63&amp;" "&amp;IF(AND(Milestones!$AB$63="FT",Milestones!$AA$63=FT_Y5,EDATE($D105,Milestones!$AA$63)&lt;PolicyEff),1,Milestones!$AC$63)&amp;";  ","")&amp;IF(AND(EDATE($D105,Milestones!$AA$64)&lt;=AsOfDate,EDATE($D105,Milestones!$AA$64)&gt;=SchemeStart,IF($X105=0,$AD105,IF(AND($Z105&lt;&gt;"",EDATE($D105,Milestones!$AA$64)&gt;=$Z105),$AC105,IF(AND($Y105&lt;&gt;"",EDATE($D105,Milestones!$AA$64)&gt;=$Y105),$AB105,$AA105)))=Milestones!$AB$64),UPPER(TEXT(EDATE($D105,Milestones!$AA$64),"dd mmm yy"))&amp;" "&amp;Milestones!$AB$64&amp;" "&amp;IF(AND(Milestones!$AB$64="FT",Milestones!$AA$64=FT_Y5,EDATE($D105,Milestones!$AA$64)&lt;PolicyEff),1,Milestones!$AC$64)&amp;";  ","")&amp;IF(AND(EDATE($D105,Milestones!$AA$65)&lt;=AsOfDate,EDATE($D105,Milestones!$AA$65)&gt;=SchemeStart,IF($X105=0,$AD105,IF(AND($Z105&lt;&gt;"",EDATE($D105,Milestones!$AA$65)&gt;=$Z105),$AC105,IF(AND($Y105&lt;&gt;"",EDATE($D105,Milestones!$AA$65)&gt;=$Y105),$AB105,$AA105)))=Milestones!$AB$65),UPPER(TEXT(EDATE($D105,Milestones!$AA$65),"dd mmm yy"))&amp;" "&amp;Milestones!$AB$65&amp;" "&amp;IF(AND(Milestones!$AB$65="FT",Milestones!$AA$65=FT_Y5,EDATE($D105,Milestones!$AA$65)&lt;PolicyEff),1,Milestones!$AC$65)&amp;";  ","")&amp;IF(AND(EDATE($D105,Milestones!$AA$66)&lt;=AsOfDate,EDATE($D105,Milestones!$AA$66)&gt;=SchemeStart,IF($X105=0,$AD105,IF(AND($Z105&lt;&gt;"",EDATE($D105,Milestones!$AA$66)&gt;=$Z105),$AC105,IF(AND($Y105&lt;&gt;"",EDATE($D105,Milestones!$AA$66)&gt;=$Y105),$AB105,$AA105)))=Milestones!$AB$66),UPPER(TEXT(EDATE($D105,Milestones!$AA$66),"dd mmm yy"))&amp;" "&amp;Milestones!$AB$66&amp;" "&amp;IF(AND(Milestones!$AB$66="FT",Milestones!$AA$66=FT_Y5,EDATE($D105,Milestones!$AA$66)&lt;PolicyEff),1,Milestones!$AC$66)&amp;";  ","")&amp;IF(AND(EDATE($D105,Milestones!$AA$67)&lt;=AsOfDate,EDATE($D105,Milestones!$AA$67)&gt;=SchemeStart,IF($X105=0,$AD105,IF(AND($Z105&lt;&gt;"",EDATE($D105,Milestones!$AA$67)&gt;=$Z105),$AC105,IF(AND($Y105&lt;&gt;"",EDATE($D105,Milestones!$AA$67)&gt;=$Y105),$AB105,$AA105)))=Milestones!$AB$67),UPPER(TEXT(EDATE($D105,Milestones!$AA$67),"dd mmm yy"))&amp;" "&amp;Milestones!$AB$67&amp;" "&amp;IF(AND(Milestones!$AB$67="FT",Milestones!$AA$67=FT_Y5,EDATE($D105,Milestones!$AA$67)&lt;PolicyEff),1,Milestones!$AC$67)&amp;";  ",""))</f>
        <v/>
      </c>
      <c r="M105" s="0" t="str">
        <f aca="false">IF(OR($A105="",$D105=""),"",IF(AND(EDATE($D105,Milestones!$AA$68)&lt;=AsOfDate,EDATE($D105,Milestones!$AA$68)&gt;=SchemeStart,IF($X105=0,$AD105,IF(AND($Z105&lt;&gt;"",EDATE($D105,Milestones!$AA$68)&gt;=$Z105),$AC105,IF(AND($Y105&lt;&gt;"",EDATE($D105,Milestones!$AA$68)&gt;=$Y105),$AB105,$AA105)))=Milestones!$AB$68),UPPER(TEXT(EDATE($D105,Milestones!$AA$68),"dd mmm yy"))&amp;" "&amp;Milestones!$AB$68&amp;" "&amp;IF(AND(Milestones!$AB$68="FT",Milestones!$AA$68=FT_Y5,EDATE($D105,Milestones!$AA$68)&lt;PolicyEff),1,Milestones!$AC$68)&amp;";  ","")&amp;IF(AND(EDATE($D105,Milestones!$AA$69)&lt;=AsOfDate,EDATE($D105,Milestones!$AA$69)&gt;=SchemeStart,IF($X105=0,$AD105,IF(AND($Z105&lt;&gt;"",EDATE($D105,Milestones!$AA$69)&gt;=$Z105),$AC105,IF(AND($Y105&lt;&gt;"",EDATE($D105,Milestones!$AA$69)&gt;=$Y105),$AB105,$AA105)))=Milestones!$AB$69),UPPER(TEXT(EDATE($D105,Milestones!$AA$69),"dd mmm yy"))&amp;" "&amp;Milestones!$AB$69&amp;" "&amp;IF(AND(Milestones!$AB$69="FT",Milestones!$AA$69=FT_Y5,EDATE($D105,Milestones!$AA$69)&lt;PolicyEff),1,Milestones!$AC$69)&amp;";  ","")&amp;IF(AND(EDATE($D105,Milestones!$AA$70)&lt;=AsOfDate,EDATE($D105,Milestones!$AA$70)&gt;=SchemeStart,IF($X105=0,$AD105,IF(AND($Z105&lt;&gt;"",EDATE($D105,Milestones!$AA$70)&gt;=$Z105),$AC105,IF(AND($Y105&lt;&gt;"",EDATE($D105,Milestones!$AA$70)&gt;=$Y105),$AB105,$AA105)))=Milestones!$AB$70),UPPER(TEXT(EDATE($D105,Milestones!$AA$70),"dd mmm yy"))&amp;" "&amp;Milestones!$AB$70&amp;" "&amp;IF(AND(Milestones!$AB$70="FT",Milestones!$AA$70=FT_Y5,EDATE($D105,Milestones!$AA$70)&lt;PolicyEff),1,Milestones!$AC$70)&amp;";  ","")&amp;IF(AND(EDATE($D105,Milestones!$AA$71)&lt;=AsOfDate,EDATE($D105,Milestones!$AA$71)&gt;=SchemeStart,IF($X105=0,$AD105,IF(AND($Z105&lt;&gt;"",EDATE($D105,Milestones!$AA$71)&gt;=$Z105),$AC105,IF(AND($Y105&lt;&gt;"",EDATE($D105,Milestones!$AA$71)&gt;=$Y105),$AB105,$AA105)))=Milestones!$AB$71),UPPER(TEXT(EDATE($D105,Milestones!$AA$71),"dd mmm yy"))&amp;" "&amp;Milestones!$AB$71&amp;" "&amp;IF(AND(Milestones!$AB$71="FT",Milestones!$AA$71=FT_Y5,EDATE($D105,Milestones!$AA$71)&lt;PolicyEff),1,Milestones!$AC$71)&amp;";  ","")&amp;IF(AND(EDATE($D105,Milestones!$AA$72)&lt;=AsOfDate,EDATE($D105,Milestones!$AA$72)&gt;=SchemeStart,IF($X105=0,$AD105,IF(AND($Z105&lt;&gt;"",EDATE($D105,Milestones!$AA$72)&gt;=$Z105),$AC105,IF(AND($Y105&lt;&gt;"",EDATE($D105,Milestones!$AA$72)&gt;=$Y105),$AB105,$AA105)))=Milestones!$AB$72),UPPER(TEXT(EDATE($D105,Milestones!$AA$72),"dd mmm yy"))&amp;" "&amp;Milestones!$AB$72&amp;" "&amp;IF(AND(Milestones!$AB$72="FT",Milestones!$AA$72=FT_Y5,EDATE($D105,Milestones!$AA$72)&lt;PolicyEff),1,Milestones!$AC$72)&amp;";  ","")&amp;IF(AND(EDATE($D105,Milestones!$AA$73)&lt;=AsOfDate,EDATE($D105,Milestones!$AA$73)&gt;=SchemeStart,IF($X105=0,$AD105,IF(AND($Z105&lt;&gt;"",EDATE($D105,Milestones!$AA$73)&gt;=$Z105),$AC105,IF(AND($Y105&lt;&gt;"",EDATE($D105,Milestones!$AA$73)&gt;=$Y105),$AB105,$AA105)))=Milestones!$AB$73),UPPER(TEXT(EDATE($D105,Milestones!$AA$73),"dd mmm yy"))&amp;" "&amp;Milestones!$AB$73&amp;" "&amp;IF(AND(Milestones!$AB$73="FT",Milestones!$AA$73=FT_Y5,EDATE($D105,Milestones!$AA$73)&lt;PolicyEff),1,Milestones!$AC$73)&amp;";  ","")&amp;IF(AND(EDATE($D105,Milestones!$AA$74)&lt;=AsOfDate,EDATE($D105,Milestones!$AA$74)&gt;=SchemeStart,IF($X105=0,$AD105,IF(AND($Z105&lt;&gt;"",EDATE($D105,Milestones!$AA$74)&gt;=$Z105),$AC105,IF(AND($Y105&lt;&gt;"",EDATE($D105,Milestones!$AA$74)&gt;=$Y105),$AB105,$AA105)))=Milestones!$AB$74),UPPER(TEXT(EDATE($D105,Milestones!$AA$74),"dd mmm yy"))&amp;" "&amp;Milestones!$AB$74&amp;" "&amp;IF(AND(Milestones!$AB$74="FT",Milestones!$AA$74=FT_Y5,EDATE($D105,Milestones!$AA$74)&lt;PolicyEff),1,Milestones!$AC$74)&amp;";  ","")&amp;IF(AND(EDATE($D105,Milestones!$AA$75)&lt;=AsOfDate,EDATE($D105,Milestones!$AA$75)&gt;=SchemeStart,IF($X105=0,$AD105,IF(AND($Z105&lt;&gt;"",EDATE($D105,Milestones!$AA$75)&gt;=$Z105),$AC105,IF(AND($Y105&lt;&gt;"",EDATE($D105,Milestones!$AA$75)&gt;=$Y105),$AB105,$AA105)))=Milestones!$AB$75),UPPER(TEXT(EDATE($D105,Milestones!$AA$75),"dd mmm yy"))&amp;" "&amp;Milestones!$AB$75&amp;" "&amp;IF(AND(Milestones!$AB$75="FT",Milestones!$AA$75=FT_Y5,EDATE($D105,Milestones!$AA$75)&lt;PolicyEff),1,Milestones!$AC$75)&amp;";  ","")&amp;IF(AND(EDATE($D105,Milestones!$AA$76)&lt;=AsOfDate,EDATE($D105,Milestones!$AA$76)&gt;=SchemeStart,IF($X105=0,$AD105,IF(AND($Z105&lt;&gt;"",EDATE($D105,Milestones!$AA$76)&gt;=$Z105),$AC105,IF(AND($Y105&lt;&gt;"",EDATE($D105,Milestones!$AA$76)&gt;=$Y105),$AB105,$AA105)))=Milestones!$AB$76),UPPER(TEXT(EDATE($D105,Milestones!$AA$76),"dd mmm yy"))&amp;" "&amp;Milestones!$AB$76&amp;" "&amp;IF(AND(Milestones!$AB$76="FT",Milestones!$AA$76=FT_Y5,EDATE($D105,Milestones!$AA$76)&lt;PolicyEff),1,Milestones!$AC$76)&amp;";  ","")&amp;IF(AND(EDATE($D105,Milestones!$AA$77)&lt;=AsOfDate,EDATE($D105,Milestones!$AA$77)&gt;=SchemeStart,IF($X105=0,$AD105,IF(AND($Z105&lt;&gt;"",EDATE($D105,Milestones!$AA$77)&gt;=$Z105),$AC105,IF(AND($Y105&lt;&gt;"",EDATE($D105,Milestones!$AA$77)&gt;=$Y105),$AB105,$AA105)))=Milestones!$AB$77),UPPER(TEXT(EDATE($D105,Milestones!$AA$77),"dd mmm yy"))&amp;" "&amp;Milestones!$AB$77&amp;" "&amp;IF(AND(Milestones!$AB$77="FT",Milestones!$AA$77=FT_Y5,EDATE($D105,Milestones!$AA$77)&lt;PolicyEff),1,Milestones!$AC$77)&amp;";  ","")&amp;IF(AND(EDATE($D105,Milestones!$AA$78)&lt;=AsOfDate,EDATE($D105,Milestones!$AA$78)&gt;=SchemeStart,IF($X105=0,$AD105,IF(AND($Z105&lt;&gt;"",EDATE($D105,Milestones!$AA$78)&gt;=$Z105),$AC105,IF(AND($Y105&lt;&gt;"",EDATE($D105,Milestones!$AA$78)&gt;=$Y105),$AB105,$AA105)))=Milestones!$AB$78),UPPER(TEXT(EDATE($D105,Milestones!$AA$78),"dd mmm yy"))&amp;" "&amp;Milestones!$AB$78&amp;" "&amp;IF(AND(Milestones!$AB$78="FT",Milestones!$AA$78=FT_Y5,EDATE($D105,Milestones!$AA$78)&lt;PolicyEff),1,Milestones!$AC$78)&amp;";  ","")&amp;IF(AND(EDATE($D105,Milestones!$AA$79)&lt;=AsOfDate,EDATE($D105,Milestones!$AA$79)&gt;=SchemeStart,IF($X105=0,$AD105,IF(AND($Z105&lt;&gt;"",EDATE($D105,Milestones!$AA$79)&gt;=$Z105),$AC105,IF(AND($Y105&lt;&gt;"",EDATE($D105,Milestones!$AA$79)&gt;=$Y105),$AB105,$AA105)))=Milestones!$AB$79),UPPER(TEXT(EDATE($D105,Milestones!$AA$79),"dd mmm yy"))&amp;" "&amp;Milestones!$AB$79&amp;" "&amp;IF(AND(Milestones!$AB$79="FT",Milestones!$AA$79=FT_Y5,EDATE($D105,Milestones!$AA$79)&lt;PolicyEff),1,Milestones!$AC$79)&amp;";  ",""))</f>
        <v/>
      </c>
      <c r="N105" s="0" t="str">
        <f aca="false">IF(OR($A105="",$D105=""),"",IF(AND(EDATE($D105,Milestones!$AA$80)&lt;=AsOfDate,EDATE($D105,Milestones!$AA$80)&gt;=SchemeStart,IF($X105=0,$AD105,IF(AND($Z105&lt;&gt;"",EDATE($D105,Milestones!$AA$80)&gt;=$Z105),$AC105,IF(AND($Y105&lt;&gt;"",EDATE($D105,Milestones!$AA$80)&gt;=$Y105),$AB105,$AA105)))=Milestones!$AB$80),UPPER(TEXT(EDATE($D105,Milestones!$AA$80),"dd mmm yy"))&amp;" "&amp;Milestones!$AB$80&amp;" "&amp;IF(AND(Milestones!$AB$80="FT",Milestones!$AA$80=FT_Y5,EDATE($D105,Milestones!$AA$80)&lt;PolicyEff),1,Milestones!$AC$80)&amp;";  ","")&amp;IF(AND(EDATE($D105,Milestones!$AA$81)&lt;=AsOfDate,EDATE($D105,Milestones!$AA$81)&gt;=SchemeStart,IF($X105=0,$AD105,IF(AND($Z105&lt;&gt;"",EDATE($D105,Milestones!$AA$81)&gt;=$Z105),$AC105,IF(AND($Y105&lt;&gt;"",EDATE($D105,Milestones!$AA$81)&gt;=$Y105),$AB105,$AA105)))=Milestones!$AB$81),UPPER(TEXT(EDATE($D105,Milestones!$AA$81),"dd mmm yy"))&amp;" "&amp;Milestones!$AB$81&amp;" "&amp;IF(AND(Milestones!$AB$81="FT",Milestones!$AA$81=FT_Y5,EDATE($D105,Milestones!$AA$81)&lt;PolicyEff),1,Milestones!$AC$81)&amp;";  ","")&amp;IF(AND(EDATE($D105,Milestones!$AA$82)&lt;=AsOfDate,EDATE($D105,Milestones!$AA$82)&gt;=SchemeStart,IF($X105=0,$AD105,IF(AND($Z105&lt;&gt;"",EDATE($D105,Milestones!$AA$82)&gt;=$Z105),$AC105,IF(AND($Y105&lt;&gt;"",EDATE($D105,Milestones!$AA$82)&gt;=$Y105),$AB105,$AA105)))=Milestones!$AB$82),UPPER(TEXT(EDATE($D105,Milestones!$AA$82),"dd mmm yy"))&amp;" "&amp;Milestones!$AB$82&amp;" "&amp;IF(AND(Milestones!$AB$82="FT",Milestones!$AA$82=FT_Y5,EDATE($D105,Milestones!$AA$82)&lt;PolicyEff),1,Milestones!$AC$82)&amp;";  ","")&amp;IF(AND(EDATE($D105,Milestones!$AA$83)&lt;=AsOfDate,EDATE($D105,Milestones!$AA$83)&gt;=SchemeStart,IF($X105=0,$AD105,IF(AND($Z105&lt;&gt;"",EDATE($D105,Milestones!$AA$83)&gt;=$Z105),$AC105,IF(AND($Y105&lt;&gt;"",EDATE($D105,Milestones!$AA$83)&gt;=$Y105),$AB105,$AA105)))=Milestones!$AB$83),UPPER(TEXT(EDATE($D105,Milestones!$AA$83),"dd mmm yy"))&amp;" "&amp;Milestones!$AB$83&amp;" "&amp;IF(AND(Milestones!$AB$83="FT",Milestones!$AA$83=FT_Y5,EDATE($D105,Milestones!$AA$83)&lt;PolicyEff),1,Milestones!$AC$83)&amp;";  ","")&amp;IF(AND(EDATE($D105,Milestones!$AA$84)&lt;=AsOfDate,EDATE($D105,Milestones!$AA$84)&gt;=SchemeStart,IF($X105=0,$AD105,IF(AND($Z105&lt;&gt;"",EDATE($D105,Milestones!$AA$84)&gt;=$Z105),$AC105,IF(AND($Y105&lt;&gt;"",EDATE($D105,Milestones!$AA$84)&gt;=$Y105),$AB105,$AA105)))=Milestones!$AB$84),UPPER(TEXT(EDATE($D105,Milestones!$AA$84),"dd mmm yy"))&amp;" "&amp;Milestones!$AB$84&amp;" "&amp;IF(AND(Milestones!$AB$84="FT",Milestones!$AA$84=FT_Y5,EDATE($D105,Milestones!$AA$84)&lt;PolicyEff),1,Milestones!$AC$84)&amp;";  ","")&amp;IF(AND(EDATE($D105,Milestones!$AA$85)&lt;=AsOfDate,EDATE($D105,Milestones!$AA$85)&gt;=SchemeStart,IF($X105=0,$AD105,IF(AND($Z105&lt;&gt;"",EDATE($D105,Milestones!$AA$85)&gt;=$Z105),$AC105,IF(AND($Y105&lt;&gt;"",EDATE($D105,Milestones!$AA$85)&gt;=$Y105),$AB105,$AA105)))=Milestones!$AB$85),UPPER(TEXT(EDATE($D105,Milestones!$AA$85),"dd mmm yy"))&amp;" "&amp;Milestones!$AB$85&amp;" "&amp;IF(AND(Milestones!$AB$85="FT",Milestones!$AA$85=FT_Y5,EDATE($D105,Milestones!$AA$85)&lt;PolicyEff),1,Milestones!$AC$85)&amp;";  ","")&amp;IF(AND(EDATE($D105,Milestones!$AA$86)&lt;=AsOfDate,EDATE($D105,Milestones!$AA$86)&gt;=SchemeStart,IF($X105=0,$AD105,IF(AND($Z105&lt;&gt;"",EDATE($D105,Milestones!$AA$86)&gt;=$Z105),$AC105,IF(AND($Y105&lt;&gt;"",EDATE($D105,Milestones!$AA$86)&gt;=$Y105),$AB105,$AA105)))=Milestones!$AB$86),UPPER(TEXT(EDATE($D105,Milestones!$AA$86),"dd mmm yy"))&amp;" "&amp;Milestones!$AB$86&amp;" "&amp;IF(AND(Milestones!$AB$86="FT",Milestones!$AA$86=FT_Y5,EDATE($D105,Milestones!$AA$86)&lt;PolicyEff),1,Milestones!$AC$86)&amp;";  ","")&amp;IF(AND(EDATE($D105,Milestones!$AA$87)&lt;=AsOfDate,EDATE($D105,Milestones!$AA$87)&gt;=SchemeStart,IF($X105=0,$AD105,IF(AND($Z105&lt;&gt;"",EDATE($D105,Milestones!$AA$87)&gt;=$Z105),$AC105,IF(AND($Y105&lt;&gt;"",EDATE($D105,Milestones!$AA$87)&gt;=$Y105),$AB105,$AA105)))=Milestones!$AB$87),UPPER(TEXT(EDATE($D105,Milestones!$AA$87),"dd mmm yy"))&amp;" "&amp;Milestones!$AB$87&amp;" "&amp;IF(AND(Milestones!$AB$87="FT",Milestones!$AA$87=FT_Y5,EDATE($D105,Milestones!$AA$87)&lt;PolicyEff),1,Milestones!$AC$87)&amp;";  ","")&amp;IF(AND(EDATE($D105,Milestones!$AA$88)&lt;=AsOfDate,EDATE($D105,Milestones!$AA$88)&gt;=SchemeStart,IF($X105=0,$AD105,IF(AND($Z105&lt;&gt;"",EDATE($D105,Milestones!$AA$88)&gt;=$Z105),$AC105,IF(AND($Y105&lt;&gt;"",EDATE($D105,Milestones!$AA$88)&gt;=$Y105),$AB105,$AA105)))=Milestones!$AB$88),UPPER(TEXT(EDATE($D105,Milestones!$AA$88),"dd mmm yy"))&amp;" "&amp;Milestones!$AB$88&amp;" "&amp;IF(AND(Milestones!$AB$88="FT",Milestones!$AA$88=FT_Y5,EDATE($D105,Milestones!$AA$88)&lt;PolicyEff),1,Milestones!$AC$88)&amp;";  ","")&amp;IF(AND(EDATE($D105,Milestones!$AA$89)&lt;=AsOfDate,EDATE($D105,Milestones!$AA$89)&gt;=SchemeStart,IF($X105=0,$AD105,IF(AND($Z105&lt;&gt;"",EDATE($D105,Milestones!$AA$89)&gt;=$Z105),$AC105,IF(AND($Y105&lt;&gt;"",EDATE($D105,Milestones!$AA$89)&gt;=$Y105),$AB105,$AA105)))=Milestones!$AB$89),UPPER(TEXT(EDATE($D105,Milestones!$AA$89),"dd mmm yy"))&amp;" "&amp;Milestones!$AB$89&amp;" "&amp;IF(AND(Milestones!$AB$89="FT",Milestones!$AA$89=FT_Y5,EDATE($D105,Milestones!$AA$89)&lt;PolicyEff),1,Milestones!$AC$89)&amp;";  ","")&amp;IF(AND(EDATE($D105,Milestones!$AA$90)&lt;=AsOfDate,EDATE($D105,Milestones!$AA$90)&gt;=SchemeStart,IF($X105=0,$AD105,IF(AND($Z105&lt;&gt;"",EDATE($D105,Milestones!$AA$90)&gt;=$Z105),$AC105,IF(AND($Y105&lt;&gt;"",EDATE($D105,Milestones!$AA$90)&gt;=$Y105),$AB105,$AA105)))=Milestones!$AB$90),UPPER(TEXT(EDATE($D105,Milestones!$AA$90),"dd mmm yy"))&amp;" "&amp;Milestones!$AB$90&amp;" "&amp;IF(AND(Milestones!$AB$90="FT",Milestones!$AA$90=FT_Y5,EDATE($D105,Milestones!$AA$90)&lt;PolicyEff),1,Milestones!$AC$90)&amp;";  ","")&amp;IF(AND(EDATE($D105,Milestones!$AA$91)&lt;=AsOfDate,EDATE($D105,Milestones!$AA$91)&gt;=SchemeStart,IF($X105=0,$AD105,IF(AND($Z105&lt;&gt;"",EDATE($D105,Milestones!$AA$91)&gt;=$Z105),$AC105,IF(AND($Y105&lt;&gt;"",EDATE($D105,Milestones!$AA$91)&gt;=$Y105),$AB105,$AA105)))=Milestones!$AB$91),UPPER(TEXT(EDATE($D105,Milestones!$AA$91),"dd mmm yy"))&amp;" "&amp;Milestones!$AB$91&amp;" "&amp;IF(AND(Milestones!$AB$91="FT",Milestones!$AA$91=FT_Y5,EDATE($D105,Milestones!$AA$91)&lt;PolicyEff),1,Milestones!$AC$91)&amp;";  ",""))</f>
        <v/>
      </c>
      <c r="O105" s="0" t="str">
        <f aca="false">IF(OR($A105="",$D105=""),"",IF(AND(EDATE($D105,Milestones!$AA$92)&lt;=AsOfDate,EDATE($D105,Milestones!$AA$92)&gt;=SchemeStart,IF($X105=0,$AD105,IF(AND($Z105&lt;&gt;"",EDATE($D105,Milestones!$AA$92)&gt;=$Z105),$AC105,IF(AND($Y105&lt;&gt;"",EDATE($D105,Milestones!$AA$92)&gt;=$Y105),$AB105,$AA105)))=Milestones!$AB$92),UPPER(TEXT(EDATE($D105,Milestones!$AA$92),"dd mmm yy"))&amp;" "&amp;Milestones!$AB$92&amp;" "&amp;IF(AND(Milestones!$AB$92="FT",Milestones!$AA$92=FT_Y5,EDATE($D105,Milestones!$AA$92)&lt;PolicyEff),1,Milestones!$AC$92)&amp;";  ","")&amp;IF(AND(EDATE($D105,Milestones!$AA$93)&lt;=AsOfDate,EDATE($D105,Milestones!$AA$93)&gt;=SchemeStart,IF($X105=0,$AD105,IF(AND($Z105&lt;&gt;"",EDATE($D105,Milestones!$AA$93)&gt;=$Z105),$AC105,IF(AND($Y105&lt;&gt;"",EDATE($D105,Milestones!$AA$93)&gt;=$Y105),$AB105,$AA105)))=Milestones!$AB$93),UPPER(TEXT(EDATE($D105,Milestones!$AA$93),"dd mmm yy"))&amp;" "&amp;Milestones!$AB$93&amp;" "&amp;IF(AND(Milestones!$AB$93="FT",Milestones!$AA$93=FT_Y5,EDATE($D105,Milestones!$AA$93)&lt;PolicyEff),1,Milestones!$AC$93)&amp;";  ","")&amp;IF(AND(EDATE($D105,Milestones!$AA$94)&lt;=AsOfDate,EDATE($D105,Milestones!$AA$94)&gt;=SchemeStart,IF($X105=0,$AD105,IF(AND($Z105&lt;&gt;"",EDATE($D105,Milestones!$AA$94)&gt;=$Z105),$AC105,IF(AND($Y105&lt;&gt;"",EDATE($D105,Milestones!$AA$94)&gt;=$Y105),$AB105,$AA105)))=Milestones!$AB$94),UPPER(TEXT(EDATE($D105,Milestones!$AA$94),"dd mmm yy"))&amp;" "&amp;Milestones!$AB$94&amp;" "&amp;IF(AND(Milestones!$AB$94="FT",Milestones!$AA$94=FT_Y5,EDATE($D105,Milestones!$AA$94)&lt;PolicyEff),1,Milestones!$AC$94)&amp;";  ","")&amp;IF(AND(EDATE($D105,Milestones!$AA$95)&lt;=AsOfDate,EDATE($D105,Milestones!$AA$95)&gt;=SchemeStart,IF($X105=0,$AD105,IF(AND($Z105&lt;&gt;"",EDATE($D105,Milestones!$AA$95)&gt;=$Z105),$AC105,IF(AND($Y105&lt;&gt;"",EDATE($D105,Milestones!$AA$95)&gt;=$Y105),$AB105,$AA105)))=Milestones!$AB$95),UPPER(TEXT(EDATE($D105,Milestones!$AA$95),"dd mmm yy"))&amp;" "&amp;Milestones!$AB$95&amp;" "&amp;IF(AND(Milestones!$AB$95="FT",Milestones!$AA$95=FT_Y5,EDATE($D105,Milestones!$AA$95)&lt;PolicyEff),1,Milestones!$AC$95)&amp;";  ","")&amp;IF(AND(EDATE($D105,Milestones!$AA$96)&lt;=AsOfDate,EDATE($D105,Milestones!$AA$96)&gt;=SchemeStart,IF($X105=0,$AD105,IF(AND($Z105&lt;&gt;"",EDATE($D105,Milestones!$AA$96)&gt;=$Z105),$AC105,IF(AND($Y105&lt;&gt;"",EDATE($D105,Milestones!$AA$96)&gt;=$Y105),$AB105,$AA105)))=Milestones!$AB$96),UPPER(TEXT(EDATE($D105,Milestones!$AA$96),"dd mmm yy"))&amp;" "&amp;Milestones!$AB$96&amp;" "&amp;IF(AND(Milestones!$AB$96="FT",Milestones!$AA$96=FT_Y5,EDATE($D105,Milestones!$AA$96)&lt;PolicyEff),1,Milestones!$AC$96)&amp;";  ","")&amp;IF(AND(EDATE($D105,Milestones!$AA$97)&lt;=AsOfDate,EDATE($D105,Milestones!$AA$97)&gt;=SchemeStart,IF($X105=0,$AD105,IF(AND($Z105&lt;&gt;"",EDATE($D105,Milestones!$AA$97)&gt;=$Z105),$AC105,IF(AND($Y105&lt;&gt;"",EDATE($D105,Milestones!$AA$97)&gt;=$Y105),$AB105,$AA105)))=Milestones!$AB$97),UPPER(TEXT(EDATE($D105,Milestones!$AA$97),"dd mmm yy"))&amp;" "&amp;Milestones!$AB$97&amp;" "&amp;IF(AND(Milestones!$AB$97="FT",Milestones!$AA$97=FT_Y5,EDATE($D105,Milestones!$AA$97)&lt;PolicyEff),1,Milestones!$AC$97)&amp;";  ","")&amp;IF(AND(EDATE($D105,Milestones!$AA$98)&lt;=AsOfDate,EDATE($D105,Milestones!$AA$98)&gt;=SchemeStart,IF($X105=0,$AD105,IF(AND($Z105&lt;&gt;"",EDATE($D105,Milestones!$AA$98)&gt;=$Z105),$AC105,IF(AND($Y105&lt;&gt;"",EDATE($D105,Milestones!$AA$98)&gt;=$Y105),$AB105,$AA105)))=Milestones!$AB$98),UPPER(TEXT(EDATE($D105,Milestones!$AA$98),"dd mmm yy"))&amp;" "&amp;Milestones!$AB$98&amp;" "&amp;IF(AND(Milestones!$AB$98="FT",Milestones!$AA$98=FT_Y5,EDATE($D105,Milestones!$AA$98)&lt;PolicyEff),1,Milestones!$AC$98)&amp;";  ","")&amp;IF(AND(EDATE($D105,Milestones!$AA$99)&lt;=AsOfDate,EDATE($D105,Milestones!$AA$99)&gt;=SchemeStart,IF($X105=0,$AD105,IF(AND($Z105&lt;&gt;"",EDATE($D105,Milestones!$AA$99)&gt;=$Z105),$AC105,IF(AND($Y105&lt;&gt;"",EDATE($D105,Milestones!$AA$99)&gt;=$Y105),$AB105,$AA105)))=Milestones!$AB$99),UPPER(TEXT(EDATE($D105,Milestones!$AA$99),"dd mmm yy"))&amp;" "&amp;Milestones!$AB$99&amp;" "&amp;IF(AND(Milestones!$AB$99="FT",Milestones!$AA$99=FT_Y5,EDATE($D105,Milestones!$AA$99)&lt;PolicyEff),1,Milestones!$AC$99)&amp;";  ","")&amp;IF(AND(EDATE($D105,Milestones!$AA$100)&lt;=AsOfDate,EDATE($D105,Milestones!$AA$100)&gt;=SchemeStart,IF($X105=0,$AD105,IF(AND($Z105&lt;&gt;"",EDATE($D105,Milestones!$AA$100)&gt;=$Z105),$AC105,IF(AND($Y105&lt;&gt;"",EDATE($D105,Milestones!$AA$100)&gt;=$Y105),$AB105,$AA105)))=Milestones!$AB$100),UPPER(TEXT(EDATE($D105,Milestones!$AA$100),"dd mmm yy"))&amp;" "&amp;Milestones!$AB$100&amp;" "&amp;IF(AND(Milestones!$AB$100="FT",Milestones!$AA$100=FT_Y5,EDATE($D105,Milestones!$AA$100)&lt;PolicyEff),1,Milestones!$AC$100)&amp;";  ","")&amp;IF(AND(EDATE($D105,Milestones!$AA$101)&lt;=AsOfDate,EDATE($D105,Milestones!$AA$101)&gt;=SchemeStart,IF($X105=0,$AD105,IF(AND($Z105&lt;&gt;"",EDATE($D105,Milestones!$AA$101)&gt;=$Z105),$AC105,IF(AND($Y105&lt;&gt;"",EDATE($D105,Milestones!$AA$101)&gt;=$Y105),$AB105,$AA105)))=Milestones!$AB$101),UPPER(TEXT(EDATE($D105,Milestones!$AA$101),"dd mmm yy"))&amp;" "&amp;Milestones!$AB$101&amp;" "&amp;IF(AND(Milestones!$AB$101="FT",Milestones!$AA$101=FT_Y5,EDATE($D105,Milestones!$AA$101)&lt;PolicyEff),1,Milestones!$AC$101)&amp;";  ","")&amp;IF(AND(EDATE($D105,Milestones!$AA$102)&lt;=AsOfDate,EDATE($D105,Milestones!$AA$102)&gt;=SchemeStart,IF($X105=0,$AD105,IF(AND($Z105&lt;&gt;"",EDATE($D105,Milestones!$AA$102)&gt;=$Z105),$AC105,IF(AND($Y105&lt;&gt;"",EDATE($D105,Milestones!$AA$102)&gt;=$Y105),$AB105,$AA105)))=Milestones!$AB$102),UPPER(TEXT(EDATE($D105,Milestones!$AA$102),"dd mmm yy"))&amp;" "&amp;Milestones!$AB$102&amp;" "&amp;IF(AND(Milestones!$AB$102="FT",Milestones!$AA$102=FT_Y5,EDATE($D105,Milestones!$AA$102)&lt;PolicyEff),1,Milestones!$AC$102)&amp;";  ","")&amp;IF(AND(EDATE($D105,Milestones!$AA$103)&lt;=AsOfDate,EDATE($D105,Milestones!$AA$103)&gt;=SchemeStart,IF($X105=0,$AD105,IF(AND($Z105&lt;&gt;"",EDATE($D105,Milestones!$AA$103)&gt;=$Z105),$AC105,IF(AND($Y105&lt;&gt;"",EDATE($D105,Milestones!$AA$103)&gt;=$Y105),$AB105,$AA105)))=Milestones!$AB$103),UPPER(TEXT(EDATE($D105,Milestones!$AA$103),"dd mmm yy"))&amp;" "&amp;Milestones!$AB$103&amp;" "&amp;IF(AND(Milestones!$AB$103="FT",Milestones!$AA$103=FT_Y5,EDATE($D105,Milestones!$AA$103)&lt;PolicyEff),1,Milestones!$AC$103)&amp;";  ",""))</f>
        <v/>
      </c>
      <c r="P105" s="0" t="str">
        <f aca="false">IF(OR($A105="",$D105=""),"",IF(AND(EDATE($D105,Milestones!$AA$104)&lt;=AsOfDate,EDATE($D105,Milestones!$AA$104)&gt;=SchemeStart,IF($X105=0,$AD105,IF(AND($Z105&lt;&gt;"",EDATE($D105,Milestones!$AA$104)&gt;=$Z105),$AC105,IF(AND($Y105&lt;&gt;"",EDATE($D105,Milestones!$AA$104)&gt;=$Y105),$AB105,$AA105)))=Milestones!$AB$104),UPPER(TEXT(EDATE($D105,Milestones!$AA$104),"dd mmm yy"))&amp;" "&amp;Milestones!$AB$104&amp;" "&amp;IF(AND(Milestones!$AB$104="FT",Milestones!$AA$104=FT_Y5,EDATE($D105,Milestones!$AA$104)&lt;PolicyEff),1,Milestones!$AC$104)&amp;";  ","")&amp;IF(AND(EDATE($D105,Milestones!$AA$105)&lt;=AsOfDate,EDATE($D105,Milestones!$AA$105)&gt;=SchemeStart,IF($X105=0,$AD105,IF(AND($Z105&lt;&gt;"",EDATE($D105,Milestones!$AA$105)&gt;=$Z105),$AC105,IF(AND($Y105&lt;&gt;"",EDATE($D105,Milestones!$AA$105)&gt;=$Y105),$AB105,$AA105)))=Milestones!$AB$105),UPPER(TEXT(EDATE($D105,Milestones!$AA$105),"dd mmm yy"))&amp;" "&amp;Milestones!$AB$105&amp;" "&amp;IF(AND(Milestones!$AB$105="FT",Milestones!$AA$105=FT_Y5,EDATE($D105,Milestones!$AA$105)&lt;PolicyEff),1,Milestones!$AC$105)&amp;";  ","")&amp;IF(AND(EDATE($D105,Milestones!$AA$106)&lt;=AsOfDate,EDATE($D105,Milestones!$AA$106)&gt;=SchemeStart,IF($X105=0,$AD105,IF(AND($Z105&lt;&gt;"",EDATE($D105,Milestones!$AA$106)&gt;=$Z105),$AC105,IF(AND($Y105&lt;&gt;"",EDATE($D105,Milestones!$AA$106)&gt;=$Y105),$AB105,$AA105)))=Milestones!$AB$106),UPPER(TEXT(EDATE($D105,Milestones!$AA$106),"dd mmm yy"))&amp;" "&amp;Milestones!$AB$106&amp;" "&amp;IF(AND(Milestones!$AB$106="FT",Milestones!$AA$106=FT_Y5,EDATE($D105,Milestones!$AA$106)&lt;PolicyEff),1,Milestones!$AC$106)&amp;";  ","")&amp;IF(AND(EDATE($D105,Milestones!$AA$107)&lt;=AsOfDate,EDATE($D105,Milestones!$AA$107)&gt;=SchemeStart,IF($X105=0,$AD105,IF(AND($Z105&lt;&gt;"",EDATE($D105,Milestones!$AA$107)&gt;=$Z105),$AC105,IF(AND($Y105&lt;&gt;"",EDATE($D105,Milestones!$AA$107)&gt;=$Y105),$AB105,$AA105)))=Milestones!$AB$107),UPPER(TEXT(EDATE($D105,Milestones!$AA$107),"dd mmm yy"))&amp;" "&amp;Milestones!$AB$107&amp;" "&amp;IF(AND(Milestones!$AB$107="FT",Milestones!$AA$107=FT_Y5,EDATE($D105,Milestones!$AA$107)&lt;PolicyEff),1,Milestones!$AC$107)&amp;";  ","")&amp;IF(AND(EDATE($D105,Milestones!$AA$108)&lt;=AsOfDate,EDATE($D105,Milestones!$AA$108)&gt;=SchemeStart,IF($X105=0,$AD105,IF(AND($Z105&lt;&gt;"",EDATE($D105,Milestones!$AA$108)&gt;=$Z105),$AC105,IF(AND($Y105&lt;&gt;"",EDATE($D105,Milestones!$AA$108)&gt;=$Y105),$AB105,$AA105)))=Milestones!$AB$108),UPPER(TEXT(EDATE($D105,Milestones!$AA$108),"dd mmm yy"))&amp;" "&amp;Milestones!$AB$108&amp;" "&amp;IF(AND(Milestones!$AB$108="FT",Milestones!$AA$108=FT_Y5,EDATE($D105,Milestones!$AA$108)&lt;PolicyEff),1,Milestones!$AC$108)&amp;";  ","")&amp;IF(AND(EDATE($D105,Milestones!$AA$109)&lt;=AsOfDate,EDATE($D105,Milestones!$AA$109)&gt;=SchemeStart,IF($X105=0,$AD105,IF(AND($Z105&lt;&gt;"",EDATE($D105,Milestones!$AA$109)&gt;=$Z105),$AC105,IF(AND($Y105&lt;&gt;"",EDATE($D105,Milestones!$AA$109)&gt;=$Y105),$AB105,$AA105)))=Milestones!$AB$109),UPPER(TEXT(EDATE($D105,Milestones!$AA$109),"dd mmm yy"))&amp;" "&amp;Milestones!$AB$109&amp;" "&amp;IF(AND(Milestones!$AB$109="FT",Milestones!$AA$109=FT_Y5,EDATE($D105,Milestones!$AA$109)&lt;PolicyEff),1,Milestones!$AC$109)&amp;";  ","")&amp;IF(AND(EDATE($D105,Milestones!$AA$110)&lt;=AsOfDate,EDATE($D105,Milestones!$AA$110)&gt;=SchemeStart,IF($X105=0,$AD105,IF(AND($Z105&lt;&gt;"",EDATE($D105,Milestones!$AA$110)&gt;=$Z105),$AC105,IF(AND($Y105&lt;&gt;"",EDATE($D105,Milestones!$AA$110)&gt;=$Y105),$AB105,$AA105)))=Milestones!$AB$110),UPPER(TEXT(EDATE($D105,Milestones!$AA$110),"dd mmm yy"))&amp;" "&amp;Milestones!$AB$110&amp;" "&amp;IF(AND(Milestones!$AB$110="FT",Milestones!$AA$110=FT_Y5,EDATE($D105,Milestones!$AA$110)&lt;PolicyEff),1,Milestones!$AC$110)&amp;";  ","")&amp;IF(AND(EDATE($D105,Milestones!$AA$111)&lt;=AsOfDate,EDATE($D105,Milestones!$AA$111)&gt;=SchemeStart,IF($X105=0,$AD105,IF(AND($Z105&lt;&gt;"",EDATE($D105,Milestones!$AA$111)&gt;=$Z105),$AC105,IF(AND($Y105&lt;&gt;"",EDATE($D105,Milestones!$AA$111)&gt;=$Y105),$AB105,$AA105)))=Milestones!$AB$111),UPPER(TEXT(EDATE($D105,Milestones!$AA$111),"dd mmm yy"))&amp;" "&amp;Milestones!$AB$111&amp;" "&amp;IF(AND(Milestones!$AB$111="FT",Milestones!$AA$111=FT_Y5,EDATE($D105,Milestones!$AA$111)&lt;PolicyEff),1,Milestones!$AC$111)&amp;";  ","")&amp;IF(AND(EDATE($D105,Milestones!$AA$112)&lt;=AsOfDate,EDATE($D105,Milestones!$AA$112)&gt;=SchemeStart,IF($X105=0,$AD105,IF(AND($Z105&lt;&gt;"",EDATE($D105,Milestones!$AA$112)&gt;=$Z105),$AC105,IF(AND($Y105&lt;&gt;"",EDATE($D105,Milestones!$AA$112)&gt;=$Y105),$AB105,$AA105)))=Milestones!$AB$112),UPPER(TEXT(EDATE($D105,Milestones!$AA$112),"dd mmm yy"))&amp;" "&amp;Milestones!$AB$112&amp;" "&amp;IF(AND(Milestones!$AB$112="FT",Milestones!$AA$112=FT_Y5,EDATE($D105,Milestones!$AA$112)&lt;PolicyEff),1,Milestones!$AC$112)&amp;";  ","")&amp;IF(AND(EDATE($D105,Milestones!$AA$113)&lt;=AsOfDate,EDATE($D105,Milestones!$AA$113)&gt;=SchemeStart,IF($X105=0,$AD105,IF(AND($Z105&lt;&gt;"",EDATE($D105,Milestones!$AA$113)&gt;=$Z105),$AC105,IF(AND($Y105&lt;&gt;"",EDATE($D105,Milestones!$AA$113)&gt;=$Y105),$AB105,$AA105)))=Milestones!$AB$113),UPPER(TEXT(EDATE($D105,Milestones!$AA$113),"dd mmm yy"))&amp;" "&amp;Milestones!$AB$113&amp;" "&amp;IF(AND(Milestones!$AB$113="FT",Milestones!$AA$113=FT_Y5,EDATE($D105,Milestones!$AA$113)&lt;PolicyEff),1,Milestones!$AC$113)&amp;";  ","")&amp;IF(AND(EDATE($D105,Milestones!$AA$114)&lt;=AsOfDate,EDATE($D105,Milestones!$AA$114)&gt;=SchemeStart,IF($X105=0,$AD105,IF(AND($Z105&lt;&gt;"",EDATE($D105,Milestones!$AA$114)&gt;=$Z105),$AC105,IF(AND($Y105&lt;&gt;"",EDATE($D105,Milestones!$AA$114)&gt;=$Y105),$AB105,$AA105)))=Milestones!$AB$114),UPPER(TEXT(EDATE($D105,Milestones!$AA$114),"dd mmm yy"))&amp;" "&amp;Milestones!$AB$114&amp;" "&amp;IF(AND(Milestones!$AB$114="FT",Milestones!$AA$114=FT_Y5,EDATE($D105,Milestones!$AA$114)&lt;PolicyEff),1,Milestones!$AC$114)&amp;";  ","")&amp;IF(AND(EDATE($D105,Milestones!$AA$115)&lt;=AsOfDate,EDATE($D105,Milestones!$AA$115)&gt;=SchemeStart,IF($X105=0,$AD105,IF(AND($Z105&lt;&gt;"",EDATE($D105,Milestones!$AA$115)&gt;=$Z105),$AC105,IF(AND($Y105&lt;&gt;"",EDATE($D105,Milestones!$AA$115)&gt;=$Y105),$AB105,$AA105)))=Milestones!$AB$115),UPPER(TEXT(EDATE($D105,Milestones!$AA$115),"dd mmm yy"))&amp;" "&amp;Milestones!$AB$115&amp;" "&amp;IF(AND(Milestones!$AB$115="FT",Milestones!$AA$115=FT_Y5,EDATE($D105,Milestones!$AA$115)&lt;PolicyEff),1,Milestones!$AC$115)&amp;";  ",""))</f>
        <v/>
      </c>
      <c r="Q105" s="0" t="str">
        <f aca="false">IF(OR($A105="",$D105=""),"",IF(AND(EDATE($D105,Milestones!$AA$116)&lt;=AsOfDate,EDATE($D105,Milestones!$AA$116)&gt;=SchemeStart,IF($X105=0,$AD105,IF(AND($Z105&lt;&gt;"",EDATE($D105,Milestones!$AA$116)&gt;=$Z105),$AC105,IF(AND($Y105&lt;&gt;"",EDATE($D105,Milestones!$AA$116)&gt;=$Y105),$AB105,$AA105)))=Milestones!$AB$116),UPPER(TEXT(EDATE($D105,Milestones!$AA$116),"dd mmm yy"))&amp;" "&amp;Milestones!$AB$116&amp;" "&amp;IF(AND(Milestones!$AB$116="FT",Milestones!$AA$116=FT_Y5,EDATE($D105,Milestones!$AA$116)&lt;PolicyEff),1,Milestones!$AC$116)&amp;";  ","")&amp;IF(AND(EDATE($D105,Milestones!$AA$117)&lt;=AsOfDate,EDATE($D105,Milestones!$AA$117)&gt;=SchemeStart,IF($X105=0,$AD105,IF(AND($Z105&lt;&gt;"",EDATE($D105,Milestones!$AA$117)&gt;=$Z105),$AC105,IF(AND($Y105&lt;&gt;"",EDATE($D105,Milestones!$AA$117)&gt;=$Y105),$AB105,$AA105)))=Milestones!$AB$117),UPPER(TEXT(EDATE($D105,Milestones!$AA$117),"dd mmm yy"))&amp;" "&amp;Milestones!$AB$117&amp;" "&amp;IF(AND(Milestones!$AB$117="FT",Milestones!$AA$117=FT_Y5,EDATE($D105,Milestones!$AA$117)&lt;PolicyEff),1,Milestones!$AC$117)&amp;";  ","")&amp;IF(AND(EDATE($D105,Milestones!$AA$118)&lt;=AsOfDate,EDATE($D105,Milestones!$AA$118)&gt;=SchemeStart,IF($X105=0,$AD105,IF(AND($Z105&lt;&gt;"",EDATE($D105,Milestones!$AA$118)&gt;=$Z105),$AC105,IF(AND($Y105&lt;&gt;"",EDATE($D105,Milestones!$AA$118)&gt;=$Y105),$AB105,$AA105)))=Milestones!$AB$118),UPPER(TEXT(EDATE($D105,Milestones!$AA$118),"dd mmm yy"))&amp;" "&amp;Milestones!$AB$118&amp;" "&amp;IF(AND(Milestones!$AB$118="FT",Milestones!$AA$118=FT_Y5,EDATE($D105,Milestones!$AA$118)&lt;PolicyEff),1,Milestones!$AC$118)&amp;";  ","")&amp;IF(AND(EDATE($D105,Milestones!$AA$119)&lt;=AsOfDate,EDATE($D105,Milestones!$AA$119)&gt;=SchemeStart,IF($X105=0,$AD105,IF(AND($Z105&lt;&gt;"",EDATE($D105,Milestones!$AA$119)&gt;=$Z105),$AC105,IF(AND($Y105&lt;&gt;"",EDATE($D105,Milestones!$AA$119)&gt;=$Y105),$AB105,$AA105)))=Milestones!$AB$119),UPPER(TEXT(EDATE($D105,Milestones!$AA$119),"dd mmm yy"))&amp;" "&amp;Milestones!$AB$119&amp;" "&amp;IF(AND(Milestones!$AB$119="FT",Milestones!$AA$119=FT_Y5,EDATE($D105,Milestones!$AA$119)&lt;PolicyEff),1,Milestones!$AC$119)&amp;";  ","")&amp;IF(AND(EDATE($D105,Milestones!$AA$120)&lt;=AsOfDate,EDATE($D105,Milestones!$AA$120)&gt;=SchemeStart,IF($X105=0,$AD105,IF(AND($Z105&lt;&gt;"",EDATE($D105,Milestones!$AA$120)&gt;=$Z105),$AC105,IF(AND($Y105&lt;&gt;"",EDATE($D105,Milestones!$AA$120)&gt;=$Y105),$AB105,$AA105)))=Milestones!$AB$120),UPPER(TEXT(EDATE($D105,Milestones!$AA$120),"dd mmm yy"))&amp;" "&amp;Milestones!$AB$120&amp;" "&amp;IF(AND(Milestones!$AB$120="FT",Milestones!$AA$120=FT_Y5,EDATE($D105,Milestones!$AA$120)&lt;PolicyEff),1,Milestones!$AC$120)&amp;";  ","")&amp;IF(AND(EDATE($D105,Milestones!$AA$121)&lt;=AsOfDate,EDATE($D105,Milestones!$AA$121)&gt;=SchemeStart,IF($X105=0,$AD105,IF(AND($Z105&lt;&gt;"",EDATE($D105,Milestones!$AA$121)&gt;=$Z105),$AC105,IF(AND($Y105&lt;&gt;"",EDATE($D105,Milestones!$AA$121)&gt;=$Y105),$AB105,$AA105)))=Milestones!$AB$121),UPPER(TEXT(EDATE($D105,Milestones!$AA$121),"dd mmm yy"))&amp;" "&amp;Milestones!$AB$121&amp;" "&amp;IF(AND(Milestones!$AB$121="FT",Milestones!$AA$121=FT_Y5,EDATE($D105,Milestones!$AA$121)&lt;PolicyEff),1,Milestones!$AC$121)&amp;";  ","")&amp;IF(AND(EDATE($D105,Milestones!$AA$122)&lt;=AsOfDate,EDATE($D105,Milestones!$AA$122)&gt;=SchemeStart,IF($X105=0,$AD105,IF(AND($Z105&lt;&gt;"",EDATE($D105,Milestones!$AA$122)&gt;=$Z105),$AC105,IF(AND($Y105&lt;&gt;"",EDATE($D105,Milestones!$AA$122)&gt;=$Y105),$AB105,$AA105)))=Milestones!$AB$122),UPPER(TEXT(EDATE($D105,Milestones!$AA$122),"dd mmm yy"))&amp;" "&amp;Milestones!$AB$122&amp;" "&amp;IF(AND(Milestones!$AB$122="FT",Milestones!$AA$122=FT_Y5,EDATE($D105,Milestones!$AA$122)&lt;PolicyEff),1,Milestones!$AC$122)&amp;";  ","")&amp;IF(AND(EDATE($D105,Milestones!$AA$123)&lt;=AsOfDate,EDATE($D105,Milestones!$AA$123)&gt;=SchemeStart,IF($X105=0,$AD105,IF(AND($Z105&lt;&gt;"",EDATE($D105,Milestones!$AA$123)&gt;=$Z105),$AC105,IF(AND($Y105&lt;&gt;"",EDATE($D105,Milestones!$AA$123)&gt;=$Y105),$AB105,$AA105)))=Milestones!$AB$123),UPPER(TEXT(EDATE($D105,Milestones!$AA$123),"dd mmm yy"))&amp;" "&amp;Milestones!$AB$123&amp;" "&amp;IF(AND(Milestones!$AB$123="FT",Milestones!$AA$123=FT_Y5,EDATE($D105,Milestones!$AA$123)&lt;PolicyEff),1,Milestones!$AC$123)&amp;";  ","")&amp;IF(AND(EDATE($D105,Milestones!$AA$124)&lt;=AsOfDate,EDATE($D105,Milestones!$AA$124)&gt;=SchemeStart,IF($X105=0,$AD105,IF(AND($Z105&lt;&gt;"",EDATE($D105,Milestones!$AA$124)&gt;=$Z105),$AC105,IF(AND($Y105&lt;&gt;"",EDATE($D105,Milestones!$AA$124)&gt;=$Y105),$AB105,$AA105)))=Milestones!$AB$124),UPPER(TEXT(EDATE($D105,Milestones!$AA$124),"dd mmm yy"))&amp;" "&amp;Milestones!$AB$124&amp;" "&amp;IF(AND(Milestones!$AB$124="FT",Milestones!$AA$124=FT_Y5,EDATE($D105,Milestones!$AA$124)&lt;PolicyEff),1,Milestones!$AC$124)&amp;";  ","")&amp;IF(AND(EDATE($D105,Milestones!$AA$125)&lt;=AsOfDate,EDATE($D105,Milestones!$AA$125)&gt;=SchemeStart,IF($X105=0,$AD105,IF(AND($Z105&lt;&gt;"",EDATE($D105,Milestones!$AA$125)&gt;=$Z105),$AC105,IF(AND($Y105&lt;&gt;"",EDATE($D105,Milestones!$AA$125)&gt;=$Y105),$AB105,$AA105)))=Milestones!$AB$125),UPPER(TEXT(EDATE($D105,Milestones!$AA$125),"dd mmm yy"))&amp;" "&amp;Milestones!$AB$125&amp;" "&amp;IF(AND(Milestones!$AB$125="FT",Milestones!$AA$125=FT_Y5,EDATE($D105,Milestones!$AA$125)&lt;PolicyEff),1,Milestones!$AC$125)&amp;";  ","")&amp;IF(AND(EDATE($D105,Milestones!$AA$126)&lt;=AsOfDate,EDATE($D105,Milestones!$AA$126)&gt;=SchemeStart,IF($X105=0,$AD105,IF(AND($Z105&lt;&gt;"",EDATE($D105,Milestones!$AA$126)&gt;=$Z105),$AC105,IF(AND($Y105&lt;&gt;"",EDATE($D105,Milestones!$AA$126)&gt;=$Y105),$AB105,$AA105)))=Milestones!$AB$126),UPPER(TEXT(EDATE($D105,Milestones!$AA$126),"dd mmm yy"))&amp;" "&amp;Milestones!$AB$126&amp;" "&amp;IF(AND(Milestones!$AB$126="FT",Milestones!$AA$126=FT_Y5,EDATE($D105,Milestones!$AA$126)&lt;PolicyEff),1,Milestones!$AC$126)&amp;";  ","")&amp;IF(AND(EDATE($D105,Milestones!$AA$127)&lt;=AsOfDate,EDATE($D105,Milestones!$AA$127)&gt;=SchemeStart,IF($X105=0,$AD105,IF(AND($Z105&lt;&gt;"",EDATE($D105,Milestones!$AA$127)&gt;=$Z105),$AC105,IF(AND($Y105&lt;&gt;"",EDATE($D105,Milestones!$AA$127)&gt;=$Y105),$AB105,$AA105)))=Milestones!$AB$127),UPPER(TEXT(EDATE($D105,Milestones!$AA$127),"dd mmm yy"))&amp;" "&amp;Milestones!$AB$127&amp;" "&amp;IF(AND(Milestones!$AB$127="FT",Milestones!$AA$127=FT_Y5,EDATE($D105,Milestones!$AA$127)&lt;PolicyEff),1,Milestones!$AC$127)&amp;";  ",""))</f>
        <v/>
      </c>
      <c r="R105" s="0" t="str">
        <f aca="false">IF(OR($A105="",$D105=""),"",IF(AND(EDATE($D105,Milestones!$AA$128)&lt;=AsOfDate,EDATE($D105,Milestones!$AA$128)&gt;=SchemeStart,IF($X105=0,$AD105,IF(AND($Z105&lt;&gt;"",EDATE($D105,Milestones!$AA$128)&gt;=$Z105),$AC105,IF(AND($Y105&lt;&gt;"",EDATE($D105,Milestones!$AA$128)&gt;=$Y105),$AB105,$AA105)))=Milestones!$AB$128),UPPER(TEXT(EDATE($D105,Milestones!$AA$128),"dd mmm yy"))&amp;" "&amp;Milestones!$AB$128&amp;" "&amp;IF(AND(Milestones!$AB$128="FT",Milestones!$AA$128=FT_Y5,EDATE($D105,Milestones!$AA$128)&lt;PolicyEff),1,Milestones!$AC$128)&amp;";  ","")&amp;IF(AND(EDATE($D105,Milestones!$AA$129)&lt;=AsOfDate,EDATE($D105,Milestones!$AA$129)&gt;=SchemeStart,IF($X105=0,$AD105,IF(AND($Z105&lt;&gt;"",EDATE($D105,Milestones!$AA$129)&gt;=$Z105),$AC105,IF(AND($Y105&lt;&gt;"",EDATE($D105,Milestones!$AA$129)&gt;=$Y105),$AB105,$AA105)))=Milestones!$AB$129),UPPER(TEXT(EDATE($D105,Milestones!$AA$129),"dd mmm yy"))&amp;" "&amp;Milestones!$AB$129&amp;" "&amp;IF(AND(Milestones!$AB$129="FT",Milestones!$AA$129=FT_Y5,EDATE($D105,Milestones!$AA$129)&lt;PolicyEff),1,Milestones!$AC$129)&amp;";  ","")&amp;IF(AND(EDATE($D105,Milestones!$AA$130)&lt;=AsOfDate,EDATE($D105,Milestones!$AA$130)&gt;=SchemeStart,IF($X105=0,$AD105,IF(AND($Z105&lt;&gt;"",EDATE($D105,Milestones!$AA$130)&gt;=$Z105),$AC105,IF(AND($Y105&lt;&gt;"",EDATE($D105,Milestones!$AA$130)&gt;=$Y105),$AB105,$AA105)))=Milestones!$AB$130),UPPER(TEXT(EDATE($D105,Milestones!$AA$130),"dd mmm yy"))&amp;" "&amp;Milestones!$AB$130&amp;" "&amp;IF(AND(Milestones!$AB$130="FT",Milestones!$AA$130=FT_Y5,EDATE($D105,Milestones!$AA$130)&lt;PolicyEff),1,Milestones!$AC$130)&amp;";  ","")&amp;IF(AND(EDATE($D105,Milestones!$AA$131)&lt;=AsOfDate,EDATE($D105,Milestones!$AA$131)&gt;=SchemeStart,IF($X105=0,$AD105,IF(AND($Z105&lt;&gt;"",EDATE($D105,Milestones!$AA$131)&gt;=$Z105),$AC105,IF(AND($Y105&lt;&gt;"",EDATE($D105,Milestones!$AA$131)&gt;=$Y105),$AB105,$AA105)))=Milestones!$AB$131),UPPER(TEXT(EDATE($D105,Milestones!$AA$131),"dd mmm yy"))&amp;" "&amp;Milestones!$AB$131&amp;" "&amp;IF(AND(Milestones!$AB$131="FT",Milestones!$AA$131=FT_Y5,EDATE($D105,Milestones!$AA$131)&lt;PolicyEff),1,Milestones!$AC$131)&amp;";  ","")&amp;IF(AND(EDATE($D105,Milestones!$AA$132)&lt;=AsOfDate,EDATE($D105,Milestones!$AA$132)&gt;=SchemeStart,IF($X105=0,$AD105,IF(AND($Z105&lt;&gt;"",EDATE($D105,Milestones!$AA$132)&gt;=$Z105),$AC105,IF(AND($Y105&lt;&gt;"",EDATE($D105,Milestones!$AA$132)&gt;=$Y105),$AB105,$AA105)))=Milestones!$AB$132),UPPER(TEXT(EDATE($D105,Milestones!$AA$132),"dd mmm yy"))&amp;" "&amp;Milestones!$AB$132&amp;" "&amp;IF(AND(Milestones!$AB$132="FT",Milestones!$AA$132=FT_Y5,EDATE($D105,Milestones!$AA$132)&lt;PolicyEff),1,Milestones!$AC$132)&amp;";  ","")&amp;IF(AND(EDATE($D105,Milestones!$AA$133)&lt;=AsOfDate,EDATE($D105,Milestones!$AA$133)&gt;=SchemeStart,IF($X105=0,$AD105,IF(AND($Z105&lt;&gt;"",EDATE($D105,Milestones!$AA$133)&gt;=$Z105),$AC105,IF(AND($Y105&lt;&gt;"",EDATE($D105,Milestones!$AA$133)&gt;=$Y105),$AB105,$AA105)))=Milestones!$AB$133),UPPER(TEXT(EDATE($D105,Milestones!$AA$133),"dd mmm yy"))&amp;" "&amp;Milestones!$AB$133&amp;" "&amp;IF(AND(Milestones!$AB$133="FT",Milestones!$AA$133=FT_Y5,EDATE($D105,Milestones!$AA$133)&lt;PolicyEff),1,Milestones!$AC$133)&amp;";  ","")&amp;IF(AND(EDATE($D105,Milestones!$AA$134)&lt;=AsOfDate,EDATE($D105,Milestones!$AA$134)&gt;=SchemeStart,IF($X105=0,$AD105,IF(AND($Z105&lt;&gt;"",EDATE($D105,Milestones!$AA$134)&gt;=$Z105),$AC105,IF(AND($Y105&lt;&gt;"",EDATE($D105,Milestones!$AA$134)&gt;=$Y105),$AB105,$AA105)))=Milestones!$AB$134),UPPER(TEXT(EDATE($D105,Milestones!$AA$134),"dd mmm yy"))&amp;" "&amp;Milestones!$AB$134&amp;" "&amp;IF(AND(Milestones!$AB$134="FT",Milestones!$AA$134=FT_Y5,EDATE($D105,Milestones!$AA$134)&lt;PolicyEff),1,Milestones!$AC$134)&amp;";  ","")&amp;IF(AND(EDATE($D105,Milestones!$AA$135)&lt;=AsOfDate,EDATE($D105,Milestones!$AA$135)&gt;=SchemeStart,IF($X105=0,$AD105,IF(AND($Z105&lt;&gt;"",EDATE($D105,Milestones!$AA$135)&gt;=$Z105),$AC105,IF(AND($Y105&lt;&gt;"",EDATE($D105,Milestones!$AA$135)&gt;=$Y105),$AB105,$AA105)))=Milestones!$AB$135),UPPER(TEXT(EDATE($D105,Milestones!$AA$135),"dd mmm yy"))&amp;" "&amp;Milestones!$AB$135&amp;" "&amp;IF(AND(Milestones!$AB$135="FT",Milestones!$AA$135=FT_Y5,EDATE($D105,Milestones!$AA$135)&lt;PolicyEff),1,Milestones!$AC$135)&amp;";  ","")&amp;IF(AND(EDATE($D105,Milestones!$AA$136)&lt;=AsOfDate,EDATE($D105,Milestones!$AA$136)&gt;=SchemeStart,IF($X105=0,$AD105,IF(AND($Z105&lt;&gt;"",EDATE($D105,Milestones!$AA$136)&gt;=$Z105),$AC105,IF(AND($Y105&lt;&gt;"",EDATE($D105,Milestones!$AA$136)&gt;=$Y105),$AB105,$AA105)))=Milestones!$AB$136),UPPER(TEXT(EDATE($D105,Milestones!$AA$136),"dd mmm yy"))&amp;" "&amp;Milestones!$AB$136&amp;" "&amp;IF(AND(Milestones!$AB$136="FT",Milestones!$AA$136=FT_Y5,EDATE($D105,Milestones!$AA$136)&lt;PolicyEff),1,Milestones!$AC$136)&amp;";  ","")&amp;IF(AND(EDATE($D105,Milestones!$AA$137)&lt;=AsOfDate,EDATE($D105,Milestones!$AA$137)&gt;=SchemeStart,IF($X105=0,$AD105,IF(AND($Z105&lt;&gt;"",EDATE($D105,Milestones!$AA$137)&gt;=$Z105),$AC105,IF(AND($Y105&lt;&gt;"",EDATE($D105,Milestones!$AA$137)&gt;=$Y105),$AB105,$AA105)))=Milestones!$AB$137),UPPER(TEXT(EDATE($D105,Milestones!$AA$137),"dd mmm yy"))&amp;" "&amp;Milestones!$AB$137&amp;" "&amp;IF(AND(Milestones!$AB$137="FT",Milestones!$AA$137=FT_Y5,EDATE($D105,Milestones!$AA$137)&lt;PolicyEff),1,Milestones!$AC$137)&amp;";  ","")&amp;IF(AND(EDATE($D105,Milestones!$AA$138)&lt;=AsOfDate,EDATE($D105,Milestones!$AA$138)&gt;=SchemeStart,IF($X105=0,$AD105,IF(AND($Z105&lt;&gt;"",EDATE($D105,Milestones!$AA$138)&gt;=$Z105),$AC105,IF(AND($Y105&lt;&gt;"",EDATE($D105,Milestones!$AA$138)&gt;=$Y105),$AB105,$AA105)))=Milestones!$AB$138),UPPER(TEXT(EDATE($D105,Milestones!$AA$138),"dd mmm yy"))&amp;" "&amp;Milestones!$AB$138&amp;" "&amp;IF(AND(Milestones!$AB$138="FT",Milestones!$AA$138=FT_Y5,EDATE($D105,Milestones!$AA$138)&lt;PolicyEff),1,Milestones!$AC$138)&amp;";  ","")&amp;IF(AND(EDATE($D105,Milestones!$AA$139)&lt;=AsOfDate,EDATE($D105,Milestones!$AA$139)&gt;=SchemeStart,IF($X105=0,$AD105,IF(AND($Z105&lt;&gt;"",EDATE($D105,Milestones!$AA$139)&gt;=$Z105),$AC105,IF(AND($Y105&lt;&gt;"",EDATE($D105,Milestones!$AA$139)&gt;=$Y105),$AB105,$AA105)))=Milestones!$AB$139),UPPER(TEXT(EDATE($D105,Milestones!$AA$139),"dd mmm yy"))&amp;" "&amp;Milestones!$AB$139&amp;" "&amp;IF(AND(Milestones!$AB$139="FT",Milestones!$AA$139=FT_Y5,EDATE($D105,Milestones!$AA$139)&lt;PolicyEff),1,Milestones!$AC$139)&amp;";  ",""))</f>
        <v/>
      </c>
      <c r="S105" s="0" t="str">
        <f aca="false">IF(OR($A105="",$D105=""),"",IF(AND(EDATE($D105,Milestones!$AA$140)&lt;=AsOfDate,EDATE($D105,Milestones!$AA$140)&gt;=SchemeStart,IF($X105=0,$AD105,IF(AND($Z105&lt;&gt;"",EDATE($D105,Milestones!$AA$140)&gt;=$Z105),$AC105,IF(AND($Y105&lt;&gt;"",EDATE($D105,Milestones!$AA$140)&gt;=$Y105),$AB105,$AA105)))=Milestones!$AB$140),UPPER(TEXT(EDATE($D105,Milestones!$AA$140),"dd mmm yy"))&amp;" "&amp;Milestones!$AB$140&amp;" "&amp;IF(AND(Milestones!$AB$140="FT",Milestones!$AA$140=FT_Y5,EDATE($D105,Milestones!$AA$140)&lt;PolicyEff),1,Milestones!$AC$140)&amp;";  ","")&amp;IF(AND(EDATE($D105,Milestones!$AA$141)&lt;=AsOfDate,EDATE($D105,Milestones!$AA$141)&gt;=SchemeStart,IF($X105=0,$AD105,IF(AND($Z105&lt;&gt;"",EDATE($D105,Milestones!$AA$141)&gt;=$Z105),$AC105,IF(AND($Y105&lt;&gt;"",EDATE($D105,Milestones!$AA$141)&gt;=$Y105),$AB105,$AA105)))=Milestones!$AB$141),UPPER(TEXT(EDATE($D105,Milestones!$AA$141),"dd mmm yy"))&amp;" "&amp;Milestones!$AB$141&amp;" "&amp;IF(AND(Milestones!$AB$141="FT",Milestones!$AA$141=FT_Y5,EDATE($D105,Milestones!$AA$141)&lt;PolicyEff),1,Milestones!$AC$141)&amp;";  ","")&amp;IF(AND(EDATE($D105,Milestones!$AA$142)&lt;=AsOfDate,EDATE($D105,Milestones!$AA$142)&gt;=SchemeStart,IF($X105=0,$AD105,IF(AND($Z105&lt;&gt;"",EDATE($D105,Milestones!$AA$142)&gt;=$Z105),$AC105,IF(AND($Y105&lt;&gt;"",EDATE($D105,Milestones!$AA$142)&gt;=$Y105),$AB105,$AA105)))=Milestones!$AB$142),UPPER(TEXT(EDATE($D105,Milestones!$AA$142),"dd mmm yy"))&amp;" "&amp;Milestones!$AB$142&amp;" "&amp;IF(AND(Milestones!$AB$142="FT",Milestones!$AA$142=FT_Y5,EDATE($D105,Milestones!$AA$142)&lt;PolicyEff),1,Milestones!$AC$142)&amp;";  ","")&amp;IF(AND(EDATE($D105,Milestones!$AA$143)&lt;=AsOfDate,EDATE($D105,Milestones!$AA$143)&gt;=SchemeStart,IF($X105=0,$AD105,IF(AND($Z105&lt;&gt;"",EDATE($D105,Milestones!$AA$143)&gt;=$Z105),$AC105,IF(AND($Y105&lt;&gt;"",EDATE($D105,Milestones!$AA$143)&gt;=$Y105),$AB105,$AA105)))=Milestones!$AB$143),UPPER(TEXT(EDATE($D105,Milestones!$AA$143),"dd mmm yy"))&amp;" "&amp;Milestones!$AB$143&amp;" "&amp;IF(AND(Milestones!$AB$143="FT",Milestones!$AA$143=FT_Y5,EDATE($D105,Milestones!$AA$143)&lt;PolicyEff),1,Milestones!$AC$143)&amp;";  ","")&amp;IF(AND(EDATE($D105,Milestones!$AA$144)&lt;=AsOfDate,EDATE($D105,Milestones!$AA$144)&gt;=SchemeStart,IF($X105=0,$AD105,IF(AND($Z105&lt;&gt;"",EDATE($D105,Milestones!$AA$144)&gt;=$Z105),$AC105,IF(AND($Y105&lt;&gt;"",EDATE($D105,Milestones!$AA$144)&gt;=$Y105),$AB105,$AA105)))=Milestones!$AB$144),UPPER(TEXT(EDATE($D105,Milestones!$AA$144),"dd mmm yy"))&amp;" "&amp;Milestones!$AB$144&amp;" "&amp;IF(AND(Milestones!$AB$144="FT",Milestones!$AA$144=FT_Y5,EDATE($D105,Milestones!$AA$144)&lt;PolicyEff),1,Milestones!$AC$144)&amp;";  ","")&amp;IF(AND(EDATE($D105,Milestones!$AA$145)&lt;=AsOfDate,EDATE($D105,Milestones!$AA$145)&gt;=SchemeStart,IF($X105=0,$AD105,IF(AND($Z105&lt;&gt;"",EDATE($D105,Milestones!$AA$145)&gt;=$Z105),$AC105,IF(AND($Y105&lt;&gt;"",EDATE($D105,Milestones!$AA$145)&gt;=$Y105),$AB105,$AA105)))=Milestones!$AB$145),UPPER(TEXT(EDATE($D105,Milestones!$AA$145),"dd mmm yy"))&amp;" "&amp;Milestones!$AB$145&amp;" "&amp;IF(AND(Milestones!$AB$145="FT",Milestones!$AA$145=FT_Y5,EDATE($D105,Milestones!$AA$145)&lt;PolicyEff),1,Milestones!$AC$145)&amp;";  ","")&amp;IF(AND(EDATE($D105,Milestones!$AA$146)&lt;=AsOfDate,EDATE($D105,Milestones!$AA$146)&gt;=SchemeStart,IF($X105=0,$AD105,IF(AND($Z105&lt;&gt;"",EDATE($D105,Milestones!$AA$146)&gt;=$Z105),$AC105,IF(AND($Y105&lt;&gt;"",EDATE($D105,Milestones!$AA$146)&gt;=$Y105),$AB105,$AA105)))=Milestones!$AB$146),UPPER(TEXT(EDATE($D105,Milestones!$AA$146),"dd mmm yy"))&amp;" "&amp;Milestones!$AB$146&amp;" "&amp;IF(AND(Milestones!$AB$146="FT",Milestones!$AA$146=FT_Y5,EDATE($D105,Milestones!$AA$146)&lt;PolicyEff),1,Milestones!$AC$146)&amp;";  ","")&amp;IF(AND(EDATE($D105,Milestones!$AA$147)&lt;=AsOfDate,EDATE($D105,Milestones!$AA$147)&gt;=SchemeStart,IF($X105=0,$AD105,IF(AND($Z105&lt;&gt;"",EDATE($D105,Milestones!$AA$147)&gt;=$Z105),$AC105,IF(AND($Y105&lt;&gt;"",EDATE($D105,Milestones!$AA$147)&gt;=$Y105),$AB105,$AA105)))=Milestones!$AB$147),UPPER(TEXT(EDATE($D105,Milestones!$AA$147),"dd mmm yy"))&amp;" "&amp;Milestones!$AB$147&amp;" "&amp;IF(AND(Milestones!$AB$147="FT",Milestones!$AA$147=FT_Y5,EDATE($D105,Milestones!$AA$147)&lt;PolicyEff),1,Milestones!$AC$147)&amp;";  ","")&amp;IF(AND(EDATE($D105,Milestones!$AA$148)&lt;=AsOfDate,EDATE($D105,Milestones!$AA$148)&gt;=SchemeStart,IF($X105=0,$AD105,IF(AND($Z105&lt;&gt;"",EDATE($D105,Milestones!$AA$148)&gt;=$Z105),$AC105,IF(AND($Y105&lt;&gt;"",EDATE($D105,Milestones!$AA$148)&gt;=$Y105),$AB105,$AA105)))=Milestones!$AB$148),UPPER(TEXT(EDATE($D105,Milestones!$AA$148),"dd mmm yy"))&amp;" "&amp;Milestones!$AB$148&amp;" "&amp;IF(AND(Milestones!$AB$148="FT",Milestones!$AA$148=FT_Y5,EDATE($D105,Milestones!$AA$148)&lt;PolicyEff),1,Milestones!$AC$148)&amp;";  ","")&amp;IF(AND(EDATE($D105,Milestones!$AA$149)&lt;=AsOfDate,EDATE($D105,Milestones!$AA$149)&gt;=SchemeStart,IF($X105=0,$AD105,IF(AND($Z105&lt;&gt;"",EDATE($D105,Milestones!$AA$149)&gt;=$Z105),$AC105,IF(AND($Y105&lt;&gt;"",EDATE($D105,Milestones!$AA$149)&gt;=$Y105),$AB105,$AA105)))=Milestones!$AB$149),UPPER(TEXT(EDATE($D105,Milestones!$AA$149),"dd mmm yy"))&amp;" "&amp;Milestones!$AB$149&amp;" "&amp;IF(AND(Milestones!$AB$149="FT",Milestones!$AA$149=FT_Y5,EDATE($D105,Milestones!$AA$149)&lt;PolicyEff),1,Milestones!$AC$149)&amp;";  ","")&amp;IF(AND(EDATE($D105,Milestones!$AA$150)&lt;=AsOfDate,EDATE($D105,Milestones!$AA$150)&gt;=SchemeStart,IF($X105=0,$AD105,IF(AND($Z105&lt;&gt;"",EDATE($D105,Milestones!$AA$150)&gt;=$Z105),$AC105,IF(AND($Y105&lt;&gt;"",EDATE($D105,Milestones!$AA$150)&gt;=$Y105),$AB105,$AA105)))=Milestones!$AB$150),UPPER(TEXT(EDATE($D105,Milestones!$AA$150),"dd mmm yy"))&amp;" "&amp;Milestones!$AB$150&amp;" "&amp;IF(AND(Milestones!$AB$150="FT",Milestones!$AA$150=FT_Y5,EDATE($D105,Milestones!$AA$150)&lt;PolicyEff),1,Milestones!$AC$150)&amp;";  ","")&amp;IF(AND(EDATE($D105,Milestones!$AA$151)&lt;=AsOfDate,EDATE($D105,Milestones!$AA$151)&gt;=SchemeStart,IF($X105=0,$AD105,IF(AND($Z105&lt;&gt;"",EDATE($D105,Milestones!$AA$151)&gt;=$Z105),$AC105,IF(AND($Y105&lt;&gt;"",EDATE($D105,Milestones!$AA$151)&gt;=$Y105),$AB105,$AA105)))=Milestones!$AB$151),UPPER(TEXT(EDATE($D105,Milestones!$AA$151),"dd mmm yy"))&amp;" "&amp;Milestones!$AB$151&amp;" "&amp;IF(AND(Milestones!$AB$151="FT",Milestones!$AA$151=FT_Y5,EDATE($D105,Milestones!$AA$151)&lt;PolicyEff),1,Milestones!$AC$151)&amp;";  ",""))</f>
        <v/>
      </c>
      <c r="T105" s="0" t="str">
        <f aca="false">IF(OR($A105="",$D105=""),"",IF(AND(EDATE($D105,Milestones!$AA$152)&lt;=AsOfDate,EDATE($D105,Milestones!$AA$152)&gt;=SchemeStart,IF($X105=0,$AD105,IF(AND($Z105&lt;&gt;"",EDATE($D105,Milestones!$AA$152)&gt;=$Z105),$AC105,IF(AND($Y105&lt;&gt;"",EDATE($D105,Milestones!$AA$152)&gt;=$Y105),$AB105,$AA105)))=Milestones!$AB$152),UPPER(TEXT(EDATE($D105,Milestones!$AA$152),"dd mmm yy"))&amp;" "&amp;Milestones!$AB$152&amp;" "&amp;IF(AND(Milestones!$AB$152="FT",Milestones!$AA$152=FT_Y5,EDATE($D105,Milestones!$AA$152)&lt;PolicyEff),1,Milestones!$AC$152)&amp;";  ","")&amp;IF(AND(EDATE($D105,Milestones!$AA$153)&lt;=AsOfDate,EDATE($D105,Milestones!$AA$153)&gt;=SchemeStart,IF($X105=0,$AD105,IF(AND($Z105&lt;&gt;"",EDATE($D105,Milestones!$AA$153)&gt;=$Z105),$AC105,IF(AND($Y105&lt;&gt;"",EDATE($D105,Milestones!$AA$153)&gt;=$Y105),$AB105,$AA105)))=Milestones!$AB$153),UPPER(TEXT(EDATE($D105,Milestones!$AA$153),"dd mmm yy"))&amp;" "&amp;Milestones!$AB$153&amp;" "&amp;IF(AND(Milestones!$AB$153="FT",Milestones!$AA$153=FT_Y5,EDATE($D105,Milestones!$AA$153)&lt;PolicyEff),1,Milestones!$AC$153)&amp;";  ","")&amp;IF(AND(EDATE($D105,Milestones!$AA$154)&lt;=AsOfDate,EDATE($D105,Milestones!$AA$154)&gt;=SchemeStart,IF($X105=0,$AD105,IF(AND($Z105&lt;&gt;"",EDATE($D105,Milestones!$AA$154)&gt;=$Z105),$AC105,IF(AND($Y105&lt;&gt;"",EDATE($D105,Milestones!$AA$154)&gt;=$Y105),$AB105,$AA105)))=Milestones!$AB$154),UPPER(TEXT(EDATE($D105,Milestones!$AA$154),"dd mmm yy"))&amp;" "&amp;Milestones!$AB$154&amp;" "&amp;IF(AND(Milestones!$AB$154="FT",Milestones!$AA$154=FT_Y5,EDATE($D105,Milestones!$AA$154)&lt;PolicyEff),1,Milestones!$AC$154)&amp;";  ","")&amp;IF(AND(EDATE($D105,Milestones!$AA$155)&lt;=AsOfDate,EDATE($D105,Milestones!$AA$155)&gt;=SchemeStart,IF($X105=0,$AD105,IF(AND($Z105&lt;&gt;"",EDATE($D105,Milestones!$AA$155)&gt;=$Z105),$AC105,IF(AND($Y105&lt;&gt;"",EDATE($D105,Milestones!$AA$155)&gt;=$Y105),$AB105,$AA105)))=Milestones!$AB$155),UPPER(TEXT(EDATE($D105,Milestones!$AA$155),"dd mmm yy"))&amp;" "&amp;Milestones!$AB$155&amp;" "&amp;IF(AND(Milestones!$AB$155="FT",Milestones!$AA$155=FT_Y5,EDATE($D105,Milestones!$AA$155)&lt;PolicyEff),1,Milestones!$AC$155)&amp;";  ","")&amp;IF(AND(EDATE($D105,Milestones!$AA$156)&lt;=AsOfDate,EDATE($D105,Milestones!$AA$156)&gt;=SchemeStart,IF($X105=0,$AD105,IF(AND($Z105&lt;&gt;"",EDATE($D105,Milestones!$AA$156)&gt;=$Z105),$AC105,IF(AND($Y105&lt;&gt;"",EDATE($D105,Milestones!$AA$156)&gt;=$Y105),$AB105,$AA105)))=Milestones!$AB$156),UPPER(TEXT(EDATE($D105,Milestones!$AA$156),"dd mmm yy"))&amp;" "&amp;Milestones!$AB$156&amp;" "&amp;IF(AND(Milestones!$AB$156="FT",Milestones!$AA$156=FT_Y5,EDATE($D105,Milestones!$AA$156)&lt;PolicyEff),1,Milestones!$AC$156)&amp;";  ","")&amp;IF(AND(EDATE($D105,Milestones!$AA$157)&lt;=AsOfDate,EDATE($D105,Milestones!$AA$157)&gt;=SchemeStart,IF($X105=0,$AD105,IF(AND($Z105&lt;&gt;"",EDATE($D105,Milestones!$AA$157)&gt;=$Z105),$AC105,IF(AND($Y105&lt;&gt;"",EDATE($D105,Milestones!$AA$157)&gt;=$Y105),$AB105,$AA105)))=Milestones!$AB$157),UPPER(TEXT(EDATE($D105,Milestones!$AA$157),"dd mmm yy"))&amp;" "&amp;Milestones!$AB$157&amp;" "&amp;IF(AND(Milestones!$AB$157="FT",Milestones!$AA$157=FT_Y5,EDATE($D105,Milestones!$AA$157)&lt;PolicyEff),1,Milestones!$AC$157)&amp;";  ","")&amp;IF(AND(EDATE($D105,Milestones!$AA$158)&lt;=AsOfDate,EDATE($D105,Milestones!$AA$158)&gt;=SchemeStart,IF($X105=0,$AD105,IF(AND($Z105&lt;&gt;"",EDATE($D105,Milestones!$AA$158)&gt;=$Z105),$AC105,IF(AND($Y105&lt;&gt;"",EDATE($D105,Milestones!$AA$158)&gt;=$Y105),$AB105,$AA105)))=Milestones!$AB$158),UPPER(TEXT(EDATE($D105,Milestones!$AA$158),"dd mmm yy"))&amp;" "&amp;Milestones!$AB$158&amp;" "&amp;IF(AND(Milestones!$AB$158="FT",Milestones!$AA$158=FT_Y5,EDATE($D105,Milestones!$AA$158)&lt;PolicyEff),1,Milestones!$AC$158)&amp;";  ","")&amp;IF(AND(EDATE($D105,Milestones!$AA$159)&lt;=AsOfDate,EDATE($D105,Milestones!$AA$159)&gt;=SchemeStart,IF($X105=0,$AD105,IF(AND($Z105&lt;&gt;"",EDATE($D105,Milestones!$AA$159)&gt;=$Z105),$AC105,IF(AND($Y105&lt;&gt;"",EDATE($D105,Milestones!$AA$159)&gt;=$Y105),$AB105,$AA105)))=Milestones!$AB$159),UPPER(TEXT(EDATE($D105,Milestones!$AA$159),"dd mmm yy"))&amp;" "&amp;Milestones!$AB$159&amp;" "&amp;IF(AND(Milestones!$AB$159="FT",Milestones!$AA$159=FT_Y5,EDATE($D105,Milestones!$AA$159)&lt;PolicyEff),1,Milestones!$AC$159)&amp;";  ","")&amp;IF(AND(EDATE($D105,Milestones!$AA$160)&lt;=AsOfDate,EDATE($D105,Milestones!$AA$160)&gt;=SchemeStart,IF($X105=0,$AD105,IF(AND($Z105&lt;&gt;"",EDATE($D105,Milestones!$AA$160)&gt;=$Z105),$AC105,IF(AND($Y105&lt;&gt;"",EDATE($D105,Milestones!$AA$160)&gt;=$Y105),$AB105,$AA105)))=Milestones!$AB$160),UPPER(TEXT(EDATE($D105,Milestones!$AA$160),"dd mmm yy"))&amp;" "&amp;Milestones!$AB$160&amp;" "&amp;IF(AND(Milestones!$AB$160="FT",Milestones!$AA$160=FT_Y5,EDATE($D105,Milestones!$AA$160)&lt;PolicyEff),1,Milestones!$AC$160)&amp;";  ","")&amp;IF(AND(EDATE($D105,Milestones!$AA$161)&lt;=AsOfDate,EDATE($D105,Milestones!$AA$161)&gt;=SchemeStart,IF($X105=0,$AD105,IF(AND($Z105&lt;&gt;"",EDATE($D105,Milestones!$AA$161)&gt;=$Z105),$AC105,IF(AND($Y105&lt;&gt;"",EDATE($D105,Milestones!$AA$161)&gt;=$Y105),$AB105,$AA105)))=Milestones!$AB$161),UPPER(TEXT(EDATE($D105,Milestones!$AA$161),"dd mmm yy"))&amp;" "&amp;Milestones!$AB$161&amp;" "&amp;IF(AND(Milestones!$AB$161="FT",Milestones!$AA$161=FT_Y5,EDATE($D105,Milestones!$AA$161)&lt;PolicyEff),1,Milestones!$AC$161)&amp;";  ","")&amp;IF(AND(EDATE($D105,Milestones!$AA$162)&lt;=AsOfDate,EDATE($D105,Milestones!$AA$162)&gt;=SchemeStart,IF($X105=0,$AD105,IF(AND($Z105&lt;&gt;"",EDATE($D105,Milestones!$AA$162)&gt;=$Z105),$AC105,IF(AND($Y105&lt;&gt;"",EDATE($D105,Milestones!$AA$162)&gt;=$Y105),$AB105,$AA105)))=Milestones!$AB$162),UPPER(TEXT(EDATE($D105,Milestones!$AA$162),"dd mmm yy"))&amp;" "&amp;Milestones!$AB$162&amp;" "&amp;IF(AND(Milestones!$AB$162="FT",Milestones!$AA$162=FT_Y5,EDATE($D105,Milestones!$AA$162)&lt;PolicyEff),1,Milestones!$AC$162)&amp;";  ","")&amp;IF(AND(EDATE($D105,Milestones!$AA$163)&lt;=AsOfDate,EDATE($D105,Milestones!$AA$163)&gt;=SchemeStart,IF($X105=0,$AD105,IF(AND($Z105&lt;&gt;"",EDATE($D105,Milestones!$AA$163)&gt;=$Z105),$AC105,IF(AND($Y105&lt;&gt;"",EDATE($D105,Milestones!$AA$163)&gt;=$Y105),$AB105,$AA105)))=Milestones!$AB$163),UPPER(TEXT(EDATE($D105,Milestones!$AA$163),"dd mmm yy"))&amp;" "&amp;Milestones!$AB$163&amp;" "&amp;IF(AND(Milestones!$AB$163="FT",Milestones!$AA$163=FT_Y5,EDATE($D105,Milestones!$AA$163)&lt;PolicyEff),1,Milestones!$AC$163)&amp;";  ",""))</f>
        <v/>
      </c>
      <c r="U105" s="0" t="str">
        <f aca="false">IF(OR($A105="",$D105=""),"",IF(AND(EDATE($D105,Milestones!$AA$164)&lt;=AsOfDate,EDATE($D105,Milestones!$AA$164)&gt;=SchemeStart,IF($X105=0,$AD105,IF(AND($Z105&lt;&gt;"",EDATE($D105,Milestones!$AA$164)&gt;=$Z105),$AC105,IF(AND($Y105&lt;&gt;"",EDATE($D105,Milestones!$AA$164)&gt;=$Y105),$AB105,$AA105)))=Milestones!$AB$164),UPPER(TEXT(EDATE($D105,Milestones!$AA$164),"dd mmm yy"))&amp;" "&amp;Milestones!$AB$164&amp;" "&amp;IF(AND(Milestones!$AB$164="FT",Milestones!$AA$164=FT_Y5,EDATE($D105,Milestones!$AA$164)&lt;PolicyEff),1,Milestones!$AC$164)&amp;";  ","")&amp;IF(AND(EDATE($D105,Milestones!$AA$165)&lt;=AsOfDate,EDATE($D105,Milestones!$AA$165)&gt;=SchemeStart,IF($X105=0,$AD105,IF(AND($Z105&lt;&gt;"",EDATE($D105,Milestones!$AA$165)&gt;=$Z105),$AC105,IF(AND($Y105&lt;&gt;"",EDATE($D105,Milestones!$AA$165)&gt;=$Y105),$AB105,$AA105)))=Milestones!$AB$165),UPPER(TEXT(EDATE($D105,Milestones!$AA$165),"dd mmm yy"))&amp;" "&amp;Milestones!$AB$165&amp;" "&amp;IF(AND(Milestones!$AB$165="FT",Milestones!$AA$165=FT_Y5,EDATE($D105,Milestones!$AA$165)&lt;PolicyEff),1,Milestones!$AC$165)&amp;";  ","")&amp;IF(AND(EDATE($D105,Milestones!$AA$166)&lt;=AsOfDate,EDATE($D105,Milestones!$AA$166)&gt;=SchemeStart,IF($X105=0,$AD105,IF(AND($Z105&lt;&gt;"",EDATE($D105,Milestones!$AA$166)&gt;=$Z105),$AC105,IF(AND($Y105&lt;&gt;"",EDATE($D105,Milestones!$AA$166)&gt;=$Y105),$AB105,$AA105)))=Milestones!$AB$166),UPPER(TEXT(EDATE($D105,Milestones!$AA$166),"dd mmm yy"))&amp;" "&amp;Milestones!$AB$166&amp;" "&amp;IF(AND(Milestones!$AB$166="FT",Milestones!$AA$166=FT_Y5,EDATE($D105,Milestones!$AA$166)&lt;PolicyEff),1,Milestones!$AC$166)&amp;";  ","")&amp;IF(AND(EDATE($D105,Milestones!$AA$167)&lt;=AsOfDate,EDATE($D105,Milestones!$AA$167)&gt;=SchemeStart,IF($X105=0,$AD105,IF(AND($Z105&lt;&gt;"",EDATE($D105,Milestones!$AA$167)&gt;=$Z105),$AC105,IF(AND($Y105&lt;&gt;"",EDATE($D105,Milestones!$AA$167)&gt;=$Y105),$AB105,$AA105)))=Milestones!$AB$167),UPPER(TEXT(EDATE($D105,Milestones!$AA$167),"dd mmm yy"))&amp;" "&amp;Milestones!$AB$167&amp;" "&amp;IF(AND(Milestones!$AB$167="FT",Milestones!$AA$167=FT_Y5,EDATE($D105,Milestones!$AA$167)&lt;PolicyEff),1,Milestones!$AC$167)&amp;";  ","")&amp;IF(AND(EDATE($D105,Milestones!$AA$168)&lt;=AsOfDate,EDATE($D105,Milestones!$AA$168)&gt;=SchemeStart,IF($X105=0,$AD105,IF(AND($Z105&lt;&gt;"",EDATE($D105,Milestones!$AA$168)&gt;=$Z105),$AC105,IF(AND($Y105&lt;&gt;"",EDATE($D105,Milestones!$AA$168)&gt;=$Y105),$AB105,$AA105)))=Milestones!$AB$168),UPPER(TEXT(EDATE($D105,Milestones!$AA$168),"dd mmm yy"))&amp;" "&amp;Milestones!$AB$168&amp;" "&amp;IF(AND(Milestones!$AB$168="FT",Milestones!$AA$168=FT_Y5,EDATE($D105,Milestones!$AA$168)&lt;PolicyEff),1,Milestones!$AC$168)&amp;";  ","")&amp;IF(AND(EDATE($D105,Milestones!$AA$169)&lt;=AsOfDate,EDATE($D105,Milestones!$AA$169)&gt;=SchemeStart,IF($X105=0,$AD105,IF(AND($Z105&lt;&gt;"",EDATE($D105,Milestones!$AA$169)&gt;=$Z105),$AC105,IF(AND($Y105&lt;&gt;"",EDATE($D105,Milestones!$AA$169)&gt;=$Y105),$AB105,$AA105)))=Milestones!$AB$169),UPPER(TEXT(EDATE($D105,Milestones!$AA$169),"dd mmm yy"))&amp;" "&amp;Milestones!$AB$169&amp;" "&amp;IF(AND(Milestones!$AB$169="FT",Milestones!$AA$169=FT_Y5,EDATE($D105,Milestones!$AA$169)&lt;PolicyEff),1,Milestones!$AC$169)&amp;";  ","")&amp;IF(AND(EDATE($D105,Milestones!$AA$170)&lt;=AsOfDate,EDATE($D105,Milestones!$AA$170)&gt;=SchemeStart,IF($X105=0,$AD105,IF(AND($Z105&lt;&gt;"",EDATE($D105,Milestones!$AA$170)&gt;=$Z105),$AC105,IF(AND($Y105&lt;&gt;"",EDATE($D105,Milestones!$AA$170)&gt;=$Y105),$AB105,$AA105)))=Milestones!$AB$170),UPPER(TEXT(EDATE($D105,Milestones!$AA$170),"dd mmm yy"))&amp;" "&amp;Milestones!$AB$170&amp;" "&amp;IF(AND(Milestones!$AB$170="FT",Milestones!$AA$170=FT_Y5,EDATE($D105,Milestones!$AA$170)&lt;PolicyEff),1,Milestones!$AC$170)&amp;";  ","")&amp;IF(AND(EDATE($D105,Milestones!$AA$171)&lt;=AsOfDate,EDATE($D105,Milestones!$AA$171)&gt;=SchemeStart,IF($X105=0,$AD105,IF(AND($Z105&lt;&gt;"",EDATE($D105,Milestones!$AA$171)&gt;=$Z105),$AC105,IF(AND($Y105&lt;&gt;"",EDATE($D105,Milestones!$AA$171)&gt;=$Y105),$AB105,$AA105)))=Milestones!$AB$171),UPPER(TEXT(EDATE($D105,Milestones!$AA$171),"dd mmm yy"))&amp;" "&amp;Milestones!$AB$171&amp;" "&amp;IF(AND(Milestones!$AB$171="FT",Milestones!$AA$171=FT_Y5,EDATE($D105,Milestones!$AA$171)&lt;PolicyEff),1,Milestones!$AC$171)&amp;";  ","")&amp;IF(AND(EDATE($D105,Milestones!$AA$172)&lt;=AsOfDate,EDATE($D105,Milestones!$AA$172)&gt;=SchemeStart,IF($X105=0,$AD105,IF(AND($Z105&lt;&gt;"",EDATE($D105,Milestones!$AA$172)&gt;=$Z105),$AC105,IF(AND($Y105&lt;&gt;"",EDATE($D105,Milestones!$AA$172)&gt;=$Y105),$AB105,$AA105)))=Milestones!$AB$172),UPPER(TEXT(EDATE($D105,Milestones!$AA$172),"dd mmm yy"))&amp;" "&amp;Milestones!$AB$172&amp;" "&amp;IF(AND(Milestones!$AB$172="FT",Milestones!$AA$172=FT_Y5,EDATE($D105,Milestones!$AA$172)&lt;PolicyEff),1,Milestones!$AC$172)&amp;";  ","")&amp;IF(AND(EDATE($D105,Milestones!$AA$173)&lt;=AsOfDate,EDATE($D105,Milestones!$AA$173)&gt;=SchemeStart,IF($X105=0,$AD105,IF(AND($Z105&lt;&gt;"",EDATE($D105,Milestones!$AA$173)&gt;=$Z105),$AC105,IF(AND($Y105&lt;&gt;"",EDATE($D105,Milestones!$AA$173)&gt;=$Y105),$AB105,$AA105)))=Milestones!$AB$173),UPPER(TEXT(EDATE($D105,Milestones!$AA$173),"dd mmm yy"))&amp;" "&amp;Milestones!$AB$173&amp;" "&amp;IF(AND(Milestones!$AB$173="FT",Milestones!$AA$173=FT_Y5,EDATE($D105,Milestones!$AA$173)&lt;PolicyEff),1,Milestones!$AC$173)&amp;";  ","")&amp;IF(AND(EDATE($D105,Milestones!$AA$174)&lt;=AsOfDate,EDATE($D105,Milestones!$AA$174)&gt;=SchemeStart,IF($X105=0,$AD105,IF(AND($Z105&lt;&gt;"",EDATE($D105,Milestones!$AA$174)&gt;=$Z105),$AC105,IF(AND($Y105&lt;&gt;"",EDATE($D105,Milestones!$AA$174)&gt;=$Y105),$AB105,$AA105)))=Milestones!$AB$174),UPPER(TEXT(EDATE($D105,Milestones!$AA$174),"dd mmm yy"))&amp;" "&amp;Milestones!$AB$174&amp;" "&amp;IF(AND(Milestones!$AB$174="FT",Milestones!$AA$174=FT_Y5,EDATE($D105,Milestones!$AA$174)&lt;PolicyEff),1,Milestones!$AC$174)&amp;";  ","")&amp;IF(AND(EDATE($D105,Milestones!$AA$175)&lt;=AsOfDate,EDATE($D105,Milestones!$AA$175)&gt;=SchemeStart,IF($X105=0,$AD105,IF(AND($Z105&lt;&gt;"",EDATE($D105,Milestones!$AA$175)&gt;=$Z105),$AC105,IF(AND($Y105&lt;&gt;"",EDATE($D105,Milestones!$AA$175)&gt;=$Y105),$AB105,$AA105)))=Milestones!$AB$175),UPPER(TEXT(EDATE($D105,Milestones!$AA$175),"dd mmm yy"))&amp;" "&amp;Milestones!$AB$175&amp;" "&amp;IF(AND(Milestones!$AB$175="FT",Milestones!$AA$175=FT_Y5,EDATE($D105,Milestones!$AA$175)&lt;PolicyEff),1,Milestones!$AC$175)&amp;";  ",""))</f>
        <v/>
      </c>
      <c r="V105" s="0" t="str">
        <f aca="false">IF(OR($A105="",$D105=""),"",IF(AND(EDATE($D105,Milestones!$AA$176)&lt;=AsOfDate,EDATE($D105,Milestones!$AA$176)&gt;=SchemeStart,IF($X105=0,$AD105,IF(AND($Z105&lt;&gt;"",EDATE($D105,Milestones!$AA$176)&gt;=$Z105),$AC105,IF(AND($Y105&lt;&gt;"",EDATE($D105,Milestones!$AA$176)&gt;=$Y105),$AB105,$AA105)))=Milestones!$AB$176),UPPER(TEXT(EDATE($D105,Milestones!$AA$176),"dd mmm yy"))&amp;" "&amp;Milestones!$AB$176&amp;" "&amp;IF(AND(Milestones!$AB$176="FT",Milestones!$AA$176=FT_Y5,EDATE($D105,Milestones!$AA$176)&lt;PolicyEff),1,Milestones!$AC$176)&amp;";  ","")&amp;IF(AND(EDATE($D105,Milestones!$AA$177)&lt;=AsOfDate,EDATE($D105,Milestones!$AA$177)&gt;=SchemeStart,IF($X105=0,$AD105,IF(AND($Z105&lt;&gt;"",EDATE($D105,Milestones!$AA$177)&gt;=$Z105),$AC105,IF(AND($Y105&lt;&gt;"",EDATE($D105,Milestones!$AA$177)&gt;=$Y105),$AB105,$AA105)))=Milestones!$AB$177),UPPER(TEXT(EDATE($D105,Milestones!$AA$177),"dd mmm yy"))&amp;" "&amp;Milestones!$AB$177&amp;" "&amp;IF(AND(Milestones!$AB$177="FT",Milestones!$AA$177=FT_Y5,EDATE($D105,Milestones!$AA$177)&lt;PolicyEff),1,Milestones!$AC$177)&amp;";  ","")&amp;IF(AND(EDATE($D105,Milestones!$AA$178)&lt;=AsOfDate,EDATE($D105,Milestones!$AA$178)&gt;=SchemeStart,IF($X105=0,$AD105,IF(AND($Z105&lt;&gt;"",EDATE($D105,Milestones!$AA$178)&gt;=$Z105),$AC105,IF(AND($Y105&lt;&gt;"",EDATE($D105,Milestones!$AA$178)&gt;=$Y105),$AB105,$AA105)))=Milestones!$AB$178),UPPER(TEXT(EDATE($D105,Milestones!$AA$178),"dd mmm yy"))&amp;" "&amp;Milestones!$AB$178&amp;" "&amp;IF(AND(Milestones!$AB$178="FT",Milestones!$AA$178=FT_Y5,EDATE($D105,Milestones!$AA$178)&lt;PolicyEff),1,Milestones!$AC$178)&amp;";  ","")&amp;IF(AND(EDATE($D105,Milestones!$AA$179)&lt;=AsOfDate,EDATE($D105,Milestones!$AA$179)&gt;=SchemeStart,IF($X105=0,$AD105,IF(AND($Z105&lt;&gt;"",EDATE($D105,Milestones!$AA$179)&gt;=$Z105),$AC105,IF(AND($Y105&lt;&gt;"",EDATE($D105,Milestones!$AA$179)&gt;=$Y105),$AB105,$AA105)))=Milestones!$AB$179),UPPER(TEXT(EDATE($D105,Milestones!$AA$179),"dd mmm yy"))&amp;" "&amp;Milestones!$AB$179&amp;" "&amp;IF(AND(Milestones!$AB$179="FT",Milestones!$AA$179=FT_Y5,EDATE($D105,Milestones!$AA$179)&lt;PolicyEff),1,Milestones!$AC$179)&amp;";  ","")&amp;IF(AND(EDATE($D105,Milestones!$AA$180)&lt;=AsOfDate,EDATE($D105,Milestones!$AA$180)&gt;=SchemeStart,IF($X105=0,$AD105,IF(AND($Z105&lt;&gt;"",EDATE($D105,Milestones!$AA$180)&gt;=$Z105),$AC105,IF(AND($Y105&lt;&gt;"",EDATE($D105,Milestones!$AA$180)&gt;=$Y105),$AB105,$AA105)))=Milestones!$AB$180),UPPER(TEXT(EDATE($D105,Milestones!$AA$180),"dd mmm yy"))&amp;" "&amp;Milestones!$AB$180&amp;" "&amp;IF(AND(Milestones!$AB$180="FT",Milestones!$AA$180=FT_Y5,EDATE($D105,Milestones!$AA$180)&lt;PolicyEff),1,Milestones!$AC$180)&amp;";  ","")&amp;IF(AND(EDATE($D105,Milestones!$AA$181)&lt;=AsOfDate,EDATE($D105,Milestones!$AA$181)&gt;=SchemeStart,IF($X105=0,$AD105,IF(AND($Z105&lt;&gt;"",EDATE($D105,Milestones!$AA$181)&gt;=$Z105),$AC105,IF(AND($Y105&lt;&gt;"",EDATE($D105,Milestones!$AA$181)&gt;=$Y105),$AB105,$AA105)))=Milestones!$AB$181),UPPER(TEXT(EDATE($D105,Milestones!$AA$181),"dd mmm yy"))&amp;" "&amp;Milestones!$AB$181&amp;" "&amp;IF(AND(Milestones!$AB$181="FT",Milestones!$AA$181=FT_Y5,EDATE($D105,Milestones!$AA$181)&lt;PolicyEff),1,Milestones!$AC$181)&amp;";  ","")&amp;IF(AND(EDATE($D105,Milestones!$AA$182)&lt;=AsOfDate,EDATE($D105,Milestones!$AA$182)&gt;=SchemeStart,IF($X105=0,$AD105,IF(AND($Z105&lt;&gt;"",EDATE($D105,Milestones!$AA$182)&gt;=$Z105),$AC105,IF(AND($Y105&lt;&gt;"",EDATE($D105,Milestones!$AA$182)&gt;=$Y105),$AB105,$AA105)))=Milestones!$AB$182),UPPER(TEXT(EDATE($D105,Milestones!$AA$182),"dd mmm yy"))&amp;" "&amp;Milestones!$AB$182&amp;" "&amp;IF(AND(Milestones!$AB$182="FT",Milestones!$AA$182=FT_Y5,EDATE($D105,Milestones!$AA$182)&lt;PolicyEff),1,Milestones!$AC$182)&amp;";  ","")&amp;IF(AND(EDATE($D105,Milestones!$AA$183)&lt;=AsOfDate,EDATE($D105,Milestones!$AA$183)&gt;=SchemeStart,IF($X105=0,$AD105,IF(AND($Z105&lt;&gt;"",EDATE($D105,Milestones!$AA$183)&gt;=$Z105),$AC105,IF(AND($Y105&lt;&gt;"",EDATE($D105,Milestones!$AA$183)&gt;=$Y105),$AB105,$AA105)))=Milestones!$AB$183),UPPER(TEXT(EDATE($D105,Milestones!$AA$183),"dd mmm yy"))&amp;" "&amp;Milestones!$AB$183&amp;" "&amp;IF(AND(Milestones!$AB$183="FT",Milestones!$AA$183=FT_Y5,EDATE($D105,Milestones!$AA$183)&lt;PolicyEff),1,Milestones!$AC$183)&amp;";  ","")&amp;IF(AND(EDATE($D105,Milestones!$AA$184)&lt;=AsOfDate,EDATE($D105,Milestones!$AA$184)&gt;=SchemeStart,IF($X105=0,$AD105,IF(AND($Z105&lt;&gt;"",EDATE($D105,Milestones!$AA$184)&gt;=$Z105),$AC105,IF(AND($Y105&lt;&gt;"",EDATE($D105,Milestones!$AA$184)&gt;=$Y105),$AB105,$AA105)))=Milestones!$AB$184),UPPER(TEXT(EDATE($D105,Milestones!$AA$184),"dd mmm yy"))&amp;" "&amp;Milestones!$AB$184&amp;" "&amp;IF(AND(Milestones!$AB$184="FT",Milestones!$AA$184=FT_Y5,EDATE($D105,Milestones!$AA$184)&lt;PolicyEff),1,Milestones!$AC$184)&amp;";  ","")&amp;IF(AND(EDATE($D105,Milestones!$AA$185)&lt;=AsOfDate,EDATE($D105,Milestones!$AA$185)&gt;=SchemeStart,IF($X105=0,$AD105,IF(AND($Z105&lt;&gt;"",EDATE($D105,Milestones!$AA$185)&gt;=$Z105),$AC105,IF(AND($Y105&lt;&gt;"",EDATE($D105,Milestones!$AA$185)&gt;=$Y105),$AB105,$AA105)))=Milestones!$AB$185),UPPER(TEXT(EDATE($D105,Milestones!$AA$185),"dd mmm yy"))&amp;" "&amp;Milestones!$AB$185&amp;" "&amp;IF(AND(Milestones!$AB$185="FT",Milestones!$AA$185=FT_Y5,EDATE($D105,Milestones!$AA$185)&lt;PolicyEff),1,Milestones!$AC$185)&amp;";  ","")&amp;IF(AND(EDATE($D105,Milestones!$AA$186)&lt;=AsOfDate,EDATE($D105,Milestones!$AA$186)&gt;=SchemeStart,IF($X105=0,$AD105,IF(AND($Z105&lt;&gt;"",EDATE($D105,Milestones!$AA$186)&gt;=$Z105),$AC105,IF(AND($Y105&lt;&gt;"",EDATE($D105,Milestones!$AA$186)&gt;=$Y105),$AB105,$AA105)))=Milestones!$AB$186),UPPER(TEXT(EDATE($D105,Milestones!$AA$186),"dd mmm yy"))&amp;" "&amp;Milestones!$AB$186&amp;" "&amp;IF(AND(Milestones!$AB$186="FT",Milestones!$AA$186=FT_Y5,EDATE($D105,Milestones!$AA$186)&lt;PolicyEff),1,Milestones!$AC$186)&amp;";  ","")&amp;IF(AND(EDATE($D105,Milestones!$AA$187)&lt;=AsOfDate,EDATE($D105,Milestones!$AA$187)&gt;=SchemeStart,IF($X105=0,$AD105,IF(AND($Z105&lt;&gt;"",EDATE($D105,Milestones!$AA$187)&gt;=$Z105),$AC105,IF(AND($Y105&lt;&gt;"",EDATE($D105,Milestones!$AA$187)&gt;=$Y105),$AB105,$AA105)))=Milestones!$AB$187),UPPER(TEXT(EDATE($D105,Milestones!$AA$187),"dd mmm yy"))&amp;" "&amp;Milestones!$AB$187&amp;" "&amp;IF(AND(Milestones!$AB$187="FT",Milestones!$AA$187=FT_Y5,EDATE($D105,Milestones!$AA$187)&lt;PolicyEff),1,Milestones!$AC$187)&amp;";  ",""))</f>
        <v/>
      </c>
      <c r="W105" s="0" t="str">
        <f aca="false">IF(OR($A105="",$D105=""),"",IF(AND(EDATE($D105,Milestones!$AA$188)&lt;=AsOfDate,EDATE($D105,Milestones!$AA$188)&gt;=SchemeStart,IF($X105=0,$AD105,IF(AND($Z105&lt;&gt;"",EDATE($D105,Milestones!$AA$188)&gt;=$Z105),$AC105,IF(AND($Y105&lt;&gt;"",EDATE($D105,Milestones!$AA$188)&gt;=$Y105),$AB105,$AA105)))=Milestones!$AB$188),UPPER(TEXT(EDATE($D105,Milestones!$AA$188),"dd mmm yy"))&amp;" "&amp;Milestones!$AB$188&amp;" "&amp;IF(AND(Milestones!$AB$188="FT",Milestones!$AA$188=FT_Y5,EDATE($D105,Milestones!$AA$188)&lt;PolicyEff),1,Milestones!$AC$188)&amp;";  ","")&amp;IF(AND(EDATE($D105,Milestones!$AA$189)&lt;=AsOfDate,EDATE($D105,Milestones!$AA$189)&gt;=SchemeStart,IF($X105=0,$AD105,IF(AND($Z105&lt;&gt;"",EDATE($D105,Milestones!$AA$189)&gt;=$Z105),$AC105,IF(AND($Y105&lt;&gt;"",EDATE($D105,Milestones!$AA$189)&gt;=$Y105),$AB105,$AA105)))=Milestones!$AB$189),UPPER(TEXT(EDATE($D105,Milestones!$AA$189),"dd mmm yy"))&amp;" "&amp;Milestones!$AB$189&amp;" "&amp;IF(AND(Milestones!$AB$189="FT",Milestones!$AA$189=FT_Y5,EDATE($D105,Milestones!$AA$189)&lt;PolicyEff),1,Milestones!$AC$189)&amp;";  ","")&amp;IF(AND(EDATE($D105,Milestones!$AA$190)&lt;=AsOfDate,EDATE($D105,Milestones!$AA$190)&gt;=SchemeStart,IF($X105=0,$AD105,IF(AND($Z105&lt;&gt;"",EDATE($D105,Milestones!$AA$190)&gt;=$Z105),$AC105,IF(AND($Y105&lt;&gt;"",EDATE($D105,Milestones!$AA$190)&gt;=$Y105),$AB105,$AA105)))=Milestones!$AB$190),UPPER(TEXT(EDATE($D105,Milestones!$AA$190),"dd mmm yy"))&amp;" "&amp;Milestones!$AB$190&amp;" "&amp;IF(AND(Milestones!$AB$190="FT",Milestones!$AA$190=FT_Y5,EDATE($D105,Milestones!$AA$190)&lt;PolicyEff),1,Milestones!$AC$190)&amp;";  ","")&amp;IF(AND(EDATE($D105,Milestones!$AA$191)&lt;=AsOfDate,EDATE($D105,Milestones!$AA$191)&gt;=SchemeStart,IF($X105=0,$AD105,IF(AND($Z105&lt;&gt;"",EDATE($D105,Milestones!$AA$191)&gt;=$Z105),$AC105,IF(AND($Y105&lt;&gt;"",EDATE($D105,Milestones!$AA$191)&gt;=$Y105),$AB105,$AA105)))=Milestones!$AB$191),UPPER(TEXT(EDATE($D105,Milestones!$AA$191),"dd mmm yy"))&amp;" "&amp;Milestones!$AB$191&amp;" "&amp;IF(AND(Milestones!$AB$191="FT",Milestones!$AA$191=FT_Y5,EDATE($D105,Milestones!$AA$191)&lt;PolicyEff),1,Milestones!$AC$191)&amp;";  ","")&amp;IF(AND(EDATE($D105,Milestones!$AA$192)&lt;=AsOfDate,EDATE($D105,Milestones!$AA$192)&gt;=SchemeStart,IF($X105=0,$AD105,IF(AND($Z105&lt;&gt;"",EDATE($D105,Milestones!$AA$192)&gt;=$Z105),$AC105,IF(AND($Y105&lt;&gt;"",EDATE($D105,Milestones!$AA$192)&gt;=$Y105),$AB105,$AA105)))=Milestones!$AB$192),UPPER(TEXT(EDATE($D105,Milestones!$AA$192),"dd mmm yy"))&amp;" "&amp;Milestones!$AB$192&amp;" "&amp;IF(AND(Milestones!$AB$192="FT",Milestones!$AA$192=FT_Y5,EDATE($D105,Milestones!$AA$192)&lt;PolicyEff),1,Milestones!$AC$192)&amp;";  ","")&amp;IF(AND(EDATE($D105,Milestones!$AA$193)&lt;=AsOfDate,EDATE($D105,Milestones!$AA$193)&gt;=SchemeStart,IF($X105=0,$AD105,IF(AND($Z105&lt;&gt;"",EDATE($D105,Milestones!$AA$193)&gt;=$Z105),$AC105,IF(AND($Y105&lt;&gt;"",EDATE($D105,Milestones!$AA$193)&gt;=$Y105),$AB105,$AA105)))=Milestones!$AB$193),UPPER(TEXT(EDATE($D105,Milestones!$AA$193),"dd mmm yy"))&amp;" "&amp;Milestones!$AB$193&amp;" "&amp;IF(AND(Milestones!$AB$193="FT",Milestones!$AA$193=FT_Y5,EDATE($D105,Milestones!$AA$193)&lt;PolicyEff),1,Milestones!$AC$193)&amp;";  ","")&amp;IF(AND(EDATE($D105,Milestones!$AA$194)&lt;=AsOfDate,EDATE($D105,Milestones!$AA$194)&gt;=SchemeStart,IF($X105=0,$AD105,IF(AND($Z105&lt;&gt;"",EDATE($D105,Milestones!$AA$194)&gt;=$Z105),$AC105,IF(AND($Y105&lt;&gt;"",EDATE($D105,Milestones!$AA$194)&gt;=$Y105),$AB105,$AA105)))=Milestones!$AB$194),UPPER(TEXT(EDATE($D105,Milestones!$AA$194),"dd mmm yy"))&amp;" "&amp;Milestones!$AB$194&amp;" "&amp;IF(AND(Milestones!$AB$194="FT",Milestones!$AA$194=FT_Y5,EDATE($D105,Milestones!$AA$194)&lt;PolicyEff),1,Milestones!$AC$194)&amp;";  ","")&amp;IF(AND(EDATE($D105,Milestones!$AA$195)&lt;=AsOfDate,EDATE($D105,Milestones!$AA$195)&gt;=SchemeStart,IF($X105=0,$AD105,IF(AND($Z105&lt;&gt;"",EDATE($D105,Milestones!$AA$195)&gt;=$Z105),$AC105,IF(AND($Y105&lt;&gt;"",EDATE($D105,Milestones!$AA$195)&gt;=$Y105),$AB105,$AA105)))=Milestones!$AB$195),UPPER(TEXT(EDATE($D105,Milestones!$AA$195),"dd mmm yy"))&amp;" "&amp;Milestones!$AB$195&amp;" "&amp;IF(AND(Milestones!$AB$195="FT",Milestones!$AA$195=FT_Y5,EDATE($D105,Milestones!$AA$195)&lt;PolicyEff),1,Milestones!$AC$195)&amp;";  ","")&amp;IF(AND(EDATE($D105,Milestones!$AA$196)&lt;=AsOfDate,EDATE($D105,Milestones!$AA$196)&gt;=SchemeStart,IF($X105=0,$AD105,IF(AND($Z105&lt;&gt;"",EDATE($D105,Milestones!$AA$196)&gt;=$Z105),$AC105,IF(AND($Y105&lt;&gt;"",EDATE($D105,Milestones!$AA$196)&gt;=$Y105),$AB105,$AA105)))=Milestones!$AB$196),UPPER(TEXT(EDATE($D105,Milestones!$AA$196),"dd mmm yy"))&amp;" "&amp;Milestones!$AB$196&amp;" "&amp;IF(AND(Milestones!$AB$196="FT",Milestones!$AA$196=FT_Y5,EDATE($D105,Milestones!$AA$196)&lt;PolicyEff),1,Milestones!$AC$196)&amp;";  ","")&amp;IF(AND(EDATE($D105,Milestones!$AA$197)&lt;=AsOfDate,EDATE($D105,Milestones!$AA$197)&gt;=SchemeStart,IF($X105=0,$AD105,IF(AND($Z105&lt;&gt;"",EDATE($D105,Milestones!$AA$197)&gt;=$Z105),$AC105,IF(AND($Y105&lt;&gt;"",EDATE($D105,Milestones!$AA$197)&gt;=$Y105),$AB105,$AA105)))=Milestones!$AB$197),UPPER(TEXT(EDATE($D105,Milestones!$AA$197),"dd mmm yy"))&amp;" "&amp;Milestones!$AB$197&amp;" "&amp;IF(AND(Milestones!$AB$197="FT",Milestones!$AA$197=FT_Y5,EDATE($D105,Milestones!$AA$197)&lt;PolicyEff),1,Milestones!$AC$197)&amp;";  ","")&amp;IF(AND(EDATE($D105,Milestones!$AA$198)&lt;=AsOfDate,EDATE($D105,Milestones!$AA$198)&gt;=SchemeStart,IF($X105=0,$AD105,IF(AND($Z105&lt;&gt;"",EDATE($D105,Milestones!$AA$198)&gt;=$Z105),$AC105,IF(AND($Y105&lt;&gt;"",EDATE($D105,Milestones!$AA$198)&gt;=$Y105),$AB105,$AA105)))=Milestones!$AB$198),UPPER(TEXT(EDATE($D105,Milestones!$AA$198),"dd mmm yy"))&amp;" "&amp;Milestones!$AB$198&amp;" "&amp;IF(AND(Milestones!$AB$198="FT",Milestones!$AA$198=FT_Y5,EDATE($D105,Milestones!$AA$198)&lt;PolicyEff),1,Milestones!$AC$198)&amp;";  ","")&amp;IF(AND(EDATE($D105,Milestones!$AA$199)&lt;=AsOfDate,EDATE($D105,Milestones!$AA$199)&gt;=SchemeStart,IF($X105=0,$AD105,IF(AND($Z105&lt;&gt;"",EDATE($D105,Milestones!$AA$199)&gt;=$Z105),$AC105,IF(AND($Y105&lt;&gt;"",EDATE($D105,Milestones!$AA$199)&gt;=$Y105),$AB105,$AA105)))=Milestones!$AB$199),UPPER(TEXT(EDATE($D105,Milestones!$AA$199),"dd mmm yy"))&amp;" "&amp;Milestones!$AB$199&amp;" "&amp;IF(AND(Milestones!$AB$199="FT",Milestones!$AA$199=FT_Y5,EDATE($D105,Milestones!$AA$199)&lt;PolicyEff),1,Milestones!$AC$199)&amp;";  ",""))</f>
        <v/>
      </c>
      <c r="X105" s="0" t="str">
        <f aca="false">IF(Staff!$A105="","",Staff!$AM105)</f>
        <v/>
      </c>
      <c r="Y105" s="0" t="str">
        <f aca="false">IF(Staff!$A105="","",Staff!$AO105)</f>
        <v/>
      </c>
      <c r="Z105" s="0" t="str">
        <f aca="false">IF(Staff!$A105="","",Staff!$AP105)</f>
        <v/>
      </c>
      <c r="AA105" s="0" t="str">
        <f aca="false">IF(Staff!$A105="","",Staff!$AT105)</f>
        <v/>
      </c>
      <c r="AB105" s="0" t="str">
        <f aca="false">IF(Staff!$A105="","",Staff!$AU105)</f>
        <v/>
      </c>
      <c r="AC105" s="0" t="str">
        <f aca="false">IF(Staff!$A105="","",Staff!$AV105)</f>
        <v/>
      </c>
      <c r="AD105" s="0" t="str">
        <f aca="false">IF(Staff!$A105="","",Staff!$AW105)</f>
        <v/>
      </c>
    </row>
    <row r="106" customFormat="false" ht="15" hidden="false" customHeight="false" outlineLevel="0" collapsed="false">
      <c r="A106" s="16" t="str">
        <f aca="false">IF(Staff!$A106="","",Staff!$A106)</f>
        <v/>
      </c>
      <c r="B106" s="16" t="str">
        <f aca="false">IF(Staff!$A106="","",Staff!$B106)</f>
        <v/>
      </c>
      <c r="C106" s="16" t="str">
        <f aca="false">IF(Staff!$A106="","",Staff!$C106)</f>
        <v/>
      </c>
      <c r="D106" s="14" t="str">
        <f aca="false">IF(Staff!$A106="","",Staff!$AL106)</f>
        <v/>
      </c>
      <c r="E106" s="16" t="str">
        <f aca="false">IF(Staff!$A106="","",Staff!$O106)</f>
        <v/>
      </c>
      <c r="F106" s="16" t="str">
        <f aca="false">IF(E106="","",E106*HoursPerDay)</f>
        <v/>
      </c>
      <c r="G106" s="16" t="str">
        <f aca="false">IF(Staff!$A106="","",Staff!$AE106)</f>
        <v/>
      </c>
      <c r="H106" s="28" t="str">
        <f aca="false">IF($A106="","",I106&amp;J106&amp;K106&amp;L106&amp;M106&amp;N106&amp;O106&amp;P106&amp;Q106&amp;R106&amp;S106&amp;T106&amp;U106&amp;V106&amp;W106)</f>
        <v/>
      </c>
      <c r="I106" s="0" t="str">
        <f aca="false">IF(OR($A106="",$D106=""),"",IF(AND(EDATE($D106,Milestones!$AA$20)&lt;=AsOfDate,EDATE($D106,Milestones!$AA$20)&gt;=SchemeStart,IF($X106=0,$AD106,IF(AND($Z106&lt;&gt;"",EDATE($D106,Milestones!$AA$20)&gt;=$Z106),$AC106,IF(AND($Y106&lt;&gt;"",EDATE($D106,Milestones!$AA$20)&gt;=$Y106),$AB106,$AA106)))=Milestones!$AB$20),UPPER(TEXT(EDATE($D106,Milestones!$AA$20),"dd mmm yy"))&amp;" "&amp;Milestones!$AB$20&amp;" "&amp;IF(AND(Milestones!$AB$20="FT",Milestones!$AA$20=FT_Y5,EDATE($D106,Milestones!$AA$20)&lt;PolicyEff),1,Milestones!$AC$20)&amp;";  ","")&amp;IF(AND(EDATE($D106,Milestones!$AA$21)&lt;=AsOfDate,EDATE($D106,Milestones!$AA$21)&gt;=SchemeStart,IF($X106=0,$AD106,IF(AND($Z106&lt;&gt;"",EDATE($D106,Milestones!$AA$21)&gt;=$Z106),$AC106,IF(AND($Y106&lt;&gt;"",EDATE($D106,Milestones!$AA$21)&gt;=$Y106),$AB106,$AA106)))=Milestones!$AB$21),UPPER(TEXT(EDATE($D106,Milestones!$AA$21),"dd mmm yy"))&amp;" "&amp;Milestones!$AB$21&amp;" "&amp;IF(AND(Milestones!$AB$21="FT",Milestones!$AA$21=FT_Y5,EDATE($D106,Milestones!$AA$21)&lt;PolicyEff),1,Milestones!$AC$21)&amp;";  ","")&amp;IF(AND(EDATE($D106,Milestones!$AA$22)&lt;=AsOfDate,EDATE($D106,Milestones!$AA$22)&gt;=SchemeStart,IF($X106=0,$AD106,IF(AND($Z106&lt;&gt;"",EDATE($D106,Milestones!$AA$22)&gt;=$Z106),$AC106,IF(AND($Y106&lt;&gt;"",EDATE($D106,Milestones!$AA$22)&gt;=$Y106),$AB106,$AA106)))=Milestones!$AB$22),UPPER(TEXT(EDATE($D106,Milestones!$AA$22),"dd mmm yy"))&amp;" "&amp;Milestones!$AB$22&amp;" "&amp;IF(AND(Milestones!$AB$22="FT",Milestones!$AA$22=FT_Y5,EDATE($D106,Milestones!$AA$22)&lt;PolicyEff),1,Milestones!$AC$22)&amp;";  ","")&amp;IF(AND(EDATE($D106,Milestones!$AA$23)&lt;=AsOfDate,EDATE($D106,Milestones!$AA$23)&gt;=SchemeStart,IF($X106=0,$AD106,IF(AND($Z106&lt;&gt;"",EDATE($D106,Milestones!$AA$23)&gt;=$Z106),$AC106,IF(AND($Y106&lt;&gt;"",EDATE($D106,Milestones!$AA$23)&gt;=$Y106),$AB106,$AA106)))=Milestones!$AB$23),UPPER(TEXT(EDATE($D106,Milestones!$AA$23),"dd mmm yy"))&amp;" "&amp;Milestones!$AB$23&amp;" "&amp;IF(AND(Milestones!$AB$23="FT",Milestones!$AA$23=FT_Y5,EDATE($D106,Milestones!$AA$23)&lt;PolicyEff),1,Milestones!$AC$23)&amp;";  ","")&amp;IF(AND(EDATE($D106,Milestones!$AA$24)&lt;=AsOfDate,EDATE($D106,Milestones!$AA$24)&gt;=SchemeStart,IF($X106=0,$AD106,IF(AND($Z106&lt;&gt;"",EDATE($D106,Milestones!$AA$24)&gt;=$Z106),$AC106,IF(AND($Y106&lt;&gt;"",EDATE($D106,Milestones!$AA$24)&gt;=$Y106),$AB106,$AA106)))=Milestones!$AB$24),UPPER(TEXT(EDATE($D106,Milestones!$AA$24),"dd mmm yy"))&amp;" "&amp;Milestones!$AB$24&amp;" "&amp;IF(AND(Milestones!$AB$24="FT",Milestones!$AA$24=FT_Y5,EDATE($D106,Milestones!$AA$24)&lt;PolicyEff),1,Milestones!$AC$24)&amp;";  ","")&amp;IF(AND(EDATE($D106,Milestones!$AA$25)&lt;=AsOfDate,EDATE($D106,Milestones!$AA$25)&gt;=SchemeStart,IF($X106=0,$AD106,IF(AND($Z106&lt;&gt;"",EDATE($D106,Milestones!$AA$25)&gt;=$Z106),$AC106,IF(AND($Y106&lt;&gt;"",EDATE($D106,Milestones!$AA$25)&gt;=$Y106),$AB106,$AA106)))=Milestones!$AB$25),UPPER(TEXT(EDATE($D106,Milestones!$AA$25),"dd mmm yy"))&amp;" "&amp;Milestones!$AB$25&amp;" "&amp;IF(AND(Milestones!$AB$25="FT",Milestones!$AA$25=FT_Y5,EDATE($D106,Milestones!$AA$25)&lt;PolicyEff),1,Milestones!$AC$25)&amp;";  ","")&amp;IF(AND(EDATE($D106,Milestones!$AA$26)&lt;=AsOfDate,EDATE($D106,Milestones!$AA$26)&gt;=SchemeStart,IF($X106=0,$AD106,IF(AND($Z106&lt;&gt;"",EDATE($D106,Milestones!$AA$26)&gt;=$Z106),$AC106,IF(AND($Y106&lt;&gt;"",EDATE($D106,Milestones!$AA$26)&gt;=$Y106),$AB106,$AA106)))=Milestones!$AB$26),UPPER(TEXT(EDATE($D106,Milestones!$AA$26),"dd mmm yy"))&amp;" "&amp;Milestones!$AB$26&amp;" "&amp;IF(AND(Milestones!$AB$26="FT",Milestones!$AA$26=FT_Y5,EDATE($D106,Milestones!$AA$26)&lt;PolicyEff),1,Milestones!$AC$26)&amp;";  ","")&amp;IF(AND(EDATE($D106,Milestones!$AA$27)&lt;=AsOfDate,EDATE($D106,Milestones!$AA$27)&gt;=SchemeStart,IF($X106=0,$AD106,IF(AND($Z106&lt;&gt;"",EDATE($D106,Milestones!$AA$27)&gt;=$Z106),$AC106,IF(AND($Y106&lt;&gt;"",EDATE($D106,Milestones!$AA$27)&gt;=$Y106),$AB106,$AA106)))=Milestones!$AB$27),UPPER(TEXT(EDATE($D106,Milestones!$AA$27),"dd mmm yy"))&amp;" "&amp;Milestones!$AB$27&amp;" "&amp;IF(AND(Milestones!$AB$27="FT",Milestones!$AA$27=FT_Y5,EDATE($D106,Milestones!$AA$27)&lt;PolicyEff),1,Milestones!$AC$27)&amp;";  ","")&amp;IF(AND(EDATE($D106,Milestones!$AA$28)&lt;=AsOfDate,EDATE($D106,Milestones!$AA$28)&gt;=SchemeStart,IF($X106=0,$AD106,IF(AND($Z106&lt;&gt;"",EDATE($D106,Milestones!$AA$28)&gt;=$Z106),$AC106,IF(AND($Y106&lt;&gt;"",EDATE($D106,Milestones!$AA$28)&gt;=$Y106),$AB106,$AA106)))=Milestones!$AB$28),UPPER(TEXT(EDATE($D106,Milestones!$AA$28),"dd mmm yy"))&amp;" "&amp;Milestones!$AB$28&amp;" "&amp;IF(AND(Milestones!$AB$28="FT",Milestones!$AA$28=FT_Y5,EDATE($D106,Milestones!$AA$28)&lt;PolicyEff),1,Milestones!$AC$28)&amp;";  ","")&amp;IF(AND(EDATE($D106,Milestones!$AA$29)&lt;=AsOfDate,EDATE($D106,Milestones!$AA$29)&gt;=SchemeStart,IF($X106=0,$AD106,IF(AND($Z106&lt;&gt;"",EDATE($D106,Milestones!$AA$29)&gt;=$Z106),$AC106,IF(AND($Y106&lt;&gt;"",EDATE($D106,Milestones!$AA$29)&gt;=$Y106),$AB106,$AA106)))=Milestones!$AB$29),UPPER(TEXT(EDATE($D106,Milestones!$AA$29),"dd mmm yy"))&amp;" "&amp;Milestones!$AB$29&amp;" "&amp;IF(AND(Milestones!$AB$29="FT",Milestones!$AA$29=FT_Y5,EDATE($D106,Milestones!$AA$29)&lt;PolicyEff),1,Milestones!$AC$29)&amp;";  ","")&amp;IF(AND(EDATE($D106,Milestones!$AA$30)&lt;=AsOfDate,EDATE($D106,Milestones!$AA$30)&gt;=SchemeStart,IF($X106=0,$AD106,IF(AND($Z106&lt;&gt;"",EDATE($D106,Milestones!$AA$30)&gt;=$Z106),$AC106,IF(AND($Y106&lt;&gt;"",EDATE($D106,Milestones!$AA$30)&gt;=$Y106),$AB106,$AA106)))=Milestones!$AB$30),UPPER(TEXT(EDATE($D106,Milestones!$AA$30),"dd mmm yy"))&amp;" "&amp;Milestones!$AB$30&amp;" "&amp;IF(AND(Milestones!$AB$30="FT",Milestones!$AA$30=FT_Y5,EDATE($D106,Milestones!$AA$30)&lt;PolicyEff),1,Milestones!$AC$30)&amp;";  ","")&amp;IF(AND(EDATE($D106,Milestones!$AA$31)&lt;=AsOfDate,EDATE($D106,Milestones!$AA$31)&gt;=SchemeStart,IF($X106=0,$AD106,IF(AND($Z106&lt;&gt;"",EDATE($D106,Milestones!$AA$31)&gt;=$Z106),$AC106,IF(AND($Y106&lt;&gt;"",EDATE($D106,Milestones!$AA$31)&gt;=$Y106),$AB106,$AA106)))=Milestones!$AB$31),UPPER(TEXT(EDATE($D106,Milestones!$AA$31),"dd mmm yy"))&amp;" "&amp;Milestones!$AB$31&amp;" "&amp;IF(AND(Milestones!$AB$31="FT",Milestones!$AA$31=FT_Y5,EDATE($D106,Milestones!$AA$31)&lt;PolicyEff),1,Milestones!$AC$31)&amp;";  ",""))</f>
        <v/>
      </c>
      <c r="J106" s="0" t="str">
        <f aca="false">IF(OR($A106="",$D106=""),"",IF(AND(EDATE($D106,Milestones!$AA$32)&lt;=AsOfDate,EDATE($D106,Milestones!$AA$32)&gt;=SchemeStart,IF($X106=0,$AD106,IF(AND($Z106&lt;&gt;"",EDATE($D106,Milestones!$AA$32)&gt;=$Z106),$AC106,IF(AND($Y106&lt;&gt;"",EDATE($D106,Milestones!$AA$32)&gt;=$Y106),$AB106,$AA106)))=Milestones!$AB$32),UPPER(TEXT(EDATE($D106,Milestones!$AA$32),"dd mmm yy"))&amp;" "&amp;Milestones!$AB$32&amp;" "&amp;IF(AND(Milestones!$AB$32="FT",Milestones!$AA$32=FT_Y5,EDATE($D106,Milestones!$AA$32)&lt;PolicyEff),1,Milestones!$AC$32)&amp;";  ","")&amp;IF(AND(EDATE($D106,Milestones!$AA$33)&lt;=AsOfDate,EDATE($D106,Milestones!$AA$33)&gt;=SchemeStart,IF($X106=0,$AD106,IF(AND($Z106&lt;&gt;"",EDATE($D106,Milestones!$AA$33)&gt;=$Z106),$AC106,IF(AND($Y106&lt;&gt;"",EDATE($D106,Milestones!$AA$33)&gt;=$Y106),$AB106,$AA106)))=Milestones!$AB$33),UPPER(TEXT(EDATE($D106,Milestones!$AA$33),"dd mmm yy"))&amp;" "&amp;Milestones!$AB$33&amp;" "&amp;IF(AND(Milestones!$AB$33="FT",Milestones!$AA$33=FT_Y5,EDATE($D106,Milestones!$AA$33)&lt;PolicyEff),1,Milestones!$AC$33)&amp;";  ","")&amp;IF(AND(EDATE($D106,Milestones!$AA$34)&lt;=AsOfDate,EDATE($D106,Milestones!$AA$34)&gt;=SchemeStart,IF($X106=0,$AD106,IF(AND($Z106&lt;&gt;"",EDATE($D106,Milestones!$AA$34)&gt;=$Z106),$AC106,IF(AND($Y106&lt;&gt;"",EDATE($D106,Milestones!$AA$34)&gt;=$Y106),$AB106,$AA106)))=Milestones!$AB$34),UPPER(TEXT(EDATE($D106,Milestones!$AA$34),"dd mmm yy"))&amp;" "&amp;Milestones!$AB$34&amp;" "&amp;IF(AND(Milestones!$AB$34="FT",Milestones!$AA$34=FT_Y5,EDATE($D106,Milestones!$AA$34)&lt;PolicyEff),1,Milestones!$AC$34)&amp;";  ","")&amp;IF(AND(EDATE($D106,Milestones!$AA$35)&lt;=AsOfDate,EDATE($D106,Milestones!$AA$35)&gt;=SchemeStart,IF($X106=0,$AD106,IF(AND($Z106&lt;&gt;"",EDATE($D106,Milestones!$AA$35)&gt;=$Z106),$AC106,IF(AND($Y106&lt;&gt;"",EDATE($D106,Milestones!$AA$35)&gt;=$Y106),$AB106,$AA106)))=Milestones!$AB$35),UPPER(TEXT(EDATE($D106,Milestones!$AA$35),"dd mmm yy"))&amp;" "&amp;Milestones!$AB$35&amp;" "&amp;IF(AND(Milestones!$AB$35="FT",Milestones!$AA$35=FT_Y5,EDATE($D106,Milestones!$AA$35)&lt;PolicyEff),1,Milestones!$AC$35)&amp;";  ","")&amp;IF(AND(EDATE($D106,Milestones!$AA$36)&lt;=AsOfDate,EDATE($D106,Milestones!$AA$36)&gt;=SchemeStart,IF($X106=0,$AD106,IF(AND($Z106&lt;&gt;"",EDATE($D106,Milestones!$AA$36)&gt;=$Z106),$AC106,IF(AND($Y106&lt;&gt;"",EDATE($D106,Milestones!$AA$36)&gt;=$Y106),$AB106,$AA106)))=Milestones!$AB$36),UPPER(TEXT(EDATE($D106,Milestones!$AA$36),"dd mmm yy"))&amp;" "&amp;Milestones!$AB$36&amp;" "&amp;IF(AND(Milestones!$AB$36="FT",Milestones!$AA$36=FT_Y5,EDATE($D106,Milestones!$AA$36)&lt;PolicyEff),1,Milestones!$AC$36)&amp;";  ","")&amp;IF(AND(EDATE($D106,Milestones!$AA$37)&lt;=AsOfDate,EDATE($D106,Milestones!$AA$37)&gt;=SchemeStart,IF($X106=0,$AD106,IF(AND($Z106&lt;&gt;"",EDATE($D106,Milestones!$AA$37)&gt;=$Z106),$AC106,IF(AND($Y106&lt;&gt;"",EDATE($D106,Milestones!$AA$37)&gt;=$Y106),$AB106,$AA106)))=Milestones!$AB$37),UPPER(TEXT(EDATE($D106,Milestones!$AA$37),"dd mmm yy"))&amp;" "&amp;Milestones!$AB$37&amp;" "&amp;IF(AND(Milestones!$AB$37="FT",Milestones!$AA$37=FT_Y5,EDATE($D106,Milestones!$AA$37)&lt;PolicyEff),1,Milestones!$AC$37)&amp;";  ","")&amp;IF(AND(EDATE($D106,Milestones!$AA$38)&lt;=AsOfDate,EDATE($D106,Milestones!$AA$38)&gt;=SchemeStart,IF($X106=0,$AD106,IF(AND($Z106&lt;&gt;"",EDATE($D106,Milestones!$AA$38)&gt;=$Z106),$AC106,IF(AND($Y106&lt;&gt;"",EDATE($D106,Milestones!$AA$38)&gt;=$Y106),$AB106,$AA106)))=Milestones!$AB$38),UPPER(TEXT(EDATE($D106,Milestones!$AA$38),"dd mmm yy"))&amp;" "&amp;Milestones!$AB$38&amp;" "&amp;IF(AND(Milestones!$AB$38="FT",Milestones!$AA$38=FT_Y5,EDATE($D106,Milestones!$AA$38)&lt;PolicyEff),1,Milestones!$AC$38)&amp;";  ","")&amp;IF(AND(EDATE($D106,Milestones!$AA$39)&lt;=AsOfDate,EDATE($D106,Milestones!$AA$39)&gt;=SchemeStart,IF($X106=0,$AD106,IF(AND($Z106&lt;&gt;"",EDATE($D106,Milestones!$AA$39)&gt;=$Z106),$AC106,IF(AND($Y106&lt;&gt;"",EDATE($D106,Milestones!$AA$39)&gt;=$Y106),$AB106,$AA106)))=Milestones!$AB$39),UPPER(TEXT(EDATE($D106,Milestones!$AA$39),"dd mmm yy"))&amp;" "&amp;Milestones!$AB$39&amp;" "&amp;IF(AND(Milestones!$AB$39="FT",Milestones!$AA$39=FT_Y5,EDATE($D106,Milestones!$AA$39)&lt;PolicyEff),1,Milestones!$AC$39)&amp;";  ","")&amp;IF(AND(EDATE($D106,Milestones!$AA$40)&lt;=AsOfDate,EDATE($D106,Milestones!$AA$40)&gt;=SchemeStart,IF($X106=0,$AD106,IF(AND($Z106&lt;&gt;"",EDATE($D106,Milestones!$AA$40)&gt;=$Z106),$AC106,IF(AND($Y106&lt;&gt;"",EDATE($D106,Milestones!$AA$40)&gt;=$Y106),$AB106,$AA106)))=Milestones!$AB$40),UPPER(TEXT(EDATE($D106,Milestones!$AA$40),"dd mmm yy"))&amp;" "&amp;Milestones!$AB$40&amp;" "&amp;IF(AND(Milestones!$AB$40="FT",Milestones!$AA$40=FT_Y5,EDATE($D106,Milestones!$AA$40)&lt;PolicyEff),1,Milestones!$AC$40)&amp;";  ","")&amp;IF(AND(EDATE($D106,Milestones!$AA$41)&lt;=AsOfDate,EDATE($D106,Milestones!$AA$41)&gt;=SchemeStart,IF($X106=0,$AD106,IF(AND($Z106&lt;&gt;"",EDATE($D106,Milestones!$AA$41)&gt;=$Z106),$AC106,IF(AND($Y106&lt;&gt;"",EDATE($D106,Milestones!$AA$41)&gt;=$Y106),$AB106,$AA106)))=Milestones!$AB$41),UPPER(TEXT(EDATE($D106,Milestones!$AA$41),"dd mmm yy"))&amp;" "&amp;Milestones!$AB$41&amp;" "&amp;IF(AND(Milestones!$AB$41="FT",Milestones!$AA$41=FT_Y5,EDATE($D106,Milestones!$AA$41)&lt;PolicyEff),1,Milestones!$AC$41)&amp;";  ","")&amp;IF(AND(EDATE($D106,Milestones!$AA$42)&lt;=AsOfDate,EDATE($D106,Milestones!$AA$42)&gt;=SchemeStart,IF($X106=0,$AD106,IF(AND($Z106&lt;&gt;"",EDATE($D106,Milestones!$AA$42)&gt;=$Z106),$AC106,IF(AND($Y106&lt;&gt;"",EDATE($D106,Milestones!$AA$42)&gt;=$Y106),$AB106,$AA106)))=Milestones!$AB$42),UPPER(TEXT(EDATE($D106,Milestones!$AA$42),"dd mmm yy"))&amp;" "&amp;Milestones!$AB$42&amp;" "&amp;IF(AND(Milestones!$AB$42="FT",Milestones!$AA$42=FT_Y5,EDATE($D106,Milestones!$AA$42)&lt;PolicyEff),1,Milestones!$AC$42)&amp;";  ","")&amp;IF(AND(EDATE($D106,Milestones!$AA$43)&lt;=AsOfDate,EDATE($D106,Milestones!$AA$43)&gt;=SchemeStart,IF($X106=0,$AD106,IF(AND($Z106&lt;&gt;"",EDATE($D106,Milestones!$AA$43)&gt;=$Z106),$AC106,IF(AND($Y106&lt;&gt;"",EDATE($D106,Milestones!$AA$43)&gt;=$Y106),$AB106,$AA106)))=Milestones!$AB$43),UPPER(TEXT(EDATE($D106,Milestones!$AA$43),"dd mmm yy"))&amp;" "&amp;Milestones!$AB$43&amp;" "&amp;IF(AND(Milestones!$AB$43="FT",Milestones!$AA$43=FT_Y5,EDATE($D106,Milestones!$AA$43)&lt;PolicyEff),1,Milestones!$AC$43)&amp;";  ",""))</f>
        <v/>
      </c>
      <c r="K106" s="0" t="str">
        <f aca="false">IF(OR($A106="",$D106=""),"",IF(AND(EDATE($D106,Milestones!$AA$44)&lt;=AsOfDate,EDATE($D106,Milestones!$AA$44)&gt;=SchemeStart,IF($X106=0,$AD106,IF(AND($Z106&lt;&gt;"",EDATE($D106,Milestones!$AA$44)&gt;=$Z106),$AC106,IF(AND($Y106&lt;&gt;"",EDATE($D106,Milestones!$AA$44)&gt;=$Y106),$AB106,$AA106)))=Milestones!$AB$44),UPPER(TEXT(EDATE($D106,Milestones!$AA$44),"dd mmm yy"))&amp;" "&amp;Milestones!$AB$44&amp;" "&amp;IF(AND(Milestones!$AB$44="FT",Milestones!$AA$44=FT_Y5,EDATE($D106,Milestones!$AA$44)&lt;PolicyEff),1,Milestones!$AC$44)&amp;";  ","")&amp;IF(AND(EDATE($D106,Milestones!$AA$45)&lt;=AsOfDate,EDATE($D106,Milestones!$AA$45)&gt;=SchemeStart,IF($X106=0,$AD106,IF(AND($Z106&lt;&gt;"",EDATE($D106,Milestones!$AA$45)&gt;=$Z106),$AC106,IF(AND($Y106&lt;&gt;"",EDATE($D106,Milestones!$AA$45)&gt;=$Y106),$AB106,$AA106)))=Milestones!$AB$45),UPPER(TEXT(EDATE($D106,Milestones!$AA$45),"dd mmm yy"))&amp;" "&amp;Milestones!$AB$45&amp;" "&amp;IF(AND(Milestones!$AB$45="FT",Milestones!$AA$45=FT_Y5,EDATE($D106,Milestones!$AA$45)&lt;PolicyEff),1,Milestones!$AC$45)&amp;";  ","")&amp;IF(AND(EDATE($D106,Milestones!$AA$46)&lt;=AsOfDate,EDATE($D106,Milestones!$AA$46)&gt;=SchemeStart,IF($X106=0,$AD106,IF(AND($Z106&lt;&gt;"",EDATE($D106,Milestones!$AA$46)&gt;=$Z106),$AC106,IF(AND($Y106&lt;&gt;"",EDATE($D106,Milestones!$AA$46)&gt;=$Y106),$AB106,$AA106)))=Milestones!$AB$46),UPPER(TEXT(EDATE($D106,Milestones!$AA$46),"dd mmm yy"))&amp;" "&amp;Milestones!$AB$46&amp;" "&amp;IF(AND(Milestones!$AB$46="FT",Milestones!$AA$46=FT_Y5,EDATE($D106,Milestones!$AA$46)&lt;PolicyEff),1,Milestones!$AC$46)&amp;";  ","")&amp;IF(AND(EDATE($D106,Milestones!$AA$47)&lt;=AsOfDate,EDATE($D106,Milestones!$AA$47)&gt;=SchemeStart,IF($X106=0,$AD106,IF(AND($Z106&lt;&gt;"",EDATE($D106,Milestones!$AA$47)&gt;=$Z106),$AC106,IF(AND($Y106&lt;&gt;"",EDATE($D106,Milestones!$AA$47)&gt;=$Y106),$AB106,$AA106)))=Milestones!$AB$47),UPPER(TEXT(EDATE($D106,Milestones!$AA$47),"dd mmm yy"))&amp;" "&amp;Milestones!$AB$47&amp;" "&amp;IF(AND(Milestones!$AB$47="FT",Milestones!$AA$47=FT_Y5,EDATE($D106,Milestones!$AA$47)&lt;PolicyEff),1,Milestones!$AC$47)&amp;";  ","")&amp;IF(AND(EDATE($D106,Milestones!$AA$48)&lt;=AsOfDate,EDATE($D106,Milestones!$AA$48)&gt;=SchemeStart,IF($X106=0,$AD106,IF(AND($Z106&lt;&gt;"",EDATE($D106,Milestones!$AA$48)&gt;=$Z106),$AC106,IF(AND($Y106&lt;&gt;"",EDATE($D106,Milestones!$AA$48)&gt;=$Y106),$AB106,$AA106)))=Milestones!$AB$48),UPPER(TEXT(EDATE($D106,Milestones!$AA$48),"dd mmm yy"))&amp;" "&amp;Milestones!$AB$48&amp;" "&amp;IF(AND(Milestones!$AB$48="FT",Milestones!$AA$48=FT_Y5,EDATE($D106,Milestones!$AA$48)&lt;PolicyEff),1,Milestones!$AC$48)&amp;";  ","")&amp;IF(AND(EDATE($D106,Milestones!$AA$49)&lt;=AsOfDate,EDATE($D106,Milestones!$AA$49)&gt;=SchemeStart,IF($X106=0,$AD106,IF(AND($Z106&lt;&gt;"",EDATE($D106,Milestones!$AA$49)&gt;=$Z106),$AC106,IF(AND($Y106&lt;&gt;"",EDATE($D106,Milestones!$AA$49)&gt;=$Y106),$AB106,$AA106)))=Milestones!$AB$49),UPPER(TEXT(EDATE($D106,Milestones!$AA$49),"dd mmm yy"))&amp;" "&amp;Milestones!$AB$49&amp;" "&amp;IF(AND(Milestones!$AB$49="FT",Milestones!$AA$49=FT_Y5,EDATE($D106,Milestones!$AA$49)&lt;PolicyEff),1,Milestones!$AC$49)&amp;";  ","")&amp;IF(AND(EDATE($D106,Milestones!$AA$50)&lt;=AsOfDate,EDATE($D106,Milestones!$AA$50)&gt;=SchemeStart,IF($X106=0,$AD106,IF(AND($Z106&lt;&gt;"",EDATE($D106,Milestones!$AA$50)&gt;=$Z106),$AC106,IF(AND($Y106&lt;&gt;"",EDATE($D106,Milestones!$AA$50)&gt;=$Y106),$AB106,$AA106)))=Milestones!$AB$50),UPPER(TEXT(EDATE($D106,Milestones!$AA$50),"dd mmm yy"))&amp;" "&amp;Milestones!$AB$50&amp;" "&amp;IF(AND(Milestones!$AB$50="FT",Milestones!$AA$50=FT_Y5,EDATE($D106,Milestones!$AA$50)&lt;PolicyEff),1,Milestones!$AC$50)&amp;";  ","")&amp;IF(AND(EDATE($D106,Milestones!$AA$51)&lt;=AsOfDate,EDATE($D106,Milestones!$AA$51)&gt;=SchemeStart,IF($X106=0,$AD106,IF(AND($Z106&lt;&gt;"",EDATE($D106,Milestones!$AA$51)&gt;=$Z106),$AC106,IF(AND($Y106&lt;&gt;"",EDATE($D106,Milestones!$AA$51)&gt;=$Y106),$AB106,$AA106)))=Milestones!$AB$51),UPPER(TEXT(EDATE($D106,Milestones!$AA$51),"dd mmm yy"))&amp;" "&amp;Milestones!$AB$51&amp;" "&amp;IF(AND(Milestones!$AB$51="FT",Milestones!$AA$51=FT_Y5,EDATE($D106,Milestones!$AA$51)&lt;PolicyEff),1,Milestones!$AC$51)&amp;";  ","")&amp;IF(AND(EDATE($D106,Milestones!$AA$52)&lt;=AsOfDate,EDATE($D106,Milestones!$AA$52)&gt;=SchemeStart,IF($X106=0,$AD106,IF(AND($Z106&lt;&gt;"",EDATE($D106,Milestones!$AA$52)&gt;=$Z106),$AC106,IF(AND($Y106&lt;&gt;"",EDATE($D106,Milestones!$AA$52)&gt;=$Y106),$AB106,$AA106)))=Milestones!$AB$52),UPPER(TEXT(EDATE($D106,Milestones!$AA$52),"dd mmm yy"))&amp;" "&amp;Milestones!$AB$52&amp;" "&amp;IF(AND(Milestones!$AB$52="FT",Milestones!$AA$52=FT_Y5,EDATE($D106,Milestones!$AA$52)&lt;PolicyEff),1,Milestones!$AC$52)&amp;";  ","")&amp;IF(AND(EDATE($D106,Milestones!$AA$53)&lt;=AsOfDate,EDATE($D106,Milestones!$AA$53)&gt;=SchemeStart,IF($X106=0,$AD106,IF(AND($Z106&lt;&gt;"",EDATE($D106,Milestones!$AA$53)&gt;=$Z106),$AC106,IF(AND($Y106&lt;&gt;"",EDATE($D106,Milestones!$AA$53)&gt;=$Y106),$AB106,$AA106)))=Milestones!$AB$53),UPPER(TEXT(EDATE($D106,Milestones!$AA$53),"dd mmm yy"))&amp;" "&amp;Milestones!$AB$53&amp;" "&amp;IF(AND(Milestones!$AB$53="FT",Milestones!$AA$53=FT_Y5,EDATE($D106,Milestones!$AA$53)&lt;PolicyEff),1,Milestones!$AC$53)&amp;";  ","")&amp;IF(AND(EDATE($D106,Milestones!$AA$54)&lt;=AsOfDate,EDATE($D106,Milestones!$AA$54)&gt;=SchemeStart,IF($X106=0,$AD106,IF(AND($Z106&lt;&gt;"",EDATE($D106,Milestones!$AA$54)&gt;=$Z106),$AC106,IF(AND($Y106&lt;&gt;"",EDATE($D106,Milestones!$AA$54)&gt;=$Y106),$AB106,$AA106)))=Milestones!$AB$54),UPPER(TEXT(EDATE($D106,Milestones!$AA$54),"dd mmm yy"))&amp;" "&amp;Milestones!$AB$54&amp;" "&amp;IF(AND(Milestones!$AB$54="FT",Milestones!$AA$54=FT_Y5,EDATE($D106,Milestones!$AA$54)&lt;PolicyEff),1,Milestones!$AC$54)&amp;";  ","")&amp;IF(AND(EDATE($D106,Milestones!$AA$55)&lt;=AsOfDate,EDATE($D106,Milestones!$AA$55)&gt;=SchemeStart,IF($X106=0,$AD106,IF(AND($Z106&lt;&gt;"",EDATE($D106,Milestones!$AA$55)&gt;=$Z106),$AC106,IF(AND($Y106&lt;&gt;"",EDATE($D106,Milestones!$AA$55)&gt;=$Y106),$AB106,$AA106)))=Milestones!$AB$55),UPPER(TEXT(EDATE($D106,Milestones!$AA$55),"dd mmm yy"))&amp;" "&amp;Milestones!$AB$55&amp;" "&amp;IF(AND(Milestones!$AB$55="FT",Milestones!$AA$55=FT_Y5,EDATE($D106,Milestones!$AA$55)&lt;PolicyEff),1,Milestones!$AC$55)&amp;";  ",""))</f>
        <v/>
      </c>
      <c r="L106" s="0" t="str">
        <f aca="false">IF(OR($A106="",$D106=""),"",IF(AND(EDATE($D106,Milestones!$AA$56)&lt;=AsOfDate,EDATE($D106,Milestones!$AA$56)&gt;=SchemeStart,IF($X106=0,$AD106,IF(AND($Z106&lt;&gt;"",EDATE($D106,Milestones!$AA$56)&gt;=$Z106),$AC106,IF(AND($Y106&lt;&gt;"",EDATE($D106,Milestones!$AA$56)&gt;=$Y106),$AB106,$AA106)))=Milestones!$AB$56),UPPER(TEXT(EDATE($D106,Milestones!$AA$56),"dd mmm yy"))&amp;" "&amp;Milestones!$AB$56&amp;" "&amp;IF(AND(Milestones!$AB$56="FT",Milestones!$AA$56=FT_Y5,EDATE($D106,Milestones!$AA$56)&lt;PolicyEff),1,Milestones!$AC$56)&amp;";  ","")&amp;IF(AND(EDATE($D106,Milestones!$AA$57)&lt;=AsOfDate,EDATE($D106,Milestones!$AA$57)&gt;=SchemeStart,IF($X106=0,$AD106,IF(AND($Z106&lt;&gt;"",EDATE($D106,Milestones!$AA$57)&gt;=$Z106),$AC106,IF(AND($Y106&lt;&gt;"",EDATE($D106,Milestones!$AA$57)&gt;=$Y106),$AB106,$AA106)))=Milestones!$AB$57),UPPER(TEXT(EDATE($D106,Milestones!$AA$57),"dd mmm yy"))&amp;" "&amp;Milestones!$AB$57&amp;" "&amp;IF(AND(Milestones!$AB$57="FT",Milestones!$AA$57=FT_Y5,EDATE($D106,Milestones!$AA$57)&lt;PolicyEff),1,Milestones!$AC$57)&amp;";  ","")&amp;IF(AND(EDATE($D106,Milestones!$AA$58)&lt;=AsOfDate,EDATE($D106,Milestones!$AA$58)&gt;=SchemeStart,IF($X106=0,$AD106,IF(AND($Z106&lt;&gt;"",EDATE($D106,Milestones!$AA$58)&gt;=$Z106),$AC106,IF(AND($Y106&lt;&gt;"",EDATE($D106,Milestones!$AA$58)&gt;=$Y106),$AB106,$AA106)))=Milestones!$AB$58),UPPER(TEXT(EDATE($D106,Milestones!$AA$58),"dd mmm yy"))&amp;" "&amp;Milestones!$AB$58&amp;" "&amp;IF(AND(Milestones!$AB$58="FT",Milestones!$AA$58=FT_Y5,EDATE($D106,Milestones!$AA$58)&lt;PolicyEff),1,Milestones!$AC$58)&amp;";  ","")&amp;IF(AND(EDATE($D106,Milestones!$AA$59)&lt;=AsOfDate,EDATE($D106,Milestones!$AA$59)&gt;=SchemeStart,IF($X106=0,$AD106,IF(AND($Z106&lt;&gt;"",EDATE($D106,Milestones!$AA$59)&gt;=$Z106),$AC106,IF(AND($Y106&lt;&gt;"",EDATE($D106,Milestones!$AA$59)&gt;=$Y106),$AB106,$AA106)))=Milestones!$AB$59),UPPER(TEXT(EDATE($D106,Milestones!$AA$59),"dd mmm yy"))&amp;" "&amp;Milestones!$AB$59&amp;" "&amp;IF(AND(Milestones!$AB$59="FT",Milestones!$AA$59=FT_Y5,EDATE($D106,Milestones!$AA$59)&lt;PolicyEff),1,Milestones!$AC$59)&amp;";  ","")&amp;IF(AND(EDATE($D106,Milestones!$AA$60)&lt;=AsOfDate,EDATE($D106,Milestones!$AA$60)&gt;=SchemeStart,IF($X106=0,$AD106,IF(AND($Z106&lt;&gt;"",EDATE($D106,Milestones!$AA$60)&gt;=$Z106),$AC106,IF(AND($Y106&lt;&gt;"",EDATE($D106,Milestones!$AA$60)&gt;=$Y106),$AB106,$AA106)))=Milestones!$AB$60),UPPER(TEXT(EDATE($D106,Milestones!$AA$60),"dd mmm yy"))&amp;" "&amp;Milestones!$AB$60&amp;" "&amp;IF(AND(Milestones!$AB$60="FT",Milestones!$AA$60=FT_Y5,EDATE($D106,Milestones!$AA$60)&lt;PolicyEff),1,Milestones!$AC$60)&amp;";  ","")&amp;IF(AND(EDATE($D106,Milestones!$AA$61)&lt;=AsOfDate,EDATE($D106,Milestones!$AA$61)&gt;=SchemeStart,IF($X106=0,$AD106,IF(AND($Z106&lt;&gt;"",EDATE($D106,Milestones!$AA$61)&gt;=$Z106),$AC106,IF(AND($Y106&lt;&gt;"",EDATE($D106,Milestones!$AA$61)&gt;=$Y106),$AB106,$AA106)))=Milestones!$AB$61),UPPER(TEXT(EDATE($D106,Milestones!$AA$61),"dd mmm yy"))&amp;" "&amp;Milestones!$AB$61&amp;" "&amp;IF(AND(Milestones!$AB$61="FT",Milestones!$AA$61=FT_Y5,EDATE($D106,Milestones!$AA$61)&lt;PolicyEff),1,Milestones!$AC$61)&amp;";  ","")&amp;IF(AND(EDATE($D106,Milestones!$AA$62)&lt;=AsOfDate,EDATE($D106,Milestones!$AA$62)&gt;=SchemeStart,IF($X106=0,$AD106,IF(AND($Z106&lt;&gt;"",EDATE($D106,Milestones!$AA$62)&gt;=$Z106),$AC106,IF(AND($Y106&lt;&gt;"",EDATE($D106,Milestones!$AA$62)&gt;=$Y106),$AB106,$AA106)))=Milestones!$AB$62),UPPER(TEXT(EDATE($D106,Milestones!$AA$62),"dd mmm yy"))&amp;" "&amp;Milestones!$AB$62&amp;" "&amp;IF(AND(Milestones!$AB$62="FT",Milestones!$AA$62=FT_Y5,EDATE($D106,Milestones!$AA$62)&lt;PolicyEff),1,Milestones!$AC$62)&amp;";  ","")&amp;IF(AND(EDATE($D106,Milestones!$AA$63)&lt;=AsOfDate,EDATE($D106,Milestones!$AA$63)&gt;=SchemeStart,IF($X106=0,$AD106,IF(AND($Z106&lt;&gt;"",EDATE($D106,Milestones!$AA$63)&gt;=$Z106),$AC106,IF(AND($Y106&lt;&gt;"",EDATE($D106,Milestones!$AA$63)&gt;=$Y106),$AB106,$AA106)))=Milestones!$AB$63),UPPER(TEXT(EDATE($D106,Milestones!$AA$63),"dd mmm yy"))&amp;" "&amp;Milestones!$AB$63&amp;" "&amp;IF(AND(Milestones!$AB$63="FT",Milestones!$AA$63=FT_Y5,EDATE($D106,Milestones!$AA$63)&lt;PolicyEff),1,Milestones!$AC$63)&amp;";  ","")&amp;IF(AND(EDATE($D106,Milestones!$AA$64)&lt;=AsOfDate,EDATE($D106,Milestones!$AA$64)&gt;=SchemeStart,IF($X106=0,$AD106,IF(AND($Z106&lt;&gt;"",EDATE($D106,Milestones!$AA$64)&gt;=$Z106),$AC106,IF(AND($Y106&lt;&gt;"",EDATE($D106,Milestones!$AA$64)&gt;=$Y106),$AB106,$AA106)))=Milestones!$AB$64),UPPER(TEXT(EDATE($D106,Milestones!$AA$64),"dd mmm yy"))&amp;" "&amp;Milestones!$AB$64&amp;" "&amp;IF(AND(Milestones!$AB$64="FT",Milestones!$AA$64=FT_Y5,EDATE($D106,Milestones!$AA$64)&lt;PolicyEff),1,Milestones!$AC$64)&amp;";  ","")&amp;IF(AND(EDATE($D106,Milestones!$AA$65)&lt;=AsOfDate,EDATE($D106,Milestones!$AA$65)&gt;=SchemeStart,IF($X106=0,$AD106,IF(AND($Z106&lt;&gt;"",EDATE($D106,Milestones!$AA$65)&gt;=$Z106),$AC106,IF(AND($Y106&lt;&gt;"",EDATE($D106,Milestones!$AA$65)&gt;=$Y106),$AB106,$AA106)))=Milestones!$AB$65),UPPER(TEXT(EDATE($D106,Milestones!$AA$65),"dd mmm yy"))&amp;" "&amp;Milestones!$AB$65&amp;" "&amp;IF(AND(Milestones!$AB$65="FT",Milestones!$AA$65=FT_Y5,EDATE($D106,Milestones!$AA$65)&lt;PolicyEff),1,Milestones!$AC$65)&amp;";  ","")&amp;IF(AND(EDATE($D106,Milestones!$AA$66)&lt;=AsOfDate,EDATE($D106,Milestones!$AA$66)&gt;=SchemeStart,IF($X106=0,$AD106,IF(AND($Z106&lt;&gt;"",EDATE($D106,Milestones!$AA$66)&gt;=$Z106),$AC106,IF(AND($Y106&lt;&gt;"",EDATE($D106,Milestones!$AA$66)&gt;=$Y106),$AB106,$AA106)))=Milestones!$AB$66),UPPER(TEXT(EDATE($D106,Milestones!$AA$66),"dd mmm yy"))&amp;" "&amp;Milestones!$AB$66&amp;" "&amp;IF(AND(Milestones!$AB$66="FT",Milestones!$AA$66=FT_Y5,EDATE($D106,Milestones!$AA$66)&lt;PolicyEff),1,Milestones!$AC$66)&amp;";  ","")&amp;IF(AND(EDATE($D106,Milestones!$AA$67)&lt;=AsOfDate,EDATE($D106,Milestones!$AA$67)&gt;=SchemeStart,IF($X106=0,$AD106,IF(AND($Z106&lt;&gt;"",EDATE($D106,Milestones!$AA$67)&gt;=$Z106),$AC106,IF(AND($Y106&lt;&gt;"",EDATE($D106,Milestones!$AA$67)&gt;=$Y106),$AB106,$AA106)))=Milestones!$AB$67),UPPER(TEXT(EDATE($D106,Milestones!$AA$67),"dd mmm yy"))&amp;" "&amp;Milestones!$AB$67&amp;" "&amp;IF(AND(Milestones!$AB$67="FT",Milestones!$AA$67=FT_Y5,EDATE($D106,Milestones!$AA$67)&lt;PolicyEff),1,Milestones!$AC$67)&amp;";  ",""))</f>
        <v/>
      </c>
      <c r="M106" s="0" t="str">
        <f aca="false">IF(OR($A106="",$D106=""),"",IF(AND(EDATE($D106,Milestones!$AA$68)&lt;=AsOfDate,EDATE($D106,Milestones!$AA$68)&gt;=SchemeStart,IF($X106=0,$AD106,IF(AND($Z106&lt;&gt;"",EDATE($D106,Milestones!$AA$68)&gt;=$Z106),$AC106,IF(AND($Y106&lt;&gt;"",EDATE($D106,Milestones!$AA$68)&gt;=$Y106),$AB106,$AA106)))=Milestones!$AB$68),UPPER(TEXT(EDATE($D106,Milestones!$AA$68),"dd mmm yy"))&amp;" "&amp;Milestones!$AB$68&amp;" "&amp;IF(AND(Milestones!$AB$68="FT",Milestones!$AA$68=FT_Y5,EDATE($D106,Milestones!$AA$68)&lt;PolicyEff),1,Milestones!$AC$68)&amp;";  ","")&amp;IF(AND(EDATE($D106,Milestones!$AA$69)&lt;=AsOfDate,EDATE($D106,Milestones!$AA$69)&gt;=SchemeStart,IF($X106=0,$AD106,IF(AND($Z106&lt;&gt;"",EDATE($D106,Milestones!$AA$69)&gt;=$Z106),$AC106,IF(AND($Y106&lt;&gt;"",EDATE($D106,Milestones!$AA$69)&gt;=$Y106),$AB106,$AA106)))=Milestones!$AB$69),UPPER(TEXT(EDATE($D106,Milestones!$AA$69),"dd mmm yy"))&amp;" "&amp;Milestones!$AB$69&amp;" "&amp;IF(AND(Milestones!$AB$69="FT",Milestones!$AA$69=FT_Y5,EDATE($D106,Milestones!$AA$69)&lt;PolicyEff),1,Milestones!$AC$69)&amp;";  ","")&amp;IF(AND(EDATE($D106,Milestones!$AA$70)&lt;=AsOfDate,EDATE($D106,Milestones!$AA$70)&gt;=SchemeStart,IF($X106=0,$AD106,IF(AND($Z106&lt;&gt;"",EDATE($D106,Milestones!$AA$70)&gt;=$Z106),$AC106,IF(AND($Y106&lt;&gt;"",EDATE($D106,Milestones!$AA$70)&gt;=$Y106),$AB106,$AA106)))=Milestones!$AB$70),UPPER(TEXT(EDATE($D106,Milestones!$AA$70),"dd mmm yy"))&amp;" "&amp;Milestones!$AB$70&amp;" "&amp;IF(AND(Milestones!$AB$70="FT",Milestones!$AA$70=FT_Y5,EDATE($D106,Milestones!$AA$70)&lt;PolicyEff),1,Milestones!$AC$70)&amp;";  ","")&amp;IF(AND(EDATE($D106,Milestones!$AA$71)&lt;=AsOfDate,EDATE($D106,Milestones!$AA$71)&gt;=SchemeStart,IF($X106=0,$AD106,IF(AND($Z106&lt;&gt;"",EDATE($D106,Milestones!$AA$71)&gt;=$Z106),$AC106,IF(AND($Y106&lt;&gt;"",EDATE($D106,Milestones!$AA$71)&gt;=$Y106),$AB106,$AA106)))=Milestones!$AB$71),UPPER(TEXT(EDATE($D106,Milestones!$AA$71),"dd mmm yy"))&amp;" "&amp;Milestones!$AB$71&amp;" "&amp;IF(AND(Milestones!$AB$71="FT",Milestones!$AA$71=FT_Y5,EDATE($D106,Milestones!$AA$71)&lt;PolicyEff),1,Milestones!$AC$71)&amp;";  ","")&amp;IF(AND(EDATE($D106,Milestones!$AA$72)&lt;=AsOfDate,EDATE($D106,Milestones!$AA$72)&gt;=SchemeStart,IF($X106=0,$AD106,IF(AND($Z106&lt;&gt;"",EDATE($D106,Milestones!$AA$72)&gt;=$Z106),$AC106,IF(AND($Y106&lt;&gt;"",EDATE($D106,Milestones!$AA$72)&gt;=$Y106),$AB106,$AA106)))=Milestones!$AB$72),UPPER(TEXT(EDATE($D106,Milestones!$AA$72),"dd mmm yy"))&amp;" "&amp;Milestones!$AB$72&amp;" "&amp;IF(AND(Milestones!$AB$72="FT",Milestones!$AA$72=FT_Y5,EDATE($D106,Milestones!$AA$72)&lt;PolicyEff),1,Milestones!$AC$72)&amp;";  ","")&amp;IF(AND(EDATE($D106,Milestones!$AA$73)&lt;=AsOfDate,EDATE($D106,Milestones!$AA$73)&gt;=SchemeStart,IF($X106=0,$AD106,IF(AND($Z106&lt;&gt;"",EDATE($D106,Milestones!$AA$73)&gt;=$Z106),$AC106,IF(AND($Y106&lt;&gt;"",EDATE($D106,Milestones!$AA$73)&gt;=$Y106),$AB106,$AA106)))=Milestones!$AB$73),UPPER(TEXT(EDATE($D106,Milestones!$AA$73),"dd mmm yy"))&amp;" "&amp;Milestones!$AB$73&amp;" "&amp;IF(AND(Milestones!$AB$73="FT",Milestones!$AA$73=FT_Y5,EDATE($D106,Milestones!$AA$73)&lt;PolicyEff),1,Milestones!$AC$73)&amp;";  ","")&amp;IF(AND(EDATE($D106,Milestones!$AA$74)&lt;=AsOfDate,EDATE($D106,Milestones!$AA$74)&gt;=SchemeStart,IF($X106=0,$AD106,IF(AND($Z106&lt;&gt;"",EDATE($D106,Milestones!$AA$74)&gt;=$Z106),$AC106,IF(AND($Y106&lt;&gt;"",EDATE($D106,Milestones!$AA$74)&gt;=$Y106),$AB106,$AA106)))=Milestones!$AB$74),UPPER(TEXT(EDATE($D106,Milestones!$AA$74),"dd mmm yy"))&amp;" "&amp;Milestones!$AB$74&amp;" "&amp;IF(AND(Milestones!$AB$74="FT",Milestones!$AA$74=FT_Y5,EDATE($D106,Milestones!$AA$74)&lt;PolicyEff),1,Milestones!$AC$74)&amp;";  ","")&amp;IF(AND(EDATE($D106,Milestones!$AA$75)&lt;=AsOfDate,EDATE($D106,Milestones!$AA$75)&gt;=SchemeStart,IF($X106=0,$AD106,IF(AND($Z106&lt;&gt;"",EDATE($D106,Milestones!$AA$75)&gt;=$Z106),$AC106,IF(AND($Y106&lt;&gt;"",EDATE($D106,Milestones!$AA$75)&gt;=$Y106),$AB106,$AA106)))=Milestones!$AB$75),UPPER(TEXT(EDATE($D106,Milestones!$AA$75),"dd mmm yy"))&amp;" "&amp;Milestones!$AB$75&amp;" "&amp;IF(AND(Milestones!$AB$75="FT",Milestones!$AA$75=FT_Y5,EDATE($D106,Milestones!$AA$75)&lt;PolicyEff),1,Milestones!$AC$75)&amp;";  ","")&amp;IF(AND(EDATE($D106,Milestones!$AA$76)&lt;=AsOfDate,EDATE($D106,Milestones!$AA$76)&gt;=SchemeStart,IF($X106=0,$AD106,IF(AND($Z106&lt;&gt;"",EDATE($D106,Milestones!$AA$76)&gt;=$Z106),$AC106,IF(AND($Y106&lt;&gt;"",EDATE($D106,Milestones!$AA$76)&gt;=$Y106),$AB106,$AA106)))=Milestones!$AB$76),UPPER(TEXT(EDATE($D106,Milestones!$AA$76),"dd mmm yy"))&amp;" "&amp;Milestones!$AB$76&amp;" "&amp;IF(AND(Milestones!$AB$76="FT",Milestones!$AA$76=FT_Y5,EDATE($D106,Milestones!$AA$76)&lt;PolicyEff),1,Milestones!$AC$76)&amp;";  ","")&amp;IF(AND(EDATE($D106,Milestones!$AA$77)&lt;=AsOfDate,EDATE($D106,Milestones!$AA$77)&gt;=SchemeStart,IF($X106=0,$AD106,IF(AND($Z106&lt;&gt;"",EDATE($D106,Milestones!$AA$77)&gt;=$Z106),$AC106,IF(AND($Y106&lt;&gt;"",EDATE($D106,Milestones!$AA$77)&gt;=$Y106),$AB106,$AA106)))=Milestones!$AB$77),UPPER(TEXT(EDATE($D106,Milestones!$AA$77),"dd mmm yy"))&amp;" "&amp;Milestones!$AB$77&amp;" "&amp;IF(AND(Milestones!$AB$77="FT",Milestones!$AA$77=FT_Y5,EDATE($D106,Milestones!$AA$77)&lt;PolicyEff),1,Milestones!$AC$77)&amp;";  ","")&amp;IF(AND(EDATE($D106,Milestones!$AA$78)&lt;=AsOfDate,EDATE($D106,Milestones!$AA$78)&gt;=SchemeStart,IF($X106=0,$AD106,IF(AND($Z106&lt;&gt;"",EDATE($D106,Milestones!$AA$78)&gt;=$Z106),$AC106,IF(AND($Y106&lt;&gt;"",EDATE($D106,Milestones!$AA$78)&gt;=$Y106),$AB106,$AA106)))=Milestones!$AB$78),UPPER(TEXT(EDATE($D106,Milestones!$AA$78),"dd mmm yy"))&amp;" "&amp;Milestones!$AB$78&amp;" "&amp;IF(AND(Milestones!$AB$78="FT",Milestones!$AA$78=FT_Y5,EDATE($D106,Milestones!$AA$78)&lt;PolicyEff),1,Milestones!$AC$78)&amp;";  ","")&amp;IF(AND(EDATE($D106,Milestones!$AA$79)&lt;=AsOfDate,EDATE($D106,Milestones!$AA$79)&gt;=SchemeStart,IF($X106=0,$AD106,IF(AND($Z106&lt;&gt;"",EDATE($D106,Milestones!$AA$79)&gt;=$Z106),$AC106,IF(AND($Y106&lt;&gt;"",EDATE($D106,Milestones!$AA$79)&gt;=$Y106),$AB106,$AA106)))=Milestones!$AB$79),UPPER(TEXT(EDATE($D106,Milestones!$AA$79),"dd mmm yy"))&amp;" "&amp;Milestones!$AB$79&amp;" "&amp;IF(AND(Milestones!$AB$79="FT",Milestones!$AA$79=FT_Y5,EDATE($D106,Milestones!$AA$79)&lt;PolicyEff),1,Milestones!$AC$79)&amp;";  ",""))</f>
        <v/>
      </c>
      <c r="N106" s="0" t="str">
        <f aca="false">IF(OR($A106="",$D106=""),"",IF(AND(EDATE($D106,Milestones!$AA$80)&lt;=AsOfDate,EDATE($D106,Milestones!$AA$80)&gt;=SchemeStart,IF($X106=0,$AD106,IF(AND($Z106&lt;&gt;"",EDATE($D106,Milestones!$AA$80)&gt;=$Z106),$AC106,IF(AND($Y106&lt;&gt;"",EDATE($D106,Milestones!$AA$80)&gt;=$Y106),$AB106,$AA106)))=Milestones!$AB$80),UPPER(TEXT(EDATE($D106,Milestones!$AA$80),"dd mmm yy"))&amp;" "&amp;Milestones!$AB$80&amp;" "&amp;IF(AND(Milestones!$AB$80="FT",Milestones!$AA$80=FT_Y5,EDATE($D106,Milestones!$AA$80)&lt;PolicyEff),1,Milestones!$AC$80)&amp;";  ","")&amp;IF(AND(EDATE($D106,Milestones!$AA$81)&lt;=AsOfDate,EDATE($D106,Milestones!$AA$81)&gt;=SchemeStart,IF($X106=0,$AD106,IF(AND($Z106&lt;&gt;"",EDATE($D106,Milestones!$AA$81)&gt;=$Z106),$AC106,IF(AND($Y106&lt;&gt;"",EDATE($D106,Milestones!$AA$81)&gt;=$Y106),$AB106,$AA106)))=Milestones!$AB$81),UPPER(TEXT(EDATE($D106,Milestones!$AA$81),"dd mmm yy"))&amp;" "&amp;Milestones!$AB$81&amp;" "&amp;IF(AND(Milestones!$AB$81="FT",Milestones!$AA$81=FT_Y5,EDATE($D106,Milestones!$AA$81)&lt;PolicyEff),1,Milestones!$AC$81)&amp;";  ","")&amp;IF(AND(EDATE($D106,Milestones!$AA$82)&lt;=AsOfDate,EDATE($D106,Milestones!$AA$82)&gt;=SchemeStart,IF($X106=0,$AD106,IF(AND($Z106&lt;&gt;"",EDATE($D106,Milestones!$AA$82)&gt;=$Z106),$AC106,IF(AND($Y106&lt;&gt;"",EDATE($D106,Milestones!$AA$82)&gt;=$Y106),$AB106,$AA106)))=Milestones!$AB$82),UPPER(TEXT(EDATE($D106,Milestones!$AA$82),"dd mmm yy"))&amp;" "&amp;Milestones!$AB$82&amp;" "&amp;IF(AND(Milestones!$AB$82="FT",Milestones!$AA$82=FT_Y5,EDATE($D106,Milestones!$AA$82)&lt;PolicyEff),1,Milestones!$AC$82)&amp;";  ","")&amp;IF(AND(EDATE($D106,Milestones!$AA$83)&lt;=AsOfDate,EDATE($D106,Milestones!$AA$83)&gt;=SchemeStart,IF($X106=0,$AD106,IF(AND($Z106&lt;&gt;"",EDATE($D106,Milestones!$AA$83)&gt;=$Z106),$AC106,IF(AND($Y106&lt;&gt;"",EDATE($D106,Milestones!$AA$83)&gt;=$Y106),$AB106,$AA106)))=Milestones!$AB$83),UPPER(TEXT(EDATE($D106,Milestones!$AA$83),"dd mmm yy"))&amp;" "&amp;Milestones!$AB$83&amp;" "&amp;IF(AND(Milestones!$AB$83="FT",Milestones!$AA$83=FT_Y5,EDATE($D106,Milestones!$AA$83)&lt;PolicyEff),1,Milestones!$AC$83)&amp;";  ","")&amp;IF(AND(EDATE($D106,Milestones!$AA$84)&lt;=AsOfDate,EDATE($D106,Milestones!$AA$84)&gt;=SchemeStart,IF($X106=0,$AD106,IF(AND($Z106&lt;&gt;"",EDATE($D106,Milestones!$AA$84)&gt;=$Z106),$AC106,IF(AND($Y106&lt;&gt;"",EDATE($D106,Milestones!$AA$84)&gt;=$Y106),$AB106,$AA106)))=Milestones!$AB$84),UPPER(TEXT(EDATE($D106,Milestones!$AA$84),"dd mmm yy"))&amp;" "&amp;Milestones!$AB$84&amp;" "&amp;IF(AND(Milestones!$AB$84="FT",Milestones!$AA$84=FT_Y5,EDATE($D106,Milestones!$AA$84)&lt;PolicyEff),1,Milestones!$AC$84)&amp;";  ","")&amp;IF(AND(EDATE($D106,Milestones!$AA$85)&lt;=AsOfDate,EDATE($D106,Milestones!$AA$85)&gt;=SchemeStart,IF($X106=0,$AD106,IF(AND($Z106&lt;&gt;"",EDATE($D106,Milestones!$AA$85)&gt;=$Z106),$AC106,IF(AND($Y106&lt;&gt;"",EDATE($D106,Milestones!$AA$85)&gt;=$Y106),$AB106,$AA106)))=Milestones!$AB$85),UPPER(TEXT(EDATE($D106,Milestones!$AA$85),"dd mmm yy"))&amp;" "&amp;Milestones!$AB$85&amp;" "&amp;IF(AND(Milestones!$AB$85="FT",Milestones!$AA$85=FT_Y5,EDATE($D106,Milestones!$AA$85)&lt;PolicyEff),1,Milestones!$AC$85)&amp;";  ","")&amp;IF(AND(EDATE($D106,Milestones!$AA$86)&lt;=AsOfDate,EDATE($D106,Milestones!$AA$86)&gt;=SchemeStart,IF($X106=0,$AD106,IF(AND($Z106&lt;&gt;"",EDATE($D106,Milestones!$AA$86)&gt;=$Z106),$AC106,IF(AND($Y106&lt;&gt;"",EDATE($D106,Milestones!$AA$86)&gt;=$Y106),$AB106,$AA106)))=Milestones!$AB$86),UPPER(TEXT(EDATE($D106,Milestones!$AA$86),"dd mmm yy"))&amp;" "&amp;Milestones!$AB$86&amp;" "&amp;IF(AND(Milestones!$AB$86="FT",Milestones!$AA$86=FT_Y5,EDATE($D106,Milestones!$AA$86)&lt;PolicyEff),1,Milestones!$AC$86)&amp;";  ","")&amp;IF(AND(EDATE($D106,Milestones!$AA$87)&lt;=AsOfDate,EDATE($D106,Milestones!$AA$87)&gt;=SchemeStart,IF($X106=0,$AD106,IF(AND($Z106&lt;&gt;"",EDATE($D106,Milestones!$AA$87)&gt;=$Z106),$AC106,IF(AND($Y106&lt;&gt;"",EDATE($D106,Milestones!$AA$87)&gt;=$Y106),$AB106,$AA106)))=Milestones!$AB$87),UPPER(TEXT(EDATE($D106,Milestones!$AA$87),"dd mmm yy"))&amp;" "&amp;Milestones!$AB$87&amp;" "&amp;IF(AND(Milestones!$AB$87="FT",Milestones!$AA$87=FT_Y5,EDATE($D106,Milestones!$AA$87)&lt;PolicyEff),1,Milestones!$AC$87)&amp;";  ","")&amp;IF(AND(EDATE($D106,Milestones!$AA$88)&lt;=AsOfDate,EDATE($D106,Milestones!$AA$88)&gt;=SchemeStart,IF($X106=0,$AD106,IF(AND($Z106&lt;&gt;"",EDATE($D106,Milestones!$AA$88)&gt;=$Z106),$AC106,IF(AND($Y106&lt;&gt;"",EDATE($D106,Milestones!$AA$88)&gt;=$Y106),$AB106,$AA106)))=Milestones!$AB$88),UPPER(TEXT(EDATE($D106,Milestones!$AA$88),"dd mmm yy"))&amp;" "&amp;Milestones!$AB$88&amp;" "&amp;IF(AND(Milestones!$AB$88="FT",Milestones!$AA$88=FT_Y5,EDATE($D106,Milestones!$AA$88)&lt;PolicyEff),1,Milestones!$AC$88)&amp;";  ","")&amp;IF(AND(EDATE($D106,Milestones!$AA$89)&lt;=AsOfDate,EDATE($D106,Milestones!$AA$89)&gt;=SchemeStart,IF($X106=0,$AD106,IF(AND($Z106&lt;&gt;"",EDATE($D106,Milestones!$AA$89)&gt;=$Z106),$AC106,IF(AND($Y106&lt;&gt;"",EDATE($D106,Milestones!$AA$89)&gt;=$Y106),$AB106,$AA106)))=Milestones!$AB$89),UPPER(TEXT(EDATE($D106,Milestones!$AA$89),"dd mmm yy"))&amp;" "&amp;Milestones!$AB$89&amp;" "&amp;IF(AND(Milestones!$AB$89="FT",Milestones!$AA$89=FT_Y5,EDATE($D106,Milestones!$AA$89)&lt;PolicyEff),1,Milestones!$AC$89)&amp;";  ","")&amp;IF(AND(EDATE($D106,Milestones!$AA$90)&lt;=AsOfDate,EDATE($D106,Milestones!$AA$90)&gt;=SchemeStart,IF($X106=0,$AD106,IF(AND($Z106&lt;&gt;"",EDATE($D106,Milestones!$AA$90)&gt;=$Z106),$AC106,IF(AND($Y106&lt;&gt;"",EDATE($D106,Milestones!$AA$90)&gt;=$Y106),$AB106,$AA106)))=Milestones!$AB$90),UPPER(TEXT(EDATE($D106,Milestones!$AA$90),"dd mmm yy"))&amp;" "&amp;Milestones!$AB$90&amp;" "&amp;IF(AND(Milestones!$AB$90="FT",Milestones!$AA$90=FT_Y5,EDATE($D106,Milestones!$AA$90)&lt;PolicyEff),1,Milestones!$AC$90)&amp;";  ","")&amp;IF(AND(EDATE($D106,Milestones!$AA$91)&lt;=AsOfDate,EDATE($D106,Milestones!$AA$91)&gt;=SchemeStart,IF($X106=0,$AD106,IF(AND($Z106&lt;&gt;"",EDATE($D106,Milestones!$AA$91)&gt;=$Z106),$AC106,IF(AND($Y106&lt;&gt;"",EDATE($D106,Milestones!$AA$91)&gt;=$Y106),$AB106,$AA106)))=Milestones!$AB$91),UPPER(TEXT(EDATE($D106,Milestones!$AA$91),"dd mmm yy"))&amp;" "&amp;Milestones!$AB$91&amp;" "&amp;IF(AND(Milestones!$AB$91="FT",Milestones!$AA$91=FT_Y5,EDATE($D106,Milestones!$AA$91)&lt;PolicyEff),1,Milestones!$AC$91)&amp;";  ",""))</f>
        <v/>
      </c>
      <c r="O106" s="0" t="str">
        <f aca="false">IF(OR($A106="",$D106=""),"",IF(AND(EDATE($D106,Milestones!$AA$92)&lt;=AsOfDate,EDATE($D106,Milestones!$AA$92)&gt;=SchemeStart,IF($X106=0,$AD106,IF(AND($Z106&lt;&gt;"",EDATE($D106,Milestones!$AA$92)&gt;=$Z106),$AC106,IF(AND($Y106&lt;&gt;"",EDATE($D106,Milestones!$AA$92)&gt;=$Y106),$AB106,$AA106)))=Milestones!$AB$92),UPPER(TEXT(EDATE($D106,Milestones!$AA$92),"dd mmm yy"))&amp;" "&amp;Milestones!$AB$92&amp;" "&amp;IF(AND(Milestones!$AB$92="FT",Milestones!$AA$92=FT_Y5,EDATE($D106,Milestones!$AA$92)&lt;PolicyEff),1,Milestones!$AC$92)&amp;";  ","")&amp;IF(AND(EDATE($D106,Milestones!$AA$93)&lt;=AsOfDate,EDATE($D106,Milestones!$AA$93)&gt;=SchemeStart,IF($X106=0,$AD106,IF(AND($Z106&lt;&gt;"",EDATE($D106,Milestones!$AA$93)&gt;=$Z106),$AC106,IF(AND($Y106&lt;&gt;"",EDATE($D106,Milestones!$AA$93)&gt;=$Y106),$AB106,$AA106)))=Milestones!$AB$93),UPPER(TEXT(EDATE($D106,Milestones!$AA$93),"dd mmm yy"))&amp;" "&amp;Milestones!$AB$93&amp;" "&amp;IF(AND(Milestones!$AB$93="FT",Milestones!$AA$93=FT_Y5,EDATE($D106,Milestones!$AA$93)&lt;PolicyEff),1,Milestones!$AC$93)&amp;";  ","")&amp;IF(AND(EDATE($D106,Milestones!$AA$94)&lt;=AsOfDate,EDATE($D106,Milestones!$AA$94)&gt;=SchemeStart,IF($X106=0,$AD106,IF(AND($Z106&lt;&gt;"",EDATE($D106,Milestones!$AA$94)&gt;=$Z106),$AC106,IF(AND($Y106&lt;&gt;"",EDATE($D106,Milestones!$AA$94)&gt;=$Y106),$AB106,$AA106)))=Milestones!$AB$94),UPPER(TEXT(EDATE($D106,Milestones!$AA$94),"dd mmm yy"))&amp;" "&amp;Milestones!$AB$94&amp;" "&amp;IF(AND(Milestones!$AB$94="FT",Milestones!$AA$94=FT_Y5,EDATE($D106,Milestones!$AA$94)&lt;PolicyEff),1,Milestones!$AC$94)&amp;";  ","")&amp;IF(AND(EDATE($D106,Milestones!$AA$95)&lt;=AsOfDate,EDATE($D106,Milestones!$AA$95)&gt;=SchemeStart,IF($X106=0,$AD106,IF(AND($Z106&lt;&gt;"",EDATE($D106,Milestones!$AA$95)&gt;=$Z106),$AC106,IF(AND($Y106&lt;&gt;"",EDATE($D106,Milestones!$AA$95)&gt;=$Y106),$AB106,$AA106)))=Milestones!$AB$95),UPPER(TEXT(EDATE($D106,Milestones!$AA$95),"dd mmm yy"))&amp;" "&amp;Milestones!$AB$95&amp;" "&amp;IF(AND(Milestones!$AB$95="FT",Milestones!$AA$95=FT_Y5,EDATE($D106,Milestones!$AA$95)&lt;PolicyEff),1,Milestones!$AC$95)&amp;";  ","")&amp;IF(AND(EDATE($D106,Milestones!$AA$96)&lt;=AsOfDate,EDATE($D106,Milestones!$AA$96)&gt;=SchemeStart,IF($X106=0,$AD106,IF(AND($Z106&lt;&gt;"",EDATE($D106,Milestones!$AA$96)&gt;=$Z106),$AC106,IF(AND($Y106&lt;&gt;"",EDATE($D106,Milestones!$AA$96)&gt;=$Y106),$AB106,$AA106)))=Milestones!$AB$96),UPPER(TEXT(EDATE($D106,Milestones!$AA$96),"dd mmm yy"))&amp;" "&amp;Milestones!$AB$96&amp;" "&amp;IF(AND(Milestones!$AB$96="FT",Milestones!$AA$96=FT_Y5,EDATE($D106,Milestones!$AA$96)&lt;PolicyEff),1,Milestones!$AC$96)&amp;";  ","")&amp;IF(AND(EDATE($D106,Milestones!$AA$97)&lt;=AsOfDate,EDATE($D106,Milestones!$AA$97)&gt;=SchemeStart,IF($X106=0,$AD106,IF(AND($Z106&lt;&gt;"",EDATE($D106,Milestones!$AA$97)&gt;=$Z106),$AC106,IF(AND($Y106&lt;&gt;"",EDATE($D106,Milestones!$AA$97)&gt;=$Y106),$AB106,$AA106)))=Milestones!$AB$97),UPPER(TEXT(EDATE($D106,Milestones!$AA$97),"dd mmm yy"))&amp;" "&amp;Milestones!$AB$97&amp;" "&amp;IF(AND(Milestones!$AB$97="FT",Milestones!$AA$97=FT_Y5,EDATE($D106,Milestones!$AA$97)&lt;PolicyEff),1,Milestones!$AC$97)&amp;";  ","")&amp;IF(AND(EDATE($D106,Milestones!$AA$98)&lt;=AsOfDate,EDATE($D106,Milestones!$AA$98)&gt;=SchemeStart,IF($X106=0,$AD106,IF(AND($Z106&lt;&gt;"",EDATE($D106,Milestones!$AA$98)&gt;=$Z106),$AC106,IF(AND($Y106&lt;&gt;"",EDATE($D106,Milestones!$AA$98)&gt;=$Y106),$AB106,$AA106)))=Milestones!$AB$98),UPPER(TEXT(EDATE($D106,Milestones!$AA$98),"dd mmm yy"))&amp;" "&amp;Milestones!$AB$98&amp;" "&amp;IF(AND(Milestones!$AB$98="FT",Milestones!$AA$98=FT_Y5,EDATE($D106,Milestones!$AA$98)&lt;PolicyEff),1,Milestones!$AC$98)&amp;";  ","")&amp;IF(AND(EDATE($D106,Milestones!$AA$99)&lt;=AsOfDate,EDATE($D106,Milestones!$AA$99)&gt;=SchemeStart,IF($X106=0,$AD106,IF(AND($Z106&lt;&gt;"",EDATE($D106,Milestones!$AA$99)&gt;=$Z106),$AC106,IF(AND($Y106&lt;&gt;"",EDATE($D106,Milestones!$AA$99)&gt;=$Y106),$AB106,$AA106)))=Milestones!$AB$99),UPPER(TEXT(EDATE($D106,Milestones!$AA$99),"dd mmm yy"))&amp;" "&amp;Milestones!$AB$99&amp;" "&amp;IF(AND(Milestones!$AB$99="FT",Milestones!$AA$99=FT_Y5,EDATE($D106,Milestones!$AA$99)&lt;PolicyEff),1,Milestones!$AC$99)&amp;";  ","")&amp;IF(AND(EDATE($D106,Milestones!$AA$100)&lt;=AsOfDate,EDATE($D106,Milestones!$AA$100)&gt;=SchemeStart,IF($X106=0,$AD106,IF(AND($Z106&lt;&gt;"",EDATE($D106,Milestones!$AA$100)&gt;=$Z106),$AC106,IF(AND($Y106&lt;&gt;"",EDATE($D106,Milestones!$AA$100)&gt;=$Y106),$AB106,$AA106)))=Milestones!$AB$100),UPPER(TEXT(EDATE($D106,Milestones!$AA$100),"dd mmm yy"))&amp;" "&amp;Milestones!$AB$100&amp;" "&amp;IF(AND(Milestones!$AB$100="FT",Milestones!$AA$100=FT_Y5,EDATE($D106,Milestones!$AA$100)&lt;PolicyEff),1,Milestones!$AC$100)&amp;";  ","")&amp;IF(AND(EDATE($D106,Milestones!$AA$101)&lt;=AsOfDate,EDATE($D106,Milestones!$AA$101)&gt;=SchemeStart,IF($X106=0,$AD106,IF(AND($Z106&lt;&gt;"",EDATE($D106,Milestones!$AA$101)&gt;=$Z106),$AC106,IF(AND($Y106&lt;&gt;"",EDATE($D106,Milestones!$AA$101)&gt;=$Y106),$AB106,$AA106)))=Milestones!$AB$101),UPPER(TEXT(EDATE($D106,Milestones!$AA$101),"dd mmm yy"))&amp;" "&amp;Milestones!$AB$101&amp;" "&amp;IF(AND(Milestones!$AB$101="FT",Milestones!$AA$101=FT_Y5,EDATE($D106,Milestones!$AA$101)&lt;PolicyEff),1,Milestones!$AC$101)&amp;";  ","")&amp;IF(AND(EDATE($D106,Milestones!$AA$102)&lt;=AsOfDate,EDATE($D106,Milestones!$AA$102)&gt;=SchemeStart,IF($X106=0,$AD106,IF(AND($Z106&lt;&gt;"",EDATE($D106,Milestones!$AA$102)&gt;=$Z106),$AC106,IF(AND($Y106&lt;&gt;"",EDATE($D106,Milestones!$AA$102)&gt;=$Y106),$AB106,$AA106)))=Milestones!$AB$102),UPPER(TEXT(EDATE($D106,Milestones!$AA$102),"dd mmm yy"))&amp;" "&amp;Milestones!$AB$102&amp;" "&amp;IF(AND(Milestones!$AB$102="FT",Milestones!$AA$102=FT_Y5,EDATE($D106,Milestones!$AA$102)&lt;PolicyEff),1,Milestones!$AC$102)&amp;";  ","")&amp;IF(AND(EDATE($D106,Milestones!$AA$103)&lt;=AsOfDate,EDATE($D106,Milestones!$AA$103)&gt;=SchemeStart,IF($X106=0,$AD106,IF(AND($Z106&lt;&gt;"",EDATE($D106,Milestones!$AA$103)&gt;=$Z106),$AC106,IF(AND($Y106&lt;&gt;"",EDATE($D106,Milestones!$AA$103)&gt;=$Y106),$AB106,$AA106)))=Milestones!$AB$103),UPPER(TEXT(EDATE($D106,Milestones!$AA$103),"dd mmm yy"))&amp;" "&amp;Milestones!$AB$103&amp;" "&amp;IF(AND(Milestones!$AB$103="FT",Milestones!$AA$103=FT_Y5,EDATE($D106,Milestones!$AA$103)&lt;PolicyEff),1,Milestones!$AC$103)&amp;";  ",""))</f>
        <v/>
      </c>
      <c r="P106" s="0" t="str">
        <f aca="false">IF(OR($A106="",$D106=""),"",IF(AND(EDATE($D106,Milestones!$AA$104)&lt;=AsOfDate,EDATE($D106,Milestones!$AA$104)&gt;=SchemeStart,IF($X106=0,$AD106,IF(AND($Z106&lt;&gt;"",EDATE($D106,Milestones!$AA$104)&gt;=$Z106),$AC106,IF(AND($Y106&lt;&gt;"",EDATE($D106,Milestones!$AA$104)&gt;=$Y106),$AB106,$AA106)))=Milestones!$AB$104),UPPER(TEXT(EDATE($D106,Milestones!$AA$104),"dd mmm yy"))&amp;" "&amp;Milestones!$AB$104&amp;" "&amp;IF(AND(Milestones!$AB$104="FT",Milestones!$AA$104=FT_Y5,EDATE($D106,Milestones!$AA$104)&lt;PolicyEff),1,Milestones!$AC$104)&amp;";  ","")&amp;IF(AND(EDATE($D106,Milestones!$AA$105)&lt;=AsOfDate,EDATE($D106,Milestones!$AA$105)&gt;=SchemeStart,IF($X106=0,$AD106,IF(AND($Z106&lt;&gt;"",EDATE($D106,Milestones!$AA$105)&gt;=$Z106),$AC106,IF(AND($Y106&lt;&gt;"",EDATE($D106,Milestones!$AA$105)&gt;=$Y106),$AB106,$AA106)))=Milestones!$AB$105),UPPER(TEXT(EDATE($D106,Milestones!$AA$105),"dd mmm yy"))&amp;" "&amp;Milestones!$AB$105&amp;" "&amp;IF(AND(Milestones!$AB$105="FT",Milestones!$AA$105=FT_Y5,EDATE($D106,Milestones!$AA$105)&lt;PolicyEff),1,Milestones!$AC$105)&amp;";  ","")&amp;IF(AND(EDATE($D106,Milestones!$AA$106)&lt;=AsOfDate,EDATE($D106,Milestones!$AA$106)&gt;=SchemeStart,IF($X106=0,$AD106,IF(AND($Z106&lt;&gt;"",EDATE($D106,Milestones!$AA$106)&gt;=$Z106),$AC106,IF(AND($Y106&lt;&gt;"",EDATE($D106,Milestones!$AA$106)&gt;=$Y106),$AB106,$AA106)))=Milestones!$AB$106),UPPER(TEXT(EDATE($D106,Milestones!$AA$106),"dd mmm yy"))&amp;" "&amp;Milestones!$AB$106&amp;" "&amp;IF(AND(Milestones!$AB$106="FT",Milestones!$AA$106=FT_Y5,EDATE($D106,Milestones!$AA$106)&lt;PolicyEff),1,Milestones!$AC$106)&amp;";  ","")&amp;IF(AND(EDATE($D106,Milestones!$AA$107)&lt;=AsOfDate,EDATE($D106,Milestones!$AA$107)&gt;=SchemeStart,IF($X106=0,$AD106,IF(AND($Z106&lt;&gt;"",EDATE($D106,Milestones!$AA$107)&gt;=$Z106),$AC106,IF(AND($Y106&lt;&gt;"",EDATE($D106,Milestones!$AA$107)&gt;=$Y106),$AB106,$AA106)))=Milestones!$AB$107),UPPER(TEXT(EDATE($D106,Milestones!$AA$107),"dd mmm yy"))&amp;" "&amp;Milestones!$AB$107&amp;" "&amp;IF(AND(Milestones!$AB$107="FT",Milestones!$AA$107=FT_Y5,EDATE($D106,Milestones!$AA$107)&lt;PolicyEff),1,Milestones!$AC$107)&amp;";  ","")&amp;IF(AND(EDATE($D106,Milestones!$AA$108)&lt;=AsOfDate,EDATE($D106,Milestones!$AA$108)&gt;=SchemeStart,IF($X106=0,$AD106,IF(AND($Z106&lt;&gt;"",EDATE($D106,Milestones!$AA$108)&gt;=$Z106),$AC106,IF(AND($Y106&lt;&gt;"",EDATE($D106,Milestones!$AA$108)&gt;=$Y106),$AB106,$AA106)))=Milestones!$AB$108),UPPER(TEXT(EDATE($D106,Milestones!$AA$108),"dd mmm yy"))&amp;" "&amp;Milestones!$AB$108&amp;" "&amp;IF(AND(Milestones!$AB$108="FT",Milestones!$AA$108=FT_Y5,EDATE($D106,Milestones!$AA$108)&lt;PolicyEff),1,Milestones!$AC$108)&amp;";  ","")&amp;IF(AND(EDATE($D106,Milestones!$AA$109)&lt;=AsOfDate,EDATE($D106,Milestones!$AA$109)&gt;=SchemeStart,IF($X106=0,$AD106,IF(AND($Z106&lt;&gt;"",EDATE($D106,Milestones!$AA$109)&gt;=$Z106),$AC106,IF(AND($Y106&lt;&gt;"",EDATE($D106,Milestones!$AA$109)&gt;=$Y106),$AB106,$AA106)))=Milestones!$AB$109),UPPER(TEXT(EDATE($D106,Milestones!$AA$109),"dd mmm yy"))&amp;" "&amp;Milestones!$AB$109&amp;" "&amp;IF(AND(Milestones!$AB$109="FT",Milestones!$AA$109=FT_Y5,EDATE($D106,Milestones!$AA$109)&lt;PolicyEff),1,Milestones!$AC$109)&amp;";  ","")&amp;IF(AND(EDATE($D106,Milestones!$AA$110)&lt;=AsOfDate,EDATE($D106,Milestones!$AA$110)&gt;=SchemeStart,IF($X106=0,$AD106,IF(AND($Z106&lt;&gt;"",EDATE($D106,Milestones!$AA$110)&gt;=$Z106),$AC106,IF(AND($Y106&lt;&gt;"",EDATE($D106,Milestones!$AA$110)&gt;=$Y106),$AB106,$AA106)))=Milestones!$AB$110),UPPER(TEXT(EDATE($D106,Milestones!$AA$110),"dd mmm yy"))&amp;" "&amp;Milestones!$AB$110&amp;" "&amp;IF(AND(Milestones!$AB$110="FT",Milestones!$AA$110=FT_Y5,EDATE($D106,Milestones!$AA$110)&lt;PolicyEff),1,Milestones!$AC$110)&amp;";  ","")&amp;IF(AND(EDATE($D106,Milestones!$AA$111)&lt;=AsOfDate,EDATE($D106,Milestones!$AA$111)&gt;=SchemeStart,IF($X106=0,$AD106,IF(AND($Z106&lt;&gt;"",EDATE($D106,Milestones!$AA$111)&gt;=$Z106),$AC106,IF(AND($Y106&lt;&gt;"",EDATE($D106,Milestones!$AA$111)&gt;=$Y106),$AB106,$AA106)))=Milestones!$AB$111),UPPER(TEXT(EDATE($D106,Milestones!$AA$111),"dd mmm yy"))&amp;" "&amp;Milestones!$AB$111&amp;" "&amp;IF(AND(Milestones!$AB$111="FT",Milestones!$AA$111=FT_Y5,EDATE($D106,Milestones!$AA$111)&lt;PolicyEff),1,Milestones!$AC$111)&amp;";  ","")&amp;IF(AND(EDATE($D106,Milestones!$AA$112)&lt;=AsOfDate,EDATE($D106,Milestones!$AA$112)&gt;=SchemeStart,IF($X106=0,$AD106,IF(AND($Z106&lt;&gt;"",EDATE($D106,Milestones!$AA$112)&gt;=$Z106),$AC106,IF(AND($Y106&lt;&gt;"",EDATE($D106,Milestones!$AA$112)&gt;=$Y106),$AB106,$AA106)))=Milestones!$AB$112),UPPER(TEXT(EDATE($D106,Milestones!$AA$112),"dd mmm yy"))&amp;" "&amp;Milestones!$AB$112&amp;" "&amp;IF(AND(Milestones!$AB$112="FT",Milestones!$AA$112=FT_Y5,EDATE($D106,Milestones!$AA$112)&lt;PolicyEff),1,Milestones!$AC$112)&amp;";  ","")&amp;IF(AND(EDATE($D106,Milestones!$AA$113)&lt;=AsOfDate,EDATE($D106,Milestones!$AA$113)&gt;=SchemeStart,IF($X106=0,$AD106,IF(AND($Z106&lt;&gt;"",EDATE($D106,Milestones!$AA$113)&gt;=$Z106),$AC106,IF(AND($Y106&lt;&gt;"",EDATE($D106,Milestones!$AA$113)&gt;=$Y106),$AB106,$AA106)))=Milestones!$AB$113),UPPER(TEXT(EDATE($D106,Milestones!$AA$113),"dd mmm yy"))&amp;" "&amp;Milestones!$AB$113&amp;" "&amp;IF(AND(Milestones!$AB$113="FT",Milestones!$AA$113=FT_Y5,EDATE($D106,Milestones!$AA$113)&lt;PolicyEff),1,Milestones!$AC$113)&amp;";  ","")&amp;IF(AND(EDATE($D106,Milestones!$AA$114)&lt;=AsOfDate,EDATE($D106,Milestones!$AA$114)&gt;=SchemeStart,IF($X106=0,$AD106,IF(AND($Z106&lt;&gt;"",EDATE($D106,Milestones!$AA$114)&gt;=$Z106),$AC106,IF(AND($Y106&lt;&gt;"",EDATE($D106,Milestones!$AA$114)&gt;=$Y106),$AB106,$AA106)))=Milestones!$AB$114),UPPER(TEXT(EDATE($D106,Milestones!$AA$114),"dd mmm yy"))&amp;" "&amp;Milestones!$AB$114&amp;" "&amp;IF(AND(Milestones!$AB$114="FT",Milestones!$AA$114=FT_Y5,EDATE($D106,Milestones!$AA$114)&lt;PolicyEff),1,Milestones!$AC$114)&amp;";  ","")&amp;IF(AND(EDATE($D106,Milestones!$AA$115)&lt;=AsOfDate,EDATE($D106,Milestones!$AA$115)&gt;=SchemeStart,IF($X106=0,$AD106,IF(AND($Z106&lt;&gt;"",EDATE($D106,Milestones!$AA$115)&gt;=$Z106),$AC106,IF(AND($Y106&lt;&gt;"",EDATE($D106,Milestones!$AA$115)&gt;=$Y106),$AB106,$AA106)))=Milestones!$AB$115),UPPER(TEXT(EDATE($D106,Milestones!$AA$115),"dd mmm yy"))&amp;" "&amp;Milestones!$AB$115&amp;" "&amp;IF(AND(Milestones!$AB$115="FT",Milestones!$AA$115=FT_Y5,EDATE($D106,Milestones!$AA$115)&lt;PolicyEff),1,Milestones!$AC$115)&amp;";  ",""))</f>
        <v/>
      </c>
      <c r="Q106" s="0" t="str">
        <f aca="false">IF(OR($A106="",$D106=""),"",IF(AND(EDATE($D106,Milestones!$AA$116)&lt;=AsOfDate,EDATE($D106,Milestones!$AA$116)&gt;=SchemeStart,IF($X106=0,$AD106,IF(AND($Z106&lt;&gt;"",EDATE($D106,Milestones!$AA$116)&gt;=$Z106),$AC106,IF(AND($Y106&lt;&gt;"",EDATE($D106,Milestones!$AA$116)&gt;=$Y106),$AB106,$AA106)))=Milestones!$AB$116),UPPER(TEXT(EDATE($D106,Milestones!$AA$116),"dd mmm yy"))&amp;" "&amp;Milestones!$AB$116&amp;" "&amp;IF(AND(Milestones!$AB$116="FT",Milestones!$AA$116=FT_Y5,EDATE($D106,Milestones!$AA$116)&lt;PolicyEff),1,Milestones!$AC$116)&amp;";  ","")&amp;IF(AND(EDATE($D106,Milestones!$AA$117)&lt;=AsOfDate,EDATE($D106,Milestones!$AA$117)&gt;=SchemeStart,IF($X106=0,$AD106,IF(AND($Z106&lt;&gt;"",EDATE($D106,Milestones!$AA$117)&gt;=$Z106),$AC106,IF(AND($Y106&lt;&gt;"",EDATE($D106,Milestones!$AA$117)&gt;=$Y106),$AB106,$AA106)))=Milestones!$AB$117),UPPER(TEXT(EDATE($D106,Milestones!$AA$117),"dd mmm yy"))&amp;" "&amp;Milestones!$AB$117&amp;" "&amp;IF(AND(Milestones!$AB$117="FT",Milestones!$AA$117=FT_Y5,EDATE($D106,Milestones!$AA$117)&lt;PolicyEff),1,Milestones!$AC$117)&amp;";  ","")&amp;IF(AND(EDATE($D106,Milestones!$AA$118)&lt;=AsOfDate,EDATE($D106,Milestones!$AA$118)&gt;=SchemeStart,IF($X106=0,$AD106,IF(AND($Z106&lt;&gt;"",EDATE($D106,Milestones!$AA$118)&gt;=$Z106),$AC106,IF(AND($Y106&lt;&gt;"",EDATE($D106,Milestones!$AA$118)&gt;=$Y106),$AB106,$AA106)))=Milestones!$AB$118),UPPER(TEXT(EDATE($D106,Milestones!$AA$118),"dd mmm yy"))&amp;" "&amp;Milestones!$AB$118&amp;" "&amp;IF(AND(Milestones!$AB$118="FT",Milestones!$AA$118=FT_Y5,EDATE($D106,Milestones!$AA$118)&lt;PolicyEff),1,Milestones!$AC$118)&amp;";  ","")&amp;IF(AND(EDATE($D106,Milestones!$AA$119)&lt;=AsOfDate,EDATE($D106,Milestones!$AA$119)&gt;=SchemeStart,IF($X106=0,$AD106,IF(AND($Z106&lt;&gt;"",EDATE($D106,Milestones!$AA$119)&gt;=$Z106),$AC106,IF(AND($Y106&lt;&gt;"",EDATE($D106,Milestones!$AA$119)&gt;=$Y106),$AB106,$AA106)))=Milestones!$AB$119),UPPER(TEXT(EDATE($D106,Milestones!$AA$119),"dd mmm yy"))&amp;" "&amp;Milestones!$AB$119&amp;" "&amp;IF(AND(Milestones!$AB$119="FT",Milestones!$AA$119=FT_Y5,EDATE($D106,Milestones!$AA$119)&lt;PolicyEff),1,Milestones!$AC$119)&amp;";  ","")&amp;IF(AND(EDATE($D106,Milestones!$AA$120)&lt;=AsOfDate,EDATE($D106,Milestones!$AA$120)&gt;=SchemeStart,IF($X106=0,$AD106,IF(AND($Z106&lt;&gt;"",EDATE($D106,Milestones!$AA$120)&gt;=$Z106),$AC106,IF(AND($Y106&lt;&gt;"",EDATE($D106,Milestones!$AA$120)&gt;=$Y106),$AB106,$AA106)))=Milestones!$AB$120),UPPER(TEXT(EDATE($D106,Milestones!$AA$120),"dd mmm yy"))&amp;" "&amp;Milestones!$AB$120&amp;" "&amp;IF(AND(Milestones!$AB$120="FT",Milestones!$AA$120=FT_Y5,EDATE($D106,Milestones!$AA$120)&lt;PolicyEff),1,Milestones!$AC$120)&amp;";  ","")&amp;IF(AND(EDATE($D106,Milestones!$AA$121)&lt;=AsOfDate,EDATE($D106,Milestones!$AA$121)&gt;=SchemeStart,IF($X106=0,$AD106,IF(AND($Z106&lt;&gt;"",EDATE($D106,Milestones!$AA$121)&gt;=$Z106),$AC106,IF(AND($Y106&lt;&gt;"",EDATE($D106,Milestones!$AA$121)&gt;=$Y106),$AB106,$AA106)))=Milestones!$AB$121),UPPER(TEXT(EDATE($D106,Milestones!$AA$121),"dd mmm yy"))&amp;" "&amp;Milestones!$AB$121&amp;" "&amp;IF(AND(Milestones!$AB$121="FT",Milestones!$AA$121=FT_Y5,EDATE($D106,Milestones!$AA$121)&lt;PolicyEff),1,Milestones!$AC$121)&amp;";  ","")&amp;IF(AND(EDATE($D106,Milestones!$AA$122)&lt;=AsOfDate,EDATE($D106,Milestones!$AA$122)&gt;=SchemeStart,IF($X106=0,$AD106,IF(AND($Z106&lt;&gt;"",EDATE($D106,Milestones!$AA$122)&gt;=$Z106),$AC106,IF(AND($Y106&lt;&gt;"",EDATE($D106,Milestones!$AA$122)&gt;=$Y106),$AB106,$AA106)))=Milestones!$AB$122),UPPER(TEXT(EDATE($D106,Milestones!$AA$122),"dd mmm yy"))&amp;" "&amp;Milestones!$AB$122&amp;" "&amp;IF(AND(Milestones!$AB$122="FT",Milestones!$AA$122=FT_Y5,EDATE($D106,Milestones!$AA$122)&lt;PolicyEff),1,Milestones!$AC$122)&amp;";  ","")&amp;IF(AND(EDATE($D106,Milestones!$AA$123)&lt;=AsOfDate,EDATE($D106,Milestones!$AA$123)&gt;=SchemeStart,IF($X106=0,$AD106,IF(AND($Z106&lt;&gt;"",EDATE($D106,Milestones!$AA$123)&gt;=$Z106),$AC106,IF(AND($Y106&lt;&gt;"",EDATE($D106,Milestones!$AA$123)&gt;=$Y106),$AB106,$AA106)))=Milestones!$AB$123),UPPER(TEXT(EDATE($D106,Milestones!$AA$123),"dd mmm yy"))&amp;" "&amp;Milestones!$AB$123&amp;" "&amp;IF(AND(Milestones!$AB$123="FT",Milestones!$AA$123=FT_Y5,EDATE($D106,Milestones!$AA$123)&lt;PolicyEff),1,Milestones!$AC$123)&amp;";  ","")&amp;IF(AND(EDATE($D106,Milestones!$AA$124)&lt;=AsOfDate,EDATE($D106,Milestones!$AA$124)&gt;=SchemeStart,IF($X106=0,$AD106,IF(AND($Z106&lt;&gt;"",EDATE($D106,Milestones!$AA$124)&gt;=$Z106),$AC106,IF(AND($Y106&lt;&gt;"",EDATE($D106,Milestones!$AA$124)&gt;=$Y106),$AB106,$AA106)))=Milestones!$AB$124),UPPER(TEXT(EDATE($D106,Milestones!$AA$124),"dd mmm yy"))&amp;" "&amp;Milestones!$AB$124&amp;" "&amp;IF(AND(Milestones!$AB$124="FT",Milestones!$AA$124=FT_Y5,EDATE($D106,Milestones!$AA$124)&lt;PolicyEff),1,Milestones!$AC$124)&amp;";  ","")&amp;IF(AND(EDATE($D106,Milestones!$AA$125)&lt;=AsOfDate,EDATE($D106,Milestones!$AA$125)&gt;=SchemeStart,IF($X106=0,$AD106,IF(AND($Z106&lt;&gt;"",EDATE($D106,Milestones!$AA$125)&gt;=$Z106),$AC106,IF(AND($Y106&lt;&gt;"",EDATE($D106,Milestones!$AA$125)&gt;=$Y106),$AB106,$AA106)))=Milestones!$AB$125),UPPER(TEXT(EDATE($D106,Milestones!$AA$125),"dd mmm yy"))&amp;" "&amp;Milestones!$AB$125&amp;" "&amp;IF(AND(Milestones!$AB$125="FT",Milestones!$AA$125=FT_Y5,EDATE($D106,Milestones!$AA$125)&lt;PolicyEff),1,Milestones!$AC$125)&amp;";  ","")&amp;IF(AND(EDATE($D106,Milestones!$AA$126)&lt;=AsOfDate,EDATE($D106,Milestones!$AA$126)&gt;=SchemeStart,IF($X106=0,$AD106,IF(AND($Z106&lt;&gt;"",EDATE($D106,Milestones!$AA$126)&gt;=$Z106),$AC106,IF(AND($Y106&lt;&gt;"",EDATE($D106,Milestones!$AA$126)&gt;=$Y106),$AB106,$AA106)))=Milestones!$AB$126),UPPER(TEXT(EDATE($D106,Milestones!$AA$126),"dd mmm yy"))&amp;" "&amp;Milestones!$AB$126&amp;" "&amp;IF(AND(Milestones!$AB$126="FT",Milestones!$AA$126=FT_Y5,EDATE($D106,Milestones!$AA$126)&lt;PolicyEff),1,Milestones!$AC$126)&amp;";  ","")&amp;IF(AND(EDATE($D106,Milestones!$AA$127)&lt;=AsOfDate,EDATE($D106,Milestones!$AA$127)&gt;=SchemeStart,IF($X106=0,$AD106,IF(AND($Z106&lt;&gt;"",EDATE($D106,Milestones!$AA$127)&gt;=$Z106),$AC106,IF(AND($Y106&lt;&gt;"",EDATE($D106,Milestones!$AA$127)&gt;=$Y106),$AB106,$AA106)))=Milestones!$AB$127),UPPER(TEXT(EDATE($D106,Milestones!$AA$127),"dd mmm yy"))&amp;" "&amp;Milestones!$AB$127&amp;" "&amp;IF(AND(Milestones!$AB$127="FT",Milestones!$AA$127=FT_Y5,EDATE($D106,Milestones!$AA$127)&lt;PolicyEff),1,Milestones!$AC$127)&amp;";  ",""))</f>
        <v/>
      </c>
      <c r="R106" s="0" t="str">
        <f aca="false">IF(OR($A106="",$D106=""),"",IF(AND(EDATE($D106,Milestones!$AA$128)&lt;=AsOfDate,EDATE($D106,Milestones!$AA$128)&gt;=SchemeStart,IF($X106=0,$AD106,IF(AND($Z106&lt;&gt;"",EDATE($D106,Milestones!$AA$128)&gt;=$Z106),$AC106,IF(AND($Y106&lt;&gt;"",EDATE($D106,Milestones!$AA$128)&gt;=$Y106),$AB106,$AA106)))=Milestones!$AB$128),UPPER(TEXT(EDATE($D106,Milestones!$AA$128),"dd mmm yy"))&amp;" "&amp;Milestones!$AB$128&amp;" "&amp;IF(AND(Milestones!$AB$128="FT",Milestones!$AA$128=FT_Y5,EDATE($D106,Milestones!$AA$128)&lt;PolicyEff),1,Milestones!$AC$128)&amp;";  ","")&amp;IF(AND(EDATE($D106,Milestones!$AA$129)&lt;=AsOfDate,EDATE($D106,Milestones!$AA$129)&gt;=SchemeStart,IF($X106=0,$AD106,IF(AND($Z106&lt;&gt;"",EDATE($D106,Milestones!$AA$129)&gt;=$Z106),$AC106,IF(AND($Y106&lt;&gt;"",EDATE($D106,Milestones!$AA$129)&gt;=$Y106),$AB106,$AA106)))=Milestones!$AB$129),UPPER(TEXT(EDATE($D106,Milestones!$AA$129),"dd mmm yy"))&amp;" "&amp;Milestones!$AB$129&amp;" "&amp;IF(AND(Milestones!$AB$129="FT",Milestones!$AA$129=FT_Y5,EDATE($D106,Milestones!$AA$129)&lt;PolicyEff),1,Milestones!$AC$129)&amp;";  ","")&amp;IF(AND(EDATE($D106,Milestones!$AA$130)&lt;=AsOfDate,EDATE($D106,Milestones!$AA$130)&gt;=SchemeStart,IF($X106=0,$AD106,IF(AND($Z106&lt;&gt;"",EDATE($D106,Milestones!$AA$130)&gt;=$Z106),$AC106,IF(AND($Y106&lt;&gt;"",EDATE($D106,Milestones!$AA$130)&gt;=$Y106),$AB106,$AA106)))=Milestones!$AB$130),UPPER(TEXT(EDATE($D106,Milestones!$AA$130),"dd mmm yy"))&amp;" "&amp;Milestones!$AB$130&amp;" "&amp;IF(AND(Milestones!$AB$130="FT",Milestones!$AA$130=FT_Y5,EDATE($D106,Milestones!$AA$130)&lt;PolicyEff),1,Milestones!$AC$130)&amp;";  ","")&amp;IF(AND(EDATE($D106,Milestones!$AA$131)&lt;=AsOfDate,EDATE($D106,Milestones!$AA$131)&gt;=SchemeStart,IF($X106=0,$AD106,IF(AND($Z106&lt;&gt;"",EDATE($D106,Milestones!$AA$131)&gt;=$Z106),$AC106,IF(AND($Y106&lt;&gt;"",EDATE($D106,Milestones!$AA$131)&gt;=$Y106),$AB106,$AA106)))=Milestones!$AB$131),UPPER(TEXT(EDATE($D106,Milestones!$AA$131),"dd mmm yy"))&amp;" "&amp;Milestones!$AB$131&amp;" "&amp;IF(AND(Milestones!$AB$131="FT",Milestones!$AA$131=FT_Y5,EDATE($D106,Milestones!$AA$131)&lt;PolicyEff),1,Milestones!$AC$131)&amp;";  ","")&amp;IF(AND(EDATE($D106,Milestones!$AA$132)&lt;=AsOfDate,EDATE($D106,Milestones!$AA$132)&gt;=SchemeStart,IF($X106=0,$AD106,IF(AND($Z106&lt;&gt;"",EDATE($D106,Milestones!$AA$132)&gt;=$Z106),$AC106,IF(AND($Y106&lt;&gt;"",EDATE($D106,Milestones!$AA$132)&gt;=$Y106),$AB106,$AA106)))=Milestones!$AB$132),UPPER(TEXT(EDATE($D106,Milestones!$AA$132),"dd mmm yy"))&amp;" "&amp;Milestones!$AB$132&amp;" "&amp;IF(AND(Milestones!$AB$132="FT",Milestones!$AA$132=FT_Y5,EDATE($D106,Milestones!$AA$132)&lt;PolicyEff),1,Milestones!$AC$132)&amp;";  ","")&amp;IF(AND(EDATE($D106,Milestones!$AA$133)&lt;=AsOfDate,EDATE($D106,Milestones!$AA$133)&gt;=SchemeStart,IF($X106=0,$AD106,IF(AND($Z106&lt;&gt;"",EDATE($D106,Milestones!$AA$133)&gt;=$Z106),$AC106,IF(AND($Y106&lt;&gt;"",EDATE($D106,Milestones!$AA$133)&gt;=$Y106),$AB106,$AA106)))=Milestones!$AB$133),UPPER(TEXT(EDATE($D106,Milestones!$AA$133),"dd mmm yy"))&amp;" "&amp;Milestones!$AB$133&amp;" "&amp;IF(AND(Milestones!$AB$133="FT",Milestones!$AA$133=FT_Y5,EDATE($D106,Milestones!$AA$133)&lt;PolicyEff),1,Milestones!$AC$133)&amp;";  ","")&amp;IF(AND(EDATE($D106,Milestones!$AA$134)&lt;=AsOfDate,EDATE($D106,Milestones!$AA$134)&gt;=SchemeStart,IF($X106=0,$AD106,IF(AND($Z106&lt;&gt;"",EDATE($D106,Milestones!$AA$134)&gt;=$Z106),$AC106,IF(AND($Y106&lt;&gt;"",EDATE($D106,Milestones!$AA$134)&gt;=$Y106),$AB106,$AA106)))=Milestones!$AB$134),UPPER(TEXT(EDATE($D106,Milestones!$AA$134),"dd mmm yy"))&amp;" "&amp;Milestones!$AB$134&amp;" "&amp;IF(AND(Milestones!$AB$134="FT",Milestones!$AA$134=FT_Y5,EDATE($D106,Milestones!$AA$134)&lt;PolicyEff),1,Milestones!$AC$134)&amp;";  ","")&amp;IF(AND(EDATE($D106,Milestones!$AA$135)&lt;=AsOfDate,EDATE($D106,Milestones!$AA$135)&gt;=SchemeStart,IF($X106=0,$AD106,IF(AND($Z106&lt;&gt;"",EDATE($D106,Milestones!$AA$135)&gt;=$Z106),$AC106,IF(AND($Y106&lt;&gt;"",EDATE($D106,Milestones!$AA$135)&gt;=$Y106),$AB106,$AA106)))=Milestones!$AB$135),UPPER(TEXT(EDATE($D106,Milestones!$AA$135),"dd mmm yy"))&amp;" "&amp;Milestones!$AB$135&amp;" "&amp;IF(AND(Milestones!$AB$135="FT",Milestones!$AA$135=FT_Y5,EDATE($D106,Milestones!$AA$135)&lt;PolicyEff),1,Milestones!$AC$135)&amp;";  ","")&amp;IF(AND(EDATE($D106,Milestones!$AA$136)&lt;=AsOfDate,EDATE($D106,Milestones!$AA$136)&gt;=SchemeStart,IF($X106=0,$AD106,IF(AND($Z106&lt;&gt;"",EDATE($D106,Milestones!$AA$136)&gt;=$Z106),$AC106,IF(AND($Y106&lt;&gt;"",EDATE($D106,Milestones!$AA$136)&gt;=$Y106),$AB106,$AA106)))=Milestones!$AB$136),UPPER(TEXT(EDATE($D106,Milestones!$AA$136),"dd mmm yy"))&amp;" "&amp;Milestones!$AB$136&amp;" "&amp;IF(AND(Milestones!$AB$136="FT",Milestones!$AA$136=FT_Y5,EDATE($D106,Milestones!$AA$136)&lt;PolicyEff),1,Milestones!$AC$136)&amp;";  ","")&amp;IF(AND(EDATE($D106,Milestones!$AA$137)&lt;=AsOfDate,EDATE($D106,Milestones!$AA$137)&gt;=SchemeStart,IF($X106=0,$AD106,IF(AND($Z106&lt;&gt;"",EDATE($D106,Milestones!$AA$137)&gt;=$Z106),$AC106,IF(AND($Y106&lt;&gt;"",EDATE($D106,Milestones!$AA$137)&gt;=$Y106),$AB106,$AA106)))=Milestones!$AB$137),UPPER(TEXT(EDATE($D106,Milestones!$AA$137),"dd mmm yy"))&amp;" "&amp;Milestones!$AB$137&amp;" "&amp;IF(AND(Milestones!$AB$137="FT",Milestones!$AA$137=FT_Y5,EDATE($D106,Milestones!$AA$137)&lt;PolicyEff),1,Milestones!$AC$137)&amp;";  ","")&amp;IF(AND(EDATE($D106,Milestones!$AA$138)&lt;=AsOfDate,EDATE($D106,Milestones!$AA$138)&gt;=SchemeStart,IF($X106=0,$AD106,IF(AND($Z106&lt;&gt;"",EDATE($D106,Milestones!$AA$138)&gt;=$Z106),$AC106,IF(AND($Y106&lt;&gt;"",EDATE($D106,Milestones!$AA$138)&gt;=$Y106),$AB106,$AA106)))=Milestones!$AB$138),UPPER(TEXT(EDATE($D106,Milestones!$AA$138),"dd mmm yy"))&amp;" "&amp;Milestones!$AB$138&amp;" "&amp;IF(AND(Milestones!$AB$138="FT",Milestones!$AA$138=FT_Y5,EDATE($D106,Milestones!$AA$138)&lt;PolicyEff),1,Milestones!$AC$138)&amp;";  ","")&amp;IF(AND(EDATE($D106,Milestones!$AA$139)&lt;=AsOfDate,EDATE($D106,Milestones!$AA$139)&gt;=SchemeStart,IF($X106=0,$AD106,IF(AND($Z106&lt;&gt;"",EDATE($D106,Milestones!$AA$139)&gt;=$Z106),$AC106,IF(AND($Y106&lt;&gt;"",EDATE($D106,Milestones!$AA$139)&gt;=$Y106),$AB106,$AA106)))=Milestones!$AB$139),UPPER(TEXT(EDATE($D106,Milestones!$AA$139),"dd mmm yy"))&amp;" "&amp;Milestones!$AB$139&amp;" "&amp;IF(AND(Milestones!$AB$139="FT",Milestones!$AA$139=FT_Y5,EDATE($D106,Milestones!$AA$139)&lt;PolicyEff),1,Milestones!$AC$139)&amp;";  ",""))</f>
        <v/>
      </c>
      <c r="S106" s="0" t="str">
        <f aca="false">IF(OR($A106="",$D106=""),"",IF(AND(EDATE($D106,Milestones!$AA$140)&lt;=AsOfDate,EDATE($D106,Milestones!$AA$140)&gt;=SchemeStart,IF($X106=0,$AD106,IF(AND($Z106&lt;&gt;"",EDATE($D106,Milestones!$AA$140)&gt;=$Z106),$AC106,IF(AND($Y106&lt;&gt;"",EDATE($D106,Milestones!$AA$140)&gt;=$Y106),$AB106,$AA106)))=Milestones!$AB$140),UPPER(TEXT(EDATE($D106,Milestones!$AA$140),"dd mmm yy"))&amp;" "&amp;Milestones!$AB$140&amp;" "&amp;IF(AND(Milestones!$AB$140="FT",Milestones!$AA$140=FT_Y5,EDATE($D106,Milestones!$AA$140)&lt;PolicyEff),1,Milestones!$AC$140)&amp;";  ","")&amp;IF(AND(EDATE($D106,Milestones!$AA$141)&lt;=AsOfDate,EDATE($D106,Milestones!$AA$141)&gt;=SchemeStart,IF($X106=0,$AD106,IF(AND($Z106&lt;&gt;"",EDATE($D106,Milestones!$AA$141)&gt;=$Z106),$AC106,IF(AND($Y106&lt;&gt;"",EDATE($D106,Milestones!$AA$141)&gt;=$Y106),$AB106,$AA106)))=Milestones!$AB$141),UPPER(TEXT(EDATE($D106,Milestones!$AA$141),"dd mmm yy"))&amp;" "&amp;Milestones!$AB$141&amp;" "&amp;IF(AND(Milestones!$AB$141="FT",Milestones!$AA$141=FT_Y5,EDATE($D106,Milestones!$AA$141)&lt;PolicyEff),1,Milestones!$AC$141)&amp;";  ","")&amp;IF(AND(EDATE($D106,Milestones!$AA$142)&lt;=AsOfDate,EDATE($D106,Milestones!$AA$142)&gt;=SchemeStart,IF($X106=0,$AD106,IF(AND($Z106&lt;&gt;"",EDATE($D106,Milestones!$AA$142)&gt;=$Z106),$AC106,IF(AND($Y106&lt;&gt;"",EDATE($D106,Milestones!$AA$142)&gt;=$Y106),$AB106,$AA106)))=Milestones!$AB$142),UPPER(TEXT(EDATE($D106,Milestones!$AA$142),"dd mmm yy"))&amp;" "&amp;Milestones!$AB$142&amp;" "&amp;IF(AND(Milestones!$AB$142="FT",Milestones!$AA$142=FT_Y5,EDATE($D106,Milestones!$AA$142)&lt;PolicyEff),1,Milestones!$AC$142)&amp;";  ","")&amp;IF(AND(EDATE($D106,Milestones!$AA$143)&lt;=AsOfDate,EDATE($D106,Milestones!$AA$143)&gt;=SchemeStart,IF($X106=0,$AD106,IF(AND($Z106&lt;&gt;"",EDATE($D106,Milestones!$AA$143)&gt;=$Z106),$AC106,IF(AND($Y106&lt;&gt;"",EDATE($D106,Milestones!$AA$143)&gt;=$Y106),$AB106,$AA106)))=Milestones!$AB$143),UPPER(TEXT(EDATE($D106,Milestones!$AA$143),"dd mmm yy"))&amp;" "&amp;Milestones!$AB$143&amp;" "&amp;IF(AND(Milestones!$AB$143="FT",Milestones!$AA$143=FT_Y5,EDATE($D106,Milestones!$AA$143)&lt;PolicyEff),1,Milestones!$AC$143)&amp;";  ","")&amp;IF(AND(EDATE($D106,Milestones!$AA$144)&lt;=AsOfDate,EDATE($D106,Milestones!$AA$144)&gt;=SchemeStart,IF($X106=0,$AD106,IF(AND($Z106&lt;&gt;"",EDATE($D106,Milestones!$AA$144)&gt;=$Z106),$AC106,IF(AND($Y106&lt;&gt;"",EDATE($D106,Milestones!$AA$144)&gt;=$Y106),$AB106,$AA106)))=Milestones!$AB$144),UPPER(TEXT(EDATE($D106,Milestones!$AA$144),"dd mmm yy"))&amp;" "&amp;Milestones!$AB$144&amp;" "&amp;IF(AND(Milestones!$AB$144="FT",Milestones!$AA$144=FT_Y5,EDATE($D106,Milestones!$AA$144)&lt;PolicyEff),1,Milestones!$AC$144)&amp;";  ","")&amp;IF(AND(EDATE($D106,Milestones!$AA$145)&lt;=AsOfDate,EDATE($D106,Milestones!$AA$145)&gt;=SchemeStart,IF($X106=0,$AD106,IF(AND($Z106&lt;&gt;"",EDATE($D106,Milestones!$AA$145)&gt;=$Z106),$AC106,IF(AND($Y106&lt;&gt;"",EDATE($D106,Milestones!$AA$145)&gt;=$Y106),$AB106,$AA106)))=Milestones!$AB$145),UPPER(TEXT(EDATE($D106,Milestones!$AA$145),"dd mmm yy"))&amp;" "&amp;Milestones!$AB$145&amp;" "&amp;IF(AND(Milestones!$AB$145="FT",Milestones!$AA$145=FT_Y5,EDATE($D106,Milestones!$AA$145)&lt;PolicyEff),1,Milestones!$AC$145)&amp;";  ","")&amp;IF(AND(EDATE($D106,Milestones!$AA$146)&lt;=AsOfDate,EDATE($D106,Milestones!$AA$146)&gt;=SchemeStart,IF($X106=0,$AD106,IF(AND($Z106&lt;&gt;"",EDATE($D106,Milestones!$AA$146)&gt;=$Z106),$AC106,IF(AND($Y106&lt;&gt;"",EDATE($D106,Milestones!$AA$146)&gt;=$Y106),$AB106,$AA106)))=Milestones!$AB$146),UPPER(TEXT(EDATE($D106,Milestones!$AA$146),"dd mmm yy"))&amp;" "&amp;Milestones!$AB$146&amp;" "&amp;IF(AND(Milestones!$AB$146="FT",Milestones!$AA$146=FT_Y5,EDATE($D106,Milestones!$AA$146)&lt;PolicyEff),1,Milestones!$AC$146)&amp;";  ","")&amp;IF(AND(EDATE($D106,Milestones!$AA$147)&lt;=AsOfDate,EDATE($D106,Milestones!$AA$147)&gt;=SchemeStart,IF($X106=0,$AD106,IF(AND($Z106&lt;&gt;"",EDATE($D106,Milestones!$AA$147)&gt;=$Z106),$AC106,IF(AND($Y106&lt;&gt;"",EDATE($D106,Milestones!$AA$147)&gt;=$Y106),$AB106,$AA106)))=Milestones!$AB$147),UPPER(TEXT(EDATE($D106,Milestones!$AA$147),"dd mmm yy"))&amp;" "&amp;Milestones!$AB$147&amp;" "&amp;IF(AND(Milestones!$AB$147="FT",Milestones!$AA$147=FT_Y5,EDATE($D106,Milestones!$AA$147)&lt;PolicyEff),1,Milestones!$AC$147)&amp;";  ","")&amp;IF(AND(EDATE($D106,Milestones!$AA$148)&lt;=AsOfDate,EDATE($D106,Milestones!$AA$148)&gt;=SchemeStart,IF($X106=0,$AD106,IF(AND($Z106&lt;&gt;"",EDATE($D106,Milestones!$AA$148)&gt;=$Z106),$AC106,IF(AND($Y106&lt;&gt;"",EDATE($D106,Milestones!$AA$148)&gt;=$Y106),$AB106,$AA106)))=Milestones!$AB$148),UPPER(TEXT(EDATE($D106,Milestones!$AA$148),"dd mmm yy"))&amp;" "&amp;Milestones!$AB$148&amp;" "&amp;IF(AND(Milestones!$AB$148="FT",Milestones!$AA$148=FT_Y5,EDATE($D106,Milestones!$AA$148)&lt;PolicyEff),1,Milestones!$AC$148)&amp;";  ","")&amp;IF(AND(EDATE($D106,Milestones!$AA$149)&lt;=AsOfDate,EDATE($D106,Milestones!$AA$149)&gt;=SchemeStart,IF($X106=0,$AD106,IF(AND($Z106&lt;&gt;"",EDATE($D106,Milestones!$AA$149)&gt;=$Z106),$AC106,IF(AND($Y106&lt;&gt;"",EDATE($D106,Milestones!$AA$149)&gt;=$Y106),$AB106,$AA106)))=Milestones!$AB$149),UPPER(TEXT(EDATE($D106,Milestones!$AA$149),"dd mmm yy"))&amp;" "&amp;Milestones!$AB$149&amp;" "&amp;IF(AND(Milestones!$AB$149="FT",Milestones!$AA$149=FT_Y5,EDATE($D106,Milestones!$AA$149)&lt;PolicyEff),1,Milestones!$AC$149)&amp;";  ","")&amp;IF(AND(EDATE($D106,Milestones!$AA$150)&lt;=AsOfDate,EDATE($D106,Milestones!$AA$150)&gt;=SchemeStart,IF($X106=0,$AD106,IF(AND($Z106&lt;&gt;"",EDATE($D106,Milestones!$AA$150)&gt;=$Z106),$AC106,IF(AND($Y106&lt;&gt;"",EDATE($D106,Milestones!$AA$150)&gt;=$Y106),$AB106,$AA106)))=Milestones!$AB$150),UPPER(TEXT(EDATE($D106,Milestones!$AA$150),"dd mmm yy"))&amp;" "&amp;Milestones!$AB$150&amp;" "&amp;IF(AND(Milestones!$AB$150="FT",Milestones!$AA$150=FT_Y5,EDATE($D106,Milestones!$AA$150)&lt;PolicyEff),1,Milestones!$AC$150)&amp;";  ","")&amp;IF(AND(EDATE($D106,Milestones!$AA$151)&lt;=AsOfDate,EDATE($D106,Milestones!$AA$151)&gt;=SchemeStart,IF($X106=0,$AD106,IF(AND($Z106&lt;&gt;"",EDATE($D106,Milestones!$AA$151)&gt;=$Z106),$AC106,IF(AND($Y106&lt;&gt;"",EDATE($D106,Milestones!$AA$151)&gt;=$Y106),$AB106,$AA106)))=Milestones!$AB$151),UPPER(TEXT(EDATE($D106,Milestones!$AA$151),"dd mmm yy"))&amp;" "&amp;Milestones!$AB$151&amp;" "&amp;IF(AND(Milestones!$AB$151="FT",Milestones!$AA$151=FT_Y5,EDATE($D106,Milestones!$AA$151)&lt;PolicyEff),1,Milestones!$AC$151)&amp;";  ",""))</f>
        <v/>
      </c>
      <c r="T106" s="0" t="str">
        <f aca="false">IF(OR($A106="",$D106=""),"",IF(AND(EDATE($D106,Milestones!$AA$152)&lt;=AsOfDate,EDATE($D106,Milestones!$AA$152)&gt;=SchemeStart,IF($X106=0,$AD106,IF(AND($Z106&lt;&gt;"",EDATE($D106,Milestones!$AA$152)&gt;=$Z106),$AC106,IF(AND($Y106&lt;&gt;"",EDATE($D106,Milestones!$AA$152)&gt;=$Y106),$AB106,$AA106)))=Milestones!$AB$152),UPPER(TEXT(EDATE($D106,Milestones!$AA$152),"dd mmm yy"))&amp;" "&amp;Milestones!$AB$152&amp;" "&amp;IF(AND(Milestones!$AB$152="FT",Milestones!$AA$152=FT_Y5,EDATE($D106,Milestones!$AA$152)&lt;PolicyEff),1,Milestones!$AC$152)&amp;";  ","")&amp;IF(AND(EDATE($D106,Milestones!$AA$153)&lt;=AsOfDate,EDATE($D106,Milestones!$AA$153)&gt;=SchemeStart,IF($X106=0,$AD106,IF(AND($Z106&lt;&gt;"",EDATE($D106,Milestones!$AA$153)&gt;=$Z106),$AC106,IF(AND($Y106&lt;&gt;"",EDATE($D106,Milestones!$AA$153)&gt;=$Y106),$AB106,$AA106)))=Milestones!$AB$153),UPPER(TEXT(EDATE($D106,Milestones!$AA$153),"dd mmm yy"))&amp;" "&amp;Milestones!$AB$153&amp;" "&amp;IF(AND(Milestones!$AB$153="FT",Milestones!$AA$153=FT_Y5,EDATE($D106,Milestones!$AA$153)&lt;PolicyEff),1,Milestones!$AC$153)&amp;";  ","")&amp;IF(AND(EDATE($D106,Milestones!$AA$154)&lt;=AsOfDate,EDATE($D106,Milestones!$AA$154)&gt;=SchemeStart,IF($X106=0,$AD106,IF(AND($Z106&lt;&gt;"",EDATE($D106,Milestones!$AA$154)&gt;=$Z106),$AC106,IF(AND($Y106&lt;&gt;"",EDATE($D106,Milestones!$AA$154)&gt;=$Y106),$AB106,$AA106)))=Milestones!$AB$154),UPPER(TEXT(EDATE($D106,Milestones!$AA$154),"dd mmm yy"))&amp;" "&amp;Milestones!$AB$154&amp;" "&amp;IF(AND(Milestones!$AB$154="FT",Milestones!$AA$154=FT_Y5,EDATE($D106,Milestones!$AA$154)&lt;PolicyEff),1,Milestones!$AC$154)&amp;";  ","")&amp;IF(AND(EDATE($D106,Milestones!$AA$155)&lt;=AsOfDate,EDATE($D106,Milestones!$AA$155)&gt;=SchemeStart,IF($X106=0,$AD106,IF(AND($Z106&lt;&gt;"",EDATE($D106,Milestones!$AA$155)&gt;=$Z106),$AC106,IF(AND($Y106&lt;&gt;"",EDATE($D106,Milestones!$AA$155)&gt;=$Y106),$AB106,$AA106)))=Milestones!$AB$155),UPPER(TEXT(EDATE($D106,Milestones!$AA$155),"dd mmm yy"))&amp;" "&amp;Milestones!$AB$155&amp;" "&amp;IF(AND(Milestones!$AB$155="FT",Milestones!$AA$155=FT_Y5,EDATE($D106,Milestones!$AA$155)&lt;PolicyEff),1,Milestones!$AC$155)&amp;";  ","")&amp;IF(AND(EDATE($D106,Milestones!$AA$156)&lt;=AsOfDate,EDATE($D106,Milestones!$AA$156)&gt;=SchemeStart,IF($X106=0,$AD106,IF(AND($Z106&lt;&gt;"",EDATE($D106,Milestones!$AA$156)&gt;=$Z106),$AC106,IF(AND($Y106&lt;&gt;"",EDATE($D106,Milestones!$AA$156)&gt;=$Y106),$AB106,$AA106)))=Milestones!$AB$156),UPPER(TEXT(EDATE($D106,Milestones!$AA$156),"dd mmm yy"))&amp;" "&amp;Milestones!$AB$156&amp;" "&amp;IF(AND(Milestones!$AB$156="FT",Milestones!$AA$156=FT_Y5,EDATE($D106,Milestones!$AA$156)&lt;PolicyEff),1,Milestones!$AC$156)&amp;";  ","")&amp;IF(AND(EDATE($D106,Milestones!$AA$157)&lt;=AsOfDate,EDATE($D106,Milestones!$AA$157)&gt;=SchemeStart,IF($X106=0,$AD106,IF(AND($Z106&lt;&gt;"",EDATE($D106,Milestones!$AA$157)&gt;=$Z106),$AC106,IF(AND($Y106&lt;&gt;"",EDATE($D106,Milestones!$AA$157)&gt;=$Y106),$AB106,$AA106)))=Milestones!$AB$157),UPPER(TEXT(EDATE($D106,Milestones!$AA$157),"dd mmm yy"))&amp;" "&amp;Milestones!$AB$157&amp;" "&amp;IF(AND(Milestones!$AB$157="FT",Milestones!$AA$157=FT_Y5,EDATE($D106,Milestones!$AA$157)&lt;PolicyEff),1,Milestones!$AC$157)&amp;";  ","")&amp;IF(AND(EDATE($D106,Milestones!$AA$158)&lt;=AsOfDate,EDATE($D106,Milestones!$AA$158)&gt;=SchemeStart,IF($X106=0,$AD106,IF(AND($Z106&lt;&gt;"",EDATE($D106,Milestones!$AA$158)&gt;=$Z106),$AC106,IF(AND($Y106&lt;&gt;"",EDATE($D106,Milestones!$AA$158)&gt;=$Y106),$AB106,$AA106)))=Milestones!$AB$158),UPPER(TEXT(EDATE($D106,Milestones!$AA$158),"dd mmm yy"))&amp;" "&amp;Milestones!$AB$158&amp;" "&amp;IF(AND(Milestones!$AB$158="FT",Milestones!$AA$158=FT_Y5,EDATE($D106,Milestones!$AA$158)&lt;PolicyEff),1,Milestones!$AC$158)&amp;";  ","")&amp;IF(AND(EDATE($D106,Milestones!$AA$159)&lt;=AsOfDate,EDATE($D106,Milestones!$AA$159)&gt;=SchemeStart,IF($X106=0,$AD106,IF(AND($Z106&lt;&gt;"",EDATE($D106,Milestones!$AA$159)&gt;=$Z106),$AC106,IF(AND($Y106&lt;&gt;"",EDATE($D106,Milestones!$AA$159)&gt;=$Y106),$AB106,$AA106)))=Milestones!$AB$159),UPPER(TEXT(EDATE($D106,Milestones!$AA$159),"dd mmm yy"))&amp;" "&amp;Milestones!$AB$159&amp;" "&amp;IF(AND(Milestones!$AB$159="FT",Milestones!$AA$159=FT_Y5,EDATE($D106,Milestones!$AA$159)&lt;PolicyEff),1,Milestones!$AC$159)&amp;";  ","")&amp;IF(AND(EDATE($D106,Milestones!$AA$160)&lt;=AsOfDate,EDATE($D106,Milestones!$AA$160)&gt;=SchemeStart,IF($X106=0,$AD106,IF(AND($Z106&lt;&gt;"",EDATE($D106,Milestones!$AA$160)&gt;=$Z106),$AC106,IF(AND($Y106&lt;&gt;"",EDATE($D106,Milestones!$AA$160)&gt;=$Y106),$AB106,$AA106)))=Milestones!$AB$160),UPPER(TEXT(EDATE($D106,Milestones!$AA$160),"dd mmm yy"))&amp;" "&amp;Milestones!$AB$160&amp;" "&amp;IF(AND(Milestones!$AB$160="FT",Milestones!$AA$160=FT_Y5,EDATE($D106,Milestones!$AA$160)&lt;PolicyEff),1,Milestones!$AC$160)&amp;";  ","")&amp;IF(AND(EDATE($D106,Milestones!$AA$161)&lt;=AsOfDate,EDATE($D106,Milestones!$AA$161)&gt;=SchemeStart,IF($X106=0,$AD106,IF(AND($Z106&lt;&gt;"",EDATE($D106,Milestones!$AA$161)&gt;=$Z106),$AC106,IF(AND($Y106&lt;&gt;"",EDATE($D106,Milestones!$AA$161)&gt;=$Y106),$AB106,$AA106)))=Milestones!$AB$161),UPPER(TEXT(EDATE($D106,Milestones!$AA$161),"dd mmm yy"))&amp;" "&amp;Milestones!$AB$161&amp;" "&amp;IF(AND(Milestones!$AB$161="FT",Milestones!$AA$161=FT_Y5,EDATE($D106,Milestones!$AA$161)&lt;PolicyEff),1,Milestones!$AC$161)&amp;";  ","")&amp;IF(AND(EDATE($D106,Milestones!$AA$162)&lt;=AsOfDate,EDATE($D106,Milestones!$AA$162)&gt;=SchemeStart,IF($X106=0,$AD106,IF(AND($Z106&lt;&gt;"",EDATE($D106,Milestones!$AA$162)&gt;=$Z106),$AC106,IF(AND($Y106&lt;&gt;"",EDATE($D106,Milestones!$AA$162)&gt;=$Y106),$AB106,$AA106)))=Milestones!$AB$162),UPPER(TEXT(EDATE($D106,Milestones!$AA$162),"dd mmm yy"))&amp;" "&amp;Milestones!$AB$162&amp;" "&amp;IF(AND(Milestones!$AB$162="FT",Milestones!$AA$162=FT_Y5,EDATE($D106,Milestones!$AA$162)&lt;PolicyEff),1,Milestones!$AC$162)&amp;";  ","")&amp;IF(AND(EDATE($D106,Milestones!$AA$163)&lt;=AsOfDate,EDATE($D106,Milestones!$AA$163)&gt;=SchemeStart,IF($X106=0,$AD106,IF(AND($Z106&lt;&gt;"",EDATE($D106,Milestones!$AA$163)&gt;=$Z106),$AC106,IF(AND($Y106&lt;&gt;"",EDATE($D106,Milestones!$AA$163)&gt;=$Y106),$AB106,$AA106)))=Milestones!$AB$163),UPPER(TEXT(EDATE($D106,Milestones!$AA$163),"dd mmm yy"))&amp;" "&amp;Milestones!$AB$163&amp;" "&amp;IF(AND(Milestones!$AB$163="FT",Milestones!$AA$163=FT_Y5,EDATE($D106,Milestones!$AA$163)&lt;PolicyEff),1,Milestones!$AC$163)&amp;";  ",""))</f>
        <v/>
      </c>
      <c r="U106" s="0" t="str">
        <f aca="false">IF(OR($A106="",$D106=""),"",IF(AND(EDATE($D106,Milestones!$AA$164)&lt;=AsOfDate,EDATE($D106,Milestones!$AA$164)&gt;=SchemeStart,IF($X106=0,$AD106,IF(AND($Z106&lt;&gt;"",EDATE($D106,Milestones!$AA$164)&gt;=$Z106),$AC106,IF(AND($Y106&lt;&gt;"",EDATE($D106,Milestones!$AA$164)&gt;=$Y106),$AB106,$AA106)))=Milestones!$AB$164),UPPER(TEXT(EDATE($D106,Milestones!$AA$164),"dd mmm yy"))&amp;" "&amp;Milestones!$AB$164&amp;" "&amp;IF(AND(Milestones!$AB$164="FT",Milestones!$AA$164=FT_Y5,EDATE($D106,Milestones!$AA$164)&lt;PolicyEff),1,Milestones!$AC$164)&amp;";  ","")&amp;IF(AND(EDATE($D106,Milestones!$AA$165)&lt;=AsOfDate,EDATE($D106,Milestones!$AA$165)&gt;=SchemeStart,IF($X106=0,$AD106,IF(AND($Z106&lt;&gt;"",EDATE($D106,Milestones!$AA$165)&gt;=$Z106),$AC106,IF(AND($Y106&lt;&gt;"",EDATE($D106,Milestones!$AA$165)&gt;=$Y106),$AB106,$AA106)))=Milestones!$AB$165),UPPER(TEXT(EDATE($D106,Milestones!$AA$165),"dd mmm yy"))&amp;" "&amp;Milestones!$AB$165&amp;" "&amp;IF(AND(Milestones!$AB$165="FT",Milestones!$AA$165=FT_Y5,EDATE($D106,Milestones!$AA$165)&lt;PolicyEff),1,Milestones!$AC$165)&amp;";  ","")&amp;IF(AND(EDATE($D106,Milestones!$AA$166)&lt;=AsOfDate,EDATE($D106,Milestones!$AA$166)&gt;=SchemeStart,IF($X106=0,$AD106,IF(AND($Z106&lt;&gt;"",EDATE($D106,Milestones!$AA$166)&gt;=$Z106),$AC106,IF(AND($Y106&lt;&gt;"",EDATE($D106,Milestones!$AA$166)&gt;=$Y106),$AB106,$AA106)))=Milestones!$AB$166),UPPER(TEXT(EDATE($D106,Milestones!$AA$166),"dd mmm yy"))&amp;" "&amp;Milestones!$AB$166&amp;" "&amp;IF(AND(Milestones!$AB$166="FT",Milestones!$AA$166=FT_Y5,EDATE($D106,Milestones!$AA$166)&lt;PolicyEff),1,Milestones!$AC$166)&amp;";  ","")&amp;IF(AND(EDATE($D106,Milestones!$AA$167)&lt;=AsOfDate,EDATE($D106,Milestones!$AA$167)&gt;=SchemeStart,IF($X106=0,$AD106,IF(AND($Z106&lt;&gt;"",EDATE($D106,Milestones!$AA$167)&gt;=$Z106),$AC106,IF(AND($Y106&lt;&gt;"",EDATE($D106,Milestones!$AA$167)&gt;=$Y106),$AB106,$AA106)))=Milestones!$AB$167),UPPER(TEXT(EDATE($D106,Milestones!$AA$167),"dd mmm yy"))&amp;" "&amp;Milestones!$AB$167&amp;" "&amp;IF(AND(Milestones!$AB$167="FT",Milestones!$AA$167=FT_Y5,EDATE($D106,Milestones!$AA$167)&lt;PolicyEff),1,Milestones!$AC$167)&amp;";  ","")&amp;IF(AND(EDATE($D106,Milestones!$AA$168)&lt;=AsOfDate,EDATE($D106,Milestones!$AA$168)&gt;=SchemeStart,IF($X106=0,$AD106,IF(AND($Z106&lt;&gt;"",EDATE($D106,Milestones!$AA$168)&gt;=$Z106),$AC106,IF(AND($Y106&lt;&gt;"",EDATE($D106,Milestones!$AA$168)&gt;=$Y106),$AB106,$AA106)))=Milestones!$AB$168),UPPER(TEXT(EDATE($D106,Milestones!$AA$168),"dd mmm yy"))&amp;" "&amp;Milestones!$AB$168&amp;" "&amp;IF(AND(Milestones!$AB$168="FT",Milestones!$AA$168=FT_Y5,EDATE($D106,Milestones!$AA$168)&lt;PolicyEff),1,Milestones!$AC$168)&amp;";  ","")&amp;IF(AND(EDATE($D106,Milestones!$AA$169)&lt;=AsOfDate,EDATE($D106,Milestones!$AA$169)&gt;=SchemeStart,IF($X106=0,$AD106,IF(AND($Z106&lt;&gt;"",EDATE($D106,Milestones!$AA$169)&gt;=$Z106),$AC106,IF(AND($Y106&lt;&gt;"",EDATE($D106,Milestones!$AA$169)&gt;=$Y106),$AB106,$AA106)))=Milestones!$AB$169),UPPER(TEXT(EDATE($D106,Milestones!$AA$169),"dd mmm yy"))&amp;" "&amp;Milestones!$AB$169&amp;" "&amp;IF(AND(Milestones!$AB$169="FT",Milestones!$AA$169=FT_Y5,EDATE($D106,Milestones!$AA$169)&lt;PolicyEff),1,Milestones!$AC$169)&amp;";  ","")&amp;IF(AND(EDATE($D106,Milestones!$AA$170)&lt;=AsOfDate,EDATE($D106,Milestones!$AA$170)&gt;=SchemeStart,IF($X106=0,$AD106,IF(AND($Z106&lt;&gt;"",EDATE($D106,Milestones!$AA$170)&gt;=$Z106),$AC106,IF(AND($Y106&lt;&gt;"",EDATE($D106,Milestones!$AA$170)&gt;=$Y106),$AB106,$AA106)))=Milestones!$AB$170),UPPER(TEXT(EDATE($D106,Milestones!$AA$170),"dd mmm yy"))&amp;" "&amp;Milestones!$AB$170&amp;" "&amp;IF(AND(Milestones!$AB$170="FT",Milestones!$AA$170=FT_Y5,EDATE($D106,Milestones!$AA$170)&lt;PolicyEff),1,Milestones!$AC$170)&amp;";  ","")&amp;IF(AND(EDATE($D106,Milestones!$AA$171)&lt;=AsOfDate,EDATE($D106,Milestones!$AA$171)&gt;=SchemeStart,IF($X106=0,$AD106,IF(AND($Z106&lt;&gt;"",EDATE($D106,Milestones!$AA$171)&gt;=$Z106),$AC106,IF(AND($Y106&lt;&gt;"",EDATE($D106,Milestones!$AA$171)&gt;=$Y106),$AB106,$AA106)))=Milestones!$AB$171),UPPER(TEXT(EDATE($D106,Milestones!$AA$171),"dd mmm yy"))&amp;" "&amp;Milestones!$AB$171&amp;" "&amp;IF(AND(Milestones!$AB$171="FT",Milestones!$AA$171=FT_Y5,EDATE($D106,Milestones!$AA$171)&lt;PolicyEff),1,Milestones!$AC$171)&amp;";  ","")&amp;IF(AND(EDATE($D106,Milestones!$AA$172)&lt;=AsOfDate,EDATE($D106,Milestones!$AA$172)&gt;=SchemeStart,IF($X106=0,$AD106,IF(AND($Z106&lt;&gt;"",EDATE($D106,Milestones!$AA$172)&gt;=$Z106),$AC106,IF(AND($Y106&lt;&gt;"",EDATE($D106,Milestones!$AA$172)&gt;=$Y106),$AB106,$AA106)))=Milestones!$AB$172),UPPER(TEXT(EDATE($D106,Milestones!$AA$172),"dd mmm yy"))&amp;" "&amp;Milestones!$AB$172&amp;" "&amp;IF(AND(Milestones!$AB$172="FT",Milestones!$AA$172=FT_Y5,EDATE($D106,Milestones!$AA$172)&lt;PolicyEff),1,Milestones!$AC$172)&amp;";  ","")&amp;IF(AND(EDATE($D106,Milestones!$AA$173)&lt;=AsOfDate,EDATE($D106,Milestones!$AA$173)&gt;=SchemeStart,IF($X106=0,$AD106,IF(AND($Z106&lt;&gt;"",EDATE($D106,Milestones!$AA$173)&gt;=$Z106),$AC106,IF(AND($Y106&lt;&gt;"",EDATE($D106,Milestones!$AA$173)&gt;=$Y106),$AB106,$AA106)))=Milestones!$AB$173),UPPER(TEXT(EDATE($D106,Milestones!$AA$173),"dd mmm yy"))&amp;" "&amp;Milestones!$AB$173&amp;" "&amp;IF(AND(Milestones!$AB$173="FT",Milestones!$AA$173=FT_Y5,EDATE($D106,Milestones!$AA$173)&lt;PolicyEff),1,Milestones!$AC$173)&amp;";  ","")&amp;IF(AND(EDATE($D106,Milestones!$AA$174)&lt;=AsOfDate,EDATE($D106,Milestones!$AA$174)&gt;=SchemeStart,IF($X106=0,$AD106,IF(AND($Z106&lt;&gt;"",EDATE($D106,Milestones!$AA$174)&gt;=$Z106),$AC106,IF(AND($Y106&lt;&gt;"",EDATE($D106,Milestones!$AA$174)&gt;=$Y106),$AB106,$AA106)))=Milestones!$AB$174),UPPER(TEXT(EDATE($D106,Milestones!$AA$174),"dd mmm yy"))&amp;" "&amp;Milestones!$AB$174&amp;" "&amp;IF(AND(Milestones!$AB$174="FT",Milestones!$AA$174=FT_Y5,EDATE($D106,Milestones!$AA$174)&lt;PolicyEff),1,Milestones!$AC$174)&amp;";  ","")&amp;IF(AND(EDATE($D106,Milestones!$AA$175)&lt;=AsOfDate,EDATE($D106,Milestones!$AA$175)&gt;=SchemeStart,IF($X106=0,$AD106,IF(AND($Z106&lt;&gt;"",EDATE($D106,Milestones!$AA$175)&gt;=$Z106),$AC106,IF(AND($Y106&lt;&gt;"",EDATE($D106,Milestones!$AA$175)&gt;=$Y106),$AB106,$AA106)))=Milestones!$AB$175),UPPER(TEXT(EDATE($D106,Milestones!$AA$175),"dd mmm yy"))&amp;" "&amp;Milestones!$AB$175&amp;" "&amp;IF(AND(Milestones!$AB$175="FT",Milestones!$AA$175=FT_Y5,EDATE($D106,Milestones!$AA$175)&lt;PolicyEff),1,Milestones!$AC$175)&amp;";  ",""))</f>
        <v/>
      </c>
      <c r="V106" s="0" t="str">
        <f aca="false">IF(OR($A106="",$D106=""),"",IF(AND(EDATE($D106,Milestones!$AA$176)&lt;=AsOfDate,EDATE($D106,Milestones!$AA$176)&gt;=SchemeStart,IF($X106=0,$AD106,IF(AND($Z106&lt;&gt;"",EDATE($D106,Milestones!$AA$176)&gt;=$Z106),$AC106,IF(AND($Y106&lt;&gt;"",EDATE($D106,Milestones!$AA$176)&gt;=$Y106),$AB106,$AA106)))=Milestones!$AB$176),UPPER(TEXT(EDATE($D106,Milestones!$AA$176),"dd mmm yy"))&amp;" "&amp;Milestones!$AB$176&amp;" "&amp;IF(AND(Milestones!$AB$176="FT",Milestones!$AA$176=FT_Y5,EDATE($D106,Milestones!$AA$176)&lt;PolicyEff),1,Milestones!$AC$176)&amp;";  ","")&amp;IF(AND(EDATE($D106,Milestones!$AA$177)&lt;=AsOfDate,EDATE($D106,Milestones!$AA$177)&gt;=SchemeStart,IF($X106=0,$AD106,IF(AND($Z106&lt;&gt;"",EDATE($D106,Milestones!$AA$177)&gt;=$Z106),$AC106,IF(AND($Y106&lt;&gt;"",EDATE($D106,Milestones!$AA$177)&gt;=$Y106),$AB106,$AA106)))=Milestones!$AB$177),UPPER(TEXT(EDATE($D106,Milestones!$AA$177),"dd mmm yy"))&amp;" "&amp;Milestones!$AB$177&amp;" "&amp;IF(AND(Milestones!$AB$177="FT",Milestones!$AA$177=FT_Y5,EDATE($D106,Milestones!$AA$177)&lt;PolicyEff),1,Milestones!$AC$177)&amp;";  ","")&amp;IF(AND(EDATE($D106,Milestones!$AA$178)&lt;=AsOfDate,EDATE($D106,Milestones!$AA$178)&gt;=SchemeStart,IF($X106=0,$AD106,IF(AND($Z106&lt;&gt;"",EDATE($D106,Milestones!$AA$178)&gt;=$Z106),$AC106,IF(AND($Y106&lt;&gt;"",EDATE($D106,Milestones!$AA$178)&gt;=$Y106),$AB106,$AA106)))=Milestones!$AB$178),UPPER(TEXT(EDATE($D106,Milestones!$AA$178),"dd mmm yy"))&amp;" "&amp;Milestones!$AB$178&amp;" "&amp;IF(AND(Milestones!$AB$178="FT",Milestones!$AA$178=FT_Y5,EDATE($D106,Milestones!$AA$178)&lt;PolicyEff),1,Milestones!$AC$178)&amp;";  ","")&amp;IF(AND(EDATE($D106,Milestones!$AA$179)&lt;=AsOfDate,EDATE($D106,Milestones!$AA$179)&gt;=SchemeStart,IF($X106=0,$AD106,IF(AND($Z106&lt;&gt;"",EDATE($D106,Milestones!$AA$179)&gt;=$Z106),$AC106,IF(AND($Y106&lt;&gt;"",EDATE($D106,Milestones!$AA$179)&gt;=$Y106),$AB106,$AA106)))=Milestones!$AB$179),UPPER(TEXT(EDATE($D106,Milestones!$AA$179),"dd mmm yy"))&amp;" "&amp;Milestones!$AB$179&amp;" "&amp;IF(AND(Milestones!$AB$179="FT",Milestones!$AA$179=FT_Y5,EDATE($D106,Milestones!$AA$179)&lt;PolicyEff),1,Milestones!$AC$179)&amp;";  ","")&amp;IF(AND(EDATE($D106,Milestones!$AA$180)&lt;=AsOfDate,EDATE($D106,Milestones!$AA$180)&gt;=SchemeStart,IF($X106=0,$AD106,IF(AND($Z106&lt;&gt;"",EDATE($D106,Milestones!$AA$180)&gt;=$Z106),$AC106,IF(AND($Y106&lt;&gt;"",EDATE($D106,Milestones!$AA$180)&gt;=$Y106),$AB106,$AA106)))=Milestones!$AB$180),UPPER(TEXT(EDATE($D106,Milestones!$AA$180),"dd mmm yy"))&amp;" "&amp;Milestones!$AB$180&amp;" "&amp;IF(AND(Milestones!$AB$180="FT",Milestones!$AA$180=FT_Y5,EDATE($D106,Milestones!$AA$180)&lt;PolicyEff),1,Milestones!$AC$180)&amp;";  ","")&amp;IF(AND(EDATE($D106,Milestones!$AA$181)&lt;=AsOfDate,EDATE($D106,Milestones!$AA$181)&gt;=SchemeStart,IF($X106=0,$AD106,IF(AND($Z106&lt;&gt;"",EDATE($D106,Milestones!$AA$181)&gt;=$Z106),$AC106,IF(AND($Y106&lt;&gt;"",EDATE($D106,Milestones!$AA$181)&gt;=$Y106),$AB106,$AA106)))=Milestones!$AB$181),UPPER(TEXT(EDATE($D106,Milestones!$AA$181),"dd mmm yy"))&amp;" "&amp;Milestones!$AB$181&amp;" "&amp;IF(AND(Milestones!$AB$181="FT",Milestones!$AA$181=FT_Y5,EDATE($D106,Milestones!$AA$181)&lt;PolicyEff),1,Milestones!$AC$181)&amp;";  ","")&amp;IF(AND(EDATE($D106,Milestones!$AA$182)&lt;=AsOfDate,EDATE($D106,Milestones!$AA$182)&gt;=SchemeStart,IF($X106=0,$AD106,IF(AND($Z106&lt;&gt;"",EDATE($D106,Milestones!$AA$182)&gt;=$Z106),$AC106,IF(AND($Y106&lt;&gt;"",EDATE($D106,Milestones!$AA$182)&gt;=$Y106),$AB106,$AA106)))=Milestones!$AB$182),UPPER(TEXT(EDATE($D106,Milestones!$AA$182),"dd mmm yy"))&amp;" "&amp;Milestones!$AB$182&amp;" "&amp;IF(AND(Milestones!$AB$182="FT",Milestones!$AA$182=FT_Y5,EDATE($D106,Milestones!$AA$182)&lt;PolicyEff),1,Milestones!$AC$182)&amp;";  ","")&amp;IF(AND(EDATE($D106,Milestones!$AA$183)&lt;=AsOfDate,EDATE($D106,Milestones!$AA$183)&gt;=SchemeStart,IF($X106=0,$AD106,IF(AND($Z106&lt;&gt;"",EDATE($D106,Milestones!$AA$183)&gt;=$Z106),$AC106,IF(AND($Y106&lt;&gt;"",EDATE($D106,Milestones!$AA$183)&gt;=$Y106),$AB106,$AA106)))=Milestones!$AB$183),UPPER(TEXT(EDATE($D106,Milestones!$AA$183),"dd mmm yy"))&amp;" "&amp;Milestones!$AB$183&amp;" "&amp;IF(AND(Milestones!$AB$183="FT",Milestones!$AA$183=FT_Y5,EDATE($D106,Milestones!$AA$183)&lt;PolicyEff),1,Milestones!$AC$183)&amp;";  ","")&amp;IF(AND(EDATE($D106,Milestones!$AA$184)&lt;=AsOfDate,EDATE($D106,Milestones!$AA$184)&gt;=SchemeStart,IF($X106=0,$AD106,IF(AND($Z106&lt;&gt;"",EDATE($D106,Milestones!$AA$184)&gt;=$Z106),$AC106,IF(AND($Y106&lt;&gt;"",EDATE($D106,Milestones!$AA$184)&gt;=$Y106),$AB106,$AA106)))=Milestones!$AB$184),UPPER(TEXT(EDATE($D106,Milestones!$AA$184),"dd mmm yy"))&amp;" "&amp;Milestones!$AB$184&amp;" "&amp;IF(AND(Milestones!$AB$184="FT",Milestones!$AA$184=FT_Y5,EDATE($D106,Milestones!$AA$184)&lt;PolicyEff),1,Milestones!$AC$184)&amp;";  ","")&amp;IF(AND(EDATE($D106,Milestones!$AA$185)&lt;=AsOfDate,EDATE($D106,Milestones!$AA$185)&gt;=SchemeStart,IF($X106=0,$AD106,IF(AND($Z106&lt;&gt;"",EDATE($D106,Milestones!$AA$185)&gt;=$Z106),$AC106,IF(AND($Y106&lt;&gt;"",EDATE($D106,Milestones!$AA$185)&gt;=$Y106),$AB106,$AA106)))=Milestones!$AB$185),UPPER(TEXT(EDATE($D106,Milestones!$AA$185),"dd mmm yy"))&amp;" "&amp;Milestones!$AB$185&amp;" "&amp;IF(AND(Milestones!$AB$185="FT",Milestones!$AA$185=FT_Y5,EDATE($D106,Milestones!$AA$185)&lt;PolicyEff),1,Milestones!$AC$185)&amp;";  ","")&amp;IF(AND(EDATE($D106,Milestones!$AA$186)&lt;=AsOfDate,EDATE($D106,Milestones!$AA$186)&gt;=SchemeStart,IF($X106=0,$AD106,IF(AND($Z106&lt;&gt;"",EDATE($D106,Milestones!$AA$186)&gt;=$Z106),$AC106,IF(AND($Y106&lt;&gt;"",EDATE($D106,Milestones!$AA$186)&gt;=$Y106),$AB106,$AA106)))=Milestones!$AB$186),UPPER(TEXT(EDATE($D106,Milestones!$AA$186),"dd mmm yy"))&amp;" "&amp;Milestones!$AB$186&amp;" "&amp;IF(AND(Milestones!$AB$186="FT",Milestones!$AA$186=FT_Y5,EDATE($D106,Milestones!$AA$186)&lt;PolicyEff),1,Milestones!$AC$186)&amp;";  ","")&amp;IF(AND(EDATE($D106,Milestones!$AA$187)&lt;=AsOfDate,EDATE($D106,Milestones!$AA$187)&gt;=SchemeStart,IF($X106=0,$AD106,IF(AND($Z106&lt;&gt;"",EDATE($D106,Milestones!$AA$187)&gt;=$Z106),$AC106,IF(AND($Y106&lt;&gt;"",EDATE($D106,Milestones!$AA$187)&gt;=$Y106),$AB106,$AA106)))=Milestones!$AB$187),UPPER(TEXT(EDATE($D106,Milestones!$AA$187),"dd mmm yy"))&amp;" "&amp;Milestones!$AB$187&amp;" "&amp;IF(AND(Milestones!$AB$187="FT",Milestones!$AA$187=FT_Y5,EDATE($D106,Milestones!$AA$187)&lt;PolicyEff),1,Milestones!$AC$187)&amp;";  ",""))</f>
        <v/>
      </c>
      <c r="W106" s="0" t="str">
        <f aca="false">IF(OR($A106="",$D106=""),"",IF(AND(EDATE($D106,Milestones!$AA$188)&lt;=AsOfDate,EDATE($D106,Milestones!$AA$188)&gt;=SchemeStart,IF($X106=0,$AD106,IF(AND($Z106&lt;&gt;"",EDATE($D106,Milestones!$AA$188)&gt;=$Z106),$AC106,IF(AND($Y106&lt;&gt;"",EDATE($D106,Milestones!$AA$188)&gt;=$Y106),$AB106,$AA106)))=Milestones!$AB$188),UPPER(TEXT(EDATE($D106,Milestones!$AA$188),"dd mmm yy"))&amp;" "&amp;Milestones!$AB$188&amp;" "&amp;IF(AND(Milestones!$AB$188="FT",Milestones!$AA$188=FT_Y5,EDATE($D106,Milestones!$AA$188)&lt;PolicyEff),1,Milestones!$AC$188)&amp;";  ","")&amp;IF(AND(EDATE($D106,Milestones!$AA$189)&lt;=AsOfDate,EDATE($D106,Milestones!$AA$189)&gt;=SchemeStart,IF($X106=0,$AD106,IF(AND($Z106&lt;&gt;"",EDATE($D106,Milestones!$AA$189)&gt;=$Z106),$AC106,IF(AND($Y106&lt;&gt;"",EDATE($D106,Milestones!$AA$189)&gt;=$Y106),$AB106,$AA106)))=Milestones!$AB$189),UPPER(TEXT(EDATE($D106,Milestones!$AA$189),"dd mmm yy"))&amp;" "&amp;Milestones!$AB$189&amp;" "&amp;IF(AND(Milestones!$AB$189="FT",Milestones!$AA$189=FT_Y5,EDATE($D106,Milestones!$AA$189)&lt;PolicyEff),1,Milestones!$AC$189)&amp;";  ","")&amp;IF(AND(EDATE($D106,Milestones!$AA$190)&lt;=AsOfDate,EDATE($D106,Milestones!$AA$190)&gt;=SchemeStart,IF($X106=0,$AD106,IF(AND($Z106&lt;&gt;"",EDATE($D106,Milestones!$AA$190)&gt;=$Z106),$AC106,IF(AND($Y106&lt;&gt;"",EDATE($D106,Milestones!$AA$190)&gt;=$Y106),$AB106,$AA106)))=Milestones!$AB$190),UPPER(TEXT(EDATE($D106,Milestones!$AA$190),"dd mmm yy"))&amp;" "&amp;Milestones!$AB$190&amp;" "&amp;IF(AND(Milestones!$AB$190="FT",Milestones!$AA$190=FT_Y5,EDATE($D106,Milestones!$AA$190)&lt;PolicyEff),1,Milestones!$AC$190)&amp;";  ","")&amp;IF(AND(EDATE($D106,Milestones!$AA$191)&lt;=AsOfDate,EDATE($D106,Milestones!$AA$191)&gt;=SchemeStart,IF($X106=0,$AD106,IF(AND($Z106&lt;&gt;"",EDATE($D106,Milestones!$AA$191)&gt;=$Z106),$AC106,IF(AND($Y106&lt;&gt;"",EDATE($D106,Milestones!$AA$191)&gt;=$Y106),$AB106,$AA106)))=Milestones!$AB$191),UPPER(TEXT(EDATE($D106,Milestones!$AA$191),"dd mmm yy"))&amp;" "&amp;Milestones!$AB$191&amp;" "&amp;IF(AND(Milestones!$AB$191="FT",Milestones!$AA$191=FT_Y5,EDATE($D106,Milestones!$AA$191)&lt;PolicyEff),1,Milestones!$AC$191)&amp;";  ","")&amp;IF(AND(EDATE($D106,Milestones!$AA$192)&lt;=AsOfDate,EDATE($D106,Milestones!$AA$192)&gt;=SchemeStart,IF($X106=0,$AD106,IF(AND($Z106&lt;&gt;"",EDATE($D106,Milestones!$AA$192)&gt;=$Z106),$AC106,IF(AND($Y106&lt;&gt;"",EDATE($D106,Milestones!$AA$192)&gt;=$Y106),$AB106,$AA106)))=Milestones!$AB$192),UPPER(TEXT(EDATE($D106,Milestones!$AA$192),"dd mmm yy"))&amp;" "&amp;Milestones!$AB$192&amp;" "&amp;IF(AND(Milestones!$AB$192="FT",Milestones!$AA$192=FT_Y5,EDATE($D106,Milestones!$AA$192)&lt;PolicyEff),1,Milestones!$AC$192)&amp;";  ","")&amp;IF(AND(EDATE($D106,Milestones!$AA$193)&lt;=AsOfDate,EDATE($D106,Milestones!$AA$193)&gt;=SchemeStart,IF($X106=0,$AD106,IF(AND($Z106&lt;&gt;"",EDATE($D106,Milestones!$AA$193)&gt;=$Z106),$AC106,IF(AND($Y106&lt;&gt;"",EDATE($D106,Milestones!$AA$193)&gt;=$Y106),$AB106,$AA106)))=Milestones!$AB$193),UPPER(TEXT(EDATE($D106,Milestones!$AA$193),"dd mmm yy"))&amp;" "&amp;Milestones!$AB$193&amp;" "&amp;IF(AND(Milestones!$AB$193="FT",Milestones!$AA$193=FT_Y5,EDATE($D106,Milestones!$AA$193)&lt;PolicyEff),1,Milestones!$AC$193)&amp;";  ","")&amp;IF(AND(EDATE($D106,Milestones!$AA$194)&lt;=AsOfDate,EDATE($D106,Milestones!$AA$194)&gt;=SchemeStart,IF($X106=0,$AD106,IF(AND($Z106&lt;&gt;"",EDATE($D106,Milestones!$AA$194)&gt;=$Z106),$AC106,IF(AND($Y106&lt;&gt;"",EDATE($D106,Milestones!$AA$194)&gt;=$Y106),$AB106,$AA106)))=Milestones!$AB$194),UPPER(TEXT(EDATE($D106,Milestones!$AA$194),"dd mmm yy"))&amp;" "&amp;Milestones!$AB$194&amp;" "&amp;IF(AND(Milestones!$AB$194="FT",Milestones!$AA$194=FT_Y5,EDATE($D106,Milestones!$AA$194)&lt;PolicyEff),1,Milestones!$AC$194)&amp;";  ","")&amp;IF(AND(EDATE($D106,Milestones!$AA$195)&lt;=AsOfDate,EDATE($D106,Milestones!$AA$195)&gt;=SchemeStart,IF($X106=0,$AD106,IF(AND($Z106&lt;&gt;"",EDATE($D106,Milestones!$AA$195)&gt;=$Z106),$AC106,IF(AND($Y106&lt;&gt;"",EDATE($D106,Milestones!$AA$195)&gt;=$Y106),$AB106,$AA106)))=Milestones!$AB$195),UPPER(TEXT(EDATE($D106,Milestones!$AA$195),"dd mmm yy"))&amp;" "&amp;Milestones!$AB$195&amp;" "&amp;IF(AND(Milestones!$AB$195="FT",Milestones!$AA$195=FT_Y5,EDATE($D106,Milestones!$AA$195)&lt;PolicyEff),1,Milestones!$AC$195)&amp;";  ","")&amp;IF(AND(EDATE($D106,Milestones!$AA$196)&lt;=AsOfDate,EDATE($D106,Milestones!$AA$196)&gt;=SchemeStart,IF($X106=0,$AD106,IF(AND($Z106&lt;&gt;"",EDATE($D106,Milestones!$AA$196)&gt;=$Z106),$AC106,IF(AND($Y106&lt;&gt;"",EDATE($D106,Milestones!$AA$196)&gt;=$Y106),$AB106,$AA106)))=Milestones!$AB$196),UPPER(TEXT(EDATE($D106,Milestones!$AA$196),"dd mmm yy"))&amp;" "&amp;Milestones!$AB$196&amp;" "&amp;IF(AND(Milestones!$AB$196="FT",Milestones!$AA$196=FT_Y5,EDATE($D106,Milestones!$AA$196)&lt;PolicyEff),1,Milestones!$AC$196)&amp;";  ","")&amp;IF(AND(EDATE($D106,Milestones!$AA$197)&lt;=AsOfDate,EDATE($D106,Milestones!$AA$197)&gt;=SchemeStart,IF($X106=0,$AD106,IF(AND($Z106&lt;&gt;"",EDATE($D106,Milestones!$AA$197)&gt;=$Z106),$AC106,IF(AND($Y106&lt;&gt;"",EDATE($D106,Milestones!$AA$197)&gt;=$Y106),$AB106,$AA106)))=Milestones!$AB$197),UPPER(TEXT(EDATE($D106,Milestones!$AA$197),"dd mmm yy"))&amp;" "&amp;Milestones!$AB$197&amp;" "&amp;IF(AND(Milestones!$AB$197="FT",Milestones!$AA$197=FT_Y5,EDATE($D106,Milestones!$AA$197)&lt;PolicyEff),1,Milestones!$AC$197)&amp;";  ","")&amp;IF(AND(EDATE($D106,Milestones!$AA$198)&lt;=AsOfDate,EDATE($D106,Milestones!$AA$198)&gt;=SchemeStart,IF($X106=0,$AD106,IF(AND($Z106&lt;&gt;"",EDATE($D106,Milestones!$AA$198)&gt;=$Z106),$AC106,IF(AND($Y106&lt;&gt;"",EDATE($D106,Milestones!$AA$198)&gt;=$Y106),$AB106,$AA106)))=Milestones!$AB$198),UPPER(TEXT(EDATE($D106,Milestones!$AA$198),"dd mmm yy"))&amp;" "&amp;Milestones!$AB$198&amp;" "&amp;IF(AND(Milestones!$AB$198="FT",Milestones!$AA$198=FT_Y5,EDATE($D106,Milestones!$AA$198)&lt;PolicyEff),1,Milestones!$AC$198)&amp;";  ","")&amp;IF(AND(EDATE($D106,Milestones!$AA$199)&lt;=AsOfDate,EDATE($D106,Milestones!$AA$199)&gt;=SchemeStart,IF($X106=0,$AD106,IF(AND($Z106&lt;&gt;"",EDATE($D106,Milestones!$AA$199)&gt;=$Z106),$AC106,IF(AND($Y106&lt;&gt;"",EDATE($D106,Milestones!$AA$199)&gt;=$Y106),$AB106,$AA106)))=Milestones!$AB$199),UPPER(TEXT(EDATE($D106,Milestones!$AA$199),"dd mmm yy"))&amp;" "&amp;Milestones!$AB$199&amp;" "&amp;IF(AND(Milestones!$AB$199="FT",Milestones!$AA$199=FT_Y5,EDATE($D106,Milestones!$AA$199)&lt;PolicyEff),1,Milestones!$AC$199)&amp;";  ",""))</f>
        <v/>
      </c>
      <c r="X106" s="0" t="str">
        <f aca="false">IF(Staff!$A106="","",Staff!$AM106)</f>
        <v/>
      </c>
      <c r="Y106" s="0" t="str">
        <f aca="false">IF(Staff!$A106="","",Staff!$AO106)</f>
        <v/>
      </c>
      <c r="Z106" s="0" t="str">
        <f aca="false">IF(Staff!$A106="","",Staff!$AP106)</f>
        <v/>
      </c>
      <c r="AA106" s="0" t="str">
        <f aca="false">IF(Staff!$A106="","",Staff!$AT106)</f>
        <v/>
      </c>
      <c r="AB106" s="0" t="str">
        <f aca="false">IF(Staff!$A106="","",Staff!$AU106)</f>
        <v/>
      </c>
      <c r="AC106" s="0" t="str">
        <f aca="false">IF(Staff!$A106="","",Staff!$AV106)</f>
        <v/>
      </c>
      <c r="AD106" s="0" t="str">
        <f aca="false">IF(Staff!$A106="","",Staff!$AW106)</f>
        <v/>
      </c>
    </row>
    <row r="107" customFormat="false" ht="15" hidden="false" customHeight="false" outlineLevel="0" collapsed="false">
      <c r="A107" s="16" t="str">
        <f aca="false">IF(Staff!$A107="","",Staff!$A107)</f>
        <v/>
      </c>
      <c r="B107" s="16" t="str">
        <f aca="false">IF(Staff!$A107="","",Staff!$B107)</f>
        <v/>
      </c>
      <c r="C107" s="16" t="str">
        <f aca="false">IF(Staff!$A107="","",Staff!$C107)</f>
        <v/>
      </c>
      <c r="D107" s="14" t="str">
        <f aca="false">IF(Staff!$A107="","",Staff!$AL107)</f>
        <v/>
      </c>
      <c r="E107" s="16" t="str">
        <f aca="false">IF(Staff!$A107="","",Staff!$O107)</f>
        <v/>
      </c>
      <c r="F107" s="16" t="str">
        <f aca="false">IF(E107="","",E107*HoursPerDay)</f>
        <v/>
      </c>
      <c r="G107" s="16" t="str">
        <f aca="false">IF(Staff!$A107="","",Staff!$AE107)</f>
        <v/>
      </c>
      <c r="H107" s="28" t="str">
        <f aca="false">IF($A107="","",I107&amp;J107&amp;K107&amp;L107&amp;M107&amp;N107&amp;O107&amp;P107&amp;Q107&amp;R107&amp;S107&amp;T107&amp;U107&amp;V107&amp;W107)</f>
        <v/>
      </c>
      <c r="I107" s="0" t="str">
        <f aca="false">IF(OR($A107="",$D107=""),"",IF(AND(EDATE($D107,Milestones!$AA$20)&lt;=AsOfDate,EDATE($D107,Milestones!$AA$20)&gt;=SchemeStart,IF($X107=0,$AD107,IF(AND($Z107&lt;&gt;"",EDATE($D107,Milestones!$AA$20)&gt;=$Z107),$AC107,IF(AND($Y107&lt;&gt;"",EDATE($D107,Milestones!$AA$20)&gt;=$Y107),$AB107,$AA107)))=Milestones!$AB$20),UPPER(TEXT(EDATE($D107,Milestones!$AA$20),"dd mmm yy"))&amp;" "&amp;Milestones!$AB$20&amp;" "&amp;IF(AND(Milestones!$AB$20="FT",Milestones!$AA$20=FT_Y5,EDATE($D107,Milestones!$AA$20)&lt;PolicyEff),1,Milestones!$AC$20)&amp;";  ","")&amp;IF(AND(EDATE($D107,Milestones!$AA$21)&lt;=AsOfDate,EDATE($D107,Milestones!$AA$21)&gt;=SchemeStart,IF($X107=0,$AD107,IF(AND($Z107&lt;&gt;"",EDATE($D107,Milestones!$AA$21)&gt;=$Z107),$AC107,IF(AND($Y107&lt;&gt;"",EDATE($D107,Milestones!$AA$21)&gt;=$Y107),$AB107,$AA107)))=Milestones!$AB$21),UPPER(TEXT(EDATE($D107,Milestones!$AA$21),"dd mmm yy"))&amp;" "&amp;Milestones!$AB$21&amp;" "&amp;IF(AND(Milestones!$AB$21="FT",Milestones!$AA$21=FT_Y5,EDATE($D107,Milestones!$AA$21)&lt;PolicyEff),1,Milestones!$AC$21)&amp;";  ","")&amp;IF(AND(EDATE($D107,Milestones!$AA$22)&lt;=AsOfDate,EDATE($D107,Milestones!$AA$22)&gt;=SchemeStart,IF($X107=0,$AD107,IF(AND($Z107&lt;&gt;"",EDATE($D107,Milestones!$AA$22)&gt;=$Z107),$AC107,IF(AND($Y107&lt;&gt;"",EDATE($D107,Milestones!$AA$22)&gt;=$Y107),$AB107,$AA107)))=Milestones!$AB$22),UPPER(TEXT(EDATE($D107,Milestones!$AA$22),"dd mmm yy"))&amp;" "&amp;Milestones!$AB$22&amp;" "&amp;IF(AND(Milestones!$AB$22="FT",Milestones!$AA$22=FT_Y5,EDATE($D107,Milestones!$AA$22)&lt;PolicyEff),1,Milestones!$AC$22)&amp;";  ","")&amp;IF(AND(EDATE($D107,Milestones!$AA$23)&lt;=AsOfDate,EDATE($D107,Milestones!$AA$23)&gt;=SchemeStart,IF($X107=0,$AD107,IF(AND($Z107&lt;&gt;"",EDATE($D107,Milestones!$AA$23)&gt;=$Z107),$AC107,IF(AND($Y107&lt;&gt;"",EDATE($D107,Milestones!$AA$23)&gt;=$Y107),$AB107,$AA107)))=Milestones!$AB$23),UPPER(TEXT(EDATE($D107,Milestones!$AA$23),"dd mmm yy"))&amp;" "&amp;Milestones!$AB$23&amp;" "&amp;IF(AND(Milestones!$AB$23="FT",Milestones!$AA$23=FT_Y5,EDATE($D107,Milestones!$AA$23)&lt;PolicyEff),1,Milestones!$AC$23)&amp;";  ","")&amp;IF(AND(EDATE($D107,Milestones!$AA$24)&lt;=AsOfDate,EDATE($D107,Milestones!$AA$24)&gt;=SchemeStart,IF($X107=0,$AD107,IF(AND($Z107&lt;&gt;"",EDATE($D107,Milestones!$AA$24)&gt;=$Z107),$AC107,IF(AND($Y107&lt;&gt;"",EDATE($D107,Milestones!$AA$24)&gt;=$Y107),$AB107,$AA107)))=Milestones!$AB$24),UPPER(TEXT(EDATE($D107,Milestones!$AA$24),"dd mmm yy"))&amp;" "&amp;Milestones!$AB$24&amp;" "&amp;IF(AND(Milestones!$AB$24="FT",Milestones!$AA$24=FT_Y5,EDATE($D107,Milestones!$AA$24)&lt;PolicyEff),1,Milestones!$AC$24)&amp;";  ","")&amp;IF(AND(EDATE($D107,Milestones!$AA$25)&lt;=AsOfDate,EDATE($D107,Milestones!$AA$25)&gt;=SchemeStart,IF($X107=0,$AD107,IF(AND($Z107&lt;&gt;"",EDATE($D107,Milestones!$AA$25)&gt;=$Z107),$AC107,IF(AND($Y107&lt;&gt;"",EDATE($D107,Milestones!$AA$25)&gt;=$Y107),$AB107,$AA107)))=Milestones!$AB$25),UPPER(TEXT(EDATE($D107,Milestones!$AA$25),"dd mmm yy"))&amp;" "&amp;Milestones!$AB$25&amp;" "&amp;IF(AND(Milestones!$AB$25="FT",Milestones!$AA$25=FT_Y5,EDATE($D107,Milestones!$AA$25)&lt;PolicyEff),1,Milestones!$AC$25)&amp;";  ","")&amp;IF(AND(EDATE($D107,Milestones!$AA$26)&lt;=AsOfDate,EDATE($D107,Milestones!$AA$26)&gt;=SchemeStart,IF($X107=0,$AD107,IF(AND($Z107&lt;&gt;"",EDATE($D107,Milestones!$AA$26)&gt;=$Z107),$AC107,IF(AND($Y107&lt;&gt;"",EDATE($D107,Milestones!$AA$26)&gt;=$Y107),$AB107,$AA107)))=Milestones!$AB$26),UPPER(TEXT(EDATE($D107,Milestones!$AA$26),"dd mmm yy"))&amp;" "&amp;Milestones!$AB$26&amp;" "&amp;IF(AND(Milestones!$AB$26="FT",Milestones!$AA$26=FT_Y5,EDATE($D107,Milestones!$AA$26)&lt;PolicyEff),1,Milestones!$AC$26)&amp;";  ","")&amp;IF(AND(EDATE($D107,Milestones!$AA$27)&lt;=AsOfDate,EDATE($D107,Milestones!$AA$27)&gt;=SchemeStart,IF($X107=0,$AD107,IF(AND($Z107&lt;&gt;"",EDATE($D107,Milestones!$AA$27)&gt;=$Z107),$AC107,IF(AND($Y107&lt;&gt;"",EDATE($D107,Milestones!$AA$27)&gt;=$Y107),$AB107,$AA107)))=Milestones!$AB$27),UPPER(TEXT(EDATE($D107,Milestones!$AA$27),"dd mmm yy"))&amp;" "&amp;Milestones!$AB$27&amp;" "&amp;IF(AND(Milestones!$AB$27="FT",Milestones!$AA$27=FT_Y5,EDATE($D107,Milestones!$AA$27)&lt;PolicyEff),1,Milestones!$AC$27)&amp;";  ","")&amp;IF(AND(EDATE($D107,Milestones!$AA$28)&lt;=AsOfDate,EDATE($D107,Milestones!$AA$28)&gt;=SchemeStart,IF($X107=0,$AD107,IF(AND($Z107&lt;&gt;"",EDATE($D107,Milestones!$AA$28)&gt;=$Z107),$AC107,IF(AND($Y107&lt;&gt;"",EDATE($D107,Milestones!$AA$28)&gt;=$Y107),$AB107,$AA107)))=Milestones!$AB$28),UPPER(TEXT(EDATE($D107,Milestones!$AA$28),"dd mmm yy"))&amp;" "&amp;Milestones!$AB$28&amp;" "&amp;IF(AND(Milestones!$AB$28="FT",Milestones!$AA$28=FT_Y5,EDATE($D107,Milestones!$AA$28)&lt;PolicyEff),1,Milestones!$AC$28)&amp;";  ","")&amp;IF(AND(EDATE($D107,Milestones!$AA$29)&lt;=AsOfDate,EDATE($D107,Milestones!$AA$29)&gt;=SchemeStart,IF($X107=0,$AD107,IF(AND($Z107&lt;&gt;"",EDATE($D107,Milestones!$AA$29)&gt;=$Z107),$AC107,IF(AND($Y107&lt;&gt;"",EDATE($D107,Milestones!$AA$29)&gt;=$Y107),$AB107,$AA107)))=Milestones!$AB$29),UPPER(TEXT(EDATE($D107,Milestones!$AA$29),"dd mmm yy"))&amp;" "&amp;Milestones!$AB$29&amp;" "&amp;IF(AND(Milestones!$AB$29="FT",Milestones!$AA$29=FT_Y5,EDATE($D107,Milestones!$AA$29)&lt;PolicyEff),1,Milestones!$AC$29)&amp;";  ","")&amp;IF(AND(EDATE($D107,Milestones!$AA$30)&lt;=AsOfDate,EDATE($D107,Milestones!$AA$30)&gt;=SchemeStart,IF($X107=0,$AD107,IF(AND($Z107&lt;&gt;"",EDATE($D107,Milestones!$AA$30)&gt;=$Z107),$AC107,IF(AND($Y107&lt;&gt;"",EDATE($D107,Milestones!$AA$30)&gt;=$Y107),$AB107,$AA107)))=Milestones!$AB$30),UPPER(TEXT(EDATE($D107,Milestones!$AA$30),"dd mmm yy"))&amp;" "&amp;Milestones!$AB$30&amp;" "&amp;IF(AND(Milestones!$AB$30="FT",Milestones!$AA$30=FT_Y5,EDATE($D107,Milestones!$AA$30)&lt;PolicyEff),1,Milestones!$AC$30)&amp;";  ","")&amp;IF(AND(EDATE($D107,Milestones!$AA$31)&lt;=AsOfDate,EDATE($D107,Milestones!$AA$31)&gt;=SchemeStart,IF($X107=0,$AD107,IF(AND($Z107&lt;&gt;"",EDATE($D107,Milestones!$AA$31)&gt;=$Z107),$AC107,IF(AND($Y107&lt;&gt;"",EDATE($D107,Milestones!$AA$31)&gt;=$Y107),$AB107,$AA107)))=Milestones!$AB$31),UPPER(TEXT(EDATE($D107,Milestones!$AA$31),"dd mmm yy"))&amp;" "&amp;Milestones!$AB$31&amp;" "&amp;IF(AND(Milestones!$AB$31="FT",Milestones!$AA$31=FT_Y5,EDATE($D107,Milestones!$AA$31)&lt;PolicyEff),1,Milestones!$AC$31)&amp;";  ",""))</f>
        <v/>
      </c>
      <c r="J107" s="0" t="str">
        <f aca="false">IF(OR($A107="",$D107=""),"",IF(AND(EDATE($D107,Milestones!$AA$32)&lt;=AsOfDate,EDATE($D107,Milestones!$AA$32)&gt;=SchemeStart,IF($X107=0,$AD107,IF(AND($Z107&lt;&gt;"",EDATE($D107,Milestones!$AA$32)&gt;=$Z107),$AC107,IF(AND($Y107&lt;&gt;"",EDATE($D107,Milestones!$AA$32)&gt;=$Y107),$AB107,$AA107)))=Milestones!$AB$32),UPPER(TEXT(EDATE($D107,Milestones!$AA$32),"dd mmm yy"))&amp;" "&amp;Milestones!$AB$32&amp;" "&amp;IF(AND(Milestones!$AB$32="FT",Milestones!$AA$32=FT_Y5,EDATE($D107,Milestones!$AA$32)&lt;PolicyEff),1,Milestones!$AC$32)&amp;";  ","")&amp;IF(AND(EDATE($D107,Milestones!$AA$33)&lt;=AsOfDate,EDATE($D107,Milestones!$AA$33)&gt;=SchemeStart,IF($X107=0,$AD107,IF(AND($Z107&lt;&gt;"",EDATE($D107,Milestones!$AA$33)&gt;=$Z107),$AC107,IF(AND($Y107&lt;&gt;"",EDATE($D107,Milestones!$AA$33)&gt;=$Y107),$AB107,$AA107)))=Milestones!$AB$33),UPPER(TEXT(EDATE($D107,Milestones!$AA$33),"dd mmm yy"))&amp;" "&amp;Milestones!$AB$33&amp;" "&amp;IF(AND(Milestones!$AB$33="FT",Milestones!$AA$33=FT_Y5,EDATE($D107,Milestones!$AA$33)&lt;PolicyEff),1,Milestones!$AC$33)&amp;";  ","")&amp;IF(AND(EDATE($D107,Milestones!$AA$34)&lt;=AsOfDate,EDATE($D107,Milestones!$AA$34)&gt;=SchemeStart,IF($X107=0,$AD107,IF(AND($Z107&lt;&gt;"",EDATE($D107,Milestones!$AA$34)&gt;=$Z107),$AC107,IF(AND($Y107&lt;&gt;"",EDATE($D107,Milestones!$AA$34)&gt;=$Y107),$AB107,$AA107)))=Milestones!$AB$34),UPPER(TEXT(EDATE($D107,Milestones!$AA$34),"dd mmm yy"))&amp;" "&amp;Milestones!$AB$34&amp;" "&amp;IF(AND(Milestones!$AB$34="FT",Milestones!$AA$34=FT_Y5,EDATE($D107,Milestones!$AA$34)&lt;PolicyEff),1,Milestones!$AC$34)&amp;";  ","")&amp;IF(AND(EDATE($D107,Milestones!$AA$35)&lt;=AsOfDate,EDATE($D107,Milestones!$AA$35)&gt;=SchemeStart,IF($X107=0,$AD107,IF(AND($Z107&lt;&gt;"",EDATE($D107,Milestones!$AA$35)&gt;=$Z107),$AC107,IF(AND($Y107&lt;&gt;"",EDATE($D107,Milestones!$AA$35)&gt;=$Y107),$AB107,$AA107)))=Milestones!$AB$35),UPPER(TEXT(EDATE($D107,Milestones!$AA$35),"dd mmm yy"))&amp;" "&amp;Milestones!$AB$35&amp;" "&amp;IF(AND(Milestones!$AB$35="FT",Milestones!$AA$35=FT_Y5,EDATE($D107,Milestones!$AA$35)&lt;PolicyEff),1,Milestones!$AC$35)&amp;";  ","")&amp;IF(AND(EDATE($D107,Milestones!$AA$36)&lt;=AsOfDate,EDATE($D107,Milestones!$AA$36)&gt;=SchemeStart,IF($X107=0,$AD107,IF(AND($Z107&lt;&gt;"",EDATE($D107,Milestones!$AA$36)&gt;=$Z107),$AC107,IF(AND($Y107&lt;&gt;"",EDATE($D107,Milestones!$AA$36)&gt;=$Y107),$AB107,$AA107)))=Milestones!$AB$36),UPPER(TEXT(EDATE($D107,Milestones!$AA$36),"dd mmm yy"))&amp;" "&amp;Milestones!$AB$36&amp;" "&amp;IF(AND(Milestones!$AB$36="FT",Milestones!$AA$36=FT_Y5,EDATE($D107,Milestones!$AA$36)&lt;PolicyEff),1,Milestones!$AC$36)&amp;";  ","")&amp;IF(AND(EDATE($D107,Milestones!$AA$37)&lt;=AsOfDate,EDATE($D107,Milestones!$AA$37)&gt;=SchemeStart,IF($X107=0,$AD107,IF(AND($Z107&lt;&gt;"",EDATE($D107,Milestones!$AA$37)&gt;=$Z107),$AC107,IF(AND($Y107&lt;&gt;"",EDATE($D107,Milestones!$AA$37)&gt;=$Y107),$AB107,$AA107)))=Milestones!$AB$37),UPPER(TEXT(EDATE($D107,Milestones!$AA$37),"dd mmm yy"))&amp;" "&amp;Milestones!$AB$37&amp;" "&amp;IF(AND(Milestones!$AB$37="FT",Milestones!$AA$37=FT_Y5,EDATE($D107,Milestones!$AA$37)&lt;PolicyEff),1,Milestones!$AC$37)&amp;";  ","")&amp;IF(AND(EDATE($D107,Milestones!$AA$38)&lt;=AsOfDate,EDATE($D107,Milestones!$AA$38)&gt;=SchemeStart,IF($X107=0,$AD107,IF(AND($Z107&lt;&gt;"",EDATE($D107,Milestones!$AA$38)&gt;=$Z107),$AC107,IF(AND($Y107&lt;&gt;"",EDATE($D107,Milestones!$AA$38)&gt;=$Y107),$AB107,$AA107)))=Milestones!$AB$38),UPPER(TEXT(EDATE($D107,Milestones!$AA$38),"dd mmm yy"))&amp;" "&amp;Milestones!$AB$38&amp;" "&amp;IF(AND(Milestones!$AB$38="FT",Milestones!$AA$38=FT_Y5,EDATE($D107,Milestones!$AA$38)&lt;PolicyEff),1,Milestones!$AC$38)&amp;";  ","")&amp;IF(AND(EDATE($D107,Milestones!$AA$39)&lt;=AsOfDate,EDATE($D107,Milestones!$AA$39)&gt;=SchemeStart,IF($X107=0,$AD107,IF(AND($Z107&lt;&gt;"",EDATE($D107,Milestones!$AA$39)&gt;=$Z107),$AC107,IF(AND($Y107&lt;&gt;"",EDATE($D107,Milestones!$AA$39)&gt;=$Y107),$AB107,$AA107)))=Milestones!$AB$39),UPPER(TEXT(EDATE($D107,Milestones!$AA$39),"dd mmm yy"))&amp;" "&amp;Milestones!$AB$39&amp;" "&amp;IF(AND(Milestones!$AB$39="FT",Milestones!$AA$39=FT_Y5,EDATE($D107,Milestones!$AA$39)&lt;PolicyEff),1,Milestones!$AC$39)&amp;";  ","")&amp;IF(AND(EDATE($D107,Milestones!$AA$40)&lt;=AsOfDate,EDATE($D107,Milestones!$AA$40)&gt;=SchemeStart,IF($X107=0,$AD107,IF(AND($Z107&lt;&gt;"",EDATE($D107,Milestones!$AA$40)&gt;=$Z107),$AC107,IF(AND($Y107&lt;&gt;"",EDATE($D107,Milestones!$AA$40)&gt;=$Y107),$AB107,$AA107)))=Milestones!$AB$40),UPPER(TEXT(EDATE($D107,Milestones!$AA$40),"dd mmm yy"))&amp;" "&amp;Milestones!$AB$40&amp;" "&amp;IF(AND(Milestones!$AB$40="FT",Milestones!$AA$40=FT_Y5,EDATE($D107,Milestones!$AA$40)&lt;PolicyEff),1,Milestones!$AC$40)&amp;";  ","")&amp;IF(AND(EDATE($D107,Milestones!$AA$41)&lt;=AsOfDate,EDATE($D107,Milestones!$AA$41)&gt;=SchemeStart,IF($X107=0,$AD107,IF(AND($Z107&lt;&gt;"",EDATE($D107,Milestones!$AA$41)&gt;=$Z107),$AC107,IF(AND($Y107&lt;&gt;"",EDATE($D107,Milestones!$AA$41)&gt;=$Y107),$AB107,$AA107)))=Milestones!$AB$41),UPPER(TEXT(EDATE($D107,Milestones!$AA$41),"dd mmm yy"))&amp;" "&amp;Milestones!$AB$41&amp;" "&amp;IF(AND(Milestones!$AB$41="FT",Milestones!$AA$41=FT_Y5,EDATE($D107,Milestones!$AA$41)&lt;PolicyEff),1,Milestones!$AC$41)&amp;";  ","")&amp;IF(AND(EDATE($D107,Milestones!$AA$42)&lt;=AsOfDate,EDATE($D107,Milestones!$AA$42)&gt;=SchemeStart,IF($X107=0,$AD107,IF(AND($Z107&lt;&gt;"",EDATE($D107,Milestones!$AA$42)&gt;=$Z107),$AC107,IF(AND($Y107&lt;&gt;"",EDATE($D107,Milestones!$AA$42)&gt;=$Y107),$AB107,$AA107)))=Milestones!$AB$42),UPPER(TEXT(EDATE($D107,Milestones!$AA$42),"dd mmm yy"))&amp;" "&amp;Milestones!$AB$42&amp;" "&amp;IF(AND(Milestones!$AB$42="FT",Milestones!$AA$42=FT_Y5,EDATE($D107,Milestones!$AA$42)&lt;PolicyEff),1,Milestones!$AC$42)&amp;";  ","")&amp;IF(AND(EDATE($D107,Milestones!$AA$43)&lt;=AsOfDate,EDATE($D107,Milestones!$AA$43)&gt;=SchemeStart,IF($X107=0,$AD107,IF(AND($Z107&lt;&gt;"",EDATE($D107,Milestones!$AA$43)&gt;=$Z107),$AC107,IF(AND($Y107&lt;&gt;"",EDATE($D107,Milestones!$AA$43)&gt;=$Y107),$AB107,$AA107)))=Milestones!$AB$43),UPPER(TEXT(EDATE($D107,Milestones!$AA$43),"dd mmm yy"))&amp;" "&amp;Milestones!$AB$43&amp;" "&amp;IF(AND(Milestones!$AB$43="FT",Milestones!$AA$43=FT_Y5,EDATE($D107,Milestones!$AA$43)&lt;PolicyEff),1,Milestones!$AC$43)&amp;";  ",""))</f>
        <v/>
      </c>
      <c r="K107" s="0" t="str">
        <f aca="false">IF(OR($A107="",$D107=""),"",IF(AND(EDATE($D107,Milestones!$AA$44)&lt;=AsOfDate,EDATE($D107,Milestones!$AA$44)&gt;=SchemeStart,IF($X107=0,$AD107,IF(AND($Z107&lt;&gt;"",EDATE($D107,Milestones!$AA$44)&gt;=$Z107),$AC107,IF(AND($Y107&lt;&gt;"",EDATE($D107,Milestones!$AA$44)&gt;=$Y107),$AB107,$AA107)))=Milestones!$AB$44),UPPER(TEXT(EDATE($D107,Milestones!$AA$44),"dd mmm yy"))&amp;" "&amp;Milestones!$AB$44&amp;" "&amp;IF(AND(Milestones!$AB$44="FT",Milestones!$AA$44=FT_Y5,EDATE($D107,Milestones!$AA$44)&lt;PolicyEff),1,Milestones!$AC$44)&amp;";  ","")&amp;IF(AND(EDATE($D107,Milestones!$AA$45)&lt;=AsOfDate,EDATE($D107,Milestones!$AA$45)&gt;=SchemeStart,IF($X107=0,$AD107,IF(AND($Z107&lt;&gt;"",EDATE($D107,Milestones!$AA$45)&gt;=$Z107),$AC107,IF(AND($Y107&lt;&gt;"",EDATE($D107,Milestones!$AA$45)&gt;=$Y107),$AB107,$AA107)))=Milestones!$AB$45),UPPER(TEXT(EDATE($D107,Milestones!$AA$45),"dd mmm yy"))&amp;" "&amp;Milestones!$AB$45&amp;" "&amp;IF(AND(Milestones!$AB$45="FT",Milestones!$AA$45=FT_Y5,EDATE($D107,Milestones!$AA$45)&lt;PolicyEff),1,Milestones!$AC$45)&amp;";  ","")&amp;IF(AND(EDATE($D107,Milestones!$AA$46)&lt;=AsOfDate,EDATE($D107,Milestones!$AA$46)&gt;=SchemeStart,IF($X107=0,$AD107,IF(AND($Z107&lt;&gt;"",EDATE($D107,Milestones!$AA$46)&gt;=$Z107),$AC107,IF(AND($Y107&lt;&gt;"",EDATE($D107,Milestones!$AA$46)&gt;=$Y107),$AB107,$AA107)))=Milestones!$AB$46),UPPER(TEXT(EDATE($D107,Milestones!$AA$46),"dd mmm yy"))&amp;" "&amp;Milestones!$AB$46&amp;" "&amp;IF(AND(Milestones!$AB$46="FT",Milestones!$AA$46=FT_Y5,EDATE($D107,Milestones!$AA$46)&lt;PolicyEff),1,Milestones!$AC$46)&amp;";  ","")&amp;IF(AND(EDATE($D107,Milestones!$AA$47)&lt;=AsOfDate,EDATE($D107,Milestones!$AA$47)&gt;=SchemeStart,IF($X107=0,$AD107,IF(AND($Z107&lt;&gt;"",EDATE($D107,Milestones!$AA$47)&gt;=$Z107),$AC107,IF(AND($Y107&lt;&gt;"",EDATE($D107,Milestones!$AA$47)&gt;=$Y107),$AB107,$AA107)))=Milestones!$AB$47),UPPER(TEXT(EDATE($D107,Milestones!$AA$47),"dd mmm yy"))&amp;" "&amp;Milestones!$AB$47&amp;" "&amp;IF(AND(Milestones!$AB$47="FT",Milestones!$AA$47=FT_Y5,EDATE($D107,Milestones!$AA$47)&lt;PolicyEff),1,Milestones!$AC$47)&amp;";  ","")&amp;IF(AND(EDATE($D107,Milestones!$AA$48)&lt;=AsOfDate,EDATE($D107,Milestones!$AA$48)&gt;=SchemeStart,IF($X107=0,$AD107,IF(AND($Z107&lt;&gt;"",EDATE($D107,Milestones!$AA$48)&gt;=$Z107),$AC107,IF(AND($Y107&lt;&gt;"",EDATE($D107,Milestones!$AA$48)&gt;=$Y107),$AB107,$AA107)))=Milestones!$AB$48),UPPER(TEXT(EDATE($D107,Milestones!$AA$48),"dd mmm yy"))&amp;" "&amp;Milestones!$AB$48&amp;" "&amp;IF(AND(Milestones!$AB$48="FT",Milestones!$AA$48=FT_Y5,EDATE($D107,Milestones!$AA$48)&lt;PolicyEff),1,Milestones!$AC$48)&amp;";  ","")&amp;IF(AND(EDATE($D107,Milestones!$AA$49)&lt;=AsOfDate,EDATE($D107,Milestones!$AA$49)&gt;=SchemeStart,IF($X107=0,$AD107,IF(AND($Z107&lt;&gt;"",EDATE($D107,Milestones!$AA$49)&gt;=$Z107),$AC107,IF(AND($Y107&lt;&gt;"",EDATE($D107,Milestones!$AA$49)&gt;=$Y107),$AB107,$AA107)))=Milestones!$AB$49),UPPER(TEXT(EDATE($D107,Milestones!$AA$49),"dd mmm yy"))&amp;" "&amp;Milestones!$AB$49&amp;" "&amp;IF(AND(Milestones!$AB$49="FT",Milestones!$AA$49=FT_Y5,EDATE($D107,Milestones!$AA$49)&lt;PolicyEff),1,Milestones!$AC$49)&amp;";  ","")&amp;IF(AND(EDATE($D107,Milestones!$AA$50)&lt;=AsOfDate,EDATE($D107,Milestones!$AA$50)&gt;=SchemeStart,IF($X107=0,$AD107,IF(AND($Z107&lt;&gt;"",EDATE($D107,Milestones!$AA$50)&gt;=$Z107),$AC107,IF(AND($Y107&lt;&gt;"",EDATE($D107,Milestones!$AA$50)&gt;=$Y107),$AB107,$AA107)))=Milestones!$AB$50),UPPER(TEXT(EDATE($D107,Milestones!$AA$50),"dd mmm yy"))&amp;" "&amp;Milestones!$AB$50&amp;" "&amp;IF(AND(Milestones!$AB$50="FT",Milestones!$AA$50=FT_Y5,EDATE($D107,Milestones!$AA$50)&lt;PolicyEff),1,Milestones!$AC$50)&amp;";  ","")&amp;IF(AND(EDATE($D107,Milestones!$AA$51)&lt;=AsOfDate,EDATE($D107,Milestones!$AA$51)&gt;=SchemeStart,IF($X107=0,$AD107,IF(AND($Z107&lt;&gt;"",EDATE($D107,Milestones!$AA$51)&gt;=$Z107),$AC107,IF(AND($Y107&lt;&gt;"",EDATE($D107,Milestones!$AA$51)&gt;=$Y107),$AB107,$AA107)))=Milestones!$AB$51),UPPER(TEXT(EDATE($D107,Milestones!$AA$51),"dd mmm yy"))&amp;" "&amp;Milestones!$AB$51&amp;" "&amp;IF(AND(Milestones!$AB$51="FT",Milestones!$AA$51=FT_Y5,EDATE($D107,Milestones!$AA$51)&lt;PolicyEff),1,Milestones!$AC$51)&amp;";  ","")&amp;IF(AND(EDATE($D107,Milestones!$AA$52)&lt;=AsOfDate,EDATE($D107,Milestones!$AA$52)&gt;=SchemeStart,IF($X107=0,$AD107,IF(AND($Z107&lt;&gt;"",EDATE($D107,Milestones!$AA$52)&gt;=$Z107),$AC107,IF(AND($Y107&lt;&gt;"",EDATE($D107,Milestones!$AA$52)&gt;=$Y107),$AB107,$AA107)))=Milestones!$AB$52),UPPER(TEXT(EDATE($D107,Milestones!$AA$52),"dd mmm yy"))&amp;" "&amp;Milestones!$AB$52&amp;" "&amp;IF(AND(Milestones!$AB$52="FT",Milestones!$AA$52=FT_Y5,EDATE($D107,Milestones!$AA$52)&lt;PolicyEff),1,Milestones!$AC$52)&amp;";  ","")&amp;IF(AND(EDATE($D107,Milestones!$AA$53)&lt;=AsOfDate,EDATE($D107,Milestones!$AA$53)&gt;=SchemeStart,IF($X107=0,$AD107,IF(AND($Z107&lt;&gt;"",EDATE($D107,Milestones!$AA$53)&gt;=$Z107),$AC107,IF(AND($Y107&lt;&gt;"",EDATE($D107,Milestones!$AA$53)&gt;=$Y107),$AB107,$AA107)))=Milestones!$AB$53),UPPER(TEXT(EDATE($D107,Milestones!$AA$53),"dd mmm yy"))&amp;" "&amp;Milestones!$AB$53&amp;" "&amp;IF(AND(Milestones!$AB$53="FT",Milestones!$AA$53=FT_Y5,EDATE($D107,Milestones!$AA$53)&lt;PolicyEff),1,Milestones!$AC$53)&amp;";  ","")&amp;IF(AND(EDATE($D107,Milestones!$AA$54)&lt;=AsOfDate,EDATE($D107,Milestones!$AA$54)&gt;=SchemeStart,IF($X107=0,$AD107,IF(AND($Z107&lt;&gt;"",EDATE($D107,Milestones!$AA$54)&gt;=$Z107),$AC107,IF(AND($Y107&lt;&gt;"",EDATE($D107,Milestones!$AA$54)&gt;=$Y107),$AB107,$AA107)))=Milestones!$AB$54),UPPER(TEXT(EDATE($D107,Milestones!$AA$54),"dd mmm yy"))&amp;" "&amp;Milestones!$AB$54&amp;" "&amp;IF(AND(Milestones!$AB$54="FT",Milestones!$AA$54=FT_Y5,EDATE($D107,Milestones!$AA$54)&lt;PolicyEff),1,Milestones!$AC$54)&amp;";  ","")&amp;IF(AND(EDATE($D107,Milestones!$AA$55)&lt;=AsOfDate,EDATE($D107,Milestones!$AA$55)&gt;=SchemeStart,IF($X107=0,$AD107,IF(AND($Z107&lt;&gt;"",EDATE($D107,Milestones!$AA$55)&gt;=$Z107),$AC107,IF(AND($Y107&lt;&gt;"",EDATE($D107,Milestones!$AA$55)&gt;=$Y107),$AB107,$AA107)))=Milestones!$AB$55),UPPER(TEXT(EDATE($D107,Milestones!$AA$55),"dd mmm yy"))&amp;" "&amp;Milestones!$AB$55&amp;" "&amp;IF(AND(Milestones!$AB$55="FT",Milestones!$AA$55=FT_Y5,EDATE($D107,Milestones!$AA$55)&lt;PolicyEff),1,Milestones!$AC$55)&amp;";  ",""))</f>
        <v/>
      </c>
      <c r="L107" s="0" t="str">
        <f aca="false">IF(OR($A107="",$D107=""),"",IF(AND(EDATE($D107,Milestones!$AA$56)&lt;=AsOfDate,EDATE($D107,Milestones!$AA$56)&gt;=SchemeStart,IF($X107=0,$AD107,IF(AND($Z107&lt;&gt;"",EDATE($D107,Milestones!$AA$56)&gt;=$Z107),$AC107,IF(AND($Y107&lt;&gt;"",EDATE($D107,Milestones!$AA$56)&gt;=$Y107),$AB107,$AA107)))=Milestones!$AB$56),UPPER(TEXT(EDATE($D107,Milestones!$AA$56),"dd mmm yy"))&amp;" "&amp;Milestones!$AB$56&amp;" "&amp;IF(AND(Milestones!$AB$56="FT",Milestones!$AA$56=FT_Y5,EDATE($D107,Milestones!$AA$56)&lt;PolicyEff),1,Milestones!$AC$56)&amp;";  ","")&amp;IF(AND(EDATE($D107,Milestones!$AA$57)&lt;=AsOfDate,EDATE($D107,Milestones!$AA$57)&gt;=SchemeStart,IF($X107=0,$AD107,IF(AND($Z107&lt;&gt;"",EDATE($D107,Milestones!$AA$57)&gt;=$Z107),$AC107,IF(AND($Y107&lt;&gt;"",EDATE($D107,Milestones!$AA$57)&gt;=$Y107),$AB107,$AA107)))=Milestones!$AB$57),UPPER(TEXT(EDATE($D107,Milestones!$AA$57),"dd mmm yy"))&amp;" "&amp;Milestones!$AB$57&amp;" "&amp;IF(AND(Milestones!$AB$57="FT",Milestones!$AA$57=FT_Y5,EDATE($D107,Milestones!$AA$57)&lt;PolicyEff),1,Milestones!$AC$57)&amp;";  ","")&amp;IF(AND(EDATE($D107,Milestones!$AA$58)&lt;=AsOfDate,EDATE($D107,Milestones!$AA$58)&gt;=SchemeStart,IF($X107=0,$AD107,IF(AND($Z107&lt;&gt;"",EDATE($D107,Milestones!$AA$58)&gt;=$Z107),$AC107,IF(AND($Y107&lt;&gt;"",EDATE($D107,Milestones!$AA$58)&gt;=$Y107),$AB107,$AA107)))=Milestones!$AB$58),UPPER(TEXT(EDATE($D107,Milestones!$AA$58),"dd mmm yy"))&amp;" "&amp;Milestones!$AB$58&amp;" "&amp;IF(AND(Milestones!$AB$58="FT",Milestones!$AA$58=FT_Y5,EDATE($D107,Milestones!$AA$58)&lt;PolicyEff),1,Milestones!$AC$58)&amp;";  ","")&amp;IF(AND(EDATE($D107,Milestones!$AA$59)&lt;=AsOfDate,EDATE($D107,Milestones!$AA$59)&gt;=SchemeStart,IF($X107=0,$AD107,IF(AND($Z107&lt;&gt;"",EDATE($D107,Milestones!$AA$59)&gt;=$Z107),$AC107,IF(AND($Y107&lt;&gt;"",EDATE($D107,Milestones!$AA$59)&gt;=$Y107),$AB107,$AA107)))=Milestones!$AB$59),UPPER(TEXT(EDATE($D107,Milestones!$AA$59),"dd mmm yy"))&amp;" "&amp;Milestones!$AB$59&amp;" "&amp;IF(AND(Milestones!$AB$59="FT",Milestones!$AA$59=FT_Y5,EDATE($D107,Milestones!$AA$59)&lt;PolicyEff),1,Milestones!$AC$59)&amp;";  ","")&amp;IF(AND(EDATE($D107,Milestones!$AA$60)&lt;=AsOfDate,EDATE($D107,Milestones!$AA$60)&gt;=SchemeStart,IF($X107=0,$AD107,IF(AND($Z107&lt;&gt;"",EDATE($D107,Milestones!$AA$60)&gt;=$Z107),$AC107,IF(AND($Y107&lt;&gt;"",EDATE($D107,Milestones!$AA$60)&gt;=$Y107),$AB107,$AA107)))=Milestones!$AB$60),UPPER(TEXT(EDATE($D107,Milestones!$AA$60),"dd mmm yy"))&amp;" "&amp;Milestones!$AB$60&amp;" "&amp;IF(AND(Milestones!$AB$60="FT",Milestones!$AA$60=FT_Y5,EDATE($D107,Milestones!$AA$60)&lt;PolicyEff),1,Milestones!$AC$60)&amp;";  ","")&amp;IF(AND(EDATE($D107,Milestones!$AA$61)&lt;=AsOfDate,EDATE($D107,Milestones!$AA$61)&gt;=SchemeStart,IF($X107=0,$AD107,IF(AND($Z107&lt;&gt;"",EDATE($D107,Milestones!$AA$61)&gt;=$Z107),$AC107,IF(AND($Y107&lt;&gt;"",EDATE($D107,Milestones!$AA$61)&gt;=$Y107),$AB107,$AA107)))=Milestones!$AB$61),UPPER(TEXT(EDATE($D107,Milestones!$AA$61),"dd mmm yy"))&amp;" "&amp;Milestones!$AB$61&amp;" "&amp;IF(AND(Milestones!$AB$61="FT",Milestones!$AA$61=FT_Y5,EDATE($D107,Milestones!$AA$61)&lt;PolicyEff),1,Milestones!$AC$61)&amp;";  ","")&amp;IF(AND(EDATE($D107,Milestones!$AA$62)&lt;=AsOfDate,EDATE($D107,Milestones!$AA$62)&gt;=SchemeStart,IF($X107=0,$AD107,IF(AND($Z107&lt;&gt;"",EDATE($D107,Milestones!$AA$62)&gt;=$Z107),$AC107,IF(AND($Y107&lt;&gt;"",EDATE($D107,Milestones!$AA$62)&gt;=$Y107),$AB107,$AA107)))=Milestones!$AB$62),UPPER(TEXT(EDATE($D107,Milestones!$AA$62),"dd mmm yy"))&amp;" "&amp;Milestones!$AB$62&amp;" "&amp;IF(AND(Milestones!$AB$62="FT",Milestones!$AA$62=FT_Y5,EDATE($D107,Milestones!$AA$62)&lt;PolicyEff),1,Milestones!$AC$62)&amp;";  ","")&amp;IF(AND(EDATE($D107,Milestones!$AA$63)&lt;=AsOfDate,EDATE($D107,Milestones!$AA$63)&gt;=SchemeStart,IF($X107=0,$AD107,IF(AND($Z107&lt;&gt;"",EDATE($D107,Milestones!$AA$63)&gt;=$Z107),$AC107,IF(AND($Y107&lt;&gt;"",EDATE($D107,Milestones!$AA$63)&gt;=$Y107),$AB107,$AA107)))=Milestones!$AB$63),UPPER(TEXT(EDATE($D107,Milestones!$AA$63),"dd mmm yy"))&amp;" "&amp;Milestones!$AB$63&amp;" "&amp;IF(AND(Milestones!$AB$63="FT",Milestones!$AA$63=FT_Y5,EDATE($D107,Milestones!$AA$63)&lt;PolicyEff),1,Milestones!$AC$63)&amp;";  ","")&amp;IF(AND(EDATE($D107,Milestones!$AA$64)&lt;=AsOfDate,EDATE($D107,Milestones!$AA$64)&gt;=SchemeStart,IF($X107=0,$AD107,IF(AND($Z107&lt;&gt;"",EDATE($D107,Milestones!$AA$64)&gt;=$Z107),$AC107,IF(AND($Y107&lt;&gt;"",EDATE($D107,Milestones!$AA$64)&gt;=$Y107),$AB107,$AA107)))=Milestones!$AB$64),UPPER(TEXT(EDATE($D107,Milestones!$AA$64),"dd mmm yy"))&amp;" "&amp;Milestones!$AB$64&amp;" "&amp;IF(AND(Milestones!$AB$64="FT",Milestones!$AA$64=FT_Y5,EDATE($D107,Milestones!$AA$64)&lt;PolicyEff),1,Milestones!$AC$64)&amp;";  ","")&amp;IF(AND(EDATE($D107,Milestones!$AA$65)&lt;=AsOfDate,EDATE($D107,Milestones!$AA$65)&gt;=SchemeStart,IF($X107=0,$AD107,IF(AND($Z107&lt;&gt;"",EDATE($D107,Milestones!$AA$65)&gt;=$Z107),$AC107,IF(AND($Y107&lt;&gt;"",EDATE($D107,Milestones!$AA$65)&gt;=$Y107),$AB107,$AA107)))=Milestones!$AB$65),UPPER(TEXT(EDATE($D107,Milestones!$AA$65),"dd mmm yy"))&amp;" "&amp;Milestones!$AB$65&amp;" "&amp;IF(AND(Milestones!$AB$65="FT",Milestones!$AA$65=FT_Y5,EDATE($D107,Milestones!$AA$65)&lt;PolicyEff),1,Milestones!$AC$65)&amp;";  ","")&amp;IF(AND(EDATE($D107,Milestones!$AA$66)&lt;=AsOfDate,EDATE($D107,Milestones!$AA$66)&gt;=SchemeStart,IF($X107=0,$AD107,IF(AND($Z107&lt;&gt;"",EDATE($D107,Milestones!$AA$66)&gt;=$Z107),$AC107,IF(AND($Y107&lt;&gt;"",EDATE($D107,Milestones!$AA$66)&gt;=$Y107),$AB107,$AA107)))=Milestones!$AB$66),UPPER(TEXT(EDATE($D107,Milestones!$AA$66),"dd mmm yy"))&amp;" "&amp;Milestones!$AB$66&amp;" "&amp;IF(AND(Milestones!$AB$66="FT",Milestones!$AA$66=FT_Y5,EDATE($D107,Milestones!$AA$66)&lt;PolicyEff),1,Milestones!$AC$66)&amp;";  ","")&amp;IF(AND(EDATE($D107,Milestones!$AA$67)&lt;=AsOfDate,EDATE($D107,Milestones!$AA$67)&gt;=SchemeStart,IF($X107=0,$AD107,IF(AND($Z107&lt;&gt;"",EDATE($D107,Milestones!$AA$67)&gt;=$Z107),$AC107,IF(AND($Y107&lt;&gt;"",EDATE($D107,Milestones!$AA$67)&gt;=$Y107),$AB107,$AA107)))=Milestones!$AB$67),UPPER(TEXT(EDATE($D107,Milestones!$AA$67),"dd mmm yy"))&amp;" "&amp;Milestones!$AB$67&amp;" "&amp;IF(AND(Milestones!$AB$67="FT",Milestones!$AA$67=FT_Y5,EDATE($D107,Milestones!$AA$67)&lt;PolicyEff),1,Milestones!$AC$67)&amp;";  ",""))</f>
        <v/>
      </c>
      <c r="M107" s="0" t="str">
        <f aca="false">IF(OR($A107="",$D107=""),"",IF(AND(EDATE($D107,Milestones!$AA$68)&lt;=AsOfDate,EDATE($D107,Milestones!$AA$68)&gt;=SchemeStart,IF($X107=0,$AD107,IF(AND($Z107&lt;&gt;"",EDATE($D107,Milestones!$AA$68)&gt;=$Z107),$AC107,IF(AND($Y107&lt;&gt;"",EDATE($D107,Milestones!$AA$68)&gt;=$Y107),$AB107,$AA107)))=Milestones!$AB$68),UPPER(TEXT(EDATE($D107,Milestones!$AA$68),"dd mmm yy"))&amp;" "&amp;Milestones!$AB$68&amp;" "&amp;IF(AND(Milestones!$AB$68="FT",Milestones!$AA$68=FT_Y5,EDATE($D107,Milestones!$AA$68)&lt;PolicyEff),1,Milestones!$AC$68)&amp;";  ","")&amp;IF(AND(EDATE($D107,Milestones!$AA$69)&lt;=AsOfDate,EDATE($D107,Milestones!$AA$69)&gt;=SchemeStart,IF($X107=0,$AD107,IF(AND($Z107&lt;&gt;"",EDATE($D107,Milestones!$AA$69)&gt;=$Z107),$AC107,IF(AND($Y107&lt;&gt;"",EDATE($D107,Milestones!$AA$69)&gt;=$Y107),$AB107,$AA107)))=Milestones!$AB$69),UPPER(TEXT(EDATE($D107,Milestones!$AA$69),"dd mmm yy"))&amp;" "&amp;Milestones!$AB$69&amp;" "&amp;IF(AND(Milestones!$AB$69="FT",Milestones!$AA$69=FT_Y5,EDATE($D107,Milestones!$AA$69)&lt;PolicyEff),1,Milestones!$AC$69)&amp;";  ","")&amp;IF(AND(EDATE($D107,Milestones!$AA$70)&lt;=AsOfDate,EDATE($D107,Milestones!$AA$70)&gt;=SchemeStart,IF($X107=0,$AD107,IF(AND($Z107&lt;&gt;"",EDATE($D107,Milestones!$AA$70)&gt;=$Z107),$AC107,IF(AND($Y107&lt;&gt;"",EDATE($D107,Milestones!$AA$70)&gt;=$Y107),$AB107,$AA107)))=Milestones!$AB$70),UPPER(TEXT(EDATE($D107,Milestones!$AA$70),"dd mmm yy"))&amp;" "&amp;Milestones!$AB$70&amp;" "&amp;IF(AND(Milestones!$AB$70="FT",Milestones!$AA$70=FT_Y5,EDATE($D107,Milestones!$AA$70)&lt;PolicyEff),1,Milestones!$AC$70)&amp;";  ","")&amp;IF(AND(EDATE($D107,Milestones!$AA$71)&lt;=AsOfDate,EDATE($D107,Milestones!$AA$71)&gt;=SchemeStart,IF($X107=0,$AD107,IF(AND($Z107&lt;&gt;"",EDATE($D107,Milestones!$AA$71)&gt;=$Z107),$AC107,IF(AND($Y107&lt;&gt;"",EDATE($D107,Milestones!$AA$71)&gt;=$Y107),$AB107,$AA107)))=Milestones!$AB$71),UPPER(TEXT(EDATE($D107,Milestones!$AA$71),"dd mmm yy"))&amp;" "&amp;Milestones!$AB$71&amp;" "&amp;IF(AND(Milestones!$AB$71="FT",Milestones!$AA$71=FT_Y5,EDATE($D107,Milestones!$AA$71)&lt;PolicyEff),1,Milestones!$AC$71)&amp;";  ","")&amp;IF(AND(EDATE($D107,Milestones!$AA$72)&lt;=AsOfDate,EDATE($D107,Milestones!$AA$72)&gt;=SchemeStart,IF($X107=0,$AD107,IF(AND($Z107&lt;&gt;"",EDATE($D107,Milestones!$AA$72)&gt;=$Z107),$AC107,IF(AND($Y107&lt;&gt;"",EDATE($D107,Milestones!$AA$72)&gt;=$Y107),$AB107,$AA107)))=Milestones!$AB$72),UPPER(TEXT(EDATE($D107,Milestones!$AA$72),"dd mmm yy"))&amp;" "&amp;Milestones!$AB$72&amp;" "&amp;IF(AND(Milestones!$AB$72="FT",Milestones!$AA$72=FT_Y5,EDATE($D107,Milestones!$AA$72)&lt;PolicyEff),1,Milestones!$AC$72)&amp;";  ","")&amp;IF(AND(EDATE($D107,Milestones!$AA$73)&lt;=AsOfDate,EDATE($D107,Milestones!$AA$73)&gt;=SchemeStart,IF($X107=0,$AD107,IF(AND($Z107&lt;&gt;"",EDATE($D107,Milestones!$AA$73)&gt;=$Z107),$AC107,IF(AND($Y107&lt;&gt;"",EDATE($D107,Milestones!$AA$73)&gt;=$Y107),$AB107,$AA107)))=Milestones!$AB$73),UPPER(TEXT(EDATE($D107,Milestones!$AA$73),"dd mmm yy"))&amp;" "&amp;Milestones!$AB$73&amp;" "&amp;IF(AND(Milestones!$AB$73="FT",Milestones!$AA$73=FT_Y5,EDATE($D107,Milestones!$AA$73)&lt;PolicyEff),1,Milestones!$AC$73)&amp;";  ","")&amp;IF(AND(EDATE($D107,Milestones!$AA$74)&lt;=AsOfDate,EDATE($D107,Milestones!$AA$74)&gt;=SchemeStart,IF($X107=0,$AD107,IF(AND($Z107&lt;&gt;"",EDATE($D107,Milestones!$AA$74)&gt;=$Z107),$AC107,IF(AND($Y107&lt;&gt;"",EDATE($D107,Milestones!$AA$74)&gt;=$Y107),$AB107,$AA107)))=Milestones!$AB$74),UPPER(TEXT(EDATE($D107,Milestones!$AA$74),"dd mmm yy"))&amp;" "&amp;Milestones!$AB$74&amp;" "&amp;IF(AND(Milestones!$AB$74="FT",Milestones!$AA$74=FT_Y5,EDATE($D107,Milestones!$AA$74)&lt;PolicyEff),1,Milestones!$AC$74)&amp;";  ","")&amp;IF(AND(EDATE($D107,Milestones!$AA$75)&lt;=AsOfDate,EDATE($D107,Milestones!$AA$75)&gt;=SchemeStart,IF($X107=0,$AD107,IF(AND($Z107&lt;&gt;"",EDATE($D107,Milestones!$AA$75)&gt;=$Z107),$AC107,IF(AND($Y107&lt;&gt;"",EDATE($D107,Milestones!$AA$75)&gt;=$Y107),$AB107,$AA107)))=Milestones!$AB$75),UPPER(TEXT(EDATE($D107,Milestones!$AA$75),"dd mmm yy"))&amp;" "&amp;Milestones!$AB$75&amp;" "&amp;IF(AND(Milestones!$AB$75="FT",Milestones!$AA$75=FT_Y5,EDATE($D107,Milestones!$AA$75)&lt;PolicyEff),1,Milestones!$AC$75)&amp;";  ","")&amp;IF(AND(EDATE($D107,Milestones!$AA$76)&lt;=AsOfDate,EDATE($D107,Milestones!$AA$76)&gt;=SchemeStart,IF($X107=0,$AD107,IF(AND($Z107&lt;&gt;"",EDATE($D107,Milestones!$AA$76)&gt;=$Z107),$AC107,IF(AND($Y107&lt;&gt;"",EDATE($D107,Milestones!$AA$76)&gt;=$Y107),$AB107,$AA107)))=Milestones!$AB$76),UPPER(TEXT(EDATE($D107,Milestones!$AA$76),"dd mmm yy"))&amp;" "&amp;Milestones!$AB$76&amp;" "&amp;IF(AND(Milestones!$AB$76="FT",Milestones!$AA$76=FT_Y5,EDATE($D107,Milestones!$AA$76)&lt;PolicyEff),1,Milestones!$AC$76)&amp;";  ","")&amp;IF(AND(EDATE($D107,Milestones!$AA$77)&lt;=AsOfDate,EDATE($D107,Milestones!$AA$77)&gt;=SchemeStart,IF($X107=0,$AD107,IF(AND($Z107&lt;&gt;"",EDATE($D107,Milestones!$AA$77)&gt;=$Z107),$AC107,IF(AND($Y107&lt;&gt;"",EDATE($D107,Milestones!$AA$77)&gt;=$Y107),$AB107,$AA107)))=Milestones!$AB$77),UPPER(TEXT(EDATE($D107,Milestones!$AA$77),"dd mmm yy"))&amp;" "&amp;Milestones!$AB$77&amp;" "&amp;IF(AND(Milestones!$AB$77="FT",Milestones!$AA$77=FT_Y5,EDATE($D107,Milestones!$AA$77)&lt;PolicyEff),1,Milestones!$AC$77)&amp;";  ","")&amp;IF(AND(EDATE($D107,Milestones!$AA$78)&lt;=AsOfDate,EDATE($D107,Milestones!$AA$78)&gt;=SchemeStart,IF($X107=0,$AD107,IF(AND($Z107&lt;&gt;"",EDATE($D107,Milestones!$AA$78)&gt;=$Z107),$AC107,IF(AND($Y107&lt;&gt;"",EDATE($D107,Milestones!$AA$78)&gt;=$Y107),$AB107,$AA107)))=Milestones!$AB$78),UPPER(TEXT(EDATE($D107,Milestones!$AA$78),"dd mmm yy"))&amp;" "&amp;Milestones!$AB$78&amp;" "&amp;IF(AND(Milestones!$AB$78="FT",Milestones!$AA$78=FT_Y5,EDATE($D107,Milestones!$AA$78)&lt;PolicyEff),1,Milestones!$AC$78)&amp;";  ","")&amp;IF(AND(EDATE($D107,Milestones!$AA$79)&lt;=AsOfDate,EDATE($D107,Milestones!$AA$79)&gt;=SchemeStart,IF($X107=0,$AD107,IF(AND($Z107&lt;&gt;"",EDATE($D107,Milestones!$AA$79)&gt;=$Z107),$AC107,IF(AND($Y107&lt;&gt;"",EDATE($D107,Milestones!$AA$79)&gt;=$Y107),$AB107,$AA107)))=Milestones!$AB$79),UPPER(TEXT(EDATE($D107,Milestones!$AA$79),"dd mmm yy"))&amp;" "&amp;Milestones!$AB$79&amp;" "&amp;IF(AND(Milestones!$AB$79="FT",Milestones!$AA$79=FT_Y5,EDATE($D107,Milestones!$AA$79)&lt;PolicyEff),1,Milestones!$AC$79)&amp;";  ",""))</f>
        <v/>
      </c>
      <c r="N107" s="0" t="str">
        <f aca="false">IF(OR($A107="",$D107=""),"",IF(AND(EDATE($D107,Milestones!$AA$80)&lt;=AsOfDate,EDATE($D107,Milestones!$AA$80)&gt;=SchemeStart,IF($X107=0,$AD107,IF(AND($Z107&lt;&gt;"",EDATE($D107,Milestones!$AA$80)&gt;=$Z107),$AC107,IF(AND($Y107&lt;&gt;"",EDATE($D107,Milestones!$AA$80)&gt;=$Y107),$AB107,$AA107)))=Milestones!$AB$80),UPPER(TEXT(EDATE($D107,Milestones!$AA$80),"dd mmm yy"))&amp;" "&amp;Milestones!$AB$80&amp;" "&amp;IF(AND(Milestones!$AB$80="FT",Milestones!$AA$80=FT_Y5,EDATE($D107,Milestones!$AA$80)&lt;PolicyEff),1,Milestones!$AC$80)&amp;";  ","")&amp;IF(AND(EDATE($D107,Milestones!$AA$81)&lt;=AsOfDate,EDATE($D107,Milestones!$AA$81)&gt;=SchemeStart,IF($X107=0,$AD107,IF(AND($Z107&lt;&gt;"",EDATE($D107,Milestones!$AA$81)&gt;=$Z107),$AC107,IF(AND($Y107&lt;&gt;"",EDATE($D107,Milestones!$AA$81)&gt;=$Y107),$AB107,$AA107)))=Milestones!$AB$81),UPPER(TEXT(EDATE($D107,Milestones!$AA$81),"dd mmm yy"))&amp;" "&amp;Milestones!$AB$81&amp;" "&amp;IF(AND(Milestones!$AB$81="FT",Milestones!$AA$81=FT_Y5,EDATE($D107,Milestones!$AA$81)&lt;PolicyEff),1,Milestones!$AC$81)&amp;";  ","")&amp;IF(AND(EDATE($D107,Milestones!$AA$82)&lt;=AsOfDate,EDATE($D107,Milestones!$AA$82)&gt;=SchemeStart,IF($X107=0,$AD107,IF(AND($Z107&lt;&gt;"",EDATE($D107,Milestones!$AA$82)&gt;=$Z107),$AC107,IF(AND($Y107&lt;&gt;"",EDATE($D107,Milestones!$AA$82)&gt;=$Y107),$AB107,$AA107)))=Milestones!$AB$82),UPPER(TEXT(EDATE($D107,Milestones!$AA$82),"dd mmm yy"))&amp;" "&amp;Milestones!$AB$82&amp;" "&amp;IF(AND(Milestones!$AB$82="FT",Milestones!$AA$82=FT_Y5,EDATE($D107,Milestones!$AA$82)&lt;PolicyEff),1,Milestones!$AC$82)&amp;";  ","")&amp;IF(AND(EDATE($D107,Milestones!$AA$83)&lt;=AsOfDate,EDATE($D107,Milestones!$AA$83)&gt;=SchemeStart,IF($X107=0,$AD107,IF(AND($Z107&lt;&gt;"",EDATE($D107,Milestones!$AA$83)&gt;=$Z107),$AC107,IF(AND($Y107&lt;&gt;"",EDATE($D107,Milestones!$AA$83)&gt;=$Y107),$AB107,$AA107)))=Milestones!$AB$83),UPPER(TEXT(EDATE($D107,Milestones!$AA$83),"dd mmm yy"))&amp;" "&amp;Milestones!$AB$83&amp;" "&amp;IF(AND(Milestones!$AB$83="FT",Milestones!$AA$83=FT_Y5,EDATE($D107,Milestones!$AA$83)&lt;PolicyEff),1,Milestones!$AC$83)&amp;";  ","")&amp;IF(AND(EDATE($D107,Milestones!$AA$84)&lt;=AsOfDate,EDATE($D107,Milestones!$AA$84)&gt;=SchemeStart,IF($X107=0,$AD107,IF(AND($Z107&lt;&gt;"",EDATE($D107,Milestones!$AA$84)&gt;=$Z107),$AC107,IF(AND($Y107&lt;&gt;"",EDATE($D107,Milestones!$AA$84)&gt;=$Y107),$AB107,$AA107)))=Milestones!$AB$84),UPPER(TEXT(EDATE($D107,Milestones!$AA$84),"dd mmm yy"))&amp;" "&amp;Milestones!$AB$84&amp;" "&amp;IF(AND(Milestones!$AB$84="FT",Milestones!$AA$84=FT_Y5,EDATE($D107,Milestones!$AA$84)&lt;PolicyEff),1,Milestones!$AC$84)&amp;";  ","")&amp;IF(AND(EDATE($D107,Milestones!$AA$85)&lt;=AsOfDate,EDATE($D107,Milestones!$AA$85)&gt;=SchemeStart,IF($X107=0,$AD107,IF(AND($Z107&lt;&gt;"",EDATE($D107,Milestones!$AA$85)&gt;=$Z107),$AC107,IF(AND($Y107&lt;&gt;"",EDATE($D107,Milestones!$AA$85)&gt;=$Y107),$AB107,$AA107)))=Milestones!$AB$85),UPPER(TEXT(EDATE($D107,Milestones!$AA$85),"dd mmm yy"))&amp;" "&amp;Milestones!$AB$85&amp;" "&amp;IF(AND(Milestones!$AB$85="FT",Milestones!$AA$85=FT_Y5,EDATE($D107,Milestones!$AA$85)&lt;PolicyEff),1,Milestones!$AC$85)&amp;";  ","")&amp;IF(AND(EDATE($D107,Milestones!$AA$86)&lt;=AsOfDate,EDATE($D107,Milestones!$AA$86)&gt;=SchemeStart,IF($X107=0,$AD107,IF(AND($Z107&lt;&gt;"",EDATE($D107,Milestones!$AA$86)&gt;=$Z107),$AC107,IF(AND($Y107&lt;&gt;"",EDATE($D107,Milestones!$AA$86)&gt;=$Y107),$AB107,$AA107)))=Milestones!$AB$86),UPPER(TEXT(EDATE($D107,Milestones!$AA$86),"dd mmm yy"))&amp;" "&amp;Milestones!$AB$86&amp;" "&amp;IF(AND(Milestones!$AB$86="FT",Milestones!$AA$86=FT_Y5,EDATE($D107,Milestones!$AA$86)&lt;PolicyEff),1,Milestones!$AC$86)&amp;";  ","")&amp;IF(AND(EDATE($D107,Milestones!$AA$87)&lt;=AsOfDate,EDATE($D107,Milestones!$AA$87)&gt;=SchemeStart,IF($X107=0,$AD107,IF(AND($Z107&lt;&gt;"",EDATE($D107,Milestones!$AA$87)&gt;=$Z107),$AC107,IF(AND($Y107&lt;&gt;"",EDATE($D107,Milestones!$AA$87)&gt;=$Y107),$AB107,$AA107)))=Milestones!$AB$87),UPPER(TEXT(EDATE($D107,Milestones!$AA$87),"dd mmm yy"))&amp;" "&amp;Milestones!$AB$87&amp;" "&amp;IF(AND(Milestones!$AB$87="FT",Milestones!$AA$87=FT_Y5,EDATE($D107,Milestones!$AA$87)&lt;PolicyEff),1,Milestones!$AC$87)&amp;";  ","")&amp;IF(AND(EDATE($D107,Milestones!$AA$88)&lt;=AsOfDate,EDATE($D107,Milestones!$AA$88)&gt;=SchemeStart,IF($X107=0,$AD107,IF(AND($Z107&lt;&gt;"",EDATE($D107,Milestones!$AA$88)&gt;=$Z107),$AC107,IF(AND($Y107&lt;&gt;"",EDATE($D107,Milestones!$AA$88)&gt;=$Y107),$AB107,$AA107)))=Milestones!$AB$88),UPPER(TEXT(EDATE($D107,Milestones!$AA$88),"dd mmm yy"))&amp;" "&amp;Milestones!$AB$88&amp;" "&amp;IF(AND(Milestones!$AB$88="FT",Milestones!$AA$88=FT_Y5,EDATE($D107,Milestones!$AA$88)&lt;PolicyEff),1,Milestones!$AC$88)&amp;";  ","")&amp;IF(AND(EDATE($D107,Milestones!$AA$89)&lt;=AsOfDate,EDATE($D107,Milestones!$AA$89)&gt;=SchemeStart,IF($X107=0,$AD107,IF(AND($Z107&lt;&gt;"",EDATE($D107,Milestones!$AA$89)&gt;=$Z107),$AC107,IF(AND($Y107&lt;&gt;"",EDATE($D107,Milestones!$AA$89)&gt;=$Y107),$AB107,$AA107)))=Milestones!$AB$89),UPPER(TEXT(EDATE($D107,Milestones!$AA$89),"dd mmm yy"))&amp;" "&amp;Milestones!$AB$89&amp;" "&amp;IF(AND(Milestones!$AB$89="FT",Milestones!$AA$89=FT_Y5,EDATE($D107,Milestones!$AA$89)&lt;PolicyEff),1,Milestones!$AC$89)&amp;";  ","")&amp;IF(AND(EDATE($D107,Milestones!$AA$90)&lt;=AsOfDate,EDATE($D107,Milestones!$AA$90)&gt;=SchemeStart,IF($X107=0,$AD107,IF(AND($Z107&lt;&gt;"",EDATE($D107,Milestones!$AA$90)&gt;=$Z107),$AC107,IF(AND($Y107&lt;&gt;"",EDATE($D107,Milestones!$AA$90)&gt;=$Y107),$AB107,$AA107)))=Milestones!$AB$90),UPPER(TEXT(EDATE($D107,Milestones!$AA$90),"dd mmm yy"))&amp;" "&amp;Milestones!$AB$90&amp;" "&amp;IF(AND(Milestones!$AB$90="FT",Milestones!$AA$90=FT_Y5,EDATE($D107,Milestones!$AA$90)&lt;PolicyEff),1,Milestones!$AC$90)&amp;";  ","")&amp;IF(AND(EDATE($D107,Milestones!$AA$91)&lt;=AsOfDate,EDATE($D107,Milestones!$AA$91)&gt;=SchemeStart,IF($X107=0,$AD107,IF(AND($Z107&lt;&gt;"",EDATE($D107,Milestones!$AA$91)&gt;=$Z107),$AC107,IF(AND($Y107&lt;&gt;"",EDATE($D107,Milestones!$AA$91)&gt;=$Y107),$AB107,$AA107)))=Milestones!$AB$91),UPPER(TEXT(EDATE($D107,Milestones!$AA$91),"dd mmm yy"))&amp;" "&amp;Milestones!$AB$91&amp;" "&amp;IF(AND(Milestones!$AB$91="FT",Milestones!$AA$91=FT_Y5,EDATE($D107,Milestones!$AA$91)&lt;PolicyEff),1,Milestones!$AC$91)&amp;";  ",""))</f>
        <v/>
      </c>
      <c r="O107" s="0" t="str">
        <f aca="false">IF(OR($A107="",$D107=""),"",IF(AND(EDATE($D107,Milestones!$AA$92)&lt;=AsOfDate,EDATE($D107,Milestones!$AA$92)&gt;=SchemeStart,IF($X107=0,$AD107,IF(AND($Z107&lt;&gt;"",EDATE($D107,Milestones!$AA$92)&gt;=$Z107),$AC107,IF(AND($Y107&lt;&gt;"",EDATE($D107,Milestones!$AA$92)&gt;=$Y107),$AB107,$AA107)))=Milestones!$AB$92),UPPER(TEXT(EDATE($D107,Milestones!$AA$92),"dd mmm yy"))&amp;" "&amp;Milestones!$AB$92&amp;" "&amp;IF(AND(Milestones!$AB$92="FT",Milestones!$AA$92=FT_Y5,EDATE($D107,Milestones!$AA$92)&lt;PolicyEff),1,Milestones!$AC$92)&amp;";  ","")&amp;IF(AND(EDATE($D107,Milestones!$AA$93)&lt;=AsOfDate,EDATE($D107,Milestones!$AA$93)&gt;=SchemeStart,IF($X107=0,$AD107,IF(AND($Z107&lt;&gt;"",EDATE($D107,Milestones!$AA$93)&gt;=$Z107),$AC107,IF(AND($Y107&lt;&gt;"",EDATE($D107,Milestones!$AA$93)&gt;=$Y107),$AB107,$AA107)))=Milestones!$AB$93),UPPER(TEXT(EDATE($D107,Milestones!$AA$93),"dd mmm yy"))&amp;" "&amp;Milestones!$AB$93&amp;" "&amp;IF(AND(Milestones!$AB$93="FT",Milestones!$AA$93=FT_Y5,EDATE($D107,Milestones!$AA$93)&lt;PolicyEff),1,Milestones!$AC$93)&amp;";  ","")&amp;IF(AND(EDATE($D107,Milestones!$AA$94)&lt;=AsOfDate,EDATE($D107,Milestones!$AA$94)&gt;=SchemeStart,IF($X107=0,$AD107,IF(AND($Z107&lt;&gt;"",EDATE($D107,Milestones!$AA$94)&gt;=$Z107),$AC107,IF(AND($Y107&lt;&gt;"",EDATE($D107,Milestones!$AA$94)&gt;=$Y107),$AB107,$AA107)))=Milestones!$AB$94),UPPER(TEXT(EDATE($D107,Milestones!$AA$94),"dd mmm yy"))&amp;" "&amp;Milestones!$AB$94&amp;" "&amp;IF(AND(Milestones!$AB$94="FT",Milestones!$AA$94=FT_Y5,EDATE($D107,Milestones!$AA$94)&lt;PolicyEff),1,Milestones!$AC$94)&amp;";  ","")&amp;IF(AND(EDATE($D107,Milestones!$AA$95)&lt;=AsOfDate,EDATE($D107,Milestones!$AA$95)&gt;=SchemeStart,IF($X107=0,$AD107,IF(AND($Z107&lt;&gt;"",EDATE($D107,Milestones!$AA$95)&gt;=$Z107),$AC107,IF(AND($Y107&lt;&gt;"",EDATE($D107,Milestones!$AA$95)&gt;=$Y107),$AB107,$AA107)))=Milestones!$AB$95),UPPER(TEXT(EDATE($D107,Milestones!$AA$95),"dd mmm yy"))&amp;" "&amp;Milestones!$AB$95&amp;" "&amp;IF(AND(Milestones!$AB$95="FT",Milestones!$AA$95=FT_Y5,EDATE($D107,Milestones!$AA$95)&lt;PolicyEff),1,Milestones!$AC$95)&amp;";  ","")&amp;IF(AND(EDATE($D107,Milestones!$AA$96)&lt;=AsOfDate,EDATE($D107,Milestones!$AA$96)&gt;=SchemeStart,IF($X107=0,$AD107,IF(AND($Z107&lt;&gt;"",EDATE($D107,Milestones!$AA$96)&gt;=$Z107),$AC107,IF(AND($Y107&lt;&gt;"",EDATE($D107,Milestones!$AA$96)&gt;=$Y107),$AB107,$AA107)))=Milestones!$AB$96),UPPER(TEXT(EDATE($D107,Milestones!$AA$96),"dd mmm yy"))&amp;" "&amp;Milestones!$AB$96&amp;" "&amp;IF(AND(Milestones!$AB$96="FT",Milestones!$AA$96=FT_Y5,EDATE($D107,Milestones!$AA$96)&lt;PolicyEff),1,Milestones!$AC$96)&amp;";  ","")&amp;IF(AND(EDATE($D107,Milestones!$AA$97)&lt;=AsOfDate,EDATE($D107,Milestones!$AA$97)&gt;=SchemeStart,IF($X107=0,$AD107,IF(AND($Z107&lt;&gt;"",EDATE($D107,Milestones!$AA$97)&gt;=$Z107),$AC107,IF(AND($Y107&lt;&gt;"",EDATE($D107,Milestones!$AA$97)&gt;=$Y107),$AB107,$AA107)))=Milestones!$AB$97),UPPER(TEXT(EDATE($D107,Milestones!$AA$97),"dd mmm yy"))&amp;" "&amp;Milestones!$AB$97&amp;" "&amp;IF(AND(Milestones!$AB$97="FT",Milestones!$AA$97=FT_Y5,EDATE($D107,Milestones!$AA$97)&lt;PolicyEff),1,Milestones!$AC$97)&amp;";  ","")&amp;IF(AND(EDATE($D107,Milestones!$AA$98)&lt;=AsOfDate,EDATE($D107,Milestones!$AA$98)&gt;=SchemeStart,IF($X107=0,$AD107,IF(AND($Z107&lt;&gt;"",EDATE($D107,Milestones!$AA$98)&gt;=$Z107),$AC107,IF(AND($Y107&lt;&gt;"",EDATE($D107,Milestones!$AA$98)&gt;=$Y107),$AB107,$AA107)))=Milestones!$AB$98),UPPER(TEXT(EDATE($D107,Milestones!$AA$98),"dd mmm yy"))&amp;" "&amp;Milestones!$AB$98&amp;" "&amp;IF(AND(Milestones!$AB$98="FT",Milestones!$AA$98=FT_Y5,EDATE($D107,Milestones!$AA$98)&lt;PolicyEff),1,Milestones!$AC$98)&amp;";  ","")&amp;IF(AND(EDATE($D107,Milestones!$AA$99)&lt;=AsOfDate,EDATE($D107,Milestones!$AA$99)&gt;=SchemeStart,IF($X107=0,$AD107,IF(AND($Z107&lt;&gt;"",EDATE($D107,Milestones!$AA$99)&gt;=$Z107),$AC107,IF(AND($Y107&lt;&gt;"",EDATE($D107,Milestones!$AA$99)&gt;=$Y107),$AB107,$AA107)))=Milestones!$AB$99),UPPER(TEXT(EDATE($D107,Milestones!$AA$99),"dd mmm yy"))&amp;" "&amp;Milestones!$AB$99&amp;" "&amp;IF(AND(Milestones!$AB$99="FT",Milestones!$AA$99=FT_Y5,EDATE($D107,Milestones!$AA$99)&lt;PolicyEff),1,Milestones!$AC$99)&amp;";  ","")&amp;IF(AND(EDATE($D107,Milestones!$AA$100)&lt;=AsOfDate,EDATE($D107,Milestones!$AA$100)&gt;=SchemeStart,IF($X107=0,$AD107,IF(AND($Z107&lt;&gt;"",EDATE($D107,Milestones!$AA$100)&gt;=$Z107),$AC107,IF(AND($Y107&lt;&gt;"",EDATE($D107,Milestones!$AA$100)&gt;=$Y107),$AB107,$AA107)))=Milestones!$AB$100),UPPER(TEXT(EDATE($D107,Milestones!$AA$100),"dd mmm yy"))&amp;" "&amp;Milestones!$AB$100&amp;" "&amp;IF(AND(Milestones!$AB$100="FT",Milestones!$AA$100=FT_Y5,EDATE($D107,Milestones!$AA$100)&lt;PolicyEff),1,Milestones!$AC$100)&amp;";  ","")&amp;IF(AND(EDATE($D107,Milestones!$AA$101)&lt;=AsOfDate,EDATE($D107,Milestones!$AA$101)&gt;=SchemeStart,IF($X107=0,$AD107,IF(AND($Z107&lt;&gt;"",EDATE($D107,Milestones!$AA$101)&gt;=$Z107),$AC107,IF(AND($Y107&lt;&gt;"",EDATE($D107,Milestones!$AA$101)&gt;=$Y107),$AB107,$AA107)))=Milestones!$AB$101),UPPER(TEXT(EDATE($D107,Milestones!$AA$101),"dd mmm yy"))&amp;" "&amp;Milestones!$AB$101&amp;" "&amp;IF(AND(Milestones!$AB$101="FT",Milestones!$AA$101=FT_Y5,EDATE($D107,Milestones!$AA$101)&lt;PolicyEff),1,Milestones!$AC$101)&amp;";  ","")&amp;IF(AND(EDATE($D107,Milestones!$AA$102)&lt;=AsOfDate,EDATE($D107,Milestones!$AA$102)&gt;=SchemeStart,IF($X107=0,$AD107,IF(AND($Z107&lt;&gt;"",EDATE($D107,Milestones!$AA$102)&gt;=$Z107),$AC107,IF(AND($Y107&lt;&gt;"",EDATE($D107,Milestones!$AA$102)&gt;=$Y107),$AB107,$AA107)))=Milestones!$AB$102),UPPER(TEXT(EDATE($D107,Milestones!$AA$102),"dd mmm yy"))&amp;" "&amp;Milestones!$AB$102&amp;" "&amp;IF(AND(Milestones!$AB$102="FT",Milestones!$AA$102=FT_Y5,EDATE($D107,Milestones!$AA$102)&lt;PolicyEff),1,Milestones!$AC$102)&amp;";  ","")&amp;IF(AND(EDATE($D107,Milestones!$AA$103)&lt;=AsOfDate,EDATE($D107,Milestones!$AA$103)&gt;=SchemeStart,IF($X107=0,$AD107,IF(AND($Z107&lt;&gt;"",EDATE($D107,Milestones!$AA$103)&gt;=$Z107),$AC107,IF(AND($Y107&lt;&gt;"",EDATE($D107,Milestones!$AA$103)&gt;=$Y107),$AB107,$AA107)))=Milestones!$AB$103),UPPER(TEXT(EDATE($D107,Milestones!$AA$103),"dd mmm yy"))&amp;" "&amp;Milestones!$AB$103&amp;" "&amp;IF(AND(Milestones!$AB$103="FT",Milestones!$AA$103=FT_Y5,EDATE($D107,Milestones!$AA$103)&lt;PolicyEff),1,Milestones!$AC$103)&amp;";  ",""))</f>
        <v/>
      </c>
      <c r="P107" s="0" t="str">
        <f aca="false">IF(OR($A107="",$D107=""),"",IF(AND(EDATE($D107,Milestones!$AA$104)&lt;=AsOfDate,EDATE($D107,Milestones!$AA$104)&gt;=SchemeStart,IF($X107=0,$AD107,IF(AND($Z107&lt;&gt;"",EDATE($D107,Milestones!$AA$104)&gt;=$Z107),$AC107,IF(AND($Y107&lt;&gt;"",EDATE($D107,Milestones!$AA$104)&gt;=$Y107),$AB107,$AA107)))=Milestones!$AB$104),UPPER(TEXT(EDATE($D107,Milestones!$AA$104),"dd mmm yy"))&amp;" "&amp;Milestones!$AB$104&amp;" "&amp;IF(AND(Milestones!$AB$104="FT",Milestones!$AA$104=FT_Y5,EDATE($D107,Milestones!$AA$104)&lt;PolicyEff),1,Milestones!$AC$104)&amp;";  ","")&amp;IF(AND(EDATE($D107,Milestones!$AA$105)&lt;=AsOfDate,EDATE($D107,Milestones!$AA$105)&gt;=SchemeStart,IF($X107=0,$AD107,IF(AND($Z107&lt;&gt;"",EDATE($D107,Milestones!$AA$105)&gt;=$Z107),$AC107,IF(AND($Y107&lt;&gt;"",EDATE($D107,Milestones!$AA$105)&gt;=$Y107),$AB107,$AA107)))=Milestones!$AB$105),UPPER(TEXT(EDATE($D107,Milestones!$AA$105),"dd mmm yy"))&amp;" "&amp;Milestones!$AB$105&amp;" "&amp;IF(AND(Milestones!$AB$105="FT",Milestones!$AA$105=FT_Y5,EDATE($D107,Milestones!$AA$105)&lt;PolicyEff),1,Milestones!$AC$105)&amp;";  ","")&amp;IF(AND(EDATE($D107,Milestones!$AA$106)&lt;=AsOfDate,EDATE($D107,Milestones!$AA$106)&gt;=SchemeStart,IF($X107=0,$AD107,IF(AND($Z107&lt;&gt;"",EDATE($D107,Milestones!$AA$106)&gt;=$Z107),$AC107,IF(AND($Y107&lt;&gt;"",EDATE($D107,Milestones!$AA$106)&gt;=$Y107),$AB107,$AA107)))=Milestones!$AB$106),UPPER(TEXT(EDATE($D107,Milestones!$AA$106),"dd mmm yy"))&amp;" "&amp;Milestones!$AB$106&amp;" "&amp;IF(AND(Milestones!$AB$106="FT",Milestones!$AA$106=FT_Y5,EDATE($D107,Milestones!$AA$106)&lt;PolicyEff),1,Milestones!$AC$106)&amp;";  ","")&amp;IF(AND(EDATE($D107,Milestones!$AA$107)&lt;=AsOfDate,EDATE($D107,Milestones!$AA$107)&gt;=SchemeStart,IF($X107=0,$AD107,IF(AND($Z107&lt;&gt;"",EDATE($D107,Milestones!$AA$107)&gt;=$Z107),$AC107,IF(AND($Y107&lt;&gt;"",EDATE($D107,Milestones!$AA$107)&gt;=$Y107),$AB107,$AA107)))=Milestones!$AB$107),UPPER(TEXT(EDATE($D107,Milestones!$AA$107),"dd mmm yy"))&amp;" "&amp;Milestones!$AB$107&amp;" "&amp;IF(AND(Milestones!$AB$107="FT",Milestones!$AA$107=FT_Y5,EDATE($D107,Milestones!$AA$107)&lt;PolicyEff),1,Milestones!$AC$107)&amp;";  ","")&amp;IF(AND(EDATE($D107,Milestones!$AA$108)&lt;=AsOfDate,EDATE($D107,Milestones!$AA$108)&gt;=SchemeStart,IF($X107=0,$AD107,IF(AND($Z107&lt;&gt;"",EDATE($D107,Milestones!$AA$108)&gt;=$Z107),$AC107,IF(AND($Y107&lt;&gt;"",EDATE($D107,Milestones!$AA$108)&gt;=$Y107),$AB107,$AA107)))=Milestones!$AB$108),UPPER(TEXT(EDATE($D107,Milestones!$AA$108),"dd mmm yy"))&amp;" "&amp;Milestones!$AB$108&amp;" "&amp;IF(AND(Milestones!$AB$108="FT",Milestones!$AA$108=FT_Y5,EDATE($D107,Milestones!$AA$108)&lt;PolicyEff),1,Milestones!$AC$108)&amp;";  ","")&amp;IF(AND(EDATE($D107,Milestones!$AA$109)&lt;=AsOfDate,EDATE($D107,Milestones!$AA$109)&gt;=SchemeStart,IF($X107=0,$AD107,IF(AND($Z107&lt;&gt;"",EDATE($D107,Milestones!$AA$109)&gt;=$Z107),$AC107,IF(AND($Y107&lt;&gt;"",EDATE($D107,Milestones!$AA$109)&gt;=$Y107),$AB107,$AA107)))=Milestones!$AB$109),UPPER(TEXT(EDATE($D107,Milestones!$AA$109),"dd mmm yy"))&amp;" "&amp;Milestones!$AB$109&amp;" "&amp;IF(AND(Milestones!$AB$109="FT",Milestones!$AA$109=FT_Y5,EDATE($D107,Milestones!$AA$109)&lt;PolicyEff),1,Milestones!$AC$109)&amp;";  ","")&amp;IF(AND(EDATE($D107,Milestones!$AA$110)&lt;=AsOfDate,EDATE($D107,Milestones!$AA$110)&gt;=SchemeStart,IF($X107=0,$AD107,IF(AND($Z107&lt;&gt;"",EDATE($D107,Milestones!$AA$110)&gt;=$Z107),$AC107,IF(AND($Y107&lt;&gt;"",EDATE($D107,Milestones!$AA$110)&gt;=$Y107),$AB107,$AA107)))=Milestones!$AB$110),UPPER(TEXT(EDATE($D107,Milestones!$AA$110),"dd mmm yy"))&amp;" "&amp;Milestones!$AB$110&amp;" "&amp;IF(AND(Milestones!$AB$110="FT",Milestones!$AA$110=FT_Y5,EDATE($D107,Milestones!$AA$110)&lt;PolicyEff),1,Milestones!$AC$110)&amp;";  ","")&amp;IF(AND(EDATE($D107,Milestones!$AA$111)&lt;=AsOfDate,EDATE($D107,Milestones!$AA$111)&gt;=SchemeStart,IF($X107=0,$AD107,IF(AND($Z107&lt;&gt;"",EDATE($D107,Milestones!$AA$111)&gt;=$Z107),$AC107,IF(AND($Y107&lt;&gt;"",EDATE($D107,Milestones!$AA$111)&gt;=$Y107),$AB107,$AA107)))=Milestones!$AB$111),UPPER(TEXT(EDATE($D107,Milestones!$AA$111),"dd mmm yy"))&amp;" "&amp;Milestones!$AB$111&amp;" "&amp;IF(AND(Milestones!$AB$111="FT",Milestones!$AA$111=FT_Y5,EDATE($D107,Milestones!$AA$111)&lt;PolicyEff),1,Milestones!$AC$111)&amp;";  ","")&amp;IF(AND(EDATE($D107,Milestones!$AA$112)&lt;=AsOfDate,EDATE($D107,Milestones!$AA$112)&gt;=SchemeStart,IF($X107=0,$AD107,IF(AND($Z107&lt;&gt;"",EDATE($D107,Milestones!$AA$112)&gt;=$Z107),$AC107,IF(AND($Y107&lt;&gt;"",EDATE($D107,Milestones!$AA$112)&gt;=$Y107),$AB107,$AA107)))=Milestones!$AB$112),UPPER(TEXT(EDATE($D107,Milestones!$AA$112),"dd mmm yy"))&amp;" "&amp;Milestones!$AB$112&amp;" "&amp;IF(AND(Milestones!$AB$112="FT",Milestones!$AA$112=FT_Y5,EDATE($D107,Milestones!$AA$112)&lt;PolicyEff),1,Milestones!$AC$112)&amp;";  ","")&amp;IF(AND(EDATE($D107,Milestones!$AA$113)&lt;=AsOfDate,EDATE($D107,Milestones!$AA$113)&gt;=SchemeStart,IF($X107=0,$AD107,IF(AND($Z107&lt;&gt;"",EDATE($D107,Milestones!$AA$113)&gt;=$Z107),$AC107,IF(AND($Y107&lt;&gt;"",EDATE($D107,Milestones!$AA$113)&gt;=$Y107),$AB107,$AA107)))=Milestones!$AB$113),UPPER(TEXT(EDATE($D107,Milestones!$AA$113),"dd mmm yy"))&amp;" "&amp;Milestones!$AB$113&amp;" "&amp;IF(AND(Milestones!$AB$113="FT",Milestones!$AA$113=FT_Y5,EDATE($D107,Milestones!$AA$113)&lt;PolicyEff),1,Milestones!$AC$113)&amp;";  ","")&amp;IF(AND(EDATE($D107,Milestones!$AA$114)&lt;=AsOfDate,EDATE($D107,Milestones!$AA$114)&gt;=SchemeStart,IF($X107=0,$AD107,IF(AND($Z107&lt;&gt;"",EDATE($D107,Milestones!$AA$114)&gt;=$Z107),$AC107,IF(AND($Y107&lt;&gt;"",EDATE($D107,Milestones!$AA$114)&gt;=$Y107),$AB107,$AA107)))=Milestones!$AB$114),UPPER(TEXT(EDATE($D107,Milestones!$AA$114),"dd mmm yy"))&amp;" "&amp;Milestones!$AB$114&amp;" "&amp;IF(AND(Milestones!$AB$114="FT",Milestones!$AA$114=FT_Y5,EDATE($D107,Milestones!$AA$114)&lt;PolicyEff),1,Milestones!$AC$114)&amp;";  ","")&amp;IF(AND(EDATE($D107,Milestones!$AA$115)&lt;=AsOfDate,EDATE($D107,Milestones!$AA$115)&gt;=SchemeStart,IF($X107=0,$AD107,IF(AND($Z107&lt;&gt;"",EDATE($D107,Milestones!$AA$115)&gt;=$Z107),$AC107,IF(AND($Y107&lt;&gt;"",EDATE($D107,Milestones!$AA$115)&gt;=$Y107),$AB107,$AA107)))=Milestones!$AB$115),UPPER(TEXT(EDATE($D107,Milestones!$AA$115),"dd mmm yy"))&amp;" "&amp;Milestones!$AB$115&amp;" "&amp;IF(AND(Milestones!$AB$115="FT",Milestones!$AA$115=FT_Y5,EDATE($D107,Milestones!$AA$115)&lt;PolicyEff),1,Milestones!$AC$115)&amp;";  ",""))</f>
        <v/>
      </c>
      <c r="Q107" s="0" t="str">
        <f aca="false">IF(OR($A107="",$D107=""),"",IF(AND(EDATE($D107,Milestones!$AA$116)&lt;=AsOfDate,EDATE($D107,Milestones!$AA$116)&gt;=SchemeStart,IF($X107=0,$AD107,IF(AND($Z107&lt;&gt;"",EDATE($D107,Milestones!$AA$116)&gt;=$Z107),$AC107,IF(AND($Y107&lt;&gt;"",EDATE($D107,Milestones!$AA$116)&gt;=$Y107),$AB107,$AA107)))=Milestones!$AB$116),UPPER(TEXT(EDATE($D107,Milestones!$AA$116),"dd mmm yy"))&amp;" "&amp;Milestones!$AB$116&amp;" "&amp;IF(AND(Milestones!$AB$116="FT",Milestones!$AA$116=FT_Y5,EDATE($D107,Milestones!$AA$116)&lt;PolicyEff),1,Milestones!$AC$116)&amp;";  ","")&amp;IF(AND(EDATE($D107,Milestones!$AA$117)&lt;=AsOfDate,EDATE($D107,Milestones!$AA$117)&gt;=SchemeStart,IF($X107=0,$AD107,IF(AND($Z107&lt;&gt;"",EDATE($D107,Milestones!$AA$117)&gt;=$Z107),$AC107,IF(AND($Y107&lt;&gt;"",EDATE($D107,Milestones!$AA$117)&gt;=$Y107),$AB107,$AA107)))=Milestones!$AB$117),UPPER(TEXT(EDATE($D107,Milestones!$AA$117),"dd mmm yy"))&amp;" "&amp;Milestones!$AB$117&amp;" "&amp;IF(AND(Milestones!$AB$117="FT",Milestones!$AA$117=FT_Y5,EDATE($D107,Milestones!$AA$117)&lt;PolicyEff),1,Milestones!$AC$117)&amp;";  ","")&amp;IF(AND(EDATE($D107,Milestones!$AA$118)&lt;=AsOfDate,EDATE($D107,Milestones!$AA$118)&gt;=SchemeStart,IF($X107=0,$AD107,IF(AND($Z107&lt;&gt;"",EDATE($D107,Milestones!$AA$118)&gt;=$Z107),$AC107,IF(AND($Y107&lt;&gt;"",EDATE($D107,Milestones!$AA$118)&gt;=$Y107),$AB107,$AA107)))=Milestones!$AB$118),UPPER(TEXT(EDATE($D107,Milestones!$AA$118),"dd mmm yy"))&amp;" "&amp;Milestones!$AB$118&amp;" "&amp;IF(AND(Milestones!$AB$118="FT",Milestones!$AA$118=FT_Y5,EDATE($D107,Milestones!$AA$118)&lt;PolicyEff),1,Milestones!$AC$118)&amp;";  ","")&amp;IF(AND(EDATE($D107,Milestones!$AA$119)&lt;=AsOfDate,EDATE($D107,Milestones!$AA$119)&gt;=SchemeStart,IF($X107=0,$AD107,IF(AND($Z107&lt;&gt;"",EDATE($D107,Milestones!$AA$119)&gt;=$Z107),$AC107,IF(AND($Y107&lt;&gt;"",EDATE($D107,Milestones!$AA$119)&gt;=$Y107),$AB107,$AA107)))=Milestones!$AB$119),UPPER(TEXT(EDATE($D107,Milestones!$AA$119),"dd mmm yy"))&amp;" "&amp;Milestones!$AB$119&amp;" "&amp;IF(AND(Milestones!$AB$119="FT",Milestones!$AA$119=FT_Y5,EDATE($D107,Milestones!$AA$119)&lt;PolicyEff),1,Milestones!$AC$119)&amp;";  ","")&amp;IF(AND(EDATE($D107,Milestones!$AA$120)&lt;=AsOfDate,EDATE($D107,Milestones!$AA$120)&gt;=SchemeStart,IF($X107=0,$AD107,IF(AND($Z107&lt;&gt;"",EDATE($D107,Milestones!$AA$120)&gt;=$Z107),$AC107,IF(AND($Y107&lt;&gt;"",EDATE($D107,Milestones!$AA$120)&gt;=$Y107),$AB107,$AA107)))=Milestones!$AB$120),UPPER(TEXT(EDATE($D107,Milestones!$AA$120),"dd mmm yy"))&amp;" "&amp;Milestones!$AB$120&amp;" "&amp;IF(AND(Milestones!$AB$120="FT",Milestones!$AA$120=FT_Y5,EDATE($D107,Milestones!$AA$120)&lt;PolicyEff),1,Milestones!$AC$120)&amp;";  ","")&amp;IF(AND(EDATE($D107,Milestones!$AA$121)&lt;=AsOfDate,EDATE($D107,Milestones!$AA$121)&gt;=SchemeStart,IF($X107=0,$AD107,IF(AND($Z107&lt;&gt;"",EDATE($D107,Milestones!$AA$121)&gt;=$Z107),$AC107,IF(AND($Y107&lt;&gt;"",EDATE($D107,Milestones!$AA$121)&gt;=$Y107),$AB107,$AA107)))=Milestones!$AB$121),UPPER(TEXT(EDATE($D107,Milestones!$AA$121),"dd mmm yy"))&amp;" "&amp;Milestones!$AB$121&amp;" "&amp;IF(AND(Milestones!$AB$121="FT",Milestones!$AA$121=FT_Y5,EDATE($D107,Milestones!$AA$121)&lt;PolicyEff),1,Milestones!$AC$121)&amp;";  ","")&amp;IF(AND(EDATE($D107,Milestones!$AA$122)&lt;=AsOfDate,EDATE($D107,Milestones!$AA$122)&gt;=SchemeStart,IF($X107=0,$AD107,IF(AND($Z107&lt;&gt;"",EDATE($D107,Milestones!$AA$122)&gt;=$Z107),$AC107,IF(AND($Y107&lt;&gt;"",EDATE($D107,Milestones!$AA$122)&gt;=$Y107),$AB107,$AA107)))=Milestones!$AB$122),UPPER(TEXT(EDATE($D107,Milestones!$AA$122),"dd mmm yy"))&amp;" "&amp;Milestones!$AB$122&amp;" "&amp;IF(AND(Milestones!$AB$122="FT",Milestones!$AA$122=FT_Y5,EDATE($D107,Milestones!$AA$122)&lt;PolicyEff),1,Milestones!$AC$122)&amp;";  ","")&amp;IF(AND(EDATE($D107,Milestones!$AA$123)&lt;=AsOfDate,EDATE($D107,Milestones!$AA$123)&gt;=SchemeStart,IF($X107=0,$AD107,IF(AND($Z107&lt;&gt;"",EDATE($D107,Milestones!$AA$123)&gt;=$Z107),$AC107,IF(AND($Y107&lt;&gt;"",EDATE($D107,Milestones!$AA$123)&gt;=$Y107),$AB107,$AA107)))=Milestones!$AB$123),UPPER(TEXT(EDATE($D107,Milestones!$AA$123),"dd mmm yy"))&amp;" "&amp;Milestones!$AB$123&amp;" "&amp;IF(AND(Milestones!$AB$123="FT",Milestones!$AA$123=FT_Y5,EDATE($D107,Milestones!$AA$123)&lt;PolicyEff),1,Milestones!$AC$123)&amp;";  ","")&amp;IF(AND(EDATE($D107,Milestones!$AA$124)&lt;=AsOfDate,EDATE($D107,Milestones!$AA$124)&gt;=SchemeStart,IF($X107=0,$AD107,IF(AND($Z107&lt;&gt;"",EDATE($D107,Milestones!$AA$124)&gt;=$Z107),$AC107,IF(AND($Y107&lt;&gt;"",EDATE($D107,Milestones!$AA$124)&gt;=$Y107),$AB107,$AA107)))=Milestones!$AB$124),UPPER(TEXT(EDATE($D107,Milestones!$AA$124),"dd mmm yy"))&amp;" "&amp;Milestones!$AB$124&amp;" "&amp;IF(AND(Milestones!$AB$124="FT",Milestones!$AA$124=FT_Y5,EDATE($D107,Milestones!$AA$124)&lt;PolicyEff),1,Milestones!$AC$124)&amp;";  ","")&amp;IF(AND(EDATE($D107,Milestones!$AA$125)&lt;=AsOfDate,EDATE($D107,Milestones!$AA$125)&gt;=SchemeStart,IF($X107=0,$AD107,IF(AND($Z107&lt;&gt;"",EDATE($D107,Milestones!$AA$125)&gt;=$Z107),$AC107,IF(AND($Y107&lt;&gt;"",EDATE($D107,Milestones!$AA$125)&gt;=$Y107),$AB107,$AA107)))=Milestones!$AB$125),UPPER(TEXT(EDATE($D107,Milestones!$AA$125),"dd mmm yy"))&amp;" "&amp;Milestones!$AB$125&amp;" "&amp;IF(AND(Milestones!$AB$125="FT",Milestones!$AA$125=FT_Y5,EDATE($D107,Milestones!$AA$125)&lt;PolicyEff),1,Milestones!$AC$125)&amp;";  ","")&amp;IF(AND(EDATE($D107,Milestones!$AA$126)&lt;=AsOfDate,EDATE($D107,Milestones!$AA$126)&gt;=SchemeStart,IF($X107=0,$AD107,IF(AND($Z107&lt;&gt;"",EDATE($D107,Milestones!$AA$126)&gt;=$Z107),$AC107,IF(AND($Y107&lt;&gt;"",EDATE($D107,Milestones!$AA$126)&gt;=$Y107),$AB107,$AA107)))=Milestones!$AB$126),UPPER(TEXT(EDATE($D107,Milestones!$AA$126),"dd mmm yy"))&amp;" "&amp;Milestones!$AB$126&amp;" "&amp;IF(AND(Milestones!$AB$126="FT",Milestones!$AA$126=FT_Y5,EDATE($D107,Milestones!$AA$126)&lt;PolicyEff),1,Milestones!$AC$126)&amp;";  ","")&amp;IF(AND(EDATE($D107,Milestones!$AA$127)&lt;=AsOfDate,EDATE($D107,Milestones!$AA$127)&gt;=SchemeStart,IF($X107=0,$AD107,IF(AND($Z107&lt;&gt;"",EDATE($D107,Milestones!$AA$127)&gt;=$Z107),$AC107,IF(AND($Y107&lt;&gt;"",EDATE($D107,Milestones!$AA$127)&gt;=$Y107),$AB107,$AA107)))=Milestones!$AB$127),UPPER(TEXT(EDATE($D107,Milestones!$AA$127),"dd mmm yy"))&amp;" "&amp;Milestones!$AB$127&amp;" "&amp;IF(AND(Milestones!$AB$127="FT",Milestones!$AA$127=FT_Y5,EDATE($D107,Milestones!$AA$127)&lt;PolicyEff),1,Milestones!$AC$127)&amp;";  ",""))</f>
        <v/>
      </c>
      <c r="R107" s="0" t="str">
        <f aca="false">IF(OR($A107="",$D107=""),"",IF(AND(EDATE($D107,Milestones!$AA$128)&lt;=AsOfDate,EDATE($D107,Milestones!$AA$128)&gt;=SchemeStart,IF($X107=0,$AD107,IF(AND($Z107&lt;&gt;"",EDATE($D107,Milestones!$AA$128)&gt;=$Z107),$AC107,IF(AND($Y107&lt;&gt;"",EDATE($D107,Milestones!$AA$128)&gt;=$Y107),$AB107,$AA107)))=Milestones!$AB$128),UPPER(TEXT(EDATE($D107,Milestones!$AA$128),"dd mmm yy"))&amp;" "&amp;Milestones!$AB$128&amp;" "&amp;IF(AND(Milestones!$AB$128="FT",Milestones!$AA$128=FT_Y5,EDATE($D107,Milestones!$AA$128)&lt;PolicyEff),1,Milestones!$AC$128)&amp;";  ","")&amp;IF(AND(EDATE($D107,Milestones!$AA$129)&lt;=AsOfDate,EDATE($D107,Milestones!$AA$129)&gt;=SchemeStart,IF($X107=0,$AD107,IF(AND($Z107&lt;&gt;"",EDATE($D107,Milestones!$AA$129)&gt;=$Z107),$AC107,IF(AND($Y107&lt;&gt;"",EDATE($D107,Milestones!$AA$129)&gt;=$Y107),$AB107,$AA107)))=Milestones!$AB$129),UPPER(TEXT(EDATE($D107,Milestones!$AA$129),"dd mmm yy"))&amp;" "&amp;Milestones!$AB$129&amp;" "&amp;IF(AND(Milestones!$AB$129="FT",Milestones!$AA$129=FT_Y5,EDATE($D107,Milestones!$AA$129)&lt;PolicyEff),1,Milestones!$AC$129)&amp;";  ","")&amp;IF(AND(EDATE($D107,Milestones!$AA$130)&lt;=AsOfDate,EDATE($D107,Milestones!$AA$130)&gt;=SchemeStart,IF($X107=0,$AD107,IF(AND($Z107&lt;&gt;"",EDATE($D107,Milestones!$AA$130)&gt;=$Z107),$AC107,IF(AND($Y107&lt;&gt;"",EDATE($D107,Milestones!$AA$130)&gt;=$Y107),$AB107,$AA107)))=Milestones!$AB$130),UPPER(TEXT(EDATE($D107,Milestones!$AA$130),"dd mmm yy"))&amp;" "&amp;Milestones!$AB$130&amp;" "&amp;IF(AND(Milestones!$AB$130="FT",Milestones!$AA$130=FT_Y5,EDATE($D107,Milestones!$AA$130)&lt;PolicyEff),1,Milestones!$AC$130)&amp;";  ","")&amp;IF(AND(EDATE($D107,Milestones!$AA$131)&lt;=AsOfDate,EDATE($D107,Milestones!$AA$131)&gt;=SchemeStart,IF($X107=0,$AD107,IF(AND($Z107&lt;&gt;"",EDATE($D107,Milestones!$AA$131)&gt;=$Z107),$AC107,IF(AND($Y107&lt;&gt;"",EDATE($D107,Milestones!$AA$131)&gt;=$Y107),$AB107,$AA107)))=Milestones!$AB$131),UPPER(TEXT(EDATE($D107,Milestones!$AA$131),"dd mmm yy"))&amp;" "&amp;Milestones!$AB$131&amp;" "&amp;IF(AND(Milestones!$AB$131="FT",Milestones!$AA$131=FT_Y5,EDATE($D107,Milestones!$AA$131)&lt;PolicyEff),1,Milestones!$AC$131)&amp;";  ","")&amp;IF(AND(EDATE($D107,Milestones!$AA$132)&lt;=AsOfDate,EDATE($D107,Milestones!$AA$132)&gt;=SchemeStart,IF($X107=0,$AD107,IF(AND($Z107&lt;&gt;"",EDATE($D107,Milestones!$AA$132)&gt;=$Z107),$AC107,IF(AND($Y107&lt;&gt;"",EDATE($D107,Milestones!$AA$132)&gt;=$Y107),$AB107,$AA107)))=Milestones!$AB$132),UPPER(TEXT(EDATE($D107,Milestones!$AA$132),"dd mmm yy"))&amp;" "&amp;Milestones!$AB$132&amp;" "&amp;IF(AND(Milestones!$AB$132="FT",Milestones!$AA$132=FT_Y5,EDATE($D107,Milestones!$AA$132)&lt;PolicyEff),1,Milestones!$AC$132)&amp;";  ","")&amp;IF(AND(EDATE($D107,Milestones!$AA$133)&lt;=AsOfDate,EDATE($D107,Milestones!$AA$133)&gt;=SchemeStart,IF($X107=0,$AD107,IF(AND($Z107&lt;&gt;"",EDATE($D107,Milestones!$AA$133)&gt;=$Z107),$AC107,IF(AND($Y107&lt;&gt;"",EDATE($D107,Milestones!$AA$133)&gt;=$Y107),$AB107,$AA107)))=Milestones!$AB$133),UPPER(TEXT(EDATE($D107,Milestones!$AA$133),"dd mmm yy"))&amp;" "&amp;Milestones!$AB$133&amp;" "&amp;IF(AND(Milestones!$AB$133="FT",Milestones!$AA$133=FT_Y5,EDATE($D107,Milestones!$AA$133)&lt;PolicyEff),1,Milestones!$AC$133)&amp;";  ","")&amp;IF(AND(EDATE($D107,Milestones!$AA$134)&lt;=AsOfDate,EDATE($D107,Milestones!$AA$134)&gt;=SchemeStart,IF($X107=0,$AD107,IF(AND($Z107&lt;&gt;"",EDATE($D107,Milestones!$AA$134)&gt;=$Z107),$AC107,IF(AND($Y107&lt;&gt;"",EDATE($D107,Milestones!$AA$134)&gt;=$Y107),$AB107,$AA107)))=Milestones!$AB$134),UPPER(TEXT(EDATE($D107,Milestones!$AA$134),"dd mmm yy"))&amp;" "&amp;Milestones!$AB$134&amp;" "&amp;IF(AND(Milestones!$AB$134="FT",Milestones!$AA$134=FT_Y5,EDATE($D107,Milestones!$AA$134)&lt;PolicyEff),1,Milestones!$AC$134)&amp;";  ","")&amp;IF(AND(EDATE($D107,Milestones!$AA$135)&lt;=AsOfDate,EDATE($D107,Milestones!$AA$135)&gt;=SchemeStart,IF($X107=0,$AD107,IF(AND($Z107&lt;&gt;"",EDATE($D107,Milestones!$AA$135)&gt;=$Z107),$AC107,IF(AND($Y107&lt;&gt;"",EDATE($D107,Milestones!$AA$135)&gt;=$Y107),$AB107,$AA107)))=Milestones!$AB$135),UPPER(TEXT(EDATE($D107,Milestones!$AA$135),"dd mmm yy"))&amp;" "&amp;Milestones!$AB$135&amp;" "&amp;IF(AND(Milestones!$AB$135="FT",Milestones!$AA$135=FT_Y5,EDATE($D107,Milestones!$AA$135)&lt;PolicyEff),1,Milestones!$AC$135)&amp;";  ","")&amp;IF(AND(EDATE($D107,Milestones!$AA$136)&lt;=AsOfDate,EDATE($D107,Milestones!$AA$136)&gt;=SchemeStart,IF($X107=0,$AD107,IF(AND($Z107&lt;&gt;"",EDATE($D107,Milestones!$AA$136)&gt;=$Z107),$AC107,IF(AND($Y107&lt;&gt;"",EDATE($D107,Milestones!$AA$136)&gt;=$Y107),$AB107,$AA107)))=Milestones!$AB$136),UPPER(TEXT(EDATE($D107,Milestones!$AA$136),"dd mmm yy"))&amp;" "&amp;Milestones!$AB$136&amp;" "&amp;IF(AND(Milestones!$AB$136="FT",Milestones!$AA$136=FT_Y5,EDATE($D107,Milestones!$AA$136)&lt;PolicyEff),1,Milestones!$AC$136)&amp;";  ","")&amp;IF(AND(EDATE($D107,Milestones!$AA$137)&lt;=AsOfDate,EDATE($D107,Milestones!$AA$137)&gt;=SchemeStart,IF($X107=0,$AD107,IF(AND($Z107&lt;&gt;"",EDATE($D107,Milestones!$AA$137)&gt;=$Z107),$AC107,IF(AND($Y107&lt;&gt;"",EDATE($D107,Milestones!$AA$137)&gt;=$Y107),$AB107,$AA107)))=Milestones!$AB$137),UPPER(TEXT(EDATE($D107,Milestones!$AA$137),"dd mmm yy"))&amp;" "&amp;Milestones!$AB$137&amp;" "&amp;IF(AND(Milestones!$AB$137="FT",Milestones!$AA$137=FT_Y5,EDATE($D107,Milestones!$AA$137)&lt;PolicyEff),1,Milestones!$AC$137)&amp;";  ","")&amp;IF(AND(EDATE($D107,Milestones!$AA$138)&lt;=AsOfDate,EDATE($D107,Milestones!$AA$138)&gt;=SchemeStart,IF($X107=0,$AD107,IF(AND($Z107&lt;&gt;"",EDATE($D107,Milestones!$AA$138)&gt;=$Z107),$AC107,IF(AND($Y107&lt;&gt;"",EDATE($D107,Milestones!$AA$138)&gt;=$Y107),$AB107,$AA107)))=Milestones!$AB$138),UPPER(TEXT(EDATE($D107,Milestones!$AA$138),"dd mmm yy"))&amp;" "&amp;Milestones!$AB$138&amp;" "&amp;IF(AND(Milestones!$AB$138="FT",Milestones!$AA$138=FT_Y5,EDATE($D107,Milestones!$AA$138)&lt;PolicyEff),1,Milestones!$AC$138)&amp;";  ","")&amp;IF(AND(EDATE($D107,Milestones!$AA$139)&lt;=AsOfDate,EDATE($D107,Milestones!$AA$139)&gt;=SchemeStart,IF($X107=0,$AD107,IF(AND($Z107&lt;&gt;"",EDATE($D107,Milestones!$AA$139)&gt;=$Z107),$AC107,IF(AND($Y107&lt;&gt;"",EDATE($D107,Milestones!$AA$139)&gt;=$Y107),$AB107,$AA107)))=Milestones!$AB$139),UPPER(TEXT(EDATE($D107,Milestones!$AA$139),"dd mmm yy"))&amp;" "&amp;Milestones!$AB$139&amp;" "&amp;IF(AND(Milestones!$AB$139="FT",Milestones!$AA$139=FT_Y5,EDATE($D107,Milestones!$AA$139)&lt;PolicyEff),1,Milestones!$AC$139)&amp;";  ",""))</f>
        <v/>
      </c>
      <c r="S107" s="0" t="str">
        <f aca="false">IF(OR($A107="",$D107=""),"",IF(AND(EDATE($D107,Milestones!$AA$140)&lt;=AsOfDate,EDATE($D107,Milestones!$AA$140)&gt;=SchemeStart,IF($X107=0,$AD107,IF(AND($Z107&lt;&gt;"",EDATE($D107,Milestones!$AA$140)&gt;=$Z107),$AC107,IF(AND($Y107&lt;&gt;"",EDATE($D107,Milestones!$AA$140)&gt;=$Y107),$AB107,$AA107)))=Milestones!$AB$140),UPPER(TEXT(EDATE($D107,Milestones!$AA$140),"dd mmm yy"))&amp;" "&amp;Milestones!$AB$140&amp;" "&amp;IF(AND(Milestones!$AB$140="FT",Milestones!$AA$140=FT_Y5,EDATE($D107,Milestones!$AA$140)&lt;PolicyEff),1,Milestones!$AC$140)&amp;";  ","")&amp;IF(AND(EDATE($D107,Milestones!$AA$141)&lt;=AsOfDate,EDATE($D107,Milestones!$AA$141)&gt;=SchemeStart,IF($X107=0,$AD107,IF(AND($Z107&lt;&gt;"",EDATE($D107,Milestones!$AA$141)&gt;=$Z107),$AC107,IF(AND($Y107&lt;&gt;"",EDATE($D107,Milestones!$AA$141)&gt;=$Y107),$AB107,$AA107)))=Milestones!$AB$141),UPPER(TEXT(EDATE($D107,Milestones!$AA$141),"dd mmm yy"))&amp;" "&amp;Milestones!$AB$141&amp;" "&amp;IF(AND(Milestones!$AB$141="FT",Milestones!$AA$141=FT_Y5,EDATE($D107,Milestones!$AA$141)&lt;PolicyEff),1,Milestones!$AC$141)&amp;";  ","")&amp;IF(AND(EDATE($D107,Milestones!$AA$142)&lt;=AsOfDate,EDATE($D107,Milestones!$AA$142)&gt;=SchemeStart,IF($X107=0,$AD107,IF(AND($Z107&lt;&gt;"",EDATE($D107,Milestones!$AA$142)&gt;=$Z107),$AC107,IF(AND($Y107&lt;&gt;"",EDATE($D107,Milestones!$AA$142)&gt;=$Y107),$AB107,$AA107)))=Milestones!$AB$142),UPPER(TEXT(EDATE($D107,Milestones!$AA$142),"dd mmm yy"))&amp;" "&amp;Milestones!$AB$142&amp;" "&amp;IF(AND(Milestones!$AB$142="FT",Milestones!$AA$142=FT_Y5,EDATE($D107,Milestones!$AA$142)&lt;PolicyEff),1,Milestones!$AC$142)&amp;";  ","")&amp;IF(AND(EDATE($D107,Milestones!$AA$143)&lt;=AsOfDate,EDATE($D107,Milestones!$AA$143)&gt;=SchemeStart,IF($X107=0,$AD107,IF(AND($Z107&lt;&gt;"",EDATE($D107,Milestones!$AA$143)&gt;=$Z107),$AC107,IF(AND($Y107&lt;&gt;"",EDATE($D107,Milestones!$AA$143)&gt;=$Y107),$AB107,$AA107)))=Milestones!$AB$143),UPPER(TEXT(EDATE($D107,Milestones!$AA$143),"dd mmm yy"))&amp;" "&amp;Milestones!$AB$143&amp;" "&amp;IF(AND(Milestones!$AB$143="FT",Milestones!$AA$143=FT_Y5,EDATE($D107,Milestones!$AA$143)&lt;PolicyEff),1,Milestones!$AC$143)&amp;";  ","")&amp;IF(AND(EDATE($D107,Milestones!$AA$144)&lt;=AsOfDate,EDATE($D107,Milestones!$AA$144)&gt;=SchemeStart,IF($X107=0,$AD107,IF(AND($Z107&lt;&gt;"",EDATE($D107,Milestones!$AA$144)&gt;=$Z107),$AC107,IF(AND($Y107&lt;&gt;"",EDATE($D107,Milestones!$AA$144)&gt;=$Y107),$AB107,$AA107)))=Milestones!$AB$144),UPPER(TEXT(EDATE($D107,Milestones!$AA$144),"dd mmm yy"))&amp;" "&amp;Milestones!$AB$144&amp;" "&amp;IF(AND(Milestones!$AB$144="FT",Milestones!$AA$144=FT_Y5,EDATE($D107,Milestones!$AA$144)&lt;PolicyEff),1,Milestones!$AC$144)&amp;";  ","")&amp;IF(AND(EDATE($D107,Milestones!$AA$145)&lt;=AsOfDate,EDATE($D107,Milestones!$AA$145)&gt;=SchemeStart,IF($X107=0,$AD107,IF(AND($Z107&lt;&gt;"",EDATE($D107,Milestones!$AA$145)&gt;=$Z107),$AC107,IF(AND($Y107&lt;&gt;"",EDATE($D107,Milestones!$AA$145)&gt;=$Y107),$AB107,$AA107)))=Milestones!$AB$145),UPPER(TEXT(EDATE($D107,Milestones!$AA$145),"dd mmm yy"))&amp;" "&amp;Milestones!$AB$145&amp;" "&amp;IF(AND(Milestones!$AB$145="FT",Milestones!$AA$145=FT_Y5,EDATE($D107,Milestones!$AA$145)&lt;PolicyEff),1,Milestones!$AC$145)&amp;";  ","")&amp;IF(AND(EDATE($D107,Milestones!$AA$146)&lt;=AsOfDate,EDATE($D107,Milestones!$AA$146)&gt;=SchemeStart,IF($X107=0,$AD107,IF(AND($Z107&lt;&gt;"",EDATE($D107,Milestones!$AA$146)&gt;=$Z107),$AC107,IF(AND($Y107&lt;&gt;"",EDATE($D107,Milestones!$AA$146)&gt;=$Y107),$AB107,$AA107)))=Milestones!$AB$146),UPPER(TEXT(EDATE($D107,Milestones!$AA$146),"dd mmm yy"))&amp;" "&amp;Milestones!$AB$146&amp;" "&amp;IF(AND(Milestones!$AB$146="FT",Milestones!$AA$146=FT_Y5,EDATE($D107,Milestones!$AA$146)&lt;PolicyEff),1,Milestones!$AC$146)&amp;";  ","")&amp;IF(AND(EDATE($D107,Milestones!$AA$147)&lt;=AsOfDate,EDATE($D107,Milestones!$AA$147)&gt;=SchemeStart,IF($X107=0,$AD107,IF(AND($Z107&lt;&gt;"",EDATE($D107,Milestones!$AA$147)&gt;=$Z107),$AC107,IF(AND($Y107&lt;&gt;"",EDATE($D107,Milestones!$AA$147)&gt;=$Y107),$AB107,$AA107)))=Milestones!$AB$147),UPPER(TEXT(EDATE($D107,Milestones!$AA$147),"dd mmm yy"))&amp;" "&amp;Milestones!$AB$147&amp;" "&amp;IF(AND(Milestones!$AB$147="FT",Milestones!$AA$147=FT_Y5,EDATE($D107,Milestones!$AA$147)&lt;PolicyEff),1,Milestones!$AC$147)&amp;";  ","")&amp;IF(AND(EDATE($D107,Milestones!$AA$148)&lt;=AsOfDate,EDATE($D107,Milestones!$AA$148)&gt;=SchemeStart,IF($X107=0,$AD107,IF(AND($Z107&lt;&gt;"",EDATE($D107,Milestones!$AA$148)&gt;=$Z107),$AC107,IF(AND($Y107&lt;&gt;"",EDATE($D107,Milestones!$AA$148)&gt;=$Y107),$AB107,$AA107)))=Milestones!$AB$148),UPPER(TEXT(EDATE($D107,Milestones!$AA$148),"dd mmm yy"))&amp;" "&amp;Milestones!$AB$148&amp;" "&amp;IF(AND(Milestones!$AB$148="FT",Milestones!$AA$148=FT_Y5,EDATE($D107,Milestones!$AA$148)&lt;PolicyEff),1,Milestones!$AC$148)&amp;";  ","")&amp;IF(AND(EDATE($D107,Milestones!$AA$149)&lt;=AsOfDate,EDATE($D107,Milestones!$AA$149)&gt;=SchemeStart,IF($X107=0,$AD107,IF(AND($Z107&lt;&gt;"",EDATE($D107,Milestones!$AA$149)&gt;=$Z107),$AC107,IF(AND($Y107&lt;&gt;"",EDATE($D107,Milestones!$AA$149)&gt;=$Y107),$AB107,$AA107)))=Milestones!$AB$149),UPPER(TEXT(EDATE($D107,Milestones!$AA$149),"dd mmm yy"))&amp;" "&amp;Milestones!$AB$149&amp;" "&amp;IF(AND(Milestones!$AB$149="FT",Milestones!$AA$149=FT_Y5,EDATE($D107,Milestones!$AA$149)&lt;PolicyEff),1,Milestones!$AC$149)&amp;";  ","")&amp;IF(AND(EDATE($D107,Milestones!$AA$150)&lt;=AsOfDate,EDATE($D107,Milestones!$AA$150)&gt;=SchemeStart,IF($X107=0,$AD107,IF(AND($Z107&lt;&gt;"",EDATE($D107,Milestones!$AA$150)&gt;=$Z107),$AC107,IF(AND($Y107&lt;&gt;"",EDATE($D107,Milestones!$AA$150)&gt;=$Y107),$AB107,$AA107)))=Milestones!$AB$150),UPPER(TEXT(EDATE($D107,Milestones!$AA$150),"dd mmm yy"))&amp;" "&amp;Milestones!$AB$150&amp;" "&amp;IF(AND(Milestones!$AB$150="FT",Milestones!$AA$150=FT_Y5,EDATE($D107,Milestones!$AA$150)&lt;PolicyEff),1,Milestones!$AC$150)&amp;";  ","")&amp;IF(AND(EDATE($D107,Milestones!$AA$151)&lt;=AsOfDate,EDATE($D107,Milestones!$AA$151)&gt;=SchemeStart,IF($X107=0,$AD107,IF(AND($Z107&lt;&gt;"",EDATE($D107,Milestones!$AA$151)&gt;=$Z107),$AC107,IF(AND($Y107&lt;&gt;"",EDATE($D107,Milestones!$AA$151)&gt;=$Y107),$AB107,$AA107)))=Milestones!$AB$151),UPPER(TEXT(EDATE($D107,Milestones!$AA$151),"dd mmm yy"))&amp;" "&amp;Milestones!$AB$151&amp;" "&amp;IF(AND(Milestones!$AB$151="FT",Milestones!$AA$151=FT_Y5,EDATE($D107,Milestones!$AA$151)&lt;PolicyEff),1,Milestones!$AC$151)&amp;";  ",""))</f>
        <v/>
      </c>
      <c r="T107" s="0" t="str">
        <f aca="false">IF(OR($A107="",$D107=""),"",IF(AND(EDATE($D107,Milestones!$AA$152)&lt;=AsOfDate,EDATE($D107,Milestones!$AA$152)&gt;=SchemeStart,IF($X107=0,$AD107,IF(AND($Z107&lt;&gt;"",EDATE($D107,Milestones!$AA$152)&gt;=$Z107),$AC107,IF(AND($Y107&lt;&gt;"",EDATE($D107,Milestones!$AA$152)&gt;=$Y107),$AB107,$AA107)))=Milestones!$AB$152),UPPER(TEXT(EDATE($D107,Milestones!$AA$152),"dd mmm yy"))&amp;" "&amp;Milestones!$AB$152&amp;" "&amp;IF(AND(Milestones!$AB$152="FT",Milestones!$AA$152=FT_Y5,EDATE($D107,Milestones!$AA$152)&lt;PolicyEff),1,Milestones!$AC$152)&amp;";  ","")&amp;IF(AND(EDATE($D107,Milestones!$AA$153)&lt;=AsOfDate,EDATE($D107,Milestones!$AA$153)&gt;=SchemeStart,IF($X107=0,$AD107,IF(AND($Z107&lt;&gt;"",EDATE($D107,Milestones!$AA$153)&gt;=$Z107),$AC107,IF(AND($Y107&lt;&gt;"",EDATE($D107,Milestones!$AA$153)&gt;=$Y107),$AB107,$AA107)))=Milestones!$AB$153),UPPER(TEXT(EDATE($D107,Milestones!$AA$153),"dd mmm yy"))&amp;" "&amp;Milestones!$AB$153&amp;" "&amp;IF(AND(Milestones!$AB$153="FT",Milestones!$AA$153=FT_Y5,EDATE($D107,Milestones!$AA$153)&lt;PolicyEff),1,Milestones!$AC$153)&amp;";  ","")&amp;IF(AND(EDATE($D107,Milestones!$AA$154)&lt;=AsOfDate,EDATE($D107,Milestones!$AA$154)&gt;=SchemeStart,IF($X107=0,$AD107,IF(AND($Z107&lt;&gt;"",EDATE($D107,Milestones!$AA$154)&gt;=$Z107),$AC107,IF(AND($Y107&lt;&gt;"",EDATE($D107,Milestones!$AA$154)&gt;=$Y107),$AB107,$AA107)))=Milestones!$AB$154),UPPER(TEXT(EDATE($D107,Milestones!$AA$154),"dd mmm yy"))&amp;" "&amp;Milestones!$AB$154&amp;" "&amp;IF(AND(Milestones!$AB$154="FT",Milestones!$AA$154=FT_Y5,EDATE($D107,Milestones!$AA$154)&lt;PolicyEff),1,Milestones!$AC$154)&amp;";  ","")&amp;IF(AND(EDATE($D107,Milestones!$AA$155)&lt;=AsOfDate,EDATE($D107,Milestones!$AA$155)&gt;=SchemeStart,IF($X107=0,$AD107,IF(AND($Z107&lt;&gt;"",EDATE($D107,Milestones!$AA$155)&gt;=$Z107),$AC107,IF(AND($Y107&lt;&gt;"",EDATE($D107,Milestones!$AA$155)&gt;=$Y107),$AB107,$AA107)))=Milestones!$AB$155),UPPER(TEXT(EDATE($D107,Milestones!$AA$155),"dd mmm yy"))&amp;" "&amp;Milestones!$AB$155&amp;" "&amp;IF(AND(Milestones!$AB$155="FT",Milestones!$AA$155=FT_Y5,EDATE($D107,Milestones!$AA$155)&lt;PolicyEff),1,Milestones!$AC$155)&amp;";  ","")&amp;IF(AND(EDATE($D107,Milestones!$AA$156)&lt;=AsOfDate,EDATE($D107,Milestones!$AA$156)&gt;=SchemeStart,IF($X107=0,$AD107,IF(AND($Z107&lt;&gt;"",EDATE($D107,Milestones!$AA$156)&gt;=$Z107),$AC107,IF(AND($Y107&lt;&gt;"",EDATE($D107,Milestones!$AA$156)&gt;=$Y107),$AB107,$AA107)))=Milestones!$AB$156),UPPER(TEXT(EDATE($D107,Milestones!$AA$156),"dd mmm yy"))&amp;" "&amp;Milestones!$AB$156&amp;" "&amp;IF(AND(Milestones!$AB$156="FT",Milestones!$AA$156=FT_Y5,EDATE($D107,Milestones!$AA$156)&lt;PolicyEff),1,Milestones!$AC$156)&amp;";  ","")&amp;IF(AND(EDATE($D107,Milestones!$AA$157)&lt;=AsOfDate,EDATE($D107,Milestones!$AA$157)&gt;=SchemeStart,IF($X107=0,$AD107,IF(AND($Z107&lt;&gt;"",EDATE($D107,Milestones!$AA$157)&gt;=$Z107),$AC107,IF(AND($Y107&lt;&gt;"",EDATE($D107,Milestones!$AA$157)&gt;=$Y107),$AB107,$AA107)))=Milestones!$AB$157),UPPER(TEXT(EDATE($D107,Milestones!$AA$157),"dd mmm yy"))&amp;" "&amp;Milestones!$AB$157&amp;" "&amp;IF(AND(Milestones!$AB$157="FT",Milestones!$AA$157=FT_Y5,EDATE($D107,Milestones!$AA$157)&lt;PolicyEff),1,Milestones!$AC$157)&amp;";  ","")&amp;IF(AND(EDATE($D107,Milestones!$AA$158)&lt;=AsOfDate,EDATE($D107,Milestones!$AA$158)&gt;=SchemeStart,IF($X107=0,$AD107,IF(AND($Z107&lt;&gt;"",EDATE($D107,Milestones!$AA$158)&gt;=$Z107),$AC107,IF(AND($Y107&lt;&gt;"",EDATE($D107,Milestones!$AA$158)&gt;=$Y107),$AB107,$AA107)))=Milestones!$AB$158),UPPER(TEXT(EDATE($D107,Milestones!$AA$158),"dd mmm yy"))&amp;" "&amp;Milestones!$AB$158&amp;" "&amp;IF(AND(Milestones!$AB$158="FT",Milestones!$AA$158=FT_Y5,EDATE($D107,Milestones!$AA$158)&lt;PolicyEff),1,Milestones!$AC$158)&amp;";  ","")&amp;IF(AND(EDATE($D107,Milestones!$AA$159)&lt;=AsOfDate,EDATE($D107,Milestones!$AA$159)&gt;=SchemeStart,IF($X107=0,$AD107,IF(AND($Z107&lt;&gt;"",EDATE($D107,Milestones!$AA$159)&gt;=$Z107),$AC107,IF(AND($Y107&lt;&gt;"",EDATE($D107,Milestones!$AA$159)&gt;=$Y107),$AB107,$AA107)))=Milestones!$AB$159),UPPER(TEXT(EDATE($D107,Milestones!$AA$159),"dd mmm yy"))&amp;" "&amp;Milestones!$AB$159&amp;" "&amp;IF(AND(Milestones!$AB$159="FT",Milestones!$AA$159=FT_Y5,EDATE($D107,Milestones!$AA$159)&lt;PolicyEff),1,Milestones!$AC$159)&amp;";  ","")&amp;IF(AND(EDATE($D107,Milestones!$AA$160)&lt;=AsOfDate,EDATE($D107,Milestones!$AA$160)&gt;=SchemeStart,IF($X107=0,$AD107,IF(AND($Z107&lt;&gt;"",EDATE($D107,Milestones!$AA$160)&gt;=$Z107),$AC107,IF(AND($Y107&lt;&gt;"",EDATE($D107,Milestones!$AA$160)&gt;=$Y107),$AB107,$AA107)))=Milestones!$AB$160),UPPER(TEXT(EDATE($D107,Milestones!$AA$160),"dd mmm yy"))&amp;" "&amp;Milestones!$AB$160&amp;" "&amp;IF(AND(Milestones!$AB$160="FT",Milestones!$AA$160=FT_Y5,EDATE($D107,Milestones!$AA$160)&lt;PolicyEff),1,Milestones!$AC$160)&amp;";  ","")&amp;IF(AND(EDATE($D107,Milestones!$AA$161)&lt;=AsOfDate,EDATE($D107,Milestones!$AA$161)&gt;=SchemeStart,IF($X107=0,$AD107,IF(AND($Z107&lt;&gt;"",EDATE($D107,Milestones!$AA$161)&gt;=$Z107),$AC107,IF(AND($Y107&lt;&gt;"",EDATE($D107,Milestones!$AA$161)&gt;=$Y107),$AB107,$AA107)))=Milestones!$AB$161),UPPER(TEXT(EDATE($D107,Milestones!$AA$161),"dd mmm yy"))&amp;" "&amp;Milestones!$AB$161&amp;" "&amp;IF(AND(Milestones!$AB$161="FT",Milestones!$AA$161=FT_Y5,EDATE($D107,Milestones!$AA$161)&lt;PolicyEff),1,Milestones!$AC$161)&amp;";  ","")&amp;IF(AND(EDATE($D107,Milestones!$AA$162)&lt;=AsOfDate,EDATE($D107,Milestones!$AA$162)&gt;=SchemeStart,IF($X107=0,$AD107,IF(AND($Z107&lt;&gt;"",EDATE($D107,Milestones!$AA$162)&gt;=$Z107),$AC107,IF(AND($Y107&lt;&gt;"",EDATE($D107,Milestones!$AA$162)&gt;=$Y107),$AB107,$AA107)))=Milestones!$AB$162),UPPER(TEXT(EDATE($D107,Milestones!$AA$162),"dd mmm yy"))&amp;" "&amp;Milestones!$AB$162&amp;" "&amp;IF(AND(Milestones!$AB$162="FT",Milestones!$AA$162=FT_Y5,EDATE($D107,Milestones!$AA$162)&lt;PolicyEff),1,Milestones!$AC$162)&amp;";  ","")&amp;IF(AND(EDATE($D107,Milestones!$AA$163)&lt;=AsOfDate,EDATE($D107,Milestones!$AA$163)&gt;=SchemeStart,IF($X107=0,$AD107,IF(AND($Z107&lt;&gt;"",EDATE($D107,Milestones!$AA$163)&gt;=$Z107),$AC107,IF(AND($Y107&lt;&gt;"",EDATE($D107,Milestones!$AA$163)&gt;=$Y107),$AB107,$AA107)))=Milestones!$AB$163),UPPER(TEXT(EDATE($D107,Milestones!$AA$163),"dd mmm yy"))&amp;" "&amp;Milestones!$AB$163&amp;" "&amp;IF(AND(Milestones!$AB$163="FT",Milestones!$AA$163=FT_Y5,EDATE($D107,Milestones!$AA$163)&lt;PolicyEff),1,Milestones!$AC$163)&amp;";  ",""))</f>
        <v/>
      </c>
      <c r="U107" s="0" t="str">
        <f aca="false">IF(OR($A107="",$D107=""),"",IF(AND(EDATE($D107,Milestones!$AA$164)&lt;=AsOfDate,EDATE($D107,Milestones!$AA$164)&gt;=SchemeStart,IF($X107=0,$AD107,IF(AND($Z107&lt;&gt;"",EDATE($D107,Milestones!$AA$164)&gt;=$Z107),$AC107,IF(AND($Y107&lt;&gt;"",EDATE($D107,Milestones!$AA$164)&gt;=$Y107),$AB107,$AA107)))=Milestones!$AB$164),UPPER(TEXT(EDATE($D107,Milestones!$AA$164),"dd mmm yy"))&amp;" "&amp;Milestones!$AB$164&amp;" "&amp;IF(AND(Milestones!$AB$164="FT",Milestones!$AA$164=FT_Y5,EDATE($D107,Milestones!$AA$164)&lt;PolicyEff),1,Milestones!$AC$164)&amp;";  ","")&amp;IF(AND(EDATE($D107,Milestones!$AA$165)&lt;=AsOfDate,EDATE($D107,Milestones!$AA$165)&gt;=SchemeStart,IF($X107=0,$AD107,IF(AND($Z107&lt;&gt;"",EDATE($D107,Milestones!$AA$165)&gt;=$Z107),$AC107,IF(AND($Y107&lt;&gt;"",EDATE($D107,Milestones!$AA$165)&gt;=$Y107),$AB107,$AA107)))=Milestones!$AB$165),UPPER(TEXT(EDATE($D107,Milestones!$AA$165),"dd mmm yy"))&amp;" "&amp;Milestones!$AB$165&amp;" "&amp;IF(AND(Milestones!$AB$165="FT",Milestones!$AA$165=FT_Y5,EDATE($D107,Milestones!$AA$165)&lt;PolicyEff),1,Milestones!$AC$165)&amp;";  ","")&amp;IF(AND(EDATE($D107,Milestones!$AA$166)&lt;=AsOfDate,EDATE($D107,Milestones!$AA$166)&gt;=SchemeStart,IF($X107=0,$AD107,IF(AND($Z107&lt;&gt;"",EDATE($D107,Milestones!$AA$166)&gt;=$Z107),$AC107,IF(AND($Y107&lt;&gt;"",EDATE($D107,Milestones!$AA$166)&gt;=$Y107),$AB107,$AA107)))=Milestones!$AB$166),UPPER(TEXT(EDATE($D107,Milestones!$AA$166),"dd mmm yy"))&amp;" "&amp;Milestones!$AB$166&amp;" "&amp;IF(AND(Milestones!$AB$166="FT",Milestones!$AA$166=FT_Y5,EDATE($D107,Milestones!$AA$166)&lt;PolicyEff),1,Milestones!$AC$166)&amp;";  ","")&amp;IF(AND(EDATE($D107,Milestones!$AA$167)&lt;=AsOfDate,EDATE($D107,Milestones!$AA$167)&gt;=SchemeStart,IF($X107=0,$AD107,IF(AND($Z107&lt;&gt;"",EDATE($D107,Milestones!$AA$167)&gt;=$Z107),$AC107,IF(AND($Y107&lt;&gt;"",EDATE($D107,Milestones!$AA$167)&gt;=$Y107),$AB107,$AA107)))=Milestones!$AB$167),UPPER(TEXT(EDATE($D107,Milestones!$AA$167),"dd mmm yy"))&amp;" "&amp;Milestones!$AB$167&amp;" "&amp;IF(AND(Milestones!$AB$167="FT",Milestones!$AA$167=FT_Y5,EDATE($D107,Milestones!$AA$167)&lt;PolicyEff),1,Milestones!$AC$167)&amp;";  ","")&amp;IF(AND(EDATE($D107,Milestones!$AA$168)&lt;=AsOfDate,EDATE($D107,Milestones!$AA$168)&gt;=SchemeStart,IF($X107=0,$AD107,IF(AND($Z107&lt;&gt;"",EDATE($D107,Milestones!$AA$168)&gt;=$Z107),$AC107,IF(AND($Y107&lt;&gt;"",EDATE($D107,Milestones!$AA$168)&gt;=$Y107),$AB107,$AA107)))=Milestones!$AB$168),UPPER(TEXT(EDATE($D107,Milestones!$AA$168),"dd mmm yy"))&amp;" "&amp;Milestones!$AB$168&amp;" "&amp;IF(AND(Milestones!$AB$168="FT",Milestones!$AA$168=FT_Y5,EDATE($D107,Milestones!$AA$168)&lt;PolicyEff),1,Milestones!$AC$168)&amp;";  ","")&amp;IF(AND(EDATE($D107,Milestones!$AA$169)&lt;=AsOfDate,EDATE($D107,Milestones!$AA$169)&gt;=SchemeStart,IF($X107=0,$AD107,IF(AND($Z107&lt;&gt;"",EDATE($D107,Milestones!$AA$169)&gt;=$Z107),$AC107,IF(AND($Y107&lt;&gt;"",EDATE($D107,Milestones!$AA$169)&gt;=$Y107),$AB107,$AA107)))=Milestones!$AB$169),UPPER(TEXT(EDATE($D107,Milestones!$AA$169),"dd mmm yy"))&amp;" "&amp;Milestones!$AB$169&amp;" "&amp;IF(AND(Milestones!$AB$169="FT",Milestones!$AA$169=FT_Y5,EDATE($D107,Milestones!$AA$169)&lt;PolicyEff),1,Milestones!$AC$169)&amp;";  ","")&amp;IF(AND(EDATE($D107,Milestones!$AA$170)&lt;=AsOfDate,EDATE($D107,Milestones!$AA$170)&gt;=SchemeStart,IF($X107=0,$AD107,IF(AND($Z107&lt;&gt;"",EDATE($D107,Milestones!$AA$170)&gt;=$Z107),$AC107,IF(AND($Y107&lt;&gt;"",EDATE($D107,Milestones!$AA$170)&gt;=$Y107),$AB107,$AA107)))=Milestones!$AB$170),UPPER(TEXT(EDATE($D107,Milestones!$AA$170),"dd mmm yy"))&amp;" "&amp;Milestones!$AB$170&amp;" "&amp;IF(AND(Milestones!$AB$170="FT",Milestones!$AA$170=FT_Y5,EDATE($D107,Milestones!$AA$170)&lt;PolicyEff),1,Milestones!$AC$170)&amp;";  ","")&amp;IF(AND(EDATE($D107,Milestones!$AA$171)&lt;=AsOfDate,EDATE($D107,Milestones!$AA$171)&gt;=SchemeStart,IF($X107=0,$AD107,IF(AND($Z107&lt;&gt;"",EDATE($D107,Milestones!$AA$171)&gt;=$Z107),$AC107,IF(AND($Y107&lt;&gt;"",EDATE($D107,Milestones!$AA$171)&gt;=$Y107),$AB107,$AA107)))=Milestones!$AB$171),UPPER(TEXT(EDATE($D107,Milestones!$AA$171),"dd mmm yy"))&amp;" "&amp;Milestones!$AB$171&amp;" "&amp;IF(AND(Milestones!$AB$171="FT",Milestones!$AA$171=FT_Y5,EDATE($D107,Milestones!$AA$171)&lt;PolicyEff),1,Milestones!$AC$171)&amp;";  ","")&amp;IF(AND(EDATE($D107,Milestones!$AA$172)&lt;=AsOfDate,EDATE($D107,Milestones!$AA$172)&gt;=SchemeStart,IF($X107=0,$AD107,IF(AND($Z107&lt;&gt;"",EDATE($D107,Milestones!$AA$172)&gt;=$Z107),$AC107,IF(AND($Y107&lt;&gt;"",EDATE($D107,Milestones!$AA$172)&gt;=$Y107),$AB107,$AA107)))=Milestones!$AB$172),UPPER(TEXT(EDATE($D107,Milestones!$AA$172),"dd mmm yy"))&amp;" "&amp;Milestones!$AB$172&amp;" "&amp;IF(AND(Milestones!$AB$172="FT",Milestones!$AA$172=FT_Y5,EDATE($D107,Milestones!$AA$172)&lt;PolicyEff),1,Milestones!$AC$172)&amp;";  ","")&amp;IF(AND(EDATE($D107,Milestones!$AA$173)&lt;=AsOfDate,EDATE($D107,Milestones!$AA$173)&gt;=SchemeStart,IF($X107=0,$AD107,IF(AND($Z107&lt;&gt;"",EDATE($D107,Milestones!$AA$173)&gt;=$Z107),$AC107,IF(AND($Y107&lt;&gt;"",EDATE($D107,Milestones!$AA$173)&gt;=$Y107),$AB107,$AA107)))=Milestones!$AB$173),UPPER(TEXT(EDATE($D107,Milestones!$AA$173),"dd mmm yy"))&amp;" "&amp;Milestones!$AB$173&amp;" "&amp;IF(AND(Milestones!$AB$173="FT",Milestones!$AA$173=FT_Y5,EDATE($D107,Milestones!$AA$173)&lt;PolicyEff),1,Milestones!$AC$173)&amp;";  ","")&amp;IF(AND(EDATE($D107,Milestones!$AA$174)&lt;=AsOfDate,EDATE($D107,Milestones!$AA$174)&gt;=SchemeStart,IF($X107=0,$AD107,IF(AND($Z107&lt;&gt;"",EDATE($D107,Milestones!$AA$174)&gt;=$Z107),$AC107,IF(AND($Y107&lt;&gt;"",EDATE($D107,Milestones!$AA$174)&gt;=$Y107),$AB107,$AA107)))=Milestones!$AB$174),UPPER(TEXT(EDATE($D107,Milestones!$AA$174),"dd mmm yy"))&amp;" "&amp;Milestones!$AB$174&amp;" "&amp;IF(AND(Milestones!$AB$174="FT",Milestones!$AA$174=FT_Y5,EDATE($D107,Milestones!$AA$174)&lt;PolicyEff),1,Milestones!$AC$174)&amp;";  ","")&amp;IF(AND(EDATE($D107,Milestones!$AA$175)&lt;=AsOfDate,EDATE($D107,Milestones!$AA$175)&gt;=SchemeStart,IF($X107=0,$AD107,IF(AND($Z107&lt;&gt;"",EDATE($D107,Milestones!$AA$175)&gt;=$Z107),$AC107,IF(AND($Y107&lt;&gt;"",EDATE($D107,Milestones!$AA$175)&gt;=$Y107),$AB107,$AA107)))=Milestones!$AB$175),UPPER(TEXT(EDATE($D107,Milestones!$AA$175),"dd mmm yy"))&amp;" "&amp;Milestones!$AB$175&amp;" "&amp;IF(AND(Milestones!$AB$175="FT",Milestones!$AA$175=FT_Y5,EDATE($D107,Milestones!$AA$175)&lt;PolicyEff),1,Milestones!$AC$175)&amp;";  ",""))</f>
        <v/>
      </c>
      <c r="V107" s="0" t="str">
        <f aca="false">IF(OR($A107="",$D107=""),"",IF(AND(EDATE($D107,Milestones!$AA$176)&lt;=AsOfDate,EDATE($D107,Milestones!$AA$176)&gt;=SchemeStart,IF($X107=0,$AD107,IF(AND($Z107&lt;&gt;"",EDATE($D107,Milestones!$AA$176)&gt;=$Z107),$AC107,IF(AND($Y107&lt;&gt;"",EDATE($D107,Milestones!$AA$176)&gt;=$Y107),$AB107,$AA107)))=Milestones!$AB$176),UPPER(TEXT(EDATE($D107,Milestones!$AA$176),"dd mmm yy"))&amp;" "&amp;Milestones!$AB$176&amp;" "&amp;IF(AND(Milestones!$AB$176="FT",Milestones!$AA$176=FT_Y5,EDATE($D107,Milestones!$AA$176)&lt;PolicyEff),1,Milestones!$AC$176)&amp;";  ","")&amp;IF(AND(EDATE($D107,Milestones!$AA$177)&lt;=AsOfDate,EDATE($D107,Milestones!$AA$177)&gt;=SchemeStart,IF($X107=0,$AD107,IF(AND($Z107&lt;&gt;"",EDATE($D107,Milestones!$AA$177)&gt;=$Z107),$AC107,IF(AND($Y107&lt;&gt;"",EDATE($D107,Milestones!$AA$177)&gt;=$Y107),$AB107,$AA107)))=Milestones!$AB$177),UPPER(TEXT(EDATE($D107,Milestones!$AA$177),"dd mmm yy"))&amp;" "&amp;Milestones!$AB$177&amp;" "&amp;IF(AND(Milestones!$AB$177="FT",Milestones!$AA$177=FT_Y5,EDATE($D107,Milestones!$AA$177)&lt;PolicyEff),1,Milestones!$AC$177)&amp;";  ","")&amp;IF(AND(EDATE($D107,Milestones!$AA$178)&lt;=AsOfDate,EDATE($D107,Milestones!$AA$178)&gt;=SchemeStart,IF($X107=0,$AD107,IF(AND($Z107&lt;&gt;"",EDATE($D107,Milestones!$AA$178)&gt;=$Z107),$AC107,IF(AND($Y107&lt;&gt;"",EDATE($D107,Milestones!$AA$178)&gt;=$Y107),$AB107,$AA107)))=Milestones!$AB$178),UPPER(TEXT(EDATE($D107,Milestones!$AA$178),"dd mmm yy"))&amp;" "&amp;Milestones!$AB$178&amp;" "&amp;IF(AND(Milestones!$AB$178="FT",Milestones!$AA$178=FT_Y5,EDATE($D107,Milestones!$AA$178)&lt;PolicyEff),1,Milestones!$AC$178)&amp;";  ","")&amp;IF(AND(EDATE($D107,Milestones!$AA$179)&lt;=AsOfDate,EDATE($D107,Milestones!$AA$179)&gt;=SchemeStart,IF($X107=0,$AD107,IF(AND($Z107&lt;&gt;"",EDATE($D107,Milestones!$AA$179)&gt;=$Z107),$AC107,IF(AND($Y107&lt;&gt;"",EDATE($D107,Milestones!$AA$179)&gt;=$Y107),$AB107,$AA107)))=Milestones!$AB$179),UPPER(TEXT(EDATE($D107,Milestones!$AA$179),"dd mmm yy"))&amp;" "&amp;Milestones!$AB$179&amp;" "&amp;IF(AND(Milestones!$AB$179="FT",Milestones!$AA$179=FT_Y5,EDATE($D107,Milestones!$AA$179)&lt;PolicyEff),1,Milestones!$AC$179)&amp;";  ","")&amp;IF(AND(EDATE($D107,Milestones!$AA$180)&lt;=AsOfDate,EDATE($D107,Milestones!$AA$180)&gt;=SchemeStart,IF($X107=0,$AD107,IF(AND($Z107&lt;&gt;"",EDATE($D107,Milestones!$AA$180)&gt;=$Z107),$AC107,IF(AND($Y107&lt;&gt;"",EDATE($D107,Milestones!$AA$180)&gt;=$Y107),$AB107,$AA107)))=Milestones!$AB$180),UPPER(TEXT(EDATE($D107,Milestones!$AA$180),"dd mmm yy"))&amp;" "&amp;Milestones!$AB$180&amp;" "&amp;IF(AND(Milestones!$AB$180="FT",Milestones!$AA$180=FT_Y5,EDATE($D107,Milestones!$AA$180)&lt;PolicyEff),1,Milestones!$AC$180)&amp;";  ","")&amp;IF(AND(EDATE($D107,Milestones!$AA$181)&lt;=AsOfDate,EDATE($D107,Milestones!$AA$181)&gt;=SchemeStart,IF($X107=0,$AD107,IF(AND($Z107&lt;&gt;"",EDATE($D107,Milestones!$AA$181)&gt;=$Z107),$AC107,IF(AND($Y107&lt;&gt;"",EDATE($D107,Milestones!$AA$181)&gt;=$Y107),$AB107,$AA107)))=Milestones!$AB$181),UPPER(TEXT(EDATE($D107,Milestones!$AA$181),"dd mmm yy"))&amp;" "&amp;Milestones!$AB$181&amp;" "&amp;IF(AND(Milestones!$AB$181="FT",Milestones!$AA$181=FT_Y5,EDATE($D107,Milestones!$AA$181)&lt;PolicyEff),1,Milestones!$AC$181)&amp;";  ","")&amp;IF(AND(EDATE($D107,Milestones!$AA$182)&lt;=AsOfDate,EDATE($D107,Milestones!$AA$182)&gt;=SchemeStart,IF($X107=0,$AD107,IF(AND($Z107&lt;&gt;"",EDATE($D107,Milestones!$AA$182)&gt;=$Z107),$AC107,IF(AND($Y107&lt;&gt;"",EDATE($D107,Milestones!$AA$182)&gt;=$Y107),$AB107,$AA107)))=Milestones!$AB$182),UPPER(TEXT(EDATE($D107,Milestones!$AA$182),"dd mmm yy"))&amp;" "&amp;Milestones!$AB$182&amp;" "&amp;IF(AND(Milestones!$AB$182="FT",Milestones!$AA$182=FT_Y5,EDATE($D107,Milestones!$AA$182)&lt;PolicyEff),1,Milestones!$AC$182)&amp;";  ","")&amp;IF(AND(EDATE($D107,Milestones!$AA$183)&lt;=AsOfDate,EDATE($D107,Milestones!$AA$183)&gt;=SchemeStart,IF($X107=0,$AD107,IF(AND($Z107&lt;&gt;"",EDATE($D107,Milestones!$AA$183)&gt;=$Z107),$AC107,IF(AND($Y107&lt;&gt;"",EDATE($D107,Milestones!$AA$183)&gt;=$Y107),$AB107,$AA107)))=Milestones!$AB$183),UPPER(TEXT(EDATE($D107,Milestones!$AA$183),"dd mmm yy"))&amp;" "&amp;Milestones!$AB$183&amp;" "&amp;IF(AND(Milestones!$AB$183="FT",Milestones!$AA$183=FT_Y5,EDATE($D107,Milestones!$AA$183)&lt;PolicyEff),1,Milestones!$AC$183)&amp;";  ","")&amp;IF(AND(EDATE($D107,Milestones!$AA$184)&lt;=AsOfDate,EDATE($D107,Milestones!$AA$184)&gt;=SchemeStart,IF($X107=0,$AD107,IF(AND($Z107&lt;&gt;"",EDATE($D107,Milestones!$AA$184)&gt;=$Z107),$AC107,IF(AND($Y107&lt;&gt;"",EDATE($D107,Milestones!$AA$184)&gt;=$Y107),$AB107,$AA107)))=Milestones!$AB$184),UPPER(TEXT(EDATE($D107,Milestones!$AA$184),"dd mmm yy"))&amp;" "&amp;Milestones!$AB$184&amp;" "&amp;IF(AND(Milestones!$AB$184="FT",Milestones!$AA$184=FT_Y5,EDATE($D107,Milestones!$AA$184)&lt;PolicyEff),1,Milestones!$AC$184)&amp;";  ","")&amp;IF(AND(EDATE($D107,Milestones!$AA$185)&lt;=AsOfDate,EDATE($D107,Milestones!$AA$185)&gt;=SchemeStart,IF($X107=0,$AD107,IF(AND($Z107&lt;&gt;"",EDATE($D107,Milestones!$AA$185)&gt;=$Z107),$AC107,IF(AND($Y107&lt;&gt;"",EDATE($D107,Milestones!$AA$185)&gt;=$Y107),$AB107,$AA107)))=Milestones!$AB$185),UPPER(TEXT(EDATE($D107,Milestones!$AA$185),"dd mmm yy"))&amp;" "&amp;Milestones!$AB$185&amp;" "&amp;IF(AND(Milestones!$AB$185="FT",Milestones!$AA$185=FT_Y5,EDATE($D107,Milestones!$AA$185)&lt;PolicyEff),1,Milestones!$AC$185)&amp;";  ","")&amp;IF(AND(EDATE($D107,Milestones!$AA$186)&lt;=AsOfDate,EDATE($D107,Milestones!$AA$186)&gt;=SchemeStart,IF($X107=0,$AD107,IF(AND($Z107&lt;&gt;"",EDATE($D107,Milestones!$AA$186)&gt;=$Z107),$AC107,IF(AND($Y107&lt;&gt;"",EDATE($D107,Milestones!$AA$186)&gt;=$Y107),$AB107,$AA107)))=Milestones!$AB$186),UPPER(TEXT(EDATE($D107,Milestones!$AA$186),"dd mmm yy"))&amp;" "&amp;Milestones!$AB$186&amp;" "&amp;IF(AND(Milestones!$AB$186="FT",Milestones!$AA$186=FT_Y5,EDATE($D107,Milestones!$AA$186)&lt;PolicyEff),1,Milestones!$AC$186)&amp;";  ","")&amp;IF(AND(EDATE($D107,Milestones!$AA$187)&lt;=AsOfDate,EDATE($D107,Milestones!$AA$187)&gt;=SchemeStart,IF($X107=0,$AD107,IF(AND($Z107&lt;&gt;"",EDATE($D107,Milestones!$AA$187)&gt;=$Z107),$AC107,IF(AND($Y107&lt;&gt;"",EDATE($D107,Milestones!$AA$187)&gt;=$Y107),$AB107,$AA107)))=Milestones!$AB$187),UPPER(TEXT(EDATE($D107,Milestones!$AA$187),"dd mmm yy"))&amp;" "&amp;Milestones!$AB$187&amp;" "&amp;IF(AND(Milestones!$AB$187="FT",Milestones!$AA$187=FT_Y5,EDATE($D107,Milestones!$AA$187)&lt;PolicyEff),1,Milestones!$AC$187)&amp;";  ",""))</f>
        <v/>
      </c>
      <c r="W107" s="0" t="str">
        <f aca="false">IF(OR($A107="",$D107=""),"",IF(AND(EDATE($D107,Milestones!$AA$188)&lt;=AsOfDate,EDATE($D107,Milestones!$AA$188)&gt;=SchemeStart,IF($X107=0,$AD107,IF(AND($Z107&lt;&gt;"",EDATE($D107,Milestones!$AA$188)&gt;=$Z107),$AC107,IF(AND($Y107&lt;&gt;"",EDATE($D107,Milestones!$AA$188)&gt;=$Y107),$AB107,$AA107)))=Milestones!$AB$188),UPPER(TEXT(EDATE($D107,Milestones!$AA$188),"dd mmm yy"))&amp;" "&amp;Milestones!$AB$188&amp;" "&amp;IF(AND(Milestones!$AB$188="FT",Milestones!$AA$188=FT_Y5,EDATE($D107,Milestones!$AA$188)&lt;PolicyEff),1,Milestones!$AC$188)&amp;";  ","")&amp;IF(AND(EDATE($D107,Milestones!$AA$189)&lt;=AsOfDate,EDATE($D107,Milestones!$AA$189)&gt;=SchemeStart,IF($X107=0,$AD107,IF(AND($Z107&lt;&gt;"",EDATE($D107,Milestones!$AA$189)&gt;=$Z107),$AC107,IF(AND($Y107&lt;&gt;"",EDATE($D107,Milestones!$AA$189)&gt;=$Y107),$AB107,$AA107)))=Milestones!$AB$189),UPPER(TEXT(EDATE($D107,Milestones!$AA$189),"dd mmm yy"))&amp;" "&amp;Milestones!$AB$189&amp;" "&amp;IF(AND(Milestones!$AB$189="FT",Milestones!$AA$189=FT_Y5,EDATE($D107,Milestones!$AA$189)&lt;PolicyEff),1,Milestones!$AC$189)&amp;";  ","")&amp;IF(AND(EDATE($D107,Milestones!$AA$190)&lt;=AsOfDate,EDATE($D107,Milestones!$AA$190)&gt;=SchemeStart,IF($X107=0,$AD107,IF(AND($Z107&lt;&gt;"",EDATE($D107,Milestones!$AA$190)&gt;=$Z107),$AC107,IF(AND($Y107&lt;&gt;"",EDATE($D107,Milestones!$AA$190)&gt;=$Y107),$AB107,$AA107)))=Milestones!$AB$190),UPPER(TEXT(EDATE($D107,Milestones!$AA$190),"dd mmm yy"))&amp;" "&amp;Milestones!$AB$190&amp;" "&amp;IF(AND(Milestones!$AB$190="FT",Milestones!$AA$190=FT_Y5,EDATE($D107,Milestones!$AA$190)&lt;PolicyEff),1,Milestones!$AC$190)&amp;";  ","")&amp;IF(AND(EDATE($D107,Milestones!$AA$191)&lt;=AsOfDate,EDATE($D107,Milestones!$AA$191)&gt;=SchemeStart,IF($X107=0,$AD107,IF(AND($Z107&lt;&gt;"",EDATE($D107,Milestones!$AA$191)&gt;=$Z107),$AC107,IF(AND($Y107&lt;&gt;"",EDATE($D107,Milestones!$AA$191)&gt;=$Y107),$AB107,$AA107)))=Milestones!$AB$191),UPPER(TEXT(EDATE($D107,Milestones!$AA$191),"dd mmm yy"))&amp;" "&amp;Milestones!$AB$191&amp;" "&amp;IF(AND(Milestones!$AB$191="FT",Milestones!$AA$191=FT_Y5,EDATE($D107,Milestones!$AA$191)&lt;PolicyEff),1,Milestones!$AC$191)&amp;";  ","")&amp;IF(AND(EDATE($D107,Milestones!$AA$192)&lt;=AsOfDate,EDATE($D107,Milestones!$AA$192)&gt;=SchemeStart,IF($X107=0,$AD107,IF(AND($Z107&lt;&gt;"",EDATE($D107,Milestones!$AA$192)&gt;=$Z107),$AC107,IF(AND($Y107&lt;&gt;"",EDATE($D107,Milestones!$AA$192)&gt;=$Y107),$AB107,$AA107)))=Milestones!$AB$192),UPPER(TEXT(EDATE($D107,Milestones!$AA$192),"dd mmm yy"))&amp;" "&amp;Milestones!$AB$192&amp;" "&amp;IF(AND(Milestones!$AB$192="FT",Milestones!$AA$192=FT_Y5,EDATE($D107,Milestones!$AA$192)&lt;PolicyEff),1,Milestones!$AC$192)&amp;";  ","")&amp;IF(AND(EDATE($D107,Milestones!$AA$193)&lt;=AsOfDate,EDATE($D107,Milestones!$AA$193)&gt;=SchemeStart,IF($X107=0,$AD107,IF(AND($Z107&lt;&gt;"",EDATE($D107,Milestones!$AA$193)&gt;=$Z107),$AC107,IF(AND($Y107&lt;&gt;"",EDATE($D107,Milestones!$AA$193)&gt;=$Y107),$AB107,$AA107)))=Milestones!$AB$193),UPPER(TEXT(EDATE($D107,Milestones!$AA$193),"dd mmm yy"))&amp;" "&amp;Milestones!$AB$193&amp;" "&amp;IF(AND(Milestones!$AB$193="FT",Milestones!$AA$193=FT_Y5,EDATE($D107,Milestones!$AA$193)&lt;PolicyEff),1,Milestones!$AC$193)&amp;";  ","")&amp;IF(AND(EDATE($D107,Milestones!$AA$194)&lt;=AsOfDate,EDATE($D107,Milestones!$AA$194)&gt;=SchemeStart,IF($X107=0,$AD107,IF(AND($Z107&lt;&gt;"",EDATE($D107,Milestones!$AA$194)&gt;=$Z107),$AC107,IF(AND($Y107&lt;&gt;"",EDATE($D107,Milestones!$AA$194)&gt;=$Y107),$AB107,$AA107)))=Milestones!$AB$194),UPPER(TEXT(EDATE($D107,Milestones!$AA$194),"dd mmm yy"))&amp;" "&amp;Milestones!$AB$194&amp;" "&amp;IF(AND(Milestones!$AB$194="FT",Milestones!$AA$194=FT_Y5,EDATE($D107,Milestones!$AA$194)&lt;PolicyEff),1,Milestones!$AC$194)&amp;";  ","")&amp;IF(AND(EDATE($D107,Milestones!$AA$195)&lt;=AsOfDate,EDATE($D107,Milestones!$AA$195)&gt;=SchemeStart,IF($X107=0,$AD107,IF(AND($Z107&lt;&gt;"",EDATE($D107,Milestones!$AA$195)&gt;=$Z107),$AC107,IF(AND($Y107&lt;&gt;"",EDATE($D107,Milestones!$AA$195)&gt;=$Y107),$AB107,$AA107)))=Milestones!$AB$195),UPPER(TEXT(EDATE($D107,Milestones!$AA$195),"dd mmm yy"))&amp;" "&amp;Milestones!$AB$195&amp;" "&amp;IF(AND(Milestones!$AB$195="FT",Milestones!$AA$195=FT_Y5,EDATE($D107,Milestones!$AA$195)&lt;PolicyEff),1,Milestones!$AC$195)&amp;";  ","")&amp;IF(AND(EDATE($D107,Milestones!$AA$196)&lt;=AsOfDate,EDATE($D107,Milestones!$AA$196)&gt;=SchemeStart,IF($X107=0,$AD107,IF(AND($Z107&lt;&gt;"",EDATE($D107,Milestones!$AA$196)&gt;=$Z107),$AC107,IF(AND($Y107&lt;&gt;"",EDATE($D107,Milestones!$AA$196)&gt;=$Y107),$AB107,$AA107)))=Milestones!$AB$196),UPPER(TEXT(EDATE($D107,Milestones!$AA$196),"dd mmm yy"))&amp;" "&amp;Milestones!$AB$196&amp;" "&amp;IF(AND(Milestones!$AB$196="FT",Milestones!$AA$196=FT_Y5,EDATE($D107,Milestones!$AA$196)&lt;PolicyEff),1,Milestones!$AC$196)&amp;";  ","")&amp;IF(AND(EDATE($D107,Milestones!$AA$197)&lt;=AsOfDate,EDATE($D107,Milestones!$AA$197)&gt;=SchemeStart,IF($X107=0,$AD107,IF(AND($Z107&lt;&gt;"",EDATE($D107,Milestones!$AA$197)&gt;=$Z107),$AC107,IF(AND($Y107&lt;&gt;"",EDATE($D107,Milestones!$AA$197)&gt;=$Y107),$AB107,$AA107)))=Milestones!$AB$197),UPPER(TEXT(EDATE($D107,Milestones!$AA$197),"dd mmm yy"))&amp;" "&amp;Milestones!$AB$197&amp;" "&amp;IF(AND(Milestones!$AB$197="FT",Milestones!$AA$197=FT_Y5,EDATE($D107,Milestones!$AA$197)&lt;PolicyEff),1,Milestones!$AC$197)&amp;";  ","")&amp;IF(AND(EDATE($D107,Milestones!$AA$198)&lt;=AsOfDate,EDATE($D107,Milestones!$AA$198)&gt;=SchemeStart,IF($X107=0,$AD107,IF(AND($Z107&lt;&gt;"",EDATE($D107,Milestones!$AA$198)&gt;=$Z107),$AC107,IF(AND($Y107&lt;&gt;"",EDATE($D107,Milestones!$AA$198)&gt;=$Y107),$AB107,$AA107)))=Milestones!$AB$198),UPPER(TEXT(EDATE($D107,Milestones!$AA$198),"dd mmm yy"))&amp;" "&amp;Milestones!$AB$198&amp;" "&amp;IF(AND(Milestones!$AB$198="FT",Milestones!$AA$198=FT_Y5,EDATE($D107,Milestones!$AA$198)&lt;PolicyEff),1,Milestones!$AC$198)&amp;";  ","")&amp;IF(AND(EDATE($D107,Milestones!$AA$199)&lt;=AsOfDate,EDATE($D107,Milestones!$AA$199)&gt;=SchemeStart,IF($X107=0,$AD107,IF(AND($Z107&lt;&gt;"",EDATE($D107,Milestones!$AA$199)&gt;=$Z107),$AC107,IF(AND($Y107&lt;&gt;"",EDATE($D107,Milestones!$AA$199)&gt;=$Y107),$AB107,$AA107)))=Milestones!$AB$199),UPPER(TEXT(EDATE($D107,Milestones!$AA$199),"dd mmm yy"))&amp;" "&amp;Milestones!$AB$199&amp;" "&amp;IF(AND(Milestones!$AB$199="FT",Milestones!$AA$199=FT_Y5,EDATE($D107,Milestones!$AA$199)&lt;PolicyEff),1,Milestones!$AC$199)&amp;";  ",""))</f>
        <v/>
      </c>
      <c r="X107" s="0" t="str">
        <f aca="false">IF(Staff!$A107="","",Staff!$AM107)</f>
        <v/>
      </c>
      <c r="Y107" s="0" t="str">
        <f aca="false">IF(Staff!$A107="","",Staff!$AO107)</f>
        <v/>
      </c>
      <c r="Z107" s="0" t="str">
        <f aca="false">IF(Staff!$A107="","",Staff!$AP107)</f>
        <v/>
      </c>
      <c r="AA107" s="0" t="str">
        <f aca="false">IF(Staff!$A107="","",Staff!$AT107)</f>
        <v/>
      </c>
      <c r="AB107" s="0" t="str">
        <f aca="false">IF(Staff!$A107="","",Staff!$AU107)</f>
        <v/>
      </c>
      <c r="AC107" s="0" t="str">
        <f aca="false">IF(Staff!$A107="","",Staff!$AV107)</f>
        <v/>
      </c>
      <c r="AD107" s="0" t="str">
        <f aca="false">IF(Staff!$A107="","",Staff!$AW107)</f>
        <v/>
      </c>
    </row>
    <row r="108" customFormat="false" ht="15" hidden="false" customHeight="false" outlineLevel="0" collapsed="false">
      <c r="A108" s="16" t="str">
        <f aca="false">IF(Staff!$A108="","",Staff!$A108)</f>
        <v/>
      </c>
      <c r="B108" s="16" t="str">
        <f aca="false">IF(Staff!$A108="","",Staff!$B108)</f>
        <v/>
      </c>
      <c r="C108" s="16" t="str">
        <f aca="false">IF(Staff!$A108="","",Staff!$C108)</f>
        <v/>
      </c>
      <c r="D108" s="14" t="str">
        <f aca="false">IF(Staff!$A108="","",Staff!$AL108)</f>
        <v/>
      </c>
      <c r="E108" s="16" t="str">
        <f aca="false">IF(Staff!$A108="","",Staff!$O108)</f>
        <v/>
      </c>
      <c r="F108" s="16" t="str">
        <f aca="false">IF(E108="","",E108*HoursPerDay)</f>
        <v/>
      </c>
      <c r="G108" s="16" t="str">
        <f aca="false">IF(Staff!$A108="","",Staff!$AE108)</f>
        <v/>
      </c>
      <c r="H108" s="28" t="str">
        <f aca="false">IF($A108="","",I108&amp;J108&amp;K108&amp;L108&amp;M108&amp;N108&amp;O108&amp;P108&amp;Q108&amp;R108&amp;S108&amp;T108&amp;U108&amp;V108&amp;W108)</f>
        <v/>
      </c>
      <c r="I108" s="0" t="str">
        <f aca="false">IF(OR($A108="",$D108=""),"",IF(AND(EDATE($D108,Milestones!$AA$20)&lt;=AsOfDate,EDATE($D108,Milestones!$AA$20)&gt;=SchemeStart,IF($X108=0,$AD108,IF(AND($Z108&lt;&gt;"",EDATE($D108,Milestones!$AA$20)&gt;=$Z108),$AC108,IF(AND($Y108&lt;&gt;"",EDATE($D108,Milestones!$AA$20)&gt;=$Y108),$AB108,$AA108)))=Milestones!$AB$20),UPPER(TEXT(EDATE($D108,Milestones!$AA$20),"dd mmm yy"))&amp;" "&amp;Milestones!$AB$20&amp;" "&amp;IF(AND(Milestones!$AB$20="FT",Milestones!$AA$20=FT_Y5,EDATE($D108,Milestones!$AA$20)&lt;PolicyEff),1,Milestones!$AC$20)&amp;";  ","")&amp;IF(AND(EDATE($D108,Milestones!$AA$21)&lt;=AsOfDate,EDATE($D108,Milestones!$AA$21)&gt;=SchemeStart,IF($X108=0,$AD108,IF(AND($Z108&lt;&gt;"",EDATE($D108,Milestones!$AA$21)&gt;=$Z108),$AC108,IF(AND($Y108&lt;&gt;"",EDATE($D108,Milestones!$AA$21)&gt;=$Y108),$AB108,$AA108)))=Milestones!$AB$21),UPPER(TEXT(EDATE($D108,Milestones!$AA$21),"dd mmm yy"))&amp;" "&amp;Milestones!$AB$21&amp;" "&amp;IF(AND(Milestones!$AB$21="FT",Milestones!$AA$21=FT_Y5,EDATE($D108,Milestones!$AA$21)&lt;PolicyEff),1,Milestones!$AC$21)&amp;";  ","")&amp;IF(AND(EDATE($D108,Milestones!$AA$22)&lt;=AsOfDate,EDATE($D108,Milestones!$AA$22)&gt;=SchemeStart,IF($X108=0,$AD108,IF(AND($Z108&lt;&gt;"",EDATE($D108,Milestones!$AA$22)&gt;=$Z108),$AC108,IF(AND($Y108&lt;&gt;"",EDATE($D108,Milestones!$AA$22)&gt;=$Y108),$AB108,$AA108)))=Milestones!$AB$22),UPPER(TEXT(EDATE($D108,Milestones!$AA$22),"dd mmm yy"))&amp;" "&amp;Milestones!$AB$22&amp;" "&amp;IF(AND(Milestones!$AB$22="FT",Milestones!$AA$22=FT_Y5,EDATE($D108,Milestones!$AA$22)&lt;PolicyEff),1,Milestones!$AC$22)&amp;";  ","")&amp;IF(AND(EDATE($D108,Milestones!$AA$23)&lt;=AsOfDate,EDATE($D108,Milestones!$AA$23)&gt;=SchemeStart,IF($X108=0,$AD108,IF(AND($Z108&lt;&gt;"",EDATE($D108,Milestones!$AA$23)&gt;=$Z108),$AC108,IF(AND($Y108&lt;&gt;"",EDATE($D108,Milestones!$AA$23)&gt;=$Y108),$AB108,$AA108)))=Milestones!$AB$23),UPPER(TEXT(EDATE($D108,Milestones!$AA$23),"dd mmm yy"))&amp;" "&amp;Milestones!$AB$23&amp;" "&amp;IF(AND(Milestones!$AB$23="FT",Milestones!$AA$23=FT_Y5,EDATE($D108,Milestones!$AA$23)&lt;PolicyEff),1,Milestones!$AC$23)&amp;";  ","")&amp;IF(AND(EDATE($D108,Milestones!$AA$24)&lt;=AsOfDate,EDATE($D108,Milestones!$AA$24)&gt;=SchemeStart,IF($X108=0,$AD108,IF(AND($Z108&lt;&gt;"",EDATE($D108,Milestones!$AA$24)&gt;=$Z108),$AC108,IF(AND($Y108&lt;&gt;"",EDATE($D108,Milestones!$AA$24)&gt;=$Y108),$AB108,$AA108)))=Milestones!$AB$24),UPPER(TEXT(EDATE($D108,Milestones!$AA$24),"dd mmm yy"))&amp;" "&amp;Milestones!$AB$24&amp;" "&amp;IF(AND(Milestones!$AB$24="FT",Milestones!$AA$24=FT_Y5,EDATE($D108,Milestones!$AA$24)&lt;PolicyEff),1,Milestones!$AC$24)&amp;";  ","")&amp;IF(AND(EDATE($D108,Milestones!$AA$25)&lt;=AsOfDate,EDATE($D108,Milestones!$AA$25)&gt;=SchemeStart,IF($X108=0,$AD108,IF(AND($Z108&lt;&gt;"",EDATE($D108,Milestones!$AA$25)&gt;=$Z108),$AC108,IF(AND($Y108&lt;&gt;"",EDATE($D108,Milestones!$AA$25)&gt;=$Y108),$AB108,$AA108)))=Milestones!$AB$25),UPPER(TEXT(EDATE($D108,Milestones!$AA$25),"dd mmm yy"))&amp;" "&amp;Milestones!$AB$25&amp;" "&amp;IF(AND(Milestones!$AB$25="FT",Milestones!$AA$25=FT_Y5,EDATE($D108,Milestones!$AA$25)&lt;PolicyEff),1,Milestones!$AC$25)&amp;";  ","")&amp;IF(AND(EDATE($D108,Milestones!$AA$26)&lt;=AsOfDate,EDATE($D108,Milestones!$AA$26)&gt;=SchemeStart,IF($X108=0,$AD108,IF(AND($Z108&lt;&gt;"",EDATE($D108,Milestones!$AA$26)&gt;=$Z108),$AC108,IF(AND($Y108&lt;&gt;"",EDATE($D108,Milestones!$AA$26)&gt;=$Y108),$AB108,$AA108)))=Milestones!$AB$26),UPPER(TEXT(EDATE($D108,Milestones!$AA$26),"dd mmm yy"))&amp;" "&amp;Milestones!$AB$26&amp;" "&amp;IF(AND(Milestones!$AB$26="FT",Milestones!$AA$26=FT_Y5,EDATE($D108,Milestones!$AA$26)&lt;PolicyEff),1,Milestones!$AC$26)&amp;";  ","")&amp;IF(AND(EDATE($D108,Milestones!$AA$27)&lt;=AsOfDate,EDATE($D108,Milestones!$AA$27)&gt;=SchemeStart,IF($X108=0,$AD108,IF(AND($Z108&lt;&gt;"",EDATE($D108,Milestones!$AA$27)&gt;=$Z108),$AC108,IF(AND($Y108&lt;&gt;"",EDATE($D108,Milestones!$AA$27)&gt;=$Y108),$AB108,$AA108)))=Milestones!$AB$27),UPPER(TEXT(EDATE($D108,Milestones!$AA$27),"dd mmm yy"))&amp;" "&amp;Milestones!$AB$27&amp;" "&amp;IF(AND(Milestones!$AB$27="FT",Milestones!$AA$27=FT_Y5,EDATE($D108,Milestones!$AA$27)&lt;PolicyEff),1,Milestones!$AC$27)&amp;";  ","")&amp;IF(AND(EDATE($D108,Milestones!$AA$28)&lt;=AsOfDate,EDATE($D108,Milestones!$AA$28)&gt;=SchemeStart,IF($X108=0,$AD108,IF(AND($Z108&lt;&gt;"",EDATE($D108,Milestones!$AA$28)&gt;=$Z108),$AC108,IF(AND($Y108&lt;&gt;"",EDATE($D108,Milestones!$AA$28)&gt;=$Y108),$AB108,$AA108)))=Milestones!$AB$28),UPPER(TEXT(EDATE($D108,Milestones!$AA$28),"dd mmm yy"))&amp;" "&amp;Milestones!$AB$28&amp;" "&amp;IF(AND(Milestones!$AB$28="FT",Milestones!$AA$28=FT_Y5,EDATE($D108,Milestones!$AA$28)&lt;PolicyEff),1,Milestones!$AC$28)&amp;";  ","")&amp;IF(AND(EDATE($D108,Milestones!$AA$29)&lt;=AsOfDate,EDATE($D108,Milestones!$AA$29)&gt;=SchemeStart,IF($X108=0,$AD108,IF(AND($Z108&lt;&gt;"",EDATE($D108,Milestones!$AA$29)&gt;=$Z108),$AC108,IF(AND($Y108&lt;&gt;"",EDATE($D108,Milestones!$AA$29)&gt;=$Y108),$AB108,$AA108)))=Milestones!$AB$29),UPPER(TEXT(EDATE($D108,Milestones!$AA$29),"dd mmm yy"))&amp;" "&amp;Milestones!$AB$29&amp;" "&amp;IF(AND(Milestones!$AB$29="FT",Milestones!$AA$29=FT_Y5,EDATE($D108,Milestones!$AA$29)&lt;PolicyEff),1,Milestones!$AC$29)&amp;";  ","")&amp;IF(AND(EDATE($D108,Milestones!$AA$30)&lt;=AsOfDate,EDATE($D108,Milestones!$AA$30)&gt;=SchemeStart,IF($X108=0,$AD108,IF(AND($Z108&lt;&gt;"",EDATE($D108,Milestones!$AA$30)&gt;=$Z108),$AC108,IF(AND($Y108&lt;&gt;"",EDATE($D108,Milestones!$AA$30)&gt;=$Y108),$AB108,$AA108)))=Milestones!$AB$30),UPPER(TEXT(EDATE($D108,Milestones!$AA$30),"dd mmm yy"))&amp;" "&amp;Milestones!$AB$30&amp;" "&amp;IF(AND(Milestones!$AB$30="FT",Milestones!$AA$30=FT_Y5,EDATE($D108,Milestones!$AA$30)&lt;PolicyEff),1,Milestones!$AC$30)&amp;";  ","")&amp;IF(AND(EDATE($D108,Milestones!$AA$31)&lt;=AsOfDate,EDATE($D108,Milestones!$AA$31)&gt;=SchemeStart,IF($X108=0,$AD108,IF(AND($Z108&lt;&gt;"",EDATE($D108,Milestones!$AA$31)&gt;=$Z108),$AC108,IF(AND($Y108&lt;&gt;"",EDATE($D108,Milestones!$AA$31)&gt;=$Y108),$AB108,$AA108)))=Milestones!$AB$31),UPPER(TEXT(EDATE($D108,Milestones!$AA$31),"dd mmm yy"))&amp;" "&amp;Milestones!$AB$31&amp;" "&amp;IF(AND(Milestones!$AB$31="FT",Milestones!$AA$31=FT_Y5,EDATE($D108,Milestones!$AA$31)&lt;PolicyEff),1,Milestones!$AC$31)&amp;";  ",""))</f>
        <v/>
      </c>
      <c r="J108" s="0" t="str">
        <f aca="false">IF(OR($A108="",$D108=""),"",IF(AND(EDATE($D108,Milestones!$AA$32)&lt;=AsOfDate,EDATE($D108,Milestones!$AA$32)&gt;=SchemeStart,IF($X108=0,$AD108,IF(AND($Z108&lt;&gt;"",EDATE($D108,Milestones!$AA$32)&gt;=$Z108),$AC108,IF(AND($Y108&lt;&gt;"",EDATE($D108,Milestones!$AA$32)&gt;=$Y108),$AB108,$AA108)))=Milestones!$AB$32),UPPER(TEXT(EDATE($D108,Milestones!$AA$32),"dd mmm yy"))&amp;" "&amp;Milestones!$AB$32&amp;" "&amp;IF(AND(Milestones!$AB$32="FT",Milestones!$AA$32=FT_Y5,EDATE($D108,Milestones!$AA$32)&lt;PolicyEff),1,Milestones!$AC$32)&amp;";  ","")&amp;IF(AND(EDATE($D108,Milestones!$AA$33)&lt;=AsOfDate,EDATE($D108,Milestones!$AA$33)&gt;=SchemeStart,IF($X108=0,$AD108,IF(AND($Z108&lt;&gt;"",EDATE($D108,Milestones!$AA$33)&gt;=$Z108),$AC108,IF(AND($Y108&lt;&gt;"",EDATE($D108,Milestones!$AA$33)&gt;=$Y108),$AB108,$AA108)))=Milestones!$AB$33),UPPER(TEXT(EDATE($D108,Milestones!$AA$33),"dd mmm yy"))&amp;" "&amp;Milestones!$AB$33&amp;" "&amp;IF(AND(Milestones!$AB$33="FT",Milestones!$AA$33=FT_Y5,EDATE($D108,Milestones!$AA$33)&lt;PolicyEff),1,Milestones!$AC$33)&amp;";  ","")&amp;IF(AND(EDATE($D108,Milestones!$AA$34)&lt;=AsOfDate,EDATE($D108,Milestones!$AA$34)&gt;=SchemeStart,IF($X108=0,$AD108,IF(AND($Z108&lt;&gt;"",EDATE($D108,Milestones!$AA$34)&gt;=$Z108),$AC108,IF(AND($Y108&lt;&gt;"",EDATE($D108,Milestones!$AA$34)&gt;=$Y108),$AB108,$AA108)))=Milestones!$AB$34),UPPER(TEXT(EDATE($D108,Milestones!$AA$34),"dd mmm yy"))&amp;" "&amp;Milestones!$AB$34&amp;" "&amp;IF(AND(Milestones!$AB$34="FT",Milestones!$AA$34=FT_Y5,EDATE($D108,Milestones!$AA$34)&lt;PolicyEff),1,Milestones!$AC$34)&amp;";  ","")&amp;IF(AND(EDATE($D108,Milestones!$AA$35)&lt;=AsOfDate,EDATE($D108,Milestones!$AA$35)&gt;=SchemeStart,IF($X108=0,$AD108,IF(AND($Z108&lt;&gt;"",EDATE($D108,Milestones!$AA$35)&gt;=$Z108),$AC108,IF(AND($Y108&lt;&gt;"",EDATE($D108,Milestones!$AA$35)&gt;=$Y108),$AB108,$AA108)))=Milestones!$AB$35),UPPER(TEXT(EDATE($D108,Milestones!$AA$35),"dd mmm yy"))&amp;" "&amp;Milestones!$AB$35&amp;" "&amp;IF(AND(Milestones!$AB$35="FT",Milestones!$AA$35=FT_Y5,EDATE($D108,Milestones!$AA$35)&lt;PolicyEff),1,Milestones!$AC$35)&amp;";  ","")&amp;IF(AND(EDATE($D108,Milestones!$AA$36)&lt;=AsOfDate,EDATE($D108,Milestones!$AA$36)&gt;=SchemeStart,IF($X108=0,$AD108,IF(AND($Z108&lt;&gt;"",EDATE($D108,Milestones!$AA$36)&gt;=$Z108),$AC108,IF(AND($Y108&lt;&gt;"",EDATE($D108,Milestones!$AA$36)&gt;=$Y108),$AB108,$AA108)))=Milestones!$AB$36),UPPER(TEXT(EDATE($D108,Milestones!$AA$36),"dd mmm yy"))&amp;" "&amp;Milestones!$AB$36&amp;" "&amp;IF(AND(Milestones!$AB$36="FT",Milestones!$AA$36=FT_Y5,EDATE($D108,Milestones!$AA$36)&lt;PolicyEff),1,Milestones!$AC$36)&amp;";  ","")&amp;IF(AND(EDATE($D108,Milestones!$AA$37)&lt;=AsOfDate,EDATE($D108,Milestones!$AA$37)&gt;=SchemeStart,IF($X108=0,$AD108,IF(AND($Z108&lt;&gt;"",EDATE($D108,Milestones!$AA$37)&gt;=$Z108),$AC108,IF(AND($Y108&lt;&gt;"",EDATE($D108,Milestones!$AA$37)&gt;=$Y108),$AB108,$AA108)))=Milestones!$AB$37),UPPER(TEXT(EDATE($D108,Milestones!$AA$37),"dd mmm yy"))&amp;" "&amp;Milestones!$AB$37&amp;" "&amp;IF(AND(Milestones!$AB$37="FT",Milestones!$AA$37=FT_Y5,EDATE($D108,Milestones!$AA$37)&lt;PolicyEff),1,Milestones!$AC$37)&amp;";  ","")&amp;IF(AND(EDATE($D108,Milestones!$AA$38)&lt;=AsOfDate,EDATE($D108,Milestones!$AA$38)&gt;=SchemeStart,IF($X108=0,$AD108,IF(AND($Z108&lt;&gt;"",EDATE($D108,Milestones!$AA$38)&gt;=$Z108),$AC108,IF(AND($Y108&lt;&gt;"",EDATE($D108,Milestones!$AA$38)&gt;=$Y108),$AB108,$AA108)))=Milestones!$AB$38),UPPER(TEXT(EDATE($D108,Milestones!$AA$38),"dd mmm yy"))&amp;" "&amp;Milestones!$AB$38&amp;" "&amp;IF(AND(Milestones!$AB$38="FT",Milestones!$AA$38=FT_Y5,EDATE($D108,Milestones!$AA$38)&lt;PolicyEff),1,Milestones!$AC$38)&amp;";  ","")&amp;IF(AND(EDATE($D108,Milestones!$AA$39)&lt;=AsOfDate,EDATE($D108,Milestones!$AA$39)&gt;=SchemeStart,IF($X108=0,$AD108,IF(AND($Z108&lt;&gt;"",EDATE($D108,Milestones!$AA$39)&gt;=$Z108),$AC108,IF(AND($Y108&lt;&gt;"",EDATE($D108,Milestones!$AA$39)&gt;=$Y108),$AB108,$AA108)))=Milestones!$AB$39),UPPER(TEXT(EDATE($D108,Milestones!$AA$39),"dd mmm yy"))&amp;" "&amp;Milestones!$AB$39&amp;" "&amp;IF(AND(Milestones!$AB$39="FT",Milestones!$AA$39=FT_Y5,EDATE($D108,Milestones!$AA$39)&lt;PolicyEff),1,Milestones!$AC$39)&amp;";  ","")&amp;IF(AND(EDATE($D108,Milestones!$AA$40)&lt;=AsOfDate,EDATE($D108,Milestones!$AA$40)&gt;=SchemeStart,IF($X108=0,$AD108,IF(AND($Z108&lt;&gt;"",EDATE($D108,Milestones!$AA$40)&gt;=$Z108),$AC108,IF(AND($Y108&lt;&gt;"",EDATE($D108,Milestones!$AA$40)&gt;=$Y108),$AB108,$AA108)))=Milestones!$AB$40),UPPER(TEXT(EDATE($D108,Milestones!$AA$40),"dd mmm yy"))&amp;" "&amp;Milestones!$AB$40&amp;" "&amp;IF(AND(Milestones!$AB$40="FT",Milestones!$AA$40=FT_Y5,EDATE($D108,Milestones!$AA$40)&lt;PolicyEff),1,Milestones!$AC$40)&amp;";  ","")&amp;IF(AND(EDATE($D108,Milestones!$AA$41)&lt;=AsOfDate,EDATE($D108,Milestones!$AA$41)&gt;=SchemeStart,IF($X108=0,$AD108,IF(AND($Z108&lt;&gt;"",EDATE($D108,Milestones!$AA$41)&gt;=$Z108),$AC108,IF(AND($Y108&lt;&gt;"",EDATE($D108,Milestones!$AA$41)&gt;=$Y108),$AB108,$AA108)))=Milestones!$AB$41),UPPER(TEXT(EDATE($D108,Milestones!$AA$41),"dd mmm yy"))&amp;" "&amp;Milestones!$AB$41&amp;" "&amp;IF(AND(Milestones!$AB$41="FT",Milestones!$AA$41=FT_Y5,EDATE($D108,Milestones!$AA$41)&lt;PolicyEff),1,Milestones!$AC$41)&amp;";  ","")&amp;IF(AND(EDATE($D108,Milestones!$AA$42)&lt;=AsOfDate,EDATE($D108,Milestones!$AA$42)&gt;=SchemeStart,IF($X108=0,$AD108,IF(AND($Z108&lt;&gt;"",EDATE($D108,Milestones!$AA$42)&gt;=$Z108),$AC108,IF(AND($Y108&lt;&gt;"",EDATE($D108,Milestones!$AA$42)&gt;=$Y108),$AB108,$AA108)))=Milestones!$AB$42),UPPER(TEXT(EDATE($D108,Milestones!$AA$42),"dd mmm yy"))&amp;" "&amp;Milestones!$AB$42&amp;" "&amp;IF(AND(Milestones!$AB$42="FT",Milestones!$AA$42=FT_Y5,EDATE($D108,Milestones!$AA$42)&lt;PolicyEff),1,Milestones!$AC$42)&amp;";  ","")&amp;IF(AND(EDATE($D108,Milestones!$AA$43)&lt;=AsOfDate,EDATE($D108,Milestones!$AA$43)&gt;=SchemeStart,IF($X108=0,$AD108,IF(AND($Z108&lt;&gt;"",EDATE($D108,Milestones!$AA$43)&gt;=$Z108),$AC108,IF(AND($Y108&lt;&gt;"",EDATE($D108,Milestones!$AA$43)&gt;=$Y108),$AB108,$AA108)))=Milestones!$AB$43),UPPER(TEXT(EDATE($D108,Milestones!$AA$43),"dd mmm yy"))&amp;" "&amp;Milestones!$AB$43&amp;" "&amp;IF(AND(Milestones!$AB$43="FT",Milestones!$AA$43=FT_Y5,EDATE($D108,Milestones!$AA$43)&lt;PolicyEff),1,Milestones!$AC$43)&amp;";  ",""))</f>
        <v/>
      </c>
      <c r="K108" s="0" t="str">
        <f aca="false">IF(OR($A108="",$D108=""),"",IF(AND(EDATE($D108,Milestones!$AA$44)&lt;=AsOfDate,EDATE($D108,Milestones!$AA$44)&gt;=SchemeStart,IF($X108=0,$AD108,IF(AND($Z108&lt;&gt;"",EDATE($D108,Milestones!$AA$44)&gt;=$Z108),$AC108,IF(AND($Y108&lt;&gt;"",EDATE($D108,Milestones!$AA$44)&gt;=$Y108),$AB108,$AA108)))=Milestones!$AB$44),UPPER(TEXT(EDATE($D108,Milestones!$AA$44),"dd mmm yy"))&amp;" "&amp;Milestones!$AB$44&amp;" "&amp;IF(AND(Milestones!$AB$44="FT",Milestones!$AA$44=FT_Y5,EDATE($D108,Milestones!$AA$44)&lt;PolicyEff),1,Milestones!$AC$44)&amp;";  ","")&amp;IF(AND(EDATE($D108,Milestones!$AA$45)&lt;=AsOfDate,EDATE($D108,Milestones!$AA$45)&gt;=SchemeStart,IF($X108=0,$AD108,IF(AND($Z108&lt;&gt;"",EDATE($D108,Milestones!$AA$45)&gt;=$Z108),$AC108,IF(AND($Y108&lt;&gt;"",EDATE($D108,Milestones!$AA$45)&gt;=$Y108),$AB108,$AA108)))=Milestones!$AB$45),UPPER(TEXT(EDATE($D108,Milestones!$AA$45),"dd mmm yy"))&amp;" "&amp;Milestones!$AB$45&amp;" "&amp;IF(AND(Milestones!$AB$45="FT",Milestones!$AA$45=FT_Y5,EDATE($D108,Milestones!$AA$45)&lt;PolicyEff),1,Milestones!$AC$45)&amp;";  ","")&amp;IF(AND(EDATE($D108,Milestones!$AA$46)&lt;=AsOfDate,EDATE($D108,Milestones!$AA$46)&gt;=SchemeStart,IF($X108=0,$AD108,IF(AND($Z108&lt;&gt;"",EDATE($D108,Milestones!$AA$46)&gt;=$Z108),$AC108,IF(AND($Y108&lt;&gt;"",EDATE($D108,Milestones!$AA$46)&gt;=$Y108),$AB108,$AA108)))=Milestones!$AB$46),UPPER(TEXT(EDATE($D108,Milestones!$AA$46),"dd mmm yy"))&amp;" "&amp;Milestones!$AB$46&amp;" "&amp;IF(AND(Milestones!$AB$46="FT",Milestones!$AA$46=FT_Y5,EDATE($D108,Milestones!$AA$46)&lt;PolicyEff),1,Milestones!$AC$46)&amp;";  ","")&amp;IF(AND(EDATE($D108,Milestones!$AA$47)&lt;=AsOfDate,EDATE($D108,Milestones!$AA$47)&gt;=SchemeStart,IF($X108=0,$AD108,IF(AND($Z108&lt;&gt;"",EDATE($D108,Milestones!$AA$47)&gt;=$Z108),$AC108,IF(AND($Y108&lt;&gt;"",EDATE($D108,Milestones!$AA$47)&gt;=$Y108),$AB108,$AA108)))=Milestones!$AB$47),UPPER(TEXT(EDATE($D108,Milestones!$AA$47),"dd mmm yy"))&amp;" "&amp;Milestones!$AB$47&amp;" "&amp;IF(AND(Milestones!$AB$47="FT",Milestones!$AA$47=FT_Y5,EDATE($D108,Milestones!$AA$47)&lt;PolicyEff),1,Milestones!$AC$47)&amp;";  ","")&amp;IF(AND(EDATE($D108,Milestones!$AA$48)&lt;=AsOfDate,EDATE($D108,Milestones!$AA$48)&gt;=SchemeStart,IF($X108=0,$AD108,IF(AND($Z108&lt;&gt;"",EDATE($D108,Milestones!$AA$48)&gt;=$Z108),$AC108,IF(AND($Y108&lt;&gt;"",EDATE($D108,Milestones!$AA$48)&gt;=$Y108),$AB108,$AA108)))=Milestones!$AB$48),UPPER(TEXT(EDATE($D108,Milestones!$AA$48),"dd mmm yy"))&amp;" "&amp;Milestones!$AB$48&amp;" "&amp;IF(AND(Milestones!$AB$48="FT",Milestones!$AA$48=FT_Y5,EDATE($D108,Milestones!$AA$48)&lt;PolicyEff),1,Milestones!$AC$48)&amp;";  ","")&amp;IF(AND(EDATE($D108,Milestones!$AA$49)&lt;=AsOfDate,EDATE($D108,Milestones!$AA$49)&gt;=SchemeStart,IF($X108=0,$AD108,IF(AND($Z108&lt;&gt;"",EDATE($D108,Milestones!$AA$49)&gt;=$Z108),$AC108,IF(AND($Y108&lt;&gt;"",EDATE($D108,Milestones!$AA$49)&gt;=$Y108),$AB108,$AA108)))=Milestones!$AB$49),UPPER(TEXT(EDATE($D108,Milestones!$AA$49),"dd mmm yy"))&amp;" "&amp;Milestones!$AB$49&amp;" "&amp;IF(AND(Milestones!$AB$49="FT",Milestones!$AA$49=FT_Y5,EDATE($D108,Milestones!$AA$49)&lt;PolicyEff),1,Milestones!$AC$49)&amp;";  ","")&amp;IF(AND(EDATE($D108,Milestones!$AA$50)&lt;=AsOfDate,EDATE($D108,Milestones!$AA$50)&gt;=SchemeStart,IF($X108=0,$AD108,IF(AND($Z108&lt;&gt;"",EDATE($D108,Milestones!$AA$50)&gt;=$Z108),$AC108,IF(AND($Y108&lt;&gt;"",EDATE($D108,Milestones!$AA$50)&gt;=$Y108),$AB108,$AA108)))=Milestones!$AB$50),UPPER(TEXT(EDATE($D108,Milestones!$AA$50),"dd mmm yy"))&amp;" "&amp;Milestones!$AB$50&amp;" "&amp;IF(AND(Milestones!$AB$50="FT",Milestones!$AA$50=FT_Y5,EDATE($D108,Milestones!$AA$50)&lt;PolicyEff),1,Milestones!$AC$50)&amp;";  ","")&amp;IF(AND(EDATE($D108,Milestones!$AA$51)&lt;=AsOfDate,EDATE($D108,Milestones!$AA$51)&gt;=SchemeStart,IF($X108=0,$AD108,IF(AND($Z108&lt;&gt;"",EDATE($D108,Milestones!$AA$51)&gt;=$Z108),$AC108,IF(AND($Y108&lt;&gt;"",EDATE($D108,Milestones!$AA$51)&gt;=$Y108),$AB108,$AA108)))=Milestones!$AB$51),UPPER(TEXT(EDATE($D108,Milestones!$AA$51),"dd mmm yy"))&amp;" "&amp;Milestones!$AB$51&amp;" "&amp;IF(AND(Milestones!$AB$51="FT",Milestones!$AA$51=FT_Y5,EDATE($D108,Milestones!$AA$51)&lt;PolicyEff),1,Milestones!$AC$51)&amp;";  ","")&amp;IF(AND(EDATE($D108,Milestones!$AA$52)&lt;=AsOfDate,EDATE($D108,Milestones!$AA$52)&gt;=SchemeStart,IF($X108=0,$AD108,IF(AND($Z108&lt;&gt;"",EDATE($D108,Milestones!$AA$52)&gt;=$Z108),$AC108,IF(AND($Y108&lt;&gt;"",EDATE($D108,Milestones!$AA$52)&gt;=$Y108),$AB108,$AA108)))=Milestones!$AB$52),UPPER(TEXT(EDATE($D108,Milestones!$AA$52),"dd mmm yy"))&amp;" "&amp;Milestones!$AB$52&amp;" "&amp;IF(AND(Milestones!$AB$52="FT",Milestones!$AA$52=FT_Y5,EDATE($D108,Milestones!$AA$52)&lt;PolicyEff),1,Milestones!$AC$52)&amp;";  ","")&amp;IF(AND(EDATE($D108,Milestones!$AA$53)&lt;=AsOfDate,EDATE($D108,Milestones!$AA$53)&gt;=SchemeStart,IF($X108=0,$AD108,IF(AND($Z108&lt;&gt;"",EDATE($D108,Milestones!$AA$53)&gt;=$Z108),$AC108,IF(AND($Y108&lt;&gt;"",EDATE($D108,Milestones!$AA$53)&gt;=$Y108),$AB108,$AA108)))=Milestones!$AB$53),UPPER(TEXT(EDATE($D108,Milestones!$AA$53),"dd mmm yy"))&amp;" "&amp;Milestones!$AB$53&amp;" "&amp;IF(AND(Milestones!$AB$53="FT",Milestones!$AA$53=FT_Y5,EDATE($D108,Milestones!$AA$53)&lt;PolicyEff),1,Milestones!$AC$53)&amp;";  ","")&amp;IF(AND(EDATE($D108,Milestones!$AA$54)&lt;=AsOfDate,EDATE($D108,Milestones!$AA$54)&gt;=SchemeStart,IF($X108=0,$AD108,IF(AND($Z108&lt;&gt;"",EDATE($D108,Milestones!$AA$54)&gt;=$Z108),$AC108,IF(AND($Y108&lt;&gt;"",EDATE($D108,Milestones!$AA$54)&gt;=$Y108),$AB108,$AA108)))=Milestones!$AB$54),UPPER(TEXT(EDATE($D108,Milestones!$AA$54),"dd mmm yy"))&amp;" "&amp;Milestones!$AB$54&amp;" "&amp;IF(AND(Milestones!$AB$54="FT",Milestones!$AA$54=FT_Y5,EDATE($D108,Milestones!$AA$54)&lt;PolicyEff),1,Milestones!$AC$54)&amp;";  ","")&amp;IF(AND(EDATE($D108,Milestones!$AA$55)&lt;=AsOfDate,EDATE($D108,Milestones!$AA$55)&gt;=SchemeStart,IF($X108=0,$AD108,IF(AND($Z108&lt;&gt;"",EDATE($D108,Milestones!$AA$55)&gt;=$Z108),$AC108,IF(AND($Y108&lt;&gt;"",EDATE($D108,Milestones!$AA$55)&gt;=$Y108),$AB108,$AA108)))=Milestones!$AB$55),UPPER(TEXT(EDATE($D108,Milestones!$AA$55),"dd mmm yy"))&amp;" "&amp;Milestones!$AB$55&amp;" "&amp;IF(AND(Milestones!$AB$55="FT",Milestones!$AA$55=FT_Y5,EDATE($D108,Milestones!$AA$55)&lt;PolicyEff),1,Milestones!$AC$55)&amp;";  ",""))</f>
        <v/>
      </c>
      <c r="L108" s="0" t="str">
        <f aca="false">IF(OR($A108="",$D108=""),"",IF(AND(EDATE($D108,Milestones!$AA$56)&lt;=AsOfDate,EDATE($D108,Milestones!$AA$56)&gt;=SchemeStart,IF($X108=0,$AD108,IF(AND($Z108&lt;&gt;"",EDATE($D108,Milestones!$AA$56)&gt;=$Z108),$AC108,IF(AND($Y108&lt;&gt;"",EDATE($D108,Milestones!$AA$56)&gt;=$Y108),$AB108,$AA108)))=Milestones!$AB$56),UPPER(TEXT(EDATE($D108,Milestones!$AA$56),"dd mmm yy"))&amp;" "&amp;Milestones!$AB$56&amp;" "&amp;IF(AND(Milestones!$AB$56="FT",Milestones!$AA$56=FT_Y5,EDATE($D108,Milestones!$AA$56)&lt;PolicyEff),1,Milestones!$AC$56)&amp;";  ","")&amp;IF(AND(EDATE($D108,Milestones!$AA$57)&lt;=AsOfDate,EDATE($D108,Milestones!$AA$57)&gt;=SchemeStart,IF($X108=0,$AD108,IF(AND($Z108&lt;&gt;"",EDATE($D108,Milestones!$AA$57)&gt;=$Z108),$AC108,IF(AND($Y108&lt;&gt;"",EDATE($D108,Milestones!$AA$57)&gt;=$Y108),$AB108,$AA108)))=Milestones!$AB$57),UPPER(TEXT(EDATE($D108,Milestones!$AA$57),"dd mmm yy"))&amp;" "&amp;Milestones!$AB$57&amp;" "&amp;IF(AND(Milestones!$AB$57="FT",Milestones!$AA$57=FT_Y5,EDATE($D108,Milestones!$AA$57)&lt;PolicyEff),1,Milestones!$AC$57)&amp;";  ","")&amp;IF(AND(EDATE($D108,Milestones!$AA$58)&lt;=AsOfDate,EDATE($D108,Milestones!$AA$58)&gt;=SchemeStart,IF($X108=0,$AD108,IF(AND($Z108&lt;&gt;"",EDATE($D108,Milestones!$AA$58)&gt;=$Z108),$AC108,IF(AND($Y108&lt;&gt;"",EDATE($D108,Milestones!$AA$58)&gt;=$Y108),$AB108,$AA108)))=Milestones!$AB$58),UPPER(TEXT(EDATE($D108,Milestones!$AA$58),"dd mmm yy"))&amp;" "&amp;Milestones!$AB$58&amp;" "&amp;IF(AND(Milestones!$AB$58="FT",Milestones!$AA$58=FT_Y5,EDATE($D108,Milestones!$AA$58)&lt;PolicyEff),1,Milestones!$AC$58)&amp;";  ","")&amp;IF(AND(EDATE($D108,Milestones!$AA$59)&lt;=AsOfDate,EDATE($D108,Milestones!$AA$59)&gt;=SchemeStart,IF($X108=0,$AD108,IF(AND($Z108&lt;&gt;"",EDATE($D108,Milestones!$AA$59)&gt;=$Z108),$AC108,IF(AND($Y108&lt;&gt;"",EDATE($D108,Milestones!$AA$59)&gt;=$Y108),$AB108,$AA108)))=Milestones!$AB$59),UPPER(TEXT(EDATE($D108,Milestones!$AA$59),"dd mmm yy"))&amp;" "&amp;Milestones!$AB$59&amp;" "&amp;IF(AND(Milestones!$AB$59="FT",Milestones!$AA$59=FT_Y5,EDATE($D108,Milestones!$AA$59)&lt;PolicyEff),1,Milestones!$AC$59)&amp;";  ","")&amp;IF(AND(EDATE($D108,Milestones!$AA$60)&lt;=AsOfDate,EDATE($D108,Milestones!$AA$60)&gt;=SchemeStart,IF($X108=0,$AD108,IF(AND($Z108&lt;&gt;"",EDATE($D108,Milestones!$AA$60)&gt;=$Z108),$AC108,IF(AND($Y108&lt;&gt;"",EDATE($D108,Milestones!$AA$60)&gt;=$Y108),$AB108,$AA108)))=Milestones!$AB$60),UPPER(TEXT(EDATE($D108,Milestones!$AA$60),"dd mmm yy"))&amp;" "&amp;Milestones!$AB$60&amp;" "&amp;IF(AND(Milestones!$AB$60="FT",Milestones!$AA$60=FT_Y5,EDATE($D108,Milestones!$AA$60)&lt;PolicyEff),1,Milestones!$AC$60)&amp;";  ","")&amp;IF(AND(EDATE($D108,Milestones!$AA$61)&lt;=AsOfDate,EDATE($D108,Milestones!$AA$61)&gt;=SchemeStart,IF($X108=0,$AD108,IF(AND($Z108&lt;&gt;"",EDATE($D108,Milestones!$AA$61)&gt;=$Z108),$AC108,IF(AND($Y108&lt;&gt;"",EDATE($D108,Milestones!$AA$61)&gt;=$Y108),$AB108,$AA108)))=Milestones!$AB$61),UPPER(TEXT(EDATE($D108,Milestones!$AA$61),"dd mmm yy"))&amp;" "&amp;Milestones!$AB$61&amp;" "&amp;IF(AND(Milestones!$AB$61="FT",Milestones!$AA$61=FT_Y5,EDATE($D108,Milestones!$AA$61)&lt;PolicyEff),1,Milestones!$AC$61)&amp;";  ","")&amp;IF(AND(EDATE($D108,Milestones!$AA$62)&lt;=AsOfDate,EDATE($D108,Milestones!$AA$62)&gt;=SchemeStart,IF($X108=0,$AD108,IF(AND($Z108&lt;&gt;"",EDATE($D108,Milestones!$AA$62)&gt;=$Z108),$AC108,IF(AND($Y108&lt;&gt;"",EDATE($D108,Milestones!$AA$62)&gt;=$Y108),$AB108,$AA108)))=Milestones!$AB$62),UPPER(TEXT(EDATE($D108,Milestones!$AA$62),"dd mmm yy"))&amp;" "&amp;Milestones!$AB$62&amp;" "&amp;IF(AND(Milestones!$AB$62="FT",Milestones!$AA$62=FT_Y5,EDATE($D108,Milestones!$AA$62)&lt;PolicyEff),1,Milestones!$AC$62)&amp;";  ","")&amp;IF(AND(EDATE($D108,Milestones!$AA$63)&lt;=AsOfDate,EDATE($D108,Milestones!$AA$63)&gt;=SchemeStart,IF($X108=0,$AD108,IF(AND($Z108&lt;&gt;"",EDATE($D108,Milestones!$AA$63)&gt;=$Z108),$AC108,IF(AND($Y108&lt;&gt;"",EDATE($D108,Milestones!$AA$63)&gt;=$Y108),$AB108,$AA108)))=Milestones!$AB$63),UPPER(TEXT(EDATE($D108,Milestones!$AA$63),"dd mmm yy"))&amp;" "&amp;Milestones!$AB$63&amp;" "&amp;IF(AND(Milestones!$AB$63="FT",Milestones!$AA$63=FT_Y5,EDATE($D108,Milestones!$AA$63)&lt;PolicyEff),1,Milestones!$AC$63)&amp;";  ","")&amp;IF(AND(EDATE($D108,Milestones!$AA$64)&lt;=AsOfDate,EDATE($D108,Milestones!$AA$64)&gt;=SchemeStart,IF($X108=0,$AD108,IF(AND($Z108&lt;&gt;"",EDATE($D108,Milestones!$AA$64)&gt;=$Z108),$AC108,IF(AND($Y108&lt;&gt;"",EDATE($D108,Milestones!$AA$64)&gt;=$Y108),$AB108,$AA108)))=Milestones!$AB$64),UPPER(TEXT(EDATE($D108,Milestones!$AA$64),"dd mmm yy"))&amp;" "&amp;Milestones!$AB$64&amp;" "&amp;IF(AND(Milestones!$AB$64="FT",Milestones!$AA$64=FT_Y5,EDATE($D108,Milestones!$AA$64)&lt;PolicyEff),1,Milestones!$AC$64)&amp;";  ","")&amp;IF(AND(EDATE($D108,Milestones!$AA$65)&lt;=AsOfDate,EDATE($D108,Milestones!$AA$65)&gt;=SchemeStart,IF($X108=0,$AD108,IF(AND($Z108&lt;&gt;"",EDATE($D108,Milestones!$AA$65)&gt;=$Z108),$AC108,IF(AND($Y108&lt;&gt;"",EDATE($D108,Milestones!$AA$65)&gt;=$Y108),$AB108,$AA108)))=Milestones!$AB$65),UPPER(TEXT(EDATE($D108,Milestones!$AA$65),"dd mmm yy"))&amp;" "&amp;Milestones!$AB$65&amp;" "&amp;IF(AND(Milestones!$AB$65="FT",Milestones!$AA$65=FT_Y5,EDATE($D108,Milestones!$AA$65)&lt;PolicyEff),1,Milestones!$AC$65)&amp;";  ","")&amp;IF(AND(EDATE($D108,Milestones!$AA$66)&lt;=AsOfDate,EDATE($D108,Milestones!$AA$66)&gt;=SchemeStart,IF($X108=0,$AD108,IF(AND($Z108&lt;&gt;"",EDATE($D108,Milestones!$AA$66)&gt;=$Z108),$AC108,IF(AND($Y108&lt;&gt;"",EDATE($D108,Milestones!$AA$66)&gt;=$Y108),$AB108,$AA108)))=Milestones!$AB$66),UPPER(TEXT(EDATE($D108,Milestones!$AA$66),"dd mmm yy"))&amp;" "&amp;Milestones!$AB$66&amp;" "&amp;IF(AND(Milestones!$AB$66="FT",Milestones!$AA$66=FT_Y5,EDATE($D108,Milestones!$AA$66)&lt;PolicyEff),1,Milestones!$AC$66)&amp;";  ","")&amp;IF(AND(EDATE($D108,Milestones!$AA$67)&lt;=AsOfDate,EDATE($D108,Milestones!$AA$67)&gt;=SchemeStart,IF($X108=0,$AD108,IF(AND($Z108&lt;&gt;"",EDATE($D108,Milestones!$AA$67)&gt;=$Z108),$AC108,IF(AND($Y108&lt;&gt;"",EDATE($D108,Milestones!$AA$67)&gt;=$Y108),$AB108,$AA108)))=Milestones!$AB$67),UPPER(TEXT(EDATE($D108,Milestones!$AA$67),"dd mmm yy"))&amp;" "&amp;Milestones!$AB$67&amp;" "&amp;IF(AND(Milestones!$AB$67="FT",Milestones!$AA$67=FT_Y5,EDATE($D108,Milestones!$AA$67)&lt;PolicyEff),1,Milestones!$AC$67)&amp;";  ",""))</f>
        <v/>
      </c>
      <c r="M108" s="0" t="str">
        <f aca="false">IF(OR($A108="",$D108=""),"",IF(AND(EDATE($D108,Milestones!$AA$68)&lt;=AsOfDate,EDATE($D108,Milestones!$AA$68)&gt;=SchemeStart,IF($X108=0,$AD108,IF(AND($Z108&lt;&gt;"",EDATE($D108,Milestones!$AA$68)&gt;=$Z108),$AC108,IF(AND($Y108&lt;&gt;"",EDATE($D108,Milestones!$AA$68)&gt;=$Y108),$AB108,$AA108)))=Milestones!$AB$68),UPPER(TEXT(EDATE($D108,Milestones!$AA$68),"dd mmm yy"))&amp;" "&amp;Milestones!$AB$68&amp;" "&amp;IF(AND(Milestones!$AB$68="FT",Milestones!$AA$68=FT_Y5,EDATE($D108,Milestones!$AA$68)&lt;PolicyEff),1,Milestones!$AC$68)&amp;";  ","")&amp;IF(AND(EDATE($D108,Milestones!$AA$69)&lt;=AsOfDate,EDATE($D108,Milestones!$AA$69)&gt;=SchemeStart,IF($X108=0,$AD108,IF(AND($Z108&lt;&gt;"",EDATE($D108,Milestones!$AA$69)&gt;=$Z108),$AC108,IF(AND($Y108&lt;&gt;"",EDATE($D108,Milestones!$AA$69)&gt;=$Y108),$AB108,$AA108)))=Milestones!$AB$69),UPPER(TEXT(EDATE($D108,Milestones!$AA$69),"dd mmm yy"))&amp;" "&amp;Milestones!$AB$69&amp;" "&amp;IF(AND(Milestones!$AB$69="FT",Milestones!$AA$69=FT_Y5,EDATE($D108,Milestones!$AA$69)&lt;PolicyEff),1,Milestones!$AC$69)&amp;";  ","")&amp;IF(AND(EDATE($D108,Milestones!$AA$70)&lt;=AsOfDate,EDATE($D108,Milestones!$AA$70)&gt;=SchemeStart,IF($X108=0,$AD108,IF(AND($Z108&lt;&gt;"",EDATE($D108,Milestones!$AA$70)&gt;=$Z108),$AC108,IF(AND($Y108&lt;&gt;"",EDATE($D108,Milestones!$AA$70)&gt;=$Y108),$AB108,$AA108)))=Milestones!$AB$70),UPPER(TEXT(EDATE($D108,Milestones!$AA$70),"dd mmm yy"))&amp;" "&amp;Milestones!$AB$70&amp;" "&amp;IF(AND(Milestones!$AB$70="FT",Milestones!$AA$70=FT_Y5,EDATE($D108,Milestones!$AA$70)&lt;PolicyEff),1,Milestones!$AC$70)&amp;";  ","")&amp;IF(AND(EDATE($D108,Milestones!$AA$71)&lt;=AsOfDate,EDATE($D108,Milestones!$AA$71)&gt;=SchemeStart,IF($X108=0,$AD108,IF(AND($Z108&lt;&gt;"",EDATE($D108,Milestones!$AA$71)&gt;=$Z108),$AC108,IF(AND($Y108&lt;&gt;"",EDATE($D108,Milestones!$AA$71)&gt;=$Y108),$AB108,$AA108)))=Milestones!$AB$71),UPPER(TEXT(EDATE($D108,Milestones!$AA$71),"dd mmm yy"))&amp;" "&amp;Milestones!$AB$71&amp;" "&amp;IF(AND(Milestones!$AB$71="FT",Milestones!$AA$71=FT_Y5,EDATE($D108,Milestones!$AA$71)&lt;PolicyEff),1,Milestones!$AC$71)&amp;";  ","")&amp;IF(AND(EDATE($D108,Milestones!$AA$72)&lt;=AsOfDate,EDATE($D108,Milestones!$AA$72)&gt;=SchemeStart,IF($X108=0,$AD108,IF(AND($Z108&lt;&gt;"",EDATE($D108,Milestones!$AA$72)&gt;=$Z108),$AC108,IF(AND($Y108&lt;&gt;"",EDATE($D108,Milestones!$AA$72)&gt;=$Y108),$AB108,$AA108)))=Milestones!$AB$72),UPPER(TEXT(EDATE($D108,Milestones!$AA$72),"dd mmm yy"))&amp;" "&amp;Milestones!$AB$72&amp;" "&amp;IF(AND(Milestones!$AB$72="FT",Milestones!$AA$72=FT_Y5,EDATE($D108,Milestones!$AA$72)&lt;PolicyEff),1,Milestones!$AC$72)&amp;";  ","")&amp;IF(AND(EDATE($D108,Milestones!$AA$73)&lt;=AsOfDate,EDATE($D108,Milestones!$AA$73)&gt;=SchemeStart,IF($X108=0,$AD108,IF(AND($Z108&lt;&gt;"",EDATE($D108,Milestones!$AA$73)&gt;=$Z108),$AC108,IF(AND($Y108&lt;&gt;"",EDATE($D108,Milestones!$AA$73)&gt;=$Y108),$AB108,$AA108)))=Milestones!$AB$73),UPPER(TEXT(EDATE($D108,Milestones!$AA$73),"dd mmm yy"))&amp;" "&amp;Milestones!$AB$73&amp;" "&amp;IF(AND(Milestones!$AB$73="FT",Milestones!$AA$73=FT_Y5,EDATE($D108,Milestones!$AA$73)&lt;PolicyEff),1,Milestones!$AC$73)&amp;";  ","")&amp;IF(AND(EDATE($D108,Milestones!$AA$74)&lt;=AsOfDate,EDATE($D108,Milestones!$AA$74)&gt;=SchemeStart,IF($X108=0,$AD108,IF(AND($Z108&lt;&gt;"",EDATE($D108,Milestones!$AA$74)&gt;=$Z108),$AC108,IF(AND($Y108&lt;&gt;"",EDATE($D108,Milestones!$AA$74)&gt;=$Y108),$AB108,$AA108)))=Milestones!$AB$74),UPPER(TEXT(EDATE($D108,Milestones!$AA$74),"dd mmm yy"))&amp;" "&amp;Milestones!$AB$74&amp;" "&amp;IF(AND(Milestones!$AB$74="FT",Milestones!$AA$74=FT_Y5,EDATE($D108,Milestones!$AA$74)&lt;PolicyEff),1,Milestones!$AC$74)&amp;";  ","")&amp;IF(AND(EDATE($D108,Milestones!$AA$75)&lt;=AsOfDate,EDATE($D108,Milestones!$AA$75)&gt;=SchemeStart,IF($X108=0,$AD108,IF(AND($Z108&lt;&gt;"",EDATE($D108,Milestones!$AA$75)&gt;=$Z108),$AC108,IF(AND($Y108&lt;&gt;"",EDATE($D108,Milestones!$AA$75)&gt;=$Y108),$AB108,$AA108)))=Milestones!$AB$75),UPPER(TEXT(EDATE($D108,Milestones!$AA$75),"dd mmm yy"))&amp;" "&amp;Milestones!$AB$75&amp;" "&amp;IF(AND(Milestones!$AB$75="FT",Milestones!$AA$75=FT_Y5,EDATE($D108,Milestones!$AA$75)&lt;PolicyEff),1,Milestones!$AC$75)&amp;";  ","")&amp;IF(AND(EDATE($D108,Milestones!$AA$76)&lt;=AsOfDate,EDATE($D108,Milestones!$AA$76)&gt;=SchemeStart,IF($X108=0,$AD108,IF(AND($Z108&lt;&gt;"",EDATE($D108,Milestones!$AA$76)&gt;=$Z108),$AC108,IF(AND($Y108&lt;&gt;"",EDATE($D108,Milestones!$AA$76)&gt;=$Y108),$AB108,$AA108)))=Milestones!$AB$76),UPPER(TEXT(EDATE($D108,Milestones!$AA$76),"dd mmm yy"))&amp;" "&amp;Milestones!$AB$76&amp;" "&amp;IF(AND(Milestones!$AB$76="FT",Milestones!$AA$76=FT_Y5,EDATE($D108,Milestones!$AA$76)&lt;PolicyEff),1,Milestones!$AC$76)&amp;";  ","")&amp;IF(AND(EDATE($D108,Milestones!$AA$77)&lt;=AsOfDate,EDATE($D108,Milestones!$AA$77)&gt;=SchemeStart,IF($X108=0,$AD108,IF(AND($Z108&lt;&gt;"",EDATE($D108,Milestones!$AA$77)&gt;=$Z108),$AC108,IF(AND($Y108&lt;&gt;"",EDATE($D108,Milestones!$AA$77)&gt;=$Y108),$AB108,$AA108)))=Milestones!$AB$77),UPPER(TEXT(EDATE($D108,Milestones!$AA$77),"dd mmm yy"))&amp;" "&amp;Milestones!$AB$77&amp;" "&amp;IF(AND(Milestones!$AB$77="FT",Milestones!$AA$77=FT_Y5,EDATE($D108,Milestones!$AA$77)&lt;PolicyEff),1,Milestones!$AC$77)&amp;";  ","")&amp;IF(AND(EDATE($D108,Milestones!$AA$78)&lt;=AsOfDate,EDATE($D108,Milestones!$AA$78)&gt;=SchemeStart,IF($X108=0,$AD108,IF(AND($Z108&lt;&gt;"",EDATE($D108,Milestones!$AA$78)&gt;=$Z108),$AC108,IF(AND($Y108&lt;&gt;"",EDATE($D108,Milestones!$AA$78)&gt;=$Y108),$AB108,$AA108)))=Milestones!$AB$78),UPPER(TEXT(EDATE($D108,Milestones!$AA$78),"dd mmm yy"))&amp;" "&amp;Milestones!$AB$78&amp;" "&amp;IF(AND(Milestones!$AB$78="FT",Milestones!$AA$78=FT_Y5,EDATE($D108,Milestones!$AA$78)&lt;PolicyEff),1,Milestones!$AC$78)&amp;";  ","")&amp;IF(AND(EDATE($D108,Milestones!$AA$79)&lt;=AsOfDate,EDATE($D108,Milestones!$AA$79)&gt;=SchemeStart,IF($X108=0,$AD108,IF(AND($Z108&lt;&gt;"",EDATE($D108,Milestones!$AA$79)&gt;=$Z108),$AC108,IF(AND($Y108&lt;&gt;"",EDATE($D108,Milestones!$AA$79)&gt;=$Y108),$AB108,$AA108)))=Milestones!$AB$79),UPPER(TEXT(EDATE($D108,Milestones!$AA$79),"dd mmm yy"))&amp;" "&amp;Milestones!$AB$79&amp;" "&amp;IF(AND(Milestones!$AB$79="FT",Milestones!$AA$79=FT_Y5,EDATE($D108,Milestones!$AA$79)&lt;PolicyEff),1,Milestones!$AC$79)&amp;";  ",""))</f>
        <v/>
      </c>
      <c r="N108" s="0" t="str">
        <f aca="false">IF(OR($A108="",$D108=""),"",IF(AND(EDATE($D108,Milestones!$AA$80)&lt;=AsOfDate,EDATE($D108,Milestones!$AA$80)&gt;=SchemeStart,IF($X108=0,$AD108,IF(AND($Z108&lt;&gt;"",EDATE($D108,Milestones!$AA$80)&gt;=$Z108),$AC108,IF(AND($Y108&lt;&gt;"",EDATE($D108,Milestones!$AA$80)&gt;=$Y108),$AB108,$AA108)))=Milestones!$AB$80),UPPER(TEXT(EDATE($D108,Milestones!$AA$80),"dd mmm yy"))&amp;" "&amp;Milestones!$AB$80&amp;" "&amp;IF(AND(Milestones!$AB$80="FT",Milestones!$AA$80=FT_Y5,EDATE($D108,Milestones!$AA$80)&lt;PolicyEff),1,Milestones!$AC$80)&amp;";  ","")&amp;IF(AND(EDATE($D108,Milestones!$AA$81)&lt;=AsOfDate,EDATE($D108,Milestones!$AA$81)&gt;=SchemeStart,IF($X108=0,$AD108,IF(AND($Z108&lt;&gt;"",EDATE($D108,Milestones!$AA$81)&gt;=$Z108),$AC108,IF(AND($Y108&lt;&gt;"",EDATE($D108,Milestones!$AA$81)&gt;=$Y108),$AB108,$AA108)))=Milestones!$AB$81),UPPER(TEXT(EDATE($D108,Milestones!$AA$81),"dd mmm yy"))&amp;" "&amp;Milestones!$AB$81&amp;" "&amp;IF(AND(Milestones!$AB$81="FT",Milestones!$AA$81=FT_Y5,EDATE($D108,Milestones!$AA$81)&lt;PolicyEff),1,Milestones!$AC$81)&amp;";  ","")&amp;IF(AND(EDATE($D108,Milestones!$AA$82)&lt;=AsOfDate,EDATE($D108,Milestones!$AA$82)&gt;=SchemeStart,IF($X108=0,$AD108,IF(AND($Z108&lt;&gt;"",EDATE($D108,Milestones!$AA$82)&gt;=$Z108),$AC108,IF(AND($Y108&lt;&gt;"",EDATE($D108,Milestones!$AA$82)&gt;=$Y108),$AB108,$AA108)))=Milestones!$AB$82),UPPER(TEXT(EDATE($D108,Milestones!$AA$82),"dd mmm yy"))&amp;" "&amp;Milestones!$AB$82&amp;" "&amp;IF(AND(Milestones!$AB$82="FT",Milestones!$AA$82=FT_Y5,EDATE($D108,Milestones!$AA$82)&lt;PolicyEff),1,Milestones!$AC$82)&amp;";  ","")&amp;IF(AND(EDATE($D108,Milestones!$AA$83)&lt;=AsOfDate,EDATE($D108,Milestones!$AA$83)&gt;=SchemeStart,IF($X108=0,$AD108,IF(AND($Z108&lt;&gt;"",EDATE($D108,Milestones!$AA$83)&gt;=$Z108),$AC108,IF(AND($Y108&lt;&gt;"",EDATE($D108,Milestones!$AA$83)&gt;=$Y108),$AB108,$AA108)))=Milestones!$AB$83),UPPER(TEXT(EDATE($D108,Milestones!$AA$83),"dd mmm yy"))&amp;" "&amp;Milestones!$AB$83&amp;" "&amp;IF(AND(Milestones!$AB$83="FT",Milestones!$AA$83=FT_Y5,EDATE($D108,Milestones!$AA$83)&lt;PolicyEff),1,Milestones!$AC$83)&amp;";  ","")&amp;IF(AND(EDATE($D108,Milestones!$AA$84)&lt;=AsOfDate,EDATE($D108,Milestones!$AA$84)&gt;=SchemeStart,IF($X108=0,$AD108,IF(AND($Z108&lt;&gt;"",EDATE($D108,Milestones!$AA$84)&gt;=$Z108),$AC108,IF(AND($Y108&lt;&gt;"",EDATE($D108,Milestones!$AA$84)&gt;=$Y108),$AB108,$AA108)))=Milestones!$AB$84),UPPER(TEXT(EDATE($D108,Milestones!$AA$84),"dd mmm yy"))&amp;" "&amp;Milestones!$AB$84&amp;" "&amp;IF(AND(Milestones!$AB$84="FT",Milestones!$AA$84=FT_Y5,EDATE($D108,Milestones!$AA$84)&lt;PolicyEff),1,Milestones!$AC$84)&amp;";  ","")&amp;IF(AND(EDATE($D108,Milestones!$AA$85)&lt;=AsOfDate,EDATE($D108,Milestones!$AA$85)&gt;=SchemeStart,IF($X108=0,$AD108,IF(AND($Z108&lt;&gt;"",EDATE($D108,Milestones!$AA$85)&gt;=$Z108),$AC108,IF(AND($Y108&lt;&gt;"",EDATE($D108,Milestones!$AA$85)&gt;=$Y108),$AB108,$AA108)))=Milestones!$AB$85),UPPER(TEXT(EDATE($D108,Milestones!$AA$85),"dd mmm yy"))&amp;" "&amp;Milestones!$AB$85&amp;" "&amp;IF(AND(Milestones!$AB$85="FT",Milestones!$AA$85=FT_Y5,EDATE($D108,Milestones!$AA$85)&lt;PolicyEff),1,Milestones!$AC$85)&amp;";  ","")&amp;IF(AND(EDATE($D108,Milestones!$AA$86)&lt;=AsOfDate,EDATE($D108,Milestones!$AA$86)&gt;=SchemeStart,IF($X108=0,$AD108,IF(AND($Z108&lt;&gt;"",EDATE($D108,Milestones!$AA$86)&gt;=$Z108),$AC108,IF(AND($Y108&lt;&gt;"",EDATE($D108,Milestones!$AA$86)&gt;=$Y108),$AB108,$AA108)))=Milestones!$AB$86),UPPER(TEXT(EDATE($D108,Milestones!$AA$86),"dd mmm yy"))&amp;" "&amp;Milestones!$AB$86&amp;" "&amp;IF(AND(Milestones!$AB$86="FT",Milestones!$AA$86=FT_Y5,EDATE($D108,Milestones!$AA$86)&lt;PolicyEff),1,Milestones!$AC$86)&amp;";  ","")&amp;IF(AND(EDATE($D108,Milestones!$AA$87)&lt;=AsOfDate,EDATE($D108,Milestones!$AA$87)&gt;=SchemeStart,IF($X108=0,$AD108,IF(AND($Z108&lt;&gt;"",EDATE($D108,Milestones!$AA$87)&gt;=$Z108),$AC108,IF(AND($Y108&lt;&gt;"",EDATE($D108,Milestones!$AA$87)&gt;=$Y108),$AB108,$AA108)))=Milestones!$AB$87),UPPER(TEXT(EDATE($D108,Milestones!$AA$87),"dd mmm yy"))&amp;" "&amp;Milestones!$AB$87&amp;" "&amp;IF(AND(Milestones!$AB$87="FT",Milestones!$AA$87=FT_Y5,EDATE($D108,Milestones!$AA$87)&lt;PolicyEff),1,Milestones!$AC$87)&amp;";  ","")&amp;IF(AND(EDATE($D108,Milestones!$AA$88)&lt;=AsOfDate,EDATE($D108,Milestones!$AA$88)&gt;=SchemeStart,IF($X108=0,$AD108,IF(AND($Z108&lt;&gt;"",EDATE($D108,Milestones!$AA$88)&gt;=$Z108),$AC108,IF(AND($Y108&lt;&gt;"",EDATE($D108,Milestones!$AA$88)&gt;=$Y108),$AB108,$AA108)))=Milestones!$AB$88),UPPER(TEXT(EDATE($D108,Milestones!$AA$88),"dd mmm yy"))&amp;" "&amp;Milestones!$AB$88&amp;" "&amp;IF(AND(Milestones!$AB$88="FT",Milestones!$AA$88=FT_Y5,EDATE($D108,Milestones!$AA$88)&lt;PolicyEff),1,Milestones!$AC$88)&amp;";  ","")&amp;IF(AND(EDATE($D108,Milestones!$AA$89)&lt;=AsOfDate,EDATE($D108,Milestones!$AA$89)&gt;=SchemeStart,IF($X108=0,$AD108,IF(AND($Z108&lt;&gt;"",EDATE($D108,Milestones!$AA$89)&gt;=$Z108),$AC108,IF(AND($Y108&lt;&gt;"",EDATE($D108,Milestones!$AA$89)&gt;=$Y108),$AB108,$AA108)))=Milestones!$AB$89),UPPER(TEXT(EDATE($D108,Milestones!$AA$89),"dd mmm yy"))&amp;" "&amp;Milestones!$AB$89&amp;" "&amp;IF(AND(Milestones!$AB$89="FT",Milestones!$AA$89=FT_Y5,EDATE($D108,Milestones!$AA$89)&lt;PolicyEff),1,Milestones!$AC$89)&amp;";  ","")&amp;IF(AND(EDATE($D108,Milestones!$AA$90)&lt;=AsOfDate,EDATE($D108,Milestones!$AA$90)&gt;=SchemeStart,IF($X108=0,$AD108,IF(AND($Z108&lt;&gt;"",EDATE($D108,Milestones!$AA$90)&gt;=$Z108),$AC108,IF(AND($Y108&lt;&gt;"",EDATE($D108,Milestones!$AA$90)&gt;=$Y108),$AB108,$AA108)))=Milestones!$AB$90),UPPER(TEXT(EDATE($D108,Milestones!$AA$90),"dd mmm yy"))&amp;" "&amp;Milestones!$AB$90&amp;" "&amp;IF(AND(Milestones!$AB$90="FT",Milestones!$AA$90=FT_Y5,EDATE($D108,Milestones!$AA$90)&lt;PolicyEff),1,Milestones!$AC$90)&amp;";  ","")&amp;IF(AND(EDATE($D108,Milestones!$AA$91)&lt;=AsOfDate,EDATE($D108,Milestones!$AA$91)&gt;=SchemeStart,IF($X108=0,$AD108,IF(AND($Z108&lt;&gt;"",EDATE($D108,Milestones!$AA$91)&gt;=$Z108),$AC108,IF(AND($Y108&lt;&gt;"",EDATE($D108,Milestones!$AA$91)&gt;=$Y108),$AB108,$AA108)))=Milestones!$AB$91),UPPER(TEXT(EDATE($D108,Milestones!$AA$91),"dd mmm yy"))&amp;" "&amp;Milestones!$AB$91&amp;" "&amp;IF(AND(Milestones!$AB$91="FT",Milestones!$AA$91=FT_Y5,EDATE($D108,Milestones!$AA$91)&lt;PolicyEff),1,Milestones!$AC$91)&amp;";  ",""))</f>
        <v/>
      </c>
      <c r="O108" s="0" t="str">
        <f aca="false">IF(OR($A108="",$D108=""),"",IF(AND(EDATE($D108,Milestones!$AA$92)&lt;=AsOfDate,EDATE($D108,Milestones!$AA$92)&gt;=SchemeStart,IF($X108=0,$AD108,IF(AND($Z108&lt;&gt;"",EDATE($D108,Milestones!$AA$92)&gt;=$Z108),$AC108,IF(AND($Y108&lt;&gt;"",EDATE($D108,Milestones!$AA$92)&gt;=$Y108),$AB108,$AA108)))=Milestones!$AB$92),UPPER(TEXT(EDATE($D108,Milestones!$AA$92),"dd mmm yy"))&amp;" "&amp;Milestones!$AB$92&amp;" "&amp;IF(AND(Milestones!$AB$92="FT",Milestones!$AA$92=FT_Y5,EDATE($D108,Milestones!$AA$92)&lt;PolicyEff),1,Milestones!$AC$92)&amp;";  ","")&amp;IF(AND(EDATE($D108,Milestones!$AA$93)&lt;=AsOfDate,EDATE($D108,Milestones!$AA$93)&gt;=SchemeStart,IF($X108=0,$AD108,IF(AND($Z108&lt;&gt;"",EDATE($D108,Milestones!$AA$93)&gt;=$Z108),$AC108,IF(AND($Y108&lt;&gt;"",EDATE($D108,Milestones!$AA$93)&gt;=$Y108),$AB108,$AA108)))=Milestones!$AB$93),UPPER(TEXT(EDATE($D108,Milestones!$AA$93),"dd mmm yy"))&amp;" "&amp;Milestones!$AB$93&amp;" "&amp;IF(AND(Milestones!$AB$93="FT",Milestones!$AA$93=FT_Y5,EDATE($D108,Milestones!$AA$93)&lt;PolicyEff),1,Milestones!$AC$93)&amp;";  ","")&amp;IF(AND(EDATE($D108,Milestones!$AA$94)&lt;=AsOfDate,EDATE($D108,Milestones!$AA$94)&gt;=SchemeStart,IF($X108=0,$AD108,IF(AND($Z108&lt;&gt;"",EDATE($D108,Milestones!$AA$94)&gt;=$Z108),$AC108,IF(AND($Y108&lt;&gt;"",EDATE($D108,Milestones!$AA$94)&gt;=$Y108),$AB108,$AA108)))=Milestones!$AB$94),UPPER(TEXT(EDATE($D108,Milestones!$AA$94),"dd mmm yy"))&amp;" "&amp;Milestones!$AB$94&amp;" "&amp;IF(AND(Milestones!$AB$94="FT",Milestones!$AA$94=FT_Y5,EDATE($D108,Milestones!$AA$94)&lt;PolicyEff),1,Milestones!$AC$94)&amp;";  ","")&amp;IF(AND(EDATE($D108,Milestones!$AA$95)&lt;=AsOfDate,EDATE($D108,Milestones!$AA$95)&gt;=SchemeStart,IF($X108=0,$AD108,IF(AND($Z108&lt;&gt;"",EDATE($D108,Milestones!$AA$95)&gt;=$Z108),$AC108,IF(AND($Y108&lt;&gt;"",EDATE($D108,Milestones!$AA$95)&gt;=$Y108),$AB108,$AA108)))=Milestones!$AB$95),UPPER(TEXT(EDATE($D108,Milestones!$AA$95),"dd mmm yy"))&amp;" "&amp;Milestones!$AB$95&amp;" "&amp;IF(AND(Milestones!$AB$95="FT",Milestones!$AA$95=FT_Y5,EDATE($D108,Milestones!$AA$95)&lt;PolicyEff),1,Milestones!$AC$95)&amp;";  ","")&amp;IF(AND(EDATE($D108,Milestones!$AA$96)&lt;=AsOfDate,EDATE($D108,Milestones!$AA$96)&gt;=SchemeStart,IF($X108=0,$AD108,IF(AND($Z108&lt;&gt;"",EDATE($D108,Milestones!$AA$96)&gt;=$Z108),$AC108,IF(AND($Y108&lt;&gt;"",EDATE($D108,Milestones!$AA$96)&gt;=$Y108),$AB108,$AA108)))=Milestones!$AB$96),UPPER(TEXT(EDATE($D108,Milestones!$AA$96),"dd mmm yy"))&amp;" "&amp;Milestones!$AB$96&amp;" "&amp;IF(AND(Milestones!$AB$96="FT",Milestones!$AA$96=FT_Y5,EDATE($D108,Milestones!$AA$96)&lt;PolicyEff),1,Milestones!$AC$96)&amp;";  ","")&amp;IF(AND(EDATE($D108,Milestones!$AA$97)&lt;=AsOfDate,EDATE($D108,Milestones!$AA$97)&gt;=SchemeStart,IF($X108=0,$AD108,IF(AND($Z108&lt;&gt;"",EDATE($D108,Milestones!$AA$97)&gt;=$Z108),$AC108,IF(AND($Y108&lt;&gt;"",EDATE($D108,Milestones!$AA$97)&gt;=$Y108),$AB108,$AA108)))=Milestones!$AB$97),UPPER(TEXT(EDATE($D108,Milestones!$AA$97),"dd mmm yy"))&amp;" "&amp;Milestones!$AB$97&amp;" "&amp;IF(AND(Milestones!$AB$97="FT",Milestones!$AA$97=FT_Y5,EDATE($D108,Milestones!$AA$97)&lt;PolicyEff),1,Milestones!$AC$97)&amp;";  ","")&amp;IF(AND(EDATE($D108,Milestones!$AA$98)&lt;=AsOfDate,EDATE($D108,Milestones!$AA$98)&gt;=SchemeStart,IF($X108=0,$AD108,IF(AND($Z108&lt;&gt;"",EDATE($D108,Milestones!$AA$98)&gt;=$Z108),$AC108,IF(AND($Y108&lt;&gt;"",EDATE($D108,Milestones!$AA$98)&gt;=$Y108),$AB108,$AA108)))=Milestones!$AB$98),UPPER(TEXT(EDATE($D108,Milestones!$AA$98),"dd mmm yy"))&amp;" "&amp;Milestones!$AB$98&amp;" "&amp;IF(AND(Milestones!$AB$98="FT",Milestones!$AA$98=FT_Y5,EDATE($D108,Milestones!$AA$98)&lt;PolicyEff),1,Milestones!$AC$98)&amp;";  ","")&amp;IF(AND(EDATE($D108,Milestones!$AA$99)&lt;=AsOfDate,EDATE($D108,Milestones!$AA$99)&gt;=SchemeStart,IF($X108=0,$AD108,IF(AND($Z108&lt;&gt;"",EDATE($D108,Milestones!$AA$99)&gt;=$Z108),$AC108,IF(AND($Y108&lt;&gt;"",EDATE($D108,Milestones!$AA$99)&gt;=$Y108),$AB108,$AA108)))=Milestones!$AB$99),UPPER(TEXT(EDATE($D108,Milestones!$AA$99),"dd mmm yy"))&amp;" "&amp;Milestones!$AB$99&amp;" "&amp;IF(AND(Milestones!$AB$99="FT",Milestones!$AA$99=FT_Y5,EDATE($D108,Milestones!$AA$99)&lt;PolicyEff),1,Milestones!$AC$99)&amp;";  ","")&amp;IF(AND(EDATE($D108,Milestones!$AA$100)&lt;=AsOfDate,EDATE($D108,Milestones!$AA$100)&gt;=SchemeStart,IF($X108=0,$AD108,IF(AND($Z108&lt;&gt;"",EDATE($D108,Milestones!$AA$100)&gt;=$Z108),$AC108,IF(AND($Y108&lt;&gt;"",EDATE($D108,Milestones!$AA$100)&gt;=$Y108),$AB108,$AA108)))=Milestones!$AB$100),UPPER(TEXT(EDATE($D108,Milestones!$AA$100),"dd mmm yy"))&amp;" "&amp;Milestones!$AB$100&amp;" "&amp;IF(AND(Milestones!$AB$100="FT",Milestones!$AA$100=FT_Y5,EDATE($D108,Milestones!$AA$100)&lt;PolicyEff),1,Milestones!$AC$100)&amp;";  ","")&amp;IF(AND(EDATE($D108,Milestones!$AA$101)&lt;=AsOfDate,EDATE($D108,Milestones!$AA$101)&gt;=SchemeStart,IF($X108=0,$AD108,IF(AND($Z108&lt;&gt;"",EDATE($D108,Milestones!$AA$101)&gt;=$Z108),$AC108,IF(AND($Y108&lt;&gt;"",EDATE($D108,Milestones!$AA$101)&gt;=$Y108),$AB108,$AA108)))=Milestones!$AB$101),UPPER(TEXT(EDATE($D108,Milestones!$AA$101),"dd mmm yy"))&amp;" "&amp;Milestones!$AB$101&amp;" "&amp;IF(AND(Milestones!$AB$101="FT",Milestones!$AA$101=FT_Y5,EDATE($D108,Milestones!$AA$101)&lt;PolicyEff),1,Milestones!$AC$101)&amp;";  ","")&amp;IF(AND(EDATE($D108,Milestones!$AA$102)&lt;=AsOfDate,EDATE($D108,Milestones!$AA$102)&gt;=SchemeStart,IF($X108=0,$AD108,IF(AND($Z108&lt;&gt;"",EDATE($D108,Milestones!$AA$102)&gt;=$Z108),$AC108,IF(AND($Y108&lt;&gt;"",EDATE($D108,Milestones!$AA$102)&gt;=$Y108),$AB108,$AA108)))=Milestones!$AB$102),UPPER(TEXT(EDATE($D108,Milestones!$AA$102),"dd mmm yy"))&amp;" "&amp;Milestones!$AB$102&amp;" "&amp;IF(AND(Milestones!$AB$102="FT",Milestones!$AA$102=FT_Y5,EDATE($D108,Milestones!$AA$102)&lt;PolicyEff),1,Milestones!$AC$102)&amp;";  ","")&amp;IF(AND(EDATE($D108,Milestones!$AA$103)&lt;=AsOfDate,EDATE($D108,Milestones!$AA$103)&gt;=SchemeStart,IF($X108=0,$AD108,IF(AND($Z108&lt;&gt;"",EDATE($D108,Milestones!$AA$103)&gt;=$Z108),$AC108,IF(AND($Y108&lt;&gt;"",EDATE($D108,Milestones!$AA$103)&gt;=$Y108),$AB108,$AA108)))=Milestones!$AB$103),UPPER(TEXT(EDATE($D108,Milestones!$AA$103),"dd mmm yy"))&amp;" "&amp;Milestones!$AB$103&amp;" "&amp;IF(AND(Milestones!$AB$103="FT",Milestones!$AA$103=FT_Y5,EDATE($D108,Milestones!$AA$103)&lt;PolicyEff),1,Milestones!$AC$103)&amp;";  ",""))</f>
        <v/>
      </c>
      <c r="P108" s="0" t="str">
        <f aca="false">IF(OR($A108="",$D108=""),"",IF(AND(EDATE($D108,Milestones!$AA$104)&lt;=AsOfDate,EDATE($D108,Milestones!$AA$104)&gt;=SchemeStart,IF($X108=0,$AD108,IF(AND($Z108&lt;&gt;"",EDATE($D108,Milestones!$AA$104)&gt;=$Z108),$AC108,IF(AND($Y108&lt;&gt;"",EDATE($D108,Milestones!$AA$104)&gt;=$Y108),$AB108,$AA108)))=Milestones!$AB$104),UPPER(TEXT(EDATE($D108,Milestones!$AA$104),"dd mmm yy"))&amp;" "&amp;Milestones!$AB$104&amp;" "&amp;IF(AND(Milestones!$AB$104="FT",Milestones!$AA$104=FT_Y5,EDATE($D108,Milestones!$AA$104)&lt;PolicyEff),1,Milestones!$AC$104)&amp;";  ","")&amp;IF(AND(EDATE($D108,Milestones!$AA$105)&lt;=AsOfDate,EDATE($D108,Milestones!$AA$105)&gt;=SchemeStart,IF($X108=0,$AD108,IF(AND($Z108&lt;&gt;"",EDATE($D108,Milestones!$AA$105)&gt;=$Z108),$AC108,IF(AND($Y108&lt;&gt;"",EDATE($D108,Milestones!$AA$105)&gt;=$Y108),$AB108,$AA108)))=Milestones!$AB$105),UPPER(TEXT(EDATE($D108,Milestones!$AA$105),"dd mmm yy"))&amp;" "&amp;Milestones!$AB$105&amp;" "&amp;IF(AND(Milestones!$AB$105="FT",Milestones!$AA$105=FT_Y5,EDATE($D108,Milestones!$AA$105)&lt;PolicyEff),1,Milestones!$AC$105)&amp;";  ","")&amp;IF(AND(EDATE($D108,Milestones!$AA$106)&lt;=AsOfDate,EDATE($D108,Milestones!$AA$106)&gt;=SchemeStart,IF($X108=0,$AD108,IF(AND($Z108&lt;&gt;"",EDATE($D108,Milestones!$AA$106)&gt;=$Z108),$AC108,IF(AND($Y108&lt;&gt;"",EDATE($D108,Milestones!$AA$106)&gt;=$Y108),$AB108,$AA108)))=Milestones!$AB$106),UPPER(TEXT(EDATE($D108,Milestones!$AA$106),"dd mmm yy"))&amp;" "&amp;Milestones!$AB$106&amp;" "&amp;IF(AND(Milestones!$AB$106="FT",Milestones!$AA$106=FT_Y5,EDATE($D108,Milestones!$AA$106)&lt;PolicyEff),1,Milestones!$AC$106)&amp;";  ","")&amp;IF(AND(EDATE($D108,Milestones!$AA$107)&lt;=AsOfDate,EDATE($D108,Milestones!$AA$107)&gt;=SchemeStart,IF($X108=0,$AD108,IF(AND($Z108&lt;&gt;"",EDATE($D108,Milestones!$AA$107)&gt;=$Z108),$AC108,IF(AND($Y108&lt;&gt;"",EDATE($D108,Milestones!$AA$107)&gt;=$Y108),$AB108,$AA108)))=Milestones!$AB$107),UPPER(TEXT(EDATE($D108,Milestones!$AA$107),"dd mmm yy"))&amp;" "&amp;Milestones!$AB$107&amp;" "&amp;IF(AND(Milestones!$AB$107="FT",Milestones!$AA$107=FT_Y5,EDATE($D108,Milestones!$AA$107)&lt;PolicyEff),1,Milestones!$AC$107)&amp;";  ","")&amp;IF(AND(EDATE($D108,Milestones!$AA$108)&lt;=AsOfDate,EDATE($D108,Milestones!$AA$108)&gt;=SchemeStart,IF($X108=0,$AD108,IF(AND($Z108&lt;&gt;"",EDATE($D108,Milestones!$AA$108)&gt;=$Z108),$AC108,IF(AND($Y108&lt;&gt;"",EDATE($D108,Milestones!$AA$108)&gt;=$Y108),$AB108,$AA108)))=Milestones!$AB$108),UPPER(TEXT(EDATE($D108,Milestones!$AA$108),"dd mmm yy"))&amp;" "&amp;Milestones!$AB$108&amp;" "&amp;IF(AND(Milestones!$AB$108="FT",Milestones!$AA$108=FT_Y5,EDATE($D108,Milestones!$AA$108)&lt;PolicyEff),1,Milestones!$AC$108)&amp;";  ","")&amp;IF(AND(EDATE($D108,Milestones!$AA$109)&lt;=AsOfDate,EDATE($D108,Milestones!$AA$109)&gt;=SchemeStart,IF($X108=0,$AD108,IF(AND($Z108&lt;&gt;"",EDATE($D108,Milestones!$AA$109)&gt;=$Z108),$AC108,IF(AND($Y108&lt;&gt;"",EDATE($D108,Milestones!$AA$109)&gt;=$Y108),$AB108,$AA108)))=Milestones!$AB$109),UPPER(TEXT(EDATE($D108,Milestones!$AA$109),"dd mmm yy"))&amp;" "&amp;Milestones!$AB$109&amp;" "&amp;IF(AND(Milestones!$AB$109="FT",Milestones!$AA$109=FT_Y5,EDATE($D108,Milestones!$AA$109)&lt;PolicyEff),1,Milestones!$AC$109)&amp;";  ","")&amp;IF(AND(EDATE($D108,Milestones!$AA$110)&lt;=AsOfDate,EDATE($D108,Milestones!$AA$110)&gt;=SchemeStart,IF($X108=0,$AD108,IF(AND($Z108&lt;&gt;"",EDATE($D108,Milestones!$AA$110)&gt;=$Z108),$AC108,IF(AND($Y108&lt;&gt;"",EDATE($D108,Milestones!$AA$110)&gt;=$Y108),$AB108,$AA108)))=Milestones!$AB$110),UPPER(TEXT(EDATE($D108,Milestones!$AA$110),"dd mmm yy"))&amp;" "&amp;Milestones!$AB$110&amp;" "&amp;IF(AND(Milestones!$AB$110="FT",Milestones!$AA$110=FT_Y5,EDATE($D108,Milestones!$AA$110)&lt;PolicyEff),1,Milestones!$AC$110)&amp;";  ","")&amp;IF(AND(EDATE($D108,Milestones!$AA$111)&lt;=AsOfDate,EDATE($D108,Milestones!$AA$111)&gt;=SchemeStart,IF($X108=0,$AD108,IF(AND($Z108&lt;&gt;"",EDATE($D108,Milestones!$AA$111)&gt;=$Z108),$AC108,IF(AND($Y108&lt;&gt;"",EDATE($D108,Milestones!$AA$111)&gt;=$Y108),$AB108,$AA108)))=Milestones!$AB$111),UPPER(TEXT(EDATE($D108,Milestones!$AA$111),"dd mmm yy"))&amp;" "&amp;Milestones!$AB$111&amp;" "&amp;IF(AND(Milestones!$AB$111="FT",Milestones!$AA$111=FT_Y5,EDATE($D108,Milestones!$AA$111)&lt;PolicyEff),1,Milestones!$AC$111)&amp;";  ","")&amp;IF(AND(EDATE($D108,Milestones!$AA$112)&lt;=AsOfDate,EDATE($D108,Milestones!$AA$112)&gt;=SchemeStart,IF($X108=0,$AD108,IF(AND($Z108&lt;&gt;"",EDATE($D108,Milestones!$AA$112)&gt;=$Z108),$AC108,IF(AND($Y108&lt;&gt;"",EDATE($D108,Milestones!$AA$112)&gt;=$Y108),$AB108,$AA108)))=Milestones!$AB$112),UPPER(TEXT(EDATE($D108,Milestones!$AA$112),"dd mmm yy"))&amp;" "&amp;Milestones!$AB$112&amp;" "&amp;IF(AND(Milestones!$AB$112="FT",Milestones!$AA$112=FT_Y5,EDATE($D108,Milestones!$AA$112)&lt;PolicyEff),1,Milestones!$AC$112)&amp;";  ","")&amp;IF(AND(EDATE($D108,Milestones!$AA$113)&lt;=AsOfDate,EDATE($D108,Milestones!$AA$113)&gt;=SchemeStart,IF($X108=0,$AD108,IF(AND($Z108&lt;&gt;"",EDATE($D108,Milestones!$AA$113)&gt;=$Z108),$AC108,IF(AND($Y108&lt;&gt;"",EDATE($D108,Milestones!$AA$113)&gt;=$Y108),$AB108,$AA108)))=Milestones!$AB$113),UPPER(TEXT(EDATE($D108,Milestones!$AA$113),"dd mmm yy"))&amp;" "&amp;Milestones!$AB$113&amp;" "&amp;IF(AND(Milestones!$AB$113="FT",Milestones!$AA$113=FT_Y5,EDATE($D108,Milestones!$AA$113)&lt;PolicyEff),1,Milestones!$AC$113)&amp;";  ","")&amp;IF(AND(EDATE($D108,Milestones!$AA$114)&lt;=AsOfDate,EDATE($D108,Milestones!$AA$114)&gt;=SchemeStart,IF($X108=0,$AD108,IF(AND($Z108&lt;&gt;"",EDATE($D108,Milestones!$AA$114)&gt;=$Z108),$AC108,IF(AND($Y108&lt;&gt;"",EDATE($D108,Milestones!$AA$114)&gt;=$Y108),$AB108,$AA108)))=Milestones!$AB$114),UPPER(TEXT(EDATE($D108,Milestones!$AA$114),"dd mmm yy"))&amp;" "&amp;Milestones!$AB$114&amp;" "&amp;IF(AND(Milestones!$AB$114="FT",Milestones!$AA$114=FT_Y5,EDATE($D108,Milestones!$AA$114)&lt;PolicyEff),1,Milestones!$AC$114)&amp;";  ","")&amp;IF(AND(EDATE($D108,Milestones!$AA$115)&lt;=AsOfDate,EDATE($D108,Milestones!$AA$115)&gt;=SchemeStart,IF($X108=0,$AD108,IF(AND($Z108&lt;&gt;"",EDATE($D108,Milestones!$AA$115)&gt;=$Z108),$AC108,IF(AND($Y108&lt;&gt;"",EDATE($D108,Milestones!$AA$115)&gt;=$Y108),$AB108,$AA108)))=Milestones!$AB$115),UPPER(TEXT(EDATE($D108,Milestones!$AA$115),"dd mmm yy"))&amp;" "&amp;Milestones!$AB$115&amp;" "&amp;IF(AND(Milestones!$AB$115="FT",Milestones!$AA$115=FT_Y5,EDATE($D108,Milestones!$AA$115)&lt;PolicyEff),1,Milestones!$AC$115)&amp;";  ",""))</f>
        <v/>
      </c>
      <c r="Q108" s="0" t="str">
        <f aca="false">IF(OR($A108="",$D108=""),"",IF(AND(EDATE($D108,Milestones!$AA$116)&lt;=AsOfDate,EDATE($D108,Milestones!$AA$116)&gt;=SchemeStart,IF($X108=0,$AD108,IF(AND($Z108&lt;&gt;"",EDATE($D108,Milestones!$AA$116)&gt;=$Z108),$AC108,IF(AND($Y108&lt;&gt;"",EDATE($D108,Milestones!$AA$116)&gt;=$Y108),$AB108,$AA108)))=Milestones!$AB$116),UPPER(TEXT(EDATE($D108,Milestones!$AA$116),"dd mmm yy"))&amp;" "&amp;Milestones!$AB$116&amp;" "&amp;IF(AND(Milestones!$AB$116="FT",Milestones!$AA$116=FT_Y5,EDATE($D108,Milestones!$AA$116)&lt;PolicyEff),1,Milestones!$AC$116)&amp;";  ","")&amp;IF(AND(EDATE($D108,Milestones!$AA$117)&lt;=AsOfDate,EDATE($D108,Milestones!$AA$117)&gt;=SchemeStart,IF($X108=0,$AD108,IF(AND($Z108&lt;&gt;"",EDATE($D108,Milestones!$AA$117)&gt;=$Z108),$AC108,IF(AND($Y108&lt;&gt;"",EDATE($D108,Milestones!$AA$117)&gt;=$Y108),$AB108,$AA108)))=Milestones!$AB$117),UPPER(TEXT(EDATE($D108,Milestones!$AA$117),"dd mmm yy"))&amp;" "&amp;Milestones!$AB$117&amp;" "&amp;IF(AND(Milestones!$AB$117="FT",Milestones!$AA$117=FT_Y5,EDATE($D108,Milestones!$AA$117)&lt;PolicyEff),1,Milestones!$AC$117)&amp;";  ","")&amp;IF(AND(EDATE($D108,Milestones!$AA$118)&lt;=AsOfDate,EDATE($D108,Milestones!$AA$118)&gt;=SchemeStart,IF($X108=0,$AD108,IF(AND($Z108&lt;&gt;"",EDATE($D108,Milestones!$AA$118)&gt;=$Z108),$AC108,IF(AND($Y108&lt;&gt;"",EDATE($D108,Milestones!$AA$118)&gt;=$Y108),$AB108,$AA108)))=Milestones!$AB$118),UPPER(TEXT(EDATE($D108,Milestones!$AA$118),"dd mmm yy"))&amp;" "&amp;Milestones!$AB$118&amp;" "&amp;IF(AND(Milestones!$AB$118="FT",Milestones!$AA$118=FT_Y5,EDATE($D108,Milestones!$AA$118)&lt;PolicyEff),1,Milestones!$AC$118)&amp;";  ","")&amp;IF(AND(EDATE($D108,Milestones!$AA$119)&lt;=AsOfDate,EDATE($D108,Milestones!$AA$119)&gt;=SchemeStart,IF($X108=0,$AD108,IF(AND($Z108&lt;&gt;"",EDATE($D108,Milestones!$AA$119)&gt;=$Z108),$AC108,IF(AND($Y108&lt;&gt;"",EDATE($D108,Milestones!$AA$119)&gt;=$Y108),$AB108,$AA108)))=Milestones!$AB$119),UPPER(TEXT(EDATE($D108,Milestones!$AA$119),"dd mmm yy"))&amp;" "&amp;Milestones!$AB$119&amp;" "&amp;IF(AND(Milestones!$AB$119="FT",Milestones!$AA$119=FT_Y5,EDATE($D108,Milestones!$AA$119)&lt;PolicyEff),1,Milestones!$AC$119)&amp;";  ","")&amp;IF(AND(EDATE($D108,Milestones!$AA$120)&lt;=AsOfDate,EDATE($D108,Milestones!$AA$120)&gt;=SchemeStart,IF($X108=0,$AD108,IF(AND($Z108&lt;&gt;"",EDATE($D108,Milestones!$AA$120)&gt;=$Z108),$AC108,IF(AND($Y108&lt;&gt;"",EDATE($D108,Milestones!$AA$120)&gt;=$Y108),$AB108,$AA108)))=Milestones!$AB$120),UPPER(TEXT(EDATE($D108,Milestones!$AA$120),"dd mmm yy"))&amp;" "&amp;Milestones!$AB$120&amp;" "&amp;IF(AND(Milestones!$AB$120="FT",Milestones!$AA$120=FT_Y5,EDATE($D108,Milestones!$AA$120)&lt;PolicyEff),1,Milestones!$AC$120)&amp;";  ","")&amp;IF(AND(EDATE($D108,Milestones!$AA$121)&lt;=AsOfDate,EDATE($D108,Milestones!$AA$121)&gt;=SchemeStart,IF($X108=0,$AD108,IF(AND($Z108&lt;&gt;"",EDATE($D108,Milestones!$AA$121)&gt;=$Z108),$AC108,IF(AND($Y108&lt;&gt;"",EDATE($D108,Milestones!$AA$121)&gt;=$Y108),$AB108,$AA108)))=Milestones!$AB$121),UPPER(TEXT(EDATE($D108,Milestones!$AA$121),"dd mmm yy"))&amp;" "&amp;Milestones!$AB$121&amp;" "&amp;IF(AND(Milestones!$AB$121="FT",Milestones!$AA$121=FT_Y5,EDATE($D108,Milestones!$AA$121)&lt;PolicyEff),1,Milestones!$AC$121)&amp;";  ","")&amp;IF(AND(EDATE($D108,Milestones!$AA$122)&lt;=AsOfDate,EDATE($D108,Milestones!$AA$122)&gt;=SchemeStart,IF($X108=0,$AD108,IF(AND($Z108&lt;&gt;"",EDATE($D108,Milestones!$AA$122)&gt;=$Z108),$AC108,IF(AND($Y108&lt;&gt;"",EDATE($D108,Milestones!$AA$122)&gt;=$Y108),$AB108,$AA108)))=Milestones!$AB$122),UPPER(TEXT(EDATE($D108,Milestones!$AA$122),"dd mmm yy"))&amp;" "&amp;Milestones!$AB$122&amp;" "&amp;IF(AND(Milestones!$AB$122="FT",Milestones!$AA$122=FT_Y5,EDATE($D108,Milestones!$AA$122)&lt;PolicyEff),1,Milestones!$AC$122)&amp;";  ","")&amp;IF(AND(EDATE($D108,Milestones!$AA$123)&lt;=AsOfDate,EDATE($D108,Milestones!$AA$123)&gt;=SchemeStart,IF($X108=0,$AD108,IF(AND($Z108&lt;&gt;"",EDATE($D108,Milestones!$AA$123)&gt;=$Z108),$AC108,IF(AND($Y108&lt;&gt;"",EDATE($D108,Milestones!$AA$123)&gt;=$Y108),$AB108,$AA108)))=Milestones!$AB$123),UPPER(TEXT(EDATE($D108,Milestones!$AA$123),"dd mmm yy"))&amp;" "&amp;Milestones!$AB$123&amp;" "&amp;IF(AND(Milestones!$AB$123="FT",Milestones!$AA$123=FT_Y5,EDATE($D108,Milestones!$AA$123)&lt;PolicyEff),1,Milestones!$AC$123)&amp;";  ","")&amp;IF(AND(EDATE($D108,Milestones!$AA$124)&lt;=AsOfDate,EDATE($D108,Milestones!$AA$124)&gt;=SchemeStart,IF($X108=0,$AD108,IF(AND($Z108&lt;&gt;"",EDATE($D108,Milestones!$AA$124)&gt;=$Z108),$AC108,IF(AND($Y108&lt;&gt;"",EDATE($D108,Milestones!$AA$124)&gt;=$Y108),$AB108,$AA108)))=Milestones!$AB$124),UPPER(TEXT(EDATE($D108,Milestones!$AA$124),"dd mmm yy"))&amp;" "&amp;Milestones!$AB$124&amp;" "&amp;IF(AND(Milestones!$AB$124="FT",Milestones!$AA$124=FT_Y5,EDATE($D108,Milestones!$AA$124)&lt;PolicyEff),1,Milestones!$AC$124)&amp;";  ","")&amp;IF(AND(EDATE($D108,Milestones!$AA$125)&lt;=AsOfDate,EDATE($D108,Milestones!$AA$125)&gt;=SchemeStart,IF($X108=0,$AD108,IF(AND($Z108&lt;&gt;"",EDATE($D108,Milestones!$AA$125)&gt;=$Z108),$AC108,IF(AND($Y108&lt;&gt;"",EDATE($D108,Milestones!$AA$125)&gt;=$Y108),$AB108,$AA108)))=Milestones!$AB$125),UPPER(TEXT(EDATE($D108,Milestones!$AA$125),"dd mmm yy"))&amp;" "&amp;Milestones!$AB$125&amp;" "&amp;IF(AND(Milestones!$AB$125="FT",Milestones!$AA$125=FT_Y5,EDATE($D108,Milestones!$AA$125)&lt;PolicyEff),1,Milestones!$AC$125)&amp;";  ","")&amp;IF(AND(EDATE($D108,Milestones!$AA$126)&lt;=AsOfDate,EDATE($D108,Milestones!$AA$126)&gt;=SchemeStart,IF($X108=0,$AD108,IF(AND($Z108&lt;&gt;"",EDATE($D108,Milestones!$AA$126)&gt;=$Z108),$AC108,IF(AND($Y108&lt;&gt;"",EDATE($D108,Milestones!$AA$126)&gt;=$Y108),$AB108,$AA108)))=Milestones!$AB$126),UPPER(TEXT(EDATE($D108,Milestones!$AA$126),"dd mmm yy"))&amp;" "&amp;Milestones!$AB$126&amp;" "&amp;IF(AND(Milestones!$AB$126="FT",Milestones!$AA$126=FT_Y5,EDATE($D108,Milestones!$AA$126)&lt;PolicyEff),1,Milestones!$AC$126)&amp;";  ","")&amp;IF(AND(EDATE($D108,Milestones!$AA$127)&lt;=AsOfDate,EDATE($D108,Milestones!$AA$127)&gt;=SchemeStart,IF($X108=0,$AD108,IF(AND($Z108&lt;&gt;"",EDATE($D108,Milestones!$AA$127)&gt;=$Z108),$AC108,IF(AND($Y108&lt;&gt;"",EDATE($D108,Milestones!$AA$127)&gt;=$Y108),$AB108,$AA108)))=Milestones!$AB$127),UPPER(TEXT(EDATE($D108,Milestones!$AA$127),"dd mmm yy"))&amp;" "&amp;Milestones!$AB$127&amp;" "&amp;IF(AND(Milestones!$AB$127="FT",Milestones!$AA$127=FT_Y5,EDATE($D108,Milestones!$AA$127)&lt;PolicyEff),1,Milestones!$AC$127)&amp;";  ",""))</f>
        <v/>
      </c>
      <c r="R108" s="0" t="str">
        <f aca="false">IF(OR($A108="",$D108=""),"",IF(AND(EDATE($D108,Milestones!$AA$128)&lt;=AsOfDate,EDATE($D108,Milestones!$AA$128)&gt;=SchemeStart,IF($X108=0,$AD108,IF(AND($Z108&lt;&gt;"",EDATE($D108,Milestones!$AA$128)&gt;=$Z108),$AC108,IF(AND($Y108&lt;&gt;"",EDATE($D108,Milestones!$AA$128)&gt;=$Y108),$AB108,$AA108)))=Milestones!$AB$128),UPPER(TEXT(EDATE($D108,Milestones!$AA$128),"dd mmm yy"))&amp;" "&amp;Milestones!$AB$128&amp;" "&amp;IF(AND(Milestones!$AB$128="FT",Milestones!$AA$128=FT_Y5,EDATE($D108,Milestones!$AA$128)&lt;PolicyEff),1,Milestones!$AC$128)&amp;";  ","")&amp;IF(AND(EDATE($D108,Milestones!$AA$129)&lt;=AsOfDate,EDATE($D108,Milestones!$AA$129)&gt;=SchemeStart,IF($X108=0,$AD108,IF(AND($Z108&lt;&gt;"",EDATE($D108,Milestones!$AA$129)&gt;=$Z108),$AC108,IF(AND($Y108&lt;&gt;"",EDATE($D108,Milestones!$AA$129)&gt;=$Y108),$AB108,$AA108)))=Milestones!$AB$129),UPPER(TEXT(EDATE($D108,Milestones!$AA$129),"dd mmm yy"))&amp;" "&amp;Milestones!$AB$129&amp;" "&amp;IF(AND(Milestones!$AB$129="FT",Milestones!$AA$129=FT_Y5,EDATE($D108,Milestones!$AA$129)&lt;PolicyEff),1,Milestones!$AC$129)&amp;";  ","")&amp;IF(AND(EDATE($D108,Milestones!$AA$130)&lt;=AsOfDate,EDATE($D108,Milestones!$AA$130)&gt;=SchemeStart,IF($X108=0,$AD108,IF(AND($Z108&lt;&gt;"",EDATE($D108,Milestones!$AA$130)&gt;=$Z108),$AC108,IF(AND($Y108&lt;&gt;"",EDATE($D108,Milestones!$AA$130)&gt;=$Y108),$AB108,$AA108)))=Milestones!$AB$130),UPPER(TEXT(EDATE($D108,Milestones!$AA$130),"dd mmm yy"))&amp;" "&amp;Milestones!$AB$130&amp;" "&amp;IF(AND(Milestones!$AB$130="FT",Milestones!$AA$130=FT_Y5,EDATE($D108,Milestones!$AA$130)&lt;PolicyEff),1,Milestones!$AC$130)&amp;";  ","")&amp;IF(AND(EDATE($D108,Milestones!$AA$131)&lt;=AsOfDate,EDATE($D108,Milestones!$AA$131)&gt;=SchemeStart,IF($X108=0,$AD108,IF(AND($Z108&lt;&gt;"",EDATE($D108,Milestones!$AA$131)&gt;=$Z108),$AC108,IF(AND($Y108&lt;&gt;"",EDATE($D108,Milestones!$AA$131)&gt;=$Y108),$AB108,$AA108)))=Milestones!$AB$131),UPPER(TEXT(EDATE($D108,Milestones!$AA$131),"dd mmm yy"))&amp;" "&amp;Milestones!$AB$131&amp;" "&amp;IF(AND(Milestones!$AB$131="FT",Milestones!$AA$131=FT_Y5,EDATE($D108,Milestones!$AA$131)&lt;PolicyEff),1,Milestones!$AC$131)&amp;";  ","")&amp;IF(AND(EDATE($D108,Milestones!$AA$132)&lt;=AsOfDate,EDATE($D108,Milestones!$AA$132)&gt;=SchemeStart,IF($X108=0,$AD108,IF(AND($Z108&lt;&gt;"",EDATE($D108,Milestones!$AA$132)&gt;=$Z108),$AC108,IF(AND($Y108&lt;&gt;"",EDATE($D108,Milestones!$AA$132)&gt;=$Y108),$AB108,$AA108)))=Milestones!$AB$132),UPPER(TEXT(EDATE($D108,Milestones!$AA$132),"dd mmm yy"))&amp;" "&amp;Milestones!$AB$132&amp;" "&amp;IF(AND(Milestones!$AB$132="FT",Milestones!$AA$132=FT_Y5,EDATE($D108,Milestones!$AA$132)&lt;PolicyEff),1,Milestones!$AC$132)&amp;";  ","")&amp;IF(AND(EDATE($D108,Milestones!$AA$133)&lt;=AsOfDate,EDATE($D108,Milestones!$AA$133)&gt;=SchemeStart,IF($X108=0,$AD108,IF(AND($Z108&lt;&gt;"",EDATE($D108,Milestones!$AA$133)&gt;=$Z108),$AC108,IF(AND($Y108&lt;&gt;"",EDATE($D108,Milestones!$AA$133)&gt;=$Y108),$AB108,$AA108)))=Milestones!$AB$133),UPPER(TEXT(EDATE($D108,Milestones!$AA$133),"dd mmm yy"))&amp;" "&amp;Milestones!$AB$133&amp;" "&amp;IF(AND(Milestones!$AB$133="FT",Milestones!$AA$133=FT_Y5,EDATE($D108,Milestones!$AA$133)&lt;PolicyEff),1,Milestones!$AC$133)&amp;";  ","")&amp;IF(AND(EDATE($D108,Milestones!$AA$134)&lt;=AsOfDate,EDATE($D108,Milestones!$AA$134)&gt;=SchemeStart,IF($X108=0,$AD108,IF(AND($Z108&lt;&gt;"",EDATE($D108,Milestones!$AA$134)&gt;=$Z108),$AC108,IF(AND($Y108&lt;&gt;"",EDATE($D108,Milestones!$AA$134)&gt;=$Y108),$AB108,$AA108)))=Milestones!$AB$134),UPPER(TEXT(EDATE($D108,Milestones!$AA$134),"dd mmm yy"))&amp;" "&amp;Milestones!$AB$134&amp;" "&amp;IF(AND(Milestones!$AB$134="FT",Milestones!$AA$134=FT_Y5,EDATE($D108,Milestones!$AA$134)&lt;PolicyEff),1,Milestones!$AC$134)&amp;";  ","")&amp;IF(AND(EDATE($D108,Milestones!$AA$135)&lt;=AsOfDate,EDATE($D108,Milestones!$AA$135)&gt;=SchemeStart,IF($X108=0,$AD108,IF(AND($Z108&lt;&gt;"",EDATE($D108,Milestones!$AA$135)&gt;=$Z108),$AC108,IF(AND($Y108&lt;&gt;"",EDATE($D108,Milestones!$AA$135)&gt;=$Y108),$AB108,$AA108)))=Milestones!$AB$135),UPPER(TEXT(EDATE($D108,Milestones!$AA$135),"dd mmm yy"))&amp;" "&amp;Milestones!$AB$135&amp;" "&amp;IF(AND(Milestones!$AB$135="FT",Milestones!$AA$135=FT_Y5,EDATE($D108,Milestones!$AA$135)&lt;PolicyEff),1,Milestones!$AC$135)&amp;";  ","")&amp;IF(AND(EDATE($D108,Milestones!$AA$136)&lt;=AsOfDate,EDATE($D108,Milestones!$AA$136)&gt;=SchemeStart,IF($X108=0,$AD108,IF(AND($Z108&lt;&gt;"",EDATE($D108,Milestones!$AA$136)&gt;=$Z108),$AC108,IF(AND($Y108&lt;&gt;"",EDATE($D108,Milestones!$AA$136)&gt;=$Y108),$AB108,$AA108)))=Milestones!$AB$136),UPPER(TEXT(EDATE($D108,Milestones!$AA$136),"dd mmm yy"))&amp;" "&amp;Milestones!$AB$136&amp;" "&amp;IF(AND(Milestones!$AB$136="FT",Milestones!$AA$136=FT_Y5,EDATE($D108,Milestones!$AA$136)&lt;PolicyEff),1,Milestones!$AC$136)&amp;";  ","")&amp;IF(AND(EDATE($D108,Milestones!$AA$137)&lt;=AsOfDate,EDATE($D108,Milestones!$AA$137)&gt;=SchemeStart,IF($X108=0,$AD108,IF(AND($Z108&lt;&gt;"",EDATE($D108,Milestones!$AA$137)&gt;=$Z108),$AC108,IF(AND($Y108&lt;&gt;"",EDATE($D108,Milestones!$AA$137)&gt;=$Y108),$AB108,$AA108)))=Milestones!$AB$137),UPPER(TEXT(EDATE($D108,Milestones!$AA$137),"dd mmm yy"))&amp;" "&amp;Milestones!$AB$137&amp;" "&amp;IF(AND(Milestones!$AB$137="FT",Milestones!$AA$137=FT_Y5,EDATE($D108,Milestones!$AA$137)&lt;PolicyEff),1,Milestones!$AC$137)&amp;";  ","")&amp;IF(AND(EDATE($D108,Milestones!$AA$138)&lt;=AsOfDate,EDATE($D108,Milestones!$AA$138)&gt;=SchemeStart,IF($X108=0,$AD108,IF(AND($Z108&lt;&gt;"",EDATE($D108,Milestones!$AA$138)&gt;=$Z108),$AC108,IF(AND($Y108&lt;&gt;"",EDATE($D108,Milestones!$AA$138)&gt;=$Y108),$AB108,$AA108)))=Milestones!$AB$138),UPPER(TEXT(EDATE($D108,Milestones!$AA$138),"dd mmm yy"))&amp;" "&amp;Milestones!$AB$138&amp;" "&amp;IF(AND(Milestones!$AB$138="FT",Milestones!$AA$138=FT_Y5,EDATE($D108,Milestones!$AA$138)&lt;PolicyEff),1,Milestones!$AC$138)&amp;";  ","")&amp;IF(AND(EDATE($D108,Milestones!$AA$139)&lt;=AsOfDate,EDATE($D108,Milestones!$AA$139)&gt;=SchemeStart,IF($X108=0,$AD108,IF(AND($Z108&lt;&gt;"",EDATE($D108,Milestones!$AA$139)&gt;=$Z108),$AC108,IF(AND($Y108&lt;&gt;"",EDATE($D108,Milestones!$AA$139)&gt;=$Y108),$AB108,$AA108)))=Milestones!$AB$139),UPPER(TEXT(EDATE($D108,Milestones!$AA$139),"dd mmm yy"))&amp;" "&amp;Milestones!$AB$139&amp;" "&amp;IF(AND(Milestones!$AB$139="FT",Milestones!$AA$139=FT_Y5,EDATE($D108,Milestones!$AA$139)&lt;PolicyEff),1,Milestones!$AC$139)&amp;";  ",""))</f>
        <v/>
      </c>
      <c r="S108" s="0" t="str">
        <f aca="false">IF(OR($A108="",$D108=""),"",IF(AND(EDATE($D108,Milestones!$AA$140)&lt;=AsOfDate,EDATE($D108,Milestones!$AA$140)&gt;=SchemeStart,IF($X108=0,$AD108,IF(AND($Z108&lt;&gt;"",EDATE($D108,Milestones!$AA$140)&gt;=$Z108),$AC108,IF(AND($Y108&lt;&gt;"",EDATE($D108,Milestones!$AA$140)&gt;=$Y108),$AB108,$AA108)))=Milestones!$AB$140),UPPER(TEXT(EDATE($D108,Milestones!$AA$140),"dd mmm yy"))&amp;" "&amp;Milestones!$AB$140&amp;" "&amp;IF(AND(Milestones!$AB$140="FT",Milestones!$AA$140=FT_Y5,EDATE($D108,Milestones!$AA$140)&lt;PolicyEff),1,Milestones!$AC$140)&amp;";  ","")&amp;IF(AND(EDATE($D108,Milestones!$AA$141)&lt;=AsOfDate,EDATE($D108,Milestones!$AA$141)&gt;=SchemeStart,IF($X108=0,$AD108,IF(AND($Z108&lt;&gt;"",EDATE($D108,Milestones!$AA$141)&gt;=$Z108),$AC108,IF(AND($Y108&lt;&gt;"",EDATE($D108,Milestones!$AA$141)&gt;=$Y108),$AB108,$AA108)))=Milestones!$AB$141),UPPER(TEXT(EDATE($D108,Milestones!$AA$141),"dd mmm yy"))&amp;" "&amp;Milestones!$AB$141&amp;" "&amp;IF(AND(Milestones!$AB$141="FT",Milestones!$AA$141=FT_Y5,EDATE($D108,Milestones!$AA$141)&lt;PolicyEff),1,Milestones!$AC$141)&amp;";  ","")&amp;IF(AND(EDATE($D108,Milestones!$AA$142)&lt;=AsOfDate,EDATE($D108,Milestones!$AA$142)&gt;=SchemeStart,IF($X108=0,$AD108,IF(AND($Z108&lt;&gt;"",EDATE($D108,Milestones!$AA$142)&gt;=$Z108),$AC108,IF(AND($Y108&lt;&gt;"",EDATE($D108,Milestones!$AA$142)&gt;=$Y108),$AB108,$AA108)))=Milestones!$AB$142),UPPER(TEXT(EDATE($D108,Milestones!$AA$142),"dd mmm yy"))&amp;" "&amp;Milestones!$AB$142&amp;" "&amp;IF(AND(Milestones!$AB$142="FT",Milestones!$AA$142=FT_Y5,EDATE($D108,Milestones!$AA$142)&lt;PolicyEff),1,Milestones!$AC$142)&amp;";  ","")&amp;IF(AND(EDATE($D108,Milestones!$AA$143)&lt;=AsOfDate,EDATE($D108,Milestones!$AA$143)&gt;=SchemeStart,IF($X108=0,$AD108,IF(AND($Z108&lt;&gt;"",EDATE($D108,Milestones!$AA$143)&gt;=$Z108),$AC108,IF(AND($Y108&lt;&gt;"",EDATE($D108,Milestones!$AA$143)&gt;=$Y108),$AB108,$AA108)))=Milestones!$AB$143),UPPER(TEXT(EDATE($D108,Milestones!$AA$143),"dd mmm yy"))&amp;" "&amp;Milestones!$AB$143&amp;" "&amp;IF(AND(Milestones!$AB$143="FT",Milestones!$AA$143=FT_Y5,EDATE($D108,Milestones!$AA$143)&lt;PolicyEff),1,Milestones!$AC$143)&amp;";  ","")&amp;IF(AND(EDATE($D108,Milestones!$AA$144)&lt;=AsOfDate,EDATE($D108,Milestones!$AA$144)&gt;=SchemeStart,IF($X108=0,$AD108,IF(AND($Z108&lt;&gt;"",EDATE($D108,Milestones!$AA$144)&gt;=$Z108),$AC108,IF(AND($Y108&lt;&gt;"",EDATE($D108,Milestones!$AA$144)&gt;=$Y108),$AB108,$AA108)))=Milestones!$AB$144),UPPER(TEXT(EDATE($D108,Milestones!$AA$144),"dd mmm yy"))&amp;" "&amp;Milestones!$AB$144&amp;" "&amp;IF(AND(Milestones!$AB$144="FT",Milestones!$AA$144=FT_Y5,EDATE($D108,Milestones!$AA$144)&lt;PolicyEff),1,Milestones!$AC$144)&amp;";  ","")&amp;IF(AND(EDATE($D108,Milestones!$AA$145)&lt;=AsOfDate,EDATE($D108,Milestones!$AA$145)&gt;=SchemeStart,IF($X108=0,$AD108,IF(AND($Z108&lt;&gt;"",EDATE($D108,Milestones!$AA$145)&gt;=$Z108),$AC108,IF(AND($Y108&lt;&gt;"",EDATE($D108,Milestones!$AA$145)&gt;=$Y108),$AB108,$AA108)))=Milestones!$AB$145),UPPER(TEXT(EDATE($D108,Milestones!$AA$145),"dd mmm yy"))&amp;" "&amp;Milestones!$AB$145&amp;" "&amp;IF(AND(Milestones!$AB$145="FT",Milestones!$AA$145=FT_Y5,EDATE($D108,Milestones!$AA$145)&lt;PolicyEff),1,Milestones!$AC$145)&amp;";  ","")&amp;IF(AND(EDATE($D108,Milestones!$AA$146)&lt;=AsOfDate,EDATE($D108,Milestones!$AA$146)&gt;=SchemeStart,IF($X108=0,$AD108,IF(AND($Z108&lt;&gt;"",EDATE($D108,Milestones!$AA$146)&gt;=$Z108),$AC108,IF(AND($Y108&lt;&gt;"",EDATE($D108,Milestones!$AA$146)&gt;=$Y108),$AB108,$AA108)))=Milestones!$AB$146),UPPER(TEXT(EDATE($D108,Milestones!$AA$146),"dd mmm yy"))&amp;" "&amp;Milestones!$AB$146&amp;" "&amp;IF(AND(Milestones!$AB$146="FT",Milestones!$AA$146=FT_Y5,EDATE($D108,Milestones!$AA$146)&lt;PolicyEff),1,Milestones!$AC$146)&amp;";  ","")&amp;IF(AND(EDATE($D108,Milestones!$AA$147)&lt;=AsOfDate,EDATE($D108,Milestones!$AA$147)&gt;=SchemeStart,IF($X108=0,$AD108,IF(AND($Z108&lt;&gt;"",EDATE($D108,Milestones!$AA$147)&gt;=$Z108),$AC108,IF(AND($Y108&lt;&gt;"",EDATE($D108,Milestones!$AA$147)&gt;=$Y108),$AB108,$AA108)))=Milestones!$AB$147),UPPER(TEXT(EDATE($D108,Milestones!$AA$147),"dd mmm yy"))&amp;" "&amp;Milestones!$AB$147&amp;" "&amp;IF(AND(Milestones!$AB$147="FT",Milestones!$AA$147=FT_Y5,EDATE($D108,Milestones!$AA$147)&lt;PolicyEff),1,Milestones!$AC$147)&amp;";  ","")&amp;IF(AND(EDATE($D108,Milestones!$AA$148)&lt;=AsOfDate,EDATE($D108,Milestones!$AA$148)&gt;=SchemeStart,IF($X108=0,$AD108,IF(AND($Z108&lt;&gt;"",EDATE($D108,Milestones!$AA$148)&gt;=$Z108),$AC108,IF(AND($Y108&lt;&gt;"",EDATE($D108,Milestones!$AA$148)&gt;=$Y108),$AB108,$AA108)))=Milestones!$AB$148),UPPER(TEXT(EDATE($D108,Milestones!$AA$148),"dd mmm yy"))&amp;" "&amp;Milestones!$AB$148&amp;" "&amp;IF(AND(Milestones!$AB$148="FT",Milestones!$AA$148=FT_Y5,EDATE($D108,Milestones!$AA$148)&lt;PolicyEff),1,Milestones!$AC$148)&amp;";  ","")&amp;IF(AND(EDATE($D108,Milestones!$AA$149)&lt;=AsOfDate,EDATE($D108,Milestones!$AA$149)&gt;=SchemeStart,IF($X108=0,$AD108,IF(AND($Z108&lt;&gt;"",EDATE($D108,Milestones!$AA$149)&gt;=$Z108),$AC108,IF(AND($Y108&lt;&gt;"",EDATE($D108,Milestones!$AA$149)&gt;=$Y108),$AB108,$AA108)))=Milestones!$AB$149),UPPER(TEXT(EDATE($D108,Milestones!$AA$149),"dd mmm yy"))&amp;" "&amp;Milestones!$AB$149&amp;" "&amp;IF(AND(Milestones!$AB$149="FT",Milestones!$AA$149=FT_Y5,EDATE($D108,Milestones!$AA$149)&lt;PolicyEff),1,Milestones!$AC$149)&amp;";  ","")&amp;IF(AND(EDATE($D108,Milestones!$AA$150)&lt;=AsOfDate,EDATE($D108,Milestones!$AA$150)&gt;=SchemeStart,IF($X108=0,$AD108,IF(AND($Z108&lt;&gt;"",EDATE($D108,Milestones!$AA$150)&gt;=$Z108),$AC108,IF(AND($Y108&lt;&gt;"",EDATE($D108,Milestones!$AA$150)&gt;=$Y108),$AB108,$AA108)))=Milestones!$AB$150),UPPER(TEXT(EDATE($D108,Milestones!$AA$150),"dd mmm yy"))&amp;" "&amp;Milestones!$AB$150&amp;" "&amp;IF(AND(Milestones!$AB$150="FT",Milestones!$AA$150=FT_Y5,EDATE($D108,Milestones!$AA$150)&lt;PolicyEff),1,Milestones!$AC$150)&amp;";  ","")&amp;IF(AND(EDATE($D108,Milestones!$AA$151)&lt;=AsOfDate,EDATE($D108,Milestones!$AA$151)&gt;=SchemeStart,IF($X108=0,$AD108,IF(AND($Z108&lt;&gt;"",EDATE($D108,Milestones!$AA$151)&gt;=$Z108),$AC108,IF(AND($Y108&lt;&gt;"",EDATE($D108,Milestones!$AA$151)&gt;=$Y108),$AB108,$AA108)))=Milestones!$AB$151),UPPER(TEXT(EDATE($D108,Milestones!$AA$151),"dd mmm yy"))&amp;" "&amp;Milestones!$AB$151&amp;" "&amp;IF(AND(Milestones!$AB$151="FT",Milestones!$AA$151=FT_Y5,EDATE($D108,Milestones!$AA$151)&lt;PolicyEff),1,Milestones!$AC$151)&amp;";  ",""))</f>
        <v/>
      </c>
      <c r="T108" s="0" t="str">
        <f aca="false">IF(OR($A108="",$D108=""),"",IF(AND(EDATE($D108,Milestones!$AA$152)&lt;=AsOfDate,EDATE($D108,Milestones!$AA$152)&gt;=SchemeStart,IF($X108=0,$AD108,IF(AND($Z108&lt;&gt;"",EDATE($D108,Milestones!$AA$152)&gt;=$Z108),$AC108,IF(AND($Y108&lt;&gt;"",EDATE($D108,Milestones!$AA$152)&gt;=$Y108),$AB108,$AA108)))=Milestones!$AB$152),UPPER(TEXT(EDATE($D108,Milestones!$AA$152),"dd mmm yy"))&amp;" "&amp;Milestones!$AB$152&amp;" "&amp;IF(AND(Milestones!$AB$152="FT",Milestones!$AA$152=FT_Y5,EDATE($D108,Milestones!$AA$152)&lt;PolicyEff),1,Milestones!$AC$152)&amp;";  ","")&amp;IF(AND(EDATE($D108,Milestones!$AA$153)&lt;=AsOfDate,EDATE($D108,Milestones!$AA$153)&gt;=SchemeStart,IF($X108=0,$AD108,IF(AND($Z108&lt;&gt;"",EDATE($D108,Milestones!$AA$153)&gt;=$Z108),$AC108,IF(AND($Y108&lt;&gt;"",EDATE($D108,Milestones!$AA$153)&gt;=$Y108),$AB108,$AA108)))=Milestones!$AB$153),UPPER(TEXT(EDATE($D108,Milestones!$AA$153),"dd mmm yy"))&amp;" "&amp;Milestones!$AB$153&amp;" "&amp;IF(AND(Milestones!$AB$153="FT",Milestones!$AA$153=FT_Y5,EDATE($D108,Milestones!$AA$153)&lt;PolicyEff),1,Milestones!$AC$153)&amp;";  ","")&amp;IF(AND(EDATE($D108,Milestones!$AA$154)&lt;=AsOfDate,EDATE($D108,Milestones!$AA$154)&gt;=SchemeStart,IF($X108=0,$AD108,IF(AND($Z108&lt;&gt;"",EDATE($D108,Milestones!$AA$154)&gt;=$Z108),$AC108,IF(AND($Y108&lt;&gt;"",EDATE($D108,Milestones!$AA$154)&gt;=$Y108),$AB108,$AA108)))=Milestones!$AB$154),UPPER(TEXT(EDATE($D108,Milestones!$AA$154),"dd mmm yy"))&amp;" "&amp;Milestones!$AB$154&amp;" "&amp;IF(AND(Milestones!$AB$154="FT",Milestones!$AA$154=FT_Y5,EDATE($D108,Milestones!$AA$154)&lt;PolicyEff),1,Milestones!$AC$154)&amp;";  ","")&amp;IF(AND(EDATE($D108,Milestones!$AA$155)&lt;=AsOfDate,EDATE($D108,Milestones!$AA$155)&gt;=SchemeStart,IF($X108=0,$AD108,IF(AND($Z108&lt;&gt;"",EDATE($D108,Milestones!$AA$155)&gt;=$Z108),$AC108,IF(AND($Y108&lt;&gt;"",EDATE($D108,Milestones!$AA$155)&gt;=$Y108),$AB108,$AA108)))=Milestones!$AB$155),UPPER(TEXT(EDATE($D108,Milestones!$AA$155),"dd mmm yy"))&amp;" "&amp;Milestones!$AB$155&amp;" "&amp;IF(AND(Milestones!$AB$155="FT",Milestones!$AA$155=FT_Y5,EDATE($D108,Milestones!$AA$155)&lt;PolicyEff),1,Milestones!$AC$155)&amp;";  ","")&amp;IF(AND(EDATE($D108,Milestones!$AA$156)&lt;=AsOfDate,EDATE($D108,Milestones!$AA$156)&gt;=SchemeStart,IF($X108=0,$AD108,IF(AND($Z108&lt;&gt;"",EDATE($D108,Milestones!$AA$156)&gt;=$Z108),$AC108,IF(AND($Y108&lt;&gt;"",EDATE($D108,Milestones!$AA$156)&gt;=$Y108),$AB108,$AA108)))=Milestones!$AB$156),UPPER(TEXT(EDATE($D108,Milestones!$AA$156),"dd mmm yy"))&amp;" "&amp;Milestones!$AB$156&amp;" "&amp;IF(AND(Milestones!$AB$156="FT",Milestones!$AA$156=FT_Y5,EDATE($D108,Milestones!$AA$156)&lt;PolicyEff),1,Milestones!$AC$156)&amp;";  ","")&amp;IF(AND(EDATE($D108,Milestones!$AA$157)&lt;=AsOfDate,EDATE($D108,Milestones!$AA$157)&gt;=SchemeStart,IF($X108=0,$AD108,IF(AND($Z108&lt;&gt;"",EDATE($D108,Milestones!$AA$157)&gt;=$Z108),$AC108,IF(AND($Y108&lt;&gt;"",EDATE($D108,Milestones!$AA$157)&gt;=$Y108),$AB108,$AA108)))=Milestones!$AB$157),UPPER(TEXT(EDATE($D108,Milestones!$AA$157),"dd mmm yy"))&amp;" "&amp;Milestones!$AB$157&amp;" "&amp;IF(AND(Milestones!$AB$157="FT",Milestones!$AA$157=FT_Y5,EDATE($D108,Milestones!$AA$157)&lt;PolicyEff),1,Milestones!$AC$157)&amp;";  ","")&amp;IF(AND(EDATE($D108,Milestones!$AA$158)&lt;=AsOfDate,EDATE($D108,Milestones!$AA$158)&gt;=SchemeStart,IF($X108=0,$AD108,IF(AND($Z108&lt;&gt;"",EDATE($D108,Milestones!$AA$158)&gt;=$Z108),$AC108,IF(AND($Y108&lt;&gt;"",EDATE($D108,Milestones!$AA$158)&gt;=$Y108),$AB108,$AA108)))=Milestones!$AB$158),UPPER(TEXT(EDATE($D108,Milestones!$AA$158),"dd mmm yy"))&amp;" "&amp;Milestones!$AB$158&amp;" "&amp;IF(AND(Milestones!$AB$158="FT",Milestones!$AA$158=FT_Y5,EDATE($D108,Milestones!$AA$158)&lt;PolicyEff),1,Milestones!$AC$158)&amp;";  ","")&amp;IF(AND(EDATE($D108,Milestones!$AA$159)&lt;=AsOfDate,EDATE($D108,Milestones!$AA$159)&gt;=SchemeStart,IF($X108=0,$AD108,IF(AND($Z108&lt;&gt;"",EDATE($D108,Milestones!$AA$159)&gt;=$Z108),$AC108,IF(AND($Y108&lt;&gt;"",EDATE($D108,Milestones!$AA$159)&gt;=$Y108),$AB108,$AA108)))=Milestones!$AB$159),UPPER(TEXT(EDATE($D108,Milestones!$AA$159),"dd mmm yy"))&amp;" "&amp;Milestones!$AB$159&amp;" "&amp;IF(AND(Milestones!$AB$159="FT",Milestones!$AA$159=FT_Y5,EDATE($D108,Milestones!$AA$159)&lt;PolicyEff),1,Milestones!$AC$159)&amp;";  ","")&amp;IF(AND(EDATE($D108,Milestones!$AA$160)&lt;=AsOfDate,EDATE($D108,Milestones!$AA$160)&gt;=SchemeStart,IF($X108=0,$AD108,IF(AND($Z108&lt;&gt;"",EDATE($D108,Milestones!$AA$160)&gt;=$Z108),$AC108,IF(AND($Y108&lt;&gt;"",EDATE($D108,Milestones!$AA$160)&gt;=$Y108),$AB108,$AA108)))=Milestones!$AB$160),UPPER(TEXT(EDATE($D108,Milestones!$AA$160),"dd mmm yy"))&amp;" "&amp;Milestones!$AB$160&amp;" "&amp;IF(AND(Milestones!$AB$160="FT",Milestones!$AA$160=FT_Y5,EDATE($D108,Milestones!$AA$160)&lt;PolicyEff),1,Milestones!$AC$160)&amp;";  ","")&amp;IF(AND(EDATE($D108,Milestones!$AA$161)&lt;=AsOfDate,EDATE($D108,Milestones!$AA$161)&gt;=SchemeStart,IF($X108=0,$AD108,IF(AND($Z108&lt;&gt;"",EDATE($D108,Milestones!$AA$161)&gt;=$Z108),$AC108,IF(AND($Y108&lt;&gt;"",EDATE($D108,Milestones!$AA$161)&gt;=$Y108),$AB108,$AA108)))=Milestones!$AB$161),UPPER(TEXT(EDATE($D108,Milestones!$AA$161),"dd mmm yy"))&amp;" "&amp;Milestones!$AB$161&amp;" "&amp;IF(AND(Milestones!$AB$161="FT",Milestones!$AA$161=FT_Y5,EDATE($D108,Milestones!$AA$161)&lt;PolicyEff),1,Milestones!$AC$161)&amp;";  ","")&amp;IF(AND(EDATE($D108,Milestones!$AA$162)&lt;=AsOfDate,EDATE($D108,Milestones!$AA$162)&gt;=SchemeStart,IF($X108=0,$AD108,IF(AND($Z108&lt;&gt;"",EDATE($D108,Milestones!$AA$162)&gt;=$Z108),$AC108,IF(AND($Y108&lt;&gt;"",EDATE($D108,Milestones!$AA$162)&gt;=$Y108),$AB108,$AA108)))=Milestones!$AB$162),UPPER(TEXT(EDATE($D108,Milestones!$AA$162),"dd mmm yy"))&amp;" "&amp;Milestones!$AB$162&amp;" "&amp;IF(AND(Milestones!$AB$162="FT",Milestones!$AA$162=FT_Y5,EDATE($D108,Milestones!$AA$162)&lt;PolicyEff),1,Milestones!$AC$162)&amp;";  ","")&amp;IF(AND(EDATE($D108,Milestones!$AA$163)&lt;=AsOfDate,EDATE($D108,Milestones!$AA$163)&gt;=SchemeStart,IF($X108=0,$AD108,IF(AND($Z108&lt;&gt;"",EDATE($D108,Milestones!$AA$163)&gt;=$Z108),$AC108,IF(AND($Y108&lt;&gt;"",EDATE($D108,Milestones!$AA$163)&gt;=$Y108),$AB108,$AA108)))=Milestones!$AB$163),UPPER(TEXT(EDATE($D108,Milestones!$AA$163),"dd mmm yy"))&amp;" "&amp;Milestones!$AB$163&amp;" "&amp;IF(AND(Milestones!$AB$163="FT",Milestones!$AA$163=FT_Y5,EDATE($D108,Milestones!$AA$163)&lt;PolicyEff),1,Milestones!$AC$163)&amp;";  ",""))</f>
        <v/>
      </c>
      <c r="U108" s="0" t="str">
        <f aca="false">IF(OR($A108="",$D108=""),"",IF(AND(EDATE($D108,Milestones!$AA$164)&lt;=AsOfDate,EDATE($D108,Milestones!$AA$164)&gt;=SchemeStart,IF($X108=0,$AD108,IF(AND($Z108&lt;&gt;"",EDATE($D108,Milestones!$AA$164)&gt;=$Z108),$AC108,IF(AND($Y108&lt;&gt;"",EDATE($D108,Milestones!$AA$164)&gt;=$Y108),$AB108,$AA108)))=Milestones!$AB$164),UPPER(TEXT(EDATE($D108,Milestones!$AA$164),"dd mmm yy"))&amp;" "&amp;Milestones!$AB$164&amp;" "&amp;IF(AND(Milestones!$AB$164="FT",Milestones!$AA$164=FT_Y5,EDATE($D108,Milestones!$AA$164)&lt;PolicyEff),1,Milestones!$AC$164)&amp;";  ","")&amp;IF(AND(EDATE($D108,Milestones!$AA$165)&lt;=AsOfDate,EDATE($D108,Milestones!$AA$165)&gt;=SchemeStart,IF($X108=0,$AD108,IF(AND($Z108&lt;&gt;"",EDATE($D108,Milestones!$AA$165)&gt;=$Z108),$AC108,IF(AND($Y108&lt;&gt;"",EDATE($D108,Milestones!$AA$165)&gt;=$Y108),$AB108,$AA108)))=Milestones!$AB$165),UPPER(TEXT(EDATE($D108,Milestones!$AA$165),"dd mmm yy"))&amp;" "&amp;Milestones!$AB$165&amp;" "&amp;IF(AND(Milestones!$AB$165="FT",Milestones!$AA$165=FT_Y5,EDATE($D108,Milestones!$AA$165)&lt;PolicyEff),1,Milestones!$AC$165)&amp;";  ","")&amp;IF(AND(EDATE($D108,Milestones!$AA$166)&lt;=AsOfDate,EDATE($D108,Milestones!$AA$166)&gt;=SchemeStart,IF($X108=0,$AD108,IF(AND($Z108&lt;&gt;"",EDATE($D108,Milestones!$AA$166)&gt;=$Z108),$AC108,IF(AND($Y108&lt;&gt;"",EDATE($D108,Milestones!$AA$166)&gt;=$Y108),$AB108,$AA108)))=Milestones!$AB$166),UPPER(TEXT(EDATE($D108,Milestones!$AA$166),"dd mmm yy"))&amp;" "&amp;Milestones!$AB$166&amp;" "&amp;IF(AND(Milestones!$AB$166="FT",Milestones!$AA$166=FT_Y5,EDATE($D108,Milestones!$AA$166)&lt;PolicyEff),1,Milestones!$AC$166)&amp;";  ","")&amp;IF(AND(EDATE($D108,Milestones!$AA$167)&lt;=AsOfDate,EDATE($D108,Milestones!$AA$167)&gt;=SchemeStart,IF($X108=0,$AD108,IF(AND($Z108&lt;&gt;"",EDATE($D108,Milestones!$AA$167)&gt;=$Z108),$AC108,IF(AND($Y108&lt;&gt;"",EDATE($D108,Milestones!$AA$167)&gt;=$Y108),$AB108,$AA108)))=Milestones!$AB$167),UPPER(TEXT(EDATE($D108,Milestones!$AA$167),"dd mmm yy"))&amp;" "&amp;Milestones!$AB$167&amp;" "&amp;IF(AND(Milestones!$AB$167="FT",Milestones!$AA$167=FT_Y5,EDATE($D108,Milestones!$AA$167)&lt;PolicyEff),1,Milestones!$AC$167)&amp;";  ","")&amp;IF(AND(EDATE($D108,Milestones!$AA$168)&lt;=AsOfDate,EDATE($D108,Milestones!$AA$168)&gt;=SchemeStart,IF($X108=0,$AD108,IF(AND($Z108&lt;&gt;"",EDATE($D108,Milestones!$AA$168)&gt;=$Z108),$AC108,IF(AND($Y108&lt;&gt;"",EDATE($D108,Milestones!$AA$168)&gt;=$Y108),$AB108,$AA108)))=Milestones!$AB$168),UPPER(TEXT(EDATE($D108,Milestones!$AA$168),"dd mmm yy"))&amp;" "&amp;Milestones!$AB$168&amp;" "&amp;IF(AND(Milestones!$AB$168="FT",Milestones!$AA$168=FT_Y5,EDATE($D108,Milestones!$AA$168)&lt;PolicyEff),1,Milestones!$AC$168)&amp;";  ","")&amp;IF(AND(EDATE($D108,Milestones!$AA$169)&lt;=AsOfDate,EDATE($D108,Milestones!$AA$169)&gt;=SchemeStart,IF($X108=0,$AD108,IF(AND($Z108&lt;&gt;"",EDATE($D108,Milestones!$AA$169)&gt;=$Z108),$AC108,IF(AND($Y108&lt;&gt;"",EDATE($D108,Milestones!$AA$169)&gt;=$Y108),$AB108,$AA108)))=Milestones!$AB$169),UPPER(TEXT(EDATE($D108,Milestones!$AA$169),"dd mmm yy"))&amp;" "&amp;Milestones!$AB$169&amp;" "&amp;IF(AND(Milestones!$AB$169="FT",Milestones!$AA$169=FT_Y5,EDATE($D108,Milestones!$AA$169)&lt;PolicyEff),1,Milestones!$AC$169)&amp;";  ","")&amp;IF(AND(EDATE($D108,Milestones!$AA$170)&lt;=AsOfDate,EDATE($D108,Milestones!$AA$170)&gt;=SchemeStart,IF($X108=0,$AD108,IF(AND($Z108&lt;&gt;"",EDATE($D108,Milestones!$AA$170)&gt;=$Z108),$AC108,IF(AND($Y108&lt;&gt;"",EDATE($D108,Milestones!$AA$170)&gt;=$Y108),$AB108,$AA108)))=Milestones!$AB$170),UPPER(TEXT(EDATE($D108,Milestones!$AA$170),"dd mmm yy"))&amp;" "&amp;Milestones!$AB$170&amp;" "&amp;IF(AND(Milestones!$AB$170="FT",Milestones!$AA$170=FT_Y5,EDATE($D108,Milestones!$AA$170)&lt;PolicyEff),1,Milestones!$AC$170)&amp;";  ","")&amp;IF(AND(EDATE($D108,Milestones!$AA$171)&lt;=AsOfDate,EDATE($D108,Milestones!$AA$171)&gt;=SchemeStart,IF($X108=0,$AD108,IF(AND($Z108&lt;&gt;"",EDATE($D108,Milestones!$AA$171)&gt;=$Z108),$AC108,IF(AND($Y108&lt;&gt;"",EDATE($D108,Milestones!$AA$171)&gt;=$Y108),$AB108,$AA108)))=Milestones!$AB$171),UPPER(TEXT(EDATE($D108,Milestones!$AA$171),"dd mmm yy"))&amp;" "&amp;Milestones!$AB$171&amp;" "&amp;IF(AND(Milestones!$AB$171="FT",Milestones!$AA$171=FT_Y5,EDATE($D108,Milestones!$AA$171)&lt;PolicyEff),1,Milestones!$AC$171)&amp;";  ","")&amp;IF(AND(EDATE($D108,Milestones!$AA$172)&lt;=AsOfDate,EDATE($D108,Milestones!$AA$172)&gt;=SchemeStart,IF($X108=0,$AD108,IF(AND($Z108&lt;&gt;"",EDATE($D108,Milestones!$AA$172)&gt;=$Z108),$AC108,IF(AND($Y108&lt;&gt;"",EDATE($D108,Milestones!$AA$172)&gt;=$Y108),$AB108,$AA108)))=Milestones!$AB$172),UPPER(TEXT(EDATE($D108,Milestones!$AA$172),"dd mmm yy"))&amp;" "&amp;Milestones!$AB$172&amp;" "&amp;IF(AND(Milestones!$AB$172="FT",Milestones!$AA$172=FT_Y5,EDATE($D108,Milestones!$AA$172)&lt;PolicyEff),1,Milestones!$AC$172)&amp;";  ","")&amp;IF(AND(EDATE($D108,Milestones!$AA$173)&lt;=AsOfDate,EDATE($D108,Milestones!$AA$173)&gt;=SchemeStart,IF($X108=0,$AD108,IF(AND($Z108&lt;&gt;"",EDATE($D108,Milestones!$AA$173)&gt;=$Z108),$AC108,IF(AND($Y108&lt;&gt;"",EDATE($D108,Milestones!$AA$173)&gt;=$Y108),$AB108,$AA108)))=Milestones!$AB$173),UPPER(TEXT(EDATE($D108,Milestones!$AA$173),"dd mmm yy"))&amp;" "&amp;Milestones!$AB$173&amp;" "&amp;IF(AND(Milestones!$AB$173="FT",Milestones!$AA$173=FT_Y5,EDATE($D108,Milestones!$AA$173)&lt;PolicyEff),1,Milestones!$AC$173)&amp;";  ","")&amp;IF(AND(EDATE($D108,Milestones!$AA$174)&lt;=AsOfDate,EDATE($D108,Milestones!$AA$174)&gt;=SchemeStart,IF($X108=0,$AD108,IF(AND($Z108&lt;&gt;"",EDATE($D108,Milestones!$AA$174)&gt;=$Z108),$AC108,IF(AND($Y108&lt;&gt;"",EDATE($D108,Milestones!$AA$174)&gt;=$Y108),$AB108,$AA108)))=Milestones!$AB$174),UPPER(TEXT(EDATE($D108,Milestones!$AA$174),"dd mmm yy"))&amp;" "&amp;Milestones!$AB$174&amp;" "&amp;IF(AND(Milestones!$AB$174="FT",Milestones!$AA$174=FT_Y5,EDATE($D108,Milestones!$AA$174)&lt;PolicyEff),1,Milestones!$AC$174)&amp;";  ","")&amp;IF(AND(EDATE($D108,Milestones!$AA$175)&lt;=AsOfDate,EDATE($D108,Milestones!$AA$175)&gt;=SchemeStart,IF($X108=0,$AD108,IF(AND($Z108&lt;&gt;"",EDATE($D108,Milestones!$AA$175)&gt;=$Z108),$AC108,IF(AND($Y108&lt;&gt;"",EDATE($D108,Milestones!$AA$175)&gt;=$Y108),$AB108,$AA108)))=Milestones!$AB$175),UPPER(TEXT(EDATE($D108,Milestones!$AA$175),"dd mmm yy"))&amp;" "&amp;Milestones!$AB$175&amp;" "&amp;IF(AND(Milestones!$AB$175="FT",Milestones!$AA$175=FT_Y5,EDATE($D108,Milestones!$AA$175)&lt;PolicyEff),1,Milestones!$AC$175)&amp;";  ",""))</f>
        <v/>
      </c>
      <c r="V108" s="0" t="str">
        <f aca="false">IF(OR($A108="",$D108=""),"",IF(AND(EDATE($D108,Milestones!$AA$176)&lt;=AsOfDate,EDATE($D108,Milestones!$AA$176)&gt;=SchemeStart,IF($X108=0,$AD108,IF(AND($Z108&lt;&gt;"",EDATE($D108,Milestones!$AA$176)&gt;=$Z108),$AC108,IF(AND($Y108&lt;&gt;"",EDATE($D108,Milestones!$AA$176)&gt;=$Y108),$AB108,$AA108)))=Milestones!$AB$176),UPPER(TEXT(EDATE($D108,Milestones!$AA$176),"dd mmm yy"))&amp;" "&amp;Milestones!$AB$176&amp;" "&amp;IF(AND(Milestones!$AB$176="FT",Milestones!$AA$176=FT_Y5,EDATE($D108,Milestones!$AA$176)&lt;PolicyEff),1,Milestones!$AC$176)&amp;";  ","")&amp;IF(AND(EDATE($D108,Milestones!$AA$177)&lt;=AsOfDate,EDATE($D108,Milestones!$AA$177)&gt;=SchemeStart,IF($X108=0,$AD108,IF(AND($Z108&lt;&gt;"",EDATE($D108,Milestones!$AA$177)&gt;=$Z108),$AC108,IF(AND($Y108&lt;&gt;"",EDATE($D108,Milestones!$AA$177)&gt;=$Y108),$AB108,$AA108)))=Milestones!$AB$177),UPPER(TEXT(EDATE($D108,Milestones!$AA$177),"dd mmm yy"))&amp;" "&amp;Milestones!$AB$177&amp;" "&amp;IF(AND(Milestones!$AB$177="FT",Milestones!$AA$177=FT_Y5,EDATE($D108,Milestones!$AA$177)&lt;PolicyEff),1,Milestones!$AC$177)&amp;";  ","")&amp;IF(AND(EDATE($D108,Milestones!$AA$178)&lt;=AsOfDate,EDATE($D108,Milestones!$AA$178)&gt;=SchemeStart,IF($X108=0,$AD108,IF(AND($Z108&lt;&gt;"",EDATE($D108,Milestones!$AA$178)&gt;=$Z108),$AC108,IF(AND($Y108&lt;&gt;"",EDATE($D108,Milestones!$AA$178)&gt;=$Y108),$AB108,$AA108)))=Milestones!$AB$178),UPPER(TEXT(EDATE($D108,Milestones!$AA$178),"dd mmm yy"))&amp;" "&amp;Milestones!$AB$178&amp;" "&amp;IF(AND(Milestones!$AB$178="FT",Milestones!$AA$178=FT_Y5,EDATE($D108,Milestones!$AA$178)&lt;PolicyEff),1,Milestones!$AC$178)&amp;";  ","")&amp;IF(AND(EDATE($D108,Milestones!$AA$179)&lt;=AsOfDate,EDATE($D108,Milestones!$AA$179)&gt;=SchemeStart,IF($X108=0,$AD108,IF(AND($Z108&lt;&gt;"",EDATE($D108,Milestones!$AA$179)&gt;=$Z108),$AC108,IF(AND($Y108&lt;&gt;"",EDATE($D108,Milestones!$AA$179)&gt;=$Y108),$AB108,$AA108)))=Milestones!$AB$179),UPPER(TEXT(EDATE($D108,Milestones!$AA$179),"dd mmm yy"))&amp;" "&amp;Milestones!$AB$179&amp;" "&amp;IF(AND(Milestones!$AB$179="FT",Milestones!$AA$179=FT_Y5,EDATE($D108,Milestones!$AA$179)&lt;PolicyEff),1,Milestones!$AC$179)&amp;";  ","")&amp;IF(AND(EDATE($D108,Milestones!$AA$180)&lt;=AsOfDate,EDATE($D108,Milestones!$AA$180)&gt;=SchemeStart,IF($X108=0,$AD108,IF(AND($Z108&lt;&gt;"",EDATE($D108,Milestones!$AA$180)&gt;=$Z108),$AC108,IF(AND($Y108&lt;&gt;"",EDATE($D108,Milestones!$AA$180)&gt;=$Y108),$AB108,$AA108)))=Milestones!$AB$180),UPPER(TEXT(EDATE($D108,Milestones!$AA$180),"dd mmm yy"))&amp;" "&amp;Milestones!$AB$180&amp;" "&amp;IF(AND(Milestones!$AB$180="FT",Milestones!$AA$180=FT_Y5,EDATE($D108,Milestones!$AA$180)&lt;PolicyEff),1,Milestones!$AC$180)&amp;";  ","")&amp;IF(AND(EDATE($D108,Milestones!$AA$181)&lt;=AsOfDate,EDATE($D108,Milestones!$AA$181)&gt;=SchemeStart,IF($X108=0,$AD108,IF(AND($Z108&lt;&gt;"",EDATE($D108,Milestones!$AA$181)&gt;=$Z108),$AC108,IF(AND($Y108&lt;&gt;"",EDATE($D108,Milestones!$AA$181)&gt;=$Y108),$AB108,$AA108)))=Milestones!$AB$181),UPPER(TEXT(EDATE($D108,Milestones!$AA$181),"dd mmm yy"))&amp;" "&amp;Milestones!$AB$181&amp;" "&amp;IF(AND(Milestones!$AB$181="FT",Milestones!$AA$181=FT_Y5,EDATE($D108,Milestones!$AA$181)&lt;PolicyEff),1,Milestones!$AC$181)&amp;";  ","")&amp;IF(AND(EDATE($D108,Milestones!$AA$182)&lt;=AsOfDate,EDATE($D108,Milestones!$AA$182)&gt;=SchemeStart,IF($X108=0,$AD108,IF(AND($Z108&lt;&gt;"",EDATE($D108,Milestones!$AA$182)&gt;=$Z108),$AC108,IF(AND($Y108&lt;&gt;"",EDATE($D108,Milestones!$AA$182)&gt;=$Y108),$AB108,$AA108)))=Milestones!$AB$182),UPPER(TEXT(EDATE($D108,Milestones!$AA$182),"dd mmm yy"))&amp;" "&amp;Milestones!$AB$182&amp;" "&amp;IF(AND(Milestones!$AB$182="FT",Milestones!$AA$182=FT_Y5,EDATE($D108,Milestones!$AA$182)&lt;PolicyEff),1,Milestones!$AC$182)&amp;";  ","")&amp;IF(AND(EDATE($D108,Milestones!$AA$183)&lt;=AsOfDate,EDATE($D108,Milestones!$AA$183)&gt;=SchemeStart,IF($X108=0,$AD108,IF(AND($Z108&lt;&gt;"",EDATE($D108,Milestones!$AA$183)&gt;=$Z108),$AC108,IF(AND($Y108&lt;&gt;"",EDATE($D108,Milestones!$AA$183)&gt;=$Y108),$AB108,$AA108)))=Milestones!$AB$183),UPPER(TEXT(EDATE($D108,Milestones!$AA$183),"dd mmm yy"))&amp;" "&amp;Milestones!$AB$183&amp;" "&amp;IF(AND(Milestones!$AB$183="FT",Milestones!$AA$183=FT_Y5,EDATE($D108,Milestones!$AA$183)&lt;PolicyEff),1,Milestones!$AC$183)&amp;";  ","")&amp;IF(AND(EDATE($D108,Milestones!$AA$184)&lt;=AsOfDate,EDATE($D108,Milestones!$AA$184)&gt;=SchemeStart,IF($X108=0,$AD108,IF(AND($Z108&lt;&gt;"",EDATE($D108,Milestones!$AA$184)&gt;=$Z108),$AC108,IF(AND($Y108&lt;&gt;"",EDATE($D108,Milestones!$AA$184)&gt;=$Y108),$AB108,$AA108)))=Milestones!$AB$184),UPPER(TEXT(EDATE($D108,Milestones!$AA$184),"dd mmm yy"))&amp;" "&amp;Milestones!$AB$184&amp;" "&amp;IF(AND(Milestones!$AB$184="FT",Milestones!$AA$184=FT_Y5,EDATE($D108,Milestones!$AA$184)&lt;PolicyEff),1,Milestones!$AC$184)&amp;";  ","")&amp;IF(AND(EDATE($D108,Milestones!$AA$185)&lt;=AsOfDate,EDATE($D108,Milestones!$AA$185)&gt;=SchemeStart,IF($X108=0,$AD108,IF(AND($Z108&lt;&gt;"",EDATE($D108,Milestones!$AA$185)&gt;=$Z108),$AC108,IF(AND($Y108&lt;&gt;"",EDATE($D108,Milestones!$AA$185)&gt;=$Y108),$AB108,$AA108)))=Milestones!$AB$185),UPPER(TEXT(EDATE($D108,Milestones!$AA$185),"dd mmm yy"))&amp;" "&amp;Milestones!$AB$185&amp;" "&amp;IF(AND(Milestones!$AB$185="FT",Milestones!$AA$185=FT_Y5,EDATE($D108,Milestones!$AA$185)&lt;PolicyEff),1,Milestones!$AC$185)&amp;";  ","")&amp;IF(AND(EDATE($D108,Milestones!$AA$186)&lt;=AsOfDate,EDATE($D108,Milestones!$AA$186)&gt;=SchemeStart,IF($X108=0,$AD108,IF(AND($Z108&lt;&gt;"",EDATE($D108,Milestones!$AA$186)&gt;=$Z108),$AC108,IF(AND($Y108&lt;&gt;"",EDATE($D108,Milestones!$AA$186)&gt;=$Y108),$AB108,$AA108)))=Milestones!$AB$186),UPPER(TEXT(EDATE($D108,Milestones!$AA$186),"dd mmm yy"))&amp;" "&amp;Milestones!$AB$186&amp;" "&amp;IF(AND(Milestones!$AB$186="FT",Milestones!$AA$186=FT_Y5,EDATE($D108,Milestones!$AA$186)&lt;PolicyEff),1,Milestones!$AC$186)&amp;";  ","")&amp;IF(AND(EDATE($D108,Milestones!$AA$187)&lt;=AsOfDate,EDATE($D108,Milestones!$AA$187)&gt;=SchemeStart,IF($X108=0,$AD108,IF(AND($Z108&lt;&gt;"",EDATE($D108,Milestones!$AA$187)&gt;=$Z108),$AC108,IF(AND($Y108&lt;&gt;"",EDATE($D108,Milestones!$AA$187)&gt;=$Y108),$AB108,$AA108)))=Milestones!$AB$187),UPPER(TEXT(EDATE($D108,Milestones!$AA$187),"dd mmm yy"))&amp;" "&amp;Milestones!$AB$187&amp;" "&amp;IF(AND(Milestones!$AB$187="FT",Milestones!$AA$187=FT_Y5,EDATE($D108,Milestones!$AA$187)&lt;PolicyEff),1,Milestones!$AC$187)&amp;";  ",""))</f>
        <v/>
      </c>
      <c r="W108" s="0" t="str">
        <f aca="false">IF(OR($A108="",$D108=""),"",IF(AND(EDATE($D108,Milestones!$AA$188)&lt;=AsOfDate,EDATE($D108,Milestones!$AA$188)&gt;=SchemeStart,IF($X108=0,$AD108,IF(AND($Z108&lt;&gt;"",EDATE($D108,Milestones!$AA$188)&gt;=$Z108),$AC108,IF(AND($Y108&lt;&gt;"",EDATE($D108,Milestones!$AA$188)&gt;=$Y108),$AB108,$AA108)))=Milestones!$AB$188),UPPER(TEXT(EDATE($D108,Milestones!$AA$188),"dd mmm yy"))&amp;" "&amp;Milestones!$AB$188&amp;" "&amp;IF(AND(Milestones!$AB$188="FT",Milestones!$AA$188=FT_Y5,EDATE($D108,Milestones!$AA$188)&lt;PolicyEff),1,Milestones!$AC$188)&amp;";  ","")&amp;IF(AND(EDATE($D108,Milestones!$AA$189)&lt;=AsOfDate,EDATE($D108,Milestones!$AA$189)&gt;=SchemeStart,IF($X108=0,$AD108,IF(AND($Z108&lt;&gt;"",EDATE($D108,Milestones!$AA$189)&gt;=$Z108),$AC108,IF(AND($Y108&lt;&gt;"",EDATE($D108,Milestones!$AA$189)&gt;=$Y108),$AB108,$AA108)))=Milestones!$AB$189),UPPER(TEXT(EDATE($D108,Milestones!$AA$189),"dd mmm yy"))&amp;" "&amp;Milestones!$AB$189&amp;" "&amp;IF(AND(Milestones!$AB$189="FT",Milestones!$AA$189=FT_Y5,EDATE($D108,Milestones!$AA$189)&lt;PolicyEff),1,Milestones!$AC$189)&amp;";  ","")&amp;IF(AND(EDATE($D108,Milestones!$AA$190)&lt;=AsOfDate,EDATE($D108,Milestones!$AA$190)&gt;=SchemeStart,IF($X108=0,$AD108,IF(AND($Z108&lt;&gt;"",EDATE($D108,Milestones!$AA$190)&gt;=$Z108),$AC108,IF(AND($Y108&lt;&gt;"",EDATE($D108,Milestones!$AA$190)&gt;=$Y108),$AB108,$AA108)))=Milestones!$AB$190),UPPER(TEXT(EDATE($D108,Milestones!$AA$190),"dd mmm yy"))&amp;" "&amp;Milestones!$AB$190&amp;" "&amp;IF(AND(Milestones!$AB$190="FT",Milestones!$AA$190=FT_Y5,EDATE($D108,Milestones!$AA$190)&lt;PolicyEff),1,Milestones!$AC$190)&amp;";  ","")&amp;IF(AND(EDATE($D108,Milestones!$AA$191)&lt;=AsOfDate,EDATE($D108,Milestones!$AA$191)&gt;=SchemeStart,IF($X108=0,$AD108,IF(AND($Z108&lt;&gt;"",EDATE($D108,Milestones!$AA$191)&gt;=$Z108),$AC108,IF(AND($Y108&lt;&gt;"",EDATE($D108,Milestones!$AA$191)&gt;=$Y108),$AB108,$AA108)))=Milestones!$AB$191),UPPER(TEXT(EDATE($D108,Milestones!$AA$191),"dd mmm yy"))&amp;" "&amp;Milestones!$AB$191&amp;" "&amp;IF(AND(Milestones!$AB$191="FT",Milestones!$AA$191=FT_Y5,EDATE($D108,Milestones!$AA$191)&lt;PolicyEff),1,Milestones!$AC$191)&amp;";  ","")&amp;IF(AND(EDATE($D108,Milestones!$AA$192)&lt;=AsOfDate,EDATE($D108,Milestones!$AA$192)&gt;=SchemeStart,IF($X108=0,$AD108,IF(AND($Z108&lt;&gt;"",EDATE($D108,Milestones!$AA$192)&gt;=$Z108),$AC108,IF(AND($Y108&lt;&gt;"",EDATE($D108,Milestones!$AA$192)&gt;=$Y108),$AB108,$AA108)))=Milestones!$AB$192),UPPER(TEXT(EDATE($D108,Milestones!$AA$192),"dd mmm yy"))&amp;" "&amp;Milestones!$AB$192&amp;" "&amp;IF(AND(Milestones!$AB$192="FT",Milestones!$AA$192=FT_Y5,EDATE($D108,Milestones!$AA$192)&lt;PolicyEff),1,Milestones!$AC$192)&amp;";  ","")&amp;IF(AND(EDATE($D108,Milestones!$AA$193)&lt;=AsOfDate,EDATE($D108,Milestones!$AA$193)&gt;=SchemeStart,IF($X108=0,$AD108,IF(AND($Z108&lt;&gt;"",EDATE($D108,Milestones!$AA$193)&gt;=$Z108),$AC108,IF(AND($Y108&lt;&gt;"",EDATE($D108,Milestones!$AA$193)&gt;=$Y108),$AB108,$AA108)))=Milestones!$AB$193),UPPER(TEXT(EDATE($D108,Milestones!$AA$193),"dd mmm yy"))&amp;" "&amp;Milestones!$AB$193&amp;" "&amp;IF(AND(Milestones!$AB$193="FT",Milestones!$AA$193=FT_Y5,EDATE($D108,Milestones!$AA$193)&lt;PolicyEff),1,Milestones!$AC$193)&amp;";  ","")&amp;IF(AND(EDATE($D108,Milestones!$AA$194)&lt;=AsOfDate,EDATE($D108,Milestones!$AA$194)&gt;=SchemeStart,IF($X108=0,$AD108,IF(AND($Z108&lt;&gt;"",EDATE($D108,Milestones!$AA$194)&gt;=$Z108),$AC108,IF(AND($Y108&lt;&gt;"",EDATE($D108,Milestones!$AA$194)&gt;=$Y108),$AB108,$AA108)))=Milestones!$AB$194),UPPER(TEXT(EDATE($D108,Milestones!$AA$194),"dd mmm yy"))&amp;" "&amp;Milestones!$AB$194&amp;" "&amp;IF(AND(Milestones!$AB$194="FT",Milestones!$AA$194=FT_Y5,EDATE($D108,Milestones!$AA$194)&lt;PolicyEff),1,Milestones!$AC$194)&amp;";  ","")&amp;IF(AND(EDATE($D108,Milestones!$AA$195)&lt;=AsOfDate,EDATE($D108,Milestones!$AA$195)&gt;=SchemeStart,IF($X108=0,$AD108,IF(AND($Z108&lt;&gt;"",EDATE($D108,Milestones!$AA$195)&gt;=$Z108),$AC108,IF(AND($Y108&lt;&gt;"",EDATE($D108,Milestones!$AA$195)&gt;=$Y108),$AB108,$AA108)))=Milestones!$AB$195),UPPER(TEXT(EDATE($D108,Milestones!$AA$195),"dd mmm yy"))&amp;" "&amp;Milestones!$AB$195&amp;" "&amp;IF(AND(Milestones!$AB$195="FT",Milestones!$AA$195=FT_Y5,EDATE($D108,Milestones!$AA$195)&lt;PolicyEff),1,Milestones!$AC$195)&amp;";  ","")&amp;IF(AND(EDATE($D108,Milestones!$AA$196)&lt;=AsOfDate,EDATE($D108,Milestones!$AA$196)&gt;=SchemeStart,IF($X108=0,$AD108,IF(AND($Z108&lt;&gt;"",EDATE($D108,Milestones!$AA$196)&gt;=$Z108),$AC108,IF(AND($Y108&lt;&gt;"",EDATE($D108,Milestones!$AA$196)&gt;=$Y108),$AB108,$AA108)))=Milestones!$AB$196),UPPER(TEXT(EDATE($D108,Milestones!$AA$196),"dd mmm yy"))&amp;" "&amp;Milestones!$AB$196&amp;" "&amp;IF(AND(Milestones!$AB$196="FT",Milestones!$AA$196=FT_Y5,EDATE($D108,Milestones!$AA$196)&lt;PolicyEff),1,Milestones!$AC$196)&amp;";  ","")&amp;IF(AND(EDATE($D108,Milestones!$AA$197)&lt;=AsOfDate,EDATE($D108,Milestones!$AA$197)&gt;=SchemeStart,IF($X108=0,$AD108,IF(AND($Z108&lt;&gt;"",EDATE($D108,Milestones!$AA$197)&gt;=$Z108),$AC108,IF(AND($Y108&lt;&gt;"",EDATE($D108,Milestones!$AA$197)&gt;=$Y108),$AB108,$AA108)))=Milestones!$AB$197),UPPER(TEXT(EDATE($D108,Milestones!$AA$197),"dd mmm yy"))&amp;" "&amp;Milestones!$AB$197&amp;" "&amp;IF(AND(Milestones!$AB$197="FT",Milestones!$AA$197=FT_Y5,EDATE($D108,Milestones!$AA$197)&lt;PolicyEff),1,Milestones!$AC$197)&amp;";  ","")&amp;IF(AND(EDATE($D108,Milestones!$AA$198)&lt;=AsOfDate,EDATE($D108,Milestones!$AA$198)&gt;=SchemeStart,IF($X108=0,$AD108,IF(AND($Z108&lt;&gt;"",EDATE($D108,Milestones!$AA$198)&gt;=$Z108),$AC108,IF(AND($Y108&lt;&gt;"",EDATE($D108,Milestones!$AA$198)&gt;=$Y108),$AB108,$AA108)))=Milestones!$AB$198),UPPER(TEXT(EDATE($D108,Milestones!$AA$198),"dd mmm yy"))&amp;" "&amp;Milestones!$AB$198&amp;" "&amp;IF(AND(Milestones!$AB$198="FT",Milestones!$AA$198=FT_Y5,EDATE($D108,Milestones!$AA$198)&lt;PolicyEff),1,Milestones!$AC$198)&amp;";  ","")&amp;IF(AND(EDATE($D108,Milestones!$AA$199)&lt;=AsOfDate,EDATE($D108,Milestones!$AA$199)&gt;=SchemeStart,IF($X108=0,$AD108,IF(AND($Z108&lt;&gt;"",EDATE($D108,Milestones!$AA$199)&gt;=$Z108),$AC108,IF(AND($Y108&lt;&gt;"",EDATE($D108,Milestones!$AA$199)&gt;=$Y108),$AB108,$AA108)))=Milestones!$AB$199),UPPER(TEXT(EDATE($D108,Milestones!$AA$199),"dd mmm yy"))&amp;" "&amp;Milestones!$AB$199&amp;" "&amp;IF(AND(Milestones!$AB$199="FT",Milestones!$AA$199=FT_Y5,EDATE($D108,Milestones!$AA$199)&lt;PolicyEff),1,Milestones!$AC$199)&amp;";  ",""))</f>
        <v/>
      </c>
      <c r="X108" s="0" t="str">
        <f aca="false">IF(Staff!$A108="","",Staff!$AM108)</f>
        <v/>
      </c>
      <c r="Y108" s="0" t="str">
        <f aca="false">IF(Staff!$A108="","",Staff!$AO108)</f>
        <v/>
      </c>
      <c r="Z108" s="0" t="str">
        <f aca="false">IF(Staff!$A108="","",Staff!$AP108)</f>
        <v/>
      </c>
      <c r="AA108" s="0" t="str">
        <f aca="false">IF(Staff!$A108="","",Staff!$AT108)</f>
        <v/>
      </c>
      <c r="AB108" s="0" t="str">
        <f aca="false">IF(Staff!$A108="","",Staff!$AU108)</f>
        <v/>
      </c>
      <c r="AC108" s="0" t="str">
        <f aca="false">IF(Staff!$A108="","",Staff!$AV108)</f>
        <v/>
      </c>
      <c r="AD108" s="0" t="str">
        <f aca="false">IF(Staff!$A108="","",Staff!$AW108)</f>
        <v/>
      </c>
    </row>
    <row r="109" customFormat="false" ht="15" hidden="false" customHeight="false" outlineLevel="0" collapsed="false">
      <c r="A109" s="16" t="str">
        <f aca="false">IF(Staff!$A109="","",Staff!$A109)</f>
        <v/>
      </c>
      <c r="B109" s="16" t="str">
        <f aca="false">IF(Staff!$A109="","",Staff!$B109)</f>
        <v/>
      </c>
      <c r="C109" s="16" t="str">
        <f aca="false">IF(Staff!$A109="","",Staff!$C109)</f>
        <v/>
      </c>
      <c r="D109" s="14" t="str">
        <f aca="false">IF(Staff!$A109="","",Staff!$AL109)</f>
        <v/>
      </c>
      <c r="E109" s="16" t="str">
        <f aca="false">IF(Staff!$A109="","",Staff!$O109)</f>
        <v/>
      </c>
      <c r="F109" s="16" t="str">
        <f aca="false">IF(E109="","",E109*HoursPerDay)</f>
        <v/>
      </c>
      <c r="G109" s="16" t="str">
        <f aca="false">IF(Staff!$A109="","",Staff!$AE109)</f>
        <v/>
      </c>
      <c r="H109" s="28" t="str">
        <f aca="false">IF($A109="","",I109&amp;J109&amp;K109&amp;L109&amp;M109&amp;N109&amp;O109&amp;P109&amp;Q109&amp;R109&amp;S109&amp;T109&amp;U109&amp;V109&amp;W109)</f>
        <v/>
      </c>
      <c r="I109" s="0" t="str">
        <f aca="false">IF(OR($A109="",$D109=""),"",IF(AND(EDATE($D109,Milestones!$AA$20)&lt;=AsOfDate,EDATE($D109,Milestones!$AA$20)&gt;=SchemeStart,IF($X109=0,$AD109,IF(AND($Z109&lt;&gt;"",EDATE($D109,Milestones!$AA$20)&gt;=$Z109),$AC109,IF(AND($Y109&lt;&gt;"",EDATE($D109,Milestones!$AA$20)&gt;=$Y109),$AB109,$AA109)))=Milestones!$AB$20),UPPER(TEXT(EDATE($D109,Milestones!$AA$20),"dd mmm yy"))&amp;" "&amp;Milestones!$AB$20&amp;" "&amp;IF(AND(Milestones!$AB$20="FT",Milestones!$AA$20=FT_Y5,EDATE($D109,Milestones!$AA$20)&lt;PolicyEff),1,Milestones!$AC$20)&amp;";  ","")&amp;IF(AND(EDATE($D109,Milestones!$AA$21)&lt;=AsOfDate,EDATE($D109,Milestones!$AA$21)&gt;=SchemeStart,IF($X109=0,$AD109,IF(AND($Z109&lt;&gt;"",EDATE($D109,Milestones!$AA$21)&gt;=$Z109),$AC109,IF(AND($Y109&lt;&gt;"",EDATE($D109,Milestones!$AA$21)&gt;=$Y109),$AB109,$AA109)))=Milestones!$AB$21),UPPER(TEXT(EDATE($D109,Milestones!$AA$21),"dd mmm yy"))&amp;" "&amp;Milestones!$AB$21&amp;" "&amp;IF(AND(Milestones!$AB$21="FT",Milestones!$AA$21=FT_Y5,EDATE($D109,Milestones!$AA$21)&lt;PolicyEff),1,Milestones!$AC$21)&amp;";  ","")&amp;IF(AND(EDATE($D109,Milestones!$AA$22)&lt;=AsOfDate,EDATE($D109,Milestones!$AA$22)&gt;=SchemeStart,IF($X109=0,$AD109,IF(AND($Z109&lt;&gt;"",EDATE($D109,Milestones!$AA$22)&gt;=$Z109),$AC109,IF(AND($Y109&lt;&gt;"",EDATE($D109,Milestones!$AA$22)&gt;=$Y109),$AB109,$AA109)))=Milestones!$AB$22),UPPER(TEXT(EDATE($D109,Milestones!$AA$22),"dd mmm yy"))&amp;" "&amp;Milestones!$AB$22&amp;" "&amp;IF(AND(Milestones!$AB$22="FT",Milestones!$AA$22=FT_Y5,EDATE($D109,Milestones!$AA$22)&lt;PolicyEff),1,Milestones!$AC$22)&amp;";  ","")&amp;IF(AND(EDATE($D109,Milestones!$AA$23)&lt;=AsOfDate,EDATE($D109,Milestones!$AA$23)&gt;=SchemeStart,IF($X109=0,$AD109,IF(AND($Z109&lt;&gt;"",EDATE($D109,Milestones!$AA$23)&gt;=$Z109),$AC109,IF(AND($Y109&lt;&gt;"",EDATE($D109,Milestones!$AA$23)&gt;=$Y109),$AB109,$AA109)))=Milestones!$AB$23),UPPER(TEXT(EDATE($D109,Milestones!$AA$23),"dd mmm yy"))&amp;" "&amp;Milestones!$AB$23&amp;" "&amp;IF(AND(Milestones!$AB$23="FT",Milestones!$AA$23=FT_Y5,EDATE($D109,Milestones!$AA$23)&lt;PolicyEff),1,Milestones!$AC$23)&amp;";  ","")&amp;IF(AND(EDATE($D109,Milestones!$AA$24)&lt;=AsOfDate,EDATE($D109,Milestones!$AA$24)&gt;=SchemeStart,IF($X109=0,$AD109,IF(AND($Z109&lt;&gt;"",EDATE($D109,Milestones!$AA$24)&gt;=$Z109),$AC109,IF(AND($Y109&lt;&gt;"",EDATE($D109,Milestones!$AA$24)&gt;=$Y109),$AB109,$AA109)))=Milestones!$AB$24),UPPER(TEXT(EDATE($D109,Milestones!$AA$24),"dd mmm yy"))&amp;" "&amp;Milestones!$AB$24&amp;" "&amp;IF(AND(Milestones!$AB$24="FT",Milestones!$AA$24=FT_Y5,EDATE($D109,Milestones!$AA$24)&lt;PolicyEff),1,Milestones!$AC$24)&amp;";  ","")&amp;IF(AND(EDATE($D109,Milestones!$AA$25)&lt;=AsOfDate,EDATE($D109,Milestones!$AA$25)&gt;=SchemeStart,IF($X109=0,$AD109,IF(AND($Z109&lt;&gt;"",EDATE($D109,Milestones!$AA$25)&gt;=$Z109),$AC109,IF(AND($Y109&lt;&gt;"",EDATE($D109,Milestones!$AA$25)&gt;=$Y109),$AB109,$AA109)))=Milestones!$AB$25),UPPER(TEXT(EDATE($D109,Milestones!$AA$25),"dd mmm yy"))&amp;" "&amp;Milestones!$AB$25&amp;" "&amp;IF(AND(Milestones!$AB$25="FT",Milestones!$AA$25=FT_Y5,EDATE($D109,Milestones!$AA$25)&lt;PolicyEff),1,Milestones!$AC$25)&amp;";  ","")&amp;IF(AND(EDATE($D109,Milestones!$AA$26)&lt;=AsOfDate,EDATE($D109,Milestones!$AA$26)&gt;=SchemeStart,IF($X109=0,$AD109,IF(AND($Z109&lt;&gt;"",EDATE($D109,Milestones!$AA$26)&gt;=$Z109),$AC109,IF(AND($Y109&lt;&gt;"",EDATE($D109,Milestones!$AA$26)&gt;=$Y109),$AB109,$AA109)))=Milestones!$AB$26),UPPER(TEXT(EDATE($D109,Milestones!$AA$26),"dd mmm yy"))&amp;" "&amp;Milestones!$AB$26&amp;" "&amp;IF(AND(Milestones!$AB$26="FT",Milestones!$AA$26=FT_Y5,EDATE($D109,Milestones!$AA$26)&lt;PolicyEff),1,Milestones!$AC$26)&amp;";  ","")&amp;IF(AND(EDATE($D109,Milestones!$AA$27)&lt;=AsOfDate,EDATE($D109,Milestones!$AA$27)&gt;=SchemeStart,IF($X109=0,$AD109,IF(AND($Z109&lt;&gt;"",EDATE($D109,Milestones!$AA$27)&gt;=$Z109),$AC109,IF(AND($Y109&lt;&gt;"",EDATE($D109,Milestones!$AA$27)&gt;=$Y109),$AB109,$AA109)))=Milestones!$AB$27),UPPER(TEXT(EDATE($D109,Milestones!$AA$27),"dd mmm yy"))&amp;" "&amp;Milestones!$AB$27&amp;" "&amp;IF(AND(Milestones!$AB$27="FT",Milestones!$AA$27=FT_Y5,EDATE($D109,Milestones!$AA$27)&lt;PolicyEff),1,Milestones!$AC$27)&amp;";  ","")&amp;IF(AND(EDATE($D109,Milestones!$AA$28)&lt;=AsOfDate,EDATE($D109,Milestones!$AA$28)&gt;=SchemeStart,IF($X109=0,$AD109,IF(AND($Z109&lt;&gt;"",EDATE($D109,Milestones!$AA$28)&gt;=$Z109),$AC109,IF(AND($Y109&lt;&gt;"",EDATE($D109,Milestones!$AA$28)&gt;=$Y109),$AB109,$AA109)))=Milestones!$AB$28),UPPER(TEXT(EDATE($D109,Milestones!$AA$28),"dd mmm yy"))&amp;" "&amp;Milestones!$AB$28&amp;" "&amp;IF(AND(Milestones!$AB$28="FT",Milestones!$AA$28=FT_Y5,EDATE($D109,Milestones!$AA$28)&lt;PolicyEff),1,Milestones!$AC$28)&amp;";  ","")&amp;IF(AND(EDATE($D109,Milestones!$AA$29)&lt;=AsOfDate,EDATE($D109,Milestones!$AA$29)&gt;=SchemeStart,IF($X109=0,$AD109,IF(AND($Z109&lt;&gt;"",EDATE($D109,Milestones!$AA$29)&gt;=$Z109),$AC109,IF(AND($Y109&lt;&gt;"",EDATE($D109,Milestones!$AA$29)&gt;=$Y109),$AB109,$AA109)))=Milestones!$AB$29),UPPER(TEXT(EDATE($D109,Milestones!$AA$29),"dd mmm yy"))&amp;" "&amp;Milestones!$AB$29&amp;" "&amp;IF(AND(Milestones!$AB$29="FT",Milestones!$AA$29=FT_Y5,EDATE($D109,Milestones!$AA$29)&lt;PolicyEff),1,Milestones!$AC$29)&amp;";  ","")&amp;IF(AND(EDATE($D109,Milestones!$AA$30)&lt;=AsOfDate,EDATE($D109,Milestones!$AA$30)&gt;=SchemeStart,IF($X109=0,$AD109,IF(AND($Z109&lt;&gt;"",EDATE($D109,Milestones!$AA$30)&gt;=$Z109),$AC109,IF(AND($Y109&lt;&gt;"",EDATE($D109,Milestones!$AA$30)&gt;=$Y109),$AB109,$AA109)))=Milestones!$AB$30),UPPER(TEXT(EDATE($D109,Milestones!$AA$30),"dd mmm yy"))&amp;" "&amp;Milestones!$AB$30&amp;" "&amp;IF(AND(Milestones!$AB$30="FT",Milestones!$AA$30=FT_Y5,EDATE($D109,Milestones!$AA$30)&lt;PolicyEff),1,Milestones!$AC$30)&amp;";  ","")&amp;IF(AND(EDATE($D109,Milestones!$AA$31)&lt;=AsOfDate,EDATE($D109,Milestones!$AA$31)&gt;=SchemeStart,IF($X109=0,$AD109,IF(AND($Z109&lt;&gt;"",EDATE($D109,Milestones!$AA$31)&gt;=$Z109),$AC109,IF(AND($Y109&lt;&gt;"",EDATE($D109,Milestones!$AA$31)&gt;=$Y109),$AB109,$AA109)))=Milestones!$AB$31),UPPER(TEXT(EDATE($D109,Milestones!$AA$31),"dd mmm yy"))&amp;" "&amp;Milestones!$AB$31&amp;" "&amp;IF(AND(Milestones!$AB$31="FT",Milestones!$AA$31=FT_Y5,EDATE($D109,Milestones!$AA$31)&lt;PolicyEff),1,Milestones!$AC$31)&amp;";  ",""))</f>
        <v/>
      </c>
      <c r="J109" s="0" t="str">
        <f aca="false">IF(OR($A109="",$D109=""),"",IF(AND(EDATE($D109,Milestones!$AA$32)&lt;=AsOfDate,EDATE($D109,Milestones!$AA$32)&gt;=SchemeStart,IF($X109=0,$AD109,IF(AND($Z109&lt;&gt;"",EDATE($D109,Milestones!$AA$32)&gt;=$Z109),$AC109,IF(AND($Y109&lt;&gt;"",EDATE($D109,Milestones!$AA$32)&gt;=$Y109),$AB109,$AA109)))=Milestones!$AB$32),UPPER(TEXT(EDATE($D109,Milestones!$AA$32),"dd mmm yy"))&amp;" "&amp;Milestones!$AB$32&amp;" "&amp;IF(AND(Milestones!$AB$32="FT",Milestones!$AA$32=FT_Y5,EDATE($D109,Milestones!$AA$32)&lt;PolicyEff),1,Milestones!$AC$32)&amp;";  ","")&amp;IF(AND(EDATE($D109,Milestones!$AA$33)&lt;=AsOfDate,EDATE($D109,Milestones!$AA$33)&gt;=SchemeStart,IF($X109=0,$AD109,IF(AND($Z109&lt;&gt;"",EDATE($D109,Milestones!$AA$33)&gt;=$Z109),$AC109,IF(AND($Y109&lt;&gt;"",EDATE($D109,Milestones!$AA$33)&gt;=$Y109),$AB109,$AA109)))=Milestones!$AB$33),UPPER(TEXT(EDATE($D109,Milestones!$AA$33),"dd mmm yy"))&amp;" "&amp;Milestones!$AB$33&amp;" "&amp;IF(AND(Milestones!$AB$33="FT",Milestones!$AA$33=FT_Y5,EDATE($D109,Milestones!$AA$33)&lt;PolicyEff),1,Milestones!$AC$33)&amp;";  ","")&amp;IF(AND(EDATE($D109,Milestones!$AA$34)&lt;=AsOfDate,EDATE($D109,Milestones!$AA$34)&gt;=SchemeStart,IF($X109=0,$AD109,IF(AND($Z109&lt;&gt;"",EDATE($D109,Milestones!$AA$34)&gt;=$Z109),$AC109,IF(AND($Y109&lt;&gt;"",EDATE($D109,Milestones!$AA$34)&gt;=$Y109),$AB109,$AA109)))=Milestones!$AB$34),UPPER(TEXT(EDATE($D109,Milestones!$AA$34),"dd mmm yy"))&amp;" "&amp;Milestones!$AB$34&amp;" "&amp;IF(AND(Milestones!$AB$34="FT",Milestones!$AA$34=FT_Y5,EDATE($D109,Milestones!$AA$34)&lt;PolicyEff),1,Milestones!$AC$34)&amp;";  ","")&amp;IF(AND(EDATE($D109,Milestones!$AA$35)&lt;=AsOfDate,EDATE($D109,Milestones!$AA$35)&gt;=SchemeStart,IF($X109=0,$AD109,IF(AND($Z109&lt;&gt;"",EDATE($D109,Milestones!$AA$35)&gt;=$Z109),$AC109,IF(AND($Y109&lt;&gt;"",EDATE($D109,Milestones!$AA$35)&gt;=$Y109),$AB109,$AA109)))=Milestones!$AB$35),UPPER(TEXT(EDATE($D109,Milestones!$AA$35),"dd mmm yy"))&amp;" "&amp;Milestones!$AB$35&amp;" "&amp;IF(AND(Milestones!$AB$35="FT",Milestones!$AA$35=FT_Y5,EDATE($D109,Milestones!$AA$35)&lt;PolicyEff),1,Milestones!$AC$35)&amp;";  ","")&amp;IF(AND(EDATE($D109,Milestones!$AA$36)&lt;=AsOfDate,EDATE($D109,Milestones!$AA$36)&gt;=SchemeStart,IF($X109=0,$AD109,IF(AND($Z109&lt;&gt;"",EDATE($D109,Milestones!$AA$36)&gt;=$Z109),$AC109,IF(AND($Y109&lt;&gt;"",EDATE($D109,Milestones!$AA$36)&gt;=$Y109),$AB109,$AA109)))=Milestones!$AB$36),UPPER(TEXT(EDATE($D109,Milestones!$AA$36),"dd mmm yy"))&amp;" "&amp;Milestones!$AB$36&amp;" "&amp;IF(AND(Milestones!$AB$36="FT",Milestones!$AA$36=FT_Y5,EDATE($D109,Milestones!$AA$36)&lt;PolicyEff),1,Milestones!$AC$36)&amp;";  ","")&amp;IF(AND(EDATE($D109,Milestones!$AA$37)&lt;=AsOfDate,EDATE($D109,Milestones!$AA$37)&gt;=SchemeStart,IF($X109=0,$AD109,IF(AND($Z109&lt;&gt;"",EDATE($D109,Milestones!$AA$37)&gt;=$Z109),$AC109,IF(AND($Y109&lt;&gt;"",EDATE($D109,Milestones!$AA$37)&gt;=$Y109),$AB109,$AA109)))=Milestones!$AB$37),UPPER(TEXT(EDATE($D109,Milestones!$AA$37),"dd mmm yy"))&amp;" "&amp;Milestones!$AB$37&amp;" "&amp;IF(AND(Milestones!$AB$37="FT",Milestones!$AA$37=FT_Y5,EDATE($D109,Milestones!$AA$37)&lt;PolicyEff),1,Milestones!$AC$37)&amp;";  ","")&amp;IF(AND(EDATE($D109,Milestones!$AA$38)&lt;=AsOfDate,EDATE($D109,Milestones!$AA$38)&gt;=SchemeStart,IF($X109=0,$AD109,IF(AND($Z109&lt;&gt;"",EDATE($D109,Milestones!$AA$38)&gt;=$Z109),$AC109,IF(AND($Y109&lt;&gt;"",EDATE($D109,Milestones!$AA$38)&gt;=$Y109),$AB109,$AA109)))=Milestones!$AB$38),UPPER(TEXT(EDATE($D109,Milestones!$AA$38),"dd mmm yy"))&amp;" "&amp;Milestones!$AB$38&amp;" "&amp;IF(AND(Milestones!$AB$38="FT",Milestones!$AA$38=FT_Y5,EDATE($D109,Milestones!$AA$38)&lt;PolicyEff),1,Milestones!$AC$38)&amp;";  ","")&amp;IF(AND(EDATE($D109,Milestones!$AA$39)&lt;=AsOfDate,EDATE($D109,Milestones!$AA$39)&gt;=SchemeStart,IF($X109=0,$AD109,IF(AND($Z109&lt;&gt;"",EDATE($D109,Milestones!$AA$39)&gt;=$Z109),$AC109,IF(AND($Y109&lt;&gt;"",EDATE($D109,Milestones!$AA$39)&gt;=$Y109),$AB109,$AA109)))=Milestones!$AB$39),UPPER(TEXT(EDATE($D109,Milestones!$AA$39),"dd mmm yy"))&amp;" "&amp;Milestones!$AB$39&amp;" "&amp;IF(AND(Milestones!$AB$39="FT",Milestones!$AA$39=FT_Y5,EDATE($D109,Milestones!$AA$39)&lt;PolicyEff),1,Milestones!$AC$39)&amp;";  ","")&amp;IF(AND(EDATE($D109,Milestones!$AA$40)&lt;=AsOfDate,EDATE($D109,Milestones!$AA$40)&gt;=SchemeStart,IF($X109=0,$AD109,IF(AND($Z109&lt;&gt;"",EDATE($D109,Milestones!$AA$40)&gt;=$Z109),$AC109,IF(AND($Y109&lt;&gt;"",EDATE($D109,Milestones!$AA$40)&gt;=$Y109),$AB109,$AA109)))=Milestones!$AB$40),UPPER(TEXT(EDATE($D109,Milestones!$AA$40),"dd mmm yy"))&amp;" "&amp;Milestones!$AB$40&amp;" "&amp;IF(AND(Milestones!$AB$40="FT",Milestones!$AA$40=FT_Y5,EDATE($D109,Milestones!$AA$40)&lt;PolicyEff),1,Milestones!$AC$40)&amp;";  ","")&amp;IF(AND(EDATE($D109,Milestones!$AA$41)&lt;=AsOfDate,EDATE($D109,Milestones!$AA$41)&gt;=SchemeStart,IF($X109=0,$AD109,IF(AND($Z109&lt;&gt;"",EDATE($D109,Milestones!$AA$41)&gt;=$Z109),$AC109,IF(AND($Y109&lt;&gt;"",EDATE($D109,Milestones!$AA$41)&gt;=$Y109),$AB109,$AA109)))=Milestones!$AB$41),UPPER(TEXT(EDATE($D109,Milestones!$AA$41),"dd mmm yy"))&amp;" "&amp;Milestones!$AB$41&amp;" "&amp;IF(AND(Milestones!$AB$41="FT",Milestones!$AA$41=FT_Y5,EDATE($D109,Milestones!$AA$41)&lt;PolicyEff),1,Milestones!$AC$41)&amp;";  ","")&amp;IF(AND(EDATE($D109,Milestones!$AA$42)&lt;=AsOfDate,EDATE($D109,Milestones!$AA$42)&gt;=SchemeStart,IF($X109=0,$AD109,IF(AND($Z109&lt;&gt;"",EDATE($D109,Milestones!$AA$42)&gt;=$Z109),$AC109,IF(AND($Y109&lt;&gt;"",EDATE($D109,Milestones!$AA$42)&gt;=$Y109),$AB109,$AA109)))=Milestones!$AB$42),UPPER(TEXT(EDATE($D109,Milestones!$AA$42),"dd mmm yy"))&amp;" "&amp;Milestones!$AB$42&amp;" "&amp;IF(AND(Milestones!$AB$42="FT",Milestones!$AA$42=FT_Y5,EDATE($D109,Milestones!$AA$42)&lt;PolicyEff),1,Milestones!$AC$42)&amp;";  ","")&amp;IF(AND(EDATE($D109,Milestones!$AA$43)&lt;=AsOfDate,EDATE($D109,Milestones!$AA$43)&gt;=SchemeStart,IF($X109=0,$AD109,IF(AND($Z109&lt;&gt;"",EDATE($D109,Milestones!$AA$43)&gt;=$Z109),$AC109,IF(AND($Y109&lt;&gt;"",EDATE($D109,Milestones!$AA$43)&gt;=$Y109),$AB109,$AA109)))=Milestones!$AB$43),UPPER(TEXT(EDATE($D109,Milestones!$AA$43),"dd mmm yy"))&amp;" "&amp;Milestones!$AB$43&amp;" "&amp;IF(AND(Milestones!$AB$43="FT",Milestones!$AA$43=FT_Y5,EDATE($D109,Milestones!$AA$43)&lt;PolicyEff),1,Milestones!$AC$43)&amp;";  ",""))</f>
        <v/>
      </c>
      <c r="K109" s="0" t="str">
        <f aca="false">IF(OR($A109="",$D109=""),"",IF(AND(EDATE($D109,Milestones!$AA$44)&lt;=AsOfDate,EDATE($D109,Milestones!$AA$44)&gt;=SchemeStart,IF($X109=0,$AD109,IF(AND($Z109&lt;&gt;"",EDATE($D109,Milestones!$AA$44)&gt;=$Z109),$AC109,IF(AND($Y109&lt;&gt;"",EDATE($D109,Milestones!$AA$44)&gt;=$Y109),$AB109,$AA109)))=Milestones!$AB$44),UPPER(TEXT(EDATE($D109,Milestones!$AA$44),"dd mmm yy"))&amp;" "&amp;Milestones!$AB$44&amp;" "&amp;IF(AND(Milestones!$AB$44="FT",Milestones!$AA$44=FT_Y5,EDATE($D109,Milestones!$AA$44)&lt;PolicyEff),1,Milestones!$AC$44)&amp;";  ","")&amp;IF(AND(EDATE($D109,Milestones!$AA$45)&lt;=AsOfDate,EDATE($D109,Milestones!$AA$45)&gt;=SchemeStart,IF($X109=0,$AD109,IF(AND($Z109&lt;&gt;"",EDATE($D109,Milestones!$AA$45)&gt;=$Z109),$AC109,IF(AND($Y109&lt;&gt;"",EDATE($D109,Milestones!$AA$45)&gt;=$Y109),$AB109,$AA109)))=Milestones!$AB$45),UPPER(TEXT(EDATE($D109,Milestones!$AA$45),"dd mmm yy"))&amp;" "&amp;Milestones!$AB$45&amp;" "&amp;IF(AND(Milestones!$AB$45="FT",Milestones!$AA$45=FT_Y5,EDATE($D109,Milestones!$AA$45)&lt;PolicyEff),1,Milestones!$AC$45)&amp;";  ","")&amp;IF(AND(EDATE($D109,Milestones!$AA$46)&lt;=AsOfDate,EDATE($D109,Milestones!$AA$46)&gt;=SchemeStart,IF($X109=0,$AD109,IF(AND($Z109&lt;&gt;"",EDATE($D109,Milestones!$AA$46)&gt;=$Z109),$AC109,IF(AND($Y109&lt;&gt;"",EDATE($D109,Milestones!$AA$46)&gt;=$Y109),$AB109,$AA109)))=Milestones!$AB$46),UPPER(TEXT(EDATE($D109,Milestones!$AA$46),"dd mmm yy"))&amp;" "&amp;Milestones!$AB$46&amp;" "&amp;IF(AND(Milestones!$AB$46="FT",Milestones!$AA$46=FT_Y5,EDATE($D109,Milestones!$AA$46)&lt;PolicyEff),1,Milestones!$AC$46)&amp;";  ","")&amp;IF(AND(EDATE($D109,Milestones!$AA$47)&lt;=AsOfDate,EDATE($D109,Milestones!$AA$47)&gt;=SchemeStart,IF($X109=0,$AD109,IF(AND($Z109&lt;&gt;"",EDATE($D109,Milestones!$AA$47)&gt;=$Z109),$AC109,IF(AND($Y109&lt;&gt;"",EDATE($D109,Milestones!$AA$47)&gt;=$Y109),$AB109,$AA109)))=Milestones!$AB$47),UPPER(TEXT(EDATE($D109,Milestones!$AA$47),"dd mmm yy"))&amp;" "&amp;Milestones!$AB$47&amp;" "&amp;IF(AND(Milestones!$AB$47="FT",Milestones!$AA$47=FT_Y5,EDATE($D109,Milestones!$AA$47)&lt;PolicyEff),1,Milestones!$AC$47)&amp;";  ","")&amp;IF(AND(EDATE($D109,Milestones!$AA$48)&lt;=AsOfDate,EDATE($D109,Milestones!$AA$48)&gt;=SchemeStart,IF($X109=0,$AD109,IF(AND($Z109&lt;&gt;"",EDATE($D109,Milestones!$AA$48)&gt;=$Z109),$AC109,IF(AND($Y109&lt;&gt;"",EDATE($D109,Milestones!$AA$48)&gt;=$Y109),$AB109,$AA109)))=Milestones!$AB$48),UPPER(TEXT(EDATE($D109,Milestones!$AA$48),"dd mmm yy"))&amp;" "&amp;Milestones!$AB$48&amp;" "&amp;IF(AND(Milestones!$AB$48="FT",Milestones!$AA$48=FT_Y5,EDATE($D109,Milestones!$AA$48)&lt;PolicyEff),1,Milestones!$AC$48)&amp;";  ","")&amp;IF(AND(EDATE($D109,Milestones!$AA$49)&lt;=AsOfDate,EDATE($D109,Milestones!$AA$49)&gt;=SchemeStart,IF($X109=0,$AD109,IF(AND($Z109&lt;&gt;"",EDATE($D109,Milestones!$AA$49)&gt;=$Z109),$AC109,IF(AND($Y109&lt;&gt;"",EDATE($D109,Milestones!$AA$49)&gt;=$Y109),$AB109,$AA109)))=Milestones!$AB$49),UPPER(TEXT(EDATE($D109,Milestones!$AA$49),"dd mmm yy"))&amp;" "&amp;Milestones!$AB$49&amp;" "&amp;IF(AND(Milestones!$AB$49="FT",Milestones!$AA$49=FT_Y5,EDATE($D109,Milestones!$AA$49)&lt;PolicyEff),1,Milestones!$AC$49)&amp;";  ","")&amp;IF(AND(EDATE($D109,Milestones!$AA$50)&lt;=AsOfDate,EDATE($D109,Milestones!$AA$50)&gt;=SchemeStart,IF($X109=0,$AD109,IF(AND($Z109&lt;&gt;"",EDATE($D109,Milestones!$AA$50)&gt;=$Z109),$AC109,IF(AND($Y109&lt;&gt;"",EDATE($D109,Milestones!$AA$50)&gt;=$Y109),$AB109,$AA109)))=Milestones!$AB$50),UPPER(TEXT(EDATE($D109,Milestones!$AA$50),"dd mmm yy"))&amp;" "&amp;Milestones!$AB$50&amp;" "&amp;IF(AND(Milestones!$AB$50="FT",Milestones!$AA$50=FT_Y5,EDATE($D109,Milestones!$AA$50)&lt;PolicyEff),1,Milestones!$AC$50)&amp;";  ","")&amp;IF(AND(EDATE($D109,Milestones!$AA$51)&lt;=AsOfDate,EDATE($D109,Milestones!$AA$51)&gt;=SchemeStart,IF($X109=0,$AD109,IF(AND($Z109&lt;&gt;"",EDATE($D109,Milestones!$AA$51)&gt;=$Z109),$AC109,IF(AND($Y109&lt;&gt;"",EDATE($D109,Milestones!$AA$51)&gt;=$Y109),$AB109,$AA109)))=Milestones!$AB$51),UPPER(TEXT(EDATE($D109,Milestones!$AA$51),"dd mmm yy"))&amp;" "&amp;Milestones!$AB$51&amp;" "&amp;IF(AND(Milestones!$AB$51="FT",Milestones!$AA$51=FT_Y5,EDATE($D109,Milestones!$AA$51)&lt;PolicyEff),1,Milestones!$AC$51)&amp;";  ","")&amp;IF(AND(EDATE($D109,Milestones!$AA$52)&lt;=AsOfDate,EDATE($D109,Milestones!$AA$52)&gt;=SchemeStart,IF($X109=0,$AD109,IF(AND($Z109&lt;&gt;"",EDATE($D109,Milestones!$AA$52)&gt;=$Z109),$AC109,IF(AND($Y109&lt;&gt;"",EDATE($D109,Milestones!$AA$52)&gt;=$Y109),$AB109,$AA109)))=Milestones!$AB$52),UPPER(TEXT(EDATE($D109,Milestones!$AA$52),"dd mmm yy"))&amp;" "&amp;Milestones!$AB$52&amp;" "&amp;IF(AND(Milestones!$AB$52="FT",Milestones!$AA$52=FT_Y5,EDATE($D109,Milestones!$AA$52)&lt;PolicyEff),1,Milestones!$AC$52)&amp;";  ","")&amp;IF(AND(EDATE($D109,Milestones!$AA$53)&lt;=AsOfDate,EDATE($D109,Milestones!$AA$53)&gt;=SchemeStart,IF($X109=0,$AD109,IF(AND($Z109&lt;&gt;"",EDATE($D109,Milestones!$AA$53)&gt;=$Z109),$AC109,IF(AND($Y109&lt;&gt;"",EDATE($D109,Milestones!$AA$53)&gt;=$Y109),$AB109,$AA109)))=Milestones!$AB$53),UPPER(TEXT(EDATE($D109,Milestones!$AA$53),"dd mmm yy"))&amp;" "&amp;Milestones!$AB$53&amp;" "&amp;IF(AND(Milestones!$AB$53="FT",Milestones!$AA$53=FT_Y5,EDATE($D109,Milestones!$AA$53)&lt;PolicyEff),1,Milestones!$AC$53)&amp;";  ","")&amp;IF(AND(EDATE($D109,Milestones!$AA$54)&lt;=AsOfDate,EDATE($D109,Milestones!$AA$54)&gt;=SchemeStart,IF($X109=0,$AD109,IF(AND($Z109&lt;&gt;"",EDATE($D109,Milestones!$AA$54)&gt;=$Z109),$AC109,IF(AND($Y109&lt;&gt;"",EDATE($D109,Milestones!$AA$54)&gt;=$Y109),$AB109,$AA109)))=Milestones!$AB$54),UPPER(TEXT(EDATE($D109,Milestones!$AA$54),"dd mmm yy"))&amp;" "&amp;Milestones!$AB$54&amp;" "&amp;IF(AND(Milestones!$AB$54="FT",Milestones!$AA$54=FT_Y5,EDATE($D109,Milestones!$AA$54)&lt;PolicyEff),1,Milestones!$AC$54)&amp;";  ","")&amp;IF(AND(EDATE($D109,Milestones!$AA$55)&lt;=AsOfDate,EDATE($D109,Milestones!$AA$55)&gt;=SchemeStart,IF($X109=0,$AD109,IF(AND($Z109&lt;&gt;"",EDATE($D109,Milestones!$AA$55)&gt;=$Z109),$AC109,IF(AND($Y109&lt;&gt;"",EDATE($D109,Milestones!$AA$55)&gt;=$Y109),$AB109,$AA109)))=Milestones!$AB$55),UPPER(TEXT(EDATE($D109,Milestones!$AA$55),"dd mmm yy"))&amp;" "&amp;Milestones!$AB$55&amp;" "&amp;IF(AND(Milestones!$AB$55="FT",Milestones!$AA$55=FT_Y5,EDATE($D109,Milestones!$AA$55)&lt;PolicyEff),1,Milestones!$AC$55)&amp;";  ",""))</f>
        <v/>
      </c>
      <c r="L109" s="0" t="str">
        <f aca="false">IF(OR($A109="",$D109=""),"",IF(AND(EDATE($D109,Milestones!$AA$56)&lt;=AsOfDate,EDATE($D109,Milestones!$AA$56)&gt;=SchemeStart,IF($X109=0,$AD109,IF(AND($Z109&lt;&gt;"",EDATE($D109,Milestones!$AA$56)&gt;=$Z109),$AC109,IF(AND($Y109&lt;&gt;"",EDATE($D109,Milestones!$AA$56)&gt;=$Y109),$AB109,$AA109)))=Milestones!$AB$56),UPPER(TEXT(EDATE($D109,Milestones!$AA$56),"dd mmm yy"))&amp;" "&amp;Milestones!$AB$56&amp;" "&amp;IF(AND(Milestones!$AB$56="FT",Milestones!$AA$56=FT_Y5,EDATE($D109,Milestones!$AA$56)&lt;PolicyEff),1,Milestones!$AC$56)&amp;";  ","")&amp;IF(AND(EDATE($D109,Milestones!$AA$57)&lt;=AsOfDate,EDATE($D109,Milestones!$AA$57)&gt;=SchemeStart,IF($X109=0,$AD109,IF(AND($Z109&lt;&gt;"",EDATE($D109,Milestones!$AA$57)&gt;=$Z109),$AC109,IF(AND($Y109&lt;&gt;"",EDATE($D109,Milestones!$AA$57)&gt;=$Y109),$AB109,$AA109)))=Milestones!$AB$57),UPPER(TEXT(EDATE($D109,Milestones!$AA$57),"dd mmm yy"))&amp;" "&amp;Milestones!$AB$57&amp;" "&amp;IF(AND(Milestones!$AB$57="FT",Milestones!$AA$57=FT_Y5,EDATE($D109,Milestones!$AA$57)&lt;PolicyEff),1,Milestones!$AC$57)&amp;";  ","")&amp;IF(AND(EDATE($D109,Milestones!$AA$58)&lt;=AsOfDate,EDATE($D109,Milestones!$AA$58)&gt;=SchemeStart,IF($X109=0,$AD109,IF(AND($Z109&lt;&gt;"",EDATE($D109,Milestones!$AA$58)&gt;=$Z109),$AC109,IF(AND($Y109&lt;&gt;"",EDATE($D109,Milestones!$AA$58)&gt;=$Y109),$AB109,$AA109)))=Milestones!$AB$58),UPPER(TEXT(EDATE($D109,Milestones!$AA$58),"dd mmm yy"))&amp;" "&amp;Milestones!$AB$58&amp;" "&amp;IF(AND(Milestones!$AB$58="FT",Milestones!$AA$58=FT_Y5,EDATE($D109,Milestones!$AA$58)&lt;PolicyEff),1,Milestones!$AC$58)&amp;";  ","")&amp;IF(AND(EDATE($D109,Milestones!$AA$59)&lt;=AsOfDate,EDATE($D109,Milestones!$AA$59)&gt;=SchemeStart,IF($X109=0,$AD109,IF(AND($Z109&lt;&gt;"",EDATE($D109,Milestones!$AA$59)&gt;=$Z109),$AC109,IF(AND($Y109&lt;&gt;"",EDATE($D109,Milestones!$AA$59)&gt;=$Y109),$AB109,$AA109)))=Milestones!$AB$59),UPPER(TEXT(EDATE($D109,Milestones!$AA$59),"dd mmm yy"))&amp;" "&amp;Milestones!$AB$59&amp;" "&amp;IF(AND(Milestones!$AB$59="FT",Milestones!$AA$59=FT_Y5,EDATE($D109,Milestones!$AA$59)&lt;PolicyEff),1,Milestones!$AC$59)&amp;";  ","")&amp;IF(AND(EDATE($D109,Milestones!$AA$60)&lt;=AsOfDate,EDATE($D109,Milestones!$AA$60)&gt;=SchemeStart,IF($X109=0,$AD109,IF(AND($Z109&lt;&gt;"",EDATE($D109,Milestones!$AA$60)&gt;=$Z109),$AC109,IF(AND($Y109&lt;&gt;"",EDATE($D109,Milestones!$AA$60)&gt;=$Y109),$AB109,$AA109)))=Milestones!$AB$60),UPPER(TEXT(EDATE($D109,Milestones!$AA$60),"dd mmm yy"))&amp;" "&amp;Milestones!$AB$60&amp;" "&amp;IF(AND(Milestones!$AB$60="FT",Milestones!$AA$60=FT_Y5,EDATE($D109,Milestones!$AA$60)&lt;PolicyEff),1,Milestones!$AC$60)&amp;";  ","")&amp;IF(AND(EDATE($D109,Milestones!$AA$61)&lt;=AsOfDate,EDATE($D109,Milestones!$AA$61)&gt;=SchemeStart,IF($X109=0,$AD109,IF(AND($Z109&lt;&gt;"",EDATE($D109,Milestones!$AA$61)&gt;=$Z109),$AC109,IF(AND($Y109&lt;&gt;"",EDATE($D109,Milestones!$AA$61)&gt;=$Y109),$AB109,$AA109)))=Milestones!$AB$61),UPPER(TEXT(EDATE($D109,Milestones!$AA$61),"dd mmm yy"))&amp;" "&amp;Milestones!$AB$61&amp;" "&amp;IF(AND(Milestones!$AB$61="FT",Milestones!$AA$61=FT_Y5,EDATE($D109,Milestones!$AA$61)&lt;PolicyEff),1,Milestones!$AC$61)&amp;";  ","")&amp;IF(AND(EDATE($D109,Milestones!$AA$62)&lt;=AsOfDate,EDATE($D109,Milestones!$AA$62)&gt;=SchemeStart,IF($X109=0,$AD109,IF(AND($Z109&lt;&gt;"",EDATE($D109,Milestones!$AA$62)&gt;=$Z109),$AC109,IF(AND($Y109&lt;&gt;"",EDATE($D109,Milestones!$AA$62)&gt;=$Y109),$AB109,$AA109)))=Milestones!$AB$62),UPPER(TEXT(EDATE($D109,Milestones!$AA$62),"dd mmm yy"))&amp;" "&amp;Milestones!$AB$62&amp;" "&amp;IF(AND(Milestones!$AB$62="FT",Milestones!$AA$62=FT_Y5,EDATE($D109,Milestones!$AA$62)&lt;PolicyEff),1,Milestones!$AC$62)&amp;";  ","")&amp;IF(AND(EDATE($D109,Milestones!$AA$63)&lt;=AsOfDate,EDATE($D109,Milestones!$AA$63)&gt;=SchemeStart,IF($X109=0,$AD109,IF(AND($Z109&lt;&gt;"",EDATE($D109,Milestones!$AA$63)&gt;=$Z109),$AC109,IF(AND($Y109&lt;&gt;"",EDATE($D109,Milestones!$AA$63)&gt;=$Y109),$AB109,$AA109)))=Milestones!$AB$63),UPPER(TEXT(EDATE($D109,Milestones!$AA$63),"dd mmm yy"))&amp;" "&amp;Milestones!$AB$63&amp;" "&amp;IF(AND(Milestones!$AB$63="FT",Milestones!$AA$63=FT_Y5,EDATE($D109,Milestones!$AA$63)&lt;PolicyEff),1,Milestones!$AC$63)&amp;";  ","")&amp;IF(AND(EDATE($D109,Milestones!$AA$64)&lt;=AsOfDate,EDATE($D109,Milestones!$AA$64)&gt;=SchemeStart,IF($X109=0,$AD109,IF(AND($Z109&lt;&gt;"",EDATE($D109,Milestones!$AA$64)&gt;=$Z109),$AC109,IF(AND($Y109&lt;&gt;"",EDATE($D109,Milestones!$AA$64)&gt;=$Y109),$AB109,$AA109)))=Milestones!$AB$64),UPPER(TEXT(EDATE($D109,Milestones!$AA$64),"dd mmm yy"))&amp;" "&amp;Milestones!$AB$64&amp;" "&amp;IF(AND(Milestones!$AB$64="FT",Milestones!$AA$64=FT_Y5,EDATE($D109,Milestones!$AA$64)&lt;PolicyEff),1,Milestones!$AC$64)&amp;";  ","")&amp;IF(AND(EDATE($D109,Milestones!$AA$65)&lt;=AsOfDate,EDATE($D109,Milestones!$AA$65)&gt;=SchemeStart,IF($X109=0,$AD109,IF(AND($Z109&lt;&gt;"",EDATE($D109,Milestones!$AA$65)&gt;=$Z109),$AC109,IF(AND($Y109&lt;&gt;"",EDATE($D109,Milestones!$AA$65)&gt;=$Y109),$AB109,$AA109)))=Milestones!$AB$65),UPPER(TEXT(EDATE($D109,Milestones!$AA$65),"dd mmm yy"))&amp;" "&amp;Milestones!$AB$65&amp;" "&amp;IF(AND(Milestones!$AB$65="FT",Milestones!$AA$65=FT_Y5,EDATE($D109,Milestones!$AA$65)&lt;PolicyEff),1,Milestones!$AC$65)&amp;";  ","")&amp;IF(AND(EDATE($D109,Milestones!$AA$66)&lt;=AsOfDate,EDATE($D109,Milestones!$AA$66)&gt;=SchemeStart,IF($X109=0,$AD109,IF(AND($Z109&lt;&gt;"",EDATE($D109,Milestones!$AA$66)&gt;=$Z109),$AC109,IF(AND($Y109&lt;&gt;"",EDATE($D109,Milestones!$AA$66)&gt;=$Y109),$AB109,$AA109)))=Milestones!$AB$66),UPPER(TEXT(EDATE($D109,Milestones!$AA$66),"dd mmm yy"))&amp;" "&amp;Milestones!$AB$66&amp;" "&amp;IF(AND(Milestones!$AB$66="FT",Milestones!$AA$66=FT_Y5,EDATE($D109,Milestones!$AA$66)&lt;PolicyEff),1,Milestones!$AC$66)&amp;";  ","")&amp;IF(AND(EDATE($D109,Milestones!$AA$67)&lt;=AsOfDate,EDATE($D109,Milestones!$AA$67)&gt;=SchemeStart,IF($X109=0,$AD109,IF(AND($Z109&lt;&gt;"",EDATE($D109,Milestones!$AA$67)&gt;=$Z109),$AC109,IF(AND($Y109&lt;&gt;"",EDATE($D109,Milestones!$AA$67)&gt;=$Y109),$AB109,$AA109)))=Milestones!$AB$67),UPPER(TEXT(EDATE($D109,Milestones!$AA$67),"dd mmm yy"))&amp;" "&amp;Milestones!$AB$67&amp;" "&amp;IF(AND(Milestones!$AB$67="FT",Milestones!$AA$67=FT_Y5,EDATE($D109,Milestones!$AA$67)&lt;PolicyEff),1,Milestones!$AC$67)&amp;";  ",""))</f>
        <v/>
      </c>
      <c r="M109" s="0" t="str">
        <f aca="false">IF(OR($A109="",$D109=""),"",IF(AND(EDATE($D109,Milestones!$AA$68)&lt;=AsOfDate,EDATE($D109,Milestones!$AA$68)&gt;=SchemeStart,IF($X109=0,$AD109,IF(AND($Z109&lt;&gt;"",EDATE($D109,Milestones!$AA$68)&gt;=$Z109),$AC109,IF(AND($Y109&lt;&gt;"",EDATE($D109,Milestones!$AA$68)&gt;=$Y109),$AB109,$AA109)))=Milestones!$AB$68),UPPER(TEXT(EDATE($D109,Milestones!$AA$68),"dd mmm yy"))&amp;" "&amp;Milestones!$AB$68&amp;" "&amp;IF(AND(Milestones!$AB$68="FT",Milestones!$AA$68=FT_Y5,EDATE($D109,Milestones!$AA$68)&lt;PolicyEff),1,Milestones!$AC$68)&amp;";  ","")&amp;IF(AND(EDATE($D109,Milestones!$AA$69)&lt;=AsOfDate,EDATE($D109,Milestones!$AA$69)&gt;=SchemeStart,IF($X109=0,$AD109,IF(AND($Z109&lt;&gt;"",EDATE($D109,Milestones!$AA$69)&gt;=$Z109),$AC109,IF(AND($Y109&lt;&gt;"",EDATE($D109,Milestones!$AA$69)&gt;=$Y109),$AB109,$AA109)))=Milestones!$AB$69),UPPER(TEXT(EDATE($D109,Milestones!$AA$69),"dd mmm yy"))&amp;" "&amp;Milestones!$AB$69&amp;" "&amp;IF(AND(Milestones!$AB$69="FT",Milestones!$AA$69=FT_Y5,EDATE($D109,Milestones!$AA$69)&lt;PolicyEff),1,Milestones!$AC$69)&amp;";  ","")&amp;IF(AND(EDATE($D109,Milestones!$AA$70)&lt;=AsOfDate,EDATE($D109,Milestones!$AA$70)&gt;=SchemeStart,IF($X109=0,$AD109,IF(AND($Z109&lt;&gt;"",EDATE($D109,Milestones!$AA$70)&gt;=$Z109),$AC109,IF(AND($Y109&lt;&gt;"",EDATE($D109,Milestones!$AA$70)&gt;=$Y109),$AB109,$AA109)))=Milestones!$AB$70),UPPER(TEXT(EDATE($D109,Milestones!$AA$70),"dd mmm yy"))&amp;" "&amp;Milestones!$AB$70&amp;" "&amp;IF(AND(Milestones!$AB$70="FT",Milestones!$AA$70=FT_Y5,EDATE($D109,Milestones!$AA$70)&lt;PolicyEff),1,Milestones!$AC$70)&amp;";  ","")&amp;IF(AND(EDATE($D109,Milestones!$AA$71)&lt;=AsOfDate,EDATE($D109,Milestones!$AA$71)&gt;=SchemeStart,IF($X109=0,$AD109,IF(AND($Z109&lt;&gt;"",EDATE($D109,Milestones!$AA$71)&gt;=$Z109),$AC109,IF(AND($Y109&lt;&gt;"",EDATE($D109,Milestones!$AA$71)&gt;=$Y109),$AB109,$AA109)))=Milestones!$AB$71),UPPER(TEXT(EDATE($D109,Milestones!$AA$71),"dd mmm yy"))&amp;" "&amp;Milestones!$AB$71&amp;" "&amp;IF(AND(Milestones!$AB$71="FT",Milestones!$AA$71=FT_Y5,EDATE($D109,Milestones!$AA$71)&lt;PolicyEff),1,Milestones!$AC$71)&amp;";  ","")&amp;IF(AND(EDATE($D109,Milestones!$AA$72)&lt;=AsOfDate,EDATE($D109,Milestones!$AA$72)&gt;=SchemeStart,IF($X109=0,$AD109,IF(AND($Z109&lt;&gt;"",EDATE($D109,Milestones!$AA$72)&gt;=$Z109),$AC109,IF(AND($Y109&lt;&gt;"",EDATE($D109,Milestones!$AA$72)&gt;=$Y109),$AB109,$AA109)))=Milestones!$AB$72),UPPER(TEXT(EDATE($D109,Milestones!$AA$72),"dd mmm yy"))&amp;" "&amp;Milestones!$AB$72&amp;" "&amp;IF(AND(Milestones!$AB$72="FT",Milestones!$AA$72=FT_Y5,EDATE($D109,Milestones!$AA$72)&lt;PolicyEff),1,Milestones!$AC$72)&amp;";  ","")&amp;IF(AND(EDATE($D109,Milestones!$AA$73)&lt;=AsOfDate,EDATE($D109,Milestones!$AA$73)&gt;=SchemeStart,IF($X109=0,$AD109,IF(AND($Z109&lt;&gt;"",EDATE($D109,Milestones!$AA$73)&gt;=$Z109),$AC109,IF(AND($Y109&lt;&gt;"",EDATE($D109,Milestones!$AA$73)&gt;=$Y109),$AB109,$AA109)))=Milestones!$AB$73),UPPER(TEXT(EDATE($D109,Milestones!$AA$73),"dd mmm yy"))&amp;" "&amp;Milestones!$AB$73&amp;" "&amp;IF(AND(Milestones!$AB$73="FT",Milestones!$AA$73=FT_Y5,EDATE($D109,Milestones!$AA$73)&lt;PolicyEff),1,Milestones!$AC$73)&amp;";  ","")&amp;IF(AND(EDATE($D109,Milestones!$AA$74)&lt;=AsOfDate,EDATE($D109,Milestones!$AA$74)&gt;=SchemeStart,IF($X109=0,$AD109,IF(AND($Z109&lt;&gt;"",EDATE($D109,Milestones!$AA$74)&gt;=$Z109),$AC109,IF(AND($Y109&lt;&gt;"",EDATE($D109,Milestones!$AA$74)&gt;=$Y109),$AB109,$AA109)))=Milestones!$AB$74),UPPER(TEXT(EDATE($D109,Milestones!$AA$74),"dd mmm yy"))&amp;" "&amp;Milestones!$AB$74&amp;" "&amp;IF(AND(Milestones!$AB$74="FT",Milestones!$AA$74=FT_Y5,EDATE($D109,Milestones!$AA$74)&lt;PolicyEff),1,Milestones!$AC$74)&amp;";  ","")&amp;IF(AND(EDATE($D109,Milestones!$AA$75)&lt;=AsOfDate,EDATE($D109,Milestones!$AA$75)&gt;=SchemeStart,IF($X109=0,$AD109,IF(AND($Z109&lt;&gt;"",EDATE($D109,Milestones!$AA$75)&gt;=$Z109),$AC109,IF(AND($Y109&lt;&gt;"",EDATE($D109,Milestones!$AA$75)&gt;=$Y109),$AB109,$AA109)))=Milestones!$AB$75),UPPER(TEXT(EDATE($D109,Milestones!$AA$75),"dd mmm yy"))&amp;" "&amp;Milestones!$AB$75&amp;" "&amp;IF(AND(Milestones!$AB$75="FT",Milestones!$AA$75=FT_Y5,EDATE($D109,Milestones!$AA$75)&lt;PolicyEff),1,Milestones!$AC$75)&amp;";  ","")&amp;IF(AND(EDATE($D109,Milestones!$AA$76)&lt;=AsOfDate,EDATE($D109,Milestones!$AA$76)&gt;=SchemeStart,IF($X109=0,$AD109,IF(AND($Z109&lt;&gt;"",EDATE($D109,Milestones!$AA$76)&gt;=$Z109),$AC109,IF(AND($Y109&lt;&gt;"",EDATE($D109,Milestones!$AA$76)&gt;=$Y109),$AB109,$AA109)))=Milestones!$AB$76),UPPER(TEXT(EDATE($D109,Milestones!$AA$76),"dd mmm yy"))&amp;" "&amp;Milestones!$AB$76&amp;" "&amp;IF(AND(Milestones!$AB$76="FT",Milestones!$AA$76=FT_Y5,EDATE($D109,Milestones!$AA$76)&lt;PolicyEff),1,Milestones!$AC$76)&amp;";  ","")&amp;IF(AND(EDATE($D109,Milestones!$AA$77)&lt;=AsOfDate,EDATE($D109,Milestones!$AA$77)&gt;=SchemeStart,IF($X109=0,$AD109,IF(AND($Z109&lt;&gt;"",EDATE($D109,Milestones!$AA$77)&gt;=$Z109),$AC109,IF(AND($Y109&lt;&gt;"",EDATE($D109,Milestones!$AA$77)&gt;=$Y109),$AB109,$AA109)))=Milestones!$AB$77),UPPER(TEXT(EDATE($D109,Milestones!$AA$77),"dd mmm yy"))&amp;" "&amp;Milestones!$AB$77&amp;" "&amp;IF(AND(Milestones!$AB$77="FT",Milestones!$AA$77=FT_Y5,EDATE($D109,Milestones!$AA$77)&lt;PolicyEff),1,Milestones!$AC$77)&amp;";  ","")&amp;IF(AND(EDATE($D109,Milestones!$AA$78)&lt;=AsOfDate,EDATE($D109,Milestones!$AA$78)&gt;=SchemeStart,IF($X109=0,$AD109,IF(AND($Z109&lt;&gt;"",EDATE($D109,Milestones!$AA$78)&gt;=$Z109),$AC109,IF(AND($Y109&lt;&gt;"",EDATE($D109,Milestones!$AA$78)&gt;=$Y109),$AB109,$AA109)))=Milestones!$AB$78),UPPER(TEXT(EDATE($D109,Milestones!$AA$78),"dd mmm yy"))&amp;" "&amp;Milestones!$AB$78&amp;" "&amp;IF(AND(Milestones!$AB$78="FT",Milestones!$AA$78=FT_Y5,EDATE($D109,Milestones!$AA$78)&lt;PolicyEff),1,Milestones!$AC$78)&amp;";  ","")&amp;IF(AND(EDATE($D109,Milestones!$AA$79)&lt;=AsOfDate,EDATE($D109,Milestones!$AA$79)&gt;=SchemeStart,IF($X109=0,$AD109,IF(AND($Z109&lt;&gt;"",EDATE($D109,Milestones!$AA$79)&gt;=$Z109),$AC109,IF(AND($Y109&lt;&gt;"",EDATE($D109,Milestones!$AA$79)&gt;=$Y109),$AB109,$AA109)))=Milestones!$AB$79),UPPER(TEXT(EDATE($D109,Milestones!$AA$79),"dd mmm yy"))&amp;" "&amp;Milestones!$AB$79&amp;" "&amp;IF(AND(Milestones!$AB$79="FT",Milestones!$AA$79=FT_Y5,EDATE($D109,Milestones!$AA$79)&lt;PolicyEff),1,Milestones!$AC$79)&amp;";  ",""))</f>
        <v/>
      </c>
      <c r="N109" s="0" t="str">
        <f aca="false">IF(OR($A109="",$D109=""),"",IF(AND(EDATE($D109,Milestones!$AA$80)&lt;=AsOfDate,EDATE($D109,Milestones!$AA$80)&gt;=SchemeStart,IF($X109=0,$AD109,IF(AND($Z109&lt;&gt;"",EDATE($D109,Milestones!$AA$80)&gt;=$Z109),$AC109,IF(AND($Y109&lt;&gt;"",EDATE($D109,Milestones!$AA$80)&gt;=$Y109),$AB109,$AA109)))=Milestones!$AB$80),UPPER(TEXT(EDATE($D109,Milestones!$AA$80),"dd mmm yy"))&amp;" "&amp;Milestones!$AB$80&amp;" "&amp;IF(AND(Milestones!$AB$80="FT",Milestones!$AA$80=FT_Y5,EDATE($D109,Milestones!$AA$80)&lt;PolicyEff),1,Milestones!$AC$80)&amp;";  ","")&amp;IF(AND(EDATE($D109,Milestones!$AA$81)&lt;=AsOfDate,EDATE($D109,Milestones!$AA$81)&gt;=SchemeStart,IF($X109=0,$AD109,IF(AND($Z109&lt;&gt;"",EDATE($D109,Milestones!$AA$81)&gt;=$Z109),$AC109,IF(AND($Y109&lt;&gt;"",EDATE($D109,Milestones!$AA$81)&gt;=$Y109),$AB109,$AA109)))=Milestones!$AB$81),UPPER(TEXT(EDATE($D109,Milestones!$AA$81),"dd mmm yy"))&amp;" "&amp;Milestones!$AB$81&amp;" "&amp;IF(AND(Milestones!$AB$81="FT",Milestones!$AA$81=FT_Y5,EDATE($D109,Milestones!$AA$81)&lt;PolicyEff),1,Milestones!$AC$81)&amp;";  ","")&amp;IF(AND(EDATE($D109,Milestones!$AA$82)&lt;=AsOfDate,EDATE($D109,Milestones!$AA$82)&gt;=SchemeStart,IF($X109=0,$AD109,IF(AND($Z109&lt;&gt;"",EDATE($D109,Milestones!$AA$82)&gt;=$Z109),$AC109,IF(AND($Y109&lt;&gt;"",EDATE($D109,Milestones!$AA$82)&gt;=$Y109),$AB109,$AA109)))=Milestones!$AB$82),UPPER(TEXT(EDATE($D109,Milestones!$AA$82),"dd mmm yy"))&amp;" "&amp;Milestones!$AB$82&amp;" "&amp;IF(AND(Milestones!$AB$82="FT",Milestones!$AA$82=FT_Y5,EDATE($D109,Milestones!$AA$82)&lt;PolicyEff),1,Milestones!$AC$82)&amp;";  ","")&amp;IF(AND(EDATE($D109,Milestones!$AA$83)&lt;=AsOfDate,EDATE($D109,Milestones!$AA$83)&gt;=SchemeStart,IF($X109=0,$AD109,IF(AND($Z109&lt;&gt;"",EDATE($D109,Milestones!$AA$83)&gt;=$Z109),$AC109,IF(AND($Y109&lt;&gt;"",EDATE($D109,Milestones!$AA$83)&gt;=$Y109),$AB109,$AA109)))=Milestones!$AB$83),UPPER(TEXT(EDATE($D109,Milestones!$AA$83),"dd mmm yy"))&amp;" "&amp;Milestones!$AB$83&amp;" "&amp;IF(AND(Milestones!$AB$83="FT",Milestones!$AA$83=FT_Y5,EDATE($D109,Milestones!$AA$83)&lt;PolicyEff),1,Milestones!$AC$83)&amp;";  ","")&amp;IF(AND(EDATE($D109,Milestones!$AA$84)&lt;=AsOfDate,EDATE($D109,Milestones!$AA$84)&gt;=SchemeStart,IF($X109=0,$AD109,IF(AND($Z109&lt;&gt;"",EDATE($D109,Milestones!$AA$84)&gt;=$Z109),$AC109,IF(AND($Y109&lt;&gt;"",EDATE($D109,Milestones!$AA$84)&gt;=$Y109),$AB109,$AA109)))=Milestones!$AB$84),UPPER(TEXT(EDATE($D109,Milestones!$AA$84),"dd mmm yy"))&amp;" "&amp;Milestones!$AB$84&amp;" "&amp;IF(AND(Milestones!$AB$84="FT",Milestones!$AA$84=FT_Y5,EDATE($D109,Milestones!$AA$84)&lt;PolicyEff),1,Milestones!$AC$84)&amp;";  ","")&amp;IF(AND(EDATE($D109,Milestones!$AA$85)&lt;=AsOfDate,EDATE($D109,Milestones!$AA$85)&gt;=SchemeStart,IF($X109=0,$AD109,IF(AND($Z109&lt;&gt;"",EDATE($D109,Milestones!$AA$85)&gt;=$Z109),$AC109,IF(AND($Y109&lt;&gt;"",EDATE($D109,Milestones!$AA$85)&gt;=$Y109),$AB109,$AA109)))=Milestones!$AB$85),UPPER(TEXT(EDATE($D109,Milestones!$AA$85),"dd mmm yy"))&amp;" "&amp;Milestones!$AB$85&amp;" "&amp;IF(AND(Milestones!$AB$85="FT",Milestones!$AA$85=FT_Y5,EDATE($D109,Milestones!$AA$85)&lt;PolicyEff),1,Milestones!$AC$85)&amp;";  ","")&amp;IF(AND(EDATE($D109,Milestones!$AA$86)&lt;=AsOfDate,EDATE($D109,Milestones!$AA$86)&gt;=SchemeStart,IF($X109=0,$AD109,IF(AND($Z109&lt;&gt;"",EDATE($D109,Milestones!$AA$86)&gt;=$Z109),$AC109,IF(AND($Y109&lt;&gt;"",EDATE($D109,Milestones!$AA$86)&gt;=$Y109),$AB109,$AA109)))=Milestones!$AB$86),UPPER(TEXT(EDATE($D109,Milestones!$AA$86),"dd mmm yy"))&amp;" "&amp;Milestones!$AB$86&amp;" "&amp;IF(AND(Milestones!$AB$86="FT",Milestones!$AA$86=FT_Y5,EDATE($D109,Milestones!$AA$86)&lt;PolicyEff),1,Milestones!$AC$86)&amp;";  ","")&amp;IF(AND(EDATE($D109,Milestones!$AA$87)&lt;=AsOfDate,EDATE($D109,Milestones!$AA$87)&gt;=SchemeStart,IF($X109=0,$AD109,IF(AND($Z109&lt;&gt;"",EDATE($D109,Milestones!$AA$87)&gt;=$Z109),$AC109,IF(AND($Y109&lt;&gt;"",EDATE($D109,Milestones!$AA$87)&gt;=$Y109),$AB109,$AA109)))=Milestones!$AB$87),UPPER(TEXT(EDATE($D109,Milestones!$AA$87),"dd mmm yy"))&amp;" "&amp;Milestones!$AB$87&amp;" "&amp;IF(AND(Milestones!$AB$87="FT",Milestones!$AA$87=FT_Y5,EDATE($D109,Milestones!$AA$87)&lt;PolicyEff),1,Milestones!$AC$87)&amp;";  ","")&amp;IF(AND(EDATE($D109,Milestones!$AA$88)&lt;=AsOfDate,EDATE($D109,Milestones!$AA$88)&gt;=SchemeStart,IF($X109=0,$AD109,IF(AND($Z109&lt;&gt;"",EDATE($D109,Milestones!$AA$88)&gt;=$Z109),$AC109,IF(AND($Y109&lt;&gt;"",EDATE($D109,Milestones!$AA$88)&gt;=$Y109),$AB109,$AA109)))=Milestones!$AB$88),UPPER(TEXT(EDATE($D109,Milestones!$AA$88),"dd mmm yy"))&amp;" "&amp;Milestones!$AB$88&amp;" "&amp;IF(AND(Milestones!$AB$88="FT",Milestones!$AA$88=FT_Y5,EDATE($D109,Milestones!$AA$88)&lt;PolicyEff),1,Milestones!$AC$88)&amp;";  ","")&amp;IF(AND(EDATE($D109,Milestones!$AA$89)&lt;=AsOfDate,EDATE($D109,Milestones!$AA$89)&gt;=SchemeStart,IF($X109=0,$AD109,IF(AND($Z109&lt;&gt;"",EDATE($D109,Milestones!$AA$89)&gt;=$Z109),$AC109,IF(AND($Y109&lt;&gt;"",EDATE($D109,Milestones!$AA$89)&gt;=$Y109),$AB109,$AA109)))=Milestones!$AB$89),UPPER(TEXT(EDATE($D109,Milestones!$AA$89),"dd mmm yy"))&amp;" "&amp;Milestones!$AB$89&amp;" "&amp;IF(AND(Milestones!$AB$89="FT",Milestones!$AA$89=FT_Y5,EDATE($D109,Milestones!$AA$89)&lt;PolicyEff),1,Milestones!$AC$89)&amp;";  ","")&amp;IF(AND(EDATE($D109,Milestones!$AA$90)&lt;=AsOfDate,EDATE($D109,Milestones!$AA$90)&gt;=SchemeStart,IF($X109=0,$AD109,IF(AND($Z109&lt;&gt;"",EDATE($D109,Milestones!$AA$90)&gt;=$Z109),$AC109,IF(AND($Y109&lt;&gt;"",EDATE($D109,Milestones!$AA$90)&gt;=$Y109),$AB109,$AA109)))=Milestones!$AB$90),UPPER(TEXT(EDATE($D109,Milestones!$AA$90),"dd mmm yy"))&amp;" "&amp;Milestones!$AB$90&amp;" "&amp;IF(AND(Milestones!$AB$90="FT",Milestones!$AA$90=FT_Y5,EDATE($D109,Milestones!$AA$90)&lt;PolicyEff),1,Milestones!$AC$90)&amp;";  ","")&amp;IF(AND(EDATE($D109,Milestones!$AA$91)&lt;=AsOfDate,EDATE($D109,Milestones!$AA$91)&gt;=SchemeStart,IF($X109=0,$AD109,IF(AND($Z109&lt;&gt;"",EDATE($D109,Milestones!$AA$91)&gt;=$Z109),$AC109,IF(AND($Y109&lt;&gt;"",EDATE($D109,Milestones!$AA$91)&gt;=$Y109),$AB109,$AA109)))=Milestones!$AB$91),UPPER(TEXT(EDATE($D109,Milestones!$AA$91),"dd mmm yy"))&amp;" "&amp;Milestones!$AB$91&amp;" "&amp;IF(AND(Milestones!$AB$91="FT",Milestones!$AA$91=FT_Y5,EDATE($D109,Milestones!$AA$91)&lt;PolicyEff),1,Milestones!$AC$91)&amp;";  ",""))</f>
        <v/>
      </c>
      <c r="O109" s="0" t="str">
        <f aca="false">IF(OR($A109="",$D109=""),"",IF(AND(EDATE($D109,Milestones!$AA$92)&lt;=AsOfDate,EDATE($D109,Milestones!$AA$92)&gt;=SchemeStart,IF($X109=0,$AD109,IF(AND($Z109&lt;&gt;"",EDATE($D109,Milestones!$AA$92)&gt;=$Z109),$AC109,IF(AND($Y109&lt;&gt;"",EDATE($D109,Milestones!$AA$92)&gt;=$Y109),$AB109,$AA109)))=Milestones!$AB$92),UPPER(TEXT(EDATE($D109,Milestones!$AA$92),"dd mmm yy"))&amp;" "&amp;Milestones!$AB$92&amp;" "&amp;IF(AND(Milestones!$AB$92="FT",Milestones!$AA$92=FT_Y5,EDATE($D109,Milestones!$AA$92)&lt;PolicyEff),1,Milestones!$AC$92)&amp;";  ","")&amp;IF(AND(EDATE($D109,Milestones!$AA$93)&lt;=AsOfDate,EDATE($D109,Milestones!$AA$93)&gt;=SchemeStart,IF($X109=0,$AD109,IF(AND($Z109&lt;&gt;"",EDATE($D109,Milestones!$AA$93)&gt;=$Z109),$AC109,IF(AND($Y109&lt;&gt;"",EDATE($D109,Milestones!$AA$93)&gt;=$Y109),$AB109,$AA109)))=Milestones!$AB$93),UPPER(TEXT(EDATE($D109,Milestones!$AA$93),"dd mmm yy"))&amp;" "&amp;Milestones!$AB$93&amp;" "&amp;IF(AND(Milestones!$AB$93="FT",Milestones!$AA$93=FT_Y5,EDATE($D109,Milestones!$AA$93)&lt;PolicyEff),1,Milestones!$AC$93)&amp;";  ","")&amp;IF(AND(EDATE($D109,Milestones!$AA$94)&lt;=AsOfDate,EDATE($D109,Milestones!$AA$94)&gt;=SchemeStart,IF($X109=0,$AD109,IF(AND($Z109&lt;&gt;"",EDATE($D109,Milestones!$AA$94)&gt;=$Z109),$AC109,IF(AND($Y109&lt;&gt;"",EDATE($D109,Milestones!$AA$94)&gt;=$Y109),$AB109,$AA109)))=Milestones!$AB$94),UPPER(TEXT(EDATE($D109,Milestones!$AA$94),"dd mmm yy"))&amp;" "&amp;Milestones!$AB$94&amp;" "&amp;IF(AND(Milestones!$AB$94="FT",Milestones!$AA$94=FT_Y5,EDATE($D109,Milestones!$AA$94)&lt;PolicyEff),1,Milestones!$AC$94)&amp;";  ","")&amp;IF(AND(EDATE($D109,Milestones!$AA$95)&lt;=AsOfDate,EDATE($D109,Milestones!$AA$95)&gt;=SchemeStart,IF($X109=0,$AD109,IF(AND($Z109&lt;&gt;"",EDATE($D109,Milestones!$AA$95)&gt;=$Z109),$AC109,IF(AND($Y109&lt;&gt;"",EDATE($D109,Milestones!$AA$95)&gt;=$Y109),$AB109,$AA109)))=Milestones!$AB$95),UPPER(TEXT(EDATE($D109,Milestones!$AA$95),"dd mmm yy"))&amp;" "&amp;Milestones!$AB$95&amp;" "&amp;IF(AND(Milestones!$AB$95="FT",Milestones!$AA$95=FT_Y5,EDATE($D109,Milestones!$AA$95)&lt;PolicyEff),1,Milestones!$AC$95)&amp;";  ","")&amp;IF(AND(EDATE($D109,Milestones!$AA$96)&lt;=AsOfDate,EDATE($D109,Milestones!$AA$96)&gt;=SchemeStart,IF($X109=0,$AD109,IF(AND($Z109&lt;&gt;"",EDATE($D109,Milestones!$AA$96)&gt;=$Z109),$AC109,IF(AND($Y109&lt;&gt;"",EDATE($D109,Milestones!$AA$96)&gt;=$Y109),$AB109,$AA109)))=Milestones!$AB$96),UPPER(TEXT(EDATE($D109,Milestones!$AA$96),"dd mmm yy"))&amp;" "&amp;Milestones!$AB$96&amp;" "&amp;IF(AND(Milestones!$AB$96="FT",Milestones!$AA$96=FT_Y5,EDATE($D109,Milestones!$AA$96)&lt;PolicyEff),1,Milestones!$AC$96)&amp;";  ","")&amp;IF(AND(EDATE($D109,Milestones!$AA$97)&lt;=AsOfDate,EDATE($D109,Milestones!$AA$97)&gt;=SchemeStart,IF($X109=0,$AD109,IF(AND($Z109&lt;&gt;"",EDATE($D109,Milestones!$AA$97)&gt;=$Z109),$AC109,IF(AND($Y109&lt;&gt;"",EDATE($D109,Milestones!$AA$97)&gt;=$Y109),$AB109,$AA109)))=Milestones!$AB$97),UPPER(TEXT(EDATE($D109,Milestones!$AA$97),"dd mmm yy"))&amp;" "&amp;Milestones!$AB$97&amp;" "&amp;IF(AND(Milestones!$AB$97="FT",Milestones!$AA$97=FT_Y5,EDATE($D109,Milestones!$AA$97)&lt;PolicyEff),1,Milestones!$AC$97)&amp;";  ","")&amp;IF(AND(EDATE($D109,Milestones!$AA$98)&lt;=AsOfDate,EDATE($D109,Milestones!$AA$98)&gt;=SchemeStart,IF($X109=0,$AD109,IF(AND($Z109&lt;&gt;"",EDATE($D109,Milestones!$AA$98)&gt;=$Z109),$AC109,IF(AND($Y109&lt;&gt;"",EDATE($D109,Milestones!$AA$98)&gt;=$Y109),$AB109,$AA109)))=Milestones!$AB$98),UPPER(TEXT(EDATE($D109,Milestones!$AA$98),"dd mmm yy"))&amp;" "&amp;Milestones!$AB$98&amp;" "&amp;IF(AND(Milestones!$AB$98="FT",Milestones!$AA$98=FT_Y5,EDATE($D109,Milestones!$AA$98)&lt;PolicyEff),1,Milestones!$AC$98)&amp;";  ","")&amp;IF(AND(EDATE($D109,Milestones!$AA$99)&lt;=AsOfDate,EDATE($D109,Milestones!$AA$99)&gt;=SchemeStart,IF($X109=0,$AD109,IF(AND($Z109&lt;&gt;"",EDATE($D109,Milestones!$AA$99)&gt;=$Z109),$AC109,IF(AND($Y109&lt;&gt;"",EDATE($D109,Milestones!$AA$99)&gt;=$Y109),$AB109,$AA109)))=Milestones!$AB$99),UPPER(TEXT(EDATE($D109,Milestones!$AA$99),"dd mmm yy"))&amp;" "&amp;Milestones!$AB$99&amp;" "&amp;IF(AND(Milestones!$AB$99="FT",Milestones!$AA$99=FT_Y5,EDATE($D109,Milestones!$AA$99)&lt;PolicyEff),1,Milestones!$AC$99)&amp;";  ","")&amp;IF(AND(EDATE($D109,Milestones!$AA$100)&lt;=AsOfDate,EDATE($D109,Milestones!$AA$100)&gt;=SchemeStart,IF($X109=0,$AD109,IF(AND($Z109&lt;&gt;"",EDATE($D109,Milestones!$AA$100)&gt;=$Z109),$AC109,IF(AND($Y109&lt;&gt;"",EDATE($D109,Milestones!$AA$100)&gt;=$Y109),$AB109,$AA109)))=Milestones!$AB$100),UPPER(TEXT(EDATE($D109,Milestones!$AA$100),"dd mmm yy"))&amp;" "&amp;Milestones!$AB$100&amp;" "&amp;IF(AND(Milestones!$AB$100="FT",Milestones!$AA$100=FT_Y5,EDATE($D109,Milestones!$AA$100)&lt;PolicyEff),1,Milestones!$AC$100)&amp;";  ","")&amp;IF(AND(EDATE($D109,Milestones!$AA$101)&lt;=AsOfDate,EDATE($D109,Milestones!$AA$101)&gt;=SchemeStart,IF($X109=0,$AD109,IF(AND($Z109&lt;&gt;"",EDATE($D109,Milestones!$AA$101)&gt;=$Z109),$AC109,IF(AND($Y109&lt;&gt;"",EDATE($D109,Milestones!$AA$101)&gt;=$Y109),$AB109,$AA109)))=Milestones!$AB$101),UPPER(TEXT(EDATE($D109,Milestones!$AA$101),"dd mmm yy"))&amp;" "&amp;Milestones!$AB$101&amp;" "&amp;IF(AND(Milestones!$AB$101="FT",Milestones!$AA$101=FT_Y5,EDATE($D109,Milestones!$AA$101)&lt;PolicyEff),1,Milestones!$AC$101)&amp;";  ","")&amp;IF(AND(EDATE($D109,Milestones!$AA$102)&lt;=AsOfDate,EDATE($D109,Milestones!$AA$102)&gt;=SchemeStart,IF($X109=0,$AD109,IF(AND($Z109&lt;&gt;"",EDATE($D109,Milestones!$AA$102)&gt;=$Z109),$AC109,IF(AND($Y109&lt;&gt;"",EDATE($D109,Milestones!$AA$102)&gt;=$Y109),$AB109,$AA109)))=Milestones!$AB$102),UPPER(TEXT(EDATE($D109,Milestones!$AA$102),"dd mmm yy"))&amp;" "&amp;Milestones!$AB$102&amp;" "&amp;IF(AND(Milestones!$AB$102="FT",Milestones!$AA$102=FT_Y5,EDATE($D109,Milestones!$AA$102)&lt;PolicyEff),1,Milestones!$AC$102)&amp;";  ","")&amp;IF(AND(EDATE($D109,Milestones!$AA$103)&lt;=AsOfDate,EDATE($D109,Milestones!$AA$103)&gt;=SchemeStart,IF($X109=0,$AD109,IF(AND($Z109&lt;&gt;"",EDATE($D109,Milestones!$AA$103)&gt;=$Z109),$AC109,IF(AND($Y109&lt;&gt;"",EDATE($D109,Milestones!$AA$103)&gt;=$Y109),$AB109,$AA109)))=Milestones!$AB$103),UPPER(TEXT(EDATE($D109,Milestones!$AA$103),"dd mmm yy"))&amp;" "&amp;Milestones!$AB$103&amp;" "&amp;IF(AND(Milestones!$AB$103="FT",Milestones!$AA$103=FT_Y5,EDATE($D109,Milestones!$AA$103)&lt;PolicyEff),1,Milestones!$AC$103)&amp;";  ",""))</f>
        <v/>
      </c>
      <c r="P109" s="0" t="str">
        <f aca="false">IF(OR($A109="",$D109=""),"",IF(AND(EDATE($D109,Milestones!$AA$104)&lt;=AsOfDate,EDATE($D109,Milestones!$AA$104)&gt;=SchemeStart,IF($X109=0,$AD109,IF(AND($Z109&lt;&gt;"",EDATE($D109,Milestones!$AA$104)&gt;=$Z109),$AC109,IF(AND($Y109&lt;&gt;"",EDATE($D109,Milestones!$AA$104)&gt;=$Y109),$AB109,$AA109)))=Milestones!$AB$104),UPPER(TEXT(EDATE($D109,Milestones!$AA$104),"dd mmm yy"))&amp;" "&amp;Milestones!$AB$104&amp;" "&amp;IF(AND(Milestones!$AB$104="FT",Milestones!$AA$104=FT_Y5,EDATE($D109,Milestones!$AA$104)&lt;PolicyEff),1,Milestones!$AC$104)&amp;";  ","")&amp;IF(AND(EDATE($D109,Milestones!$AA$105)&lt;=AsOfDate,EDATE($D109,Milestones!$AA$105)&gt;=SchemeStart,IF($X109=0,$AD109,IF(AND($Z109&lt;&gt;"",EDATE($D109,Milestones!$AA$105)&gt;=$Z109),$AC109,IF(AND($Y109&lt;&gt;"",EDATE($D109,Milestones!$AA$105)&gt;=$Y109),$AB109,$AA109)))=Milestones!$AB$105),UPPER(TEXT(EDATE($D109,Milestones!$AA$105),"dd mmm yy"))&amp;" "&amp;Milestones!$AB$105&amp;" "&amp;IF(AND(Milestones!$AB$105="FT",Milestones!$AA$105=FT_Y5,EDATE($D109,Milestones!$AA$105)&lt;PolicyEff),1,Milestones!$AC$105)&amp;";  ","")&amp;IF(AND(EDATE($D109,Milestones!$AA$106)&lt;=AsOfDate,EDATE($D109,Milestones!$AA$106)&gt;=SchemeStart,IF($X109=0,$AD109,IF(AND($Z109&lt;&gt;"",EDATE($D109,Milestones!$AA$106)&gt;=$Z109),$AC109,IF(AND($Y109&lt;&gt;"",EDATE($D109,Milestones!$AA$106)&gt;=$Y109),$AB109,$AA109)))=Milestones!$AB$106),UPPER(TEXT(EDATE($D109,Milestones!$AA$106),"dd mmm yy"))&amp;" "&amp;Milestones!$AB$106&amp;" "&amp;IF(AND(Milestones!$AB$106="FT",Milestones!$AA$106=FT_Y5,EDATE($D109,Milestones!$AA$106)&lt;PolicyEff),1,Milestones!$AC$106)&amp;";  ","")&amp;IF(AND(EDATE($D109,Milestones!$AA$107)&lt;=AsOfDate,EDATE($D109,Milestones!$AA$107)&gt;=SchemeStart,IF($X109=0,$AD109,IF(AND($Z109&lt;&gt;"",EDATE($D109,Milestones!$AA$107)&gt;=$Z109),$AC109,IF(AND($Y109&lt;&gt;"",EDATE($D109,Milestones!$AA$107)&gt;=$Y109),$AB109,$AA109)))=Milestones!$AB$107),UPPER(TEXT(EDATE($D109,Milestones!$AA$107),"dd mmm yy"))&amp;" "&amp;Milestones!$AB$107&amp;" "&amp;IF(AND(Milestones!$AB$107="FT",Milestones!$AA$107=FT_Y5,EDATE($D109,Milestones!$AA$107)&lt;PolicyEff),1,Milestones!$AC$107)&amp;";  ","")&amp;IF(AND(EDATE($D109,Milestones!$AA$108)&lt;=AsOfDate,EDATE($D109,Milestones!$AA$108)&gt;=SchemeStart,IF($X109=0,$AD109,IF(AND($Z109&lt;&gt;"",EDATE($D109,Milestones!$AA$108)&gt;=$Z109),$AC109,IF(AND($Y109&lt;&gt;"",EDATE($D109,Milestones!$AA$108)&gt;=$Y109),$AB109,$AA109)))=Milestones!$AB$108),UPPER(TEXT(EDATE($D109,Milestones!$AA$108),"dd mmm yy"))&amp;" "&amp;Milestones!$AB$108&amp;" "&amp;IF(AND(Milestones!$AB$108="FT",Milestones!$AA$108=FT_Y5,EDATE($D109,Milestones!$AA$108)&lt;PolicyEff),1,Milestones!$AC$108)&amp;";  ","")&amp;IF(AND(EDATE($D109,Milestones!$AA$109)&lt;=AsOfDate,EDATE($D109,Milestones!$AA$109)&gt;=SchemeStart,IF($X109=0,$AD109,IF(AND($Z109&lt;&gt;"",EDATE($D109,Milestones!$AA$109)&gt;=$Z109),$AC109,IF(AND($Y109&lt;&gt;"",EDATE($D109,Milestones!$AA$109)&gt;=$Y109),$AB109,$AA109)))=Milestones!$AB$109),UPPER(TEXT(EDATE($D109,Milestones!$AA$109),"dd mmm yy"))&amp;" "&amp;Milestones!$AB$109&amp;" "&amp;IF(AND(Milestones!$AB$109="FT",Milestones!$AA$109=FT_Y5,EDATE($D109,Milestones!$AA$109)&lt;PolicyEff),1,Milestones!$AC$109)&amp;";  ","")&amp;IF(AND(EDATE($D109,Milestones!$AA$110)&lt;=AsOfDate,EDATE($D109,Milestones!$AA$110)&gt;=SchemeStart,IF($X109=0,$AD109,IF(AND($Z109&lt;&gt;"",EDATE($D109,Milestones!$AA$110)&gt;=$Z109),$AC109,IF(AND($Y109&lt;&gt;"",EDATE($D109,Milestones!$AA$110)&gt;=$Y109),$AB109,$AA109)))=Milestones!$AB$110),UPPER(TEXT(EDATE($D109,Milestones!$AA$110),"dd mmm yy"))&amp;" "&amp;Milestones!$AB$110&amp;" "&amp;IF(AND(Milestones!$AB$110="FT",Milestones!$AA$110=FT_Y5,EDATE($D109,Milestones!$AA$110)&lt;PolicyEff),1,Milestones!$AC$110)&amp;";  ","")&amp;IF(AND(EDATE($D109,Milestones!$AA$111)&lt;=AsOfDate,EDATE($D109,Milestones!$AA$111)&gt;=SchemeStart,IF($X109=0,$AD109,IF(AND($Z109&lt;&gt;"",EDATE($D109,Milestones!$AA$111)&gt;=$Z109),$AC109,IF(AND($Y109&lt;&gt;"",EDATE($D109,Milestones!$AA$111)&gt;=$Y109),$AB109,$AA109)))=Milestones!$AB$111),UPPER(TEXT(EDATE($D109,Milestones!$AA$111),"dd mmm yy"))&amp;" "&amp;Milestones!$AB$111&amp;" "&amp;IF(AND(Milestones!$AB$111="FT",Milestones!$AA$111=FT_Y5,EDATE($D109,Milestones!$AA$111)&lt;PolicyEff),1,Milestones!$AC$111)&amp;";  ","")&amp;IF(AND(EDATE($D109,Milestones!$AA$112)&lt;=AsOfDate,EDATE($D109,Milestones!$AA$112)&gt;=SchemeStart,IF($X109=0,$AD109,IF(AND($Z109&lt;&gt;"",EDATE($D109,Milestones!$AA$112)&gt;=$Z109),$AC109,IF(AND($Y109&lt;&gt;"",EDATE($D109,Milestones!$AA$112)&gt;=$Y109),$AB109,$AA109)))=Milestones!$AB$112),UPPER(TEXT(EDATE($D109,Milestones!$AA$112),"dd mmm yy"))&amp;" "&amp;Milestones!$AB$112&amp;" "&amp;IF(AND(Milestones!$AB$112="FT",Milestones!$AA$112=FT_Y5,EDATE($D109,Milestones!$AA$112)&lt;PolicyEff),1,Milestones!$AC$112)&amp;";  ","")&amp;IF(AND(EDATE($D109,Milestones!$AA$113)&lt;=AsOfDate,EDATE($D109,Milestones!$AA$113)&gt;=SchemeStart,IF($X109=0,$AD109,IF(AND($Z109&lt;&gt;"",EDATE($D109,Milestones!$AA$113)&gt;=$Z109),$AC109,IF(AND($Y109&lt;&gt;"",EDATE($D109,Milestones!$AA$113)&gt;=$Y109),$AB109,$AA109)))=Milestones!$AB$113),UPPER(TEXT(EDATE($D109,Milestones!$AA$113),"dd mmm yy"))&amp;" "&amp;Milestones!$AB$113&amp;" "&amp;IF(AND(Milestones!$AB$113="FT",Milestones!$AA$113=FT_Y5,EDATE($D109,Milestones!$AA$113)&lt;PolicyEff),1,Milestones!$AC$113)&amp;";  ","")&amp;IF(AND(EDATE($D109,Milestones!$AA$114)&lt;=AsOfDate,EDATE($D109,Milestones!$AA$114)&gt;=SchemeStart,IF($X109=0,$AD109,IF(AND($Z109&lt;&gt;"",EDATE($D109,Milestones!$AA$114)&gt;=$Z109),$AC109,IF(AND($Y109&lt;&gt;"",EDATE($D109,Milestones!$AA$114)&gt;=$Y109),$AB109,$AA109)))=Milestones!$AB$114),UPPER(TEXT(EDATE($D109,Milestones!$AA$114),"dd mmm yy"))&amp;" "&amp;Milestones!$AB$114&amp;" "&amp;IF(AND(Milestones!$AB$114="FT",Milestones!$AA$114=FT_Y5,EDATE($D109,Milestones!$AA$114)&lt;PolicyEff),1,Milestones!$AC$114)&amp;";  ","")&amp;IF(AND(EDATE($D109,Milestones!$AA$115)&lt;=AsOfDate,EDATE($D109,Milestones!$AA$115)&gt;=SchemeStart,IF($X109=0,$AD109,IF(AND($Z109&lt;&gt;"",EDATE($D109,Milestones!$AA$115)&gt;=$Z109),$AC109,IF(AND($Y109&lt;&gt;"",EDATE($D109,Milestones!$AA$115)&gt;=$Y109),$AB109,$AA109)))=Milestones!$AB$115),UPPER(TEXT(EDATE($D109,Milestones!$AA$115),"dd mmm yy"))&amp;" "&amp;Milestones!$AB$115&amp;" "&amp;IF(AND(Milestones!$AB$115="FT",Milestones!$AA$115=FT_Y5,EDATE($D109,Milestones!$AA$115)&lt;PolicyEff),1,Milestones!$AC$115)&amp;";  ",""))</f>
        <v/>
      </c>
      <c r="Q109" s="0" t="str">
        <f aca="false">IF(OR($A109="",$D109=""),"",IF(AND(EDATE($D109,Milestones!$AA$116)&lt;=AsOfDate,EDATE($D109,Milestones!$AA$116)&gt;=SchemeStart,IF($X109=0,$AD109,IF(AND($Z109&lt;&gt;"",EDATE($D109,Milestones!$AA$116)&gt;=$Z109),$AC109,IF(AND($Y109&lt;&gt;"",EDATE($D109,Milestones!$AA$116)&gt;=$Y109),$AB109,$AA109)))=Milestones!$AB$116),UPPER(TEXT(EDATE($D109,Milestones!$AA$116),"dd mmm yy"))&amp;" "&amp;Milestones!$AB$116&amp;" "&amp;IF(AND(Milestones!$AB$116="FT",Milestones!$AA$116=FT_Y5,EDATE($D109,Milestones!$AA$116)&lt;PolicyEff),1,Milestones!$AC$116)&amp;";  ","")&amp;IF(AND(EDATE($D109,Milestones!$AA$117)&lt;=AsOfDate,EDATE($D109,Milestones!$AA$117)&gt;=SchemeStart,IF($X109=0,$AD109,IF(AND($Z109&lt;&gt;"",EDATE($D109,Milestones!$AA$117)&gt;=$Z109),$AC109,IF(AND($Y109&lt;&gt;"",EDATE($D109,Milestones!$AA$117)&gt;=$Y109),$AB109,$AA109)))=Milestones!$AB$117),UPPER(TEXT(EDATE($D109,Milestones!$AA$117),"dd mmm yy"))&amp;" "&amp;Milestones!$AB$117&amp;" "&amp;IF(AND(Milestones!$AB$117="FT",Milestones!$AA$117=FT_Y5,EDATE($D109,Milestones!$AA$117)&lt;PolicyEff),1,Milestones!$AC$117)&amp;";  ","")&amp;IF(AND(EDATE($D109,Milestones!$AA$118)&lt;=AsOfDate,EDATE($D109,Milestones!$AA$118)&gt;=SchemeStart,IF($X109=0,$AD109,IF(AND($Z109&lt;&gt;"",EDATE($D109,Milestones!$AA$118)&gt;=$Z109),$AC109,IF(AND($Y109&lt;&gt;"",EDATE($D109,Milestones!$AA$118)&gt;=$Y109),$AB109,$AA109)))=Milestones!$AB$118),UPPER(TEXT(EDATE($D109,Milestones!$AA$118),"dd mmm yy"))&amp;" "&amp;Milestones!$AB$118&amp;" "&amp;IF(AND(Milestones!$AB$118="FT",Milestones!$AA$118=FT_Y5,EDATE($D109,Milestones!$AA$118)&lt;PolicyEff),1,Milestones!$AC$118)&amp;";  ","")&amp;IF(AND(EDATE($D109,Milestones!$AA$119)&lt;=AsOfDate,EDATE($D109,Milestones!$AA$119)&gt;=SchemeStart,IF($X109=0,$AD109,IF(AND($Z109&lt;&gt;"",EDATE($D109,Milestones!$AA$119)&gt;=$Z109),$AC109,IF(AND($Y109&lt;&gt;"",EDATE($D109,Milestones!$AA$119)&gt;=$Y109),$AB109,$AA109)))=Milestones!$AB$119),UPPER(TEXT(EDATE($D109,Milestones!$AA$119),"dd mmm yy"))&amp;" "&amp;Milestones!$AB$119&amp;" "&amp;IF(AND(Milestones!$AB$119="FT",Milestones!$AA$119=FT_Y5,EDATE($D109,Milestones!$AA$119)&lt;PolicyEff),1,Milestones!$AC$119)&amp;";  ","")&amp;IF(AND(EDATE($D109,Milestones!$AA$120)&lt;=AsOfDate,EDATE($D109,Milestones!$AA$120)&gt;=SchemeStart,IF($X109=0,$AD109,IF(AND($Z109&lt;&gt;"",EDATE($D109,Milestones!$AA$120)&gt;=$Z109),$AC109,IF(AND($Y109&lt;&gt;"",EDATE($D109,Milestones!$AA$120)&gt;=$Y109),$AB109,$AA109)))=Milestones!$AB$120),UPPER(TEXT(EDATE($D109,Milestones!$AA$120),"dd mmm yy"))&amp;" "&amp;Milestones!$AB$120&amp;" "&amp;IF(AND(Milestones!$AB$120="FT",Milestones!$AA$120=FT_Y5,EDATE($D109,Milestones!$AA$120)&lt;PolicyEff),1,Milestones!$AC$120)&amp;";  ","")&amp;IF(AND(EDATE($D109,Milestones!$AA$121)&lt;=AsOfDate,EDATE($D109,Milestones!$AA$121)&gt;=SchemeStart,IF($X109=0,$AD109,IF(AND($Z109&lt;&gt;"",EDATE($D109,Milestones!$AA$121)&gt;=$Z109),$AC109,IF(AND($Y109&lt;&gt;"",EDATE($D109,Milestones!$AA$121)&gt;=$Y109),$AB109,$AA109)))=Milestones!$AB$121),UPPER(TEXT(EDATE($D109,Milestones!$AA$121),"dd mmm yy"))&amp;" "&amp;Milestones!$AB$121&amp;" "&amp;IF(AND(Milestones!$AB$121="FT",Milestones!$AA$121=FT_Y5,EDATE($D109,Milestones!$AA$121)&lt;PolicyEff),1,Milestones!$AC$121)&amp;";  ","")&amp;IF(AND(EDATE($D109,Milestones!$AA$122)&lt;=AsOfDate,EDATE($D109,Milestones!$AA$122)&gt;=SchemeStart,IF($X109=0,$AD109,IF(AND($Z109&lt;&gt;"",EDATE($D109,Milestones!$AA$122)&gt;=$Z109),$AC109,IF(AND($Y109&lt;&gt;"",EDATE($D109,Milestones!$AA$122)&gt;=$Y109),$AB109,$AA109)))=Milestones!$AB$122),UPPER(TEXT(EDATE($D109,Milestones!$AA$122),"dd mmm yy"))&amp;" "&amp;Milestones!$AB$122&amp;" "&amp;IF(AND(Milestones!$AB$122="FT",Milestones!$AA$122=FT_Y5,EDATE($D109,Milestones!$AA$122)&lt;PolicyEff),1,Milestones!$AC$122)&amp;";  ","")&amp;IF(AND(EDATE($D109,Milestones!$AA$123)&lt;=AsOfDate,EDATE($D109,Milestones!$AA$123)&gt;=SchemeStart,IF($X109=0,$AD109,IF(AND($Z109&lt;&gt;"",EDATE($D109,Milestones!$AA$123)&gt;=$Z109),$AC109,IF(AND($Y109&lt;&gt;"",EDATE($D109,Milestones!$AA$123)&gt;=$Y109),$AB109,$AA109)))=Milestones!$AB$123),UPPER(TEXT(EDATE($D109,Milestones!$AA$123),"dd mmm yy"))&amp;" "&amp;Milestones!$AB$123&amp;" "&amp;IF(AND(Milestones!$AB$123="FT",Milestones!$AA$123=FT_Y5,EDATE($D109,Milestones!$AA$123)&lt;PolicyEff),1,Milestones!$AC$123)&amp;";  ","")&amp;IF(AND(EDATE($D109,Milestones!$AA$124)&lt;=AsOfDate,EDATE($D109,Milestones!$AA$124)&gt;=SchemeStart,IF($X109=0,$AD109,IF(AND($Z109&lt;&gt;"",EDATE($D109,Milestones!$AA$124)&gt;=$Z109),$AC109,IF(AND($Y109&lt;&gt;"",EDATE($D109,Milestones!$AA$124)&gt;=$Y109),$AB109,$AA109)))=Milestones!$AB$124),UPPER(TEXT(EDATE($D109,Milestones!$AA$124),"dd mmm yy"))&amp;" "&amp;Milestones!$AB$124&amp;" "&amp;IF(AND(Milestones!$AB$124="FT",Milestones!$AA$124=FT_Y5,EDATE($D109,Milestones!$AA$124)&lt;PolicyEff),1,Milestones!$AC$124)&amp;";  ","")&amp;IF(AND(EDATE($D109,Milestones!$AA$125)&lt;=AsOfDate,EDATE($D109,Milestones!$AA$125)&gt;=SchemeStart,IF($X109=0,$AD109,IF(AND($Z109&lt;&gt;"",EDATE($D109,Milestones!$AA$125)&gt;=$Z109),$AC109,IF(AND($Y109&lt;&gt;"",EDATE($D109,Milestones!$AA$125)&gt;=$Y109),$AB109,$AA109)))=Milestones!$AB$125),UPPER(TEXT(EDATE($D109,Milestones!$AA$125),"dd mmm yy"))&amp;" "&amp;Milestones!$AB$125&amp;" "&amp;IF(AND(Milestones!$AB$125="FT",Milestones!$AA$125=FT_Y5,EDATE($D109,Milestones!$AA$125)&lt;PolicyEff),1,Milestones!$AC$125)&amp;";  ","")&amp;IF(AND(EDATE($D109,Milestones!$AA$126)&lt;=AsOfDate,EDATE($D109,Milestones!$AA$126)&gt;=SchemeStart,IF($X109=0,$AD109,IF(AND($Z109&lt;&gt;"",EDATE($D109,Milestones!$AA$126)&gt;=$Z109),$AC109,IF(AND($Y109&lt;&gt;"",EDATE($D109,Milestones!$AA$126)&gt;=$Y109),$AB109,$AA109)))=Milestones!$AB$126),UPPER(TEXT(EDATE($D109,Milestones!$AA$126),"dd mmm yy"))&amp;" "&amp;Milestones!$AB$126&amp;" "&amp;IF(AND(Milestones!$AB$126="FT",Milestones!$AA$126=FT_Y5,EDATE($D109,Milestones!$AA$126)&lt;PolicyEff),1,Milestones!$AC$126)&amp;";  ","")&amp;IF(AND(EDATE($D109,Milestones!$AA$127)&lt;=AsOfDate,EDATE($D109,Milestones!$AA$127)&gt;=SchemeStart,IF($X109=0,$AD109,IF(AND($Z109&lt;&gt;"",EDATE($D109,Milestones!$AA$127)&gt;=$Z109),$AC109,IF(AND($Y109&lt;&gt;"",EDATE($D109,Milestones!$AA$127)&gt;=$Y109),$AB109,$AA109)))=Milestones!$AB$127),UPPER(TEXT(EDATE($D109,Milestones!$AA$127),"dd mmm yy"))&amp;" "&amp;Milestones!$AB$127&amp;" "&amp;IF(AND(Milestones!$AB$127="FT",Milestones!$AA$127=FT_Y5,EDATE($D109,Milestones!$AA$127)&lt;PolicyEff),1,Milestones!$AC$127)&amp;";  ",""))</f>
        <v/>
      </c>
      <c r="R109" s="0" t="str">
        <f aca="false">IF(OR($A109="",$D109=""),"",IF(AND(EDATE($D109,Milestones!$AA$128)&lt;=AsOfDate,EDATE($D109,Milestones!$AA$128)&gt;=SchemeStart,IF($X109=0,$AD109,IF(AND($Z109&lt;&gt;"",EDATE($D109,Milestones!$AA$128)&gt;=$Z109),$AC109,IF(AND($Y109&lt;&gt;"",EDATE($D109,Milestones!$AA$128)&gt;=$Y109),$AB109,$AA109)))=Milestones!$AB$128),UPPER(TEXT(EDATE($D109,Milestones!$AA$128),"dd mmm yy"))&amp;" "&amp;Milestones!$AB$128&amp;" "&amp;IF(AND(Milestones!$AB$128="FT",Milestones!$AA$128=FT_Y5,EDATE($D109,Milestones!$AA$128)&lt;PolicyEff),1,Milestones!$AC$128)&amp;";  ","")&amp;IF(AND(EDATE($D109,Milestones!$AA$129)&lt;=AsOfDate,EDATE($D109,Milestones!$AA$129)&gt;=SchemeStart,IF($X109=0,$AD109,IF(AND($Z109&lt;&gt;"",EDATE($D109,Milestones!$AA$129)&gt;=$Z109),$AC109,IF(AND($Y109&lt;&gt;"",EDATE($D109,Milestones!$AA$129)&gt;=$Y109),$AB109,$AA109)))=Milestones!$AB$129),UPPER(TEXT(EDATE($D109,Milestones!$AA$129),"dd mmm yy"))&amp;" "&amp;Milestones!$AB$129&amp;" "&amp;IF(AND(Milestones!$AB$129="FT",Milestones!$AA$129=FT_Y5,EDATE($D109,Milestones!$AA$129)&lt;PolicyEff),1,Milestones!$AC$129)&amp;";  ","")&amp;IF(AND(EDATE($D109,Milestones!$AA$130)&lt;=AsOfDate,EDATE($D109,Milestones!$AA$130)&gt;=SchemeStart,IF($X109=0,$AD109,IF(AND($Z109&lt;&gt;"",EDATE($D109,Milestones!$AA$130)&gt;=$Z109),$AC109,IF(AND($Y109&lt;&gt;"",EDATE($D109,Milestones!$AA$130)&gt;=$Y109),$AB109,$AA109)))=Milestones!$AB$130),UPPER(TEXT(EDATE($D109,Milestones!$AA$130),"dd mmm yy"))&amp;" "&amp;Milestones!$AB$130&amp;" "&amp;IF(AND(Milestones!$AB$130="FT",Milestones!$AA$130=FT_Y5,EDATE($D109,Milestones!$AA$130)&lt;PolicyEff),1,Milestones!$AC$130)&amp;";  ","")&amp;IF(AND(EDATE($D109,Milestones!$AA$131)&lt;=AsOfDate,EDATE($D109,Milestones!$AA$131)&gt;=SchemeStart,IF($X109=0,$AD109,IF(AND($Z109&lt;&gt;"",EDATE($D109,Milestones!$AA$131)&gt;=$Z109),$AC109,IF(AND($Y109&lt;&gt;"",EDATE($D109,Milestones!$AA$131)&gt;=$Y109),$AB109,$AA109)))=Milestones!$AB$131),UPPER(TEXT(EDATE($D109,Milestones!$AA$131),"dd mmm yy"))&amp;" "&amp;Milestones!$AB$131&amp;" "&amp;IF(AND(Milestones!$AB$131="FT",Milestones!$AA$131=FT_Y5,EDATE($D109,Milestones!$AA$131)&lt;PolicyEff),1,Milestones!$AC$131)&amp;";  ","")&amp;IF(AND(EDATE($D109,Milestones!$AA$132)&lt;=AsOfDate,EDATE($D109,Milestones!$AA$132)&gt;=SchemeStart,IF($X109=0,$AD109,IF(AND($Z109&lt;&gt;"",EDATE($D109,Milestones!$AA$132)&gt;=$Z109),$AC109,IF(AND($Y109&lt;&gt;"",EDATE($D109,Milestones!$AA$132)&gt;=$Y109),$AB109,$AA109)))=Milestones!$AB$132),UPPER(TEXT(EDATE($D109,Milestones!$AA$132),"dd mmm yy"))&amp;" "&amp;Milestones!$AB$132&amp;" "&amp;IF(AND(Milestones!$AB$132="FT",Milestones!$AA$132=FT_Y5,EDATE($D109,Milestones!$AA$132)&lt;PolicyEff),1,Milestones!$AC$132)&amp;";  ","")&amp;IF(AND(EDATE($D109,Milestones!$AA$133)&lt;=AsOfDate,EDATE($D109,Milestones!$AA$133)&gt;=SchemeStart,IF($X109=0,$AD109,IF(AND($Z109&lt;&gt;"",EDATE($D109,Milestones!$AA$133)&gt;=$Z109),$AC109,IF(AND($Y109&lt;&gt;"",EDATE($D109,Milestones!$AA$133)&gt;=$Y109),$AB109,$AA109)))=Milestones!$AB$133),UPPER(TEXT(EDATE($D109,Milestones!$AA$133),"dd mmm yy"))&amp;" "&amp;Milestones!$AB$133&amp;" "&amp;IF(AND(Milestones!$AB$133="FT",Milestones!$AA$133=FT_Y5,EDATE($D109,Milestones!$AA$133)&lt;PolicyEff),1,Milestones!$AC$133)&amp;";  ","")&amp;IF(AND(EDATE($D109,Milestones!$AA$134)&lt;=AsOfDate,EDATE($D109,Milestones!$AA$134)&gt;=SchemeStart,IF($X109=0,$AD109,IF(AND($Z109&lt;&gt;"",EDATE($D109,Milestones!$AA$134)&gt;=$Z109),$AC109,IF(AND($Y109&lt;&gt;"",EDATE($D109,Milestones!$AA$134)&gt;=$Y109),$AB109,$AA109)))=Milestones!$AB$134),UPPER(TEXT(EDATE($D109,Milestones!$AA$134),"dd mmm yy"))&amp;" "&amp;Milestones!$AB$134&amp;" "&amp;IF(AND(Milestones!$AB$134="FT",Milestones!$AA$134=FT_Y5,EDATE($D109,Milestones!$AA$134)&lt;PolicyEff),1,Milestones!$AC$134)&amp;";  ","")&amp;IF(AND(EDATE($D109,Milestones!$AA$135)&lt;=AsOfDate,EDATE($D109,Milestones!$AA$135)&gt;=SchemeStart,IF($X109=0,$AD109,IF(AND($Z109&lt;&gt;"",EDATE($D109,Milestones!$AA$135)&gt;=$Z109),$AC109,IF(AND($Y109&lt;&gt;"",EDATE($D109,Milestones!$AA$135)&gt;=$Y109),$AB109,$AA109)))=Milestones!$AB$135),UPPER(TEXT(EDATE($D109,Milestones!$AA$135),"dd mmm yy"))&amp;" "&amp;Milestones!$AB$135&amp;" "&amp;IF(AND(Milestones!$AB$135="FT",Milestones!$AA$135=FT_Y5,EDATE($D109,Milestones!$AA$135)&lt;PolicyEff),1,Milestones!$AC$135)&amp;";  ","")&amp;IF(AND(EDATE($D109,Milestones!$AA$136)&lt;=AsOfDate,EDATE($D109,Milestones!$AA$136)&gt;=SchemeStart,IF($X109=0,$AD109,IF(AND($Z109&lt;&gt;"",EDATE($D109,Milestones!$AA$136)&gt;=$Z109),$AC109,IF(AND($Y109&lt;&gt;"",EDATE($D109,Milestones!$AA$136)&gt;=$Y109),$AB109,$AA109)))=Milestones!$AB$136),UPPER(TEXT(EDATE($D109,Milestones!$AA$136),"dd mmm yy"))&amp;" "&amp;Milestones!$AB$136&amp;" "&amp;IF(AND(Milestones!$AB$136="FT",Milestones!$AA$136=FT_Y5,EDATE($D109,Milestones!$AA$136)&lt;PolicyEff),1,Milestones!$AC$136)&amp;";  ","")&amp;IF(AND(EDATE($D109,Milestones!$AA$137)&lt;=AsOfDate,EDATE($D109,Milestones!$AA$137)&gt;=SchemeStart,IF($X109=0,$AD109,IF(AND($Z109&lt;&gt;"",EDATE($D109,Milestones!$AA$137)&gt;=$Z109),$AC109,IF(AND($Y109&lt;&gt;"",EDATE($D109,Milestones!$AA$137)&gt;=$Y109),$AB109,$AA109)))=Milestones!$AB$137),UPPER(TEXT(EDATE($D109,Milestones!$AA$137),"dd mmm yy"))&amp;" "&amp;Milestones!$AB$137&amp;" "&amp;IF(AND(Milestones!$AB$137="FT",Milestones!$AA$137=FT_Y5,EDATE($D109,Milestones!$AA$137)&lt;PolicyEff),1,Milestones!$AC$137)&amp;";  ","")&amp;IF(AND(EDATE($D109,Milestones!$AA$138)&lt;=AsOfDate,EDATE($D109,Milestones!$AA$138)&gt;=SchemeStart,IF($X109=0,$AD109,IF(AND($Z109&lt;&gt;"",EDATE($D109,Milestones!$AA$138)&gt;=$Z109),$AC109,IF(AND($Y109&lt;&gt;"",EDATE($D109,Milestones!$AA$138)&gt;=$Y109),$AB109,$AA109)))=Milestones!$AB$138),UPPER(TEXT(EDATE($D109,Milestones!$AA$138),"dd mmm yy"))&amp;" "&amp;Milestones!$AB$138&amp;" "&amp;IF(AND(Milestones!$AB$138="FT",Milestones!$AA$138=FT_Y5,EDATE($D109,Milestones!$AA$138)&lt;PolicyEff),1,Milestones!$AC$138)&amp;";  ","")&amp;IF(AND(EDATE($D109,Milestones!$AA$139)&lt;=AsOfDate,EDATE($D109,Milestones!$AA$139)&gt;=SchemeStart,IF($X109=0,$AD109,IF(AND($Z109&lt;&gt;"",EDATE($D109,Milestones!$AA$139)&gt;=$Z109),$AC109,IF(AND($Y109&lt;&gt;"",EDATE($D109,Milestones!$AA$139)&gt;=$Y109),$AB109,$AA109)))=Milestones!$AB$139),UPPER(TEXT(EDATE($D109,Milestones!$AA$139),"dd mmm yy"))&amp;" "&amp;Milestones!$AB$139&amp;" "&amp;IF(AND(Milestones!$AB$139="FT",Milestones!$AA$139=FT_Y5,EDATE($D109,Milestones!$AA$139)&lt;PolicyEff),1,Milestones!$AC$139)&amp;";  ",""))</f>
        <v/>
      </c>
      <c r="S109" s="0" t="str">
        <f aca="false">IF(OR($A109="",$D109=""),"",IF(AND(EDATE($D109,Milestones!$AA$140)&lt;=AsOfDate,EDATE($D109,Milestones!$AA$140)&gt;=SchemeStart,IF($X109=0,$AD109,IF(AND($Z109&lt;&gt;"",EDATE($D109,Milestones!$AA$140)&gt;=$Z109),$AC109,IF(AND($Y109&lt;&gt;"",EDATE($D109,Milestones!$AA$140)&gt;=$Y109),$AB109,$AA109)))=Milestones!$AB$140),UPPER(TEXT(EDATE($D109,Milestones!$AA$140),"dd mmm yy"))&amp;" "&amp;Milestones!$AB$140&amp;" "&amp;IF(AND(Milestones!$AB$140="FT",Milestones!$AA$140=FT_Y5,EDATE($D109,Milestones!$AA$140)&lt;PolicyEff),1,Milestones!$AC$140)&amp;";  ","")&amp;IF(AND(EDATE($D109,Milestones!$AA$141)&lt;=AsOfDate,EDATE($D109,Milestones!$AA$141)&gt;=SchemeStart,IF($X109=0,$AD109,IF(AND($Z109&lt;&gt;"",EDATE($D109,Milestones!$AA$141)&gt;=$Z109),$AC109,IF(AND($Y109&lt;&gt;"",EDATE($D109,Milestones!$AA$141)&gt;=$Y109),$AB109,$AA109)))=Milestones!$AB$141),UPPER(TEXT(EDATE($D109,Milestones!$AA$141),"dd mmm yy"))&amp;" "&amp;Milestones!$AB$141&amp;" "&amp;IF(AND(Milestones!$AB$141="FT",Milestones!$AA$141=FT_Y5,EDATE($D109,Milestones!$AA$141)&lt;PolicyEff),1,Milestones!$AC$141)&amp;";  ","")&amp;IF(AND(EDATE($D109,Milestones!$AA$142)&lt;=AsOfDate,EDATE($D109,Milestones!$AA$142)&gt;=SchemeStart,IF($X109=0,$AD109,IF(AND($Z109&lt;&gt;"",EDATE($D109,Milestones!$AA$142)&gt;=$Z109),$AC109,IF(AND($Y109&lt;&gt;"",EDATE($D109,Milestones!$AA$142)&gt;=$Y109),$AB109,$AA109)))=Milestones!$AB$142),UPPER(TEXT(EDATE($D109,Milestones!$AA$142),"dd mmm yy"))&amp;" "&amp;Milestones!$AB$142&amp;" "&amp;IF(AND(Milestones!$AB$142="FT",Milestones!$AA$142=FT_Y5,EDATE($D109,Milestones!$AA$142)&lt;PolicyEff),1,Milestones!$AC$142)&amp;";  ","")&amp;IF(AND(EDATE($D109,Milestones!$AA$143)&lt;=AsOfDate,EDATE($D109,Milestones!$AA$143)&gt;=SchemeStart,IF($X109=0,$AD109,IF(AND($Z109&lt;&gt;"",EDATE($D109,Milestones!$AA$143)&gt;=$Z109),$AC109,IF(AND($Y109&lt;&gt;"",EDATE($D109,Milestones!$AA$143)&gt;=$Y109),$AB109,$AA109)))=Milestones!$AB$143),UPPER(TEXT(EDATE($D109,Milestones!$AA$143),"dd mmm yy"))&amp;" "&amp;Milestones!$AB$143&amp;" "&amp;IF(AND(Milestones!$AB$143="FT",Milestones!$AA$143=FT_Y5,EDATE($D109,Milestones!$AA$143)&lt;PolicyEff),1,Milestones!$AC$143)&amp;";  ","")&amp;IF(AND(EDATE($D109,Milestones!$AA$144)&lt;=AsOfDate,EDATE($D109,Milestones!$AA$144)&gt;=SchemeStart,IF($X109=0,$AD109,IF(AND($Z109&lt;&gt;"",EDATE($D109,Milestones!$AA$144)&gt;=$Z109),$AC109,IF(AND($Y109&lt;&gt;"",EDATE($D109,Milestones!$AA$144)&gt;=$Y109),$AB109,$AA109)))=Milestones!$AB$144),UPPER(TEXT(EDATE($D109,Milestones!$AA$144),"dd mmm yy"))&amp;" "&amp;Milestones!$AB$144&amp;" "&amp;IF(AND(Milestones!$AB$144="FT",Milestones!$AA$144=FT_Y5,EDATE($D109,Milestones!$AA$144)&lt;PolicyEff),1,Milestones!$AC$144)&amp;";  ","")&amp;IF(AND(EDATE($D109,Milestones!$AA$145)&lt;=AsOfDate,EDATE($D109,Milestones!$AA$145)&gt;=SchemeStart,IF($X109=0,$AD109,IF(AND($Z109&lt;&gt;"",EDATE($D109,Milestones!$AA$145)&gt;=$Z109),$AC109,IF(AND($Y109&lt;&gt;"",EDATE($D109,Milestones!$AA$145)&gt;=$Y109),$AB109,$AA109)))=Milestones!$AB$145),UPPER(TEXT(EDATE($D109,Milestones!$AA$145),"dd mmm yy"))&amp;" "&amp;Milestones!$AB$145&amp;" "&amp;IF(AND(Milestones!$AB$145="FT",Milestones!$AA$145=FT_Y5,EDATE($D109,Milestones!$AA$145)&lt;PolicyEff),1,Milestones!$AC$145)&amp;";  ","")&amp;IF(AND(EDATE($D109,Milestones!$AA$146)&lt;=AsOfDate,EDATE($D109,Milestones!$AA$146)&gt;=SchemeStart,IF($X109=0,$AD109,IF(AND($Z109&lt;&gt;"",EDATE($D109,Milestones!$AA$146)&gt;=$Z109),$AC109,IF(AND($Y109&lt;&gt;"",EDATE($D109,Milestones!$AA$146)&gt;=$Y109),$AB109,$AA109)))=Milestones!$AB$146),UPPER(TEXT(EDATE($D109,Milestones!$AA$146),"dd mmm yy"))&amp;" "&amp;Milestones!$AB$146&amp;" "&amp;IF(AND(Milestones!$AB$146="FT",Milestones!$AA$146=FT_Y5,EDATE($D109,Milestones!$AA$146)&lt;PolicyEff),1,Milestones!$AC$146)&amp;";  ","")&amp;IF(AND(EDATE($D109,Milestones!$AA$147)&lt;=AsOfDate,EDATE($D109,Milestones!$AA$147)&gt;=SchemeStart,IF($X109=0,$AD109,IF(AND($Z109&lt;&gt;"",EDATE($D109,Milestones!$AA$147)&gt;=$Z109),$AC109,IF(AND($Y109&lt;&gt;"",EDATE($D109,Milestones!$AA$147)&gt;=$Y109),$AB109,$AA109)))=Milestones!$AB$147),UPPER(TEXT(EDATE($D109,Milestones!$AA$147),"dd mmm yy"))&amp;" "&amp;Milestones!$AB$147&amp;" "&amp;IF(AND(Milestones!$AB$147="FT",Milestones!$AA$147=FT_Y5,EDATE($D109,Milestones!$AA$147)&lt;PolicyEff),1,Milestones!$AC$147)&amp;";  ","")&amp;IF(AND(EDATE($D109,Milestones!$AA$148)&lt;=AsOfDate,EDATE($D109,Milestones!$AA$148)&gt;=SchemeStart,IF($X109=0,$AD109,IF(AND($Z109&lt;&gt;"",EDATE($D109,Milestones!$AA$148)&gt;=$Z109),$AC109,IF(AND($Y109&lt;&gt;"",EDATE($D109,Milestones!$AA$148)&gt;=$Y109),$AB109,$AA109)))=Milestones!$AB$148),UPPER(TEXT(EDATE($D109,Milestones!$AA$148),"dd mmm yy"))&amp;" "&amp;Milestones!$AB$148&amp;" "&amp;IF(AND(Milestones!$AB$148="FT",Milestones!$AA$148=FT_Y5,EDATE($D109,Milestones!$AA$148)&lt;PolicyEff),1,Milestones!$AC$148)&amp;";  ","")&amp;IF(AND(EDATE($D109,Milestones!$AA$149)&lt;=AsOfDate,EDATE($D109,Milestones!$AA$149)&gt;=SchemeStart,IF($X109=0,$AD109,IF(AND($Z109&lt;&gt;"",EDATE($D109,Milestones!$AA$149)&gt;=$Z109),$AC109,IF(AND($Y109&lt;&gt;"",EDATE($D109,Milestones!$AA$149)&gt;=$Y109),$AB109,$AA109)))=Milestones!$AB$149),UPPER(TEXT(EDATE($D109,Milestones!$AA$149),"dd mmm yy"))&amp;" "&amp;Milestones!$AB$149&amp;" "&amp;IF(AND(Milestones!$AB$149="FT",Milestones!$AA$149=FT_Y5,EDATE($D109,Milestones!$AA$149)&lt;PolicyEff),1,Milestones!$AC$149)&amp;";  ","")&amp;IF(AND(EDATE($D109,Milestones!$AA$150)&lt;=AsOfDate,EDATE($D109,Milestones!$AA$150)&gt;=SchemeStart,IF($X109=0,$AD109,IF(AND($Z109&lt;&gt;"",EDATE($D109,Milestones!$AA$150)&gt;=$Z109),$AC109,IF(AND($Y109&lt;&gt;"",EDATE($D109,Milestones!$AA$150)&gt;=$Y109),$AB109,$AA109)))=Milestones!$AB$150),UPPER(TEXT(EDATE($D109,Milestones!$AA$150),"dd mmm yy"))&amp;" "&amp;Milestones!$AB$150&amp;" "&amp;IF(AND(Milestones!$AB$150="FT",Milestones!$AA$150=FT_Y5,EDATE($D109,Milestones!$AA$150)&lt;PolicyEff),1,Milestones!$AC$150)&amp;";  ","")&amp;IF(AND(EDATE($D109,Milestones!$AA$151)&lt;=AsOfDate,EDATE($D109,Milestones!$AA$151)&gt;=SchemeStart,IF($X109=0,$AD109,IF(AND($Z109&lt;&gt;"",EDATE($D109,Milestones!$AA$151)&gt;=$Z109),$AC109,IF(AND($Y109&lt;&gt;"",EDATE($D109,Milestones!$AA$151)&gt;=$Y109),$AB109,$AA109)))=Milestones!$AB$151),UPPER(TEXT(EDATE($D109,Milestones!$AA$151),"dd mmm yy"))&amp;" "&amp;Milestones!$AB$151&amp;" "&amp;IF(AND(Milestones!$AB$151="FT",Milestones!$AA$151=FT_Y5,EDATE($D109,Milestones!$AA$151)&lt;PolicyEff),1,Milestones!$AC$151)&amp;";  ",""))</f>
        <v/>
      </c>
      <c r="T109" s="0" t="str">
        <f aca="false">IF(OR($A109="",$D109=""),"",IF(AND(EDATE($D109,Milestones!$AA$152)&lt;=AsOfDate,EDATE($D109,Milestones!$AA$152)&gt;=SchemeStart,IF($X109=0,$AD109,IF(AND($Z109&lt;&gt;"",EDATE($D109,Milestones!$AA$152)&gt;=$Z109),$AC109,IF(AND($Y109&lt;&gt;"",EDATE($D109,Milestones!$AA$152)&gt;=$Y109),$AB109,$AA109)))=Milestones!$AB$152),UPPER(TEXT(EDATE($D109,Milestones!$AA$152),"dd mmm yy"))&amp;" "&amp;Milestones!$AB$152&amp;" "&amp;IF(AND(Milestones!$AB$152="FT",Milestones!$AA$152=FT_Y5,EDATE($D109,Milestones!$AA$152)&lt;PolicyEff),1,Milestones!$AC$152)&amp;";  ","")&amp;IF(AND(EDATE($D109,Milestones!$AA$153)&lt;=AsOfDate,EDATE($D109,Milestones!$AA$153)&gt;=SchemeStart,IF($X109=0,$AD109,IF(AND($Z109&lt;&gt;"",EDATE($D109,Milestones!$AA$153)&gt;=$Z109),$AC109,IF(AND($Y109&lt;&gt;"",EDATE($D109,Milestones!$AA$153)&gt;=$Y109),$AB109,$AA109)))=Milestones!$AB$153),UPPER(TEXT(EDATE($D109,Milestones!$AA$153),"dd mmm yy"))&amp;" "&amp;Milestones!$AB$153&amp;" "&amp;IF(AND(Milestones!$AB$153="FT",Milestones!$AA$153=FT_Y5,EDATE($D109,Milestones!$AA$153)&lt;PolicyEff),1,Milestones!$AC$153)&amp;";  ","")&amp;IF(AND(EDATE($D109,Milestones!$AA$154)&lt;=AsOfDate,EDATE($D109,Milestones!$AA$154)&gt;=SchemeStart,IF($X109=0,$AD109,IF(AND($Z109&lt;&gt;"",EDATE($D109,Milestones!$AA$154)&gt;=$Z109),$AC109,IF(AND($Y109&lt;&gt;"",EDATE($D109,Milestones!$AA$154)&gt;=$Y109),$AB109,$AA109)))=Milestones!$AB$154),UPPER(TEXT(EDATE($D109,Milestones!$AA$154),"dd mmm yy"))&amp;" "&amp;Milestones!$AB$154&amp;" "&amp;IF(AND(Milestones!$AB$154="FT",Milestones!$AA$154=FT_Y5,EDATE($D109,Milestones!$AA$154)&lt;PolicyEff),1,Milestones!$AC$154)&amp;";  ","")&amp;IF(AND(EDATE($D109,Milestones!$AA$155)&lt;=AsOfDate,EDATE($D109,Milestones!$AA$155)&gt;=SchemeStart,IF($X109=0,$AD109,IF(AND($Z109&lt;&gt;"",EDATE($D109,Milestones!$AA$155)&gt;=$Z109),$AC109,IF(AND($Y109&lt;&gt;"",EDATE($D109,Milestones!$AA$155)&gt;=$Y109),$AB109,$AA109)))=Milestones!$AB$155),UPPER(TEXT(EDATE($D109,Milestones!$AA$155),"dd mmm yy"))&amp;" "&amp;Milestones!$AB$155&amp;" "&amp;IF(AND(Milestones!$AB$155="FT",Milestones!$AA$155=FT_Y5,EDATE($D109,Milestones!$AA$155)&lt;PolicyEff),1,Milestones!$AC$155)&amp;";  ","")&amp;IF(AND(EDATE($D109,Milestones!$AA$156)&lt;=AsOfDate,EDATE($D109,Milestones!$AA$156)&gt;=SchemeStart,IF($X109=0,$AD109,IF(AND($Z109&lt;&gt;"",EDATE($D109,Milestones!$AA$156)&gt;=$Z109),$AC109,IF(AND($Y109&lt;&gt;"",EDATE($D109,Milestones!$AA$156)&gt;=$Y109),$AB109,$AA109)))=Milestones!$AB$156),UPPER(TEXT(EDATE($D109,Milestones!$AA$156),"dd mmm yy"))&amp;" "&amp;Milestones!$AB$156&amp;" "&amp;IF(AND(Milestones!$AB$156="FT",Milestones!$AA$156=FT_Y5,EDATE($D109,Milestones!$AA$156)&lt;PolicyEff),1,Milestones!$AC$156)&amp;";  ","")&amp;IF(AND(EDATE($D109,Milestones!$AA$157)&lt;=AsOfDate,EDATE($D109,Milestones!$AA$157)&gt;=SchemeStart,IF($X109=0,$AD109,IF(AND($Z109&lt;&gt;"",EDATE($D109,Milestones!$AA$157)&gt;=$Z109),$AC109,IF(AND($Y109&lt;&gt;"",EDATE($D109,Milestones!$AA$157)&gt;=$Y109),$AB109,$AA109)))=Milestones!$AB$157),UPPER(TEXT(EDATE($D109,Milestones!$AA$157),"dd mmm yy"))&amp;" "&amp;Milestones!$AB$157&amp;" "&amp;IF(AND(Milestones!$AB$157="FT",Milestones!$AA$157=FT_Y5,EDATE($D109,Milestones!$AA$157)&lt;PolicyEff),1,Milestones!$AC$157)&amp;";  ","")&amp;IF(AND(EDATE($D109,Milestones!$AA$158)&lt;=AsOfDate,EDATE($D109,Milestones!$AA$158)&gt;=SchemeStart,IF($X109=0,$AD109,IF(AND($Z109&lt;&gt;"",EDATE($D109,Milestones!$AA$158)&gt;=$Z109),$AC109,IF(AND($Y109&lt;&gt;"",EDATE($D109,Milestones!$AA$158)&gt;=$Y109),$AB109,$AA109)))=Milestones!$AB$158),UPPER(TEXT(EDATE($D109,Milestones!$AA$158),"dd mmm yy"))&amp;" "&amp;Milestones!$AB$158&amp;" "&amp;IF(AND(Milestones!$AB$158="FT",Milestones!$AA$158=FT_Y5,EDATE($D109,Milestones!$AA$158)&lt;PolicyEff),1,Milestones!$AC$158)&amp;";  ","")&amp;IF(AND(EDATE($D109,Milestones!$AA$159)&lt;=AsOfDate,EDATE($D109,Milestones!$AA$159)&gt;=SchemeStart,IF($X109=0,$AD109,IF(AND($Z109&lt;&gt;"",EDATE($D109,Milestones!$AA$159)&gt;=$Z109),$AC109,IF(AND($Y109&lt;&gt;"",EDATE($D109,Milestones!$AA$159)&gt;=$Y109),$AB109,$AA109)))=Milestones!$AB$159),UPPER(TEXT(EDATE($D109,Milestones!$AA$159),"dd mmm yy"))&amp;" "&amp;Milestones!$AB$159&amp;" "&amp;IF(AND(Milestones!$AB$159="FT",Milestones!$AA$159=FT_Y5,EDATE($D109,Milestones!$AA$159)&lt;PolicyEff),1,Milestones!$AC$159)&amp;";  ","")&amp;IF(AND(EDATE($D109,Milestones!$AA$160)&lt;=AsOfDate,EDATE($D109,Milestones!$AA$160)&gt;=SchemeStart,IF($X109=0,$AD109,IF(AND($Z109&lt;&gt;"",EDATE($D109,Milestones!$AA$160)&gt;=$Z109),$AC109,IF(AND($Y109&lt;&gt;"",EDATE($D109,Milestones!$AA$160)&gt;=$Y109),$AB109,$AA109)))=Milestones!$AB$160),UPPER(TEXT(EDATE($D109,Milestones!$AA$160),"dd mmm yy"))&amp;" "&amp;Milestones!$AB$160&amp;" "&amp;IF(AND(Milestones!$AB$160="FT",Milestones!$AA$160=FT_Y5,EDATE($D109,Milestones!$AA$160)&lt;PolicyEff),1,Milestones!$AC$160)&amp;";  ","")&amp;IF(AND(EDATE($D109,Milestones!$AA$161)&lt;=AsOfDate,EDATE($D109,Milestones!$AA$161)&gt;=SchemeStart,IF($X109=0,$AD109,IF(AND($Z109&lt;&gt;"",EDATE($D109,Milestones!$AA$161)&gt;=$Z109),$AC109,IF(AND($Y109&lt;&gt;"",EDATE($D109,Milestones!$AA$161)&gt;=$Y109),$AB109,$AA109)))=Milestones!$AB$161),UPPER(TEXT(EDATE($D109,Milestones!$AA$161),"dd mmm yy"))&amp;" "&amp;Milestones!$AB$161&amp;" "&amp;IF(AND(Milestones!$AB$161="FT",Milestones!$AA$161=FT_Y5,EDATE($D109,Milestones!$AA$161)&lt;PolicyEff),1,Milestones!$AC$161)&amp;";  ","")&amp;IF(AND(EDATE($D109,Milestones!$AA$162)&lt;=AsOfDate,EDATE($D109,Milestones!$AA$162)&gt;=SchemeStart,IF($X109=0,$AD109,IF(AND($Z109&lt;&gt;"",EDATE($D109,Milestones!$AA$162)&gt;=$Z109),$AC109,IF(AND($Y109&lt;&gt;"",EDATE($D109,Milestones!$AA$162)&gt;=$Y109),$AB109,$AA109)))=Milestones!$AB$162),UPPER(TEXT(EDATE($D109,Milestones!$AA$162),"dd mmm yy"))&amp;" "&amp;Milestones!$AB$162&amp;" "&amp;IF(AND(Milestones!$AB$162="FT",Milestones!$AA$162=FT_Y5,EDATE($D109,Milestones!$AA$162)&lt;PolicyEff),1,Milestones!$AC$162)&amp;";  ","")&amp;IF(AND(EDATE($D109,Milestones!$AA$163)&lt;=AsOfDate,EDATE($D109,Milestones!$AA$163)&gt;=SchemeStart,IF($X109=0,$AD109,IF(AND($Z109&lt;&gt;"",EDATE($D109,Milestones!$AA$163)&gt;=$Z109),$AC109,IF(AND($Y109&lt;&gt;"",EDATE($D109,Milestones!$AA$163)&gt;=$Y109),$AB109,$AA109)))=Milestones!$AB$163),UPPER(TEXT(EDATE($D109,Milestones!$AA$163),"dd mmm yy"))&amp;" "&amp;Milestones!$AB$163&amp;" "&amp;IF(AND(Milestones!$AB$163="FT",Milestones!$AA$163=FT_Y5,EDATE($D109,Milestones!$AA$163)&lt;PolicyEff),1,Milestones!$AC$163)&amp;";  ",""))</f>
        <v/>
      </c>
      <c r="U109" s="0" t="str">
        <f aca="false">IF(OR($A109="",$D109=""),"",IF(AND(EDATE($D109,Milestones!$AA$164)&lt;=AsOfDate,EDATE($D109,Milestones!$AA$164)&gt;=SchemeStart,IF($X109=0,$AD109,IF(AND($Z109&lt;&gt;"",EDATE($D109,Milestones!$AA$164)&gt;=$Z109),$AC109,IF(AND($Y109&lt;&gt;"",EDATE($D109,Milestones!$AA$164)&gt;=$Y109),$AB109,$AA109)))=Milestones!$AB$164),UPPER(TEXT(EDATE($D109,Milestones!$AA$164),"dd mmm yy"))&amp;" "&amp;Milestones!$AB$164&amp;" "&amp;IF(AND(Milestones!$AB$164="FT",Milestones!$AA$164=FT_Y5,EDATE($D109,Milestones!$AA$164)&lt;PolicyEff),1,Milestones!$AC$164)&amp;";  ","")&amp;IF(AND(EDATE($D109,Milestones!$AA$165)&lt;=AsOfDate,EDATE($D109,Milestones!$AA$165)&gt;=SchemeStart,IF($X109=0,$AD109,IF(AND($Z109&lt;&gt;"",EDATE($D109,Milestones!$AA$165)&gt;=$Z109),$AC109,IF(AND($Y109&lt;&gt;"",EDATE($D109,Milestones!$AA$165)&gt;=$Y109),$AB109,$AA109)))=Milestones!$AB$165),UPPER(TEXT(EDATE($D109,Milestones!$AA$165),"dd mmm yy"))&amp;" "&amp;Milestones!$AB$165&amp;" "&amp;IF(AND(Milestones!$AB$165="FT",Milestones!$AA$165=FT_Y5,EDATE($D109,Milestones!$AA$165)&lt;PolicyEff),1,Milestones!$AC$165)&amp;";  ","")&amp;IF(AND(EDATE($D109,Milestones!$AA$166)&lt;=AsOfDate,EDATE($D109,Milestones!$AA$166)&gt;=SchemeStart,IF($X109=0,$AD109,IF(AND($Z109&lt;&gt;"",EDATE($D109,Milestones!$AA$166)&gt;=$Z109),$AC109,IF(AND($Y109&lt;&gt;"",EDATE($D109,Milestones!$AA$166)&gt;=$Y109),$AB109,$AA109)))=Milestones!$AB$166),UPPER(TEXT(EDATE($D109,Milestones!$AA$166),"dd mmm yy"))&amp;" "&amp;Milestones!$AB$166&amp;" "&amp;IF(AND(Milestones!$AB$166="FT",Milestones!$AA$166=FT_Y5,EDATE($D109,Milestones!$AA$166)&lt;PolicyEff),1,Milestones!$AC$166)&amp;";  ","")&amp;IF(AND(EDATE($D109,Milestones!$AA$167)&lt;=AsOfDate,EDATE($D109,Milestones!$AA$167)&gt;=SchemeStart,IF($X109=0,$AD109,IF(AND($Z109&lt;&gt;"",EDATE($D109,Milestones!$AA$167)&gt;=$Z109),$AC109,IF(AND($Y109&lt;&gt;"",EDATE($D109,Milestones!$AA$167)&gt;=$Y109),$AB109,$AA109)))=Milestones!$AB$167),UPPER(TEXT(EDATE($D109,Milestones!$AA$167),"dd mmm yy"))&amp;" "&amp;Milestones!$AB$167&amp;" "&amp;IF(AND(Milestones!$AB$167="FT",Milestones!$AA$167=FT_Y5,EDATE($D109,Milestones!$AA$167)&lt;PolicyEff),1,Milestones!$AC$167)&amp;";  ","")&amp;IF(AND(EDATE($D109,Milestones!$AA$168)&lt;=AsOfDate,EDATE($D109,Milestones!$AA$168)&gt;=SchemeStart,IF($X109=0,$AD109,IF(AND($Z109&lt;&gt;"",EDATE($D109,Milestones!$AA$168)&gt;=$Z109),$AC109,IF(AND($Y109&lt;&gt;"",EDATE($D109,Milestones!$AA$168)&gt;=$Y109),$AB109,$AA109)))=Milestones!$AB$168),UPPER(TEXT(EDATE($D109,Milestones!$AA$168),"dd mmm yy"))&amp;" "&amp;Milestones!$AB$168&amp;" "&amp;IF(AND(Milestones!$AB$168="FT",Milestones!$AA$168=FT_Y5,EDATE($D109,Milestones!$AA$168)&lt;PolicyEff),1,Milestones!$AC$168)&amp;";  ","")&amp;IF(AND(EDATE($D109,Milestones!$AA$169)&lt;=AsOfDate,EDATE($D109,Milestones!$AA$169)&gt;=SchemeStart,IF($X109=0,$AD109,IF(AND($Z109&lt;&gt;"",EDATE($D109,Milestones!$AA$169)&gt;=$Z109),$AC109,IF(AND($Y109&lt;&gt;"",EDATE($D109,Milestones!$AA$169)&gt;=$Y109),$AB109,$AA109)))=Milestones!$AB$169),UPPER(TEXT(EDATE($D109,Milestones!$AA$169),"dd mmm yy"))&amp;" "&amp;Milestones!$AB$169&amp;" "&amp;IF(AND(Milestones!$AB$169="FT",Milestones!$AA$169=FT_Y5,EDATE($D109,Milestones!$AA$169)&lt;PolicyEff),1,Milestones!$AC$169)&amp;";  ","")&amp;IF(AND(EDATE($D109,Milestones!$AA$170)&lt;=AsOfDate,EDATE($D109,Milestones!$AA$170)&gt;=SchemeStart,IF($X109=0,$AD109,IF(AND($Z109&lt;&gt;"",EDATE($D109,Milestones!$AA$170)&gt;=$Z109),$AC109,IF(AND($Y109&lt;&gt;"",EDATE($D109,Milestones!$AA$170)&gt;=$Y109),$AB109,$AA109)))=Milestones!$AB$170),UPPER(TEXT(EDATE($D109,Milestones!$AA$170),"dd mmm yy"))&amp;" "&amp;Milestones!$AB$170&amp;" "&amp;IF(AND(Milestones!$AB$170="FT",Milestones!$AA$170=FT_Y5,EDATE($D109,Milestones!$AA$170)&lt;PolicyEff),1,Milestones!$AC$170)&amp;";  ","")&amp;IF(AND(EDATE($D109,Milestones!$AA$171)&lt;=AsOfDate,EDATE($D109,Milestones!$AA$171)&gt;=SchemeStart,IF($X109=0,$AD109,IF(AND($Z109&lt;&gt;"",EDATE($D109,Milestones!$AA$171)&gt;=$Z109),$AC109,IF(AND($Y109&lt;&gt;"",EDATE($D109,Milestones!$AA$171)&gt;=$Y109),$AB109,$AA109)))=Milestones!$AB$171),UPPER(TEXT(EDATE($D109,Milestones!$AA$171),"dd mmm yy"))&amp;" "&amp;Milestones!$AB$171&amp;" "&amp;IF(AND(Milestones!$AB$171="FT",Milestones!$AA$171=FT_Y5,EDATE($D109,Milestones!$AA$171)&lt;PolicyEff),1,Milestones!$AC$171)&amp;";  ","")&amp;IF(AND(EDATE($D109,Milestones!$AA$172)&lt;=AsOfDate,EDATE($D109,Milestones!$AA$172)&gt;=SchemeStart,IF($X109=0,$AD109,IF(AND($Z109&lt;&gt;"",EDATE($D109,Milestones!$AA$172)&gt;=$Z109),$AC109,IF(AND($Y109&lt;&gt;"",EDATE($D109,Milestones!$AA$172)&gt;=$Y109),$AB109,$AA109)))=Milestones!$AB$172),UPPER(TEXT(EDATE($D109,Milestones!$AA$172),"dd mmm yy"))&amp;" "&amp;Milestones!$AB$172&amp;" "&amp;IF(AND(Milestones!$AB$172="FT",Milestones!$AA$172=FT_Y5,EDATE($D109,Milestones!$AA$172)&lt;PolicyEff),1,Milestones!$AC$172)&amp;";  ","")&amp;IF(AND(EDATE($D109,Milestones!$AA$173)&lt;=AsOfDate,EDATE($D109,Milestones!$AA$173)&gt;=SchemeStart,IF($X109=0,$AD109,IF(AND($Z109&lt;&gt;"",EDATE($D109,Milestones!$AA$173)&gt;=$Z109),$AC109,IF(AND($Y109&lt;&gt;"",EDATE($D109,Milestones!$AA$173)&gt;=$Y109),$AB109,$AA109)))=Milestones!$AB$173),UPPER(TEXT(EDATE($D109,Milestones!$AA$173),"dd mmm yy"))&amp;" "&amp;Milestones!$AB$173&amp;" "&amp;IF(AND(Milestones!$AB$173="FT",Milestones!$AA$173=FT_Y5,EDATE($D109,Milestones!$AA$173)&lt;PolicyEff),1,Milestones!$AC$173)&amp;";  ","")&amp;IF(AND(EDATE($D109,Milestones!$AA$174)&lt;=AsOfDate,EDATE($D109,Milestones!$AA$174)&gt;=SchemeStart,IF($X109=0,$AD109,IF(AND($Z109&lt;&gt;"",EDATE($D109,Milestones!$AA$174)&gt;=$Z109),$AC109,IF(AND($Y109&lt;&gt;"",EDATE($D109,Milestones!$AA$174)&gt;=$Y109),$AB109,$AA109)))=Milestones!$AB$174),UPPER(TEXT(EDATE($D109,Milestones!$AA$174),"dd mmm yy"))&amp;" "&amp;Milestones!$AB$174&amp;" "&amp;IF(AND(Milestones!$AB$174="FT",Milestones!$AA$174=FT_Y5,EDATE($D109,Milestones!$AA$174)&lt;PolicyEff),1,Milestones!$AC$174)&amp;";  ","")&amp;IF(AND(EDATE($D109,Milestones!$AA$175)&lt;=AsOfDate,EDATE($D109,Milestones!$AA$175)&gt;=SchemeStart,IF($X109=0,$AD109,IF(AND($Z109&lt;&gt;"",EDATE($D109,Milestones!$AA$175)&gt;=$Z109),$AC109,IF(AND($Y109&lt;&gt;"",EDATE($D109,Milestones!$AA$175)&gt;=$Y109),$AB109,$AA109)))=Milestones!$AB$175),UPPER(TEXT(EDATE($D109,Milestones!$AA$175),"dd mmm yy"))&amp;" "&amp;Milestones!$AB$175&amp;" "&amp;IF(AND(Milestones!$AB$175="FT",Milestones!$AA$175=FT_Y5,EDATE($D109,Milestones!$AA$175)&lt;PolicyEff),1,Milestones!$AC$175)&amp;";  ",""))</f>
        <v/>
      </c>
      <c r="V109" s="0" t="str">
        <f aca="false">IF(OR($A109="",$D109=""),"",IF(AND(EDATE($D109,Milestones!$AA$176)&lt;=AsOfDate,EDATE($D109,Milestones!$AA$176)&gt;=SchemeStart,IF($X109=0,$AD109,IF(AND($Z109&lt;&gt;"",EDATE($D109,Milestones!$AA$176)&gt;=$Z109),$AC109,IF(AND($Y109&lt;&gt;"",EDATE($D109,Milestones!$AA$176)&gt;=$Y109),$AB109,$AA109)))=Milestones!$AB$176),UPPER(TEXT(EDATE($D109,Milestones!$AA$176),"dd mmm yy"))&amp;" "&amp;Milestones!$AB$176&amp;" "&amp;IF(AND(Milestones!$AB$176="FT",Milestones!$AA$176=FT_Y5,EDATE($D109,Milestones!$AA$176)&lt;PolicyEff),1,Milestones!$AC$176)&amp;";  ","")&amp;IF(AND(EDATE($D109,Milestones!$AA$177)&lt;=AsOfDate,EDATE($D109,Milestones!$AA$177)&gt;=SchemeStart,IF($X109=0,$AD109,IF(AND($Z109&lt;&gt;"",EDATE($D109,Milestones!$AA$177)&gt;=$Z109),$AC109,IF(AND($Y109&lt;&gt;"",EDATE($D109,Milestones!$AA$177)&gt;=$Y109),$AB109,$AA109)))=Milestones!$AB$177),UPPER(TEXT(EDATE($D109,Milestones!$AA$177),"dd mmm yy"))&amp;" "&amp;Milestones!$AB$177&amp;" "&amp;IF(AND(Milestones!$AB$177="FT",Milestones!$AA$177=FT_Y5,EDATE($D109,Milestones!$AA$177)&lt;PolicyEff),1,Milestones!$AC$177)&amp;";  ","")&amp;IF(AND(EDATE($D109,Milestones!$AA$178)&lt;=AsOfDate,EDATE($D109,Milestones!$AA$178)&gt;=SchemeStart,IF($X109=0,$AD109,IF(AND($Z109&lt;&gt;"",EDATE($D109,Milestones!$AA$178)&gt;=$Z109),$AC109,IF(AND($Y109&lt;&gt;"",EDATE($D109,Milestones!$AA$178)&gt;=$Y109),$AB109,$AA109)))=Milestones!$AB$178),UPPER(TEXT(EDATE($D109,Milestones!$AA$178),"dd mmm yy"))&amp;" "&amp;Milestones!$AB$178&amp;" "&amp;IF(AND(Milestones!$AB$178="FT",Milestones!$AA$178=FT_Y5,EDATE($D109,Milestones!$AA$178)&lt;PolicyEff),1,Milestones!$AC$178)&amp;";  ","")&amp;IF(AND(EDATE($D109,Milestones!$AA$179)&lt;=AsOfDate,EDATE($D109,Milestones!$AA$179)&gt;=SchemeStart,IF($X109=0,$AD109,IF(AND($Z109&lt;&gt;"",EDATE($D109,Milestones!$AA$179)&gt;=$Z109),$AC109,IF(AND($Y109&lt;&gt;"",EDATE($D109,Milestones!$AA$179)&gt;=$Y109),$AB109,$AA109)))=Milestones!$AB$179),UPPER(TEXT(EDATE($D109,Milestones!$AA$179),"dd mmm yy"))&amp;" "&amp;Milestones!$AB$179&amp;" "&amp;IF(AND(Milestones!$AB$179="FT",Milestones!$AA$179=FT_Y5,EDATE($D109,Milestones!$AA$179)&lt;PolicyEff),1,Milestones!$AC$179)&amp;";  ","")&amp;IF(AND(EDATE($D109,Milestones!$AA$180)&lt;=AsOfDate,EDATE($D109,Milestones!$AA$180)&gt;=SchemeStart,IF($X109=0,$AD109,IF(AND($Z109&lt;&gt;"",EDATE($D109,Milestones!$AA$180)&gt;=$Z109),$AC109,IF(AND($Y109&lt;&gt;"",EDATE($D109,Milestones!$AA$180)&gt;=$Y109),$AB109,$AA109)))=Milestones!$AB$180),UPPER(TEXT(EDATE($D109,Milestones!$AA$180),"dd mmm yy"))&amp;" "&amp;Milestones!$AB$180&amp;" "&amp;IF(AND(Milestones!$AB$180="FT",Milestones!$AA$180=FT_Y5,EDATE($D109,Milestones!$AA$180)&lt;PolicyEff),1,Milestones!$AC$180)&amp;";  ","")&amp;IF(AND(EDATE($D109,Milestones!$AA$181)&lt;=AsOfDate,EDATE($D109,Milestones!$AA$181)&gt;=SchemeStart,IF($X109=0,$AD109,IF(AND($Z109&lt;&gt;"",EDATE($D109,Milestones!$AA$181)&gt;=$Z109),$AC109,IF(AND($Y109&lt;&gt;"",EDATE($D109,Milestones!$AA$181)&gt;=$Y109),$AB109,$AA109)))=Milestones!$AB$181),UPPER(TEXT(EDATE($D109,Milestones!$AA$181),"dd mmm yy"))&amp;" "&amp;Milestones!$AB$181&amp;" "&amp;IF(AND(Milestones!$AB$181="FT",Milestones!$AA$181=FT_Y5,EDATE($D109,Milestones!$AA$181)&lt;PolicyEff),1,Milestones!$AC$181)&amp;";  ","")&amp;IF(AND(EDATE($D109,Milestones!$AA$182)&lt;=AsOfDate,EDATE($D109,Milestones!$AA$182)&gt;=SchemeStart,IF($X109=0,$AD109,IF(AND($Z109&lt;&gt;"",EDATE($D109,Milestones!$AA$182)&gt;=$Z109),$AC109,IF(AND($Y109&lt;&gt;"",EDATE($D109,Milestones!$AA$182)&gt;=$Y109),$AB109,$AA109)))=Milestones!$AB$182),UPPER(TEXT(EDATE($D109,Milestones!$AA$182),"dd mmm yy"))&amp;" "&amp;Milestones!$AB$182&amp;" "&amp;IF(AND(Milestones!$AB$182="FT",Milestones!$AA$182=FT_Y5,EDATE($D109,Milestones!$AA$182)&lt;PolicyEff),1,Milestones!$AC$182)&amp;";  ","")&amp;IF(AND(EDATE($D109,Milestones!$AA$183)&lt;=AsOfDate,EDATE($D109,Milestones!$AA$183)&gt;=SchemeStart,IF($X109=0,$AD109,IF(AND($Z109&lt;&gt;"",EDATE($D109,Milestones!$AA$183)&gt;=$Z109),$AC109,IF(AND($Y109&lt;&gt;"",EDATE($D109,Milestones!$AA$183)&gt;=$Y109),$AB109,$AA109)))=Milestones!$AB$183),UPPER(TEXT(EDATE($D109,Milestones!$AA$183),"dd mmm yy"))&amp;" "&amp;Milestones!$AB$183&amp;" "&amp;IF(AND(Milestones!$AB$183="FT",Milestones!$AA$183=FT_Y5,EDATE($D109,Milestones!$AA$183)&lt;PolicyEff),1,Milestones!$AC$183)&amp;";  ","")&amp;IF(AND(EDATE($D109,Milestones!$AA$184)&lt;=AsOfDate,EDATE($D109,Milestones!$AA$184)&gt;=SchemeStart,IF($X109=0,$AD109,IF(AND($Z109&lt;&gt;"",EDATE($D109,Milestones!$AA$184)&gt;=$Z109),$AC109,IF(AND($Y109&lt;&gt;"",EDATE($D109,Milestones!$AA$184)&gt;=$Y109),$AB109,$AA109)))=Milestones!$AB$184),UPPER(TEXT(EDATE($D109,Milestones!$AA$184),"dd mmm yy"))&amp;" "&amp;Milestones!$AB$184&amp;" "&amp;IF(AND(Milestones!$AB$184="FT",Milestones!$AA$184=FT_Y5,EDATE($D109,Milestones!$AA$184)&lt;PolicyEff),1,Milestones!$AC$184)&amp;";  ","")&amp;IF(AND(EDATE($D109,Milestones!$AA$185)&lt;=AsOfDate,EDATE($D109,Milestones!$AA$185)&gt;=SchemeStart,IF($X109=0,$AD109,IF(AND($Z109&lt;&gt;"",EDATE($D109,Milestones!$AA$185)&gt;=$Z109),$AC109,IF(AND($Y109&lt;&gt;"",EDATE($D109,Milestones!$AA$185)&gt;=$Y109),$AB109,$AA109)))=Milestones!$AB$185),UPPER(TEXT(EDATE($D109,Milestones!$AA$185),"dd mmm yy"))&amp;" "&amp;Milestones!$AB$185&amp;" "&amp;IF(AND(Milestones!$AB$185="FT",Milestones!$AA$185=FT_Y5,EDATE($D109,Milestones!$AA$185)&lt;PolicyEff),1,Milestones!$AC$185)&amp;";  ","")&amp;IF(AND(EDATE($D109,Milestones!$AA$186)&lt;=AsOfDate,EDATE($D109,Milestones!$AA$186)&gt;=SchemeStart,IF($X109=0,$AD109,IF(AND($Z109&lt;&gt;"",EDATE($D109,Milestones!$AA$186)&gt;=$Z109),$AC109,IF(AND($Y109&lt;&gt;"",EDATE($D109,Milestones!$AA$186)&gt;=$Y109),$AB109,$AA109)))=Milestones!$AB$186),UPPER(TEXT(EDATE($D109,Milestones!$AA$186),"dd mmm yy"))&amp;" "&amp;Milestones!$AB$186&amp;" "&amp;IF(AND(Milestones!$AB$186="FT",Milestones!$AA$186=FT_Y5,EDATE($D109,Milestones!$AA$186)&lt;PolicyEff),1,Milestones!$AC$186)&amp;";  ","")&amp;IF(AND(EDATE($D109,Milestones!$AA$187)&lt;=AsOfDate,EDATE($D109,Milestones!$AA$187)&gt;=SchemeStart,IF($X109=0,$AD109,IF(AND($Z109&lt;&gt;"",EDATE($D109,Milestones!$AA$187)&gt;=$Z109),$AC109,IF(AND($Y109&lt;&gt;"",EDATE($D109,Milestones!$AA$187)&gt;=$Y109),$AB109,$AA109)))=Milestones!$AB$187),UPPER(TEXT(EDATE($D109,Milestones!$AA$187),"dd mmm yy"))&amp;" "&amp;Milestones!$AB$187&amp;" "&amp;IF(AND(Milestones!$AB$187="FT",Milestones!$AA$187=FT_Y5,EDATE($D109,Milestones!$AA$187)&lt;PolicyEff),1,Milestones!$AC$187)&amp;";  ",""))</f>
        <v/>
      </c>
      <c r="W109" s="0" t="str">
        <f aca="false">IF(OR($A109="",$D109=""),"",IF(AND(EDATE($D109,Milestones!$AA$188)&lt;=AsOfDate,EDATE($D109,Milestones!$AA$188)&gt;=SchemeStart,IF($X109=0,$AD109,IF(AND($Z109&lt;&gt;"",EDATE($D109,Milestones!$AA$188)&gt;=$Z109),$AC109,IF(AND($Y109&lt;&gt;"",EDATE($D109,Milestones!$AA$188)&gt;=$Y109),$AB109,$AA109)))=Milestones!$AB$188),UPPER(TEXT(EDATE($D109,Milestones!$AA$188),"dd mmm yy"))&amp;" "&amp;Milestones!$AB$188&amp;" "&amp;IF(AND(Milestones!$AB$188="FT",Milestones!$AA$188=FT_Y5,EDATE($D109,Milestones!$AA$188)&lt;PolicyEff),1,Milestones!$AC$188)&amp;";  ","")&amp;IF(AND(EDATE($D109,Milestones!$AA$189)&lt;=AsOfDate,EDATE($D109,Milestones!$AA$189)&gt;=SchemeStart,IF($X109=0,$AD109,IF(AND($Z109&lt;&gt;"",EDATE($D109,Milestones!$AA$189)&gt;=$Z109),$AC109,IF(AND($Y109&lt;&gt;"",EDATE($D109,Milestones!$AA$189)&gt;=$Y109),$AB109,$AA109)))=Milestones!$AB$189),UPPER(TEXT(EDATE($D109,Milestones!$AA$189),"dd mmm yy"))&amp;" "&amp;Milestones!$AB$189&amp;" "&amp;IF(AND(Milestones!$AB$189="FT",Milestones!$AA$189=FT_Y5,EDATE($D109,Milestones!$AA$189)&lt;PolicyEff),1,Milestones!$AC$189)&amp;";  ","")&amp;IF(AND(EDATE($D109,Milestones!$AA$190)&lt;=AsOfDate,EDATE($D109,Milestones!$AA$190)&gt;=SchemeStart,IF($X109=0,$AD109,IF(AND($Z109&lt;&gt;"",EDATE($D109,Milestones!$AA$190)&gt;=$Z109),$AC109,IF(AND($Y109&lt;&gt;"",EDATE($D109,Milestones!$AA$190)&gt;=$Y109),$AB109,$AA109)))=Milestones!$AB$190),UPPER(TEXT(EDATE($D109,Milestones!$AA$190),"dd mmm yy"))&amp;" "&amp;Milestones!$AB$190&amp;" "&amp;IF(AND(Milestones!$AB$190="FT",Milestones!$AA$190=FT_Y5,EDATE($D109,Milestones!$AA$190)&lt;PolicyEff),1,Milestones!$AC$190)&amp;";  ","")&amp;IF(AND(EDATE($D109,Milestones!$AA$191)&lt;=AsOfDate,EDATE($D109,Milestones!$AA$191)&gt;=SchemeStart,IF($X109=0,$AD109,IF(AND($Z109&lt;&gt;"",EDATE($D109,Milestones!$AA$191)&gt;=$Z109),$AC109,IF(AND($Y109&lt;&gt;"",EDATE($D109,Milestones!$AA$191)&gt;=$Y109),$AB109,$AA109)))=Milestones!$AB$191),UPPER(TEXT(EDATE($D109,Milestones!$AA$191),"dd mmm yy"))&amp;" "&amp;Milestones!$AB$191&amp;" "&amp;IF(AND(Milestones!$AB$191="FT",Milestones!$AA$191=FT_Y5,EDATE($D109,Milestones!$AA$191)&lt;PolicyEff),1,Milestones!$AC$191)&amp;";  ","")&amp;IF(AND(EDATE($D109,Milestones!$AA$192)&lt;=AsOfDate,EDATE($D109,Milestones!$AA$192)&gt;=SchemeStart,IF($X109=0,$AD109,IF(AND($Z109&lt;&gt;"",EDATE($D109,Milestones!$AA$192)&gt;=$Z109),$AC109,IF(AND($Y109&lt;&gt;"",EDATE($D109,Milestones!$AA$192)&gt;=$Y109),$AB109,$AA109)))=Milestones!$AB$192),UPPER(TEXT(EDATE($D109,Milestones!$AA$192),"dd mmm yy"))&amp;" "&amp;Milestones!$AB$192&amp;" "&amp;IF(AND(Milestones!$AB$192="FT",Milestones!$AA$192=FT_Y5,EDATE($D109,Milestones!$AA$192)&lt;PolicyEff),1,Milestones!$AC$192)&amp;";  ","")&amp;IF(AND(EDATE($D109,Milestones!$AA$193)&lt;=AsOfDate,EDATE($D109,Milestones!$AA$193)&gt;=SchemeStart,IF($X109=0,$AD109,IF(AND($Z109&lt;&gt;"",EDATE($D109,Milestones!$AA$193)&gt;=$Z109),$AC109,IF(AND($Y109&lt;&gt;"",EDATE($D109,Milestones!$AA$193)&gt;=$Y109),$AB109,$AA109)))=Milestones!$AB$193),UPPER(TEXT(EDATE($D109,Milestones!$AA$193),"dd mmm yy"))&amp;" "&amp;Milestones!$AB$193&amp;" "&amp;IF(AND(Milestones!$AB$193="FT",Milestones!$AA$193=FT_Y5,EDATE($D109,Milestones!$AA$193)&lt;PolicyEff),1,Milestones!$AC$193)&amp;";  ","")&amp;IF(AND(EDATE($D109,Milestones!$AA$194)&lt;=AsOfDate,EDATE($D109,Milestones!$AA$194)&gt;=SchemeStart,IF($X109=0,$AD109,IF(AND($Z109&lt;&gt;"",EDATE($D109,Milestones!$AA$194)&gt;=$Z109),$AC109,IF(AND($Y109&lt;&gt;"",EDATE($D109,Milestones!$AA$194)&gt;=$Y109),$AB109,$AA109)))=Milestones!$AB$194),UPPER(TEXT(EDATE($D109,Milestones!$AA$194),"dd mmm yy"))&amp;" "&amp;Milestones!$AB$194&amp;" "&amp;IF(AND(Milestones!$AB$194="FT",Milestones!$AA$194=FT_Y5,EDATE($D109,Milestones!$AA$194)&lt;PolicyEff),1,Milestones!$AC$194)&amp;";  ","")&amp;IF(AND(EDATE($D109,Milestones!$AA$195)&lt;=AsOfDate,EDATE($D109,Milestones!$AA$195)&gt;=SchemeStart,IF($X109=0,$AD109,IF(AND($Z109&lt;&gt;"",EDATE($D109,Milestones!$AA$195)&gt;=$Z109),$AC109,IF(AND($Y109&lt;&gt;"",EDATE($D109,Milestones!$AA$195)&gt;=$Y109),$AB109,$AA109)))=Milestones!$AB$195),UPPER(TEXT(EDATE($D109,Milestones!$AA$195),"dd mmm yy"))&amp;" "&amp;Milestones!$AB$195&amp;" "&amp;IF(AND(Milestones!$AB$195="FT",Milestones!$AA$195=FT_Y5,EDATE($D109,Milestones!$AA$195)&lt;PolicyEff),1,Milestones!$AC$195)&amp;";  ","")&amp;IF(AND(EDATE($D109,Milestones!$AA$196)&lt;=AsOfDate,EDATE($D109,Milestones!$AA$196)&gt;=SchemeStart,IF($X109=0,$AD109,IF(AND($Z109&lt;&gt;"",EDATE($D109,Milestones!$AA$196)&gt;=$Z109),$AC109,IF(AND($Y109&lt;&gt;"",EDATE($D109,Milestones!$AA$196)&gt;=$Y109),$AB109,$AA109)))=Milestones!$AB$196),UPPER(TEXT(EDATE($D109,Milestones!$AA$196),"dd mmm yy"))&amp;" "&amp;Milestones!$AB$196&amp;" "&amp;IF(AND(Milestones!$AB$196="FT",Milestones!$AA$196=FT_Y5,EDATE($D109,Milestones!$AA$196)&lt;PolicyEff),1,Milestones!$AC$196)&amp;";  ","")&amp;IF(AND(EDATE($D109,Milestones!$AA$197)&lt;=AsOfDate,EDATE($D109,Milestones!$AA$197)&gt;=SchemeStart,IF($X109=0,$AD109,IF(AND($Z109&lt;&gt;"",EDATE($D109,Milestones!$AA$197)&gt;=$Z109),$AC109,IF(AND($Y109&lt;&gt;"",EDATE($D109,Milestones!$AA$197)&gt;=$Y109),$AB109,$AA109)))=Milestones!$AB$197),UPPER(TEXT(EDATE($D109,Milestones!$AA$197),"dd mmm yy"))&amp;" "&amp;Milestones!$AB$197&amp;" "&amp;IF(AND(Milestones!$AB$197="FT",Milestones!$AA$197=FT_Y5,EDATE($D109,Milestones!$AA$197)&lt;PolicyEff),1,Milestones!$AC$197)&amp;";  ","")&amp;IF(AND(EDATE($D109,Milestones!$AA$198)&lt;=AsOfDate,EDATE($D109,Milestones!$AA$198)&gt;=SchemeStart,IF($X109=0,$AD109,IF(AND($Z109&lt;&gt;"",EDATE($D109,Milestones!$AA$198)&gt;=$Z109),$AC109,IF(AND($Y109&lt;&gt;"",EDATE($D109,Milestones!$AA$198)&gt;=$Y109),$AB109,$AA109)))=Milestones!$AB$198),UPPER(TEXT(EDATE($D109,Milestones!$AA$198),"dd mmm yy"))&amp;" "&amp;Milestones!$AB$198&amp;" "&amp;IF(AND(Milestones!$AB$198="FT",Milestones!$AA$198=FT_Y5,EDATE($D109,Milestones!$AA$198)&lt;PolicyEff),1,Milestones!$AC$198)&amp;";  ","")&amp;IF(AND(EDATE($D109,Milestones!$AA$199)&lt;=AsOfDate,EDATE($D109,Milestones!$AA$199)&gt;=SchemeStart,IF($X109=0,$AD109,IF(AND($Z109&lt;&gt;"",EDATE($D109,Milestones!$AA$199)&gt;=$Z109),$AC109,IF(AND($Y109&lt;&gt;"",EDATE($D109,Milestones!$AA$199)&gt;=$Y109),$AB109,$AA109)))=Milestones!$AB$199),UPPER(TEXT(EDATE($D109,Milestones!$AA$199),"dd mmm yy"))&amp;" "&amp;Milestones!$AB$199&amp;" "&amp;IF(AND(Milestones!$AB$199="FT",Milestones!$AA$199=FT_Y5,EDATE($D109,Milestones!$AA$199)&lt;PolicyEff),1,Milestones!$AC$199)&amp;";  ",""))</f>
        <v/>
      </c>
      <c r="X109" s="0" t="str">
        <f aca="false">IF(Staff!$A109="","",Staff!$AM109)</f>
        <v/>
      </c>
      <c r="Y109" s="0" t="str">
        <f aca="false">IF(Staff!$A109="","",Staff!$AO109)</f>
        <v/>
      </c>
      <c r="Z109" s="0" t="str">
        <f aca="false">IF(Staff!$A109="","",Staff!$AP109)</f>
        <v/>
      </c>
      <c r="AA109" s="0" t="str">
        <f aca="false">IF(Staff!$A109="","",Staff!$AT109)</f>
        <v/>
      </c>
      <c r="AB109" s="0" t="str">
        <f aca="false">IF(Staff!$A109="","",Staff!$AU109)</f>
        <v/>
      </c>
      <c r="AC109" s="0" t="str">
        <f aca="false">IF(Staff!$A109="","",Staff!$AV109)</f>
        <v/>
      </c>
      <c r="AD109" s="0" t="str">
        <f aca="false">IF(Staff!$A109="","",Staff!$AW109)</f>
        <v/>
      </c>
    </row>
    <row r="110" customFormat="false" ht="15" hidden="false" customHeight="false" outlineLevel="0" collapsed="false">
      <c r="A110" s="16" t="str">
        <f aca="false">IF(Staff!$A110="","",Staff!$A110)</f>
        <v/>
      </c>
      <c r="B110" s="16" t="str">
        <f aca="false">IF(Staff!$A110="","",Staff!$B110)</f>
        <v/>
      </c>
      <c r="C110" s="16" t="str">
        <f aca="false">IF(Staff!$A110="","",Staff!$C110)</f>
        <v/>
      </c>
      <c r="D110" s="14" t="str">
        <f aca="false">IF(Staff!$A110="","",Staff!$AL110)</f>
        <v/>
      </c>
      <c r="E110" s="16" t="str">
        <f aca="false">IF(Staff!$A110="","",Staff!$O110)</f>
        <v/>
      </c>
      <c r="F110" s="16" t="str">
        <f aca="false">IF(E110="","",E110*HoursPerDay)</f>
        <v/>
      </c>
      <c r="G110" s="16" t="str">
        <f aca="false">IF(Staff!$A110="","",Staff!$AE110)</f>
        <v/>
      </c>
      <c r="H110" s="28" t="str">
        <f aca="false">IF($A110="","",I110&amp;J110&amp;K110&amp;L110&amp;M110&amp;N110&amp;O110&amp;P110&amp;Q110&amp;R110&amp;S110&amp;T110&amp;U110&amp;V110&amp;W110)</f>
        <v/>
      </c>
      <c r="I110" s="0" t="str">
        <f aca="false">IF(OR($A110="",$D110=""),"",IF(AND(EDATE($D110,Milestones!$AA$20)&lt;=AsOfDate,EDATE($D110,Milestones!$AA$20)&gt;=SchemeStart,IF($X110=0,$AD110,IF(AND($Z110&lt;&gt;"",EDATE($D110,Milestones!$AA$20)&gt;=$Z110),$AC110,IF(AND($Y110&lt;&gt;"",EDATE($D110,Milestones!$AA$20)&gt;=$Y110),$AB110,$AA110)))=Milestones!$AB$20),UPPER(TEXT(EDATE($D110,Milestones!$AA$20),"dd mmm yy"))&amp;" "&amp;Milestones!$AB$20&amp;" "&amp;IF(AND(Milestones!$AB$20="FT",Milestones!$AA$20=FT_Y5,EDATE($D110,Milestones!$AA$20)&lt;PolicyEff),1,Milestones!$AC$20)&amp;";  ","")&amp;IF(AND(EDATE($D110,Milestones!$AA$21)&lt;=AsOfDate,EDATE($D110,Milestones!$AA$21)&gt;=SchemeStart,IF($X110=0,$AD110,IF(AND($Z110&lt;&gt;"",EDATE($D110,Milestones!$AA$21)&gt;=$Z110),$AC110,IF(AND($Y110&lt;&gt;"",EDATE($D110,Milestones!$AA$21)&gt;=$Y110),$AB110,$AA110)))=Milestones!$AB$21),UPPER(TEXT(EDATE($D110,Milestones!$AA$21),"dd mmm yy"))&amp;" "&amp;Milestones!$AB$21&amp;" "&amp;IF(AND(Milestones!$AB$21="FT",Milestones!$AA$21=FT_Y5,EDATE($D110,Milestones!$AA$21)&lt;PolicyEff),1,Milestones!$AC$21)&amp;";  ","")&amp;IF(AND(EDATE($D110,Milestones!$AA$22)&lt;=AsOfDate,EDATE($D110,Milestones!$AA$22)&gt;=SchemeStart,IF($X110=0,$AD110,IF(AND($Z110&lt;&gt;"",EDATE($D110,Milestones!$AA$22)&gt;=$Z110),$AC110,IF(AND($Y110&lt;&gt;"",EDATE($D110,Milestones!$AA$22)&gt;=$Y110),$AB110,$AA110)))=Milestones!$AB$22),UPPER(TEXT(EDATE($D110,Milestones!$AA$22),"dd mmm yy"))&amp;" "&amp;Milestones!$AB$22&amp;" "&amp;IF(AND(Milestones!$AB$22="FT",Milestones!$AA$22=FT_Y5,EDATE($D110,Milestones!$AA$22)&lt;PolicyEff),1,Milestones!$AC$22)&amp;";  ","")&amp;IF(AND(EDATE($D110,Milestones!$AA$23)&lt;=AsOfDate,EDATE($D110,Milestones!$AA$23)&gt;=SchemeStart,IF($X110=0,$AD110,IF(AND($Z110&lt;&gt;"",EDATE($D110,Milestones!$AA$23)&gt;=$Z110),$AC110,IF(AND($Y110&lt;&gt;"",EDATE($D110,Milestones!$AA$23)&gt;=$Y110),$AB110,$AA110)))=Milestones!$AB$23),UPPER(TEXT(EDATE($D110,Milestones!$AA$23),"dd mmm yy"))&amp;" "&amp;Milestones!$AB$23&amp;" "&amp;IF(AND(Milestones!$AB$23="FT",Milestones!$AA$23=FT_Y5,EDATE($D110,Milestones!$AA$23)&lt;PolicyEff),1,Milestones!$AC$23)&amp;";  ","")&amp;IF(AND(EDATE($D110,Milestones!$AA$24)&lt;=AsOfDate,EDATE($D110,Milestones!$AA$24)&gt;=SchemeStart,IF($X110=0,$AD110,IF(AND($Z110&lt;&gt;"",EDATE($D110,Milestones!$AA$24)&gt;=$Z110),$AC110,IF(AND($Y110&lt;&gt;"",EDATE($D110,Milestones!$AA$24)&gt;=$Y110),$AB110,$AA110)))=Milestones!$AB$24),UPPER(TEXT(EDATE($D110,Milestones!$AA$24),"dd mmm yy"))&amp;" "&amp;Milestones!$AB$24&amp;" "&amp;IF(AND(Milestones!$AB$24="FT",Milestones!$AA$24=FT_Y5,EDATE($D110,Milestones!$AA$24)&lt;PolicyEff),1,Milestones!$AC$24)&amp;";  ","")&amp;IF(AND(EDATE($D110,Milestones!$AA$25)&lt;=AsOfDate,EDATE($D110,Milestones!$AA$25)&gt;=SchemeStart,IF($X110=0,$AD110,IF(AND($Z110&lt;&gt;"",EDATE($D110,Milestones!$AA$25)&gt;=$Z110),$AC110,IF(AND($Y110&lt;&gt;"",EDATE($D110,Milestones!$AA$25)&gt;=$Y110),$AB110,$AA110)))=Milestones!$AB$25),UPPER(TEXT(EDATE($D110,Milestones!$AA$25),"dd mmm yy"))&amp;" "&amp;Milestones!$AB$25&amp;" "&amp;IF(AND(Milestones!$AB$25="FT",Milestones!$AA$25=FT_Y5,EDATE($D110,Milestones!$AA$25)&lt;PolicyEff),1,Milestones!$AC$25)&amp;";  ","")&amp;IF(AND(EDATE($D110,Milestones!$AA$26)&lt;=AsOfDate,EDATE($D110,Milestones!$AA$26)&gt;=SchemeStart,IF($X110=0,$AD110,IF(AND($Z110&lt;&gt;"",EDATE($D110,Milestones!$AA$26)&gt;=$Z110),$AC110,IF(AND($Y110&lt;&gt;"",EDATE($D110,Milestones!$AA$26)&gt;=$Y110),$AB110,$AA110)))=Milestones!$AB$26),UPPER(TEXT(EDATE($D110,Milestones!$AA$26),"dd mmm yy"))&amp;" "&amp;Milestones!$AB$26&amp;" "&amp;IF(AND(Milestones!$AB$26="FT",Milestones!$AA$26=FT_Y5,EDATE($D110,Milestones!$AA$26)&lt;PolicyEff),1,Milestones!$AC$26)&amp;";  ","")&amp;IF(AND(EDATE($D110,Milestones!$AA$27)&lt;=AsOfDate,EDATE($D110,Milestones!$AA$27)&gt;=SchemeStart,IF($X110=0,$AD110,IF(AND($Z110&lt;&gt;"",EDATE($D110,Milestones!$AA$27)&gt;=$Z110),$AC110,IF(AND($Y110&lt;&gt;"",EDATE($D110,Milestones!$AA$27)&gt;=$Y110),$AB110,$AA110)))=Milestones!$AB$27),UPPER(TEXT(EDATE($D110,Milestones!$AA$27),"dd mmm yy"))&amp;" "&amp;Milestones!$AB$27&amp;" "&amp;IF(AND(Milestones!$AB$27="FT",Milestones!$AA$27=FT_Y5,EDATE($D110,Milestones!$AA$27)&lt;PolicyEff),1,Milestones!$AC$27)&amp;";  ","")&amp;IF(AND(EDATE($D110,Milestones!$AA$28)&lt;=AsOfDate,EDATE($D110,Milestones!$AA$28)&gt;=SchemeStart,IF($X110=0,$AD110,IF(AND($Z110&lt;&gt;"",EDATE($D110,Milestones!$AA$28)&gt;=$Z110),$AC110,IF(AND($Y110&lt;&gt;"",EDATE($D110,Milestones!$AA$28)&gt;=$Y110),$AB110,$AA110)))=Milestones!$AB$28),UPPER(TEXT(EDATE($D110,Milestones!$AA$28),"dd mmm yy"))&amp;" "&amp;Milestones!$AB$28&amp;" "&amp;IF(AND(Milestones!$AB$28="FT",Milestones!$AA$28=FT_Y5,EDATE($D110,Milestones!$AA$28)&lt;PolicyEff),1,Milestones!$AC$28)&amp;";  ","")&amp;IF(AND(EDATE($D110,Milestones!$AA$29)&lt;=AsOfDate,EDATE($D110,Milestones!$AA$29)&gt;=SchemeStart,IF($X110=0,$AD110,IF(AND($Z110&lt;&gt;"",EDATE($D110,Milestones!$AA$29)&gt;=$Z110),$AC110,IF(AND($Y110&lt;&gt;"",EDATE($D110,Milestones!$AA$29)&gt;=$Y110),$AB110,$AA110)))=Milestones!$AB$29),UPPER(TEXT(EDATE($D110,Milestones!$AA$29),"dd mmm yy"))&amp;" "&amp;Milestones!$AB$29&amp;" "&amp;IF(AND(Milestones!$AB$29="FT",Milestones!$AA$29=FT_Y5,EDATE($D110,Milestones!$AA$29)&lt;PolicyEff),1,Milestones!$AC$29)&amp;";  ","")&amp;IF(AND(EDATE($D110,Milestones!$AA$30)&lt;=AsOfDate,EDATE($D110,Milestones!$AA$30)&gt;=SchemeStart,IF($X110=0,$AD110,IF(AND($Z110&lt;&gt;"",EDATE($D110,Milestones!$AA$30)&gt;=$Z110),$AC110,IF(AND($Y110&lt;&gt;"",EDATE($D110,Milestones!$AA$30)&gt;=$Y110),$AB110,$AA110)))=Milestones!$AB$30),UPPER(TEXT(EDATE($D110,Milestones!$AA$30),"dd mmm yy"))&amp;" "&amp;Milestones!$AB$30&amp;" "&amp;IF(AND(Milestones!$AB$30="FT",Milestones!$AA$30=FT_Y5,EDATE($D110,Milestones!$AA$30)&lt;PolicyEff),1,Milestones!$AC$30)&amp;";  ","")&amp;IF(AND(EDATE($D110,Milestones!$AA$31)&lt;=AsOfDate,EDATE($D110,Milestones!$AA$31)&gt;=SchemeStart,IF($X110=0,$AD110,IF(AND($Z110&lt;&gt;"",EDATE($D110,Milestones!$AA$31)&gt;=$Z110),$AC110,IF(AND($Y110&lt;&gt;"",EDATE($D110,Milestones!$AA$31)&gt;=$Y110),$AB110,$AA110)))=Milestones!$AB$31),UPPER(TEXT(EDATE($D110,Milestones!$AA$31),"dd mmm yy"))&amp;" "&amp;Milestones!$AB$31&amp;" "&amp;IF(AND(Milestones!$AB$31="FT",Milestones!$AA$31=FT_Y5,EDATE($D110,Milestones!$AA$31)&lt;PolicyEff),1,Milestones!$AC$31)&amp;";  ",""))</f>
        <v/>
      </c>
      <c r="J110" s="0" t="str">
        <f aca="false">IF(OR($A110="",$D110=""),"",IF(AND(EDATE($D110,Milestones!$AA$32)&lt;=AsOfDate,EDATE($D110,Milestones!$AA$32)&gt;=SchemeStart,IF($X110=0,$AD110,IF(AND($Z110&lt;&gt;"",EDATE($D110,Milestones!$AA$32)&gt;=$Z110),$AC110,IF(AND($Y110&lt;&gt;"",EDATE($D110,Milestones!$AA$32)&gt;=$Y110),$AB110,$AA110)))=Milestones!$AB$32),UPPER(TEXT(EDATE($D110,Milestones!$AA$32),"dd mmm yy"))&amp;" "&amp;Milestones!$AB$32&amp;" "&amp;IF(AND(Milestones!$AB$32="FT",Milestones!$AA$32=FT_Y5,EDATE($D110,Milestones!$AA$32)&lt;PolicyEff),1,Milestones!$AC$32)&amp;";  ","")&amp;IF(AND(EDATE($D110,Milestones!$AA$33)&lt;=AsOfDate,EDATE($D110,Milestones!$AA$33)&gt;=SchemeStart,IF($X110=0,$AD110,IF(AND($Z110&lt;&gt;"",EDATE($D110,Milestones!$AA$33)&gt;=$Z110),$AC110,IF(AND($Y110&lt;&gt;"",EDATE($D110,Milestones!$AA$33)&gt;=$Y110),$AB110,$AA110)))=Milestones!$AB$33),UPPER(TEXT(EDATE($D110,Milestones!$AA$33),"dd mmm yy"))&amp;" "&amp;Milestones!$AB$33&amp;" "&amp;IF(AND(Milestones!$AB$33="FT",Milestones!$AA$33=FT_Y5,EDATE($D110,Milestones!$AA$33)&lt;PolicyEff),1,Milestones!$AC$33)&amp;";  ","")&amp;IF(AND(EDATE($D110,Milestones!$AA$34)&lt;=AsOfDate,EDATE($D110,Milestones!$AA$34)&gt;=SchemeStart,IF($X110=0,$AD110,IF(AND($Z110&lt;&gt;"",EDATE($D110,Milestones!$AA$34)&gt;=$Z110),$AC110,IF(AND($Y110&lt;&gt;"",EDATE($D110,Milestones!$AA$34)&gt;=$Y110),$AB110,$AA110)))=Milestones!$AB$34),UPPER(TEXT(EDATE($D110,Milestones!$AA$34),"dd mmm yy"))&amp;" "&amp;Milestones!$AB$34&amp;" "&amp;IF(AND(Milestones!$AB$34="FT",Milestones!$AA$34=FT_Y5,EDATE($D110,Milestones!$AA$34)&lt;PolicyEff),1,Milestones!$AC$34)&amp;";  ","")&amp;IF(AND(EDATE($D110,Milestones!$AA$35)&lt;=AsOfDate,EDATE($D110,Milestones!$AA$35)&gt;=SchemeStart,IF($X110=0,$AD110,IF(AND($Z110&lt;&gt;"",EDATE($D110,Milestones!$AA$35)&gt;=$Z110),$AC110,IF(AND($Y110&lt;&gt;"",EDATE($D110,Milestones!$AA$35)&gt;=$Y110),$AB110,$AA110)))=Milestones!$AB$35),UPPER(TEXT(EDATE($D110,Milestones!$AA$35),"dd mmm yy"))&amp;" "&amp;Milestones!$AB$35&amp;" "&amp;IF(AND(Milestones!$AB$35="FT",Milestones!$AA$35=FT_Y5,EDATE($D110,Milestones!$AA$35)&lt;PolicyEff),1,Milestones!$AC$35)&amp;";  ","")&amp;IF(AND(EDATE($D110,Milestones!$AA$36)&lt;=AsOfDate,EDATE($D110,Milestones!$AA$36)&gt;=SchemeStart,IF($X110=0,$AD110,IF(AND($Z110&lt;&gt;"",EDATE($D110,Milestones!$AA$36)&gt;=$Z110),$AC110,IF(AND($Y110&lt;&gt;"",EDATE($D110,Milestones!$AA$36)&gt;=$Y110),$AB110,$AA110)))=Milestones!$AB$36),UPPER(TEXT(EDATE($D110,Milestones!$AA$36),"dd mmm yy"))&amp;" "&amp;Milestones!$AB$36&amp;" "&amp;IF(AND(Milestones!$AB$36="FT",Milestones!$AA$36=FT_Y5,EDATE($D110,Milestones!$AA$36)&lt;PolicyEff),1,Milestones!$AC$36)&amp;";  ","")&amp;IF(AND(EDATE($D110,Milestones!$AA$37)&lt;=AsOfDate,EDATE($D110,Milestones!$AA$37)&gt;=SchemeStart,IF($X110=0,$AD110,IF(AND($Z110&lt;&gt;"",EDATE($D110,Milestones!$AA$37)&gt;=$Z110),$AC110,IF(AND($Y110&lt;&gt;"",EDATE($D110,Milestones!$AA$37)&gt;=$Y110),$AB110,$AA110)))=Milestones!$AB$37),UPPER(TEXT(EDATE($D110,Milestones!$AA$37),"dd mmm yy"))&amp;" "&amp;Milestones!$AB$37&amp;" "&amp;IF(AND(Milestones!$AB$37="FT",Milestones!$AA$37=FT_Y5,EDATE($D110,Milestones!$AA$37)&lt;PolicyEff),1,Milestones!$AC$37)&amp;";  ","")&amp;IF(AND(EDATE($D110,Milestones!$AA$38)&lt;=AsOfDate,EDATE($D110,Milestones!$AA$38)&gt;=SchemeStart,IF($X110=0,$AD110,IF(AND($Z110&lt;&gt;"",EDATE($D110,Milestones!$AA$38)&gt;=$Z110),$AC110,IF(AND($Y110&lt;&gt;"",EDATE($D110,Milestones!$AA$38)&gt;=$Y110),$AB110,$AA110)))=Milestones!$AB$38),UPPER(TEXT(EDATE($D110,Milestones!$AA$38),"dd mmm yy"))&amp;" "&amp;Milestones!$AB$38&amp;" "&amp;IF(AND(Milestones!$AB$38="FT",Milestones!$AA$38=FT_Y5,EDATE($D110,Milestones!$AA$38)&lt;PolicyEff),1,Milestones!$AC$38)&amp;";  ","")&amp;IF(AND(EDATE($D110,Milestones!$AA$39)&lt;=AsOfDate,EDATE($D110,Milestones!$AA$39)&gt;=SchemeStart,IF($X110=0,$AD110,IF(AND($Z110&lt;&gt;"",EDATE($D110,Milestones!$AA$39)&gt;=$Z110),$AC110,IF(AND($Y110&lt;&gt;"",EDATE($D110,Milestones!$AA$39)&gt;=$Y110),$AB110,$AA110)))=Milestones!$AB$39),UPPER(TEXT(EDATE($D110,Milestones!$AA$39),"dd mmm yy"))&amp;" "&amp;Milestones!$AB$39&amp;" "&amp;IF(AND(Milestones!$AB$39="FT",Milestones!$AA$39=FT_Y5,EDATE($D110,Milestones!$AA$39)&lt;PolicyEff),1,Milestones!$AC$39)&amp;";  ","")&amp;IF(AND(EDATE($D110,Milestones!$AA$40)&lt;=AsOfDate,EDATE($D110,Milestones!$AA$40)&gt;=SchemeStart,IF($X110=0,$AD110,IF(AND($Z110&lt;&gt;"",EDATE($D110,Milestones!$AA$40)&gt;=$Z110),$AC110,IF(AND($Y110&lt;&gt;"",EDATE($D110,Milestones!$AA$40)&gt;=$Y110),$AB110,$AA110)))=Milestones!$AB$40),UPPER(TEXT(EDATE($D110,Milestones!$AA$40),"dd mmm yy"))&amp;" "&amp;Milestones!$AB$40&amp;" "&amp;IF(AND(Milestones!$AB$40="FT",Milestones!$AA$40=FT_Y5,EDATE($D110,Milestones!$AA$40)&lt;PolicyEff),1,Milestones!$AC$40)&amp;";  ","")&amp;IF(AND(EDATE($D110,Milestones!$AA$41)&lt;=AsOfDate,EDATE($D110,Milestones!$AA$41)&gt;=SchemeStart,IF($X110=0,$AD110,IF(AND($Z110&lt;&gt;"",EDATE($D110,Milestones!$AA$41)&gt;=$Z110),$AC110,IF(AND($Y110&lt;&gt;"",EDATE($D110,Milestones!$AA$41)&gt;=$Y110),$AB110,$AA110)))=Milestones!$AB$41),UPPER(TEXT(EDATE($D110,Milestones!$AA$41),"dd mmm yy"))&amp;" "&amp;Milestones!$AB$41&amp;" "&amp;IF(AND(Milestones!$AB$41="FT",Milestones!$AA$41=FT_Y5,EDATE($D110,Milestones!$AA$41)&lt;PolicyEff),1,Milestones!$AC$41)&amp;";  ","")&amp;IF(AND(EDATE($D110,Milestones!$AA$42)&lt;=AsOfDate,EDATE($D110,Milestones!$AA$42)&gt;=SchemeStart,IF($X110=0,$AD110,IF(AND($Z110&lt;&gt;"",EDATE($D110,Milestones!$AA$42)&gt;=$Z110),$AC110,IF(AND($Y110&lt;&gt;"",EDATE($D110,Milestones!$AA$42)&gt;=$Y110),$AB110,$AA110)))=Milestones!$AB$42),UPPER(TEXT(EDATE($D110,Milestones!$AA$42),"dd mmm yy"))&amp;" "&amp;Milestones!$AB$42&amp;" "&amp;IF(AND(Milestones!$AB$42="FT",Milestones!$AA$42=FT_Y5,EDATE($D110,Milestones!$AA$42)&lt;PolicyEff),1,Milestones!$AC$42)&amp;";  ","")&amp;IF(AND(EDATE($D110,Milestones!$AA$43)&lt;=AsOfDate,EDATE($D110,Milestones!$AA$43)&gt;=SchemeStart,IF($X110=0,$AD110,IF(AND($Z110&lt;&gt;"",EDATE($D110,Milestones!$AA$43)&gt;=$Z110),$AC110,IF(AND($Y110&lt;&gt;"",EDATE($D110,Milestones!$AA$43)&gt;=$Y110),$AB110,$AA110)))=Milestones!$AB$43),UPPER(TEXT(EDATE($D110,Milestones!$AA$43),"dd mmm yy"))&amp;" "&amp;Milestones!$AB$43&amp;" "&amp;IF(AND(Milestones!$AB$43="FT",Milestones!$AA$43=FT_Y5,EDATE($D110,Milestones!$AA$43)&lt;PolicyEff),1,Milestones!$AC$43)&amp;";  ",""))</f>
        <v/>
      </c>
      <c r="K110" s="0" t="str">
        <f aca="false">IF(OR($A110="",$D110=""),"",IF(AND(EDATE($D110,Milestones!$AA$44)&lt;=AsOfDate,EDATE($D110,Milestones!$AA$44)&gt;=SchemeStart,IF($X110=0,$AD110,IF(AND($Z110&lt;&gt;"",EDATE($D110,Milestones!$AA$44)&gt;=$Z110),$AC110,IF(AND($Y110&lt;&gt;"",EDATE($D110,Milestones!$AA$44)&gt;=$Y110),$AB110,$AA110)))=Milestones!$AB$44),UPPER(TEXT(EDATE($D110,Milestones!$AA$44),"dd mmm yy"))&amp;" "&amp;Milestones!$AB$44&amp;" "&amp;IF(AND(Milestones!$AB$44="FT",Milestones!$AA$44=FT_Y5,EDATE($D110,Milestones!$AA$44)&lt;PolicyEff),1,Milestones!$AC$44)&amp;";  ","")&amp;IF(AND(EDATE($D110,Milestones!$AA$45)&lt;=AsOfDate,EDATE($D110,Milestones!$AA$45)&gt;=SchemeStart,IF($X110=0,$AD110,IF(AND($Z110&lt;&gt;"",EDATE($D110,Milestones!$AA$45)&gt;=$Z110),$AC110,IF(AND($Y110&lt;&gt;"",EDATE($D110,Milestones!$AA$45)&gt;=$Y110),$AB110,$AA110)))=Milestones!$AB$45),UPPER(TEXT(EDATE($D110,Milestones!$AA$45),"dd mmm yy"))&amp;" "&amp;Milestones!$AB$45&amp;" "&amp;IF(AND(Milestones!$AB$45="FT",Milestones!$AA$45=FT_Y5,EDATE($D110,Milestones!$AA$45)&lt;PolicyEff),1,Milestones!$AC$45)&amp;";  ","")&amp;IF(AND(EDATE($D110,Milestones!$AA$46)&lt;=AsOfDate,EDATE($D110,Milestones!$AA$46)&gt;=SchemeStart,IF($X110=0,$AD110,IF(AND($Z110&lt;&gt;"",EDATE($D110,Milestones!$AA$46)&gt;=$Z110),$AC110,IF(AND($Y110&lt;&gt;"",EDATE($D110,Milestones!$AA$46)&gt;=$Y110),$AB110,$AA110)))=Milestones!$AB$46),UPPER(TEXT(EDATE($D110,Milestones!$AA$46),"dd mmm yy"))&amp;" "&amp;Milestones!$AB$46&amp;" "&amp;IF(AND(Milestones!$AB$46="FT",Milestones!$AA$46=FT_Y5,EDATE($D110,Milestones!$AA$46)&lt;PolicyEff),1,Milestones!$AC$46)&amp;";  ","")&amp;IF(AND(EDATE($D110,Milestones!$AA$47)&lt;=AsOfDate,EDATE($D110,Milestones!$AA$47)&gt;=SchemeStart,IF($X110=0,$AD110,IF(AND($Z110&lt;&gt;"",EDATE($D110,Milestones!$AA$47)&gt;=$Z110),$AC110,IF(AND($Y110&lt;&gt;"",EDATE($D110,Milestones!$AA$47)&gt;=$Y110),$AB110,$AA110)))=Milestones!$AB$47),UPPER(TEXT(EDATE($D110,Milestones!$AA$47),"dd mmm yy"))&amp;" "&amp;Milestones!$AB$47&amp;" "&amp;IF(AND(Milestones!$AB$47="FT",Milestones!$AA$47=FT_Y5,EDATE($D110,Milestones!$AA$47)&lt;PolicyEff),1,Milestones!$AC$47)&amp;";  ","")&amp;IF(AND(EDATE($D110,Milestones!$AA$48)&lt;=AsOfDate,EDATE($D110,Milestones!$AA$48)&gt;=SchemeStart,IF($X110=0,$AD110,IF(AND($Z110&lt;&gt;"",EDATE($D110,Milestones!$AA$48)&gt;=$Z110),$AC110,IF(AND($Y110&lt;&gt;"",EDATE($D110,Milestones!$AA$48)&gt;=$Y110),$AB110,$AA110)))=Milestones!$AB$48),UPPER(TEXT(EDATE($D110,Milestones!$AA$48),"dd mmm yy"))&amp;" "&amp;Milestones!$AB$48&amp;" "&amp;IF(AND(Milestones!$AB$48="FT",Milestones!$AA$48=FT_Y5,EDATE($D110,Milestones!$AA$48)&lt;PolicyEff),1,Milestones!$AC$48)&amp;";  ","")&amp;IF(AND(EDATE($D110,Milestones!$AA$49)&lt;=AsOfDate,EDATE($D110,Milestones!$AA$49)&gt;=SchemeStart,IF($X110=0,$AD110,IF(AND($Z110&lt;&gt;"",EDATE($D110,Milestones!$AA$49)&gt;=$Z110),$AC110,IF(AND($Y110&lt;&gt;"",EDATE($D110,Milestones!$AA$49)&gt;=$Y110),$AB110,$AA110)))=Milestones!$AB$49),UPPER(TEXT(EDATE($D110,Milestones!$AA$49),"dd mmm yy"))&amp;" "&amp;Milestones!$AB$49&amp;" "&amp;IF(AND(Milestones!$AB$49="FT",Milestones!$AA$49=FT_Y5,EDATE($D110,Milestones!$AA$49)&lt;PolicyEff),1,Milestones!$AC$49)&amp;";  ","")&amp;IF(AND(EDATE($D110,Milestones!$AA$50)&lt;=AsOfDate,EDATE($D110,Milestones!$AA$50)&gt;=SchemeStart,IF($X110=0,$AD110,IF(AND($Z110&lt;&gt;"",EDATE($D110,Milestones!$AA$50)&gt;=$Z110),$AC110,IF(AND($Y110&lt;&gt;"",EDATE($D110,Milestones!$AA$50)&gt;=$Y110),$AB110,$AA110)))=Milestones!$AB$50),UPPER(TEXT(EDATE($D110,Milestones!$AA$50),"dd mmm yy"))&amp;" "&amp;Milestones!$AB$50&amp;" "&amp;IF(AND(Milestones!$AB$50="FT",Milestones!$AA$50=FT_Y5,EDATE($D110,Milestones!$AA$50)&lt;PolicyEff),1,Milestones!$AC$50)&amp;";  ","")&amp;IF(AND(EDATE($D110,Milestones!$AA$51)&lt;=AsOfDate,EDATE($D110,Milestones!$AA$51)&gt;=SchemeStart,IF($X110=0,$AD110,IF(AND($Z110&lt;&gt;"",EDATE($D110,Milestones!$AA$51)&gt;=$Z110),$AC110,IF(AND($Y110&lt;&gt;"",EDATE($D110,Milestones!$AA$51)&gt;=$Y110),$AB110,$AA110)))=Milestones!$AB$51),UPPER(TEXT(EDATE($D110,Milestones!$AA$51),"dd mmm yy"))&amp;" "&amp;Milestones!$AB$51&amp;" "&amp;IF(AND(Milestones!$AB$51="FT",Milestones!$AA$51=FT_Y5,EDATE($D110,Milestones!$AA$51)&lt;PolicyEff),1,Milestones!$AC$51)&amp;";  ","")&amp;IF(AND(EDATE($D110,Milestones!$AA$52)&lt;=AsOfDate,EDATE($D110,Milestones!$AA$52)&gt;=SchemeStart,IF($X110=0,$AD110,IF(AND($Z110&lt;&gt;"",EDATE($D110,Milestones!$AA$52)&gt;=$Z110),$AC110,IF(AND($Y110&lt;&gt;"",EDATE($D110,Milestones!$AA$52)&gt;=$Y110),$AB110,$AA110)))=Milestones!$AB$52),UPPER(TEXT(EDATE($D110,Milestones!$AA$52),"dd mmm yy"))&amp;" "&amp;Milestones!$AB$52&amp;" "&amp;IF(AND(Milestones!$AB$52="FT",Milestones!$AA$52=FT_Y5,EDATE($D110,Milestones!$AA$52)&lt;PolicyEff),1,Milestones!$AC$52)&amp;";  ","")&amp;IF(AND(EDATE($D110,Milestones!$AA$53)&lt;=AsOfDate,EDATE($D110,Milestones!$AA$53)&gt;=SchemeStart,IF($X110=0,$AD110,IF(AND($Z110&lt;&gt;"",EDATE($D110,Milestones!$AA$53)&gt;=$Z110),$AC110,IF(AND($Y110&lt;&gt;"",EDATE($D110,Milestones!$AA$53)&gt;=$Y110),$AB110,$AA110)))=Milestones!$AB$53),UPPER(TEXT(EDATE($D110,Milestones!$AA$53),"dd mmm yy"))&amp;" "&amp;Milestones!$AB$53&amp;" "&amp;IF(AND(Milestones!$AB$53="FT",Milestones!$AA$53=FT_Y5,EDATE($D110,Milestones!$AA$53)&lt;PolicyEff),1,Milestones!$AC$53)&amp;";  ","")&amp;IF(AND(EDATE($D110,Milestones!$AA$54)&lt;=AsOfDate,EDATE($D110,Milestones!$AA$54)&gt;=SchemeStart,IF($X110=0,$AD110,IF(AND($Z110&lt;&gt;"",EDATE($D110,Milestones!$AA$54)&gt;=$Z110),$AC110,IF(AND($Y110&lt;&gt;"",EDATE($D110,Milestones!$AA$54)&gt;=$Y110),$AB110,$AA110)))=Milestones!$AB$54),UPPER(TEXT(EDATE($D110,Milestones!$AA$54),"dd mmm yy"))&amp;" "&amp;Milestones!$AB$54&amp;" "&amp;IF(AND(Milestones!$AB$54="FT",Milestones!$AA$54=FT_Y5,EDATE($D110,Milestones!$AA$54)&lt;PolicyEff),1,Milestones!$AC$54)&amp;";  ","")&amp;IF(AND(EDATE($D110,Milestones!$AA$55)&lt;=AsOfDate,EDATE($D110,Milestones!$AA$55)&gt;=SchemeStart,IF($X110=0,$AD110,IF(AND($Z110&lt;&gt;"",EDATE($D110,Milestones!$AA$55)&gt;=$Z110),$AC110,IF(AND($Y110&lt;&gt;"",EDATE($D110,Milestones!$AA$55)&gt;=$Y110),$AB110,$AA110)))=Milestones!$AB$55),UPPER(TEXT(EDATE($D110,Milestones!$AA$55),"dd mmm yy"))&amp;" "&amp;Milestones!$AB$55&amp;" "&amp;IF(AND(Milestones!$AB$55="FT",Milestones!$AA$55=FT_Y5,EDATE($D110,Milestones!$AA$55)&lt;PolicyEff),1,Milestones!$AC$55)&amp;";  ",""))</f>
        <v/>
      </c>
      <c r="L110" s="0" t="str">
        <f aca="false">IF(OR($A110="",$D110=""),"",IF(AND(EDATE($D110,Milestones!$AA$56)&lt;=AsOfDate,EDATE($D110,Milestones!$AA$56)&gt;=SchemeStart,IF($X110=0,$AD110,IF(AND($Z110&lt;&gt;"",EDATE($D110,Milestones!$AA$56)&gt;=$Z110),$AC110,IF(AND($Y110&lt;&gt;"",EDATE($D110,Milestones!$AA$56)&gt;=$Y110),$AB110,$AA110)))=Milestones!$AB$56),UPPER(TEXT(EDATE($D110,Milestones!$AA$56),"dd mmm yy"))&amp;" "&amp;Milestones!$AB$56&amp;" "&amp;IF(AND(Milestones!$AB$56="FT",Milestones!$AA$56=FT_Y5,EDATE($D110,Milestones!$AA$56)&lt;PolicyEff),1,Milestones!$AC$56)&amp;";  ","")&amp;IF(AND(EDATE($D110,Milestones!$AA$57)&lt;=AsOfDate,EDATE($D110,Milestones!$AA$57)&gt;=SchemeStart,IF($X110=0,$AD110,IF(AND($Z110&lt;&gt;"",EDATE($D110,Milestones!$AA$57)&gt;=$Z110),$AC110,IF(AND($Y110&lt;&gt;"",EDATE($D110,Milestones!$AA$57)&gt;=$Y110),$AB110,$AA110)))=Milestones!$AB$57),UPPER(TEXT(EDATE($D110,Milestones!$AA$57),"dd mmm yy"))&amp;" "&amp;Milestones!$AB$57&amp;" "&amp;IF(AND(Milestones!$AB$57="FT",Milestones!$AA$57=FT_Y5,EDATE($D110,Milestones!$AA$57)&lt;PolicyEff),1,Milestones!$AC$57)&amp;";  ","")&amp;IF(AND(EDATE($D110,Milestones!$AA$58)&lt;=AsOfDate,EDATE($D110,Milestones!$AA$58)&gt;=SchemeStart,IF($X110=0,$AD110,IF(AND($Z110&lt;&gt;"",EDATE($D110,Milestones!$AA$58)&gt;=$Z110),$AC110,IF(AND($Y110&lt;&gt;"",EDATE($D110,Milestones!$AA$58)&gt;=$Y110),$AB110,$AA110)))=Milestones!$AB$58),UPPER(TEXT(EDATE($D110,Milestones!$AA$58),"dd mmm yy"))&amp;" "&amp;Milestones!$AB$58&amp;" "&amp;IF(AND(Milestones!$AB$58="FT",Milestones!$AA$58=FT_Y5,EDATE($D110,Milestones!$AA$58)&lt;PolicyEff),1,Milestones!$AC$58)&amp;";  ","")&amp;IF(AND(EDATE($D110,Milestones!$AA$59)&lt;=AsOfDate,EDATE($D110,Milestones!$AA$59)&gt;=SchemeStart,IF($X110=0,$AD110,IF(AND($Z110&lt;&gt;"",EDATE($D110,Milestones!$AA$59)&gt;=$Z110),$AC110,IF(AND($Y110&lt;&gt;"",EDATE($D110,Milestones!$AA$59)&gt;=$Y110),$AB110,$AA110)))=Milestones!$AB$59),UPPER(TEXT(EDATE($D110,Milestones!$AA$59),"dd mmm yy"))&amp;" "&amp;Milestones!$AB$59&amp;" "&amp;IF(AND(Milestones!$AB$59="FT",Milestones!$AA$59=FT_Y5,EDATE($D110,Milestones!$AA$59)&lt;PolicyEff),1,Milestones!$AC$59)&amp;";  ","")&amp;IF(AND(EDATE($D110,Milestones!$AA$60)&lt;=AsOfDate,EDATE($D110,Milestones!$AA$60)&gt;=SchemeStart,IF($X110=0,$AD110,IF(AND($Z110&lt;&gt;"",EDATE($D110,Milestones!$AA$60)&gt;=$Z110),$AC110,IF(AND($Y110&lt;&gt;"",EDATE($D110,Milestones!$AA$60)&gt;=$Y110),$AB110,$AA110)))=Milestones!$AB$60),UPPER(TEXT(EDATE($D110,Milestones!$AA$60),"dd mmm yy"))&amp;" "&amp;Milestones!$AB$60&amp;" "&amp;IF(AND(Milestones!$AB$60="FT",Milestones!$AA$60=FT_Y5,EDATE($D110,Milestones!$AA$60)&lt;PolicyEff),1,Milestones!$AC$60)&amp;";  ","")&amp;IF(AND(EDATE($D110,Milestones!$AA$61)&lt;=AsOfDate,EDATE($D110,Milestones!$AA$61)&gt;=SchemeStart,IF($X110=0,$AD110,IF(AND($Z110&lt;&gt;"",EDATE($D110,Milestones!$AA$61)&gt;=$Z110),$AC110,IF(AND($Y110&lt;&gt;"",EDATE($D110,Milestones!$AA$61)&gt;=$Y110),$AB110,$AA110)))=Milestones!$AB$61),UPPER(TEXT(EDATE($D110,Milestones!$AA$61),"dd mmm yy"))&amp;" "&amp;Milestones!$AB$61&amp;" "&amp;IF(AND(Milestones!$AB$61="FT",Milestones!$AA$61=FT_Y5,EDATE($D110,Milestones!$AA$61)&lt;PolicyEff),1,Milestones!$AC$61)&amp;";  ","")&amp;IF(AND(EDATE($D110,Milestones!$AA$62)&lt;=AsOfDate,EDATE($D110,Milestones!$AA$62)&gt;=SchemeStart,IF($X110=0,$AD110,IF(AND($Z110&lt;&gt;"",EDATE($D110,Milestones!$AA$62)&gt;=$Z110),$AC110,IF(AND($Y110&lt;&gt;"",EDATE($D110,Milestones!$AA$62)&gt;=$Y110),$AB110,$AA110)))=Milestones!$AB$62),UPPER(TEXT(EDATE($D110,Milestones!$AA$62),"dd mmm yy"))&amp;" "&amp;Milestones!$AB$62&amp;" "&amp;IF(AND(Milestones!$AB$62="FT",Milestones!$AA$62=FT_Y5,EDATE($D110,Milestones!$AA$62)&lt;PolicyEff),1,Milestones!$AC$62)&amp;";  ","")&amp;IF(AND(EDATE($D110,Milestones!$AA$63)&lt;=AsOfDate,EDATE($D110,Milestones!$AA$63)&gt;=SchemeStart,IF($X110=0,$AD110,IF(AND($Z110&lt;&gt;"",EDATE($D110,Milestones!$AA$63)&gt;=$Z110),$AC110,IF(AND($Y110&lt;&gt;"",EDATE($D110,Milestones!$AA$63)&gt;=$Y110),$AB110,$AA110)))=Milestones!$AB$63),UPPER(TEXT(EDATE($D110,Milestones!$AA$63),"dd mmm yy"))&amp;" "&amp;Milestones!$AB$63&amp;" "&amp;IF(AND(Milestones!$AB$63="FT",Milestones!$AA$63=FT_Y5,EDATE($D110,Milestones!$AA$63)&lt;PolicyEff),1,Milestones!$AC$63)&amp;";  ","")&amp;IF(AND(EDATE($D110,Milestones!$AA$64)&lt;=AsOfDate,EDATE($D110,Milestones!$AA$64)&gt;=SchemeStart,IF($X110=0,$AD110,IF(AND($Z110&lt;&gt;"",EDATE($D110,Milestones!$AA$64)&gt;=$Z110),$AC110,IF(AND($Y110&lt;&gt;"",EDATE($D110,Milestones!$AA$64)&gt;=$Y110),$AB110,$AA110)))=Milestones!$AB$64),UPPER(TEXT(EDATE($D110,Milestones!$AA$64),"dd mmm yy"))&amp;" "&amp;Milestones!$AB$64&amp;" "&amp;IF(AND(Milestones!$AB$64="FT",Milestones!$AA$64=FT_Y5,EDATE($D110,Milestones!$AA$64)&lt;PolicyEff),1,Milestones!$AC$64)&amp;";  ","")&amp;IF(AND(EDATE($D110,Milestones!$AA$65)&lt;=AsOfDate,EDATE($D110,Milestones!$AA$65)&gt;=SchemeStart,IF($X110=0,$AD110,IF(AND($Z110&lt;&gt;"",EDATE($D110,Milestones!$AA$65)&gt;=$Z110),$AC110,IF(AND($Y110&lt;&gt;"",EDATE($D110,Milestones!$AA$65)&gt;=$Y110),$AB110,$AA110)))=Milestones!$AB$65),UPPER(TEXT(EDATE($D110,Milestones!$AA$65),"dd mmm yy"))&amp;" "&amp;Milestones!$AB$65&amp;" "&amp;IF(AND(Milestones!$AB$65="FT",Milestones!$AA$65=FT_Y5,EDATE($D110,Milestones!$AA$65)&lt;PolicyEff),1,Milestones!$AC$65)&amp;";  ","")&amp;IF(AND(EDATE($D110,Milestones!$AA$66)&lt;=AsOfDate,EDATE($D110,Milestones!$AA$66)&gt;=SchemeStart,IF($X110=0,$AD110,IF(AND($Z110&lt;&gt;"",EDATE($D110,Milestones!$AA$66)&gt;=$Z110),$AC110,IF(AND($Y110&lt;&gt;"",EDATE($D110,Milestones!$AA$66)&gt;=$Y110),$AB110,$AA110)))=Milestones!$AB$66),UPPER(TEXT(EDATE($D110,Milestones!$AA$66),"dd mmm yy"))&amp;" "&amp;Milestones!$AB$66&amp;" "&amp;IF(AND(Milestones!$AB$66="FT",Milestones!$AA$66=FT_Y5,EDATE($D110,Milestones!$AA$66)&lt;PolicyEff),1,Milestones!$AC$66)&amp;";  ","")&amp;IF(AND(EDATE($D110,Milestones!$AA$67)&lt;=AsOfDate,EDATE($D110,Milestones!$AA$67)&gt;=SchemeStart,IF($X110=0,$AD110,IF(AND($Z110&lt;&gt;"",EDATE($D110,Milestones!$AA$67)&gt;=$Z110),$AC110,IF(AND($Y110&lt;&gt;"",EDATE($D110,Milestones!$AA$67)&gt;=$Y110),$AB110,$AA110)))=Milestones!$AB$67),UPPER(TEXT(EDATE($D110,Milestones!$AA$67),"dd mmm yy"))&amp;" "&amp;Milestones!$AB$67&amp;" "&amp;IF(AND(Milestones!$AB$67="FT",Milestones!$AA$67=FT_Y5,EDATE($D110,Milestones!$AA$67)&lt;PolicyEff),1,Milestones!$AC$67)&amp;";  ",""))</f>
        <v/>
      </c>
      <c r="M110" s="0" t="str">
        <f aca="false">IF(OR($A110="",$D110=""),"",IF(AND(EDATE($D110,Milestones!$AA$68)&lt;=AsOfDate,EDATE($D110,Milestones!$AA$68)&gt;=SchemeStart,IF($X110=0,$AD110,IF(AND($Z110&lt;&gt;"",EDATE($D110,Milestones!$AA$68)&gt;=$Z110),$AC110,IF(AND($Y110&lt;&gt;"",EDATE($D110,Milestones!$AA$68)&gt;=$Y110),$AB110,$AA110)))=Milestones!$AB$68),UPPER(TEXT(EDATE($D110,Milestones!$AA$68),"dd mmm yy"))&amp;" "&amp;Milestones!$AB$68&amp;" "&amp;IF(AND(Milestones!$AB$68="FT",Milestones!$AA$68=FT_Y5,EDATE($D110,Milestones!$AA$68)&lt;PolicyEff),1,Milestones!$AC$68)&amp;";  ","")&amp;IF(AND(EDATE($D110,Milestones!$AA$69)&lt;=AsOfDate,EDATE($D110,Milestones!$AA$69)&gt;=SchemeStart,IF($X110=0,$AD110,IF(AND($Z110&lt;&gt;"",EDATE($D110,Milestones!$AA$69)&gt;=$Z110),$AC110,IF(AND($Y110&lt;&gt;"",EDATE($D110,Milestones!$AA$69)&gt;=$Y110),$AB110,$AA110)))=Milestones!$AB$69),UPPER(TEXT(EDATE($D110,Milestones!$AA$69),"dd mmm yy"))&amp;" "&amp;Milestones!$AB$69&amp;" "&amp;IF(AND(Milestones!$AB$69="FT",Milestones!$AA$69=FT_Y5,EDATE($D110,Milestones!$AA$69)&lt;PolicyEff),1,Milestones!$AC$69)&amp;";  ","")&amp;IF(AND(EDATE($D110,Milestones!$AA$70)&lt;=AsOfDate,EDATE($D110,Milestones!$AA$70)&gt;=SchemeStart,IF($X110=0,$AD110,IF(AND($Z110&lt;&gt;"",EDATE($D110,Milestones!$AA$70)&gt;=$Z110),$AC110,IF(AND($Y110&lt;&gt;"",EDATE($D110,Milestones!$AA$70)&gt;=$Y110),$AB110,$AA110)))=Milestones!$AB$70),UPPER(TEXT(EDATE($D110,Milestones!$AA$70),"dd mmm yy"))&amp;" "&amp;Milestones!$AB$70&amp;" "&amp;IF(AND(Milestones!$AB$70="FT",Milestones!$AA$70=FT_Y5,EDATE($D110,Milestones!$AA$70)&lt;PolicyEff),1,Milestones!$AC$70)&amp;";  ","")&amp;IF(AND(EDATE($D110,Milestones!$AA$71)&lt;=AsOfDate,EDATE($D110,Milestones!$AA$71)&gt;=SchemeStart,IF($X110=0,$AD110,IF(AND($Z110&lt;&gt;"",EDATE($D110,Milestones!$AA$71)&gt;=$Z110),$AC110,IF(AND($Y110&lt;&gt;"",EDATE($D110,Milestones!$AA$71)&gt;=$Y110),$AB110,$AA110)))=Milestones!$AB$71),UPPER(TEXT(EDATE($D110,Milestones!$AA$71),"dd mmm yy"))&amp;" "&amp;Milestones!$AB$71&amp;" "&amp;IF(AND(Milestones!$AB$71="FT",Milestones!$AA$71=FT_Y5,EDATE($D110,Milestones!$AA$71)&lt;PolicyEff),1,Milestones!$AC$71)&amp;";  ","")&amp;IF(AND(EDATE($D110,Milestones!$AA$72)&lt;=AsOfDate,EDATE($D110,Milestones!$AA$72)&gt;=SchemeStart,IF($X110=0,$AD110,IF(AND($Z110&lt;&gt;"",EDATE($D110,Milestones!$AA$72)&gt;=$Z110),$AC110,IF(AND($Y110&lt;&gt;"",EDATE($D110,Milestones!$AA$72)&gt;=$Y110),$AB110,$AA110)))=Milestones!$AB$72),UPPER(TEXT(EDATE($D110,Milestones!$AA$72),"dd mmm yy"))&amp;" "&amp;Milestones!$AB$72&amp;" "&amp;IF(AND(Milestones!$AB$72="FT",Milestones!$AA$72=FT_Y5,EDATE($D110,Milestones!$AA$72)&lt;PolicyEff),1,Milestones!$AC$72)&amp;";  ","")&amp;IF(AND(EDATE($D110,Milestones!$AA$73)&lt;=AsOfDate,EDATE($D110,Milestones!$AA$73)&gt;=SchemeStart,IF($X110=0,$AD110,IF(AND($Z110&lt;&gt;"",EDATE($D110,Milestones!$AA$73)&gt;=$Z110),$AC110,IF(AND($Y110&lt;&gt;"",EDATE($D110,Milestones!$AA$73)&gt;=$Y110),$AB110,$AA110)))=Milestones!$AB$73),UPPER(TEXT(EDATE($D110,Milestones!$AA$73),"dd mmm yy"))&amp;" "&amp;Milestones!$AB$73&amp;" "&amp;IF(AND(Milestones!$AB$73="FT",Milestones!$AA$73=FT_Y5,EDATE($D110,Milestones!$AA$73)&lt;PolicyEff),1,Milestones!$AC$73)&amp;";  ","")&amp;IF(AND(EDATE($D110,Milestones!$AA$74)&lt;=AsOfDate,EDATE($D110,Milestones!$AA$74)&gt;=SchemeStart,IF($X110=0,$AD110,IF(AND($Z110&lt;&gt;"",EDATE($D110,Milestones!$AA$74)&gt;=$Z110),$AC110,IF(AND($Y110&lt;&gt;"",EDATE($D110,Milestones!$AA$74)&gt;=$Y110),$AB110,$AA110)))=Milestones!$AB$74),UPPER(TEXT(EDATE($D110,Milestones!$AA$74),"dd mmm yy"))&amp;" "&amp;Milestones!$AB$74&amp;" "&amp;IF(AND(Milestones!$AB$74="FT",Milestones!$AA$74=FT_Y5,EDATE($D110,Milestones!$AA$74)&lt;PolicyEff),1,Milestones!$AC$74)&amp;";  ","")&amp;IF(AND(EDATE($D110,Milestones!$AA$75)&lt;=AsOfDate,EDATE($D110,Milestones!$AA$75)&gt;=SchemeStart,IF($X110=0,$AD110,IF(AND($Z110&lt;&gt;"",EDATE($D110,Milestones!$AA$75)&gt;=$Z110),$AC110,IF(AND($Y110&lt;&gt;"",EDATE($D110,Milestones!$AA$75)&gt;=$Y110),$AB110,$AA110)))=Milestones!$AB$75),UPPER(TEXT(EDATE($D110,Milestones!$AA$75),"dd mmm yy"))&amp;" "&amp;Milestones!$AB$75&amp;" "&amp;IF(AND(Milestones!$AB$75="FT",Milestones!$AA$75=FT_Y5,EDATE($D110,Milestones!$AA$75)&lt;PolicyEff),1,Milestones!$AC$75)&amp;";  ","")&amp;IF(AND(EDATE($D110,Milestones!$AA$76)&lt;=AsOfDate,EDATE($D110,Milestones!$AA$76)&gt;=SchemeStart,IF($X110=0,$AD110,IF(AND($Z110&lt;&gt;"",EDATE($D110,Milestones!$AA$76)&gt;=$Z110),$AC110,IF(AND($Y110&lt;&gt;"",EDATE($D110,Milestones!$AA$76)&gt;=$Y110),$AB110,$AA110)))=Milestones!$AB$76),UPPER(TEXT(EDATE($D110,Milestones!$AA$76),"dd mmm yy"))&amp;" "&amp;Milestones!$AB$76&amp;" "&amp;IF(AND(Milestones!$AB$76="FT",Milestones!$AA$76=FT_Y5,EDATE($D110,Milestones!$AA$76)&lt;PolicyEff),1,Milestones!$AC$76)&amp;";  ","")&amp;IF(AND(EDATE($D110,Milestones!$AA$77)&lt;=AsOfDate,EDATE($D110,Milestones!$AA$77)&gt;=SchemeStart,IF($X110=0,$AD110,IF(AND($Z110&lt;&gt;"",EDATE($D110,Milestones!$AA$77)&gt;=$Z110),$AC110,IF(AND($Y110&lt;&gt;"",EDATE($D110,Milestones!$AA$77)&gt;=$Y110),$AB110,$AA110)))=Milestones!$AB$77),UPPER(TEXT(EDATE($D110,Milestones!$AA$77),"dd mmm yy"))&amp;" "&amp;Milestones!$AB$77&amp;" "&amp;IF(AND(Milestones!$AB$77="FT",Milestones!$AA$77=FT_Y5,EDATE($D110,Milestones!$AA$77)&lt;PolicyEff),1,Milestones!$AC$77)&amp;";  ","")&amp;IF(AND(EDATE($D110,Milestones!$AA$78)&lt;=AsOfDate,EDATE($D110,Milestones!$AA$78)&gt;=SchemeStart,IF($X110=0,$AD110,IF(AND($Z110&lt;&gt;"",EDATE($D110,Milestones!$AA$78)&gt;=$Z110),$AC110,IF(AND($Y110&lt;&gt;"",EDATE($D110,Milestones!$AA$78)&gt;=$Y110),$AB110,$AA110)))=Milestones!$AB$78),UPPER(TEXT(EDATE($D110,Milestones!$AA$78),"dd mmm yy"))&amp;" "&amp;Milestones!$AB$78&amp;" "&amp;IF(AND(Milestones!$AB$78="FT",Milestones!$AA$78=FT_Y5,EDATE($D110,Milestones!$AA$78)&lt;PolicyEff),1,Milestones!$AC$78)&amp;";  ","")&amp;IF(AND(EDATE($D110,Milestones!$AA$79)&lt;=AsOfDate,EDATE($D110,Milestones!$AA$79)&gt;=SchemeStart,IF($X110=0,$AD110,IF(AND($Z110&lt;&gt;"",EDATE($D110,Milestones!$AA$79)&gt;=$Z110),$AC110,IF(AND($Y110&lt;&gt;"",EDATE($D110,Milestones!$AA$79)&gt;=$Y110),$AB110,$AA110)))=Milestones!$AB$79),UPPER(TEXT(EDATE($D110,Milestones!$AA$79),"dd mmm yy"))&amp;" "&amp;Milestones!$AB$79&amp;" "&amp;IF(AND(Milestones!$AB$79="FT",Milestones!$AA$79=FT_Y5,EDATE($D110,Milestones!$AA$79)&lt;PolicyEff),1,Milestones!$AC$79)&amp;";  ",""))</f>
        <v/>
      </c>
      <c r="N110" s="0" t="str">
        <f aca="false">IF(OR($A110="",$D110=""),"",IF(AND(EDATE($D110,Milestones!$AA$80)&lt;=AsOfDate,EDATE($D110,Milestones!$AA$80)&gt;=SchemeStart,IF($X110=0,$AD110,IF(AND($Z110&lt;&gt;"",EDATE($D110,Milestones!$AA$80)&gt;=$Z110),$AC110,IF(AND($Y110&lt;&gt;"",EDATE($D110,Milestones!$AA$80)&gt;=$Y110),$AB110,$AA110)))=Milestones!$AB$80),UPPER(TEXT(EDATE($D110,Milestones!$AA$80),"dd mmm yy"))&amp;" "&amp;Milestones!$AB$80&amp;" "&amp;IF(AND(Milestones!$AB$80="FT",Milestones!$AA$80=FT_Y5,EDATE($D110,Milestones!$AA$80)&lt;PolicyEff),1,Milestones!$AC$80)&amp;";  ","")&amp;IF(AND(EDATE($D110,Milestones!$AA$81)&lt;=AsOfDate,EDATE($D110,Milestones!$AA$81)&gt;=SchemeStart,IF($X110=0,$AD110,IF(AND($Z110&lt;&gt;"",EDATE($D110,Milestones!$AA$81)&gt;=$Z110),$AC110,IF(AND($Y110&lt;&gt;"",EDATE($D110,Milestones!$AA$81)&gt;=$Y110),$AB110,$AA110)))=Milestones!$AB$81),UPPER(TEXT(EDATE($D110,Milestones!$AA$81),"dd mmm yy"))&amp;" "&amp;Milestones!$AB$81&amp;" "&amp;IF(AND(Milestones!$AB$81="FT",Milestones!$AA$81=FT_Y5,EDATE($D110,Milestones!$AA$81)&lt;PolicyEff),1,Milestones!$AC$81)&amp;";  ","")&amp;IF(AND(EDATE($D110,Milestones!$AA$82)&lt;=AsOfDate,EDATE($D110,Milestones!$AA$82)&gt;=SchemeStart,IF($X110=0,$AD110,IF(AND($Z110&lt;&gt;"",EDATE($D110,Milestones!$AA$82)&gt;=$Z110),$AC110,IF(AND($Y110&lt;&gt;"",EDATE($D110,Milestones!$AA$82)&gt;=$Y110),$AB110,$AA110)))=Milestones!$AB$82),UPPER(TEXT(EDATE($D110,Milestones!$AA$82),"dd mmm yy"))&amp;" "&amp;Milestones!$AB$82&amp;" "&amp;IF(AND(Milestones!$AB$82="FT",Milestones!$AA$82=FT_Y5,EDATE($D110,Milestones!$AA$82)&lt;PolicyEff),1,Milestones!$AC$82)&amp;";  ","")&amp;IF(AND(EDATE($D110,Milestones!$AA$83)&lt;=AsOfDate,EDATE($D110,Milestones!$AA$83)&gt;=SchemeStart,IF($X110=0,$AD110,IF(AND($Z110&lt;&gt;"",EDATE($D110,Milestones!$AA$83)&gt;=$Z110),$AC110,IF(AND($Y110&lt;&gt;"",EDATE($D110,Milestones!$AA$83)&gt;=$Y110),$AB110,$AA110)))=Milestones!$AB$83),UPPER(TEXT(EDATE($D110,Milestones!$AA$83),"dd mmm yy"))&amp;" "&amp;Milestones!$AB$83&amp;" "&amp;IF(AND(Milestones!$AB$83="FT",Milestones!$AA$83=FT_Y5,EDATE($D110,Milestones!$AA$83)&lt;PolicyEff),1,Milestones!$AC$83)&amp;";  ","")&amp;IF(AND(EDATE($D110,Milestones!$AA$84)&lt;=AsOfDate,EDATE($D110,Milestones!$AA$84)&gt;=SchemeStart,IF($X110=0,$AD110,IF(AND($Z110&lt;&gt;"",EDATE($D110,Milestones!$AA$84)&gt;=$Z110),$AC110,IF(AND($Y110&lt;&gt;"",EDATE($D110,Milestones!$AA$84)&gt;=$Y110),$AB110,$AA110)))=Milestones!$AB$84),UPPER(TEXT(EDATE($D110,Milestones!$AA$84),"dd mmm yy"))&amp;" "&amp;Milestones!$AB$84&amp;" "&amp;IF(AND(Milestones!$AB$84="FT",Milestones!$AA$84=FT_Y5,EDATE($D110,Milestones!$AA$84)&lt;PolicyEff),1,Milestones!$AC$84)&amp;";  ","")&amp;IF(AND(EDATE($D110,Milestones!$AA$85)&lt;=AsOfDate,EDATE($D110,Milestones!$AA$85)&gt;=SchemeStart,IF($X110=0,$AD110,IF(AND($Z110&lt;&gt;"",EDATE($D110,Milestones!$AA$85)&gt;=$Z110),$AC110,IF(AND($Y110&lt;&gt;"",EDATE($D110,Milestones!$AA$85)&gt;=$Y110),$AB110,$AA110)))=Milestones!$AB$85),UPPER(TEXT(EDATE($D110,Milestones!$AA$85),"dd mmm yy"))&amp;" "&amp;Milestones!$AB$85&amp;" "&amp;IF(AND(Milestones!$AB$85="FT",Milestones!$AA$85=FT_Y5,EDATE($D110,Milestones!$AA$85)&lt;PolicyEff),1,Milestones!$AC$85)&amp;";  ","")&amp;IF(AND(EDATE($D110,Milestones!$AA$86)&lt;=AsOfDate,EDATE($D110,Milestones!$AA$86)&gt;=SchemeStart,IF($X110=0,$AD110,IF(AND($Z110&lt;&gt;"",EDATE($D110,Milestones!$AA$86)&gt;=$Z110),$AC110,IF(AND($Y110&lt;&gt;"",EDATE($D110,Milestones!$AA$86)&gt;=$Y110),$AB110,$AA110)))=Milestones!$AB$86),UPPER(TEXT(EDATE($D110,Milestones!$AA$86),"dd mmm yy"))&amp;" "&amp;Milestones!$AB$86&amp;" "&amp;IF(AND(Milestones!$AB$86="FT",Milestones!$AA$86=FT_Y5,EDATE($D110,Milestones!$AA$86)&lt;PolicyEff),1,Milestones!$AC$86)&amp;";  ","")&amp;IF(AND(EDATE($D110,Milestones!$AA$87)&lt;=AsOfDate,EDATE($D110,Milestones!$AA$87)&gt;=SchemeStart,IF($X110=0,$AD110,IF(AND($Z110&lt;&gt;"",EDATE($D110,Milestones!$AA$87)&gt;=$Z110),$AC110,IF(AND($Y110&lt;&gt;"",EDATE($D110,Milestones!$AA$87)&gt;=$Y110),$AB110,$AA110)))=Milestones!$AB$87),UPPER(TEXT(EDATE($D110,Milestones!$AA$87),"dd mmm yy"))&amp;" "&amp;Milestones!$AB$87&amp;" "&amp;IF(AND(Milestones!$AB$87="FT",Milestones!$AA$87=FT_Y5,EDATE($D110,Milestones!$AA$87)&lt;PolicyEff),1,Milestones!$AC$87)&amp;";  ","")&amp;IF(AND(EDATE($D110,Milestones!$AA$88)&lt;=AsOfDate,EDATE($D110,Milestones!$AA$88)&gt;=SchemeStart,IF($X110=0,$AD110,IF(AND($Z110&lt;&gt;"",EDATE($D110,Milestones!$AA$88)&gt;=$Z110),$AC110,IF(AND($Y110&lt;&gt;"",EDATE($D110,Milestones!$AA$88)&gt;=$Y110),$AB110,$AA110)))=Milestones!$AB$88),UPPER(TEXT(EDATE($D110,Milestones!$AA$88),"dd mmm yy"))&amp;" "&amp;Milestones!$AB$88&amp;" "&amp;IF(AND(Milestones!$AB$88="FT",Milestones!$AA$88=FT_Y5,EDATE($D110,Milestones!$AA$88)&lt;PolicyEff),1,Milestones!$AC$88)&amp;";  ","")&amp;IF(AND(EDATE($D110,Milestones!$AA$89)&lt;=AsOfDate,EDATE($D110,Milestones!$AA$89)&gt;=SchemeStart,IF($X110=0,$AD110,IF(AND($Z110&lt;&gt;"",EDATE($D110,Milestones!$AA$89)&gt;=$Z110),$AC110,IF(AND($Y110&lt;&gt;"",EDATE($D110,Milestones!$AA$89)&gt;=$Y110),$AB110,$AA110)))=Milestones!$AB$89),UPPER(TEXT(EDATE($D110,Milestones!$AA$89),"dd mmm yy"))&amp;" "&amp;Milestones!$AB$89&amp;" "&amp;IF(AND(Milestones!$AB$89="FT",Milestones!$AA$89=FT_Y5,EDATE($D110,Milestones!$AA$89)&lt;PolicyEff),1,Milestones!$AC$89)&amp;";  ","")&amp;IF(AND(EDATE($D110,Milestones!$AA$90)&lt;=AsOfDate,EDATE($D110,Milestones!$AA$90)&gt;=SchemeStart,IF($X110=0,$AD110,IF(AND($Z110&lt;&gt;"",EDATE($D110,Milestones!$AA$90)&gt;=$Z110),$AC110,IF(AND($Y110&lt;&gt;"",EDATE($D110,Milestones!$AA$90)&gt;=$Y110),$AB110,$AA110)))=Milestones!$AB$90),UPPER(TEXT(EDATE($D110,Milestones!$AA$90),"dd mmm yy"))&amp;" "&amp;Milestones!$AB$90&amp;" "&amp;IF(AND(Milestones!$AB$90="FT",Milestones!$AA$90=FT_Y5,EDATE($D110,Milestones!$AA$90)&lt;PolicyEff),1,Milestones!$AC$90)&amp;";  ","")&amp;IF(AND(EDATE($D110,Milestones!$AA$91)&lt;=AsOfDate,EDATE($D110,Milestones!$AA$91)&gt;=SchemeStart,IF($X110=0,$AD110,IF(AND($Z110&lt;&gt;"",EDATE($D110,Milestones!$AA$91)&gt;=$Z110),$AC110,IF(AND($Y110&lt;&gt;"",EDATE($D110,Milestones!$AA$91)&gt;=$Y110),$AB110,$AA110)))=Milestones!$AB$91),UPPER(TEXT(EDATE($D110,Milestones!$AA$91),"dd mmm yy"))&amp;" "&amp;Milestones!$AB$91&amp;" "&amp;IF(AND(Milestones!$AB$91="FT",Milestones!$AA$91=FT_Y5,EDATE($D110,Milestones!$AA$91)&lt;PolicyEff),1,Milestones!$AC$91)&amp;";  ",""))</f>
        <v/>
      </c>
      <c r="O110" s="0" t="str">
        <f aca="false">IF(OR($A110="",$D110=""),"",IF(AND(EDATE($D110,Milestones!$AA$92)&lt;=AsOfDate,EDATE($D110,Milestones!$AA$92)&gt;=SchemeStart,IF($X110=0,$AD110,IF(AND($Z110&lt;&gt;"",EDATE($D110,Milestones!$AA$92)&gt;=$Z110),$AC110,IF(AND($Y110&lt;&gt;"",EDATE($D110,Milestones!$AA$92)&gt;=$Y110),$AB110,$AA110)))=Milestones!$AB$92),UPPER(TEXT(EDATE($D110,Milestones!$AA$92),"dd mmm yy"))&amp;" "&amp;Milestones!$AB$92&amp;" "&amp;IF(AND(Milestones!$AB$92="FT",Milestones!$AA$92=FT_Y5,EDATE($D110,Milestones!$AA$92)&lt;PolicyEff),1,Milestones!$AC$92)&amp;";  ","")&amp;IF(AND(EDATE($D110,Milestones!$AA$93)&lt;=AsOfDate,EDATE($D110,Milestones!$AA$93)&gt;=SchemeStart,IF($X110=0,$AD110,IF(AND($Z110&lt;&gt;"",EDATE($D110,Milestones!$AA$93)&gt;=$Z110),$AC110,IF(AND($Y110&lt;&gt;"",EDATE($D110,Milestones!$AA$93)&gt;=$Y110),$AB110,$AA110)))=Milestones!$AB$93),UPPER(TEXT(EDATE($D110,Milestones!$AA$93),"dd mmm yy"))&amp;" "&amp;Milestones!$AB$93&amp;" "&amp;IF(AND(Milestones!$AB$93="FT",Milestones!$AA$93=FT_Y5,EDATE($D110,Milestones!$AA$93)&lt;PolicyEff),1,Milestones!$AC$93)&amp;";  ","")&amp;IF(AND(EDATE($D110,Milestones!$AA$94)&lt;=AsOfDate,EDATE($D110,Milestones!$AA$94)&gt;=SchemeStart,IF($X110=0,$AD110,IF(AND($Z110&lt;&gt;"",EDATE($D110,Milestones!$AA$94)&gt;=$Z110),$AC110,IF(AND($Y110&lt;&gt;"",EDATE($D110,Milestones!$AA$94)&gt;=$Y110),$AB110,$AA110)))=Milestones!$AB$94),UPPER(TEXT(EDATE($D110,Milestones!$AA$94),"dd mmm yy"))&amp;" "&amp;Milestones!$AB$94&amp;" "&amp;IF(AND(Milestones!$AB$94="FT",Milestones!$AA$94=FT_Y5,EDATE($D110,Milestones!$AA$94)&lt;PolicyEff),1,Milestones!$AC$94)&amp;";  ","")&amp;IF(AND(EDATE($D110,Milestones!$AA$95)&lt;=AsOfDate,EDATE($D110,Milestones!$AA$95)&gt;=SchemeStart,IF($X110=0,$AD110,IF(AND($Z110&lt;&gt;"",EDATE($D110,Milestones!$AA$95)&gt;=$Z110),$AC110,IF(AND($Y110&lt;&gt;"",EDATE($D110,Milestones!$AA$95)&gt;=$Y110),$AB110,$AA110)))=Milestones!$AB$95),UPPER(TEXT(EDATE($D110,Milestones!$AA$95),"dd mmm yy"))&amp;" "&amp;Milestones!$AB$95&amp;" "&amp;IF(AND(Milestones!$AB$95="FT",Milestones!$AA$95=FT_Y5,EDATE($D110,Milestones!$AA$95)&lt;PolicyEff),1,Milestones!$AC$95)&amp;";  ","")&amp;IF(AND(EDATE($D110,Milestones!$AA$96)&lt;=AsOfDate,EDATE($D110,Milestones!$AA$96)&gt;=SchemeStart,IF($X110=0,$AD110,IF(AND($Z110&lt;&gt;"",EDATE($D110,Milestones!$AA$96)&gt;=$Z110),$AC110,IF(AND($Y110&lt;&gt;"",EDATE($D110,Milestones!$AA$96)&gt;=$Y110),$AB110,$AA110)))=Milestones!$AB$96),UPPER(TEXT(EDATE($D110,Milestones!$AA$96),"dd mmm yy"))&amp;" "&amp;Milestones!$AB$96&amp;" "&amp;IF(AND(Milestones!$AB$96="FT",Milestones!$AA$96=FT_Y5,EDATE($D110,Milestones!$AA$96)&lt;PolicyEff),1,Milestones!$AC$96)&amp;";  ","")&amp;IF(AND(EDATE($D110,Milestones!$AA$97)&lt;=AsOfDate,EDATE($D110,Milestones!$AA$97)&gt;=SchemeStart,IF($X110=0,$AD110,IF(AND($Z110&lt;&gt;"",EDATE($D110,Milestones!$AA$97)&gt;=$Z110),$AC110,IF(AND($Y110&lt;&gt;"",EDATE($D110,Milestones!$AA$97)&gt;=$Y110),$AB110,$AA110)))=Milestones!$AB$97),UPPER(TEXT(EDATE($D110,Milestones!$AA$97),"dd mmm yy"))&amp;" "&amp;Milestones!$AB$97&amp;" "&amp;IF(AND(Milestones!$AB$97="FT",Milestones!$AA$97=FT_Y5,EDATE($D110,Milestones!$AA$97)&lt;PolicyEff),1,Milestones!$AC$97)&amp;";  ","")&amp;IF(AND(EDATE($D110,Milestones!$AA$98)&lt;=AsOfDate,EDATE($D110,Milestones!$AA$98)&gt;=SchemeStart,IF($X110=0,$AD110,IF(AND($Z110&lt;&gt;"",EDATE($D110,Milestones!$AA$98)&gt;=$Z110),$AC110,IF(AND($Y110&lt;&gt;"",EDATE($D110,Milestones!$AA$98)&gt;=$Y110),$AB110,$AA110)))=Milestones!$AB$98),UPPER(TEXT(EDATE($D110,Milestones!$AA$98),"dd mmm yy"))&amp;" "&amp;Milestones!$AB$98&amp;" "&amp;IF(AND(Milestones!$AB$98="FT",Milestones!$AA$98=FT_Y5,EDATE($D110,Milestones!$AA$98)&lt;PolicyEff),1,Milestones!$AC$98)&amp;";  ","")&amp;IF(AND(EDATE($D110,Milestones!$AA$99)&lt;=AsOfDate,EDATE($D110,Milestones!$AA$99)&gt;=SchemeStart,IF($X110=0,$AD110,IF(AND($Z110&lt;&gt;"",EDATE($D110,Milestones!$AA$99)&gt;=$Z110),$AC110,IF(AND($Y110&lt;&gt;"",EDATE($D110,Milestones!$AA$99)&gt;=$Y110),$AB110,$AA110)))=Milestones!$AB$99),UPPER(TEXT(EDATE($D110,Milestones!$AA$99),"dd mmm yy"))&amp;" "&amp;Milestones!$AB$99&amp;" "&amp;IF(AND(Milestones!$AB$99="FT",Milestones!$AA$99=FT_Y5,EDATE($D110,Milestones!$AA$99)&lt;PolicyEff),1,Milestones!$AC$99)&amp;";  ","")&amp;IF(AND(EDATE($D110,Milestones!$AA$100)&lt;=AsOfDate,EDATE($D110,Milestones!$AA$100)&gt;=SchemeStart,IF($X110=0,$AD110,IF(AND($Z110&lt;&gt;"",EDATE($D110,Milestones!$AA$100)&gt;=$Z110),$AC110,IF(AND($Y110&lt;&gt;"",EDATE($D110,Milestones!$AA$100)&gt;=$Y110),$AB110,$AA110)))=Milestones!$AB$100),UPPER(TEXT(EDATE($D110,Milestones!$AA$100),"dd mmm yy"))&amp;" "&amp;Milestones!$AB$100&amp;" "&amp;IF(AND(Milestones!$AB$100="FT",Milestones!$AA$100=FT_Y5,EDATE($D110,Milestones!$AA$100)&lt;PolicyEff),1,Milestones!$AC$100)&amp;";  ","")&amp;IF(AND(EDATE($D110,Milestones!$AA$101)&lt;=AsOfDate,EDATE($D110,Milestones!$AA$101)&gt;=SchemeStart,IF($X110=0,$AD110,IF(AND($Z110&lt;&gt;"",EDATE($D110,Milestones!$AA$101)&gt;=$Z110),$AC110,IF(AND($Y110&lt;&gt;"",EDATE($D110,Milestones!$AA$101)&gt;=$Y110),$AB110,$AA110)))=Milestones!$AB$101),UPPER(TEXT(EDATE($D110,Milestones!$AA$101),"dd mmm yy"))&amp;" "&amp;Milestones!$AB$101&amp;" "&amp;IF(AND(Milestones!$AB$101="FT",Milestones!$AA$101=FT_Y5,EDATE($D110,Milestones!$AA$101)&lt;PolicyEff),1,Milestones!$AC$101)&amp;";  ","")&amp;IF(AND(EDATE($D110,Milestones!$AA$102)&lt;=AsOfDate,EDATE($D110,Milestones!$AA$102)&gt;=SchemeStart,IF($X110=0,$AD110,IF(AND($Z110&lt;&gt;"",EDATE($D110,Milestones!$AA$102)&gt;=$Z110),$AC110,IF(AND($Y110&lt;&gt;"",EDATE($D110,Milestones!$AA$102)&gt;=$Y110),$AB110,$AA110)))=Milestones!$AB$102),UPPER(TEXT(EDATE($D110,Milestones!$AA$102),"dd mmm yy"))&amp;" "&amp;Milestones!$AB$102&amp;" "&amp;IF(AND(Milestones!$AB$102="FT",Milestones!$AA$102=FT_Y5,EDATE($D110,Milestones!$AA$102)&lt;PolicyEff),1,Milestones!$AC$102)&amp;";  ","")&amp;IF(AND(EDATE($D110,Milestones!$AA$103)&lt;=AsOfDate,EDATE($D110,Milestones!$AA$103)&gt;=SchemeStart,IF($X110=0,$AD110,IF(AND($Z110&lt;&gt;"",EDATE($D110,Milestones!$AA$103)&gt;=$Z110),$AC110,IF(AND($Y110&lt;&gt;"",EDATE($D110,Milestones!$AA$103)&gt;=$Y110),$AB110,$AA110)))=Milestones!$AB$103),UPPER(TEXT(EDATE($D110,Milestones!$AA$103),"dd mmm yy"))&amp;" "&amp;Milestones!$AB$103&amp;" "&amp;IF(AND(Milestones!$AB$103="FT",Milestones!$AA$103=FT_Y5,EDATE($D110,Milestones!$AA$103)&lt;PolicyEff),1,Milestones!$AC$103)&amp;";  ",""))</f>
        <v/>
      </c>
      <c r="P110" s="0" t="str">
        <f aca="false">IF(OR($A110="",$D110=""),"",IF(AND(EDATE($D110,Milestones!$AA$104)&lt;=AsOfDate,EDATE($D110,Milestones!$AA$104)&gt;=SchemeStart,IF($X110=0,$AD110,IF(AND($Z110&lt;&gt;"",EDATE($D110,Milestones!$AA$104)&gt;=$Z110),$AC110,IF(AND($Y110&lt;&gt;"",EDATE($D110,Milestones!$AA$104)&gt;=$Y110),$AB110,$AA110)))=Milestones!$AB$104),UPPER(TEXT(EDATE($D110,Milestones!$AA$104),"dd mmm yy"))&amp;" "&amp;Milestones!$AB$104&amp;" "&amp;IF(AND(Milestones!$AB$104="FT",Milestones!$AA$104=FT_Y5,EDATE($D110,Milestones!$AA$104)&lt;PolicyEff),1,Milestones!$AC$104)&amp;";  ","")&amp;IF(AND(EDATE($D110,Milestones!$AA$105)&lt;=AsOfDate,EDATE($D110,Milestones!$AA$105)&gt;=SchemeStart,IF($X110=0,$AD110,IF(AND($Z110&lt;&gt;"",EDATE($D110,Milestones!$AA$105)&gt;=$Z110),$AC110,IF(AND($Y110&lt;&gt;"",EDATE($D110,Milestones!$AA$105)&gt;=$Y110),$AB110,$AA110)))=Milestones!$AB$105),UPPER(TEXT(EDATE($D110,Milestones!$AA$105),"dd mmm yy"))&amp;" "&amp;Milestones!$AB$105&amp;" "&amp;IF(AND(Milestones!$AB$105="FT",Milestones!$AA$105=FT_Y5,EDATE($D110,Milestones!$AA$105)&lt;PolicyEff),1,Milestones!$AC$105)&amp;";  ","")&amp;IF(AND(EDATE($D110,Milestones!$AA$106)&lt;=AsOfDate,EDATE($D110,Milestones!$AA$106)&gt;=SchemeStart,IF($X110=0,$AD110,IF(AND($Z110&lt;&gt;"",EDATE($D110,Milestones!$AA$106)&gt;=$Z110),$AC110,IF(AND($Y110&lt;&gt;"",EDATE($D110,Milestones!$AA$106)&gt;=$Y110),$AB110,$AA110)))=Milestones!$AB$106),UPPER(TEXT(EDATE($D110,Milestones!$AA$106),"dd mmm yy"))&amp;" "&amp;Milestones!$AB$106&amp;" "&amp;IF(AND(Milestones!$AB$106="FT",Milestones!$AA$106=FT_Y5,EDATE($D110,Milestones!$AA$106)&lt;PolicyEff),1,Milestones!$AC$106)&amp;";  ","")&amp;IF(AND(EDATE($D110,Milestones!$AA$107)&lt;=AsOfDate,EDATE($D110,Milestones!$AA$107)&gt;=SchemeStart,IF($X110=0,$AD110,IF(AND($Z110&lt;&gt;"",EDATE($D110,Milestones!$AA$107)&gt;=$Z110),$AC110,IF(AND($Y110&lt;&gt;"",EDATE($D110,Milestones!$AA$107)&gt;=$Y110),$AB110,$AA110)))=Milestones!$AB$107),UPPER(TEXT(EDATE($D110,Milestones!$AA$107),"dd mmm yy"))&amp;" "&amp;Milestones!$AB$107&amp;" "&amp;IF(AND(Milestones!$AB$107="FT",Milestones!$AA$107=FT_Y5,EDATE($D110,Milestones!$AA$107)&lt;PolicyEff),1,Milestones!$AC$107)&amp;";  ","")&amp;IF(AND(EDATE($D110,Milestones!$AA$108)&lt;=AsOfDate,EDATE($D110,Milestones!$AA$108)&gt;=SchemeStart,IF($X110=0,$AD110,IF(AND($Z110&lt;&gt;"",EDATE($D110,Milestones!$AA$108)&gt;=$Z110),$AC110,IF(AND($Y110&lt;&gt;"",EDATE($D110,Milestones!$AA$108)&gt;=$Y110),$AB110,$AA110)))=Milestones!$AB$108),UPPER(TEXT(EDATE($D110,Milestones!$AA$108),"dd mmm yy"))&amp;" "&amp;Milestones!$AB$108&amp;" "&amp;IF(AND(Milestones!$AB$108="FT",Milestones!$AA$108=FT_Y5,EDATE($D110,Milestones!$AA$108)&lt;PolicyEff),1,Milestones!$AC$108)&amp;";  ","")&amp;IF(AND(EDATE($D110,Milestones!$AA$109)&lt;=AsOfDate,EDATE($D110,Milestones!$AA$109)&gt;=SchemeStart,IF($X110=0,$AD110,IF(AND($Z110&lt;&gt;"",EDATE($D110,Milestones!$AA$109)&gt;=$Z110),$AC110,IF(AND($Y110&lt;&gt;"",EDATE($D110,Milestones!$AA$109)&gt;=$Y110),$AB110,$AA110)))=Milestones!$AB$109),UPPER(TEXT(EDATE($D110,Milestones!$AA$109),"dd mmm yy"))&amp;" "&amp;Milestones!$AB$109&amp;" "&amp;IF(AND(Milestones!$AB$109="FT",Milestones!$AA$109=FT_Y5,EDATE($D110,Milestones!$AA$109)&lt;PolicyEff),1,Milestones!$AC$109)&amp;";  ","")&amp;IF(AND(EDATE($D110,Milestones!$AA$110)&lt;=AsOfDate,EDATE($D110,Milestones!$AA$110)&gt;=SchemeStart,IF($X110=0,$AD110,IF(AND($Z110&lt;&gt;"",EDATE($D110,Milestones!$AA$110)&gt;=$Z110),$AC110,IF(AND($Y110&lt;&gt;"",EDATE($D110,Milestones!$AA$110)&gt;=$Y110),$AB110,$AA110)))=Milestones!$AB$110),UPPER(TEXT(EDATE($D110,Milestones!$AA$110),"dd mmm yy"))&amp;" "&amp;Milestones!$AB$110&amp;" "&amp;IF(AND(Milestones!$AB$110="FT",Milestones!$AA$110=FT_Y5,EDATE($D110,Milestones!$AA$110)&lt;PolicyEff),1,Milestones!$AC$110)&amp;";  ","")&amp;IF(AND(EDATE($D110,Milestones!$AA$111)&lt;=AsOfDate,EDATE($D110,Milestones!$AA$111)&gt;=SchemeStart,IF($X110=0,$AD110,IF(AND($Z110&lt;&gt;"",EDATE($D110,Milestones!$AA$111)&gt;=$Z110),$AC110,IF(AND($Y110&lt;&gt;"",EDATE($D110,Milestones!$AA$111)&gt;=$Y110),$AB110,$AA110)))=Milestones!$AB$111),UPPER(TEXT(EDATE($D110,Milestones!$AA$111),"dd mmm yy"))&amp;" "&amp;Milestones!$AB$111&amp;" "&amp;IF(AND(Milestones!$AB$111="FT",Milestones!$AA$111=FT_Y5,EDATE($D110,Milestones!$AA$111)&lt;PolicyEff),1,Milestones!$AC$111)&amp;";  ","")&amp;IF(AND(EDATE($D110,Milestones!$AA$112)&lt;=AsOfDate,EDATE($D110,Milestones!$AA$112)&gt;=SchemeStart,IF($X110=0,$AD110,IF(AND($Z110&lt;&gt;"",EDATE($D110,Milestones!$AA$112)&gt;=$Z110),$AC110,IF(AND($Y110&lt;&gt;"",EDATE($D110,Milestones!$AA$112)&gt;=$Y110),$AB110,$AA110)))=Milestones!$AB$112),UPPER(TEXT(EDATE($D110,Milestones!$AA$112),"dd mmm yy"))&amp;" "&amp;Milestones!$AB$112&amp;" "&amp;IF(AND(Milestones!$AB$112="FT",Milestones!$AA$112=FT_Y5,EDATE($D110,Milestones!$AA$112)&lt;PolicyEff),1,Milestones!$AC$112)&amp;";  ","")&amp;IF(AND(EDATE($D110,Milestones!$AA$113)&lt;=AsOfDate,EDATE($D110,Milestones!$AA$113)&gt;=SchemeStart,IF($X110=0,$AD110,IF(AND($Z110&lt;&gt;"",EDATE($D110,Milestones!$AA$113)&gt;=$Z110),$AC110,IF(AND($Y110&lt;&gt;"",EDATE($D110,Milestones!$AA$113)&gt;=$Y110),$AB110,$AA110)))=Milestones!$AB$113),UPPER(TEXT(EDATE($D110,Milestones!$AA$113),"dd mmm yy"))&amp;" "&amp;Milestones!$AB$113&amp;" "&amp;IF(AND(Milestones!$AB$113="FT",Milestones!$AA$113=FT_Y5,EDATE($D110,Milestones!$AA$113)&lt;PolicyEff),1,Milestones!$AC$113)&amp;";  ","")&amp;IF(AND(EDATE($D110,Milestones!$AA$114)&lt;=AsOfDate,EDATE($D110,Milestones!$AA$114)&gt;=SchemeStart,IF($X110=0,$AD110,IF(AND($Z110&lt;&gt;"",EDATE($D110,Milestones!$AA$114)&gt;=$Z110),$AC110,IF(AND($Y110&lt;&gt;"",EDATE($D110,Milestones!$AA$114)&gt;=$Y110),$AB110,$AA110)))=Milestones!$AB$114),UPPER(TEXT(EDATE($D110,Milestones!$AA$114),"dd mmm yy"))&amp;" "&amp;Milestones!$AB$114&amp;" "&amp;IF(AND(Milestones!$AB$114="FT",Milestones!$AA$114=FT_Y5,EDATE($D110,Milestones!$AA$114)&lt;PolicyEff),1,Milestones!$AC$114)&amp;";  ","")&amp;IF(AND(EDATE($D110,Milestones!$AA$115)&lt;=AsOfDate,EDATE($D110,Milestones!$AA$115)&gt;=SchemeStart,IF($X110=0,$AD110,IF(AND($Z110&lt;&gt;"",EDATE($D110,Milestones!$AA$115)&gt;=$Z110),$AC110,IF(AND($Y110&lt;&gt;"",EDATE($D110,Milestones!$AA$115)&gt;=$Y110),$AB110,$AA110)))=Milestones!$AB$115),UPPER(TEXT(EDATE($D110,Milestones!$AA$115),"dd mmm yy"))&amp;" "&amp;Milestones!$AB$115&amp;" "&amp;IF(AND(Milestones!$AB$115="FT",Milestones!$AA$115=FT_Y5,EDATE($D110,Milestones!$AA$115)&lt;PolicyEff),1,Milestones!$AC$115)&amp;";  ",""))</f>
        <v/>
      </c>
      <c r="Q110" s="0" t="str">
        <f aca="false">IF(OR($A110="",$D110=""),"",IF(AND(EDATE($D110,Milestones!$AA$116)&lt;=AsOfDate,EDATE($D110,Milestones!$AA$116)&gt;=SchemeStart,IF($X110=0,$AD110,IF(AND($Z110&lt;&gt;"",EDATE($D110,Milestones!$AA$116)&gt;=$Z110),$AC110,IF(AND($Y110&lt;&gt;"",EDATE($D110,Milestones!$AA$116)&gt;=$Y110),$AB110,$AA110)))=Milestones!$AB$116),UPPER(TEXT(EDATE($D110,Milestones!$AA$116),"dd mmm yy"))&amp;" "&amp;Milestones!$AB$116&amp;" "&amp;IF(AND(Milestones!$AB$116="FT",Milestones!$AA$116=FT_Y5,EDATE($D110,Milestones!$AA$116)&lt;PolicyEff),1,Milestones!$AC$116)&amp;";  ","")&amp;IF(AND(EDATE($D110,Milestones!$AA$117)&lt;=AsOfDate,EDATE($D110,Milestones!$AA$117)&gt;=SchemeStart,IF($X110=0,$AD110,IF(AND($Z110&lt;&gt;"",EDATE($D110,Milestones!$AA$117)&gt;=$Z110),$AC110,IF(AND($Y110&lt;&gt;"",EDATE($D110,Milestones!$AA$117)&gt;=$Y110),$AB110,$AA110)))=Milestones!$AB$117),UPPER(TEXT(EDATE($D110,Milestones!$AA$117),"dd mmm yy"))&amp;" "&amp;Milestones!$AB$117&amp;" "&amp;IF(AND(Milestones!$AB$117="FT",Milestones!$AA$117=FT_Y5,EDATE($D110,Milestones!$AA$117)&lt;PolicyEff),1,Milestones!$AC$117)&amp;";  ","")&amp;IF(AND(EDATE($D110,Milestones!$AA$118)&lt;=AsOfDate,EDATE($D110,Milestones!$AA$118)&gt;=SchemeStart,IF($X110=0,$AD110,IF(AND($Z110&lt;&gt;"",EDATE($D110,Milestones!$AA$118)&gt;=$Z110),$AC110,IF(AND($Y110&lt;&gt;"",EDATE($D110,Milestones!$AA$118)&gt;=$Y110),$AB110,$AA110)))=Milestones!$AB$118),UPPER(TEXT(EDATE($D110,Milestones!$AA$118),"dd mmm yy"))&amp;" "&amp;Milestones!$AB$118&amp;" "&amp;IF(AND(Milestones!$AB$118="FT",Milestones!$AA$118=FT_Y5,EDATE($D110,Milestones!$AA$118)&lt;PolicyEff),1,Milestones!$AC$118)&amp;";  ","")&amp;IF(AND(EDATE($D110,Milestones!$AA$119)&lt;=AsOfDate,EDATE($D110,Milestones!$AA$119)&gt;=SchemeStart,IF($X110=0,$AD110,IF(AND($Z110&lt;&gt;"",EDATE($D110,Milestones!$AA$119)&gt;=$Z110),$AC110,IF(AND($Y110&lt;&gt;"",EDATE($D110,Milestones!$AA$119)&gt;=$Y110),$AB110,$AA110)))=Milestones!$AB$119),UPPER(TEXT(EDATE($D110,Milestones!$AA$119),"dd mmm yy"))&amp;" "&amp;Milestones!$AB$119&amp;" "&amp;IF(AND(Milestones!$AB$119="FT",Milestones!$AA$119=FT_Y5,EDATE($D110,Milestones!$AA$119)&lt;PolicyEff),1,Milestones!$AC$119)&amp;";  ","")&amp;IF(AND(EDATE($D110,Milestones!$AA$120)&lt;=AsOfDate,EDATE($D110,Milestones!$AA$120)&gt;=SchemeStart,IF($X110=0,$AD110,IF(AND($Z110&lt;&gt;"",EDATE($D110,Milestones!$AA$120)&gt;=$Z110),$AC110,IF(AND($Y110&lt;&gt;"",EDATE($D110,Milestones!$AA$120)&gt;=$Y110),$AB110,$AA110)))=Milestones!$AB$120),UPPER(TEXT(EDATE($D110,Milestones!$AA$120),"dd mmm yy"))&amp;" "&amp;Milestones!$AB$120&amp;" "&amp;IF(AND(Milestones!$AB$120="FT",Milestones!$AA$120=FT_Y5,EDATE($D110,Milestones!$AA$120)&lt;PolicyEff),1,Milestones!$AC$120)&amp;";  ","")&amp;IF(AND(EDATE($D110,Milestones!$AA$121)&lt;=AsOfDate,EDATE($D110,Milestones!$AA$121)&gt;=SchemeStart,IF($X110=0,$AD110,IF(AND($Z110&lt;&gt;"",EDATE($D110,Milestones!$AA$121)&gt;=$Z110),$AC110,IF(AND($Y110&lt;&gt;"",EDATE($D110,Milestones!$AA$121)&gt;=$Y110),$AB110,$AA110)))=Milestones!$AB$121),UPPER(TEXT(EDATE($D110,Milestones!$AA$121),"dd mmm yy"))&amp;" "&amp;Milestones!$AB$121&amp;" "&amp;IF(AND(Milestones!$AB$121="FT",Milestones!$AA$121=FT_Y5,EDATE($D110,Milestones!$AA$121)&lt;PolicyEff),1,Milestones!$AC$121)&amp;";  ","")&amp;IF(AND(EDATE($D110,Milestones!$AA$122)&lt;=AsOfDate,EDATE($D110,Milestones!$AA$122)&gt;=SchemeStart,IF($X110=0,$AD110,IF(AND($Z110&lt;&gt;"",EDATE($D110,Milestones!$AA$122)&gt;=$Z110),$AC110,IF(AND($Y110&lt;&gt;"",EDATE($D110,Milestones!$AA$122)&gt;=$Y110),$AB110,$AA110)))=Milestones!$AB$122),UPPER(TEXT(EDATE($D110,Milestones!$AA$122),"dd mmm yy"))&amp;" "&amp;Milestones!$AB$122&amp;" "&amp;IF(AND(Milestones!$AB$122="FT",Milestones!$AA$122=FT_Y5,EDATE($D110,Milestones!$AA$122)&lt;PolicyEff),1,Milestones!$AC$122)&amp;";  ","")&amp;IF(AND(EDATE($D110,Milestones!$AA$123)&lt;=AsOfDate,EDATE($D110,Milestones!$AA$123)&gt;=SchemeStart,IF($X110=0,$AD110,IF(AND($Z110&lt;&gt;"",EDATE($D110,Milestones!$AA$123)&gt;=$Z110),$AC110,IF(AND($Y110&lt;&gt;"",EDATE($D110,Milestones!$AA$123)&gt;=$Y110),$AB110,$AA110)))=Milestones!$AB$123),UPPER(TEXT(EDATE($D110,Milestones!$AA$123),"dd mmm yy"))&amp;" "&amp;Milestones!$AB$123&amp;" "&amp;IF(AND(Milestones!$AB$123="FT",Milestones!$AA$123=FT_Y5,EDATE($D110,Milestones!$AA$123)&lt;PolicyEff),1,Milestones!$AC$123)&amp;";  ","")&amp;IF(AND(EDATE($D110,Milestones!$AA$124)&lt;=AsOfDate,EDATE($D110,Milestones!$AA$124)&gt;=SchemeStart,IF($X110=0,$AD110,IF(AND($Z110&lt;&gt;"",EDATE($D110,Milestones!$AA$124)&gt;=$Z110),$AC110,IF(AND($Y110&lt;&gt;"",EDATE($D110,Milestones!$AA$124)&gt;=$Y110),$AB110,$AA110)))=Milestones!$AB$124),UPPER(TEXT(EDATE($D110,Milestones!$AA$124),"dd mmm yy"))&amp;" "&amp;Milestones!$AB$124&amp;" "&amp;IF(AND(Milestones!$AB$124="FT",Milestones!$AA$124=FT_Y5,EDATE($D110,Milestones!$AA$124)&lt;PolicyEff),1,Milestones!$AC$124)&amp;";  ","")&amp;IF(AND(EDATE($D110,Milestones!$AA$125)&lt;=AsOfDate,EDATE($D110,Milestones!$AA$125)&gt;=SchemeStart,IF($X110=0,$AD110,IF(AND($Z110&lt;&gt;"",EDATE($D110,Milestones!$AA$125)&gt;=$Z110),$AC110,IF(AND($Y110&lt;&gt;"",EDATE($D110,Milestones!$AA$125)&gt;=$Y110),$AB110,$AA110)))=Milestones!$AB$125),UPPER(TEXT(EDATE($D110,Milestones!$AA$125),"dd mmm yy"))&amp;" "&amp;Milestones!$AB$125&amp;" "&amp;IF(AND(Milestones!$AB$125="FT",Milestones!$AA$125=FT_Y5,EDATE($D110,Milestones!$AA$125)&lt;PolicyEff),1,Milestones!$AC$125)&amp;";  ","")&amp;IF(AND(EDATE($D110,Milestones!$AA$126)&lt;=AsOfDate,EDATE($D110,Milestones!$AA$126)&gt;=SchemeStart,IF($X110=0,$AD110,IF(AND($Z110&lt;&gt;"",EDATE($D110,Milestones!$AA$126)&gt;=$Z110),$AC110,IF(AND($Y110&lt;&gt;"",EDATE($D110,Milestones!$AA$126)&gt;=$Y110),$AB110,$AA110)))=Milestones!$AB$126),UPPER(TEXT(EDATE($D110,Milestones!$AA$126),"dd mmm yy"))&amp;" "&amp;Milestones!$AB$126&amp;" "&amp;IF(AND(Milestones!$AB$126="FT",Milestones!$AA$126=FT_Y5,EDATE($D110,Milestones!$AA$126)&lt;PolicyEff),1,Milestones!$AC$126)&amp;";  ","")&amp;IF(AND(EDATE($D110,Milestones!$AA$127)&lt;=AsOfDate,EDATE($D110,Milestones!$AA$127)&gt;=SchemeStart,IF($X110=0,$AD110,IF(AND($Z110&lt;&gt;"",EDATE($D110,Milestones!$AA$127)&gt;=$Z110),$AC110,IF(AND($Y110&lt;&gt;"",EDATE($D110,Milestones!$AA$127)&gt;=$Y110),$AB110,$AA110)))=Milestones!$AB$127),UPPER(TEXT(EDATE($D110,Milestones!$AA$127),"dd mmm yy"))&amp;" "&amp;Milestones!$AB$127&amp;" "&amp;IF(AND(Milestones!$AB$127="FT",Milestones!$AA$127=FT_Y5,EDATE($D110,Milestones!$AA$127)&lt;PolicyEff),1,Milestones!$AC$127)&amp;";  ",""))</f>
        <v/>
      </c>
      <c r="R110" s="0" t="str">
        <f aca="false">IF(OR($A110="",$D110=""),"",IF(AND(EDATE($D110,Milestones!$AA$128)&lt;=AsOfDate,EDATE($D110,Milestones!$AA$128)&gt;=SchemeStart,IF($X110=0,$AD110,IF(AND($Z110&lt;&gt;"",EDATE($D110,Milestones!$AA$128)&gt;=$Z110),$AC110,IF(AND($Y110&lt;&gt;"",EDATE($D110,Milestones!$AA$128)&gt;=$Y110),$AB110,$AA110)))=Milestones!$AB$128),UPPER(TEXT(EDATE($D110,Milestones!$AA$128),"dd mmm yy"))&amp;" "&amp;Milestones!$AB$128&amp;" "&amp;IF(AND(Milestones!$AB$128="FT",Milestones!$AA$128=FT_Y5,EDATE($D110,Milestones!$AA$128)&lt;PolicyEff),1,Milestones!$AC$128)&amp;";  ","")&amp;IF(AND(EDATE($D110,Milestones!$AA$129)&lt;=AsOfDate,EDATE($D110,Milestones!$AA$129)&gt;=SchemeStart,IF($X110=0,$AD110,IF(AND($Z110&lt;&gt;"",EDATE($D110,Milestones!$AA$129)&gt;=$Z110),$AC110,IF(AND($Y110&lt;&gt;"",EDATE($D110,Milestones!$AA$129)&gt;=$Y110),$AB110,$AA110)))=Milestones!$AB$129),UPPER(TEXT(EDATE($D110,Milestones!$AA$129),"dd mmm yy"))&amp;" "&amp;Milestones!$AB$129&amp;" "&amp;IF(AND(Milestones!$AB$129="FT",Milestones!$AA$129=FT_Y5,EDATE($D110,Milestones!$AA$129)&lt;PolicyEff),1,Milestones!$AC$129)&amp;";  ","")&amp;IF(AND(EDATE($D110,Milestones!$AA$130)&lt;=AsOfDate,EDATE($D110,Milestones!$AA$130)&gt;=SchemeStart,IF($X110=0,$AD110,IF(AND($Z110&lt;&gt;"",EDATE($D110,Milestones!$AA$130)&gt;=$Z110),$AC110,IF(AND($Y110&lt;&gt;"",EDATE($D110,Milestones!$AA$130)&gt;=$Y110),$AB110,$AA110)))=Milestones!$AB$130),UPPER(TEXT(EDATE($D110,Milestones!$AA$130),"dd mmm yy"))&amp;" "&amp;Milestones!$AB$130&amp;" "&amp;IF(AND(Milestones!$AB$130="FT",Milestones!$AA$130=FT_Y5,EDATE($D110,Milestones!$AA$130)&lt;PolicyEff),1,Milestones!$AC$130)&amp;";  ","")&amp;IF(AND(EDATE($D110,Milestones!$AA$131)&lt;=AsOfDate,EDATE($D110,Milestones!$AA$131)&gt;=SchemeStart,IF($X110=0,$AD110,IF(AND($Z110&lt;&gt;"",EDATE($D110,Milestones!$AA$131)&gt;=$Z110),$AC110,IF(AND($Y110&lt;&gt;"",EDATE($D110,Milestones!$AA$131)&gt;=$Y110),$AB110,$AA110)))=Milestones!$AB$131),UPPER(TEXT(EDATE($D110,Milestones!$AA$131),"dd mmm yy"))&amp;" "&amp;Milestones!$AB$131&amp;" "&amp;IF(AND(Milestones!$AB$131="FT",Milestones!$AA$131=FT_Y5,EDATE($D110,Milestones!$AA$131)&lt;PolicyEff),1,Milestones!$AC$131)&amp;";  ","")&amp;IF(AND(EDATE($D110,Milestones!$AA$132)&lt;=AsOfDate,EDATE($D110,Milestones!$AA$132)&gt;=SchemeStart,IF($X110=0,$AD110,IF(AND($Z110&lt;&gt;"",EDATE($D110,Milestones!$AA$132)&gt;=$Z110),$AC110,IF(AND($Y110&lt;&gt;"",EDATE($D110,Milestones!$AA$132)&gt;=$Y110),$AB110,$AA110)))=Milestones!$AB$132),UPPER(TEXT(EDATE($D110,Milestones!$AA$132),"dd mmm yy"))&amp;" "&amp;Milestones!$AB$132&amp;" "&amp;IF(AND(Milestones!$AB$132="FT",Milestones!$AA$132=FT_Y5,EDATE($D110,Milestones!$AA$132)&lt;PolicyEff),1,Milestones!$AC$132)&amp;";  ","")&amp;IF(AND(EDATE($D110,Milestones!$AA$133)&lt;=AsOfDate,EDATE($D110,Milestones!$AA$133)&gt;=SchemeStart,IF($X110=0,$AD110,IF(AND($Z110&lt;&gt;"",EDATE($D110,Milestones!$AA$133)&gt;=$Z110),$AC110,IF(AND($Y110&lt;&gt;"",EDATE($D110,Milestones!$AA$133)&gt;=$Y110),$AB110,$AA110)))=Milestones!$AB$133),UPPER(TEXT(EDATE($D110,Milestones!$AA$133),"dd mmm yy"))&amp;" "&amp;Milestones!$AB$133&amp;" "&amp;IF(AND(Milestones!$AB$133="FT",Milestones!$AA$133=FT_Y5,EDATE($D110,Milestones!$AA$133)&lt;PolicyEff),1,Milestones!$AC$133)&amp;";  ","")&amp;IF(AND(EDATE($D110,Milestones!$AA$134)&lt;=AsOfDate,EDATE($D110,Milestones!$AA$134)&gt;=SchemeStart,IF($X110=0,$AD110,IF(AND($Z110&lt;&gt;"",EDATE($D110,Milestones!$AA$134)&gt;=$Z110),$AC110,IF(AND($Y110&lt;&gt;"",EDATE($D110,Milestones!$AA$134)&gt;=$Y110),$AB110,$AA110)))=Milestones!$AB$134),UPPER(TEXT(EDATE($D110,Milestones!$AA$134),"dd mmm yy"))&amp;" "&amp;Milestones!$AB$134&amp;" "&amp;IF(AND(Milestones!$AB$134="FT",Milestones!$AA$134=FT_Y5,EDATE($D110,Milestones!$AA$134)&lt;PolicyEff),1,Milestones!$AC$134)&amp;";  ","")&amp;IF(AND(EDATE($D110,Milestones!$AA$135)&lt;=AsOfDate,EDATE($D110,Milestones!$AA$135)&gt;=SchemeStart,IF($X110=0,$AD110,IF(AND($Z110&lt;&gt;"",EDATE($D110,Milestones!$AA$135)&gt;=$Z110),$AC110,IF(AND($Y110&lt;&gt;"",EDATE($D110,Milestones!$AA$135)&gt;=$Y110),$AB110,$AA110)))=Milestones!$AB$135),UPPER(TEXT(EDATE($D110,Milestones!$AA$135),"dd mmm yy"))&amp;" "&amp;Milestones!$AB$135&amp;" "&amp;IF(AND(Milestones!$AB$135="FT",Milestones!$AA$135=FT_Y5,EDATE($D110,Milestones!$AA$135)&lt;PolicyEff),1,Milestones!$AC$135)&amp;";  ","")&amp;IF(AND(EDATE($D110,Milestones!$AA$136)&lt;=AsOfDate,EDATE($D110,Milestones!$AA$136)&gt;=SchemeStart,IF($X110=0,$AD110,IF(AND($Z110&lt;&gt;"",EDATE($D110,Milestones!$AA$136)&gt;=$Z110),$AC110,IF(AND($Y110&lt;&gt;"",EDATE($D110,Milestones!$AA$136)&gt;=$Y110),$AB110,$AA110)))=Milestones!$AB$136),UPPER(TEXT(EDATE($D110,Milestones!$AA$136),"dd mmm yy"))&amp;" "&amp;Milestones!$AB$136&amp;" "&amp;IF(AND(Milestones!$AB$136="FT",Milestones!$AA$136=FT_Y5,EDATE($D110,Milestones!$AA$136)&lt;PolicyEff),1,Milestones!$AC$136)&amp;";  ","")&amp;IF(AND(EDATE($D110,Milestones!$AA$137)&lt;=AsOfDate,EDATE($D110,Milestones!$AA$137)&gt;=SchemeStart,IF($X110=0,$AD110,IF(AND($Z110&lt;&gt;"",EDATE($D110,Milestones!$AA$137)&gt;=$Z110),$AC110,IF(AND($Y110&lt;&gt;"",EDATE($D110,Milestones!$AA$137)&gt;=$Y110),$AB110,$AA110)))=Milestones!$AB$137),UPPER(TEXT(EDATE($D110,Milestones!$AA$137),"dd mmm yy"))&amp;" "&amp;Milestones!$AB$137&amp;" "&amp;IF(AND(Milestones!$AB$137="FT",Milestones!$AA$137=FT_Y5,EDATE($D110,Milestones!$AA$137)&lt;PolicyEff),1,Milestones!$AC$137)&amp;";  ","")&amp;IF(AND(EDATE($D110,Milestones!$AA$138)&lt;=AsOfDate,EDATE($D110,Milestones!$AA$138)&gt;=SchemeStart,IF($X110=0,$AD110,IF(AND($Z110&lt;&gt;"",EDATE($D110,Milestones!$AA$138)&gt;=$Z110),$AC110,IF(AND($Y110&lt;&gt;"",EDATE($D110,Milestones!$AA$138)&gt;=$Y110),$AB110,$AA110)))=Milestones!$AB$138),UPPER(TEXT(EDATE($D110,Milestones!$AA$138),"dd mmm yy"))&amp;" "&amp;Milestones!$AB$138&amp;" "&amp;IF(AND(Milestones!$AB$138="FT",Milestones!$AA$138=FT_Y5,EDATE($D110,Milestones!$AA$138)&lt;PolicyEff),1,Milestones!$AC$138)&amp;";  ","")&amp;IF(AND(EDATE($D110,Milestones!$AA$139)&lt;=AsOfDate,EDATE($D110,Milestones!$AA$139)&gt;=SchemeStart,IF($X110=0,$AD110,IF(AND($Z110&lt;&gt;"",EDATE($D110,Milestones!$AA$139)&gt;=$Z110),$AC110,IF(AND($Y110&lt;&gt;"",EDATE($D110,Milestones!$AA$139)&gt;=$Y110),$AB110,$AA110)))=Milestones!$AB$139),UPPER(TEXT(EDATE($D110,Milestones!$AA$139),"dd mmm yy"))&amp;" "&amp;Milestones!$AB$139&amp;" "&amp;IF(AND(Milestones!$AB$139="FT",Milestones!$AA$139=FT_Y5,EDATE($D110,Milestones!$AA$139)&lt;PolicyEff),1,Milestones!$AC$139)&amp;";  ",""))</f>
        <v/>
      </c>
      <c r="S110" s="0" t="str">
        <f aca="false">IF(OR($A110="",$D110=""),"",IF(AND(EDATE($D110,Milestones!$AA$140)&lt;=AsOfDate,EDATE($D110,Milestones!$AA$140)&gt;=SchemeStart,IF($X110=0,$AD110,IF(AND($Z110&lt;&gt;"",EDATE($D110,Milestones!$AA$140)&gt;=$Z110),$AC110,IF(AND($Y110&lt;&gt;"",EDATE($D110,Milestones!$AA$140)&gt;=$Y110),$AB110,$AA110)))=Milestones!$AB$140),UPPER(TEXT(EDATE($D110,Milestones!$AA$140),"dd mmm yy"))&amp;" "&amp;Milestones!$AB$140&amp;" "&amp;IF(AND(Milestones!$AB$140="FT",Milestones!$AA$140=FT_Y5,EDATE($D110,Milestones!$AA$140)&lt;PolicyEff),1,Milestones!$AC$140)&amp;";  ","")&amp;IF(AND(EDATE($D110,Milestones!$AA$141)&lt;=AsOfDate,EDATE($D110,Milestones!$AA$141)&gt;=SchemeStart,IF($X110=0,$AD110,IF(AND($Z110&lt;&gt;"",EDATE($D110,Milestones!$AA$141)&gt;=$Z110),$AC110,IF(AND($Y110&lt;&gt;"",EDATE($D110,Milestones!$AA$141)&gt;=$Y110),$AB110,$AA110)))=Milestones!$AB$141),UPPER(TEXT(EDATE($D110,Milestones!$AA$141),"dd mmm yy"))&amp;" "&amp;Milestones!$AB$141&amp;" "&amp;IF(AND(Milestones!$AB$141="FT",Milestones!$AA$141=FT_Y5,EDATE($D110,Milestones!$AA$141)&lt;PolicyEff),1,Milestones!$AC$141)&amp;";  ","")&amp;IF(AND(EDATE($D110,Milestones!$AA$142)&lt;=AsOfDate,EDATE($D110,Milestones!$AA$142)&gt;=SchemeStart,IF($X110=0,$AD110,IF(AND($Z110&lt;&gt;"",EDATE($D110,Milestones!$AA$142)&gt;=$Z110),$AC110,IF(AND($Y110&lt;&gt;"",EDATE($D110,Milestones!$AA$142)&gt;=$Y110),$AB110,$AA110)))=Milestones!$AB$142),UPPER(TEXT(EDATE($D110,Milestones!$AA$142),"dd mmm yy"))&amp;" "&amp;Milestones!$AB$142&amp;" "&amp;IF(AND(Milestones!$AB$142="FT",Milestones!$AA$142=FT_Y5,EDATE($D110,Milestones!$AA$142)&lt;PolicyEff),1,Milestones!$AC$142)&amp;";  ","")&amp;IF(AND(EDATE($D110,Milestones!$AA$143)&lt;=AsOfDate,EDATE($D110,Milestones!$AA$143)&gt;=SchemeStart,IF($X110=0,$AD110,IF(AND($Z110&lt;&gt;"",EDATE($D110,Milestones!$AA$143)&gt;=$Z110),$AC110,IF(AND($Y110&lt;&gt;"",EDATE($D110,Milestones!$AA$143)&gt;=$Y110),$AB110,$AA110)))=Milestones!$AB$143),UPPER(TEXT(EDATE($D110,Milestones!$AA$143),"dd mmm yy"))&amp;" "&amp;Milestones!$AB$143&amp;" "&amp;IF(AND(Milestones!$AB$143="FT",Milestones!$AA$143=FT_Y5,EDATE($D110,Milestones!$AA$143)&lt;PolicyEff),1,Milestones!$AC$143)&amp;";  ","")&amp;IF(AND(EDATE($D110,Milestones!$AA$144)&lt;=AsOfDate,EDATE($D110,Milestones!$AA$144)&gt;=SchemeStart,IF($X110=0,$AD110,IF(AND($Z110&lt;&gt;"",EDATE($D110,Milestones!$AA$144)&gt;=$Z110),$AC110,IF(AND($Y110&lt;&gt;"",EDATE($D110,Milestones!$AA$144)&gt;=$Y110),$AB110,$AA110)))=Milestones!$AB$144),UPPER(TEXT(EDATE($D110,Milestones!$AA$144),"dd mmm yy"))&amp;" "&amp;Milestones!$AB$144&amp;" "&amp;IF(AND(Milestones!$AB$144="FT",Milestones!$AA$144=FT_Y5,EDATE($D110,Milestones!$AA$144)&lt;PolicyEff),1,Milestones!$AC$144)&amp;";  ","")&amp;IF(AND(EDATE($D110,Milestones!$AA$145)&lt;=AsOfDate,EDATE($D110,Milestones!$AA$145)&gt;=SchemeStart,IF($X110=0,$AD110,IF(AND($Z110&lt;&gt;"",EDATE($D110,Milestones!$AA$145)&gt;=$Z110),$AC110,IF(AND($Y110&lt;&gt;"",EDATE($D110,Milestones!$AA$145)&gt;=$Y110),$AB110,$AA110)))=Milestones!$AB$145),UPPER(TEXT(EDATE($D110,Milestones!$AA$145),"dd mmm yy"))&amp;" "&amp;Milestones!$AB$145&amp;" "&amp;IF(AND(Milestones!$AB$145="FT",Milestones!$AA$145=FT_Y5,EDATE($D110,Milestones!$AA$145)&lt;PolicyEff),1,Milestones!$AC$145)&amp;";  ","")&amp;IF(AND(EDATE($D110,Milestones!$AA$146)&lt;=AsOfDate,EDATE($D110,Milestones!$AA$146)&gt;=SchemeStart,IF($X110=0,$AD110,IF(AND($Z110&lt;&gt;"",EDATE($D110,Milestones!$AA$146)&gt;=$Z110),$AC110,IF(AND($Y110&lt;&gt;"",EDATE($D110,Milestones!$AA$146)&gt;=$Y110),$AB110,$AA110)))=Milestones!$AB$146),UPPER(TEXT(EDATE($D110,Milestones!$AA$146),"dd mmm yy"))&amp;" "&amp;Milestones!$AB$146&amp;" "&amp;IF(AND(Milestones!$AB$146="FT",Milestones!$AA$146=FT_Y5,EDATE($D110,Milestones!$AA$146)&lt;PolicyEff),1,Milestones!$AC$146)&amp;";  ","")&amp;IF(AND(EDATE($D110,Milestones!$AA$147)&lt;=AsOfDate,EDATE($D110,Milestones!$AA$147)&gt;=SchemeStart,IF($X110=0,$AD110,IF(AND($Z110&lt;&gt;"",EDATE($D110,Milestones!$AA$147)&gt;=$Z110),$AC110,IF(AND($Y110&lt;&gt;"",EDATE($D110,Milestones!$AA$147)&gt;=$Y110),$AB110,$AA110)))=Milestones!$AB$147),UPPER(TEXT(EDATE($D110,Milestones!$AA$147),"dd mmm yy"))&amp;" "&amp;Milestones!$AB$147&amp;" "&amp;IF(AND(Milestones!$AB$147="FT",Milestones!$AA$147=FT_Y5,EDATE($D110,Milestones!$AA$147)&lt;PolicyEff),1,Milestones!$AC$147)&amp;";  ","")&amp;IF(AND(EDATE($D110,Milestones!$AA$148)&lt;=AsOfDate,EDATE($D110,Milestones!$AA$148)&gt;=SchemeStart,IF($X110=0,$AD110,IF(AND($Z110&lt;&gt;"",EDATE($D110,Milestones!$AA$148)&gt;=$Z110),$AC110,IF(AND($Y110&lt;&gt;"",EDATE($D110,Milestones!$AA$148)&gt;=$Y110),$AB110,$AA110)))=Milestones!$AB$148),UPPER(TEXT(EDATE($D110,Milestones!$AA$148),"dd mmm yy"))&amp;" "&amp;Milestones!$AB$148&amp;" "&amp;IF(AND(Milestones!$AB$148="FT",Milestones!$AA$148=FT_Y5,EDATE($D110,Milestones!$AA$148)&lt;PolicyEff),1,Milestones!$AC$148)&amp;";  ","")&amp;IF(AND(EDATE($D110,Milestones!$AA$149)&lt;=AsOfDate,EDATE($D110,Milestones!$AA$149)&gt;=SchemeStart,IF($X110=0,$AD110,IF(AND($Z110&lt;&gt;"",EDATE($D110,Milestones!$AA$149)&gt;=$Z110),$AC110,IF(AND($Y110&lt;&gt;"",EDATE($D110,Milestones!$AA$149)&gt;=$Y110),$AB110,$AA110)))=Milestones!$AB$149),UPPER(TEXT(EDATE($D110,Milestones!$AA$149),"dd mmm yy"))&amp;" "&amp;Milestones!$AB$149&amp;" "&amp;IF(AND(Milestones!$AB$149="FT",Milestones!$AA$149=FT_Y5,EDATE($D110,Milestones!$AA$149)&lt;PolicyEff),1,Milestones!$AC$149)&amp;";  ","")&amp;IF(AND(EDATE($D110,Milestones!$AA$150)&lt;=AsOfDate,EDATE($D110,Milestones!$AA$150)&gt;=SchemeStart,IF($X110=0,$AD110,IF(AND($Z110&lt;&gt;"",EDATE($D110,Milestones!$AA$150)&gt;=$Z110),$AC110,IF(AND($Y110&lt;&gt;"",EDATE($D110,Milestones!$AA$150)&gt;=$Y110),$AB110,$AA110)))=Milestones!$AB$150),UPPER(TEXT(EDATE($D110,Milestones!$AA$150),"dd mmm yy"))&amp;" "&amp;Milestones!$AB$150&amp;" "&amp;IF(AND(Milestones!$AB$150="FT",Milestones!$AA$150=FT_Y5,EDATE($D110,Milestones!$AA$150)&lt;PolicyEff),1,Milestones!$AC$150)&amp;";  ","")&amp;IF(AND(EDATE($D110,Milestones!$AA$151)&lt;=AsOfDate,EDATE($D110,Milestones!$AA$151)&gt;=SchemeStart,IF($X110=0,$AD110,IF(AND($Z110&lt;&gt;"",EDATE($D110,Milestones!$AA$151)&gt;=$Z110),$AC110,IF(AND($Y110&lt;&gt;"",EDATE($D110,Milestones!$AA$151)&gt;=$Y110),$AB110,$AA110)))=Milestones!$AB$151),UPPER(TEXT(EDATE($D110,Milestones!$AA$151),"dd mmm yy"))&amp;" "&amp;Milestones!$AB$151&amp;" "&amp;IF(AND(Milestones!$AB$151="FT",Milestones!$AA$151=FT_Y5,EDATE($D110,Milestones!$AA$151)&lt;PolicyEff),1,Milestones!$AC$151)&amp;";  ",""))</f>
        <v/>
      </c>
      <c r="T110" s="0" t="str">
        <f aca="false">IF(OR($A110="",$D110=""),"",IF(AND(EDATE($D110,Milestones!$AA$152)&lt;=AsOfDate,EDATE($D110,Milestones!$AA$152)&gt;=SchemeStart,IF($X110=0,$AD110,IF(AND($Z110&lt;&gt;"",EDATE($D110,Milestones!$AA$152)&gt;=$Z110),$AC110,IF(AND($Y110&lt;&gt;"",EDATE($D110,Milestones!$AA$152)&gt;=$Y110),$AB110,$AA110)))=Milestones!$AB$152),UPPER(TEXT(EDATE($D110,Milestones!$AA$152),"dd mmm yy"))&amp;" "&amp;Milestones!$AB$152&amp;" "&amp;IF(AND(Milestones!$AB$152="FT",Milestones!$AA$152=FT_Y5,EDATE($D110,Milestones!$AA$152)&lt;PolicyEff),1,Milestones!$AC$152)&amp;";  ","")&amp;IF(AND(EDATE($D110,Milestones!$AA$153)&lt;=AsOfDate,EDATE($D110,Milestones!$AA$153)&gt;=SchemeStart,IF($X110=0,$AD110,IF(AND($Z110&lt;&gt;"",EDATE($D110,Milestones!$AA$153)&gt;=$Z110),$AC110,IF(AND($Y110&lt;&gt;"",EDATE($D110,Milestones!$AA$153)&gt;=$Y110),$AB110,$AA110)))=Milestones!$AB$153),UPPER(TEXT(EDATE($D110,Milestones!$AA$153),"dd mmm yy"))&amp;" "&amp;Milestones!$AB$153&amp;" "&amp;IF(AND(Milestones!$AB$153="FT",Milestones!$AA$153=FT_Y5,EDATE($D110,Milestones!$AA$153)&lt;PolicyEff),1,Milestones!$AC$153)&amp;";  ","")&amp;IF(AND(EDATE($D110,Milestones!$AA$154)&lt;=AsOfDate,EDATE($D110,Milestones!$AA$154)&gt;=SchemeStart,IF($X110=0,$AD110,IF(AND($Z110&lt;&gt;"",EDATE($D110,Milestones!$AA$154)&gt;=$Z110),$AC110,IF(AND($Y110&lt;&gt;"",EDATE($D110,Milestones!$AA$154)&gt;=$Y110),$AB110,$AA110)))=Milestones!$AB$154),UPPER(TEXT(EDATE($D110,Milestones!$AA$154),"dd mmm yy"))&amp;" "&amp;Milestones!$AB$154&amp;" "&amp;IF(AND(Milestones!$AB$154="FT",Milestones!$AA$154=FT_Y5,EDATE($D110,Milestones!$AA$154)&lt;PolicyEff),1,Milestones!$AC$154)&amp;";  ","")&amp;IF(AND(EDATE($D110,Milestones!$AA$155)&lt;=AsOfDate,EDATE($D110,Milestones!$AA$155)&gt;=SchemeStart,IF($X110=0,$AD110,IF(AND($Z110&lt;&gt;"",EDATE($D110,Milestones!$AA$155)&gt;=$Z110),$AC110,IF(AND($Y110&lt;&gt;"",EDATE($D110,Milestones!$AA$155)&gt;=$Y110),$AB110,$AA110)))=Milestones!$AB$155),UPPER(TEXT(EDATE($D110,Milestones!$AA$155),"dd mmm yy"))&amp;" "&amp;Milestones!$AB$155&amp;" "&amp;IF(AND(Milestones!$AB$155="FT",Milestones!$AA$155=FT_Y5,EDATE($D110,Milestones!$AA$155)&lt;PolicyEff),1,Milestones!$AC$155)&amp;";  ","")&amp;IF(AND(EDATE($D110,Milestones!$AA$156)&lt;=AsOfDate,EDATE($D110,Milestones!$AA$156)&gt;=SchemeStart,IF($X110=0,$AD110,IF(AND($Z110&lt;&gt;"",EDATE($D110,Milestones!$AA$156)&gt;=$Z110),$AC110,IF(AND($Y110&lt;&gt;"",EDATE($D110,Milestones!$AA$156)&gt;=$Y110),$AB110,$AA110)))=Milestones!$AB$156),UPPER(TEXT(EDATE($D110,Milestones!$AA$156),"dd mmm yy"))&amp;" "&amp;Milestones!$AB$156&amp;" "&amp;IF(AND(Milestones!$AB$156="FT",Milestones!$AA$156=FT_Y5,EDATE($D110,Milestones!$AA$156)&lt;PolicyEff),1,Milestones!$AC$156)&amp;";  ","")&amp;IF(AND(EDATE($D110,Milestones!$AA$157)&lt;=AsOfDate,EDATE($D110,Milestones!$AA$157)&gt;=SchemeStart,IF($X110=0,$AD110,IF(AND($Z110&lt;&gt;"",EDATE($D110,Milestones!$AA$157)&gt;=$Z110),$AC110,IF(AND($Y110&lt;&gt;"",EDATE($D110,Milestones!$AA$157)&gt;=$Y110),$AB110,$AA110)))=Milestones!$AB$157),UPPER(TEXT(EDATE($D110,Milestones!$AA$157),"dd mmm yy"))&amp;" "&amp;Milestones!$AB$157&amp;" "&amp;IF(AND(Milestones!$AB$157="FT",Milestones!$AA$157=FT_Y5,EDATE($D110,Milestones!$AA$157)&lt;PolicyEff),1,Milestones!$AC$157)&amp;";  ","")&amp;IF(AND(EDATE($D110,Milestones!$AA$158)&lt;=AsOfDate,EDATE($D110,Milestones!$AA$158)&gt;=SchemeStart,IF($X110=0,$AD110,IF(AND($Z110&lt;&gt;"",EDATE($D110,Milestones!$AA$158)&gt;=$Z110),$AC110,IF(AND($Y110&lt;&gt;"",EDATE($D110,Milestones!$AA$158)&gt;=$Y110),$AB110,$AA110)))=Milestones!$AB$158),UPPER(TEXT(EDATE($D110,Milestones!$AA$158),"dd mmm yy"))&amp;" "&amp;Milestones!$AB$158&amp;" "&amp;IF(AND(Milestones!$AB$158="FT",Milestones!$AA$158=FT_Y5,EDATE($D110,Milestones!$AA$158)&lt;PolicyEff),1,Milestones!$AC$158)&amp;";  ","")&amp;IF(AND(EDATE($D110,Milestones!$AA$159)&lt;=AsOfDate,EDATE($D110,Milestones!$AA$159)&gt;=SchemeStart,IF($X110=0,$AD110,IF(AND($Z110&lt;&gt;"",EDATE($D110,Milestones!$AA$159)&gt;=$Z110),$AC110,IF(AND($Y110&lt;&gt;"",EDATE($D110,Milestones!$AA$159)&gt;=$Y110),$AB110,$AA110)))=Milestones!$AB$159),UPPER(TEXT(EDATE($D110,Milestones!$AA$159),"dd mmm yy"))&amp;" "&amp;Milestones!$AB$159&amp;" "&amp;IF(AND(Milestones!$AB$159="FT",Milestones!$AA$159=FT_Y5,EDATE($D110,Milestones!$AA$159)&lt;PolicyEff),1,Milestones!$AC$159)&amp;";  ","")&amp;IF(AND(EDATE($D110,Milestones!$AA$160)&lt;=AsOfDate,EDATE($D110,Milestones!$AA$160)&gt;=SchemeStart,IF($X110=0,$AD110,IF(AND($Z110&lt;&gt;"",EDATE($D110,Milestones!$AA$160)&gt;=$Z110),$AC110,IF(AND($Y110&lt;&gt;"",EDATE($D110,Milestones!$AA$160)&gt;=$Y110),$AB110,$AA110)))=Milestones!$AB$160),UPPER(TEXT(EDATE($D110,Milestones!$AA$160),"dd mmm yy"))&amp;" "&amp;Milestones!$AB$160&amp;" "&amp;IF(AND(Milestones!$AB$160="FT",Milestones!$AA$160=FT_Y5,EDATE($D110,Milestones!$AA$160)&lt;PolicyEff),1,Milestones!$AC$160)&amp;";  ","")&amp;IF(AND(EDATE($D110,Milestones!$AA$161)&lt;=AsOfDate,EDATE($D110,Milestones!$AA$161)&gt;=SchemeStart,IF($X110=0,$AD110,IF(AND($Z110&lt;&gt;"",EDATE($D110,Milestones!$AA$161)&gt;=$Z110),$AC110,IF(AND($Y110&lt;&gt;"",EDATE($D110,Milestones!$AA$161)&gt;=$Y110),$AB110,$AA110)))=Milestones!$AB$161),UPPER(TEXT(EDATE($D110,Milestones!$AA$161),"dd mmm yy"))&amp;" "&amp;Milestones!$AB$161&amp;" "&amp;IF(AND(Milestones!$AB$161="FT",Milestones!$AA$161=FT_Y5,EDATE($D110,Milestones!$AA$161)&lt;PolicyEff),1,Milestones!$AC$161)&amp;";  ","")&amp;IF(AND(EDATE($D110,Milestones!$AA$162)&lt;=AsOfDate,EDATE($D110,Milestones!$AA$162)&gt;=SchemeStart,IF($X110=0,$AD110,IF(AND($Z110&lt;&gt;"",EDATE($D110,Milestones!$AA$162)&gt;=$Z110),$AC110,IF(AND($Y110&lt;&gt;"",EDATE($D110,Milestones!$AA$162)&gt;=$Y110),$AB110,$AA110)))=Milestones!$AB$162),UPPER(TEXT(EDATE($D110,Milestones!$AA$162),"dd mmm yy"))&amp;" "&amp;Milestones!$AB$162&amp;" "&amp;IF(AND(Milestones!$AB$162="FT",Milestones!$AA$162=FT_Y5,EDATE($D110,Milestones!$AA$162)&lt;PolicyEff),1,Milestones!$AC$162)&amp;";  ","")&amp;IF(AND(EDATE($D110,Milestones!$AA$163)&lt;=AsOfDate,EDATE($D110,Milestones!$AA$163)&gt;=SchemeStart,IF($X110=0,$AD110,IF(AND($Z110&lt;&gt;"",EDATE($D110,Milestones!$AA$163)&gt;=$Z110),$AC110,IF(AND($Y110&lt;&gt;"",EDATE($D110,Milestones!$AA$163)&gt;=$Y110),$AB110,$AA110)))=Milestones!$AB$163),UPPER(TEXT(EDATE($D110,Milestones!$AA$163),"dd mmm yy"))&amp;" "&amp;Milestones!$AB$163&amp;" "&amp;IF(AND(Milestones!$AB$163="FT",Milestones!$AA$163=FT_Y5,EDATE($D110,Milestones!$AA$163)&lt;PolicyEff),1,Milestones!$AC$163)&amp;";  ",""))</f>
        <v/>
      </c>
      <c r="U110" s="0" t="str">
        <f aca="false">IF(OR($A110="",$D110=""),"",IF(AND(EDATE($D110,Milestones!$AA$164)&lt;=AsOfDate,EDATE($D110,Milestones!$AA$164)&gt;=SchemeStart,IF($X110=0,$AD110,IF(AND($Z110&lt;&gt;"",EDATE($D110,Milestones!$AA$164)&gt;=$Z110),$AC110,IF(AND($Y110&lt;&gt;"",EDATE($D110,Milestones!$AA$164)&gt;=$Y110),$AB110,$AA110)))=Milestones!$AB$164),UPPER(TEXT(EDATE($D110,Milestones!$AA$164),"dd mmm yy"))&amp;" "&amp;Milestones!$AB$164&amp;" "&amp;IF(AND(Milestones!$AB$164="FT",Milestones!$AA$164=FT_Y5,EDATE($D110,Milestones!$AA$164)&lt;PolicyEff),1,Milestones!$AC$164)&amp;";  ","")&amp;IF(AND(EDATE($D110,Milestones!$AA$165)&lt;=AsOfDate,EDATE($D110,Milestones!$AA$165)&gt;=SchemeStart,IF($X110=0,$AD110,IF(AND($Z110&lt;&gt;"",EDATE($D110,Milestones!$AA$165)&gt;=$Z110),$AC110,IF(AND($Y110&lt;&gt;"",EDATE($D110,Milestones!$AA$165)&gt;=$Y110),$AB110,$AA110)))=Milestones!$AB$165),UPPER(TEXT(EDATE($D110,Milestones!$AA$165),"dd mmm yy"))&amp;" "&amp;Milestones!$AB$165&amp;" "&amp;IF(AND(Milestones!$AB$165="FT",Milestones!$AA$165=FT_Y5,EDATE($D110,Milestones!$AA$165)&lt;PolicyEff),1,Milestones!$AC$165)&amp;";  ","")&amp;IF(AND(EDATE($D110,Milestones!$AA$166)&lt;=AsOfDate,EDATE($D110,Milestones!$AA$166)&gt;=SchemeStart,IF($X110=0,$AD110,IF(AND($Z110&lt;&gt;"",EDATE($D110,Milestones!$AA$166)&gt;=$Z110),$AC110,IF(AND($Y110&lt;&gt;"",EDATE($D110,Milestones!$AA$166)&gt;=$Y110),$AB110,$AA110)))=Milestones!$AB$166),UPPER(TEXT(EDATE($D110,Milestones!$AA$166),"dd mmm yy"))&amp;" "&amp;Milestones!$AB$166&amp;" "&amp;IF(AND(Milestones!$AB$166="FT",Milestones!$AA$166=FT_Y5,EDATE($D110,Milestones!$AA$166)&lt;PolicyEff),1,Milestones!$AC$166)&amp;";  ","")&amp;IF(AND(EDATE($D110,Milestones!$AA$167)&lt;=AsOfDate,EDATE($D110,Milestones!$AA$167)&gt;=SchemeStart,IF($X110=0,$AD110,IF(AND($Z110&lt;&gt;"",EDATE($D110,Milestones!$AA$167)&gt;=$Z110),$AC110,IF(AND($Y110&lt;&gt;"",EDATE($D110,Milestones!$AA$167)&gt;=$Y110),$AB110,$AA110)))=Milestones!$AB$167),UPPER(TEXT(EDATE($D110,Milestones!$AA$167),"dd mmm yy"))&amp;" "&amp;Milestones!$AB$167&amp;" "&amp;IF(AND(Milestones!$AB$167="FT",Milestones!$AA$167=FT_Y5,EDATE($D110,Milestones!$AA$167)&lt;PolicyEff),1,Milestones!$AC$167)&amp;";  ","")&amp;IF(AND(EDATE($D110,Milestones!$AA$168)&lt;=AsOfDate,EDATE($D110,Milestones!$AA$168)&gt;=SchemeStart,IF($X110=0,$AD110,IF(AND($Z110&lt;&gt;"",EDATE($D110,Milestones!$AA$168)&gt;=$Z110),$AC110,IF(AND($Y110&lt;&gt;"",EDATE($D110,Milestones!$AA$168)&gt;=$Y110),$AB110,$AA110)))=Milestones!$AB$168),UPPER(TEXT(EDATE($D110,Milestones!$AA$168),"dd mmm yy"))&amp;" "&amp;Milestones!$AB$168&amp;" "&amp;IF(AND(Milestones!$AB$168="FT",Milestones!$AA$168=FT_Y5,EDATE($D110,Milestones!$AA$168)&lt;PolicyEff),1,Milestones!$AC$168)&amp;";  ","")&amp;IF(AND(EDATE($D110,Milestones!$AA$169)&lt;=AsOfDate,EDATE($D110,Milestones!$AA$169)&gt;=SchemeStart,IF($X110=0,$AD110,IF(AND($Z110&lt;&gt;"",EDATE($D110,Milestones!$AA$169)&gt;=$Z110),$AC110,IF(AND($Y110&lt;&gt;"",EDATE($D110,Milestones!$AA$169)&gt;=$Y110),$AB110,$AA110)))=Milestones!$AB$169),UPPER(TEXT(EDATE($D110,Milestones!$AA$169),"dd mmm yy"))&amp;" "&amp;Milestones!$AB$169&amp;" "&amp;IF(AND(Milestones!$AB$169="FT",Milestones!$AA$169=FT_Y5,EDATE($D110,Milestones!$AA$169)&lt;PolicyEff),1,Milestones!$AC$169)&amp;";  ","")&amp;IF(AND(EDATE($D110,Milestones!$AA$170)&lt;=AsOfDate,EDATE($D110,Milestones!$AA$170)&gt;=SchemeStart,IF($X110=0,$AD110,IF(AND($Z110&lt;&gt;"",EDATE($D110,Milestones!$AA$170)&gt;=$Z110),$AC110,IF(AND($Y110&lt;&gt;"",EDATE($D110,Milestones!$AA$170)&gt;=$Y110),$AB110,$AA110)))=Milestones!$AB$170),UPPER(TEXT(EDATE($D110,Milestones!$AA$170),"dd mmm yy"))&amp;" "&amp;Milestones!$AB$170&amp;" "&amp;IF(AND(Milestones!$AB$170="FT",Milestones!$AA$170=FT_Y5,EDATE($D110,Milestones!$AA$170)&lt;PolicyEff),1,Milestones!$AC$170)&amp;";  ","")&amp;IF(AND(EDATE($D110,Milestones!$AA$171)&lt;=AsOfDate,EDATE($D110,Milestones!$AA$171)&gt;=SchemeStart,IF($X110=0,$AD110,IF(AND($Z110&lt;&gt;"",EDATE($D110,Milestones!$AA$171)&gt;=$Z110),$AC110,IF(AND($Y110&lt;&gt;"",EDATE($D110,Milestones!$AA$171)&gt;=$Y110),$AB110,$AA110)))=Milestones!$AB$171),UPPER(TEXT(EDATE($D110,Milestones!$AA$171),"dd mmm yy"))&amp;" "&amp;Milestones!$AB$171&amp;" "&amp;IF(AND(Milestones!$AB$171="FT",Milestones!$AA$171=FT_Y5,EDATE($D110,Milestones!$AA$171)&lt;PolicyEff),1,Milestones!$AC$171)&amp;";  ","")&amp;IF(AND(EDATE($D110,Milestones!$AA$172)&lt;=AsOfDate,EDATE($D110,Milestones!$AA$172)&gt;=SchemeStart,IF($X110=0,$AD110,IF(AND($Z110&lt;&gt;"",EDATE($D110,Milestones!$AA$172)&gt;=$Z110),$AC110,IF(AND($Y110&lt;&gt;"",EDATE($D110,Milestones!$AA$172)&gt;=$Y110),$AB110,$AA110)))=Milestones!$AB$172),UPPER(TEXT(EDATE($D110,Milestones!$AA$172),"dd mmm yy"))&amp;" "&amp;Milestones!$AB$172&amp;" "&amp;IF(AND(Milestones!$AB$172="FT",Milestones!$AA$172=FT_Y5,EDATE($D110,Milestones!$AA$172)&lt;PolicyEff),1,Milestones!$AC$172)&amp;";  ","")&amp;IF(AND(EDATE($D110,Milestones!$AA$173)&lt;=AsOfDate,EDATE($D110,Milestones!$AA$173)&gt;=SchemeStart,IF($X110=0,$AD110,IF(AND($Z110&lt;&gt;"",EDATE($D110,Milestones!$AA$173)&gt;=$Z110),$AC110,IF(AND($Y110&lt;&gt;"",EDATE($D110,Milestones!$AA$173)&gt;=$Y110),$AB110,$AA110)))=Milestones!$AB$173),UPPER(TEXT(EDATE($D110,Milestones!$AA$173),"dd mmm yy"))&amp;" "&amp;Milestones!$AB$173&amp;" "&amp;IF(AND(Milestones!$AB$173="FT",Milestones!$AA$173=FT_Y5,EDATE($D110,Milestones!$AA$173)&lt;PolicyEff),1,Milestones!$AC$173)&amp;";  ","")&amp;IF(AND(EDATE($D110,Milestones!$AA$174)&lt;=AsOfDate,EDATE($D110,Milestones!$AA$174)&gt;=SchemeStart,IF($X110=0,$AD110,IF(AND($Z110&lt;&gt;"",EDATE($D110,Milestones!$AA$174)&gt;=$Z110),$AC110,IF(AND($Y110&lt;&gt;"",EDATE($D110,Milestones!$AA$174)&gt;=$Y110),$AB110,$AA110)))=Milestones!$AB$174),UPPER(TEXT(EDATE($D110,Milestones!$AA$174),"dd mmm yy"))&amp;" "&amp;Milestones!$AB$174&amp;" "&amp;IF(AND(Milestones!$AB$174="FT",Milestones!$AA$174=FT_Y5,EDATE($D110,Milestones!$AA$174)&lt;PolicyEff),1,Milestones!$AC$174)&amp;";  ","")&amp;IF(AND(EDATE($D110,Milestones!$AA$175)&lt;=AsOfDate,EDATE($D110,Milestones!$AA$175)&gt;=SchemeStart,IF($X110=0,$AD110,IF(AND($Z110&lt;&gt;"",EDATE($D110,Milestones!$AA$175)&gt;=$Z110),$AC110,IF(AND($Y110&lt;&gt;"",EDATE($D110,Milestones!$AA$175)&gt;=$Y110),$AB110,$AA110)))=Milestones!$AB$175),UPPER(TEXT(EDATE($D110,Milestones!$AA$175),"dd mmm yy"))&amp;" "&amp;Milestones!$AB$175&amp;" "&amp;IF(AND(Milestones!$AB$175="FT",Milestones!$AA$175=FT_Y5,EDATE($D110,Milestones!$AA$175)&lt;PolicyEff),1,Milestones!$AC$175)&amp;";  ",""))</f>
        <v/>
      </c>
      <c r="V110" s="0" t="str">
        <f aca="false">IF(OR($A110="",$D110=""),"",IF(AND(EDATE($D110,Milestones!$AA$176)&lt;=AsOfDate,EDATE($D110,Milestones!$AA$176)&gt;=SchemeStart,IF($X110=0,$AD110,IF(AND($Z110&lt;&gt;"",EDATE($D110,Milestones!$AA$176)&gt;=$Z110),$AC110,IF(AND($Y110&lt;&gt;"",EDATE($D110,Milestones!$AA$176)&gt;=$Y110),$AB110,$AA110)))=Milestones!$AB$176),UPPER(TEXT(EDATE($D110,Milestones!$AA$176),"dd mmm yy"))&amp;" "&amp;Milestones!$AB$176&amp;" "&amp;IF(AND(Milestones!$AB$176="FT",Milestones!$AA$176=FT_Y5,EDATE($D110,Milestones!$AA$176)&lt;PolicyEff),1,Milestones!$AC$176)&amp;";  ","")&amp;IF(AND(EDATE($D110,Milestones!$AA$177)&lt;=AsOfDate,EDATE($D110,Milestones!$AA$177)&gt;=SchemeStart,IF($X110=0,$AD110,IF(AND($Z110&lt;&gt;"",EDATE($D110,Milestones!$AA$177)&gt;=$Z110),$AC110,IF(AND($Y110&lt;&gt;"",EDATE($D110,Milestones!$AA$177)&gt;=$Y110),$AB110,$AA110)))=Milestones!$AB$177),UPPER(TEXT(EDATE($D110,Milestones!$AA$177),"dd mmm yy"))&amp;" "&amp;Milestones!$AB$177&amp;" "&amp;IF(AND(Milestones!$AB$177="FT",Milestones!$AA$177=FT_Y5,EDATE($D110,Milestones!$AA$177)&lt;PolicyEff),1,Milestones!$AC$177)&amp;";  ","")&amp;IF(AND(EDATE($D110,Milestones!$AA$178)&lt;=AsOfDate,EDATE($D110,Milestones!$AA$178)&gt;=SchemeStart,IF($X110=0,$AD110,IF(AND($Z110&lt;&gt;"",EDATE($D110,Milestones!$AA$178)&gt;=$Z110),$AC110,IF(AND($Y110&lt;&gt;"",EDATE($D110,Milestones!$AA$178)&gt;=$Y110),$AB110,$AA110)))=Milestones!$AB$178),UPPER(TEXT(EDATE($D110,Milestones!$AA$178),"dd mmm yy"))&amp;" "&amp;Milestones!$AB$178&amp;" "&amp;IF(AND(Milestones!$AB$178="FT",Milestones!$AA$178=FT_Y5,EDATE($D110,Milestones!$AA$178)&lt;PolicyEff),1,Milestones!$AC$178)&amp;";  ","")&amp;IF(AND(EDATE($D110,Milestones!$AA$179)&lt;=AsOfDate,EDATE($D110,Milestones!$AA$179)&gt;=SchemeStart,IF($X110=0,$AD110,IF(AND($Z110&lt;&gt;"",EDATE($D110,Milestones!$AA$179)&gt;=$Z110),$AC110,IF(AND($Y110&lt;&gt;"",EDATE($D110,Milestones!$AA$179)&gt;=$Y110),$AB110,$AA110)))=Milestones!$AB$179),UPPER(TEXT(EDATE($D110,Milestones!$AA$179),"dd mmm yy"))&amp;" "&amp;Milestones!$AB$179&amp;" "&amp;IF(AND(Milestones!$AB$179="FT",Milestones!$AA$179=FT_Y5,EDATE($D110,Milestones!$AA$179)&lt;PolicyEff),1,Milestones!$AC$179)&amp;";  ","")&amp;IF(AND(EDATE($D110,Milestones!$AA$180)&lt;=AsOfDate,EDATE($D110,Milestones!$AA$180)&gt;=SchemeStart,IF($X110=0,$AD110,IF(AND($Z110&lt;&gt;"",EDATE($D110,Milestones!$AA$180)&gt;=$Z110),$AC110,IF(AND($Y110&lt;&gt;"",EDATE($D110,Milestones!$AA$180)&gt;=$Y110),$AB110,$AA110)))=Milestones!$AB$180),UPPER(TEXT(EDATE($D110,Milestones!$AA$180),"dd mmm yy"))&amp;" "&amp;Milestones!$AB$180&amp;" "&amp;IF(AND(Milestones!$AB$180="FT",Milestones!$AA$180=FT_Y5,EDATE($D110,Milestones!$AA$180)&lt;PolicyEff),1,Milestones!$AC$180)&amp;";  ","")&amp;IF(AND(EDATE($D110,Milestones!$AA$181)&lt;=AsOfDate,EDATE($D110,Milestones!$AA$181)&gt;=SchemeStart,IF($X110=0,$AD110,IF(AND($Z110&lt;&gt;"",EDATE($D110,Milestones!$AA$181)&gt;=$Z110),$AC110,IF(AND($Y110&lt;&gt;"",EDATE($D110,Milestones!$AA$181)&gt;=$Y110),$AB110,$AA110)))=Milestones!$AB$181),UPPER(TEXT(EDATE($D110,Milestones!$AA$181),"dd mmm yy"))&amp;" "&amp;Milestones!$AB$181&amp;" "&amp;IF(AND(Milestones!$AB$181="FT",Milestones!$AA$181=FT_Y5,EDATE($D110,Milestones!$AA$181)&lt;PolicyEff),1,Milestones!$AC$181)&amp;";  ","")&amp;IF(AND(EDATE($D110,Milestones!$AA$182)&lt;=AsOfDate,EDATE($D110,Milestones!$AA$182)&gt;=SchemeStart,IF($X110=0,$AD110,IF(AND($Z110&lt;&gt;"",EDATE($D110,Milestones!$AA$182)&gt;=$Z110),$AC110,IF(AND($Y110&lt;&gt;"",EDATE($D110,Milestones!$AA$182)&gt;=$Y110),$AB110,$AA110)))=Milestones!$AB$182),UPPER(TEXT(EDATE($D110,Milestones!$AA$182),"dd mmm yy"))&amp;" "&amp;Milestones!$AB$182&amp;" "&amp;IF(AND(Milestones!$AB$182="FT",Milestones!$AA$182=FT_Y5,EDATE($D110,Milestones!$AA$182)&lt;PolicyEff),1,Milestones!$AC$182)&amp;";  ","")&amp;IF(AND(EDATE($D110,Milestones!$AA$183)&lt;=AsOfDate,EDATE($D110,Milestones!$AA$183)&gt;=SchemeStart,IF($X110=0,$AD110,IF(AND($Z110&lt;&gt;"",EDATE($D110,Milestones!$AA$183)&gt;=$Z110),$AC110,IF(AND($Y110&lt;&gt;"",EDATE($D110,Milestones!$AA$183)&gt;=$Y110),$AB110,$AA110)))=Milestones!$AB$183),UPPER(TEXT(EDATE($D110,Milestones!$AA$183),"dd mmm yy"))&amp;" "&amp;Milestones!$AB$183&amp;" "&amp;IF(AND(Milestones!$AB$183="FT",Milestones!$AA$183=FT_Y5,EDATE($D110,Milestones!$AA$183)&lt;PolicyEff),1,Milestones!$AC$183)&amp;";  ","")&amp;IF(AND(EDATE($D110,Milestones!$AA$184)&lt;=AsOfDate,EDATE($D110,Milestones!$AA$184)&gt;=SchemeStart,IF($X110=0,$AD110,IF(AND($Z110&lt;&gt;"",EDATE($D110,Milestones!$AA$184)&gt;=$Z110),$AC110,IF(AND($Y110&lt;&gt;"",EDATE($D110,Milestones!$AA$184)&gt;=$Y110),$AB110,$AA110)))=Milestones!$AB$184),UPPER(TEXT(EDATE($D110,Milestones!$AA$184),"dd mmm yy"))&amp;" "&amp;Milestones!$AB$184&amp;" "&amp;IF(AND(Milestones!$AB$184="FT",Milestones!$AA$184=FT_Y5,EDATE($D110,Milestones!$AA$184)&lt;PolicyEff),1,Milestones!$AC$184)&amp;";  ","")&amp;IF(AND(EDATE($D110,Milestones!$AA$185)&lt;=AsOfDate,EDATE($D110,Milestones!$AA$185)&gt;=SchemeStart,IF($X110=0,$AD110,IF(AND($Z110&lt;&gt;"",EDATE($D110,Milestones!$AA$185)&gt;=$Z110),$AC110,IF(AND($Y110&lt;&gt;"",EDATE($D110,Milestones!$AA$185)&gt;=$Y110),$AB110,$AA110)))=Milestones!$AB$185),UPPER(TEXT(EDATE($D110,Milestones!$AA$185),"dd mmm yy"))&amp;" "&amp;Milestones!$AB$185&amp;" "&amp;IF(AND(Milestones!$AB$185="FT",Milestones!$AA$185=FT_Y5,EDATE($D110,Milestones!$AA$185)&lt;PolicyEff),1,Milestones!$AC$185)&amp;";  ","")&amp;IF(AND(EDATE($D110,Milestones!$AA$186)&lt;=AsOfDate,EDATE($D110,Milestones!$AA$186)&gt;=SchemeStart,IF($X110=0,$AD110,IF(AND($Z110&lt;&gt;"",EDATE($D110,Milestones!$AA$186)&gt;=$Z110),$AC110,IF(AND($Y110&lt;&gt;"",EDATE($D110,Milestones!$AA$186)&gt;=$Y110),$AB110,$AA110)))=Milestones!$AB$186),UPPER(TEXT(EDATE($D110,Milestones!$AA$186),"dd mmm yy"))&amp;" "&amp;Milestones!$AB$186&amp;" "&amp;IF(AND(Milestones!$AB$186="FT",Milestones!$AA$186=FT_Y5,EDATE($D110,Milestones!$AA$186)&lt;PolicyEff),1,Milestones!$AC$186)&amp;";  ","")&amp;IF(AND(EDATE($D110,Milestones!$AA$187)&lt;=AsOfDate,EDATE($D110,Milestones!$AA$187)&gt;=SchemeStart,IF($X110=0,$AD110,IF(AND($Z110&lt;&gt;"",EDATE($D110,Milestones!$AA$187)&gt;=$Z110),$AC110,IF(AND($Y110&lt;&gt;"",EDATE($D110,Milestones!$AA$187)&gt;=$Y110),$AB110,$AA110)))=Milestones!$AB$187),UPPER(TEXT(EDATE($D110,Milestones!$AA$187),"dd mmm yy"))&amp;" "&amp;Milestones!$AB$187&amp;" "&amp;IF(AND(Milestones!$AB$187="FT",Milestones!$AA$187=FT_Y5,EDATE($D110,Milestones!$AA$187)&lt;PolicyEff),1,Milestones!$AC$187)&amp;";  ",""))</f>
        <v/>
      </c>
      <c r="W110" s="0" t="str">
        <f aca="false">IF(OR($A110="",$D110=""),"",IF(AND(EDATE($D110,Milestones!$AA$188)&lt;=AsOfDate,EDATE($D110,Milestones!$AA$188)&gt;=SchemeStart,IF($X110=0,$AD110,IF(AND($Z110&lt;&gt;"",EDATE($D110,Milestones!$AA$188)&gt;=$Z110),$AC110,IF(AND($Y110&lt;&gt;"",EDATE($D110,Milestones!$AA$188)&gt;=$Y110),$AB110,$AA110)))=Milestones!$AB$188),UPPER(TEXT(EDATE($D110,Milestones!$AA$188),"dd mmm yy"))&amp;" "&amp;Milestones!$AB$188&amp;" "&amp;IF(AND(Milestones!$AB$188="FT",Milestones!$AA$188=FT_Y5,EDATE($D110,Milestones!$AA$188)&lt;PolicyEff),1,Milestones!$AC$188)&amp;";  ","")&amp;IF(AND(EDATE($D110,Milestones!$AA$189)&lt;=AsOfDate,EDATE($D110,Milestones!$AA$189)&gt;=SchemeStart,IF($X110=0,$AD110,IF(AND($Z110&lt;&gt;"",EDATE($D110,Milestones!$AA$189)&gt;=$Z110),$AC110,IF(AND($Y110&lt;&gt;"",EDATE($D110,Milestones!$AA$189)&gt;=$Y110),$AB110,$AA110)))=Milestones!$AB$189),UPPER(TEXT(EDATE($D110,Milestones!$AA$189),"dd mmm yy"))&amp;" "&amp;Milestones!$AB$189&amp;" "&amp;IF(AND(Milestones!$AB$189="FT",Milestones!$AA$189=FT_Y5,EDATE($D110,Milestones!$AA$189)&lt;PolicyEff),1,Milestones!$AC$189)&amp;";  ","")&amp;IF(AND(EDATE($D110,Milestones!$AA$190)&lt;=AsOfDate,EDATE($D110,Milestones!$AA$190)&gt;=SchemeStart,IF($X110=0,$AD110,IF(AND($Z110&lt;&gt;"",EDATE($D110,Milestones!$AA$190)&gt;=$Z110),$AC110,IF(AND($Y110&lt;&gt;"",EDATE($D110,Milestones!$AA$190)&gt;=$Y110),$AB110,$AA110)))=Milestones!$AB$190),UPPER(TEXT(EDATE($D110,Milestones!$AA$190),"dd mmm yy"))&amp;" "&amp;Milestones!$AB$190&amp;" "&amp;IF(AND(Milestones!$AB$190="FT",Milestones!$AA$190=FT_Y5,EDATE($D110,Milestones!$AA$190)&lt;PolicyEff),1,Milestones!$AC$190)&amp;";  ","")&amp;IF(AND(EDATE($D110,Milestones!$AA$191)&lt;=AsOfDate,EDATE($D110,Milestones!$AA$191)&gt;=SchemeStart,IF($X110=0,$AD110,IF(AND($Z110&lt;&gt;"",EDATE($D110,Milestones!$AA$191)&gt;=$Z110),$AC110,IF(AND($Y110&lt;&gt;"",EDATE($D110,Milestones!$AA$191)&gt;=$Y110),$AB110,$AA110)))=Milestones!$AB$191),UPPER(TEXT(EDATE($D110,Milestones!$AA$191),"dd mmm yy"))&amp;" "&amp;Milestones!$AB$191&amp;" "&amp;IF(AND(Milestones!$AB$191="FT",Milestones!$AA$191=FT_Y5,EDATE($D110,Milestones!$AA$191)&lt;PolicyEff),1,Milestones!$AC$191)&amp;";  ","")&amp;IF(AND(EDATE($D110,Milestones!$AA$192)&lt;=AsOfDate,EDATE($D110,Milestones!$AA$192)&gt;=SchemeStart,IF($X110=0,$AD110,IF(AND($Z110&lt;&gt;"",EDATE($D110,Milestones!$AA$192)&gt;=$Z110),$AC110,IF(AND($Y110&lt;&gt;"",EDATE($D110,Milestones!$AA$192)&gt;=$Y110),$AB110,$AA110)))=Milestones!$AB$192),UPPER(TEXT(EDATE($D110,Milestones!$AA$192),"dd mmm yy"))&amp;" "&amp;Milestones!$AB$192&amp;" "&amp;IF(AND(Milestones!$AB$192="FT",Milestones!$AA$192=FT_Y5,EDATE($D110,Milestones!$AA$192)&lt;PolicyEff),1,Milestones!$AC$192)&amp;";  ","")&amp;IF(AND(EDATE($D110,Milestones!$AA$193)&lt;=AsOfDate,EDATE($D110,Milestones!$AA$193)&gt;=SchemeStart,IF($X110=0,$AD110,IF(AND($Z110&lt;&gt;"",EDATE($D110,Milestones!$AA$193)&gt;=$Z110),$AC110,IF(AND($Y110&lt;&gt;"",EDATE($D110,Milestones!$AA$193)&gt;=$Y110),$AB110,$AA110)))=Milestones!$AB$193),UPPER(TEXT(EDATE($D110,Milestones!$AA$193),"dd mmm yy"))&amp;" "&amp;Milestones!$AB$193&amp;" "&amp;IF(AND(Milestones!$AB$193="FT",Milestones!$AA$193=FT_Y5,EDATE($D110,Milestones!$AA$193)&lt;PolicyEff),1,Milestones!$AC$193)&amp;";  ","")&amp;IF(AND(EDATE($D110,Milestones!$AA$194)&lt;=AsOfDate,EDATE($D110,Milestones!$AA$194)&gt;=SchemeStart,IF($X110=0,$AD110,IF(AND($Z110&lt;&gt;"",EDATE($D110,Milestones!$AA$194)&gt;=$Z110),$AC110,IF(AND($Y110&lt;&gt;"",EDATE($D110,Milestones!$AA$194)&gt;=$Y110),$AB110,$AA110)))=Milestones!$AB$194),UPPER(TEXT(EDATE($D110,Milestones!$AA$194),"dd mmm yy"))&amp;" "&amp;Milestones!$AB$194&amp;" "&amp;IF(AND(Milestones!$AB$194="FT",Milestones!$AA$194=FT_Y5,EDATE($D110,Milestones!$AA$194)&lt;PolicyEff),1,Milestones!$AC$194)&amp;";  ","")&amp;IF(AND(EDATE($D110,Milestones!$AA$195)&lt;=AsOfDate,EDATE($D110,Milestones!$AA$195)&gt;=SchemeStart,IF($X110=0,$AD110,IF(AND($Z110&lt;&gt;"",EDATE($D110,Milestones!$AA$195)&gt;=$Z110),$AC110,IF(AND($Y110&lt;&gt;"",EDATE($D110,Milestones!$AA$195)&gt;=$Y110),$AB110,$AA110)))=Milestones!$AB$195),UPPER(TEXT(EDATE($D110,Milestones!$AA$195),"dd mmm yy"))&amp;" "&amp;Milestones!$AB$195&amp;" "&amp;IF(AND(Milestones!$AB$195="FT",Milestones!$AA$195=FT_Y5,EDATE($D110,Milestones!$AA$195)&lt;PolicyEff),1,Milestones!$AC$195)&amp;";  ","")&amp;IF(AND(EDATE($D110,Milestones!$AA$196)&lt;=AsOfDate,EDATE($D110,Milestones!$AA$196)&gt;=SchemeStart,IF($X110=0,$AD110,IF(AND($Z110&lt;&gt;"",EDATE($D110,Milestones!$AA$196)&gt;=$Z110),$AC110,IF(AND($Y110&lt;&gt;"",EDATE($D110,Milestones!$AA$196)&gt;=$Y110),$AB110,$AA110)))=Milestones!$AB$196),UPPER(TEXT(EDATE($D110,Milestones!$AA$196),"dd mmm yy"))&amp;" "&amp;Milestones!$AB$196&amp;" "&amp;IF(AND(Milestones!$AB$196="FT",Milestones!$AA$196=FT_Y5,EDATE($D110,Milestones!$AA$196)&lt;PolicyEff),1,Milestones!$AC$196)&amp;";  ","")&amp;IF(AND(EDATE($D110,Milestones!$AA$197)&lt;=AsOfDate,EDATE($D110,Milestones!$AA$197)&gt;=SchemeStart,IF($X110=0,$AD110,IF(AND($Z110&lt;&gt;"",EDATE($D110,Milestones!$AA$197)&gt;=$Z110),$AC110,IF(AND($Y110&lt;&gt;"",EDATE($D110,Milestones!$AA$197)&gt;=$Y110),$AB110,$AA110)))=Milestones!$AB$197),UPPER(TEXT(EDATE($D110,Milestones!$AA$197),"dd mmm yy"))&amp;" "&amp;Milestones!$AB$197&amp;" "&amp;IF(AND(Milestones!$AB$197="FT",Milestones!$AA$197=FT_Y5,EDATE($D110,Milestones!$AA$197)&lt;PolicyEff),1,Milestones!$AC$197)&amp;";  ","")&amp;IF(AND(EDATE($D110,Milestones!$AA$198)&lt;=AsOfDate,EDATE($D110,Milestones!$AA$198)&gt;=SchemeStart,IF($X110=0,$AD110,IF(AND($Z110&lt;&gt;"",EDATE($D110,Milestones!$AA$198)&gt;=$Z110),$AC110,IF(AND($Y110&lt;&gt;"",EDATE($D110,Milestones!$AA$198)&gt;=$Y110),$AB110,$AA110)))=Milestones!$AB$198),UPPER(TEXT(EDATE($D110,Milestones!$AA$198),"dd mmm yy"))&amp;" "&amp;Milestones!$AB$198&amp;" "&amp;IF(AND(Milestones!$AB$198="FT",Milestones!$AA$198=FT_Y5,EDATE($D110,Milestones!$AA$198)&lt;PolicyEff),1,Milestones!$AC$198)&amp;";  ","")&amp;IF(AND(EDATE($D110,Milestones!$AA$199)&lt;=AsOfDate,EDATE($D110,Milestones!$AA$199)&gt;=SchemeStart,IF($X110=0,$AD110,IF(AND($Z110&lt;&gt;"",EDATE($D110,Milestones!$AA$199)&gt;=$Z110),$AC110,IF(AND($Y110&lt;&gt;"",EDATE($D110,Milestones!$AA$199)&gt;=$Y110),$AB110,$AA110)))=Milestones!$AB$199),UPPER(TEXT(EDATE($D110,Milestones!$AA$199),"dd mmm yy"))&amp;" "&amp;Milestones!$AB$199&amp;" "&amp;IF(AND(Milestones!$AB$199="FT",Milestones!$AA$199=FT_Y5,EDATE($D110,Milestones!$AA$199)&lt;PolicyEff),1,Milestones!$AC$199)&amp;";  ",""))</f>
        <v/>
      </c>
      <c r="X110" s="0" t="str">
        <f aca="false">IF(Staff!$A110="","",Staff!$AM110)</f>
        <v/>
      </c>
      <c r="Y110" s="0" t="str">
        <f aca="false">IF(Staff!$A110="","",Staff!$AO110)</f>
        <v/>
      </c>
      <c r="Z110" s="0" t="str">
        <f aca="false">IF(Staff!$A110="","",Staff!$AP110)</f>
        <v/>
      </c>
      <c r="AA110" s="0" t="str">
        <f aca="false">IF(Staff!$A110="","",Staff!$AT110)</f>
        <v/>
      </c>
      <c r="AB110" s="0" t="str">
        <f aca="false">IF(Staff!$A110="","",Staff!$AU110)</f>
        <v/>
      </c>
      <c r="AC110" s="0" t="str">
        <f aca="false">IF(Staff!$A110="","",Staff!$AV110)</f>
        <v/>
      </c>
      <c r="AD110" s="0" t="str">
        <f aca="false">IF(Staff!$A110="","",Staff!$AW110)</f>
        <v/>
      </c>
    </row>
    <row r="111" customFormat="false" ht="15" hidden="false" customHeight="false" outlineLevel="0" collapsed="false">
      <c r="A111" s="16" t="str">
        <f aca="false">IF(Staff!$A111="","",Staff!$A111)</f>
        <v/>
      </c>
      <c r="B111" s="16" t="str">
        <f aca="false">IF(Staff!$A111="","",Staff!$B111)</f>
        <v/>
      </c>
      <c r="C111" s="16" t="str">
        <f aca="false">IF(Staff!$A111="","",Staff!$C111)</f>
        <v/>
      </c>
      <c r="D111" s="14" t="str">
        <f aca="false">IF(Staff!$A111="","",Staff!$AL111)</f>
        <v/>
      </c>
      <c r="E111" s="16" t="str">
        <f aca="false">IF(Staff!$A111="","",Staff!$O111)</f>
        <v/>
      </c>
      <c r="F111" s="16" t="str">
        <f aca="false">IF(E111="","",E111*HoursPerDay)</f>
        <v/>
      </c>
      <c r="G111" s="16" t="str">
        <f aca="false">IF(Staff!$A111="","",Staff!$AE111)</f>
        <v/>
      </c>
      <c r="H111" s="28" t="str">
        <f aca="false">IF($A111="","",I111&amp;J111&amp;K111&amp;L111&amp;M111&amp;N111&amp;O111&amp;P111&amp;Q111&amp;R111&amp;S111&amp;T111&amp;U111&amp;V111&amp;W111)</f>
        <v/>
      </c>
      <c r="I111" s="0" t="str">
        <f aca="false">IF(OR($A111="",$D111=""),"",IF(AND(EDATE($D111,Milestones!$AA$20)&lt;=AsOfDate,EDATE($D111,Milestones!$AA$20)&gt;=SchemeStart,IF($X111=0,$AD111,IF(AND($Z111&lt;&gt;"",EDATE($D111,Milestones!$AA$20)&gt;=$Z111),$AC111,IF(AND($Y111&lt;&gt;"",EDATE($D111,Milestones!$AA$20)&gt;=$Y111),$AB111,$AA111)))=Milestones!$AB$20),UPPER(TEXT(EDATE($D111,Milestones!$AA$20),"dd mmm yy"))&amp;" "&amp;Milestones!$AB$20&amp;" "&amp;IF(AND(Milestones!$AB$20="FT",Milestones!$AA$20=FT_Y5,EDATE($D111,Milestones!$AA$20)&lt;PolicyEff),1,Milestones!$AC$20)&amp;";  ","")&amp;IF(AND(EDATE($D111,Milestones!$AA$21)&lt;=AsOfDate,EDATE($D111,Milestones!$AA$21)&gt;=SchemeStart,IF($X111=0,$AD111,IF(AND($Z111&lt;&gt;"",EDATE($D111,Milestones!$AA$21)&gt;=$Z111),$AC111,IF(AND($Y111&lt;&gt;"",EDATE($D111,Milestones!$AA$21)&gt;=$Y111),$AB111,$AA111)))=Milestones!$AB$21),UPPER(TEXT(EDATE($D111,Milestones!$AA$21),"dd mmm yy"))&amp;" "&amp;Milestones!$AB$21&amp;" "&amp;IF(AND(Milestones!$AB$21="FT",Milestones!$AA$21=FT_Y5,EDATE($D111,Milestones!$AA$21)&lt;PolicyEff),1,Milestones!$AC$21)&amp;";  ","")&amp;IF(AND(EDATE($D111,Milestones!$AA$22)&lt;=AsOfDate,EDATE($D111,Milestones!$AA$22)&gt;=SchemeStart,IF($X111=0,$AD111,IF(AND($Z111&lt;&gt;"",EDATE($D111,Milestones!$AA$22)&gt;=$Z111),$AC111,IF(AND($Y111&lt;&gt;"",EDATE($D111,Milestones!$AA$22)&gt;=$Y111),$AB111,$AA111)))=Milestones!$AB$22),UPPER(TEXT(EDATE($D111,Milestones!$AA$22),"dd mmm yy"))&amp;" "&amp;Milestones!$AB$22&amp;" "&amp;IF(AND(Milestones!$AB$22="FT",Milestones!$AA$22=FT_Y5,EDATE($D111,Milestones!$AA$22)&lt;PolicyEff),1,Milestones!$AC$22)&amp;";  ","")&amp;IF(AND(EDATE($D111,Milestones!$AA$23)&lt;=AsOfDate,EDATE($D111,Milestones!$AA$23)&gt;=SchemeStart,IF($X111=0,$AD111,IF(AND($Z111&lt;&gt;"",EDATE($D111,Milestones!$AA$23)&gt;=$Z111),$AC111,IF(AND($Y111&lt;&gt;"",EDATE($D111,Milestones!$AA$23)&gt;=$Y111),$AB111,$AA111)))=Milestones!$AB$23),UPPER(TEXT(EDATE($D111,Milestones!$AA$23),"dd mmm yy"))&amp;" "&amp;Milestones!$AB$23&amp;" "&amp;IF(AND(Milestones!$AB$23="FT",Milestones!$AA$23=FT_Y5,EDATE($D111,Milestones!$AA$23)&lt;PolicyEff),1,Milestones!$AC$23)&amp;";  ","")&amp;IF(AND(EDATE($D111,Milestones!$AA$24)&lt;=AsOfDate,EDATE($D111,Milestones!$AA$24)&gt;=SchemeStart,IF($X111=0,$AD111,IF(AND($Z111&lt;&gt;"",EDATE($D111,Milestones!$AA$24)&gt;=$Z111),$AC111,IF(AND($Y111&lt;&gt;"",EDATE($D111,Milestones!$AA$24)&gt;=$Y111),$AB111,$AA111)))=Milestones!$AB$24),UPPER(TEXT(EDATE($D111,Milestones!$AA$24),"dd mmm yy"))&amp;" "&amp;Milestones!$AB$24&amp;" "&amp;IF(AND(Milestones!$AB$24="FT",Milestones!$AA$24=FT_Y5,EDATE($D111,Milestones!$AA$24)&lt;PolicyEff),1,Milestones!$AC$24)&amp;";  ","")&amp;IF(AND(EDATE($D111,Milestones!$AA$25)&lt;=AsOfDate,EDATE($D111,Milestones!$AA$25)&gt;=SchemeStart,IF($X111=0,$AD111,IF(AND($Z111&lt;&gt;"",EDATE($D111,Milestones!$AA$25)&gt;=$Z111),$AC111,IF(AND($Y111&lt;&gt;"",EDATE($D111,Milestones!$AA$25)&gt;=$Y111),$AB111,$AA111)))=Milestones!$AB$25),UPPER(TEXT(EDATE($D111,Milestones!$AA$25),"dd mmm yy"))&amp;" "&amp;Milestones!$AB$25&amp;" "&amp;IF(AND(Milestones!$AB$25="FT",Milestones!$AA$25=FT_Y5,EDATE($D111,Milestones!$AA$25)&lt;PolicyEff),1,Milestones!$AC$25)&amp;";  ","")&amp;IF(AND(EDATE($D111,Milestones!$AA$26)&lt;=AsOfDate,EDATE($D111,Milestones!$AA$26)&gt;=SchemeStart,IF($X111=0,$AD111,IF(AND($Z111&lt;&gt;"",EDATE($D111,Milestones!$AA$26)&gt;=$Z111),$AC111,IF(AND($Y111&lt;&gt;"",EDATE($D111,Milestones!$AA$26)&gt;=$Y111),$AB111,$AA111)))=Milestones!$AB$26),UPPER(TEXT(EDATE($D111,Milestones!$AA$26),"dd mmm yy"))&amp;" "&amp;Milestones!$AB$26&amp;" "&amp;IF(AND(Milestones!$AB$26="FT",Milestones!$AA$26=FT_Y5,EDATE($D111,Milestones!$AA$26)&lt;PolicyEff),1,Milestones!$AC$26)&amp;";  ","")&amp;IF(AND(EDATE($D111,Milestones!$AA$27)&lt;=AsOfDate,EDATE($D111,Milestones!$AA$27)&gt;=SchemeStart,IF($X111=0,$AD111,IF(AND($Z111&lt;&gt;"",EDATE($D111,Milestones!$AA$27)&gt;=$Z111),$AC111,IF(AND($Y111&lt;&gt;"",EDATE($D111,Milestones!$AA$27)&gt;=$Y111),$AB111,$AA111)))=Milestones!$AB$27),UPPER(TEXT(EDATE($D111,Milestones!$AA$27),"dd mmm yy"))&amp;" "&amp;Milestones!$AB$27&amp;" "&amp;IF(AND(Milestones!$AB$27="FT",Milestones!$AA$27=FT_Y5,EDATE($D111,Milestones!$AA$27)&lt;PolicyEff),1,Milestones!$AC$27)&amp;";  ","")&amp;IF(AND(EDATE($D111,Milestones!$AA$28)&lt;=AsOfDate,EDATE($D111,Milestones!$AA$28)&gt;=SchemeStart,IF($X111=0,$AD111,IF(AND($Z111&lt;&gt;"",EDATE($D111,Milestones!$AA$28)&gt;=$Z111),$AC111,IF(AND($Y111&lt;&gt;"",EDATE($D111,Milestones!$AA$28)&gt;=$Y111),$AB111,$AA111)))=Milestones!$AB$28),UPPER(TEXT(EDATE($D111,Milestones!$AA$28),"dd mmm yy"))&amp;" "&amp;Milestones!$AB$28&amp;" "&amp;IF(AND(Milestones!$AB$28="FT",Milestones!$AA$28=FT_Y5,EDATE($D111,Milestones!$AA$28)&lt;PolicyEff),1,Milestones!$AC$28)&amp;";  ","")&amp;IF(AND(EDATE($D111,Milestones!$AA$29)&lt;=AsOfDate,EDATE($D111,Milestones!$AA$29)&gt;=SchemeStart,IF($X111=0,$AD111,IF(AND($Z111&lt;&gt;"",EDATE($D111,Milestones!$AA$29)&gt;=$Z111),$AC111,IF(AND($Y111&lt;&gt;"",EDATE($D111,Milestones!$AA$29)&gt;=$Y111),$AB111,$AA111)))=Milestones!$AB$29),UPPER(TEXT(EDATE($D111,Milestones!$AA$29),"dd mmm yy"))&amp;" "&amp;Milestones!$AB$29&amp;" "&amp;IF(AND(Milestones!$AB$29="FT",Milestones!$AA$29=FT_Y5,EDATE($D111,Milestones!$AA$29)&lt;PolicyEff),1,Milestones!$AC$29)&amp;";  ","")&amp;IF(AND(EDATE($D111,Milestones!$AA$30)&lt;=AsOfDate,EDATE($D111,Milestones!$AA$30)&gt;=SchemeStart,IF($X111=0,$AD111,IF(AND($Z111&lt;&gt;"",EDATE($D111,Milestones!$AA$30)&gt;=$Z111),$AC111,IF(AND($Y111&lt;&gt;"",EDATE($D111,Milestones!$AA$30)&gt;=$Y111),$AB111,$AA111)))=Milestones!$AB$30),UPPER(TEXT(EDATE($D111,Milestones!$AA$30),"dd mmm yy"))&amp;" "&amp;Milestones!$AB$30&amp;" "&amp;IF(AND(Milestones!$AB$30="FT",Milestones!$AA$30=FT_Y5,EDATE($D111,Milestones!$AA$30)&lt;PolicyEff),1,Milestones!$AC$30)&amp;";  ","")&amp;IF(AND(EDATE($D111,Milestones!$AA$31)&lt;=AsOfDate,EDATE($D111,Milestones!$AA$31)&gt;=SchemeStart,IF($X111=0,$AD111,IF(AND($Z111&lt;&gt;"",EDATE($D111,Milestones!$AA$31)&gt;=$Z111),$AC111,IF(AND($Y111&lt;&gt;"",EDATE($D111,Milestones!$AA$31)&gt;=$Y111),$AB111,$AA111)))=Milestones!$AB$31),UPPER(TEXT(EDATE($D111,Milestones!$AA$31),"dd mmm yy"))&amp;" "&amp;Milestones!$AB$31&amp;" "&amp;IF(AND(Milestones!$AB$31="FT",Milestones!$AA$31=FT_Y5,EDATE($D111,Milestones!$AA$31)&lt;PolicyEff),1,Milestones!$AC$31)&amp;";  ",""))</f>
        <v/>
      </c>
      <c r="J111" s="0" t="str">
        <f aca="false">IF(OR($A111="",$D111=""),"",IF(AND(EDATE($D111,Milestones!$AA$32)&lt;=AsOfDate,EDATE($D111,Milestones!$AA$32)&gt;=SchemeStart,IF($X111=0,$AD111,IF(AND($Z111&lt;&gt;"",EDATE($D111,Milestones!$AA$32)&gt;=$Z111),$AC111,IF(AND($Y111&lt;&gt;"",EDATE($D111,Milestones!$AA$32)&gt;=$Y111),$AB111,$AA111)))=Milestones!$AB$32),UPPER(TEXT(EDATE($D111,Milestones!$AA$32),"dd mmm yy"))&amp;" "&amp;Milestones!$AB$32&amp;" "&amp;IF(AND(Milestones!$AB$32="FT",Milestones!$AA$32=FT_Y5,EDATE($D111,Milestones!$AA$32)&lt;PolicyEff),1,Milestones!$AC$32)&amp;";  ","")&amp;IF(AND(EDATE($D111,Milestones!$AA$33)&lt;=AsOfDate,EDATE($D111,Milestones!$AA$33)&gt;=SchemeStart,IF($X111=0,$AD111,IF(AND($Z111&lt;&gt;"",EDATE($D111,Milestones!$AA$33)&gt;=$Z111),$AC111,IF(AND($Y111&lt;&gt;"",EDATE($D111,Milestones!$AA$33)&gt;=$Y111),$AB111,$AA111)))=Milestones!$AB$33),UPPER(TEXT(EDATE($D111,Milestones!$AA$33),"dd mmm yy"))&amp;" "&amp;Milestones!$AB$33&amp;" "&amp;IF(AND(Milestones!$AB$33="FT",Milestones!$AA$33=FT_Y5,EDATE($D111,Milestones!$AA$33)&lt;PolicyEff),1,Milestones!$AC$33)&amp;";  ","")&amp;IF(AND(EDATE($D111,Milestones!$AA$34)&lt;=AsOfDate,EDATE($D111,Milestones!$AA$34)&gt;=SchemeStart,IF($X111=0,$AD111,IF(AND($Z111&lt;&gt;"",EDATE($D111,Milestones!$AA$34)&gt;=$Z111),$AC111,IF(AND($Y111&lt;&gt;"",EDATE($D111,Milestones!$AA$34)&gt;=$Y111),$AB111,$AA111)))=Milestones!$AB$34),UPPER(TEXT(EDATE($D111,Milestones!$AA$34),"dd mmm yy"))&amp;" "&amp;Milestones!$AB$34&amp;" "&amp;IF(AND(Milestones!$AB$34="FT",Milestones!$AA$34=FT_Y5,EDATE($D111,Milestones!$AA$34)&lt;PolicyEff),1,Milestones!$AC$34)&amp;";  ","")&amp;IF(AND(EDATE($D111,Milestones!$AA$35)&lt;=AsOfDate,EDATE($D111,Milestones!$AA$35)&gt;=SchemeStart,IF($X111=0,$AD111,IF(AND($Z111&lt;&gt;"",EDATE($D111,Milestones!$AA$35)&gt;=$Z111),$AC111,IF(AND($Y111&lt;&gt;"",EDATE($D111,Milestones!$AA$35)&gt;=$Y111),$AB111,$AA111)))=Milestones!$AB$35),UPPER(TEXT(EDATE($D111,Milestones!$AA$35),"dd mmm yy"))&amp;" "&amp;Milestones!$AB$35&amp;" "&amp;IF(AND(Milestones!$AB$35="FT",Milestones!$AA$35=FT_Y5,EDATE($D111,Milestones!$AA$35)&lt;PolicyEff),1,Milestones!$AC$35)&amp;";  ","")&amp;IF(AND(EDATE($D111,Milestones!$AA$36)&lt;=AsOfDate,EDATE($D111,Milestones!$AA$36)&gt;=SchemeStart,IF($X111=0,$AD111,IF(AND($Z111&lt;&gt;"",EDATE($D111,Milestones!$AA$36)&gt;=$Z111),$AC111,IF(AND($Y111&lt;&gt;"",EDATE($D111,Milestones!$AA$36)&gt;=$Y111),$AB111,$AA111)))=Milestones!$AB$36),UPPER(TEXT(EDATE($D111,Milestones!$AA$36),"dd mmm yy"))&amp;" "&amp;Milestones!$AB$36&amp;" "&amp;IF(AND(Milestones!$AB$36="FT",Milestones!$AA$36=FT_Y5,EDATE($D111,Milestones!$AA$36)&lt;PolicyEff),1,Milestones!$AC$36)&amp;";  ","")&amp;IF(AND(EDATE($D111,Milestones!$AA$37)&lt;=AsOfDate,EDATE($D111,Milestones!$AA$37)&gt;=SchemeStart,IF($X111=0,$AD111,IF(AND($Z111&lt;&gt;"",EDATE($D111,Milestones!$AA$37)&gt;=$Z111),$AC111,IF(AND($Y111&lt;&gt;"",EDATE($D111,Milestones!$AA$37)&gt;=$Y111),$AB111,$AA111)))=Milestones!$AB$37),UPPER(TEXT(EDATE($D111,Milestones!$AA$37),"dd mmm yy"))&amp;" "&amp;Milestones!$AB$37&amp;" "&amp;IF(AND(Milestones!$AB$37="FT",Milestones!$AA$37=FT_Y5,EDATE($D111,Milestones!$AA$37)&lt;PolicyEff),1,Milestones!$AC$37)&amp;";  ","")&amp;IF(AND(EDATE($D111,Milestones!$AA$38)&lt;=AsOfDate,EDATE($D111,Milestones!$AA$38)&gt;=SchemeStart,IF($X111=0,$AD111,IF(AND($Z111&lt;&gt;"",EDATE($D111,Milestones!$AA$38)&gt;=$Z111),$AC111,IF(AND($Y111&lt;&gt;"",EDATE($D111,Milestones!$AA$38)&gt;=$Y111),$AB111,$AA111)))=Milestones!$AB$38),UPPER(TEXT(EDATE($D111,Milestones!$AA$38),"dd mmm yy"))&amp;" "&amp;Milestones!$AB$38&amp;" "&amp;IF(AND(Milestones!$AB$38="FT",Milestones!$AA$38=FT_Y5,EDATE($D111,Milestones!$AA$38)&lt;PolicyEff),1,Milestones!$AC$38)&amp;";  ","")&amp;IF(AND(EDATE($D111,Milestones!$AA$39)&lt;=AsOfDate,EDATE($D111,Milestones!$AA$39)&gt;=SchemeStart,IF($X111=0,$AD111,IF(AND($Z111&lt;&gt;"",EDATE($D111,Milestones!$AA$39)&gt;=$Z111),$AC111,IF(AND($Y111&lt;&gt;"",EDATE($D111,Milestones!$AA$39)&gt;=$Y111),$AB111,$AA111)))=Milestones!$AB$39),UPPER(TEXT(EDATE($D111,Milestones!$AA$39),"dd mmm yy"))&amp;" "&amp;Milestones!$AB$39&amp;" "&amp;IF(AND(Milestones!$AB$39="FT",Milestones!$AA$39=FT_Y5,EDATE($D111,Milestones!$AA$39)&lt;PolicyEff),1,Milestones!$AC$39)&amp;";  ","")&amp;IF(AND(EDATE($D111,Milestones!$AA$40)&lt;=AsOfDate,EDATE($D111,Milestones!$AA$40)&gt;=SchemeStart,IF($X111=0,$AD111,IF(AND($Z111&lt;&gt;"",EDATE($D111,Milestones!$AA$40)&gt;=$Z111),$AC111,IF(AND($Y111&lt;&gt;"",EDATE($D111,Milestones!$AA$40)&gt;=$Y111),$AB111,$AA111)))=Milestones!$AB$40),UPPER(TEXT(EDATE($D111,Milestones!$AA$40),"dd mmm yy"))&amp;" "&amp;Milestones!$AB$40&amp;" "&amp;IF(AND(Milestones!$AB$40="FT",Milestones!$AA$40=FT_Y5,EDATE($D111,Milestones!$AA$40)&lt;PolicyEff),1,Milestones!$AC$40)&amp;";  ","")&amp;IF(AND(EDATE($D111,Milestones!$AA$41)&lt;=AsOfDate,EDATE($D111,Milestones!$AA$41)&gt;=SchemeStart,IF($X111=0,$AD111,IF(AND($Z111&lt;&gt;"",EDATE($D111,Milestones!$AA$41)&gt;=$Z111),$AC111,IF(AND($Y111&lt;&gt;"",EDATE($D111,Milestones!$AA$41)&gt;=$Y111),$AB111,$AA111)))=Milestones!$AB$41),UPPER(TEXT(EDATE($D111,Milestones!$AA$41),"dd mmm yy"))&amp;" "&amp;Milestones!$AB$41&amp;" "&amp;IF(AND(Milestones!$AB$41="FT",Milestones!$AA$41=FT_Y5,EDATE($D111,Milestones!$AA$41)&lt;PolicyEff),1,Milestones!$AC$41)&amp;";  ","")&amp;IF(AND(EDATE($D111,Milestones!$AA$42)&lt;=AsOfDate,EDATE($D111,Milestones!$AA$42)&gt;=SchemeStart,IF($X111=0,$AD111,IF(AND($Z111&lt;&gt;"",EDATE($D111,Milestones!$AA$42)&gt;=$Z111),$AC111,IF(AND($Y111&lt;&gt;"",EDATE($D111,Milestones!$AA$42)&gt;=$Y111),$AB111,$AA111)))=Milestones!$AB$42),UPPER(TEXT(EDATE($D111,Milestones!$AA$42),"dd mmm yy"))&amp;" "&amp;Milestones!$AB$42&amp;" "&amp;IF(AND(Milestones!$AB$42="FT",Milestones!$AA$42=FT_Y5,EDATE($D111,Milestones!$AA$42)&lt;PolicyEff),1,Milestones!$AC$42)&amp;";  ","")&amp;IF(AND(EDATE($D111,Milestones!$AA$43)&lt;=AsOfDate,EDATE($D111,Milestones!$AA$43)&gt;=SchemeStart,IF($X111=0,$AD111,IF(AND($Z111&lt;&gt;"",EDATE($D111,Milestones!$AA$43)&gt;=$Z111),$AC111,IF(AND($Y111&lt;&gt;"",EDATE($D111,Milestones!$AA$43)&gt;=$Y111),$AB111,$AA111)))=Milestones!$AB$43),UPPER(TEXT(EDATE($D111,Milestones!$AA$43),"dd mmm yy"))&amp;" "&amp;Milestones!$AB$43&amp;" "&amp;IF(AND(Milestones!$AB$43="FT",Milestones!$AA$43=FT_Y5,EDATE($D111,Milestones!$AA$43)&lt;PolicyEff),1,Milestones!$AC$43)&amp;";  ",""))</f>
        <v/>
      </c>
      <c r="K111" s="0" t="str">
        <f aca="false">IF(OR($A111="",$D111=""),"",IF(AND(EDATE($D111,Milestones!$AA$44)&lt;=AsOfDate,EDATE($D111,Milestones!$AA$44)&gt;=SchemeStart,IF($X111=0,$AD111,IF(AND($Z111&lt;&gt;"",EDATE($D111,Milestones!$AA$44)&gt;=$Z111),$AC111,IF(AND($Y111&lt;&gt;"",EDATE($D111,Milestones!$AA$44)&gt;=$Y111),$AB111,$AA111)))=Milestones!$AB$44),UPPER(TEXT(EDATE($D111,Milestones!$AA$44),"dd mmm yy"))&amp;" "&amp;Milestones!$AB$44&amp;" "&amp;IF(AND(Milestones!$AB$44="FT",Milestones!$AA$44=FT_Y5,EDATE($D111,Milestones!$AA$44)&lt;PolicyEff),1,Milestones!$AC$44)&amp;";  ","")&amp;IF(AND(EDATE($D111,Milestones!$AA$45)&lt;=AsOfDate,EDATE($D111,Milestones!$AA$45)&gt;=SchemeStart,IF($X111=0,$AD111,IF(AND($Z111&lt;&gt;"",EDATE($D111,Milestones!$AA$45)&gt;=$Z111),$AC111,IF(AND($Y111&lt;&gt;"",EDATE($D111,Milestones!$AA$45)&gt;=$Y111),$AB111,$AA111)))=Milestones!$AB$45),UPPER(TEXT(EDATE($D111,Milestones!$AA$45),"dd mmm yy"))&amp;" "&amp;Milestones!$AB$45&amp;" "&amp;IF(AND(Milestones!$AB$45="FT",Milestones!$AA$45=FT_Y5,EDATE($D111,Milestones!$AA$45)&lt;PolicyEff),1,Milestones!$AC$45)&amp;";  ","")&amp;IF(AND(EDATE($D111,Milestones!$AA$46)&lt;=AsOfDate,EDATE($D111,Milestones!$AA$46)&gt;=SchemeStart,IF($X111=0,$AD111,IF(AND($Z111&lt;&gt;"",EDATE($D111,Milestones!$AA$46)&gt;=$Z111),$AC111,IF(AND($Y111&lt;&gt;"",EDATE($D111,Milestones!$AA$46)&gt;=$Y111),$AB111,$AA111)))=Milestones!$AB$46),UPPER(TEXT(EDATE($D111,Milestones!$AA$46),"dd mmm yy"))&amp;" "&amp;Milestones!$AB$46&amp;" "&amp;IF(AND(Milestones!$AB$46="FT",Milestones!$AA$46=FT_Y5,EDATE($D111,Milestones!$AA$46)&lt;PolicyEff),1,Milestones!$AC$46)&amp;";  ","")&amp;IF(AND(EDATE($D111,Milestones!$AA$47)&lt;=AsOfDate,EDATE($D111,Milestones!$AA$47)&gt;=SchemeStart,IF($X111=0,$AD111,IF(AND($Z111&lt;&gt;"",EDATE($D111,Milestones!$AA$47)&gt;=$Z111),$AC111,IF(AND($Y111&lt;&gt;"",EDATE($D111,Milestones!$AA$47)&gt;=$Y111),$AB111,$AA111)))=Milestones!$AB$47),UPPER(TEXT(EDATE($D111,Milestones!$AA$47),"dd mmm yy"))&amp;" "&amp;Milestones!$AB$47&amp;" "&amp;IF(AND(Milestones!$AB$47="FT",Milestones!$AA$47=FT_Y5,EDATE($D111,Milestones!$AA$47)&lt;PolicyEff),1,Milestones!$AC$47)&amp;";  ","")&amp;IF(AND(EDATE($D111,Milestones!$AA$48)&lt;=AsOfDate,EDATE($D111,Milestones!$AA$48)&gt;=SchemeStart,IF($X111=0,$AD111,IF(AND($Z111&lt;&gt;"",EDATE($D111,Milestones!$AA$48)&gt;=$Z111),$AC111,IF(AND($Y111&lt;&gt;"",EDATE($D111,Milestones!$AA$48)&gt;=$Y111),$AB111,$AA111)))=Milestones!$AB$48),UPPER(TEXT(EDATE($D111,Milestones!$AA$48),"dd mmm yy"))&amp;" "&amp;Milestones!$AB$48&amp;" "&amp;IF(AND(Milestones!$AB$48="FT",Milestones!$AA$48=FT_Y5,EDATE($D111,Milestones!$AA$48)&lt;PolicyEff),1,Milestones!$AC$48)&amp;";  ","")&amp;IF(AND(EDATE($D111,Milestones!$AA$49)&lt;=AsOfDate,EDATE($D111,Milestones!$AA$49)&gt;=SchemeStart,IF($X111=0,$AD111,IF(AND($Z111&lt;&gt;"",EDATE($D111,Milestones!$AA$49)&gt;=$Z111),$AC111,IF(AND($Y111&lt;&gt;"",EDATE($D111,Milestones!$AA$49)&gt;=$Y111),$AB111,$AA111)))=Milestones!$AB$49),UPPER(TEXT(EDATE($D111,Milestones!$AA$49),"dd mmm yy"))&amp;" "&amp;Milestones!$AB$49&amp;" "&amp;IF(AND(Milestones!$AB$49="FT",Milestones!$AA$49=FT_Y5,EDATE($D111,Milestones!$AA$49)&lt;PolicyEff),1,Milestones!$AC$49)&amp;";  ","")&amp;IF(AND(EDATE($D111,Milestones!$AA$50)&lt;=AsOfDate,EDATE($D111,Milestones!$AA$50)&gt;=SchemeStart,IF($X111=0,$AD111,IF(AND($Z111&lt;&gt;"",EDATE($D111,Milestones!$AA$50)&gt;=$Z111),$AC111,IF(AND($Y111&lt;&gt;"",EDATE($D111,Milestones!$AA$50)&gt;=$Y111),$AB111,$AA111)))=Milestones!$AB$50),UPPER(TEXT(EDATE($D111,Milestones!$AA$50),"dd mmm yy"))&amp;" "&amp;Milestones!$AB$50&amp;" "&amp;IF(AND(Milestones!$AB$50="FT",Milestones!$AA$50=FT_Y5,EDATE($D111,Milestones!$AA$50)&lt;PolicyEff),1,Milestones!$AC$50)&amp;";  ","")&amp;IF(AND(EDATE($D111,Milestones!$AA$51)&lt;=AsOfDate,EDATE($D111,Milestones!$AA$51)&gt;=SchemeStart,IF($X111=0,$AD111,IF(AND($Z111&lt;&gt;"",EDATE($D111,Milestones!$AA$51)&gt;=$Z111),$AC111,IF(AND($Y111&lt;&gt;"",EDATE($D111,Milestones!$AA$51)&gt;=$Y111),$AB111,$AA111)))=Milestones!$AB$51),UPPER(TEXT(EDATE($D111,Milestones!$AA$51),"dd mmm yy"))&amp;" "&amp;Milestones!$AB$51&amp;" "&amp;IF(AND(Milestones!$AB$51="FT",Milestones!$AA$51=FT_Y5,EDATE($D111,Milestones!$AA$51)&lt;PolicyEff),1,Milestones!$AC$51)&amp;";  ","")&amp;IF(AND(EDATE($D111,Milestones!$AA$52)&lt;=AsOfDate,EDATE($D111,Milestones!$AA$52)&gt;=SchemeStart,IF($X111=0,$AD111,IF(AND($Z111&lt;&gt;"",EDATE($D111,Milestones!$AA$52)&gt;=$Z111),$AC111,IF(AND($Y111&lt;&gt;"",EDATE($D111,Milestones!$AA$52)&gt;=$Y111),$AB111,$AA111)))=Milestones!$AB$52),UPPER(TEXT(EDATE($D111,Milestones!$AA$52),"dd mmm yy"))&amp;" "&amp;Milestones!$AB$52&amp;" "&amp;IF(AND(Milestones!$AB$52="FT",Milestones!$AA$52=FT_Y5,EDATE($D111,Milestones!$AA$52)&lt;PolicyEff),1,Milestones!$AC$52)&amp;";  ","")&amp;IF(AND(EDATE($D111,Milestones!$AA$53)&lt;=AsOfDate,EDATE($D111,Milestones!$AA$53)&gt;=SchemeStart,IF($X111=0,$AD111,IF(AND($Z111&lt;&gt;"",EDATE($D111,Milestones!$AA$53)&gt;=$Z111),$AC111,IF(AND($Y111&lt;&gt;"",EDATE($D111,Milestones!$AA$53)&gt;=$Y111),$AB111,$AA111)))=Milestones!$AB$53),UPPER(TEXT(EDATE($D111,Milestones!$AA$53),"dd mmm yy"))&amp;" "&amp;Milestones!$AB$53&amp;" "&amp;IF(AND(Milestones!$AB$53="FT",Milestones!$AA$53=FT_Y5,EDATE($D111,Milestones!$AA$53)&lt;PolicyEff),1,Milestones!$AC$53)&amp;";  ","")&amp;IF(AND(EDATE($D111,Milestones!$AA$54)&lt;=AsOfDate,EDATE($D111,Milestones!$AA$54)&gt;=SchemeStart,IF($X111=0,$AD111,IF(AND($Z111&lt;&gt;"",EDATE($D111,Milestones!$AA$54)&gt;=$Z111),$AC111,IF(AND($Y111&lt;&gt;"",EDATE($D111,Milestones!$AA$54)&gt;=$Y111),$AB111,$AA111)))=Milestones!$AB$54),UPPER(TEXT(EDATE($D111,Milestones!$AA$54),"dd mmm yy"))&amp;" "&amp;Milestones!$AB$54&amp;" "&amp;IF(AND(Milestones!$AB$54="FT",Milestones!$AA$54=FT_Y5,EDATE($D111,Milestones!$AA$54)&lt;PolicyEff),1,Milestones!$AC$54)&amp;";  ","")&amp;IF(AND(EDATE($D111,Milestones!$AA$55)&lt;=AsOfDate,EDATE($D111,Milestones!$AA$55)&gt;=SchemeStart,IF($X111=0,$AD111,IF(AND($Z111&lt;&gt;"",EDATE($D111,Milestones!$AA$55)&gt;=$Z111),$AC111,IF(AND($Y111&lt;&gt;"",EDATE($D111,Milestones!$AA$55)&gt;=$Y111),$AB111,$AA111)))=Milestones!$AB$55),UPPER(TEXT(EDATE($D111,Milestones!$AA$55),"dd mmm yy"))&amp;" "&amp;Milestones!$AB$55&amp;" "&amp;IF(AND(Milestones!$AB$55="FT",Milestones!$AA$55=FT_Y5,EDATE($D111,Milestones!$AA$55)&lt;PolicyEff),1,Milestones!$AC$55)&amp;";  ",""))</f>
        <v/>
      </c>
      <c r="L111" s="0" t="str">
        <f aca="false">IF(OR($A111="",$D111=""),"",IF(AND(EDATE($D111,Milestones!$AA$56)&lt;=AsOfDate,EDATE($D111,Milestones!$AA$56)&gt;=SchemeStart,IF($X111=0,$AD111,IF(AND($Z111&lt;&gt;"",EDATE($D111,Milestones!$AA$56)&gt;=$Z111),$AC111,IF(AND($Y111&lt;&gt;"",EDATE($D111,Milestones!$AA$56)&gt;=$Y111),$AB111,$AA111)))=Milestones!$AB$56),UPPER(TEXT(EDATE($D111,Milestones!$AA$56),"dd mmm yy"))&amp;" "&amp;Milestones!$AB$56&amp;" "&amp;IF(AND(Milestones!$AB$56="FT",Milestones!$AA$56=FT_Y5,EDATE($D111,Milestones!$AA$56)&lt;PolicyEff),1,Milestones!$AC$56)&amp;";  ","")&amp;IF(AND(EDATE($D111,Milestones!$AA$57)&lt;=AsOfDate,EDATE($D111,Milestones!$AA$57)&gt;=SchemeStart,IF($X111=0,$AD111,IF(AND($Z111&lt;&gt;"",EDATE($D111,Milestones!$AA$57)&gt;=$Z111),$AC111,IF(AND($Y111&lt;&gt;"",EDATE($D111,Milestones!$AA$57)&gt;=$Y111),$AB111,$AA111)))=Milestones!$AB$57),UPPER(TEXT(EDATE($D111,Milestones!$AA$57),"dd mmm yy"))&amp;" "&amp;Milestones!$AB$57&amp;" "&amp;IF(AND(Milestones!$AB$57="FT",Milestones!$AA$57=FT_Y5,EDATE($D111,Milestones!$AA$57)&lt;PolicyEff),1,Milestones!$AC$57)&amp;";  ","")&amp;IF(AND(EDATE($D111,Milestones!$AA$58)&lt;=AsOfDate,EDATE($D111,Milestones!$AA$58)&gt;=SchemeStart,IF($X111=0,$AD111,IF(AND($Z111&lt;&gt;"",EDATE($D111,Milestones!$AA$58)&gt;=$Z111),$AC111,IF(AND($Y111&lt;&gt;"",EDATE($D111,Milestones!$AA$58)&gt;=$Y111),$AB111,$AA111)))=Milestones!$AB$58),UPPER(TEXT(EDATE($D111,Milestones!$AA$58),"dd mmm yy"))&amp;" "&amp;Milestones!$AB$58&amp;" "&amp;IF(AND(Milestones!$AB$58="FT",Milestones!$AA$58=FT_Y5,EDATE($D111,Milestones!$AA$58)&lt;PolicyEff),1,Milestones!$AC$58)&amp;";  ","")&amp;IF(AND(EDATE($D111,Milestones!$AA$59)&lt;=AsOfDate,EDATE($D111,Milestones!$AA$59)&gt;=SchemeStart,IF($X111=0,$AD111,IF(AND($Z111&lt;&gt;"",EDATE($D111,Milestones!$AA$59)&gt;=$Z111),$AC111,IF(AND($Y111&lt;&gt;"",EDATE($D111,Milestones!$AA$59)&gt;=$Y111),$AB111,$AA111)))=Milestones!$AB$59),UPPER(TEXT(EDATE($D111,Milestones!$AA$59),"dd mmm yy"))&amp;" "&amp;Milestones!$AB$59&amp;" "&amp;IF(AND(Milestones!$AB$59="FT",Milestones!$AA$59=FT_Y5,EDATE($D111,Milestones!$AA$59)&lt;PolicyEff),1,Milestones!$AC$59)&amp;";  ","")&amp;IF(AND(EDATE($D111,Milestones!$AA$60)&lt;=AsOfDate,EDATE($D111,Milestones!$AA$60)&gt;=SchemeStart,IF($X111=0,$AD111,IF(AND($Z111&lt;&gt;"",EDATE($D111,Milestones!$AA$60)&gt;=$Z111),$AC111,IF(AND($Y111&lt;&gt;"",EDATE($D111,Milestones!$AA$60)&gt;=$Y111),$AB111,$AA111)))=Milestones!$AB$60),UPPER(TEXT(EDATE($D111,Milestones!$AA$60),"dd mmm yy"))&amp;" "&amp;Milestones!$AB$60&amp;" "&amp;IF(AND(Milestones!$AB$60="FT",Milestones!$AA$60=FT_Y5,EDATE($D111,Milestones!$AA$60)&lt;PolicyEff),1,Milestones!$AC$60)&amp;";  ","")&amp;IF(AND(EDATE($D111,Milestones!$AA$61)&lt;=AsOfDate,EDATE($D111,Milestones!$AA$61)&gt;=SchemeStart,IF($X111=0,$AD111,IF(AND($Z111&lt;&gt;"",EDATE($D111,Milestones!$AA$61)&gt;=$Z111),$AC111,IF(AND($Y111&lt;&gt;"",EDATE($D111,Milestones!$AA$61)&gt;=$Y111),$AB111,$AA111)))=Milestones!$AB$61),UPPER(TEXT(EDATE($D111,Milestones!$AA$61),"dd mmm yy"))&amp;" "&amp;Milestones!$AB$61&amp;" "&amp;IF(AND(Milestones!$AB$61="FT",Milestones!$AA$61=FT_Y5,EDATE($D111,Milestones!$AA$61)&lt;PolicyEff),1,Milestones!$AC$61)&amp;";  ","")&amp;IF(AND(EDATE($D111,Milestones!$AA$62)&lt;=AsOfDate,EDATE($D111,Milestones!$AA$62)&gt;=SchemeStart,IF($X111=0,$AD111,IF(AND($Z111&lt;&gt;"",EDATE($D111,Milestones!$AA$62)&gt;=$Z111),$AC111,IF(AND($Y111&lt;&gt;"",EDATE($D111,Milestones!$AA$62)&gt;=$Y111),$AB111,$AA111)))=Milestones!$AB$62),UPPER(TEXT(EDATE($D111,Milestones!$AA$62),"dd mmm yy"))&amp;" "&amp;Milestones!$AB$62&amp;" "&amp;IF(AND(Milestones!$AB$62="FT",Milestones!$AA$62=FT_Y5,EDATE($D111,Milestones!$AA$62)&lt;PolicyEff),1,Milestones!$AC$62)&amp;";  ","")&amp;IF(AND(EDATE($D111,Milestones!$AA$63)&lt;=AsOfDate,EDATE($D111,Milestones!$AA$63)&gt;=SchemeStart,IF($X111=0,$AD111,IF(AND($Z111&lt;&gt;"",EDATE($D111,Milestones!$AA$63)&gt;=$Z111),$AC111,IF(AND($Y111&lt;&gt;"",EDATE($D111,Milestones!$AA$63)&gt;=$Y111),$AB111,$AA111)))=Milestones!$AB$63),UPPER(TEXT(EDATE($D111,Milestones!$AA$63),"dd mmm yy"))&amp;" "&amp;Milestones!$AB$63&amp;" "&amp;IF(AND(Milestones!$AB$63="FT",Milestones!$AA$63=FT_Y5,EDATE($D111,Milestones!$AA$63)&lt;PolicyEff),1,Milestones!$AC$63)&amp;";  ","")&amp;IF(AND(EDATE($D111,Milestones!$AA$64)&lt;=AsOfDate,EDATE($D111,Milestones!$AA$64)&gt;=SchemeStart,IF($X111=0,$AD111,IF(AND($Z111&lt;&gt;"",EDATE($D111,Milestones!$AA$64)&gt;=$Z111),$AC111,IF(AND($Y111&lt;&gt;"",EDATE($D111,Milestones!$AA$64)&gt;=$Y111),$AB111,$AA111)))=Milestones!$AB$64),UPPER(TEXT(EDATE($D111,Milestones!$AA$64),"dd mmm yy"))&amp;" "&amp;Milestones!$AB$64&amp;" "&amp;IF(AND(Milestones!$AB$64="FT",Milestones!$AA$64=FT_Y5,EDATE($D111,Milestones!$AA$64)&lt;PolicyEff),1,Milestones!$AC$64)&amp;";  ","")&amp;IF(AND(EDATE($D111,Milestones!$AA$65)&lt;=AsOfDate,EDATE($D111,Milestones!$AA$65)&gt;=SchemeStart,IF($X111=0,$AD111,IF(AND($Z111&lt;&gt;"",EDATE($D111,Milestones!$AA$65)&gt;=$Z111),$AC111,IF(AND($Y111&lt;&gt;"",EDATE($D111,Milestones!$AA$65)&gt;=$Y111),$AB111,$AA111)))=Milestones!$AB$65),UPPER(TEXT(EDATE($D111,Milestones!$AA$65),"dd mmm yy"))&amp;" "&amp;Milestones!$AB$65&amp;" "&amp;IF(AND(Milestones!$AB$65="FT",Milestones!$AA$65=FT_Y5,EDATE($D111,Milestones!$AA$65)&lt;PolicyEff),1,Milestones!$AC$65)&amp;";  ","")&amp;IF(AND(EDATE($D111,Milestones!$AA$66)&lt;=AsOfDate,EDATE($D111,Milestones!$AA$66)&gt;=SchemeStart,IF($X111=0,$AD111,IF(AND($Z111&lt;&gt;"",EDATE($D111,Milestones!$AA$66)&gt;=$Z111),$AC111,IF(AND($Y111&lt;&gt;"",EDATE($D111,Milestones!$AA$66)&gt;=$Y111),$AB111,$AA111)))=Milestones!$AB$66),UPPER(TEXT(EDATE($D111,Milestones!$AA$66),"dd mmm yy"))&amp;" "&amp;Milestones!$AB$66&amp;" "&amp;IF(AND(Milestones!$AB$66="FT",Milestones!$AA$66=FT_Y5,EDATE($D111,Milestones!$AA$66)&lt;PolicyEff),1,Milestones!$AC$66)&amp;";  ","")&amp;IF(AND(EDATE($D111,Milestones!$AA$67)&lt;=AsOfDate,EDATE($D111,Milestones!$AA$67)&gt;=SchemeStart,IF($X111=0,$AD111,IF(AND($Z111&lt;&gt;"",EDATE($D111,Milestones!$AA$67)&gt;=$Z111),$AC111,IF(AND($Y111&lt;&gt;"",EDATE($D111,Milestones!$AA$67)&gt;=$Y111),$AB111,$AA111)))=Milestones!$AB$67),UPPER(TEXT(EDATE($D111,Milestones!$AA$67),"dd mmm yy"))&amp;" "&amp;Milestones!$AB$67&amp;" "&amp;IF(AND(Milestones!$AB$67="FT",Milestones!$AA$67=FT_Y5,EDATE($D111,Milestones!$AA$67)&lt;PolicyEff),1,Milestones!$AC$67)&amp;";  ",""))</f>
        <v/>
      </c>
      <c r="M111" s="0" t="str">
        <f aca="false">IF(OR($A111="",$D111=""),"",IF(AND(EDATE($D111,Milestones!$AA$68)&lt;=AsOfDate,EDATE($D111,Milestones!$AA$68)&gt;=SchemeStart,IF($X111=0,$AD111,IF(AND($Z111&lt;&gt;"",EDATE($D111,Milestones!$AA$68)&gt;=$Z111),$AC111,IF(AND($Y111&lt;&gt;"",EDATE($D111,Milestones!$AA$68)&gt;=$Y111),$AB111,$AA111)))=Milestones!$AB$68),UPPER(TEXT(EDATE($D111,Milestones!$AA$68),"dd mmm yy"))&amp;" "&amp;Milestones!$AB$68&amp;" "&amp;IF(AND(Milestones!$AB$68="FT",Milestones!$AA$68=FT_Y5,EDATE($D111,Milestones!$AA$68)&lt;PolicyEff),1,Milestones!$AC$68)&amp;";  ","")&amp;IF(AND(EDATE($D111,Milestones!$AA$69)&lt;=AsOfDate,EDATE($D111,Milestones!$AA$69)&gt;=SchemeStart,IF($X111=0,$AD111,IF(AND($Z111&lt;&gt;"",EDATE($D111,Milestones!$AA$69)&gt;=$Z111),$AC111,IF(AND($Y111&lt;&gt;"",EDATE($D111,Milestones!$AA$69)&gt;=$Y111),$AB111,$AA111)))=Milestones!$AB$69),UPPER(TEXT(EDATE($D111,Milestones!$AA$69),"dd mmm yy"))&amp;" "&amp;Milestones!$AB$69&amp;" "&amp;IF(AND(Milestones!$AB$69="FT",Milestones!$AA$69=FT_Y5,EDATE($D111,Milestones!$AA$69)&lt;PolicyEff),1,Milestones!$AC$69)&amp;";  ","")&amp;IF(AND(EDATE($D111,Milestones!$AA$70)&lt;=AsOfDate,EDATE($D111,Milestones!$AA$70)&gt;=SchemeStart,IF($X111=0,$AD111,IF(AND($Z111&lt;&gt;"",EDATE($D111,Milestones!$AA$70)&gt;=$Z111),$AC111,IF(AND($Y111&lt;&gt;"",EDATE($D111,Milestones!$AA$70)&gt;=$Y111),$AB111,$AA111)))=Milestones!$AB$70),UPPER(TEXT(EDATE($D111,Milestones!$AA$70),"dd mmm yy"))&amp;" "&amp;Milestones!$AB$70&amp;" "&amp;IF(AND(Milestones!$AB$70="FT",Milestones!$AA$70=FT_Y5,EDATE($D111,Milestones!$AA$70)&lt;PolicyEff),1,Milestones!$AC$70)&amp;";  ","")&amp;IF(AND(EDATE($D111,Milestones!$AA$71)&lt;=AsOfDate,EDATE($D111,Milestones!$AA$71)&gt;=SchemeStart,IF($X111=0,$AD111,IF(AND($Z111&lt;&gt;"",EDATE($D111,Milestones!$AA$71)&gt;=$Z111),$AC111,IF(AND($Y111&lt;&gt;"",EDATE($D111,Milestones!$AA$71)&gt;=$Y111),$AB111,$AA111)))=Milestones!$AB$71),UPPER(TEXT(EDATE($D111,Milestones!$AA$71),"dd mmm yy"))&amp;" "&amp;Milestones!$AB$71&amp;" "&amp;IF(AND(Milestones!$AB$71="FT",Milestones!$AA$71=FT_Y5,EDATE($D111,Milestones!$AA$71)&lt;PolicyEff),1,Milestones!$AC$71)&amp;";  ","")&amp;IF(AND(EDATE($D111,Milestones!$AA$72)&lt;=AsOfDate,EDATE($D111,Milestones!$AA$72)&gt;=SchemeStart,IF($X111=0,$AD111,IF(AND($Z111&lt;&gt;"",EDATE($D111,Milestones!$AA$72)&gt;=$Z111),$AC111,IF(AND($Y111&lt;&gt;"",EDATE($D111,Milestones!$AA$72)&gt;=$Y111),$AB111,$AA111)))=Milestones!$AB$72),UPPER(TEXT(EDATE($D111,Milestones!$AA$72),"dd mmm yy"))&amp;" "&amp;Milestones!$AB$72&amp;" "&amp;IF(AND(Milestones!$AB$72="FT",Milestones!$AA$72=FT_Y5,EDATE($D111,Milestones!$AA$72)&lt;PolicyEff),1,Milestones!$AC$72)&amp;";  ","")&amp;IF(AND(EDATE($D111,Milestones!$AA$73)&lt;=AsOfDate,EDATE($D111,Milestones!$AA$73)&gt;=SchemeStart,IF($X111=0,$AD111,IF(AND($Z111&lt;&gt;"",EDATE($D111,Milestones!$AA$73)&gt;=$Z111),$AC111,IF(AND($Y111&lt;&gt;"",EDATE($D111,Milestones!$AA$73)&gt;=$Y111),$AB111,$AA111)))=Milestones!$AB$73),UPPER(TEXT(EDATE($D111,Milestones!$AA$73),"dd mmm yy"))&amp;" "&amp;Milestones!$AB$73&amp;" "&amp;IF(AND(Milestones!$AB$73="FT",Milestones!$AA$73=FT_Y5,EDATE($D111,Milestones!$AA$73)&lt;PolicyEff),1,Milestones!$AC$73)&amp;";  ","")&amp;IF(AND(EDATE($D111,Milestones!$AA$74)&lt;=AsOfDate,EDATE($D111,Milestones!$AA$74)&gt;=SchemeStart,IF($X111=0,$AD111,IF(AND($Z111&lt;&gt;"",EDATE($D111,Milestones!$AA$74)&gt;=$Z111),$AC111,IF(AND($Y111&lt;&gt;"",EDATE($D111,Milestones!$AA$74)&gt;=$Y111),$AB111,$AA111)))=Milestones!$AB$74),UPPER(TEXT(EDATE($D111,Milestones!$AA$74),"dd mmm yy"))&amp;" "&amp;Milestones!$AB$74&amp;" "&amp;IF(AND(Milestones!$AB$74="FT",Milestones!$AA$74=FT_Y5,EDATE($D111,Milestones!$AA$74)&lt;PolicyEff),1,Milestones!$AC$74)&amp;";  ","")&amp;IF(AND(EDATE($D111,Milestones!$AA$75)&lt;=AsOfDate,EDATE($D111,Milestones!$AA$75)&gt;=SchemeStart,IF($X111=0,$AD111,IF(AND($Z111&lt;&gt;"",EDATE($D111,Milestones!$AA$75)&gt;=$Z111),$AC111,IF(AND($Y111&lt;&gt;"",EDATE($D111,Milestones!$AA$75)&gt;=$Y111),$AB111,$AA111)))=Milestones!$AB$75),UPPER(TEXT(EDATE($D111,Milestones!$AA$75),"dd mmm yy"))&amp;" "&amp;Milestones!$AB$75&amp;" "&amp;IF(AND(Milestones!$AB$75="FT",Milestones!$AA$75=FT_Y5,EDATE($D111,Milestones!$AA$75)&lt;PolicyEff),1,Milestones!$AC$75)&amp;";  ","")&amp;IF(AND(EDATE($D111,Milestones!$AA$76)&lt;=AsOfDate,EDATE($D111,Milestones!$AA$76)&gt;=SchemeStart,IF($X111=0,$AD111,IF(AND($Z111&lt;&gt;"",EDATE($D111,Milestones!$AA$76)&gt;=$Z111),$AC111,IF(AND($Y111&lt;&gt;"",EDATE($D111,Milestones!$AA$76)&gt;=$Y111),$AB111,$AA111)))=Milestones!$AB$76),UPPER(TEXT(EDATE($D111,Milestones!$AA$76),"dd mmm yy"))&amp;" "&amp;Milestones!$AB$76&amp;" "&amp;IF(AND(Milestones!$AB$76="FT",Milestones!$AA$76=FT_Y5,EDATE($D111,Milestones!$AA$76)&lt;PolicyEff),1,Milestones!$AC$76)&amp;";  ","")&amp;IF(AND(EDATE($D111,Milestones!$AA$77)&lt;=AsOfDate,EDATE($D111,Milestones!$AA$77)&gt;=SchemeStart,IF($X111=0,$AD111,IF(AND($Z111&lt;&gt;"",EDATE($D111,Milestones!$AA$77)&gt;=$Z111),$AC111,IF(AND($Y111&lt;&gt;"",EDATE($D111,Milestones!$AA$77)&gt;=$Y111),$AB111,$AA111)))=Milestones!$AB$77),UPPER(TEXT(EDATE($D111,Milestones!$AA$77),"dd mmm yy"))&amp;" "&amp;Milestones!$AB$77&amp;" "&amp;IF(AND(Milestones!$AB$77="FT",Milestones!$AA$77=FT_Y5,EDATE($D111,Milestones!$AA$77)&lt;PolicyEff),1,Milestones!$AC$77)&amp;";  ","")&amp;IF(AND(EDATE($D111,Milestones!$AA$78)&lt;=AsOfDate,EDATE($D111,Milestones!$AA$78)&gt;=SchemeStart,IF($X111=0,$AD111,IF(AND($Z111&lt;&gt;"",EDATE($D111,Milestones!$AA$78)&gt;=$Z111),$AC111,IF(AND($Y111&lt;&gt;"",EDATE($D111,Milestones!$AA$78)&gt;=$Y111),$AB111,$AA111)))=Milestones!$AB$78),UPPER(TEXT(EDATE($D111,Milestones!$AA$78),"dd mmm yy"))&amp;" "&amp;Milestones!$AB$78&amp;" "&amp;IF(AND(Milestones!$AB$78="FT",Milestones!$AA$78=FT_Y5,EDATE($D111,Milestones!$AA$78)&lt;PolicyEff),1,Milestones!$AC$78)&amp;";  ","")&amp;IF(AND(EDATE($D111,Milestones!$AA$79)&lt;=AsOfDate,EDATE($D111,Milestones!$AA$79)&gt;=SchemeStart,IF($X111=0,$AD111,IF(AND($Z111&lt;&gt;"",EDATE($D111,Milestones!$AA$79)&gt;=$Z111),$AC111,IF(AND($Y111&lt;&gt;"",EDATE($D111,Milestones!$AA$79)&gt;=$Y111),$AB111,$AA111)))=Milestones!$AB$79),UPPER(TEXT(EDATE($D111,Milestones!$AA$79),"dd mmm yy"))&amp;" "&amp;Milestones!$AB$79&amp;" "&amp;IF(AND(Milestones!$AB$79="FT",Milestones!$AA$79=FT_Y5,EDATE($D111,Milestones!$AA$79)&lt;PolicyEff),1,Milestones!$AC$79)&amp;";  ",""))</f>
        <v/>
      </c>
      <c r="N111" s="0" t="str">
        <f aca="false">IF(OR($A111="",$D111=""),"",IF(AND(EDATE($D111,Milestones!$AA$80)&lt;=AsOfDate,EDATE($D111,Milestones!$AA$80)&gt;=SchemeStart,IF($X111=0,$AD111,IF(AND($Z111&lt;&gt;"",EDATE($D111,Milestones!$AA$80)&gt;=$Z111),$AC111,IF(AND($Y111&lt;&gt;"",EDATE($D111,Milestones!$AA$80)&gt;=$Y111),$AB111,$AA111)))=Milestones!$AB$80),UPPER(TEXT(EDATE($D111,Milestones!$AA$80),"dd mmm yy"))&amp;" "&amp;Milestones!$AB$80&amp;" "&amp;IF(AND(Milestones!$AB$80="FT",Milestones!$AA$80=FT_Y5,EDATE($D111,Milestones!$AA$80)&lt;PolicyEff),1,Milestones!$AC$80)&amp;";  ","")&amp;IF(AND(EDATE($D111,Milestones!$AA$81)&lt;=AsOfDate,EDATE($D111,Milestones!$AA$81)&gt;=SchemeStart,IF($X111=0,$AD111,IF(AND($Z111&lt;&gt;"",EDATE($D111,Milestones!$AA$81)&gt;=$Z111),$AC111,IF(AND($Y111&lt;&gt;"",EDATE($D111,Milestones!$AA$81)&gt;=$Y111),$AB111,$AA111)))=Milestones!$AB$81),UPPER(TEXT(EDATE($D111,Milestones!$AA$81),"dd mmm yy"))&amp;" "&amp;Milestones!$AB$81&amp;" "&amp;IF(AND(Milestones!$AB$81="FT",Milestones!$AA$81=FT_Y5,EDATE($D111,Milestones!$AA$81)&lt;PolicyEff),1,Milestones!$AC$81)&amp;";  ","")&amp;IF(AND(EDATE($D111,Milestones!$AA$82)&lt;=AsOfDate,EDATE($D111,Milestones!$AA$82)&gt;=SchemeStart,IF($X111=0,$AD111,IF(AND($Z111&lt;&gt;"",EDATE($D111,Milestones!$AA$82)&gt;=$Z111),$AC111,IF(AND($Y111&lt;&gt;"",EDATE($D111,Milestones!$AA$82)&gt;=$Y111),$AB111,$AA111)))=Milestones!$AB$82),UPPER(TEXT(EDATE($D111,Milestones!$AA$82),"dd mmm yy"))&amp;" "&amp;Milestones!$AB$82&amp;" "&amp;IF(AND(Milestones!$AB$82="FT",Milestones!$AA$82=FT_Y5,EDATE($D111,Milestones!$AA$82)&lt;PolicyEff),1,Milestones!$AC$82)&amp;";  ","")&amp;IF(AND(EDATE($D111,Milestones!$AA$83)&lt;=AsOfDate,EDATE($D111,Milestones!$AA$83)&gt;=SchemeStart,IF($X111=0,$AD111,IF(AND($Z111&lt;&gt;"",EDATE($D111,Milestones!$AA$83)&gt;=$Z111),$AC111,IF(AND($Y111&lt;&gt;"",EDATE($D111,Milestones!$AA$83)&gt;=$Y111),$AB111,$AA111)))=Milestones!$AB$83),UPPER(TEXT(EDATE($D111,Milestones!$AA$83),"dd mmm yy"))&amp;" "&amp;Milestones!$AB$83&amp;" "&amp;IF(AND(Milestones!$AB$83="FT",Milestones!$AA$83=FT_Y5,EDATE($D111,Milestones!$AA$83)&lt;PolicyEff),1,Milestones!$AC$83)&amp;";  ","")&amp;IF(AND(EDATE($D111,Milestones!$AA$84)&lt;=AsOfDate,EDATE($D111,Milestones!$AA$84)&gt;=SchemeStart,IF($X111=0,$AD111,IF(AND($Z111&lt;&gt;"",EDATE($D111,Milestones!$AA$84)&gt;=$Z111),$AC111,IF(AND($Y111&lt;&gt;"",EDATE($D111,Milestones!$AA$84)&gt;=$Y111),$AB111,$AA111)))=Milestones!$AB$84),UPPER(TEXT(EDATE($D111,Milestones!$AA$84),"dd mmm yy"))&amp;" "&amp;Milestones!$AB$84&amp;" "&amp;IF(AND(Milestones!$AB$84="FT",Milestones!$AA$84=FT_Y5,EDATE($D111,Milestones!$AA$84)&lt;PolicyEff),1,Milestones!$AC$84)&amp;";  ","")&amp;IF(AND(EDATE($D111,Milestones!$AA$85)&lt;=AsOfDate,EDATE($D111,Milestones!$AA$85)&gt;=SchemeStart,IF($X111=0,$AD111,IF(AND($Z111&lt;&gt;"",EDATE($D111,Milestones!$AA$85)&gt;=$Z111),$AC111,IF(AND($Y111&lt;&gt;"",EDATE($D111,Milestones!$AA$85)&gt;=$Y111),$AB111,$AA111)))=Milestones!$AB$85),UPPER(TEXT(EDATE($D111,Milestones!$AA$85),"dd mmm yy"))&amp;" "&amp;Milestones!$AB$85&amp;" "&amp;IF(AND(Milestones!$AB$85="FT",Milestones!$AA$85=FT_Y5,EDATE($D111,Milestones!$AA$85)&lt;PolicyEff),1,Milestones!$AC$85)&amp;";  ","")&amp;IF(AND(EDATE($D111,Milestones!$AA$86)&lt;=AsOfDate,EDATE($D111,Milestones!$AA$86)&gt;=SchemeStart,IF($X111=0,$AD111,IF(AND($Z111&lt;&gt;"",EDATE($D111,Milestones!$AA$86)&gt;=$Z111),$AC111,IF(AND($Y111&lt;&gt;"",EDATE($D111,Milestones!$AA$86)&gt;=$Y111),$AB111,$AA111)))=Milestones!$AB$86),UPPER(TEXT(EDATE($D111,Milestones!$AA$86),"dd mmm yy"))&amp;" "&amp;Milestones!$AB$86&amp;" "&amp;IF(AND(Milestones!$AB$86="FT",Milestones!$AA$86=FT_Y5,EDATE($D111,Milestones!$AA$86)&lt;PolicyEff),1,Milestones!$AC$86)&amp;";  ","")&amp;IF(AND(EDATE($D111,Milestones!$AA$87)&lt;=AsOfDate,EDATE($D111,Milestones!$AA$87)&gt;=SchemeStart,IF($X111=0,$AD111,IF(AND($Z111&lt;&gt;"",EDATE($D111,Milestones!$AA$87)&gt;=$Z111),$AC111,IF(AND($Y111&lt;&gt;"",EDATE($D111,Milestones!$AA$87)&gt;=$Y111),$AB111,$AA111)))=Milestones!$AB$87),UPPER(TEXT(EDATE($D111,Milestones!$AA$87),"dd mmm yy"))&amp;" "&amp;Milestones!$AB$87&amp;" "&amp;IF(AND(Milestones!$AB$87="FT",Milestones!$AA$87=FT_Y5,EDATE($D111,Milestones!$AA$87)&lt;PolicyEff),1,Milestones!$AC$87)&amp;";  ","")&amp;IF(AND(EDATE($D111,Milestones!$AA$88)&lt;=AsOfDate,EDATE($D111,Milestones!$AA$88)&gt;=SchemeStart,IF($X111=0,$AD111,IF(AND($Z111&lt;&gt;"",EDATE($D111,Milestones!$AA$88)&gt;=$Z111),$AC111,IF(AND($Y111&lt;&gt;"",EDATE($D111,Milestones!$AA$88)&gt;=$Y111),$AB111,$AA111)))=Milestones!$AB$88),UPPER(TEXT(EDATE($D111,Milestones!$AA$88),"dd mmm yy"))&amp;" "&amp;Milestones!$AB$88&amp;" "&amp;IF(AND(Milestones!$AB$88="FT",Milestones!$AA$88=FT_Y5,EDATE($D111,Milestones!$AA$88)&lt;PolicyEff),1,Milestones!$AC$88)&amp;";  ","")&amp;IF(AND(EDATE($D111,Milestones!$AA$89)&lt;=AsOfDate,EDATE($D111,Milestones!$AA$89)&gt;=SchemeStart,IF($X111=0,$AD111,IF(AND($Z111&lt;&gt;"",EDATE($D111,Milestones!$AA$89)&gt;=$Z111),$AC111,IF(AND($Y111&lt;&gt;"",EDATE($D111,Milestones!$AA$89)&gt;=$Y111),$AB111,$AA111)))=Milestones!$AB$89),UPPER(TEXT(EDATE($D111,Milestones!$AA$89),"dd mmm yy"))&amp;" "&amp;Milestones!$AB$89&amp;" "&amp;IF(AND(Milestones!$AB$89="FT",Milestones!$AA$89=FT_Y5,EDATE($D111,Milestones!$AA$89)&lt;PolicyEff),1,Milestones!$AC$89)&amp;";  ","")&amp;IF(AND(EDATE($D111,Milestones!$AA$90)&lt;=AsOfDate,EDATE($D111,Milestones!$AA$90)&gt;=SchemeStart,IF($X111=0,$AD111,IF(AND($Z111&lt;&gt;"",EDATE($D111,Milestones!$AA$90)&gt;=$Z111),$AC111,IF(AND($Y111&lt;&gt;"",EDATE($D111,Milestones!$AA$90)&gt;=$Y111),$AB111,$AA111)))=Milestones!$AB$90),UPPER(TEXT(EDATE($D111,Milestones!$AA$90),"dd mmm yy"))&amp;" "&amp;Milestones!$AB$90&amp;" "&amp;IF(AND(Milestones!$AB$90="FT",Milestones!$AA$90=FT_Y5,EDATE($D111,Milestones!$AA$90)&lt;PolicyEff),1,Milestones!$AC$90)&amp;";  ","")&amp;IF(AND(EDATE($D111,Milestones!$AA$91)&lt;=AsOfDate,EDATE($D111,Milestones!$AA$91)&gt;=SchemeStart,IF($X111=0,$AD111,IF(AND($Z111&lt;&gt;"",EDATE($D111,Milestones!$AA$91)&gt;=$Z111),$AC111,IF(AND($Y111&lt;&gt;"",EDATE($D111,Milestones!$AA$91)&gt;=$Y111),$AB111,$AA111)))=Milestones!$AB$91),UPPER(TEXT(EDATE($D111,Milestones!$AA$91),"dd mmm yy"))&amp;" "&amp;Milestones!$AB$91&amp;" "&amp;IF(AND(Milestones!$AB$91="FT",Milestones!$AA$91=FT_Y5,EDATE($D111,Milestones!$AA$91)&lt;PolicyEff),1,Milestones!$AC$91)&amp;";  ",""))</f>
        <v/>
      </c>
      <c r="O111" s="0" t="str">
        <f aca="false">IF(OR($A111="",$D111=""),"",IF(AND(EDATE($D111,Milestones!$AA$92)&lt;=AsOfDate,EDATE($D111,Milestones!$AA$92)&gt;=SchemeStart,IF($X111=0,$AD111,IF(AND($Z111&lt;&gt;"",EDATE($D111,Milestones!$AA$92)&gt;=$Z111),$AC111,IF(AND($Y111&lt;&gt;"",EDATE($D111,Milestones!$AA$92)&gt;=$Y111),$AB111,$AA111)))=Milestones!$AB$92),UPPER(TEXT(EDATE($D111,Milestones!$AA$92),"dd mmm yy"))&amp;" "&amp;Milestones!$AB$92&amp;" "&amp;IF(AND(Milestones!$AB$92="FT",Milestones!$AA$92=FT_Y5,EDATE($D111,Milestones!$AA$92)&lt;PolicyEff),1,Milestones!$AC$92)&amp;";  ","")&amp;IF(AND(EDATE($D111,Milestones!$AA$93)&lt;=AsOfDate,EDATE($D111,Milestones!$AA$93)&gt;=SchemeStart,IF($X111=0,$AD111,IF(AND($Z111&lt;&gt;"",EDATE($D111,Milestones!$AA$93)&gt;=$Z111),$AC111,IF(AND($Y111&lt;&gt;"",EDATE($D111,Milestones!$AA$93)&gt;=$Y111),$AB111,$AA111)))=Milestones!$AB$93),UPPER(TEXT(EDATE($D111,Milestones!$AA$93),"dd mmm yy"))&amp;" "&amp;Milestones!$AB$93&amp;" "&amp;IF(AND(Milestones!$AB$93="FT",Milestones!$AA$93=FT_Y5,EDATE($D111,Milestones!$AA$93)&lt;PolicyEff),1,Milestones!$AC$93)&amp;";  ","")&amp;IF(AND(EDATE($D111,Milestones!$AA$94)&lt;=AsOfDate,EDATE($D111,Milestones!$AA$94)&gt;=SchemeStart,IF($X111=0,$AD111,IF(AND($Z111&lt;&gt;"",EDATE($D111,Milestones!$AA$94)&gt;=$Z111),$AC111,IF(AND($Y111&lt;&gt;"",EDATE($D111,Milestones!$AA$94)&gt;=$Y111),$AB111,$AA111)))=Milestones!$AB$94),UPPER(TEXT(EDATE($D111,Milestones!$AA$94),"dd mmm yy"))&amp;" "&amp;Milestones!$AB$94&amp;" "&amp;IF(AND(Milestones!$AB$94="FT",Milestones!$AA$94=FT_Y5,EDATE($D111,Milestones!$AA$94)&lt;PolicyEff),1,Milestones!$AC$94)&amp;";  ","")&amp;IF(AND(EDATE($D111,Milestones!$AA$95)&lt;=AsOfDate,EDATE($D111,Milestones!$AA$95)&gt;=SchemeStart,IF($X111=0,$AD111,IF(AND($Z111&lt;&gt;"",EDATE($D111,Milestones!$AA$95)&gt;=$Z111),$AC111,IF(AND($Y111&lt;&gt;"",EDATE($D111,Milestones!$AA$95)&gt;=$Y111),$AB111,$AA111)))=Milestones!$AB$95),UPPER(TEXT(EDATE($D111,Milestones!$AA$95),"dd mmm yy"))&amp;" "&amp;Milestones!$AB$95&amp;" "&amp;IF(AND(Milestones!$AB$95="FT",Milestones!$AA$95=FT_Y5,EDATE($D111,Milestones!$AA$95)&lt;PolicyEff),1,Milestones!$AC$95)&amp;";  ","")&amp;IF(AND(EDATE($D111,Milestones!$AA$96)&lt;=AsOfDate,EDATE($D111,Milestones!$AA$96)&gt;=SchemeStart,IF($X111=0,$AD111,IF(AND($Z111&lt;&gt;"",EDATE($D111,Milestones!$AA$96)&gt;=$Z111),$AC111,IF(AND($Y111&lt;&gt;"",EDATE($D111,Milestones!$AA$96)&gt;=$Y111),$AB111,$AA111)))=Milestones!$AB$96),UPPER(TEXT(EDATE($D111,Milestones!$AA$96),"dd mmm yy"))&amp;" "&amp;Milestones!$AB$96&amp;" "&amp;IF(AND(Milestones!$AB$96="FT",Milestones!$AA$96=FT_Y5,EDATE($D111,Milestones!$AA$96)&lt;PolicyEff),1,Milestones!$AC$96)&amp;";  ","")&amp;IF(AND(EDATE($D111,Milestones!$AA$97)&lt;=AsOfDate,EDATE($D111,Milestones!$AA$97)&gt;=SchemeStart,IF($X111=0,$AD111,IF(AND($Z111&lt;&gt;"",EDATE($D111,Milestones!$AA$97)&gt;=$Z111),$AC111,IF(AND($Y111&lt;&gt;"",EDATE($D111,Milestones!$AA$97)&gt;=$Y111),$AB111,$AA111)))=Milestones!$AB$97),UPPER(TEXT(EDATE($D111,Milestones!$AA$97),"dd mmm yy"))&amp;" "&amp;Milestones!$AB$97&amp;" "&amp;IF(AND(Milestones!$AB$97="FT",Milestones!$AA$97=FT_Y5,EDATE($D111,Milestones!$AA$97)&lt;PolicyEff),1,Milestones!$AC$97)&amp;";  ","")&amp;IF(AND(EDATE($D111,Milestones!$AA$98)&lt;=AsOfDate,EDATE($D111,Milestones!$AA$98)&gt;=SchemeStart,IF($X111=0,$AD111,IF(AND($Z111&lt;&gt;"",EDATE($D111,Milestones!$AA$98)&gt;=$Z111),$AC111,IF(AND($Y111&lt;&gt;"",EDATE($D111,Milestones!$AA$98)&gt;=$Y111),$AB111,$AA111)))=Milestones!$AB$98),UPPER(TEXT(EDATE($D111,Milestones!$AA$98),"dd mmm yy"))&amp;" "&amp;Milestones!$AB$98&amp;" "&amp;IF(AND(Milestones!$AB$98="FT",Milestones!$AA$98=FT_Y5,EDATE($D111,Milestones!$AA$98)&lt;PolicyEff),1,Milestones!$AC$98)&amp;";  ","")&amp;IF(AND(EDATE($D111,Milestones!$AA$99)&lt;=AsOfDate,EDATE($D111,Milestones!$AA$99)&gt;=SchemeStart,IF($X111=0,$AD111,IF(AND($Z111&lt;&gt;"",EDATE($D111,Milestones!$AA$99)&gt;=$Z111),$AC111,IF(AND($Y111&lt;&gt;"",EDATE($D111,Milestones!$AA$99)&gt;=$Y111),$AB111,$AA111)))=Milestones!$AB$99),UPPER(TEXT(EDATE($D111,Milestones!$AA$99),"dd mmm yy"))&amp;" "&amp;Milestones!$AB$99&amp;" "&amp;IF(AND(Milestones!$AB$99="FT",Milestones!$AA$99=FT_Y5,EDATE($D111,Milestones!$AA$99)&lt;PolicyEff),1,Milestones!$AC$99)&amp;";  ","")&amp;IF(AND(EDATE($D111,Milestones!$AA$100)&lt;=AsOfDate,EDATE($D111,Milestones!$AA$100)&gt;=SchemeStart,IF($X111=0,$AD111,IF(AND($Z111&lt;&gt;"",EDATE($D111,Milestones!$AA$100)&gt;=$Z111),$AC111,IF(AND($Y111&lt;&gt;"",EDATE($D111,Milestones!$AA$100)&gt;=$Y111),$AB111,$AA111)))=Milestones!$AB$100),UPPER(TEXT(EDATE($D111,Milestones!$AA$100),"dd mmm yy"))&amp;" "&amp;Milestones!$AB$100&amp;" "&amp;IF(AND(Milestones!$AB$100="FT",Milestones!$AA$100=FT_Y5,EDATE($D111,Milestones!$AA$100)&lt;PolicyEff),1,Milestones!$AC$100)&amp;";  ","")&amp;IF(AND(EDATE($D111,Milestones!$AA$101)&lt;=AsOfDate,EDATE($D111,Milestones!$AA$101)&gt;=SchemeStart,IF($X111=0,$AD111,IF(AND($Z111&lt;&gt;"",EDATE($D111,Milestones!$AA$101)&gt;=$Z111),$AC111,IF(AND($Y111&lt;&gt;"",EDATE($D111,Milestones!$AA$101)&gt;=$Y111),$AB111,$AA111)))=Milestones!$AB$101),UPPER(TEXT(EDATE($D111,Milestones!$AA$101),"dd mmm yy"))&amp;" "&amp;Milestones!$AB$101&amp;" "&amp;IF(AND(Milestones!$AB$101="FT",Milestones!$AA$101=FT_Y5,EDATE($D111,Milestones!$AA$101)&lt;PolicyEff),1,Milestones!$AC$101)&amp;";  ","")&amp;IF(AND(EDATE($D111,Milestones!$AA$102)&lt;=AsOfDate,EDATE($D111,Milestones!$AA$102)&gt;=SchemeStart,IF($X111=0,$AD111,IF(AND($Z111&lt;&gt;"",EDATE($D111,Milestones!$AA$102)&gt;=$Z111),$AC111,IF(AND($Y111&lt;&gt;"",EDATE($D111,Milestones!$AA$102)&gt;=$Y111),$AB111,$AA111)))=Milestones!$AB$102),UPPER(TEXT(EDATE($D111,Milestones!$AA$102),"dd mmm yy"))&amp;" "&amp;Milestones!$AB$102&amp;" "&amp;IF(AND(Milestones!$AB$102="FT",Milestones!$AA$102=FT_Y5,EDATE($D111,Milestones!$AA$102)&lt;PolicyEff),1,Milestones!$AC$102)&amp;";  ","")&amp;IF(AND(EDATE($D111,Milestones!$AA$103)&lt;=AsOfDate,EDATE($D111,Milestones!$AA$103)&gt;=SchemeStart,IF($X111=0,$AD111,IF(AND($Z111&lt;&gt;"",EDATE($D111,Milestones!$AA$103)&gt;=$Z111),$AC111,IF(AND($Y111&lt;&gt;"",EDATE($D111,Milestones!$AA$103)&gt;=$Y111),$AB111,$AA111)))=Milestones!$AB$103),UPPER(TEXT(EDATE($D111,Milestones!$AA$103),"dd mmm yy"))&amp;" "&amp;Milestones!$AB$103&amp;" "&amp;IF(AND(Milestones!$AB$103="FT",Milestones!$AA$103=FT_Y5,EDATE($D111,Milestones!$AA$103)&lt;PolicyEff),1,Milestones!$AC$103)&amp;";  ",""))</f>
        <v/>
      </c>
      <c r="P111" s="0" t="str">
        <f aca="false">IF(OR($A111="",$D111=""),"",IF(AND(EDATE($D111,Milestones!$AA$104)&lt;=AsOfDate,EDATE($D111,Milestones!$AA$104)&gt;=SchemeStart,IF($X111=0,$AD111,IF(AND($Z111&lt;&gt;"",EDATE($D111,Milestones!$AA$104)&gt;=$Z111),$AC111,IF(AND($Y111&lt;&gt;"",EDATE($D111,Milestones!$AA$104)&gt;=$Y111),$AB111,$AA111)))=Milestones!$AB$104),UPPER(TEXT(EDATE($D111,Milestones!$AA$104),"dd mmm yy"))&amp;" "&amp;Milestones!$AB$104&amp;" "&amp;IF(AND(Milestones!$AB$104="FT",Milestones!$AA$104=FT_Y5,EDATE($D111,Milestones!$AA$104)&lt;PolicyEff),1,Milestones!$AC$104)&amp;";  ","")&amp;IF(AND(EDATE($D111,Milestones!$AA$105)&lt;=AsOfDate,EDATE($D111,Milestones!$AA$105)&gt;=SchemeStart,IF($X111=0,$AD111,IF(AND($Z111&lt;&gt;"",EDATE($D111,Milestones!$AA$105)&gt;=$Z111),$AC111,IF(AND($Y111&lt;&gt;"",EDATE($D111,Milestones!$AA$105)&gt;=$Y111),$AB111,$AA111)))=Milestones!$AB$105),UPPER(TEXT(EDATE($D111,Milestones!$AA$105),"dd mmm yy"))&amp;" "&amp;Milestones!$AB$105&amp;" "&amp;IF(AND(Milestones!$AB$105="FT",Milestones!$AA$105=FT_Y5,EDATE($D111,Milestones!$AA$105)&lt;PolicyEff),1,Milestones!$AC$105)&amp;";  ","")&amp;IF(AND(EDATE($D111,Milestones!$AA$106)&lt;=AsOfDate,EDATE($D111,Milestones!$AA$106)&gt;=SchemeStart,IF($X111=0,$AD111,IF(AND($Z111&lt;&gt;"",EDATE($D111,Milestones!$AA$106)&gt;=$Z111),$AC111,IF(AND($Y111&lt;&gt;"",EDATE($D111,Milestones!$AA$106)&gt;=$Y111),$AB111,$AA111)))=Milestones!$AB$106),UPPER(TEXT(EDATE($D111,Milestones!$AA$106),"dd mmm yy"))&amp;" "&amp;Milestones!$AB$106&amp;" "&amp;IF(AND(Milestones!$AB$106="FT",Milestones!$AA$106=FT_Y5,EDATE($D111,Milestones!$AA$106)&lt;PolicyEff),1,Milestones!$AC$106)&amp;";  ","")&amp;IF(AND(EDATE($D111,Milestones!$AA$107)&lt;=AsOfDate,EDATE($D111,Milestones!$AA$107)&gt;=SchemeStart,IF($X111=0,$AD111,IF(AND($Z111&lt;&gt;"",EDATE($D111,Milestones!$AA$107)&gt;=$Z111),$AC111,IF(AND($Y111&lt;&gt;"",EDATE($D111,Milestones!$AA$107)&gt;=$Y111),$AB111,$AA111)))=Milestones!$AB$107),UPPER(TEXT(EDATE($D111,Milestones!$AA$107),"dd mmm yy"))&amp;" "&amp;Milestones!$AB$107&amp;" "&amp;IF(AND(Milestones!$AB$107="FT",Milestones!$AA$107=FT_Y5,EDATE($D111,Milestones!$AA$107)&lt;PolicyEff),1,Milestones!$AC$107)&amp;";  ","")&amp;IF(AND(EDATE($D111,Milestones!$AA$108)&lt;=AsOfDate,EDATE($D111,Milestones!$AA$108)&gt;=SchemeStart,IF($X111=0,$AD111,IF(AND($Z111&lt;&gt;"",EDATE($D111,Milestones!$AA$108)&gt;=$Z111),$AC111,IF(AND($Y111&lt;&gt;"",EDATE($D111,Milestones!$AA$108)&gt;=$Y111),$AB111,$AA111)))=Milestones!$AB$108),UPPER(TEXT(EDATE($D111,Milestones!$AA$108),"dd mmm yy"))&amp;" "&amp;Milestones!$AB$108&amp;" "&amp;IF(AND(Milestones!$AB$108="FT",Milestones!$AA$108=FT_Y5,EDATE($D111,Milestones!$AA$108)&lt;PolicyEff),1,Milestones!$AC$108)&amp;";  ","")&amp;IF(AND(EDATE($D111,Milestones!$AA$109)&lt;=AsOfDate,EDATE($D111,Milestones!$AA$109)&gt;=SchemeStart,IF($X111=0,$AD111,IF(AND($Z111&lt;&gt;"",EDATE($D111,Milestones!$AA$109)&gt;=$Z111),$AC111,IF(AND($Y111&lt;&gt;"",EDATE($D111,Milestones!$AA$109)&gt;=$Y111),$AB111,$AA111)))=Milestones!$AB$109),UPPER(TEXT(EDATE($D111,Milestones!$AA$109),"dd mmm yy"))&amp;" "&amp;Milestones!$AB$109&amp;" "&amp;IF(AND(Milestones!$AB$109="FT",Milestones!$AA$109=FT_Y5,EDATE($D111,Milestones!$AA$109)&lt;PolicyEff),1,Milestones!$AC$109)&amp;";  ","")&amp;IF(AND(EDATE($D111,Milestones!$AA$110)&lt;=AsOfDate,EDATE($D111,Milestones!$AA$110)&gt;=SchemeStart,IF($X111=0,$AD111,IF(AND($Z111&lt;&gt;"",EDATE($D111,Milestones!$AA$110)&gt;=$Z111),$AC111,IF(AND($Y111&lt;&gt;"",EDATE($D111,Milestones!$AA$110)&gt;=$Y111),$AB111,$AA111)))=Milestones!$AB$110),UPPER(TEXT(EDATE($D111,Milestones!$AA$110),"dd mmm yy"))&amp;" "&amp;Milestones!$AB$110&amp;" "&amp;IF(AND(Milestones!$AB$110="FT",Milestones!$AA$110=FT_Y5,EDATE($D111,Milestones!$AA$110)&lt;PolicyEff),1,Milestones!$AC$110)&amp;";  ","")&amp;IF(AND(EDATE($D111,Milestones!$AA$111)&lt;=AsOfDate,EDATE($D111,Milestones!$AA$111)&gt;=SchemeStart,IF($X111=0,$AD111,IF(AND($Z111&lt;&gt;"",EDATE($D111,Milestones!$AA$111)&gt;=$Z111),$AC111,IF(AND($Y111&lt;&gt;"",EDATE($D111,Milestones!$AA$111)&gt;=$Y111),$AB111,$AA111)))=Milestones!$AB$111),UPPER(TEXT(EDATE($D111,Milestones!$AA$111),"dd mmm yy"))&amp;" "&amp;Milestones!$AB$111&amp;" "&amp;IF(AND(Milestones!$AB$111="FT",Milestones!$AA$111=FT_Y5,EDATE($D111,Milestones!$AA$111)&lt;PolicyEff),1,Milestones!$AC$111)&amp;";  ","")&amp;IF(AND(EDATE($D111,Milestones!$AA$112)&lt;=AsOfDate,EDATE($D111,Milestones!$AA$112)&gt;=SchemeStart,IF($X111=0,$AD111,IF(AND($Z111&lt;&gt;"",EDATE($D111,Milestones!$AA$112)&gt;=$Z111),$AC111,IF(AND($Y111&lt;&gt;"",EDATE($D111,Milestones!$AA$112)&gt;=$Y111),$AB111,$AA111)))=Milestones!$AB$112),UPPER(TEXT(EDATE($D111,Milestones!$AA$112),"dd mmm yy"))&amp;" "&amp;Milestones!$AB$112&amp;" "&amp;IF(AND(Milestones!$AB$112="FT",Milestones!$AA$112=FT_Y5,EDATE($D111,Milestones!$AA$112)&lt;PolicyEff),1,Milestones!$AC$112)&amp;";  ","")&amp;IF(AND(EDATE($D111,Milestones!$AA$113)&lt;=AsOfDate,EDATE($D111,Milestones!$AA$113)&gt;=SchemeStart,IF($X111=0,$AD111,IF(AND($Z111&lt;&gt;"",EDATE($D111,Milestones!$AA$113)&gt;=$Z111),$AC111,IF(AND($Y111&lt;&gt;"",EDATE($D111,Milestones!$AA$113)&gt;=$Y111),$AB111,$AA111)))=Milestones!$AB$113),UPPER(TEXT(EDATE($D111,Milestones!$AA$113),"dd mmm yy"))&amp;" "&amp;Milestones!$AB$113&amp;" "&amp;IF(AND(Milestones!$AB$113="FT",Milestones!$AA$113=FT_Y5,EDATE($D111,Milestones!$AA$113)&lt;PolicyEff),1,Milestones!$AC$113)&amp;";  ","")&amp;IF(AND(EDATE($D111,Milestones!$AA$114)&lt;=AsOfDate,EDATE($D111,Milestones!$AA$114)&gt;=SchemeStart,IF($X111=0,$AD111,IF(AND($Z111&lt;&gt;"",EDATE($D111,Milestones!$AA$114)&gt;=$Z111),$AC111,IF(AND($Y111&lt;&gt;"",EDATE($D111,Milestones!$AA$114)&gt;=$Y111),$AB111,$AA111)))=Milestones!$AB$114),UPPER(TEXT(EDATE($D111,Milestones!$AA$114),"dd mmm yy"))&amp;" "&amp;Milestones!$AB$114&amp;" "&amp;IF(AND(Milestones!$AB$114="FT",Milestones!$AA$114=FT_Y5,EDATE($D111,Milestones!$AA$114)&lt;PolicyEff),1,Milestones!$AC$114)&amp;";  ","")&amp;IF(AND(EDATE($D111,Milestones!$AA$115)&lt;=AsOfDate,EDATE($D111,Milestones!$AA$115)&gt;=SchemeStart,IF($X111=0,$AD111,IF(AND($Z111&lt;&gt;"",EDATE($D111,Milestones!$AA$115)&gt;=$Z111),$AC111,IF(AND($Y111&lt;&gt;"",EDATE($D111,Milestones!$AA$115)&gt;=$Y111),$AB111,$AA111)))=Milestones!$AB$115),UPPER(TEXT(EDATE($D111,Milestones!$AA$115),"dd mmm yy"))&amp;" "&amp;Milestones!$AB$115&amp;" "&amp;IF(AND(Milestones!$AB$115="FT",Milestones!$AA$115=FT_Y5,EDATE($D111,Milestones!$AA$115)&lt;PolicyEff),1,Milestones!$AC$115)&amp;";  ",""))</f>
        <v/>
      </c>
      <c r="Q111" s="0" t="str">
        <f aca="false">IF(OR($A111="",$D111=""),"",IF(AND(EDATE($D111,Milestones!$AA$116)&lt;=AsOfDate,EDATE($D111,Milestones!$AA$116)&gt;=SchemeStart,IF($X111=0,$AD111,IF(AND($Z111&lt;&gt;"",EDATE($D111,Milestones!$AA$116)&gt;=$Z111),$AC111,IF(AND($Y111&lt;&gt;"",EDATE($D111,Milestones!$AA$116)&gt;=$Y111),$AB111,$AA111)))=Milestones!$AB$116),UPPER(TEXT(EDATE($D111,Milestones!$AA$116),"dd mmm yy"))&amp;" "&amp;Milestones!$AB$116&amp;" "&amp;IF(AND(Milestones!$AB$116="FT",Milestones!$AA$116=FT_Y5,EDATE($D111,Milestones!$AA$116)&lt;PolicyEff),1,Milestones!$AC$116)&amp;";  ","")&amp;IF(AND(EDATE($D111,Milestones!$AA$117)&lt;=AsOfDate,EDATE($D111,Milestones!$AA$117)&gt;=SchemeStart,IF($X111=0,$AD111,IF(AND($Z111&lt;&gt;"",EDATE($D111,Milestones!$AA$117)&gt;=$Z111),$AC111,IF(AND($Y111&lt;&gt;"",EDATE($D111,Milestones!$AA$117)&gt;=$Y111),$AB111,$AA111)))=Milestones!$AB$117),UPPER(TEXT(EDATE($D111,Milestones!$AA$117),"dd mmm yy"))&amp;" "&amp;Milestones!$AB$117&amp;" "&amp;IF(AND(Milestones!$AB$117="FT",Milestones!$AA$117=FT_Y5,EDATE($D111,Milestones!$AA$117)&lt;PolicyEff),1,Milestones!$AC$117)&amp;";  ","")&amp;IF(AND(EDATE($D111,Milestones!$AA$118)&lt;=AsOfDate,EDATE($D111,Milestones!$AA$118)&gt;=SchemeStart,IF($X111=0,$AD111,IF(AND($Z111&lt;&gt;"",EDATE($D111,Milestones!$AA$118)&gt;=$Z111),$AC111,IF(AND($Y111&lt;&gt;"",EDATE($D111,Milestones!$AA$118)&gt;=$Y111),$AB111,$AA111)))=Milestones!$AB$118),UPPER(TEXT(EDATE($D111,Milestones!$AA$118),"dd mmm yy"))&amp;" "&amp;Milestones!$AB$118&amp;" "&amp;IF(AND(Milestones!$AB$118="FT",Milestones!$AA$118=FT_Y5,EDATE($D111,Milestones!$AA$118)&lt;PolicyEff),1,Milestones!$AC$118)&amp;";  ","")&amp;IF(AND(EDATE($D111,Milestones!$AA$119)&lt;=AsOfDate,EDATE($D111,Milestones!$AA$119)&gt;=SchemeStart,IF($X111=0,$AD111,IF(AND($Z111&lt;&gt;"",EDATE($D111,Milestones!$AA$119)&gt;=$Z111),$AC111,IF(AND($Y111&lt;&gt;"",EDATE($D111,Milestones!$AA$119)&gt;=$Y111),$AB111,$AA111)))=Milestones!$AB$119),UPPER(TEXT(EDATE($D111,Milestones!$AA$119),"dd mmm yy"))&amp;" "&amp;Milestones!$AB$119&amp;" "&amp;IF(AND(Milestones!$AB$119="FT",Milestones!$AA$119=FT_Y5,EDATE($D111,Milestones!$AA$119)&lt;PolicyEff),1,Milestones!$AC$119)&amp;";  ","")&amp;IF(AND(EDATE($D111,Milestones!$AA$120)&lt;=AsOfDate,EDATE($D111,Milestones!$AA$120)&gt;=SchemeStart,IF($X111=0,$AD111,IF(AND($Z111&lt;&gt;"",EDATE($D111,Milestones!$AA$120)&gt;=$Z111),$AC111,IF(AND($Y111&lt;&gt;"",EDATE($D111,Milestones!$AA$120)&gt;=$Y111),$AB111,$AA111)))=Milestones!$AB$120),UPPER(TEXT(EDATE($D111,Milestones!$AA$120),"dd mmm yy"))&amp;" "&amp;Milestones!$AB$120&amp;" "&amp;IF(AND(Milestones!$AB$120="FT",Milestones!$AA$120=FT_Y5,EDATE($D111,Milestones!$AA$120)&lt;PolicyEff),1,Milestones!$AC$120)&amp;";  ","")&amp;IF(AND(EDATE($D111,Milestones!$AA$121)&lt;=AsOfDate,EDATE($D111,Milestones!$AA$121)&gt;=SchemeStart,IF($X111=0,$AD111,IF(AND($Z111&lt;&gt;"",EDATE($D111,Milestones!$AA$121)&gt;=$Z111),$AC111,IF(AND($Y111&lt;&gt;"",EDATE($D111,Milestones!$AA$121)&gt;=$Y111),$AB111,$AA111)))=Milestones!$AB$121),UPPER(TEXT(EDATE($D111,Milestones!$AA$121),"dd mmm yy"))&amp;" "&amp;Milestones!$AB$121&amp;" "&amp;IF(AND(Milestones!$AB$121="FT",Milestones!$AA$121=FT_Y5,EDATE($D111,Milestones!$AA$121)&lt;PolicyEff),1,Milestones!$AC$121)&amp;";  ","")&amp;IF(AND(EDATE($D111,Milestones!$AA$122)&lt;=AsOfDate,EDATE($D111,Milestones!$AA$122)&gt;=SchemeStart,IF($X111=0,$AD111,IF(AND($Z111&lt;&gt;"",EDATE($D111,Milestones!$AA$122)&gt;=$Z111),$AC111,IF(AND($Y111&lt;&gt;"",EDATE($D111,Milestones!$AA$122)&gt;=$Y111),$AB111,$AA111)))=Milestones!$AB$122),UPPER(TEXT(EDATE($D111,Milestones!$AA$122),"dd mmm yy"))&amp;" "&amp;Milestones!$AB$122&amp;" "&amp;IF(AND(Milestones!$AB$122="FT",Milestones!$AA$122=FT_Y5,EDATE($D111,Milestones!$AA$122)&lt;PolicyEff),1,Milestones!$AC$122)&amp;";  ","")&amp;IF(AND(EDATE($D111,Milestones!$AA$123)&lt;=AsOfDate,EDATE($D111,Milestones!$AA$123)&gt;=SchemeStart,IF($X111=0,$AD111,IF(AND($Z111&lt;&gt;"",EDATE($D111,Milestones!$AA$123)&gt;=$Z111),$AC111,IF(AND($Y111&lt;&gt;"",EDATE($D111,Milestones!$AA$123)&gt;=$Y111),$AB111,$AA111)))=Milestones!$AB$123),UPPER(TEXT(EDATE($D111,Milestones!$AA$123),"dd mmm yy"))&amp;" "&amp;Milestones!$AB$123&amp;" "&amp;IF(AND(Milestones!$AB$123="FT",Milestones!$AA$123=FT_Y5,EDATE($D111,Milestones!$AA$123)&lt;PolicyEff),1,Milestones!$AC$123)&amp;";  ","")&amp;IF(AND(EDATE($D111,Milestones!$AA$124)&lt;=AsOfDate,EDATE($D111,Milestones!$AA$124)&gt;=SchemeStart,IF($X111=0,$AD111,IF(AND($Z111&lt;&gt;"",EDATE($D111,Milestones!$AA$124)&gt;=$Z111),$AC111,IF(AND($Y111&lt;&gt;"",EDATE($D111,Milestones!$AA$124)&gt;=$Y111),$AB111,$AA111)))=Milestones!$AB$124),UPPER(TEXT(EDATE($D111,Milestones!$AA$124),"dd mmm yy"))&amp;" "&amp;Milestones!$AB$124&amp;" "&amp;IF(AND(Milestones!$AB$124="FT",Milestones!$AA$124=FT_Y5,EDATE($D111,Milestones!$AA$124)&lt;PolicyEff),1,Milestones!$AC$124)&amp;";  ","")&amp;IF(AND(EDATE($D111,Milestones!$AA$125)&lt;=AsOfDate,EDATE($D111,Milestones!$AA$125)&gt;=SchemeStart,IF($X111=0,$AD111,IF(AND($Z111&lt;&gt;"",EDATE($D111,Milestones!$AA$125)&gt;=$Z111),$AC111,IF(AND($Y111&lt;&gt;"",EDATE($D111,Milestones!$AA$125)&gt;=$Y111),$AB111,$AA111)))=Milestones!$AB$125),UPPER(TEXT(EDATE($D111,Milestones!$AA$125),"dd mmm yy"))&amp;" "&amp;Milestones!$AB$125&amp;" "&amp;IF(AND(Milestones!$AB$125="FT",Milestones!$AA$125=FT_Y5,EDATE($D111,Milestones!$AA$125)&lt;PolicyEff),1,Milestones!$AC$125)&amp;";  ","")&amp;IF(AND(EDATE($D111,Milestones!$AA$126)&lt;=AsOfDate,EDATE($D111,Milestones!$AA$126)&gt;=SchemeStart,IF($X111=0,$AD111,IF(AND($Z111&lt;&gt;"",EDATE($D111,Milestones!$AA$126)&gt;=$Z111),$AC111,IF(AND($Y111&lt;&gt;"",EDATE($D111,Milestones!$AA$126)&gt;=$Y111),$AB111,$AA111)))=Milestones!$AB$126),UPPER(TEXT(EDATE($D111,Milestones!$AA$126),"dd mmm yy"))&amp;" "&amp;Milestones!$AB$126&amp;" "&amp;IF(AND(Milestones!$AB$126="FT",Milestones!$AA$126=FT_Y5,EDATE($D111,Milestones!$AA$126)&lt;PolicyEff),1,Milestones!$AC$126)&amp;";  ","")&amp;IF(AND(EDATE($D111,Milestones!$AA$127)&lt;=AsOfDate,EDATE($D111,Milestones!$AA$127)&gt;=SchemeStart,IF($X111=0,$AD111,IF(AND($Z111&lt;&gt;"",EDATE($D111,Milestones!$AA$127)&gt;=$Z111),$AC111,IF(AND($Y111&lt;&gt;"",EDATE($D111,Milestones!$AA$127)&gt;=$Y111),$AB111,$AA111)))=Milestones!$AB$127),UPPER(TEXT(EDATE($D111,Milestones!$AA$127),"dd mmm yy"))&amp;" "&amp;Milestones!$AB$127&amp;" "&amp;IF(AND(Milestones!$AB$127="FT",Milestones!$AA$127=FT_Y5,EDATE($D111,Milestones!$AA$127)&lt;PolicyEff),1,Milestones!$AC$127)&amp;";  ",""))</f>
        <v/>
      </c>
      <c r="R111" s="0" t="str">
        <f aca="false">IF(OR($A111="",$D111=""),"",IF(AND(EDATE($D111,Milestones!$AA$128)&lt;=AsOfDate,EDATE($D111,Milestones!$AA$128)&gt;=SchemeStart,IF($X111=0,$AD111,IF(AND($Z111&lt;&gt;"",EDATE($D111,Milestones!$AA$128)&gt;=$Z111),$AC111,IF(AND($Y111&lt;&gt;"",EDATE($D111,Milestones!$AA$128)&gt;=$Y111),$AB111,$AA111)))=Milestones!$AB$128),UPPER(TEXT(EDATE($D111,Milestones!$AA$128),"dd mmm yy"))&amp;" "&amp;Milestones!$AB$128&amp;" "&amp;IF(AND(Milestones!$AB$128="FT",Milestones!$AA$128=FT_Y5,EDATE($D111,Milestones!$AA$128)&lt;PolicyEff),1,Milestones!$AC$128)&amp;";  ","")&amp;IF(AND(EDATE($D111,Milestones!$AA$129)&lt;=AsOfDate,EDATE($D111,Milestones!$AA$129)&gt;=SchemeStart,IF($X111=0,$AD111,IF(AND($Z111&lt;&gt;"",EDATE($D111,Milestones!$AA$129)&gt;=$Z111),$AC111,IF(AND($Y111&lt;&gt;"",EDATE($D111,Milestones!$AA$129)&gt;=$Y111),$AB111,$AA111)))=Milestones!$AB$129),UPPER(TEXT(EDATE($D111,Milestones!$AA$129),"dd mmm yy"))&amp;" "&amp;Milestones!$AB$129&amp;" "&amp;IF(AND(Milestones!$AB$129="FT",Milestones!$AA$129=FT_Y5,EDATE($D111,Milestones!$AA$129)&lt;PolicyEff),1,Milestones!$AC$129)&amp;";  ","")&amp;IF(AND(EDATE($D111,Milestones!$AA$130)&lt;=AsOfDate,EDATE($D111,Milestones!$AA$130)&gt;=SchemeStart,IF($X111=0,$AD111,IF(AND($Z111&lt;&gt;"",EDATE($D111,Milestones!$AA$130)&gt;=$Z111),$AC111,IF(AND($Y111&lt;&gt;"",EDATE($D111,Milestones!$AA$130)&gt;=$Y111),$AB111,$AA111)))=Milestones!$AB$130),UPPER(TEXT(EDATE($D111,Milestones!$AA$130),"dd mmm yy"))&amp;" "&amp;Milestones!$AB$130&amp;" "&amp;IF(AND(Milestones!$AB$130="FT",Milestones!$AA$130=FT_Y5,EDATE($D111,Milestones!$AA$130)&lt;PolicyEff),1,Milestones!$AC$130)&amp;";  ","")&amp;IF(AND(EDATE($D111,Milestones!$AA$131)&lt;=AsOfDate,EDATE($D111,Milestones!$AA$131)&gt;=SchemeStart,IF($X111=0,$AD111,IF(AND($Z111&lt;&gt;"",EDATE($D111,Milestones!$AA$131)&gt;=$Z111),$AC111,IF(AND($Y111&lt;&gt;"",EDATE($D111,Milestones!$AA$131)&gt;=$Y111),$AB111,$AA111)))=Milestones!$AB$131),UPPER(TEXT(EDATE($D111,Milestones!$AA$131),"dd mmm yy"))&amp;" "&amp;Milestones!$AB$131&amp;" "&amp;IF(AND(Milestones!$AB$131="FT",Milestones!$AA$131=FT_Y5,EDATE($D111,Milestones!$AA$131)&lt;PolicyEff),1,Milestones!$AC$131)&amp;";  ","")&amp;IF(AND(EDATE($D111,Milestones!$AA$132)&lt;=AsOfDate,EDATE($D111,Milestones!$AA$132)&gt;=SchemeStart,IF($X111=0,$AD111,IF(AND($Z111&lt;&gt;"",EDATE($D111,Milestones!$AA$132)&gt;=$Z111),$AC111,IF(AND($Y111&lt;&gt;"",EDATE($D111,Milestones!$AA$132)&gt;=$Y111),$AB111,$AA111)))=Milestones!$AB$132),UPPER(TEXT(EDATE($D111,Milestones!$AA$132),"dd mmm yy"))&amp;" "&amp;Milestones!$AB$132&amp;" "&amp;IF(AND(Milestones!$AB$132="FT",Milestones!$AA$132=FT_Y5,EDATE($D111,Milestones!$AA$132)&lt;PolicyEff),1,Milestones!$AC$132)&amp;";  ","")&amp;IF(AND(EDATE($D111,Milestones!$AA$133)&lt;=AsOfDate,EDATE($D111,Milestones!$AA$133)&gt;=SchemeStart,IF($X111=0,$AD111,IF(AND($Z111&lt;&gt;"",EDATE($D111,Milestones!$AA$133)&gt;=$Z111),$AC111,IF(AND($Y111&lt;&gt;"",EDATE($D111,Milestones!$AA$133)&gt;=$Y111),$AB111,$AA111)))=Milestones!$AB$133),UPPER(TEXT(EDATE($D111,Milestones!$AA$133),"dd mmm yy"))&amp;" "&amp;Milestones!$AB$133&amp;" "&amp;IF(AND(Milestones!$AB$133="FT",Milestones!$AA$133=FT_Y5,EDATE($D111,Milestones!$AA$133)&lt;PolicyEff),1,Milestones!$AC$133)&amp;";  ","")&amp;IF(AND(EDATE($D111,Milestones!$AA$134)&lt;=AsOfDate,EDATE($D111,Milestones!$AA$134)&gt;=SchemeStart,IF($X111=0,$AD111,IF(AND($Z111&lt;&gt;"",EDATE($D111,Milestones!$AA$134)&gt;=$Z111),$AC111,IF(AND($Y111&lt;&gt;"",EDATE($D111,Milestones!$AA$134)&gt;=$Y111),$AB111,$AA111)))=Milestones!$AB$134),UPPER(TEXT(EDATE($D111,Milestones!$AA$134),"dd mmm yy"))&amp;" "&amp;Milestones!$AB$134&amp;" "&amp;IF(AND(Milestones!$AB$134="FT",Milestones!$AA$134=FT_Y5,EDATE($D111,Milestones!$AA$134)&lt;PolicyEff),1,Milestones!$AC$134)&amp;";  ","")&amp;IF(AND(EDATE($D111,Milestones!$AA$135)&lt;=AsOfDate,EDATE($D111,Milestones!$AA$135)&gt;=SchemeStart,IF($X111=0,$AD111,IF(AND($Z111&lt;&gt;"",EDATE($D111,Milestones!$AA$135)&gt;=$Z111),$AC111,IF(AND($Y111&lt;&gt;"",EDATE($D111,Milestones!$AA$135)&gt;=$Y111),$AB111,$AA111)))=Milestones!$AB$135),UPPER(TEXT(EDATE($D111,Milestones!$AA$135),"dd mmm yy"))&amp;" "&amp;Milestones!$AB$135&amp;" "&amp;IF(AND(Milestones!$AB$135="FT",Milestones!$AA$135=FT_Y5,EDATE($D111,Milestones!$AA$135)&lt;PolicyEff),1,Milestones!$AC$135)&amp;";  ","")&amp;IF(AND(EDATE($D111,Milestones!$AA$136)&lt;=AsOfDate,EDATE($D111,Milestones!$AA$136)&gt;=SchemeStart,IF($X111=0,$AD111,IF(AND($Z111&lt;&gt;"",EDATE($D111,Milestones!$AA$136)&gt;=$Z111),$AC111,IF(AND($Y111&lt;&gt;"",EDATE($D111,Milestones!$AA$136)&gt;=$Y111),$AB111,$AA111)))=Milestones!$AB$136),UPPER(TEXT(EDATE($D111,Milestones!$AA$136),"dd mmm yy"))&amp;" "&amp;Milestones!$AB$136&amp;" "&amp;IF(AND(Milestones!$AB$136="FT",Milestones!$AA$136=FT_Y5,EDATE($D111,Milestones!$AA$136)&lt;PolicyEff),1,Milestones!$AC$136)&amp;";  ","")&amp;IF(AND(EDATE($D111,Milestones!$AA$137)&lt;=AsOfDate,EDATE($D111,Milestones!$AA$137)&gt;=SchemeStart,IF($X111=0,$AD111,IF(AND($Z111&lt;&gt;"",EDATE($D111,Milestones!$AA$137)&gt;=$Z111),$AC111,IF(AND($Y111&lt;&gt;"",EDATE($D111,Milestones!$AA$137)&gt;=$Y111),$AB111,$AA111)))=Milestones!$AB$137),UPPER(TEXT(EDATE($D111,Milestones!$AA$137),"dd mmm yy"))&amp;" "&amp;Milestones!$AB$137&amp;" "&amp;IF(AND(Milestones!$AB$137="FT",Milestones!$AA$137=FT_Y5,EDATE($D111,Milestones!$AA$137)&lt;PolicyEff),1,Milestones!$AC$137)&amp;";  ","")&amp;IF(AND(EDATE($D111,Milestones!$AA$138)&lt;=AsOfDate,EDATE($D111,Milestones!$AA$138)&gt;=SchemeStart,IF($X111=0,$AD111,IF(AND($Z111&lt;&gt;"",EDATE($D111,Milestones!$AA$138)&gt;=$Z111),$AC111,IF(AND($Y111&lt;&gt;"",EDATE($D111,Milestones!$AA$138)&gt;=$Y111),$AB111,$AA111)))=Milestones!$AB$138),UPPER(TEXT(EDATE($D111,Milestones!$AA$138),"dd mmm yy"))&amp;" "&amp;Milestones!$AB$138&amp;" "&amp;IF(AND(Milestones!$AB$138="FT",Milestones!$AA$138=FT_Y5,EDATE($D111,Milestones!$AA$138)&lt;PolicyEff),1,Milestones!$AC$138)&amp;";  ","")&amp;IF(AND(EDATE($D111,Milestones!$AA$139)&lt;=AsOfDate,EDATE($D111,Milestones!$AA$139)&gt;=SchemeStart,IF($X111=0,$AD111,IF(AND($Z111&lt;&gt;"",EDATE($D111,Milestones!$AA$139)&gt;=$Z111),$AC111,IF(AND($Y111&lt;&gt;"",EDATE($D111,Milestones!$AA$139)&gt;=$Y111),$AB111,$AA111)))=Milestones!$AB$139),UPPER(TEXT(EDATE($D111,Milestones!$AA$139),"dd mmm yy"))&amp;" "&amp;Milestones!$AB$139&amp;" "&amp;IF(AND(Milestones!$AB$139="FT",Milestones!$AA$139=FT_Y5,EDATE($D111,Milestones!$AA$139)&lt;PolicyEff),1,Milestones!$AC$139)&amp;";  ",""))</f>
        <v/>
      </c>
      <c r="S111" s="0" t="str">
        <f aca="false">IF(OR($A111="",$D111=""),"",IF(AND(EDATE($D111,Milestones!$AA$140)&lt;=AsOfDate,EDATE($D111,Milestones!$AA$140)&gt;=SchemeStart,IF($X111=0,$AD111,IF(AND($Z111&lt;&gt;"",EDATE($D111,Milestones!$AA$140)&gt;=$Z111),$AC111,IF(AND($Y111&lt;&gt;"",EDATE($D111,Milestones!$AA$140)&gt;=$Y111),$AB111,$AA111)))=Milestones!$AB$140),UPPER(TEXT(EDATE($D111,Milestones!$AA$140),"dd mmm yy"))&amp;" "&amp;Milestones!$AB$140&amp;" "&amp;IF(AND(Milestones!$AB$140="FT",Milestones!$AA$140=FT_Y5,EDATE($D111,Milestones!$AA$140)&lt;PolicyEff),1,Milestones!$AC$140)&amp;";  ","")&amp;IF(AND(EDATE($D111,Milestones!$AA$141)&lt;=AsOfDate,EDATE($D111,Milestones!$AA$141)&gt;=SchemeStart,IF($X111=0,$AD111,IF(AND($Z111&lt;&gt;"",EDATE($D111,Milestones!$AA$141)&gt;=$Z111),$AC111,IF(AND($Y111&lt;&gt;"",EDATE($D111,Milestones!$AA$141)&gt;=$Y111),$AB111,$AA111)))=Milestones!$AB$141),UPPER(TEXT(EDATE($D111,Milestones!$AA$141),"dd mmm yy"))&amp;" "&amp;Milestones!$AB$141&amp;" "&amp;IF(AND(Milestones!$AB$141="FT",Milestones!$AA$141=FT_Y5,EDATE($D111,Milestones!$AA$141)&lt;PolicyEff),1,Milestones!$AC$141)&amp;";  ","")&amp;IF(AND(EDATE($D111,Milestones!$AA$142)&lt;=AsOfDate,EDATE($D111,Milestones!$AA$142)&gt;=SchemeStart,IF($X111=0,$AD111,IF(AND($Z111&lt;&gt;"",EDATE($D111,Milestones!$AA$142)&gt;=$Z111),$AC111,IF(AND($Y111&lt;&gt;"",EDATE($D111,Milestones!$AA$142)&gt;=$Y111),$AB111,$AA111)))=Milestones!$AB$142),UPPER(TEXT(EDATE($D111,Milestones!$AA$142),"dd mmm yy"))&amp;" "&amp;Milestones!$AB$142&amp;" "&amp;IF(AND(Milestones!$AB$142="FT",Milestones!$AA$142=FT_Y5,EDATE($D111,Milestones!$AA$142)&lt;PolicyEff),1,Milestones!$AC$142)&amp;";  ","")&amp;IF(AND(EDATE($D111,Milestones!$AA$143)&lt;=AsOfDate,EDATE($D111,Milestones!$AA$143)&gt;=SchemeStart,IF($X111=0,$AD111,IF(AND($Z111&lt;&gt;"",EDATE($D111,Milestones!$AA$143)&gt;=$Z111),$AC111,IF(AND($Y111&lt;&gt;"",EDATE($D111,Milestones!$AA$143)&gt;=$Y111),$AB111,$AA111)))=Milestones!$AB$143),UPPER(TEXT(EDATE($D111,Milestones!$AA$143),"dd mmm yy"))&amp;" "&amp;Milestones!$AB$143&amp;" "&amp;IF(AND(Milestones!$AB$143="FT",Milestones!$AA$143=FT_Y5,EDATE($D111,Milestones!$AA$143)&lt;PolicyEff),1,Milestones!$AC$143)&amp;";  ","")&amp;IF(AND(EDATE($D111,Milestones!$AA$144)&lt;=AsOfDate,EDATE($D111,Milestones!$AA$144)&gt;=SchemeStart,IF($X111=0,$AD111,IF(AND($Z111&lt;&gt;"",EDATE($D111,Milestones!$AA$144)&gt;=$Z111),$AC111,IF(AND($Y111&lt;&gt;"",EDATE($D111,Milestones!$AA$144)&gt;=$Y111),$AB111,$AA111)))=Milestones!$AB$144),UPPER(TEXT(EDATE($D111,Milestones!$AA$144),"dd mmm yy"))&amp;" "&amp;Milestones!$AB$144&amp;" "&amp;IF(AND(Milestones!$AB$144="FT",Milestones!$AA$144=FT_Y5,EDATE($D111,Milestones!$AA$144)&lt;PolicyEff),1,Milestones!$AC$144)&amp;";  ","")&amp;IF(AND(EDATE($D111,Milestones!$AA$145)&lt;=AsOfDate,EDATE($D111,Milestones!$AA$145)&gt;=SchemeStart,IF($X111=0,$AD111,IF(AND($Z111&lt;&gt;"",EDATE($D111,Milestones!$AA$145)&gt;=$Z111),$AC111,IF(AND($Y111&lt;&gt;"",EDATE($D111,Milestones!$AA$145)&gt;=$Y111),$AB111,$AA111)))=Milestones!$AB$145),UPPER(TEXT(EDATE($D111,Milestones!$AA$145),"dd mmm yy"))&amp;" "&amp;Milestones!$AB$145&amp;" "&amp;IF(AND(Milestones!$AB$145="FT",Milestones!$AA$145=FT_Y5,EDATE($D111,Milestones!$AA$145)&lt;PolicyEff),1,Milestones!$AC$145)&amp;";  ","")&amp;IF(AND(EDATE($D111,Milestones!$AA$146)&lt;=AsOfDate,EDATE($D111,Milestones!$AA$146)&gt;=SchemeStart,IF($X111=0,$AD111,IF(AND($Z111&lt;&gt;"",EDATE($D111,Milestones!$AA$146)&gt;=$Z111),$AC111,IF(AND($Y111&lt;&gt;"",EDATE($D111,Milestones!$AA$146)&gt;=$Y111),$AB111,$AA111)))=Milestones!$AB$146),UPPER(TEXT(EDATE($D111,Milestones!$AA$146),"dd mmm yy"))&amp;" "&amp;Milestones!$AB$146&amp;" "&amp;IF(AND(Milestones!$AB$146="FT",Milestones!$AA$146=FT_Y5,EDATE($D111,Milestones!$AA$146)&lt;PolicyEff),1,Milestones!$AC$146)&amp;";  ","")&amp;IF(AND(EDATE($D111,Milestones!$AA$147)&lt;=AsOfDate,EDATE($D111,Milestones!$AA$147)&gt;=SchemeStart,IF($X111=0,$AD111,IF(AND($Z111&lt;&gt;"",EDATE($D111,Milestones!$AA$147)&gt;=$Z111),$AC111,IF(AND($Y111&lt;&gt;"",EDATE($D111,Milestones!$AA$147)&gt;=$Y111),$AB111,$AA111)))=Milestones!$AB$147),UPPER(TEXT(EDATE($D111,Milestones!$AA$147),"dd mmm yy"))&amp;" "&amp;Milestones!$AB$147&amp;" "&amp;IF(AND(Milestones!$AB$147="FT",Milestones!$AA$147=FT_Y5,EDATE($D111,Milestones!$AA$147)&lt;PolicyEff),1,Milestones!$AC$147)&amp;";  ","")&amp;IF(AND(EDATE($D111,Milestones!$AA$148)&lt;=AsOfDate,EDATE($D111,Milestones!$AA$148)&gt;=SchemeStart,IF($X111=0,$AD111,IF(AND($Z111&lt;&gt;"",EDATE($D111,Milestones!$AA$148)&gt;=$Z111),$AC111,IF(AND($Y111&lt;&gt;"",EDATE($D111,Milestones!$AA$148)&gt;=$Y111),$AB111,$AA111)))=Milestones!$AB$148),UPPER(TEXT(EDATE($D111,Milestones!$AA$148),"dd mmm yy"))&amp;" "&amp;Milestones!$AB$148&amp;" "&amp;IF(AND(Milestones!$AB$148="FT",Milestones!$AA$148=FT_Y5,EDATE($D111,Milestones!$AA$148)&lt;PolicyEff),1,Milestones!$AC$148)&amp;";  ","")&amp;IF(AND(EDATE($D111,Milestones!$AA$149)&lt;=AsOfDate,EDATE($D111,Milestones!$AA$149)&gt;=SchemeStart,IF($X111=0,$AD111,IF(AND($Z111&lt;&gt;"",EDATE($D111,Milestones!$AA$149)&gt;=$Z111),$AC111,IF(AND($Y111&lt;&gt;"",EDATE($D111,Milestones!$AA$149)&gt;=$Y111),$AB111,$AA111)))=Milestones!$AB$149),UPPER(TEXT(EDATE($D111,Milestones!$AA$149),"dd mmm yy"))&amp;" "&amp;Milestones!$AB$149&amp;" "&amp;IF(AND(Milestones!$AB$149="FT",Milestones!$AA$149=FT_Y5,EDATE($D111,Milestones!$AA$149)&lt;PolicyEff),1,Milestones!$AC$149)&amp;";  ","")&amp;IF(AND(EDATE($D111,Milestones!$AA$150)&lt;=AsOfDate,EDATE($D111,Milestones!$AA$150)&gt;=SchemeStart,IF($X111=0,$AD111,IF(AND($Z111&lt;&gt;"",EDATE($D111,Milestones!$AA$150)&gt;=$Z111),$AC111,IF(AND($Y111&lt;&gt;"",EDATE($D111,Milestones!$AA$150)&gt;=$Y111),$AB111,$AA111)))=Milestones!$AB$150),UPPER(TEXT(EDATE($D111,Milestones!$AA$150),"dd mmm yy"))&amp;" "&amp;Milestones!$AB$150&amp;" "&amp;IF(AND(Milestones!$AB$150="FT",Milestones!$AA$150=FT_Y5,EDATE($D111,Milestones!$AA$150)&lt;PolicyEff),1,Milestones!$AC$150)&amp;";  ","")&amp;IF(AND(EDATE($D111,Milestones!$AA$151)&lt;=AsOfDate,EDATE($D111,Milestones!$AA$151)&gt;=SchemeStart,IF($X111=0,$AD111,IF(AND($Z111&lt;&gt;"",EDATE($D111,Milestones!$AA$151)&gt;=$Z111),$AC111,IF(AND($Y111&lt;&gt;"",EDATE($D111,Milestones!$AA$151)&gt;=$Y111),$AB111,$AA111)))=Milestones!$AB$151),UPPER(TEXT(EDATE($D111,Milestones!$AA$151),"dd mmm yy"))&amp;" "&amp;Milestones!$AB$151&amp;" "&amp;IF(AND(Milestones!$AB$151="FT",Milestones!$AA$151=FT_Y5,EDATE($D111,Milestones!$AA$151)&lt;PolicyEff),1,Milestones!$AC$151)&amp;";  ",""))</f>
        <v/>
      </c>
      <c r="T111" s="0" t="str">
        <f aca="false">IF(OR($A111="",$D111=""),"",IF(AND(EDATE($D111,Milestones!$AA$152)&lt;=AsOfDate,EDATE($D111,Milestones!$AA$152)&gt;=SchemeStart,IF($X111=0,$AD111,IF(AND($Z111&lt;&gt;"",EDATE($D111,Milestones!$AA$152)&gt;=$Z111),$AC111,IF(AND($Y111&lt;&gt;"",EDATE($D111,Milestones!$AA$152)&gt;=$Y111),$AB111,$AA111)))=Milestones!$AB$152),UPPER(TEXT(EDATE($D111,Milestones!$AA$152),"dd mmm yy"))&amp;" "&amp;Milestones!$AB$152&amp;" "&amp;IF(AND(Milestones!$AB$152="FT",Milestones!$AA$152=FT_Y5,EDATE($D111,Milestones!$AA$152)&lt;PolicyEff),1,Milestones!$AC$152)&amp;";  ","")&amp;IF(AND(EDATE($D111,Milestones!$AA$153)&lt;=AsOfDate,EDATE($D111,Milestones!$AA$153)&gt;=SchemeStart,IF($X111=0,$AD111,IF(AND($Z111&lt;&gt;"",EDATE($D111,Milestones!$AA$153)&gt;=$Z111),$AC111,IF(AND($Y111&lt;&gt;"",EDATE($D111,Milestones!$AA$153)&gt;=$Y111),$AB111,$AA111)))=Milestones!$AB$153),UPPER(TEXT(EDATE($D111,Milestones!$AA$153),"dd mmm yy"))&amp;" "&amp;Milestones!$AB$153&amp;" "&amp;IF(AND(Milestones!$AB$153="FT",Milestones!$AA$153=FT_Y5,EDATE($D111,Milestones!$AA$153)&lt;PolicyEff),1,Milestones!$AC$153)&amp;";  ","")&amp;IF(AND(EDATE($D111,Milestones!$AA$154)&lt;=AsOfDate,EDATE($D111,Milestones!$AA$154)&gt;=SchemeStart,IF($X111=0,$AD111,IF(AND($Z111&lt;&gt;"",EDATE($D111,Milestones!$AA$154)&gt;=$Z111),$AC111,IF(AND($Y111&lt;&gt;"",EDATE($D111,Milestones!$AA$154)&gt;=$Y111),$AB111,$AA111)))=Milestones!$AB$154),UPPER(TEXT(EDATE($D111,Milestones!$AA$154),"dd mmm yy"))&amp;" "&amp;Milestones!$AB$154&amp;" "&amp;IF(AND(Milestones!$AB$154="FT",Milestones!$AA$154=FT_Y5,EDATE($D111,Milestones!$AA$154)&lt;PolicyEff),1,Milestones!$AC$154)&amp;";  ","")&amp;IF(AND(EDATE($D111,Milestones!$AA$155)&lt;=AsOfDate,EDATE($D111,Milestones!$AA$155)&gt;=SchemeStart,IF($X111=0,$AD111,IF(AND($Z111&lt;&gt;"",EDATE($D111,Milestones!$AA$155)&gt;=$Z111),$AC111,IF(AND($Y111&lt;&gt;"",EDATE($D111,Milestones!$AA$155)&gt;=$Y111),$AB111,$AA111)))=Milestones!$AB$155),UPPER(TEXT(EDATE($D111,Milestones!$AA$155),"dd mmm yy"))&amp;" "&amp;Milestones!$AB$155&amp;" "&amp;IF(AND(Milestones!$AB$155="FT",Milestones!$AA$155=FT_Y5,EDATE($D111,Milestones!$AA$155)&lt;PolicyEff),1,Milestones!$AC$155)&amp;";  ","")&amp;IF(AND(EDATE($D111,Milestones!$AA$156)&lt;=AsOfDate,EDATE($D111,Milestones!$AA$156)&gt;=SchemeStart,IF($X111=0,$AD111,IF(AND($Z111&lt;&gt;"",EDATE($D111,Milestones!$AA$156)&gt;=$Z111),$AC111,IF(AND($Y111&lt;&gt;"",EDATE($D111,Milestones!$AA$156)&gt;=$Y111),$AB111,$AA111)))=Milestones!$AB$156),UPPER(TEXT(EDATE($D111,Milestones!$AA$156),"dd mmm yy"))&amp;" "&amp;Milestones!$AB$156&amp;" "&amp;IF(AND(Milestones!$AB$156="FT",Milestones!$AA$156=FT_Y5,EDATE($D111,Milestones!$AA$156)&lt;PolicyEff),1,Milestones!$AC$156)&amp;";  ","")&amp;IF(AND(EDATE($D111,Milestones!$AA$157)&lt;=AsOfDate,EDATE($D111,Milestones!$AA$157)&gt;=SchemeStart,IF($X111=0,$AD111,IF(AND($Z111&lt;&gt;"",EDATE($D111,Milestones!$AA$157)&gt;=$Z111),$AC111,IF(AND($Y111&lt;&gt;"",EDATE($D111,Milestones!$AA$157)&gt;=$Y111),$AB111,$AA111)))=Milestones!$AB$157),UPPER(TEXT(EDATE($D111,Milestones!$AA$157),"dd mmm yy"))&amp;" "&amp;Milestones!$AB$157&amp;" "&amp;IF(AND(Milestones!$AB$157="FT",Milestones!$AA$157=FT_Y5,EDATE($D111,Milestones!$AA$157)&lt;PolicyEff),1,Milestones!$AC$157)&amp;";  ","")&amp;IF(AND(EDATE($D111,Milestones!$AA$158)&lt;=AsOfDate,EDATE($D111,Milestones!$AA$158)&gt;=SchemeStart,IF($X111=0,$AD111,IF(AND($Z111&lt;&gt;"",EDATE($D111,Milestones!$AA$158)&gt;=$Z111),$AC111,IF(AND($Y111&lt;&gt;"",EDATE($D111,Milestones!$AA$158)&gt;=$Y111),$AB111,$AA111)))=Milestones!$AB$158),UPPER(TEXT(EDATE($D111,Milestones!$AA$158),"dd mmm yy"))&amp;" "&amp;Milestones!$AB$158&amp;" "&amp;IF(AND(Milestones!$AB$158="FT",Milestones!$AA$158=FT_Y5,EDATE($D111,Milestones!$AA$158)&lt;PolicyEff),1,Milestones!$AC$158)&amp;";  ","")&amp;IF(AND(EDATE($D111,Milestones!$AA$159)&lt;=AsOfDate,EDATE($D111,Milestones!$AA$159)&gt;=SchemeStart,IF($X111=0,$AD111,IF(AND($Z111&lt;&gt;"",EDATE($D111,Milestones!$AA$159)&gt;=$Z111),$AC111,IF(AND($Y111&lt;&gt;"",EDATE($D111,Milestones!$AA$159)&gt;=$Y111),$AB111,$AA111)))=Milestones!$AB$159),UPPER(TEXT(EDATE($D111,Milestones!$AA$159),"dd mmm yy"))&amp;" "&amp;Milestones!$AB$159&amp;" "&amp;IF(AND(Milestones!$AB$159="FT",Milestones!$AA$159=FT_Y5,EDATE($D111,Milestones!$AA$159)&lt;PolicyEff),1,Milestones!$AC$159)&amp;";  ","")&amp;IF(AND(EDATE($D111,Milestones!$AA$160)&lt;=AsOfDate,EDATE($D111,Milestones!$AA$160)&gt;=SchemeStart,IF($X111=0,$AD111,IF(AND($Z111&lt;&gt;"",EDATE($D111,Milestones!$AA$160)&gt;=$Z111),$AC111,IF(AND($Y111&lt;&gt;"",EDATE($D111,Milestones!$AA$160)&gt;=$Y111),$AB111,$AA111)))=Milestones!$AB$160),UPPER(TEXT(EDATE($D111,Milestones!$AA$160),"dd mmm yy"))&amp;" "&amp;Milestones!$AB$160&amp;" "&amp;IF(AND(Milestones!$AB$160="FT",Milestones!$AA$160=FT_Y5,EDATE($D111,Milestones!$AA$160)&lt;PolicyEff),1,Milestones!$AC$160)&amp;";  ","")&amp;IF(AND(EDATE($D111,Milestones!$AA$161)&lt;=AsOfDate,EDATE($D111,Milestones!$AA$161)&gt;=SchemeStart,IF($X111=0,$AD111,IF(AND($Z111&lt;&gt;"",EDATE($D111,Milestones!$AA$161)&gt;=$Z111),$AC111,IF(AND($Y111&lt;&gt;"",EDATE($D111,Milestones!$AA$161)&gt;=$Y111),$AB111,$AA111)))=Milestones!$AB$161),UPPER(TEXT(EDATE($D111,Milestones!$AA$161),"dd mmm yy"))&amp;" "&amp;Milestones!$AB$161&amp;" "&amp;IF(AND(Milestones!$AB$161="FT",Milestones!$AA$161=FT_Y5,EDATE($D111,Milestones!$AA$161)&lt;PolicyEff),1,Milestones!$AC$161)&amp;";  ","")&amp;IF(AND(EDATE($D111,Milestones!$AA$162)&lt;=AsOfDate,EDATE($D111,Milestones!$AA$162)&gt;=SchemeStart,IF($X111=0,$AD111,IF(AND($Z111&lt;&gt;"",EDATE($D111,Milestones!$AA$162)&gt;=$Z111),$AC111,IF(AND($Y111&lt;&gt;"",EDATE($D111,Milestones!$AA$162)&gt;=$Y111),$AB111,$AA111)))=Milestones!$AB$162),UPPER(TEXT(EDATE($D111,Milestones!$AA$162),"dd mmm yy"))&amp;" "&amp;Milestones!$AB$162&amp;" "&amp;IF(AND(Milestones!$AB$162="FT",Milestones!$AA$162=FT_Y5,EDATE($D111,Milestones!$AA$162)&lt;PolicyEff),1,Milestones!$AC$162)&amp;";  ","")&amp;IF(AND(EDATE($D111,Milestones!$AA$163)&lt;=AsOfDate,EDATE($D111,Milestones!$AA$163)&gt;=SchemeStart,IF($X111=0,$AD111,IF(AND($Z111&lt;&gt;"",EDATE($D111,Milestones!$AA$163)&gt;=$Z111),$AC111,IF(AND($Y111&lt;&gt;"",EDATE($D111,Milestones!$AA$163)&gt;=$Y111),$AB111,$AA111)))=Milestones!$AB$163),UPPER(TEXT(EDATE($D111,Milestones!$AA$163),"dd mmm yy"))&amp;" "&amp;Milestones!$AB$163&amp;" "&amp;IF(AND(Milestones!$AB$163="FT",Milestones!$AA$163=FT_Y5,EDATE($D111,Milestones!$AA$163)&lt;PolicyEff),1,Milestones!$AC$163)&amp;";  ",""))</f>
        <v/>
      </c>
      <c r="U111" s="0" t="str">
        <f aca="false">IF(OR($A111="",$D111=""),"",IF(AND(EDATE($D111,Milestones!$AA$164)&lt;=AsOfDate,EDATE($D111,Milestones!$AA$164)&gt;=SchemeStart,IF($X111=0,$AD111,IF(AND($Z111&lt;&gt;"",EDATE($D111,Milestones!$AA$164)&gt;=$Z111),$AC111,IF(AND($Y111&lt;&gt;"",EDATE($D111,Milestones!$AA$164)&gt;=$Y111),$AB111,$AA111)))=Milestones!$AB$164),UPPER(TEXT(EDATE($D111,Milestones!$AA$164),"dd mmm yy"))&amp;" "&amp;Milestones!$AB$164&amp;" "&amp;IF(AND(Milestones!$AB$164="FT",Milestones!$AA$164=FT_Y5,EDATE($D111,Milestones!$AA$164)&lt;PolicyEff),1,Milestones!$AC$164)&amp;";  ","")&amp;IF(AND(EDATE($D111,Milestones!$AA$165)&lt;=AsOfDate,EDATE($D111,Milestones!$AA$165)&gt;=SchemeStart,IF($X111=0,$AD111,IF(AND($Z111&lt;&gt;"",EDATE($D111,Milestones!$AA$165)&gt;=$Z111),$AC111,IF(AND($Y111&lt;&gt;"",EDATE($D111,Milestones!$AA$165)&gt;=$Y111),$AB111,$AA111)))=Milestones!$AB$165),UPPER(TEXT(EDATE($D111,Milestones!$AA$165),"dd mmm yy"))&amp;" "&amp;Milestones!$AB$165&amp;" "&amp;IF(AND(Milestones!$AB$165="FT",Milestones!$AA$165=FT_Y5,EDATE($D111,Milestones!$AA$165)&lt;PolicyEff),1,Milestones!$AC$165)&amp;";  ","")&amp;IF(AND(EDATE($D111,Milestones!$AA$166)&lt;=AsOfDate,EDATE($D111,Milestones!$AA$166)&gt;=SchemeStart,IF($X111=0,$AD111,IF(AND($Z111&lt;&gt;"",EDATE($D111,Milestones!$AA$166)&gt;=$Z111),$AC111,IF(AND($Y111&lt;&gt;"",EDATE($D111,Milestones!$AA$166)&gt;=$Y111),$AB111,$AA111)))=Milestones!$AB$166),UPPER(TEXT(EDATE($D111,Milestones!$AA$166),"dd mmm yy"))&amp;" "&amp;Milestones!$AB$166&amp;" "&amp;IF(AND(Milestones!$AB$166="FT",Milestones!$AA$166=FT_Y5,EDATE($D111,Milestones!$AA$166)&lt;PolicyEff),1,Milestones!$AC$166)&amp;";  ","")&amp;IF(AND(EDATE($D111,Milestones!$AA$167)&lt;=AsOfDate,EDATE($D111,Milestones!$AA$167)&gt;=SchemeStart,IF($X111=0,$AD111,IF(AND($Z111&lt;&gt;"",EDATE($D111,Milestones!$AA$167)&gt;=$Z111),$AC111,IF(AND($Y111&lt;&gt;"",EDATE($D111,Milestones!$AA$167)&gt;=$Y111),$AB111,$AA111)))=Milestones!$AB$167),UPPER(TEXT(EDATE($D111,Milestones!$AA$167),"dd mmm yy"))&amp;" "&amp;Milestones!$AB$167&amp;" "&amp;IF(AND(Milestones!$AB$167="FT",Milestones!$AA$167=FT_Y5,EDATE($D111,Milestones!$AA$167)&lt;PolicyEff),1,Milestones!$AC$167)&amp;";  ","")&amp;IF(AND(EDATE($D111,Milestones!$AA$168)&lt;=AsOfDate,EDATE($D111,Milestones!$AA$168)&gt;=SchemeStart,IF($X111=0,$AD111,IF(AND($Z111&lt;&gt;"",EDATE($D111,Milestones!$AA$168)&gt;=$Z111),$AC111,IF(AND($Y111&lt;&gt;"",EDATE($D111,Milestones!$AA$168)&gt;=$Y111),$AB111,$AA111)))=Milestones!$AB$168),UPPER(TEXT(EDATE($D111,Milestones!$AA$168),"dd mmm yy"))&amp;" "&amp;Milestones!$AB$168&amp;" "&amp;IF(AND(Milestones!$AB$168="FT",Milestones!$AA$168=FT_Y5,EDATE($D111,Milestones!$AA$168)&lt;PolicyEff),1,Milestones!$AC$168)&amp;";  ","")&amp;IF(AND(EDATE($D111,Milestones!$AA$169)&lt;=AsOfDate,EDATE($D111,Milestones!$AA$169)&gt;=SchemeStart,IF($X111=0,$AD111,IF(AND($Z111&lt;&gt;"",EDATE($D111,Milestones!$AA$169)&gt;=$Z111),$AC111,IF(AND($Y111&lt;&gt;"",EDATE($D111,Milestones!$AA$169)&gt;=$Y111),$AB111,$AA111)))=Milestones!$AB$169),UPPER(TEXT(EDATE($D111,Milestones!$AA$169),"dd mmm yy"))&amp;" "&amp;Milestones!$AB$169&amp;" "&amp;IF(AND(Milestones!$AB$169="FT",Milestones!$AA$169=FT_Y5,EDATE($D111,Milestones!$AA$169)&lt;PolicyEff),1,Milestones!$AC$169)&amp;";  ","")&amp;IF(AND(EDATE($D111,Milestones!$AA$170)&lt;=AsOfDate,EDATE($D111,Milestones!$AA$170)&gt;=SchemeStart,IF($X111=0,$AD111,IF(AND($Z111&lt;&gt;"",EDATE($D111,Milestones!$AA$170)&gt;=$Z111),$AC111,IF(AND($Y111&lt;&gt;"",EDATE($D111,Milestones!$AA$170)&gt;=$Y111),$AB111,$AA111)))=Milestones!$AB$170),UPPER(TEXT(EDATE($D111,Milestones!$AA$170),"dd mmm yy"))&amp;" "&amp;Milestones!$AB$170&amp;" "&amp;IF(AND(Milestones!$AB$170="FT",Milestones!$AA$170=FT_Y5,EDATE($D111,Milestones!$AA$170)&lt;PolicyEff),1,Milestones!$AC$170)&amp;";  ","")&amp;IF(AND(EDATE($D111,Milestones!$AA$171)&lt;=AsOfDate,EDATE($D111,Milestones!$AA$171)&gt;=SchemeStart,IF($X111=0,$AD111,IF(AND($Z111&lt;&gt;"",EDATE($D111,Milestones!$AA$171)&gt;=$Z111),$AC111,IF(AND($Y111&lt;&gt;"",EDATE($D111,Milestones!$AA$171)&gt;=$Y111),$AB111,$AA111)))=Milestones!$AB$171),UPPER(TEXT(EDATE($D111,Milestones!$AA$171),"dd mmm yy"))&amp;" "&amp;Milestones!$AB$171&amp;" "&amp;IF(AND(Milestones!$AB$171="FT",Milestones!$AA$171=FT_Y5,EDATE($D111,Milestones!$AA$171)&lt;PolicyEff),1,Milestones!$AC$171)&amp;";  ","")&amp;IF(AND(EDATE($D111,Milestones!$AA$172)&lt;=AsOfDate,EDATE($D111,Milestones!$AA$172)&gt;=SchemeStart,IF($X111=0,$AD111,IF(AND($Z111&lt;&gt;"",EDATE($D111,Milestones!$AA$172)&gt;=$Z111),$AC111,IF(AND($Y111&lt;&gt;"",EDATE($D111,Milestones!$AA$172)&gt;=$Y111),$AB111,$AA111)))=Milestones!$AB$172),UPPER(TEXT(EDATE($D111,Milestones!$AA$172),"dd mmm yy"))&amp;" "&amp;Milestones!$AB$172&amp;" "&amp;IF(AND(Milestones!$AB$172="FT",Milestones!$AA$172=FT_Y5,EDATE($D111,Milestones!$AA$172)&lt;PolicyEff),1,Milestones!$AC$172)&amp;";  ","")&amp;IF(AND(EDATE($D111,Milestones!$AA$173)&lt;=AsOfDate,EDATE($D111,Milestones!$AA$173)&gt;=SchemeStart,IF($X111=0,$AD111,IF(AND($Z111&lt;&gt;"",EDATE($D111,Milestones!$AA$173)&gt;=$Z111),$AC111,IF(AND($Y111&lt;&gt;"",EDATE($D111,Milestones!$AA$173)&gt;=$Y111),$AB111,$AA111)))=Milestones!$AB$173),UPPER(TEXT(EDATE($D111,Milestones!$AA$173),"dd mmm yy"))&amp;" "&amp;Milestones!$AB$173&amp;" "&amp;IF(AND(Milestones!$AB$173="FT",Milestones!$AA$173=FT_Y5,EDATE($D111,Milestones!$AA$173)&lt;PolicyEff),1,Milestones!$AC$173)&amp;";  ","")&amp;IF(AND(EDATE($D111,Milestones!$AA$174)&lt;=AsOfDate,EDATE($D111,Milestones!$AA$174)&gt;=SchemeStart,IF($X111=0,$AD111,IF(AND($Z111&lt;&gt;"",EDATE($D111,Milestones!$AA$174)&gt;=$Z111),$AC111,IF(AND($Y111&lt;&gt;"",EDATE($D111,Milestones!$AA$174)&gt;=$Y111),$AB111,$AA111)))=Milestones!$AB$174),UPPER(TEXT(EDATE($D111,Milestones!$AA$174),"dd mmm yy"))&amp;" "&amp;Milestones!$AB$174&amp;" "&amp;IF(AND(Milestones!$AB$174="FT",Milestones!$AA$174=FT_Y5,EDATE($D111,Milestones!$AA$174)&lt;PolicyEff),1,Milestones!$AC$174)&amp;";  ","")&amp;IF(AND(EDATE($D111,Milestones!$AA$175)&lt;=AsOfDate,EDATE($D111,Milestones!$AA$175)&gt;=SchemeStart,IF($X111=0,$AD111,IF(AND($Z111&lt;&gt;"",EDATE($D111,Milestones!$AA$175)&gt;=$Z111),$AC111,IF(AND($Y111&lt;&gt;"",EDATE($D111,Milestones!$AA$175)&gt;=$Y111),$AB111,$AA111)))=Milestones!$AB$175),UPPER(TEXT(EDATE($D111,Milestones!$AA$175),"dd mmm yy"))&amp;" "&amp;Milestones!$AB$175&amp;" "&amp;IF(AND(Milestones!$AB$175="FT",Milestones!$AA$175=FT_Y5,EDATE($D111,Milestones!$AA$175)&lt;PolicyEff),1,Milestones!$AC$175)&amp;";  ",""))</f>
        <v/>
      </c>
      <c r="V111" s="0" t="str">
        <f aca="false">IF(OR($A111="",$D111=""),"",IF(AND(EDATE($D111,Milestones!$AA$176)&lt;=AsOfDate,EDATE($D111,Milestones!$AA$176)&gt;=SchemeStart,IF($X111=0,$AD111,IF(AND($Z111&lt;&gt;"",EDATE($D111,Milestones!$AA$176)&gt;=$Z111),$AC111,IF(AND($Y111&lt;&gt;"",EDATE($D111,Milestones!$AA$176)&gt;=$Y111),$AB111,$AA111)))=Milestones!$AB$176),UPPER(TEXT(EDATE($D111,Milestones!$AA$176),"dd mmm yy"))&amp;" "&amp;Milestones!$AB$176&amp;" "&amp;IF(AND(Milestones!$AB$176="FT",Milestones!$AA$176=FT_Y5,EDATE($D111,Milestones!$AA$176)&lt;PolicyEff),1,Milestones!$AC$176)&amp;";  ","")&amp;IF(AND(EDATE($D111,Milestones!$AA$177)&lt;=AsOfDate,EDATE($D111,Milestones!$AA$177)&gt;=SchemeStart,IF($X111=0,$AD111,IF(AND($Z111&lt;&gt;"",EDATE($D111,Milestones!$AA$177)&gt;=$Z111),$AC111,IF(AND($Y111&lt;&gt;"",EDATE($D111,Milestones!$AA$177)&gt;=$Y111),$AB111,$AA111)))=Milestones!$AB$177),UPPER(TEXT(EDATE($D111,Milestones!$AA$177),"dd mmm yy"))&amp;" "&amp;Milestones!$AB$177&amp;" "&amp;IF(AND(Milestones!$AB$177="FT",Milestones!$AA$177=FT_Y5,EDATE($D111,Milestones!$AA$177)&lt;PolicyEff),1,Milestones!$AC$177)&amp;";  ","")&amp;IF(AND(EDATE($D111,Milestones!$AA$178)&lt;=AsOfDate,EDATE($D111,Milestones!$AA$178)&gt;=SchemeStart,IF($X111=0,$AD111,IF(AND($Z111&lt;&gt;"",EDATE($D111,Milestones!$AA$178)&gt;=$Z111),$AC111,IF(AND($Y111&lt;&gt;"",EDATE($D111,Milestones!$AA$178)&gt;=$Y111),$AB111,$AA111)))=Milestones!$AB$178),UPPER(TEXT(EDATE($D111,Milestones!$AA$178),"dd mmm yy"))&amp;" "&amp;Milestones!$AB$178&amp;" "&amp;IF(AND(Milestones!$AB$178="FT",Milestones!$AA$178=FT_Y5,EDATE($D111,Milestones!$AA$178)&lt;PolicyEff),1,Milestones!$AC$178)&amp;";  ","")&amp;IF(AND(EDATE($D111,Milestones!$AA$179)&lt;=AsOfDate,EDATE($D111,Milestones!$AA$179)&gt;=SchemeStart,IF($X111=0,$AD111,IF(AND($Z111&lt;&gt;"",EDATE($D111,Milestones!$AA$179)&gt;=$Z111),$AC111,IF(AND($Y111&lt;&gt;"",EDATE($D111,Milestones!$AA$179)&gt;=$Y111),$AB111,$AA111)))=Milestones!$AB$179),UPPER(TEXT(EDATE($D111,Milestones!$AA$179),"dd mmm yy"))&amp;" "&amp;Milestones!$AB$179&amp;" "&amp;IF(AND(Milestones!$AB$179="FT",Milestones!$AA$179=FT_Y5,EDATE($D111,Milestones!$AA$179)&lt;PolicyEff),1,Milestones!$AC$179)&amp;";  ","")&amp;IF(AND(EDATE($D111,Milestones!$AA$180)&lt;=AsOfDate,EDATE($D111,Milestones!$AA$180)&gt;=SchemeStart,IF($X111=0,$AD111,IF(AND($Z111&lt;&gt;"",EDATE($D111,Milestones!$AA$180)&gt;=$Z111),$AC111,IF(AND($Y111&lt;&gt;"",EDATE($D111,Milestones!$AA$180)&gt;=$Y111),$AB111,$AA111)))=Milestones!$AB$180),UPPER(TEXT(EDATE($D111,Milestones!$AA$180),"dd mmm yy"))&amp;" "&amp;Milestones!$AB$180&amp;" "&amp;IF(AND(Milestones!$AB$180="FT",Milestones!$AA$180=FT_Y5,EDATE($D111,Milestones!$AA$180)&lt;PolicyEff),1,Milestones!$AC$180)&amp;";  ","")&amp;IF(AND(EDATE($D111,Milestones!$AA$181)&lt;=AsOfDate,EDATE($D111,Milestones!$AA$181)&gt;=SchemeStart,IF($X111=0,$AD111,IF(AND($Z111&lt;&gt;"",EDATE($D111,Milestones!$AA$181)&gt;=$Z111),$AC111,IF(AND($Y111&lt;&gt;"",EDATE($D111,Milestones!$AA$181)&gt;=$Y111),$AB111,$AA111)))=Milestones!$AB$181),UPPER(TEXT(EDATE($D111,Milestones!$AA$181),"dd mmm yy"))&amp;" "&amp;Milestones!$AB$181&amp;" "&amp;IF(AND(Milestones!$AB$181="FT",Milestones!$AA$181=FT_Y5,EDATE($D111,Milestones!$AA$181)&lt;PolicyEff),1,Milestones!$AC$181)&amp;";  ","")&amp;IF(AND(EDATE($D111,Milestones!$AA$182)&lt;=AsOfDate,EDATE($D111,Milestones!$AA$182)&gt;=SchemeStart,IF($X111=0,$AD111,IF(AND($Z111&lt;&gt;"",EDATE($D111,Milestones!$AA$182)&gt;=$Z111),$AC111,IF(AND($Y111&lt;&gt;"",EDATE($D111,Milestones!$AA$182)&gt;=$Y111),$AB111,$AA111)))=Milestones!$AB$182),UPPER(TEXT(EDATE($D111,Milestones!$AA$182),"dd mmm yy"))&amp;" "&amp;Milestones!$AB$182&amp;" "&amp;IF(AND(Milestones!$AB$182="FT",Milestones!$AA$182=FT_Y5,EDATE($D111,Milestones!$AA$182)&lt;PolicyEff),1,Milestones!$AC$182)&amp;";  ","")&amp;IF(AND(EDATE($D111,Milestones!$AA$183)&lt;=AsOfDate,EDATE($D111,Milestones!$AA$183)&gt;=SchemeStart,IF($X111=0,$AD111,IF(AND($Z111&lt;&gt;"",EDATE($D111,Milestones!$AA$183)&gt;=$Z111),$AC111,IF(AND($Y111&lt;&gt;"",EDATE($D111,Milestones!$AA$183)&gt;=$Y111),$AB111,$AA111)))=Milestones!$AB$183),UPPER(TEXT(EDATE($D111,Milestones!$AA$183),"dd mmm yy"))&amp;" "&amp;Milestones!$AB$183&amp;" "&amp;IF(AND(Milestones!$AB$183="FT",Milestones!$AA$183=FT_Y5,EDATE($D111,Milestones!$AA$183)&lt;PolicyEff),1,Milestones!$AC$183)&amp;";  ","")&amp;IF(AND(EDATE($D111,Milestones!$AA$184)&lt;=AsOfDate,EDATE($D111,Milestones!$AA$184)&gt;=SchemeStart,IF($X111=0,$AD111,IF(AND($Z111&lt;&gt;"",EDATE($D111,Milestones!$AA$184)&gt;=$Z111),$AC111,IF(AND($Y111&lt;&gt;"",EDATE($D111,Milestones!$AA$184)&gt;=$Y111),$AB111,$AA111)))=Milestones!$AB$184),UPPER(TEXT(EDATE($D111,Milestones!$AA$184),"dd mmm yy"))&amp;" "&amp;Milestones!$AB$184&amp;" "&amp;IF(AND(Milestones!$AB$184="FT",Milestones!$AA$184=FT_Y5,EDATE($D111,Milestones!$AA$184)&lt;PolicyEff),1,Milestones!$AC$184)&amp;";  ","")&amp;IF(AND(EDATE($D111,Milestones!$AA$185)&lt;=AsOfDate,EDATE($D111,Milestones!$AA$185)&gt;=SchemeStart,IF($X111=0,$AD111,IF(AND($Z111&lt;&gt;"",EDATE($D111,Milestones!$AA$185)&gt;=$Z111),$AC111,IF(AND($Y111&lt;&gt;"",EDATE($D111,Milestones!$AA$185)&gt;=$Y111),$AB111,$AA111)))=Milestones!$AB$185),UPPER(TEXT(EDATE($D111,Milestones!$AA$185),"dd mmm yy"))&amp;" "&amp;Milestones!$AB$185&amp;" "&amp;IF(AND(Milestones!$AB$185="FT",Milestones!$AA$185=FT_Y5,EDATE($D111,Milestones!$AA$185)&lt;PolicyEff),1,Milestones!$AC$185)&amp;";  ","")&amp;IF(AND(EDATE($D111,Milestones!$AA$186)&lt;=AsOfDate,EDATE($D111,Milestones!$AA$186)&gt;=SchemeStart,IF($X111=0,$AD111,IF(AND($Z111&lt;&gt;"",EDATE($D111,Milestones!$AA$186)&gt;=$Z111),$AC111,IF(AND($Y111&lt;&gt;"",EDATE($D111,Milestones!$AA$186)&gt;=$Y111),$AB111,$AA111)))=Milestones!$AB$186),UPPER(TEXT(EDATE($D111,Milestones!$AA$186),"dd mmm yy"))&amp;" "&amp;Milestones!$AB$186&amp;" "&amp;IF(AND(Milestones!$AB$186="FT",Milestones!$AA$186=FT_Y5,EDATE($D111,Milestones!$AA$186)&lt;PolicyEff),1,Milestones!$AC$186)&amp;";  ","")&amp;IF(AND(EDATE($D111,Milestones!$AA$187)&lt;=AsOfDate,EDATE($D111,Milestones!$AA$187)&gt;=SchemeStart,IF($X111=0,$AD111,IF(AND($Z111&lt;&gt;"",EDATE($D111,Milestones!$AA$187)&gt;=$Z111),$AC111,IF(AND($Y111&lt;&gt;"",EDATE($D111,Milestones!$AA$187)&gt;=$Y111),$AB111,$AA111)))=Milestones!$AB$187),UPPER(TEXT(EDATE($D111,Milestones!$AA$187),"dd mmm yy"))&amp;" "&amp;Milestones!$AB$187&amp;" "&amp;IF(AND(Milestones!$AB$187="FT",Milestones!$AA$187=FT_Y5,EDATE($D111,Milestones!$AA$187)&lt;PolicyEff),1,Milestones!$AC$187)&amp;";  ",""))</f>
        <v/>
      </c>
      <c r="W111" s="0" t="str">
        <f aca="false">IF(OR($A111="",$D111=""),"",IF(AND(EDATE($D111,Milestones!$AA$188)&lt;=AsOfDate,EDATE($D111,Milestones!$AA$188)&gt;=SchemeStart,IF($X111=0,$AD111,IF(AND($Z111&lt;&gt;"",EDATE($D111,Milestones!$AA$188)&gt;=$Z111),$AC111,IF(AND($Y111&lt;&gt;"",EDATE($D111,Milestones!$AA$188)&gt;=$Y111),$AB111,$AA111)))=Milestones!$AB$188),UPPER(TEXT(EDATE($D111,Milestones!$AA$188),"dd mmm yy"))&amp;" "&amp;Milestones!$AB$188&amp;" "&amp;IF(AND(Milestones!$AB$188="FT",Milestones!$AA$188=FT_Y5,EDATE($D111,Milestones!$AA$188)&lt;PolicyEff),1,Milestones!$AC$188)&amp;";  ","")&amp;IF(AND(EDATE($D111,Milestones!$AA$189)&lt;=AsOfDate,EDATE($D111,Milestones!$AA$189)&gt;=SchemeStart,IF($X111=0,$AD111,IF(AND($Z111&lt;&gt;"",EDATE($D111,Milestones!$AA$189)&gt;=$Z111),$AC111,IF(AND($Y111&lt;&gt;"",EDATE($D111,Milestones!$AA$189)&gt;=$Y111),$AB111,$AA111)))=Milestones!$AB$189),UPPER(TEXT(EDATE($D111,Milestones!$AA$189),"dd mmm yy"))&amp;" "&amp;Milestones!$AB$189&amp;" "&amp;IF(AND(Milestones!$AB$189="FT",Milestones!$AA$189=FT_Y5,EDATE($D111,Milestones!$AA$189)&lt;PolicyEff),1,Milestones!$AC$189)&amp;";  ","")&amp;IF(AND(EDATE($D111,Milestones!$AA$190)&lt;=AsOfDate,EDATE($D111,Milestones!$AA$190)&gt;=SchemeStart,IF($X111=0,$AD111,IF(AND($Z111&lt;&gt;"",EDATE($D111,Milestones!$AA$190)&gt;=$Z111),$AC111,IF(AND($Y111&lt;&gt;"",EDATE($D111,Milestones!$AA$190)&gt;=$Y111),$AB111,$AA111)))=Milestones!$AB$190),UPPER(TEXT(EDATE($D111,Milestones!$AA$190),"dd mmm yy"))&amp;" "&amp;Milestones!$AB$190&amp;" "&amp;IF(AND(Milestones!$AB$190="FT",Milestones!$AA$190=FT_Y5,EDATE($D111,Milestones!$AA$190)&lt;PolicyEff),1,Milestones!$AC$190)&amp;";  ","")&amp;IF(AND(EDATE($D111,Milestones!$AA$191)&lt;=AsOfDate,EDATE($D111,Milestones!$AA$191)&gt;=SchemeStart,IF($X111=0,$AD111,IF(AND($Z111&lt;&gt;"",EDATE($D111,Milestones!$AA$191)&gt;=$Z111),$AC111,IF(AND($Y111&lt;&gt;"",EDATE($D111,Milestones!$AA$191)&gt;=$Y111),$AB111,$AA111)))=Milestones!$AB$191),UPPER(TEXT(EDATE($D111,Milestones!$AA$191),"dd mmm yy"))&amp;" "&amp;Milestones!$AB$191&amp;" "&amp;IF(AND(Milestones!$AB$191="FT",Milestones!$AA$191=FT_Y5,EDATE($D111,Milestones!$AA$191)&lt;PolicyEff),1,Milestones!$AC$191)&amp;";  ","")&amp;IF(AND(EDATE($D111,Milestones!$AA$192)&lt;=AsOfDate,EDATE($D111,Milestones!$AA$192)&gt;=SchemeStart,IF($X111=0,$AD111,IF(AND($Z111&lt;&gt;"",EDATE($D111,Milestones!$AA$192)&gt;=$Z111),$AC111,IF(AND($Y111&lt;&gt;"",EDATE($D111,Milestones!$AA$192)&gt;=$Y111),$AB111,$AA111)))=Milestones!$AB$192),UPPER(TEXT(EDATE($D111,Milestones!$AA$192),"dd mmm yy"))&amp;" "&amp;Milestones!$AB$192&amp;" "&amp;IF(AND(Milestones!$AB$192="FT",Milestones!$AA$192=FT_Y5,EDATE($D111,Milestones!$AA$192)&lt;PolicyEff),1,Milestones!$AC$192)&amp;";  ","")&amp;IF(AND(EDATE($D111,Milestones!$AA$193)&lt;=AsOfDate,EDATE($D111,Milestones!$AA$193)&gt;=SchemeStart,IF($X111=0,$AD111,IF(AND($Z111&lt;&gt;"",EDATE($D111,Milestones!$AA$193)&gt;=$Z111),$AC111,IF(AND($Y111&lt;&gt;"",EDATE($D111,Milestones!$AA$193)&gt;=$Y111),$AB111,$AA111)))=Milestones!$AB$193),UPPER(TEXT(EDATE($D111,Milestones!$AA$193),"dd mmm yy"))&amp;" "&amp;Milestones!$AB$193&amp;" "&amp;IF(AND(Milestones!$AB$193="FT",Milestones!$AA$193=FT_Y5,EDATE($D111,Milestones!$AA$193)&lt;PolicyEff),1,Milestones!$AC$193)&amp;";  ","")&amp;IF(AND(EDATE($D111,Milestones!$AA$194)&lt;=AsOfDate,EDATE($D111,Milestones!$AA$194)&gt;=SchemeStart,IF($X111=0,$AD111,IF(AND($Z111&lt;&gt;"",EDATE($D111,Milestones!$AA$194)&gt;=$Z111),$AC111,IF(AND($Y111&lt;&gt;"",EDATE($D111,Milestones!$AA$194)&gt;=$Y111),$AB111,$AA111)))=Milestones!$AB$194),UPPER(TEXT(EDATE($D111,Milestones!$AA$194),"dd mmm yy"))&amp;" "&amp;Milestones!$AB$194&amp;" "&amp;IF(AND(Milestones!$AB$194="FT",Milestones!$AA$194=FT_Y5,EDATE($D111,Milestones!$AA$194)&lt;PolicyEff),1,Milestones!$AC$194)&amp;";  ","")&amp;IF(AND(EDATE($D111,Milestones!$AA$195)&lt;=AsOfDate,EDATE($D111,Milestones!$AA$195)&gt;=SchemeStart,IF($X111=0,$AD111,IF(AND($Z111&lt;&gt;"",EDATE($D111,Milestones!$AA$195)&gt;=$Z111),$AC111,IF(AND($Y111&lt;&gt;"",EDATE($D111,Milestones!$AA$195)&gt;=$Y111),$AB111,$AA111)))=Milestones!$AB$195),UPPER(TEXT(EDATE($D111,Milestones!$AA$195),"dd mmm yy"))&amp;" "&amp;Milestones!$AB$195&amp;" "&amp;IF(AND(Milestones!$AB$195="FT",Milestones!$AA$195=FT_Y5,EDATE($D111,Milestones!$AA$195)&lt;PolicyEff),1,Milestones!$AC$195)&amp;";  ","")&amp;IF(AND(EDATE($D111,Milestones!$AA$196)&lt;=AsOfDate,EDATE($D111,Milestones!$AA$196)&gt;=SchemeStart,IF($X111=0,$AD111,IF(AND($Z111&lt;&gt;"",EDATE($D111,Milestones!$AA$196)&gt;=$Z111),$AC111,IF(AND($Y111&lt;&gt;"",EDATE($D111,Milestones!$AA$196)&gt;=$Y111),$AB111,$AA111)))=Milestones!$AB$196),UPPER(TEXT(EDATE($D111,Milestones!$AA$196),"dd mmm yy"))&amp;" "&amp;Milestones!$AB$196&amp;" "&amp;IF(AND(Milestones!$AB$196="FT",Milestones!$AA$196=FT_Y5,EDATE($D111,Milestones!$AA$196)&lt;PolicyEff),1,Milestones!$AC$196)&amp;";  ","")&amp;IF(AND(EDATE($D111,Milestones!$AA$197)&lt;=AsOfDate,EDATE($D111,Milestones!$AA$197)&gt;=SchemeStart,IF($X111=0,$AD111,IF(AND($Z111&lt;&gt;"",EDATE($D111,Milestones!$AA$197)&gt;=$Z111),$AC111,IF(AND($Y111&lt;&gt;"",EDATE($D111,Milestones!$AA$197)&gt;=$Y111),$AB111,$AA111)))=Milestones!$AB$197),UPPER(TEXT(EDATE($D111,Milestones!$AA$197),"dd mmm yy"))&amp;" "&amp;Milestones!$AB$197&amp;" "&amp;IF(AND(Milestones!$AB$197="FT",Milestones!$AA$197=FT_Y5,EDATE($D111,Milestones!$AA$197)&lt;PolicyEff),1,Milestones!$AC$197)&amp;";  ","")&amp;IF(AND(EDATE($D111,Milestones!$AA$198)&lt;=AsOfDate,EDATE($D111,Milestones!$AA$198)&gt;=SchemeStart,IF($X111=0,$AD111,IF(AND($Z111&lt;&gt;"",EDATE($D111,Milestones!$AA$198)&gt;=$Z111),$AC111,IF(AND($Y111&lt;&gt;"",EDATE($D111,Milestones!$AA$198)&gt;=$Y111),$AB111,$AA111)))=Milestones!$AB$198),UPPER(TEXT(EDATE($D111,Milestones!$AA$198),"dd mmm yy"))&amp;" "&amp;Milestones!$AB$198&amp;" "&amp;IF(AND(Milestones!$AB$198="FT",Milestones!$AA$198=FT_Y5,EDATE($D111,Milestones!$AA$198)&lt;PolicyEff),1,Milestones!$AC$198)&amp;";  ","")&amp;IF(AND(EDATE($D111,Milestones!$AA$199)&lt;=AsOfDate,EDATE($D111,Milestones!$AA$199)&gt;=SchemeStart,IF($X111=0,$AD111,IF(AND($Z111&lt;&gt;"",EDATE($D111,Milestones!$AA$199)&gt;=$Z111),$AC111,IF(AND($Y111&lt;&gt;"",EDATE($D111,Milestones!$AA$199)&gt;=$Y111),$AB111,$AA111)))=Milestones!$AB$199),UPPER(TEXT(EDATE($D111,Milestones!$AA$199),"dd mmm yy"))&amp;" "&amp;Milestones!$AB$199&amp;" "&amp;IF(AND(Milestones!$AB$199="FT",Milestones!$AA$199=FT_Y5,EDATE($D111,Milestones!$AA$199)&lt;PolicyEff),1,Milestones!$AC$199)&amp;";  ",""))</f>
        <v/>
      </c>
      <c r="X111" s="0" t="str">
        <f aca="false">IF(Staff!$A111="","",Staff!$AM111)</f>
        <v/>
      </c>
      <c r="Y111" s="0" t="str">
        <f aca="false">IF(Staff!$A111="","",Staff!$AO111)</f>
        <v/>
      </c>
      <c r="Z111" s="0" t="str">
        <f aca="false">IF(Staff!$A111="","",Staff!$AP111)</f>
        <v/>
      </c>
      <c r="AA111" s="0" t="str">
        <f aca="false">IF(Staff!$A111="","",Staff!$AT111)</f>
        <v/>
      </c>
      <c r="AB111" s="0" t="str">
        <f aca="false">IF(Staff!$A111="","",Staff!$AU111)</f>
        <v/>
      </c>
      <c r="AC111" s="0" t="str">
        <f aca="false">IF(Staff!$A111="","",Staff!$AV111)</f>
        <v/>
      </c>
      <c r="AD111" s="0" t="str">
        <f aca="false">IF(Staff!$A111="","",Staff!$AW111)</f>
        <v/>
      </c>
    </row>
    <row r="112" customFormat="false" ht="15" hidden="false" customHeight="false" outlineLevel="0" collapsed="false">
      <c r="A112" s="16" t="str">
        <f aca="false">IF(Staff!$A112="","",Staff!$A112)</f>
        <v/>
      </c>
      <c r="B112" s="16" t="str">
        <f aca="false">IF(Staff!$A112="","",Staff!$B112)</f>
        <v/>
      </c>
      <c r="C112" s="16" t="str">
        <f aca="false">IF(Staff!$A112="","",Staff!$C112)</f>
        <v/>
      </c>
      <c r="D112" s="14" t="str">
        <f aca="false">IF(Staff!$A112="","",Staff!$AL112)</f>
        <v/>
      </c>
      <c r="E112" s="16" t="str">
        <f aca="false">IF(Staff!$A112="","",Staff!$O112)</f>
        <v/>
      </c>
      <c r="F112" s="16" t="str">
        <f aca="false">IF(E112="","",E112*HoursPerDay)</f>
        <v/>
      </c>
      <c r="G112" s="16" t="str">
        <f aca="false">IF(Staff!$A112="","",Staff!$AE112)</f>
        <v/>
      </c>
      <c r="H112" s="28" t="str">
        <f aca="false">IF($A112="","",I112&amp;J112&amp;K112&amp;L112&amp;M112&amp;N112&amp;O112&amp;P112&amp;Q112&amp;R112&amp;S112&amp;T112&amp;U112&amp;V112&amp;W112)</f>
        <v/>
      </c>
      <c r="I112" s="0" t="str">
        <f aca="false">IF(OR($A112="",$D112=""),"",IF(AND(EDATE($D112,Milestones!$AA$20)&lt;=AsOfDate,EDATE($D112,Milestones!$AA$20)&gt;=SchemeStart,IF($X112=0,$AD112,IF(AND($Z112&lt;&gt;"",EDATE($D112,Milestones!$AA$20)&gt;=$Z112),$AC112,IF(AND($Y112&lt;&gt;"",EDATE($D112,Milestones!$AA$20)&gt;=$Y112),$AB112,$AA112)))=Milestones!$AB$20),UPPER(TEXT(EDATE($D112,Milestones!$AA$20),"dd mmm yy"))&amp;" "&amp;Milestones!$AB$20&amp;" "&amp;IF(AND(Milestones!$AB$20="FT",Milestones!$AA$20=FT_Y5,EDATE($D112,Milestones!$AA$20)&lt;PolicyEff),1,Milestones!$AC$20)&amp;";  ","")&amp;IF(AND(EDATE($D112,Milestones!$AA$21)&lt;=AsOfDate,EDATE($D112,Milestones!$AA$21)&gt;=SchemeStart,IF($X112=0,$AD112,IF(AND($Z112&lt;&gt;"",EDATE($D112,Milestones!$AA$21)&gt;=$Z112),$AC112,IF(AND($Y112&lt;&gt;"",EDATE($D112,Milestones!$AA$21)&gt;=$Y112),$AB112,$AA112)))=Milestones!$AB$21),UPPER(TEXT(EDATE($D112,Milestones!$AA$21),"dd mmm yy"))&amp;" "&amp;Milestones!$AB$21&amp;" "&amp;IF(AND(Milestones!$AB$21="FT",Milestones!$AA$21=FT_Y5,EDATE($D112,Milestones!$AA$21)&lt;PolicyEff),1,Milestones!$AC$21)&amp;";  ","")&amp;IF(AND(EDATE($D112,Milestones!$AA$22)&lt;=AsOfDate,EDATE($D112,Milestones!$AA$22)&gt;=SchemeStart,IF($X112=0,$AD112,IF(AND($Z112&lt;&gt;"",EDATE($D112,Milestones!$AA$22)&gt;=$Z112),$AC112,IF(AND($Y112&lt;&gt;"",EDATE($D112,Milestones!$AA$22)&gt;=$Y112),$AB112,$AA112)))=Milestones!$AB$22),UPPER(TEXT(EDATE($D112,Milestones!$AA$22),"dd mmm yy"))&amp;" "&amp;Milestones!$AB$22&amp;" "&amp;IF(AND(Milestones!$AB$22="FT",Milestones!$AA$22=FT_Y5,EDATE($D112,Milestones!$AA$22)&lt;PolicyEff),1,Milestones!$AC$22)&amp;";  ","")&amp;IF(AND(EDATE($D112,Milestones!$AA$23)&lt;=AsOfDate,EDATE($D112,Milestones!$AA$23)&gt;=SchemeStart,IF($X112=0,$AD112,IF(AND($Z112&lt;&gt;"",EDATE($D112,Milestones!$AA$23)&gt;=$Z112),$AC112,IF(AND($Y112&lt;&gt;"",EDATE($D112,Milestones!$AA$23)&gt;=$Y112),$AB112,$AA112)))=Milestones!$AB$23),UPPER(TEXT(EDATE($D112,Milestones!$AA$23),"dd mmm yy"))&amp;" "&amp;Milestones!$AB$23&amp;" "&amp;IF(AND(Milestones!$AB$23="FT",Milestones!$AA$23=FT_Y5,EDATE($D112,Milestones!$AA$23)&lt;PolicyEff),1,Milestones!$AC$23)&amp;";  ","")&amp;IF(AND(EDATE($D112,Milestones!$AA$24)&lt;=AsOfDate,EDATE($D112,Milestones!$AA$24)&gt;=SchemeStart,IF($X112=0,$AD112,IF(AND($Z112&lt;&gt;"",EDATE($D112,Milestones!$AA$24)&gt;=$Z112),$AC112,IF(AND($Y112&lt;&gt;"",EDATE($D112,Milestones!$AA$24)&gt;=$Y112),$AB112,$AA112)))=Milestones!$AB$24),UPPER(TEXT(EDATE($D112,Milestones!$AA$24),"dd mmm yy"))&amp;" "&amp;Milestones!$AB$24&amp;" "&amp;IF(AND(Milestones!$AB$24="FT",Milestones!$AA$24=FT_Y5,EDATE($D112,Milestones!$AA$24)&lt;PolicyEff),1,Milestones!$AC$24)&amp;";  ","")&amp;IF(AND(EDATE($D112,Milestones!$AA$25)&lt;=AsOfDate,EDATE($D112,Milestones!$AA$25)&gt;=SchemeStart,IF($X112=0,$AD112,IF(AND($Z112&lt;&gt;"",EDATE($D112,Milestones!$AA$25)&gt;=$Z112),$AC112,IF(AND($Y112&lt;&gt;"",EDATE($D112,Milestones!$AA$25)&gt;=$Y112),$AB112,$AA112)))=Milestones!$AB$25),UPPER(TEXT(EDATE($D112,Milestones!$AA$25),"dd mmm yy"))&amp;" "&amp;Milestones!$AB$25&amp;" "&amp;IF(AND(Milestones!$AB$25="FT",Milestones!$AA$25=FT_Y5,EDATE($D112,Milestones!$AA$25)&lt;PolicyEff),1,Milestones!$AC$25)&amp;";  ","")&amp;IF(AND(EDATE($D112,Milestones!$AA$26)&lt;=AsOfDate,EDATE($D112,Milestones!$AA$26)&gt;=SchemeStart,IF($X112=0,$AD112,IF(AND($Z112&lt;&gt;"",EDATE($D112,Milestones!$AA$26)&gt;=$Z112),$AC112,IF(AND($Y112&lt;&gt;"",EDATE($D112,Milestones!$AA$26)&gt;=$Y112),$AB112,$AA112)))=Milestones!$AB$26),UPPER(TEXT(EDATE($D112,Milestones!$AA$26),"dd mmm yy"))&amp;" "&amp;Milestones!$AB$26&amp;" "&amp;IF(AND(Milestones!$AB$26="FT",Milestones!$AA$26=FT_Y5,EDATE($D112,Milestones!$AA$26)&lt;PolicyEff),1,Milestones!$AC$26)&amp;";  ","")&amp;IF(AND(EDATE($D112,Milestones!$AA$27)&lt;=AsOfDate,EDATE($D112,Milestones!$AA$27)&gt;=SchemeStart,IF($X112=0,$AD112,IF(AND($Z112&lt;&gt;"",EDATE($D112,Milestones!$AA$27)&gt;=$Z112),$AC112,IF(AND($Y112&lt;&gt;"",EDATE($D112,Milestones!$AA$27)&gt;=$Y112),$AB112,$AA112)))=Milestones!$AB$27),UPPER(TEXT(EDATE($D112,Milestones!$AA$27),"dd mmm yy"))&amp;" "&amp;Milestones!$AB$27&amp;" "&amp;IF(AND(Milestones!$AB$27="FT",Milestones!$AA$27=FT_Y5,EDATE($D112,Milestones!$AA$27)&lt;PolicyEff),1,Milestones!$AC$27)&amp;";  ","")&amp;IF(AND(EDATE($D112,Milestones!$AA$28)&lt;=AsOfDate,EDATE($D112,Milestones!$AA$28)&gt;=SchemeStart,IF($X112=0,$AD112,IF(AND($Z112&lt;&gt;"",EDATE($D112,Milestones!$AA$28)&gt;=$Z112),$AC112,IF(AND($Y112&lt;&gt;"",EDATE($D112,Milestones!$AA$28)&gt;=$Y112),$AB112,$AA112)))=Milestones!$AB$28),UPPER(TEXT(EDATE($D112,Milestones!$AA$28),"dd mmm yy"))&amp;" "&amp;Milestones!$AB$28&amp;" "&amp;IF(AND(Milestones!$AB$28="FT",Milestones!$AA$28=FT_Y5,EDATE($D112,Milestones!$AA$28)&lt;PolicyEff),1,Milestones!$AC$28)&amp;";  ","")&amp;IF(AND(EDATE($D112,Milestones!$AA$29)&lt;=AsOfDate,EDATE($D112,Milestones!$AA$29)&gt;=SchemeStart,IF($X112=0,$AD112,IF(AND($Z112&lt;&gt;"",EDATE($D112,Milestones!$AA$29)&gt;=$Z112),$AC112,IF(AND($Y112&lt;&gt;"",EDATE($D112,Milestones!$AA$29)&gt;=$Y112),$AB112,$AA112)))=Milestones!$AB$29),UPPER(TEXT(EDATE($D112,Milestones!$AA$29),"dd mmm yy"))&amp;" "&amp;Milestones!$AB$29&amp;" "&amp;IF(AND(Milestones!$AB$29="FT",Milestones!$AA$29=FT_Y5,EDATE($D112,Milestones!$AA$29)&lt;PolicyEff),1,Milestones!$AC$29)&amp;";  ","")&amp;IF(AND(EDATE($D112,Milestones!$AA$30)&lt;=AsOfDate,EDATE($D112,Milestones!$AA$30)&gt;=SchemeStart,IF($X112=0,$AD112,IF(AND($Z112&lt;&gt;"",EDATE($D112,Milestones!$AA$30)&gt;=$Z112),$AC112,IF(AND($Y112&lt;&gt;"",EDATE($D112,Milestones!$AA$30)&gt;=$Y112),$AB112,$AA112)))=Milestones!$AB$30),UPPER(TEXT(EDATE($D112,Milestones!$AA$30),"dd mmm yy"))&amp;" "&amp;Milestones!$AB$30&amp;" "&amp;IF(AND(Milestones!$AB$30="FT",Milestones!$AA$30=FT_Y5,EDATE($D112,Milestones!$AA$30)&lt;PolicyEff),1,Milestones!$AC$30)&amp;";  ","")&amp;IF(AND(EDATE($D112,Milestones!$AA$31)&lt;=AsOfDate,EDATE($D112,Milestones!$AA$31)&gt;=SchemeStart,IF($X112=0,$AD112,IF(AND($Z112&lt;&gt;"",EDATE($D112,Milestones!$AA$31)&gt;=$Z112),$AC112,IF(AND($Y112&lt;&gt;"",EDATE($D112,Milestones!$AA$31)&gt;=$Y112),$AB112,$AA112)))=Milestones!$AB$31),UPPER(TEXT(EDATE($D112,Milestones!$AA$31),"dd mmm yy"))&amp;" "&amp;Milestones!$AB$31&amp;" "&amp;IF(AND(Milestones!$AB$31="FT",Milestones!$AA$31=FT_Y5,EDATE($D112,Milestones!$AA$31)&lt;PolicyEff),1,Milestones!$AC$31)&amp;";  ",""))</f>
        <v/>
      </c>
      <c r="J112" s="0" t="str">
        <f aca="false">IF(OR($A112="",$D112=""),"",IF(AND(EDATE($D112,Milestones!$AA$32)&lt;=AsOfDate,EDATE($D112,Milestones!$AA$32)&gt;=SchemeStart,IF($X112=0,$AD112,IF(AND($Z112&lt;&gt;"",EDATE($D112,Milestones!$AA$32)&gt;=$Z112),$AC112,IF(AND($Y112&lt;&gt;"",EDATE($D112,Milestones!$AA$32)&gt;=$Y112),$AB112,$AA112)))=Milestones!$AB$32),UPPER(TEXT(EDATE($D112,Milestones!$AA$32),"dd mmm yy"))&amp;" "&amp;Milestones!$AB$32&amp;" "&amp;IF(AND(Milestones!$AB$32="FT",Milestones!$AA$32=FT_Y5,EDATE($D112,Milestones!$AA$32)&lt;PolicyEff),1,Milestones!$AC$32)&amp;";  ","")&amp;IF(AND(EDATE($D112,Milestones!$AA$33)&lt;=AsOfDate,EDATE($D112,Milestones!$AA$33)&gt;=SchemeStart,IF($X112=0,$AD112,IF(AND($Z112&lt;&gt;"",EDATE($D112,Milestones!$AA$33)&gt;=$Z112),$AC112,IF(AND($Y112&lt;&gt;"",EDATE($D112,Milestones!$AA$33)&gt;=$Y112),$AB112,$AA112)))=Milestones!$AB$33),UPPER(TEXT(EDATE($D112,Milestones!$AA$33),"dd mmm yy"))&amp;" "&amp;Milestones!$AB$33&amp;" "&amp;IF(AND(Milestones!$AB$33="FT",Milestones!$AA$33=FT_Y5,EDATE($D112,Milestones!$AA$33)&lt;PolicyEff),1,Milestones!$AC$33)&amp;";  ","")&amp;IF(AND(EDATE($D112,Milestones!$AA$34)&lt;=AsOfDate,EDATE($D112,Milestones!$AA$34)&gt;=SchemeStart,IF($X112=0,$AD112,IF(AND($Z112&lt;&gt;"",EDATE($D112,Milestones!$AA$34)&gt;=$Z112),$AC112,IF(AND($Y112&lt;&gt;"",EDATE($D112,Milestones!$AA$34)&gt;=$Y112),$AB112,$AA112)))=Milestones!$AB$34),UPPER(TEXT(EDATE($D112,Milestones!$AA$34),"dd mmm yy"))&amp;" "&amp;Milestones!$AB$34&amp;" "&amp;IF(AND(Milestones!$AB$34="FT",Milestones!$AA$34=FT_Y5,EDATE($D112,Milestones!$AA$34)&lt;PolicyEff),1,Milestones!$AC$34)&amp;";  ","")&amp;IF(AND(EDATE($D112,Milestones!$AA$35)&lt;=AsOfDate,EDATE($D112,Milestones!$AA$35)&gt;=SchemeStart,IF($X112=0,$AD112,IF(AND($Z112&lt;&gt;"",EDATE($D112,Milestones!$AA$35)&gt;=$Z112),$AC112,IF(AND($Y112&lt;&gt;"",EDATE($D112,Milestones!$AA$35)&gt;=$Y112),$AB112,$AA112)))=Milestones!$AB$35),UPPER(TEXT(EDATE($D112,Milestones!$AA$35),"dd mmm yy"))&amp;" "&amp;Milestones!$AB$35&amp;" "&amp;IF(AND(Milestones!$AB$35="FT",Milestones!$AA$35=FT_Y5,EDATE($D112,Milestones!$AA$35)&lt;PolicyEff),1,Milestones!$AC$35)&amp;";  ","")&amp;IF(AND(EDATE($D112,Milestones!$AA$36)&lt;=AsOfDate,EDATE($D112,Milestones!$AA$36)&gt;=SchemeStart,IF($X112=0,$AD112,IF(AND($Z112&lt;&gt;"",EDATE($D112,Milestones!$AA$36)&gt;=$Z112),$AC112,IF(AND($Y112&lt;&gt;"",EDATE($D112,Milestones!$AA$36)&gt;=$Y112),$AB112,$AA112)))=Milestones!$AB$36),UPPER(TEXT(EDATE($D112,Milestones!$AA$36),"dd mmm yy"))&amp;" "&amp;Milestones!$AB$36&amp;" "&amp;IF(AND(Milestones!$AB$36="FT",Milestones!$AA$36=FT_Y5,EDATE($D112,Milestones!$AA$36)&lt;PolicyEff),1,Milestones!$AC$36)&amp;";  ","")&amp;IF(AND(EDATE($D112,Milestones!$AA$37)&lt;=AsOfDate,EDATE($D112,Milestones!$AA$37)&gt;=SchemeStart,IF($X112=0,$AD112,IF(AND($Z112&lt;&gt;"",EDATE($D112,Milestones!$AA$37)&gt;=$Z112),$AC112,IF(AND($Y112&lt;&gt;"",EDATE($D112,Milestones!$AA$37)&gt;=$Y112),$AB112,$AA112)))=Milestones!$AB$37),UPPER(TEXT(EDATE($D112,Milestones!$AA$37),"dd mmm yy"))&amp;" "&amp;Milestones!$AB$37&amp;" "&amp;IF(AND(Milestones!$AB$37="FT",Milestones!$AA$37=FT_Y5,EDATE($D112,Milestones!$AA$37)&lt;PolicyEff),1,Milestones!$AC$37)&amp;";  ","")&amp;IF(AND(EDATE($D112,Milestones!$AA$38)&lt;=AsOfDate,EDATE($D112,Milestones!$AA$38)&gt;=SchemeStart,IF($X112=0,$AD112,IF(AND($Z112&lt;&gt;"",EDATE($D112,Milestones!$AA$38)&gt;=$Z112),$AC112,IF(AND($Y112&lt;&gt;"",EDATE($D112,Milestones!$AA$38)&gt;=$Y112),$AB112,$AA112)))=Milestones!$AB$38),UPPER(TEXT(EDATE($D112,Milestones!$AA$38),"dd mmm yy"))&amp;" "&amp;Milestones!$AB$38&amp;" "&amp;IF(AND(Milestones!$AB$38="FT",Milestones!$AA$38=FT_Y5,EDATE($D112,Milestones!$AA$38)&lt;PolicyEff),1,Milestones!$AC$38)&amp;";  ","")&amp;IF(AND(EDATE($D112,Milestones!$AA$39)&lt;=AsOfDate,EDATE($D112,Milestones!$AA$39)&gt;=SchemeStart,IF($X112=0,$AD112,IF(AND($Z112&lt;&gt;"",EDATE($D112,Milestones!$AA$39)&gt;=$Z112),$AC112,IF(AND($Y112&lt;&gt;"",EDATE($D112,Milestones!$AA$39)&gt;=$Y112),$AB112,$AA112)))=Milestones!$AB$39),UPPER(TEXT(EDATE($D112,Milestones!$AA$39),"dd mmm yy"))&amp;" "&amp;Milestones!$AB$39&amp;" "&amp;IF(AND(Milestones!$AB$39="FT",Milestones!$AA$39=FT_Y5,EDATE($D112,Milestones!$AA$39)&lt;PolicyEff),1,Milestones!$AC$39)&amp;";  ","")&amp;IF(AND(EDATE($D112,Milestones!$AA$40)&lt;=AsOfDate,EDATE($D112,Milestones!$AA$40)&gt;=SchemeStart,IF($X112=0,$AD112,IF(AND($Z112&lt;&gt;"",EDATE($D112,Milestones!$AA$40)&gt;=$Z112),$AC112,IF(AND($Y112&lt;&gt;"",EDATE($D112,Milestones!$AA$40)&gt;=$Y112),$AB112,$AA112)))=Milestones!$AB$40),UPPER(TEXT(EDATE($D112,Milestones!$AA$40),"dd mmm yy"))&amp;" "&amp;Milestones!$AB$40&amp;" "&amp;IF(AND(Milestones!$AB$40="FT",Milestones!$AA$40=FT_Y5,EDATE($D112,Milestones!$AA$40)&lt;PolicyEff),1,Milestones!$AC$40)&amp;";  ","")&amp;IF(AND(EDATE($D112,Milestones!$AA$41)&lt;=AsOfDate,EDATE($D112,Milestones!$AA$41)&gt;=SchemeStart,IF($X112=0,$AD112,IF(AND($Z112&lt;&gt;"",EDATE($D112,Milestones!$AA$41)&gt;=$Z112),$AC112,IF(AND($Y112&lt;&gt;"",EDATE($D112,Milestones!$AA$41)&gt;=$Y112),$AB112,$AA112)))=Milestones!$AB$41),UPPER(TEXT(EDATE($D112,Milestones!$AA$41),"dd mmm yy"))&amp;" "&amp;Milestones!$AB$41&amp;" "&amp;IF(AND(Milestones!$AB$41="FT",Milestones!$AA$41=FT_Y5,EDATE($D112,Milestones!$AA$41)&lt;PolicyEff),1,Milestones!$AC$41)&amp;";  ","")&amp;IF(AND(EDATE($D112,Milestones!$AA$42)&lt;=AsOfDate,EDATE($D112,Milestones!$AA$42)&gt;=SchemeStart,IF($X112=0,$AD112,IF(AND($Z112&lt;&gt;"",EDATE($D112,Milestones!$AA$42)&gt;=$Z112),$AC112,IF(AND($Y112&lt;&gt;"",EDATE($D112,Milestones!$AA$42)&gt;=$Y112),$AB112,$AA112)))=Milestones!$AB$42),UPPER(TEXT(EDATE($D112,Milestones!$AA$42),"dd mmm yy"))&amp;" "&amp;Milestones!$AB$42&amp;" "&amp;IF(AND(Milestones!$AB$42="FT",Milestones!$AA$42=FT_Y5,EDATE($D112,Milestones!$AA$42)&lt;PolicyEff),1,Milestones!$AC$42)&amp;";  ","")&amp;IF(AND(EDATE($D112,Milestones!$AA$43)&lt;=AsOfDate,EDATE($D112,Milestones!$AA$43)&gt;=SchemeStart,IF($X112=0,$AD112,IF(AND($Z112&lt;&gt;"",EDATE($D112,Milestones!$AA$43)&gt;=$Z112),$AC112,IF(AND($Y112&lt;&gt;"",EDATE($D112,Milestones!$AA$43)&gt;=$Y112),$AB112,$AA112)))=Milestones!$AB$43),UPPER(TEXT(EDATE($D112,Milestones!$AA$43),"dd mmm yy"))&amp;" "&amp;Milestones!$AB$43&amp;" "&amp;IF(AND(Milestones!$AB$43="FT",Milestones!$AA$43=FT_Y5,EDATE($D112,Milestones!$AA$43)&lt;PolicyEff),1,Milestones!$AC$43)&amp;";  ",""))</f>
        <v/>
      </c>
      <c r="K112" s="0" t="str">
        <f aca="false">IF(OR($A112="",$D112=""),"",IF(AND(EDATE($D112,Milestones!$AA$44)&lt;=AsOfDate,EDATE($D112,Milestones!$AA$44)&gt;=SchemeStart,IF($X112=0,$AD112,IF(AND($Z112&lt;&gt;"",EDATE($D112,Milestones!$AA$44)&gt;=$Z112),$AC112,IF(AND($Y112&lt;&gt;"",EDATE($D112,Milestones!$AA$44)&gt;=$Y112),$AB112,$AA112)))=Milestones!$AB$44),UPPER(TEXT(EDATE($D112,Milestones!$AA$44),"dd mmm yy"))&amp;" "&amp;Milestones!$AB$44&amp;" "&amp;IF(AND(Milestones!$AB$44="FT",Milestones!$AA$44=FT_Y5,EDATE($D112,Milestones!$AA$44)&lt;PolicyEff),1,Milestones!$AC$44)&amp;";  ","")&amp;IF(AND(EDATE($D112,Milestones!$AA$45)&lt;=AsOfDate,EDATE($D112,Milestones!$AA$45)&gt;=SchemeStart,IF($X112=0,$AD112,IF(AND($Z112&lt;&gt;"",EDATE($D112,Milestones!$AA$45)&gt;=$Z112),$AC112,IF(AND($Y112&lt;&gt;"",EDATE($D112,Milestones!$AA$45)&gt;=$Y112),$AB112,$AA112)))=Milestones!$AB$45),UPPER(TEXT(EDATE($D112,Milestones!$AA$45),"dd mmm yy"))&amp;" "&amp;Milestones!$AB$45&amp;" "&amp;IF(AND(Milestones!$AB$45="FT",Milestones!$AA$45=FT_Y5,EDATE($D112,Milestones!$AA$45)&lt;PolicyEff),1,Milestones!$AC$45)&amp;";  ","")&amp;IF(AND(EDATE($D112,Milestones!$AA$46)&lt;=AsOfDate,EDATE($D112,Milestones!$AA$46)&gt;=SchemeStart,IF($X112=0,$AD112,IF(AND($Z112&lt;&gt;"",EDATE($D112,Milestones!$AA$46)&gt;=$Z112),$AC112,IF(AND($Y112&lt;&gt;"",EDATE($D112,Milestones!$AA$46)&gt;=$Y112),$AB112,$AA112)))=Milestones!$AB$46),UPPER(TEXT(EDATE($D112,Milestones!$AA$46),"dd mmm yy"))&amp;" "&amp;Milestones!$AB$46&amp;" "&amp;IF(AND(Milestones!$AB$46="FT",Milestones!$AA$46=FT_Y5,EDATE($D112,Milestones!$AA$46)&lt;PolicyEff),1,Milestones!$AC$46)&amp;";  ","")&amp;IF(AND(EDATE($D112,Milestones!$AA$47)&lt;=AsOfDate,EDATE($D112,Milestones!$AA$47)&gt;=SchemeStart,IF($X112=0,$AD112,IF(AND($Z112&lt;&gt;"",EDATE($D112,Milestones!$AA$47)&gt;=$Z112),$AC112,IF(AND($Y112&lt;&gt;"",EDATE($D112,Milestones!$AA$47)&gt;=$Y112),$AB112,$AA112)))=Milestones!$AB$47),UPPER(TEXT(EDATE($D112,Milestones!$AA$47),"dd mmm yy"))&amp;" "&amp;Milestones!$AB$47&amp;" "&amp;IF(AND(Milestones!$AB$47="FT",Milestones!$AA$47=FT_Y5,EDATE($D112,Milestones!$AA$47)&lt;PolicyEff),1,Milestones!$AC$47)&amp;";  ","")&amp;IF(AND(EDATE($D112,Milestones!$AA$48)&lt;=AsOfDate,EDATE($D112,Milestones!$AA$48)&gt;=SchemeStart,IF($X112=0,$AD112,IF(AND($Z112&lt;&gt;"",EDATE($D112,Milestones!$AA$48)&gt;=$Z112),$AC112,IF(AND($Y112&lt;&gt;"",EDATE($D112,Milestones!$AA$48)&gt;=$Y112),$AB112,$AA112)))=Milestones!$AB$48),UPPER(TEXT(EDATE($D112,Milestones!$AA$48),"dd mmm yy"))&amp;" "&amp;Milestones!$AB$48&amp;" "&amp;IF(AND(Milestones!$AB$48="FT",Milestones!$AA$48=FT_Y5,EDATE($D112,Milestones!$AA$48)&lt;PolicyEff),1,Milestones!$AC$48)&amp;";  ","")&amp;IF(AND(EDATE($D112,Milestones!$AA$49)&lt;=AsOfDate,EDATE($D112,Milestones!$AA$49)&gt;=SchemeStart,IF($X112=0,$AD112,IF(AND($Z112&lt;&gt;"",EDATE($D112,Milestones!$AA$49)&gt;=$Z112),$AC112,IF(AND($Y112&lt;&gt;"",EDATE($D112,Milestones!$AA$49)&gt;=$Y112),$AB112,$AA112)))=Milestones!$AB$49),UPPER(TEXT(EDATE($D112,Milestones!$AA$49),"dd mmm yy"))&amp;" "&amp;Milestones!$AB$49&amp;" "&amp;IF(AND(Milestones!$AB$49="FT",Milestones!$AA$49=FT_Y5,EDATE($D112,Milestones!$AA$49)&lt;PolicyEff),1,Milestones!$AC$49)&amp;";  ","")&amp;IF(AND(EDATE($D112,Milestones!$AA$50)&lt;=AsOfDate,EDATE($D112,Milestones!$AA$50)&gt;=SchemeStart,IF($X112=0,$AD112,IF(AND($Z112&lt;&gt;"",EDATE($D112,Milestones!$AA$50)&gt;=$Z112),$AC112,IF(AND($Y112&lt;&gt;"",EDATE($D112,Milestones!$AA$50)&gt;=$Y112),$AB112,$AA112)))=Milestones!$AB$50),UPPER(TEXT(EDATE($D112,Milestones!$AA$50),"dd mmm yy"))&amp;" "&amp;Milestones!$AB$50&amp;" "&amp;IF(AND(Milestones!$AB$50="FT",Milestones!$AA$50=FT_Y5,EDATE($D112,Milestones!$AA$50)&lt;PolicyEff),1,Milestones!$AC$50)&amp;";  ","")&amp;IF(AND(EDATE($D112,Milestones!$AA$51)&lt;=AsOfDate,EDATE($D112,Milestones!$AA$51)&gt;=SchemeStart,IF($X112=0,$AD112,IF(AND($Z112&lt;&gt;"",EDATE($D112,Milestones!$AA$51)&gt;=$Z112),$AC112,IF(AND($Y112&lt;&gt;"",EDATE($D112,Milestones!$AA$51)&gt;=$Y112),$AB112,$AA112)))=Milestones!$AB$51),UPPER(TEXT(EDATE($D112,Milestones!$AA$51),"dd mmm yy"))&amp;" "&amp;Milestones!$AB$51&amp;" "&amp;IF(AND(Milestones!$AB$51="FT",Milestones!$AA$51=FT_Y5,EDATE($D112,Milestones!$AA$51)&lt;PolicyEff),1,Milestones!$AC$51)&amp;";  ","")&amp;IF(AND(EDATE($D112,Milestones!$AA$52)&lt;=AsOfDate,EDATE($D112,Milestones!$AA$52)&gt;=SchemeStart,IF($X112=0,$AD112,IF(AND($Z112&lt;&gt;"",EDATE($D112,Milestones!$AA$52)&gt;=$Z112),$AC112,IF(AND($Y112&lt;&gt;"",EDATE($D112,Milestones!$AA$52)&gt;=$Y112),$AB112,$AA112)))=Milestones!$AB$52),UPPER(TEXT(EDATE($D112,Milestones!$AA$52),"dd mmm yy"))&amp;" "&amp;Milestones!$AB$52&amp;" "&amp;IF(AND(Milestones!$AB$52="FT",Milestones!$AA$52=FT_Y5,EDATE($D112,Milestones!$AA$52)&lt;PolicyEff),1,Milestones!$AC$52)&amp;";  ","")&amp;IF(AND(EDATE($D112,Milestones!$AA$53)&lt;=AsOfDate,EDATE($D112,Milestones!$AA$53)&gt;=SchemeStart,IF($X112=0,$AD112,IF(AND($Z112&lt;&gt;"",EDATE($D112,Milestones!$AA$53)&gt;=$Z112),$AC112,IF(AND($Y112&lt;&gt;"",EDATE($D112,Milestones!$AA$53)&gt;=$Y112),$AB112,$AA112)))=Milestones!$AB$53),UPPER(TEXT(EDATE($D112,Milestones!$AA$53),"dd mmm yy"))&amp;" "&amp;Milestones!$AB$53&amp;" "&amp;IF(AND(Milestones!$AB$53="FT",Milestones!$AA$53=FT_Y5,EDATE($D112,Milestones!$AA$53)&lt;PolicyEff),1,Milestones!$AC$53)&amp;";  ","")&amp;IF(AND(EDATE($D112,Milestones!$AA$54)&lt;=AsOfDate,EDATE($D112,Milestones!$AA$54)&gt;=SchemeStart,IF($X112=0,$AD112,IF(AND($Z112&lt;&gt;"",EDATE($D112,Milestones!$AA$54)&gt;=$Z112),$AC112,IF(AND($Y112&lt;&gt;"",EDATE($D112,Milestones!$AA$54)&gt;=$Y112),$AB112,$AA112)))=Milestones!$AB$54),UPPER(TEXT(EDATE($D112,Milestones!$AA$54),"dd mmm yy"))&amp;" "&amp;Milestones!$AB$54&amp;" "&amp;IF(AND(Milestones!$AB$54="FT",Milestones!$AA$54=FT_Y5,EDATE($D112,Milestones!$AA$54)&lt;PolicyEff),1,Milestones!$AC$54)&amp;";  ","")&amp;IF(AND(EDATE($D112,Milestones!$AA$55)&lt;=AsOfDate,EDATE($D112,Milestones!$AA$55)&gt;=SchemeStart,IF($X112=0,$AD112,IF(AND($Z112&lt;&gt;"",EDATE($D112,Milestones!$AA$55)&gt;=$Z112),$AC112,IF(AND($Y112&lt;&gt;"",EDATE($D112,Milestones!$AA$55)&gt;=$Y112),$AB112,$AA112)))=Milestones!$AB$55),UPPER(TEXT(EDATE($D112,Milestones!$AA$55),"dd mmm yy"))&amp;" "&amp;Milestones!$AB$55&amp;" "&amp;IF(AND(Milestones!$AB$55="FT",Milestones!$AA$55=FT_Y5,EDATE($D112,Milestones!$AA$55)&lt;PolicyEff),1,Milestones!$AC$55)&amp;";  ",""))</f>
        <v/>
      </c>
      <c r="L112" s="0" t="str">
        <f aca="false">IF(OR($A112="",$D112=""),"",IF(AND(EDATE($D112,Milestones!$AA$56)&lt;=AsOfDate,EDATE($D112,Milestones!$AA$56)&gt;=SchemeStart,IF($X112=0,$AD112,IF(AND($Z112&lt;&gt;"",EDATE($D112,Milestones!$AA$56)&gt;=$Z112),$AC112,IF(AND($Y112&lt;&gt;"",EDATE($D112,Milestones!$AA$56)&gt;=$Y112),$AB112,$AA112)))=Milestones!$AB$56),UPPER(TEXT(EDATE($D112,Milestones!$AA$56),"dd mmm yy"))&amp;" "&amp;Milestones!$AB$56&amp;" "&amp;IF(AND(Milestones!$AB$56="FT",Milestones!$AA$56=FT_Y5,EDATE($D112,Milestones!$AA$56)&lt;PolicyEff),1,Milestones!$AC$56)&amp;";  ","")&amp;IF(AND(EDATE($D112,Milestones!$AA$57)&lt;=AsOfDate,EDATE($D112,Milestones!$AA$57)&gt;=SchemeStart,IF($X112=0,$AD112,IF(AND($Z112&lt;&gt;"",EDATE($D112,Milestones!$AA$57)&gt;=$Z112),$AC112,IF(AND($Y112&lt;&gt;"",EDATE($D112,Milestones!$AA$57)&gt;=$Y112),$AB112,$AA112)))=Milestones!$AB$57),UPPER(TEXT(EDATE($D112,Milestones!$AA$57),"dd mmm yy"))&amp;" "&amp;Milestones!$AB$57&amp;" "&amp;IF(AND(Milestones!$AB$57="FT",Milestones!$AA$57=FT_Y5,EDATE($D112,Milestones!$AA$57)&lt;PolicyEff),1,Milestones!$AC$57)&amp;";  ","")&amp;IF(AND(EDATE($D112,Milestones!$AA$58)&lt;=AsOfDate,EDATE($D112,Milestones!$AA$58)&gt;=SchemeStart,IF($X112=0,$AD112,IF(AND($Z112&lt;&gt;"",EDATE($D112,Milestones!$AA$58)&gt;=$Z112),$AC112,IF(AND($Y112&lt;&gt;"",EDATE($D112,Milestones!$AA$58)&gt;=$Y112),$AB112,$AA112)))=Milestones!$AB$58),UPPER(TEXT(EDATE($D112,Milestones!$AA$58),"dd mmm yy"))&amp;" "&amp;Milestones!$AB$58&amp;" "&amp;IF(AND(Milestones!$AB$58="FT",Milestones!$AA$58=FT_Y5,EDATE($D112,Milestones!$AA$58)&lt;PolicyEff),1,Milestones!$AC$58)&amp;";  ","")&amp;IF(AND(EDATE($D112,Milestones!$AA$59)&lt;=AsOfDate,EDATE($D112,Milestones!$AA$59)&gt;=SchemeStart,IF($X112=0,$AD112,IF(AND($Z112&lt;&gt;"",EDATE($D112,Milestones!$AA$59)&gt;=$Z112),$AC112,IF(AND($Y112&lt;&gt;"",EDATE($D112,Milestones!$AA$59)&gt;=$Y112),$AB112,$AA112)))=Milestones!$AB$59),UPPER(TEXT(EDATE($D112,Milestones!$AA$59),"dd mmm yy"))&amp;" "&amp;Milestones!$AB$59&amp;" "&amp;IF(AND(Milestones!$AB$59="FT",Milestones!$AA$59=FT_Y5,EDATE($D112,Milestones!$AA$59)&lt;PolicyEff),1,Milestones!$AC$59)&amp;";  ","")&amp;IF(AND(EDATE($D112,Milestones!$AA$60)&lt;=AsOfDate,EDATE($D112,Milestones!$AA$60)&gt;=SchemeStart,IF($X112=0,$AD112,IF(AND($Z112&lt;&gt;"",EDATE($D112,Milestones!$AA$60)&gt;=$Z112),$AC112,IF(AND($Y112&lt;&gt;"",EDATE($D112,Milestones!$AA$60)&gt;=$Y112),$AB112,$AA112)))=Milestones!$AB$60),UPPER(TEXT(EDATE($D112,Milestones!$AA$60),"dd mmm yy"))&amp;" "&amp;Milestones!$AB$60&amp;" "&amp;IF(AND(Milestones!$AB$60="FT",Milestones!$AA$60=FT_Y5,EDATE($D112,Milestones!$AA$60)&lt;PolicyEff),1,Milestones!$AC$60)&amp;";  ","")&amp;IF(AND(EDATE($D112,Milestones!$AA$61)&lt;=AsOfDate,EDATE($D112,Milestones!$AA$61)&gt;=SchemeStart,IF($X112=0,$AD112,IF(AND($Z112&lt;&gt;"",EDATE($D112,Milestones!$AA$61)&gt;=$Z112),$AC112,IF(AND($Y112&lt;&gt;"",EDATE($D112,Milestones!$AA$61)&gt;=$Y112),$AB112,$AA112)))=Milestones!$AB$61),UPPER(TEXT(EDATE($D112,Milestones!$AA$61),"dd mmm yy"))&amp;" "&amp;Milestones!$AB$61&amp;" "&amp;IF(AND(Milestones!$AB$61="FT",Milestones!$AA$61=FT_Y5,EDATE($D112,Milestones!$AA$61)&lt;PolicyEff),1,Milestones!$AC$61)&amp;";  ","")&amp;IF(AND(EDATE($D112,Milestones!$AA$62)&lt;=AsOfDate,EDATE($D112,Milestones!$AA$62)&gt;=SchemeStart,IF($X112=0,$AD112,IF(AND($Z112&lt;&gt;"",EDATE($D112,Milestones!$AA$62)&gt;=$Z112),$AC112,IF(AND($Y112&lt;&gt;"",EDATE($D112,Milestones!$AA$62)&gt;=$Y112),$AB112,$AA112)))=Milestones!$AB$62),UPPER(TEXT(EDATE($D112,Milestones!$AA$62),"dd mmm yy"))&amp;" "&amp;Milestones!$AB$62&amp;" "&amp;IF(AND(Milestones!$AB$62="FT",Milestones!$AA$62=FT_Y5,EDATE($D112,Milestones!$AA$62)&lt;PolicyEff),1,Milestones!$AC$62)&amp;";  ","")&amp;IF(AND(EDATE($D112,Milestones!$AA$63)&lt;=AsOfDate,EDATE($D112,Milestones!$AA$63)&gt;=SchemeStart,IF($X112=0,$AD112,IF(AND($Z112&lt;&gt;"",EDATE($D112,Milestones!$AA$63)&gt;=$Z112),$AC112,IF(AND($Y112&lt;&gt;"",EDATE($D112,Milestones!$AA$63)&gt;=$Y112),$AB112,$AA112)))=Milestones!$AB$63),UPPER(TEXT(EDATE($D112,Milestones!$AA$63),"dd mmm yy"))&amp;" "&amp;Milestones!$AB$63&amp;" "&amp;IF(AND(Milestones!$AB$63="FT",Milestones!$AA$63=FT_Y5,EDATE($D112,Milestones!$AA$63)&lt;PolicyEff),1,Milestones!$AC$63)&amp;";  ","")&amp;IF(AND(EDATE($D112,Milestones!$AA$64)&lt;=AsOfDate,EDATE($D112,Milestones!$AA$64)&gt;=SchemeStart,IF($X112=0,$AD112,IF(AND($Z112&lt;&gt;"",EDATE($D112,Milestones!$AA$64)&gt;=$Z112),$AC112,IF(AND($Y112&lt;&gt;"",EDATE($D112,Milestones!$AA$64)&gt;=$Y112),$AB112,$AA112)))=Milestones!$AB$64),UPPER(TEXT(EDATE($D112,Milestones!$AA$64),"dd mmm yy"))&amp;" "&amp;Milestones!$AB$64&amp;" "&amp;IF(AND(Milestones!$AB$64="FT",Milestones!$AA$64=FT_Y5,EDATE($D112,Milestones!$AA$64)&lt;PolicyEff),1,Milestones!$AC$64)&amp;";  ","")&amp;IF(AND(EDATE($D112,Milestones!$AA$65)&lt;=AsOfDate,EDATE($D112,Milestones!$AA$65)&gt;=SchemeStart,IF($X112=0,$AD112,IF(AND($Z112&lt;&gt;"",EDATE($D112,Milestones!$AA$65)&gt;=$Z112),$AC112,IF(AND($Y112&lt;&gt;"",EDATE($D112,Milestones!$AA$65)&gt;=$Y112),$AB112,$AA112)))=Milestones!$AB$65),UPPER(TEXT(EDATE($D112,Milestones!$AA$65),"dd mmm yy"))&amp;" "&amp;Milestones!$AB$65&amp;" "&amp;IF(AND(Milestones!$AB$65="FT",Milestones!$AA$65=FT_Y5,EDATE($D112,Milestones!$AA$65)&lt;PolicyEff),1,Milestones!$AC$65)&amp;";  ","")&amp;IF(AND(EDATE($D112,Milestones!$AA$66)&lt;=AsOfDate,EDATE($D112,Milestones!$AA$66)&gt;=SchemeStart,IF($X112=0,$AD112,IF(AND($Z112&lt;&gt;"",EDATE($D112,Milestones!$AA$66)&gt;=$Z112),$AC112,IF(AND($Y112&lt;&gt;"",EDATE($D112,Milestones!$AA$66)&gt;=$Y112),$AB112,$AA112)))=Milestones!$AB$66),UPPER(TEXT(EDATE($D112,Milestones!$AA$66),"dd mmm yy"))&amp;" "&amp;Milestones!$AB$66&amp;" "&amp;IF(AND(Milestones!$AB$66="FT",Milestones!$AA$66=FT_Y5,EDATE($D112,Milestones!$AA$66)&lt;PolicyEff),1,Milestones!$AC$66)&amp;";  ","")&amp;IF(AND(EDATE($D112,Milestones!$AA$67)&lt;=AsOfDate,EDATE($D112,Milestones!$AA$67)&gt;=SchemeStart,IF($X112=0,$AD112,IF(AND($Z112&lt;&gt;"",EDATE($D112,Milestones!$AA$67)&gt;=$Z112),$AC112,IF(AND($Y112&lt;&gt;"",EDATE($D112,Milestones!$AA$67)&gt;=$Y112),$AB112,$AA112)))=Milestones!$AB$67),UPPER(TEXT(EDATE($D112,Milestones!$AA$67),"dd mmm yy"))&amp;" "&amp;Milestones!$AB$67&amp;" "&amp;IF(AND(Milestones!$AB$67="FT",Milestones!$AA$67=FT_Y5,EDATE($D112,Milestones!$AA$67)&lt;PolicyEff),1,Milestones!$AC$67)&amp;";  ",""))</f>
        <v/>
      </c>
      <c r="M112" s="0" t="str">
        <f aca="false">IF(OR($A112="",$D112=""),"",IF(AND(EDATE($D112,Milestones!$AA$68)&lt;=AsOfDate,EDATE($D112,Milestones!$AA$68)&gt;=SchemeStart,IF($X112=0,$AD112,IF(AND($Z112&lt;&gt;"",EDATE($D112,Milestones!$AA$68)&gt;=$Z112),$AC112,IF(AND($Y112&lt;&gt;"",EDATE($D112,Milestones!$AA$68)&gt;=$Y112),$AB112,$AA112)))=Milestones!$AB$68),UPPER(TEXT(EDATE($D112,Milestones!$AA$68),"dd mmm yy"))&amp;" "&amp;Milestones!$AB$68&amp;" "&amp;IF(AND(Milestones!$AB$68="FT",Milestones!$AA$68=FT_Y5,EDATE($D112,Milestones!$AA$68)&lt;PolicyEff),1,Milestones!$AC$68)&amp;";  ","")&amp;IF(AND(EDATE($D112,Milestones!$AA$69)&lt;=AsOfDate,EDATE($D112,Milestones!$AA$69)&gt;=SchemeStart,IF($X112=0,$AD112,IF(AND($Z112&lt;&gt;"",EDATE($D112,Milestones!$AA$69)&gt;=$Z112),$AC112,IF(AND($Y112&lt;&gt;"",EDATE($D112,Milestones!$AA$69)&gt;=$Y112),$AB112,$AA112)))=Milestones!$AB$69),UPPER(TEXT(EDATE($D112,Milestones!$AA$69),"dd mmm yy"))&amp;" "&amp;Milestones!$AB$69&amp;" "&amp;IF(AND(Milestones!$AB$69="FT",Milestones!$AA$69=FT_Y5,EDATE($D112,Milestones!$AA$69)&lt;PolicyEff),1,Milestones!$AC$69)&amp;";  ","")&amp;IF(AND(EDATE($D112,Milestones!$AA$70)&lt;=AsOfDate,EDATE($D112,Milestones!$AA$70)&gt;=SchemeStart,IF($X112=0,$AD112,IF(AND($Z112&lt;&gt;"",EDATE($D112,Milestones!$AA$70)&gt;=$Z112),$AC112,IF(AND($Y112&lt;&gt;"",EDATE($D112,Milestones!$AA$70)&gt;=$Y112),$AB112,$AA112)))=Milestones!$AB$70),UPPER(TEXT(EDATE($D112,Milestones!$AA$70),"dd mmm yy"))&amp;" "&amp;Milestones!$AB$70&amp;" "&amp;IF(AND(Milestones!$AB$70="FT",Milestones!$AA$70=FT_Y5,EDATE($D112,Milestones!$AA$70)&lt;PolicyEff),1,Milestones!$AC$70)&amp;";  ","")&amp;IF(AND(EDATE($D112,Milestones!$AA$71)&lt;=AsOfDate,EDATE($D112,Milestones!$AA$71)&gt;=SchemeStart,IF($X112=0,$AD112,IF(AND($Z112&lt;&gt;"",EDATE($D112,Milestones!$AA$71)&gt;=$Z112),$AC112,IF(AND($Y112&lt;&gt;"",EDATE($D112,Milestones!$AA$71)&gt;=$Y112),$AB112,$AA112)))=Milestones!$AB$71),UPPER(TEXT(EDATE($D112,Milestones!$AA$71),"dd mmm yy"))&amp;" "&amp;Milestones!$AB$71&amp;" "&amp;IF(AND(Milestones!$AB$71="FT",Milestones!$AA$71=FT_Y5,EDATE($D112,Milestones!$AA$71)&lt;PolicyEff),1,Milestones!$AC$71)&amp;";  ","")&amp;IF(AND(EDATE($D112,Milestones!$AA$72)&lt;=AsOfDate,EDATE($D112,Milestones!$AA$72)&gt;=SchemeStart,IF($X112=0,$AD112,IF(AND($Z112&lt;&gt;"",EDATE($D112,Milestones!$AA$72)&gt;=$Z112),$AC112,IF(AND($Y112&lt;&gt;"",EDATE($D112,Milestones!$AA$72)&gt;=$Y112),$AB112,$AA112)))=Milestones!$AB$72),UPPER(TEXT(EDATE($D112,Milestones!$AA$72),"dd mmm yy"))&amp;" "&amp;Milestones!$AB$72&amp;" "&amp;IF(AND(Milestones!$AB$72="FT",Milestones!$AA$72=FT_Y5,EDATE($D112,Milestones!$AA$72)&lt;PolicyEff),1,Milestones!$AC$72)&amp;";  ","")&amp;IF(AND(EDATE($D112,Milestones!$AA$73)&lt;=AsOfDate,EDATE($D112,Milestones!$AA$73)&gt;=SchemeStart,IF($X112=0,$AD112,IF(AND($Z112&lt;&gt;"",EDATE($D112,Milestones!$AA$73)&gt;=$Z112),$AC112,IF(AND($Y112&lt;&gt;"",EDATE($D112,Milestones!$AA$73)&gt;=$Y112),$AB112,$AA112)))=Milestones!$AB$73),UPPER(TEXT(EDATE($D112,Milestones!$AA$73),"dd mmm yy"))&amp;" "&amp;Milestones!$AB$73&amp;" "&amp;IF(AND(Milestones!$AB$73="FT",Milestones!$AA$73=FT_Y5,EDATE($D112,Milestones!$AA$73)&lt;PolicyEff),1,Milestones!$AC$73)&amp;";  ","")&amp;IF(AND(EDATE($D112,Milestones!$AA$74)&lt;=AsOfDate,EDATE($D112,Milestones!$AA$74)&gt;=SchemeStart,IF($X112=0,$AD112,IF(AND($Z112&lt;&gt;"",EDATE($D112,Milestones!$AA$74)&gt;=$Z112),$AC112,IF(AND($Y112&lt;&gt;"",EDATE($D112,Milestones!$AA$74)&gt;=$Y112),$AB112,$AA112)))=Milestones!$AB$74),UPPER(TEXT(EDATE($D112,Milestones!$AA$74),"dd mmm yy"))&amp;" "&amp;Milestones!$AB$74&amp;" "&amp;IF(AND(Milestones!$AB$74="FT",Milestones!$AA$74=FT_Y5,EDATE($D112,Milestones!$AA$74)&lt;PolicyEff),1,Milestones!$AC$74)&amp;";  ","")&amp;IF(AND(EDATE($D112,Milestones!$AA$75)&lt;=AsOfDate,EDATE($D112,Milestones!$AA$75)&gt;=SchemeStart,IF($X112=0,$AD112,IF(AND($Z112&lt;&gt;"",EDATE($D112,Milestones!$AA$75)&gt;=$Z112),$AC112,IF(AND($Y112&lt;&gt;"",EDATE($D112,Milestones!$AA$75)&gt;=$Y112),$AB112,$AA112)))=Milestones!$AB$75),UPPER(TEXT(EDATE($D112,Milestones!$AA$75),"dd mmm yy"))&amp;" "&amp;Milestones!$AB$75&amp;" "&amp;IF(AND(Milestones!$AB$75="FT",Milestones!$AA$75=FT_Y5,EDATE($D112,Milestones!$AA$75)&lt;PolicyEff),1,Milestones!$AC$75)&amp;";  ","")&amp;IF(AND(EDATE($D112,Milestones!$AA$76)&lt;=AsOfDate,EDATE($D112,Milestones!$AA$76)&gt;=SchemeStart,IF($X112=0,$AD112,IF(AND($Z112&lt;&gt;"",EDATE($D112,Milestones!$AA$76)&gt;=$Z112),$AC112,IF(AND($Y112&lt;&gt;"",EDATE($D112,Milestones!$AA$76)&gt;=$Y112),$AB112,$AA112)))=Milestones!$AB$76),UPPER(TEXT(EDATE($D112,Milestones!$AA$76),"dd mmm yy"))&amp;" "&amp;Milestones!$AB$76&amp;" "&amp;IF(AND(Milestones!$AB$76="FT",Milestones!$AA$76=FT_Y5,EDATE($D112,Milestones!$AA$76)&lt;PolicyEff),1,Milestones!$AC$76)&amp;";  ","")&amp;IF(AND(EDATE($D112,Milestones!$AA$77)&lt;=AsOfDate,EDATE($D112,Milestones!$AA$77)&gt;=SchemeStart,IF($X112=0,$AD112,IF(AND($Z112&lt;&gt;"",EDATE($D112,Milestones!$AA$77)&gt;=$Z112),$AC112,IF(AND($Y112&lt;&gt;"",EDATE($D112,Milestones!$AA$77)&gt;=$Y112),$AB112,$AA112)))=Milestones!$AB$77),UPPER(TEXT(EDATE($D112,Milestones!$AA$77),"dd mmm yy"))&amp;" "&amp;Milestones!$AB$77&amp;" "&amp;IF(AND(Milestones!$AB$77="FT",Milestones!$AA$77=FT_Y5,EDATE($D112,Milestones!$AA$77)&lt;PolicyEff),1,Milestones!$AC$77)&amp;";  ","")&amp;IF(AND(EDATE($D112,Milestones!$AA$78)&lt;=AsOfDate,EDATE($D112,Milestones!$AA$78)&gt;=SchemeStart,IF($X112=0,$AD112,IF(AND($Z112&lt;&gt;"",EDATE($D112,Milestones!$AA$78)&gt;=$Z112),$AC112,IF(AND($Y112&lt;&gt;"",EDATE($D112,Milestones!$AA$78)&gt;=$Y112),$AB112,$AA112)))=Milestones!$AB$78),UPPER(TEXT(EDATE($D112,Milestones!$AA$78),"dd mmm yy"))&amp;" "&amp;Milestones!$AB$78&amp;" "&amp;IF(AND(Milestones!$AB$78="FT",Milestones!$AA$78=FT_Y5,EDATE($D112,Milestones!$AA$78)&lt;PolicyEff),1,Milestones!$AC$78)&amp;";  ","")&amp;IF(AND(EDATE($D112,Milestones!$AA$79)&lt;=AsOfDate,EDATE($D112,Milestones!$AA$79)&gt;=SchemeStart,IF($X112=0,$AD112,IF(AND($Z112&lt;&gt;"",EDATE($D112,Milestones!$AA$79)&gt;=$Z112),$AC112,IF(AND($Y112&lt;&gt;"",EDATE($D112,Milestones!$AA$79)&gt;=$Y112),$AB112,$AA112)))=Milestones!$AB$79),UPPER(TEXT(EDATE($D112,Milestones!$AA$79),"dd mmm yy"))&amp;" "&amp;Milestones!$AB$79&amp;" "&amp;IF(AND(Milestones!$AB$79="FT",Milestones!$AA$79=FT_Y5,EDATE($D112,Milestones!$AA$79)&lt;PolicyEff),1,Milestones!$AC$79)&amp;";  ",""))</f>
        <v/>
      </c>
      <c r="N112" s="0" t="str">
        <f aca="false">IF(OR($A112="",$D112=""),"",IF(AND(EDATE($D112,Milestones!$AA$80)&lt;=AsOfDate,EDATE($D112,Milestones!$AA$80)&gt;=SchemeStart,IF($X112=0,$AD112,IF(AND($Z112&lt;&gt;"",EDATE($D112,Milestones!$AA$80)&gt;=$Z112),$AC112,IF(AND($Y112&lt;&gt;"",EDATE($D112,Milestones!$AA$80)&gt;=$Y112),$AB112,$AA112)))=Milestones!$AB$80),UPPER(TEXT(EDATE($D112,Milestones!$AA$80),"dd mmm yy"))&amp;" "&amp;Milestones!$AB$80&amp;" "&amp;IF(AND(Milestones!$AB$80="FT",Milestones!$AA$80=FT_Y5,EDATE($D112,Milestones!$AA$80)&lt;PolicyEff),1,Milestones!$AC$80)&amp;";  ","")&amp;IF(AND(EDATE($D112,Milestones!$AA$81)&lt;=AsOfDate,EDATE($D112,Milestones!$AA$81)&gt;=SchemeStart,IF($X112=0,$AD112,IF(AND($Z112&lt;&gt;"",EDATE($D112,Milestones!$AA$81)&gt;=$Z112),$AC112,IF(AND($Y112&lt;&gt;"",EDATE($D112,Milestones!$AA$81)&gt;=$Y112),$AB112,$AA112)))=Milestones!$AB$81),UPPER(TEXT(EDATE($D112,Milestones!$AA$81),"dd mmm yy"))&amp;" "&amp;Milestones!$AB$81&amp;" "&amp;IF(AND(Milestones!$AB$81="FT",Milestones!$AA$81=FT_Y5,EDATE($D112,Milestones!$AA$81)&lt;PolicyEff),1,Milestones!$AC$81)&amp;";  ","")&amp;IF(AND(EDATE($D112,Milestones!$AA$82)&lt;=AsOfDate,EDATE($D112,Milestones!$AA$82)&gt;=SchemeStart,IF($X112=0,$AD112,IF(AND($Z112&lt;&gt;"",EDATE($D112,Milestones!$AA$82)&gt;=$Z112),$AC112,IF(AND($Y112&lt;&gt;"",EDATE($D112,Milestones!$AA$82)&gt;=$Y112),$AB112,$AA112)))=Milestones!$AB$82),UPPER(TEXT(EDATE($D112,Milestones!$AA$82),"dd mmm yy"))&amp;" "&amp;Milestones!$AB$82&amp;" "&amp;IF(AND(Milestones!$AB$82="FT",Milestones!$AA$82=FT_Y5,EDATE($D112,Milestones!$AA$82)&lt;PolicyEff),1,Milestones!$AC$82)&amp;";  ","")&amp;IF(AND(EDATE($D112,Milestones!$AA$83)&lt;=AsOfDate,EDATE($D112,Milestones!$AA$83)&gt;=SchemeStart,IF($X112=0,$AD112,IF(AND($Z112&lt;&gt;"",EDATE($D112,Milestones!$AA$83)&gt;=$Z112),$AC112,IF(AND($Y112&lt;&gt;"",EDATE($D112,Milestones!$AA$83)&gt;=$Y112),$AB112,$AA112)))=Milestones!$AB$83),UPPER(TEXT(EDATE($D112,Milestones!$AA$83),"dd mmm yy"))&amp;" "&amp;Milestones!$AB$83&amp;" "&amp;IF(AND(Milestones!$AB$83="FT",Milestones!$AA$83=FT_Y5,EDATE($D112,Milestones!$AA$83)&lt;PolicyEff),1,Milestones!$AC$83)&amp;";  ","")&amp;IF(AND(EDATE($D112,Milestones!$AA$84)&lt;=AsOfDate,EDATE($D112,Milestones!$AA$84)&gt;=SchemeStart,IF($X112=0,$AD112,IF(AND($Z112&lt;&gt;"",EDATE($D112,Milestones!$AA$84)&gt;=$Z112),$AC112,IF(AND($Y112&lt;&gt;"",EDATE($D112,Milestones!$AA$84)&gt;=$Y112),$AB112,$AA112)))=Milestones!$AB$84),UPPER(TEXT(EDATE($D112,Milestones!$AA$84),"dd mmm yy"))&amp;" "&amp;Milestones!$AB$84&amp;" "&amp;IF(AND(Milestones!$AB$84="FT",Milestones!$AA$84=FT_Y5,EDATE($D112,Milestones!$AA$84)&lt;PolicyEff),1,Milestones!$AC$84)&amp;";  ","")&amp;IF(AND(EDATE($D112,Milestones!$AA$85)&lt;=AsOfDate,EDATE($D112,Milestones!$AA$85)&gt;=SchemeStart,IF($X112=0,$AD112,IF(AND($Z112&lt;&gt;"",EDATE($D112,Milestones!$AA$85)&gt;=$Z112),$AC112,IF(AND($Y112&lt;&gt;"",EDATE($D112,Milestones!$AA$85)&gt;=$Y112),$AB112,$AA112)))=Milestones!$AB$85),UPPER(TEXT(EDATE($D112,Milestones!$AA$85),"dd mmm yy"))&amp;" "&amp;Milestones!$AB$85&amp;" "&amp;IF(AND(Milestones!$AB$85="FT",Milestones!$AA$85=FT_Y5,EDATE($D112,Milestones!$AA$85)&lt;PolicyEff),1,Milestones!$AC$85)&amp;";  ","")&amp;IF(AND(EDATE($D112,Milestones!$AA$86)&lt;=AsOfDate,EDATE($D112,Milestones!$AA$86)&gt;=SchemeStart,IF($X112=0,$AD112,IF(AND($Z112&lt;&gt;"",EDATE($D112,Milestones!$AA$86)&gt;=$Z112),$AC112,IF(AND($Y112&lt;&gt;"",EDATE($D112,Milestones!$AA$86)&gt;=$Y112),$AB112,$AA112)))=Milestones!$AB$86),UPPER(TEXT(EDATE($D112,Milestones!$AA$86),"dd mmm yy"))&amp;" "&amp;Milestones!$AB$86&amp;" "&amp;IF(AND(Milestones!$AB$86="FT",Milestones!$AA$86=FT_Y5,EDATE($D112,Milestones!$AA$86)&lt;PolicyEff),1,Milestones!$AC$86)&amp;";  ","")&amp;IF(AND(EDATE($D112,Milestones!$AA$87)&lt;=AsOfDate,EDATE($D112,Milestones!$AA$87)&gt;=SchemeStart,IF($X112=0,$AD112,IF(AND($Z112&lt;&gt;"",EDATE($D112,Milestones!$AA$87)&gt;=$Z112),$AC112,IF(AND($Y112&lt;&gt;"",EDATE($D112,Milestones!$AA$87)&gt;=$Y112),$AB112,$AA112)))=Milestones!$AB$87),UPPER(TEXT(EDATE($D112,Milestones!$AA$87),"dd mmm yy"))&amp;" "&amp;Milestones!$AB$87&amp;" "&amp;IF(AND(Milestones!$AB$87="FT",Milestones!$AA$87=FT_Y5,EDATE($D112,Milestones!$AA$87)&lt;PolicyEff),1,Milestones!$AC$87)&amp;";  ","")&amp;IF(AND(EDATE($D112,Milestones!$AA$88)&lt;=AsOfDate,EDATE($D112,Milestones!$AA$88)&gt;=SchemeStart,IF($X112=0,$AD112,IF(AND($Z112&lt;&gt;"",EDATE($D112,Milestones!$AA$88)&gt;=$Z112),$AC112,IF(AND($Y112&lt;&gt;"",EDATE($D112,Milestones!$AA$88)&gt;=$Y112),$AB112,$AA112)))=Milestones!$AB$88),UPPER(TEXT(EDATE($D112,Milestones!$AA$88),"dd mmm yy"))&amp;" "&amp;Milestones!$AB$88&amp;" "&amp;IF(AND(Milestones!$AB$88="FT",Milestones!$AA$88=FT_Y5,EDATE($D112,Milestones!$AA$88)&lt;PolicyEff),1,Milestones!$AC$88)&amp;";  ","")&amp;IF(AND(EDATE($D112,Milestones!$AA$89)&lt;=AsOfDate,EDATE($D112,Milestones!$AA$89)&gt;=SchemeStart,IF($X112=0,$AD112,IF(AND($Z112&lt;&gt;"",EDATE($D112,Milestones!$AA$89)&gt;=$Z112),$AC112,IF(AND($Y112&lt;&gt;"",EDATE($D112,Milestones!$AA$89)&gt;=$Y112),$AB112,$AA112)))=Milestones!$AB$89),UPPER(TEXT(EDATE($D112,Milestones!$AA$89),"dd mmm yy"))&amp;" "&amp;Milestones!$AB$89&amp;" "&amp;IF(AND(Milestones!$AB$89="FT",Milestones!$AA$89=FT_Y5,EDATE($D112,Milestones!$AA$89)&lt;PolicyEff),1,Milestones!$AC$89)&amp;";  ","")&amp;IF(AND(EDATE($D112,Milestones!$AA$90)&lt;=AsOfDate,EDATE($D112,Milestones!$AA$90)&gt;=SchemeStart,IF($X112=0,$AD112,IF(AND($Z112&lt;&gt;"",EDATE($D112,Milestones!$AA$90)&gt;=$Z112),$AC112,IF(AND($Y112&lt;&gt;"",EDATE($D112,Milestones!$AA$90)&gt;=$Y112),$AB112,$AA112)))=Milestones!$AB$90),UPPER(TEXT(EDATE($D112,Milestones!$AA$90),"dd mmm yy"))&amp;" "&amp;Milestones!$AB$90&amp;" "&amp;IF(AND(Milestones!$AB$90="FT",Milestones!$AA$90=FT_Y5,EDATE($D112,Milestones!$AA$90)&lt;PolicyEff),1,Milestones!$AC$90)&amp;";  ","")&amp;IF(AND(EDATE($D112,Milestones!$AA$91)&lt;=AsOfDate,EDATE($D112,Milestones!$AA$91)&gt;=SchemeStart,IF($X112=0,$AD112,IF(AND($Z112&lt;&gt;"",EDATE($D112,Milestones!$AA$91)&gt;=$Z112),$AC112,IF(AND($Y112&lt;&gt;"",EDATE($D112,Milestones!$AA$91)&gt;=$Y112),$AB112,$AA112)))=Milestones!$AB$91),UPPER(TEXT(EDATE($D112,Milestones!$AA$91),"dd mmm yy"))&amp;" "&amp;Milestones!$AB$91&amp;" "&amp;IF(AND(Milestones!$AB$91="FT",Milestones!$AA$91=FT_Y5,EDATE($D112,Milestones!$AA$91)&lt;PolicyEff),1,Milestones!$AC$91)&amp;";  ",""))</f>
        <v/>
      </c>
      <c r="O112" s="0" t="str">
        <f aca="false">IF(OR($A112="",$D112=""),"",IF(AND(EDATE($D112,Milestones!$AA$92)&lt;=AsOfDate,EDATE($D112,Milestones!$AA$92)&gt;=SchemeStart,IF($X112=0,$AD112,IF(AND($Z112&lt;&gt;"",EDATE($D112,Milestones!$AA$92)&gt;=$Z112),$AC112,IF(AND($Y112&lt;&gt;"",EDATE($D112,Milestones!$AA$92)&gt;=$Y112),$AB112,$AA112)))=Milestones!$AB$92),UPPER(TEXT(EDATE($D112,Milestones!$AA$92),"dd mmm yy"))&amp;" "&amp;Milestones!$AB$92&amp;" "&amp;IF(AND(Milestones!$AB$92="FT",Milestones!$AA$92=FT_Y5,EDATE($D112,Milestones!$AA$92)&lt;PolicyEff),1,Milestones!$AC$92)&amp;";  ","")&amp;IF(AND(EDATE($D112,Milestones!$AA$93)&lt;=AsOfDate,EDATE($D112,Milestones!$AA$93)&gt;=SchemeStart,IF($X112=0,$AD112,IF(AND($Z112&lt;&gt;"",EDATE($D112,Milestones!$AA$93)&gt;=$Z112),$AC112,IF(AND($Y112&lt;&gt;"",EDATE($D112,Milestones!$AA$93)&gt;=$Y112),$AB112,$AA112)))=Milestones!$AB$93),UPPER(TEXT(EDATE($D112,Milestones!$AA$93),"dd mmm yy"))&amp;" "&amp;Milestones!$AB$93&amp;" "&amp;IF(AND(Milestones!$AB$93="FT",Milestones!$AA$93=FT_Y5,EDATE($D112,Milestones!$AA$93)&lt;PolicyEff),1,Milestones!$AC$93)&amp;";  ","")&amp;IF(AND(EDATE($D112,Milestones!$AA$94)&lt;=AsOfDate,EDATE($D112,Milestones!$AA$94)&gt;=SchemeStart,IF($X112=0,$AD112,IF(AND($Z112&lt;&gt;"",EDATE($D112,Milestones!$AA$94)&gt;=$Z112),$AC112,IF(AND($Y112&lt;&gt;"",EDATE($D112,Milestones!$AA$94)&gt;=$Y112),$AB112,$AA112)))=Milestones!$AB$94),UPPER(TEXT(EDATE($D112,Milestones!$AA$94),"dd mmm yy"))&amp;" "&amp;Milestones!$AB$94&amp;" "&amp;IF(AND(Milestones!$AB$94="FT",Milestones!$AA$94=FT_Y5,EDATE($D112,Milestones!$AA$94)&lt;PolicyEff),1,Milestones!$AC$94)&amp;";  ","")&amp;IF(AND(EDATE($D112,Milestones!$AA$95)&lt;=AsOfDate,EDATE($D112,Milestones!$AA$95)&gt;=SchemeStart,IF($X112=0,$AD112,IF(AND($Z112&lt;&gt;"",EDATE($D112,Milestones!$AA$95)&gt;=$Z112),$AC112,IF(AND($Y112&lt;&gt;"",EDATE($D112,Milestones!$AA$95)&gt;=$Y112),$AB112,$AA112)))=Milestones!$AB$95),UPPER(TEXT(EDATE($D112,Milestones!$AA$95),"dd mmm yy"))&amp;" "&amp;Milestones!$AB$95&amp;" "&amp;IF(AND(Milestones!$AB$95="FT",Milestones!$AA$95=FT_Y5,EDATE($D112,Milestones!$AA$95)&lt;PolicyEff),1,Milestones!$AC$95)&amp;";  ","")&amp;IF(AND(EDATE($D112,Milestones!$AA$96)&lt;=AsOfDate,EDATE($D112,Milestones!$AA$96)&gt;=SchemeStart,IF($X112=0,$AD112,IF(AND($Z112&lt;&gt;"",EDATE($D112,Milestones!$AA$96)&gt;=$Z112),$AC112,IF(AND($Y112&lt;&gt;"",EDATE($D112,Milestones!$AA$96)&gt;=$Y112),$AB112,$AA112)))=Milestones!$AB$96),UPPER(TEXT(EDATE($D112,Milestones!$AA$96),"dd mmm yy"))&amp;" "&amp;Milestones!$AB$96&amp;" "&amp;IF(AND(Milestones!$AB$96="FT",Milestones!$AA$96=FT_Y5,EDATE($D112,Milestones!$AA$96)&lt;PolicyEff),1,Milestones!$AC$96)&amp;";  ","")&amp;IF(AND(EDATE($D112,Milestones!$AA$97)&lt;=AsOfDate,EDATE($D112,Milestones!$AA$97)&gt;=SchemeStart,IF($X112=0,$AD112,IF(AND($Z112&lt;&gt;"",EDATE($D112,Milestones!$AA$97)&gt;=$Z112),$AC112,IF(AND($Y112&lt;&gt;"",EDATE($D112,Milestones!$AA$97)&gt;=$Y112),$AB112,$AA112)))=Milestones!$AB$97),UPPER(TEXT(EDATE($D112,Milestones!$AA$97),"dd mmm yy"))&amp;" "&amp;Milestones!$AB$97&amp;" "&amp;IF(AND(Milestones!$AB$97="FT",Milestones!$AA$97=FT_Y5,EDATE($D112,Milestones!$AA$97)&lt;PolicyEff),1,Milestones!$AC$97)&amp;";  ","")&amp;IF(AND(EDATE($D112,Milestones!$AA$98)&lt;=AsOfDate,EDATE($D112,Milestones!$AA$98)&gt;=SchemeStart,IF($X112=0,$AD112,IF(AND($Z112&lt;&gt;"",EDATE($D112,Milestones!$AA$98)&gt;=$Z112),$AC112,IF(AND($Y112&lt;&gt;"",EDATE($D112,Milestones!$AA$98)&gt;=$Y112),$AB112,$AA112)))=Milestones!$AB$98),UPPER(TEXT(EDATE($D112,Milestones!$AA$98),"dd mmm yy"))&amp;" "&amp;Milestones!$AB$98&amp;" "&amp;IF(AND(Milestones!$AB$98="FT",Milestones!$AA$98=FT_Y5,EDATE($D112,Milestones!$AA$98)&lt;PolicyEff),1,Milestones!$AC$98)&amp;";  ","")&amp;IF(AND(EDATE($D112,Milestones!$AA$99)&lt;=AsOfDate,EDATE($D112,Milestones!$AA$99)&gt;=SchemeStart,IF($X112=0,$AD112,IF(AND($Z112&lt;&gt;"",EDATE($D112,Milestones!$AA$99)&gt;=$Z112),$AC112,IF(AND($Y112&lt;&gt;"",EDATE($D112,Milestones!$AA$99)&gt;=$Y112),$AB112,$AA112)))=Milestones!$AB$99),UPPER(TEXT(EDATE($D112,Milestones!$AA$99),"dd mmm yy"))&amp;" "&amp;Milestones!$AB$99&amp;" "&amp;IF(AND(Milestones!$AB$99="FT",Milestones!$AA$99=FT_Y5,EDATE($D112,Milestones!$AA$99)&lt;PolicyEff),1,Milestones!$AC$99)&amp;";  ","")&amp;IF(AND(EDATE($D112,Milestones!$AA$100)&lt;=AsOfDate,EDATE($D112,Milestones!$AA$100)&gt;=SchemeStart,IF($X112=0,$AD112,IF(AND($Z112&lt;&gt;"",EDATE($D112,Milestones!$AA$100)&gt;=$Z112),$AC112,IF(AND($Y112&lt;&gt;"",EDATE($D112,Milestones!$AA$100)&gt;=$Y112),$AB112,$AA112)))=Milestones!$AB$100),UPPER(TEXT(EDATE($D112,Milestones!$AA$100),"dd mmm yy"))&amp;" "&amp;Milestones!$AB$100&amp;" "&amp;IF(AND(Milestones!$AB$100="FT",Milestones!$AA$100=FT_Y5,EDATE($D112,Milestones!$AA$100)&lt;PolicyEff),1,Milestones!$AC$100)&amp;";  ","")&amp;IF(AND(EDATE($D112,Milestones!$AA$101)&lt;=AsOfDate,EDATE($D112,Milestones!$AA$101)&gt;=SchemeStart,IF($X112=0,$AD112,IF(AND($Z112&lt;&gt;"",EDATE($D112,Milestones!$AA$101)&gt;=$Z112),$AC112,IF(AND($Y112&lt;&gt;"",EDATE($D112,Milestones!$AA$101)&gt;=$Y112),$AB112,$AA112)))=Milestones!$AB$101),UPPER(TEXT(EDATE($D112,Milestones!$AA$101),"dd mmm yy"))&amp;" "&amp;Milestones!$AB$101&amp;" "&amp;IF(AND(Milestones!$AB$101="FT",Milestones!$AA$101=FT_Y5,EDATE($D112,Milestones!$AA$101)&lt;PolicyEff),1,Milestones!$AC$101)&amp;";  ","")&amp;IF(AND(EDATE($D112,Milestones!$AA$102)&lt;=AsOfDate,EDATE($D112,Milestones!$AA$102)&gt;=SchemeStart,IF($X112=0,$AD112,IF(AND($Z112&lt;&gt;"",EDATE($D112,Milestones!$AA$102)&gt;=$Z112),$AC112,IF(AND($Y112&lt;&gt;"",EDATE($D112,Milestones!$AA$102)&gt;=$Y112),$AB112,$AA112)))=Milestones!$AB$102),UPPER(TEXT(EDATE($D112,Milestones!$AA$102),"dd mmm yy"))&amp;" "&amp;Milestones!$AB$102&amp;" "&amp;IF(AND(Milestones!$AB$102="FT",Milestones!$AA$102=FT_Y5,EDATE($D112,Milestones!$AA$102)&lt;PolicyEff),1,Milestones!$AC$102)&amp;";  ","")&amp;IF(AND(EDATE($D112,Milestones!$AA$103)&lt;=AsOfDate,EDATE($D112,Milestones!$AA$103)&gt;=SchemeStart,IF($X112=0,$AD112,IF(AND($Z112&lt;&gt;"",EDATE($D112,Milestones!$AA$103)&gt;=$Z112),$AC112,IF(AND($Y112&lt;&gt;"",EDATE($D112,Milestones!$AA$103)&gt;=$Y112),$AB112,$AA112)))=Milestones!$AB$103),UPPER(TEXT(EDATE($D112,Milestones!$AA$103),"dd mmm yy"))&amp;" "&amp;Milestones!$AB$103&amp;" "&amp;IF(AND(Milestones!$AB$103="FT",Milestones!$AA$103=FT_Y5,EDATE($D112,Milestones!$AA$103)&lt;PolicyEff),1,Milestones!$AC$103)&amp;";  ",""))</f>
        <v/>
      </c>
      <c r="P112" s="0" t="str">
        <f aca="false">IF(OR($A112="",$D112=""),"",IF(AND(EDATE($D112,Milestones!$AA$104)&lt;=AsOfDate,EDATE($D112,Milestones!$AA$104)&gt;=SchemeStart,IF($X112=0,$AD112,IF(AND($Z112&lt;&gt;"",EDATE($D112,Milestones!$AA$104)&gt;=$Z112),$AC112,IF(AND($Y112&lt;&gt;"",EDATE($D112,Milestones!$AA$104)&gt;=$Y112),$AB112,$AA112)))=Milestones!$AB$104),UPPER(TEXT(EDATE($D112,Milestones!$AA$104),"dd mmm yy"))&amp;" "&amp;Milestones!$AB$104&amp;" "&amp;IF(AND(Milestones!$AB$104="FT",Milestones!$AA$104=FT_Y5,EDATE($D112,Milestones!$AA$104)&lt;PolicyEff),1,Milestones!$AC$104)&amp;";  ","")&amp;IF(AND(EDATE($D112,Milestones!$AA$105)&lt;=AsOfDate,EDATE($D112,Milestones!$AA$105)&gt;=SchemeStart,IF($X112=0,$AD112,IF(AND($Z112&lt;&gt;"",EDATE($D112,Milestones!$AA$105)&gt;=$Z112),$AC112,IF(AND($Y112&lt;&gt;"",EDATE($D112,Milestones!$AA$105)&gt;=$Y112),$AB112,$AA112)))=Milestones!$AB$105),UPPER(TEXT(EDATE($D112,Milestones!$AA$105),"dd mmm yy"))&amp;" "&amp;Milestones!$AB$105&amp;" "&amp;IF(AND(Milestones!$AB$105="FT",Milestones!$AA$105=FT_Y5,EDATE($D112,Milestones!$AA$105)&lt;PolicyEff),1,Milestones!$AC$105)&amp;";  ","")&amp;IF(AND(EDATE($D112,Milestones!$AA$106)&lt;=AsOfDate,EDATE($D112,Milestones!$AA$106)&gt;=SchemeStart,IF($X112=0,$AD112,IF(AND($Z112&lt;&gt;"",EDATE($D112,Milestones!$AA$106)&gt;=$Z112),$AC112,IF(AND($Y112&lt;&gt;"",EDATE($D112,Milestones!$AA$106)&gt;=$Y112),$AB112,$AA112)))=Milestones!$AB$106),UPPER(TEXT(EDATE($D112,Milestones!$AA$106),"dd mmm yy"))&amp;" "&amp;Milestones!$AB$106&amp;" "&amp;IF(AND(Milestones!$AB$106="FT",Milestones!$AA$106=FT_Y5,EDATE($D112,Milestones!$AA$106)&lt;PolicyEff),1,Milestones!$AC$106)&amp;";  ","")&amp;IF(AND(EDATE($D112,Milestones!$AA$107)&lt;=AsOfDate,EDATE($D112,Milestones!$AA$107)&gt;=SchemeStart,IF($X112=0,$AD112,IF(AND($Z112&lt;&gt;"",EDATE($D112,Milestones!$AA$107)&gt;=$Z112),$AC112,IF(AND($Y112&lt;&gt;"",EDATE($D112,Milestones!$AA$107)&gt;=$Y112),$AB112,$AA112)))=Milestones!$AB$107),UPPER(TEXT(EDATE($D112,Milestones!$AA$107),"dd mmm yy"))&amp;" "&amp;Milestones!$AB$107&amp;" "&amp;IF(AND(Milestones!$AB$107="FT",Milestones!$AA$107=FT_Y5,EDATE($D112,Milestones!$AA$107)&lt;PolicyEff),1,Milestones!$AC$107)&amp;";  ","")&amp;IF(AND(EDATE($D112,Milestones!$AA$108)&lt;=AsOfDate,EDATE($D112,Milestones!$AA$108)&gt;=SchemeStart,IF($X112=0,$AD112,IF(AND($Z112&lt;&gt;"",EDATE($D112,Milestones!$AA$108)&gt;=$Z112),$AC112,IF(AND($Y112&lt;&gt;"",EDATE($D112,Milestones!$AA$108)&gt;=$Y112),$AB112,$AA112)))=Milestones!$AB$108),UPPER(TEXT(EDATE($D112,Milestones!$AA$108),"dd mmm yy"))&amp;" "&amp;Milestones!$AB$108&amp;" "&amp;IF(AND(Milestones!$AB$108="FT",Milestones!$AA$108=FT_Y5,EDATE($D112,Milestones!$AA$108)&lt;PolicyEff),1,Milestones!$AC$108)&amp;";  ","")&amp;IF(AND(EDATE($D112,Milestones!$AA$109)&lt;=AsOfDate,EDATE($D112,Milestones!$AA$109)&gt;=SchemeStart,IF($X112=0,$AD112,IF(AND($Z112&lt;&gt;"",EDATE($D112,Milestones!$AA$109)&gt;=$Z112),$AC112,IF(AND($Y112&lt;&gt;"",EDATE($D112,Milestones!$AA$109)&gt;=$Y112),$AB112,$AA112)))=Milestones!$AB$109),UPPER(TEXT(EDATE($D112,Milestones!$AA$109),"dd mmm yy"))&amp;" "&amp;Milestones!$AB$109&amp;" "&amp;IF(AND(Milestones!$AB$109="FT",Milestones!$AA$109=FT_Y5,EDATE($D112,Milestones!$AA$109)&lt;PolicyEff),1,Milestones!$AC$109)&amp;";  ","")&amp;IF(AND(EDATE($D112,Milestones!$AA$110)&lt;=AsOfDate,EDATE($D112,Milestones!$AA$110)&gt;=SchemeStart,IF($X112=0,$AD112,IF(AND($Z112&lt;&gt;"",EDATE($D112,Milestones!$AA$110)&gt;=$Z112),$AC112,IF(AND($Y112&lt;&gt;"",EDATE($D112,Milestones!$AA$110)&gt;=$Y112),$AB112,$AA112)))=Milestones!$AB$110),UPPER(TEXT(EDATE($D112,Milestones!$AA$110),"dd mmm yy"))&amp;" "&amp;Milestones!$AB$110&amp;" "&amp;IF(AND(Milestones!$AB$110="FT",Milestones!$AA$110=FT_Y5,EDATE($D112,Milestones!$AA$110)&lt;PolicyEff),1,Milestones!$AC$110)&amp;";  ","")&amp;IF(AND(EDATE($D112,Milestones!$AA$111)&lt;=AsOfDate,EDATE($D112,Milestones!$AA$111)&gt;=SchemeStart,IF($X112=0,$AD112,IF(AND($Z112&lt;&gt;"",EDATE($D112,Milestones!$AA$111)&gt;=$Z112),$AC112,IF(AND($Y112&lt;&gt;"",EDATE($D112,Milestones!$AA$111)&gt;=$Y112),$AB112,$AA112)))=Milestones!$AB$111),UPPER(TEXT(EDATE($D112,Milestones!$AA$111),"dd mmm yy"))&amp;" "&amp;Milestones!$AB$111&amp;" "&amp;IF(AND(Milestones!$AB$111="FT",Milestones!$AA$111=FT_Y5,EDATE($D112,Milestones!$AA$111)&lt;PolicyEff),1,Milestones!$AC$111)&amp;";  ","")&amp;IF(AND(EDATE($D112,Milestones!$AA$112)&lt;=AsOfDate,EDATE($D112,Milestones!$AA$112)&gt;=SchemeStart,IF($X112=0,$AD112,IF(AND($Z112&lt;&gt;"",EDATE($D112,Milestones!$AA$112)&gt;=$Z112),$AC112,IF(AND($Y112&lt;&gt;"",EDATE($D112,Milestones!$AA$112)&gt;=$Y112),$AB112,$AA112)))=Milestones!$AB$112),UPPER(TEXT(EDATE($D112,Milestones!$AA$112),"dd mmm yy"))&amp;" "&amp;Milestones!$AB$112&amp;" "&amp;IF(AND(Milestones!$AB$112="FT",Milestones!$AA$112=FT_Y5,EDATE($D112,Milestones!$AA$112)&lt;PolicyEff),1,Milestones!$AC$112)&amp;";  ","")&amp;IF(AND(EDATE($D112,Milestones!$AA$113)&lt;=AsOfDate,EDATE($D112,Milestones!$AA$113)&gt;=SchemeStart,IF($X112=0,$AD112,IF(AND($Z112&lt;&gt;"",EDATE($D112,Milestones!$AA$113)&gt;=$Z112),$AC112,IF(AND($Y112&lt;&gt;"",EDATE($D112,Milestones!$AA$113)&gt;=$Y112),$AB112,$AA112)))=Milestones!$AB$113),UPPER(TEXT(EDATE($D112,Milestones!$AA$113),"dd mmm yy"))&amp;" "&amp;Milestones!$AB$113&amp;" "&amp;IF(AND(Milestones!$AB$113="FT",Milestones!$AA$113=FT_Y5,EDATE($D112,Milestones!$AA$113)&lt;PolicyEff),1,Milestones!$AC$113)&amp;";  ","")&amp;IF(AND(EDATE($D112,Milestones!$AA$114)&lt;=AsOfDate,EDATE($D112,Milestones!$AA$114)&gt;=SchemeStart,IF($X112=0,$AD112,IF(AND($Z112&lt;&gt;"",EDATE($D112,Milestones!$AA$114)&gt;=$Z112),$AC112,IF(AND($Y112&lt;&gt;"",EDATE($D112,Milestones!$AA$114)&gt;=$Y112),$AB112,$AA112)))=Milestones!$AB$114),UPPER(TEXT(EDATE($D112,Milestones!$AA$114),"dd mmm yy"))&amp;" "&amp;Milestones!$AB$114&amp;" "&amp;IF(AND(Milestones!$AB$114="FT",Milestones!$AA$114=FT_Y5,EDATE($D112,Milestones!$AA$114)&lt;PolicyEff),1,Milestones!$AC$114)&amp;";  ","")&amp;IF(AND(EDATE($D112,Milestones!$AA$115)&lt;=AsOfDate,EDATE($D112,Milestones!$AA$115)&gt;=SchemeStart,IF($X112=0,$AD112,IF(AND($Z112&lt;&gt;"",EDATE($D112,Milestones!$AA$115)&gt;=$Z112),$AC112,IF(AND($Y112&lt;&gt;"",EDATE($D112,Milestones!$AA$115)&gt;=$Y112),$AB112,$AA112)))=Milestones!$AB$115),UPPER(TEXT(EDATE($D112,Milestones!$AA$115),"dd mmm yy"))&amp;" "&amp;Milestones!$AB$115&amp;" "&amp;IF(AND(Milestones!$AB$115="FT",Milestones!$AA$115=FT_Y5,EDATE($D112,Milestones!$AA$115)&lt;PolicyEff),1,Milestones!$AC$115)&amp;";  ",""))</f>
        <v/>
      </c>
      <c r="Q112" s="0" t="str">
        <f aca="false">IF(OR($A112="",$D112=""),"",IF(AND(EDATE($D112,Milestones!$AA$116)&lt;=AsOfDate,EDATE($D112,Milestones!$AA$116)&gt;=SchemeStart,IF($X112=0,$AD112,IF(AND($Z112&lt;&gt;"",EDATE($D112,Milestones!$AA$116)&gt;=$Z112),$AC112,IF(AND($Y112&lt;&gt;"",EDATE($D112,Milestones!$AA$116)&gt;=$Y112),$AB112,$AA112)))=Milestones!$AB$116),UPPER(TEXT(EDATE($D112,Milestones!$AA$116),"dd mmm yy"))&amp;" "&amp;Milestones!$AB$116&amp;" "&amp;IF(AND(Milestones!$AB$116="FT",Milestones!$AA$116=FT_Y5,EDATE($D112,Milestones!$AA$116)&lt;PolicyEff),1,Milestones!$AC$116)&amp;";  ","")&amp;IF(AND(EDATE($D112,Milestones!$AA$117)&lt;=AsOfDate,EDATE($D112,Milestones!$AA$117)&gt;=SchemeStart,IF($X112=0,$AD112,IF(AND($Z112&lt;&gt;"",EDATE($D112,Milestones!$AA$117)&gt;=$Z112),$AC112,IF(AND($Y112&lt;&gt;"",EDATE($D112,Milestones!$AA$117)&gt;=$Y112),$AB112,$AA112)))=Milestones!$AB$117),UPPER(TEXT(EDATE($D112,Milestones!$AA$117),"dd mmm yy"))&amp;" "&amp;Milestones!$AB$117&amp;" "&amp;IF(AND(Milestones!$AB$117="FT",Milestones!$AA$117=FT_Y5,EDATE($D112,Milestones!$AA$117)&lt;PolicyEff),1,Milestones!$AC$117)&amp;";  ","")&amp;IF(AND(EDATE($D112,Milestones!$AA$118)&lt;=AsOfDate,EDATE($D112,Milestones!$AA$118)&gt;=SchemeStart,IF($X112=0,$AD112,IF(AND($Z112&lt;&gt;"",EDATE($D112,Milestones!$AA$118)&gt;=$Z112),$AC112,IF(AND($Y112&lt;&gt;"",EDATE($D112,Milestones!$AA$118)&gt;=$Y112),$AB112,$AA112)))=Milestones!$AB$118),UPPER(TEXT(EDATE($D112,Milestones!$AA$118),"dd mmm yy"))&amp;" "&amp;Milestones!$AB$118&amp;" "&amp;IF(AND(Milestones!$AB$118="FT",Milestones!$AA$118=FT_Y5,EDATE($D112,Milestones!$AA$118)&lt;PolicyEff),1,Milestones!$AC$118)&amp;";  ","")&amp;IF(AND(EDATE($D112,Milestones!$AA$119)&lt;=AsOfDate,EDATE($D112,Milestones!$AA$119)&gt;=SchemeStart,IF($X112=0,$AD112,IF(AND($Z112&lt;&gt;"",EDATE($D112,Milestones!$AA$119)&gt;=$Z112),$AC112,IF(AND($Y112&lt;&gt;"",EDATE($D112,Milestones!$AA$119)&gt;=$Y112),$AB112,$AA112)))=Milestones!$AB$119),UPPER(TEXT(EDATE($D112,Milestones!$AA$119),"dd mmm yy"))&amp;" "&amp;Milestones!$AB$119&amp;" "&amp;IF(AND(Milestones!$AB$119="FT",Milestones!$AA$119=FT_Y5,EDATE($D112,Milestones!$AA$119)&lt;PolicyEff),1,Milestones!$AC$119)&amp;";  ","")&amp;IF(AND(EDATE($D112,Milestones!$AA$120)&lt;=AsOfDate,EDATE($D112,Milestones!$AA$120)&gt;=SchemeStart,IF($X112=0,$AD112,IF(AND($Z112&lt;&gt;"",EDATE($D112,Milestones!$AA$120)&gt;=$Z112),$AC112,IF(AND($Y112&lt;&gt;"",EDATE($D112,Milestones!$AA$120)&gt;=$Y112),$AB112,$AA112)))=Milestones!$AB$120),UPPER(TEXT(EDATE($D112,Milestones!$AA$120),"dd mmm yy"))&amp;" "&amp;Milestones!$AB$120&amp;" "&amp;IF(AND(Milestones!$AB$120="FT",Milestones!$AA$120=FT_Y5,EDATE($D112,Milestones!$AA$120)&lt;PolicyEff),1,Milestones!$AC$120)&amp;";  ","")&amp;IF(AND(EDATE($D112,Milestones!$AA$121)&lt;=AsOfDate,EDATE($D112,Milestones!$AA$121)&gt;=SchemeStart,IF($X112=0,$AD112,IF(AND($Z112&lt;&gt;"",EDATE($D112,Milestones!$AA$121)&gt;=$Z112),$AC112,IF(AND($Y112&lt;&gt;"",EDATE($D112,Milestones!$AA$121)&gt;=$Y112),$AB112,$AA112)))=Milestones!$AB$121),UPPER(TEXT(EDATE($D112,Milestones!$AA$121),"dd mmm yy"))&amp;" "&amp;Milestones!$AB$121&amp;" "&amp;IF(AND(Milestones!$AB$121="FT",Milestones!$AA$121=FT_Y5,EDATE($D112,Milestones!$AA$121)&lt;PolicyEff),1,Milestones!$AC$121)&amp;";  ","")&amp;IF(AND(EDATE($D112,Milestones!$AA$122)&lt;=AsOfDate,EDATE($D112,Milestones!$AA$122)&gt;=SchemeStart,IF($X112=0,$AD112,IF(AND($Z112&lt;&gt;"",EDATE($D112,Milestones!$AA$122)&gt;=$Z112),$AC112,IF(AND($Y112&lt;&gt;"",EDATE($D112,Milestones!$AA$122)&gt;=$Y112),$AB112,$AA112)))=Milestones!$AB$122),UPPER(TEXT(EDATE($D112,Milestones!$AA$122),"dd mmm yy"))&amp;" "&amp;Milestones!$AB$122&amp;" "&amp;IF(AND(Milestones!$AB$122="FT",Milestones!$AA$122=FT_Y5,EDATE($D112,Milestones!$AA$122)&lt;PolicyEff),1,Milestones!$AC$122)&amp;";  ","")&amp;IF(AND(EDATE($D112,Milestones!$AA$123)&lt;=AsOfDate,EDATE($D112,Milestones!$AA$123)&gt;=SchemeStart,IF($X112=0,$AD112,IF(AND($Z112&lt;&gt;"",EDATE($D112,Milestones!$AA$123)&gt;=$Z112),$AC112,IF(AND($Y112&lt;&gt;"",EDATE($D112,Milestones!$AA$123)&gt;=$Y112),$AB112,$AA112)))=Milestones!$AB$123),UPPER(TEXT(EDATE($D112,Milestones!$AA$123),"dd mmm yy"))&amp;" "&amp;Milestones!$AB$123&amp;" "&amp;IF(AND(Milestones!$AB$123="FT",Milestones!$AA$123=FT_Y5,EDATE($D112,Milestones!$AA$123)&lt;PolicyEff),1,Milestones!$AC$123)&amp;";  ","")&amp;IF(AND(EDATE($D112,Milestones!$AA$124)&lt;=AsOfDate,EDATE($D112,Milestones!$AA$124)&gt;=SchemeStart,IF($X112=0,$AD112,IF(AND($Z112&lt;&gt;"",EDATE($D112,Milestones!$AA$124)&gt;=$Z112),$AC112,IF(AND($Y112&lt;&gt;"",EDATE($D112,Milestones!$AA$124)&gt;=$Y112),$AB112,$AA112)))=Milestones!$AB$124),UPPER(TEXT(EDATE($D112,Milestones!$AA$124),"dd mmm yy"))&amp;" "&amp;Milestones!$AB$124&amp;" "&amp;IF(AND(Milestones!$AB$124="FT",Milestones!$AA$124=FT_Y5,EDATE($D112,Milestones!$AA$124)&lt;PolicyEff),1,Milestones!$AC$124)&amp;";  ","")&amp;IF(AND(EDATE($D112,Milestones!$AA$125)&lt;=AsOfDate,EDATE($D112,Milestones!$AA$125)&gt;=SchemeStart,IF($X112=0,$AD112,IF(AND($Z112&lt;&gt;"",EDATE($D112,Milestones!$AA$125)&gt;=$Z112),$AC112,IF(AND($Y112&lt;&gt;"",EDATE($D112,Milestones!$AA$125)&gt;=$Y112),$AB112,$AA112)))=Milestones!$AB$125),UPPER(TEXT(EDATE($D112,Milestones!$AA$125),"dd mmm yy"))&amp;" "&amp;Milestones!$AB$125&amp;" "&amp;IF(AND(Milestones!$AB$125="FT",Milestones!$AA$125=FT_Y5,EDATE($D112,Milestones!$AA$125)&lt;PolicyEff),1,Milestones!$AC$125)&amp;";  ","")&amp;IF(AND(EDATE($D112,Milestones!$AA$126)&lt;=AsOfDate,EDATE($D112,Milestones!$AA$126)&gt;=SchemeStart,IF($X112=0,$AD112,IF(AND($Z112&lt;&gt;"",EDATE($D112,Milestones!$AA$126)&gt;=$Z112),$AC112,IF(AND($Y112&lt;&gt;"",EDATE($D112,Milestones!$AA$126)&gt;=$Y112),$AB112,$AA112)))=Milestones!$AB$126),UPPER(TEXT(EDATE($D112,Milestones!$AA$126),"dd mmm yy"))&amp;" "&amp;Milestones!$AB$126&amp;" "&amp;IF(AND(Milestones!$AB$126="FT",Milestones!$AA$126=FT_Y5,EDATE($D112,Milestones!$AA$126)&lt;PolicyEff),1,Milestones!$AC$126)&amp;";  ","")&amp;IF(AND(EDATE($D112,Milestones!$AA$127)&lt;=AsOfDate,EDATE($D112,Milestones!$AA$127)&gt;=SchemeStart,IF($X112=0,$AD112,IF(AND($Z112&lt;&gt;"",EDATE($D112,Milestones!$AA$127)&gt;=$Z112),$AC112,IF(AND($Y112&lt;&gt;"",EDATE($D112,Milestones!$AA$127)&gt;=$Y112),$AB112,$AA112)))=Milestones!$AB$127),UPPER(TEXT(EDATE($D112,Milestones!$AA$127),"dd mmm yy"))&amp;" "&amp;Milestones!$AB$127&amp;" "&amp;IF(AND(Milestones!$AB$127="FT",Milestones!$AA$127=FT_Y5,EDATE($D112,Milestones!$AA$127)&lt;PolicyEff),1,Milestones!$AC$127)&amp;";  ",""))</f>
        <v/>
      </c>
      <c r="R112" s="0" t="str">
        <f aca="false">IF(OR($A112="",$D112=""),"",IF(AND(EDATE($D112,Milestones!$AA$128)&lt;=AsOfDate,EDATE($D112,Milestones!$AA$128)&gt;=SchemeStart,IF($X112=0,$AD112,IF(AND($Z112&lt;&gt;"",EDATE($D112,Milestones!$AA$128)&gt;=$Z112),$AC112,IF(AND($Y112&lt;&gt;"",EDATE($D112,Milestones!$AA$128)&gt;=$Y112),$AB112,$AA112)))=Milestones!$AB$128),UPPER(TEXT(EDATE($D112,Milestones!$AA$128),"dd mmm yy"))&amp;" "&amp;Milestones!$AB$128&amp;" "&amp;IF(AND(Milestones!$AB$128="FT",Milestones!$AA$128=FT_Y5,EDATE($D112,Milestones!$AA$128)&lt;PolicyEff),1,Milestones!$AC$128)&amp;";  ","")&amp;IF(AND(EDATE($D112,Milestones!$AA$129)&lt;=AsOfDate,EDATE($D112,Milestones!$AA$129)&gt;=SchemeStart,IF($X112=0,$AD112,IF(AND($Z112&lt;&gt;"",EDATE($D112,Milestones!$AA$129)&gt;=$Z112),$AC112,IF(AND($Y112&lt;&gt;"",EDATE($D112,Milestones!$AA$129)&gt;=$Y112),$AB112,$AA112)))=Milestones!$AB$129),UPPER(TEXT(EDATE($D112,Milestones!$AA$129),"dd mmm yy"))&amp;" "&amp;Milestones!$AB$129&amp;" "&amp;IF(AND(Milestones!$AB$129="FT",Milestones!$AA$129=FT_Y5,EDATE($D112,Milestones!$AA$129)&lt;PolicyEff),1,Milestones!$AC$129)&amp;";  ","")&amp;IF(AND(EDATE($D112,Milestones!$AA$130)&lt;=AsOfDate,EDATE($D112,Milestones!$AA$130)&gt;=SchemeStart,IF($X112=0,$AD112,IF(AND($Z112&lt;&gt;"",EDATE($D112,Milestones!$AA$130)&gt;=$Z112),$AC112,IF(AND($Y112&lt;&gt;"",EDATE($D112,Milestones!$AA$130)&gt;=$Y112),$AB112,$AA112)))=Milestones!$AB$130),UPPER(TEXT(EDATE($D112,Milestones!$AA$130),"dd mmm yy"))&amp;" "&amp;Milestones!$AB$130&amp;" "&amp;IF(AND(Milestones!$AB$130="FT",Milestones!$AA$130=FT_Y5,EDATE($D112,Milestones!$AA$130)&lt;PolicyEff),1,Milestones!$AC$130)&amp;";  ","")&amp;IF(AND(EDATE($D112,Milestones!$AA$131)&lt;=AsOfDate,EDATE($D112,Milestones!$AA$131)&gt;=SchemeStart,IF($X112=0,$AD112,IF(AND($Z112&lt;&gt;"",EDATE($D112,Milestones!$AA$131)&gt;=$Z112),$AC112,IF(AND($Y112&lt;&gt;"",EDATE($D112,Milestones!$AA$131)&gt;=$Y112),$AB112,$AA112)))=Milestones!$AB$131),UPPER(TEXT(EDATE($D112,Milestones!$AA$131),"dd mmm yy"))&amp;" "&amp;Milestones!$AB$131&amp;" "&amp;IF(AND(Milestones!$AB$131="FT",Milestones!$AA$131=FT_Y5,EDATE($D112,Milestones!$AA$131)&lt;PolicyEff),1,Milestones!$AC$131)&amp;";  ","")&amp;IF(AND(EDATE($D112,Milestones!$AA$132)&lt;=AsOfDate,EDATE($D112,Milestones!$AA$132)&gt;=SchemeStart,IF($X112=0,$AD112,IF(AND($Z112&lt;&gt;"",EDATE($D112,Milestones!$AA$132)&gt;=$Z112),$AC112,IF(AND($Y112&lt;&gt;"",EDATE($D112,Milestones!$AA$132)&gt;=$Y112),$AB112,$AA112)))=Milestones!$AB$132),UPPER(TEXT(EDATE($D112,Milestones!$AA$132),"dd mmm yy"))&amp;" "&amp;Milestones!$AB$132&amp;" "&amp;IF(AND(Milestones!$AB$132="FT",Milestones!$AA$132=FT_Y5,EDATE($D112,Milestones!$AA$132)&lt;PolicyEff),1,Milestones!$AC$132)&amp;";  ","")&amp;IF(AND(EDATE($D112,Milestones!$AA$133)&lt;=AsOfDate,EDATE($D112,Milestones!$AA$133)&gt;=SchemeStart,IF($X112=0,$AD112,IF(AND($Z112&lt;&gt;"",EDATE($D112,Milestones!$AA$133)&gt;=$Z112),$AC112,IF(AND($Y112&lt;&gt;"",EDATE($D112,Milestones!$AA$133)&gt;=$Y112),$AB112,$AA112)))=Milestones!$AB$133),UPPER(TEXT(EDATE($D112,Milestones!$AA$133),"dd mmm yy"))&amp;" "&amp;Milestones!$AB$133&amp;" "&amp;IF(AND(Milestones!$AB$133="FT",Milestones!$AA$133=FT_Y5,EDATE($D112,Milestones!$AA$133)&lt;PolicyEff),1,Milestones!$AC$133)&amp;";  ","")&amp;IF(AND(EDATE($D112,Milestones!$AA$134)&lt;=AsOfDate,EDATE($D112,Milestones!$AA$134)&gt;=SchemeStart,IF($X112=0,$AD112,IF(AND($Z112&lt;&gt;"",EDATE($D112,Milestones!$AA$134)&gt;=$Z112),$AC112,IF(AND($Y112&lt;&gt;"",EDATE($D112,Milestones!$AA$134)&gt;=$Y112),$AB112,$AA112)))=Milestones!$AB$134),UPPER(TEXT(EDATE($D112,Milestones!$AA$134),"dd mmm yy"))&amp;" "&amp;Milestones!$AB$134&amp;" "&amp;IF(AND(Milestones!$AB$134="FT",Milestones!$AA$134=FT_Y5,EDATE($D112,Milestones!$AA$134)&lt;PolicyEff),1,Milestones!$AC$134)&amp;";  ","")&amp;IF(AND(EDATE($D112,Milestones!$AA$135)&lt;=AsOfDate,EDATE($D112,Milestones!$AA$135)&gt;=SchemeStart,IF($X112=0,$AD112,IF(AND($Z112&lt;&gt;"",EDATE($D112,Milestones!$AA$135)&gt;=$Z112),$AC112,IF(AND($Y112&lt;&gt;"",EDATE($D112,Milestones!$AA$135)&gt;=$Y112),$AB112,$AA112)))=Milestones!$AB$135),UPPER(TEXT(EDATE($D112,Milestones!$AA$135),"dd mmm yy"))&amp;" "&amp;Milestones!$AB$135&amp;" "&amp;IF(AND(Milestones!$AB$135="FT",Milestones!$AA$135=FT_Y5,EDATE($D112,Milestones!$AA$135)&lt;PolicyEff),1,Milestones!$AC$135)&amp;";  ","")&amp;IF(AND(EDATE($D112,Milestones!$AA$136)&lt;=AsOfDate,EDATE($D112,Milestones!$AA$136)&gt;=SchemeStart,IF($X112=0,$AD112,IF(AND($Z112&lt;&gt;"",EDATE($D112,Milestones!$AA$136)&gt;=$Z112),$AC112,IF(AND($Y112&lt;&gt;"",EDATE($D112,Milestones!$AA$136)&gt;=$Y112),$AB112,$AA112)))=Milestones!$AB$136),UPPER(TEXT(EDATE($D112,Milestones!$AA$136),"dd mmm yy"))&amp;" "&amp;Milestones!$AB$136&amp;" "&amp;IF(AND(Milestones!$AB$136="FT",Milestones!$AA$136=FT_Y5,EDATE($D112,Milestones!$AA$136)&lt;PolicyEff),1,Milestones!$AC$136)&amp;";  ","")&amp;IF(AND(EDATE($D112,Milestones!$AA$137)&lt;=AsOfDate,EDATE($D112,Milestones!$AA$137)&gt;=SchemeStart,IF($X112=0,$AD112,IF(AND($Z112&lt;&gt;"",EDATE($D112,Milestones!$AA$137)&gt;=$Z112),$AC112,IF(AND($Y112&lt;&gt;"",EDATE($D112,Milestones!$AA$137)&gt;=$Y112),$AB112,$AA112)))=Milestones!$AB$137),UPPER(TEXT(EDATE($D112,Milestones!$AA$137),"dd mmm yy"))&amp;" "&amp;Milestones!$AB$137&amp;" "&amp;IF(AND(Milestones!$AB$137="FT",Milestones!$AA$137=FT_Y5,EDATE($D112,Milestones!$AA$137)&lt;PolicyEff),1,Milestones!$AC$137)&amp;";  ","")&amp;IF(AND(EDATE($D112,Milestones!$AA$138)&lt;=AsOfDate,EDATE($D112,Milestones!$AA$138)&gt;=SchemeStart,IF($X112=0,$AD112,IF(AND($Z112&lt;&gt;"",EDATE($D112,Milestones!$AA$138)&gt;=$Z112),$AC112,IF(AND($Y112&lt;&gt;"",EDATE($D112,Milestones!$AA$138)&gt;=$Y112),$AB112,$AA112)))=Milestones!$AB$138),UPPER(TEXT(EDATE($D112,Milestones!$AA$138),"dd mmm yy"))&amp;" "&amp;Milestones!$AB$138&amp;" "&amp;IF(AND(Milestones!$AB$138="FT",Milestones!$AA$138=FT_Y5,EDATE($D112,Milestones!$AA$138)&lt;PolicyEff),1,Milestones!$AC$138)&amp;";  ","")&amp;IF(AND(EDATE($D112,Milestones!$AA$139)&lt;=AsOfDate,EDATE($D112,Milestones!$AA$139)&gt;=SchemeStart,IF($X112=0,$AD112,IF(AND($Z112&lt;&gt;"",EDATE($D112,Milestones!$AA$139)&gt;=$Z112),$AC112,IF(AND($Y112&lt;&gt;"",EDATE($D112,Milestones!$AA$139)&gt;=$Y112),$AB112,$AA112)))=Milestones!$AB$139),UPPER(TEXT(EDATE($D112,Milestones!$AA$139),"dd mmm yy"))&amp;" "&amp;Milestones!$AB$139&amp;" "&amp;IF(AND(Milestones!$AB$139="FT",Milestones!$AA$139=FT_Y5,EDATE($D112,Milestones!$AA$139)&lt;PolicyEff),1,Milestones!$AC$139)&amp;";  ",""))</f>
        <v/>
      </c>
      <c r="S112" s="0" t="str">
        <f aca="false">IF(OR($A112="",$D112=""),"",IF(AND(EDATE($D112,Milestones!$AA$140)&lt;=AsOfDate,EDATE($D112,Milestones!$AA$140)&gt;=SchemeStart,IF($X112=0,$AD112,IF(AND($Z112&lt;&gt;"",EDATE($D112,Milestones!$AA$140)&gt;=$Z112),$AC112,IF(AND($Y112&lt;&gt;"",EDATE($D112,Milestones!$AA$140)&gt;=$Y112),$AB112,$AA112)))=Milestones!$AB$140),UPPER(TEXT(EDATE($D112,Milestones!$AA$140),"dd mmm yy"))&amp;" "&amp;Milestones!$AB$140&amp;" "&amp;IF(AND(Milestones!$AB$140="FT",Milestones!$AA$140=FT_Y5,EDATE($D112,Milestones!$AA$140)&lt;PolicyEff),1,Milestones!$AC$140)&amp;";  ","")&amp;IF(AND(EDATE($D112,Milestones!$AA$141)&lt;=AsOfDate,EDATE($D112,Milestones!$AA$141)&gt;=SchemeStart,IF($X112=0,$AD112,IF(AND($Z112&lt;&gt;"",EDATE($D112,Milestones!$AA$141)&gt;=$Z112),$AC112,IF(AND($Y112&lt;&gt;"",EDATE($D112,Milestones!$AA$141)&gt;=$Y112),$AB112,$AA112)))=Milestones!$AB$141),UPPER(TEXT(EDATE($D112,Milestones!$AA$141),"dd mmm yy"))&amp;" "&amp;Milestones!$AB$141&amp;" "&amp;IF(AND(Milestones!$AB$141="FT",Milestones!$AA$141=FT_Y5,EDATE($D112,Milestones!$AA$141)&lt;PolicyEff),1,Milestones!$AC$141)&amp;";  ","")&amp;IF(AND(EDATE($D112,Milestones!$AA$142)&lt;=AsOfDate,EDATE($D112,Milestones!$AA$142)&gt;=SchemeStart,IF($X112=0,$AD112,IF(AND($Z112&lt;&gt;"",EDATE($D112,Milestones!$AA$142)&gt;=$Z112),$AC112,IF(AND($Y112&lt;&gt;"",EDATE($D112,Milestones!$AA$142)&gt;=$Y112),$AB112,$AA112)))=Milestones!$AB$142),UPPER(TEXT(EDATE($D112,Milestones!$AA$142),"dd mmm yy"))&amp;" "&amp;Milestones!$AB$142&amp;" "&amp;IF(AND(Milestones!$AB$142="FT",Milestones!$AA$142=FT_Y5,EDATE($D112,Milestones!$AA$142)&lt;PolicyEff),1,Milestones!$AC$142)&amp;";  ","")&amp;IF(AND(EDATE($D112,Milestones!$AA$143)&lt;=AsOfDate,EDATE($D112,Milestones!$AA$143)&gt;=SchemeStart,IF($X112=0,$AD112,IF(AND($Z112&lt;&gt;"",EDATE($D112,Milestones!$AA$143)&gt;=$Z112),$AC112,IF(AND($Y112&lt;&gt;"",EDATE($D112,Milestones!$AA$143)&gt;=$Y112),$AB112,$AA112)))=Milestones!$AB$143),UPPER(TEXT(EDATE($D112,Milestones!$AA$143),"dd mmm yy"))&amp;" "&amp;Milestones!$AB$143&amp;" "&amp;IF(AND(Milestones!$AB$143="FT",Milestones!$AA$143=FT_Y5,EDATE($D112,Milestones!$AA$143)&lt;PolicyEff),1,Milestones!$AC$143)&amp;";  ","")&amp;IF(AND(EDATE($D112,Milestones!$AA$144)&lt;=AsOfDate,EDATE($D112,Milestones!$AA$144)&gt;=SchemeStart,IF($X112=0,$AD112,IF(AND($Z112&lt;&gt;"",EDATE($D112,Milestones!$AA$144)&gt;=$Z112),$AC112,IF(AND($Y112&lt;&gt;"",EDATE($D112,Milestones!$AA$144)&gt;=$Y112),$AB112,$AA112)))=Milestones!$AB$144),UPPER(TEXT(EDATE($D112,Milestones!$AA$144),"dd mmm yy"))&amp;" "&amp;Milestones!$AB$144&amp;" "&amp;IF(AND(Milestones!$AB$144="FT",Milestones!$AA$144=FT_Y5,EDATE($D112,Milestones!$AA$144)&lt;PolicyEff),1,Milestones!$AC$144)&amp;";  ","")&amp;IF(AND(EDATE($D112,Milestones!$AA$145)&lt;=AsOfDate,EDATE($D112,Milestones!$AA$145)&gt;=SchemeStart,IF($X112=0,$AD112,IF(AND($Z112&lt;&gt;"",EDATE($D112,Milestones!$AA$145)&gt;=$Z112),$AC112,IF(AND($Y112&lt;&gt;"",EDATE($D112,Milestones!$AA$145)&gt;=$Y112),$AB112,$AA112)))=Milestones!$AB$145),UPPER(TEXT(EDATE($D112,Milestones!$AA$145),"dd mmm yy"))&amp;" "&amp;Milestones!$AB$145&amp;" "&amp;IF(AND(Milestones!$AB$145="FT",Milestones!$AA$145=FT_Y5,EDATE($D112,Milestones!$AA$145)&lt;PolicyEff),1,Milestones!$AC$145)&amp;";  ","")&amp;IF(AND(EDATE($D112,Milestones!$AA$146)&lt;=AsOfDate,EDATE($D112,Milestones!$AA$146)&gt;=SchemeStart,IF($X112=0,$AD112,IF(AND($Z112&lt;&gt;"",EDATE($D112,Milestones!$AA$146)&gt;=$Z112),$AC112,IF(AND($Y112&lt;&gt;"",EDATE($D112,Milestones!$AA$146)&gt;=$Y112),$AB112,$AA112)))=Milestones!$AB$146),UPPER(TEXT(EDATE($D112,Milestones!$AA$146),"dd mmm yy"))&amp;" "&amp;Milestones!$AB$146&amp;" "&amp;IF(AND(Milestones!$AB$146="FT",Milestones!$AA$146=FT_Y5,EDATE($D112,Milestones!$AA$146)&lt;PolicyEff),1,Milestones!$AC$146)&amp;";  ","")&amp;IF(AND(EDATE($D112,Milestones!$AA$147)&lt;=AsOfDate,EDATE($D112,Milestones!$AA$147)&gt;=SchemeStart,IF($X112=0,$AD112,IF(AND($Z112&lt;&gt;"",EDATE($D112,Milestones!$AA$147)&gt;=$Z112),$AC112,IF(AND($Y112&lt;&gt;"",EDATE($D112,Milestones!$AA$147)&gt;=$Y112),$AB112,$AA112)))=Milestones!$AB$147),UPPER(TEXT(EDATE($D112,Milestones!$AA$147),"dd mmm yy"))&amp;" "&amp;Milestones!$AB$147&amp;" "&amp;IF(AND(Milestones!$AB$147="FT",Milestones!$AA$147=FT_Y5,EDATE($D112,Milestones!$AA$147)&lt;PolicyEff),1,Milestones!$AC$147)&amp;";  ","")&amp;IF(AND(EDATE($D112,Milestones!$AA$148)&lt;=AsOfDate,EDATE($D112,Milestones!$AA$148)&gt;=SchemeStart,IF($X112=0,$AD112,IF(AND($Z112&lt;&gt;"",EDATE($D112,Milestones!$AA$148)&gt;=$Z112),$AC112,IF(AND($Y112&lt;&gt;"",EDATE($D112,Milestones!$AA$148)&gt;=$Y112),$AB112,$AA112)))=Milestones!$AB$148),UPPER(TEXT(EDATE($D112,Milestones!$AA$148),"dd mmm yy"))&amp;" "&amp;Milestones!$AB$148&amp;" "&amp;IF(AND(Milestones!$AB$148="FT",Milestones!$AA$148=FT_Y5,EDATE($D112,Milestones!$AA$148)&lt;PolicyEff),1,Milestones!$AC$148)&amp;";  ","")&amp;IF(AND(EDATE($D112,Milestones!$AA$149)&lt;=AsOfDate,EDATE($D112,Milestones!$AA$149)&gt;=SchemeStart,IF($X112=0,$AD112,IF(AND($Z112&lt;&gt;"",EDATE($D112,Milestones!$AA$149)&gt;=$Z112),$AC112,IF(AND($Y112&lt;&gt;"",EDATE($D112,Milestones!$AA$149)&gt;=$Y112),$AB112,$AA112)))=Milestones!$AB$149),UPPER(TEXT(EDATE($D112,Milestones!$AA$149),"dd mmm yy"))&amp;" "&amp;Milestones!$AB$149&amp;" "&amp;IF(AND(Milestones!$AB$149="FT",Milestones!$AA$149=FT_Y5,EDATE($D112,Milestones!$AA$149)&lt;PolicyEff),1,Milestones!$AC$149)&amp;";  ","")&amp;IF(AND(EDATE($D112,Milestones!$AA$150)&lt;=AsOfDate,EDATE($D112,Milestones!$AA$150)&gt;=SchemeStart,IF($X112=0,$AD112,IF(AND($Z112&lt;&gt;"",EDATE($D112,Milestones!$AA$150)&gt;=$Z112),$AC112,IF(AND($Y112&lt;&gt;"",EDATE($D112,Milestones!$AA$150)&gt;=$Y112),$AB112,$AA112)))=Milestones!$AB$150),UPPER(TEXT(EDATE($D112,Milestones!$AA$150),"dd mmm yy"))&amp;" "&amp;Milestones!$AB$150&amp;" "&amp;IF(AND(Milestones!$AB$150="FT",Milestones!$AA$150=FT_Y5,EDATE($D112,Milestones!$AA$150)&lt;PolicyEff),1,Milestones!$AC$150)&amp;";  ","")&amp;IF(AND(EDATE($D112,Milestones!$AA$151)&lt;=AsOfDate,EDATE($D112,Milestones!$AA$151)&gt;=SchemeStart,IF($X112=0,$AD112,IF(AND($Z112&lt;&gt;"",EDATE($D112,Milestones!$AA$151)&gt;=$Z112),$AC112,IF(AND($Y112&lt;&gt;"",EDATE($D112,Milestones!$AA$151)&gt;=$Y112),$AB112,$AA112)))=Milestones!$AB$151),UPPER(TEXT(EDATE($D112,Milestones!$AA$151),"dd mmm yy"))&amp;" "&amp;Milestones!$AB$151&amp;" "&amp;IF(AND(Milestones!$AB$151="FT",Milestones!$AA$151=FT_Y5,EDATE($D112,Milestones!$AA$151)&lt;PolicyEff),1,Milestones!$AC$151)&amp;";  ",""))</f>
        <v/>
      </c>
      <c r="T112" s="0" t="str">
        <f aca="false">IF(OR($A112="",$D112=""),"",IF(AND(EDATE($D112,Milestones!$AA$152)&lt;=AsOfDate,EDATE($D112,Milestones!$AA$152)&gt;=SchemeStart,IF($X112=0,$AD112,IF(AND($Z112&lt;&gt;"",EDATE($D112,Milestones!$AA$152)&gt;=$Z112),$AC112,IF(AND($Y112&lt;&gt;"",EDATE($D112,Milestones!$AA$152)&gt;=$Y112),$AB112,$AA112)))=Milestones!$AB$152),UPPER(TEXT(EDATE($D112,Milestones!$AA$152),"dd mmm yy"))&amp;" "&amp;Milestones!$AB$152&amp;" "&amp;IF(AND(Milestones!$AB$152="FT",Milestones!$AA$152=FT_Y5,EDATE($D112,Milestones!$AA$152)&lt;PolicyEff),1,Milestones!$AC$152)&amp;";  ","")&amp;IF(AND(EDATE($D112,Milestones!$AA$153)&lt;=AsOfDate,EDATE($D112,Milestones!$AA$153)&gt;=SchemeStart,IF($X112=0,$AD112,IF(AND($Z112&lt;&gt;"",EDATE($D112,Milestones!$AA$153)&gt;=$Z112),$AC112,IF(AND($Y112&lt;&gt;"",EDATE($D112,Milestones!$AA$153)&gt;=$Y112),$AB112,$AA112)))=Milestones!$AB$153),UPPER(TEXT(EDATE($D112,Milestones!$AA$153),"dd mmm yy"))&amp;" "&amp;Milestones!$AB$153&amp;" "&amp;IF(AND(Milestones!$AB$153="FT",Milestones!$AA$153=FT_Y5,EDATE($D112,Milestones!$AA$153)&lt;PolicyEff),1,Milestones!$AC$153)&amp;";  ","")&amp;IF(AND(EDATE($D112,Milestones!$AA$154)&lt;=AsOfDate,EDATE($D112,Milestones!$AA$154)&gt;=SchemeStart,IF($X112=0,$AD112,IF(AND($Z112&lt;&gt;"",EDATE($D112,Milestones!$AA$154)&gt;=$Z112),$AC112,IF(AND($Y112&lt;&gt;"",EDATE($D112,Milestones!$AA$154)&gt;=$Y112),$AB112,$AA112)))=Milestones!$AB$154),UPPER(TEXT(EDATE($D112,Milestones!$AA$154),"dd mmm yy"))&amp;" "&amp;Milestones!$AB$154&amp;" "&amp;IF(AND(Milestones!$AB$154="FT",Milestones!$AA$154=FT_Y5,EDATE($D112,Milestones!$AA$154)&lt;PolicyEff),1,Milestones!$AC$154)&amp;";  ","")&amp;IF(AND(EDATE($D112,Milestones!$AA$155)&lt;=AsOfDate,EDATE($D112,Milestones!$AA$155)&gt;=SchemeStart,IF($X112=0,$AD112,IF(AND($Z112&lt;&gt;"",EDATE($D112,Milestones!$AA$155)&gt;=$Z112),$AC112,IF(AND($Y112&lt;&gt;"",EDATE($D112,Milestones!$AA$155)&gt;=$Y112),$AB112,$AA112)))=Milestones!$AB$155),UPPER(TEXT(EDATE($D112,Milestones!$AA$155),"dd mmm yy"))&amp;" "&amp;Milestones!$AB$155&amp;" "&amp;IF(AND(Milestones!$AB$155="FT",Milestones!$AA$155=FT_Y5,EDATE($D112,Milestones!$AA$155)&lt;PolicyEff),1,Milestones!$AC$155)&amp;";  ","")&amp;IF(AND(EDATE($D112,Milestones!$AA$156)&lt;=AsOfDate,EDATE($D112,Milestones!$AA$156)&gt;=SchemeStart,IF($X112=0,$AD112,IF(AND($Z112&lt;&gt;"",EDATE($D112,Milestones!$AA$156)&gt;=$Z112),$AC112,IF(AND($Y112&lt;&gt;"",EDATE($D112,Milestones!$AA$156)&gt;=$Y112),$AB112,$AA112)))=Milestones!$AB$156),UPPER(TEXT(EDATE($D112,Milestones!$AA$156),"dd mmm yy"))&amp;" "&amp;Milestones!$AB$156&amp;" "&amp;IF(AND(Milestones!$AB$156="FT",Milestones!$AA$156=FT_Y5,EDATE($D112,Milestones!$AA$156)&lt;PolicyEff),1,Milestones!$AC$156)&amp;";  ","")&amp;IF(AND(EDATE($D112,Milestones!$AA$157)&lt;=AsOfDate,EDATE($D112,Milestones!$AA$157)&gt;=SchemeStart,IF($X112=0,$AD112,IF(AND($Z112&lt;&gt;"",EDATE($D112,Milestones!$AA$157)&gt;=$Z112),$AC112,IF(AND($Y112&lt;&gt;"",EDATE($D112,Milestones!$AA$157)&gt;=$Y112),$AB112,$AA112)))=Milestones!$AB$157),UPPER(TEXT(EDATE($D112,Milestones!$AA$157),"dd mmm yy"))&amp;" "&amp;Milestones!$AB$157&amp;" "&amp;IF(AND(Milestones!$AB$157="FT",Milestones!$AA$157=FT_Y5,EDATE($D112,Milestones!$AA$157)&lt;PolicyEff),1,Milestones!$AC$157)&amp;";  ","")&amp;IF(AND(EDATE($D112,Milestones!$AA$158)&lt;=AsOfDate,EDATE($D112,Milestones!$AA$158)&gt;=SchemeStart,IF($X112=0,$AD112,IF(AND($Z112&lt;&gt;"",EDATE($D112,Milestones!$AA$158)&gt;=$Z112),$AC112,IF(AND($Y112&lt;&gt;"",EDATE($D112,Milestones!$AA$158)&gt;=$Y112),$AB112,$AA112)))=Milestones!$AB$158),UPPER(TEXT(EDATE($D112,Milestones!$AA$158),"dd mmm yy"))&amp;" "&amp;Milestones!$AB$158&amp;" "&amp;IF(AND(Milestones!$AB$158="FT",Milestones!$AA$158=FT_Y5,EDATE($D112,Milestones!$AA$158)&lt;PolicyEff),1,Milestones!$AC$158)&amp;";  ","")&amp;IF(AND(EDATE($D112,Milestones!$AA$159)&lt;=AsOfDate,EDATE($D112,Milestones!$AA$159)&gt;=SchemeStart,IF($X112=0,$AD112,IF(AND($Z112&lt;&gt;"",EDATE($D112,Milestones!$AA$159)&gt;=$Z112),$AC112,IF(AND($Y112&lt;&gt;"",EDATE($D112,Milestones!$AA$159)&gt;=$Y112),$AB112,$AA112)))=Milestones!$AB$159),UPPER(TEXT(EDATE($D112,Milestones!$AA$159),"dd mmm yy"))&amp;" "&amp;Milestones!$AB$159&amp;" "&amp;IF(AND(Milestones!$AB$159="FT",Milestones!$AA$159=FT_Y5,EDATE($D112,Milestones!$AA$159)&lt;PolicyEff),1,Milestones!$AC$159)&amp;";  ","")&amp;IF(AND(EDATE($D112,Milestones!$AA$160)&lt;=AsOfDate,EDATE($D112,Milestones!$AA$160)&gt;=SchemeStart,IF($X112=0,$AD112,IF(AND($Z112&lt;&gt;"",EDATE($D112,Milestones!$AA$160)&gt;=$Z112),$AC112,IF(AND($Y112&lt;&gt;"",EDATE($D112,Milestones!$AA$160)&gt;=$Y112),$AB112,$AA112)))=Milestones!$AB$160),UPPER(TEXT(EDATE($D112,Milestones!$AA$160),"dd mmm yy"))&amp;" "&amp;Milestones!$AB$160&amp;" "&amp;IF(AND(Milestones!$AB$160="FT",Milestones!$AA$160=FT_Y5,EDATE($D112,Milestones!$AA$160)&lt;PolicyEff),1,Milestones!$AC$160)&amp;";  ","")&amp;IF(AND(EDATE($D112,Milestones!$AA$161)&lt;=AsOfDate,EDATE($D112,Milestones!$AA$161)&gt;=SchemeStart,IF($X112=0,$AD112,IF(AND($Z112&lt;&gt;"",EDATE($D112,Milestones!$AA$161)&gt;=$Z112),$AC112,IF(AND($Y112&lt;&gt;"",EDATE($D112,Milestones!$AA$161)&gt;=$Y112),$AB112,$AA112)))=Milestones!$AB$161),UPPER(TEXT(EDATE($D112,Milestones!$AA$161),"dd mmm yy"))&amp;" "&amp;Milestones!$AB$161&amp;" "&amp;IF(AND(Milestones!$AB$161="FT",Milestones!$AA$161=FT_Y5,EDATE($D112,Milestones!$AA$161)&lt;PolicyEff),1,Milestones!$AC$161)&amp;";  ","")&amp;IF(AND(EDATE($D112,Milestones!$AA$162)&lt;=AsOfDate,EDATE($D112,Milestones!$AA$162)&gt;=SchemeStart,IF($X112=0,$AD112,IF(AND($Z112&lt;&gt;"",EDATE($D112,Milestones!$AA$162)&gt;=$Z112),$AC112,IF(AND($Y112&lt;&gt;"",EDATE($D112,Milestones!$AA$162)&gt;=$Y112),$AB112,$AA112)))=Milestones!$AB$162),UPPER(TEXT(EDATE($D112,Milestones!$AA$162),"dd mmm yy"))&amp;" "&amp;Milestones!$AB$162&amp;" "&amp;IF(AND(Milestones!$AB$162="FT",Milestones!$AA$162=FT_Y5,EDATE($D112,Milestones!$AA$162)&lt;PolicyEff),1,Milestones!$AC$162)&amp;";  ","")&amp;IF(AND(EDATE($D112,Milestones!$AA$163)&lt;=AsOfDate,EDATE($D112,Milestones!$AA$163)&gt;=SchemeStart,IF($X112=0,$AD112,IF(AND($Z112&lt;&gt;"",EDATE($D112,Milestones!$AA$163)&gt;=$Z112),$AC112,IF(AND($Y112&lt;&gt;"",EDATE($D112,Milestones!$AA$163)&gt;=$Y112),$AB112,$AA112)))=Milestones!$AB$163),UPPER(TEXT(EDATE($D112,Milestones!$AA$163),"dd mmm yy"))&amp;" "&amp;Milestones!$AB$163&amp;" "&amp;IF(AND(Milestones!$AB$163="FT",Milestones!$AA$163=FT_Y5,EDATE($D112,Milestones!$AA$163)&lt;PolicyEff),1,Milestones!$AC$163)&amp;";  ",""))</f>
        <v/>
      </c>
      <c r="U112" s="0" t="str">
        <f aca="false">IF(OR($A112="",$D112=""),"",IF(AND(EDATE($D112,Milestones!$AA$164)&lt;=AsOfDate,EDATE($D112,Milestones!$AA$164)&gt;=SchemeStart,IF($X112=0,$AD112,IF(AND($Z112&lt;&gt;"",EDATE($D112,Milestones!$AA$164)&gt;=$Z112),$AC112,IF(AND($Y112&lt;&gt;"",EDATE($D112,Milestones!$AA$164)&gt;=$Y112),$AB112,$AA112)))=Milestones!$AB$164),UPPER(TEXT(EDATE($D112,Milestones!$AA$164),"dd mmm yy"))&amp;" "&amp;Milestones!$AB$164&amp;" "&amp;IF(AND(Milestones!$AB$164="FT",Milestones!$AA$164=FT_Y5,EDATE($D112,Milestones!$AA$164)&lt;PolicyEff),1,Milestones!$AC$164)&amp;";  ","")&amp;IF(AND(EDATE($D112,Milestones!$AA$165)&lt;=AsOfDate,EDATE($D112,Milestones!$AA$165)&gt;=SchemeStart,IF($X112=0,$AD112,IF(AND($Z112&lt;&gt;"",EDATE($D112,Milestones!$AA$165)&gt;=$Z112),$AC112,IF(AND($Y112&lt;&gt;"",EDATE($D112,Milestones!$AA$165)&gt;=$Y112),$AB112,$AA112)))=Milestones!$AB$165),UPPER(TEXT(EDATE($D112,Milestones!$AA$165),"dd mmm yy"))&amp;" "&amp;Milestones!$AB$165&amp;" "&amp;IF(AND(Milestones!$AB$165="FT",Milestones!$AA$165=FT_Y5,EDATE($D112,Milestones!$AA$165)&lt;PolicyEff),1,Milestones!$AC$165)&amp;";  ","")&amp;IF(AND(EDATE($D112,Milestones!$AA$166)&lt;=AsOfDate,EDATE($D112,Milestones!$AA$166)&gt;=SchemeStart,IF($X112=0,$AD112,IF(AND($Z112&lt;&gt;"",EDATE($D112,Milestones!$AA$166)&gt;=$Z112),$AC112,IF(AND($Y112&lt;&gt;"",EDATE($D112,Milestones!$AA$166)&gt;=$Y112),$AB112,$AA112)))=Milestones!$AB$166),UPPER(TEXT(EDATE($D112,Milestones!$AA$166),"dd mmm yy"))&amp;" "&amp;Milestones!$AB$166&amp;" "&amp;IF(AND(Milestones!$AB$166="FT",Milestones!$AA$166=FT_Y5,EDATE($D112,Milestones!$AA$166)&lt;PolicyEff),1,Milestones!$AC$166)&amp;";  ","")&amp;IF(AND(EDATE($D112,Milestones!$AA$167)&lt;=AsOfDate,EDATE($D112,Milestones!$AA$167)&gt;=SchemeStart,IF($X112=0,$AD112,IF(AND($Z112&lt;&gt;"",EDATE($D112,Milestones!$AA$167)&gt;=$Z112),$AC112,IF(AND($Y112&lt;&gt;"",EDATE($D112,Milestones!$AA$167)&gt;=$Y112),$AB112,$AA112)))=Milestones!$AB$167),UPPER(TEXT(EDATE($D112,Milestones!$AA$167),"dd mmm yy"))&amp;" "&amp;Milestones!$AB$167&amp;" "&amp;IF(AND(Milestones!$AB$167="FT",Milestones!$AA$167=FT_Y5,EDATE($D112,Milestones!$AA$167)&lt;PolicyEff),1,Milestones!$AC$167)&amp;";  ","")&amp;IF(AND(EDATE($D112,Milestones!$AA$168)&lt;=AsOfDate,EDATE($D112,Milestones!$AA$168)&gt;=SchemeStart,IF($X112=0,$AD112,IF(AND($Z112&lt;&gt;"",EDATE($D112,Milestones!$AA$168)&gt;=$Z112),$AC112,IF(AND($Y112&lt;&gt;"",EDATE($D112,Milestones!$AA$168)&gt;=$Y112),$AB112,$AA112)))=Milestones!$AB$168),UPPER(TEXT(EDATE($D112,Milestones!$AA$168),"dd mmm yy"))&amp;" "&amp;Milestones!$AB$168&amp;" "&amp;IF(AND(Milestones!$AB$168="FT",Milestones!$AA$168=FT_Y5,EDATE($D112,Milestones!$AA$168)&lt;PolicyEff),1,Milestones!$AC$168)&amp;";  ","")&amp;IF(AND(EDATE($D112,Milestones!$AA$169)&lt;=AsOfDate,EDATE($D112,Milestones!$AA$169)&gt;=SchemeStart,IF($X112=0,$AD112,IF(AND($Z112&lt;&gt;"",EDATE($D112,Milestones!$AA$169)&gt;=$Z112),$AC112,IF(AND($Y112&lt;&gt;"",EDATE($D112,Milestones!$AA$169)&gt;=$Y112),$AB112,$AA112)))=Milestones!$AB$169),UPPER(TEXT(EDATE($D112,Milestones!$AA$169),"dd mmm yy"))&amp;" "&amp;Milestones!$AB$169&amp;" "&amp;IF(AND(Milestones!$AB$169="FT",Milestones!$AA$169=FT_Y5,EDATE($D112,Milestones!$AA$169)&lt;PolicyEff),1,Milestones!$AC$169)&amp;";  ","")&amp;IF(AND(EDATE($D112,Milestones!$AA$170)&lt;=AsOfDate,EDATE($D112,Milestones!$AA$170)&gt;=SchemeStart,IF($X112=0,$AD112,IF(AND($Z112&lt;&gt;"",EDATE($D112,Milestones!$AA$170)&gt;=$Z112),$AC112,IF(AND($Y112&lt;&gt;"",EDATE($D112,Milestones!$AA$170)&gt;=$Y112),$AB112,$AA112)))=Milestones!$AB$170),UPPER(TEXT(EDATE($D112,Milestones!$AA$170),"dd mmm yy"))&amp;" "&amp;Milestones!$AB$170&amp;" "&amp;IF(AND(Milestones!$AB$170="FT",Milestones!$AA$170=FT_Y5,EDATE($D112,Milestones!$AA$170)&lt;PolicyEff),1,Milestones!$AC$170)&amp;";  ","")&amp;IF(AND(EDATE($D112,Milestones!$AA$171)&lt;=AsOfDate,EDATE($D112,Milestones!$AA$171)&gt;=SchemeStart,IF($X112=0,$AD112,IF(AND($Z112&lt;&gt;"",EDATE($D112,Milestones!$AA$171)&gt;=$Z112),$AC112,IF(AND($Y112&lt;&gt;"",EDATE($D112,Milestones!$AA$171)&gt;=$Y112),$AB112,$AA112)))=Milestones!$AB$171),UPPER(TEXT(EDATE($D112,Milestones!$AA$171),"dd mmm yy"))&amp;" "&amp;Milestones!$AB$171&amp;" "&amp;IF(AND(Milestones!$AB$171="FT",Milestones!$AA$171=FT_Y5,EDATE($D112,Milestones!$AA$171)&lt;PolicyEff),1,Milestones!$AC$171)&amp;";  ","")&amp;IF(AND(EDATE($D112,Milestones!$AA$172)&lt;=AsOfDate,EDATE($D112,Milestones!$AA$172)&gt;=SchemeStart,IF($X112=0,$AD112,IF(AND($Z112&lt;&gt;"",EDATE($D112,Milestones!$AA$172)&gt;=$Z112),$AC112,IF(AND($Y112&lt;&gt;"",EDATE($D112,Milestones!$AA$172)&gt;=$Y112),$AB112,$AA112)))=Milestones!$AB$172),UPPER(TEXT(EDATE($D112,Milestones!$AA$172),"dd mmm yy"))&amp;" "&amp;Milestones!$AB$172&amp;" "&amp;IF(AND(Milestones!$AB$172="FT",Milestones!$AA$172=FT_Y5,EDATE($D112,Milestones!$AA$172)&lt;PolicyEff),1,Milestones!$AC$172)&amp;";  ","")&amp;IF(AND(EDATE($D112,Milestones!$AA$173)&lt;=AsOfDate,EDATE($D112,Milestones!$AA$173)&gt;=SchemeStart,IF($X112=0,$AD112,IF(AND($Z112&lt;&gt;"",EDATE($D112,Milestones!$AA$173)&gt;=$Z112),$AC112,IF(AND($Y112&lt;&gt;"",EDATE($D112,Milestones!$AA$173)&gt;=$Y112),$AB112,$AA112)))=Milestones!$AB$173),UPPER(TEXT(EDATE($D112,Milestones!$AA$173),"dd mmm yy"))&amp;" "&amp;Milestones!$AB$173&amp;" "&amp;IF(AND(Milestones!$AB$173="FT",Milestones!$AA$173=FT_Y5,EDATE($D112,Milestones!$AA$173)&lt;PolicyEff),1,Milestones!$AC$173)&amp;";  ","")&amp;IF(AND(EDATE($D112,Milestones!$AA$174)&lt;=AsOfDate,EDATE($D112,Milestones!$AA$174)&gt;=SchemeStart,IF($X112=0,$AD112,IF(AND($Z112&lt;&gt;"",EDATE($D112,Milestones!$AA$174)&gt;=$Z112),$AC112,IF(AND($Y112&lt;&gt;"",EDATE($D112,Milestones!$AA$174)&gt;=$Y112),$AB112,$AA112)))=Milestones!$AB$174),UPPER(TEXT(EDATE($D112,Milestones!$AA$174),"dd mmm yy"))&amp;" "&amp;Milestones!$AB$174&amp;" "&amp;IF(AND(Milestones!$AB$174="FT",Milestones!$AA$174=FT_Y5,EDATE($D112,Milestones!$AA$174)&lt;PolicyEff),1,Milestones!$AC$174)&amp;";  ","")&amp;IF(AND(EDATE($D112,Milestones!$AA$175)&lt;=AsOfDate,EDATE($D112,Milestones!$AA$175)&gt;=SchemeStart,IF($X112=0,$AD112,IF(AND($Z112&lt;&gt;"",EDATE($D112,Milestones!$AA$175)&gt;=$Z112),$AC112,IF(AND($Y112&lt;&gt;"",EDATE($D112,Milestones!$AA$175)&gt;=$Y112),$AB112,$AA112)))=Milestones!$AB$175),UPPER(TEXT(EDATE($D112,Milestones!$AA$175),"dd mmm yy"))&amp;" "&amp;Milestones!$AB$175&amp;" "&amp;IF(AND(Milestones!$AB$175="FT",Milestones!$AA$175=FT_Y5,EDATE($D112,Milestones!$AA$175)&lt;PolicyEff),1,Milestones!$AC$175)&amp;";  ",""))</f>
        <v/>
      </c>
      <c r="V112" s="0" t="str">
        <f aca="false">IF(OR($A112="",$D112=""),"",IF(AND(EDATE($D112,Milestones!$AA$176)&lt;=AsOfDate,EDATE($D112,Milestones!$AA$176)&gt;=SchemeStart,IF($X112=0,$AD112,IF(AND($Z112&lt;&gt;"",EDATE($D112,Milestones!$AA$176)&gt;=$Z112),$AC112,IF(AND($Y112&lt;&gt;"",EDATE($D112,Milestones!$AA$176)&gt;=$Y112),$AB112,$AA112)))=Milestones!$AB$176),UPPER(TEXT(EDATE($D112,Milestones!$AA$176),"dd mmm yy"))&amp;" "&amp;Milestones!$AB$176&amp;" "&amp;IF(AND(Milestones!$AB$176="FT",Milestones!$AA$176=FT_Y5,EDATE($D112,Milestones!$AA$176)&lt;PolicyEff),1,Milestones!$AC$176)&amp;";  ","")&amp;IF(AND(EDATE($D112,Milestones!$AA$177)&lt;=AsOfDate,EDATE($D112,Milestones!$AA$177)&gt;=SchemeStart,IF($X112=0,$AD112,IF(AND($Z112&lt;&gt;"",EDATE($D112,Milestones!$AA$177)&gt;=$Z112),$AC112,IF(AND($Y112&lt;&gt;"",EDATE($D112,Milestones!$AA$177)&gt;=$Y112),$AB112,$AA112)))=Milestones!$AB$177),UPPER(TEXT(EDATE($D112,Milestones!$AA$177),"dd mmm yy"))&amp;" "&amp;Milestones!$AB$177&amp;" "&amp;IF(AND(Milestones!$AB$177="FT",Milestones!$AA$177=FT_Y5,EDATE($D112,Milestones!$AA$177)&lt;PolicyEff),1,Milestones!$AC$177)&amp;";  ","")&amp;IF(AND(EDATE($D112,Milestones!$AA$178)&lt;=AsOfDate,EDATE($D112,Milestones!$AA$178)&gt;=SchemeStart,IF($X112=0,$AD112,IF(AND($Z112&lt;&gt;"",EDATE($D112,Milestones!$AA$178)&gt;=$Z112),$AC112,IF(AND($Y112&lt;&gt;"",EDATE($D112,Milestones!$AA$178)&gt;=$Y112),$AB112,$AA112)))=Milestones!$AB$178),UPPER(TEXT(EDATE($D112,Milestones!$AA$178),"dd mmm yy"))&amp;" "&amp;Milestones!$AB$178&amp;" "&amp;IF(AND(Milestones!$AB$178="FT",Milestones!$AA$178=FT_Y5,EDATE($D112,Milestones!$AA$178)&lt;PolicyEff),1,Milestones!$AC$178)&amp;";  ","")&amp;IF(AND(EDATE($D112,Milestones!$AA$179)&lt;=AsOfDate,EDATE($D112,Milestones!$AA$179)&gt;=SchemeStart,IF($X112=0,$AD112,IF(AND($Z112&lt;&gt;"",EDATE($D112,Milestones!$AA$179)&gt;=$Z112),$AC112,IF(AND($Y112&lt;&gt;"",EDATE($D112,Milestones!$AA$179)&gt;=$Y112),$AB112,$AA112)))=Milestones!$AB$179),UPPER(TEXT(EDATE($D112,Milestones!$AA$179),"dd mmm yy"))&amp;" "&amp;Milestones!$AB$179&amp;" "&amp;IF(AND(Milestones!$AB$179="FT",Milestones!$AA$179=FT_Y5,EDATE($D112,Milestones!$AA$179)&lt;PolicyEff),1,Milestones!$AC$179)&amp;";  ","")&amp;IF(AND(EDATE($D112,Milestones!$AA$180)&lt;=AsOfDate,EDATE($D112,Milestones!$AA$180)&gt;=SchemeStart,IF($X112=0,$AD112,IF(AND($Z112&lt;&gt;"",EDATE($D112,Milestones!$AA$180)&gt;=$Z112),$AC112,IF(AND($Y112&lt;&gt;"",EDATE($D112,Milestones!$AA$180)&gt;=$Y112),$AB112,$AA112)))=Milestones!$AB$180),UPPER(TEXT(EDATE($D112,Milestones!$AA$180),"dd mmm yy"))&amp;" "&amp;Milestones!$AB$180&amp;" "&amp;IF(AND(Milestones!$AB$180="FT",Milestones!$AA$180=FT_Y5,EDATE($D112,Milestones!$AA$180)&lt;PolicyEff),1,Milestones!$AC$180)&amp;";  ","")&amp;IF(AND(EDATE($D112,Milestones!$AA$181)&lt;=AsOfDate,EDATE($D112,Milestones!$AA$181)&gt;=SchemeStart,IF($X112=0,$AD112,IF(AND($Z112&lt;&gt;"",EDATE($D112,Milestones!$AA$181)&gt;=$Z112),$AC112,IF(AND($Y112&lt;&gt;"",EDATE($D112,Milestones!$AA$181)&gt;=$Y112),$AB112,$AA112)))=Milestones!$AB$181),UPPER(TEXT(EDATE($D112,Milestones!$AA$181),"dd mmm yy"))&amp;" "&amp;Milestones!$AB$181&amp;" "&amp;IF(AND(Milestones!$AB$181="FT",Milestones!$AA$181=FT_Y5,EDATE($D112,Milestones!$AA$181)&lt;PolicyEff),1,Milestones!$AC$181)&amp;";  ","")&amp;IF(AND(EDATE($D112,Milestones!$AA$182)&lt;=AsOfDate,EDATE($D112,Milestones!$AA$182)&gt;=SchemeStart,IF($X112=0,$AD112,IF(AND($Z112&lt;&gt;"",EDATE($D112,Milestones!$AA$182)&gt;=$Z112),$AC112,IF(AND($Y112&lt;&gt;"",EDATE($D112,Milestones!$AA$182)&gt;=$Y112),$AB112,$AA112)))=Milestones!$AB$182),UPPER(TEXT(EDATE($D112,Milestones!$AA$182),"dd mmm yy"))&amp;" "&amp;Milestones!$AB$182&amp;" "&amp;IF(AND(Milestones!$AB$182="FT",Milestones!$AA$182=FT_Y5,EDATE($D112,Milestones!$AA$182)&lt;PolicyEff),1,Milestones!$AC$182)&amp;";  ","")&amp;IF(AND(EDATE($D112,Milestones!$AA$183)&lt;=AsOfDate,EDATE($D112,Milestones!$AA$183)&gt;=SchemeStart,IF($X112=0,$AD112,IF(AND($Z112&lt;&gt;"",EDATE($D112,Milestones!$AA$183)&gt;=$Z112),$AC112,IF(AND($Y112&lt;&gt;"",EDATE($D112,Milestones!$AA$183)&gt;=$Y112),$AB112,$AA112)))=Milestones!$AB$183),UPPER(TEXT(EDATE($D112,Milestones!$AA$183),"dd mmm yy"))&amp;" "&amp;Milestones!$AB$183&amp;" "&amp;IF(AND(Milestones!$AB$183="FT",Milestones!$AA$183=FT_Y5,EDATE($D112,Milestones!$AA$183)&lt;PolicyEff),1,Milestones!$AC$183)&amp;";  ","")&amp;IF(AND(EDATE($D112,Milestones!$AA$184)&lt;=AsOfDate,EDATE($D112,Milestones!$AA$184)&gt;=SchemeStart,IF($X112=0,$AD112,IF(AND($Z112&lt;&gt;"",EDATE($D112,Milestones!$AA$184)&gt;=$Z112),$AC112,IF(AND($Y112&lt;&gt;"",EDATE($D112,Milestones!$AA$184)&gt;=$Y112),$AB112,$AA112)))=Milestones!$AB$184),UPPER(TEXT(EDATE($D112,Milestones!$AA$184),"dd mmm yy"))&amp;" "&amp;Milestones!$AB$184&amp;" "&amp;IF(AND(Milestones!$AB$184="FT",Milestones!$AA$184=FT_Y5,EDATE($D112,Milestones!$AA$184)&lt;PolicyEff),1,Milestones!$AC$184)&amp;";  ","")&amp;IF(AND(EDATE($D112,Milestones!$AA$185)&lt;=AsOfDate,EDATE($D112,Milestones!$AA$185)&gt;=SchemeStart,IF($X112=0,$AD112,IF(AND($Z112&lt;&gt;"",EDATE($D112,Milestones!$AA$185)&gt;=$Z112),$AC112,IF(AND($Y112&lt;&gt;"",EDATE($D112,Milestones!$AA$185)&gt;=$Y112),$AB112,$AA112)))=Milestones!$AB$185),UPPER(TEXT(EDATE($D112,Milestones!$AA$185),"dd mmm yy"))&amp;" "&amp;Milestones!$AB$185&amp;" "&amp;IF(AND(Milestones!$AB$185="FT",Milestones!$AA$185=FT_Y5,EDATE($D112,Milestones!$AA$185)&lt;PolicyEff),1,Milestones!$AC$185)&amp;";  ","")&amp;IF(AND(EDATE($D112,Milestones!$AA$186)&lt;=AsOfDate,EDATE($D112,Milestones!$AA$186)&gt;=SchemeStart,IF($X112=0,$AD112,IF(AND($Z112&lt;&gt;"",EDATE($D112,Milestones!$AA$186)&gt;=$Z112),$AC112,IF(AND($Y112&lt;&gt;"",EDATE($D112,Milestones!$AA$186)&gt;=$Y112),$AB112,$AA112)))=Milestones!$AB$186),UPPER(TEXT(EDATE($D112,Milestones!$AA$186),"dd mmm yy"))&amp;" "&amp;Milestones!$AB$186&amp;" "&amp;IF(AND(Milestones!$AB$186="FT",Milestones!$AA$186=FT_Y5,EDATE($D112,Milestones!$AA$186)&lt;PolicyEff),1,Milestones!$AC$186)&amp;";  ","")&amp;IF(AND(EDATE($D112,Milestones!$AA$187)&lt;=AsOfDate,EDATE($D112,Milestones!$AA$187)&gt;=SchemeStart,IF($X112=0,$AD112,IF(AND($Z112&lt;&gt;"",EDATE($D112,Milestones!$AA$187)&gt;=$Z112),$AC112,IF(AND($Y112&lt;&gt;"",EDATE($D112,Milestones!$AA$187)&gt;=$Y112),$AB112,$AA112)))=Milestones!$AB$187),UPPER(TEXT(EDATE($D112,Milestones!$AA$187),"dd mmm yy"))&amp;" "&amp;Milestones!$AB$187&amp;" "&amp;IF(AND(Milestones!$AB$187="FT",Milestones!$AA$187=FT_Y5,EDATE($D112,Milestones!$AA$187)&lt;PolicyEff),1,Milestones!$AC$187)&amp;";  ",""))</f>
        <v/>
      </c>
      <c r="W112" s="0" t="str">
        <f aca="false">IF(OR($A112="",$D112=""),"",IF(AND(EDATE($D112,Milestones!$AA$188)&lt;=AsOfDate,EDATE($D112,Milestones!$AA$188)&gt;=SchemeStart,IF($X112=0,$AD112,IF(AND($Z112&lt;&gt;"",EDATE($D112,Milestones!$AA$188)&gt;=$Z112),$AC112,IF(AND($Y112&lt;&gt;"",EDATE($D112,Milestones!$AA$188)&gt;=$Y112),$AB112,$AA112)))=Milestones!$AB$188),UPPER(TEXT(EDATE($D112,Milestones!$AA$188),"dd mmm yy"))&amp;" "&amp;Milestones!$AB$188&amp;" "&amp;IF(AND(Milestones!$AB$188="FT",Milestones!$AA$188=FT_Y5,EDATE($D112,Milestones!$AA$188)&lt;PolicyEff),1,Milestones!$AC$188)&amp;";  ","")&amp;IF(AND(EDATE($D112,Milestones!$AA$189)&lt;=AsOfDate,EDATE($D112,Milestones!$AA$189)&gt;=SchemeStart,IF($X112=0,$AD112,IF(AND($Z112&lt;&gt;"",EDATE($D112,Milestones!$AA$189)&gt;=$Z112),$AC112,IF(AND($Y112&lt;&gt;"",EDATE($D112,Milestones!$AA$189)&gt;=$Y112),$AB112,$AA112)))=Milestones!$AB$189),UPPER(TEXT(EDATE($D112,Milestones!$AA$189),"dd mmm yy"))&amp;" "&amp;Milestones!$AB$189&amp;" "&amp;IF(AND(Milestones!$AB$189="FT",Milestones!$AA$189=FT_Y5,EDATE($D112,Milestones!$AA$189)&lt;PolicyEff),1,Milestones!$AC$189)&amp;";  ","")&amp;IF(AND(EDATE($D112,Milestones!$AA$190)&lt;=AsOfDate,EDATE($D112,Milestones!$AA$190)&gt;=SchemeStart,IF($X112=0,$AD112,IF(AND($Z112&lt;&gt;"",EDATE($D112,Milestones!$AA$190)&gt;=$Z112),$AC112,IF(AND($Y112&lt;&gt;"",EDATE($D112,Milestones!$AA$190)&gt;=$Y112),$AB112,$AA112)))=Milestones!$AB$190),UPPER(TEXT(EDATE($D112,Milestones!$AA$190),"dd mmm yy"))&amp;" "&amp;Milestones!$AB$190&amp;" "&amp;IF(AND(Milestones!$AB$190="FT",Milestones!$AA$190=FT_Y5,EDATE($D112,Milestones!$AA$190)&lt;PolicyEff),1,Milestones!$AC$190)&amp;";  ","")&amp;IF(AND(EDATE($D112,Milestones!$AA$191)&lt;=AsOfDate,EDATE($D112,Milestones!$AA$191)&gt;=SchemeStart,IF($X112=0,$AD112,IF(AND($Z112&lt;&gt;"",EDATE($D112,Milestones!$AA$191)&gt;=$Z112),$AC112,IF(AND($Y112&lt;&gt;"",EDATE($D112,Milestones!$AA$191)&gt;=$Y112),$AB112,$AA112)))=Milestones!$AB$191),UPPER(TEXT(EDATE($D112,Milestones!$AA$191),"dd mmm yy"))&amp;" "&amp;Milestones!$AB$191&amp;" "&amp;IF(AND(Milestones!$AB$191="FT",Milestones!$AA$191=FT_Y5,EDATE($D112,Milestones!$AA$191)&lt;PolicyEff),1,Milestones!$AC$191)&amp;";  ","")&amp;IF(AND(EDATE($D112,Milestones!$AA$192)&lt;=AsOfDate,EDATE($D112,Milestones!$AA$192)&gt;=SchemeStart,IF($X112=0,$AD112,IF(AND($Z112&lt;&gt;"",EDATE($D112,Milestones!$AA$192)&gt;=$Z112),$AC112,IF(AND($Y112&lt;&gt;"",EDATE($D112,Milestones!$AA$192)&gt;=$Y112),$AB112,$AA112)))=Milestones!$AB$192),UPPER(TEXT(EDATE($D112,Milestones!$AA$192),"dd mmm yy"))&amp;" "&amp;Milestones!$AB$192&amp;" "&amp;IF(AND(Milestones!$AB$192="FT",Milestones!$AA$192=FT_Y5,EDATE($D112,Milestones!$AA$192)&lt;PolicyEff),1,Milestones!$AC$192)&amp;";  ","")&amp;IF(AND(EDATE($D112,Milestones!$AA$193)&lt;=AsOfDate,EDATE($D112,Milestones!$AA$193)&gt;=SchemeStart,IF($X112=0,$AD112,IF(AND($Z112&lt;&gt;"",EDATE($D112,Milestones!$AA$193)&gt;=$Z112),$AC112,IF(AND($Y112&lt;&gt;"",EDATE($D112,Milestones!$AA$193)&gt;=$Y112),$AB112,$AA112)))=Milestones!$AB$193),UPPER(TEXT(EDATE($D112,Milestones!$AA$193),"dd mmm yy"))&amp;" "&amp;Milestones!$AB$193&amp;" "&amp;IF(AND(Milestones!$AB$193="FT",Milestones!$AA$193=FT_Y5,EDATE($D112,Milestones!$AA$193)&lt;PolicyEff),1,Milestones!$AC$193)&amp;";  ","")&amp;IF(AND(EDATE($D112,Milestones!$AA$194)&lt;=AsOfDate,EDATE($D112,Milestones!$AA$194)&gt;=SchemeStart,IF($X112=0,$AD112,IF(AND($Z112&lt;&gt;"",EDATE($D112,Milestones!$AA$194)&gt;=$Z112),$AC112,IF(AND($Y112&lt;&gt;"",EDATE($D112,Milestones!$AA$194)&gt;=$Y112),$AB112,$AA112)))=Milestones!$AB$194),UPPER(TEXT(EDATE($D112,Milestones!$AA$194),"dd mmm yy"))&amp;" "&amp;Milestones!$AB$194&amp;" "&amp;IF(AND(Milestones!$AB$194="FT",Milestones!$AA$194=FT_Y5,EDATE($D112,Milestones!$AA$194)&lt;PolicyEff),1,Milestones!$AC$194)&amp;";  ","")&amp;IF(AND(EDATE($D112,Milestones!$AA$195)&lt;=AsOfDate,EDATE($D112,Milestones!$AA$195)&gt;=SchemeStart,IF($X112=0,$AD112,IF(AND($Z112&lt;&gt;"",EDATE($D112,Milestones!$AA$195)&gt;=$Z112),$AC112,IF(AND($Y112&lt;&gt;"",EDATE($D112,Milestones!$AA$195)&gt;=$Y112),$AB112,$AA112)))=Milestones!$AB$195),UPPER(TEXT(EDATE($D112,Milestones!$AA$195),"dd mmm yy"))&amp;" "&amp;Milestones!$AB$195&amp;" "&amp;IF(AND(Milestones!$AB$195="FT",Milestones!$AA$195=FT_Y5,EDATE($D112,Milestones!$AA$195)&lt;PolicyEff),1,Milestones!$AC$195)&amp;";  ","")&amp;IF(AND(EDATE($D112,Milestones!$AA$196)&lt;=AsOfDate,EDATE($D112,Milestones!$AA$196)&gt;=SchemeStart,IF($X112=0,$AD112,IF(AND($Z112&lt;&gt;"",EDATE($D112,Milestones!$AA$196)&gt;=$Z112),$AC112,IF(AND($Y112&lt;&gt;"",EDATE($D112,Milestones!$AA$196)&gt;=$Y112),$AB112,$AA112)))=Milestones!$AB$196),UPPER(TEXT(EDATE($D112,Milestones!$AA$196),"dd mmm yy"))&amp;" "&amp;Milestones!$AB$196&amp;" "&amp;IF(AND(Milestones!$AB$196="FT",Milestones!$AA$196=FT_Y5,EDATE($D112,Milestones!$AA$196)&lt;PolicyEff),1,Milestones!$AC$196)&amp;";  ","")&amp;IF(AND(EDATE($D112,Milestones!$AA$197)&lt;=AsOfDate,EDATE($D112,Milestones!$AA$197)&gt;=SchemeStart,IF($X112=0,$AD112,IF(AND($Z112&lt;&gt;"",EDATE($D112,Milestones!$AA$197)&gt;=$Z112),$AC112,IF(AND($Y112&lt;&gt;"",EDATE($D112,Milestones!$AA$197)&gt;=$Y112),$AB112,$AA112)))=Milestones!$AB$197),UPPER(TEXT(EDATE($D112,Milestones!$AA$197),"dd mmm yy"))&amp;" "&amp;Milestones!$AB$197&amp;" "&amp;IF(AND(Milestones!$AB$197="FT",Milestones!$AA$197=FT_Y5,EDATE($D112,Milestones!$AA$197)&lt;PolicyEff),1,Milestones!$AC$197)&amp;";  ","")&amp;IF(AND(EDATE($D112,Milestones!$AA$198)&lt;=AsOfDate,EDATE($D112,Milestones!$AA$198)&gt;=SchemeStart,IF($X112=0,$AD112,IF(AND($Z112&lt;&gt;"",EDATE($D112,Milestones!$AA$198)&gt;=$Z112),$AC112,IF(AND($Y112&lt;&gt;"",EDATE($D112,Milestones!$AA$198)&gt;=$Y112),$AB112,$AA112)))=Milestones!$AB$198),UPPER(TEXT(EDATE($D112,Milestones!$AA$198),"dd mmm yy"))&amp;" "&amp;Milestones!$AB$198&amp;" "&amp;IF(AND(Milestones!$AB$198="FT",Milestones!$AA$198=FT_Y5,EDATE($D112,Milestones!$AA$198)&lt;PolicyEff),1,Milestones!$AC$198)&amp;";  ","")&amp;IF(AND(EDATE($D112,Milestones!$AA$199)&lt;=AsOfDate,EDATE($D112,Milestones!$AA$199)&gt;=SchemeStart,IF($X112=0,$AD112,IF(AND($Z112&lt;&gt;"",EDATE($D112,Milestones!$AA$199)&gt;=$Z112),$AC112,IF(AND($Y112&lt;&gt;"",EDATE($D112,Milestones!$AA$199)&gt;=$Y112),$AB112,$AA112)))=Milestones!$AB$199),UPPER(TEXT(EDATE($D112,Milestones!$AA$199),"dd mmm yy"))&amp;" "&amp;Milestones!$AB$199&amp;" "&amp;IF(AND(Milestones!$AB$199="FT",Milestones!$AA$199=FT_Y5,EDATE($D112,Milestones!$AA$199)&lt;PolicyEff),1,Milestones!$AC$199)&amp;";  ",""))</f>
        <v/>
      </c>
      <c r="X112" s="0" t="str">
        <f aca="false">IF(Staff!$A112="","",Staff!$AM112)</f>
        <v/>
      </c>
      <c r="Y112" s="0" t="str">
        <f aca="false">IF(Staff!$A112="","",Staff!$AO112)</f>
        <v/>
      </c>
      <c r="Z112" s="0" t="str">
        <f aca="false">IF(Staff!$A112="","",Staff!$AP112)</f>
        <v/>
      </c>
      <c r="AA112" s="0" t="str">
        <f aca="false">IF(Staff!$A112="","",Staff!$AT112)</f>
        <v/>
      </c>
      <c r="AB112" s="0" t="str">
        <f aca="false">IF(Staff!$A112="","",Staff!$AU112)</f>
        <v/>
      </c>
      <c r="AC112" s="0" t="str">
        <f aca="false">IF(Staff!$A112="","",Staff!$AV112)</f>
        <v/>
      </c>
      <c r="AD112" s="0" t="str">
        <f aca="false">IF(Staff!$A112="","",Staff!$AW112)</f>
        <v/>
      </c>
    </row>
    <row r="113" customFormat="false" ht="15" hidden="false" customHeight="false" outlineLevel="0" collapsed="false">
      <c r="A113" s="16" t="str">
        <f aca="false">IF(Staff!$A113="","",Staff!$A113)</f>
        <v/>
      </c>
      <c r="B113" s="16" t="str">
        <f aca="false">IF(Staff!$A113="","",Staff!$B113)</f>
        <v/>
      </c>
      <c r="C113" s="16" t="str">
        <f aca="false">IF(Staff!$A113="","",Staff!$C113)</f>
        <v/>
      </c>
      <c r="D113" s="14" t="str">
        <f aca="false">IF(Staff!$A113="","",Staff!$AL113)</f>
        <v/>
      </c>
      <c r="E113" s="16" t="str">
        <f aca="false">IF(Staff!$A113="","",Staff!$O113)</f>
        <v/>
      </c>
      <c r="F113" s="16" t="str">
        <f aca="false">IF(E113="","",E113*HoursPerDay)</f>
        <v/>
      </c>
      <c r="G113" s="16" t="str">
        <f aca="false">IF(Staff!$A113="","",Staff!$AE113)</f>
        <v/>
      </c>
      <c r="H113" s="28" t="str">
        <f aca="false">IF($A113="","",I113&amp;J113&amp;K113&amp;L113&amp;M113&amp;N113&amp;O113&amp;P113&amp;Q113&amp;R113&amp;S113&amp;T113&amp;U113&amp;V113&amp;W113)</f>
        <v/>
      </c>
      <c r="I113" s="0" t="str">
        <f aca="false">IF(OR($A113="",$D113=""),"",IF(AND(EDATE($D113,Milestones!$AA$20)&lt;=AsOfDate,EDATE($D113,Milestones!$AA$20)&gt;=SchemeStart,IF($X113=0,$AD113,IF(AND($Z113&lt;&gt;"",EDATE($D113,Milestones!$AA$20)&gt;=$Z113),$AC113,IF(AND($Y113&lt;&gt;"",EDATE($D113,Milestones!$AA$20)&gt;=$Y113),$AB113,$AA113)))=Milestones!$AB$20),UPPER(TEXT(EDATE($D113,Milestones!$AA$20),"dd mmm yy"))&amp;" "&amp;Milestones!$AB$20&amp;" "&amp;IF(AND(Milestones!$AB$20="FT",Milestones!$AA$20=FT_Y5,EDATE($D113,Milestones!$AA$20)&lt;PolicyEff),1,Milestones!$AC$20)&amp;";  ","")&amp;IF(AND(EDATE($D113,Milestones!$AA$21)&lt;=AsOfDate,EDATE($D113,Milestones!$AA$21)&gt;=SchemeStart,IF($X113=0,$AD113,IF(AND($Z113&lt;&gt;"",EDATE($D113,Milestones!$AA$21)&gt;=$Z113),$AC113,IF(AND($Y113&lt;&gt;"",EDATE($D113,Milestones!$AA$21)&gt;=$Y113),$AB113,$AA113)))=Milestones!$AB$21),UPPER(TEXT(EDATE($D113,Milestones!$AA$21),"dd mmm yy"))&amp;" "&amp;Milestones!$AB$21&amp;" "&amp;IF(AND(Milestones!$AB$21="FT",Milestones!$AA$21=FT_Y5,EDATE($D113,Milestones!$AA$21)&lt;PolicyEff),1,Milestones!$AC$21)&amp;";  ","")&amp;IF(AND(EDATE($D113,Milestones!$AA$22)&lt;=AsOfDate,EDATE($D113,Milestones!$AA$22)&gt;=SchemeStart,IF($X113=0,$AD113,IF(AND($Z113&lt;&gt;"",EDATE($D113,Milestones!$AA$22)&gt;=$Z113),$AC113,IF(AND($Y113&lt;&gt;"",EDATE($D113,Milestones!$AA$22)&gt;=$Y113),$AB113,$AA113)))=Milestones!$AB$22),UPPER(TEXT(EDATE($D113,Milestones!$AA$22),"dd mmm yy"))&amp;" "&amp;Milestones!$AB$22&amp;" "&amp;IF(AND(Milestones!$AB$22="FT",Milestones!$AA$22=FT_Y5,EDATE($D113,Milestones!$AA$22)&lt;PolicyEff),1,Milestones!$AC$22)&amp;";  ","")&amp;IF(AND(EDATE($D113,Milestones!$AA$23)&lt;=AsOfDate,EDATE($D113,Milestones!$AA$23)&gt;=SchemeStart,IF($X113=0,$AD113,IF(AND($Z113&lt;&gt;"",EDATE($D113,Milestones!$AA$23)&gt;=$Z113),$AC113,IF(AND($Y113&lt;&gt;"",EDATE($D113,Milestones!$AA$23)&gt;=$Y113),$AB113,$AA113)))=Milestones!$AB$23),UPPER(TEXT(EDATE($D113,Milestones!$AA$23),"dd mmm yy"))&amp;" "&amp;Milestones!$AB$23&amp;" "&amp;IF(AND(Milestones!$AB$23="FT",Milestones!$AA$23=FT_Y5,EDATE($D113,Milestones!$AA$23)&lt;PolicyEff),1,Milestones!$AC$23)&amp;";  ","")&amp;IF(AND(EDATE($D113,Milestones!$AA$24)&lt;=AsOfDate,EDATE($D113,Milestones!$AA$24)&gt;=SchemeStart,IF($X113=0,$AD113,IF(AND($Z113&lt;&gt;"",EDATE($D113,Milestones!$AA$24)&gt;=$Z113),$AC113,IF(AND($Y113&lt;&gt;"",EDATE($D113,Milestones!$AA$24)&gt;=$Y113),$AB113,$AA113)))=Milestones!$AB$24),UPPER(TEXT(EDATE($D113,Milestones!$AA$24),"dd mmm yy"))&amp;" "&amp;Milestones!$AB$24&amp;" "&amp;IF(AND(Milestones!$AB$24="FT",Milestones!$AA$24=FT_Y5,EDATE($D113,Milestones!$AA$24)&lt;PolicyEff),1,Milestones!$AC$24)&amp;";  ","")&amp;IF(AND(EDATE($D113,Milestones!$AA$25)&lt;=AsOfDate,EDATE($D113,Milestones!$AA$25)&gt;=SchemeStart,IF($X113=0,$AD113,IF(AND($Z113&lt;&gt;"",EDATE($D113,Milestones!$AA$25)&gt;=$Z113),$AC113,IF(AND($Y113&lt;&gt;"",EDATE($D113,Milestones!$AA$25)&gt;=$Y113),$AB113,$AA113)))=Milestones!$AB$25),UPPER(TEXT(EDATE($D113,Milestones!$AA$25),"dd mmm yy"))&amp;" "&amp;Milestones!$AB$25&amp;" "&amp;IF(AND(Milestones!$AB$25="FT",Milestones!$AA$25=FT_Y5,EDATE($D113,Milestones!$AA$25)&lt;PolicyEff),1,Milestones!$AC$25)&amp;";  ","")&amp;IF(AND(EDATE($D113,Milestones!$AA$26)&lt;=AsOfDate,EDATE($D113,Milestones!$AA$26)&gt;=SchemeStart,IF($X113=0,$AD113,IF(AND($Z113&lt;&gt;"",EDATE($D113,Milestones!$AA$26)&gt;=$Z113),$AC113,IF(AND($Y113&lt;&gt;"",EDATE($D113,Milestones!$AA$26)&gt;=$Y113),$AB113,$AA113)))=Milestones!$AB$26),UPPER(TEXT(EDATE($D113,Milestones!$AA$26),"dd mmm yy"))&amp;" "&amp;Milestones!$AB$26&amp;" "&amp;IF(AND(Milestones!$AB$26="FT",Milestones!$AA$26=FT_Y5,EDATE($D113,Milestones!$AA$26)&lt;PolicyEff),1,Milestones!$AC$26)&amp;";  ","")&amp;IF(AND(EDATE($D113,Milestones!$AA$27)&lt;=AsOfDate,EDATE($D113,Milestones!$AA$27)&gt;=SchemeStart,IF($X113=0,$AD113,IF(AND($Z113&lt;&gt;"",EDATE($D113,Milestones!$AA$27)&gt;=$Z113),$AC113,IF(AND($Y113&lt;&gt;"",EDATE($D113,Milestones!$AA$27)&gt;=$Y113),$AB113,$AA113)))=Milestones!$AB$27),UPPER(TEXT(EDATE($D113,Milestones!$AA$27),"dd mmm yy"))&amp;" "&amp;Milestones!$AB$27&amp;" "&amp;IF(AND(Milestones!$AB$27="FT",Milestones!$AA$27=FT_Y5,EDATE($D113,Milestones!$AA$27)&lt;PolicyEff),1,Milestones!$AC$27)&amp;";  ","")&amp;IF(AND(EDATE($D113,Milestones!$AA$28)&lt;=AsOfDate,EDATE($D113,Milestones!$AA$28)&gt;=SchemeStart,IF($X113=0,$AD113,IF(AND($Z113&lt;&gt;"",EDATE($D113,Milestones!$AA$28)&gt;=$Z113),$AC113,IF(AND($Y113&lt;&gt;"",EDATE($D113,Milestones!$AA$28)&gt;=$Y113),$AB113,$AA113)))=Milestones!$AB$28),UPPER(TEXT(EDATE($D113,Milestones!$AA$28),"dd mmm yy"))&amp;" "&amp;Milestones!$AB$28&amp;" "&amp;IF(AND(Milestones!$AB$28="FT",Milestones!$AA$28=FT_Y5,EDATE($D113,Milestones!$AA$28)&lt;PolicyEff),1,Milestones!$AC$28)&amp;";  ","")&amp;IF(AND(EDATE($D113,Milestones!$AA$29)&lt;=AsOfDate,EDATE($D113,Milestones!$AA$29)&gt;=SchemeStart,IF($X113=0,$AD113,IF(AND($Z113&lt;&gt;"",EDATE($D113,Milestones!$AA$29)&gt;=$Z113),$AC113,IF(AND($Y113&lt;&gt;"",EDATE($D113,Milestones!$AA$29)&gt;=$Y113),$AB113,$AA113)))=Milestones!$AB$29),UPPER(TEXT(EDATE($D113,Milestones!$AA$29),"dd mmm yy"))&amp;" "&amp;Milestones!$AB$29&amp;" "&amp;IF(AND(Milestones!$AB$29="FT",Milestones!$AA$29=FT_Y5,EDATE($D113,Milestones!$AA$29)&lt;PolicyEff),1,Milestones!$AC$29)&amp;";  ","")&amp;IF(AND(EDATE($D113,Milestones!$AA$30)&lt;=AsOfDate,EDATE($D113,Milestones!$AA$30)&gt;=SchemeStart,IF($X113=0,$AD113,IF(AND($Z113&lt;&gt;"",EDATE($D113,Milestones!$AA$30)&gt;=$Z113),$AC113,IF(AND($Y113&lt;&gt;"",EDATE($D113,Milestones!$AA$30)&gt;=$Y113),$AB113,$AA113)))=Milestones!$AB$30),UPPER(TEXT(EDATE($D113,Milestones!$AA$30),"dd mmm yy"))&amp;" "&amp;Milestones!$AB$30&amp;" "&amp;IF(AND(Milestones!$AB$30="FT",Milestones!$AA$30=FT_Y5,EDATE($D113,Milestones!$AA$30)&lt;PolicyEff),1,Milestones!$AC$30)&amp;";  ","")&amp;IF(AND(EDATE($D113,Milestones!$AA$31)&lt;=AsOfDate,EDATE($D113,Milestones!$AA$31)&gt;=SchemeStart,IF($X113=0,$AD113,IF(AND($Z113&lt;&gt;"",EDATE($D113,Milestones!$AA$31)&gt;=$Z113),$AC113,IF(AND($Y113&lt;&gt;"",EDATE($D113,Milestones!$AA$31)&gt;=$Y113),$AB113,$AA113)))=Milestones!$AB$31),UPPER(TEXT(EDATE($D113,Milestones!$AA$31),"dd mmm yy"))&amp;" "&amp;Milestones!$AB$31&amp;" "&amp;IF(AND(Milestones!$AB$31="FT",Milestones!$AA$31=FT_Y5,EDATE($D113,Milestones!$AA$31)&lt;PolicyEff),1,Milestones!$AC$31)&amp;";  ",""))</f>
        <v/>
      </c>
      <c r="J113" s="0" t="str">
        <f aca="false">IF(OR($A113="",$D113=""),"",IF(AND(EDATE($D113,Milestones!$AA$32)&lt;=AsOfDate,EDATE($D113,Milestones!$AA$32)&gt;=SchemeStart,IF($X113=0,$AD113,IF(AND($Z113&lt;&gt;"",EDATE($D113,Milestones!$AA$32)&gt;=$Z113),$AC113,IF(AND($Y113&lt;&gt;"",EDATE($D113,Milestones!$AA$32)&gt;=$Y113),$AB113,$AA113)))=Milestones!$AB$32),UPPER(TEXT(EDATE($D113,Milestones!$AA$32),"dd mmm yy"))&amp;" "&amp;Milestones!$AB$32&amp;" "&amp;IF(AND(Milestones!$AB$32="FT",Milestones!$AA$32=FT_Y5,EDATE($D113,Milestones!$AA$32)&lt;PolicyEff),1,Milestones!$AC$32)&amp;";  ","")&amp;IF(AND(EDATE($D113,Milestones!$AA$33)&lt;=AsOfDate,EDATE($D113,Milestones!$AA$33)&gt;=SchemeStart,IF($X113=0,$AD113,IF(AND($Z113&lt;&gt;"",EDATE($D113,Milestones!$AA$33)&gt;=$Z113),$AC113,IF(AND($Y113&lt;&gt;"",EDATE($D113,Milestones!$AA$33)&gt;=$Y113),$AB113,$AA113)))=Milestones!$AB$33),UPPER(TEXT(EDATE($D113,Milestones!$AA$33),"dd mmm yy"))&amp;" "&amp;Milestones!$AB$33&amp;" "&amp;IF(AND(Milestones!$AB$33="FT",Milestones!$AA$33=FT_Y5,EDATE($D113,Milestones!$AA$33)&lt;PolicyEff),1,Milestones!$AC$33)&amp;";  ","")&amp;IF(AND(EDATE($D113,Milestones!$AA$34)&lt;=AsOfDate,EDATE($D113,Milestones!$AA$34)&gt;=SchemeStart,IF($X113=0,$AD113,IF(AND($Z113&lt;&gt;"",EDATE($D113,Milestones!$AA$34)&gt;=$Z113),$AC113,IF(AND($Y113&lt;&gt;"",EDATE($D113,Milestones!$AA$34)&gt;=$Y113),$AB113,$AA113)))=Milestones!$AB$34),UPPER(TEXT(EDATE($D113,Milestones!$AA$34),"dd mmm yy"))&amp;" "&amp;Milestones!$AB$34&amp;" "&amp;IF(AND(Milestones!$AB$34="FT",Milestones!$AA$34=FT_Y5,EDATE($D113,Milestones!$AA$34)&lt;PolicyEff),1,Milestones!$AC$34)&amp;";  ","")&amp;IF(AND(EDATE($D113,Milestones!$AA$35)&lt;=AsOfDate,EDATE($D113,Milestones!$AA$35)&gt;=SchemeStart,IF($X113=0,$AD113,IF(AND($Z113&lt;&gt;"",EDATE($D113,Milestones!$AA$35)&gt;=$Z113),$AC113,IF(AND($Y113&lt;&gt;"",EDATE($D113,Milestones!$AA$35)&gt;=$Y113),$AB113,$AA113)))=Milestones!$AB$35),UPPER(TEXT(EDATE($D113,Milestones!$AA$35),"dd mmm yy"))&amp;" "&amp;Milestones!$AB$35&amp;" "&amp;IF(AND(Milestones!$AB$35="FT",Milestones!$AA$35=FT_Y5,EDATE($D113,Milestones!$AA$35)&lt;PolicyEff),1,Milestones!$AC$35)&amp;";  ","")&amp;IF(AND(EDATE($D113,Milestones!$AA$36)&lt;=AsOfDate,EDATE($D113,Milestones!$AA$36)&gt;=SchemeStart,IF($X113=0,$AD113,IF(AND($Z113&lt;&gt;"",EDATE($D113,Milestones!$AA$36)&gt;=$Z113),$AC113,IF(AND($Y113&lt;&gt;"",EDATE($D113,Milestones!$AA$36)&gt;=$Y113),$AB113,$AA113)))=Milestones!$AB$36),UPPER(TEXT(EDATE($D113,Milestones!$AA$36),"dd mmm yy"))&amp;" "&amp;Milestones!$AB$36&amp;" "&amp;IF(AND(Milestones!$AB$36="FT",Milestones!$AA$36=FT_Y5,EDATE($D113,Milestones!$AA$36)&lt;PolicyEff),1,Milestones!$AC$36)&amp;";  ","")&amp;IF(AND(EDATE($D113,Milestones!$AA$37)&lt;=AsOfDate,EDATE($D113,Milestones!$AA$37)&gt;=SchemeStart,IF($X113=0,$AD113,IF(AND($Z113&lt;&gt;"",EDATE($D113,Milestones!$AA$37)&gt;=$Z113),$AC113,IF(AND($Y113&lt;&gt;"",EDATE($D113,Milestones!$AA$37)&gt;=$Y113),$AB113,$AA113)))=Milestones!$AB$37),UPPER(TEXT(EDATE($D113,Milestones!$AA$37),"dd mmm yy"))&amp;" "&amp;Milestones!$AB$37&amp;" "&amp;IF(AND(Milestones!$AB$37="FT",Milestones!$AA$37=FT_Y5,EDATE($D113,Milestones!$AA$37)&lt;PolicyEff),1,Milestones!$AC$37)&amp;";  ","")&amp;IF(AND(EDATE($D113,Milestones!$AA$38)&lt;=AsOfDate,EDATE($D113,Milestones!$AA$38)&gt;=SchemeStart,IF($X113=0,$AD113,IF(AND($Z113&lt;&gt;"",EDATE($D113,Milestones!$AA$38)&gt;=$Z113),$AC113,IF(AND($Y113&lt;&gt;"",EDATE($D113,Milestones!$AA$38)&gt;=$Y113),$AB113,$AA113)))=Milestones!$AB$38),UPPER(TEXT(EDATE($D113,Milestones!$AA$38),"dd mmm yy"))&amp;" "&amp;Milestones!$AB$38&amp;" "&amp;IF(AND(Milestones!$AB$38="FT",Milestones!$AA$38=FT_Y5,EDATE($D113,Milestones!$AA$38)&lt;PolicyEff),1,Milestones!$AC$38)&amp;";  ","")&amp;IF(AND(EDATE($D113,Milestones!$AA$39)&lt;=AsOfDate,EDATE($D113,Milestones!$AA$39)&gt;=SchemeStart,IF($X113=0,$AD113,IF(AND($Z113&lt;&gt;"",EDATE($D113,Milestones!$AA$39)&gt;=$Z113),$AC113,IF(AND($Y113&lt;&gt;"",EDATE($D113,Milestones!$AA$39)&gt;=$Y113),$AB113,$AA113)))=Milestones!$AB$39),UPPER(TEXT(EDATE($D113,Milestones!$AA$39),"dd mmm yy"))&amp;" "&amp;Milestones!$AB$39&amp;" "&amp;IF(AND(Milestones!$AB$39="FT",Milestones!$AA$39=FT_Y5,EDATE($D113,Milestones!$AA$39)&lt;PolicyEff),1,Milestones!$AC$39)&amp;";  ","")&amp;IF(AND(EDATE($D113,Milestones!$AA$40)&lt;=AsOfDate,EDATE($D113,Milestones!$AA$40)&gt;=SchemeStart,IF($X113=0,$AD113,IF(AND($Z113&lt;&gt;"",EDATE($D113,Milestones!$AA$40)&gt;=$Z113),$AC113,IF(AND($Y113&lt;&gt;"",EDATE($D113,Milestones!$AA$40)&gt;=$Y113),$AB113,$AA113)))=Milestones!$AB$40),UPPER(TEXT(EDATE($D113,Milestones!$AA$40),"dd mmm yy"))&amp;" "&amp;Milestones!$AB$40&amp;" "&amp;IF(AND(Milestones!$AB$40="FT",Milestones!$AA$40=FT_Y5,EDATE($D113,Milestones!$AA$40)&lt;PolicyEff),1,Milestones!$AC$40)&amp;";  ","")&amp;IF(AND(EDATE($D113,Milestones!$AA$41)&lt;=AsOfDate,EDATE($D113,Milestones!$AA$41)&gt;=SchemeStart,IF($X113=0,$AD113,IF(AND($Z113&lt;&gt;"",EDATE($D113,Milestones!$AA$41)&gt;=$Z113),$AC113,IF(AND($Y113&lt;&gt;"",EDATE($D113,Milestones!$AA$41)&gt;=$Y113),$AB113,$AA113)))=Milestones!$AB$41),UPPER(TEXT(EDATE($D113,Milestones!$AA$41),"dd mmm yy"))&amp;" "&amp;Milestones!$AB$41&amp;" "&amp;IF(AND(Milestones!$AB$41="FT",Milestones!$AA$41=FT_Y5,EDATE($D113,Milestones!$AA$41)&lt;PolicyEff),1,Milestones!$AC$41)&amp;";  ","")&amp;IF(AND(EDATE($D113,Milestones!$AA$42)&lt;=AsOfDate,EDATE($D113,Milestones!$AA$42)&gt;=SchemeStart,IF($X113=0,$AD113,IF(AND($Z113&lt;&gt;"",EDATE($D113,Milestones!$AA$42)&gt;=$Z113),$AC113,IF(AND($Y113&lt;&gt;"",EDATE($D113,Milestones!$AA$42)&gt;=$Y113),$AB113,$AA113)))=Milestones!$AB$42),UPPER(TEXT(EDATE($D113,Milestones!$AA$42),"dd mmm yy"))&amp;" "&amp;Milestones!$AB$42&amp;" "&amp;IF(AND(Milestones!$AB$42="FT",Milestones!$AA$42=FT_Y5,EDATE($D113,Milestones!$AA$42)&lt;PolicyEff),1,Milestones!$AC$42)&amp;";  ","")&amp;IF(AND(EDATE($D113,Milestones!$AA$43)&lt;=AsOfDate,EDATE($D113,Milestones!$AA$43)&gt;=SchemeStart,IF($X113=0,$AD113,IF(AND($Z113&lt;&gt;"",EDATE($D113,Milestones!$AA$43)&gt;=$Z113),$AC113,IF(AND($Y113&lt;&gt;"",EDATE($D113,Milestones!$AA$43)&gt;=$Y113),$AB113,$AA113)))=Milestones!$AB$43),UPPER(TEXT(EDATE($D113,Milestones!$AA$43),"dd mmm yy"))&amp;" "&amp;Milestones!$AB$43&amp;" "&amp;IF(AND(Milestones!$AB$43="FT",Milestones!$AA$43=FT_Y5,EDATE($D113,Milestones!$AA$43)&lt;PolicyEff),1,Milestones!$AC$43)&amp;";  ",""))</f>
        <v/>
      </c>
      <c r="K113" s="0" t="str">
        <f aca="false">IF(OR($A113="",$D113=""),"",IF(AND(EDATE($D113,Milestones!$AA$44)&lt;=AsOfDate,EDATE($D113,Milestones!$AA$44)&gt;=SchemeStart,IF($X113=0,$AD113,IF(AND($Z113&lt;&gt;"",EDATE($D113,Milestones!$AA$44)&gt;=$Z113),$AC113,IF(AND($Y113&lt;&gt;"",EDATE($D113,Milestones!$AA$44)&gt;=$Y113),$AB113,$AA113)))=Milestones!$AB$44),UPPER(TEXT(EDATE($D113,Milestones!$AA$44),"dd mmm yy"))&amp;" "&amp;Milestones!$AB$44&amp;" "&amp;IF(AND(Milestones!$AB$44="FT",Milestones!$AA$44=FT_Y5,EDATE($D113,Milestones!$AA$44)&lt;PolicyEff),1,Milestones!$AC$44)&amp;";  ","")&amp;IF(AND(EDATE($D113,Milestones!$AA$45)&lt;=AsOfDate,EDATE($D113,Milestones!$AA$45)&gt;=SchemeStart,IF($X113=0,$AD113,IF(AND($Z113&lt;&gt;"",EDATE($D113,Milestones!$AA$45)&gt;=$Z113),$AC113,IF(AND($Y113&lt;&gt;"",EDATE($D113,Milestones!$AA$45)&gt;=$Y113),$AB113,$AA113)))=Milestones!$AB$45),UPPER(TEXT(EDATE($D113,Milestones!$AA$45),"dd mmm yy"))&amp;" "&amp;Milestones!$AB$45&amp;" "&amp;IF(AND(Milestones!$AB$45="FT",Milestones!$AA$45=FT_Y5,EDATE($D113,Milestones!$AA$45)&lt;PolicyEff),1,Milestones!$AC$45)&amp;";  ","")&amp;IF(AND(EDATE($D113,Milestones!$AA$46)&lt;=AsOfDate,EDATE($D113,Milestones!$AA$46)&gt;=SchemeStart,IF($X113=0,$AD113,IF(AND($Z113&lt;&gt;"",EDATE($D113,Milestones!$AA$46)&gt;=$Z113),$AC113,IF(AND($Y113&lt;&gt;"",EDATE($D113,Milestones!$AA$46)&gt;=$Y113),$AB113,$AA113)))=Milestones!$AB$46),UPPER(TEXT(EDATE($D113,Milestones!$AA$46),"dd mmm yy"))&amp;" "&amp;Milestones!$AB$46&amp;" "&amp;IF(AND(Milestones!$AB$46="FT",Milestones!$AA$46=FT_Y5,EDATE($D113,Milestones!$AA$46)&lt;PolicyEff),1,Milestones!$AC$46)&amp;";  ","")&amp;IF(AND(EDATE($D113,Milestones!$AA$47)&lt;=AsOfDate,EDATE($D113,Milestones!$AA$47)&gt;=SchemeStart,IF($X113=0,$AD113,IF(AND($Z113&lt;&gt;"",EDATE($D113,Milestones!$AA$47)&gt;=$Z113),$AC113,IF(AND($Y113&lt;&gt;"",EDATE($D113,Milestones!$AA$47)&gt;=$Y113),$AB113,$AA113)))=Milestones!$AB$47),UPPER(TEXT(EDATE($D113,Milestones!$AA$47),"dd mmm yy"))&amp;" "&amp;Milestones!$AB$47&amp;" "&amp;IF(AND(Milestones!$AB$47="FT",Milestones!$AA$47=FT_Y5,EDATE($D113,Milestones!$AA$47)&lt;PolicyEff),1,Milestones!$AC$47)&amp;";  ","")&amp;IF(AND(EDATE($D113,Milestones!$AA$48)&lt;=AsOfDate,EDATE($D113,Milestones!$AA$48)&gt;=SchemeStart,IF($X113=0,$AD113,IF(AND($Z113&lt;&gt;"",EDATE($D113,Milestones!$AA$48)&gt;=$Z113),$AC113,IF(AND($Y113&lt;&gt;"",EDATE($D113,Milestones!$AA$48)&gt;=$Y113),$AB113,$AA113)))=Milestones!$AB$48),UPPER(TEXT(EDATE($D113,Milestones!$AA$48),"dd mmm yy"))&amp;" "&amp;Milestones!$AB$48&amp;" "&amp;IF(AND(Milestones!$AB$48="FT",Milestones!$AA$48=FT_Y5,EDATE($D113,Milestones!$AA$48)&lt;PolicyEff),1,Milestones!$AC$48)&amp;";  ","")&amp;IF(AND(EDATE($D113,Milestones!$AA$49)&lt;=AsOfDate,EDATE($D113,Milestones!$AA$49)&gt;=SchemeStart,IF($X113=0,$AD113,IF(AND($Z113&lt;&gt;"",EDATE($D113,Milestones!$AA$49)&gt;=$Z113),$AC113,IF(AND($Y113&lt;&gt;"",EDATE($D113,Milestones!$AA$49)&gt;=$Y113),$AB113,$AA113)))=Milestones!$AB$49),UPPER(TEXT(EDATE($D113,Milestones!$AA$49),"dd mmm yy"))&amp;" "&amp;Milestones!$AB$49&amp;" "&amp;IF(AND(Milestones!$AB$49="FT",Milestones!$AA$49=FT_Y5,EDATE($D113,Milestones!$AA$49)&lt;PolicyEff),1,Milestones!$AC$49)&amp;";  ","")&amp;IF(AND(EDATE($D113,Milestones!$AA$50)&lt;=AsOfDate,EDATE($D113,Milestones!$AA$50)&gt;=SchemeStart,IF($X113=0,$AD113,IF(AND($Z113&lt;&gt;"",EDATE($D113,Milestones!$AA$50)&gt;=$Z113),$AC113,IF(AND($Y113&lt;&gt;"",EDATE($D113,Milestones!$AA$50)&gt;=$Y113),$AB113,$AA113)))=Milestones!$AB$50),UPPER(TEXT(EDATE($D113,Milestones!$AA$50),"dd mmm yy"))&amp;" "&amp;Milestones!$AB$50&amp;" "&amp;IF(AND(Milestones!$AB$50="FT",Milestones!$AA$50=FT_Y5,EDATE($D113,Milestones!$AA$50)&lt;PolicyEff),1,Milestones!$AC$50)&amp;";  ","")&amp;IF(AND(EDATE($D113,Milestones!$AA$51)&lt;=AsOfDate,EDATE($D113,Milestones!$AA$51)&gt;=SchemeStart,IF($X113=0,$AD113,IF(AND($Z113&lt;&gt;"",EDATE($D113,Milestones!$AA$51)&gt;=$Z113),$AC113,IF(AND($Y113&lt;&gt;"",EDATE($D113,Milestones!$AA$51)&gt;=$Y113),$AB113,$AA113)))=Milestones!$AB$51),UPPER(TEXT(EDATE($D113,Milestones!$AA$51),"dd mmm yy"))&amp;" "&amp;Milestones!$AB$51&amp;" "&amp;IF(AND(Milestones!$AB$51="FT",Milestones!$AA$51=FT_Y5,EDATE($D113,Milestones!$AA$51)&lt;PolicyEff),1,Milestones!$AC$51)&amp;";  ","")&amp;IF(AND(EDATE($D113,Milestones!$AA$52)&lt;=AsOfDate,EDATE($D113,Milestones!$AA$52)&gt;=SchemeStart,IF($X113=0,$AD113,IF(AND($Z113&lt;&gt;"",EDATE($D113,Milestones!$AA$52)&gt;=$Z113),$AC113,IF(AND($Y113&lt;&gt;"",EDATE($D113,Milestones!$AA$52)&gt;=$Y113),$AB113,$AA113)))=Milestones!$AB$52),UPPER(TEXT(EDATE($D113,Milestones!$AA$52),"dd mmm yy"))&amp;" "&amp;Milestones!$AB$52&amp;" "&amp;IF(AND(Milestones!$AB$52="FT",Milestones!$AA$52=FT_Y5,EDATE($D113,Milestones!$AA$52)&lt;PolicyEff),1,Milestones!$AC$52)&amp;";  ","")&amp;IF(AND(EDATE($D113,Milestones!$AA$53)&lt;=AsOfDate,EDATE($D113,Milestones!$AA$53)&gt;=SchemeStart,IF($X113=0,$AD113,IF(AND($Z113&lt;&gt;"",EDATE($D113,Milestones!$AA$53)&gt;=$Z113),$AC113,IF(AND($Y113&lt;&gt;"",EDATE($D113,Milestones!$AA$53)&gt;=$Y113),$AB113,$AA113)))=Milestones!$AB$53),UPPER(TEXT(EDATE($D113,Milestones!$AA$53),"dd mmm yy"))&amp;" "&amp;Milestones!$AB$53&amp;" "&amp;IF(AND(Milestones!$AB$53="FT",Milestones!$AA$53=FT_Y5,EDATE($D113,Milestones!$AA$53)&lt;PolicyEff),1,Milestones!$AC$53)&amp;";  ","")&amp;IF(AND(EDATE($D113,Milestones!$AA$54)&lt;=AsOfDate,EDATE($D113,Milestones!$AA$54)&gt;=SchemeStart,IF($X113=0,$AD113,IF(AND($Z113&lt;&gt;"",EDATE($D113,Milestones!$AA$54)&gt;=$Z113),$AC113,IF(AND($Y113&lt;&gt;"",EDATE($D113,Milestones!$AA$54)&gt;=$Y113),$AB113,$AA113)))=Milestones!$AB$54),UPPER(TEXT(EDATE($D113,Milestones!$AA$54),"dd mmm yy"))&amp;" "&amp;Milestones!$AB$54&amp;" "&amp;IF(AND(Milestones!$AB$54="FT",Milestones!$AA$54=FT_Y5,EDATE($D113,Milestones!$AA$54)&lt;PolicyEff),1,Milestones!$AC$54)&amp;";  ","")&amp;IF(AND(EDATE($D113,Milestones!$AA$55)&lt;=AsOfDate,EDATE($D113,Milestones!$AA$55)&gt;=SchemeStart,IF($X113=0,$AD113,IF(AND($Z113&lt;&gt;"",EDATE($D113,Milestones!$AA$55)&gt;=$Z113),$AC113,IF(AND($Y113&lt;&gt;"",EDATE($D113,Milestones!$AA$55)&gt;=$Y113),$AB113,$AA113)))=Milestones!$AB$55),UPPER(TEXT(EDATE($D113,Milestones!$AA$55),"dd mmm yy"))&amp;" "&amp;Milestones!$AB$55&amp;" "&amp;IF(AND(Milestones!$AB$55="FT",Milestones!$AA$55=FT_Y5,EDATE($D113,Milestones!$AA$55)&lt;PolicyEff),1,Milestones!$AC$55)&amp;";  ",""))</f>
        <v/>
      </c>
      <c r="L113" s="0" t="str">
        <f aca="false">IF(OR($A113="",$D113=""),"",IF(AND(EDATE($D113,Milestones!$AA$56)&lt;=AsOfDate,EDATE($D113,Milestones!$AA$56)&gt;=SchemeStart,IF($X113=0,$AD113,IF(AND($Z113&lt;&gt;"",EDATE($D113,Milestones!$AA$56)&gt;=$Z113),$AC113,IF(AND($Y113&lt;&gt;"",EDATE($D113,Milestones!$AA$56)&gt;=$Y113),$AB113,$AA113)))=Milestones!$AB$56),UPPER(TEXT(EDATE($D113,Milestones!$AA$56),"dd mmm yy"))&amp;" "&amp;Milestones!$AB$56&amp;" "&amp;IF(AND(Milestones!$AB$56="FT",Milestones!$AA$56=FT_Y5,EDATE($D113,Milestones!$AA$56)&lt;PolicyEff),1,Milestones!$AC$56)&amp;";  ","")&amp;IF(AND(EDATE($D113,Milestones!$AA$57)&lt;=AsOfDate,EDATE($D113,Milestones!$AA$57)&gt;=SchemeStart,IF($X113=0,$AD113,IF(AND($Z113&lt;&gt;"",EDATE($D113,Milestones!$AA$57)&gt;=$Z113),$AC113,IF(AND($Y113&lt;&gt;"",EDATE($D113,Milestones!$AA$57)&gt;=$Y113),$AB113,$AA113)))=Milestones!$AB$57),UPPER(TEXT(EDATE($D113,Milestones!$AA$57),"dd mmm yy"))&amp;" "&amp;Milestones!$AB$57&amp;" "&amp;IF(AND(Milestones!$AB$57="FT",Milestones!$AA$57=FT_Y5,EDATE($D113,Milestones!$AA$57)&lt;PolicyEff),1,Milestones!$AC$57)&amp;";  ","")&amp;IF(AND(EDATE($D113,Milestones!$AA$58)&lt;=AsOfDate,EDATE($D113,Milestones!$AA$58)&gt;=SchemeStart,IF($X113=0,$AD113,IF(AND($Z113&lt;&gt;"",EDATE($D113,Milestones!$AA$58)&gt;=$Z113),$AC113,IF(AND($Y113&lt;&gt;"",EDATE($D113,Milestones!$AA$58)&gt;=$Y113),$AB113,$AA113)))=Milestones!$AB$58),UPPER(TEXT(EDATE($D113,Milestones!$AA$58),"dd mmm yy"))&amp;" "&amp;Milestones!$AB$58&amp;" "&amp;IF(AND(Milestones!$AB$58="FT",Milestones!$AA$58=FT_Y5,EDATE($D113,Milestones!$AA$58)&lt;PolicyEff),1,Milestones!$AC$58)&amp;";  ","")&amp;IF(AND(EDATE($D113,Milestones!$AA$59)&lt;=AsOfDate,EDATE($D113,Milestones!$AA$59)&gt;=SchemeStart,IF($X113=0,$AD113,IF(AND($Z113&lt;&gt;"",EDATE($D113,Milestones!$AA$59)&gt;=$Z113),$AC113,IF(AND($Y113&lt;&gt;"",EDATE($D113,Milestones!$AA$59)&gt;=$Y113),$AB113,$AA113)))=Milestones!$AB$59),UPPER(TEXT(EDATE($D113,Milestones!$AA$59),"dd mmm yy"))&amp;" "&amp;Milestones!$AB$59&amp;" "&amp;IF(AND(Milestones!$AB$59="FT",Milestones!$AA$59=FT_Y5,EDATE($D113,Milestones!$AA$59)&lt;PolicyEff),1,Milestones!$AC$59)&amp;";  ","")&amp;IF(AND(EDATE($D113,Milestones!$AA$60)&lt;=AsOfDate,EDATE($D113,Milestones!$AA$60)&gt;=SchemeStart,IF($X113=0,$AD113,IF(AND($Z113&lt;&gt;"",EDATE($D113,Milestones!$AA$60)&gt;=$Z113),$AC113,IF(AND($Y113&lt;&gt;"",EDATE($D113,Milestones!$AA$60)&gt;=$Y113),$AB113,$AA113)))=Milestones!$AB$60),UPPER(TEXT(EDATE($D113,Milestones!$AA$60),"dd mmm yy"))&amp;" "&amp;Milestones!$AB$60&amp;" "&amp;IF(AND(Milestones!$AB$60="FT",Milestones!$AA$60=FT_Y5,EDATE($D113,Milestones!$AA$60)&lt;PolicyEff),1,Milestones!$AC$60)&amp;";  ","")&amp;IF(AND(EDATE($D113,Milestones!$AA$61)&lt;=AsOfDate,EDATE($D113,Milestones!$AA$61)&gt;=SchemeStart,IF($X113=0,$AD113,IF(AND($Z113&lt;&gt;"",EDATE($D113,Milestones!$AA$61)&gt;=$Z113),$AC113,IF(AND($Y113&lt;&gt;"",EDATE($D113,Milestones!$AA$61)&gt;=$Y113),$AB113,$AA113)))=Milestones!$AB$61),UPPER(TEXT(EDATE($D113,Milestones!$AA$61),"dd mmm yy"))&amp;" "&amp;Milestones!$AB$61&amp;" "&amp;IF(AND(Milestones!$AB$61="FT",Milestones!$AA$61=FT_Y5,EDATE($D113,Milestones!$AA$61)&lt;PolicyEff),1,Milestones!$AC$61)&amp;";  ","")&amp;IF(AND(EDATE($D113,Milestones!$AA$62)&lt;=AsOfDate,EDATE($D113,Milestones!$AA$62)&gt;=SchemeStart,IF($X113=0,$AD113,IF(AND($Z113&lt;&gt;"",EDATE($D113,Milestones!$AA$62)&gt;=$Z113),$AC113,IF(AND($Y113&lt;&gt;"",EDATE($D113,Milestones!$AA$62)&gt;=$Y113),$AB113,$AA113)))=Milestones!$AB$62),UPPER(TEXT(EDATE($D113,Milestones!$AA$62),"dd mmm yy"))&amp;" "&amp;Milestones!$AB$62&amp;" "&amp;IF(AND(Milestones!$AB$62="FT",Milestones!$AA$62=FT_Y5,EDATE($D113,Milestones!$AA$62)&lt;PolicyEff),1,Milestones!$AC$62)&amp;";  ","")&amp;IF(AND(EDATE($D113,Milestones!$AA$63)&lt;=AsOfDate,EDATE($D113,Milestones!$AA$63)&gt;=SchemeStart,IF($X113=0,$AD113,IF(AND($Z113&lt;&gt;"",EDATE($D113,Milestones!$AA$63)&gt;=$Z113),$AC113,IF(AND($Y113&lt;&gt;"",EDATE($D113,Milestones!$AA$63)&gt;=$Y113),$AB113,$AA113)))=Milestones!$AB$63),UPPER(TEXT(EDATE($D113,Milestones!$AA$63),"dd mmm yy"))&amp;" "&amp;Milestones!$AB$63&amp;" "&amp;IF(AND(Milestones!$AB$63="FT",Milestones!$AA$63=FT_Y5,EDATE($D113,Milestones!$AA$63)&lt;PolicyEff),1,Milestones!$AC$63)&amp;";  ","")&amp;IF(AND(EDATE($D113,Milestones!$AA$64)&lt;=AsOfDate,EDATE($D113,Milestones!$AA$64)&gt;=SchemeStart,IF($X113=0,$AD113,IF(AND($Z113&lt;&gt;"",EDATE($D113,Milestones!$AA$64)&gt;=$Z113),$AC113,IF(AND($Y113&lt;&gt;"",EDATE($D113,Milestones!$AA$64)&gt;=$Y113),$AB113,$AA113)))=Milestones!$AB$64),UPPER(TEXT(EDATE($D113,Milestones!$AA$64),"dd mmm yy"))&amp;" "&amp;Milestones!$AB$64&amp;" "&amp;IF(AND(Milestones!$AB$64="FT",Milestones!$AA$64=FT_Y5,EDATE($D113,Milestones!$AA$64)&lt;PolicyEff),1,Milestones!$AC$64)&amp;";  ","")&amp;IF(AND(EDATE($D113,Milestones!$AA$65)&lt;=AsOfDate,EDATE($D113,Milestones!$AA$65)&gt;=SchemeStart,IF($X113=0,$AD113,IF(AND($Z113&lt;&gt;"",EDATE($D113,Milestones!$AA$65)&gt;=$Z113),$AC113,IF(AND($Y113&lt;&gt;"",EDATE($D113,Milestones!$AA$65)&gt;=$Y113),$AB113,$AA113)))=Milestones!$AB$65),UPPER(TEXT(EDATE($D113,Milestones!$AA$65),"dd mmm yy"))&amp;" "&amp;Milestones!$AB$65&amp;" "&amp;IF(AND(Milestones!$AB$65="FT",Milestones!$AA$65=FT_Y5,EDATE($D113,Milestones!$AA$65)&lt;PolicyEff),1,Milestones!$AC$65)&amp;";  ","")&amp;IF(AND(EDATE($D113,Milestones!$AA$66)&lt;=AsOfDate,EDATE($D113,Milestones!$AA$66)&gt;=SchemeStart,IF($X113=0,$AD113,IF(AND($Z113&lt;&gt;"",EDATE($D113,Milestones!$AA$66)&gt;=$Z113),$AC113,IF(AND($Y113&lt;&gt;"",EDATE($D113,Milestones!$AA$66)&gt;=$Y113),$AB113,$AA113)))=Milestones!$AB$66),UPPER(TEXT(EDATE($D113,Milestones!$AA$66),"dd mmm yy"))&amp;" "&amp;Milestones!$AB$66&amp;" "&amp;IF(AND(Milestones!$AB$66="FT",Milestones!$AA$66=FT_Y5,EDATE($D113,Milestones!$AA$66)&lt;PolicyEff),1,Milestones!$AC$66)&amp;";  ","")&amp;IF(AND(EDATE($D113,Milestones!$AA$67)&lt;=AsOfDate,EDATE($D113,Milestones!$AA$67)&gt;=SchemeStart,IF($X113=0,$AD113,IF(AND($Z113&lt;&gt;"",EDATE($D113,Milestones!$AA$67)&gt;=$Z113),$AC113,IF(AND($Y113&lt;&gt;"",EDATE($D113,Milestones!$AA$67)&gt;=$Y113),$AB113,$AA113)))=Milestones!$AB$67),UPPER(TEXT(EDATE($D113,Milestones!$AA$67),"dd mmm yy"))&amp;" "&amp;Milestones!$AB$67&amp;" "&amp;IF(AND(Milestones!$AB$67="FT",Milestones!$AA$67=FT_Y5,EDATE($D113,Milestones!$AA$67)&lt;PolicyEff),1,Milestones!$AC$67)&amp;";  ",""))</f>
        <v/>
      </c>
      <c r="M113" s="0" t="str">
        <f aca="false">IF(OR($A113="",$D113=""),"",IF(AND(EDATE($D113,Milestones!$AA$68)&lt;=AsOfDate,EDATE($D113,Milestones!$AA$68)&gt;=SchemeStart,IF($X113=0,$AD113,IF(AND($Z113&lt;&gt;"",EDATE($D113,Milestones!$AA$68)&gt;=$Z113),$AC113,IF(AND($Y113&lt;&gt;"",EDATE($D113,Milestones!$AA$68)&gt;=$Y113),$AB113,$AA113)))=Milestones!$AB$68),UPPER(TEXT(EDATE($D113,Milestones!$AA$68),"dd mmm yy"))&amp;" "&amp;Milestones!$AB$68&amp;" "&amp;IF(AND(Milestones!$AB$68="FT",Milestones!$AA$68=FT_Y5,EDATE($D113,Milestones!$AA$68)&lt;PolicyEff),1,Milestones!$AC$68)&amp;";  ","")&amp;IF(AND(EDATE($D113,Milestones!$AA$69)&lt;=AsOfDate,EDATE($D113,Milestones!$AA$69)&gt;=SchemeStart,IF($X113=0,$AD113,IF(AND($Z113&lt;&gt;"",EDATE($D113,Milestones!$AA$69)&gt;=$Z113),$AC113,IF(AND($Y113&lt;&gt;"",EDATE($D113,Milestones!$AA$69)&gt;=$Y113),$AB113,$AA113)))=Milestones!$AB$69),UPPER(TEXT(EDATE($D113,Milestones!$AA$69),"dd mmm yy"))&amp;" "&amp;Milestones!$AB$69&amp;" "&amp;IF(AND(Milestones!$AB$69="FT",Milestones!$AA$69=FT_Y5,EDATE($D113,Milestones!$AA$69)&lt;PolicyEff),1,Milestones!$AC$69)&amp;";  ","")&amp;IF(AND(EDATE($D113,Milestones!$AA$70)&lt;=AsOfDate,EDATE($D113,Milestones!$AA$70)&gt;=SchemeStart,IF($X113=0,$AD113,IF(AND($Z113&lt;&gt;"",EDATE($D113,Milestones!$AA$70)&gt;=$Z113),$AC113,IF(AND($Y113&lt;&gt;"",EDATE($D113,Milestones!$AA$70)&gt;=$Y113),$AB113,$AA113)))=Milestones!$AB$70),UPPER(TEXT(EDATE($D113,Milestones!$AA$70),"dd mmm yy"))&amp;" "&amp;Milestones!$AB$70&amp;" "&amp;IF(AND(Milestones!$AB$70="FT",Milestones!$AA$70=FT_Y5,EDATE($D113,Milestones!$AA$70)&lt;PolicyEff),1,Milestones!$AC$70)&amp;";  ","")&amp;IF(AND(EDATE($D113,Milestones!$AA$71)&lt;=AsOfDate,EDATE($D113,Milestones!$AA$71)&gt;=SchemeStart,IF($X113=0,$AD113,IF(AND($Z113&lt;&gt;"",EDATE($D113,Milestones!$AA$71)&gt;=$Z113),$AC113,IF(AND($Y113&lt;&gt;"",EDATE($D113,Milestones!$AA$71)&gt;=$Y113),$AB113,$AA113)))=Milestones!$AB$71),UPPER(TEXT(EDATE($D113,Milestones!$AA$71),"dd mmm yy"))&amp;" "&amp;Milestones!$AB$71&amp;" "&amp;IF(AND(Milestones!$AB$71="FT",Milestones!$AA$71=FT_Y5,EDATE($D113,Milestones!$AA$71)&lt;PolicyEff),1,Milestones!$AC$71)&amp;";  ","")&amp;IF(AND(EDATE($D113,Milestones!$AA$72)&lt;=AsOfDate,EDATE($D113,Milestones!$AA$72)&gt;=SchemeStart,IF($X113=0,$AD113,IF(AND($Z113&lt;&gt;"",EDATE($D113,Milestones!$AA$72)&gt;=$Z113),$AC113,IF(AND($Y113&lt;&gt;"",EDATE($D113,Milestones!$AA$72)&gt;=$Y113),$AB113,$AA113)))=Milestones!$AB$72),UPPER(TEXT(EDATE($D113,Milestones!$AA$72),"dd mmm yy"))&amp;" "&amp;Milestones!$AB$72&amp;" "&amp;IF(AND(Milestones!$AB$72="FT",Milestones!$AA$72=FT_Y5,EDATE($D113,Milestones!$AA$72)&lt;PolicyEff),1,Milestones!$AC$72)&amp;";  ","")&amp;IF(AND(EDATE($D113,Milestones!$AA$73)&lt;=AsOfDate,EDATE($D113,Milestones!$AA$73)&gt;=SchemeStart,IF($X113=0,$AD113,IF(AND($Z113&lt;&gt;"",EDATE($D113,Milestones!$AA$73)&gt;=$Z113),$AC113,IF(AND($Y113&lt;&gt;"",EDATE($D113,Milestones!$AA$73)&gt;=$Y113),$AB113,$AA113)))=Milestones!$AB$73),UPPER(TEXT(EDATE($D113,Milestones!$AA$73),"dd mmm yy"))&amp;" "&amp;Milestones!$AB$73&amp;" "&amp;IF(AND(Milestones!$AB$73="FT",Milestones!$AA$73=FT_Y5,EDATE($D113,Milestones!$AA$73)&lt;PolicyEff),1,Milestones!$AC$73)&amp;";  ","")&amp;IF(AND(EDATE($D113,Milestones!$AA$74)&lt;=AsOfDate,EDATE($D113,Milestones!$AA$74)&gt;=SchemeStart,IF($X113=0,$AD113,IF(AND($Z113&lt;&gt;"",EDATE($D113,Milestones!$AA$74)&gt;=$Z113),$AC113,IF(AND($Y113&lt;&gt;"",EDATE($D113,Milestones!$AA$74)&gt;=$Y113),$AB113,$AA113)))=Milestones!$AB$74),UPPER(TEXT(EDATE($D113,Milestones!$AA$74),"dd mmm yy"))&amp;" "&amp;Milestones!$AB$74&amp;" "&amp;IF(AND(Milestones!$AB$74="FT",Milestones!$AA$74=FT_Y5,EDATE($D113,Milestones!$AA$74)&lt;PolicyEff),1,Milestones!$AC$74)&amp;";  ","")&amp;IF(AND(EDATE($D113,Milestones!$AA$75)&lt;=AsOfDate,EDATE($D113,Milestones!$AA$75)&gt;=SchemeStart,IF($X113=0,$AD113,IF(AND($Z113&lt;&gt;"",EDATE($D113,Milestones!$AA$75)&gt;=$Z113),$AC113,IF(AND($Y113&lt;&gt;"",EDATE($D113,Milestones!$AA$75)&gt;=$Y113),$AB113,$AA113)))=Milestones!$AB$75),UPPER(TEXT(EDATE($D113,Milestones!$AA$75),"dd mmm yy"))&amp;" "&amp;Milestones!$AB$75&amp;" "&amp;IF(AND(Milestones!$AB$75="FT",Milestones!$AA$75=FT_Y5,EDATE($D113,Milestones!$AA$75)&lt;PolicyEff),1,Milestones!$AC$75)&amp;";  ","")&amp;IF(AND(EDATE($D113,Milestones!$AA$76)&lt;=AsOfDate,EDATE($D113,Milestones!$AA$76)&gt;=SchemeStart,IF($X113=0,$AD113,IF(AND($Z113&lt;&gt;"",EDATE($D113,Milestones!$AA$76)&gt;=$Z113),$AC113,IF(AND($Y113&lt;&gt;"",EDATE($D113,Milestones!$AA$76)&gt;=$Y113),$AB113,$AA113)))=Milestones!$AB$76),UPPER(TEXT(EDATE($D113,Milestones!$AA$76),"dd mmm yy"))&amp;" "&amp;Milestones!$AB$76&amp;" "&amp;IF(AND(Milestones!$AB$76="FT",Milestones!$AA$76=FT_Y5,EDATE($D113,Milestones!$AA$76)&lt;PolicyEff),1,Milestones!$AC$76)&amp;";  ","")&amp;IF(AND(EDATE($D113,Milestones!$AA$77)&lt;=AsOfDate,EDATE($D113,Milestones!$AA$77)&gt;=SchemeStart,IF($X113=0,$AD113,IF(AND($Z113&lt;&gt;"",EDATE($D113,Milestones!$AA$77)&gt;=$Z113),$AC113,IF(AND($Y113&lt;&gt;"",EDATE($D113,Milestones!$AA$77)&gt;=$Y113),$AB113,$AA113)))=Milestones!$AB$77),UPPER(TEXT(EDATE($D113,Milestones!$AA$77),"dd mmm yy"))&amp;" "&amp;Milestones!$AB$77&amp;" "&amp;IF(AND(Milestones!$AB$77="FT",Milestones!$AA$77=FT_Y5,EDATE($D113,Milestones!$AA$77)&lt;PolicyEff),1,Milestones!$AC$77)&amp;";  ","")&amp;IF(AND(EDATE($D113,Milestones!$AA$78)&lt;=AsOfDate,EDATE($D113,Milestones!$AA$78)&gt;=SchemeStart,IF($X113=0,$AD113,IF(AND($Z113&lt;&gt;"",EDATE($D113,Milestones!$AA$78)&gt;=$Z113),$AC113,IF(AND($Y113&lt;&gt;"",EDATE($D113,Milestones!$AA$78)&gt;=$Y113),$AB113,$AA113)))=Milestones!$AB$78),UPPER(TEXT(EDATE($D113,Milestones!$AA$78),"dd mmm yy"))&amp;" "&amp;Milestones!$AB$78&amp;" "&amp;IF(AND(Milestones!$AB$78="FT",Milestones!$AA$78=FT_Y5,EDATE($D113,Milestones!$AA$78)&lt;PolicyEff),1,Milestones!$AC$78)&amp;";  ","")&amp;IF(AND(EDATE($D113,Milestones!$AA$79)&lt;=AsOfDate,EDATE($D113,Milestones!$AA$79)&gt;=SchemeStart,IF($X113=0,$AD113,IF(AND($Z113&lt;&gt;"",EDATE($D113,Milestones!$AA$79)&gt;=$Z113),$AC113,IF(AND($Y113&lt;&gt;"",EDATE($D113,Milestones!$AA$79)&gt;=$Y113),$AB113,$AA113)))=Milestones!$AB$79),UPPER(TEXT(EDATE($D113,Milestones!$AA$79),"dd mmm yy"))&amp;" "&amp;Milestones!$AB$79&amp;" "&amp;IF(AND(Milestones!$AB$79="FT",Milestones!$AA$79=FT_Y5,EDATE($D113,Milestones!$AA$79)&lt;PolicyEff),1,Milestones!$AC$79)&amp;";  ",""))</f>
        <v/>
      </c>
      <c r="N113" s="0" t="str">
        <f aca="false">IF(OR($A113="",$D113=""),"",IF(AND(EDATE($D113,Milestones!$AA$80)&lt;=AsOfDate,EDATE($D113,Milestones!$AA$80)&gt;=SchemeStart,IF($X113=0,$AD113,IF(AND($Z113&lt;&gt;"",EDATE($D113,Milestones!$AA$80)&gt;=$Z113),$AC113,IF(AND($Y113&lt;&gt;"",EDATE($D113,Milestones!$AA$80)&gt;=$Y113),$AB113,$AA113)))=Milestones!$AB$80),UPPER(TEXT(EDATE($D113,Milestones!$AA$80),"dd mmm yy"))&amp;" "&amp;Milestones!$AB$80&amp;" "&amp;IF(AND(Milestones!$AB$80="FT",Milestones!$AA$80=FT_Y5,EDATE($D113,Milestones!$AA$80)&lt;PolicyEff),1,Milestones!$AC$80)&amp;";  ","")&amp;IF(AND(EDATE($D113,Milestones!$AA$81)&lt;=AsOfDate,EDATE($D113,Milestones!$AA$81)&gt;=SchemeStart,IF($X113=0,$AD113,IF(AND($Z113&lt;&gt;"",EDATE($D113,Milestones!$AA$81)&gt;=$Z113),$AC113,IF(AND($Y113&lt;&gt;"",EDATE($D113,Milestones!$AA$81)&gt;=$Y113),$AB113,$AA113)))=Milestones!$AB$81),UPPER(TEXT(EDATE($D113,Milestones!$AA$81),"dd mmm yy"))&amp;" "&amp;Milestones!$AB$81&amp;" "&amp;IF(AND(Milestones!$AB$81="FT",Milestones!$AA$81=FT_Y5,EDATE($D113,Milestones!$AA$81)&lt;PolicyEff),1,Milestones!$AC$81)&amp;";  ","")&amp;IF(AND(EDATE($D113,Milestones!$AA$82)&lt;=AsOfDate,EDATE($D113,Milestones!$AA$82)&gt;=SchemeStart,IF($X113=0,$AD113,IF(AND($Z113&lt;&gt;"",EDATE($D113,Milestones!$AA$82)&gt;=$Z113),$AC113,IF(AND($Y113&lt;&gt;"",EDATE($D113,Milestones!$AA$82)&gt;=$Y113),$AB113,$AA113)))=Milestones!$AB$82),UPPER(TEXT(EDATE($D113,Milestones!$AA$82),"dd mmm yy"))&amp;" "&amp;Milestones!$AB$82&amp;" "&amp;IF(AND(Milestones!$AB$82="FT",Milestones!$AA$82=FT_Y5,EDATE($D113,Milestones!$AA$82)&lt;PolicyEff),1,Milestones!$AC$82)&amp;";  ","")&amp;IF(AND(EDATE($D113,Milestones!$AA$83)&lt;=AsOfDate,EDATE($D113,Milestones!$AA$83)&gt;=SchemeStart,IF($X113=0,$AD113,IF(AND($Z113&lt;&gt;"",EDATE($D113,Milestones!$AA$83)&gt;=$Z113),$AC113,IF(AND($Y113&lt;&gt;"",EDATE($D113,Milestones!$AA$83)&gt;=$Y113),$AB113,$AA113)))=Milestones!$AB$83),UPPER(TEXT(EDATE($D113,Milestones!$AA$83),"dd mmm yy"))&amp;" "&amp;Milestones!$AB$83&amp;" "&amp;IF(AND(Milestones!$AB$83="FT",Milestones!$AA$83=FT_Y5,EDATE($D113,Milestones!$AA$83)&lt;PolicyEff),1,Milestones!$AC$83)&amp;";  ","")&amp;IF(AND(EDATE($D113,Milestones!$AA$84)&lt;=AsOfDate,EDATE($D113,Milestones!$AA$84)&gt;=SchemeStart,IF($X113=0,$AD113,IF(AND($Z113&lt;&gt;"",EDATE($D113,Milestones!$AA$84)&gt;=$Z113),$AC113,IF(AND($Y113&lt;&gt;"",EDATE($D113,Milestones!$AA$84)&gt;=$Y113),$AB113,$AA113)))=Milestones!$AB$84),UPPER(TEXT(EDATE($D113,Milestones!$AA$84),"dd mmm yy"))&amp;" "&amp;Milestones!$AB$84&amp;" "&amp;IF(AND(Milestones!$AB$84="FT",Milestones!$AA$84=FT_Y5,EDATE($D113,Milestones!$AA$84)&lt;PolicyEff),1,Milestones!$AC$84)&amp;";  ","")&amp;IF(AND(EDATE($D113,Milestones!$AA$85)&lt;=AsOfDate,EDATE($D113,Milestones!$AA$85)&gt;=SchemeStart,IF($X113=0,$AD113,IF(AND($Z113&lt;&gt;"",EDATE($D113,Milestones!$AA$85)&gt;=$Z113),$AC113,IF(AND($Y113&lt;&gt;"",EDATE($D113,Milestones!$AA$85)&gt;=$Y113),$AB113,$AA113)))=Milestones!$AB$85),UPPER(TEXT(EDATE($D113,Milestones!$AA$85),"dd mmm yy"))&amp;" "&amp;Milestones!$AB$85&amp;" "&amp;IF(AND(Milestones!$AB$85="FT",Milestones!$AA$85=FT_Y5,EDATE($D113,Milestones!$AA$85)&lt;PolicyEff),1,Milestones!$AC$85)&amp;";  ","")&amp;IF(AND(EDATE($D113,Milestones!$AA$86)&lt;=AsOfDate,EDATE($D113,Milestones!$AA$86)&gt;=SchemeStart,IF($X113=0,$AD113,IF(AND($Z113&lt;&gt;"",EDATE($D113,Milestones!$AA$86)&gt;=$Z113),$AC113,IF(AND($Y113&lt;&gt;"",EDATE($D113,Milestones!$AA$86)&gt;=$Y113),$AB113,$AA113)))=Milestones!$AB$86),UPPER(TEXT(EDATE($D113,Milestones!$AA$86),"dd mmm yy"))&amp;" "&amp;Milestones!$AB$86&amp;" "&amp;IF(AND(Milestones!$AB$86="FT",Milestones!$AA$86=FT_Y5,EDATE($D113,Milestones!$AA$86)&lt;PolicyEff),1,Milestones!$AC$86)&amp;";  ","")&amp;IF(AND(EDATE($D113,Milestones!$AA$87)&lt;=AsOfDate,EDATE($D113,Milestones!$AA$87)&gt;=SchemeStart,IF($X113=0,$AD113,IF(AND($Z113&lt;&gt;"",EDATE($D113,Milestones!$AA$87)&gt;=$Z113),$AC113,IF(AND($Y113&lt;&gt;"",EDATE($D113,Milestones!$AA$87)&gt;=$Y113),$AB113,$AA113)))=Milestones!$AB$87),UPPER(TEXT(EDATE($D113,Milestones!$AA$87),"dd mmm yy"))&amp;" "&amp;Milestones!$AB$87&amp;" "&amp;IF(AND(Milestones!$AB$87="FT",Milestones!$AA$87=FT_Y5,EDATE($D113,Milestones!$AA$87)&lt;PolicyEff),1,Milestones!$AC$87)&amp;";  ","")&amp;IF(AND(EDATE($D113,Milestones!$AA$88)&lt;=AsOfDate,EDATE($D113,Milestones!$AA$88)&gt;=SchemeStart,IF($X113=0,$AD113,IF(AND($Z113&lt;&gt;"",EDATE($D113,Milestones!$AA$88)&gt;=$Z113),$AC113,IF(AND($Y113&lt;&gt;"",EDATE($D113,Milestones!$AA$88)&gt;=$Y113),$AB113,$AA113)))=Milestones!$AB$88),UPPER(TEXT(EDATE($D113,Milestones!$AA$88),"dd mmm yy"))&amp;" "&amp;Milestones!$AB$88&amp;" "&amp;IF(AND(Milestones!$AB$88="FT",Milestones!$AA$88=FT_Y5,EDATE($D113,Milestones!$AA$88)&lt;PolicyEff),1,Milestones!$AC$88)&amp;";  ","")&amp;IF(AND(EDATE($D113,Milestones!$AA$89)&lt;=AsOfDate,EDATE($D113,Milestones!$AA$89)&gt;=SchemeStart,IF($X113=0,$AD113,IF(AND($Z113&lt;&gt;"",EDATE($D113,Milestones!$AA$89)&gt;=$Z113),$AC113,IF(AND($Y113&lt;&gt;"",EDATE($D113,Milestones!$AA$89)&gt;=$Y113),$AB113,$AA113)))=Milestones!$AB$89),UPPER(TEXT(EDATE($D113,Milestones!$AA$89),"dd mmm yy"))&amp;" "&amp;Milestones!$AB$89&amp;" "&amp;IF(AND(Milestones!$AB$89="FT",Milestones!$AA$89=FT_Y5,EDATE($D113,Milestones!$AA$89)&lt;PolicyEff),1,Milestones!$AC$89)&amp;";  ","")&amp;IF(AND(EDATE($D113,Milestones!$AA$90)&lt;=AsOfDate,EDATE($D113,Milestones!$AA$90)&gt;=SchemeStart,IF($X113=0,$AD113,IF(AND($Z113&lt;&gt;"",EDATE($D113,Milestones!$AA$90)&gt;=$Z113),$AC113,IF(AND($Y113&lt;&gt;"",EDATE($D113,Milestones!$AA$90)&gt;=$Y113),$AB113,$AA113)))=Milestones!$AB$90),UPPER(TEXT(EDATE($D113,Milestones!$AA$90),"dd mmm yy"))&amp;" "&amp;Milestones!$AB$90&amp;" "&amp;IF(AND(Milestones!$AB$90="FT",Milestones!$AA$90=FT_Y5,EDATE($D113,Milestones!$AA$90)&lt;PolicyEff),1,Milestones!$AC$90)&amp;";  ","")&amp;IF(AND(EDATE($D113,Milestones!$AA$91)&lt;=AsOfDate,EDATE($D113,Milestones!$AA$91)&gt;=SchemeStart,IF($X113=0,$AD113,IF(AND($Z113&lt;&gt;"",EDATE($D113,Milestones!$AA$91)&gt;=$Z113),$AC113,IF(AND($Y113&lt;&gt;"",EDATE($D113,Milestones!$AA$91)&gt;=$Y113),$AB113,$AA113)))=Milestones!$AB$91),UPPER(TEXT(EDATE($D113,Milestones!$AA$91),"dd mmm yy"))&amp;" "&amp;Milestones!$AB$91&amp;" "&amp;IF(AND(Milestones!$AB$91="FT",Milestones!$AA$91=FT_Y5,EDATE($D113,Milestones!$AA$91)&lt;PolicyEff),1,Milestones!$AC$91)&amp;";  ",""))</f>
        <v/>
      </c>
      <c r="O113" s="0" t="str">
        <f aca="false">IF(OR($A113="",$D113=""),"",IF(AND(EDATE($D113,Milestones!$AA$92)&lt;=AsOfDate,EDATE($D113,Milestones!$AA$92)&gt;=SchemeStart,IF($X113=0,$AD113,IF(AND($Z113&lt;&gt;"",EDATE($D113,Milestones!$AA$92)&gt;=$Z113),$AC113,IF(AND($Y113&lt;&gt;"",EDATE($D113,Milestones!$AA$92)&gt;=$Y113),$AB113,$AA113)))=Milestones!$AB$92),UPPER(TEXT(EDATE($D113,Milestones!$AA$92),"dd mmm yy"))&amp;" "&amp;Milestones!$AB$92&amp;" "&amp;IF(AND(Milestones!$AB$92="FT",Milestones!$AA$92=FT_Y5,EDATE($D113,Milestones!$AA$92)&lt;PolicyEff),1,Milestones!$AC$92)&amp;";  ","")&amp;IF(AND(EDATE($D113,Milestones!$AA$93)&lt;=AsOfDate,EDATE($D113,Milestones!$AA$93)&gt;=SchemeStart,IF($X113=0,$AD113,IF(AND($Z113&lt;&gt;"",EDATE($D113,Milestones!$AA$93)&gt;=$Z113),$AC113,IF(AND($Y113&lt;&gt;"",EDATE($D113,Milestones!$AA$93)&gt;=$Y113),$AB113,$AA113)))=Milestones!$AB$93),UPPER(TEXT(EDATE($D113,Milestones!$AA$93),"dd mmm yy"))&amp;" "&amp;Milestones!$AB$93&amp;" "&amp;IF(AND(Milestones!$AB$93="FT",Milestones!$AA$93=FT_Y5,EDATE($D113,Milestones!$AA$93)&lt;PolicyEff),1,Milestones!$AC$93)&amp;";  ","")&amp;IF(AND(EDATE($D113,Milestones!$AA$94)&lt;=AsOfDate,EDATE($D113,Milestones!$AA$94)&gt;=SchemeStart,IF($X113=0,$AD113,IF(AND($Z113&lt;&gt;"",EDATE($D113,Milestones!$AA$94)&gt;=$Z113),$AC113,IF(AND($Y113&lt;&gt;"",EDATE($D113,Milestones!$AA$94)&gt;=$Y113),$AB113,$AA113)))=Milestones!$AB$94),UPPER(TEXT(EDATE($D113,Milestones!$AA$94),"dd mmm yy"))&amp;" "&amp;Milestones!$AB$94&amp;" "&amp;IF(AND(Milestones!$AB$94="FT",Milestones!$AA$94=FT_Y5,EDATE($D113,Milestones!$AA$94)&lt;PolicyEff),1,Milestones!$AC$94)&amp;";  ","")&amp;IF(AND(EDATE($D113,Milestones!$AA$95)&lt;=AsOfDate,EDATE($D113,Milestones!$AA$95)&gt;=SchemeStart,IF($X113=0,$AD113,IF(AND($Z113&lt;&gt;"",EDATE($D113,Milestones!$AA$95)&gt;=$Z113),$AC113,IF(AND($Y113&lt;&gt;"",EDATE($D113,Milestones!$AA$95)&gt;=$Y113),$AB113,$AA113)))=Milestones!$AB$95),UPPER(TEXT(EDATE($D113,Milestones!$AA$95),"dd mmm yy"))&amp;" "&amp;Milestones!$AB$95&amp;" "&amp;IF(AND(Milestones!$AB$95="FT",Milestones!$AA$95=FT_Y5,EDATE($D113,Milestones!$AA$95)&lt;PolicyEff),1,Milestones!$AC$95)&amp;";  ","")&amp;IF(AND(EDATE($D113,Milestones!$AA$96)&lt;=AsOfDate,EDATE($D113,Milestones!$AA$96)&gt;=SchemeStart,IF($X113=0,$AD113,IF(AND($Z113&lt;&gt;"",EDATE($D113,Milestones!$AA$96)&gt;=$Z113),$AC113,IF(AND($Y113&lt;&gt;"",EDATE($D113,Milestones!$AA$96)&gt;=$Y113),$AB113,$AA113)))=Milestones!$AB$96),UPPER(TEXT(EDATE($D113,Milestones!$AA$96),"dd mmm yy"))&amp;" "&amp;Milestones!$AB$96&amp;" "&amp;IF(AND(Milestones!$AB$96="FT",Milestones!$AA$96=FT_Y5,EDATE($D113,Milestones!$AA$96)&lt;PolicyEff),1,Milestones!$AC$96)&amp;";  ","")&amp;IF(AND(EDATE($D113,Milestones!$AA$97)&lt;=AsOfDate,EDATE($D113,Milestones!$AA$97)&gt;=SchemeStart,IF($X113=0,$AD113,IF(AND($Z113&lt;&gt;"",EDATE($D113,Milestones!$AA$97)&gt;=$Z113),$AC113,IF(AND($Y113&lt;&gt;"",EDATE($D113,Milestones!$AA$97)&gt;=$Y113),$AB113,$AA113)))=Milestones!$AB$97),UPPER(TEXT(EDATE($D113,Milestones!$AA$97),"dd mmm yy"))&amp;" "&amp;Milestones!$AB$97&amp;" "&amp;IF(AND(Milestones!$AB$97="FT",Milestones!$AA$97=FT_Y5,EDATE($D113,Milestones!$AA$97)&lt;PolicyEff),1,Milestones!$AC$97)&amp;";  ","")&amp;IF(AND(EDATE($D113,Milestones!$AA$98)&lt;=AsOfDate,EDATE($D113,Milestones!$AA$98)&gt;=SchemeStart,IF($X113=0,$AD113,IF(AND($Z113&lt;&gt;"",EDATE($D113,Milestones!$AA$98)&gt;=$Z113),$AC113,IF(AND($Y113&lt;&gt;"",EDATE($D113,Milestones!$AA$98)&gt;=$Y113),$AB113,$AA113)))=Milestones!$AB$98),UPPER(TEXT(EDATE($D113,Milestones!$AA$98),"dd mmm yy"))&amp;" "&amp;Milestones!$AB$98&amp;" "&amp;IF(AND(Milestones!$AB$98="FT",Milestones!$AA$98=FT_Y5,EDATE($D113,Milestones!$AA$98)&lt;PolicyEff),1,Milestones!$AC$98)&amp;";  ","")&amp;IF(AND(EDATE($D113,Milestones!$AA$99)&lt;=AsOfDate,EDATE($D113,Milestones!$AA$99)&gt;=SchemeStart,IF($X113=0,$AD113,IF(AND($Z113&lt;&gt;"",EDATE($D113,Milestones!$AA$99)&gt;=$Z113),$AC113,IF(AND($Y113&lt;&gt;"",EDATE($D113,Milestones!$AA$99)&gt;=$Y113),$AB113,$AA113)))=Milestones!$AB$99),UPPER(TEXT(EDATE($D113,Milestones!$AA$99),"dd mmm yy"))&amp;" "&amp;Milestones!$AB$99&amp;" "&amp;IF(AND(Milestones!$AB$99="FT",Milestones!$AA$99=FT_Y5,EDATE($D113,Milestones!$AA$99)&lt;PolicyEff),1,Milestones!$AC$99)&amp;";  ","")&amp;IF(AND(EDATE($D113,Milestones!$AA$100)&lt;=AsOfDate,EDATE($D113,Milestones!$AA$100)&gt;=SchemeStart,IF($X113=0,$AD113,IF(AND($Z113&lt;&gt;"",EDATE($D113,Milestones!$AA$100)&gt;=$Z113),$AC113,IF(AND($Y113&lt;&gt;"",EDATE($D113,Milestones!$AA$100)&gt;=$Y113),$AB113,$AA113)))=Milestones!$AB$100),UPPER(TEXT(EDATE($D113,Milestones!$AA$100),"dd mmm yy"))&amp;" "&amp;Milestones!$AB$100&amp;" "&amp;IF(AND(Milestones!$AB$100="FT",Milestones!$AA$100=FT_Y5,EDATE($D113,Milestones!$AA$100)&lt;PolicyEff),1,Milestones!$AC$100)&amp;";  ","")&amp;IF(AND(EDATE($D113,Milestones!$AA$101)&lt;=AsOfDate,EDATE($D113,Milestones!$AA$101)&gt;=SchemeStart,IF($X113=0,$AD113,IF(AND($Z113&lt;&gt;"",EDATE($D113,Milestones!$AA$101)&gt;=$Z113),$AC113,IF(AND($Y113&lt;&gt;"",EDATE($D113,Milestones!$AA$101)&gt;=$Y113),$AB113,$AA113)))=Milestones!$AB$101),UPPER(TEXT(EDATE($D113,Milestones!$AA$101),"dd mmm yy"))&amp;" "&amp;Milestones!$AB$101&amp;" "&amp;IF(AND(Milestones!$AB$101="FT",Milestones!$AA$101=FT_Y5,EDATE($D113,Milestones!$AA$101)&lt;PolicyEff),1,Milestones!$AC$101)&amp;";  ","")&amp;IF(AND(EDATE($D113,Milestones!$AA$102)&lt;=AsOfDate,EDATE($D113,Milestones!$AA$102)&gt;=SchemeStart,IF($X113=0,$AD113,IF(AND($Z113&lt;&gt;"",EDATE($D113,Milestones!$AA$102)&gt;=$Z113),$AC113,IF(AND($Y113&lt;&gt;"",EDATE($D113,Milestones!$AA$102)&gt;=$Y113),$AB113,$AA113)))=Milestones!$AB$102),UPPER(TEXT(EDATE($D113,Milestones!$AA$102),"dd mmm yy"))&amp;" "&amp;Milestones!$AB$102&amp;" "&amp;IF(AND(Milestones!$AB$102="FT",Milestones!$AA$102=FT_Y5,EDATE($D113,Milestones!$AA$102)&lt;PolicyEff),1,Milestones!$AC$102)&amp;";  ","")&amp;IF(AND(EDATE($D113,Milestones!$AA$103)&lt;=AsOfDate,EDATE($D113,Milestones!$AA$103)&gt;=SchemeStart,IF($X113=0,$AD113,IF(AND($Z113&lt;&gt;"",EDATE($D113,Milestones!$AA$103)&gt;=$Z113),$AC113,IF(AND($Y113&lt;&gt;"",EDATE($D113,Milestones!$AA$103)&gt;=$Y113),$AB113,$AA113)))=Milestones!$AB$103),UPPER(TEXT(EDATE($D113,Milestones!$AA$103),"dd mmm yy"))&amp;" "&amp;Milestones!$AB$103&amp;" "&amp;IF(AND(Milestones!$AB$103="FT",Milestones!$AA$103=FT_Y5,EDATE($D113,Milestones!$AA$103)&lt;PolicyEff),1,Milestones!$AC$103)&amp;";  ",""))</f>
        <v/>
      </c>
      <c r="P113" s="0" t="str">
        <f aca="false">IF(OR($A113="",$D113=""),"",IF(AND(EDATE($D113,Milestones!$AA$104)&lt;=AsOfDate,EDATE($D113,Milestones!$AA$104)&gt;=SchemeStart,IF($X113=0,$AD113,IF(AND($Z113&lt;&gt;"",EDATE($D113,Milestones!$AA$104)&gt;=$Z113),$AC113,IF(AND($Y113&lt;&gt;"",EDATE($D113,Milestones!$AA$104)&gt;=$Y113),$AB113,$AA113)))=Milestones!$AB$104),UPPER(TEXT(EDATE($D113,Milestones!$AA$104),"dd mmm yy"))&amp;" "&amp;Milestones!$AB$104&amp;" "&amp;IF(AND(Milestones!$AB$104="FT",Milestones!$AA$104=FT_Y5,EDATE($D113,Milestones!$AA$104)&lt;PolicyEff),1,Milestones!$AC$104)&amp;";  ","")&amp;IF(AND(EDATE($D113,Milestones!$AA$105)&lt;=AsOfDate,EDATE($D113,Milestones!$AA$105)&gt;=SchemeStart,IF($X113=0,$AD113,IF(AND($Z113&lt;&gt;"",EDATE($D113,Milestones!$AA$105)&gt;=$Z113),$AC113,IF(AND($Y113&lt;&gt;"",EDATE($D113,Milestones!$AA$105)&gt;=$Y113),$AB113,$AA113)))=Milestones!$AB$105),UPPER(TEXT(EDATE($D113,Milestones!$AA$105),"dd mmm yy"))&amp;" "&amp;Milestones!$AB$105&amp;" "&amp;IF(AND(Milestones!$AB$105="FT",Milestones!$AA$105=FT_Y5,EDATE($D113,Milestones!$AA$105)&lt;PolicyEff),1,Milestones!$AC$105)&amp;";  ","")&amp;IF(AND(EDATE($D113,Milestones!$AA$106)&lt;=AsOfDate,EDATE($D113,Milestones!$AA$106)&gt;=SchemeStart,IF($X113=0,$AD113,IF(AND($Z113&lt;&gt;"",EDATE($D113,Milestones!$AA$106)&gt;=$Z113),$AC113,IF(AND($Y113&lt;&gt;"",EDATE($D113,Milestones!$AA$106)&gt;=$Y113),$AB113,$AA113)))=Milestones!$AB$106),UPPER(TEXT(EDATE($D113,Milestones!$AA$106),"dd mmm yy"))&amp;" "&amp;Milestones!$AB$106&amp;" "&amp;IF(AND(Milestones!$AB$106="FT",Milestones!$AA$106=FT_Y5,EDATE($D113,Milestones!$AA$106)&lt;PolicyEff),1,Milestones!$AC$106)&amp;";  ","")&amp;IF(AND(EDATE($D113,Milestones!$AA$107)&lt;=AsOfDate,EDATE($D113,Milestones!$AA$107)&gt;=SchemeStart,IF($X113=0,$AD113,IF(AND($Z113&lt;&gt;"",EDATE($D113,Milestones!$AA$107)&gt;=$Z113),$AC113,IF(AND($Y113&lt;&gt;"",EDATE($D113,Milestones!$AA$107)&gt;=$Y113),$AB113,$AA113)))=Milestones!$AB$107),UPPER(TEXT(EDATE($D113,Milestones!$AA$107),"dd mmm yy"))&amp;" "&amp;Milestones!$AB$107&amp;" "&amp;IF(AND(Milestones!$AB$107="FT",Milestones!$AA$107=FT_Y5,EDATE($D113,Milestones!$AA$107)&lt;PolicyEff),1,Milestones!$AC$107)&amp;";  ","")&amp;IF(AND(EDATE($D113,Milestones!$AA$108)&lt;=AsOfDate,EDATE($D113,Milestones!$AA$108)&gt;=SchemeStart,IF($X113=0,$AD113,IF(AND($Z113&lt;&gt;"",EDATE($D113,Milestones!$AA$108)&gt;=$Z113),$AC113,IF(AND($Y113&lt;&gt;"",EDATE($D113,Milestones!$AA$108)&gt;=$Y113),$AB113,$AA113)))=Milestones!$AB$108),UPPER(TEXT(EDATE($D113,Milestones!$AA$108),"dd mmm yy"))&amp;" "&amp;Milestones!$AB$108&amp;" "&amp;IF(AND(Milestones!$AB$108="FT",Milestones!$AA$108=FT_Y5,EDATE($D113,Milestones!$AA$108)&lt;PolicyEff),1,Milestones!$AC$108)&amp;";  ","")&amp;IF(AND(EDATE($D113,Milestones!$AA$109)&lt;=AsOfDate,EDATE($D113,Milestones!$AA$109)&gt;=SchemeStart,IF($X113=0,$AD113,IF(AND($Z113&lt;&gt;"",EDATE($D113,Milestones!$AA$109)&gt;=$Z113),$AC113,IF(AND($Y113&lt;&gt;"",EDATE($D113,Milestones!$AA$109)&gt;=$Y113),$AB113,$AA113)))=Milestones!$AB$109),UPPER(TEXT(EDATE($D113,Milestones!$AA$109),"dd mmm yy"))&amp;" "&amp;Milestones!$AB$109&amp;" "&amp;IF(AND(Milestones!$AB$109="FT",Milestones!$AA$109=FT_Y5,EDATE($D113,Milestones!$AA$109)&lt;PolicyEff),1,Milestones!$AC$109)&amp;";  ","")&amp;IF(AND(EDATE($D113,Milestones!$AA$110)&lt;=AsOfDate,EDATE($D113,Milestones!$AA$110)&gt;=SchemeStart,IF($X113=0,$AD113,IF(AND($Z113&lt;&gt;"",EDATE($D113,Milestones!$AA$110)&gt;=$Z113),$AC113,IF(AND($Y113&lt;&gt;"",EDATE($D113,Milestones!$AA$110)&gt;=$Y113),$AB113,$AA113)))=Milestones!$AB$110),UPPER(TEXT(EDATE($D113,Milestones!$AA$110),"dd mmm yy"))&amp;" "&amp;Milestones!$AB$110&amp;" "&amp;IF(AND(Milestones!$AB$110="FT",Milestones!$AA$110=FT_Y5,EDATE($D113,Milestones!$AA$110)&lt;PolicyEff),1,Milestones!$AC$110)&amp;";  ","")&amp;IF(AND(EDATE($D113,Milestones!$AA$111)&lt;=AsOfDate,EDATE($D113,Milestones!$AA$111)&gt;=SchemeStart,IF($X113=0,$AD113,IF(AND($Z113&lt;&gt;"",EDATE($D113,Milestones!$AA$111)&gt;=$Z113),$AC113,IF(AND($Y113&lt;&gt;"",EDATE($D113,Milestones!$AA$111)&gt;=$Y113),$AB113,$AA113)))=Milestones!$AB$111),UPPER(TEXT(EDATE($D113,Milestones!$AA$111),"dd mmm yy"))&amp;" "&amp;Milestones!$AB$111&amp;" "&amp;IF(AND(Milestones!$AB$111="FT",Milestones!$AA$111=FT_Y5,EDATE($D113,Milestones!$AA$111)&lt;PolicyEff),1,Milestones!$AC$111)&amp;";  ","")&amp;IF(AND(EDATE($D113,Milestones!$AA$112)&lt;=AsOfDate,EDATE($D113,Milestones!$AA$112)&gt;=SchemeStart,IF($X113=0,$AD113,IF(AND($Z113&lt;&gt;"",EDATE($D113,Milestones!$AA$112)&gt;=$Z113),$AC113,IF(AND($Y113&lt;&gt;"",EDATE($D113,Milestones!$AA$112)&gt;=$Y113),$AB113,$AA113)))=Milestones!$AB$112),UPPER(TEXT(EDATE($D113,Milestones!$AA$112),"dd mmm yy"))&amp;" "&amp;Milestones!$AB$112&amp;" "&amp;IF(AND(Milestones!$AB$112="FT",Milestones!$AA$112=FT_Y5,EDATE($D113,Milestones!$AA$112)&lt;PolicyEff),1,Milestones!$AC$112)&amp;";  ","")&amp;IF(AND(EDATE($D113,Milestones!$AA$113)&lt;=AsOfDate,EDATE($D113,Milestones!$AA$113)&gt;=SchemeStart,IF($X113=0,$AD113,IF(AND($Z113&lt;&gt;"",EDATE($D113,Milestones!$AA$113)&gt;=$Z113),$AC113,IF(AND($Y113&lt;&gt;"",EDATE($D113,Milestones!$AA$113)&gt;=$Y113),$AB113,$AA113)))=Milestones!$AB$113),UPPER(TEXT(EDATE($D113,Milestones!$AA$113),"dd mmm yy"))&amp;" "&amp;Milestones!$AB$113&amp;" "&amp;IF(AND(Milestones!$AB$113="FT",Milestones!$AA$113=FT_Y5,EDATE($D113,Milestones!$AA$113)&lt;PolicyEff),1,Milestones!$AC$113)&amp;";  ","")&amp;IF(AND(EDATE($D113,Milestones!$AA$114)&lt;=AsOfDate,EDATE($D113,Milestones!$AA$114)&gt;=SchemeStart,IF($X113=0,$AD113,IF(AND($Z113&lt;&gt;"",EDATE($D113,Milestones!$AA$114)&gt;=$Z113),$AC113,IF(AND($Y113&lt;&gt;"",EDATE($D113,Milestones!$AA$114)&gt;=$Y113),$AB113,$AA113)))=Milestones!$AB$114),UPPER(TEXT(EDATE($D113,Milestones!$AA$114),"dd mmm yy"))&amp;" "&amp;Milestones!$AB$114&amp;" "&amp;IF(AND(Milestones!$AB$114="FT",Milestones!$AA$114=FT_Y5,EDATE($D113,Milestones!$AA$114)&lt;PolicyEff),1,Milestones!$AC$114)&amp;";  ","")&amp;IF(AND(EDATE($D113,Milestones!$AA$115)&lt;=AsOfDate,EDATE($D113,Milestones!$AA$115)&gt;=SchemeStart,IF($X113=0,$AD113,IF(AND($Z113&lt;&gt;"",EDATE($D113,Milestones!$AA$115)&gt;=$Z113),$AC113,IF(AND($Y113&lt;&gt;"",EDATE($D113,Milestones!$AA$115)&gt;=$Y113),$AB113,$AA113)))=Milestones!$AB$115),UPPER(TEXT(EDATE($D113,Milestones!$AA$115),"dd mmm yy"))&amp;" "&amp;Milestones!$AB$115&amp;" "&amp;IF(AND(Milestones!$AB$115="FT",Milestones!$AA$115=FT_Y5,EDATE($D113,Milestones!$AA$115)&lt;PolicyEff),1,Milestones!$AC$115)&amp;";  ",""))</f>
        <v/>
      </c>
      <c r="Q113" s="0" t="str">
        <f aca="false">IF(OR($A113="",$D113=""),"",IF(AND(EDATE($D113,Milestones!$AA$116)&lt;=AsOfDate,EDATE($D113,Milestones!$AA$116)&gt;=SchemeStart,IF($X113=0,$AD113,IF(AND($Z113&lt;&gt;"",EDATE($D113,Milestones!$AA$116)&gt;=$Z113),$AC113,IF(AND($Y113&lt;&gt;"",EDATE($D113,Milestones!$AA$116)&gt;=$Y113),$AB113,$AA113)))=Milestones!$AB$116),UPPER(TEXT(EDATE($D113,Milestones!$AA$116),"dd mmm yy"))&amp;" "&amp;Milestones!$AB$116&amp;" "&amp;IF(AND(Milestones!$AB$116="FT",Milestones!$AA$116=FT_Y5,EDATE($D113,Milestones!$AA$116)&lt;PolicyEff),1,Milestones!$AC$116)&amp;";  ","")&amp;IF(AND(EDATE($D113,Milestones!$AA$117)&lt;=AsOfDate,EDATE($D113,Milestones!$AA$117)&gt;=SchemeStart,IF($X113=0,$AD113,IF(AND($Z113&lt;&gt;"",EDATE($D113,Milestones!$AA$117)&gt;=$Z113),$AC113,IF(AND($Y113&lt;&gt;"",EDATE($D113,Milestones!$AA$117)&gt;=$Y113),$AB113,$AA113)))=Milestones!$AB$117),UPPER(TEXT(EDATE($D113,Milestones!$AA$117),"dd mmm yy"))&amp;" "&amp;Milestones!$AB$117&amp;" "&amp;IF(AND(Milestones!$AB$117="FT",Milestones!$AA$117=FT_Y5,EDATE($D113,Milestones!$AA$117)&lt;PolicyEff),1,Milestones!$AC$117)&amp;";  ","")&amp;IF(AND(EDATE($D113,Milestones!$AA$118)&lt;=AsOfDate,EDATE($D113,Milestones!$AA$118)&gt;=SchemeStart,IF($X113=0,$AD113,IF(AND($Z113&lt;&gt;"",EDATE($D113,Milestones!$AA$118)&gt;=$Z113),$AC113,IF(AND($Y113&lt;&gt;"",EDATE($D113,Milestones!$AA$118)&gt;=$Y113),$AB113,$AA113)))=Milestones!$AB$118),UPPER(TEXT(EDATE($D113,Milestones!$AA$118),"dd mmm yy"))&amp;" "&amp;Milestones!$AB$118&amp;" "&amp;IF(AND(Milestones!$AB$118="FT",Milestones!$AA$118=FT_Y5,EDATE($D113,Milestones!$AA$118)&lt;PolicyEff),1,Milestones!$AC$118)&amp;";  ","")&amp;IF(AND(EDATE($D113,Milestones!$AA$119)&lt;=AsOfDate,EDATE($D113,Milestones!$AA$119)&gt;=SchemeStart,IF($X113=0,$AD113,IF(AND($Z113&lt;&gt;"",EDATE($D113,Milestones!$AA$119)&gt;=$Z113),$AC113,IF(AND($Y113&lt;&gt;"",EDATE($D113,Milestones!$AA$119)&gt;=$Y113),$AB113,$AA113)))=Milestones!$AB$119),UPPER(TEXT(EDATE($D113,Milestones!$AA$119),"dd mmm yy"))&amp;" "&amp;Milestones!$AB$119&amp;" "&amp;IF(AND(Milestones!$AB$119="FT",Milestones!$AA$119=FT_Y5,EDATE($D113,Milestones!$AA$119)&lt;PolicyEff),1,Milestones!$AC$119)&amp;";  ","")&amp;IF(AND(EDATE($D113,Milestones!$AA$120)&lt;=AsOfDate,EDATE($D113,Milestones!$AA$120)&gt;=SchemeStart,IF($X113=0,$AD113,IF(AND($Z113&lt;&gt;"",EDATE($D113,Milestones!$AA$120)&gt;=$Z113),$AC113,IF(AND($Y113&lt;&gt;"",EDATE($D113,Milestones!$AA$120)&gt;=$Y113),$AB113,$AA113)))=Milestones!$AB$120),UPPER(TEXT(EDATE($D113,Milestones!$AA$120),"dd mmm yy"))&amp;" "&amp;Milestones!$AB$120&amp;" "&amp;IF(AND(Milestones!$AB$120="FT",Milestones!$AA$120=FT_Y5,EDATE($D113,Milestones!$AA$120)&lt;PolicyEff),1,Milestones!$AC$120)&amp;";  ","")&amp;IF(AND(EDATE($D113,Milestones!$AA$121)&lt;=AsOfDate,EDATE($D113,Milestones!$AA$121)&gt;=SchemeStart,IF($X113=0,$AD113,IF(AND($Z113&lt;&gt;"",EDATE($D113,Milestones!$AA$121)&gt;=$Z113),$AC113,IF(AND($Y113&lt;&gt;"",EDATE($D113,Milestones!$AA$121)&gt;=$Y113),$AB113,$AA113)))=Milestones!$AB$121),UPPER(TEXT(EDATE($D113,Milestones!$AA$121),"dd mmm yy"))&amp;" "&amp;Milestones!$AB$121&amp;" "&amp;IF(AND(Milestones!$AB$121="FT",Milestones!$AA$121=FT_Y5,EDATE($D113,Milestones!$AA$121)&lt;PolicyEff),1,Milestones!$AC$121)&amp;";  ","")&amp;IF(AND(EDATE($D113,Milestones!$AA$122)&lt;=AsOfDate,EDATE($D113,Milestones!$AA$122)&gt;=SchemeStart,IF($X113=0,$AD113,IF(AND($Z113&lt;&gt;"",EDATE($D113,Milestones!$AA$122)&gt;=$Z113),$AC113,IF(AND($Y113&lt;&gt;"",EDATE($D113,Milestones!$AA$122)&gt;=$Y113),$AB113,$AA113)))=Milestones!$AB$122),UPPER(TEXT(EDATE($D113,Milestones!$AA$122),"dd mmm yy"))&amp;" "&amp;Milestones!$AB$122&amp;" "&amp;IF(AND(Milestones!$AB$122="FT",Milestones!$AA$122=FT_Y5,EDATE($D113,Milestones!$AA$122)&lt;PolicyEff),1,Milestones!$AC$122)&amp;";  ","")&amp;IF(AND(EDATE($D113,Milestones!$AA$123)&lt;=AsOfDate,EDATE($D113,Milestones!$AA$123)&gt;=SchemeStart,IF($X113=0,$AD113,IF(AND($Z113&lt;&gt;"",EDATE($D113,Milestones!$AA$123)&gt;=$Z113),$AC113,IF(AND($Y113&lt;&gt;"",EDATE($D113,Milestones!$AA$123)&gt;=$Y113),$AB113,$AA113)))=Milestones!$AB$123),UPPER(TEXT(EDATE($D113,Milestones!$AA$123),"dd mmm yy"))&amp;" "&amp;Milestones!$AB$123&amp;" "&amp;IF(AND(Milestones!$AB$123="FT",Milestones!$AA$123=FT_Y5,EDATE($D113,Milestones!$AA$123)&lt;PolicyEff),1,Milestones!$AC$123)&amp;";  ","")&amp;IF(AND(EDATE($D113,Milestones!$AA$124)&lt;=AsOfDate,EDATE($D113,Milestones!$AA$124)&gt;=SchemeStart,IF($X113=0,$AD113,IF(AND($Z113&lt;&gt;"",EDATE($D113,Milestones!$AA$124)&gt;=$Z113),$AC113,IF(AND($Y113&lt;&gt;"",EDATE($D113,Milestones!$AA$124)&gt;=$Y113),$AB113,$AA113)))=Milestones!$AB$124),UPPER(TEXT(EDATE($D113,Milestones!$AA$124),"dd mmm yy"))&amp;" "&amp;Milestones!$AB$124&amp;" "&amp;IF(AND(Milestones!$AB$124="FT",Milestones!$AA$124=FT_Y5,EDATE($D113,Milestones!$AA$124)&lt;PolicyEff),1,Milestones!$AC$124)&amp;";  ","")&amp;IF(AND(EDATE($D113,Milestones!$AA$125)&lt;=AsOfDate,EDATE($D113,Milestones!$AA$125)&gt;=SchemeStart,IF($X113=0,$AD113,IF(AND($Z113&lt;&gt;"",EDATE($D113,Milestones!$AA$125)&gt;=$Z113),$AC113,IF(AND($Y113&lt;&gt;"",EDATE($D113,Milestones!$AA$125)&gt;=$Y113),$AB113,$AA113)))=Milestones!$AB$125),UPPER(TEXT(EDATE($D113,Milestones!$AA$125),"dd mmm yy"))&amp;" "&amp;Milestones!$AB$125&amp;" "&amp;IF(AND(Milestones!$AB$125="FT",Milestones!$AA$125=FT_Y5,EDATE($D113,Milestones!$AA$125)&lt;PolicyEff),1,Milestones!$AC$125)&amp;";  ","")&amp;IF(AND(EDATE($D113,Milestones!$AA$126)&lt;=AsOfDate,EDATE($D113,Milestones!$AA$126)&gt;=SchemeStart,IF($X113=0,$AD113,IF(AND($Z113&lt;&gt;"",EDATE($D113,Milestones!$AA$126)&gt;=$Z113),$AC113,IF(AND($Y113&lt;&gt;"",EDATE($D113,Milestones!$AA$126)&gt;=$Y113),$AB113,$AA113)))=Milestones!$AB$126),UPPER(TEXT(EDATE($D113,Milestones!$AA$126),"dd mmm yy"))&amp;" "&amp;Milestones!$AB$126&amp;" "&amp;IF(AND(Milestones!$AB$126="FT",Milestones!$AA$126=FT_Y5,EDATE($D113,Milestones!$AA$126)&lt;PolicyEff),1,Milestones!$AC$126)&amp;";  ","")&amp;IF(AND(EDATE($D113,Milestones!$AA$127)&lt;=AsOfDate,EDATE($D113,Milestones!$AA$127)&gt;=SchemeStart,IF($X113=0,$AD113,IF(AND($Z113&lt;&gt;"",EDATE($D113,Milestones!$AA$127)&gt;=$Z113),$AC113,IF(AND($Y113&lt;&gt;"",EDATE($D113,Milestones!$AA$127)&gt;=$Y113),$AB113,$AA113)))=Milestones!$AB$127),UPPER(TEXT(EDATE($D113,Milestones!$AA$127),"dd mmm yy"))&amp;" "&amp;Milestones!$AB$127&amp;" "&amp;IF(AND(Milestones!$AB$127="FT",Milestones!$AA$127=FT_Y5,EDATE($D113,Milestones!$AA$127)&lt;PolicyEff),1,Milestones!$AC$127)&amp;";  ",""))</f>
        <v/>
      </c>
      <c r="R113" s="0" t="str">
        <f aca="false">IF(OR($A113="",$D113=""),"",IF(AND(EDATE($D113,Milestones!$AA$128)&lt;=AsOfDate,EDATE($D113,Milestones!$AA$128)&gt;=SchemeStart,IF($X113=0,$AD113,IF(AND($Z113&lt;&gt;"",EDATE($D113,Milestones!$AA$128)&gt;=$Z113),$AC113,IF(AND($Y113&lt;&gt;"",EDATE($D113,Milestones!$AA$128)&gt;=$Y113),$AB113,$AA113)))=Milestones!$AB$128),UPPER(TEXT(EDATE($D113,Milestones!$AA$128),"dd mmm yy"))&amp;" "&amp;Milestones!$AB$128&amp;" "&amp;IF(AND(Milestones!$AB$128="FT",Milestones!$AA$128=FT_Y5,EDATE($D113,Milestones!$AA$128)&lt;PolicyEff),1,Milestones!$AC$128)&amp;";  ","")&amp;IF(AND(EDATE($D113,Milestones!$AA$129)&lt;=AsOfDate,EDATE($D113,Milestones!$AA$129)&gt;=SchemeStart,IF($X113=0,$AD113,IF(AND($Z113&lt;&gt;"",EDATE($D113,Milestones!$AA$129)&gt;=$Z113),$AC113,IF(AND($Y113&lt;&gt;"",EDATE($D113,Milestones!$AA$129)&gt;=$Y113),$AB113,$AA113)))=Milestones!$AB$129),UPPER(TEXT(EDATE($D113,Milestones!$AA$129),"dd mmm yy"))&amp;" "&amp;Milestones!$AB$129&amp;" "&amp;IF(AND(Milestones!$AB$129="FT",Milestones!$AA$129=FT_Y5,EDATE($D113,Milestones!$AA$129)&lt;PolicyEff),1,Milestones!$AC$129)&amp;";  ","")&amp;IF(AND(EDATE($D113,Milestones!$AA$130)&lt;=AsOfDate,EDATE($D113,Milestones!$AA$130)&gt;=SchemeStart,IF($X113=0,$AD113,IF(AND($Z113&lt;&gt;"",EDATE($D113,Milestones!$AA$130)&gt;=$Z113),$AC113,IF(AND($Y113&lt;&gt;"",EDATE($D113,Milestones!$AA$130)&gt;=$Y113),$AB113,$AA113)))=Milestones!$AB$130),UPPER(TEXT(EDATE($D113,Milestones!$AA$130),"dd mmm yy"))&amp;" "&amp;Milestones!$AB$130&amp;" "&amp;IF(AND(Milestones!$AB$130="FT",Milestones!$AA$130=FT_Y5,EDATE($D113,Milestones!$AA$130)&lt;PolicyEff),1,Milestones!$AC$130)&amp;";  ","")&amp;IF(AND(EDATE($D113,Milestones!$AA$131)&lt;=AsOfDate,EDATE($D113,Milestones!$AA$131)&gt;=SchemeStart,IF($X113=0,$AD113,IF(AND($Z113&lt;&gt;"",EDATE($D113,Milestones!$AA$131)&gt;=$Z113),$AC113,IF(AND($Y113&lt;&gt;"",EDATE($D113,Milestones!$AA$131)&gt;=$Y113),$AB113,$AA113)))=Milestones!$AB$131),UPPER(TEXT(EDATE($D113,Milestones!$AA$131),"dd mmm yy"))&amp;" "&amp;Milestones!$AB$131&amp;" "&amp;IF(AND(Milestones!$AB$131="FT",Milestones!$AA$131=FT_Y5,EDATE($D113,Milestones!$AA$131)&lt;PolicyEff),1,Milestones!$AC$131)&amp;";  ","")&amp;IF(AND(EDATE($D113,Milestones!$AA$132)&lt;=AsOfDate,EDATE($D113,Milestones!$AA$132)&gt;=SchemeStart,IF($X113=0,$AD113,IF(AND($Z113&lt;&gt;"",EDATE($D113,Milestones!$AA$132)&gt;=$Z113),$AC113,IF(AND($Y113&lt;&gt;"",EDATE($D113,Milestones!$AA$132)&gt;=$Y113),$AB113,$AA113)))=Milestones!$AB$132),UPPER(TEXT(EDATE($D113,Milestones!$AA$132),"dd mmm yy"))&amp;" "&amp;Milestones!$AB$132&amp;" "&amp;IF(AND(Milestones!$AB$132="FT",Milestones!$AA$132=FT_Y5,EDATE($D113,Milestones!$AA$132)&lt;PolicyEff),1,Milestones!$AC$132)&amp;";  ","")&amp;IF(AND(EDATE($D113,Milestones!$AA$133)&lt;=AsOfDate,EDATE($D113,Milestones!$AA$133)&gt;=SchemeStart,IF($X113=0,$AD113,IF(AND($Z113&lt;&gt;"",EDATE($D113,Milestones!$AA$133)&gt;=$Z113),$AC113,IF(AND($Y113&lt;&gt;"",EDATE($D113,Milestones!$AA$133)&gt;=$Y113),$AB113,$AA113)))=Milestones!$AB$133),UPPER(TEXT(EDATE($D113,Milestones!$AA$133),"dd mmm yy"))&amp;" "&amp;Milestones!$AB$133&amp;" "&amp;IF(AND(Milestones!$AB$133="FT",Milestones!$AA$133=FT_Y5,EDATE($D113,Milestones!$AA$133)&lt;PolicyEff),1,Milestones!$AC$133)&amp;";  ","")&amp;IF(AND(EDATE($D113,Milestones!$AA$134)&lt;=AsOfDate,EDATE($D113,Milestones!$AA$134)&gt;=SchemeStart,IF($X113=0,$AD113,IF(AND($Z113&lt;&gt;"",EDATE($D113,Milestones!$AA$134)&gt;=$Z113),$AC113,IF(AND($Y113&lt;&gt;"",EDATE($D113,Milestones!$AA$134)&gt;=$Y113),$AB113,$AA113)))=Milestones!$AB$134),UPPER(TEXT(EDATE($D113,Milestones!$AA$134),"dd mmm yy"))&amp;" "&amp;Milestones!$AB$134&amp;" "&amp;IF(AND(Milestones!$AB$134="FT",Milestones!$AA$134=FT_Y5,EDATE($D113,Milestones!$AA$134)&lt;PolicyEff),1,Milestones!$AC$134)&amp;";  ","")&amp;IF(AND(EDATE($D113,Milestones!$AA$135)&lt;=AsOfDate,EDATE($D113,Milestones!$AA$135)&gt;=SchemeStart,IF($X113=0,$AD113,IF(AND($Z113&lt;&gt;"",EDATE($D113,Milestones!$AA$135)&gt;=$Z113),$AC113,IF(AND($Y113&lt;&gt;"",EDATE($D113,Milestones!$AA$135)&gt;=$Y113),$AB113,$AA113)))=Milestones!$AB$135),UPPER(TEXT(EDATE($D113,Milestones!$AA$135),"dd mmm yy"))&amp;" "&amp;Milestones!$AB$135&amp;" "&amp;IF(AND(Milestones!$AB$135="FT",Milestones!$AA$135=FT_Y5,EDATE($D113,Milestones!$AA$135)&lt;PolicyEff),1,Milestones!$AC$135)&amp;";  ","")&amp;IF(AND(EDATE($D113,Milestones!$AA$136)&lt;=AsOfDate,EDATE($D113,Milestones!$AA$136)&gt;=SchemeStart,IF($X113=0,$AD113,IF(AND($Z113&lt;&gt;"",EDATE($D113,Milestones!$AA$136)&gt;=$Z113),$AC113,IF(AND($Y113&lt;&gt;"",EDATE($D113,Milestones!$AA$136)&gt;=$Y113),$AB113,$AA113)))=Milestones!$AB$136),UPPER(TEXT(EDATE($D113,Milestones!$AA$136),"dd mmm yy"))&amp;" "&amp;Milestones!$AB$136&amp;" "&amp;IF(AND(Milestones!$AB$136="FT",Milestones!$AA$136=FT_Y5,EDATE($D113,Milestones!$AA$136)&lt;PolicyEff),1,Milestones!$AC$136)&amp;";  ","")&amp;IF(AND(EDATE($D113,Milestones!$AA$137)&lt;=AsOfDate,EDATE($D113,Milestones!$AA$137)&gt;=SchemeStart,IF($X113=0,$AD113,IF(AND($Z113&lt;&gt;"",EDATE($D113,Milestones!$AA$137)&gt;=$Z113),$AC113,IF(AND($Y113&lt;&gt;"",EDATE($D113,Milestones!$AA$137)&gt;=$Y113),$AB113,$AA113)))=Milestones!$AB$137),UPPER(TEXT(EDATE($D113,Milestones!$AA$137),"dd mmm yy"))&amp;" "&amp;Milestones!$AB$137&amp;" "&amp;IF(AND(Milestones!$AB$137="FT",Milestones!$AA$137=FT_Y5,EDATE($D113,Milestones!$AA$137)&lt;PolicyEff),1,Milestones!$AC$137)&amp;";  ","")&amp;IF(AND(EDATE($D113,Milestones!$AA$138)&lt;=AsOfDate,EDATE($D113,Milestones!$AA$138)&gt;=SchemeStart,IF($X113=0,$AD113,IF(AND($Z113&lt;&gt;"",EDATE($D113,Milestones!$AA$138)&gt;=$Z113),$AC113,IF(AND($Y113&lt;&gt;"",EDATE($D113,Milestones!$AA$138)&gt;=$Y113),$AB113,$AA113)))=Milestones!$AB$138),UPPER(TEXT(EDATE($D113,Milestones!$AA$138),"dd mmm yy"))&amp;" "&amp;Milestones!$AB$138&amp;" "&amp;IF(AND(Milestones!$AB$138="FT",Milestones!$AA$138=FT_Y5,EDATE($D113,Milestones!$AA$138)&lt;PolicyEff),1,Milestones!$AC$138)&amp;";  ","")&amp;IF(AND(EDATE($D113,Milestones!$AA$139)&lt;=AsOfDate,EDATE($D113,Milestones!$AA$139)&gt;=SchemeStart,IF($X113=0,$AD113,IF(AND($Z113&lt;&gt;"",EDATE($D113,Milestones!$AA$139)&gt;=$Z113),$AC113,IF(AND($Y113&lt;&gt;"",EDATE($D113,Milestones!$AA$139)&gt;=$Y113),$AB113,$AA113)))=Milestones!$AB$139),UPPER(TEXT(EDATE($D113,Milestones!$AA$139),"dd mmm yy"))&amp;" "&amp;Milestones!$AB$139&amp;" "&amp;IF(AND(Milestones!$AB$139="FT",Milestones!$AA$139=FT_Y5,EDATE($D113,Milestones!$AA$139)&lt;PolicyEff),1,Milestones!$AC$139)&amp;";  ",""))</f>
        <v/>
      </c>
      <c r="S113" s="0" t="str">
        <f aca="false">IF(OR($A113="",$D113=""),"",IF(AND(EDATE($D113,Milestones!$AA$140)&lt;=AsOfDate,EDATE($D113,Milestones!$AA$140)&gt;=SchemeStart,IF($X113=0,$AD113,IF(AND($Z113&lt;&gt;"",EDATE($D113,Milestones!$AA$140)&gt;=$Z113),$AC113,IF(AND($Y113&lt;&gt;"",EDATE($D113,Milestones!$AA$140)&gt;=$Y113),$AB113,$AA113)))=Milestones!$AB$140),UPPER(TEXT(EDATE($D113,Milestones!$AA$140),"dd mmm yy"))&amp;" "&amp;Milestones!$AB$140&amp;" "&amp;IF(AND(Milestones!$AB$140="FT",Milestones!$AA$140=FT_Y5,EDATE($D113,Milestones!$AA$140)&lt;PolicyEff),1,Milestones!$AC$140)&amp;";  ","")&amp;IF(AND(EDATE($D113,Milestones!$AA$141)&lt;=AsOfDate,EDATE($D113,Milestones!$AA$141)&gt;=SchemeStart,IF($X113=0,$AD113,IF(AND($Z113&lt;&gt;"",EDATE($D113,Milestones!$AA$141)&gt;=$Z113),$AC113,IF(AND($Y113&lt;&gt;"",EDATE($D113,Milestones!$AA$141)&gt;=$Y113),$AB113,$AA113)))=Milestones!$AB$141),UPPER(TEXT(EDATE($D113,Milestones!$AA$141),"dd mmm yy"))&amp;" "&amp;Milestones!$AB$141&amp;" "&amp;IF(AND(Milestones!$AB$141="FT",Milestones!$AA$141=FT_Y5,EDATE($D113,Milestones!$AA$141)&lt;PolicyEff),1,Milestones!$AC$141)&amp;";  ","")&amp;IF(AND(EDATE($D113,Milestones!$AA$142)&lt;=AsOfDate,EDATE($D113,Milestones!$AA$142)&gt;=SchemeStart,IF($X113=0,$AD113,IF(AND($Z113&lt;&gt;"",EDATE($D113,Milestones!$AA$142)&gt;=$Z113),$AC113,IF(AND($Y113&lt;&gt;"",EDATE($D113,Milestones!$AA$142)&gt;=$Y113),$AB113,$AA113)))=Milestones!$AB$142),UPPER(TEXT(EDATE($D113,Milestones!$AA$142),"dd mmm yy"))&amp;" "&amp;Milestones!$AB$142&amp;" "&amp;IF(AND(Milestones!$AB$142="FT",Milestones!$AA$142=FT_Y5,EDATE($D113,Milestones!$AA$142)&lt;PolicyEff),1,Milestones!$AC$142)&amp;";  ","")&amp;IF(AND(EDATE($D113,Milestones!$AA$143)&lt;=AsOfDate,EDATE($D113,Milestones!$AA$143)&gt;=SchemeStart,IF($X113=0,$AD113,IF(AND($Z113&lt;&gt;"",EDATE($D113,Milestones!$AA$143)&gt;=$Z113),$AC113,IF(AND($Y113&lt;&gt;"",EDATE($D113,Milestones!$AA$143)&gt;=$Y113),$AB113,$AA113)))=Milestones!$AB$143),UPPER(TEXT(EDATE($D113,Milestones!$AA$143),"dd mmm yy"))&amp;" "&amp;Milestones!$AB$143&amp;" "&amp;IF(AND(Milestones!$AB$143="FT",Milestones!$AA$143=FT_Y5,EDATE($D113,Milestones!$AA$143)&lt;PolicyEff),1,Milestones!$AC$143)&amp;";  ","")&amp;IF(AND(EDATE($D113,Milestones!$AA$144)&lt;=AsOfDate,EDATE($D113,Milestones!$AA$144)&gt;=SchemeStart,IF($X113=0,$AD113,IF(AND($Z113&lt;&gt;"",EDATE($D113,Milestones!$AA$144)&gt;=$Z113),$AC113,IF(AND($Y113&lt;&gt;"",EDATE($D113,Milestones!$AA$144)&gt;=$Y113),$AB113,$AA113)))=Milestones!$AB$144),UPPER(TEXT(EDATE($D113,Milestones!$AA$144),"dd mmm yy"))&amp;" "&amp;Milestones!$AB$144&amp;" "&amp;IF(AND(Milestones!$AB$144="FT",Milestones!$AA$144=FT_Y5,EDATE($D113,Milestones!$AA$144)&lt;PolicyEff),1,Milestones!$AC$144)&amp;";  ","")&amp;IF(AND(EDATE($D113,Milestones!$AA$145)&lt;=AsOfDate,EDATE($D113,Milestones!$AA$145)&gt;=SchemeStart,IF($X113=0,$AD113,IF(AND($Z113&lt;&gt;"",EDATE($D113,Milestones!$AA$145)&gt;=$Z113),$AC113,IF(AND($Y113&lt;&gt;"",EDATE($D113,Milestones!$AA$145)&gt;=$Y113),$AB113,$AA113)))=Milestones!$AB$145),UPPER(TEXT(EDATE($D113,Milestones!$AA$145),"dd mmm yy"))&amp;" "&amp;Milestones!$AB$145&amp;" "&amp;IF(AND(Milestones!$AB$145="FT",Milestones!$AA$145=FT_Y5,EDATE($D113,Milestones!$AA$145)&lt;PolicyEff),1,Milestones!$AC$145)&amp;";  ","")&amp;IF(AND(EDATE($D113,Milestones!$AA$146)&lt;=AsOfDate,EDATE($D113,Milestones!$AA$146)&gt;=SchemeStart,IF($X113=0,$AD113,IF(AND($Z113&lt;&gt;"",EDATE($D113,Milestones!$AA$146)&gt;=$Z113),$AC113,IF(AND($Y113&lt;&gt;"",EDATE($D113,Milestones!$AA$146)&gt;=$Y113),$AB113,$AA113)))=Milestones!$AB$146),UPPER(TEXT(EDATE($D113,Milestones!$AA$146),"dd mmm yy"))&amp;" "&amp;Milestones!$AB$146&amp;" "&amp;IF(AND(Milestones!$AB$146="FT",Milestones!$AA$146=FT_Y5,EDATE($D113,Milestones!$AA$146)&lt;PolicyEff),1,Milestones!$AC$146)&amp;";  ","")&amp;IF(AND(EDATE($D113,Milestones!$AA$147)&lt;=AsOfDate,EDATE($D113,Milestones!$AA$147)&gt;=SchemeStart,IF($X113=0,$AD113,IF(AND($Z113&lt;&gt;"",EDATE($D113,Milestones!$AA$147)&gt;=$Z113),$AC113,IF(AND($Y113&lt;&gt;"",EDATE($D113,Milestones!$AA$147)&gt;=$Y113),$AB113,$AA113)))=Milestones!$AB$147),UPPER(TEXT(EDATE($D113,Milestones!$AA$147),"dd mmm yy"))&amp;" "&amp;Milestones!$AB$147&amp;" "&amp;IF(AND(Milestones!$AB$147="FT",Milestones!$AA$147=FT_Y5,EDATE($D113,Milestones!$AA$147)&lt;PolicyEff),1,Milestones!$AC$147)&amp;";  ","")&amp;IF(AND(EDATE($D113,Milestones!$AA$148)&lt;=AsOfDate,EDATE($D113,Milestones!$AA$148)&gt;=SchemeStart,IF($X113=0,$AD113,IF(AND($Z113&lt;&gt;"",EDATE($D113,Milestones!$AA$148)&gt;=$Z113),$AC113,IF(AND($Y113&lt;&gt;"",EDATE($D113,Milestones!$AA$148)&gt;=$Y113),$AB113,$AA113)))=Milestones!$AB$148),UPPER(TEXT(EDATE($D113,Milestones!$AA$148),"dd mmm yy"))&amp;" "&amp;Milestones!$AB$148&amp;" "&amp;IF(AND(Milestones!$AB$148="FT",Milestones!$AA$148=FT_Y5,EDATE($D113,Milestones!$AA$148)&lt;PolicyEff),1,Milestones!$AC$148)&amp;";  ","")&amp;IF(AND(EDATE($D113,Milestones!$AA$149)&lt;=AsOfDate,EDATE($D113,Milestones!$AA$149)&gt;=SchemeStart,IF($X113=0,$AD113,IF(AND($Z113&lt;&gt;"",EDATE($D113,Milestones!$AA$149)&gt;=$Z113),$AC113,IF(AND($Y113&lt;&gt;"",EDATE($D113,Milestones!$AA$149)&gt;=$Y113),$AB113,$AA113)))=Milestones!$AB$149),UPPER(TEXT(EDATE($D113,Milestones!$AA$149),"dd mmm yy"))&amp;" "&amp;Milestones!$AB$149&amp;" "&amp;IF(AND(Milestones!$AB$149="FT",Milestones!$AA$149=FT_Y5,EDATE($D113,Milestones!$AA$149)&lt;PolicyEff),1,Milestones!$AC$149)&amp;";  ","")&amp;IF(AND(EDATE($D113,Milestones!$AA$150)&lt;=AsOfDate,EDATE($D113,Milestones!$AA$150)&gt;=SchemeStart,IF($X113=0,$AD113,IF(AND($Z113&lt;&gt;"",EDATE($D113,Milestones!$AA$150)&gt;=$Z113),$AC113,IF(AND($Y113&lt;&gt;"",EDATE($D113,Milestones!$AA$150)&gt;=$Y113),$AB113,$AA113)))=Milestones!$AB$150),UPPER(TEXT(EDATE($D113,Milestones!$AA$150),"dd mmm yy"))&amp;" "&amp;Milestones!$AB$150&amp;" "&amp;IF(AND(Milestones!$AB$150="FT",Milestones!$AA$150=FT_Y5,EDATE($D113,Milestones!$AA$150)&lt;PolicyEff),1,Milestones!$AC$150)&amp;";  ","")&amp;IF(AND(EDATE($D113,Milestones!$AA$151)&lt;=AsOfDate,EDATE($D113,Milestones!$AA$151)&gt;=SchemeStart,IF($X113=0,$AD113,IF(AND($Z113&lt;&gt;"",EDATE($D113,Milestones!$AA$151)&gt;=$Z113),$AC113,IF(AND($Y113&lt;&gt;"",EDATE($D113,Milestones!$AA$151)&gt;=$Y113),$AB113,$AA113)))=Milestones!$AB$151),UPPER(TEXT(EDATE($D113,Milestones!$AA$151),"dd mmm yy"))&amp;" "&amp;Milestones!$AB$151&amp;" "&amp;IF(AND(Milestones!$AB$151="FT",Milestones!$AA$151=FT_Y5,EDATE($D113,Milestones!$AA$151)&lt;PolicyEff),1,Milestones!$AC$151)&amp;";  ",""))</f>
        <v/>
      </c>
      <c r="T113" s="0" t="str">
        <f aca="false">IF(OR($A113="",$D113=""),"",IF(AND(EDATE($D113,Milestones!$AA$152)&lt;=AsOfDate,EDATE($D113,Milestones!$AA$152)&gt;=SchemeStart,IF($X113=0,$AD113,IF(AND($Z113&lt;&gt;"",EDATE($D113,Milestones!$AA$152)&gt;=$Z113),$AC113,IF(AND($Y113&lt;&gt;"",EDATE($D113,Milestones!$AA$152)&gt;=$Y113),$AB113,$AA113)))=Milestones!$AB$152),UPPER(TEXT(EDATE($D113,Milestones!$AA$152),"dd mmm yy"))&amp;" "&amp;Milestones!$AB$152&amp;" "&amp;IF(AND(Milestones!$AB$152="FT",Milestones!$AA$152=FT_Y5,EDATE($D113,Milestones!$AA$152)&lt;PolicyEff),1,Milestones!$AC$152)&amp;";  ","")&amp;IF(AND(EDATE($D113,Milestones!$AA$153)&lt;=AsOfDate,EDATE($D113,Milestones!$AA$153)&gt;=SchemeStart,IF($X113=0,$AD113,IF(AND($Z113&lt;&gt;"",EDATE($D113,Milestones!$AA$153)&gt;=$Z113),$AC113,IF(AND($Y113&lt;&gt;"",EDATE($D113,Milestones!$AA$153)&gt;=$Y113),$AB113,$AA113)))=Milestones!$AB$153),UPPER(TEXT(EDATE($D113,Milestones!$AA$153),"dd mmm yy"))&amp;" "&amp;Milestones!$AB$153&amp;" "&amp;IF(AND(Milestones!$AB$153="FT",Milestones!$AA$153=FT_Y5,EDATE($D113,Milestones!$AA$153)&lt;PolicyEff),1,Milestones!$AC$153)&amp;";  ","")&amp;IF(AND(EDATE($D113,Milestones!$AA$154)&lt;=AsOfDate,EDATE($D113,Milestones!$AA$154)&gt;=SchemeStart,IF($X113=0,$AD113,IF(AND($Z113&lt;&gt;"",EDATE($D113,Milestones!$AA$154)&gt;=$Z113),$AC113,IF(AND($Y113&lt;&gt;"",EDATE($D113,Milestones!$AA$154)&gt;=$Y113),$AB113,$AA113)))=Milestones!$AB$154),UPPER(TEXT(EDATE($D113,Milestones!$AA$154),"dd mmm yy"))&amp;" "&amp;Milestones!$AB$154&amp;" "&amp;IF(AND(Milestones!$AB$154="FT",Milestones!$AA$154=FT_Y5,EDATE($D113,Milestones!$AA$154)&lt;PolicyEff),1,Milestones!$AC$154)&amp;";  ","")&amp;IF(AND(EDATE($D113,Milestones!$AA$155)&lt;=AsOfDate,EDATE($D113,Milestones!$AA$155)&gt;=SchemeStart,IF($X113=0,$AD113,IF(AND($Z113&lt;&gt;"",EDATE($D113,Milestones!$AA$155)&gt;=$Z113),$AC113,IF(AND($Y113&lt;&gt;"",EDATE($D113,Milestones!$AA$155)&gt;=$Y113),$AB113,$AA113)))=Milestones!$AB$155),UPPER(TEXT(EDATE($D113,Milestones!$AA$155),"dd mmm yy"))&amp;" "&amp;Milestones!$AB$155&amp;" "&amp;IF(AND(Milestones!$AB$155="FT",Milestones!$AA$155=FT_Y5,EDATE($D113,Milestones!$AA$155)&lt;PolicyEff),1,Milestones!$AC$155)&amp;";  ","")&amp;IF(AND(EDATE($D113,Milestones!$AA$156)&lt;=AsOfDate,EDATE($D113,Milestones!$AA$156)&gt;=SchemeStart,IF($X113=0,$AD113,IF(AND($Z113&lt;&gt;"",EDATE($D113,Milestones!$AA$156)&gt;=$Z113),$AC113,IF(AND($Y113&lt;&gt;"",EDATE($D113,Milestones!$AA$156)&gt;=$Y113),$AB113,$AA113)))=Milestones!$AB$156),UPPER(TEXT(EDATE($D113,Milestones!$AA$156),"dd mmm yy"))&amp;" "&amp;Milestones!$AB$156&amp;" "&amp;IF(AND(Milestones!$AB$156="FT",Milestones!$AA$156=FT_Y5,EDATE($D113,Milestones!$AA$156)&lt;PolicyEff),1,Milestones!$AC$156)&amp;";  ","")&amp;IF(AND(EDATE($D113,Milestones!$AA$157)&lt;=AsOfDate,EDATE($D113,Milestones!$AA$157)&gt;=SchemeStart,IF($X113=0,$AD113,IF(AND($Z113&lt;&gt;"",EDATE($D113,Milestones!$AA$157)&gt;=$Z113),$AC113,IF(AND($Y113&lt;&gt;"",EDATE($D113,Milestones!$AA$157)&gt;=$Y113),$AB113,$AA113)))=Milestones!$AB$157),UPPER(TEXT(EDATE($D113,Milestones!$AA$157),"dd mmm yy"))&amp;" "&amp;Milestones!$AB$157&amp;" "&amp;IF(AND(Milestones!$AB$157="FT",Milestones!$AA$157=FT_Y5,EDATE($D113,Milestones!$AA$157)&lt;PolicyEff),1,Milestones!$AC$157)&amp;";  ","")&amp;IF(AND(EDATE($D113,Milestones!$AA$158)&lt;=AsOfDate,EDATE($D113,Milestones!$AA$158)&gt;=SchemeStart,IF($X113=0,$AD113,IF(AND($Z113&lt;&gt;"",EDATE($D113,Milestones!$AA$158)&gt;=$Z113),$AC113,IF(AND($Y113&lt;&gt;"",EDATE($D113,Milestones!$AA$158)&gt;=$Y113),$AB113,$AA113)))=Milestones!$AB$158),UPPER(TEXT(EDATE($D113,Milestones!$AA$158),"dd mmm yy"))&amp;" "&amp;Milestones!$AB$158&amp;" "&amp;IF(AND(Milestones!$AB$158="FT",Milestones!$AA$158=FT_Y5,EDATE($D113,Milestones!$AA$158)&lt;PolicyEff),1,Milestones!$AC$158)&amp;";  ","")&amp;IF(AND(EDATE($D113,Milestones!$AA$159)&lt;=AsOfDate,EDATE($D113,Milestones!$AA$159)&gt;=SchemeStart,IF($X113=0,$AD113,IF(AND($Z113&lt;&gt;"",EDATE($D113,Milestones!$AA$159)&gt;=$Z113),$AC113,IF(AND($Y113&lt;&gt;"",EDATE($D113,Milestones!$AA$159)&gt;=$Y113),$AB113,$AA113)))=Milestones!$AB$159),UPPER(TEXT(EDATE($D113,Milestones!$AA$159),"dd mmm yy"))&amp;" "&amp;Milestones!$AB$159&amp;" "&amp;IF(AND(Milestones!$AB$159="FT",Milestones!$AA$159=FT_Y5,EDATE($D113,Milestones!$AA$159)&lt;PolicyEff),1,Milestones!$AC$159)&amp;";  ","")&amp;IF(AND(EDATE($D113,Milestones!$AA$160)&lt;=AsOfDate,EDATE($D113,Milestones!$AA$160)&gt;=SchemeStart,IF($X113=0,$AD113,IF(AND($Z113&lt;&gt;"",EDATE($D113,Milestones!$AA$160)&gt;=$Z113),$AC113,IF(AND($Y113&lt;&gt;"",EDATE($D113,Milestones!$AA$160)&gt;=$Y113),$AB113,$AA113)))=Milestones!$AB$160),UPPER(TEXT(EDATE($D113,Milestones!$AA$160),"dd mmm yy"))&amp;" "&amp;Milestones!$AB$160&amp;" "&amp;IF(AND(Milestones!$AB$160="FT",Milestones!$AA$160=FT_Y5,EDATE($D113,Milestones!$AA$160)&lt;PolicyEff),1,Milestones!$AC$160)&amp;";  ","")&amp;IF(AND(EDATE($D113,Milestones!$AA$161)&lt;=AsOfDate,EDATE($D113,Milestones!$AA$161)&gt;=SchemeStart,IF($X113=0,$AD113,IF(AND($Z113&lt;&gt;"",EDATE($D113,Milestones!$AA$161)&gt;=$Z113),$AC113,IF(AND($Y113&lt;&gt;"",EDATE($D113,Milestones!$AA$161)&gt;=$Y113),$AB113,$AA113)))=Milestones!$AB$161),UPPER(TEXT(EDATE($D113,Milestones!$AA$161),"dd mmm yy"))&amp;" "&amp;Milestones!$AB$161&amp;" "&amp;IF(AND(Milestones!$AB$161="FT",Milestones!$AA$161=FT_Y5,EDATE($D113,Milestones!$AA$161)&lt;PolicyEff),1,Milestones!$AC$161)&amp;";  ","")&amp;IF(AND(EDATE($D113,Milestones!$AA$162)&lt;=AsOfDate,EDATE($D113,Milestones!$AA$162)&gt;=SchemeStart,IF($X113=0,$AD113,IF(AND($Z113&lt;&gt;"",EDATE($D113,Milestones!$AA$162)&gt;=$Z113),$AC113,IF(AND($Y113&lt;&gt;"",EDATE($D113,Milestones!$AA$162)&gt;=$Y113),$AB113,$AA113)))=Milestones!$AB$162),UPPER(TEXT(EDATE($D113,Milestones!$AA$162),"dd mmm yy"))&amp;" "&amp;Milestones!$AB$162&amp;" "&amp;IF(AND(Milestones!$AB$162="FT",Milestones!$AA$162=FT_Y5,EDATE($D113,Milestones!$AA$162)&lt;PolicyEff),1,Milestones!$AC$162)&amp;";  ","")&amp;IF(AND(EDATE($D113,Milestones!$AA$163)&lt;=AsOfDate,EDATE($D113,Milestones!$AA$163)&gt;=SchemeStart,IF($X113=0,$AD113,IF(AND($Z113&lt;&gt;"",EDATE($D113,Milestones!$AA$163)&gt;=$Z113),$AC113,IF(AND($Y113&lt;&gt;"",EDATE($D113,Milestones!$AA$163)&gt;=$Y113),$AB113,$AA113)))=Milestones!$AB$163),UPPER(TEXT(EDATE($D113,Milestones!$AA$163),"dd mmm yy"))&amp;" "&amp;Milestones!$AB$163&amp;" "&amp;IF(AND(Milestones!$AB$163="FT",Milestones!$AA$163=FT_Y5,EDATE($D113,Milestones!$AA$163)&lt;PolicyEff),1,Milestones!$AC$163)&amp;";  ",""))</f>
        <v/>
      </c>
      <c r="U113" s="0" t="str">
        <f aca="false">IF(OR($A113="",$D113=""),"",IF(AND(EDATE($D113,Milestones!$AA$164)&lt;=AsOfDate,EDATE($D113,Milestones!$AA$164)&gt;=SchemeStart,IF($X113=0,$AD113,IF(AND($Z113&lt;&gt;"",EDATE($D113,Milestones!$AA$164)&gt;=$Z113),$AC113,IF(AND($Y113&lt;&gt;"",EDATE($D113,Milestones!$AA$164)&gt;=$Y113),$AB113,$AA113)))=Milestones!$AB$164),UPPER(TEXT(EDATE($D113,Milestones!$AA$164),"dd mmm yy"))&amp;" "&amp;Milestones!$AB$164&amp;" "&amp;IF(AND(Milestones!$AB$164="FT",Milestones!$AA$164=FT_Y5,EDATE($D113,Milestones!$AA$164)&lt;PolicyEff),1,Milestones!$AC$164)&amp;";  ","")&amp;IF(AND(EDATE($D113,Milestones!$AA$165)&lt;=AsOfDate,EDATE($D113,Milestones!$AA$165)&gt;=SchemeStart,IF($X113=0,$AD113,IF(AND($Z113&lt;&gt;"",EDATE($D113,Milestones!$AA$165)&gt;=$Z113),$AC113,IF(AND($Y113&lt;&gt;"",EDATE($D113,Milestones!$AA$165)&gt;=$Y113),$AB113,$AA113)))=Milestones!$AB$165),UPPER(TEXT(EDATE($D113,Milestones!$AA$165),"dd mmm yy"))&amp;" "&amp;Milestones!$AB$165&amp;" "&amp;IF(AND(Milestones!$AB$165="FT",Milestones!$AA$165=FT_Y5,EDATE($D113,Milestones!$AA$165)&lt;PolicyEff),1,Milestones!$AC$165)&amp;";  ","")&amp;IF(AND(EDATE($D113,Milestones!$AA$166)&lt;=AsOfDate,EDATE($D113,Milestones!$AA$166)&gt;=SchemeStart,IF($X113=0,$AD113,IF(AND($Z113&lt;&gt;"",EDATE($D113,Milestones!$AA$166)&gt;=$Z113),$AC113,IF(AND($Y113&lt;&gt;"",EDATE($D113,Milestones!$AA$166)&gt;=$Y113),$AB113,$AA113)))=Milestones!$AB$166),UPPER(TEXT(EDATE($D113,Milestones!$AA$166),"dd mmm yy"))&amp;" "&amp;Milestones!$AB$166&amp;" "&amp;IF(AND(Milestones!$AB$166="FT",Milestones!$AA$166=FT_Y5,EDATE($D113,Milestones!$AA$166)&lt;PolicyEff),1,Milestones!$AC$166)&amp;";  ","")&amp;IF(AND(EDATE($D113,Milestones!$AA$167)&lt;=AsOfDate,EDATE($D113,Milestones!$AA$167)&gt;=SchemeStart,IF($X113=0,$AD113,IF(AND($Z113&lt;&gt;"",EDATE($D113,Milestones!$AA$167)&gt;=$Z113),$AC113,IF(AND($Y113&lt;&gt;"",EDATE($D113,Milestones!$AA$167)&gt;=$Y113),$AB113,$AA113)))=Milestones!$AB$167),UPPER(TEXT(EDATE($D113,Milestones!$AA$167),"dd mmm yy"))&amp;" "&amp;Milestones!$AB$167&amp;" "&amp;IF(AND(Milestones!$AB$167="FT",Milestones!$AA$167=FT_Y5,EDATE($D113,Milestones!$AA$167)&lt;PolicyEff),1,Milestones!$AC$167)&amp;";  ","")&amp;IF(AND(EDATE($D113,Milestones!$AA$168)&lt;=AsOfDate,EDATE($D113,Milestones!$AA$168)&gt;=SchemeStart,IF($X113=0,$AD113,IF(AND($Z113&lt;&gt;"",EDATE($D113,Milestones!$AA$168)&gt;=$Z113),$AC113,IF(AND($Y113&lt;&gt;"",EDATE($D113,Milestones!$AA$168)&gt;=$Y113),$AB113,$AA113)))=Milestones!$AB$168),UPPER(TEXT(EDATE($D113,Milestones!$AA$168),"dd mmm yy"))&amp;" "&amp;Milestones!$AB$168&amp;" "&amp;IF(AND(Milestones!$AB$168="FT",Milestones!$AA$168=FT_Y5,EDATE($D113,Milestones!$AA$168)&lt;PolicyEff),1,Milestones!$AC$168)&amp;";  ","")&amp;IF(AND(EDATE($D113,Milestones!$AA$169)&lt;=AsOfDate,EDATE($D113,Milestones!$AA$169)&gt;=SchemeStart,IF($X113=0,$AD113,IF(AND($Z113&lt;&gt;"",EDATE($D113,Milestones!$AA$169)&gt;=$Z113),$AC113,IF(AND($Y113&lt;&gt;"",EDATE($D113,Milestones!$AA$169)&gt;=$Y113),$AB113,$AA113)))=Milestones!$AB$169),UPPER(TEXT(EDATE($D113,Milestones!$AA$169),"dd mmm yy"))&amp;" "&amp;Milestones!$AB$169&amp;" "&amp;IF(AND(Milestones!$AB$169="FT",Milestones!$AA$169=FT_Y5,EDATE($D113,Milestones!$AA$169)&lt;PolicyEff),1,Milestones!$AC$169)&amp;";  ","")&amp;IF(AND(EDATE($D113,Milestones!$AA$170)&lt;=AsOfDate,EDATE($D113,Milestones!$AA$170)&gt;=SchemeStart,IF($X113=0,$AD113,IF(AND($Z113&lt;&gt;"",EDATE($D113,Milestones!$AA$170)&gt;=$Z113),$AC113,IF(AND($Y113&lt;&gt;"",EDATE($D113,Milestones!$AA$170)&gt;=$Y113),$AB113,$AA113)))=Milestones!$AB$170),UPPER(TEXT(EDATE($D113,Milestones!$AA$170),"dd mmm yy"))&amp;" "&amp;Milestones!$AB$170&amp;" "&amp;IF(AND(Milestones!$AB$170="FT",Milestones!$AA$170=FT_Y5,EDATE($D113,Milestones!$AA$170)&lt;PolicyEff),1,Milestones!$AC$170)&amp;";  ","")&amp;IF(AND(EDATE($D113,Milestones!$AA$171)&lt;=AsOfDate,EDATE($D113,Milestones!$AA$171)&gt;=SchemeStart,IF($X113=0,$AD113,IF(AND($Z113&lt;&gt;"",EDATE($D113,Milestones!$AA$171)&gt;=$Z113),$AC113,IF(AND($Y113&lt;&gt;"",EDATE($D113,Milestones!$AA$171)&gt;=$Y113),$AB113,$AA113)))=Milestones!$AB$171),UPPER(TEXT(EDATE($D113,Milestones!$AA$171),"dd mmm yy"))&amp;" "&amp;Milestones!$AB$171&amp;" "&amp;IF(AND(Milestones!$AB$171="FT",Milestones!$AA$171=FT_Y5,EDATE($D113,Milestones!$AA$171)&lt;PolicyEff),1,Milestones!$AC$171)&amp;";  ","")&amp;IF(AND(EDATE($D113,Milestones!$AA$172)&lt;=AsOfDate,EDATE($D113,Milestones!$AA$172)&gt;=SchemeStart,IF($X113=0,$AD113,IF(AND($Z113&lt;&gt;"",EDATE($D113,Milestones!$AA$172)&gt;=$Z113),$AC113,IF(AND($Y113&lt;&gt;"",EDATE($D113,Milestones!$AA$172)&gt;=$Y113),$AB113,$AA113)))=Milestones!$AB$172),UPPER(TEXT(EDATE($D113,Milestones!$AA$172),"dd mmm yy"))&amp;" "&amp;Milestones!$AB$172&amp;" "&amp;IF(AND(Milestones!$AB$172="FT",Milestones!$AA$172=FT_Y5,EDATE($D113,Milestones!$AA$172)&lt;PolicyEff),1,Milestones!$AC$172)&amp;";  ","")&amp;IF(AND(EDATE($D113,Milestones!$AA$173)&lt;=AsOfDate,EDATE($D113,Milestones!$AA$173)&gt;=SchemeStart,IF($X113=0,$AD113,IF(AND($Z113&lt;&gt;"",EDATE($D113,Milestones!$AA$173)&gt;=$Z113),$AC113,IF(AND($Y113&lt;&gt;"",EDATE($D113,Milestones!$AA$173)&gt;=$Y113),$AB113,$AA113)))=Milestones!$AB$173),UPPER(TEXT(EDATE($D113,Milestones!$AA$173),"dd mmm yy"))&amp;" "&amp;Milestones!$AB$173&amp;" "&amp;IF(AND(Milestones!$AB$173="FT",Milestones!$AA$173=FT_Y5,EDATE($D113,Milestones!$AA$173)&lt;PolicyEff),1,Milestones!$AC$173)&amp;";  ","")&amp;IF(AND(EDATE($D113,Milestones!$AA$174)&lt;=AsOfDate,EDATE($D113,Milestones!$AA$174)&gt;=SchemeStart,IF($X113=0,$AD113,IF(AND($Z113&lt;&gt;"",EDATE($D113,Milestones!$AA$174)&gt;=$Z113),$AC113,IF(AND($Y113&lt;&gt;"",EDATE($D113,Milestones!$AA$174)&gt;=$Y113),$AB113,$AA113)))=Milestones!$AB$174),UPPER(TEXT(EDATE($D113,Milestones!$AA$174),"dd mmm yy"))&amp;" "&amp;Milestones!$AB$174&amp;" "&amp;IF(AND(Milestones!$AB$174="FT",Milestones!$AA$174=FT_Y5,EDATE($D113,Milestones!$AA$174)&lt;PolicyEff),1,Milestones!$AC$174)&amp;";  ","")&amp;IF(AND(EDATE($D113,Milestones!$AA$175)&lt;=AsOfDate,EDATE($D113,Milestones!$AA$175)&gt;=SchemeStart,IF($X113=0,$AD113,IF(AND($Z113&lt;&gt;"",EDATE($D113,Milestones!$AA$175)&gt;=$Z113),$AC113,IF(AND($Y113&lt;&gt;"",EDATE($D113,Milestones!$AA$175)&gt;=$Y113),$AB113,$AA113)))=Milestones!$AB$175),UPPER(TEXT(EDATE($D113,Milestones!$AA$175),"dd mmm yy"))&amp;" "&amp;Milestones!$AB$175&amp;" "&amp;IF(AND(Milestones!$AB$175="FT",Milestones!$AA$175=FT_Y5,EDATE($D113,Milestones!$AA$175)&lt;PolicyEff),1,Milestones!$AC$175)&amp;";  ",""))</f>
        <v/>
      </c>
      <c r="V113" s="0" t="str">
        <f aca="false">IF(OR($A113="",$D113=""),"",IF(AND(EDATE($D113,Milestones!$AA$176)&lt;=AsOfDate,EDATE($D113,Milestones!$AA$176)&gt;=SchemeStart,IF($X113=0,$AD113,IF(AND($Z113&lt;&gt;"",EDATE($D113,Milestones!$AA$176)&gt;=$Z113),$AC113,IF(AND($Y113&lt;&gt;"",EDATE($D113,Milestones!$AA$176)&gt;=$Y113),$AB113,$AA113)))=Milestones!$AB$176),UPPER(TEXT(EDATE($D113,Milestones!$AA$176),"dd mmm yy"))&amp;" "&amp;Milestones!$AB$176&amp;" "&amp;IF(AND(Milestones!$AB$176="FT",Milestones!$AA$176=FT_Y5,EDATE($D113,Milestones!$AA$176)&lt;PolicyEff),1,Milestones!$AC$176)&amp;";  ","")&amp;IF(AND(EDATE($D113,Milestones!$AA$177)&lt;=AsOfDate,EDATE($D113,Milestones!$AA$177)&gt;=SchemeStart,IF($X113=0,$AD113,IF(AND($Z113&lt;&gt;"",EDATE($D113,Milestones!$AA$177)&gt;=$Z113),$AC113,IF(AND($Y113&lt;&gt;"",EDATE($D113,Milestones!$AA$177)&gt;=$Y113),$AB113,$AA113)))=Milestones!$AB$177),UPPER(TEXT(EDATE($D113,Milestones!$AA$177),"dd mmm yy"))&amp;" "&amp;Milestones!$AB$177&amp;" "&amp;IF(AND(Milestones!$AB$177="FT",Milestones!$AA$177=FT_Y5,EDATE($D113,Milestones!$AA$177)&lt;PolicyEff),1,Milestones!$AC$177)&amp;";  ","")&amp;IF(AND(EDATE($D113,Milestones!$AA$178)&lt;=AsOfDate,EDATE($D113,Milestones!$AA$178)&gt;=SchemeStart,IF($X113=0,$AD113,IF(AND($Z113&lt;&gt;"",EDATE($D113,Milestones!$AA$178)&gt;=$Z113),$AC113,IF(AND($Y113&lt;&gt;"",EDATE($D113,Milestones!$AA$178)&gt;=$Y113),$AB113,$AA113)))=Milestones!$AB$178),UPPER(TEXT(EDATE($D113,Milestones!$AA$178),"dd mmm yy"))&amp;" "&amp;Milestones!$AB$178&amp;" "&amp;IF(AND(Milestones!$AB$178="FT",Milestones!$AA$178=FT_Y5,EDATE($D113,Milestones!$AA$178)&lt;PolicyEff),1,Milestones!$AC$178)&amp;";  ","")&amp;IF(AND(EDATE($D113,Milestones!$AA$179)&lt;=AsOfDate,EDATE($D113,Milestones!$AA$179)&gt;=SchemeStart,IF($X113=0,$AD113,IF(AND($Z113&lt;&gt;"",EDATE($D113,Milestones!$AA$179)&gt;=$Z113),$AC113,IF(AND($Y113&lt;&gt;"",EDATE($D113,Milestones!$AA$179)&gt;=$Y113),$AB113,$AA113)))=Milestones!$AB$179),UPPER(TEXT(EDATE($D113,Milestones!$AA$179),"dd mmm yy"))&amp;" "&amp;Milestones!$AB$179&amp;" "&amp;IF(AND(Milestones!$AB$179="FT",Milestones!$AA$179=FT_Y5,EDATE($D113,Milestones!$AA$179)&lt;PolicyEff),1,Milestones!$AC$179)&amp;";  ","")&amp;IF(AND(EDATE($D113,Milestones!$AA$180)&lt;=AsOfDate,EDATE($D113,Milestones!$AA$180)&gt;=SchemeStart,IF($X113=0,$AD113,IF(AND($Z113&lt;&gt;"",EDATE($D113,Milestones!$AA$180)&gt;=$Z113),$AC113,IF(AND($Y113&lt;&gt;"",EDATE($D113,Milestones!$AA$180)&gt;=$Y113),$AB113,$AA113)))=Milestones!$AB$180),UPPER(TEXT(EDATE($D113,Milestones!$AA$180),"dd mmm yy"))&amp;" "&amp;Milestones!$AB$180&amp;" "&amp;IF(AND(Milestones!$AB$180="FT",Milestones!$AA$180=FT_Y5,EDATE($D113,Milestones!$AA$180)&lt;PolicyEff),1,Milestones!$AC$180)&amp;";  ","")&amp;IF(AND(EDATE($D113,Milestones!$AA$181)&lt;=AsOfDate,EDATE($D113,Milestones!$AA$181)&gt;=SchemeStart,IF($X113=0,$AD113,IF(AND($Z113&lt;&gt;"",EDATE($D113,Milestones!$AA$181)&gt;=$Z113),$AC113,IF(AND($Y113&lt;&gt;"",EDATE($D113,Milestones!$AA$181)&gt;=$Y113),$AB113,$AA113)))=Milestones!$AB$181),UPPER(TEXT(EDATE($D113,Milestones!$AA$181),"dd mmm yy"))&amp;" "&amp;Milestones!$AB$181&amp;" "&amp;IF(AND(Milestones!$AB$181="FT",Milestones!$AA$181=FT_Y5,EDATE($D113,Milestones!$AA$181)&lt;PolicyEff),1,Milestones!$AC$181)&amp;";  ","")&amp;IF(AND(EDATE($D113,Milestones!$AA$182)&lt;=AsOfDate,EDATE($D113,Milestones!$AA$182)&gt;=SchemeStart,IF($X113=0,$AD113,IF(AND($Z113&lt;&gt;"",EDATE($D113,Milestones!$AA$182)&gt;=$Z113),$AC113,IF(AND($Y113&lt;&gt;"",EDATE($D113,Milestones!$AA$182)&gt;=$Y113),$AB113,$AA113)))=Milestones!$AB$182),UPPER(TEXT(EDATE($D113,Milestones!$AA$182),"dd mmm yy"))&amp;" "&amp;Milestones!$AB$182&amp;" "&amp;IF(AND(Milestones!$AB$182="FT",Milestones!$AA$182=FT_Y5,EDATE($D113,Milestones!$AA$182)&lt;PolicyEff),1,Milestones!$AC$182)&amp;";  ","")&amp;IF(AND(EDATE($D113,Milestones!$AA$183)&lt;=AsOfDate,EDATE($D113,Milestones!$AA$183)&gt;=SchemeStart,IF($X113=0,$AD113,IF(AND($Z113&lt;&gt;"",EDATE($D113,Milestones!$AA$183)&gt;=$Z113),$AC113,IF(AND($Y113&lt;&gt;"",EDATE($D113,Milestones!$AA$183)&gt;=$Y113),$AB113,$AA113)))=Milestones!$AB$183),UPPER(TEXT(EDATE($D113,Milestones!$AA$183),"dd mmm yy"))&amp;" "&amp;Milestones!$AB$183&amp;" "&amp;IF(AND(Milestones!$AB$183="FT",Milestones!$AA$183=FT_Y5,EDATE($D113,Milestones!$AA$183)&lt;PolicyEff),1,Milestones!$AC$183)&amp;";  ","")&amp;IF(AND(EDATE($D113,Milestones!$AA$184)&lt;=AsOfDate,EDATE($D113,Milestones!$AA$184)&gt;=SchemeStart,IF($X113=0,$AD113,IF(AND($Z113&lt;&gt;"",EDATE($D113,Milestones!$AA$184)&gt;=$Z113),$AC113,IF(AND($Y113&lt;&gt;"",EDATE($D113,Milestones!$AA$184)&gt;=$Y113),$AB113,$AA113)))=Milestones!$AB$184),UPPER(TEXT(EDATE($D113,Milestones!$AA$184),"dd mmm yy"))&amp;" "&amp;Milestones!$AB$184&amp;" "&amp;IF(AND(Milestones!$AB$184="FT",Milestones!$AA$184=FT_Y5,EDATE($D113,Milestones!$AA$184)&lt;PolicyEff),1,Milestones!$AC$184)&amp;";  ","")&amp;IF(AND(EDATE($D113,Milestones!$AA$185)&lt;=AsOfDate,EDATE($D113,Milestones!$AA$185)&gt;=SchemeStart,IF($X113=0,$AD113,IF(AND($Z113&lt;&gt;"",EDATE($D113,Milestones!$AA$185)&gt;=$Z113),$AC113,IF(AND($Y113&lt;&gt;"",EDATE($D113,Milestones!$AA$185)&gt;=$Y113),$AB113,$AA113)))=Milestones!$AB$185),UPPER(TEXT(EDATE($D113,Milestones!$AA$185),"dd mmm yy"))&amp;" "&amp;Milestones!$AB$185&amp;" "&amp;IF(AND(Milestones!$AB$185="FT",Milestones!$AA$185=FT_Y5,EDATE($D113,Milestones!$AA$185)&lt;PolicyEff),1,Milestones!$AC$185)&amp;";  ","")&amp;IF(AND(EDATE($D113,Milestones!$AA$186)&lt;=AsOfDate,EDATE($D113,Milestones!$AA$186)&gt;=SchemeStart,IF($X113=0,$AD113,IF(AND($Z113&lt;&gt;"",EDATE($D113,Milestones!$AA$186)&gt;=$Z113),$AC113,IF(AND($Y113&lt;&gt;"",EDATE($D113,Milestones!$AA$186)&gt;=$Y113),$AB113,$AA113)))=Milestones!$AB$186),UPPER(TEXT(EDATE($D113,Milestones!$AA$186),"dd mmm yy"))&amp;" "&amp;Milestones!$AB$186&amp;" "&amp;IF(AND(Milestones!$AB$186="FT",Milestones!$AA$186=FT_Y5,EDATE($D113,Milestones!$AA$186)&lt;PolicyEff),1,Milestones!$AC$186)&amp;";  ","")&amp;IF(AND(EDATE($D113,Milestones!$AA$187)&lt;=AsOfDate,EDATE($D113,Milestones!$AA$187)&gt;=SchemeStart,IF($X113=0,$AD113,IF(AND($Z113&lt;&gt;"",EDATE($D113,Milestones!$AA$187)&gt;=$Z113),$AC113,IF(AND($Y113&lt;&gt;"",EDATE($D113,Milestones!$AA$187)&gt;=$Y113),$AB113,$AA113)))=Milestones!$AB$187),UPPER(TEXT(EDATE($D113,Milestones!$AA$187),"dd mmm yy"))&amp;" "&amp;Milestones!$AB$187&amp;" "&amp;IF(AND(Milestones!$AB$187="FT",Milestones!$AA$187=FT_Y5,EDATE($D113,Milestones!$AA$187)&lt;PolicyEff),1,Milestones!$AC$187)&amp;";  ",""))</f>
        <v/>
      </c>
      <c r="W113" s="0" t="str">
        <f aca="false">IF(OR($A113="",$D113=""),"",IF(AND(EDATE($D113,Milestones!$AA$188)&lt;=AsOfDate,EDATE($D113,Milestones!$AA$188)&gt;=SchemeStart,IF($X113=0,$AD113,IF(AND($Z113&lt;&gt;"",EDATE($D113,Milestones!$AA$188)&gt;=$Z113),$AC113,IF(AND($Y113&lt;&gt;"",EDATE($D113,Milestones!$AA$188)&gt;=$Y113),$AB113,$AA113)))=Milestones!$AB$188),UPPER(TEXT(EDATE($D113,Milestones!$AA$188),"dd mmm yy"))&amp;" "&amp;Milestones!$AB$188&amp;" "&amp;IF(AND(Milestones!$AB$188="FT",Milestones!$AA$188=FT_Y5,EDATE($D113,Milestones!$AA$188)&lt;PolicyEff),1,Milestones!$AC$188)&amp;";  ","")&amp;IF(AND(EDATE($D113,Milestones!$AA$189)&lt;=AsOfDate,EDATE($D113,Milestones!$AA$189)&gt;=SchemeStart,IF($X113=0,$AD113,IF(AND($Z113&lt;&gt;"",EDATE($D113,Milestones!$AA$189)&gt;=$Z113),$AC113,IF(AND($Y113&lt;&gt;"",EDATE($D113,Milestones!$AA$189)&gt;=$Y113),$AB113,$AA113)))=Milestones!$AB$189),UPPER(TEXT(EDATE($D113,Milestones!$AA$189),"dd mmm yy"))&amp;" "&amp;Milestones!$AB$189&amp;" "&amp;IF(AND(Milestones!$AB$189="FT",Milestones!$AA$189=FT_Y5,EDATE($D113,Milestones!$AA$189)&lt;PolicyEff),1,Milestones!$AC$189)&amp;";  ","")&amp;IF(AND(EDATE($D113,Milestones!$AA$190)&lt;=AsOfDate,EDATE($D113,Milestones!$AA$190)&gt;=SchemeStart,IF($X113=0,$AD113,IF(AND($Z113&lt;&gt;"",EDATE($D113,Milestones!$AA$190)&gt;=$Z113),$AC113,IF(AND($Y113&lt;&gt;"",EDATE($D113,Milestones!$AA$190)&gt;=$Y113),$AB113,$AA113)))=Milestones!$AB$190),UPPER(TEXT(EDATE($D113,Milestones!$AA$190),"dd mmm yy"))&amp;" "&amp;Milestones!$AB$190&amp;" "&amp;IF(AND(Milestones!$AB$190="FT",Milestones!$AA$190=FT_Y5,EDATE($D113,Milestones!$AA$190)&lt;PolicyEff),1,Milestones!$AC$190)&amp;";  ","")&amp;IF(AND(EDATE($D113,Milestones!$AA$191)&lt;=AsOfDate,EDATE($D113,Milestones!$AA$191)&gt;=SchemeStart,IF($X113=0,$AD113,IF(AND($Z113&lt;&gt;"",EDATE($D113,Milestones!$AA$191)&gt;=$Z113),$AC113,IF(AND($Y113&lt;&gt;"",EDATE($D113,Milestones!$AA$191)&gt;=$Y113),$AB113,$AA113)))=Milestones!$AB$191),UPPER(TEXT(EDATE($D113,Milestones!$AA$191),"dd mmm yy"))&amp;" "&amp;Milestones!$AB$191&amp;" "&amp;IF(AND(Milestones!$AB$191="FT",Milestones!$AA$191=FT_Y5,EDATE($D113,Milestones!$AA$191)&lt;PolicyEff),1,Milestones!$AC$191)&amp;";  ","")&amp;IF(AND(EDATE($D113,Milestones!$AA$192)&lt;=AsOfDate,EDATE($D113,Milestones!$AA$192)&gt;=SchemeStart,IF($X113=0,$AD113,IF(AND($Z113&lt;&gt;"",EDATE($D113,Milestones!$AA$192)&gt;=$Z113),$AC113,IF(AND($Y113&lt;&gt;"",EDATE($D113,Milestones!$AA$192)&gt;=$Y113),$AB113,$AA113)))=Milestones!$AB$192),UPPER(TEXT(EDATE($D113,Milestones!$AA$192),"dd mmm yy"))&amp;" "&amp;Milestones!$AB$192&amp;" "&amp;IF(AND(Milestones!$AB$192="FT",Milestones!$AA$192=FT_Y5,EDATE($D113,Milestones!$AA$192)&lt;PolicyEff),1,Milestones!$AC$192)&amp;";  ","")&amp;IF(AND(EDATE($D113,Milestones!$AA$193)&lt;=AsOfDate,EDATE($D113,Milestones!$AA$193)&gt;=SchemeStart,IF($X113=0,$AD113,IF(AND($Z113&lt;&gt;"",EDATE($D113,Milestones!$AA$193)&gt;=$Z113),$AC113,IF(AND($Y113&lt;&gt;"",EDATE($D113,Milestones!$AA$193)&gt;=$Y113),$AB113,$AA113)))=Milestones!$AB$193),UPPER(TEXT(EDATE($D113,Milestones!$AA$193),"dd mmm yy"))&amp;" "&amp;Milestones!$AB$193&amp;" "&amp;IF(AND(Milestones!$AB$193="FT",Milestones!$AA$193=FT_Y5,EDATE($D113,Milestones!$AA$193)&lt;PolicyEff),1,Milestones!$AC$193)&amp;";  ","")&amp;IF(AND(EDATE($D113,Milestones!$AA$194)&lt;=AsOfDate,EDATE($D113,Milestones!$AA$194)&gt;=SchemeStart,IF($X113=0,$AD113,IF(AND($Z113&lt;&gt;"",EDATE($D113,Milestones!$AA$194)&gt;=$Z113),$AC113,IF(AND($Y113&lt;&gt;"",EDATE($D113,Milestones!$AA$194)&gt;=$Y113),$AB113,$AA113)))=Milestones!$AB$194),UPPER(TEXT(EDATE($D113,Milestones!$AA$194),"dd mmm yy"))&amp;" "&amp;Milestones!$AB$194&amp;" "&amp;IF(AND(Milestones!$AB$194="FT",Milestones!$AA$194=FT_Y5,EDATE($D113,Milestones!$AA$194)&lt;PolicyEff),1,Milestones!$AC$194)&amp;";  ","")&amp;IF(AND(EDATE($D113,Milestones!$AA$195)&lt;=AsOfDate,EDATE($D113,Milestones!$AA$195)&gt;=SchemeStart,IF($X113=0,$AD113,IF(AND($Z113&lt;&gt;"",EDATE($D113,Milestones!$AA$195)&gt;=$Z113),$AC113,IF(AND($Y113&lt;&gt;"",EDATE($D113,Milestones!$AA$195)&gt;=$Y113),$AB113,$AA113)))=Milestones!$AB$195),UPPER(TEXT(EDATE($D113,Milestones!$AA$195),"dd mmm yy"))&amp;" "&amp;Milestones!$AB$195&amp;" "&amp;IF(AND(Milestones!$AB$195="FT",Milestones!$AA$195=FT_Y5,EDATE($D113,Milestones!$AA$195)&lt;PolicyEff),1,Milestones!$AC$195)&amp;";  ","")&amp;IF(AND(EDATE($D113,Milestones!$AA$196)&lt;=AsOfDate,EDATE($D113,Milestones!$AA$196)&gt;=SchemeStart,IF($X113=0,$AD113,IF(AND($Z113&lt;&gt;"",EDATE($D113,Milestones!$AA$196)&gt;=$Z113),$AC113,IF(AND($Y113&lt;&gt;"",EDATE($D113,Milestones!$AA$196)&gt;=$Y113),$AB113,$AA113)))=Milestones!$AB$196),UPPER(TEXT(EDATE($D113,Milestones!$AA$196),"dd mmm yy"))&amp;" "&amp;Milestones!$AB$196&amp;" "&amp;IF(AND(Milestones!$AB$196="FT",Milestones!$AA$196=FT_Y5,EDATE($D113,Milestones!$AA$196)&lt;PolicyEff),1,Milestones!$AC$196)&amp;";  ","")&amp;IF(AND(EDATE($D113,Milestones!$AA$197)&lt;=AsOfDate,EDATE($D113,Milestones!$AA$197)&gt;=SchemeStart,IF($X113=0,$AD113,IF(AND($Z113&lt;&gt;"",EDATE($D113,Milestones!$AA$197)&gt;=$Z113),$AC113,IF(AND($Y113&lt;&gt;"",EDATE($D113,Milestones!$AA$197)&gt;=$Y113),$AB113,$AA113)))=Milestones!$AB$197),UPPER(TEXT(EDATE($D113,Milestones!$AA$197),"dd mmm yy"))&amp;" "&amp;Milestones!$AB$197&amp;" "&amp;IF(AND(Milestones!$AB$197="FT",Milestones!$AA$197=FT_Y5,EDATE($D113,Milestones!$AA$197)&lt;PolicyEff),1,Milestones!$AC$197)&amp;";  ","")&amp;IF(AND(EDATE($D113,Milestones!$AA$198)&lt;=AsOfDate,EDATE($D113,Milestones!$AA$198)&gt;=SchemeStart,IF($X113=0,$AD113,IF(AND($Z113&lt;&gt;"",EDATE($D113,Milestones!$AA$198)&gt;=$Z113),$AC113,IF(AND($Y113&lt;&gt;"",EDATE($D113,Milestones!$AA$198)&gt;=$Y113),$AB113,$AA113)))=Milestones!$AB$198),UPPER(TEXT(EDATE($D113,Milestones!$AA$198),"dd mmm yy"))&amp;" "&amp;Milestones!$AB$198&amp;" "&amp;IF(AND(Milestones!$AB$198="FT",Milestones!$AA$198=FT_Y5,EDATE($D113,Milestones!$AA$198)&lt;PolicyEff),1,Milestones!$AC$198)&amp;";  ","")&amp;IF(AND(EDATE($D113,Milestones!$AA$199)&lt;=AsOfDate,EDATE($D113,Milestones!$AA$199)&gt;=SchemeStart,IF($X113=0,$AD113,IF(AND($Z113&lt;&gt;"",EDATE($D113,Milestones!$AA$199)&gt;=$Z113),$AC113,IF(AND($Y113&lt;&gt;"",EDATE($D113,Milestones!$AA$199)&gt;=$Y113),$AB113,$AA113)))=Milestones!$AB$199),UPPER(TEXT(EDATE($D113,Milestones!$AA$199),"dd mmm yy"))&amp;" "&amp;Milestones!$AB$199&amp;" "&amp;IF(AND(Milestones!$AB$199="FT",Milestones!$AA$199=FT_Y5,EDATE($D113,Milestones!$AA$199)&lt;PolicyEff),1,Milestones!$AC$199)&amp;";  ",""))</f>
        <v/>
      </c>
      <c r="X113" s="0" t="str">
        <f aca="false">IF(Staff!$A113="","",Staff!$AM113)</f>
        <v/>
      </c>
      <c r="Y113" s="0" t="str">
        <f aca="false">IF(Staff!$A113="","",Staff!$AO113)</f>
        <v/>
      </c>
      <c r="Z113" s="0" t="str">
        <f aca="false">IF(Staff!$A113="","",Staff!$AP113)</f>
        <v/>
      </c>
      <c r="AA113" s="0" t="str">
        <f aca="false">IF(Staff!$A113="","",Staff!$AT113)</f>
        <v/>
      </c>
      <c r="AB113" s="0" t="str">
        <f aca="false">IF(Staff!$A113="","",Staff!$AU113)</f>
        <v/>
      </c>
      <c r="AC113" s="0" t="str">
        <f aca="false">IF(Staff!$A113="","",Staff!$AV113)</f>
        <v/>
      </c>
      <c r="AD113" s="0" t="str">
        <f aca="false">IF(Staff!$A113="","",Staff!$AW113)</f>
        <v/>
      </c>
    </row>
    <row r="114" customFormat="false" ht="15" hidden="false" customHeight="false" outlineLevel="0" collapsed="false">
      <c r="A114" s="16" t="str">
        <f aca="false">IF(Staff!$A114="","",Staff!$A114)</f>
        <v/>
      </c>
      <c r="B114" s="16" t="str">
        <f aca="false">IF(Staff!$A114="","",Staff!$B114)</f>
        <v/>
      </c>
      <c r="C114" s="16" t="str">
        <f aca="false">IF(Staff!$A114="","",Staff!$C114)</f>
        <v/>
      </c>
      <c r="D114" s="14" t="str">
        <f aca="false">IF(Staff!$A114="","",Staff!$AL114)</f>
        <v/>
      </c>
      <c r="E114" s="16" t="str">
        <f aca="false">IF(Staff!$A114="","",Staff!$O114)</f>
        <v/>
      </c>
      <c r="F114" s="16" t="str">
        <f aca="false">IF(E114="","",E114*HoursPerDay)</f>
        <v/>
      </c>
      <c r="G114" s="16" t="str">
        <f aca="false">IF(Staff!$A114="","",Staff!$AE114)</f>
        <v/>
      </c>
      <c r="H114" s="28" t="str">
        <f aca="false">IF($A114="","",I114&amp;J114&amp;K114&amp;L114&amp;M114&amp;N114&amp;O114&amp;P114&amp;Q114&amp;R114&amp;S114&amp;T114&amp;U114&amp;V114&amp;W114)</f>
        <v/>
      </c>
      <c r="I114" s="0" t="str">
        <f aca="false">IF(OR($A114="",$D114=""),"",IF(AND(EDATE($D114,Milestones!$AA$20)&lt;=AsOfDate,EDATE($D114,Milestones!$AA$20)&gt;=SchemeStart,IF($X114=0,$AD114,IF(AND($Z114&lt;&gt;"",EDATE($D114,Milestones!$AA$20)&gt;=$Z114),$AC114,IF(AND($Y114&lt;&gt;"",EDATE($D114,Milestones!$AA$20)&gt;=$Y114),$AB114,$AA114)))=Milestones!$AB$20),UPPER(TEXT(EDATE($D114,Milestones!$AA$20),"dd mmm yy"))&amp;" "&amp;Milestones!$AB$20&amp;" "&amp;IF(AND(Milestones!$AB$20="FT",Milestones!$AA$20=FT_Y5,EDATE($D114,Milestones!$AA$20)&lt;PolicyEff),1,Milestones!$AC$20)&amp;";  ","")&amp;IF(AND(EDATE($D114,Milestones!$AA$21)&lt;=AsOfDate,EDATE($D114,Milestones!$AA$21)&gt;=SchemeStart,IF($X114=0,$AD114,IF(AND($Z114&lt;&gt;"",EDATE($D114,Milestones!$AA$21)&gt;=$Z114),$AC114,IF(AND($Y114&lt;&gt;"",EDATE($D114,Milestones!$AA$21)&gt;=$Y114),$AB114,$AA114)))=Milestones!$AB$21),UPPER(TEXT(EDATE($D114,Milestones!$AA$21),"dd mmm yy"))&amp;" "&amp;Milestones!$AB$21&amp;" "&amp;IF(AND(Milestones!$AB$21="FT",Milestones!$AA$21=FT_Y5,EDATE($D114,Milestones!$AA$21)&lt;PolicyEff),1,Milestones!$AC$21)&amp;";  ","")&amp;IF(AND(EDATE($D114,Milestones!$AA$22)&lt;=AsOfDate,EDATE($D114,Milestones!$AA$22)&gt;=SchemeStart,IF($X114=0,$AD114,IF(AND($Z114&lt;&gt;"",EDATE($D114,Milestones!$AA$22)&gt;=$Z114),$AC114,IF(AND($Y114&lt;&gt;"",EDATE($D114,Milestones!$AA$22)&gt;=$Y114),$AB114,$AA114)))=Milestones!$AB$22),UPPER(TEXT(EDATE($D114,Milestones!$AA$22),"dd mmm yy"))&amp;" "&amp;Milestones!$AB$22&amp;" "&amp;IF(AND(Milestones!$AB$22="FT",Milestones!$AA$22=FT_Y5,EDATE($D114,Milestones!$AA$22)&lt;PolicyEff),1,Milestones!$AC$22)&amp;";  ","")&amp;IF(AND(EDATE($D114,Milestones!$AA$23)&lt;=AsOfDate,EDATE($D114,Milestones!$AA$23)&gt;=SchemeStart,IF($X114=0,$AD114,IF(AND($Z114&lt;&gt;"",EDATE($D114,Milestones!$AA$23)&gt;=$Z114),$AC114,IF(AND($Y114&lt;&gt;"",EDATE($D114,Milestones!$AA$23)&gt;=$Y114),$AB114,$AA114)))=Milestones!$AB$23),UPPER(TEXT(EDATE($D114,Milestones!$AA$23),"dd mmm yy"))&amp;" "&amp;Milestones!$AB$23&amp;" "&amp;IF(AND(Milestones!$AB$23="FT",Milestones!$AA$23=FT_Y5,EDATE($D114,Milestones!$AA$23)&lt;PolicyEff),1,Milestones!$AC$23)&amp;";  ","")&amp;IF(AND(EDATE($D114,Milestones!$AA$24)&lt;=AsOfDate,EDATE($D114,Milestones!$AA$24)&gt;=SchemeStart,IF($X114=0,$AD114,IF(AND($Z114&lt;&gt;"",EDATE($D114,Milestones!$AA$24)&gt;=$Z114),$AC114,IF(AND($Y114&lt;&gt;"",EDATE($D114,Milestones!$AA$24)&gt;=$Y114),$AB114,$AA114)))=Milestones!$AB$24),UPPER(TEXT(EDATE($D114,Milestones!$AA$24),"dd mmm yy"))&amp;" "&amp;Milestones!$AB$24&amp;" "&amp;IF(AND(Milestones!$AB$24="FT",Milestones!$AA$24=FT_Y5,EDATE($D114,Milestones!$AA$24)&lt;PolicyEff),1,Milestones!$AC$24)&amp;";  ","")&amp;IF(AND(EDATE($D114,Milestones!$AA$25)&lt;=AsOfDate,EDATE($D114,Milestones!$AA$25)&gt;=SchemeStart,IF($X114=0,$AD114,IF(AND($Z114&lt;&gt;"",EDATE($D114,Milestones!$AA$25)&gt;=$Z114),$AC114,IF(AND($Y114&lt;&gt;"",EDATE($D114,Milestones!$AA$25)&gt;=$Y114),$AB114,$AA114)))=Milestones!$AB$25),UPPER(TEXT(EDATE($D114,Milestones!$AA$25),"dd mmm yy"))&amp;" "&amp;Milestones!$AB$25&amp;" "&amp;IF(AND(Milestones!$AB$25="FT",Milestones!$AA$25=FT_Y5,EDATE($D114,Milestones!$AA$25)&lt;PolicyEff),1,Milestones!$AC$25)&amp;";  ","")&amp;IF(AND(EDATE($D114,Milestones!$AA$26)&lt;=AsOfDate,EDATE($D114,Milestones!$AA$26)&gt;=SchemeStart,IF($X114=0,$AD114,IF(AND($Z114&lt;&gt;"",EDATE($D114,Milestones!$AA$26)&gt;=$Z114),$AC114,IF(AND($Y114&lt;&gt;"",EDATE($D114,Milestones!$AA$26)&gt;=$Y114),$AB114,$AA114)))=Milestones!$AB$26),UPPER(TEXT(EDATE($D114,Milestones!$AA$26),"dd mmm yy"))&amp;" "&amp;Milestones!$AB$26&amp;" "&amp;IF(AND(Milestones!$AB$26="FT",Milestones!$AA$26=FT_Y5,EDATE($D114,Milestones!$AA$26)&lt;PolicyEff),1,Milestones!$AC$26)&amp;";  ","")&amp;IF(AND(EDATE($D114,Milestones!$AA$27)&lt;=AsOfDate,EDATE($D114,Milestones!$AA$27)&gt;=SchemeStart,IF($X114=0,$AD114,IF(AND($Z114&lt;&gt;"",EDATE($D114,Milestones!$AA$27)&gt;=$Z114),$AC114,IF(AND($Y114&lt;&gt;"",EDATE($D114,Milestones!$AA$27)&gt;=$Y114),$AB114,$AA114)))=Milestones!$AB$27),UPPER(TEXT(EDATE($D114,Milestones!$AA$27),"dd mmm yy"))&amp;" "&amp;Milestones!$AB$27&amp;" "&amp;IF(AND(Milestones!$AB$27="FT",Milestones!$AA$27=FT_Y5,EDATE($D114,Milestones!$AA$27)&lt;PolicyEff),1,Milestones!$AC$27)&amp;";  ","")&amp;IF(AND(EDATE($D114,Milestones!$AA$28)&lt;=AsOfDate,EDATE($D114,Milestones!$AA$28)&gt;=SchemeStart,IF($X114=0,$AD114,IF(AND($Z114&lt;&gt;"",EDATE($D114,Milestones!$AA$28)&gt;=$Z114),$AC114,IF(AND($Y114&lt;&gt;"",EDATE($D114,Milestones!$AA$28)&gt;=$Y114),$AB114,$AA114)))=Milestones!$AB$28),UPPER(TEXT(EDATE($D114,Milestones!$AA$28),"dd mmm yy"))&amp;" "&amp;Milestones!$AB$28&amp;" "&amp;IF(AND(Milestones!$AB$28="FT",Milestones!$AA$28=FT_Y5,EDATE($D114,Milestones!$AA$28)&lt;PolicyEff),1,Milestones!$AC$28)&amp;";  ","")&amp;IF(AND(EDATE($D114,Milestones!$AA$29)&lt;=AsOfDate,EDATE($D114,Milestones!$AA$29)&gt;=SchemeStart,IF($X114=0,$AD114,IF(AND($Z114&lt;&gt;"",EDATE($D114,Milestones!$AA$29)&gt;=$Z114),$AC114,IF(AND($Y114&lt;&gt;"",EDATE($D114,Milestones!$AA$29)&gt;=$Y114),$AB114,$AA114)))=Milestones!$AB$29),UPPER(TEXT(EDATE($D114,Milestones!$AA$29),"dd mmm yy"))&amp;" "&amp;Milestones!$AB$29&amp;" "&amp;IF(AND(Milestones!$AB$29="FT",Milestones!$AA$29=FT_Y5,EDATE($D114,Milestones!$AA$29)&lt;PolicyEff),1,Milestones!$AC$29)&amp;";  ","")&amp;IF(AND(EDATE($D114,Milestones!$AA$30)&lt;=AsOfDate,EDATE($D114,Milestones!$AA$30)&gt;=SchemeStart,IF($X114=0,$AD114,IF(AND($Z114&lt;&gt;"",EDATE($D114,Milestones!$AA$30)&gt;=$Z114),$AC114,IF(AND($Y114&lt;&gt;"",EDATE($D114,Milestones!$AA$30)&gt;=$Y114),$AB114,$AA114)))=Milestones!$AB$30),UPPER(TEXT(EDATE($D114,Milestones!$AA$30),"dd mmm yy"))&amp;" "&amp;Milestones!$AB$30&amp;" "&amp;IF(AND(Milestones!$AB$30="FT",Milestones!$AA$30=FT_Y5,EDATE($D114,Milestones!$AA$30)&lt;PolicyEff),1,Milestones!$AC$30)&amp;";  ","")&amp;IF(AND(EDATE($D114,Milestones!$AA$31)&lt;=AsOfDate,EDATE($D114,Milestones!$AA$31)&gt;=SchemeStart,IF($X114=0,$AD114,IF(AND($Z114&lt;&gt;"",EDATE($D114,Milestones!$AA$31)&gt;=$Z114),$AC114,IF(AND($Y114&lt;&gt;"",EDATE($D114,Milestones!$AA$31)&gt;=$Y114),$AB114,$AA114)))=Milestones!$AB$31),UPPER(TEXT(EDATE($D114,Milestones!$AA$31),"dd mmm yy"))&amp;" "&amp;Milestones!$AB$31&amp;" "&amp;IF(AND(Milestones!$AB$31="FT",Milestones!$AA$31=FT_Y5,EDATE($D114,Milestones!$AA$31)&lt;PolicyEff),1,Milestones!$AC$31)&amp;";  ",""))</f>
        <v/>
      </c>
      <c r="J114" s="0" t="str">
        <f aca="false">IF(OR($A114="",$D114=""),"",IF(AND(EDATE($D114,Milestones!$AA$32)&lt;=AsOfDate,EDATE($D114,Milestones!$AA$32)&gt;=SchemeStart,IF($X114=0,$AD114,IF(AND($Z114&lt;&gt;"",EDATE($D114,Milestones!$AA$32)&gt;=$Z114),$AC114,IF(AND($Y114&lt;&gt;"",EDATE($D114,Milestones!$AA$32)&gt;=$Y114),$AB114,$AA114)))=Milestones!$AB$32),UPPER(TEXT(EDATE($D114,Milestones!$AA$32),"dd mmm yy"))&amp;" "&amp;Milestones!$AB$32&amp;" "&amp;IF(AND(Milestones!$AB$32="FT",Milestones!$AA$32=FT_Y5,EDATE($D114,Milestones!$AA$32)&lt;PolicyEff),1,Milestones!$AC$32)&amp;";  ","")&amp;IF(AND(EDATE($D114,Milestones!$AA$33)&lt;=AsOfDate,EDATE($D114,Milestones!$AA$33)&gt;=SchemeStart,IF($X114=0,$AD114,IF(AND($Z114&lt;&gt;"",EDATE($D114,Milestones!$AA$33)&gt;=$Z114),$AC114,IF(AND($Y114&lt;&gt;"",EDATE($D114,Milestones!$AA$33)&gt;=$Y114),$AB114,$AA114)))=Milestones!$AB$33),UPPER(TEXT(EDATE($D114,Milestones!$AA$33),"dd mmm yy"))&amp;" "&amp;Milestones!$AB$33&amp;" "&amp;IF(AND(Milestones!$AB$33="FT",Milestones!$AA$33=FT_Y5,EDATE($D114,Milestones!$AA$33)&lt;PolicyEff),1,Milestones!$AC$33)&amp;";  ","")&amp;IF(AND(EDATE($D114,Milestones!$AA$34)&lt;=AsOfDate,EDATE($D114,Milestones!$AA$34)&gt;=SchemeStart,IF($X114=0,$AD114,IF(AND($Z114&lt;&gt;"",EDATE($D114,Milestones!$AA$34)&gt;=$Z114),$AC114,IF(AND($Y114&lt;&gt;"",EDATE($D114,Milestones!$AA$34)&gt;=$Y114),$AB114,$AA114)))=Milestones!$AB$34),UPPER(TEXT(EDATE($D114,Milestones!$AA$34),"dd mmm yy"))&amp;" "&amp;Milestones!$AB$34&amp;" "&amp;IF(AND(Milestones!$AB$34="FT",Milestones!$AA$34=FT_Y5,EDATE($D114,Milestones!$AA$34)&lt;PolicyEff),1,Milestones!$AC$34)&amp;";  ","")&amp;IF(AND(EDATE($D114,Milestones!$AA$35)&lt;=AsOfDate,EDATE($D114,Milestones!$AA$35)&gt;=SchemeStart,IF($X114=0,$AD114,IF(AND($Z114&lt;&gt;"",EDATE($D114,Milestones!$AA$35)&gt;=$Z114),$AC114,IF(AND($Y114&lt;&gt;"",EDATE($D114,Milestones!$AA$35)&gt;=$Y114),$AB114,$AA114)))=Milestones!$AB$35),UPPER(TEXT(EDATE($D114,Milestones!$AA$35),"dd mmm yy"))&amp;" "&amp;Milestones!$AB$35&amp;" "&amp;IF(AND(Milestones!$AB$35="FT",Milestones!$AA$35=FT_Y5,EDATE($D114,Milestones!$AA$35)&lt;PolicyEff),1,Milestones!$AC$35)&amp;";  ","")&amp;IF(AND(EDATE($D114,Milestones!$AA$36)&lt;=AsOfDate,EDATE($D114,Milestones!$AA$36)&gt;=SchemeStart,IF($X114=0,$AD114,IF(AND($Z114&lt;&gt;"",EDATE($D114,Milestones!$AA$36)&gt;=$Z114),$AC114,IF(AND($Y114&lt;&gt;"",EDATE($D114,Milestones!$AA$36)&gt;=$Y114),$AB114,$AA114)))=Milestones!$AB$36),UPPER(TEXT(EDATE($D114,Milestones!$AA$36),"dd mmm yy"))&amp;" "&amp;Milestones!$AB$36&amp;" "&amp;IF(AND(Milestones!$AB$36="FT",Milestones!$AA$36=FT_Y5,EDATE($D114,Milestones!$AA$36)&lt;PolicyEff),1,Milestones!$AC$36)&amp;";  ","")&amp;IF(AND(EDATE($D114,Milestones!$AA$37)&lt;=AsOfDate,EDATE($D114,Milestones!$AA$37)&gt;=SchemeStart,IF($X114=0,$AD114,IF(AND($Z114&lt;&gt;"",EDATE($D114,Milestones!$AA$37)&gt;=$Z114),$AC114,IF(AND($Y114&lt;&gt;"",EDATE($D114,Milestones!$AA$37)&gt;=$Y114),$AB114,$AA114)))=Milestones!$AB$37),UPPER(TEXT(EDATE($D114,Milestones!$AA$37),"dd mmm yy"))&amp;" "&amp;Milestones!$AB$37&amp;" "&amp;IF(AND(Milestones!$AB$37="FT",Milestones!$AA$37=FT_Y5,EDATE($D114,Milestones!$AA$37)&lt;PolicyEff),1,Milestones!$AC$37)&amp;";  ","")&amp;IF(AND(EDATE($D114,Milestones!$AA$38)&lt;=AsOfDate,EDATE($D114,Milestones!$AA$38)&gt;=SchemeStart,IF($X114=0,$AD114,IF(AND($Z114&lt;&gt;"",EDATE($D114,Milestones!$AA$38)&gt;=$Z114),$AC114,IF(AND($Y114&lt;&gt;"",EDATE($D114,Milestones!$AA$38)&gt;=$Y114),$AB114,$AA114)))=Milestones!$AB$38),UPPER(TEXT(EDATE($D114,Milestones!$AA$38),"dd mmm yy"))&amp;" "&amp;Milestones!$AB$38&amp;" "&amp;IF(AND(Milestones!$AB$38="FT",Milestones!$AA$38=FT_Y5,EDATE($D114,Milestones!$AA$38)&lt;PolicyEff),1,Milestones!$AC$38)&amp;";  ","")&amp;IF(AND(EDATE($D114,Milestones!$AA$39)&lt;=AsOfDate,EDATE($D114,Milestones!$AA$39)&gt;=SchemeStart,IF($X114=0,$AD114,IF(AND($Z114&lt;&gt;"",EDATE($D114,Milestones!$AA$39)&gt;=$Z114),$AC114,IF(AND($Y114&lt;&gt;"",EDATE($D114,Milestones!$AA$39)&gt;=$Y114),$AB114,$AA114)))=Milestones!$AB$39),UPPER(TEXT(EDATE($D114,Milestones!$AA$39),"dd mmm yy"))&amp;" "&amp;Milestones!$AB$39&amp;" "&amp;IF(AND(Milestones!$AB$39="FT",Milestones!$AA$39=FT_Y5,EDATE($D114,Milestones!$AA$39)&lt;PolicyEff),1,Milestones!$AC$39)&amp;";  ","")&amp;IF(AND(EDATE($D114,Milestones!$AA$40)&lt;=AsOfDate,EDATE($D114,Milestones!$AA$40)&gt;=SchemeStart,IF($X114=0,$AD114,IF(AND($Z114&lt;&gt;"",EDATE($D114,Milestones!$AA$40)&gt;=$Z114),$AC114,IF(AND($Y114&lt;&gt;"",EDATE($D114,Milestones!$AA$40)&gt;=$Y114),$AB114,$AA114)))=Milestones!$AB$40),UPPER(TEXT(EDATE($D114,Milestones!$AA$40),"dd mmm yy"))&amp;" "&amp;Milestones!$AB$40&amp;" "&amp;IF(AND(Milestones!$AB$40="FT",Milestones!$AA$40=FT_Y5,EDATE($D114,Milestones!$AA$40)&lt;PolicyEff),1,Milestones!$AC$40)&amp;";  ","")&amp;IF(AND(EDATE($D114,Milestones!$AA$41)&lt;=AsOfDate,EDATE($D114,Milestones!$AA$41)&gt;=SchemeStart,IF($X114=0,$AD114,IF(AND($Z114&lt;&gt;"",EDATE($D114,Milestones!$AA$41)&gt;=$Z114),$AC114,IF(AND($Y114&lt;&gt;"",EDATE($D114,Milestones!$AA$41)&gt;=$Y114),$AB114,$AA114)))=Milestones!$AB$41),UPPER(TEXT(EDATE($D114,Milestones!$AA$41),"dd mmm yy"))&amp;" "&amp;Milestones!$AB$41&amp;" "&amp;IF(AND(Milestones!$AB$41="FT",Milestones!$AA$41=FT_Y5,EDATE($D114,Milestones!$AA$41)&lt;PolicyEff),1,Milestones!$AC$41)&amp;";  ","")&amp;IF(AND(EDATE($D114,Milestones!$AA$42)&lt;=AsOfDate,EDATE($D114,Milestones!$AA$42)&gt;=SchemeStart,IF($X114=0,$AD114,IF(AND($Z114&lt;&gt;"",EDATE($D114,Milestones!$AA$42)&gt;=$Z114),$AC114,IF(AND($Y114&lt;&gt;"",EDATE($D114,Milestones!$AA$42)&gt;=$Y114),$AB114,$AA114)))=Milestones!$AB$42),UPPER(TEXT(EDATE($D114,Milestones!$AA$42),"dd mmm yy"))&amp;" "&amp;Milestones!$AB$42&amp;" "&amp;IF(AND(Milestones!$AB$42="FT",Milestones!$AA$42=FT_Y5,EDATE($D114,Milestones!$AA$42)&lt;PolicyEff),1,Milestones!$AC$42)&amp;";  ","")&amp;IF(AND(EDATE($D114,Milestones!$AA$43)&lt;=AsOfDate,EDATE($D114,Milestones!$AA$43)&gt;=SchemeStart,IF($X114=0,$AD114,IF(AND($Z114&lt;&gt;"",EDATE($D114,Milestones!$AA$43)&gt;=$Z114),$AC114,IF(AND($Y114&lt;&gt;"",EDATE($D114,Milestones!$AA$43)&gt;=$Y114),$AB114,$AA114)))=Milestones!$AB$43),UPPER(TEXT(EDATE($D114,Milestones!$AA$43),"dd mmm yy"))&amp;" "&amp;Milestones!$AB$43&amp;" "&amp;IF(AND(Milestones!$AB$43="FT",Milestones!$AA$43=FT_Y5,EDATE($D114,Milestones!$AA$43)&lt;PolicyEff),1,Milestones!$AC$43)&amp;";  ",""))</f>
        <v/>
      </c>
      <c r="K114" s="0" t="str">
        <f aca="false">IF(OR($A114="",$D114=""),"",IF(AND(EDATE($D114,Milestones!$AA$44)&lt;=AsOfDate,EDATE($D114,Milestones!$AA$44)&gt;=SchemeStart,IF($X114=0,$AD114,IF(AND($Z114&lt;&gt;"",EDATE($D114,Milestones!$AA$44)&gt;=$Z114),$AC114,IF(AND($Y114&lt;&gt;"",EDATE($D114,Milestones!$AA$44)&gt;=$Y114),$AB114,$AA114)))=Milestones!$AB$44),UPPER(TEXT(EDATE($D114,Milestones!$AA$44),"dd mmm yy"))&amp;" "&amp;Milestones!$AB$44&amp;" "&amp;IF(AND(Milestones!$AB$44="FT",Milestones!$AA$44=FT_Y5,EDATE($D114,Milestones!$AA$44)&lt;PolicyEff),1,Milestones!$AC$44)&amp;";  ","")&amp;IF(AND(EDATE($D114,Milestones!$AA$45)&lt;=AsOfDate,EDATE($D114,Milestones!$AA$45)&gt;=SchemeStart,IF($X114=0,$AD114,IF(AND($Z114&lt;&gt;"",EDATE($D114,Milestones!$AA$45)&gt;=$Z114),$AC114,IF(AND($Y114&lt;&gt;"",EDATE($D114,Milestones!$AA$45)&gt;=$Y114),$AB114,$AA114)))=Milestones!$AB$45),UPPER(TEXT(EDATE($D114,Milestones!$AA$45),"dd mmm yy"))&amp;" "&amp;Milestones!$AB$45&amp;" "&amp;IF(AND(Milestones!$AB$45="FT",Milestones!$AA$45=FT_Y5,EDATE($D114,Milestones!$AA$45)&lt;PolicyEff),1,Milestones!$AC$45)&amp;";  ","")&amp;IF(AND(EDATE($D114,Milestones!$AA$46)&lt;=AsOfDate,EDATE($D114,Milestones!$AA$46)&gt;=SchemeStart,IF($X114=0,$AD114,IF(AND($Z114&lt;&gt;"",EDATE($D114,Milestones!$AA$46)&gt;=$Z114),$AC114,IF(AND($Y114&lt;&gt;"",EDATE($D114,Milestones!$AA$46)&gt;=$Y114),$AB114,$AA114)))=Milestones!$AB$46),UPPER(TEXT(EDATE($D114,Milestones!$AA$46),"dd mmm yy"))&amp;" "&amp;Milestones!$AB$46&amp;" "&amp;IF(AND(Milestones!$AB$46="FT",Milestones!$AA$46=FT_Y5,EDATE($D114,Milestones!$AA$46)&lt;PolicyEff),1,Milestones!$AC$46)&amp;";  ","")&amp;IF(AND(EDATE($D114,Milestones!$AA$47)&lt;=AsOfDate,EDATE($D114,Milestones!$AA$47)&gt;=SchemeStart,IF($X114=0,$AD114,IF(AND($Z114&lt;&gt;"",EDATE($D114,Milestones!$AA$47)&gt;=$Z114),$AC114,IF(AND($Y114&lt;&gt;"",EDATE($D114,Milestones!$AA$47)&gt;=$Y114),$AB114,$AA114)))=Milestones!$AB$47),UPPER(TEXT(EDATE($D114,Milestones!$AA$47),"dd mmm yy"))&amp;" "&amp;Milestones!$AB$47&amp;" "&amp;IF(AND(Milestones!$AB$47="FT",Milestones!$AA$47=FT_Y5,EDATE($D114,Milestones!$AA$47)&lt;PolicyEff),1,Milestones!$AC$47)&amp;";  ","")&amp;IF(AND(EDATE($D114,Milestones!$AA$48)&lt;=AsOfDate,EDATE($D114,Milestones!$AA$48)&gt;=SchemeStart,IF($X114=0,$AD114,IF(AND($Z114&lt;&gt;"",EDATE($D114,Milestones!$AA$48)&gt;=$Z114),$AC114,IF(AND($Y114&lt;&gt;"",EDATE($D114,Milestones!$AA$48)&gt;=$Y114),$AB114,$AA114)))=Milestones!$AB$48),UPPER(TEXT(EDATE($D114,Milestones!$AA$48),"dd mmm yy"))&amp;" "&amp;Milestones!$AB$48&amp;" "&amp;IF(AND(Milestones!$AB$48="FT",Milestones!$AA$48=FT_Y5,EDATE($D114,Milestones!$AA$48)&lt;PolicyEff),1,Milestones!$AC$48)&amp;";  ","")&amp;IF(AND(EDATE($D114,Milestones!$AA$49)&lt;=AsOfDate,EDATE($D114,Milestones!$AA$49)&gt;=SchemeStart,IF($X114=0,$AD114,IF(AND($Z114&lt;&gt;"",EDATE($D114,Milestones!$AA$49)&gt;=$Z114),$AC114,IF(AND($Y114&lt;&gt;"",EDATE($D114,Milestones!$AA$49)&gt;=$Y114),$AB114,$AA114)))=Milestones!$AB$49),UPPER(TEXT(EDATE($D114,Milestones!$AA$49),"dd mmm yy"))&amp;" "&amp;Milestones!$AB$49&amp;" "&amp;IF(AND(Milestones!$AB$49="FT",Milestones!$AA$49=FT_Y5,EDATE($D114,Milestones!$AA$49)&lt;PolicyEff),1,Milestones!$AC$49)&amp;";  ","")&amp;IF(AND(EDATE($D114,Milestones!$AA$50)&lt;=AsOfDate,EDATE($D114,Milestones!$AA$50)&gt;=SchemeStart,IF($X114=0,$AD114,IF(AND($Z114&lt;&gt;"",EDATE($D114,Milestones!$AA$50)&gt;=$Z114),$AC114,IF(AND($Y114&lt;&gt;"",EDATE($D114,Milestones!$AA$50)&gt;=$Y114),$AB114,$AA114)))=Milestones!$AB$50),UPPER(TEXT(EDATE($D114,Milestones!$AA$50),"dd mmm yy"))&amp;" "&amp;Milestones!$AB$50&amp;" "&amp;IF(AND(Milestones!$AB$50="FT",Milestones!$AA$50=FT_Y5,EDATE($D114,Milestones!$AA$50)&lt;PolicyEff),1,Milestones!$AC$50)&amp;";  ","")&amp;IF(AND(EDATE($D114,Milestones!$AA$51)&lt;=AsOfDate,EDATE($D114,Milestones!$AA$51)&gt;=SchemeStart,IF($X114=0,$AD114,IF(AND($Z114&lt;&gt;"",EDATE($D114,Milestones!$AA$51)&gt;=$Z114),$AC114,IF(AND($Y114&lt;&gt;"",EDATE($D114,Milestones!$AA$51)&gt;=$Y114),$AB114,$AA114)))=Milestones!$AB$51),UPPER(TEXT(EDATE($D114,Milestones!$AA$51),"dd mmm yy"))&amp;" "&amp;Milestones!$AB$51&amp;" "&amp;IF(AND(Milestones!$AB$51="FT",Milestones!$AA$51=FT_Y5,EDATE($D114,Milestones!$AA$51)&lt;PolicyEff),1,Milestones!$AC$51)&amp;";  ","")&amp;IF(AND(EDATE($D114,Milestones!$AA$52)&lt;=AsOfDate,EDATE($D114,Milestones!$AA$52)&gt;=SchemeStart,IF($X114=0,$AD114,IF(AND($Z114&lt;&gt;"",EDATE($D114,Milestones!$AA$52)&gt;=$Z114),$AC114,IF(AND($Y114&lt;&gt;"",EDATE($D114,Milestones!$AA$52)&gt;=$Y114),$AB114,$AA114)))=Milestones!$AB$52),UPPER(TEXT(EDATE($D114,Milestones!$AA$52),"dd mmm yy"))&amp;" "&amp;Milestones!$AB$52&amp;" "&amp;IF(AND(Milestones!$AB$52="FT",Milestones!$AA$52=FT_Y5,EDATE($D114,Milestones!$AA$52)&lt;PolicyEff),1,Milestones!$AC$52)&amp;";  ","")&amp;IF(AND(EDATE($D114,Milestones!$AA$53)&lt;=AsOfDate,EDATE($D114,Milestones!$AA$53)&gt;=SchemeStart,IF($X114=0,$AD114,IF(AND($Z114&lt;&gt;"",EDATE($D114,Milestones!$AA$53)&gt;=$Z114),$AC114,IF(AND($Y114&lt;&gt;"",EDATE($D114,Milestones!$AA$53)&gt;=$Y114),$AB114,$AA114)))=Milestones!$AB$53),UPPER(TEXT(EDATE($D114,Milestones!$AA$53),"dd mmm yy"))&amp;" "&amp;Milestones!$AB$53&amp;" "&amp;IF(AND(Milestones!$AB$53="FT",Milestones!$AA$53=FT_Y5,EDATE($D114,Milestones!$AA$53)&lt;PolicyEff),1,Milestones!$AC$53)&amp;";  ","")&amp;IF(AND(EDATE($D114,Milestones!$AA$54)&lt;=AsOfDate,EDATE($D114,Milestones!$AA$54)&gt;=SchemeStart,IF($X114=0,$AD114,IF(AND($Z114&lt;&gt;"",EDATE($D114,Milestones!$AA$54)&gt;=$Z114),$AC114,IF(AND($Y114&lt;&gt;"",EDATE($D114,Milestones!$AA$54)&gt;=$Y114),$AB114,$AA114)))=Milestones!$AB$54),UPPER(TEXT(EDATE($D114,Milestones!$AA$54),"dd mmm yy"))&amp;" "&amp;Milestones!$AB$54&amp;" "&amp;IF(AND(Milestones!$AB$54="FT",Milestones!$AA$54=FT_Y5,EDATE($D114,Milestones!$AA$54)&lt;PolicyEff),1,Milestones!$AC$54)&amp;";  ","")&amp;IF(AND(EDATE($D114,Milestones!$AA$55)&lt;=AsOfDate,EDATE($D114,Milestones!$AA$55)&gt;=SchemeStart,IF($X114=0,$AD114,IF(AND($Z114&lt;&gt;"",EDATE($D114,Milestones!$AA$55)&gt;=$Z114),$AC114,IF(AND($Y114&lt;&gt;"",EDATE($D114,Milestones!$AA$55)&gt;=$Y114),$AB114,$AA114)))=Milestones!$AB$55),UPPER(TEXT(EDATE($D114,Milestones!$AA$55),"dd mmm yy"))&amp;" "&amp;Milestones!$AB$55&amp;" "&amp;IF(AND(Milestones!$AB$55="FT",Milestones!$AA$55=FT_Y5,EDATE($D114,Milestones!$AA$55)&lt;PolicyEff),1,Milestones!$AC$55)&amp;";  ",""))</f>
        <v/>
      </c>
      <c r="L114" s="0" t="str">
        <f aca="false">IF(OR($A114="",$D114=""),"",IF(AND(EDATE($D114,Milestones!$AA$56)&lt;=AsOfDate,EDATE($D114,Milestones!$AA$56)&gt;=SchemeStart,IF($X114=0,$AD114,IF(AND($Z114&lt;&gt;"",EDATE($D114,Milestones!$AA$56)&gt;=$Z114),$AC114,IF(AND($Y114&lt;&gt;"",EDATE($D114,Milestones!$AA$56)&gt;=$Y114),$AB114,$AA114)))=Milestones!$AB$56),UPPER(TEXT(EDATE($D114,Milestones!$AA$56),"dd mmm yy"))&amp;" "&amp;Milestones!$AB$56&amp;" "&amp;IF(AND(Milestones!$AB$56="FT",Milestones!$AA$56=FT_Y5,EDATE($D114,Milestones!$AA$56)&lt;PolicyEff),1,Milestones!$AC$56)&amp;";  ","")&amp;IF(AND(EDATE($D114,Milestones!$AA$57)&lt;=AsOfDate,EDATE($D114,Milestones!$AA$57)&gt;=SchemeStart,IF($X114=0,$AD114,IF(AND($Z114&lt;&gt;"",EDATE($D114,Milestones!$AA$57)&gt;=$Z114),$AC114,IF(AND($Y114&lt;&gt;"",EDATE($D114,Milestones!$AA$57)&gt;=$Y114),$AB114,$AA114)))=Milestones!$AB$57),UPPER(TEXT(EDATE($D114,Milestones!$AA$57),"dd mmm yy"))&amp;" "&amp;Milestones!$AB$57&amp;" "&amp;IF(AND(Milestones!$AB$57="FT",Milestones!$AA$57=FT_Y5,EDATE($D114,Milestones!$AA$57)&lt;PolicyEff),1,Milestones!$AC$57)&amp;";  ","")&amp;IF(AND(EDATE($D114,Milestones!$AA$58)&lt;=AsOfDate,EDATE($D114,Milestones!$AA$58)&gt;=SchemeStart,IF($X114=0,$AD114,IF(AND($Z114&lt;&gt;"",EDATE($D114,Milestones!$AA$58)&gt;=$Z114),$AC114,IF(AND($Y114&lt;&gt;"",EDATE($D114,Milestones!$AA$58)&gt;=$Y114),$AB114,$AA114)))=Milestones!$AB$58),UPPER(TEXT(EDATE($D114,Milestones!$AA$58),"dd mmm yy"))&amp;" "&amp;Milestones!$AB$58&amp;" "&amp;IF(AND(Milestones!$AB$58="FT",Milestones!$AA$58=FT_Y5,EDATE($D114,Milestones!$AA$58)&lt;PolicyEff),1,Milestones!$AC$58)&amp;";  ","")&amp;IF(AND(EDATE($D114,Milestones!$AA$59)&lt;=AsOfDate,EDATE($D114,Milestones!$AA$59)&gt;=SchemeStart,IF($X114=0,$AD114,IF(AND($Z114&lt;&gt;"",EDATE($D114,Milestones!$AA$59)&gt;=$Z114),$AC114,IF(AND($Y114&lt;&gt;"",EDATE($D114,Milestones!$AA$59)&gt;=$Y114),$AB114,$AA114)))=Milestones!$AB$59),UPPER(TEXT(EDATE($D114,Milestones!$AA$59),"dd mmm yy"))&amp;" "&amp;Milestones!$AB$59&amp;" "&amp;IF(AND(Milestones!$AB$59="FT",Milestones!$AA$59=FT_Y5,EDATE($D114,Milestones!$AA$59)&lt;PolicyEff),1,Milestones!$AC$59)&amp;";  ","")&amp;IF(AND(EDATE($D114,Milestones!$AA$60)&lt;=AsOfDate,EDATE($D114,Milestones!$AA$60)&gt;=SchemeStart,IF($X114=0,$AD114,IF(AND($Z114&lt;&gt;"",EDATE($D114,Milestones!$AA$60)&gt;=$Z114),$AC114,IF(AND($Y114&lt;&gt;"",EDATE($D114,Milestones!$AA$60)&gt;=$Y114),$AB114,$AA114)))=Milestones!$AB$60),UPPER(TEXT(EDATE($D114,Milestones!$AA$60),"dd mmm yy"))&amp;" "&amp;Milestones!$AB$60&amp;" "&amp;IF(AND(Milestones!$AB$60="FT",Milestones!$AA$60=FT_Y5,EDATE($D114,Milestones!$AA$60)&lt;PolicyEff),1,Milestones!$AC$60)&amp;";  ","")&amp;IF(AND(EDATE($D114,Milestones!$AA$61)&lt;=AsOfDate,EDATE($D114,Milestones!$AA$61)&gt;=SchemeStart,IF($X114=0,$AD114,IF(AND($Z114&lt;&gt;"",EDATE($D114,Milestones!$AA$61)&gt;=$Z114),$AC114,IF(AND($Y114&lt;&gt;"",EDATE($D114,Milestones!$AA$61)&gt;=$Y114),$AB114,$AA114)))=Milestones!$AB$61),UPPER(TEXT(EDATE($D114,Milestones!$AA$61),"dd mmm yy"))&amp;" "&amp;Milestones!$AB$61&amp;" "&amp;IF(AND(Milestones!$AB$61="FT",Milestones!$AA$61=FT_Y5,EDATE($D114,Milestones!$AA$61)&lt;PolicyEff),1,Milestones!$AC$61)&amp;";  ","")&amp;IF(AND(EDATE($D114,Milestones!$AA$62)&lt;=AsOfDate,EDATE($D114,Milestones!$AA$62)&gt;=SchemeStart,IF($X114=0,$AD114,IF(AND($Z114&lt;&gt;"",EDATE($D114,Milestones!$AA$62)&gt;=$Z114),$AC114,IF(AND($Y114&lt;&gt;"",EDATE($D114,Milestones!$AA$62)&gt;=$Y114),$AB114,$AA114)))=Milestones!$AB$62),UPPER(TEXT(EDATE($D114,Milestones!$AA$62),"dd mmm yy"))&amp;" "&amp;Milestones!$AB$62&amp;" "&amp;IF(AND(Milestones!$AB$62="FT",Milestones!$AA$62=FT_Y5,EDATE($D114,Milestones!$AA$62)&lt;PolicyEff),1,Milestones!$AC$62)&amp;";  ","")&amp;IF(AND(EDATE($D114,Milestones!$AA$63)&lt;=AsOfDate,EDATE($D114,Milestones!$AA$63)&gt;=SchemeStart,IF($X114=0,$AD114,IF(AND($Z114&lt;&gt;"",EDATE($D114,Milestones!$AA$63)&gt;=$Z114),$AC114,IF(AND($Y114&lt;&gt;"",EDATE($D114,Milestones!$AA$63)&gt;=$Y114),$AB114,$AA114)))=Milestones!$AB$63),UPPER(TEXT(EDATE($D114,Milestones!$AA$63),"dd mmm yy"))&amp;" "&amp;Milestones!$AB$63&amp;" "&amp;IF(AND(Milestones!$AB$63="FT",Milestones!$AA$63=FT_Y5,EDATE($D114,Milestones!$AA$63)&lt;PolicyEff),1,Milestones!$AC$63)&amp;";  ","")&amp;IF(AND(EDATE($D114,Milestones!$AA$64)&lt;=AsOfDate,EDATE($D114,Milestones!$AA$64)&gt;=SchemeStart,IF($X114=0,$AD114,IF(AND($Z114&lt;&gt;"",EDATE($D114,Milestones!$AA$64)&gt;=$Z114),$AC114,IF(AND($Y114&lt;&gt;"",EDATE($D114,Milestones!$AA$64)&gt;=$Y114),$AB114,$AA114)))=Milestones!$AB$64),UPPER(TEXT(EDATE($D114,Milestones!$AA$64),"dd mmm yy"))&amp;" "&amp;Milestones!$AB$64&amp;" "&amp;IF(AND(Milestones!$AB$64="FT",Milestones!$AA$64=FT_Y5,EDATE($D114,Milestones!$AA$64)&lt;PolicyEff),1,Milestones!$AC$64)&amp;";  ","")&amp;IF(AND(EDATE($D114,Milestones!$AA$65)&lt;=AsOfDate,EDATE($D114,Milestones!$AA$65)&gt;=SchemeStart,IF($X114=0,$AD114,IF(AND($Z114&lt;&gt;"",EDATE($D114,Milestones!$AA$65)&gt;=$Z114),$AC114,IF(AND($Y114&lt;&gt;"",EDATE($D114,Milestones!$AA$65)&gt;=$Y114),$AB114,$AA114)))=Milestones!$AB$65),UPPER(TEXT(EDATE($D114,Milestones!$AA$65),"dd mmm yy"))&amp;" "&amp;Milestones!$AB$65&amp;" "&amp;IF(AND(Milestones!$AB$65="FT",Milestones!$AA$65=FT_Y5,EDATE($D114,Milestones!$AA$65)&lt;PolicyEff),1,Milestones!$AC$65)&amp;";  ","")&amp;IF(AND(EDATE($D114,Milestones!$AA$66)&lt;=AsOfDate,EDATE($D114,Milestones!$AA$66)&gt;=SchemeStart,IF($X114=0,$AD114,IF(AND($Z114&lt;&gt;"",EDATE($D114,Milestones!$AA$66)&gt;=$Z114),$AC114,IF(AND($Y114&lt;&gt;"",EDATE($D114,Milestones!$AA$66)&gt;=$Y114),$AB114,$AA114)))=Milestones!$AB$66),UPPER(TEXT(EDATE($D114,Milestones!$AA$66),"dd mmm yy"))&amp;" "&amp;Milestones!$AB$66&amp;" "&amp;IF(AND(Milestones!$AB$66="FT",Milestones!$AA$66=FT_Y5,EDATE($D114,Milestones!$AA$66)&lt;PolicyEff),1,Milestones!$AC$66)&amp;";  ","")&amp;IF(AND(EDATE($D114,Milestones!$AA$67)&lt;=AsOfDate,EDATE($D114,Milestones!$AA$67)&gt;=SchemeStart,IF($X114=0,$AD114,IF(AND($Z114&lt;&gt;"",EDATE($D114,Milestones!$AA$67)&gt;=$Z114),$AC114,IF(AND($Y114&lt;&gt;"",EDATE($D114,Milestones!$AA$67)&gt;=$Y114),$AB114,$AA114)))=Milestones!$AB$67),UPPER(TEXT(EDATE($D114,Milestones!$AA$67),"dd mmm yy"))&amp;" "&amp;Milestones!$AB$67&amp;" "&amp;IF(AND(Milestones!$AB$67="FT",Milestones!$AA$67=FT_Y5,EDATE($D114,Milestones!$AA$67)&lt;PolicyEff),1,Milestones!$AC$67)&amp;";  ",""))</f>
        <v/>
      </c>
      <c r="M114" s="0" t="str">
        <f aca="false">IF(OR($A114="",$D114=""),"",IF(AND(EDATE($D114,Milestones!$AA$68)&lt;=AsOfDate,EDATE($D114,Milestones!$AA$68)&gt;=SchemeStart,IF($X114=0,$AD114,IF(AND($Z114&lt;&gt;"",EDATE($D114,Milestones!$AA$68)&gt;=$Z114),$AC114,IF(AND($Y114&lt;&gt;"",EDATE($D114,Milestones!$AA$68)&gt;=$Y114),$AB114,$AA114)))=Milestones!$AB$68),UPPER(TEXT(EDATE($D114,Milestones!$AA$68),"dd mmm yy"))&amp;" "&amp;Milestones!$AB$68&amp;" "&amp;IF(AND(Milestones!$AB$68="FT",Milestones!$AA$68=FT_Y5,EDATE($D114,Milestones!$AA$68)&lt;PolicyEff),1,Milestones!$AC$68)&amp;";  ","")&amp;IF(AND(EDATE($D114,Milestones!$AA$69)&lt;=AsOfDate,EDATE($D114,Milestones!$AA$69)&gt;=SchemeStart,IF($X114=0,$AD114,IF(AND($Z114&lt;&gt;"",EDATE($D114,Milestones!$AA$69)&gt;=$Z114),$AC114,IF(AND($Y114&lt;&gt;"",EDATE($D114,Milestones!$AA$69)&gt;=$Y114),$AB114,$AA114)))=Milestones!$AB$69),UPPER(TEXT(EDATE($D114,Milestones!$AA$69),"dd mmm yy"))&amp;" "&amp;Milestones!$AB$69&amp;" "&amp;IF(AND(Milestones!$AB$69="FT",Milestones!$AA$69=FT_Y5,EDATE($D114,Milestones!$AA$69)&lt;PolicyEff),1,Milestones!$AC$69)&amp;";  ","")&amp;IF(AND(EDATE($D114,Milestones!$AA$70)&lt;=AsOfDate,EDATE($D114,Milestones!$AA$70)&gt;=SchemeStart,IF($X114=0,$AD114,IF(AND($Z114&lt;&gt;"",EDATE($D114,Milestones!$AA$70)&gt;=$Z114),$AC114,IF(AND($Y114&lt;&gt;"",EDATE($D114,Milestones!$AA$70)&gt;=$Y114),$AB114,$AA114)))=Milestones!$AB$70),UPPER(TEXT(EDATE($D114,Milestones!$AA$70),"dd mmm yy"))&amp;" "&amp;Milestones!$AB$70&amp;" "&amp;IF(AND(Milestones!$AB$70="FT",Milestones!$AA$70=FT_Y5,EDATE($D114,Milestones!$AA$70)&lt;PolicyEff),1,Milestones!$AC$70)&amp;";  ","")&amp;IF(AND(EDATE($D114,Milestones!$AA$71)&lt;=AsOfDate,EDATE($D114,Milestones!$AA$71)&gt;=SchemeStart,IF($X114=0,$AD114,IF(AND($Z114&lt;&gt;"",EDATE($D114,Milestones!$AA$71)&gt;=$Z114),$AC114,IF(AND($Y114&lt;&gt;"",EDATE($D114,Milestones!$AA$71)&gt;=$Y114),$AB114,$AA114)))=Milestones!$AB$71),UPPER(TEXT(EDATE($D114,Milestones!$AA$71),"dd mmm yy"))&amp;" "&amp;Milestones!$AB$71&amp;" "&amp;IF(AND(Milestones!$AB$71="FT",Milestones!$AA$71=FT_Y5,EDATE($D114,Milestones!$AA$71)&lt;PolicyEff),1,Milestones!$AC$71)&amp;";  ","")&amp;IF(AND(EDATE($D114,Milestones!$AA$72)&lt;=AsOfDate,EDATE($D114,Milestones!$AA$72)&gt;=SchemeStart,IF($X114=0,$AD114,IF(AND($Z114&lt;&gt;"",EDATE($D114,Milestones!$AA$72)&gt;=$Z114),$AC114,IF(AND($Y114&lt;&gt;"",EDATE($D114,Milestones!$AA$72)&gt;=$Y114),$AB114,$AA114)))=Milestones!$AB$72),UPPER(TEXT(EDATE($D114,Milestones!$AA$72),"dd mmm yy"))&amp;" "&amp;Milestones!$AB$72&amp;" "&amp;IF(AND(Milestones!$AB$72="FT",Milestones!$AA$72=FT_Y5,EDATE($D114,Milestones!$AA$72)&lt;PolicyEff),1,Milestones!$AC$72)&amp;";  ","")&amp;IF(AND(EDATE($D114,Milestones!$AA$73)&lt;=AsOfDate,EDATE($D114,Milestones!$AA$73)&gt;=SchemeStart,IF($X114=0,$AD114,IF(AND($Z114&lt;&gt;"",EDATE($D114,Milestones!$AA$73)&gt;=$Z114),$AC114,IF(AND($Y114&lt;&gt;"",EDATE($D114,Milestones!$AA$73)&gt;=$Y114),$AB114,$AA114)))=Milestones!$AB$73),UPPER(TEXT(EDATE($D114,Milestones!$AA$73),"dd mmm yy"))&amp;" "&amp;Milestones!$AB$73&amp;" "&amp;IF(AND(Milestones!$AB$73="FT",Milestones!$AA$73=FT_Y5,EDATE($D114,Milestones!$AA$73)&lt;PolicyEff),1,Milestones!$AC$73)&amp;";  ","")&amp;IF(AND(EDATE($D114,Milestones!$AA$74)&lt;=AsOfDate,EDATE($D114,Milestones!$AA$74)&gt;=SchemeStart,IF($X114=0,$AD114,IF(AND($Z114&lt;&gt;"",EDATE($D114,Milestones!$AA$74)&gt;=$Z114),$AC114,IF(AND($Y114&lt;&gt;"",EDATE($D114,Milestones!$AA$74)&gt;=$Y114),$AB114,$AA114)))=Milestones!$AB$74),UPPER(TEXT(EDATE($D114,Milestones!$AA$74),"dd mmm yy"))&amp;" "&amp;Milestones!$AB$74&amp;" "&amp;IF(AND(Milestones!$AB$74="FT",Milestones!$AA$74=FT_Y5,EDATE($D114,Milestones!$AA$74)&lt;PolicyEff),1,Milestones!$AC$74)&amp;";  ","")&amp;IF(AND(EDATE($D114,Milestones!$AA$75)&lt;=AsOfDate,EDATE($D114,Milestones!$AA$75)&gt;=SchemeStart,IF($X114=0,$AD114,IF(AND($Z114&lt;&gt;"",EDATE($D114,Milestones!$AA$75)&gt;=$Z114),$AC114,IF(AND($Y114&lt;&gt;"",EDATE($D114,Milestones!$AA$75)&gt;=$Y114),$AB114,$AA114)))=Milestones!$AB$75),UPPER(TEXT(EDATE($D114,Milestones!$AA$75),"dd mmm yy"))&amp;" "&amp;Milestones!$AB$75&amp;" "&amp;IF(AND(Milestones!$AB$75="FT",Milestones!$AA$75=FT_Y5,EDATE($D114,Milestones!$AA$75)&lt;PolicyEff),1,Milestones!$AC$75)&amp;";  ","")&amp;IF(AND(EDATE($D114,Milestones!$AA$76)&lt;=AsOfDate,EDATE($D114,Milestones!$AA$76)&gt;=SchemeStart,IF($X114=0,$AD114,IF(AND($Z114&lt;&gt;"",EDATE($D114,Milestones!$AA$76)&gt;=$Z114),$AC114,IF(AND($Y114&lt;&gt;"",EDATE($D114,Milestones!$AA$76)&gt;=$Y114),$AB114,$AA114)))=Milestones!$AB$76),UPPER(TEXT(EDATE($D114,Milestones!$AA$76),"dd mmm yy"))&amp;" "&amp;Milestones!$AB$76&amp;" "&amp;IF(AND(Milestones!$AB$76="FT",Milestones!$AA$76=FT_Y5,EDATE($D114,Milestones!$AA$76)&lt;PolicyEff),1,Milestones!$AC$76)&amp;";  ","")&amp;IF(AND(EDATE($D114,Milestones!$AA$77)&lt;=AsOfDate,EDATE($D114,Milestones!$AA$77)&gt;=SchemeStart,IF($X114=0,$AD114,IF(AND($Z114&lt;&gt;"",EDATE($D114,Milestones!$AA$77)&gt;=$Z114),$AC114,IF(AND($Y114&lt;&gt;"",EDATE($D114,Milestones!$AA$77)&gt;=$Y114),$AB114,$AA114)))=Milestones!$AB$77),UPPER(TEXT(EDATE($D114,Milestones!$AA$77),"dd mmm yy"))&amp;" "&amp;Milestones!$AB$77&amp;" "&amp;IF(AND(Milestones!$AB$77="FT",Milestones!$AA$77=FT_Y5,EDATE($D114,Milestones!$AA$77)&lt;PolicyEff),1,Milestones!$AC$77)&amp;";  ","")&amp;IF(AND(EDATE($D114,Milestones!$AA$78)&lt;=AsOfDate,EDATE($D114,Milestones!$AA$78)&gt;=SchemeStart,IF($X114=0,$AD114,IF(AND($Z114&lt;&gt;"",EDATE($D114,Milestones!$AA$78)&gt;=$Z114),$AC114,IF(AND($Y114&lt;&gt;"",EDATE($D114,Milestones!$AA$78)&gt;=$Y114),$AB114,$AA114)))=Milestones!$AB$78),UPPER(TEXT(EDATE($D114,Milestones!$AA$78),"dd mmm yy"))&amp;" "&amp;Milestones!$AB$78&amp;" "&amp;IF(AND(Milestones!$AB$78="FT",Milestones!$AA$78=FT_Y5,EDATE($D114,Milestones!$AA$78)&lt;PolicyEff),1,Milestones!$AC$78)&amp;";  ","")&amp;IF(AND(EDATE($D114,Milestones!$AA$79)&lt;=AsOfDate,EDATE($D114,Milestones!$AA$79)&gt;=SchemeStart,IF($X114=0,$AD114,IF(AND($Z114&lt;&gt;"",EDATE($D114,Milestones!$AA$79)&gt;=$Z114),$AC114,IF(AND($Y114&lt;&gt;"",EDATE($D114,Milestones!$AA$79)&gt;=$Y114),$AB114,$AA114)))=Milestones!$AB$79),UPPER(TEXT(EDATE($D114,Milestones!$AA$79),"dd mmm yy"))&amp;" "&amp;Milestones!$AB$79&amp;" "&amp;IF(AND(Milestones!$AB$79="FT",Milestones!$AA$79=FT_Y5,EDATE($D114,Milestones!$AA$79)&lt;PolicyEff),1,Milestones!$AC$79)&amp;";  ",""))</f>
        <v/>
      </c>
      <c r="N114" s="0" t="str">
        <f aca="false">IF(OR($A114="",$D114=""),"",IF(AND(EDATE($D114,Milestones!$AA$80)&lt;=AsOfDate,EDATE($D114,Milestones!$AA$80)&gt;=SchemeStart,IF($X114=0,$AD114,IF(AND($Z114&lt;&gt;"",EDATE($D114,Milestones!$AA$80)&gt;=$Z114),$AC114,IF(AND($Y114&lt;&gt;"",EDATE($D114,Milestones!$AA$80)&gt;=$Y114),$AB114,$AA114)))=Milestones!$AB$80),UPPER(TEXT(EDATE($D114,Milestones!$AA$80),"dd mmm yy"))&amp;" "&amp;Milestones!$AB$80&amp;" "&amp;IF(AND(Milestones!$AB$80="FT",Milestones!$AA$80=FT_Y5,EDATE($D114,Milestones!$AA$80)&lt;PolicyEff),1,Milestones!$AC$80)&amp;";  ","")&amp;IF(AND(EDATE($D114,Milestones!$AA$81)&lt;=AsOfDate,EDATE($D114,Milestones!$AA$81)&gt;=SchemeStart,IF($X114=0,$AD114,IF(AND($Z114&lt;&gt;"",EDATE($D114,Milestones!$AA$81)&gt;=$Z114),$AC114,IF(AND($Y114&lt;&gt;"",EDATE($D114,Milestones!$AA$81)&gt;=$Y114),$AB114,$AA114)))=Milestones!$AB$81),UPPER(TEXT(EDATE($D114,Milestones!$AA$81),"dd mmm yy"))&amp;" "&amp;Milestones!$AB$81&amp;" "&amp;IF(AND(Milestones!$AB$81="FT",Milestones!$AA$81=FT_Y5,EDATE($D114,Milestones!$AA$81)&lt;PolicyEff),1,Milestones!$AC$81)&amp;";  ","")&amp;IF(AND(EDATE($D114,Milestones!$AA$82)&lt;=AsOfDate,EDATE($D114,Milestones!$AA$82)&gt;=SchemeStart,IF($X114=0,$AD114,IF(AND($Z114&lt;&gt;"",EDATE($D114,Milestones!$AA$82)&gt;=$Z114),$AC114,IF(AND($Y114&lt;&gt;"",EDATE($D114,Milestones!$AA$82)&gt;=$Y114),$AB114,$AA114)))=Milestones!$AB$82),UPPER(TEXT(EDATE($D114,Milestones!$AA$82),"dd mmm yy"))&amp;" "&amp;Milestones!$AB$82&amp;" "&amp;IF(AND(Milestones!$AB$82="FT",Milestones!$AA$82=FT_Y5,EDATE($D114,Milestones!$AA$82)&lt;PolicyEff),1,Milestones!$AC$82)&amp;";  ","")&amp;IF(AND(EDATE($D114,Milestones!$AA$83)&lt;=AsOfDate,EDATE($D114,Milestones!$AA$83)&gt;=SchemeStart,IF($X114=0,$AD114,IF(AND($Z114&lt;&gt;"",EDATE($D114,Milestones!$AA$83)&gt;=$Z114),$AC114,IF(AND($Y114&lt;&gt;"",EDATE($D114,Milestones!$AA$83)&gt;=$Y114),$AB114,$AA114)))=Milestones!$AB$83),UPPER(TEXT(EDATE($D114,Milestones!$AA$83),"dd mmm yy"))&amp;" "&amp;Milestones!$AB$83&amp;" "&amp;IF(AND(Milestones!$AB$83="FT",Milestones!$AA$83=FT_Y5,EDATE($D114,Milestones!$AA$83)&lt;PolicyEff),1,Milestones!$AC$83)&amp;";  ","")&amp;IF(AND(EDATE($D114,Milestones!$AA$84)&lt;=AsOfDate,EDATE($D114,Milestones!$AA$84)&gt;=SchemeStart,IF($X114=0,$AD114,IF(AND($Z114&lt;&gt;"",EDATE($D114,Milestones!$AA$84)&gt;=$Z114),$AC114,IF(AND($Y114&lt;&gt;"",EDATE($D114,Milestones!$AA$84)&gt;=$Y114),$AB114,$AA114)))=Milestones!$AB$84),UPPER(TEXT(EDATE($D114,Milestones!$AA$84),"dd mmm yy"))&amp;" "&amp;Milestones!$AB$84&amp;" "&amp;IF(AND(Milestones!$AB$84="FT",Milestones!$AA$84=FT_Y5,EDATE($D114,Milestones!$AA$84)&lt;PolicyEff),1,Milestones!$AC$84)&amp;";  ","")&amp;IF(AND(EDATE($D114,Milestones!$AA$85)&lt;=AsOfDate,EDATE($D114,Milestones!$AA$85)&gt;=SchemeStart,IF($X114=0,$AD114,IF(AND($Z114&lt;&gt;"",EDATE($D114,Milestones!$AA$85)&gt;=$Z114),$AC114,IF(AND($Y114&lt;&gt;"",EDATE($D114,Milestones!$AA$85)&gt;=$Y114),$AB114,$AA114)))=Milestones!$AB$85),UPPER(TEXT(EDATE($D114,Milestones!$AA$85),"dd mmm yy"))&amp;" "&amp;Milestones!$AB$85&amp;" "&amp;IF(AND(Milestones!$AB$85="FT",Milestones!$AA$85=FT_Y5,EDATE($D114,Milestones!$AA$85)&lt;PolicyEff),1,Milestones!$AC$85)&amp;";  ","")&amp;IF(AND(EDATE($D114,Milestones!$AA$86)&lt;=AsOfDate,EDATE($D114,Milestones!$AA$86)&gt;=SchemeStart,IF($X114=0,$AD114,IF(AND($Z114&lt;&gt;"",EDATE($D114,Milestones!$AA$86)&gt;=$Z114),$AC114,IF(AND($Y114&lt;&gt;"",EDATE($D114,Milestones!$AA$86)&gt;=$Y114),$AB114,$AA114)))=Milestones!$AB$86),UPPER(TEXT(EDATE($D114,Milestones!$AA$86),"dd mmm yy"))&amp;" "&amp;Milestones!$AB$86&amp;" "&amp;IF(AND(Milestones!$AB$86="FT",Milestones!$AA$86=FT_Y5,EDATE($D114,Milestones!$AA$86)&lt;PolicyEff),1,Milestones!$AC$86)&amp;";  ","")&amp;IF(AND(EDATE($D114,Milestones!$AA$87)&lt;=AsOfDate,EDATE($D114,Milestones!$AA$87)&gt;=SchemeStart,IF($X114=0,$AD114,IF(AND($Z114&lt;&gt;"",EDATE($D114,Milestones!$AA$87)&gt;=$Z114),$AC114,IF(AND($Y114&lt;&gt;"",EDATE($D114,Milestones!$AA$87)&gt;=$Y114),$AB114,$AA114)))=Milestones!$AB$87),UPPER(TEXT(EDATE($D114,Milestones!$AA$87),"dd mmm yy"))&amp;" "&amp;Milestones!$AB$87&amp;" "&amp;IF(AND(Milestones!$AB$87="FT",Milestones!$AA$87=FT_Y5,EDATE($D114,Milestones!$AA$87)&lt;PolicyEff),1,Milestones!$AC$87)&amp;";  ","")&amp;IF(AND(EDATE($D114,Milestones!$AA$88)&lt;=AsOfDate,EDATE($D114,Milestones!$AA$88)&gt;=SchemeStart,IF($X114=0,$AD114,IF(AND($Z114&lt;&gt;"",EDATE($D114,Milestones!$AA$88)&gt;=$Z114),$AC114,IF(AND($Y114&lt;&gt;"",EDATE($D114,Milestones!$AA$88)&gt;=$Y114),$AB114,$AA114)))=Milestones!$AB$88),UPPER(TEXT(EDATE($D114,Milestones!$AA$88),"dd mmm yy"))&amp;" "&amp;Milestones!$AB$88&amp;" "&amp;IF(AND(Milestones!$AB$88="FT",Milestones!$AA$88=FT_Y5,EDATE($D114,Milestones!$AA$88)&lt;PolicyEff),1,Milestones!$AC$88)&amp;";  ","")&amp;IF(AND(EDATE($D114,Milestones!$AA$89)&lt;=AsOfDate,EDATE($D114,Milestones!$AA$89)&gt;=SchemeStart,IF($X114=0,$AD114,IF(AND($Z114&lt;&gt;"",EDATE($D114,Milestones!$AA$89)&gt;=$Z114),$AC114,IF(AND($Y114&lt;&gt;"",EDATE($D114,Milestones!$AA$89)&gt;=$Y114),$AB114,$AA114)))=Milestones!$AB$89),UPPER(TEXT(EDATE($D114,Milestones!$AA$89),"dd mmm yy"))&amp;" "&amp;Milestones!$AB$89&amp;" "&amp;IF(AND(Milestones!$AB$89="FT",Milestones!$AA$89=FT_Y5,EDATE($D114,Milestones!$AA$89)&lt;PolicyEff),1,Milestones!$AC$89)&amp;";  ","")&amp;IF(AND(EDATE($D114,Milestones!$AA$90)&lt;=AsOfDate,EDATE($D114,Milestones!$AA$90)&gt;=SchemeStart,IF($X114=0,$AD114,IF(AND($Z114&lt;&gt;"",EDATE($D114,Milestones!$AA$90)&gt;=$Z114),$AC114,IF(AND($Y114&lt;&gt;"",EDATE($D114,Milestones!$AA$90)&gt;=$Y114),$AB114,$AA114)))=Milestones!$AB$90),UPPER(TEXT(EDATE($D114,Milestones!$AA$90),"dd mmm yy"))&amp;" "&amp;Milestones!$AB$90&amp;" "&amp;IF(AND(Milestones!$AB$90="FT",Milestones!$AA$90=FT_Y5,EDATE($D114,Milestones!$AA$90)&lt;PolicyEff),1,Milestones!$AC$90)&amp;";  ","")&amp;IF(AND(EDATE($D114,Milestones!$AA$91)&lt;=AsOfDate,EDATE($D114,Milestones!$AA$91)&gt;=SchemeStart,IF($X114=0,$AD114,IF(AND($Z114&lt;&gt;"",EDATE($D114,Milestones!$AA$91)&gt;=$Z114),$AC114,IF(AND($Y114&lt;&gt;"",EDATE($D114,Milestones!$AA$91)&gt;=$Y114),$AB114,$AA114)))=Milestones!$AB$91),UPPER(TEXT(EDATE($D114,Milestones!$AA$91),"dd mmm yy"))&amp;" "&amp;Milestones!$AB$91&amp;" "&amp;IF(AND(Milestones!$AB$91="FT",Milestones!$AA$91=FT_Y5,EDATE($D114,Milestones!$AA$91)&lt;PolicyEff),1,Milestones!$AC$91)&amp;";  ",""))</f>
        <v/>
      </c>
      <c r="O114" s="0" t="str">
        <f aca="false">IF(OR($A114="",$D114=""),"",IF(AND(EDATE($D114,Milestones!$AA$92)&lt;=AsOfDate,EDATE($D114,Milestones!$AA$92)&gt;=SchemeStart,IF($X114=0,$AD114,IF(AND($Z114&lt;&gt;"",EDATE($D114,Milestones!$AA$92)&gt;=$Z114),$AC114,IF(AND($Y114&lt;&gt;"",EDATE($D114,Milestones!$AA$92)&gt;=$Y114),$AB114,$AA114)))=Milestones!$AB$92),UPPER(TEXT(EDATE($D114,Milestones!$AA$92),"dd mmm yy"))&amp;" "&amp;Milestones!$AB$92&amp;" "&amp;IF(AND(Milestones!$AB$92="FT",Milestones!$AA$92=FT_Y5,EDATE($D114,Milestones!$AA$92)&lt;PolicyEff),1,Milestones!$AC$92)&amp;";  ","")&amp;IF(AND(EDATE($D114,Milestones!$AA$93)&lt;=AsOfDate,EDATE($D114,Milestones!$AA$93)&gt;=SchemeStart,IF($X114=0,$AD114,IF(AND($Z114&lt;&gt;"",EDATE($D114,Milestones!$AA$93)&gt;=$Z114),$AC114,IF(AND($Y114&lt;&gt;"",EDATE($D114,Milestones!$AA$93)&gt;=$Y114),$AB114,$AA114)))=Milestones!$AB$93),UPPER(TEXT(EDATE($D114,Milestones!$AA$93),"dd mmm yy"))&amp;" "&amp;Milestones!$AB$93&amp;" "&amp;IF(AND(Milestones!$AB$93="FT",Milestones!$AA$93=FT_Y5,EDATE($D114,Milestones!$AA$93)&lt;PolicyEff),1,Milestones!$AC$93)&amp;";  ","")&amp;IF(AND(EDATE($D114,Milestones!$AA$94)&lt;=AsOfDate,EDATE($D114,Milestones!$AA$94)&gt;=SchemeStart,IF($X114=0,$AD114,IF(AND($Z114&lt;&gt;"",EDATE($D114,Milestones!$AA$94)&gt;=$Z114),$AC114,IF(AND($Y114&lt;&gt;"",EDATE($D114,Milestones!$AA$94)&gt;=$Y114),$AB114,$AA114)))=Milestones!$AB$94),UPPER(TEXT(EDATE($D114,Milestones!$AA$94),"dd mmm yy"))&amp;" "&amp;Milestones!$AB$94&amp;" "&amp;IF(AND(Milestones!$AB$94="FT",Milestones!$AA$94=FT_Y5,EDATE($D114,Milestones!$AA$94)&lt;PolicyEff),1,Milestones!$AC$94)&amp;";  ","")&amp;IF(AND(EDATE($D114,Milestones!$AA$95)&lt;=AsOfDate,EDATE($D114,Milestones!$AA$95)&gt;=SchemeStart,IF($X114=0,$AD114,IF(AND($Z114&lt;&gt;"",EDATE($D114,Milestones!$AA$95)&gt;=$Z114),$AC114,IF(AND($Y114&lt;&gt;"",EDATE($D114,Milestones!$AA$95)&gt;=$Y114),$AB114,$AA114)))=Milestones!$AB$95),UPPER(TEXT(EDATE($D114,Milestones!$AA$95),"dd mmm yy"))&amp;" "&amp;Milestones!$AB$95&amp;" "&amp;IF(AND(Milestones!$AB$95="FT",Milestones!$AA$95=FT_Y5,EDATE($D114,Milestones!$AA$95)&lt;PolicyEff),1,Milestones!$AC$95)&amp;";  ","")&amp;IF(AND(EDATE($D114,Milestones!$AA$96)&lt;=AsOfDate,EDATE($D114,Milestones!$AA$96)&gt;=SchemeStart,IF($X114=0,$AD114,IF(AND($Z114&lt;&gt;"",EDATE($D114,Milestones!$AA$96)&gt;=$Z114),$AC114,IF(AND($Y114&lt;&gt;"",EDATE($D114,Milestones!$AA$96)&gt;=$Y114),$AB114,$AA114)))=Milestones!$AB$96),UPPER(TEXT(EDATE($D114,Milestones!$AA$96),"dd mmm yy"))&amp;" "&amp;Milestones!$AB$96&amp;" "&amp;IF(AND(Milestones!$AB$96="FT",Milestones!$AA$96=FT_Y5,EDATE($D114,Milestones!$AA$96)&lt;PolicyEff),1,Milestones!$AC$96)&amp;";  ","")&amp;IF(AND(EDATE($D114,Milestones!$AA$97)&lt;=AsOfDate,EDATE($D114,Milestones!$AA$97)&gt;=SchemeStart,IF($X114=0,$AD114,IF(AND($Z114&lt;&gt;"",EDATE($D114,Milestones!$AA$97)&gt;=$Z114),$AC114,IF(AND($Y114&lt;&gt;"",EDATE($D114,Milestones!$AA$97)&gt;=$Y114),$AB114,$AA114)))=Milestones!$AB$97),UPPER(TEXT(EDATE($D114,Milestones!$AA$97),"dd mmm yy"))&amp;" "&amp;Milestones!$AB$97&amp;" "&amp;IF(AND(Milestones!$AB$97="FT",Milestones!$AA$97=FT_Y5,EDATE($D114,Milestones!$AA$97)&lt;PolicyEff),1,Milestones!$AC$97)&amp;";  ","")&amp;IF(AND(EDATE($D114,Milestones!$AA$98)&lt;=AsOfDate,EDATE($D114,Milestones!$AA$98)&gt;=SchemeStart,IF($X114=0,$AD114,IF(AND($Z114&lt;&gt;"",EDATE($D114,Milestones!$AA$98)&gt;=$Z114),$AC114,IF(AND($Y114&lt;&gt;"",EDATE($D114,Milestones!$AA$98)&gt;=$Y114),$AB114,$AA114)))=Milestones!$AB$98),UPPER(TEXT(EDATE($D114,Milestones!$AA$98),"dd mmm yy"))&amp;" "&amp;Milestones!$AB$98&amp;" "&amp;IF(AND(Milestones!$AB$98="FT",Milestones!$AA$98=FT_Y5,EDATE($D114,Milestones!$AA$98)&lt;PolicyEff),1,Milestones!$AC$98)&amp;";  ","")&amp;IF(AND(EDATE($D114,Milestones!$AA$99)&lt;=AsOfDate,EDATE($D114,Milestones!$AA$99)&gt;=SchemeStart,IF($X114=0,$AD114,IF(AND($Z114&lt;&gt;"",EDATE($D114,Milestones!$AA$99)&gt;=$Z114),$AC114,IF(AND($Y114&lt;&gt;"",EDATE($D114,Milestones!$AA$99)&gt;=$Y114),$AB114,$AA114)))=Milestones!$AB$99),UPPER(TEXT(EDATE($D114,Milestones!$AA$99),"dd mmm yy"))&amp;" "&amp;Milestones!$AB$99&amp;" "&amp;IF(AND(Milestones!$AB$99="FT",Milestones!$AA$99=FT_Y5,EDATE($D114,Milestones!$AA$99)&lt;PolicyEff),1,Milestones!$AC$99)&amp;";  ","")&amp;IF(AND(EDATE($D114,Milestones!$AA$100)&lt;=AsOfDate,EDATE($D114,Milestones!$AA$100)&gt;=SchemeStart,IF($X114=0,$AD114,IF(AND($Z114&lt;&gt;"",EDATE($D114,Milestones!$AA$100)&gt;=$Z114),$AC114,IF(AND($Y114&lt;&gt;"",EDATE($D114,Milestones!$AA$100)&gt;=$Y114),$AB114,$AA114)))=Milestones!$AB$100),UPPER(TEXT(EDATE($D114,Milestones!$AA$100),"dd mmm yy"))&amp;" "&amp;Milestones!$AB$100&amp;" "&amp;IF(AND(Milestones!$AB$100="FT",Milestones!$AA$100=FT_Y5,EDATE($D114,Milestones!$AA$100)&lt;PolicyEff),1,Milestones!$AC$100)&amp;";  ","")&amp;IF(AND(EDATE($D114,Milestones!$AA$101)&lt;=AsOfDate,EDATE($D114,Milestones!$AA$101)&gt;=SchemeStart,IF($X114=0,$AD114,IF(AND($Z114&lt;&gt;"",EDATE($D114,Milestones!$AA$101)&gt;=$Z114),$AC114,IF(AND($Y114&lt;&gt;"",EDATE($D114,Milestones!$AA$101)&gt;=$Y114),$AB114,$AA114)))=Milestones!$AB$101),UPPER(TEXT(EDATE($D114,Milestones!$AA$101),"dd mmm yy"))&amp;" "&amp;Milestones!$AB$101&amp;" "&amp;IF(AND(Milestones!$AB$101="FT",Milestones!$AA$101=FT_Y5,EDATE($D114,Milestones!$AA$101)&lt;PolicyEff),1,Milestones!$AC$101)&amp;";  ","")&amp;IF(AND(EDATE($D114,Milestones!$AA$102)&lt;=AsOfDate,EDATE($D114,Milestones!$AA$102)&gt;=SchemeStart,IF($X114=0,$AD114,IF(AND($Z114&lt;&gt;"",EDATE($D114,Milestones!$AA$102)&gt;=$Z114),$AC114,IF(AND($Y114&lt;&gt;"",EDATE($D114,Milestones!$AA$102)&gt;=$Y114),$AB114,$AA114)))=Milestones!$AB$102),UPPER(TEXT(EDATE($D114,Milestones!$AA$102),"dd mmm yy"))&amp;" "&amp;Milestones!$AB$102&amp;" "&amp;IF(AND(Milestones!$AB$102="FT",Milestones!$AA$102=FT_Y5,EDATE($D114,Milestones!$AA$102)&lt;PolicyEff),1,Milestones!$AC$102)&amp;";  ","")&amp;IF(AND(EDATE($D114,Milestones!$AA$103)&lt;=AsOfDate,EDATE($D114,Milestones!$AA$103)&gt;=SchemeStart,IF($X114=0,$AD114,IF(AND($Z114&lt;&gt;"",EDATE($D114,Milestones!$AA$103)&gt;=$Z114),$AC114,IF(AND($Y114&lt;&gt;"",EDATE($D114,Milestones!$AA$103)&gt;=$Y114),$AB114,$AA114)))=Milestones!$AB$103),UPPER(TEXT(EDATE($D114,Milestones!$AA$103),"dd mmm yy"))&amp;" "&amp;Milestones!$AB$103&amp;" "&amp;IF(AND(Milestones!$AB$103="FT",Milestones!$AA$103=FT_Y5,EDATE($D114,Milestones!$AA$103)&lt;PolicyEff),1,Milestones!$AC$103)&amp;";  ",""))</f>
        <v/>
      </c>
      <c r="P114" s="0" t="str">
        <f aca="false">IF(OR($A114="",$D114=""),"",IF(AND(EDATE($D114,Milestones!$AA$104)&lt;=AsOfDate,EDATE($D114,Milestones!$AA$104)&gt;=SchemeStart,IF($X114=0,$AD114,IF(AND($Z114&lt;&gt;"",EDATE($D114,Milestones!$AA$104)&gt;=$Z114),$AC114,IF(AND($Y114&lt;&gt;"",EDATE($D114,Milestones!$AA$104)&gt;=$Y114),$AB114,$AA114)))=Milestones!$AB$104),UPPER(TEXT(EDATE($D114,Milestones!$AA$104),"dd mmm yy"))&amp;" "&amp;Milestones!$AB$104&amp;" "&amp;IF(AND(Milestones!$AB$104="FT",Milestones!$AA$104=FT_Y5,EDATE($D114,Milestones!$AA$104)&lt;PolicyEff),1,Milestones!$AC$104)&amp;";  ","")&amp;IF(AND(EDATE($D114,Milestones!$AA$105)&lt;=AsOfDate,EDATE($D114,Milestones!$AA$105)&gt;=SchemeStart,IF($X114=0,$AD114,IF(AND($Z114&lt;&gt;"",EDATE($D114,Milestones!$AA$105)&gt;=$Z114),$AC114,IF(AND($Y114&lt;&gt;"",EDATE($D114,Milestones!$AA$105)&gt;=$Y114),$AB114,$AA114)))=Milestones!$AB$105),UPPER(TEXT(EDATE($D114,Milestones!$AA$105),"dd mmm yy"))&amp;" "&amp;Milestones!$AB$105&amp;" "&amp;IF(AND(Milestones!$AB$105="FT",Milestones!$AA$105=FT_Y5,EDATE($D114,Milestones!$AA$105)&lt;PolicyEff),1,Milestones!$AC$105)&amp;";  ","")&amp;IF(AND(EDATE($D114,Milestones!$AA$106)&lt;=AsOfDate,EDATE($D114,Milestones!$AA$106)&gt;=SchemeStart,IF($X114=0,$AD114,IF(AND($Z114&lt;&gt;"",EDATE($D114,Milestones!$AA$106)&gt;=$Z114),$AC114,IF(AND($Y114&lt;&gt;"",EDATE($D114,Milestones!$AA$106)&gt;=$Y114),$AB114,$AA114)))=Milestones!$AB$106),UPPER(TEXT(EDATE($D114,Milestones!$AA$106),"dd mmm yy"))&amp;" "&amp;Milestones!$AB$106&amp;" "&amp;IF(AND(Milestones!$AB$106="FT",Milestones!$AA$106=FT_Y5,EDATE($D114,Milestones!$AA$106)&lt;PolicyEff),1,Milestones!$AC$106)&amp;";  ","")&amp;IF(AND(EDATE($D114,Milestones!$AA$107)&lt;=AsOfDate,EDATE($D114,Milestones!$AA$107)&gt;=SchemeStart,IF($X114=0,$AD114,IF(AND($Z114&lt;&gt;"",EDATE($D114,Milestones!$AA$107)&gt;=$Z114),$AC114,IF(AND($Y114&lt;&gt;"",EDATE($D114,Milestones!$AA$107)&gt;=$Y114),$AB114,$AA114)))=Milestones!$AB$107),UPPER(TEXT(EDATE($D114,Milestones!$AA$107),"dd mmm yy"))&amp;" "&amp;Milestones!$AB$107&amp;" "&amp;IF(AND(Milestones!$AB$107="FT",Milestones!$AA$107=FT_Y5,EDATE($D114,Milestones!$AA$107)&lt;PolicyEff),1,Milestones!$AC$107)&amp;";  ","")&amp;IF(AND(EDATE($D114,Milestones!$AA$108)&lt;=AsOfDate,EDATE($D114,Milestones!$AA$108)&gt;=SchemeStart,IF($X114=0,$AD114,IF(AND($Z114&lt;&gt;"",EDATE($D114,Milestones!$AA$108)&gt;=$Z114),$AC114,IF(AND($Y114&lt;&gt;"",EDATE($D114,Milestones!$AA$108)&gt;=$Y114),$AB114,$AA114)))=Milestones!$AB$108),UPPER(TEXT(EDATE($D114,Milestones!$AA$108),"dd mmm yy"))&amp;" "&amp;Milestones!$AB$108&amp;" "&amp;IF(AND(Milestones!$AB$108="FT",Milestones!$AA$108=FT_Y5,EDATE($D114,Milestones!$AA$108)&lt;PolicyEff),1,Milestones!$AC$108)&amp;";  ","")&amp;IF(AND(EDATE($D114,Milestones!$AA$109)&lt;=AsOfDate,EDATE($D114,Milestones!$AA$109)&gt;=SchemeStart,IF($X114=0,$AD114,IF(AND($Z114&lt;&gt;"",EDATE($D114,Milestones!$AA$109)&gt;=$Z114),$AC114,IF(AND($Y114&lt;&gt;"",EDATE($D114,Milestones!$AA$109)&gt;=$Y114),$AB114,$AA114)))=Milestones!$AB$109),UPPER(TEXT(EDATE($D114,Milestones!$AA$109),"dd mmm yy"))&amp;" "&amp;Milestones!$AB$109&amp;" "&amp;IF(AND(Milestones!$AB$109="FT",Milestones!$AA$109=FT_Y5,EDATE($D114,Milestones!$AA$109)&lt;PolicyEff),1,Milestones!$AC$109)&amp;";  ","")&amp;IF(AND(EDATE($D114,Milestones!$AA$110)&lt;=AsOfDate,EDATE($D114,Milestones!$AA$110)&gt;=SchemeStart,IF($X114=0,$AD114,IF(AND($Z114&lt;&gt;"",EDATE($D114,Milestones!$AA$110)&gt;=$Z114),$AC114,IF(AND($Y114&lt;&gt;"",EDATE($D114,Milestones!$AA$110)&gt;=$Y114),$AB114,$AA114)))=Milestones!$AB$110),UPPER(TEXT(EDATE($D114,Milestones!$AA$110),"dd mmm yy"))&amp;" "&amp;Milestones!$AB$110&amp;" "&amp;IF(AND(Milestones!$AB$110="FT",Milestones!$AA$110=FT_Y5,EDATE($D114,Milestones!$AA$110)&lt;PolicyEff),1,Milestones!$AC$110)&amp;";  ","")&amp;IF(AND(EDATE($D114,Milestones!$AA$111)&lt;=AsOfDate,EDATE($D114,Milestones!$AA$111)&gt;=SchemeStart,IF($X114=0,$AD114,IF(AND($Z114&lt;&gt;"",EDATE($D114,Milestones!$AA$111)&gt;=$Z114),$AC114,IF(AND($Y114&lt;&gt;"",EDATE($D114,Milestones!$AA$111)&gt;=$Y114),$AB114,$AA114)))=Milestones!$AB$111),UPPER(TEXT(EDATE($D114,Milestones!$AA$111),"dd mmm yy"))&amp;" "&amp;Milestones!$AB$111&amp;" "&amp;IF(AND(Milestones!$AB$111="FT",Milestones!$AA$111=FT_Y5,EDATE($D114,Milestones!$AA$111)&lt;PolicyEff),1,Milestones!$AC$111)&amp;";  ","")&amp;IF(AND(EDATE($D114,Milestones!$AA$112)&lt;=AsOfDate,EDATE($D114,Milestones!$AA$112)&gt;=SchemeStart,IF($X114=0,$AD114,IF(AND($Z114&lt;&gt;"",EDATE($D114,Milestones!$AA$112)&gt;=$Z114),$AC114,IF(AND($Y114&lt;&gt;"",EDATE($D114,Milestones!$AA$112)&gt;=$Y114),$AB114,$AA114)))=Milestones!$AB$112),UPPER(TEXT(EDATE($D114,Milestones!$AA$112),"dd mmm yy"))&amp;" "&amp;Milestones!$AB$112&amp;" "&amp;IF(AND(Milestones!$AB$112="FT",Milestones!$AA$112=FT_Y5,EDATE($D114,Milestones!$AA$112)&lt;PolicyEff),1,Milestones!$AC$112)&amp;";  ","")&amp;IF(AND(EDATE($D114,Milestones!$AA$113)&lt;=AsOfDate,EDATE($D114,Milestones!$AA$113)&gt;=SchemeStart,IF($X114=0,$AD114,IF(AND($Z114&lt;&gt;"",EDATE($D114,Milestones!$AA$113)&gt;=$Z114),$AC114,IF(AND($Y114&lt;&gt;"",EDATE($D114,Milestones!$AA$113)&gt;=$Y114),$AB114,$AA114)))=Milestones!$AB$113),UPPER(TEXT(EDATE($D114,Milestones!$AA$113),"dd mmm yy"))&amp;" "&amp;Milestones!$AB$113&amp;" "&amp;IF(AND(Milestones!$AB$113="FT",Milestones!$AA$113=FT_Y5,EDATE($D114,Milestones!$AA$113)&lt;PolicyEff),1,Milestones!$AC$113)&amp;";  ","")&amp;IF(AND(EDATE($D114,Milestones!$AA$114)&lt;=AsOfDate,EDATE($D114,Milestones!$AA$114)&gt;=SchemeStart,IF($X114=0,$AD114,IF(AND($Z114&lt;&gt;"",EDATE($D114,Milestones!$AA$114)&gt;=$Z114),$AC114,IF(AND($Y114&lt;&gt;"",EDATE($D114,Milestones!$AA$114)&gt;=$Y114),$AB114,$AA114)))=Milestones!$AB$114),UPPER(TEXT(EDATE($D114,Milestones!$AA$114),"dd mmm yy"))&amp;" "&amp;Milestones!$AB$114&amp;" "&amp;IF(AND(Milestones!$AB$114="FT",Milestones!$AA$114=FT_Y5,EDATE($D114,Milestones!$AA$114)&lt;PolicyEff),1,Milestones!$AC$114)&amp;";  ","")&amp;IF(AND(EDATE($D114,Milestones!$AA$115)&lt;=AsOfDate,EDATE($D114,Milestones!$AA$115)&gt;=SchemeStart,IF($X114=0,$AD114,IF(AND($Z114&lt;&gt;"",EDATE($D114,Milestones!$AA$115)&gt;=$Z114),$AC114,IF(AND($Y114&lt;&gt;"",EDATE($D114,Milestones!$AA$115)&gt;=$Y114),$AB114,$AA114)))=Milestones!$AB$115),UPPER(TEXT(EDATE($D114,Milestones!$AA$115),"dd mmm yy"))&amp;" "&amp;Milestones!$AB$115&amp;" "&amp;IF(AND(Milestones!$AB$115="FT",Milestones!$AA$115=FT_Y5,EDATE($D114,Milestones!$AA$115)&lt;PolicyEff),1,Milestones!$AC$115)&amp;";  ",""))</f>
        <v/>
      </c>
      <c r="Q114" s="0" t="str">
        <f aca="false">IF(OR($A114="",$D114=""),"",IF(AND(EDATE($D114,Milestones!$AA$116)&lt;=AsOfDate,EDATE($D114,Milestones!$AA$116)&gt;=SchemeStart,IF($X114=0,$AD114,IF(AND($Z114&lt;&gt;"",EDATE($D114,Milestones!$AA$116)&gt;=$Z114),$AC114,IF(AND($Y114&lt;&gt;"",EDATE($D114,Milestones!$AA$116)&gt;=$Y114),$AB114,$AA114)))=Milestones!$AB$116),UPPER(TEXT(EDATE($D114,Milestones!$AA$116),"dd mmm yy"))&amp;" "&amp;Milestones!$AB$116&amp;" "&amp;IF(AND(Milestones!$AB$116="FT",Milestones!$AA$116=FT_Y5,EDATE($D114,Milestones!$AA$116)&lt;PolicyEff),1,Milestones!$AC$116)&amp;";  ","")&amp;IF(AND(EDATE($D114,Milestones!$AA$117)&lt;=AsOfDate,EDATE($D114,Milestones!$AA$117)&gt;=SchemeStart,IF($X114=0,$AD114,IF(AND($Z114&lt;&gt;"",EDATE($D114,Milestones!$AA$117)&gt;=$Z114),$AC114,IF(AND($Y114&lt;&gt;"",EDATE($D114,Milestones!$AA$117)&gt;=$Y114),$AB114,$AA114)))=Milestones!$AB$117),UPPER(TEXT(EDATE($D114,Milestones!$AA$117),"dd mmm yy"))&amp;" "&amp;Milestones!$AB$117&amp;" "&amp;IF(AND(Milestones!$AB$117="FT",Milestones!$AA$117=FT_Y5,EDATE($D114,Milestones!$AA$117)&lt;PolicyEff),1,Milestones!$AC$117)&amp;";  ","")&amp;IF(AND(EDATE($D114,Milestones!$AA$118)&lt;=AsOfDate,EDATE($D114,Milestones!$AA$118)&gt;=SchemeStart,IF($X114=0,$AD114,IF(AND($Z114&lt;&gt;"",EDATE($D114,Milestones!$AA$118)&gt;=$Z114),$AC114,IF(AND($Y114&lt;&gt;"",EDATE($D114,Milestones!$AA$118)&gt;=$Y114),$AB114,$AA114)))=Milestones!$AB$118),UPPER(TEXT(EDATE($D114,Milestones!$AA$118),"dd mmm yy"))&amp;" "&amp;Milestones!$AB$118&amp;" "&amp;IF(AND(Milestones!$AB$118="FT",Milestones!$AA$118=FT_Y5,EDATE($D114,Milestones!$AA$118)&lt;PolicyEff),1,Milestones!$AC$118)&amp;";  ","")&amp;IF(AND(EDATE($D114,Milestones!$AA$119)&lt;=AsOfDate,EDATE($D114,Milestones!$AA$119)&gt;=SchemeStart,IF($X114=0,$AD114,IF(AND($Z114&lt;&gt;"",EDATE($D114,Milestones!$AA$119)&gt;=$Z114),$AC114,IF(AND($Y114&lt;&gt;"",EDATE($D114,Milestones!$AA$119)&gt;=$Y114),$AB114,$AA114)))=Milestones!$AB$119),UPPER(TEXT(EDATE($D114,Milestones!$AA$119),"dd mmm yy"))&amp;" "&amp;Milestones!$AB$119&amp;" "&amp;IF(AND(Milestones!$AB$119="FT",Milestones!$AA$119=FT_Y5,EDATE($D114,Milestones!$AA$119)&lt;PolicyEff),1,Milestones!$AC$119)&amp;";  ","")&amp;IF(AND(EDATE($D114,Milestones!$AA$120)&lt;=AsOfDate,EDATE($D114,Milestones!$AA$120)&gt;=SchemeStart,IF($X114=0,$AD114,IF(AND($Z114&lt;&gt;"",EDATE($D114,Milestones!$AA$120)&gt;=$Z114),$AC114,IF(AND($Y114&lt;&gt;"",EDATE($D114,Milestones!$AA$120)&gt;=$Y114),$AB114,$AA114)))=Milestones!$AB$120),UPPER(TEXT(EDATE($D114,Milestones!$AA$120),"dd mmm yy"))&amp;" "&amp;Milestones!$AB$120&amp;" "&amp;IF(AND(Milestones!$AB$120="FT",Milestones!$AA$120=FT_Y5,EDATE($D114,Milestones!$AA$120)&lt;PolicyEff),1,Milestones!$AC$120)&amp;";  ","")&amp;IF(AND(EDATE($D114,Milestones!$AA$121)&lt;=AsOfDate,EDATE($D114,Milestones!$AA$121)&gt;=SchemeStart,IF($X114=0,$AD114,IF(AND($Z114&lt;&gt;"",EDATE($D114,Milestones!$AA$121)&gt;=$Z114),$AC114,IF(AND($Y114&lt;&gt;"",EDATE($D114,Milestones!$AA$121)&gt;=$Y114),$AB114,$AA114)))=Milestones!$AB$121),UPPER(TEXT(EDATE($D114,Milestones!$AA$121),"dd mmm yy"))&amp;" "&amp;Milestones!$AB$121&amp;" "&amp;IF(AND(Milestones!$AB$121="FT",Milestones!$AA$121=FT_Y5,EDATE($D114,Milestones!$AA$121)&lt;PolicyEff),1,Milestones!$AC$121)&amp;";  ","")&amp;IF(AND(EDATE($D114,Milestones!$AA$122)&lt;=AsOfDate,EDATE($D114,Milestones!$AA$122)&gt;=SchemeStart,IF($X114=0,$AD114,IF(AND($Z114&lt;&gt;"",EDATE($D114,Milestones!$AA$122)&gt;=$Z114),$AC114,IF(AND($Y114&lt;&gt;"",EDATE($D114,Milestones!$AA$122)&gt;=$Y114),$AB114,$AA114)))=Milestones!$AB$122),UPPER(TEXT(EDATE($D114,Milestones!$AA$122),"dd mmm yy"))&amp;" "&amp;Milestones!$AB$122&amp;" "&amp;IF(AND(Milestones!$AB$122="FT",Milestones!$AA$122=FT_Y5,EDATE($D114,Milestones!$AA$122)&lt;PolicyEff),1,Milestones!$AC$122)&amp;";  ","")&amp;IF(AND(EDATE($D114,Milestones!$AA$123)&lt;=AsOfDate,EDATE($D114,Milestones!$AA$123)&gt;=SchemeStart,IF($X114=0,$AD114,IF(AND($Z114&lt;&gt;"",EDATE($D114,Milestones!$AA$123)&gt;=$Z114),$AC114,IF(AND($Y114&lt;&gt;"",EDATE($D114,Milestones!$AA$123)&gt;=$Y114),$AB114,$AA114)))=Milestones!$AB$123),UPPER(TEXT(EDATE($D114,Milestones!$AA$123),"dd mmm yy"))&amp;" "&amp;Milestones!$AB$123&amp;" "&amp;IF(AND(Milestones!$AB$123="FT",Milestones!$AA$123=FT_Y5,EDATE($D114,Milestones!$AA$123)&lt;PolicyEff),1,Milestones!$AC$123)&amp;";  ","")&amp;IF(AND(EDATE($D114,Milestones!$AA$124)&lt;=AsOfDate,EDATE($D114,Milestones!$AA$124)&gt;=SchemeStart,IF($X114=0,$AD114,IF(AND($Z114&lt;&gt;"",EDATE($D114,Milestones!$AA$124)&gt;=$Z114),$AC114,IF(AND($Y114&lt;&gt;"",EDATE($D114,Milestones!$AA$124)&gt;=$Y114),$AB114,$AA114)))=Milestones!$AB$124),UPPER(TEXT(EDATE($D114,Milestones!$AA$124),"dd mmm yy"))&amp;" "&amp;Milestones!$AB$124&amp;" "&amp;IF(AND(Milestones!$AB$124="FT",Milestones!$AA$124=FT_Y5,EDATE($D114,Milestones!$AA$124)&lt;PolicyEff),1,Milestones!$AC$124)&amp;";  ","")&amp;IF(AND(EDATE($D114,Milestones!$AA$125)&lt;=AsOfDate,EDATE($D114,Milestones!$AA$125)&gt;=SchemeStart,IF($X114=0,$AD114,IF(AND($Z114&lt;&gt;"",EDATE($D114,Milestones!$AA$125)&gt;=$Z114),$AC114,IF(AND($Y114&lt;&gt;"",EDATE($D114,Milestones!$AA$125)&gt;=$Y114),$AB114,$AA114)))=Milestones!$AB$125),UPPER(TEXT(EDATE($D114,Milestones!$AA$125),"dd mmm yy"))&amp;" "&amp;Milestones!$AB$125&amp;" "&amp;IF(AND(Milestones!$AB$125="FT",Milestones!$AA$125=FT_Y5,EDATE($D114,Milestones!$AA$125)&lt;PolicyEff),1,Milestones!$AC$125)&amp;";  ","")&amp;IF(AND(EDATE($D114,Milestones!$AA$126)&lt;=AsOfDate,EDATE($D114,Milestones!$AA$126)&gt;=SchemeStart,IF($X114=0,$AD114,IF(AND($Z114&lt;&gt;"",EDATE($D114,Milestones!$AA$126)&gt;=$Z114),$AC114,IF(AND($Y114&lt;&gt;"",EDATE($D114,Milestones!$AA$126)&gt;=$Y114),$AB114,$AA114)))=Milestones!$AB$126),UPPER(TEXT(EDATE($D114,Milestones!$AA$126),"dd mmm yy"))&amp;" "&amp;Milestones!$AB$126&amp;" "&amp;IF(AND(Milestones!$AB$126="FT",Milestones!$AA$126=FT_Y5,EDATE($D114,Milestones!$AA$126)&lt;PolicyEff),1,Milestones!$AC$126)&amp;";  ","")&amp;IF(AND(EDATE($D114,Milestones!$AA$127)&lt;=AsOfDate,EDATE($D114,Milestones!$AA$127)&gt;=SchemeStart,IF($X114=0,$AD114,IF(AND($Z114&lt;&gt;"",EDATE($D114,Milestones!$AA$127)&gt;=$Z114),$AC114,IF(AND($Y114&lt;&gt;"",EDATE($D114,Milestones!$AA$127)&gt;=$Y114),$AB114,$AA114)))=Milestones!$AB$127),UPPER(TEXT(EDATE($D114,Milestones!$AA$127),"dd mmm yy"))&amp;" "&amp;Milestones!$AB$127&amp;" "&amp;IF(AND(Milestones!$AB$127="FT",Milestones!$AA$127=FT_Y5,EDATE($D114,Milestones!$AA$127)&lt;PolicyEff),1,Milestones!$AC$127)&amp;";  ",""))</f>
        <v/>
      </c>
      <c r="R114" s="0" t="str">
        <f aca="false">IF(OR($A114="",$D114=""),"",IF(AND(EDATE($D114,Milestones!$AA$128)&lt;=AsOfDate,EDATE($D114,Milestones!$AA$128)&gt;=SchemeStart,IF($X114=0,$AD114,IF(AND($Z114&lt;&gt;"",EDATE($D114,Milestones!$AA$128)&gt;=$Z114),$AC114,IF(AND($Y114&lt;&gt;"",EDATE($D114,Milestones!$AA$128)&gt;=$Y114),$AB114,$AA114)))=Milestones!$AB$128),UPPER(TEXT(EDATE($D114,Milestones!$AA$128),"dd mmm yy"))&amp;" "&amp;Milestones!$AB$128&amp;" "&amp;IF(AND(Milestones!$AB$128="FT",Milestones!$AA$128=FT_Y5,EDATE($D114,Milestones!$AA$128)&lt;PolicyEff),1,Milestones!$AC$128)&amp;";  ","")&amp;IF(AND(EDATE($D114,Milestones!$AA$129)&lt;=AsOfDate,EDATE($D114,Milestones!$AA$129)&gt;=SchemeStart,IF($X114=0,$AD114,IF(AND($Z114&lt;&gt;"",EDATE($D114,Milestones!$AA$129)&gt;=$Z114),$AC114,IF(AND($Y114&lt;&gt;"",EDATE($D114,Milestones!$AA$129)&gt;=$Y114),$AB114,$AA114)))=Milestones!$AB$129),UPPER(TEXT(EDATE($D114,Milestones!$AA$129),"dd mmm yy"))&amp;" "&amp;Milestones!$AB$129&amp;" "&amp;IF(AND(Milestones!$AB$129="FT",Milestones!$AA$129=FT_Y5,EDATE($D114,Milestones!$AA$129)&lt;PolicyEff),1,Milestones!$AC$129)&amp;";  ","")&amp;IF(AND(EDATE($D114,Milestones!$AA$130)&lt;=AsOfDate,EDATE($D114,Milestones!$AA$130)&gt;=SchemeStart,IF($X114=0,$AD114,IF(AND($Z114&lt;&gt;"",EDATE($D114,Milestones!$AA$130)&gt;=$Z114),$AC114,IF(AND($Y114&lt;&gt;"",EDATE($D114,Milestones!$AA$130)&gt;=$Y114),$AB114,$AA114)))=Milestones!$AB$130),UPPER(TEXT(EDATE($D114,Milestones!$AA$130),"dd mmm yy"))&amp;" "&amp;Milestones!$AB$130&amp;" "&amp;IF(AND(Milestones!$AB$130="FT",Milestones!$AA$130=FT_Y5,EDATE($D114,Milestones!$AA$130)&lt;PolicyEff),1,Milestones!$AC$130)&amp;";  ","")&amp;IF(AND(EDATE($D114,Milestones!$AA$131)&lt;=AsOfDate,EDATE($D114,Milestones!$AA$131)&gt;=SchemeStart,IF($X114=0,$AD114,IF(AND($Z114&lt;&gt;"",EDATE($D114,Milestones!$AA$131)&gt;=$Z114),$AC114,IF(AND($Y114&lt;&gt;"",EDATE($D114,Milestones!$AA$131)&gt;=$Y114),$AB114,$AA114)))=Milestones!$AB$131),UPPER(TEXT(EDATE($D114,Milestones!$AA$131),"dd mmm yy"))&amp;" "&amp;Milestones!$AB$131&amp;" "&amp;IF(AND(Milestones!$AB$131="FT",Milestones!$AA$131=FT_Y5,EDATE($D114,Milestones!$AA$131)&lt;PolicyEff),1,Milestones!$AC$131)&amp;";  ","")&amp;IF(AND(EDATE($D114,Milestones!$AA$132)&lt;=AsOfDate,EDATE($D114,Milestones!$AA$132)&gt;=SchemeStart,IF($X114=0,$AD114,IF(AND($Z114&lt;&gt;"",EDATE($D114,Milestones!$AA$132)&gt;=$Z114),$AC114,IF(AND($Y114&lt;&gt;"",EDATE($D114,Milestones!$AA$132)&gt;=$Y114),$AB114,$AA114)))=Milestones!$AB$132),UPPER(TEXT(EDATE($D114,Milestones!$AA$132),"dd mmm yy"))&amp;" "&amp;Milestones!$AB$132&amp;" "&amp;IF(AND(Milestones!$AB$132="FT",Milestones!$AA$132=FT_Y5,EDATE($D114,Milestones!$AA$132)&lt;PolicyEff),1,Milestones!$AC$132)&amp;";  ","")&amp;IF(AND(EDATE($D114,Milestones!$AA$133)&lt;=AsOfDate,EDATE($D114,Milestones!$AA$133)&gt;=SchemeStart,IF($X114=0,$AD114,IF(AND($Z114&lt;&gt;"",EDATE($D114,Milestones!$AA$133)&gt;=$Z114),$AC114,IF(AND($Y114&lt;&gt;"",EDATE($D114,Milestones!$AA$133)&gt;=$Y114),$AB114,$AA114)))=Milestones!$AB$133),UPPER(TEXT(EDATE($D114,Milestones!$AA$133),"dd mmm yy"))&amp;" "&amp;Milestones!$AB$133&amp;" "&amp;IF(AND(Milestones!$AB$133="FT",Milestones!$AA$133=FT_Y5,EDATE($D114,Milestones!$AA$133)&lt;PolicyEff),1,Milestones!$AC$133)&amp;";  ","")&amp;IF(AND(EDATE($D114,Milestones!$AA$134)&lt;=AsOfDate,EDATE($D114,Milestones!$AA$134)&gt;=SchemeStart,IF($X114=0,$AD114,IF(AND($Z114&lt;&gt;"",EDATE($D114,Milestones!$AA$134)&gt;=$Z114),$AC114,IF(AND($Y114&lt;&gt;"",EDATE($D114,Milestones!$AA$134)&gt;=$Y114),$AB114,$AA114)))=Milestones!$AB$134),UPPER(TEXT(EDATE($D114,Milestones!$AA$134),"dd mmm yy"))&amp;" "&amp;Milestones!$AB$134&amp;" "&amp;IF(AND(Milestones!$AB$134="FT",Milestones!$AA$134=FT_Y5,EDATE($D114,Milestones!$AA$134)&lt;PolicyEff),1,Milestones!$AC$134)&amp;";  ","")&amp;IF(AND(EDATE($D114,Milestones!$AA$135)&lt;=AsOfDate,EDATE($D114,Milestones!$AA$135)&gt;=SchemeStart,IF($X114=0,$AD114,IF(AND($Z114&lt;&gt;"",EDATE($D114,Milestones!$AA$135)&gt;=$Z114),$AC114,IF(AND($Y114&lt;&gt;"",EDATE($D114,Milestones!$AA$135)&gt;=$Y114),$AB114,$AA114)))=Milestones!$AB$135),UPPER(TEXT(EDATE($D114,Milestones!$AA$135),"dd mmm yy"))&amp;" "&amp;Milestones!$AB$135&amp;" "&amp;IF(AND(Milestones!$AB$135="FT",Milestones!$AA$135=FT_Y5,EDATE($D114,Milestones!$AA$135)&lt;PolicyEff),1,Milestones!$AC$135)&amp;";  ","")&amp;IF(AND(EDATE($D114,Milestones!$AA$136)&lt;=AsOfDate,EDATE($D114,Milestones!$AA$136)&gt;=SchemeStart,IF($X114=0,$AD114,IF(AND($Z114&lt;&gt;"",EDATE($D114,Milestones!$AA$136)&gt;=$Z114),$AC114,IF(AND($Y114&lt;&gt;"",EDATE($D114,Milestones!$AA$136)&gt;=$Y114),$AB114,$AA114)))=Milestones!$AB$136),UPPER(TEXT(EDATE($D114,Milestones!$AA$136),"dd mmm yy"))&amp;" "&amp;Milestones!$AB$136&amp;" "&amp;IF(AND(Milestones!$AB$136="FT",Milestones!$AA$136=FT_Y5,EDATE($D114,Milestones!$AA$136)&lt;PolicyEff),1,Milestones!$AC$136)&amp;";  ","")&amp;IF(AND(EDATE($D114,Milestones!$AA$137)&lt;=AsOfDate,EDATE($D114,Milestones!$AA$137)&gt;=SchemeStart,IF($X114=0,$AD114,IF(AND($Z114&lt;&gt;"",EDATE($D114,Milestones!$AA$137)&gt;=$Z114),$AC114,IF(AND($Y114&lt;&gt;"",EDATE($D114,Milestones!$AA$137)&gt;=$Y114),$AB114,$AA114)))=Milestones!$AB$137),UPPER(TEXT(EDATE($D114,Milestones!$AA$137),"dd mmm yy"))&amp;" "&amp;Milestones!$AB$137&amp;" "&amp;IF(AND(Milestones!$AB$137="FT",Milestones!$AA$137=FT_Y5,EDATE($D114,Milestones!$AA$137)&lt;PolicyEff),1,Milestones!$AC$137)&amp;";  ","")&amp;IF(AND(EDATE($D114,Milestones!$AA$138)&lt;=AsOfDate,EDATE($D114,Milestones!$AA$138)&gt;=SchemeStart,IF($X114=0,$AD114,IF(AND($Z114&lt;&gt;"",EDATE($D114,Milestones!$AA$138)&gt;=$Z114),$AC114,IF(AND($Y114&lt;&gt;"",EDATE($D114,Milestones!$AA$138)&gt;=$Y114),$AB114,$AA114)))=Milestones!$AB$138),UPPER(TEXT(EDATE($D114,Milestones!$AA$138),"dd mmm yy"))&amp;" "&amp;Milestones!$AB$138&amp;" "&amp;IF(AND(Milestones!$AB$138="FT",Milestones!$AA$138=FT_Y5,EDATE($D114,Milestones!$AA$138)&lt;PolicyEff),1,Milestones!$AC$138)&amp;";  ","")&amp;IF(AND(EDATE($D114,Milestones!$AA$139)&lt;=AsOfDate,EDATE($D114,Milestones!$AA$139)&gt;=SchemeStart,IF($X114=0,$AD114,IF(AND($Z114&lt;&gt;"",EDATE($D114,Milestones!$AA$139)&gt;=$Z114),$AC114,IF(AND($Y114&lt;&gt;"",EDATE($D114,Milestones!$AA$139)&gt;=$Y114),$AB114,$AA114)))=Milestones!$AB$139),UPPER(TEXT(EDATE($D114,Milestones!$AA$139),"dd mmm yy"))&amp;" "&amp;Milestones!$AB$139&amp;" "&amp;IF(AND(Milestones!$AB$139="FT",Milestones!$AA$139=FT_Y5,EDATE($D114,Milestones!$AA$139)&lt;PolicyEff),1,Milestones!$AC$139)&amp;";  ",""))</f>
        <v/>
      </c>
      <c r="S114" s="0" t="str">
        <f aca="false">IF(OR($A114="",$D114=""),"",IF(AND(EDATE($D114,Milestones!$AA$140)&lt;=AsOfDate,EDATE($D114,Milestones!$AA$140)&gt;=SchemeStart,IF($X114=0,$AD114,IF(AND($Z114&lt;&gt;"",EDATE($D114,Milestones!$AA$140)&gt;=$Z114),$AC114,IF(AND($Y114&lt;&gt;"",EDATE($D114,Milestones!$AA$140)&gt;=$Y114),$AB114,$AA114)))=Milestones!$AB$140),UPPER(TEXT(EDATE($D114,Milestones!$AA$140),"dd mmm yy"))&amp;" "&amp;Milestones!$AB$140&amp;" "&amp;IF(AND(Milestones!$AB$140="FT",Milestones!$AA$140=FT_Y5,EDATE($D114,Milestones!$AA$140)&lt;PolicyEff),1,Milestones!$AC$140)&amp;";  ","")&amp;IF(AND(EDATE($D114,Milestones!$AA$141)&lt;=AsOfDate,EDATE($D114,Milestones!$AA$141)&gt;=SchemeStart,IF($X114=0,$AD114,IF(AND($Z114&lt;&gt;"",EDATE($D114,Milestones!$AA$141)&gt;=$Z114),$AC114,IF(AND($Y114&lt;&gt;"",EDATE($D114,Milestones!$AA$141)&gt;=$Y114),$AB114,$AA114)))=Milestones!$AB$141),UPPER(TEXT(EDATE($D114,Milestones!$AA$141),"dd mmm yy"))&amp;" "&amp;Milestones!$AB$141&amp;" "&amp;IF(AND(Milestones!$AB$141="FT",Milestones!$AA$141=FT_Y5,EDATE($D114,Milestones!$AA$141)&lt;PolicyEff),1,Milestones!$AC$141)&amp;";  ","")&amp;IF(AND(EDATE($D114,Milestones!$AA$142)&lt;=AsOfDate,EDATE($D114,Milestones!$AA$142)&gt;=SchemeStart,IF($X114=0,$AD114,IF(AND($Z114&lt;&gt;"",EDATE($D114,Milestones!$AA$142)&gt;=$Z114),$AC114,IF(AND($Y114&lt;&gt;"",EDATE($D114,Milestones!$AA$142)&gt;=$Y114),$AB114,$AA114)))=Milestones!$AB$142),UPPER(TEXT(EDATE($D114,Milestones!$AA$142),"dd mmm yy"))&amp;" "&amp;Milestones!$AB$142&amp;" "&amp;IF(AND(Milestones!$AB$142="FT",Milestones!$AA$142=FT_Y5,EDATE($D114,Milestones!$AA$142)&lt;PolicyEff),1,Milestones!$AC$142)&amp;";  ","")&amp;IF(AND(EDATE($D114,Milestones!$AA$143)&lt;=AsOfDate,EDATE($D114,Milestones!$AA$143)&gt;=SchemeStart,IF($X114=0,$AD114,IF(AND($Z114&lt;&gt;"",EDATE($D114,Milestones!$AA$143)&gt;=$Z114),$AC114,IF(AND($Y114&lt;&gt;"",EDATE($D114,Milestones!$AA$143)&gt;=$Y114),$AB114,$AA114)))=Milestones!$AB$143),UPPER(TEXT(EDATE($D114,Milestones!$AA$143),"dd mmm yy"))&amp;" "&amp;Milestones!$AB$143&amp;" "&amp;IF(AND(Milestones!$AB$143="FT",Milestones!$AA$143=FT_Y5,EDATE($D114,Milestones!$AA$143)&lt;PolicyEff),1,Milestones!$AC$143)&amp;";  ","")&amp;IF(AND(EDATE($D114,Milestones!$AA$144)&lt;=AsOfDate,EDATE($D114,Milestones!$AA$144)&gt;=SchemeStart,IF($X114=0,$AD114,IF(AND($Z114&lt;&gt;"",EDATE($D114,Milestones!$AA$144)&gt;=$Z114),$AC114,IF(AND($Y114&lt;&gt;"",EDATE($D114,Milestones!$AA$144)&gt;=$Y114),$AB114,$AA114)))=Milestones!$AB$144),UPPER(TEXT(EDATE($D114,Milestones!$AA$144),"dd mmm yy"))&amp;" "&amp;Milestones!$AB$144&amp;" "&amp;IF(AND(Milestones!$AB$144="FT",Milestones!$AA$144=FT_Y5,EDATE($D114,Milestones!$AA$144)&lt;PolicyEff),1,Milestones!$AC$144)&amp;";  ","")&amp;IF(AND(EDATE($D114,Milestones!$AA$145)&lt;=AsOfDate,EDATE($D114,Milestones!$AA$145)&gt;=SchemeStart,IF($X114=0,$AD114,IF(AND($Z114&lt;&gt;"",EDATE($D114,Milestones!$AA$145)&gt;=$Z114),$AC114,IF(AND($Y114&lt;&gt;"",EDATE($D114,Milestones!$AA$145)&gt;=$Y114),$AB114,$AA114)))=Milestones!$AB$145),UPPER(TEXT(EDATE($D114,Milestones!$AA$145),"dd mmm yy"))&amp;" "&amp;Milestones!$AB$145&amp;" "&amp;IF(AND(Milestones!$AB$145="FT",Milestones!$AA$145=FT_Y5,EDATE($D114,Milestones!$AA$145)&lt;PolicyEff),1,Milestones!$AC$145)&amp;";  ","")&amp;IF(AND(EDATE($D114,Milestones!$AA$146)&lt;=AsOfDate,EDATE($D114,Milestones!$AA$146)&gt;=SchemeStart,IF($X114=0,$AD114,IF(AND($Z114&lt;&gt;"",EDATE($D114,Milestones!$AA$146)&gt;=$Z114),$AC114,IF(AND($Y114&lt;&gt;"",EDATE($D114,Milestones!$AA$146)&gt;=$Y114),$AB114,$AA114)))=Milestones!$AB$146),UPPER(TEXT(EDATE($D114,Milestones!$AA$146),"dd mmm yy"))&amp;" "&amp;Milestones!$AB$146&amp;" "&amp;IF(AND(Milestones!$AB$146="FT",Milestones!$AA$146=FT_Y5,EDATE($D114,Milestones!$AA$146)&lt;PolicyEff),1,Milestones!$AC$146)&amp;";  ","")&amp;IF(AND(EDATE($D114,Milestones!$AA$147)&lt;=AsOfDate,EDATE($D114,Milestones!$AA$147)&gt;=SchemeStart,IF($X114=0,$AD114,IF(AND($Z114&lt;&gt;"",EDATE($D114,Milestones!$AA$147)&gt;=$Z114),$AC114,IF(AND($Y114&lt;&gt;"",EDATE($D114,Milestones!$AA$147)&gt;=$Y114),$AB114,$AA114)))=Milestones!$AB$147),UPPER(TEXT(EDATE($D114,Milestones!$AA$147),"dd mmm yy"))&amp;" "&amp;Milestones!$AB$147&amp;" "&amp;IF(AND(Milestones!$AB$147="FT",Milestones!$AA$147=FT_Y5,EDATE($D114,Milestones!$AA$147)&lt;PolicyEff),1,Milestones!$AC$147)&amp;";  ","")&amp;IF(AND(EDATE($D114,Milestones!$AA$148)&lt;=AsOfDate,EDATE($D114,Milestones!$AA$148)&gt;=SchemeStart,IF($X114=0,$AD114,IF(AND($Z114&lt;&gt;"",EDATE($D114,Milestones!$AA$148)&gt;=$Z114),$AC114,IF(AND($Y114&lt;&gt;"",EDATE($D114,Milestones!$AA$148)&gt;=$Y114),$AB114,$AA114)))=Milestones!$AB$148),UPPER(TEXT(EDATE($D114,Milestones!$AA$148),"dd mmm yy"))&amp;" "&amp;Milestones!$AB$148&amp;" "&amp;IF(AND(Milestones!$AB$148="FT",Milestones!$AA$148=FT_Y5,EDATE($D114,Milestones!$AA$148)&lt;PolicyEff),1,Milestones!$AC$148)&amp;";  ","")&amp;IF(AND(EDATE($D114,Milestones!$AA$149)&lt;=AsOfDate,EDATE($D114,Milestones!$AA$149)&gt;=SchemeStart,IF($X114=0,$AD114,IF(AND($Z114&lt;&gt;"",EDATE($D114,Milestones!$AA$149)&gt;=$Z114),$AC114,IF(AND($Y114&lt;&gt;"",EDATE($D114,Milestones!$AA$149)&gt;=$Y114),$AB114,$AA114)))=Milestones!$AB$149),UPPER(TEXT(EDATE($D114,Milestones!$AA$149),"dd mmm yy"))&amp;" "&amp;Milestones!$AB$149&amp;" "&amp;IF(AND(Milestones!$AB$149="FT",Milestones!$AA$149=FT_Y5,EDATE($D114,Milestones!$AA$149)&lt;PolicyEff),1,Milestones!$AC$149)&amp;";  ","")&amp;IF(AND(EDATE($D114,Milestones!$AA$150)&lt;=AsOfDate,EDATE($D114,Milestones!$AA$150)&gt;=SchemeStart,IF($X114=0,$AD114,IF(AND($Z114&lt;&gt;"",EDATE($D114,Milestones!$AA$150)&gt;=$Z114),$AC114,IF(AND($Y114&lt;&gt;"",EDATE($D114,Milestones!$AA$150)&gt;=$Y114),$AB114,$AA114)))=Milestones!$AB$150),UPPER(TEXT(EDATE($D114,Milestones!$AA$150),"dd mmm yy"))&amp;" "&amp;Milestones!$AB$150&amp;" "&amp;IF(AND(Milestones!$AB$150="FT",Milestones!$AA$150=FT_Y5,EDATE($D114,Milestones!$AA$150)&lt;PolicyEff),1,Milestones!$AC$150)&amp;";  ","")&amp;IF(AND(EDATE($D114,Milestones!$AA$151)&lt;=AsOfDate,EDATE($D114,Milestones!$AA$151)&gt;=SchemeStart,IF($X114=0,$AD114,IF(AND($Z114&lt;&gt;"",EDATE($D114,Milestones!$AA$151)&gt;=$Z114),$AC114,IF(AND($Y114&lt;&gt;"",EDATE($D114,Milestones!$AA$151)&gt;=$Y114),$AB114,$AA114)))=Milestones!$AB$151),UPPER(TEXT(EDATE($D114,Milestones!$AA$151),"dd mmm yy"))&amp;" "&amp;Milestones!$AB$151&amp;" "&amp;IF(AND(Milestones!$AB$151="FT",Milestones!$AA$151=FT_Y5,EDATE($D114,Milestones!$AA$151)&lt;PolicyEff),1,Milestones!$AC$151)&amp;";  ",""))</f>
        <v/>
      </c>
      <c r="T114" s="0" t="str">
        <f aca="false">IF(OR($A114="",$D114=""),"",IF(AND(EDATE($D114,Milestones!$AA$152)&lt;=AsOfDate,EDATE($D114,Milestones!$AA$152)&gt;=SchemeStart,IF($X114=0,$AD114,IF(AND($Z114&lt;&gt;"",EDATE($D114,Milestones!$AA$152)&gt;=$Z114),$AC114,IF(AND($Y114&lt;&gt;"",EDATE($D114,Milestones!$AA$152)&gt;=$Y114),$AB114,$AA114)))=Milestones!$AB$152),UPPER(TEXT(EDATE($D114,Milestones!$AA$152),"dd mmm yy"))&amp;" "&amp;Milestones!$AB$152&amp;" "&amp;IF(AND(Milestones!$AB$152="FT",Milestones!$AA$152=FT_Y5,EDATE($D114,Milestones!$AA$152)&lt;PolicyEff),1,Milestones!$AC$152)&amp;";  ","")&amp;IF(AND(EDATE($D114,Milestones!$AA$153)&lt;=AsOfDate,EDATE($D114,Milestones!$AA$153)&gt;=SchemeStart,IF($X114=0,$AD114,IF(AND($Z114&lt;&gt;"",EDATE($D114,Milestones!$AA$153)&gt;=$Z114),$AC114,IF(AND($Y114&lt;&gt;"",EDATE($D114,Milestones!$AA$153)&gt;=$Y114),$AB114,$AA114)))=Milestones!$AB$153),UPPER(TEXT(EDATE($D114,Milestones!$AA$153),"dd mmm yy"))&amp;" "&amp;Milestones!$AB$153&amp;" "&amp;IF(AND(Milestones!$AB$153="FT",Milestones!$AA$153=FT_Y5,EDATE($D114,Milestones!$AA$153)&lt;PolicyEff),1,Milestones!$AC$153)&amp;";  ","")&amp;IF(AND(EDATE($D114,Milestones!$AA$154)&lt;=AsOfDate,EDATE($D114,Milestones!$AA$154)&gt;=SchemeStart,IF($X114=0,$AD114,IF(AND($Z114&lt;&gt;"",EDATE($D114,Milestones!$AA$154)&gt;=$Z114),$AC114,IF(AND($Y114&lt;&gt;"",EDATE($D114,Milestones!$AA$154)&gt;=$Y114),$AB114,$AA114)))=Milestones!$AB$154),UPPER(TEXT(EDATE($D114,Milestones!$AA$154),"dd mmm yy"))&amp;" "&amp;Milestones!$AB$154&amp;" "&amp;IF(AND(Milestones!$AB$154="FT",Milestones!$AA$154=FT_Y5,EDATE($D114,Milestones!$AA$154)&lt;PolicyEff),1,Milestones!$AC$154)&amp;";  ","")&amp;IF(AND(EDATE($D114,Milestones!$AA$155)&lt;=AsOfDate,EDATE($D114,Milestones!$AA$155)&gt;=SchemeStart,IF($X114=0,$AD114,IF(AND($Z114&lt;&gt;"",EDATE($D114,Milestones!$AA$155)&gt;=$Z114),$AC114,IF(AND($Y114&lt;&gt;"",EDATE($D114,Milestones!$AA$155)&gt;=$Y114),$AB114,$AA114)))=Milestones!$AB$155),UPPER(TEXT(EDATE($D114,Milestones!$AA$155),"dd mmm yy"))&amp;" "&amp;Milestones!$AB$155&amp;" "&amp;IF(AND(Milestones!$AB$155="FT",Milestones!$AA$155=FT_Y5,EDATE($D114,Milestones!$AA$155)&lt;PolicyEff),1,Milestones!$AC$155)&amp;";  ","")&amp;IF(AND(EDATE($D114,Milestones!$AA$156)&lt;=AsOfDate,EDATE($D114,Milestones!$AA$156)&gt;=SchemeStart,IF($X114=0,$AD114,IF(AND($Z114&lt;&gt;"",EDATE($D114,Milestones!$AA$156)&gt;=$Z114),$AC114,IF(AND($Y114&lt;&gt;"",EDATE($D114,Milestones!$AA$156)&gt;=$Y114),$AB114,$AA114)))=Milestones!$AB$156),UPPER(TEXT(EDATE($D114,Milestones!$AA$156),"dd mmm yy"))&amp;" "&amp;Milestones!$AB$156&amp;" "&amp;IF(AND(Milestones!$AB$156="FT",Milestones!$AA$156=FT_Y5,EDATE($D114,Milestones!$AA$156)&lt;PolicyEff),1,Milestones!$AC$156)&amp;";  ","")&amp;IF(AND(EDATE($D114,Milestones!$AA$157)&lt;=AsOfDate,EDATE($D114,Milestones!$AA$157)&gt;=SchemeStart,IF($X114=0,$AD114,IF(AND($Z114&lt;&gt;"",EDATE($D114,Milestones!$AA$157)&gt;=$Z114),$AC114,IF(AND($Y114&lt;&gt;"",EDATE($D114,Milestones!$AA$157)&gt;=$Y114),$AB114,$AA114)))=Milestones!$AB$157),UPPER(TEXT(EDATE($D114,Milestones!$AA$157),"dd mmm yy"))&amp;" "&amp;Milestones!$AB$157&amp;" "&amp;IF(AND(Milestones!$AB$157="FT",Milestones!$AA$157=FT_Y5,EDATE($D114,Milestones!$AA$157)&lt;PolicyEff),1,Milestones!$AC$157)&amp;";  ","")&amp;IF(AND(EDATE($D114,Milestones!$AA$158)&lt;=AsOfDate,EDATE($D114,Milestones!$AA$158)&gt;=SchemeStart,IF($X114=0,$AD114,IF(AND($Z114&lt;&gt;"",EDATE($D114,Milestones!$AA$158)&gt;=$Z114),$AC114,IF(AND($Y114&lt;&gt;"",EDATE($D114,Milestones!$AA$158)&gt;=$Y114),$AB114,$AA114)))=Milestones!$AB$158),UPPER(TEXT(EDATE($D114,Milestones!$AA$158),"dd mmm yy"))&amp;" "&amp;Milestones!$AB$158&amp;" "&amp;IF(AND(Milestones!$AB$158="FT",Milestones!$AA$158=FT_Y5,EDATE($D114,Milestones!$AA$158)&lt;PolicyEff),1,Milestones!$AC$158)&amp;";  ","")&amp;IF(AND(EDATE($D114,Milestones!$AA$159)&lt;=AsOfDate,EDATE($D114,Milestones!$AA$159)&gt;=SchemeStart,IF($X114=0,$AD114,IF(AND($Z114&lt;&gt;"",EDATE($D114,Milestones!$AA$159)&gt;=$Z114),$AC114,IF(AND($Y114&lt;&gt;"",EDATE($D114,Milestones!$AA$159)&gt;=$Y114),$AB114,$AA114)))=Milestones!$AB$159),UPPER(TEXT(EDATE($D114,Milestones!$AA$159),"dd mmm yy"))&amp;" "&amp;Milestones!$AB$159&amp;" "&amp;IF(AND(Milestones!$AB$159="FT",Milestones!$AA$159=FT_Y5,EDATE($D114,Milestones!$AA$159)&lt;PolicyEff),1,Milestones!$AC$159)&amp;";  ","")&amp;IF(AND(EDATE($D114,Milestones!$AA$160)&lt;=AsOfDate,EDATE($D114,Milestones!$AA$160)&gt;=SchemeStart,IF($X114=0,$AD114,IF(AND($Z114&lt;&gt;"",EDATE($D114,Milestones!$AA$160)&gt;=$Z114),$AC114,IF(AND($Y114&lt;&gt;"",EDATE($D114,Milestones!$AA$160)&gt;=$Y114),$AB114,$AA114)))=Milestones!$AB$160),UPPER(TEXT(EDATE($D114,Milestones!$AA$160),"dd mmm yy"))&amp;" "&amp;Milestones!$AB$160&amp;" "&amp;IF(AND(Milestones!$AB$160="FT",Milestones!$AA$160=FT_Y5,EDATE($D114,Milestones!$AA$160)&lt;PolicyEff),1,Milestones!$AC$160)&amp;";  ","")&amp;IF(AND(EDATE($D114,Milestones!$AA$161)&lt;=AsOfDate,EDATE($D114,Milestones!$AA$161)&gt;=SchemeStart,IF($X114=0,$AD114,IF(AND($Z114&lt;&gt;"",EDATE($D114,Milestones!$AA$161)&gt;=$Z114),$AC114,IF(AND($Y114&lt;&gt;"",EDATE($D114,Milestones!$AA$161)&gt;=$Y114),$AB114,$AA114)))=Milestones!$AB$161),UPPER(TEXT(EDATE($D114,Milestones!$AA$161),"dd mmm yy"))&amp;" "&amp;Milestones!$AB$161&amp;" "&amp;IF(AND(Milestones!$AB$161="FT",Milestones!$AA$161=FT_Y5,EDATE($D114,Milestones!$AA$161)&lt;PolicyEff),1,Milestones!$AC$161)&amp;";  ","")&amp;IF(AND(EDATE($D114,Milestones!$AA$162)&lt;=AsOfDate,EDATE($D114,Milestones!$AA$162)&gt;=SchemeStart,IF($X114=0,$AD114,IF(AND($Z114&lt;&gt;"",EDATE($D114,Milestones!$AA$162)&gt;=$Z114),$AC114,IF(AND($Y114&lt;&gt;"",EDATE($D114,Milestones!$AA$162)&gt;=$Y114),$AB114,$AA114)))=Milestones!$AB$162),UPPER(TEXT(EDATE($D114,Milestones!$AA$162),"dd mmm yy"))&amp;" "&amp;Milestones!$AB$162&amp;" "&amp;IF(AND(Milestones!$AB$162="FT",Milestones!$AA$162=FT_Y5,EDATE($D114,Milestones!$AA$162)&lt;PolicyEff),1,Milestones!$AC$162)&amp;";  ","")&amp;IF(AND(EDATE($D114,Milestones!$AA$163)&lt;=AsOfDate,EDATE($D114,Milestones!$AA$163)&gt;=SchemeStart,IF($X114=0,$AD114,IF(AND($Z114&lt;&gt;"",EDATE($D114,Milestones!$AA$163)&gt;=$Z114),$AC114,IF(AND($Y114&lt;&gt;"",EDATE($D114,Milestones!$AA$163)&gt;=$Y114),$AB114,$AA114)))=Milestones!$AB$163),UPPER(TEXT(EDATE($D114,Milestones!$AA$163),"dd mmm yy"))&amp;" "&amp;Milestones!$AB$163&amp;" "&amp;IF(AND(Milestones!$AB$163="FT",Milestones!$AA$163=FT_Y5,EDATE($D114,Milestones!$AA$163)&lt;PolicyEff),1,Milestones!$AC$163)&amp;";  ",""))</f>
        <v/>
      </c>
      <c r="U114" s="0" t="str">
        <f aca="false">IF(OR($A114="",$D114=""),"",IF(AND(EDATE($D114,Milestones!$AA$164)&lt;=AsOfDate,EDATE($D114,Milestones!$AA$164)&gt;=SchemeStart,IF($X114=0,$AD114,IF(AND($Z114&lt;&gt;"",EDATE($D114,Milestones!$AA$164)&gt;=$Z114),$AC114,IF(AND($Y114&lt;&gt;"",EDATE($D114,Milestones!$AA$164)&gt;=$Y114),$AB114,$AA114)))=Milestones!$AB$164),UPPER(TEXT(EDATE($D114,Milestones!$AA$164),"dd mmm yy"))&amp;" "&amp;Milestones!$AB$164&amp;" "&amp;IF(AND(Milestones!$AB$164="FT",Milestones!$AA$164=FT_Y5,EDATE($D114,Milestones!$AA$164)&lt;PolicyEff),1,Milestones!$AC$164)&amp;";  ","")&amp;IF(AND(EDATE($D114,Milestones!$AA$165)&lt;=AsOfDate,EDATE($D114,Milestones!$AA$165)&gt;=SchemeStart,IF($X114=0,$AD114,IF(AND($Z114&lt;&gt;"",EDATE($D114,Milestones!$AA$165)&gt;=$Z114),$AC114,IF(AND($Y114&lt;&gt;"",EDATE($D114,Milestones!$AA$165)&gt;=$Y114),$AB114,$AA114)))=Milestones!$AB$165),UPPER(TEXT(EDATE($D114,Milestones!$AA$165),"dd mmm yy"))&amp;" "&amp;Milestones!$AB$165&amp;" "&amp;IF(AND(Milestones!$AB$165="FT",Milestones!$AA$165=FT_Y5,EDATE($D114,Milestones!$AA$165)&lt;PolicyEff),1,Milestones!$AC$165)&amp;";  ","")&amp;IF(AND(EDATE($D114,Milestones!$AA$166)&lt;=AsOfDate,EDATE($D114,Milestones!$AA$166)&gt;=SchemeStart,IF($X114=0,$AD114,IF(AND($Z114&lt;&gt;"",EDATE($D114,Milestones!$AA$166)&gt;=$Z114),$AC114,IF(AND($Y114&lt;&gt;"",EDATE($D114,Milestones!$AA$166)&gt;=$Y114),$AB114,$AA114)))=Milestones!$AB$166),UPPER(TEXT(EDATE($D114,Milestones!$AA$166),"dd mmm yy"))&amp;" "&amp;Milestones!$AB$166&amp;" "&amp;IF(AND(Milestones!$AB$166="FT",Milestones!$AA$166=FT_Y5,EDATE($D114,Milestones!$AA$166)&lt;PolicyEff),1,Milestones!$AC$166)&amp;";  ","")&amp;IF(AND(EDATE($D114,Milestones!$AA$167)&lt;=AsOfDate,EDATE($D114,Milestones!$AA$167)&gt;=SchemeStart,IF($X114=0,$AD114,IF(AND($Z114&lt;&gt;"",EDATE($D114,Milestones!$AA$167)&gt;=$Z114),$AC114,IF(AND($Y114&lt;&gt;"",EDATE($D114,Milestones!$AA$167)&gt;=$Y114),$AB114,$AA114)))=Milestones!$AB$167),UPPER(TEXT(EDATE($D114,Milestones!$AA$167),"dd mmm yy"))&amp;" "&amp;Milestones!$AB$167&amp;" "&amp;IF(AND(Milestones!$AB$167="FT",Milestones!$AA$167=FT_Y5,EDATE($D114,Milestones!$AA$167)&lt;PolicyEff),1,Milestones!$AC$167)&amp;";  ","")&amp;IF(AND(EDATE($D114,Milestones!$AA$168)&lt;=AsOfDate,EDATE($D114,Milestones!$AA$168)&gt;=SchemeStart,IF($X114=0,$AD114,IF(AND($Z114&lt;&gt;"",EDATE($D114,Milestones!$AA$168)&gt;=$Z114),$AC114,IF(AND($Y114&lt;&gt;"",EDATE($D114,Milestones!$AA$168)&gt;=$Y114),$AB114,$AA114)))=Milestones!$AB$168),UPPER(TEXT(EDATE($D114,Milestones!$AA$168),"dd mmm yy"))&amp;" "&amp;Milestones!$AB$168&amp;" "&amp;IF(AND(Milestones!$AB$168="FT",Milestones!$AA$168=FT_Y5,EDATE($D114,Milestones!$AA$168)&lt;PolicyEff),1,Milestones!$AC$168)&amp;";  ","")&amp;IF(AND(EDATE($D114,Milestones!$AA$169)&lt;=AsOfDate,EDATE($D114,Milestones!$AA$169)&gt;=SchemeStart,IF($X114=0,$AD114,IF(AND($Z114&lt;&gt;"",EDATE($D114,Milestones!$AA$169)&gt;=$Z114),$AC114,IF(AND($Y114&lt;&gt;"",EDATE($D114,Milestones!$AA$169)&gt;=$Y114),$AB114,$AA114)))=Milestones!$AB$169),UPPER(TEXT(EDATE($D114,Milestones!$AA$169),"dd mmm yy"))&amp;" "&amp;Milestones!$AB$169&amp;" "&amp;IF(AND(Milestones!$AB$169="FT",Milestones!$AA$169=FT_Y5,EDATE($D114,Milestones!$AA$169)&lt;PolicyEff),1,Milestones!$AC$169)&amp;";  ","")&amp;IF(AND(EDATE($D114,Milestones!$AA$170)&lt;=AsOfDate,EDATE($D114,Milestones!$AA$170)&gt;=SchemeStart,IF($X114=0,$AD114,IF(AND($Z114&lt;&gt;"",EDATE($D114,Milestones!$AA$170)&gt;=$Z114),$AC114,IF(AND($Y114&lt;&gt;"",EDATE($D114,Milestones!$AA$170)&gt;=$Y114),$AB114,$AA114)))=Milestones!$AB$170),UPPER(TEXT(EDATE($D114,Milestones!$AA$170),"dd mmm yy"))&amp;" "&amp;Milestones!$AB$170&amp;" "&amp;IF(AND(Milestones!$AB$170="FT",Milestones!$AA$170=FT_Y5,EDATE($D114,Milestones!$AA$170)&lt;PolicyEff),1,Milestones!$AC$170)&amp;";  ","")&amp;IF(AND(EDATE($D114,Milestones!$AA$171)&lt;=AsOfDate,EDATE($D114,Milestones!$AA$171)&gt;=SchemeStart,IF($X114=0,$AD114,IF(AND($Z114&lt;&gt;"",EDATE($D114,Milestones!$AA$171)&gt;=$Z114),$AC114,IF(AND($Y114&lt;&gt;"",EDATE($D114,Milestones!$AA$171)&gt;=$Y114),$AB114,$AA114)))=Milestones!$AB$171),UPPER(TEXT(EDATE($D114,Milestones!$AA$171),"dd mmm yy"))&amp;" "&amp;Milestones!$AB$171&amp;" "&amp;IF(AND(Milestones!$AB$171="FT",Milestones!$AA$171=FT_Y5,EDATE($D114,Milestones!$AA$171)&lt;PolicyEff),1,Milestones!$AC$171)&amp;";  ","")&amp;IF(AND(EDATE($D114,Milestones!$AA$172)&lt;=AsOfDate,EDATE($D114,Milestones!$AA$172)&gt;=SchemeStart,IF($X114=0,$AD114,IF(AND($Z114&lt;&gt;"",EDATE($D114,Milestones!$AA$172)&gt;=$Z114),$AC114,IF(AND($Y114&lt;&gt;"",EDATE($D114,Milestones!$AA$172)&gt;=$Y114),$AB114,$AA114)))=Milestones!$AB$172),UPPER(TEXT(EDATE($D114,Milestones!$AA$172),"dd mmm yy"))&amp;" "&amp;Milestones!$AB$172&amp;" "&amp;IF(AND(Milestones!$AB$172="FT",Milestones!$AA$172=FT_Y5,EDATE($D114,Milestones!$AA$172)&lt;PolicyEff),1,Milestones!$AC$172)&amp;";  ","")&amp;IF(AND(EDATE($D114,Milestones!$AA$173)&lt;=AsOfDate,EDATE($D114,Milestones!$AA$173)&gt;=SchemeStart,IF($X114=0,$AD114,IF(AND($Z114&lt;&gt;"",EDATE($D114,Milestones!$AA$173)&gt;=$Z114),$AC114,IF(AND($Y114&lt;&gt;"",EDATE($D114,Milestones!$AA$173)&gt;=$Y114),$AB114,$AA114)))=Milestones!$AB$173),UPPER(TEXT(EDATE($D114,Milestones!$AA$173),"dd mmm yy"))&amp;" "&amp;Milestones!$AB$173&amp;" "&amp;IF(AND(Milestones!$AB$173="FT",Milestones!$AA$173=FT_Y5,EDATE($D114,Milestones!$AA$173)&lt;PolicyEff),1,Milestones!$AC$173)&amp;";  ","")&amp;IF(AND(EDATE($D114,Milestones!$AA$174)&lt;=AsOfDate,EDATE($D114,Milestones!$AA$174)&gt;=SchemeStart,IF($X114=0,$AD114,IF(AND($Z114&lt;&gt;"",EDATE($D114,Milestones!$AA$174)&gt;=$Z114),$AC114,IF(AND($Y114&lt;&gt;"",EDATE($D114,Milestones!$AA$174)&gt;=$Y114),$AB114,$AA114)))=Milestones!$AB$174),UPPER(TEXT(EDATE($D114,Milestones!$AA$174),"dd mmm yy"))&amp;" "&amp;Milestones!$AB$174&amp;" "&amp;IF(AND(Milestones!$AB$174="FT",Milestones!$AA$174=FT_Y5,EDATE($D114,Milestones!$AA$174)&lt;PolicyEff),1,Milestones!$AC$174)&amp;";  ","")&amp;IF(AND(EDATE($D114,Milestones!$AA$175)&lt;=AsOfDate,EDATE($D114,Milestones!$AA$175)&gt;=SchemeStart,IF($X114=0,$AD114,IF(AND($Z114&lt;&gt;"",EDATE($D114,Milestones!$AA$175)&gt;=$Z114),$AC114,IF(AND($Y114&lt;&gt;"",EDATE($D114,Milestones!$AA$175)&gt;=$Y114),$AB114,$AA114)))=Milestones!$AB$175),UPPER(TEXT(EDATE($D114,Milestones!$AA$175),"dd mmm yy"))&amp;" "&amp;Milestones!$AB$175&amp;" "&amp;IF(AND(Milestones!$AB$175="FT",Milestones!$AA$175=FT_Y5,EDATE($D114,Milestones!$AA$175)&lt;PolicyEff),1,Milestones!$AC$175)&amp;";  ",""))</f>
        <v/>
      </c>
      <c r="V114" s="0" t="str">
        <f aca="false">IF(OR($A114="",$D114=""),"",IF(AND(EDATE($D114,Milestones!$AA$176)&lt;=AsOfDate,EDATE($D114,Milestones!$AA$176)&gt;=SchemeStart,IF($X114=0,$AD114,IF(AND($Z114&lt;&gt;"",EDATE($D114,Milestones!$AA$176)&gt;=$Z114),$AC114,IF(AND($Y114&lt;&gt;"",EDATE($D114,Milestones!$AA$176)&gt;=$Y114),$AB114,$AA114)))=Milestones!$AB$176),UPPER(TEXT(EDATE($D114,Milestones!$AA$176),"dd mmm yy"))&amp;" "&amp;Milestones!$AB$176&amp;" "&amp;IF(AND(Milestones!$AB$176="FT",Milestones!$AA$176=FT_Y5,EDATE($D114,Milestones!$AA$176)&lt;PolicyEff),1,Milestones!$AC$176)&amp;";  ","")&amp;IF(AND(EDATE($D114,Milestones!$AA$177)&lt;=AsOfDate,EDATE($D114,Milestones!$AA$177)&gt;=SchemeStart,IF($X114=0,$AD114,IF(AND($Z114&lt;&gt;"",EDATE($D114,Milestones!$AA$177)&gt;=$Z114),$AC114,IF(AND($Y114&lt;&gt;"",EDATE($D114,Milestones!$AA$177)&gt;=$Y114),$AB114,$AA114)))=Milestones!$AB$177),UPPER(TEXT(EDATE($D114,Milestones!$AA$177),"dd mmm yy"))&amp;" "&amp;Milestones!$AB$177&amp;" "&amp;IF(AND(Milestones!$AB$177="FT",Milestones!$AA$177=FT_Y5,EDATE($D114,Milestones!$AA$177)&lt;PolicyEff),1,Milestones!$AC$177)&amp;";  ","")&amp;IF(AND(EDATE($D114,Milestones!$AA$178)&lt;=AsOfDate,EDATE($D114,Milestones!$AA$178)&gt;=SchemeStart,IF($X114=0,$AD114,IF(AND($Z114&lt;&gt;"",EDATE($D114,Milestones!$AA$178)&gt;=$Z114),$AC114,IF(AND($Y114&lt;&gt;"",EDATE($D114,Milestones!$AA$178)&gt;=$Y114),$AB114,$AA114)))=Milestones!$AB$178),UPPER(TEXT(EDATE($D114,Milestones!$AA$178),"dd mmm yy"))&amp;" "&amp;Milestones!$AB$178&amp;" "&amp;IF(AND(Milestones!$AB$178="FT",Milestones!$AA$178=FT_Y5,EDATE($D114,Milestones!$AA$178)&lt;PolicyEff),1,Milestones!$AC$178)&amp;";  ","")&amp;IF(AND(EDATE($D114,Milestones!$AA$179)&lt;=AsOfDate,EDATE($D114,Milestones!$AA$179)&gt;=SchemeStart,IF($X114=0,$AD114,IF(AND($Z114&lt;&gt;"",EDATE($D114,Milestones!$AA$179)&gt;=$Z114),$AC114,IF(AND($Y114&lt;&gt;"",EDATE($D114,Milestones!$AA$179)&gt;=$Y114),$AB114,$AA114)))=Milestones!$AB$179),UPPER(TEXT(EDATE($D114,Milestones!$AA$179),"dd mmm yy"))&amp;" "&amp;Milestones!$AB$179&amp;" "&amp;IF(AND(Milestones!$AB$179="FT",Milestones!$AA$179=FT_Y5,EDATE($D114,Milestones!$AA$179)&lt;PolicyEff),1,Milestones!$AC$179)&amp;";  ","")&amp;IF(AND(EDATE($D114,Milestones!$AA$180)&lt;=AsOfDate,EDATE($D114,Milestones!$AA$180)&gt;=SchemeStart,IF($X114=0,$AD114,IF(AND($Z114&lt;&gt;"",EDATE($D114,Milestones!$AA$180)&gt;=$Z114),$AC114,IF(AND($Y114&lt;&gt;"",EDATE($D114,Milestones!$AA$180)&gt;=$Y114),$AB114,$AA114)))=Milestones!$AB$180),UPPER(TEXT(EDATE($D114,Milestones!$AA$180),"dd mmm yy"))&amp;" "&amp;Milestones!$AB$180&amp;" "&amp;IF(AND(Milestones!$AB$180="FT",Milestones!$AA$180=FT_Y5,EDATE($D114,Milestones!$AA$180)&lt;PolicyEff),1,Milestones!$AC$180)&amp;";  ","")&amp;IF(AND(EDATE($D114,Milestones!$AA$181)&lt;=AsOfDate,EDATE($D114,Milestones!$AA$181)&gt;=SchemeStart,IF($X114=0,$AD114,IF(AND($Z114&lt;&gt;"",EDATE($D114,Milestones!$AA$181)&gt;=$Z114),$AC114,IF(AND($Y114&lt;&gt;"",EDATE($D114,Milestones!$AA$181)&gt;=$Y114),$AB114,$AA114)))=Milestones!$AB$181),UPPER(TEXT(EDATE($D114,Milestones!$AA$181),"dd mmm yy"))&amp;" "&amp;Milestones!$AB$181&amp;" "&amp;IF(AND(Milestones!$AB$181="FT",Milestones!$AA$181=FT_Y5,EDATE($D114,Milestones!$AA$181)&lt;PolicyEff),1,Milestones!$AC$181)&amp;";  ","")&amp;IF(AND(EDATE($D114,Milestones!$AA$182)&lt;=AsOfDate,EDATE($D114,Milestones!$AA$182)&gt;=SchemeStart,IF($X114=0,$AD114,IF(AND($Z114&lt;&gt;"",EDATE($D114,Milestones!$AA$182)&gt;=$Z114),$AC114,IF(AND($Y114&lt;&gt;"",EDATE($D114,Milestones!$AA$182)&gt;=$Y114),$AB114,$AA114)))=Milestones!$AB$182),UPPER(TEXT(EDATE($D114,Milestones!$AA$182),"dd mmm yy"))&amp;" "&amp;Milestones!$AB$182&amp;" "&amp;IF(AND(Milestones!$AB$182="FT",Milestones!$AA$182=FT_Y5,EDATE($D114,Milestones!$AA$182)&lt;PolicyEff),1,Milestones!$AC$182)&amp;";  ","")&amp;IF(AND(EDATE($D114,Milestones!$AA$183)&lt;=AsOfDate,EDATE($D114,Milestones!$AA$183)&gt;=SchemeStart,IF($X114=0,$AD114,IF(AND($Z114&lt;&gt;"",EDATE($D114,Milestones!$AA$183)&gt;=$Z114),$AC114,IF(AND($Y114&lt;&gt;"",EDATE($D114,Milestones!$AA$183)&gt;=$Y114),$AB114,$AA114)))=Milestones!$AB$183),UPPER(TEXT(EDATE($D114,Milestones!$AA$183),"dd mmm yy"))&amp;" "&amp;Milestones!$AB$183&amp;" "&amp;IF(AND(Milestones!$AB$183="FT",Milestones!$AA$183=FT_Y5,EDATE($D114,Milestones!$AA$183)&lt;PolicyEff),1,Milestones!$AC$183)&amp;";  ","")&amp;IF(AND(EDATE($D114,Milestones!$AA$184)&lt;=AsOfDate,EDATE($D114,Milestones!$AA$184)&gt;=SchemeStart,IF($X114=0,$AD114,IF(AND($Z114&lt;&gt;"",EDATE($D114,Milestones!$AA$184)&gt;=$Z114),$AC114,IF(AND($Y114&lt;&gt;"",EDATE($D114,Milestones!$AA$184)&gt;=$Y114),$AB114,$AA114)))=Milestones!$AB$184),UPPER(TEXT(EDATE($D114,Milestones!$AA$184),"dd mmm yy"))&amp;" "&amp;Milestones!$AB$184&amp;" "&amp;IF(AND(Milestones!$AB$184="FT",Milestones!$AA$184=FT_Y5,EDATE($D114,Milestones!$AA$184)&lt;PolicyEff),1,Milestones!$AC$184)&amp;";  ","")&amp;IF(AND(EDATE($D114,Milestones!$AA$185)&lt;=AsOfDate,EDATE($D114,Milestones!$AA$185)&gt;=SchemeStart,IF($X114=0,$AD114,IF(AND($Z114&lt;&gt;"",EDATE($D114,Milestones!$AA$185)&gt;=$Z114),$AC114,IF(AND($Y114&lt;&gt;"",EDATE($D114,Milestones!$AA$185)&gt;=$Y114),$AB114,$AA114)))=Milestones!$AB$185),UPPER(TEXT(EDATE($D114,Milestones!$AA$185),"dd mmm yy"))&amp;" "&amp;Milestones!$AB$185&amp;" "&amp;IF(AND(Milestones!$AB$185="FT",Milestones!$AA$185=FT_Y5,EDATE($D114,Milestones!$AA$185)&lt;PolicyEff),1,Milestones!$AC$185)&amp;";  ","")&amp;IF(AND(EDATE($D114,Milestones!$AA$186)&lt;=AsOfDate,EDATE($D114,Milestones!$AA$186)&gt;=SchemeStart,IF($X114=0,$AD114,IF(AND($Z114&lt;&gt;"",EDATE($D114,Milestones!$AA$186)&gt;=$Z114),$AC114,IF(AND($Y114&lt;&gt;"",EDATE($D114,Milestones!$AA$186)&gt;=$Y114),$AB114,$AA114)))=Milestones!$AB$186),UPPER(TEXT(EDATE($D114,Milestones!$AA$186),"dd mmm yy"))&amp;" "&amp;Milestones!$AB$186&amp;" "&amp;IF(AND(Milestones!$AB$186="FT",Milestones!$AA$186=FT_Y5,EDATE($D114,Milestones!$AA$186)&lt;PolicyEff),1,Milestones!$AC$186)&amp;";  ","")&amp;IF(AND(EDATE($D114,Milestones!$AA$187)&lt;=AsOfDate,EDATE($D114,Milestones!$AA$187)&gt;=SchemeStart,IF($X114=0,$AD114,IF(AND($Z114&lt;&gt;"",EDATE($D114,Milestones!$AA$187)&gt;=$Z114),$AC114,IF(AND($Y114&lt;&gt;"",EDATE($D114,Milestones!$AA$187)&gt;=$Y114),$AB114,$AA114)))=Milestones!$AB$187),UPPER(TEXT(EDATE($D114,Milestones!$AA$187),"dd mmm yy"))&amp;" "&amp;Milestones!$AB$187&amp;" "&amp;IF(AND(Milestones!$AB$187="FT",Milestones!$AA$187=FT_Y5,EDATE($D114,Milestones!$AA$187)&lt;PolicyEff),1,Milestones!$AC$187)&amp;";  ",""))</f>
        <v/>
      </c>
      <c r="W114" s="0" t="str">
        <f aca="false">IF(OR($A114="",$D114=""),"",IF(AND(EDATE($D114,Milestones!$AA$188)&lt;=AsOfDate,EDATE($D114,Milestones!$AA$188)&gt;=SchemeStart,IF($X114=0,$AD114,IF(AND($Z114&lt;&gt;"",EDATE($D114,Milestones!$AA$188)&gt;=$Z114),$AC114,IF(AND($Y114&lt;&gt;"",EDATE($D114,Milestones!$AA$188)&gt;=$Y114),$AB114,$AA114)))=Milestones!$AB$188),UPPER(TEXT(EDATE($D114,Milestones!$AA$188),"dd mmm yy"))&amp;" "&amp;Milestones!$AB$188&amp;" "&amp;IF(AND(Milestones!$AB$188="FT",Milestones!$AA$188=FT_Y5,EDATE($D114,Milestones!$AA$188)&lt;PolicyEff),1,Milestones!$AC$188)&amp;";  ","")&amp;IF(AND(EDATE($D114,Milestones!$AA$189)&lt;=AsOfDate,EDATE($D114,Milestones!$AA$189)&gt;=SchemeStart,IF($X114=0,$AD114,IF(AND($Z114&lt;&gt;"",EDATE($D114,Milestones!$AA$189)&gt;=$Z114),$AC114,IF(AND($Y114&lt;&gt;"",EDATE($D114,Milestones!$AA$189)&gt;=$Y114),$AB114,$AA114)))=Milestones!$AB$189),UPPER(TEXT(EDATE($D114,Milestones!$AA$189),"dd mmm yy"))&amp;" "&amp;Milestones!$AB$189&amp;" "&amp;IF(AND(Milestones!$AB$189="FT",Milestones!$AA$189=FT_Y5,EDATE($D114,Milestones!$AA$189)&lt;PolicyEff),1,Milestones!$AC$189)&amp;";  ","")&amp;IF(AND(EDATE($D114,Milestones!$AA$190)&lt;=AsOfDate,EDATE($D114,Milestones!$AA$190)&gt;=SchemeStart,IF($X114=0,$AD114,IF(AND($Z114&lt;&gt;"",EDATE($D114,Milestones!$AA$190)&gt;=$Z114),$AC114,IF(AND($Y114&lt;&gt;"",EDATE($D114,Milestones!$AA$190)&gt;=$Y114),$AB114,$AA114)))=Milestones!$AB$190),UPPER(TEXT(EDATE($D114,Milestones!$AA$190),"dd mmm yy"))&amp;" "&amp;Milestones!$AB$190&amp;" "&amp;IF(AND(Milestones!$AB$190="FT",Milestones!$AA$190=FT_Y5,EDATE($D114,Milestones!$AA$190)&lt;PolicyEff),1,Milestones!$AC$190)&amp;";  ","")&amp;IF(AND(EDATE($D114,Milestones!$AA$191)&lt;=AsOfDate,EDATE($D114,Milestones!$AA$191)&gt;=SchemeStart,IF($X114=0,$AD114,IF(AND($Z114&lt;&gt;"",EDATE($D114,Milestones!$AA$191)&gt;=$Z114),$AC114,IF(AND($Y114&lt;&gt;"",EDATE($D114,Milestones!$AA$191)&gt;=$Y114),$AB114,$AA114)))=Milestones!$AB$191),UPPER(TEXT(EDATE($D114,Milestones!$AA$191),"dd mmm yy"))&amp;" "&amp;Milestones!$AB$191&amp;" "&amp;IF(AND(Milestones!$AB$191="FT",Milestones!$AA$191=FT_Y5,EDATE($D114,Milestones!$AA$191)&lt;PolicyEff),1,Milestones!$AC$191)&amp;";  ","")&amp;IF(AND(EDATE($D114,Milestones!$AA$192)&lt;=AsOfDate,EDATE($D114,Milestones!$AA$192)&gt;=SchemeStart,IF($X114=0,$AD114,IF(AND($Z114&lt;&gt;"",EDATE($D114,Milestones!$AA$192)&gt;=$Z114),$AC114,IF(AND($Y114&lt;&gt;"",EDATE($D114,Milestones!$AA$192)&gt;=$Y114),$AB114,$AA114)))=Milestones!$AB$192),UPPER(TEXT(EDATE($D114,Milestones!$AA$192),"dd mmm yy"))&amp;" "&amp;Milestones!$AB$192&amp;" "&amp;IF(AND(Milestones!$AB$192="FT",Milestones!$AA$192=FT_Y5,EDATE($D114,Milestones!$AA$192)&lt;PolicyEff),1,Milestones!$AC$192)&amp;";  ","")&amp;IF(AND(EDATE($D114,Milestones!$AA$193)&lt;=AsOfDate,EDATE($D114,Milestones!$AA$193)&gt;=SchemeStart,IF($X114=0,$AD114,IF(AND($Z114&lt;&gt;"",EDATE($D114,Milestones!$AA$193)&gt;=$Z114),$AC114,IF(AND($Y114&lt;&gt;"",EDATE($D114,Milestones!$AA$193)&gt;=$Y114),$AB114,$AA114)))=Milestones!$AB$193),UPPER(TEXT(EDATE($D114,Milestones!$AA$193),"dd mmm yy"))&amp;" "&amp;Milestones!$AB$193&amp;" "&amp;IF(AND(Milestones!$AB$193="FT",Milestones!$AA$193=FT_Y5,EDATE($D114,Milestones!$AA$193)&lt;PolicyEff),1,Milestones!$AC$193)&amp;";  ","")&amp;IF(AND(EDATE($D114,Milestones!$AA$194)&lt;=AsOfDate,EDATE($D114,Milestones!$AA$194)&gt;=SchemeStart,IF($X114=0,$AD114,IF(AND($Z114&lt;&gt;"",EDATE($D114,Milestones!$AA$194)&gt;=$Z114),$AC114,IF(AND($Y114&lt;&gt;"",EDATE($D114,Milestones!$AA$194)&gt;=$Y114),$AB114,$AA114)))=Milestones!$AB$194),UPPER(TEXT(EDATE($D114,Milestones!$AA$194),"dd mmm yy"))&amp;" "&amp;Milestones!$AB$194&amp;" "&amp;IF(AND(Milestones!$AB$194="FT",Milestones!$AA$194=FT_Y5,EDATE($D114,Milestones!$AA$194)&lt;PolicyEff),1,Milestones!$AC$194)&amp;";  ","")&amp;IF(AND(EDATE($D114,Milestones!$AA$195)&lt;=AsOfDate,EDATE($D114,Milestones!$AA$195)&gt;=SchemeStart,IF($X114=0,$AD114,IF(AND($Z114&lt;&gt;"",EDATE($D114,Milestones!$AA$195)&gt;=$Z114),$AC114,IF(AND($Y114&lt;&gt;"",EDATE($D114,Milestones!$AA$195)&gt;=$Y114),$AB114,$AA114)))=Milestones!$AB$195),UPPER(TEXT(EDATE($D114,Milestones!$AA$195),"dd mmm yy"))&amp;" "&amp;Milestones!$AB$195&amp;" "&amp;IF(AND(Milestones!$AB$195="FT",Milestones!$AA$195=FT_Y5,EDATE($D114,Milestones!$AA$195)&lt;PolicyEff),1,Milestones!$AC$195)&amp;";  ","")&amp;IF(AND(EDATE($D114,Milestones!$AA$196)&lt;=AsOfDate,EDATE($D114,Milestones!$AA$196)&gt;=SchemeStart,IF($X114=0,$AD114,IF(AND($Z114&lt;&gt;"",EDATE($D114,Milestones!$AA$196)&gt;=$Z114),$AC114,IF(AND($Y114&lt;&gt;"",EDATE($D114,Milestones!$AA$196)&gt;=$Y114),$AB114,$AA114)))=Milestones!$AB$196),UPPER(TEXT(EDATE($D114,Milestones!$AA$196),"dd mmm yy"))&amp;" "&amp;Milestones!$AB$196&amp;" "&amp;IF(AND(Milestones!$AB$196="FT",Milestones!$AA$196=FT_Y5,EDATE($D114,Milestones!$AA$196)&lt;PolicyEff),1,Milestones!$AC$196)&amp;";  ","")&amp;IF(AND(EDATE($D114,Milestones!$AA$197)&lt;=AsOfDate,EDATE($D114,Milestones!$AA$197)&gt;=SchemeStart,IF($X114=0,$AD114,IF(AND($Z114&lt;&gt;"",EDATE($D114,Milestones!$AA$197)&gt;=$Z114),$AC114,IF(AND($Y114&lt;&gt;"",EDATE($D114,Milestones!$AA$197)&gt;=$Y114),$AB114,$AA114)))=Milestones!$AB$197),UPPER(TEXT(EDATE($D114,Milestones!$AA$197),"dd mmm yy"))&amp;" "&amp;Milestones!$AB$197&amp;" "&amp;IF(AND(Milestones!$AB$197="FT",Milestones!$AA$197=FT_Y5,EDATE($D114,Milestones!$AA$197)&lt;PolicyEff),1,Milestones!$AC$197)&amp;";  ","")&amp;IF(AND(EDATE($D114,Milestones!$AA$198)&lt;=AsOfDate,EDATE($D114,Milestones!$AA$198)&gt;=SchemeStart,IF($X114=0,$AD114,IF(AND($Z114&lt;&gt;"",EDATE($D114,Milestones!$AA$198)&gt;=$Z114),$AC114,IF(AND($Y114&lt;&gt;"",EDATE($D114,Milestones!$AA$198)&gt;=$Y114),$AB114,$AA114)))=Milestones!$AB$198),UPPER(TEXT(EDATE($D114,Milestones!$AA$198),"dd mmm yy"))&amp;" "&amp;Milestones!$AB$198&amp;" "&amp;IF(AND(Milestones!$AB$198="FT",Milestones!$AA$198=FT_Y5,EDATE($D114,Milestones!$AA$198)&lt;PolicyEff),1,Milestones!$AC$198)&amp;";  ","")&amp;IF(AND(EDATE($D114,Milestones!$AA$199)&lt;=AsOfDate,EDATE($D114,Milestones!$AA$199)&gt;=SchemeStart,IF($X114=0,$AD114,IF(AND($Z114&lt;&gt;"",EDATE($D114,Milestones!$AA$199)&gt;=$Z114),$AC114,IF(AND($Y114&lt;&gt;"",EDATE($D114,Milestones!$AA$199)&gt;=$Y114),$AB114,$AA114)))=Milestones!$AB$199),UPPER(TEXT(EDATE($D114,Milestones!$AA$199),"dd mmm yy"))&amp;" "&amp;Milestones!$AB$199&amp;" "&amp;IF(AND(Milestones!$AB$199="FT",Milestones!$AA$199=FT_Y5,EDATE($D114,Milestones!$AA$199)&lt;PolicyEff),1,Milestones!$AC$199)&amp;";  ",""))</f>
        <v/>
      </c>
      <c r="X114" s="0" t="str">
        <f aca="false">IF(Staff!$A114="","",Staff!$AM114)</f>
        <v/>
      </c>
      <c r="Y114" s="0" t="str">
        <f aca="false">IF(Staff!$A114="","",Staff!$AO114)</f>
        <v/>
      </c>
      <c r="Z114" s="0" t="str">
        <f aca="false">IF(Staff!$A114="","",Staff!$AP114)</f>
        <v/>
      </c>
      <c r="AA114" s="0" t="str">
        <f aca="false">IF(Staff!$A114="","",Staff!$AT114)</f>
        <v/>
      </c>
      <c r="AB114" s="0" t="str">
        <f aca="false">IF(Staff!$A114="","",Staff!$AU114)</f>
        <v/>
      </c>
      <c r="AC114" s="0" t="str">
        <f aca="false">IF(Staff!$A114="","",Staff!$AV114)</f>
        <v/>
      </c>
      <c r="AD114" s="0" t="str">
        <f aca="false">IF(Staff!$A114="","",Staff!$AW114)</f>
        <v/>
      </c>
    </row>
    <row r="115" customFormat="false" ht="15" hidden="false" customHeight="false" outlineLevel="0" collapsed="false">
      <c r="A115" s="16" t="str">
        <f aca="false">IF(Staff!$A115="","",Staff!$A115)</f>
        <v/>
      </c>
      <c r="B115" s="16" t="str">
        <f aca="false">IF(Staff!$A115="","",Staff!$B115)</f>
        <v/>
      </c>
      <c r="C115" s="16" t="str">
        <f aca="false">IF(Staff!$A115="","",Staff!$C115)</f>
        <v/>
      </c>
      <c r="D115" s="14" t="str">
        <f aca="false">IF(Staff!$A115="","",Staff!$AL115)</f>
        <v/>
      </c>
      <c r="E115" s="16" t="str">
        <f aca="false">IF(Staff!$A115="","",Staff!$O115)</f>
        <v/>
      </c>
      <c r="F115" s="16" t="str">
        <f aca="false">IF(E115="","",E115*HoursPerDay)</f>
        <v/>
      </c>
      <c r="G115" s="16" t="str">
        <f aca="false">IF(Staff!$A115="","",Staff!$AE115)</f>
        <v/>
      </c>
      <c r="H115" s="28" t="str">
        <f aca="false">IF($A115="","",I115&amp;J115&amp;K115&amp;L115&amp;M115&amp;N115&amp;O115&amp;P115&amp;Q115&amp;R115&amp;S115&amp;T115&amp;U115&amp;V115&amp;W115)</f>
        <v/>
      </c>
      <c r="I115" s="0" t="str">
        <f aca="false">IF(OR($A115="",$D115=""),"",IF(AND(EDATE($D115,Milestones!$AA$20)&lt;=AsOfDate,EDATE($D115,Milestones!$AA$20)&gt;=SchemeStart,IF($X115=0,$AD115,IF(AND($Z115&lt;&gt;"",EDATE($D115,Milestones!$AA$20)&gt;=$Z115),$AC115,IF(AND($Y115&lt;&gt;"",EDATE($D115,Milestones!$AA$20)&gt;=$Y115),$AB115,$AA115)))=Milestones!$AB$20),UPPER(TEXT(EDATE($D115,Milestones!$AA$20),"dd mmm yy"))&amp;" "&amp;Milestones!$AB$20&amp;" "&amp;IF(AND(Milestones!$AB$20="FT",Milestones!$AA$20=FT_Y5,EDATE($D115,Milestones!$AA$20)&lt;PolicyEff),1,Milestones!$AC$20)&amp;";  ","")&amp;IF(AND(EDATE($D115,Milestones!$AA$21)&lt;=AsOfDate,EDATE($D115,Milestones!$AA$21)&gt;=SchemeStart,IF($X115=0,$AD115,IF(AND($Z115&lt;&gt;"",EDATE($D115,Milestones!$AA$21)&gt;=$Z115),$AC115,IF(AND($Y115&lt;&gt;"",EDATE($D115,Milestones!$AA$21)&gt;=$Y115),$AB115,$AA115)))=Milestones!$AB$21),UPPER(TEXT(EDATE($D115,Milestones!$AA$21),"dd mmm yy"))&amp;" "&amp;Milestones!$AB$21&amp;" "&amp;IF(AND(Milestones!$AB$21="FT",Milestones!$AA$21=FT_Y5,EDATE($D115,Milestones!$AA$21)&lt;PolicyEff),1,Milestones!$AC$21)&amp;";  ","")&amp;IF(AND(EDATE($D115,Milestones!$AA$22)&lt;=AsOfDate,EDATE($D115,Milestones!$AA$22)&gt;=SchemeStart,IF($X115=0,$AD115,IF(AND($Z115&lt;&gt;"",EDATE($D115,Milestones!$AA$22)&gt;=$Z115),$AC115,IF(AND($Y115&lt;&gt;"",EDATE($D115,Milestones!$AA$22)&gt;=$Y115),$AB115,$AA115)))=Milestones!$AB$22),UPPER(TEXT(EDATE($D115,Milestones!$AA$22),"dd mmm yy"))&amp;" "&amp;Milestones!$AB$22&amp;" "&amp;IF(AND(Milestones!$AB$22="FT",Milestones!$AA$22=FT_Y5,EDATE($D115,Milestones!$AA$22)&lt;PolicyEff),1,Milestones!$AC$22)&amp;";  ","")&amp;IF(AND(EDATE($D115,Milestones!$AA$23)&lt;=AsOfDate,EDATE($D115,Milestones!$AA$23)&gt;=SchemeStart,IF($X115=0,$AD115,IF(AND($Z115&lt;&gt;"",EDATE($D115,Milestones!$AA$23)&gt;=$Z115),$AC115,IF(AND($Y115&lt;&gt;"",EDATE($D115,Milestones!$AA$23)&gt;=$Y115),$AB115,$AA115)))=Milestones!$AB$23),UPPER(TEXT(EDATE($D115,Milestones!$AA$23),"dd mmm yy"))&amp;" "&amp;Milestones!$AB$23&amp;" "&amp;IF(AND(Milestones!$AB$23="FT",Milestones!$AA$23=FT_Y5,EDATE($D115,Milestones!$AA$23)&lt;PolicyEff),1,Milestones!$AC$23)&amp;";  ","")&amp;IF(AND(EDATE($D115,Milestones!$AA$24)&lt;=AsOfDate,EDATE($D115,Milestones!$AA$24)&gt;=SchemeStart,IF($X115=0,$AD115,IF(AND($Z115&lt;&gt;"",EDATE($D115,Milestones!$AA$24)&gt;=$Z115),$AC115,IF(AND($Y115&lt;&gt;"",EDATE($D115,Milestones!$AA$24)&gt;=$Y115),$AB115,$AA115)))=Milestones!$AB$24),UPPER(TEXT(EDATE($D115,Milestones!$AA$24),"dd mmm yy"))&amp;" "&amp;Milestones!$AB$24&amp;" "&amp;IF(AND(Milestones!$AB$24="FT",Milestones!$AA$24=FT_Y5,EDATE($D115,Milestones!$AA$24)&lt;PolicyEff),1,Milestones!$AC$24)&amp;";  ","")&amp;IF(AND(EDATE($D115,Milestones!$AA$25)&lt;=AsOfDate,EDATE($D115,Milestones!$AA$25)&gt;=SchemeStart,IF($X115=0,$AD115,IF(AND($Z115&lt;&gt;"",EDATE($D115,Milestones!$AA$25)&gt;=$Z115),$AC115,IF(AND($Y115&lt;&gt;"",EDATE($D115,Milestones!$AA$25)&gt;=$Y115),$AB115,$AA115)))=Milestones!$AB$25),UPPER(TEXT(EDATE($D115,Milestones!$AA$25),"dd mmm yy"))&amp;" "&amp;Milestones!$AB$25&amp;" "&amp;IF(AND(Milestones!$AB$25="FT",Milestones!$AA$25=FT_Y5,EDATE($D115,Milestones!$AA$25)&lt;PolicyEff),1,Milestones!$AC$25)&amp;";  ","")&amp;IF(AND(EDATE($D115,Milestones!$AA$26)&lt;=AsOfDate,EDATE($D115,Milestones!$AA$26)&gt;=SchemeStart,IF($X115=0,$AD115,IF(AND($Z115&lt;&gt;"",EDATE($D115,Milestones!$AA$26)&gt;=$Z115),$AC115,IF(AND($Y115&lt;&gt;"",EDATE($D115,Milestones!$AA$26)&gt;=$Y115),$AB115,$AA115)))=Milestones!$AB$26),UPPER(TEXT(EDATE($D115,Milestones!$AA$26),"dd mmm yy"))&amp;" "&amp;Milestones!$AB$26&amp;" "&amp;IF(AND(Milestones!$AB$26="FT",Milestones!$AA$26=FT_Y5,EDATE($D115,Milestones!$AA$26)&lt;PolicyEff),1,Milestones!$AC$26)&amp;";  ","")&amp;IF(AND(EDATE($D115,Milestones!$AA$27)&lt;=AsOfDate,EDATE($D115,Milestones!$AA$27)&gt;=SchemeStart,IF($X115=0,$AD115,IF(AND($Z115&lt;&gt;"",EDATE($D115,Milestones!$AA$27)&gt;=$Z115),$AC115,IF(AND($Y115&lt;&gt;"",EDATE($D115,Milestones!$AA$27)&gt;=$Y115),$AB115,$AA115)))=Milestones!$AB$27),UPPER(TEXT(EDATE($D115,Milestones!$AA$27),"dd mmm yy"))&amp;" "&amp;Milestones!$AB$27&amp;" "&amp;IF(AND(Milestones!$AB$27="FT",Milestones!$AA$27=FT_Y5,EDATE($D115,Milestones!$AA$27)&lt;PolicyEff),1,Milestones!$AC$27)&amp;";  ","")&amp;IF(AND(EDATE($D115,Milestones!$AA$28)&lt;=AsOfDate,EDATE($D115,Milestones!$AA$28)&gt;=SchemeStart,IF($X115=0,$AD115,IF(AND($Z115&lt;&gt;"",EDATE($D115,Milestones!$AA$28)&gt;=$Z115),$AC115,IF(AND($Y115&lt;&gt;"",EDATE($D115,Milestones!$AA$28)&gt;=$Y115),$AB115,$AA115)))=Milestones!$AB$28),UPPER(TEXT(EDATE($D115,Milestones!$AA$28),"dd mmm yy"))&amp;" "&amp;Milestones!$AB$28&amp;" "&amp;IF(AND(Milestones!$AB$28="FT",Milestones!$AA$28=FT_Y5,EDATE($D115,Milestones!$AA$28)&lt;PolicyEff),1,Milestones!$AC$28)&amp;";  ","")&amp;IF(AND(EDATE($D115,Milestones!$AA$29)&lt;=AsOfDate,EDATE($D115,Milestones!$AA$29)&gt;=SchemeStart,IF($X115=0,$AD115,IF(AND($Z115&lt;&gt;"",EDATE($D115,Milestones!$AA$29)&gt;=$Z115),$AC115,IF(AND($Y115&lt;&gt;"",EDATE($D115,Milestones!$AA$29)&gt;=$Y115),$AB115,$AA115)))=Milestones!$AB$29),UPPER(TEXT(EDATE($D115,Milestones!$AA$29),"dd mmm yy"))&amp;" "&amp;Milestones!$AB$29&amp;" "&amp;IF(AND(Milestones!$AB$29="FT",Milestones!$AA$29=FT_Y5,EDATE($D115,Milestones!$AA$29)&lt;PolicyEff),1,Milestones!$AC$29)&amp;";  ","")&amp;IF(AND(EDATE($D115,Milestones!$AA$30)&lt;=AsOfDate,EDATE($D115,Milestones!$AA$30)&gt;=SchemeStart,IF($X115=0,$AD115,IF(AND($Z115&lt;&gt;"",EDATE($D115,Milestones!$AA$30)&gt;=$Z115),$AC115,IF(AND($Y115&lt;&gt;"",EDATE($D115,Milestones!$AA$30)&gt;=$Y115),$AB115,$AA115)))=Milestones!$AB$30),UPPER(TEXT(EDATE($D115,Milestones!$AA$30),"dd mmm yy"))&amp;" "&amp;Milestones!$AB$30&amp;" "&amp;IF(AND(Milestones!$AB$30="FT",Milestones!$AA$30=FT_Y5,EDATE($D115,Milestones!$AA$30)&lt;PolicyEff),1,Milestones!$AC$30)&amp;";  ","")&amp;IF(AND(EDATE($D115,Milestones!$AA$31)&lt;=AsOfDate,EDATE($D115,Milestones!$AA$31)&gt;=SchemeStart,IF($X115=0,$AD115,IF(AND($Z115&lt;&gt;"",EDATE($D115,Milestones!$AA$31)&gt;=$Z115),$AC115,IF(AND($Y115&lt;&gt;"",EDATE($D115,Milestones!$AA$31)&gt;=$Y115),$AB115,$AA115)))=Milestones!$AB$31),UPPER(TEXT(EDATE($D115,Milestones!$AA$31),"dd mmm yy"))&amp;" "&amp;Milestones!$AB$31&amp;" "&amp;IF(AND(Milestones!$AB$31="FT",Milestones!$AA$31=FT_Y5,EDATE($D115,Milestones!$AA$31)&lt;PolicyEff),1,Milestones!$AC$31)&amp;";  ",""))</f>
        <v/>
      </c>
      <c r="J115" s="0" t="str">
        <f aca="false">IF(OR($A115="",$D115=""),"",IF(AND(EDATE($D115,Milestones!$AA$32)&lt;=AsOfDate,EDATE($D115,Milestones!$AA$32)&gt;=SchemeStart,IF($X115=0,$AD115,IF(AND($Z115&lt;&gt;"",EDATE($D115,Milestones!$AA$32)&gt;=$Z115),$AC115,IF(AND($Y115&lt;&gt;"",EDATE($D115,Milestones!$AA$32)&gt;=$Y115),$AB115,$AA115)))=Milestones!$AB$32),UPPER(TEXT(EDATE($D115,Milestones!$AA$32),"dd mmm yy"))&amp;" "&amp;Milestones!$AB$32&amp;" "&amp;IF(AND(Milestones!$AB$32="FT",Milestones!$AA$32=FT_Y5,EDATE($D115,Milestones!$AA$32)&lt;PolicyEff),1,Milestones!$AC$32)&amp;";  ","")&amp;IF(AND(EDATE($D115,Milestones!$AA$33)&lt;=AsOfDate,EDATE($D115,Milestones!$AA$33)&gt;=SchemeStart,IF($X115=0,$AD115,IF(AND($Z115&lt;&gt;"",EDATE($D115,Milestones!$AA$33)&gt;=$Z115),$AC115,IF(AND($Y115&lt;&gt;"",EDATE($D115,Milestones!$AA$33)&gt;=$Y115),$AB115,$AA115)))=Milestones!$AB$33),UPPER(TEXT(EDATE($D115,Milestones!$AA$33),"dd mmm yy"))&amp;" "&amp;Milestones!$AB$33&amp;" "&amp;IF(AND(Milestones!$AB$33="FT",Milestones!$AA$33=FT_Y5,EDATE($D115,Milestones!$AA$33)&lt;PolicyEff),1,Milestones!$AC$33)&amp;";  ","")&amp;IF(AND(EDATE($D115,Milestones!$AA$34)&lt;=AsOfDate,EDATE($D115,Milestones!$AA$34)&gt;=SchemeStart,IF($X115=0,$AD115,IF(AND($Z115&lt;&gt;"",EDATE($D115,Milestones!$AA$34)&gt;=$Z115),$AC115,IF(AND($Y115&lt;&gt;"",EDATE($D115,Milestones!$AA$34)&gt;=$Y115),$AB115,$AA115)))=Milestones!$AB$34),UPPER(TEXT(EDATE($D115,Milestones!$AA$34),"dd mmm yy"))&amp;" "&amp;Milestones!$AB$34&amp;" "&amp;IF(AND(Milestones!$AB$34="FT",Milestones!$AA$34=FT_Y5,EDATE($D115,Milestones!$AA$34)&lt;PolicyEff),1,Milestones!$AC$34)&amp;";  ","")&amp;IF(AND(EDATE($D115,Milestones!$AA$35)&lt;=AsOfDate,EDATE($D115,Milestones!$AA$35)&gt;=SchemeStart,IF($X115=0,$AD115,IF(AND($Z115&lt;&gt;"",EDATE($D115,Milestones!$AA$35)&gt;=$Z115),$AC115,IF(AND($Y115&lt;&gt;"",EDATE($D115,Milestones!$AA$35)&gt;=$Y115),$AB115,$AA115)))=Milestones!$AB$35),UPPER(TEXT(EDATE($D115,Milestones!$AA$35),"dd mmm yy"))&amp;" "&amp;Milestones!$AB$35&amp;" "&amp;IF(AND(Milestones!$AB$35="FT",Milestones!$AA$35=FT_Y5,EDATE($D115,Milestones!$AA$35)&lt;PolicyEff),1,Milestones!$AC$35)&amp;";  ","")&amp;IF(AND(EDATE($D115,Milestones!$AA$36)&lt;=AsOfDate,EDATE($D115,Milestones!$AA$36)&gt;=SchemeStart,IF($X115=0,$AD115,IF(AND($Z115&lt;&gt;"",EDATE($D115,Milestones!$AA$36)&gt;=$Z115),$AC115,IF(AND($Y115&lt;&gt;"",EDATE($D115,Milestones!$AA$36)&gt;=$Y115),$AB115,$AA115)))=Milestones!$AB$36),UPPER(TEXT(EDATE($D115,Milestones!$AA$36),"dd mmm yy"))&amp;" "&amp;Milestones!$AB$36&amp;" "&amp;IF(AND(Milestones!$AB$36="FT",Milestones!$AA$36=FT_Y5,EDATE($D115,Milestones!$AA$36)&lt;PolicyEff),1,Milestones!$AC$36)&amp;";  ","")&amp;IF(AND(EDATE($D115,Milestones!$AA$37)&lt;=AsOfDate,EDATE($D115,Milestones!$AA$37)&gt;=SchemeStart,IF($X115=0,$AD115,IF(AND($Z115&lt;&gt;"",EDATE($D115,Milestones!$AA$37)&gt;=$Z115),$AC115,IF(AND($Y115&lt;&gt;"",EDATE($D115,Milestones!$AA$37)&gt;=$Y115),$AB115,$AA115)))=Milestones!$AB$37),UPPER(TEXT(EDATE($D115,Milestones!$AA$37),"dd mmm yy"))&amp;" "&amp;Milestones!$AB$37&amp;" "&amp;IF(AND(Milestones!$AB$37="FT",Milestones!$AA$37=FT_Y5,EDATE($D115,Milestones!$AA$37)&lt;PolicyEff),1,Milestones!$AC$37)&amp;";  ","")&amp;IF(AND(EDATE($D115,Milestones!$AA$38)&lt;=AsOfDate,EDATE($D115,Milestones!$AA$38)&gt;=SchemeStart,IF($X115=0,$AD115,IF(AND($Z115&lt;&gt;"",EDATE($D115,Milestones!$AA$38)&gt;=$Z115),$AC115,IF(AND($Y115&lt;&gt;"",EDATE($D115,Milestones!$AA$38)&gt;=$Y115),$AB115,$AA115)))=Milestones!$AB$38),UPPER(TEXT(EDATE($D115,Milestones!$AA$38),"dd mmm yy"))&amp;" "&amp;Milestones!$AB$38&amp;" "&amp;IF(AND(Milestones!$AB$38="FT",Milestones!$AA$38=FT_Y5,EDATE($D115,Milestones!$AA$38)&lt;PolicyEff),1,Milestones!$AC$38)&amp;";  ","")&amp;IF(AND(EDATE($D115,Milestones!$AA$39)&lt;=AsOfDate,EDATE($D115,Milestones!$AA$39)&gt;=SchemeStart,IF($X115=0,$AD115,IF(AND($Z115&lt;&gt;"",EDATE($D115,Milestones!$AA$39)&gt;=$Z115),$AC115,IF(AND($Y115&lt;&gt;"",EDATE($D115,Milestones!$AA$39)&gt;=$Y115),$AB115,$AA115)))=Milestones!$AB$39),UPPER(TEXT(EDATE($D115,Milestones!$AA$39),"dd mmm yy"))&amp;" "&amp;Milestones!$AB$39&amp;" "&amp;IF(AND(Milestones!$AB$39="FT",Milestones!$AA$39=FT_Y5,EDATE($D115,Milestones!$AA$39)&lt;PolicyEff),1,Milestones!$AC$39)&amp;";  ","")&amp;IF(AND(EDATE($D115,Milestones!$AA$40)&lt;=AsOfDate,EDATE($D115,Milestones!$AA$40)&gt;=SchemeStart,IF($X115=0,$AD115,IF(AND($Z115&lt;&gt;"",EDATE($D115,Milestones!$AA$40)&gt;=$Z115),$AC115,IF(AND($Y115&lt;&gt;"",EDATE($D115,Milestones!$AA$40)&gt;=$Y115),$AB115,$AA115)))=Milestones!$AB$40),UPPER(TEXT(EDATE($D115,Milestones!$AA$40),"dd mmm yy"))&amp;" "&amp;Milestones!$AB$40&amp;" "&amp;IF(AND(Milestones!$AB$40="FT",Milestones!$AA$40=FT_Y5,EDATE($D115,Milestones!$AA$40)&lt;PolicyEff),1,Milestones!$AC$40)&amp;";  ","")&amp;IF(AND(EDATE($D115,Milestones!$AA$41)&lt;=AsOfDate,EDATE($D115,Milestones!$AA$41)&gt;=SchemeStart,IF($X115=0,$AD115,IF(AND($Z115&lt;&gt;"",EDATE($D115,Milestones!$AA$41)&gt;=$Z115),$AC115,IF(AND($Y115&lt;&gt;"",EDATE($D115,Milestones!$AA$41)&gt;=$Y115),$AB115,$AA115)))=Milestones!$AB$41),UPPER(TEXT(EDATE($D115,Milestones!$AA$41),"dd mmm yy"))&amp;" "&amp;Milestones!$AB$41&amp;" "&amp;IF(AND(Milestones!$AB$41="FT",Milestones!$AA$41=FT_Y5,EDATE($D115,Milestones!$AA$41)&lt;PolicyEff),1,Milestones!$AC$41)&amp;";  ","")&amp;IF(AND(EDATE($D115,Milestones!$AA$42)&lt;=AsOfDate,EDATE($D115,Milestones!$AA$42)&gt;=SchemeStart,IF($X115=0,$AD115,IF(AND($Z115&lt;&gt;"",EDATE($D115,Milestones!$AA$42)&gt;=$Z115),$AC115,IF(AND($Y115&lt;&gt;"",EDATE($D115,Milestones!$AA$42)&gt;=$Y115),$AB115,$AA115)))=Milestones!$AB$42),UPPER(TEXT(EDATE($D115,Milestones!$AA$42),"dd mmm yy"))&amp;" "&amp;Milestones!$AB$42&amp;" "&amp;IF(AND(Milestones!$AB$42="FT",Milestones!$AA$42=FT_Y5,EDATE($D115,Milestones!$AA$42)&lt;PolicyEff),1,Milestones!$AC$42)&amp;";  ","")&amp;IF(AND(EDATE($D115,Milestones!$AA$43)&lt;=AsOfDate,EDATE($D115,Milestones!$AA$43)&gt;=SchemeStart,IF($X115=0,$AD115,IF(AND($Z115&lt;&gt;"",EDATE($D115,Milestones!$AA$43)&gt;=$Z115),$AC115,IF(AND($Y115&lt;&gt;"",EDATE($D115,Milestones!$AA$43)&gt;=$Y115),$AB115,$AA115)))=Milestones!$AB$43),UPPER(TEXT(EDATE($D115,Milestones!$AA$43),"dd mmm yy"))&amp;" "&amp;Milestones!$AB$43&amp;" "&amp;IF(AND(Milestones!$AB$43="FT",Milestones!$AA$43=FT_Y5,EDATE($D115,Milestones!$AA$43)&lt;PolicyEff),1,Milestones!$AC$43)&amp;";  ",""))</f>
        <v/>
      </c>
      <c r="K115" s="0" t="str">
        <f aca="false">IF(OR($A115="",$D115=""),"",IF(AND(EDATE($D115,Milestones!$AA$44)&lt;=AsOfDate,EDATE($D115,Milestones!$AA$44)&gt;=SchemeStart,IF($X115=0,$AD115,IF(AND($Z115&lt;&gt;"",EDATE($D115,Milestones!$AA$44)&gt;=$Z115),$AC115,IF(AND($Y115&lt;&gt;"",EDATE($D115,Milestones!$AA$44)&gt;=$Y115),$AB115,$AA115)))=Milestones!$AB$44),UPPER(TEXT(EDATE($D115,Milestones!$AA$44),"dd mmm yy"))&amp;" "&amp;Milestones!$AB$44&amp;" "&amp;IF(AND(Milestones!$AB$44="FT",Milestones!$AA$44=FT_Y5,EDATE($D115,Milestones!$AA$44)&lt;PolicyEff),1,Milestones!$AC$44)&amp;";  ","")&amp;IF(AND(EDATE($D115,Milestones!$AA$45)&lt;=AsOfDate,EDATE($D115,Milestones!$AA$45)&gt;=SchemeStart,IF($X115=0,$AD115,IF(AND($Z115&lt;&gt;"",EDATE($D115,Milestones!$AA$45)&gt;=$Z115),$AC115,IF(AND($Y115&lt;&gt;"",EDATE($D115,Milestones!$AA$45)&gt;=$Y115),$AB115,$AA115)))=Milestones!$AB$45),UPPER(TEXT(EDATE($D115,Milestones!$AA$45),"dd mmm yy"))&amp;" "&amp;Milestones!$AB$45&amp;" "&amp;IF(AND(Milestones!$AB$45="FT",Milestones!$AA$45=FT_Y5,EDATE($D115,Milestones!$AA$45)&lt;PolicyEff),1,Milestones!$AC$45)&amp;";  ","")&amp;IF(AND(EDATE($D115,Milestones!$AA$46)&lt;=AsOfDate,EDATE($D115,Milestones!$AA$46)&gt;=SchemeStart,IF($X115=0,$AD115,IF(AND($Z115&lt;&gt;"",EDATE($D115,Milestones!$AA$46)&gt;=$Z115),$AC115,IF(AND($Y115&lt;&gt;"",EDATE($D115,Milestones!$AA$46)&gt;=$Y115),$AB115,$AA115)))=Milestones!$AB$46),UPPER(TEXT(EDATE($D115,Milestones!$AA$46),"dd mmm yy"))&amp;" "&amp;Milestones!$AB$46&amp;" "&amp;IF(AND(Milestones!$AB$46="FT",Milestones!$AA$46=FT_Y5,EDATE($D115,Milestones!$AA$46)&lt;PolicyEff),1,Milestones!$AC$46)&amp;";  ","")&amp;IF(AND(EDATE($D115,Milestones!$AA$47)&lt;=AsOfDate,EDATE($D115,Milestones!$AA$47)&gt;=SchemeStart,IF($X115=0,$AD115,IF(AND($Z115&lt;&gt;"",EDATE($D115,Milestones!$AA$47)&gt;=$Z115),$AC115,IF(AND($Y115&lt;&gt;"",EDATE($D115,Milestones!$AA$47)&gt;=$Y115),$AB115,$AA115)))=Milestones!$AB$47),UPPER(TEXT(EDATE($D115,Milestones!$AA$47),"dd mmm yy"))&amp;" "&amp;Milestones!$AB$47&amp;" "&amp;IF(AND(Milestones!$AB$47="FT",Milestones!$AA$47=FT_Y5,EDATE($D115,Milestones!$AA$47)&lt;PolicyEff),1,Milestones!$AC$47)&amp;";  ","")&amp;IF(AND(EDATE($D115,Milestones!$AA$48)&lt;=AsOfDate,EDATE($D115,Milestones!$AA$48)&gt;=SchemeStart,IF($X115=0,$AD115,IF(AND($Z115&lt;&gt;"",EDATE($D115,Milestones!$AA$48)&gt;=$Z115),$AC115,IF(AND($Y115&lt;&gt;"",EDATE($D115,Milestones!$AA$48)&gt;=$Y115),$AB115,$AA115)))=Milestones!$AB$48),UPPER(TEXT(EDATE($D115,Milestones!$AA$48),"dd mmm yy"))&amp;" "&amp;Milestones!$AB$48&amp;" "&amp;IF(AND(Milestones!$AB$48="FT",Milestones!$AA$48=FT_Y5,EDATE($D115,Milestones!$AA$48)&lt;PolicyEff),1,Milestones!$AC$48)&amp;";  ","")&amp;IF(AND(EDATE($D115,Milestones!$AA$49)&lt;=AsOfDate,EDATE($D115,Milestones!$AA$49)&gt;=SchemeStart,IF($X115=0,$AD115,IF(AND($Z115&lt;&gt;"",EDATE($D115,Milestones!$AA$49)&gt;=$Z115),$AC115,IF(AND($Y115&lt;&gt;"",EDATE($D115,Milestones!$AA$49)&gt;=$Y115),$AB115,$AA115)))=Milestones!$AB$49),UPPER(TEXT(EDATE($D115,Milestones!$AA$49),"dd mmm yy"))&amp;" "&amp;Milestones!$AB$49&amp;" "&amp;IF(AND(Milestones!$AB$49="FT",Milestones!$AA$49=FT_Y5,EDATE($D115,Milestones!$AA$49)&lt;PolicyEff),1,Milestones!$AC$49)&amp;";  ","")&amp;IF(AND(EDATE($D115,Milestones!$AA$50)&lt;=AsOfDate,EDATE($D115,Milestones!$AA$50)&gt;=SchemeStart,IF($X115=0,$AD115,IF(AND($Z115&lt;&gt;"",EDATE($D115,Milestones!$AA$50)&gt;=$Z115),$AC115,IF(AND($Y115&lt;&gt;"",EDATE($D115,Milestones!$AA$50)&gt;=$Y115),$AB115,$AA115)))=Milestones!$AB$50),UPPER(TEXT(EDATE($D115,Milestones!$AA$50),"dd mmm yy"))&amp;" "&amp;Milestones!$AB$50&amp;" "&amp;IF(AND(Milestones!$AB$50="FT",Milestones!$AA$50=FT_Y5,EDATE($D115,Milestones!$AA$50)&lt;PolicyEff),1,Milestones!$AC$50)&amp;";  ","")&amp;IF(AND(EDATE($D115,Milestones!$AA$51)&lt;=AsOfDate,EDATE($D115,Milestones!$AA$51)&gt;=SchemeStart,IF($X115=0,$AD115,IF(AND($Z115&lt;&gt;"",EDATE($D115,Milestones!$AA$51)&gt;=$Z115),$AC115,IF(AND($Y115&lt;&gt;"",EDATE($D115,Milestones!$AA$51)&gt;=$Y115),$AB115,$AA115)))=Milestones!$AB$51),UPPER(TEXT(EDATE($D115,Milestones!$AA$51),"dd mmm yy"))&amp;" "&amp;Milestones!$AB$51&amp;" "&amp;IF(AND(Milestones!$AB$51="FT",Milestones!$AA$51=FT_Y5,EDATE($D115,Milestones!$AA$51)&lt;PolicyEff),1,Milestones!$AC$51)&amp;";  ","")&amp;IF(AND(EDATE($D115,Milestones!$AA$52)&lt;=AsOfDate,EDATE($D115,Milestones!$AA$52)&gt;=SchemeStart,IF($X115=0,$AD115,IF(AND($Z115&lt;&gt;"",EDATE($D115,Milestones!$AA$52)&gt;=$Z115),$AC115,IF(AND($Y115&lt;&gt;"",EDATE($D115,Milestones!$AA$52)&gt;=$Y115),$AB115,$AA115)))=Milestones!$AB$52),UPPER(TEXT(EDATE($D115,Milestones!$AA$52),"dd mmm yy"))&amp;" "&amp;Milestones!$AB$52&amp;" "&amp;IF(AND(Milestones!$AB$52="FT",Milestones!$AA$52=FT_Y5,EDATE($D115,Milestones!$AA$52)&lt;PolicyEff),1,Milestones!$AC$52)&amp;";  ","")&amp;IF(AND(EDATE($D115,Milestones!$AA$53)&lt;=AsOfDate,EDATE($D115,Milestones!$AA$53)&gt;=SchemeStart,IF($X115=0,$AD115,IF(AND($Z115&lt;&gt;"",EDATE($D115,Milestones!$AA$53)&gt;=$Z115),$AC115,IF(AND($Y115&lt;&gt;"",EDATE($D115,Milestones!$AA$53)&gt;=$Y115),$AB115,$AA115)))=Milestones!$AB$53),UPPER(TEXT(EDATE($D115,Milestones!$AA$53),"dd mmm yy"))&amp;" "&amp;Milestones!$AB$53&amp;" "&amp;IF(AND(Milestones!$AB$53="FT",Milestones!$AA$53=FT_Y5,EDATE($D115,Milestones!$AA$53)&lt;PolicyEff),1,Milestones!$AC$53)&amp;";  ","")&amp;IF(AND(EDATE($D115,Milestones!$AA$54)&lt;=AsOfDate,EDATE($D115,Milestones!$AA$54)&gt;=SchemeStart,IF($X115=0,$AD115,IF(AND($Z115&lt;&gt;"",EDATE($D115,Milestones!$AA$54)&gt;=$Z115),$AC115,IF(AND($Y115&lt;&gt;"",EDATE($D115,Milestones!$AA$54)&gt;=$Y115),$AB115,$AA115)))=Milestones!$AB$54),UPPER(TEXT(EDATE($D115,Milestones!$AA$54),"dd mmm yy"))&amp;" "&amp;Milestones!$AB$54&amp;" "&amp;IF(AND(Milestones!$AB$54="FT",Milestones!$AA$54=FT_Y5,EDATE($D115,Milestones!$AA$54)&lt;PolicyEff),1,Milestones!$AC$54)&amp;";  ","")&amp;IF(AND(EDATE($D115,Milestones!$AA$55)&lt;=AsOfDate,EDATE($D115,Milestones!$AA$55)&gt;=SchemeStart,IF($X115=0,$AD115,IF(AND($Z115&lt;&gt;"",EDATE($D115,Milestones!$AA$55)&gt;=$Z115),$AC115,IF(AND($Y115&lt;&gt;"",EDATE($D115,Milestones!$AA$55)&gt;=$Y115),$AB115,$AA115)))=Milestones!$AB$55),UPPER(TEXT(EDATE($D115,Milestones!$AA$55),"dd mmm yy"))&amp;" "&amp;Milestones!$AB$55&amp;" "&amp;IF(AND(Milestones!$AB$55="FT",Milestones!$AA$55=FT_Y5,EDATE($D115,Milestones!$AA$55)&lt;PolicyEff),1,Milestones!$AC$55)&amp;";  ",""))</f>
        <v/>
      </c>
      <c r="L115" s="0" t="str">
        <f aca="false">IF(OR($A115="",$D115=""),"",IF(AND(EDATE($D115,Milestones!$AA$56)&lt;=AsOfDate,EDATE($D115,Milestones!$AA$56)&gt;=SchemeStart,IF($X115=0,$AD115,IF(AND($Z115&lt;&gt;"",EDATE($D115,Milestones!$AA$56)&gt;=$Z115),$AC115,IF(AND($Y115&lt;&gt;"",EDATE($D115,Milestones!$AA$56)&gt;=$Y115),$AB115,$AA115)))=Milestones!$AB$56),UPPER(TEXT(EDATE($D115,Milestones!$AA$56),"dd mmm yy"))&amp;" "&amp;Milestones!$AB$56&amp;" "&amp;IF(AND(Milestones!$AB$56="FT",Milestones!$AA$56=FT_Y5,EDATE($D115,Milestones!$AA$56)&lt;PolicyEff),1,Milestones!$AC$56)&amp;";  ","")&amp;IF(AND(EDATE($D115,Milestones!$AA$57)&lt;=AsOfDate,EDATE($D115,Milestones!$AA$57)&gt;=SchemeStart,IF($X115=0,$AD115,IF(AND($Z115&lt;&gt;"",EDATE($D115,Milestones!$AA$57)&gt;=$Z115),$AC115,IF(AND($Y115&lt;&gt;"",EDATE($D115,Milestones!$AA$57)&gt;=$Y115),$AB115,$AA115)))=Milestones!$AB$57),UPPER(TEXT(EDATE($D115,Milestones!$AA$57),"dd mmm yy"))&amp;" "&amp;Milestones!$AB$57&amp;" "&amp;IF(AND(Milestones!$AB$57="FT",Milestones!$AA$57=FT_Y5,EDATE($D115,Milestones!$AA$57)&lt;PolicyEff),1,Milestones!$AC$57)&amp;";  ","")&amp;IF(AND(EDATE($D115,Milestones!$AA$58)&lt;=AsOfDate,EDATE($D115,Milestones!$AA$58)&gt;=SchemeStart,IF($X115=0,$AD115,IF(AND($Z115&lt;&gt;"",EDATE($D115,Milestones!$AA$58)&gt;=$Z115),$AC115,IF(AND($Y115&lt;&gt;"",EDATE($D115,Milestones!$AA$58)&gt;=$Y115),$AB115,$AA115)))=Milestones!$AB$58),UPPER(TEXT(EDATE($D115,Milestones!$AA$58),"dd mmm yy"))&amp;" "&amp;Milestones!$AB$58&amp;" "&amp;IF(AND(Milestones!$AB$58="FT",Milestones!$AA$58=FT_Y5,EDATE($D115,Milestones!$AA$58)&lt;PolicyEff),1,Milestones!$AC$58)&amp;";  ","")&amp;IF(AND(EDATE($D115,Milestones!$AA$59)&lt;=AsOfDate,EDATE($D115,Milestones!$AA$59)&gt;=SchemeStart,IF($X115=0,$AD115,IF(AND($Z115&lt;&gt;"",EDATE($D115,Milestones!$AA$59)&gt;=$Z115),$AC115,IF(AND($Y115&lt;&gt;"",EDATE($D115,Milestones!$AA$59)&gt;=$Y115),$AB115,$AA115)))=Milestones!$AB$59),UPPER(TEXT(EDATE($D115,Milestones!$AA$59),"dd mmm yy"))&amp;" "&amp;Milestones!$AB$59&amp;" "&amp;IF(AND(Milestones!$AB$59="FT",Milestones!$AA$59=FT_Y5,EDATE($D115,Milestones!$AA$59)&lt;PolicyEff),1,Milestones!$AC$59)&amp;";  ","")&amp;IF(AND(EDATE($D115,Milestones!$AA$60)&lt;=AsOfDate,EDATE($D115,Milestones!$AA$60)&gt;=SchemeStart,IF($X115=0,$AD115,IF(AND($Z115&lt;&gt;"",EDATE($D115,Milestones!$AA$60)&gt;=$Z115),$AC115,IF(AND($Y115&lt;&gt;"",EDATE($D115,Milestones!$AA$60)&gt;=$Y115),$AB115,$AA115)))=Milestones!$AB$60),UPPER(TEXT(EDATE($D115,Milestones!$AA$60),"dd mmm yy"))&amp;" "&amp;Milestones!$AB$60&amp;" "&amp;IF(AND(Milestones!$AB$60="FT",Milestones!$AA$60=FT_Y5,EDATE($D115,Milestones!$AA$60)&lt;PolicyEff),1,Milestones!$AC$60)&amp;";  ","")&amp;IF(AND(EDATE($D115,Milestones!$AA$61)&lt;=AsOfDate,EDATE($D115,Milestones!$AA$61)&gt;=SchemeStart,IF($X115=0,$AD115,IF(AND($Z115&lt;&gt;"",EDATE($D115,Milestones!$AA$61)&gt;=$Z115),$AC115,IF(AND($Y115&lt;&gt;"",EDATE($D115,Milestones!$AA$61)&gt;=$Y115),$AB115,$AA115)))=Milestones!$AB$61),UPPER(TEXT(EDATE($D115,Milestones!$AA$61),"dd mmm yy"))&amp;" "&amp;Milestones!$AB$61&amp;" "&amp;IF(AND(Milestones!$AB$61="FT",Milestones!$AA$61=FT_Y5,EDATE($D115,Milestones!$AA$61)&lt;PolicyEff),1,Milestones!$AC$61)&amp;";  ","")&amp;IF(AND(EDATE($D115,Milestones!$AA$62)&lt;=AsOfDate,EDATE($D115,Milestones!$AA$62)&gt;=SchemeStart,IF($X115=0,$AD115,IF(AND($Z115&lt;&gt;"",EDATE($D115,Milestones!$AA$62)&gt;=$Z115),$AC115,IF(AND($Y115&lt;&gt;"",EDATE($D115,Milestones!$AA$62)&gt;=$Y115),$AB115,$AA115)))=Milestones!$AB$62),UPPER(TEXT(EDATE($D115,Milestones!$AA$62),"dd mmm yy"))&amp;" "&amp;Milestones!$AB$62&amp;" "&amp;IF(AND(Milestones!$AB$62="FT",Milestones!$AA$62=FT_Y5,EDATE($D115,Milestones!$AA$62)&lt;PolicyEff),1,Milestones!$AC$62)&amp;";  ","")&amp;IF(AND(EDATE($D115,Milestones!$AA$63)&lt;=AsOfDate,EDATE($D115,Milestones!$AA$63)&gt;=SchemeStart,IF($X115=0,$AD115,IF(AND($Z115&lt;&gt;"",EDATE($D115,Milestones!$AA$63)&gt;=$Z115),$AC115,IF(AND($Y115&lt;&gt;"",EDATE($D115,Milestones!$AA$63)&gt;=$Y115),$AB115,$AA115)))=Milestones!$AB$63),UPPER(TEXT(EDATE($D115,Milestones!$AA$63),"dd mmm yy"))&amp;" "&amp;Milestones!$AB$63&amp;" "&amp;IF(AND(Milestones!$AB$63="FT",Milestones!$AA$63=FT_Y5,EDATE($D115,Milestones!$AA$63)&lt;PolicyEff),1,Milestones!$AC$63)&amp;";  ","")&amp;IF(AND(EDATE($D115,Milestones!$AA$64)&lt;=AsOfDate,EDATE($D115,Milestones!$AA$64)&gt;=SchemeStart,IF($X115=0,$AD115,IF(AND($Z115&lt;&gt;"",EDATE($D115,Milestones!$AA$64)&gt;=$Z115),$AC115,IF(AND($Y115&lt;&gt;"",EDATE($D115,Milestones!$AA$64)&gt;=$Y115),$AB115,$AA115)))=Milestones!$AB$64),UPPER(TEXT(EDATE($D115,Milestones!$AA$64),"dd mmm yy"))&amp;" "&amp;Milestones!$AB$64&amp;" "&amp;IF(AND(Milestones!$AB$64="FT",Milestones!$AA$64=FT_Y5,EDATE($D115,Milestones!$AA$64)&lt;PolicyEff),1,Milestones!$AC$64)&amp;";  ","")&amp;IF(AND(EDATE($D115,Milestones!$AA$65)&lt;=AsOfDate,EDATE($D115,Milestones!$AA$65)&gt;=SchemeStart,IF($X115=0,$AD115,IF(AND($Z115&lt;&gt;"",EDATE($D115,Milestones!$AA$65)&gt;=$Z115),$AC115,IF(AND($Y115&lt;&gt;"",EDATE($D115,Milestones!$AA$65)&gt;=$Y115),$AB115,$AA115)))=Milestones!$AB$65),UPPER(TEXT(EDATE($D115,Milestones!$AA$65),"dd mmm yy"))&amp;" "&amp;Milestones!$AB$65&amp;" "&amp;IF(AND(Milestones!$AB$65="FT",Milestones!$AA$65=FT_Y5,EDATE($D115,Milestones!$AA$65)&lt;PolicyEff),1,Milestones!$AC$65)&amp;";  ","")&amp;IF(AND(EDATE($D115,Milestones!$AA$66)&lt;=AsOfDate,EDATE($D115,Milestones!$AA$66)&gt;=SchemeStart,IF($X115=0,$AD115,IF(AND($Z115&lt;&gt;"",EDATE($D115,Milestones!$AA$66)&gt;=$Z115),$AC115,IF(AND($Y115&lt;&gt;"",EDATE($D115,Milestones!$AA$66)&gt;=$Y115),$AB115,$AA115)))=Milestones!$AB$66),UPPER(TEXT(EDATE($D115,Milestones!$AA$66),"dd mmm yy"))&amp;" "&amp;Milestones!$AB$66&amp;" "&amp;IF(AND(Milestones!$AB$66="FT",Milestones!$AA$66=FT_Y5,EDATE($D115,Milestones!$AA$66)&lt;PolicyEff),1,Milestones!$AC$66)&amp;";  ","")&amp;IF(AND(EDATE($D115,Milestones!$AA$67)&lt;=AsOfDate,EDATE($D115,Milestones!$AA$67)&gt;=SchemeStart,IF($X115=0,$AD115,IF(AND($Z115&lt;&gt;"",EDATE($D115,Milestones!$AA$67)&gt;=$Z115),$AC115,IF(AND($Y115&lt;&gt;"",EDATE($D115,Milestones!$AA$67)&gt;=$Y115),$AB115,$AA115)))=Milestones!$AB$67),UPPER(TEXT(EDATE($D115,Milestones!$AA$67),"dd mmm yy"))&amp;" "&amp;Milestones!$AB$67&amp;" "&amp;IF(AND(Milestones!$AB$67="FT",Milestones!$AA$67=FT_Y5,EDATE($D115,Milestones!$AA$67)&lt;PolicyEff),1,Milestones!$AC$67)&amp;";  ",""))</f>
        <v/>
      </c>
      <c r="M115" s="0" t="str">
        <f aca="false">IF(OR($A115="",$D115=""),"",IF(AND(EDATE($D115,Milestones!$AA$68)&lt;=AsOfDate,EDATE($D115,Milestones!$AA$68)&gt;=SchemeStart,IF($X115=0,$AD115,IF(AND($Z115&lt;&gt;"",EDATE($D115,Milestones!$AA$68)&gt;=$Z115),$AC115,IF(AND($Y115&lt;&gt;"",EDATE($D115,Milestones!$AA$68)&gt;=$Y115),$AB115,$AA115)))=Milestones!$AB$68),UPPER(TEXT(EDATE($D115,Milestones!$AA$68),"dd mmm yy"))&amp;" "&amp;Milestones!$AB$68&amp;" "&amp;IF(AND(Milestones!$AB$68="FT",Milestones!$AA$68=FT_Y5,EDATE($D115,Milestones!$AA$68)&lt;PolicyEff),1,Milestones!$AC$68)&amp;";  ","")&amp;IF(AND(EDATE($D115,Milestones!$AA$69)&lt;=AsOfDate,EDATE($D115,Milestones!$AA$69)&gt;=SchemeStart,IF($X115=0,$AD115,IF(AND($Z115&lt;&gt;"",EDATE($D115,Milestones!$AA$69)&gt;=$Z115),$AC115,IF(AND($Y115&lt;&gt;"",EDATE($D115,Milestones!$AA$69)&gt;=$Y115),$AB115,$AA115)))=Milestones!$AB$69),UPPER(TEXT(EDATE($D115,Milestones!$AA$69),"dd mmm yy"))&amp;" "&amp;Milestones!$AB$69&amp;" "&amp;IF(AND(Milestones!$AB$69="FT",Milestones!$AA$69=FT_Y5,EDATE($D115,Milestones!$AA$69)&lt;PolicyEff),1,Milestones!$AC$69)&amp;";  ","")&amp;IF(AND(EDATE($D115,Milestones!$AA$70)&lt;=AsOfDate,EDATE($D115,Milestones!$AA$70)&gt;=SchemeStart,IF($X115=0,$AD115,IF(AND($Z115&lt;&gt;"",EDATE($D115,Milestones!$AA$70)&gt;=$Z115),$AC115,IF(AND($Y115&lt;&gt;"",EDATE($D115,Milestones!$AA$70)&gt;=$Y115),$AB115,$AA115)))=Milestones!$AB$70),UPPER(TEXT(EDATE($D115,Milestones!$AA$70),"dd mmm yy"))&amp;" "&amp;Milestones!$AB$70&amp;" "&amp;IF(AND(Milestones!$AB$70="FT",Milestones!$AA$70=FT_Y5,EDATE($D115,Milestones!$AA$70)&lt;PolicyEff),1,Milestones!$AC$70)&amp;";  ","")&amp;IF(AND(EDATE($D115,Milestones!$AA$71)&lt;=AsOfDate,EDATE($D115,Milestones!$AA$71)&gt;=SchemeStart,IF($X115=0,$AD115,IF(AND($Z115&lt;&gt;"",EDATE($D115,Milestones!$AA$71)&gt;=$Z115),$AC115,IF(AND($Y115&lt;&gt;"",EDATE($D115,Milestones!$AA$71)&gt;=$Y115),$AB115,$AA115)))=Milestones!$AB$71),UPPER(TEXT(EDATE($D115,Milestones!$AA$71),"dd mmm yy"))&amp;" "&amp;Milestones!$AB$71&amp;" "&amp;IF(AND(Milestones!$AB$71="FT",Milestones!$AA$71=FT_Y5,EDATE($D115,Milestones!$AA$71)&lt;PolicyEff),1,Milestones!$AC$71)&amp;";  ","")&amp;IF(AND(EDATE($D115,Milestones!$AA$72)&lt;=AsOfDate,EDATE($D115,Milestones!$AA$72)&gt;=SchemeStart,IF($X115=0,$AD115,IF(AND($Z115&lt;&gt;"",EDATE($D115,Milestones!$AA$72)&gt;=$Z115),$AC115,IF(AND($Y115&lt;&gt;"",EDATE($D115,Milestones!$AA$72)&gt;=$Y115),$AB115,$AA115)))=Milestones!$AB$72),UPPER(TEXT(EDATE($D115,Milestones!$AA$72),"dd mmm yy"))&amp;" "&amp;Milestones!$AB$72&amp;" "&amp;IF(AND(Milestones!$AB$72="FT",Milestones!$AA$72=FT_Y5,EDATE($D115,Milestones!$AA$72)&lt;PolicyEff),1,Milestones!$AC$72)&amp;";  ","")&amp;IF(AND(EDATE($D115,Milestones!$AA$73)&lt;=AsOfDate,EDATE($D115,Milestones!$AA$73)&gt;=SchemeStart,IF($X115=0,$AD115,IF(AND($Z115&lt;&gt;"",EDATE($D115,Milestones!$AA$73)&gt;=$Z115),$AC115,IF(AND($Y115&lt;&gt;"",EDATE($D115,Milestones!$AA$73)&gt;=$Y115),$AB115,$AA115)))=Milestones!$AB$73),UPPER(TEXT(EDATE($D115,Milestones!$AA$73),"dd mmm yy"))&amp;" "&amp;Milestones!$AB$73&amp;" "&amp;IF(AND(Milestones!$AB$73="FT",Milestones!$AA$73=FT_Y5,EDATE($D115,Milestones!$AA$73)&lt;PolicyEff),1,Milestones!$AC$73)&amp;";  ","")&amp;IF(AND(EDATE($D115,Milestones!$AA$74)&lt;=AsOfDate,EDATE($D115,Milestones!$AA$74)&gt;=SchemeStart,IF($X115=0,$AD115,IF(AND($Z115&lt;&gt;"",EDATE($D115,Milestones!$AA$74)&gt;=$Z115),$AC115,IF(AND($Y115&lt;&gt;"",EDATE($D115,Milestones!$AA$74)&gt;=$Y115),$AB115,$AA115)))=Milestones!$AB$74),UPPER(TEXT(EDATE($D115,Milestones!$AA$74),"dd mmm yy"))&amp;" "&amp;Milestones!$AB$74&amp;" "&amp;IF(AND(Milestones!$AB$74="FT",Milestones!$AA$74=FT_Y5,EDATE($D115,Milestones!$AA$74)&lt;PolicyEff),1,Milestones!$AC$74)&amp;";  ","")&amp;IF(AND(EDATE($D115,Milestones!$AA$75)&lt;=AsOfDate,EDATE($D115,Milestones!$AA$75)&gt;=SchemeStart,IF($X115=0,$AD115,IF(AND($Z115&lt;&gt;"",EDATE($D115,Milestones!$AA$75)&gt;=$Z115),$AC115,IF(AND($Y115&lt;&gt;"",EDATE($D115,Milestones!$AA$75)&gt;=$Y115),$AB115,$AA115)))=Milestones!$AB$75),UPPER(TEXT(EDATE($D115,Milestones!$AA$75),"dd mmm yy"))&amp;" "&amp;Milestones!$AB$75&amp;" "&amp;IF(AND(Milestones!$AB$75="FT",Milestones!$AA$75=FT_Y5,EDATE($D115,Milestones!$AA$75)&lt;PolicyEff),1,Milestones!$AC$75)&amp;";  ","")&amp;IF(AND(EDATE($D115,Milestones!$AA$76)&lt;=AsOfDate,EDATE($D115,Milestones!$AA$76)&gt;=SchemeStart,IF($X115=0,$AD115,IF(AND($Z115&lt;&gt;"",EDATE($D115,Milestones!$AA$76)&gt;=$Z115),$AC115,IF(AND($Y115&lt;&gt;"",EDATE($D115,Milestones!$AA$76)&gt;=$Y115),$AB115,$AA115)))=Milestones!$AB$76),UPPER(TEXT(EDATE($D115,Milestones!$AA$76),"dd mmm yy"))&amp;" "&amp;Milestones!$AB$76&amp;" "&amp;IF(AND(Milestones!$AB$76="FT",Milestones!$AA$76=FT_Y5,EDATE($D115,Milestones!$AA$76)&lt;PolicyEff),1,Milestones!$AC$76)&amp;";  ","")&amp;IF(AND(EDATE($D115,Milestones!$AA$77)&lt;=AsOfDate,EDATE($D115,Milestones!$AA$77)&gt;=SchemeStart,IF($X115=0,$AD115,IF(AND($Z115&lt;&gt;"",EDATE($D115,Milestones!$AA$77)&gt;=$Z115),$AC115,IF(AND($Y115&lt;&gt;"",EDATE($D115,Milestones!$AA$77)&gt;=$Y115),$AB115,$AA115)))=Milestones!$AB$77),UPPER(TEXT(EDATE($D115,Milestones!$AA$77),"dd mmm yy"))&amp;" "&amp;Milestones!$AB$77&amp;" "&amp;IF(AND(Milestones!$AB$77="FT",Milestones!$AA$77=FT_Y5,EDATE($D115,Milestones!$AA$77)&lt;PolicyEff),1,Milestones!$AC$77)&amp;";  ","")&amp;IF(AND(EDATE($D115,Milestones!$AA$78)&lt;=AsOfDate,EDATE($D115,Milestones!$AA$78)&gt;=SchemeStart,IF($X115=0,$AD115,IF(AND($Z115&lt;&gt;"",EDATE($D115,Milestones!$AA$78)&gt;=$Z115),$AC115,IF(AND($Y115&lt;&gt;"",EDATE($D115,Milestones!$AA$78)&gt;=$Y115),$AB115,$AA115)))=Milestones!$AB$78),UPPER(TEXT(EDATE($D115,Milestones!$AA$78),"dd mmm yy"))&amp;" "&amp;Milestones!$AB$78&amp;" "&amp;IF(AND(Milestones!$AB$78="FT",Milestones!$AA$78=FT_Y5,EDATE($D115,Milestones!$AA$78)&lt;PolicyEff),1,Milestones!$AC$78)&amp;";  ","")&amp;IF(AND(EDATE($D115,Milestones!$AA$79)&lt;=AsOfDate,EDATE($D115,Milestones!$AA$79)&gt;=SchemeStart,IF($X115=0,$AD115,IF(AND($Z115&lt;&gt;"",EDATE($D115,Milestones!$AA$79)&gt;=$Z115),$AC115,IF(AND($Y115&lt;&gt;"",EDATE($D115,Milestones!$AA$79)&gt;=$Y115),$AB115,$AA115)))=Milestones!$AB$79),UPPER(TEXT(EDATE($D115,Milestones!$AA$79),"dd mmm yy"))&amp;" "&amp;Milestones!$AB$79&amp;" "&amp;IF(AND(Milestones!$AB$79="FT",Milestones!$AA$79=FT_Y5,EDATE($D115,Milestones!$AA$79)&lt;PolicyEff),1,Milestones!$AC$79)&amp;";  ",""))</f>
        <v/>
      </c>
      <c r="N115" s="0" t="str">
        <f aca="false">IF(OR($A115="",$D115=""),"",IF(AND(EDATE($D115,Milestones!$AA$80)&lt;=AsOfDate,EDATE($D115,Milestones!$AA$80)&gt;=SchemeStart,IF($X115=0,$AD115,IF(AND($Z115&lt;&gt;"",EDATE($D115,Milestones!$AA$80)&gt;=$Z115),$AC115,IF(AND($Y115&lt;&gt;"",EDATE($D115,Milestones!$AA$80)&gt;=$Y115),$AB115,$AA115)))=Milestones!$AB$80),UPPER(TEXT(EDATE($D115,Milestones!$AA$80),"dd mmm yy"))&amp;" "&amp;Milestones!$AB$80&amp;" "&amp;IF(AND(Milestones!$AB$80="FT",Milestones!$AA$80=FT_Y5,EDATE($D115,Milestones!$AA$80)&lt;PolicyEff),1,Milestones!$AC$80)&amp;";  ","")&amp;IF(AND(EDATE($D115,Milestones!$AA$81)&lt;=AsOfDate,EDATE($D115,Milestones!$AA$81)&gt;=SchemeStart,IF($X115=0,$AD115,IF(AND($Z115&lt;&gt;"",EDATE($D115,Milestones!$AA$81)&gt;=$Z115),$AC115,IF(AND($Y115&lt;&gt;"",EDATE($D115,Milestones!$AA$81)&gt;=$Y115),$AB115,$AA115)))=Milestones!$AB$81),UPPER(TEXT(EDATE($D115,Milestones!$AA$81),"dd mmm yy"))&amp;" "&amp;Milestones!$AB$81&amp;" "&amp;IF(AND(Milestones!$AB$81="FT",Milestones!$AA$81=FT_Y5,EDATE($D115,Milestones!$AA$81)&lt;PolicyEff),1,Milestones!$AC$81)&amp;";  ","")&amp;IF(AND(EDATE($D115,Milestones!$AA$82)&lt;=AsOfDate,EDATE($D115,Milestones!$AA$82)&gt;=SchemeStart,IF($X115=0,$AD115,IF(AND($Z115&lt;&gt;"",EDATE($D115,Milestones!$AA$82)&gt;=$Z115),$AC115,IF(AND($Y115&lt;&gt;"",EDATE($D115,Milestones!$AA$82)&gt;=$Y115),$AB115,$AA115)))=Milestones!$AB$82),UPPER(TEXT(EDATE($D115,Milestones!$AA$82),"dd mmm yy"))&amp;" "&amp;Milestones!$AB$82&amp;" "&amp;IF(AND(Milestones!$AB$82="FT",Milestones!$AA$82=FT_Y5,EDATE($D115,Milestones!$AA$82)&lt;PolicyEff),1,Milestones!$AC$82)&amp;";  ","")&amp;IF(AND(EDATE($D115,Milestones!$AA$83)&lt;=AsOfDate,EDATE($D115,Milestones!$AA$83)&gt;=SchemeStart,IF($X115=0,$AD115,IF(AND($Z115&lt;&gt;"",EDATE($D115,Milestones!$AA$83)&gt;=$Z115),$AC115,IF(AND($Y115&lt;&gt;"",EDATE($D115,Milestones!$AA$83)&gt;=$Y115),$AB115,$AA115)))=Milestones!$AB$83),UPPER(TEXT(EDATE($D115,Milestones!$AA$83),"dd mmm yy"))&amp;" "&amp;Milestones!$AB$83&amp;" "&amp;IF(AND(Milestones!$AB$83="FT",Milestones!$AA$83=FT_Y5,EDATE($D115,Milestones!$AA$83)&lt;PolicyEff),1,Milestones!$AC$83)&amp;";  ","")&amp;IF(AND(EDATE($D115,Milestones!$AA$84)&lt;=AsOfDate,EDATE($D115,Milestones!$AA$84)&gt;=SchemeStart,IF($X115=0,$AD115,IF(AND($Z115&lt;&gt;"",EDATE($D115,Milestones!$AA$84)&gt;=$Z115),$AC115,IF(AND($Y115&lt;&gt;"",EDATE($D115,Milestones!$AA$84)&gt;=$Y115),$AB115,$AA115)))=Milestones!$AB$84),UPPER(TEXT(EDATE($D115,Milestones!$AA$84),"dd mmm yy"))&amp;" "&amp;Milestones!$AB$84&amp;" "&amp;IF(AND(Milestones!$AB$84="FT",Milestones!$AA$84=FT_Y5,EDATE($D115,Milestones!$AA$84)&lt;PolicyEff),1,Milestones!$AC$84)&amp;";  ","")&amp;IF(AND(EDATE($D115,Milestones!$AA$85)&lt;=AsOfDate,EDATE($D115,Milestones!$AA$85)&gt;=SchemeStart,IF($X115=0,$AD115,IF(AND($Z115&lt;&gt;"",EDATE($D115,Milestones!$AA$85)&gt;=$Z115),$AC115,IF(AND($Y115&lt;&gt;"",EDATE($D115,Milestones!$AA$85)&gt;=$Y115),$AB115,$AA115)))=Milestones!$AB$85),UPPER(TEXT(EDATE($D115,Milestones!$AA$85),"dd mmm yy"))&amp;" "&amp;Milestones!$AB$85&amp;" "&amp;IF(AND(Milestones!$AB$85="FT",Milestones!$AA$85=FT_Y5,EDATE($D115,Milestones!$AA$85)&lt;PolicyEff),1,Milestones!$AC$85)&amp;";  ","")&amp;IF(AND(EDATE($D115,Milestones!$AA$86)&lt;=AsOfDate,EDATE($D115,Milestones!$AA$86)&gt;=SchemeStart,IF($X115=0,$AD115,IF(AND($Z115&lt;&gt;"",EDATE($D115,Milestones!$AA$86)&gt;=$Z115),$AC115,IF(AND($Y115&lt;&gt;"",EDATE($D115,Milestones!$AA$86)&gt;=$Y115),$AB115,$AA115)))=Milestones!$AB$86),UPPER(TEXT(EDATE($D115,Milestones!$AA$86),"dd mmm yy"))&amp;" "&amp;Milestones!$AB$86&amp;" "&amp;IF(AND(Milestones!$AB$86="FT",Milestones!$AA$86=FT_Y5,EDATE($D115,Milestones!$AA$86)&lt;PolicyEff),1,Milestones!$AC$86)&amp;";  ","")&amp;IF(AND(EDATE($D115,Milestones!$AA$87)&lt;=AsOfDate,EDATE($D115,Milestones!$AA$87)&gt;=SchemeStart,IF($X115=0,$AD115,IF(AND($Z115&lt;&gt;"",EDATE($D115,Milestones!$AA$87)&gt;=$Z115),$AC115,IF(AND($Y115&lt;&gt;"",EDATE($D115,Milestones!$AA$87)&gt;=$Y115),$AB115,$AA115)))=Milestones!$AB$87),UPPER(TEXT(EDATE($D115,Milestones!$AA$87),"dd mmm yy"))&amp;" "&amp;Milestones!$AB$87&amp;" "&amp;IF(AND(Milestones!$AB$87="FT",Milestones!$AA$87=FT_Y5,EDATE($D115,Milestones!$AA$87)&lt;PolicyEff),1,Milestones!$AC$87)&amp;";  ","")&amp;IF(AND(EDATE($D115,Milestones!$AA$88)&lt;=AsOfDate,EDATE($D115,Milestones!$AA$88)&gt;=SchemeStart,IF($X115=0,$AD115,IF(AND($Z115&lt;&gt;"",EDATE($D115,Milestones!$AA$88)&gt;=$Z115),$AC115,IF(AND($Y115&lt;&gt;"",EDATE($D115,Milestones!$AA$88)&gt;=$Y115),$AB115,$AA115)))=Milestones!$AB$88),UPPER(TEXT(EDATE($D115,Milestones!$AA$88),"dd mmm yy"))&amp;" "&amp;Milestones!$AB$88&amp;" "&amp;IF(AND(Milestones!$AB$88="FT",Milestones!$AA$88=FT_Y5,EDATE($D115,Milestones!$AA$88)&lt;PolicyEff),1,Milestones!$AC$88)&amp;";  ","")&amp;IF(AND(EDATE($D115,Milestones!$AA$89)&lt;=AsOfDate,EDATE($D115,Milestones!$AA$89)&gt;=SchemeStart,IF($X115=0,$AD115,IF(AND($Z115&lt;&gt;"",EDATE($D115,Milestones!$AA$89)&gt;=$Z115),$AC115,IF(AND($Y115&lt;&gt;"",EDATE($D115,Milestones!$AA$89)&gt;=$Y115),$AB115,$AA115)))=Milestones!$AB$89),UPPER(TEXT(EDATE($D115,Milestones!$AA$89),"dd mmm yy"))&amp;" "&amp;Milestones!$AB$89&amp;" "&amp;IF(AND(Milestones!$AB$89="FT",Milestones!$AA$89=FT_Y5,EDATE($D115,Milestones!$AA$89)&lt;PolicyEff),1,Milestones!$AC$89)&amp;";  ","")&amp;IF(AND(EDATE($D115,Milestones!$AA$90)&lt;=AsOfDate,EDATE($D115,Milestones!$AA$90)&gt;=SchemeStart,IF($X115=0,$AD115,IF(AND($Z115&lt;&gt;"",EDATE($D115,Milestones!$AA$90)&gt;=$Z115),$AC115,IF(AND($Y115&lt;&gt;"",EDATE($D115,Milestones!$AA$90)&gt;=$Y115),$AB115,$AA115)))=Milestones!$AB$90),UPPER(TEXT(EDATE($D115,Milestones!$AA$90),"dd mmm yy"))&amp;" "&amp;Milestones!$AB$90&amp;" "&amp;IF(AND(Milestones!$AB$90="FT",Milestones!$AA$90=FT_Y5,EDATE($D115,Milestones!$AA$90)&lt;PolicyEff),1,Milestones!$AC$90)&amp;";  ","")&amp;IF(AND(EDATE($D115,Milestones!$AA$91)&lt;=AsOfDate,EDATE($D115,Milestones!$AA$91)&gt;=SchemeStart,IF($X115=0,$AD115,IF(AND($Z115&lt;&gt;"",EDATE($D115,Milestones!$AA$91)&gt;=$Z115),$AC115,IF(AND($Y115&lt;&gt;"",EDATE($D115,Milestones!$AA$91)&gt;=$Y115),$AB115,$AA115)))=Milestones!$AB$91),UPPER(TEXT(EDATE($D115,Milestones!$AA$91),"dd mmm yy"))&amp;" "&amp;Milestones!$AB$91&amp;" "&amp;IF(AND(Milestones!$AB$91="FT",Milestones!$AA$91=FT_Y5,EDATE($D115,Milestones!$AA$91)&lt;PolicyEff),1,Milestones!$AC$91)&amp;";  ",""))</f>
        <v/>
      </c>
      <c r="O115" s="0" t="str">
        <f aca="false">IF(OR($A115="",$D115=""),"",IF(AND(EDATE($D115,Milestones!$AA$92)&lt;=AsOfDate,EDATE($D115,Milestones!$AA$92)&gt;=SchemeStart,IF($X115=0,$AD115,IF(AND($Z115&lt;&gt;"",EDATE($D115,Milestones!$AA$92)&gt;=$Z115),$AC115,IF(AND($Y115&lt;&gt;"",EDATE($D115,Milestones!$AA$92)&gt;=$Y115),$AB115,$AA115)))=Milestones!$AB$92),UPPER(TEXT(EDATE($D115,Milestones!$AA$92),"dd mmm yy"))&amp;" "&amp;Milestones!$AB$92&amp;" "&amp;IF(AND(Milestones!$AB$92="FT",Milestones!$AA$92=FT_Y5,EDATE($D115,Milestones!$AA$92)&lt;PolicyEff),1,Milestones!$AC$92)&amp;";  ","")&amp;IF(AND(EDATE($D115,Milestones!$AA$93)&lt;=AsOfDate,EDATE($D115,Milestones!$AA$93)&gt;=SchemeStart,IF($X115=0,$AD115,IF(AND($Z115&lt;&gt;"",EDATE($D115,Milestones!$AA$93)&gt;=$Z115),$AC115,IF(AND($Y115&lt;&gt;"",EDATE($D115,Milestones!$AA$93)&gt;=$Y115),$AB115,$AA115)))=Milestones!$AB$93),UPPER(TEXT(EDATE($D115,Milestones!$AA$93),"dd mmm yy"))&amp;" "&amp;Milestones!$AB$93&amp;" "&amp;IF(AND(Milestones!$AB$93="FT",Milestones!$AA$93=FT_Y5,EDATE($D115,Milestones!$AA$93)&lt;PolicyEff),1,Milestones!$AC$93)&amp;";  ","")&amp;IF(AND(EDATE($D115,Milestones!$AA$94)&lt;=AsOfDate,EDATE($D115,Milestones!$AA$94)&gt;=SchemeStart,IF($X115=0,$AD115,IF(AND($Z115&lt;&gt;"",EDATE($D115,Milestones!$AA$94)&gt;=$Z115),$AC115,IF(AND($Y115&lt;&gt;"",EDATE($D115,Milestones!$AA$94)&gt;=$Y115),$AB115,$AA115)))=Milestones!$AB$94),UPPER(TEXT(EDATE($D115,Milestones!$AA$94),"dd mmm yy"))&amp;" "&amp;Milestones!$AB$94&amp;" "&amp;IF(AND(Milestones!$AB$94="FT",Milestones!$AA$94=FT_Y5,EDATE($D115,Milestones!$AA$94)&lt;PolicyEff),1,Milestones!$AC$94)&amp;";  ","")&amp;IF(AND(EDATE($D115,Milestones!$AA$95)&lt;=AsOfDate,EDATE($D115,Milestones!$AA$95)&gt;=SchemeStart,IF($X115=0,$AD115,IF(AND($Z115&lt;&gt;"",EDATE($D115,Milestones!$AA$95)&gt;=$Z115),$AC115,IF(AND($Y115&lt;&gt;"",EDATE($D115,Milestones!$AA$95)&gt;=$Y115),$AB115,$AA115)))=Milestones!$AB$95),UPPER(TEXT(EDATE($D115,Milestones!$AA$95),"dd mmm yy"))&amp;" "&amp;Milestones!$AB$95&amp;" "&amp;IF(AND(Milestones!$AB$95="FT",Milestones!$AA$95=FT_Y5,EDATE($D115,Milestones!$AA$95)&lt;PolicyEff),1,Milestones!$AC$95)&amp;";  ","")&amp;IF(AND(EDATE($D115,Milestones!$AA$96)&lt;=AsOfDate,EDATE($D115,Milestones!$AA$96)&gt;=SchemeStart,IF($X115=0,$AD115,IF(AND($Z115&lt;&gt;"",EDATE($D115,Milestones!$AA$96)&gt;=$Z115),$AC115,IF(AND($Y115&lt;&gt;"",EDATE($D115,Milestones!$AA$96)&gt;=$Y115),$AB115,$AA115)))=Milestones!$AB$96),UPPER(TEXT(EDATE($D115,Milestones!$AA$96),"dd mmm yy"))&amp;" "&amp;Milestones!$AB$96&amp;" "&amp;IF(AND(Milestones!$AB$96="FT",Milestones!$AA$96=FT_Y5,EDATE($D115,Milestones!$AA$96)&lt;PolicyEff),1,Milestones!$AC$96)&amp;";  ","")&amp;IF(AND(EDATE($D115,Milestones!$AA$97)&lt;=AsOfDate,EDATE($D115,Milestones!$AA$97)&gt;=SchemeStart,IF($X115=0,$AD115,IF(AND($Z115&lt;&gt;"",EDATE($D115,Milestones!$AA$97)&gt;=$Z115),$AC115,IF(AND($Y115&lt;&gt;"",EDATE($D115,Milestones!$AA$97)&gt;=$Y115),$AB115,$AA115)))=Milestones!$AB$97),UPPER(TEXT(EDATE($D115,Milestones!$AA$97),"dd mmm yy"))&amp;" "&amp;Milestones!$AB$97&amp;" "&amp;IF(AND(Milestones!$AB$97="FT",Milestones!$AA$97=FT_Y5,EDATE($D115,Milestones!$AA$97)&lt;PolicyEff),1,Milestones!$AC$97)&amp;";  ","")&amp;IF(AND(EDATE($D115,Milestones!$AA$98)&lt;=AsOfDate,EDATE($D115,Milestones!$AA$98)&gt;=SchemeStart,IF($X115=0,$AD115,IF(AND($Z115&lt;&gt;"",EDATE($D115,Milestones!$AA$98)&gt;=$Z115),$AC115,IF(AND($Y115&lt;&gt;"",EDATE($D115,Milestones!$AA$98)&gt;=$Y115),$AB115,$AA115)))=Milestones!$AB$98),UPPER(TEXT(EDATE($D115,Milestones!$AA$98),"dd mmm yy"))&amp;" "&amp;Milestones!$AB$98&amp;" "&amp;IF(AND(Milestones!$AB$98="FT",Milestones!$AA$98=FT_Y5,EDATE($D115,Milestones!$AA$98)&lt;PolicyEff),1,Milestones!$AC$98)&amp;";  ","")&amp;IF(AND(EDATE($D115,Milestones!$AA$99)&lt;=AsOfDate,EDATE($D115,Milestones!$AA$99)&gt;=SchemeStart,IF($X115=0,$AD115,IF(AND($Z115&lt;&gt;"",EDATE($D115,Milestones!$AA$99)&gt;=$Z115),$AC115,IF(AND($Y115&lt;&gt;"",EDATE($D115,Milestones!$AA$99)&gt;=$Y115),$AB115,$AA115)))=Milestones!$AB$99),UPPER(TEXT(EDATE($D115,Milestones!$AA$99),"dd mmm yy"))&amp;" "&amp;Milestones!$AB$99&amp;" "&amp;IF(AND(Milestones!$AB$99="FT",Milestones!$AA$99=FT_Y5,EDATE($D115,Milestones!$AA$99)&lt;PolicyEff),1,Milestones!$AC$99)&amp;";  ","")&amp;IF(AND(EDATE($D115,Milestones!$AA$100)&lt;=AsOfDate,EDATE($D115,Milestones!$AA$100)&gt;=SchemeStart,IF($X115=0,$AD115,IF(AND($Z115&lt;&gt;"",EDATE($D115,Milestones!$AA$100)&gt;=$Z115),$AC115,IF(AND($Y115&lt;&gt;"",EDATE($D115,Milestones!$AA$100)&gt;=$Y115),$AB115,$AA115)))=Milestones!$AB$100),UPPER(TEXT(EDATE($D115,Milestones!$AA$100),"dd mmm yy"))&amp;" "&amp;Milestones!$AB$100&amp;" "&amp;IF(AND(Milestones!$AB$100="FT",Milestones!$AA$100=FT_Y5,EDATE($D115,Milestones!$AA$100)&lt;PolicyEff),1,Milestones!$AC$100)&amp;";  ","")&amp;IF(AND(EDATE($D115,Milestones!$AA$101)&lt;=AsOfDate,EDATE($D115,Milestones!$AA$101)&gt;=SchemeStart,IF($X115=0,$AD115,IF(AND($Z115&lt;&gt;"",EDATE($D115,Milestones!$AA$101)&gt;=$Z115),$AC115,IF(AND($Y115&lt;&gt;"",EDATE($D115,Milestones!$AA$101)&gt;=$Y115),$AB115,$AA115)))=Milestones!$AB$101),UPPER(TEXT(EDATE($D115,Milestones!$AA$101),"dd mmm yy"))&amp;" "&amp;Milestones!$AB$101&amp;" "&amp;IF(AND(Milestones!$AB$101="FT",Milestones!$AA$101=FT_Y5,EDATE($D115,Milestones!$AA$101)&lt;PolicyEff),1,Milestones!$AC$101)&amp;";  ","")&amp;IF(AND(EDATE($D115,Milestones!$AA$102)&lt;=AsOfDate,EDATE($D115,Milestones!$AA$102)&gt;=SchemeStart,IF($X115=0,$AD115,IF(AND($Z115&lt;&gt;"",EDATE($D115,Milestones!$AA$102)&gt;=$Z115),$AC115,IF(AND($Y115&lt;&gt;"",EDATE($D115,Milestones!$AA$102)&gt;=$Y115),$AB115,$AA115)))=Milestones!$AB$102),UPPER(TEXT(EDATE($D115,Milestones!$AA$102),"dd mmm yy"))&amp;" "&amp;Milestones!$AB$102&amp;" "&amp;IF(AND(Milestones!$AB$102="FT",Milestones!$AA$102=FT_Y5,EDATE($D115,Milestones!$AA$102)&lt;PolicyEff),1,Milestones!$AC$102)&amp;";  ","")&amp;IF(AND(EDATE($D115,Milestones!$AA$103)&lt;=AsOfDate,EDATE($D115,Milestones!$AA$103)&gt;=SchemeStart,IF($X115=0,$AD115,IF(AND($Z115&lt;&gt;"",EDATE($D115,Milestones!$AA$103)&gt;=$Z115),$AC115,IF(AND($Y115&lt;&gt;"",EDATE($D115,Milestones!$AA$103)&gt;=$Y115),$AB115,$AA115)))=Milestones!$AB$103),UPPER(TEXT(EDATE($D115,Milestones!$AA$103),"dd mmm yy"))&amp;" "&amp;Milestones!$AB$103&amp;" "&amp;IF(AND(Milestones!$AB$103="FT",Milestones!$AA$103=FT_Y5,EDATE($D115,Milestones!$AA$103)&lt;PolicyEff),1,Milestones!$AC$103)&amp;";  ",""))</f>
        <v/>
      </c>
      <c r="P115" s="0" t="str">
        <f aca="false">IF(OR($A115="",$D115=""),"",IF(AND(EDATE($D115,Milestones!$AA$104)&lt;=AsOfDate,EDATE($D115,Milestones!$AA$104)&gt;=SchemeStart,IF($X115=0,$AD115,IF(AND($Z115&lt;&gt;"",EDATE($D115,Milestones!$AA$104)&gt;=$Z115),$AC115,IF(AND($Y115&lt;&gt;"",EDATE($D115,Milestones!$AA$104)&gt;=$Y115),$AB115,$AA115)))=Milestones!$AB$104),UPPER(TEXT(EDATE($D115,Milestones!$AA$104),"dd mmm yy"))&amp;" "&amp;Milestones!$AB$104&amp;" "&amp;IF(AND(Milestones!$AB$104="FT",Milestones!$AA$104=FT_Y5,EDATE($D115,Milestones!$AA$104)&lt;PolicyEff),1,Milestones!$AC$104)&amp;";  ","")&amp;IF(AND(EDATE($D115,Milestones!$AA$105)&lt;=AsOfDate,EDATE($D115,Milestones!$AA$105)&gt;=SchemeStart,IF($X115=0,$AD115,IF(AND($Z115&lt;&gt;"",EDATE($D115,Milestones!$AA$105)&gt;=$Z115),$AC115,IF(AND($Y115&lt;&gt;"",EDATE($D115,Milestones!$AA$105)&gt;=$Y115),$AB115,$AA115)))=Milestones!$AB$105),UPPER(TEXT(EDATE($D115,Milestones!$AA$105),"dd mmm yy"))&amp;" "&amp;Milestones!$AB$105&amp;" "&amp;IF(AND(Milestones!$AB$105="FT",Milestones!$AA$105=FT_Y5,EDATE($D115,Milestones!$AA$105)&lt;PolicyEff),1,Milestones!$AC$105)&amp;";  ","")&amp;IF(AND(EDATE($D115,Milestones!$AA$106)&lt;=AsOfDate,EDATE($D115,Milestones!$AA$106)&gt;=SchemeStart,IF($X115=0,$AD115,IF(AND($Z115&lt;&gt;"",EDATE($D115,Milestones!$AA$106)&gt;=$Z115),$AC115,IF(AND($Y115&lt;&gt;"",EDATE($D115,Milestones!$AA$106)&gt;=$Y115),$AB115,$AA115)))=Milestones!$AB$106),UPPER(TEXT(EDATE($D115,Milestones!$AA$106),"dd mmm yy"))&amp;" "&amp;Milestones!$AB$106&amp;" "&amp;IF(AND(Milestones!$AB$106="FT",Milestones!$AA$106=FT_Y5,EDATE($D115,Milestones!$AA$106)&lt;PolicyEff),1,Milestones!$AC$106)&amp;";  ","")&amp;IF(AND(EDATE($D115,Milestones!$AA$107)&lt;=AsOfDate,EDATE($D115,Milestones!$AA$107)&gt;=SchemeStart,IF($X115=0,$AD115,IF(AND($Z115&lt;&gt;"",EDATE($D115,Milestones!$AA$107)&gt;=$Z115),$AC115,IF(AND($Y115&lt;&gt;"",EDATE($D115,Milestones!$AA$107)&gt;=$Y115),$AB115,$AA115)))=Milestones!$AB$107),UPPER(TEXT(EDATE($D115,Milestones!$AA$107),"dd mmm yy"))&amp;" "&amp;Milestones!$AB$107&amp;" "&amp;IF(AND(Milestones!$AB$107="FT",Milestones!$AA$107=FT_Y5,EDATE($D115,Milestones!$AA$107)&lt;PolicyEff),1,Milestones!$AC$107)&amp;";  ","")&amp;IF(AND(EDATE($D115,Milestones!$AA$108)&lt;=AsOfDate,EDATE($D115,Milestones!$AA$108)&gt;=SchemeStart,IF($X115=0,$AD115,IF(AND($Z115&lt;&gt;"",EDATE($D115,Milestones!$AA$108)&gt;=$Z115),$AC115,IF(AND($Y115&lt;&gt;"",EDATE($D115,Milestones!$AA$108)&gt;=$Y115),$AB115,$AA115)))=Milestones!$AB$108),UPPER(TEXT(EDATE($D115,Milestones!$AA$108),"dd mmm yy"))&amp;" "&amp;Milestones!$AB$108&amp;" "&amp;IF(AND(Milestones!$AB$108="FT",Milestones!$AA$108=FT_Y5,EDATE($D115,Milestones!$AA$108)&lt;PolicyEff),1,Milestones!$AC$108)&amp;";  ","")&amp;IF(AND(EDATE($D115,Milestones!$AA$109)&lt;=AsOfDate,EDATE($D115,Milestones!$AA$109)&gt;=SchemeStart,IF($X115=0,$AD115,IF(AND($Z115&lt;&gt;"",EDATE($D115,Milestones!$AA$109)&gt;=$Z115),$AC115,IF(AND($Y115&lt;&gt;"",EDATE($D115,Milestones!$AA$109)&gt;=$Y115),$AB115,$AA115)))=Milestones!$AB$109),UPPER(TEXT(EDATE($D115,Milestones!$AA$109),"dd mmm yy"))&amp;" "&amp;Milestones!$AB$109&amp;" "&amp;IF(AND(Milestones!$AB$109="FT",Milestones!$AA$109=FT_Y5,EDATE($D115,Milestones!$AA$109)&lt;PolicyEff),1,Milestones!$AC$109)&amp;";  ","")&amp;IF(AND(EDATE($D115,Milestones!$AA$110)&lt;=AsOfDate,EDATE($D115,Milestones!$AA$110)&gt;=SchemeStart,IF($X115=0,$AD115,IF(AND($Z115&lt;&gt;"",EDATE($D115,Milestones!$AA$110)&gt;=$Z115),$AC115,IF(AND($Y115&lt;&gt;"",EDATE($D115,Milestones!$AA$110)&gt;=$Y115),$AB115,$AA115)))=Milestones!$AB$110),UPPER(TEXT(EDATE($D115,Milestones!$AA$110),"dd mmm yy"))&amp;" "&amp;Milestones!$AB$110&amp;" "&amp;IF(AND(Milestones!$AB$110="FT",Milestones!$AA$110=FT_Y5,EDATE($D115,Milestones!$AA$110)&lt;PolicyEff),1,Milestones!$AC$110)&amp;";  ","")&amp;IF(AND(EDATE($D115,Milestones!$AA$111)&lt;=AsOfDate,EDATE($D115,Milestones!$AA$111)&gt;=SchemeStart,IF($X115=0,$AD115,IF(AND($Z115&lt;&gt;"",EDATE($D115,Milestones!$AA$111)&gt;=$Z115),$AC115,IF(AND($Y115&lt;&gt;"",EDATE($D115,Milestones!$AA$111)&gt;=$Y115),$AB115,$AA115)))=Milestones!$AB$111),UPPER(TEXT(EDATE($D115,Milestones!$AA$111),"dd mmm yy"))&amp;" "&amp;Milestones!$AB$111&amp;" "&amp;IF(AND(Milestones!$AB$111="FT",Milestones!$AA$111=FT_Y5,EDATE($D115,Milestones!$AA$111)&lt;PolicyEff),1,Milestones!$AC$111)&amp;";  ","")&amp;IF(AND(EDATE($D115,Milestones!$AA$112)&lt;=AsOfDate,EDATE($D115,Milestones!$AA$112)&gt;=SchemeStart,IF($X115=0,$AD115,IF(AND($Z115&lt;&gt;"",EDATE($D115,Milestones!$AA$112)&gt;=$Z115),$AC115,IF(AND($Y115&lt;&gt;"",EDATE($D115,Milestones!$AA$112)&gt;=$Y115),$AB115,$AA115)))=Milestones!$AB$112),UPPER(TEXT(EDATE($D115,Milestones!$AA$112),"dd mmm yy"))&amp;" "&amp;Milestones!$AB$112&amp;" "&amp;IF(AND(Milestones!$AB$112="FT",Milestones!$AA$112=FT_Y5,EDATE($D115,Milestones!$AA$112)&lt;PolicyEff),1,Milestones!$AC$112)&amp;";  ","")&amp;IF(AND(EDATE($D115,Milestones!$AA$113)&lt;=AsOfDate,EDATE($D115,Milestones!$AA$113)&gt;=SchemeStart,IF($X115=0,$AD115,IF(AND($Z115&lt;&gt;"",EDATE($D115,Milestones!$AA$113)&gt;=$Z115),$AC115,IF(AND($Y115&lt;&gt;"",EDATE($D115,Milestones!$AA$113)&gt;=$Y115),$AB115,$AA115)))=Milestones!$AB$113),UPPER(TEXT(EDATE($D115,Milestones!$AA$113),"dd mmm yy"))&amp;" "&amp;Milestones!$AB$113&amp;" "&amp;IF(AND(Milestones!$AB$113="FT",Milestones!$AA$113=FT_Y5,EDATE($D115,Milestones!$AA$113)&lt;PolicyEff),1,Milestones!$AC$113)&amp;";  ","")&amp;IF(AND(EDATE($D115,Milestones!$AA$114)&lt;=AsOfDate,EDATE($D115,Milestones!$AA$114)&gt;=SchemeStart,IF($X115=0,$AD115,IF(AND($Z115&lt;&gt;"",EDATE($D115,Milestones!$AA$114)&gt;=$Z115),$AC115,IF(AND($Y115&lt;&gt;"",EDATE($D115,Milestones!$AA$114)&gt;=$Y115),$AB115,$AA115)))=Milestones!$AB$114),UPPER(TEXT(EDATE($D115,Milestones!$AA$114),"dd mmm yy"))&amp;" "&amp;Milestones!$AB$114&amp;" "&amp;IF(AND(Milestones!$AB$114="FT",Milestones!$AA$114=FT_Y5,EDATE($D115,Milestones!$AA$114)&lt;PolicyEff),1,Milestones!$AC$114)&amp;";  ","")&amp;IF(AND(EDATE($D115,Milestones!$AA$115)&lt;=AsOfDate,EDATE($D115,Milestones!$AA$115)&gt;=SchemeStart,IF($X115=0,$AD115,IF(AND($Z115&lt;&gt;"",EDATE($D115,Milestones!$AA$115)&gt;=$Z115),$AC115,IF(AND($Y115&lt;&gt;"",EDATE($D115,Milestones!$AA$115)&gt;=$Y115),$AB115,$AA115)))=Milestones!$AB$115),UPPER(TEXT(EDATE($D115,Milestones!$AA$115),"dd mmm yy"))&amp;" "&amp;Milestones!$AB$115&amp;" "&amp;IF(AND(Milestones!$AB$115="FT",Milestones!$AA$115=FT_Y5,EDATE($D115,Milestones!$AA$115)&lt;PolicyEff),1,Milestones!$AC$115)&amp;";  ",""))</f>
        <v/>
      </c>
      <c r="Q115" s="0" t="str">
        <f aca="false">IF(OR($A115="",$D115=""),"",IF(AND(EDATE($D115,Milestones!$AA$116)&lt;=AsOfDate,EDATE($D115,Milestones!$AA$116)&gt;=SchemeStart,IF($X115=0,$AD115,IF(AND($Z115&lt;&gt;"",EDATE($D115,Milestones!$AA$116)&gt;=$Z115),$AC115,IF(AND($Y115&lt;&gt;"",EDATE($D115,Milestones!$AA$116)&gt;=$Y115),$AB115,$AA115)))=Milestones!$AB$116),UPPER(TEXT(EDATE($D115,Milestones!$AA$116),"dd mmm yy"))&amp;" "&amp;Milestones!$AB$116&amp;" "&amp;IF(AND(Milestones!$AB$116="FT",Milestones!$AA$116=FT_Y5,EDATE($D115,Milestones!$AA$116)&lt;PolicyEff),1,Milestones!$AC$116)&amp;";  ","")&amp;IF(AND(EDATE($D115,Milestones!$AA$117)&lt;=AsOfDate,EDATE($D115,Milestones!$AA$117)&gt;=SchemeStart,IF($X115=0,$AD115,IF(AND($Z115&lt;&gt;"",EDATE($D115,Milestones!$AA$117)&gt;=$Z115),$AC115,IF(AND($Y115&lt;&gt;"",EDATE($D115,Milestones!$AA$117)&gt;=$Y115),$AB115,$AA115)))=Milestones!$AB$117),UPPER(TEXT(EDATE($D115,Milestones!$AA$117),"dd mmm yy"))&amp;" "&amp;Milestones!$AB$117&amp;" "&amp;IF(AND(Milestones!$AB$117="FT",Milestones!$AA$117=FT_Y5,EDATE($D115,Milestones!$AA$117)&lt;PolicyEff),1,Milestones!$AC$117)&amp;";  ","")&amp;IF(AND(EDATE($D115,Milestones!$AA$118)&lt;=AsOfDate,EDATE($D115,Milestones!$AA$118)&gt;=SchemeStart,IF($X115=0,$AD115,IF(AND($Z115&lt;&gt;"",EDATE($D115,Milestones!$AA$118)&gt;=$Z115),$AC115,IF(AND($Y115&lt;&gt;"",EDATE($D115,Milestones!$AA$118)&gt;=$Y115),$AB115,$AA115)))=Milestones!$AB$118),UPPER(TEXT(EDATE($D115,Milestones!$AA$118),"dd mmm yy"))&amp;" "&amp;Milestones!$AB$118&amp;" "&amp;IF(AND(Milestones!$AB$118="FT",Milestones!$AA$118=FT_Y5,EDATE($D115,Milestones!$AA$118)&lt;PolicyEff),1,Milestones!$AC$118)&amp;";  ","")&amp;IF(AND(EDATE($D115,Milestones!$AA$119)&lt;=AsOfDate,EDATE($D115,Milestones!$AA$119)&gt;=SchemeStart,IF($X115=0,$AD115,IF(AND($Z115&lt;&gt;"",EDATE($D115,Milestones!$AA$119)&gt;=$Z115),$AC115,IF(AND($Y115&lt;&gt;"",EDATE($D115,Milestones!$AA$119)&gt;=$Y115),$AB115,$AA115)))=Milestones!$AB$119),UPPER(TEXT(EDATE($D115,Milestones!$AA$119),"dd mmm yy"))&amp;" "&amp;Milestones!$AB$119&amp;" "&amp;IF(AND(Milestones!$AB$119="FT",Milestones!$AA$119=FT_Y5,EDATE($D115,Milestones!$AA$119)&lt;PolicyEff),1,Milestones!$AC$119)&amp;";  ","")&amp;IF(AND(EDATE($D115,Milestones!$AA$120)&lt;=AsOfDate,EDATE($D115,Milestones!$AA$120)&gt;=SchemeStart,IF($X115=0,$AD115,IF(AND($Z115&lt;&gt;"",EDATE($D115,Milestones!$AA$120)&gt;=$Z115),$AC115,IF(AND($Y115&lt;&gt;"",EDATE($D115,Milestones!$AA$120)&gt;=$Y115),$AB115,$AA115)))=Milestones!$AB$120),UPPER(TEXT(EDATE($D115,Milestones!$AA$120),"dd mmm yy"))&amp;" "&amp;Milestones!$AB$120&amp;" "&amp;IF(AND(Milestones!$AB$120="FT",Milestones!$AA$120=FT_Y5,EDATE($D115,Milestones!$AA$120)&lt;PolicyEff),1,Milestones!$AC$120)&amp;";  ","")&amp;IF(AND(EDATE($D115,Milestones!$AA$121)&lt;=AsOfDate,EDATE($D115,Milestones!$AA$121)&gt;=SchemeStart,IF($X115=0,$AD115,IF(AND($Z115&lt;&gt;"",EDATE($D115,Milestones!$AA$121)&gt;=$Z115),$AC115,IF(AND($Y115&lt;&gt;"",EDATE($D115,Milestones!$AA$121)&gt;=$Y115),$AB115,$AA115)))=Milestones!$AB$121),UPPER(TEXT(EDATE($D115,Milestones!$AA$121),"dd mmm yy"))&amp;" "&amp;Milestones!$AB$121&amp;" "&amp;IF(AND(Milestones!$AB$121="FT",Milestones!$AA$121=FT_Y5,EDATE($D115,Milestones!$AA$121)&lt;PolicyEff),1,Milestones!$AC$121)&amp;";  ","")&amp;IF(AND(EDATE($D115,Milestones!$AA$122)&lt;=AsOfDate,EDATE($D115,Milestones!$AA$122)&gt;=SchemeStart,IF($X115=0,$AD115,IF(AND($Z115&lt;&gt;"",EDATE($D115,Milestones!$AA$122)&gt;=$Z115),$AC115,IF(AND($Y115&lt;&gt;"",EDATE($D115,Milestones!$AA$122)&gt;=$Y115),$AB115,$AA115)))=Milestones!$AB$122),UPPER(TEXT(EDATE($D115,Milestones!$AA$122),"dd mmm yy"))&amp;" "&amp;Milestones!$AB$122&amp;" "&amp;IF(AND(Milestones!$AB$122="FT",Milestones!$AA$122=FT_Y5,EDATE($D115,Milestones!$AA$122)&lt;PolicyEff),1,Milestones!$AC$122)&amp;";  ","")&amp;IF(AND(EDATE($D115,Milestones!$AA$123)&lt;=AsOfDate,EDATE($D115,Milestones!$AA$123)&gt;=SchemeStart,IF($X115=0,$AD115,IF(AND($Z115&lt;&gt;"",EDATE($D115,Milestones!$AA$123)&gt;=$Z115),$AC115,IF(AND($Y115&lt;&gt;"",EDATE($D115,Milestones!$AA$123)&gt;=$Y115),$AB115,$AA115)))=Milestones!$AB$123),UPPER(TEXT(EDATE($D115,Milestones!$AA$123),"dd mmm yy"))&amp;" "&amp;Milestones!$AB$123&amp;" "&amp;IF(AND(Milestones!$AB$123="FT",Milestones!$AA$123=FT_Y5,EDATE($D115,Milestones!$AA$123)&lt;PolicyEff),1,Milestones!$AC$123)&amp;";  ","")&amp;IF(AND(EDATE($D115,Milestones!$AA$124)&lt;=AsOfDate,EDATE($D115,Milestones!$AA$124)&gt;=SchemeStart,IF($X115=0,$AD115,IF(AND($Z115&lt;&gt;"",EDATE($D115,Milestones!$AA$124)&gt;=$Z115),$AC115,IF(AND($Y115&lt;&gt;"",EDATE($D115,Milestones!$AA$124)&gt;=$Y115),$AB115,$AA115)))=Milestones!$AB$124),UPPER(TEXT(EDATE($D115,Milestones!$AA$124),"dd mmm yy"))&amp;" "&amp;Milestones!$AB$124&amp;" "&amp;IF(AND(Milestones!$AB$124="FT",Milestones!$AA$124=FT_Y5,EDATE($D115,Milestones!$AA$124)&lt;PolicyEff),1,Milestones!$AC$124)&amp;";  ","")&amp;IF(AND(EDATE($D115,Milestones!$AA$125)&lt;=AsOfDate,EDATE($D115,Milestones!$AA$125)&gt;=SchemeStart,IF($X115=0,$AD115,IF(AND($Z115&lt;&gt;"",EDATE($D115,Milestones!$AA$125)&gt;=$Z115),$AC115,IF(AND($Y115&lt;&gt;"",EDATE($D115,Milestones!$AA$125)&gt;=$Y115),$AB115,$AA115)))=Milestones!$AB$125),UPPER(TEXT(EDATE($D115,Milestones!$AA$125),"dd mmm yy"))&amp;" "&amp;Milestones!$AB$125&amp;" "&amp;IF(AND(Milestones!$AB$125="FT",Milestones!$AA$125=FT_Y5,EDATE($D115,Milestones!$AA$125)&lt;PolicyEff),1,Milestones!$AC$125)&amp;";  ","")&amp;IF(AND(EDATE($D115,Milestones!$AA$126)&lt;=AsOfDate,EDATE($D115,Milestones!$AA$126)&gt;=SchemeStart,IF($X115=0,$AD115,IF(AND($Z115&lt;&gt;"",EDATE($D115,Milestones!$AA$126)&gt;=$Z115),$AC115,IF(AND($Y115&lt;&gt;"",EDATE($D115,Milestones!$AA$126)&gt;=$Y115),$AB115,$AA115)))=Milestones!$AB$126),UPPER(TEXT(EDATE($D115,Milestones!$AA$126),"dd mmm yy"))&amp;" "&amp;Milestones!$AB$126&amp;" "&amp;IF(AND(Milestones!$AB$126="FT",Milestones!$AA$126=FT_Y5,EDATE($D115,Milestones!$AA$126)&lt;PolicyEff),1,Milestones!$AC$126)&amp;";  ","")&amp;IF(AND(EDATE($D115,Milestones!$AA$127)&lt;=AsOfDate,EDATE($D115,Milestones!$AA$127)&gt;=SchemeStart,IF($X115=0,$AD115,IF(AND($Z115&lt;&gt;"",EDATE($D115,Milestones!$AA$127)&gt;=$Z115),$AC115,IF(AND($Y115&lt;&gt;"",EDATE($D115,Milestones!$AA$127)&gt;=$Y115),$AB115,$AA115)))=Milestones!$AB$127),UPPER(TEXT(EDATE($D115,Milestones!$AA$127),"dd mmm yy"))&amp;" "&amp;Milestones!$AB$127&amp;" "&amp;IF(AND(Milestones!$AB$127="FT",Milestones!$AA$127=FT_Y5,EDATE($D115,Milestones!$AA$127)&lt;PolicyEff),1,Milestones!$AC$127)&amp;";  ",""))</f>
        <v/>
      </c>
      <c r="R115" s="0" t="str">
        <f aca="false">IF(OR($A115="",$D115=""),"",IF(AND(EDATE($D115,Milestones!$AA$128)&lt;=AsOfDate,EDATE($D115,Milestones!$AA$128)&gt;=SchemeStart,IF($X115=0,$AD115,IF(AND($Z115&lt;&gt;"",EDATE($D115,Milestones!$AA$128)&gt;=$Z115),$AC115,IF(AND($Y115&lt;&gt;"",EDATE($D115,Milestones!$AA$128)&gt;=$Y115),$AB115,$AA115)))=Milestones!$AB$128),UPPER(TEXT(EDATE($D115,Milestones!$AA$128),"dd mmm yy"))&amp;" "&amp;Milestones!$AB$128&amp;" "&amp;IF(AND(Milestones!$AB$128="FT",Milestones!$AA$128=FT_Y5,EDATE($D115,Milestones!$AA$128)&lt;PolicyEff),1,Milestones!$AC$128)&amp;";  ","")&amp;IF(AND(EDATE($D115,Milestones!$AA$129)&lt;=AsOfDate,EDATE($D115,Milestones!$AA$129)&gt;=SchemeStart,IF($X115=0,$AD115,IF(AND($Z115&lt;&gt;"",EDATE($D115,Milestones!$AA$129)&gt;=$Z115),$AC115,IF(AND($Y115&lt;&gt;"",EDATE($D115,Milestones!$AA$129)&gt;=$Y115),$AB115,$AA115)))=Milestones!$AB$129),UPPER(TEXT(EDATE($D115,Milestones!$AA$129),"dd mmm yy"))&amp;" "&amp;Milestones!$AB$129&amp;" "&amp;IF(AND(Milestones!$AB$129="FT",Milestones!$AA$129=FT_Y5,EDATE($D115,Milestones!$AA$129)&lt;PolicyEff),1,Milestones!$AC$129)&amp;";  ","")&amp;IF(AND(EDATE($D115,Milestones!$AA$130)&lt;=AsOfDate,EDATE($D115,Milestones!$AA$130)&gt;=SchemeStart,IF($X115=0,$AD115,IF(AND($Z115&lt;&gt;"",EDATE($D115,Milestones!$AA$130)&gt;=$Z115),$AC115,IF(AND($Y115&lt;&gt;"",EDATE($D115,Milestones!$AA$130)&gt;=$Y115),$AB115,$AA115)))=Milestones!$AB$130),UPPER(TEXT(EDATE($D115,Milestones!$AA$130),"dd mmm yy"))&amp;" "&amp;Milestones!$AB$130&amp;" "&amp;IF(AND(Milestones!$AB$130="FT",Milestones!$AA$130=FT_Y5,EDATE($D115,Milestones!$AA$130)&lt;PolicyEff),1,Milestones!$AC$130)&amp;";  ","")&amp;IF(AND(EDATE($D115,Milestones!$AA$131)&lt;=AsOfDate,EDATE($D115,Milestones!$AA$131)&gt;=SchemeStart,IF($X115=0,$AD115,IF(AND($Z115&lt;&gt;"",EDATE($D115,Milestones!$AA$131)&gt;=$Z115),$AC115,IF(AND($Y115&lt;&gt;"",EDATE($D115,Milestones!$AA$131)&gt;=$Y115),$AB115,$AA115)))=Milestones!$AB$131),UPPER(TEXT(EDATE($D115,Milestones!$AA$131),"dd mmm yy"))&amp;" "&amp;Milestones!$AB$131&amp;" "&amp;IF(AND(Milestones!$AB$131="FT",Milestones!$AA$131=FT_Y5,EDATE($D115,Milestones!$AA$131)&lt;PolicyEff),1,Milestones!$AC$131)&amp;";  ","")&amp;IF(AND(EDATE($D115,Milestones!$AA$132)&lt;=AsOfDate,EDATE($D115,Milestones!$AA$132)&gt;=SchemeStart,IF($X115=0,$AD115,IF(AND($Z115&lt;&gt;"",EDATE($D115,Milestones!$AA$132)&gt;=$Z115),$AC115,IF(AND($Y115&lt;&gt;"",EDATE($D115,Milestones!$AA$132)&gt;=$Y115),$AB115,$AA115)))=Milestones!$AB$132),UPPER(TEXT(EDATE($D115,Milestones!$AA$132),"dd mmm yy"))&amp;" "&amp;Milestones!$AB$132&amp;" "&amp;IF(AND(Milestones!$AB$132="FT",Milestones!$AA$132=FT_Y5,EDATE($D115,Milestones!$AA$132)&lt;PolicyEff),1,Milestones!$AC$132)&amp;";  ","")&amp;IF(AND(EDATE($D115,Milestones!$AA$133)&lt;=AsOfDate,EDATE($D115,Milestones!$AA$133)&gt;=SchemeStart,IF($X115=0,$AD115,IF(AND($Z115&lt;&gt;"",EDATE($D115,Milestones!$AA$133)&gt;=$Z115),$AC115,IF(AND($Y115&lt;&gt;"",EDATE($D115,Milestones!$AA$133)&gt;=$Y115),$AB115,$AA115)))=Milestones!$AB$133),UPPER(TEXT(EDATE($D115,Milestones!$AA$133),"dd mmm yy"))&amp;" "&amp;Milestones!$AB$133&amp;" "&amp;IF(AND(Milestones!$AB$133="FT",Milestones!$AA$133=FT_Y5,EDATE($D115,Milestones!$AA$133)&lt;PolicyEff),1,Milestones!$AC$133)&amp;";  ","")&amp;IF(AND(EDATE($D115,Milestones!$AA$134)&lt;=AsOfDate,EDATE($D115,Milestones!$AA$134)&gt;=SchemeStart,IF($X115=0,$AD115,IF(AND($Z115&lt;&gt;"",EDATE($D115,Milestones!$AA$134)&gt;=$Z115),$AC115,IF(AND($Y115&lt;&gt;"",EDATE($D115,Milestones!$AA$134)&gt;=$Y115),$AB115,$AA115)))=Milestones!$AB$134),UPPER(TEXT(EDATE($D115,Milestones!$AA$134),"dd mmm yy"))&amp;" "&amp;Milestones!$AB$134&amp;" "&amp;IF(AND(Milestones!$AB$134="FT",Milestones!$AA$134=FT_Y5,EDATE($D115,Milestones!$AA$134)&lt;PolicyEff),1,Milestones!$AC$134)&amp;";  ","")&amp;IF(AND(EDATE($D115,Milestones!$AA$135)&lt;=AsOfDate,EDATE($D115,Milestones!$AA$135)&gt;=SchemeStart,IF($X115=0,$AD115,IF(AND($Z115&lt;&gt;"",EDATE($D115,Milestones!$AA$135)&gt;=$Z115),$AC115,IF(AND($Y115&lt;&gt;"",EDATE($D115,Milestones!$AA$135)&gt;=$Y115),$AB115,$AA115)))=Milestones!$AB$135),UPPER(TEXT(EDATE($D115,Milestones!$AA$135),"dd mmm yy"))&amp;" "&amp;Milestones!$AB$135&amp;" "&amp;IF(AND(Milestones!$AB$135="FT",Milestones!$AA$135=FT_Y5,EDATE($D115,Milestones!$AA$135)&lt;PolicyEff),1,Milestones!$AC$135)&amp;";  ","")&amp;IF(AND(EDATE($D115,Milestones!$AA$136)&lt;=AsOfDate,EDATE($D115,Milestones!$AA$136)&gt;=SchemeStart,IF($X115=0,$AD115,IF(AND($Z115&lt;&gt;"",EDATE($D115,Milestones!$AA$136)&gt;=$Z115),$AC115,IF(AND($Y115&lt;&gt;"",EDATE($D115,Milestones!$AA$136)&gt;=$Y115),$AB115,$AA115)))=Milestones!$AB$136),UPPER(TEXT(EDATE($D115,Milestones!$AA$136),"dd mmm yy"))&amp;" "&amp;Milestones!$AB$136&amp;" "&amp;IF(AND(Milestones!$AB$136="FT",Milestones!$AA$136=FT_Y5,EDATE($D115,Milestones!$AA$136)&lt;PolicyEff),1,Milestones!$AC$136)&amp;";  ","")&amp;IF(AND(EDATE($D115,Milestones!$AA$137)&lt;=AsOfDate,EDATE($D115,Milestones!$AA$137)&gt;=SchemeStart,IF($X115=0,$AD115,IF(AND($Z115&lt;&gt;"",EDATE($D115,Milestones!$AA$137)&gt;=$Z115),$AC115,IF(AND($Y115&lt;&gt;"",EDATE($D115,Milestones!$AA$137)&gt;=$Y115),$AB115,$AA115)))=Milestones!$AB$137),UPPER(TEXT(EDATE($D115,Milestones!$AA$137),"dd mmm yy"))&amp;" "&amp;Milestones!$AB$137&amp;" "&amp;IF(AND(Milestones!$AB$137="FT",Milestones!$AA$137=FT_Y5,EDATE($D115,Milestones!$AA$137)&lt;PolicyEff),1,Milestones!$AC$137)&amp;";  ","")&amp;IF(AND(EDATE($D115,Milestones!$AA$138)&lt;=AsOfDate,EDATE($D115,Milestones!$AA$138)&gt;=SchemeStart,IF($X115=0,$AD115,IF(AND($Z115&lt;&gt;"",EDATE($D115,Milestones!$AA$138)&gt;=$Z115),$AC115,IF(AND($Y115&lt;&gt;"",EDATE($D115,Milestones!$AA$138)&gt;=$Y115),$AB115,$AA115)))=Milestones!$AB$138),UPPER(TEXT(EDATE($D115,Milestones!$AA$138),"dd mmm yy"))&amp;" "&amp;Milestones!$AB$138&amp;" "&amp;IF(AND(Milestones!$AB$138="FT",Milestones!$AA$138=FT_Y5,EDATE($D115,Milestones!$AA$138)&lt;PolicyEff),1,Milestones!$AC$138)&amp;";  ","")&amp;IF(AND(EDATE($D115,Milestones!$AA$139)&lt;=AsOfDate,EDATE($D115,Milestones!$AA$139)&gt;=SchemeStart,IF($X115=0,$AD115,IF(AND($Z115&lt;&gt;"",EDATE($D115,Milestones!$AA$139)&gt;=$Z115),$AC115,IF(AND($Y115&lt;&gt;"",EDATE($D115,Milestones!$AA$139)&gt;=$Y115),$AB115,$AA115)))=Milestones!$AB$139),UPPER(TEXT(EDATE($D115,Milestones!$AA$139),"dd mmm yy"))&amp;" "&amp;Milestones!$AB$139&amp;" "&amp;IF(AND(Milestones!$AB$139="FT",Milestones!$AA$139=FT_Y5,EDATE($D115,Milestones!$AA$139)&lt;PolicyEff),1,Milestones!$AC$139)&amp;";  ",""))</f>
        <v/>
      </c>
      <c r="S115" s="0" t="str">
        <f aca="false">IF(OR($A115="",$D115=""),"",IF(AND(EDATE($D115,Milestones!$AA$140)&lt;=AsOfDate,EDATE($D115,Milestones!$AA$140)&gt;=SchemeStart,IF($X115=0,$AD115,IF(AND($Z115&lt;&gt;"",EDATE($D115,Milestones!$AA$140)&gt;=$Z115),$AC115,IF(AND($Y115&lt;&gt;"",EDATE($D115,Milestones!$AA$140)&gt;=$Y115),$AB115,$AA115)))=Milestones!$AB$140),UPPER(TEXT(EDATE($D115,Milestones!$AA$140),"dd mmm yy"))&amp;" "&amp;Milestones!$AB$140&amp;" "&amp;IF(AND(Milestones!$AB$140="FT",Milestones!$AA$140=FT_Y5,EDATE($D115,Milestones!$AA$140)&lt;PolicyEff),1,Milestones!$AC$140)&amp;";  ","")&amp;IF(AND(EDATE($D115,Milestones!$AA$141)&lt;=AsOfDate,EDATE($D115,Milestones!$AA$141)&gt;=SchemeStart,IF($X115=0,$AD115,IF(AND($Z115&lt;&gt;"",EDATE($D115,Milestones!$AA$141)&gt;=$Z115),$AC115,IF(AND($Y115&lt;&gt;"",EDATE($D115,Milestones!$AA$141)&gt;=$Y115),$AB115,$AA115)))=Milestones!$AB$141),UPPER(TEXT(EDATE($D115,Milestones!$AA$141),"dd mmm yy"))&amp;" "&amp;Milestones!$AB$141&amp;" "&amp;IF(AND(Milestones!$AB$141="FT",Milestones!$AA$141=FT_Y5,EDATE($D115,Milestones!$AA$141)&lt;PolicyEff),1,Milestones!$AC$141)&amp;";  ","")&amp;IF(AND(EDATE($D115,Milestones!$AA$142)&lt;=AsOfDate,EDATE($D115,Milestones!$AA$142)&gt;=SchemeStart,IF($X115=0,$AD115,IF(AND($Z115&lt;&gt;"",EDATE($D115,Milestones!$AA$142)&gt;=$Z115),$AC115,IF(AND($Y115&lt;&gt;"",EDATE($D115,Milestones!$AA$142)&gt;=$Y115),$AB115,$AA115)))=Milestones!$AB$142),UPPER(TEXT(EDATE($D115,Milestones!$AA$142),"dd mmm yy"))&amp;" "&amp;Milestones!$AB$142&amp;" "&amp;IF(AND(Milestones!$AB$142="FT",Milestones!$AA$142=FT_Y5,EDATE($D115,Milestones!$AA$142)&lt;PolicyEff),1,Milestones!$AC$142)&amp;";  ","")&amp;IF(AND(EDATE($D115,Milestones!$AA$143)&lt;=AsOfDate,EDATE($D115,Milestones!$AA$143)&gt;=SchemeStart,IF($X115=0,$AD115,IF(AND($Z115&lt;&gt;"",EDATE($D115,Milestones!$AA$143)&gt;=$Z115),$AC115,IF(AND($Y115&lt;&gt;"",EDATE($D115,Milestones!$AA$143)&gt;=$Y115),$AB115,$AA115)))=Milestones!$AB$143),UPPER(TEXT(EDATE($D115,Milestones!$AA$143),"dd mmm yy"))&amp;" "&amp;Milestones!$AB$143&amp;" "&amp;IF(AND(Milestones!$AB$143="FT",Milestones!$AA$143=FT_Y5,EDATE($D115,Milestones!$AA$143)&lt;PolicyEff),1,Milestones!$AC$143)&amp;";  ","")&amp;IF(AND(EDATE($D115,Milestones!$AA$144)&lt;=AsOfDate,EDATE($D115,Milestones!$AA$144)&gt;=SchemeStart,IF($X115=0,$AD115,IF(AND($Z115&lt;&gt;"",EDATE($D115,Milestones!$AA$144)&gt;=$Z115),$AC115,IF(AND($Y115&lt;&gt;"",EDATE($D115,Milestones!$AA$144)&gt;=$Y115),$AB115,$AA115)))=Milestones!$AB$144),UPPER(TEXT(EDATE($D115,Milestones!$AA$144),"dd mmm yy"))&amp;" "&amp;Milestones!$AB$144&amp;" "&amp;IF(AND(Milestones!$AB$144="FT",Milestones!$AA$144=FT_Y5,EDATE($D115,Milestones!$AA$144)&lt;PolicyEff),1,Milestones!$AC$144)&amp;";  ","")&amp;IF(AND(EDATE($D115,Milestones!$AA$145)&lt;=AsOfDate,EDATE($D115,Milestones!$AA$145)&gt;=SchemeStart,IF($X115=0,$AD115,IF(AND($Z115&lt;&gt;"",EDATE($D115,Milestones!$AA$145)&gt;=$Z115),$AC115,IF(AND($Y115&lt;&gt;"",EDATE($D115,Milestones!$AA$145)&gt;=$Y115),$AB115,$AA115)))=Milestones!$AB$145),UPPER(TEXT(EDATE($D115,Milestones!$AA$145),"dd mmm yy"))&amp;" "&amp;Milestones!$AB$145&amp;" "&amp;IF(AND(Milestones!$AB$145="FT",Milestones!$AA$145=FT_Y5,EDATE($D115,Milestones!$AA$145)&lt;PolicyEff),1,Milestones!$AC$145)&amp;";  ","")&amp;IF(AND(EDATE($D115,Milestones!$AA$146)&lt;=AsOfDate,EDATE($D115,Milestones!$AA$146)&gt;=SchemeStart,IF($X115=0,$AD115,IF(AND($Z115&lt;&gt;"",EDATE($D115,Milestones!$AA$146)&gt;=$Z115),$AC115,IF(AND($Y115&lt;&gt;"",EDATE($D115,Milestones!$AA$146)&gt;=$Y115),$AB115,$AA115)))=Milestones!$AB$146),UPPER(TEXT(EDATE($D115,Milestones!$AA$146),"dd mmm yy"))&amp;" "&amp;Milestones!$AB$146&amp;" "&amp;IF(AND(Milestones!$AB$146="FT",Milestones!$AA$146=FT_Y5,EDATE($D115,Milestones!$AA$146)&lt;PolicyEff),1,Milestones!$AC$146)&amp;";  ","")&amp;IF(AND(EDATE($D115,Milestones!$AA$147)&lt;=AsOfDate,EDATE($D115,Milestones!$AA$147)&gt;=SchemeStart,IF($X115=0,$AD115,IF(AND($Z115&lt;&gt;"",EDATE($D115,Milestones!$AA$147)&gt;=$Z115),$AC115,IF(AND($Y115&lt;&gt;"",EDATE($D115,Milestones!$AA$147)&gt;=$Y115),$AB115,$AA115)))=Milestones!$AB$147),UPPER(TEXT(EDATE($D115,Milestones!$AA$147),"dd mmm yy"))&amp;" "&amp;Milestones!$AB$147&amp;" "&amp;IF(AND(Milestones!$AB$147="FT",Milestones!$AA$147=FT_Y5,EDATE($D115,Milestones!$AA$147)&lt;PolicyEff),1,Milestones!$AC$147)&amp;";  ","")&amp;IF(AND(EDATE($D115,Milestones!$AA$148)&lt;=AsOfDate,EDATE($D115,Milestones!$AA$148)&gt;=SchemeStart,IF($X115=0,$AD115,IF(AND($Z115&lt;&gt;"",EDATE($D115,Milestones!$AA$148)&gt;=$Z115),$AC115,IF(AND($Y115&lt;&gt;"",EDATE($D115,Milestones!$AA$148)&gt;=$Y115),$AB115,$AA115)))=Milestones!$AB$148),UPPER(TEXT(EDATE($D115,Milestones!$AA$148),"dd mmm yy"))&amp;" "&amp;Milestones!$AB$148&amp;" "&amp;IF(AND(Milestones!$AB$148="FT",Milestones!$AA$148=FT_Y5,EDATE($D115,Milestones!$AA$148)&lt;PolicyEff),1,Milestones!$AC$148)&amp;";  ","")&amp;IF(AND(EDATE($D115,Milestones!$AA$149)&lt;=AsOfDate,EDATE($D115,Milestones!$AA$149)&gt;=SchemeStart,IF($X115=0,$AD115,IF(AND($Z115&lt;&gt;"",EDATE($D115,Milestones!$AA$149)&gt;=$Z115),$AC115,IF(AND($Y115&lt;&gt;"",EDATE($D115,Milestones!$AA$149)&gt;=$Y115),$AB115,$AA115)))=Milestones!$AB$149),UPPER(TEXT(EDATE($D115,Milestones!$AA$149),"dd mmm yy"))&amp;" "&amp;Milestones!$AB$149&amp;" "&amp;IF(AND(Milestones!$AB$149="FT",Milestones!$AA$149=FT_Y5,EDATE($D115,Milestones!$AA$149)&lt;PolicyEff),1,Milestones!$AC$149)&amp;";  ","")&amp;IF(AND(EDATE($D115,Milestones!$AA$150)&lt;=AsOfDate,EDATE($D115,Milestones!$AA$150)&gt;=SchemeStart,IF($X115=0,$AD115,IF(AND($Z115&lt;&gt;"",EDATE($D115,Milestones!$AA$150)&gt;=$Z115),$AC115,IF(AND($Y115&lt;&gt;"",EDATE($D115,Milestones!$AA$150)&gt;=$Y115),$AB115,$AA115)))=Milestones!$AB$150),UPPER(TEXT(EDATE($D115,Milestones!$AA$150),"dd mmm yy"))&amp;" "&amp;Milestones!$AB$150&amp;" "&amp;IF(AND(Milestones!$AB$150="FT",Milestones!$AA$150=FT_Y5,EDATE($D115,Milestones!$AA$150)&lt;PolicyEff),1,Milestones!$AC$150)&amp;";  ","")&amp;IF(AND(EDATE($D115,Milestones!$AA$151)&lt;=AsOfDate,EDATE($D115,Milestones!$AA$151)&gt;=SchemeStart,IF($X115=0,$AD115,IF(AND($Z115&lt;&gt;"",EDATE($D115,Milestones!$AA$151)&gt;=$Z115),$AC115,IF(AND($Y115&lt;&gt;"",EDATE($D115,Milestones!$AA$151)&gt;=$Y115),$AB115,$AA115)))=Milestones!$AB$151),UPPER(TEXT(EDATE($D115,Milestones!$AA$151),"dd mmm yy"))&amp;" "&amp;Milestones!$AB$151&amp;" "&amp;IF(AND(Milestones!$AB$151="FT",Milestones!$AA$151=FT_Y5,EDATE($D115,Milestones!$AA$151)&lt;PolicyEff),1,Milestones!$AC$151)&amp;";  ",""))</f>
        <v/>
      </c>
      <c r="T115" s="0" t="str">
        <f aca="false">IF(OR($A115="",$D115=""),"",IF(AND(EDATE($D115,Milestones!$AA$152)&lt;=AsOfDate,EDATE($D115,Milestones!$AA$152)&gt;=SchemeStart,IF($X115=0,$AD115,IF(AND($Z115&lt;&gt;"",EDATE($D115,Milestones!$AA$152)&gt;=$Z115),$AC115,IF(AND($Y115&lt;&gt;"",EDATE($D115,Milestones!$AA$152)&gt;=$Y115),$AB115,$AA115)))=Milestones!$AB$152),UPPER(TEXT(EDATE($D115,Milestones!$AA$152),"dd mmm yy"))&amp;" "&amp;Milestones!$AB$152&amp;" "&amp;IF(AND(Milestones!$AB$152="FT",Milestones!$AA$152=FT_Y5,EDATE($D115,Milestones!$AA$152)&lt;PolicyEff),1,Milestones!$AC$152)&amp;";  ","")&amp;IF(AND(EDATE($D115,Milestones!$AA$153)&lt;=AsOfDate,EDATE($D115,Milestones!$AA$153)&gt;=SchemeStart,IF($X115=0,$AD115,IF(AND($Z115&lt;&gt;"",EDATE($D115,Milestones!$AA$153)&gt;=$Z115),$AC115,IF(AND($Y115&lt;&gt;"",EDATE($D115,Milestones!$AA$153)&gt;=$Y115),$AB115,$AA115)))=Milestones!$AB$153),UPPER(TEXT(EDATE($D115,Milestones!$AA$153),"dd mmm yy"))&amp;" "&amp;Milestones!$AB$153&amp;" "&amp;IF(AND(Milestones!$AB$153="FT",Milestones!$AA$153=FT_Y5,EDATE($D115,Milestones!$AA$153)&lt;PolicyEff),1,Milestones!$AC$153)&amp;";  ","")&amp;IF(AND(EDATE($D115,Milestones!$AA$154)&lt;=AsOfDate,EDATE($D115,Milestones!$AA$154)&gt;=SchemeStart,IF($X115=0,$AD115,IF(AND($Z115&lt;&gt;"",EDATE($D115,Milestones!$AA$154)&gt;=$Z115),$AC115,IF(AND($Y115&lt;&gt;"",EDATE($D115,Milestones!$AA$154)&gt;=$Y115),$AB115,$AA115)))=Milestones!$AB$154),UPPER(TEXT(EDATE($D115,Milestones!$AA$154),"dd mmm yy"))&amp;" "&amp;Milestones!$AB$154&amp;" "&amp;IF(AND(Milestones!$AB$154="FT",Milestones!$AA$154=FT_Y5,EDATE($D115,Milestones!$AA$154)&lt;PolicyEff),1,Milestones!$AC$154)&amp;";  ","")&amp;IF(AND(EDATE($D115,Milestones!$AA$155)&lt;=AsOfDate,EDATE($D115,Milestones!$AA$155)&gt;=SchemeStart,IF($X115=0,$AD115,IF(AND($Z115&lt;&gt;"",EDATE($D115,Milestones!$AA$155)&gt;=$Z115),$AC115,IF(AND($Y115&lt;&gt;"",EDATE($D115,Milestones!$AA$155)&gt;=$Y115),$AB115,$AA115)))=Milestones!$AB$155),UPPER(TEXT(EDATE($D115,Milestones!$AA$155),"dd mmm yy"))&amp;" "&amp;Milestones!$AB$155&amp;" "&amp;IF(AND(Milestones!$AB$155="FT",Milestones!$AA$155=FT_Y5,EDATE($D115,Milestones!$AA$155)&lt;PolicyEff),1,Milestones!$AC$155)&amp;";  ","")&amp;IF(AND(EDATE($D115,Milestones!$AA$156)&lt;=AsOfDate,EDATE($D115,Milestones!$AA$156)&gt;=SchemeStart,IF($X115=0,$AD115,IF(AND($Z115&lt;&gt;"",EDATE($D115,Milestones!$AA$156)&gt;=$Z115),$AC115,IF(AND($Y115&lt;&gt;"",EDATE($D115,Milestones!$AA$156)&gt;=$Y115),$AB115,$AA115)))=Milestones!$AB$156),UPPER(TEXT(EDATE($D115,Milestones!$AA$156),"dd mmm yy"))&amp;" "&amp;Milestones!$AB$156&amp;" "&amp;IF(AND(Milestones!$AB$156="FT",Milestones!$AA$156=FT_Y5,EDATE($D115,Milestones!$AA$156)&lt;PolicyEff),1,Milestones!$AC$156)&amp;";  ","")&amp;IF(AND(EDATE($D115,Milestones!$AA$157)&lt;=AsOfDate,EDATE($D115,Milestones!$AA$157)&gt;=SchemeStart,IF($X115=0,$AD115,IF(AND($Z115&lt;&gt;"",EDATE($D115,Milestones!$AA$157)&gt;=$Z115),$AC115,IF(AND($Y115&lt;&gt;"",EDATE($D115,Milestones!$AA$157)&gt;=$Y115),$AB115,$AA115)))=Milestones!$AB$157),UPPER(TEXT(EDATE($D115,Milestones!$AA$157),"dd mmm yy"))&amp;" "&amp;Milestones!$AB$157&amp;" "&amp;IF(AND(Milestones!$AB$157="FT",Milestones!$AA$157=FT_Y5,EDATE($D115,Milestones!$AA$157)&lt;PolicyEff),1,Milestones!$AC$157)&amp;";  ","")&amp;IF(AND(EDATE($D115,Milestones!$AA$158)&lt;=AsOfDate,EDATE($D115,Milestones!$AA$158)&gt;=SchemeStart,IF($X115=0,$AD115,IF(AND($Z115&lt;&gt;"",EDATE($D115,Milestones!$AA$158)&gt;=$Z115),$AC115,IF(AND($Y115&lt;&gt;"",EDATE($D115,Milestones!$AA$158)&gt;=$Y115),$AB115,$AA115)))=Milestones!$AB$158),UPPER(TEXT(EDATE($D115,Milestones!$AA$158),"dd mmm yy"))&amp;" "&amp;Milestones!$AB$158&amp;" "&amp;IF(AND(Milestones!$AB$158="FT",Milestones!$AA$158=FT_Y5,EDATE($D115,Milestones!$AA$158)&lt;PolicyEff),1,Milestones!$AC$158)&amp;";  ","")&amp;IF(AND(EDATE($D115,Milestones!$AA$159)&lt;=AsOfDate,EDATE($D115,Milestones!$AA$159)&gt;=SchemeStart,IF($X115=0,$AD115,IF(AND($Z115&lt;&gt;"",EDATE($D115,Milestones!$AA$159)&gt;=$Z115),$AC115,IF(AND($Y115&lt;&gt;"",EDATE($D115,Milestones!$AA$159)&gt;=$Y115),$AB115,$AA115)))=Milestones!$AB$159),UPPER(TEXT(EDATE($D115,Milestones!$AA$159),"dd mmm yy"))&amp;" "&amp;Milestones!$AB$159&amp;" "&amp;IF(AND(Milestones!$AB$159="FT",Milestones!$AA$159=FT_Y5,EDATE($D115,Milestones!$AA$159)&lt;PolicyEff),1,Milestones!$AC$159)&amp;";  ","")&amp;IF(AND(EDATE($D115,Milestones!$AA$160)&lt;=AsOfDate,EDATE($D115,Milestones!$AA$160)&gt;=SchemeStart,IF($X115=0,$AD115,IF(AND($Z115&lt;&gt;"",EDATE($D115,Milestones!$AA$160)&gt;=$Z115),$AC115,IF(AND($Y115&lt;&gt;"",EDATE($D115,Milestones!$AA$160)&gt;=$Y115),$AB115,$AA115)))=Milestones!$AB$160),UPPER(TEXT(EDATE($D115,Milestones!$AA$160),"dd mmm yy"))&amp;" "&amp;Milestones!$AB$160&amp;" "&amp;IF(AND(Milestones!$AB$160="FT",Milestones!$AA$160=FT_Y5,EDATE($D115,Milestones!$AA$160)&lt;PolicyEff),1,Milestones!$AC$160)&amp;";  ","")&amp;IF(AND(EDATE($D115,Milestones!$AA$161)&lt;=AsOfDate,EDATE($D115,Milestones!$AA$161)&gt;=SchemeStart,IF($X115=0,$AD115,IF(AND($Z115&lt;&gt;"",EDATE($D115,Milestones!$AA$161)&gt;=$Z115),$AC115,IF(AND($Y115&lt;&gt;"",EDATE($D115,Milestones!$AA$161)&gt;=$Y115),$AB115,$AA115)))=Milestones!$AB$161),UPPER(TEXT(EDATE($D115,Milestones!$AA$161),"dd mmm yy"))&amp;" "&amp;Milestones!$AB$161&amp;" "&amp;IF(AND(Milestones!$AB$161="FT",Milestones!$AA$161=FT_Y5,EDATE($D115,Milestones!$AA$161)&lt;PolicyEff),1,Milestones!$AC$161)&amp;";  ","")&amp;IF(AND(EDATE($D115,Milestones!$AA$162)&lt;=AsOfDate,EDATE($D115,Milestones!$AA$162)&gt;=SchemeStart,IF($X115=0,$AD115,IF(AND($Z115&lt;&gt;"",EDATE($D115,Milestones!$AA$162)&gt;=$Z115),$AC115,IF(AND($Y115&lt;&gt;"",EDATE($D115,Milestones!$AA$162)&gt;=$Y115),$AB115,$AA115)))=Milestones!$AB$162),UPPER(TEXT(EDATE($D115,Milestones!$AA$162),"dd mmm yy"))&amp;" "&amp;Milestones!$AB$162&amp;" "&amp;IF(AND(Milestones!$AB$162="FT",Milestones!$AA$162=FT_Y5,EDATE($D115,Milestones!$AA$162)&lt;PolicyEff),1,Milestones!$AC$162)&amp;";  ","")&amp;IF(AND(EDATE($D115,Milestones!$AA$163)&lt;=AsOfDate,EDATE($D115,Milestones!$AA$163)&gt;=SchemeStart,IF($X115=0,$AD115,IF(AND($Z115&lt;&gt;"",EDATE($D115,Milestones!$AA$163)&gt;=$Z115),$AC115,IF(AND($Y115&lt;&gt;"",EDATE($D115,Milestones!$AA$163)&gt;=$Y115),$AB115,$AA115)))=Milestones!$AB$163),UPPER(TEXT(EDATE($D115,Milestones!$AA$163),"dd mmm yy"))&amp;" "&amp;Milestones!$AB$163&amp;" "&amp;IF(AND(Milestones!$AB$163="FT",Milestones!$AA$163=FT_Y5,EDATE($D115,Milestones!$AA$163)&lt;PolicyEff),1,Milestones!$AC$163)&amp;";  ",""))</f>
        <v/>
      </c>
      <c r="U115" s="0" t="str">
        <f aca="false">IF(OR($A115="",$D115=""),"",IF(AND(EDATE($D115,Milestones!$AA$164)&lt;=AsOfDate,EDATE($D115,Milestones!$AA$164)&gt;=SchemeStart,IF($X115=0,$AD115,IF(AND($Z115&lt;&gt;"",EDATE($D115,Milestones!$AA$164)&gt;=$Z115),$AC115,IF(AND($Y115&lt;&gt;"",EDATE($D115,Milestones!$AA$164)&gt;=$Y115),$AB115,$AA115)))=Milestones!$AB$164),UPPER(TEXT(EDATE($D115,Milestones!$AA$164),"dd mmm yy"))&amp;" "&amp;Milestones!$AB$164&amp;" "&amp;IF(AND(Milestones!$AB$164="FT",Milestones!$AA$164=FT_Y5,EDATE($D115,Milestones!$AA$164)&lt;PolicyEff),1,Milestones!$AC$164)&amp;";  ","")&amp;IF(AND(EDATE($D115,Milestones!$AA$165)&lt;=AsOfDate,EDATE($D115,Milestones!$AA$165)&gt;=SchemeStart,IF($X115=0,$AD115,IF(AND($Z115&lt;&gt;"",EDATE($D115,Milestones!$AA$165)&gt;=$Z115),$AC115,IF(AND($Y115&lt;&gt;"",EDATE($D115,Milestones!$AA$165)&gt;=$Y115),$AB115,$AA115)))=Milestones!$AB$165),UPPER(TEXT(EDATE($D115,Milestones!$AA$165),"dd mmm yy"))&amp;" "&amp;Milestones!$AB$165&amp;" "&amp;IF(AND(Milestones!$AB$165="FT",Milestones!$AA$165=FT_Y5,EDATE($D115,Milestones!$AA$165)&lt;PolicyEff),1,Milestones!$AC$165)&amp;";  ","")&amp;IF(AND(EDATE($D115,Milestones!$AA$166)&lt;=AsOfDate,EDATE($D115,Milestones!$AA$166)&gt;=SchemeStart,IF($X115=0,$AD115,IF(AND($Z115&lt;&gt;"",EDATE($D115,Milestones!$AA$166)&gt;=$Z115),$AC115,IF(AND($Y115&lt;&gt;"",EDATE($D115,Milestones!$AA$166)&gt;=$Y115),$AB115,$AA115)))=Milestones!$AB$166),UPPER(TEXT(EDATE($D115,Milestones!$AA$166),"dd mmm yy"))&amp;" "&amp;Milestones!$AB$166&amp;" "&amp;IF(AND(Milestones!$AB$166="FT",Milestones!$AA$166=FT_Y5,EDATE($D115,Milestones!$AA$166)&lt;PolicyEff),1,Milestones!$AC$166)&amp;";  ","")&amp;IF(AND(EDATE($D115,Milestones!$AA$167)&lt;=AsOfDate,EDATE($D115,Milestones!$AA$167)&gt;=SchemeStart,IF($X115=0,$AD115,IF(AND($Z115&lt;&gt;"",EDATE($D115,Milestones!$AA$167)&gt;=$Z115),$AC115,IF(AND($Y115&lt;&gt;"",EDATE($D115,Milestones!$AA$167)&gt;=$Y115),$AB115,$AA115)))=Milestones!$AB$167),UPPER(TEXT(EDATE($D115,Milestones!$AA$167),"dd mmm yy"))&amp;" "&amp;Milestones!$AB$167&amp;" "&amp;IF(AND(Milestones!$AB$167="FT",Milestones!$AA$167=FT_Y5,EDATE($D115,Milestones!$AA$167)&lt;PolicyEff),1,Milestones!$AC$167)&amp;";  ","")&amp;IF(AND(EDATE($D115,Milestones!$AA$168)&lt;=AsOfDate,EDATE($D115,Milestones!$AA$168)&gt;=SchemeStart,IF($X115=0,$AD115,IF(AND($Z115&lt;&gt;"",EDATE($D115,Milestones!$AA$168)&gt;=$Z115),$AC115,IF(AND($Y115&lt;&gt;"",EDATE($D115,Milestones!$AA$168)&gt;=$Y115),$AB115,$AA115)))=Milestones!$AB$168),UPPER(TEXT(EDATE($D115,Milestones!$AA$168),"dd mmm yy"))&amp;" "&amp;Milestones!$AB$168&amp;" "&amp;IF(AND(Milestones!$AB$168="FT",Milestones!$AA$168=FT_Y5,EDATE($D115,Milestones!$AA$168)&lt;PolicyEff),1,Milestones!$AC$168)&amp;";  ","")&amp;IF(AND(EDATE($D115,Milestones!$AA$169)&lt;=AsOfDate,EDATE($D115,Milestones!$AA$169)&gt;=SchemeStart,IF($X115=0,$AD115,IF(AND($Z115&lt;&gt;"",EDATE($D115,Milestones!$AA$169)&gt;=$Z115),$AC115,IF(AND($Y115&lt;&gt;"",EDATE($D115,Milestones!$AA$169)&gt;=$Y115),$AB115,$AA115)))=Milestones!$AB$169),UPPER(TEXT(EDATE($D115,Milestones!$AA$169),"dd mmm yy"))&amp;" "&amp;Milestones!$AB$169&amp;" "&amp;IF(AND(Milestones!$AB$169="FT",Milestones!$AA$169=FT_Y5,EDATE($D115,Milestones!$AA$169)&lt;PolicyEff),1,Milestones!$AC$169)&amp;";  ","")&amp;IF(AND(EDATE($D115,Milestones!$AA$170)&lt;=AsOfDate,EDATE($D115,Milestones!$AA$170)&gt;=SchemeStart,IF($X115=0,$AD115,IF(AND($Z115&lt;&gt;"",EDATE($D115,Milestones!$AA$170)&gt;=$Z115),$AC115,IF(AND($Y115&lt;&gt;"",EDATE($D115,Milestones!$AA$170)&gt;=$Y115),$AB115,$AA115)))=Milestones!$AB$170),UPPER(TEXT(EDATE($D115,Milestones!$AA$170),"dd mmm yy"))&amp;" "&amp;Milestones!$AB$170&amp;" "&amp;IF(AND(Milestones!$AB$170="FT",Milestones!$AA$170=FT_Y5,EDATE($D115,Milestones!$AA$170)&lt;PolicyEff),1,Milestones!$AC$170)&amp;";  ","")&amp;IF(AND(EDATE($D115,Milestones!$AA$171)&lt;=AsOfDate,EDATE($D115,Milestones!$AA$171)&gt;=SchemeStart,IF($X115=0,$AD115,IF(AND($Z115&lt;&gt;"",EDATE($D115,Milestones!$AA$171)&gt;=$Z115),$AC115,IF(AND($Y115&lt;&gt;"",EDATE($D115,Milestones!$AA$171)&gt;=$Y115),$AB115,$AA115)))=Milestones!$AB$171),UPPER(TEXT(EDATE($D115,Milestones!$AA$171),"dd mmm yy"))&amp;" "&amp;Milestones!$AB$171&amp;" "&amp;IF(AND(Milestones!$AB$171="FT",Milestones!$AA$171=FT_Y5,EDATE($D115,Milestones!$AA$171)&lt;PolicyEff),1,Milestones!$AC$171)&amp;";  ","")&amp;IF(AND(EDATE($D115,Milestones!$AA$172)&lt;=AsOfDate,EDATE($D115,Milestones!$AA$172)&gt;=SchemeStart,IF($X115=0,$AD115,IF(AND($Z115&lt;&gt;"",EDATE($D115,Milestones!$AA$172)&gt;=$Z115),$AC115,IF(AND($Y115&lt;&gt;"",EDATE($D115,Milestones!$AA$172)&gt;=$Y115),$AB115,$AA115)))=Milestones!$AB$172),UPPER(TEXT(EDATE($D115,Milestones!$AA$172),"dd mmm yy"))&amp;" "&amp;Milestones!$AB$172&amp;" "&amp;IF(AND(Milestones!$AB$172="FT",Milestones!$AA$172=FT_Y5,EDATE($D115,Milestones!$AA$172)&lt;PolicyEff),1,Milestones!$AC$172)&amp;";  ","")&amp;IF(AND(EDATE($D115,Milestones!$AA$173)&lt;=AsOfDate,EDATE($D115,Milestones!$AA$173)&gt;=SchemeStart,IF($X115=0,$AD115,IF(AND($Z115&lt;&gt;"",EDATE($D115,Milestones!$AA$173)&gt;=$Z115),$AC115,IF(AND($Y115&lt;&gt;"",EDATE($D115,Milestones!$AA$173)&gt;=$Y115),$AB115,$AA115)))=Milestones!$AB$173),UPPER(TEXT(EDATE($D115,Milestones!$AA$173),"dd mmm yy"))&amp;" "&amp;Milestones!$AB$173&amp;" "&amp;IF(AND(Milestones!$AB$173="FT",Milestones!$AA$173=FT_Y5,EDATE($D115,Milestones!$AA$173)&lt;PolicyEff),1,Milestones!$AC$173)&amp;";  ","")&amp;IF(AND(EDATE($D115,Milestones!$AA$174)&lt;=AsOfDate,EDATE($D115,Milestones!$AA$174)&gt;=SchemeStart,IF($X115=0,$AD115,IF(AND($Z115&lt;&gt;"",EDATE($D115,Milestones!$AA$174)&gt;=$Z115),$AC115,IF(AND($Y115&lt;&gt;"",EDATE($D115,Milestones!$AA$174)&gt;=$Y115),$AB115,$AA115)))=Milestones!$AB$174),UPPER(TEXT(EDATE($D115,Milestones!$AA$174),"dd mmm yy"))&amp;" "&amp;Milestones!$AB$174&amp;" "&amp;IF(AND(Milestones!$AB$174="FT",Milestones!$AA$174=FT_Y5,EDATE($D115,Milestones!$AA$174)&lt;PolicyEff),1,Milestones!$AC$174)&amp;";  ","")&amp;IF(AND(EDATE($D115,Milestones!$AA$175)&lt;=AsOfDate,EDATE($D115,Milestones!$AA$175)&gt;=SchemeStart,IF($X115=0,$AD115,IF(AND($Z115&lt;&gt;"",EDATE($D115,Milestones!$AA$175)&gt;=$Z115),$AC115,IF(AND($Y115&lt;&gt;"",EDATE($D115,Milestones!$AA$175)&gt;=$Y115),$AB115,$AA115)))=Milestones!$AB$175),UPPER(TEXT(EDATE($D115,Milestones!$AA$175),"dd mmm yy"))&amp;" "&amp;Milestones!$AB$175&amp;" "&amp;IF(AND(Milestones!$AB$175="FT",Milestones!$AA$175=FT_Y5,EDATE($D115,Milestones!$AA$175)&lt;PolicyEff),1,Milestones!$AC$175)&amp;";  ",""))</f>
        <v/>
      </c>
      <c r="V115" s="0" t="str">
        <f aca="false">IF(OR($A115="",$D115=""),"",IF(AND(EDATE($D115,Milestones!$AA$176)&lt;=AsOfDate,EDATE($D115,Milestones!$AA$176)&gt;=SchemeStart,IF($X115=0,$AD115,IF(AND($Z115&lt;&gt;"",EDATE($D115,Milestones!$AA$176)&gt;=$Z115),$AC115,IF(AND($Y115&lt;&gt;"",EDATE($D115,Milestones!$AA$176)&gt;=$Y115),$AB115,$AA115)))=Milestones!$AB$176),UPPER(TEXT(EDATE($D115,Milestones!$AA$176),"dd mmm yy"))&amp;" "&amp;Milestones!$AB$176&amp;" "&amp;IF(AND(Milestones!$AB$176="FT",Milestones!$AA$176=FT_Y5,EDATE($D115,Milestones!$AA$176)&lt;PolicyEff),1,Milestones!$AC$176)&amp;";  ","")&amp;IF(AND(EDATE($D115,Milestones!$AA$177)&lt;=AsOfDate,EDATE($D115,Milestones!$AA$177)&gt;=SchemeStart,IF($X115=0,$AD115,IF(AND($Z115&lt;&gt;"",EDATE($D115,Milestones!$AA$177)&gt;=$Z115),$AC115,IF(AND($Y115&lt;&gt;"",EDATE($D115,Milestones!$AA$177)&gt;=$Y115),$AB115,$AA115)))=Milestones!$AB$177),UPPER(TEXT(EDATE($D115,Milestones!$AA$177),"dd mmm yy"))&amp;" "&amp;Milestones!$AB$177&amp;" "&amp;IF(AND(Milestones!$AB$177="FT",Milestones!$AA$177=FT_Y5,EDATE($D115,Milestones!$AA$177)&lt;PolicyEff),1,Milestones!$AC$177)&amp;";  ","")&amp;IF(AND(EDATE($D115,Milestones!$AA$178)&lt;=AsOfDate,EDATE($D115,Milestones!$AA$178)&gt;=SchemeStart,IF($X115=0,$AD115,IF(AND($Z115&lt;&gt;"",EDATE($D115,Milestones!$AA$178)&gt;=$Z115),$AC115,IF(AND($Y115&lt;&gt;"",EDATE($D115,Milestones!$AA$178)&gt;=$Y115),$AB115,$AA115)))=Milestones!$AB$178),UPPER(TEXT(EDATE($D115,Milestones!$AA$178),"dd mmm yy"))&amp;" "&amp;Milestones!$AB$178&amp;" "&amp;IF(AND(Milestones!$AB$178="FT",Milestones!$AA$178=FT_Y5,EDATE($D115,Milestones!$AA$178)&lt;PolicyEff),1,Milestones!$AC$178)&amp;";  ","")&amp;IF(AND(EDATE($D115,Milestones!$AA$179)&lt;=AsOfDate,EDATE($D115,Milestones!$AA$179)&gt;=SchemeStart,IF($X115=0,$AD115,IF(AND($Z115&lt;&gt;"",EDATE($D115,Milestones!$AA$179)&gt;=$Z115),$AC115,IF(AND($Y115&lt;&gt;"",EDATE($D115,Milestones!$AA$179)&gt;=$Y115),$AB115,$AA115)))=Milestones!$AB$179),UPPER(TEXT(EDATE($D115,Milestones!$AA$179),"dd mmm yy"))&amp;" "&amp;Milestones!$AB$179&amp;" "&amp;IF(AND(Milestones!$AB$179="FT",Milestones!$AA$179=FT_Y5,EDATE($D115,Milestones!$AA$179)&lt;PolicyEff),1,Milestones!$AC$179)&amp;";  ","")&amp;IF(AND(EDATE($D115,Milestones!$AA$180)&lt;=AsOfDate,EDATE($D115,Milestones!$AA$180)&gt;=SchemeStart,IF($X115=0,$AD115,IF(AND($Z115&lt;&gt;"",EDATE($D115,Milestones!$AA$180)&gt;=$Z115),$AC115,IF(AND($Y115&lt;&gt;"",EDATE($D115,Milestones!$AA$180)&gt;=$Y115),$AB115,$AA115)))=Milestones!$AB$180),UPPER(TEXT(EDATE($D115,Milestones!$AA$180),"dd mmm yy"))&amp;" "&amp;Milestones!$AB$180&amp;" "&amp;IF(AND(Milestones!$AB$180="FT",Milestones!$AA$180=FT_Y5,EDATE($D115,Milestones!$AA$180)&lt;PolicyEff),1,Milestones!$AC$180)&amp;";  ","")&amp;IF(AND(EDATE($D115,Milestones!$AA$181)&lt;=AsOfDate,EDATE($D115,Milestones!$AA$181)&gt;=SchemeStart,IF($X115=0,$AD115,IF(AND($Z115&lt;&gt;"",EDATE($D115,Milestones!$AA$181)&gt;=$Z115),$AC115,IF(AND($Y115&lt;&gt;"",EDATE($D115,Milestones!$AA$181)&gt;=$Y115),$AB115,$AA115)))=Milestones!$AB$181),UPPER(TEXT(EDATE($D115,Milestones!$AA$181),"dd mmm yy"))&amp;" "&amp;Milestones!$AB$181&amp;" "&amp;IF(AND(Milestones!$AB$181="FT",Milestones!$AA$181=FT_Y5,EDATE($D115,Milestones!$AA$181)&lt;PolicyEff),1,Milestones!$AC$181)&amp;";  ","")&amp;IF(AND(EDATE($D115,Milestones!$AA$182)&lt;=AsOfDate,EDATE($D115,Milestones!$AA$182)&gt;=SchemeStart,IF($X115=0,$AD115,IF(AND($Z115&lt;&gt;"",EDATE($D115,Milestones!$AA$182)&gt;=$Z115),$AC115,IF(AND($Y115&lt;&gt;"",EDATE($D115,Milestones!$AA$182)&gt;=$Y115),$AB115,$AA115)))=Milestones!$AB$182),UPPER(TEXT(EDATE($D115,Milestones!$AA$182),"dd mmm yy"))&amp;" "&amp;Milestones!$AB$182&amp;" "&amp;IF(AND(Milestones!$AB$182="FT",Milestones!$AA$182=FT_Y5,EDATE($D115,Milestones!$AA$182)&lt;PolicyEff),1,Milestones!$AC$182)&amp;";  ","")&amp;IF(AND(EDATE($D115,Milestones!$AA$183)&lt;=AsOfDate,EDATE($D115,Milestones!$AA$183)&gt;=SchemeStart,IF($X115=0,$AD115,IF(AND($Z115&lt;&gt;"",EDATE($D115,Milestones!$AA$183)&gt;=$Z115),$AC115,IF(AND($Y115&lt;&gt;"",EDATE($D115,Milestones!$AA$183)&gt;=$Y115),$AB115,$AA115)))=Milestones!$AB$183),UPPER(TEXT(EDATE($D115,Milestones!$AA$183),"dd mmm yy"))&amp;" "&amp;Milestones!$AB$183&amp;" "&amp;IF(AND(Milestones!$AB$183="FT",Milestones!$AA$183=FT_Y5,EDATE($D115,Milestones!$AA$183)&lt;PolicyEff),1,Milestones!$AC$183)&amp;";  ","")&amp;IF(AND(EDATE($D115,Milestones!$AA$184)&lt;=AsOfDate,EDATE($D115,Milestones!$AA$184)&gt;=SchemeStart,IF($X115=0,$AD115,IF(AND($Z115&lt;&gt;"",EDATE($D115,Milestones!$AA$184)&gt;=$Z115),$AC115,IF(AND($Y115&lt;&gt;"",EDATE($D115,Milestones!$AA$184)&gt;=$Y115),$AB115,$AA115)))=Milestones!$AB$184),UPPER(TEXT(EDATE($D115,Milestones!$AA$184),"dd mmm yy"))&amp;" "&amp;Milestones!$AB$184&amp;" "&amp;IF(AND(Milestones!$AB$184="FT",Milestones!$AA$184=FT_Y5,EDATE($D115,Milestones!$AA$184)&lt;PolicyEff),1,Milestones!$AC$184)&amp;";  ","")&amp;IF(AND(EDATE($D115,Milestones!$AA$185)&lt;=AsOfDate,EDATE($D115,Milestones!$AA$185)&gt;=SchemeStart,IF($X115=0,$AD115,IF(AND($Z115&lt;&gt;"",EDATE($D115,Milestones!$AA$185)&gt;=$Z115),$AC115,IF(AND($Y115&lt;&gt;"",EDATE($D115,Milestones!$AA$185)&gt;=$Y115),$AB115,$AA115)))=Milestones!$AB$185),UPPER(TEXT(EDATE($D115,Milestones!$AA$185),"dd mmm yy"))&amp;" "&amp;Milestones!$AB$185&amp;" "&amp;IF(AND(Milestones!$AB$185="FT",Milestones!$AA$185=FT_Y5,EDATE($D115,Milestones!$AA$185)&lt;PolicyEff),1,Milestones!$AC$185)&amp;";  ","")&amp;IF(AND(EDATE($D115,Milestones!$AA$186)&lt;=AsOfDate,EDATE($D115,Milestones!$AA$186)&gt;=SchemeStart,IF($X115=0,$AD115,IF(AND($Z115&lt;&gt;"",EDATE($D115,Milestones!$AA$186)&gt;=$Z115),$AC115,IF(AND($Y115&lt;&gt;"",EDATE($D115,Milestones!$AA$186)&gt;=$Y115),$AB115,$AA115)))=Milestones!$AB$186),UPPER(TEXT(EDATE($D115,Milestones!$AA$186),"dd mmm yy"))&amp;" "&amp;Milestones!$AB$186&amp;" "&amp;IF(AND(Milestones!$AB$186="FT",Milestones!$AA$186=FT_Y5,EDATE($D115,Milestones!$AA$186)&lt;PolicyEff),1,Milestones!$AC$186)&amp;";  ","")&amp;IF(AND(EDATE($D115,Milestones!$AA$187)&lt;=AsOfDate,EDATE($D115,Milestones!$AA$187)&gt;=SchemeStart,IF($X115=0,$AD115,IF(AND($Z115&lt;&gt;"",EDATE($D115,Milestones!$AA$187)&gt;=$Z115),$AC115,IF(AND($Y115&lt;&gt;"",EDATE($D115,Milestones!$AA$187)&gt;=$Y115),$AB115,$AA115)))=Milestones!$AB$187),UPPER(TEXT(EDATE($D115,Milestones!$AA$187),"dd mmm yy"))&amp;" "&amp;Milestones!$AB$187&amp;" "&amp;IF(AND(Milestones!$AB$187="FT",Milestones!$AA$187=FT_Y5,EDATE($D115,Milestones!$AA$187)&lt;PolicyEff),1,Milestones!$AC$187)&amp;";  ",""))</f>
        <v/>
      </c>
      <c r="W115" s="0" t="str">
        <f aca="false">IF(OR($A115="",$D115=""),"",IF(AND(EDATE($D115,Milestones!$AA$188)&lt;=AsOfDate,EDATE($D115,Milestones!$AA$188)&gt;=SchemeStart,IF($X115=0,$AD115,IF(AND($Z115&lt;&gt;"",EDATE($D115,Milestones!$AA$188)&gt;=$Z115),$AC115,IF(AND($Y115&lt;&gt;"",EDATE($D115,Milestones!$AA$188)&gt;=$Y115),$AB115,$AA115)))=Milestones!$AB$188),UPPER(TEXT(EDATE($D115,Milestones!$AA$188),"dd mmm yy"))&amp;" "&amp;Milestones!$AB$188&amp;" "&amp;IF(AND(Milestones!$AB$188="FT",Milestones!$AA$188=FT_Y5,EDATE($D115,Milestones!$AA$188)&lt;PolicyEff),1,Milestones!$AC$188)&amp;";  ","")&amp;IF(AND(EDATE($D115,Milestones!$AA$189)&lt;=AsOfDate,EDATE($D115,Milestones!$AA$189)&gt;=SchemeStart,IF($X115=0,$AD115,IF(AND($Z115&lt;&gt;"",EDATE($D115,Milestones!$AA$189)&gt;=$Z115),$AC115,IF(AND($Y115&lt;&gt;"",EDATE($D115,Milestones!$AA$189)&gt;=$Y115),$AB115,$AA115)))=Milestones!$AB$189),UPPER(TEXT(EDATE($D115,Milestones!$AA$189),"dd mmm yy"))&amp;" "&amp;Milestones!$AB$189&amp;" "&amp;IF(AND(Milestones!$AB$189="FT",Milestones!$AA$189=FT_Y5,EDATE($D115,Milestones!$AA$189)&lt;PolicyEff),1,Milestones!$AC$189)&amp;";  ","")&amp;IF(AND(EDATE($D115,Milestones!$AA$190)&lt;=AsOfDate,EDATE($D115,Milestones!$AA$190)&gt;=SchemeStart,IF($X115=0,$AD115,IF(AND($Z115&lt;&gt;"",EDATE($D115,Milestones!$AA$190)&gt;=$Z115),$AC115,IF(AND($Y115&lt;&gt;"",EDATE($D115,Milestones!$AA$190)&gt;=$Y115),$AB115,$AA115)))=Milestones!$AB$190),UPPER(TEXT(EDATE($D115,Milestones!$AA$190),"dd mmm yy"))&amp;" "&amp;Milestones!$AB$190&amp;" "&amp;IF(AND(Milestones!$AB$190="FT",Milestones!$AA$190=FT_Y5,EDATE($D115,Milestones!$AA$190)&lt;PolicyEff),1,Milestones!$AC$190)&amp;";  ","")&amp;IF(AND(EDATE($D115,Milestones!$AA$191)&lt;=AsOfDate,EDATE($D115,Milestones!$AA$191)&gt;=SchemeStart,IF($X115=0,$AD115,IF(AND($Z115&lt;&gt;"",EDATE($D115,Milestones!$AA$191)&gt;=$Z115),$AC115,IF(AND($Y115&lt;&gt;"",EDATE($D115,Milestones!$AA$191)&gt;=$Y115),$AB115,$AA115)))=Milestones!$AB$191),UPPER(TEXT(EDATE($D115,Milestones!$AA$191),"dd mmm yy"))&amp;" "&amp;Milestones!$AB$191&amp;" "&amp;IF(AND(Milestones!$AB$191="FT",Milestones!$AA$191=FT_Y5,EDATE($D115,Milestones!$AA$191)&lt;PolicyEff),1,Milestones!$AC$191)&amp;";  ","")&amp;IF(AND(EDATE($D115,Milestones!$AA$192)&lt;=AsOfDate,EDATE($D115,Milestones!$AA$192)&gt;=SchemeStart,IF($X115=0,$AD115,IF(AND($Z115&lt;&gt;"",EDATE($D115,Milestones!$AA$192)&gt;=$Z115),$AC115,IF(AND($Y115&lt;&gt;"",EDATE($D115,Milestones!$AA$192)&gt;=$Y115),$AB115,$AA115)))=Milestones!$AB$192),UPPER(TEXT(EDATE($D115,Milestones!$AA$192),"dd mmm yy"))&amp;" "&amp;Milestones!$AB$192&amp;" "&amp;IF(AND(Milestones!$AB$192="FT",Milestones!$AA$192=FT_Y5,EDATE($D115,Milestones!$AA$192)&lt;PolicyEff),1,Milestones!$AC$192)&amp;";  ","")&amp;IF(AND(EDATE($D115,Milestones!$AA$193)&lt;=AsOfDate,EDATE($D115,Milestones!$AA$193)&gt;=SchemeStart,IF($X115=0,$AD115,IF(AND($Z115&lt;&gt;"",EDATE($D115,Milestones!$AA$193)&gt;=$Z115),$AC115,IF(AND($Y115&lt;&gt;"",EDATE($D115,Milestones!$AA$193)&gt;=$Y115),$AB115,$AA115)))=Milestones!$AB$193),UPPER(TEXT(EDATE($D115,Milestones!$AA$193),"dd mmm yy"))&amp;" "&amp;Milestones!$AB$193&amp;" "&amp;IF(AND(Milestones!$AB$193="FT",Milestones!$AA$193=FT_Y5,EDATE($D115,Milestones!$AA$193)&lt;PolicyEff),1,Milestones!$AC$193)&amp;";  ","")&amp;IF(AND(EDATE($D115,Milestones!$AA$194)&lt;=AsOfDate,EDATE($D115,Milestones!$AA$194)&gt;=SchemeStart,IF($X115=0,$AD115,IF(AND($Z115&lt;&gt;"",EDATE($D115,Milestones!$AA$194)&gt;=$Z115),$AC115,IF(AND($Y115&lt;&gt;"",EDATE($D115,Milestones!$AA$194)&gt;=$Y115),$AB115,$AA115)))=Milestones!$AB$194),UPPER(TEXT(EDATE($D115,Milestones!$AA$194),"dd mmm yy"))&amp;" "&amp;Milestones!$AB$194&amp;" "&amp;IF(AND(Milestones!$AB$194="FT",Milestones!$AA$194=FT_Y5,EDATE($D115,Milestones!$AA$194)&lt;PolicyEff),1,Milestones!$AC$194)&amp;";  ","")&amp;IF(AND(EDATE($D115,Milestones!$AA$195)&lt;=AsOfDate,EDATE($D115,Milestones!$AA$195)&gt;=SchemeStart,IF($X115=0,$AD115,IF(AND($Z115&lt;&gt;"",EDATE($D115,Milestones!$AA$195)&gt;=$Z115),$AC115,IF(AND($Y115&lt;&gt;"",EDATE($D115,Milestones!$AA$195)&gt;=$Y115),$AB115,$AA115)))=Milestones!$AB$195),UPPER(TEXT(EDATE($D115,Milestones!$AA$195),"dd mmm yy"))&amp;" "&amp;Milestones!$AB$195&amp;" "&amp;IF(AND(Milestones!$AB$195="FT",Milestones!$AA$195=FT_Y5,EDATE($D115,Milestones!$AA$195)&lt;PolicyEff),1,Milestones!$AC$195)&amp;";  ","")&amp;IF(AND(EDATE($D115,Milestones!$AA$196)&lt;=AsOfDate,EDATE($D115,Milestones!$AA$196)&gt;=SchemeStart,IF($X115=0,$AD115,IF(AND($Z115&lt;&gt;"",EDATE($D115,Milestones!$AA$196)&gt;=$Z115),$AC115,IF(AND($Y115&lt;&gt;"",EDATE($D115,Milestones!$AA$196)&gt;=$Y115),$AB115,$AA115)))=Milestones!$AB$196),UPPER(TEXT(EDATE($D115,Milestones!$AA$196),"dd mmm yy"))&amp;" "&amp;Milestones!$AB$196&amp;" "&amp;IF(AND(Milestones!$AB$196="FT",Milestones!$AA$196=FT_Y5,EDATE($D115,Milestones!$AA$196)&lt;PolicyEff),1,Milestones!$AC$196)&amp;";  ","")&amp;IF(AND(EDATE($D115,Milestones!$AA$197)&lt;=AsOfDate,EDATE($D115,Milestones!$AA$197)&gt;=SchemeStart,IF($X115=0,$AD115,IF(AND($Z115&lt;&gt;"",EDATE($D115,Milestones!$AA$197)&gt;=$Z115),$AC115,IF(AND($Y115&lt;&gt;"",EDATE($D115,Milestones!$AA$197)&gt;=$Y115),$AB115,$AA115)))=Milestones!$AB$197),UPPER(TEXT(EDATE($D115,Milestones!$AA$197),"dd mmm yy"))&amp;" "&amp;Milestones!$AB$197&amp;" "&amp;IF(AND(Milestones!$AB$197="FT",Milestones!$AA$197=FT_Y5,EDATE($D115,Milestones!$AA$197)&lt;PolicyEff),1,Milestones!$AC$197)&amp;";  ","")&amp;IF(AND(EDATE($D115,Milestones!$AA$198)&lt;=AsOfDate,EDATE($D115,Milestones!$AA$198)&gt;=SchemeStart,IF($X115=0,$AD115,IF(AND($Z115&lt;&gt;"",EDATE($D115,Milestones!$AA$198)&gt;=$Z115),$AC115,IF(AND($Y115&lt;&gt;"",EDATE($D115,Milestones!$AA$198)&gt;=$Y115),$AB115,$AA115)))=Milestones!$AB$198),UPPER(TEXT(EDATE($D115,Milestones!$AA$198),"dd mmm yy"))&amp;" "&amp;Milestones!$AB$198&amp;" "&amp;IF(AND(Milestones!$AB$198="FT",Milestones!$AA$198=FT_Y5,EDATE($D115,Milestones!$AA$198)&lt;PolicyEff),1,Milestones!$AC$198)&amp;";  ","")&amp;IF(AND(EDATE($D115,Milestones!$AA$199)&lt;=AsOfDate,EDATE($D115,Milestones!$AA$199)&gt;=SchemeStart,IF($X115=0,$AD115,IF(AND($Z115&lt;&gt;"",EDATE($D115,Milestones!$AA$199)&gt;=$Z115),$AC115,IF(AND($Y115&lt;&gt;"",EDATE($D115,Milestones!$AA$199)&gt;=$Y115),$AB115,$AA115)))=Milestones!$AB$199),UPPER(TEXT(EDATE($D115,Milestones!$AA$199),"dd mmm yy"))&amp;" "&amp;Milestones!$AB$199&amp;" "&amp;IF(AND(Milestones!$AB$199="FT",Milestones!$AA$199=FT_Y5,EDATE($D115,Milestones!$AA$199)&lt;PolicyEff),1,Milestones!$AC$199)&amp;";  ",""))</f>
        <v/>
      </c>
      <c r="X115" s="0" t="str">
        <f aca="false">IF(Staff!$A115="","",Staff!$AM115)</f>
        <v/>
      </c>
      <c r="Y115" s="0" t="str">
        <f aca="false">IF(Staff!$A115="","",Staff!$AO115)</f>
        <v/>
      </c>
      <c r="Z115" s="0" t="str">
        <f aca="false">IF(Staff!$A115="","",Staff!$AP115)</f>
        <v/>
      </c>
      <c r="AA115" s="0" t="str">
        <f aca="false">IF(Staff!$A115="","",Staff!$AT115)</f>
        <v/>
      </c>
      <c r="AB115" s="0" t="str">
        <f aca="false">IF(Staff!$A115="","",Staff!$AU115)</f>
        <v/>
      </c>
      <c r="AC115" s="0" t="str">
        <f aca="false">IF(Staff!$A115="","",Staff!$AV115)</f>
        <v/>
      </c>
      <c r="AD115" s="0" t="str">
        <f aca="false">IF(Staff!$A115="","",Staff!$AW115)</f>
        <v/>
      </c>
    </row>
    <row r="116" customFormat="false" ht="15" hidden="false" customHeight="false" outlineLevel="0" collapsed="false">
      <c r="A116" s="16" t="str">
        <f aca="false">IF(Staff!$A116="","",Staff!$A116)</f>
        <v/>
      </c>
      <c r="B116" s="16" t="str">
        <f aca="false">IF(Staff!$A116="","",Staff!$B116)</f>
        <v/>
      </c>
      <c r="C116" s="16" t="str">
        <f aca="false">IF(Staff!$A116="","",Staff!$C116)</f>
        <v/>
      </c>
      <c r="D116" s="14" t="str">
        <f aca="false">IF(Staff!$A116="","",Staff!$AL116)</f>
        <v/>
      </c>
      <c r="E116" s="16" t="str">
        <f aca="false">IF(Staff!$A116="","",Staff!$O116)</f>
        <v/>
      </c>
      <c r="F116" s="16" t="str">
        <f aca="false">IF(E116="","",E116*HoursPerDay)</f>
        <v/>
      </c>
      <c r="G116" s="16" t="str">
        <f aca="false">IF(Staff!$A116="","",Staff!$AE116)</f>
        <v/>
      </c>
      <c r="H116" s="28" t="str">
        <f aca="false">IF($A116="","",I116&amp;J116&amp;K116&amp;L116&amp;M116&amp;N116&amp;O116&amp;P116&amp;Q116&amp;R116&amp;S116&amp;T116&amp;U116&amp;V116&amp;W116)</f>
        <v/>
      </c>
      <c r="I116" s="0" t="str">
        <f aca="false">IF(OR($A116="",$D116=""),"",IF(AND(EDATE($D116,Milestones!$AA$20)&lt;=AsOfDate,EDATE($D116,Milestones!$AA$20)&gt;=SchemeStart,IF($X116=0,$AD116,IF(AND($Z116&lt;&gt;"",EDATE($D116,Milestones!$AA$20)&gt;=$Z116),$AC116,IF(AND($Y116&lt;&gt;"",EDATE($D116,Milestones!$AA$20)&gt;=$Y116),$AB116,$AA116)))=Milestones!$AB$20),UPPER(TEXT(EDATE($D116,Milestones!$AA$20),"dd mmm yy"))&amp;" "&amp;Milestones!$AB$20&amp;" "&amp;IF(AND(Milestones!$AB$20="FT",Milestones!$AA$20=FT_Y5,EDATE($D116,Milestones!$AA$20)&lt;PolicyEff),1,Milestones!$AC$20)&amp;";  ","")&amp;IF(AND(EDATE($D116,Milestones!$AA$21)&lt;=AsOfDate,EDATE($D116,Milestones!$AA$21)&gt;=SchemeStart,IF($X116=0,$AD116,IF(AND($Z116&lt;&gt;"",EDATE($D116,Milestones!$AA$21)&gt;=$Z116),$AC116,IF(AND($Y116&lt;&gt;"",EDATE($D116,Milestones!$AA$21)&gt;=$Y116),$AB116,$AA116)))=Milestones!$AB$21),UPPER(TEXT(EDATE($D116,Milestones!$AA$21),"dd mmm yy"))&amp;" "&amp;Milestones!$AB$21&amp;" "&amp;IF(AND(Milestones!$AB$21="FT",Milestones!$AA$21=FT_Y5,EDATE($D116,Milestones!$AA$21)&lt;PolicyEff),1,Milestones!$AC$21)&amp;";  ","")&amp;IF(AND(EDATE($D116,Milestones!$AA$22)&lt;=AsOfDate,EDATE($D116,Milestones!$AA$22)&gt;=SchemeStart,IF($X116=0,$AD116,IF(AND($Z116&lt;&gt;"",EDATE($D116,Milestones!$AA$22)&gt;=$Z116),$AC116,IF(AND($Y116&lt;&gt;"",EDATE($D116,Milestones!$AA$22)&gt;=$Y116),$AB116,$AA116)))=Milestones!$AB$22),UPPER(TEXT(EDATE($D116,Milestones!$AA$22),"dd mmm yy"))&amp;" "&amp;Milestones!$AB$22&amp;" "&amp;IF(AND(Milestones!$AB$22="FT",Milestones!$AA$22=FT_Y5,EDATE($D116,Milestones!$AA$22)&lt;PolicyEff),1,Milestones!$AC$22)&amp;";  ","")&amp;IF(AND(EDATE($D116,Milestones!$AA$23)&lt;=AsOfDate,EDATE($D116,Milestones!$AA$23)&gt;=SchemeStart,IF($X116=0,$AD116,IF(AND($Z116&lt;&gt;"",EDATE($D116,Milestones!$AA$23)&gt;=$Z116),$AC116,IF(AND($Y116&lt;&gt;"",EDATE($D116,Milestones!$AA$23)&gt;=$Y116),$AB116,$AA116)))=Milestones!$AB$23),UPPER(TEXT(EDATE($D116,Milestones!$AA$23),"dd mmm yy"))&amp;" "&amp;Milestones!$AB$23&amp;" "&amp;IF(AND(Milestones!$AB$23="FT",Milestones!$AA$23=FT_Y5,EDATE($D116,Milestones!$AA$23)&lt;PolicyEff),1,Milestones!$AC$23)&amp;";  ","")&amp;IF(AND(EDATE($D116,Milestones!$AA$24)&lt;=AsOfDate,EDATE($D116,Milestones!$AA$24)&gt;=SchemeStart,IF($X116=0,$AD116,IF(AND($Z116&lt;&gt;"",EDATE($D116,Milestones!$AA$24)&gt;=$Z116),$AC116,IF(AND($Y116&lt;&gt;"",EDATE($D116,Milestones!$AA$24)&gt;=$Y116),$AB116,$AA116)))=Milestones!$AB$24),UPPER(TEXT(EDATE($D116,Milestones!$AA$24),"dd mmm yy"))&amp;" "&amp;Milestones!$AB$24&amp;" "&amp;IF(AND(Milestones!$AB$24="FT",Milestones!$AA$24=FT_Y5,EDATE($D116,Milestones!$AA$24)&lt;PolicyEff),1,Milestones!$AC$24)&amp;";  ","")&amp;IF(AND(EDATE($D116,Milestones!$AA$25)&lt;=AsOfDate,EDATE($D116,Milestones!$AA$25)&gt;=SchemeStart,IF($X116=0,$AD116,IF(AND($Z116&lt;&gt;"",EDATE($D116,Milestones!$AA$25)&gt;=$Z116),$AC116,IF(AND($Y116&lt;&gt;"",EDATE($D116,Milestones!$AA$25)&gt;=$Y116),$AB116,$AA116)))=Milestones!$AB$25),UPPER(TEXT(EDATE($D116,Milestones!$AA$25),"dd mmm yy"))&amp;" "&amp;Milestones!$AB$25&amp;" "&amp;IF(AND(Milestones!$AB$25="FT",Milestones!$AA$25=FT_Y5,EDATE($D116,Milestones!$AA$25)&lt;PolicyEff),1,Milestones!$AC$25)&amp;";  ","")&amp;IF(AND(EDATE($D116,Milestones!$AA$26)&lt;=AsOfDate,EDATE($D116,Milestones!$AA$26)&gt;=SchemeStart,IF($X116=0,$AD116,IF(AND($Z116&lt;&gt;"",EDATE($D116,Milestones!$AA$26)&gt;=$Z116),$AC116,IF(AND($Y116&lt;&gt;"",EDATE($D116,Milestones!$AA$26)&gt;=$Y116),$AB116,$AA116)))=Milestones!$AB$26),UPPER(TEXT(EDATE($D116,Milestones!$AA$26),"dd mmm yy"))&amp;" "&amp;Milestones!$AB$26&amp;" "&amp;IF(AND(Milestones!$AB$26="FT",Milestones!$AA$26=FT_Y5,EDATE($D116,Milestones!$AA$26)&lt;PolicyEff),1,Milestones!$AC$26)&amp;";  ","")&amp;IF(AND(EDATE($D116,Milestones!$AA$27)&lt;=AsOfDate,EDATE($D116,Milestones!$AA$27)&gt;=SchemeStart,IF($X116=0,$AD116,IF(AND($Z116&lt;&gt;"",EDATE($D116,Milestones!$AA$27)&gt;=$Z116),$AC116,IF(AND($Y116&lt;&gt;"",EDATE($D116,Milestones!$AA$27)&gt;=$Y116),$AB116,$AA116)))=Milestones!$AB$27),UPPER(TEXT(EDATE($D116,Milestones!$AA$27),"dd mmm yy"))&amp;" "&amp;Milestones!$AB$27&amp;" "&amp;IF(AND(Milestones!$AB$27="FT",Milestones!$AA$27=FT_Y5,EDATE($D116,Milestones!$AA$27)&lt;PolicyEff),1,Milestones!$AC$27)&amp;";  ","")&amp;IF(AND(EDATE($D116,Milestones!$AA$28)&lt;=AsOfDate,EDATE($D116,Milestones!$AA$28)&gt;=SchemeStart,IF($X116=0,$AD116,IF(AND($Z116&lt;&gt;"",EDATE($D116,Milestones!$AA$28)&gt;=$Z116),$AC116,IF(AND($Y116&lt;&gt;"",EDATE($D116,Milestones!$AA$28)&gt;=$Y116),$AB116,$AA116)))=Milestones!$AB$28),UPPER(TEXT(EDATE($D116,Milestones!$AA$28),"dd mmm yy"))&amp;" "&amp;Milestones!$AB$28&amp;" "&amp;IF(AND(Milestones!$AB$28="FT",Milestones!$AA$28=FT_Y5,EDATE($D116,Milestones!$AA$28)&lt;PolicyEff),1,Milestones!$AC$28)&amp;";  ","")&amp;IF(AND(EDATE($D116,Milestones!$AA$29)&lt;=AsOfDate,EDATE($D116,Milestones!$AA$29)&gt;=SchemeStart,IF($X116=0,$AD116,IF(AND($Z116&lt;&gt;"",EDATE($D116,Milestones!$AA$29)&gt;=$Z116),$AC116,IF(AND($Y116&lt;&gt;"",EDATE($D116,Milestones!$AA$29)&gt;=$Y116),$AB116,$AA116)))=Milestones!$AB$29),UPPER(TEXT(EDATE($D116,Milestones!$AA$29),"dd mmm yy"))&amp;" "&amp;Milestones!$AB$29&amp;" "&amp;IF(AND(Milestones!$AB$29="FT",Milestones!$AA$29=FT_Y5,EDATE($D116,Milestones!$AA$29)&lt;PolicyEff),1,Milestones!$AC$29)&amp;";  ","")&amp;IF(AND(EDATE($D116,Milestones!$AA$30)&lt;=AsOfDate,EDATE($D116,Milestones!$AA$30)&gt;=SchemeStart,IF($X116=0,$AD116,IF(AND($Z116&lt;&gt;"",EDATE($D116,Milestones!$AA$30)&gt;=$Z116),$AC116,IF(AND($Y116&lt;&gt;"",EDATE($D116,Milestones!$AA$30)&gt;=$Y116),$AB116,$AA116)))=Milestones!$AB$30),UPPER(TEXT(EDATE($D116,Milestones!$AA$30),"dd mmm yy"))&amp;" "&amp;Milestones!$AB$30&amp;" "&amp;IF(AND(Milestones!$AB$30="FT",Milestones!$AA$30=FT_Y5,EDATE($D116,Milestones!$AA$30)&lt;PolicyEff),1,Milestones!$AC$30)&amp;";  ","")&amp;IF(AND(EDATE($D116,Milestones!$AA$31)&lt;=AsOfDate,EDATE($D116,Milestones!$AA$31)&gt;=SchemeStart,IF($X116=0,$AD116,IF(AND($Z116&lt;&gt;"",EDATE($D116,Milestones!$AA$31)&gt;=$Z116),$AC116,IF(AND($Y116&lt;&gt;"",EDATE($D116,Milestones!$AA$31)&gt;=$Y116),$AB116,$AA116)))=Milestones!$AB$31),UPPER(TEXT(EDATE($D116,Milestones!$AA$31),"dd mmm yy"))&amp;" "&amp;Milestones!$AB$31&amp;" "&amp;IF(AND(Milestones!$AB$31="FT",Milestones!$AA$31=FT_Y5,EDATE($D116,Milestones!$AA$31)&lt;PolicyEff),1,Milestones!$AC$31)&amp;";  ",""))</f>
        <v/>
      </c>
      <c r="J116" s="0" t="str">
        <f aca="false">IF(OR($A116="",$D116=""),"",IF(AND(EDATE($D116,Milestones!$AA$32)&lt;=AsOfDate,EDATE($D116,Milestones!$AA$32)&gt;=SchemeStart,IF($X116=0,$AD116,IF(AND($Z116&lt;&gt;"",EDATE($D116,Milestones!$AA$32)&gt;=$Z116),$AC116,IF(AND($Y116&lt;&gt;"",EDATE($D116,Milestones!$AA$32)&gt;=$Y116),$AB116,$AA116)))=Milestones!$AB$32),UPPER(TEXT(EDATE($D116,Milestones!$AA$32),"dd mmm yy"))&amp;" "&amp;Milestones!$AB$32&amp;" "&amp;IF(AND(Milestones!$AB$32="FT",Milestones!$AA$32=FT_Y5,EDATE($D116,Milestones!$AA$32)&lt;PolicyEff),1,Milestones!$AC$32)&amp;";  ","")&amp;IF(AND(EDATE($D116,Milestones!$AA$33)&lt;=AsOfDate,EDATE($D116,Milestones!$AA$33)&gt;=SchemeStart,IF($X116=0,$AD116,IF(AND($Z116&lt;&gt;"",EDATE($D116,Milestones!$AA$33)&gt;=$Z116),$AC116,IF(AND($Y116&lt;&gt;"",EDATE($D116,Milestones!$AA$33)&gt;=$Y116),$AB116,$AA116)))=Milestones!$AB$33),UPPER(TEXT(EDATE($D116,Milestones!$AA$33),"dd mmm yy"))&amp;" "&amp;Milestones!$AB$33&amp;" "&amp;IF(AND(Milestones!$AB$33="FT",Milestones!$AA$33=FT_Y5,EDATE($D116,Milestones!$AA$33)&lt;PolicyEff),1,Milestones!$AC$33)&amp;";  ","")&amp;IF(AND(EDATE($D116,Milestones!$AA$34)&lt;=AsOfDate,EDATE($D116,Milestones!$AA$34)&gt;=SchemeStart,IF($X116=0,$AD116,IF(AND($Z116&lt;&gt;"",EDATE($D116,Milestones!$AA$34)&gt;=$Z116),$AC116,IF(AND($Y116&lt;&gt;"",EDATE($D116,Milestones!$AA$34)&gt;=$Y116),$AB116,$AA116)))=Milestones!$AB$34),UPPER(TEXT(EDATE($D116,Milestones!$AA$34),"dd mmm yy"))&amp;" "&amp;Milestones!$AB$34&amp;" "&amp;IF(AND(Milestones!$AB$34="FT",Milestones!$AA$34=FT_Y5,EDATE($D116,Milestones!$AA$34)&lt;PolicyEff),1,Milestones!$AC$34)&amp;";  ","")&amp;IF(AND(EDATE($D116,Milestones!$AA$35)&lt;=AsOfDate,EDATE($D116,Milestones!$AA$35)&gt;=SchemeStart,IF($X116=0,$AD116,IF(AND($Z116&lt;&gt;"",EDATE($D116,Milestones!$AA$35)&gt;=$Z116),$AC116,IF(AND($Y116&lt;&gt;"",EDATE($D116,Milestones!$AA$35)&gt;=$Y116),$AB116,$AA116)))=Milestones!$AB$35),UPPER(TEXT(EDATE($D116,Milestones!$AA$35),"dd mmm yy"))&amp;" "&amp;Milestones!$AB$35&amp;" "&amp;IF(AND(Milestones!$AB$35="FT",Milestones!$AA$35=FT_Y5,EDATE($D116,Milestones!$AA$35)&lt;PolicyEff),1,Milestones!$AC$35)&amp;";  ","")&amp;IF(AND(EDATE($D116,Milestones!$AA$36)&lt;=AsOfDate,EDATE($D116,Milestones!$AA$36)&gt;=SchemeStart,IF($X116=0,$AD116,IF(AND($Z116&lt;&gt;"",EDATE($D116,Milestones!$AA$36)&gt;=$Z116),$AC116,IF(AND($Y116&lt;&gt;"",EDATE($D116,Milestones!$AA$36)&gt;=$Y116),$AB116,$AA116)))=Milestones!$AB$36),UPPER(TEXT(EDATE($D116,Milestones!$AA$36),"dd mmm yy"))&amp;" "&amp;Milestones!$AB$36&amp;" "&amp;IF(AND(Milestones!$AB$36="FT",Milestones!$AA$36=FT_Y5,EDATE($D116,Milestones!$AA$36)&lt;PolicyEff),1,Milestones!$AC$36)&amp;";  ","")&amp;IF(AND(EDATE($D116,Milestones!$AA$37)&lt;=AsOfDate,EDATE($D116,Milestones!$AA$37)&gt;=SchemeStart,IF($X116=0,$AD116,IF(AND($Z116&lt;&gt;"",EDATE($D116,Milestones!$AA$37)&gt;=$Z116),$AC116,IF(AND($Y116&lt;&gt;"",EDATE($D116,Milestones!$AA$37)&gt;=$Y116),$AB116,$AA116)))=Milestones!$AB$37),UPPER(TEXT(EDATE($D116,Milestones!$AA$37),"dd mmm yy"))&amp;" "&amp;Milestones!$AB$37&amp;" "&amp;IF(AND(Milestones!$AB$37="FT",Milestones!$AA$37=FT_Y5,EDATE($D116,Milestones!$AA$37)&lt;PolicyEff),1,Milestones!$AC$37)&amp;";  ","")&amp;IF(AND(EDATE($D116,Milestones!$AA$38)&lt;=AsOfDate,EDATE($D116,Milestones!$AA$38)&gt;=SchemeStart,IF($X116=0,$AD116,IF(AND($Z116&lt;&gt;"",EDATE($D116,Milestones!$AA$38)&gt;=$Z116),$AC116,IF(AND($Y116&lt;&gt;"",EDATE($D116,Milestones!$AA$38)&gt;=$Y116),$AB116,$AA116)))=Milestones!$AB$38),UPPER(TEXT(EDATE($D116,Milestones!$AA$38),"dd mmm yy"))&amp;" "&amp;Milestones!$AB$38&amp;" "&amp;IF(AND(Milestones!$AB$38="FT",Milestones!$AA$38=FT_Y5,EDATE($D116,Milestones!$AA$38)&lt;PolicyEff),1,Milestones!$AC$38)&amp;";  ","")&amp;IF(AND(EDATE($D116,Milestones!$AA$39)&lt;=AsOfDate,EDATE($D116,Milestones!$AA$39)&gt;=SchemeStart,IF($X116=0,$AD116,IF(AND($Z116&lt;&gt;"",EDATE($D116,Milestones!$AA$39)&gt;=$Z116),$AC116,IF(AND($Y116&lt;&gt;"",EDATE($D116,Milestones!$AA$39)&gt;=$Y116),$AB116,$AA116)))=Milestones!$AB$39),UPPER(TEXT(EDATE($D116,Milestones!$AA$39),"dd mmm yy"))&amp;" "&amp;Milestones!$AB$39&amp;" "&amp;IF(AND(Milestones!$AB$39="FT",Milestones!$AA$39=FT_Y5,EDATE($D116,Milestones!$AA$39)&lt;PolicyEff),1,Milestones!$AC$39)&amp;";  ","")&amp;IF(AND(EDATE($D116,Milestones!$AA$40)&lt;=AsOfDate,EDATE($D116,Milestones!$AA$40)&gt;=SchemeStart,IF($X116=0,$AD116,IF(AND($Z116&lt;&gt;"",EDATE($D116,Milestones!$AA$40)&gt;=$Z116),$AC116,IF(AND($Y116&lt;&gt;"",EDATE($D116,Milestones!$AA$40)&gt;=$Y116),$AB116,$AA116)))=Milestones!$AB$40),UPPER(TEXT(EDATE($D116,Milestones!$AA$40),"dd mmm yy"))&amp;" "&amp;Milestones!$AB$40&amp;" "&amp;IF(AND(Milestones!$AB$40="FT",Milestones!$AA$40=FT_Y5,EDATE($D116,Milestones!$AA$40)&lt;PolicyEff),1,Milestones!$AC$40)&amp;";  ","")&amp;IF(AND(EDATE($D116,Milestones!$AA$41)&lt;=AsOfDate,EDATE($D116,Milestones!$AA$41)&gt;=SchemeStart,IF($X116=0,$AD116,IF(AND($Z116&lt;&gt;"",EDATE($D116,Milestones!$AA$41)&gt;=$Z116),$AC116,IF(AND($Y116&lt;&gt;"",EDATE($D116,Milestones!$AA$41)&gt;=$Y116),$AB116,$AA116)))=Milestones!$AB$41),UPPER(TEXT(EDATE($D116,Milestones!$AA$41),"dd mmm yy"))&amp;" "&amp;Milestones!$AB$41&amp;" "&amp;IF(AND(Milestones!$AB$41="FT",Milestones!$AA$41=FT_Y5,EDATE($D116,Milestones!$AA$41)&lt;PolicyEff),1,Milestones!$AC$41)&amp;";  ","")&amp;IF(AND(EDATE($D116,Milestones!$AA$42)&lt;=AsOfDate,EDATE($D116,Milestones!$AA$42)&gt;=SchemeStart,IF($X116=0,$AD116,IF(AND($Z116&lt;&gt;"",EDATE($D116,Milestones!$AA$42)&gt;=$Z116),$AC116,IF(AND($Y116&lt;&gt;"",EDATE($D116,Milestones!$AA$42)&gt;=$Y116),$AB116,$AA116)))=Milestones!$AB$42),UPPER(TEXT(EDATE($D116,Milestones!$AA$42),"dd mmm yy"))&amp;" "&amp;Milestones!$AB$42&amp;" "&amp;IF(AND(Milestones!$AB$42="FT",Milestones!$AA$42=FT_Y5,EDATE($D116,Milestones!$AA$42)&lt;PolicyEff),1,Milestones!$AC$42)&amp;";  ","")&amp;IF(AND(EDATE($D116,Milestones!$AA$43)&lt;=AsOfDate,EDATE($D116,Milestones!$AA$43)&gt;=SchemeStart,IF($X116=0,$AD116,IF(AND($Z116&lt;&gt;"",EDATE($D116,Milestones!$AA$43)&gt;=$Z116),$AC116,IF(AND($Y116&lt;&gt;"",EDATE($D116,Milestones!$AA$43)&gt;=$Y116),$AB116,$AA116)))=Milestones!$AB$43),UPPER(TEXT(EDATE($D116,Milestones!$AA$43),"dd mmm yy"))&amp;" "&amp;Milestones!$AB$43&amp;" "&amp;IF(AND(Milestones!$AB$43="FT",Milestones!$AA$43=FT_Y5,EDATE($D116,Milestones!$AA$43)&lt;PolicyEff),1,Milestones!$AC$43)&amp;";  ",""))</f>
        <v/>
      </c>
      <c r="K116" s="0" t="str">
        <f aca="false">IF(OR($A116="",$D116=""),"",IF(AND(EDATE($D116,Milestones!$AA$44)&lt;=AsOfDate,EDATE($D116,Milestones!$AA$44)&gt;=SchemeStart,IF($X116=0,$AD116,IF(AND($Z116&lt;&gt;"",EDATE($D116,Milestones!$AA$44)&gt;=$Z116),$AC116,IF(AND($Y116&lt;&gt;"",EDATE($D116,Milestones!$AA$44)&gt;=$Y116),$AB116,$AA116)))=Milestones!$AB$44),UPPER(TEXT(EDATE($D116,Milestones!$AA$44),"dd mmm yy"))&amp;" "&amp;Milestones!$AB$44&amp;" "&amp;IF(AND(Milestones!$AB$44="FT",Milestones!$AA$44=FT_Y5,EDATE($D116,Milestones!$AA$44)&lt;PolicyEff),1,Milestones!$AC$44)&amp;";  ","")&amp;IF(AND(EDATE($D116,Milestones!$AA$45)&lt;=AsOfDate,EDATE($D116,Milestones!$AA$45)&gt;=SchemeStart,IF($X116=0,$AD116,IF(AND($Z116&lt;&gt;"",EDATE($D116,Milestones!$AA$45)&gt;=$Z116),$AC116,IF(AND($Y116&lt;&gt;"",EDATE($D116,Milestones!$AA$45)&gt;=$Y116),$AB116,$AA116)))=Milestones!$AB$45),UPPER(TEXT(EDATE($D116,Milestones!$AA$45),"dd mmm yy"))&amp;" "&amp;Milestones!$AB$45&amp;" "&amp;IF(AND(Milestones!$AB$45="FT",Milestones!$AA$45=FT_Y5,EDATE($D116,Milestones!$AA$45)&lt;PolicyEff),1,Milestones!$AC$45)&amp;";  ","")&amp;IF(AND(EDATE($D116,Milestones!$AA$46)&lt;=AsOfDate,EDATE($D116,Milestones!$AA$46)&gt;=SchemeStart,IF($X116=0,$AD116,IF(AND($Z116&lt;&gt;"",EDATE($D116,Milestones!$AA$46)&gt;=$Z116),$AC116,IF(AND($Y116&lt;&gt;"",EDATE($D116,Milestones!$AA$46)&gt;=$Y116),$AB116,$AA116)))=Milestones!$AB$46),UPPER(TEXT(EDATE($D116,Milestones!$AA$46),"dd mmm yy"))&amp;" "&amp;Milestones!$AB$46&amp;" "&amp;IF(AND(Milestones!$AB$46="FT",Milestones!$AA$46=FT_Y5,EDATE($D116,Milestones!$AA$46)&lt;PolicyEff),1,Milestones!$AC$46)&amp;";  ","")&amp;IF(AND(EDATE($D116,Milestones!$AA$47)&lt;=AsOfDate,EDATE($D116,Milestones!$AA$47)&gt;=SchemeStart,IF($X116=0,$AD116,IF(AND($Z116&lt;&gt;"",EDATE($D116,Milestones!$AA$47)&gt;=$Z116),$AC116,IF(AND($Y116&lt;&gt;"",EDATE($D116,Milestones!$AA$47)&gt;=$Y116),$AB116,$AA116)))=Milestones!$AB$47),UPPER(TEXT(EDATE($D116,Milestones!$AA$47),"dd mmm yy"))&amp;" "&amp;Milestones!$AB$47&amp;" "&amp;IF(AND(Milestones!$AB$47="FT",Milestones!$AA$47=FT_Y5,EDATE($D116,Milestones!$AA$47)&lt;PolicyEff),1,Milestones!$AC$47)&amp;";  ","")&amp;IF(AND(EDATE($D116,Milestones!$AA$48)&lt;=AsOfDate,EDATE($D116,Milestones!$AA$48)&gt;=SchemeStart,IF($X116=0,$AD116,IF(AND($Z116&lt;&gt;"",EDATE($D116,Milestones!$AA$48)&gt;=$Z116),$AC116,IF(AND($Y116&lt;&gt;"",EDATE($D116,Milestones!$AA$48)&gt;=$Y116),$AB116,$AA116)))=Milestones!$AB$48),UPPER(TEXT(EDATE($D116,Milestones!$AA$48),"dd mmm yy"))&amp;" "&amp;Milestones!$AB$48&amp;" "&amp;IF(AND(Milestones!$AB$48="FT",Milestones!$AA$48=FT_Y5,EDATE($D116,Milestones!$AA$48)&lt;PolicyEff),1,Milestones!$AC$48)&amp;";  ","")&amp;IF(AND(EDATE($D116,Milestones!$AA$49)&lt;=AsOfDate,EDATE($D116,Milestones!$AA$49)&gt;=SchemeStart,IF($X116=0,$AD116,IF(AND($Z116&lt;&gt;"",EDATE($D116,Milestones!$AA$49)&gt;=$Z116),$AC116,IF(AND($Y116&lt;&gt;"",EDATE($D116,Milestones!$AA$49)&gt;=$Y116),$AB116,$AA116)))=Milestones!$AB$49),UPPER(TEXT(EDATE($D116,Milestones!$AA$49),"dd mmm yy"))&amp;" "&amp;Milestones!$AB$49&amp;" "&amp;IF(AND(Milestones!$AB$49="FT",Milestones!$AA$49=FT_Y5,EDATE($D116,Milestones!$AA$49)&lt;PolicyEff),1,Milestones!$AC$49)&amp;";  ","")&amp;IF(AND(EDATE($D116,Milestones!$AA$50)&lt;=AsOfDate,EDATE($D116,Milestones!$AA$50)&gt;=SchemeStart,IF($X116=0,$AD116,IF(AND($Z116&lt;&gt;"",EDATE($D116,Milestones!$AA$50)&gt;=$Z116),$AC116,IF(AND($Y116&lt;&gt;"",EDATE($D116,Milestones!$AA$50)&gt;=$Y116),$AB116,$AA116)))=Milestones!$AB$50),UPPER(TEXT(EDATE($D116,Milestones!$AA$50),"dd mmm yy"))&amp;" "&amp;Milestones!$AB$50&amp;" "&amp;IF(AND(Milestones!$AB$50="FT",Milestones!$AA$50=FT_Y5,EDATE($D116,Milestones!$AA$50)&lt;PolicyEff),1,Milestones!$AC$50)&amp;";  ","")&amp;IF(AND(EDATE($D116,Milestones!$AA$51)&lt;=AsOfDate,EDATE($D116,Milestones!$AA$51)&gt;=SchemeStart,IF($X116=0,$AD116,IF(AND($Z116&lt;&gt;"",EDATE($D116,Milestones!$AA$51)&gt;=$Z116),$AC116,IF(AND($Y116&lt;&gt;"",EDATE($D116,Milestones!$AA$51)&gt;=$Y116),$AB116,$AA116)))=Milestones!$AB$51),UPPER(TEXT(EDATE($D116,Milestones!$AA$51),"dd mmm yy"))&amp;" "&amp;Milestones!$AB$51&amp;" "&amp;IF(AND(Milestones!$AB$51="FT",Milestones!$AA$51=FT_Y5,EDATE($D116,Milestones!$AA$51)&lt;PolicyEff),1,Milestones!$AC$51)&amp;";  ","")&amp;IF(AND(EDATE($D116,Milestones!$AA$52)&lt;=AsOfDate,EDATE($D116,Milestones!$AA$52)&gt;=SchemeStart,IF($X116=0,$AD116,IF(AND($Z116&lt;&gt;"",EDATE($D116,Milestones!$AA$52)&gt;=$Z116),$AC116,IF(AND($Y116&lt;&gt;"",EDATE($D116,Milestones!$AA$52)&gt;=$Y116),$AB116,$AA116)))=Milestones!$AB$52),UPPER(TEXT(EDATE($D116,Milestones!$AA$52),"dd mmm yy"))&amp;" "&amp;Milestones!$AB$52&amp;" "&amp;IF(AND(Milestones!$AB$52="FT",Milestones!$AA$52=FT_Y5,EDATE($D116,Milestones!$AA$52)&lt;PolicyEff),1,Milestones!$AC$52)&amp;";  ","")&amp;IF(AND(EDATE($D116,Milestones!$AA$53)&lt;=AsOfDate,EDATE($D116,Milestones!$AA$53)&gt;=SchemeStart,IF($X116=0,$AD116,IF(AND($Z116&lt;&gt;"",EDATE($D116,Milestones!$AA$53)&gt;=$Z116),$AC116,IF(AND($Y116&lt;&gt;"",EDATE($D116,Milestones!$AA$53)&gt;=$Y116),$AB116,$AA116)))=Milestones!$AB$53),UPPER(TEXT(EDATE($D116,Milestones!$AA$53),"dd mmm yy"))&amp;" "&amp;Milestones!$AB$53&amp;" "&amp;IF(AND(Milestones!$AB$53="FT",Milestones!$AA$53=FT_Y5,EDATE($D116,Milestones!$AA$53)&lt;PolicyEff),1,Milestones!$AC$53)&amp;";  ","")&amp;IF(AND(EDATE($D116,Milestones!$AA$54)&lt;=AsOfDate,EDATE($D116,Milestones!$AA$54)&gt;=SchemeStart,IF($X116=0,$AD116,IF(AND($Z116&lt;&gt;"",EDATE($D116,Milestones!$AA$54)&gt;=$Z116),$AC116,IF(AND($Y116&lt;&gt;"",EDATE($D116,Milestones!$AA$54)&gt;=$Y116),$AB116,$AA116)))=Milestones!$AB$54),UPPER(TEXT(EDATE($D116,Milestones!$AA$54),"dd mmm yy"))&amp;" "&amp;Milestones!$AB$54&amp;" "&amp;IF(AND(Milestones!$AB$54="FT",Milestones!$AA$54=FT_Y5,EDATE($D116,Milestones!$AA$54)&lt;PolicyEff),1,Milestones!$AC$54)&amp;";  ","")&amp;IF(AND(EDATE($D116,Milestones!$AA$55)&lt;=AsOfDate,EDATE($D116,Milestones!$AA$55)&gt;=SchemeStart,IF($X116=0,$AD116,IF(AND($Z116&lt;&gt;"",EDATE($D116,Milestones!$AA$55)&gt;=$Z116),$AC116,IF(AND($Y116&lt;&gt;"",EDATE($D116,Milestones!$AA$55)&gt;=$Y116),$AB116,$AA116)))=Milestones!$AB$55),UPPER(TEXT(EDATE($D116,Milestones!$AA$55),"dd mmm yy"))&amp;" "&amp;Milestones!$AB$55&amp;" "&amp;IF(AND(Milestones!$AB$55="FT",Milestones!$AA$55=FT_Y5,EDATE($D116,Milestones!$AA$55)&lt;PolicyEff),1,Milestones!$AC$55)&amp;";  ",""))</f>
        <v/>
      </c>
      <c r="L116" s="0" t="str">
        <f aca="false">IF(OR($A116="",$D116=""),"",IF(AND(EDATE($D116,Milestones!$AA$56)&lt;=AsOfDate,EDATE($D116,Milestones!$AA$56)&gt;=SchemeStart,IF($X116=0,$AD116,IF(AND($Z116&lt;&gt;"",EDATE($D116,Milestones!$AA$56)&gt;=$Z116),$AC116,IF(AND($Y116&lt;&gt;"",EDATE($D116,Milestones!$AA$56)&gt;=$Y116),$AB116,$AA116)))=Milestones!$AB$56),UPPER(TEXT(EDATE($D116,Milestones!$AA$56),"dd mmm yy"))&amp;" "&amp;Milestones!$AB$56&amp;" "&amp;IF(AND(Milestones!$AB$56="FT",Milestones!$AA$56=FT_Y5,EDATE($D116,Milestones!$AA$56)&lt;PolicyEff),1,Milestones!$AC$56)&amp;";  ","")&amp;IF(AND(EDATE($D116,Milestones!$AA$57)&lt;=AsOfDate,EDATE($D116,Milestones!$AA$57)&gt;=SchemeStart,IF($X116=0,$AD116,IF(AND($Z116&lt;&gt;"",EDATE($D116,Milestones!$AA$57)&gt;=$Z116),$AC116,IF(AND($Y116&lt;&gt;"",EDATE($D116,Milestones!$AA$57)&gt;=$Y116),$AB116,$AA116)))=Milestones!$AB$57),UPPER(TEXT(EDATE($D116,Milestones!$AA$57),"dd mmm yy"))&amp;" "&amp;Milestones!$AB$57&amp;" "&amp;IF(AND(Milestones!$AB$57="FT",Milestones!$AA$57=FT_Y5,EDATE($D116,Milestones!$AA$57)&lt;PolicyEff),1,Milestones!$AC$57)&amp;";  ","")&amp;IF(AND(EDATE($D116,Milestones!$AA$58)&lt;=AsOfDate,EDATE($D116,Milestones!$AA$58)&gt;=SchemeStart,IF($X116=0,$AD116,IF(AND($Z116&lt;&gt;"",EDATE($D116,Milestones!$AA$58)&gt;=$Z116),$AC116,IF(AND($Y116&lt;&gt;"",EDATE($D116,Milestones!$AA$58)&gt;=$Y116),$AB116,$AA116)))=Milestones!$AB$58),UPPER(TEXT(EDATE($D116,Milestones!$AA$58),"dd mmm yy"))&amp;" "&amp;Milestones!$AB$58&amp;" "&amp;IF(AND(Milestones!$AB$58="FT",Milestones!$AA$58=FT_Y5,EDATE($D116,Milestones!$AA$58)&lt;PolicyEff),1,Milestones!$AC$58)&amp;";  ","")&amp;IF(AND(EDATE($D116,Milestones!$AA$59)&lt;=AsOfDate,EDATE($D116,Milestones!$AA$59)&gt;=SchemeStart,IF($X116=0,$AD116,IF(AND($Z116&lt;&gt;"",EDATE($D116,Milestones!$AA$59)&gt;=$Z116),$AC116,IF(AND($Y116&lt;&gt;"",EDATE($D116,Milestones!$AA$59)&gt;=$Y116),$AB116,$AA116)))=Milestones!$AB$59),UPPER(TEXT(EDATE($D116,Milestones!$AA$59),"dd mmm yy"))&amp;" "&amp;Milestones!$AB$59&amp;" "&amp;IF(AND(Milestones!$AB$59="FT",Milestones!$AA$59=FT_Y5,EDATE($D116,Milestones!$AA$59)&lt;PolicyEff),1,Milestones!$AC$59)&amp;";  ","")&amp;IF(AND(EDATE($D116,Milestones!$AA$60)&lt;=AsOfDate,EDATE($D116,Milestones!$AA$60)&gt;=SchemeStart,IF($X116=0,$AD116,IF(AND($Z116&lt;&gt;"",EDATE($D116,Milestones!$AA$60)&gt;=$Z116),$AC116,IF(AND($Y116&lt;&gt;"",EDATE($D116,Milestones!$AA$60)&gt;=$Y116),$AB116,$AA116)))=Milestones!$AB$60),UPPER(TEXT(EDATE($D116,Milestones!$AA$60),"dd mmm yy"))&amp;" "&amp;Milestones!$AB$60&amp;" "&amp;IF(AND(Milestones!$AB$60="FT",Milestones!$AA$60=FT_Y5,EDATE($D116,Milestones!$AA$60)&lt;PolicyEff),1,Milestones!$AC$60)&amp;";  ","")&amp;IF(AND(EDATE($D116,Milestones!$AA$61)&lt;=AsOfDate,EDATE($D116,Milestones!$AA$61)&gt;=SchemeStart,IF($X116=0,$AD116,IF(AND($Z116&lt;&gt;"",EDATE($D116,Milestones!$AA$61)&gt;=$Z116),$AC116,IF(AND($Y116&lt;&gt;"",EDATE($D116,Milestones!$AA$61)&gt;=$Y116),$AB116,$AA116)))=Milestones!$AB$61),UPPER(TEXT(EDATE($D116,Milestones!$AA$61),"dd mmm yy"))&amp;" "&amp;Milestones!$AB$61&amp;" "&amp;IF(AND(Milestones!$AB$61="FT",Milestones!$AA$61=FT_Y5,EDATE($D116,Milestones!$AA$61)&lt;PolicyEff),1,Milestones!$AC$61)&amp;";  ","")&amp;IF(AND(EDATE($D116,Milestones!$AA$62)&lt;=AsOfDate,EDATE($D116,Milestones!$AA$62)&gt;=SchemeStart,IF($X116=0,$AD116,IF(AND($Z116&lt;&gt;"",EDATE($D116,Milestones!$AA$62)&gt;=$Z116),$AC116,IF(AND($Y116&lt;&gt;"",EDATE($D116,Milestones!$AA$62)&gt;=$Y116),$AB116,$AA116)))=Milestones!$AB$62),UPPER(TEXT(EDATE($D116,Milestones!$AA$62),"dd mmm yy"))&amp;" "&amp;Milestones!$AB$62&amp;" "&amp;IF(AND(Milestones!$AB$62="FT",Milestones!$AA$62=FT_Y5,EDATE($D116,Milestones!$AA$62)&lt;PolicyEff),1,Milestones!$AC$62)&amp;";  ","")&amp;IF(AND(EDATE($D116,Milestones!$AA$63)&lt;=AsOfDate,EDATE($D116,Milestones!$AA$63)&gt;=SchemeStart,IF($X116=0,$AD116,IF(AND($Z116&lt;&gt;"",EDATE($D116,Milestones!$AA$63)&gt;=$Z116),$AC116,IF(AND($Y116&lt;&gt;"",EDATE($D116,Milestones!$AA$63)&gt;=$Y116),$AB116,$AA116)))=Milestones!$AB$63),UPPER(TEXT(EDATE($D116,Milestones!$AA$63),"dd mmm yy"))&amp;" "&amp;Milestones!$AB$63&amp;" "&amp;IF(AND(Milestones!$AB$63="FT",Milestones!$AA$63=FT_Y5,EDATE($D116,Milestones!$AA$63)&lt;PolicyEff),1,Milestones!$AC$63)&amp;";  ","")&amp;IF(AND(EDATE($D116,Milestones!$AA$64)&lt;=AsOfDate,EDATE($D116,Milestones!$AA$64)&gt;=SchemeStart,IF($X116=0,$AD116,IF(AND($Z116&lt;&gt;"",EDATE($D116,Milestones!$AA$64)&gt;=$Z116),$AC116,IF(AND($Y116&lt;&gt;"",EDATE($D116,Milestones!$AA$64)&gt;=$Y116),$AB116,$AA116)))=Milestones!$AB$64),UPPER(TEXT(EDATE($D116,Milestones!$AA$64),"dd mmm yy"))&amp;" "&amp;Milestones!$AB$64&amp;" "&amp;IF(AND(Milestones!$AB$64="FT",Milestones!$AA$64=FT_Y5,EDATE($D116,Milestones!$AA$64)&lt;PolicyEff),1,Milestones!$AC$64)&amp;";  ","")&amp;IF(AND(EDATE($D116,Milestones!$AA$65)&lt;=AsOfDate,EDATE($D116,Milestones!$AA$65)&gt;=SchemeStart,IF($X116=0,$AD116,IF(AND($Z116&lt;&gt;"",EDATE($D116,Milestones!$AA$65)&gt;=$Z116),$AC116,IF(AND($Y116&lt;&gt;"",EDATE($D116,Milestones!$AA$65)&gt;=$Y116),$AB116,$AA116)))=Milestones!$AB$65),UPPER(TEXT(EDATE($D116,Milestones!$AA$65),"dd mmm yy"))&amp;" "&amp;Milestones!$AB$65&amp;" "&amp;IF(AND(Milestones!$AB$65="FT",Milestones!$AA$65=FT_Y5,EDATE($D116,Milestones!$AA$65)&lt;PolicyEff),1,Milestones!$AC$65)&amp;";  ","")&amp;IF(AND(EDATE($D116,Milestones!$AA$66)&lt;=AsOfDate,EDATE($D116,Milestones!$AA$66)&gt;=SchemeStart,IF($X116=0,$AD116,IF(AND($Z116&lt;&gt;"",EDATE($D116,Milestones!$AA$66)&gt;=$Z116),$AC116,IF(AND($Y116&lt;&gt;"",EDATE($D116,Milestones!$AA$66)&gt;=$Y116),$AB116,$AA116)))=Milestones!$AB$66),UPPER(TEXT(EDATE($D116,Milestones!$AA$66),"dd mmm yy"))&amp;" "&amp;Milestones!$AB$66&amp;" "&amp;IF(AND(Milestones!$AB$66="FT",Milestones!$AA$66=FT_Y5,EDATE($D116,Milestones!$AA$66)&lt;PolicyEff),1,Milestones!$AC$66)&amp;";  ","")&amp;IF(AND(EDATE($D116,Milestones!$AA$67)&lt;=AsOfDate,EDATE($D116,Milestones!$AA$67)&gt;=SchemeStart,IF($X116=0,$AD116,IF(AND($Z116&lt;&gt;"",EDATE($D116,Milestones!$AA$67)&gt;=$Z116),$AC116,IF(AND($Y116&lt;&gt;"",EDATE($D116,Milestones!$AA$67)&gt;=$Y116),$AB116,$AA116)))=Milestones!$AB$67),UPPER(TEXT(EDATE($D116,Milestones!$AA$67),"dd mmm yy"))&amp;" "&amp;Milestones!$AB$67&amp;" "&amp;IF(AND(Milestones!$AB$67="FT",Milestones!$AA$67=FT_Y5,EDATE($D116,Milestones!$AA$67)&lt;PolicyEff),1,Milestones!$AC$67)&amp;";  ",""))</f>
        <v/>
      </c>
      <c r="M116" s="0" t="str">
        <f aca="false">IF(OR($A116="",$D116=""),"",IF(AND(EDATE($D116,Milestones!$AA$68)&lt;=AsOfDate,EDATE($D116,Milestones!$AA$68)&gt;=SchemeStart,IF($X116=0,$AD116,IF(AND($Z116&lt;&gt;"",EDATE($D116,Milestones!$AA$68)&gt;=$Z116),$AC116,IF(AND($Y116&lt;&gt;"",EDATE($D116,Milestones!$AA$68)&gt;=$Y116),$AB116,$AA116)))=Milestones!$AB$68),UPPER(TEXT(EDATE($D116,Milestones!$AA$68),"dd mmm yy"))&amp;" "&amp;Milestones!$AB$68&amp;" "&amp;IF(AND(Milestones!$AB$68="FT",Milestones!$AA$68=FT_Y5,EDATE($D116,Milestones!$AA$68)&lt;PolicyEff),1,Milestones!$AC$68)&amp;";  ","")&amp;IF(AND(EDATE($D116,Milestones!$AA$69)&lt;=AsOfDate,EDATE($D116,Milestones!$AA$69)&gt;=SchemeStart,IF($X116=0,$AD116,IF(AND($Z116&lt;&gt;"",EDATE($D116,Milestones!$AA$69)&gt;=$Z116),$AC116,IF(AND($Y116&lt;&gt;"",EDATE($D116,Milestones!$AA$69)&gt;=$Y116),$AB116,$AA116)))=Milestones!$AB$69),UPPER(TEXT(EDATE($D116,Milestones!$AA$69),"dd mmm yy"))&amp;" "&amp;Milestones!$AB$69&amp;" "&amp;IF(AND(Milestones!$AB$69="FT",Milestones!$AA$69=FT_Y5,EDATE($D116,Milestones!$AA$69)&lt;PolicyEff),1,Milestones!$AC$69)&amp;";  ","")&amp;IF(AND(EDATE($D116,Milestones!$AA$70)&lt;=AsOfDate,EDATE($D116,Milestones!$AA$70)&gt;=SchemeStart,IF($X116=0,$AD116,IF(AND($Z116&lt;&gt;"",EDATE($D116,Milestones!$AA$70)&gt;=$Z116),$AC116,IF(AND($Y116&lt;&gt;"",EDATE($D116,Milestones!$AA$70)&gt;=$Y116),$AB116,$AA116)))=Milestones!$AB$70),UPPER(TEXT(EDATE($D116,Milestones!$AA$70),"dd mmm yy"))&amp;" "&amp;Milestones!$AB$70&amp;" "&amp;IF(AND(Milestones!$AB$70="FT",Milestones!$AA$70=FT_Y5,EDATE($D116,Milestones!$AA$70)&lt;PolicyEff),1,Milestones!$AC$70)&amp;";  ","")&amp;IF(AND(EDATE($D116,Milestones!$AA$71)&lt;=AsOfDate,EDATE($D116,Milestones!$AA$71)&gt;=SchemeStart,IF($X116=0,$AD116,IF(AND($Z116&lt;&gt;"",EDATE($D116,Milestones!$AA$71)&gt;=$Z116),$AC116,IF(AND($Y116&lt;&gt;"",EDATE($D116,Milestones!$AA$71)&gt;=$Y116),$AB116,$AA116)))=Milestones!$AB$71),UPPER(TEXT(EDATE($D116,Milestones!$AA$71),"dd mmm yy"))&amp;" "&amp;Milestones!$AB$71&amp;" "&amp;IF(AND(Milestones!$AB$71="FT",Milestones!$AA$71=FT_Y5,EDATE($D116,Milestones!$AA$71)&lt;PolicyEff),1,Milestones!$AC$71)&amp;";  ","")&amp;IF(AND(EDATE($D116,Milestones!$AA$72)&lt;=AsOfDate,EDATE($D116,Milestones!$AA$72)&gt;=SchemeStart,IF($X116=0,$AD116,IF(AND($Z116&lt;&gt;"",EDATE($D116,Milestones!$AA$72)&gt;=$Z116),$AC116,IF(AND($Y116&lt;&gt;"",EDATE($D116,Milestones!$AA$72)&gt;=$Y116),$AB116,$AA116)))=Milestones!$AB$72),UPPER(TEXT(EDATE($D116,Milestones!$AA$72),"dd mmm yy"))&amp;" "&amp;Milestones!$AB$72&amp;" "&amp;IF(AND(Milestones!$AB$72="FT",Milestones!$AA$72=FT_Y5,EDATE($D116,Milestones!$AA$72)&lt;PolicyEff),1,Milestones!$AC$72)&amp;";  ","")&amp;IF(AND(EDATE($D116,Milestones!$AA$73)&lt;=AsOfDate,EDATE($D116,Milestones!$AA$73)&gt;=SchemeStart,IF($X116=0,$AD116,IF(AND($Z116&lt;&gt;"",EDATE($D116,Milestones!$AA$73)&gt;=$Z116),$AC116,IF(AND($Y116&lt;&gt;"",EDATE($D116,Milestones!$AA$73)&gt;=$Y116),$AB116,$AA116)))=Milestones!$AB$73),UPPER(TEXT(EDATE($D116,Milestones!$AA$73),"dd mmm yy"))&amp;" "&amp;Milestones!$AB$73&amp;" "&amp;IF(AND(Milestones!$AB$73="FT",Milestones!$AA$73=FT_Y5,EDATE($D116,Milestones!$AA$73)&lt;PolicyEff),1,Milestones!$AC$73)&amp;";  ","")&amp;IF(AND(EDATE($D116,Milestones!$AA$74)&lt;=AsOfDate,EDATE($D116,Milestones!$AA$74)&gt;=SchemeStart,IF($X116=0,$AD116,IF(AND($Z116&lt;&gt;"",EDATE($D116,Milestones!$AA$74)&gt;=$Z116),$AC116,IF(AND($Y116&lt;&gt;"",EDATE($D116,Milestones!$AA$74)&gt;=$Y116),$AB116,$AA116)))=Milestones!$AB$74),UPPER(TEXT(EDATE($D116,Milestones!$AA$74),"dd mmm yy"))&amp;" "&amp;Milestones!$AB$74&amp;" "&amp;IF(AND(Milestones!$AB$74="FT",Milestones!$AA$74=FT_Y5,EDATE($D116,Milestones!$AA$74)&lt;PolicyEff),1,Milestones!$AC$74)&amp;";  ","")&amp;IF(AND(EDATE($D116,Milestones!$AA$75)&lt;=AsOfDate,EDATE($D116,Milestones!$AA$75)&gt;=SchemeStart,IF($X116=0,$AD116,IF(AND($Z116&lt;&gt;"",EDATE($D116,Milestones!$AA$75)&gt;=$Z116),$AC116,IF(AND($Y116&lt;&gt;"",EDATE($D116,Milestones!$AA$75)&gt;=$Y116),$AB116,$AA116)))=Milestones!$AB$75),UPPER(TEXT(EDATE($D116,Milestones!$AA$75),"dd mmm yy"))&amp;" "&amp;Milestones!$AB$75&amp;" "&amp;IF(AND(Milestones!$AB$75="FT",Milestones!$AA$75=FT_Y5,EDATE($D116,Milestones!$AA$75)&lt;PolicyEff),1,Milestones!$AC$75)&amp;";  ","")&amp;IF(AND(EDATE($D116,Milestones!$AA$76)&lt;=AsOfDate,EDATE($D116,Milestones!$AA$76)&gt;=SchemeStart,IF($X116=0,$AD116,IF(AND($Z116&lt;&gt;"",EDATE($D116,Milestones!$AA$76)&gt;=$Z116),$AC116,IF(AND($Y116&lt;&gt;"",EDATE($D116,Milestones!$AA$76)&gt;=$Y116),$AB116,$AA116)))=Milestones!$AB$76),UPPER(TEXT(EDATE($D116,Milestones!$AA$76),"dd mmm yy"))&amp;" "&amp;Milestones!$AB$76&amp;" "&amp;IF(AND(Milestones!$AB$76="FT",Milestones!$AA$76=FT_Y5,EDATE($D116,Milestones!$AA$76)&lt;PolicyEff),1,Milestones!$AC$76)&amp;";  ","")&amp;IF(AND(EDATE($D116,Milestones!$AA$77)&lt;=AsOfDate,EDATE($D116,Milestones!$AA$77)&gt;=SchemeStart,IF($X116=0,$AD116,IF(AND($Z116&lt;&gt;"",EDATE($D116,Milestones!$AA$77)&gt;=$Z116),$AC116,IF(AND($Y116&lt;&gt;"",EDATE($D116,Milestones!$AA$77)&gt;=$Y116),$AB116,$AA116)))=Milestones!$AB$77),UPPER(TEXT(EDATE($D116,Milestones!$AA$77),"dd mmm yy"))&amp;" "&amp;Milestones!$AB$77&amp;" "&amp;IF(AND(Milestones!$AB$77="FT",Milestones!$AA$77=FT_Y5,EDATE($D116,Milestones!$AA$77)&lt;PolicyEff),1,Milestones!$AC$77)&amp;";  ","")&amp;IF(AND(EDATE($D116,Milestones!$AA$78)&lt;=AsOfDate,EDATE($D116,Milestones!$AA$78)&gt;=SchemeStart,IF($X116=0,$AD116,IF(AND($Z116&lt;&gt;"",EDATE($D116,Milestones!$AA$78)&gt;=$Z116),$AC116,IF(AND($Y116&lt;&gt;"",EDATE($D116,Milestones!$AA$78)&gt;=$Y116),$AB116,$AA116)))=Milestones!$AB$78),UPPER(TEXT(EDATE($D116,Milestones!$AA$78),"dd mmm yy"))&amp;" "&amp;Milestones!$AB$78&amp;" "&amp;IF(AND(Milestones!$AB$78="FT",Milestones!$AA$78=FT_Y5,EDATE($D116,Milestones!$AA$78)&lt;PolicyEff),1,Milestones!$AC$78)&amp;";  ","")&amp;IF(AND(EDATE($D116,Milestones!$AA$79)&lt;=AsOfDate,EDATE($D116,Milestones!$AA$79)&gt;=SchemeStart,IF($X116=0,$AD116,IF(AND($Z116&lt;&gt;"",EDATE($D116,Milestones!$AA$79)&gt;=$Z116),$AC116,IF(AND($Y116&lt;&gt;"",EDATE($D116,Milestones!$AA$79)&gt;=$Y116),$AB116,$AA116)))=Milestones!$AB$79),UPPER(TEXT(EDATE($D116,Milestones!$AA$79),"dd mmm yy"))&amp;" "&amp;Milestones!$AB$79&amp;" "&amp;IF(AND(Milestones!$AB$79="FT",Milestones!$AA$79=FT_Y5,EDATE($D116,Milestones!$AA$79)&lt;PolicyEff),1,Milestones!$AC$79)&amp;";  ",""))</f>
        <v/>
      </c>
      <c r="N116" s="0" t="str">
        <f aca="false">IF(OR($A116="",$D116=""),"",IF(AND(EDATE($D116,Milestones!$AA$80)&lt;=AsOfDate,EDATE($D116,Milestones!$AA$80)&gt;=SchemeStart,IF($X116=0,$AD116,IF(AND($Z116&lt;&gt;"",EDATE($D116,Milestones!$AA$80)&gt;=$Z116),$AC116,IF(AND($Y116&lt;&gt;"",EDATE($D116,Milestones!$AA$80)&gt;=$Y116),$AB116,$AA116)))=Milestones!$AB$80),UPPER(TEXT(EDATE($D116,Milestones!$AA$80),"dd mmm yy"))&amp;" "&amp;Milestones!$AB$80&amp;" "&amp;IF(AND(Milestones!$AB$80="FT",Milestones!$AA$80=FT_Y5,EDATE($D116,Milestones!$AA$80)&lt;PolicyEff),1,Milestones!$AC$80)&amp;";  ","")&amp;IF(AND(EDATE($D116,Milestones!$AA$81)&lt;=AsOfDate,EDATE($D116,Milestones!$AA$81)&gt;=SchemeStart,IF($X116=0,$AD116,IF(AND($Z116&lt;&gt;"",EDATE($D116,Milestones!$AA$81)&gt;=$Z116),$AC116,IF(AND($Y116&lt;&gt;"",EDATE($D116,Milestones!$AA$81)&gt;=$Y116),$AB116,$AA116)))=Milestones!$AB$81),UPPER(TEXT(EDATE($D116,Milestones!$AA$81),"dd mmm yy"))&amp;" "&amp;Milestones!$AB$81&amp;" "&amp;IF(AND(Milestones!$AB$81="FT",Milestones!$AA$81=FT_Y5,EDATE($D116,Milestones!$AA$81)&lt;PolicyEff),1,Milestones!$AC$81)&amp;";  ","")&amp;IF(AND(EDATE($D116,Milestones!$AA$82)&lt;=AsOfDate,EDATE($D116,Milestones!$AA$82)&gt;=SchemeStart,IF($X116=0,$AD116,IF(AND($Z116&lt;&gt;"",EDATE($D116,Milestones!$AA$82)&gt;=$Z116),$AC116,IF(AND($Y116&lt;&gt;"",EDATE($D116,Milestones!$AA$82)&gt;=$Y116),$AB116,$AA116)))=Milestones!$AB$82),UPPER(TEXT(EDATE($D116,Milestones!$AA$82),"dd mmm yy"))&amp;" "&amp;Milestones!$AB$82&amp;" "&amp;IF(AND(Milestones!$AB$82="FT",Milestones!$AA$82=FT_Y5,EDATE($D116,Milestones!$AA$82)&lt;PolicyEff),1,Milestones!$AC$82)&amp;";  ","")&amp;IF(AND(EDATE($D116,Milestones!$AA$83)&lt;=AsOfDate,EDATE($D116,Milestones!$AA$83)&gt;=SchemeStart,IF($X116=0,$AD116,IF(AND($Z116&lt;&gt;"",EDATE($D116,Milestones!$AA$83)&gt;=$Z116),$AC116,IF(AND($Y116&lt;&gt;"",EDATE($D116,Milestones!$AA$83)&gt;=$Y116),$AB116,$AA116)))=Milestones!$AB$83),UPPER(TEXT(EDATE($D116,Milestones!$AA$83),"dd mmm yy"))&amp;" "&amp;Milestones!$AB$83&amp;" "&amp;IF(AND(Milestones!$AB$83="FT",Milestones!$AA$83=FT_Y5,EDATE($D116,Milestones!$AA$83)&lt;PolicyEff),1,Milestones!$AC$83)&amp;";  ","")&amp;IF(AND(EDATE($D116,Milestones!$AA$84)&lt;=AsOfDate,EDATE($D116,Milestones!$AA$84)&gt;=SchemeStart,IF($X116=0,$AD116,IF(AND($Z116&lt;&gt;"",EDATE($D116,Milestones!$AA$84)&gt;=$Z116),$AC116,IF(AND($Y116&lt;&gt;"",EDATE($D116,Milestones!$AA$84)&gt;=$Y116),$AB116,$AA116)))=Milestones!$AB$84),UPPER(TEXT(EDATE($D116,Milestones!$AA$84),"dd mmm yy"))&amp;" "&amp;Milestones!$AB$84&amp;" "&amp;IF(AND(Milestones!$AB$84="FT",Milestones!$AA$84=FT_Y5,EDATE($D116,Milestones!$AA$84)&lt;PolicyEff),1,Milestones!$AC$84)&amp;";  ","")&amp;IF(AND(EDATE($D116,Milestones!$AA$85)&lt;=AsOfDate,EDATE($D116,Milestones!$AA$85)&gt;=SchemeStart,IF($X116=0,$AD116,IF(AND($Z116&lt;&gt;"",EDATE($D116,Milestones!$AA$85)&gt;=$Z116),$AC116,IF(AND($Y116&lt;&gt;"",EDATE($D116,Milestones!$AA$85)&gt;=$Y116),$AB116,$AA116)))=Milestones!$AB$85),UPPER(TEXT(EDATE($D116,Milestones!$AA$85),"dd mmm yy"))&amp;" "&amp;Milestones!$AB$85&amp;" "&amp;IF(AND(Milestones!$AB$85="FT",Milestones!$AA$85=FT_Y5,EDATE($D116,Milestones!$AA$85)&lt;PolicyEff),1,Milestones!$AC$85)&amp;";  ","")&amp;IF(AND(EDATE($D116,Milestones!$AA$86)&lt;=AsOfDate,EDATE($D116,Milestones!$AA$86)&gt;=SchemeStart,IF($X116=0,$AD116,IF(AND($Z116&lt;&gt;"",EDATE($D116,Milestones!$AA$86)&gt;=$Z116),$AC116,IF(AND($Y116&lt;&gt;"",EDATE($D116,Milestones!$AA$86)&gt;=$Y116),$AB116,$AA116)))=Milestones!$AB$86),UPPER(TEXT(EDATE($D116,Milestones!$AA$86),"dd mmm yy"))&amp;" "&amp;Milestones!$AB$86&amp;" "&amp;IF(AND(Milestones!$AB$86="FT",Milestones!$AA$86=FT_Y5,EDATE($D116,Milestones!$AA$86)&lt;PolicyEff),1,Milestones!$AC$86)&amp;";  ","")&amp;IF(AND(EDATE($D116,Milestones!$AA$87)&lt;=AsOfDate,EDATE($D116,Milestones!$AA$87)&gt;=SchemeStart,IF($X116=0,$AD116,IF(AND($Z116&lt;&gt;"",EDATE($D116,Milestones!$AA$87)&gt;=$Z116),$AC116,IF(AND($Y116&lt;&gt;"",EDATE($D116,Milestones!$AA$87)&gt;=$Y116),$AB116,$AA116)))=Milestones!$AB$87),UPPER(TEXT(EDATE($D116,Milestones!$AA$87),"dd mmm yy"))&amp;" "&amp;Milestones!$AB$87&amp;" "&amp;IF(AND(Milestones!$AB$87="FT",Milestones!$AA$87=FT_Y5,EDATE($D116,Milestones!$AA$87)&lt;PolicyEff),1,Milestones!$AC$87)&amp;";  ","")&amp;IF(AND(EDATE($D116,Milestones!$AA$88)&lt;=AsOfDate,EDATE($D116,Milestones!$AA$88)&gt;=SchemeStart,IF($X116=0,$AD116,IF(AND($Z116&lt;&gt;"",EDATE($D116,Milestones!$AA$88)&gt;=$Z116),$AC116,IF(AND($Y116&lt;&gt;"",EDATE($D116,Milestones!$AA$88)&gt;=$Y116),$AB116,$AA116)))=Milestones!$AB$88),UPPER(TEXT(EDATE($D116,Milestones!$AA$88),"dd mmm yy"))&amp;" "&amp;Milestones!$AB$88&amp;" "&amp;IF(AND(Milestones!$AB$88="FT",Milestones!$AA$88=FT_Y5,EDATE($D116,Milestones!$AA$88)&lt;PolicyEff),1,Milestones!$AC$88)&amp;";  ","")&amp;IF(AND(EDATE($D116,Milestones!$AA$89)&lt;=AsOfDate,EDATE($D116,Milestones!$AA$89)&gt;=SchemeStart,IF($X116=0,$AD116,IF(AND($Z116&lt;&gt;"",EDATE($D116,Milestones!$AA$89)&gt;=$Z116),$AC116,IF(AND($Y116&lt;&gt;"",EDATE($D116,Milestones!$AA$89)&gt;=$Y116),$AB116,$AA116)))=Milestones!$AB$89),UPPER(TEXT(EDATE($D116,Milestones!$AA$89),"dd mmm yy"))&amp;" "&amp;Milestones!$AB$89&amp;" "&amp;IF(AND(Milestones!$AB$89="FT",Milestones!$AA$89=FT_Y5,EDATE($D116,Milestones!$AA$89)&lt;PolicyEff),1,Milestones!$AC$89)&amp;";  ","")&amp;IF(AND(EDATE($D116,Milestones!$AA$90)&lt;=AsOfDate,EDATE($D116,Milestones!$AA$90)&gt;=SchemeStart,IF($X116=0,$AD116,IF(AND($Z116&lt;&gt;"",EDATE($D116,Milestones!$AA$90)&gt;=$Z116),$AC116,IF(AND($Y116&lt;&gt;"",EDATE($D116,Milestones!$AA$90)&gt;=$Y116),$AB116,$AA116)))=Milestones!$AB$90),UPPER(TEXT(EDATE($D116,Milestones!$AA$90),"dd mmm yy"))&amp;" "&amp;Milestones!$AB$90&amp;" "&amp;IF(AND(Milestones!$AB$90="FT",Milestones!$AA$90=FT_Y5,EDATE($D116,Milestones!$AA$90)&lt;PolicyEff),1,Milestones!$AC$90)&amp;";  ","")&amp;IF(AND(EDATE($D116,Milestones!$AA$91)&lt;=AsOfDate,EDATE($D116,Milestones!$AA$91)&gt;=SchemeStart,IF($X116=0,$AD116,IF(AND($Z116&lt;&gt;"",EDATE($D116,Milestones!$AA$91)&gt;=$Z116),$AC116,IF(AND($Y116&lt;&gt;"",EDATE($D116,Milestones!$AA$91)&gt;=$Y116),$AB116,$AA116)))=Milestones!$AB$91),UPPER(TEXT(EDATE($D116,Milestones!$AA$91),"dd mmm yy"))&amp;" "&amp;Milestones!$AB$91&amp;" "&amp;IF(AND(Milestones!$AB$91="FT",Milestones!$AA$91=FT_Y5,EDATE($D116,Milestones!$AA$91)&lt;PolicyEff),1,Milestones!$AC$91)&amp;";  ",""))</f>
        <v/>
      </c>
      <c r="O116" s="0" t="str">
        <f aca="false">IF(OR($A116="",$D116=""),"",IF(AND(EDATE($D116,Milestones!$AA$92)&lt;=AsOfDate,EDATE($D116,Milestones!$AA$92)&gt;=SchemeStart,IF($X116=0,$AD116,IF(AND($Z116&lt;&gt;"",EDATE($D116,Milestones!$AA$92)&gt;=$Z116),$AC116,IF(AND($Y116&lt;&gt;"",EDATE($D116,Milestones!$AA$92)&gt;=$Y116),$AB116,$AA116)))=Milestones!$AB$92),UPPER(TEXT(EDATE($D116,Milestones!$AA$92),"dd mmm yy"))&amp;" "&amp;Milestones!$AB$92&amp;" "&amp;IF(AND(Milestones!$AB$92="FT",Milestones!$AA$92=FT_Y5,EDATE($D116,Milestones!$AA$92)&lt;PolicyEff),1,Milestones!$AC$92)&amp;";  ","")&amp;IF(AND(EDATE($D116,Milestones!$AA$93)&lt;=AsOfDate,EDATE($D116,Milestones!$AA$93)&gt;=SchemeStart,IF($X116=0,$AD116,IF(AND($Z116&lt;&gt;"",EDATE($D116,Milestones!$AA$93)&gt;=$Z116),$AC116,IF(AND($Y116&lt;&gt;"",EDATE($D116,Milestones!$AA$93)&gt;=$Y116),$AB116,$AA116)))=Milestones!$AB$93),UPPER(TEXT(EDATE($D116,Milestones!$AA$93),"dd mmm yy"))&amp;" "&amp;Milestones!$AB$93&amp;" "&amp;IF(AND(Milestones!$AB$93="FT",Milestones!$AA$93=FT_Y5,EDATE($D116,Milestones!$AA$93)&lt;PolicyEff),1,Milestones!$AC$93)&amp;";  ","")&amp;IF(AND(EDATE($D116,Milestones!$AA$94)&lt;=AsOfDate,EDATE($D116,Milestones!$AA$94)&gt;=SchemeStart,IF($X116=0,$AD116,IF(AND($Z116&lt;&gt;"",EDATE($D116,Milestones!$AA$94)&gt;=$Z116),$AC116,IF(AND($Y116&lt;&gt;"",EDATE($D116,Milestones!$AA$94)&gt;=$Y116),$AB116,$AA116)))=Milestones!$AB$94),UPPER(TEXT(EDATE($D116,Milestones!$AA$94),"dd mmm yy"))&amp;" "&amp;Milestones!$AB$94&amp;" "&amp;IF(AND(Milestones!$AB$94="FT",Milestones!$AA$94=FT_Y5,EDATE($D116,Milestones!$AA$94)&lt;PolicyEff),1,Milestones!$AC$94)&amp;";  ","")&amp;IF(AND(EDATE($D116,Milestones!$AA$95)&lt;=AsOfDate,EDATE($D116,Milestones!$AA$95)&gt;=SchemeStart,IF($X116=0,$AD116,IF(AND($Z116&lt;&gt;"",EDATE($D116,Milestones!$AA$95)&gt;=$Z116),$AC116,IF(AND($Y116&lt;&gt;"",EDATE($D116,Milestones!$AA$95)&gt;=$Y116),$AB116,$AA116)))=Milestones!$AB$95),UPPER(TEXT(EDATE($D116,Milestones!$AA$95),"dd mmm yy"))&amp;" "&amp;Milestones!$AB$95&amp;" "&amp;IF(AND(Milestones!$AB$95="FT",Milestones!$AA$95=FT_Y5,EDATE($D116,Milestones!$AA$95)&lt;PolicyEff),1,Milestones!$AC$95)&amp;";  ","")&amp;IF(AND(EDATE($D116,Milestones!$AA$96)&lt;=AsOfDate,EDATE($D116,Milestones!$AA$96)&gt;=SchemeStart,IF($X116=0,$AD116,IF(AND($Z116&lt;&gt;"",EDATE($D116,Milestones!$AA$96)&gt;=$Z116),$AC116,IF(AND($Y116&lt;&gt;"",EDATE($D116,Milestones!$AA$96)&gt;=$Y116),$AB116,$AA116)))=Milestones!$AB$96),UPPER(TEXT(EDATE($D116,Milestones!$AA$96),"dd mmm yy"))&amp;" "&amp;Milestones!$AB$96&amp;" "&amp;IF(AND(Milestones!$AB$96="FT",Milestones!$AA$96=FT_Y5,EDATE($D116,Milestones!$AA$96)&lt;PolicyEff),1,Milestones!$AC$96)&amp;";  ","")&amp;IF(AND(EDATE($D116,Milestones!$AA$97)&lt;=AsOfDate,EDATE($D116,Milestones!$AA$97)&gt;=SchemeStart,IF($X116=0,$AD116,IF(AND($Z116&lt;&gt;"",EDATE($D116,Milestones!$AA$97)&gt;=$Z116),$AC116,IF(AND($Y116&lt;&gt;"",EDATE($D116,Milestones!$AA$97)&gt;=$Y116),$AB116,$AA116)))=Milestones!$AB$97),UPPER(TEXT(EDATE($D116,Milestones!$AA$97),"dd mmm yy"))&amp;" "&amp;Milestones!$AB$97&amp;" "&amp;IF(AND(Milestones!$AB$97="FT",Milestones!$AA$97=FT_Y5,EDATE($D116,Milestones!$AA$97)&lt;PolicyEff),1,Milestones!$AC$97)&amp;";  ","")&amp;IF(AND(EDATE($D116,Milestones!$AA$98)&lt;=AsOfDate,EDATE($D116,Milestones!$AA$98)&gt;=SchemeStart,IF($X116=0,$AD116,IF(AND($Z116&lt;&gt;"",EDATE($D116,Milestones!$AA$98)&gt;=$Z116),$AC116,IF(AND($Y116&lt;&gt;"",EDATE($D116,Milestones!$AA$98)&gt;=$Y116),$AB116,$AA116)))=Milestones!$AB$98),UPPER(TEXT(EDATE($D116,Milestones!$AA$98),"dd mmm yy"))&amp;" "&amp;Milestones!$AB$98&amp;" "&amp;IF(AND(Milestones!$AB$98="FT",Milestones!$AA$98=FT_Y5,EDATE($D116,Milestones!$AA$98)&lt;PolicyEff),1,Milestones!$AC$98)&amp;";  ","")&amp;IF(AND(EDATE($D116,Milestones!$AA$99)&lt;=AsOfDate,EDATE($D116,Milestones!$AA$99)&gt;=SchemeStart,IF($X116=0,$AD116,IF(AND($Z116&lt;&gt;"",EDATE($D116,Milestones!$AA$99)&gt;=$Z116),$AC116,IF(AND($Y116&lt;&gt;"",EDATE($D116,Milestones!$AA$99)&gt;=$Y116),$AB116,$AA116)))=Milestones!$AB$99),UPPER(TEXT(EDATE($D116,Milestones!$AA$99),"dd mmm yy"))&amp;" "&amp;Milestones!$AB$99&amp;" "&amp;IF(AND(Milestones!$AB$99="FT",Milestones!$AA$99=FT_Y5,EDATE($D116,Milestones!$AA$99)&lt;PolicyEff),1,Milestones!$AC$99)&amp;";  ","")&amp;IF(AND(EDATE($D116,Milestones!$AA$100)&lt;=AsOfDate,EDATE($D116,Milestones!$AA$100)&gt;=SchemeStart,IF($X116=0,$AD116,IF(AND($Z116&lt;&gt;"",EDATE($D116,Milestones!$AA$100)&gt;=$Z116),$AC116,IF(AND($Y116&lt;&gt;"",EDATE($D116,Milestones!$AA$100)&gt;=$Y116),$AB116,$AA116)))=Milestones!$AB$100),UPPER(TEXT(EDATE($D116,Milestones!$AA$100),"dd mmm yy"))&amp;" "&amp;Milestones!$AB$100&amp;" "&amp;IF(AND(Milestones!$AB$100="FT",Milestones!$AA$100=FT_Y5,EDATE($D116,Milestones!$AA$100)&lt;PolicyEff),1,Milestones!$AC$100)&amp;";  ","")&amp;IF(AND(EDATE($D116,Milestones!$AA$101)&lt;=AsOfDate,EDATE($D116,Milestones!$AA$101)&gt;=SchemeStart,IF($X116=0,$AD116,IF(AND($Z116&lt;&gt;"",EDATE($D116,Milestones!$AA$101)&gt;=$Z116),$AC116,IF(AND($Y116&lt;&gt;"",EDATE($D116,Milestones!$AA$101)&gt;=$Y116),$AB116,$AA116)))=Milestones!$AB$101),UPPER(TEXT(EDATE($D116,Milestones!$AA$101),"dd mmm yy"))&amp;" "&amp;Milestones!$AB$101&amp;" "&amp;IF(AND(Milestones!$AB$101="FT",Milestones!$AA$101=FT_Y5,EDATE($D116,Milestones!$AA$101)&lt;PolicyEff),1,Milestones!$AC$101)&amp;";  ","")&amp;IF(AND(EDATE($D116,Milestones!$AA$102)&lt;=AsOfDate,EDATE($D116,Milestones!$AA$102)&gt;=SchemeStart,IF($X116=0,$AD116,IF(AND($Z116&lt;&gt;"",EDATE($D116,Milestones!$AA$102)&gt;=$Z116),$AC116,IF(AND($Y116&lt;&gt;"",EDATE($D116,Milestones!$AA$102)&gt;=$Y116),$AB116,$AA116)))=Milestones!$AB$102),UPPER(TEXT(EDATE($D116,Milestones!$AA$102),"dd mmm yy"))&amp;" "&amp;Milestones!$AB$102&amp;" "&amp;IF(AND(Milestones!$AB$102="FT",Milestones!$AA$102=FT_Y5,EDATE($D116,Milestones!$AA$102)&lt;PolicyEff),1,Milestones!$AC$102)&amp;";  ","")&amp;IF(AND(EDATE($D116,Milestones!$AA$103)&lt;=AsOfDate,EDATE($D116,Milestones!$AA$103)&gt;=SchemeStart,IF($X116=0,$AD116,IF(AND($Z116&lt;&gt;"",EDATE($D116,Milestones!$AA$103)&gt;=$Z116),$AC116,IF(AND($Y116&lt;&gt;"",EDATE($D116,Milestones!$AA$103)&gt;=$Y116),$AB116,$AA116)))=Milestones!$AB$103),UPPER(TEXT(EDATE($D116,Milestones!$AA$103),"dd mmm yy"))&amp;" "&amp;Milestones!$AB$103&amp;" "&amp;IF(AND(Milestones!$AB$103="FT",Milestones!$AA$103=FT_Y5,EDATE($D116,Milestones!$AA$103)&lt;PolicyEff),1,Milestones!$AC$103)&amp;";  ",""))</f>
        <v/>
      </c>
      <c r="P116" s="0" t="str">
        <f aca="false">IF(OR($A116="",$D116=""),"",IF(AND(EDATE($D116,Milestones!$AA$104)&lt;=AsOfDate,EDATE($D116,Milestones!$AA$104)&gt;=SchemeStart,IF($X116=0,$AD116,IF(AND($Z116&lt;&gt;"",EDATE($D116,Milestones!$AA$104)&gt;=$Z116),$AC116,IF(AND($Y116&lt;&gt;"",EDATE($D116,Milestones!$AA$104)&gt;=$Y116),$AB116,$AA116)))=Milestones!$AB$104),UPPER(TEXT(EDATE($D116,Milestones!$AA$104),"dd mmm yy"))&amp;" "&amp;Milestones!$AB$104&amp;" "&amp;IF(AND(Milestones!$AB$104="FT",Milestones!$AA$104=FT_Y5,EDATE($D116,Milestones!$AA$104)&lt;PolicyEff),1,Milestones!$AC$104)&amp;";  ","")&amp;IF(AND(EDATE($D116,Milestones!$AA$105)&lt;=AsOfDate,EDATE($D116,Milestones!$AA$105)&gt;=SchemeStart,IF($X116=0,$AD116,IF(AND($Z116&lt;&gt;"",EDATE($D116,Milestones!$AA$105)&gt;=$Z116),$AC116,IF(AND($Y116&lt;&gt;"",EDATE($D116,Milestones!$AA$105)&gt;=$Y116),$AB116,$AA116)))=Milestones!$AB$105),UPPER(TEXT(EDATE($D116,Milestones!$AA$105),"dd mmm yy"))&amp;" "&amp;Milestones!$AB$105&amp;" "&amp;IF(AND(Milestones!$AB$105="FT",Milestones!$AA$105=FT_Y5,EDATE($D116,Milestones!$AA$105)&lt;PolicyEff),1,Milestones!$AC$105)&amp;";  ","")&amp;IF(AND(EDATE($D116,Milestones!$AA$106)&lt;=AsOfDate,EDATE($D116,Milestones!$AA$106)&gt;=SchemeStart,IF($X116=0,$AD116,IF(AND($Z116&lt;&gt;"",EDATE($D116,Milestones!$AA$106)&gt;=$Z116),$AC116,IF(AND($Y116&lt;&gt;"",EDATE($D116,Milestones!$AA$106)&gt;=$Y116),$AB116,$AA116)))=Milestones!$AB$106),UPPER(TEXT(EDATE($D116,Milestones!$AA$106),"dd mmm yy"))&amp;" "&amp;Milestones!$AB$106&amp;" "&amp;IF(AND(Milestones!$AB$106="FT",Milestones!$AA$106=FT_Y5,EDATE($D116,Milestones!$AA$106)&lt;PolicyEff),1,Milestones!$AC$106)&amp;";  ","")&amp;IF(AND(EDATE($D116,Milestones!$AA$107)&lt;=AsOfDate,EDATE($D116,Milestones!$AA$107)&gt;=SchemeStart,IF($X116=0,$AD116,IF(AND($Z116&lt;&gt;"",EDATE($D116,Milestones!$AA$107)&gt;=$Z116),$AC116,IF(AND($Y116&lt;&gt;"",EDATE($D116,Milestones!$AA$107)&gt;=$Y116),$AB116,$AA116)))=Milestones!$AB$107),UPPER(TEXT(EDATE($D116,Milestones!$AA$107),"dd mmm yy"))&amp;" "&amp;Milestones!$AB$107&amp;" "&amp;IF(AND(Milestones!$AB$107="FT",Milestones!$AA$107=FT_Y5,EDATE($D116,Milestones!$AA$107)&lt;PolicyEff),1,Milestones!$AC$107)&amp;";  ","")&amp;IF(AND(EDATE($D116,Milestones!$AA$108)&lt;=AsOfDate,EDATE($D116,Milestones!$AA$108)&gt;=SchemeStart,IF($X116=0,$AD116,IF(AND($Z116&lt;&gt;"",EDATE($D116,Milestones!$AA$108)&gt;=$Z116),$AC116,IF(AND($Y116&lt;&gt;"",EDATE($D116,Milestones!$AA$108)&gt;=$Y116),$AB116,$AA116)))=Milestones!$AB$108),UPPER(TEXT(EDATE($D116,Milestones!$AA$108),"dd mmm yy"))&amp;" "&amp;Milestones!$AB$108&amp;" "&amp;IF(AND(Milestones!$AB$108="FT",Milestones!$AA$108=FT_Y5,EDATE($D116,Milestones!$AA$108)&lt;PolicyEff),1,Milestones!$AC$108)&amp;";  ","")&amp;IF(AND(EDATE($D116,Milestones!$AA$109)&lt;=AsOfDate,EDATE($D116,Milestones!$AA$109)&gt;=SchemeStart,IF($X116=0,$AD116,IF(AND($Z116&lt;&gt;"",EDATE($D116,Milestones!$AA$109)&gt;=$Z116),$AC116,IF(AND($Y116&lt;&gt;"",EDATE($D116,Milestones!$AA$109)&gt;=$Y116),$AB116,$AA116)))=Milestones!$AB$109),UPPER(TEXT(EDATE($D116,Milestones!$AA$109),"dd mmm yy"))&amp;" "&amp;Milestones!$AB$109&amp;" "&amp;IF(AND(Milestones!$AB$109="FT",Milestones!$AA$109=FT_Y5,EDATE($D116,Milestones!$AA$109)&lt;PolicyEff),1,Milestones!$AC$109)&amp;";  ","")&amp;IF(AND(EDATE($D116,Milestones!$AA$110)&lt;=AsOfDate,EDATE($D116,Milestones!$AA$110)&gt;=SchemeStart,IF($X116=0,$AD116,IF(AND($Z116&lt;&gt;"",EDATE($D116,Milestones!$AA$110)&gt;=$Z116),$AC116,IF(AND($Y116&lt;&gt;"",EDATE($D116,Milestones!$AA$110)&gt;=$Y116),$AB116,$AA116)))=Milestones!$AB$110),UPPER(TEXT(EDATE($D116,Milestones!$AA$110),"dd mmm yy"))&amp;" "&amp;Milestones!$AB$110&amp;" "&amp;IF(AND(Milestones!$AB$110="FT",Milestones!$AA$110=FT_Y5,EDATE($D116,Milestones!$AA$110)&lt;PolicyEff),1,Milestones!$AC$110)&amp;";  ","")&amp;IF(AND(EDATE($D116,Milestones!$AA$111)&lt;=AsOfDate,EDATE($D116,Milestones!$AA$111)&gt;=SchemeStart,IF($X116=0,$AD116,IF(AND($Z116&lt;&gt;"",EDATE($D116,Milestones!$AA$111)&gt;=$Z116),$AC116,IF(AND($Y116&lt;&gt;"",EDATE($D116,Milestones!$AA$111)&gt;=$Y116),$AB116,$AA116)))=Milestones!$AB$111),UPPER(TEXT(EDATE($D116,Milestones!$AA$111),"dd mmm yy"))&amp;" "&amp;Milestones!$AB$111&amp;" "&amp;IF(AND(Milestones!$AB$111="FT",Milestones!$AA$111=FT_Y5,EDATE($D116,Milestones!$AA$111)&lt;PolicyEff),1,Milestones!$AC$111)&amp;";  ","")&amp;IF(AND(EDATE($D116,Milestones!$AA$112)&lt;=AsOfDate,EDATE($D116,Milestones!$AA$112)&gt;=SchemeStart,IF($X116=0,$AD116,IF(AND($Z116&lt;&gt;"",EDATE($D116,Milestones!$AA$112)&gt;=$Z116),$AC116,IF(AND($Y116&lt;&gt;"",EDATE($D116,Milestones!$AA$112)&gt;=$Y116),$AB116,$AA116)))=Milestones!$AB$112),UPPER(TEXT(EDATE($D116,Milestones!$AA$112),"dd mmm yy"))&amp;" "&amp;Milestones!$AB$112&amp;" "&amp;IF(AND(Milestones!$AB$112="FT",Milestones!$AA$112=FT_Y5,EDATE($D116,Milestones!$AA$112)&lt;PolicyEff),1,Milestones!$AC$112)&amp;";  ","")&amp;IF(AND(EDATE($D116,Milestones!$AA$113)&lt;=AsOfDate,EDATE($D116,Milestones!$AA$113)&gt;=SchemeStart,IF($X116=0,$AD116,IF(AND($Z116&lt;&gt;"",EDATE($D116,Milestones!$AA$113)&gt;=$Z116),$AC116,IF(AND($Y116&lt;&gt;"",EDATE($D116,Milestones!$AA$113)&gt;=$Y116),$AB116,$AA116)))=Milestones!$AB$113),UPPER(TEXT(EDATE($D116,Milestones!$AA$113),"dd mmm yy"))&amp;" "&amp;Milestones!$AB$113&amp;" "&amp;IF(AND(Milestones!$AB$113="FT",Milestones!$AA$113=FT_Y5,EDATE($D116,Milestones!$AA$113)&lt;PolicyEff),1,Milestones!$AC$113)&amp;";  ","")&amp;IF(AND(EDATE($D116,Milestones!$AA$114)&lt;=AsOfDate,EDATE($D116,Milestones!$AA$114)&gt;=SchemeStart,IF($X116=0,$AD116,IF(AND($Z116&lt;&gt;"",EDATE($D116,Milestones!$AA$114)&gt;=$Z116),$AC116,IF(AND($Y116&lt;&gt;"",EDATE($D116,Milestones!$AA$114)&gt;=$Y116),$AB116,$AA116)))=Milestones!$AB$114),UPPER(TEXT(EDATE($D116,Milestones!$AA$114),"dd mmm yy"))&amp;" "&amp;Milestones!$AB$114&amp;" "&amp;IF(AND(Milestones!$AB$114="FT",Milestones!$AA$114=FT_Y5,EDATE($D116,Milestones!$AA$114)&lt;PolicyEff),1,Milestones!$AC$114)&amp;";  ","")&amp;IF(AND(EDATE($D116,Milestones!$AA$115)&lt;=AsOfDate,EDATE($D116,Milestones!$AA$115)&gt;=SchemeStart,IF($X116=0,$AD116,IF(AND($Z116&lt;&gt;"",EDATE($D116,Milestones!$AA$115)&gt;=$Z116),$AC116,IF(AND($Y116&lt;&gt;"",EDATE($D116,Milestones!$AA$115)&gt;=$Y116),$AB116,$AA116)))=Milestones!$AB$115),UPPER(TEXT(EDATE($D116,Milestones!$AA$115),"dd mmm yy"))&amp;" "&amp;Milestones!$AB$115&amp;" "&amp;IF(AND(Milestones!$AB$115="FT",Milestones!$AA$115=FT_Y5,EDATE($D116,Milestones!$AA$115)&lt;PolicyEff),1,Milestones!$AC$115)&amp;";  ",""))</f>
        <v/>
      </c>
      <c r="Q116" s="0" t="str">
        <f aca="false">IF(OR($A116="",$D116=""),"",IF(AND(EDATE($D116,Milestones!$AA$116)&lt;=AsOfDate,EDATE($D116,Milestones!$AA$116)&gt;=SchemeStart,IF($X116=0,$AD116,IF(AND($Z116&lt;&gt;"",EDATE($D116,Milestones!$AA$116)&gt;=$Z116),$AC116,IF(AND($Y116&lt;&gt;"",EDATE($D116,Milestones!$AA$116)&gt;=$Y116),$AB116,$AA116)))=Milestones!$AB$116),UPPER(TEXT(EDATE($D116,Milestones!$AA$116),"dd mmm yy"))&amp;" "&amp;Milestones!$AB$116&amp;" "&amp;IF(AND(Milestones!$AB$116="FT",Milestones!$AA$116=FT_Y5,EDATE($D116,Milestones!$AA$116)&lt;PolicyEff),1,Milestones!$AC$116)&amp;";  ","")&amp;IF(AND(EDATE($D116,Milestones!$AA$117)&lt;=AsOfDate,EDATE($D116,Milestones!$AA$117)&gt;=SchemeStart,IF($X116=0,$AD116,IF(AND($Z116&lt;&gt;"",EDATE($D116,Milestones!$AA$117)&gt;=$Z116),$AC116,IF(AND($Y116&lt;&gt;"",EDATE($D116,Milestones!$AA$117)&gt;=$Y116),$AB116,$AA116)))=Milestones!$AB$117),UPPER(TEXT(EDATE($D116,Milestones!$AA$117),"dd mmm yy"))&amp;" "&amp;Milestones!$AB$117&amp;" "&amp;IF(AND(Milestones!$AB$117="FT",Milestones!$AA$117=FT_Y5,EDATE($D116,Milestones!$AA$117)&lt;PolicyEff),1,Milestones!$AC$117)&amp;";  ","")&amp;IF(AND(EDATE($D116,Milestones!$AA$118)&lt;=AsOfDate,EDATE($D116,Milestones!$AA$118)&gt;=SchemeStart,IF($X116=0,$AD116,IF(AND($Z116&lt;&gt;"",EDATE($D116,Milestones!$AA$118)&gt;=$Z116),$AC116,IF(AND($Y116&lt;&gt;"",EDATE($D116,Milestones!$AA$118)&gt;=$Y116),$AB116,$AA116)))=Milestones!$AB$118),UPPER(TEXT(EDATE($D116,Milestones!$AA$118),"dd mmm yy"))&amp;" "&amp;Milestones!$AB$118&amp;" "&amp;IF(AND(Milestones!$AB$118="FT",Milestones!$AA$118=FT_Y5,EDATE($D116,Milestones!$AA$118)&lt;PolicyEff),1,Milestones!$AC$118)&amp;";  ","")&amp;IF(AND(EDATE($D116,Milestones!$AA$119)&lt;=AsOfDate,EDATE($D116,Milestones!$AA$119)&gt;=SchemeStart,IF($X116=0,$AD116,IF(AND($Z116&lt;&gt;"",EDATE($D116,Milestones!$AA$119)&gt;=$Z116),$AC116,IF(AND($Y116&lt;&gt;"",EDATE($D116,Milestones!$AA$119)&gt;=$Y116),$AB116,$AA116)))=Milestones!$AB$119),UPPER(TEXT(EDATE($D116,Milestones!$AA$119),"dd mmm yy"))&amp;" "&amp;Milestones!$AB$119&amp;" "&amp;IF(AND(Milestones!$AB$119="FT",Milestones!$AA$119=FT_Y5,EDATE($D116,Milestones!$AA$119)&lt;PolicyEff),1,Milestones!$AC$119)&amp;";  ","")&amp;IF(AND(EDATE($D116,Milestones!$AA$120)&lt;=AsOfDate,EDATE($D116,Milestones!$AA$120)&gt;=SchemeStart,IF($X116=0,$AD116,IF(AND($Z116&lt;&gt;"",EDATE($D116,Milestones!$AA$120)&gt;=$Z116),$AC116,IF(AND($Y116&lt;&gt;"",EDATE($D116,Milestones!$AA$120)&gt;=$Y116),$AB116,$AA116)))=Milestones!$AB$120),UPPER(TEXT(EDATE($D116,Milestones!$AA$120),"dd mmm yy"))&amp;" "&amp;Milestones!$AB$120&amp;" "&amp;IF(AND(Milestones!$AB$120="FT",Milestones!$AA$120=FT_Y5,EDATE($D116,Milestones!$AA$120)&lt;PolicyEff),1,Milestones!$AC$120)&amp;";  ","")&amp;IF(AND(EDATE($D116,Milestones!$AA$121)&lt;=AsOfDate,EDATE($D116,Milestones!$AA$121)&gt;=SchemeStart,IF($X116=0,$AD116,IF(AND($Z116&lt;&gt;"",EDATE($D116,Milestones!$AA$121)&gt;=$Z116),$AC116,IF(AND($Y116&lt;&gt;"",EDATE($D116,Milestones!$AA$121)&gt;=$Y116),$AB116,$AA116)))=Milestones!$AB$121),UPPER(TEXT(EDATE($D116,Milestones!$AA$121),"dd mmm yy"))&amp;" "&amp;Milestones!$AB$121&amp;" "&amp;IF(AND(Milestones!$AB$121="FT",Milestones!$AA$121=FT_Y5,EDATE($D116,Milestones!$AA$121)&lt;PolicyEff),1,Milestones!$AC$121)&amp;";  ","")&amp;IF(AND(EDATE($D116,Milestones!$AA$122)&lt;=AsOfDate,EDATE($D116,Milestones!$AA$122)&gt;=SchemeStart,IF($X116=0,$AD116,IF(AND($Z116&lt;&gt;"",EDATE($D116,Milestones!$AA$122)&gt;=$Z116),$AC116,IF(AND($Y116&lt;&gt;"",EDATE($D116,Milestones!$AA$122)&gt;=$Y116),$AB116,$AA116)))=Milestones!$AB$122),UPPER(TEXT(EDATE($D116,Milestones!$AA$122),"dd mmm yy"))&amp;" "&amp;Milestones!$AB$122&amp;" "&amp;IF(AND(Milestones!$AB$122="FT",Milestones!$AA$122=FT_Y5,EDATE($D116,Milestones!$AA$122)&lt;PolicyEff),1,Milestones!$AC$122)&amp;";  ","")&amp;IF(AND(EDATE($D116,Milestones!$AA$123)&lt;=AsOfDate,EDATE($D116,Milestones!$AA$123)&gt;=SchemeStart,IF($X116=0,$AD116,IF(AND($Z116&lt;&gt;"",EDATE($D116,Milestones!$AA$123)&gt;=$Z116),$AC116,IF(AND($Y116&lt;&gt;"",EDATE($D116,Milestones!$AA$123)&gt;=$Y116),$AB116,$AA116)))=Milestones!$AB$123),UPPER(TEXT(EDATE($D116,Milestones!$AA$123),"dd mmm yy"))&amp;" "&amp;Milestones!$AB$123&amp;" "&amp;IF(AND(Milestones!$AB$123="FT",Milestones!$AA$123=FT_Y5,EDATE($D116,Milestones!$AA$123)&lt;PolicyEff),1,Milestones!$AC$123)&amp;";  ","")&amp;IF(AND(EDATE($D116,Milestones!$AA$124)&lt;=AsOfDate,EDATE($D116,Milestones!$AA$124)&gt;=SchemeStart,IF($X116=0,$AD116,IF(AND($Z116&lt;&gt;"",EDATE($D116,Milestones!$AA$124)&gt;=$Z116),$AC116,IF(AND($Y116&lt;&gt;"",EDATE($D116,Milestones!$AA$124)&gt;=$Y116),$AB116,$AA116)))=Milestones!$AB$124),UPPER(TEXT(EDATE($D116,Milestones!$AA$124),"dd mmm yy"))&amp;" "&amp;Milestones!$AB$124&amp;" "&amp;IF(AND(Milestones!$AB$124="FT",Milestones!$AA$124=FT_Y5,EDATE($D116,Milestones!$AA$124)&lt;PolicyEff),1,Milestones!$AC$124)&amp;";  ","")&amp;IF(AND(EDATE($D116,Milestones!$AA$125)&lt;=AsOfDate,EDATE($D116,Milestones!$AA$125)&gt;=SchemeStart,IF($X116=0,$AD116,IF(AND($Z116&lt;&gt;"",EDATE($D116,Milestones!$AA$125)&gt;=$Z116),$AC116,IF(AND($Y116&lt;&gt;"",EDATE($D116,Milestones!$AA$125)&gt;=$Y116),$AB116,$AA116)))=Milestones!$AB$125),UPPER(TEXT(EDATE($D116,Milestones!$AA$125),"dd mmm yy"))&amp;" "&amp;Milestones!$AB$125&amp;" "&amp;IF(AND(Milestones!$AB$125="FT",Milestones!$AA$125=FT_Y5,EDATE($D116,Milestones!$AA$125)&lt;PolicyEff),1,Milestones!$AC$125)&amp;";  ","")&amp;IF(AND(EDATE($D116,Milestones!$AA$126)&lt;=AsOfDate,EDATE($D116,Milestones!$AA$126)&gt;=SchemeStart,IF($X116=0,$AD116,IF(AND($Z116&lt;&gt;"",EDATE($D116,Milestones!$AA$126)&gt;=$Z116),$AC116,IF(AND($Y116&lt;&gt;"",EDATE($D116,Milestones!$AA$126)&gt;=$Y116),$AB116,$AA116)))=Milestones!$AB$126),UPPER(TEXT(EDATE($D116,Milestones!$AA$126),"dd mmm yy"))&amp;" "&amp;Milestones!$AB$126&amp;" "&amp;IF(AND(Milestones!$AB$126="FT",Milestones!$AA$126=FT_Y5,EDATE($D116,Milestones!$AA$126)&lt;PolicyEff),1,Milestones!$AC$126)&amp;";  ","")&amp;IF(AND(EDATE($D116,Milestones!$AA$127)&lt;=AsOfDate,EDATE($D116,Milestones!$AA$127)&gt;=SchemeStart,IF($X116=0,$AD116,IF(AND($Z116&lt;&gt;"",EDATE($D116,Milestones!$AA$127)&gt;=$Z116),$AC116,IF(AND($Y116&lt;&gt;"",EDATE($D116,Milestones!$AA$127)&gt;=$Y116),$AB116,$AA116)))=Milestones!$AB$127),UPPER(TEXT(EDATE($D116,Milestones!$AA$127),"dd mmm yy"))&amp;" "&amp;Milestones!$AB$127&amp;" "&amp;IF(AND(Milestones!$AB$127="FT",Milestones!$AA$127=FT_Y5,EDATE($D116,Milestones!$AA$127)&lt;PolicyEff),1,Milestones!$AC$127)&amp;";  ",""))</f>
        <v/>
      </c>
      <c r="R116" s="0" t="str">
        <f aca="false">IF(OR($A116="",$D116=""),"",IF(AND(EDATE($D116,Milestones!$AA$128)&lt;=AsOfDate,EDATE($D116,Milestones!$AA$128)&gt;=SchemeStart,IF($X116=0,$AD116,IF(AND($Z116&lt;&gt;"",EDATE($D116,Milestones!$AA$128)&gt;=$Z116),$AC116,IF(AND($Y116&lt;&gt;"",EDATE($D116,Milestones!$AA$128)&gt;=$Y116),$AB116,$AA116)))=Milestones!$AB$128),UPPER(TEXT(EDATE($D116,Milestones!$AA$128),"dd mmm yy"))&amp;" "&amp;Milestones!$AB$128&amp;" "&amp;IF(AND(Milestones!$AB$128="FT",Milestones!$AA$128=FT_Y5,EDATE($D116,Milestones!$AA$128)&lt;PolicyEff),1,Milestones!$AC$128)&amp;";  ","")&amp;IF(AND(EDATE($D116,Milestones!$AA$129)&lt;=AsOfDate,EDATE($D116,Milestones!$AA$129)&gt;=SchemeStart,IF($X116=0,$AD116,IF(AND($Z116&lt;&gt;"",EDATE($D116,Milestones!$AA$129)&gt;=$Z116),$AC116,IF(AND($Y116&lt;&gt;"",EDATE($D116,Milestones!$AA$129)&gt;=$Y116),$AB116,$AA116)))=Milestones!$AB$129),UPPER(TEXT(EDATE($D116,Milestones!$AA$129),"dd mmm yy"))&amp;" "&amp;Milestones!$AB$129&amp;" "&amp;IF(AND(Milestones!$AB$129="FT",Milestones!$AA$129=FT_Y5,EDATE($D116,Milestones!$AA$129)&lt;PolicyEff),1,Milestones!$AC$129)&amp;";  ","")&amp;IF(AND(EDATE($D116,Milestones!$AA$130)&lt;=AsOfDate,EDATE($D116,Milestones!$AA$130)&gt;=SchemeStart,IF($X116=0,$AD116,IF(AND($Z116&lt;&gt;"",EDATE($D116,Milestones!$AA$130)&gt;=$Z116),$AC116,IF(AND($Y116&lt;&gt;"",EDATE($D116,Milestones!$AA$130)&gt;=$Y116),$AB116,$AA116)))=Milestones!$AB$130),UPPER(TEXT(EDATE($D116,Milestones!$AA$130),"dd mmm yy"))&amp;" "&amp;Milestones!$AB$130&amp;" "&amp;IF(AND(Milestones!$AB$130="FT",Milestones!$AA$130=FT_Y5,EDATE($D116,Milestones!$AA$130)&lt;PolicyEff),1,Milestones!$AC$130)&amp;";  ","")&amp;IF(AND(EDATE($D116,Milestones!$AA$131)&lt;=AsOfDate,EDATE($D116,Milestones!$AA$131)&gt;=SchemeStart,IF($X116=0,$AD116,IF(AND($Z116&lt;&gt;"",EDATE($D116,Milestones!$AA$131)&gt;=$Z116),$AC116,IF(AND($Y116&lt;&gt;"",EDATE($D116,Milestones!$AA$131)&gt;=$Y116),$AB116,$AA116)))=Milestones!$AB$131),UPPER(TEXT(EDATE($D116,Milestones!$AA$131),"dd mmm yy"))&amp;" "&amp;Milestones!$AB$131&amp;" "&amp;IF(AND(Milestones!$AB$131="FT",Milestones!$AA$131=FT_Y5,EDATE($D116,Milestones!$AA$131)&lt;PolicyEff),1,Milestones!$AC$131)&amp;";  ","")&amp;IF(AND(EDATE($D116,Milestones!$AA$132)&lt;=AsOfDate,EDATE($D116,Milestones!$AA$132)&gt;=SchemeStart,IF($X116=0,$AD116,IF(AND($Z116&lt;&gt;"",EDATE($D116,Milestones!$AA$132)&gt;=$Z116),$AC116,IF(AND($Y116&lt;&gt;"",EDATE($D116,Milestones!$AA$132)&gt;=$Y116),$AB116,$AA116)))=Milestones!$AB$132),UPPER(TEXT(EDATE($D116,Milestones!$AA$132),"dd mmm yy"))&amp;" "&amp;Milestones!$AB$132&amp;" "&amp;IF(AND(Milestones!$AB$132="FT",Milestones!$AA$132=FT_Y5,EDATE($D116,Milestones!$AA$132)&lt;PolicyEff),1,Milestones!$AC$132)&amp;";  ","")&amp;IF(AND(EDATE($D116,Milestones!$AA$133)&lt;=AsOfDate,EDATE($D116,Milestones!$AA$133)&gt;=SchemeStart,IF($X116=0,$AD116,IF(AND($Z116&lt;&gt;"",EDATE($D116,Milestones!$AA$133)&gt;=$Z116),$AC116,IF(AND($Y116&lt;&gt;"",EDATE($D116,Milestones!$AA$133)&gt;=$Y116),$AB116,$AA116)))=Milestones!$AB$133),UPPER(TEXT(EDATE($D116,Milestones!$AA$133),"dd mmm yy"))&amp;" "&amp;Milestones!$AB$133&amp;" "&amp;IF(AND(Milestones!$AB$133="FT",Milestones!$AA$133=FT_Y5,EDATE($D116,Milestones!$AA$133)&lt;PolicyEff),1,Milestones!$AC$133)&amp;";  ","")&amp;IF(AND(EDATE($D116,Milestones!$AA$134)&lt;=AsOfDate,EDATE($D116,Milestones!$AA$134)&gt;=SchemeStart,IF($X116=0,$AD116,IF(AND($Z116&lt;&gt;"",EDATE($D116,Milestones!$AA$134)&gt;=$Z116),$AC116,IF(AND($Y116&lt;&gt;"",EDATE($D116,Milestones!$AA$134)&gt;=$Y116),$AB116,$AA116)))=Milestones!$AB$134),UPPER(TEXT(EDATE($D116,Milestones!$AA$134),"dd mmm yy"))&amp;" "&amp;Milestones!$AB$134&amp;" "&amp;IF(AND(Milestones!$AB$134="FT",Milestones!$AA$134=FT_Y5,EDATE($D116,Milestones!$AA$134)&lt;PolicyEff),1,Milestones!$AC$134)&amp;";  ","")&amp;IF(AND(EDATE($D116,Milestones!$AA$135)&lt;=AsOfDate,EDATE($D116,Milestones!$AA$135)&gt;=SchemeStart,IF($X116=0,$AD116,IF(AND($Z116&lt;&gt;"",EDATE($D116,Milestones!$AA$135)&gt;=$Z116),$AC116,IF(AND($Y116&lt;&gt;"",EDATE($D116,Milestones!$AA$135)&gt;=$Y116),$AB116,$AA116)))=Milestones!$AB$135),UPPER(TEXT(EDATE($D116,Milestones!$AA$135),"dd mmm yy"))&amp;" "&amp;Milestones!$AB$135&amp;" "&amp;IF(AND(Milestones!$AB$135="FT",Milestones!$AA$135=FT_Y5,EDATE($D116,Milestones!$AA$135)&lt;PolicyEff),1,Milestones!$AC$135)&amp;";  ","")&amp;IF(AND(EDATE($D116,Milestones!$AA$136)&lt;=AsOfDate,EDATE($D116,Milestones!$AA$136)&gt;=SchemeStart,IF($X116=0,$AD116,IF(AND($Z116&lt;&gt;"",EDATE($D116,Milestones!$AA$136)&gt;=$Z116),$AC116,IF(AND($Y116&lt;&gt;"",EDATE($D116,Milestones!$AA$136)&gt;=$Y116),$AB116,$AA116)))=Milestones!$AB$136),UPPER(TEXT(EDATE($D116,Milestones!$AA$136),"dd mmm yy"))&amp;" "&amp;Milestones!$AB$136&amp;" "&amp;IF(AND(Milestones!$AB$136="FT",Milestones!$AA$136=FT_Y5,EDATE($D116,Milestones!$AA$136)&lt;PolicyEff),1,Milestones!$AC$136)&amp;";  ","")&amp;IF(AND(EDATE($D116,Milestones!$AA$137)&lt;=AsOfDate,EDATE($D116,Milestones!$AA$137)&gt;=SchemeStart,IF($X116=0,$AD116,IF(AND($Z116&lt;&gt;"",EDATE($D116,Milestones!$AA$137)&gt;=$Z116),$AC116,IF(AND($Y116&lt;&gt;"",EDATE($D116,Milestones!$AA$137)&gt;=$Y116),$AB116,$AA116)))=Milestones!$AB$137),UPPER(TEXT(EDATE($D116,Milestones!$AA$137),"dd mmm yy"))&amp;" "&amp;Milestones!$AB$137&amp;" "&amp;IF(AND(Milestones!$AB$137="FT",Milestones!$AA$137=FT_Y5,EDATE($D116,Milestones!$AA$137)&lt;PolicyEff),1,Milestones!$AC$137)&amp;";  ","")&amp;IF(AND(EDATE($D116,Milestones!$AA$138)&lt;=AsOfDate,EDATE($D116,Milestones!$AA$138)&gt;=SchemeStart,IF($X116=0,$AD116,IF(AND($Z116&lt;&gt;"",EDATE($D116,Milestones!$AA$138)&gt;=$Z116),$AC116,IF(AND($Y116&lt;&gt;"",EDATE($D116,Milestones!$AA$138)&gt;=$Y116),$AB116,$AA116)))=Milestones!$AB$138),UPPER(TEXT(EDATE($D116,Milestones!$AA$138),"dd mmm yy"))&amp;" "&amp;Milestones!$AB$138&amp;" "&amp;IF(AND(Milestones!$AB$138="FT",Milestones!$AA$138=FT_Y5,EDATE($D116,Milestones!$AA$138)&lt;PolicyEff),1,Milestones!$AC$138)&amp;";  ","")&amp;IF(AND(EDATE($D116,Milestones!$AA$139)&lt;=AsOfDate,EDATE($D116,Milestones!$AA$139)&gt;=SchemeStart,IF($X116=0,$AD116,IF(AND($Z116&lt;&gt;"",EDATE($D116,Milestones!$AA$139)&gt;=$Z116),$AC116,IF(AND($Y116&lt;&gt;"",EDATE($D116,Milestones!$AA$139)&gt;=$Y116),$AB116,$AA116)))=Milestones!$AB$139),UPPER(TEXT(EDATE($D116,Milestones!$AA$139),"dd mmm yy"))&amp;" "&amp;Milestones!$AB$139&amp;" "&amp;IF(AND(Milestones!$AB$139="FT",Milestones!$AA$139=FT_Y5,EDATE($D116,Milestones!$AA$139)&lt;PolicyEff),1,Milestones!$AC$139)&amp;";  ",""))</f>
        <v/>
      </c>
      <c r="S116" s="0" t="str">
        <f aca="false">IF(OR($A116="",$D116=""),"",IF(AND(EDATE($D116,Milestones!$AA$140)&lt;=AsOfDate,EDATE($D116,Milestones!$AA$140)&gt;=SchemeStart,IF($X116=0,$AD116,IF(AND($Z116&lt;&gt;"",EDATE($D116,Milestones!$AA$140)&gt;=$Z116),$AC116,IF(AND($Y116&lt;&gt;"",EDATE($D116,Milestones!$AA$140)&gt;=$Y116),$AB116,$AA116)))=Milestones!$AB$140),UPPER(TEXT(EDATE($D116,Milestones!$AA$140),"dd mmm yy"))&amp;" "&amp;Milestones!$AB$140&amp;" "&amp;IF(AND(Milestones!$AB$140="FT",Milestones!$AA$140=FT_Y5,EDATE($D116,Milestones!$AA$140)&lt;PolicyEff),1,Milestones!$AC$140)&amp;";  ","")&amp;IF(AND(EDATE($D116,Milestones!$AA$141)&lt;=AsOfDate,EDATE($D116,Milestones!$AA$141)&gt;=SchemeStart,IF($X116=0,$AD116,IF(AND($Z116&lt;&gt;"",EDATE($D116,Milestones!$AA$141)&gt;=$Z116),$AC116,IF(AND($Y116&lt;&gt;"",EDATE($D116,Milestones!$AA$141)&gt;=$Y116),$AB116,$AA116)))=Milestones!$AB$141),UPPER(TEXT(EDATE($D116,Milestones!$AA$141),"dd mmm yy"))&amp;" "&amp;Milestones!$AB$141&amp;" "&amp;IF(AND(Milestones!$AB$141="FT",Milestones!$AA$141=FT_Y5,EDATE($D116,Milestones!$AA$141)&lt;PolicyEff),1,Milestones!$AC$141)&amp;";  ","")&amp;IF(AND(EDATE($D116,Milestones!$AA$142)&lt;=AsOfDate,EDATE($D116,Milestones!$AA$142)&gt;=SchemeStart,IF($X116=0,$AD116,IF(AND($Z116&lt;&gt;"",EDATE($D116,Milestones!$AA$142)&gt;=$Z116),$AC116,IF(AND($Y116&lt;&gt;"",EDATE($D116,Milestones!$AA$142)&gt;=$Y116),$AB116,$AA116)))=Milestones!$AB$142),UPPER(TEXT(EDATE($D116,Milestones!$AA$142),"dd mmm yy"))&amp;" "&amp;Milestones!$AB$142&amp;" "&amp;IF(AND(Milestones!$AB$142="FT",Milestones!$AA$142=FT_Y5,EDATE($D116,Milestones!$AA$142)&lt;PolicyEff),1,Milestones!$AC$142)&amp;";  ","")&amp;IF(AND(EDATE($D116,Milestones!$AA$143)&lt;=AsOfDate,EDATE($D116,Milestones!$AA$143)&gt;=SchemeStart,IF($X116=0,$AD116,IF(AND($Z116&lt;&gt;"",EDATE($D116,Milestones!$AA$143)&gt;=$Z116),$AC116,IF(AND($Y116&lt;&gt;"",EDATE($D116,Milestones!$AA$143)&gt;=$Y116),$AB116,$AA116)))=Milestones!$AB$143),UPPER(TEXT(EDATE($D116,Milestones!$AA$143),"dd mmm yy"))&amp;" "&amp;Milestones!$AB$143&amp;" "&amp;IF(AND(Milestones!$AB$143="FT",Milestones!$AA$143=FT_Y5,EDATE($D116,Milestones!$AA$143)&lt;PolicyEff),1,Milestones!$AC$143)&amp;";  ","")&amp;IF(AND(EDATE($D116,Milestones!$AA$144)&lt;=AsOfDate,EDATE($D116,Milestones!$AA$144)&gt;=SchemeStart,IF($X116=0,$AD116,IF(AND($Z116&lt;&gt;"",EDATE($D116,Milestones!$AA$144)&gt;=$Z116),$AC116,IF(AND($Y116&lt;&gt;"",EDATE($D116,Milestones!$AA$144)&gt;=$Y116),$AB116,$AA116)))=Milestones!$AB$144),UPPER(TEXT(EDATE($D116,Milestones!$AA$144),"dd mmm yy"))&amp;" "&amp;Milestones!$AB$144&amp;" "&amp;IF(AND(Milestones!$AB$144="FT",Milestones!$AA$144=FT_Y5,EDATE($D116,Milestones!$AA$144)&lt;PolicyEff),1,Milestones!$AC$144)&amp;";  ","")&amp;IF(AND(EDATE($D116,Milestones!$AA$145)&lt;=AsOfDate,EDATE($D116,Milestones!$AA$145)&gt;=SchemeStart,IF($X116=0,$AD116,IF(AND($Z116&lt;&gt;"",EDATE($D116,Milestones!$AA$145)&gt;=$Z116),$AC116,IF(AND($Y116&lt;&gt;"",EDATE($D116,Milestones!$AA$145)&gt;=$Y116),$AB116,$AA116)))=Milestones!$AB$145),UPPER(TEXT(EDATE($D116,Milestones!$AA$145),"dd mmm yy"))&amp;" "&amp;Milestones!$AB$145&amp;" "&amp;IF(AND(Milestones!$AB$145="FT",Milestones!$AA$145=FT_Y5,EDATE($D116,Milestones!$AA$145)&lt;PolicyEff),1,Milestones!$AC$145)&amp;";  ","")&amp;IF(AND(EDATE($D116,Milestones!$AA$146)&lt;=AsOfDate,EDATE($D116,Milestones!$AA$146)&gt;=SchemeStart,IF($X116=0,$AD116,IF(AND($Z116&lt;&gt;"",EDATE($D116,Milestones!$AA$146)&gt;=$Z116),$AC116,IF(AND($Y116&lt;&gt;"",EDATE($D116,Milestones!$AA$146)&gt;=$Y116),$AB116,$AA116)))=Milestones!$AB$146),UPPER(TEXT(EDATE($D116,Milestones!$AA$146),"dd mmm yy"))&amp;" "&amp;Milestones!$AB$146&amp;" "&amp;IF(AND(Milestones!$AB$146="FT",Milestones!$AA$146=FT_Y5,EDATE($D116,Milestones!$AA$146)&lt;PolicyEff),1,Milestones!$AC$146)&amp;";  ","")&amp;IF(AND(EDATE($D116,Milestones!$AA$147)&lt;=AsOfDate,EDATE($D116,Milestones!$AA$147)&gt;=SchemeStart,IF($X116=0,$AD116,IF(AND($Z116&lt;&gt;"",EDATE($D116,Milestones!$AA$147)&gt;=$Z116),$AC116,IF(AND($Y116&lt;&gt;"",EDATE($D116,Milestones!$AA$147)&gt;=$Y116),$AB116,$AA116)))=Milestones!$AB$147),UPPER(TEXT(EDATE($D116,Milestones!$AA$147),"dd mmm yy"))&amp;" "&amp;Milestones!$AB$147&amp;" "&amp;IF(AND(Milestones!$AB$147="FT",Milestones!$AA$147=FT_Y5,EDATE($D116,Milestones!$AA$147)&lt;PolicyEff),1,Milestones!$AC$147)&amp;";  ","")&amp;IF(AND(EDATE($D116,Milestones!$AA$148)&lt;=AsOfDate,EDATE($D116,Milestones!$AA$148)&gt;=SchemeStart,IF($X116=0,$AD116,IF(AND($Z116&lt;&gt;"",EDATE($D116,Milestones!$AA$148)&gt;=$Z116),$AC116,IF(AND($Y116&lt;&gt;"",EDATE($D116,Milestones!$AA$148)&gt;=$Y116),$AB116,$AA116)))=Milestones!$AB$148),UPPER(TEXT(EDATE($D116,Milestones!$AA$148),"dd mmm yy"))&amp;" "&amp;Milestones!$AB$148&amp;" "&amp;IF(AND(Milestones!$AB$148="FT",Milestones!$AA$148=FT_Y5,EDATE($D116,Milestones!$AA$148)&lt;PolicyEff),1,Milestones!$AC$148)&amp;";  ","")&amp;IF(AND(EDATE($D116,Milestones!$AA$149)&lt;=AsOfDate,EDATE($D116,Milestones!$AA$149)&gt;=SchemeStart,IF($X116=0,$AD116,IF(AND($Z116&lt;&gt;"",EDATE($D116,Milestones!$AA$149)&gt;=$Z116),$AC116,IF(AND($Y116&lt;&gt;"",EDATE($D116,Milestones!$AA$149)&gt;=$Y116),$AB116,$AA116)))=Milestones!$AB$149),UPPER(TEXT(EDATE($D116,Milestones!$AA$149),"dd mmm yy"))&amp;" "&amp;Milestones!$AB$149&amp;" "&amp;IF(AND(Milestones!$AB$149="FT",Milestones!$AA$149=FT_Y5,EDATE($D116,Milestones!$AA$149)&lt;PolicyEff),1,Milestones!$AC$149)&amp;";  ","")&amp;IF(AND(EDATE($D116,Milestones!$AA$150)&lt;=AsOfDate,EDATE($D116,Milestones!$AA$150)&gt;=SchemeStart,IF($X116=0,$AD116,IF(AND($Z116&lt;&gt;"",EDATE($D116,Milestones!$AA$150)&gt;=$Z116),$AC116,IF(AND($Y116&lt;&gt;"",EDATE($D116,Milestones!$AA$150)&gt;=$Y116),$AB116,$AA116)))=Milestones!$AB$150),UPPER(TEXT(EDATE($D116,Milestones!$AA$150),"dd mmm yy"))&amp;" "&amp;Milestones!$AB$150&amp;" "&amp;IF(AND(Milestones!$AB$150="FT",Milestones!$AA$150=FT_Y5,EDATE($D116,Milestones!$AA$150)&lt;PolicyEff),1,Milestones!$AC$150)&amp;";  ","")&amp;IF(AND(EDATE($D116,Milestones!$AA$151)&lt;=AsOfDate,EDATE($D116,Milestones!$AA$151)&gt;=SchemeStart,IF($X116=0,$AD116,IF(AND($Z116&lt;&gt;"",EDATE($D116,Milestones!$AA$151)&gt;=$Z116),$AC116,IF(AND($Y116&lt;&gt;"",EDATE($D116,Milestones!$AA$151)&gt;=$Y116),$AB116,$AA116)))=Milestones!$AB$151),UPPER(TEXT(EDATE($D116,Milestones!$AA$151),"dd mmm yy"))&amp;" "&amp;Milestones!$AB$151&amp;" "&amp;IF(AND(Milestones!$AB$151="FT",Milestones!$AA$151=FT_Y5,EDATE($D116,Milestones!$AA$151)&lt;PolicyEff),1,Milestones!$AC$151)&amp;";  ",""))</f>
        <v/>
      </c>
      <c r="T116" s="0" t="str">
        <f aca="false">IF(OR($A116="",$D116=""),"",IF(AND(EDATE($D116,Milestones!$AA$152)&lt;=AsOfDate,EDATE($D116,Milestones!$AA$152)&gt;=SchemeStart,IF($X116=0,$AD116,IF(AND($Z116&lt;&gt;"",EDATE($D116,Milestones!$AA$152)&gt;=$Z116),$AC116,IF(AND($Y116&lt;&gt;"",EDATE($D116,Milestones!$AA$152)&gt;=$Y116),$AB116,$AA116)))=Milestones!$AB$152),UPPER(TEXT(EDATE($D116,Milestones!$AA$152),"dd mmm yy"))&amp;" "&amp;Milestones!$AB$152&amp;" "&amp;IF(AND(Milestones!$AB$152="FT",Milestones!$AA$152=FT_Y5,EDATE($D116,Milestones!$AA$152)&lt;PolicyEff),1,Milestones!$AC$152)&amp;";  ","")&amp;IF(AND(EDATE($D116,Milestones!$AA$153)&lt;=AsOfDate,EDATE($D116,Milestones!$AA$153)&gt;=SchemeStart,IF($X116=0,$AD116,IF(AND($Z116&lt;&gt;"",EDATE($D116,Milestones!$AA$153)&gt;=$Z116),$AC116,IF(AND($Y116&lt;&gt;"",EDATE($D116,Milestones!$AA$153)&gt;=$Y116),$AB116,$AA116)))=Milestones!$AB$153),UPPER(TEXT(EDATE($D116,Milestones!$AA$153),"dd mmm yy"))&amp;" "&amp;Milestones!$AB$153&amp;" "&amp;IF(AND(Milestones!$AB$153="FT",Milestones!$AA$153=FT_Y5,EDATE($D116,Milestones!$AA$153)&lt;PolicyEff),1,Milestones!$AC$153)&amp;";  ","")&amp;IF(AND(EDATE($D116,Milestones!$AA$154)&lt;=AsOfDate,EDATE($D116,Milestones!$AA$154)&gt;=SchemeStart,IF($X116=0,$AD116,IF(AND($Z116&lt;&gt;"",EDATE($D116,Milestones!$AA$154)&gt;=$Z116),$AC116,IF(AND($Y116&lt;&gt;"",EDATE($D116,Milestones!$AA$154)&gt;=$Y116),$AB116,$AA116)))=Milestones!$AB$154),UPPER(TEXT(EDATE($D116,Milestones!$AA$154),"dd mmm yy"))&amp;" "&amp;Milestones!$AB$154&amp;" "&amp;IF(AND(Milestones!$AB$154="FT",Milestones!$AA$154=FT_Y5,EDATE($D116,Milestones!$AA$154)&lt;PolicyEff),1,Milestones!$AC$154)&amp;";  ","")&amp;IF(AND(EDATE($D116,Milestones!$AA$155)&lt;=AsOfDate,EDATE($D116,Milestones!$AA$155)&gt;=SchemeStart,IF($X116=0,$AD116,IF(AND($Z116&lt;&gt;"",EDATE($D116,Milestones!$AA$155)&gt;=$Z116),$AC116,IF(AND($Y116&lt;&gt;"",EDATE($D116,Milestones!$AA$155)&gt;=$Y116),$AB116,$AA116)))=Milestones!$AB$155),UPPER(TEXT(EDATE($D116,Milestones!$AA$155),"dd mmm yy"))&amp;" "&amp;Milestones!$AB$155&amp;" "&amp;IF(AND(Milestones!$AB$155="FT",Milestones!$AA$155=FT_Y5,EDATE($D116,Milestones!$AA$155)&lt;PolicyEff),1,Milestones!$AC$155)&amp;";  ","")&amp;IF(AND(EDATE($D116,Milestones!$AA$156)&lt;=AsOfDate,EDATE($D116,Milestones!$AA$156)&gt;=SchemeStart,IF($X116=0,$AD116,IF(AND($Z116&lt;&gt;"",EDATE($D116,Milestones!$AA$156)&gt;=$Z116),$AC116,IF(AND($Y116&lt;&gt;"",EDATE($D116,Milestones!$AA$156)&gt;=$Y116),$AB116,$AA116)))=Milestones!$AB$156),UPPER(TEXT(EDATE($D116,Milestones!$AA$156),"dd mmm yy"))&amp;" "&amp;Milestones!$AB$156&amp;" "&amp;IF(AND(Milestones!$AB$156="FT",Milestones!$AA$156=FT_Y5,EDATE($D116,Milestones!$AA$156)&lt;PolicyEff),1,Milestones!$AC$156)&amp;";  ","")&amp;IF(AND(EDATE($D116,Milestones!$AA$157)&lt;=AsOfDate,EDATE($D116,Milestones!$AA$157)&gt;=SchemeStart,IF($X116=0,$AD116,IF(AND($Z116&lt;&gt;"",EDATE($D116,Milestones!$AA$157)&gt;=$Z116),$AC116,IF(AND($Y116&lt;&gt;"",EDATE($D116,Milestones!$AA$157)&gt;=$Y116),$AB116,$AA116)))=Milestones!$AB$157),UPPER(TEXT(EDATE($D116,Milestones!$AA$157),"dd mmm yy"))&amp;" "&amp;Milestones!$AB$157&amp;" "&amp;IF(AND(Milestones!$AB$157="FT",Milestones!$AA$157=FT_Y5,EDATE($D116,Milestones!$AA$157)&lt;PolicyEff),1,Milestones!$AC$157)&amp;";  ","")&amp;IF(AND(EDATE($D116,Milestones!$AA$158)&lt;=AsOfDate,EDATE($D116,Milestones!$AA$158)&gt;=SchemeStart,IF($X116=0,$AD116,IF(AND($Z116&lt;&gt;"",EDATE($D116,Milestones!$AA$158)&gt;=$Z116),$AC116,IF(AND($Y116&lt;&gt;"",EDATE($D116,Milestones!$AA$158)&gt;=$Y116),$AB116,$AA116)))=Milestones!$AB$158),UPPER(TEXT(EDATE($D116,Milestones!$AA$158),"dd mmm yy"))&amp;" "&amp;Milestones!$AB$158&amp;" "&amp;IF(AND(Milestones!$AB$158="FT",Milestones!$AA$158=FT_Y5,EDATE($D116,Milestones!$AA$158)&lt;PolicyEff),1,Milestones!$AC$158)&amp;";  ","")&amp;IF(AND(EDATE($D116,Milestones!$AA$159)&lt;=AsOfDate,EDATE($D116,Milestones!$AA$159)&gt;=SchemeStart,IF($X116=0,$AD116,IF(AND($Z116&lt;&gt;"",EDATE($D116,Milestones!$AA$159)&gt;=$Z116),$AC116,IF(AND($Y116&lt;&gt;"",EDATE($D116,Milestones!$AA$159)&gt;=$Y116),$AB116,$AA116)))=Milestones!$AB$159),UPPER(TEXT(EDATE($D116,Milestones!$AA$159),"dd mmm yy"))&amp;" "&amp;Milestones!$AB$159&amp;" "&amp;IF(AND(Milestones!$AB$159="FT",Milestones!$AA$159=FT_Y5,EDATE($D116,Milestones!$AA$159)&lt;PolicyEff),1,Milestones!$AC$159)&amp;";  ","")&amp;IF(AND(EDATE($D116,Milestones!$AA$160)&lt;=AsOfDate,EDATE($D116,Milestones!$AA$160)&gt;=SchemeStart,IF($X116=0,$AD116,IF(AND($Z116&lt;&gt;"",EDATE($D116,Milestones!$AA$160)&gt;=$Z116),$AC116,IF(AND($Y116&lt;&gt;"",EDATE($D116,Milestones!$AA$160)&gt;=$Y116),$AB116,$AA116)))=Milestones!$AB$160),UPPER(TEXT(EDATE($D116,Milestones!$AA$160),"dd mmm yy"))&amp;" "&amp;Milestones!$AB$160&amp;" "&amp;IF(AND(Milestones!$AB$160="FT",Milestones!$AA$160=FT_Y5,EDATE($D116,Milestones!$AA$160)&lt;PolicyEff),1,Milestones!$AC$160)&amp;";  ","")&amp;IF(AND(EDATE($D116,Milestones!$AA$161)&lt;=AsOfDate,EDATE($D116,Milestones!$AA$161)&gt;=SchemeStart,IF($X116=0,$AD116,IF(AND($Z116&lt;&gt;"",EDATE($D116,Milestones!$AA$161)&gt;=$Z116),$AC116,IF(AND($Y116&lt;&gt;"",EDATE($D116,Milestones!$AA$161)&gt;=$Y116),$AB116,$AA116)))=Milestones!$AB$161),UPPER(TEXT(EDATE($D116,Milestones!$AA$161),"dd mmm yy"))&amp;" "&amp;Milestones!$AB$161&amp;" "&amp;IF(AND(Milestones!$AB$161="FT",Milestones!$AA$161=FT_Y5,EDATE($D116,Milestones!$AA$161)&lt;PolicyEff),1,Milestones!$AC$161)&amp;";  ","")&amp;IF(AND(EDATE($D116,Milestones!$AA$162)&lt;=AsOfDate,EDATE($D116,Milestones!$AA$162)&gt;=SchemeStart,IF($X116=0,$AD116,IF(AND($Z116&lt;&gt;"",EDATE($D116,Milestones!$AA$162)&gt;=$Z116),$AC116,IF(AND($Y116&lt;&gt;"",EDATE($D116,Milestones!$AA$162)&gt;=$Y116),$AB116,$AA116)))=Milestones!$AB$162),UPPER(TEXT(EDATE($D116,Milestones!$AA$162),"dd mmm yy"))&amp;" "&amp;Milestones!$AB$162&amp;" "&amp;IF(AND(Milestones!$AB$162="FT",Milestones!$AA$162=FT_Y5,EDATE($D116,Milestones!$AA$162)&lt;PolicyEff),1,Milestones!$AC$162)&amp;";  ","")&amp;IF(AND(EDATE($D116,Milestones!$AA$163)&lt;=AsOfDate,EDATE($D116,Milestones!$AA$163)&gt;=SchemeStart,IF($X116=0,$AD116,IF(AND($Z116&lt;&gt;"",EDATE($D116,Milestones!$AA$163)&gt;=$Z116),$AC116,IF(AND($Y116&lt;&gt;"",EDATE($D116,Milestones!$AA$163)&gt;=$Y116),$AB116,$AA116)))=Milestones!$AB$163),UPPER(TEXT(EDATE($D116,Milestones!$AA$163),"dd mmm yy"))&amp;" "&amp;Milestones!$AB$163&amp;" "&amp;IF(AND(Milestones!$AB$163="FT",Milestones!$AA$163=FT_Y5,EDATE($D116,Milestones!$AA$163)&lt;PolicyEff),1,Milestones!$AC$163)&amp;";  ",""))</f>
        <v/>
      </c>
      <c r="U116" s="0" t="str">
        <f aca="false">IF(OR($A116="",$D116=""),"",IF(AND(EDATE($D116,Milestones!$AA$164)&lt;=AsOfDate,EDATE($D116,Milestones!$AA$164)&gt;=SchemeStart,IF($X116=0,$AD116,IF(AND($Z116&lt;&gt;"",EDATE($D116,Milestones!$AA$164)&gt;=$Z116),$AC116,IF(AND($Y116&lt;&gt;"",EDATE($D116,Milestones!$AA$164)&gt;=$Y116),$AB116,$AA116)))=Milestones!$AB$164),UPPER(TEXT(EDATE($D116,Milestones!$AA$164),"dd mmm yy"))&amp;" "&amp;Milestones!$AB$164&amp;" "&amp;IF(AND(Milestones!$AB$164="FT",Milestones!$AA$164=FT_Y5,EDATE($D116,Milestones!$AA$164)&lt;PolicyEff),1,Milestones!$AC$164)&amp;";  ","")&amp;IF(AND(EDATE($D116,Milestones!$AA$165)&lt;=AsOfDate,EDATE($D116,Milestones!$AA$165)&gt;=SchemeStart,IF($X116=0,$AD116,IF(AND($Z116&lt;&gt;"",EDATE($D116,Milestones!$AA$165)&gt;=$Z116),$AC116,IF(AND($Y116&lt;&gt;"",EDATE($D116,Milestones!$AA$165)&gt;=$Y116),$AB116,$AA116)))=Milestones!$AB$165),UPPER(TEXT(EDATE($D116,Milestones!$AA$165),"dd mmm yy"))&amp;" "&amp;Milestones!$AB$165&amp;" "&amp;IF(AND(Milestones!$AB$165="FT",Milestones!$AA$165=FT_Y5,EDATE($D116,Milestones!$AA$165)&lt;PolicyEff),1,Milestones!$AC$165)&amp;";  ","")&amp;IF(AND(EDATE($D116,Milestones!$AA$166)&lt;=AsOfDate,EDATE($D116,Milestones!$AA$166)&gt;=SchemeStart,IF($X116=0,$AD116,IF(AND($Z116&lt;&gt;"",EDATE($D116,Milestones!$AA$166)&gt;=$Z116),$AC116,IF(AND($Y116&lt;&gt;"",EDATE($D116,Milestones!$AA$166)&gt;=$Y116),$AB116,$AA116)))=Milestones!$AB$166),UPPER(TEXT(EDATE($D116,Milestones!$AA$166),"dd mmm yy"))&amp;" "&amp;Milestones!$AB$166&amp;" "&amp;IF(AND(Milestones!$AB$166="FT",Milestones!$AA$166=FT_Y5,EDATE($D116,Milestones!$AA$166)&lt;PolicyEff),1,Milestones!$AC$166)&amp;";  ","")&amp;IF(AND(EDATE($D116,Milestones!$AA$167)&lt;=AsOfDate,EDATE($D116,Milestones!$AA$167)&gt;=SchemeStart,IF($X116=0,$AD116,IF(AND($Z116&lt;&gt;"",EDATE($D116,Milestones!$AA$167)&gt;=$Z116),$AC116,IF(AND($Y116&lt;&gt;"",EDATE($D116,Milestones!$AA$167)&gt;=$Y116),$AB116,$AA116)))=Milestones!$AB$167),UPPER(TEXT(EDATE($D116,Milestones!$AA$167),"dd mmm yy"))&amp;" "&amp;Milestones!$AB$167&amp;" "&amp;IF(AND(Milestones!$AB$167="FT",Milestones!$AA$167=FT_Y5,EDATE($D116,Milestones!$AA$167)&lt;PolicyEff),1,Milestones!$AC$167)&amp;";  ","")&amp;IF(AND(EDATE($D116,Milestones!$AA$168)&lt;=AsOfDate,EDATE($D116,Milestones!$AA$168)&gt;=SchemeStart,IF($X116=0,$AD116,IF(AND($Z116&lt;&gt;"",EDATE($D116,Milestones!$AA$168)&gt;=$Z116),$AC116,IF(AND($Y116&lt;&gt;"",EDATE($D116,Milestones!$AA$168)&gt;=$Y116),$AB116,$AA116)))=Milestones!$AB$168),UPPER(TEXT(EDATE($D116,Milestones!$AA$168),"dd mmm yy"))&amp;" "&amp;Milestones!$AB$168&amp;" "&amp;IF(AND(Milestones!$AB$168="FT",Milestones!$AA$168=FT_Y5,EDATE($D116,Milestones!$AA$168)&lt;PolicyEff),1,Milestones!$AC$168)&amp;";  ","")&amp;IF(AND(EDATE($D116,Milestones!$AA$169)&lt;=AsOfDate,EDATE($D116,Milestones!$AA$169)&gt;=SchemeStart,IF($X116=0,$AD116,IF(AND($Z116&lt;&gt;"",EDATE($D116,Milestones!$AA$169)&gt;=$Z116),$AC116,IF(AND($Y116&lt;&gt;"",EDATE($D116,Milestones!$AA$169)&gt;=$Y116),$AB116,$AA116)))=Milestones!$AB$169),UPPER(TEXT(EDATE($D116,Milestones!$AA$169),"dd mmm yy"))&amp;" "&amp;Milestones!$AB$169&amp;" "&amp;IF(AND(Milestones!$AB$169="FT",Milestones!$AA$169=FT_Y5,EDATE($D116,Milestones!$AA$169)&lt;PolicyEff),1,Milestones!$AC$169)&amp;";  ","")&amp;IF(AND(EDATE($D116,Milestones!$AA$170)&lt;=AsOfDate,EDATE($D116,Milestones!$AA$170)&gt;=SchemeStart,IF($X116=0,$AD116,IF(AND($Z116&lt;&gt;"",EDATE($D116,Milestones!$AA$170)&gt;=$Z116),$AC116,IF(AND($Y116&lt;&gt;"",EDATE($D116,Milestones!$AA$170)&gt;=$Y116),$AB116,$AA116)))=Milestones!$AB$170),UPPER(TEXT(EDATE($D116,Milestones!$AA$170),"dd mmm yy"))&amp;" "&amp;Milestones!$AB$170&amp;" "&amp;IF(AND(Milestones!$AB$170="FT",Milestones!$AA$170=FT_Y5,EDATE($D116,Milestones!$AA$170)&lt;PolicyEff),1,Milestones!$AC$170)&amp;";  ","")&amp;IF(AND(EDATE($D116,Milestones!$AA$171)&lt;=AsOfDate,EDATE($D116,Milestones!$AA$171)&gt;=SchemeStart,IF($X116=0,$AD116,IF(AND($Z116&lt;&gt;"",EDATE($D116,Milestones!$AA$171)&gt;=$Z116),$AC116,IF(AND($Y116&lt;&gt;"",EDATE($D116,Milestones!$AA$171)&gt;=$Y116),$AB116,$AA116)))=Milestones!$AB$171),UPPER(TEXT(EDATE($D116,Milestones!$AA$171),"dd mmm yy"))&amp;" "&amp;Milestones!$AB$171&amp;" "&amp;IF(AND(Milestones!$AB$171="FT",Milestones!$AA$171=FT_Y5,EDATE($D116,Milestones!$AA$171)&lt;PolicyEff),1,Milestones!$AC$171)&amp;";  ","")&amp;IF(AND(EDATE($D116,Milestones!$AA$172)&lt;=AsOfDate,EDATE($D116,Milestones!$AA$172)&gt;=SchemeStart,IF($X116=0,$AD116,IF(AND($Z116&lt;&gt;"",EDATE($D116,Milestones!$AA$172)&gt;=$Z116),$AC116,IF(AND($Y116&lt;&gt;"",EDATE($D116,Milestones!$AA$172)&gt;=$Y116),$AB116,$AA116)))=Milestones!$AB$172),UPPER(TEXT(EDATE($D116,Milestones!$AA$172),"dd mmm yy"))&amp;" "&amp;Milestones!$AB$172&amp;" "&amp;IF(AND(Milestones!$AB$172="FT",Milestones!$AA$172=FT_Y5,EDATE($D116,Milestones!$AA$172)&lt;PolicyEff),1,Milestones!$AC$172)&amp;";  ","")&amp;IF(AND(EDATE($D116,Milestones!$AA$173)&lt;=AsOfDate,EDATE($D116,Milestones!$AA$173)&gt;=SchemeStart,IF($X116=0,$AD116,IF(AND($Z116&lt;&gt;"",EDATE($D116,Milestones!$AA$173)&gt;=$Z116),$AC116,IF(AND($Y116&lt;&gt;"",EDATE($D116,Milestones!$AA$173)&gt;=$Y116),$AB116,$AA116)))=Milestones!$AB$173),UPPER(TEXT(EDATE($D116,Milestones!$AA$173),"dd mmm yy"))&amp;" "&amp;Milestones!$AB$173&amp;" "&amp;IF(AND(Milestones!$AB$173="FT",Milestones!$AA$173=FT_Y5,EDATE($D116,Milestones!$AA$173)&lt;PolicyEff),1,Milestones!$AC$173)&amp;";  ","")&amp;IF(AND(EDATE($D116,Milestones!$AA$174)&lt;=AsOfDate,EDATE($D116,Milestones!$AA$174)&gt;=SchemeStart,IF($X116=0,$AD116,IF(AND($Z116&lt;&gt;"",EDATE($D116,Milestones!$AA$174)&gt;=$Z116),$AC116,IF(AND($Y116&lt;&gt;"",EDATE($D116,Milestones!$AA$174)&gt;=$Y116),$AB116,$AA116)))=Milestones!$AB$174),UPPER(TEXT(EDATE($D116,Milestones!$AA$174),"dd mmm yy"))&amp;" "&amp;Milestones!$AB$174&amp;" "&amp;IF(AND(Milestones!$AB$174="FT",Milestones!$AA$174=FT_Y5,EDATE($D116,Milestones!$AA$174)&lt;PolicyEff),1,Milestones!$AC$174)&amp;";  ","")&amp;IF(AND(EDATE($D116,Milestones!$AA$175)&lt;=AsOfDate,EDATE($D116,Milestones!$AA$175)&gt;=SchemeStart,IF($X116=0,$AD116,IF(AND($Z116&lt;&gt;"",EDATE($D116,Milestones!$AA$175)&gt;=$Z116),$AC116,IF(AND($Y116&lt;&gt;"",EDATE($D116,Milestones!$AA$175)&gt;=$Y116),$AB116,$AA116)))=Milestones!$AB$175),UPPER(TEXT(EDATE($D116,Milestones!$AA$175),"dd mmm yy"))&amp;" "&amp;Milestones!$AB$175&amp;" "&amp;IF(AND(Milestones!$AB$175="FT",Milestones!$AA$175=FT_Y5,EDATE($D116,Milestones!$AA$175)&lt;PolicyEff),1,Milestones!$AC$175)&amp;";  ",""))</f>
        <v/>
      </c>
      <c r="V116" s="0" t="str">
        <f aca="false">IF(OR($A116="",$D116=""),"",IF(AND(EDATE($D116,Milestones!$AA$176)&lt;=AsOfDate,EDATE($D116,Milestones!$AA$176)&gt;=SchemeStart,IF($X116=0,$AD116,IF(AND($Z116&lt;&gt;"",EDATE($D116,Milestones!$AA$176)&gt;=$Z116),$AC116,IF(AND($Y116&lt;&gt;"",EDATE($D116,Milestones!$AA$176)&gt;=$Y116),$AB116,$AA116)))=Milestones!$AB$176),UPPER(TEXT(EDATE($D116,Milestones!$AA$176),"dd mmm yy"))&amp;" "&amp;Milestones!$AB$176&amp;" "&amp;IF(AND(Milestones!$AB$176="FT",Milestones!$AA$176=FT_Y5,EDATE($D116,Milestones!$AA$176)&lt;PolicyEff),1,Milestones!$AC$176)&amp;";  ","")&amp;IF(AND(EDATE($D116,Milestones!$AA$177)&lt;=AsOfDate,EDATE($D116,Milestones!$AA$177)&gt;=SchemeStart,IF($X116=0,$AD116,IF(AND($Z116&lt;&gt;"",EDATE($D116,Milestones!$AA$177)&gt;=$Z116),$AC116,IF(AND($Y116&lt;&gt;"",EDATE($D116,Milestones!$AA$177)&gt;=$Y116),$AB116,$AA116)))=Milestones!$AB$177),UPPER(TEXT(EDATE($D116,Milestones!$AA$177),"dd mmm yy"))&amp;" "&amp;Milestones!$AB$177&amp;" "&amp;IF(AND(Milestones!$AB$177="FT",Milestones!$AA$177=FT_Y5,EDATE($D116,Milestones!$AA$177)&lt;PolicyEff),1,Milestones!$AC$177)&amp;";  ","")&amp;IF(AND(EDATE($D116,Milestones!$AA$178)&lt;=AsOfDate,EDATE($D116,Milestones!$AA$178)&gt;=SchemeStart,IF($X116=0,$AD116,IF(AND($Z116&lt;&gt;"",EDATE($D116,Milestones!$AA$178)&gt;=$Z116),$AC116,IF(AND($Y116&lt;&gt;"",EDATE($D116,Milestones!$AA$178)&gt;=$Y116),$AB116,$AA116)))=Milestones!$AB$178),UPPER(TEXT(EDATE($D116,Milestones!$AA$178),"dd mmm yy"))&amp;" "&amp;Milestones!$AB$178&amp;" "&amp;IF(AND(Milestones!$AB$178="FT",Milestones!$AA$178=FT_Y5,EDATE($D116,Milestones!$AA$178)&lt;PolicyEff),1,Milestones!$AC$178)&amp;";  ","")&amp;IF(AND(EDATE($D116,Milestones!$AA$179)&lt;=AsOfDate,EDATE($D116,Milestones!$AA$179)&gt;=SchemeStart,IF($X116=0,$AD116,IF(AND($Z116&lt;&gt;"",EDATE($D116,Milestones!$AA$179)&gt;=$Z116),$AC116,IF(AND($Y116&lt;&gt;"",EDATE($D116,Milestones!$AA$179)&gt;=$Y116),$AB116,$AA116)))=Milestones!$AB$179),UPPER(TEXT(EDATE($D116,Milestones!$AA$179),"dd mmm yy"))&amp;" "&amp;Milestones!$AB$179&amp;" "&amp;IF(AND(Milestones!$AB$179="FT",Milestones!$AA$179=FT_Y5,EDATE($D116,Milestones!$AA$179)&lt;PolicyEff),1,Milestones!$AC$179)&amp;";  ","")&amp;IF(AND(EDATE($D116,Milestones!$AA$180)&lt;=AsOfDate,EDATE($D116,Milestones!$AA$180)&gt;=SchemeStart,IF($X116=0,$AD116,IF(AND($Z116&lt;&gt;"",EDATE($D116,Milestones!$AA$180)&gt;=$Z116),$AC116,IF(AND($Y116&lt;&gt;"",EDATE($D116,Milestones!$AA$180)&gt;=$Y116),$AB116,$AA116)))=Milestones!$AB$180),UPPER(TEXT(EDATE($D116,Milestones!$AA$180),"dd mmm yy"))&amp;" "&amp;Milestones!$AB$180&amp;" "&amp;IF(AND(Milestones!$AB$180="FT",Milestones!$AA$180=FT_Y5,EDATE($D116,Milestones!$AA$180)&lt;PolicyEff),1,Milestones!$AC$180)&amp;";  ","")&amp;IF(AND(EDATE($D116,Milestones!$AA$181)&lt;=AsOfDate,EDATE($D116,Milestones!$AA$181)&gt;=SchemeStart,IF($X116=0,$AD116,IF(AND($Z116&lt;&gt;"",EDATE($D116,Milestones!$AA$181)&gt;=$Z116),$AC116,IF(AND($Y116&lt;&gt;"",EDATE($D116,Milestones!$AA$181)&gt;=$Y116),$AB116,$AA116)))=Milestones!$AB$181),UPPER(TEXT(EDATE($D116,Milestones!$AA$181),"dd mmm yy"))&amp;" "&amp;Milestones!$AB$181&amp;" "&amp;IF(AND(Milestones!$AB$181="FT",Milestones!$AA$181=FT_Y5,EDATE($D116,Milestones!$AA$181)&lt;PolicyEff),1,Milestones!$AC$181)&amp;";  ","")&amp;IF(AND(EDATE($D116,Milestones!$AA$182)&lt;=AsOfDate,EDATE($D116,Milestones!$AA$182)&gt;=SchemeStart,IF($X116=0,$AD116,IF(AND($Z116&lt;&gt;"",EDATE($D116,Milestones!$AA$182)&gt;=$Z116),$AC116,IF(AND($Y116&lt;&gt;"",EDATE($D116,Milestones!$AA$182)&gt;=$Y116),$AB116,$AA116)))=Milestones!$AB$182),UPPER(TEXT(EDATE($D116,Milestones!$AA$182),"dd mmm yy"))&amp;" "&amp;Milestones!$AB$182&amp;" "&amp;IF(AND(Milestones!$AB$182="FT",Milestones!$AA$182=FT_Y5,EDATE($D116,Milestones!$AA$182)&lt;PolicyEff),1,Milestones!$AC$182)&amp;";  ","")&amp;IF(AND(EDATE($D116,Milestones!$AA$183)&lt;=AsOfDate,EDATE($D116,Milestones!$AA$183)&gt;=SchemeStart,IF($X116=0,$AD116,IF(AND($Z116&lt;&gt;"",EDATE($D116,Milestones!$AA$183)&gt;=$Z116),$AC116,IF(AND($Y116&lt;&gt;"",EDATE($D116,Milestones!$AA$183)&gt;=$Y116),$AB116,$AA116)))=Milestones!$AB$183),UPPER(TEXT(EDATE($D116,Milestones!$AA$183),"dd mmm yy"))&amp;" "&amp;Milestones!$AB$183&amp;" "&amp;IF(AND(Milestones!$AB$183="FT",Milestones!$AA$183=FT_Y5,EDATE($D116,Milestones!$AA$183)&lt;PolicyEff),1,Milestones!$AC$183)&amp;";  ","")&amp;IF(AND(EDATE($D116,Milestones!$AA$184)&lt;=AsOfDate,EDATE($D116,Milestones!$AA$184)&gt;=SchemeStart,IF($X116=0,$AD116,IF(AND($Z116&lt;&gt;"",EDATE($D116,Milestones!$AA$184)&gt;=$Z116),$AC116,IF(AND($Y116&lt;&gt;"",EDATE($D116,Milestones!$AA$184)&gt;=$Y116),$AB116,$AA116)))=Milestones!$AB$184),UPPER(TEXT(EDATE($D116,Milestones!$AA$184),"dd mmm yy"))&amp;" "&amp;Milestones!$AB$184&amp;" "&amp;IF(AND(Milestones!$AB$184="FT",Milestones!$AA$184=FT_Y5,EDATE($D116,Milestones!$AA$184)&lt;PolicyEff),1,Milestones!$AC$184)&amp;";  ","")&amp;IF(AND(EDATE($D116,Milestones!$AA$185)&lt;=AsOfDate,EDATE($D116,Milestones!$AA$185)&gt;=SchemeStart,IF($X116=0,$AD116,IF(AND($Z116&lt;&gt;"",EDATE($D116,Milestones!$AA$185)&gt;=$Z116),$AC116,IF(AND($Y116&lt;&gt;"",EDATE($D116,Milestones!$AA$185)&gt;=$Y116),$AB116,$AA116)))=Milestones!$AB$185),UPPER(TEXT(EDATE($D116,Milestones!$AA$185),"dd mmm yy"))&amp;" "&amp;Milestones!$AB$185&amp;" "&amp;IF(AND(Milestones!$AB$185="FT",Milestones!$AA$185=FT_Y5,EDATE($D116,Milestones!$AA$185)&lt;PolicyEff),1,Milestones!$AC$185)&amp;";  ","")&amp;IF(AND(EDATE($D116,Milestones!$AA$186)&lt;=AsOfDate,EDATE($D116,Milestones!$AA$186)&gt;=SchemeStart,IF($X116=0,$AD116,IF(AND($Z116&lt;&gt;"",EDATE($D116,Milestones!$AA$186)&gt;=$Z116),$AC116,IF(AND($Y116&lt;&gt;"",EDATE($D116,Milestones!$AA$186)&gt;=$Y116),$AB116,$AA116)))=Milestones!$AB$186),UPPER(TEXT(EDATE($D116,Milestones!$AA$186),"dd mmm yy"))&amp;" "&amp;Milestones!$AB$186&amp;" "&amp;IF(AND(Milestones!$AB$186="FT",Milestones!$AA$186=FT_Y5,EDATE($D116,Milestones!$AA$186)&lt;PolicyEff),1,Milestones!$AC$186)&amp;";  ","")&amp;IF(AND(EDATE($D116,Milestones!$AA$187)&lt;=AsOfDate,EDATE($D116,Milestones!$AA$187)&gt;=SchemeStart,IF($X116=0,$AD116,IF(AND($Z116&lt;&gt;"",EDATE($D116,Milestones!$AA$187)&gt;=$Z116),$AC116,IF(AND($Y116&lt;&gt;"",EDATE($D116,Milestones!$AA$187)&gt;=$Y116),$AB116,$AA116)))=Milestones!$AB$187),UPPER(TEXT(EDATE($D116,Milestones!$AA$187),"dd mmm yy"))&amp;" "&amp;Milestones!$AB$187&amp;" "&amp;IF(AND(Milestones!$AB$187="FT",Milestones!$AA$187=FT_Y5,EDATE($D116,Milestones!$AA$187)&lt;PolicyEff),1,Milestones!$AC$187)&amp;";  ",""))</f>
        <v/>
      </c>
      <c r="W116" s="0" t="str">
        <f aca="false">IF(OR($A116="",$D116=""),"",IF(AND(EDATE($D116,Milestones!$AA$188)&lt;=AsOfDate,EDATE($D116,Milestones!$AA$188)&gt;=SchemeStart,IF($X116=0,$AD116,IF(AND($Z116&lt;&gt;"",EDATE($D116,Milestones!$AA$188)&gt;=$Z116),$AC116,IF(AND($Y116&lt;&gt;"",EDATE($D116,Milestones!$AA$188)&gt;=$Y116),$AB116,$AA116)))=Milestones!$AB$188),UPPER(TEXT(EDATE($D116,Milestones!$AA$188),"dd mmm yy"))&amp;" "&amp;Milestones!$AB$188&amp;" "&amp;IF(AND(Milestones!$AB$188="FT",Milestones!$AA$188=FT_Y5,EDATE($D116,Milestones!$AA$188)&lt;PolicyEff),1,Milestones!$AC$188)&amp;";  ","")&amp;IF(AND(EDATE($D116,Milestones!$AA$189)&lt;=AsOfDate,EDATE($D116,Milestones!$AA$189)&gt;=SchemeStart,IF($X116=0,$AD116,IF(AND($Z116&lt;&gt;"",EDATE($D116,Milestones!$AA$189)&gt;=$Z116),$AC116,IF(AND($Y116&lt;&gt;"",EDATE($D116,Milestones!$AA$189)&gt;=$Y116),$AB116,$AA116)))=Milestones!$AB$189),UPPER(TEXT(EDATE($D116,Milestones!$AA$189),"dd mmm yy"))&amp;" "&amp;Milestones!$AB$189&amp;" "&amp;IF(AND(Milestones!$AB$189="FT",Milestones!$AA$189=FT_Y5,EDATE($D116,Milestones!$AA$189)&lt;PolicyEff),1,Milestones!$AC$189)&amp;";  ","")&amp;IF(AND(EDATE($D116,Milestones!$AA$190)&lt;=AsOfDate,EDATE($D116,Milestones!$AA$190)&gt;=SchemeStart,IF($X116=0,$AD116,IF(AND($Z116&lt;&gt;"",EDATE($D116,Milestones!$AA$190)&gt;=$Z116),$AC116,IF(AND($Y116&lt;&gt;"",EDATE($D116,Milestones!$AA$190)&gt;=$Y116),$AB116,$AA116)))=Milestones!$AB$190),UPPER(TEXT(EDATE($D116,Milestones!$AA$190),"dd mmm yy"))&amp;" "&amp;Milestones!$AB$190&amp;" "&amp;IF(AND(Milestones!$AB$190="FT",Milestones!$AA$190=FT_Y5,EDATE($D116,Milestones!$AA$190)&lt;PolicyEff),1,Milestones!$AC$190)&amp;";  ","")&amp;IF(AND(EDATE($D116,Milestones!$AA$191)&lt;=AsOfDate,EDATE($D116,Milestones!$AA$191)&gt;=SchemeStart,IF($X116=0,$AD116,IF(AND($Z116&lt;&gt;"",EDATE($D116,Milestones!$AA$191)&gt;=$Z116),$AC116,IF(AND($Y116&lt;&gt;"",EDATE($D116,Milestones!$AA$191)&gt;=$Y116),$AB116,$AA116)))=Milestones!$AB$191),UPPER(TEXT(EDATE($D116,Milestones!$AA$191),"dd mmm yy"))&amp;" "&amp;Milestones!$AB$191&amp;" "&amp;IF(AND(Milestones!$AB$191="FT",Milestones!$AA$191=FT_Y5,EDATE($D116,Milestones!$AA$191)&lt;PolicyEff),1,Milestones!$AC$191)&amp;";  ","")&amp;IF(AND(EDATE($D116,Milestones!$AA$192)&lt;=AsOfDate,EDATE($D116,Milestones!$AA$192)&gt;=SchemeStart,IF($X116=0,$AD116,IF(AND($Z116&lt;&gt;"",EDATE($D116,Milestones!$AA$192)&gt;=$Z116),$AC116,IF(AND($Y116&lt;&gt;"",EDATE($D116,Milestones!$AA$192)&gt;=$Y116),$AB116,$AA116)))=Milestones!$AB$192),UPPER(TEXT(EDATE($D116,Milestones!$AA$192),"dd mmm yy"))&amp;" "&amp;Milestones!$AB$192&amp;" "&amp;IF(AND(Milestones!$AB$192="FT",Milestones!$AA$192=FT_Y5,EDATE($D116,Milestones!$AA$192)&lt;PolicyEff),1,Milestones!$AC$192)&amp;";  ","")&amp;IF(AND(EDATE($D116,Milestones!$AA$193)&lt;=AsOfDate,EDATE($D116,Milestones!$AA$193)&gt;=SchemeStart,IF($X116=0,$AD116,IF(AND($Z116&lt;&gt;"",EDATE($D116,Milestones!$AA$193)&gt;=$Z116),$AC116,IF(AND($Y116&lt;&gt;"",EDATE($D116,Milestones!$AA$193)&gt;=$Y116),$AB116,$AA116)))=Milestones!$AB$193),UPPER(TEXT(EDATE($D116,Milestones!$AA$193),"dd mmm yy"))&amp;" "&amp;Milestones!$AB$193&amp;" "&amp;IF(AND(Milestones!$AB$193="FT",Milestones!$AA$193=FT_Y5,EDATE($D116,Milestones!$AA$193)&lt;PolicyEff),1,Milestones!$AC$193)&amp;";  ","")&amp;IF(AND(EDATE($D116,Milestones!$AA$194)&lt;=AsOfDate,EDATE($D116,Milestones!$AA$194)&gt;=SchemeStart,IF($X116=0,$AD116,IF(AND($Z116&lt;&gt;"",EDATE($D116,Milestones!$AA$194)&gt;=$Z116),$AC116,IF(AND($Y116&lt;&gt;"",EDATE($D116,Milestones!$AA$194)&gt;=$Y116),$AB116,$AA116)))=Milestones!$AB$194),UPPER(TEXT(EDATE($D116,Milestones!$AA$194),"dd mmm yy"))&amp;" "&amp;Milestones!$AB$194&amp;" "&amp;IF(AND(Milestones!$AB$194="FT",Milestones!$AA$194=FT_Y5,EDATE($D116,Milestones!$AA$194)&lt;PolicyEff),1,Milestones!$AC$194)&amp;";  ","")&amp;IF(AND(EDATE($D116,Milestones!$AA$195)&lt;=AsOfDate,EDATE($D116,Milestones!$AA$195)&gt;=SchemeStart,IF($X116=0,$AD116,IF(AND($Z116&lt;&gt;"",EDATE($D116,Milestones!$AA$195)&gt;=$Z116),$AC116,IF(AND($Y116&lt;&gt;"",EDATE($D116,Milestones!$AA$195)&gt;=$Y116),$AB116,$AA116)))=Milestones!$AB$195),UPPER(TEXT(EDATE($D116,Milestones!$AA$195),"dd mmm yy"))&amp;" "&amp;Milestones!$AB$195&amp;" "&amp;IF(AND(Milestones!$AB$195="FT",Milestones!$AA$195=FT_Y5,EDATE($D116,Milestones!$AA$195)&lt;PolicyEff),1,Milestones!$AC$195)&amp;";  ","")&amp;IF(AND(EDATE($D116,Milestones!$AA$196)&lt;=AsOfDate,EDATE($D116,Milestones!$AA$196)&gt;=SchemeStart,IF($X116=0,$AD116,IF(AND($Z116&lt;&gt;"",EDATE($D116,Milestones!$AA$196)&gt;=$Z116),$AC116,IF(AND($Y116&lt;&gt;"",EDATE($D116,Milestones!$AA$196)&gt;=$Y116),$AB116,$AA116)))=Milestones!$AB$196),UPPER(TEXT(EDATE($D116,Milestones!$AA$196),"dd mmm yy"))&amp;" "&amp;Milestones!$AB$196&amp;" "&amp;IF(AND(Milestones!$AB$196="FT",Milestones!$AA$196=FT_Y5,EDATE($D116,Milestones!$AA$196)&lt;PolicyEff),1,Milestones!$AC$196)&amp;";  ","")&amp;IF(AND(EDATE($D116,Milestones!$AA$197)&lt;=AsOfDate,EDATE($D116,Milestones!$AA$197)&gt;=SchemeStart,IF($X116=0,$AD116,IF(AND($Z116&lt;&gt;"",EDATE($D116,Milestones!$AA$197)&gt;=$Z116),$AC116,IF(AND($Y116&lt;&gt;"",EDATE($D116,Milestones!$AA$197)&gt;=$Y116),$AB116,$AA116)))=Milestones!$AB$197),UPPER(TEXT(EDATE($D116,Milestones!$AA$197),"dd mmm yy"))&amp;" "&amp;Milestones!$AB$197&amp;" "&amp;IF(AND(Milestones!$AB$197="FT",Milestones!$AA$197=FT_Y5,EDATE($D116,Milestones!$AA$197)&lt;PolicyEff),1,Milestones!$AC$197)&amp;";  ","")&amp;IF(AND(EDATE($D116,Milestones!$AA$198)&lt;=AsOfDate,EDATE($D116,Milestones!$AA$198)&gt;=SchemeStart,IF($X116=0,$AD116,IF(AND($Z116&lt;&gt;"",EDATE($D116,Milestones!$AA$198)&gt;=$Z116),$AC116,IF(AND($Y116&lt;&gt;"",EDATE($D116,Milestones!$AA$198)&gt;=$Y116),$AB116,$AA116)))=Milestones!$AB$198),UPPER(TEXT(EDATE($D116,Milestones!$AA$198),"dd mmm yy"))&amp;" "&amp;Milestones!$AB$198&amp;" "&amp;IF(AND(Milestones!$AB$198="FT",Milestones!$AA$198=FT_Y5,EDATE($D116,Milestones!$AA$198)&lt;PolicyEff),1,Milestones!$AC$198)&amp;";  ","")&amp;IF(AND(EDATE($D116,Milestones!$AA$199)&lt;=AsOfDate,EDATE($D116,Milestones!$AA$199)&gt;=SchemeStart,IF($X116=0,$AD116,IF(AND($Z116&lt;&gt;"",EDATE($D116,Milestones!$AA$199)&gt;=$Z116),$AC116,IF(AND($Y116&lt;&gt;"",EDATE($D116,Milestones!$AA$199)&gt;=$Y116),$AB116,$AA116)))=Milestones!$AB$199),UPPER(TEXT(EDATE($D116,Milestones!$AA$199),"dd mmm yy"))&amp;" "&amp;Milestones!$AB$199&amp;" "&amp;IF(AND(Milestones!$AB$199="FT",Milestones!$AA$199=FT_Y5,EDATE($D116,Milestones!$AA$199)&lt;PolicyEff),1,Milestones!$AC$199)&amp;";  ",""))</f>
        <v/>
      </c>
      <c r="X116" s="0" t="str">
        <f aca="false">IF(Staff!$A116="","",Staff!$AM116)</f>
        <v/>
      </c>
      <c r="Y116" s="0" t="str">
        <f aca="false">IF(Staff!$A116="","",Staff!$AO116)</f>
        <v/>
      </c>
      <c r="Z116" s="0" t="str">
        <f aca="false">IF(Staff!$A116="","",Staff!$AP116)</f>
        <v/>
      </c>
      <c r="AA116" s="0" t="str">
        <f aca="false">IF(Staff!$A116="","",Staff!$AT116)</f>
        <v/>
      </c>
      <c r="AB116" s="0" t="str">
        <f aca="false">IF(Staff!$A116="","",Staff!$AU116)</f>
        <v/>
      </c>
      <c r="AC116" s="0" t="str">
        <f aca="false">IF(Staff!$A116="","",Staff!$AV116)</f>
        <v/>
      </c>
      <c r="AD116" s="0" t="str">
        <f aca="false">IF(Staff!$A116="","",Staff!$AW116)</f>
        <v/>
      </c>
    </row>
    <row r="117" customFormat="false" ht="15" hidden="false" customHeight="false" outlineLevel="0" collapsed="false">
      <c r="A117" s="16" t="str">
        <f aca="false">IF(Staff!$A117="","",Staff!$A117)</f>
        <v/>
      </c>
      <c r="B117" s="16" t="str">
        <f aca="false">IF(Staff!$A117="","",Staff!$B117)</f>
        <v/>
      </c>
      <c r="C117" s="16" t="str">
        <f aca="false">IF(Staff!$A117="","",Staff!$C117)</f>
        <v/>
      </c>
      <c r="D117" s="14" t="str">
        <f aca="false">IF(Staff!$A117="","",Staff!$AL117)</f>
        <v/>
      </c>
      <c r="E117" s="16" t="str">
        <f aca="false">IF(Staff!$A117="","",Staff!$O117)</f>
        <v/>
      </c>
      <c r="F117" s="16" t="str">
        <f aca="false">IF(E117="","",E117*HoursPerDay)</f>
        <v/>
      </c>
      <c r="G117" s="16" t="str">
        <f aca="false">IF(Staff!$A117="","",Staff!$AE117)</f>
        <v/>
      </c>
      <c r="H117" s="28" t="str">
        <f aca="false">IF($A117="","",I117&amp;J117&amp;K117&amp;L117&amp;M117&amp;N117&amp;O117&amp;P117&amp;Q117&amp;R117&amp;S117&amp;T117&amp;U117&amp;V117&amp;W117)</f>
        <v/>
      </c>
      <c r="I117" s="0" t="str">
        <f aca="false">IF(OR($A117="",$D117=""),"",IF(AND(EDATE($D117,Milestones!$AA$20)&lt;=AsOfDate,EDATE($D117,Milestones!$AA$20)&gt;=SchemeStart,IF($X117=0,$AD117,IF(AND($Z117&lt;&gt;"",EDATE($D117,Milestones!$AA$20)&gt;=$Z117),$AC117,IF(AND($Y117&lt;&gt;"",EDATE($D117,Milestones!$AA$20)&gt;=$Y117),$AB117,$AA117)))=Milestones!$AB$20),UPPER(TEXT(EDATE($D117,Milestones!$AA$20),"dd mmm yy"))&amp;" "&amp;Milestones!$AB$20&amp;" "&amp;IF(AND(Milestones!$AB$20="FT",Milestones!$AA$20=FT_Y5,EDATE($D117,Milestones!$AA$20)&lt;PolicyEff),1,Milestones!$AC$20)&amp;";  ","")&amp;IF(AND(EDATE($D117,Milestones!$AA$21)&lt;=AsOfDate,EDATE($D117,Milestones!$AA$21)&gt;=SchemeStart,IF($X117=0,$AD117,IF(AND($Z117&lt;&gt;"",EDATE($D117,Milestones!$AA$21)&gt;=$Z117),$AC117,IF(AND($Y117&lt;&gt;"",EDATE($D117,Milestones!$AA$21)&gt;=$Y117),$AB117,$AA117)))=Milestones!$AB$21),UPPER(TEXT(EDATE($D117,Milestones!$AA$21),"dd mmm yy"))&amp;" "&amp;Milestones!$AB$21&amp;" "&amp;IF(AND(Milestones!$AB$21="FT",Milestones!$AA$21=FT_Y5,EDATE($D117,Milestones!$AA$21)&lt;PolicyEff),1,Milestones!$AC$21)&amp;";  ","")&amp;IF(AND(EDATE($D117,Milestones!$AA$22)&lt;=AsOfDate,EDATE($D117,Milestones!$AA$22)&gt;=SchemeStart,IF($X117=0,$AD117,IF(AND($Z117&lt;&gt;"",EDATE($D117,Milestones!$AA$22)&gt;=$Z117),$AC117,IF(AND($Y117&lt;&gt;"",EDATE($D117,Milestones!$AA$22)&gt;=$Y117),$AB117,$AA117)))=Milestones!$AB$22),UPPER(TEXT(EDATE($D117,Milestones!$AA$22),"dd mmm yy"))&amp;" "&amp;Milestones!$AB$22&amp;" "&amp;IF(AND(Milestones!$AB$22="FT",Milestones!$AA$22=FT_Y5,EDATE($D117,Milestones!$AA$22)&lt;PolicyEff),1,Milestones!$AC$22)&amp;";  ","")&amp;IF(AND(EDATE($D117,Milestones!$AA$23)&lt;=AsOfDate,EDATE($D117,Milestones!$AA$23)&gt;=SchemeStart,IF($X117=0,$AD117,IF(AND($Z117&lt;&gt;"",EDATE($D117,Milestones!$AA$23)&gt;=$Z117),$AC117,IF(AND($Y117&lt;&gt;"",EDATE($D117,Milestones!$AA$23)&gt;=$Y117),$AB117,$AA117)))=Milestones!$AB$23),UPPER(TEXT(EDATE($D117,Milestones!$AA$23),"dd mmm yy"))&amp;" "&amp;Milestones!$AB$23&amp;" "&amp;IF(AND(Milestones!$AB$23="FT",Milestones!$AA$23=FT_Y5,EDATE($D117,Milestones!$AA$23)&lt;PolicyEff),1,Milestones!$AC$23)&amp;";  ","")&amp;IF(AND(EDATE($D117,Milestones!$AA$24)&lt;=AsOfDate,EDATE($D117,Milestones!$AA$24)&gt;=SchemeStart,IF($X117=0,$AD117,IF(AND($Z117&lt;&gt;"",EDATE($D117,Milestones!$AA$24)&gt;=$Z117),$AC117,IF(AND($Y117&lt;&gt;"",EDATE($D117,Milestones!$AA$24)&gt;=$Y117),$AB117,$AA117)))=Milestones!$AB$24),UPPER(TEXT(EDATE($D117,Milestones!$AA$24),"dd mmm yy"))&amp;" "&amp;Milestones!$AB$24&amp;" "&amp;IF(AND(Milestones!$AB$24="FT",Milestones!$AA$24=FT_Y5,EDATE($D117,Milestones!$AA$24)&lt;PolicyEff),1,Milestones!$AC$24)&amp;";  ","")&amp;IF(AND(EDATE($D117,Milestones!$AA$25)&lt;=AsOfDate,EDATE($D117,Milestones!$AA$25)&gt;=SchemeStart,IF($X117=0,$AD117,IF(AND($Z117&lt;&gt;"",EDATE($D117,Milestones!$AA$25)&gt;=$Z117),$AC117,IF(AND($Y117&lt;&gt;"",EDATE($D117,Milestones!$AA$25)&gt;=$Y117),$AB117,$AA117)))=Milestones!$AB$25),UPPER(TEXT(EDATE($D117,Milestones!$AA$25),"dd mmm yy"))&amp;" "&amp;Milestones!$AB$25&amp;" "&amp;IF(AND(Milestones!$AB$25="FT",Milestones!$AA$25=FT_Y5,EDATE($D117,Milestones!$AA$25)&lt;PolicyEff),1,Milestones!$AC$25)&amp;";  ","")&amp;IF(AND(EDATE($D117,Milestones!$AA$26)&lt;=AsOfDate,EDATE($D117,Milestones!$AA$26)&gt;=SchemeStart,IF($X117=0,$AD117,IF(AND($Z117&lt;&gt;"",EDATE($D117,Milestones!$AA$26)&gt;=$Z117),$AC117,IF(AND($Y117&lt;&gt;"",EDATE($D117,Milestones!$AA$26)&gt;=$Y117),$AB117,$AA117)))=Milestones!$AB$26),UPPER(TEXT(EDATE($D117,Milestones!$AA$26),"dd mmm yy"))&amp;" "&amp;Milestones!$AB$26&amp;" "&amp;IF(AND(Milestones!$AB$26="FT",Milestones!$AA$26=FT_Y5,EDATE($D117,Milestones!$AA$26)&lt;PolicyEff),1,Milestones!$AC$26)&amp;";  ","")&amp;IF(AND(EDATE($D117,Milestones!$AA$27)&lt;=AsOfDate,EDATE($D117,Milestones!$AA$27)&gt;=SchemeStart,IF($X117=0,$AD117,IF(AND($Z117&lt;&gt;"",EDATE($D117,Milestones!$AA$27)&gt;=$Z117),$AC117,IF(AND($Y117&lt;&gt;"",EDATE($D117,Milestones!$AA$27)&gt;=$Y117),$AB117,$AA117)))=Milestones!$AB$27),UPPER(TEXT(EDATE($D117,Milestones!$AA$27),"dd mmm yy"))&amp;" "&amp;Milestones!$AB$27&amp;" "&amp;IF(AND(Milestones!$AB$27="FT",Milestones!$AA$27=FT_Y5,EDATE($D117,Milestones!$AA$27)&lt;PolicyEff),1,Milestones!$AC$27)&amp;";  ","")&amp;IF(AND(EDATE($D117,Milestones!$AA$28)&lt;=AsOfDate,EDATE($D117,Milestones!$AA$28)&gt;=SchemeStart,IF($X117=0,$AD117,IF(AND($Z117&lt;&gt;"",EDATE($D117,Milestones!$AA$28)&gt;=$Z117),$AC117,IF(AND($Y117&lt;&gt;"",EDATE($D117,Milestones!$AA$28)&gt;=$Y117),$AB117,$AA117)))=Milestones!$AB$28),UPPER(TEXT(EDATE($D117,Milestones!$AA$28),"dd mmm yy"))&amp;" "&amp;Milestones!$AB$28&amp;" "&amp;IF(AND(Milestones!$AB$28="FT",Milestones!$AA$28=FT_Y5,EDATE($D117,Milestones!$AA$28)&lt;PolicyEff),1,Milestones!$AC$28)&amp;";  ","")&amp;IF(AND(EDATE($D117,Milestones!$AA$29)&lt;=AsOfDate,EDATE($D117,Milestones!$AA$29)&gt;=SchemeStart,IF($X117=0,$AD117,IF(AND($Z117&lt;&gt;"",EDATE($D117,Milestones!$AA$29)&gt;=$Z117),$AC117,IF(AND($Y117&lt;&gt;"",EDATE($D117,Milestones!$AA$29)&gt;=$Y117),$AB117,$AA117)))=Milestones!$AB$29),UPPER(TEXT(EDATE($D117,Milestones!$AA$29),"dd mmm yy"))&amp;" "&amp;Milestones!$AB$29&amp;" "&amp;IF(AND(Milestones!$AB$29="FT",Milestones!$AA$29=FT_Y5,EDATE($D117,Milestones!$AA$29)&lt;PolicyEff),1,Milestones!$AC$29)&amp;";  ","")&amp;IF(AND(EDATE($D117,Milestones!$AA$30)&lt;=AsOfDate,EDATE($D117,Milestones!$AA$30)&gt;=SchemeStart,IF($X117=0,$AD117,IF(AND($Z117&lt;&gt;"",EDATE($D117,Milestones!$AA$30)&gt;=$Z117),$AC117,IF(AND($Y117&lt;&gt;"",EDATE($D117,Milestones!$AA$30)&gt;=$Y117),$AB117,$AA117)))=Milestones!$AB$30),UPPER(TEXT(EDATE($D117,Milestones!$AA$30),"dd mmm yy"))&amp;" "&amp;Milestones!$AB$30&amp;" "&amp;IF(AND(Milestones!$AB$30="FT",Milestones!$AA$30=FT_Y5,EDATE($D117,Milestones!$AA$30)&lt;PolicyEff),1,Milestones!$AC$30)&amp;";  ","")&amp;IF(AND(EDATE($D117,Milestones!$AA$31)&lt;=AsOfDate,EDATE($D117,Milestones!$AA$31)&gt;=SchemeStart,IF($X117=0,$AD117,IF(AND($Z117&lt;&gt;"",EDATE($D117,Milestones!$AA$31)&gt;=$Z117),$AC117,IF(AND($Y117&lt;&gt;"",EDATE($D117,Milestones!$AA$31)&gt;=$Y117),$AB117,$AA117)))=Milestones!$AB$31),UPPER(TEXT(EDATE($D117,Milestones!$AA$31),"dd mmm yy"))&amp;" "&amp;Milestones!$AB$31&amp;" "&amp;IF(AND(Milestones!$AB$31="FT",Milestones!$AA$31=FT_Y5,EDATE($D117,Milestones!$AA$31)&lt;PolicyEff),1,Milestones!$AC$31)&amp;";  ",""))</f>
        <v/>
      </c>
      <c r="J117" s="0" t="str">
        <f aca="false">IF(OR($A117="",$D117=""),"",IF(AND(EDATE($D117,Milestones!$AA$32)&lt;=AsOfDate,EDATE($D117,Milestones!$AA$32)&gt;=SchemeStart,IF($X117=0,$AD117,IF(AND($Z117&lt;&gt;"",EDATE($D117,Milestones!$AA$32)&gt;=$Z117),$AC117,IF(AND($Y117&lt;&gt;"",EDATE($D117,Milestones!$AA$32)&gt;=$Y117),$AB117,$AA117)))=Milestones!$AB$32),UPPER(TEXT(EDATE($D117,Milestones!$AA$32),"dd mmm yy"))&amp;" "&amp;Milestones!$AB$32&amp;" "&amp;IF(AND(Milestones!$AB$32="FT",Milestones!$AA$32=FT_Y5,EDATE($D117,Milestones!$AA$32)&lt;PolicyEff),1,Milestones!$AC$32)&amp;";  ","")&amp;IF(AND(EDATE($D117,Milestones!$AA$33)&lt;=AsOfDate,EDATE($D117,Milestones!$AA$33)&gt;=SchemeStart,IF($X117=0,$AD117,IF(AND($Z117&lt;&gt;"",EDATE($D117,Milestones!$AA$33)&gt;=$Z117),$AC117,IF(AND($Y117&lt;&gt;"",EDATE($D117,Milestones!$AA$33)&gt;=$Y117),$AB117,$AA117)))=Milestones!$AB$33),UPPER(TEXT(EDATE($D117,Milestones!$AA$33),"dd mmm yy"))&amp;" "&amp;Milestones!$AB$33&amp;" "&amp;IF(AND(Milestones!$AB$33="FT",Milestones!$AA$33=FT_Y5,EDATE($D117,Milestones!$AA$33)&lt;PolicyEff),1,Milestones!$AC$33)&amp;";  ","")&amp;IF(AND(EDATE($D117,Milestones!$AA$34)&lt;=AsOfDate,EDATE($D117,Milestones!$AA$34)&gt;=SchemeStart,IF($X117=0,$AD117,IF(AND($Z117&lt;&gt;"",EDATE($D117,Milestones!$AA$34)&gt;=$Z117),$AC117,IF(AND($Y117&lt;&gt;"",EDATE($D117,Milestones!$AA$34)&gt;=$Y117),$AB117,$AA117)))=Milestones!$AB$34),UPPER(TEXT(EDATE($D117,Milestones!$AA$34),"dd mmm yy"))&amp;" "&amp;Milestones!$AB$34&amp;" "&amp;IF(AND(Milestones!$AB$34="FT",Milestones!$AA$34=FT_Y5,EDATE($D117,Milestones!$AA$34)&lt;PolicyEff),1,Milestones!$AC$34)&amp;";  ","")&amp;IF(AND(EDATE($D117,Milestones!$AA$35)&lt;=AsOfDate,EDATE($D117,Milestones!$AA$35)&gt;=SchemeStart,IF($X117=0,$AD117,IF(AND($Z117&lt;&gt;"",EDATE($D117,Milestones!$AA$35)&gt;=$Z117),$AC117,IF(AND($Y117&lt;&gt;"",EDATE($D117,Milestones!$AA$35)&gt;=$Y117),$AB117,$AA117)))=Milestones!$AB$35),UPPER(TEXT(EDATE($D117,Milestones!$AA$35),"dd mmm yy"))&amp;" "&amp;Milestones!$AB$35&amp;" "&amp;IF(AND(Milestones!$AB$35="FT",Milestones!$AA$35=FT_Y5,EDATE($D117,Milestones!$AA$35)&lt;PolicyEff),1,Milestones!$AC$35)&amp;";  ","")&amp;IF(AND(EDATE($D117,Milestones!$AA$36)&lt;=AsOfDate,EDATE($D117,Milestones!$AA$36)&gt;=SchemeStart,IF($X117=0,$AD117,IF(AND($Z117&lt;&gt;"",EDATE($D117,Milestones!$AA$36)&gt;=$Z117),$AC117,IF(AND($Y117&lt;&gt;"",EDATE($D117,Milestones!$AA$36)&gt;=$Y117),$AB117,$AA117)))=Milestones!$AB$36),UPPER(TEXT(EDATE($D117,Milestones!$AA$36),"dd mmm yy"))&amp;" "&amp;Milestones!$AB$36&amp;" "&amp;IF(AND(Milestones!$AB$36="FT",Milestones!$AA$36=FT_Y5,EDATE($D117,Milestones!$AA$36)&lt;PolicyEff),1,Milestones!$AC$36)&amp;";  ","")&amp;IF(AND(EDATE($D117,Milestones!$AA$37)&lt;=AsOfDate,EDATE($D117,Milestones!$AA$37)&gt;=SchemeStart,IF($X117=0,$AD117,IF(AND($Z117&lt;&gt;"",EDATE($D117,Milestones!$AA$37)&gt;=$Z117),$AC117,IF(AND($Y117&lt;&gt;"",EDATE($D117,Milestones!$AA$37)&gt;=$Y117),$AB117,$AA117)))=Milestones!$AB$37),UPPER(TEXT(EDATE($D117,Milestones!$AA$37),"dd mmm yy"))&amp;" "&amp;Milestones!$AB$37&amp;" "&amp;IF(AND(Milestones!$AB$37="FT",Milestones!$AA$37=FT_Y5,EDATE($D117,Milestones!$AA$37)&lt;PolicyEff),1,Milestones!$AC$37)&amp;";  ","")&amp;IF(AND(EDATE($D117,Milestones!$AA$38)&lt;=AsOfDate,EDATE($D117,Milestones!$AA$38)&gt;=SchemeStart,IF($X117=0,$AD117,IF(AND($Z117&lt;&gt;"",EDATE($D117,Milestones!$AA$38)&gt;=$Z117),$AC117,IF(AND($Y117&lt;&gt;"",EDATE($D117,Milestones!$AA$38)&gt;=$Y117),$AB117,$AA117)))=Milestones!$AB$38),UPPER(TEXT(EDATE($D117,Milestones!$AA$38),"dd mmm yy"))&amp;" "&amp;Milestones!$AB$38&amp;" "&amp;IF(AND(Milestones!$AB$38="FT",Milestones!$AA$38=FT_Y5,EDATE($D117,Milestones!$AA$38)&lt;PolicyEff),1,Milestones!$AC$38)&amp;";  ","")&amp;IF(AND(EDATE($D117,Milestones!$AA$39)&lt;=AsOfDate,EDATE($D117,Milestones!$AA$39)&gt;=SchemeStart,IF($X117=0,$AD117,IF(AND($Z117&lt;&gt;"",EDATE($D117,Milestones!$AA$39)&gt;=$Z117),$AC117,IF(AND($Y117&lt;&gt;"",EDATE($D117,Milestones!$AA$39)&gt;=$Y117),$AB117,$AA117)))=Milestones!$AB$39),UPPER(TEXT(EDATE($D117,Milestones!$AA$39),"dd mmm yy"))&amp;" "&amp;Milestones!$AB$39&amp;" "&amp;IF(AND(Milestones!$AB$39="FT",Milestones!$AA$39=FT_Y5,EDATE($D117,Milestones!$AA$39)&lt;PolicyEff),1,Milestones!$AC$39)&amp;";  ","")&amp;IF(AND(EDATE($D117,Milestones!$AA$40)&lt;=AsOfDate,EDATE($D117,Milestones!$AA$40)&gt;=SchemeStart,IF($X117=0,$AD117,IF(AND($Z117&lt;&gt;"",EDATE($D117,Milestones!$AA$40)&gt;=$Z117),$AC117,IF(AND($Y117&lt;&gt;"",EDATE($D117,Milestones!$AA$40)&gt;=$Y117),$AB117,$AA117)))=Milestones!$AB$40),UPPER(TEXT(EDATE($D117,Milestones!$AA$40),"dd mmm yy"))&amp;" "&amp;Milestones!$AB$40&amp;" "&amp;IF(AND(Milestones!$AB$40="FT",Milestones!$AA$40=FT_Y5,EDATE($D117,Milestones!$AA$40)&lt;PolicyEff),1,Milestones!$AC$40)&amp;";  ","")&amp;IF(AND(EDATE($D117,Milestones!$AA$41)&lt;=AsOfDate,EDATE($D117,Milestones!$AA$41)&gt;=SchemeStart,IF($X117=0,$AD117,IF(AND($Z117&lt;&gt;"",EDATE($D117,Milestones!$AA$41)&gt;=$Z117),$AC117,IF(AND($Y117&lt;&gt;"",EDATE($D117,Milestones!$AA$41)&gt;=$Y117),$AB117,$AA117)))=Milestones!$AB$41),UPPER(TEXT(EDATE($D117,Milestones!$AA$41),"dd mmm yy"))&amp;" "&amp;Milestones!$AB$41&amp;" "&amp;IF(AND(Milestones!$AB$41="FT",Milestones!$AA$41=FT_Y5,EDATE($D117,Milestones!$AA$41)&lt;PolicyEff),1,Milestones!$AC$41)&amp;";  ","")&amp;IF(AND(EDATE($D117,Milestones!$AA$42)&lt;=AsOfDate,EDATE($D117,Milestones!$AA$42)&gt;=SchemeStart,IF($X117=0,$AD117,IF(AND($Z117&lt;&gt;"",EDATE($D117,Milestones!$AA$42)&gt;=$Z117),$AC117,IF(AND($Y117&lt;&gt;"",EDATE($D117,Milestones!$AA$42)&gt;=$Y117),$AB117,$AA117)))=Milestones!$AB$42),UPPER(TEXT(EDATE($D117,Milestones!$AA$42),"dd mmm yy"))&amp;" "&amp;Milestones!$AB$42&amp;" "&amp;IF(AND(Milestones!$AB$42="FT",Milestones!$AA$42=FT_Y5,EDATE($D117,Milestones!$AA$42)&lt;PolicyEff),1,Milestones!$AC$42)&amp;";  ","")&amp;IF(AND(EDATE($D117,Milestones!$AA$43)&lt;=AsOfDate,EDATE($D117,Milestones!$AA$43)&gt;=SchemeStart,IF($X117=0,$AD117,IF(AND($Z117&lt;&gt;"",EDATE($D117,Milestones!$AA$43)&gt;=$Z117),$AC117,IF(AND($Y117&lt;&gt;"",EDATE($D117,Milestones!$AA$43)&gt;=$Y117),$AB117,$AA117)))=Milestones!$AB$43),UPPER(TEXT(EDATE($D117,Milestones!$AA$43),"dd mmm yy"))&amp;" "&amp;Milestones!$AB$43&amp;" "&amp;IF(AND(Milestones!$AB$43="FT",Milestones!$AA$43=FT_Y5,EDATE($D117,Milestones!$AA$43)&lt;PolicyEff),1,Milestones!$AC$43)&amp;";  ",""))</f>
        <v/>
      </c>
      <c r="K117" s="0" t="str">
        <f aca="false">IF(OR($A117="",$D117=""),"",IF(AND(EDATE($D117,Milestones!$AA$44)&lt;=AsOfDate,EDATE($D117,Milestones!$AA$44)&gt;=SchemeStart,IF($X117=0,$AD117,IF(AND($Z117&lt;&gt;"",EDATE($D117,Milestones!$AA$44)&gt;=$Z117),$AC117,IF(AND($Y117&lt;&gt;"",EDATE($D117,Milestones!$AA$44)&gt;=$Y117),$AB117,$AA117)))=Milestones!$AB$44),UPPER(TEXT(EDATE($D117,Milestones!$AA$44),"dd mmm yy"))&amp;" "&amp;Milestones!$AB$44&amp;" "&amp;IF(AND(Milestones!$AB$44="FT",Milestones!$AA$44=FT_Y5,EDATE($D117,Milestones!$AA$44)&lt;PolicyEff),1,Milestones!$AC$44)&amp;";  ","")&amp;IF(AND(EDATE($D117,Milestones!$AA$45)&lt;=AsOfDate,EDATE($D117,Milestones!$AA$45)&gt;=SchemeStart,IF($X117=0,$AD117,IF(AND($Z117&lt;&gt;"",EDATE($D117,Milestones!$AA$45)&gt;=$Z117),$AC117,IF(AND($Y117&lt;&gt;"",EDATE($D117,Milestones!$AA$45)&gt;=$Y117),$AB117,$AA117)))=Milestones!$AB$45),UPPER(TEXT(EDATE($D117,Milestones!$AA$45),"dd mmm yy"))&amp;" "&amp;Milestones!$AB$45&amp;" "&amp;IF(AND(Milestones!$AB$45="FT",Milestones!$AA$45=FT_Y5,EDATE($D117,Milestones!$AA$45)&lt;PolicyEff),1,Milestones!$AC$45)&amp;";  ","")&amp;IF(AND(EDATE($D117,Milestones!$AA$46)&lt;=AsOfDate,EDATE($D117,Milestones!$AA$46)&gt;=SchemeStart,IF($X117=0,$AD117,IF(AND($Z117&lt;&gt;"",EDATE($D117,Milestones!$AA$46)&gt;=$Z117),$AC117,IF(AND($Y117&lt;&gt;"",EDATE($D117,Milestones!$AA$46)&gt;=$Y117),$AB117,$AA117)))=Milestones!$AB$46),UPPER(TEXT(EDATE($D117,Milestones!$AA$46),"dd mmm yy"))&amp;" "&amp;Milestones!$AB$46&amp;" "&amp;IF(AND(Milestones!$AB$46="FT",Milestones!$AA$46=FT_Y5,EDATE($D117,Milestones!$AA$46)&lt;PolicyEff),1,Milestones!$AC$46)&amp;";  ","")&amp;IF(AND(EDATE($D117,Milestones!$AA$47)&lt;=AsOfDate,EDATE($D117,Milestones!$AA$47)&gt;=SchemeStart,IF($X117=0,$AD117,IF(AND($Z117&lt;&gt;"",EDATE($D117,Milestones!$AA$47)&gt;=$Z117),$AC117,IF(AND($Y117&lt;&gt;"",EDATE($D117,Milestones!$AA$47)&gt;=$Y117),$AB117,$AA117)))=Milestones!$AB$47),UPPER(TEXT(EDATE($D117,Milestones!$AA$47),"dd mmm yy"))&amp;" "&amp;Milestones!$AB$47&amp;" "&amp;IF(AND(Milestones!$AB$47="FT",Milestones!$AA$47=FT_Y5,EDATE($D117,Milestones!$AA$47)&lt;PolicyEff),1,Milestones!$AC$47)&amp;";  ","")&amp;IF(AND(EDATE($D117,Milestones!$AA$48)&lt;=AsOfDate,EDATE($D117,Milestones!$AA$48)&gt;=SchemeStart,IF($X117=0,$AD117,IF(AND($Z117&lt;&gt;"",EDATE($D117,Milestones!$AA$48)&gt;=$Z117),$AC117,IF(AND($Y117&lt;&gt;"",EDATE($D117,Milestones!$AA$48)&gt;=$Y117),$AB117,$AA117)))=Milestones!$AB$48),UPPER(TEXT(EDATE($D117,Milestones!$AA$48),"dd mmm yy"))&amp;" "&amp;Milestones!$AB$48&amp;" "&amp;IF(AND(Milestones!$AB$48="FT",Milestones!$AA$48=FT_Y5,EDATE($D117,Milestones!$AA$48)&lt;PolicyEff),1,Milestones!$AC$48)&amp;";  ","")&amp;IF(AND(EDATE($D117,Milestones!$AA$49)&lt;=AsOfDate,EDATE($D117,Milestones!$AA$49)&gt;=SchemeStart,IF($X117=0,$AD117,IF(AND($Z117&lt;&gt;"",EDATE($D117,Milestones!$AA$49)&gt;=$Z117),$AC117,IF(AND($Y117&lt;&gt;"",EDATE($D117,Milestones!$AA$49)&gt;=$Y117),$AB117,$AA117)))=Milestones!$AB$49),UPPER(TEXT(EDATE($D117,Milestones!$AA$49),"dd mmm yy"))&amp;" "&amp;Milestones!$AB$49&amp;" "&amp;IF(AND(Milestones!$AB$49="FT",Milestones!$AA$49=FT_Y5,EDATE($D117,Milestones!$AA$49)&lt;PolicyEff),1,Milestones!$AC$49)&amp;";  ","")&amp;IF(AND(EDATE($D117,Milestones!$AA$50)&lt;=AsOfDate,EDATE($D117,Milestones!$AA$50)&gt;=SchemeStart,IF($X117=0,$AD117,IF(AND($Z117&lt;&gt;"",EDATE($D117,Milestones!$AA$50)&gt;=$Z117),$AC117,IF(AND($Y117&lt;&gt;"",EDATE($D117,Milestones!$AA$50)&gt;=$Y117),$AB117,$AA117)))=Milestones!$AB$50),UPPER(TEXT(EDATE($D117,Milestones!$AA$50),"dd mmm yy"))&amp;" "&amp;Milestones!$AB$50&amp;" "&amp;IF(AND(Milestones!$AB$50="FT",Milestones!$AA$50=FT_Y5,EDATE($D117,Milestones!$AA$50)&lt;PolicyEff),1,Milestones!$AC$50)&amp;";  ","")&amp;IF(AND(EDATE($D117,Milestones!$AA$51)&lt;=AsOfDate,EDATE($D117,Milestones!$AA$51)&gt;=SchemeStart,IF($X117=0,$AD117,IF(AND($Z117&lt;&gt;"",EDATE($D117,Milestones!$AA$51)&gt;=$Z117),$AC117,IF(AND($Y117&lt;&gt;"",EDATE($D117,Milestones!$AA$51)&gt;=$Y117),$AB117,$AA117)))=Milestones!$AB$51),UPPER(TEXT(EDATE($D117,Milestones!$AA$51),"dd mmm yy"))&amp;" "&amp;Milestones!$AB$51&amp;" "&amp;IF(AND(Milestones!$AB$51="FT",Milestones!$AA$51=FT_Y5,EDATE($D117,Milestones!$AA$51)&lt;PolicyEff),1,Milestones!$AC$51)&amp;";  ","")&amp;IF(AND(EDATE($D117,Milestones!$AA$52)&lt;=AsOfDate,EDATE($D117,Milestones!$AA$52)&gt;=SchemeStart,IF($X117=0,$AD117,IF(AND($Z117&lt;&gt;"",EDATE($D117,Milestones!$AA$52)&gt;=$Z117),$AC117,IF(AND($Y117&lt;&gt;"",EDATE($D117,Milestones!$AA$52)&gt;=$Y117),$AB117,$AA117)))=Milestones!$AB$52),UPPER(TEXT(EDATE($D117,Milestones!$AA$52),"dd mmm yy"))&amp;" "&amp;Milestones!$AB$52&amp;" "&amp;IF(AND(Milestones!$AB$52="FT",Milestones!$AA$52=FT_Y5,EDATE($D117,Milestones!$AA$52)&lt;PolicyEff),1,Milestones!$AC$52)&amp;";  ","")&amp;IF(AND(EDATE($D117,Milestones!$AA$53)&lt;=AsOfDate,EDATE($D117,Milestones!$AA$53)&gt;=SchemeStart,IF($X117=0,$AD117,IF(AND($Z117&lt;&gt;"",EDATE($D117,Milestones!$AA$53)&gt;=$Z117),$AC117,IF(AND($Y117&lt;&gt;"",EDATE($D117,Milestones!$AA$53)&gt;=$Y117),$AB117,$AA117)))=Milestones!$AB$53),UPPER(TEXT(EDATE($D117,Milestones!$AA$53),"dd mmm yy"))&amp;" "&amp;Milestones!$AB$53&amp;" "&amp;IF(AND(Milestones!$AB$53="FT",Milestones!$AA$53=FT_Y5,EDATE($D117,Milestones!$AA$53)&lt;PolicyEff),1,Milestones!$AC$53)&amp;";  ","")&amp;IF(AND(EDATE($D117,Milestones!$AA$54)&lt;=AsOfDate,EDATE($D117,Milestones!$AA$54)&gt;=SchemeStart,IF($X117=0,$AD117,IF(AND($Z117&lt;&gt;"",EDATE($D117,Milestones!$AA$54)&gt;=$Z117),$AC117,IF(AND($Y117&lt;&gt;"",EDATE($D117,Milestones!$AA$54)&gt;=$Y117),$AB117,$AA117)))=Milestones!$AB$54),UPPER(TEXT(EDATE($D117,Milestones!$AA$54),"dd mmm yy"))&amp;" "&amp;Milestones!$AB$54&amp;" "&amp;IF(AND(Milestones!$AB$54="FT",Milestones!$AA$54=FT_Y5,EDATE($D117,Milestones!$AA$54)&lt;PolicyEff),1,Milestones!$AC$54)&amp;";  ","")&amp;IF(AND(EDATE($D117,Milestones!$AA$55)&lt;=AsOfDate,EDATE($D117,Milestones!$AA$55)&gt;=SchemeStart,IF($X117=0,$AD117,IF(AND($Z117&lt;&gt;"",EDATE($D117,Milestones!$AA$55)&gt;=$Z117),$AC117,IF(AND($Y117&lt;&gt;"",EDATE($D117,Milestones!$AA$55)&gt;=$Y117),$AB117,$AA117)))=Milestones!$AB$55),UPPER(TEXT(EDATE($D117,Milestones!$AA$55),"dd mmm yy"))&amp;" "&amp;Milestones!$AB$55&amp;" "&amp;IF(AND(Milestones!$AB$55="FT",Milestones!$AA$55=FT_Y5,EDATE($D117,Milestones!$AA$55)&lt;PolicyEff),1,Milestones!$AC$55)&amp;";  ",""))</f>
        <v/>
      </c>
      <c r="L117" s="0" t="str">
        <f aca="false">IF(OR($A117="",$D117=""),"",IF(AND(EDATE($D117,Milestones!$AA$56)&lt;=AsOfDate,EDATE($D117,Milestones!$AA$56)&gt;=SchemeStart,IF($X117=0,$AD117,IF(AND($Z117&lt;&gt;"",EDATE($D117,Milestones!$AA$56)&gt;=$Z117),$AC117,IF(AND($Y117&lt;&gt;"",EDATE($D117,Milestones!$AA$56)&gt;=$Y117),$AB117,$AA117)))=Milestones!$AB$56),UPPER(TEXT(EDATE($D117,Milestones!$AA$56),"dd mmm yy"))&amp;" "&amp;Milestones!$AB$56&amp;" "&amp;IF(AND(Milestones!$AB$56="FT",Milestones!$AA$56=FT_Y5,EDATE($D117,Milestones!$AA$56)&lt;PolicyEff),1,Milestones!$AC$56)&amp;";  ","")&amp;IF(AND(EDATE($D117,Milestones!$AA$57)&lt;=AsOfDate,EDATE($D117,Milestones!$AA$57)&gt;=SchemeStart,IF($X117=0,$AD117,IF(AND($Z117&lt;&gt;"",EDATE($D117,Milestones!$AA$57)&gt;=$Z117),$AC117,IF(AND($Y117&lt;&gt;"",EDATE($D117,Milestones!$AA$57)&gt;=$Y117),$AB117,$AA117)))=Milestones!$AB$57),UPPER(TEXT(EDATE($D117,Milestones!$AA$57),"dd mmm yy"))&amp;" "&amp;Milestones!$AB$57&amp;" "&amp;IF(AND(Milestones!$AB$57="FT",Milestones!$AA$57=FT_Y5,EDATE($D117,Milestones!$AA$57)&lt;PolicyEff),1,Milestones!$AC$57)&amp;";  ","")&amp;IF(AND(EDATE($D117,Milestones!$AA$58)&lt;=AsOfDate,EDATE($D117,Milestones!$AA$58)&gt;=SchemeStart,IF($X117=0,$AD117,IF(AND($Z117&lt;&gt;"",EDATE($D117,Milestones!$AA$58)&gt;=$Z117),$AC117,IF(AND($Y117&lt;&gt;"",EDATE($D117,Milestones!$AA$58)&gt;=$Y117),$AB117,$AA117)))=Milestones!$AB$58),UPPER(TEXT(EDATE($D117,Milestones!$AA$58),"dd mmm yy"))&amp;" "&amp;Milestones!$AB$58&amp;" "&amp;IF(AND(Milestones!$AB$58="FT",Milestones!$AA$58=FT_Y5,EDATE($D117,Milestones!$AA$58)&lt;PolicyEff),1,Milestones!$AC$58)&amp;";  ","")&amp;IF(AND(EDATE($D117,Milestones!$AA$59)&lt;=AsOfDate,EDATE($D117,Milestones!$AA$59)&gt;=SchemeStart,IF($X117=0,$AD117,IF(AND($Z117&lt;&gt;"",EDATE($D117,Milestones!$AA$59)&gt;=$Z117),$AC117,IF(AND($Y117&lt;&gt;"",EDATE($D117,Milestones!$AA$59)&gt;=$Y117),$AB117,$AA117)))=Milestones!$AB$59),UPPER(TEXT(EDATE($D117,Milestones!$AA$59),"dd mmm yy"))&amp;" "&amp;Milestones!$AB$59&amp;" "&amp;IF(AND(Milestones!$AB$59="FT",Milestones!$AA$59=FT_Y5,EDATE($D117,Milestones!$AA$59)&lt;PolicyEff),1,Milestones!$AC$59)&amp;";  ","")&amp;IF(AND(EDATE($D117,Milestones!$AA$60)&lt;=AsOfDate,EDATE($D117,Milestones!$AA$60)&gt;=SchemeStart,IF($X117=0,$AD117,IF(AND($Z117&lt;&gt;"",EDATE($D117,Milestones!$AA$60)&gt;=$Z117),$AC117,IF(AND($Y117&lt;&gt;"",EDATE($D117,Milestones!$AA$60)&gt;=$Y117),$AB117,$AA117)))=Milestones!$AB$60),UPPER(TEXT(EDATE($D117,Milestones!$AA$60),"dd mmm yy"))&amp;" "&amp;Milestones!$AB$60&amp;" "&amp;IF(AND(Milestones!$AB$60="FT",Milestones!$AA$60=FT_Y5,EDATE($D117,Milestones!$AA$60)&lt;PolicyEff),1,Milestones!$AC$60)&amp;";  ","")&amp;IF(AND(EDATE($D117,Milestones!$AA$61)&lt;=AsOfDate,EDATE($D117,Milestones!$AA$61)&gt;=SchemeStart,IF($X117=0,$AD117,IF(AND($Z117&lt;&gt;"",EDATE($D117,Milestones!$AA$61)&gt;=$Z117),$AC117,IF(AND($Y117&lt;&gt;"",EDATE($D117,Milestones!$AA$61)&gt;=$Y117),$AB117,$AA117)))=Milestones!$AB$61),UPPER(TEXT(EDATE($D117,Milestones!$AA$61),"dd mmm yy"))&amp;" "&amp;Milestones!$AB$61&amp;" "&amp;IF(AND(Milestones!$AB$61="FT",Milestones!$AA$61=FT_Y5,EDATE($D117,Milestones!$AA$61)&lt;PolicyEff),1,Milestones!$AC$61)&amp;";  ","")&amp;IF(AND(EDATE($D117,Milestones!$AA$62)&lt;=AsOfDate,EDATE($D117,Milestones!$AA$62)&gt;=SchemeStart,IF($X117=0,$AD117,IF(AND($Z117&lt;&gt;"",EDATE($D117,Milestones!$AA$62)&gt;=$Z117),$AC117,IF(AND($Y117&lt;&gt;"",EDATE($D117,Milestones!$AA$62)&gt;=$Y117),$AB117,$AA117)))=Milestones!$AB$62),UPPER(TEXT(EDATE($D117,Milestones!$AA$62),"dd mmm yy"))&amp;" "&amp;Milestones!$AB$62&amp;" "&amp;IF(AND(Milestones!$AB$62="FT",Milestones!$AA$62=FT_Y5,EDATE($D117,Milestones!$AA$62)&lt;PolicyEff),1,Milestones!$AC$62)&amp;";  ","")&amp;IF(AND(EDATE($D117,Milestones!$AA$63)&lt;=AsOfDate,EDATE($D117,Milestones!$AA$63)&gt;=SchemeStart,IF($X117=0,$AD117,IF(AND($Z117&lt;&gt;"",EDATE($D117,Milestones!$AA$63)&gt;=$Z117),$AC117,IF(AND($Y117&lt;&gt;"",EDATE($D117,Milestones!$AA$63)&gt;=$Y117),$AB117,$AA117)))=Milestones!$AB$63),UPPER(TEXT(EDATE($D117,Milestones!$AA$63),"dd mmm yy"))&amp;" "&amp;Milestones!$AB$63&amp;" "&amp;IF(AND(Milestones!$AB$63="FT",Milestones!$AA$63=FT_Y5,EDATE($D117,Milestones!$AA$63)&lt;PolicyEff),1,Milestones!$AC$63)&amp;";  ","")&amp;IF(AND(EDATE($D117,Milestones!$AA$64)&lt;=AsOfDate,EDATE($D117,Milestones!$AA$64)&gt;=SchemeStart,IF($X117=0,$AD117,IF(AND($Z117&lt;&gt;"",EDATE($D117,Milestones!$AA$64)&gt;=$Z117),$AC117,IF(AND($Y117&lt;&gt;"",EDATE($D117,Milestones!$AA$64)&gt;=$Y117),$AB117,$AA117)))=Milestones!$AB$64),UPPER(TEXT(EDATE($D117,Milestones!$AA$64),"dd mmm yy"))&amp;" "&amp;Milestones!$AB$64&amp;" "&amp;IF(AND(Milestones!$AB$64="FT",Milestones!$AA$64=FT_Y5,EDATE($D117,Milestones!$AA$64)&lt;PolicyEff),1,Milestones!$AC$64)&amp;";  ","")&amp;IF(AND(EDATE($D117,Milestones!$AA$65)&lt;=AsOfDate,EDATE($D117,Milestones!$AA$65)&gt;=SchemeStart,IF($X117=0,$AD117,IF(AND($Z117&lt;&gt;"",EDATE($D117,Milestones!$AA$65)&gt;=$Z117),$AC117,IF(AND($Y117&lt;&gt;"",EDATE($D117,Milestones!$AA$65)&gt;=$Y117),$AB117,$AA117)))=Milestones!$AB$65),UPPER(TEXT(EDATE($D117,Milestones!$AA$65),"dd mmm yy"))&amp;" "&amp;Milestones!$AB$65&amp;" "&amp;IF(AND(Milestones!$AB$65="FT",Milestones!$AA$65=FT_Y5,EDATE($D117,Milestones!$AA$65)&lt;PolicyEff),1,Milestones!$AC$65)&amp;";  ","")&amp;IF(AND(EDATE($D117,Milestones!$AA$66)&lt;=AsOfDate,EDATE($D117,Milestones!$AA$66)&gt;=SchemeStart,IF($X117=0,$AD117,IF(AND($Z117&lt;&gt;"",EDATE($D117,Milestones!$AA$66)&gt;=$Z117),$AC117,IF(AND($Y117&lt;&gt;"",EDATE($D117,Milestones!$AA$66)&gt;=$Y117),$AB117,$AA117)))=Milestones!$AB$66),UPPER(TEXT(EDATE($D117,Milestones!$AA$66),"dd mmm yy"))&amp;" "&amp;Milestones!$AB$66&amp;" "&amp;IF(AND(Milestones!$AB$66="FT",Milestones!$AA$66=FT_Y5,EDATE($D117,Milestones!$AA$66)&lt;PolicyEff),1,Milestones!$AC$66)&amp;";  ","")&amp;IF(AND(EDATE($D117,Milestones!$AA$67)&lt;=AsOfDate,EDATE($D117,Milestones!$AA$67)&gt;=SchemeStart,IF($X117=0,$AD117,IF(AND($Z117&lt;&gt;"",EDATE($D117,Milestones!$AA$67)&gt;=$Z117),$AC117,IF(AND($Y117&lt;&gt;"",EDATE($D117,Milestones!$AA$67)&gt;=$Y117),$AB117,$AA117)))=Milestones!$AB$67),UPPER(TEXT(EDATE($D117,Milestones!$AA$67),"dd mmm yy"))&amp;" "&amp;Milestones!$AB$67&amp;" "&amp;IF(AND(Milestones!$AB$67="FT",Milestones!$AA$67=FT_Y5,EDATE($D117,Milestones!$AA$67)&lt;PolicyEff),1,Milestones!$AC$67)&amp;";  ",""))</f>
        <v/>
      </c>
      <c r="M117" s="0" t="str">
        <f aca="false">IF(OR($A117="",$D117=""),"",IF(AND(EDATE($D117,Milestones!$AA$68)&lt;=AsOfDate,EDATE($D117,Milestones!$AA$68)&gt;=SchemeStart,IF($X117=0,$AD117,IF(AND($Z117&lt;&gt;"",EDATE($D117,Milestones!$AA$68)&gt;=$Z117),$AC117,IF(AND($Y117&lt;&gt;"",EDATE($D117,Milestones!$AA$68)&gt;=$Y117),$AB117,$AA117)))=Milestones!$AB$68),UPPER(TEXT(EDATE($D117,Milestones!$AA$68),"dd mmm yy"))&amp;" "&amp;Milestones!$AB$68&amp;" "&amp;IF(AND(Milestones!$AB$68="FT",Milestones!$AA$68=FT_Y5,EDATE($D117,Milestones!$AA$68)&lt;PolicyEff),1,Milestones!$AC$68)&amp;";  ","")&amp;IF(AND(EDATE($D117,Milestones!$AA$69)&lt;=AsOfDate,EDATE($D117,Milestones!$AA$69)&gt;=SchemeStart,IF($X117=0,$AD117,IF(AND($Z117&lt;&gt;"",EDATE($D117,Milestones!$AA$69)&gt;=$Z117),$AC117,IF(AND($Y117&lt;&gt;"",EDATE($D117,Milestones!$AA$69)&gt;=$Y117),$AB117,$AA117)))=Milestones!$AB$69),UPPER(TEXT(EDATE($D117,Milestones!$AA$69),"dd mmm yy"))&amp;" "&amp;Milestones!$AB$69&amp;" "&amp;IF(AND(Milestones!$AB$69="FT",Milestones!$AA$69=FT_Y5,EDATE($D117,Milestones!$AA$69)&lt;PolicyEff),1,Milestones!$AC$69)&amp;";  ","")&amp;IF(AND(EDATE($D117,Milestones!$AA$70)&lt;=AsOfDate,EDATE($D117,Milestones!$AA$70)&gt;=SchemeStart,IF($X117=0,$AD117,IF(AND($Z117&lt;&gt;"",EDATE($D117,Milestones!$AA$70)&gt;=$Z117),$AC117,IF(AND($Y117&lt;&gt;"",EDATE($D117,Milestones!$AA$70)&gt;=$Y117),$AB117,$AA117)))=Milestones!$AB$70),UPPER(TEXT(EDATE($D117,Milestones!$AA$70),"dd mmm yy"))&amp;" "&amp;Milestones!$AB$70&amp;" "&amp;IF(AND(Milestones!$AB$70="FT",Milestones!$AA$70=FT_Y5,EDATE($D117,Milestones!$AA$70)&lt;PolicyEff),1,Milestones!$AC$70)&amp;";  ","")&amp;IF(AND(EDATE($D117,Milestones!$AA$71)&lt;=AsOfDate,EDATE($D117,Milestones!$AA$71)&gt;=SchemeStart,IF($X117=0,$AD117,IF(AND($Z117&lt;&gt;"",EDATE($D117,Milestones!$AA$71)&gt;=$Z117),$AC117,IF(AND($Y117&lt;&gt;"",EDATE($D117,Milestones!$AA$71)&gt;=$Y117),$AB117,$AA117)))=Milestones!$AB$71),UPPER(TEXT(EDATE($D117,Milestones!$AA$71),"dd mmm yy"))&amp;" "&amp;Milestones!$AB$71&amp;" "&amp;IF(AND(Milestones!$AB$71="FT",Milestones!$AA$71=FT_Y5,EDATE($D117,Milestones!$AA$71)&lt;PolicyEff),1,Milestones!$AC$71)&amp;";  ","")&amp;IF(AND(EDATE($D117,Milestones!$AA$72)&lt;=AsOfDate,EDATE($D117,Milestones!$AA$72)&gt;=SchemeStart,IF($X117=0,$AD117,IF(AND($Z117&lt;&gt;"",EDATE($D117,Milestones!$AA$72)&gt;=$Z117),$AC117,IF(AND($Y117&lt;&gt;"",EDATE($D117,Milestones!$AA$72)&gt;=$Y117),$AB117,$AA117)))=Milestones!$AB$72),UPPER(TEXT(EDATE($D117,Milestones!$AA$72),"dd mmm yy"))&amp;" "&amp;Milestones!$AB$72&amp;" "&amp;IF(AND(Milestones!$AB$72="FT",Milestones!$AA$72=FT_Y5,EDATE($D117,Milestones!$AA$72)&lt;PolicyEff),1,Milestones!$AC$72)&amp;";  ","")&amp;IF(AND(EDATE($D117,Milestones!$AA$73)&lt;=AsOfDate,EDATE($D117,Milestones!$AA$73)&gt;=SchemeStart,IF($X117=0,$AD117,IF(AND($Z117&lt;&gt;"",EDATE($D117,Milestones!$AA$73)&gt;=$Z117),$AC117,IF(AND($Y117&lt;&gt;"",EDATE($D117,Milestones!$AA$73)&gt;=$Y117),$AB117,$AA117)))=Milestones!$AB$73),UPPER(TEXT(EDATE($D117,Milestones!$AA$73),"dd mmm yy"))&amp;" "&amp;Milestones!$AB$73&amp;" "&amp;IF(AND(Milestones!$AB$73="FT",Milestones!$AA$73=FT_Y5,EDATE($D117,Milestones!$AA$73)&lt;PolicyEff),1,Milestones!$AC$73)&amp;";  ","")&amp;IF(AND(EDATE($D117,Milestones!$AA$74)&lt;=AsOfDate,EDATE($D117,Milestones!$AA$74)&gt;=SchemeStart,IF($X117=0,$AD117,IF(AND($Z117&lt;&gt;"",EDATE($D117,Milestones!$AA$74)&gt;=$Z117),$AC117,IF(AND($Y117&lt;&gt;"",EDATE($D117,Milestones!$AA$74)&gt;=$Y117),$AB117,$AA117)))=Milestones!$AB$74),UPPER(TEXT(EDATE($D117,Milestones!$AA$74),"dd mmm yy"))&amp;" "&amp;Milestones!$AB$74&amp;" "&amp;IF(AND(Milestones!$AB$74="FT",Milestones!$AA$74=FT_Y5,EDATE($D117,Milestones!$AA$74)&lt;PolicyEff),1,Milestones!$AC$74)&amp;";  ","")&amp;IF(AND(EDATE($D117,Milestones!$AA$75)&lt;=AsOfDate,EDATE($D117,Milestones!$AA$75)&gt;=SchemeStart,IF($X117=0,$AD117,IF(AND($Z117&lt;&gt;"",EDATE($D117,Milestones!$AA$75)&gt;=$Z117),$AC117,IF(AND($Y117&lt;&gt;"",EDATE($D117,Milestones!$AA$75)&gt;=$Y117),$AB117,$AA117)))=Milestones!$AB$75),UPPER(TEXT(EDATE($D117,Milestones!$AA$75),"dd mmm yy"))&amp;" "&amp;Milestones!$AB$75&amp;" "&amp;IF(AND(Milestones!$AB$75="FT",Milestones!$AA$75=FT_Y5,EDATE($D117,Milestones!$AA$75)&lt;PolicyEff),1,Milestones!$AC$75)&amp;";  ","")&amp;IF(AND(EDATE($D117,Milestones!$AA$76)&lt;=AsOfDate,EDATE($D117,Milestones!$AA$76)&gt;=SchemeStart,IF($X117=0,$AD117,IF(AND($Z117&lt;&gt;"",EDATE($D117,Milestones!$AA$76)&gt;=$Z117),$AC117,IF(AND($Y117&lt;&gt;"",EDATE($D117,Milestones!$AA$76)&gt;=$Y117),$AB117,$AA117)))=Milestones!$AB$76),UPPER(TEXT(EDATE($D117,Milestones!$AA$76),"dd mmm yy"))&amp;" "&amp;Milestones!$AB$76&amp;" "&amp;IF(AND(Milestones!$AB$76="FT",Milestones!$AA$76=FT_Y5,EDATE($D117,Milestones!$AA$76)&lt;PolicyEff),1,Milestones!$AC$76)&amp;";  ","")&amp;IF(AND(EDATE($D117,Milestones!$AA$77)&lt;=AsOfDate,EDATE($D117,Milestones!$AA$77)&gt;=SchemeStart,IF($X117=0,$AD117,IF(AND($Z117&lt;&gt;"",EDATE($D117,Milestones!$AA$77)&gt;=$Z117),$AC117,IF(AND($Y117&lt;&gt;"",EDATE($D117,Milestones!$AA$77)&gt;=$Y117),$AB117,$AA117)))=Milestones!$AB$77),UPPER(TEXT(EDATE($D117,Milestones!$AA$77),"dd mmm yy"))&amp;" "&amp;Milestones!$AB$77&amp;" "&amp;IF(AND(Milestones!$AB$77="FT",Milestones!$AA$77=FT_Y5,EDATE($D117,Milestones!$AA$77)&lt;PolicyEff),1,Milestones!$AC$77)&amp;";  ","")&amp;IF(AND(EDATE($D117,Milestones!$AA$78)&lt;=AsOfDate,EDATE($D117,Milestones!$AA$78)&gt;=SchemeStart,IF($X117=0,$AD117,IF(AND($Z117&lt;&gt;"",EDATE($D117,Milestones!$AA$78)&gt;=$Z117),$AC117,IF(AND($Y117&lt;&gt;"",EDATE($D117,Milestones!$AA$78)&gt;=$Y117),$AB117,$AA117)))=Milestones!$AB$78),UPPER(TEXT(EDATE($D117,Milestones!$AA$78),"dd mmm yy"))&amp;" "&amp;Milestones!$AB$78&amp;" "&amp;IF(AND(Milestones!$AB$78="FT",Milestones!$AA$78=FT_Y5,EDATE($D117,Milestones!$AA$78)&lt;PolicyEff),1,Milestones!$AC$78)&amp;";  ","")&amp;IF(AND(EDATE($D117,Milestones!$AA$79)&lt;=AsOfDate,EDATE($D117,Milestones!$AA$79)&gt;=SchemeStart,IF($X117=0,$AD117,IF(AND($Z117&lt;&gt;"",EDATE($D117,Milestones!$AA$79)&gt;=$Z117),$AC117,IF(AND($Y117&lt;&gt;"",EDATE($D117,Milestones!$AA$79)&gt;=$Y117),$AB117,$AA117)))=Milestones!$AB$79),UPPER(TEXT(EDATE($D117,Milestones!$AA$79),"dd mmm yy"))&amp;" "&amp;Milestones!$AB$79&amp;" "&amp;IF(AND(Milestones!$AB$79="FT",Milestones!$AA$79=FT_Y5,EDATE($D117,Milestones!$AA$79)&lt;PolicyEff),1,Milestones!$AC$79)&amp;";  ",""))</f>
        <v/>
      </c>
      <c r="N117" s="0" t="str">
        <f aca="false">IF(OR($A117="",$D117=""),"",IF(AND(EDATE($D117,Milestones!$AA$80)&lt;=AsOfDate,EDATE($D117,Milestones!$AA$80)&gt;=SchemeStart,IF($X117=0,$AD117,IF(AND($Z117&lt;&gt;"",EDATE($D117,Milestones!$AA$80)&gt;=$Z117),$AC117,IF(AND($Y117&lt;&gt;"",EDATE($D117,Milestones!$AA$80)&gt;=$Y117),$AB117,$AA117)))=Milestones!$AB$80),UPPER(TEXT(EDATE($D117,Milestones!$AA$80),"dd mmm yy"))&amp;" "&amp;Milestones!$AB$80&amp;" "&amp;IF(AND(Milestones!$AB$80="FT",Milestones!$AA$80=FT_Y5,EDATE($D117,Milestones!$AA$80)&lt;PolicyEff),1,Milestones!$AC$80)&amp;";  ","")&amp;IF(AND(EDATE($D117,Milestones!$AA$81)&lt;=AsOfDate,EDATE($D117,Milestones!$AA$81)&gt;=SchemeStart,IF($X117=0,$AD117,IF(AND($Z117&lt;&gt;"",EDATE($D117,Milestones!$AA$81)&gt;=$Z117),$AC117,IF(AND($Y117&lt;&gt;"",EDATE($D117,Milestones!$AA$81)&gt;=$Y117),$AB117,$AA117)))=Milestones!$AB$81),UPPER(TEXT(EDATE($D117,Milestones!$AA$81),"dd mmm yy"))&amp;" "&amp;Milestones!$AB$81&amp;" "&amp;IF(AND(Milestones!$AB$81="FT",Milestones!$AA$81=FT_Y5,EDATE($D117,Milestones!$AA$81)&lt;PolicyEff),1,Milestones!$AC$81)&amp;";  ","")&amp;IF(AND(EDATE($D117,Milestones!$AA$82)&lt;=AsOfDate,EDATE($D117,Milestones!$AA$82)&gt;=SchemeStart,IF($X117=0,$AD117,IF(AND($Z117&lt;&gt;"",EDATE($D117,Milestones!$AA$82)&gt;=$Z117),$AC117,IF(AND($Y117&lt;&gt;"",EDATE($D117,Milestones!$AA$82)&gt;=$Y117),$AB117,$AA117)))=Milestones!$AB$82),UPPER(TEXT(EDATE($D117,Milestones!$AA$82),"dd mmm yy"))&amp;" "&amp;Milestones!$AB$82&amp;" "&amp;IF(AND(Milestones!$AB$82="FT",Milestones!$AA$82=FT_Y5,EDATE($D117,Milestones!$AA$82)&lt;PolicyEff),1,Milestones!$AC$82)&amp;";  ","")&amp;IF(AND(EDATE($D117,Milestones!$AA$83)&lt;=AsOfDate,EDATE($D117,Milestones!$AA$83)&gt;=SchemeStart,IF($X117=0,$AD117,IF(AND($Z117&lt;&gt;"",EDATE($D117,Milestones!$AA$83)&gt;=$Z117),$AC117,IF(AND($Y117&lt;&gt;"",EDATE($D117,Milestones!$AA$83)&gt;=$Y117),$AB117,$AA117)))=Milestones!$AB$83),UPPER(TEXT(EDATE($D117,Milestones!$AA$83),"dd mmm yy"))&amp;" "&amp;Milestones!$AB$83&amp;" "&amp;IF(AND(Milestones!$AB$83="FT",Milestones!$AA$83=FT_Y5,EDATE($D117,Milestones!$AA$83)&lt;PolicyEff),1,Milestones!$AC$83)&amp;";  ","")&amp;IF(AND(EDATE($D117,Milestones!$AA$84)&lt;=AsOfDate,EDATE($D117,Milestones!$AA$84)&gt;=SchemeStart,IF($X117=0,$AD117,IF(AND($Z117&lt;&gt;"",EDATE($D117,Milestones!$AA$84)&gt;=$Z117),$AC117,IF(AND($Y117&lt;&gt;"",EDATE($D117,Milestones!$AA$84)&gt;=$Y117),$AB117,$AA117)))=Milestones!$AB$84),UPPER(TEXT(EDATE($D117,Milestones!$AA$84),"dd mmm yy"))&amp;" "&amp;Milestones!$AB$84&amp;" "&amp;IF(AND(Milestones!$AB$84="FT",Milestones!$AA$84=FT_Y5,EDATE($D117,Milestones!$AA$84)&lt;PolicyEff),1,Milestones!$AC$84)&amp;";  ","")&amp;IF(AND(EDATE($D117,Milestones!$AA$85)&lt;=AsOfDate,EDATE($D117,Milestones!$AA$85)&gt;=SchemeStart,IF($X117=0,$AD117,IF(AND($Z117&lt;&gt;"",EDATE($D117,Milestones!$AA$85)&gt;=$Z117),$AC117,IF(AND($Y117&lt;&gt;"",EDATE($D117,Milestones!$AA$85)&gt;=$Y117),$AB117,$AA117)))=Milestones!$AB$85),UPPER(TEXT(EDATE($D117,Milestones!$AA$85),"dd mmm yy"))&amp;" "&amp;Milestones!$AB$85&amp;" "&amp;IF(AND(Milestones!$AB$85="FT",Milestones!$AA$85=FT_Y5,EDATE($D117,Milestones!$AA$85)&lt;PolicyEff),1,Milestones!$AC$85)&amp;";  ","")&amp;IF(AND(EDATE($D117,Milestones!$AA$86)&lt;=AsOfDate,EDATE($D117,Milestones!$AA$86)&gt;=SchemeStart,IF($X117=0,$AD117,IF(AND($Z117&lt;&gt;"",EDATE($D117,Milestones!$AA$86)&gt;=$Z117),$AC117,IF(AND($Y117&lt;&gt;"",EDATE($D117,Milestones!$AA$86)&gt;=$Y117),$AB117,$AA117)))=Milestones!$AB$86),UPPER(TEXT(EDATE($D117,Milestones!$AA$86),"dd mmm yy"))&amp;" "&amp;Milestones!$AB$86&amp;" "&amp;IF(AND(Milestones!$AB$86="FT",Milestones!$AA$86=FT_Y5,EDATE($D117,Milestones!$AA$86)&lt;PolicyEff),1,Milestones!$AC$86)&amp;";  ","")&amp;IF(AND(EDATE($D117,Milestones!$AA$87)&lt;=AsOfDate,EDATE($D117,Milestones!$AA$87)&gt;=SchemeStart,IF($X117=0,$AD117,IF(AND($Z117&lt;&gt;"",EDATE($D117,Milestones!$AA$87)&gt;=$Z117),$AC117,IF(AND($Y117&lt;&gt;"",EDATE($D117,Milestones!$AA$87)&gt;=$Y117),$AB117,$AA117)))=Milestones!$AB$87),UPPER(TEXT(EDATE($D117,Milestones!$AA$87),"dd mmm yy"))&amp;" "&amp;Milestones!$AB$87&amp;" "&amp;IF(AND(Milestones!$AB$87="FT",Milestones!$AA$87=FT_Y5,EDATE($D117,Milestones!$AA$87)&lt;PolicyEff),1,Milestones!$AC$87)&amp;";  ","")&amp;IF(AND(EDATE($D117,Milestones!$AA$88)&lt;=AsOfDate,EDATE($D117,Milestones!$AA$88)&gt;=SchemeStart,IF($X117=0,$AD117,IF(AND($Z117&lt;&gt;"",EDATE($D117,Milestones!$AA$88)&gt;=$Z117),$AC117,IF(AND($Y117&lt;&gt;"",EDATE($D117,Milestones!$AA$88)&gt;=$Y117),$AB117,$AA117)))=Milestones!$AB$88),UPPER(TEXT(EDATE($D117,Milestones!$AA$88),"dd mmm yy"))&amp;" "&amp;Milestones!$AB$88&amp;" "&amp;IF(AND(Milestones!$AB$88="FT",Milestones!$AA$88=FT_Y5,EDATE($D117,Milestones!$AA$88)&lt;PolicyEff),1,Milestones!$AC$88)&amp;";  ","")&amp;IF(AND(EDATE($D117,Milestones!$AA$89)&lt;=AsOfDate,EDATE($D117,Milestones!$AA$89)&gt;=SchemeStart,IF($X117=0,$AD117,IF(AND($Z117&lt;&gt;"",EDATE($D117,Milestones!$AA$89)&gt;=$Z117),$AC117,IF(AND($Y117&lt;&gt;"",EDATE($D117,Milestones!$AA$89)&gt;=$Y117),$AB117,$AA117)))=Milestones!$AB$89),UPPER(TEXT(EDATE($D117,Milestones!$AA$89),"dd mmm yy"))&amp;" "&amp;Milestones!$AB$89&amp;" "&amp;IF(AND(Milestones!$AB$89="FT",Milestones!$AA$89=FT_Y5,EDATE($D117,Milestones!$AA$89)&lt;PolicyEff),1,Milestones!$AC$89)&amp;";  ","")&amp;IF(AND(EDATE($D117,Milestones!$AA$90)&lt;=AsOfDate,EDATE($D117,Milestones!$AA$90)&gt;=SchemeStart,IF($X117=0,$AD117,IF(AND($Z117&lt;&gt;"",EDATE($D117,Milestones!$AA$90)&gt;=$Z117),$AC117,IF(AND($Y117&lt;&gt;"",EDATE($D117,Milestones!$AA$90)&gt;=$Y117),$AB117,$AA117)))=Milestones!$AB$90),UPPER(TEXT(EDATE($D117,Milestones!$AA$90),"dd mmm yy"))&amp;" "&amp;Milestones!$AB$90&amp;" "&amp;IF(AND(Milestones!$AB$90="FT",Milestones!$AA$90=FT_Y5,EDATE($D117,Milestones!$AA$90)&lt;PolicyEff),1,Milestones!$AC$90)&amp;";  ","")&amp;IF(AND(EDATE($D117,Milestones!$AA$91)&lt;=AsOfDate,EDATE($D117,Milestones!$AA$91)&gt;=SchemeStart,IF($X117=0,$AD117,IF(AND($Z117&lt;&gt;"",EDATE($D117,Milestones!$AA$91)&gt;=$Z117),$AC117,IF(AND($Y117&lt;&gt;"",EDATE($D117,Milestones!$AA$91)&gt;=$Y117),$AB117,$AA117)))=Milestones!$AB$91),UPPER(TEXT(EDATE($D117,Milestones!$AA$91),"dd mmm yy"))&amp;" "&amp;Milestones!$AB$91&amp;" "&amp;IF(AND(Milestones!$AB$91="FT",Milestones!$AA$91=FT_Y5,EDATE($D117,Milestones!$AA$91)&lt;PolicyEff),1,Milestones!$AC$91)&amp;";  ",""))</f>
        <v/>
      </c>
      <c r="O117" s="0" t="str">
        <f aca="false">IF(OR($A117="",$D117=""),"",IF(AND(EDATE($D117,Milestones!$AA$92)&lt;=AsOfDate,EDATE($D117,Milestones!$AA$92)&gt;=SchemeStart,IF($X117=0,$AD117,IF(AND($Z117&lt;&gt;"",EDATE($D117,Milestones!$AA$92)&gt;=$Z117),$AC117,IF(AND($Y117&lt;&gt;"",EDATE($D117,Milestones!$AA$92)&gt;=$Y117),$AB117,$AA117)))=Milestones!$AB$92),UPPER(TEXT(EDATE($D117,Milestones!$AA$92),"dd mmm yy"))&amp;" "&amp;Milestones!$AB$92&amp;" "&amp;IF(AND(Milestones!$AB$92="FT",Milestones!$AA$92=FT_Y5,EDATE($D117,Milestones!$AA$92)&lt;PolicyEff),1,Milestones!$AC$92)&amp;";  ","")&amp;IF(AND(EDATE($D117,Milestones!$AA$93)&lt;=AsOfDate,EDATE($D117,Milestones!$AA$93)&gt;=SchemeStart,IF($X117=0,$AD117,IF(AND($Z117&lt;&gt;"",EDATE($D117,Milestones!$AA$93)&gt;=$Z117),$AC117,IF(AND($Y117&lt;&gt;"",EDATE($D117,Milestones!$AA$93)&gt;=$Y117),$AB117,$AA117)))=Milestones!$AB$93),UPPER(TEXT(EDATE($D117,Milestones!$AA$93),"dd mmm yy"))&amp;" "&amp;Milestones!$AB$93&amp;" "&amp;IF(AND(Milestones!$AB$93="FT",Milestones!$AA$93=FT_Y5,EDATE($D117,Milestones!$AA$93)&lt;PolicyEff),1,Milestones!$AC$93)&amp;";  ","")&amp;IF(AND(EDATE($D117,Milestones!$AA$94)&lt;=AsOfDate,EDATE($D117,Milestones!$AA$94)&gt;=SchemeStart,IF($X117=0,$AD117,IF(AND($Z117&lt;&gt;"",EDATE($D117,Milestones!$AA$94)&gt;=$Z117),$AC117,IF(AND($Y117&lt;&gt;"",EDATE($D117,Milestones!$AA$94)&gt;=$Y117),$AB117,$AA117)))=Milestones!$AB$94),UPPER(TEXT(EDATE($D117,Milestones!$AA$94),"dd mmm yy"))&amp;" "&amp;Milestones!$AB$94&amp;" "&amp;IF(AND(Milestones!$AB$94="FT",Milestones!$AA$94=FT_Y5,EDATE($D117,Milestones!$AA$94)&lt;PolicyEff),1,Milestones!$AC$94)&amp;";  ","")&amp;IF(AND(EDATE($D117,Milestones!$AA$95)&lt;=AsOfDate,EDATE($D117,Milestones!$AA$95)&gt;=SchemeStart,IF($X117=0,$AD117,IF(AND($Z117&lt;&gt;"",EDATE($D117,Milestones!$AA$95)&gt;=$Z117),$AC117,IF(AND($Y117&lt;&gt;"",EDATE($D117,Milestones!$AA$95)&gt;=$Y117),$AB117,$AA117)))=Milestones!$AB$95),UPPER(TEXT(EDATE($D117,Milestones!$AA$95),"dd mmm yy"))&amp;" "&amp;Milestones!$AB$95&amp;" "&amp;IF(AND(Milestones!$AB$95="FT",Milestones!$AA$95=FT_Y5,EDATE($D117,Milestones!$AA$95)&lt;PolicyEff),1,Milestones!$AC$95)&amp;";  ","")&amp;IF(AND(EDATE($D117,Milestones!$AA$96)&lt;=AsOfDate,EDATE($D117,Milestones!$AA$96)&gt;=SchemeStart,IF($X117=0,$AD117,IF(AND($Z117&lt;&gt;"",EDATE($D117,Milestones!$AA$96)&gt;=$Z117),$AC117,IF(AND($Y117&lt;&gt;"",EDATE($D117,Milestones!$AA$96)&gt;=$Y117),$AB117,$AA117)))=Milestones!$AB$96),UPPER(TEXT(EDATE($D117,Milestones!$AA$96),"dd mmm yy"))&amp;" "&amp;Milestones!$AB$96&amp;" "&amp;IF(AND(Milestones!$AB$96="FT",Milestones!$AA$96=FT_Y5,EDATE($D117,Milestones!$AA$96)&lt;PolicyEff),1,Milestones!$AC$96)&amp;";  ","")&amp;IF(AND(EDATE($D117,Milestones!$AA$97)&lt;=AsOfDate,EDATE($D117,Milestones!$AA$97)&gt;=SchemeStart,IF($X117=0,$AD117,IF(AND($Z117&lt;&gt;"",EDATE($D117,Milestones!$AA$97)&gt;=$Z117),$AC117,IF(AND($Y117&lt;&gt;"",EDATE($D117,Milestones!$AA$97)&gt;=$Y117),$AB117,$AA117)))=Milestones!$AB$97),UPPER(TEXT(EDATE($D117,Milestones!$AA$97),"dd mmm yy"))&amp;" "&amp;Milestones!$AB$97&amp;" "&amp;IF(AND(Milestones!$AB$97="FT",Milestones!$AA$97=FT_Y5,EDATE($D117,Milestones!$AA$97)&lt;PolicyEff),1,Milestones!$AC$97)&amp;";  ","")&amp;IF(AND(EDATE($D117,Milestones!$AA$98)&lt;=AsOfDate,EDATE($D117,Milestones!$AA$98)&gt;=SchemeStart,IF($X117=0,$AD117,IF(AND($Z117&lt;&gt;"",EDATE($D117,Milestones!$AA$98)&gt;=$Z117),$AC117,IF(AND($Y117&lt;&gt;"",EDATE($D117,Milestones!$AA$98)&gt;=$Y117),$AB117,$AA117)))=Milestones!$AB$98),UPPER(TEXT(EDATE($D117,Milestones!$AA$98),"dd mmm yy"))&amp;" "&amp;Milestones!$AB$98&amp;" "&amp;IF(AND(Milestones!$AB$98="FT",Milestones!$AA$98=FT_Y5,EDATE($D117,Milestones!$AA$98)&lt;PolicyEff),1,Milestones!$AC$98)&amp;";  ","")&amp;IF(AND(EDATE($D117,Milestones!$AA$99)&lt;=AsOfDate,EDATE($D117,Milestones!$AA$99)&gt;=SchemeStart,IF($X117=0,$AD117,IF(AND($Z117&lt;&gt;"",EDATE($D117,Milestones!$AA$99)&gt;=$Z117),$AC117,IF(AND($Y117&lt;&gt;"",EDATE($D117,Milestones!$AA$99)&gt;=$Y117),$AB117,$AA117)))=Milestones!$AB$99),UPPER(TEXT(EDATE($D117,Milestones!$AA$99),"dd mmm yy"))&amp;" "&amp;Milestones!$AB$99&amp;" "&amp;IF(AND(Milestones!$AB$99="FT",Milestones!$AA$99=FT_Y5,EDATE($D117,Milestones!$AA$99)&lt;PolicyEff),1,Milestones!$AC$99)&amp;";  ","")&amp;IF(AND(EDATE($D117,Milestones!$AA$100)&lt;=AsOfDate,EDATE($D117,Milestones!$AA$100)&gt;=SchemeStart,IF($X117=0,$AD117,IF(AND($Z117&lt;&gt;"",EDATE($D117,Milestones!$AA$100)&gt;=$Z117),$AC117,IF(AND($Y117&lt;&gt;"",EDATE($D117,Milestones!$AA$100)&gt;=$Y117),$AB117,$AA117)))=Milestones!$AB$100),UPPER(TEXT(EDATE($D117,Milestones!$AA$100),"dd mmm yy"))&amp;" "&amp;Milestones!$AB$100&amp;" "&amp;IF(AND(Milestones!$AB$100="FT",Milestones!$AA$100=FT_Y5,EDATE($D117,Milestones!$AA$100)&lt;PolicyEff),1,Milestones!$AC$100)&amp;";  ","")&amp;IF(AND(EDATE($D117,Milestones!$AA$101)&lt;=AsOfDate,EDATE($D117,Milestones!$AA$101)&gt;=SchemeStart,IF($X117=0,$AD117,IF(AND($Z117&lt;&gt;"",EDATE($D117,Milestones!$AA$101)&gt;=$Z117),$AC117,IF(AND($Y117&lt;&gt;"",EDATE($D117,Milestones!$AA$101)&gt;=$Y117),$AB117,$AA117)))=Milestones!$AB$101),UPPER(TEXT(EDATE($D117,Milestones!$AA$101),"dd mmm yy"))&amp;" "&amp;Milestones!$AB$101&amp;" "&amp;IF(AND(Milestones!$AB$101="FT",Milestones!$AA$101=FT_Y5,EDATE($D117,Milestones!$AA$101)&lt;PolicyEff),1,Milestones!$AC$101)&amp;";  ","")&amp;IF(AND(EDATE($D117,Milestones!$AA$102)&lt;=AsOfDate,EDATE($D117,Milestones!$AA$102)&gt;=SchemeStart,IF($X117=0,$AD117,IF(AND($Z117&lt;&gt;"",EDATE($D117,Milestones!$AA$102)&gt;=$Z117),$AC117,IF(AND($Y117&lt;&gt;"",EDATE($D117,Milestones!$AA$102)&gt;=$Y117),$AB117,$AA117)))=Milestones!$AB$102),UPPER(TEXT(EDATE($D117,Milestones!$AA$102),"dd mmm yy"))&amp;" "&amp;Milestones!$AB$102&amp;" "&amp;IF(AND(Milestones!$AB$102="FT",Milestones!$AA$102=FT_Y5,EDATE($D117,Milestones!$AA$102)&lt;PolicyEff),1,Milestones!$AC$102)&amp;";  ","")&amp;IF(AND(EDATE($D117,Milestones!$AA$103)&lt;=AsOfDate,EDATE($D117,Milestones!$AA$103)&gt;=SchemeStart,IF($X117=0,$AD117,IF(AND($Z117&lt;&gt;"",EDATE($D117,Milestones!$AA$103)&gt;=$Z117),$AC117,IF(AND($Y117&lt;&gt;"",EDATE($D117,Milestones!$AA$103)&gt;=$Y117),$AB117,$AA117)))=Milestones!$AB$103),UPPER(TEXT(EDATE($D117,Milestones!$AA$103),"dd mmm yy"))&amp;" "&amp;Milestones!$AB$103&amp;" "&amp;IF(AND(Milestones!$AB$103="FT",Milestones!$AA$103=FT_Y5,EDATE($D117,Milestones!$AA$103)&lt;PolicyEff),1,Milestones!$AC$103)&amp;";  ",""))</f>
        <v/>
      </c>
      <c r="P117" s="0" t="str">
        <f aca="false">IF(OR($A117="",$D117=""),"",IF(AND(EDATE($D117,Milestones!$AA$104)&lt;=AsOfDate,EDATE($D117,Milestones!$AA$104)&gt;=SchemeStart,IF($X117=0,$AD117,IF(AND($Z117&lt;&gt;"",EDATE($D117,Milestones!$AA$104)&gt;=$Z117),$AC117,IF(AND($Y117&lt;&gt;"",EDATE($D117,Milestones!$AA$104)&gt;=$Y117),$AB117,$AA117)))=Milestones!$AB$104),UPPER(TEXT(EDATE($D117,Milestones!$AA$104),"dd mmm yy"))&amp;" "&amp;Milestones!$AB$104&amp;" "&amp;IF(AND(Milestones!$AB$104="FT",Milestones!$AA$104=FT_Y5,EDATE($D117,Milestones!$AA$104)&lt;PolicyEff),1,Milestones!$AC$104)&amp;";  ","")&amp;IF(AND(EDATE($D117,Milestones!$AA$105)&lt;=AsOfDate,EDATE($D117,Milestones!$AA$105)&gt;=SchemeStart,IF($X117=0,$AD117,IF(AND($Z117&lt;&gt;"",EDATE($D117,Milestones!$AA$105)&gt;=$Z117),$AC117,IF(AND($Y117&lt;&gt;"",EDATE($D117,Milestones!$AA$105)&gt;=$Y117),$AB117,$AA117)))=Milestones!$AB$105),UPPER(TEXT(EDATE($D117,Milestones!$AA$105),"dd mmm yy"))&amp;" "&amp;Milestones!$AB$105&amp;" "&amp;IF(AND(Milestones!$AB$105="FT",Milestones!$AA$105=FT_Y5,EDATE($D117,Milestones!$AA$105)&lt;PolicyEff),1,Milestones!$AC$105)&amp;";  ","")&amp;IF(AND(EDATE($D117,Milestones!$AA$106)&lt;=AsOfDate,EDATE($D117,Milestones!$AA$106)&gt;=SchemeStart,IF($X117=0,$AD117,IF(AND($Z117&lt;&gt;"",EDATE($D117,Milestones!$AA$106)&gt;=$Z117),$AC117,IF(AND($Y117&lt;&gt;"",EDATE($D117,Milestones!$AA$106)&gt;=$Y117),$AB117,$AA117)))=Milestones!$AB$106),UPPER(TEXT(EDATE($D117,Milestones!$AA$106),"dd mmm yy"))&amp;" "&amp;Milestones!$AB$106&amp;" "&amp;IF(AND(Milestones!$AB$106="FT",Milestones!$AA$106=FT_Y5,EDATE($D117,Milestones!$AA$106)&lt;PolicyEff),1,Milestones!$AC$106)&amp;";  ","")&amp;IF(AND(EDATE($D117,Milestones!$AA$107)&lt;=AsOfDate,EDATE($D117,Milestones!$AA$107)&gt;=SchemeStart,IF($X117=0,$AD117,IF(AND($Z117&lt;&gt;"",EDATE($D117,Milestones!$AA$107)&gt;=$Z117),$AC117,IF(AND($Y117&lt;&gt;"",EDATE($D117,Milestones!$AA$107)&gt;=$Y117),$AB117,$AA117)))=Milestones!$AB$107),UPPER(TEXT(EDATE($D117,Milestones!$AA$107),"dd mmm yy"))&amp;" "&amp;Milestones!$AB$107&amp;" "&amp;IF(AND(Milestones!$AB$107="FT",Milestones!$AA$107=FT_Y5,EDATE($D117,Milestones!$AA$107)&lt;PolicyEff),1,Milestones!$AC$107)&amp;";  ","")&amp;IF(AND(EDATE($D117,Milestones!$AA$108)&lt;=AsOfDate,EDATE($D117,Milestones!$AA$108)&gt;=SchemeStart,IF($X117=0,$AD117,IF(AND($Z117&lt;&gt;"",EDATE($D117,Milestones!$AA$108)&gt;=$Z117),$AC117,IF(AND($Y117&lt;&gt;"",EDATE($D117,Milestones!$AA$108)&gt;=$Y117),$AB117,$AA117)))=Milestones!$AB$108),UPPER(TEXT(EDATE($D117,Milestones!$AA$108),"dd mmm yy"))&amp;" "&amp;Milestones!$AB$108&amp;" "&amp;IF(AND(Milestones!$AB$108="FT",Milestones!$AA$108=FT_Y5,EDATE($D117,Milestones!$AA$108)&lt;PolicyEff),1,Milestones!$AC$108)&amp;";  ","")&amp;IF(AND(EDATE($D117,Milestones!$AA$109)&lt;=AsOfDate,EDATE($D117,Milestones!$AA$109)&gt;=SchemeStart,IF($X117=0,$AD117,IF(AND($Z117&lt;&gt;"",EDATE($D117,Milestones!$AA$109)&gt;=$Z117),$AC117,IF(AND($Y117&lt;&gt;"",EDATE($D117,Milestones!$AA$109)&gt;=$Y117),$AB117,$AA117)))=Milestones!$AB$109),UPPER(TEXT(EDATE($D117,Milestones!$AA$109),"dd mmm yy"))&amp;" "&amp;Milestones!$AB$109&amp;" "&amp;IF(AND(Milestones!$AB$109="FT",Milestones!$AA$109=FT_Y5,EDATE($D117,Milestones!$AA$109)&lt;PolicyEff),1,Milestones!$AC$109)&amp;";  ","")&amp;IF(AND(EDATE($D117,Milestones!$AA$110)&lt;=AsOfDate,EDATE($D117,Milestones!$AA$110)&gt;=SchemeStart,IF($X117=0,$AD117,IF(AND($Z117&lt;&gt;"",EDATE($D117,Milestones!$AA$110)&gt;=$Z117),$AC117,IF(AND($Y117&lt;&gt;"",EDATE($D117,Milestones!$AA$110)&gt;=$Y117),$AB117,$AA117)))=Milestones!$AB$110),UPPER(TEXT(EDATE($D117,Milestones!$AA$110),"dd mmm yy"))&amp;" "&amp;Milestones!$AB$110&amp;" "&amp;IF(AND(Milestones!$AB$110="FT",Milestones!$AA$110=FT_Y5,EDATE($D117,Milestones!$AA$110)&lt;PolicyEff),1,Milestones!$AC$110)&amp;";  ","")&amp;IF(AND(EDATE($D117,Milestones!$AA$111)&lt;=AsOfDate,EDATE($D117,Milestones!$AA$111)&gt;=SchemeStart,IF($X117=0,$AD117,IF(AND($Z117&lt;&gt;"",EDATE($D117,Milestones!$AA$111)&gt;=$Z117),$AC117,IF(AND($Y117&lt;&gt;"",EDATE($D117,Milestones!$AA$111)&gt;=$Y117),$AB117,$AA117)))=Milestones!$AB$111),UPPER(TEXT(EDATE($D117,Milestones!$AA$111),"dd mmm yy"))&amp;" "&amp;Milestones!$AB$111&amp;" "&amp;IF(AND(Milestones!$AB$111="FT",Milestones!$AA$111=FT_Y5,EDATE($D117,Milestones!$AA$111)&lt;PolicyEff),1,Milestones!$AC$111)&amp;";  ","")&amp;IF(AND(EDATE($D117,Milestones!$AA$112)&lt;=AsOfDate,EDATE($D117,Milestones!$AA$112)&gt;=SchemeStart,IF($X117=0,$AD117,IF(AND($Z117&lt;&gt;"",EDATE($D117,Milestones!$AA$112)&gt;=$Z117),$AC117,IF(AND($Y117&lt;&gt;"",EDATE($D117,Milestones!$AA$112)&gt;=$Y117),$AB117,$AA117)))=Milestones!$AB$112),UPPER(TEXT(EDATE($D117,Milestones!$AA$112),"dd mmm yy"))&amp;" "&amp;Milestones!$AB$112&amp;" "&amp;IF(AND(Milestones!$AB$112="FT",Milestones!$AA$112=FT_Y5,EDATE($D117,Milestones!$AA$112)&lt;PolicyEff),1,Milestones!$AC$112)&amp;";  ","")&amp;IF(AND(EDATE($D117,Milestones!$AA$113)&lt;=AsOfDate,EDATE($D117,Milestones!$AA$113)&gt;=SchemeStart,IF($X117=0,$AD117,IF(AND($Z117&lt;&gt;"",EDATE($D117,Milestones!$AA$113)&gt;=$Z117),$AC117,IF(AND($Y117&lt;&gt;"",EDATE($D117,Milestones!$AA$113)&gt;=$Y117),$AB117,$AA117)))=Milestones!$AB$113),UPPER(TEXT(EDATE($D117,Milestones!$AA$113),"dd mmm yy"))&amp;" "&amp;Milestones!$AB$113&amp;" "&amp;IF(AND(Milestones!$AB$113="FT",Milestones!$AA$113=FT_Y5,EDATE($D117,Milestones!$AA$113)&lt;PolicyEff),1,Milestones!$AC$113)&amp;";  ","")&amp;IF(AND(EDATE($D117,Milestones!$AA$114)&lt;=AsOfDate,EDATE($D117,Milestones!$AA$114)&gt;=SchemeStart,IF($X117=0,$AD117,IF(AND($Z117&lt;&gt;"",EDATE($D117,Milestones!$AA$114)&gt;=$Z117),$AC117,IF(AND($Y117&lt;&gt;"",EDATE($D117,Milestones!$AA$114)&gt;=$Y117),$AB117,$AA117)))=Milestones!$AB$114),UPPER(TEXT(EDATE($D117,Milestones!$AA$114),"dd mmm yy"))&amp;" "&amp;Milestones!$AB$114&amp;" "&amp;IF(AND(Milestones!$AB$114="FT",Milestones!$AA$114=FT_Y5,EDATE($D117,Milestones!$AA$114)&lt;PolicyEff),1,Milestones!$AC$114)&amp;";  ","")&amp;IF(AND(EDATE($D117,Milestones!$AA$115)&lt;=AsOfDate,EDATE($D117,Milestones!$AA$115)&gt;=SchemeStart,IF($X117=0,$AD117,IF(AND($Z117&lt;&gt;"",EDATE($D117,Milestones!$AA$115)&gt;=$Z117),$AC117,IF(AND($Y117&lt;&gt;"",EDATE($D117,Milestones!$AA$115)&gt;=$Y117),$AB117,$AA117)))=Milestones!$AB$115),UPPER(TEXT(EDATE($D117,Milestones!$AA$115),"dd mmm yy"))&amp;" "&amp;Milestones!$AB$115&amp;" "&amp;IF(AND(Milestones!$AB$115="FT",Milestones!$AA$115=FT_Y5,EDATE($D117,Milestones!$AA$115)&lt;PolicyEff),1,Milestones!$AC$115)&amp;";  ",""))</f>
        <v/>
      </c>
      <c r="Q117" s="0" t="str">
        <f aca="false">IF(OR($A117="",$D117=""),"",IF(AND(EDATE($D117,Milestones!$AA$116)&lt;=AsOfDate,EDATE($D117,Milestones!$AA$116)&gt;=SchemeStart,IF($X117=0,$AD117,IF(AND($Z117&lt;&gt;"",EDATE($D117,Milestones!$AA$116)&gt;=$Z117),$AC117,IF(AND($Y117&lt;&gt;"",EDATE($D117,Milestones!$AA$116)&gt;=$Y117),$AB117,$AA117)))=Milestones!$AB$116),UPPER(TEXT(EDATE($D117,Milestones!$AA$116),"dd mmm yy"))&amp;" "&amp;Milestones!$AB$116&amp;" "&amp;IF(AND(Milestones!$AB$116="FT",Milestones!$AA$116=FT_Y5,EDATE($D117,Milestones!$AA$116)&lt;PolicyEff),1,Milestones!$AC$116)&amp;";  ","")&amp;IF(AND(EDATE($D117,Milestones!$AA$117)&lt;=AsOfDate,EDATE($D117,Milestones!$AA$117)&gt;=SchemeStart,IF($X117=0,$AD117,IF(AND($Z117&lt;&gt;"",EDATE($D117,Milestones!$AA$117)&gt;=$Z117),$AC117,IF(AND($Y117&lt;&gt;"",EDATE($D117,Milestones!$AA$117)&gt;=$Y117),$AB117,$AA117)))=Milestones!$AB$117),UPPER(TEXT(EDATE($D117,Milestones!$AA$117),"dd mmm yy"))&amp;" "&amp;Milestones!$AB$117&amp;" "&amp;IF(AND(Milestones!$AB$117="FT",Milestones!$AA$117=FT_Y5,EDATE($D117,Milestones!$AA$117)&lt;PolicyEff),1,Milestones!$AC$117)&amp;";  ","")&amp;IF(AND(EDATE($D117,Milestones!$AA$118)&lt;=AsOfDate,EDATE($D117,Milestones!$AA$118)&gt;=SchemeStart,IF($X117=0,$AD117,IF(AND($Z117&lt;&gt;"",EDATE($D117,Milestones!$AA$118)&gt;=$Z117),$AC117,IF(AND($Y117&lt;&gt;"",EDATE($D117,Milestones!$AA$118)&gt;=$Y117),$AB117,$AA117)))=Milestones!$AB$118),UPPER(TEXT(EDATE($D117,Milestones!$AA$118),"dd mmm yy"))&amp;" "&amp;Milestones!$AB$118&amp;" "&amp;IF(AND(Milestones!$AB$118="FT",Milestones!$AA$118=FT_Y5,EDATE($D117,Milestones!$AA$118)&lt;PolicyEff),1,Milestones!$AC$118)&amp;";  ","")&amp;IF(AND(EDATE($D117,Milestones!$AA$119)&lt;=AsOfDate,EDATE($D117,Milestones!$AA$119)&gt;=SchemeStart,IF($X117=0,$AD117,IF(AND($Z117&lt;&gt;"",EDATE($D117,Milestones!$AA$119)&gt;=$Z117),$AC117,IF(AND($Y117&lt;&gt;"",EDATE($D117,Milestones!$AA$119)&gt;=$Y117),$AB117,$AA117)))=Milestones!$AB$119),UPPER(TEXT(EDATE($D117,Milestones!$AA$119),"dd mmm yy"))&amp;" "&amp;Milestones!$AB$119&amp;" "&amp;IF(AND(Milestones!$AB$119="FT",Milestones!$AA$119=FT_Y5,EDATE($D117,Milestones!$AA$119)&lt;PolicyEff),1,Milestones!$AC$119)&amp;";  ","")&amp;IF(AND(EDATE($D117,Milestones!$AA$120)&lt;=AsOfDate,EDATE($D117,Milestones!$AA$120)&gt;=SchemeStart,IF($X117=0,$AD117,IF(AND($Z117&lt;&gt;"",EDATE($D117,Milestones!$AA$120)&gt;=$Z117),$AC117,IF(AND($Y117&lt;&gt;"",EDATE($D117,Milestones!$AA$120)&gt;=$Y117),$AB117,$AA117)))=Milestones!$AB$120),UPPER(TEXT(EDATE($D117,Milestones!$AA$120),"dd mmm yy"))&amp;" "&amp;Milestones!$AB$120&amp;" "&amp;IF(AND(Milestones!$AB$120="FT",Milestones!$AA$120=FT_Y5,EDATE($D117,Milestones!$AA$120)&lt;PolicyEff),1,Milestones!$AC$120)&amp;";  ","")&amp;IF(AND(EDATE($D117,Milestones!$AA$121)&lt;=AsOfDate,EDATE($D117,Milestones!$AA$121)&gt;=SchemeStart,IF($X117=0,$AD117,IF(AND($Z117&lt;&gt;"",EDATE($D117,Milestones!$AA$121)&gt;=$Z117),$AC117,IF(AND($Y117&lt;&gt;"",EDATE($D117,Milestones!$AA$121)&gt;=$Y117),$AB117,$AA117)))=Milestones!$AB$121),UPPER(TEXT(EDATE($D117,Milestones!$AA$121),"dd mmm yy"))&amp;" "&amp;Milestones!$AB$121&amp;" "&amp;IF(AND(Milestones!$AB$121="FT",Milestones!$AA$121=FT_Y5,EDATE($D117,Milestones!$AA$121)&lt;PolicyEff),1,Milestones!$AC$121)&amp;";  ","")&amp;IF(AND(EDATE($D117,Milestones!$AA$122)&lt;=AsOfDate,EDATE($D117,Milestones!$AA$122)&gt;=SchemeStart,IF($X117=0,$AD117,IF(AND($Z117&lt;&gt;"",EDATE($D117,Milestones!$AA$122)&gt;=$Z117),$AC117,IF(AND($Y117&lt;&gt;"",EDATE($D117,Milestones!$AA$122)&gt;=$Y117),$AB117,$AA117)))=Milestones!$AB$122),UPPER(TEXT(EDATE($D117,Milestones!$AA$122),"dd mmm yy"))&amp;" "&amp;Milestones!$AB$122&amp;" "&amp;IF(AND(Milestones!$AB$122="FT",Milestones!$AA$122=FT_Y5,EDATE($D117,Milestones!$AA$122)&lt;PolicyEff),1,Milestones!$AC$122)&amp;";  ","")&amp;IF(AND(EDATE($D117,Milestones!$AA$123)&lt;=AsOfDate,EDATE($D117,Milestones!$AA$123)&gt;=SchemeStart,IF($X117=0,$AD117,IF(AND($Z117&lt;&gt;"",EDATE($D117,Milestones!$AA$123)&gt;=$Z117),$AC117,IF(AND($Y117&lt;&gt;"",EDATE($D117,Milestones!$AA$123)&gt;=$Y117),$AB117,$AA117)))=Milestones!$AB$123),UPPER(TEXT(EDATE($D117,Milestones!$AA$123),"dd mmm yy"))&amp;" "&amp;Milestones!$AB$123&amp;" "&amp;IF(AND(Milestones!$AB$123="FT",Milestones!$AA$123=FT_Y5,EDATE($D117,Milestones!$AA$123)&lt;PolicyEff),1,Milestones!$AC$123)&amp;";  ","")&amp;IF(AND(EDATE($D117,Milestones!$AA$124)&lt;=AsOfDate,EDATE($D117,Milestones!$AA$124)&gt;=SchemeStart,IF($X117=0,$AD117,IF(AND($Z117&lt;&gt;"",EDATE($D117,Milestones!$AA$124)&gt;=$Z117),$AC117,IF(AND($Y117&lt;&gt;"",EDATE($D117,Milestones!$AA$124)&gt;=$Y117),$AB117,$AA117)))=Milestones!$AB$124),UPPER(TEXT(EDATE($D117,Milestones!$AA$124),"dd mmm yy"))&amp;" "&amp;Milestones!$AB$124&amp;" "&amp;IF(AND(Milestones!$AB$124="FT",Milestones!$AA$124=FT_Y5,EDATE($D117,Milestones!$AA$124)&lt;PolicyEff),1,Milestones!$AC$124)&amp;";  ","")&amp;IF(AND(EDATE($D117,Milestones!$AA$125)&lt;=AsOfDate,EDATE($D117,Milestones!$AA$125)&gt;=SchemeStart,IF($X117=0,$AD117,IF(AND($Z117&lt;&gt;"",EDATE($D117,Milestones!$AA$125)&gt;=$Z117),$AC117,IF(AND($Y117&lt;&gt;"",EDATE($D117,Milestones!$AA$125)&gt;=$Y117),$AB117,$AA117)))=Milestones!$AB$125),UPPER(TEXT(EDATE($D117,Milestones!$AA$125),"dd mmm yy"))&amp;" "&amp;Milestones!$AB$125&amp;" "&amp;IF(AND(Milestones!$AB$125="FT",Milestones!$AA$125=FT_Y5,EDATE($D117,Milestones!$AA$125)&lt;PolicyEff),1,Milestones!$AC$125)&amp;";  ","")&amp;IF(AND(EDATE($D117,Milestones!$AA$126)&lt;=AsOfDate,EDATE($D117,Milestones!$AA$126)&gt;=SchemeStart,IF($X117=0,$AD117,IF(AND($Z117&lt;&gt;"",EDATE($D117,Milestones!$AA$126)&gt;=$Z117),$AC117,IF(AND($Y117&lt;&gt;"",EDATE($D117,Milestones!$AA$126)&gt;=$Y117),$AB117,$AA117)))=Milestones!$AB$126),UPPER(TEXT(EDATE($D117,Milestones!$AA$126),"dd mmm yy"))&amp;" "&amp;Milestones!$AB$126&amp;" "&amp;IF(AND(Milestones!$AB$126="FT",Milestones!$AA$126=FT_Y5,EDATE($D117,Milestones!$AA$126)&lt;PolicyEff),1,Milestones!$AC$126)&amp;";  ","")&amp;IF(AND(EDATE($D117,Milestones!$AA$127)&lt;=AsOfDate,EDATE($D117,Milestones!$AA$127)&gt;=SchemeStart,IF($X117=0,$AD117,IF(AND($Z117&lt;&gt;"",EDATE($D117,Milestones!$AA$127)&gt;=$Z117),$AC117,IF(AND($Y117&lt;&gt;"",EDATE($D117,Milestones!$AA$127)&gt;=$Y117),$AB117,$AA117)))=Milestones!$AB$127),UPPER(TEXT(EDATE($D117,Milestones!$AA$127),"dd mmm yy"))&amp;" "&amp;Milestones!$AB$127&amp;" "&amp;IF(AND(Milestones!$AB$127="FT",Milestones!$AA$127=FT_Y5,EDATE($D117,Milestones!$AA$127)&lt;PolicyEff),1,Milestones!$AC$127)&amp;";  ",""))</f>
        <v/>
      </c>
      <c r="R117" s="0" t="str">
        <f aca="false">IF(OR($A117="",$D117=""),"",IF(AND(EDATE($D117,Milestones!$AA$128)&lt;=AsOfDate,EDATE($D117,Milestones!$AA$128)&gt;=SchemeStart,IF($X117=0,$AD117,IF(AND($Z117&lt;&gt;"",EDATE($D117,Milestones!$AA$128)&gt;=$Z117),$AC117,IF(AND($Y117&lt;&gt;"",EDATE($D117,Milestones!$AA$128)&gt;=$Y117),$AB117,$AA117)))=Milestones!$AB$128),UPPER(TEXT(EDATE($D117,Milestones!$AA$128),"dd mmm yy"))&amp;" "&amp;Milestones!$AB$128&amp;" "&amp;IF(AND(Milestones!$AB$128="FT",Milestones!$AA$128=FT_Y5,EDATE($D117,Milestones!$AA$128)&lt;PolicyEff),1,Milestones!$AC$128)&amp;";  ","")&amp;IF(AND(EDATE($D117,Milestones!$AA$129)&lt;=AsOfDate,EDATE($D117,Milestones!$AA$129)&gt;=SchemeStart,IF($X117=0,$AD117,IF(AND($Z117&lt;&gt;"",EDATE($D117,Milestones!$AA$129)&gt;=$Z117),$AC117,IF(AND($Y117&lt;&gt;"",EDATE($D117,Milestones!$AA$129)&gt;=$Y117),$AB117,$AA117)))=Milestones!$AB$129),UPPER(TEXT(EDATE($D117,Milestones!$AA$129),"dd mmm yy"))&amp;" "&amp;Milestones!$AB$129&amp;" "&amp;IF(AND(Milestones!$AB$129="FT",Milestones!$AA$129=FT_Y5,EDATE($D117,Milestones!$AA$129)&lt;PolicyEff),1,Milestones!$AC$129)&amp;";  ","")&amp;IF(AND(EDATE($D117,Milestones!$AA$130)&lt;=AsOfDate,EDATE($D117,Milestones!$AA$130)&gt;=SchemeStart,IF($X117=0,$AD117,IF(AND($Z117&lt;&gt;"",EDATE($D117,Milestones!$AA$130)&gt;=$Z117),$AC117,IF(AND($Y117&lt;&gt;"",EDATE($D117,Milestones!$AA$130)&gt;=$Y117),$AB117,$AA117)))=Milestones!$AB$130),UPPER(TEXT(EDATE($D117,Milestones!$AA$130),"dd mmm yy"))&amp;" "&amp;Milestones!$AB$130&amp;" "&amp;IF(AND(Milestones!$AB$130="FT",Milestones!$AA$130=FT_Y5,EDATE($D117,Milestones!$AA$130)&lt;PolicyEff),1,Milestones!$AC$130)&amp;";  ","")&amp;IF(AND(EDATE($D117,Milestones!$AA$131)&lt;=AsOfDate,EDATE($D117,Milestones!$AA$131)&gt;=SchemeStart,IF($X117=0,$AD117,IF(AND($Z117&lt;&gt;"",EDATE($D117,Milestones!$AA$131)&gt;=$Z117),$AC117,IF(AND($Y117&lt;&gt;"",EDATE($D117,Milestones!$AA$131)&gt;=$Y117),$AB117,$AA117)))=Milestones!$AB$131),UPPER(TEXT(EDATE($D117,Milestones!$AA$131),"dd mmm yy"))&amp;" "&amp;Milestones!$AB$131&amp;" "&amp;IF(AND(Milestones!$AB$131="FT",Milestones!$AA$131=FT_Y5,EDATE($D117,Milestones!$AA$131)&lt;PolicyEff),1,Milestones!$AC$131)&amp;";  ","")&amp;IF(AND(EDATE($D117,Milestones!$AA$132)&lt;=AsOfDate,EDATE($D117,Milestones!$AA$132)&gt;=SchemeStart,IF($X117=0,$AD117,IF(AND($Z117&lt;&gt;"",EDATE($D117,Milestones!$AA$132)&gt;=$Z117),$AC117,IF(AND($Y117&lt;&gt;"",EDATE($D117,Milestones!$AA$132)&gt;=$Y117),$AB117,$AA117)))=Milestones!$AB$132),UPPER(TEXT(EDATE($D117,Milestones!$AA$132),"dd mmm yy"))&amp;" "&amp;Milestones!$AB$132&amp;" "&amp;IF(AND(Milestones!$AB$132="FT",Milestones!$AA$132=FT_Y5,EDATE($D117,Milestones!$AA$132)&lt;PolicyEff),1,Milestones!$AC$132)&amp;";  ","")&amp;IF(AND(EDATE($D117,Milestones!$AA$133)&lt;=AsOfDate,EDATE($D117,Milestones!$AA$133)&gt;=SchemeStart,IF($X117=0,$AD117,IF(AND($Z117&lt;&gt;"",EDATE($D117,Milestones!$AA$133)&gt;=$Z117),$AC117,IF(AND($Y117&lt;&gt;"",EDATE($D117,Milestones!$AA$133)&gt;=$Y117),$AB117,$AA117)))=Milestones!$AB$133),UPPER(TEXT(EDATE($D117,Milestones!$AA$133),"dd mmm yy"))&amp;" "&amp;Milestones!$AB$133&amp;" "&amp;IF(AND(Milestones!$AB$133="FT",Milestones!$AA$133=FT_Y5,EDATE($D117,Milestones!$AA$133)&lt;PolicyEff),1,Milestones!$AC$133)&amp;";  ","")&amp;IF(AND(EDATE($D117,Milestones!$AA$134)&lt;=AsOfDate,EDATE($D117,Milestones!$AA$134)&gt;=SchemeStart,IF($X117=0,$AD117,IF(AND($Z117&lt;&gt;"",EDATE($D117,Milestones!$AA$134)&gt;=$Z117),$AC117,IF(AND($Y117&lt;&gt;"",EDATE($D117,Milestones!$AA$134)&gt;=$Y117),$AB117,$AA117)))=Milestones!$AB$134),UPPER(TEXT(EDATE($D117,Milestones!$AA$134),"dd mmm yy"))&amp;" "&amp;Milestones!$AB$134&amp;" "&amp;IF(AND(Milestones!$AB$134="FT",Milestones!$AA$134=FT_Y5,EDATE($D117,Milestones!$AA$134)&lt;PolicyEff),1,Milestones!$AC$134)&amp;";  ","")&amp;IF(AND(EDATE($D117,Milestones!$AA$135)&lt;=AsOfDate,EDATE($D117,Milestones!$AA$135)&gt;=SchemeStart,IF($X117=0,$AD117,IF(AND($Z117&lt;&gt;"",EDATE($D117,Milestones!$AA$135)&gt;=$Z117),$AC117,IF(AND($Y117&lt;&gt;"",EDATE($D117,Milestones!$AA$135)&gt;=$Y117),$AB117,$AA117)))=Milestones!$AB$135),UPPER(TEXT(EDATE($D117,Milestones!$AA$135),"dd mmm yy"))&amp;" "&amp;Milestones!$AB$135&amp;" "&amp;IF(AND(Milestones!$AB$135="FT",Milestones!$AA$135=FT_Y5,EDATE($D117,Milestones!$AA$135)&lt;PolicyEff),1,Milestones!$AC$135)&amp;";  ","")&amp;IF(AND(EDATE($D117,Milestones!$AA$136)&lt;=AsOfDate,EDATE($D117,Milestones!$AA$136)&gt;=SchemeStart,IF($X117=0,$AD117,IF(AND($Z117&lt;&gt;"",EDATE($D117,Milestones!$AA$136)&gt;=$Z117),$AC117,IF(AND($Y117&lt;&gt;"",EDATE($D117,Milestones!$AA$136)&gt;=$Y117),$AB117,$AA117)))=Milestones!$AB$136),UPPER(TEXT(EDATE($D117,Milestones!$AA$136),"dd mmm yy"))&amp;" "&amp;Milestones!$AB$136&amp;" "&amp;IF(AND(Milestones!$AB$136="FT",Milestones!$AA$136=FT_Y5,EDATE($D117,Milestones!$AA$136)&lt;PolicyEff),1,Milestones!$AC$136)&amp;";  ","")&amp;IF(AND(EDATE($D117,Milestones!$AA$137)&lt;=AsOfDate,EDATE($D117,Milestones!$AA$137)&gt;=SchemeStart,IF($X117=0,$AD117,IF(AND($Z117&lt;&gt;"",EDATE($D117,Milestones!$AA$137)&gt;=$Z117),$AC117,IF(AND($Y117&lt;&gt;"",EDATE($D117,Milestones!$AA$137)&gt;=$Y117),$AB117,$AA117)))=Milestones!$AB$137),UPPER(TEXT(EDATE($D117,Milestones!$AA$137),"dd mmm yy"))&amp;" "&amp;Milestones!$AB$137&amp;" "&amp;IF(AND(Milestones!$AB$137="FT",Milestones!$AA$137=FT_Y5,EDATE($D117,Milestones!$AA$137)&lt;PolicyEff),1,Milestones!$AC$137)&amp;";  ","")&amp;IF(AND(EDATE($D117,Milestones!$AA$138)&lt;=AsOfDate,EDATE($D117,Milestones!$AA$138)&gt;=SchemeStart,IF($X117=0,$AD117,IF(AND($Z117&lt;&gt;"",EDATE($D117,Milestones!$AA$138)&gt;=$Z117),$AC117,IF(AND($Y117&lt;&gt;"",EDATE($D117,Milestones!$AA$138)&gt;=$Y117),$AB117,$AA117)))=Milestones!$AB$138),UPPER(TEXT(EDATE($D117,Milestones!$AA$138),"dd mmm yy"))&amp;" "&amp;Milestones!$AB$138&amp;" "&amp;IF(AND(Milestones!$AB$138="FT",Milestones!$AA$138=FT_Y5,EDATE($D117,Milestones!$AA$138)&lt;PolicyEff),1,Milestones!$AC$138)&amp;";  ","")&amp;IF(AND(EDATE($D117,Milestones!$AA$139)&lt;=AsOfDate,EDATE($D117,Milestones!$AA$139)&gt;=SchemeStart,IF($X117=0,$AD117,IF(AND($Z117&lt;&gt;"",EDATE($D117,Milestones!$AA$139)&gt;=$Z117),$AC117,IF(AND($Y117&lt;&gt;"",EDATE($D117,Milestones!$AA$139)&gt;=$Y117),$AB117,$AA117)))=Milestones!$AB$139),UPPER(TEXT(EDATE($D117,Milestones!$AA$139),"dd mmm yy"))&amp;" "&amp;Milestones!$AB$139&amp;" "&amp;IF(AND(Milestones!$AB$139="FT",Milestones!$AA$139=FT_Y5,EDATE($D117,Milestones!$AA$139)&lt;PolicyEff),1,Milestones!$AC$139)&amp;";  ",""))</f>
        <v/>
      </c>
      <c r="S117" s="0" t="str">
        <f aca="false">IF(OR($A117="",$D117=""),"",IF(AND(EDATE($D117,Milestones!$AA$140)&lt;=AsOfDate,EDATE($D117,Milestones!$AA$140)&gt;=SchemeStart,IF($X117=0,$AD117,IF(AND($Z117&lt;&gt;"",EDATE($D117,Milestones!$AA$140)&gt;=$Z117),$AC117,IF(AND($Y117&lt;&gt;"",EDATE($D117,Milestones!$AA$140)&gt;=$Y117),$AB117,$AA117)))=Milestones!$AB$140),UPPER(TEXT(EDATE($D117,Milestones!$AA$140),"dd mmm yy"))&amp;" "&amp;Milestones!$AB$140&amp;" "&amp;IF(AND(Milestones!$AB$140="FT",Milestones!$AA$140=FT_Y5,EDATE($D117,Milestones!$AA$140)&lt;PolicyEff),1,Milestones!$AC$140)&amp;";  ","")&amp;IF(AND(EDATE($D117,Milestones!$AA$141)&lt;=AsOfDate,EDATE($D117,Milestones!$AA$141)&gt;=SchemeStart,IF($X117=0,$AD117,IF(AND($Z117&lt;&gt;"",EDATE($D117,Milestones!$AA$141)&gt;=$Z117),$AC117,IF(AND($Y117&lt;&gt;"",EDATE($D117,Milestones!$AA$141)&gt;=$Y117),$AB117,$AA117)))=Milestones!$AB$141),UPPER(TEXT(EDATE($D117,Milestones!$AA$141),"dd mmm yy"))&amp;" "&amp;Milestones!$AB$141&amp;" "&amp;IF(AND(Milestones!$AB$141="FT",Milestones!$AA$141=FT_Y5,EDATE($D117,Milestones!$AA$141)&lt;PolicyEff),1,Milestones!$AC$141)&amp;";  ","")&amp;IF(AND(EDATE($D117,Milestones!$AA$142)&lt;=AsOfDate,EDATE($D117,Milestones!$AA$142)&gt;=SchemeStart,IF($X117=0,$AD117,IF(AND($Z117&lt;&gt;"",EDATE($D117,Milestones!$AA$142)&gt;=$Z117),$AC117,IF(AND($Y117&lt;&gt;"",EDATE($D117,Milestones!$AA$142)&gt;=$Y117),$AB117,$AA117)))=Milestones!$AB$142),UPPER(TEXT(EDATE($D117,Milestones!$AA$142),"dd mmm yy"))&amp;" "&amp;Milestones!$AB$142&amp;" "&amp;IF(AND(Milestones!$AB$142="FT",Milestones!$AA$142=FT_Y5,EDATE($D117,Milestones!$AA$142)&lt;PolicyEff),1,Milestones!$AC$142)&amp;";  ","")&amp;IF(AND(EDATE($D117,Milestones!$AA$143)&lt;=AsOfDate,EDATE($D117,Milestones!$AA$143)&gt;=SchemeStart,IF($X117=0,$AD117,IF(AND($Z117&lt;&gt;"",EDATE($D117,Milestones!$AA$143)&gt;=$Z117),$AC117,IF(AND($Y117&lt;&gt;"",EDATE($D117,Milestones!$AA$143)&gt;=$Y117),$AB117,$AA117)))=Milestones!$AB$143),UPPER(TEXT(EDATE($D117,Milestones!$AA$143),"dd mmm yy"))&amp;" "&amp;Milestones!$AB$143&amp;" "&amp;IF(AND(Milestones!$AB$143="FT",Milestones!$AA$143=FT_Y5,EDATE($D117,Milestones!$AA$143)&lt;PolicyEff),1,Milestones!$AC$143)&amp;";  ","")&amp;IF(AND(EDATE($D117,Milestones!$AA$144)&lt;=AsOfDate,EDATE($D117,Milestones!$AA$144)&gt;=SchemeStart,IF($X117=0,$AD117,IF(AND($Z117&lt;&gt;"",EDATE($D117,Milestones!$AA$144)&gt;=$Z117),$AC117,IF(AND($Y117&lt;&gt;"",EDATE($D117,Milestones!$AA$144)&gt;=$Y117),$AB117,$AA117)))=Milestones!$AB$144),UPPER(TEXT(EDATE($D117,Milestones!$AA$144),"dd mmm yy"))&amp;" "&amp;Milestones!$AB$144&amp;" "&amp;IF(AND(Milestones!$AB$144="FT",Milestones!$AA$144=FT_Y5,EDATE($D117,Milestones!$AA$144)&lt;PolicyEff),1,Milestones!$AC$144)&amp;";  ","")&amp;IF(AND(EDATE($D117,Milestones!$AA$145)&lt;=AsOfDate,EDATE($D117,Milestones!$AA$145)&gt;=SchemeStart,IF($X117=0,$AD117,IF(AND($Z117&lt;&gt;"",EDATE($D117,Milestones!$AA$145)&gt;=$Z117),$AC117,IF(AND($Y117&lt;&gt;"",EDATE($D117,Milestones!$AA$145)&gt;=$Y117),$AB117,$AA117)))=Milestones!$AB$145),UPPER(TEXT(EDATE($D117,Milestones!$AA$145),"dd mmm yy"))&amp;" "&amp;Milestones!$AB$145&amp;" "&amp;IF(AND(Milestones!$AB$145="FT",Milestones!$AA$145=FT_Y5,EDATE($D117,Milestones!$AA$145)&lt;PolicyEff),1,Milestones!$AC$145)&amp;";  ","")&amp;IF(AND(EDATE($D117,Milestones!$AA$146)&lt;=AsOfDate,EDATE($D117,Milestones!$AA$146)&gt;=SchemeStart,IF($X117=0,$AD117,IF(AND($Z117&lt;&gt;"",EDATE($D117,Milestones!$AA$146)&gt;=$Z117),$AC117,IF(AND($Y117&lt;&gt;"",EDATE($D117,Milestones!$AA$146)&gt;=$Y117),$AB117,$AA117)))=Milestones!$AB$146),UPPER(TEXT(EDATE($D117,Milestones!$AA$146),"dd mmm yy"))&amp;" "&amp;Milestones!$AB$146&amp;" "&amp;IF(AND(Milestones!$AB$146="FT",Milestones!$AA$146=FT_Y5,EDATE($D117,Milestones!$AA$146)&lt;PolicyEff),1,Milestones!$AC$146)&amp;";  ","")&amp;IF(AND(EDATE($D117,Milestones!$AA$147)&lt;=AsOfDate,EDATE($D117,Milestones!$AA$147)&gt;=SchemeStart,IF($X117=0,$AD117,IF(AND($Z117&lt;&gt;"",EDATE($D117,Milestones!$AA$147)&gt;=$Z117),$AC117,IF(AND($Y117&lt;&gt;"",EDATE($D117,Milestones!$AA$147)&gt;=$Y117),$AB117,$AA117)))=Milestones!$AB$147),UPPER(TEXT(EDATE($D117,Milestones!$AA$147),"dd mmm yy"))&amp;" "&amp;Milestones!$AB$147&amp;" "&amp;IF(AND(Milestones!$AB$147="FT",Milestones!$AA$147=FT_Y5,EDATE($D117,Milestones!$AA$147)&lt;PolicyEff),1,Milestones!$AC$147)&amp;";  ","")&amp;IF(AND(EDATE($D117,Milestones!$AA$148)&lt;=AsOfDate,EDATE($D117,Milestones!$AA$148)&gt;=SchemeStart,IF($X117=0,$AD117,IF(AND($Z117&lt;&gt;"",EDATE($D117,Milestones!$AA$148)&gt;=$Z117),$AC117,IF(AND($Y117&lt;&gt;"",EDATE($D117,Milestones!$AA$148)&gt;=$Y117),$AB117,$AA117)))=Milestones!$AB$148),UPPER(TEXT(EDATE($D117,Milestones!$AA$148),"dd mmm yy"))&amp;" "&amp;Milestones!$AB$148&amp;" "&amp;IF(AND(Milestones!$AB$148="FT",Milestones!$AA$148=FT_Y5,EDATE($D117,Milestones!$AA$148)&lt;PolicyEff),1,Milestones!$AC$148)&amp;";  ","")&amp;IF(AND(EDATE($D117,Milestones!$AA$149)&lt;=AsOfDate,EDATE($D117,Milestones!$AA$149)&gt;=SchemeStart,IF($X117=0,$AD117,IF(AND($Z117&lt;&gt;"",EDATE($D117,Milestones!$AA$149)&gt;=$Z117),$AC117,IF(AND($Y117&lt;&gt;"",EDATE($D117,Milestones!$AA$149)&gt;=$Y117),$AB117,$AA117)))=Milestones!$AB$149),UPPER(TEXT(EDATE($D117,Milestones!$AA$149),"dd mmm yy"))&amp;" "&amp;Milestones!$AB$149&amp;" "&amp;IF(AND(Milestones!$AB$149="FT",Milestones!$AA$149=FT_Y5,EDATE($D117,Milestones!$AA$149)&lt;PolicyEff),1,Milestones!$AC$149)&amp;";  ","")&amp;IF(AND(EDATE($D117,Milestones!$AA$150)&lt;=AsOfDate,EDATE($D117,Milestones!$AA$150)&gt;=SchemeStart,IF($X117=0,$AD117,IF(AND($Z117&lt;&gt;"",EDATE($D117,Milestones!$AA$150)&gt;=$Z117),$AC117,IF(AND($Y117&lt;&gt;"",EDATE($D117,Milestones!$AA$150)&gt;=$Y117),$AB117,$AA117)))=Milestones!$AB$150),UPPER(TEXT(EDATE($D117,Milestones!$AA$150),"dd mmm yy"))&amp;" "&amp;Milestones!$AB$150&amp;" "&amp;IF(AND(Milestones!$AB$150="FT",Milestones!$AA$150=FT_Y5,EDATE($D117,Milestones!$AA$150)&lt;PolicyEff),1,Milestones!$AC$150)&amp;";  ","")&amp;IF(AND(EDATE($D117,Milestones!$AA$151)&lt;=AsOfDate,EDATE($D117,Milestones!$AA$151)&gt;=SchemeStart,IF($X117=0,$AD117,IF(AND($Z117&lt;&gt;"",EDATE($D117,Milestones!$AA$151)&gt;=$Z117),$AC117,IF(AND($Y117&lt;&gt;"",EDATE($D117,Milestones!$AA$151)&gt;=$Y117),$AB117,$AA117)))=Milestones!$AB$151),UPPER(TEXT(EDATE($D117,Milestones!$AA$151),"dd mmm yy"))&amp;" "&amp;Milestones!$AB$151&amp;" "&amp;IF(AND(Milestones!$AB$151="FT",Milestones!$AA$151=FT_Y5,EDATE($D117,Milestones!$AA$151)&lt;PolicyEff),1,Milestones!$AC$151)&amp;";  ",""))</f>
        <v/>
      </c>
      <c r="T117" s="0" t="str">
        <f aca="false">IF(OR($A117="",$D117=""),"",IF(AND(EDATE($D117,Milestones!$AA$152)&lt;=AsOfDate,EDATE($D117,Milestones!$AA$152)&gt;=SchemeStart,IF($X117=0,$AD117,IF(AND($Z117&lt;&gt;"",EDATE($D117,Milestones!$AA$152)&gt;=$Z117),$AC117,IF(AND($Y117&lt;&gt;"",EDATE($D117,Milestones!$AA$152)&gt;=$Y117),$AB117,$AA117)))=Milestones!$AB$152),UPPER(TEXT(EDATE($D117,Milestones!$AA$152),"dd mmm yy"))&amp;" "&amp;Milestones!$AB$152&amp;" "&amp;IF(AND(Milestones!$AB$152="FT",Milestones!$AA$152=FT_Y5,EDATE($D117,Milestones!$AA$152)&lt;PolicyEff),1,Milestones!$AC$152)&amp;";  ","")&amp;IF(AND(EDATE($D117,Milestones!$AA$153)&lt;=AsOfDate,EDATE($D117,Milestones!$AA$153)&gt;=SchemeStart,IF($X117=0,$AD117,IF(AND($Z117&lt;&gt;"",EDATE($D117,Milestones!$AA$153)&gt;=$Z117),$AC117,IF(AND($Y117&lt;&gt;"",EDATE($D117,Milestones!$AA$153)&gt;=$Y117),$AB117,$AA117)))=Milestones!$AB$153),UPPER(TEXT(EDATE($D117,Milestones!$AA$153),"dd mmm yy"))&amp;" "&amp;Milestones!$AB$153&amp;" "&amp;IF(AND(Milestones!$AB$153="FT",Milestones!$AA$153=FT_Y5,EDATE($D117,Milestones!$AA$153)&lt;PolicyEff),1,Milestones!$AC$153)&amp;";  ","")&amp;IF(AND(EDATE($D117,Milestones!$AA$154)&lt;=AsOfDate,EDATE($D117,Milestones!$AA$154)&gt;=SchemeStart,IF($X117=0,$AD117,IF(AND($Z117&lt;&gt;"",EDATE($D117,Milestones!$AA$154)&gt;=$Z117),$AC117,IF(AND($Y117&lt;&gt;"",EDATE($D117,Milestones!$AA$154)&gt;=$Y117),$AB117,$AA117)))=Milestones!$AB$154),UPPER(TEXT(EDATE($D117,Milestones!$AA$154),"dd mmm yy"))&amp;" "&amp;Milestones!$AB$154&amp;" "&amp;IF(AND(Milestones!$AB$154="FT",Milestones!$AA$154=FT_Y5,EDATE($D117,Milestones!$AA$154)&lt;PolicyEff),1,Milestones!$AC$154)&amp;";  ","")&amp;IF(AND(EDATE($D117,Milestones!$AA$155)&lt;=AsOfDate,EDATE($D117,Milestones!$AA$155)&gt;=SchemeStart,IF($X117=0,$AD117,IF(AND($Z117&lt;&gt;"",EDATE($D117,Milestones!$AA$155)&gt;=$Z117),$AC117,IF(AND($Y117&lt;&gt;"",EDATE($D117,Milestones!$AA$155)&gt;=$Y117),$AB117,$AA117)))=Milestones!$AB$155),UPPER(TEXT(EDATE($D117,Milestones!$AA$155),"dd mmm yy"))&amp;" "&amp;Milestones!$AB$155&amp;" "&amp;IF(AND(Milestones!$AB$155="FT",Milestones!$AA$155=FT_Y5,EDATE($D117,Milestones!$AA$155)&lt;PolicyEff),1,Milestones!$AC$155)&amp;";  ","")&amp;IF(AND(EDATE($D117,Milestones!$AA$156)&lt;=AsOfDate,EDATE($D117,Milestones!$AA$156)&gt;=SchemeStart,IF($X117=0,$AD117,IF(AND($Z117&lt;&gt;"",EDATE($D117,Milestones!$AA$156)&gt;=$Z117),$AC117,IF(AND($Y117&lt;&gt;"",EDATE($D117,Milestones!$AA$156)&gt;=$Y117),$AB117,$AA117)))=Milestones!$AB$156),UPPER(TEXT(EDATE($D117,Milestones!$AA$156),"dd mmm yy"))&amp;" "&amp;Milestones!$AB$156&amp;" "&amp;IF(AND(Milestones!$AB$156="FT",Milestones!$AA$156=FT_Y5,EDATE($D117,Milestones!$AA$156)&lt;PolicyEff),1,Milestones!$AC$156)&amp;";  ","")&amp;IF(AND(EDATE($D117,Milestones!$AA$157)&lt;=AsOfDate,EDATE($D117,Milestones!$AA$157)&gt;=SchemeStart,IF($X117=0,$AD117,IF(AND($Z117&lt;&gt;"",EDATE($D117,Milestones!$AA$157)&gt;=$Z117),$AC117,IF(AND($Y117&lt;&gt;"",EDATE($D117,Milestones!$AA$157)&gt;=$Y117),$AB117,$AA117)))=Milestones!$AB$157),UPPER(TEXT(EDATE($D117,Milestones!$AA$157),"dd mmm yy"))&amp;" "&amp;Milestones!$AB$157&amp;" "&amp;IF(AND(Milestones!$AB$157="FT",Milestones!$AA$157=FT_Y5,EDATE($D117,Milestones!$AA$157)&lt;PolicyEff),1,Milestones!$AC$157)&amp;";  ","")&amp;IF(AND(EDATE($D117,Milestones!$AA$158)&lt;=AsOfDate,EDATE($D117,Milestones!$AA$158)&gt;=SchemeStart,IF($X117=0,$AD117,IF(AND($Z117&lt;&gt;"",EDATE($D117,Milestones!$AA$158)&gt;=$Z117),$AC117,IF(AND($Y117&lt;&gt;"",EDATE($D117,Milestones!$AA$158)&gt;=$Y117),$AB117,$AA117)))=Milestones!$AB$158),UPPER(TEXT(EDATE($D117,Milestones!$AA$158),"dd mmm yy"))&amp;" "&amp;Milestones!$AB$158&amp;" "&amp;IF(AND(Milestones!$AB$158="FT",Milestones!$AA$158=FT_Y5,EDATE($D117,Milestones!$AA$158)&lt;PolicyEff),1,Milestones!$AC$158)&amp;";  ","")&amp;IF(AND(EDATE($D117,Milestones!$AA$159)&lt;=AsOfDate,EDATE($D117,Milestones!$AA$159)&gt;=SchemeStart,IF($X117=0,$AD117,IF(AND($Z117&lt;&gt;"",EDATE($D117,Milestones!$AA$159)&gt;=$Z117),$AC117,IF(AND($Y117&lt;&gt;"",EDATE($D117,Milestones!$AA$159)&gt;=$Y117),$AB117,$AA117)))=Milestones!$AB$159),UPPER(TEXT(EDATE($D117,Milestones!$AA$159),"dd mmm yy"))&amp;" "&amp;Milestones!$AB$159&amp;" "&amp;IF(AND(Milestones!$AB$159="FT",Milestones!$AA$159=FT_Y5,EDATE($D117,Milestones!$AA$159)&lt;PolicyEff),1,Milestones!$AC$159)&amp;";  ","")&amp;IF(AND(EDATE($D117,Milestones!$AA$160)&lt;=AsOfDate,EDATE($D117,Milestones!$AA$160)&gt;=SchemeStart,IF($X117=0,$AD117,IF(AND($Z117&lt;&gt;"",EDATE($D117,Milestones!$AA$160)&gt;=$Z117),$AC117,IF(AND($Y117&lt;&gt;"",EDATE($D117,Milestones!$AA$160)&gt;=$Y117),$AB117,$AA117)))=Milestones!$AB$160),UPPER(TEXT(EDATE($D117,Milestones!$AA$160),"dd mmm yy"))&amp;" "&amp;Milestones!$AB$160&amp;" "&amp;IF(AND(Milestones!$AB$160="FT",Milestones!$AA$160=FT_Y5,EDATE($D117,Milestones!$AA$160)&lt;PolicyEff),1,Milestones!$AC$160)&amp;";  ","")&amp;IF(AND(EDATE($D117,Milestones!$AA$161)&lt;=AsOfDate,EDATE($D117,Milestones!$AA$161)&gt;=SchemeStart,IF($X117=0,$AD117,IF(AND($Z117&lt;&gt;"",EDATE($D117,Milestones!$AA$161)&gt;=$Z117),$AC117,IF(AND($Y117&lt;&gt;"",EDATE($D117,Milestones!$AA$161)&gt;=$Y117),$AB117,$AA117)))=Milestones!$AB$161),UPPER(TEXT(EDATE($D117,Milestones!$AA$161),"dd mmm yy"))&amp;" "&amp;Milestones!$AB$161&amp;" "&amp;IF(AND(Milestones!$AB$161="FT",Milestones!$AA$161=FT_Y5,EDATE($D117,Milestones!$AA$161)&lt;PolicyEff),1,Milestones!$AC$161)&amp;";  ","")&amp;IF(AND(EDATE($D117,Milestones!$AA$162)&lt;=AsOfDate,EDATE($D117,Milestones!$AA$162)&gt;=SchemeStart,IF($X117=0,$AD117,IF(AND($Z117&lt;&gt;"",EDATE($D117,Milestones!$AA$162)&gt;=$Z117),$AC117,IF(AND($Y117&lt;&gt;"",EDATE($D117,Milestones!$AA$162)&gt;=$Y117),$AB117,$AA117)))=Milestones!$AB$162),UPPER(TEXT(EDATE($D117,Milestones!$AA$162),"dd mmm yy"))&amp;" "&amp;Milestones!$AB$162&amp;" "&amp;IF(AND(Milestones!$AB$162="FT",Milestones!$AA$162=FT_Y5,EDATE($D117,Milestones!$AA$162)&lt;PolicyEff),1,Milestones!$AC$162)&amp;";  ","")&amp;IF(AND(EDATE($D117,Milestones!$AA$163)&lt;=AsOfDate,EDATE($D117,Milestones!$AA$163)&gt;=SchemeStart,IF($X117=0,$AD117,IF(AND($Z117&lt;&gt;"",EDATE($D117,Milestones!$AA$163)&gt;=$Z117),$AC117,IF(AND($Y117&lt;&gt;"",EDATE($D117,Milestones!$AA$163)&gt;=$Y117),$AB117,$AA117)))=Milestones!$AB$163),UPPER(TEXT(EDATE($D117,Milestones!$AA$163),"dd mmm yy"))&amp;" "&amp;Milestones!$AB$163&amp;" "&amp;IF(AND(Milestones!$AB$163="FT",Milestones!$AA$163=FT_Y5,EDATE($D117,Milestones!$AA$163)&lt;PolicyEff),1,Milestones!$AC$163)&amp;";  ",""))</f>
        <v/>
      </c>
      <c r="U117" s="0" t="str">
        <f aca="false">IF(OR($A117="",$D117=""),"",IF(AND(EDATE($D117,Milestones!$AA$164)&lt;=AsOfDate,EDATE($D117,Milestones!$AA$164)&gt;=SchemeStart,IF($X117=0,$AD117,IF(AND($Z117&lt;&gt;"",EDATE($D117,Milestones!$AA$164)&gt;=$Z117),$AC117,IF(AND($Y117&lt;&gt;"",EDATE($D117,Milestones!$AA$164)&gt;=$Y117),$AB117,$AA117)))=Milestones!$AB$164),UPPER(TEXT(EDATE($D117,Milestones!$AA$164),"dd mmm yy"))&amp;" "&amp;Milestones!$AB$164&amp;" "&amp;IF(AND(Milestones!$AB$164="FT",Milestones!$AA$164=FT_Y5,EDATE($D117,Milestones!$AA$164)&lt;PolicyEff),1,Milestones!$AC$164)&amp;";  ","")&amp;IF(AND(EDATE($D117,Milestones!$AA$165)&lt;=AsOfDate,EDATE($D117,Milestones!$AA$165)&gt;=SchemeStart,IF($X117=0,$AD117,IF(AND($Z117&lt;&gt;"",EDATE($D117,Milestones!$AA$165)&gt;=$Z117),$AC117,IF(AND($Y117&lt;&gt;"",EDATE($D117,Milestones!$AA$165)&gt;=$Y117),$AB117,$AA117)))=Milestones!$AB$165),UPPER(TEXT(EDATE($D117,Milestones!$AA$165),"dd mmm yy"))&amp;" "&amp;Milestones!$AB$165&amp;" "&amp;IF(AND(Milestones!$AB$165="FT",Milestones!$AA$165=FT_Y5,EDATE($D117,Milestones!$AA$165)&lt;PolicyEff),1,Milestones!$AC$165)&amp;";  ","")&amp;IF(AND(EDATE($D117,Milestones!$AA$166)&lt;=AsOfDate,EDATE($D117,Milestones!$AA$166)&gt;=SchemeStart,IF($X117=0,$AD117,IF(AND($Z117&lt;&gt;"",EDATE($D117,Milestones!$AA$166)&gt;=$Z117),$AC117,IF(AND($Y117&lt;&gt;"",EDATE($D117,Milestones!$AA$166)&gt;=$Y117),$AB117,$AA117)))=Milestones!$AB$166),UPPER(TEXT(EDATE($D117,Milestones!$AA$166),"dd mmm yy"))&amp;" "&amp;Milestones!$AB$166&amp;" "&amp;IF(AND(Milestones!$AB$166="FT",Milestones!$AA$166=FT_Y5,EDATE($D117,Milestones!$AA$166)&lt;PolicyEff),1,Milestones!$AC$166)&amp;";  ","")&amp;IF(AND(EDATE($D117,Milestones!$AA$167)&lt;=AsOfDate,EDATE($D117,Milestones!$AA$167)&gt;=SchemeStart,IF($X117=0,$AD117,IF(AND($Z117&lt;&gt;"",EDATE($D117,Milestones!$AA$167)&gt;=$Z117),$AC117,IF(AND($Y117&lt;&gt;"",EDATE($D117,Milestones!$AA$167)&gt;=$Y117),$AB117,$AA117)))=Milestones!$AB$167),UPPER(TEXT(EDATE($D117,Milestones!$AA$167),"dd mmm yy"))&amp;" "&amp;Milestones!$AB$167&amp;" "&amp;IF(AND(Milestones!$AB$167="FT",Milestones!$AA$167=FT_Y5,EDATE($D117,Milestones!$AA$167)&lt;PolicyEff),1,Milestones!$AC$167)&amp;";  ","")&amp;IF(AND(EDATE($D117,Milestones!$AA$168)&lt;=AsOfDate,EDATE($D117,Milestones!$AA$168)&gt;=SchemeStart,IF($X117=0,$AD117,IF(AND($Z117&lt;&gt;"",EDATE($D117,Milestones!$AA$168)&gt;=$Z117),$AC117,IF(AND($Y117&lt;&gt;"",EDATE($D117,Milestones!$AA$168)&gt;=$Y117),$AB117,$AA117)))=Milestones!$AB$168),UPPER(TEXT(EDATE($D117,Milestones!$AA$168),"dd mmm yy"))&amp;" "&amp;Milestones!$AB$168&amp;" "&amp;IF(AND(Milestones!$AB$168="FT",Milestones!$AA$168=FT_Y5,EDATE($D117,Milestones!$AA$168)&lt;PolicyEff),1,Milestones!$AC$168)&amp;";  ","")&amp;IF(AND(EDATE($D117,Milestones!$AA$169)&lt;=AsOfDate,EDATE($D117,Milestones!$AA$169)&gt;=SchemeStart,IF($X117=0,$AD117,IF(AND($Z117&lt;&gt;"",EDATE($D117,Milestones!$AA$169)&gt;=$Z117),$AC117,IF(AND($Y117&lt;&gt;"",EDATE($D117,Milestones!$AA$169)&gt;=$Y117),$AB117,$AA117)))=Milestones!$AB$169),UPPER(TEXT(EDATE($D117,Milestones!$AA$169),"dd mmm yy"))&amp;" "&amp;Milestones!$AB$169&amp;" "&amp;IF(AND(Milestones!$AB$169="FT",Milestones!$AA$169=FT_Y5,EDATE($D117,Milestones!$AA$169)&lt;PolicyEff),1,Milestones!$AC$169)&amp;";  ","")&amp;IF(AND(EDATE($D117,Milestones!$AA$170)&lt;=AsOfDate,EDATE($D117,Milestones!$AA$170)&gt;=SchemeStart,IF($X117=0,$AD117,IF(AND($Z117&lt;&gt;"",EDATE($D117,Milestones!$AA$170)&gt;=$Z117),$AC117,IF(AND($Y117&lt;&gt;"",EDATE($D117,Milestones!$AA$170)&gt;=$Y117),$AB117,$AA117)))=Milestones!$AB$170),UPPER(TEXT(EDATE($D117,Milestones!$AA$170),"dd mmm yy"))&amp;" "&amp;Milestones!$AB$170&amp;" "&amp;IF(AND(Milestones!$AB$170="FT",Milestones!$AA$170=FT_Y5,EDATE($D117,Milestones!$AA$170)&lt;PolicyEff),1,Milestones!$AC$170)&amp;";  ","")&amp;IF(AND(EDATE($D117,Milestones!$AA$171)&lt;=AsOfDate,EDATE($D117,Milestones!$AA$171)&gt;=SchemeStart,IF($X117=0,$AD117,IF(AND($Z117&lt;&gt;"",EDATE($D117,Milestones!$AA$171)&gt;=$Z117),$AC117,IF(AND($Y117&lt;&gt;"",EDATE($D117,Milestones!$AA$171)&gt;=$Y117),$AB117,$AA117)))=Milestones!$AB$171),UPPER(TEXT(EDATE($D117,Milestones!$AA$171),"dd mmm yy"))&amp;" "&amp;Milestones!$AB$171&amp;" "&amp;IF(AND(Milestones!$AB$171="FT",Milestones!$AA$171=FT_Y5,EDATE($D117,Milestones!$AA$171)&lt;PolicyEff),1,Milestones!$AC$171)&amp;";  ","")&amp;IF(AND(EDATE($D117,Milestones!$AA$172)&lt;=AsOfDate,EDATE($D117,Milestones!$AA$172)&gt;=SchemeStart,IF($X117=0,$AD117,IF(AND($Z117&lt;&gt;"",EDATE($D117,Milestones!$AA$172)&gt;=$Z117),$AC117,IF(AND($Y117&lt;&gt;"",EDATE($D117,Milestones!$AA$172)&gt;=$Y117),$AB117,$AA117)))=Milestones!$AB$172),UPPER(TEXT(EDATE($D117,Milestones!$AA$172),"dd mmm yy"))&amp;" "&amp;Milestones!$AB$172&amp;" "&amp;IF(AND(Milestones!$AB$172="FT",Milestones!$AA$172=FT_Y5,EDATE($D117,Milestones!$AA$172)&lt;PolicyEff),1,Milestones!$AC$172)&amp;";  ","")&amp;IF(AND(EDATE($D117,Milestones!$AA$173)&lt;=AsOfDate,EDATE($D117,Milestones!$AA$173)&gt;=SchemeStart,IF($X117=0,$AD117,IF(AND($Z117&lt;&gt;"",EDATE($D117,Milestones!$AA$173)&gt;=$Z117),$AC117,IF(AND($Y117&lt;&gt;"",EDATE($D117,Milestones!$AA$173)&gt;=$Y117),$AB117,$AA117)))=Milestones!$AB$173),UPPER(TEXT(EDATE($D117,Milestones!$AA$173),"dd mmm yy"))&amp;" "&amp;Milestones!$AB$173&amp;" "&amp;IF(AND(Milestones!$AB$173="FT",Milestones!$AA$173=FT_Y5,EDATE($D117,Milestones!$AA$173)&lt;PolicyEff),1,Milestones!$AC$173)&amp;";  ","")&amp;IF(AND(EDATE($D117,Milestones!$AA$174)&lt;=AsOfDate,EDATE($D117,Milestones!$AA$174)&gt;=SchemeStart,IF($X117=0,$AD117,IF(AND($Z117&lt;&gt;"",EDATE($D117,Milestones!$AA$174)&gt;=$Z117),$AC117,IF(AND($Y117&lt;&gt;"",EDATE($D117,Milestones!$AA$174)&gt;=$Y117),$AB117,$AA117)))=Milestones!$AB$174),UPPER(TEXT(EDATE($D117,Milestones!$AA$174),"dd mmm yy"))&amp;" "&amp;Milestones!$AB$174&amp;" "&amp;IF(AND(Milestones!$AB$174="FT",Milestones!$AA$174=FT_Y5,EDATE($D117,Milestones!$AA$174)&lt;PolicyEff),1,Milestones!$AC$174)&amp;";  ","")&amp;IF(AND(EDATE($D117,Milestones!$AA$175)&lt;=AsOfDate,EDATE($D117,Milestones!$AA$175)&gt;=SchemeStart,IF($X117=0,$AD117,IF(AND($Z117&lt;&gt;"",EDATE($D117,Milestones!$AA$175)&gt;=$Z117),$AC117,IF(AND($Y117&lt;&gt;"",EDATE($D117,Milestones!$AA$175)&gt;=$Y117),$AB117,$AA117)))=Milestones!$AB$175),UPPER(TEXT(EDATE($D117,Milestones!$AA$175),"dd mmm yy"))&amp;" "&amp;Milestones!$AB$175&amp;" "&amp;IF(AND(Milestones!$AB$175="FT",Milestones!$AA$175=FT_Y5,EDATE($D117,Milestones!$AA$175)&lt;PolicyEff),1,Milestones!$AC$175)&amp;";  ",""))</f>
        <v/>
      </c>
      <c r="V117" s="0" t="str">
        <f aca="false">IF(OR($A117="",$D117=""),"",IF(AND(EDATE($D117,Milestones!$AA$176)&lt;=AsOfDate,EDATE($D117,Milestones!$AA$176)&gt;=SchemeStart,IF($X117=0,$AD117,IF(AND($Z117&lt;&gt;"",EDATE($D117,Milestones!$AA$176)&gt;=$Z117),$AC117,IF(AND($Y117&lt;&gt;"",EDATE($D117,Milestones!$AA$176)&gt;=$Y117),$AB117,$AA117)))=Milestones!$AB$176),UPPER(TEXT(EDATE($D117,Milestones!$AA$176),"dd mmm yy"))&amp;" "&amp;Milestones!$AB$176&amp;" "&amp;IF(AND(Milestones!$AB$176="FT",Milestones!$AA$176=FT_Y5,EDATE($D117,Milestones!$AA$176)&lt;PolicyEff),1,Milestones!$AC$176)&amp;";  ","")&amp;IF(AND(EDATE($D117,Milestones!$AA$177)&lt;=AsOfDate,EDATE($D117,Milestones!$AA$177)&gt;=SchemeStart,IF($X117=0,$AD117,IF(AND($Z117&lt;&gt;"",EDATE($D117,Milestones!$AA$177)&gt;=$Z117),$AC117,IF(AND($Y117&lt;&gt;"",EDATE($D117,Milestones!$AA$177)&gt;=$Y117),$AB117,$AA117)))=Milestones!$AB$177),UPPER(TEXT(EDATE($D117,Milestones!$AA$177),"dd mmm yy"))&amp;" "&amp;Milestones!$AB$177&amp;" "&amp;IF(AND(Milestones!$AB$177="FT",Milestones!$AA$177=FT_Y5,EDATE($D117,Milestones!$AA$177)&lt;PolicyEff),1,Milestones!$AC$177)&amp;";  ","")&amp;IF(AND(EDATE($D117,Milestones!$AA$178)&lt;=AsOfDate,EDATE($D117,Milestones!$AA$178)&gt;=SchemeStart,IF($X117=0,$AD117,IF(AND($Z117&lt;&gt;"",EDATE($D117,Milestones!$AA$178)&gt;=$Z117),$AC117,IF(AND($Y117&lt;&gt;"",EDATE($D117,Milestones!$AA$178)&gt;=$Y117),$AB117,$AA117)))=Milestones!$AB$178),UPPER(TEXT(EDATE($D117,Milestones!$AA$178),"dd mmm yy"))&amp;" "&amp;Milestones!$AB$178&amp;" "&amp;IF(AND(Milestones!$AB$178="FT",Milestones!$AA$178=FT_Y5,EDATE($D117,Milestones!$AA$178)&lt;PolicyEff),1,Milestones!$AC$178)&amp;";  ","")&amp;IF(AND(EDATE($D117,Milestones!$AA$179)&lt;=AsOfDate,EDATE($D117,Milestones!$AA$179)&gt;=SchemeStart,IF($X117=0,$AD117,IF(AND($Z117&lt;&gt;"",EDATE($D117,Milestones!$AA$179)&gt;=$Z117),$AC117,IF(AND($Y117&lt;&gt;"",EDATE($D117,Milestones!$AA$179)&gt;=$Y117),$AB117,$AA117)))=Milestones!$AB$179),UPPER(TEXT(EDATE($D117,Milestones!$AA$179),"dd mmm yy"))&amp;" "&amp;Milestones!$AB$179&amp;" "&amp;IF(AND(Milestones!$AB$179="FT",Milestones!$AA$179=FT_Y5,EDATE($D117,Milestones!$AA$179)&lt;PolicyEff),1,Milestones!$AC$179)&amp;";  ","")&amp;IF(AND(EDATE($D117,Milestones!$AA$180)&lt;=AsOfDate,EDATE($D117,Milestones!$AA$180)&gt;=SchemeStart,IF($X117=0,$AD117,IF(AND($Z117&lt;&gt;"",EDATE($D117,Milestones!$AA$180)&gt;=$Z117),$AC117,IF(AND($Y117&lt;&gt;"",EDATE($D117,Milestones!$AA$180)&gt;=$Y117),$AB117,$AA117)))=Milestones!$AB$180),UPPER(TEXT(EDATE($D117,Milestones!$AA$180),"dd mmm yy"))&amp;" "&amp;Milestones!$AB$180&amp;" "&amp;IF(AND(Milestones!$AB$180="FT",Milestones!$AA$180=FT_Y5,EDATE($D117,Milestones!$AA$180)&lt;PolicyEff),1,Milestones!$AC$180)&amp;";  ","")&amp;IF(AND(EDATE($D117,Milestones!$AA$181)&lt;=AsOfDate,EDATE($D117,Milestones!$AA$181)&gt;=SchemeStart,IF($X117=0,$AD117,IF(AND($Z117&lt;&gt;"",EDATE($D117,Milestones!$AA$181)&gt;=$Z117),$AC117,IF(AND($Y117&lt;&gt;"",EDATE($D117,Milestones!$AA$181)&gt;=$Y117),$AB117,$AA117)))=Milestones!$AB$181),UPPER(TEXT(EDATE($D117,Milestones!$AA$181),"dd mmm yy"))&amp;" "&amp;Milestones!$AB$181&amp;" "&amp;IF(AND(Milestones!$AB$181="FT",Milestones!$AA$181=FT_Y5,EDATE($D117,Milestones!$AA$181)&lt;PolicyEff),1,Milestones!$AC$181)&amp;";  ","")&amp;IF(AND(EDATE($D117,Milestones!$AA$182)&lt;=AsOfDate,EDATE($D117,Milestones!$AA$182)&gt;=SchemeStart,IF($X117=0,$AD117,IF(AND($Z117&lt;&gt;"",EDATE($D117,Milestones!$AA$182)&gt;=$Z117),$AC117,IF(AND($Y117&lt;&gt;"",EDATE($D117,Milestones!$AA$182)&gt;=$Y117),$AB117,$AA117)))=Milestones!$AB$182),UPPER(TEXT(EDATE($D117,Milestones!$AA$182),"dd mmm yy"))&amp;" "&amp;Milestones!$AB$182&amp;" "&amp;IF(AND(Milestones!$AB$182="FT",Milestones!$AA$182=FT_Y5,EDATE($D117,Milestones!$AA$182)&lt;PolicyEff),1,Milestones!$AC$182)&amp;";  ","")&amp;IF(AND(EDATE($D117,Milestones!$AA$183)&lt;=AsOfDate,EDATE($D117,Milestones!$AA$183)&gt;=SchemeStart,IF($X117=0,$AD117,IF(AND($Z117&lt;&gt;"",EDATE($D117,Milestones!$AA$183)&gt;=$Z117),$AC117,IF(AND($Y117&lt;&gt;"",EDATE($D117,Milestones!$AA$183)&gt;=$Y117),$AB117,$AA117)))=Milestones!$AB$183),UPPER(TEXT(EDATE($D117,Milestones!$AA$183),"dd mmm yy"))&amp;" "&amp;Milestones!$AB$183&amp;" "&amp;IF(AND(Milestones!$AB$183="FT",Milestones!$AA$183=FT_Y5,EDATE($D117,Milestones!$AA$183)&lt;PolicyEff),1,Milestones!$AC$183)&amp;";  ","")&amp;IF(AND(EDATE($D117,Milestones!$AA$184)&lt;=AsOfDate,EDATE($D117,Milestones!$AA$184)&gt;=SchemeStart,IF($X117=0,$AD117,IF(AND($Z117&lt;&gt;"",EDATE($D117,Milestones!$AA$184)&gt;=$Z117),$AC117,IF(AND($Y117&lt;&gt;"",EDATE($D117,Milestones!$AA$184)&gt;=$Y117),$AB117,$AA117)))=Milestones!$AB$184),UPPER(TEXT(EDATE($D117,Milestones!$AA$184),"dd mmm yy"))&amp;" "&amp;Milestones!$AB$184&amp;" "&amp;IF(AND(Milestones!$AB$184="FT",Milestones!$AA$184=FT_Y5,EDATE($D117,Milestones!$AA$184)&lt;PolicyEff),1,Milestones!$AC$184)&amp;";  ","")&amp;IF(AND(EDATE($D117,Milestones!$AA$185)&lt;=AsOfDate,EDATE($D117,Milestones!$AA$185)&gt;=SchemeStart,IF($X117=0,$AD117,IF(AND($Z117&lt;&gt;"",EDATE($D117,Milestones!$AA$185)&gt;=$Z117),$AC117,IF(AND($Y117&lt;&gt;"",EDATE($D117,Milestones!$AA$185)&gt;=$Y117),$AB117,$AA117)))=Milestones!$AB$185),UPPER(TEXT(EDATE($D117,Milestones!$AA$185),"dd mmm yy"))&amp;" "&amp;Milestones!$AB$185&amp;" "&amp;IF(AND(Milestones!$AB$185="FT",Milestones!$AA$185=FT_Y5,EDATE($D117,Milestones!$AA$185)&lt;PolicyEff),1,Milestones!$AC$185)&amp;";  ","")&amp;IF(AND(EDATE($D117,Milestones!$AA$186)&lt;=AsOfDate,EDATE($D117,Milestones!$AA$186)&gt;=SchemeStart,IF($X117=0,$AD117,IF(AND($Z117&lt;&gt;"",EDATE($D117,Milestones!$AA$186)&gt;=$Z117),$AC117,IF(AND($Y117&lt;&gt;"",EDATE($D117,Milestones!$AA$186)&gt;=$Y117),$AB117,$AA117)))=Milestones!$AB$186),UPPER(TEXT(EDATE($D117,Milestones!$AA$186),"dd mmm yy"))&amp;" "&amp;Milestones!$AB$186&amp;" "&amp;IF(AND(Milestones!$AB$186="FT",Milestones!$AA$186=FT_Y5,EDATE($D117,Milestones!$AA$186)&lt;PolicyEff),1,Milestones!$AC$186)&amp;";  ","")&amp;IF(AND(EDATE($D117,Milestones!$AA$187)&lt;=AsOfDate,EDATE($D117,Milestones!$AA$187)&gt;=SchemeStart,IF($X117=0,$AD117,IF(AND($Z117&lt;&gt;"",EDATE($D117,Milestones!$AA$187)&gt;=$Z117),$AC117,IF(AND($Y117&lt;&gt;"",EDATE($D117,Milestones!$AA$187)&gt;=$Y117),$AB117,$AA117)))=Milestones!$AB$187),UPPER(TEXT(EDATE($D117,Milestones!$AA$187),"dd mmm yy"))&amp;" "&amp;Milestones!$AB$187&amp;" "&amp;IF(AND(Milestones!$AB$187="FT",Milestones!$AA$187=FT_Y5,EDATE($D117,Milestones!$AA$187)&lt;PolicyEff),1,Milestones!$AC$187)&amp;";  ",""))</f>
        <v/>
      </c>
      <c r="W117" s="0" t="str">
        <f aca="false">IF(OR($A117="",$D117=""),"",IF(AND(EDATE($D117,Milestones!$AA$188)&lt;=AsOfDate,EDATE($D117,Milestones!$AA$188)&gt;=SchemeStart,IF($X117=0,$AD117,IF(AND($Z117&lt;&gt;"",EDATE($D117,Milestones!$AA$188)&gt;=$Z117),$AC117,IF(AND($Y117&lt;&gt;"",EDATE($D117,Milestones!$AA$188)&gt;=$Y117),$AB117,$AA117)))=Milestones!$AB$188),UPPER(TEXT(EDATE($D117,Milestones!$AA$188),"dd mmm yy"))&amp;" "&amp;Milestones!$AB$188&amp;" "&amp;IF(AND(Milestones!$AB$188="FT",Milestones!$AA$188=FT_Y5,EDATE($D117,Milestones!$AA$188)&lt;PolicyEff),1,Milestones!$AC$188)&amp;";  ","")&amp;IF(AND(EDATE($D117,Milestones!$AA$189)&lt;=AsOfDate,EDATE($D117,Milestones!$AA$189)&gt;=SchemeStart,IF($X117=0,$AD117,IF(AND($Z117&lt;&gt;"",EDATE($D117,Milestones!$AA$189)&gt;=$Z117),$AC117,IF(AND($Y117&lt;&gt;"",EDATE($D117,Milestones!$AA$189)&gt;=$Y117),$AB117,$AA117)))=Milestones!$AB$189),UPPER(TEXT(EDATE($D117,Milestones!$AA$189),"dd mmm yy"))&amp;" "&amp;Milestones!$AB$189&amp;" "&amp;IF(AND(Milestones!$AB$189="FT",Milestones!$AA$189=FT_Y5,EDATE($D117,Milestones!$AA$189)&lt;PolicyEff),1,Milestones!$AC$189)&amp;";  ","")&amp;IF(AND(EDATE($D117,Milestones!$AA$190)&lt;=AsOfDate,EDATE($D117,Milestones!$AA$190)&gt;=SchemeStart,IF($X117=0,$AD117,IF(AND($Z117&lt;&gt;"",EDATE($D117,Milestones!$AA$190)&gt;=$Z117),$AC117,IF(AND($Y117&lt;&gt;"",EDATE($D117,Milestones!$AA$190)&gt;=$Y117),$AB117,$AA117)))=Milestones!$AB$190),UPPER(TEXT(EDATE($D117,Milestones!$AA$190),"dd mmm yy"))&amp;" "&amp;Milestones!$AB$190&amp;" "&amp;IF(AND(Milestones!$AB$190="FT",Milestones!$AA$190=FT_Y5,EDATE($D117,Milestones!$AA$190)&lt;PolicyEff),1,Milestones!$AC$190)&amp;";  ","")&amp;IF(AND(EDATE($D117,Milestones!$AA$191)&lt;=AsOfDate,EDATE($D117,Milestones!$AA$191)&gt;=SchemeStart,IF($X117=0,$AD117,IF(AND($Z117&lt;&gt;"",EDATE($D117,Milestones!$AA$191)&gt;=$Z117),$AC117,IF(AND($Y117&lt;&gt;"",EDATE($D117,Milestones!$AA$191)&gt;=$Y117),$AB117,$AA117)))=Milestones!$AB$191),UPPER(TEXT(EDATE($D117,Milestones!$AA$191),"dd mmm yy"))&amp;" "&amp;Milestones!$AB$191&amp;" "&amp;IF(AND(Milestones!$AB$191="FT",Milestones!$AA$191=FT_Y5,EDATE($D117,Milestones!$AA$191)&lt;PolicyEff),1,Milestones!$AC$191)&amp;";  ","")&amp;IF(AND(EDATE($D117,Milestones!$AA$192)&lt;=AsOfDate,EDATE($D117,Milestones!$AA$192)&gt;=SchemeStart,IF($X117=0,$AD117,IF(AND($Z117&lt;&gt;"",EDATE($D117,Milestones!$AA$192)&gt;=$Z117),$AC117,IF(AND($Y117&lt;&gt;"",EDATE($D117,Milestones!$AA$192)&gt;=$Y117),$AB117,$AA117)))=Milestones!$AB$192),UPPER(TEXT(EDATE($D117,Milestones!$AA$192),"dd mmm yy"))&amp;" "&amp;Milestones!$AB$192&amp;" "&amp;IF(AND(Milestones!$AB$192="FT",Milestones!$AA$192=FT_Y5,EDATE($D117,Milestones!$AA$192)&lt;PolicyEff),1,Milestones!$AC$192)&amp;";  ","")&amp;IF(AND(EDATE($D117,Milestones!$AA$193)&lt;=AsOfDate,EDATE($D117,Milestones!$AA$193)&gt;=SchemeStart,IF($X117=0,$AD117,IF(AND($Z117&lt;&gt;"",EDATE($D117,Milestones!$AA$193)&gt;=$Z117),$AC117,IF(AND($Y117&lt;&gt;"",EDATE($D117,Milestones!$AA$193)&gt;=$Y117),$AB117,$AA117)))=Milestones!$AB$193),UPPER(TEXT(EDATE($D117,Milestones!$AA$193),"dd mmm yy"))&amp;" "&amp;Milestones!$AB$193&amp;" "&amp;IF(AND(Milestones!$AB$193="FT",Milestones!$AA$193=FT_Y5,EDATE($D117,Milestones!$AA$193)&lt;PolicyEff),1,Milestones!$AC$193)&amp;";  ","")&amp;IF(AND(EDATE($D117,Milestones!$AA$194)&lt;=AsOfDate,EDATE($D117,Milestones!$AA$194)&gt;=SchemeStart,IF($X117=0,$AD117,IF(AND($Z117&lt;&gt;"",EDATE($D117,Milestones!$AA$194)&gt;=$Z117),$AC117,IF(AND($Y117&lt;&gt;"",EDATE($D117,Milestones!$AA$194)&gt;=$Y117),$AB117,$AA117)))=Milestones!$AB$194),UPPER(TEXT(EDATE($D117,Milestones!$AA$194),"dd mmm yy"))&amp;" "&amp;Milestones!$AB$194&amp;" "&amp;IF(AND(Milestones!$AB$194="FT",Milestones!$AA$194=FT_Y5,EDATE($D117,Milestones!$AA$194)&lt;PolicyEff),1,Milestones!$AC$194)&amp;";  ","")&amp;IF(AND(EDATE($D117,Milestones!$AA$195)&lt;=AsOfDate,EDATE($D117,Milestones!$AA$195)&gt;=SchemeStart,IF($X117=0,$AD117,IF(AND($Z117&lt;&gt;"",EDATE($D117,Milestones!$AA$195)&gt;=$Z117),$AC117,IF(AND($Y117&lt;&gt;"",EDATE($D117,Milestones!$AA$195)&gt;=$Y117),$AB117,$AA117)))=Milestones!$AB$195),UPPER(TEXT(EDATE($D117,Milestones!$AA$195),"dd mmm yy"))&amp;" "&amp;Milestones!$AB$195&amp;" "&amp;IF(AND(Milestones!$AB$195="FT",Milestones!$AA$195=FT_Y5,EDATE($D117,Milestones!$AA$195)&lt;PolicyEff),1,Milestones!$AC$195)&amp;";  ","")&amp;IF(AND(EDATE($D117,Milestones!$AA$196)&lt;=AsOfDate,EDATE($D117,Milestones!$AA$196)&gt;=SchemeStart,IF($X117=0,$AD117,IF(AND($Z117&lt;&gt;"",EDATE($D117,Milestones!$AA$196)&gt;=$Z117),$AC117,IF(AND($Y117&lt;&gt;"",EDATE($D117,Milestones!$AA$196)&gt;=$Y117),$AB117,$AA117)))=Milestones!$AB$196),UPPER(TEXT(EDATE($D117,Milestones!$AA$196),"dd mmm yy"))&amp;" "&amp;Milestones!$AB$196&amp;" "&amp;IF(AND(Milestones!$AB$196="FT",Milestones!$AA$196=FT_Y5,EDATE($D117,Milestones!$AA$196)&lt;PolicyEff),1,Milestones!$AC$196)&amp;";  ","")&amp;IF(AND(EDATE($D117,Milestones!$AA$197)&lt;=AsOfDate,EDATE($D117,Milestones!$AA$197)&gt;=SchemeStart,IF($X117=0,$AD117,IF(AND($Z117&lt;&gt;"",EDATE($D117,Milestones!$AA$197)&gt;=$Z117),$AC117,IF(AND($Y117&lt;&gt;"",EDATE($D117,Milestones!$AA$197)&gt;=$Y117),$AB117,$AA117)))=Milestones!$AB$197),UPPER(TEXT(EDATE($D117,Milestones!$AA$197),"dd mmm yy"))&amp;" "&amp;Milestones!$AB$197&amp;" "&amp;IF(AND(Milestones!$AB$197="FT",Milestones!$AA$197=FT_Y5,EDATE($D117,Milestones!$AA$197)&lt;PolicyEff),1,Milestones!$AC$197)&amp;";  ","")&amp;IF(AND(EDATE($D117,Milestones!$AA$198)&lt;=AsOfDate,EDATE($D117,Milestones!$AA$198)&gt;=SchemeStart,IF($X117=0,$AD117,IF(AND($Z117&lt;&gt;"",EDATE($D117,Milestones!$AA$198)&gt;=$Z117),$AC117,IF(AND($Y117&lt;&gt;"",EDATE($D117,Milestones!$AA$198)&gt;=$Y117),$AB117,$AA117)))=Milestones!$AB$198),UPPER(TEXT(EDATE($D117,Milestones!$AA$198),"dd mmm yy"))&amp;" "&amp;Milestones!$AB$198&amp;" "&amp;IF(AND(Milestones!$AB$198="FT",Milestones!$AA$198=FT_Y5,EDATE($D117,Milestones!$AA$198)&lt;PolicyEff),1,Milestones!$AC$198)&amp;";  ","")&amp;IF(AND(EDATE($D117,Milestones!$AA$199)&lt;=AsOfDate,EDATE($D117,Milestones!$AA$199)&gt;=SchemeStart,IF($X117=0,$AD117,IF(AND($Z117&lt;&gt;"",EDATE($D117,Milestones!$AA$199)&gt;=$Z117),$AC117,IF(AND($Y117&lt;&gt;"",EDATE($D117,Milestones!$AA$199)&gt;=$Y117),$AB117,$AA117)))=Milestones!$AB$199),UPPER(TEXT(EDATE($D117,Milestones!$AA$199),"dd mmm yy"))&amp;" "&amp;Milestones!$AB$199&amp;" "&amp;IF(AND(Milestones!$AB$199="FT",Milestones!$AA$199=FT_Y5,EDATE($D117,Milestones!$AA$199)&lt;PolicyEff),1,Milestones!$AC$199)&amp;";  ",""))</f>
        <v/>
      </c>
      <c r="X117" s="0" t="str">
        <f aca="false">IF(Staff!$A117="","",Staff!$AM117)</f>
        <v/>
      </c>
      <c r="Y117" s="0" t="str">
        <f aca="false">IF(Staff!$A117="","",Staff!$AO117)</f>
        <v/>
      </c>
      <c r="Z117" s="0" t="str">
        <f aca="false">IF(Staff!$A117="","",Staff!$AP117)</f>
        <v/>
      </c>
      <c r="AA117" s="0" t="str">
        <f aca="false">IF(Staff!$A117="","",Staff!$AT117)</f>
        <v/>
      </c>
      <c r="AB117" s="0" t="str">
        <f aca="false">IF(Staff!$A117="","",Staff!$AU117)</f>
        <v/>
      </c>
      <c r="AC117" s="0" t="str">
        <f aca="false">IF(Staff!$A117="","",Staff!$AV117)</f>
        <v/>
      </c>
      <c r="AD117" s="0" t="str">
        <f aca="false">IF(Staff!$A117="","",Staff!$AW117)</f>
        <v/>
      </c>
    </row>
    <row r="118" customFormat="false" ht="15" hidden="false" customHeight="false" outlineLevel="0" collapsed="false">
      <c r="A118" s="16" t="str">
        <f aca="false">IF(Staff!$A118="","",Staff!$A118)</f>
        <v/>
      </c>
      <c r="B118" s="16" t="str">
        <f aca="false">IF(Staff!$A118="","",Staff!$B118)</f>
        <v/>
      </c>
      <c r="C118" s="16" t="str">
        <f aca="false">IF(Staff!$A118="","",Staff!$C118)</f>
        <v/>
      </c>
      <c r="D118" s="14" t="str">
        <f aca="false">IF(Staff!$A118="","",Staff!$AL118)</f>
        <v/>
      </c>
      <c r="E118" s="16" t="str">
        <f aca="false">IF(Staff!$A118="","",Staff!$O118)</f>
        <v/>
      </c>
      <c r="F118" s="16" t="str">
        <f aca="false">IF(E118="","",E118*HoursPerDay)</f>
        <v/>
      </c>
      <c r="G118" s="16" t="str">
        <f aca="false">IF(Staff!$A118="","",Staff!$AE118)</f>
        <v/>
      </c>
      <c r="H118" s="28" t="str">
        <f aca="false">IF($A118="","",I118&amp;J118&amp;K118&amp;L118&amp;M118&amp;N118&amp;O118&amp;P118&amp;Q118&amp;R118&amp;S118&amp;T118&amp;U118&amp;V118&amp;W118)</f>
        <v/>
      </c>
      <c r="I118" s="0" t="str">
        <f aca="false">IF(OR($A118="",$D118=""),"",IF(AND(EDATE($D118,Milestones!$AA$20)&lt;=AsOfDate,EDATE($D118,Milestones!$AA$20)&gt;=SchemeStart,IF($X118=0,$AD118,IF(AND($Z118&lt;&gt;"",EDATE($D118,Milestones!$AA$20)&gt;=$Z118),$AC118,IF(AND($Y118&lt;&gt;"",EDATE($D118,Milestones!$AA$20)&gt;=$Y118),$AB118,$AA118)))=Milestones!$AB$20),UPPER(TEXT(EDATE($D118,Milestones!$AA$20),"dd mmm yy"))&amp;" "&amp;Milestones!$AB$20&amp;" "&amp;IF(AND(Milestones!$AB$20="FT",Milestones!$AA$20=FT_Y5,EDATE($D118,Milestones!$AA$20)&lt;PolicyEff),1,Milestones!$AC$20)&amp;";  ","")&amp;IF(AND(EDATE($D118,Milestones!$AA$21)&lt;=AsOfDate,EDATE($D118,Milestones!$AA$21)&gt;=SchemeStart,IF($X118=0,$AD118,IF(AND($Z118&lt;&gt;"",EDATE($D118,Milestones!$AA$21)&gt;=$Z118),$AC118,IF(AND($Y118&lt;&gt;"",EDATE($D118,Milestones!$AA$21)&gt;=$Y118),$AB118,$AA118)))=Milestones!$AB$21),UPPER(TEXT(EDATE($D118,Milestones!$AA$21),"dd mmm yy"))&amp;" "&amp;Milestones!$AB$21&amp;" "&amp;IF(AND(Milestones!$AB$21="FT",Milestones!$AA$21=FT_Y5,EDATE($D118,Milestones!$AA$21)&lt;PolicyEff),1,Milestones!$AC$21)&amp;";  ","")&amp;IF(AND(EDATE($D118,Milestones!$AA$22)&lt;=AsOfDate,EDATE($D118,Milestones!$AA$22)&gt;=SchemeStart,IF($X118=0,$AD118,IF(AND($Z118&lt;&gt;"",EDATE($D118,Milestones!$AA$22)&gt;=$Z118),$AC118,IF(AND($Y118&lt;&gt;"",EDATE($D118,Milestones!$AA$22)&gt;=$Y118),$AB118,$AA118)))=Milestones!$AB$22),UPPER(TEXT(EDATE($D118,Milestones!$AA$22),"dd mmm yy"))&amp;" "&amp;Milestones!$AB$22&amp;" "&amp;IF(AND(Milestones!$AB$22="FT",Milestones!$AA$22=FT_Y5,EDATE($D118,Milestones!$AA$22)&lt;PolicyEff),1,Milestones!$AC$22)&amp;";  ","")&amp;IF(AND(EDATE($D118,Milestones!$AA$23)&lt;=AsOfDate,EDATE($D118,Milestones!$AA$23)&gt;=SchemeStart,IF($X118=0,$AD118,IF(AND($Z118&lt;&gt;"",EDATE($D118,Milestones!$AA$23)&gt;=$Z118),$AC118,IF(AND($Y118&lt;&gt;"",EDATE($D118,Milestones!$AA$23)&gt;=$Y118),$AB118,$AA118)))=Milestones!$AB$23),UPPER(TEXT(EDATE($D118,Milestones!$AA$23),"dd mmm yy"))&amp;" "&amp;Milestones!$AB$23&amp;" "&amp;IF(AND(Milestones!$AB$23="FT",Milestones!$AA$23=FT_Y5,EDATE($D118,Milestones!$AA$23)&lt;PolicyEff),1,Milestones!$AC$23)&amp;";  ","")&amp;IF(AND(EDATE($D118,Milestones!$AA$24)&lt;=AsOfDate,EDATE($D118,Milestones!$AA$24)&gt;=SchemeStart,IF($X118=0,$AD118,IF(AND($Z118&lt;&gt;"",EDATE($D118,Milestones!$AA$24)&gt;=$Z118),$AC118,IF(AND($Y118&lt;&gt;"",EDATE($D118,Milestones!$AA$24)&gt;=$Y118),$AB118,$AA118)))=Milestones!$AB$24),UPPER(TEXT(EDATE($D118,Milestones!$AA$24),"dd mmm yy"))&amp;" "&amp;Milestones!$AB$24&amp;" "&amp;IF(AND(Milestones!$AB$24="FT",Milestones!$AA$24=FT_Y5,EDATE($D118,Milestones!$AA$24)&lt;PolicyEff),1,Milestones!$AC$24)&amp;";  ","")&amp;IF(AND(EDATE($D118,Milestones!$AA$25)&lt;=AsOfDate,EDATE($D118,Milestones!$AA$25)&gt;=SchemeStart,IF($X118=0,$AD118,IF(AND($Z118&lt;&gt;"",EDATE($D118,Milestones!$AA$25)&gt;=$Z118),$AC118,IF(AND($Y118&lt;&gt;"",EDATE($D118,Milestones!$AA$25)&gt;=$Y118),$AB118,$AA118)))=Milestones!$AB$25),UPPER(TEXT(EDATE($D118,Milestones!$AA$25),"dd mmm yy"))&amp;" "&amp;Milestones!$AB$25&amp;" "&amp;IF(AND(Milestones!$AB$25="FT",Milestones!$AA$25=FT_Y5,EDATE($D118,Milestones!$AA$25)&lt;PolicyEff),1,Milestones!$AC$25)&amp;";  ","")&amp;IF(AND(EDATE($D118,Milestones!$AA$26)&lt;=AsOfDate,EDATE($D118,Milestones!$AA$26)&gt;=SchemeStart,IF($X118=0,$AD118,IF(AND($Z118&lt;&gt;"",EDATE($D118,Milestones!$AA$26)&gt;=$Z118),$AC118,IF(AND($Y118&lt;&gt;"",EDATE($D118,Milestones!$AA$26)&gt;=$Y118),$AB118,$AA118)))=Milestones!$AB$26),UPPER(TEXT(EDATE($D118,Milestones!$AA$26),"dd mmm yy"))&amp;" "&amp;Milestones!$AB$26&amp;" "&amp;IF(AND(Milestones!$AB$26="FT",Milestones!$AA$26=FT_Y5,EDATE($D118,Milestones!$AA$26)&lt;PolicyEff),1,Milestones!$AC$26)&amp;";  ","")&amp;IF(AND(EDATE($D118,Milestones!$AA$27)&lt;=AsOfDate,EDATE($D118,Milestones!$AA$27)&gt;=SchemeStart,IF($X118=0,$AD118,IF(AND($Z118&lt;&gt;"",EDATE($D118,Milestones!$AA$27)&gt;=$Z118),$AC118,IF(AND($Y118&lt;&gt;"",EDATE($D118,Milestones!$AA$27)&gt;=$Y118),$AB118,$AA118)))=Milestones!$AB$27),UPPER(TEXT(EDATE($D118,Milestones!$AA$27),"dd mmm yy"))&amp;" "&amp;Milestones!$AB$27&amp;" "&amp;IF(AND(Milestones!$AB$27="FT",Milestones!$AA$27=FT_Y5,EDATE($D118,Milestones!$AA$27)&lt;PolicyEff),1,Milestones!$AC$27)&amp;";  ","")&amp;IF(AND(EDATE($D118,Milestones!$AA$28)&lt;=AsOfDate,EDATE($D118,Milestones!$AA$28)&gt;=SchemeStart,IF($X118=0,$AD118,IF(AND($Z118&lt;&gt;"",EDATE($D118,Milestones!$AA$28)&gt;=$Z118),$AC118,IF(AND($Y118&lt;&gt;"",EDATE($D118,Milestones!$AA$28)&gt;=$Y118),$AB118,$AA118)))=Milestones!$AB$28),UPPER(TEXT(EDATE($D118,Milestones!$AA$28),"dd mmm yy"))&amp;" "&amp;Milestones!$AB$28&amp;" "&amp;IF(AND(Milestones!$AB$28="FT",Milestones!$AA$28=FT_Y5,EDATE($D118,Milestones!$AA$28)&lt;PolicyEff),1,Milestones!$AC$28)&amp;";  ","")&amp;IF(AND(EDATE($D118,Milestones!$AA$29)&lt;=AsOfDate,EDATE($D118,Milestones!$AA$29)&gt;=SchemeStart,IF($X118=0,$AD118,IF(AND($Z118&lt;&gt;"",EDATE($D118,Milestones!$AA$29)&gt;=$Z118),$AC118,IF(AND($Y118&lt;&gt;"",EDATE($D118,Milestones!$AA$29)&gt;=$Y118),$AB118,$AA118)))=Milestones!$AB$29),UPPER(TEXT(EDATE($D118,Milestones!$AA$29),"dd mmm yy"))&amp;" "&amp;Milestones!$AB$29&amp;" "&amp;IF(AND(Milestones!$AB$29="FT",Milestones!$AA$29=FT_Y5,EDATE($D118,Milestones!$AA$29)&lt;PolicyEff),1,Milestones!$AC$29)&amp;";  ","")&amp;IF(AND(EDATE($D118,Milestones!$AA$30)&lt;=AsOfDate,EDATE($D118,Milestones!$AA$30)&gt;=SchemeStart,IF($X118=0,$AD118,IF(AND($Z118&lt;&gt;"",EDATE($D118,Milestones!$AA$30)&gt;=$Z118),$AC118,IF(AND($Y118&lt;&gt;"",EDATE($D118,Milestones!$AA$30)&gt;=$Y118),$AB118,$AA118)))=Milestones!$AB$30),UPPER(TEXT(EDATE($D118,Milestones!$AA$30),"dd mmm yy"))&amp;" "&amp;Milestones!$AB$30&amp;" "&amp;IF(AND(Milestones!$AB$30="FT",Milestones!$AA$30=FT_Y5,EDATE($D118,Milestones!$AA$30)&lt;PolicyEff),1,Milestones!$AC$30)&amp;";  ","")&amp;IF(AND(EDATE($D118,Milestones!$AA$31)&lt;=AsOfDate,EDATE($D118,Milestones!$AA$31)&gt;=SchemeStart,IF($X118=0,$AD118,IF(AND($Z118&lt;&gt;"",EDATE($D118,Milestones!$AA$31)&gt;=$Z118),$AC118,IF(AND($Y118&lt;&gt;"",EDATE($D118,Milestones!$AA$31)&gt;=$Y118),$AB118,$AA118)))=Milestones!$AB$31),UPPER(TEXT(EDATE($D118,Milestones!$AA$31),"dd mmm yy"))&amp;" "&amp;Milestones!$AB$31&amp;" "&amp;IF(AND(Milestones!$AB$31="FT",Milestones!$AA$31=FT_Y5,EDATE($D118,Milestones!$AA$31)&lt;PolicyEff),1,Milestones!$AC$31)&amp;";  ",""))</f>
        <v/>
      </c>
      <c r="J118" s="0" t="str">
        <f aca="false">IF(OR($A118="",$D118=""),"",IF(AND(EDATE($D118,Milestones!$AA$32)&lt;=AsOfDate,EDATE($D118,Milestones!$AA$32)&gt;=SchemeStart,IF($X118=0,$AD118,IF(AND($Z118&lt;&gt;"",EDATE($D118,Milestones!$AA$32)&gt;=$Z118),$AC118,IF(AND($Y118&lt;&gt;"",EDATE($D118,Milestones!$AA$32)&gt;=$Y118),$AB118,$AA118)))=Milestones!$AB$32),UPPER(TEXT(EDATE($D118,Milestones!$AA$32),"dd mmm yy"))&amp;" "&amp;Milestones!$AB$32&amp;" "&amp;IF(AND(Milestones!$AB$32="FT",Milestones!$AA$32=FT_Y5,EDATE($D118,Milestones!$AA$32)&lt;PolicyEff),1,Milestones!$AC$32)&amp;";  ","")&amp;IF(AND(EDATE($D118,Milestones!$AA$33)&lt;=AsOfDate,EDATE($D118,Milestones!$AA$33)&gt;=SchemeStart,IF($X118=0,$AD118,IF(AND($Z118&lt;&gt;"",EDATE($D118,Milestones!$AA$33)&gt;=$Z118),$AC118,IF(AND($Y118&lt;&gt;"",EDATE($D118,Milestones!$AA$33)&gt;=$Y118),$AB118,$AA118)))=Milestones!$AB$33),UPPER(TEXT(EDATE($D118,Milestones!$AA$33),"dd mmm yy"))&amp;" "&amp;Milestones!$AB$33&amp;" "&amp;IF(AND(Milestones!$AB$33="FT",Milestones!$AA$33=FT_Y5,EDATE($D118,Milestones!$AA$33)&lt;PolicyEff),1,Milestones!$AC$33)&amp;";  ","")&amp;IF(AND(EDATE($D118,Milestones!$AA$34)&lt;=AsOfDate,EDATE($D118,Milestones!$AA$34)&gt;=SchemeStart,IF($X118=0,$AD118,IF(AND($Z118&lt;&gt;"",EDATE($D118,Milestones!$AA$34)&gt;=$Z118),$AC118,IF(AND($Y118&lt;&gt;"",EDATE($D118,Milestones!$AA$34)&gt;=$Y118),$AB118,$AA118)))=Milestones!$AB$34),UPPER(TEXT(EDATE($D118,Milestones!$AA$34),"dd mmm yy"))&amp;" "&amp;Milestones!$AB$34&amp;" "&amp;IF(AND(Milestones!$AB$34="FT",Milestones!$AA$34=FT_Y5,EDATE($D118,Milestones!$AA$34)&lt;PolicyEff),1,Milestones!$AC$34)&amp;";  ","")&amp;IF(AND(EDATE($D118,Milestones!$AA$35)&lt;=AsOfDate,EDATE($D118,Milestones!$AA$35)&gt;=SchemeStart,IF($X118=0,$AD118,IF(AND($Z118&lt;&gt;"",EDATE($D118,Milestones!$AA$35)&gt;=$Z118),$AC118,IF(AND($Y118&lt;&gt;"",EDATE($D118,Milestones!$AA$35)&gt;=$Y118),$AB118,$AA118)))=Milestones!$AB$35),UPPER(TEXT(EDATE($D118,Milestones!$AA$35),"dd mmm yy"))&amp;" "&amp;Milestones!$AB$35&amp;" "&amp;IF(AND(Milestones!$AB$35="FT",Milestones!$AA$35=FT_Y5,EDATE($D118,Milestones!$AA$35)&lt;PolicyEff),1,Milestones!$AC$35)&amp;";  ","")&amp;IF(AND(EDATE($D118,Milestones!$AA$36)&lt;=AsOfDate,EDATE($D118,Milestones!$AA$36)&gt;=SchemeStart,IF($X118=0,$AD118,IF(AND($Z118&lt;&gt;"",EDATE($D118,Milestones!$AA$36)&gt;=$Z118),$AC118,IF(AND($Y118&lt;&gt;"",EDATE($D118,Milestones!$AA$36)&gt;=$Y118),$AB118,$AA118)))=Milestones!$AB$36),UPPER(TEXT(EDATE($D118,Milestones!$AA$36),"dd mmm yy"))&amp;" "&amp;Milestones!$AB$36&amp;" "&amp;IF(AND(Milestones!$AB$36="FT",Milestones!$AA$36=FT_Y5,EDATE($D118,Milestones!$AA$36)&lt;PolicyEff),1,Milestones!$AC$36)&amp;";  ","")&amp;IF(AND(EDATE($D118,Milestones!$AA$37)&lt;=AsOfDate,EDATE($D118,Milestones!$AA$37)&gt;=SchemeStart,IF($X118=0,$AD118,IF(AND($Z118&lt;&gt;"",EDATE($D118,Milestones!$AA$37)&gt;=$Z118),$AC118,IF(AND($Y118&lt;&gt;"",EDATE($D118,Milestones!$AA$37)&gt;=$Y118),$AB118,$AA118)))=Milestones!$AB$37),UPPER(TEXT(EDATE($D118,Milestones!$AA$37),"dd mmm yy"))&amp;" "&amp;Milestones!$AB$37&amp;" "&amp;IF(AND(Milestones!$AB$37="FT",Milestones!$AA$37=FT_Y5,EDATE($D118,Milestones!$AA$37)&lt;PolicyEff),1,Milestones!$AC$37)&amp;";  ","")&amp;IF(AND(EDATE($D118,Milestones!$AA$38)&lt;=AsOfDate,EDATE($D118,Milestones!$AA$38)&gt;=SchemeStart,IF($X118=0,$AD118,IF(AND($Z118&lt;&gt;"",EDATE($D118,Milestones!$AA$38)&gt;=$Z118),$AC118,IF(AND($Y118&lt;&gt;"",EDATE($D118,Milestones!$AA$38)&gt;=$Y118),$AB118,$AA118)))=Milestones!$AB$38),UPPER(TEXT(EDATE($D118,Milestones!$AA$38),"dd mmm yy"))&amp;" "&amp;Milestones!$AB$38&amp;" "&amp;IF(AND(Milestones!$AB$38="FT",Milestones!$AA$38=FT_Y5,EDATE($D118,Milestones!$AA$38)&lt;PolicyEff),1,Milestones!$AC$38)&amp;";  ","")&amp;IF(AND(EDATE($D118,Milestones!$AA$39)&lt;=AsOfDate,EDATE($D118,Milestones!$AA$39)&gt;=SchemeStart,IF($X118=0,$AD118,IF(AND($Z118&lt;&gt;"",EDATE($D118,Milestones!$AA$39)&gt;=$Z118),$AC118,IF(AND($Y118&lt;&gt;"",EDATE($D118,Milestones!$AA$39)&gt;=$Y118),$AB118,$AA118)))=Milestones!$AB$39),UPPER(TEXT(EDATE($D118,Milestones!$AA$39),"dd mmm yy"))&amp;" "&amp;Milestones!$AB$39&amp;" "&amp;IF(AND(Milestones!$AB$39="FT",Milestones!$AA$39=FT_Y5,EDATE($D118,Milestones!$AA$39)&lt;PolicyEff),1,Milestones!$AC$39)&amp;";  ","")&amp;IF(AND(EDATE($D118,Milestones!$AA$40)&lt;=AsOfDate,EDATE($D118,Milestones!$AA$40)&gt;=SchemeStart,IF($X118=0,$AD118,IF(AND($Z118&lt;&gt;"",EDATE($D118,Milestones!$AA$40)&gt;=$Z118),$AC118,IF(AND($Y118&lt;&gt;"",EDATE($D118,Milestones!$AA$40)&gt;=$Y118),$AB118,$AA118)))=Milestones!$AB$40),UPPER(TEXT(EDATE($D118,Milestones!$AA$40),"dd mmm yy"))&amp;" "&amp;Milestones!$AB$40&amp;" "&amp;IF(AND(Milestones!$AB$40="FT",Milestones!$AA$40=FT_Y5,EDATE($D118,Milestones!$AA$40)&lt;PolicyEff),1,Milestones!$AC$40)&amp;";  ","")&amp;IF(AND(EDATE($D118,Milestones!$AA$41)&lt;=AsOfDate,EDATE($D118,Milestones!$AA$41)&gt;=SchemeStart,IF($X118=0,$AD118,IF(AND($Z118&lt;&gt;"",EDATE($D118,Milestones!$AA$41)&gt;=$Z118),$AC118,IF(AND($Y118&lt;&gt;"",EDATE($D118,Milestones!$AA$41)&gt;=$Y118),$AB118,$AA118)))=Milestones!$AB$41),UPPER(TEXT(EDATE($D118,Milestones!$AA$41),"dd mmm yy"))&amp;" "&amp;Milestones!$AB$41&amp;" "&amp;IF(AND(Milestones!$AB$41="FT",Milestones!$AA$41=FT_Y5,EDATE($D118,Milestones!$AA$41)&lt;PolicyEff),1,Milestones!$AC$41)&amp;";  ","")&amp;IF(AND(EDATE($D118,Milestones!$AA$42)&lt;=AsOfDate,EDATE($D118,Milestones!$AA$42)&gt;=SchemeStart,IF($X118=0,$AD118,IF(AND($Z118&lt;&gt;"",EDATE($D118,Milestones!$AA$42)&gt;=$Z118),$AC118,IF(AND($Y118&lt;&gt;"",EDATE($D118,Milestones!$AA$42)&gt;=$Y118),$AB118,$AA118)))=Milestones!$AB$42),UPPER(TEXT(EDATE($D118,Milestones!$AA$42),"dd mmm yy"))&amp;" "&amp;Milestones!$AB$42&amp;" "&amp;IF(AND(Milestones!$AB$42="FT",Milestones!$AA$42=FT_Y5,EDATE($D118,Milestones!$AA$42)&lt;PolicyEff),1,Milestones!$AC$42)&amp;";  ","")&amp;IF(AND(EDATE($D118,Milestones!$AA$43)&lt;=AsOfDate,EDATE($D118,Milestones!$AA$43)&gt;=SchemeStart,IF($X118=0,$AD118,IF(AND($Z118&lt;&gt;"",EDATE($D118,Milestones!$AA$43)&gt;=$Z118),$AC118,IF(AND($Y118&lt;&gt;"",EDATE($D118,Milestones!$AA$43)&gt;=$Y118),$AB118,$AA118)))=Milestones!$AB$43),UPPER(TEXT(EDATE($D118,Milestones!$AA$43),"dd mmm yy"))&amp;" "&amp;Milestones!$AB$43&amp;" "&amp;IF(AND(Milestones!$AB$43="FT",Milestones!$AA$43=FT_Y5,EDATE($D118,Milestones!$AA$43)&lt;PolicyEff),1,Milestones!$AC$43)&amp;";  ",""))</f>
        <v/>
      </c>
      <c r="K118" s="0" t="str">
        <f aca="false">IF(OR($A118="",$D118=""),"",IF(AND(EDATE($D118,Milestones!$AA$44)&lt;=AsOfDate,EDATE($D118,Milestones!$AA$44)&gt;=SchemeStart,IF($X118=0,$AD118,IF(AND($Z118&lt;&gt;"",EDATE($D118,Milestones!$AA$44)&gt;=$Z118),$AC118,IF(AND($Y118&lt;&gt;"",EDATE($D118,Milestones!$AA$44)&gt;=$Y118),$AB118,$AA118)))=Milestones!$AB$44),UPPER(TEXT(EDATE($D118,Milestones!$AA$44),"dd mmm yy"))&amp;" "&amp;Milestones!$AB$44&amp;" "&amp;IF(AND(Milestones!$AB$44="FT",Milestones!$AA$44=FT_Y5,EDATE($D118,Milestones!$AA$44)&lt;PolicyEff),1,Milestones!$AC$44)&amp;";  ","")&amp;IF(AND(EDATE($D118,Milestones!$AA$45)&lt;=AsOfDate,EDATE($D118,Milestones!$AA$45)&gt;=SchemeStart,IF($X118=0,$AD118,IF(AND($Z118&lt;&gt;"",EDATE($D118,Milestones!$AA$45)&gt;=$Z118),$AC118,IF(AND($Y118&lt;&gt;"",EDATE($D118,Milestones!$AA$45)&gt;=$Y118),$AB118,$AA118)))=Milestones!$AB$45),UPPER(TEXT(EDATE($D118,Milestones!$AA$45),"dd mmm yy"))&amp;" "&amp;Milestones!$AB$45&amp;" "&amp;IF(AND(Milestones!$AB$45="FT",Milestones!$AA$45=FT_Y5,EDATE($D118,Milestones!$AA$45)&lt;PolicyEff),1,Milestones!$AC$45)&amp;";  ","")&amp;IF(AND(EDATE($D118,Milestones!$AA$46)&lt;=AsOfDate,EDATE($D118,Milestones!$AA$46)&gt;=SchemeStart,IF($X118=0,$AD118,IF(AND($Z118&lt;&gt;"",EDATE($D118,Milestones!$AA$46)&gt;=$Z118),$AC118,IF(AND($Y118&lt;&gt;"",EDATE($D118,Milestones!$AA$46)&gt;=$Y118),$AB118,$AA118)))=Milestones!$AB$46),UPPER(TEXT(EDATE($D118,Milestones!$AA$46),"dd mmm yy"))&amp;" "&amp;Milestones!$AB$46&amp;" "&amp;IF(AND(Milestones!$AB$46="FT",Milestones!$AA$46=FT_Y5,EDATE($D118,Milestones!$AA$46)&lt;PolicyEff),1,Milestones!$AC$46)&amp;";  ","")&amp;IF(AND(EDATE($D118,Milestones!$AA$47)&lt;=AsOfDate,EDATE($D118,Milestones!$AA$47)&gt;=SchemeStart,IF($X118=0,$AD118,IF(AND($Z118&lt;&gt;"",EDATE($D118,Milestones!$AA$47)&gt;=$Z118),$AC118,IF(AND($Y118&lt;&gt;"",EDATE($D118,Milestones!$AA$47)&gt;=$Y118),$AB118,$AA118)))=Milestones!$AB$47),UPPER(TEXT(EDATE($D118,Milestones!$AA$47),"dd mmm yy"))&amp;" "&amp;Milestones!$AB$47&amp;" "&amp;IF(AND(Milestones!$AB$47="FT",Milestones!$AA$47=FT_Y5,EDATE($D118,Milestones!$AA$47)&lt;PolicyEff),1,Milestones!$AC$47)&amp;";  ","")&amp;IF(AND(EDATE($D118,Milestones!$AA$48)&lt;=AsOfDate,EDATE($D118,Milestones!$AA$48)&gt;=SchemeStart,IF($X118=0,$AD118,IF(AND($Z118&lt;&gt;"",EDATE($D118,Milestones!$AA$48)&gt;=$Z118),$AC118,IF(AND($Y118&lt;&gt;"",EDATE($D118,Milestones!$AA$48)&gt;=$Y118),$AB118,$AA118)))=Milestones!$AB$48),UPPER(TEXT(EDATE($D118,Milestones!$AA$48),"dd mmm yy"))&amp;" "&amp;Milestones!$AB$48&amp;" "&amp;IF(AND(Milestones!$AB$48="FT",Milestones!$AA$48=FT_Y5,EDATE($D118,Milestones!$AA$48)&lt;PolicyEff),1,Milestones!$AC$48)&amp;";  ","")&amp;IF(AND(EDATE($D118,Milestones!$AA$49)&lt;=AsOfDate,EDATE($D118,Milestones!$AA$49)&gt;=SchemeStart,IF($X118=0,$AD118,IF(AND($Z118&lt;&gt;"",EDATE($D118,Milestones!$AA$49)&gt;=$Z118),$AC118,IF(AND($Y118&lt;&gt;"",EDATE($D118,Milestones!$AA$49)&gt;=$Y118),$AB118,$AA118)))=Milestones!$AB$49),UPPER(TEXT(EDATE($D118,Milestones!$AA$49),"dd mmm yy"))&amp;" "&amp;Milestones!$AB$49&amp;" "&amp;IF(AND(Milestones!$AB$49="FT",Milestones!$AA$49=FT_Y5,EDATE($D118,Milestones!$AA$49)&lt;PolicyEff),1,Milestones!$AC$49)&amp;";  ","")&amp;IF(AND(EDATE($D118,Milestones!$AA$50)&lt;=AsOfDate,EDATE($D118,Milestones!$AA$50)&gt;=SchemeStart,IF($X118=0,$AD118,IF(AND($Z118&lt;&gt;"",EDATE($D118,Milestones!$AA$50)&gt;=$Z118),$AC118,IF(AND($Y118&lt;&gt;"",EDATE($D118,Milestones!$AA$50)&gt;=$Y118),$AB118,$AA118)))=Milestones!$AB$50),UPPER(TEXT(EDATE($D118,Milestones!$AA$50),"dd mmm yy"))&amp;" "&amp;Milestones!$AB$50&amp;" "&amp;IF(AND(Milestones!$AB$50="FT",Milestones!$AA$50=FT_Y5,EDATE($D118,Milestones!$AA$50)&lt;PolicyEff),1,Milestones!$AC$50)&amp;";  ","")&amp;IF(AND(EDATE($D118,Milestones!$AA$51)&lt;=AsOfDate,EDATE($D118,Milestones!$AA$51)&gt;=SchemeStart,IF($X118=0,$AD118,IF(AND($Z118&lt;&gt;"",EDATE($D118,Milestones!$AA$51)&gt;=$Z118),$AC118,IF(AND($Y118&lt;&gt;"",EDATE($D118,Milestones!$AA$51)&gt;=$Y118),$AB118,$AA118)))=Milestones!$AB$51),UPPER(TEXT(EDATE($D118,Milestones!$AA$51),"dd mmm yy"))&amp;" "&amp;Milestones!$AB$51&amp;" "&amp;IF(AND(Milestones!$AB$51="FT",Milestones!$AA$51=FT_Y5,EDATE($D118,Milestones!$AA$51)&lt;PolicyEff),1,Milestones!$AC$51)&amp;";  ","")&amp;IF(AND(EDATE($D118,Milestones!$AA$52)&lt;=AsOfDate,EDATE($D118,Milestones!$AA$52)&gt;=SchemeStart,IF($X118=0,$AD118,IF(AND($Z118&lt;&gt;"",EDATE($D118,Milestones!$AA$52)&gt;=$Z118),$AC118,IF(AND($Y118&lt;&gt;"",EDATE($D118,Milestones!$AA$52)&gt;=$Y118),$AB118,$AA118)))=Milestones!$AB$52),UPPER(TEXT(EDATE($D118,Milestones!$AA$52),"dd mmm yy"))&amp;" "&amp;Milestones!$AB$52&amp;" "&amp;IF(AND(Milestones!$AB$52="FT",Milestones!$AA$52=FT_Y5,EDATE($D118,Milestones!$AA$52)&lt;PolicyEff),1,Milestones!$AC$52)&amp;";  ","")&amp;IF(AND(EDATE($D118,Milestones!$AA$53)&lt;=AsOfDate,EDATE($D118,Milestones!$AA$53)&gt;=SchemeStart,IF($X118=0,$AD118,IF(AND($Z118&lt;&gt;"",EDATE($D118,Milestones!$AA$53)&gt;=$Z118),$AC118,IF(AND($Y118&lt;&gt;"",EDATE($D118,Milestones!$AA$53)&gt;=$Y118),$AB118,$AA118)))=Milestones!$AB$53),UPPER(TEXT(EDATE($D118,Milestones!$AA$53),"dd mmm yy"))&amp;" "&amp;Milestones!$AB$53&amp;" "&amp;IF(AND(Milestones!$AB$53="FT",Milestones!$AA$53=FT_Y5,EDATE($D118,Milestones!$AA$53)&lt;PolicyEff),1,Milestones!$AC$53)&amp;";  ","")&amp;IF(AND(EDATE($D118,Milestones!$AA$54)&lt;=AsOfDate,EDATE($D118,Milestones!$AA$54)&gt;=SchemeStart,IF($X118=0,$AD118,IF(AND($Z118&lt;&gt;"",EDATE($D118,Milestones!$AA$54)&gt;=$Z118),$AC118,IF(AND($Y118&lt;&gt;"",EDATE($D118,Milestones!$AA$54)&gt;=$Y118),$AB118,$AA118)))=Milestones!$AB$54),UPPER(TEXT(EDATE($D118,Milestones!$AA$54),"dd mmm yy"))&amp;" "&amp;Milestones!$AB$54&amp;" "&amp;IF(AND(Milestones!$AB$54="FT",Milestones!$AA$54=FT_Y5,EDATE($D118,Milestones!$AA$54)&lt;PolicyEff),1,Milestones!$AC$54)&amp;";  ","")&amp;IF(AND(EDATE($D118,Milestones!$AA$55)&lt;=AsOfDate,EDATE($D118,Milestones!$AA$55)&gt;=SchemeStart,IF($X118=0,$AD118,IF(AND($Z118&lt;&gt;"",EDATE($D118,Milestones!$AA$55)&gt;=$Z118),$AC118,IF(AND($Y118&lt;&gt;"",EDATE($D118,Milestones!$AA$55)&gt;=$Y118),$AB118,$AA118)))=Milestones!$AB$55),UPPER(TEXT(EDATE($D118,Milestones!$AA$55),"dd mmm yy"))&amp;" "&amp;Milestones!$AB$55&amp;" "&amp;IF(AND(Milestones!$AB$55="FT",Milestones!$AA$55=FT_Y5,EDATE($D118,Milestones!$AA$55)&lt;PolicyEff),1,Milestones!$AC$55)&amp;";  ",""))</f>
        <v/>
      </c>
      <c r="L118" s="0" t="str">
        <f aca="false">IF(OR($A118="",$D118=""),"",IF(AND(EDATE($D118,Milestones!$AA$56)&lt;=AsOfDate,EDATE($D118,Milestones!$AA$56)&gt;=SchemeStart,IF($X118=0,$AD118,IF(AND($Z118&lt;&gt;"",EDATE($D118,Milestones!$AA$56)&gt;=$Z118),$AC118,IF(AND($Y118&lt;&gt;"",EDATE($D118,Milestones!$AA$56)&gt;=$Y118),$AB118,$AA118)))=Milestones!$AB$56),UPPER(TEXT(EDATE($D118,Milestones!$AA$56),"dd mmm yy"))&amp;" "&amp;Milestones!$AB$56&amp;" "&amp;IF(AND(Milestones!$AB$56="FT",Milestones!$AA$56=FT_Y5,EDATE($D118,Milestones!$AA$56)&lt;PolicyEff),1,Milestones!$AC$56)&amp;";  ","")&amp;IF(AND(EDATE($D118,Milestones!$AA$57)&lt;=AsOfDate,EDATE($D118,Milestones!$AA$57)&gt;=SchemeStart,IF($X118=0,$AD118,IF(AND($Z118&lt;&gt;"",EDATE($D118,Milestones!$AA$57)&gt;=$Z118),$AC118,IF(AND($Y118&lt;&gt;"",EDATE($D118,Milestones!$AA$57)&gt;=$Y118),$AB118,$AA118)))=Milestones!$AB$57),UPPER(TEXT(EDATE($D118,Milestones!$AA$57),"dd mmm yy"))&amp;" "&amp;Milestones!$AB$57&amp;" "&amp;IF(AND(Milestones!$AB$57="FT",Milestones!$AA$57=FT_Y5,EDATE($D118,Milestones!$AA$57)&lt;PolicyEff),1,Milestones!$AC$57)&amp;";  ","")&amp;IF(AND(EDATE($D118,Milestones!$AA$58)&lt;=AsOfDate,EDATE($D118,Milestones!$AA$58)&gt;=SchemeStart,IF($X118=0,$AD118,IF(AND($Z118&lt;&gt;"",EDATE($D118,Milestones!$AA$58)&gt;=$Z118),$AC118,IF(AND($Y118&lt;&gt;"",EDATE($D118,Milestones!$AA$58)&gt;=$Y118),$AB118,$AA118)))=Milestones!$AB$58),UPPER(TEXT(EDATE($D118,Milestones!$AA$58),"dd mmm yy"))&amp;" "&amp;Milestones!$AB$58&amp;" "&amp;IF(AND(Milestones!$AB$58="FT",Milestones!$AA$58=FT_Y5,EDATE($D118,Milestones!$AA$58)&lt;PolicyEff),1,Milestones!$AC$58)&amp;";  ","")&amp;IF(AND(EDATE($D118,Milestones!$AA$59)&lt;=AsOfDate,EDATE($D118,Milestones!$AA$59)&gt;=SchemeStart,IF($X118=0,$AD118,IF(AND($Z118&lt;&gt;"",EDATE($D118,Milestones!$AA$59)&gt;=$Z118),$AC118,IF(AND($Y118&lt;&gt;"",EDATE($D118,Milestones!$AA$59)&gt;=$Y118),$AB118,$AA118)))=Milestones!$AB$59),UPPER(TEXT(EDATE($D118,Milestones!$AA$59),"dd mmm yy"))&amp;" "&amp;Milestones!$AB$59&amp;" "&amp;IF(AND(Milestones!$AB$59="FT",Milestones!$AA$59=FT_Y5,EDATE($D118,Milestones!$AA$59)&lt;PolicyEff),1,Milestones!$AC$59)&amp;";  ","")&amp;IF(AND(EDATE($D118,Milestones!$AA$60)&lt;=AsOfDate,EDATE($D118,Milestones!$AA$60)&gt;=SchemeStart,IF($X118=0,$AD118,IF(AND($Z118&lt;&gt;"",EDATE($D118,Milestones!$AA$60)&gt;=$Z118),$AC118,IF(AND($Y118&lt;&gt;"",EDATE($D118,Milestones!$AA$60)&gt;=$Y118),$AB118,$AA118)))=Milestones!$AB$60),UPPER(TEXT(EDATE($D118,Milestones!$AA$60),"dd mmm yy"))&amp;" "&amp;Milestones!$AB$60&amp;" "&amp;IF(AND(Milestones!$AB$60="FT",Milestones!$AA$60=FT_Y5,EDATE($D118,Milestones!$AA$60)&lt;PolicyEff),1,Milestones!$AC$60)&amp;";  ","")&amp;IF(AND(EDATE($D118,Milestones!$AA$61)&lt;=AsOfDate,EDATE($D118,Milestones!$AA$61)&gt;=SchemeStart,IF($X118=0,$AD118,IF(AND($Z118&lt;&gt;"",EDATE($D118,Milestones!$AA$61)&gt;=$Z118),$AC118,IF(AND($Y118&lt;&gt;"",EDATE($D118,Milestones!$AA$61)&gt;=$Y118),$AB118,$AA118)))=Milestones!$AB$61),UPPER(TEXT(EDATE($D118,Milestones!$AA$61),"dd mmm yy"))&amp;" "&amp;Milestones!$AB$61&amp;" "&amp;IF(AND(Milestones!$AB$61="FT",Milestones!$AA$61=FT_Y5,EDATE($D118,Milestones!$AA$61)&lt;PolicyEff),1,Milestones!$AC$61)&amp;";  ","")&amp;IF(AND(EDATE($D118,Milestones!$AA$62)&lt;=AsOfDate,EDATE($D118,Milestones!$AA$62)&gt;=SchemeStart,IF($X118=0,$AD118,IF(AND($Z118&lt;&gt;"",EDATE($D118,Milestones!$AA$62)&gt;=$Z118),$AC118,IF(AND($Y118&lt;&gt;"",EDATE($D118,Milestones!$AA$62)&gt;=$Y118),$AB118,$AA118)))=Milestones!$AB$62),UPPER(TEXT(EDATE($D118,Milestones!$AA$62),"dd mmm yy"))&amp;" "&amp;Milestones!$AB$62&amp;" "&amp;IF(AND(Milestones!$AB$62="FT",Milestones!$AA$62=FT_Y5,EDATE($D118,Milestones!$AA$62)&lt;PolicyEff),1,Milestones!$AC$62)&amp;";  ","")&amp;IF(AND(EDATE($D118,Milestones!$AA$63)&lt;=AsOfDate,EDATE($D118,Milestones!$AA$63)&gt;=SchemeStart,IF($X118=0,$AD118,IF(AND($Z118&lt;&gt;"",EDATE($D118,Milestones!$AA$63)&gt;=$Z118),$AC118,IF(AND($Y118&lt;&gt;"",EDATE($D118,Milestones!$AA$63)&gt;=$Y118),$AB118,$AA118)))=Milestones!$AB$63),UPPER(TEXT(EDATE($D118,Milestones!$AA$63),"dd mmm yy"))&amp;" "&amp;Milestones!$AB$63&amp;" "&amp;IF(AND(Milestones!$AB$63="FT",Milestones!$AA$63=FT_Y5,EDATE($D118,Milestones!$AA$63)&lt;PolicyEff),1,Milestones!$AC$63)&amp;";  ","")&amp;IF(AND(EDATE($D118,Milestones!$AA$64)&lt;=AsOfDate,EDATE($D118,Milestones!$AA$64)&gt;=SchemeStart,IF($X118=0,$AD118,IF(AND($Z118&lt;&gt;"",EDATE($D118,Milestones!$AA$64)&gt;=$Z118),$AC118,IF(AND($Y118&lt;&gt;"",EDATE($D118,Milestones!$AA$64)&gt;=$Y118),$AB118,$AA118)))=Milestones!$AB$64),UPPER(TEXT(EDATE($D118,Milestones!$AA$64),"dd mmm yy"))&amp;" "&amp;Milestones!$AB$64&amp;" "&amp;IF(AND(Milestones!$AB$64="FT",Milestones!$AA$64=FT_Y5,EDATE($D118,Milestones!$AA$64)&lt;PolicyEff),1,Milestones!$AC$64)&amp;";  ","")&amp;IF(AND(EDATE($D118,Milestones!$AA$65)&lt;=AsOfDate,EDATE($D118,Milestones!$AA$65)&gt;=SchemeStart,IF($X118=0,$AD118,IF(AND($Z118&lt;&gt;"",EDATE($D118,Milestones!$AA$65)&gt;=$Z118),$AC118,IF(AND($Y118&lt;&gt;"",EDATE($D118,Milestones!$AA$65)&gt;=$Y118),$AB118,$AA118)))=Milestones!$AB$65),UPPER(TEXT(EDATE($D118,Milestones!$AA$65),"dd mmm yy"))&amp;" "&amp;Milestones!$AB$65&amp;" "&amp;IF(AND(Milestones!$AB$65="FT",Milestones!$AA$65=FT_Y5,EDATE($D118,Milestones!$AA$65)&lt;PolicyEff),1,Milestones!$AC$65)&amp;";  ","")&amp;IF(AND(EDATE($D118,Milestones!$AA$66)&lt;=AsOfDate,EDATE($D118,Milestones!$AA$66)&gt;=SchemeStart,IF($X118=0,$AD118,IF(AND($Z118&lt;&gt;"",EDATE($D118,Milestones!$AA$66)&gt;=$Z118),$AC118,IF(AND($Y118&lt;&gt;"",EDATE($D118,Milestones!$AA$66)&gt;=$Y118),$AB118,$AA118)))=Milestones!$AB$66),UPPER(TEXT(EDATE($D118,Milestones!$AA$66),"dd mmm yy"))&amp;" "&amp;Milestones!$AB$66&amp;" "&amp;IF(AND(Milestones!$AB$66="FT",Milestones!$AA$66=FT_Y5,EDATE($D118,Milestones!$AA$66)&lt;PolicyEff),1,Milestones!$AC$66)&amp;";  ","")&amp;IF(AND(EDATE($D118,Milestones!$AA$67)&lt;=AsOfDate,EDATE($D118,Milestones!$AA$67)&gt;=SchemeStart,IF($X118=0,$AD118,IF(AND($Z118&lt;&gt;"",EDATE($D118,Milestones!$AA$67)&gt;=$Z118),$AC118,IF(AND($Y118&lt;&gt;"",EDATE($D118,Milestones!$AA$67)&gt;=$Y118),$AB118,$AA118)))=Milestones!$AB$67),UPPER(TEXT(EDATE($D118,Milestones!$AA$67),"dd mmm yy"))&amp;" "&amp;Milestones!$AB$67&amp;" "&amp;IF(AND(Milestones!$AB$67="FT",Milestones!$AA$67=FT_Y5,EDATE($D118,Milestones!$AA$67)&lt;PolicyEff),1,Milestones!$AC$67)&amp;";  ",""))</f>
        <v/>
      </c>
      <c r="M118" s="0" t="str">
        <f aca="false">IF(OR($A118="",$D118=""),"",IF(AND(EDATE($D118,Milestones!$AA$68)&lt;=AsOfDate,EDATE($D118,Milestones!$AA$68)&gt;=SchemeStart,IF($X118=0,$AD118,IF(AND($Z118&lt;&gt;"",EDATE($D118,Milestones!$AA$68)&gt;=$Z118),$AC118,IF(AND($Y118&lt;&gt;"",EDATE($D118,Milestones!$AA$68)&gt;=$Y118),$AB118,$AA118)))=Milestones!$AB$68),UPPER(TEXT(EDATE($D118,Milestones!$AA$68),"dd mmm yy"))&amp;" "&amp;Milestones!$AB$68&amp;" "&amp;IF(AND(Milestones!$AB$68="FT",Milestones!$AA$68=FT_Y5,EDATE($D118,Milestones!$AA$68)&lt;PolicyEff),1,Milestones!$AC$68)&amp;";  ","")&amp;IF(AND(EDATE($D118,Milestones!$AA$69)&lt;=AsOfDate,EDATE($D118,Milestones!$AA$69)&gt;=SchemeStart,IF($X118=0,$AD118,IF(AND($Z118&lt;&gt;"",EDATE($D118,Milestones!$AA$69)&gt;=$Z118),$AC118,IF(AND($Y118&lt;&gt;"",EDATE($D118,Milestones!$AA$69)&gt;=$Y118),$AB118,$AA118)))=Milestones!$AB$69),UPPER(TEXT(EDATE($D118,Milestones!$AA$69),"dd mmm yy"))&amp;" "&amp;Milestones!$AB$69&amp;" "&amp;IF(AND(Milestones!$AB$69="FT",Milestones!$AA$69=FT_Y5,EDATE($D118,Milestones!$AA$69)&lt;PolicyEff),1,Milestones!$AC$69)&amp;";  ","")&amp;IF(AND(EDATE($D118,Milestones!$AA$70)&lt;=AsOfDate,EDATE($D118,Milestones!$AA$70)&gt;=SchemeStart,IF($X118=0,$AD118,IF(AND($Z118&lt;&gt;"",EDATE($D118,Milestones!$AA$70)&gt;=$Z118),$AC118,IF(AND($Y118&lt;&gt;"",EDATE($D118,Milestones!$AA$70)&gt;=$Y118),$AB118,$AA118)))=Milestones!$AB$70),UPPER(TEXT(EDATE($D118,Milestones!$AA$70),"dd mmm yy"))&amp;" "&amp;Milestones!$AB$70&amp;" "&amp;IF(AND(Milestones!$AB$70="FT",Milestones!$AA$70=FT_Y5,EDATE($D118,Milestones!$AA$70)&lt;PolicyEff),1,Milestones!$AC$70)&amp;";  ","")&amp;IF(AND(EDATE($D118,Milestones!$AA$71)&lt;=AsOfDate,EDATE($D118,Milestones!$AA$71)&gt;=SchemeStart,IF($X118=0,$AD118,IF(AND($Z118&lt;&gt;"",EDATE($D118,Milestones!$AA$71)&gt;=$Z118),$AC118,IF(AND($Y118&lt;&gt;"",EDATE($D118,Milestones!$AA$71)&gt;=$Y118),$AB118,$AA118)))=Milestones!$AB$71),UPPER(TEXT(EDATE($D118,Milestones!$AA$71),"dd mmm yy"))&amp;" "&amp;Milestones!$AB$71&amp;" "&amp;IF(AND(Milestones!$AB$71="FT",Milestones!$AA$71=FT_Y5,EDATE($D118,Milestones!$AA$71)&lt;PolicyEff),1,Milestones!$AC$71)&amp;";  ","")&amp;IF(AND(EDATE($D118,Milestones!$AA$72)&lt;=AsOfDate,EDATE($D118,Milestones!$AA$72)&gt;=SchemeStart,IF($X118=0,$AD118,IF(AND($Z118&lt;&gt;"",EDATE($D118,Milestones!$AA$72)&gt;=$Z118),$AC118,IF(AND($Y118&lt;&gt;"",EDATE($D118,Milestones!$AA$72)&gt;=$Y118),$AB118,$AA118)))=Milestones!$AB$72),UPPER(TEXT(EDATE($D118,Milestones!$AA$72),"dd mmm yy"))&amp;" "&amp;Milestones!$AB$72&amp;" "&amp;IF(AND(Milestones!$AB$72="FT",Milestones!$AA$72=FT_Y5,EDATE($D118,Milestones!$AA$72)&lt;PolicyEff),1,Milestones!$AC$72)&amp;";  ","")&amp;IF(AND(EDATE($D118,Milestones!$AA$73)&lt;=AsOfDate,EDATE($D118,Milestones!$AA$73)&gt;=SchemeStart,IF($X118=0,$AD118,IF(AND($Z118&lt;&gt;"",EDATE($D118,Milestones!$AA$73)&gt;=$Z118),$AC118,IF(AND($Y118&lt;&gt;"",EDATE($D118,Milestones!$AA$73)&gt;=$Y118),$AB118,$AA118)))=Milestones!$AB$73),UPPER(TEXT(EDATE($D118,Milestones!$AA$73),"dd mmm yy"))&amp;" "&amp;Milestones!$AB$73&amp;" "&amp;IF(AND(Milestones!$AB$73="FT",Milestones!$AA$73=FT_Y5,EDATE($D118,Milestones!$AA$73)&lt;PolicyEff),1,Milestones!$AC$73)&amp;";  ","")&amp;IF(AND(EDATE($D118,Milestones!$AA$74)&lt;=AsOfDate,EDATE($D118,Milestones!$AA$74)&gt;=SchemeStart,IF($X118=0,$AD118,IF(AND($Z118&lt;&gt;"",EDATE($D118,Milestones!$AA$74)&gt;=$Z118),$AC118,IF(AND($Y118&lt;&gt;"",EDATE($D118,Milestones!$AA$74)&gt;=$Y118),$AB118,$AA118)))=Milestones!$AB$74),UPPER(TEXT(EDATE($D118,Milestones!$AA$74),"dd mmm yy"))&amp;" "&amp;Milestones!$AB$74&amp;" "&amp;IF(AND(Milestones!$AB$74="FT",Milestones!$AA$74=FT_Y5,EDATE($D118,Milestones!$AA$74)&lt;PolicyEff),1,Milestones!$AC$74)&amp;";  ","")&amp;IF(AND(EDATE($D118,Milestones!$AA$75)&lt;=AsOfDate,EDATE($D118,Milestones!$AA$75)&gt;=SchemeStart,IF($X118=0,$AD118,IF(AND($Z118&lt;&gt;"",EDATE($D118,Milestones!$AA$75)&gt;=$Z118),$AC118,IF(AND($Y118&lt;&gt;"",EDATE($D118,Milestones!$AA$75)&gt;=$Y118),$AB118,$AA118)))=Milestones!$AB$75),UPPER(TEXT(EDATE($D118,Milestones!$AA$75),"dd mmm yy"))&amp;" "&amp;Milestones!$AB$75&amp;" "&amp;IF(AND(Milestones!$AB$75="FT",Milestones!$AA$75=FT_Y5,EDATE($D118,Milestones!$AA$75)&lt;PolicyEff),1,Milestones!$AC$75)&amp;";  ","")&amp;IF(AND(EDATE($D118,Milestones!$AA$76)&lt;=AsOfDate,EDATE($D118,Milestones!$AA$76)&gt;=SchemeStart,IF($X118=0,$AD118,IF(AND($Z118&lt;&gt;"",EDATE($D118,Milestones!$AA$76)&gt;=$Z118),$AC118,IF(AND($Y118&lt;&gt;"",EDATE($D118,Milestones!$AA$76)&gt;=$Y118),$AB118,$AA118)))=Milestones!$AB$76),UPPER(TEXT(EDATE($D118,Milestones!$AA$76),"dd mmm yy"))&amp;" "&amp;Milestones!$AB$76&amp;" "&amp;IF(AND(Milestones!$AB$76="FT",Milestones!$AA$76=FT_Y5,EDATE($D118,Milestones!$AA$76)&lt;PolicyEff),1,Milestones!$AC$76)&amp;";  ","")&amp;IF(AND(EDATE($D118,Milestones!$AA$77)&lt;=AsOfDate,EDATE($D118,Milestones!$AA$77)&gt;=SchemeStart,IF($X118=0,$AD118,IF(AND($Z118&lt;&gt;"",EDATE($D118,Milestones!$AA$77)&gt;=$Z118),$AC118,IF(AND($Y118&lt;&gt;"",EDATE($D118,Milestones!$AA$77)&gt;=$Y118),$AB118,$AA118)))=Milestones!$AB$77),UPPER(TEXT(EDATE($D118,Milestones!$AA$77),"dd mmm yy"))&amp;" "&amp;Milestones!$AB$77&amp;" "&amp;IF(AND(Milestones!$AB$77="FT",Milestones!$AA$77=FT_Y5,EDATE($D118,Milestones!$AA$77)&lt;PolicyEff),1,Milestones!$AC$77)&amp;";  ","")&amp;IF(AND(EDATE($D118,Milestones!$AA$78)&lt;=AsOfDate,EDATE($D118,Milestones!$AA$78)&gt;=SchemeStart,IF($X118=0,$AD118,IF(AND($Z118&lt;&gt;"",EDATE($D118,Milestones!$AA$78)&gt;=$Z118),$AC118,IF(AND($Y118&lt;&gt;"",EDATE($D118,Milestones!$AA$78)&gt;=$Y118),$AB118,$AA118)))=Milestones!$AB$78),UPPER(TEXT(EDATE($D118,Milestones!$AA$78),"dd mmm yy"))&amp;" "&amp;Milestones!$AB$78&amp;" "&amp;IF(AND(Milestones!$AB$78="FT",Milestones!$AA$78=FT_Y5,EDATE($D118,Milestones!$AA$78)&lt;PolicyEff),1,Milestones!$AC$78)&amp;";  ","")&amp;IF(AND(EDATE($D118,Milestones!$AA$79)&lt;=AsOfDate,EDATE($D118,Milestones!$AA$79)&gt;=SchemeStart,IF($X118=0,$AD118,IF(AND($Z118&lt;&gt;"",EDATE($D118,Milestones!$AA$79)&gt;=$Z118),$AC118,IF(AND($Y118&lt;&gt;"",EDATE($D118,Milestones!$AA$79)&gt;=$Y118),$AB118,$AA118)))=Milestones!$AB$79),UPPER(TEXT(EDATE($D118,Milestones!$AA$79),"dd mmm yy"))&amp;" "&amp;Milestones!$AB$79&amp;" "&amp;IF(AND(Milestones!$AB$79="FT",Milestones!$AA$79=FT_Y5,EDATE($D118,Milestones!$AA$79)&lt;PolicyEff),1,Milestones!$AC$79)&amp;";  ",""))</f>
        <v/>
      </c>
      <c r="N118" s="0" t="str">
        <f aca="false">IF(OR($A118="",$D118=""),"",IF(AND(EDATE($D118,Milestones!$AA$80)&lt;=AsOfDate,EDATE($D118,Milestones!$AA$80)&gt;=SchemeStart,IF($X118=0,$AD118,IF(AND($Z118&lt;&gt;"",EDATE($D118,Milestones!$AA$80)&gt;=$Z118),$AC118,IF(AND($Y118&lt;&gt;"",EDATE($D118,Milestones!$AA$80)&gt;=$Y118),$AB118,$AA118)))=Milestones!$AB$80),UPPER(TEXT(EDATE($D118,Milestones!$AA$80),"dd mmm yy"))&amp;" "&amp;Milestones!$AB$80&amp;" "&amp;IF(AND(Milestones!$AB$80="FT",Milestones!$AA$80=FT_Y5,EDATE($D118,Milestones!$AA$80)&lt;PolicyEff),1,Milestones!$AC$80)&amp;";  ","")&amp;IF(AND(EDATE($D118,Milestones!$AA$81)&lt;=AsOfDate,EDATE($D118,Milestones!$AA$81)&gt;=SchemeStart,IF($X118=0,$AD118,IF(AND($Z118&lt;&gt;"",EDATE($D118,Milestones!$AA$81)&gt;=$Z118),$AC118,IF(AND($Y118&lt;&gt;"",EDATE($D118,Milestones!$AA$81)&gt;=$Y118),$AB118,$AA118)))=Milestones!$AB$81),UPPER(TEXT(EDATE($D118,Milestones!$AA$81),"dd mmm yy"))&amp;" "&amp;Milestones!$AB$81&amp;" "&amp;IF(AND(Milestones!$AB$81="FT",Milestones!$AA$81=FT_Y5,EDATE($D118,Milestones!$AA$81)&lt;PolicyEff),1,Milestones!$AC$81)&amp;";  ","")&amp;IF(AND(EDATE($D118,Milestones!$AA$82)&lt;=AsOfDate,EDATE($D118,Milestones!$AA$82)&gt;=SchemeStart,IF($X118=0,$AD118,IF(AND($Z118&lt;&gt;"",EDATE($D118,Milestones!$AA$82)&gt;=$Z118),$AC118,IF(AND($Y118&lt;&gt;"",EDATE($D118,Milestones!$AA$82)&gt;=$Y118),$AB118,$AA118)))=Milestones!$AB$82),UPPER(TEXT(EDATE($D118,Milestones!$AA$82),"dd mmm yy"))&amp;" "&amp;Milestones!$AB$82&amp;" "&amp;IF(AND(Milestones!$AB$82="FT",Milestones!$AA$82=FT_Y5,EDATE($D118,Milestones!$AA$82)&lt;PolicyEff),1,Milestones!$AC$82)&amp;";  ","")&amp;IF(AND(EDATE($D118,Milestones!$AA$83)&lt;=AsOfDate,EDATE($D118,Milestones!$AA$83)&gt;=SchemeStart,IF($X118=0,$AD118,IF(AND($Z118&lt;&gt;"",EDATE($D118,Milestones!$AA$83)&gt;=$Z118),$AC118,IF(AND($Y118&lt;&gt;"",EDATE($D118,Milestones!$AA$83)&gt;=$Y118),$AB118,$AA118)))=Milestones!$AB$83),UPPER(TEXT(EDATE($D118,Milestones!$AA$83),"dd mmm yy"))&amp;" "&amp;Milestones!$AB$83&amp;" "&amp;IF(AND(Milestones!$AB$83="FT",Milestones!$AA$83=FT_Y5,EDATE($D118,Milestones!$AA$83)&lt;PolicyEff),1,Milestones!$AC$83)&amp;";  ","")&amp;IF(AND(EDATE($D118,Milestones!$AA$84)&lt;=AsOfDate,EDATE($D118,Milestones!$AA$84)&gt;=SchemeStart,IF($X118=0,$AD118,IF(AND($Z118&lt;&gt;"",EDATE($D118,Milestones!$AA$84)&gt;=$Z118),$AC118,IF(AND($Y118&lt;&gt;"",EDATE($D118,Milestones!$AA$84)&gt;=$Y118),$AB118,$AA118)))=Milestones!$AB$84),UPPER(TEXT(EDATE($D118,Milestones!$AA$84),"dd mmm yy"))&amp;" "&amp;Milestones!$AB$84&amp;" "&amp;IF(AND(Milestones!$AB$84="FT",Milestones!$AA$84=FT_Y5,EDATE($D118,Milestones!$AA$84)&lt;PolicyEff),1,Milestones!$AC$84)&amp;";  ","")&amp;IF(AND(EDATE($D118,Milestones!$AA$85)&lt;=AsOfDate,EDATE($D118,Milestones!$AA$85)&gt;=SchemeStart,IF($X118=0,$AD118,IF(AND($Z118&lt;&gt;"",EDATE($D118,Milestones!$AA$85)&gt;=$Z118),$AC118,IF(AND($Y118&lt;&gt;"",EDATE($D118,Milestones!$AA$85)&gt;=$Y118),$AB118,$AA118)))=Milestones!$AB$85),UPPER(TEXT(EDATE($D118,Milestones!$AA$85),"dd mmm yy"))&amp;" "&amp;Milestones!$AB$85&amp;" "&amp;IF(AND(Milestones!$AB$85="FT",Milestones!$AA$85=FT_Y5,EDATE($D118,Milestones!$AA$85)&lt;PolicyEff),1,Milestones!$AC$85)&amp;";  ","")&amp;IF(AND(EDATE($D118,Milestones!$AA$86)&lt;=AsOfDate,EDATE($D118,Milestones!$AA$86)&gt;=SchemeStart,IF($X118=0,$AD118,IF(AND($Z118&lt;&gt;"",EDATE($D118,Milestones!$AA$86)&gt;=$Z118),$AC118,IF(AND($Y118&lt;&gt;"",EDATE($D118,Milestones!$AA$86)&gt;=$Y118),$AB118,$AA118)))=Milestones!$AB$86),UPPER(TEXT(EDATE($D118,Milestones!$AA$86),"dd mmm yy"))&amp;" "&amp;Milestones!$AB$86&amp;" "&amp;IF(AND(Milestones!$AB$86="FT",Milestones!$AA$86=FT_Y5,EDATE($D118,Milestones!$AA$86)&lt;PolicyEff),1,Milestones!$AC$86)&amp;";  ","")&amp;IF(AND(EDATE($D118,Milestones!$AA$87)&lt;=AsOfDate,EDATE($D118,Milestones!$AA$87)&gt;=SchemeStart,IF($X118=0,$AD118,IF(AND($Z118&lt;&gt;"",EDATE($D118,Milestones!$AA$87)&gt;=$Z118),$AC118,IF(AND($Y118&lt;&gt;"",EDATE($D118,Milestones!$AA$87)&gt;=$Y118),$AB118,$AA118)))=Milestones!$AB$87),UPPER(TEXT(EDATE($D118,Milestones!$AA$87),"dd mmm yy"))&amp;" "&amp;Milestones!$AB$87&amp;" "&amp;IF(AND(Milestones!$AB$87="FT",Milestones!$AA$87=FT_Y5,EDATE($D118,Milestones!$AA$87)&lt;PolicyEff),1,Milestones!$AC$87)&amp;";  ","")&amp;IF(AND(EDATE($D118,Milestones!$AA$88)&lt;=AsOfDate,EDATE($D118,Milestones!$AA$88)&gt;=SchemeStart,IF($X118=0,$AD118,IF(AND($Z118&lt;&gt;"",EDATE($D118,Milestones!$AA$88)&gt;=$Z118),$AC118,IF(AND($Y118&lt;&gt;"",EDATE($D118,Milestones!$AA$88)&gt;=$Y118),$AB118,$AA118)))=Milestones!$AB$88),UPPER(TEXT(EDATE($D118,Milestones!$AA$88),"dd mmm yy"))&amp;" "&amp;Milestones!$AB$88&amp;" "&amp;IF(AND(Milestones!$AB$88="FT",Milestones!$AA$88=FT_Y5,EDATE($D118,Milestones!$AA$88)&lt;PolicyEff),1,Milestones!$AC$88)&amp;";  ","")&amp;IF(AND(EDATE($D118,Milestones!$AA$89)&lt;=AsOfDate,EDATE($D118,Milestones!$AA$89)&gt;=SchemeStart,IF($X118=0,$AD118,IF(AND($Z118&lt;&gt;"",EDATE($D118,Milestones!$AA$89)&gt;=$Z118),$AC118,IF(AND($Y118&lt;&gt;"",EDATE($D118,Milestones!$AA$89)&gt;=$Y118),$AB118,$AA118)))=Milestones!$AB$89),UPPER(TEXT(EDATE($D118,Milestones!$AA$89),"dd mmm yy"))&amp;" "&amp;Milestones!$AB$89&amp;" "&amp;IF(AND(Milestones!$AB$89="FT",Milestones!$AA$89=FT_Y5,EDATE($D118,Milestones!$AA$89)&lt;PolicyEff),1,Milestones!$AC$89)&amp;";  ","")&amp;IF(AND(EDATE($D118,Milestones!$AA$90)&lt;=AsOfDate,EDATE($D118,Milestones!$AA$90)&gt;=SchemeStart,IF($X118=0,$AD118,IF(AND($Z118&lt;&gt;"",EDATE($D118,Milestones!$AA$90)&gt;=$Z118),$AC118,IF(AND($Y118&lt;&gt;"",EDATE($D118,Milestones!$AA$90)&gt;=$Y118),$AB118,$AA118)))=Milestones!$AB$90),UPPER(TEXT(EDATE($D118,Milestones!$AA$90),"dd mmm yy"))&amp;" "&amp;Milestones!$AB$90&amp;" "&amp;IF(AND(Milestones!$AB$90="FT",Milestones!$AA$90=FT_Y5,EDATE($D118,Milestones!$AA$90)&lt;PolicyEff),1,Milestones!$AC$90)&amp;";  ","")&amp;IF(AND(EDATE($D118,Milestones!$AA$91)&lt;=AsOfDate,EDATE($D118,Milestones!$AA$91)&gt;=SchemeStart,IF($X118=0,$AD118,IF(AND($Z118&lt;&gt;"",EDATE($D118,Milestones!$AA$91)&gt;=$Z118),$AC118,IF(AND($Y118&lt;&gt;"",EDATE($D118,Milestones!$AA$91)&gt;=$Y118),$AB118,$AA118)))=Milestones!$AB$91),UPPER(TEXT(EDATE($D118,Milestones!$AA$91),"dd mmm yy"))&amp;" "&amp;Milestones!$AB$91&amp;" "&amp;IF(AND(Milestones!$AB$91="FT",Milestones!$AA$91=FT_Y5,EDATE($D118,Milestones!$AA$91)&lt;PolicyEff),1,Milestones!$AC$91)&amp;";  ",""))</f>
        <v/>
      </c>
      <c r="O118" s="0" t="str">
        <f aca="false">IF(OR($A118="",$D118=""),"",IF(AND(EDATE($D118,Milestones!$AA$92)&lt;=AsOfDate,EDATE($D118,Milestones!$AA$92)&gt;=SchemeStart,IF($X118=0,$AD118,IF(AND($Z118&lt;&gt;"",EDATE($D118,Milestones!$AA$92)&gt;=$Z118),$AC118,IF(AND($Y118&lt;&gt;"",EDATE($D118,Milestones!$AA$92)&gt;=$Y118),$AB118,$AA118)))=Milestones!$AB$92),UPPER(TEXT(EDATE($D118,Milestones!$AA$92),"dd mmm yy"))&amp;" "&amp;Milestones!$AB$92&amp;" "&amp;IF(AND(Milestones!$AB$92="FT",Milestones!$AA$92=FT_Y5,EDATE($D118,Milestones!$AA$92)&lt;PolicyEff),1,Milestones!$AC$92)&amp;";  ","")&amp;IF(AND(EDATE($D118,Milestones!$AA$93)&lt;=AsOfDate,EDATE($D118,Milestones!$AA$93)&gt;=SchemeStart,IF($X118=0,$AD118,IF(AND($Z118&lt;&gt;"",EDATE($D118,Milestones!$AA$93)&gt;=$Z118),$AC118,IF(AND($Y118&lt;&gt;"",EDATE($D118,Milestones!$AA$93)&gt;=$Y118),$AB118,$AA118)))=Milestones!$AB$93),UPPER(TEXT(EDATE($D118,Milestones!$AA$93),"dd mmm yy"))&amp;" "&amp;Milestones!$AB$93&amp;" "&amp;IF(AND(Milestones!$AB$93="FT",Milestones!$AA$93=FT_Y5,EDATE($D118,Milestones!$AA$93)&lt;PolicyEff),1,Milestones!$AC$93)&amp;";  ","")&amp;IF(AND(EDATE($D118,Milestones!$AA$94)&lt;=AsOfDate,EDATE($D118,Milestones!$AA$94)&gt;=SchemeStart,IF($X118=0,$AD118,IF(AND($Z118&lt;&gt;"",EDATE($D118,Milestones!$AA$94)&gt;=$Z118),$AC118,IF(AND($Y118&lt;&gt;"",EDATE($D118,Milestones!$AA$94)&gt;=$Y118),$AB118,$AA118)))=Milestones!$AB$94),UPPER(TEXT(EDATE($D118,Milestones!$AA$94),"dd mmm yy"))&amp;" "&amp;Milestones!$AB$94&amp;" "&amp;IF(AND(Milestones!$AB$94="FT",Milestones!$AA$94=FT_Y5,EDATE($D118,Milestones!$AA$94)&lt;PolicyEff),1,Milestones!$AC$94)&amp;";  ","")&amp;IF(AND(EDATE($D118,Milestones!$AA$95)&lt;=AsOfDate,EDATE($D118,Milestones!$AA$95)&gt;=SchemeStart,IF($X118=0,$AD118,IF(AND($Z118&lt;&gt;"",EDATE($D118,Milestones!$AA$95)&gt;=$Z118),$AC118,IF(AND($Y118&lt;&gt;"",EDATE($D118,Milestones!$AA$95)&gt;=$Y118),$AB118,$AA118)))=Milestones!$AB$95),UPPER(TEXT(EDATE($D118,Milestones!$AA$95),"dd mmm yy"))&amp;" "&amp;Milestones!$AB$95&amp;" "&amp;IF(AND(Milestones!$AB$95="FT",Milestones!$AA$95=FT_Y5,EDATE($D118,Milestones!$AA$95)&lt;PolicyEff),1,Milestones!$AC$95)&amp;";  ","")&amp;IF(AND(EDATE($D118,Milestones!$AA$96)&lt;=AsOfDate,EDATE($D118,Milestones!$AA$96)&gt;=SchemeStart,IF($X118=0,$AD118,IF(AND($Z118&lt;&gt;"",EDATE($D118,Milestones!$AA$96)&gt;=$Z118),$AC118,IF(AND($Y118&lt;&gt;"",EDATE($D118,Milestones!$AA$96)&gt;=$Y118),$AB118,$AA118)))=Milestones!$AB$96),UPPER(TEXT(EDATE($D118,Milestones!$AA$96),"dd mmm yy"))&amp;" "&amp;Milestones!$AB$96&amp;" "&amp;IF(AND(Milestones!$AB$96="FT",Milestones!$AA$96=FT_Y5,EDATE($D118,Milestones!$AA$96)&lt;PolicyEff),1,Milestones!$AC$96)&amp;";  ","")&amp;IF(AND(EDATE($D118,Milestones!$AA$97)&lt;=AsOfDate,EDATE($D118,Milestones!$AA$97)&gt;=SchemeStart,IF($X118=0,$AD118,IF(AND($Z118&lt;&gt;"",EDATE($D118,Milestones!$AA$97)&gt;=$Z118),$AC118,IF(AND($Y118&lt;&gt;"",EDATE($D118,Milestones!$AA$97)&gt;=$Y118),$AB118,$AA118)))=Milestones!$AB$97),UPPER(TEXT(EDATE($D118,Milestones!$AA$97),"dd mmm yy"))&amp;" "&amp;Milestones!$AB$97&amp;" "&amp;IF(AND(Milestones!$AB$97="FT",Milestones!$AA$97=FT_Y5,EDATE($D118,Milestones!$AA$97)&lt;PolicyEff),1,Milestones!$AC$97)&amp;";  ","")&amp;IF(AND(EDATE($D118,Milestones!$AA$98)&lt;=AsOfDate,EDATE($D118,Milestones!$AA$98)&gt;=SchemeStart,IF($X118=0,$AD118,IF(AND($Z118&lt;&gt;"",EDATE($D118,Milestones!$AA$98)&gt;=$Z118),$AC118,IF(AND($Y118&lt;&gt;"",EDATE($D118,Milestones!$AA$98)&gt;=$Y118),$AB118,$AA118)))=Milestones!$AB$98),UPPER(TEXT(EDATE($D118,Milestones!$AA$98),"dd mmm yy"))&amp;" "&amp;Milestones!$AB$98&amp;" "&amp;IF(AND(Milestones!$AB$98="FT",Milestones!$AA$98=FT_Y5,EDATE($D118,Milestones!$AA$98)&lt;PolicyEff),1,Milestones!$AC$98)&amp;";  ","")&amp;IF(AND(EDATE($D118,Milestones!$AA$99)&lt;=AsOfDate,EDATE($D118,Milestones!$AA$99)&gt;=SchemeStart,IF($X118=0,$AD118,IF(AND($Z118&lt;&gt;"",EDATE($D118,Milestones!$AA$99)&gt;=$Z118),$AC118,IF(AND($Y118&lt;&gt;"",EDATE($D118,Milestones!$AA$99)&gt;=$Y118),$AB118,$AA118)))=Milestones!$AB$99),UPPER(TEXT(EDATE($D118,Milestones!$AA$99),"dd mmm yy"))&amp;" "&amp;Milestones!$AB$99&amp;" "&amp;IF(AND(Milestones!$AB$99="FT",Milestones!$AA$99=FT_Y5,EDATE($D118,Milestones!$AA$99)&lt;PolicyEff),1,Milestones!$AC$99)&amp;";  ","")&amp;IF(AND(EDATE($D118,Milestones!$AA$100)&lt;=AsOfDate,EDATE($D118,Milestones!$AA$100)&gt;=SchemeStart,IF($X118=0,$AD118,IF(AND($Z118&lt;&gt;"",EDATE($D118,Milestones!$AA$100)&gt;=$Z118),$AC118,IF(AND($Y118&lt;&gt;"",EDATE($D118,Milestones!$AA$100)&gt;=$Y118),$AB118,$AA118)))=Milestones!$AB$100),UPPER(TEXT(EDATE($D118,Milestones!$AA$100),"dd mmm yy"))&amp;" "&amp;Milestones!$AB$100&amp;" "&amp;IF(AND(Milestones!$AB$100="FT",Milestones!$AA$100=FT_Y5,EDATE($D118,Milestones!$AA$100)&lt;PolicyEff),1,Milestones!$AC$100)&amp;";  ","")&amp;IF(AND(EDATE($D118,Milestones!$AA$101)&lt;=AsOfDate,EDATE($D118,Milestones!$AA$101)&gt;=SchemeStart,IF($X118=0,$AD118,IF(AND($Z118&lt;&gt;"",EDATE($D118,Milestones!$AA$101)&gt;=$Z118),$AC118,IF(AND($Y118&lt;&gt;"",EDATE($D118,Milestones!$AA$101)&gt;=$Y118),$AB118,$AA118)))=Milestones!$AB$101),UPPER(TEXT(EDATE($D118,Milestones!$AA$101),"dd mmm yy"))&amp;" "&amp;Milestones!$AB$101&amp;" "&amp;IF(AND(Milestones!$AB$101="FT",Milestones!$AA$101=FT_Y5,EDATE($D118,Milestones!$AA$101)&lt;PolicyEff),1,Milestones!$AC$101)&amp;";  ","")&amp;IF(AND(EDATE($D118,Milestones!$AA$102)&lt;=AsOfDate,EDATE($D118,Milestones!$AA$102)&gt;=SchemeStart,IF($X118=0,$AD118,IF(AND($Z118&lt;&gt;"",EDATE($D118,Milestones!$AA$102)&gt;=$Z118),$AC118,IF(AND($Y118&lt;&gt;"",EDATE($D118,Milestones!$AA$102)&gt;=$Y118),$AB118,$AA118)))=Milestones!$AB$102),UPPER(TEXT(EDATE($D118,Milestones!$AA$102),"dd mmm yy"))&amp;" "&amp;Milestones!$AB$102&amp;" "&amp;IF(AND(Milestones!$AB$102="FT",Milestones!$AA$102=FT_Y5,EDATE($D118,Milestones!$AA$102)&lt;PolicyEff),1,Milestones!$AC$102)&amp;";  ","")&amp;IF(AND(EDATE($D118,Milestones!$AA$103)&lt;=AsOfDate,EDATE($D118,Milestones!$AA$103)&gt;=SchemeStart,IF($X118=0,$AD118,IF(AND($Z118&lt;&gt;"",EDATE($D118,Milestones!$AA$103)&gt;=$Z118),$AC118,IF(AND($Y118&lt;&gt;"",EDATE($D118,Milestones!$AA$103)&gt;=$Y118),$AB118,$AA118)))=Milestones!$AB$103),UPPER(TEXT(EDATE($D118,Milestones!$AA$103),"dd mmm yy"))&amp;" "&amp;Milestones!$AB$103&amp;" "&amp;IF(AND(Milestones!$AB$103="FT",Milestones!$AA$103=FT_Y5,EDATE($D118,Milestones!$AA$103)&lt;PolicyEff),1,Milestones!$AC$103)&amp;";  ",""))</f>
        <v/>
      </c>
      <c r="P118" s="0" t="str">
        <f aca="false">IF(OR($A118="",$D118=""),"",IF(AND(EDATE($D118,Milestones!$AA$104)&lt;=AsOfDate,EDATE($D118,Milestones!$AA$104)&gt;=SchemeStart,IF($X118=0,$AD118,IF(AND($Z118&lt;&gt;"",EDATE($D118,Milestones!$AA$104)&gt;=$Z118),$AC118,IF(AND($Y118&lt;&gt;"",EDATE($D118,Milestones!$AA$104)&gt;=$Y118),$AB118,$AA118)))=Milestones!$AB$104),UPPER(TEXT(EDATE($D118,Milestones!$AA$104),"dd mmm yy"))&amp;" "&amp;Milestones!$AB$104&amp;" "&amp;IF(AND(Milestones!$AB$104="FT",Milestones!$AA$104=FT_Y5,EDATE($D118,Milestones!$AA$104)&lt;PolicyEff),1,Milestones!$AC$104)&amp;";  ","")&amp;IF(AND(EDATE($D118,Milestones!$AA$105)&lt;=AsOfDate,EDATE($D118,Milestones!$AA$105)&gt;=SchemeStart,IF($X118=0,$AD118,IF(AND($Z118&lt;&gt;"",EDATE($D118,Milestones!$AA$105)&gt;=$Z118),$AC118,IF(AND($Y118&lt;&gt;"",EDATE($D118,Milestones!$AA$105)&gt;=$Y118),$AB118,$AA118)))=Milestones!$AB$105),UPPER(TEXT(EDATE($D118,Milestones!$AA$105),"dd mmm yy"))&amp;" "&amp;Milestones!$AB$105&amp;" "&amp;IF(AND(Milestones!$AB$105="FT",Milestones!$AA$105=FT_Y5,EDATE($D118,Milestones!$AA$105)&lt;PolicyEff),1,Milestones!$AC$105)&amp;";  ","")&amp;IF(AND(EDATE($D118,Milestones!$AA$106)&lt;=AsOfDate,EDATE($D118,Milestones!$AA$106)&gt;=SchemeStart,IF($X118=0,$AD118,IF(AND($Z118&lt;&gt;"",EDATE($D118,Milestones!$AA$106)&gt;=$Z118),$AC118,IF(AND($Y118&lt;&gt;"",EDATE($D118,Milestones!$AA$106)&gt;=$Y118),$AB118,$AA118)))=Milestones!$AB$106),UPPER(TEXT(EDATE($D118,Milestones!$AA$106),"dd mmm yy"))&amp;" "&amp;Milestones!$AB$106&amp;" "&amp;IF(AND(Milestones!$AB$106="FT",Milestones!$AA$106=FT_Y5,EDATE($D118,Milestones!$AA$106)&lt;PolicyEff),1,Milestones!$AC$106)&amp;";  ","")&amp;IF(AND(EDATE($D118,Milestones!$AA$107)&lt;=AsOfDate,EDATE($D118,Milestones!$AA$107)&gt;=SchemeStart,IF($X118=0,$AD118,IF(AND($Z118&lt;&gt;"",EDATE($D118,Milestones!$AA$107)&gt;=$Z118),$AC118,IF(AND($Y118&lt;&gt;"",EDATE($D118,Milestones!$AA$107)&gt;=$Y118),$AB118,$AA118)))=Milestones!$AB$107),UPPER(TEXT(EDATE($D118,Milestones!$AA$107),"dd mmm yy"))&amp;" "&amp;Milestones!$AB$107&amp;" "&amp;IF(AND(Milestones!$AB$107="FT",Milestones!$AA$107=FT_Y5,EDATE($D118,Milestones!$AA$107)&lt;PolicyEff),1,Milestones!$AC$107)&amp;";  ","")&amp;IF(AND(EDATE($D118,Milestones!$AA$108)&lt;=AsOfDate,EDATE($D118,Milestones!$AA$108)&gt;=SchemeStart,IF($X118=0,$AD118,IF(AND($Z118&lt;&gt;"",EDATE($D118,Milestones!$AA$108)&gt;=$Z118),$AC118,IF(AND($Y118&lt;&gt;"",EDATE($D118,Milestones!$AA$108)&gt;=$Y118),$AB118,$AA118)))=Milestones!$AB$108),UPPER(TEXT(EDATE($D118,Milestones!$AA$108),"dd mmm yy"))&amp;" "&amp;Milestones!$AB$108&amp;" "&amp;IF(AND(Milestones!$AB$108="FT",Milestones!$AA$108=FT_Y5,EDATE($D118,Milestones!$AA$108)&lt;PolicyEff),1,Milestones!$AC$108)&amp;";  ","")&amp;IF(AND(EDATE($D118,Milestones!$AA$109)&lt;=AsOfDate,EDATE($D118,Milestones!$AA$109)&gt;=SchemeStart,IF($X118=0,$AD118,IF(AND($Z118&lt;&gt;"",EDATE($D118,Milestones!$AA$109)&gt;=$Z118),$AC118,IF(AND($Y118&lt;&gt;"",EDATE($D118,Milestones!$AA$109)&gt;=$Y118),$AB118,$AA118)))=Milestones!$AB$109),UPPER(TEXT(EDATE($D118,Milestones!$AA$109),"dd mmm yy"))&amp;" "&amp;Milestones!$AB$109&amp;" "&amp;IF(AND(Milestones!$AB$109="FT",Milestones!$AA$109=FT_Y5,EDATE($D118,Milestones!$AA$109)&lt;PolicyEff),1,Milestones!$AC$109)&amp;";  ","")&amp;IF(AND(EDATE($D118,Milestones!$AA$110)&lt;=AsOfDate,EDATE($D118,Milestones!$AA$110)&gt;=SchemeStart,IF($X118=0,$AD118,IF(AND($Z118&lt;&gt;"",EDATE($D118,Milestones!$AA$110)&gt;=$Z118),$AC118,IF(AND($Y118&lt;&gt;"",EDATE($D118,Milestones!$AA$110)&gt;=$Y118),$AB118,$AA118)))=Milestones!$AB$110),UPPER(TEXT(EDATE($D118,Milestones!$AA$110),"dd mmm yy"))&amp;" "&amp;Milestones!$AB$110&amp;" "&amp;IF(AND(Milestones!$AB$110="FT",Milestones!$AA$110=FT_Y5,EDATE($D118,Milestones!$AA$110)&lt;PolicyEff),1,Milestones!$AC$110)&amp;";  ","")&amp;IF(AND(EDATE($D118,Milestones!$AA$111)&lt;=AsOfDate,EDATE($D118,Milestones!$AA$111)&gt;=SchemeStart,IF($X118=0,$AD118,IF(AND($Z118&lt;&gt;"",EDATE($D118,Milestones!$AA$111)&gt;=$Z118),$AC118,IF(AND($Y118&lt;&gt;"",EDATE($D118,Milestones!$AA$111)&gt;=$Y118),$AB118,$AA118)))=Milestones!$AB$111),UPPER(TEXT(EDATE($D118,Milestones!$AA$111),"dd mmm yy"))&amp;" "&amp;Milestones!$AB$111&amp;" "&amp;IF(AND(Milestones!$AB$111="FT",Milestones!$AA$111=FT_Y5,EDATE($D118,Milestones!$AA$111)&lt;PolicyEff),1,Milestones!$AC$111)&amp;";  ","")&amp;IF(AND(EDATE($D118,Milestones!$AA$112)&lt;=AsOfDate,EDATE($D118,Milestones!$AA$112)&gt;=SchemeStart,IF($X118=0,$AD118,IF(AND($Z118&lt;&gt;"",EDATE($D118,Milestones!$AA$112)&gt;=$Z118),$AC118,IF(AND($Y118&lt;&gt;"",EDATE($D118,Milestones!$AA$112)&gt;=$Y118),$AB118,$AA118)))=Milestones!$AB$112),UPPER(TEXT(EDATE($D118,Milestones!$AA$112),"dd mmm yy"))&amp;" "&amp;Milestones!$AB$112&amp;" "&amp;IF(AND(Milestones!$AB$112="FT",Milestones!$AA$112=FT_Y5,EDATE($D118,Milestones!$AA$112)&lt;PolicyEff),1,Milestones!$AC$112)&amp;";  ","")&amp;IF(AND(EDATE($D118,Milestones!$AA$113)&lt;=AsOfDate,EDATE($D118,Milestones!$AA$113)&gt;=SchemeStart,IF($X118=0,$AD118,IF(AND($Z118&lt;&gt;"",EDATE($D118,Milestones!$AA$113)&gt;=$Z118),$AC118,IF(AND($Y118&lt;&gt;"",EDATE($D118,Milestones!$AA$113)&gt;=$Y118),$AB118,$AA118)))=Milestones!$AB$113),UPPER(TEXT(EDATE($D118,Milestones!$AA$113),"dd mmm yy"))&amp;" "&amp;Milestones!$AB$113&amp;" "&amp;IF(AND(Milestones!$AB$113="FT",Milestones!$AA$113=FT_Y5,EDATE($D118,Milestones!$AA$113)&lt;PolicyEff),1,Milestones!$AC$113)&amp;";  ","")&amp;IF(AND(EDATE($D118,Milestones!$AA$114)&lt;=AsOfDate,EDATE($D118,Milestones!$AA$114)&gt;=SchemeStart,IF($X118=0,$AD118,IF(AND($Z118&lt;&gt;"",EDATE($D118,Milestones!$AA$114)&gt;=$Z118),$AC118,IF(AND($Y118&lt;&gt;"",EDATE($D118,Milestones!$AA$114)&gt;=$Y118),$AB118,$AA118)))=Milestones!$AB$114),UPPER(TEXT(EDATE($D118,Milestones!$AA$114),"dd mmm yy"))&amp;" "&amp;Milestones!$AB$114&amp;" "&amp;IF(AND(Milestones!$AB$114="FT",Milestones!$AA$114=FT_Y5,EDATE($D118,Milestones!$AA$114)&lt;PolicyEff),1,Milestones!$AC$114)&amp;";  ","")&amp;IF(AND(EDATE($D118,Milestones!$AA$115)&lt;=AsOfDate,EDATE($D118,Milestones!$AA$115)&gt;=SchemeStart,IF($X118=0,$AD118,IF(AND($Z118&lt;&gt;"",EDATE($D118,Milestones!$AA$115)&gt;=$Z118),$AC118,IF(AND($Y118&lt;&gt;"",EDATE($D118,Milestones!$AA$115)&gt;=$Y118),$AB118,$AA118)))=Milestones!$AB$115),UPPER(TEXT(EDATE($D118,Milestones!$AA$115),"dd mmm yy"))&amp;" "&amp;Milestones!$AB$115&amp;" "&amp;IF(AND(Milestones!$AB$115="FT",Milestones!$AA$115=FT_Y5,EDATE($D118,Milestones!$AA$115)&lt;PolicyEff),1,Milestones!$AC$115)&amp;";  ",""))</f>
        <v/>
      </c>
      <c r="Q118" s="0" t="str">
        <f aca="false">IF(OR($A118="",$D118=""),"",IF(AND(EDATE($D118,Milestones!$AA$116)&lt;=AsOfDate,EDATE($D118,Milestones!$AA$116)&gt;=SchemeStart,IF($X118=0,$AD118,IF(AND($Z118&lt;&gt;"",EDATE($D118,Milestones!$AA$116)&gt;=$Z118),$AC118,IF(AND($Y118&lt;&gt;"",EDATE($D118,Milestones!$AA$116)&gt;=$Y118),$AB118,$AA118)))=Milestones!$AB$116),UPPER(TEXT(EDATE($D118,Milestones!$AA$116),"dd mmm yy"))&amp;" "&amp;Milestones!$AB$116&amp;" "&amp;IF(AND(Milestones!$AB$116="FT",Milestones!$AA$116=FT_Y5,EDATE($D118,Milestones!$AA$116)&lt;PolicyEff),1,Milestones!$AC$116)&amp;";  ","")&amp;IF(AND(EDATE($D118,Milestones!$AA$117)&lt;=AsOfDate,EDATE($D118,Milestones!$AA$117)&gt;=SchemeStart,IF($X118=0,$AD118,IF(AND($Z118&lt;&gt;"",EDATE($D118,Milestones!$AA$117)&gt;=$Z118),$AC118,IF(AND($Y118&lt;&gt;"",EDATE($D118,Milestones!$AA$117)&gt;=$Y118),$AB118,$AA118)))=Milestones!$AB$117),UPPER(TEXT(EDATE($D118,Milestones!$AA$117),"dd mmm yy"))&amp;" "&amp;Milestones!$AB$117&amp;" "&amp;IF(AND(Milestones!$AB$117="FT",Milestones!$AA$117=FT_Y5,EDATE($D118,Milestones!$AA$117)&lt;PolicyEff),1,Milestones!$AC$117)&amp;";  ","")&amp;IF(AND(EDATE($D118,Milestones!$AA$118)&lt;=AsOfDate,EDATE($D118,Milestones!$AA$118)&gt;=SchemeStart,IF($X118=0,$AD118,IF(AND($Z118&lt;&gt;"",EDATE($D118,Milestones!$AA$118)&gt;=$Z118),$AC118,IF(AND($Y118&lt;&gt;"",EDATE($D118,Milestones!$AA$118)&gt;=$Y118),$AB118,$AA118)))=Milestones!$AB$118),UPPER(TEXT(EDATE($D118,Milestones!$AA$118),"dd mmm yy"))&amp;" "&amp;Milestones!$AB$118&amp;" "&amp;IF(AND(Milestones!$AB$118="FT",Milestones!$AA$118=FT_Y5,EDATE($D118,Milestones!$AA$118)&lt;PolicyEff),1,Milestones!$AC$118)&amp;";  ","")&amp;IF(AND(EDATE($D118,Milestones!$AA$119)&lt;=AsOfDate,EDATE($D118,Milestones!$AA$119)&gt;=SchemeStart,IF($X118=0,$AD118,IF(AND($Z118&lt;&gt;"",EDATE($D118,Milestones!$AA$119)&gt;=$Z118),$AC118,IF(AND($Y118&lt;&gt;"",EDATE($D118,Milestones!$AA$119)&gt;=$Y118),$AB118,$AA118)))=Milestones!$AB$119),UPPER(TEXT(EDATE($D118,Milestones!$AA$119),"dd mmm yy"))&amp;" "&amp;Milestones!$AB$119&amp;" "&amp;IF(AND(Milestones!$AB$119="FT",Milestones!$AA$119=FT_Y5,EDATE($D118,Milestones!$AA$119)&lt;PolicyEff),1,Milestones!$AC$119)&amp;";  ","")&amp;IF(AND(EDATE($D118,Milestones!$AA$120)&lt;=AsOfDate,EDATE($D118,Milestones!$AA$120)&gt;=SchemeStart,IF($X118=0,$AD118,IF(AND($Z118&lt;&gt;"",EDATE($D118,Milestones!$AA$120)&gt;=$Z118),$AC118,IF(AND($Y118&lt;&gt;"",EDATE($D118,Milestones!$AA$120)&gt;=$Y118),$AB118,$AA118)))=Milestones!$AB$120),UPPER(TEXT(EDATE($D118,Milestones!$AA$120),"dd mmm yy"))&amp;" "&amp;Milestones!$AB$120&amp;" "&amp;IF(AND(Milestones!$AB$120="FT",Milestones!$AA$120=FT_Y5,EDATE($D118,Milestones!$AA$120)&lt;PolicyEff),1,Milestones!$AC$120)&amp;";  ","")&amp;IF(AND(EDATE($D118,Milestones!$AA$121)&lt;=AsOfDate,EDATE($D118,Milestones!$AA$121)&gt;=SchemeStart,IF($X118=0,$AD118,IF(AND($Z118&lt;&gt;"",EDATE($D118,Milestones!$AA$121)&gt;=$Z118),$AC118,IF(AND($Y118&lt;&gt;"",EDATE($D118,Milestones!$AA$121)&gt;=$Y118),$AB118,$AA118)))=Milestones!$AB$121),UPPER(TEXT(EDATE($D118,Milestones!$AA$121),"dd mmm yy"))&amp;" "&amp;Milestones!$AB$121&amp;" "&amp;IF(AND(Milestones!$AB$121="FT",Milestones!$AA$121=FT_Y5,EDATE($D118,Milestones!$AA$121)&lt;PolicyEff),1,Milestones!$AC$121)&amp;";  ","")&amp;IF(AND(EDATE($D118,Milestones!$AA$122)&lt;=AsOfDate,EDATE($D118,Milestones!$AA$122)&gt;=SchemeStart,IF($X118=0,$AD118,IF(AND($Z118&lt;&gt;"",EDATE($D118,Milestones!$AA$122)&gt;=$Z118),$AC118,IF(AND($Y118&lt;&gt;"",EDATE($D118,Milestones!$AA$122)&gt;=$Y118),$AB118,$AA118)))=Milestones!$AB$122),UPPER(TEXT(EDATE($D118,Milestones!$AA$122),"dd mmm yy"))&amp;" "&amp;Milestones!$AB$122&amp;" "&amp;IF(AND(Milestones!$AB$122="FT",Milestones!$AA$122=FT_Y5,EDATE($D118,Milestones!$AA$122)&lt;PolicyEff),1,Milestones!$AC$122)&amp;";  ","")&amp;IF(AND(EDATE($D118,Milestones!$AA$123)&lt;=AsOfDate,EDATE($D118,Milestones!$AA$123)&gt;=SchemeStart,IF($X118=0,$AD118,IF(AND($Z118&lt;&gt;"",EDATE($D118,Milestones!$AA$123)&gt;=$Z118),$AC118,IF(AND($Y118&lt;&gt;"",EDATE($D118,Milestones!$AA$123)&gt;=$Y118),$AB118,$AA118)))=Milestones!$AB$123),UPPER(TEXT(EDATE($D118,Milestones!$AA$123),"dd mmm yy"))&amp;" "&amp;Milestones!$AB$123&amp;" "&amp;IF(AND(Milestones!$AB$123="FT",Milestones!$AA$123=FT_Y5,EDATE($D118,Milestones!$AA$123)&lt;PolicyEff),1,Milestones!$AC$123)&amp;";  ","")&amp;IF(AND(EDATE($D118,Milestones!$AA$124)&lt;=AsOfDate,EDATE($D118,Milestones!$AA$124)&gt;=SchemeStart,IF($X118=0,$AD118,IF(AND($Z118&lt;&gt;"",EDATE($D118,Milestones!$AA$124)&gt;=$Z118),$AC118,IF(AND($Y118&lt;&gt;"",EDATE($D118,Milestones!$AA$124)&gt;=$Y118),$AB118,$AA118)))=Milestones!$AB$124),UPPER(TEXT(EDATE($D118,Milestones!$AA$124),"dd mmm yy"))&amp;" "&amp;Milestones!$AB$124&amp;" "&amp;IF(AND(Milestones!$AB$124="FT",Milestones!$AA$124=FT_Y5,EDATE($D118,Milestones!$AA$124)&lt;PolicyEff),1,Milestones!$AC$124)&amp;";  ","")&amp;IF(AND(EDATE($D118,Milestones!$AA$125)&lt;=AsOfDate,EDATE($D118,Milestones!$AA$125)&gt;=SchemeStart,IF($X118=0,$AD118,IF(AND($Z118&lt;&gt;"",EDATE($D118,Milestones!$AA$125)&gt;=$Z118),$AC118,IF(AND($Y118&lt;&gt;"",EDATE($D118,Milestones!$AA$125)&gt;=$Y118),$AB118,$AA118)))=Milestones!$AB$125),UPPER(TEXT(EDATE($D118,Milestones!$AA$125),"dd mmm yy"))&amp;" "&amp;Milestones!$AB$125&amp;" "&amp;IF(AND(Milestones!$AB$125="FT",Milestones!$AA$125=FT_Y5,EDATE($D118,Milestones!$AA$125)&lt;PolicyEff),1,Milestones!$AC$125)&amp;";  ","")&amp;IF(AND(EDATE($D118,Milestones!$AA$126)&lt;=AsOfDate,EDATE($D118,Milestones!$AA$126)&gt;=SchemeStart,IF($X118=0,$AD118,IF(AND($Z118&lt;&gt;"",EDATE($D118,Milestones!$AA$126)&gt;=$Z118),$AC118,IF(AND($Y118&lt;&gt;"",EDATE($D118,Milestones!$AA$126)&gt;=$Y118),$AB118,$AA118)))=Milestones!$AB$126),UPPER(TEXT(EDATE($D118,Milestones!$AA$126),"dd mmm yy"))&amp;" "&amp;Milestones!$AB$126&amp;" "&amp;IF(AND(Milestones!$AB$126="FT",Milestones!$AA$126=FT_Y5,EDATE($D118,Milestones!$AA$126)&lt;PolicyEff),1,Milestones!$AC$126)&amp;";  ","")&amp;IF(AND(EDATE($D118,Milestones!$AA$127)&lt;=AsOfDate,EDATE($D118,Milestones!$AA$127)&gt;=SchemeStart,IF($X118=0,$AD118,IF(AND($Z118&lt;&gt;"",EDATE($D118,Milestones!$AA$127)&gt;=$Z118),$AC118,IF(AND($Y118&lt;&gt;"",EDATE($D118,Milestones!$AA$127)&gt;=$Y118),$AB118,$AA118)))=Milestones!$AB$127),UPPER(TEXT(EDATE($D118,Milestones!$AA$127),"dd mmm yy"))&amp;" "&amp;Milestones!$AB$127&amp;" "&amp;IF(AND(Milestones!$AB$127="FT",Milestones!$AA$127=FT_Y5,EDATE($D118,Milestones!$AA$127)&lt;PolicyEff),1,Milestones!$AC$127)&amp;";  ",""))</f>
        <v/>
      </c>
      <c r="R118" s="0" t="str">
        <f aca="false">IF(OR($A118="",$D118=""),"",IF(AND(EDATE($D118,Milestones!$AA$128)&lt;=AsOfDate,EDATE($D118,Milestones!$AA$128)&gt;=SchemeStart,IF($X118=0,$AD118,IF(AND($Z118&lt;&gt;"",EDATE($D118,Milestones!$AA$128)&gt;=$Z118),$AC118,IF(AND($Y118&lt;&gt;"",EDATE($D118,Milestones!$AA$128)&gt;=$Y118),$AB118,$AA118)))=Milestones!$AB$128),UPPER(TEXT(EDATE($D118,Milestones!$AA$128),"dd mmm yy"))&amp;" "&amp;Milestones!$AB$128&amp;" "&amp;IF(AND(Milestones!$AB$128="FT",Milestones!$AA$128=FT_Y5,EDATE($D118,Milestones!$AA$128)&lt;PolicyEff),1,Milestones!$AC$128)&amp;";  ","")&amp;IF(AND(EDATE($D118,Milestones!$AA$129)&lt;=AsOfDate,EDATE($D118,Milestones!$AA$129)&gt;=SchemeStart,IF($X118=0,$AD118,IF(AND($Z118&lt;&gt;"",EDATE($D118,Milestones!$AA$129)&gt;=$Z118),$AC118,IF(AND($Y118&lt;&gt;"",EDATE($D118,Milestones!$AA$129)&gt;=$Y118),$AB118,$AA118)))=Milestones!$AB$129),UPPER(TEXT(EDATE($D118,Milestones!$AA$129),"dd mmm yy"))&amp;" "&amp;Milestones!$AB$129&amp;" "&amp;IF(AND(Milestones!$AB$129="FT",Milestones!$AA$129=FT_Y5,EDATE($D118,Milestones!$AA$129)&lt;PolicyEff),1,Milestones!$AC$129)&amp;";  ","")&amp;IF(AND(EDATE($D118,Milestones!$AA$130)&lt;=AsOfDate,EDATE($D118,Milestones!$AA$130)&gt;=SchemeStart,IF($X118=0,$AD118,IF(AND($Z118&lt;&gt;"",EDATE($D118,Milestones!$AA$130)&gt;=$Z118),$AC118,IF(AND($Y118&lt;&gt;"",EDATE($D118,Milestones!$AA$130)&gt;=$Y118),$AB118,$AA118)))=Milestones!$AB$130),UPPER(TEXT(EDATE($D118,Milestones!$AA$130),"dd mmm yy"))&amp;" "&amp;Milestones!$AB$130&amp;" "&amp;IF(AND(Milestones!$AB$130="FT",Milestones!$AA$130=FT_Y5,EDATE($D118,Milestones!$AA$130)&lt;PolicyEff),1,Milestones!$AC$130)&amp;";  ","")&amp;IF(AND(EDATE($D118,Milestones!$AA$131)&lt;=AsOfDate,EDATE($D118,Milestones!$AA$131)&gt;=SchemeStart,IF($X118=0,$AD118,IF(AND($Z118&lt;&gt;"",EDATE($D118,Milestones!$AA$131)&gt;=$Z118),$AC118,IF(AND($Y118&lt;&gt;"",EDATE($D118,Milestones!$AA$131)&gt;=$Y118),$AB118,$AA118)))=Milestones!$AB$131),UPPER(TEXT(EDATE($D118,Milestones!$AA$131),"dd mmm yy"))&amp;" "&amp;Milestones!$AB$131&amp;" "&amp;IF(AND(Milestones!$AB$131="FT",Milestones!$AA$131=FT_Y5,EDATE($D118,Milestones!$AA$131)&lt;PolicyEff),1,Milestones!$AC$131)&amp;";  ","")&amp;IF(AND(EDATE($D118,Milestones!$AA$132)&lt;=AsOfDate,EDATE($D118,Milestones!$AA$132)&gt;=SchemeStart,IF($X118=0,$AD118,IF(AND($Z118&lt;&gt;"",EDATE($D118,Milestones!$AA$132)&gt;=$Z118),$AC118,IF(AND($Y118&lt;&gt;"",EDATE($D118,Milestones!$AA$132)&gt;=$Y118),$AB118,$AA118)))=Milestones!$AB$132),UPPER(TEXT(EDATE($D118,Milestones!$AA$132),"dd mmm yy"))&amp;" "&amp;Milestones!$AB$132&amp;" "&amp;IF(AND(Milestones!$AB$132="FT",Milestones!$AA$132=FT_Y5,EDATE($D118,Milestones!$AA$132)&lt;PolicyEff),1,Milestones!$AC$132)&amp;";  ","")&amp;IF(AND(EDATE($D118,Milestones!$AA$133)&lt;=AsOfDate,EDATE($D118,Milestones!$AA$133)&gt;=SchemeStart,IF($X118=0,$AD118,IF(AND($Z118&lt;&gt;"",EDATE($D118,Milestones!$AA$133)&gt;=$Z118),$AC118,IF(AND($Y118&lt;&gt;"",EDATE($D118,Milestones!$AA$133)&gt;=$Y118),$AB118,$AA118)))=Milestones!$AB$133),UPPER(TEXT(EDATE($D118,Milestones!$AA$133),"dd mmm yy"))&amp;" "&amp;Milestones!$AB$133&amp;" "&amp;IF(AND(Milestones!$AB$133="FT",Milestones!$AA$133=FT_Y5,EDATE($D118,Milestones!$AA$133)&lt;PolicyEff),1,Milestones!$AC$133)&amp;";  ","")&amp;IF(AND(EDATE($D118,Milestones!$AA$134)&lt;=AsOfDate,EDATE($D118,Milestones!$AA$134)&gt;=SchemeStart,IF($X118=0,$AD118,IF(AND($Z118&lt;&gt;"",EDATE($D118,Milestones!$AA$134)&gt;=$Z118),$AC118,IF(AND($Y118&lt;&gt;"",EDATE($D118,Milestones!$AA$134)&gt;=$Y118),$AB118,$AA118)))=Milestones!$AB$134),UPPER(TEXT(EDATE($D118,Milestones!$AA$134),"dd mmm yy"))&amp;" "&amp;Milestones!$AB$134&amp;" "&amp;IF(AND(Milestones!$AB$134="FT",Milestones!$AA$134=FT_Y5,EDATE($D118,Milestones!$AA$134)&lt;PolicyEff),1,Milestones!$AC$134)&amp;";  ","")&amp;IF(AND(EDATE($D118,Milestones!$AA$135)&lt;=AsOfDate,EDATE($D118,Milestones!$AA$135)&gt;=SchemeStart,IF($X118=0,$AD118,IF(AND($Z118&lt;&gt;"",EDATE($D118,Milestones!$AA$135)&gt;=$Z118),$AC118,IF(AND($Y118&lt;&gt;"",EDATE($D118,Milestones!$AA$135)&gt;=$Y118),$AB118,$AA118)))=Milestones!$AB$135),UPPER(TEXT(EDATE($D118,Milestones!$AA$135),"dd mmm yy"))&amp;" "&amp;Milestones!$AB$135&amp;" "&amp;IF(AND(Milestones!$AB$135="FT",Milestones!$AA$135=FT_Y5,EDATE($D118,Milestones!$AA$135)&lt;PolicyEff),1,Milestones!$AC$135)&amp;";  ","")&amp;IF(AND(EDATE($D118,Milestones!$AA$136)&lt;=AsOfDate,EDATE($D118,Milestones!$AA$136)&gt;=SchemeStart,IF($X118=0,$AD118,IF(AND($Z118&lt;&gt;"",EDATE($D118,Milestones!$AA$136)&gt;=$Z118),$AC118,IF(AND($Y118&lt;&gt;"",EDATE($D118,Milestones!$AA$136)&gt;=$Y118),$AB118,$AA118)))=Milestones!$AB$136),UPPER(TEXT(EDATE($D118,Milestones!$AA$136),"dd mmm yy"))&amp;" "&amp;Milestones!$AB$136&amp;" "&amp;IF(AND(Milestones!$AB$136="FT",Milestones!$AA$136=FT_Y5,EDATE($D118,Milestones!$AA$136)&lt;PolicyEff),1,Milestones!$AC$136)&amp;";  ","")&amp;IF(AND(EDATE($D118,Milestones!$AA$137)&lt;=AsOfDate,EDATE($D118,Milestones!$AA$137)&gt;=SchemeStart,IF($X118=0,$AD118,IF(AND($Z118&lt;&gt;"",EDATE($D118,Milestones!$AA$137)&gt;=$Z118),$AC118,IF(AND($Y118&lt;&gt;"",EDATE($D118,Milestones!$AA$137)&gt;=$Y118),$AB118,$AA118)))=Milestones!$AB$137),UPPER(TEXT(EDATE($D118,Milestones!$AA$137),"dd mmm yy"))&amp;" "&amp;Milestones!$AB$137&amp;" "&amp;IF(AND(Milestones!$AB$137="FT",Milestones!$AA$137=FT_Y5,EDATE($D118,Milestones!$AA$137)&lt;PolicyEff),1,Milestones!$AC$137)&amp;";  ","")&amp;IF(AND(EDATE($D118,Milestones!$AA$138)&lt;=AsOfDate,EDATE($D118,Milestones!$AA$138)&gt;=SchemeStart,IF($X118=0,$AD118,IF(AND($Z118&lt;&gt;"",EDATE($D118,Milestones!$AA$138)&gt;=$Z118),$AC118,IF(AND($Y118&lt;&gt;"",EDATE($D118,Milestones!$AA$138)&gt;=$Y118),$AB118,$AA118)))=Milestones!$AB$138),UPPER(TEXT(EDATE($D118,Milestones!$AA$138),"dd mmm yy"))&amp;" "&amp;Milestones!$AB$138&amp;" "&amp;IF(AND(Milestones!$AB$138="FT",Milestones!$AA$138=FT_Y5,EDATE($D118,Milestones!$AA$138)&lt;PolicyEff),1,Milestones!$AC$138)&amp;";  ","")&amp;IF(AND(EDATE($D118,Milestones!$AA$139)&lt;=AsOfDate,EDATE($D118,Milestones!$AA$139)&gt;=SchemeStart,IF($X118=0,$AD118,IF(AND($Z118&lt;&gt;"",EDATE($D118,Milestones!$AA$139)&gt;=$Z118),$AC118,IF(AND($Y118&lt;&gt;"",EDATE($D118,Milestones!$AA$139)&gt;=$Y118),$AB118,$AA118)))=Milestones!$AB$139),UPPER(TEXT(EDATE($D118,Milestones!$AA$139),"dd mmm yy"))&amp;" "&amp;Milestones!$AB$139&amp;" "&amp;IF(AND(Milestones!$AB$139="FT",Milestones!$AA$139=FT_Y5,EDATE($D118,Milestones!$AA$139)&lt;PolicyEff),1,Milestones!$AC$139)&amp;";  ",""))</f>
        <v/>
      </c>
      <c r="S118" s="0" t="str">
        <f aca="false">IF(OR($A118="",$D118=""),"",IF(AND(EDATE($D118,Milestones!$AA$140)&lt;=AsOfDate,EDATE($D118,Milestones!$AA$140)&gt;=SchemeStart,IF($X118=0,$AD118,IF(AND($Z118&lt;&gt;"",EDATE($D118,Milestones!$AA$140)&gt;=$Z118),$AC118,IF(AND($Y118&lt;&gt;"",EDATE($D118,Milestones!$AA$140)&gt;=$Y118),$AB118,$AA118)))=Milestones!$AB$140),UPPER(TEXT(EDATE($D118,Milestones!$AA$140),"dd mmm yy"))&amp;" "&amp;Milestones!$AB$140&amp;" "&amp;IF(AND(Milestones!$AB$140="FT",Milestones!$AA$140=FT_Y5,EDATE($D118,Milestones!$AA$140)&lt;PolicyEff),1,Milestones!$AC$140)&amp;";  ","")&amp;IF(AND(EDATE($D118,Milestones!$AA$141)&lt;=AsOfDate,EDATE($D118,Milestones!$AA$141)&gt;=SchemeStart,IF($X118=0,$AD118,IF(AND($Z118&lt;&gt;"",EDATE($D118,Milestones!$AA$141)&gt;=$Z118),$AC118,IF(AND($Y118&lt;&gt;"",EDATE($D118,Milestones!$AA$141)&gt;=$Y118),$AB118,$AA118)))=Milestones!$AB$141),UPPER(TEXT(EDATE($D118,Milestones!$AA$141),"dd mmm yy"))&amp;" "&amp;Milestones!$AB$141&amp;" "&amp;IF(AND(Milestones!$AB$141="FT",Milestones!$AA$141=FT_Y5,EDATE($D118,Milestones!$AA$141)&lt;PolicyEff),1,Milestones!$AC$141)&amp;";  ","")&amp;IF(AND(EDATE($D118,Milestones!$AA$142)&lt;=AsOfDate,EDATE($D118,Milestones!$AA$142)&gt;=SchemeStart,IF($X118=0,$AD118,IF(AND($Z118&lt;&gt;"",EDATE($D118,Milestones!$AA$142)&gt;=$Z118),$AC118,IF(AND($Y118&lt;&gt;"",EDATE($D118,Milestones!$AA$142)&gt;=$Y118),$AB118,$AA118)))=Milestones!$AB$142),UPPER(TEXT(EDATE($D118,Milestones!$AA$142),"dd mmm yy"))&amp;" "&amp;Milestones!$AB$142&amp;" "&amp;IF(AND(Milestones!$AB$142="FT",Milestones!$AA$142=FT_Y5,EDATE($D118,Milestones!$AA$142)&lt;PolicyEff),1,Milestones!$AC$142)&amp;";  ","")&amp;IF(AND(EDATE($D118,Milestones!$AA$143)&lt;=AsOfDate,EDATE($D118,Milestones!$AA$143)&gt;=SchemeStart,IF($X118=0,$AD118,IF(AND($Z118&lt;&gt;"",EDATE($D118,Milestones!$AA$143)&gt;=$Z118),$AC118,IF(AND($Y118&lt;&gt;"",EDATE($D118,Milestones!$AA$143)&gt;=$Y118),$AB118,$AA118)))=Milestones!$AB$143),UPPER(TEXT(EDATE($D118,Milestones!$AA$143),"dd mmm yy"))&amp;" "&amp;Milestones!$AB$143&amp;" "&amp;IF(AND(Milestones!$AB$143="FT",Milestones!$AA$143=FT_Y5,EDATE($D118,Milestones!$AA$143)&lt;PolicyEff),1,Milestones!$AC$143)&amp;";  ","")&amp;IF(AND(EDATE($D118,Milestones!$AA$144)&lt;=AsOfDate,EDATE($D118,Milestones!$AA$144)&gt;=SchemeStart,IF($X118=0,$AD118,IF(AND($Z118&lt;&gt;"",EDATE($D118,Milestones!$AA$144)&gt;=$Z118),$AC118,IF(AND($Y118&lt;&gt;"",EDATE($D118,Milestones!$AA$144)&gt;=$Y118),$AB118,$AA118)))=Milestones!$AB$144),UPPER(TEXT(EDATE($D118,Milestones!$AA$144),"dd mmm yy"))&amp;" "&amp;Milestones!$AB$144&amp;" "&amp;IF(AND(Milestones!$AB$144="FT",Milestones!$AA$144=FT_Y5,EDATE($D118,Milestones!$AA$144)&lt;PolicyEff),1,Milestones!$AC$144)&amp;";  ","")&amp;IF(AND(EDATE($D118,Milestones!$AA$145)&lt;=AsOfDate,EDATE($D118,Milestones!$AA$145)&gt;=SchemeStart,IF($X118=0,$AD118,IF(AND($Z118&lt;&gt;"",EDATE($D118,Milestones!$AA$145)&gt;=$Z118),$AC118,IF(AND($Y118&lt;&gt;"",EDATE($D118,Milestones!$AA$145)&gt;=$Y118),$AB118,$AA118)))=Milestones!$AB$145),UPPER(TEXT(EDATE($D118,Milestones!$AA$145),"dd mmm yy"))&amp;" "&amp;Milestones!$AB$145&amp;" "&amp;IF(AND(Milestones!$AB$145="FT",Milestones!$AA$145=FT_Y5,EDATE($D118,Milestones!$AA$145)&lt;PolicyEff),1,Milestones!$AC$145)&amp;";  ","")&amp;IF(AND(EDATE($D118,Milestones!$AA$146)&lt;=AsOfDate,EDATE($D118,Milestones!$AA$146)&gt;=SchemeStart,IF($X118=0,$AD118,IF(AND($Z118&lt;&gt;"",EDATE($D118,Milestones!$AA$146)&gt;=$Z118),$AC118,IF(AND($Y118&lt;&gt;"",EDATE($D118,Milestones!$AA$146)&gt;=$Y118),$AB118,$AA118)))=Milestones!$AB$146),UPPER(TEXT(EDATE($D118,Milestones!$AA$146),"dd mmm yy"))&amp;" "&amp;Milestones!$AB$146&amp;" "&amp;IF(AND(Milestones!$AB$146="FT",Milestones!$AA$146=FT_Y5,EDATE($D118,Milestones!$AA$146)&lt;PolicyEff),1,Milestones!$AC$146)&amp;";  ","")&amp;IF(AND(EDATE($D118,Milestones!$AA$147)&lt;=AsOfDate,EDATE($D118,Milestones!$AA$147)&gt;=SchemeStart,IF($X118=0,$AD118,IF(AND($Z118&lt;&gt;"",EDATE($D118,Milestones!$AA$147)&gt;=$Z118),$AC118,IF(AND($Y118&lt;&gt;"",EDATE($D118,Milestones!$AA$147)&gt;=$Y118),$AB118,$AA118)))=Milestones!$AB$147),UPPER(TEXT(EDATE($D118,Milestones!$AA$147),"dd mmm yy"))&amp;" "&amp;Milestones!$AB$147&amp;" "&amp;IF(AND(Milestones!$AB$147="FT",Milestones!$AA$147=FT_Y5,EDATE($D118,Milestones!$AA$147)&lt;PolicyEff),1,Milestones!$AC$147)&amp;";  ","")&amp;IF(AND(EDATE($D118,Milestones!$AA$148)&lt;=AsOfDate,EDATE($D118,Milestones!$AA$148)&gt;=SchemeStart,IF($X118=0,$AD118,IF(AND($Z118&lt;&gt;"",EDATE($D118,Milestones!$AA$148)&gt;=$Z118),$AC118,IF(AND($Y118&lt;&gt;"",EDATE($D118,Milestones!$AA$148)&gt;=$Y118),$AB118,$AA118)))=Milestones!$AB$148),UPPER(TEXT(EDATE($D118,Milestones!$AA$148),"dd mmm yy"))&amp;" "&amp;Milestones!$AB$148&amp;" "&amp;IF(AND(Milestones!$AB$148="FT",Milestones!$AA$148=FT_Y5,EDATE($D118,Milestones!$AA$148)&lt;PolicyEff),1,Milestones!$AC$148)&amp;";  ","")&amp;IF(AND(EDATE($D118,Milestones!$AA$149)&lt;=AsOfDate,EDATE($D118,Milestones!$AA$149)&gt;=SchemeStart,IF($X118=0,$AD118,IF(AND($Z118&lt;&gt;"",EDATE($D118,Milestones!$AA$149)&gt;=$Z118),$AC118,IF(AND($Y118&lt;&gt;"",EDATE($D118,Milestones!$AA$149)&gt;=$Y118),$AB118,$AA118)))=Milestones!$AB$149),UPPER(TEXT(EDATE($D118,Milestones!$AA$149),"dd mmm yy"))&amp;" "&amp;Milestones!$AB$149&amp;" "&amp;IF(AND(Milestones!$AB$149="FT",Milestones!$AA$149=FT_Y5,EDATE($D118,Milestones!$AA$149)&lt;PolicyEff),1,Milestones!$AC$149)&amp;";  ","")&amp;IF(AND(EDATE($D118,Milestones!$AA$150)&lt;=AsOfDate,EDATE($D118,Milestones!$AA$150)&gt;=SchemeStart,IF($X118=0,$AD118,IF(AND($Z118&lt;&gt;"",EDATE($D118,Milestones!$AA$150)&gt;=$Z118),$AC118,IF(AND($Y118&lt;&gt;"",EDATE($D118,Milestones!$AA$150)&gt;=$Y118),$AB118,$AA118)))=Milestones!$AB$150),UPPER(TEXT(EDATE($D118,Milestones!$AA$150),"dd mmm yy"))&amp;" "&amp;Milestones!$AB$150&amp;" "&amp;IF(AND(Milestones!$AB$150="FT",Milestones!$AA$150=FT_Y5,EDATE($D118,Milestones!$AA$150)&lt;PolicyEff),1,Milestones!$AC$150)&amp;";  ","")&amp;IF(AND(EDATE($D118,Milestones!$AA$151)&lt;=AsOfDate,EDATE($D118,Milestones!$AA$151)&gt;=SchemeStart,IF($X118=0,$AD118,IF(AND($Z118&lt;&gt;"",EDATE($D118,Milestones!$AA$151)&gt;=$Z118),$AC118,IF(AND($Y118&lt;&gt;"",EDATE($D118,Milestones!$AA$151)&gt;=$Y118),$AB118,$AA118)))=Milestones!$AB$151),UPPER(TEXT(EDATE($D118,Milestones!$AA$151),"dd mmm yy"))&amp;" "&amp;Milestones!$AB$151&amp;" "&amp;IF(AND(Milestones!$AB$151="FT",Milestones!$AA$151=FT_Y5,EDATE($D118,Milestones!$AA$151)&lt;PolicyEff),1,Milestones!$AC$151)&amp;";  ",""))</f>
        <v/>
      </c>
      <c r="T118" s="0" t="str">
        <f aca="false">IF(OR($A118="",$D118=""),"",IF(AND(EDATE($D118,Milestones!$AA$152)&lt;=AsOfDate,EDATE($D118,Milestones!$AA$152)&gt;=SchemeStart,IF($X118=0,$AD118,IF(AND($Z118&lt;&gt;"",EDATE($D118,Milestones!$AA$152)&gt;=$Z118),$AC118,IF(AND($Y118&lt;&gt;"",EDATE($D118,Milestones!$AA$152)&gt;=$Y118),$AB118,$AA118)))=Milestones!$AB$152),UPPER(TEXT(EDATE($D118,Milestones!$AA$152),"dd mmm yy"))&amp;" "&amp;Milestones!$AB$152&amp;" "&amp;IF(AND(Milestones!$AB$152="FT",Milestones!$AA$152=FT_Y5,EDATE($D118,Milestones!$AA$152)&lt;PolicyEff),1,Milestones!$AC$152)&amp;";  ","")&amp;IF(AND(EDATE($D118,Milestones!$AA$153)&lt;=AsOfDate,EDATE($D118,Milestones!$AA$153)&gt;=SchemeStart,IF($X118=0,$AD118,IF(AND($Z118&lt;&gt;"",EDATE($D118,Milestones!$AA$153)&gt;=$Z118),$AC118,IF(AND($Y118&lt;&gt;"",EDATE($D118,Milestones!$AA$153)&gt;=$Y118),$AB118,$AA118)))=Milestones!$AB$153),UPPER(TEXT(EDATE($D118,Milestones!$AA$153),"dd mmm yy"))&amp;" "&amp;Milestones!$AB$153&amp;" "&amp;IF(AND(Milestones!$AB$153="FT",Milestones!$AA$153=FT_Y5,EDATE($D118,Milestones!$AA$153)&lt;PolicyEff),1,Milestones!$AC$153)&amp;";  ","")&amp;IF(AND(EDATE($D118,Milestones!$AA$154)&lt;=AsOfDate,EDATE($D118,Milestones!$AA$154)&gt;=SchemeStart,IF($X118=0,$AD118,IF(AND($Z118&lt;&gt;"",EDATE($D118,Milestones!$AA$154)&gt;=$Z118),$AC118,IF(AND($Y118&lt;&gt;"",EDATE($D118,Milestones!$AA$154)&gt;=$Y118),$AB118,$AA118)))=Milestones!$AB$154),UPPER(TEXT(EDATE($D118,Milestones!$AA$154),"dd mmm yy"))&amp;" "&amp;Milestones!$AB$154&amp;" "&amp;IF(AND(Milestones!$AB$154="FT",Milestones!$AA$154=FT_Y5,EDATE($D118,Milestones!$AA$154)&lt;PolicyEff),1,Milestones!$AC$154)&amp;";  ","")&amp;IF(AND(EDATE($D118,Milestones!$AA$155)&lt;=AsOfDate,EDATE($D118,Milestones!$AA$155)&gt;=SchemeStart,IF($X118=0,$AD118,IF(AND($Z118&lt;&gt;"",EDATE($D118,Milestones!$AA$155)&gt;=$Z118),$AC118,IF(AND($Y118&lt;&gt;"",EDATE($D118,Milestones!$AA$155)&gt;=$Y118),$AB118,$AA118)))=Milestones!$AB$155),UPPER(TEXT(EDATE($D118,Milestones!$AA$155),"dd mmm yy"))&amp;" "&amp;Milestones!$AB$155&amp;" "&amp;IF(AND(Milestones!$AB$155="FT",Milestones!$AA$155=FT_Y5,EDATE($D118,Milestones!$AA$155)&lt;PolicyEff),1,Milestones!$AC$155)&amp;";  ","")&amp;IF(AND(EDATE($D118,Milestones!$AA$156)&lt;=AsOfDate,EDATE($D118,Milestones!$AA$156)&gt;=SchemeStart,IF($X118=0,$AD118,IF(AND($Z118&lt;&gt;"",EDATE($D118,Milestones!$AA$156)&gt;=$Z118),$AC118,IF(AND($Y118&lt;&gt;"",EDATE($D118,Milestones!$AA$156)&gt;=$Y118),$AB118,$AA118)))=Milestones!$AB$156),UPPER(TEXT(EDATE($D118,Milestones!$AA$156),"dd mmm yy"))&amp;" "&amp;Milestones!$AB$156&amp;" "&amp;IF(AND(Milestones!$AB$156="FT",Milestones!$AA$156=FT_Y5,EDATE($D118,Milestones!$AA$156)&lt;PolicyEff),1,Milestones!$AC$156)&amp;";  ","")&amp;IF(AND(EDATE($D118,Milestones!$AA$157)&lt;=AsOfDate,EDATE($D118,Milestones!$AA$157)&gt;=SchemeStart,IF($X118=0,$AD118,IF(AND($Z118&lt;&gt;"",EDATE($D118,Milestones!$AA$157)&gt;=$Z118),$AC118,IF(AND($Y118&lt;&gt;"",EDATE($D118,Milestones!$AA$157)&gt;=$Y118),$AB118,$AA118)))=Milestones!$AB$157),UPPER(TEXT(EDATE($D118,Milestones!$AA$157),"dd mmm yy"))&amp;" "&amp;Milestones!$AB$157&amp;" "&amp;IF(AND(Milestones!$AB$157="FT",Milestones!$AA$157=FT_Y5,EDATE($D118,Milestones!$AA$157)&lt;PolicyEff),1,Milestones!$AC$157)&amp;";  ","")&amp;IF(AND(EDATE($D118,Milestones!$AA$158)&lt;=AsOfDate,EDATE($D118,Milestones!$AA$158)&gt;=SchemeStart,IF($X118=0,$AD118,IF(AND($Z118&lt;&gt;"",EDATE($D118,Milestones!$AA$158)&gt;=$Z118),$AC118,IF(AND($Y118&lt;&gt;"",EDATE($D118,Milestones!$AA$158)&gt;=$Y118),$AB118,$AA118)))=Milestones!$AB$158),UPPER(TEXT(EDATE($D118,Milestones!$AA$158),"dd mmm yy"))&amp;" "&amp;Milestones!$AB$158&amp;" "&amp;IF(AND(Milestones!$AB$158="FT",Milestones!$AA$158=FT_Y5,EDATE($D118,Milestones!$AA$158)&lt;PolicyEff),1,Milestones!$AC$158)&amp;";  ","")&amp;IF(AND(EDATE($D118,Milestones!$AA$159)&lt;=AsOfDate,EDATE($D118,Milestones!$AA$159)&gt;=SchemeStart,IF($X118=0,$AD118,IF(AND($Z118&lt;&gt;"",EDATE($D118,Milestones!$AA$159)&gt;=$Z118),$AC118,IF(AND($Y118&lt;&gt;"",EDATE($D118,Milestones!$AA$159)&gt;=$Y118),$AB118,$AA118)))=Milestones!$AB$159),UPPER(TEXT(EDATE($D118,Milestones!$AA$159),"dd mmm yy"))&amp;" "&amp;Milestones!$AB$159&amp;" "&amp;IF(AND(Milestones!$AB$159="FT",Milestones!$AA$159=FT_Y5,EDATE($D118,Milestones!$AA$159)&lt;PolicyEff),1,Milestones!$AC$159)&amp;";  ","")&amp;IF(AND(EDATE($D118,Milestones!$AA$160)&lt;=AsOfDate,EDATE($D118,Milestones!$AA$160)&gt;=SchemeStart,IF($X118=0,$AD118,IF(AND($Z118&lt;&gt;"",EDATE($D118,Milestones!$AA$160)&gt;=$Z118),$AC118,IF(AND($Y118&lt;&gt;"",EDATE($D118,Milestones!$AA$160)&gt;=$Y118),$AB118,$AA118)))=Milestones!$AB$160),UPPER(TEXT(EDATE($D118,Milestones!$AA$160),"dd mmm yy"))&amp;" "&amp;Milestones!$AB$160&amp;" "&amp;IF(AND(Milestones!$AB$160="FT",Milestones!$AA$160=FT_Y5,EDATE($D118,Milestones!$AA$160)&lt;PolicyEff),1,Milestones!$AC$160)&amp;";  ","")&amp;IF(AND(EDATE($D118,Milestones!$AA$161)&lt;=AsOfDate,EDATE($D118,Milestones!$AA$161)&gt;=SchemeStart,IF($X118=0,$AD118,IF(AND($Z118&lt;&gt;"",EDATE($D118,Milestones!$AA$161)&gt;=$Z118),$AC118,IF(AND($Y118&lt;&gt;"",EDATE($D118,Milestones!$AA$161)&gt;=$Y118),$AB118,$AA118)))=Milestones!$AB$161),UPPER(TEXT(EDATE($D118,Milestones!$AA$161),"dd mmm yy"))&amp;" "&amp;Milestones!$AB$161&amp;" "&amp;IF(AND(Milestones!$AB$161="FT",Milestones!$AA$161=FT_Y5,EDATE($D118,Milestones!$AA$161)&lt;PolicyEff),1,Milestones!$AC$161)&amp;";  ","")&amp;IF(AND(EDATE($D118,Milestones!$AA$162)&lt;=AsOfDate,EDATE($D118,Milestones!$AA$162)&gt;=SchemeStart,IF($X118=0,$AD118,IF(AND($Z118&lt;&gt;"",EDATE($D118,Milestones!$AA$162)&gt;=$Z118),$AC118,IF(AND($Y118&lt;&gt;"",EDATE($D118,Milestones!$AA$162)&gt;=$Y118),$AB118,$AA118)))=Milestones!$AB$162),UPPER(TEXT(EDATE($D118,Milestones!$AA$162),"dd mmm yy"))&amp;" "&amp;Milestones!$AB$162&amp;" "&amp;IF(AND(Milestones!$AB$162="FT",Milestones!$AA$162=FT_Y5,EDATE($D118,Milestones!$AA$162)&lt;PolicyEff),1,Milestones!$AC$162)&amp;";  ","")&amp;IF(AND(EDATE($D118,Milestones!$AA$163)&lt;=AsOfDate,EDATE($D118,Milestones!$AA$163)&gt;=SchemeStart,IF($X118=0,$AD118,IF(AND($Z118&lt;&gt;"",EDATE($D118,Milestones!$AA$163)&gt;=$Z118),$AC118,IF(AND($Y118&lt;&gt;"",EDATE($D118,Milestones!$AA$163)&gt;=$Y118),$AB118,$AA118)))=Milestones!$AB$163),UPPER(TEXT(EDATE($D118,Milestones!$AA$163),"dd mmm yy"))&amp;" "&amp;Milestones!$AB$163&amp;" "&amp;IF(AND(Milestones!$AB$163="FT",Milestones!$AA$163=FT_Y5,EDATE($D118,Milestones!$AA$163)&lt;PolicyEff),1,Milestones!$AC$163)&amp;";  ",""))</f>
        <v/>
      </c>
      <c r="U118" s="0" t="str">
        <f aca="false">IF(OR($A118="",$D118=""),"",IF(AND(EDATE($D118,Milestones!$AA$164)&lt;=AsOfDate,EDATE($D118,Milestones!$AA$164)&gt;=SchemeStart,IF($X118=0,$AD118,IF(AND($Z118&lt;&gt;"",EDATE($D118,Milestones!$AA$164)&gt;=$Z118),$AC118,IF(AND($Y118&lt;&gt;"",EDATE($D118,Milestones!$AA$164)&gt;=$Y118),$AB118,$AA118)))=Milestones!$AB$164),UPPER(TEXT(EDATE($D118,Milestones!$AA$164),"dd mmm yy"))&amp;" "&amp;Milestones!$AB$164&amp;" "&amp;IF(AND(Milestones!$AB$164="FT",Milestones!$AA$164=FT_Y5,EDATE($D118,Milestones!$AA$164)&lt;PolicyEff),1,Milestones!$AC$164)&amp;";  ","")&amp;IF(AND(EDATE($D118,Milestones!$AA$165)&lt;=AsOfDate,EDATE($D118,Milestones!$AA$165)&gt;=SchemeStart,IF($X118=0,$AD118,IF(AND($Z118&lt;&gt;"",EDATE($D118,Milestones!$AA$165)&gt;=$Z118),$AC118,IF(AND($Y118&lt;&gt;"",EDATE($D118,Milestones!$AA$165)&gt;=$Y118),$AB118,$AA118)))=Milestones!$AB$165),UPPER(TEXT(EDATE($D118,Milestones!$AA$165),"dd mmm yy"))&amp;" "&amp;Milestones!$AB$165&amp;" "&amp;IF(AND(Milestones!$AB$165="FT",Milestones!$AA$165=FT_Y5,EDATE($D118,Milestones!$AA$165)&lt;PolicyEff),1,Milestones!$AC$165)&amp;";  ","")&amp;IF(AND(EDATE($D118,Milestones!$AA$166)&lt;=AsOfDate,EDATE($D118,Milestones!$AA$166)&gt;=SchemeStart,IF($X118=0,$AD118,IF(AND($Z118&lt;&gt;"",EDATE($D118,Milestones!$AA$166)&gt;=$Z118),$AC118,IF(AND($Y118&lt;&gt;"",EDATE($D118,Milestones!$AA$166)&gt;=$Y118),$AB118,$AA118)))=Milestones!$AB$166),UPPER(TEXT(EDATE($D118,Milestones!$AA$166),"dd mmm yy"))&amp;" "&amp;Milestones!$AB$166&amp;" "&amp;IF(AND(Milestones!$AB$166="FT",Milestones!$AA$166=FT_Y5,EDATE($D118,Milestones!$AA$166)&lt;PolicyEff),1,Milestones!$AC$166)&amp;";  ","")&amp;IF(AND(EDATE($D118,Milestones!$AA$167)&lt;=AsOfDate,EDATE($D118,Milestones!$AA$167)&gt;=SchemeStart,IF($X118=0,$AD118,IF(AND($Z118&lt;&gt;"",EDATE($D118,Milestones!$AA$167)&gt;=$Z118),$AC118,IF(AND($Y118&lt;&gt;"",EDATE($D118,Milestones!$AA$167)&gt;=$Y118),$AB118,$AA118)))=Milestones!$AB$167),UPPER(TEXT(EDATE($D118,Milestones!$AA$167),"dd mmm yy"))&amp;" "&amp;Milestones!$AB$167&amp;" "&amp;IF(AND(Milestones!$AB$167="FT",Milestones!$AA$167=FT_Y5,EDATE($D118,Milestones!$AA$167)&lt;PolicyEff),1,Milestones!$AC$167)&amp;";  ","")&amp;IF(AND(EDATE($D118,Milestones!$AA$168)&lt;=AsOfDate,EDATE($D118,Milestones!$AA$168)&gt;=SchemeStart,IF($X118=0,$AD118,IF(AND($Z118&lt;&gt;"",EDATE($D118,Milestones!$AA$168)&gt;=$Z118),$AC118,IF(AND($Y118&lt;&gt;"",EDATE($D118,Milestones!$AA$168)&gt;=$Y118),$AB118,$AA118)))=Milestones!$AB$168),UPPER(TEXT(EDATE($D118,Milestones!$AA$168),"dd mmm yy"))&amp;" "&amp;Milestones!$AB$168&amp;" "&amp;IF(AND(Milestones!$AB$168="FT",Milestones!$AA$168=FT_Y5,EDATE($D118,Milestones!$AA$168)&lt;PolicyEff),1,Milestones!$AC$168)&amp;";  ","")&amp;IF(AND(EDATE($D118,Milestones!$AA$169)&lt;=AsOfDate,EDATE($D118,Milestones!$AA$169)&gt;=SchemeStart,IF($X118=0,$AD118,IF(AND($Z118&lt;&gt;"",EDATE($D118,Milestones!$AA$169)&gt;=$Z118),$AC118,IF(AND($Y118&lt;&gt;"",EDATE($D118,Milestones!$AA$169)&gt;=$Y118),$AB118,$AA118)))=Milestones!$AB$169),UPPER(TEXT(EDATE($D118,Milestones!$AA$169),"dd mmm yy"))&amp;" "&amp;Milestones!$AB$169&amp;" "&amp;IF(AND(Milestones!$AB$169="FT",Milestones!$AA$169=FT_Y5,EDATE($D118,Milestones!$AA$169)&lt;PolicyEff),1,Milestones!$AC$169)&amp;";  ","")&amp;IF(AND(EDATE($D118,Milestones!$AA$170)&lt;=AsOfDate,EDATE($D118,Milestones!$AA$170)&gt;=SchemeStart,IF($X118=0,$AD118,IF(AND($Z118&lt;&gt;"",EDATE($D118,Milestones!$AA$170)&gt;=$Z118),$AC118,IF(AND($Y118&lt;&gt;"",EDATE($D118,Milestones!$AA$170)&gt;=$Y118),$AB118,$AA118)))=Milestones!$AB$170),UPPER(TEXT(EDATE($D118,Milestones!$AA$170),"dd mmm yy"))&amp;" "&amp;Milestones!$AB$170&amp;" "&amp;IF(AND(Milestones!$AB$170="FT",Milestones!$AA$170=FT_Y5,EDATE($D118,Milestones!$AA$170)&lt;PolicyEff),1,Milestones!$AC$170)&amp;";  ","")&amp;IF(AND(EDATE($D118,Milestones!$AA$171)&lt;=AsOfDate,EDATE($D118,Milestones!$AA$171)&gt;=SchemeStart,IF($X118=0,$AD118,IF(AND($Z118&lt;&gt;"",EDATE($D118,Milestones!$AA$171)&gt;=$Z118),$AC118,IF(AND($Y118&lt;&gt;"",EDATE($D118,Milestones!$AA$171)&gt;=$Y118),$AB118,$AA118)))=Milestones!$AB$171),UPPER(TEXT(EDATE($D118,Milestones!$AA$171),"dd mmm yy"))&amp;" "&amp;Milestones!$AB$171&amp;" "&amp;IF(AND(Milestones!$AB$171="FT",Milestones!$AA$171=FT_Y5,EDATE($D118,Milestones!$AA$171)&lt;PolicyEff),1,Milestones!$AC$171)&amp;";  ","")&amp;IF(AND(EDATE($D118,Milestones!$AA$172)&lt;=AsOfDate,EDATE($D118,Milestones!$AA$172)&gt;=SchemeStart,IF($X118=0,$AD118,IF(AND($Z118&lt;&gt;"",EDATE($D118,Milestones!$AA$172)&gt;=$Z118),$AC118,IF(AND($Y118&lt;&gt;"",EDATE($D118,Milestones!$AA$172)&gt;=$Y118),$AB118,$AA118)))=Milestones!$AB$172),UPPER(TEXT(EDATE($D118,Milestones!$AA$172),"dd mmm yy"))&amp;" "&amp;Milestones!$AB$172&amp;" "&amp;IF(AND(Milestones!$AB$172="FT",Milestones!$AA$172=FT_Y5,EDATE($D118,Milestones!$AA$172)&lt;PolicyEff),1,Milestones!$AC$172)&amp;";  ","")&amp;IF(AND(EDATE($D118,Milestones!$AA$173)&lt;=AsOfDate,EDATE($D118,Milestones!$AA$173)&gt;=SchemeStart,IF($X118=0,$AD118,IF(AND($Z118&lt;&gt;"",EDATE($D118,Milestones!$AA$173)&gt;=$Z118),$AC118,IF(AND($Y118&lt;&gt;"",EDATE($D118,Milestones!$AA$173)&gt;=$Y118),$AB118,$AA118)))=Milestones!$AB$173),UPPER(TEXT(EDATE($D118,Milestones!$AA$173),"dd mmm yy"))&amp;" "&amp;Milestones!$AB$173&amp;" "&amp;IF(AND(Milestones!$AB$173="FT",Milestones!$AA$173=FT_Y5,EDATE($D118,Milestones!$AA$173)&lt;PolicyEff),1,Milestones!$AC$173)&amp;";  ","")&amp;IF(AND(EDATE($D118,Milestones!$AA$174)&lt;=AsOfDate,EDATE($D118,Milestones!$AA$174)&gt;=SchemeStart,IF($X118=0,$AD118,IF(AND($Z118&lt;&gt;"",EDATE($D118,Milestones!$AA$174)&gt;=$Z118),$AC118,IF(AND($Y118&lt;&gt;"",EDATE($D118,Milestones!$AA$174)&gt;=$Y118),$AB118,$AA118)))=Milestones!$AB$174),UPPER(TEXT(EDATE($D118,Milestones!$AA$174),"dd mmm yy"))&amp;" "&amp;Milestones!$AB$174&amp;" "&amp;IF(AND(Milestones!$AB$174="FT",Milestones!$AA$174=FT_Y5,EDATE($D118,Milestones!$AA$174)&lt;PolicyEff),1,Milestones!$AC$174)&amp;";  ","")&amp;IF(AND(EDATE($D118,Milestones!$AA$175)&lt;=AsOfDate,EDATE($D118,Milestones!$AA$175)&gt;=SchemeStart,IF($X118=0,$AD118,IF(AND($Z118&lt;&gt;"",EDATE($D118,Milestones!$AA$175)&gt;=$Z118),$AC118,IF(AND($Y118&lt;&gt;"",EDATE($D118,Milestones!$AA$175)&gt;=$Y118),$AB118,$AA118)))=Milestones!$AB$175),UPPER(TEXT(EDATE($D118,Milestones!$AA$175),"dd mmm yy"))&amp;" "&amp;Milestones!$AB$175&amp;" "&amp;IF(AND(Milestones!$AB$175="FT",Milestones!$AA$175=FT_Y5,EDATE($D118,Milestones!$AA$175)&lt;PolicyEff),1,Milestones!$AC$175)&amp;";  ",""))</f>
        <v/>
      </c>
      <c r="V118" s="0" t="str">
        <f aca="false">IF(OR($A118="",$D118=""),"",IF(AND(EDATE($D118,Milestones!$AA$176)&lt;=AsOfDate,EDATE($D118,Milestones!$AA$176)&gt;=SchemeStart,IF($X118=0,$AD118,IF(AND($Z118&lt;&gt;"",EDATE($D118,Milestones!$AA$176)&gt;=$Z118),$AC118,IF(AND($Y118&lt;&gt;"",EDATE($D118,Milestones!$AA$176)&gt;=$Y118),$AB118,$AA118)))=Milestones!$AB$176),UPPER(TEXT(EDATE($D118,Milestones!$AA$176),"dd mmm yy"))&amp;" "&amp;Milestones!$AB$176&amp;" "&amp;IF(AND(Milestones!$AB$176="FT",Milestones!$AA$176=FT_Y5,EDATE($D118,Milestones!$AA$176)&lt;PolicyEff),1,Milestones!$AC$176)&amp;";  ","")&amp;IF(AND(EDATE($D118,Milestones!$AA$177)&lt;=AsOfDate,EDATE($D118,Milestones!$AA$177)&gt;=SchemeStart,IF($X118=0,$AD118,IF(AND($Z118&lt;&gt;"",EDATE($D118,Milestones!$AA$177)&gt;=$Z118),$AC118,IF(AND($Y118&lt;&gt;"",EDATE($D118,Milestones!$AA$177)&gt;=$Y118),$AB118,$AA118)))=Milestones!$AB$177),UPPER(TEXT(EDATE($D118,Milestones!$AA$177),"dd mmm yy"))&amp;" "&amp;Milestones!$AB$177&amp;" "&amp;IF(AND(Milestones!$AB$177="FT",Milestones!$AA$177=FT_Y5,EDATE($D118,Milestones!$AA$177)&lt;PolicyEff),1,Milestones!$AC$177)&amp;";  ","")&amp;IF(AND(EDATE($D118,Milestones!$AA$178)&lt;=AsOfDate,EDATE($D118,Milestones!$AA$178)&gt;=SchemeStart,IF($X118=0,$AD118,IF(AND($Z118&lt;&gt;"",EDATE($D118,Milestones!$AA$178)&gt;=$Z118),$AC118,IF(AND($Y118&lt;&gt;"",EDATE($D118,Milestones!$AA$178)&gt;=$Y118),$AB118,$AA118)))=Milestones!$AB$178),UPPER(TEXT(EDATE($D118,Milestones!$AA$178),"dd mmm yy"))&amp;" "&amp;Milestones!$AB$178&amp;" "&amp;IF(AND(Milestones!$AB$178="FT",Milestones!$AA$178=FT_Y5,EDATE($D118,Milestones!$AA$178)&lt;PolicyEff),1,Milestones!$AC$178)&amp;";  ","")&amp;IF(AND(EDATE($D118,Milestones!$AA$179)&lt;=AsOfDate,EDATE($D118,Milestones!$AA$179)&gt;=SchemeStart,IF($X118=0,$AD118,IF(AND($Z118&lt;&gt;"",EDATE($D118,Milestones!$AA$179)&gt;=$Z118),$AC118,IF(AND($Y118&lt;&gt;"",EDATE($D118,Milestones!$AA$179)&gt;=$Y118),$AB118,$AA118)))=Milestones!$AB$179),UPPER(TEXT(EDATE($D118,Milestones!$AA$179),"dd mmm yy"))&amp;" "&amp;Milestones!$AB$179&amp;" "&amp;IF(AND(Milestones!$AB$179="FT",Milestones!$AA$179=FT_Y5,EDATE($D118,Milestones!$AA$179)&lt;PolicyEff),1,Milestones!$AC$179)&amp;";  ","")&amp;IF(AND(EDATE($D118,Milestones!$AA$180)&lt;=AsOfDate,EDATE($D118,Milestones!$AA$180)&gt;=SchemeStart,IF($X118=0,$AD118,IF(AND($Z118&lt;&gt;"",EDATE($D118,Milestones!$AA$180)&gt;=$Z118),$AC118,IF(AND($Y118&lt;&gt;"",EDATE($D118,Milestones!$AA$180)&gt;=$Y118),$AB118,$AA118)))=Milestones!$AB$180),UPPER(TEXT(EDATE($D118,Milestones!$AA$180),"dd mmm yy"))&amp;" "&amp;Milestones!$AB$180&amp;" "&amp;IF(AND(Milestones!$AB$180="FT",Milestones!$AA$180=FT_Y5,EDATE($D118,Milestones!$AA$180)&lt;PolicyEff),1,Milestones!$AC$180)&amp;";  ","")&amp;IF(AND(EDATE($D118,Milestones!$AA$181)&lt;=AsOfDate,EDATE($D118,Milestones!$AA$181)&gt;=SchemeStart,IF($X118=0,$AD118,IF(AND($Z118&lt;&gt;"",EDATE($D118,Milestones!$AA$181)&gt;=$Z118),$AC118,IF(AND($Y118&lt;&gt;"",EDATE($D118,Milestones!$AA$181)&gt;=$Y118),$AB118,$AA118)))=Milestones!$AB$181),UPPER(TEXT(EDATE($D118,Milestones!$AA$181),"dd mmm yy"))&amp;" "&amp;Milestones!$AB$181&amp;" "&amp;IF(AND(Milestones!$AB$181="FT",Milestones!$AA$181=FT_Y5,EDATE($D118,Milestones!$AA$181)&lt;PolicyEff),1,Milestones!$AC$181)&amp;";  ","")&amp;IF(AND(EDATE($D118,Milestones!$AA$182)&lt;=AsOfDate,EDATE($D118,Milestones!$AA$182)&gt;=SchemeStart,IF($X118=0,$AD118,IF(AND($Z118&lt;&gt;"",EDATE($D118,Milestones!$AA$182)&gt;=$Z118),$AC118,IF(AND($Y118&lt;&gt;"",EDATE($D118,Milestones!$AA$182)&gt;=$Y118),$AB118,$AA118)))=Milestones!$AB$182),UPPER(TEXT(EDATE($D118,Milestones!$AA$182),"dd mmm yy"))&amp;" "&amp;Milestones!$AB$182&amp;" "&amp;IF(AND(Milestones!$AB$182="FT",Milestones!$AA$182=FT_Y5,EDATE($D118,Milestones!$AA$182)&lt;PolicyEff),1,Milestones!$AC$182)&amp;";  ","")&amp;IF(AND(EDATE($D118,Milestones!$AA$183)&lt;=AsOfDate,EDATE($D118,Milestones!$AA$183)&gt;=SchemeStart,IF($X118=0,$AD118,IF(AND($Z118&lt;&gt;"",EDATE($D118,Milestones!$AA$183)&gt;=$Z118),$AC118,IF(AND($Y118&lt;&gt;"",EDATE($D118,Milestones!$AA$183)&gt;=$Y118),$AB118,$AA118)))=Milestones!$AB$183),UPPER(TEXT(EDATE($D118,Milestones!$AA$183),"dd mmm yy"))&amp;" "&amp;Milestones!$AB$183&amp;" "&amp;IF(AND(Milestones!$AB$183="FT",Milestones!$AA$183=FT_Y5,EDATE($D118,Milestones!$AA$183)&lt;PolicyEff),1,Milestones!$AC$183)&amp;";  ","")&amp;IF(AND(EDATE($D118,Milestones!$AA$184)&lt;=AsOfDate,EDATE($D118,Milestones!$AA$184)&gt;=SchemeStart,IF($X118=0,$AD118,IF(AND($Z118&lt;&gt;"",EDATE($D118,Milestones!$AA$184)&gt;=$Z118),$AC118,IF(AND($Y118&lt;&gt;"",EDATE($D118,Milestones!$AA$184)&gt;=$Y118),$AB118,$AA118)))=Milestones!$AB$184),UPPER(TEXT(EDATE($D118,Milestones!$AA$184),"dd mmm yy"))&amp;" "&amp;Milestones!$AB$184&amp;" "&amp;IF(AND(Milestones!$AB$184="FT",Milestones!$AA$184=FT_Y5,EDATE($D118,Milestones!$AA$184)&lt;PolicyEff),1,Milestones!$AC$184)&amp;";  ","")&amp;IF(AND(EDATE($D118,Milestones!$AA$185)&lt;=AsOfDate,EDATE($D118,Milestones!$AA$185)&gt;=SchemeStart,IF($X118=0,$AD118,IF(AND($Z118&lt;&gt;"",EDATE($D118,Milestones!$AA$185)&gt;=$Z118),$AC118,IF(AND($Y118&lt;&gt;"",EDATE($D118,Milestones!$AA$185)&gt;=$Y118),$AB118,$AA118)))=Milestones!$AB$185),UPPER(TEXT(EDATE($D118,Milestones!$AA$185),"dd mmm yy"))&amp;" "&amp;Milestones!$AB$185&amp;" "&amp;IF(AND(Milestones!$AB$185="FT",Milestones!$AA$185=FT_Y5,EDATE($D118,Milestones!$AA$185)&lt;PolicyEff),1,Milestones!$AC$185)&amp;";  ","")&amp;IF(AND(EDATE($D118,Milestones!$AA$186)&lt;=AsOfDate,EDATE($D118,Milestones!$AA$186)&gt;=SchemeStart,IF($X118=0,$AD118,IF(AND($Z118&lt;&gt;"",EDATE($D118,Milestones!$AA$186)&gt;=$Z118),$AC118,IF(AND($Y118&lt;&gt;"",EDATE($D118,Milestones!$AA$186)&gt;=$Y118),$AB118,$AA118)))=Milestones!$AB$186),UPPER(TEXT(EDATE($D118,Milestones!$AA$186),"dd mmm yy"))&amp;" "&amp;Milestones!$AB$186&amp;" "&amp;IF(AND(Milestones!$AB$186="FT",Milestones!$AA$186=FT_Y5,EDATE($D118,Milestones!$AA$186)&lt;PolicyEff),1,Milestones!$AC$186)&amp;";  ","")&amp;IF(AND(EDATE($D118,Milestones!$AA$187)&lt;=AsOfDate,EDATE($D118,Milestones!$AA$187)&gt;=SchemeStart,IF($X118=0,$AD118,IF(AND($Z118&lt;&gt;"",EDATE($D118,Milestones!$AA$187)&gt;=$Z118),$AC118,IF(AND($Y118&lt;&gt;"",EDATE($D118,Milestones!$AA$187)&gt;=$Y118),$AB118,$AA118)))=Milestones!$AB$187),UPPER(TEXT(EDATE($D118,Milestones!$AA$187),"dd mmm yy"))&amp;" "&amp;Milestones!$AB$187&amp;" "&amp;IF(AND(Milestones!$AB$187="FT",Milestones!$AA$187=FT_Y5,EDATE($D118,Milestones!$AA$187)&lt;PolicyEff),1,Milestones!$AC$187)&amp;";  ",""))</f>
        <v/>
      </c>
      <c r="W118" s="0" t="str">
        <f aca="false">IF(OR($A118="",$D118=""),"",IF(AND(EDATE($D118,Milestones!$AA$188)&lt;=AsOfDate,EDATE($D118,Milestones!$AA$188)&gt;=SchemeStart,IF($X118=0,$AD118,IF(AND($Z118&lt;&gt;"",EDATE($D118,Milestones!$AA$188)&gt;=$Z118),$AC118,IF(AND($Y118&lt;&gt;"",EDATE($D118,Milestones!$AA$188)&gt;=$Y118),$AB118,$AA118)))=Milestones!$AB$188),UPPER(TEXT(EDATE($D118,Milestones!$AA$188),"dd mmm yy"))&amp;" "&amp;Milestones!$AB$188&amp;" "&amp;IF(AND(Milestones!$AB$188="FT",Milestones!$AA$188=FT_Y5,EDATE($D118,Milestones!$AA$188)&lt;PolicyEff),1,Milestones!$AC$188)&amp;";  ","")&amp;IF(AND(EDATE($D118,Milestones!$AA$189)&lt;=AsOfDate,EDATE($D118,Milestones!$AA$189)&gt;=SchemeStart,IF($X118=0,$AD118,IF(AND($Z118&lt;&gt;"",EDATE($D118,Milestones!$AA$189)&gt;=$Z118),$AC118,IF(AND($Y118&lt;&gt;"",EDATE($D118,Milestones!$AA$189)&gt;=$Y118),$AB118,$AA118)))=Milestones!$AB$189),UPPER(TEXT(EDATE($D118,Milestones!$AA$189),"dd mmm yy"))&amp;" "&amp;Milestones!$AB$189&amp;" "&amp;IF(AND(Milestones!$AB$189="FT",Milestones!$AA$189=FT_Y5,EDATE($D118,Milestones!$AA$189)&lt;PolicyEff),1,Milestones!$AC$189)&amp;";  ","")&amp;IF(AND(EDATE($D118,Milestones!$AA$190)&lt;=AsOfDate,EDATE($D118,Milestones!$AA$190)&gt;=SchemeStart,IF($X118=0,$AD118,IF(AND($Z118&lt;&gt;"",EDATE($D118,Milestones!$AA$190)&gt;=$Z118),$AC118,IF(AND($Y118&lt;&gt;"",EDATE($D118,Milestones!$AA$190)&gt;=$Y118),$AB118,$AA118)))=Milestones!$AB$190),UPPER(TEXT(EDATE($D118,Milestones!$AA$190),"dd mmm yy"))&amp;" "&amp;Milestones!$AB$190&amp;" "&amp;IF(AND(Milestones!$AB$190="FT",Milestones!$AA$190=FT_Y5,EDATE($D118,Milestones!$AA$190)&lt;PolicyEff),1,Milestones!$AC$190)&amp;";  ","")&amp;IF(AND(EDATE($D118,Milestones!$AA$191)&lt;=AsOfDate,EDATE($D118,Milestones!$AA$191)&gt;=SchemeStart,IF($X118=0,$AD118,IF(AND($Z118&lt;&gt;"",EDATE($D118,Milestones!$AA$191)&gt;=$Z118),$AC118,IF(AND($Y118&lt;&gt;"",EDATE($D118,Milestones!$AA$191)&gt;=$Y118),$AB118,$AA118)))=Milestones!$AB$191),UPPER(TEXT(EDATE($D118,Milestones!$AA$191),"dd mmm yy"))&amp;" "&amp;Milestones!$AB$191&amp;" "&amp;IF(AND(Milestones!$AB$191="FT",Milestones!$AA$191=FT_Y5,EDATE($D118,Milestones!$AA$191)&lt;PolicyEff),1,Milestones!$AC$191)&amp;";  ","")&amp;IF(AND(EDATE($D118,Milestones!$AA$192)&lt;=AsOfDate,EDATE($D118,Milestones!$AA$192)&gt;=SchemeStart,IF($X118=0,$AD118,IF(AND($Z118&lt;&gt;"",EDATE($D118,Milestones!$AA$192)&gt;=$Z118),$AC118,IF(AND($Y118&lt;&gt;"",EDATE($D118,Milestones!$AA$192)&gt;=$Y118),$AB118,$AA118)))=Milestones!$AB$192),UPPER(TEXT(EDATE($D118,Milestones!$AA$192),"dd mmm yy"))&amp;" "&amp;Milestones!$AB$192&amp;" "&amp;IF(AND(Milestones!$AB$192="FT",Milestones!$AA$192=FT_Y5,EDATE($D118,Milestones!$AA$192)&lt;PolicyEff),1,Milestones!$AC$192)&amp;";  ","")&amp;IF(AND(EDATE($D118,Milestones!$AA$193)&lt;=AsOfDate,EDATE($D118,Milestones!$AA$193)&gt;=SchemeStart,IF($X118=0,$AD118,IF(AND($Z118&lt;&gt;"",EDATE($D118,Milestones!$AA$193)&gt;=$Z118),$AC118,IF(AND($Y118&lt;&gt;"",EDATE($D118,Milestones!$AA$193)&gt;=$Y118),$AB118,$AA118)))=Milestones!$AB$193),UPPER(TEXT(EDATE($D118,Milestones!$AA$193),"dd mmm yy"))&amp;" "&amp;Milestones!$AB$193&amp;" "&amp;IF(AND(Milestones!$AB$193="FT",Milestones!$AA$193=FT_Y5,EDATE($D118,Milestones!$AA$193)&lt;PolicyEff),1,Milestones!$AC$193)&amp;";  ","")&amp;IF(AND(EDATE($D118,Milestones!$AA$194)&lt;=AsOfDate,EDATE($D118,Milestones!$AA$194)&gt;=SchemeStart,IF($X118=0,$AD118,IF(AND($Z118&lt;&gt;"",EDATE($D118,Milestones!$AA$194)&gt;=$Z118),$AC118,IF(AND($Y118&lt;&gt;"",EDATE($D118,Milestones!$AA$194)&gt;=$Y118),$AB118,$AA118)))=Milestones!$AB$194),UPPER(TEXT(EDATE($D118,Milestones!$AA$194),"dd mmm yy"))&amp;" "&amp;Milestones!$AB$194&amp;" "&amp;IF(AND(Milestones!$AB$194="FT",Milestones!$AA$194=FT_Y5,EDATE($D118,Milestones!$AA$194)&lt;PolicyEff),1,Milestones!$AC$194)&amp;";  ","")&amp;IF(AND(EDATE($D118,Milestones!$AA$195)&lt;=AsOfDate,EDATE($D118,Milestones!$AA$195)&gt;=SchemeStart,IF($X118=0,$AD118,IF(AND($Z118&lt;&gt;"",EDATE($D118,Milestones!$AA$195)&gt;=$Z118),$AC118,IF(AND($Y118&lt;&gt;"",EDATE($D118,Milestones!$AA$195)&gt;=$Y118),$AB118,$AA118)))=Milestones!$AB$195),UPPER(TEXT(EDATE($D118,Milestones!$AA$195),"dd mmm yy"))&amp;" "&amp;Milestones!$AB$195&amp;" "&amp;IF(AND(Milestones!$AB$195="FT",Milestones!$AA$195=FT_Y5,EDATE($D118,Milestones!$AA$195)&lt;PolicyEff),1,Milestones!$AC$195)&amp;";  ","")&amp;IF(AND(EDATE($D118,Milestones!$AA$196)&lt;=AsOfDate,EDATE($D118,Milestones!$AA$196)&gt;=SchemeStart,IF($X118=0,$AD118,IF(AND($Z118&lt;&gt;"",EDATE($D118,Milestones!$AA$196)&gt;=$Z118),$AC118,IF(AND($Y118&lt;&gt;"",EDATE($D118,Milestones!$AA$196)&gt;=$Y118),$AB118,$AA118)))=Milestones!$AB$196),UPPER(TEXT(EDATE($D118,Milestones!$AA$196),"dd mmm yy"))&amp;" "&amp;Milestones!$AB$196&amp;" "&amp;IF(AND(Milestones!$AB$196="FT",Milestones!$AA$196=FT_Y5,EDATE($D118,Milestones!$AA$196)&lt;PolicyEff),1,Milestones!$AC$196)&amp;";  ","")&amp;IF(AND(EDATE($D118,Milestones!$AA$197)&lt;=AsOfDate,EDATE($D118,Milestones!$AA$197)&gt;=SchemeStart,IF($X118=0,$AD118,IF(AND($Z118&lt;&gt;"",EDATE($D118,Milestones!$AA$197)&gt;=$Z118),$AC118,IF(AND($Y118&lt;&gt;"",EDATE($D118,Milestones!$AA$197)&gt;=$Y118),$AB118,$AA118)))=Milestones!$AB$197),UPPER(TEXT(EDATE($D118,Milestones!$AA$197),"dd mmm yy"))&amp;" "&amp;Milestones!$AB$197&amp;" "&amp;IF(AND(Milestones!$AB$197="FT",Milestones!$AA$197=FT_Y5,EDATE($D118,Milestones!$AA$197)&lt;PolicyEff),1,Milestones!$AC$197)&amp;";  ","")&amp;IF(AND(EDATE($D118,Milestones!$AA$198)&lt;=AsOfDate,EDATE($D118,Milestones!$AA$198)&gt;=SchemeStart,IF($X118=0,$AD118,IF(AND($Z118&lt;&gt;"",EDATE($D118,Milestones!$AA$198)&gt;=$Z118),$AC118,IF(AND($Y118&lt;&gt;"",EDATE($D118,Milestones!$AA$198)&gt;=$Y118),$AB118,$AA118)))=Milestones!$AB$198),UPPER(TEXT(EDATE($D118,Milestones!$AA$198),"dd mmm yy"))&amp;" "&amp;Milestones!$AB$198&amp;" "&amp;IF(AND(Milestones!$AB$198="FT",Milestones!$AA$198=FT_Y5,EDATE($D118,Milestones!$AA$198)&lt;PolicyEff),1,Milestones!$AC$198)&amp;";  ","")&amp;IF(AND(EDATE($D118,Milestones!$AA$199)&lt;=AsOfDate,EDATE($D118,Milestones!$AA$199)&gt;=SchemeStart,IF($X118=0,$AD118,IF(AND($Z118&lt;&gt;"",EDATE($D118,Milestones!$AA$199)&gt;=$Z118),$AC118,IF(AND($Y118&lt;&gt;"",EDATE($D118,Milestones!$AA$199)&gt;=$Y118),$AB118,$AA118)))=Milestones!$AB$199),UPPER(TEXT(EDATE($D118,Milestones!$AA$199),"dd mmm yy"))&amp;" "&amp;Milestones!$AB$199&amp;" "&amp;IF(AND(Milestones!$AB$199="FT",Milestones!$AA$199=FT_Y5,EDATE($D118,Milestones!$AA$199)&lt;PolicyEff),1,Milestones!$AC$199)&amp;";  ",""))</f>
        <v/>
      </c>
      <c r="X118" s="0" t="str">
        <f aca="false">IF(Staff!$A118="","",Staff!$AM118)</f>
        <v/>
      </c>
      <c r="Y118" s="0" t="str">
        <f aca="false">IF(Staff!$A118="","",Staff!$AO118)</f>
        <v/>
      </c>
      <c r="Z118" s="0" t="str">
        <f aca="false">IF(Staff!$A118="","",Staff!$AP118)</f>
        <v/>
      </c>
      <c r="AA118" s="0" t="str">
        <f aca="false">IF(Staff!$A118="","",Staff!$AT118)</f>
        <v/>
      </c>
      <c r="AB118" s="0" t="str">
        <f aca="false">IF(Staff!$A118="","",Staff!$AU118)</f>
        <v/>
      </c>
      <c r="AC118" s="0" t="str">
        <f aca="false">IF(Staff!$A118="","",Staff!$AV118)</f>
        <v/>
      </c>
      <c r="AD118" s="0" t="str">
        <f aca="false">IF(Staff!$A118="","",Staff!$AW118)</f>
        <v/>
      </c>
    </row>
    <row r="119" customFormat="false" ht="15" hidden="false" customHeight="false" outlineLevel="0" collapsed="false">
      <c r="A119" s="16" t="str">
        <f aca="false">IF(Staff!$A119="","",Staff!$A119)</f>
        <v/>
      </c>
      <c r="B119" s="16" t="str">
        <f aca="false">IF(Staff!$A119="","",Staff!$B119)</f>
        <v/>
      </c>
      <c r="C119" s="16" t="str">
        <f aca="false">IF(Staff!$A119="","",Staff!$C119)</f>
        <v/>
      </c>
      <c r="D119" s="14" t="str">
        <f aca="false">IF(Staff!$A119="","",Staff!$AL119)</f>
        <v/>
      </c>
      <c r="E119" s="16" t="str">
        <f aca="false">IF(Staff!$A119="","",Staff!$O119)</f>
        <v/>
      </c>
      <c r="F119" s="16" t="str">
        <f aca="false">IF(E119="","",E119*HoursPerDay)</f>
        <v/>
      </c>
      <c r="G119" s="16" t="str">
        <f aca="false">IF(Staff!$A119="","",Staff!$AE119)</f>
        <v/>
      </c>
      <c r="H119" s="28" t="str">
        <f aca="false">IF($A119="","",I119&amp;J119&amp;K119&amp;L119&amp;M119&amp;N119&amp;O119&amp;P119&amp;Q119&amp;R119&amp;S119&amp;T119&amp;U119&amp;V119&amp;W119)</f>
        <v/>
      </c>
      <c r="I119" s="0" t="str">
        <f aca="false">IF(OR($A119="",$D119=""),"",IF(AND(EDATE($D119,Milestones!$AA$20)&lt;=AsOfDate,EDATE($D119,Milestones!$AA$20)&gt;=SchemeStart,IF($X119=0,$AD119,IF(AND($Z119&lt;&gt;"",EDATE($D119,Milestones!$AA$20)&gt;=$Z119),$AC119,IF(AND($Y119&lt;&gt;"",EDATE($D119,Milestones!$AA$20)&gt;=$Y119),$AB119,$AA119)))=Milestones!$AB$20),UPPER(TEXT(EDATE($D119,Milestones!$AA$20),"dd mmm yy"))&amp;" "&amp;Milestones!$AB$20&amp;" "&amp;IF(AND(Milestones!$AB$20="FT",Milestones!$AA$20=FT_Y5,EDATE($D119,Milestones!$AA$20)&lt;PolicyEff),1,Milestones!$AC$20)&amp;";  ","")&amp;IF(AND(EDATE($D119,Milestones!$AA$21)&lt;=AsOfDate,EDATE($D119,Milestones!$AA$21)&gt;=SchemeStart,IF($X119=0,$AD119,IF(AND($Z119&lt;&gt;"",EDATE($D119,Milestones!$AA$21)&gt;=$Z119),$AC119,IF(AND($Y119&lt;&gt;"",EDATE($D119,Milestones!$AA$21)&gt;=$Y119),$AB119,$AA119)))=Milestones!$AB$21),UPPER(TEXT(EDATE($D119,Milestones!$AA$21),"dd mmm yy"))&amp;" "&amp;Milestones!$AB$21&amp;" "&amp;IF(AND(Milestones!$AB$21="FT",Milestones!$AA$21=FT_Y5,EDATE($D119,Milestones!$AA$21)&lt;PolicyEff),1,Milestones!$AC$21)&amp;";  ","")&amp;IF(AND(EDATE($D119,Milestones!$AA$22)&lt;=AsOfDate,EDATE($D119,Milestones!$AA$22)&gt;=SchemeStart,IF($X119=0,$AD119,IF(AND($Z119&lt;&gt;"",EDATE($D119,Milestones!$AA$22)&gt;=$Z119),$AC119,IF(AND($Y119&lt;&gt;"",EDATE($D119,Milestones!$AA$22)&gt;=$Y119),$AB119,$AA119)))=Milestones!$AB$22),UPPER(TEXT(EDATE($D119,Milestones!$AA$22),"dd mmm yy"))&amp;" "&amp;Milestones!$AB$22&amp;" "&amp;IF(AND(Milestones!$AB$22="FT",Milestones!$AA$22=FT_Y5,EDATE($D119,Milestones!$AA$22)&lt;PolicyEff),1,Milestones!$AC$22)&amp;";  ","")&amp;IF(AND(EDATE($D119,Milestones!$AA$23)&lt;=AsOfDate,EDATE($D119,Milestones!$AA$23)&gt;=SchemeStart,IF($X119=0,$AD119,IF(AND($Z119&lt;&gt;"",EDATE($D119,Milestones!$AA$23)&gt;=$Z119),$AC119,IF(AND($Y119&lt;&gt;"",EDATE($D119,Milestones!$AA$23)&gt;=$Y119),$AB119,$AA119)))=Milestones!$AB$23),UPPER(TEXT(EDATE($D119,Milestones!$AA$23),"dd mmm yy"))&amp;" "&amp;Milestones!$AB$23&amp;" "&amp;IF(AND(Milestones!$AB$23="FT",Milestones!$AA$23=FT_Y5,EDATE($D119,Milestones!$AA$23)&lt;PolicyEff),1,Milestones!$AC$23)&amp;";  ","")&amp;IF(AND(EDATE($D119,Milestones!$AA$24)&lt;=AsOfDate,EDATE($D119,Milestones!$AA$24)&gt;=SchemeStart,IF($X119=0,$AD119,IF(AND($Z119&lt;&gt;"",EDATE($D119,Milestones!$AA$24)&gt;=$Z119),$AC119,IF(AND($Y119&lt;&gt;"",EDATE($D119,Milestones!$AA$24)&gt;=$Y119),$AB119,$AA119)))=Milestones!$AB$24),UPPER(TEXT(EDATE($D119,Milestones!$AA$24),"dd mmm yy"))&amp;" "&amp;Milestones!$AB$24&amp;" "&amp;IF(AND(Milestones!$AB$24="FT",Milestones!$AA$24=FT_Y5,EDATE($D119,Milestones!$AA$24)&lt;PolicyEff),1,Milestones!$AC$24)&amp;";  ","")&amp;IF(AND(EDATE($D119,Milestones!$AA$25)&lt;=AsOfDate,EDATE($D119,Milestones!$AA$25)&gt;=SchemeStart,IF($X119=0,$AD119,IF(AND($Z119&lt;&gt;"",EDATE($D119,Milestones!$AA$25)&gt;=$Z119),$AC119,IF(AND($Y119&lt;&gt;"",EDATE($D119,Milestones!$AA$25)&gt;=$Y119),$AB119,$AA119)))=Milestones!$AB$25),UPPER(TEXT(EDATE($D119,Milestones!$AA$25),"dd mmm yy"))&amp;" "&amp;Milestones!$AB$25&amp;" "&amp;IF(AND(Milestones!$AB$25="FT",Milestones!$AA$25=FT_Y5,EDATE($D119,Milestones!$AA$25)&lt;PolicyEff),1,Milestones!$AC$25)&amp;";  ","")&amp;IF(AND(EDATE($D119,Milestones!$AA$26)&lt;=AsOfDate,EDATE($D119,Milestones!$AA$26)&gt;=SchemeStart,IF($X119=0,$AD119,IF(AND($Z119&lt;&gt;"",EDATE($D119,Milestones!$AA$26)&gt;=$Z119),$AC119,IF(AND($Y119&lt;&gt;"",EDATE($D119,Milestones!$AA$26)&gt;=$Y119),$AB119,$AA119)))=Milestones!$AB$26),UPPER(TEXT(EDATE($D119,Milestones!$AA$26),"dd mmm yy"))&amp;" "&amp;Milestones!$AB$26&amp;" "&amp;IF(AND(Milestones!$AB$26="FT",Milestones!$AA$26=FT_Y5,EDATE($D119,Milestones!$AA$26)&lt;PolicyEff),1,Milestones!$AC$26)&amp;";  ","")&amp;IF(AND(EDATE($D119,Milestones!$AA$27)&lt;=AsOfDate,EDATE($D119,Milestones!$AA$27)&gt;=SchemeStart,IF($X119=0,$AD119,IF(AND($Z119&lt;&gt;"",EDATE($D119,Milestones!$AA$27)&gt;=$Z119),$AC119,IF(AND($Y119&lt;&gt;"",EDATE($D119,Milestones!$AA$27)&gt;=$Y119),$AB119,$AA119)))=Milestones!$AB$27),UPPER(TEXT(EDATE($D119,Milestones!$AA$27),"dd mmm yy"))&amp;" "&amp;Milestones!$AB$27&amp;" "&amp;IF(AND(Milestones!$AB$27="FT",Milestones!$AA$27=FT_Y5,EDATE($D119,Milestones!$AA$27)&lt;PolicyEff),1,Milestones!$AC$27)&amp;";  ","")&amp;IF(AND(EDATE($D119,Milestones!$AA$28)&lt;=AsOfDate,EDATE($D119,Milestones!$AA$28)&gt;=SchemeStart,IF($X119=0,$AD119,IF(AND($Z119&lt;&gt;"",EDATE($D119,Milestones!$AA$28)&gt;=$Z119),$AC119,IF(AND($Y119&lt;&gt;"",EDATE($D119,Milestones!$AA$28)&gt;=$Y119),$AB119,$AA119)))=Milestones!$AB$28),UPPER(TEXT(EDATE($D119,Milestones!$AA$28),"dd mmm yy"))&amp;" "&amp;Milestones!$AB$28&amp;" "&amp;IF(AND(Milestones!$AB$28="FT",Milestones!$AA$28=FT_Y5,EDATE($D119,Milestones!$AA$28)&lt;PolicyEff),1,Milestones!$AC$28)&amp;";  ","")&amp;IF(AND(EDATE($D119,Milestones!$AA$29)&lt;=AsOfDate,EDATE($D119,Milestones!$AA$29)&gt;=SchemeStart,IF($X119=0,$AD119,IF(AND($Z119&lt;&gt;"",EDATE($D119,Milestones!$AA$29)&gt;=$Z119),$AC119,IF(AND($Y119&lt;&gt;"",EDATE($D119,Milestones!$AA$29)&gt;=$Y119),$AB119,$AA119)))=Milestones!$AB$29),UPPER(TEXT(EDATE($D119,Milestones!$AA$29),"dd mmm yy"))&amp;" "&amp;Milestones!$AB$29&amp;" "&amp;IF(AND(Milestones!$AB$29="FT",Milestones!$AA$29=FT_Y5,EDATE($D119,Milestones!$AA$29)&lt;PolicyEff),1,Milestones!$AC$29)&amp;";  ","")&amp;IF(AND(EDATE($D119,Milestones!$AA$30)&lt;=AsOfDate,EDATE($D119,Milestones!$AA$30)&gt;=SchemeStart,IF($X119=0,$AD119,IF(AND($Z119&lt;&gt;"",EDATE($D119,Milestones!$AA$30)&gt;=$Z119),$AC119,IF(AND($Y119&lt;&gt;"",EDATE($D119,Milestones!$AA$30)&gt;=$Y119),$AB119,$AA119)))=Milestones!$AB$30),UPPER(TEXT(EDATE($D119,Milestones!$AA$30),"dd mmm yy"))&amp;" "&amp;Milestones!$AB$30&amp;" "&amp;IF(AND(Milestones!$AB$30="FT",Milestones!$AA$30=FT_Y5,EDATE($D119,Milestones!$AA$30)&lt;PolicyEff),1,Milestones!$AC$30)&amp;";  ","")&amp;IF(AND(EDATE($D119,Milestones!$AA$31)&lt;=AsOfDate,EDATE($D119,Milestones!$AA$31)&gt;=SchemeStart,IF($X119=0,$AD119,IF(AND($Z119&lt;&gt;"",EDATE($D119,Milestones!$AA$31)&gt;=$Z119),$AC119,IF(AND($Y119&lt;&gt;"",EDATE($D119,Milestones!$AA$31)&gt;=$Y119),$AB119,$AA119)))=Milestones!$AB$31),UPPER(TEXT(EDATE($D119,Milestones!$AA$31),"dd mmm yy"))&amp;" "&amp;Milestones!$AB$31&amp;" "&amp;IF(AND(Milestones!$AB$31="FT",Milestones!$AA$31=FT_Y5,EDATE($D119,Milestones!$AA$31)&lt;PolicyEff),1,Milestones!$AC$31)&amp;";  ",""))</f>
        <v/>
      </c>
      <c r="J119" s="0" t="str">
        <f aca="false">IF(OR($A119="",$D119=""),"",IF(AND(EDATE($D119,Milestones!$AA$32)&lt;=AsOfDate,EDATE($D119,Milestones!$AA$32)&gt;=SchemeStart,IF($X119=0,$AD119,IF(AND($Z119&lt;&gt;"",EDATE($D119,Milestones!$AA$32)&gt;=$Z119),$AC119,IF(AND($Y119&lt;&gt;"",EDATE($D119,Milestones!$AA$32)&gt;=$Y119),$AB119,$AA119)))=Milestones!$AB$32),UPPER(TEXT(EDATE($D119,Milestones!$AA$32),"dd mmm yy"))&amp;" "&amp;Milestones!$AB$32&amp;" "&amp;IF(AND(Milestones!$AB$32="FT",Milestones!$AA$32=FT_Y5,EDATE($D119,Milestones!$AA$32)&lt;PolicyEff),1,Milestones!$AC$32)&amp;";  ","")&amp;IF(AND(EDATE($D119,Milestones!$AA$33)&lt;=AsOfDate,EDATE($D119,Milestones!$AA$33)&gt;=SchemeStart,IF($X119=0,$AD119,IF(AND($Z119&lt;&gt;"",EDATE($D119,Milestones!$AA$33)&gt;=$Z119),$AC119,IF(AND($Y119&lt;&gt;"",EDATE($D119,Milestones!$AA$33)&gt;=$Y119),$AB119,$AA119)))=Milestones!$AB$33),UPPER(TEXT(EDATE($D119,Milestones!$AA$33),"dd mmm yy"))&amp;" "&amp;Milestones!$AB$33&amp;" "&amp;IF(AND(Milestones!$AB$33="FT",Milestones!$AA$33=FT_Y5,EDATE($D119,Milestones!$AA$33)&lt;PolicyEff),1,Milestones!$AC$33)&amp;";  ","")&amp;IF(AND(EDATE($D119,Milestones!$AA$34)&lt;=AsOfDate,EDATE($D119,Milestones!$AA$34)&gt;=SchemeStart,IF($X119=0,$AD119,IF(AND($Z119&lt;&gt;"",EDATE($D119,Milestones!$AA$34)&gt;=$Z119),$AC119,IF(AND($Y119&lt;&gt;"",EDATE($D119,Milestones!$AA$34)&gt;=$Y119),$AB119,$AA119)))=Milestones!$AB$34),UPPER(TEXT(EDATE($D119,Milestones!$AA$34),"dd mmm yy"))&amp;" "&amp;Milestones!$AB$34&amp;" "&amp;IF(AND(Milestones!$AB$34="FT",Milestones!$AA$34=FT_Y5,EDATE($D119,Milestones!$AA$34)&lt;PolicyEff),1,Milestones!$AC$34)&amp;";  ","")&amp;IF(AND(EDATE($D119,Milestones!$AA$35)&lt;=AsOfDate,EDATE($D119,Milestones!$AA$35)&gt;=SchemeStart,IF($X119=0,$AD119,IF(AND($Z119&lt;&gt;"",EDATE($D119,Milestones!$AA$35)&gt;=$Z119),$AC119,IF(AND($Y119&lt;&gt;"",EDATE($D119,Milestones!$AA$35)&gt;=$Y119),$AB119,$AA119)))=Milestones!$AB$35),UPPER(TEXT(EDATE($D119,Milestones!$AA$35),"dd mmm yy"))&amp;" "&amp;Milestones!$AB$35&amp;" "&amp;IF(AND(Milestones!$AB$35="FT",Milestones!$AA$35=FT_Y5,EDATE($D119,Milestones!$AA$35)&lt;PolicyEff),1,Milestones!$AC$35)&amp;";  ","")&amp;IF(AND(EDATE($D119,Milestones!$AA$36)&lt;=AsOfDate,EDATE($D119,Milestones!$AA$36)&gt;=SchemeStart,IF($X119=0,$AD119,IF(AND($Z119&lt;&gt;"",EDATE($D119,Milestones!$AA$36)&gt;=$Z119),$AC119,IF(AND($Y119&lt;&gt;"",EDATE($D119,Milestones!$AA$36)&gt;=$Y119),$AB119,$AA119)))=Milestones!$AB$36),UPPER(TEXT(EDATE($D119,Milestones!$AA$36),"dd mmm yy"))&amp;" "&amp;Milestones!$AB$36&amp;" "&amp;IF(AND(Milestones!$AB$36="FT",Milestones!$AA$36=FT_Y5,EDATE($D119,Milestones!$AA$36)&lt;PolicyEff),1,Milestones!$AC$36)&amp;";  ","")&amp;IF(AND(EDATE($D119,Milestones!$AA$37)&lt;=AsOfDate,EDATE($D119,Milestones!$AA$37)&gt;=SchemeStart,IF($X119=0,$AD119,IF(AND($Z119&lt;&gt;"",EDATE($D119,Milestones!$AA$37)&gt;=$Z119),$AC119,IF(AND($Y119&lt;&gt;"",EDATE($D119,Milestones!$AA$37)&gt;=$Y119),$AB119,$AA119)))=Milestones!$AB$37),UPPER(TEXT(EDATE($D119,Milestones!$AA$37),"dd mmm yy"))&amp;" "&amp;Milestones!$AB$37&amp;" "&amp;IF(AND(Milestones!$AB$37="FT",Milestones!$AA$37=FT_Y5,EDATE($D119,Milestones!$AA$37)&lt;PolicyEff),1,Milestones!$AC$37)&amp;";  ","")&amp;IF(AND(EDATE($D119,Milestones!$AA$38)&lt;=AsOfDate,EDATE($D119,Milestones!$AA$38)&gt;=SchemeStart,IF($X119=0,$AD119,IF(AND($Z119&lt;&gt;"",EDATE($D119,Milestones!$AA$38)&gt;=$Z119),$AC119,IF(AND($Y119&lt;&gt;"",EDATE($D119,Milestones!$AA$38)&gt;=$Y119),$AB119,$AA119)))=Milestones!$AB$38),UPPER(TEXT(EDATE($D119,Milestones!$AA$38),"dd mmm yy"))&amp;" "&amp;Milestones!$AB$38&amp;" "&amp;IF(AND(Milestones!$AB$38="FT",Milestones!$AA$38=FT_Y5,EDATE($D119,Milestones!$AA$38)&lt;PolicyEff),1,Milestones!$AC$38)&amp;";  ","")&amp;IF(AND(EDATE($D119,Milestones!$AA$39)&lt;=AsOfDate,EDATE($D119,Milestones!$AA$39)&gt;=SchemeStart,IF($X119=0,$AD119,IF(AND($Z119&lt;&gt;"",EDATE($D119,Milestones!$AA$39)&gt;=$Z119),$AC119,IF(AND($Y119&lt;&gt;"",EDATE($D119,Milestones!$AA$39)&gt;=$Y119),$AB119,$AA119)))=Milestones!$AB$39),UPPER(TEXT(EDATE($D119,Milestones!$AA$39),"dd mmm yy"))&amp;" "&amp;Milestones!$AB$39&amp;" "&amp;IF(AND(Milestones!$AB$39="FT",Milestones!$AA$39=FT_Y5,EDATE($D119,Milestones!$AA$39)&lt;PolicyEff),1,Milestones!$AC$39)&amp;";  ","")&amp;IF(AND(EDATE($D119,Milestones!$AA$40)&lt;=AsOfDate,EDATE($D119,Milestones!$AA$40)&gt;=SchemeStart,IF($X119=0,$AD119,IF(AND($Z119&lt;&gt;"",EDATE($D119,Milestones!$AA$40)&gt;=$Z119),$AC119,IF(AND($Y119&lt;&gt;"",EDATE($D119,Milestones!$AA$40)&gt;=$Y119),$AB119,$AA119)))=Milestones!$AB$40),UPPER(TEXT(EDATE($D119,Milestones!$AA$40),"dd mmm yy"))&amp;" "&amp;Milestones!$AB$40&amp;" "&amp;IF(AND(Milestones!$AB$40="FT",Milestones!$AA$40=FT_Y5,EDATE($D119,Milestones!$AA$40)&lt;PolicyEff),1,Milestones!$AC$40)&amp;";  ","")&amp;IF(AND(EDATE($D119,Milestones!$AA$41)&lt;=AsOfDate,EDATE($D119,Milestones!$AA$41)&gt;=SchemeStart,IF($X119=0,$AD119,IF(AND($Z119&lt;&gt;"",EDATE($D119,Milestones!$AA$41)&gt;=$Z119),$AC119,IF(AND($Y119&lt;&gt;"",EDATE($D119,Milestones!$AA$41)&gt;=$Y119),$AB119,$AA119)))=Milestones!$AB$41),UPPER(TEXT(EDATE($D119,Milestones!$AA$41),"dd mmm yy"))&amp;" "&amp;Milestones!$AB$41&amp;" "&amp;IF(AND(Milestones!$AB$41="FT",Milestones!$AA$41=FT_Y5,EDATE($D119,Milestones!$AA$41)&lt;PolicyEff),1,Milestones!$AC$41)&amp;";  ","")&amp;IF(AND(EDATE($D119,Milestones!$AA$42)&lt;=AsOfDate,EDATE($D119,Milestones!$AA$42)&gt;=SchemeStart,IF($X119=0,$AD119,IF(AND($Z119&lt;&gt;"",EDATE($D119,Milestones!$AA$42)&gt;=$Z119),$AC119,IF(AND($Y119&lt;&gt;"",EDATE($D119,Milestones!$AA$42)&gt;=$Y119),$AB119,$AA119)))=Milestones!$AB$42),UPPER(TEXT(EDATE($D119,Milestones!$AA$42),"dd mmm yy"))&amp;" "&amp;Milestones!$AB$42&amp;" "&amp;IF(AND(Milestones!$AB$42="FT",Milestones!$AA$42=FT_Y5,EDATE($D119,Milestones!$AA$42)&lt;PolicyEff),1,Milestones!$AC$42)&amp;";  ","")&amp;IF(AND(EDATE($D119,Milestones!$AA$43)&lt;=AsOfDate,EDATE($D119,Milestones!$AA$43)&gt;=SchemeStart,IF($X119=0,$AD119,IF(AND($Z119&lt;&gt;"",EDATE($D119,Milestones!$AA$43)&gt;=$Z119),$AC119,IF(AND($Y119&lt;&gt;"",EDATE($D119,Milestones!$AA$43)&gt;=$Y119),$AB119,$AA119)))=Milestones!$AB$43),UPPER(TEXT(EDATE($D119,Milestones!$AA$43),"dd mmm yy"))&amp;" "&amp;Milestones!$AB$43&amp;" "&amp;IF(AND(Milestones!$AB$43="FT",Milestones!$AA$43=FT_Y5,EDATE($D119,Milestones!$AA$43)&lt;PolicyEff),1,Milestones!$AC$43)&amp;";  ",""))</f>
        <v/>
      </c>
      <c r="K119" s="0" t="str">
        <f aca="false">IF(OR($A119="",$D119=""),"",IF(AND(EDATE($D119,Milestones!$AA$44)&lt;=AsOfDate,EDATE($D119,Milestones!$AA$44)&gt;=SchemeStart,IF($X119=0,$AD119,IF(AND($Z119&lt;&gt;"",EDATE($D119,Milestones!$AA$44)&gt;=$Z119),$AC119,IF(AND($Y119&lt;&gt;"",EDATE($D119,Milestones!$AA$44)&gt;=$Y119),$AB119,$AA119)))=Milestones!$AB$44),UPPER(TEXT(EDATE($D119,Milestones!$AA$44),"dd mmm yy"))&amp;" "&amp;Milestones!$AB$44&amp;" "&amp;IF(AND(Milestones!$AB$44="FT",Milestones!$AA$44=FT_Y5,EDATE($D119,Milestones!$AA$44)&lt;PolicyEff),1,Milestones!$AC$44)&amp;";  ","")&amp;IF(AND(EDATE($D119,Milestones!$AA$45)&lt;=AsOfDate,EDATE($D119,Milestones!$AA$45)&gt;=SchemeStart,IF($X119=0,$AD119,IF(AND($Z119&lt;&gt;"",EDATE($D119,Milestones!$AA$45)&gt;=$Z119),$AC119,IF(AND($Y119&lt;&gt;"",EDATE($D119,Milestones!$AA$45)&gt;=$Y119),$AB119,$AA119)))=Milestones!$AB$45),UPPER(TEXT(EDATE($D119,Milestones!$AA$45),"dd mmm yy"))&amp;" "&amp;Milestones!$AB$45&amp;" "&amp;IF(AND(Milestones!$AB$45="FT",Milestones!$AA$45=FT_Y5,EDATE($D119,Milestones!$AA$45)&lt;PolicyEff),1,Milestones!$AC$45)&amp;";  ","")&amp;IF(AND(EDATE($D119,Milestones!$AA$46)&lt;=AsOfDate,EDATE($D119,Milestones!$AA$46)&gt;=SchemeStart,IF($X119=0,$AD119,IF(AND($Z119&lt;&gt;"",EDATE($D119,Milestones!$AA$46)&gt;=$Z119),$AC119,IF(AND($Y119&lt;&gt;"",EDATE($D119,Milestones!$AA$46)&gt;=$Y119),$AB119,$AA119)))=Milestones!$AB$46),UPPER(TEXT(EDATE($D119,Milestones!$AA$46),"dd mmm yy"))&amp;" "&amp;Milestones!$AB$46&amp;" "&amp;IF(AND(Milestones!$AB$46="FT",Milestones!$AA$46=FT_Y5,EDATE($D119,Milestones!$AA$46)&lt;PolicyEff),1,Milestones!$AC$46)&amp;";  ","")&amp;IF(AND(EDATE($D119,Milestones!$AA$47)&lt;=AsOfDate,EDATE($D119,Milestones!$AA$47)&gt;=SchemeStart,IF($X119=0,$AD119,IF(AND($Z119&lt;&gt;"",EDATE($D119,Milestones!$AA$47)&gt;=$Z119),$AC119,IF(AND($Y119&lt;&gt;"",EDATE($D119,Milestones!$AA$47)&gt;=$Y119),$AB119,$AA119)))=Milestones!$AB$47),UPPER(TEXT(EDATE($D119,Milestones!$AA$47),"dd mmm yy"))&amp;" "&amp;Milestones!$AB$47&amp;" "&amp;IF(AND(Milestones!$AB$47="FT",Milestones!$AA$47=FT_Y5,EDATE($D119,Milestones!$AA$47)&lt;PolicyEff),1,Milestones!$AC$47)&amp;";  ","")&amp;IF(AND(EDATE($D119,Milestones!$AA$48)&lt;=AsOfDate,EDATE($D119,Milestones!$AA$48)&gt;=SchemeStart,IF($X119=0,$AD119,IF(AND($Z119&lt;&gt;"",EDATE($D119,Milestones!$AA$48)&gt;=$Z119),$AC119,IF(AND($Y119&lt;&gt;"",EDATE($D119,Milestones!$AA$48)&gt;=$Y119),$AB119,$AA119)))=Milestones!$AB$48),UPPER(TEXT(EDATE($D119,Milestones!$AA$48),"dd mmm yy"))&amp;" "&amp;Milestones!$AB$48&amp;" "&amp;IF(AND(Milestones!$AB$48="FT",Milestones!$AA$48=FT_Y5,EDATE($D119,Milestones!$AA$48)&lt;PolicyEff),1,Milestones!$AC$48)&amp;";  ","")&amp;IF(AND(EDATE($D119,Milestones!$AA$49)&lt;=AsOfDate,EDATE($D119,Milestones!$AA$49)&gt;=SchemeStart,IF($X119=0,$AD119,IF(AND($Z119&lt;&gt;"",EDATE($D119,Milestones!$AA$49)&gt;=$Z119),$AC119,IF(AND($Y119&lt;&gt;"",EDATE($D119,Milestones!$AA$49)&gt;=$Y119),$AB119,$AA119)))=Milestones!$AB$49),UPPER(TEXT(EDATE($D119,Milestones!$AA$49),"dd mmm yy"))&amp;" "&amp;Milestones!$AB$49&amp;" "&amp;IF(AND(Milestones!$AB$49="FT",Milestones!$AA$49=FT_Y5,EDATE($D119,Milestones!$AA$49)&lt;PolicyEff),1,Milestones!$AC$49)&amp;";  ","")&amp;IF(AND(EDATE($D119,Milestones!$AA$50)&lt;=AsOfDate,EDATE($D119,Milestones!$AA$50)&gt;=SchemeStart,IF($X119=0,$AD119,IF(AND($Z119&lt;&gt;"",EDATE($D119,Milestones!$AA$50)&gt;=$Z119),$AC119,IF(AND($Y119&lt;&gt;"",EDATE($D119,Milestones!$AA$50)&gt;=$Y119),$AB119,$AA119)))=Milestones!$AB$50),UPPER(TEXT(EDATE($D119,Milestones!$AA$50),"dd mmm yy"))&amp;" "&amp;Milestones!$AB$50&amp;" "&amp;IF(AND(Milestones!$AB$50="FT",Milestones!$AA$50=FT_Y5,EDATE($D119,Milestones!$AA$50)&lt;PolicyEff),1,Milestones!$AC$50)&amp;";  ","")&amp;IF(AND(EDATE($D119,Milestones!$AA$51)&lt;=AsOfDate,EDATE($D119,Milestones!$AA$51)&gt;=SchemeStart,IF($X119=0,$AD119,IF(AND($Z119&lt;&gt;"",EDATE($D119,Milestones!$AA$51)&gt;=$Z119),$AC119,IF(AND($Y119&lt;&gt;"",EDATE($D119,Milestones!$AA$51)&gt;=$Y119),$AB119,$AA119)))=Milestones!$AB$51),UPPER(TEXT(EDATE($D119,Milestones!$AA$51),"dd mmm yy"))&amp;" "&amp;Milestones!$AB$51&amp;" "&amp;IF(AND(Milestones!$AB$51="FT",Milestones!$AA$51=FT_Y5,EDATE($D119,Milestones!$AA$51)&lt;PolicyEff),1,Milestones!$AC$51)&amp;";  ","")&amp;IF(AND(EDATE($D119,Milestones!$AA$52)&lt;=AsOfDate,EDATE($D119,Milestones!$AA$52)&gt;=SchemeStart,IF($X119=0,$AD119,IF(AND($Z119&lt;&gt;"",EDATE($D119,Milestones!$AA$52)&gt;=$Z119),$AC119,IF(AND($Y119&lt;&gt;"",EDATE($D119,Milestones!$AA$52)&gt;=$Y119),$AB119,$AA119)))=Milestones!$AB$52),UPPER(TEXT(EDATE($D119,Milestones!$AA$52),"dd mmm yy"))&amp;" "&amp;Milestones!$AB$52&amp;" "&amp;IF(AND(Milestones!$AB$52="FT",Milestones!$AA$52=FT_Y5,EDATE($D119,Milestones!$AA$52)&lt;PolicyEff),1,Milestones!$AC$52)&amp;";  ","")&amp;IF(AND(EDATE($D119,Milestones!$AA$53)&lt;=AsOfDate,EDATE($D119,Milestones!$AA$53)&gt;=SchemeStart,IF($X119=0,$AD119,IF(AND($Z119&lt;&gt;"",EDATE($D119,Milestones!$AA$53)&gt;=$Z119),$AC119,IF(AND($Y119&lt;&gt;"",EDATE($D119,Milestones!$AA$53)&gt;=$Y119),$AB119,$AA119)))=Milestones!$AB$53),UPPER(TEXT(EDATE($D119,Milestones!$AA$53),"dd mmm yy"))&amp;" "&amp;Milestones!$AB$53&amp;" "&amp;IF(AND(Milestones!$AB$53="FT",Milestones!$AA$53=FT_Y5,EDATE($D119,Milestones!$AA$53)&lt;PolicyEff),1,Milestones!$AC$53)&amp;";  ","")&amp;IF(AND(EDATE($D119,Milestones!$AA$54)&lt;=AsOfDate,EDATE($D119,Milestones!$AA$54)&gt;=SchemeStart,IF($X119=0,$AD119,IF(AND($Z119&lt;&gt;"",EDATE($D119,Milestones!$AA$54)&gt;=$Z119),$AC119,IF(AND($Y119&lt;&gt;"",EDATE($D119,Milestones!$AA$54)&gt;=$Y119),$AB119,$AA119)))=Milestones!$AB$54),UPPER(TEXT(EDATE($D119,Milestones!$AA$54),"dd mmm yy"))&amp;" "&amp;Milestones!$AB$54&amp;" "&amp;IF(AND(Milestones!$AB$54="FT",Milestones!$AA$54=FT_Y5,EDATE($D119,Milestones!$AA$54)&lt;PolicyEff),1,Milestones!$AC$54)&amp;";  ","")&amp;IF(AND(EDATE($D119,Milestones!$AA$55)&lt;=AsOfDate,EDATE($D119,Milestones!$AA$55)&gt;=SchemeStart,IF($X119=0,$AD119,IF(AND($Z119&lt;&gt;"",EDATE($D119,Milestones!$AA$55)&gt;=$Z119),$AC119,IF(AND($Y119&lt;&gt;"",EDATE($D119,Milestones!$AA$55)&gt;=$Y119),$AB119,$AA119)))=Milestones!$AB$55),UPPER(TEXT(EDATE($D119,Milestones!$AA$55),"dd mmm yy"))&amp;" "&amp;Milestones!$AB$55&amp;" "&amp;IF(AND(Milestones!$AB$55="FT",Milestones!$AA$55=FT_Y5,EDATE($D119,Milestones!$AA$55)&lt;PolicyEff),1,Milestones!$AC$55)&amp;";  ",""))</f>
        <v/>
      </c>
      <c r="L119" s="0" t="str">
        <f aca="false">IF(OR($A119="",$D119=""),"",IF(AND(EDATE($D119,Milestones!$AA$56)&lt;=AsOfDate,EDATE($D119,Milestones!$AA$56)&gt;=SchemeStart,IF($X119=0,$AD119,IF(AND($Z119&lt;&gt;"",EDATE($D119,Milestones!$AA$56)&gt;=$Z119),$AC119,IF(AND($Y119&lt;&gt;"",EDATE($D119,Milestones!$AA$56)&gt;=$Y119),$AB119,$AA119)))=Milestones!$AB$56),UPPER(TEXT(EDATE($D119,Milestones!$AA$56),"dd mmm yy"))&amp;" "&amp;Milestones!$AB$56&amp;" "&amp;IF(AND(Milestones!$AB$56="FT",Milestones!$AA$56=FT_Y5,EDATE($D119,Milestones!$AA$56)&lt;PolicyEff),1,Milestones!$AC$56)&amp;";  ","")&amp;IF(AND(EDATE($D119,Milestones!$AA$57)&lt;=AsOfDate,EDATE($D119,Milestones!$AA$57)&gt;=SchemeStart,IF($X119=0,$AD119,IF(AND($Z119&lt;&gt;"",EDATE($D119,Milestones!$AA$57)&gt;=$Z119),$AC119,IF(AND($Y119&lt;&gt;"",EDATE($D119,Milestones!$AA$57)&gt;=$Y119),$AB119,$AA119)))=Milestones!$AB$57),UPPER(TEXT(EDATE($D119,Milestones!$AA$57),"dd mmm yy"))&amp;" "&amp;Milestones!$AB$57&amp;" "&amp;IF(AND(Milestones!$AB$57="FT",Milestones!$AA$57=FT_Y5,EDATE($D119,Milestones!$AA$57)&lt;PolicyEff),1,Milestones!$AC$57)&amp;";  ","")&amp;IF(AND(EDATE($D119,Milestones!$AA$58)&lt;=AsOfDate,EDATE($D119,Milestones!$AA$58)&gt;=SchemeStart,IF($X119=0,$AD119,IF(AND($Z119&lt;&gt;"",EDATE($D119,Milestones!$AA$58)&gt;=$Z119),$AC119,IF(AND($Y119&lt;&gt;"",EDATE($D119,Milestones!$AA$58)&gt;=$Y119),$AB119,$AA119)))=Milestones!$AB$58),UPPER(TEXT(EDATE($D119,Milestones!$AA$58),"dd mmm yy"))&amp;" "&amp;Milestones!$AB$58&amp;" "&amp;IF(AND(Milestones!$AB$58="FT",Milestones!$AA$58=FT_Y5,EDATE($D119,Milestones!$AA$58)&lt;PolicyEff),1,Milestones!$AC$58)&amp;";  ","")&amp;IF(AND(EDATE($D119,Milestones!$AA$59)&lt;=AsOfDate,EDATE($D119,Milestones!$AA$59)&gt;=SchemeStart,IF($X119=0,$AD119,IF(AND($Z119&lt;&gt;"",EDATE($D119,Milestones!$AA$59)&gt;=$Z119),$AC119,IF(AND($Y119&lt;&gt;"",EDATE($D119,Milestones!$AA$59)&gt;=$Y119),$AB119,$AA119)))=Milestones!$AB$59),UPPER(TEXT(EDATE($D119,Milestones!$AA$59),"dd mmm yy"))&amp;" "&amp;Milestones!$AB$59&amp;" "&amp;IF(AND(Milestones!$AB$59="FT",Milestones!$AA$59=FT_Y5,EDATE($D119,Milestones!$AA$59)&lt;PolicyEff),1,Milestones!$AC$59)&amp;";  ","")&amp;IF(AND(EDATE($D119,Milestones!$AA$60)&lt;=AsOfDate,EDATE($D119,Milestones!$AA$60)&gt;=SchemeStart,IF($X119=0,$AD119,IF(AND($Z119&lt;&gt;"",EDATE($D119,Milestones!$AA$60)&gt;=$Z119),$AC119,IF(AND($Y119&lt;&gt;"",EDATE($D119,Milestones!$AA$60)&gt;=$Y119),$AB119,$AA119)))=Milestones!$AB$60),UPPER(TEXT(EDATE($D119,Milestones!$AA$60),"dd mmm yy"))&amp;" "&amp;Milestones!$AB$60&amp;" "&amp;IF(AND(Milestones!$AB$60="FT",Milestones!$AA$60=FT_Y5,EDATE($D119,Milestones!$AA$60)&lt;PolicyEff),1,Milestones!$AC$60)&amp;";  ","")&amp;IF(AND(EDATE($D119,Milestones!$AA$61)&lt;=AsOfDate,EDATE($D119,Milestones!$AA$61)&gt;=SchemeStart,IF($X119=0,$AD119,IF(AND($Z119&lt;&gt;"",EDATE($D119,Milestones!$AA$61)&gt;=$Z119),$AC119,IF(AND($Y119&lt;&gt;"",EDATE($D119,Milestones!$AA$61)&gt;=$Y119),$AB119,$AA119)))=Milestones!$AB$61),UPPER(TEXT(EDATE($D119,Milestones!$AA$61),"dd mmm yy"))&amp;" "&amp;Milestones!$AB$61&amp;" "&amp;IF(AND(Milestones!$AB$61="FT",Milestones!$AA$61=FT_Y5,EDATE($D119,Milestones!$AA$61)&lt;PolicyEff),1,Milestones!$AC$61)&amp;";  ","")&amp;IF(AND(EDATE($D119,Milestones!$AA$62)&lt;=AsOfDate,EDATE($D119,Milestones!$AA$62)&gt;=SchemeStart,IF($X119=0,$AD119,IF(AND($Z119&lt;&gt;"",EDATE($D119,Milestones!$AA$62)&gt;=$Z119),$AC119,IF(AND($Y119&lt;&gt;"",EDATE($D119,Milestones!$AA$62)&gt;=$Y119),$AB119,$AA119)))=Milestones!$AB$62),UPPER(TEXT(EDATE($D119,Milestones!$AA$62),"dd mmm yy"))&amp;" "&amp;Milestones!$AB$62&amp;" "&amp;IF(AND(Milestones!$AB$62="FT",Milestones!$AA$62=FT_Y5,EDATE($D119,Milestones!$AA$62)&lt;PolicyEff),1,Milestones!$AC$62)&amp;";  ","")&amp;IF(AND(EDATE($D119,Milestones!$AA$63)&lt;=AsOfDate,EDATE($D119,Milestones!$AA$63)&gt;=SchemeStart,IF($X119=0,$AD119,IF(AND($Z119&lt;&gt;"",EDATE($D119,Milestones!$AA$63)&gt;=$Z119),$AC119,IF(AND($Y119&lt;&gt;"",EDATE($D119,Milestones!$AA$63)&gt;=$Y119),$AB119,$AA119)))=Milestones!$AB$63),UPPER(TEXT(EDATE($D119,Milestones!$AA$63),"dd mmm yy"))&amp;" "&amp;Milestones!$AB$63&amp;" "&amp;IF(AND(Milestones!$AB$63="FT",Milestones!$AA$63=FT_Y5,EDATE($D119,Milestones!$AA$63)&lt;PolicyEff),1,Milestones!$AC$63)&amp;";  ","")&amp;IF(AND(EDATE($D119,Milestones!$AA$64)&lt;=AsOfDate,EDATE($D119,Milestones!$AA$64)&gt;=SchemeStart,IF($X119=0,$AD119,IF(AND($Z119&lt;&gt;"",EDATE($D119,Milestones!$AA$64)&gt;=$Z119),$AC119,IF(AND($Y119&lt;&gt;"",EDATE($D119,Milestones!$AA$64)&gt;=$Y119),$AB119,$AA119)))=Milestones!$AB$64),UPPER(TEXT(EDATE($D119,Milestones!$AA$64),"dd mmm yy"))&amp;" "&amp;Milestones!$AB$64&amp;" "&amp;IF(AND(Milestones!$AB$64="FT",Milestones!$AA$64=FT_Y5,EDATE($D119,Milestones!$AA$64)&lt;PolicyEff),1,Milestones!$AC$64)&amp;";  ","")&amp;IF(AND(EDATE($D119,Milestones!$AA$65)&lt;=AsOfDate,EDATE($D119,Milestones!$AA$65)&gt;=SchemeStart,IF($X119=0,$AD119,IF(AND($Z119&lt;&gt;"",EDATE($D119,Milestones!$AA$65)&gt;=$Z119),$AC119,IF(AND($Y119&lt;&gt;"",EDATE($D119,Milestones!$AA$65)&gt;=$Y119),$AB119,$AA119)))=Milestones!$AB$65),UPPER(TEXT(EDATE($D119,Milestones!$AA$65),"dd mmm yy"))&amp;" "&amp;Milestones!$AB$65&amp;" "&amp;IF(AND(Milestones!$AB$65="FT",Milestones!$AA$65=FT_Y5,EDATE($D119,Milestones!$AA$65)&lt;PolicyEff),1,Milestones!$AC$65)&amp;";  ","")&amp;IF(AND(EDATE($D119,Milestones!$AA$66)&lt;=AsOfDate,EDATE($D119,Milestones!$AA$66)&gt;=SchemeStart,IF($X119=0,$AD119,IF(AND($Z119&lt;&gt;"",EDATE($D119,Milestones!$AA$66)&gt;=$Z119),$AC119,IF(AND($Y119&lt;&gt;"",EDATE($D119,Milestones!$AA$66)&gt;=$Y119),$AB119,$AA119)))=Milestones!$AB$66),UPPER(TEXT(EDATE($D119,Milestones!$AA$66),"dd mmm yy"))&amp;" "&amp;Milestones!$AB$66&amp;" "&amp;IF(AND(Milestones!$AB$66="FT",Milestones!$AA$66=FT_Y5,EDATE($D119,Milestones!$AA$66)&lt;PolicyEff),1,Milestones!$AC$66)&amp;";  ","")&amp;IF(AND(EDATE($D119,Milestones!$AA$67)&lt;=AsOfDate,EDATE($D119,Milestones!$AA$67)&gt;=SchemeStart,IF($X119=0,$AD119,IF(AND($Z119&lt;&gt;"",EDATE($D119,Milestones!$AA$67)&gt;=$Z119),$AC119,IF(AND($Y119&lt;&gt;"",EDATE($D119,Milestones!$AA$67)&gt;=$Y119),$AB119,$AA119)))=Milestones!$AB$67),UPPER(TEXT(EDATE($D119,Milestones!$AA$67),"dd mmm yy"))&amp;" "&amp;Milestones!$AB$67&amp;" "&amp;IF(AND(Milestones!$AB$67="FT",Milestones!$AA$67=FT_Y5,EDATE($D119,Milestones!$AA$67)&lt;PolicyEff),1,Milestones!$AC$67)&amp;";  ",""))</f>
        <v/>
      </c>
      <c r="M119" s="0" t="str">
        <f aca="false">IF(OR($A119="",$D119=""),"",IF(AND(EDATE($D119,Milestones!$AA$68)&lt;=AsOfDate,EDATE($D119,Milestones!$AA$68)&gt;=SchemeStart,IF($X119=0,$AD119,IF(AND($Z119&lt;&gt;"",EDATE($D119,Milestones!$AA$68)&gt;=$Z119),$AC119,IF(AND($Y119&lt;&gt;"",EDATE($D119,Milestones!$AA$68)&gt;=$Y119),$AB119,$AA119)))=Milestones!$AB$68),UPPER(TEXT(EDATE($D119,Milestones!$AA$68),"dd mmm yy"))&amp;" "&amp;Milestones!$AB$68&amp;" "&amp;IF(AND(Milestones!$AB$68="FT",Milestones!$AA$68=FT_Y5,EDATE($D119,Milestones!$AA$68)&lt;PolicyEff),1,Milestones!$AC$68)&amp;";  ","")&amp;IF(AND(EDATE($D119,Milestones!$AA$69)&lt;=AsOfDate,EDATE($D119,Milestones!$AA$69)&gt;=SchemeStart,IF($X119=0,$AD119,IF(AND($Z119&lt;&gt;"",EDATE($D119,Milestones!$AA$69)&gt;=$Z119),$AC119,IF(AND($Y119&lt;&gt;"",EDATE($D119,Milestones!$AA$69)&gt;=$Y119),$AB119,$AA119)))=Milestones!$AB$69),UPPER(TEXT(EDATE($D119,Milestones!$AA$69),"dd mmm yy"))&amp;" "&amp;Milestones!$AB$69&amp;" "&amp;IF(AND(Milestones!$AB$69="FT",Milestones!$AA$69=FT_Y5,EDATE($D119,Milestones!$AA$69)&lt;PolicyEff),1,Milestones!$AC$69)&amp;";  ","")&amp;IF(AND(EDATE($D119,Milestones!$AA$70)&lt;=AsOfDate,EDATE($D119,Milestones!$AA$70)&gt;=SchemeStart,IF($X119=0,$AD119,IF(AND($Z119&lt;&gt;"",EDATE($D119,Milestones!$AA$70)&gt;=$Z119),$AC119,IF(AND($Y119&lt;&gt;"",EDATE($D119,Milestones!$AA$70)&gt;=$Y119),$AB119,$AA119)))=Milestones!$AB$70),UPPER(TEXT(EDATE($D119,Milestones!$AA$70),"dd mmm yy"))&amp;" "&amp;Milestones!$AB$70&amp;" "&amp;IF(AND(Milestones!$AB$70="FT",Milestones!$AA$70=FT_Y5,EDATE($D119,Milestones!$AA$70)&lt;PolicyEff),1,Milestones!$AC$70)&amp;";  ","")&amp;IF(AND(EDATE($D119,Milestones!$AA$71)&lt;=AsOfDate,EDATE($D119,Milestones!$AA$71)&gt;=SchemeStart,IF($X119=0,$AD119,IF(AND($Z119&lt;&gt;"",EDATE($D119,Milestones!$AA$71)&gt;=$Z119),$AC119,IF(AND($Y119&lt;&gt;"",EDATE($D119,Milestones!$AA$71)&gt;=$Y119),$AB119,$AA119)))=Milestones!$AB$71),UPPER(TEXT(EDATE($D119,Milestones!$AA$71),"dd mmm yy"))&amp;" "&amp;Milestones!$AB$71&amp;" "&amp;IF(AND(Milestones!$AB$71="FT",Milestones!$AA$71=FT_Y5,EDATE($D119,Milestones!$AA$71)&lt;PolicyEff),1,Milestones!$AC$71)&amp;";  ","")&amp;IF(AND(EDATE($D119,Milestones!$AA$72)&lt;=AsOfDate,EDATE($D119,Milestones!$AA$72)&gt;=SchemeStart,IF($X119=0,$AD119,IF(AND($Z119&lt;&gt;"",EDATE($D119,Milestones!$AA$72)&gt;=$Z119),$AC119,IF(AND($Y119&lt;&gt;"",EDATE($D119,Milestones!$AA$72)&gt;=$Y119),$AB119,$AA119)))=Milestones!$AB$72),UPPER(TEXT(EDATE($D119,Milestones!$AA$72),"dd mmm yy"))&amp;" "&amp;Milestones!$AB$72&amp;" "&amp;IF(AND(Milestones!$AB$72="FT",Milestones!$AA$72=FT_Y5,EDATE($D119,Milestones!$AA$72)&lt;PolicyEff),1,Milestones!$AC$72)&amp;";  ","")&amp;IF(AND(EDATE($D119,Milestones!$AA$73)&lt;=AsOfDate,EDATE($D119,Milestones!$AA$73)&gt;=SchemeStart,IF($X119=0,$AD119,IF(AND($Z119&lt;&gt;"",EDATE($D119,Milestones!$AA$73)&gt;=$Z119),$AC119,IF(AND($Y119&lt;&gt;"",EDATE($D119,Milestones!$AA$73)&gt;=$Y119),$AB119,$AA119)))=Milestones!$AB$73),UPPER(TEXT(EDATE($D119,Milestones!$AA$73),"dd mmm yy"))&amp;" "&amp;Milestones!$AB$73&amp;" "&amp;IF(AND(Milestones!$AB$73="FT",Milestones!$AA$73=FT_Y5,EDATE($D119,Milestones!$AA$73)&lt;PolicyEff),1,Milestones!$AC$73)&amp;";  ","")&amp;IF(AND(EDATE($D119,Milestones!$AA$74)&lt;=AsOfDate,EDATE($D119,Milestones!$AA$74)&gt;=SchemeStart,IF($X119=0,$AD119,IF(AND($Z119&lt;&gt;"",EDATE($D119,Milestones!$AA$74)&gt;=$Z119),$AC119,IF(AND($Y119&lt;&gt;"",EDATE($D119,Milestones!$AA$74)&gt;=$Y119),$AB119,$AA119)))=Milestones!$AB$74),UPPER(TEXT(EDATE($D119,Milestones!$AA$74),"dd mmm yy"))&amp;" "&amp;Milestones!$AB$74&amp;" "&amp;IF(AND(Milestones!$AB$74="FT",Milestones!$AA$74=FT_Y5,EDATE($D119,Milestones!$AA$74)&lt;PolicyEff),1,Milestones!$AC$74)&amp;";  ","")&amp;IF(AND(EDATE($D119,Milestones!$AA$75)&lt;=AsOfDate,EDATE($D119,Milestones!$AA$75)&gt;=SchemeStart,IF($X119=0,$AD119,IF(AND($Z119&lt;&gt;"",EDATE($D119,Milestones!$AA$75)&gt;=$Z119),$AC119,IF(AND($Y119&lt;&gt;"",EDATE($D119,Milestones!$AA$75)&gt;=$Y119),$AB119,$AA119)))=Milestones!$AB$75),UPPER(TEXT(EDATE($D119,Milestones!$AA$75),"dd mmm yy"))&amp;" "&amp;Milestones!$AB$75&amp;" "&amp;IF(AND(Milestones!$AB$75="FT",Milestones!$AA$75=FT_Y5,EDATE($D119,Milestones!$AA$75)&lt;PolicyEff),1,Milestones!$AC$75)&amp;";  ","")&amp;IF(AND(EDATE($D119,Milestones!$AA$76)&lt;=AsOfDate,EDATE($D119,Milestones!$AA$76)&gt;=SchemeStart,IF($X119=0,$AD119,IF(AND($Z119&lt;&gt;"",EDATE($D119,Milestones!$AA$76)&gt;=$Z119),$AC119,IF(AND($Y119&lt;&gt;"",EDATE($D119,Milestones!$AA$76)&gt;=$Y119),$AB119,$AA119)))=Milestones!$AB$76),UPPER(TEXT(EDATE($D119,Milestones!$AA$76),"dd mmm yy"))&amp;" "&amp;Milestones!$AB$76&amp;" "&amp;IF(AND(Milestones!$AB$76="FT",Milestones!$AA$76=FT_Y5,EDATE($D119,Milestones!$AA$76)&lt;PolicyEff),1,Milestones!$AC$76)&amp;";  ","")&amp;IF(AND(EDATE($D119,Milestones!$AA$77)&lt;=AsOfDate,EDATE($D119,Milestones!$AA$77)&gt;=SchemeStart,IF($X119=0,$AD119,IF(AND($Z119&lt;&gt;"",EDATE($D119,Milestones!$AA$77)&gt;=$Z119),$AC119,IF(AND($Y119&lt;&gt;"",EDATE($D119,Milestones!$AA$77)&gt;=$Y119),$AB119,$AA119)))=Milestones!$AB$77),UPPER(TEXT(EDATE($D119,Milestones!$AA$77),"dd mmm yy"))&amp;" "&amp;Milestones!$AB$77&amp;" "&amp;IF(AND(Milestones!$AB$77="FT",Milestones!$AA$77=FT_Y5,EDATE($D119,Milestones!$AA$77)&lt;PolicyEff),1,Milestones!$AC$77)&amp;";  ","")&amp;IF(AND(EDATE($D119,Milestones!$AA$78)&lt;=AsOfDate,EDATE($D119,Milestones!$AA$78)&gt;=SchemeStart,IF($X119=0,$AD119,IF(AND($Z119&lt;&gt;"",EDATE($D119,Milestones!$AA$78)&gt;=$Z119),$AC119,IF(AND($Y119&lt;&gt;"",EDATE($D119,Milestones!$AA$78)&gt;=$Y119),$AB119,$AA119)))=Milestones!$AB$78),UPPER(TEXT(EDATE($D119,Milestones!$AA$78),"dd mmm yy"))&amp;" "&amp;Milestones!$AB$78&amp;" "&amp;IF(AND(Milestones!$AB$78="FT",Milestones!$AA$78=FT_Y5,EDATE($D119,Milestones!$AA$78)&lt;PolicyEff),1,Milestones!$AC$78)&amp;";  ","")&amp;IF(AND(EDATE($D119,Milestones!$AA$79)&lt;=AsOfDate,EDATE($D119,Milestones!$AA$79)&gt;=SchemeStart,IF($X119=0,$AD119,IF(AND($Z119&lt;&gt;"",EDATE($D119,Milestones!$AA$79)&gt;=$Z119),$AC119,IF(AND($Y119&lt;&gt;"",EDATE($D119,Milestones!$AA$79)&gt;=$Y119),$AB119,$AA119)))=Milestones!$AB$79),UPPER(TEXT(EDATE($D119,Milestones!$AA$79),"dd mmm yy"))&amp;" "&amp;Milestones!$AB$79&amp;" "&amp;IF(AND(Milestones!$AB$79="FT",Milestones!$AA$79=FT_Y5,EDATE($D119,Milestones!$AA$79)&lt;PolicyEff),1,Milestones!$AC$79)&amp;";  ",""))</f>
        <v/>
      </c>
      <c r="N119" s="0" t="str">
        <f aca="false">IF(OR($A119="",$D119=""),"",IF(AND(EDATE($D119,Milestones!$AA$80)&lt;=AsOfDate,EDATE($D119,Milestones!$AA$80)&gt;=SchemeStart,IF($X119=0,$AD119,IF(AND($Z119&lt;&gt;"",EDATE($D119,Milestones!$AA$80)&gt;=$Z119),$AC119,IF(AND($Y119&lt;&gt;"",EDATE($D119,Milestones!$AA$80)&gt;=$Y119),$AB119,$AA119)))=Milestones!$AB$80),UPPER(TEXT(EDATE($D119,Milestones!$AA$80),"dd mmm yy"))&amp;" "&amp;Milestones!$AB$80&amp;" "&amp;IF(AND(Milestones!$AB$80="FT",Milestones!$AA$80=FT_Y5,EDATE($D119,Milestones!$AA$80)&lt;PolicyEff),1,Milestones!$AC$80)&amp;";  ","")&amp;IF(AND(EDATE($D119,Milestones!$AA$81)&lt;=AsOfDate,EDATE($D119,Milestones!$AA$81)&gt;=SchemeStart,IF($X119=0,$AD119,IF(AND($Z119&lt;&gt;"",EDATE($D119,Milestones!$AA$81)&gt;=$Z119),$AC119,IF(AND($Y119&lt;&gt;"",EDATE($D119,Milestones!$AA$81)&gt;=$Y119),$AB119,$AA119)))=Milestones!$AB$81),UPPER(TEXT(EDATE($D119,Milestones!$AA$81),"dd mmm yy"))&amp;" "&amp;Milestones!$AB$81&amp;" "&amp;IF(AND(Milestones!$AB$81="FT",Milestones!$AA$81=FT_Y5,EDATE($D119,Milestones!$AA$81)&lt;PolicyEff),1,Milestones!$AC$81)&amp;";  ","")&amp;IF(AND(EDATE($D119,Milestones!$AA$82)&lt;=AsOfDate,EDATE($D119,Milestones!$AA$82)&gt;=SchemeStart,IF($X119=0,$AD119,IF(AND($Z119&lt;&gt;"",EDATE($D119,Milestones!$AA$82)&gt;=$Z119),$AC119,IF(AND($Y119&lt;&gt;"",EDATE($D119,Milestones!$AA$82)&gt;=$Y119),$AB119,$AA119)))=Milestones!$AB$82),UPPER(TEXT(EDATE($D119,Milestones!$AA$82),"dd mmm yy"))&amp;" "&amp;Milestones!$AB$82&amp;" "&amp;IF(AND(Milestones!$AB$82="FT",Milestones!$AA$82=FT_Y5,EDATE($D119,Milestones!$AA$82)&lt;PolicyEff),1,Milestones!$AC$82)&amp;";  ","")&amp;IF(AND(EDATE($D119,Milestones!$AA$83)&lt;=AsOfDate,EDATE($D119,Milestones!$AA$83)&gt;=SchemeStart,IF($X119=0,$AD119,IF(AND($Z119&lt;&gt;"",EDATE($D119,Milestones!$AA$83)&gt;=$Z119),$AC119,IF(AND($Y119&lt;&gt;"",EDATE($D119,Milestones!$AA$83)&gt;=$Y119),$AB119,$AA119)))=Milestones!$AB$83),UPPER(TEXT(EDATE($D119,Milestones!$AA$83),"dd mmm yy"))&amp;" "&amp;Milestones!$AB$83&amp;" "&amp;IF(AND(Milestones!$AB$83="FT",Milestones!$AA$83=FT_Y5,EDATE($D119,Milestones!$AA$83)&lt;PolicyEff),1,Milestones!$AC$83)&amp;";  ","")&amp;IF(AND(EDATE($D119,Milestones!$AA$84)&lt;=AsOfDate,EDATE($D119,Milestones!$AA$84)&gt;=SchemeStart,IF($X119=0,$AD119,IF(AND($Z119&lt;&gt;"",EDATE($D119,Milestones!$AA$84)&gt;=$Z119),$AC119,IF(AND($Y119&lt;&gt;"",EDATE($D119,Milestones!$AA$84)&gt;=$Y119),$AB119,$AA119)))=Milestones!$AB$84),UPPER(TEXT(EDATE($D119,Milestones!$AA$84),"dd mmm yy"))&amp;" "&amp;Milestones!$AB$84&amp;" "&amp;IF(AND(Milestones!$AB$84="FT",Milestones!$AA$84=FT_Y5,EDATE($D119,Milestones!$AA$84)&lt;PolicyEff),1,Milestones!$AC$84)&amp;";  ","")&amp;IF(AND(EDATE($D119,Milestones!$AA$85)&lt;=AsOfDate,EDATE($D119,Milestones!$AA$85)&gt;=SchemeStart,IF($X119=0,$AD119,IF(AND($Z119&lt;&gt;"",EDATE($D119,Milestones!$AA$85)&gt;=$Z119),$AC119,IF(AND($Y119&lt;&gt;"",EDATE($D119,Milestones!$AA$85)&gt;=$Y119),$AB119,$AA119)))=Milestones!$AB$85),UPPER(TEXT(EDATE($D119,Milestones!$AA$85),"dd mmm yy"))&amp;" "&amp;Milestones!$AB$85&amp;" "&amp;IF(AND(Milestones!$AB$85="FT",Milestones!$AA$85=FT_Y5,EDATE($D119,Milestones!$AA$85)&lt;PolicyEff),1,Milestones!$AC$85)&amp;";  ","")&amp;IF(AND(EDATE($D119,Milestones!$AA$86)&lt;=AsOfDate,EDATE($D119,Milestones!$AA$86)&gt;=SchemeStart,IF($X119=0,$AD119,IF(AND($Z119&lt;&gt;"",EDATE($D119,Milestones!$AA$86)&gt;=$Z119),$AC119,IF(AND($Y119&lt;&gt;"",EDATE($D119,Milestones!$AA$86)&gt;=$Y119),$AB119,$AA119)))=Milestones!$AB$86),UPPER(TEXT(EDATE($D119,Milestones!$AA$86),"dd mmm yy"))&amp;" "&amp;Milestones!$AB$86&amp;" "&amp;IF(AND(Milestones!$AB$86="FT",Milestones!$AA$86=FT_Y5,EDATE($D119,Milestones!$AA$86)&lt;PolicyEff),1,Milestones!$AC$86)&amp;";  ","")&amp;IF(AND(EDATE($D119,Milestones!$AA$87)&lt;=AsOfDate,EDATE($D119,Milestones!$AA$87)&gt;=SchemeStart,IF($X119=0,$AD119,IF(AND($Z119&lt;&gt;"",EDATE($D119,Milestones!$AA$87)&gt;=$Z119),$AC119,IF(AND($Y119&lt;&gt;"",EDATE($D119,Milestones!$AA$87)&gt;=$Y119),$AB119,$AA119)))=Milestones!$AB$87),UPPER(TEXT(EDATE($D119,Milestones!$AA$87),"dd mmm yy"))&amp;" "&amp;Milestones!$AB$87&amp;" "&amp;IF(AND(Milestones!$AB$87="FT",Milestones!$AA$87=FT_Y5,EDATE($D119,Milestones!$AA$87)&lt;PolicyEff),1,Milestones!$AC$87)&amp;";  ","")&amp;IF(AND(EDATE($D119,Milestones!$AA$88)&lt;=AsOfDate,EDATE($D119,Milestones!$AA$88)&gt;=SchemeStart,IF($X119=0,$AD119,IF(AND($Z119&lt;&gt;"",EDATE($D119,Milestones!$AA$88)&gt;=$Z119),$AC119,IF(AND($Y119&lt;&gt;"",EDATE($D119,Milestones!$AA$88)&gt;=$Y119),$AB119,$AA119)))=Milestones!$AB$88),UPPER(TEXT(EDATE($D119,Milestones!$AA$88),"dd mmm yy"))&amp;" "&amp;Milestones!$AB$88&amp;" "&amp;IF(AND(Milestones!$AB$88="FT",Milestones!$AA$88=FT_Y5,EDATE($D119,Milestones!$AA$88)&lt;PolicyEff),1,Milestones!$AC$88)&amp;";  ","")&amp;IF(AND(EDATE($D119,Milestones!$AA$89)&lt;=AsOfDate,EDATE($D119,Milestones!$AA$89)&gt;=SchemeStart,IF($X119=0,$AD119,IF(AND($Z119&lt;&gt;"",EDATE($D119,Milestones!$AA$89)&gt;=$Z119),$AC119,IF(AND($Y119&lt;&gt;"",EDATE($D119,Milestones!$AA$89)&gt;=$Y119),$AB119,$AA119)))=Milestones!$AB$89),UPPER(TEXT(EDATE($D119,Milestones!$AA$89),"dd mmm yy"))&amp;" "&amp;Milestones!$AB$89&amp;" "&amp;IF(AND(Milestones!$AB$89="FT",Milestones!$AA$89=FT_Y5,EDATE($D119,Milestones!$AA$89)&lt;PolicyEff),1,Milestones!$AC$89)&amp;";  ","")&amp;IF(AND(EDATE($D119,Milestones!$AA$90)&lt;=AsOfDate,EDATE($D119,Milestones!$AA$90)&gt;=SchemeStart,IF($X119=0,$AD119,IF(AND($Z119&lt;&gt;"",EDATE($D119,Milestones!$AA$90)&gt;=$Z119),$AC119,IF(AND($Y119&lt;&gt;"",EDATE($D119,Milestones!$AA$90)&gt;=$Y119),$AB119,$AA119)))=Milestones!$AB$90),UPPER(TEXT(EDATE($D119,Milestones!$AA$90),"dd mmm yy"))&amp;" "&amp;Milestones!$AB$90&amp;" "&amp;IF(AND(Milestones!$AB$90="FT",Milestones!$AA$90=FT_Y5,EDATE($D119,Milestones!$AA$90)&lt;PolicyEff),1,Milestones!$AC$90)&amp;";  ","")&amp;IF(AND(EDATE($D119,Milestones!$AA$91)&lt;=AsOfDate,EDATE($D119,Milestones!$AA$91)&gt;=SchemeStart,IF($X119=0,$AD119,IF(AND($Z119&lt;&gt;"",EDATE($D119,Milestones!$AA$91)&gt;=$Z119),$AC119,IF(AND($Y119&lt;&gt;"",EDATE($D119,Milestones!$AA$91)&gt;=$Y119),$AB119,$AA119)))=Milestones!$AB$91),UPPER(TEXT(EDATE($D119,Milestones!$AA$91),"dd mmm yy"))&amp;" "&amp;Milestones!$AB$91&amp;" "&amp;IF(AND(Milestones!$AB$91="FT",Milestones!$AA$91=FT_Y5,EDATE($D119,Milestones!$AA$91)&lt;PolicyEff),1,Milestones!$AC$91)&amp;";  ",""))</f>
        <v/>
      </c>
      <c r="O119" s="0" t="str">
        <f aca="false">IF(OR($A119="",$D119=""),"",IF(AND(EDATE($D119,Milestones!$AA$92)&lt;=AsOfDate,EDATE($D119,Milestones!$AA$92)&gt;=SchemeStart,IF($X119=0,$AD119,IF(AND($Z119&lt;&gt;"",EDATE($D119,Milestones!$AA$92)&gt;=$Z119),$AC119,IF(AND($Y119&lt;&gt;"",EDATE($D119,Milestones!$AA$92)&gt;=$Y119),$AB119,$AA119)))=Milestones!$AB$92),UPPER(TEXT(EDATE($D119,Milestones!$AA$92),"dd mmm yy"))&amp;" "&amp;Milestones!$AB$92&amp;" "&amp;IF(AND(Milestones!$AB$92="FT",Milestones!$AA$92=FT_Y5,EDATE($D119,Milestones!$AA$92)&lt;PolicyEff),1,Milestones!$AC$92)&amp;";  ","")&amp;IF(AND(EDATE($D119,Milestones!$AA$93)&lt;=AsOfDate,EDATE($D119,Milestones!$AA$93)&gt;=SchemeStart,IF($X119=0,$AD119,IF(AND($Z119&lt;&gt;"",EDATE($D119,Milestones!$AA$93)&gt;=$Z119),$AC119,IF(AND($Y119&lt;&gt;"",EDATE($D119,Milestones!$AA$93)&gt;=$Y119),$AB119,$AA119)))=Milestones!$AB$93),UPPER(TEXT(EDATE($D119,Milestones!$AA$93),"dd mmm yy"))&amp;" "&amp;Milestones!$AB$93&amp;" "&amp;IF(AND(Milestones!$AB$93="FT",Milestones!$AA$93=FT_Y5,EDATE($D119,Milestones!$AA$93)&lt;PolicyEff),1,Milestones!$AC$93)&amp;";  ","")&amp;IF(AND(EDATE($D119,Milestones!$AA$94)&lt;=AsOfDate,EDATE($D119,Milestones!$AA$94)&gt;=SchemeStart,IF($X119=0,$AD119,IF(AND($Z119&lt;&gt;"",EDATE($D119,Milestones!$AA$94)&gt;=$Z119),$AC119,IF(AND($Y119&lt;&gt;"",EDATE($D119,Milestones!$AA$94)&gt;=$Y119),$AB119,$AA119)))=Milestones!$AB$94),UPPER(TEXT(EDATE($D119,Milestones!$AA$94),"dd mmm yy"))&amp;" "&amp;Milestones!$AB$94&amp;" "&amp;IF(AND(Milestones!$AB$94="FT",Milestones!$AA$94=FT_Y5,EDATE($D119,Milestones!$AA$94)&lt;PolicyEff),1,Milestones!$AC$94)&amp;";  ","")&amp;IF(AND(EDATE($D119,Milestones!$AA$95)&lt;=AsOfDate,EDATE($D119,Milestones!$AA$95)&gt;=SchemeStart,IF($X119=0,$AD119,IF(AND($Z119&lt;&gt;"",EDATE($D119,Milestones!$AA$95)&gt;=$Z119),$AC119,IF(AND($Y119&lt;&gt;"",EDATE($D119,Milestones!$AA$95)&gt;=$Y119),$AB119,$AA119)))=Milestones!$AB$95),UPPER(TEXT(EDATE($D119,Milestones!$AA$95),"dd mmm yy"))&amp;" "&amp;Milestones!$AB$95&amp;" "&amp;IF(AND(Milestones!$AB$95="FT",Milestones!$AA$95=FT_Y5,EDATE($D119,Milestones!$AA$95)&lt;PolicyEff),1,Milestones!$AC$95)&amp;";  ","")&amp;IF(AND(EDATE($D119,Milestones!$AA$96)&lt;=AsOfDate,EDATE($D119,Milestones!$AA$96)&gt;=SchemeStart,IF($X119=0,$AD119,IF(AND($Z119&lt;&gt;"",EDATE($D119,Milestones!$AA$96)&gt;=$Z119),$AC119,IF(AND($Y119&lt;&gt;"",EDATE($D119,Milestones!$AA$96)&gt;=$Y119),$AB119,$AA119)))=Milestones!$AB$96),UPPER(TEXT(EDATE($D119,Milestones!$AA$96),"dd mmm yy"))&amp;" "&amp;Milestones!$AB$96&amp;" "&amp;IF(AND(Milestones!$AB$96="FT",Milestones!$AA$96=FT_Y5,EDATE($D119,Milestones!$AA$96)&lt;PolicyEff),1,Milestones!$AC$96)&amp;";  ","")&amp;IF(AND(EDATE($D119,Milestones!$AA$97)&lt;=AsOfDate,EDATE($D119,Milestones!$AA$97)&gt;=SchemeStart,IF($X119=0,$AD119,IF(AND($Z119&lt;&gt;"",EDATE($D119,Milestones!$AA$97)&gt;=$Z119),$AC119,IF(AND($Y119&lt;&gt;"",EDATE($D119,Milestones!$AA$97)&gt;=$Y119),$AB119,$AA119)))=Milestones!$AB$97),UPPER(TEXT(EDATE($D119,Milestones!$AA$97),"dd mmm yy"))&amp;" "&amp;Milestones!$AB$97&amp;" "&amp;IF(AND(Milestones!$AB$97="FT",Milestones!$AA$97=FT_Y5,EDATE($D119,Milestones!$AA$97)&lt;PolicyEff),1,Milestones!$AC$97)&amp;";  ","")&amp;IF(AND(EDATE($D119,Milestones!$AA$98)&lt;=AsOfDate,EDATE($D119,Milestones!$AA$98)&gt;=SchemeStart,IF($X119=0,$AD119,IF(AND($Z119&lt;&gt;"",EDATE($D119,Milestones!$AA$98)&gt;=$Z119),$AC119,IF(AND($Y119&lt;&gt;"",EDATE($D119,Milestones!$AA$98)&gt;=$Y119),$AB119,$AA119)))=Milestones!$AB$98),UPPER(TEXT(EDATE($D119,Milestones!$AA$98),"dd mmm yy"))&amp;" "&amp;Milestones!$AB$98&amp;" "&amp;IF(AND(Milestones!$AB$98="FT",Milestones!$AA$98=FT_Y5,EDATE($D119,Milestones!$AA$98)&lt;PolicyEff),1,Milestones!$AC$98)&amp;";  ","")&amp;IF(AND(EDATE($D119,Milestones!$AA$99)&lt;=AsOfDate,EDATE($D119,Milestones!$AA$99)&gt;=SchemeStart,IF($X119=0,$AD119,IF(AND($Z119&lt;&gt;"",EDATE($D119,Milestones!$AA$99)&gt;=$Z119),$AC119,IF(AND($Y119&lt;&gt;"",EDATE($D119,Milestones!$AA$99)&gt;=$Y119),$AB119,$AA119)))=Milestones!$AB$99),UPPER(TEXT(EDATE($D119,Milestones!$AA$99),"dd mmm yy"))&amp;" "&amp;Milestones!$AB$99&amp;" "&amp;IF(AND(Milestones!$AB$99="FT",Milestones!$AA$99=FT_Y5,EDATE($D119,Milestones!$AA$99)&lt;PolicyEff),1,Milestones!$AC$99)&amp;";  ","")&amp;IF(AND(EDATE($D119,Milestones!$AA$100)&lt;=AsOfDate,EDATE($D119,Milestones!$AA$100)&gt;=SchemeStart,IF($X119=0,$AD119,IF(AND($Z119&lt;&gt;"",EDATE($D119,Milestones!$AA$100)&gt;=$Z119),$AC119,IF(AND($Y119&lt;&gt;"",EDATE($D119,Milestones!$AA$100)&gt;=$Y119),$AB119,$AA119)))=Milestones!$AB$100),UPPER(TEXT(EDATE($D119,Milestones!$AA$100),"dd mmm yy"))&amp;" "&amp;Milestones!$AB$100&amp;" "&amp;IF(AND(Milestones!$AB$100="FT",Milestones!$AA$100=FT_Y5,EDATE($D119,Milestones!$AA$100)&lt;PolicyEff),1,Milestones!$AC$100)&amp;";  ","")&amp;IF(AND(EDATE($D119,Milestones!$AA$101)&lt;=AsOfDate,EDATE($D119,Milestones!$AA$101)&gt;=SchemeStart,IF($X119=0,$AD119,IF(AND($Z119&lt;&gt;"",EDATE($D119,Milestones!$AA$101)&gt;=$Z119),$AC119,IF(AND($Y119&lt;&gt;"",EDATE($D119,Milestones!$AA$101)&gt;=$Y119),$AB119,$AA119)))=Milestones!$AB$101),UPPER(TEXT(EDATE($D119,Milestones!$AA$101),"dd mmm yy"))&amp;" "&amp;Milestones!$AB$101&amp;" "&amp;IF(AND(Milestones!$AB$101="FT",Milestones!$AA$101=FT_Y5,EDATE($D119,Milestones!$AA$101)&lt;PolicyEff),1,Milestones!$AC$101)&amp;";  ","")&amp;IF(AND(EDATE($D119,Milestones!$AA$102)&lt;=AsOfDate,EDATE($D119,Milestones!$AA$102)&gt;=SchemeStart,IF($X119=0,$AD119,IF(AND($Z119&lt;&gt;"",EDATE($D119,Milestones!$AA$102)&gt;=$Z119),$AC119,IF(AND($Y119&lt;&gt;"",EDATE($D119,Milestones!$AA$102)&gt;=$Y119),$AB119,$AA119)))=Milestones!$AB$102),UPPER(TEXT(EDATE($D119,Milestones!$AA$102),"dd mmm yy"))&amp;" "&amp;Milestones!$AB$102&amp;" "&amp;IF(AND(Milestones!$AB$102="FT",Milestones!$AA$102=FT_Y5,EDATE($D119,Milestones!$AA$102)&lt;PolicyEff),1,Milestones!$AC$102)&amp;";  ","")&amp;IF(AND(EDATE($D119,Milestones!$AA$103)&lt;=AsOfDate,EDATE($D119,Milestones!$AA$103)&gt;=SchemeStart,IF($X119=0,$AD119,IF(AND($Z119&lt;&gt;"",EDATE($D119,Milestones!$AA$103)&gt;=$Z119),$AC119,IF(AND($Y119&lt;&gt;"",EDATE($D119,Milestones!$AA$103)&gt;=$Y119),$AB119,$AA119)))=Milestones!$AB$103),UPPER(TEXT(EDATE($D119,Milestones!$AA$103),"dd mmm yy"))&amp;" "&amp;Milestones!$AB$103&amp;" "&amp;IF(AND(Milestones!$AB$103="FT",Milestones!$AA$103=FT_Y5,EDATE($D119,Milestones!$AA$103)&lt;PolicyEff),1,Milestones!$AC$103)&amp;";  ",""))</f>
        <v/>
      </c>
      <c r="P119" s="0" t="str">
        <f aca="false">IF(OR($A119="",$D119=""),"",IF(AND(EDATE($D119,Milestones!$AA$104)&lt;=AsOfDate,EDATE($D119,Milestones!$AA$104)&gt;=SchemeStart,IF($X119=0,$AD119,IF(AND($Z119&lt;&gt;"",EDATE($D119,Milestones!$AA$104)&gt;=$Z119),$AC119,IF(AND($Y119&lt;&gt;"",EDATE($D119,Milestones!$AA$104)&gt;=$Y119),$AB119,$AA119)))=Milestones!$AB$104),UPPER(TEXT(EDATE($D119,Milestones!$AA$104),"dd mmm yy"))&amp;" "&amp;Milestones!$AB$104&amp;" "&amp;IF(AND(Milestones!$AB$104="FT",Milestones!$AA$104=FT_Y5,EDATE($D119,Milestones!$AA$104)&lt;PolicyEff),1,Milestones!$AC$104)&amp;";  ","")&amp;IF(AND(EDATE($D119,Milestones!$AA$105)&lt;=AsOfDate,EDATE($D119,Milestones!$AA$105)&gt;=SchemeStart,IF($X119=0,$AD119,IF(AND($Z119&lt;&gt;"",EDATE($D119,Milestones!$AA$105)&gt;=$Z119),$AC119,IF(AND($Y119&lt;&gt;"",EDATE($D119,Milestones!$AA$105)&gt;=$Y119),$AB119,$AA119)))=Milestones!$AB$105),UPPER(TEXT(EDATE($D119,Milestones!$AA$105),"dd mmm yy"))&amp;" "&amp;Milestones!$AB$105&amp;" "&amp;IF(AND(Milestones!$AB$105="FT",Milestones!$AA$105=FT_Y5,EDATE($D119,Milestones!$AA$105)&lt;PolicyEff),1,Milestones!$AC$105)&amp;";  ","")&amp;IF(AND(EDATE($D119,Milestones!$AA$106)&lt;=AsOfDate,EDATE($D119,Milestones!$AA$106)&gt;=SchemeStart,IF($X119=0,$AD119,IF(AND($Z119&lt;&gt;"",EDATE($D119,Milestones!$AA$106)&gt;=$Z119),$AC119,IF(AND($Y119&lt;&gt;"",EDATE($D119,Milestones!$AA$106)&gt;=$Y119),$AB119,$AA119)))=Milestones!$AB$106),UPPER(TEXT(EDATE($D119,Milestones!$AA$106),"dd mmm yy"))&amp;" "&amp;Milestones!$AB$106&amp;" "&amp;IF(AND(Milestones!$AB$106="FT",Milestones!$AA$106=FT_Y5,EDATE($D119,Milestones!$AA$106)&lt;PolicyEff),1,Milestones!$AC$106)&amp;";  ","")&amp;IF(AND(EDATE($D119,Milestones!$AA$107)&lt;=AsOfDate,EDATE($D119,Milestones!$AA$107)&gt;=SchemeStart,IF($X119=0,$AD119,IF(AND($Z119&lt;&gt;"",EDATE($D119,Milestones!$AA$107)&gt;=$Z119),$AC119,IF(AND($Y119&lt;&gt;"",EDATE($D119,Milestones!$AA$107)&gt;=$Y119),$AB119,$AA119)))=Milestones!$AB$107),UPPER(TEXT(EDATE($D119,Milestones!$AA$107),"dd mmm yy"))&amp;" "&amp;Milestones!$AB$107&amp;" "&amp;IF(AND(Milestones!$AB$107="FT",Milestones!$AA$107=FT_Y5,EDATE($D119,Milestones!$AA$107)&lt;PolicyEff),1,Milestones!$AC$107)&amp;";  ","")&amp;IF(AND(EDATE($D119,Milestones!$AA$108)&lt;=AsOfDate,EDATE($D119,Milestones!$AA$108)&gt;=SchemeStart,IF($X119=0,$AD119,IF(AND($Z119&lt;&gt;"",EDATE($D119,Milestones!$AA$108)&gt;=$Z119),$AC119,IF(AND($Y119&lt;&gt;"",EDATE($D119,Milestones!$AA$108)&gt;=$Y119),$AB119,$AA119)))=Milestones!$AB$108),UPPER(TEXT(EDATE($D119,Milestones!$AA$108),"dd mmm yy"))&amp;" "&amp;Milestones!$AB$108&amp;" "&amp;IF(AND(Milestones!$AB$108="FT",Milestones!$AA$108=FT_Y5,EDATE($D119,Milestones!$AA$108)&lt;PolicyEff),1,Milestones!$AC$108)&amp;";  ","")&amp;IF(AND(EDATE($D119,Milestones!$AA$109)&lt;=AsOfDate,EDATE($D119,Milestones!$AA$109)&gt;=SchemeStart,IF($X119=0,$AD119,IF(AND($Z119&lt;&gt;"",EDATE($D119,Milestones!$AA$109)&gt;=$Z119),$AC119,IF(AND($Y119&lt;&gt;"",EDATE($D119,Milestones!$AA$109)&gt;=$Y119),$AB119,$AA119)))=Milestones!$AB$109),UPPER(TEXT(EDATE($D119,Milestones!$AA$109),"dd mmm yy"))&amp;" "&amp;Milestones!$AB$109&amp;" "&amp;IF(AND(Milestones!$AB$109="FT",Milestones!$AA$109=FT_Y5,EDATE($D119,Milestones!$AA$109)&lt;PolicyEff),1,Milestones!$AC$109)&amp;";  ","")&amp;IF(AND(EDATE($D119,Milestones!$AA$110)&lt;=AsOfDate,EDATE($D119,Milestones!$AA$110)&gt;=SchemeStart,IF($X119=0,$AD119,IF(AND($Z119&lt;&gt;"",EDATE($D119,Milestones!$AA$110)&gt;=$Z119),$AC119,IF(AND($Y119&lt;&gt;"",EDATE($D119,Milestones!$AA$110)&gt;=$Y119),$AB119,$AA119)))=Milestones!$AB$110),UPPER(TEXT(EDATE($D119,Milestones!$AA$110),"dd mmm yy"))&amp;" "&amp;Milestones!$AB$110&amp;" "&amp;IF(AND(Milestones!$AB$110="FT",Milestones!$AA$110=FT_Y5,EDATE($D119,Milestones!$AA$110)&lt;PolicyEff),1,Milestones!$AC$110)&amp;";  ","")&amp;IF(AND(EDATE($D119,Milestones!$AA$111)&lt;=AsOfDate,EDATE($D119,Milestones!$AA$111)&gt;=SchemeStart,IF($X119=0,$AD119,IF(AND($Z119&lt;&gt;"",EDATE($D119,Milestones!$AA$111)&gt;=$Z119),$AC119,IF(AND($Y119&lt;&gt;"",EDATE($D119,Milestones!$AA$111)&gt;=$Y119),$AB119,$AA119)))=Milestones!$AB$111),UPPER(TEXT(EDATE($D119,Milestones!$AA$111),"dd mmm yy"))&amp;" "&amp;Milestones!$AB$111&amp;" "&amp;IF(AND(Milestones!$AB$111="FT",Milestones!$AA$111=FT_Y5,EDATE($D119,Milestones!$AA$111)&lt;PolicyEff),1,Milestones!$AC$111)&amp;";  ","")&amp;IF(AND(EDATE($D119,Milestones!$AA$112)&lt;=AsOfDate,EDATE($D119,Milestones!$AA$112)&gt;=SchemeStart,IF($X119=0,$AD119,IF(AND($Z119&lt;&gt;"",EDATE($D119,Milestones!$AA$112)&gt;=$Z119),$AC119,IF(AND($Y119&lt;&gt;"",EDATE($D119,Milestones!$AA$112)&gt;=$Y119),$AB119,$AA119)))=Milestones!$AB$112),UPPER(TEXT(EDATE($D119,Milestones!$AA$112),"dd mmm yy"))&amp;" "&amp;Milestones!$AB$112&amp;" "&amp;IF(AND(Milestones!$AB$112="FT",Milestones!$AA$112=FT_Y5,EDATE($D119,Milestones!$AA$112)&lt;PolicyEff),1,Milestones!$AC$112)&amp;";  ","")&amp;IF(AND(EDATE($D119,Milestones!$AA$113)&lt;=AsOfDate,EDATE($D119,Milestones!$AA$113)&gt;=SchemeStart,IF($X119=0,$AD119,IF(AND($Z119&lt;&gt;"",EDATE($D119,Milestones!$AA$113)&gt;=$Z119),$AC119,IF(AND($Y119&lt;&gt;"",EDATE($D119,Milestones!$AA$113)&gt;=$Y119),$AB119,$AA119)))=Milestones!$AB$113),UPPER(TEXT(EDATE($D119,Milestones!$AA$113),"dd mmm yy"))&amp;" "&amp;Milestones!$AB$113&amp;" "&amp;IF(AND(Milestones!$AB$113="FT",Milestones!$AA$113=FT_Y5,EDATE($D119,Milestones!$AA$113)&lt;PolicyEff),1,Milestones!$AC$113)&amp;";  ","")&amp;IF(AND(EDATE($D119,Milestones!$AA$114)&lt;=AsOfDate,EDATE($D119,Milestones!$AA$114)&gt;=SchemeStart,IF($X119=0,$AD119,IF(AND($Z119&lt;&gt;"",EDATE($D119,Milestones!$AA$114)&gt;=$Z119),$AC119,IF(AND($Y119&lt;&gt;"",EDATE($D119,Milestones!$AA$114)&gt;=$Y119),$AB119,$AA119)))=Milestones!$AB$114),UPPER(TEXT(EDATE($D119,Milestones!$AA$114),"dd mmm yy"))&amp;" "&amp;Milestones!$AB$114&amp;" "&amp;IF(AND(Milestones!$AB$114="FT",Milestones!$AA$114=FT_Y5,EDATE($D119,Milestones!$AA$114)&lt;PolicyEff),1,Milestones!$AC$114)&amp;";  ","")&amp;IF(AND(EDATE($D119,Milestones!$AA$115)&lt;=AsOfDate,EDATE($D119,Milestones!$AA$115)&gt;=SchemeStart,IF($X119=0,$AD119,IF(AND($Z119&lt;&gt;"",EDATE($D119,Milestones!$AA$115)&gt;=$Z119),$AC119,IF(AND($Y119&lt;&gt;"",EDATE($D119,Milestones!$AA$115)&gt;=$Y119),$AB119,$AA119)))=Milestones!$AB$115),UPPER(TEXT(EDATE($D119,Milestones!$AA$115),"dd mmm yy"))&amp;" "&amp;Milestones!$AB$115&amp;" "&amp;IF(AND(Milestones!$AB$115="FT",Milestones!$AA$115=FT_Y5,EDATE($D119,Milestones!$AA$115)&lt;PolicyEff),1,Milestones!$AC$115)&amp;";  ",""))</f>
        <v/>
      </c>
      <c r="Q119" s="0" t="str">
        <f aca="false">IF(OR($A119="",$D119=""),"",IF(AND(EDATE($D119,Milestones!$AA$116)&lt;=AsOfDate,EDATE($D119,Milestones!$AA$116)&gt;=SchemeStart,IF($X119=0,$AD119,IF(AND($Z119&lt;&gt;"",EDATE($D119,Milestones!$AA$116)&gt;=$Z119),$AC119,IF(AND($Y119&lt;&gt;"",EDATE($D119,Milestones!$AA$116)&gt;=$Y119),$AB119,$AA119)))=Milestones!$AB$116),UPPER(TEXT(EDATE($D119,Milestones!$AA$116),"dd mmm yy"))&amp;" "&amp;Milestones!$AB$116&amp;" "&amp;IF(AND(Milestones!$AB$116="FT",Milestones!$AA$116=FT_Y5,EDATE($D119,Milestones!$AA$116)&lt;PolicyEff),1,Milestones!$AC$116)&amp;";  ","")&amp;IF(AND(EDATE($D119,Milestones!$AA$117)&lt;=AsOfDate,EDATE($D119,Milestones!$AA$117)&gt;=SchemeStart,IF($X119=0,$AD119,IF(AND($Z119&lt;&gt;"",EDATE($D119,Milestones!$AA$117)&gt;=$Z119),$AC119,IF(AND($Y119&lt;&gt;"",EDATE($D119,Milestones!$AA$117)&gt;=$Y119),$AB119,$AA119)))=Milestones!$AB$117),UPPER(TEXT(EDATE($D119,Milestones!$AA$117),"dd mmm yy"))&amp;" "&amp;Milestones!$AB$117&amp;" "&amp;IF(AND(Milestones!$AB$117="FT",Milestones!$AA$117=FT_Y5,EDATE($D119,Milestones!$AA$117)&lt;PolicyEff),1,Milestones!$AC$117)&amp;";  ","")&amp;IF(AND(EDATE($D119,Milestones!$AA$118)&lt;=AsOfDate,EDATE($D119,Milestones!$AA$118)&gt;=SchemeStart,IF($X119=0,$AD119,IF(AND($Z119&lt;&gt;"",EDATE($D119,Milestones!$AA$118)&gt;=$Z119),$AC119,IF(AND($Y119&lt;&gt;"",EDATE($D119,Milestones!$AA$118)&gt;=$Y119),$AB119,$AA119)))=Milestones!$AB$118),UPPER(TEXT(EDATE($D119,Milestones!$AA$118),"dd mmm yy"))&amp;" "&amp;Milestones!$AB$118&amp;" "&amp;IF(AND(Milestones!$AB$118="FT",Milestones!$AA$118=FT_Y5,EDATE($D119,Milestones!$AA$118)&lt;PolicyEff),1,Milestones!$AC$118)&amp;";  ","")&amp;IF(AND(EDATE($D119,Milestones!$AA$119)&lt;=AsOfDate,EDATE($D119,Milestones!$AA$119)&gt;=SchemeStart,IF($X119=0,$AD119,IF(AND($Z119&lt;&gt;"",EDATE($D119,Milestones!$AA$119)&gt;=$Z119),$AC119,IF(AND($Y119&lt;&gt;"",EDATE($D119,Milestones!$AA$119)&gt;=$Y119),$AB119,$AA119)))=Milestones!$AB$119),UPPER(TEXT(EDATE($D119,Milestones!$AA$119),"dd mmm yy"))&amp;" "&amp;Milestones!$AB$119&amp;" "&amp;IF(AND(Milestones!$AB$119="FT",Milestones!$AA$119=FT_Y5,EDATE($D119,Milestones!$AA$119)&lt;PolicyEff),1,Milestones!$AC$119)&amp;";  ","")&amp;IF(AND(EDATE($D119,Milestones!$AA$120)&lt;=AsOfDate,EDATE($D119,Milestones!$AA$120)&gt;=SchemeStart,IF($X119=0,$AD119,IF(AND($Z119&lt;&gt;"",EDATE($D119,Milestones!$AA$120)&gt;=$Z119),$AC119,IF(AND($Y119&lt;&gt;"",EDATE($D119,Milestones!$AA$120)&gt;=$Y119),$AB119,$AA119)))=Milestones!$AB$120),UPPER(TEXT(EDATE($D119,Milestones!$AA$120),"dd mmm yy"))&amp;" "&amp;Milestones!$AB$120&amp;" "&amp;IF(AND(Milestones!$AB$120="FT",Milestones!$AA$120=FT_Y5,EDATE($D119,Milestones!$AA$120)&lt;PolicyEff),1,Milestones!$AC$120)&amp;";  ","")&amp;IF(AND(EDATE($D119,Milestones!$AA$121)&lt;=AsOfDate,EDATE($D119,Milestones!$AA$121)&gt;=SchemeStart,IF($X119=0,$AD119,IF(AND($Z119&lt;&gt;"",EDATE($D119,Milestones!$AA$121)&gt;=$Z119),$AC119,IF(AND($Y119&lt;&gt;"",EDATE($D119,Milestones!$AA$121)&gt;=$Y119),$AB119,$AA119)))=Milestones!$AB$121),UPPER(TEXT(EDATE($D119,Milestones!$AA$121),"dd mmm yy"))&amp;" "&amp;Milestones!$AB$121&amp;" "&amp;IF(AND(Milestones!$AB$121="FT",Milestones!$AA$121=FT_Y5,EDATE($D119,Milestones!$AA$121)&lt;PolicyEff),1,Milestones!$AC$121)&amp;";  ","")&amp;IF(AND(EDATE($D119,Milestones!$AA$122)&lt;=AsOfDate,EDATE($D119,Milestones!$AA$122)&gt;=SchemeStart,IF($X119=0,$AD119,IF(AND($Z119&lt;&gt;"",EDATE($D119,Milestones!$AA$122)&gt;=$Z119),$AC119,IF(AND($Y119&lt;&gt;"",EDATE($D119,Milestones!$AA$122)&gt;=$Y119),$AB119,$AA119)))=Milestones!$AB$122),UPPER(TEXT(EDATE($D119,Milestones!$AA$122),"dd mmm yy"))&amp;" "&amp;Milestones!$AB$122&amp;" "&amp;IF(AND(Milestones!$AB$122="FT",Milestones!$AA$122=FT_Y5,EDATE($D119,Milestones!$AA$122)&lt;PolicyEff),1,Milestones!$AC$122)&amp;";  ","")&amp;IF(AND(EDATE($D119,Milestones!$AA$123)&lt;=AsOfDate,EDATE($D119,Milestones!$AA$123)&gt;=SchemeStart,IF($X119=0,$AD119,IF(AND($Z119&lt;&gt;"",EDATE($D119,Milestones!$AA$123)&gt;=$Z119),$AC119,IF(AND($Y119&lt;&gt;"",EDATE($D119,Milestones!$AA$123)&gt;=$Y119),$AB119,$AA119)))=Milestones!$AB$123),UPPER(TEXT(EDATE($D119,Milestones!$AA$123),"dd mmm yy"))&amp;" "&amp;Milestones!$AB$123&amp;" "&amp;IF(AND(Milestones!$AB$123="FT",Milestones!$AA$123=FT_Y5,EDATE($D119,Milestones!$AA$123)&lt;PolicyEff),1,Milestones!$AC$123)&amp;";  ","")&amp;IF(AND(EDATE($D119,Milestones!$AA$124)&lt;=AsOfDate,EDATE($D119,Milestones!$AA$124)&gt;=SchemeStart,IF($X119=0,$AD119,IF(AND($Z119&lt;&gt;"",EDATE($D119,Milestones!$AA$124)&gt;=$Z119),$AC119,IF(AND($Y119&lt;&gt;"",EDATE($D119,Milestones!$AA$124)&gt;=$Y119),$AB119,$AA119)))=Milestones!$AB$124),UPPER(TEXT(EDATE($D119,Milestones!$AA$124),"dd mmm yy"))&amp;" "&amp;Milestones!$AB$124&amp;" "&amp;IF(AND(Milestones!$AB$124="FT",Milestones!$AA$124=FT_Y5,EDATE($D119,Milestones!$AA$124)&lt;PolicyEff),1,Milestones!$AC$124)&amp;";  ","")&amp;IF(AND(EDATE($D119,Milestones!$AA$125)&lt;=AsOfDate,EDATE($D119,Milestones!$AA$125)&gt;=SchemeStart,IF($X119=0,$AD119,IF(AND($Z119&lt;&gt;"",EDATE($D119,Milestones!$AA$125)&gt;=$Z119),$AC119,IF(AND($Y119&lt;&gt;"",EDATE($D119,Milestones!$AA$125)&gt;=$Y119),$AB119,$AA119)))=Milestones!$AB$125),UPPER(TEXT(EDATE($D119,Milestones!$AA$125),"dd mmm yy"))&amp;" "&amp;Milestones!$AB$125&amp;" "&amp;IF(AND(Milestones!$AB$125="FT",Milestones!$AA$125=FT_Y5,EDATE($D119,Milestones!$AA$125)&lt;PolicyEff),1,Milestones!$AC$125)&amp;";  ","")&amp;IF(AND(EDATE($D119,Milestones!$AA$126)&lt;=AsOfDate,EDATE($D119,Milestones!$AA$126)&gt;=SchemeStart,IF($X119=0,$AD119,IF(AND($Z119&lt;&gt;"",EDATE($D119,Milestones!$AA$126)&gt;=$Z119),$AC119,IF(AND($Y119&lt;&gt;"",EDATE($D119,Milestones!$AA$126)&gt;=$Y119),$AB119,$AA119)))=Milestones!$AB$126),UPPER(TEXT(EDATE($D119,Milestones!$AA$126),"dd mmm yy"))&amp;" "&amp;Milestones!$AB$126&amp;" "&amp;IF(AND(Milestones!$AB$126="FT",Milestones!$AA$126=FT_Y5,EDATE($D119,Milestones!$AA$126)&lt;PolicyEff),1,Milestones!$AC$126)&amp;";  ","")&amp;IF(AND(EDATE($D119,Milestones!$AA$127)&lt;=AsOfDate,EDATE($D119,Milestones!$AA$127)&gt;=SchemeStart,IF($X119=0,$AD119,IF(AND($Z119&lt;&gt;"",EDATE($D119,Milestones!$AA$127)&gt;=$Z119),$AC119,IF(AND($Y119&lt;&gt;"",EDATE($D119,Milestones!$AA$127)&gt;=$Y119),$AB119,$AA119)))=Milestones!$AB$127),UPPER(TEXT(EDATE($D119,Milestones!$AA$127),"dd mmm yy"))&amp;" "&amp;Milestones!$AB$127&amp;" "&amp;IF(AND(Milestones!$AB$127="FT",Milestones!$AA$127=FT_Y5,EDATE($D119,Milestones!$AA$127)&lt;PolicyEff),1,Milestones!$AC$127)&amp;";  ",""))</f>
        <v/>
      </c>
      <c r="R119" s="0" t="str">
        <f aca="false">IF(OR($A119="",$D119=""),"",IF(AND(EDATE($D119,Milestones!$AA$128)&lt;=AsOfDate,EDATE($D119,Milestones!$AA$128)&gt;=SchemeStart,IF($X119=0,$AD119,IF(AND($Z119&lt;&gt;"",EDATE($D119,Milestones!$AA$128)&gt;=$Z119),$AC119,IF(AND($Y119&lt;&gt;"",EDATE($D119,Milestones!$AA$128)&gt;=$Y119),$AB119,$AA119)))=Milestones!$AB$128),UPPER(TEXT(EDATE($D119,Milestones!$AA$128),"dd mmm yy"))&amp;" "&amp;Milestones!$AB$128&amp;" "&amp;IF(AND(Milestones!$AB$128="FT",Milestones!$AA$128=FT_Y5,EDATE($D119,Milestones!$AA$128)&lt;PolicyEff),1,Milestones!$AC$128)&amp;";  ","")&amp;IF(AND(EDATE($D119,Milestones!$AA$129)&lt;=AsOfDate,EDATE($D119,Milestones!$AA$129)&gt;=SchemeStart,IF($X119=0,$AD119,IF(AND($Z119&lt;&gt;"",EDATE($D119,Milestones!$AA$129)&gt;=$Z119),$AC119,IF(AND($Y119&lt;&gt;"",EDATE($D119,Milestones!$AA$129)&gt;=$Y119),$AB119,$AA119)))=Milestones!$AB$129),UPPER(TEXT(EDATE($D119,Milestones!$AA$129),"dd mmm yy"))&amp;" "&amp;Milestones!$AB$129&amp;" "&amp;IF(AND(Milestones!$AB$129="FT",Milestones!$AA$129=FT_Y5,EDATE($D119,Milestones!$AA$129)&lt;PolicyEff),1,Milestones!$AC$129)&amp;";  ","")&amp;IF(AND(EDATE($D119,Milestones!$AA$130)&lt;=AsOfDate,EDATE($D119,Milestones!$AA$130)&gt;=SchemeStart,IF($X119=0,$AD119,IF(AND($Z119&lt;&gt;"",EDATE($D119,Milestones!$AA$130)&gt;=$Z119),$AC119,IF(AND($Y119&lt;&gt;"",EDATE($D119,Milestones!$AA$130)&gt;=$Y119),$AB119,$AA119)))=Milestones!$AB$130),UPPER(TEXT(EDATE($D119,Milestones!$AA$130),"dd mmm yy"))&amp;" "&amp;Milestones!$AB$130&amp;" "&amp;IF(AND(Milestones!$AB$130="FT",Milestones!$AA$130=FT_Y5,EDATE($D119,Milestones!$AA$130)&lt;PolicyEff),1,Milestones!$AC$130)&amp;";  ","")&amp;IF(AND(EDATE($D119,Milestones!$AA$131)&lt;=AsOfDate,EDATE($D119,Milestones!$AA$131)&gt;=SchemeStart,IF($X119=0,$AD119,IF(AND($Z119&lt;&gt;"",EDATE($D119,Milestones!$AA$131)&gt;=$Z119),$AC119,IF(AND($Y119&lt;&gt;"",EDATE($D119,Milestones!$AA$131)&gt;=$Y119),$AB119,$AA119)))=Milestones!$AB$131),UPPER(TEXT(EDATE($D119,Milestones!$AA$131),"dd mmm yy"))&amp;" "&amp;Milestones!$AB$131&amp;" "&amp;IF(AND(Milestones!$AB$131="FT",Milestones!$AA$131=FT_Y5,EDATE($D119,Milestones!$AA$131)&lt;PolicyEff),1,Milestones!$AC$131)&amp;";  ","")&amp;IF(AND(EDATE($D119,Milestones!$AA$132)&lt;=AsOfDate,EDATE($D119,Milestones!$AA$132)&gt;=SchemeStart,IF($X119=0,$AD119,IF(AND($Z119&lt;&gt;"",EDATE($D119,Milestones!$AA$132)&gt;=$Z119),$AC119,IF(AND($Y119&lt;&gt;"",EDATE($D119,Milestones!$AA$132)&gt;=$Y119),$AB119,$AA119)))=Milestones!$AB$132),UPPER(TEXT(EDATE($D119,Milestones!$AA$132),"dd mmm yy"))&amp;" "&amp;Milestones!$AB$132&amp;" "&amp;IF(AND(Milestones!$AB$132="FT",Milestones!$AA$132=FT_Y5,EDATE($D119,Milestones!$AA$132)&lt;PolicyEff),1,Milestones!$AC$132)&amp;";  ","")&amp;IF(AND(EDATE($D119,Milestones!$AA$133)&lt;=AsOfDate,EDATE($D119,Milestones!$AA$133)&gt;=SchemeStart,IF($X119=0,$AD119,IF(AND($Z119&lt;&gt;"",EDATE($D119,Milestones!$AA$133)&gt;=$Z119),$AC119,IF(AND($Y119&lt;&gt;"",EDATE($D119,Milestones!$AA$133)&gt;=$Y119),$AB119,$AA119)))=Milestones!$AB$133),UPPER(TEXT(EDATE($D119,Milestones!$AA$133),"dd mmm yy"))&amp;" "&amp;Milestones!$AB$133&amp;" "&amp;IF(AND(Milestones!$AB$133="FT",Milestones!$AA$133=FT_Y5,EDATE($D119,Milestones!$AA$133)&lt;PolicyEff),1,Milestones!$AC$133)&amp;";  ","")&amp;IF(AND(EDATE($D119,Milestones!$AA$134)&lt;=AsOfDate,EDATE($D119,Milestones!$AA$134)&gt;=SchemeStart,IF($X119=0,$AD119,IF(AND($Z119&lt;&gt;"",EDATE($D119,Milestones!$AA$134)&gt;=$Z119),$AC119,IF(AND($Y119&lt;&gt;"",EDATE($D119,Milestones!$AA$134)&gt;=$Y119),$AB119,$AA119)))=Milestones!$AB$134),UPPER(TEXT(EDATE($D119,Milestones!$AA$134),"dd mmm yy"))&amp;" "&amp;Milestones!$AB$134&amp;" "&amp;IF(AND(Milestones!$AB$134="FT",Milestones!$AA$134=FT_Y5,EDATE($D119,Milestones!$AA$134)&lt;PolicyEff),1,Milestones!$AC$134)&amp;";  ","")&amp;IF(AND(EDATE($D119,Milestones!$AA$135)&lt;=AsOfDate,EDATE($D119,Milestones!$AA$135)&gt;=SchemeStart,IF($X119=0,$AD119,IF(AND($Z119&lt;&gt;"",EDATE($D119,Milestones!$AA$135)&gt;=$Z119),$AC119,IF(AND($Y119&lt;&gt;"",EDATE($D119,Milestones!$AA$135)&gt;=$Y119),$AB119,$AA119)))=Milestones!$AB$135),UPPER(TEXT(EDATE($D119,Milestones!$AA$135),"dd mmm yy"))&amp;" "&amp;Milestones!$AB$135&amp;" "&amp;IF(AND(Milestones!$AB$135="FT",Milestones!$AA$135=FT_Y5,EDATE($D119,Milestones!$AA$135)&lt;PolicyEff),1,Milestones!$AC$135)&amp;";  ","")&amp;IF(AND(EDATE($D119,Milestones!$AA$136)&lt;=AsOfDate,EDATE($D119,Milestones!$AA$136)&gt;=SchemeStart,IF($X119=0,$AD119,IF(AND($Z119&lt;&gt;"",EDATE($D119,Milestones!$AA$136)&gt;=$Z119),$AC119,IF(AND($Y119&lt;&gt;"",EDATE($D119,Milestones!$AA$136)&gt;=$Y119),$AB119,$AA119)))=Milestones!$AB$136),UPPER(TEXT(EDATE($D119,Milestones!$AA$136),"dd mmm yy"))&amp;" "&amp;Milestones!$AB$136&amp;" "&amp;IF(AND(Milestones!$AB$136="FT",Milestones!$AA$136=FT_Y5,EDATE($D119,Milestones!$AA$136)&lt;PolicyEff),1,Milestones!$AC$136)&amp;";  ","")&amp;IF(AND(EDATE($D119,Milestones!$AA$137)&lt;=AsOfDate,EDATE($D119,Milestones!$AA$137)&gt;=SchemeStart,IF($X119=0,$AD119,IF(AND($Z119&lt;&gt;"",EDATE($D119,Milestones!$AA$137)&gt;=$Z119),$AC119,IF(AND($Y119&lt;&gt;"",EDATE($D119,Milestones!$AA$137)&gt;=$Y119),$AB119,$AA119)))=Milestones!$AB$137),UPPER(TEXT(EDATE($D119,Milestones!$AA$137),"dd mmm yy"))&amp;" "&amp;Milestones!$AB$137&amp;" "&amp;IF(AND(Milestones!$AB$137="FT",Milestones!$AA$137=FT_Y5,EDATE($D119,Milestones!$AA$137)&lt;PolicyEff),1,Milestones!$AC$137)&amp;";  ","")&amp;IF(AND(EDATE($D119,Milestones!$AA$138)&lt;=AsOfDate,EDATE($D119,Milestones!$AA$138)&gt;=SchemeStart,IF($X119=0,$AD119,IF(AND($Z119&lt;&gt;"",EDATE($D119,Milestones!$AA$138)&gt;=$Z119),$AC119,IF(AND($Y119&lt;&gt;"",EDATE($D119,Milestones!$AA$138)&gt;=$Y119),$AB119,$AA119)))=Milestones!$AB$138),UPPER(TEXT(EDATE($D119,Milestones!$AA$138),"dd mmm yy"))&amp;" "&amp;Milestones!$AB$138&amp;" "&amp;IF(AND(Milestones!$AB$138="FT",Milestones!$AA$138=FT_Y5,EDATE($D119,Milestones!$AA$138)&lt;PolicyEff),1,Milestones!$AC$138)&amp;";  ","")&amp;IF(AND(EDATE($D119,Milestones!$AA$139)&lt;=AsOfDate,EDATE($D119,Milestones!$AA$139)&gt;=SchemeStart,IF($X119=0,$AD119,IF(AND($Z119&lt;&gt;"",EDATE($D119,Milestones!$AA$139)&gt;=$Z119),$AC119,IF(AND($Y119&lt;&gt;"",EDATE($D119,Milestones!$AA$139)&gt;=$Y119),$AB119,$AA119)))=Milestones!$AB$139),UPPER(TEXT(EDATE($D119,Milestones!$AA$139),"dd mmm yy"))&amp;" "&amp;Milestones!$AB$139&amp;" "&amp;IF(AND(Milestones!$AB$139="FT",Milestones!$AA$139=FT_Y5,EDATE($D119,Milestones!$AA$139)&lt;PolicyEff),1,Milestones!$AC$139)&amp;";  ",""))</f>
        <v/>
      </c>
      <c r="S119" s="0" t="str">
        <f aca="false">IF(OR($A119="",$D119=""),"",IF(AND(EDATE($D119,Milestones!$AA$140)&lt;=AsOfDate,EDATE($D119,Milestones!$AA$140)&gt;=SchemeStart,IF($X119=0,$AD119,IF(AND($Z119&lt;&gt;"",EDATE($D119,Milestones!$AA$140)&gt;=$Z119),$AC119,IF(AND($Y119&lt;&gt;"",EDATE($D119,Milestones!$AA$140)&gt;=$Y119),$AB119,$AA119)))=Milestones!$AB$140),UPPER(TEXT(EDATE($D119,Milestones!$AA$140),"dd mmm yy"))&amp;" "&amp;Milestones!$AB$140&amp;" "&amp;IF(AND(Milestones!$AB$140="FT",Milestones!$AA$140=FT_Y5,EDATE($D119,Milestones!$AA$140)&lt;PolicyEff),1,Milestones!$AC$140)&amp;";  ","")&amp;IF(AND(EDATE($D119,Milestones!$AA$141)&lt;=AsOfDate,EDATE($D119,Milestones!$AA$141)&gt;=SchemeStart,IF($X119=0,$AD119,IF(AND($Z119&lt;&gt;"",EDATE($D119,Milestones!$AA$141)&gt;=$Z119),$AC119,IF(AND($Y119&lt;&gt;"",EDATE($D119,Milestones!$AA$141)&gt;=$Y119),$AB119,$AA119)))=Milestones!$AB$141),UPPER(TEXT(EDATE($D119,Milestones!$AA$141),"dd mmm yy"))&amp;" "&amp;Milestones!$AB$141&amp;" "&amp;IF(AND(Milestones!$AB$141="FT",Milestones!$AA$141=FT_Y5,EDATE($D119,Milestones!$AA$141)&lt;PolicyEff),1,Milestones!$AC$141)&amp;";  ","")&amp;IF(AND(EDATE($D119,Milestones!$AA$142)&lt;=AsOfDate,EDATE($D119,Milestones!$AA$142)&gt;=SchemeStart,IF($X119=0,$AD119,IF(AND($Z119&lt;&gt;"",EDATE($D119,Milestones!$AA$142)&gt;=$Z119),$AC119,IF(AND($Y119&lt;&gt;"",EDATE($D119,Milestones!$AA$142)&gt;=$Y119),$AB119,$AA119)))=Milestones!$AB$142),UPPER(TEXT(EDATE($D119,Milestones!$AA$142),"dd mmm yy"))&amp;" "&amp;Milestones!$AB$142&amp;" "&amp;IF(AND(Milestones!$AB$142="FT",Milestones!$AA$142=FT_Y5,EDATE($D119,Milestones!$AA$142)&lt;PolicyEff),1,Milestones!$AC$142)&amp;";  ","")&amp;IF(AND(EDATE($D119,Milestones!$AA$143)&lt;=AsOfDate,EDATE($D119,Milestones!$AA$143)&gt;=SchemeStart,IF($X119=0,$AD119,IF(AND($Z119&lt;&gt;"",EDATE($D119,Milestones!$AA$143)&gt;=$Z119),$AC119,IF(AND($Y119&lt;&gt;"",EDATE($D119,Milestones!$AA$143)&gt;=$Y119),$AB119,$AA119)))=Milestones!$AB$143),UPPER(TEXT(EDATE($D119,Milestones!$AA$143),"dd mmm yy"))&amp;" "&amp;Milestones!$AB$143&amp;" "&amp;IF(AND(Milestones!$AB$143="FT",Milestones!$AA$143=FT_Y5,EDATE($D119,Milestones!$AA$143)&lt;PolicyEff),1,Milestones!$AC$143)&amp;";  ","")&amp;IF(AND(EDATE($D119,Milestones!$AA$144)&lt;=AsOfDate,EDATE($D119,Milestones!$AA$144)&gt;=SchemeStart,IF($X119=0,$AD119,IF(AND($Z119&lt;&gt;"",EDATE($D119,Milestones!$AA$144)&gt;=$Z119),$AC119,IF(AND($Y119&lt;&gt;"",EDATE($D119,Milestones!$AA$144)&gt;=$Y119),$AB119,$AA119)))=Milestones!$AB$144),UPPER(TEXT(EDATE($D119,Milestones!$AA$144),"dd mmm yy"))&amp;" "&amp;Milestones!$AB$144&amp;" "&amp;IF(AND(Milestones!$AB$144="FT",Milestones!$AA$144=FT_Y5,EDATE($D119,Milestones!$AA$144)&lt;PolicyEff),1,Milestones!$AC$144)&amp;";  ","")&amp;IF(AND(EDATE($D119,Milestones!$AA$145)&lt;=AsOfDate,EDATE($D119,Milestones!$AA$145)&gt;=SchemeStart,IF($X119=0,$AD119,IF(AND($Z119&lt;&gt;"",EDATE($D119,Milestones!$AA$145)&gt;=$Z119),$AC119,IF(AND($Y119&lt;&gt;"",EDATE($D119,Milestones!$AA$145)&gt;=$Y119),$AB119,$AA119)))=Milestones!$AB$145),UPPER(TEXT(EDATE($D119,Milestones!$AA$145),"dd mmm yy"))&amp;" "&amp;Milestones!$AB$145&amp;" "&amp;IF(AND(Milestones!$AB$145="FT",Milestones!$AA$145=FT_Y5,EDATE($D119,Milestones!$AA$145)&lt;PolicyEff),1,Milestones!$AC$145)&amp;";  ","")&amp;IF(AND(EDATE($D119,Milestones!$AA$146)&lt;=AsOfDate,EDATE($D119,Milestones!$AA$146)&gt;=SchemeStart,IF($X119=0,$AD119,IF(AND($Z119&lt;&gt;"",EDATE($D119,Milestones!$AA$146)&gt;=$Z119),$AC119,IF(AND($Y119&lt;&gt;"",EDATE($D119,Milestones!$AA$146)&gt;=$Y119),$AB119,$AA119)))=Milestones!$AB$146),UPPER(TEXT(EDATE($D119,Milestones!$AA$146),"dd mmm yy"))&amp;" "&amp;Milestones!$AB$146&amp;" "&amp;IF(AND(Milestones!$AB$146="FT",Milestones!$AA$146=FT_Y5,EDATE($D119,Milestones!$AA$146)&lt;PolicyEff),1,Milestones!$AC$146)&amp;";  ","")&amp;IF(AND(EDATE($D119,Milestones!$AA$147)&lt;=AsOfDate,EDATE($D119,Milestones!$AA$147)&gt;=SchemeStart,IF($X119=0,$AD119,IF(AND($Z119&lt;&gt;"",EDATE($D119,Milestones!$AA$147)&gt;=$Z119),$AC119,IF(AND($Y119&lt;&gt;"",EDATE($D119,Milestones!$AA$147)&gt;=$Y119),$AB119,$AA119)))=Milestones!$AB$147),UPPER(TEXT(EDATE($D119,Milestones!$AA$147),"dd mmm yy"))&amp;" "&amp;Milestones!$AB$147&amp;" "&amp;IF(AND(Milestones!$AB$147="FT",Milestones!$AA$147=FT_Y5,EDATE($D119,Milestones!$AA$147)&lt;PolicyEff),1,Milestones!$AC$147)&amp;";  ","")&amp;IF(AND(EDATE($D119,Milestones!$AA$148)&lt;=AsOfDate,EDATE($D119,Milestones!$AA$148)&gt;=SchemeStart,IF($X119=0,$AD119,IF(AND($Z119&lt;&gt;"",EDATE($D119,Milestones!$AA$148)&gt;=$Z119),$AC119,IF(AND($Y119&lt;&gt;"",EDATE($D119,Milestones!$AA$148)&gt;=$Y119),$AB119,$AA119)))=Milestones!$AB$148),UPPER(TEXT(EDATE($D119,Milestones!$AA$148),"dd mmm yy"))&amp;" "&amp;Milestones!$AB$148&amp;" "&amp;IF(AND(Milestones!$AB$148="FT",Milestones!$AA$148=FT_Y5,EDATE($D119,Milestones!$AA$148)&lt;PolicyEff),1,Milestones!$AC$148)&amp;";  ","")&amp;IF(AND(EDATE($D119,Milestones!$AA$149)&lt;=AsOfDate,EDATE($D119,Milestones!$AA$149)&gt;=SchemeStart,IF($X119=0,$AD119,IF(AND($Z119&lt;&gt;"",EDATE($D119,Milestones!$AA$149)&gt;=$Z119),$AC119,IF(AND($Y119&lt;&gt;"",EDATE($D119,Milestones!$AA$149)&gt;=$Y119),$AB119,$AA119)))=Milestones!$AB$149),UPPER(TEXT(EDATE($D119,Milestones!$AA$149),"dd mmm yy"))&amp;" "&amp;Milestones!$AB$149&amp;" "&amp;IF(AND(Milestones!$AB$149="FT",Milestones!$AA$149=FT_Y5,EDATE($D119,Milestones!$AA$149)&lt;PolicyEff),1,Milestones!$AC$149)&amp;";  ","")&amp;IF(AND(EDATE($D119,Milestones!$AA$150)&lt;=AsOfDate,EDATE($D119,Milestones!$AA$150)&gt;=SchemeStart,IF($X119=0,$AD119,IF(AND($Z119&lt;&gt;"",EDATE($D119,Milestones!$AA$150)&gt;=$Z119),$AC119,IF(AND($Y119&lt;&gt;"",EDATE($D119,Milestones!$AA$150)&gt;=$Y119),$AB119,$AA119)))=Milestones!$AB$150),UPPER(TEXT(EDATE($D119,Milestones!$AA$150),"dd mmm yy"))&amp;" "&amp;Milestones!$AB$150&amp;" "&amp;IF(AND(Milestones!$AB$150="FT",Milestones!$AA$150=FT_Y5,EDATE($D119,Milestones!$AA$150)&lt;PolicyEff),1,Milestones!$AC$150)&amp;";  ","")&amp;IF(AND(EDATE($D119,Milestones!$AA$151)&lt;=AsOfDate,EDATE($D119,Milestones!$AA$151)&gt;=SchemeStart,IF($X119=0,$AD119,IF(AND($Z119&lt;&gt;"",EDATE($D119,Milestones!$AA$151)&gt;=$Z119),$AC119,IF(AND($Y119&lt;&gt;"",EDATE($D119,Milestones!$AA$151)&gt;=$Y119),$AB119,$AA119)))=Milestones!$AB$151),UPPER(TEXT(EDATE($D119,Milestones!$AA$151),"dd mmm yy"))&amp;" "&amp;Milestones!$AB$151&amp;" "&amp;IF(AND(Milestones!$AB$151="FT",Milestones!$AA$151=FT_Y5,EDATE($D119,Milestones!$AA$151)&lt;PolicyEff),1,Milestones!$AC$151)&amp;";  ",""))</f>
        <v/>
      </c>
      <c r="T119" s="0" t="str">
        <f aca="false">IF(OR($A119="",$D119=""),"",IF(AND(EDATE($D119,Milestones!$AA$152)&lt;=AsOfDate,EDATE($D119,Milestones!$AA$152)&gt;=SchemeStart,IF($X119=0,$AD119,IF(AND($Z119&lt;&gt;"",EDATE($D119,Milestones!$AA$152)&gt;=$Z119),$AC119,IF(AND($Y119&lt;&gt;"",EDATE($D119,Milestones!$AA$152)&gt;=$Y119),$AB119,$AA119)))=Milestones!$AB$152),UPPER(TEXT(EDATE($D119,Milestones!$AA$152),"dd mmm yy"))&amp;" "&amp;Milestones!$AB$152&amp;" "&amp;IF(AND(Milestones!$AB$152="FT",Milestones!$AA$152=FT_Y5,EDATE($D119,Milestones!$AA$152)&lt;PolicyEff),1,Milestones!$AC$152)&amp;";  ","")&amp;IF(AND(EDATE($D119,Milestones!$AA$153)&lt;=AsOfDate,EDATE($D119,Milestones!$AA$153)&gt;=SchemeStart,IF($X119=0,$AD119,IF(AND($Z119&lt;&gt;"",EDATE($D119,Milestones!$AA$153)&gt;=$Z119),$AC119,IF(AND($Y119&lt;&gt;"",EDATE($D119,Milestones!$AA$153)&gt;=$Y119),$AB119,$AA119)))=Milestones!$AB$153),UPPER(TEXT(EDATE($D119,Milestones!$AA$153),"dd mmm yy"))&amp;" "&amp;Milestones!$AB$153&amp;" "&amp;IF(AND(Milestones!$AB$153="FT",Milestones!$AA$153=FT_Y5,EDATE($D119,Milestones!$AA$153)&lt;PolicyEff),1,Milestones!$AC$153)&amp;";  ","")&amp;IF(AND(EDATE($D119,Milestones!$AA$154)&lt;=AsOfDate,EDATE($D119,Milestones!$AA$154)&gt;=SchemeStart,IF($X119=0,$AD119,IF(AND($Z119&lt;&gt;"",EDATE($D119,Milestones!$AA$154)&gt;=$Z119),$AC119,IF(AND($Y119&lt;&gt;"",EDATE($D119,Milestones!$AA$154)&gt;=$Y119),$AB119,$AA119)))=Milestones!$AB$154),UPPER(TEXT(EDATE($D119,Milestones!$AA$154),"dd mmm yy"))&amp;" "&amp;Milestones!$AB$154&amp;" "&amp;IF(AND(Milestones!$AB$154="FT",Milestones!$AA$154=FT_Y5,EDATE($D119,Milestones!$AA$154)&lt;PolicyEff),1,Milestones!$AC$154)&amp;";  ","")&amp;IF(AND(EDATE($D119,Milestones!$AA$155)&lt;=AsOfDate,EDATE($D119,Milestones!$AA$155)&gt;=SchemeStart,IF($X119=0,$AD119,IF(AND($Z119&lt;&gt;"",EDATE($D119,Milestones!$AA$155)&gt;=$Z119),$AC119,IF(AND($Y119&lt;&gt;"",EDATE($D119,Milestones!$AA$155)&gt;=$Y119),$AB119,$AA119)))=Milestones!$AB$155),UPPER(TEXT(EDATE($D119,Milestones!$AA$155),"dd mmm yy"))&amp;" "&amp;Milestones!$AB$155&amp;" "&amp;IF(AND(Milestones!$AB$155="FT",Milestones!$AA$155=FT_Y5,EDATE($D119,Milestones!$AA$155)&lt;PolicyEff),1,Milestones!$AC$155)&amp;";  ","")&amp;IF(AND(EDATE($D119,Milestones!$AA$156)&lt;=AsOfDate,EDATE($D119,Milestones!$AA$156)&gt;=SchemeStart,IF($X119=0,$AD119,IF(AND($Z119&lt;&gt;"",EDATE($D119,Milestones!$AA$156)&gt;=$Z119),$AC119,IF(AND($Y119&lt;&gt;"",EDATE($D119,Milestones!$AA$156)&gt;=$Y119),$AB119,$AA119)))=Milestones!$AB$156),UPPER(TEXT(EDATE($D119,Milestones!$AA$156),"dd mmm yy"))&amp;" "&amp;Milestones!$AB$156&amp;" "&amp;IF(AND(Milestones!$AB$156="FT",Milestones!$AA$156=FT_Y5,EDATE($D119,Milestones!$AA$156)&lt;PolicyEff),1,Milestones!$AC$156)&amp;";  ","")&amp;IF(AND(EDATE($D119,Milestones!$AA$157)&lt;=AsOfDate,EDATE($D119,Milestones!$AA$157)&gt;=SchemeStart,IF($X119=0,$AD119,IF(AND($Z119&lt;&gt;"",EDATE($D119,Milestones!$AA$157)&gt;=$Z119),$AC119,IF(AND($Y119&lt;&gt;"",EDATE($D119,Milestones!$AA$157)&gt;=$Y119),$AB119,$AA119)))=Milestones!$AB$157),UPPER(TEXT(EDATE($D119,Milestones!$AA$157),"dd mmm yy"))&amp;" "&amp;Milestones!$AB$157&amp;" "&amp;IF(AND(Milestones!$AB$157="FT",Milestones!$AA$157=FT_Y5,EDATE($D119,Milestones!$AA$157)&lt;PolicyEff),1,Milestones!$AC$157)&amp;";  ","")&amp;IF(AND(EDATE($D119,Milestones!$AA$158)&lt;=AsOfDate,EDATE($D119,Milestones!$AA$158)&gt;=SchemeStart,IF($X119=0,$AD119,IF(AND($Z119&lt;&gt;"",EDATE($D119,Milestones!$AA$158)&gt;=$Z119),$AC119,IF(AND($Y119&lt;&gt;"",EDATE($D119,Milestones!$AA$158)&gt;=$Y119),$AB119,$AA119)))=Milestones!$AB$158),UPPER(TEXT(EDATE($D119,Milestones!$AA$158),"dd mmm yy"))&amp;" "&amp;Milestones!$AB$158&amp;" "&amp;IF(AND(Milestones!$AB$158="FT",Milestones!$AA$158=FT_Y5,EDATE($D119,Milestones!$AA$158)&lt;PolicyEff),1,Milestones!$AC$158)&amp;";  ","")&amp;IF(AND(EDATE($D119,Milestones!$AA$159)&lt;=AsOfDate,EDATE($D119,Milestones!$AA$159)&gt;=SchemeStart,IF($X119=0,$AD119,IF(AND($Z119&lt;&gt;"",EDATE($D119,Milestones!$AA$159)&gt;=$Z119),$AC119,IF(AND($Y119&lt;&gt;"",EDATE($D119,Milestones!$AA$159)&gt;=$Y119),$AB119,$AA119)))=Milestones!$AB$159),UPPER(TEXT(EDATE($D119,Milestones!$AA$159),"dd mmm yy"))&amp;" "&amp;Milestones!$AB$159&amp;" "&amp;IF(AND(Milestones!$AB$159="FT",Milestones!$AA$159=FT_Y5,EDATE($D119,Milestones!$AA$159)&lt;PolicyEff),1,Milestones!$AC$159)&amp;";  ","")&amp;IF(AND(EDATE($D119,Milestones!$AA$160)&lt;=AsOfDate,EDATE($D119,Milestones!$AA$160)&gt;=SchemeStart,IF($X119=0,$AD119,IF(AND($Z119&lt;&gt;"",EDATE($D119,Milestones!$AA$160)&gt;=$Z119),$AC119,IF(AND($Y119&lt;&gt;"",EDATE($D119,Milestones!$AA$160)&gt;=$Y119),$AB119,$AA119)))=Milestones!$AB$160),UPPER(TEXT(EDATE($D119,Milestones!$AA$160),"dd mmm yy"))&amp;" "&amp;Milestones!$AB$160&amp;" "&amp;IF(AND(Milestones!$AB$160="FT",Milestones!$AA$160=FT_Y5,EDATE($D119,Milestones!$AA$160)&lt;PolicyEff),1,Milestones!$AC$160)&amp;";  ","")&amp;IF(AND(EDATE($D119,Milestones!$AA$161)&lt;=AsOfDate,EDATE($D119,Milestones!$AA$161)&gt;=SchemeStart,IF($X119=0,$AD119,IF(AND($Z119&lt;&gt;"",EDATE($D119,Milestones!$AA$161)&gt;=$Z119),$AC119,IF(AND($Y119&lt;&gt;"",EDATE($D119,Milestones!$AA$161)&gt;=$Y119),$AB119,$AA119)))=Milestones!$AB$161),UPPER(TEXT(EDATE($D119,Milestones!$AA$161),"dd mmm yy"))&amp;" "&amp;Milestones!$AB$161&amp;" "&amp;IF(AND(Milestones!$AB$161="FT",Milestones!$AA$161=FT_Y5,EDATE($D119,Milestones!$AA$161)&lt;PolicyEff),1,Milestones!$AC$161)&amp;";  ","")&amp;IF(AND(EDATE($D119,Milestones!$AA$162)&lt;=AsOfDate,EDATE($D119,Milestones!$AA$162)&gt;=SchemeStart,IF($X119=0,$AD119,IF(AND($Z119&lt;&gt;"",EDATE($D119,Milestones!$AA$162)&gt;=$Z119),$AC119,IF(AND($Y119&lt;&gt;"",EDATE($D119,Milestones!$AA$162)&gt;=$Y119),$AB119,$AA119)))=Milestones!$AB$162),UPPER(TEXT(EDATE($D119,Milestones!$AA$162),"dd mmm yy"))&amp;" "&amp;Milestones!$AB$162&amp;" "&amp;IF(AND(Milestones!$AB$162="FT",Milestones!$AA$162=FT_Y5,EDATE($D119,Milestones!$AA$162)&lt;PolicyEff),1,Milestones!$AC$162)&amp;";  ","")&amp;IF(AND(EDATE($D119,Milestones!$AA$163)&lt;=AsOfDate,EDATE($D119,Milestones!$AA$163)&gt;=SchemeStart,IF($X119=0,$AD119,IF(AND($Z119&lt;&gt;"",EDATE($D119,Milestones!$AA$163)&gt;=$Z119),$AC119,IF(AND($Y119&lt;&gt;"",EDATE($D119,Milestones!$AA$163)&gt;=$Y119),$AB119,$AA119)))=Milestones!$AB$163),UPPER(TEXT(EDATE($D119,Milestones!$AA$163),"dd mmm yy"))&amp;" "&amp;Milestones!$AB$163&amp;" "&amp;IF(AND(Milestones!$AB$163="FT",Milestones!$AA$163=FT_Y5,EDATE($D119,Milestones!$AA$163)&lt;PolicyEff),1,Milestones!$AC$163)&amp;";  ",""))</f>
        <v/>
      </c>
      <c r="U119" s="0" t="str">
        <f aca="false">IF(OR($A119="",$D119=""),"",IF(AND(EDATE($D119,Milestones!$AA$164)&lt;=AsOfDate,EDATE($D119,Milestones!$AA$164)&gt;=SchemeStart,IF($X119=0,$AD119,IF(AND($Z119&lt;&gt;"",EDATE($D119,Milestones!$AA$164)&gt;=$Z119),$AC119,IF(AND($Y119&lt;&gt;"",EDATE($D119,Milestones!$AA$164)&gt;=$Y119),$AB119,$AA119)))=Milestones!$AB$164),UPPER(TEXT(EDATE($D119,Milestones!$AA$164),"dd mmm yy"))&amp;" "&amp;Milestones!$AB$164&amp;" "&amp;IF(AND(Milestones!$AB$164="FT",Milestones!$AA$164=FT_Y5,EDATE($D119,Milestones!$AA$164)&lt;PolicyEff),1,Milestones!$AC$164)&amp;";  ","")&amp;IF(AND(EDATE($D119,Milestones!$AA$165)&lt;=AsOfDate,EDATE($D119,Milestones!$AA$165)&gt;=SchemeStart,IF($X119=0,$AD119,IF(AND($Z119&lt;&gt;"",EDATE($D119,Milestones!$AA$165)&gt;=$Z119),$AC119,IF(AND($Y119&lt;&gt;"",EDATE($D119,Milestones!$AA$165)&gt;=$Y119),$AB119,$AA119)))=Milestones!$AB$165),UPPER(TEXT(EDATE($D119,Milestones!$AA$165),"dd mmm yy"))&amp;" "&amp;Milestones!$AB$165&amp;" "&amp;IF(AND(Milestones!$AB$165="FT",Milestones!$AA$165=FT_Y5,EDATE($D119,Milestones!$AA$165)&lt;PolicyEff),1,Milestones!$AC$165)&amp;";  ","")&amp;IF(AND(EDATE($D119,Milestones!$AA$166)&lt;=AsOfDate,EDATE($D119,Milestones!$AA$166)&gt;=SchemeStart,IF($X119=0,$AD119,IF(AND($Z119&lt;&gt;"",EDATE($D119,Milestones!$AA$166)&gt;=$Z119),$AC119,IF(AND($Y119&lt;&gt;"",EDATE($D119,Milestones!$AA$166)&gt;=$Y119),$AB119,$AA119)))=Milestones!$AB$166),UPPER(TEXT(EDATE($D119,Milestones!$AA$166),"dd mmm yy"))&amp;" "&amp;Milestones!$AB$166&amp;" "&amp;IF(AND(Milestones!$AB$166="FT",Milestones!$AA$166=FT_Y5,EDATE($D119,Milestones!$AA$166)&lt;PolicyEff),1,Milestones!$AC$166)&amp;";  ","")&amp;IF(AND(EDATE($D119,Milestones!$AA$167)&lt;=AsOfDate,EDATE($D119,Milestones!$AA$167)&gt;=SchemeStart,IF($X119=0,$AD119,IF(AND($Z119&lt;&gt;"",EDATE($D119,Milestones!$AA$167)&gt;=$Z119),$AC119,IF(AND($Y119&lt;&gt;"",EDATE($D119,Milestones!$AA$167)&gt;=$Y119),$AB119,$AA119)))=Milestones!$AB$167),UPPER(TEXT(EDATE($D119,Milestones!$AA$167),"dd mmm yy"))&amp;" "&amp;Milestones!$AB$167&amp;" "&amp;IF(AND(Milestones!$AB$167="FT",Milestones!$AA$167=FT_Y5,EDATE($D119,Milestones!$AA$167)&lt;PolicyEff),1,Milestones!$AC$167)&amp;";  ","")&amp;IF(AND(EDATE($D119,Milestones!$AA$168)&lt;=AsOfDate,EDATE($D119,Milestones!$AA$168)&gt;=SchemeStart,IF($X119=0,$AD119,IF(AND($Z119&lt;&gt;"",EDATE($D119,Milestones!$AA$168)&gt;=$Z119),$AC119,IF(AND($Y119&lt;&gt;"",EDATE($D119,Milestones!$AA$168)&gt;=$Y119),$AB119,$AA119)))=Milestones!$AB$168),UPPER(TEXT(EDATE($D119,Milestones!$AA$168),"dd mmm yy"))&amp;" "&amp;Milestones!$AB$168&amp;" "&amp;IF(AND(Milestones!$AB$168="FT",Milestones!$AA$168=FT_Y5,EDATE($D119,Milestones!$AA$168)&lt;PolicyEff),1,Milestones!$AC$168)&amp;";  ","")&amp;IF(AND(EDATE($D119,Milestones!$AA$169)&lt;=AsOfDate,EDATE($D119,Milestones!$AA$169)&gt;=SchemeStart,IF($X119=0,$AD119,IF(AND($Z119&lt;&gt;"",EDATE($D119,Milestones!$AA$169)&gt;=$Z119),$AC119,IF(AND($Y119&lt;&gt;"",EDATE($D119,Milestones!$AA$169)&gt;=$Y119),$AB119,$AA119)))=Milestones!$AB$169),UPPER(TEXT(EDATE($D119,Milestones!$AA$169),"dd mmm yy"))&amp;" "&amp;Milestones!$AB$169&amp;" "&amp;IF(AND(Milestones!$AB$169="FT",Milestones!$AA$169=FT_Y5,EDATE($D119,Milestones!$AA$169)&lt;PolicyEff),1,Milestones!$AC$169)&amp;";  ","")&amp;IF(AND(EDATE($D119,Milestones!$AA$170)&lt;=AsOfDate,EDATE($D119,Milestones!$AA$170)&gt;=SchemeStart,IF($X119=0,$AD119,IF(AND($Z119&lt;&gt;"",EDATE($D119,Milestones!$AA$170)&gt;=$Z119),$AC119,IF(AND($Y119&lt;&gt;"",EDATE($D119,Milestones!$AA$170)&gt;=$Y119),$AB119,$AA119)))=Milestones!$AB$170),UPPER(TEXT(EDATE($D119,Milestones!$AA$170),"dd mmm yy"))&amp;" "&amp;Milestones!$AB$170&amp;" "&amp;IF(AND(Milestones!$AB$170="FT",Milestones!$AA$170=FT_Y5,EDATE($D119,Milestones!$AA$170)&lt;PolicyEff),1,Milestones!$AC$170)&amp;";  ","")&amp;IF(AND(EDATE($D119,Milestones!$AA$171)&lt;=AsOfDate,EDATE($D119,Milestones!$AA$171)&gt;=SchemeStart,IF($X119=0,$AD119,IF(AND($Z119&lt;&gt;"",EDATE($D119,Milestones!$AA$171)&gt;=$Z119),$AC119,IF(AND($Y119&lt;&gt;"",EDATE($D119,Milestones!$AA$171)&gt;=$Y119),$AB119,$AA119)))=Milestones!$AB$171),UPPER(TEXT(EDATE($D119,Milestones!$AA$171),"dd mmm yy"))&amp;" "&amp;Milestones!$AB$171&amp;" "&amp;IF(AND(Milestones!$AB$171="FT",Milestones!$AA$171=FT_Y5,EDATE($D119,Milestones!$AA$171)&lt;PolicyEff),1,Milestones!$AC$171)&amp;";  ","")&amp;IF(AND(EDATE($D119,Milestones!$AA$172)&lt;=AsOfDate,EDATE($D119,Milestones!$AA$172)&gt;=SchemeStart,IF($X119=0,$AD119,IF(AND($Z119&lt;&gt;"",EDATE($D119,Milestones!$AA$172)&gt;=$Z119),$AC119,IF(AND($Y119&lt;&gt;"",EDATE($D119,Milestones!$AA$172)&gt;=$Y119),$AB119,$AA119)))=Milestones!$AB$172),UPPER(TEXT(EDATE($D119,Milestones!$AA$172),"dd mmm yy"))&amp;" "&amp;Milestones!$AB$172&amp;" "&amp;IF(AND(Milestones!$AB$172="FT",Milestones!$AA$172=FT_Y5,EDATE($D119,Milestones!$AA$172)&lt;PolicyEff),1,Milestones!$AC$172)&amp;";  ","")&amp;IF(AND(EDATE($D119,Milestones!$AA$173)&lt;=AsOfDate,EDATE($D119,Milestones!$AA$173)&gt;=SchemeStart,IF($X119=0,$AD119,IF(AND($Z119&lt;&gt;"",EDATE($D119,Milestones!$AA$173)&gt;=$Z119),$AC119,IF(AND($Y119&lt;&gt;"",EDATE($D119,Milestones!$AA$173)&gt;=$Y119),$AB119,$AA119)))=Milestones!$AB$173),UPPER(TEXT(EDATE($D119,Milestones!$AA$173),"dd mmm yy"))&amp;" "&amp;Milestones!$AB$173&amp;" "&amp;IF(AND(Milestones!$AB$173="FT",Milestones!$AA$173=FT_Y5,EDATE($D119,Milestones!$AA$173)&lt;PolicyEff),1,Milestones!$AC$173)&amp;";  ","")&amp;IF(AND(EDATE($D119,Milestones!$AA$174)&lt;=AsOfDate,EDATE($D119,Milestones!$AA$174)&gt;=SchemeStart,IF($X119=0,$AD119,IF(AND($Z119&lt;&gt;"",EDATE($D119,Milestones!$AA$174)&gt;=$Z119),$AC119,IF(AND($Y119&lt;&gt;"",EDATE($D119,Milestones!$AA$174)&gt;=$Y119),$AB119,$AA119)))=Milestones!$AB$174),UPPER(TEXT(EDATE($D119,Milestones!$AA$174),"dd mmm yy"))&amp;" "&amp;Milestones!$AB$174&amp;" "&amp;IF(AND(Milestones!$AB$174="FT",Milestones!$AA$174=FT_Y5,EDATE($D119,Milestones!$AA$174)&lt;PolicyEff),1,Milestones!$AC$174)&amp;";  ","")&amp;IF(AND(EDATE($D119,Milestones!$AA$175)&lt;=AsOfDate,EDATE($D119,Milestones!$AA$175)&gt;=SchemeStart,IF($X119=0,$AD119,IF(AND($Z119&lt;&gt;"",EDATE($D119,Milestones!$AA$175)&gt;=$Z119),$AC119,IF(AND($Y119&lt;&gt;"",EDATE($D119,Milestones!$AA$175)&gt;=$Y119),$AB119,$AA119)))=Milestones!$AB$175),UPPER(TEXT(EDATE($D119,Milestones!$AA$175),"dd mmm yy"))&amp;" "&amp;Milestones!$AB$175&amp;" "&amp;IF(AND(Milestones!$AB$175="FT",Milestones!$AA$175=FT_Y5,EDATE($D119,Milestones!$AA$175)&lt;PolicyEff),1,Milestones!$AC$175)&amp;";  ",""))</f>
        <v/>
      </c>
      <c r="V119" s="0" t="str">
        <f aca="false">IF(OR($A119="",$D119=""),"",IF(AND(EDATE($D119,Milestones!$AA$176)&lt;=AsOfDate,EDATE($D119,Milestones!$AA$176)&gt;=SchemeStart,IF($X119=0,$AD119,IF(AND($Z119&lt;&gt;"",EDATE($D119,Milestones!$AA$176)&gt;=$Z119),$AC119,IF(AND($Y119&lt;&gt;"",EDATE($D119,Milestones!$AA$176)&gt;=$Y119),$AB119,$AA119)))=Milestones!$AB$176),UPPER(TEXT(EDATE($D119,Milestones!$AA$176),"dd mmm yy"))&amp;" "&amp;Milestones!$AB$176&amp;" "&amp;IF(AND(Milestones!$AB$176="FT",Milestones!$AA$176=FT_Y5,EDATE($D119,Milestones!$AA$176)&lt;PolicyEff),1,Milestones!$AC$176)&amp;";  ","")&amp;IF(AND(EDATE($D119,Milestones!$AA$177)&lt;=AsOfDate,EDATE($D119,Milestones!$AA$177)&gt;=SchemeStart,IF($X119=0,$AD119,IF(AND($Z119&lt;&gt;"",EDATE($D119,Milestones!$AA$177)&gt;=$Z119),$AC119,IF(AND($Y119&lt;&gt;"",EDATE($D119,Milestones!$AA$177)&gt;=$Y119),$AB119,$AA119)))=Milestones!$AB$177),UPPER(TEXT(EDATE($D119,Milestones!$AA$177),"dd mmm yy"))&amp;" "&amp;Milestones!$AB$177&amp;" "&amp;IF(AND(Milestones!$AB$177="FT",Milestones!$AA$177=FT_Y5,EDATE($D119,Milestones!$AA$177)&lt;PolicyEff),1,Milestones!$AC$177)&amp;";  ","")&amp;IF(AND(EDATE($D119,Milestones!$AA$178)&lt;=AsOfDate,EDATE($D119,Milestones!$AA$178)&gt;=SchemeStart,IF($X119=0,$AD119,IF(AND($Z119&lt;&gt;"",EDATE($D119,Milestones!$AA$178)&gt;=$Z119),$AC119,IF(AND($Y119&lt;&gt;"",EDATE($D119,Milestones!$AA$178)&gt;=$Y119),$AB119,$AA119)))=Milestones!$AB$178),UPPER(TEXT(EDATE($D119,Milestones!$AA$178),"dd mmm yy"))&amp;" "&amp;Milestones!$AB$178&amp;" "&amp;IF(AND(Milestones!$AB$178="FT",Milestones!$AA$178=FT_Y5,EDATE($D119,Milestones!$AA$178)&lt;PolicyEff),1,Milestones!$AC$178)&amp;";  ","")&amp;IF(AND(EDATE($D119,Milestones!$AA$179)&lt;=AsOfDate,EDATE($D119,Milestones!$AA$179)&gt;=SchemeStart,IF($X119=0,$AD119,IF(AND($Z119&lt;&gt;"",EDATE($D119,Milestones!$AA$179)&gt;=$Z119),$AC119,IF(AND($Y119&lt;&gt;"",EDATE($D119,Milestones!$AA$179)&gt;=$Y119),$AB119,$AA119)))=Milestones!$AB$179),UPPER(TEXT(EDATE($D119,Milestones!$AA$179),"dd mmm yy"))&amp;" "&amp;Milestones!$AB$179&amp;" "&amp;IF(AND(Milestones!$AB$179="FT",Milestones!$AA$179=FT_Y5,EDATE($D119,Milestones!$AA$179)&lt;PolicyEff),1,Milestones!$AC$179)&amp;";  ","")&amp;IF(AND(EDATE($D119,Milestones!$AA$180)&lt;=AsOfDate,EDATE($D119,Milestones!$AA$180)&gt;=SchemeStart,IF($X119=0,$AD119,IF(AND($Z119&lt;&gt;"",EDATE($D119,Milestones!$AA$180)&gt;=$Z119),$AC119,IF(AND($Y119&lt;&gt;"",EDATE($D119,Milestones!$AA$180)&gt;=$Y119),$AB119,$AA119)))=Milestones!$AB$180),UPPER(TEXT(EDATE($D119,Milestones!$AA$180),"dd mmm yy"))&amp;" "&amp;Milestones!$AB$180&amp;" "&amp;IF(AND(Milestones!$AB$180="FT",Milestones!$AA$180=FT_Y5,EDATE($D119,Milestones!$AA$180)&lt;PolicyEff),1,Milestones!$AC$180)&amp;";  ","")&amp;IF(AND(EDATE($D119,Milestones!$AA$181)&lt;=AsOfDate,EDATE($D119,Milestones!$AA$181)&gt;=SchemeStart,IF($X119=0,$AD119,IF(AND($Z119&lt;&gt;"",EDATE($D119,Milestones!$AA$181)&gt;=$Z119),$AC119,IF(AND($Y119&lt;&gt;"",EDATE($D119,Milestones!$AA$181)&gt;=$Y119),$AB119,$AA119)))=Milestones!$AB$181),UPPER(TEXT(EDATE($D119,Milestones!$AA$181),"dd mmm yy"))&amp;" "&amp;Milestones!$AB$181&amp;" "&amp;IF(AND(Milestones!$AB$181="FT",Milestones!$AA$181=FT_Y5,EDATE($D119,Milestones!$AA$181)&lt;PolicyEff),1,Milestones!$AC$181)&amp;";  ","")&amp;IF(AND(EDATE($D119,Milestones!$AA$182)&lt;=AsOfDate,EDATE($D119,Milestones!$AA$182)&gt;=SchemeStart,IF($X119=0,$AD119,IF(AND($Z119&lt;&gt;"",EDATE($D119,Milestones!$AA$182)&gt;=$Z119),$AC119,IF(AND($Y119&lt;&gt;"",EDATE($D119,Milestones!$AA$182)&gt;=$Y119),$AB119,$AA119)))=Milestones!$AB$182),UPPER(TEXT(EDATE($D119,Milestones!$AA$182),"dd mmm yy"))&amp;" "&amp;Milestones!$AB$182&amp;" "&amp;IF(AND(Milestones!$AB$182="FT",Milestones!$AA$182=FT_Y5,EDATE($D119,Milestones!$AA$182)&lt;PolicyEff),1,Milestones!$AC$182)&amp;";  ","")&amp;IF(AND(EDATE($D119,Milestones!$AA$183)&lt;=AsOfDate,EDATE($D119,Milestones!$AA$183)&gt;=SchemeStart,IF($X119=0,$AD119,IF(AND($Z119&lt;&gt;"",EDATE($D119,Milestones!$AA$183)&gt;=$Z119),$AC119,IF(AND($Y119&lt;&gt;"",EDATE($D119,Milestones!$AA$183)&gt;=$Y119),$AB119,$AA119)))=Milestones!$AB$183),UPPER(TEXT(EDATE($D119,Milestones!$AA$183),"dd mmm yy"))&amp;" "&amp;Milestones!$AB$183&amp;" "&amp;IF(AND(Milestones!$AB$183="FT",Milestones!$AA$183=FT_Y5,EDATE($D119,Milestones!$AA$183)&lt;PolicyEff),1,Milestones!$AC$183)&amp;";  ","")&amp;IF(AND(EDATE($D119,Milestones!$AA$184)&lt;=AsOfDate,EDATE($D119,Milestones!$AA$184)&gt;=SchemeStart,IF($X119=0,$AD119,IF(AND($Z119&lt;&gt;"",EDATE($D119,Milestones!$AA$184)&gt;=$Z119),$AC119,IF(AND($Y119&lt;&gt;"",EDATE($D119,Milestones!$AA$184)&gt;=$Y119),$AB119,$AA119)))=Milestones!$AB$184),UPPER(TEXT(EDATE($D119,Milestones!$AA$184),"dd mmm yy"))&amp;" "&amp;Milestones!$AB$184&amp;" "&amp;IF(AND(Milestones!$AB$184="FT",Milestones!$AA$184=FT_Y5,EDATE($D119,Milestones!$AA$184)&lt;PolicyEff),1,Milestones!$AC$184)&amp;";  ","")&amp;IF(AND(EDATE($D119,Milestones!$AA$185)&lt;=AsOfDate,EDATE($D119,Milestones!$AA$185)&gt;=SchemeStart,IF($X119=0,$AD119,IF(AND($Z119&lt;&gt;"",EDATE($D119,Milestones!$AA$185)&gt;=$Z119),$AC119,IF(AND($Y119&lt;&gt;"",EDATE($D119,Milestones!$AA$185)&gt;=$Y119),$AB119,$AA119)))=Milestones!$AB$185),UPPER(TEXT(EDATE($D119,Milestones!$AA$185),"dd mmm yy"))&amp;" "&amp;Milestones!$AB$185&amp;" "&amp;IF(AND(Milestones!$AB$185="FT",Milestones!$AA$185=FT_Y5,EDATE($D119,Milestones!$AA$185)&lt;PolicyEff),1,Milestones!$AC$185)&amp;";  ","")&amp;IF(AND(EDATE($D119,Milestones!$AA$186)&lt;=AsOfDate,EDATE($D119,Milestones!$AA$186)&gt;=SchemeStart,IF($X119=0,$AD119,IF(AND($Z119&lt;&gt;"",EDATE($D119,Milestones!$AA$186)&gt;=$Z119),$AC119,IF(AND($Y119&lt;&gt;"",EDATE($D119,Milestones!$AA$186)&gt;=$Y119),$AB119,$AA119)))=Milestones!$AB$186),UPPER(TEXT(EDATE($D119,Milestones!$AA$186),"dd mmm yy"))&amp;" "&amp;Milestones!$AB$186&amp;" "&amp;IF(AND(Milestones!$AB$186="FT",Milestones!$AA$186=FT_Y5,EDATE($D119,Milestones!$AA$186)&lt;PolicyEff),1,Milestones!$AC$186)&amp;";  ","")&amp;IF(AND(EDATE($D119,Milestones!$AA$187)&lt;=AsOfDate,EDATE($D119,Milestones!$AA$187)&gt;=SchemeStart,IF($X119=0,$AD119,IF(AND($Z119&lt;&gt;"",EDATE($D119,Milestones!$AA$187)&gt;=$Z119),$AC119,IF(AND($Y119&lt;&gt;"",EDATE($D119,Milestones!$AA$187)&gt;=$Y119),$AB119,$AA119)))=Milestones!$AB$187),UPPER(TEXT(EDATE($D119,Milestones!$AA$187),"dd mmm yy"))&amp;" "&amp;Milestones!$AB$187&amp;" "&amp;IF(AND(Milestones!$AB$187="FT",Milestones!$AA$187=FT_Y5,EDATE($D119,Milestones!$AA$187)&lt;PolicyEff),1,Milestones!$AC$187)&amp;";  ",""))</f>
        <v/>
      </c>
      <c r="W119" s="0" t="str">
        <f aca="false">IF(OR($A119="",$D119=""),"",IF(AND(EDATE($D119,Milestones!$AA$188)&lt;=AsOfDate,EDATE($D119,Milestones!$AA$188)&gt;=SchemeStart,IF($X119=0,$AD119,IF(AND($Z119&lt;&gt;"",EDATE($D119,Milestones!$AA$188)&gt;=$Z119),$AC119,IF(AND($Y119&lt;&gt;"",EDATE($D119,Milestones!$AA$188)&gt;=$Y119),$AB119,$AA119)))=Milestones!$AB$188),UPPER(TEXT(EDATE($D119,Milestones!$AA$188),"dd mmm yy"))&amp;" "&amp;Milestones!$AB$188&amp;" "&amp;IF(AND(Milestones!$AB$188="FT",Milestones!$AA$188=FT_Y5,EDATE($D119,Milestones!$AA$188)&lt;PolicyEff),1,Milestones!$AC$188)&amp;";  ","")&amp;IF(AND(EDATE($D119,Milestones!$AA$189)&lt;=AsOfDate,EDATE($D119,Milestones!$AA$189)&gt;=SchemeStart,IF($X119=0,$AD119,IF(AND($Z119&lt;&gt;"",EDATE($D119,Milestones!$AA$189)&gt;=$Z119),$AC119,IF(AND($Y119&lt;&gt;"",EDATE($D119,Milestones!$AA$189)&gt;=$Y119),$AB119,$AA119)))=Milestones!$AB$189),UPPER(TEXT(EDATE($D119,Milestones!$AA$189),"dd mmm yy"))&amp;" "&amp;Milestones!$AB$189&amp;" "&amp;IF(AND(Milestones!$AB$189="FT",Milestones!$AA$189=FT_Y5,EDATE($D119,Milestones!$AA$189)&lt;PolicyEff),1,Milestones!$AC$189)&amp;";  ","")&amp;IF(AND(EDATE($D119,Milestones!$AA$190)&lt;=AsOfDate,EDATE($D119,Milestones!$AA$190)&gt;=SchemeStart,IF($X119=0,$AD119,IF(AND($Z119&lt;&gt;"",EDATE($D119,Milestones!$AA$190)&gt;=$Z119),$AC119,IF(AND($Y119&lt;&gt;"",EDATE($D119,Milestones!$AA$190)&gt;=$Y119),$AB119,$AA119)))=Milestones!$AB$190),UPPER(TEXT(EDATE($D119,Milestones!$AA$190),"dd mmm yy"))&amp;" "&amp;Milestones!$AB$190&amp;" "&amp;IF(AND(Milestones!$AB$190="FT",Milestones!$AA$190=FT_Y5,EDATE($D119,Milestones!$AA$190)&lt;PolicyEff),1,Milestones!$AC$190)&amp;";  ","")&amp;IF(AND(EDATE($D119,Milestones!$AA$191)&lt;=AsOfDate,EDATE($D119,Milestones!$AA$191)&gt;=SchemeStart,IF($X119=0,$AD119,IF(AND($Z119&lt;&gt;"",EDATE($D119,Milestones!$AA$191)&gt;=$Z119),$AC119,IF(AND($Y119&lt;&gt;"",EDATE($D119,Milestones!$AA$191)&gt;=$Y119),$AB119,$AA119)))=Milestones!$AB$191),UPPER(TEXT(EDATE($D119,Milestones!$AA$191),"dd mmm yy"))&amp;" "&amp;Milestones!$AB$191&amp;" "&amp;IF(AND(Milestones!$AB$191="FT",Milestones!$AA$191=FT_Y5,EDATE($D119,Milestones!$AA$191)&lt;PolicyEff),1,Milestones!$AC$191)&amp;";  ","")&amp;IF(AND(EDATE($D119,Milestones!$AA$192)&lt;=AsOfDate,EDATE($D119,Milestones!$AA$192)&gt;=SchemeStart,IF($X119=0,$AD119,IF(AND($Z119&lt;&gt;"",EDATE($D119,Milestones!$AA$192)&gt;=$Z119),$AC119,IF(AND($Y119&lt;&gt;"",EDATE($D119,Milestones!$AA$192)&gt;=$Y119),$AB119,$AA119)))=Milestones!$AB$192),UPPER(TEXT(EDATE($D119,Milestones!$AA$192),"dd mmm yy"))&amp;" "&amp;Milestones!$AB$192&amp;" "&amp;IF(AND(Milestones!$AB$192="FT",Milestones!$AA$192=FT_Y5,EDATE($D119,Milestones!$AA$192)&lt;PolicyEff),1,Milestones!$AC$192)&amp;";  ","")&amp;IF(AND(EDATE($D119,Milestones!$AA$193)&lt;=AsOfDate,EDATE($D119,Milestones!$AA$193)&gt;=SchemeStart,IF($X119=0,$AD119,IF(AND($Z119&lt;&gt;"",EDATE($D119,Milestones!$AA$193)&gt;=$Z119),$AC119,IF(AND($Y119&lt;&gt;"",EDATE($D119,Milestones!$AA$193)&gt;=$Y119),$AB119,$AA119)))=Milestones!$AB$193),UPPER(TEXT(EDATE($D119,Milestones!$AA$193),"dd mmm yy"))&amp;" "&amp;Milestones!$AB$193&amp;" "&amp;IF(AND(Milestones!$AB$193="FT",Milestones!$AA$193=FT_Y5,EDATE($D119,Milestones!$AA$193)&lt;PolicyEff),1,Milestones!$AC$193)&amp;";  ","")&amp;IF(AND(EDATE($D119,Milestones!$AA$194)&lt;=AsOfDate,EDATE($D119,Milestones!$AA$194)&gt;=SchemeStart,IF($X119=0,$AD119,IF(AND($Z119&lt;&gt;"",EDATE($D119,Milestones!$AA$194)&gt;=$Z119),$AC119,IF(AND($Y119&lt;&gt;"",EDATE($D119,Milestones!$AA$194)&gt;=$Y119),$AB119,$AA119)))=Milestones!$AB$194),UPPER(TEXT(EDATE($D119,Milestones!$AA$194),"dd mmm yy"))&amp;" "&amp;Milestones!$AB$194&amp;" "&amp;IF(AND(Milestones!$AB$194="FT",Milestones!$AA$194=FT_Y5,EDATE($D119,Milestones!$AA$194)&lt;PolicyEff),1,Milestones!$AC$194)&amp;";  ","")&amp;IF(AND(EDATE($D119,Milestones!$AA$195)&lt;=AsOfDate,EDATE($D119,Milestones!$AA$195)&gt;=SchemeStart,IF($X119=0,$AD119,IF(AND($Z119&lt;&gt;"",EDATE($D119,Milestones!$AA$195)&gt;=$Z119),$AC119,IF(AND($Y119&lt;&gt;"",EDATE($D119,Milestones!$AA$195)&gt;=$Y119),$AB119,$AA119)))=Milestones!$AB$195),UPPER(TEXT(EDATE($D119,Milestones!$AA$195),"dd mmm yy"))&amp;" "&amp;Milestones!$AB$195&amp;" "&amp;IF(AND(Milestones!$AB$195="FT",Milestones!$AA$195=FT_Y5,EDATE($D119,Milestones!$AA$195)&lt;PolicyEff),1,Milestones!$AC$195)&amp;";  ","")&amp;IF(AND(EDATE($D119,Milestones!$AA$196)&lt;=AsOfDate,EDATE($D119,Milestones!$AA$196)&gt;=SchemeStart,IF($X119=0,$AD119,IF(AND($Z119&lt;&gt;"",EDATE($D119,Milestones!$AA$196)&gt;=$Z119),$AC119,IF(AND($Y119&lt;&gt;"",EDATE($D119,Milestones!$AA$196)&gt;=$Y119),$AB119,$AA119)))=Milestones!$AB$196),UPPER(TEXT(EDATE($D119,Milestones!$AA$196),"dd mmm yy"))&amp;" "&amp;Milestones!$AB$196&amp;" "&amp;IF(AND(Milestones!$AB$196="FT",Milestones!$AA$196=FT_Y5,EDATE($D119,Milestones!$AA$196)&lt;PolicyEff),1,Milestones!$AC$196)&amp;";  ","")&amp;IF(AND(EDATE($D119,Milestones!$AA$197)&lt;=AsOfDate,EDATE($D119,Milestones!$AA$197)&gt;=SchemeStart,IF($X119=0,$AD119,IF(AND($Z119&lt;&gt;"",EDATE($D119,Milestones!$AA$197)&gt;=$Z119),$AC119,IF(AND($Y119&lt;&gt;"",EDATE($D119,Milestones!$AA$197)&gt;=$Y119),$AB119,$AA119)))=Milestones!$AB$197),UPPER(TEXT(EDATE($D119,Milestones!$AA$197),"dd mmm yy"))&amp;" "&amp;Milestones!$AB$197&amp;" "&amp;IF(AND(Milestones!$AB$197="FT",Milestones!$AA$197=FT_Y5,EDATE($D119,Milestones!$AA$197)&lt;PolicyEff),1,Milestones!$AC$197)&amp;";  ","")&amp;IF(AND(EDATE($D119,Milestones!$AA$198)&lt;=AsOfDate,EDATE($D119,Milestones!$AA$198)&gt;=SchemeStart,IF($X119=0,$AD119,IF(AND($Z119&lt;&gt;"",EDATE($D119,Milestones!$AA$198)&gt;=$Z119),$AC119,IF(AND($Y119&lt;&gt;"",EDATE($D119,Milestones!$AA$198)&gt;=$Y119),$AB119,$AA119)))=Milestones!$AB$198),UPPER(TEXT(EDATE($D119,Milestones!$AA$198),"dd mmm yy"))&amp;" "&amp;Milestones!$AB$198&amp;" "&amp;IF(AND(Milestones!$AB$198="FT",Milestones!$AA$198=FT_Y5,EDATE($D119,Milestones!$AA$198)&lt;PolicyEff),1,Milestones!$AC$198)&amp;";  ","")&amp;IF(AND(EDATE($D119,Milestones!$AA$199)&lt;=AsOfDate,EDATE($D119,Milestones!$AA$199)&gt;=SchemeStart,IF($X119=0,$AD119,IF(AND($Z119&lt;&gt;"",EDATE($D119,Milestones!$AA$199)&gt;=$Z119),$AC119,IF(AND($Y119&lt;&gt;"",EDATE($D119,Milestones!$AA$199)&gt;=$Y119),$AB119,$AA119)))=Milestones!$AB$199),UPPER(TEXT(EDATE($D119,Milestones!$AA$199),"dd mmm yy"))&amp;" "&amp;Milestones!$AB$199&amp;" "&amp;IF(AND(Milestones!$AB$199="FT",Milestones!$AA$199=FT_Y5,EDATE($D119,Milestones!$AA$199)&lt;PolicyEff),1,Milestones!$AC$199)&amp;";  ",""))</f>
        <v/>
      </c>
      <c r="X119" s="0" t="str">
        <f aca="false">IF(Staff!$A119="","",Staff!$AM119)</f>
        <v/>
      </c>
      <c r="Y119" s="0" t="str">
        <f aca="false">IF(Staff!$A119="","",Staff!$AO119)</f>
        <v/>
      </c>
      <c r="Z119" s="0" t="str">
        <f aca="false">IF(Staff!$A119="","",Staff!$AP119)</f>
        <v/>
      </c>
      <c r="AA119" s="0" t="str">
        <f aca="false">IF(Staff!$A119="","",Staff!$AT119)</f>
        <v/>
      </c>
      <c r="AB119" s="0" t="str">
        <f aca="false">IF(Staff!$A119="","",Staff!$AU119)</f>
        <v/>
      </c>
      <c r="AC119" s="0" t="str">
        <f aca="false">IF(Staff!$A119="","",Staff!$AV119)</f>
        <v/>
      </c>
      <c r="AD119" s="0" t="str">
        <f aca="false">IF(Staff!$A119="","",Staff!$AW119)</f>
        <v/>
      </c>
    </row>
    <row r="120" customFormat="false" ht="15" hidden="false" customHeight="false" outlineLevel="0" collapsed="false">
      <c r="A120" s="16" t="str">
        <f aca="false">IF(Staff!$A120="","",Staff!$A120)</f>
        <v/>
      </c>
      <c r="B120" s="16" t="str">
        <f aca="false">IF(Staff!$A120="","",Staff!$B120)</f>
        <v/>
      </c>
      <c r="C120" s="16" t="str">
        <f aca="false">IF(Staff!$A120="","",Staff!$C120)</f>
        <v/>
      </c>
      <c r="D120" s="14" t="str">
        <f aca="false">IF(Staff!$A120="","",Staff!$AL120)</f>
        <v/>
      </c>
      <c r="E120" s="16" t="str">
        <f aca="false">IF(Staff!$A120="","",Staff!$O120)</f>
        <v/>
      </c>
      <c r="F120" s="16" t="str">
        <f aca="false">IF(E120="","",E120*HoursPerDay)</f>
        <v/>
      </c>
      <c r="G120" s="16" t="str">
        <f aca="false">IF(Staff!$A120="","",Staff!$AE120)</f>
        <v/>
      </c>
      <c r="H120" s="28" t="str">
        <f aca="false">IF($A120="","",I120&amp;J120&amp;K120&amp;L120&amp;M120&amp;N120&amp;O120&amp;P120&amp;Q120&amp;R120&amp;S120&amp;T120&amp;U120&amp;V120&amp;W120)</f>
        <v/>
      </c>
      <c r="I120" s="0" t="str">
        <f aca="false">IF(OR($A120="",$D120=""),"",IF(AND(EDATE($D120,Milestones!$AA$20)&lt;=AsOfDate,EDATE($D120,Milestones!$AA$20)&gt;=SchemeStart,IF($X120=0,$AD120,IF(AND($Z120&lt;&gt;"",EDATE($D120,Milestones!$AA$20)&gt;=$Z120),$AC120,IF(AND($Y120&lt;&gt;"",EDATE($D120,Milestones!$AA$20)&gt;=$Y120),$AB120,$AA120)))=Milestones!$AB$20),UPPER(TEXT(EDATE($D120,Milestones!$AA$20),"dd mmm yy"))&amp;" "&amp;Milestones!$AB$20&amp;" "&amp;IF(AND(Milestones!$AB$20="FT",Milestones!$AA$20=FT_Y5,EDATE($D120,Milestones!$AA$20)&lt;PolicyEff),1,Milestones!$AC$20)&amp;";  ","")&amp;IF(AND(EDATE($D120,Milestones!$AA$21)&lt;=AsOfDate,EDATE($D120,Milestones!$AA$21)&gt;=SchemeStart,IF($X120=0,$AD120,IF(AND($Z120&lt;&gt;"",EDATE($D120,Milestones!$AA$21)&gt;=$Z120),$AC120,IF(AND($Y120&lt;&gt;"",EDATE($D120,Milestones!$AA$21)&gt;=$Y120),$AB120,$AA120)))=Milestones!$AB$21),UPPER(TEXT(EDATE($D120,Milestones!$AA$21),"dd mmm yy"))&amp;" "&amp;Milestones!$AB$21&amp;" "&amp;IF(AND(Milestones!$AB$21="FT",Milestones!$AA$21=FT_Y5,EDATE($D120,Milestones!$AA$21)&lt;PolicyEff),1,Milestones!$AC$21)&amp;";  ","")&amp;IF(AND(EDATE($D120,Milestones!$AA$22)&lt;=AsOfDate,EDATE($D120,Milestones!$AA$22)&gt;=SchemeStart,IF($X120=0,$AD120,IF(AND($Z120&lt;&gt;"",EDATE($D120,Milestones!$AA$22)&gt;=$Z120),$AC120,IF(AND($Y120&lt;&gt;"",EDATE($D120,Milestones!$AA$22)&gt;=$Y120),$AB120,$AA120)))=Milestones!$AB$22),UPPER(TEXT(EDATE($D120,Milestones!$AA$22),"dd mmm yy"))&amp;" "&amp;Milestones!$AB$22&amp;" "&amp;IF(AND(Milestones!$AB$22="FT",Milestones!$AA$22=FT_Y5,EDATE($D120,Milestones!$AA$22)&lt;PolicyEff),1,Milestones!$AC$22)&amp;";  ","")&amp;IF(AND(EDATE($D120,Milestones!$AA$23)&lt;=AsOfDate,EDATE($D120,Milestones!$AA$23)&gt;=SchemeStart,IF($X120=0,$AD120,IF(AND($Z120&lt;&gt;"",EDATE($D120,Milestones!$AA$23)&gt;=$Z120),$AC120,IF(AND($Y120&lt;&gt;"",EDATE($D120,Milestones!$AA$23)&gt;=$Y120),$AB120,$AA120)))=Milestones!$AB$23),UPPER(TEXT(EDATE($D120,Milestones!$AA$23),"dd mmm yy"))&amp;" "&amp;Milestones!$AB$23&amp;" "&amp;IF(AND(Milestones!$AB$23="FT",Milestones!$AA$23=FT_Y5,EDATE($D120,Milestones!$AA$23)&lt;PolicyEff),1,Milestones!$AC$23)&amp;";  ","")&amp;IF(AND(EDATE($D120,Milestones!$AA$24)&lt;=AsOfDate,EDATE($D120,Milestones!$AA$24)&gt;=SchemeStart,IF($X120=0,$AD120,IF(AND($Z120&lt;&gt;"",EDATE($D120,Milestones!$AA$24)&gt;=$Z120),$AC120,IF(AND($Y120&lt;&gt;"",EDATE($D120,Milestones!$AA$24)&gt;=$Y120),$AB120,$AA120)))=Milestones!$AB$24),UPPER(TEXT(EDATE($D120,Milestones!$AA$24),"dd mmm yy"))&amp;" "&amp;Milestones!$AB$24&amp;" "&amp;IF(AND(Milestones!$AB$24="FT",Milestones!$AA$24=FT_Y5,EDATE($D120,Milestones!$AA$24)&lt;PolicyEff),1,Milestones!$AC$24)&amp;";  ","")&amp;IF(AND(EDATE($D120,Milestones!$AA$25)&lt;=AsOfDate,EDATE($D120,Milestones!$AA$25)&gt;=SchemeStart,IF($X120=0,$AD120,IF(AND($Z120&lt;&gt;"",EDATE($D120,Milestones!$AA$25)&gt;=$Z120),$AC120,IF(AND($Y120&lt;&gt;"",EDATE($D120,Milestones!$AA$25)&gt;=$Y120),$AB120,$AA120)))=Milestones!$AB$25),UPPER(TEXT(EDATE($D120,Milestones!$AA$25),"dd mmm yy"))&amp;" "&amp;Milestones!$AB$25&amp;" "&amp;IF(AND(Milestones!$AB$25="FT",Milestones!$AA$25=FT_Y5,EDATE($D120,Milestones!$AA$25)&lt;PolicyEff),1,Milestones!$AC$25)&amp;";  ","")&amp;IF(AND(EDATE($D120,Milestones!$AA$26)&lt;=AsOfDate,EDATE($D120,Milestones!$AA$26)&gt;=SchemeStart,IF($X120=0,$AD120,IF(AND($Z120&lt;&gt;"",EDATE($D120,Milestones!$AA$26)&gt;=$Z120),$AC120,IF(AND($Y120&lt;&gt;"",EDATE($D120,Milestones!$AA$26)&gt;=$Y120),$AB120,$AA120)))=Milestones!$AB$26),UPPER(TEXT(EDATE($D120,Milestones!$AA$26),"dd mmm yy"))&amp;" "&amp;Milestones!$AB$26&amp;" "&amp;IF(AND(Milestones!$AB$26="FT",Milestones!$AA$26=FT_Y5,EDATE($D120,Milestones!$AA$26)&lt;PolicyEff),1,Milestones!$AC$26)&amp;";  ","")&amp;IF(AND(EDATE($D120,Milestones!$AA$27)&lt;=AsOfDate,EDATE($D120,Milestones!$AA$27)&gt;=SchemeStart,IF($X120=0,$AD120,IF(AND($Z120&lt;&gt;"",EDATE($D120,Milestones!$AA$27)&gt;=$Z120),$AC120,IF(AND($Y120&lt;&gt;"",EDATE($D120,Milestones!$AA$27)&gt;=$Y120),$AB120,$AA120)))=Milestones!$AB$27),UPPER(TEXT(EDATE($D120,Milestones!$AA$27),"dd mmm yy"))&amp;" "&amp;Milestones!$AB$27&amp;" "&amp;IF(AND(Milestones!$AB$27="FT",Milestones!$AA$27=FT_Y5,EDATE($D120,Milestones!$AA$27)&lt;PolicyEff),1,Milestones!$AC$27)&amp;";  ","")&amp;IF(AND(EDATE($D120,Milestones!$AA$28)&lt;=AsOfDate,EDATE($D120,Milestones!$AA$28)&gt;=SchemeStart,IF($X120=0,$AD120,IF(AND($Z120&lt;&gt;"",EDATE($D120,Milestones!$AA$28)&gt;=$Z120),$AC120,IF(AND($Y120&lt;&gt;"",EDATE($D120,Milestones!$AA$28)&gt;=$Y120),$AB120,$AA120)))=Milestones!$AB$28),UPPER(TEXT(EDATE($D120,Milestones!$AA$28),"dd mmm yy"))&amp;" "&amp;Milestones!$AB$28&amp;" "&amp;IF(AND(Milestones!$AB$28="FT",Milestones!$AA$28=FT_Y5,EDATE($D120,Milestones!$AA$28)&lt;PolicyEff),1,Milestones!$AC$28)&amp;";  ","")&amp;IF(AND(EDATE($D120,Milestones!$AA$29)&lt;=AsOfDate,EDATE($D120,Milestones!$AA$29)&gt;=SchemeStart,IF($X120=0,$AD120,IF(AND($Z120&lt;&gt;"",EDATE($D120,Milestones!$AA$29)&gt;=$Z120),$AC120,IF(AND($Y120&lt;&gt;"",EDATE($D120,Milestones!$AA$29)&gt;=$Y120),$AB120,$AA120)))=Milestones!$AB$29),UPPER(TEXT(EDATE($D120,Milestones!$AA$29),"dd mmm yy"))&amp;" "&amp;Milestones!$AB$29&amp;" "&amp;IF(AND(Milestones!$AB$29="FT",Milestones!$AA$29=FT_Y5,EDATE($D120,Milestones!$AA$29)&lt;PolicyEff),1,Milestones!$AC$29)&amp;";  ","")&amp;IF(AND(EDATE($D120,Milestones!$AA$30)&lt;=AsOfDate,EDATE($D120,Milestones!$AA$30)&gt;=SchemeStart,IF($X120=0,$AD120,IF(AND($Z120&lt;&gt;"",EDATE($D120,Milestones!$AA$30)&gt;=$Z120),$AC120,IF(AND($Y120&lt;&gt;"",EDATE($D120,Milestones!$AA$30)&gt;=$Y120),$AB120,$AA120)))=Milestones!$AB$30),UPPER(TEXT(EDATE($D120,Milestones!$AA$30),"dd mmm yy"))&amp;" "&amp;Milestones!$AB$30&amp;" "&amp;IF(AND(Milestones!$AB$30="FT",Milestones!$AA$30=FT_Y5,EDATE($D120,Milestones!$AA$30)&lt;PolicyEff),1,Milestones!$AC$30)&amp;";  ","")&amp;IF(AND(EDATE($D120,Milestones!$AA$31)&lt;=AsOfDate,EDATE($D120,Milestones!$AA$31)&gt;=SchemeStart,IF($X120=0,$AD120,IF(AND($Z120&lt;&gt;"",EDATE($D120,Milestones!$AA$31)&gt;=$Z120),$AC120,IF(AND($Y120&lt;&gt;"",EDATE($D120,Milestones!$AA$31)&gt;=$Y120),$AB120,$AA120)))=Milestones!$AB$31),UPPER(TEXT(EDATE($D120,Milestones!$AA$31),"dd mmm yy"))&amp;" "&amp;Milestones!$AB$31&amp;" "&amp;IF(AND(Milestones!$AB$31="FT",Milestones!$AA$31=FT_Y5,EDATE($D120,Milestones!$AA$31)&lt;PolicyEff),1,Milestones!$AC$31)&amp;";  ",""))</f>
        <v/>
      </c>
      <c r="J120" s="0" t="str">
        <f aca="false">IF(OR($A120="",$D120=""),"",IF(AND(EDATE($D120,Milestones!$AA$32)&lt;=AsOfDate,EDATE($D120,Milestones!$AA$32)&gt;=SchemeStart,IF($X120=0,$AD120,IF(AND($Z120&lt;&gt;"",EDATE($D120,Milestones!$AA$32)&gt;=$Z120),$AC120,IF(AND($Y120&lt;&gt;"",EDATE($D120,Milestones!$AA$32)&gt;=$Y120),$AB120,$AA120)))=Milestones!$AB$32),UPPER(TEXT(EDATE($D120,Milestones!$AA$32),"dd mmm yy"))&amp;" "&amp;Milestones!$AB$32&amp;" "&amp;IF(AND(Milestones!$AB$32="FT",Milestones!$AA$32=FT_Y5,EDATE($D120,Milestones!$AA$32)&lt;PolicyEff),1,Milestones!$AC$32)&amp;";  ","")&amp;IF(AND(EDATE($D120,Milestones!$AA$33)&lt;=AsOfDate,EDATE($D120,Milestones!$AA$33)&gt;=SchemeStart,IF($X120=0,$AD120,IF(AND($Z120&lt;&gt;"",EDATE($D120,Milestones!$AA$33)&gt;=$Z120),$AC120,IF(AND($Y120&lt;&gt;"",EDATE($D120,Milestones!$AA$33)&gt;=$Y120),$AB120,$AA120)))=Milestones!$AB$33),UPPER(TEXT(EDATE($D120,Milestones!$AA$33),"dd mmm yy"))&amp;" "&amp;Milestones!$AB$33&amp;" "&amp;IF(AND(Milestones!$AB$33="FT",Milestones!$AA$33=FT_Y5,EDATE($D120,Milestones!$AA$33)&lt;PolicyEff),1,Milestones!$AC$33)&amp;";  ","")&amp;IF(AND(EDATE($D120,Milestones!$AA$34)&lt;=AsOfDate,EDATE($D120,Milestones!$AA$34)&gt;=SchemeStart,IF($X120=0,$AD120,IF(AND($Z120&lt;&gt;"",EDATE($D120,Milestones!$AA$34)&gt;=$Z120),$AC120,IF(AND($Y120&lt;&gt;"",EDATE($D120,Milestones!$AA$34)&gt;=$Y120),$AB120,$AA120)))=Milestones!$AB$34),UPPER(TEXT(EDATE($D120,Milestones!$AA$34),"dd mmm yy"))&amp;" "&amp;Milestones!$AB$34&amp;" "&amp;IF(AND(Milestones!$AB$34="FT",Milestones!$AA$34=FT_Y5,EDATE($D120,Milestones!$AA$34)&lt;PolicyEff),1,Milestones!$AC$34)&amp;";  ","")&amp;IF(AND(EDATE($D120,Milestones!$AA$35)&lt;=AsOfDate,EDATE($D120,Milestones!$AA$35)&gt;=SchemeStart,IF($X120=0,$AD120,IF(AND($Z120&lt;&gt;"",EDATE($D120,Milestones!$AA$35)&gt;=$Z120),$AC120,IF(AND($Y120&lt;&gt;"",EDATE($D120,Milestones!$AA$35)&gt;=$Y120),$AB120,$AA120)))=Milestones!$AB$35),UPPER(TEXT(EDATE($D120,Milestones!$AA$35),"dd mmm yy"))&amp;" "&amp;Milestones!$AB$35&amp;" "&amp;IF(AND(Milestones!$AB$35="FT",Milestones!$AA$35=FT_Y5,EDATE($D120,Milestones!$AA$35)&lt;PolicyEff),1,Milestones!$AC$35)&amp;";  ","")&amp;IF(AND(EDATE($D120,Milestones!$AA$36)&lt;=AsOfDate,EDATE($D120,Milestones!$AA$36)&gt;=SchemeStart,IF($X120=0,$AD120,IF(AND($Z120&lt;&gt;"",EDATE($D120,Milestones!$AA$36)&gt;=$Z120),$AC120,IF(AND($Y120&lt;&gt;"",EDATE($D120,Milestones!$AA$36)&gt;=$Y120),$AB120,$AA120)))=Milestones!$AB$36),UPPER(TEXT(EDATE($D120,Milestones!$AA$36),"dd mmm yy"))&amp;" "&amp;Milestones!$AB$36&amp;" "&amp;IF(AND(Milestones!$AB$36="FT",Milestones!$AA$36=FT_Y5,EDATE($D120,Milestones!$AA$36)&lt;PolicyEff),1,Milestones!$AC$36)&amp;";  ","")&amp;IF(AND(EDATE($D120,Milestones!$AA$37)&lt;=AsOfDate,EDATE($D120,Milestones!$AA$37)&gt;=SchemeStart,IF($X120=0,$AD120,IF(AND($Z120&lt;&gt;"",EDATE($D120,Milestones!$AA$37)&gt;=$Z120),$AC120,IF(AND($Y120&lt;&gt;"",EDATE($D120,Milestones!$AA$37)&gt;=$Y120),$AB120,$AA120)))=Milestones!$AB$37),UPPER(TEXT(EDATE($D120,Milestones!$AA$37),"dd mmm yy"))&amp;" "&amp;Milestones!$AB$37&amp;" "&amp;IF(AND(Milestones!$AB$37="FT",Milestones!$AA$37=FT_Y5,EDATE($D120,Milestones!$AA$37)&lt;PolicyEff),1,Milestones!$AC$37)&amp;";  ","")&amp;IF(AND(EDATE($D120,Milestones!$AA$38)&lt;=AsOfDate,EDATE($D120,Milestones!$AA$38)&gt;=SchemeStart,IF($X120=0,$AD120,IF(AND($Z120&lt;&gt;"",EDATE($D120,Milestones!$AA$38)&gt;=$Z120),$AC120,IF(AND($Y120&lt;&gt;"",EDATE($D120,Milestones!$AA$38)&gt;=$Y120),$AB120,$AA120)))=Milestones!$AB$38),UPPER(TEXT(EDATE($D120,Milestones!$AA$38),"dd mmm yy"))&amp;" "&amp;Milestones!$AB$38&amp;" "&amp;IF(AND(Milestones!$AB$38="FT",Milestones!$AA$38=FT_Y5,EDATE($D120,Milestones!$AA$38)&lt;PolicyEff),1,Milestones!$AC$38)&amp;";  ","")&amp;IF(AND(EDATE($D120,Milestones!$AA$39)&lt;=AsOfDate,EDATE($D120,Milestones!$AA$39)&gt;=SchemeStart,IF($X120=0,$AD120,IF(AND($Z120&lt;&gt;"",EDATE($D120,Milestones!$AA$39)&gt;=$Z120),$AC120,IF(AND($Y120&lt;&gt;"",EDATE($D120,Milestones!$AA$39)&gt;=$Y120),$AB120,$AA120)))=Milestones!$AB$39),UPPER(TEXT(EDATE($D120,Milestones!$AA$39),"dd mmm yy"))&amp;" "&amp;Milestones!$AB$39&amp;" "&amp;IF(AND(Milestones!$AB$39="FT",Milestones!$AA$39=FT_Y5,EDATE($D120,Milestones!$AA$39)&lt;PolicyEff),1,Milestones!$AC$39)&amp;";  ","")&amp;IF(AND(EDATE($D120,Milestones!$AA$40)&lt;=AsOfDate,EDATE($D120,Milestones!$AA$40)&gt;=SchemeStart,IF($X120=0,$AD120,IF(AND($Z120&lt;&gt;"",EDATE($D120,Milestones!$AA$40)&gt;=$Z120),$AC120,IF(AND($Y120&lt;&gt;"",EDATE($D120,Milestones!$AA$40)&gt;=$Y120),$AB120,$AA120)))=Milestones!$AB$40),UPPER(TEXT(EDATE($D120,Milestones!$AA$40),"dd mmm yy"))&amp;" "&amp;Milestones!$AB$40&amp;" "&amp;IF(AND(Milestones!$AB$40="FT",Milestones!$AA$40=FT_Y5,EDATE($D120,Milestones!$AA$40)&lt;PolicyEff),1,Milestones!$AC$40)&amp;";  ","")&amp;IF(AND(EDATE($D120,Milestones!$AA$41)&lt;=AsOfDate,EDATE($D120,Milestones!$AA$41)&gt;=SchemeStart,IF($X120=0,$AD120,IF(AND($Z120&lt;&gt;"",EDATE($D120,Milestones!$AA$41)&gt;=$Z120),$AC120,IF(AND($Y120&lt;&gt;"",EDATE($D120,Milestones!$AA$41)&gt;=$Y120),$AB120,$AA120)))=Milestones!$AB$41),UPPER(TEXT(EDATE($D120,Milestones!$AA$41),"dd mmm yy"))&amp;" "&amp;Milestones!$AB$41&amp;" "&amp;IF(AND(Milestones!$AB$41="FT",Milestones!$AA$41=FT_Y5,EDATE($D120,Milestones!$AA$41)&lt;PolicyEff),1,Milestones!$AC$41)&amp;";  ","")&amp;IF(AND(EDATE($D120,Milestones!$AA$42)&lt;=AsOfDate,EDATE($D120,Milestones!$AA$42)&gt;=SchemeStart,IF($X120=0,$AD120,IF(AND($Z120&lt;&gt;"",EDATE($D120,Milestones!$AA$42)&gt;=$Z120),$AC120,IF(AND($Y120&lt;&gt;"",EDATE($D120,Milestones!$AA$42)&gt;=$Y120),$AB120,$AA120)))=Milestones!$AB$42),UPPER(TEXT(EDATE($D120,Milestones!$AA$42),"dd mmm yy"))&amp;" "&amp;Milestones!$AB$42&amp;" "&amp;IF(AND(Milestones!$AB$42="FT",Milestones!$AA$42=FT_Y5,EDATE($D120,Milestones!$AA$42)&lt;PolicyEff),1,Milestones!$AC$42)&amp;";  ","")&amp;IF(AND(EDATE($D120,Milestones!$AA$43)&lt;=AsOfDate,EDATE($D120,Milestones!$AA$43)&gt;=SchemeStart,IF($X120=0,$AD120,IF(AND($Z120&lt;&gt;"",EDATE($D120,Milestones!$AA$43)&gt;=$Z120),$AC120,IF(AND($Y120&lt;&gt;"",EDATE($D120,Milestones!$AA$43)&gt;=$Y120),$AB120,$AA120)))=Milestones!$AB$43),UPPER(TEXT(EDATE($D120,Milestones!$AA$43),"dd mmm yy"))&amp;" "&amp;Milestones!$AB$43&amp;" "&amp;IF(AND(Milestones!$AB$43="FT",Milestones!$AA$43=FT_Y5,EDATE($D120,Milestones!$AA$43)&lt;PolicyEff),1,Milestones!$AC$43)&amp;";  ",""))</f>
        <v/>
      </c>
      <c r="K120" s="0" t="str">
        <f aca="false">IF(OR($A120="",$D120=""),"",IF(AND(EDATE($D120,Milestones!$AA$44)&lt;=AsOfDate,EDATE($D120,Milestones!$AA$44)&gt;=SchemeStart,IF($X120=0,$AD120,IF(AND($Z120&lt;&gt;"",EDATE($D120,Milestones!$AA$44)&gt;=$Z120),$AC120,IF(AND($Y120&lt;&gt;"",EDATE($D120,Milestones!$AA$44)&gt;=$Y120),$AB120,$AA120)))=Milestones!$AB$44),UPPER(TEXT(EDATE($D120,Milestones!$AA$44),"dd mmm yy"))&amp;" "&amp;Milestones!$AB$44&amp;" "&amp;IF(AND(Milestones!$AB$44="FT",Milestones!$AA$44=FT_Y5,EDATE($D120,Milestones!$AA$44)&lt;PolicyEff),1,Milestones!$AC$44)&amp;";  ","")&amp;IF(AND(EDATE($D120,Milestones!$AA$45)&lt;=AsOfDate,EDATE($D120,Milestones!$AA$45)&gt;=SchemeStart,IF($X120=0,$AD120,IF(AND($Z120&lt;&gt;"",EDATE($D120,Milestones!$AA$45)&gt;=$Z120),$AC120,IF(AND($Y120&lt;&gt;"",EDATE($D120,Milestones!$AA$45)&gt;=$Y120),$AB120,$AA120)))=Milestones!$AB$45),UPPER(TEXT(EDATE($D120,Milestones!$AA$45),"dd mmm yy"))&amp;" "&amp;Milestones!$AB$45&amp;" "&amp;IF(AND(Milestones!$AB$45="FT",Milestones!$AA$45=FT_Y5,EDATE($D120,Milestones!$AA$45)&lt;PolicyEff),1,Milestones!$AC$45)&amp;";  ","")&amp;IF(AND(EDATE($D120,Milestones!$AA$46)&lt;=AsOfDate,EDATE($D120,Milestones!$AA$46)&gt;=SchemeStart,IF($X120=0,$AD120,IF(AND($Z120&lt;&gt;"",EDATE($D120,Milestones!$AA$46)&gt;=$Z120),$AC120,IF(AND($Y120&lt;&gt;"",EDATE($D120,Milestones!$AA$46)&gt;=$Y120),$AB120,$AA120)))=Milestones!$AB$46),UPPER(TEXT(EDATE($D120,Milestones!$AA$46),"dd mmm yy"))&amp;" "&amp;Milestones!$AB$46&amp;" "&amp;IF(AND(Milestones!$AB$46="FT",Milestones!$AA$46=FT_Y5,EDATE($D120,Milestones!$AA$46)&lt;PolicyEff),1,Milestones!$AC$46)&amp;";  ","")&amp;IF(AND(EDATE($D120,Milestones!$AA$47)&lt;=AsOfDate,EDATE($D120,Milestones!$AA$47)&gt;=SchemeStart,IF($X120=0,$AD120,IF(AND($Z120&lt;&gt;"",EDATE($D120,Milestones!$AA$47)&gt;=$Z120),$AC120,IF(AND($Y120&lt;&gt;"",EDATE($D120,Milestones!$AA$47)&gt;=$Y120),$AB120,$AA120)))=Milestones!$AB$47),UPPER(TEXT(EDATE($D120,Milestones!$AA$47),"dd mmm yy"))&amp;" "&amp;Milestones!$AB$47&amp;" "&amp;IF(AND(Milestones!$AB$47="FT",Milestones!$AA$47=FT_Y5,EDATE($D120,Milestones!$AA$47)&lt;PolicyEff),1,Milestones!$AC$47)&amp;";  ","")&amp;IF(AND(EDATE($D120,Milestones!$AA$48)&lt;=AsOfDate,EDATE($D120,Milestones!$AA$48)&gt;=SchemeStart,IF($X120=0,$AD120,IF(AND($Z120&lt;&gt;"",EDATE($D120,Milestones!$AA$48)&gt;=$Z120),$AC120,IF(AND($Y120&lt;&gt;"",EDATE($D120,Milestones!$AA$48)&gt;=$Y120),$AB120,$AA120)))=Milestones!$AB$48),UPPER(TEXT(EDATE($D120,Milestones!$AA$48),"dd mmm yy"))&amp;" "&amp;Milestones!$AB$48&amp;" "&amp;IF(AND(Milestones!$AB$48="FT",Milestones!$AA$48=FT_Y5,EDATE($D120,Milestones!$AA$48)&lt;PolicyEff),1,Milestones!$AC$48)&amp;";  ","")&amp;IF(AND(EDATE($D120,Milestones!$AA$49)&lt;=AsOfDate,EDATE($D120,Milestones!$AA$49)&gt;=SchemeStart,IF($X120=0,$AD120,IF(AND($Z120&lt;&gt;"",EDATE($D120,Milestones!$AA$49)&gt;=$Z120),$AC120,IF(AND($Y120&lt;&gt;"",EDATE($D120,Milestones!$AA$49)&gt;=$Y120),$AB120,$AA120)))=Milestones!$AB$49),UPPER(TEXT(EDATE($D120,Milestones!$AA$49),"dd mmm yy"))&amp;" "&amp;Milestones!$AB$49&amp;" "&amp;IF(AND(Milestones!$AB$49="FT",Milestones!$AA$49=FT_Y5,EDATE($D120,Milestones!$AA$49)&lt;PolicyEff),1,Milestones!$AC$49)&amp;";  ","")&amp;IF(AND(EDATE($D120,Milestones!$AA$50)&lt;=AsOfDate,EDATE($D120,Milestones!$AA$50)&gt;=SchemeStart,IF($X120=0,$AD120,IF(AND($Z120&lt;&gt;"",EDATE($D120,Milestones!$AA$50)&gt;=$Z120),$AC120,IF(AND($Y120&lt;&gt;"",EDATE($D120,Milestones!$AA$50)&gt;=$Y120),$AB120,$AA120)))=Milestones!$AB$50),UPPER(TEXT(EDATE($D120,Milestones!$AA$50),"dd mmm yy"))&amp;" "&amp;Milestones!$AB$50&amp;" "&amp;IF(AND(Milestones!$AB$50="FT",Milestones!$AA$50=FT_Y5,EDATE($D120,Milestones!$AA$50)&lt;PolicyEff),1,Milestones!$AC$50)&amp;";  ","")&amp;IF(AND(EDATE($D120,Milestones!$AA$51)&lt;=AsOfDate,EDATE($D120,Milestones!$AA$51)&gt;=SchemeStart,IF($X120=0,$AD120,IF(AND($Z120&lt;&gt;"",EDATE($D120,Milestones!$AA$51)&gt;=$Z120),$AC120,IF(AND($Y120&lt;&gt;"",EDATE($D120,Milestones!$AA$51)&gt;=$Y120),$AB120,$AA120)))=Milestones!$AB$51),UPPER(TEXT(EDATE($D120,Milestones!$AA$51),"dd mmm yy"))&amp;" "&amp;Milestones!$AB$51&amp;" "&amp;IF(AND(Milestones!$AB$51="FT",Milestones!$AA$51=FT_Y5,EDATE($D120,Milestones!$AA$51)&lt;PolicyEff),1,Milestones!$AC$51)&amp;";  ","")&amp;IF(AND(EDATE($D120,Milestones!$AA$52)&lt;=AsOfDate,EDATE($D120,Milestones!$AA$52)&gt;=SchemeStart,IF($X120=0,$AD120,IF(AND($Z120&lt;&gt;"",EDATE($D120,Milestones!$AA$52)&gt;=$Z120),$AC120,IF(AND($Y120&lt;&gt;"",EDATE($D120,Milestones!$AA$52)&gt;=$Y120),$AB120,$AA120)))=Milestones!$AB$52),UPPER(TEXT(EDATE($D120,Milestones!$AA$52),"dd mmm yy"))&amp;" "&amp;Milestones!$AB$52&amp;" "&amp;IF(AND(Milestones!$AB$52="FT",Milestones!$AA$52=FT_Y5,EDATE($D120,Milestones!$AA$52)&lt;PolicyEff),1,Milestones!$AC$52)&amp;";  ","")&amp;IF(AND(EDATE($D120,Milestones!$AA$53)&lt;=AsOfDate,EDATE($D120,Milestones!$AA$53)&gt;=SchemeStart,IF($X120=0,$AD120,IF(AND($Z120&lt;&gt;"",EDATE($D120,Milestones!$AA$53)&gt;=$Z120),$AC120,IF(AND($Y120&lt;&gt;"",EDATE($D120,Milestones!$AA$53)&gt;=$Y120),$AB120,$AA120)))=Milestones!$AB$53),UPPER(TEXT(EDATE($D120,Milestones!$AA$53),"dd mmm yy"))&amp;" "&amp;Milestones!$AB$53&amp;" "&amp;IF(AND(Milestones!$AB$53="FT",Milestones!$AA$53=FT_Y5,EDATE($D120,Milestones!$AA$53)&lt;PolicyEff),1,Milestones!$AC$53)&amp;";  ","")&amp;IF(AND(EDATE($D120,Milestones!$AA$54)&lt;=AsOfDate,EDATE($D120,Milestones!$AA$54)&gt;=SchemeStart,IF($X120=0,$AD120,IF(AND($Z120&lt;&gt;"",EDATE($D120,Milestones!$AA$54)&gt;=$Z120),$AC120,IF(AND($Y120&lt;&gt;"",EDATE($D120,Milestones!$AA$54)&gt;=$Y120),$AB120,$AA120)))=Milestones!$AB$54),UPPER(TEXT(EDATE($D120,Milestones!$AA$54),"dd mmm yy"))&amp;" "&amp;Milestones!$AB$54&amp;" "&amp;IF(AND(Milestones!$AB$54="FT",Milestones!$AA$54=FT_Y5,EDATE($D120,Milestones!$AA$54)&lt;PolicyEff),1,Milestones!$AC$54)&amp;";  ","")&amp;IF(AND(EDATE($D120,Milestones!$AA$55)&lt;=AsOfDate,EDATE($D120,Milestones!$AA$55)&gt;=SchemeStart,IF($X120=0,$AD120,IF(AND($Z120&lt;&gt;"",EDATE($D120,Milestones!$AA$55)&gt;=$Z120),$AC120,IF(AND($Y120&lt;&gt;"",EDATE($D120,Milestones!$AA$55)&gt;=$Y120),$AB120,$AA120)))=Milestones!$AB$55),UPPER(TEXT(EDATE($D120,Milestones!$AA$55),"dd mmm yy"))&amp;" "&amp;Milestones!$AB$55&amp;" "&amp;IF(AND(Milestones!$AB$55="FT",Milestones!$AA$55=FT_Y5,EDATE($D120,Milestones!$AA$55)&lt;PolicyEff),1,Milestones!$AC$55)&amp;";  ",""))</f>
        <v/>
      </c>
      <c r="L120" s="0" t="str">
        <f aca="false">IF(OR($A120="",$D120=""),"",IF(AND(EDATE($D120,Milestones!$AA$56)&lt;=AsOfDate,EDATE($D120,Milestones!$AA$56)&gt;=SchemeStart,IF($X120=0,$AD120,IF(AND($Z120&lt;&gt;"",EDATE($D120,Milestones!$AA$56)&gt;=$Z120),$AC120,IF(AND($Y120&lt;&gt;"",EDATE($D120,Milestones!$AA$56)&gt;=$Y120),$AB120,$AA120)))=Milestones!$AB$56),UPPER(TEXT(EDATE($D120,Milestones!$AA$56),"dd mmm yy"))&amp;" "&amp;Milestones!$AB$56&amp;" "&amp;IF(AND(Milestones!$AB$56="FT",Milestones!$AA$56=FT_Y5,EDATE($D120,Milestones!$AA$56)&lt;PolicyEff),1,Milestones!$AC$56)&amp;";  ","")&amp;IF(AND(EDATE($D120,Milestones!$AA$57)&lt;=AsOfDate,EDATE($D120,Milestones!$AA$57)&gt;=SchemeStart,IF($X120=0,$AD120,IF(AND($Z120&lt;&gt;"",EDATE($D120,Milestones!$AA$57)&gt;=$Z120),$AC120,IF(AND($Y120&lt;&gt;"",EDATE($D120,Milestones!$AA$57)&gt;=$Y120),$AB120,$AA120)))=Milestones!$AB$57),UPPER(TEXT(EDATE($D120,Milestones!$AA$57),"dd mmm yy"))&amp;" "&amp;Milestones!$AB$57&amp;" "&amp;IF(AND(Milestones!$AB$57="FT",Milestones!$AA$57=FT_Y5,EDATE($D120,Milestones!$AA$57)&lt;PolicyEff),1,Milestones!$AC$57)&amp;";  ","")&amp;IF(AND(EDATE($D120,Milestones!$AA$58)&lt;=AsOfDate,EDATE($D120,Milestones!$AA$58)&gt;=SchemeStart,IF($X120=0,$AD120,IF(AND($Z120&lt;&gt;"",EDATE($D120,Milestones!$AA$58)&gt;=$Z120),$AC120,IF(AND($Y120&lt;&gt;"",EDATE($D120,Milestones!$AA$58)&gt;=$Y120),$AB120,$AA120)))=Milestones!$AB$58),UPPER(TEXT(EDATE($D120,Milestones!$AA$58),"dd mmm yy"))&amp;" "&amp;Milestones!$AB$58&amp;" "&amp;IF(AND(Milestones!$AB$58="FT",Milestones!$AA$58=FT_Y5,EDATE($D120,Milestones!$AA$58)&lt;PolicyEff),1,Milestones!$AC$58)&amp;";  ","")&amp;IF(AND(EDATE($D120,Milestones!$AA$59)&lt;=AsOfDate,EDATE($D120,Milestones!$AA$59)&gt;=SchemeStart,IF($X120=0,$AD120,IF(AND($Z120&lt;&gt;"",EDATE($D120,Milestones!$AA$59)&gt;=$Z120),$AC120,IF(AND($Y120&lt;&gt;"",EDATE($D120,Milestones!$AA$59)&gt;=$Y120),$AB120,$AA120)))=Milestones!$AB$59),UPPER(TEXT(EDATE($D120,Milestones!$AA$59),"dd mmm yy"))&amp;" "&amp;Milestones!$AB$59&amp;" "&amp;IF(AND(Milestones!$AB$59="FT",Milestones!$AA$59=FT_Y5,EDATE($D120,Milestones!$AA$59)&lt;PolicyEff),1,Milestones!$AC$59)&amp;";  ","")&amp;IF(AND(EDATE($D120,Milestones!$AA$60)&lt;=AsOfDate,EDATE($D120,Milestones!$AA$60)&gt;=SchemeStart,IF($X120=0,$AD120,IF(AND($Z120&lt;&gt;"",EDATE($D120,Milestones!$AA$60)&gt;=$Z120),$AC120,IF(AND($Y120&lt;&gt;"",EDATE($D120,Milestones!$AA$60)&gt;=$Y120),$AB120,$AA120)))=Milestones!$AB$60),UPPER(TEXT(EDATE($D120,Milestones!$AA$60),"dd mmm yy"))&amp;" "&amp;Milestones!$AB$60&amp;" "&amp;IF(AND(Milestones!$AB$60="FT",Milestones!$AA$60=FT_Y5,EDATE($D120,Milestones!$AA$60)&lt;PolicyEff),1,Milestones!$AC$60)&amp;";  ","")&amp;IF(AND(EDATE($D120,Milestones!$AA$61)&lt;=AsOfDate,EDATE($D120,Milestones!$AA$61)&gt;=SchemeStart,IF($X120=0,$AD120,IF(AND($Z120&lt;&gt;"",EDATE($D120,Milestones!$AA$61)&gt;=$Z120),$AC120,IF(AND($Y120&lt;&gt;"",EDATE($D120,Milestones!$AA$61)&gt;=$Y120),$AB120,$AA120)))=Milestones!$AB$61),UPPER(TEXT(EDATE($D120,Milestones!$AA$61),"dd mmm yy"))&amp;" "&amp;Milestones!$AB$61&amp;" "&amp;IF(AND(Milestones!$AB$61="FT",Milestones!$AA$61=FT_Y5,EDATE($D120,Milestones!$AA$61)&lt;PolicyEff),1,Milestones!$AC$61)&amp;";  ","")&amp;IF(AND(EDATE($D120,Milestones!$AA$62)&lt;=AsOfDate,EDATE($D120,Milestones!$AA$62)&gt;=SchemeStart,IF($X120=0,$AD120,IF(AND($Z120&lt;&gt;"",EDATE($D120,Milestones!$AA$62)&gt;=$Z120),$AC120,IF(AND($Y120&lt;&gt;"",EDATE($D120,Milestones!$AA$62)&gt;=$Y120),$AB120,$AA120)))=Milestones!$AB$62),UPPER(TEXT(EDATE($D120,Milestones!$AA$62),"dd mmm yy"))&amp;" "&amp;Milestones!$AB$62&amp;" "&amp;IF(AND(Milestones!$AB$62="FT",Milestones!$AA$62=FT_Y5,EDATE($D120,Milestones!$AA$62)&lt;PolicyEff),1,Milestones!$AC$62)&amp;";  ","")&amp;IF(AND(EDATE($D120,Milestones!$AA$63)&lt;=AsOfDate,EDATE($D120,Milestones!$AA$63)&gt;=SchemeStart,IF($X120=0,$AD120,IF(AND($Z120&lt;&gt;"",EDATE($D120,Milestones!$AA$63)&gt;=$Z120),$AC120,IF(AND($Y120&lt;&gt;"",EDATE($D120,Milestones!$AA$63)&gt;=$Y120),$AB120,$AA120)))=Milestones!$AB$63),UPPER(TEXT(EDATE($D120,Milestones!$AA$63),"dd mmm yy"))&amp;" "&amp;Milestones!$AB$63&amp;" "&amp;IF(AND(Milestones!$AB$63="FT",Milestones!$AA$63=FT_Y5,EDATE($D120,Milestones!$AA$63)&lt;PolicyEff),1,Milestones!$AC$63)&amp;";  ","")&amp;IF(AND(EDATE($D120,Milestones!$AA$64)&lt;=AsOfDate,EDATE($D120,Milestones!$AA$64)&gt;=SchemeStart,IF($X120=0,$AD120,IF(AND($Z120&lt;&gt;"",EDATE($D120,Milestones!$AA$64)&gt;=$Z120),$AC120,IF(AND($Y120&lt;&gt;"",EDATE($D120,Milestones!$AA$64)&gt;=$Y120),$AB120,$AA120)))=Milestones!$AB$64),UPPER(TEXT(EDATE($D120,Milestones!$AA$64),"dd mmm yy"))&amp;" "&amp;Milestones!$AB$64&amp;" "&amp;IF(AND(Milestones!$AB$64="FT",Milestones!$AA$64=FT_Y5,EDATE($D120,Milestones!$AA$64)&lt;PolicyEff),1,Milestones!$AC$64)&amp;";  ","")&amp;IF(AND(EDATE($D120,Milestones!$AA$65)&lt;=AsOfDate,EDATE($D120,Milestones!$AA$65)&gt;=SchemeStart,IF($X120=0,$AD120,IF(AND($Z120&lt;&gt;"",EDATE($D120,Milestones!$AA$65)&gt;=$Z120),$AC120,IF(AND($Y120&lt;&gt;"",EDATE($D120,Milestones!$AA$65)&gt;=$Y120),$AB120,$AA120)))=Milestones!$AB$65),UPPER(TEXT(EDATE($D120,Milestones!$AA$65),"dd mmm yy"))&amp;" "&amp;Milestones!$AB$65&amp;" "&amp;IF(AND(Milestones!$AB$65="FT",Milestones!$AA$65=FT_Y5,EDATE($D120,Milestones!$AA$65)&lt;PolicyEff),1,Milestones!$AC$65)&amp;";  ","")&amp;IF(AND(EDATE($D120,Milestones!$AA$66)&lt;=AsOfDate,EDATE($D120,Milestones!$AA$66)&gt;=SchemeStart,IF($X120=0,$AD120,IF(AND($Z120&lt;&gt;"",EDATE($D120,Milestones!$AA$66)&gt;=$Z120),$AC120,IF(AND($Y120&lt;&gt;"",EDATE($D120,Milestones!$AA$66)&gt;=$Y120),$AB120,$AA120)))=Milestones!$AB$66),UPPER(TEXT(EDATE($D120,Milestones!$AA$66),"dd mmm yy"))&amp;" "&amp;Milestones!$AB$66&amp;" "&amp;IF(AND(Milestones!$AB$66="FT",Milestones!$AA$66=FT_Y5,EDATE($D120,Milestones!$AA$66)&lt;PolicyEff),1,Milestones!$AC$66)&amp;";  ","")&amp;IF(AND(EDATE($D120,Milestones!$AA$67)&lt;=AsOfDate,EDATE($D120,Milestones!$AA$67)&gt;=SchemeStart,IF($X120=0,$AD120,IF(AND($Z120&lt;&gt;"",EDATE($D120,Milestones!$AA$67)&gt;=$Z120),$AC120,IF(AND($Y120&lt;&gt;"",EDATE($D120,Milestones!$AA$67)&gt;=$Y120),$AB120,$AA120)))=Milestones!$AB$67),UPPER(TEXT(EDATE($D120,Milestones!$AA$67),"dd mmm yy"))&amp;" "&amp;Milestones!$AB$67&amp;" "&amp;IF(AND(Milestones!$AB$67="FT",Milestones!$AA$67=FT_Y5,EDATE($D120,Milestones!$AA$67)&lt;PolicyEff),1,Milestones!$AC$67)&amp;";  ",""))</f>
        <v/>
      </c>
      <c r="M120" s="0" t="str">
        <f aca="false">IF(OR($A120="",$D120=""),"",IF(AND(EDATE($D120,Milestones!$AA$68)&lt;=AsOfDate,EDATE($D120,Milestones!$AA$68)&gt;=SchemeStart,IF($X120=0,$AD120,IF(AND($Z120&lt;&gt;"",EDATE($D120,Milestones!$AA$68)&gt;=$Z120),$AC120,IF(AND($Y120&lt;&gt;"",EDATE($D120,Milestones!$AA$68)&gt;=$Y120),$AB120,$AA120)))=Milestones!$AB$68),UPPER(TEXT(EDATE($D120,Milestones!$AA$68),"dd mmm yy"))&amp;" "&amp;Milestones!$AB$68&amp;" "&amp;IF(AND(Milestones!$AB$68="FT",Milestones!$AA$68=FT_Y5,EDATE($D120,Milestones!$AA$68)&lt;PolicyEff),1,Milestones!$AC$68)&amp;";  ","")&amp;IF(AND(EDATE($D120,Milestones!$AA$69)&lt;=AsOfDate,EDATE($D120,Milestones!$AA$69)&gt;=SchemeStart,IF($X120=0,$AD120,IF(AND($Z120&lt;&gt;"",EDATE($D120,Milestones!$AA$69)&gt;=$Z120),$AC120,IF(AND($Y120&lt;&gt;"",EDATE($D120,Milestones!$AA$69)&gt;=$Y120),$AB120,$AA120)))=Milestones!$AB$69),UPPER(TEXT(EDATE($D120,Milestones!$AA$69),"dd mmm yy"))&amp;" "&amp;Milestones!$AB$69&amp;" "&amp;IF(AND(Milestones!$AB$69="FT",Milestones!$AA$69=FT_Y5,EDATE($D120,Milestones!$AA$69)&lt;PolicyEff),1,Milestones!$AC$69)&amp;";  ","")&amp;IF(AND(EDATE($D120,Milestones!$AA$70)&lt;=AsOfDate,EDATE($D120,Milestones!$AA$70)&gt;=SchemeStart,IF($X120=0,$AD120,IF(AND($Z120&lt;&gt;"",EDATE($D120,Milestones!$AA$70)&gt;=$Z120),$AC120,IF(AND($Y120&lt;&gt;"",EDATE($D120,Milestones!$AA$70)&gt;=$Y120),$AB120,$AA120)))=Milestones!$AB$70),UPPER(TEXT(EDATE($D120,Milestones!$AA$70),"dd mmm yy"))&amp;" "&amp;Milestones!$AB$70&amp;" "&amp;IF(AND(Milestones!$AB$70="FT",Milestones!$AA$70=FT_Y5,EDATE($D120,Milestones!$AA$70)&lt;PolicyEff),1,Milestones!$AC$70)&amp;";  ","")&amp;IF(AND(EDATE($D120,Milestones!$AA$71)&lt;=AsOfDate,EDATE($D120,Milestones!$AA$71)&gt;=SchemeStart,IF($X120=0,$AD120,IF(AND($Z120&lt;&gt;"",EDATE($D120,Milestones!$AA$71)&gt;=$Z120),$AC120,IF(AND($Y120&lt;&gt;"",EDATE($D120,Milestones!$AA$71)&gt;=$Y120),$AB120,$AA120)))=Milestones!$AB$71),UPPER(TEXT(EDATE($D120,Milestones!$AA$71),"dd mmm yy"))&amp;" "&amp;Milestones!$AB$71&amp;" "&amp;IF(AND(Milestones!$AB$71="FT",Milestones!$AA$71=FT_Y5,EDATE($D120,Milestones!$AA$71)&lt;PolicyEff),1,Milestones!$AC$71)&amp;";  ","")&amp;IF(AND(EDATE($D120,Milestones!$AA$72)&lt;=AsOfDate,EDATE($D120,Milestones!$AA$72)&gt;=SchemeStart,IF($X120=0,$AD120,IF(AND($Z120&lt;&gt;"",EDATE($D120,Milestones!$AA$72)&gt;=$Z120),$AC120,IF(AND($Y120&lt;&gt;"",EDATE($D120,Milestones!$AA$72)&gt;=$Y120),$AB120,$AA120)))=Milestones!$AB$72),UPPER(TEXT(EDATE($D120,Milestones!$AA$72),"dd mmm yy"))&amp;" "&amp;Milestones!$AB$72&amp;" "&amp;IF(AND(Milestones!$AB$72="FT",Milestones!$AA$72=FT_Y5,EDATE($D120,Milestones!$AA$72)&lt;PolicyEff),1,Milestones!$AC$72)&amp;";  ","")&amp;IF(AND(EDATE($D120,Milestones!$AA$73)&lt;=AsOfDate,EDATE($D120,Milestones!$AA$73)&gt;=SchemeStart,IF($X120=0,$AD120,IF(AND($Z120&lt;&gt;"",EDATE($D120,Milestones!$AA$73)&gt;=$Z120),$AC120,IF(AND($Y120&lt;&gt;"",EDATE($D120,Milestones!$AA$73)&gt;=$Y120),$AB120,$AA120)))=Milestones!$AB$73),UPPER(TEXT(EDATE($D120,Milestones!$AA$73),"dd mmm yy"))&amp;" "&amp;Milestones!$AB$73&amp;" "&amp;IF(AND(Milestones!$AB$73="FT",Milestones!$AA$73=FT_Y5,EDATE($D120,Milestones!$AA$73)&lt;PolicyEff),1,Milestones!$AC$73)&amp;";  ","")&amp;IF(AND(EDATE($D120,Milestones!$AA$74)&lt;=AsOfDate,EDATE($D120,Milestones!$AA$74)&gt;=SchemeStart,IF($X120=0,$AD120,IF(AND($Z120&lt;&gt;"",EDATE($D120,Milestones!$AA$74)&gt;=$Z120),$AC120,IF(AND($Y120&lt;&gt;"",EDATE($D120,Milestones!$AA$74)&gt;=$Y120),$AB120,$AA120)))=Milestones!$AB$74),UPPER(TEXT(EDATE($D120,Milestones!$AA$74),"dd mmm yy"))&amp;" "&amp;Milestones!$AB$74&amp;" "&amp;IF(AND(Milestones!$AB$74="FT",Milestones!$AA$74=FT_Y5,EDATE($D120,Milestones!$AA$74)&lt;PolicyEff),1,Milestones!$AC$74)&amp;";  ","")&amp;IF(AND(EDATE($D120,Milestones!$AA$75)&lt;=AsOfDate,EDATE($D120,Milestones!$AA$75)&gt;=SchemeStart,IF($X120=0,$AD120,IF(AND($Z120&lt;&gt;"",EDATE($D120,Milestones!$AA$75)&gt;=$Z120),$AC120,IF(AND($Y120&lt;&gt;"",EDATE($D120,Milestones!$AA$75)&gt;=$Y120),$AB120,$AA120)))=Milestones!$AB$75),UPPER(TEXT(EDATE($D120,Milestones!$AA$75),"dd mmm yy"))&amp;" "&amp;Milestones!$AB$75&amp;" "&amp;IF(AND(Milestones!$AB$75="FT",Milestones!$AA$75=FT_Y5,EDATE($D120,Milestones!$AA$75)&lt;PolicyEff),1,Milestones!$AC$75)&amp;";  ","")&amp;IF(AND(EDATE($D120,Milestones!$AA$76)&lt;=AsOfDate,EDATE($D120,Milestones!$AA$76)&gt;=SchemeStart,IF($X120=0,$AD120,IF(AND($Z120&lt;&gt;"",EDATE($D120,Milestones!$AA$76)&gt;=$Z120),$AC120,IF(AND($Y120&lt;&gt;"",EDATE($D120,Milestones!$AA$76)&gt;=$Y120),$AB120,$AA120)))=Milestones!$AB$76),UPPER(TEXT(EDATE($D120,Milestones!$AA$76),"dd mmm yy"))&amp;" "&amp;Milestones!$AB$76&amp;" "&amp;IF(AND(Milestones!$AB$76="FT",Milestones!$AA$76=FT_Y5,EDATE($D120,Milestones!$AA$76)&lt;PolicyEff),1,Milestones!$AC$76)&amp;";  ","")&amp;IF(AND(EDATE($D120,Milestones!$AA$77)&lt;=AsOfDate,EDATE($D120,Milestones!$AA$77)&gt;=SchemeStart,IF($X120=0,$AD120,IF(AND($Z120&lt;&gt;"",EDATE($D120,Milestones!$AA$77)&gt;=$Z120),$AC120,IF(AND($Y120&lt;&gt;"",EDATE($D120,Milestones!$AA$77)&gt;=$Y120),$AB120,$AA120)))=Milestones!$AB$77),UPPER(TEXT(EDATE($D120,Milestones!$AA$77),"dd mmm yy"))&amp;" "&amp;Milestones!$AB$77&amp;" "&amp;IF(AND(Milestones!$AB$77="FT",Milestones!$AA$77=FT_Y5,EDATE($D120,Milestones!$AA$77)&lt;PolicyEff),1,Milestones!$AC$77)&amp;";  ","")&amp;IF(AND(EDATE($D120,Milestones!$AA$78)&lt;=AsOfDate,EDATE($D120,Milestones!$AA$78)&gt;=SchemeStart,IF($X120=0,$AD120,IF(AND($Z120&lt;&gt;"",EDATE($D120,Milestones!$AA$78)&gt;=$Z120),$AC120,IF(AND($Y120&lt;&gt;"",EDATE($D120,Milestones!$AA$78)&gt;=$Y120),$AB120,$AA120)))=Milestones!$AB$78),UPPER(TEXT(EDATE($D120,Milestones!$AA$78),"dd mmm yy"))&amp;" "&amp;Milestones!$AB$78&amp;" "&amp;IF(AND(Milestones!$AB$78="FT",Milestones!$AA$78=FT_Y5,EDATE($D120,Milestones!$AA$78)&lt;PolicyEff),1,Milestones!$AC$78)&amp;";  ","")&amp;IF(AND(EDATE($D120,Milestones!$AA$79)&lt;=AsOfDate,EDATE($D120,Milestones!$AA$79)&gt;=SchemeStart,IF($X120=0,$AD120,IF(AND($Z120&lt;&gt;"",EDATE($D120,Milestones!$AA$79)&gt;=$Z120),$AC120,IF(AND($Y120&lt;&gt;"",EDATE($D120,Milestones!$AA$79)&gt;=$Y120),$AB120,$AA120)))=Milestones!$AB$79),UPPER(TEXT(EDATE($D120,Milestones!$AA$79),"dd mmm yy"))&amp;" "&amp;Milestones!$AB$79&amp;" "&amp;IF(AND(Milestones!$AB$79="FT",Milestones!$AA$79=FT_Y5,EDATE($D120,Milestones!$AA$79)&lt;PolicyEff),1,Milestones!$AC$79)&amp;";  ",""))</f>
        <v/>
      </c>
      <c r="N120" s="0" t="str">
        <f aca="false">IF(OR($A120="",$D120=""),"",IF(AND(EDATE($D120,Milestones!$AA$80)&lt;=AsOfDate,EDATE($D120,Milestones!$AA$80)&gt;=SchemeStart,IF($X120=0,$AD120,IF(AND($Z120&lt;&gt;"",EDATE($D120,Milestones!$AA$80)&gt;=$Z120),$AC120,IF(AND($Y120&lt;&gt;"",EDATE($D120,Milestones!$AA$80)&gt;=$Y120),$AB120,$AA120)))=Milestones!$AB$80),UPPER(TEXT(EDATE($D120,Milestones!$AA$80),"dd mmm yy"))&amp;" "&amp;Milestones!$AB$80&amp;" "&amp;IF(AND(Milestones!$AB$80="FT",Milestones!$AA$80=FT_Y5,EDATE($D120,Milestones!$AA$80)&lt;PolicyEff),1,Milestones!$AC$80)&amp;";  ","")&amp;IF(AND(EDATE($D120,Milestones!$AA$81)&lt;=AsOfDate,EDATE($D120,Milestones!$AA$81)&gt;=SchemeStart,IF($X120=0,$AD120,IF(AND($Z120&lt;&gt;"",EDATE($D120,Milestones!$AA$81)&gt;=$Z120),$AC120,IF(AND($Y120&lt;&gt;"",EDATE($D120,Milestones!$AA$81)&gt;=$Y120),$AB120,$AA120)))=Milestones!$AB$81),UPPER(TEXT(EDATE($D120,Milestones!$AA$81),"dd mmm yy"))&amp;" "&amp;Milestones!$AB$81&amp;" "&amp;IF(AND(Milestones!$AB$81="FT",Milestones!$AA$81=FT_Y5,EDATE($D120,Milestones!$AA$81)&lt;PolicyEff),1,Milestones!$AC$81)&amp;";  ","")&amp;IF(AND(EDATE($D120,Milestones!$AA$82)&lt;=AsOfDate,EDATE($D120,Milestones!$AA$82)&gt;=SchemeStart,IF($X120=0,$AD120,IF(AND($Z120&lt;&gt;"",EDATE($D120,Milestones!$AA$82)&gt;=$Z120),$AC120,IF(AND($Y120&lt;&gt;"",EDATE($D120,Milestones!$AA$82)&gt;=$Y120),$AB120,$AA120)))=Milestones!$AB$82),UPPER(TEXT(EDATE($D120,Milestones!$AA$82),"dd mmm yy"))&amp;" "&amp;Milestones!$AB$82&amp;" "&amp;IF(AND(Milestones!$AB$82="FT",Milestones!$AA$82=FT_Y5,EDATE($D120,Milestones!$AA$82)&lt;PolicyEff),1,Milestones!$AC$82)&amp;";  ","")&amp;IF(AND(EDATE($D120,Milestones!$AA$83)&lt;=AsOfDate,EDATE($D120,Milestones!$AA$83)&gt;=SchemeStart,IF($X120=0,$AD120,IF(AND($Z120&lt;&gt;"",EDATE($D120,Milestones!$AA$83)&gt;=$Z120),$AC120,IF(AND($Y120&lt;&gt;"",EDATE($D120,Milestones!$AA$83)&gt;=$Y120),$AB120,$AA120)))=Milestones!$AB$83),UPPER(TEXT(EDATE($D120,Milestones!$AA$83),"dd mmm yy"))&amp;" "&amp;Milestones!$AB$83&amp;" "&amp;IF(AND(Milestones!$AB$83="FT",Milestones!$AA$83=FT_Y5,EDATE($D120,Milestones!$AA$83)&lt;PolicyEff),1,Milestones!$AC$83)&amp;";  ","")&amp;IF(AND(EDATE($D120,Milestones!$AA$84)&lt;=AsOfDate,EDATE($D120,Milestones!$AA$84)&gt;=SchemeStart,IF($X120=0,$AD120,IF(AND($Z120&lt;&gt;"",EDATE($D120,Milestones!$AA$84)&gt;=$Z120),$AC120,IF(AND($Y120&lt;&gt;"",EDATE($D120,Milestones!$AA$84)&gt;=$Y120),$AB120,$AA120)))=Milestones!$AB$84),UPPER(TEXT(EDATE($D120,Milestones!$AA$84),"dd mmm yy"))&amp;" "&amp;Milestones!$AB$84&amp;" "&amp;IF(AND(Milestones!$AB$84="FT",Milestones!$AA$84=FT_Y5,EDATE($D120,Milestones!$AA$84)&lt;PolicyEff),1,Milestones!$AC$84)&amp;";  ","")&amp;IF(AND(EDATE($D120,Milestones!$AA$85)&lt;=AsOfDate,EDATE($D120,Milestones!$AA$85)&gt;=SchemeStart,IF($X120=0,$AD120,IF(AND($Z120&lt;&gt;"",EDATE($D120,Milestones!$AA$85)&gt;=$Z120),$AC120,IF(AND($Y120&lt;&gt;"",EDATE($D120,Milestones!$AA$85)&gt;=$Y120),$AB120,$AA120)))=Milestones!$AB$85),UPPER(TEXT(EDATE($D120,Milestones!$AA$85),"dd mmm yy"))&amp;" "&amp;Milestones!$AB$85&amp;" "&amp;IF(AND(Milestones!$AB$85="FT",Milestones!$AA$85=FT_Y5,EDATE($D120,Milestones!$AA$85)&lt;PolicyEff),1,Milestones!$AC$85)&amp;";  ","")&amp;IF(AND(EDATE($D120,Milestones!$AA$86)&lt;=AsOfDate,EDATE($D120,Milestones!$AA$86)&gt;=SchemeStart,IF($X120=0,$AD120,IF(AND($Z120&lt;&gt;"",EDATE($D120,Milestones!$AA$86)&gt;=$Z120),$AC120,IF(AND($Y120&lt;&gt;"",EDATE($D120,Milestones!$AA$86)&gt;=$Y120),$AB120,$AA120)))=Milestones!$AB$86),UPPER(TEXT(EDATE($D120,Milestones!$AA$86),"dd mmm yy"))&amp;" "&amp;Milestones!$AB$86&amp;" "&amp;IF(AND(Milestones!$AB$86="FT",Milestones!$AA$86=FT_Y5,EDATE($D120,Milestones!$AA$86)&lt;PolicyEff),1,Milestones!$AC$86)&amp;";  ","")&amp;IF(AND(EDATE($D120,Milestones!$AA$87)&lt;=AsOfDate,EDATE($D120,Milestones!$AA$87)&gt;=SchemeStart,IF($X120=0,$AD120,IF(AND($Z120&lt;&gt;"",EDATE($D120,Milestones!$AA$87)&gt;=$Z120),$AC120,IF(AND($Y120&lt;&gt;"",EDATE($D120,Milestones!$AA$87)&gt;=$Y120),$AB120,$AA120)))=Milestones!$AB$87),UPPER(TEXT(EDATE($D120,Milestones!$AA$87),"dd mmm yy"))&amp;" "&amp;Milestones!$AB$87&amp;" "&amp;IF(AND(Milestones!$AB$87="FT",Milestones!$AA$87=FT_Y5,EDATE($D120,Milestones!$AA$87)&lt;PolicyEff),1,Milestones!$AC$87)&amp;";  ","")&amp;IF(AND(EDATE($D120,Milestones!$AA$88)&lt;=AsOfDate,EDATE($D120,Milestones!$AA$88)&gt;=SchemeStart,IF($X120=0,$AD120,IF(AND($Z120&lt;&gt;"",EDATE($D120,Milestones!$AA$88)&gt;=$Z120),$AC120,IF(AND($Y120&lt;&gt;"",EDATE($D120,Milestones!$AA$88)&gt;=$Y120),$AB120,$AA120)))=Milestones!$AB$88),UPPER(TEXT(EDATE($D120,Milestones!$AA$88),"dd mmm yy"))&amp;" "&amp;Milestones!$AB$88&amp;" "&amp;IF(AND(Milestones!$AB$88="FT",Milestones!$AA$88=FT_Y5,EDATE($D120,Milestones!$AA$88)&lt;PolicyEff),1,Milestones!$AC$88)&amp;";  ","")&amp;IF(AND(EDATE($D120,Milestones!$AA$89)&lt;=AsOfDate,EDATE($D120,Milestones!$AA$89)&gt;=SchemeStart,IF($X120=0,$AD120,IF(AND($Z120&lt;&gt;"",EDATE($D120,Milestones!$AA$89)&gt;=$Z120),$AC120,IF(AND($Y120&lt;&gt;"",EDATE($D120,Milestones!$AA$89)&gt;=$Y120),$AB120,$AA120)))=Milestones!$AB$89),UPPER(TEXT(EDATE($D120,Milestones!$AA$89),"dd mmm yy"))&amp;" "&amp;Milestones!$AB$89&amp;" "&amp;IF(AND(Milestones!$AB$89="FT",Milestones!$AA$89=FT_Y5,EDATE($D120,Milestones!$AA$89)&lt;PolicyEff),1,Milestones!$AC$89)&amp;";  ","")&amp;IF(AND(EDATE($D120,Milestones!$AA$90)&lt;=AsOfDate,EDATE($D120,Milestones!$AA$90)&gt;=SchemeStart,IF($X120=0,$AD120,IF(AND($Z120&lt;&gt;"",EDATE($D120,Milestones!$AA$90)&gt;=$Z120),$AC120,IF(AND($Y120&lt;&gt;"",EDATE($D120,Milestones!$AA$90)&gt;=$Y120),$AB120,$AA120)))=Milestones!$AB$90),UPPER(TEXT(EDATE($D120,Milestones!$AA$90),"dd mmm yy"))&amp;" "&amp;Milestones!$AB$90&amp;" "&amp;IF(AND(Milestones!$AB$90="FT",Milestones!$AA$90=FT_Y5,EDATE($D120,Milestones!$AA$90)&lt;PolicyEff),1,Milestones!$AC$90)&amp;";  ","")&amp;IF(AND(EDATE($D120,Milestones!$AA$91)&lt;=AsOfDate,EDATE($D120,Milestones!$AA$91)&gt;=SchemeStart,IF($X120=0,$AD120,IF(AND($Z120&lt;&gt;"",EDATE($D120,Milestones!$AA$91)&gt;=$Z120),$AC120,IF(AND($Y120&lt;&gt;"",EDATE($D120,Milestones!$AA$91)&gt;=$Y120),$AB120,$AA120)))=Milestones!$AB$91),UPPER(TEXT(EDATE($D120,Milestones!$AA$91),"dd mmm yy"))&amp;" "&amp;Milestones!$AB$91&amp;" "&amp;IF(AND(Milestones!$AB$91="FT",Milestones!$AA$91=FT_Y5,EDATE($D120,Milestones!$AA$91)&lt;PolicyEff),1,Milestones!$AC$91)&amp;";  ",""))</f>
        <v/>
      </c>
      <c r="O120" s="0" t="str">
        <f aca="false">IF(OR($A120="",$D120=""),"",IF(AND(EDATE($D120,Milestones!$AA$92)&lt;=AsOfDate,EDATE($D120,Milestones!$AA$92)&gt;=SchemeStart,IF($X120=0,$AD120,IF(AND($Z120&lt;&gt;"",EDATE($D120,Milestones!$AA$92)&gt;=$Z120),$AC120,IF(AND($Y120&lt;&gt;"",EDATE($D120,Milestones!$AA$92)&gt;=$Y120),$AB120,$AA120)))=Milestones!$AB$92),UPPER(TEXT(EDATE($D120,Milestones!$AA$92),"dd mmm yy"))&amp;" "&amp;Milestones!$AB$92&amp;" "&amp;IF(AND(Milestones!$AB$92="FT",Milestones!$AA$92=FT_Y5,EDATE($D120,Milestones!$AA$92)&lt;PolicyEff),1,Milestones!$AC$92)&amp;";  ","")&amp;IF(AND(EDATE($D120,Milestones!$AA$93)&lt;=AsOfDate,EDATE($D120,Milestones!$AA$93)&gt;=SchemeStart,IF($X120=0,$AD120,IF(AND($Z120&lt;&gt;"",EDATE($D120,Milestones!$AA$93)&gt;=$Z120),$AC120,IF(AND($Y120&lt;&gt;"",EDATE($D120,Milestones!$AA$93)&gt;=$Y120),$AB120,$AA120)))=Milestones!$AB$93),UPPER(TEXT(EDATE($D120,Milestones!$AA$93),"dd mmm yy"))&amp;" "&amp;Milestones!$AB$93&amp;" "&amp;IF(AND(Milestones!$AB$93="FT",Milestones!$AA$93=FT_Y5,EDATE($D120,Milestones!$AA$93)&lt;PolicyEff),1,Milestones!$AC$93)&amp;";  ","")&amp;IF(AND(EDATE($D120,Milestones!$AA$94)&lt;=AsOfDate,EDATE($D120,Milestones!$AA$94)&gt;=SchemeStart,IF($X120=0,$AD120,IF(AND($Z120&lt;&gt;"",EDATE($D120,Milestones!$AA$94)&gt;=$Z120),$AC120,IF(AND($Y120&lt;&gt;"",EDATE($D120,Milestones!$AA$94)&gt;=$Y120),$AB120,$AA120)))=Milestones!$AB$94),UPPER(TEXT(EDATE($D120,Milestones!$AA$94),"dd mmm yy"))&amp;" "&amp;Milestones!$AB$94&amp;" "&amp;IF(AND(Milestones!$AB$94="FT",Milestones!$AA$94=FT_Y5,EDATE($D120,Milestones!$AA$94)&lt;PolicyEff),1,Milestones!$AC$94)&amp;";  ","")&amp;IF(AND(EDATE($D120,Milestones!$AA$95)&lt;=AsOfDate,EDATE($D120,Milestones!$AA$95)&gt;=SchemeStart,IF($X120=0,$AD120,IF(AND($Z120&lt;&gt;"",EDATE($D120,Milestones!$AA$95)&gt;=$Z120),$AC120,IF(AND($Y120&lt;&gt;"",EDATE($D120,Milestones!$AA$95)&gt;=$Y120),$AB120,$AA120)))=Milestones!$AB$95),UPPER(TEXT(EDATE($D120,Milestones!$AA$95),"dd mmm yy"))&amp;" "&amp;Milestones!$AB$95&amp;" "&amp;IF(AND(Milestones!$AB$95="FT",Milestones!$AA$95=FT_Y5,EDATE($D120,Milestones!$AA$95)&lt;PolicyEff),1,Milestones!$AC$95)&amp;";  ","")&amp;IF(AND(EDATE($D120,Milestones!$AA$96)&lt;=AsOfDate,EDATE($D120,Milestones!$AA$96)&gt;=SchemeStart,IF($X120=0,$AD120,IF(AND($Z120&lt;&gt;"",EDATE($D120,Milestones!$AA$96)&gt;=$Z120),$AC120,IF(AND($Y120&lt;&gt;"",EDATE($D120,Milestones!$AA$96)&gt;=$Y120),$AB120,$AA120)))=Milestones!$AB$96),UPPER(TEXT(EDATE($D120,Milestones!$AA$96),"dd mmm yy"))&amp;" "&amp;Milestones!$AB$96&amp;" "&amp;IF(AND(Milestones!$AB$96="FT",Milestones!$AA$96=FT_Y5,EDATE($D120,Milestones!$AA$96)&lt;PolicyEff),1,Milestones!$AC$96)&amp;";  ","")&amp;IF(AND(EDATE($D120,Milestones!$AA$97)&lt;=AsOfDate,EDATE($D120,Milestones!$AA$97)&gt;=SchemeStart,IF($X120=0,$AD120,IF(AND($Z120&lt;&gt;"",EDATE($D120,Milestones!$AA$97)&gt;=$Z120),$AC120,IF(AND($Y120&lt;&gt;"",EDATE($D120,Milestones!$AA$97)&gt;=$Y120),$AB120,$AA120)))=Milestones!$AB$97),UPPER(TEXT(EDATE($D120,Milestones!$AA$97),"dd mmm yy"))&amp;" "&amp;Milestones!$AB$97&amp;" "&amp;IF(AND(Milestones!$AB$97="FT",Milestones!$AA$97=FT_Y5,EDATE($D120,Milestones!$AA$97)&lt;PolicyEff),1,Milestones!$AC$97)&amp;";  ","")&amp;IF(AND(EDATE($D120,Milestones!$AA$98)&lt;=AsOfDate,EDATE($D120,Milestones!$AA$98)&gt;=SchemeStart,IF($X120=0,$AD120,IF(AND($Z120&lt;&gt;"",EDATE($D120,Milestones!$AA$98)&gt;=$Z120),$AC120,IF(AND($Y120&lt;&gt;"",EDATE($D120,Milestones!$AA$98)&gt;=$Y120),$AB120,$AA120)))=Milestones!$AB$98),UPPER(TEXT(EDATE($D120,Milestones!$AA$98),"dd mmm yy"))&amp;" "&amp;Milestones!$AB$98&amp;" "&amp;IF(AND(Milestones!$AB$98="FT",Milestones!$AA$98=FT_Y5,EDATE($D120,Milestones!$AA$98)&lt;PolicyEff),1,Milestones!$AC$98)&amp;";  ","")&amp;IF(AND(EDATE($D120,Milestones!$AA$99)&lt;=AsOfDate,EDATE($D120,Milestones!$AA$99)&gt;=SchemeStart,IF($X120=0,$AD120,IF(AND($Z120&lt;&gt;"",EDATE($D120,Milestones!$AA$99)&gt;=$Z120),$AC120,IF(AND($Y120&lt;&gt;"",EDATE($D120,Milestones!$AA$99)&gt;=$Y120),$AB120,$AA120)))=Milestones!$AB$99),UPPER(TEXT(EDATE($D120,Milestones!$AA$99),"dd mmm yy"))&amp;" "&amp;Milestones!$AB$99&amp;" "&amp;IF(AND(Milestones!$AB$99="FT",Milestones!$AA$99=FT_Y5,EDATE($D120,Milestones!$AA$99)&lt;PolicyEff),1,Milestones!$AC$99)&amp;";  ","")&amp;IF(AND(EDATE($D120,Milestones!$AA$100)&lt;=AsOfDate,EDATE($D120,Milestones!$AA$100)&gt;=SchemeStart,IF($X120=0,$AD120,IF(AND($Z120&lt;&gt;"",EDATE($D120,Milestones!$AA$100)&gt;=$Z120),$AC120,IF(AND($Y120&lt;&gt;"",EDATE($D120,Milestones!$AA$100)&gt;=$Y120),$AB120,$AA120)))=Milestones!$AB$100),UPPER(TEXT(EDATE($D120,Milestones!$AA$100),"dd mmm yy"))&amp;" "&amp;Milestones!$AB$100&amp;" "&amp;IF(AND(Milestones!$AB$100="FT",Milestones!$AA$100=FT_Y5,EDATE($D120,Milestones!$AA$100)&lt;PolicyEff),1,Milestones!$AC$100)&amp;";  ","")&amp;IF(AND(EDATE($D120,Milestones!$AA$101)&lt;=AsOfDate,EDATE($D120,Milestones!$AA$101)&gt;=SchemeStart,IF($X120=0,$AD120,IF(AND($Z120&lt;&gt;"",EDATE($D120,Milestones!$AA$101)&gt;=$Z120),$AC120,IF(AND($Y120&lt;&gt;"",EDATE($D120,Milestones!$AA$101)&gt;=$Y120),$AB120,$AA120)))=Milestones!$AB$101),UPPER(TEXT(EDATE($D120,Milestones!$AA$101),"dd mmm yy"))&amp;" "&amp;Milestones!$AB$101&amp;" "&amp;IF(AND(Milestones!$AB$101="FT",Milestones!$AA$101=FT_Y5,EDATE($D120,Milestones!$AA$101)&lt;PolicyEff),1,Milestones!$AC$101)&amp;";  ","")&amp;IF(AND(EDATE($D120,Milestones!$AA$102)&lt;=AsOfDate,EDATE($D120,Milestones!$AA$102)&gt;=SchemeStart,IF($X120=0,$AD120,IF(AND($Z120&lt;&gt;"",EDATE($D120,Milestones!$AA$102)&gt;=$Z120),$AC120,IF(AND($Y120&lt;&gt;"",EDATE($D120,Milestones!$AA$102)&gt;=$Y120),$AB120,$AA120)))=Milestones!$AB$102),UPPER(TEXT(EDATE($D120,Milestones!$AA$102),"dd mmm yy"))&amp;" "&amp;Milestones!$AB$102&amp;" "&amp;IF(AND(Milestones!$AB$102="FT",Milestones!$AA$102=FT_Y5,EDATE($D120,Milestones!$AA$102)&lt;PolicyEff),1,Milestones!$AC$102)&amp;";  ","")&amp;IF(AND(EDATE($D120,Milestones!$AA$103)&lt;=AsOfDate,EDATE($D120,Milestones!$AA$103)&gt;=SchemeStart,IF($X120=0,$AD120,IF(AND($Z120&lt;&gt;"",EDATE($D120,Milestones!$AA$103)&gt;=$Z120),$AC120,IF(AND($Y120&lt;&gt;"",EDATE($D120,Milestones!$AA$103)&gt;=$Y120),$AB120,$AA120)))=Milestones!$AB$103),UPPER(TEXT(EDATE($D120,Milestones!$AA$103),"dd mmm yy"))&amp;" "&amp;Milestones!$AB$103&amp;" "&amp;IF(AND(Milestones!$AB$103="FT",Milestones!$AA$103=FT_Y5,EDATE($D120,Milestones!$AA$103)&lt;PolicyEff),1,Milestones!$AC$103)&amp;";  ",""))</f>
        <v/>
      </c>
      <c r="P120" s="0" t="str">
        <f aca="false">IF(OR($A120="",$D120=""),"",IF(AND(EDATE($D120,Milestones!$AA$104)&lt;=AsOfDate,EDATE($D120,Milestones!$AA$104)&gt;=SchemeStart,IF($X120=0,$AD120,IF(AND($Z120&lt;&gt;"",EDATE($D120,Milestones!$AA$104)&gt;=$Z120),$AC120,IF(AND($Y120&lt;&gt;"",EDATE($D120,Milestones!$AA$104)&gt;=$Y120),$AB120,$AA120)))=Milestones!$AB$104),UPPER(TEXT(EDATE($D120,Milestones!$AA$104),"dd mmm yy"))&amp;" "&amp;Milestones!$AB$104&amp;" "&amp;IF(AND(Milestones!$AB$104="FT",Milestones!$AA$104=FT_Y5,EDATE($D120,Milestones!$AA$104)&lt;PolicyEff),1,Milestones!$AC$104)&amp;";  ","")&amp;IF(AND(EDATE($D120,Milestones!$AA$105)&lt;=AsOfDate,EDATE($D120,Milestones!$AA$105)&gt;=SchemeStart,IF($X120=0,$AD120,IF(AND($Z120&lt;&gt;"",EDATE($D120,Milestones!$AA$105)&gt;=$Z120),$AC120,IF(AND($Y120&lt;&gt;"",EDATE($D120,Milestones!$AA$105)&gt;=$Y120),$AB120,$AA120)))=Milestones!$AB$105),UPPER(TEXT(EDATE($D120,Milestones!$AA$105),"dd mmm yy"))&amp;" "&amp;Milestones!$AB$105&amp;" "&amp;IF(AND(Milestones!$AB$105="FT",Milestones!$AA$105=FT_Y5,EDATE($D120,Milestones!$AA$105)&lt;PolicyEff),1,Milestones!$AC$105)&amp;";  ","")&amp;IF(AND(EDATE($D120,Milestones!$AA$106)&lt;=AsOfDate,EDATE($D120,Milestones!$AA$106)&gt;=SchemeStart,IF($X120=0,$AD120,IF(AND($Z120&lt;&gt;"",EDATE($D120,Milestones!$AA$106)&gt;=$Z120),$AC120,IF(AND($Y120&lt;&gt;"",EDATE($D120,Milestones!$AA$106)&gt;=$Y120),$AB120,$AA120)))=Milestones!$AB$106),UPPER(TEXT(EDATE($D120,Milestones!$AA$106),"dd mmm yy"))&amp;" "&amp;Milestones!$AB$106&amp;" "&amp;IF(AND(Milestones!$AB$106="FT",Milestones!$AA$106=FT_Y5,EDATE($D120,Milestones!$AA$106)&lt;PolicyEff),1,Milestones!$AC$106)&amp;";  ","")&amp;IF(AND(EDATE($D120,Milestones!$AA$107)&lt;=AsOfDate,EDATE($D120,Milestones!$AA$107)&gt;=SchemeStart,IF($X120=0,$AD120,IF(AND($Z120&lt;&gt;"",EDATE($D120,Milestones!$AA$107)&gt;=$Z120),$AC120,IF(AND($Y120&lt;&gt;"",EDATE($D120,Milestones!$AA$107)&gt;=$Y120),$AB120,$AA120)))=Milestones!$AB$107),UPPER(TEXT(EDATE($D120,Milestones!$AA$107),"dd mmm yy"))&amp;" "&amp;Milestones!$AB$107&amp;" "&amp;IF(AND(Milestones!$AB$107="FT",Milestones!$AA$107=FT_Y5,EDATE($D120,Milestones!$AA$107)&lt;PolicyEff),1,Milestones!$AC$107)&amp;";  ","")&amp;IF(AND(EDATE($D120,Milestones!$AA$108)&lt;=AsOfDate,EDATE($D120,Milestones!$AA$108)&gt;=SchemeStart,IF($X120=0,$AD120,IF(AND($Z120&lt;&gt;"",EDATE($D120,Milestones!$AA$108)&gt;=$Z120),$AC120,IF(AND($Y120&lt;&gt;"",EDATE($D120,Milestones!$AA$108)&gt;=$Y120),$AB120,$AA120)))=Milestones!$AB$108),UPPER(TEXT(EDATE($D120,Milestones!$AA$108),"dd mmm yy"))&amp;" "&amp;Milestones!$AB$108&amp;" "&amp;IF(AND(Milestones!$AB$108="FT",Milestones!$AA$108=FT_Y5,EDATE($D120,Milestones!$AA$108)&lt;PolicyEff),1,Milestones!$AC$108)&amp;";  ","")&amp;IF(AND(EDATE($D120,Milestones!$AA$109)&lt;=AsOfDate,EDATE($D120,Milestones!$AA$109)&gt;=SchemeStart,IF($X120=0,$AD120,IF(AND($Z120&lt;&gt;"",EDATE($D120,Milestones!$AA$109)&gt;=$Z120),$AC120,IF(AND($Y120&lt;&gt;"",EDATE($D120,Milestones!$AA$109)&gt;=$Y120),$AB120,$AA120)))=Milestones!$AB$109),UPPER(TEXT(EDATE($D120,Milestones!$AA$109),"dd mmm yy"))&amp;" "&amp;Milestones!$AB$109&amp;" "&amp;IF(AND(Milestones!$AB$109="FT",Milestones!$AA$109=FT_Y5,EDATE($D120,Milestones!$AA$109)&lt;PolicyEff),1,Milestones!$AC$109)&amp;";  ","")&amp;IF(AND(EDATE($D120,Milestones!$AA$110)&lt;=AsOfDate,EDATE($D120,Milestones!$AA$110)&gt;=SchemeStart,IF($X120=0,$AD120,IF(AND($Z120&lt;&gt;"",EDATE($D120,Milestones!$AA$110)&gt;=$Z120),$AC120,IF(AND($Y120&lt;&gt;"",EDATE($D120,Milestones!$AA$110)&gt;=$Y120),$AB120,$AA120)))=Milestones!$AB$110),UPPER(TEXT(EDATE($D120,Milestones!$AA$110),"dd mmm yy"))&amp;" "&amp;Milestones!$AB$110&amp;" "&amp;IF(AND(Milestones!$AB$110="FT",Milestones!$AA$110=FT_Y5,EDATE($D120,Milestones!$AA$110)&lt;PolicyEff),1,Milestones!$AC$110)&amp;";  ","")&amp;IF(AND(EDATE($D120,Milestones!$AA$111)&lt;=AsOfDate,EDATE($D120,Milestones!$AA$111)&gt;=SchemeStart,IF($X120=0,$AD120,IF(AND($Z120&lt;&gt;"",EDATE($D120,Milestones!$AA$111)&gt;=$Z120),$AC120,IF(AND($Y120&lt;&gt;"",EDATE($D120,Milestones!$AA$111)&gt;=$Y120),$AB120,$AA120)))=Milestones!$AB$111),UPPER(TEXT(EDATE($D120,Milestones!$AA$111),"dd mmm yy"))&amp;" "&amp;Milestones!$AB$111&amp;" "&amp;IF(AND(Milestones!$AB$111="FT",Milestones!$AA$111=FT_Y5,EDATE($D120,Milestones!$AA$111)&lt;PolicyEff),1,Milestones!$AC$111)&amp;";  ","")&amp;IF(AND(EDATE($D120,Milestones!$AA$112)&lt;=AsOfDate,EDATE($D120,Milestones!$AA$112)&gt;=SchemeStart,IF($X120=0,$AD120,IF(AND($Z120&lt;&gt;"",EDATE($D120,Milestones!$AA$112)&gt;=$Z120),$AC120,IF(AND($Y120&lt;&gt;"",EDATE($D120,Milestones!$AA$112)&gt;=$Y120),$AB120,$AA120)))=Milestones!$AB$112),UPPER(TEXT(EDATE($D120,Milestones!$AA$112),"dd mmm yy"))&amp;" "&amp;Milestones!$AB$112&amp;" "&amp;IF(AND(Milestones!$AB$112="FT",Milestones!$AA$112=FT_Y5,EDATE($D120,Milestones!$AA$112)&lt;PolicyEff),1,Milestones!$AC$112)&amp;";  ","")&amp;IF(AND(EDATE($D120,Milestones!$AA$113)&lt;=AsOfDate,EDATE($D120,Milestones!$AA$113)&gt;=SchemeStart,IF($X120=0,$AD120,IF(AND($Z120&lt;&gt;"",EDATE($D120,Milestones!$AA$113)&gt;=$Z120),$AC120,IF(AND($Y120&lt;&gt;"",EDATE($D120,Milestones!$AA$113)&gt;=$Y120),$AB120,$AA120)))=Milestones!$AB$113),UPPER(TEXT(EDATE($D120,Milestones!$AA$113),"dd mmm yy"))&amp;" "&amp;Milestones!$AB$113&amp;" "&amp;IF(AND(Milestones!$AB$113="FT",Milestones!$AA$113=FT_Y5,EDATE($D120,Milestones!$AA$113)&lt;PolicyEff),1,Milestones!$AC$113)&amp;";  ","")&amp;IF(AND(EDATE($D120,Milestones!$AA$114)&lt;=AsOfDate,EDATE($D120,Milestones!$AA$114)&gt;=SchemeStart,IF($X120=0,$AD120,IF(AND($Z120&lt;&gt;"",EDATE($D120,Milestones!$AA$114)&gt;=$Z120),$AC120,IF(AND($Y120&lt;&gt;"",EDATE($D120,Milestones!$AA$114)&gt;=$Y120),$AB120,$AA120)))=Milestones!$AB$114),UPPER(TEXT(EDATE($D120,Milestones!$AA$114),"dd mmm yy"))&amp;" "&amp;Milestones!$AB$114&amp;" "&amp;IF(AND(Milestones!$AB$114="FT",Milestones!$AA$114=FT_Y5,EDATE($D120,Milestones!$AA$114)&lt;PolicyEff),1,Milestones!$AC$114)&amp;";  ","")&amp;IF(AND(EDATE($D120,Milestones!$AA$115)&lt;=AsOfDate,EDATE($D120,Milestones!$AA$115)&gt;=SchemeStart,IF($X120=0,$AD120,IF(AND($Z120&lt;&gt;"",EDATE($D120,Milestones!$AA$115)&gt;=$Z120),$AC120,IF(AND($Y120&lt;&gt;"",EDATE($D120,Milestones!$AA$115)&gt;=$Y120),$AB120,$AA120)))=Milestones!$AB$115),UPPER(TEXT(EDATE($D120,Milestones!$AA$115),"dd mmm yy"))&amp;" "&amp;Milestones!$AB$115&amp;" "&amp;IF(AND(Milestones!$AB$115="FT",Milestones!$AA$115=FT_Y5,EDATE($D120,Milestones!$AA$115)&lt;PolicyEff),1,Milestones!$AC$115)&amp;";  ",""))</f>
        <v/>
      </c>
      <c r="Q120" s="0" t="str">
        <f aca="false">IF(OR($A120="",$D120=""),"",IF(AND(EDATE($D120,Milestones!$AA$116)&lt;=AsOfDate,EDATE($D120,Milestones!$AA$116)&gt;=SchemeStart,IF($X120=0,$AD120,IF(AND($Z120&lt;&gt;"",EDATE($D120,Milestones!$AA$116)&gt;=$Z120),$AC120,IF(AND($Y120&lt;&gt;"",EDATE($D120,Milestones!$AA$116)&gt;=$Y120),$AB120,$AA120)))=Milestones!$AB$116),UPPER(TEXT(EDATE($D120,Milestones!$AA$116),"dd mmm yy"))&amp;" "&amp;Milestones!$AB$116&amp;" "&amp;IF(AND(Milestones!$AB$116="FT",Milestones!$AA$116=FT_Y5,EDATE($D120,Milestones!$AA$116)&lt;PolicyEff),1,Milestones!$AC$116)&amp;";  ","")&amp;IF(AND(EDATE($D120,Milestones!$AA$117)&lt;=AsOfDate,EDATE($D120,Milestones!$AA$117)&gt;=SchemeStart,IF($X120=0,$AD120,IF(AND($Z120&lt;&gt;"",EDATE($D120,Milestones!$AA$117)&gt;=$Z120),$AC120,IF(AND($Y120&lt;&gt;"",EDATE($D120,Milestones!$AA$117)&gt;=$Y120),$AB120,$AA120)))=Milestones!$AB$117),UPPER(TEXT(EDATE($D120,Milestones!$AA$117),"dd mmm yy"))&amp;" "&amp;Milestones!$AB$117&amp;" "&amp;IF(AND(Milestones!$AB$117="FT",Milestones!$AA$117=FT_Y5,EDATE($D120,Milestones!$AA$117)&lt;PolicyEff),1,Milestones!$AC$117)&amp;";  ","")&amp;IF(AND(EDATE($D120,Milestones!$AA$118)&lt;=AsOfDate,EDATE($D120,Milestones!$AA$118)&gt;=SchemeStart,IF($X120=0,$AD120,IF(AND($Z120&lt;&gt;"",EDATE($D120,Milestones!$AA$118)&gt;=$Z120),$AC120,IF(AND($Y120&lt;&gt;"",EDATE($D120,Milestones!$AA$118)&gt;=$Y120),$AB120,$AA120)))=Milestones!$AB$118),UPPER(TEXT(EDATE($D120,Milestones!$AA$118),"dd mmm yy"))&amp;" "&amp;Milestones!$AB$118&amp;" "&amp;IF(AND(Milestones!$AB$118="FT",Milestones!$AA$118=FT_Y5,EDATE($D120,Milestones!$AA$118)&lt;PolicyEff),1,Milestones!$AC$118)&amp;";  ","")&amp;IF(AND(EDATE($D120,Milestones!$AA$119)&lt;=AsOfDate,EDATE($D120,Milestones!$AA$119)&gt;=SchemeStart,IF($X120=0,$AD120,IF(AND($Z120&lt;&gt;"",EDATE($D120,Milestones!$AA$119)&gt;=$Z120),$AC120,IF(AND($Y120&lt;&gt;"",EDATE($D120,Milestones!$AA$119)&gt;=$Y120),$AB120,$AA120)))=Milestones!$AB$119),UPPER(TEXT(EDATE($D120,Milestones!$AA$119),"dd mmm yy"))&amp;" "&amp;Milestones!$AB$119&amp;" "&amp;IF(AND(Milestones!$AB$119="FT",Milestones!$AA$119=FT_Y5,EDATE($D120,Milestones!$AA$119)&lt;PolicyEff),1,Milestones!$AC$119)&amp;";  ","")&amp;IF(AND(EDATE($D120,Milestones!$AA$120)&lt;=AsOfDate,EDATE($D120,Milestones!$AA$120)&gt;=SchemeStart,IF($X120=0,$AD120,IF(AND($Z120&lt;&gt;"",EDATE($D120,Milestones!$AA$120)&gt;=$Z120),$AC120,IF(AND($Y120&lt;&gt;"",EDATE($D120,Milestones!$AA$120)&gt;=$Y120),$AB120,$AA120)))=Milestones!$AB$120),UPPER(TEXT(EDATE($D120,Milestones!$AA$120),"dd mmm yy"))&amp;" "&amp;Milestones!$AB$120&amp;" "&amp;IF(AND(Milestones!$AB$120="FT",Milestones!$AA$120=FT_Y5,EDATE($D120,Milestones!$AA$120)&lt;PolicyEff),1,Milestones!$AC$120)&amp;";  ","")&amp;IF(AND(EDATE($D120,Milestones!$AA$121)&lt;=AsOfDate,EDATE($D120,Milestones!$AA$121)&gt;=SchemeStart,IF($X120=0,$AD120,IF(AND($Z120&lt;&gt;"",EDATE($D120,Milestones!$AA$121)&gt;=$Z120),$AC120,IF(AND($Y120&lt;&gt;"",EDATE($D120,Milestones!$AA$121)&gt;=$Y120),$AB120,$AA120)))=Milestones!$AB$121),UPPER(TEXT(EDATE($D120,Milestones!$AA$121),"dd mmm yy"))&amp;" "&amp;Milestones!$AB$121&amp;" "&amp;IF(AND(Milestones!$AB$121="FT",Milestones!$AA$121=FT_Y5,EDATE($D120,Milestones!$AA$121)&lt;PolicyEff),1,Milestones!$AC$121)&amp;";  ","")&amp;IF(AND(EDATE($D120,Milestones!$AA$122)&lt;=AsOfDate,EDATE($D120,Milestones!$AA$122)&gt;=SchemeStart,IF($X120=0,$AD120,IF(AND($Z120&lt;&gt;"",EDATE($D120,Milestones!$AA$122)&gt;=$Z120),$AC120,IF(AND($Y120&lt;&gt;"",EDATE($D120,Milestones!$AA$122)&gt;=$Y120),$AB120,$AA120)))=Milestones!$AB$122),UPPER(TEXT(EDATE($D120,Milestones!$AA$122),"dd mmm yy"))&amp;" "&amp;Milestones!$AB$122&amp;" "&amp;IF(AND(Milestones!$AB$122="FT",Milestones!$AA$122=FT_Y5,EDATE($D120,Milestones!$AA$122)&lt;PolicyEff),1,Milestones!$AC$122)&amp;";  ","")&amp;IF(AND(EDATE($D120,Milestones!$AA$123)&lt;=AsOfDate,EDATE($D120,Milestones!$AA$123)&gt;=SchemeStart,IF($X120=0,$AD120,IF(AND($Z120&lt;&gt;"",EDATE($D120,Milestones!$AA$123)&gt;=$Z120),$AC120,IF(AND($Y120&lt;&gt;"",EDATE($D120,Milestones!$AA$123)&gt;=$Y120),$AB120,$AA120)))=Milestones!$AB$123),UPPER(TEXT(EDATE($D120,Milestones!$AA$123),"dd mmm yy"))&amp;" "&amp;Milestones!$AB$123&amp;" "&amp;IF(AND(Milestones!$AB$123="FT",Milestones!$AA$123=FT_Y5,EDATE($D120,Milestones!$AA$123)&lt;PolicyEff),1,Milestones!$AC$123)&amp;";  ","")&amp;IF(AND(EDATE($D120,Milestones!$AA$124)&lt;=AsOfDate,EDATE($D120,Milestones!$AA$124)&gt;=SchemeStart,IF($X120=0,$AD120,IF(AND($Z120&lt;&gt;"",EDATE($D120,Milestones!$AA$124)&gt;=$Z120),$AC120,IF(AND($Y120&lt;&gt;"",EDATE($D120,Milestones!$AA$124)&gt;=$Y120),$AB120,$AA120)))=Milestones!$AB$124),UPPER(TEXT(EDATE($D120,Milestones!$AA$124),"dd mmm yy"))&amp;" "&amp;Milestones!$AB$124&amp;" "&amp;IF(AND(Milestones!$AB$124="FT",Milestones!$AA$124=FT_Y5,EDATE($D120,Milestones!$AA$124)&lt;PolicyEff),1,Milestones!$AC$124)&amp;";  ","")&amp;IF(AND(EDATE($D120,Milestones!$AA$125)&lt;=AsOfDate,EDATE($D120,Milestones!$AA$125)&gt;=SchemeStart,IF($X120=0,$AD120,IF(AND($Z120&lt;&gt;"",EDATE($D120,Milestones!$AA$125)&gt;=$Z120),$AC120,IF(AND($Y120&lt;&gt;"",EDATE($D120,Milestones!$AA$125)&gt;=$Y120),$AB120,$AA120)))=Milestones!$AB$125),UPPER(TEXT(EDATE($D120,Milestones!$AA$125),"dd mmm yy"))&amp;" "&amp;Milestones!$AB$125&amp;" "&amp;IF(AND(Milestones!$AB$125="FT",Milestones!$AA$125=FT_Y5,EDATE($D120,Milestones!$AA$125)&lt;PolicyEff),1,Milestones!$AC$125)&amp;";  ","")&amp;IF(AND(EDATE($D120,Milestones!$AA$126)&lt;=AsOfDate,EDATE($D120,Milestones!$AA$126)&gt;=SchemeStart,IF($X120=0,$AD120,IF(AND($Z120&lt;&gt;"",EDATE($D120,Milestones!$AA$126)&gt;=$Z120),$AC120,IF(AND($Y120&lt;&gt;"",EDATE($D120,Milestones!$AA$126)&gt;=$Y120),$AB120,$AA120)))=Milestones!$AB$126),UPPER(TEXT(EDATE($D120,Milestones!$AA$126),"dd mmm yy"))&amp;" "&amp;Milestones!$AB$126&amp;" "&amp;IF(AND(Milestones!$AB$126="FT",Milestones!$AA$126=FT_Y5,EDATE($D120,Milestones!$AA$126)&lt;PolicyEff),1,Milestones!$AC$126)&amp;";  ","")&amp;IF(AND(EDATE($D120,Milestones!$AA$127)&lt;=AsOfDate,EDATE($D120,Milestones!$AA$127)&gt;=SchemeStart,IF($X120=0,$AD120,IF(AND($Z120&lt;&gt;"",EDATE($D120,Milestones!$AA$127)&gt;=$Z120),$AC120,IF(AND($Y120&lt;&gt;"",EDATE($D120,Milestones!$AA$127)&gt;=$Y120),$AB120,$AA120)))=Milestones!$AB$127),UPPER(TEXT(EDATE($D120,Milestones!$AA$127),"dd mmm yy"))&amp;" "&amp;Milestones!$AB$127&amp;" "&amp;IF(AND(Milestones!$AB$127="FT",Milestones!$AA$127=FT_Y5,EDATE($D120,Milestones!$AA$127)&lt;PolicyEff),1,Milestones!$AC$127)&amp;";  ",""))</f>
        <v/>
      </c>
      <c r="R120" s="0" t="str">
        <f aca="false">IF(OR($A120="",$D120=""),"",IF(AND(EDATE($D120,Milestones!$AA$128)&lt;=AsOfDate,EDATE($D120,Milestones!$AA$128)&gt;=SchemeStart,IF($X120=0,$AD120,IF(AND($Z120&lt;&gt;"",EDATE($D120,Milestones!$AA$128)&gt;=$Z120),$AC120,IF(AND($Y120&lt;&gt;"",EDATE($D120,Milestones!$AA$128)&gt;=$Y120),$AB120,$AA120)))=Milestones!$AB$128),UPPER(TEXT(EDATE($D120,Milestones!$AA$128),"dd mmm yy"))&amp;" "&amp;Milestones!$AB$128&amp;" "&amp;IF(AND(Milestones!$AB$128="FT",Milestones!$AA$128=FT_Y5,EDATE($D120,Milestones!$AA$128)&lt;PolicyEff),1,Milestones!$AC$128)&amp;";  ","")&amp;IF(AND(EDATE($D120,Milestones!$AA$129)&lt;=AsOfDate,EDATE($D120,Milestones!$AA$129)&gt;=SchemeStart,IF($X120=0,$AD120,IF(AND($Z120&lt;&gt;"",EDATE($D120,Milestones!$AA$129)&gt;=$Z120),$AC120,IF(AND($Y120&lt;&gt;"",EDATE($D120,Milestones!$AA$129)&gt;=$Y120),$AB120,$AA120)))=Milestones!$AB$129),UPPER(TEXT(EDATE($D120,Milestones!$AA$129),"dd mmm yy"))&amp;" "&amp;Milestones!$AB$129&amp;" "&amp;IF(AND(Milestones!$AB$129="FT",Milestones!$AA$129=FT_Y5,EDATE($D120,Milestones!$AA$129)&lt;PolicyEff),1,Milestones!$AC$129)&amp;";  ","")&amp;IF(AND(EDATE($D120,Milestones!$AA$130)&lt;=AsOfDate,EDATE($D120,Milestones!$AA$130)&gt;=SchemeStart,IF($X120=0,$AD120,IF(AND($Z120&lt;&gt;"",EDATE($D120,Milestones!$AA$130)&gt;=$Z120),$AC120,IF(AND($Y120&lt;&gt;"",EDATE($D120,Milestones!$AA$130)&gt;=$Y120),$AB120,$AA120)))=Milestones!$AB$130),UPPER(TEXT(EDATE($D120,Milestones!$AA$130),"dd mmm yy"))&amp;" "&amp;Milestones!$AB$130&amp;" "&amp;IF(AND(Milestones!$AB$130="FT",Milestones!$AA$130=FT_Y5,EDATE($D120,Milestones!$AA$130)&lt;PolicyEff),1,Milestones!$AC$130)&amp;";  ","")&amp;IF(AND(EDATE($D120,Milestones!$AA$131)&lt;=AsOfDate,EDATE($D120,Milestones!$AA$131)&gt;=SchemeStart,IF($X120=0,$AD120,IF(AND($Z120&lt;&gt;"",EDATE($D120,Milestones!$AA$131)&gt;=$Z120),$AC120,IF(AND($Y120&lt;&gt;"",EDATE($D120,Milestones!$AA$131)&gt;=$Y120),$AB120,$AA120)))=Milestones!$AB$131),UPPER(TEXT(EDATE($D120,Milestones!$AA$131),"dd mmm yy"))&amp;" "&amp;Milestones!$AB$131&amp;" "&amp;IF(AND(Milestones!$AB$131="FT",Milestones!$AA$131=FT_Y5,EDATE($D120,Milestones!$AA$131)&lt;PolicyEff),1,Milestones!$AC$131)&amp;";  ","")&amp;IF(AND(EDATE($D120,Milestones!$AA$132)&lt;=AsOfDate,EDATE($D120,Milestones!$AA$132)&gt;=SchemeStart,IF($X120=0,$AD120,IF(AND($Z120&lt;&gt;"",EDATE($D120,Milestones!$AA$132)&gt;=$Z120),$AC120,IF(AND($Y120&lt;&gt;"",EDATE($D120,Milestones!$AA$132)&gt;=$Y120),$AB120,$AA120)))=Milestones!$AB$132),UPPER(TEXT(EDATE($D120,Milestones!$AA$132),"dd mmm yy"))&amp;" "&amp;Milestones!$AB$132&amp;" "&amp;IF(AND(Milestones!$AB$132="FT",Milestones!$AA$132=FT_Y5,EDATE($D120,Milestones!$AA$132)&lt;PolicyEff),1,Milestones!$AC$132)&amp;";  ","")&amp;IF(AND(EDATE($D120,Milestones!$AA$133)&lt;=AsOfDate,EDATE($D120,Milestones!$AA$133)&gt;=SchemeStart,IF($X120=0,$AD120,IF(AND($Z120&lt;&gt;"",EDATE($D120,Milestones!$AA$133)&gt;=$Z120),$AC120,IF(AND($Y120&lt;&gt;"",EDATE($D120,Milestones!$AA$133)&gt;=$Y120),$AB120,$AA120)))=Milestones!$AB$133),UPPER(TEXT(EDATE($D120,Milestones!$AA$133),"dd mmm yy"))&amp;" "&amp;Milestones!$AB$133&amp;" "&amp;IF(AND(Milestones!$AB$133="FT",Milestones!$AA$133=FT_Y5,EDATE($D120,Milestones!$AA$133)&lt;PolicyEff),1,Milestones!$AC$133)&amp;";  ","")&amp;IF(AND(EDATE($D120,Milestones!$AA$134)&lt;=AsOfDate,EDATE($D120,Milestones!$AA$134)&gt;=SchemeStart,IF($X120=0,$AD120,IF(AND($Z120&lt;&gt;"",EDATE($D120,Milestones!$AA$134)&gt;=$Z120),$AC120,IF(AND($Y120&lt;&gt;"",EDATE($D120,Milestones!$AA$134)&gt;=$Y120),$AB120,$AA120)))=Milestones!$AB$134),UPPER(TEXT(EDATE($D120,Milestones!$AA$134),"dd mmm yy"))&amp;" "&amp;Milestones!$AB$134&amp;" "&amp;IF(AND(Milestones!$AB$134="FT",Milestones!$AA$134=FT_Y5,EDATE($D120,Milestones!$AA$134)&lt;PolicyEff),1,Milestones!$AC$134)&amp;";  ","")&amp;IF(AND(EDATE($D120,Milestones!$AA$135)&lt;=AsOfDate,EDATE($D120,Milestones!$AA$135)&gt;=SchemeStart,IF($X120=0,$AD120,IF(AND($Z120&lt;&gt;"",EDATE($D120,Milestones!$AA$135)&gt;=$Z120),$AC120,IF(AND($Y120&lt;&gt;"",EDATE($D120,Milestones!$AA$135)&gt;=$Y120),$AB120,$AA120)))=Milestones!$AB$135),UPPER(TEXT(EDATE($D120,Milestones!$AA$135),"dd mmm yy"))&amp;" "&amp;Milestones!$AB$135&amp;" "&amp;IF(AND(Milestones!$AB$135="FT",Milestones!$AA$135=FT_Y5,EDATE($D120,Milestones!$AA$135)&lt;PolicyEff),1,Milestones!$AC$135)&amp;";  ","")&amp;IF(AND(EDATE($D120,Milestones!$AA$136)&lt;=AsOfDate,EDATE($D120,Milestones!$AA$136)&gt;=SchemeStart,IF($X120=0,$AD120,IF(AND($Z120&lt;&gt;"",EDATE($D120,Milestones!$AA$136)&gt;=$Z120),$AC120,IF(AND($Y120&lt;&gt;"",EDATE($D120,Milestones!$AA$136)&gt;=$Y120),$AB120,$AA120)))=Milestones!$AB$136),UPPER(TEXT(EDATE($D120,Milestones!$AA$136),"dd mmm yy"))&amp;" "&amp;Milestones!$AB$136&amp;" "&amp;IF(AND(Milestones!$AB$136="FT",Milestones!$AA$136=FT_Y5,EDATE($D120,Milestones!$AA$136)&lt;PolicyEff),1,Milestones!$AC$136)&amp;";  ","")&amp;IF(AND(EDATE($D120,Milestones!$AA$137)&lt;=AsOfDate,EDATE($D120,Milestones!$AA$137)&gt;=SchemeStart,IF($X120=0,$AD120,IF(AND($Z120&lt;&gt;"",EDATE($D120,Milestones!$AA$137)&gt;=$Z120),$AC120,IF(AND($Y120&lt;&gt;"",EDATE($D120,Milestones!$AA$137)&gt;=$Y120),$AB120,$AA120)))=Milestones!$AB$137),UPPER(TEXT(EDATE($D120,Milestones!$AA$137),"dd mmm yy"))&amp;" "&amp;Milestones!$AB$137&amp;" "&amp;IF(AND(Milestones!$AB$137="FT",Milestones!$AA$137=FT_Y5,EDATE($D120,Milestones!$AA$137)&lt;PolicyEff),1,Milestones!$AC$137)&amp;";  ","")&amp;IF(AND(EDATE($D120,Milestones!$AA$138)&lt;=AsOfDate,EDATE($D120,Milestones!$AA$138)&gt;=SchemeStart,IF($X120=0,$AD120,IF(AND($Z120&lt;&gt;"",EDATE($D120,Milestones!$AA$138)&gt;=$Z120),$AC120,IF(AND($Y120&lt;&gt;"",EDATE($D120,Milestones!$AA$138)&gt;=$Y120),$AB120,$AA120)))=Milestones!$AB$138),UPPER(TEXT(EDATE($D120,Milestones!$AA$138),"dd mmm yy"))&amp;" "&amp;Milestones!$AB$138&amp;" "&amp;IF(AND(Milestones!$AB$138="FT",Milestones!$AA$138=FT_Y5,EDATE($D120,Milestones!$AA$138)&lt;PolicyEff),1,Milestones!$AC$138)&amp;";  ","")&amp;IF(AND(EDATE($D120,Milestones!$AA$139)&lt;=AsOfDate,EDATE($D120,Milestones!$AA$139)&gt;=SchemeStart,IF($X120=0,$AD120,IF(AND($Z120&lt;&gt;"",EDATE($D120,Milestones!$AA$139)&gt;=$Z120),$AC120,IF(AND($Y120&lt;&gt;"",EDATE($D120,Milestones!$AA$139)&gt;=$Y120),$AB120,$AA120)))=Milestones!$AB$139),UPPER(TEXT(EDATE($D120,Milestones!$AA$139),"dd mmm yy"))&amp;" "&amp;Milestones!$AB$139&amp;" "&amp;IF(AND(Milestones!$AB$139="FT",Milestones!$AA$139=FT_Y5,EDATE($D120,Milestones!$AA$139)&lt;PolicyEff),1,Milestones!$AC$139)&amp;";  ",""))</f>
        <v/>
      </c>
      <c r="S120" s="0" t="str">
        <f aca="false">IF(OR($A120="",$D120=""),"",IF(AND(EDATE($D120,Milestones!$AA$140)&lt;=AsOfDate,EDATE($D120,Milestones!$AA$140)&gt;=SchemeStart,IF($X120=0,$AD120,IF(AND($Z120&lt;&gt;"",EDATE($D120,Milestones!$AA$140)&gt;=$Z120),$AC120,IF(AND($Y120&lt;&gt;"",EDATE($D120,Milestones!$AA$140)&gt;=$Y120),$AB120,$AA120)))=Milestones!$AB$140),UPPER(TEXT(EDATE($D120,Milestones!$AA$140),"dd mmm yy"))&amp;" "&amp;Milestones!$AB$140&amp;" "&amp;IF(AND(Milestones!$AB$140="FT",Milestones!$AA$140=FT_Y5,EDATE($D120,Milestones!$AA$140)&lt;PolicyEff),1,Milestones!$AC$140)&amp;";  ","")&amp;IF(AND(EDATE($D120,Milestones!$AA$141)&lt;=AsOfDate,EDATE($D120,Milestones!$AA$141)&gt;=SchemeStart,IF($X120=0,$AD120,IF(AND($Z120&lt;&gt;"",EDATE($D120,Milestones!$AA$141)&gt;=$Z120),$AC120,IF(AND($Y120&lt;&gt;"",EDATE($D120,Milestones!$AA$141)&gt;=$Y120),$AB120,$AA120)))=Milestones!$AB$141),UPPER(TEXT(EDATE($D120,Milestones!$AA$141),"dd mmm yy"))&amp;" "&amp;Milestones!$AB$141&amp;" "&amp;IF(AND(Milestones!$AB$141="FT",Milestones!$AA$141=FT_Y5,EDATE($D120,Milestones!$AA$141)&lt;PolicyEff),1,Milestones!$AC$141)&amp;";  ","")&amp;IF(AND(EDATE($D120,Milestones!$AA$142)&lt;=AsOfDate,EDATE($D120,Milestones!$AA$142)&gt;=SchemeStart,IF($X120=0,$AD120,IF(AND($Z120&lt;&gt;"",EDATE($D120,Milestones!$AA$142)&gt;=$Z120),$AC120,IF(AND($Y120&lt;&gt;"",EDATE($D120,Milestones!$AA$142)&gt;=$Y120),$AB120,$AA120)))=Milestones!$AB$142),UPPER(TEXT(EDATE($D120,Milestones!$AA$142),"dd mmm yy"))&amp;" "&amp;Milestones!$AB$142&amp;" "&amp;IF(AND(Milestones!$AB$142="FT",Milestones!$AA$142=FT_Y5,EDATE($D120,Milestones!$AA$142)&lt;PolicyEff),1,Milestones!$AC$142)&amp;";  ","")&amp;IF(AND(EDATE($D120,Milestones!$AA$143)&lt;=AsOfDate,EDATE($D120,Milestones!$AA$143)&gt;=SchemeStart,IF($X120=0,$AD120,IF(AND($Z120&lt;&gt;"",EDATE($D120,Milestones!$AA$143)&gt;=$Z120),$AC120,IF(AND($Y120&lt;&gt;"",EDATE($D120,Milestones!$AA$143)&gt;=$Y120),$AB120,$AA120)))=Milestones!$AB$143),UPPER(TEXT(EDATE($D120,Milestones!$AA$143),"dd mmm yy"))&amp;" "&amp;Milestones!$AB$143&amp;" "&amp;IF(AND(Milestones!$AB$143="FT",Milestones!$AA$143=FT_Y5,EDATE($D120,Milestones!$AA$143)&lt;PolicyEff),1,Milestones!$AC$143)&amp;";  ","")&amp;IF(AND(EDATE($D120,Milestones!$AA$144)&lt;=AsOfDate,EDATE($D120,Milestones!$AA$144)&gt;=SchemeStart,IF($X120=0,$AD120,IF(AND($Z120&lt;&gt;"",EDATE($D120,Milestones!$AA$144)&gt;=$Z120),$AC120,IF(AND($Y120&lt;&gt;"",EDATE($D120,Milestones!$AA$144)&gt;=$Y120),$AB120,$AA120)))=Milestones!$AB$144),UPPER(TEXT(EDATE($D120,Milestones!$AA$144),"dd mmm yy"))&amp;" "&amp;Milestones!$AB$144&amp;" "&amp;IF(AND(Milestones!$AB$144="FT",Milestones!$AA$144=FT_Y5,EDATE($D120,Milestones!$AA$144)&lt;PolicyEff),1,Milestones!$AC$144)&amp;";  ","")&amp;IF(AND(EDATE($D120,Milestones!$AA$145)&lt;=AsOfDate,EDATE($D120,Milestones!$AA$145)&gt;=SchemeStart,IF($X120=0,$AD120,IF(AND($Z120&lt;&gt;"",EDATE($D120,Milestones!$AA$145)&gt;=$Z120),$AC120,IF(AND($Y120&lt;&gt;"",EDATE($D120,Milestones!$AA$145)&gt;=$Y120),$AB120,$AA120)))=Milestones!$AB$145),UPPER(TEXT(EDATE($D120,Milestones!$AA$145),"dd mmm yy"))&amp;" "&amp;Milestones!$AB$145&amp;" "&amp;IF(AND(Milestones!$AB$145="FT",Milestones!$AA$145=FT_Y5,EDATE($D120,Milestones!$AA$145)&lt;PolicyEff),1,Milestones!$AC$145)&amp;";  ","")&amp;IF(AND(EDATE($D120,Milestones!$AA$146)&lt;=AsOfDate,EDATE($D120,Milestones!$AA$146)&gt;=SchemeStart,IF($X120=0,$AD120,IF(AND($Z120&lt;&gt;"",EDATE($D120,Milestones!$AA$146)&gt;=$Z120),$AC120,IF(AND($Y120&lt;&gt;"",EDATE($D120,Milestones!$AA$146)&gt;=$Y120),$AB120,$AA120)))=Milestones!$AB$146),UPPER(TEXT(EDATE($D120,Milestones!$AA$146),"dd mmm yy"))&amp;" "&amp;Milestones!$AB$146&amp;" "&amp;IF(AND(Milestones!$AB$146="FT",Milestones!$AA$146=FT_Y5,EDATE($D120,Milestones!$AA$146)&lt;PolicyEff),1,Milestones!$AC$146)&amp;";  ","")&amp;IF(AND(EDATE($D120,Milestones!$AA$147)&lt;=AsOfDate,EDATE($D120,Milestones!$AA$147)&gt;=SchemeStart,IF($X120=0,$AD120,IF(AND($Z120&lt;&gt;"",EDATE($D120,Milestones!$AA$147)&gt;=$Z120),$AC120,IF(AND($Y120&lt;&gt;"",EDATE($D120,Milestones!$AA$147)&gt;=$Y120),$AB120,$AA120)))=Milestones!$AB$147),UPPER(TEXT(EDATE($D120,Milestones!$AA$147),"dd mmm yy"))&amp;" "&amp;Milestones!$AB$147&amp;" "&amp;IF(AND(Milestones!$AB$147="FT",Milestones!$AA$147=FT_Y5,EDATE($D120,Milestones!$AA$147)&lt;PolicyEff),1,Milestones!$AC$147)&amp;";  ","")&amp;IF(AND(EDATE($D120,Milestones!$AA$148)&lt;=AsOfDate,EDATE($D120,Milestones!$AA$148)&gt;=SchemeStart,IF($X120=0,$AD120,IF(AND($Z120&lt;&gt;"",EDATE($D120,Milestones!$AA$148)&gt;=$Z120),$AC120,IF(AND($Y120&lt;&gt;"",EDATE($D120,Milestones!$AA$148)&gt;=$Y120),$AB120,$AA120)))=Milestones!$AB$148),UPPER(TEXT(EDATE($D120,Milestones!$AA$148),"dd mmm yy"))&amp;" "&amp;Milestones!$AB$148&amp;" "&amp;IF(AND(Milestones!$AB$148="FT",Milestones!$AA$148=FT_Y5,EDATE($D120,Milestones!$AA$148)&lt;PolicyEff),1,Milestones!$AC$148)&amp;";  ","")&amp;IF(AND(EDATE($D120,Milestones!$AA$149)&lt;=AsOfDate,EDATE($D120,Milestones!$AA$149)&gt;=SchemeStart,IF($X120=0,$AD120,IF(AND($Z120&lt;&gt;"",EDATE($D120,Milestones!$AA$149)&gt;=$Z120),$AC120,IF(AND($Y120&lt;&gt;"",EDATE($D120,Milestones!$AA$149)&gt;=$Y120),$AB120,$AA120)))=Milestones!$AB$149),UPPER(TEXT(EDATE($D120,Milestones!$AA$149),"dd mmm yy"))&amp;" "&amp;Milestones!$AB$149&amp;" "&amp;IF(AND(Milestones!$AB$149="FT",Milestones!$AA$149=FT_Y5,EDATE($D120,Milestones!$AA$149)&lt;PolicyEff),1,Milestones!$AC$149)&amp;";  ","")&amp;IF(AND(EDATE($D120,Milestones!$AA$150)&lt;=AsOfDate,EDATE($D120,Milestones!$AA$150)&gt;=SchemeStart,IF($X120=0,$AD120,IF(AND($Z120&lt;&gt;"",EDATE($D120,Milestones!$AA$150)&gt;=$Z120),$AC120,IF(AND($Y120&lt;&gt;"",EDATE($D120,Milestones!$AA$150)&gt;=$Y120),$AB120,$AA120)))=Milestones!$AB$150),UPPER(TEXT(EDATE($D120,Milestones!$AA$150),"dd mmm yy"))&amp;" "&amp;Milestones!$AB$150&amp;" "&amp;IF(AND(Milestones!$AB$150="FT",Milestones!$AA$150=FT_Y5,EDATE($D120,Milestones!$AA$150)&lt;PolicyEff),1,Milestones!$AC$150)&amp;";  ","")&amp;IF(AND(EDATE($D120,Milestones!$AA$151)&lt;=AsOfDate,EDATE($D120,Milestones!$AA$151)&gt;=SchemeStart,IF($X120=0,$AD120,IF(AND($Z120&lt;&gt;"",EDATE($D120,Milestones!$AA$151)&gt;=$Z120),$AC120,IF(AND($Y120&lt;&gt;"",EDATE($D120,Milestones!$AA$151)&gt;=$Y120),$AB120,$AA120)))=Milestones!$AB$151),UPPER(TEXT(EDATE($D120,Milestones!$AA$151),"dd mmm yy"))&amp;" "&amp;Milestones!$AB$151&amp;" "&amp;IF(AND(Milestones!$AB$151="FT",Milestones!$AA$151=FT_Y5,EDATE($D120,Milestones!$AA$151)&lt;PolicyEff),1,Milestones!$AC$151)&amp;";  ",""))</f>
        <v/>
      </c>
      <c r="T120" s="0" t="str">
        <f aca="false">IF(OR($A120="",$D120=""),"",IF(AND(EDATE($D120,Milestones!$AA$152)&lt;=AsOfDate,EDATE($D120,Milestones!$AA$152)&gt;=SchemeStart,IF($X120=0,$AD120,IF(AND($Z120&lt;&gt;"",EDATE($D120,Milestones!$AA$152)&gt;=$Z120),$AC120,IF(AND($Y120&lt;&gt;"",EDATE($D120,Milestones!$AA$152)&gt;=$Y120),$AB120,$AA120)))=Milestones!$AB$152),UPPER(TEXT(EDATE($D120,Milestones!$AA$152),"dd mmm yy"))&amp;" "&amp;Milestones!$AB$152&amp;" "&amp;IF(AND(Milestones!$AB$152="FT",Milestones!$AA$152=FT_Y5,EDATE($D120,Milestones!$AA$152)&lt;PolicyEff),1,Milestones!$AC$152)&amp;";  ","")&amp;IF(AND(EDATE($D120,Milestones!$AA$153)&lt;=AsOfDate,EDATE($D120,Milestones!$AA$153)&gt;=SchemeStart,IF($X120=0,$AD120,IF(AND($Z120&lt;&gt;"",EDATE($D120,Milestones!$AA$153)&gt;=$Z120),$AC120,IF(AND($Y120&lt;&gt;"",EDATE($D120,Milestones!$AA$153)&gt;=$Y120),$AB120,$AA120)))=Milestones!$AB$153),UPPER(TEXT(EDATE($D120,Milestones!$AA$153),"dd mmm yy"))&amp;" "&amp;Milestones!$AB$153&amp;" "&amp;IF(AND(Milestones!$AB$153="FT",Milestones!$AA$153=FT_Y5,EDATE($D120,Milestones!$AA$153)&lt;PolicyEff),1,Milestones!$AC$153)&amp;";  ","")&amp;IF(AND(EDATE($D120,Milestones!$AA$154)&lt;=AsOfDate,EDATE($D120,Milestones!$AA$154)&gt;=SchemeStart,IF($X120=0,$AD120,IF(AND($Z120&lt;&gt;"",EDATE($D120,Milestones!$AA$154)&gt;=$Z120),$AC120,IF(AND($Y120&lt;&gt;"",EDATE($D120,Milestones!$AA$154)&gt;=$Y120),$AB120,$AA120)))=Milestones!$AB$154),UPPER(TEXT(EDATE($D120,Milestones!$AA$154),"dd mmm yy"))&amp;" "&amp;Milestones!$AB$154&amp;" "&amp;IF(AND(Milestones!$AB$154="FT",Milestones!$AA$154=FT_Y5,EDATE($D120,Milestones!$AA$154)&lt;PolicyEff),1,Milestones!$AC$154)&amp;";  ","")&amp;IF(AND(EDATE($D120,Milestones!$AA$155)&lt;=AsOfDate,EDATE($D120,Milestones!$AA$155)&gt;=SchemeStart,IF($X120=0,$AD120,IF(AND($Z120&lt;&gt;"",EDATE($D120,Milestones!$AA$155)&gt;=$Z120),$AC120,IF(AND($Y120&lt;&gt;"",EDATE($D120,Milestones!$AA$155)&gt;=$Y120),$AB120,$AA120)))=Milestones!$AB$155),UPPER(TEXT(EDATE($D120,Milestones!$AA$155),"dd mmm yy"))&amp;" "&amp;Milestones!$AB$155&amp;" "&amp;IF(AND(Milestones!$AB$155="FT",Milestones!$AA$155=FT_Y5,EDATE($D120,Milestones!$AA$155)&lt;PolicyEff),1,Milestones!$AC$155)&amp;";  ","")&amp;IF(AND(EDATE($D120,Milestones!$AA$156)&lt;=AsOfDate,EDATE($D120,Milestones!$AA$156)&gt;=SchemeStart,IF($X120=0,$AD120,IF(AND($Z120&lt;&gt;"",EDATE($D120,Milestones!$AA$156)&gt;=$Z120),$AC120,IF(AND($Y120&lt;&gt;"",EDATE($D120,Milestones!$AA$156)&gt;=$Y120),$AB120,$AA120)))=Milestones!$AB$156),UPPER(TEXT(EDATE($D120,Milestones!$AA$156),"dd mmm yy"))&amp;" "&amp;Milestones!$AB$156&amp;" "&amp;IF(AND(Milestones!$AB$156="FT",Milestones!$AA$156=FT_Y5,EDATE($D120,Milestones!$AA$156)&lt;PolicyEff),1,Milestones!$AC$156)&amp;";  ","")&amp;IF(AND(EDATE($D120,Milestones!$AA$157)&lt;=AsOfDate,EDATE($D120,Milestones!$AA$157)&gt;=SchemeStart,IF($X120=0,$AD120,IF(AND($Z120&lt;&gt;"",EDATE($D120,Milestones!$AA$157)&gt;=$Z120),$AC120,IF(AND($Y120&lt;&gt;"",EDATE($D120,Milestones!$AA$157)&gt;=$Y120),$AB120,$AA120)))=Milestones!$AB$157),UPPER(TEXT(EDATE($D120,Milestones!$AA$157),"dd mmm yy"))&amp;" "&amp;Milestones!$AB$157&amp;" "&amp;IF(AND(Milestones!$AB$157="FT",Milestones!$AA$157=FT_Y5,EDATE($D120,Milestones!$AA$157)&lt;PolicyEff),1,Milestones!$AC$157)&amp;";  ","")&amp;IF(AND(EDATE($D120,Milestones!$AA$158)&lt;=AsOfDate,EDATE($D120,Milestones!$AA$158)&gt;=SchemeStart,IF($X120=0,$AD120,IF(AND($Z120&lt;&gt;"",EDATE($D120,Milestones!$AA$158)&gt;=$Z120),$AC120,IF(AND($Y120&lt;&gt;"",EDATE($D120,Milestones!$AA$158)&gt;=$Y120),$AB120,$AA120)))=Milestones!$AB$158),UPPER(TEXT(EDATE($D120,Milestones!$AA$158),"dd mmm yy"))&amp;" "&amp;Milestones!$AB$158&amp;" "&amp;IF(AND(Milestones!$AB$158="FT",Milestones!$AA$158=FT_Y5,EDATE($D120,Milestones!$AA$158)&lt;PolicyEff),1,Milestones!$AC$158)&amp;";  ","")&amp;IF(AND(EDATE($D120,Milestones!$AA$159)&lt;=AsOfDate,EDATE($D120,Milestones!$AA$159)&gt;=SchemeStart,IF($X120=0,$AD120,IF(AND($Z120&lt;&gt;"",EDATE($D120,Milestones!$AA$159)&gt;=$Z120),$AC120,IF(AND($Y120&lt;&gt;"",EDATE($D120,Milestones!$AA$159)&gt;=$Y120),$AB120,$AA120)))=Milestones!$AB$159),UPPER(TEXT(EDATE($D120,Milestones!$AA$159),"dd mmm yy"))&amp;" "&amp;Milestones!$AB$159&amp;" "&amp;IF(AND(Milestones!$AB$159="FT",Milestones!$AA$159=FT_Y5,EDATE($D120,Milestones!$AA$159)&lt;PolicyEff),1,Milestones!$AC$159)&amp;";  ","")&amp;IF(AND(EDATE($D120,Milestones!$AA$160)&lt;=AsOfDate,EDATE($D120,Milestones!$AA$160)&gt;=SchemeStart,IF($X120=0,$AD120,IF(AND($Z120&lt;&gt;"",EDATE($D120,Milestones!$AA$160)&gt;=$Z120),$AC120,IF(AND($Y120&lt;&gt;"",EDATE($D120,Milestones!$AA$160)&gt;=$Y120),$AB120,$AA120)))=Milestones!$AB$160),UPPER(TEXT(EDATE($D120,Milestones!$AA$160),"dd mmm yy"))&amp;" "&amp;Milestones!$AB$160&amp;" "&amp;IF(AND(Milestones!$AB$160="FT",Milestones!$AA$160=FT_Y5,EDATE($D120,Milestones!$AA$160)&lt;PolicyEff),1,Milestones!$AC$160)&amp;";  ","")&amp;IF(AND(EDATE($D120,Milestones!$AA$161)&lt;=AsOfDate,EDATE($D120,Milestones!$AA$161)&gt;=SchemeStart,IF($X120=0,$AD120,IF(AND($Z120&lt;&gt;"",EDATE($D120,Milestones!$AA$161)&gt;=$Z120),$AC120,IF(AND($Y120&lt;&gt;"",EDATE($D120,Milestones!$AA$161)&gt;=$Y120),$AB120,$AA120)))=Milestones!$AB$161),UPPER(TEXT(EDATE($D120,Milestones!$AA$161),"dd mmm yy"))&amp;" "&amp;Milestones!$AB$161&amp;" "&amp;IF(AND(Milestones!$AB$161="FT",Milestones!$AA$161=FT_Y5,EDATE($D120,Milestones!$AA$161)&lt;PolicyEff),1,Milestones!$AC$161)&amp;";  ","")&amp;IF(AND(EDATE($D120,Milestones!$AA$162)&lt;=AsOfDate,EDATE($D120,Milestones!$AA$162)&gt;=SchemeStart,IF($X120=0,$AD120,IF(AND($Z120&lt;&gt;"",EDATE($D120,Milestones!$AA$162)&gt;=$Z120),$AC120,IF(AND($Y120&lt;&gt;"",EDATE($D120,Milestones!$AA$162)&gt;=$Y120),$AB120,$AA120)))=Milestones!$AB$162),UPPER(TEXT(EDATE($D120,Milestones!$AA$162),"dd mmm yy"))&amp;" "&amp;Milestones!$AB$162&amp;" "&amp;IF(AND(Milestones!$AB$162="FT",Milestones!$AA$162=FT_Y5,EDATE($D120,Milestones!$AA$162)&lt;PolicyEff),1,Milestones!$AC$162)&amp;";  ","")&amp;IF(AND(EDATE($D120,Milestones!$AA$163)&lt;=AsOfDate,EDATE($D120,Milestones!$AA$163)&gt;=SchemeStart,IF($X120=0,$AD120,IF(AND($Z120&lt;&gt;"",EDATE($D120,Milestones!$AA$163)&gt;=$Z120),$AC120,IF(AND($Y120&lt;&gt;"",EDATE($D120,Milestones!$AA$163)&gt;=$Y120),$AB120,$AA120)))=Milestones!$AB$163),UPPER(TEXT(EDATE($D120,Milestones!$AA$163),"dd mmm yy"))&amp;" "&amp;Milestones!$AB$163&amp;" "&amp;IF(AND(Milestones!$AB$163="FT",Milestones!$AA$163=FT_Y5,EDATE($D120,Milestones!$AA$163)&lt;PolicyEff),1,Milestones!$AC$163)&amp;";  ",""))</f>
        <v/>
      </c>
      <c r="U120" s="0" t="str">
        <f aca="false">IF(OR($A120="",$D120=""),"",IF(AND(EDATE($D120,Milestones!$AA$164)&lt;=AsOfDate,EDATE($D120,Milestones!$AA$164)&gt;=SchemeStart,IF($X120=0,$AD120,IF(AND($Z120&lt;&gt;"",EDATE($D120,Milestones!$AA$164)&gt;=$Z120),$AC120,IF(AND($Y120&lt;&gt;"",EDATE($D120,Milestones!$AA$164)&gt;=$Y120),$AB120,$AA120)))=Milestones!$AB$164),UPPER(TEXT(EDATE($D120,Milestones!$AA$164),"dd mmm yy"))&amp;" "&amp;Milestones!$AB$164&amp;" "&amp;IF(AND(Milestones!$AB$164="FT",Milestones!$AA$164=FT_Y5,EDATE($D120,Milestones!$AA$164)&lt;PolicyEff),1,Milestones!$AC$164)&amp;";  ","")&amp;IF(AND(EDATE($D120,Milestones!$AA$165)&lt;=AsOfDate,EDATE($D120,Milestones!$AA$165)&gt;=SchemeStart,IF($X120=0,$AD120,IF(AND($Z120&lt;&gt;"",EDATE($D120,Milestones!$AA$165)&gt;=$Z120),$AC120,IF(AND($Y120&lt;&gt;"",EDATE($D120,Milestones!$AA$165)&gt;=$Y120),$AB120,$AA120)))=Milestones!$AB$165),UPPER(TEXT(EDATE($D120,Milestones!$AA$165),"dd mmm yy"))&amp;" "&amp;Milestones!$AB$165&amp;" "&amp;IF(AND(Milestones!$AB$165="FT",Milestones!$AA$165=FT_Y5,EDATE($D120,Milestones!$AA$165)&lt;PolicyEff),1,Milestones!$AC$165)&amp;";  ","")&amp;IF(AND(EDATE($D120,Milestones!$AA$166)&lt;=AsOfDate,EDATE($D120,Milestones!$AA$166)&gt;=SchemeStart,IF($X120=0,$AD120,IF(AND($Z120&lt;&gt;"",EDATE($D120,Milestones!$AA$166)&gt;=$Z120),$AC120,IF(AND($Y120&lt;&gt;"",EDATE($D120,Milestones!$AA$166)&gt;=$Y120),$AB120,$AA120)))=Milestones!$AB$166),UPPER(TEXT(EDATE($D120,Milestones!$AA$166),"dd mmm yy"))&amp;" "&amp;Milestones!$AB$166&amp;" "&amp;IF(AND(Milestones!$AB$166="FT",Milestones!$AA$166=FT_Y5,EDATE($D120,Milestones!$AA$166)&lt;PolicyEff),1,Milestones!$AC$166)&amp;";  ","")&amp;IF(AND(EDATE($D120,Milestones!$AA$167)&lt;=AsOfDate,EDATE($D120,Milestones!$AA$167)&gt;=SchemeStart,IF($X120=0,$AD120,IF(AND($Z120&lt;&gt;"",EDATE($D120,Milestones!$AA$167)&gt;=$Z120),$AC120,IF(AND($Y120&lt;&gt;"",EDATE($D120,Milestones!$AA$167)&gt;=$Y120),$AB120,$AA120)))=Milestones!$AB$167),UPPER(TEXT(EDATE($D120,Milestones!$AA$167),"dd mmm yy"))&amp;" "&amp;Milestones!$AB$167&amp;" "&amp;IF(AND(Milestones!$AB$167="FT",Milestones!$AA$167=FT_Y5,EDATE($D120,Milestones!$AA$167)&lt;PolicyEff),1,Milestones!$AC$167)&amp;";  ","")&amp;IF(AND(EDATE($D120,Milestones!$AA$168)&lt;=AsOfDate,EDATE($D120,Milestones!$AA$168)&gt;=SchemeStart,IF($X120=0,$AD120,IF(AND($Z120&lt;&gt;"",EDATE($D120,Milestones!$AA$168)&gt;=$Z120),$AC120,IF(AND($Y120&lt;&gt;"",EDATE($D120,Milestones!$AA$168)&gt;=$Y120),$AB120,$AA120)))=Milestones!$AB$168),UPPER(TEXT(EDATE($D120,Milestones!$AA$168),"dd mmm yy"))&amp;" "&amp;Milestones!$AB$168&amp;" "&amp;IF(AND(Milestones!$AB$168="FT",Milestones!$AA$168=FT_Y5,EDATE($D120,Milestones!$AA$168)&lt;PolicyEff),1,Milestones!$AC$168)&amp;";  ","")&amp;IF(AND(EDATE($D120,Milestones!$AA$169)&lt;=AsOfDate,EDATE($D120,Milestones!$AA$169)&gt;=SchemeStart,IF($X120=0,$AD120,IF(AND($Z120&lt;&gt;"",EDATE($D120,Milestones!$AA$169)&gt;=$Z120),$AC120,IF(AND($Y120&lt;&gt;"",EDATE($D120,Milestones!$AA$169)&gt;=$Y120),$AB120,$AA120)))=Milestones!$AB$169),UPPER(TEXT(EDATE($D120,Milestones!$AA$169),"dd mmm yy"))&amp;" "&amp;Milestones!$AB$169&amp;" "&amp;IF(AND(Milestones!$AB$169="FT",Milestones!$AA$169=FT_Y5,EDATE($D120,Milestones!$AA$169)&lt;PolicyEff),1,Milestones!$AC$169)&amp;";  ","")&amp;IF(AND(EDATE($D120,Milestones!$AA$170)&lt;=AsOfDate,EDATE($D120,Milestones!$AA$170)&gt;=SchemeStart,IF($X120=0,$AD120,IF(AND($Z120&lt;&gt;"",EDATE($D120,Milestones!$AA$170)&gt;=$Z120),$AC120,IF(AND($Y120&lt;&gt;"",EDATE($D120,Milestones!$AA$170)&gt;=$Y120),$AB120,$AA120)))=Milestones!$AB$170),UPPER(TEXT(EDATE($D120,Milestones!$AA$170),"dd mmm yy"))&amp;" "&amp;Milestones!$AB$170&amp;" "&amp;IF(AND(Milestones!$AB$170="FT",Milestones!$AA$170=FT_Y5,EDATE($D120,Milestones!$AA$170)&lt;PolicyEff),1,Milestones!$AC$170)&amp;";  ","")&amp;IF(AND(EDATE($D120,Milestones!$AA$171)&lt;=AsOfDate,EDATE($D120,Milestones!$AA$171)&gt;=SchemeStart,IF($X120=0,$AD120,IF(AND($Z120&lt;&gt;"",EDATE($D120,Milestones!$AA$171)&gt;=$Z120),$AC120,IF(AND($Y120&lt;&gt;"",EDATE($D120,Milestones!$AA$171)&gt;=$Y120),$AB120,$AA120)))=Milestones!$AB$171),UPPER(TEXT(EDATE($D120,Milestones!$AA$171),"dd mmm yy"))&amp;" "&amp;Milestones!$AB$171&amp;" "&amp;IF(AND(Milestones!$AB$171="FT",Milestones!$AA$171=FT_Y5,EDATE($D120,Milestones!$AA$171)&lt;PolicyEff),1,Milestones!$AC$171)&amp;";  ","")&amp;IF(AND(EDATE($D120,Milestones!$AA$172)&lt;=AsOfDate,EDATE($D120,Milestones!$AA$172)&gt;=SchemeStart,IF($X120=0,$AD120,IF(AND($Z120&lt;&gt;"",EDATE($D120,Milestones!$AA$172)&gt;=$Z120),$AC120,IF(AND($Y120&lt;&gt;"",EDATE($D120,Milestones!$AA$172)&gt;=$Y120),$AB120,$AA120)))=Milestones!$AB$172),UPPER(TEXT(EDATE($D120,Milestones!$AA$172),"dd mmm yy"))&amp;" "&amp;Milestones!$AB$172&amp;" "&amp;IF(AND(Milestones!$AB$172="FT",Milestones!$AA$172=FT_Y5,EDATE($D120,Milestones!$AA$172)&lt;PolicyEff),1,Milestones!$AC$172)&amp;";  ","")&amp;IF(AND(EDATE($D120,Milestones!$AA$173)&lt;=AsOfDate,EDATE($D120,Milestones!$AA$173)&gt;=SchemeStart,IF($X120=0,$AD120,IF(AND($Z120&lt;&gt;"",EDATE($D120,Milestones!$AA$173)&gt;=$Z120),$AC120,IF(AND($Y120&lt;&gt;"",EDATE($D120,Milestones!$AA$173)&gt;=$Y120),$AB120,$AA120)))=Milestones!$AB$173),UPPER(TEXT(EDATE($D120,Milestones!$AA$173),"dd mmm yy"))&amp;" "&amp;Milestones!$AB$173&amp;" "&amp;IF(AND(Milestones!$AB$173="FT",Milestones!$AA$173=FT_Y5,EDATE($D120,Milestones!$AA$173)&lt;PolicyEff),1,Milestones!$AC$173)&amp;";  ","")&amp;IF(AND(EDATE($D120,Milestones!$AA$174)&lt;=AsOfDate,EDATE($D120,Milestones!$AA$174)&gt;=SchemeStart,IF($X120=0,$AD120,IF(AND($Z120&lt;&gt;"",EDATE($D120,Milestones!$AA$174)&gt;=$Z120),$AC120,IF(AND($Y120&lt;&gt;"",EDATE($D120,Milestones!$AA$174)&gt;=$Y120),$AB120,$AA120)))=Milestones!$AB$174),UPPER(TEXT(EDATE($D120,Milestones!$AA$174),"dd mmm yy"))&amp;" "&amp;Milestones!$AB$174&amp;" "&amp;IF(AND(Milestones!$AB$174="FT",Milestones!$AA$174=FT_Y5,EDATE($D120,Milestones!$AA$174)&lt;PolicyEff),1,Milestones!$AC$174)&amp;";  ","")&amp;IF(AND(EDATE($D120,Milestones!$AA$175)&lt;=AsOfDate,EDATE($D120,Milestones!$AA$175)&gt;=SchemeStart,IF($X120=0,$AD120,IF(AND($Z120&lt;&gt;"",EDATE($D120,Milestones!$AA$175)&gt;=$Z120),$AC120,IF(AND($Y120&lt;&gt;"",EDATE($D120,Milestones!$AA$175)&gt;=$Y120),$AB120,$AA120)))=Milestones!$AB$175),UPPER(TEXT(EDATE($D120,Milestones!$AA$175),"dd mmm yy"))&amp;" "&amp;Milestones!$AB$175&amp;" "&amp;IF(AND(Milestones!$AB$175="FT",Milestones!$AA$175=FT_Y5,EDATE($D120,Milestones!$AA$175)&lt;PolicyEff),1,Milestones!$AC$175)&amp;";  ",""))</f>
        <v/>
      </c>
      <c r="V120" s="0" t="str">
        <f aca="false">IF(OR($A120="",$D120=""),"",IF(AND(EDATE($D120,Milestones!$AA$176)&lt;=AsOfDate,EDATE($D120,Milestones!$AA$176)&gt;=SchemeStart,IF($X120=0,$AD120,IF(AND($Z120&lt;&gt;"",EDATE($D120,Milestones!$AA$176)&gt;=$Z120),$AC120,IF(AND($Y120&lt;&gt;"",EDATE($D120,Milestones!$AA$176)&gt;=$Y120),$AB120,$AA120)))=Milestones!$AB$176),UPPER(TEXT(EDATE($D120,Milestones!$AA$176),"dd mmm yy"))&amp;" "&amp;Milestones!$AB$176&amp;" "&amp;IF(AND(Milestones!$AB$176="FT",Milestones!$AA$176=FT_Y5,EDATE($D120,Milestones!$AA$176)&lt;PolicyEff),1,Milestones!$AC$176)&amp;";  ","")&amp;IF(AND(EDATE($D120,Milestones!$AA$177)&lt;=AsOfDate,EDATE($D120,Milestones!$AA$177)&gt;=SchemeStart,IF($X120=0,$AD120,IF(AND($Z120&lt;&gt;"",EDATE($D120,Milestones!$AA$177)&gt;=$Z120),$AC120,IF(AND($Y120&lt;&gt;"",EDATE($D120,Milestones!$AA$177)&gt;=$Y120),$AB120,$AA120)))=Milestones!$AB$177),UPPER(TEXT(EDATE($D120,Milestones!$AA$177),"dd mmm yy"))&amp;" "&amp;Milestones!$AB$177&amp;" "&amp;IF(AND(Milestones!$AB$177="FT",Milestones!$AA$177=FT_Y5,EDATE($D120,Milestones!$AA$177)&lt;PolicyEff),1,Milestones!$AC$177)&amp;";  ","")&amp;IF(AND(EDATE($D120,Milestones!$AA$178)&lt;=AsOfDate,EDATE($D120,Milestones!$AA$178)&gt;=SchemeStart,IF($X120=0,$AD120,IF(AND($Z120&lt;&gt;"",EDATE($D120,Milestones!$AA$178)&gt;=$Z120),$AC120,IF(AND($Y120&lt;&gt;"",EDATE($D120,Milestones!$AA$178)&gt;=$Y120),$AB120,$AA120)))=Milestones!$AB$178),UPPER(TEXT(EDATE($D120,Milestones!$AA$178),"dd mmm yy"))&amp;" "&amp;Milestones!$AB$178&amp;" "&amp;IF(AND(Milestones!$AB$178="FT",Milestones!$AA$178=FT_Y5,EDATE($D120,Milestones!$AA$178)&lt;PolicyEff),1,Milestones!$AC$178)&amp;";  ","")&amp;IF(AND(EDATE($D120,Milestones!$AA$179)&lt;=AsOfDate,EDATE($D120,Milestones!$AA$179)&gt;=SchemeStart,IF($X120=0,$AD120,IF(AND($Z120&lt;&gt;"",EDATE($D120,Milestones!$AA$179)&gt;=$Z120),$AC120,IF(AND($Y120&lt;&gt;"",EDATE($D120,Milestones!$AA$179)&gt;=$Y120),$AB120,$AA120)))=Milestones!$AB$179),UPPER(TEXT(EDATE($D120,Milestones!$AA$179),"dd mmm yy"))&amp;" "&amp;Milestones!$AB$179&amp;" "&amp;IF(AND(Milestones!$AB$179="FT",Milestones!$AA$179=FT_Y5,EDATE($D120,Milestones!$AA$179)&lt;PolicyEff),1,Milestones!$AC$179)&amp;";  ","")&amp;IF(AND(EDATE($D120,Milestones!$AA$180)&lt;=AsOfDate,EDATE($D120,Milestones!$AA$180)&gt;=SchemeStart,IF($X120=0,$AD120,IF(AND($Z120&lt;&gt;"",EDATE($D120,Milestones!$AA$180)&gt;=$Z120),$AC120,IF(AND($Y120&lt;&gt;"",EDATE($D120,Milestones!$AA$180)&gt;=$Y120),$AB120,$AA120)))=Milestones!$AB$180),UPPER(TEXT(EDATE($D120,Milestones!$AA$180),"dd mmm yy"))&amp;" "&amp;Milestones!$AB$180&amp;" "&amp;IF(AND(Milestones!$AB$180="FT",Milestones!$AA$180=FT_Y5,EDATE($D120,Milestones!$AA$180)&lt;PolicyEff),1,Milestones!$AC$180)&amp;";  ","")&amp;IF(AND(EDATE($D120,Milestones!$AA$181)&lt;=AsOfDate,EDATE($D120,Milestones!$AA$181)&gt;=SchemeStart,IF($X120=0,$AD120,IF(AND($Z120&lt;&gt;"",EDATE($D120,Milestones!$AA$181)&gt;=$Z120),$AC120,IF(AND($Y120&lt;&gt;"",EDATE($D120,Milestones!$AA$181)&gt;=$Y120),$AB120,$AA120)))=Milestones!$AB$181),UPPER(TEXT(EDATE($D120,Milestones!$AA$181),"dd mmm yy"))&amp;" "&amp;Milestones!$AB$181&amp;" "&amp;IF(AND(Milestones!$AB$181="FT",Milestones!$AA$181=FT_Y5,EDATE($D120,Milestones!$AA$181)&lt;PolicyEff),1,Milestones!$AC$181)&amp;";  ","")&amp;IF(AND(EDATE($D120,Milestones!$AA$182)&lt;=AsOfDate,EDATE($D120,Milestones!$AA$182)&gt;=SchemeStart,IF($X120=0,$AD120,IF(AND($Z120&lt;&gt;"",EDATE($D120,Milestones!$AA$182)&gt;=$Z120),$AC120,IF(AND($Y120&lt;&gt;"",EDATE($D120,Milestones!$AA$182)&gt;=$Y120),$AB120,$AA120)))=Milestones!$AB$182),UPPER(TEXT(EDATE($D120,Milestones!$AA$182),"dd mmm yy"))&amp;" "&amp;Milestones!$AB$182&amp;" "&amp;IF(AND(Milestones!$AB$182="FT",Milestones!$AA$182=FT_Y5,EDATE($D120,Milestones!$AA$182)&lt;PolicyEff),1,Milestones!$AC$182)&amp;";  ","")&amp;IF(AND(EDATE($D120,Milestones!$AA$183)&lt;=AsOfDate,EDATE($D120,Milestones!$AA$183)&gt;=SchemeStart,IF($X120=0,$AD120,IF(AND($Z120&lt;&gt;"",EDATE($D120,Milestones!$AA$183)&gt;=$Z120),$AC120,IF(AND($Y120&lt;&gt;"",EDATE($D120,Milestones!$AA$183)&gt;=$Y120),$AB120,$AA120)))=Milestones!$AB$183),UPPER(TEXT(EDATE($D120,Milestones!$AA$183),"dd mmm yy"))&amp;" "&amp;Milestones!$AB$183&amp;" "&amp;IF(AND(Milestones!$AB$183="FT",Milestones!$AA$183=FT_Y5,EDATE($D120,Milestones!$AA$183)&lt;PolicyEff),1,Milestones!$AC$183)&amp;";  ","")&amp;IF(AND(EDATE($D120,Milestones!$AA$184)&lt;=AsOfDate,EDATE($D120,Milestones!$AA$184)&gt;=SchemeStart,IF($X120=0,$AD120,IF(AND($Z120&lt;&gt;"",EDATE($D120,Milestones!$AA$184)&gt;=$Z120),$AC120,IF(AND($Y120&lt;&gt;"",EDATE($D120,Milestones!$AA$184)&gt;=$Y120),$AB120,$AA120)))=Milestones!$AB$184),UPPER(TEXT(EDATE($D120,Milestones!$AA$184),"dd mmm yy"))&amp;" "&amp;Milestones!$AB$184&amp;" "&amp;IF(AND(Milestones!$AB$184="FT",Milestones!$AA$184=FT_Y5,EDATE($D120,Milestones!$AA$184)&lt;PolicyEff),1,Milestones!$AC$184)&amp;";  ","")&amp;IF(AND(EDATE($D120,Milestones!$AA$185)&lt;=AsOfDate,EDATE($D120,Milestones!$AA$185)&gt;=SchemeStart,IF($X120=0,$AD120,IF(AND($Z120&lt;&gt;"",EDATE($D120,Milestones!$AA$185)&gt;=$Z120),$AC120,IF(AND($Y120&lt;&gt;"",EDATE($D120,Milestones!$AA$185)&gt;=$Y120),$AB120,$AA120)))=Milestones!$AB$185),UPPER(TEXT(EDATE($D120,Milestones!$AA$185),"dd mmm yy"))&amp;" "&amp;Milestones!$AB$185&amp;" "&amp;IF(AND(Milestones!$AB$185="FT",Milestones!$AA$185=FT_Y5,EDATE($D120,Milestones!$AA$185)&lt;PolicyEff),1,Milestones!$AC$185)&amp;";  ","")&amp;IF(AND(EDATE($D120,Milestones!$AA$186)&lt;=AsOfDate,EDATE($D120,Milestones!$AA$186)&gt;=SchemeStart,IF($X120=0,$AD120,IF(AND($Z120&lt;&gt;"",EDATE($D120,Milestones!$AA$186)&gt;=$Z120),$AC120,IF(AND($Y120&lt;&gt;"",EDATE($D120,Milestones!$AA$186)&gt;=$Y120),$AB120,$AA120)))=Milestones!$AB$186),UPPER(TEXT(EDATE($D120,Milestones!$AA$186),"dd mmm yy"))&amp;" "&amp;Milestones!$AB$186&amp;" "&amp;IF(AND(Milestones!$AB$186="FT",Milestones!$AA$186=FT_Y5,EDATE($D120,Milestones!$AA$186)&lt;PolicyEff),1,Milestones!$AC$186)&amp;";  ","")&amp;IF(AND(EDATE($D120,Milestones!$AA$187)&lt;=AsOfDate,EDATE($D120,Milestones!$AA$187)&gt;=SchemeStart,IF($X120=0,$AD120,IF(AND($Z120&lt;&gt;"",EDATE($D120,Milestones!$AA$187)&gt;=$Z120),$AC120,IF(AND($Y120&lt;&gt;"",EDATE($D120,Milestones!$AA$187)&gt;=$Y120),$AB120,$AA120)))=Milestones!$AB$187),UPPER(TEXT(EDATE($D120,Milestones!$AA$187),"dd mmm yy"))&amp;" "&amp;Milestones!$AB$187&amp;" "&amp;IF(AND(Milestones!$AB$187="FT",Milestones!$AA$187=FT_Y5,EDATE($D120,Milestones!$AA$187)&lt;PolicyEff),1,Milestones!$AC$187)&amp;";  ",""))</f>
        <v/>
      </c>
      <c r="W120" s="0" t="str">
        <f aca="false">IF(OR($A120="",$D120=""),"",IF(AND(EDATE($D120,Milestones!$AA$188)&lt;=AsOfDate,EDATE($D120,Milestones!$AA$188)&gt;=SchemeStart,IF($X120=0,$AD120,IF(AND($Z120&lt;&gt;"",EDATE($D120,Milestones!$AA$188)&gt;=$Z120),$AC120,IF(AND($Y120&lt;&gt;"",EDATE($D120,Milestones!$AA$188)&gt;=$Y120),$AB120,$AA120)))=Milestones!$AB$188),UPPER(TEXT(EDATE($D120,Milestones!$AA$188),"dd mmm yy"))&amp;" "&amp;Milestones!$AB$188&amp;" "&amp;IF(AND(Milestones!$AB$188="FT",Milestones!$AA$188=FT_Y5,EDATE($D120,Milestones!$AA$188)&lt;PolicyEff),1,Milestones!$AC$188)&amp;";  ","")&amp;IF(AND(EDATE($D120,Milestones!$AA$189)&lt;=AsOfDate,EDATE($D120,Milestones!$AA$189)&gt;=SchemeStart,IF($X120=0,$AD120,IF(AND($Z120&lt;&gt;"",EDATE($D120,Milestones!$AA$189)&gt;=$Z120),$AC120,IF(AND($Y120&lt;&gt;"",EDATE($D120,Milestones!$AA$189)&gt;=$Y120),$AB120,$AA120)))=Milestones!$AB$189),UPPER(TEXT(EDATE($D120,Milestones!$AA$189),"dd mmm yy"))&amp;" "&amp;Milestones!$AB$189&amp;" "&amp;IF(AND(Milestones!$AB$189="FT",Milestones!$AA$189=FT_Y5,EDATE($D120,Milestones!$AA$189)&lt;PolicyEff),1,Milestones!$AC$189)&amp;";  ","")&amp;IF(AND(EDATE($D120,Milestones!$AA$190)&lt;=AsOfDate,EDATE($D120,Milestones!$AA$190)&gt;=SchemeStart,IF($X120=0,$AD120,IF(AND($Z120&lt;&gt;"",EDATE($D120,Milestones!$AA$190)&gt;=$Z120),$AC120,IF(AND($Y120&lt;&gt;"",EDATE($D120,Milestones!$AA$190)&gt;=$Y120),$AB120,$AA120)))=Milestones!$AB$190),UPPER(TEXT(EDATE($D120,Milestones!$AA$190),"dd mmm yy"))&amp;" "&amp;Milestones!$AB$190&amp;" "&amp;IF(AND(Milestones!$AB$190="FT",Milestones!$AA$190=FT_Y5,EDATE($D120,Milestones!$AA$190)&lt;PolicyEff),1,Milestones!$AC$190)&amp;";  ","")&amp;IF(AND(EDATE($D120,Milestones!$AA$191)&lt;=AsOfDate,EDATE($D120,Milestones!$AA$191)&gt;=SchemeStart,IF($X120=0,$AD120,IF(AND($Z120&lt;&gt;"",EDATE($D120,Milestones!$AA$191)&gt;=$Z120),$AC120,IF(AND($Y120&lt;&gt;"",EDATE($D120,Milestones!$AA$191)&gt;=$Y120),$AB120,$AA120)))=Milestones!$AB$191),UPPER(TEXT(EDATE($D120,Milestones!$AA$191),"dd mmm yy"))&amp;" "&amp;Milestones!$AB$191&amp;" "&amp;IF(AND(Milestones!$AB$191="FT",Milestones!$AA$191=FT_Y5,EDATE($D120,Milestones!$AA$191)&lt;PolicyEff),1,Milestones!$AC$191)&amp;";  ","")&amp;IF(AND(EDATE($D120,Milestones!$AA$192)&lt;=AsOfDate,EDATE($D120,Milestones!$AA$192)&gt;=SchemeStart,IF($X120=0,$AD120,IF(AND($Z120&lt;&gt;"",EDATE($D120,Milestones!$AA$192)&gt;=$Z120),$AC120,IF(AND($Y120&lt;&gt;"",EDATE($D120,Milestones!$AA$192)&gt;=$Y120),$AB120,$AA120)))=Milestones!$AB$192),UPPER(TEXT(EDATE($D120,Milestones!$AA$192),"dd mmm yy"))&amp;" "&amp;Milestones!$AB$192&amp;" "&amp;IF(AND(Milestones!$AB$192="FT",Milestones!$AA$192=FT_Y5,EDATE($D120,Milestones!$AA$192)&lt;PolicyEff),1,Milestones!$AC$192)&amp;";  ","")&amp;IF(AND(EDATE($D120,Milestones!$AA$193)&lt;=AsOfDate,EDATE($D120,Milestones!$AA$193)&gt;=SchemeStart,IF($X120=0,$AD120,IF(AND($Z120&lt;&gt;"",EDATE($D120,Milestones!$AA$193)&gt;=$Z120),$AC120,IF(AND($Y120&lt;&gt;"",EDATE($D120,Milestones!$AA$193)&gt;=$Y120),$AB120,$AA120)))=Milestones!$AB$193),UPPER(TEXT(EDATE($D120,Milestones!$AA$193),"dd mmm yy"))&amp;" "&amp;Milestones!$AB$193&amp;" "&amp;IF(AND(Milestones!$AB$193="FT",Milestones!$AA$193=FT_Y5,EDATE($D120,Milestones!$AA$193)&lt;PolicyEff),1,Milestones!$AC$193)&amp;";  ","")&amp;IF(AND(EDATE($D120,Milestones!$AA$194)&lt;=AsOfDate,EDATE($D120,Milestones!$AA$194)&gt;=SchemeStart,IF($X120=0,$AD120,IF(AND($Z120&lt;&gt;"",EDATE($D120,Milestones!$AA$194)&gt;=$Z120),$AC120,IF(AND($Y120&lt;&gt;"",EDATE($D120,Milestones!$AA$194)&gt;=$Y120),$AB120,$AA120)))=Milestones!$AB$194),UPPER(TEXT(EDATE($D120,Milestones!$AA$194),"dd mmm yy"))&amp;" "&amp;Milestones!$AB$194&amp;" "&amp;IF(AND(Milestones!$AB$194="FT",Milestones!$AA$194=FT_Y5,EDATE($D120,Milestones!$AA$194)&lt;PolicyEff),1,Milestones!$AC$194)&amp;";  ","")&amp;IF(AND(EDATE($D120,Milestones!$AA$195)&lt;=AsOfDate,EDATE($D120,Milestones!$AA$195)&gt;=SchemeStart,IF($X120=0,$AD120,IF(AND($Z120&lt;&gt;"",EDATE($D120,Milestones!$AA$195)&gt;=$Z120),$AC120,IF(AND($Y120&lt;&gt;"",EDATE($D120,Milestones!$AA$195)&gt;=$Y120),$AB120,$AA120)))=Milestones!$AB$195),UPPER(TEXT(EDATE($D120,Milestones!$AA$195),"dd mmm yy"))&amp;" "&amp;Milestones!$AB$195&amp;" "&amp;IF(AND(Milestones!$AB$195="FT",Milestones!$AA$195=FT_Y5,EDATE($D120,Milestones!$AA$195)&lt;PolicyEff),1,Milestones!$AC$195)&amp;";  ","")&amp;IF(AND(EDATE($D120,Milestones!$AA$196)&lt;=AsOfDate,EDATE($D120,Milestones!$AA$196)&gt;=SchemeStart,IF($X120=0,$AD120,IF(AND($Z120&lt;&gt;"",EDATE($D120,Milestones!$AA$196)&gt;=$Z120),$AC120,IF(AND($Y120&lt;&gt;"",EDATE($D120,Milestones!$AA$196)&gt;=$Y120),$AB120,$AA120)))=Milestones!$AB$196),UPPER(TEXT(EDATE($D120,Milestones!$AA$196),"dd mmm yy"))&amp;" "&amp;Milestones!$AB$196&amp;" "&amp;IF(AND(Milestones!$AB$196="FT",Milestones!$AA$196=FT_Y5,EDATE($D120,Milestones!$AA$196)&lt;PolicyEff),1,Milestones!$AC$196)&amp;";  ","")&amp;IF(AND(EDATE($D120,Milestones!$AA$197)&lt;=AsOfDate,EDATE($D120,Milestones!$AA$197)&gt;=SchemeStart,IF($X120=0,$AD120,IF(AND($Z120&lt;&gt;"",EDATE($D120,Milestones!$AA$197)&gt;=$Z120),$AC120,IF(AND($Y120&lt;&gt;"",EDATE($D120,Milestones!$AA$197)&gt;=$Y120),$AB120,$AA120)))=Milestones!$AB$197),UPPER(TEXT(EDATE($D120,Milestones!$AA$197),"dd mmm yy"))&amp;" "&amp;Milestones!$AB$197&amp;" "&amp;IF(AND(Milestones!$AB$197="FT",Milestones!$AA$197=FT_Y5,EDATE($D120,Milestones!$AA$197)&lt;PolicyEff),1,Milestones!$AC$197)&amp;";  ","")&amp;IF(AND(EDATE($D120,Milestones!$AA$198)&lt;=AsOfDate,EDATE($D120,Milestones!$AA$198)&gt;=SchemeStart,IF($X120=0,$AD120,IF(AND($Z120&lt;&gt;"",EDATE($D120,Milestones!$AA$198)&gt;=$Z120),$AC120,IF(AND($Y120&lt;&gt;"",EDATE($D120,Milestones!$AA$198)&gt;=$Y120),$AB120,$AA120)))=Milestones!$AB$198),UPPER(TEXT(EDATE($D120,Milestones!$AA$198),"dd mmm yy"))&amp;" "&amp;Milestones!$AB$198&amp;" "&amp;IF(AND(Milestones!$AB$198="FT",Milestones!$AA$198=FT_Y5,EDATE($D120,Milestones!$AA$198)&lt;PolicyEff),1,Milestones!$AC$198)&amp;";  ","")&amp;IF(AND(EDATE($D120,Milestones!$AA$199)&lt;=AsOfDate,EDATE($D120,Milestones!$AA$199)&gt;=SchemeStart,IF($X120=0,$AD120,IF(AND($Z120&lt;&gt;"",EDATE($D120,Milestones!$AA$199)&gt;=$Z120),$AC120,IF(AND($Y120&lt;&gt;"",EDATE($D120,Milestones!$AA$199)&gt;=$Y120),$AB120,$AA120)))=Milestones!$AB$199),UPPER(TEXT(EDATE($D120,Milestones!$AA$199),"dd mmm yy"))&amp;" "&amp;Milestones!$AB$199&amp;" "&amp;IF(AND(Milestones!$AB$199="FT",Milestones!$AA$199=FT_Y5,EDATE($D120,Milestones!$AA$199)&lt;PolicyEff),1,Milestones!$AC$199)&amp;";  ",""))</f>
        <v/>
      </c>
      <c r="X120" s="0" t="str">
        <f aca="false">IF(Staff!$A120="","",Staff!$AM120)</f>
        <v/>
      </c>
      <c r="Y120" s="0" t="str">
        <f aca="false">IF(Staff!$A120="","",Staff!$AO120)</f>
        <v/>
      </c>
      <c r="Z120" s="0" t="str">
        <f aca="false">IF(Staff!$A120="","",Staff!$AP120)</f>
        <v/>
      </c>
      <c r="AA120" s="0" t="str">
        <f aca="false">IF(Staff!$A120="","",Staff!$AT120)</f>
        <v/>
      </c>
      <c r="AB120" s="0" t="str">
        <f aca="false">IF(Staff!$A120="","",Staff!$AU120)</f>
        <v/>
      </c>
      <c r="AC120" s="0" t="str">
        <f aca="false">IF(Staff!$A120="","",Staff!$AV120)</f>
        <v/>
      </c>
      <c r="AD120" s="0" t="str">
        <f aca="false">IF(Staff!$A120="","",Staff!$AW120)</f>
        <v/>
      </c>
    </row>
    <row r="121" customFormat="false" ht="15" hidden="false" customHeight="false" outlineLevel="0" collapsed="false">
      <c r="A121" s="16" t="str">
        <f aca="false">IF(Staff!$A121="","",Staff!$A121)</f>
        <v/>
      </c>
      <c r="B121" s="16" t="str">
        <f aca="false">IF(Staff!$A121="","",Staff!$B121)</f>
        <v/>
      </c>
      <c r="C121" s="16" t="str">
        <f aca="false">IF(Staff!$A121="","",Staff!$C121)</f>
        <v/>
      </c>
      <c r="D121" s="14" t="str">
        <f aca="false">IF(Staff!$A121="","",Staff!$AL121)</f>
        <v/>
      </c>
      <c r="E121" s="16" t="str">
        <f aca="false">IF(Staff!$A121="","",Staff!$O121)</f>
        <v/>
      </c>
      <c r="F121" s="16" t="str">
        <f aca="false">IF(E121="","",E121*HoursPerDay)</f>
        <v/>
      </c>
      <c r="G121" s="16" t="str">
        <f aca="false">IF(Staff!$A121="","",Staff!$AE121)</f>
        <v/>
      </c>
      <c r="H121" s="28" t="str">
        <f aca="false">IF($A121="","",I121&amp;J121&amp;K121&amp;L121&amp;M121&amp;N121&amp;O121&amp;P121&amp;Q121&amp;R121&amp;S121&amp;T121&amp;U121&amp;V121&amp;W121)</f>
        <v/>
      </c>
      <c r="I121" s="0" t="str">
        <f aca="false">IF(OR($A121="",$D121=""),"",IF(AND(EDATE($D121,Milestones!$AA$20)&lt;=AsOfDate,EDATE($D121,Milestones!$AA$20)&gt;=SchemeStart,IF($X121=0,$AD121,IF(AND($Z121&lt;&gt;"",EDATE($D121,Milestones!$AA$20)&gt;=$Z121),$AC121,IF(AND($Y121&lt;&gt;"",EDATE($D121,Milestones!$AA$20)&gt;=$Y121),$AB121,$AA121)))=Milestones!$AB$20),UPPER(TEXT(EDATE($D121,Milestones!$AA$20),"dd mmm yy"))&amp;" "&amp;Milestones!$AB$20&amp;" "&amp;IF(AND(Milestones!$AB$20="FT",Milestones!$AA$20=FT_Y5,EDATE($D121,Milestones!$AA$20)&lt;PolicyEff),1,Milestones!$AC$20)&amp;";  ","")&amp;IF(AND(EDATE($D121,Milestones!$AA$21)&lt;=AsOfDate,EDATE($D121,Milestones!$AA$21)&gt;=SchemeStart,IF($X121=0,$AD121,IF(AND($Z121&lt;&gt;"",EDATE($D121,Milestones!$AA$21)&gt;=$Z121),$AC121,IF(AND($Y121&lt;&gt;"",EDATE($D121,Milestones!$AA$21)&gt;=$Y121),$AB121,$AA121)))=Milestones!$AB$21),UPPER(TEXT(EDATE($D121,Milestones!$AA$21),"dd mmm yy"))&amp;" "&amp;Milestones!$AB$21&amp;" "&amp;IF(AND(Milestones!$AB$21="FT",Milestones!$AA$21=FT_Y5,EDATE($D121,Milestones!$AA$21)&lt;PolicyEff),1,Milestones!$AC$21)&amp;";  ","")&amp;IF(AND(EDATE($D121,Milestones!$AA$22)&lt;=AsOfDate,EDATE($D121,Milestones!$AA$22)&gt;=SchemeStart,IF($X121=0,$AD121,IF(AND($Z121&lt;&gt;"",EDATE($D121,Milestones!$AA$22)&gt;=$Z121),$AC121,IF(AND($Y121&lt;&gt;"",EDATE($D121,Milestones!$AA$22)&gt;=$Y121),$AB121,$AA121)))=Milestones!$AB$22),UPPER(TEXT(EDATE($D121,Milestones!$AA$22),"dd mmm yy"))&amp;" "&amp;Milestones!$AB$22&amp;" "&amp;IF(AND(Milestones!$AB$22="FT",Milestones!$AA$22=FT_Y5,EDATE($D121,Milestones!$AA$22)&lt;PolicyEff),1,Milestones!$AC$22)&amp;";  ","")&amp;IF(AND(EDATE($D121,Milestones!$AA$23)&lt;=AsOfDate,EDATE($D121,Milestones!$AA$23)&gt;=SchemeStart,IF($X121=0,$AD121,IF(AND($Z121&lt;&gt;"",EDATE($D121,Milestones!$AA$23)&gt;=$Z121),$AC121,IF(AND($Y121&lt;&gt;"",EDATE($D121,Milestones!$AA$23)&gt;=$Y121),$AB121,$AA121)))=Milestones!$AB$23),UPPER(TEXT(EDATE($D121,Milestones!$AA$23),"dd mmm yy"))&amp;" "&amp;Milestones!$AB$23&amp;" "&amp;IF(AND(Milestones!$AB$23="FT",Milestones!$AA$23=FT_Y5,EDATE($D121,Milestones!$AA$23)&lt;PolicyEff),1,Milestones!$AC$23)&amp;";  ","")&amp;IF(AND(EDATE($D121,Milestones!$AA$24)&lt;=AsOfDate,EDATE($D121,Milestones!$AA$24)&gt;=SchemeStart,IF($X121=0,$AD121,IF(AND($Z121&lt;&gt;"",EDATE($D121,Milestones!$AA$24)&gt;=$Z121),$AC121,IF(AND($Y121&lt;&gt;"",EDATE($D121,Milestones!$AA$24)&gt;=$Y121),$AB121,$AA121)))=Milestones!$AB$24),UPPER(TEXT(EDATE($D121,Milestones!$AA$24),"dd mmm yy"))&amp;" "&amp;Milestones!$AB$24&amp;" "&amp;IF(AND(Milestones!$AB$24="FT",Milestones!$AA$24=FT_Y5,EDATE($D121,Milestones!$AA$24)&lt;PolicyEff),1,Milestones!$AC$24)&amp;";  ","")&amp;IF(AND(EDATE($D121,Milestones!$AA$25)&lt;=AsOfDate,EDATE($D121,Milestones!$AA$25)&gt;=SchemeStart,IF($X121=0,$AD121,IF(AND($Z121&lt;&gt;"",EDATE($D121,Milestones!$AA$25)&gt;=$Z121),$AC121,IF(AND($Y121&lt;&gt;"",EDATE($D121,Milestones!$AA$25)&gt;=$Y121),$AB121,$AA121)))=Milestones!$AB$25),UPPER(TEXT(EDATE($D121,Milestones!$AA$25),"dd mmm yy"))&amp;" "&amp;Milestones!$AB$25&amp;" "&amp;IF(AND(Milestones!$AB$25="FT",Milestones!$AA$25=FT_Y5,EDATE($D121,Milestones!$AA$25)&lt;PolicyEff),1,Milestones!$AC$25)&amp;";  ","")&amp;IF(AND(EDATE($D121,Milestones!$AA$26)&lt;=AsOfDate,EDATE($D121,Milestones!$AA$26)&gt;=SchemeStart,IF($X121=0,$AD121,IF(AND($Z121&lt;&gt;"",EDATE($D121,Milestones!$AA$26)&gt;=$Z121),$AC121,IF(AND($Y121&lt;&gt;"",EDATE($D121,Milestones!$AA$26)&gt;=$Y121),$AB121,$AA121)))=Milestones!$AB$26),UPPER(TEXT(EDATE($D121,Milestones!$AA$26),"dd mmm yy"))&amp;" "&amp;Milestones!$AB$26&amp;" "&amp;IF(AND(Milestones!$AB$26="FT",Milestones!$AA$26=FT_Y5,EDATE($D121,Milestones!$AA$26)&lt;PolicyEff),1,Milestones!$AC$26)&amp;";  ","")&amp;IF(AND(EDATE($D121,Milestones!$AA$27)&lt;=AsOfDate,EDATE($D121,Milestones!$AA$27)&gt;=SchemeStart,IF($X121=0,$AD121,IF(AND($Z121&lt;&gt;"",EDATE($D121,Milestones!$AA$27)&gt;=$Z121),$AC121,IF(AND($Y121&lt;&gt;"",EDATE($D121,Milestones!$AA$27)&gt;=$Y121),$AB121,$AA121)))=Milestones!$AB$27),UPPER(TEXT(EDATE($D121,Milestones!$AA$27),"dd mmm yy"))&amp;" "&amp;Milestones!$AB$27&amp;" "&amp;IF(AND(Milestones!$AB$27="FT",Milestones!$AA$27=FT_Y5,EDATE($D121,Milestones!$AA$27)&lt;PolicyEff),1,Milestones!$AC$27)&amp;";  ","")&amp;IF(AND(EDATE($D121,Milestones!$AA$28)&lt;=AsOfDate,EDATE($D121,Milestones!$AA$28)&gt;=SchemeStart,IF($X121=0,$AD121,IF(AND($Z121&lt;&gt;"",EDATE($D121,Milestones!$AA$28)&gt;=$Z121),$AC121,IF(AND($Y121&lt;&gt;"",EDATE($D121,Milestones!$AA$28)&gt;=$Y121),$AB121,$AA121)))=Milestones!$AB$28),UPPER(TEXT(EDATE($D121,Milestones!$AA$28),"dd mmm yy"))&amp;" "&amp;Milestones!$AB$28&amp;" "&amp;IF(AND(Milestones!$AB$28="FT",Milestones!$AA$28=FT_Y5,EDATE($D121,Milestones!$AA$28)&lt;PolicyEff),1,Milestones!$AC$28)&amp;";  ","")&amp;IF(AND(EDATE($D121,Milestones!$AA$29)&lt;=AsOfDate,EDATE($D121,Milestones!$AA$29)&gt;=SchemeStart,IF($X121=0,$AD121,IF(AND($Z121&lt;&gt;"",EDATE($D121,Milestones!$AA$29)&gt;=$Z121),$AC121,IF(AND($Y121&lt;&gt;"",EDATE($D121,Milestones!$AA$29)&gt;=$Y121),$AB121,$AA121)))=Milestones!$AB$29),UPPER(TEXT(EDATE($D121,Milestones!$AA$29),"dd mmm yy"))&amp;" "&amp;Milestones!$AB$29&amp;" "&amp;IF(AND(Milestones!$AB$29="FT",Milestones!$AA$29=FT_Y5,EDATE($D121,Milestones!$AA$29)&lt;PolicyEff),1,Milestones!$AC$29)&amp;";  ","")&amp;IF(AND(EDATE($D121,Milestones!$AA$30)&lt;=AsOfDate,EDATE($D121,Milestones!$AA$30)&gt;=SchemeStart,IF($X121=0,$AD121,IF(AND($Z121&lt;&gt;"",EDATE($D121,Milestones!$AA$30)&gt;=$Z121),$AC121,IF(AND($Y121&lt;&gt;"",EDATE($D121,Milestones!$AA$30)&gt;=$Y121),$AB121,$AA121)))=Milestones!$AB$30),UPPER(TEXT(EDATE($D121,Milestones!$AA$30),"dd mmm yy"))&amp;" "&amp;Milestones!$AB$30&amp;" "&amp;IF(AND(Milestones!$AB$30="FT",Milestones!$AA$30=FT_Y5,EDATE($D121,Milestones!$AA$30)&lt;PolicyEff),1,Milestones!$AC$30)&amp;";  ","")&amp;IF(AND(EDATE($D121,Milestones!$AA$31)&lt;=AsOfDate,EDATE($D121,Milestones!$AA$31)&gt;=SchemeStart,IF($X121=0,$AD121,IF(AND($Z121&lt;&gt;"",EDATE($D121,Milestones!$AA$31)&gt;=$Z121),$AC121,IF(AND($Y121&lt;&gt;"",EDATE($D121,Milestones!$AA$31)&gt;=$Y121),$AB121,$AA121)))=Milestones!$AB$31),UPPER(TEXT(EDATE($D121,Milestones!$AA$31),"dd mmm yy"))&amp;" "&amp;Milestones!$AB$31&amp;" "&amp;IF(AND(Milestones!$AB$31="FT",Milestones!$AA$31=FT_Y5,EDATE($D121,Milestones!$AA$31)&lt;PolicyEff),1,Milestones!$AC$31)&amp;";  ",""))</f>
        <v/>
      </c>
      <c r="J121" s="0" t="str">
        <f aca="false">IF(OR($A121="",$D121=""),"",IF(AND(EDATE($D121,Milestones!$AA$32)&lt;=AsOfDate,EDATE($D121,Milestones!$AA$32)&gt;=SchemeStart,IF($X121=0,$AD121,IF(AND($Z121&lt;&gt;"",EDATE($D121,Milestones!$AA$32)&gt;=$Z121),$AC121,IF(AND($Y121&lt;&gt;"",EDATE($D121,Milestones!$AA$32)&gt;=$Y121),$AB121,$AA121)))=Milestones!$AB$32),UPPER(TEXT(EDATE($D121,Milestones!$AA$32),"dd mmm yy"))&amp;" "&amp;Milestones!$AB$32&amp;" "&amp;IF(AND(Milestones!$AB$32="FT",Milestones!$AA$32=FT_Y5,EDATE($D121,Milestones!$AA$32)&lt;PolicyEff),1,Milestones!$AC$32)&amp;";  ","")&amp;IF(AND(EDATE($D121,Milestones!$AA$33)&lt;=AsOfDate,EDATE($D121,Milestones!$AA$33)&gt;=SchemeStart,IF($X121=0,$AD121,IF(AND($Z121&lt;&gt;"",EDATE($D121,Milestones!$AA$33)&gt;=$Z121),$AC121,IF(AND($Y121&lt;&gt;"",EDATE($D121,Milestones!$AA$33)&gt;=$Y121),$AB121,$AA121)))=Milestones!$AB$33),UPPER(TEXT(EDATE($D121,Milestones!$AA$33),"dd mmm yy"))&amp;" "&amp;Milestones!$AB$33&amp;" "&amp;IF(AND(Milestones!$AB$33="FT",Milestones!$AA$33=FT_Y5,EDATE($D121,Milestones!$AA$33)&lt;PolicyEff),1,Milestones!$AC$33)&amp;";  ","")&amp;IF(AND(EDATE($D121,Milestones!$AA$34)&lt;=AsOfDate,EDATE($D121,Milestones!$AA$34)&gt;=SchemeStart,IF($X121=0,$AD121,IF(AND($Z121&lt;&gt;"",EDATE($D121,Milestones!$AA$34)&gt;=$Z121),$AC121,IF(AND($Y121&lt;&gt;"",EDATE($D121,Milestones!$AA$34)&gt;=$Y121),$AB121,$AA121)))=Milestones!$AB$34),UPPER(TEXT(EDATE($D121,Milestones!$AA$34),"dd mmm yy"))&amp;" "&amp;Milestones!$AB$34&amp;" "&amp;IF(AND(Milestones!$AB$34="FT",Milestones!$AA$34=FT_Y5,EDATE($D121,Milestones!$AA$34)&lt;PolicyEff),1,Milestones!$AC$34)&amp;";  ","")&amp;IF(AND(EDATE($D121,Milestones!$AA$35)&lt;=AsOfDate,EDATE($D121,Milestones!$AA$35)&gt;=SchemeStart,IF($X121=0,$AD121,IF(AND($Z121&lt;&gt;"",EDATE($D121,Milestones!$AA$35)&gt;=$Z121),$AC121,IF(AND($Y121&lt;&gt;"",EDATE($D121,Milestones!$AA$35)&gt;=$Y121),$AB121,$AA121)))=Milestones!$AB$35),UPPER(TEXT(EDATE($D121,Milestones!$AA$35),"dd mmm yy"))&amp;" "&amp;Milestones!$AB$35&amp;" "&amp;IF(AND(Milestones!$AB$35="FT",Milestones!$AA$35=FT_Y5,EDATE($D121,Milestones!$AA$35)&lt;PolicyEff),1,Milestones!$AC$35)&amp;";  ","")&amp;IF(AND(EDATE($D121,Milestones!$AA$36)&lt;=AsOfDate,EDATE($D121,Milestones!$AA$36)&gt;=SchemeStart,IF($X121=0,$AD121,IF(AND($Z121&lt;&gt;"",EDATE($D121,Milestones!$AA$36)&gt;=$Z121),$AC121,IF(AND($Y121&lt;&gt;"",EDATE($D121,Milestones!$AA$36)&gt;=$Y121),$AB121,$AA121)))=Milestones!$AB$36),UPPER(TEXT(EDATE($D121,Milestones!$AA$36),"dd mmm yy"))&amp;" "&amp;Milestones!$AB$36&amp;" "&amp;IF(AND(Milestones!$AB$36="FT",Milestones!$AA$36=FT_Y5,EDATE($D121,Milestones!$AA$36)&lt;PolicyEff),1,Milestones!$AC$36)&amp;";  ","")&amp;IF(AND(EDATE($D121,Milestones!$AA$37)&lt;=AsOfDate,EDATE($D121,Milestones!$AA$37)&gt;=SchemeStart,IF($X121=0,$AD121,IF(AND($Z121&lt;&gt;"",EDATE($D121,Milestones!$AA$37)&gt;=$Z121),$AC121,IF(AND($Y121&lt;&gt;"",EDATE($D121,Milestones!$AA$37)&gt;=$Y121),$AB121,$AA121)))=Milestones!$AB$37),UPPER(TEXT(EDATE($D121,Milestones!$AA$37),"dd mmm yy"))&amp;" "&amp;Milestones!$AB$37&amp;" "&amp;IF(AND(Milestones!$AB$37="FT",Milestones!$AA$37=FT_Y5,EDATE($D121,Milestones!$AA$37)&lt;PolicyEff),1,Milestones!$AC$37)&amp;";  ","")&amp;IF(AND(EDATE($D121,Milestones!$AA$38)&lt;=AsOfDate,EDATE($D121,Milestones!$AA$38)&gt;=SchemeStart,IF($X121=0,$AD121,IF(AND($Z121&lt;&gt;"",EDATE($D121,Milestones!$AA$38)&gt;=$Z121),$AC121,IF(AND($Y121&lt;&gt;"",EDATE($D121,Milestones!$AA$38)&gt;=$Y121),$AB121,$AA121)))=Milestones!$AB$38),UPPER(TEXT(EDATE($D121,Milestones!$AA$38),"dd mmm yy"))&amp;" "&amp;Milestones!$AB$38&amp;" "&amp;IF(AND(Milestones!$AB$38="FT",Milestones!$AA$38=FT_Y5,EDATE($D121,Milestones!$AA$38)&lt;PolicyEff),1,Milestones!$AC$38)&amp;";  ","")&amp;IF(AND(EDATE($D121,Milestones!$AA$39)&lt;=AsOfDate,EDATE($D121,Milestones!$AA$39)&gt;=SchemeStart,IF($X121=0,$AD121,IF(AND($Z121&lt;&gt;"",EDATE($D121,Milestones!$AA$39)&gt;=$Z121),$AC121,IF(AND($Y121&lt;&gt;"",EDATE($D121,Milestones!$AA$39)&gt;=$Y121),$AB121,$AA121)))=Milestones!$AB$39),UPPER(TEXT(EDATE($D121,Milestones!$AA$39),"dd mmm yy"))&amp;" "&amp;Milestones!$AB$39&amp;" "&amp;IF(AND(Milestones!$AB$39="FT",Milestones!$AA$39=FT_Y5,EDATE($D121,Milestones!$AA$39)&lt;PolicyEff),1,Milestones!$AC$39)&amp;";  ","")&amp;IF(AND(EDATE($D121,Milestones!$AA$40)&lt;=AsOfDate,EDATE($D121,Milestones!$AA$40)&gt;=SchemeStart,IF($X121=0,$AD121,IF(AND($Z121&lt;&gt;"",EDATE($D121,Milestones!$AA$40)&gt;=$Z121),$AC121,IF(AND($Y121&lt;&gt;"",EDATE($D121,Milestones!$AA$40)&gt;=$Y121),$AB121,$AA121)))=Milestones!$AB$40),UPPER(TEXT(EDATE($D121,Milestones!$AA$40),"dd mmm yy"))&amp;" "&amp;Milestones!$AB$40&amp;" "&amp;IF(AND(Milestones!$AB$40="FT",Milestones!$AA$40=FT_Y5,EDATE($D121,Milestones!$AA$40)&lt;PolicyEff),1,Milestones!$AC$40)&amp;";  ","")&amp;IF(AND(EDATE($D121,Milestones!$AA$41)&lt;=AsOfDate,EDATE($D121,Milestones!$AA$41)&gt;=SchemeStart,IF($X121=0,$AD121,IF(AND($Z121&lt;&gt;"",EDATE($D121,Milestones!$AA$41)&gt;=$Z121),$AC121,IF(AND($Y121&lt;&gt;"",EDATE($D121,Milestones!$AA$41)&gt;=$Y121),$AB121,$AA121)))=Milestones!$AB$41),UPPER(TEXT(EDATE($D121,Milestones!$AA$41),"dd mmm yy"))&amp;" "&amp;Milestones!$AB$41&amp;" "&amp;IF(AND(Milestones!$AB$41="FT",Milestones!$AA$41=FT_Y5,EDATE($D121,Milestones!$AA$41)&lt;PolicyEff),1,Milestones!$AC$41)&amp;";  ","")&amp;IF(AND(EDATE($D121,Milestones!$AA$42)&lt;=AsOfDate,EDATE($D121,Milestones!$AA$42)&gt;=SchemeStart,IF($X121=0,$AD121,IF(AND($Z121&lt;&gt;"",EDATE($D121,Milestones!$AA$42)&gt;=$Z121),$AC121,IF(AND($Y121&lt;&gt;"",EDATE($D121,Milestones!$AA$42)&gt;=$Y121),$AB121,$AA121)))=Milestones!$AB$42),UPPER(TEXT(EDATE($D121,Milestones!$AA$42),"dd mmm yy"))&amp;" "&amp;Milestones!$AB$42&amp;" "&amp;IF(AND(Milestones!$AB$42="FT",Milestones!$AA$42=FT_Y5,EDATE($D121,Milestones!$AA$42)&lt;PolicyEff),1,Milestones!$AC$42)&amp;";  ","")&amp;IF(AND(EDATE($D121,Milestones!$AA$43)&lt;=AsOfDate,EDATE($D121,Milestones!$AA$43)&gt;=SchemeStart,IF($X121=0,$AD121,IF(AND($Z121&lt;&gt;"",EDATE($D121,Milestones!$AA$43)&gt;=$Z121),$AC121,IF(AND($Y121&lt;&gt;"",EDATE($D121,Milestones!$AA$43)&gt;=$Y121),$AB121,$AA121)))=Milestones!$AB$43),UPPER(TEXT(EDATE($D121,Milestones!$AA$43),"dd mmm yy"))&amp;" "&amp;Milestones!$AB$43&amp;" "&amp;IF(AND(Milestones!$AB$43="FT",Milestones!$AA$43=FT_Y5,EDATE($D121,Milestones!$AA$43)&lt;PolicyEff),1,Milestones!$AC$43)&amp;";  ",""))</f>
        <v/>
      </c>
      <c r="K121" s="0" t="str">
        <f aca="false">IF(OR($A121="",$D121=""),"",IF(AND(EDATE($D121,Milestones!$AA$44)&lt;=AsOfDate,EDATE($D121,Milestones!$AA$44)&gt;=SchemeStart,IF($X121=0,$AD121,IF(AND($Z121&lt;&gt;"",EDATE($D121,Milestones!$AA$44)&gt;=$Z121),$AC121,IF(AND($Y121&lt;&gt;"",EDATE($D121,Milestones!$AA$44)&gt;=$Y121),$AB121,$AA121)))=Milestones!$AB$44),UPPER(TEXT(EDATE($D121,Milestones!$AA$44),"dd mmm yy"))&amp;" "&amp;Milestones!$AB$44&amp;" "&amp;IF(AND(Milestones!$AB$44="FT",Milestones!$AA$44=FT_Y5,EDATE($D121,Milestones!$AA$44)&lt;PolicyEff),1,Milestones!$AC$44)&amp;";  ","")&amp;IF(AND(EDATE($D121,Milestones!$AA$45)&lt;=AsOfDate,EDATE($D121,Milestones!$AA$45)&gt;=SchemeStart,IF($X121=0,$AD121,IF(AND($Z121&lt;&gt;"",EDATE($D121,Milestones!$AA$45)&gt;=$Z121),$AC121,IF(AND($Y121&lt;&gt;"",EDATE($D121,Milestones!$AA$45)&gt;=$Y121),$AB121,$AA121)))=Milestones!$AB$45),UPPER(TEXT(EDATE($D121,Milestones!$AA$45),"dd mmm yy"))&amp;" "&amp;Milestones!$AB$45&amp;" "&amp;IF(AND(Milestones!$AB$45="FT",Milestones!$AA$45=FT_Y5,EDATE($D121,Milestones!$AA$45)&lt;PolicyEff),1,Milestones!$AC$45)&amp;";  ","")&amp;IF(AND(EDATE($D121,Milestones!$AA$46)&lt;=AsOfDate,EDATE($D121,Milestones!$AA$46)&gt;=SchemeStart,IF($X121=0,$AD121,IF(AND($Z121&lt;&gt;"",EDATE($D121,Milestones!$AA$46)&gt;=$Z121),$AC121,IF(AND($Y121&lt;&gt;"",EDATE($D121,Milestones!$AA$46)&gt;=$Y121),$AB121,$AA121)))=Milestones!$AB$46),UPPER(TEXT(EDATE($D121,Milestones!$AA$46),"dd mmm yy"))&amp;" "&amp;Milestones!$AB$46&amp;" "&amp;IF(AND(Milestones!$AB$46="FT",Milestones!$AA$46=FT_Y5,EDATE($D121,Milestones!$AA$46)&lt;PolicyEff),1,Milestones!$AC$46)&amp;";  ","")&amp;IF(AND(EDATE($D121,Milestones!$AA$47)&lt;=AsOfDate,EDATE($D121,Milestones!$AA$47)&gt;=SchemeStart,IF($X121=0,$AD121,IF(AND($Z121&lt;&gt;"",EDATE($D121,Milestones!$AA$47)&gt;=$Z121),$AC121,IF(AND($Y121&lt;&gt;"",EDATE($D121,Milestones!$AA$47)&gt;=$Y121),$AB121,$AA121)))=Milestones!$AB$47),UPPER(TEXT(EDATE($D121,Milestones!$AA$47),"dd mmm yy"))&amp;" "&amp;Milestones!$AB$47&amp;" "&amp;IF(AND(Milestones!$AB$47="FT",Milestones!$AA$47=FT_Y5,EDATE($D121,Milestones!$AA$47)&lt;PolicyEff),1,Milestones!$AC$47)&amp;";  ","")&amp;IF(AND(EDATE($D121,Milestones!$AA$48)&lt;=AsOfDate,EDATE($D121,Milestones!$AA$48)&gt;=SchemeStart,IF($X121=0,$AD121,IF(AND($Z121&lt;&gt;"",EDATE($D121,Milestones!$AA$48)&gt;=$Z121),$AC121,IF(AND($Y121&lt;&gt;"",EDATE($D121,Milestones!$AA$48)&gt;=$Y121),$AB121,$AA121)))=Milestones!$AB$48),UPPER(TEXT(EDATE($D121,Milestones!$AA$48),"dd mmm yy"))&amp;" "&amp;Milestones!$AB$48&amp;" "&amp;IF(AND(Milestones!$AB$48="FT",Milestones!$AA$48=FT_Y5,EDATE($D121,Milestones!$AA$48)&lt;PolicyEff),1,Milestones!$AC$48)&amp;";  ","")&amp;IF(AND(EDATE($D121,Milestones!$AA$49)&lt;=AsOfDate,EDATE($D121,Milestones!$AA$49)&gt;=SchemeStart,IF($X121=0,$AD121,IF(AND($Z121&lt;&gt;"",EDATE($D121,Milestones!$AA$49)&gt;=$Z121),$AC121,IF(AND($Y121&lt;&gt;"",EDATE($D121,Milestones!$AA$49)&gt;=$Y121),$AB121,$AA121)))=Milestones!$AB$49),UPPER(TEXT(EDATE($D121,Milestones!$AA$49),"dd mmm yy"))&amp;" "&amp;Milestones!$AB$49&amp;" "&amp;IF(AND(Milestones!$AB$49="FT",Milestones!$AA$49=FT_Y5,EDATE($D121,Milestones!$AA$49)&lt;PolicyEff),1,Milestones!$AC$49)&amp;";  ","")&amp;IF(AND(EDATE($D121,Milestones!$AA$50)&lt;=AsOfDate,EDATE($D121,Milestones!$AA$50)&gt;=SchemeStart,IF($X121=0,$AD121,IF(AND($Z121&lt;&gt;"",EDATE($D121,Milestones!$AA$50)&gt;=$Z121),$AC121,IF(AND($Y121&lt;&gt;"",EDATE($D121,Milestones!$AA$50)&gt;=$Y121),$AB121,$AA121)))=Milestones!$AB$50),UPPER(TEXT(EDATE($D121,Milestones!$AA$50),"dd mmm yy"))&amp;" "&amp;Milestones!$AB$50&amp;" "&amp;IF(AND(Milestones!$AB$50="FT",Milestones!$AA$50=FT_Y5,EDATE($D121,Milestones!$AA$50)&lt;PolicyEff),1,Milestones!$AC$50)&amp;";  ","")&amp;IF(AND(EDATE($D121,Milestones!$AA$51)&lt;=AsOfDate,EDATE($D121,Milestones!$AA$51)&gt;=SchemeStart,IF($X121=0,$AD121,IF(AND($Z121&lt;&gt;"",EDATE($D121,Milestones!$AA$51)&gt;=$Z121),$AC121,IF(AND($Y121&lt;&gt;"",EDATE($D121,Milestones!$AA$51)&gt;=$Y121),$AB121,$AA121)))=Milestones!$AB$51),UPPER(TEXT(EDATE($D121,Milestones!$AA$51),"dd mmm yy"))&amp;" "&amp;Milestones!$AB$51&amp;" "&amp;IF(AND(Milestones!$AB$51="FT",Milestones!$AA$51=FT_Y5,EDATE($D121,Milestones!$AA$51)&lt;PolicyEff),1,Milestones!$AC$51)&amp;";  ","")&amp;IF(AND(EDATE($D121,Milestones!$AA$52)&lt;=AsOfDate,EDATE($D121,Milestones!$AA$52)&gt;=SchemeStart,IF($X121=0,$AD121,IF(AND($Z121&lt;&gt;"",EDATE($D121,Milestones!$AA$52)&gt;=$Z121),$AC121,IF(AND($Y121&lt;&gt;"",EDATE($D121,Milestones!$AA$52)&gt;=$Y121),$AB121,$AA121)))=Milestones!$AB$52),UPPER(TEXT(EDATE($D121,Milestones!$AA$52),"dd mmm yy"))&amp;" "&amp;Milestones!$AB$52&amp;" "&amp;IF(AND(Milestones!$AB$52="FT",Milestones!$AA$52=FT_Y5,EDATE($D121,Milestones!$AA$52)&lt;PolicyEff),1,Milestones!$AC$52)&amp;";  ","")&amp;IF(AND(EDATE($D121,Milestones!$AA$53)&lt;=AsOfDate,EDATE($D121,Milestones!$AA$53)&gt;=SchemeStart,IF($X121=0,$AD121,IF(AND($Z121&lt;&gt;"",EDATE($D121,Milestones!$AA$53)&gt;=$Z121),$AC121,IF(AND($Y121&lt;&gt;"",EDATE($D121,Milestones!$AA$53)&gt;=$Y121),$AB121,$AA121)))=Milestones!$AB$53),UPPER(TEXT(EDATE($D121,Milestones!$AA$53),"dd mmm yy"))&amp;" "&amp;Milestones!$AB$53&amp;" "&amp;IF(AND(Milestones!$AB$53="FT",Milestones!$AA$53=FT_Y5,EDATE($D121,Milestones!$AA$53)&lt;PolicyEff),1,Milestones!$AC$53)&amp;";  ","")&amp;IF(AND(EDATE($D121,Milestones!$AA$54)&lt;=AsOfDate,EDATE($D121,Milestones!$AA$54)&gt;=SchemeStart,IF($X121=0,$AD121,IF(AND($Z121&lt;&gt;"",EDATE($D121,Milestones!$AA$54)&gt;=$Z121),$AC121,IF(AND($Y121&lt;&gt;"",EDATE($D121,Milestones!$AA$54)&gt;=$Y121),$AB121,$AA121)))=Milestones!$AB$54),UPPER(TEXT(EDATE($D121,Milestones!$AA$54),"dd mmm yy"))&amp;" "&amp;Milestones!$AB$54&amp;" "&amp;IF(AND(Milestones!$AB$54="FT",Milestones!$AA$54=FT_Y5,EDATE($D121,Milestones!$AA$54)&lt;PolicyEff),1,Milestones!$AC$54)&amp;";  ","")&amp;IF(AND(EDATE($D121,Milestones!$AA$55)&lt;=AsOfDate,EDATE($D121,Milestones!$AA$55)&gt;=SchemeStart,IF($X121=0,$AD121,IF(AND($Z121&lt;&gt;"",EDATE($D121,Milestones!$AA$55)&gt;=$Z121),$AC121,IF(AND($Y121&lt;&gt;"",EDATE($D121,Milestones!$AA$55)&gt;=$Y121),$AB121,$AA121)))=Milestones!$AB$55),UPPER(TEXT(EDATE($D121,Milestones!$AA$55),"dd mmm yy"))&amp;" "&amp;Milestones!$AB$55&amp;" "&amp;IF(AND(Milestones!$AB$55="FT",Milestones!$AA$55=FT_Y5,EDATE($D121,Milestones!$AA$55)&lt;PolicyEff),1,Milestones!$AC$55)&amp;";  ",""))</f>
        <v/>
      </c>
      <c r="L121" s="0" t="str">
        <f aca="false">IF(OR($A121="",$D121=""),"",IF(AND(EDATE($D121,Milestones!$AA$56)&lt;=AsOfDate,EDATE($D121,Milestones!$AA$56)&gt;=SchemeStart,IF($X121=0,$AD121,IF(AND($Z121&lt;&gt;"",EDATE($D121,Milestones!$AA$56)&gt;=$Z121),$AC121,IF(AND($Y121&lt;&gt;"",EDATE($D121,Milestones!$AA$56)&gt;=$Y121),$AB121,$AA121)))=Milestones!$AB$56),UPPER(TEXT(EDATE($D121,Milestones!$AA$56),"dd mmm yy"))&amp;" "&amp;Milestones!$AB$56&amp;" "&amp;IF(AND(Milestones!$AB$56="FT",Milestones!$AA$56=FT_Y5,EDATE($D121,Milestones!$AA$56)&lt;PolicyEff),1,Milestones!$AC$56)&amp;";  ","")&amp;IF(AND(EDATE($D121,Milestones!$AA$57)&lt;=AsOfDate,EDATE($D121,Milestones!$AA$57)&gt;=SchemeStart,IF($X121=0,$AD121,IF(AND($Z121&lt;&gt;"",EDATE($D121,Milestones!$AA$57)&gt;=$Z121),$AC121,IF(AND($Y121&lt;&gt;"",EDATE($D121,Milestones!$AA$57)&gt;=$Y121),$AB121,$AA121)))=Milestones!$AB$57),UPPER(TEXT(EDATE($D121,Milestones!$AA$57),"dd mmm yy"))&amp;" "&amp;Milestones!$AB$57&amp;" "&amp;IF(AND(Milestones!$AB$57="FT",Milestones!$AA$57=FT_Y5,EDATE($D121,Milestones!$AA$57)&lt;PolicyEff),1,Milestones!$AC$57)&amp;";  ","")&amp;IF(AND(EDATE($D121,Milestones!$AA$58)&lt;=AsOfDate,EDATE($D121,Milestones!$AA$58)&gt;=SchemeStart,IF($X121=0,$AD121,IF(AND($Z121&lt;&gt;"",EDATE($D121,Milestones!$AA$58)&gt;=$Z121),$AC121,IF(AND($Y121&lt;&gt;"",EDATE($D121,Milestones!$AA$58)&gt;=$Y121),$AB121,$AA121)))=Milestones!$AB$58),UPPER(TEXT(EDATE($D121,Milestones!$AA$58),"dd mmm yy"))&amp;" "&amp;Milestones!$AB$58&amp;" "&amp;IF(AND(Milestones!$AB$58="FT",Milestones!$AA$58=FT_Y5,EDATE($D121,Milestones!$AA$58)&lt;PolicyEff),1,Milestones!$AC$58)&amp;";  ","")&amp;IF(AND(EDATE($D121,Milestones!$AA$59)&lt;=AsOfDate,EDATE($D121,Milestones!$AA$59)&gt;=SchemeStart,IF($X121=0,$AD121,IF(AND($Z121&lt;&gt;"",EDATE($D121,Milestones!$AA$59)&gt;=$Z121),$AC121,IF(AND($Y121&lt;&gt;"",EDATE($D121,Milestones!$AA$59)&gt;=$Y121),$AB121,$AA121)))=Milestones!$AB$59),UPPER(TEXT(EDATE($D121,Milestones!$AA$59),"dd mmm yy"))&amp;" "&amp;Milestones!$AB$59&amp;" "&amp;IF(AND(Milestones!$AB$59="FT",Milestones!$AA$59=FT_Y5,EDATE($D121,Milestones!$AA$59)&lt;PolicyEff),1,Milestones!$AC$59)&amp;";  ","")&amp;IF(AND(EDATE($D121,Milestones!$AA$60)&lt;=AsOfDate,EDATE($D121,Milestones!$AA$60)&gt;=SchemeStart,IF($X121=0,$AD121,IF(AND($Z121&lt;&gt;"",EDATE($D121,Milestones!$AA$60)&gt;=$Z121),$AC121,IF(AND($Y121&lt;&gt;"",EDATE($D121,Milestones!$AA$60)&gt;=$Y121),$AB121,$AA121)))=Milestones!$AB$60),UPPER(TEXT(EDATE($D121,Milestones!$AA$60),"dd mmm yy"))&amp;" "&amp;Milestones!$AB$60&amp;" "&amp;IF(AND(Milestones!$AB$60="FT",Milestones!$AA$60=FT_Y5,EDATE($D121,Milestones!$AA$60)&lt;PolicyEff),1,Milestones!$AC$60)&amp;";  ","")&amp;IF(AND(EDATE($D121,Milestones!$AA$61)&lt;=AsOfDate,EDATE($D121,Milestones!$AA$61)&gt;=SchemeStart,IF($X121=0,$AD121,IF(AND($Z121&lt;&gt;"",EDATE($D121,Milestones!$AA$61)&gt;=$Z121),$AC121,IF(AND($Y121&lt;&gt;"",EDATE($D121,Milestones!$AA$61)&gt;=$Y121),$AB121,$AA121)))=Milestones!$AB$61),UPPER(TEXT(EDATE($D121,Milestones!$AA$61),"dd mmm yy"))&amp;" "&amp;Milestones!$AB$61&amp;" "&amp;IF(AND(Milestones!$AB$61="FT",Milestones!$AA$61=FT_Y5,EDATE($D121,Milestones!$AA$61)&lt;PolicyEff),1,Milestones!$AC$61)&amp;";  ","")&amp;IF(AND(EDATE($D121,Milestones!$AA$62)&lt;=AsOfDate,EDATE($D121,Milestones!$AA$62)&gt;=SchemeStart,IF($X121=0,$AD121,IF(AND($Z121&lt;&gt;"",EDATE($D121,Milestones!$AA$62)&gt;=$Z121),$AC121,IF(AND($Y121&lt;&gt;"",EDATE($D121,Milestones!$AA$62)&gt;=$Y121),$AB121,$AA121)))=Milestones!$AB$62),UPPER(TEXT(EDATE($D121,Milestones!$AA$62),"dd mmm yy"))&amp;" "&amp;Milestones!$AB$62&amp;" "&amp;IF(AND(Milestones!$AB$62="FT",Milestones!$AA$62=FT_Y5,EDATE($D121,Milestones!$AA$62)&lt;PolicyEff),1,Milestones!$AC$62)&amp;";  ","")&amp;IF(AND(EDATE($D121,Milestones!$AA$63)&lt;=AsOfDate,EDATE($D121,Milestones!$AA$63)&gt;=SchemeStart,IF($X121=0,$AD121,IF(AND($Z121&lt;&gt;"",EDATE($D121,Milestones!$AA$63)&gt;=$Z121),$AC121,IF(AND($Y121&lt;&gt;"",EDATE($D121,Milestones!$AA$63)&gt;=$Y121),$AB121,$AA121)))=Milestones!$AB$63),UPPER(TEXT(EDATE($D121,Milestones!$AA$63),"dd mmm yy"))&amp;" "&amp;Milestones!$AB$63&amp;" "&amp;IF(AND(Milestones!$AB$63="FT",Milestones!$AA$63=FT_Y5,EDATE($D121,Milestones!$AA$63)&lt;PolicyEff),1,Milestones!$AC$63)&amp;";  ","")&amp;IF(AND(EDATE($D121,Milestones!$AA$64)&lt;=AsOfDate,EDATE($D121,Milestones!$AA$64)&gt;=SchemeStart,IF($X121=0,$AD121,IF(AND($Z121&lt;&gt;"",EDATE($D121,Milestones!$AA$64)&gt;=$Z121),$AC121,IF(AND($Y121&lt;&gt;"",EDATE($D121,Milestones!$AA$64)&gt;=$Y121),$AB121,$AA121)))=Milestones!$AB$64),UPPER(TEXT(EDATE($D121,Milestones!$AA$64),"dd mmm yy"))&amp;" "&amp;Milestones!$AB$64&amp;" "&amp;IF(AND(Milestones!$AB$64="FT",Milestones!$AA$64=FT_Y5,EDATE($D121,Milestones!$AA$64)&lt;PolicyEff),1,Milestones!$AC$64)&amp;";  ","")&amp;IF(AND(EDATE($D121,Milestones!$AA$65)&lt;=AsOfDate,EDATE($D121,Milestones!$AA$65)&gt;=SchemeStart,IF($X121=0,$AD121,IF(AND($Z121&lt;&gt;"",EDATE($D121,Milestones!$AA$65)&gt;=$Z121),$AC121,IF(AND($Y121&lt;&gt;"",EDATE($D121,Milestones!$AA$65)&gt;=$Y121),$AB121,$AA121)))=Milestones!$AB$65),UPPER(TEXT(EDATE($D121,Milestones!$AA$65),"dd mmm yy"))&amp;" "&amp;Milestones!$AB$65&amp;" "&amp;IF(AND(Milestones!$AB$65="FT",Milestones!$AA$65=FT_Y5,EDATE($D121,Milestones!$AA$65)&lt;PolicyEff),1,Milestones!$AC$65)&amp;";  ","")&amp;IF(AND(EDATE($D121,Milestones!$AA$66)&lt;=AsOfDate,EDATE($D121,Milestones!$AA$66)&gt;=SchemeStart,IF($X121=0,$AD121,IF(AND($Z121&lt;&gt;"",EDATE($D121,Milestones!$AA$66)&gt;=$Z121),$AC121,IF(AND($Y121&lt;&gt;"",EDATE($D121,Milestones!$AA$66)&gt;=$Y121),$AB121,$AA121)))=Milestones!$AB$66),UPPER(TEXT(EDATE($D121,Milestones!$AA$66),"dd mmm yy"))&amp;" "&amp;Milestones!$AB$66&amp;" "&amp;IF(AND(Milestones!$AB$66="FT",Milestones!$AA$66=FT_Y5,EDATE($D121,Milestones!$AA$66)&lt;PolicyEff),1,Milestones!$AC$66)&amp;";  ","")&amp;IF(AND(EDATE($D121,Milestones!$AA$67)&lt;=AsOfDate,EDATE($D121,Milestones!$AA$67)&gt;=SchemeStart,IF($X121=0,$AD121,IF(AND($Z121&lt;&gt;"",EDATE($D121,Milestones!$AA$67)&gt;=$Z121),$AC121,IF(AND($Y121&lt;&gt;"",EDATE($D121,Milestones!$AA$67)&gt;=$Y121),$AB121,$AA121)))=Milestones!$AB$67),UPPER(TEXT(EDATE($D121,Milestones!$AA$67),"dd mmm yy"))&amp;" "&amp;Milestones!$AB$67&amp;" "&amp;IF(AND(Milestones!$AB$67="FT",Milestones!$AA$67=FT_Y5,EDATE($D121,Milestones!$AA$67)&lt;PolicyEff),1,Milestones!$AC$67)&amp;";  ",""))</f>
        <v/>
      </c>
      <c r="M121" s="0" t="str">
        <f aca="false">IF(OR($A121="",$D121=""),"",IF(AND(EDATE($D121,Milestones!$AA$68)&lt;=AsOfDate,EDATE($D121,Milestones!$AA$68)&gt;=SchemeStart,IF($X121=0,$AD121,IF(AND($Z121&lt;&gt;"",EDATE($D121,Milestones!$AA$68)&gt;=$Z121),$AC121,IF(AND($Y121&lt;&gt;"",EDATE($D121,Milestones!$AA$68)&gt;=$Y121),$AB121,$AA121)))=Milestones!$AB$68),UPPER(TEXT(EDATE($D121,Milestones!$AA$68),"dd mmm yy"))&amp;" "&amp;Milestones!$AB$68&amp;" "&amp;IF(AND(Milestones!$AB$68="FT",Milestones!$AA$68=FT_Y5,EDATE($D121,Milestones!$AA$68)&lt;PolicyEff),1,Milestones!$AC$68)&amp;";  ","")&amp;IF(AND(EDATE($D121,Milestones!$AA$69)&lt;=AsOfDate,EDATE($D121,Milestones!$AA$69)&gt;=SchemeStart,IF($X121=0,$AD121,IF(AND($Z121&lt;&gt;"",EDATE($D121,Milestones!$AA$69)&gt;=$Z121),$AC121,IF(AND($Y121&lt;&gt;"",EDATE($D121,Milestones!$AA$69)&gt;=$Y121),$AB121,$AA121)))=Milestones!$AB$69),UPPER(TEXT(EDATE($D121,Milestones!$AA$69),"dd mmm yy"))&amp;" "&amp;Milestones!$AB$69&amp;" "&amp;IF(AND(Milestones!$AB$69="FT",Milestones!$AA$69=FT_Y5,EDATE($D121,Milestones!$AA$69)&lt;PolicyEff),1,Milestones!$AC$69)&amp;";  ","")&amp;IF(AND(EDATE($D121,Milestones!$AA$70)&lt;=AsOfDate,EDATE($D121,Milestones!$AA$70)&gt;=SchemeStart,IF($X121=0,$AD121,IF(AND($Z121&lt;&gt;"",EDATE($D121,Milestones!$AA$70)&gt;=$Z121),$AC121,IF(AND($Y121&lt;&gt;"",EDATE($D121,Milestones!$AA$70)&gt;=$Y121),$AB121,$AA121)))=Milestones!$AB$70),UPPER(TEXT(EDATE($D121,Milestones!$AA$70),"dd mmm yy"))&amp;" "&amp;Milestones!$AB$70&amp;" "&amp;IF(AND(Milestones!$AB$70="FT",Milestones!$AA$70=FT_Y5,EDATE($D121,Milestones!$AA$70)&lt;PolicyEff),1,Milestones!$AC$70)&amp;";  ","")&amp;IF(AND(EDATE($D121,Milestones!$AA$71)&lt;=AsOfDate,EDATE($D121,Milestones!$AA$71)&gt;=SchemeStart,IF($X121=0,$AD121,IF(AND($Z121&lt;&gt;"",EDATE($D121,Milestones!$AA$71)&gt;=$Z121),$AC121,IF(AND($Y121&lt;&gt;"",EDATE($D121,Milestones!$AA$71)&gt;=$Y121),$AB121,$AA121)))=Milestones!$AB$71),UPPER(TEXT(EDATE($D121,Milestones!$AA$71),"dd mmm yy"))&amp;" "&amp;Milestones!$AB$71&amp;" "&amp;IF(AND(Milestones!$AB$71="FT",Milestones!$AA$71=FT_Y5,EDATE($D121,Milestones!$AA$71)&lt;PolicyEff),1,Milestones!$AC$71)&amp;";  ","")&amp;IF(AND(EDATE($D121,Milestones!$AA$72)&lt;=AsOfDate,EDATE($D121,Milestones!$AA$72)&gt;=SchemeStart,IF($X121=0,$AD121,IF(AND($Z121&lt;&gt;"",EDATE($D121,Milestones!$AA$72)&gt;=$Z121),$AC121,IF(AND($Y121&lt;&gt;"",EDATE($D121,Milestones!$AA$72)&gt;=$Y121),$AB121,$AA121)))=Milestones!$AB$72),UPPER(TEXT(EDATE($D121,Milestones!$AA$72),"dd mmm yy"))&amp;" "&amp;Milestones!$AB$72&amp;" "&amp;IF(AND(Milestones!$AB$72="FT",Milestones!$AA$72=FT_Y5,EDATE($D121,Milestones!$AA$72)&lt;PolicyEff),1,Milestones!$AC$72)&amp;";  ","")&amp;IF(AND(EDATE($D121,Milestones!$AA$73)&lt;=AsOfDate,EDATE($D121,Milestones!$AA$73)&gt;=SchemeStart,IF($X121=0,$AD121,IF(AND($Z121&lt;&gt;"",EDATE($D121,Milestones!$AA$73)&gt;=$Z121),$AC121,IF(AND($Y121&lt;&gt;"",EDATE($D121,Milestones!$AA$73)&gt;=$Y121),$AB121,$AA121)))=Milestones!$AB$73),UPPER(TEXT(EDATE($D121,Milestones!$AA$73),"dd mmm yy"))&amp;" "&amp;Milestones!$AB$73&amp;" "&amp;IF(AND(Milestones!$AB$73="FT",Milestones!$AA$73=FT_Y5,EDATE($D121,Milestones!$AA$73)&lt;PolicyEff),1,Milestones!$AC$73)&amp;";  ","")&amp;IF(AND(EDATE($D121,Milestones!$AA$74)&lt;=AsOfDate,EDATE($D121,Milestones!$AA$74)&gt;=SchemeStart,IF($X121=0,$AD121,IF(AND($Z121&lt;&gt;"",EDATE($D121,Milestones!$AA$74)&gt;=$Z121),$AC121,IF(AND($Y121&lt;&gt;"",EDATE($D121,Milestones!$AA$74)&gt;=$Y121),$AB121,$AA121)))=Milestones!$AB$74),UPPER(TEXT(EDATE($D121,Milestones!$AA$74),"dd mmm yy"))&amp;" "&amp;Milestones!$AB$74&amp;" "&amp;IF(AND(Milestones!$AB$74="FT",Milestones!$AA$74=FT_Y5,EDATE($D121,Milestones!$AA$74)&lt;PolicyEff),1,Milestones!$AC$74)&amp;";  ","")&amp;IF(AND(EDATE($D121,Milestones!$AA$75)&lt;=AsOfDate,EDATE($D121,Milestones!$AA$75)&gt;=SchemeStart,IF($X121=0,$AD121,IF(AND($Z121&lt;&gt;"",EDATE($D121,Milestones!$AA$75)&gt;=$Z121),$AC121,IF(AND($Y121&lt;&gt;"",EDATE($D121,Milestones!$AA$75)&gt;=$Y121),$AB121,$AA121)))=Milestones!$AB$75),UPPER(TEXT(EDATE($D121,Milestones!$AA$75),"dd mmm yy"))&amp;" "&amp;Milestones!$AB$75&amp;" "&amp;IF(AND(Milestones!$AB$75="FT",Milestones!$AA$75=FT_Y5,EDATE($D121,Milestones!$AA$75)&lt;PolicyEff),1,Milestones!$AC$75)&amp;";  ","")&amp;IF(AND(EDATE($D121,Milestones!$AA$76)&lt;=AsOfDate,EDATE($D121,Milestones!$AA$76)&gt;=SchemeStart,IF($X121=0,$AD121,IF(AND($Z121&lt;&gt;"",EDATE($D121,Milestones!$AA$76)&gt;=$Z121),$AC121,IF(AND($Y121&lt;&gt;"",EDATE($D121,Milestones!$AA$76)&gt;=$Y121),$AB121,$AA121)))=Milestones!$AB$76),UPPER(TEXT(EDATE($D121,Milestones!$AA$76),"dd mmm yy"))&amp;" "&amp;Milestones!$AB$76&amp;" "&amp;IF(AND(Milestones!$AB$76="FT",Milestones!$AA$76=FT_Y5,EDATE($D121,Milestones!$AA$76)&lt;PolicyEff),1,Milestones!$AC$76)&amp;";  ","")&amp;IF(AND(EDATE($D121,Milestones!$AA$77)&lt;=AsOfDate,EDATE($D121,Milestones!$AA$77)&gt;=SchemeStart,IF($X121=0,$AD121,IF(AND($Z121&lt;&gt;"",EDATE($D121,Milestones!$AA$77)&gt;=$Z121),$AC121,IF(AND($Y121&lt;&gt;"",EDATE($D121,Milestones!$AA$77)&gt;=$Y121),$AB121,$AA121)))=Milestones!$AB$77),UPPER(TEXT(EDATE($D121,Milestones!$AA$77),"dd mmm yy"))&amp;" "&amp;Milestones!$AB$77&amp;" "&amp;IF(AND(Milestones!$AB$77="FT",Milestones!$AA$77=FT_Y5,EDATE($D121,Milestones!$AA$77)&lt;PolicyEff),1,Milestones!$AC$77)&amp;";  ","")&amp;IF(AND(EDATE($D121,Milestones!$AA$78)&lt;=AsOfDate,EDATE($D121,Milestones!$AA$78)&gt;=SchemeStart,IF($X121=0,$AD121,IF(AND($Z121&lt;&gt;"",EDATE($D121,Milestones!$AA$78)&gt;=$Z121),$AC121,IF(AND($Y121&lt;&gt;"",EDATE($D121,Milestones!$AA$78)&gt;=$Y121),$AB121,$AA121)))=Milestones!$AB$78),UPPER(TEXT(EDATE($D121,Milestones!$AA$78),"dd mmm yy"))&amp;" "&amp;Milestones!$AB$78&amp;" "&amp;IF(AND(Milestones!$AB$78="FT",Milestones!$AA$78=FT_Y5,EDATE($D121,Milestones!$AA$78)&lt;PolicyEff),1,Milestones!$AC$78)&amp;";  ","")&amp;IF(AND(EDATE($D121,Milestones!$AA$79)&lt;=AsOfDate,EDATE($D121,Milestones!$AA$79)&gt;=SchemeStart,IF($X121=0,$AD121,IF(AND($Z121&lt;&gt;"",EDATE($D121,Milestones!$AA$79)&gt;=$Z121),$AC121,IF(AND($Y121&lt;&gt;"",EDATE($D121,Milestones!$AA$79)&gt;=$Y121),$AB121,$AA121)))=Milestones!$AB$79),UPPER(TEXT(EDATE($D121,Milestones!$AA$79),"dd mmm yy"))&amp;" "&amp;Milestones!$AB$79&amp;" "&amp;IF(AND(Milestones!$AB$79="FT",Milestones!$AA$79=FT_Y5,EDATE($D121,Milestones!$AA$79)&lt;PolicyEff),1,Milestones!$AC$79)&amp;";  ",""))</f>
        <v/>
      </c>
      <c r="N121" s="0" t="str">
        <f aca="false">IF(OR($A121="",$D121=""),"",IF(AND(EDATE($D121,Milestones!$AA$80)&lt;=AsOfDate,EDATE($D121,Milestones!$AA$80)&gt;=SchemeStart,IF($X121=0,$AD121,IF(AND($Z121&lt;&gt;"",EDATE($D121,Milestones!$AA$80)&gt;=$Z121),$AC121,IF(AND($Y121&lt;&gt;"",EDATE($D121,Milestones!$AA$80)&gt;=$Y121),$AB121,$AA121)))=Milestones!$AB$80),UPPER(TEXT(EDATE($D121,Milestones!$AA$80),"dd mmm yy"))&amp;" "&amp;Milestones!$AB$80&amp;" "&amp;IF(AND(Milestones!$AB$80="FT",Milestones!$AA$80=FT_Y5,EDATE($D121,Milestones!$AA$80)&lt;PolicyEff),1,Milestones!$AC$80)&amp;";  ","")&amp;IF(AND(EDATE($D121,Milestones!$AA$81)&lt;=AsOfDate,EDATE($D121,Milestones!$AA$81)&gt;=SchemeStart,IF($X121=0,$AD121,IF(AND($Z121&lt;&gt;"",EDATE($D121,Milestones!$AA$81)&gt;=$Z121),$AC121,IF(AND($Y121&lt;&gt;"",EDATE($D121,Milestones!$AA$81)&gt;=$Y121),$AB121,$AA121)))=Milestones!$AB$81),UPPER(TEXT(EDATE($D121,Milestones!$AA$81),"dd mmm yy"))&amp;" "&amp;Milestones!$AB$81&amp;" "&amp;IF(AND(Milestones!$AB$81="FT",Milestones!$AA$81=FT_Y5,EDATE($D121,Milestones!$AA$81)&lt;PolicyEff),1,Milestones!$AC$81)&amp;";  ","")&amp;IF(AND(EDATE($D121,Milestones!$AA$82)&lt;=AsOfDate,EDATE($D121,Milestones!$AA$82)&gt;=SchemeStart,IF($X121=0,$AD121,IF(AND($Z121&lt;&gt;"",EDATE($D121,Milestones!$AA$82)&gt;=$Z121),$AC121,IF(AND($Y121&lt;&gt;"",EDATE($D121,Milestones!$AA$82)&gt;=$Y121),$AB121,$AA121)))=Milestones!$AB$82),UPPER(TEXT(EDATE($D121,Milestones!$AA$82),"dd mmm yy"))&amp;" "&amp;Milestones!$AB$82&amp;" "&amp;IF(AND(Milestones!$AB$82="FT",Milestones!$AA$82=FT_Y5,EDATE($D121,Milestones!$AA$82)&lt;PolicyEff),1,Milestones!$AC$82)&amp;";  ","")&amp;IF(AND(EDATE($D121,Milestones!$AA$83)&lt;=AsOfDate,EDATE($D121,Milestones!$AA$83)&gt;=SchemeStart,IF($X121=0,$AD121,IF(AND($Z121&lt;&gt;"",EDATE($D121,Milestones!$AA$83)&gt;=$Z121),$AC121,IF(AND($Y121&lt;&gt;"",EDATE($D121,Milestones!$AA$83)&gt;=$Y121),$AB121,$AA121)))=Milestones!$AB$83),UPPER(TEXT(EDATE($D121,Milestones!$AA$83),"dd mmm yy"))&amp;" "&amp;Milestones!$AB$83&amp;" "&amp;IF(AND(Milestones!$AB$83="FT",Milestones!$AA$83=FT_Y5,EDATE($D121,Milestones!$AA$83)&lt;PolicyEff),1,Milestones!$AC$83)&amp;";  ","")&amp;IF(AND(EDATE($D121,Milestones!$AA$84)&lt;=AsOfDate,EDATE($D121,Milestones!$AA$84)&gt;=SchemeStart,IF($X121=0,$AD121,IF(AND($Z121&lt;&gt;"",EDATE($D121,Milestones!$AA$84)&gt;=$Z121),$AC121,IF(AND($Y121&lt;&gt;"",EDATE($D121,Milestones!$AA$84)&gt;=$Y121),$AB121,$AA121)))=Milestones!$AB$84),UPPER(TEXT(EDATE($D121,Milestones!$AA$84),"dd mmm yy"))&amp;" "&amp;Milestones!$AB$84&amp;" "&amp;IF(AND(Milestones!$AB$84="FT",Milestones!$AA$84=FT_Y5,EDATE($D121,Milestones!$AA$84)&lt;PolicyEff),1,Milestones!$AC$84)&amp;";  ","")&amp;IF(AND(EDATE($D121,Milestones!$AA$85)&lt;=AsOfDate,EDATE($D121,Milestones!$AA$85)&gt;=SchemeStart,IF($X121=0,$AD121,IF(AND($Z121&lt;&gt;"",EDATE($D121,Milestones!$AA$85)&gt;=$Z121),$AC121,IF(AND($Y121&lt;&gt;"",EDATE($D121,Milestones!$AA$85)&gt;=$Y121),$AB121,$AA121)))=Milestones!$AB$85),UPPER(TEXT(EDATE($D121,Milestones!$AA$85),"dd mmm yy"))&amp;" "&amp;Milestones!$AB$85&amp;" "&amp;IF(AND(Milestones!$AB$85="FT",Milestones!$AA$85=FT_Y5,EDATE($D121,Milestones!$AA$85)&lt;PolicyEff),1,Milestones!$AC$85)&amp;";  ","")&amp;IF(AND(EDATE($D121,Milestones!$AA$86)&lt;=AsOfDate,EDATE($D121,Milestones!$AA$86)&gt;=SchemeStart,IF($X121=0,$AD121,IF(AND($Z121&lt;&gt;"",EDATE($D121,Milestones!$AA$86)&gt;=$Z121),$AC121,IF(AND($Y121&lt;&gt;"",EDATE($D121,Milestones!$AA$86)&gt;=$Y121),$AB121,$AA121)))=Milestones!$AB$86),UPPER(TEXT(EDATE($D121,Milestones!$AA$86),"dd mmm yy"))&amp;" "&amp;Milestones!$AB$86&amp;" "&amp;IF(AND(Milestones!$AB$86="FT",Milestones!$AA$86=FT_Y5,EDATE($D121,Milestones!$AA$86)&lt;PolicyEff),1,Milestones!$AC$86)&amp;";  ","")&amp;IF(AND(EDATE($D121,Milestones!$AA$87)&lt;=AsOfDate,EDATE($D121,Milestones!$AA$87)&gt;=SchemeStart,IF($X121=0,$AD121,IF(AND($Z121&lt;&gt;"",EDATE($D121,Milestones!$AA$87)&gt;=$Z121),$AC121,IF(AND($Y121&lt;&gt;"",EDATE($D121,Milestones!$AA$87)&gt;=$Y121),$AB121,$AA121)))=Milestones!$AB$87),UPPER(TEXT(EDATE($D121,Milestones!$AA$87),"dd mmm yy"))&amp;" "&amp;Milestones!$AB$87&amp;" "&amp;IF(AND(Milestones!$AB$87="FT",Milestones!$AA$87=FT_Y5,EDATE($D121,Milestones!$AA$87)&lt;PolicyEff),1,Milestones!$AC$87)&amp;";  ","")&amp;IF(AND(EDATE($D121,Milestones!$AA$88)&lt;=AsOfDate,EDATE($D121,Milestones!$AA$88)&gt;=SchemeStart,IF($X121=0,$AD121,IF(AND($Z121&lt;&gt;"",EDATE($D121,Milestones!$AA$88)&gt;=$Z121),$AC121,IF(AND($Y121&lt;&gt;"",EDATE($D121,Milestones!$AA$88)&gt;=$Y121),$AB121,$AA121)))=Milestones!$AB$88),UPPER(TEXT(EDATE($D121,Milestones!$AA$88),"dd mmm yy"))&amp;" "&amp;Milestones!$AB$88&amp;" "&amp;IF(AND(Milestones!$AB$88="FT",Milestones!$AA$88=FT_Y5,EDATE($D121,Milestones!$AA$88)&lt;PolicyEff),1,Milestones!$AC$88)&amp;";  ","")&amp;IF(AND(EDATE($D121,Milestones!$AA$89)&lt;=AsOfDate,EDATE($D121,Milestones!$AA$89)&gt;=SchemeStart,IF($X121=0,$AD121,IF(AND($Z121&lt;&gt;"",EDATE($D121,Milestones!$AA$89)&gt;=$Z121),$AC121,IF(AND($Y121&lt;&gt;"",EDATE($D121,Milestones!$AA$89)&gt;=$Y121),$AB121,$AA121)))=Milestones!$AB$89),UPPER(TEXT(EDATE($D121,Milestones!$AA$89),"dd mmm yy"))&amp;" "&amp;Milestones!$AB$89&amp;" "&amp;IF(AND(Milestones!$AB$89="FT",Milestones!$AA$89=FT_Y5,EDATE($D121,Milestones!$AA$89)&lt;PolicyEff),1,Milestones!$AC$89)&amp;";  ","")&amp;IF(AND(EDATE($D121,Milestones!$AA$90)&lt;=AsOfDate,EDATE($D121,Milestones!$AA$90)&gt;=SchemeStart,IF($X121=0,$AD121,IF(AND($Z121&lt;&gt;"",EDATE($D121,Milestones!$AA$90)&gt;=$Z121),$AC121,IF(AND($Y121&lt;&gt;"",EDATE($D121,Milestones!$AA$90)&gt;=$Y121),$AB121,$AA121)))=Milestones!$AB$90),UPPER(TEXT(EDATE($D121,Milestones!$AA$90),"dd mmm yy"))&amp;" "&amp;Milestones!$AB$90&amp;" "&amp;IF(AND(Milestones!$AB$90="FT",Milestones!$AA$90=FT_Y5,EDATE($D121,Milestones!$AA$90)&lt;PolicyEff),1,Milestones!$AC$90)&amp;";  ","")&amp;IF(AND(EDATE($D121,Milestones!$AA$91)&lt;=AsOfDate,EDATE($D121,Milestones!$AA$91)&gt;=SchemeStart,IF($X121=0,$AD121,IF(AND($Z121&lt;&gt;"",EDATE($D121,Milestones!$AA$91)&gt;=$Z121),$AC121,IF(AND($Y121&lt;&gt;"",EDATE($D121,Milestones!$AA$91)&gt;=$Y121),$AB121,$AA121)))=Milestones!$AB$91),UPPER(TEXT(EDATE($D121,Milestones!$AA$91),"dd mmm yy"))&amp;" "&amp;Milestones!$AB$91&amp;" "&amp;IF(AND(Milestones!$AB$91="FT",Milestones!$AA$91=FT_Y5,EDATE($D121,Milestones!$AA$91)&lt;PolicyEff),1,Milestones!$AC$91)&amp;";  ",""))</f>
        <v/>
      </c>
      <c r="O121" s="0" t="str">
        <f aca="false">IF(OR($A121="",$D121=""),"",IF(AND(EDATE($D121,Milestones!$AA$92)&lt;=AsOfDate,EDATE($D121,Milestones!$AA$92)&gt;=SchemeStart,IF($X121=0,$AD121,IF(AND($Z121&lt;&gt;"",EDATE($D121,Milestones!$AA$92)&gt;=$Z121),$AC121,IF(AND($Y121&lt;&gt;"",EDATE($D121,Milestones!$AA$92)&gt;=$Y121),$AB121,$AA121)))=Milestones!$AB$92),UPPER(TEXT(EDATE($D121,Milestones!$AA$92),"dd mmm yy"))&amp;" "&amp;Milestones!$AB$92&amp;" "&amp;IF(AND(Milestones!$AB$92="FT",Milestones!$AA$92=FT_Y5,EDATE($D121,Milestones!$AA$92)&lt;PolicyEff),1,Milestones!$AC$92)&amp;";  ","")&amp;IF(AND(EDATE($D121,Milestones!$AA$93)&lt;=AsOfDate,EDATE($D121,Milestones!$AA$93)&gt;=SchemeStart,IF($X121=0,$AD121,IF(AND($Z121&lt;&gt;"",EDATE($D121,Milestones!$AA$93)&gt;=$Z121),$AC121,IF(AND($Y121&lt;&gt;"",EDATE($D121,Milestones!$AA$93)&gt;=$Y121),$AB121,$AA121)))=Milestones!$AB$93),UPPER(TEXT(EDATE($D121,Milestones!$AA$93),"dd mmm yy"))&amp;" "&amp;Milestones!$AB$93&amp;" "&amp;IF(AND(Milestones!$AB$93="FT",Milestones!$AA$93=FT_Y5,EDATE($D121,Milestones!$AA$93)&lt;PolicyEff),1,Milestones!$AC$93)&amp;";  ","")&amp;IF(AND(EDATE($D121,Milestones!$AA$94)&lt;=AsOfDate,EDATE($D121,Milestones!$AA$94)&gt;=SchemeStart,IF($X121=0,$AD121,IF(AND($Z121&lt;&gt;"",EDATE($D121,Milestones!$AA$94)&gt;=$Z121),$AC121,IF(AND($Y121&lt;&gt;"",EDATE($D121,Milestones!$AA$94)&gt;=$Y121),$AB121,$AA121)))=Milestones!$AB$94),UPPER(TEXT(EDATE($D121,Milestones!$AA$94),"dd mmm yy"))&amp;" "&amp;Milestones!$AB$94&amp;" "&amp;IF(AND(Milestones!$AB$94="FT",Milestones!$AA$94=FT_Y5,EDATE($D121,Milestones!$AA$94)&lt;PolicyEff),1,Milestones!$AC$94)&amp;";  ","")&amp;IF(AND(EDATE($D121,Milestones!$AA$95)&lt;=AsOfDate,EDATE($D121,Milestones!$AA$95)&gt;=SchemeStart,IF($X121=0,$AD121,IF(AND($Z121&lt;&gt;"",EDATE($D121,Milestones!$AA$95)&gt;=$Z121),$AC121,IF(AND($Y121&lt;&gt;"",EDATE($D121,Milestones!$AA$95)&gt;=$Y121),$AB121,$AA121)))=Milestones!$AB$95),UPPER(TEXT(EDATE($D121,Milestones!$AA$95),"dd mmm yy"))&amp;" "&amp;Milestones!$AB$95&amp;" "&amp;IF(AND(Milestones!$AB$95="FT",Milestones!$AA$95=FT_Y5,EDATE($D121,Milestones!$AA$95)&lt;PolicyEff),1,Milestones!$AC$95)&amp;";  ","")&amp;IF(AND(EDATE($D121,Milestones!$AA$96)&lt;=AsOfDate,EDATE($D121,Milestones!$AA$96)&gt;=SchemeStart,IF($X121=0,$AD121,IF(AND($Z121&lt;&gt;"",EDATE($D121,Milestones!$AA$96)&gt;=$Z121),$AC121,IF(AND($Y121&lt;&gt;"",EDATE($D121,Milestones!$AA$96)&gt;=$Y121),$AB121,$AA121)))=Milestones!$AB$96),UPPER(TEXT(EDATE($D121,Milestones!$AA$96),"dd mmm yy"))&amp;" "&amp;Milestones!$AB$96&amp;" "&amp;IF(AND(Milestones!$AB$96="FT",Milestones!$AA$96=FT_Y5,EDATE($D121,Milestones!$AA$96)&lt;PolicyEff),1,Milestones!$AC$96)&amp;";  ","")&amp;IF(AND(EDATE($D121,Milestones!$AA$97)&lt;=AsOfDate,EDATE($D121,Milestones!$AA$97)&gt;=SchemeStart,IF($X121=0,$AD121,IF(AND($Z121&lt;&gt;"",EDATE($D121,Milestones!$AA$97)&gt;=$Z121),$AC121,IF(AND($Y121&lt;&gt;"",EDATE($D121,Milestones!$AA$97)&gt;=$Y121),$AB121,$AA121)))=Milestones!$AB$97),UPPER(TEXT(EDATE($D121,Milestones!$AA$97),"dd mmm yy"))&amp;" "&amp;Milestones!$AB$97&amp;" "&amp;IF(AND(Milestones!$AB$97="FT",Milestones!$AA$97=FT_Y5,EDATE($D121,Milestones!$AA$97)&lt;PolicyEff),1,Milestones!$AC$97)&amp;";  ","")&amp;IF(AND(EDATE($D121,Milestones!$AA$98)&lt;=AsOfDate,EDATE($D121,Milestones!$AA$98)&gt;=SchemeStart,IF($X121=0,$AD121,IF(AND($Z121&lt;&gt;"",EDATE($D121,Milestones!$AA$98)&gt;=$Z121),$AC121,IF(AND($Y121&lt;&gt;"",EDATE($D121,Milestones!$AA$98)&gt;=$Y121),$AB121,$AA121)))=Milestones!$AB$98),UPPER(TEXT(EDATE($D121,Milestones!$AA$98),"dd mmm yy"))&amp;" "&amp;Milestones!$AB$98&amp;" "&amp;IF(AND(Milestones!$AB$98="FT",Milestones!$AA$98=FT_Y5,EDATE($D121,Milestones!$AA$98)&lt;PolicyEff),1,Milestones!$AC$98)&amp;";  ","")&amp;IF(AND(EDATE($D121,Milestones!$AA$99)&lt;=AsOfDate,EDATE($D121,Milestones!$AA$99)&gt;=SchemeStart,IF($X121=0,$AD121,IF(AND($Z121&lt;&gt;"",EDATE($D121,Milestones!$AA$99)&gt;=$Z121),$AC121,IF(AND($Y121&lt;&gt;"",EDATE($D121,Milestones!$AA$99)&gt;=$Y121),$AB121,$AA121)))=Milestones!$AB$99),UPPER(TEXT(EDATE($D121,Milestones!$AA$99),"dd mmm yy"))&amp;" "&amp;Milestones!$AB$99&amp;" "&amp;IF(AND(Milestones!$AB$99="FT",Milestones!$AA$99=FT_Y5,EDATE($D121,Milestones!$AA$99)&lt;PolicyEff),1,Milestones!$AC$99)&amp;";  ","")&amp;IF(AND(EDATE($D121,Milestones!$AA$100)&lt;=AsOfDate,EDATE($D121,Milestones!$AA$100)&gt;=SchemeStart,IF($X121=0,$AD121,IF(AND($Z121&lt;&gt;"",EDATE($D121,Milestones!$AA$100)&gt;=$Z121),$AC121,IF(AND($Y121&lt;&gt;"",EDATE($D121,Milestones!$AA$100)&gt;=$Y121),$AB121,$AA121)))=Milestones!$AB$100),UPPER(TEXT(EDATE($D121,Milestones!$AA$100),"dd mmm yy"))&amp;" "&amp;Milestones!$AB$100&amp;" "&amp;IF(AND(Milestones!$AB$100="FT",Milestones!$AA$100=FT_Y5,EDATE($D121,Milestones!$AA$100)&lt;PolicyEff),1,Milestones!$AC$100)&amp;";  ","")&amp;IF(AND(EDATE($D121,Milestones!$AA$101)&lt;=AsOfDate,EDATE($D121,Milestones!$AA$101)&gt;=SchemeStart,IF($X121=0,$AD121,IF(AND($Z121&lt;&gt;"",EDATE($D121,Milestones!$AA$101)&gt;=$Z121),$AC121,IF(AND($Y121&lt;&gt;"",EDATE($D121,Milestones!$AA$101)&gt;=$Y121),$AB121,$AA121)))=Milestones!$AB$101),UPPER(TEXT(EDATE($D121,Milestones!$AA$101),"dd mmm yy"))&amp;" "&amp;Milestones!$AB$101&amp;" "&amp;IF(AND(Milestones!$AB$101="FT",Milestones!$AA$101=FT_Y5,EDATE($D121,Milestones!$AA$101)&lt;PolicyEff),1,Milestones!$AC$101)&amp;";  ","")&amp;IF(AND(EDATE($D121,Milestones!$AA$102)&lt;=AsOfDate,EDATE($D121,Milestones!$AA$102)&gt;=SchemeStart,IF($X121=0,$AD121,IF(AND($Z121&lt;&gt;"",EDATE($D121,Milestones!$AA$102)&gt;=$Z121),$AC121,IF(AND($Y121&lt;&gt;"",EDATE($D121,Milestones!$AA$102)&gt;=$Y121),$AB121,$AA121)))=Milestones!$AB$102),UPPER(TEXT(EDATE($D121,Milestones!$AA$102),"dd mmm yy"))&amp;" "&amp;Milestones!$AB$102&amp;" "&amp;IF(AND(Milestones!$AB$102="FT",Milestones!$AA$102=FT_Y5,EDATE($D121,Milestones!$AA$102)&lt;PolicyEff),1,Milestones!$AC$102)&amp;";  ","")&amp;IF(AND(EDATE($D121,Milestones!$AA$103)&lt;=AsOfDate,EDATE($D121,Milestones!$AA$103)&gt;=SchemeStart,IF($X121=0,$AD121,IF(AND($Z121&lt;&gt;"",EDATE($D121,Milestones!$AA$103)&gt;=$Z121),$AC121,IF(AND($Y121&lt;&gt;"",EDATE($D121,Milestones!$AA$103)&gt;=$Y121),$AB121,$AA121)))=Milestones!$AB$103),UPPER(TEXT(EDATE($D121,Milestones!$AA$103),"dd mmm yy"))&amp;" "&amp;Milestones!$AB$103&amp;" "&amp;IF(AND(Milestones!$AB$103="FT",Milestones!$AA$103=FT_Y5,EDATE($D121,Milestones!$AA$103)&lt;PolicyEff),1,Milestones!$AC$103)&amp;";  ",""))</f>
        <v/>
      </c>
      <c r="P121" s="0" t="str">
        <f aca="false">IF(OR($A121="",$D121=""),"",IF(AND(EDATE($D121,Milestones!$AA$104)&lt;=AsOfDate,EDATE($D121,Milestones!$AA$104)&gt;=SchemeStart,IF($X121=0,$AD121,IF(AND($Z121&lt;&gt;"",EDATE($D121,Milestones!$AA$104)&gt;=$Z121),$AC121,IF(AND($Y121&lt;&gt;"",EDATE($D121,Milestones!$AA$104)&gt;=$Y121),$AB121,$AA121)))=Milestones!$AB$104),UPPER(TEXT(EDATE($D121,Milestones!$AA$104),"dd mmm yy"))&amp;" "&amp;Milestones!$AB$104&amp;" "&amp;IF(AND(Milestones!$AB$104="FT",Milestones!$AA$104=FT_Y5,EDATE($D121,Milestones!$AA$104)&lt;PolicyEff),1,Milestones!$AC$104)&amp;";  ","")&amp;IF(AND(EDATE($D121,Milestones!$AA$105)&lt;=AsOfDate,EDATE($D121,Milestones!$AA$105)&gt;=SchemeStart,IF($X121=0,$AD121,IF(AND($Z121&lt;&gt;"",EDATE($D121,Milestones!$AA$105)&gt;=$Z121),$AC121,IF(AND($Y121&lt;&gt;"",EDATE($D121,Milestones!$AA$105)&gt;=$Y121),$AB121,$AA121)))=Milestones!$AB$105),UPPER(TEXT(EDATE($D121,Milestones!$AA$105),"dd mmm yy"))&amp;" "&amp;Milestones!$AB$105&amp;" "&amp;IF(AND(Milestones!$AB$105="FT",Milestones!$AA$105=FT_Y5,EDATE($D121,Milestones!$AA$105)&lt;PolicyEff),1,Milestones!$AC$105)&amp;";  ","")&amp;IF(AND(EDATE($D121,Milestones!$AA$106)&lt;=AsOfDate,EDATE($D121,Milestones!$AA$106)&gt;=SchemeStart,IF($X121=0,$AD121,IF(AND($Z121&lt;&gt;"",EDATE($D121,Milestones!$AA$106)&gt;=$Z121),$AC121,IF(AND($Y121&lt;&gt;"",EDATE($D121,Milestones!$AA$106)&gt;=$Y121),$AB121,$AA121)))=Milestones!$AB$106),UPPER(TEXT(EDATE($D121,Milestones!$AA$106),"dd mmm yy"))&amp;" "&amp;Milestones!$AB$106&amp;" "&amp;IF(AND(Milestones!$AB$106="FT",Milestones!$AA$106=FT_Y5,EDATE($D121,Milestones!$AA$106)&lt;PolicyEff),1,Milestones!$AC$106)&amp;";  ","")&amp;IF(AND(EDATE($D121,Milestones!$AA$107)&lt;=AsOfDate,EDATE($D121,Milestones!$AA$107)&gt;=SchemeStart,IF($X121=0,$AD121,IF(AND($Z121&lt;&gt;"",EDATE($D121,Milestones!$AA$107)&gt;=$Z121),$AC121,IF(AND($Y121&lt;&gt;"",EDATE($D121,Milestones!$AA$107)&gt;=$Y121),$AB121,$AA121)))=Milestones!$AB$107),UPPER(TEXT(EDATE($D121,Milestones!$AA$107),"dd mmm yy"))&amp;" "&amp;Milestones!$AB$107&amp;" "&amp;IF(AND(Milestones!$AB$107="FT",Milestones!$AA$107=FT_Y5,EDATE($D121,Milestones!$AA$107)&lt;PolicyEff),1,Milestones!$AC$107)&amp;";  ","")&amp;IF(AND(EDATE($D121,Milestones!$AA$108)&lt;=AsOfDate,EDATE($D121,Milestones!$AA$108)&gt;=SchemeStart,IF($X121=0,$AD121,IF(AND($Z121&lt;&gt;"",EDATE($D121,Milestones!$AA$108)&gt;=$Z121),$AC121,IF(AND($Y121&lt;&gt;"",EDATE($D121,Milestones!$AA$108)&gt;=$Y121),$AB121,$AA121)))=Milestones!$AB$108),UPPER(TEXT(EDATE($D121,Milestones!$AA$108),"dd mmm yy"))&amp;" "&amp;Milestones!$AB$108&amp;" "&amp;IF(AND(Milestones!$AB$108="FT",Milestones!$AA$108=FT_Y5,EDATE($D121,Milestones!$AA$108)&lt;PolicyEff),1,Milestones!$AC$108)&amp;";  ","")&amp;IF(AND(EDATE($D121,Milestones!$AA$109)&lt;=AsOfDate,EDATE($D121,Milestones!$AA$109)&gt;=SchemeStart,IF($X121=0,$AD121,IF(AND($Z121&lt;&gt;"",EDATE($D121,Milestones!$AA$109)&gt;=$Z121),$AC121,IF(AND($Y121&lt;&gt;"",EDATE($D121,Milestones!$AA$109)&gt;=$Y121),$AB121,$AA121)))=Milestones!$AB$109),UPPER(TEXT(EDATE($D121,Milestones!$AA$109),"dd mmm yy"))&amp;" "&amp;Milestones!$AB$109&amp;" "&amp;IF(AND(Milestones!$AB$109="FT",Milestones!$AA$109=FT_Y5,EDATE($D121,Milestones!$AA$109)&lt;PolicyEff),1,Milestones!$AC$109)&amp;";  ","")&amp;IF(AND(EDATE($D121,Milestones!$AA$110)&lt;=AsOfDate,EDATE($D121,Milestones!$AA$110)&gt;=SchemeStart,IF($X121=0,$AD121,IF(AND($Z121&lt;&gt;"",EDATE($D121,Milestones!$AA$110)&gt;=$Z121),$AC121,IF(AND($Y121&lt;&gt;"",EDATE($D121,Milestones!$AA$110)&gt;=$Y121),$AB121,$AA121)))=Milestones!$AB$110),UPPER(TEXT(EDATE($D121,Milestones!$AA$110),"dd mmm yy"))&amp;" "&amp;Milestones!$AB$110&amp;" "&amp;IF(AND(Milestones!$AB$110="FT",Milestones!$AA$110=FT_Y5,EDATE($D121,Milestones!$AA$110)&lt;PolicyEff),1,Milestones!$AC$110)&amp;";  ","")&amp;IF(AND(EDATE($D121,Milestones!$AA$111)&lt;=AsOfDate,EDATE($D121,Milestones!$AA$111)&gt;=SchemeStart,IF($X121=0,$AD121,IF(AND($Z121&lt;&gt;"",EDATE($D121,Milestones!$AA$111)&gt;=$Z121),$AC121,IF(AND($Y121&lt;&gt;"",EDATE($D121,Milestones!$AA$111)&gt;=$Y121),$AB121,$AA121)))=Milestones!$AB$111),UPPER(TEXT(EDATE($D121,Milestones!$AA$111),"dd mmm yy"))&amp;" "&amp;Milestones!$AB$111&amp;" "&amp;IF(AND(Milestones!$AB$111="FT",Milestones!$AA$111=FT_Y5,EDATE($D121,Milestones!$AA$111)&lt;PolicyEff),1,Milestones!$AC$111)&amp;";  ","")&amp;IF(AND(EDATE($D121,Milestones!$AA$112)&lt;=AsOfDate,EDATE($D121,Milestones!$AA$112)&gt;=SchemeStart,IF($X121=0,$AD121,IF(AND($Z121&lt;&gt;"",EDATE($D121,Milestones!$AA$112)&gt;=$Z121),$AC121,IF(AND($Y121&lt;&gt;"",EDATE($D121,Milestones!$AA$112)&gt;=$Y121),$AB121,$AA121)))=Milestones!$AB$112),UPPER(TEXT(EDATE($D121,Milestones!$AA$112),"dd mmm yy"))&amp;" "&amp;Milestones!$AB$112&amp;" "&amp;IF(AND(Milestones!$AB$112="FT",Milestones!$AA$112=FT_Y5,EDATE($D121,Milestones!$AA$112)&lt;PolicyEff),1,Milestones!$AC$112)&amp;";  ","")&amp;IF(AND(EDATE($D121,Milestones!$AA$113)&lt;=AsOfDate,EDATE($D121,Milestones!$AA$113)&gt;=SchemeStart,IF($X121=0,$AD121,IF(AND($Z121&lt;&gt;"",EDATE($D121,Milestones!$AA$113)&gt;=$Z121),$AC121,IF(AND($Y121&lt;&gt;"",EDATE($D121,Milestones!$AA$113)&gt;=$Y121),$AB121,$AA121)))=Milestones!$AB$113),UPPER(TEXT(EDATE($D121,Milestones!$AA$113),"dd mmm yy"))&amp;" "&amp;Milestones!$AB$113&amp;" "&amp;IF(AND(Milestones!$AB$113="FT",Milestones!$AA$113=FT_Y5,EDATE($D121,Milestones!$AA$113)&lt;PolicyEff),1,Milestones!$AC$113)&amp;";  ","")&amp;IF(AND(EDATE($D121,Milestones!$AA$114)&lt;=AsOfDate,EDATE($D121,Milestones!$AA$114)&gt;=SchemeStart,IF($X121=0,$AD121,IF(AND($Z121&lt;&gt;"",EDATE($D121,Milestones!$AA$114)&gt;=$Z121),$AC121,IF(AND($Y121&lt;&gt;"",EDATE($D121,Milestones!$AA$114)&gt;=$Y121),$AB121,$AA121)))=Milestones!$AB$114),UPPER(TEXT(EDATE($D121,Milestones!$AA$114),"dd mmm yy"))&amp;" "&amp;Milestones!$AB$114&amp;" "&amp;IF(AND(Milestones!$AB$114="FT",Milestones!$AA$114=FT_Y5,EDATE($D121,Milestones!$AA$114)&lt;PolicyEff),1,Milestones!$AC$114)&amp;";  ","")&amp;IF(AND(EDATE($D121,Milestones!$AA$115)&lt;=AsOfDate,EDATE($D121,Milestones!$AA$115)&gt;=SchemeStart,IF($X121=0,$AD121,IF(AND($Z121&lt;&gt;"",EDATE($D121,Milestones!$AA$115)&gt;=$Z121),$AC121,IF(AND($Y121&lt;&gt;"",EDATE($D121,Milestones!$AA$115)&gt;=$Y121),$AB121,$AA121)))=Milestones!$AB$115),UPPER(TEXT(EDATE($D121,Milestones!$AA$115),"dd mmm yy"))&amp;" "&amp;Milestones!$AB$115&amp;" "&amp;IF(AND(Milestones!$AB$115="FT",Milestones!$AA$115=FT_Y5,EDATE($D121,Milestones!$AA$115)&lt;PolicyEff),1,Milestones!$AC$115)&amp;";  ",""))</f>
        <v/>
      </c>
      <c r="Q121" s="0" t="str">
        <f aca="false">IF(OR($A121="",$D121=""),"",IF(AND(EDATE($D121,Milestones!$AA$116)&lt;=AsOfDate,EDATE($D121,Milestones!$AA$116)&gt;=SchemeStart,IF($X121=0,$AD121,IF(AND($Z121&lt;&gt;"",EDATE($D121,Milestones!$AA$116)&gt;=$Z121),$AC121,IF(AND($Y121&lt;&gt;"",EDATE($D121,Milestones!$AA$116)&gt;=$Y121),$AB121,$AA121)))=Milestones!$AB$116),UPPER(TEXT(EDATE($D121,Milestones!$AA$116),"dd mmm yy"))&amp;" "&amp;Milestones!$AB$116&amp;" "&amp;IF(AND(Milestones!$AB$116="FT",Milestones!$AA$116=FT_Y5,EDATE($D121,Milestones!$AA$116)&lt;PolicyEff),1,Milestones!$AC$116)&amp;";  ","")&amp;IF(AND(EDATE($D121,Milestones!$AA$117)&lt;=AsOfDate,EDATE($D121,Milestones!$AA$117)&gt;=SchemeStart,IF($X121=0,$AD121,IF(AND($Z121&lt;&gt;"",EDATE($D121,Milestones!$AA$117)&gt;=$Z121),$AC121,IF(AND($Y121&lt;&gt;"",EDATE($D121,Milestones!$AA$117)&gt;=$Y121),$AB121,$AA121)))=Milestones!$AB$117),UPPER(TEXT(EDATE($D121,Milestones!$AA$117),"dd mmm yy"))&amp;" "&amp;Milestones!$AB$117&amp;" "&amp;IF(AND(Milestones!$AB$117="FT",Milestones!$AA$117=FT_Y5,EDATE($D121,Milestones!$AA$117)&lt;PolicyEff),1,Milestones!$AC$117)&amp;";  ","")&amp;IF(AND(EDATE($D121,Milestones!$AA$118)&lt;=AsOfDate,EDATE($D121,Milestones!$AA$118)&gt;=SchemeStart,IF($X121=0,$AD121,IF(AND($Z121&lt;&gt;"",EDATE($D121,Milestones!$AA$118)&gt;=$Z121),$AC121,IF(AND($Y121&lt;&gt;"",EDATE($D121,Milestones!$AA$118)&gt;=$Y121),$AB121,$AA121)))=Milestones!$AB$118),UPPER(TEXT(EDATE($D121,Milestones!$AA$118),"dd mmm yy"))&amp;" "&amp;Milestones!$AB$118&amp;" "&amp;IF(AND(Milestones!$AB$118="FT",Milestones!$AA$118=FT_Y5,EDATE($D121,Milestones!$AA$118)&lt;PolicyEff),1,Milestones!$AC$118)&amp;";  ","")&amp;IF(AND(EDATE($D121,Milestones!$AA$119)&lt;=AsOfDate,EDATE($D121,Milestones!$AA$119)&gt;=SchemeStart,IF($X121=0,$AD121,IF(AND($Z121&lt;&gt;"",EDATE($D121,Milestones!$AA$119)&gt;=$Z121),$AC121,IF(AND($Y121&lt;&gt;"",EDATE($D121,Milestones!$AA$119)&gt;=$Y121),$AB121,$AA121)))=Milestones!$AB$119),UPPER(TEXT(EDATE($D121,Milestones!$AA$119),"dd mmm yy"))&amp;" "&amp;Milestones!$AB$119&amp;" "&amp;IF(AND(Milestones!$AB$119="FT",Milestones!$AA$119=FT_Y5,EDATE($D121,Milestones!$AA$119)&lt;PolicyEff),1,Milestones!$AC$119)&amp;";  ","")&amp;IF(AND(EDATE($D121,Milestones!$AA$120)&lt;=AsOfDate,EDATE($D121,Milestones!$AA$120)&gt;=SchemeStart,IF($X121=0,$AD121,IF(AND($Z121&lt;&gt;"",EDATE($D121,Milestones!$AA$120)&gt;=$Z121),$AC121,IF(AND($Y121&lt;&gt;"",EDATE($D121,Milestones!$AA$120)&gt;=$Y121),$AB121,$AA121)))=Milestones!$AB$120),UPPER(TEXT(EDATE($D121,Milestones!$AA$120),"dd mmm yy"))&amp;" "&amp;Milestones!$AB$120&amp;" "&amp;IF(AND(Milestones!$AB$120="FT",Milestones!$AA$120=FT_Y5,EDATE($D121,Milestones!$AA$120)&lt;PolicyEff),1,Milestones!$AC$120)&amp;";  ","")&amp;IF(AND(EDATE($D121,Milestones!$AA$121)&lt;=AsOfDate,EDATE($D121,Milestones!$AA$121)&gt;=SchemeStart,IF($X121=0,$AD121,IF(AND($Z121&lt;&gt;"",EDATE($D121,Milestones!$AA$121)&gt;=$Z121),$AC121,IF(AND($Y121&lt;&gt;"",EDATE($D121,Milestones!$AA$121)&gt;=$Y121),$AB121,$AA121)))=Milestones!$AB$121),UPPER(TEXT(EDATE($D121,Milestones!$AA$121),"dd mmm yy"))&amp;" "&amp;Milestones!$AB$121&amp;" "&amp;IF(AND(Milestones!$AB$121="FT",Milestones!$AA$121=FT_Y5,EDATE($D121,Milestones!$AA$121)&lt;PolicyEff),1,Milestones!$AC$121)&amp;";  ","")&amp;IF(AND(EDATE($D121,Milestones!$AA$122)&lt;=AsOfDate,EDATE($D121,Milestones!$AA$122)&gt;=SchemeStart,IF($X121=0,$AD121,IF(AND($Z121&lt;&gt;"",EDATE($D121,Milestones!$AA$122)&gt;=$Z121),$AC121,IF(AND($Y121&lt;&gt;"",EDATE($D121,Milestones!$AA$122)&gt;=$Y121),$AB121,$AA121)))=Milestones!$AB$122),UPPER(TEXT(EDATE($D121,Milestones!$AA$122),"dd mmm yy"))&amp;" "&amp;Milestones!$AB$122&amp;" "&amp;IF(AND(Milestones!$AB$122="FT",Milestones!$AA$122=FT_Y5,EDATE($D121,Milestones!$AA$122)&lt;PolicyEff),1,Milestones!$AC$122)&amp;";  ","")&amp;IF(AND(EDATE($D121,Milestones!$AA$123)&lt;=AsOfDate,EDATE($D121,Milestones!$AA$123)&gt;=SchemeStart,IF($X121=0,$AD121,IF(AND($Z121&lt;&gt;"",EDATE($D121,Milestones!$AA$123)&gt;=$Z121),$AC121,IF(AND($Y121&lt;&gt;"",EDATE($D121,Milestones!$AA$123)&gt;=$Y121),$AB121,$AA121)))=Milestones!$AB$123),UPPER(TEXT(EDATE($D121,Milestones!$AA$123),"dd mmm yy"))&amp;" "&amp;Milestones!$AB$123&amp;" "&amp;IF(AND(Milestones!$AB$123="FT",Milestones!$AA$123=FT_Y5,EDATE($D121,Milestones!$AA$123)&lt;PolicyEff),1,Milestones!$AC$123)&amp;";  ","")&amp;IF(AND(EDATE($D121,Milestones!$AA$124)&lt;=AsOfDate,EDATE($D121,Milestones!$AA$124)&gt;=SchemeStart,IF($X121=0,$AD121,IF(AND($Z121&lt;&gt;"",EDATE($D121,Milestones!$AA$124)&gt;=$Z121),$AC121,IF(AND($Y121&lt;&gt;"",EDATE($D121,Milestones!$AA$124)&gt;=$Y121),$AB121,$AA121)))=Milestones!$AB$124),UPPER(TEXT(EDATE($D121,Milestones!$AA$124),"dd mmm yy"))&amp;" "&amp;Milestones!$AB$124&amp;" "&amp;IF(AND(Milestones!$AB$124="FT",Milestones!$AA$124=FT_Y5,EDATE($D121,Milestones!$AA$124)&lt;PolicyEff),1,Milestones!$AC$124)&amp;";  ","")&amp;IF(AND(EDATE($D121,Milestones!$AA$125)&lt;=AsOfDate,EDATE($D121,Milestones!$AA$125)&gt;=SchemeStart,IF($X121=0,$AD121,IF(AND($Z121&lt;&gt;"",EDATE($D121,Milestones!$AA$125)&gt;=$Z121),$AC121,IF(AND($Y121&lt;&gt;"",EDATE($D121,Milestones!$AA$125)&gt;=$Y121),$AB121,$AA121)))=Milestones!$AB$125),UPPER(TEXT(EDATE($D121,Milestones!$AA$125),"dd mmm yy"))&amp;" "&amp;Milestones!$AB$125&amp;" "&amp;IF(AND(Milestones!$AB$125="FT",Milestones!$AA$125=FT_Y5,EDATE($D121,Milestones!$AA$125)&lt;PolicyEff),1,Milestones!$AC$125)&amp;";  ","")&amp;IF(AND(EDATE($D121,Milestones!$AA$126)&lt;=AsOfDate,EDATE($D121,Milestones!$AA$126)&gt;=SchemeStart,IF($X121=0,$AD121,IF(AND($Z121&lt;&gt;"",EDATE($D121,Milestones!$AA$126)&gt;=$Z121),$AC121,IF(AND($Y121&lt;&gt;"",EDATE($D121,Milestones!$AA$126)&gt;=$Y121),$AB121,$AA121)))=Milestones!$AB$126),UPPER(TEXT(EDATE($D121,Milestones!$AA$126),"dd mmm yy"))&amp;" "&amp;Milestones!$AB$126&amp;" "&amp;IF(AND(Milestones!$AB$126="FT",Milestones!$AA$126=FT_Y5,EDATE($D121,Milestones!$AA$126)&lt;PolicyEff),1,Milestones!$AC$126)&amp;";  ","")&amp;IF(AND(EDATE($D121,Milestones!$AA$127)&lt;=AsOfDate,EDATE($D121,Milestones!$AA$127)&gt;=SchemeStart,IF($X121=0,$AD121,IF(AND($Z121&lt;&gt;"",EDATE($D121,Milestones!$AA$127)&gt;=$Z121),$AC121,IF(AND($Y121&lt;&gt;"",EDATE($D121,Milestones!$AA$127)&gt;=$Y121),$AB121,$AA121)))=Milestones!$AB$127),UPPER(TEXT(EDATE($D121,Milestones!$AA$127),"dd mmm yy"))&amp;" "&amp;Milestones!$AB$127&amp;" "&amp;IF(AND(Milestones!$AB$127="FT",Milestones!$AA$127=FT_Y5,EDATE($D121,Milestones!$AA$127)&lt;PolicyEff),1,Milestones!$AC$127)&amp;";  ",""))</f>
        <v/>
      </c>
      <c r="R121" s="0" t="str">
        <f aca="false">IF(OR($A121="",$D121=""),"",IF(AND(EDATE($D121,Milestones!$AA$128)&lt;=AsOfDate,EDATE($D121,Milestones!$AA$128)&gt;=SchemeStart,IF($X121=0,$AD121,IF(AND($Z121&lt;&gt;"",EDATE($D121,Milestones!$AA$128)&gt;=$Z121),$AC121,IF(AND($Y121&lt;&gt;"",EDATE($D121,Milestones!$AA$128)&gt;=$Y121),$AB121,$AA121)))=Milestones!$AB$128),UPPER(TEXT(EDATE($D121,Milestones!$AA$128),"dd mmm yy"))&amp;" "&amp;Milestones!$AB$128&amp;" "&amp;IF(AND(Milestones!$AB$128="FT",Milestones!$AA$128=FT_Y5,EDATE($D121,Milestones!$AA$128)&lt;PolicyEff),1,Milestones!$AC$128)&amp;";  ","")&amp;IF(AND(EDATE($D121,Milestones!$AA$129)&lt;=AsOfDate,EDATE($D121,Milestones!$AA$129)&gt;=SchemeStart,IF($X121=0,$AD121,IF(AND($Z121&lt;&gt;"",EDATE($D121,Milestones!$AA$129)&gt;=$Z121),$AC121,IF(AND($Y121&lt;&gt;"",EDATE($D121,Milestones!$AA$129)&gt;=$Y121),$AB121,$AA121)))=Milestones!$AB$129),UPPER(TEXT(EDATE($D121,Milestones!$AA$129),"dd mmm yy"))&amp;" "&amp;Milestones!$AB$129&amp;" "&amp;IF(AND(Milestones!$AB$129="FT",Milestones!$AA$129=FT_Y5,EDATE($D121,Milestones!$AA$129)&lt;PolicyEff),1,Milestones!$AC$129)&amp;";  ","")&amp;IF(AND(EDATE($D121,Milestones!$AA$130)&lt;=AsOfDate,EDATE($D121,Milestones!$AA$130)&gt;=SchemeStart,IF($X121=0,$AD121,IF(AND($Z121&lt;&gt;"",EDATE($D121,Milestones!$AA$130)&gt;=$Z121),$AC121,IF(AND($Y121&lt;&gt;"",EDATE($D121,Milestones!$AA$130)&gt;=$Y121),$AB121,$AA121)))=Milestones!$AB$130),UPPER(TEXT(EDATE($D121,Milestones!$AA$130),"dd mmm yy"))&amp;" "&amp;Milestones!$AB$130&amp;" "&amp;IF(AND(Milestones!$AB$130="FT",Milestones!$AA$130=FT_Y5,EDATE($D121,Milestones!$AA$130)&lt;PolicyEff),1,Milestones!$AC$130)&amp;";  ","")&amp;IF(AND(EDATE($D121,Milestones!$AA$131)&lt;=AsOfDate,EDATE($D121,Milestones!$AA$131)&gt;=SchemeStart,IF($X121=0,$AD121,IF(AND($Z121&lt;&gt;"",EDATE($D121,Milestones!$AA$131)&gt;=$Z121),$AC121,IF(AND($Y121&lt;&gt;"",EDATE($D121,Milestones!$AA$131)&gt;=$Y121),$AB121,$AA121)))=Milestones!$AB$131),UPPER(TEXT(EDATE($D121,Milestones!$AA$131),"dd mmm yy"))&amp;" "&amp;Milestones!$AB$131&amp;" "&amp;IF(AND(Milestones!$AB$131="FT",Milestones!$AA$131=FT_Y5,EDATE($D121,Milestones!$AA$131)&lt;PolicyEff),1,Milestones!$AC$131)&amp;";  ","")&amp;IF(AND(EDATE($D121,Milestones!$AA$132)&lt;=AsOfDate,EDATE($D121,Milestones!$AA$132)&gt;=SchemeStart,IF($X121=0,$AD121,IF(AND($Z121&lt;&gt;"",EDATE($D121,Milestones!$AA$132)&gt;=$Z121),$AC121,IF(AND($Y121&lt;&gt;"",EDATE($D121,Milestones!$AA$132)&gt;=$Y121),$AB121,$AA121)))=Milestones!$AB$132),UPPER(TEXT(EDATE($D121,Milestones!$AA$132),"dd mmm yy"))&amp;" "&amp;Milestones!$AB$132&amp;" "&amp;IF(AND(Milestones!$AB$132="FT",Milestones!$AA$132=FT_Y5,EDATE($D121,Milestones!$AA$132)&lt;PolicyEff),1,Milestones!$AC$132)&amp;";  ","")&amp;IF(AND(EDATE($D121,Milestones!$AA$133)&lt;=AsOfDate,EDATE($D121,Milestones!$AA$133)&gt;=SchemeStart,IF($X121=0,$AD121,IF(AND($Z121&lt;&gt;"",EDATE($D121,Milestones!$AA$133)&gt;=$Z121),$AC121,IF(AND($Y121&lt;&gt;"",EDATE($D121,Milestones!$AA$133)&gt;=$Y121),$AB121,$AA121)))=Milestones!$AB$133),UPPER(TEXT(EDATE($D121,Milestones!$AA$133),"dd mmm yy"))&amp;" "&amp;Milestones!$AB$133&amp;" "&amp;IF(AND(Milestones!$AB$133="FT",Milestones!$AA$133=FT_Y5,EDATE($D121,Milestones!$AA$133)&lt;PolicyEff),1,Milestones!$AC$133)&amp;";  ","")&amp;IF(AND(EDATE($D121,Milestones!$AA$134)&lt;=AsOfDate,EDATE($D121,Milestones!$AA$134)&gt;=SchemeStart,IF($X121=0,$AD121,IF(AND($Z121&lt;&gt;"",EDATE($D121,Milestones!$AA$134)&gt;=$Z121),$AC121,IF(AND($Y121&lt;&gt;"",EDATE($D121,Milestones!$AA$134)&gt;=$Y121),$AB121,$AA121)))=Milestones!$AB$134),UPPER(TEXT(EDATE($D121,Milestones!$AA$134),"dd mmm yy"))&amp;" "&amp;Milestones!$AB$134&amp;" "&amp;IF(AND(Milestones!$AB$134="FT",Milestones!$AA$134=FT_Y5,EDATE($D121,Milestones!$AA$134)&lt;PolicyEff),1,Milestones!$AC$134)&amp;";  ","")&amp;IF(AND(EDATE($D121,Milestones!$AA$135)&lt;=AsOfDate,EDATE($D121,Milestones!$AA$135)&gt;=SchemeStart,IF($X121=0,$AD121,IF(AND($Z121&lt;&gt;"",EDATE($D121,Milestones!$AA$135)&gt;=$Z121),$AC121,IF(AND($Y121&lt;&gt;"",EDATE($D121,Milestones!$AA$135)&gt;=$Y121),$AB121,$AA121)))=Milestones!$AB$135),UPPER(TEXT(EDATE($D121,Milestones!$AA$135),"dd mmm yy"))&amp;" "&amp;Milestones!$AB$135&amp;" "&amp;IF(AND(Milestones!$AB$135="FT",Milestones!$AA$135=FT_Y5,EDATE($D121,Milestones!$AA$135)&lt;PolicyEff),1,Milestones!$AC$135)&amp;";  ","")&amp;IF(AND(EDATE($D121,Milestones!$AA$136)&lt;=AsOfDate,EDATE($D121,Milestones!$AA$136)&gt;=SchemeStart,IF($X121=0,$AD121,IF(AND($Z121&lt;&gt;"",EDATE($D121,Milestones!$AA$136)&gt;=$Z121),$AC121,IF(AND($Y121&lt;&gt;"",EDATE($D121,Milestones!$AA$136)&gt;=$Y121),$AB121,$AA121)))=Milestones!$AB$136),UPPER(TEXT(EDATE($D121,Milestones!$AA$136),"dd mmm yy"))&amp;" "&amp;Milestones!$AB$136&amp;" "&amp;IF(AND(Milestones!$AB$136="FT",Milestones!$AA$136=FT_Y5,EDATE($D121,Milestones!$AA$136)&lt;PolicyEff),1,Milestones!$AC$136)&amp;";  ","")&amp;IF(AND(EDATE($D121,Milestones!$AA$137)&lt;=AsOfDate,EDATE($D121,Milestones!$AA$137)&gt;=SchemeStart,IF($X121=0,$AD121,IF(AND($Z121&lt;&gt;"",EDATE($D121,Milestones!$AA$137)&gt;=$Z121),$AC121,IF(AND($Y121&lt;&gt;"",EDATE($D121,Milestones!$AA$137)&gt;=$Y121),$AB121,$AA121)))=Milestones!$AB$137),UPPER(TEXT(EDATE($D121,Milestones!$AA$137),"dd mmm yy"))&amp;" "&amp;Milestones!$AB$137&amp;" "&amp;IF(AND(Milestones!$AB$137="FT",Milestones!$AA$137=FT_Y5,EDATE($D121,Milestones!$AA$137)&lt;PolicyEff),1,Milestones!$AC$137)&amp;";  ","")&amp;IF(AND(EDATE($D121,Milestones!$AA$138)&lt;=AsOfDate,EDATE($D121,Milestones!$AA$138)&gt;=SchemeStart,IF($X121=0,$AD121,IF(AND($Z121&lt;&gt;"",EDATE($D121,Milestones!$AA$138)&gt;=$Z121),$AC121,IF(AND($Y121&lt;&gt;"",EDATE($D121,Milestones!$AA$138)&gt;=$Y121),$AB121,$AA121)))=Milestones!$AB$138),UPPER(TEXT(EDATE($D121,Milestones!$AA$138),"dd mmm yy"))&amp;" "&amp;Milestones!$AB$138&amp;" "&amp;IF(AND(Milestones!$AB$138="FT",Milestones!$AA$138=FT_Y5,EDATE($D121,Milestones!$AA$138)&lt;PolicyEff),1,Milestones!$AC$138)&amp;";  ","")&amp;IF(AND(EDATE($D121,Milestones!$AA$139)&lt;=AsOfDate,EDATE($D121,Milestones!$AA$139)&gt;=SchemeStart,IF($X121=0,$AD121,IF(AND($Z121&lt;&gt;"",EDATE($D121,Milestones!$AA$139)&gt;=$Z121),$AC121,IF(AND($Y121&lt;&gt;"",EDATE($D121,Milestones!$AA$139)&gt;=$Y121),$AB121,$AA121)))=Milestones!$AB$139),UPPER(TEXT(EDATE($D121,Milestones!$AA$139),"dd mmm yy"))&amp;" "&amp;Milestones!$AB$139&amp;" "&amp;IF(AND(Milestones!$AB$139="FT",Milestones!$AA$139=FT_Y5,EDATE($D121,Milestones!$AA$139)&lt;PolicyEff),1,Milestones!$AC$139)&amp;";  ",""))</f>
        <v/>
      </c>
      <c r="S121" s="0" t="str">
        <f aca="false">IF(OR($A121="",$D121=""),"",IF(AND(EDATE($D121,Milestones!$AA$140)&lt;=AsOfDate,EDATE($D121,Milestones!$AA$140)&gt;=SchemeStart,IF($X121=0,$AD121,IF(AND($Z121&lt;&gt;"",EDATE($D121,Milestones!$AA$140)&gt;=$Z121),$AC121,IF(AND($Y121&lt;&gt;"",EDATE($D121,Milestones!$AA$140)&gt;=$Y121),$AB121,$AA121)))=Milestones!$AB$140),UPPER(TEXT(EDATE($D121,Milestones!$AA$140),"dd mmm yy"))&amp;" "&amp;Milestones!$AB$140&amp;" "&amp;IF(AND(Milestones!$AB$140="FT",Milestones!$AA$140=FT_Y5,EDATE($D121,Milestones!$AA$140)&lt;PolicyEff),1,Milestones!$AC$140)&amp;";  ","")&amp;IF(AND(EDATE($D121,Milestones!$AA$141)&lt;=AsOfDate,EDATE($D121,Milestones!$AA$141)&gt;=SchemeStart,IF($X121=0,$AD121,IF(AND($Z121&lt;&gt;"",EDATE($D121,Milestones!$AA$141)&gt;=$Z121),$AC121,IF(AND($Y121&lt;&gt;"",EDATE($D121,Milestones!$AA$141)&gt;=$Y121),$AB121,$AA121)))=Milestones!$AB$141),UPPER(TEXT(EDATE($D121,Milestones!$AA$141),"dd mmm yy"))&amp;" "&amp;Milestones!$AB$141&amp;" "&amp;IF(AND(Milestones!$AB$141="FT",Milestones!$AA$141=FT_Y5,EDATE($D121,Milestones!$AA$141)&lt;PolicyEff),1,Milestones!$AC$141)&amp;";  ","")&amp;IF(AND(EDATE($D121,Milestones!$AA$142)&lt;=AsOfDate,EDATE($D121,Milestones!$AA$142)&gt;=SchemeStart,IF($X121=0,$AD121,IF(AND($Z121&lt;&gt;"",EDATE($D121,Milestones!$AA$142)&gt;=$Z121),$AC121,IF(AND($Y121&lt;&gt;"",EDATE($D121,Milestones!$AA$142)&gt;=$Y121),$AB121,$AA121)))=Milestones!$AB$142),UPPER(TEXT(EDATE($D121,Milestones!$AA$142),"dd mmm yy"))&amp;" "&amp;Milestones!$AB$142&amp;" "&amp;IF(AND(Milestones!$AB$142="FT",Milestones!$AA$142=FT_Y5,EDATE($D121,Milestones!$AA$142)&lt;PolicyEff),1,Milestones!$AC$142)&amp;";  ","")&amp;IF(AND(EDATE($D121,Milestones!$AA$143)&lt;=AsOfDate,EDATE($D121,Milestones!$AA$143)&gt;=SchemeStart,IF($X121=0,$AD121,IF(AND($Z121&lt;&gt;"",EDATE($D121,Milestones!$AA$143)&gt;=$Z121),$AC121,IF(AND($Y121&lt;&gt;"",EDATE($D121,Milestones!$AA$143)&gt;=$Y121),$AB121,$AA121)))=Milestones!$AB$143),UPPER(TEXT(EDATE($D121,Milestones!$AA$143),"dd mmm yy"))&amp;" "&amp;Milestones!$AB$143&amp;" "&amp;IF(AND(Milestones!$AB$143="FT",Milestones!$AA$143=FT_Y5,EDATE($D121,Milestones!$AA$143)&lt;PolicyEff),1,Milestones!$AC$143)&amp;";  ","")&amp;IF(AND(EDATE($D121,Milestones!$AA$144)&lt;=AsOfDate,EDATE($D121,Milestones!$AA$144)&gt;=SchemeStart,IF($X121=0,$AD121,IF(AND($Z121&lt;&gt;"",EDATE($D121,Milestones!$AA$144)&gt;=$Z121),$AC121,IF(AND($Y121&lt;&gt;"",EDATE($D121,Milestones!$AA$144)&gt;=$Y121),$AB121,$AA121)))=Milestones!$AB$144),UPPER(TEXT(EDATE($D121,Milestones!$AA$144),"dd mmm yy"))&amp;" "&amp;Milestones!$AB$144&amp;" "&amp;IF(AND(Milestones!$AB$144="FT",Milestones!$AA$144=FT_Y5,EDATE($D121,Milestones!$AA$144)&lt;PolicyEff),1,Milestones!$AC$144)&amp;";  ","")&amp;IF(AND(EDATE($D121,Milestones!$AA$145)&lt;=AsOfDate,EDATE($D121,Milestones!$AA$145)&gt;=SchemeStart,IF($X121=0,$AD121,IF(AND($Z121&lt;&gt;"",EDATE($D121,Milestones!$AA$145)&gt;=$Z121),$AC121,IF(AND($Y121&lt;&gt;"",EDATE($D121,Milestones!$AA$145)&gt;=$Y121),$AB121,$AA121)))=Milestones!$AB$145),UPPER(TEXT(EDATE($D121,Milestones!$AA$145),"dd mmm yy"))&amp;" "&amp;Milestones!$AB$145&amp;" "&amp;IF(AND(Milestones!$AB$145="FT",Milestones!$AA$145=FT_Y5,EDATE($D121,Milestones!$AA$145)&lt;PolicyEff),1,Milestones!$AC$145)&amp;";  ","")&amp;IF(AND(EDATE($D121,Milestones!$AA$146)&lt;=AsOfDate,EDATE($D121,Milestones!$AA$146)&gt;=SchemeStart,IF($X121=0,$AD121,IF(AND($Z121&lt;&gt;"",EDATE($D121,Milestones!$AA$146)&gt;=$Z121),$AC121,IF(AND($Y121&lt;&gt;"",EDATE($D121,Milestones!$AA$146)&gt;=$Y121),$AB121,$AA121)))=Milestones!$AB$146),UPPER(TEXT(EDATE($D121,Milestones!$AA$146),"dd mmm yy"))&amp;" "&amp;Milestones!$AB$146&amp;" "&amp;IF(AND(Milestones!$AB$146="FT",Milestones!$AA$146=FT_Y5,EDATE($D121,Milestones!$AA$146)&lt;PolicyEff),1,Milestones!$AC$146)&amp;";  ","")&amp;IF(AND(EDATE($D121,Milestones!$AA$147)&lt;=AsOfDate,EDATE($D121,Milestones!$AA$147)&gt;=SchemeStart,IF($X121=0,$AD121,IF(AND($Z121&lt;&gt;"",EDATE($D121,Milestones!$AA$147)&gt;=$Z121),$AC121,IF(AND($Y121&lt;&gt;"",EDATE($D121,Milestones!$AA$147)&gt;=$Y121),$AB121,$AA121)))=Milestones!$AB$147),UPPER(TEXT(EDATE($D121,Milestones!$AA$147),"dd mmm yy"))&amp;" "&amp;Milestones!$AB$147&amp;" "&amp;IF(AND(Milestones!$AB$147="FT",Milestones!$AA$147=FT_Y5,EDATE($D121,Milestones!$AA$147)&lt;PolicyEff),1,Milestones!$AC$147)&amp;";  ","")&amp;IF(AND(EDATE($D121,Milestones!$AA$148)&lt;=AsOfDate,EDATE($D121,Milestones!$AA$148)&gt;=SchemeStart,IF($X121=0,$AD121,IF(AND($Z121&lt;&gt;"",EDATE($D121,Milestones!$AA$148)&gt;=$Z121),$AC121,IF(AND($Y121&lt;&gt;"",EDATE($D121,Milestones!$AA$148)&gt;=$Y121),$AB121,$AA121)))=Milestones!$AB$148),UPPER(TEXT(EDATE($D121,Milestones!$AA$148),"dd mmm yy"))&amp;" "&amp;Milestones!$AB$148&amp;" "&amp;IF(AND(Milestones!$AB$148="FT",Milestones!$AA$148=FT_Y5,EDATE($D121,Milestones!$AA$148)&lt;PolicyEff),1,Milestones!$AC$148)&amp;";  ","")&amp;IF(AND(EDATE($D121,Milestones!$AA$149)&lt;=AsOfDate,EDATE($D121,Milestones!$AA$149)&gt;=SchemeStart,IF($X121=0,$AD121,IF(AND($Z121&lt;&gt;"",EDATE($D121,Milestones!$AA$149)&gt;=$Z121),$AC121,IF(AND($Y121&lt;&gt;"",EDATE($D121,Milestones!$AA$149)&gt;=$Y121),$AB121,$AA121)))=Milestones!$AB$149),UPPER(TEXT(EDATE($D121,Milestones!$AA$149),"dd mmm yy"))&amp;" "&amp;Milestones!$AB$149&amp;" "&amp;IF(AND(Milestones!$AB$149="FT",Milestones!$AA$149=FT_Y5,EDATE($D121,Milestones!$AA$149)&lt;PolicyEff),1,Milestones!$AC$149)&amp;";  ","")&amp;IF(AND(EDATE($D121,Milestones!$AA$150)&lt;=AsOfDate,EDATE($D121,Milestones!$AA$150)&gt;=SchemeStart,IF($X121=0,$AD121,IF(AND($Z121&lt;&gt;"",EDATE($D121,Milestones!$AA$150)&gt;=$Z121),$AC121,IF(AND($Y121&lt;&gt;"",EDATE($D121,Milestones!$AA$150)&gt;=$Y121),$AB121,$AA121)))=Milestones!$AB$150),UPPER(TEXT(EDATE($D121,Milestones!$AA$150),"dd mmm yy"))&amp;" "&amp;Milestones!$AB$150&amp;" "&amp;IF(AND(Milestones!$AB$150="FT",Milestones!$AA$150=FT_Y5,EDATE($D121,Milestones!$AA$150)&lt;PolicyEff),1,Milestones!$AC$150)&amp;";  ","")&amp;IF(AND(EDATE($D121,Milestones!$AA$151)&lt;=AsOfDate,EDATE($D121,Milestones!$AA$151)&gt;=SchemeStart,IF($X121=0,$AD121,IF(AND($Z121&lt;&gt;"",EDATE($D121,Milestones!$AA$151)&gt;=$Z121),$AC121,IF(AND($Y121&lt;&gt;"",EDATE($D121,Milestones!$AA$151)&gt;=$Y121),$AB121,$AA121)))=Milestones!$AB$151),UPPER(TEXT(EDATE($D121,Milestones!$AA$151),"dd mmm yy"))&amp;" "&amp;Milestones!$AB$151&amp;" "&amp;IF(AND(Milestones!$AB$151="FT",Milestones!$AA$151=FT_Y5,EDATE($D121,Milestones!$AA$151)&lt;PolicyEff),1,Milestones!$AC$151)&amp;";  ",""))</f>
        <v/>
      </c>
      <c r="T121" s="0" t="str">
        <f aca="false">IF(OR($A121="",$D121=""),"",IF(AND(EDATE($D121,Milestones!$AA$152)&lt;=AsOfDate,EDATE($D121,Milestones!$AA$152)&gt;=SchemeStart,IF($X121=0,$AD121,IF(AND($Z121&lt;&gt;"",EDATE($D121,Milestones!$AA$152)&gt;=$Z121),$AC121,IF(AND($Y121&lt;&gt;"",EDATE($D121,Milestones!$AA$152)&gt;=$Y121),$AB121,$AA121)))=Milestones!$AB$152),UPPER(TEXT(EDATE($D121,Milestones!$AA$152),"dd mmm yy"))&amp;" "&amp;Milestones!$AB$152&amp;" "&amp;IF(AND(Milestones!$AB$152="FT",Milestones!$AA$152=FT_Y5,EDATE($D121,Milestones!$AA$152)&lt;PolicyEff),1,Milestones!$AC$152)&amp;";  ","")&amp;IF(AND(EDATE($D121,Milestones!$AA$153)&lt;=AsOfDate,EDATE($D121,Milestones!$AA$153)&gt;=SchemeStart,IF($X121=0,$AD121,IF(AND($Z121&lt;&gt;"",EDATE($D121,Milestones!$AA$153)&gt;=$Z121),$AC121,IF(AND($Y121&lt;&gt;"",EDATE($D121,Milestones!$AA$153)&gt;=$Y121),$AB121,$AA121)))=Milestones!$AB$153),UPPER(TEXT(EDATE($D121,Milestones!$AA$153),"dd mmm yy"))&amp;" "&amp;Milestones!$AB$153&amp;" "&amp;IF(AND(Milestones!$AB$153="FT",Milestones!$AA$153=FT_Y5,EDATE($D121,Milestones!$AA$153)&lt;PolicyEff),1,Milestones!$AC$153)&amp;";  ","")&amp;IF(AND(EDATE($D121,Milestones!$AA$154)&lt;=AsOfDate,EDATE($D121,Milestones!$AA$154)&gt;=SchemeStart,IF($X121=0,$AD121,IF(AND($Z121&lt;&gt;"",EDATE($D121,Milestones!$AA$154)&gt;=$Z121),$AC121,IF(AND($Y121&lt;&gt;"",EDATE($D121,Milestones!$AA$154)&gt;=$Y121),$AB121,$AA121)))=Milestones!$AB$154),UPPER(TEXT(EDATE($D121,Milestones!$AA$154),"dd mmm yy"))&amp;" "&amp;Milestones!$AB$154&amp;" "&amp;IF(AND(Milestones!$AB$154="FT",Milestones!$AA$154=FT_Y5,EDATE($D121,Milestones!$AA$154)&lt;PolicyEff),1,Milestones!$AC$154)&amp;";  ","")&amp;IF(AND(EDATE($D121,Milestones!$AA$155)&lt;=AsOfDate,EDATE($D121,Milestones!$AA$155)&gt;=SchemeStart,IF($X121=0,$AD121,IF(AND($Z121&lt;&gt;"",EDATE($D121,Milestones!$AA$155)&gt;=$Z121),$AC121,IF(AND($Y121&lt;&gt;"",EDATE($D121,Milestones!$AA$155)&gt;=$Y121),$AB121,$AA121)))=Milestones!$AB$155),UPPER(TEXT(EDATE($D121,Milestones!$AA$155),"dd mmm yy"))&amp;" "&amp;Milestones!$AB$155&amp;" "&amp;IF(AND(Milestones!$AB$155="FT",Milestones!$AA$155=FT_Y5,EDATE($D121,Milestones!$AA$155)&lt;PolicyEff),1,Milestones!$AC$155)&amp;";  ","")&amp;IF(AND(EDATE($D121,Milestones!$AA$156)&lt;=AsOfDate,EDATE($D121,Milestones!$AA$156)&gt;=SchemeStart,IF($X121=0,$AD121,IF(AND($Z121&lt;&gt;"",EDATE($D121,Milestones!$AA$156)&gt;=$Z121),$AC121,IF(AND($Y121&lt;&gt;"",EDATE($D121,Milestones!$AA$156)&gt;=$Y121),$AB121,$AA121)))=Milestones!$AB$156),UPPER(TEXT(EDATE($D121,Milestones!$AA$156),"dd mmm yy"))&amp;" "&amp;Milestones!$AB$156&amp;" "&amp;IF(AND(Milestones!$AB$156="FT",Milestones!$AA$156=FT_Y5,EDATE($D121,Milestones!$AA$156)&lt;PolicyEff),1,Milestones!$AC$156)&amp;";  ","")&amp;IF(AND(EDATE($D121,Milestones!$AA$157)&lt;=AsOfDate,EDATE($D121,Milestones!$AA$157)&gt;=SchemeStart,IF($X121=0,$AD121,IF(AND($Z121&lt;&gt;"",EDATE($D121,Milestones!$AA$157)&gt;=$Z121),$AC121,IF(AND($Y121&lt;&gt;"",EDATE($D121,Milestones!$AA$157)&gt;=$Y121),$AB121,$AA121)))=Milestones!$AB$157),UPPER(TEXT(EDATE($D121,Milestones!$AA$157),"dd mmm yy"))&amp;" "&amp;Milestones!$AB$157&amp;" "&amp;IF(AND(Milestones!$AB$157="FT",Milestones!$AA$157=FT_Y5,EDATE($D121,Milestones!$AA$157)&lt;PolicyEff),1,Milestones!$AC$157)&amp;";  ","")&amp;IF(AND(EDATE($D121,Milestones!$AA$158)&lt;=AsOfDate,EDATE($D121,Milestones!$AA$158)&gt;=SchemeStart,IF($X121=0,$AD121,IF(AND($Z121&lt;&gt;"",EDATE($D121,Milestones!$AA$158)&gt;=$Z121),$AC121,IF(AND($Y121&lt;&gt;"",EDATE($D121,Milestones!$AA$158)&gt;=$Y121),$AB121,$AA121)))=Milestones!$AB$158),UPPER(TEXT(EDATE($D121,Milestones!$AA$158),"dd mmm yy"))&amp;" "&amp;Milestones!$AB$158&amp;" "&amp;IF(AND(Milestones!$AB$158="FT",Milestones!$AA$158=FT_Y5,EDATE($D121,Milestones!$AA$158)&lt;PolicyEff),1,Milestones!$AC$158)&amp;";  ","")&amp;IF(AND(EDATE($D121,Milestones!$AA$159)&lt;=AsOfDate,EDATE($D121,Milestones!$AA$159)&gt;=SchemeStart,IF($X121=0,$AD121,IF(AND($Z121&lt;&gt;"",EDATE($D121,Milestones!$AA$159)&gt;=$Z121),$AC121,IF(AND($Y121&lt;&gt;"",EDATE($D121,Milestones!$AA$159)&gt;=$Y121),$AB121,$AA121)))=Milestones!$AB$159),UPPER(TEXT(EDATE($D121,Milestones!$AA$159),"dd mmm yy"))&amp;" "&amp;Milestones!$AB$159&amp;" "&amp;IF(AND(Milestones!$AB$159="FT",Milestones!$AA$159=FT_Y5,EDATE($D121,Milestones!$AA$159)&lt;PolicyEff),1,Milestones!$AC$159)&amp;";  ","")&amp;IF(AND(EDATE($D121,Milestones!$AA$160)&lt;=AsOfDate,EDATE($D121,Milestones!$AA$160)&gt;=SchemeStart,IF($X121=0,$AD121,IF(AND($Z121&lt;&gt;"",EDATE($D121,Milestones!$AA$160)&gt;=$Z121),$AC121,IF(AND($Y121&lt;&gt;"",EDATE($D121,Milestones!$AA$160)&gt;=$Y121),$AB121,$AA121)))=Milestones!$AB$160),UPPER(TEXT(EDATE($D121,Milestones!$AA$160),"dd mmm yy"))&amp;" "&amp;Milestones!$AB$160&amp;" "&amp;IF(AND(Milestones!$AB$160="FT",Milestones!$AA$160=FT_Y5,EDATE($D121,Milestones!$AA$160)&lt;PolicyEff),1,Milestones!$AC$160)&amp;";  ","")&amp;IF(AND(EDATE($D121,Milestones!$AA$161)&lt;=AsOfDate,EDATE($D121,Milestones!$AA$161)&gt;=SchemeStart,IF($X121=0,$AD121,IF(AND($Z121&lt;&gt;"",EDATE($D121,Milestones!$AA$161)&gt;=$Z121),$AC121,IF(AND($Y121&lt;&gt;"",EDATE($D121,Milestones!$AA$161)&gt;=$Y121),$AB121,$AA121)))=Milestones!$AB$161),UPPER(TEXT(EDATE($D121,Milestones!$AA$161),"dd mmm yy"))&amp;" "&amp;Milestones!$AB$161&amp;" "&amp;IF(AND(Milestones!$AB$161="FT",Milestones!$AA$161=FT_Y5,EDATE($D121,Milestones!$AA$161)&lt;PolicyEff),1,Milestones!$AC$161)&amp;";  ","")&amp;IF(AND(EDATE($D121,Milestones!$AA$162)&lt;=AsOfDate,EDATE($D121,Milestones!$AA$162)&gt;=SchemeStart,IF($X121=0,$AD121,IF(AND($Z121&lt;&gt;"",EDATE($D121,Milestones!$AA$162)&gt;=$Z121),$AC121,IF(AND($Y121&lt;&gt;"",EDATE($D121,Milestones!$AA$162)&gt;=$Y121),$AB121,$AA121)))=Milestones!$AB$162),UPPER(TEXT(EDATE($D121,Milestones!$AA$162),"dd mmm yy"))&amp;" "&amp;Milestones!$AB$162&amp;" "&amp;IF(AND(Milestones!$AB$162="FT",Milestones!$AA$162=FT_Y5,EDATE($D121,Milestones!$AA$162)&lt;PolicyEff),1,Milestones!$AC$162)&amp;";  ","")&amp;IF(AND(EDATE($D121,Milestones!$AA$163)&lt;=AsOfDate,EDATE($D121,Milestones!$AA$163)&gt;=SchemeStart,IF($X121=0,$AD121,IF(AND($Z121&lt;&gt;"",EDATE($D121,Milestones!$AA$163)&gt;=$Z121),$AC121,IF(AND($Y121&lt;&gt;"",EDATE($D121,Milestones!$AA$163)&gt;=$Y121),$AB121,$AA121)))=Milestones!$AB$163),UPPER(TEXT(EDATE($D121,Milestones!$AA$163),"dd mmm yy"))&amp;" "&amp;Milestones!$AB$163&amp;" "&amp;IF(AND(Milestones!$AB$163="FT",Milestones!$AA$163=FT_Y5,EDATE($D121,Milestones!$AA$163)&lt;PolicyEff),1,Milestones!$AC$163)&amp;";  ",""))</f>
        <v/>
      </c>
      <c r="U121" s="0" t="str">
        <f aca="false">IF(OR($A121="",$D121=""),"",IF(AND(EDATE($D121,Milestones!$AA$164)&lt;=AsOfDate,EDATE($D121,Milestones!$AA$164)&gt;=SchemeStart,IF($X121=0,$AD121,IF(AND($Z121&lt;&gt;"",EDATE($D121,Milestones!$AA$164)&gt;=$Z121),$AC121,IF(AND($Y121&lt;&gt;"",EDATE($D121,Milestones!$AA$164)&gt;=$Y121),$AB121,$AA121)))=Milestones!$AB$164),UPPER(TEXT(EDATE($D121,Milestones!$AA$164),"dd mmm yy"))&amp;" "&amp;Milestones!$AB$164&amp;" "&amp;IF(AND(Milestones!$AB$164="FT",Milestones!$AA$164=FT_Y5,EDATE($D121,Milestones!$AA$164)&lt;PolicyEff),1,Milestones!$AC$164)&amp;";  ","")&amp;IF(AND(EDATE($D121,Milestones!$AA$165)&lt;=AsOfDate,EDATE($D121,Milestones!$AA$165)&gt;=SchemeStart,IF($X121=0,$AD121,IF(AND($Z121&lt;&gt;"",EDATE($D121,Milestones!$AA$165)&gt;=$Z121),$AC121,IF(AND($Y121&lt;&gt;"",EDATE($D121,Milestones!$AA$165)&gt;=$Y121),$AB121,$AA121)))=Milestones!$AB$165),UPPER(TEXT(EDATE($D121,Milestones!$AA$165),"dd mmm yy"))&amp;" "&amp;Milestones!$AB$165&amp;" "&amp;IF(AND(Milestones!$AB$165="FT",Milestones!$AA$165=FT_Y5,EDATE($D121,Milestones!$AA$165)&lt;PolicyEff),1,Milestones!$AC$165)&amp;";  ","")&amp;IF(AND(EDATE($D121,Milestones!$AA$166)&lt;=AsOfDate,EDATE($D121,Milestones!$AA$166)&gt;=SchemeStart,IF($X121=0,$AD121,IF(AND($Z121&lt;&gt;"",EDATE($D121,Milestones!$AA$166)&gt;=$Z121),$AC121,IF(AND($Y121&lt;&gt;"",EDATE($D121,Milestones!$AA$166)&gt;=$Y121),$AB121,$AA121)))=Milestones!$AB$166),UPPER(TEXT(EDATE($D121,Milestones!$AA$166),"dd mmm yy"))&amp;" "&amp;Milestones!$AB$166&amp;" "&amp;IF(AND(Milestones!$AB$166="FT",Milestones!$AA$166=FT_Y5,EDATE($D121,Milestones!$AA$166)&lt;PolicyEff),1,Milestones!$AC$166)&amp;";  ","")&amp;IF(AND(EDATE($D121,Milestones!$AA$167)&lt;=AsOfDate,EDATE($D121,Milestones!$AA$167)&gt;=SchemeStart,IF($X121=0,$AD121,IF(AND($Z121&lt;&gt;"",EDATE($D121,Milestones!$AA$167)&gt;=$Z121),$AC121,IF(AND($Y121&lt;&gt;"",EDATE($D121,Milestones!$AA$167)&gt;=$Y121),$AB121,$AA121)))=Milestones!$AB$167),UPPER(TEXT(EDATE($D121,Milestones!$AA$167),"dd mmm yy"))&amp;" "&amp;Milestones!$AB$167&amp;" "&amp;IF(AND(Milestones!$AB$167="FT",Milestones!$AA$167=FT_Y5,EDATE($D121,Milestones!$AA$167)&lt;PolicyEff),1,Milestones!$AC$167)&amp;";  ","")&amp;IF(AND(EDATE($D121,Milestones!$AA$168)&lt;=AsOfDate,EDATE($D121,Milestones!$AA$168)&gt;=SchemeStart,IF($X121=0,$AD121,IF(AND($Z121&lt;&gt;"",EDATE($D121,Milestones!$AA$168)&gt;=$Z121),$AC121,IF(AND($Y121&lt;&gt;"",EDATE($D121,Milestones!$AA$168)&gt;=$Y121),$AB121,$AA121)))=Milestones!$AB$168),UPPER(TEXT(EDATE($D121,Milestones!$AA$168),"dd mmm yy"))&amp;" "&amp;Milestones!$AB$168&amp;" "&amp;IF(AND(Milestones!$AB$168="FT",Milestones!$AA$168=FT_Y5,EDATE($D121,Milestones!$AA$168)&lt;PolicyEff),1,Milestones!$AC$168)&amp;";  ","")&amp;IF(AND(EDATE($D121,Milestones!$AA$169)&lt;=AsOfDate,EDATE($D121,Milestones!$AA$169)&gt;=SchemeStart,IF($X121=0,$AD121,IF(AND($Z121&lt;&gt;"",EDATE($D121,Milestones!$AA$169)&gt;=$Z121),$AC121,IF(AND($Y121&lt;&gt;"",EDATE($D121,Milestones!$AA$169)&gt;=$Y121),$AB121,$AA121)))=Milestones!$AB$169),UPPER(TEXT(EDATE($D121,Milestones!$AA$169),"dd mmm yy"))&amp;" "&amp;Milestones!$AB$169&amp;" "&amp;IF(AND(Milestones!$AB$169="FT",Milestones!$AA$169=FT_Y5,EDATE($D121,Milestones!$AA$169)&lt;PolicyEff),1,Milestones!$AC$169)&amp;";  ","")&amp;IF(AND(EDATE($D121,Milestones!$AA$170)&lt;=AsOfDate,EDATE($D121,Milestones!$AA$170)&gt;=SchemeStart,IF($X121=0,$AD121,IF(AND($Z121&lt;&gt;"",EDATE($D121,Milestones!$AA$170)&gt;=$Z121),$AC121,IF(AND($Y121&lt;&gt;"",EDATE($D121,Milestones!$AA$170)&gt;=$Y121),$AB121,$AA121)))=Milestones!$AB$170),UPPER(TEXT(EDATE($D121,Milestones!$AA$170),"dd mmm yy"))&amp;" "&amp;Milestones!$AB$170&amp;" "&amp;IF(AND(Milestones!$AB$170="FT",Milestones!$AA$170=FT_Y5,EDATE($D121,Milestones!$AA$170)&lt;PolicyEff),1,Milestones!$AC$170)&amp;";  ","")&amp;IF(AND(EDATE($D121,Milestones!$AA$171)&lt;=AsOfDate,EDATE($D121,Milestones!$AA$171)&gt;=SchemeStart,IF($X121=0,$AD121,IF(AND($Z121&lt;&gt;"",EDATE($D121,Milestones!$AA$171)&gt;=$Z121),$AC121,IF(AND($Y121&lt;&gt;"",EDATE($D121,Milestones!$AA$171)&gt;=$Y121),$AB121,$AA121)))=Milestones!$AB$171),UPPER(TEXT(EDATE($D121,Milestones!$AA$171),"dd mmm yy"))&amp;" "&amp;Milestones!$AB$171&amp;" "&amp;IF(AND(Milestones!$AB$171="FT",Milestones!$AA$171=FT_Y5,EDATE($D121,Milestones!$AA$171)&lt;PolicyEff),1,Milestones!$AC$171)&amp;";  ","")&amp;IF(AND(EDATE($D121,Milestones!$AA$172)&lt;=AsOfDate,EDATE($D121,Milestones!$AA$172)&gt;=SchemeStart,IF($X121=0,$AD121,IF(AND($Z121&lt;&gt;"",EDATE($D121,Milestones!$AA$172)&gt;=$Z121),$AC121,IF(AND($Y121&lt;&gt;"",EDATE($D121,Milestones!$AA$172)&gt;=$Y121),$AB121,$AA121)))=Milestones!$AB$172),UPPER(TEXT(EDATE($D121,Milestones!$AA$172),"dd mmm yy"))&amp;" "&amp;Milestones!$AB$172&amp;" "&amp;IF(AND(Milestones!$AB$172="FT",Milestones!$AA$172=FT_Y5,EDATE($D121,Milestones!$AA$172)&lt;PolicyEff),1,Milestones!$AC$172)&amp;";  ","")&amp;IF(AND(EDATE($D121,Milestones!$AA$173)&lt;=AsOfDate,EDATE($D121,Milestones!$AA$173)&gt;=SchemeStart,IF($X121=0,$AD121,IF(AND($Z121&lt;&gt;"",EDATE($D121,Milestones!$AA$173)&gt;=$Z121),$AC121,IF(AND($Y121&lt;&gt;"",EDATE($D121,Milestones!$AA$173)&gt;=$Y121),$AB121,$AA121)))=Milestones!$AB$173),UPPER(TEXT(EDATE($D121,Milestones!$AA$173),"dd mmm yy"))&amp;" "&amp;Milestones!$AB$173&amp;" "&amp;IF(AND(Milestones!$AB$173="FT",Milestones!$AA$173=FT_Y5,EDATE($D121,Milestones!$AA$173)&lt;PolicyEff),1,Milestones!$AC$173)&amp;";  ","")&amp;IF(AND(EDATE($D121,Milestones!$AA$174)&lt;=AsOfDate,EDATE($D121,Milestones!$AA$174)&gt;=SchemeStart,IF($X121=0,$AD121,IF(AND($Z121&lt;&gt;"",EDATE($D121,Milestones!$AA$174)&gt;=$Z121),$AC121,IF(AND($Y121&lt;&gt;"",EDATE($D121,Milestones!$AA$174)&gt;=$Y121),$AB121,$AA121)))=Milestones!$AB$174),UPPER(TEXT(EDATE($D121,Milestones!$AA$174),"dd mmm yy"))&amp;" "&amp;Milestones!$AB$174&amp;" "&amp;IF(AND(Milestones!$AB$174="FT",Milestones!$AA$174=FT_Y5,EDATE($D121,Milestones!$AA$174)&lt;PolicyEff),1,Milestones!$AC$174)&amp;";  ","")&amp;IF(AND(EDATE($D121,Milestones!$AA$175)&lt;=AsOfDate,EDATE($D121,Milestones!$AA$175)&gt;=SchemeStart,IF($X121=0,$AD121,IF(AND($Z121&lt;&gt;"",EDATE($D121,Milestones!$AA$175)&gt;=$Z121),$AC121,IF(AND($Y121&lt;&gt;"",EDATE($D121,Milestones!$AA$175)&gt;=$Y121),$AB121,$AA121)))=Milestones!$AB$175),UPPER(TEXT(EDATE($D121,Milestones!$AA$175),"dd mmm yy"))&amp;" "&amp;Milestones!$AB$175&amp;" "&amp;IF(AND(Milestones!$AB$175="FT",Milestones!$AA$175=FT_Y5,EDATE($D121,Milestones!$AA$175)&lt;PolicyEff),1,Milestones!$AC$175)&amp;";  ",""))</f>
        <v/>
      </c>
      <c r="V121" s="0" t="str">
        <f aca="false">IF(OR($A121="",$D121=""),"",IF(AND(EDATE($D121,Milestones!$AA$176)&lt;=AsOfDate,EDATE($D121,Milestones!$AA$176)&gt;=SchemeStart,IF($X121=0,$AD121,IF(AND($Z121&lt;&gt;"",EDATE($D121,Milestones!$AA$176)&gt;=$Z121),$AC121,IF(AND($Y121&lt;&gt;"",EDATE($D121,Milestones!$AA$176)&gt;=$Y121),$AB121,$AA121)))=Milestones!$AB$176),UPPER(TEXT(EDATE($D121,Milestones!$AA$176),"dd mmm yy"))&amp;" "&amp;Milestones!$AB$176&amp;" "&amp;IF(AND(Milestones!$AB$176="FT",Milestones!$AA$176=FT_Y5,EDATE($D121,Milestones!$AA$176)&lt;PolicyEff),1,Milestones!$AC$176)&amp;";  ","")&amp;IF(AND(EDATE($D121,Milestones!$AA$177)&lt;=AsOfDate,EDATE($D121,Milestones!$AA$177)&gt;=SchemeStart,IF($X121=0,$AD121,IF(AND($Z121&lt;&gt;"",EDATE($D121,Milestones!$AA$177)&gt;=$Z121),$AC121,IF(AND($Y121&lt;&gt;"",EDATE($D121,Milestones!$AA$177)&gt;=$Y121),$AB121,$AA121)))=Milestones!$AB$177),UPPER(TEXT(EDATE($D121,Milestones!$AA$177),"dd mmm yy"))&amp;" "&amp;Milestones!$AB$177&amp;" "&amp;IF(AND(Milestones!$AB$177="FT",Milestones!$AA$177=FT_Y5,EDATE($D121,Milestones!$AA$177)&lt;PolicyEff),1,Milestones!$AC$177)&amp;";  ","")&amp;IF(AND(EDATE($D121,Milestones!$AA$178)&lt;=AsOfDate,EDATE($D121,Milestones!$AA$178)&gt;=SchemeStart,IF($X121=0,$AD121,IF(AND($Z121&lt;&gt;"",EDATE($D121,Milestones!$AA$178)&gt;=$Z121),$AC121,IF(AND($Y121&lt;&gt;"",EDATE($D121,Milestones!$AA$178)&gt;=$Y121),$AB121,$AA121)))=Milestones!$AB$178),UPPER(TEXT(EDATE($D121,Milestones!$AA$178),"dd mmm yy"))&amp;" "&amp;Milestones!$AB$178&amp;" "&amp;IF(AND(Milestones!$AB$178="FT",Milestones!$AA$178=FT_Y5,EDATE($D121,Milestones!$AA$178)&lt;PolicyEff),1,Milestones!$AC$178)&amp;";  ","")&amp;IF(AND(EDATE($D121,Milestones!$AA$179)&lt;=AsOfDate,EDATE($D121,Milestones!$AA$179)&gt;=SchemeStart,IF($X121=0,$AD121,IF(AND($Z121&lt;&gt;"",EDATE($D121,Milestones!$AA$179)&gt;=$Z121),$AC121,IF(AND($Y121&lt;&gt;"",EDATE($D121,Milestones!$AA$179)&gt;=$Y121),$AB121,$AA121)))=Milestones!$AB$179),UPPER(TEXT(EDATE($D121,Milestones!$AA$179),"dd mmm yy"))&amp;" "&amp;Milestones!$AB$179&amp;" "&amp;IF(AND(Milestones!$AB$179="FT",Milestones!$AA$179=FT_Y5,EDATE($D121,Milestones!$AA$179)&lt;PolicyEff),1,Milestones!$AC$179)&amp;";  ","")&amp;IF(AND(EDATE($D121,Milestones!$AA$180)&lt;=AsOfDate,EDATE($D121,Milestones!$AA$180)&gt;=SchemeStart,IF($X121=0,$AD121,IF(AND($Z121&lt;&gt;"",EDATE($D121,Milestones!$AA$180)&gt;=$Z121),$AC121,IF(AND($Y121&lt;&gt;"",EDATE($D121,Milestones!$AA$180)&gt;=$Y121),$AB121,$AA121)))=Milestones!$AB$180),UPPER(TEXT(EDATE($D121,Milestones!$AA$180),"dd mmm yy"))&amp;" "&amp;Milestones!$AB$180&amp;" "&amp;IF(AND(Milestones!$AB$180="FT",Milestones!$AA$180=FT_Y5,EDATE($D121,Milestones!$AA$180)&lt;PolicyEff),1,Milestones!$AC$180)&amp;";  ","")&amp;IF(AND(EDATE($D121,Milestones!$AA$181)&lt;=AsOfDate,EDATE($D121,Milestones!$AA$181)&gt;=SchemeStart,IF($X121=0,$AD121,IF(AND($Z121&lt;&gt;"",EDATE($D121,Milestones!$AA$181)&gt;=$Z121),$AC121,IF(AND($Y121&lt;&gt;"",EDATE($D121,Milestones!$AA$181)&gt;=$Y121),$AB121,$AA121)))=Milestones!$AB$181),UPPER(TEXT(EDATE($D121,Milestones!$AA$181),"dd mmm yy"))&amp;" "&amp;Milestones!$AB$181&amp;" "&amp;IF(AND(Milestones!$AB$181="FT",Milestones!$AA$181=FT_Y5,EDATE($D121,Milestones!$AA$181)&lt;PolicyEff),1,Milestones!$AC$181)&amp;";  ","")&amp;IF(AND(EDATE($D121,Milestones!$AA$182)&lt;=AsOfDate,EDATE($D121,Milestones!$AA$182)&gt;=SchemeStart,IF($X121=0,$AD121,IF(AND($Z121&lt;&gt;"",EDATE($D121,Milestones!$AA$182)&gt;=$Z121),$AC121,IF(AND($Y121&lt;&gt;"",EDATE($D121,Milestones!$AA$182)&gt;=$Y121),$AB121,$AA121)))=Milestones!$AB$182),UPPER(TEXT(EDATE($D121,Milestones!$AA$182),"dd mmm yy"))&amp;" "&amp;Milestones!$AB$182&amp;" "&amp;IF(AND(Milestones!$AB$182="FT",Milestones!$AA$182=FT_Y5,EDATE($D121,Milestones!$AA$182)&lt;PolicyEff),1,Milestones!$AC$182)&amp;";  ","")&amp;IF(AND(EDATE($D121,Milestones!$AA$183)&lt;=AsOfDate,EDATE($D121,Milestones!$AA$183)&gt;=SchemeStart,IF($X121=0,$AD121,IF(AND($Z121&lt;&gt;"",EDATE($D121,Milestones!$AA$183)&gt;=$Z121),$AC121,IF(AND($Y121&lt;&gt;"",EDATE($D121,Milestones!$AA$183)&gt;=$Y121),$AB121,$AA121)))=Milestones!$AB$183),UPPER(TEXT(EDATE($D121,Milestones!$AA$183),"dd mmm yy"))&amp;" "&amp;Milestones!$AB$183&amp;" "&amp;IF(AND(Milestones!$AB$183="FT",Milestones!$AA$183=FT_Y5,EDATE($D121,Milestones!$AA$183)&lt;PolicyEff),1,Milestones!$AC$183)&amp;";  ","")&amp;IF(AND(EDATE($D121,Milestones!$AA$184)&lt;=AsOfDate,EDATE($D121,Milestones!$AA$184)&gt;=SchemeStart,IF($X121=0,$AD121,IF(AND($Z121&lt;&gt;"",EDATE($D121,Milestones!$AA$184)&gt;=$Z121),$AC121,IF(AND($Y121&lt;&gt;"",EDATE($D121,Milestones!$AA$184)&gt;=$Y121),$AB121,$AA121)))=Milestones!$AB$184),UPPER(TEXT(EDATE($D121,Milestones!$AA$184),"dd mmm yy"))&amp;" "&amp;Milestones!$AB$184&amp;" "&amp;IF(AND(Milestones!$AB$184="FT",Milestones!$AA$184=FT_Y5,EDATE($D121,Milestones!$AA$184)&lt;PolicyEff),1,Milestones!$AC$184)&amp;";  ","")&amp;IF(AND(EDATE($D121,Milestones!$AA$185)&lt;=AsOfDate,EDATE($D121,Milestones!$AA$185)&gt;=SchemeStart,IF($X121=0,$AD121,IF(AND($Z121&lt;&gt;"",EDATE($D121,Milestones!$AA$185)&gt;=$Z121),$AC121,IF(AND($Y121&lt;&gt;"",EDATE($D121,Milestones!$AA$185)&gt;=$Y121),$AB121,$AA121)))=Milestones!$AB$185),UPPER(TEXT(EDATE($D121,Milestones!$AA$185),"dd mmm yy"))&amp;" "&amp;Milestones!$AB$185&amp;" "&amp;IF(AND(Milestones!$AB$185="FT",Milestones!$AA$185=FT_Y5,EDATE($D121,Milestones!$AA$185)&lt;PolicyEff),1,Milestones!$AC$185)&amp;";  ","")&amp;IF(AND(EDATE($D121,Milestones!$AA$186)&lt;=AsOfDate,EDATE($D121,Milestones!$AA$186)&gt;=SchemeStart,IF($X121=0,$AD121,IF(AND($Z121&lt;&gt;"",EDATE($D121,Milestones!$AA$186)&gt;=$Z121),$AC121,IF(AND($Y121&lt;&gt;"",EDATE($D121,Milestones!$AA$186)&gt;=$Y121),$AB121,$AA121)))=Milestones!$AB$186),UPPER(TEXT(EDATE($D121,Milestones!$AA$186),"dd mmm yy"))&amp;" "&amp;Milestones!$AB$186&amp;" "&amp;IF(AND(Milestones!$AB$186="FT",Milestones!$AA$186=FT_Y5,EDATE($D121,Milestones!$AA$186)&lt;PolicyEff),1,Milestones!$AC$186)&amp;";  ","")&amp;IF(AND(EDATE($D121,Milestones!$AA$187)&lt;=AsOfDate,EDATE($D121,Milestones!$AA$187)&gt;=SchemeStart,IF($X121=0,$AD121,IF(AND($Z121&lt;&gt;"",EDATE($D121,Milestones!$AA$187)&gt;=$Z121),$AC121,IF(AND($Y121&lt;&gt;"",EDATE($D121,Milestones!$AA$187)&gt;=$Y121),$AB121,$AA121)))=Milestones!$AB$187),UPPER(TEXT(EDATE($D121,Milestones!$AA$187),"dd mmm yy"))&amp;" "&amp;Milestones!$AB$187&amp;" "&amp;IF(AND(Milestones!$AB$187="FT",Milestones!$AA$187=FT_Y5,EDATE($D121,Milestones!$AA$187)&lt;PolicyEff),1,Milestones!$AC$187)&amp;";  ",""))</f>
        <v/>
      </c>
      <c r="W121" s="0" t="str">
        <f aca="false">IF(OR($A121="",$D121=""),"",IF(AND(EDATE($D121,Milestones!$AA$188)&lt;=AsOfDate,EDATE($D121,Milestones!$AA$188)&gt;=SchemeStart,IF($X121=0,$AD121,IF(AND($Z121&lt;&gt;"",EDATE($D121,Milestones!$AA$188)&gt;=$Z121),$AC121,IF(AND($Y121&lt;&gt;"",EDATE($D121,Milestones!$AA$188)&gt;=$Y121),$AB121,$AA121)))=Milestones!$AB$188),UPPER(TEXT(EDATE($D121,Milestones!$AA$188),"dd mmm yy"))&amp;" "&amp;Milestones!$AB$188&amp;" "&amp;IF(AND(Milestones!$AB$188="FT",Milestones!$AA$188=FT_Y5,EDATE($D121,Milestones!$AA$188)&lt;PolicyEff),1,Milestones!$AC$188)&amp;";  ","")&amp;IF(AND(EDATE($D121,Milestones!$AA$189)&lt;=AsOfDate,EDATE($D121,Milestones!$AA$189)&gt;=SchemeStart,IF($X121=0,$AD121,IF(AND($Z121&lt;&gt;"",EDATE($D121,Milestones!$AA$189)&gt;=$Z121),$AC121,IF(AND($Y121&lt;&gt;"",EDATE($D121,Milestones!$AA$189)&gt;=$Y121),$AB121,$AA121)))=Milestones!$AB$189),UPPER(TEXT(EDATE($D121,Milestones!$AA$189),"dd mmm yy"))&amp;" "&amp;Milestones!$AB$189&amp;" "&amp;IF(AND(Milestones!$AB$189="FT",Milestones!$AA$189=FT_Y5,EDATE($D121,Milestones!$AA$189)&lt;PolicyEff),1,Milestones!$AC$189)&amp;";  ","")&amp;IF(AND(EDATE($D121,Milestones!$AA$190)&lt;=AsOfDate,EDATE($D121,Milestones!$AA$190)&gt;=SchemeStart,IF($X121=0,$AD121,IF(AND($Z121&lt;&gt;"",EDATE($D121,Milestones!$AA$190)&gt;=$Z121),$AC121,IF(AND($Y121&lt;&gt;"",EDATE($D121,Milestones!$AA$190)&gt;=$Y121),$AB121,$AA121)))=Milestones!$AB$190),UPPER(TEXT(EDATE($D121,Milestones!$AA$190),"dd mmm yy"))&amp;" "&amp;Milestones!$AB$190&amp;" "&amp;IF(AND(Milestones!$AB$190="FT",Milestones!$AA$190=FT_Y5,EDATE($D121,Milestones!$AA$190)&lt;PolicyEff),1,Milestones!$AC$190)&amp;";  ","")&amp;IF(AND(EDATE($D121,Milestones!$AA$191)&lt;=AsOfDate,EDATE($D121,Milestones!$AA$191)&gt;=SchemeStart,IF($X121=0,$AD121,IF(AND($Z121&lt;&gt;"",EDATE($D121,Milestones!$AA$191)&gt;=$Z121),$AC121,IF(AND($Y121&lt;&gt;"",EDATE($D121,Milestones!$AA$191)&gt;=$Y121),$AB121,$AA121)))=Milestones!$AB$191),UPPER(TEXT(EDATE($D121,Milestones!$AA$191),"dd mmm yy"))&amp;" "&amp;Milestones!$AB$191&amp;" "&amp;IF(AND(Milestones!$AB$191="FT",Milestones!$AA$191=FT_Y5,EDATE($D121,Milestones!$AA$191)&lt;PolicyEff),1,Milestones!$AC$191)&amp;";  ","")&amp;IF(AND(EDATE($D121,Milestones!$AA$192)&lt;=AsOfDate,EDATE($D121,Milestones!$AA$192)&gt;=SchemeStart,IF($X121=0,$AD121,IF(AND($Z121&lt;&gt;"",EDATE($D121,Milestones!$AA$192)&gt;=$Z121),$AC121,IF(AND($Y121&lt;&gt;"",EDATE($D121,Milestones!$AA$192)&gt;=$Y121),$AB121,$AA121)))=Milestones!$AB$192),UPPER(TEXT(EDATE($D121,Milestones!$AA$192),"dd mmm yy"))&amp;" "&amp;Milestones!$AB$192&amp;" "&amp;IF(AND(Milestones!$AB$192="FT",Milestones!$AA$192=FT_Y5,EDATE($D121,Milestones!$AA$192)&lt;PolicyEff),1,Milestones!$AC$192)&amp;";  ","")&amp;IF(AND(EDATE($D121,Milestones!$AA$193)&lt;=AsOfDate,EDATE($D121,Milestones!$AA$193)&gt;=SchemeStart,IF($X121=0,$AD121,IF(AND($Z121&lt;&gt;"",EDATE($D121,Milestones!$AA$193)&gt;=$Z121),$AC121,IF(AND($Y121&lt;&gt;"",EDATE($D121,Milestones!$AA$193)&gt;=$Y121),$AB121,$AA121)))=Milestones!$AB$193),UPPER(TEXT(EDATE($D121,Milestones!$AA$193),"dd mmm yy"))&amp;" "&amp;Milestones!$AB$193&amp;" "&amp;IF(AND(Milestones!$AB$193="FT",Milestones!$AA$193=FT_Y5,EDATE($D121,Milestones!$AA$193)&lt;PolicyEff),1,Milestones!$AC$193)&amp;";  ","")&amp;IF(AND(EDATE($D121,Milestones!$AA$194)&lt;=AsOfDate,EDATE($D121,Milestones!$AA$194)&gt;=SchemeStart,IF($X121=0,$AD121,IF(AND($Z121&lt;&gt;"",EDATE($D121,Milestones!$AA$194)&gt;=$Z121),$AC121,IF(AND($Y121&lt;&gt;"",EDATE($D121,Milestones!$AA$194)&gt;=$Y121),$AB121,$AA121)))=Milestones!$AB$194),UPPER(TEXT(EDATE($D121,Milestones!$AA$194),"dd mmm yy"))&amp;" "&amp;Milestones!$AB$194&amp;" "&amp;IF(AND(Milestones!$AB$194="FT",Milestones!$AA$194=FT_Y5,EDATE($D121,Milestones!$AA$194)&lt;PolicyEff),1,Milestones!$AC$194)&amp;";  ","")&amp;IF(AND(EDATE($D121,Milestones!$AA$195)&lt;=AsOfDate,EDATE($D121,Milestones!$AA$195)&gt;=SchemeStart,IF($X121=0,$AD121,IF(AND($Z121&lt;&gt;"",EDATE($D121,Milestones!$AA$195)&gt;=$Z121),$AC121,IF(AND($Y121&lt;&gt;"",EDATE($D121,Milestones!$AA$195)&gt;=$Y121),$AB121,$AA121)))=Milestones!$AB$195),UPPER(TEXT(EDATE($D121,Milestones!$AA$195),"dd mmm yy"))&amp;" "&amp;Milestones!$AB$195&amp;" "&amp;IF(AND(Milestones!$AB$195="FT",Milestones!$AA$195=FT_Y5,EDATE($D121,Milestones!$AA$195)&lt;PolicyEff),1,Milestones!$AC$195)&amp;";  ","")&amp;IF(AND(EDATE($D121,Milestones!$AA$196)&lt;=AsOfDate,EDATE($D121,Milestones!$AA$196)&gt;=SchemeStart,IF($X121=0,$AD121,IF(AND($Z121&lt;&gt;"",EDATE($D121,Milestones!$AA$196)&gt;=$Z121),$AC121,IF(AND($Y121&lt;&gt;"",EDATE($D121,Milestones!$AA$196)&gt;=$Y121),$AB121,$AA121)))=Milestones!$AB$196),UPPER(TEXT(EDATE($D121,Milestones!$AA$196),"dd mmm yy"))&amp;" "&amp;Milestones!$AB$196&amp;" "&amp;IF(AND(Milestones!$AB$196="FT",Milestones!$AA$196=FT_Y5,EDATE($D121,Milestones!$AA$196)&lt;PolicyEff),1,Milestones!$AC$196)&amp;";  ","")&amp;IF(AND(EDATE($D121,Milestones!$AA$197)&lt;=AsOfDate,EDATE($D121,Milestones!$AA$197)&gt;=SchemeStart,IF($X121=0,$AD121,IF(AND($Z121&lt;&gt;"",EDATE($D121,Milestones!$AA$197)&gt;=$Z121),$AC121,IF(AND($Y121&lt;&gt;"",EDATE($D121,Milestones!$AA$197)&gt;=$Y121),$AB121,$AA121)))=Milestones!$AB$197),UPPER(TEXT(EDATE($D121,Milestones!$AA$197),"dd mmm yy"))&amp;" "&amp;Milestones!$AB$197&amp;" "&amp;IF(AND(Milestones!$AB$197="FT",Milestones!$AA$197=FT_Y5,EDATE($D121,Milestones!$AA$197)&lt;PolicyEff),1,Milestones!$AC$197)&amp;";  ","")&amp;IF(AND(EDATE($D121,Milestones!$AA$198)&lt;=AsOfDate,EDATE($D121,Milestones!$AA$198)&gt;=SchemeStart,IF($X121=0,$AD121,IF(AND($Z121&lt;&gt;"",EDATE($D121,Milestones!$AA$198)&gt;=$Z121),$AC121,IF(AND($Y121&lt;&gt;"",EDATE($D121,Milestones!$AA$198)&gt;=$Y121),$AB121,$AA121)))=Milestones!$AB$198),UPPER(TEXT(EDATE($D121,Milestones!$AA$198),"dd mmm yy"))&amp;" "&amp;Milestones!$AB$198&amp;" "&amp;IF(AND(Milestones!$AB$198="FT",Milestones!$AA$198=FT_Y5,EDATE($D121,Milestones!$AA$198)&lt;PolicyEff),1,Milestones!$AC$198)&amp;";  ","")&amp;IF(AND(EDATE($D121,Milestones!$AA$199)&lt;=AsOfDate,EDATE($D121,Milestones!$AA$199)&gt;=SchemeStart,IF($X121=0,$AD121,IF(AND($Z121&lt;&gt;"",EDATE($D121,Milestones!$AA$199)&gt;=$Z121),$AC121,IF(AND($Y121&lt;&gt;"",EDATE($D121,Milestones!$AA$199)&gt;=$Y121),$AB121,$AA121)))=Milestones!$AB$199),UPPER(TEXT(EDATE($D121,Milestones!$AA$199),"dd mmm yy"))&amp;" "&amp;Milestones!$AB$199&amp;" "&amp;IF(AND(Milestones!$AB$199="FT",Milestones!$AA$199=FT_Y5,EDATE($D121,Milestones!$AA$199)&lt;PolicyEff),1,Milestones!$AC$199)&amp;";  ",""))</f>
        <v/>
      </c>
      <c r="X121" s="0" t="str">
        <f aca="false">IF(Staff!$A121="","",Staff!$AM121)</f>
        <v/>
      </c>
      <c r="Y121" s="0" t="str">
        <f aca="false">IF(Staff!$A121="","",Staff!$AO121)</f>
        <v/>
      </c>
      <c r="Z121" s="0" t="str">
        <f aca="false">IF(Staff!$A121="","",Staff!$AP121)</f>
        <v/>
      </c>
      <c r="AA121" s="0" t="str">
        <f aca="false">IF(Staff!$A121="","",Staff!$AT121)</f>
        <v/>
      </c>
      <c r="AB121" s="0" t="str">
        <f aca="false">IF(Staff!$A121="","",Staff!$AU121)</f>
        <v/>
      </c>
      <c r="AC121" s="0" t="str">
        <f aca="false">IF(Staff!$A121="","",Staff!$AV121)</f>
        <v/>
      </c>
      <c r="AD121" s="0" t="str">
        <f aca="false">IF(Staff!$A121="","",Staff!$AW121)</f>
        <v/>
      </c>
    </row>
    <row r="122" customFormat="false" ht="15" hidden="false" customHeight="false" outlineLevel="0" collapsed="false">
      <c r="A122" s="16" t="str">
        <f aca="false">IF(Staff!$A122="","",Staff!$A122)</f>
        <v/>
      </c>
      <c r="B122" s="16" t="str">
        <f aca="false">IF(Staff!$A122="","",Staff!$B122)</f>
        <v/>
      </c>
      <c r="C122" s="16" t="str">
        <f aca="false">IF(Staff!$A122="","",Staff!$C122)</f>
        <v/>
      </c>
      <c r="D122" s="14" t="str">
        <f aca="false">IF(Staff!$A122="","",Staff!$AL122)</f>
        <v/>
      </c>
      <c r="E122" s="16" t="str">
        <f aca="false">IF(Staff!$A122="","",Staff!$O122)</f>
        <v/>
      </c>
      <c r="F122" s="16" t="str">
        <f aca="false">IF(E122="","",E122*HoursPerDay)</f>
        <v/>
      </c>
      <c r="G122" s="16" t="str">
        <f aca="false">IF(Staff!$A122="","",Staff!$AE122)</f>
        <v/>
      </c>
      <c r="H122" s="28" t="str">
        <f aca="false">IF($A122="","",I122&amp;J122&amp;K122&amp;L122&amp;M122&amp;N122&amp;O122&amp;P122&amp;Q122&amp;R122&amp;S122&amp;T122&amp;U122&amp;V122&amp;W122)</f>
        <v/>
      </c>
      <c r="I122" s="0" t="str">
        <f aca="false">IF(OR($A122="",$D122=""),"",IF(AND(EDATE($D122,Milestones!$AA$20)&lt;=AsOfDate,EDATE($D122,Milestones!$AA$20)&gt;=SchemeStart,IF($X122=0,$AD122,IF(AND($Z122&lt;&gt;"",EDATE($D122,Milestones!$AA$20)&gt;=$Z122),$AC122,IF(AND($Y122&lt;&gt;"",EDATE($D122,Milestones!$AA$20)&gt;=$Y122),$AB122,$AA122)))=Milestones!$AB$20),UPPER(TEXT(EDATE($D122,Milestones!$AA$20),"dd mmm yy"))&amp;" "&amp;Milestones!$AB$20&amp;" "&amp;IF(AND(Milestones!$AB$20="FT",Milestones!$AA$20=FT_Y5,EDATE($D122,Milestones!$AA$20)&lt;PolicyEff),1,Milestones!$AC$20)&amp;";  ","")&amp;IF(AND(EDATE($D122,Milestones!$AA$21)&lt;=AsOfDate,EDATE($D122,Milestones!$AA$21)&gt;=SchemeStart,IF($X122=0,$AD122,IF(AND($Z122&lt;&gt;"",EDATE($D122,Milestones!$AA$21)&gt;=$Z122),$AC122,IF(AND($Y122&lt;&gt;"",EDATE($D122,Milestones!$AA$21)&gt;=$Y122),$AB122,$AA122)))=Milestones!$AB$21),UPPER(TEXT(EDATE($D122,Milestones!$AA$21),"dd mmm yy"))&amp;" "&amp;Milestones!$AB$21&amp;" "&amp;IF(AND(Milestones!$AB$21="FT",Milestones!$AA$21=FT_Y5,EDATE($D122,Milestones!$AA$21)&lt;PolicyEff),1,Milestones!$AC$21)&amp;";  ","")&amp;IF(AND(EDATE($D122,Milestones!$AA$22)&lt;=AsOfDate,EDATE($D122,Milestones!$AA$22)&gt;=SchemeStart,IF($X122=0,$AD122,IF(AND($Z122&lt;&gt;"",EDATE($D122,Milestones!$AA$22)&gt;=$Z122),$AC122,IF(AND($Y122&lt;&gt;"",EDATE($D122,Milestones!$AA$22)&gt;=$Y122),$AB122,$AA122)))=Milestones!$AB$22),UPPER(TEXT(EDATE($D122,Milestones!$AA$22),"dd mmm yy"))&amp;" "&amp;Milestones!$AB$22&amp;" "&amp;IF(AND(Milestones!$AB$22="FT",Milestones!$AA$22=FT_Y5,EDATE($D122,Milestones!$AA$22)&lt;PolicyEff),1,Milestones!$AC$22)&amp;";  ","")&amp;IF(AND(EDATE($D122,Milestones!$AA$23)&lt;=AsOfDate,EDATE($D122,Milestones!$AA$23)&gt;=SchemeStart,IF($X122=0,$AD122,IF(AND($Z122&lt;&gt;"",EDATE($D122,Milestones!$AA$23)&gt;=$Z122),$AC122,IF(AND($Y122&lt;&gt;"",EDATE($D122,Milestones!$AA$23)&gt;=$Y122),$AB122,$AA122)))=Milestones!$AB$23),UPPER(TEXT(EDATE($D122,Milestones!$AA$23),"dd mmm yy"))&amp;" "&amp;Milestones!$AB$23&amp;" "&amp;IF(AND(Milestones!$AB$23="FT",Milestones!$AA$23=FT_Y5,EDATE($D122,Milestones!$AA$23)&lt;PolicyEff),1,Milestones!$AC$23)&amp;";  ","")&amp;IF(AND(EDATE($D122,Milestones!$AA$24)&lt;=AsOfDate,EDATE($D122,Milestones!$AA$24)&gt;=SchemeStart,IF($X122=0,$AD122,IF(AND($Z122&lt;&gt;"",EDATE($D122,Milestones!$AA$24)&gt;=$Z122),$AC122,IF(AND($Y122&lt;&gt;"",EDATE($D122,Milestones!$AA$24)&gt;=$Y122),$AB122,$AA122)))=Milestones!$AB$24),UPPER(TEXT(EDATE($D122,Milestones!$AA$24),"dd mmm yy"))&amp;" "&amp;Milestones!$AB$24&amp;" "&amp;IF(AND(Milestones!$AB$24="FT",Milestones!$AA$24=FT_Y5,EDATE($D122,Milestones!$AA$24)&lt;PolicyEff),1,Milestones!$AC$24)&amp;";  ","")&amp;IF(AND(EDATE($D122,Milestones!$AA$25)&lt;=AsOfDate,EDATE($D122,Milestones!$AA$25)&gt;=SchemeStart,IF($X122=0,$AD122,IF(AND($Z122&lt;&gt;"",EDATE($D122,Milestones!$AA$25)&gt;=$Z122),$AC122,IF(AND($Y122&lt;&gt;"",EDATE($D122,Milestones!$AA$25)&gt;=$Y122),$AB122,$AA122)))=Milestones!$AB$25),UPPER(TEXT(EDATE($D122,Milestones!$AA$25),"dd mmm yy"))&amp;" "&amp;Milestones!$AB$25&amp;" "&amp;IF(AND(Milestones!$AB$25="FT",Milestones!$AA$25=FT_Y5,EDATE($D122,Milestones!$AA$25)&lt;PolicyEff),1,Milestones!$AC$25)&amp;";  ","")&amp;IF(AND(EDATE($D122,Milestones!$AA$26)&lt;=AsOfDate,EDATE($D122,Milestones!$AA$26)&gt;=SchemeStart,IF($X122=0,$AD122,IF(AND($Z122&lt;&gt;"",EDATE($D122,Milestones!$AA$26)&gt;=$Z122),$AC122,IF(AND($Y122&lt;&gt;"",EDATE($D122,Milestones!$AA$26)&gt;=$Y122),$AB122,$AA122)))=Milestones!$AB$26),UPPER(TEXT(EDATE($D122,Milestones!$AA$26),"dd mmm yy"))&amp;" "&amp;Milestones!$AB$26&amp;" "&amp;IF(AND(Milestones!$AB$26="FT",Milestones!$AA$26=FT_Y5,EDATE($D122,Milestones!$AA$26)&lt;PolicyEff),1,Milestones!$AC$26)&amp;";  ","")&amp;IF(AND(EDATE($D122,Milestones!$AA$27)&lt;=AsOfDate,EDATE($D122,Milestones!$AA$27)&gt;=SchemeStart,IF($X122=0,$AD122,IF(AND($Z122&lt;&gt;"",EDATE($D122,Milestones!$AA$27)&gt;=$Z122),$AC122,IF(AND($Y122&lt;&gt;"",EDATE($D122,Milestones!$AA$27)&gt;=$Y122),$AB122,$AA122)))=Milestones!$AB$27),UPPER(TEXT(EDATE($D122,Milestones!$AA$27),"dd mmm yy"))&amp;" "&amp;Milestones!$AB$27&amp;" "&amp;IF(AND(Milestones!$AB$27="FT",Milestones!$AA$27=FT_Y5,EDATE($D122,Milestones!$AA$27)&lt;PolicyEff),1,Milestones!$AC$27)&amp;";  ","")&amp;IF(AND(EDATE($D122,Milestones!$AA$28)&lt;=AsOfDate,EDATE($D122,Milestones!$AA$28)&gt;=SchemeStart,IF($X122=0,$AD122,IF(AND($Z122&lt;&gt;"",EDATE($D122,Milestones!$AA$28)&gt;=$Z122),$AC122,IF(AND($Y122&lt;&gt;"",EDATE($D122,Milestones!$AA$28)&gt;=$Y122),$AB122,$AA122)))=Milestones!$AB$28),UPPER(TEXT(EDATE($D122,Milestones!$AA$28),"dd mmm yy"))&amp;" "&amp;Milestones!$AB$28&amp;" "&amp;IF(AND(Milestones!$AB$28="FT",Milestones!$AA$28=FT_Y5,EDATE($D122,Milestones!$AA$28)&lt;PolicyEff),1,Milestones!$AC$28)&amp;";  ","")&amp;IF(AND(EDATE($D122,Milestones!$AA$29)&lt;=AsOfDate,EDATE($D122,Milestones!$AA$29)&gt;=SchemeStart,IF($X122=0,$AD122,IF(AND($Z122&lt;&gt;"",EDATE($D122,Milestones!$AA$29)&gt;=$Z122),$AC122,IF(AND($Y122&lt;&gt;"",EDATE($D122,Milestones!$AA$29)&gt;=$Y122),$AB122,$AA122)))=Milestones!$AB$29),UPPER(TEXT(EDATE($D122,Milestones!$AA$29),"dd mmm yy"))&amp;" "&amp;Milestones!$AB$29&amp;" "&amp;IF(AND(Milestones!$AB$29="FT",Milestones!$AA$29=FT_Y5,EDATE($D122,Milestones!$AA$29)&lt;PolicyEff),1,Milestones!$AC$29)&amp;";  ","")&amp;IF(AND(EDATE($D122,Milestones!$AA$30)&lt;=AsOfDate,EDATE($D122,Milestones!$AA$30)&gt;=SchemeStart,IF($X122=0,$AD122,IF(AND($Z122&lt;&gt;"",EDATE($D122,Milestones!$AA$30)&gt;=$Z122),$AC122,IF(AND($Y122&lt;&gt;"",EDATE($D122,Milestones!$AA$30)&gt;=$Y122),$AB122,$AA122)))=Milestones!$AB$30),UPPER(TEXT(EDATE($D122,Milestones!$AA$30),"dd mmm yy"))&amp;" "&amp;Milestones!$AB$30&amp;" "&amp;IF(AND(Milestones!$AB$30="FT",Milestones!$AA$30=FT_Y5,EDATE($D122,Milestones!$AA$30)&lt;PolicyEff),1,Milestones!$AC$30)&amp;";  ","")&amp;IF(AND(EDATE($D122,Milestones!$AA$31)&lt;=AsOfDate,EDATE($D122,Milestones!$AA$31)&gt;=SchemeStart,IF($X122=0,$AD122,IF(AND($Z122&lt;&gt;"",EDATE($D122,Milestones!$AA$31)&gt;=$Z122),$AC122,IF(AND($Y122&lt;&gt;"",EDATE($D122,Milestones!$AA$31)&gt;=$Y122),$AB122,$AA122)))=Milestones!$AB$31),UPPER(TEXT(EDATE($D122,Milestones!$AA$31),"dd mmm yy"))&amp;" "&amp;Milestones!$AB$31&amp;" "&amp;IF(AND(Milestones!$AB$31="FT",Milestones!$AA$31=FT_Y5,EDATE($D122,Milestones!$AA$31)&lt;PolicyEff),1,Milestones!$AC$31)&amp;";  ",""))</f>
        <v/>
      </c>
      <c r="J122" s="0" t="str">
        <f aca="false">IF(OR($A122="",$D122=""),"",IF(AND(EDATE($D122,Milestones!$AA$32)&lt;=AsOfDate,EDATE($D122,Milestones!$AA$32)&gt;=SchemeStart,IF($X122=0,$AD122,IF(AND($Z122&lt;&gt;"",EDATE($D122,Milestones!$AA$32)&gt;=$Z122),$AC122,IF(AND($Y122&lt;&gt;"",EDATE($D122,Milestones!$AA$32)&gt;=$Y122),$AB122,$AA122)))=Milestones!$AB$32),UPPER(TEXT(EDATE($D122,Milestones!$AA$32),"dd mmm yy"))&amp;" "&amp;Milestones!$AB$32&amp;" "&amp;IF(AND(Milestones!$AB$32="FT",Milestones!$AA$32=FT_Y5,EDATE($D122,Milestones!$AA$32)&lt;PolicyEff),1,Milestones!$AC$32)&amp;";  ","")&amp;IF(AND(EDATE($D122,Milestones!$AA$33)&lt;=AsOfDate,EDATE($D122,Milestones!$AA$33)&gt;=SchemeStart,IF($X122=0,$AD122,IF(AND($Z122&lt;&gt;"",EDATE($D122,Milestones!$AA$33)&gt;=$Z122),$AC122,IF(AND($Y122&lt;&gt;"",EDATE($D122,Milestones!$AA$33)&gt;=$Y122),$AB122,$AA122)))=Milestones!$AB$33),UPPER(TEXT(EDATE($D122,Milestones!$AA$33),"dd mmm yy"))&amp;" "&amp;Milestones!$AB$33&amp;" "&amp;IF(AND(Milestones!$AB$33="FT",Milestones!$AA$33=FT_Y5,EDATE($D122,Milestones!$AA$33)&lt;PolicyEff),1,Milestones!$AC$33)&amp;";  ","")&amp;IF(AND(EDATE($D122,Milestones!$AA$34)&lt;=AsOfDate,EDATE($D122,Milestones!$AA$34)&gt;=SchemeStart,IF($X122=0,$AD122,IF(AND($Z122&lt;&gt;"",EDATE($D122,Milestones!$AA$34)&gt;=$Z122),$AC122,IF(AND($Y122&lt;&gt;"",EDATE($D122,Milestones!$AA$34)&gt;=$Y122),$AB122,$AA122)))=Milestones!$AB$34),UPPER(TEXT(EDATE($D122,Milestones!$AA$34),"dd mmm yy"))&amp;" "&amp;Milestones!$AB$34&amp;" "&amp;IF(AND(Milestones!$AB$34="FT",Milestones!$AA$34=FT_Y5,EDATE($D122,Milestones!$AA$34)&lt;PolicyEff),1,Milestones!$AC$34)&amp;";  ","")&amp;IF(AND(EDATE($D122,Milestones!$AA$35)&lt;=AsOfDate,EDATE($D122,Milestones!$AA$35)&gt;=SchemeStart,IF($X122=0,$AD122,IF(AND($Z122&lt;&gt;"",EDATE($D122,Milestones!$AA$35)&gt;=$Z122),$AC122,IF(AND($Y122&lt;&gt;"",EDATE($D122,Milestones!$AA$35)&gt;=$Y122),$AB122,$AA122)))=Milestones!$AB$35),UPPER(TEXT(EDATE($D122,Milestones!$AA$35),"dd mmm yy"))&amp;" "&amp;Milestones!$AB$35&amp;" "&amp;IF(AND(Milestones!$AB$35="FT",Milestones!$AA$35=FT_Y5,EDATE($D122,Milestones!$AA$35)&lt;PolicyEff),1,Milestones!$AC$35)&amp;";  ","")&amp;IF(AND(EDATE($D122,Milestones!$AA$36)&lt;=AsOfDate,EDATE($D122,Milestones!$AA$36)&gt;=SchemeStart,IF($X122=0,$AD122,IF(AND($Z122&lt;&gt;"",EDATE($D122,Milestones!$AA$36)&gt;=$Z122),$AC122,IF(AND($Y122&lt;&gt;"",EDATE($D122,Milestones!$AA$36)&gt;=$Y122),$AB122,$AA122)))=Milestones!$AB$36),UPPER(TEXT(EDATE($D122,Milestones!$AA$36),"dd mmm yy"))&amp;" "&amp;Milestones!$AB$36&amp;" "&amp;IF(AND(Milestones!$AB$36="FT",Milestones!$AA$36=FT_Y5,EDATE($D122,Milestones!$AA$36)&lt;PolicyEff),1,Milestones!$AC$36)&amp;";  ","")&amp;IF(AND(EDATE($D122,Milestones!$AA$37)&lt;=AsOfDate,EDATE($D122,Milestones!$AA$37)&gt;=SchemeStart,IF($X122=0,$AD122,IF(AND($Z122&lt;&gt;"",EDATE($D122,Milestones!$AA$37)&gt;=$Z122),$AC122,IF(AND($Y122&lt;&gt;"",EDATE($D122,Milestones!$AA$37)&gt;=$Y122),$AB122,$AA122)))=Milestones!$AB$37),UPPER(TEXT(EDATE($D122,Milestones!$AA$37),"dd mmm yy"))&amp;" "&amp;Milestones!$AB$37&amp;" "&amp;IF(AND(Milestones!$AB$37="FT",Milestones!$AA$37=FT_Y5,EDATE($D122,Milestones!$AA$37)&lt;PolicyEff),1,Milestones!$AC$37)&amp;";  ","")&amp;IF(AND(EDATE($D122,Milestones!$AA$38)&lt;=AsOfDate,EDATE($D122,Milestones!$AA$38)&gt;=SchemeStart,IF($X122=0,$AD122,IF(AND($Z122&lt;&gt;"",EDATE($D122,Milestones!$AA$38)&gt;=$Z122),$AC122,IF(AND($Y122&lt;&gt;"",EDATE($D122,Milestones!$AA$38)&gt;=$Y122),$AB122,$AA122)))=Milestones!$AB$38),UPPER(TEXT(EDATE($D122,Milestones!$AA$38),"dd mmm yy"))&amp;" "&amp;Milestones!$AB$38&amp;" "&amp;IF(AND(Milestones!$AB$38="FT",Milestones!$AA$38=FT_Y5,EDATE($D122,Milestones!$AA$38)&lt;PolicyEff),1,Milestones!$AC$38)&amp;";  ","")&amp;IF(AND(EDATE($D122,Milestones!$AA$39)&lt;=AsOfDate,EDATE($D122,Milestones!$AA$39)&gt;=SchemeStart,IF($X122=0,$AD122,IF(AND($Z122&lt;&gt;"",EDATE($D122,Milestones!$AA$39)&gt;=$Z122),$AC122,IF(AND($Y122&lt;&gt;"",EDATE($D122,Milestones!$AA$39)&gt;=$Y122),$AB122,$AA122)))=Milestones!$AB$39),UPPER(TEXT(EDATE($D122,Milestones!$AA$39),"dd mmm yy"))&amp;" "&amp;Milestones!$AB$39&amp;" "&amp;IF(AND(Milestones!$AB$39="FT",Milestones!$AA$39=FT_Y5,EDATE($D122,Milestones!$AA$39)&lt;PolicyEff),1,Milestones!$AC$39)&amp;";  ","")&amp;IF(AND(EDATE($D122,Milestones!$AA$40)&lt;=AsOfDate,EDATE($D122,Milestones!$AA$40)&gt;=SchemeStart,IF($X122=0,$AD122,IF(AND($Z122&lt;&gt;"",EDATE($D122,Milestones!$AA$40)&gt;=$Z122),$AC122,IF(AND($Y122&lt;&gt;"",EDATE($D122,Milestones!$AA$40)&gt;=$Y122),$AB122,$AA122)))=Milestones!$AB$40),UPPER(TEXT(EDATE($D122,Milestones!$AA$40),"dd mmm yy"))&amp;" "&amp;Milestones!$AB$40&amp;" "&amp;IF(AND(Milestones!$AB$40="FT",Milestones!$AA$40=FT_Y5,EDATE($D122,Milestones!$AA$40)&lt;PolicyEff),1,Milestones!$AC$40)&amp;";  ","")&amp;IF(AND(EDATE($D122,Milestones!$AA$41)&lt;=AsOfDate,EDATE($D122,Milestones!$AA$41)&gt;=SchemeStart,IF($X122=0,$AD122,IF(AND($Z122&lt;&gt;"",EDATE($D122,Milestones!$AA$41)&gt;=$Z122),$AC122,IF(AND($Y122&lt;&gt;"",EDATE($D122,Milestones!$AA$41)&gt;=$Y122),$AB122,$AA122)))=Milestones!$AB$41),UPPER(TEXT(EDATE($D122,Milestones!$AA$41),"dd mmm yy"))&amp;" "&amp;Milestones!$AB$41&amp;" "&amp;IF(AND(Milestones!$AB$41="FT",Milestones!$AA$41=FT_Y5,EDATE($D122,Milestones!$AA$41)&lt;PolicyEff),1,Milestones!$AC$41)&amp;";  ","")&amp;IF(AND(EDATE($D122,Milestones!$AA$42)&lt;=AsOfDate,EDATE($D122,Milestones!$AA$42)&gt;=SchemeStart,IF($X122=0,$AD122,IF(AND($Z122&lt;&gt;"",EDATE($D122,Milestones!$AA$42)&gt;=$Z122),$AC122,IF(AND($Y122&lt;&gt;"",EDATE($D122,Milestones!$AA$42)&gt;=$Y122),$AB122,$AA122)))=Milestones!$AB$42),UPPER(TEXT(EDATE($D122,Milestones!$AA$42),"dd mmm yy"))&amp;" "&amp;Milestones!$AB$42&amp;" "&amp;IF(AND(Milestones!$AB$42="FT",Milestones!$AA$42=FT_Y5,EDATE($D122,Milestones!$AA$42)&lt;PolicyEff),1,Milestones!$AC$42)&amp;";  ","")&amp;IF(AND(EDATE($D122,Milestones!$AA$43)&lt;=AsOfDate,EDATE($D122,Milestones!$AA$43)&gt;=SchemeStart,IF($X122=0,$AD122,IF(AND($Z122&lt;&gt;"",EDATE($D122,Milestones!$AA$43)&gt;=$Z122),$AC122,IF(AND($Y122&lt;&gt;"",EDATE($D122,Milestones!$AA$43)&gt;=$Y122),$AB122,$AA122)))=Milestones!$AB$43),UPPER(TEXT(EDATE($D122,Milestones!$AA$43),"dd mmm yy"))&amp;" "&amp;Milestones!$AB$43&amp;" "&amp;IF(AND(Milestones!$AB$43="FT",Milestones!$AA$43=FT_Y5,EDATE($D122,Milestones!$AA$43)&lt;PolicyEff),1,Milestones!$AC$43)&amp;";  ",""))</f>
        <v/>
      </c>
      <c r="K122" s="0" t="str">
        <f aca="false">IF(OR($A122="",$D122=""),"",IF(AND(EDATE($D122,Milestones!$AA$44)&lt;=AsOfDate,EDATE($D122,Milestones!$AA$44)&gt;=SchemeStart,IF($X122=0,$AD122,IF(AND($Z122&lt;&gt;"",EDATE($D122,Milestones!$AA$44)&gt;=$Z122),$AC122,IF(AND($Y122&lt;&gt;"",EDATE($D122,Milestones!$AA$44)&gt;=$Y122),$AB122,$AA122)))=Milestones!$AB$44),UPPER(TEXT(EDATE($D122,Milestones!$AA$44),"dd mmm yy"))&amp;" "&amp;Milestones!$AB$44&amp;" "&amp;IF(AND(Milestones!$AB$44="FT",Milestones!$AA$44=FT_Y5,EDATE($D122,Milestones!$AA$44)&lt;PolicyEff),1,Milestones!$AC$44)&amp;";  ","")&amp;IF(AND(EDATE($D122,Milestones!$AA$45)&lt;=AsOfDate,EDATE($D122,Milestones!$AA$45)&gt;=SchemeStart,IF($X122=0,$AD122,IF(AND($Z122&lt;&gt;"",EDATE($D122,Milestones!$AA$45)&gt;=$Z122),$AC122,IF(AND($Y122&lt;&gt;"",EDATE($D122,Milestones!$AA$45)&gt;=$Y122),$AB122,$AA122)))=Milestones!$AB$45),UPPER(TEXT(EDATE($D122,Milestones!$AA$45),"dd mmm yy"))&amp;" "&amp;Milestones!$AB$45&amp;" "&amp;IF(AND(Milestones!$AB$45="FT",Milestones!$AA$45=FT_Y5,EDATE($D122,Milestones!$AA$45)&lt;PolicyEff),1,Milestones!$AC$45)&amp;";  ","")&amp;IF(AND(EDATE($D122,Milestones!$AA$46)&lt;=AsOfDate,EDATE($D122,Milestones!$AA$46)&gt;=SchemeStart,IF($X122=0,$AD122,IF(AND($Z122&lt;&gt;"",EDATE($D122,Milestones!$AA$46)&gt;=$Z122),$AC122,IF(AND($Y122&lt;&gt;"",EDATE($D122,Milestones!$AA$46)&gt;=$Y122),$AB122,$AA122)))=Milestones!$AB$46),UPPER(TEXT(EDATE($D122,Milestones!$AA$46),"dd mmm yy"))&amp;" "&amp;Milestones!$AB$46&amp;" "&amp;IF(AND(Milestones!$AB$46="FT",Milestones!$AA$46=FT_Y5,EDATE($D122,Milestones!$AA$46)&lt;PolicyEff),1,Milestones!$AC$46)&amp;";  ","")&amp;IF(AND(EDATE($D122,Milestones!$AA$47)&lt;=AsOfDate,EDATE($D122,Milestones!$AA$47)&gt;=SchemeStart,IF($X122=0,$AD122,IF(AND($Z122&lt;&gt;"",EDATE($D122,Milestones!$AA$47)&gt;=$Z122),$AC122,IF(AND($Y122&lt;&gt;"",EDATE($D122,Milestones!$AA$47)&gt;=$Y122),$AB122,$AA122)))=Milestones!$AB$47),UPPER(TEXT(EDATE($D122,Milestones!$AA$47),"dd mmm yy"))&amp;" "&amp;Milestones!$AB$47&amp;" "&amp;IF(AND(Milestones!$AB$47="FT",Milestones!$AA$47=FT_Y5,EDATE($D122,Milestones!$AA$47)&lt;PolicyEff),1,Milestones!$AC$47)&amp;";  ","")&amp;IF(AND(EDATE($D122,Milestones!$AA$48)&lt;=AsOfDate,EDATE($D122,Milestones!$AA$48)&gt;=SchemeStart,IF($X122=0,$AD122,IF(AND($Z122&lt;&gt;"",EDATE($D122,Milestones!$AA$48)&gt;=$Z122),$AC122,IF(AND($Y122&lt;&gt;"",EDATE($D122,Milestones!$AA$48)&gt;=$Y122),$AB122,$AA122)))=Milestones!$AB$48),UPPER(TEXT(EDATE($D122,Milestones!$AA$48),"dd mmm yy"))&amp;" "&amp;Milestones!$AB$48&amp;" "&amp;IF(AND(Milestones!$AB$48="FT",Milestones!$AA$48=FT_Y5,EDATE($D122,Milestones!$AA$48)&lt;PolicyEff),1,Milestones!$AC$48)&amp;";  ","")&amp;IF(AND(EDATE($D122,Milestones!$AA$49)&lt;=AsOfDate,EDATE($D122,Milestones!$AA$49)&gt;=SchemeStart,IF($X122=0,$AD122,IF(AND($Z122&lt;&gt;"",EDATE($D122,Milestones!$AA$49)&gt;=$Z122),$AC122,IF(AND($Y122&lt;&gt;"",EDATE($D122,Milestones!$AA$49)&gt;=$Y122),$AB122,$AA122)))=Milestones!$AB$49),UPPER(TEXT(EDATE($D122,Milestones!$AA$49),"dd mmm yy"))&amp;" "&amp;Milestones!$AB$49&amp;" "&amp;IF(AND(Milestones!$AB$49="FT",Milestones!$AA$49=FT_Y5,EDATE($D122,Milestones!$AA$49)&lt;PolicyEff),1,Milestones!$AC$49)&amp;";  ","")&amp;IF(AND(EDATE($D122,Milestones!$AA$50)&lt;=AsOfDate,EDATE($D122,Milestones!$AA$50)&gt;=SchemeStart,IF($X122=0,$AD122,IF(AND($Z122&lt;&gt;"",EDATE($D122,Milestones!$AA$50)&gt;=$Z122),$AC122,IF(AND($Y122&lt;&gt;"",EDATE($D122,Milestones!$AA$50)&gt;=$Y122),$AB122,$AA122)))=Milestones!$AB$50),UPPER(TEXT(EDATE($D122,Milestones!$AA$50),"dd mmm yy"))&amp;" "&amp;Milestones!$AB$50&amp;" "&amp;IF(AND(Milestones!$AB$50="FT",Milestones!$AA$50=FT_Y5,EDATE($D122,Milestones!$AA$50)&lt;PolicyEff),1,Milestones!$AC$50)&amp;";  ","")&amp;IF(AND(EDATE($D122,Milestones!$AA$51)&lt;=AsOfDate,EDATE($D122,Milestones!$AA$51)&gt;=SchemeStart,IF($X122=0,$AD122,IF(AND($Z122&lt;&gt;"",EDATE($D122,Milestones!$AA$51)&gt;=$Z122),$AC122,IF(AND($Y122&lt;&gt;"",EDATE($D122,Milestones!$AA$51)&gt;=$Y122),$AB122,$AA122)))=Milestones!$AB$51),UPPER(TEXT(EDATE($D122,Milestones!$AA$51),"dd mmm yy"))&amp;" "&amp;Milestones!$AB$51&amp;" "&amp;IF(AND(Milestones!$AB$51="FT",Milestones!$AA$51=FT_Y5,EDATE($D122,Milestones!$AA$51)&lt;PolicyEff),1,Milestones!$AC$51)&amp;";  ","")&amp;IF(AND(EDATE($D122,Milestones!$AA$52)&lt;=AsOfDate,EDATE($D122,Milestones!$AA$52)&gt;=SchemeStart,IF($X122=0,$AD122,IF(AND($Z122&lt;&gt;"",EDATE($D122,Milestones!$AA$52)&gt;=$Z122),$AC122,IF(AND($Y122&lt;&gt;"",EDATE($D122,Milestones!$AA$52)&gt;=$Y122),$AB122,$AA122)))=Milestones!$AB$52),UPPER(TEXT(EDATE($D122,Milestones!$AA$52),"dd mmm yy"))&amp;" "&amp;Milestones!$AB$52&amp;" "&amp;IF(AND(Milestones!$AB$52="FT",Milestones!$AA$52=FT_Y5,EDATE($D122,Milestones!$AA$52)&lt;PolicyEff),1,Milestones!$AC$52)&amp;";  ","")&amp;IF(AND(EDATE($D122,Milestones!$AA$53)&lt;=AsOfDate,EDATE($D122,Milestones!$AA$53)&gt;=SchemeStart,IF($X122=0,$AD122,IF(AND($Z122&lt;&gt;"",EDATE($D122,Milestones!$AA$53)&gt;=$Z122),$AC122,IF(AND($Y122&lt;&gt;"",EDATE($D122,Milestones!$AA$53)&gt;=$Y122),$AB122,$AA122)))=Milestones!$AB$53),UPPER(TEXT(EDATE($D122,Milestones!$AA$53),"dd mmm yy"))&amp;" "&amp;Milestones!$AB$53&amp;" "&amp;IF(AND(Milestones!$AB$53="FT",Milestones!$AA$53=FT_Y5,EDATE($D122,Milestones!$AA$53)&lt;PolicyEff),1,Milestones!$AC$53)&amp;";  ","")&amp;IF(AND(EDATE($D122,Milestones!$AA$54)&lt;=AsOfDate,EDATE($D122,Milestones!$AA$54)&gt;=SchemeStart,IF($X122=0,$AD122,IF(AND($Z122&lt;&gt;"",EDATE($D122,Milestones!$AA$54)&gt;=$Z122),$AC122,IF(AND($Y122&lt;&gt;"",EDATE($D122,Milestones!$AA$54)&gt;=$Y122),$AB122,$AA122)))=Milestones!$AB$54),UPPER(TEXT(EDATE($D122,Milestones!$AA$54),"dd mmm yy"))&amp;" "&amp;Milestones!$AB$54&amp;" "&amp;IF(AND(Milestones!$AB$54="FT",Milestones!$AA$54=FT_Y5,EDATE($D122,Milestones!$AA$54)&lt;PolicyEff),1,Milestones!$AC$54)&amp;";  ","")&amp;IF(AND(EDATE($D122,Milestones!$AA$55)&lt;=AsOfDate,EDATE($D122,Milestones!$AA$55)&gt;=SchemeStart,IF($X122=0,$AD122,IF(AND($Z122&lt;&gt;"",EDATE($D122,Milestones!$AA$55)&gt;=$Z122),$AC122,IF(AND($Y122&lt;&gt;"",EDATE($D122,Milestones!$AA$55)&gt;=$Y122),$AB122,$AA122)))=Milestones!$AB$55),UPPER(TEXT(EDATE($D122,Milestones!$AA$55),"dd mmm yy"))&amp;" "&amp;Milestones!$AB$55&amp;" "&amp;IF(AND(Milestones!$AB$55="FT",Milestones!$AA$55=FT_Y5,EDATE($D122,Milestones!$AA$55)&lt;PolicyEff),1,Milestones!$AC$55)&amp;";  ",""))</f>
        <v/>
      </c>
      <c r="L122" s="0" t="str">
        <f aca="false">IF(OR($A122="",$D122=""),"",IF(AND(EDATE($D122,Milestones!$AA$56)&lt;=AsOfDate,EDATE($D122,Milestones!$AA$56)&gt;=SchemeStart,IF($X122=0,$AD122,IF(AND($Z122&lt;&gt;"",EDATE($D122,Milestones!$AA$56)&gt;=$Z122),$AC122,IF(AND($Y122&lt;&gt;"",EDATE($D122,Milestones!$AA$56)&gt;=$Y122),$AB122,$AA122)))=Milestones!$AB$56),UPPER(TEXT(EDATE($D122,Milestones!$AA$56),"dd mmm yy"))&amp;" "&amp;Milestones!$AB$56&amp;" "&amp;IF(AND(Milestones!$AB$56="FT",Milestones!$AA$56=FT_Y5,EDATE($D122,Milestones!$AA$56)&lt;PolicyEff),1,Milestones!$AC$56)&amp;";  ","")&amp;IF(AND(EDATE($D122,Milestones!$AA$57)&lt;=AsOfDate,EDATE($D122,Milestones!$AA$57)&gt;=SchemeStart,IF($X122=0,$AD122,IF(AND($Z122&lt;&gt;"",EDATE($D122,Milestones!$AA$57)&gt;=$Z122),$AC122,IF(AND($Y122&lt;&gt;"",EDATE($D122,Milestones!$AA$57)&gt;=$Y122),$AB122,$AA122)))=Milestones!$AB$57),UPPER(TEXT(EDATE($D122,Milestones!$AA$57),"dd mmm yy"))&amp;" "&amp;Milestones!$AB$57&amp;" "&amp;IF(AND(Milestones!$AB$57="FT",Milestones!$AA$57=FT_Y5,EDATE($D122,Milestones!$AA$57)&lt;PolicyEff),1,Milestones!$AC$57)&amp;";  ","")&amp;IF(AND(EDATE($D122,Milestones!$AA$58)&lt;=AsOfDate,EDATE($D122,Milestones!$AA$58)&gt;=SchemeStart,IF($X122=0,$AD122,IF(AND($Z122&lt;&gt;"",EDATE($D122,Milestones!$AA$58)&gt;=$Z122),$AC122,IF(AND($Y122&lt;&gt;"",EDATE($D122,Milestones!$AA$58)&gt;=$Y122),$AB122,$AA122)))=Milestones!$AB$58),UPPER(TEXT(EDATE($D122,Milestones!$AA$58),"dd mmm yy"))&amp;" "&amp;Milestones!$AB$58&amp;" "&amp;IF(AND(Milestones!$AB$58="FT",Milestones!$AA$58=FT_Y5,EDATE($D122,Milestones!$AA$58)&lt;PolicyEff),1,Milestones!$AC$58)&amp;";  ","")&amp;IF(AND(EDATE($D122,Milestones!$AA$59)&lt;=AsOfDate,EDATE($D122,Milestones!$AA$59)&gt;=SchemeStart,IF($X122=0,$AD122,IF(AND($Z122&lt;&gt;"",EDATE($D122,Milestones!$AA$59)&gt;=$Z122),$AC122,IF(AND($Y122&lt;&gt;"",EDATE($D122,Milestones!$AA$59)&gt;=$Y122),$AB122,$AA122)))=Milestones!$AB$59),UPPER(TEXT(EDATE($D122,Milestones!$AA$59),"dd mmm yy"))&amp;" "&amp;Milestones!$AB$59&amp;" "&amp;IF(AND(Milestones!$AB$59="FT",Milestones!$AA$59=FT_Y5,EDATE($D122,Milestones!$AA$59)&lt;PolicyEff),1,Milestones!$AC$59)&amp;";  ","")&amp;IF(AND(EDATE($D122,Milestones!$AA$60)&lt;=AsOfDate,EDATE($D122,Milestones!$AA$60)&gt;=SchemeStart,IF($X122=0,$AD122,IF(AND($Z122&lt;&gt;"",EDATE($D122,Milestones!$AA$60)&gt;=$Z122),$AC122,IF(AND($Y122&lt;&gt;"",EDATE($D122,Milestones!$AA$60)&gt;=$Y122),$AB122,$AA122)))=Milestones!$AB$60),UPPER(TEXT(EDATE($D122,Milestones!$AA$60),"dd mmm yy"))&amp;" "&amp;Milestones!$AB$60&amp;" "&amp;IF(AND(Milestones!$AB$60="FT",Milestones!$AA$60=FT_Y5,EDATE($D122,Milestones!$AA$60)&lt;PolicyEff),1,Milestones!$AC$60)&amp;";  ","")&amp;IF(AND(EDATE($D122,Milestones!$AA$61)&lt;=AsOfDate,EDATE($D122,Milestones!$AA$61)&gt;=SchemeStart,IF($X122=0,$AD122,IF(AND($Z122&lt;&gt;"",EDATE($D122,Milestones!$AA$61)&gt;=$Z122),$AC122,IF(AND($Y122&lt;&gt;"",EDATE($D122,Milestones!$AA$61)&gt;=$Y122),$AB122,$AA122)))=Milestones!$AB$61),UPPER(TEXT(EDATE($D122,Milestones!$AA$61),"dd mmm yy"))&amp;" "&amp;Milestones!$AB$61&amp;" "&amp;IF(AND(Milestones!$AB$61="FT",Milestones!$AA$61=FT_Y5,EDATE($D122,Milestones!$AA$61)&lt;PolicyEff),1,Milestones!$AC$61)&amp;";  ","")&amp;IF(AND(EDATE($D122,Milestones!$AA$62)&lt;=AsOfDate,EDATE($D122,Milestones!$AA$62)&gt;=SchemeStart,IF($X122=0,$AD122,IF(AND($Z122&lt;&gt;"",EDATE($D122,Milestones!$AA$62)&gt;=$Z122),$AC122,IF(AND($Y122&lt;&gt;"",EDATE($D122,Milestones!$AA$62)&gt;=$Y122),$AB122,$AA122)))=Milestones!$AB$62),UPPER(TEXT(EDATE($D122,Milestones!$AA$62),"dd mmm yy"))&amp;" "&amp;Milestones!$AB$62&amp;" "&amp;IF(AND(Milestones!$AB$62="FT",Milestones!$AA$62=FT_Y5,EDATE($D122,Milestones!$AA$62)&lt;PolicyEff),1,Milestones!$AC$62)&amp;";  ","")&amp;IF(AND(EDATE($D122,Milestones!$AA$63)&lt;=AsOfDate,EDATE($D122,Milestones!$AA$63)&gt;=SchemeStart,IF($X122=0,$AD122,IF(AND($Z122&lt;&gt;"",EDATE($D122,Milestones!$AA$63)&gt;=$Z122),$AC122,IF(AND($Y122&lt;&gt;"",EDATE($D122,Milestones!$AA$63)&gt;=$Y122),$AB122,$AA122)))=Milestones!$AB$63),UPPER(TEXT(EDATE($D122,Milestones!$AA$63),"dd mmm yy"))&amp;" "&amp;Milestones!$AB$63&amp;" "&amp;IF(AND(Milestones!$AB$63="FT",Milestones!$AA$63=FT_Y5,EDATE($D122,Milestones!$AA$63)&lt;PolicyEff),1,Milestones!$AC$63)&amp;";  ","")&amp;IF(AND(EDATE($D122,Milestones!$AA$64)&lt;=AsOfDate,EDATE($D122,Milestones!$AA$64)&gt;=SchemeStart,IF($X122=0,$AD122,IF(AND($Z122&lt;&gt;"",EDATE($D122,Milestones!$AA$64)&gt;=$Z122),$AC122,IF(AND($Y122&lt;&gt;"",EDATE($D122,Milestones!$AA$64)&gt;=$Y122),$AB122,$AA122)))=Milestones!$AB$64),UPPER(TEXT(EDATE($D122,Milestones!$AA$64),"dd mmm yy"))&amp;" "&amp;Milestones!$AB$64&amp;" "&amp;IF(AND(Milestones!$AB$64="FT",Milestones!$AA$64=FT_Y5,EDATE($D122,Milestones!$AA$64)&lt;PolicyEff),1,Milestones!$AC$64)&amp;";  ","")&amp;IF(AND(EDATE($D122,Milestones!$AA$65)&lt;=AsOfDate,EDATE($D122,Milestones!$AA$65)&gt;=SchemeStart,IF($X122=0,$AD122,IF(AND($Z122&lt;&gt;"",EDATE($D122,Milestones!$AA$65)&gt;=$Z122),$AC122,IF(AND($Y122&lt;&gt;"",EDATE($D122,Milestones!$AA$65)&gt;=$Y122),$AB122,$AA122)))=Milestones!$AB$65),UPPER(TEXT(EDATE($D122,Milestones!$AA$65),"dd mmm yy"))&amp;" "&amp;Milestones!$AB$65&amp;" "&amp;IF(AND(Milestones!$AB$65="FT",Milestones!$AA$65=FT_Y5,EDATE($D122,Milestones!$AA$65)&lt;PolicyEff),1,Milestones!$AC$65)&amp;";  ","")&amp;IF(AND(EDATE($D122,Milestones!$AA$66)&lt;=AsOfDate,EDATE($D122,Milestones!$AA$66)&gt;=SchemeStart,IF($X122=0,$AD122,IF(AND($Z122&lt;&gt;"",EDATE($D122,Milestones!$AA$66)&gt;=$Z122),$AC122,IF(AND($Y122&lt;&gt;"",EDATE($D122,Milestones!$AA$66)&gt;=$Y122),$AB122,$AA122)))=Milestones!$AB$66),UPPER(TEXT(EDATE($D122,Milestones!$AA$66),"dd mmm yy"))&amp;" "&amp;Milestones!$AB$66&amp;" "&amp;IF(AND(Milestones!$AB$66="FT",Milestones!$AA$66=FT_Y5,EDATE($D122,Milestones!$AA$66)&lt;PolicyEff),1,Milestones!$AC$66)&amp;";  ","")&amp;IF(AND(EDATE($D122,Milestones!$AA$67)&lt;=AsOfDate,EDATE($D122,Milestones!$AA$67)&gt;=SchemeStart,IF($X122=0,$AD122,IF(AND($Z122&lt;&gt;"",EDATE($D122,Milestones!$AA$67)&gt;=$Z122),$AC122,IF(AND($Y122&lt;&gt;"",EDATE($D122,Milestones!$AA$67)&gt;=$Y122),$AB122,$AA122)))=Milestones!$AB$67),UPPER(TEXT(EDATE($D122,Milestones!$AA$67),"dd mmm yy"))&amp;" "&amp;Milestones!$AB$67&amp;" "&amp;IF(AND(Milestones!$AB$67="FT",Milestones!$AA$67=FT_Y5,EDATE($D122,Milestones!$AA$67)&lt;PolicyEff),1,Milestones!$AC$67)&amp;";  ",""))</f>
        <v/>
      </c>
      <c r="M122" s="0" t="str">
        <f aca="false">IF(OR($A122="",$D122=""),"",IF(AND(EDATE($D122,Milestones!$AA$68)&lt;=AsOfDate,EDATE($D122,Milestones!$AA$68)&gt;=SchemeStart,IF($X122=0,$AD122,IF(AND($Z122&lt;&gt;"",EDATE($D122,Milestones!$AA$68)&gt;=$Z122),$AC122,IF(AND($Y122&lt;&gt;"",EDATE($D122,Milestones!$AA$68)&gt;=$Y122),$AB122,$AA122)))=Milestones!$AB$68),UPPER(TEXT(EDATE($D122,Milestones!$AA$68),"dd mmm yy"))&amp;" "&amp;Milestones!$AB$68&amp;" "&amp;IF(AND(Milestones!$AB$68="FT",Milestones!$AA$68=FT_Y5,EDATE($D122,Milestones!$AA$68)&lt;PolicyEff),1,Milestones!$AC$68)&amp;";  ","")&amp;IF(AND(EDATE($D122,Milestones!$AA$69)&lt;=AsOfDate,EDATE($D122,Milestones!$AA$69)&gt;=SchemeStart,IF($X122=0,$AD122,IF(AND($Z122&lt;&gt;"",EDATE($D122,Milestones!$AA$69)&gt;=$Z122),$AC122,IF(AND($Y122&lt;&gt;"",EDATE($D122,Milestones!$AA$69)&gt;=$Y122),$AB122,$AA122)))=Milestones!$AB$69),UPPER(TEXT(EDATE($D122,Milestones!$AA$69),"dd mmm yy"))&amp;" "&amp;Milestones!$AB$69&amp;" "&amp;IF(AND(Milestones!$AB$69="FT",Milestones!$AA$69=FT_Y5,EDATE($D122,Milestones!$AA$69)&lt;PolicyEff),1,Milestones!$AC$69)&amp;";  ","")&amp;IF(AND(EDATE($D122,Milestones!$AA$70)&lt;=AsOfDate,EDATE($D122,Milestones!$AA$70)&gt;=SchemeStart,IF($X122=0,$AD122,IF(AND($Z122&lt;&gt;"",EDATE($D122,Milestones!$AA$70)&gt;=$Z122),$AC122,IF(AND($Y122&lt;&gt;"",EDATE($D122,Milestones!$AA$70)&gt;=$Y122),$AB122,$AA122)))=Milestones!$AB$70),UPPER(TEXT(EDATE($D122,Milestones!$AA$70),"dd mmm yy"))&amp;" "&amp;Milestones!$AB$70&amp;" "&amp;IF(AND(Milestones!$AB$70="FT",Milestones!$AA$70=FT_Y5,EDATE($D122,Milestones!$AA$70)&lt;PolicyEff),1,Milestones!$AC$70)&amp;";  ","")&amp;IF(AND(EDATE($D122,Milestones!$AA$71)&lt;=AsOfDate,EDATE($D122,Milestones!$AA$71)&gt;=SchemeStart,IF($X122=0,$AD122,IF(AND($Z122&lt;&gt;"",EDATE($D122,Milestones!$AA$71)&gt;=$Z122),$AC122,IF(AND($Y122&lt;&gt;"",EDATE($D122,Milestones!$AA$71)&gt;=$Y122),$AB122,$AA122)))=Milestones!$AB$71),UPPER(TEXT(EDATE($D122,Milestones!$AA$71),"dd mmm yy"))&amp;" "&amp;Milestones!$AB$71&amp;" "&amp;IF(AND(Milestones!$AB$71="FT",Milestones!$AA$71=FT_Y5,EDATE($D122,Milestones!$AA$71)&lt;PolicyEff),1,Milestones!$AC$71)&amp;";  ","")&amp;IF(AND(EDATE($D122,Milestones!$AA$72)&lt;=AsOfDate,EDATE($D122,Milestones!$AA$72)&gt;=SchemeStart,IF($X122=0,$AD122,IF(AND($Z122&lt;&gt;"",EDATE($D122,Milestones!$AA$72)&gt;=$Z122),$AC122,IF(AND($Y122&lt;&gt;"",EDATE($D122,Milestones!$AA$72)&gt;=$Y122),$AB122,$AA122)))=Milestones!$AB$72),UPPER(TEXT(EDATE($D122,Milestones!$AA$72),"dd mmm yy"))&amp;" "&amp;Milestones!$AB$72&amp;" "&amp;IF(AND(Milestones!$AB$72="FT",Milestones!$AA$72=FT_Y5,EDATE($D122,Milestones!$AA$72)&lt;PolicyEff),1,Milestones!$AC$72)&amp;";  ","")&amp;IF(AND(EDATE($D122,Milestones!$AA$73)&lt;=AsOfDate,EDATE($D122,Milestones!$AA$73)&gt;=SchemeStart,IF($X122=0,$AD122,IF(AND($Z122&lt;&gt;"",EDATE($D122,Milestones!$AA$73)&gt;=$Z122),$AC122,IF(AND($Y122&lt;&gt;"",EDATE($D122,Milestones!$AA$73)&gt;=$Y122),$AB122,$AA122)))=Milestones!$AB$73),UPPER(TEXT(EDATE($D122,Milestones!$AA$73),"dd mmm yy"))&amp;" "&amp;Milestones!$AB$73&amp;" "&amp;IF(AND(Milestones!$AB$73="FT",Milestones!$AA$73=FT_Y5,EDATE($D122,Milestones!$AA$73)&lt;PolicyEff),1,Milestones!$AC$73)&amp;";  ","")&amp;IF(AND(EDATE($D122,Milestones!$AA$74)&lt;=AsOfDate,EDATE($D122,Milestones!$AA$74)&gt;=SchemeStart,IF($X122=0,$AD122,IF(AND($Z122&lt;&gt;"",EDATE($D122,Milestones!$AA$74)&gt;=$Z122),$AC122,IF(AND($Y122&lt;&gt;"",EDATE($D122,Milestones!$AA$74)&gt;=$Y122),$AB122,$AA122)))=Milestones!$AB$74),UPPER(TEXT(EDATE($D122,Milestones!$AA$74),"dd mmm yy"))&amp;" "&amp;Milestones!$AB$74&amp;" "&amp;IF(AND(Milestones!$AB$74="FT",Milestones!$AA$74=FT_Y5,EDATE($D122,Milestones!$AA$74)&lt;PolicyEff),1,Milestones!$AC$74)&amp;";  ","")&amp;IF(AND(EDATE($D122,Milestones!$AA$75)&lt;=AsOfDate,EDATE($D122,Milestones!$AA$75)&gt;=SchemeStart,IF($X122=0,$AD122,IF(AND($Z122&lt;&gt;"",EDATE($D122,Milestones!$AA$75)&gt;=$Z122),$AC122,IF(AND($Y122&lt;&gt;"",EDATE($D122,Milestones!$AA$75)&gt;=$Y122),$AB122,$AA122)))=Milestones!$AB$75),UPPER(TEXT(EDATE($D122,Milestones!$AA$75),"dd mmm yy"))&amp;" "&amp;Milestones!$AB$75&amp;" "&amp;IF(AND(Milestones!$AB$75="FT",Milestones!$AA$75=FT_Y5,EDATE($D122,Milestones!$AA$75)&lt;PolicyEff),1,Milestones!$AC$75)&amp;";  ","")&amp;IF(AND(EDATE($D122,Milestones!$AA$76)&lt;=AsOfDate,EDATE($D122,Milestones!$AA$76)&gt;=SchemeStart,IF($X122=0,$AD122,IF(AND($Z122&lt;&gt;"",EDATE($D122,Milestones!$AA$76)&gt;=$Z122),$AC122,IF(AND($Y122&lt;&gt;"",EDATE($D122,Milestones!$AA$76)&gt;=$Y122),$AB122,$AA122)))=Milestones!$AB$76),UPPER(TEXT(EDATE($D122,Milestones!$AA$76),"dd mmm yy"))&amp;" "&amp;Milestones!$AB$76&amp;" "&amp;IF(AND(Milestones!$AB$76="FT",Milestones!$AA$76=FT_Y5,EDATE($D122,Milestones!$AA$76)&lt;PolicyEff),1,Milestones!$AC$76)&amp;";  ","")&amp;IF(AND(EDATE($D122,Milestones!$AA$77)&lt;=AsOfDate,EDATE($D122,Milestones!$AA$77)&gt;=SchemeStart,IF($X122=0,$AD122,IF(AND($Z122&lt;&gt;"",EDATE($D122,Milestones!$AA$77)&gt;=$Z122),$AC122,IF(AND($Y122&lt;&gt;"",EDATE($D122,Milestones!$AA$77)&gt;=$Y122),$AB122,$AA122)))=Milestones!$AB$77),UPPER(TEXT(EDATE($D122,Milestones!$AA$77),"dd mmm yy"))&amp;" "&amp;Milestones!$AB$77&amp;" "&amp;IF(AND(Milestones!$AB$77="FT",Milestones!$AA$77=FT_Y5,EDATE($D122,Milestones!$AA$77)&lt;PolicyEff),1,Milestones!$AC$77)&amp;";  ","")&amp;IF(AND(EDATE($D122,Milestones!$AA$78)&lt;=AsOfDate,EDATE($D122,Milestones!$AA$78)&gt;=SchemeStart,IF($X122=0,$AD122,IF(AND($Z122&lt;&gt;"",EDATE($D122,Milestones!$AA$78)&gt;=$Z122),$AC122,IF(AND($Y122&lt;&gt;"",EDATE($D122,Milestones!$AA$78)&gt;=$Y122),$AB122,$AA122)))=Milestones!$AB$78),UPPER(TEXT(EDATE($D122,Milestones!$AA$78),"dd mmm yy"))&amp;" "&amp;Milestones!$AB$78&amp;" "&amp;IF(AND(Milestones!$AB$78="FT",Milestones!$AA$78=FT_Y5,EDATE($D122,Milestones!$AA$78)&lt;PolicyEff),1,Milestones!$AC$78)&amp;";  ","")&amp;IF(AND(EDATE($D122,Milestones!$AA$79)&lt;=AsOfDate,EDATE($D122,Milestones!$AA$79)&gt;=SchemeStart,IF($X122=0,$AD122,IF(AND($Z122&lt;&gt;"",EDATE($D122,Milestones!$AA$79)&gt;=$Z122),$AC122,IF(AND($Y122&lt;&gt;"",EDATE($D122,Milestones!$AA$79)&gt;=$Y122),$AB122,$AA122)))=Milestones!$AB$79),UPPER(TEXT(EDATE($D122,Milestones!$AA$79),"dd mmm yy"))&amp;" "&amp;Milestones!$AB$79&amp;" "&amp;IF(AND(Milestones!$AB$79="FT",Milestones!$AA$79=FT_Y5,EDATE($D122,Milestones!$AA$79)&lt;PolicyEff),1,Milestones!$AC$79)&amp;";  ",""))</f>
        <v/>
      </c>
      <c r="N122" s="0" t="str">
        <f aca="false">IF(OR($A122="",$D122=""),"",IF(AND(EDATE($D122,Milestones!$AA$80)&lt;=AsOfDate,EDATE($D122,Milestones!$AA$80)&gt;=SchemeStart,IF($X122=0,$AD122,IF(AND($Z122&lt;&gt;"",EDATE($D122,Milestones!$AA$80)&gt;=$Z122),$AC122,IF(AND($Y122&lt;&gt;"",EDATE($D122,Milestones!$AA$80)&gt;=$Y122),$AB122,$AA122)))=Milestones!$AB$80),UPPER(TEXT(EDATE($D122,Milestones!$AA$80),"dd mmm yy"))&amp;" "&amp;Milestones!$AB$80&amp;" "&amp;IF(AND(Milestones!$AB$80="FT",Milestones!$AA$80=FT_Y5,EDATE($D122,Milestones!$AA$80)&lt;PolicyEff),1,Milestones!$AC$80)&amp;";  ","")&amp;IF(AND(EDATE($D122,Milestones!$AA$81)&lt;=AsOfDate,EDATE($D122,Milestones!$AA$81)&gt;=SchemeStart,IF($X122=0,$AD122,IF(AND($Z122&lt;&gt;"",EDATE($D122,Milestones!$AA$81)&gt;=$Z122),$AC122,IF(AND($Y122&lt;&gt;"",EDATE($D122,Milestones!$AA$81)&gt;=$Y122),$AB122,$AA122)))=Milestones!$AB$81),UPPER(TEXT(EDATE($D122,Milestones!$AA$81),"dd mmm yy"))&amp;" "&amp;Milestones!$AB$81&amp;" "&amp;IF(AND(Milestones!$AB$81="FT",Milestones!$AA$81=FT_Y5,EDATE($D122,Milestones!$AA$81)&lt;PolicyEff),1,Milestones!$AC$81)&amp;";  ","")&amp;IF(AND(EDATE($D122,Milestones!$AA$82)&lt;=AsOfDate,EDATE($D122,Milestones!$AA$82)&gt;=SchemeStart,IF($X122=0,$AD122,IF(AND($Z122&lt;&gt;"",EDATE($D122,Milestones!$AA$82)&gt;=$Z122),$AC122,IF(AND($Y122&lt;&gt;"",EDATE($D122,Milestones!$AA$82)&gt;=$Y122),$AB122,$AA122)))=Milestones!$AB$82),UPPER(TEXT(EDATE($D122,Milestones!$AA$82),"dd mmm yy"))&amp;" "&amp;Milestones!$AB$82&amp;" "&amp;IF(AND(Milestones!$AB$82="FT",Milestones!$AA$82=FT_Y5,EDATE($D122,Milestones!$AA$82)&lt;PolicyEff),1,Milestones!$AC$82)&amp;";  ","")&amp;IF(AND(EDATE($D122,Milestones!$AA$83)&lt;=AsOfDate,EDATE($D122,Milestones!$AA$83)&gt;=SchemeStart,IF($X122=0,$AD122,IF(AND($Z122&lt;&gt;"",EDATE($D122,Milestones!$AA$83)&gt;=$Z122),$AC122,IF(AND($Y122&lt;&gt;"",EDATE($D122,Milestones!$AA$83)&gt;=$Y122),$AB122,$AA122)))=Milestones!$AB$83),UPPER(TEXT(EDATE($D122,Milestones!$AA$83),"dd mmm yy"))&amp;" "&amp;Milestones!$AB$83&amp;" "&amp;IF(AND(Milestones!$AB$83="FT",Milestones!$AA$83=FT_Y5,EDATE($D122,Milestones!$AA$83)&lt;PolicyEff),1,Milestones!$AC$83)&amp;";  ","")&amp;IF(AND(EDATE($D122,Milestones!$AA$84)&lt;=AsOfDate,EDATE($D122,Milestones!$AA$84)&gt;=SchemeStart,IF($X122=0,$AD122,IF(AND($Z122&lt;&gt;"",EDATE($D122,Milestones!$AA$84)&gt;=$Z122),$AC122,IF(AND($Y122&lt;&gt;"",EDATE($D122,Milestones!$AA$84)&gt;=$Y122),$AB122,$AA122)))=Milestones!$AB$84),UPPER(TEXT(EDATE($D122,Milestones!$AA$84),"dd mmm yy"))&amp;" "&amp;Milestones!$AB$84&amp;" "&amp;IF(AND(Milestones!$AB$84="FT",Milestones!$AA$84=FT_Y5,EDATE($D122,Milestones!$AA$84)&lt;PolicyEff),1,Milestones!$AC$84)&amp;";  ","")&amp;IF(AND(EDATE($D122,Milestones!$AA$85)&lt;=AsOfDate,EDATE($D122,Milestones!$AA$85)&gt;=SchemeStart,IF($X122=0,$AD122,IF(AND($Z122&lt;&gt;"",EDATE($D122,Milestones!$AA$85)&gt;=$Z122),$AC122,IF(AND($Y122&lt;&gt;"",EDATE($D122,Milestones!$AA$85)&gt;=$Y122),$AB122,$AA122)))=Milestones!$AB$85),UPPER(TEXT(EDATE($D122,Milestones!$AA$85),"dd mmm yy"))&amp;" "&amp;Milestones!$AB$85&amp;" "&amp;IF(AND(Milestones!$AB$85="FT",Milestones!$AA$85=FT_Y5,EDATE($D122,Milestones!$AA$85)&lt;PolicyEff),1,Milestones!$AC$85)&amp;";  ","")&amp;IF(AND(EDATE($D122,Milestones!$AA$86)&lt;=AsOfDate,EDATE($D122,Milestones!$AA$86)&gt;=SchemeStart,IF($X122=0,$AD122,IF(AND($Z122&lt;&gt;"",EDATE($D122,Milestones!$AA$86)&gt;=$Z122),$AC122,IF(AND($Y122&lt;&gt;"",EDATE($D122,Milestones!$AA$86)&gt;=$Y122),$AB122,$AA122)))=Milestones!$AB$86),UPPER(TEXT(EDATE($D122,Milestones!$AA$86),"dd mmm yy"))&amp;" "&amp;Milestones!$AB$86&amp;" "&amp;IF(AND(Milestones!$AB$86="FT",Milestones!$AA$86=FT_Y5,EDATE($D122,Milestones!$AA$86)&lt;PolicyEff),1,Milestones!$AC$86)&amp;";  ","")&amp;IF(AND(EDATE($D122,Milestones!$AA$87)&lt;=AsOfDate,EDATE($D122,Milestones!$AA$87)&gt;=SchemeStart,IF($X122=0,$AD122,IF(AND($Z122&lt;&gt;"",EDATE($D122,Milestones!$AA$87)&gt;=$Z122),$AC122,IF(AND($Y122&lt;&gt;"",EDATE($D122,Milestones!$AA$87)&gt;=$Y122),$AB122,$AA122)))=Milestones!$AB$87),UPPER(TEXT(EDATE($D122,Milestones!$AA$87),"dd mmm yy"))&amp;" "&amp;Milestones!$AB$87&amp;" "&amp;IF(AND(Milestones!$AB$87="FT",Milestones!$AA$87=FT_Y5,EDATE($D122,Milestones!$AA$87)&lt;PolicyEff),1,Milestones!$AC$87)&amp;";  ","")&amp;IF(AND(EDATE($D122,Milestones!$AA$88)&lt;=AsOfDate,EDATE($D122,Milestones!$AA$88)&gt;=SchemeStart,IF($X122=0,$AD122,IF(AND($Z122&lt;&gt;"",EDATE($D122,Milestones!$AA$88)&gt;=$Z122),$AC122,IF(AND($Y122&lt;&gt;"",EDATE($D122,Milestones!$AA$88)&gt;=$Y122),$AB122,$AA122)))=Milestones!$AB$88),UPPER(TEXT(EDATE($D122,Milestones!$AA$88),"dd mmm yy"))&amp;" "&amp;Milestones!$AB$88&amp;" "&amp;IF(AND(Milestones!$AB$88="FT",Milestones!$AA$88=FT_Y5,EDATE($D122,Milestones!$AA$88)&lt;PolicyEff),1,Milestones!$AC$88)&amp;";  ","")&amp;IF(AND(EDATE($D122,Milestones!$AA$89)&lt;=AsOfDate,EDATE($D122,Milestones!$AA$89)&gt;=SchemeStart,IF($X122=0,$AD122,IF(AND($Z122&lt;&gt;"",EDATE($D122,Milestones!$AA$89)&gt;=$Z122),$AC122,IF(AND($Y122&lt;&gt;"",EDATE($D122,Milestones!$AA$89)&gt;=$Y122),$AB122,$AA122)))=Milestones!$AB$89),UPPER(TEXT(EDATE($D122,Milestones!$AA$89),"dd mmm yy"))&amp;" "&amp;Milestones!$AB$89&amp;" "&amp;IF(AND(Milestones!$AB$89="FT",Milestones!$AA$89=FT_Y5,EDATE($D122,Milestones!$AA$89)&lt;PolicyEff),1,Milestones!$AC$89)&amp;";  ","")&amp;IF(AND(EDATE($D122,Milestones!$AA$90)&lt;=AsOfDate,EDATE($D122,Milestones!$AA$90)&gt;=SchemeStart,IF($X122=0,$AD122,IF(AND($Z122&lt;&gt;"",EDATE($D122,Milestones!$AA$90)&gt;=$Z122),$AC122,IF(AND($Y122&lt;&gt;"",EDATE($D122,Milestones!$AA$90)&gt;=$Y122),$AB122,$AA122)))=Milestones!$AB$90),UPPER(TEXT(EDATE($D122,Milestones!$AA$90),"dd mmm yy"))&amp;" "&amp;Milestones!$AB$90&amp;" "&amp;IF(AND(Milestones!$AB$90="FT",Milestones!$AA$90=FT_Y5,EDATE($D122,Milestones!$AA$90)&lt;PolicyEff),1,Milestones!$AC$90)&amp;";  ","")&amp;IF(AND(EDATE($D122,Milestones!$AA$91)&lt;=AsOfDate,EDATE($D122,Milestones!$AA$91)&gt;=SchemeStart,IF($X122=0,$AD122,IF(AND($Z122&lt;&gt;"",EDATE($D122,Milestones!$AA$91)&gt;=$Z122),$AC122,IF(AND($Y122&lt;&gt;"",EDATE($D122,Milestones!$AA$91)&gt;=$Y122),$AB122,$AA122)))=Milestones!$AB$91),UPPER(TEXT(EDATE($D122,Milestones!$AA$91),"dd mmm yy"))&amp;" "&amp;Milestones!$AB$91&amp;" "&amp;IF(AND(Milestones!$AB$91="FT",Milestones!$AA$91=FT_Y5,EDATE($D122,Milestones!$AA$91)&lt;PolicyEff),1,Milestones!$AC$91)&amp;";  ",""))</f>
        <v/>
      </c>
      <c r="O122" s="0" t="str">
        <f aca="false">IF(OR($A122="",$D122=""),"",IF(AND(EDATE($D122,Milestones!$AA$92)&lt;=AsOfDate,EDATE($D122,Milestones!$AA$92)&gt;=SchemeStart,IF($X122=0,$AD122,IF(AND($Z122&lt;&gt;"",EDATE($D122,Milestones!$AA$92)&gt;=$Z122),$AC122,IF(AND($Y122&lt;&gt;"",EDATE($D122,Milestones!$AA$92)&gt;=$Y122),$AB122,$AA122)))=Milestones!$AB$92),UPPER(TEXT(EDATE($D122,Milestones!$AA$92),"dd mmm yy"))&amp;" "&amp;Milestones!$AB$92&amp;" "&amp;IF(AND(Milestones!$AB$92="FT",Milestones!$AA$92=FT_Y5,EDATE($D122,Milestones!$AA$92)&lt;PolicyEff),1,Milestones!$AC$92)&amp;";  ","")&amp;IF(AND(EDATE($D122,Milestones!$AA$93)&lt;=AsOfDate,EDATE($D122,Milestones!$AA$93)&gt;=SchemeStart,IF($X122=0,$AD122,IF(AND($Z122&lt;&gt;"",EDATE($D122,Milestones!$AA$93)&gt;=$Z122),$AC122,IF(AND($Y122&lt;&gt;"",EDATE($D122,Milestones!$AA$93)&gt;=$Y122),$AB122,$AA122)))=Milestones!$AB$93),UPPER(TEXT(EDATE($D122,Milestones!$AA$93),"dd mmm yy"))&amp;" "&amp;Milestones!$AB$93&amp;" "&amp;IF(AND(Milestones!$AB$93="FT",Milestones!$AA$93=FT_Y5,EDATE($D122,Milestones!$AA$93)&lt;PolicyEff),1,Milestones!$AC$93)&amp;";  ","")&amp;IF(AND(EDATE($D122,Milestones!$AA$94)&lt;=AsOfDate,EDATE($D122,Milestones!$AA$94)&gt;=SchemeStart,IF($X122=0,$AD122,IF(AND($Z122&lt;&gt;"",EDATE($D122,Milestones!$AA$94)&gt;=$Z122),$AC122,IF(AND($Y122&lt;&gt;"",EDATE($D122,Milestones!$AA$94)&gt;=$Y122),$AB122,$AA122)))=Milestones!$AB$94),UPPER(TEXT(EDATE($D122,Milestones!$AA$94),"dd mmm yy"))&amp;" "&amp;Milestones!$AB$94&amp;" "&amp;IF(AND(Milestones!$AB$94="FT",Milestones!$AA$94=FT_Y5,EDATE($D122,Milestones!$AA$94)&lt;PolicyEff),1,Milestones!$AC$94)&amp;";  ","")&amp;IF(AND(EDATE($D122,Milestones!$AA$95)&lt;=AsOfDate,EDATE($D122,Milestones!$AA$95)&gt;=SchemeStart,IF($X122=0,$AD122,IF(AND($Z122&lt;&gt;"",EDATE($D122,Milestones!$AA$95)&gt;=$Z122),$AC122,IF(AND($Y122&lt;&gt;"",EDATE($D122,Milestones!$AA$95)&gt;=$Y122),$AB122,$AA122)))=Milestones!$AB$95),UPPER(TEXT(EDATE($D122,Milestones!$AA$95),"dd mmm yy"))&amp;" "&amp;Milestones!$AB$95&amp;" "&amp;IF(AND(Milestones!$AB$95="FT",Milestones!$AA$95=FT_Y5,EDATE($D122,Milestones!$AA$95)&lt;PolicyEff),1,Milestones!$AC$95)&amp;";  ","")&amp;IF(AND(EDATE($D122,Milestones!$AA$96)&lt;=AsOfDate,EDATE($D122,Milestones!$AA$96)&gt;=SchemeStart,IF($X122=0,$AD122,IF(AND($Z122&lt;&gt;"",EDATE($D122,Milestones!$AA$96)&gt;=$Z122),$AC122,IF(AND($Y122&lt;&gt;"",EDATE($D122,Milestones!$AA$96)&gt;=$Y122),$AB122,$AA122)))=Milestones!$AB$96),UPPER(TEXT(EDATE($D122,Milestones!$AA$96),"dd mmm yy"))&amp;" "&amp;Milestones!$AB$96&amp;" "&amp;IF(AND(Milestones!$AB$96="FT",Milestones!$AA$96=FT_Y5,EDATE($D122,Milestones!$AA$96)&lt;PolicyEff),1,Milestones!$AC$96)&amp;";  ","")&amp;IF(AND(EDATE($D122,Milestones!$AA$97)&lt;=AsOfDate,EDATE($D122,Milestones!$AA$97)&gt;=SchemeStart,IF($X122=0,$AD122,IF(AND($Z122&lt;&gt;"",EDATE($D122,Milestones!$AA$97)&gt;=$Z122),$AC122,IF(AND($Y122&lt;&gt;"",EDATE($D122,Milestones!$AA$97)&gt;=$Y122),$AB122,$AA122)))=Milestones!$AB$97),UPPER(TEXT(EDATE($D122,Milestones!$AA$97),"dd mmm yy"))&amp;" "&amp;Milestones!$AB$97&amp;" "&amp;IF(AND(Milestones!$AB$97="FT",Milestones!$AA$97=FT_Y5,EDATE($D122,Milestones!$AA$97)&lt;PolicyEff),1,Milestones!$AC$97)&amp;";  ","")&amp;IF(AND(EDATE($D122,Milestones!$AA$98)&lt;=AsOfDate,EDATE($D122,Milestones!$AA$98)&gt;=SchemeStart,IF($X122=0,$AD122,IF(AND($Z122&lt;&gt;"",EDATE($D122,Milestones!$AA$98)&gt;=$Z122),$AC122,IF(AND($Y122&lt;&gt;"",EDATE($D122,Milestones!$AA$98)&gt;=$Y122),$AB122,$AA122)))=Milestones!$AB$98),UPPER(TEXT(EDATE($D122,Milestones!$AA$98),"dd mmm yy"))&amp;" "&amp;Milestones!$AB$98&amp;" "&amp;IF(AND(Milestones!$AB$98="FT",Milestones!$AA$98=FT_Y5,EDATE($D122,Milestones!$AA$98)&lt;PolicyEff),1,Milestones!$AC$98)&amp;";  ","")&amp;IF(AND(EDATE($D122,Milestones!$AA$99)&lt;=AsOfDate,EDATE($D122,Milestones!$AA$99)&gt;=SchemeStart,IF($X122=0,$AD122,IF(AND($Z122&lt;&gt;"",EDATE($D122,Milestones!$AA$99)&gt;=$Z122),$AC122,IF(AND($Y122&lt;&gt;"",EDATE($D122,Milestones!$AA$99)&gt;=$Y122),$AB122,$AA122)))=Milestones!$AB$99),UPPER(TEXT(EDATE($D122,Milestones!$AA$99),"dd mmm yy"))&amp;" "&amp;Milestones!$AB$99&amp;" "&amp;IF(AND(Milestones!$AB$99="FT",Milestones!$AA$99=FT_Y5,EDATE($D122,Milestones!$AA$99)&lt;PolicyEff),1,Milestones!$AC$99)&amp;";  ","")&amp;IF(AND(EDATE($D122,Milestones!$AA$100)&lt;=AsOfDate,EDATE($D122,Milestones!$AA$100)&gt;=SchemeStart,IF($X122=0,$AD122,IF(AND($Z122&lt;&gt;"",EDATE($D122,Milestones!$AA$100)&gt;=$Z122),$AC122,IF(AND($Y122&lt;&gt;"",EDATE($D122,Milestones!$AA$100)&gt;=$Y122),$AB122,$AA122)))=Milestones!$AB$100),UPPER(TEXT(EDATE($D122,Milestones!$AA$100),"dd mmm yy"))&amp;" "&amp;Milestones!$AB$100&amp;" "&amp;IF(AND(Milestones!$AB$100="FT",Milestones!$AA$100=FT_Y5,EDATE($D122,Milestones!$AA$100)&lt;PolicyEff),1,Milestones!$AC$100)&amp;";  ","")&amp;IF(AND(EDATE($D122,Milestones!$AA$101)&lt;=AsOfDate,EDATE($D122,Milestones!$AA$101)&gt;=SchemeStart,IF($X122=0,$AD122,IF(AND($Z122&lt;&gt;"",EDATE($D122,Milestones!$AA$101)&gt;=$Z122),$AC122,IF(AND($Y122&lt;&gt;"",EDATE($D122,Milestones!$AA$101)&gt;=$Y122),$AB122,$AA122)))=Milestones!$AB$101),UPPER(TEXT(EDATE($D122,Milestones!$AA$101),"dd mmm yy"))&amp;" "&amp;Milestones!$AB$101&amp;" "&amp;IF(AND(Milestones!$AB$101="FT",Milestones!$AA$101=FT_Y5,EDATE($D122,Milestones!$AA$101)&lt;PolicyEff),1,Milestones!$AC$101)&amp;";  ","")&amp;IF(AND(EDATE($D122,Milestones!$AA$102)&lt;=AsOfDate,EDATE($D122,Milestones!$AA$102)&gt;=SchemeStart,IF($X122=0,$AD122,IF(AND($Z122&lt;&gt;"",EDATE($D122,Milestones!$AA$102)&gt;=$Z122),$AC122,IF(AND($Y122&lt;&gt;"",EDATE($D122,Milestones!$AA$102)&gt;=$Y122),$AB122,$AA122)))=Milestones!$AB$102),UPPER(TEXT(EDATE($D122,Milestones!$AA$102),"dd mmm yy"))&amp;" "&amp;Milestones!$AB$102&amp;" "&amp;IF(AND(Milestones!$AB$102="FT",Milestones!$AA$102=FT_Y5,EDATE($D122,Milestones!$AA$102)&lt;PolicyEff),1,Milestones!$AC$102)&amp;";  ","")&amp;IF(AND(EDATE($D122,Milestones!$AA$103)&lt;=AsOfDate,EDATE($D122,Milestones!$AA$103)&gt;=SchemeStart,IF($X122=0,$AD122,IF(AND($Z122&lt;&gt;"",EDATE($D122,Milestones!$AA$103)&gt;=$Z122),$AC122,IF(AND($Y122&lt;&gt;"",EDATE($D122,Milestones!$AA$103)&gt;=$Y122),$AB122,$AA122)))=Milestones!$AB$103),UPPER(TEXT(EDATE($D122,Milestones!$AA$103),"dd mmm yy"))&amp;" "&amp;Milestones!$AB$103&amp;" "&amp;IF(AND(Milestones!$AB$103="FT",Milestones!$AA$103=FT_Y5,EDATE($D122,Milestones!$AA$103)&lt;PolicyEff),1,Milestones!$AC$103)&amp;";  ",""))</f>
        <v/>
      </c>
      <c r="P122" s="0" t="str">
        <f aca="false">IF(OR($A122="",$D122=""),"",IF(AND(EDATE($D122,Milestones!$AA$104)&lt;=AsOfDate,EDATE($D122,Milestones!$AA$104)&gt;=SchemeStart,IF($X122=0,$AD122,IF(AND($Z122&lt;&gt;"",EDATE($D122,Milestones!$AA$104)&gt;=$Z122),$AC122,IF(AND($Y122&lt;&gt;"",EDATE($D122,Milestones!$AA$104)&gt;=$Y122),$AB122,$AA122)))=Milestones!$AB$104),UPPER(TEXT(EDATE($D122,Milestones!$AA$104),"dd mmm yy"))&amp;" "&amp;Milestones!$AB$104&amp;" "&amp;IF(AND(Milestones!$AB$104="FT",Milestones!$AA$104=FT_Y5,EDATE($D122,Milestones!$AA$104)&lt;PolicyEff),1,Milestones!$AC$104)&amp;";  ","")&amp;IF(AND(EDATE($D122,Milestones!$AA$105)&lt;=AsOfDate,EDATE($D122,Milestones!$AA$105)&gt;=SchemeStart,IF($X122=0,$AD122,IF(AND($Z122&lt;&gt;"",EDATE($D122,Milestones!$AA$105)&gt;=$Z122),$AC122,IF(AND($Y122&lt;&gt;"",EDATE($D122,Milestones!$AA$105)&gt;=$Y122),$AB122,$AA122)))=Milestones!$AB$105),UPPER(TEXT(EDATE($D122,Milestones!$AA$105),"dd mmm yy"))&amp;" "&amp;Milestones!$AB$105&amp;" "&amp;IF(AND(Milestones!$AB$105="FT",Milestones!$AA$105=FT_Y5,EDATE($D122,Milestones!$AA$105)&lt;PolicyEff),1,Milestones!$AC$105)&amp;";  ","")&amp;IF(AND(EDATE($D122,Milestones!$AA$106)&lt;=AsOfDate,EDATE($D122,Milestones!$AA$106)&gt;=SchemeStart,IF($X122=0,$AD122,IF(AND($Z122&lt;&gt;"",EDATE($D122,Milestones!$AA$106)&gt;=$Z122),$AC122,IF(AND($Y122&lt;&gt;"",EDATE($D122,Milestones!$AA$106)&gt;=$Y122),$AB122,$AA122)))=Milestones!$AB$106),UPPER(TEXT(EDATE($D122,Milestones!$AA$106),"dd mmm yy"))&amp;" "&amp;Milestones!$AB$106&amp;" "&amp;IF(AND(Milestones!$AB$106="FT",Milestones!$AA$106=FT_Y5,EDATE($D122,Milestones!$AA$106)&lt;PolicyEff),1,Milestones!$AC$106)&amp;";  ","")&amp;IF(AND(EDATE($D122,Milestones!$AA$107)&lt;=AsOfDate,EDATE($D122,Milestones!$AA$107)&gt;=SchemeStart,IF($X122=0,$AD122,IF(AND($Z122&lt;&gt;"",EDATE($D122,Milestones!$AA$107)&gt;=$Z122),$AC122,IF(AND($Y122&lt;&gt;"",EDATE($D122,Milestones!$AA$107)&gt;=$Y122),$AB122,$AA122)))=Milestones!$AB$107),UPPER(TEXT(EDATE($D122,Milestones!$AA$107),"dd mmm yy"))&amp;" "&amp;Milestones!$AB$107&amp;" "&amp;IF(AND(Milestones!$AB$107="FT",Milestones!$AA$107=FT_Y5,EDATE($D122,Milestones!$AA$107)&lt;PolicyEff),1,Milestones!$AC$107)&amp;";  ","")&amp;IF(AND(EDATE($D122,Milestones!$AA$108)&lt;=AsOfDate,EDATE($D122,Milestones!$AA$108)&gt;=SchemeStart,IF($X122=0,$AD122,IF(AND($Z122&lt;&gt;"",EDATE($D122,Milestones!$AA$108)&gt;=$Z122),$AC122,IF(AND($Y122&lt;&gt;"",EDATE($D122,Milestones!$AA$108)&gt;=$Y122),$AB122,$AA122)))=Milestones!$AB$108),UPPER(TEXT(EDATE($D122,Milestones!$AA$108),"dd mmm yy"))&amp;" "&amp;Milestones!$AB$108&amp;" "&amp;IF(AND(Milestones!$AB$108="FT",Milestones!$AA$108=FT_Y5,EDATE($D122,Milestones!$AA$108)&lt;PolicyEff),1,Milestones!$AC$108)&amp;";  ","")&amp;IF(AND(EDATE($D122,Milestones!$AA$109)&lt;=AsOfDate,EDATE($D122,Milestones!$AA$109)&gt;=SchemeStart,IF($X122=0,$AD122,IF(AND($Z122&lt;&gt;"",EDATE($D122,Milestones!$AA$109)&gt;=$Z122),$AC122,IF(AND($Y122&lt;&gt;"",EDATE($D122,Milestones!$AA$109)&gt;=$Y122),$AB122,$AA122)))=Milestones!$AB$109),UPPER(TEXT(EDATE($D122,Milestones!$AA$109),"dd mmm yy"))&amp;" "&amp;Milestones!$AB$109&amp;" "&amp;IF(AND(Milestones!$AB$109="FT",Milestones!$AA$109=FT_Y5,EDATE($D122,Milestones!$AA$109)&lt;PolicyEff),1,Milestones!$AC$109)&amp;";  ","")&amp;IF(AND(EDATE($D122,Milestones!$AA$110)&lt;=AsOfDate,EDATE($D122,Milestones!$AA$110)&gt;=SchemeStart,IF($X122=0,$AD122,IF(AND($Z122&lt;&gt;"",EDATE($D122,Milestones!$AA$110)&gt;=$Z122),$AC122,IF(AND($Y122&lt;&gt;"",EDATE($D122,Milestones!$AA$110)&gt;=$Y122),$AB122,$AA122)))=Milestones!$AB$110),UPPER(TEXT(EDATE($D122,Milestones!$AA$110),"dd mmm yy"))&amp;" "&amp;Milestones!$AB$110&amp;" "&amp;IF(AND(Milestones!$AB$110="FT",Milestones!$AA$110=FT_Y5,EDATE($D122,Milestones!$AA$110)&lt;PolicyEff),1,Milestones!$AC$110)&amp;";  ","")&amp;IF(AND(EDATE($D122,Milestones!$AA$111)&lt;=AsOfDate,EDATE($D122,Milestones!$AA$111)&gt;=SchemeStart,IF($X122=0,$AD122,IF(AND($Z122&lt;&gt;"",EDATE($D122,Milestones!$AA$111)&gt;=$Z122),$AC122,IF(AND($Y122&lt;&gt;"",EDATE($D122,Milestones!$AA$111)&gt;=$Y122),$AB122,$AA122)))=Milestones!$AB$111),UPPER(TEXT(EDATE($D122,Milestones!$AA$111),"dd mmm yy"))&amp;" "&amp;Milestones!$AB$111&amp;" "&amp;IF(AND(Milestones!$AB$111="FT",Milestones!$AA$111=FT_Y5,EDATE($D122,Milestones!$AA$111)&lt;PolicyEff),1,Milestones!$AC$111)&amp;";  ","")&amp;IF(AND(EDATE($D122,Milestones!$AA$112)&lt;=AsOfDate,EDATE($D122,Milestones!$AA$112)&gt;=SchemeStart,IF($X122=0,$AD122,IF(AND($Z122&lt;&gt;"",EDATE($D122,Milestones!$AA$112)&gt;=$Z122),$AC122,IF(AND($Y122&lt;&gt;"",EDATE($D122,Milestones!$AA$112)&gt;=$Y122),$AB122,$AA122)))=Milestones!$AB$112),UPPER(TEXT(EDATE($D122,Milestones!$AA$112),"dd mmm yy"))&amp;" "&amp;Milestones!$AB$112&amp;" "&amp;IF(AND(Milestones!$AB$112="FT",Milestones!$AA$112=FT_Y5,EDATE($D122,Milestones!$AA$112)&lt;PolicyEff),1,Milestones!$AC$112)&amp;";  ","")&amp;IF(AND(EDATE($D122,Milestones!$AA$113)&lt;=AsOfDate,EDATE($D122,Milestones!$AA$113)&gt;=SchemeStart,IF($X122=0,$AD122,IF(AND($Z122&lt;&gt;"",EDATE($D122,Milestones!$AA$113)&gt;=$Z122),$AC122,IF(AND($Y122&lt;&gt;"",EDATE($D122,Milestones!$AA$113)&gt;=$Y122),$AB122,$AA122)))=Milestones!$AB$113),UPPER(TEXT(EDATE($D122,Milestones!$AA$113),"dd mmm yy"))&amp;" "&amp;Milestones!$AB$113&amp;" "&amp;IF(AND(Milestones!$AB$113="FT",Milestones!$AA$113=FT_Y5,EDATE($D122,Milestones!$AA$113)&lt;PolicyEff),1,Milestones!$AC$113)&amp;";  ","")&amp;IF(AND(EDATE($D122,Milestones!$AA$114)&lt;=AsOfDate,EDATE($D122,Milestones!$AA$114)&gt;=SchemeStart,IF($X122=0,$AD122,IF(AND($Z122&lt;&gt;"",EDATE($D122,Milestones!$AA$114)&gt;=$Z122),$AC122,IF(AND($Y122&lt;&gt;"",EDATE($D122,Milestones!$AA$114)&gt;=$Y122),$AB122,$AA122)))=Milestones!$AB$114),UPPER(TEXT(EDATE($D122,Milestones!$AA$114),"dd mmm yy"))&amp;" "&amp;Milestones!$AB$114&amp;" "&amp;IF(AND(Milestones!$AB$114="FT",Milestones!$AA$114=FT_Y5,EDATE($D122,Milestones!$AA$114)&lt;PolicyEff),1,Milestones!$AC$114)&amp;";  ","")&amp;IF(AND(EDATE($D122,Milestones!$AA$115)&lt;=AsOfDate,EDATE($D122,Milestones!$AA$115)&gt;=SchemeStart,IF($X122=0,$AD122,IF(AND($Z122&lt;&gt;"",EDATE($D122,Milestones!$AA$115)&gt;=$Z122),$AC122,IF(AND($Y122&lt;&gt;"",EDATE($D122,Milestones!$AA$115)&gt;=$Y122),$AB122,$AA122)))=Milestones!$AB$115),UPPER(TEXT(EDATE($D122,Milestones!$AA$115),"dd mmm yy"))&amp;" "&amp;Milestones!$AB$115&amp;" "&amp;IF(AND(Milestones!$AB$115="FT",Milestones!$AA$115=FT_Y5,EDATE($D122,Milestones!$AA$115)&lt;PolicyEff),1,Milestones!$AC$115)&amp;";  ",""))</f>
        <v/>
      </c>
      <c r="Q122" s="0" t="str">
        <f aca="false">IF(OR($A122="",$D122=""),"",IF(AND(EDATE($D122,Milestones!$AA$116)&lt;=AsOfDate,EDATE($D122,Milestones!$AA$116)&gt;=SchemeStart,IF($X122=0,$AD122,IF(AND($Z122&lt;&gt;"",EDATE($D122,Milestones!$AA$116)&gt;=$Z122),$AC122,IF(AND($Y122&lt;&gt;"",EDATE($D122,Milestones!$AA$116)&gt;=$Y122),$AB122,$AA122)))=Milestones!$AB$116),UPPER(TEXT(EDATE($D122,Milestones!$AA$116),"dd mmm yy"))&amp;" "&amp;Milestones!$AB$116&amp;" "&amp;IF(AND(Milestones!$AB$116="FT",Milestones!$AA$116=FT_Y5,EDATE($D122,Milestones!$AA$116)&lt;PolicyEff),1,Milestones!$AC$116)&amp;";  ","")&amp;IF(AND(EDATE($D122,Milestones!$AA$117)&lt;=AsOfDate,EDATE($D122,Milestones!$AA$117)&gt;=SchemeStart,IF($X122=0,$AD122,IF(AND($Z122&lt;&gt;"",EDATE($D122,Milestones!$AA$117)&gt;=$Z122),$AC122,IF(AND($Y122&lt;&gt;"",EDATE($D122,Milestones!$AA$117)&gt;=$Y122),$AB122,$AA122)))=Milestones!$AB$117),UPPER(TEXT(EDATE($D122,Milestones!$AA$117),"dd mmm yy"))&amp;" "&amp;Milestones!$AB$117&amp;" "&amp;IF(AND(Milestones!$AB$117="FT",Milestones!$AA$117=FT_Y5,EDATE($D122,Milestones!$AA$117)&lt;PolicyEff),1,Milestones!$AC$117)&amp;";  ","")&amp;IF(AND(EDATE($D122,Milestones!$AA$118)&lt;=AsOfDate,EDATE($D122,Milestones!$AA$118)&gt;=SchemeStart,IF($X122=0,$AD122,IF(AND($Z122&lt;&gt;"",EDATE($D122,Milestones!$AA$118)&gt;=$Z122),$AC122,IF(AND($Y122&lt;&gt;"",EDATE($D122,Milestones!$AA$118)&gt;=$Y122),$AB122,$AA122)))=Milestones!$AB$118),UPPER(TEXT(EDATE($D122,Milestones!$AA$118),"dd mmm yy"))&amp;" "&amp;Milestones!$AB$118&amp;" "&amp;IF(AND(Milestones!$AB$118="FT",Milestones!$AA$118=FT_Y5,EDATE($D122,Milestones!$AA$118)&lt;PolicyEff),1,Milestones!$AC$118)&amp;";  ","")&amp;IF(AND(EDATE($D122,Milestones!$AA$119)&lt;=AsOfDate,EDATE($D122,Milestones!$AA$119)&gt;=SchemeStart,IF($X122=0,$AD122,IF(AND($Z122&lt;&gt;"",EDATE($D122,Milestones!$AA$119)&gt;=$Z122),$AC122,IF(AND($Y122&lt;&gt;"",EDATE($D122,Milestones!$AA$119)&gt;=$Y122),$AB122,$AA122)))=Milestones!$AB$119),UPPER(TEXT(EDATE($D122,Milestones!$AA$119),"dd mmm yy"))&amp;" "&amp;Milestones!$AB$119&amp;" "&amp;IF(AND(Milestones!$AB$119="FT",Milestones!$AA$119=FT_Y5,EDATE($D122,Milestones!$AA$119)&lt;PolicyEff),1,Milestones!$AC$119)&amp;";  ","")&amp;IF(AND(EDATE($D122,Milestones!$AA$120)&lt;=AsOfDate,EDATE($D122,Milestones!$AA$120)&gt;=SchemeStart,IF($X122=0,$AD122,IF(AND($Z122&lt;&gt;"",EDATE($D122,Milestones!$AA$120)&gt;=$Z122),$AC122,IF(AND($Y122&lt;&gt;"",EDATE($D122,Milestones!$AA$120)&gt;=$Y122),$AB122,$AA122)))=Milestones!$AB$120),UPPER(TEXT(EDATE($D122,Milestones!$AA$120),"dd mmm yy"))&amp;" "&amp;Milestones!$AB$120&amp;" "&amp;IF(AND(Milestones!$AB$120="FT",Milestones!$AA$120=FT_Y5,EDATE($D122,Milestones!$AA$120)&lt;PolicyEff),1,Milestones!$AC$120)&amp;";  ","")&amp;IF(AND(EDATE($D122,Milestones!$AA$121)&lt;=AsOfDate,EDATE($D122,Milestones!$AA$121)&gt;=SchemeStart,IF($X122=0,$AD122,IF(AND($Z122&lt;&gt;"",EDATE($D122,Milestones!$AA$121)&gt;=$Z122),$AC122,IF(AND($Y122&lt;&gt;"",EDATE($D122,Milestones!$AA$121)&gt;=$Y122),$AB122,$AA122)))=Milestones!$AB$121),UPPER(TEXT(EDATE($D122,Milestones!$AA$121),"dd mmm yy"))&amp;" "&amp;Milestones!$AB$121&amp;" "&amp;IF(AND(Milestones!$AB$121="FT",Milestones!$AA$121=FT_Y5,EDATE($D122,Milestones!$AA$121)&lt;PolicyEff),1,Milestones!$AC$121)&amp;";  ","")&amp;IF(AND(EDATE($D122,Milestones!$AA$122)&lt;=AsOfDate,EDATE($D122,Milestones!$AA$122)&gt;=SchemeStart,IF($X122=0,$AD122,IF(AND($Z122&lt;&gt;"",EDATE($D122,Milestones!$AA$122)&gt;=$Z122),$AC122,IF(AND($Y122&lt;&gt;"",EDATE($D122,Milestones!$AA$122)&gt;=$Y122),$AB122,$AA122)))=Milestones!$AB$122),UPPER(TEXT(EDATE($D122,Milestones!$AA$122),"dd mmm yy"))&amp;" "&amp;Milestones!$AB$122&amp;" "&amp;IF(AND(Milestones!$AB$122="FT",Milestones!$AA$122=FT_Y5,EDATE($D122,Milestones!$AA$122)&lt;PolicyEff),1,Milestones!$AC$122)&amp;";  ","")&amp;IF(AND(EDATE($D122,Milestones!$AA$123)&lt;=AsOfDate,EDATE($D122,Milestones!$AA$123)&gt;=SchemeStart,IF($X122=0,$AD122,IF(AND($Z122&lt;&gt;"",EDATE($D122,Milestones!$AA$123)&gt;=$Z122),$AC122,IF(AND($Y122&lt;&gt;"",EDATE($D122,Milestones!$AA$123)&gt;=$Y122),$AB122,$AA122)))=Milestones!$AB$123),UPPER(TEXT(EDATE($D122,Milestones!$AA$123),"dd mmm yy"))&amp;" "&amp;Milestones!$AB$123&amp;" "&amp;IF(AND(Milestones!$AB$123="FT",Milestones!$AA$123=FT_Y5,EDATE($D122,Milestones!$AA$123)&lt;PolicyEff),1,Milestones!$AC$123)&amp;";  ","")&amp;IF(AND(EDATE($D122,Milestones!$AA$124)&lt;=AsOfDate,EDATE($D122,Milestones!$AA$124)&gt;=SchemeStart,IF($X122=0,$AD122,IF(AND($Z122&lt;&gt;"",EDATE($D122,Milestones!$AA$124)&gt;=$Z122),$AC122,IF(AND($Y122&lt;&gt;"",EDATE($D122,Milestones!$AA$124)&gt;=$Y122),$AB122,$AA122)))=Milestones!$AB$124),UPPER(TEXT(EDATE($D122,Milestones!$AA$124),"dd mmm yy"))&amp;" "&amp;Milestones!$AB$124&amp;" "&amp;IF(AND(Milestones!$AB$124="FT",Milestones!$AA$124=FT_Y5,EDATE($D122,Milestones!$AA$124)&lt;PolicyEff),1,Milestones!$AC$124)&amp;";  ","")&amp;IF(AND(EDATE($D122,Milestones!$AA$125)&lt;=AsOfDate,EDATE($D122,Milestones!$AA$125)&gt;=SchemeStart,IF($X122=0,$AD122,IF(AND($Z122&lt;&gt;"",EDATE($D122,Milestones!$AA$125)&gt;=$Z122),$AC122,IF(AND($Y122&lt;&gt;"",EDATE($D122,Milestones!$AA$125)&gt;=$Y122),$AB122,$AA122)))=Milestones!$AB$125),UPPER(TEXT(EDATE($D122,Milestones!$AA$125),"dd mmm yy"))&amp;" "&amp;Milestones!$AB$125&amp;" "&amp;IF(AND(Milestones!$AB$125="FT",Milestones!$AA$125=FT_Y5,EDATE($D122,Milestones!$AA$125)&lt;PolicyEff),1,Milestones!$AC$125)&amp;";  ","")&amp;IF(AND(EDATE($D122,Milestones!$AA$126)&lt;=AsOfDate,EDATE($D122,Milestones!$AA$126)&gt;=SchemeStart,IF($X122=0,$AD122,IF(AND($Z122&lt;&gt;"",EDATE($D122,Milestones!$AA$126)&gt;=$Z122),$AC122,IF(AND($Y122&lt;&gt;"",EDATE($D122,Milestones!$AA$126)&gt;=$Y122),$AB122,$AA122)))=Milestones!$AB$126),UPPER(TEXT(EDATE($D122,Milestones!$AA$126),"dd mmm yy"))&amp;" "&amp;Milestones!$AB$126&amp;" "&amp;IF(AND(Milestones!$AB$126="FT",Milestones!$AA$126=FT_Y5,EDATE($D122,Milestones!$AA$126)&lt;PolicyEff),1,Milestones!$AC$126)&amp;";  ","")&amp;IF(AND(EDATE($D122,Milestones!$AA$127)&lt;=AsOfDate,EDATE($D122,Milestones!$AA$127)&gt;=SchemeStart,IF($X122=0,$AD122,IF(AND($Z122&lt;&gt;"",EDATE($D122,Milestones!$AA$127)&gt;=$Z122),$AC122,IF(AND($Y122&lt;&gt;"",EDATE($D122,Milestones!$AA$127)&gt;=$Y122),$AB122,$AA122)))=Milestones!$AB$127),UPPER(TEXT(EDATE($D122,Milestones!$AA$127),"dd mmm yy"))&amp;" "&amp;Milestones!$AB$127&amp;" "&amp;IF(AND(Milestones!$AB$127="FT",Milestones!$AA$127=FT_Y5,EDATE($D122,Milestones!$AA$127)&lt;PolicyEff),1,Milestones!$AC$127)&amp;";  ",""))</f>
        <v/>
      </c>
      <c r="R122" s="0" t="str">
        <f aca="false">IF(OR($A122="",$D122=""),"",IF(AND(EDATE($D122,Milestones!$AA$128)&lt;=AsOfDate,EDATE($D122,Milestones!$AA$128)&gt;=SchemeStart,IF($X122=0,$AD122,IF(AND($Z122&lt;&gt;"",EDATE($D122,Milestones!$AA$128)&gt;=$Z122),$AC122,IF(AND($Y122&lt;&gt;"",EDATE($D122,Milestones!$AA$128)&gt;=$Y122),$AB122,$AA122)))=Milestones!$AB$128),UPPER(TEXT(EDATE($D122,Milestones!$AA$128),"dd mmm yy"))&amp;" "&amp;Milestones!$AB$128&amp;" "&amp;IF(AND(Milestones!$AB$128="FT",Milestones!$AA$128=FT_Y5,EDATE($D122,Milestones!$AA$128)&lt;PolicyEff),1,Milestones!$AC$128)&amp;";  ","")&amp;IF(AND(EDATE($D122,Milestones!$AA$129)&lt;=AsOfDate,EDATE($D122,Milestones!$AA$129)&gt;=SchemeStart,IF($X122=0,$AD122,IF(AND($Z122&lt;&gt;"",EDATE($D122,Milestones!$AA$129)&gt;=$Z122),$AC122,IF(AND($Y122&lt;&gt;"",EDATE($D122,Milestones!$AA$129)&gt;=$Y122),$AB122,$AA122)))=Milestones!$AB$129),UPPER(TEXT(EDATE($D122,Milestones!$AA$129),"dd mmm yy"))&amp;" "&amp;Milestones!$AB$129&amp;" "&amp;IF(AND(Milestones!$AB$129="FT",Milestones!$AA$129=FT_Y5,EDATE($D122,Milestones!$AA$129)&lt;PolicyEff),1,Milestones!$AC$129)&amp;";  ","")&amp;IF(AND(EDATE($D122,Milestones!$AA$130)&lt;=AsOfDate,EDATE($D122,Milestones!$AA$130)&gt;=SchemeStart,IF($X122=0,$AD122,IF(AND($Z122&lt;&gt;"",EDATE($D122,Milestones!$AA$130)&gt;=$Z122),$AC122,IF(AND($Y122&lt;&gt;"",EDATE($D122,Milestones!$AA$130)&gt;=$Y122),$AB122,$AA122)))=Milestones!$AB$130),UPPER(TEXT(EDATE($D122,Milestones!$AA$130),"dd mmm yy"))&amp;" "&amp;Milestones!$AB$130&amp;" "&amp;IF(AND(Milestones!$AB$130="FT",Milestones!$AA$130=FT_Y5,EDATE($D122,Milestones!$AA$130)&lt;PolicyEff),1,Milestones!$AC$130)&amp;";  ","")&amp;IF(AND(EDATE($D122,Milestones!$AA$131)&lt;=AsOfDate,EDATE($D122,Milestones!$AA$131)&gt;=SchemeStart,IF($X122=0,$AD122,IF(AND($Z122&lt;&gt;"",EDATE($D122,Milestones!$AA$131)&gt;=$Z122),$AC122,IF(AND($Y122&lt;&gt;"",EDATE($D122,Milestones!$AA$131)&gt;=$Y122),$AB122,$AA122)))=Milestones!$AB$131),UPPER(TEXT(EDATE($D122,Milestones!$AA$131),"dd mmm yy"))&amp;" "&amp;Milestones!$AB$131&amp;" "&amp;IF(AND(Milestones!$AB$131="FT",Milestones!$AA$131=FT_Y5,EDATE($D122,Milestones!$AA$131)&lt;PolicyEff),1,Milestones!$AC$131)&amp;";  ","")&amp;IF(AND(EDATE($D122,Milestones!$AA$132)&lt;=AsOfDate,EDATE($D122,Milestones!$AA$132)&gt;=SchemeStart,IF($X122=0,$AD122,IF(AND($Z122&lt;&gt;"",EDATE($D122,Milestones!$AA$132)&gt;=$Z122),$AC122,IF(AND($Y122&lt;&gt;"",EDATE($D122,Milestones!$AA$132)&gt;=$Y122),$AB122,$AA122)))=Milestones!$AB$132),UPPER(TEXT(EDATE($D122,Milestones!$AA$132),"dd mmm yy"))&amp;" "&amp;Milestones!$AB$132&amp;" "&amp;IF(AND(Milestones!$AB$132="FT",Milestones!$AA$132=FT_Y5,EDATE($D122,Milestones!$AA$132)&lt;PolicyEff),1,Milestones!$AC$132)&amp;";  ","")&amp;IF(AND(EDATE($D122,Milestones!$AA$133)&lt;=AsOfDate,EDATE($D122,Milestones!$AA$133)&gt;=SchemeStart,IF($X122=0,$AD122,IF(AND($Z122&lt;&gt;"",EDATE($D122,Milestones!$AA$133)&gt;=$Z122),$AC122,IF(AND($Y122&lt;&gt;"",EDATE($D122,Milestones!$AA$133)&gt;=$Y122),$AB122,$AA122)))=Milestones!$AB$133),UPPER(TEXT(EDATE($D122,Milestones!$AA$133),"dd mmm yy"))&amp;" "&amp;Milestones!$AB$133&amp;" "&amp;IF(AND(Milestones!$AB$133="FT",Milestones!$AA$133=FT_Y5,EDATE($D122,Milestones!$AA$133)&lt;PolicyEff),1,Milestones!$AC$133)&amp;";  ","")&amp;IF(AND(EDATE($D122,Milestones!$AA$134)&lt;=AsOfDate,EDATE($D122,Milestones!$AA$134)&gt;=SchemeStart,IF($X122=0,$AD122,IF(AND($Z122&lt;&gt;"",EDATE($D122,Milestones!$AA$134)&gt;=$Z122),$AC122,IF(AND($Y122&lt;&gt;"",EDATE($D122,Milestones!$AA$134)&gt;=$Y122),$AB122,$AA122)))=Milestones!$AB$134),UPPER(TEXT(EDATE($D122,Milestones!$AA$134),"dd mmm yy"))&amp;" "&amp;Milestones!$AB$134&amp;" "&amp;IF(AND(Milestones!$AB$134="FT",Milestones!$AA$134=FT_Y5,EDATE($D122,Milestones!$AA$134)&lt;PolicyEff),1,Milestones!$AC$134)&amp;";  ","")&amp;IF(AND(EDATE($D122,Milestones!$AA$135)&lt;=AsOfDate,EDATE($D122,Milestones!$AA$135)&gt;=SchemeStart,IF($X122=0,$AD122,IF(AND($Z122&lt;&gt;"",EDATE($D122,Milestones!$AA$135)&gt;=$Z122),$AC122,IF(AND($Y122&lt;&gt;"",EDATE($D122,Milestones!$AA$135)&gt;=$Y122),$AB122,$AA122)))=Milestones!$AB$135),UPPER(TEXT(EDATE($D122,Milestones!$AA$135),"dd mmm yy"))&amp;" "&amp;Milestones!$AB$135&amp;" "&amp;IF(AND(Milestones!$AB$135="FT",Milestones!$AA$135=FT_Y5,EDATE($D122,Milestones!$AA$135)&lt;PolicyEff),1,Milestones!$AC$135)&amp;";  ","")&amp;IF(AND(EDATE($D122,Milestones!$AA$136)&lt;=AsOfDate,EDATE($D122,Milestones!$AA$136)&gt;=SchemeStart,IF($X122=0,$AD122,IF(AND($Z122&lt;&gt;"",EDATE($D122,Milestones!$AA$136)&gt;=$Z122),$AC122,IF(AND($Y122&lt;&gt;"",EDATE($D122,Milestones!$AA$136)&gt;=$Y122),$AB122,$AA122)))=Milestones!$AB$136),UPPER(TEXT(EDATE($D122,Milestones!$AA$136),"dd mmm yy"))&amp;" "&amp;Milestones!$AB$136&amp;" "&amp;IF(AND(Milestones!$AB$136="FT",Milestones!$AA$136=FT_Y5,EDATE($D122,Milestones!$AA$136)&lt;PolicyEff),1,Milestones!$AC$136)&amp;";  ","")&amp;IF(AND(EDATE($D122,Milestones!$AA$137)&lt;=AsOfDate,EDATE($D122,Milestones!$AA$137)&gt;=SchemeStart,IF($X122=0,$AD122,IF(AND($Z122&lt;&gt;"",EDATE($D122,Milestones!$AA$137)&gt;=$Z122),$AC122,IF(AND($Y122&lt;&gt;"",EDATE($D122,Milestones!$AA$137)&gt;=$Y122),$AB122,$AA122)))=Milestones!$AB$137),UPPER(TEXT(EDATE($D122,Milestones!$AA$137),"dd mmm yy"))&amp;" "&amp;Milestones!$AB$137&amp;" "&amp;IF(AND(Milestones!$AB$137="FT",Milestones!$AA$137=FT_Y5,EDATE($D122,Milestones!$AA$137)&lt;PolicyEff),1,Milestones!$AC$137)&amp;";  ","")&amp;IF(AND(EDATE($D122,Milestones!$AA$138)&lt;=AsOfDate,EDATE($D122,Milestones!$AA$138)&gt;=SchemeStart,IF($X122=0,$AD122,IF(AND($Z122&lt;&gt;"",EDATE($D122,Milestones!$AA$138)&gt;=$Z122),$AC122,IF(AND($Y122&lt;&gt;"",EDATE($D122,Milestones!$AA$138)&gt;=$Y122),$AB122,$AA122)))=Milestones!$AB$138),UPPER(TEXT(EDATE($D122,Milestones!$AA$138),"dd mmm yy"))&amp;" "&amp;Milestones!$AB$138&amp;" "&amp;IF(AND(Milestones!$AB$138="FT",Milestones!$AA$138=FT_Y5,EDATE($D122,Milestones!$AA$138)&lt;PolicyEff),1,Milestones!$AC$138)&amp;";  ","")&amp;IF(AND(EDATE($D122,Milestones!$AA$139)&lt;=AsOfDate,EDATE($D122,Milestones!$AA$139)&gt;=SchemeStart,IF($X122=0,$AD122,IF(AND($Z122&lt;&gt;"",EDATE($D122,Milestones!$AA$139)&gt;=$Z122),$AC122,IF(AND($Y122&lt;&gt;"",EDATE($D122,Milestones!$AA$139)&gt;=$Y122),$AB122,$AA122)))=Milestones!$AB$139),UPPER(TEXT(EDATE($D122,Milestones!$AA$139),"dd mmm yy"))&amp;" "&amp;Milestones!$AB$139&amp;" "&amp;IF(AND(Milestones!$AB$139="FT",Milestones!$AA$139=FT_Y5,EDATE($D122,Milestones!$AA$139)&lt;PolicyEff),1,Milestones!$AC$139)&amp;";  ",""))</f>
        <v/>
      </c>
      <c r="S122" s="0" t="str">
        <f aca="false">IF(OR($A122="",$D122=""),"",IF(AND(EDATE($D122,Milestones!$AA$140)&lt;=AsOfDate,EDATE($D122,Milestones!$AA$140)&gt;=SchemeStart,IF($X122=0,$AD122,IF(AND($Z122&lt;&gt;"",EDATE($D122,Milestones!$AA$140)&gt;=$Z122),$AC122,IF(AND($Y122&lt;&gt;"",EDATE($D122,Milestones!$AA$140)&gt;=$Y122),$AB122,$AA122)))=Milestones!$AB$140),UPPER(TEXT(EDATE($D122,Milestones!$AA$140),"dd mmm yy"))&amp;" "&amp;Milestones!$AB$140&amp;" "&amp;IF(AND(Milestones!$AB$140="FT",Milestones!$AA$140=FT_Y5,EDATE($D122,Milestones!$AA$140)&lt;PolicyEff),1,Milestones!$AC$140)&amp;";  ","")&amp;IF(AND(EDATE($D122,Milestones!$AA$141)&lt;=AsOfDate,EDATE($D122,Milestones!$AA$141)&gt;=SchemeStart,IF($X122=0,$AD122,IF(AND($Z122&lt;&gt;"",EDATE($D122,Milestones!$AA$141)&gt;=$Z122),$AC122,IF(AND($Y122&lt;&gt;"",EDATE($D122,Milestones!$AA$141)&gt;=$Y122),$AB122,$AA122)))=Milestones!$AB$141),UPPER(TEXT(EDATE($D122,Milestones!$AA$141),"dd mmm yy"))&amp;" "&amp;Milestones!$AB$141&amp;" "&amp;IF(AND(Milestones!$AB$141="FT",Milestones!$AA$141=FT_Y5,EDATE($D122,Milestones!$AA$141)&lt;PolicyEff),1,Milestones!$AC$141)&amp;";  ","")&amp;IF(AND(EDATE($D122,Milestones!$AA$142)&lt;=AsOfDate,EDATE($D122,Milestones!$AA$142)&gt;=SchemeStart,IF($X122=0,$AD122,IF(AND($Z122&lt;&gt;"",EDATE($D122,Milestones!$AA$142)&gt;=$Z122),$AC122,IF(AND($Y122&lt;&gt;"",EDATE($D122,Milestones!$AA$142)&gt;=$Y122),$AB122,$AA122)))=Milestones!$AB$142),UPPER(TEXT(EDATE($D122,Milestones!$AA$142),"dd mmm yy"))&amp;" "&amp;Milestones!$AB$142&amp;" "&amp;IF(AND(Milestones!$AB$142="FT",Milestones!$AA$142=FT_Y5,EDATE($D122,Milestones!$AA$142)&lt;PolicyEff),1,Milestones!$AC$142)&amp;";  ","")&amp;IF(AND(EDATE($D122,Milestones!$AA$143)&lt;=AsOfDate,EDATE($D122,Milestones!$AA$143)&gt;=SchemeStart,IF($X122=0,$AD122,IF(AND($Z122&lt;&gt;"",EDATE($D122,Milestones!$AA$143)&gt;=$Z122),$AC122,IF(AND($Y122&lt;&gt;"",EDATE($D122,Milestones!$AA$143)&gt;=$Y122),$AB122,$AA122)))=Milestones!$AB$143),UPPER(TEXT(EDATE($D122,Milestones!$AA$143),"dd mmm yy"))&amp;" "&amp;Milestones!$AB$143&amp;" "&amp;IF(AND(Milestones!$AB$143="FT",Milestones!$AA$143=FT_Y5,EDATE($D122,Milestones!$AA$143)&lt;PolicyEff),1,Milestones!$AC$143)&amp;";  ","")&amp;IF(AND(EDATE($D122,Milestones!$AA$144)&lt;=AsOfDate,EDATE($D122,Milestones!$AA$144)&gt;=SchemeStart,IF($X122=0,$AD122,IF(AND($Z122&lt;&gt;"",EDATE($D122,Milestones!$AA$144)&gt;=$Z122),$AC122,IF(AND($Y122&lt;&gt;"",EDATE($D122,Milestones!$AA$144)&gt;=$Y122),$AB122,$AA122)))=Milestones!$AB$144),UPPER(TEXT(EDATE($D122,Milestones!$AA$144),"dd mmm yy"))&amp;" "&amp;Milestones!$AB$144&amp;" "&amp;IF(AND(Milestones!$AB$144="FT",Milestones!$AA$144=FT_Y5,EDATE($D122,Milestones!$AA$144)&lt;PolicyEff),1,Milestones!$AC$144)&amp;";  ","")&amp;IF(AND(EDATE($D122,Milestones!$AA$145)&lt;=AsOfDate,EDATE($D122,Milestones!$AA$145)&gt;=SchemeStart,IF($X122=0,$AD122,IF(AND($Z122&lt;&gt;"",EDATE($D122,Milestones!$AA$145)&gt;=$Z122),$AC122,IF(AND($Y122&lt;&gt;"",EDATE($D122,Milestones!$AA$145)&gt;=$Y122),$AB122,$AA122)))=Milestones!$AB$145),UPPER(TEXT(EDATE($D122,Milestones!$AA$145),"dd mmm yy"))&amp;" "&amp;Milestones!$AB$145&amp;" "&amp;IF(AND(Milestones!$AB$145="FT",Milestones!$AA$145=FT_Y5,EDATE($D122,Milestones!$AA$145)&lt;PolicyEff),1,Milestones!$AC$145)&amp;";  ","")&amp;IF(AND(EDATE($D122,Milestones!$AA$146)&lt;=AsOfDate,EDATE($D122,Milestones!$AA$146)&gt;=SchemeStart,IF($X122=0,$AD122,IF(AND($Z122&lt;&gt;"",EDATE($D122,Milestones!$AA$146)&gt;=$Z122),$AC122,IF(AND($Y122&lt;&gt;"",EDATE($D122,Milestones!$AA$146)&gt;=$Y122),$AB122,$AA122)))=Milestones!$AB$146),UPPER(TEXT(EDATE($D122,Milestones!$AA$146),"dd mmm yy"))&amp;" "&amp;Milestones!$AB$146&amp;" "&amp;IF(AND(Milestones!$AB$146="FT",Milestones!$AA$146=FT_Y5,EDATE($D122,Milestones!$AA$146)&lt;PolicyEff),1,Milestones!$AC$146)&amp;";  ","")&amp;IF(AND(EDATE($D122,Milestones!$AA$147)&lt;=AsOfDate,EDATE($D122,Milestones!$AA$147)&gt;=SchemeStart,IF($X122=0,$AD122,IF(AND($Z122&lt;&gt;"",EDATE($D122,Milestones!$AA$147)&gt;=$Z122),$AC122,IF(AND($Y122&lt;&gt;"",EDATE($D122,Milestones!$AA$147)&gt;=$Y122),$AB122,$AA122)))=Milestones!$AB$147),UPPER(TEXT(EDATE($D122,Milestones!$AA$147),"dd mmm yy"))&amp;" "&amp;Milestones!$AB$147&amp;" "&amp;IF(AND(Milestones!$AB$147="FT",Milestones!$AA$147=FT_Y5,EDATE($D122,Milestones!$AA$147)&lt;PolicyEff),1,Milestones!$AC$147)&amp;";  ","")&amp;IF(AND(EDATE($D122,Milestones!$AA$148)&lt;=AsOfDate,EDATE($D122,Milestones!$AA$148)&gt;=SchemeStart,IF($X122=0,$AD122,IF(AND($Z122&lt;&gt;"",EDATE($D122,Milestones!$AA$148)&gt;=$Z122),$AC122,IF(AND($Y122&lt;&gt;"",EDATE($D122,Milestones!$AA$148)&gt;=$Y122),$AB122,$AA122)))=Milestones!$AB$148),UPPER(TEXT(EDATE($D122,Milestones!$AA$148),"dd mmm yy"))&amp;" "&amp;Milestones!$AB$148&amp;" "&amp;IF(AND(Milestones!$AB$148="FT",Milestones!$AA$148=FT_Y5,EDATE($D122,Milestones!$AA$148)&lt;PolicyEff),1,Milestones!$AC$148)&amp;";  ","")&amp;IF(AND(EDATE($D122,Milestones!$AA$149)&lt;=AsOfDate,EDATE($D122,Milestones!$AA$149)&gt;=SchemeStart,IF($X122=0,$AD122,IF(AND($Z122&lt;&gt;"",EDATE($D122,Milestones!$AA$149)&gt;=$Z122),$AC122,IF(AND($Y122&lt;&gt;"",EDATE($D122,Milestones!$AA$149)&gt;=$Y122),$AB122,$AA122)))=Milestones!$AB$149),UPPER(TEXT(EDATE($D122,Milestones!$AA$149),"dd mmm yy"))&amp;" "&amp;Milestones!$AB$149&amp;" "&amp;IF(AND(Milestones!$AB$149="FT",Milestones!$AA$149=FT_Y5,EDATE($D122,Milestones!$AA$149)&lt;PolicyEff),1,Milestones!$AC$149)&amp;";  ","")&amp;IF(AND(EDATE($D122,Milestones!$AA$150)&lt;=AsOfDate,EDATE($D122,Milestones!$AA$150)&gt;=SchemeStart,IF($X122=0,$AD122,IF(AND($Z122&lt;&gt;"",EDATE($D122,Milestones!$AA$150)&gt;=$Z122),$AC122,IF(AND($Y122&lt;&gt;"",EDATE($D122,Milestones!$AA$150)&gt;=$Y122),$AB122,$AA122)))=Milestones!$AB$150),UPPER(TEXT(EDATE($D122,Milestones!$AA$150),"dd mmm yy"))&amp;" "&amp;Milestones!$AB$150&amp;" "&amp;IF(AND(Milestones!$AB$150="FT",Milestones!$AA$150=FT_Y5,EDATE($D122,Milestones!$AA$150)&lt;PolicyEff),1,Milestones!$AC$150)&amp;";  ","")&amp;IF(AND(EDATE($D122,Milestones!$AA$151)&lt;=AsOfDate,EDATE($D122,Milestones!$AA$151)&gt;=SchemeStart,IF($X122=0,$AD122,IF(AND($Z122&lt;&gt;"",EDATE($D122,Milestones!$AA$151)&gt;=$Z122),$AC122,IF(AND($Y122&lt;&gt;"",EDATE($D122,Milestones!$AA$151)&gt;=$Y122),$AB122,$AA122)))=Milestones!$AB$151),UPPER(TEXT(EDATE($D122,Milestones!$AA$151),"dd mmm yy"))&amp;" "&amp;Milestones!$AB$151&amp;" "&amp;IF(AND(Milestones!$AB$151="FT",Milestones!$AA$151=FT_Y5,EDATE($D122,Milestones!$AA$151)&lt;PolicyEff),1,Milestones!$AC$151)&amp;";  ",""))</f>
        <v/>
      </c>
      <c r="T122" s="0" t="str">
        <f aca="false">IF(OR($A122="",$D122=""),"",IF(AND(EDATE($D122,Milestones!$AA$152)&lt;=AsOfDate,EDATE($D122,Milestones!$AA$152)&gt;=SchemeStart,IF($X122=0,$AD122,IF(AND($Z122&lt;&gt;"",EDATE($D122,Milestones!$AA$152)&gt;=$Z122),$AC122,IF(AND($Y122&lt;&gt;"",EDATE($D122,Milestones!$AA$152)&gt;=$Y122),$AB122,$AA122)))=Milestones!$AB$152),UPPER(TEXT(EDATE($D122,Milestones!$AA$152),"dd mmm yy"))&amp;" "&amp;Milestones!$AB$152&amp;" "&amp;IF(AND(Milestones!$AB$152="FT",Milestones!$AA$152=FT_Y5,EDATE($D122,Milestones!$AA$152)&lt;PolicyEff),1,Milestones!$AC$152)&amp;";  ","")&amp;IF(AND(EDATE($D122,Milestones!$AA$153)&lt;=AsOfDate,EDATE($D122,Milestones!$AA$153)&gt;=SchemeStart,IF($X122=0,$AD122,IF(AND($Z122&lt;&gt;"",EDATE($D122,Milestones!$AA$153)&gt;=$Z122),$AC122,IF(AND($Y122&lt;&gt;"",EDATE($D122,Milestones!$AA$153)&gt;=$Y122),$AB122,$AA122)))=Milestones!$AB$153),UPPER(TEXT(EDATE($D122,Milestones!$AA$153),"dd mmm yy"))&amp;" "&amp;Milestones!$AB$153&amp;" "&amp;IF(AND(Milestones!$AB$153="FT",Milestones!$AA$153=FT_Y5,EDATE($D122,Milestones!$AA$153)&lt;PolicyEff),1,Milestones!$AC$153)&amp;";  ","")&amp;IF(AND(EDATE($D122,Milestones!$AA$154)&lt;=AsOfDate,EDATE($D122,Milestones!$AA$154)&gt;=SchemeStart,IF($X122=0,$AD122,IF(AND($Z122&lt;&gt;"",EDATE($D122,Milestones!$AA$154)&gt;=$Z122),$AC122,IF(AND($Y122&lt;&gt;"",EDATE($D122,Milestones!$AA$154)&gt;=$Y122),$AB122,$AA122)))=Milestones!$AB$154),UPPER(TEXT(EDATE($D122,Milestones!$AA$154),"dd mmm yy"))&amp;" "&amp;Milestones!$AB$154&amp;" "&amp;IF(AND(Milestones!$AB$154="FT",Milestones!$AA$154=FT_Y5,EDATE($D122,Milestones!$AA$154)&lt;PolicyEff),1,Milestones!$AC$154)&amp;";  ","")&amp;IF(AND(EDATE($D122,Milestones!$AA$155)&lt;=AsOfDate,EDATE($D122,Milestones!$AA$155)&gt;=SchemeStart,IF($X122=0,$AD122,IF(AND($Z122&lt;&gt;"",EDATE($D122,Milestones!$AA$155)&gt;=$Z122),$AC122,IF(AND($Y122&lt;&gt;"",EDATE($D122,Milestones!$AA$155)&gt;=$Y122),$AB122,$AA122)))=Milestones!$AB$155),UPPER(TEXT(EDATE($D122,Milestones!$AA$155),"dd mmm yy"))&amp;" "&amp;Milestones!$AB$155&amp;" "&amp;IF(AND(Milestones!$AB$155="FT",Milestones!$AA$155=FT_Y5,EDATE($D122,Milestones!$AA$155)&lt;PolicyEff),1,Milestones!$AC$155)&amp;";  ","")&amp;IF(AND(EDATE($D122,Milestones!$AA$156)&lt;=AsOfDate,EDATE($D122,Milestones!$AA$156)&gt;=SchemeStart,IF($X122=0,$AD122,IF(AND($Z122&lt;&gt;"",EDATE($D122,Milestones!$AA$156)&gt;=$Z122),$AC122,IF(AND($Y122&lt;&gt;"",EDATE($D122,Milestones!$AA$156)&gt;=$Y122),$AB122,$AA122)))=Milestones!$AB$156),UPPER(TEXT(EDATE($D122,Milestones!$AA$156),"dd mmm yy"))&amp;" "&amp;Milestones!$AB$156&amp;" "&amp;IF(AND(Milestones!$AB$156="FT",Milestones!$AA$156=FT_Y5,EDATE($D122,Milestones!$AA$156)&lt;PolicyEff),1,Milestones!$AC$156)&amp;";  ","")&amp;IF(AND(EDATE($D122,Milestones!$AA$157)&lt;=AsOfDate,EDATE($D122,Milestones!$AA$157)&gt;=SchemeStart,IF($X122=0,$AD122,IF(AND($Z122&lt;&gt;"",EDATE($D122,Milestones!$AA$157)&gt;=$Z122),$AC122,IF(AND($Y122&lt;&gt;"",EDATE($D122,Milestones!$AA$157)&gt;=$Y122),$AB122,$AA122)))=Milestones!$AB$157),UPPER(TEXT(EDATE($D122,Milestones!$AA$157),"dd mmm yy"))&amp;" "&amp;Milestones!$AB$157&amp;" "&amp;IF(AND(Milestones!$AB$157="FT",Milestones!$AA$157=FT_Y5,EDATE($D122,Milestones!$AA$157)&lt;PolicyEff),1,Milestones!$AC$157)&amp;";  ","")&amp;IF(AND(EDATE($D122,Milestones!$AA$158)&lt;=AsOfDate,EDATE($D122,Milestones!$AA$158)&gt;=SchemeStart,IF($X122=0,$AD122,IF(AND($Z122&lt;&gt;"",EDATE($D122,Milestones!$AA$158)&gt;=$Z122),$AC122,IF(AND($Y122&lt;&gt;"",EDATE($D122,Milestones!$AA$158)&gt;=$Y122),$AB122,$AA122)))=Milestones!$AB$158),UPPER(TEXT(EDATE($D122,Milestones!$AA$158),"dd mmm yy"))&amp;" "&amp;Milestones!$AB$158&amp;" "&amp;IF(AND(Milestones!$AB$158="FT",Milestones!$AA$158=FT_Y5,EDATE($D122,Milestones!$AA$158)&lt;PolicyEff),1,Milestones!$AC$158)&amp;";  ","")&amp;IF(AND(EDATE($D122,Milestones!$AA$159)&lt;=AsOfDate,EDATE($D122,Milestones!$AA$159)&gt;=SchemeStart,IF($X122=0,$AD122,IF(AND($Z122&lt;&gt;"",EDATE($D122,Milestones!$AA$159)&gt;=$Z122),$AC122,IF(AND($Y122&lt;&gt;"",EDATE($D122,Milestones!$AA$159)&gt;=$Y122),$AB122,$AA122)))=Milestones!$AB$159),UPPER(TEXT(EDATE($D122,Milestones!$AA$159),"dd mmm yy"))&amp;" "&amp;Milestones!$AB$159&amp;" "&amp;IF(AND(Milestones!$AB$159="FT",Milestones!$AA$159=FT_Y5,EDATE($D122,Milestones!$AA$159)&lt;PolicyEff),1,Milestones!$AC$159)&amp;";  ","")&amp;IF(AND(EDATE($D122,Milestones!$AA$160)&lt;=AsOfDate,EDATE($D122,Milestones!$AA$160)&gt;=SchemeStart,IF($X122=0,$AD122,IF(AND($Z122&lt;&gt;"",EDATE($D122,Milestones!$AA$160)&gt;=$Z122),$AC122,IF(AND($Y122&lt;&gt;"",EDATE($D122,Milestones!$AA$160)&gt;=$Y122),$AB122,$AA122)))=Milestones!$AB$160),UPPER(TEXT(EDATE($D122,Milestones!$AA$160),"dd mmm yy"))&amp;" "&amp;Milestones!$AB$160&amp;" "&amp;IF(AND(Milestones!$AB$160="FT",Milestones!$AA$160=FT_Y5,EDATE($D122,Milestones!$AA$160)&lt;PolicyEff),1,Milestones!$AC$160)&amp;";  ","")&amp;IF(AND(EDATE($D122,Milestones!$AA$161)&lt;=AsOfDate,EDATE($D122,Milestones!$AA$161)&gt;=SchemeStart,IF($X122=0,$AD122,IF(AND($Z122&lt;&gt;"",EDATE($D122,Milestones!$AA$161)&gt;=$Z122),$AC122,IF(AND($Y122&lt;&gt;"",EDATE($D122,Milestones!$AA$161)&gt;=$Y122),$AB122,$AA122)))=Milestones!$AB$161),UPPER(TEXT(EDATE($D122,Milestones!$AA$161),"dd mmm yy"))&amp;" "&amp;Milestones!$AB$161&amp;" "&amp;IF(AND(Milestones!$AB$161="FT",Milestones!$AA$161=FT_Y5,EDATE($D122,Milestones!$AA$161)&lt;PolicyEff),1,Milestones!$AC$161)&amp;";  ","")&amp;IF(AND(EDATE($D122,Milestones!$AA$162)&lt;=AsOfDate,EDATE($D122,Milestones!$AA$162)&gt;=SchemeStart,IF($X122=0,$AD122,IF(AND($Z122&lt;&gt;"",EDATE($D122,Milestones!$AA$162)&gt;=$Z122),$AC122,IF(AND($Y122&lt;&gt;"",EDATE($D122,Milestones!$AA$162)&gt;=$Y122),$AB122,$AA122)))=Milestones!$AB$162),UPPER(TEXT(EDATE($D122,Milestones!$AA$162),"dd mmm yy"))&amp;" "&amp;Milestones!$AB$162&amp;" "&amp;IF(AND(Milestones!$AB$162="FT",Milestones!$AA$162=FT_Y5,EDATE($D122,Milestones!$AA$162)&lt;PolicyEff),1,Milestones!$AC$162)&amp;";  ","")&amp;IF(AND(EDATE($D122,Milestones!$AA$163)&lt;=AsOfDate,EDATE($D122,Milestones!$AA$163)&gt;=SchemeStart,IF($X122=0,$AD122,IF(AND($Z122&lt;&gt;"",EDATE($D122,Milestones!$AA$163)&gt;=$Z122),$AC122,IF(AND($Y122&lt;&gt;"",EDATE($D122,Milestones!$AA$163)&gt;=$Y122),$AB122,$AA122)))=Milestones!$AB$163),UPPER(TEXT(EDATE($D122,Milestones!$AA$163),"dd mmm yy"))&amp;" "&amp;Milestones!$AB$163&amp;" "&amp;IF(AND(Milestones!$AB$163="FT",Milestones!$AA$163=FT_Y5,EDATE($D122,Milestones!$AA$163)&lt;PolicyEff),1,Milestones!$AC$163)&amp;";  ",""))</f>
        <v/>
      </c>
      <c r="U122" s="0" t="str">
        <f aca="false">IF(OR($A122="",$D122=""),"",IF(AND(EDATE($D122,Milestones!$AA$164)&lt;=AsOfDate,EDATE($D122,Milestones!$AA$164)&gt;=SchemeStart,IF($X122=0,$AD122,IF(AND($Z122&lt;&gt;"",EDATE($D122,Milestones!$AA$164)&gt;=$Z122),$AC122,IF(AND($Y122&lt;&gt;"",EDATE($D122,Milestones!$AA$164)&gt;=$Y122),$AB122,$AA122)))=Milestones!$AB$164),UPPER(TEXT(EDATE($D122,Milestones!$AA$164),"dd mmm yy"))&amp;" "&amp;Milestones!$AB$164&amp;" "&amp;IF(AND(Milestones!$AB$164="FT",Milestones!$AA$164=FT_Y5,EDATE($D122,Milestones!$AA$164)&lt;PolicyEff),1,Milestones!$AC$164)&amp;";  ","")&amp;IF(AND(EDATE($D122,Milestones!$AA$165)&lt;=AsOfDate,EDATE($D122,Milestones!$AA$165)&gt;=SchemeStart,IF($X122=0,$AD122,IF(AND($Z122&lt;&gt;"",EDATE($D122,Milestones!$AA$165)&gt;=$Z122),$AC122,IF(AND($Y122&lt;&gt;"",EDATE($D122,Milestones!$AA$165)&gt;=$Y122),$AB122,$AA122)))=Milestones!$AB$165),UPPER(TEXT(EDATE($D122,Milestones!$AA$165),"dd mmm yy"))&amp;" "&amp;Milestones!$AB$165&amp;" "&amp;IF(AND(Milestones!$AB$165="FT",Milestones!$AA$165=FT_Y5,EDATE($D122,Milestones!$AA$165)&lt;PolicyEff),1,Milestones!$AC$165)&amp;";  ","")&amp;IF(AND(EDATE($D122,Milestones!$AA$166)&lt;=AsOfDate,EDATE($D122,Milestones!$AA$166)&gt;=SchemeStart,IF($X122=0,$AD122,IF(AND($Z122&lt;&gt;"",EDATE($D122,Milestones!$AA$166)&gt;=$Z122),$AC122,IF(AND($Y122&lt;&gt;"",EDATE($D122,Milestones!$AA$166)&gt;=$Y122),$AB122,$AA122)))=Milestones!$AB$166),UPPER(TEXT(EDATE($D122,Milestones!$AA$166),"dd mmm yy"))&amp;" "&amp;Milestones!$AB$166&amp;" "&amp;IF(AND(Milestones!$AB$166="FT",Milestones!$AA$166=FT_Y5,EDATE($D122,Milestones!$AA$166)&lt;PolicyEff),1,Milestones!$AC$166)&amp;";  ","")&amp;IF(AND(EDATE($D122,Milestones!$AA$167)&lt;=AsOfDate,EDATE($D122,Milestones!$AA$167)&gt;=SchemeStart,IF($X122=0,$AD122,IF(AND($Z122&lt;&gt;"",EDATE($D122,Milestones!$AA$167)&gt;=$Z122),$AC122,IF(AND($Y122&lt;&gt;"",EDATE($D122,Milestones!$AA$167)&gt;=$Y122),$AB122,$AA122)))=Milestones!$AB$167),UPPER(TEXT(EDATE($D122,Milestones!$AA$167),"dd mmm yy"))&amp;" "&amp;Milestones!$AB$167&amp;" "&amp;IF(AND(Milestones!$AB$167="FT",Milestones!$AA$167=FT_Y5,EDATE($D122,Milestones!$AA$167)&lt;PolicyEff),1,Milestones!$AC$167)&amp;";  ","")&amp;IF(AND(EDATE($D122,Milestones!$AA$168)&lt;=AsOfDate,EDATE($D122,Milestones!$AA$168)&gt;=SchemeStart,IF($X122=0,$AD122,IF(AND($Z122&lt;&gt;"",EDATE($D122,Milestones!$AA$168)&gt;=$Z122),$AC122,IF(AND($Y122&lt;&gt;"",EDATE($D122,Milestones!$AA$168)&gt;=$Y122),$AB122,$AA122)))=Milestones!$AB$168),UPPER(TEXT(EDATE($D122,Milestones!$AA$168),"dd mmm yy"))&amp;" "&amp;Milestones!$AB$168&amp;" "&amp;IF(AND(Milestones!$AB$168="FT",Milestones!$AA$168=FT_Y5,EDATE($D122,Milestones!$AA$168)&lt;PolicyEff),1,Milestones!$AC$168)&amp;";  ","")&amp;IF(AND(EDATE($D122,Milestones!$AA$169)&lt;=AsOfDate,EDATE($D122,Milestones!$AA$169)&gt;=SchemeStart,IF($X122=0,$AD122,IF(AND($Z122&lt;&gt;"",EDATE($D122,Milestones!$AA$169)&gt;=$Z122),$AC122,IF(AND($Y122&lt;&gt;"",EDATE($D122,Milestones!$AA$169)&gt;=$Y122),$AB122,$AA122)))=Milestones!$AB$169),UPPER(TEXT(EDATE($D122,Milestones!$AA$169),"dd mmm yy"))&amp;" "&amp;Milestones!$AB$169&amp;" "&amp;IF(AND(Milestones!$AB$169="FT",Milestones!$AA$169=FT_Y5,EDATE($D122,Milestones!$AA$169)&lt;PolicyEff),1,Milestones!$AC$169)&amp;";  ","")&amp;IF(AND(EDATE($D122,Milestones!$AA$170)&lt;=AsOfDate,EDATE($D122,Milestones!$AA$170)&gt;=SchemeStart,IF($X122=0,$AD122,IF(AND($Z122&lt;&gt;"",EDATE($D122,Milestones!$AA$170)&gt;=$Z122),$AC122,IF(AND($Y122&lt;&gt;"",EDATE($D122,Milestones!$AA$170)&gt;=$Y122),$AB122,$AA122)))=Milestones!$AB$170),UPPER(TEXT(EDATE($D122,Milestones!$AA$170),"dd mmm yy"))&amp;" "&amp;Milestones!$AB$170&amp;" "&amp;IF(AND(Milestones!$AB$170="FT",Milestones!$AA$170=FT_Y5,EDATE($D122,Milestones!$AA$170)&lt;PolicyEff),1,Milestones!$AC$170)&amp;";  ","")&amp;IF(AND(EDATE($D122,Milestones!$AA$171)&lt;=AsOfDate,EDATE($D122,Milestones!$AA$171)&gt;=SchemeStart,IF($X122=0,$AD122,IF(AND($Z122&lt;&gt;"",EDATE($D122,Milestones!$AA$171)&gt;=$Z122),$AC122,IF(AND($Y122&lt;&gt;"",EDATE($D122,Milestones!$AA$171)&gt;=$Y122),$AB122,$AA122)))=Milestones!$AB$171),UPPER(TEXT(EDATE($D122,Milestones!$AA$171),"dd mmm yy"))&amp;" "&amp;Milestones!$AB$171&amp;" "&amp;IF(AND(Milestones!$AB$171="FT",Milestones!$AA$171=FT_Y5,EDATE($D122,Milestones!$AA$171)&lt;PolicyEff),1,Milestones!$AC$171)&amp;";  ","")&amp;IF(AND(EDATE($D122,Milestones!$AA$172)&lt;=AsOfDate,EDATE($D122,Milestones!$AA$172)&gt;=SchemeStart,IF($X122=0,$AD122,IF(AND($Z122&lt;&gt;"",EDATE($D122,Milestones!$AA$172)&gt;=$Z122),$AC122,IF(AND($Y122&lt;&gt;"",EDATE($D122,Milestones!$AA$172)&gt;=$Y122),$AB122,$AA122)))=Milestones!$AB$172),UPPER(TEXT(EDATE($D122,Milestones!$AA$172),"dd mmm yy"))&amp;" "&amp;Milestones!$AB$172&amp;" "&amp;IF(AND(Milestones!$AB$172="FT",Milestones!$AA$172=FT_Y5,EDATE($D122,Milestones!$AA$172)&lt;PolicyEff),1,Milestones!$AC$172)&amp;";  ","")&amp;IF(AND(EDATE($D122,Milestones!$AA$173)&lt;=AsOfDate,EDATE($D122,Milestones!$AA$173)&gt;=SchemeStart,IF($X122=0,$AD122,IF(AND($Z122&lt;&gt;"",EDATE($D122,Milestones!$AA$173)&gt;=$Z122),$AC122,IF(AND($Y122&lt;&gt;"",EDATE($D122,Milestones!$AA$173)&gt;=$Y122),$AB122,$AA122)))=Milestones!$AB$173),UPPER(TEXT(EDATE($D122,Milestones!$AA$173),"dd mmm yy"))&amp;" "&amp;Milestones!$AB$173&amp;" "&amp;IF(AND(Milestones!$AB$173="FT",Milestones!$AA$173=FT_Y5,EDATE($D122,Milestones!$AA$173)&lt;PolicyEff),1,Milestones!$AC$173)&amp;";  ","")&amp;IF(AND(EDATE($D122,Milestones!$AA$174)&lt;=AsOfDate,EDATE($D122,Milestones!$AA$174)&gt;=SchemeStart,IF($X122=0,$AD122,IF(AND($Z122&lt;&gt;"",EDATE($D122,Milestones!$AA$174)&gt;=$Z122),$AC122,IF(AND($Y122&lt;&gt;"",EDATE($D122,Milestones!$AA$174)&gt;=$Y122),$AB122,$AA122)))=Milestones!$AB$174),UPPER(TEXT(EDATE($D122,Milestones!$AA$174),"dd mmm yy"))&amp;" "&amp;Milestones!$AB$174&amp;" "&amp;IF(AND(Milestones!$AB$174="FT",Milestones!$AA$174=FT_Y5,EDATE($D122,Milestones!$AA$174)&lt;PolicyEff),1,Milestones!$AC$174)&amp;";  ","")&amp;IF(AND(EDATE($D122,Milestones!$AA$175)&lt;=AsOfDate,EDATE($D122,Milestones!$AA$175)&gt;=SchemeStart,IF($X122=0,$AD122,IF(AND($Z122&lt;&gt;"",EDATE($D122,Milestones!$AA$175)&gt;=$Z122),$AC122,IF(AND($Y122&lt;&gt;"",EDATE($D122,Milestones!$AA$175)&gt;=$Y122),$AB122,$AA122)))=Milestones!$AB$175),UPPER(TEXT(EDATE($D122,Milestones!$AA$175),"dd mmm yy"))&amp;" "&amp;Milestones!$AB$175&amp;" "&amp;IF(AND(Milestones!$AB$175="FT",Milestones!$AA$175=FT_Y5,EDATE($D122,Milestones!$AA$175)&lt;PolicyEff),1,Milestones!$AC$175)&amp;";  ",""))</f>
        <v/>
      </c>
      <c r="V122" s="0" t="str">
        <f aca="false">IF(OR($A122="",$D122=""),"",IF(AND(EDATE($D122,Milestones!$AA$176)&lt;=AsOfDate,EDATE($D122,Milestones!$AA$176)&gt;=SchemeStart,IF($X122=0,$AD122,IF(AND($Z122&lt;&gt;"",EDATE($D122,Milestones!$AA$176)&gt;=$Z122),$AC122,IF(AND($Y122&lt;&gt;"",EDATE($D122,Milestones!$AA$176)&gt;=$Y122),$AB122,$AA122)))=Milestones!$AB$176),UPPER(TEXT(EDATE($D122,Milestones!$AA$176),"dd mmm yy"))&amp;" "&amp;Milestones!$AB$176&amp;" "&amp;IF(AND(Milestones!$AB$176="FT",Milestones!$AA$176=FT_Y5,EDATE($D122,Milestones!$AA$176)&lt;PolicyEff),1,Milestones!$AC$176)&amp;";  ","")&amp;IF(AND(EDATE($D122,Milestones!$AA$177)&lt;=AsOfDate,EDATE($D122,Milestones!$AA$177)&gt;=SchemeStart,IF($X122=0,$AD122,IF(AND($Z122&lt;&gt;"",EDATE($D122,Milestones!$AA$177)&gt;=$Z122),$AC122,IF(AND($Y122&lt;&gt;"",EDATE($D122,Milestones!$AA$177)&gt;=$Y122),$AB122,$AA122)))=Milestones!$AB$177),UPPER(TEXT(EDATE($D122,Milestones!$AA$177),"dd mmm yy"))&amp;" "&amp;Milestones!$AB$177&amp;" "&amp;IF(AND(Milestones!$AB$177="FT",Milestones!$AA$177=FT_Y5,EDATE($D122,Milestones!$AA$177)&lt;PolicyEff),1,Milestones!$AC$177)&amp;";  ","")&amp;IF(AND(EDATE($D122,Milestones!$AA$178)&lt;=AsOfDate,EDATE($D122,Milestones!$AA$178)&gt;=SchemeStart,IF($X122=0,$AD122,IF(AND($Z122&lt;&gt;"",EDATE($D122,Milestones!$AA$178)&gt;=$Z122),$AC122,IF(AND($Y122&lt;&gt;"",EDATE($D122,Milestones!$AA$178)&gt;=$Y122),$AB122,$AA122)))=Milestones!$AB$178),UPPER(TEXT(EDATE($D122,Milestones!$AA$178),"dd mmm yy"))&amp;" "&amp;Milestones!$AB$178&amp;" "&amp;IF(AND(Milestones!$AB$178="FT",Milestones!$AA$178=FT_Y5,EDATE($D122,Milestones!$AA$178)&lt;PolicyEff),1,Milestones!$AC$178)&amp;";  ","")&amp;IF(AND(EDATE($D122,Milestones!$AA$179)&lt;=AsOfDate,EDATE($D122,Milestones!$AA$179)&gt;=SchemeStart,IF($X122=0,$AD122,IF(AND($Z122&lt;&gt;"",EDATE($D122,Milestones!$AA$179)&gt;=$Z122),$AC122,IF(AND($Y122&lt;&gt;"",EDATE($D122,Milestones!$AA$179)&gt;=$Y122),$AB122,$AA122)))=Milestones!$AB$179),UPPER(TEXT(EDATE($D122,Milestones!$AA$179),"dd mmm yy"))&amp;" "&amp;Milestones!$AB$179&amp;" "&amp;IF(AND(Milestones!$AB$179="FT",Milestones!$AA$179=FT_Y5,EDATE($D122,Milestones!$AA$179)&lt;PolicyEff),1,Milestones!$AC$179)&amp;";  ","")&amp;IF(AND(EDATE($D122,Milestones!$AA$180)&lt;=AsOfDate,EDATE($D122,Milestones!$AA$180)&gt;=SchemeStart,IF($X122=0,$AD122,IF(AND($Z122&lt;&gt;"",EDATE($D122,Milestones!$AA$180)&gt;=$Z122),$AC122,IF(AND($Y122&lt;&gt;"",EDATE($D122,Milestones!$AA$180)&gt;=$Y122),$AB122,$AA122)))=Milestones!$AB$180),UPPER(TEXT(EDATE($D122,Milestones!$AA$180),"dd mmm yy"))&amp;" "&amp;Milestones!$AB$180&amp;" "&amp;IF(AND(Milestones!$AB$180="FT",Milestones!$AA$180=FT_Y5,EDATE($D122,Milestones!$AA$180)&lt;PolicyEff),1,Milestones!$AC$180)&amp;";  ","")&amp;IF(AND(EDATE($D122,Milestones!$AA$181)&lt;=AsOfDate,EDATE($D122,Milestones!$AA$181)&gt;=SchemeStart,IF($X122=0,$AD122,IF(AND($Z122&lt;&gt;"",EDATE($D122,Milestones!$AA$181)&gt;=$Z122),$AC122,IF(AND($Y122&lt;&gt;"",EDATE($D122,Milestones!$AA$181)&gt;=$Y122),$AB122,$AA122)))=Milestones!$AB$181),UPPER(TEXT(EDATE($D122,Milestones!$AA$181),"dd mmm yy"))&amp;" "&amp;Milestones!$AB$181&amp;" "&amp;IF(AND(Milestones!$AB$181="FT",Milestones!$AA$181=FT_Y5,EDATE($D122,Milestones!$AA$181)&lt;PolicyEff),1,Milestones!$AC$181)&amp;";  ","")&amp;IF(AND(EDATE($D122,Milestones!$AA$182)&lt;=AsOfDate,EDATE($D122,Milestones!$AA$182)&gt;=SchemeStart,IF($X122=0,$AD122,IF(AND($Z122&lt;&gt;"",EDATE($D122,Milestones!$AA$182)&gt;=$Z122),$AC122,IF(AND($Y122&lt;&gt;"",EDATE($D122,Milestones!$AA$182)&gt;=$Y122),$AB122,$AA122)))=Milestones!$AB$182),UPPER(TEXT(EDATE($D122,Milestones!$AA$182),"dd mmm yy"))&amp;" "&amp;Milestones!$AB$182&amp;" "&amp;IF(AND(Milestones!$AB$182="FT",Milestones!$AA$182=FT_Y5,EDATE($D122,Milestones!$AA$182)&lt;PolicyEff),1,Milestones!$AC$182)&amp;";  ","")&amp;IF(AND(EDATE($D122,Milestones!$AA$183)&lt;=AsOfDate,EDATE($D122,Milestones!$AA$183)&gt;=SchemeStart,IF($X122=0,$AD122,IF(AND($Z122&lt;&gt;"",EDATE($D122,Milestones!$AA$183)&gt;=$Z122),$AC122,IF(AND($Y122&lt;&gt;"",EDATE($D122,Milestones!$AA$183)&gt;=$Y122),$AB122,$AA122)))=Milestones!$AB$183),UPPER(TEXT(EDATE($D122,Milestones!$AA$183),"dd mmm yy"))&amp;" "&amp;Milestones!$AB$183&amp;" "&amp;IF(AND(Milestones!$AB$183="FT",Milestones!$AA$183=FT_Y5,EDATE($D122,Milestones!$AA$183)&lt;PolicyEff),1,Milestones!$AC$183)&amp;";  ","")&amp;IF(AND(EDATE($D122,Milestones!$AA$184)&lt;=AsOfDate,EDATE($D122,Milestones!$AA$184)&gt;=SchemeStart,IF($X122=0,$AD122,IF(AND($Z122&lt;&gt;"",EDATE($D122,Milestones!$AA$184)&gt;=$Z122),$AC122,IF(AND($Y122&lt;&gt;"",EDATE($D122,Milestones!$AA$184)&gt;=$Y122),$AB122,$AA122)))=Milestones!$AB$184),UPPER(TEXT(EDATE($D122,Milestones!$AA$184),"dd mmm yy"))&amp;" "&amp;Milestones!$AB$184&amp;" "&amp;IF(AND(Milestones!$AB$184="FT",Milestones!$AA$184=FT_Y5,EDATE($D122,Milestones!$AA$184)&lt;PolicyEff),1,Milestones!$AC$184)&amp;";  ","")&amp;IF(AND(EDATE($D122,Milestones!$AA$185)&lt;=AsOfDate,EDATE($D122,Milestones!$AA$185)&gt;=SchemeStart,IF($X122=0,$AD122,IF(AND($Z122&lt;&gt;"",EDATE($D122,Milestones!$AA$185)&gt;=$Z122),$AC122,IF(AND($Y122&lt;&gt;"",EDATE($D122,Milestones!$AA$185)&gt;=$Y122),$AB122,$AA122)))=Milestones!$AB$185),UPPER(TEXT(EDATE($D122,Milestones!$AA$185),"dd mmm yy"))&amp;" "&amp;Milestones!$AB$185&amp;" "&amp;IF(AND(Milestones!$AB$185="FT",Milestones!$AA$185=FT_Y5,EDATE($D122,Milestones!$AA$185)&lt;PolicyEff),1,Milestones!$AC$185)&amp;";  ","")&amp;IF(AND(EDATE($D122,Milestones!$AA$186)&lt;=AsOfDate,EDATE($D122,Milestones!$AA$186)&gt;=SchemeStart,IF($X122=0,$AD122,IF(AND($Z122&lt;&gt;"",EDATE($D122,Milestones!$AA$186)&gt;=$Z122),$AC122,IF(AND($Y122&lt;&gt;"",EDATE($D122,Milestones!$AA$186)&gt;=$Y122),$AB122,$AA122)))=Milestones!$AB$186),UPPER(TEXT(EDATE($D122,Milestones!$AA$186),"dd mmm yy"))&amp;" "&amp;Milestones!$AB$186&amp;" "&amp;IF(AND(Milestones!$AB$186="FT",Milestones!$AA$186=FT_Y5,EDATE($D122,Milestones!$AA$186)&lt;PolicyEff),1,Milestones!$AC$186)&amp;";  ","")&amp;IF(AND(EDATE($D122,Milestones!$AA$187)&lt;=AsOfDate,EDATE($D122,Milestones!$AA$187)&gt;=SchemeStart,IF($X122=0,$AD122,IF(AND($Z122&lt;&gt;"",EDATE($D122,Milestones!$AA$187)&gt;=$Z122),$AC122,IF(AND($Y122&lt;&gt;"",EDATE($D122,Milestones!$AA$187)&gt;=$Y122),$AB122,$AA122)))=Milestones!$AB$187),UPPER(TEXT(EDATE($D122,Milestones!$AA$187),"dd mmm yy"))&amp;" "&amp;Milestones!$AB$187&amp;" "&amp;IF(AND(Milestones!$AB$187="FT",Milestones!$AA$187=FT_Y5,EDATE($D122,Milestones!$AA$187)&lt;PolicyEff),1,Milestones!$AC$187)&amp;";  ",""))</f>
        <v/>
      </c>
      <c r="W122" s="0" t="str">
        <f aca="false">IF(OR($A122="",$D122=""),"",IF(AND(EDATE($D122,Milestones!$AA$188)&lt;=AsOfDate,EDATE($D122,Milestones!$AA$188)&gt;=SchemeStart,IF($X122=0,$AD122,IF(AND($Z122&lt;&gt;"",EDATE($D122,Milestones!$AA$188)&gt;=$Z122),$AC122,IF(AND($Y122&lt;&gt;"",EDATE($D122,Milestones!$AA$188)&gt;=$Y122),$AB122,$AA122)))=Milestones!$AB$188),UPPER(TEXT(EDATE($D122,Milestones!$AA$188),"dd mmm yy"))&amp;" "&amp;Milestones!$AB$188&amp;" "&amp;IF(AND(Milestones!$AB$188="FT",Milestones!$AA$188=FT_Y5,EDATE($D122,Milestones!$AA$188)&lt;PolicyEff),1,Milestones!$AC$188)&amp;";  ","")&amp;IF(AND(EDATE($D122,Milestones!$AA$189)&lt;=AsOfDate,EDATE($D122,Milestones!$AA$189)&gt;=SchemeStart,IF($X122=0,$AD122,IF(AND($Z122&lt;&gt;"",EDATE($D122,Milestones!$AA$189)&gt;=$Z122),$AC122,IF(AND($Y122&lt;&gt;"",EDATE($D122,Milestones!$AA$189)&gt;=$Y122),$AB122,$AA122)))=Milestones!$AB$189),UPPER(TEXT(EDATE($D122,Milestones!$AA$189),"dd mmm yy"))&amp;" "&amp;Milestones!$AB$189&amp;" "&amp;IF(AND(Milestones!$AB$189="FT",Milestones!$AA$189=FT_Y5,EDATE($D122,Milestones!$AA$189)&lt;PolicyEff),1,Milestones!$AC$189)&amp;";  ","")&amp;IF(AND(EDATE($D122,Milestones!$AA$190)&lt;=AsOfDate,EDATE($D122,Milestones!$AA$190)&gt;=SchemeStart,IF($X122=0,$AD122,IF(AND($Z122&lt;&gt;"",EDATE($D122,Milestones!$AA$190)&gt;=$Z122),$AC122,IF(AND($Y122&lt;&gt;"",EDATE($D122,Milestones!$AA$190)&gt;=$Y122),$AB122,$AA122)))=Milestones!$AB$190),UPPER(TEXT(EDATE($D122,Milestones!$AA$190),"dd mmm yy"))&amp;" "&amp;Milestones!$AB$190&amp;" "&amp;IF(AND(Milestones!$AB$190="FT",Milestones!$AA$190=FT_Y5,EDATE($D122,Milestones!$AA$190)&lt;PolicyEff),1,Milestones!$AC$190)&amp;";  ","")&amp;IF(AND(EDATE($D122,Milestones!$AA$191)&lt;=AsOfDate,EDATE($D122,Milestones!$AA$191)&gt;=SchemeStart,IF($X122=0,$AD122,IF(AND($Z122&lt;&gt;"",EDATE($D122,Milestones!$AA$191)&gt;=$Z122),$AC122,IF(AND($Y122&lt;&gt;"",EDATE($D122,Milestones!$AA$191)&gt;=$Y122),$AB122,$AA122)))=Milestones!$AB$191),UPPER(TEXT(EDATE($D122,Milestones!$AA$191),"dd mmm yy"))&amp;" "&amp;Milestones!$AB$191&amp;" "&amp;IF(AND(Milestones!$AB$191="FT",Milestones!$AA$191=FT_Y5,EDATE($D122,Milestones!$AA$191)&lt;PolicyEff),1,Milestones!$AC$191)&amp;";  ","")&amp;IF(AND(EDATE($D122,Milestones!$AA$192)&lt;=AsOfDate,EDATE($D122,Milestones!$AA$192)&gt;=SchemeStart,IF($X122=0,$AD122,IF(AND($Z122&lt;&gt;"",EDATE($D122,Milestones!$AA$192)&gt;=$Z122),$AC122,IF(AND($Y122&lt;&gt;"",EDATE($D122,Milestones!$AA$192)&gt;=$Y122),$AB122,$AA122)))=Milestones!$AB$192),UPPER(TEXT(EDATE($D122,Milestones!$AA$192),"dd mmm yy"))&amp;" "&amp;Milestones!$AB$192&amp;" "&amp;IF(AND(Milestones!$AB$192="FT",Milestones!$AA$192=FT_Y5,EDATE($D122,Milestones!$AA$192)&lt;PolicyEff),1,Milestones!$AC$192)&amp;";  ","")&amp;IF(AND(EDATE($D122,Milestones!$AA$193)&lt;=AsOfDate,EDATE($D122,Milestones!$AA$193)&gt;=SchemeStart,IF($X122=0,$AD122,IF(AND($Z122&lt;&gt;"",EDATE($D122,Milestones!$AA$193)&gt;=$Z122),$AC122,IF(AND($Y122&lt;&gt;"",EDATE($D122,Milestones!$AA$193)&gt;=$Y122),$AB122,$AA122)))=Milestones!$AB$193),UPPER(TEXT(EDATE($D122,Milestones!$AA$193),"dd mmm yy"))&amp;" "&amp;Milestones!$AB$193&amp;" "&amp;IF(AND(Milestones!$AB$193="FT",Milestones!$AA$193=FT_Y5,EDATE($D122,Milestones!$AA$193)&lt;PolicyEff),1,Milestones!$AC$193)&amp;";  ","")&amp;IF(AND(EDATE($D122,Milestones!$AA$194)&lt;=AsOfDate,EDATE($D122,Milestones!$AA$194)&gt;=SchemeStart,IF($X122=0,$AD122,IF(AND($Z122&lt;&gt;"",EDATE($D122,Milestones!$AA$194)&gt;=$Z122),$AC122,IF(AND($Y122&lt;&gt;"",EDATE($D122,Milestones!$AA$194)&gt;=$Y122),$AB122,$AA122)))=Milestones!$AB$194),UPPER(TEXT(EDATE($D122,Milestones!$AA$194),"dd mmm yy"))&amp;" "&amp;Milestones!$AB$194&amp;" "&amp;IF(AND(Milestones!$AB$194="FT",Milestones!$AA$194=FT_Y5,EDATE($D122,Milestones!$AA$194)&lt;PolicyEff),1,Milestones!$AC$194)&amp;";  ","")&amp;IF(AND(EDATE($D122,Milestones!$AA$195)&lt;=AsOfDate,EDATE($D122,Milestones!$AA$195)&gt;=SchemeStart,IF($X122=0,$AD122,IF(AND($Z122&lt;&gt;"",EDATE($D122,Milestones!$AA$195)&gt;=$Z122),$AC122,IF(AND($Y122&lt;&gt;"",EDATE($D122,Milestones!$AA$195)&gt;=$Y122),$AB122,$AA122)))=Milestones!$AB$195),UPPER(TEXT(EDATE($D122,Milestones!$AA$195),"dd mmm yy"))&amp;" "&amp;Milestones!$AB$195&amp;" "&amp;IF(AND(Milestones!$AB$195="FT",Milestones!$AA$195=FT_Y5,EDATE($D122,Milestones!$AA$195)&lt;PolicyEff),1,Milestones!$AC$195)&amp;";  ","")&amp;IF(AND(EDATE($D122,Milestones!$AA$196)&lt;=AsOfDate,EDATE($D122,Milestones!$AA$196)&gt;=SchemeStart,IF($X122=0,$AD122,IF(AND($Z122&lt;&gt;"",EDATE($D122,Milestones!$AA$196)&gt;=$Z122),$AC122,IF(AND($Y122&lt;&gt;"",EDATE($D122,Milestones!$AA$196)&gt;=$Y122),$AB122,$AA122)))=Milestones!$AB$196),UPPER(TEXT(EDATE($D122,Milestones!$AA$196),"dd mmm yy"))&amp;" "&amp;Milestones!$AB$196&amp;" "&amp;IF(AND(Milestones!$AB$196="FT",Milestones!$AA$196=FT_Y5,EDATE($D122,Milestones!$AA$196)&lt;PolicyEff),1,Milestones!$AC$196)&amp;";  ","")&amp;IF(AND(EDATE($D122,Milestones!$AA$197)&lt;=AsOfDate,EDATE($D122,Milestones!$AA$197)&gt;=SchemeStart,IF($X122=0,$AD122,IF(AND($Z122&lt;&gt;"",EDATE($D122,Milestones!$AA$197)&gt;=$Z122),$AC122,IF(AND($Y122&lt;&gt;"",EDATE($D122,Milestones!$AA$197)&gt;=$Y122),$AB122,$AA122)))=Milestones!$AB$197),UPPER(TEXT(EDATE($D122,Milestones!$AA$197),"dd mmm yy"))&amp;" "&amp;Milestones!$AB$197&amp;" "&amp;IF(AND(Milestones!$AB$197="FT",Milestones!$AA$197=FT_Y5,EDATE($D122,Milestones!$AA$197)&lt;PolicyEff),1,Milestones!$AC$197)&amp;";  ","")&amp;IF(AND(EDATE($D122,Milestones!$AA$198)&lt;=AsOfDate,EDATE($D122,Milestones!$AA$198)&gt;=SchemeStart,IF($X122=0,$AD122,IF(AND($Z122&lt;&gt;"",EDATE($D122,Milestones!$AA$198)&gt;=$Z122),$AC122,IF(AND($Y122&lt;&gt;"",EDATE($D122,Milestones!$AA$198)&gt;=$Y122),$AB122,$AA122)))=Milestones!$AB$198),UPPER(TEXT(EDATE($D122,Milestones!$AA$198),"dd mmm yy"))&amp;" "&amp;Milestones!$AB$198&amp;" "&amp;IF(AND(Milestones!$AB$198="FT",Milestones!$AA$198=FT_Y5,EDATE($D122,Milestones!$AA$198)&lt;PolicyEff),1,Milestones!$AC$198)&amp;";  ","")&amp;IF(AND(EDATE($D122,Milestones!$AA$199)&lt;=AsOfDate,EDATE($D122,Milestones!$AA$199)&gt;=SchemeStart,IF($X122=0,$AD122,IF(AND($Z122&lt;&gt;"",EDATE($D122,Milestones!$AA$199)&gt;=$Z122),$AC122,IF(AND($Y122&lt;&gt;"",EDATE($D122,Milestones!$AA$199)&gt;=$Y122),$AB122,$AA122)))=Milestones!$AB$199),UPPER(TEXT(EDATE($D122,Milestones!$AA$199),"dd mmm yy"))&amp;" "&amp;Milestones!$AB$199&amp;" "&amp;IF(AND(Milestones!$AB$199="FT",Milestones!$AA$199=FT_Y5,EDATE($D122,Milestones!$AA$199)&lt;PolicyEff),1,Milestones!$AC$199)&amp;";  ",""))</f>
        <v/>
      </c>
      <c r="X122" s="0" t="str">
        <f aca="false">IF(Staff!$A122="","",Staff!$AM122)</f>
        <v/>
      </c>
      <c r="Y122" s="0" t="str">
        <f aca="false">IF(Staff!$A122="","",Staff!$AO122)</f>
        <v/>
      </c>
      <c r="Z122" s="0" t="str">
        <f aca="false">IF(Staff!$A122="","",Staff!$AP122)</f>
        <v/>
      </c>
      <c r="AA122" s="0" t="str">
        <f aca="false">IF(Staff!$A122="","",Staff!$AT122)</f>
        <v/>
      </c>
      <c r="AB122" s="0" t="str">
        <f aca="false">IF(Staff!$A122="","",Staff!$AU122)</f>
        <v/>
      </c>
      <c r="AC122" s="0" t="str">
        <f aca="false">IF(Staff!$A122="","",Staff!$AV122)</f>
        <v/>
      </c>
      <c r="AD122" s="0" t="str">
        <f aca="false">IF(Staff!$A122="","",Staff!$AW122)</f>
        <v/>
      </c>
    </row>
    <row r="123" customFormat="false" ht="15" hidden="false" customHeight="false" outlineLevel="0" collapsed="false">
      <c r="A123" s="16" t="str">
        <f aca="false">IF(Staff!$A123="","",Staff!$A123)</f>
        <v/>
      </c>
      <c r="B123" s="16" t="str">
        <f aca="false">IF(Staff!$A123="","",Staff!$B123)</f>
        <v/>
      </c>
      <c r="C123" s="16" t="str">
        <f aca="false">IF(Staff!$A123="","",Staff!$C123)</f>
        <v/>
      </c>
      <c r="D123" s="14" t="str">
        <f aca="false">IF(Staff!$A123="","",Staff!$AL123)</f>
        <v/>
      </c>
      <c r="E123" s="16" t="str">
        <f aca="false">IF(Staff!$A123="","",Staff!$O123)</f>
        <v/>
      </c>
      <c r="F123" s="16" t="str">
        <f aca="false">IF(E123="","",E123*HoursPerDay)</f>
        <v/>
      </c>
      <c r="G123" s="16" t="str">
        <f aca="false">IF(Staff!$A123="","",Staff!$AE123)</f>
        <v/>
      </c>
      <c r="H123" s="28" t="str">
        <f aca="false">IF($A123="","",I123&amp;J123&amp;K123&amp;L123&amp;M123&amp;N123&amp;O123&amp;P123&amp;Q123&amp;R123&amp;S123&amp;T123&amp;U123&amp;V123&amp;W123)</f>
        <v/>
      </c>
      <c r="I123" s="0" t="str">
        <f aca="false">IF(OR($A123="",$D123=""),"",IF(AND(EDATE($D123,Milestones!$AA$20)&lt;=AsOfDate,EDATE($D123,Milestones!$AA$20)&gt;=SchemeStart,IF($X123=0,$AD123,IF(AND($Z123&lt;&gt;"",EDATE($D123,Milestones!$AA$20)&gt;=$Z123),$AC123,IF(AND($Y123&lt;&gt;"",EDATE($D123,Milestones!$AA$20)&gt;=$Y123),$AB123,$AA123)))=Milestones!$AB$20),UPPER(TEXT(EDATE($D123,Milestones!$AA$20),"dd mmm yy"))&amp;" "&amp;Milestones!$AB$20&amp;" "&amp;IF(AND(Milestones!$AB$20="FT",Milestones!$AA$20=FT_Y5,EDATE($D123,Milestones!$AA$20)&lt;PolicyEff),1,Milestones!$AC$20)&amp;";  ","")&amp;IF(AND(EDATE($D123,Milestones!$AA$21)&lt;=AsOfDate,EDATE($D123,Milestones!$AA$21)&gt;=SchemeStart,IF($X123=0,$AD123,IF(AND($Z123&lt;&gt;"",EDATE($D123,Milestones!$AA$21)&gt;=$Z123),$AC123,IF(AND($Y123&lt;&gt;"",EDATE($D123,Milestones!$AA$21)&gt;=$Y123),$AB123,$AA123)))=Milestones!$AB$21),UPPER(TEXT(EDATE($D123,Milestones!$AA$21),"dd mmm yy"))&amp;" "&amp;Milestones!$AB$21&amp;" "&amp;IF(AND(Milestones!$AB$21="FT",Milestones!$AA$21=FT_Y5,EDATE($D123,Milestones!$AA$21)&lt;PolicyEff),1,Milestones!$AC$21)&amp;";  ","")&amp;IF(AND(EDATE($D123,Milestones!$AA$22)&lt;=AsOfDate,EDATE($D123,Milestones!$AA$22)&gt;=SchemeStart,IF($X123=0,$AD123,IF(AND($Z123&lt;&gt;"",EDATE($D123,Milestones!$AA$22)&gt;=$Z123),$AC123,IF(AND($Y123&lt;&gt;"",EDATE($D123,Milestones!$AA$22)&gt;=$Y123),$AB123,$AA123)))=Milestones!$AB$22),UPPER(TEXT(EDATE($D123,Milestones!$AA$22),"dd mmm yy"))&amp;" "&amp;Milestones!$AB$22&amp;" "&amp;IF(AND(Milestones!$AB$22="FT",Milestones!$AA$22=FT_Y5,EDATE($D123,Milestones!$AA$22)&lt;PolicyEff),1,Milestones!$AC$22)&amp;";  ","")&amp;IF(AND(EDATE($D123,Milestones!$AA$23)&lt;=AsOfDate,EDATE($D123,Milestones!$AA$23)&gt;=SchemeStart,IF($X123=0,$AD123,IF(AND($Z123&lt;&gt;"",EDATE($D123,Milestones!$AA$23)&gt;=$Z123),$AC123,IF(AND($Y123&lt;&gt;"",EDATE($D123,Milestones!$AA$23)&gt;=$Y123),$AB123,$AA123)))=Milestones!$AB$23),UPPER(TEXT(EDATE($D123,Milestones!$AA$23),"dd mmm yy"))&amp;" "&amp;Milestones!$AB$23&amp;" "&amp;IF(AND(Milestones!$AB$23="FT",Milestones!$AA$23=FT_Y5,EDATE($D123,Milestones!$AA$23)&lt;PolicyEff),1,Milestones!$AC$23)&amp;";  ","")&amp;IF(AND(EDATE($D123,Milestones!$AA$24)&lt;=AsOfDate,EDATE($D123,Milestones!$AA$24)&gt;=SchemeStart,IF($X123=0,$AD123,IF(AND($Z123&lt;&gt;"",EDATE($D123,Milestones!$AA$24)&gt;=$Z123),$AC123,IF(AND($Y123&lt;&gt;"",EDATE($D123,Milestones!$AA$24)&gt;=$Y123),$AB123,$AA123)))=Milestones!$AB$24),UPPER(TEXT(EDATE($D123,Milestones!$AA$24),"dd mmm yy"))&amp;" "&amp;Milestones!$AB$24&amp;" "&amp;IF(AND(Milestones!$AB$24="FT",Milestones!$AA$24=FT_Y5,EDATE($D123,Milestones!$AA$24)&lt;PolicyEff),1,Milestones!$AC$24)&amp;";  ","")&amp;IF(AND(EDATE($D123,Milestones!$AA$25)&lt;=AsOfDate,EDATE($D123,Milestones!$AA$25)&gt;=SchemeStart,IF($X123=0,$AD123,IF(AND($Z123&lt;&gt;"",EDATE($D123,Milestones!$AA$25)&gt;=$Z123),$AC123,IF(AND($Y123&lt;&gt;"",EDATE($D123,Milestones!$AA$25)&gt;=$Y123),$AB123,$AA123)))=Milestones!$AB$25),UPPER(TEXT(EDATE($D123,Milestones!$AA$25),"dd mmm yy"))&amp;" "&amp;Milestones!$AB$25&amp;" "&amp;IF(AND(Milestones!$AB$25="FT",Milestones!$AA$25=FT_Y5,EDATE($D123,Milestones!$AA$25)&lt;PolicyEff),1,Milestones!$AC$25)&amp;";  ","")&amp;IF(AND(EDATE($D123,Milestones!$AA$26)&lt;=AsOfDate,EDATE($D123,Milestones!$AA$26)&gt;=SchemeStart,IF($X123=0,$AD123,IF(AND($Z123&lt;&gt;"",EDATE($D123,Milestones!$AA$26)&gt;=$Z123),$AC123,IF(AND($Y123&lt;&gt;"",EDATE($D123,Milestones!$AA$26)&gt;=$Y123),$AB123,$AA123)))=Milestones!$AB$26),UPPER(TEXT(EDATE($D123,Milestones!$AA$26),"dd mmm yy"))&amp;" "&amp;Milestones!$AB$26&amp;" "&amp;IF(AND(Milestones!$AB$26="FT",Milestones!$AA$26=FT_Y5,EDATE($D123,Milestones!$AA$26)&lt;PolicyEff),1,Milestones!$AC$26)&amp;";  ","")&amp;IF(AND(EDATE($D123,Milestones!$AA$27)&lt;=AsOfDate,EDATE($D123,Milestones!$AA$27)&gt;=SchemeStart,IF($X123=0,$AD123,IF(AND($Z123&lt;&gt;"",EDATE($D123,Milestones!$AA$27)&gt;=$Z123),$AC123,IF(AND($Y123&lt;&gt;"",EDATE($D123,Milestones!$AA$27)&gt;=$Y123),$AB123,$AA123)))=Milestones!$AB$27),UPPER(TEXT(EDATE($D123,Milestones!$AA$27),"dd mmm yy"))&amp;" "&amp;Milestones!$AB$27&amp;" "&amp;IF(AND(Milestones!$AB$27="FT",Milestones!$AA$27=FT_Y5,EDATE($D123,Milestones!$AA$27)&lt;PolicyEff),1,Milestones!$AC$27)&amp;";  ","")&amp;IF(AND(EDATE($D123,Milestones!$AA$28)&lt;=AsOfDate,EDATE($D123,Milestones!$AA$28)&gt;=SchemeStart,IF($X123=0,$AD123,IF(AND($Z123&lt;&gt;"",EDATE($D123,Milestones!$AA$28)&gt;=$Z123),$AC123,IF(AND($Y123&lt;&gt;"",EDATE($D123,Milestones!$AA$28)&gt;=$Y123),$AB123,$AA123)))=Milestones!$AB$28),UPPER(TEXT(EDATE($D123,Milestones!$AA$28),"dd mmm yy"))&amp;" "&amp;Milestones!$AB$28&amp;" "&amp;IF(AND(Milestones!$AB$28="FT",Milestones!$AA$28=FT_Y5,EDATE($D123,Milestones!$AA$28)&lt;PolicyEff),1,Milestones!$AC$28)&amp;";  ","")&amp;IF(AND(EDATE($D123,Milestones!$AA$29)&lt;=AsOfDate,EDATE($D123,Milestones!$AA$29)&gt;=SchemeStart,IF($X123=0,$AD123,IF(AND($Z123&lt;&gt;"",EDATE($D123,Milestones!$AA$29)&gt;=$Z123),$AC123,IF(AND($Y123&lt;&gt;"",EDATE($D123,Milestones!$AA$29)&gt;=$Y123),$AB123,$AA123)))=Milestones!$AB$29),UPPER(TEXT(EDATE($D123,Milestones!$AA$29),"dd mmm yy"))&amp;" "&amp;Milestones!$AB$29&amp;" "&amp;IF(AND(Milestones!$AB$29="FT",Milestones!$AA$29=FT_Y5,EDATE($D123,Milestones!$AA$29)&lt;PolicyEff),1,Milestones!$AC$29)&amp;";  ","")&amp;IF(AND(EDATE($D123,Milestones!$AA$30)&lt;=AsOfDate,EDATE($D123,Milestones!$AA$30)&gt;=SchemeStart,IF($X123=0,$AD123,IF(AND($Z123&lt;&gt;"",EDATE($D123,Milestones!$AA$30)&gt;=$Z123),$AC123,IF(AND($Y123&lt;&gt;"",EDATE($D123,Milestones!$AA$30)&gt;=$Y123),$AB123,$AA123)))=Milestones!$AB$30),UPPER(TEXT(EDATE($D123,Milestones!$AA$30),"dd mmm yy"))&amp;" "&amp;Milestones!$AB$30&amp;" "&amp;IF(AND(Milestones!$AB$30="FT",Milestones!$AA$30=FT_Y5,EDATE($D123,Milestones!$AA$30)&lt;PolicyEff),1,Milestones!$AC$30)&amp;";  ","")&amp;IF(AND(EDATE($D123,Milestones!$AA$31)&lt;=AsOfDate,EDATE($D123,Milestones!$AA$31)&gt;=SchemeStart,IF($X123=0,$AD123,IF(AND($Z123&lt;&gt;"",EDATE($D123,Milestones!$AA$31)&gt;=$Z123),$AC123,IF(AND($Y123&lt;&gt;"",EDATE($D123,Milestones!$AA$31)&gt;=$Y123),$AB123,$AA123)))=Milestones!$AB$31),UPPER(TEXT(EDATE($D123,Milestones!$AA$31),"dd mmm yy"))&amp;" "&amp;Milestones!$AB$31&amp;" "&amp;IF(AND(Milestones!$AB$31="FT",Milestones!$AA$31=FT_Y5,EDATE($D123,Milestones!$AA$31)&lt;PolicyEff),1,Milestones!$AC$31)&amp;";  ",""))</f>
        <v/>
      </c>
      <c r="J123" s="0" t="str">
        <f aca="false">IF(OR($A123="",$D123=""),"",IF(AND(EDATE($D123,Milestones!$AA$32)&lt;=AsOfDate,EDATE($D123,Milestones!$AA$32)&gt;=SchemeStart,IF($X123=0,$AD123,IF(AND($Z123&lt;&gt;"",EDATE($D123,Milestones!$AA$32)&gt;=$Z123),$AC123,IF(AND($Y123&lt;&gt;"",EDATE($D123,Milestones!$AA$32)&gt;=$Y123),$AB123,$AA123)))=Milestones!$AB$32),UPPER(TEXT(EDATE($D123,Milestones!$AA$32),"dd mmm yy"))&amp;" "&amp;Milestones!$AB$32&amp;" "&amp;IF(AND(Milestones!$AB$32="FT",Milestones!$AA$32=FT_Y5,EDATE($D123,Milestones!$AA$32)&lt;PolicyEff),1,Milestones!$AC$32)&amp;";  ","")&amp;IF(AND(EDATE($D123,Milestones!$AA$33)&lt;=AsOfDate,EDATE($D123,Milestones!$AA$33)&gt;=SchemeStart,IF($X123=0,$AD123,IF(AND($Z123&lt;&gt;"",EDATE($D123,Milestones!$AA$33)&gt;=$Z123),$AC123,IF(AND($Y123&lt;&gt;"",EDATE($D123,Milestones!$AA$33)&gt;=$Y123),$AB123,$AA123)))=Milestones!$AB$33),UPPER(TEXT(EDATE($D123,Milestones!$AA$33),"dd mmm yy"))&amp;" "&amp;Milestones!$AB$33&amp;" "&amp;IF(AND(Milestones!$AB$33="FT",Milestones!$AA$33=FT_Y5,EDATE($D123,Milestones!$AA$33)&lt;PolicyEff),1,Milestones!$AC$33)&amp;";  ","")&amp;IF(AND(EDATE($D123,Milestones!$AA$34)&lt;=AsOfDate,EDATE($D123,Milestones!$AA$34)&gt;=SchemeStart,IF($X123=0,$AD123,IF(AND($Z123&lt;&gt;"",EDATE($D123,Milestones!$AA$34)&gt;=$Z123),$AC123,IF(AND($Y123&lt;&gt;"",EDATE($D123,Milestones!$AA$34)&gt;=$Y123),$AB123,$AA123)))=Milestones!$AB$34),UPPER(TEXT(EDATE($D123,Milestones!$AA$34),"dd mmm yy"))&amp;" "&amp;Milestones!$AB$34&amp;" "&amp;IF(AND(Milestones!$AB$34="FT",Milestones!$AA$34=FT_Y5,EDATE($D123,Milestones!$AA$34)&lt;PolicyEff),1,Milestones!$AC$34)&amp;";  ","")&amp;IF(AND(EDATE($D123,Milestones!$AA$35)&lt;=AsOfDate,EDATE($D123,Milestones!$AA$35)&gt;=SchemeStart,IF($X123=0,$AD123,IF(AND($Z123&lt;&gt;"",EDATE($D123,Milestones!$AA$35)&gt;=$Z123),$AC123,IF(AND($Y123&lt;&gt;"",EDATE($D123,Milestones!$AA$35)&gt;=$Y123),$AB123,$AA123)))=Milestones!$AB$35),UPPER(TEXT(EDATE($D123,Milestones!$AA$35),"dd mmm yy"))&amp;" "&amp;Milestones!$AB$35&amp;" "&amp;IF(AND(Milestones!$AB$35="FT",Milestones!$AA$35=FT_Y5,EDATE($D123,Milestones!$AA$35)&lt;PolicyEff),1,Milestones!$AC$35)&amp;";  ","")&amp;IF(AND(EDATE($D123,Milestones!$AA$36)&lt;=AsOfDate,EDATE($D123,Milestones!$AA$36)&gt;=SchemeStart,IF($X123=0,$AD123,IF(AND($Z123&lt;&gt;"",EDATE($D123,Milestones!$AA$36)&gt;=$Z123),$AC123,IF(AND($Y123&lt;&gt;"",EDATE($D123,Milestones!$AA$36)&gt;=$Y123),$AB123,$AA123)))=Milestones!$AB$36),UPPER(TEXT(EDATE($D123,Milestones!$AA$36),"dd mmm yy"))&amp;" "&amp;Milestones!$AB$36&amp;" "&amp;IF(AND(Milestones!$AB$36="FT",Milestones!$AA$36=FT_Y5,EDATE($D123,Milestones!$AA$36)&lt;PolicyEff),1,Milestones!$AC$36)&amp;";  ","")&amp;IF(AND(EDATE($D123,Milestones!$AA$37)&lt;=AsOfDate,EDATE($D123,Milestones!$AA$37)&gt;=SchemeStart,IF($X123=0,$AD123,IF(AND($Z123&lt;&gt;"",EDATE($D123,Milestones!$AA$37)&gt;=$Z123),$AC123,IF(AND($Y123&lt;&gt;"",EDATE($D123,Milestones!$AA$37)&gt;=$Y123),$AB123,$AA123)))=Milestones!$AB$37),UPPER(TEXT(EDATE($D123,Milestones!$AA$37),"dd mmm yy"))&amp;" "&amp;Milestones!$AB$37&amp;" "&amp;IF(AND(Milestones!$AB$37="FT",Milestones!$AA$37=FT_Y5,EDATE($D123,Milestones!$AA$37)&lt;PolicyEff),1,Milestones!$AC$37)&amp;";  ","")&amp;IF(AND(EDATE($D123,Milestones!$AA$38)&lt;=AsOfDate,EDATE($D123,Milestones!$AA$38)&gt;=SchemeStart,IF($X123=0,$AD123,IF(AND($Z123&lt;&gt;"",EDATE($D123,Milestones!$AA$38)&gt;=$Z123),$AC123,IF(AND($Y123&lt;&gt;"",EDATE($D123,Milestones!$AA$38)&gt;=$Y123),$AB123,$AA123)))=Milestones!$AB$38),UPPER(TEXT(EDATE($D123,Milestones!$AA$38),"dd mmm yy"))&amp;" "&amp;Milestones!$AB$38&amp;" "&amp;IF(AND(Milestones!$AB$38="FT",Milestones!$AA$38=FT_Y5,EDATE($D123,Milestones!$AA$38)&lt;PolicyEff),1,Milestones!$AC$38)&amp;";  ","")&amp;IF(AND(EDATE($D123,Milestones!$AA$39)&lt;=AsOfDate,EDATE($D123,Milestones!$AA$39)&gt;=SchemeStart,IF($X123=0,$AD123,IF(AND($Z123&lt;&gt;"",EDATE($D123,Milestones!$AA$39)&gt;=$Z123),$AC123,IF(AND($Y123&lt;&gt;"",EDATE($D123,Milestones!$AA$39)&gt;=$Y123),$AB123,$AA123)))=Milestones!$AB$39),UPPER(TEXT(EDATE($D123,Milestones!$AA$39),"dd mmm yy"))&amp;" "&amp;Milestones!$AB$39&amp;" "&amp;IF(AND(Milestones!$AB$39="FT",Milestones!$AA$39=FT_Y5,EDATE($D123,Milestones!$AA$39)&lt;PolicyEff),1,Milestones!$AC$39)&amp;";  ","")&amp;IF(AND(EDATE($D123,Milestones!$AA$40)&lt;=AsOfDate,EDATE($D123,Milestones!$AA$40)&gt;=SchemeStart,IF($X123=0,$AD123,IF(AND($Z123&lt;&gt;"",EDATE($D123,Milestones!$AA$40)&gt;=$Z123),$AC123,IF(AND($Y123&lt;&gt;"",EDATE($D123,Milestones!$AA$40)&gt;=$Y123),$AB123,$AA123)))=Milestones!$AB$40),UPPER(TEXT(EDATE($D123,Milestones!$AA$40),"dd mmm yy"))&amp;" "&amp;Milestones!$AB$40&amp;" "&amp;IF(AND(Milestones!$AB$40="FT",Milestones!$AA$40=FT_Y5,EDATE($D123,Milestones!$AA$40)&lt;PolicyEff),1,Milestones!$AC$40)&amp;";  ","")&amp;IF(AND(EDATE($D123,Milestones!$AA$41)&lt;=AsOfDate,EDATE($D123,Milestones!$AA$41)&gt;=SchemeStart,IF($X123=0,$AD123,IF(AND($Z123&lt;&gt;"",EDATE($D123,Milestones!$AA$41)&gt;=$Z123),$AC123,IF(AND($Y123&lt;&gt;"",EDATE($D123,Milestones!$AA$41)&gt;=$Y123),$AB123,$AA123)))=Milestones!$AB$41),UPPER(TEXT(EDATE($D123,Milestones!$AA$41),"dd mmm yy"))&amp;" "&amp;Milestones!$AB$41&amp;" "&amp;IF(AND(Milestones!$AB$41="FT",Milestones!$AA$41=FT_Y5,EDATE($D123,Milestones!$AA$41)&lt;PolicyEff),1,Milestones!$AC$41)&amp;";  ","")&amp;IF(AND(EDATE($D123,Milestones!$AA$42)&lt;=AsOfDate,EDATE($D123,Milestones!$AA$42)&gt;=SchemeStart,IF($X123=0,$AD123,IF(AND($Z123&lt;&gt;"",EDATE($D123,Milestones!$AA$42)&gt;=$Z123),$AC123,IF(AND($Y123&lt;&gt;"",EDATE($D123,Milestones!$AA$42)&gt;=$Y123),$AB123,$AA123)))=Milestones!$AB$42),UPPER(TEXT(EDATE($D123,Milestones!$AA$42),"dd mmm yy"))&amp;" "&amp;Milestones!$AB$42&amp;" "&amp;IF(AND(Milestones!$AB$42="FT",Milestones!$AA$42=FT_Y5,EDATE($D123,Milestones!$AA$42)&lt;PolicyEff),1,Milestones!$AC$42)&amp;";  ","")&amp;IF(AND(EDATE($D123,Milestones!$AA$43)&lt;=AsOfDate,EDATE($D123,Milestones!$AA$43)&gt;=SchemeStart,IF($X123=0,$AD123,IF(AND($Z123&lt;&gt;"",EDATE($D123,Milestones!$AA$43)&gt;=$Z123),$AC123,IF(AND($Y123&lt;&gt;"",EDATE($D123,Milestones!$AA$43)&gt;=$Y123),$AB123,$AA123)))=Milestones!$AB$43),UPPER(TEXT(EDATE($D123,Milestones!$AA$43),"dd mmm yy"))&amp;" "&amp;Milestones!$AB$43&amp;" "&amp;IF(AND(Milestones!$AB$43="FT",Milestones!$AA$43=FT_Y5,EDATE($D123,Milestones!$AA$43)&lt;PolicyEff),1,Milestones!$AC$43)&amp;";  ",""))</f>
        <v/>
      </c>
      <c r="K123" s="0" t="str">
        <f aca="false">IF(OR($A123="",$D123=""),"",IF(AND(EDATE($D123,Milestones!$AA$44)&lt;=AsOfDate,EDATE($D123,Milestones!$AA$44)&gt;=SchemeStart,IF($X123=0,$AD123,IF(AND($Z123&lt;&gt;"",EDATE($D123,Milestones!$AA$44)&gt;=$Z123),$AC123,IF(AND($Y123&lt;&gt;"",EDATE($D123,Milestones!$AA$44)&gt;=$Y123),$AB123,$AA123)))=Milestones!$AB$44),UPPER(TEXT(EDATE($D123,Milestones!$AA$44),"dd mmm yy"))&amp;" "&amp;Milestones!$AB$44&amp;" "&amp;IF(AND(Milestones!$AB$44="FT",Milestones!$AA$44=FT_Y5,EDATE($D123,Milestones!$AA$44)&lt;PolicyEff),1,Milestones!$AC$44)&amp;";  ","")&amp;IF(AND(EDATE($D123,Milestones!$AA$45)&lt;=AsOfDate,EDATE($D123,Milestones!$AA$45)&gt;=SchemeStart,IF($X123=0,$AD123,IF(AND($Z123&lt;&gt;"",EDATE($D123,Milestones!$AA$45)&gt;=$Z123),$AC123,IF(AND($Y123&lt;&gt;"",EDATE($D123,Milestones!$AA$45)&gt;=$Y123),$AB123,$AA123)))=Milestones!$AB$45),UPPER(TEXT(EDATE($D123,Milestones!$AA$45),"dd mmm yy"))&amp;" "&amp;Milestones!$AB$45&amp;" "&amp;IF(AND(Milestones!$AB$45="FT",Milestones!$AA$45=FT_Y5,EDATE($D123,Milestones!$AA$45)&lt;PolicyEff),1,Milestones!$AC$45)&amp;";  ","")&amp;IF(AND(EDATE($D123,Milestones!$AA$46)&lt;=AsOfDate,EDATE($D123,Milestones!$AA$46)&gt;=SchemeStart,IF($X123=0,$AD123,IF(AND($Z123&lt;&gt;"",EDATE($D123,Milestones!$AA$46)&gt;=$Z123),$AC123,IF(AND($Y123&lt;&gt;"",EDATE($D123,Milestones!$AA$46)&gt;=$Y123),$AB123,$AA123)))=Milestones!$AB$46),UPPER(TEXT(EDATE($D123,Milestones!$AA$46),"dd mmm yy"))&amp;" "&amp;Milestones!$AB$46&amp;" "&amp;IF(AND(Milestones!$AB$46="FT",Milestones!$AA$46=FT_Y5,EDATE($D123,Milestones!$AA$46)&lt;PolicyEff),1,Milestones!$AC$46)&amp;";  ","")&amp;IF(AND(EDATE($D123,Milestones!$AA$47)&lt;=AsOfDate,EDATE($D123,Milestones!$AA$47)&gt;=SchemeStart,IF($X123=0,$AD123,IF(AND($Z123&lt;&gt;"",EDATE($D123,Milestones!$AA$47)&gt;=$Z123),$AC123,IF(AND($Y123&lt;&gt;"",EDATE($D123,Milestones!$AA$47)&gt;=$Y123),$AB123,$AA123)))=Milestones!$AB$47),UPPER(TEXT(EDATE($D123,Milestones!$AA$47),"dd mmm yy"))&amp;" "&amp;Milestones!$AB$47&amp;" "&amp;IF(AND(Milestones!$AB$47="FT",Milestones!$AA$47=FT_Y5,EDATE($D123,Milestones!$AA$47)&lt;PolicyEff),1,Milestones!$AC$47)&amp;";  ","")&amp;IF(AND(EDATE($D123,Milestones!$AA$48)&lt;=AsOfDate,EDATE($D123,Milestones!$AA$48)&gt;=SchemeStart,IF($X123=0,$AD123,IF(AND($Z123&lt;&gt;"",EDATE($D123,Milestones!$AA$48)&gt;=$Z123),$AC123,IF(AND($Y123&lt;&gt;"",EDATE($D123,Milestones!$AA$48)&gt;=$Y123),$AB123,$AA123)))=Milestones!$AB$48),UPPER(TEXT(EDATE($D123,Milestones!$AA$48),"dd mmm yy"))&amp;" "&amp;Milestones!$AB$48&amp;" "&amp;IF(AND(Milestones!$AB$48="FT",Milestones!$AA$48=FT_Y5,EDATE($D123,Milestones!$AA$48)&lt;PolicyEff),1,Milestones!$AC$48)&amp;";  ","")&amp;IF(AND(EDATE($D123,Milestones!$AA$49)&lt;=AsOfDate,EDATE($D123,Milestones!$AA$49)&gt;=SchemeStart,IF($X123=0,$AD123,IF(AND($Z123&lt;&gt;"",EDATE($D123,Milestones!$AA$49)&gt;=$Z123),$AC123,IF(AND($Y123&lt;&gt;"",EDATE($D123,Milestones!$AA$49)&gt;=$Y123),$AB123,$AA123)))=Milestones!$AB$49),UPPER(TEXT(EDATE($D123,Milestones!$AA$49),"dd mmm yy"))&amp;" "&amp;Milestones!$AB$49&amp;" "&amp;IF(AND(Milestones!$AB$49="FT",Milestones!$AA$49=FT_Y5,EDATE($D123,Milestones!$AA$49)&lt;PolicyEff),1,Milestones!$AC$49)&amp;";  ","")&amp;IF(AND(EDATE($D123,Milestones!$AA$50)&lt;=AsOfDate,EDATE($D123,Milestones!$AA$50)&gt;=SchemeStart,IF($X123=0,$AD123,IF(AND($Z123&lt;&gt;"",EDATE($D123,Milestones!$AA$50)&gt;=$Z123),$AC123,IF(AND($Y123&lt;&gt;"",EDATE($D123,Milestones!$AA$50)&gt;=$Y123),$AB123,$AA123)))=Milestones!$AB$50),UPPER(TEXT(EDATE($D123,Milestones!$AA$50),"dd mmm yy"))&amp;" "&amp;Milestones!$AB$50&amp;" "&amp;IF(AND(Milestones!$AB$50="FT",Milestones!$AA$50=FT_Y5,EDATE($D123,Milestones!$AA$50)&lt;PolicyEff),1,Milestones!$AC$50)&amp;";  ","")&amp;IF(AND(EDATE($D123,Milestones!$AA$51)&lt;=AsOfDate,EDATE($D123,Milestones!$AA$51)&gt;=SchemeStart,IF($X123=0,$AD123,IF(AND($Z123&lt;&gt;"",EDATE($D123,Milestones!$AA$51)&gt;=$Z123),$AC123,IF(AND($Y123&lt;&gt;"",EDATE($D123,Milestones!$AA$51)&gt;=$Y123),$AB123,$AA123)))=Milestones!$AB$51),UPPER(TEXT(EDATE($D123,Milestones!$AA$51),"dd mmm yy"))&amp;" "&amp;Milestones!$AB$51&amp;" "&amp;IF(AND(Milestones!$AB$51="FT",Milestones!$AA$51=FT_Y5,EDATE($D123,Milestones!$AA$51)&lt;PolicyEff),1,Milestones!$AC$51)&amp;";  ","")&amp;IF(AND(EDATE($D123,Milestones!$AA$52)&lt;=AsOfDate,EDATE($D123,Milestones!$AA$52)&gt;=SchemeStart,IF($X123=0,$AD123,IF(AND($Z123&lt;&gt;"",EDATE($D123,Milestones!$AA$52)&gt;=$Z123),$AC123,IF(AND($Y123&lt;&gt;"",EDATE($D123,Milestones!$AA$52)&gt;=$Y123),$AB123,$AA123)))=Milestones!$AB$52),UPPER(TEXT(EDATE($D123,Milestones!$AA$52),"dd mmm yy"))&amp;" "&amp;Milestones!$AB$52&amp;" "&amp;IF(AND(Milestones!$AB$52="FT",Milestones!$AA$52=FT_Y5,EDATE($D123,Milestones!$AA$52)&lt;PolicyEff),1,Milestones!$AC$52)&amp;";  ","")&amp;IF(AND(EDATE($D123,Milestones!$AA$53)&lt;=AsOfDate,EDATE($D123,Milestones!$AA$53)&gt;=SchemeStart,IF($X123=0,$AD123,IF(AND($Z123&lt;&gt;"",EDATE($D123,Milestones!$AA$53)&gt;=$Z123),$AC123,IF(AND($Y123&lt;&gt;"",EDATE($D123,Milestones!$AA$53)&gt;=$Y123),$AB123,$AA123)))=Milestones!$AB$53),UPPER(TEXT(EDATE($D123,Milestones!$AA$53),"dd mmm yy"))&amp;" "&amp;Milestones!$AB$53&amp;" "&amp;IF(AND(Milestones!$AB$53="FT",Milestones!$AA$53=FT_Y5,EDATE($D123,Milestones!$AA$53)&lt;PolicyEff),1,Milestones!$AC$53)&amp;";  ","")&amp;IF(AND(EDATE($D123,Milestones!$AA$54)&lt;=AsOfDate,EDATE($D123,Milestones!$AA$54)&gt;=SchemeStart,IF($X123=0,$AD123,IF(AND($Z123&lt;&gt;"",EDATE($D123,Milestones!$AA$54)&gt;=$Z123),$AC123,IF(AND($Y123&lt;&gt;"",EDATE($D123,Milestones!$AA$54)&gt;=$Y123),$AB123,$AA123)))=Milestones!$AB$54),UPPER(TEXT(EDATE($D123,Milestones!$AA$54),"dd mmm yy"))&amp;" "&amp;Milestones!$AB$54&amp;" "&amp;IF(AND(Milestones!$AB$54="FT",Milestones!$AA$54=FT_Y5,EDATE($D123,Milestones!$AA$54)&lt;PolicyEff),1,Milestones!$AC$54)&amp;";  ","")&amp;IF(AND(EDATE($D123,Milestones!$AA$55)&lt;=AsOfDate,EDATE($D123,Milestones!$AA$55)&gt;=SchemeStart,IF($X123=0,$AD123,IF(AND($Z123&lt;&gt;"",EDATE($D123,Milestones!$AA$55)&gt;=$Z123),$AC123,IF(AND($Y123&lt;&gt;"",EDATE($D123,Milestones!$AA$55)&gt;=$Y123),$AB123,$AA123)))=Milestones!$AB$55),UPPER(TEXT(EDATE($D123,Milestones!$AA$55),"dd mmm yy"))&amp;" "&amp;Milestones!$AB$55&amp;" "&amp;IF(AND(Milestones!$AB$55="FT",Milestones!$AA$55=FT_Y5,EDATE($D123,Milestones!$AA$55)&lt;PolicyEff),1,Milestones!$AC$55)&amp;";  ",""))</f>
        <v/>
      </c>
      <c r="L123" s="0" t="str">
        <f aca="false">IF(OR($A123="",$D123=""),"",IF(AND(EDATE($D123,Milestones!$AA$56)&lt;=AsOfDate,EDATE($D123,Milestones!$AA$56)&gt;=SchemeStart,IF($X123=0,$AD123,IF(AND($Z123&lt;&gt;"",EDATE($D123,Milestones!$AA$56)&gt;=$Z123),$AC123,IF(AND($Y123&lt;&gt;"",EDATE($D123,Milestones!$AA$56)&gt;=$Y123),$AB123,$AA123)))=Milestones!$AB$56),UPPER(TEXT(EDATE($D123,Milestones!$AA$56),"dd mmm yy"))&amp;" "&amp;Milestones!$AB$56&amp;" "&amp;IF(AND(Milestones!$AB$56="FT",Milestones!$AA$56=FT_Y5,EDATE($D123,Milestones!$AA$56)&lt;PolicyEff),1,Milestones!$AC$56)&amp;";  ","")&amp;IF(AND(EDATE($D123,Milestones!$AA$57)&lt;=AsOfDate,EDATE($D123,Milestones!$AA$57)&gt;=SchemeStart,IF($X123=0,$AD123,IF(AND($Z123&lt;&gt;"",EDATE($D123,Milestones!$AA$57)&gt;=$Z123),$AC123,IF(AND($Y123&lt;&gt;"",EDATE($D123,Milestones!$AA$57)&gt;=$Y123),$AB123,$AA123)))=Milestones!$AB$57),UPPER(TEXT(EDATE($D123,Milestones!$AA$57),"dd mmm yy"))&amp;" "&amp;Milestones!$AB$57&amp;" "&amp;IF(AND(Milestones!$AB$57="FT",Milestones!$AA$57=FT_Y5,EDATE($D123,Milestones!$AA$57)&lt;PolicyEff),1,Milestones!$AC$57)&amp;";  ","")&amp;IF(AND(EDATE($D123,Milestones!$AA$58)&lt;=AsOfDate,EDATE($D123,Milestones!$AA$58)&gt;=SchemeStart,IF($X123=0,$AD123,IF(AND($Z123&lt;&gt;"",EDATE($D123,Milestones!$AA$58)&gt;=$Z123),$AC123,IF(AND($Y123&lt;&gt;"",EDATE($D123,Milestones!$AA$58)&gt;=$Y123),$AB123,$AA123)))=Milestones!$AB$58),UPPER(TEXT(EDATE($D123,Milestones!$AA$58),"dd mmm yy"))&amp;" "&amp;Milestones!$AB$58&amp;" "&amp;IF(AND(Milestones!$AB$58="FT",Milestones!$AA$58=FT_Y5,EDATE($D123,Milestones!$AA$58)&lt;PolicyEff),1,Milestones!$AC$58)&amp;";  ","")&amp;IF(AND(EDATE($D123,Milestones!$AA$59)&lt;=AsOfDate,EDATE($D123,Milestones!$AA$59)&gt;=SchemeStart,IF($X123=0,$AD123,IF(AND($Z123&lt;&gt;"",EDATE($D123,Milestones!$AA$59)&gt;=$Z123),$AC123,IF(AND($Y123&lt;&gt;"",EDATE($D123,Milestones!$AA$59)&gt;=$Y123),$AB123,$AA123)))=Milestones!$AB$59),UPPER(TEXT(EDATE($D123,Milestones!$AA$59),"dd mmm yy"))&amp;" "&amp;Milestones!$AB$59&amp;" "&amp;IF(AND(Milestones!$AB$59="FT",Milestones!$AA$59=FT_Y5,EDATE($D123,Milestones!$AA$59)&lt;PolicyEff),1,Milestones!$AC$59)&amp;";  ","")&amp;IF(AND(EDATE($D123,Milestones!$AA$60)&lt;=AsOfDate,EDATE($D123,Milestones!$AA$60)&gt;=SchemeStart,IF($X123=0,$AD123,IF(AND($Z123&lt;&gt;"",EDATE($D123,Milestones!$AA$60)&gt;=$Z123),$AC123,IF(AND($Y123&lt;&gt;"",EDATE($D123,Milestones!$AA$60)&gt;=$Y123),$AB123,$AA123)))=Milestones!$AB$60),UPPER(TEXT(EDATE($D123,Milestones!$AA$60),"dd mmm yy"))&amp;" "&amp;Milestones!$AB$60&amp;" "&amp;IF(AND(Milestones!$AB$60="FT",Milestones!$AA$60=FT_Y5,EDATE($D123,Milestones!$AA$60)&lt;PolicyEff),1,Milestones!$AC$60)&amp;";  ","")&amp;IF(AND(EDATE($D123,Milestones!$AA$61)&lt;=AsOfDate,EDATE($D123,Milestones!$AA$61)&gt;=SchemeStart,IF($X123=0,$AD123,IF(AND($Z123&lt;&gt;"",EDATE($D123,Milestones!$AA$61)&gt;=$Z123),$AC123,IF(AND($Y123&lt;&gt;"",EDATE($D123,Milestones!$AA$61)&gt;=$Y123),$AB123,$AA123)))=Milestones!$AB$61),UPPER(TEXT(EDATE($D123,Milestones!$AA$61),"dd mmm yy"))&amp;" "&amp;Milestones!$AB$61&amp;" "&amp;IF(AND(Milestones!$AB$61="FT",Milestones!$AA$61=FT_Y5,EDATE($D123,Milestones!$AA$61)&lt;PolicyEff),1,Milestones!$AC$61)&amp;";  ","")&amp;IF(AND(EDATE($D123,Milestones!$AA$62)&lt;=AsOfDate,EDATE($D123,Milestones!$AA$62)&gt;=SchemeStart,IF($X123=0,$AD123,IF(AND($Z123&lt;&gt;"",EDATE($D123,Milestones!$AA$62)&gt;=$Z123),$AC123,IF(AND($Y123&lt;&gt;"",EDATE($D123,Milestones!$AA$62)&gt;=$Y123),$AB123,$AA123)))=Milestones!$AB$62),UPPER(TEXT(EDATE($D123,Milestones!$AA$62),"dd mmm yy"))&amp;" "&amp;Milestones!$AB$62&amp;" "&amp;IF(AND(Milestones!$AB$62="FT",Milestones!$AA$62=FT_Y5,EDATE($D123,Milestones!$AA$62)&lt;PolicyEff),1,Milestones!$AC$62)&amp;";  ","")&amp;IF(AND(EDATE($D123,Milestones!$AA$63)&lt;=AsOfDate,EDATE($D123,Milestones!$AA$63)&gt;=SchemeStart,IF($X123=0,$AD123,IF(AND($Z123&lt;&gt;"",EDATE($D123,Milestones!$AA$63)&gt;=$Z123),$AC123,IF(AND($Y123&lt;&gt;"",EDATE($D123,Milestones!$AA$63)&gt;=$Y123),$AB123,$AA123)))=Milestones!$AB$63),UPPER(TEXT(EDATE($D123,Milestones!$AA$63),"dd mmm yy"))&amp;" "&amp;Milestones!$AB$63&amp;" "&amp;IF(AND(Milestones!$AB$63="FT",Milestones!$AA$63=FT_Y5,EDATE($D123,Milestones!$AA$63)&lt;PolicyEff),1,Milestones!$AC$63)&amp;";  ","")&amp;IF(AND(EDATE($D123,Milestones!$AA$64)&lt;=AsOfDate,EDATE($D123,Milestones!$AA$64)&gt;=SchemeStart,IF($X123=0,$AD123,IF(AND($Z123&lt;&gt;"",EDATE($D123,Milestones!$AA$64)&gt;=$Z123),$AC123,IF(AND($Y123&lt;&gt;"",EDATE($D123,Milestones!$AA$64)&gt;=$Y123),$AB123,$AA123)))=Milestones!$AB$64),UPPER(TEXT(EDATE($D123,Milestones!$AA$64),"dd mmm yy"))&amp;" "&amp;Milestones!$AB$64&amp;" "&amp;IF(AND(Milestones!$AB$64="FT",Milestones!$AA$64=FT_Y5,EDATE($D123,Milestones!$AA$64)&lt;PolicyEff),1,Milestones!$AC$64)&amp;";  ","")&amp;IF(AND(EDATE($D123,Milestones!$AA$65)&lt;=AsOfDate,EDATE($D123,Milestones!$AA$65)&gt;=SchemeStart,IF($X123=0,$AD123,IF(AND($Z123&lt;&gt;"",EDATE($D123,Milestones!$AA$65)&gt;=$Z123),$AC123,IF(AND($Y123&lt;&gt;"",EDATE($D123,Milestones!$AA$65)&gt;=$Y123),$AB123,$AA123)))=Milestones!$AB$65),UPPER(TEXT(EDATE($D123,Milestones!$AA$65),"dd mmm yy"))&amp;" "&amp;Milestones!$AB$65&amp;" "&amp;IF(AND(Milestones!$AB$65="FT",Milestones!$AA$65=FT_Y5,EDATE($D123,Milestones!$AA$65)&lt;PolicyEff),1,Milestones!$AC$65)&amp;";  ","")&amp;IF(AND(EDATE($D123,Milestones!$AA$66)&lt;=AsOfDate,EDATE($D123,Milestones!$AA$66)&gt;=SchemeStart,IF($X123=0,$AD123,IF(AND($Z123&lt;&gt;"",EDATE($D123,Milestones!$AA$66)&gt;=$Z123),$AC123,IF(AND($Y123&lt;&gt;"",EDATE($D123,Milestones!$AA$66)&gt;=$Y123),$AB123,$AA123)))=Milestones!$AB$66),UPPER(TEXT(EDATE($D123,Milestones!$AA$66),"dd mmm yy"))&amp;" "&amp;Milestones!$AB$66&amp;" "&amp;IF(AND(Milestones!$AB$66="FT",Milestones!$AA$66=FT_Y5,EDATE($D123,Milestones!$AA$66)&lt;PolicyEff),1,Milestones!$AC$66)&amp;";  ","")&amp;IF(AND(EDATE($D123,Milestones!$AA$67)&lt;=AsOfDate,EDATE($D123,Milestones!$AA$67)&gt;=SchemeStart,IF($X123=0,$AD123,IF(AND($Z123&lt;&gt;"",EDATE($D123,Milestones!$AA$67)&gt;=$Z123),$AC123,IF(AND($Y123&lt;&gt;"",EDATE($D123,Milestones!$AA$67)&gt;=$Y123),$AB123,$AA123)))=Milestones!$AB$67),UPPER(TEXT(EDATE($D123,Milestones!$AA$67),"dd mmm yy"))&amp;" "&amp;Milestones!$AB$67&amp;" "&amp;IF(AND(Milestones!$AB$67="FT",Milestones!$AA$67=FT_Y5,EDATE($D123,Milestones!$AA$67)&lt;PolicyEff),1,Milestones!$AC$67)&amp;";  ",""))</f>
        <v/>
      </c>
      <c r="M123" s="0" t="str">
        <f aca="false">IF(OR($A123="",$D123=""),"",IF(AND(EDATE($D123,Milestones!$AA$68)&lt;=AsOfDate,EDATE($D123,Milestones!$AA$68)&gt;=SchemeStart,IF($X123=0,$AD123,IF(AND($Z123&lt;&gt;"",EDATE($D123,Milestones!$AA$68)&gt;=$Z123),$AC123,IF(AND($Y123&lt;&gt;"",EDATE($D123,Milestones!$AA$68)&gt;=$Y123),$AB123,$AA123)))=Milestones!$AB$68),UPPER(TEXT(EDATE($D123,Milestones!$AA$68),"dd mmm yy"))&amp;" "&amp;Milestones!$AB$68&amp;" "&amp;IF(AND(Milestones!$AB$68="FT",Milestones!$AA$68=FT_Y5,EDATE($D123,Milestones!$AA$68)&lt;PolicyEff),1,Milestones!$AC$68)&amp;";  ","")&amp;IF(AND(EDATE($D123,Milestones!$AA$69)&lt;=AsOfDate,EDATE($D123,Milestones!$AA$69)&gt;=SchemeStart,IF($X123=0,$AD123,IF(AND($Z123&lt;&gt;"",EDATE($D123,Milestones!$AA$69)&gt;=$Z123),$AC123,IF(AND($Y123&lt;&gt;"",EDATE($D123,Milestones!$AA$69)&gt;=$Y123),$AB123,$AA123)))=Milestones!$AB$69),UPPER(TEXT(EDATE($D123,Milestones!$AA$69),"dd mmm yy"))&amp;" "&amp;Milestones!$AB$69&amp;" "&amp;IF(AND(Milestones!$AB$69="FT",Milestones!$AA$69=FT_Y5,EDATE($D123,Milestones!$AA$69)&lt;PolicyEff),1,Milestones!$AC$69)&amp;";  ","")&amp;IF(AND(EDATE($D123,Milestones!$AA$70)&lt;=AsOfDate,EDATE($D123,Milestones!$AA$70)&gt;=SchemeStart,IF($X123=0,$AD123,IF(AND($Z123&lt;&gt;"",EDATE($D123,Milestones!$AA$70)&gt;=$Z123),$AC123,IF(AND($Y123&lt;&gt;"",EDATE($D123,Milestones!$AA$70)&gt;=$Y123),$AB123,$AA123)))=Milestones!$AB$70),UPPER(TEXT(EDATE($D123,Milestones!$AA$70),"dd mmm yy"))&amp;" "&amp;Milestones!$AB$70&amp;" "&amp;IF(AND(Milestones!$AB$70="FT",Milestones!$AA$70=FT_Y5,EDATE($D123,Milestones!$AA$70)&lt;PolicyEff),1,Milestones!$AC$70)&amp;";  ","")&amp;IF(AND(EDATE($D123,Milestones!$AA$71)&lt;=AsOfDate,EDATE($D123,Milestones!$AA$71)&gt;=SchemeStart,IF($X123=0,$AD123,IF(AND($Z123&lt;&gt;"",EDATE($D123,Milestones!$AA$71)&gt;=$Z123),$AC123,IF(AND($Y123&lt;&gt;"",EDATE($D123,Milestones!$AA$71)&gt;=$Y123),$AB123,$AA123)))=Milestones!$AB$71),UPPER(TEXT(EDATE($D123,Milestones!$AA$71),"dd mmm yy"))&amp;" "&amp;Milestones!$AB$71&amp;" "&amp;IF(AND(Milestones!$AB$71="FT",Milestones!$AA$71=FT_Y5,EDATE($D123,Milestones!$AA$71)&lt;PolicyEff),1,Milestones!$AC$71)&amp;";  ","")&amp;IF(AND(EDATE($D123,Milestones!$AA$72)&lt;=AsOfDate,EDATE($D123,Milestones!$AA$72)&gt;=SchemeStart,IF($X123=0,$AD123,IF(AND($Z123&lt;&gt;"",EDATE($D123,Milestones!$AA$72)&gt;=$Z123),$AC123,IF(AND($Y123&lt;&gt;"",EDATE($D123,Milestones!$AA$72)&gt;=$Y123),$AB123,$AA123)))=Milestones!$AB$72),UPPER(TEXT(EDATE($D123,Milestones!$AA$72),"dd mmm yy"))&amp;" "&amp;Milestones!$AB$72&amp;" "&amp;IF(AND(Milestones!$AB$72="FT",Milestones!$AA$72=FT_Y5,EDATE($D123,Milestones!$AA$72)&lt;PolicyEff),1,Milestones!$AC$72)&amp;";  ","")&amp;IF(AND(EDATE($D123,Milestones!$AA$73)&lt;=AsOfDate,EDATE($D123,Milestones!$AA$73)&gt;=SchemeStart,IF($X123=0,$AD123,IF(AND($Z123&lt;&gt;"",EDATE($D123,Milestones!$AA$73)&gt;=$Z123),$AC123,IF(AND($Y123&lt;&gt;"",EDATE($D123,Milestones!$AA$73)&gt;=$Y123),$AB123,$AA123)))=Milestones!$AB$73),UPPER(TEXT(EDATE($D123,Milestones!$AA$73),"dd mmm yy"))&amp;" "&amp;Milestones!$AB$73&amp;" "&amp;IF(AND(Milestones!$AB$73="FT",Milestones!$AA$73=FT_Y5,EDATE($D123,Milestones!$AA$73)&lt;PolicyEff),1,Milestones!$AC$73)&amp;";  ","")&amp;IF(AND(EDATE($D123,Milestones!$AA$74)&lt;=AsOfDate,EDATE($D123,Milestones!$AA$74)&gt;=SchemeStart,IF($X123=0,$AD123,IF(AND($Z123&lt;&gt;"",EDATE($D123,Milestones!$AA$74)&gt;=$Z123),$AC123,IF(AND($Y123&lt;&gt;"",EDATE($D123,Milestones!$AA$74)&gt;=$Y123),$AB123,$AA123)))=Milestones!$AB$74),UPPER(TEXT(EDATE($D123,Milestones!$AA$74),"dd mmm yy"))&amp;" "&amp;Milestones!$AB$74&amp;" "&amp;IF(AND(Milestones!$AB$74="FT",Milestones!$AA$74=FT_Y5,EDATE($D123,Milestones!$AA$74)&lt;PolicyEff),1,Milestones!$AC$74)&amp;";  ","")&amp;IF(AND(EDATE($D123,Milestones!$AA$75)&lt;=AsOfDate,EDATE($D123,Milestones!$AA$75)&gt;=SchemeStart,IF($X123=0,$AD123,IF(AND($Z123&lt;&gt;"",EDATE($D123,Milestones!$AA$75)&gt;=$Z123),$AC123,IF(AND($Y123&lt;&gt;"",EDATE($D123,Milestones!$AA$75)&gt;=$Y123),$AB123,$AA123)))=Milestones!$AB$75),UPPER(TEXT(EDATE($D123,Milestones!$AA$75),"dd mmm yy"))&amp;" "&amp;Milestones!$AB$75&amp;" "&amp;IF(AND(Milestones!$AB$75="FT",Milestones!$AA$75=FT_Y5,EDATE($D123,Milestones!$AA$75)&lt;PolicyEff),1,Milestones!$AC$75)&amp;";  ","")&amp;IF(AND(EDATE($D123,Milestones!$AA$76)&lt;=AsOfDate,EDATE($D123,Milestones!$AA$76)&gt;=SchemeStart,IF($X123=0,$AD123,IF(AND($Z123&lt;&gt;"",EDATE($D123,Milestones!$AA$76)&gt;=$Z123),$AC123,IF(AND($Y123&lt;&gt;"",EDATE($D123,Milestones!$AA$76)&gt;=$Y123),$AB123,$AA123)))=Milestones!$AB$76),UPPER(TEXT(EDATE($D123,Milestones!$AA$76),"dd mmm yy"))&amp;" "&amp;Milestones!$AB$76&amp;" "&amp;IF(AND(Milestones!$AB$76="FT",Milestones!$AA$76=FT_Y5,EDATE($D123,Milestones!$AA$76)&lt;PolicyEff),1,Milestones!$AC$76)&amp;";  ","")&amp;IF(AND(EDATE($D123,Milestones!$AA$77)&lt;=AsOfDate,EDATE($D123,Milestones!$AA$77)&gt;=SchemeStart,IF($X123=0,$AD123,IF(AND($Z123&lt;&gt;"",EDATE($D123,Milestones!$AA$77)&gt;=$Z123),$AC123,IF(AND($Y123&lt;&gt;"",EDATE($D123,Milestones!$AA$77)&gt;=$Y123),$AB123,$AA123)))=Milestones!$AB$77),UPPER(TEXT(EDATE($D123,Milestones!$AA$77),"dd mmm yy"))&amp;" "&amp;Milestones!$AB$77&amp;" "&amp;IF(AND(Milestones!$AB$77="FT",Milestones!$AA$77=FT_Y5,EDATE($D123,Milestones!$AA$77)&lt;PolicyEff),1,Milestones!$AC$77)&amp;";  ","")&amp;IF(AND(EDATE($D123,Milestones!$AA$78)&lt;=AsOfDate,EDATE($D123,Milestones!$AA$78)&gt;=SchemeStart,IF($X123=0,$AD123,IF(AND($Z123&lt;&gt;"",EDATE($D123,Milestones!$AA$78)&gt;=$Z123),$AC123,IF(AND($Y123&lt;&gt;"",EDATE($D123,Milestones!$AA$78)&gt;=$Y123),$AB123,$AA123)))=Milestones!$AB$78),UPPER(TEXT(EDATE($D123,Milestones!$AA$78),"dd mmm yy"))&amp;" "&amp;Milestones!$AB$78&amp;" "&amp;IF(AND(Milestones!$AB$78="FT",Milestones!$AA$78=FT_Y5,EDATE($D123,Milestones!$AA$78)&lt;PolicyEff),1,Milestones!$AC$78)&amp;";  ","")&amp;IF(AND(EDATE($D123,Milestones!$AA$79)&lt;=AsOfDate,EDATE($D123,Milestones!$AA$79)&gt;=SchemeStart,IF($X123=0,$AD123,IF(AND($Z123&lt;&gt;"",EDATE($D123,Milestones!$AA$79)&gt;=$Z123),$AC123,IF(AND($Y123&lt;&gt;"",EDATE($D123,Milestones!$AA$79)&gt;=$Y123),$AB123,$AA123)))=Milestones!$AB$79),UPPER(TEXT(EDATE($D123,Milestones!$AA$79),"dd mmm yy"))&amp;" "&amp;Milestones!$AB$79&amp;" "&amp;IF(AND(Milestones!$AB$79="FT",Milestones!$AA$79=FT_Y5,EDATE($D123,Milestones!$AA$79)&lt;PolicyEff),1,Milestones!$AC$79)&amp;";  ",""))</f>
        <v/>
      </c>
      <c r="N123" s="0" t="str">
        <f aca="false">IF(OR($A123="",$D123=""),"",IF(AND(EDATE($D123,Milestones!$AA$80)&lt;=AsOfDate,EDATE($D123,Milestones!$AA$80)&gt;=SchemeStart,IF($X123=0,$AD123,IF(AND($Z123&lt;&gt;"",EDATE($D123,Milestones!$AA$80)&gt;=$Z123),$AC123,IF(AND($Y123&lt;&gt;"",EDATE($D123,Milestones!$AA$80)&gt;=$Y123),$AB123,$AA123)))=Milestones!$AB$80),UPPER(TEXT(EDATE($D123,Milestones!$AA$80),"dd mmm yy"))&amp;" "&amp;Milestones!$AB$80&amp;" "&amp;IF(AND(Milestones!$AB$80="FT",Milestones!$AA$80=FT_Y5,EDATE($D123,Milestones!$AA$80)&lt;PolicyEff),1,Milestones!$AC$80)&amp;";  ","")&amp;IF(AND(EDATE($D123,Milestones!$AA$81)&lt;=AsOfDate,EDATE($D123,Milestones!$AA$81)&gt;=SchemeStart,IF($X123=0,$AD123,IF(AND($Z123&lt;&gt;"",EDATE($D123,Milestones!$AA$81)&gt;=$Z123),$AC123,IF(AND($Y123&lt;&gt;"",EDATE($D123,Milestones!$AA$81)&gt;=$Y123),$AB123,$AA123)))=Milestones!$AB$81),UPPER(TEXT(EDATE($D123,Milestones!$AA$81),"dd mmm yy"))&amp;" "&amp;Milestones!$AB$81&amp;" "&amp;IF(AND(Milestones!$AB$81="FT",Milestones!$AA$81=FT_Y5,EDATE($D123,Milestones!$AA$81)&lt;PolicyEff),1,Milestones!$AC$81)&amp;";  ","")&amp;IF(AND(EDATE($D123,Milestones!$AA$82)&lt;=AsOfDate,EDATE($D123,Milestones!$AA$82)&gt;=SchemeStart,IF($X123=0,$AD123,IF(AND($Z123&lt;&gt;"",EDATE($D123,Milestones!$AA$82)&gt;=$Z123),$AC123,IF(AND($Y123&lt;&gt;"",EDATE($D123,Milestones!$AA$82)&gt;=$Y123),$AB123,$AA123)))=Milestones!$AB$82),UPPER(TEXT(EDATE($D123,Milestones!$AA$82),"dd mmm yy"))&amp;" "&amp;Milestones!$AB$82&amp;" "&amp;IF(AND(Milestones!$AB$82="FT",Milestones!$AA$82=FT_Y5,EDATE($D123,Milestones!$AA$82)&lt;PolicyEff),1,Milestones!$AC$82)&amp;";  ","")&amp;IF(AND(EDATE($D123,Milestones!$AA$83)&lt;=AsOfDate,EDATE($D123,Milestones!$AA$83)&gt;=SchemeStart,IF($X123=0,$AD123,IF(AND($Z123&lt;&gt;"",EDATE($D123,Milestones!$AA$83)&gt;=$Z123),$AC123,IF(AND($Y123&lt;&gt;"",EDATE($D123,Milestones!$AA$83)&gt;=$Y123),$AB123,$AA123)))=Milestones!$AB$83),UPPER(TEXT(EDATE($D123,Milestones!$AA$83),"dd mmm yy"))&amp;" "&amp;Milestones!$AB$83&amp;" "&amp;IF(AND(Milestones!$AB$83="FT",Milestones!$AA$83=FT_Y5,EDATE($D123,Milestones!$AA$83)&lt;PolicyEff),1,Milestones!$AC$83)&amp;";  ","")&amp;IF(AND(EDATE($D123,Milestones!$AA$84)&lt;=AsOfDate,EDATE($D123,Milestones!$AA$84)&gt;=SchemeStart,IF($X123=0,$AD123,IF(AND($Z123&lt;&gt;"",EDATE($D123,Milestones!$AA$84)&gt;=$Z123),$AC123,IF(AND($Y123&lt;&gt;"",EDATE($D123,Milestones!$AA$84)&gt;=$Y123),$AB123,$AA123)))=Milestones!$AB$84),UPPER(TEXT(EDATE($D123,Milestones!$AA$84),"dd mmm yy"))&amp;" "&amp;Milestones!$AB$84&amp;" "&amp;IF(AND(Milestones!$AB$84="FT",Milestones!$AA$84=FT_Y5,EDATE($D123,Milestones!$AA$84)&lt;PolicyEff),1,Milestones!$AC$84)&amp;";  ","")&amp;IF(AND(EDATE($D123,Milestones!$AA$85)&lt;=AsOfDate,EDATE($D123,Milestones!$AA$85)&gt;=SchemeStart,IF($X123=0,$AD123,IF(AND($Z123&lt;&gt;"",EDATE($D123,Milestones!$AA$85)&gt;=$Z123),$AC123,IF(AND($Y123&lt;&gt;"",EDATE($D123,Milestones!$AA$85)&gt;=$Y123),$AB123,$AA123)))=Milestones!$AB$85),UPPER(TEXT(EDATE($D123,Milestones!$AA$85),"dd mmm yy"))&amp;" "&amp;Milestones!$AB$85&amp;" "&amp;IF(AND(Milestones!$AB$85="FT",Milestones!$AA$85=FT_Y5,EDATE($D123,Milestones!$AA$85)&lt;PolicyEff),1,Milestones!$AC$85)&amp;";  ","")&amp;IF(AND(EDATE($D123,Milestones!$AA$86)&lt;=AsOfDate,EDATE($D123,Milestones!$AA$86)&gt;=SchemeStart,IF($X123=0,$AD123,IF(AND($Z123&lt;&gt;"",EDATE($D123,Milestones!$AA$86)&gt;=$Z123),$AC123,IF(AND($Y123&lt;&gt;"",EDATE($D123,Milestones!$AA$86)&gt;=$Y123),$AB123,$AA123)))=Milestones!$AB$86),UPPER(TEXT(EDATE($D123,Milestones!$AA$86),"dd mmm yy"))&amp;" "&amp;Milestones!$AB$86&amp;" "&amp;IF(AND(Milestones!$AB$86="FT",Milestones!$AA$86=FT_Y5,EDATE($D123,Milestones!$AA$86)&lt;PolicyEff),1,Milestones!$AC$86)&amp;";  ","")&amp;IF(AND(EDATE($D123,Milestones!$AA$87)&lt;=AsOfDate,EDATE($D123,Milestones!$AA$87)&gt;=SchemeStart,IF($X123=0,$AD123,IF(AND($Z123&lt;&gt;"",EDATE($D123,Milestones!$AA$87)&gt;=$Z123),$AC123,IF(AND($Y123&lt;&gt;"",EDATE($D123,Milestones!$AA$87)&gt;=$Y123),$AB123,$AA123)))=Milestones!$AB$87),UPPER(TEXT(EDATE($D123,Milestones!$AA$87),"dd mmm yy"))&amp;" "&amp;Milestones!$AB$87&amp;" "&amp;IF(AND(Milestones!$AB$87="FT",Milestones!$AA$87=FT_Y5,EDATE($D123,Milestones!$AA$87)&lt;PolicyEff),1,Milestones!$AC$87)&amp;";  ","")&amp;IF(AND(EDATE($D123,Milestones!$AA$88)&lt;=AsOfDate,EDATE($D123,Milestones!$AA$88)&gt;=SchemeStart,IF($X123=0,$AD123,IF(AND($Z123&lt;&gt;"",EDATE($D123,Milestones!$AA$88)&gt;=$Z123),$AC123,IF(AND($Y123&lt;&gt;"",EDATE($D123,Milestones!$AA$88)&gt;=$Y123),$AB123,$AA123)))=Milestones!$AB$88),UPPER(TEXT(EDATE($D123,Milestones!$AA$88),"dd mmm yy"))&amp;" "&amp;Milestones!$AB$88&amp;" "&amp;IF(AND(Milestones!$AB$88="FT",Milestones!$AA$88=FT_Y5,EDATE($D123,Milestones!$AA$88)&lt;PolicyEff),1,Milestones!$AC$88)&amp;";  ","")&amp;IF(AND(EDATE($D123,Milestones!$AA$89)&lt;=AsOfDate,EDATE($D123,Milestones!$AA$89)&gt;=SchemeStart,IF($X123=0,$AD123,IF(AND($Z123&lt;&gt;"",EDATE($D123,Milestones!$AA$89)&gt;=$Z123),$AC123,IF(AND($Y123&lt;&gt;"",EDATE($D123,Milestones!$AA$89)&gt;=$Y123),$AB123,$AA123)))=Milestones!$AB$89),UPPER(TEXT(EDATE($D123,Milestones!$AA$89),"dd mmm yy"))&amp;" "&amp;Milestones!$AB$89&amp;" "&amp;IF(AND(Milestones!$AB$89="FT",Milestones!$AA$89=FT_Y5,EDATE($D123,Milestones!$AA$89)&lt;PolicyEff),1,Milestones!$AC$89)&amp;";  ","")&amp;IF(AND(EDATE($D123,Milestones!$AA$90)&lt;=AsOfDate,EDATE($D123,Milestones!$AA$90)&gt;=SchemeStart,IF($X123=0,$AD123,IF(AND($Z123&lt;&gt;"",EDATE($D123,Milestones!$AA$90)&gt;=$Z123),$AC123,IF(AND($Y123&lt;&gt;"",EDATE($D123,Milestones!$AA$90)&gt;=$Y123),$AB123,$AA123)))=Milestones!$AB$90),UPPER(TEXT(EDATE($D123,Milestones!$AA$90),"dd mmm yy"))&amp;" "&amp;Milestones!$AB$90&amp;" "&amp;IF(AND(Milestones!$AB$90="FT",Milestones!$AA$90=FT_Y5,EDATE($D123,Milestones!$AA$90)&lt;PolicyEff),1,Milestones!$AC$90)&amp;";  ","")&amp;IF(AND(EDATE($D123,Milestones!$AA$91)&lt;=AsOfDate,EDATE($D123,Milestones!$AA$91)&gt;=SchemeStart,IF($X123=0,$AD123,IF(AND($Z123&lt;&gt;"",EDATE($D123,Milestones!$AA$91)&gt;=$Z123),$AC123,IF(AND($Y123&lt;&gt;"",EDATE($D123,Milestones!$AA$91)&gt;=$Y123),$AB123,$AA123)))=Milestones!$AB$91),UPPER(TEXT(EDATE($D123,Milestones!$AA$91),"dd mmm yy"))&amp;" "&amp;Milestones!$AB$91&amp;" "&amp;IF(AND(Milestones!$AB$91="FT",Milestones!$AA$91=FT_Y5,EDATE($D123,Milestones!$AA$91)&lt;PolicyEff),1,Milestones!$AC$91)&amp;";  ",""))</f>
        <v/>
      </c>
      <c r="O123" s="0" t="str">
        <f aca="false">IF(OR($A123="",$D123=""),"",IF(AND(EDATE($D123,Milestones!$AA$92)&lt;=AsOfDate,EDATE($D123,Milestones!$AA$92)&gt;=SchemeStart,IF($X123=0,$AD123,IF(AND($Z123&lt;&gt;"",EDATE($D123,Milestones!$AA$92)&gt;=$Z123),$AC123,IF(AND($Y123&lt;&gt;"",EDATE($D123,Milestones!$AA$92)&gt;=$Y123),$AB123,$AA123)))=Milestones!$AB$92),UPPER(TEXT(EDATE($D123,Milestones!$AA$92),"dd mmm yy"))&amp;" "&amp;Milestones!$AB$92&amp;" "&amp;IF(AND(Milestones!$AB$92="FT",Milestones!$AA$92=FT_Y5,EDATE($D123,Milestones!$AA$92)&lt;PolicyEff),1,Milestones!$AC$92)&amp;";  ","")&amp;IF(AND(EDATE($D123,Milestones!$AA$93)&lt;=AsOfDate,EDATE($D123,Milestones!$AA$93)&gt;=SchemeStart,IF($X123=0,$AD123,IF(AND($Z123&lt;&gt;"",EDATE($D123,Milestones!$AA$93)&gt;=$Z123),$AC123,IF(AND($Y123&lt;&gt;"",EDATE($D123,Milestones!$AA$93)&gt;=$Y123),$AB123,$AA123)))=Milestones!$AB$93),UPPER(TEXT(EDATE($D123,Milestones!$AA$93),"dd mmm yy"))&amp;" "&amp;Milestones!$AB$93&amp;" "&amp;IF(AND(Milestones!$AB$93="FT",Milestones!$AA$93=FT_Y5,EDATE($D123,Milestones!$AA$93)&lt;PolicyEff),1,Milestones!$AC$93)&amp;";  ","")&amp;IF(AND(EDATE($D123,Milestones!$AA$94)&lt;=AsOfDate,EDATE($D123,Milestones!$AA$94)&gt;=SchemeStart,IF($X123=0,$AD123,IF(AND($Z123&lt;&gt;"",EDATE($D123,Milestones!$AA$94)&gt;=$Z123),$AC123,IF(AND($Y123&lt;&gt;"",EDATE($D123,Milestones!$AA$94)&gt;=$Y123),$AB123,$AA123)))=Milestones!$AB$94),UPPER(TEXT(EDATE($D123,Milestones!$AA$94),"dd mmm yy"))&amp;" "&amp;Milestones!$AB$94&amp;" "&amp;IF(AND(Milestones!$AB$94="FT",Milestones!$AA$94=FT_Y5,EDATE($D123,Milestones!$AA$94)&lt;PolicyEff),1,Milestones!$AC$94)&amp;";  ","")&amp;IF(AND(EDATE($D123,Milestones!$AA$95)&lt;=AsOfDate,EDATE($D123,Milestones!$AA$95)&gt;=SchemeStart,IF($X123=0,$AD123,IF(AND($Z123&lt;&gt;"",EDATE($D123,Milestones!$AA$95)&gt;=$Z123),$AC123,IF(AND($Y123&lt;&gt;"",EDATE($D123,Milestones!$AA$95)&gt;=$Y123),$AB123,$AA123)))=Milestones!$AB$95),UPPER(TEXT(EDATE($D123,Milestones!$AA$95),"dd mmm yy"))&amp;" "&amp;Milestones!$AB$95&amp;" "&amp;IF(AND(Milestones!$AB$95="FT",Milestones!$AA$95=FT_Y5,EDATE($D123,Milestones!$AA$95)&lt;PolicyEff),1,Milestones!$AC$95)&amp;";  ","")&amp;IF(AND(EDATE($D123,Milestones!$AA$96)&lt;=AsOfDate,EDATE($D123,Milestones!$AA$96)&gt;=SchemeStart,IF($X123=0,$AD123,IF(AND($Z123&lt;&gt;"",EDATE($D123,Milestones!$AA$96)&gt;=$Z123),$AC123,IF(AND($Y123&lt;&gt;"",EDATE($D123,Milestones!$AA$96)&gt;=$Y123),$AB123,$AA123)))=Milestones!$AB$96),UPPER(TEXT(EDATE($D123,Milestones!$AA$96),"dd mmm yy"))&amp;" "&amp;Milestones!$AB$96&amp;" "&amp;IF(AND(Milestones!$AB$96="FT",Milestones!$AA$96=FT_Y5,EDATE($D123,Milestones!$AA$96)&lt;PolicyEff),1,Milestones!$AC$96)&amp;";  ","")&amp;IF(AND(EDATE($D123,Milestones!$AA$97)&lt;=AsOfDate,EDATE($D123,Milestones!$AA$97)&gt;=SchemeStart,IF($X123=0,$AD123,IF(AND($Z123&lt;&gt;"",EDATE($D123,Milestones!$AA$97)&gt;=$Z123),$AC123,IF(AND($Y123&lt;&gt;"",EDATE($D123,Milestones!$AA$97)&gt;=$Y123),$AB123,$AA123)))=Milestones!$AB$97),UPPER(TEXT(EDATE($D123,Milestones!$AA$97),"dd mmm yy"))&amp;" "&amp;Milestones!$AB$97&amp;" "&amp;IF(AND(Milestones!$AB$97="FT",Milestones!$AA$97=FT_Y5,EDATE($D123,Milestones!$AA$97)&lt;PolicyEff),1,Milestones!$AC$97)&amp;";  ","")&amp;IF(AND(EDATE($D123,Milestones!$AA$98)&lt;=AsOfDate,EDATE($D123,Milestones!$AA$98)&gt;=SchemeStart,IF($X123=0,$AD123,IF(AND($Z123&lt;&gt;"",EDATE($D123,Milestones!$AA$98)&gt;=$Z123),$AC123,IF(AND($Y123&lt;&gt;"",EDATE($D123,Milestones!$AA$98)&gt;=$Y123),$AB123,$AA123)))=Milestones!$AB$98),UPPER(TEXT(EDATE($D123,Milestones!$AA$98),"dd mmm yy"))&amp;" "&amp;Milestones!$AB$98&amp;" "&amp;IF(AND(Milestones!$AB$98="FT",Milestones!$AA$98=FT_Y5,EDATE($D123,Milestones!$AA$98)&lt;PolicyEff),1,Milestones!$AC$98)&amp;";  ","")&amp;IF(AND(EDATE($D123,Milestones!$AA$99)&lt;=AsOfDate,EDATE($D123,Milestones!$AA$99)&gt;=SchemeStart,IF($X123=0,$AD123,IF(AND($Z123&lt;&gt;"",EDATE($D123,Milestones!$AA$99)&gt;=$Z123),$AC123,IF(AND($Y123&lt;&gt;"",EDATE($D123,Milestones!$AA$99)&gt;=$Y123),$AB123,$AA123)))=Milestones!$AB$99),UPPER(TEXT(EDATE($D123,Milestones!$AA$99),"dd mmm yy"))&amp;" "&amp;Milestones!$AB$99&amp;" "&amp;IF(AND(Milestones!$AB$99="FT",Milestones!$AA$99=FT_Y5,EDATE($D123,Milestones!$AA$99)&lt;PolicyEff),1,Milestones!$AC$99)&amp;";  ","")&amp;IF(AND(EDATE($D123,Milestones!$AA$100)&lt;=AsOfDate,EDATE($D123,Milestones!$AA$100)&gt;=SchemeStart,IF($X123=0,$AD123,IF(AND($Z123&lt;&gt;"",EDATE($D123,Milestones!$AA$100)&gt;=$Z123),$AC123,IF(AND($Y123&lt;&gt;"",EDATE($D123,Milestones!$AA$100)&gt;=$Y123),$AB123,$AA123)))=Milestones!$AB$100),UPPER(TEXT(EDATE($D123,Milestones!$AA$100),"dd mmm yy"))&amp;" "&amp;Milestones!$AB$100&amp;" "&amp;IF(AND(Milestones!$AB$100="FT",Milestones!$AA$100=FT_Y5,EDATE($D123,Milestones!$AA$100)&lt;PolicyEff),1,Milestones!$AC$100)&amp;";  ","")&amp;IF(AND(EDATE($D123,Milestones!$AA$101)&lt;=AsOfDate,EDATE($D123,Milestones!$AA$101)&gt;=SchemeStart,IF($X123=0,$AD123,IF(AND($Z123&lt;&gt;"",EDATE($D123,Milestones!$AA$101)&gt;=$Z123),$AC123,IF(AND($Y123&lt;&gt;"",EDATE($D123,Milestones!$AA$101)&gt;=$Y123),$AB123,$AA123)))=Milestones!$AB$101),UPPER(TEXT(EDATE($D123,Milestones!$AA$101),"dd mmm yy"))&amp;" "&amp;Milestones!$AB$101&amp;" "&amp;IF(AND(Milestones!$AB$101="FT",Milestones!$AA$101=FT_Y5,EDATE($D123,Milestones!$AA$101)&lt;PolicyEff),1,Milestones!$AC$101)&amp;";  ","")&amp;IF(AND(EDATE($D123,Milestones!$AA$102)&lt;=AsOfDate,EDATE($D123,Milestones!$AA$102)&gt;=SchemeStart,IF($X123=0,$AD123,IF(AND($Z123&lt;&gt;"",EDATE($D123,Milestones!$AA$102)&gt;=$Z123),$AC123,IF(AND($Y123&lt;&gt;"",EDATE($D123,Milestones!$AA$102)&gt;=$Y123),$AB123,$AA123)))=Milestones!$AB$102),UPPER(TEXT(EDATE($D123,Milestones!$AA$102),"dd mmm yy"))&amp;" "&amp;Milestones!$AB$102&amp;" "&amp;IF(AND(Milestones!$AB$102="FT",Milestones!$AA$102=FT_Y5,EDATE($D123,Milestones!$AA$102)&lt;PolicyEff),1,Milestones!$AC$102)&amp;";  ","")&amp;IF(AND(EDATE($D123,Milestones!$AA$103)&lt;=AsOfDate,EDATE($D123,Milestones!$AA$103)&gt;=SchemeStart,IF($X123=0,$AD123,IF(AND($Z123&lt;&gt;"",EDATE($D123,Milestones!$AA$103)&gt;=$Z123),$AC123,IF(AND($Y123&lt;&gt;"",EDATE($D123,Milestones!$AA$103)&gt;=$Y123),$AB123,$AA123)))=Milestones!$AB$103),UPPER(TEXT(EDATE($D123,Milestones!$AA$103),"dd mmm yy"))&amp;" "&amp;Milestones!$AB$103&amp;" "&amp;IF(AND(Milestones!$AB$103="FT",Milestones!$AA$103=FT_Y5,EDATE($D123,Milestones!$AA$103)&lt;PolicyEff),1,Milestones!$AC$103)&amp;";  ",""))</f>
        <v/>
      </c>
      <c r="P123" s="0" t="str">
        <f aca="false">IF(OR($A123="",$D123=""),"",IF(AND(EDATE($D123,Milestones!$AA$104)&lt;=AsOfDate,EDATE($D123,Milestones!$AA$104)&gt;=SchemeStart,IF($X123=0,$AD123,IF(AND($Z123&lt;&gt;"",EDATE($D123,Milestones!$AA$104)&gt;=$Z123),$AC123,IF(AND($Y123&lt;&gt;"",EDATE($D123,Milestones!$AA$104)&gt;=$Y123),$AB123,$AA123)))=Milestones!$AB$104),UPPER(TEXT(EDATE($D123,Milestones!$AA$104),"dd mmm yy"))&amp;" "&amp;Milestones!$AB$104&amp;" "&amp;IF(AND(Milestones!$AB$104="FT",Milestones!$AA$104=FT_Y5,EDATE($D123,Milestones!$AA$104)&lt;PolicyEff),1,Milestones!$AC$104)&amp;";  ","")&amp;IF(AND(EDATE($D123,Milestones!$AA$105)&lt;=AsOfDate,EDATE($D123,Milestones!$AA$105)&gt;=SchemeStart,IF($X123=0,$AD123,IF(AND($Z123&lt;&gt;"",EDATE($D123,Milestones!$AA$105)&gt;=$Z123),$AC123,IF(AND($Y123&lt;&gt;"",EDATE($D123,Milestones!$AA$105)&gt;=$Y123),$AB123,$AA123)))=Milestones!$AB$105),UPPER(TEXT(EDATE($D123,Milestones!$AA$105),"dd mmm yy"))&amp;" "&amp;Milestones!$AB$105&amp;" "&amp;IF(AND(Milestones!$AB$105="FT",Milestones!$AA$105=FT_Y5,EDATE($D123,Milestones!$AA$105)&lt;PolicyEff),1,Milestones!$AC$105)&amp;";  ","")&amp;IF(AND(EDATE($D123,Milestones!$AA$106)&lt;=AsOfDate,EDATE($D123,Milestones!$AA$106)&gt;=SchemeStart,IF($X123=0,$AD123,IF(AND($Z123&lt;&gt;"",EDATE($D123,Milestones!$AA$106)&gt;=$Z123),$AC123,IF(AND($Y123&lt;&gt;"",EDATE($D123,Milestones!$AA$106)&gt;=$Y123),$AB123,$AA123)))=Milestones!$AB$106),UPPER(TEXT(EDATE($D123,Milestones!$AA$106),"dd mmm yy"))&amp;" "&amp;Milestones!$AB$106&amp;" "&amp;IF(AND(Milestones!$AB$106="FT",Milestones!$AA$106=FT_Y5,EDATE($D123,Milestones!$AA$106)&lt;PolicyEff),1,Milestones!$AC$106)&amp;";  ","")&amp;IF(AND(EDATE($D123,Milestones!$AA$107)&lt;=AsOfDate,EDATE($D123,Milestones!$AA$107)&gt;=SchemeStart,IF($X123=0,$AD123,IF(AND($Z123&lt;&gt;"",EDATE($D123,Milestones!$AA$107)&gt;=$Z123),$AC123,IF(AND($Y123&lt;&gt;"",EDATE($D123,Milestones!$AA$107)&gt;=$Y123),$AB123,$AA123)))=Milestones!$AB$107),UPPER(TEXT(EDATE($D123,Milestones!$AA$107),"dd mmm yy"))&amp;" "&amp;Milestones!$AB$107&amp;" "&amp;IF(AND(Milestones!$AB$107="FT",Milestones!$AA$107=FT_Y5,EDATE($D123,Milestones!$AA$107)&lt;PolicyEff),1,Milestones!$AC$107)&amp;";  ","")&amp;IF(AND(EDATE($D123,Milestones!$AA$108)&lt;=AsOfDate,EDATE($D123,Milestones!$AA$108)&gt;=SchemeStart,IF($X123=0,$AD123,IF(AND($Z123&lt;&gt;"",EDATE($D123,Milestones!$AA$108)&gt;=$Z123),$AC123,IF(AND($Y123&lt;&gt;"",EDATE($D123,Milestones!$AA$108)&gt;=$Y123),$AB123,$AA123)))=Milestones!$AB$108),UPPER(TEXT(EDATE($D123,Milestones!$AA$108),"dd mmm yy"))&amp;" "&amp;Milestones!$AB$108&amp;" "&amp;IF(AND(Milestones!$AB$108="FT",Milestones!$AA$108=FT_Y5,EDATE($D123,Milestones!$AA$108)&lt;PolicyEff),1,Milestones!$AC$108)&amp;";  ","")&amp;IF(AND(EDATE($D123,Milestones!$AA$109)&lt;=AsOfDate,EDATE($D123,Milestones!$AA$109)&gt;=SchemeStart,IF($X123=0,$AD123,IF(AND($Z123&lt;&gt;"",EDATE($D123,Milestones!$AA$109)&gt;=$Z123),$AC123,IF(AND($Y123&lt;&gt;"",EDATE($D123,Milestones!$AA$109)&gt;=$Y123),$AB123,$AA123)))=Milestones!$AB$109),UPPER(TEXT(EDATE($D123,Milestones!$AA$109),"dd mmm yy"))&amp;" "&amp;Milestones!$AB$109&amp;" "&amp;IF(AND(Milestones!$AB$109="FT",Milestones!$AA$109=FT_Y5,EDATE($D123,Milestones!$AA$109)&lt;PolicyEff),1,Milestones!$AC$109)&amp;";  ","")&amp;IF(AND(EDATE($D123,Milestones!$AA$110)&lt;=AsOfDate,EDATE($D123,Milestones!$AA$110)&gt;=SchemeStart,IF($X123=0,$AD123,IF(AND($Z123&lt;&gt;"",EDATE($D123,Milestones!$AA$110)&gt;=$Z123),$AC123,IF(AND($Y123&lt;&gt;"",EDATE($D123,Milestones!$AA$110)&gt;=$Y123),$AB123,$AA123)))=Milestones!$AB$110),UPPER(TEXT(EDATE($D123,Milestones!$AA$110),"dd mmm yy"))&amp;" "&amp;Milestones!$AB$110&amp;" "&amp;IF(AND(Milestones!$AB$110="FT",Milestones!$AA$110=FT_Y5,EDATE($D123,Milestones!$AA$110)&lt;PolicyEff),1,Milestones!$AC$110)&amp;";  ","")&amp;IF(AND(EDATE($D123,Milestones!$AA$111)&lt;=AsOfDate,EDATE($D123,Milestones!$AA$111)&gt;=SchemeStart,IF($X123=0,$AD123,IF(AND($Z123&lt;&gt;"",EDATE($D123,Milestones!$AA$111)&gt;=$Z123),$AC123,IF(AND($Y123&lt;&gt;"",EDATE($D123,Milestones!$AA$111)&gt;=$Y123),$AB123,$AA123)))=Milestones!$AB$111),UPPER(TEXT(EDATE($D123,Milestones!$AA$111),"dd mmm yy"))&amp;" "&amp;Milestones!$AB$111&amp;" "&amp;IF(AND(Milestones!$AB$111="FT",Milestones!$AA$111=FT_Y5,EDATE($D123,Milestones!$AA$111)&lt;PolicyEff),1,Milestones!$AC$111)&amp;";  ","")&amp;IF(AND(EDATE($D123,Milestones!$AA$112)&lt;=AsOfDate,EDATE($D123,Milestones!$AA$112)&gt;=SchemeStart,IF($X123=0,$AD123,IF(AND($Z123&lt;&gt;"",EDATE($D123,Milestones!$AA$112)&gt;=$Z123),$AC123,IF(AND($Y123&lt;&gt;"",EDATE($D123,Milestones!$AA$112)&gt;=$Y123),$AB123,$AA123)))=Milestones!$AB$112),UPPER(TEXT(EDATE($D123,Milestones!$AA$112),"dd mmm yy"))&amp;" "&amp;Milestones!$AB$112&amp;" "&amp;IF(AND(Milestones!$AB$112="FT",Milestones!$AA$112=FT_Y5,EDATE($D123,Milestones!$AA$112)&lt;PolicyEff),1,Milestones!$AC$112)&amp;";  ","")&amp;IF(AND(EDATE($D123,Milestones!$AA$113)&lt;=AsOfDate,EDATE($D123,Milestones!$AA$113)&gt;=SchemeStart,IF($X123=0,$AD123,IF(AND($Z123&lt;&gt;"",EDATE($D123,Milestones!$AA$113)&gt;=$Z123),$AC123,IF(AND($Y123&lt;&gt;"",EDATE($D123,Milestones!$AA$113)&gt;=$Y123),$AB123,$AA123)))=Milestones!$AB$113),UPPER(TEXT(EDATE($D123,Milestones!$AA$113),"dd mmm yy"))&amp;" "&amp;Milestones!$AB$113&amp;" "&amp;IF(AND(Milestones!$AB$113="FT",Milestones!$AA$113=FT_Y5,EDATE($D123,Milestones!$AA$113)&lt;PolicyEff),1,Milestones!$AC$113)&amp;";  ","")&amp;IF(AND(EDATE($D123,Milestones!$AA$114)&lt;=AsOfDate,EDATE($D123,Milestones!$AA$114)&gt;=SchemeStart,IF($X123=0,$AD123,IF(AND($Z123&lt;&gt;"",EDATE($D123,Milestones!$AA$114)&gt;=$Z123),$AC123,IF(AND($Y123&lt;&gt;"",EDATE($D123,Milestones!$AA$114)&gt;=$Y123),$AB123,$AA123)))=Milestones!$AB$114),UPPER(TEXT(EDATE($D123,Milestones!$AA$114),"dd mmm yy"))&amp;" "&amp;Milestones!$AB$114&amp;" "&amp;IF(AND(Milestones!$AB$114="FT",Milestones!$AA$114=FT_Y5,EDATE($D123,Milestones!$AA$114)&lt;PolicyEff),1,Milestones!$AC$114)&amp;";  ","")&amp;IF(AND(EDATE($D123,Milestones!$AA$115)&lt;=AsOfDate,EDATE($D123,Milestones!$AA$115)&gt;=SchemeStart,IF($X123=0,$AD123,IF(AND($Z123&lt;&gt;"",EDATE($D123,Milestones!$AA$115)&gt;=$Z123),$AC123,IF(AND($Y123&lt;&gt;"",EDATE($D123,Milestones!$AA$115)&gt;=$Y123),$AB123,$AA123)))=Milestones!$AB$115),UPPER(TEXT(EDATE($D123,Milestones!$AA$115),"dd mmm yy"))&amp;" "&amp;Milestones!$AB$115&amp;" "&amp;IF(AND(Milestones!$AB$115="FT",Milestones!$AA$115=FT_Y5,EDATE($D123,Milestones!$AA$115)&lt;PolicyEff),1,Milestones!$AC$115)&amp;";  ",""))</f>
        <v/>
      </c>
      <c r="Q123" s="0" t="str">
        <f aca="false">IF(OR($A123="",$D123=""),"",IF(AND(EDATE($D123,Milestones!$AA$116)&lt;=AsOfDate,EDATE($D123,Milestones!$AA$116)&gt;=SchemeStart,IF($X123=0,$AD123,IF(AND($Z123&lt;&gt;"",EDATE($D123,Milestones!$AA$116)&gt;=$Z123),$AC123,IF(AND($Y123&lt;&gt;"",EDATE($D123,Milestones!$AA$116)&gt;=$Y123),$AB123,$AA123)))=Milestones!$AB$116),UPPER(TEXT(EDATE($D123,Milestones!$AA$116),"dd mmm yy"))&amp;" "&amp;Milestones!$AB$116&amp;" "&amp;IF(AND(Milestones!$AB$116="FT",Milestones!$AA$116=FT_Y5,EDATE($D123,Milestones!$AA$116)&lt;PolicyEff),1,Milestones!$AC$116)&amp;";  ","")&amp;IF(AND(EDATE($D123,Milestones!$AA$117)&lt;=AsOfDate,EDATE($D123,Milestones!$AA$117)&gt;=SchemeStart,IF($X123=0,$AD123,IF(AND($Z123&lt;&gt;"",EDATE($D123,Milestones!$AA$117)&gt;=$Z123),$AC123,IF(AND($Y123&lt;&gt;"",EDATE($D123,Milestones!$AA$117)&gt;=$Y123),$AB123,$AA123)))=Milestones!$AB$117),UPPER(TEXT(EDATE($D123,Milestones!$AA$117),"dd mmm yy"))&amp;" "&amp;Milestones!$AB$117&amp;" "&amp;IF(AND(Milestones!$AB$117="FT",Milestones!$AA$117=FT_Y5,EDATE($D123,Milestones!$AA$117)&lt;PolicyEff),1,Milestones!$AC$117)&amp;";  ","")&amp;IF(AND(EDATE($D123,Milestones!$AA$118)&lt;=AsOfDate,EDATE($D123,Milestones!$AA$118)&gt;=SchemeStart,IF($X123=0,$AD123,IF(AND($Z123&lt;&gt;"",EDATE($D123,Milestones!$AA$118)&gt;=$Z123),$AC123,IF(AND($Y123&lt;&gt;"",EDATE($D123,Milestones!$AA$118)&gt;=$Y123),$AB123,$AA123)))=Milestones!$AB$118),UPPER(TEXT(EDATE($D123,Milestones!$AA$118),"dd mmm yy"))&amp;" "&amp;Milestones!$AB$118&amp;" "&amp;IF(AND(Milestones!$AB$118="FT",Milestones!$AA$118=FT_Y5,EDATE($D123,Milestones!$AA$118)&lt;PolicyEff),1,Milestones!$AC$118)&amp;";  ","")&amp;IF(AND(EDATE($D123,Milestones!$AA$119)&lt;=AsOfDate,EDATE($D123,Milestones!$AA$119)&gt;=SchemeStart,IF($X123=0,$AD123,IF(AND($Z123&lt;&gt;"",EDATE($D123,Milestones!$AA$119)&gt;=$Z123),$AC123,IF(AND($Y123&lt;&gt;"",EDATE($D123,Milestones!$AA$119)&gt;=$Y123),$AB123,$AA123)))=Milestones!$AB$119),UPPER(TEXT(EDATE($D123,Milestones!$AA$119),"dd mmm yy"))&amp;" "&amp;Milestones!$AB$119&amp;" "&amp;IF(AND(Milestones!$AB$119="FT",Milestones!$AA$119=FT_Y5,EDATE($D123,Milestones!$AA$119)&lt;PolicyEff),1,Milestones!$AC$119)&amp;";  ","")&amp;IF(AND(EDATE($D123,Milestones!$AA$120)&lt;=AsOfDate,EDATE($D123,Milestones!$AA$120)&gt;=SchemeStart,IF($X123=0,$AD123,IF(AND($Z123&lt;&gt;"",EDATE($D123,Milestones!$AA$120)&gt;=$Z123),$AC123,IF(AND($Y123&lt;&gt;"",EDATE($D123,Milestones!$AA$120)&gt;=$Y123),$AB123,$AA123)))=Milestones!$AB$120),UPPER(TEXT(EDATE($D123,Milestones!$AA$120),"dd mmm yy"))&amp;" "&amp;Milestones!$AB$120&amp;" "&amp;IF(AND(Milestones!$AB$120="FT",Milestones!$AA$120=FT_Y5,EDATE($D123,Milestones!$AA$120)&lt;PolicyEff),1,Milestones!$AC$120)&amp;";  ","")&amp;IF(AND(EDATE($D123,Milestones!$AA$121)&lt;=AsOfDate,EDATE($D123,Milestones!$AA$121)&gt;=SchemeStart,IF($X123=0,$AD123,IF(AND($Z123&lt;&gt;"",EDATE($D123,Milestones!$AA$121)&gt;=$Z123),$AC123,IF(AND($Y123&lt;&gt;"",EDATE($D123,Milestones!$AA$121)&gt;=$Y123),$AB123,$AA123)))=Milestones!$AB$121),UPPER(TEXT(EDATE($D123,Milestones!$AA$121),"dd mmm yy"))&amp;" "&amp;Milestones!$AB$121&amp;" "&amp;IF(AND(Milestones!$AB$121="FT",Milestones!$AA$121=FT_Y5,EDATE($D123,Milestones!$AA$121)&lt;PolicyEff),1,Milestones!$AC$121)&amp;";  ","")&amp;IF(AND(EDATE($D123,Milestones!$AA$122)&lt;=AsOfDate,EDATE($D123,Milestones!$AA$122)&gt;=SchemeStart,IF($X123=0,$AD123,IF(AND($Z123&lt;&gt;"",EDATE($D123,Milestones!$AA$122)&gt;=$Z123),$AC123,IF(AND($Y123&lt;&gt;"",EDATE($D123,Milestones!$AA$122)&gt;=$Y123),$AB123,$AA123)))=Milestones!$AB$122),UPPER(TEXT(EDATE($D123,Milestones!$AA$122),"dd mmm yy"))&amp;" "&amp;Milestones!$AB$122&amp;" "&amp;IF(AND(Milestones!$AB$122="FT",Milestones!$AA$122=FT_Y5,EDATE($D123,Milestones!$AA$122)&lt;PolicyEff),1,Milestones!$AC$122)&amp;";  ","")&amp;IF(AND(EDATE($D123,Milestones!$AA$123)&lt;=AsOfDate,EDATE($D123,Milestones!$AA$123)&gt;=SchemeStart,IF($X123=0,$AD123,IF(AND($Z123&lt;&gt;"",EDATE($D123,Milestones!$AA$123)&gt;=$Z123),$AC123,IF(AND($Y123&lt;&gt;"",EDATE($D123,Milestones!$AA$123)&gt;=$Y123),$AB123,$AA123)))=Milestones!$AB$123),UPPER(TEXT(EDATE($D123,Milestones!$AA$123),"dd mmm yy"))&amp;" "&amp;Milestones!$AB$123&amp;" "&amp;IF(AND(Milestones!$AB$123="FT",Milestones!$AA$123=FT_Y5,EDATE($D123,Milestones!$AA$123)&lt;PolicyEff),1,Milestones!$AC$123)&amp;";  ","")&amp;IF(AND(EDATE($D123,Milestones!$AA$124)&lt;=AsOfDate,EDATE($D123,Milestones!$AA$124)&gt;=SchemeStart,IF($X123=0,$AD123,IF(AND($Z123&lt;&gt;"",EDATE($D123,Milestones!$AA$124)&gt;=$Z123),$AC123,IF(AND($Y123&lt;&gt;"",EDATE($D123,Milestones!$AA$124)&gt;=$Y123),$AB123,$AA123)))=Milestones!$AB$124),UPPER(TEXT(EDATE($D123,Milestones!$AA$124),"dd mmm yy"))&amp;" "&amp;Milestones!$AB$124&amp;" "&amp;IF(AND(Milestones!$AB$124="FT",Milestones!$AA$124=FT_Y5,EDATE($D123,Milestones!$AA$124)&lt;PolicyEff),1,Milestones!$AC$124)&amp;";  ","")&amp;IF(AND(EDATE($D123,Milestones!$AA$125)&lt;=AsOfDate,EDATE($D123,Milestones!$AA$125)&gt;=SchemeStart,IF($X123=0,$AD123,IF(AND($Z123&lt;&gt;"",EDATE($D123,Milestones!$AA$125)&gt;=$Z123),$AC123,IF(AND($Y123&lt;&gt;"",EDATE($D123,Milestones!$AA$125)&gt;=$Y123),$AB123,$AA123)))=Milestones!$AB$125),UPPER(TEXT(EDATE($D123,Milestones!$AA$125),"dd mmm yy"))&amp;" "&amp;Milestones!$AB$125&amp;" "&amp;IF(AND(Milestones!$AB$125="FT",Milestones!$AA$125=FT_Y5,EDATE($D123,Milestones!$AA$125)&lt;PolicyEff),1,Milestones!$AC$125)&amp;";  ","")&amp;IF(AND(EDATE($D123,Milestones!$AA$126)&lt;=AsOfDate,EDATE($D123,Milestones!$AA$126)&gt;=SchemeStart,IF($X123=0,$AD123,IF(AND($Z123&lt;&gt;"",EDATE($D123,Milestones!$AA$126)&gt;=$Z123),$AC123,IF(AND($Y123&lt;&gt;"",EDATE($D123,Milestones!$AA$126)&gt;=$Y123),$AB123,$AA123)))=Milestones!$AB$126),UPPER(TEXT(EDATE($D123,Milestones!$AA$126),"dd mmm yy"))&amp;" "&amp;Milestones!$AB$126&amp;" "&amp;IF(AND(Milestones!$AB$126="FT",Milestones!$AA$126=FT_Y5,EDATE($D123,Milestones!$AA$126)&lt;PolicyEff),1,Milestones!$AC$126)&amp;";  ","")&amp;IF(AND(EDATE($D123,Milestones!$AA$127)&lt;=AsOfDate,EDATE($D123,Milestones!$AA$127)&gt;=SchemeStart,IF($X123=0,$AD123,IF(AND($Z123&lt;&gt;"",EDATE($D123,Milestones!$AA$127)&gt;=$Z123),$AC123,IF(AND($Y123&lt;&gt;"",EDATE($D123,Milestones!$AA$127)&gt;=$Y123),$AB123,$AA123)))=Milestones!$AB$127),UPPER(TEXT(EDATE($D123,Milestones!$AA$127),"dd mmm yy"))&amp;" "&amp;Milestones!$AB$127&amp;" "&amp;IF(AND(Milestones!$AB$127="FT",Milestones!$AA$127=FT_Y5,EDATE($D123,Milestones!$AA$127)&lt;PolicyEff),1,Milestones!$AC$127)&amp;";  ",""))</f>
        <v/>
      </c>
      <c r="R123" s="0" t="str">
        <f aca="false">IF(OR($A123="",$D123=""),"",IF(AND(EDATE($D123,Milestones!$AA$128)&lt;=AsOfDate,EDATE($D123,Milestones!$AA$128)&gt;=SchemeStart,IF($X123=0,$AD123,IF(AND($Z123&lt;&gt;"",EDATE($D123,Milestones!$AA$128)&gt;=$Z123),$AC123,IF(AND($Y123&lt;&gt;"",EDATE($D123,Milestones!$AA$128)&gt;=$Y123),$AB123,$AA123)))=Milestones!$AB$128),UPPER(TEXT(EDATE($D123,Milestones!$AA$128),"dd mmm yy"))&amp;" "&amp;Milestones!$AB$128&amp;" "&amp;IF(AND(Milestones!$AB$128="FT",Milestones!$AA$128=FT_Y5,EDATE($D123,Milestones!$AA$128)&lt;PolicyEff),1,Milestones!$AC$128)&amp;";  ","")&amp;IF(AND(EDATE($D123,Milestones!$AA$129)&lt;=AsOfDate,EDATE($D123,Milestones!$AA$129)&gt;=SchemeStart,IF($X123=0,$AD123,IF(AND($Z123&lt;&gt;"",EDATE($D123,Milestones!$AA$129)&gt;=$Z123),$AC123,IF(AND($Y123&lt;&gt;"",EDATE($D123,Milestones!$AA$129)&gt;=$Y123),$AB123,$AA123)))=Milestones!$AB$129),UPPER(TEXT(EDATE($D123,Milestones!$AA$129),"dd mmm yy"))&amp;" "&amp;Milestones!$AB$129&amp;" "&amp;IF(AND(Milestones!$AB$129="FT",Milestones!$AA$129=FT_Y5,EDATE($D123,Milestones!$AA$129)&lt;PolicyEff),1,Milestones!$AC$129)&amp;";  ","")&amp;IF(AND(EDATE($D123,Milestones!$AA$130)&lt;=AsOfDate,EDATE($D123,Milestones!$AA$130)&gt;=SchemeStart,IF($X123=0,$AD123,IF(AND($Z123&lt;&gt;"",EDATE($D123,Milestones!$AA$130)&gt;=$Z123),$AC123,IF(AND($Y123&lt;&gt;"",EDATE($D123,Milestones!$AA$130)&gt;=$Y123),$AB123,$AA123)))=Milestones!$AB$130),UPPER(TEXT(EDATE($D123,Milestones!$AA$130),"dd mmm yy"))&amp;" "&amp;Milestones!$AB$130&amp;" "&amp;IF(AND(Milestones!$AB$130="FT",Milestones!$AA$130=FT_Y5,EDATE($D123,Milestones!$AA$130)&lt;PolicyEff),1,Milestones!$AC$130)&amp;";  ","")&amp;IF(AND(EDATE($D123,Milestones!$AA$131)&lt;=AsOfDate,EDATE($D123,Milestones!$AA$131)&gt;=SchemeStart,IF($X123=0,$AD123,IF(AND($Z123&lt;&gt;"",EDATE($D123,Milestones!$AA$131)&gt;=$Z123),$AC123,IF(AND($Y123&lt;&gt;"",EDATE($D123,Milestones!$AA$131)&gt;=$Y123),$AB123,$AA123)))=Milestones!$AB$131),UPPER(TEXT(EDATE($D123,Milestones!$AA$131),"dd mmm yy"))&amp;" "&amp;Milestones!$AB$131&amp;" "&amp;IF(AND(Milestones!$AB$131="FT",Milestones!$AA$131=FT_Y5,EDATE($D123,Milestones!$AA$131)&lt;PolicyEff),1,Milestones!$AC$131)&amp;";  ","")&amp;IF(AND(EDATE($D123,Milestones!$AA$132)&lt;=AsOfDate,EDATE($D123,Milestones!$AA$132)&gt;=SchemeStart,IF($X123=0,$AD123,IF(AND($Z123&lt;&gt;"",EDATE($D123,Milestones!$AA$132)&gt;=$Z123),$AC123,IF(AND($Y123&lt;&gt;"",EDATE($D123,Milestones!$AA$132)&gt;=$Y123),$AB123,$AA123)))=Milestones!$AB$132),UPPER(TEXT(EDATE($D123,Milestones!$AA$132),"dd mmm yy"))&amp;" "&amp;Milestones!$AB$132&amp;" "&amp;IF(AND(Milestones!$AB$132="FT",Milestones!$AA$132=FT_Y5,EDATE($D123,Milestones!$AA$132)&lt;PolicyEff),1,Milestones!$AC$132)&amp;";  ","")&amp;IF(AND(EDATE($D123,Milestones!$AA$133)&lt;=AsOfDate,EDATE($D123,Milestones!$AA$133)&gt;=SchemeStart,IF($X123=0,$AD123,IF(AND($Z123&lt;&gt;"",EDATE($D123,Milestones!$AA$133)&gt;=$Z123),$AC123,IF(AND($Y123&lt;&gt;"",EDATE($D123,Milestones!$AA$133)&gt;=$Y123),$AB123,$AA123)))=Milestones!$AB$133),UPPER(TEXT(EDATE($D123,Milestones!$AA$133),"dd mmm yy"))&amp;" "&amp;Milestones!$AB$133&amp;" "&amp;IF(AND(Milestones!$AB$133="FT",Milestones!$AA$133=FT_Y5,EDATE($D123,Milestones!$AA$133)&lt;PolicyEff),1,Milestones!$AC$133)&amp;";  ","")&amp;IF(AND(EDATE($D123,Milestones!$AA$134)&lt;=AsOfDate,EDATE($D123,Milestones!$AA$134)&gt;=SchemeStart,IF($X123=0,$AD123,IF(AND($Z123&lt;&gt;"",EDATE($D123,Milestones!$AA$134)&gt;=$Z123),$AC123,IF(AND($Y123&lt;&gt;"",EDATE($D123,Milestones!$AA$134)&gt;=$Y123),$AB123,$AA123)))=Milestones!$AB$134),UPPER(TEXT(EDATE($D123,Milestones!$AA$134),"dd mmm yy"))&amp;" "&amp;Milestones!$AB$134&amp;" "&amp;IF(AND(Milestones!$AB$134="FT",Milestones!$AA$134=FT_Y5,EDATE($D123,Milestones!$AA$134)&lt;PolicyEff),1,Milestones!$AC$134)&amp;";  ","")&amp;IF(AND(EDATE($D123,Milestones!$AA$135)&lt;=AsOfDate,EDATE($D123,Milestones!$AA$135)&gt;=SchemeStart,IF($X123=0,$AD123,IF(AND($Z123&lt;&gt;"",EDATE($D123,Milestones!$AA$135)&gt;=$Z123),$AC123,IF(AND($Y123&lt;&gt;"",EDATE($D123,Milestones!$AA$135)&gt;=$Y123),$AB123,$AA123)))=Milestones!$AB$135),UPPER(TEXT(EDATE($D123,Milestones!$AA$135),"dd mmm yy"))&amp;" "&amp;Milestones!$AB$135&amp;" "&amp;IF(AND(Milestones!$AB$135="FT",Milestones!$AA$135=FT_Y5,EDATE($D123,Milestones!$AA$135)&lt;PolicyEff),1,Milestones!$AC$135)&amp;";  ","")&amp;IF(AND(EDATE($D123,Milestones!$AA$136)&lt;=AsOfDate,EDATE($D123,Milestones!$AA$136)&gt;=SchemeStart,IF($X123=0,$AD123,IF(AND($Z123&lt;&gt;"",EDATE($D123,Milestones!$AA$136)&gt;=$Z123),$AC123,IF(AND($Y123&lt;&gt;"",EDATE($D123,Milestones!$AA$136)&gt;=$Y123),$AB123,$AA123)))=Milestones!$AB$136),UPPER(TEXT(EDATE($D123,Milestones!$AA$136),"dd mmm yy"))&amp;" "&amp;Milestones!$AB$136&amp;" "&amp;IF(AND(Milestones!$AB$136="FT",Milestones!$AA$136=FT_Y5,EDATE($D123,Milestones!$AA$136)&lt;PolicyEff),1,Milestones!$AC$136)&amp;";  ","")&amp;IF(AND(EDATE($D123,Milestones!$AA$137)&lt;=AsOfDate,EDATE($D123,Milestones!$AA$137)&gt;=SchemeStart,IF($X123=0,$AD123,IF(AND($Z123&lt;&gt;"",EDATE($D123,Milestones!$AA$137)&gt;=$Z123),$AC123,IF(AND($Y123&lt;&gt;"",EDATE($D123,Milestones!$AA$137)&gt;=$Y123),$AB123,$AA123)))=Milestones!$AB$137),UPPER(TEXT(EDATE($D123,Milestones!$AA$137),"dd mmm yy"))&amp;" "&amp;Milestones!$AB$137&amp;" "&amp;IF(AND(Milestones!$AB$137="FT",Milestones!$AA$137=FT_Y5,EDATE($D123,Milestones!$AA$137)&lt;PolicyEff),1,Milestones!$AC$137)&amp;";  ","")&amp;IF(AND(EDATE($D123,Milestones!$AA$138)&lt;=AsOfDate,EDATE($D123,Milestones!$AA$138)&gt;=SchemeStart,IF($X123=0,$AD123,IF(AND($Z123&lt;&gt;"",EDATE($D123,Milestones!$AA$138)&gt;=$Z123),$AC123,IF(AND($Y123&lt;&gt;"",EDATE($D123,Milestones!$AA$138)&gt;=$Y123),$AB123,$AA123)))=Milestones!$AB$138),UPPER(TEXT(EDATE($D123,Milestones!$AA$138),"dd mmm yy"))&amp;" "&amp;Milestones!$AB$138&amp;" "&amp;IF(AND(Milestones!$AB$138="FT",Milestones!$AA$138=FT_Y5,EDATE($D123,Milestones!$AA$138)&lt;PolicyEff),1,Milestones!$AC$138)&amp;";  ","")&amp;IF(AND(EDATE($D123,Milestones!$AA$139)&lt;=AsOfDate,EDATE($D123,Milestones!$AA$139)&gt;=SchemeStart,IF($X123=0,$AD123,IF(AND($Z123&lt;&gt;"",EDATE($D123,Milestones!$AA$139)&gt;=$Z123),$AC123,IF(AND($Y123&lt;&gt;"",EDATE($D123,Milestones!$AA$139)&gt;=$Y123),$AB123,$AA123)))=Milestones!$AB$139),UPPER(TEXT(EDATE($D123,Milestones!$AA$139),"dd mmm yy"))&amp;" "&amp;Milestones!$AB$139&amp;" "&amp;IF(AND(Milestones!$AB$139="FT",Milestones!$AA$139=FT_Y5,EDATE($D123,Milestones!$AA$139)&lt;PolicyEff),1,Milestones!$AC$139)&amp;";  ",""))</f>
        <v/>
      </c>
      <c r="S123" s="0" t="str">
        <f aca="false">IF(OR($A123="",$D123=""),"",IF(AND(EDATE($D123,Milestones!$AA$140)&lt;=AsOfDate,EDATE($D123,Milestones!$AA$140)&gt;=SchemeStart,IF($X123=0,$AD123,IF(AND($Z123&lt;&gt;"",EDATE($D123,Milestones!$AA$140)&gt;=$Z123),$AC123,IF(AND($Y123&lt;&gt;"",EDATE($D123,Milestones!$AA$140)&gt;=$Y123),$AB123,$AA123)))=Milestones!$AB$140),UPPER(TEXT(EDATE($D123,Milestones!$AA$140),"dd mmm yy"))&amp;" "&amp;Milestones!$AB$140&amp;" "&amp;IF(AND(Milestones!$AB$140="FT",Milestones!$AA$140=FT_Y5,EDATE($D123,Milestones!$AA$140)&lt;PolicyEff),1,Milestones!$AC$140)&amp;";  ","")&amp;IF(AND(EDATE($D123,Milestones!$AA$141)&lt;=AsOfDate,EDATE($D123,Milestones!$AA$141)&gt;=SchemeStart,IF($X123=0,$AD123,IF(AND($Z123&lt;&gt;"",EDATE($D123,Milestones!$AA$141)&gt;=$Z123),$AC123,IF(AND($Y123&lt;&gt;"",EDATE($D123,Milestones!$AA$141)&gt;=$Y123),$AB123,$AA123)))=Milestones!$AB$141),UPPER(TEXT(EDATE($D123,Milestones!$AA$141),"dd mmm yy"))&amp;" "&amp;Milestones!$AB$141&amp;" "&amp;IF(AND(Milestones!$AB$141="FT",Milestones!$AA$141=FT_Y5,EDATE($D123,Milestones!$AA$141)&lt;PolicyEff),1,Milestones!$AC$141)&amp;";  ","")&amp;IF(AND(EDATE($D123,Milestones!$AA$142)&lt;=AsOfDate,EDATE($D123,Milestones!$AA$142)&gt;=SchemeStart,IF($X123=0,$AD123,IF(AND($Z123&lt;&gt;"",EDATE($D123,Milestones!$AA$142)&gt;=$Z123),$AC123,IF(AND($Y123&lt;&gt;"",EDATE($D123,Milestones!$AA$142)&gt;=$Y123),$AB123,$AA123)))=Milestones!$AB$142),UPPER(TEXT(EDATE($D123,Milestones!$AA$142),"dd mmm yy"))&amp;" "&amp;Milestones!$AB$142&amp;" "&amp;IF(AND(Milestones!$AB$142="FT",Milestones!$AA$142=FT_Y5,EDATE($D123,Milestones!$AA$142)&lt;PolicyEff),1,Milestones!$AC$142)&amp;";  ","")&amp;IF(AND(EDATE($D123,Milestones!$AA$143)&lt;=AsOfDate,EDATE($D123,Milestones!$AA$143)&gt;=SchemeStart,IF($X123=0,$AD123,IF(AND($Z123&lt;&gt;"",EDATE($D123,Milestones!$AA$143)&gt;=$Z123),$AC123,IF(AND($Y123&lt;&gt;"",EDATE($D123,Milestones!$AA$143)&gt;=$Y123),$AB123,$AA123)))=Milestones!$AB$143),UPPER(TEXT(EDATE($D123,Milestones!$AA$143),"dd mmm yy"))&amp;" "&amp;Milestones!$AB$143&amp;" "&amp;IF(AND(Milestones!$AB$143="FT",Milestones!$AA$143=FT_Y5,EDATE($D123,Milestones!$AA$143)&lt;PolicyEff),1,Milestones!$AC$143)&amp;";  ","")&amp;IF(AND(EDATE($D123,Milestones!$AA$144)&lt;=AsOfDate,EDATE($D123,Milestones!$AA$144)&gt;=SchemeStart,IF($X123=0,$AD123,IF(AND($Z123&lt;&gt;"",EDATE($D123,Milestones!$AA$144)&gt;=$Z123),$AC123,IF(AND($Y123&lt;&gt;"",EDATE($D123,Milestones!$AA$144)&gt;=$Y123),$AB123,$AA123)))=Milestones!$AB$144),UPPER(TEXT(EDATE($D123,Milestones!$AA$144),"dd mmm yy"))&amp;" "&amp;Milestones!$AB$144&amp;" "&amp;IF(AND(Milestones!$AB$144="FT",Milestones!$AA$144=FT_Y5,EDATE($D123,Milestones!$AA$144)&lt;PolicyEff),1,Milestones!$AC$144)&amp;";  ","")&amp;IF(AND(EDATE($D123,Milestones!$AA$145)&lt;=AsOfDate,EDATE($D123,Milestones!$AA$145)&gt;=SchemeStart,IF($X123=0,$AD123,IF(AND($Z123&lt;&gt;"",EDATE($D123,Milestones!$AA$145)&gt;=$Z123),$AC123,IF(AND($Y123&lt;&gt;"",EDATE($D123,Milestones!$AA$145)&gt;=$Y123),$AB123,$AA123)))=Milestones!$AB$145),UPPER(TEXT(EDATE($D123,Milestones!$AA$145),"dd mmm yy"))&amp;" "&amp;Milestones!$AB$145&amp;" "&amp;IF(AND(Milestones!$AB$145="FT",Milestones!$AA$145=FT_Y5,EDATE($D123,Milestones!$AA$145)&lt;PolicyEff),1,Milestones!$AC$145)&amp;";  ","")&amp;IF(AND(EDATE($D123,Milestones!$AA$146)&lt;=AsOfDate,EDATE($D123,Milestones!$AA$146)&gt;=SchemeStart,IF($X123=0,$AD123,IF(AND($Z123&lt;&gt;"",EDATE($D123,Milestones!$AA$146)&gt;=$Z123),$AC123,IF(AND($Y123&lt;&gt;"",EDATE($D123,Milestones!$AA$146)&gt;=$Y123),$AB123,$AA123)))=Milestones!$AB$146),UPPER(TEXT(EDATE($D123,Milestones!$AA$146),"dd mmm yy"))&amp;" "&amp;Milestones!$AB$146&amp;" "&amp;IF(AND(Milestones!$AB$146="FT",Milestones!$AA$146=FT_Y5,EDATE($D123,Milestones!$AA$146)&lt;PolicyEff),1,Milestones!$AC$146)&amp;";  ","")&amp;IF(AND(EDATE($D123,Milestones!$AA$147)&lt;=AsOfDate,EDATE($D123,Milestones!$AA$147)&gt;=SchemeStart,IF($X123=0,$AD123,IF(AND($Z123&lt;&gt;"",EDATE($D123,Milestones!$AA$147)&gt;=$Z123),$AC123,IF(AND($Y123&lt;&gt;"",EDATE($D123,Milestones!$AA$147)&gt;=$Y123),$AB123,$AA123)))=Milestones!$AB$147),UPPER(TEXT(EDATE($D123,Milestones!$AA$147),"dd mmm yy"))&amp;" "&amp;Milestones!$AB$147&amp;" "&amp;IF(AND(Milestones!$AB$147="FT",Milestones!$AA$147=FT_Y5,EDATE($D123,Milestones!$AA$147)&lt;PolicyEff),1,Milestones!$AC$147)&amp;";  ","")&amp;IF(AND(EDATE($D123,Milestones!$AA$148)&lt;=AsOfDate,EDATE($D123,Milestones!$AA$148)&gt;=SchemeStart,IF($X123=0,$AD123,IF(AND($Z123&lt;&gt;"",EDATE($D123,Milestones!$AA$148)&gt;=$Z123),$AC123,IF(AND($Y123&lt;&gt;"",EDATE($D123,Milestones!$AA$148)&gt;=$Y123),$AB123,$AA123)))=Milestones!$AB$148),UPPER(TEXT(EDATE($D123,Milestones!$AA$148),"dd mmm yy"))&amp;" "&amp;Milestones!$AB$148&amp;" "&amp;IF(AND(Milestones!$AB$148="FT",Milestones!$AA$148=FT_Y5,EDATE($D123,Milestones!$AA$148)&lt;PolicyEff),1,Milestones!$AC$148)&amp;";  ","")&amp;IF(AND(EDATE($D123,Milestones!$AA$149)&lt;=AsOfDate,EDATE($D123,Milestones!$AA$149)&gt;=SchemeStart,IF($X123=0,$AD123,IF(AND($Z123&lt;&gt;"",EDATE($D123,Milestones!$AA$149)&gt;=$Z123),$AC123,IF(AND($Y123&lt;&gt;"",EDATE($D123,Milestones!$AA$149)&gt;=$Y123),$AB123,$AA123)))=Milestones!$AB$149),UPPER(TEXT(EDATE($D123,Milestones!$AA$149),"dd mmm yy"))&amp;" "&amp;Milestones!$AB$149&amp;" "&amp;IF(AND(Milestones!$AB$149="FT",Milestones!$AA$149=FT_Y5,EDATE($D123,Milestones!$AA$149)&lt;PolicyEff),1,Milestones!$AC$149)&amp;";  ","")&amp;IF(AND(EDATE($D123,Milestones!$AA$150)&lt;=AsOfDate,EDATE($D123,Milestones!$AA$150)&gt;=SchemeStart,IF($X123=0,$AD123,IF(AND($Z123&lt;&gt;"",EDATE($D123,Milestones!$AA$150)&gt;=$Z123),$AC123,IF(AND($Y123&lt;&gt;"",EDATE($D123,Milestones!$AA$150)&gt;=$Y123),$AB123,$AA123)))=Milestones!$AB$150),UPPER(TEXT(EDATE($D123,Milestones!$AA$150),"dd mmm yy"))&amp;" "&amp;Milestones!$AB$150&amp;" "&amp;IF(AND(Milestones!$AB$150="FT",Milestones!$AA$150=FT_Y5,EDATE($D123,Milestones!$AA$150)&lt;PolicyEff),1,Milestones!$AC$150)&amp;";  ","")&amp;IF(AND(EDATE($D123,Milestones!$AA$151)&lt;=AsOfDate,EDATE($D123,Milestones!$AA$151)&gt;=SchemeStart,IF($X123=0,$AD123,IF(AND($Z123&lt;&gt;"",EDATE($D123,Milestones!$AA$151)&gt;=$Z123),$AC123,IF(AND($Y123&lt;&gt;"",EDATE($D123,Milestones!$AA$151)&gt;=$Y123),$AB123,$AA123)))=Milestones!$AB$151),UPPER(TEXT(EDATE($D123,Milestones!$AA$151),"dd mmm yy"))&amp;" "&amp;Milestones!$AB$151&amp;" "&amp;IF(AND(Milestones!$AB$151="FT",Milestones!$AA$151=FT_Y5,EDATE($D123,Milestones!$AA$151)&lt;PolicyEff),1,Milestones!$AC$151)&amp;";  ",""))</f>
        <v/>
      </c>
      <c r="T123" s="0" t="str">
        <f aca="false">IF(OR($A123="",$D123=""),"",IF(AND(EDATE($D123,Milestones!$AA$152)&lt;=AsOfDate,EDATE($D123,Milestones!$AA$152)&gt;=SchemeStart,IF($X123=0,$AD123,IF(AND($Z123&lt;&gt;"",EDATE($D123,Milestones!$AA$152)&gt;=$Z123),$AC123,IF(AND($Y123&lt;&gt;"",EDATE($D123,Milestones!$AA$152)&gt;=$Y123),$AB123,$AA123)))=Milestones!$AB$152),UPPER(TEXT(EDATE($D123,Milestones!$AA$152),"dd mmm yy"))&amp;" "&amp;Milestones!$AB$152&amp;" "&amp;IF(AND(Milestones!$AB$152="FT",Milestones!$AA$152=FT_Y5,EDATE($D123,Milestones!$AA$152)&lt;PolicyEff),1,Milestones!$AC$152)&amp;";  ","")&amp;IF(AND(EDATE($D123,Milestones!$AA$153)&lt;=AsOfDate,EDATE($D123,Milestones!$AA$153)&gt;=SchemeStart,IF($X123=0,$AD123,IF(AND($Z123&lt;&gt;"",EDATE($D123,Milestones!$AA$153)&gt;=$Z123),$AC123,IF(AND($Y123&lt;&gt;"",EDATE($D123,Milestones!$AA$153)&gt;=$Y123),$AB123,$AA123)))=Milestones!$AB$153),UPPER(TEXT(EDATE($D123,Milestones!$AA$153),"dd mmm yy"))&amp;" "&amp;Milestones!$AB$153&amp;" "&amp;IF(AND(Milestones!$AB$153="FT",Milestones!$AA$153=FT_Y5,EDATE($D123,Milestones!$AA$153)&lt;PolicyEff),1,Milestones!$AC$153)&amp;";  ","")&amp;IF(AND(EDATE($D123,Milestones!$AA$154)&lt;=AsOfDate,EDATE($D123,Milestones!$AA$154)&gt;=SchemeStart,IF($X123=0,$AD123,IF(AND($Z123&lt;&gt;"",EDATE($D123,Milestones!$AA$154)&gt;=$Z123),$AC123,IF(AND($Y123&lt;&gt;"",EDATE($D123,Milestones!$AA$154)&gt;=$Y123),$AB123,$AA123)))=Milestones!$AB$154),UPPER(TEXT(EDATE($D123,Milestones!$AA$154),"dd mmm yy"))&amp;" "&amp;Milestones!$AB$154&amp;" "&amp;IF(AND(Milestones!$AB$154="FT",Milestones!$AA$154=FT_Y5,EDATE($D123,Milestones!$AA$154)&lt;PolicyEff),1,Milestones!$AC$154)&amp;";  ","")&amp;IF(AND(EDATE($D123,Milestones!$AA$155)&lt;=AsOfDate,EDATE($D123,Milestones!$AA$155)&gt;=SchemeStart,IF($X123=0,$AD123,IF(AND($Z123&lt;&gt;"",EDATE($D123,Milestones!$AA$155)&gt;=$Z123),$AC123,IF(AND($Y123&lt;&gt;"",EDATE($D123,Milestones!$AA$155)&gt;=$Y123),$AB123,$AA123)))=Milestones!$AB$155),UPPER(TEXT(EDATE($D123,Milestones!$AA$155),"dd mmm yy"))&amp;" "&amp;Milestones!$AB$155&amp;" "&amp;IF(AND(Milestones!$AB$155="FT",Milestones!$AA$155=FT_Y5,EDATE($D123,Milestones!$AA$155)&lt;PolicyEff),1,Milestones!$AC$155)&amp;";  ","")&amp;IF(AND(EDATE($D123,Milestones!$AA$156)&lt;=AsOfDate,EDATE($D123,Milestones!$AA$156)&gt;=SchemeStart,IF($X123=0,$AD123,IF(AND($Z123&lt;&gt;"",EDATE($D123,Milestones!$AA$156)&gt;=$Z123),$AC123,IF(AND($Y123&lt;&gt;"",EDATE($D123,Milestones!$AA$156)&gt;=$Y123),$AB123,$AA123)))=Milestones!$AB$156),UPPER(TEXT(EDATE($D123,Milestones!$AA$156),"dd mmm yy"))&amp;" "&amp;Milestones!$AB$156&amp;" "&amp;IF(AND(Milestones!$AB$156="FT",Milestones!$AA$156=FT_Y5,EDATE($D123,Milestones!$AA$156)&lt;PolicyEff),1,Milestones!$AC$156)&amp;";  ","")&amp;IF(AND(EDATE($D123,Milestones!$AA$157)&lt;=AsOfDate,EDATE($D123,Milestones!$AA$157)&gt;=SchemeStart,IF($X123=0,$AD123,IF(AND($Z123&lt;&gt;"",EDATE($D123,Milestones!$AA$157)&gt;=$Z123),$AC123,IF(AND($Y123&lt;&gt;"",EDATE($D123,Milestones!$AA$157)&gt;=$Y123),$AB123,$AA123)))=Milestones!$AB$157),UPPER(TEXT(EDATE($D123,Milestones!$AA$157),"dd mmm yy"))&amp;" "&amp;Milestones!$AB$157&amp;" "&amp;IF(AND(Milestones!$AB$157="FT",Milestones!$AA$157=FT_Y5,EDATE($D123,Milestones!$AA$157)&lt;PolicyEff),1,Milestones!$AC$157)&amp;";  ","")&amp;IF(AND(EDATE($D123,Milestones!$AA$158)&lt;=AsOfDate,EDATE($D123,Milestones!$AA$158)&gt;=SchemeStart,IF($X123=0,$AD123,IF(AND($Z123&lt;&gt;"",EDATE($D123,Milestones!$AA$158)&gt;=$Z123),$AC123,IF(AND($Y123&lt;&gt;"",EDATE($D123,Milestones!$AA$158)&gt;=$Y123),$AB123,$AA123)))=Milestones!$AB$158),UPPER(TEXT(EDATE($D123,Milestones!$AA$158),"dd mmm yy"))&amp;" "&amp;Milestones!$AB$158&amp;" "&amp;IF(AND(Milestones!$AB$158="FT",Milestones!$AA$158=FT_Y5,EDATE($D123,Milestones!$AA$158)&lt;PolicyEff),1,Milestones!$AC$158)&amp;";  ","")&amp;IF(AND(EDATE($D123,Milestones!$AA$159)&lt;=AsOfDate,EDATE($D123,Milestones!$AA$159)&gt;=SchemeStart,IF($X123=0,$AD123,IF(AND($Z123&lt;&gt;"",EDATE($D123,Milestones!$AA$159)&gt;=$Z123),$AC123,IF(AND($Y123&lt;&gt;"",EDATE($D123,Milestones!$AA$159)&gt;=$Y123),$AB123,$AA123)))=Milestones!$AB$159),UPPER(TEXT(EDATE($D123,Milestones!$AA$159),"dd mmm yy"))&amp;" "&amp;Milestones!$AB$159&amp;" "&amp;IF(AND(Milestones!$AB$159="FT",Milestones!$AA$159=FT_Y5,EDATE($D123,Milestones!$AA$159)&lt;PolicyEff),1,Milestones!$AC$159)&amp;";  ","")&amp;IF(AND(EDATE($D123,Milestones!$AA$160)&lt;=AsOfDate,EDATE($D123,Milestones!$AA$160)&gt;=SchemeStart,IF($X123=0,$AD123,IF(AND($Z123&lt;&gt;"",EDATE($D123,Milestones!$AA$160)&gt;=$Z123),$AC123,IF(AND($Y123&lt;&gt;"",EDATE($D123,Milestones!$AA$160)&gt;=$Y123),$AB123,$AA123)))=Milestones!$AB$160),UPPER(TEXT(EDATE($D123,Milestones!$AA$160),"dd mmm yy"))&amp;" "&amp;Milestones!$AB$160&amp;" "&amp;IF(AND(Milestones!$AB$160="FT",Milestones!$AA$160=FT_Y5,EDATE($D123,Milestones!$AA$160)&lt;PolicyEff),1,Milestones!$AC$160)&amp;";  ","")&amp;IF(AND(EDATE($D123,Milestones!$AA$161)&lt;=AsOfDate,EDATE($D123,Milestones!$AA$161)&gt;=SchemeStart,IF($X123=0,$AD123,IF(AND($Z123&lt;&gt;"",EDATE($D123,Milestones!$AA$161)&gt;=$Z123),$AC123,IF(AND($Y123&lt;&gt;"",EDATE($D123,Milestones!$AA$161)&gt;=$Y123),$AB123,$AA123)))=Milestones!$AB$161),UPPER(TEXT(EDATE($D123,Milestones!$AA$161),"dd mmm yy"))&amp;" "&amp;Milestones!$AB$161&amp;" "&amp;IF(AND(Milestones!$AB$161="FT",Milestones!$AA$161=FT_Y5,EDATE($D123,Milestones!$AA$161)&lt;PolicyEff),1,Milestones!$AC$161)&amp;";  ","")&amp;IF(AND(EDATE($D123,Milestones!$AA$162)&lt;=AsOfDate,EDATE($D123,Milestones!$AA$162)&gt;=SchemeStart,IF($X123=0,$AD123,IF(AND($Z123&lt;&gt;"",EDATE($D123,Milestones!$AA$162)&gt;=$Z123),$AC123,IF(AND($Y123&lt;&gt;"",EDATE($D123,Milestones!$AA$162)&gt;=$Y123),$AB123,$AA123)))=Milestones!$AB$162),UPPER(TEXT(EDATE($D123,Milestones!$AA$162),"dd mmm yy"))&amp;" "&amp;Milestones!$AB$162&amp;" "&amp;IF(AND(Milestones!$AB$162="FT",Milestones!$AA$162=FT_Y5,EDATE($D123,Milestones!$AA$162)&lt;PolicyEff),1,Milestones!$AC$162)&amp;";  ","")&amp;IF(AND(EDATE($D123,Milestones!$AA$163)&lt;=AsOfDate,EDATE($D123,Milestones!$AA$163)&gt;=SchemeStart,IF($X123=0,$AD123,IF(AND($Z123&lt;&gt;"",EDATE($D123,Milestones!$AA$163)&gt;=$Z123),$AC123,IF(AND($Y123&lt;&gt;"",EDATE($D123,Milestones!$AA$163)&gt;=$Y123),$AB123,$AA123)))=Milestones!$AB$163),UPPER(TEXT(EDATE($D123,Milestones!$AA$163),"dd mmm yy"))&amp;" "&amp;Milestones!$AB$163&amp;" "&amp;IF(AND(Milestones!$AB$163="FT",Milestones!$AA$163=FT_Y5,EDATE($D123,Milestones!$AA$163)&lt;PolicyEff),1,Milestones!$AC$163)&amp;";  ",""))</f>
        <v/>
      </c>
      <c r="U123" s="0" t="str">
        <f aca="false">IF(OR($A123="",$D123=""),"",IF(AND(EDATE($D123,Milestones!$AA$164)&lt;=AsOfDate,EDATE($D123,Milestones!$AA$164)&gt;=SchemeStart,IF($X123=0,$AD123,IF(AND($Z123&lt;&gt;"",EDATE($D123,Milestones!$AA$164)&gt;=$Z123),$AC123,IF(AND($Y123&lt;&gt;"",EDATE($D123,Milestones!$AA$164)&gt;=$Y123),$AB123,$AA123)))=Milestones!$AB$164),UPPER(TEXT(EDATE($D123,Milestones!$AA$164),"dd mmm yy"))&amp;" "&amp;Milestones!$AB$164&amp;" "&amp;IF(AND(Milestones!$AB$164="FT",Milestones!$AA$164=FT_Y5,EDATE($D123,Milestones!$AA$164)&lt;PolicyEff),1,Milestones!$AC$164)&amp;";  ","")&amp;IF(AND(EDATE($D123,Milestones!$AA$165)&lt;=AsOfDate,EDATE($D123,Milestones!$AA$165)&gt;=SchemeStart,IF($X123=0,$AD123,IF(AND($Z123&lt;&gt;"",EDATE($D123,Milestones!$AA$165)&gt;=$Z123),$AC123,IF(AND($Y123&lt;&gt;"",EDATE($D123,Milestones!$AA$165)&gt;=$Y123),$AB123,$AA123)))=Milestones!$AB$165),UPPER(TEXT(EDATE($D123,Milestones!$AA$165),"dd mmm yy"))&amp;" "&amp;Milestones!$AB$165&amp;" "&amp;IF(AND(Milestones!$AB$165="FT",Milestones!$AA$165=FT_Y5,EDATE($D123,Milestones!$AA$165)&lt;PolicyEff),1,Milestones!$AC$165)&amp;";  ","")&amp;IF(AND(EDATE($D123,Milestones!$AA$166)&lt;=AsOfDate,EDATE($D123,Milestones!$AA$166)&gt;=SchemeStart,IF($X123=0,$AD123,IF(AND($Z123&lt;&gt;"",EDATE($D123,Milestones!$AA$166)&gt;=$Z123),$AC123,IF(AND($Y123&lt;&gt;"",EDATE($D123,Milestones!$AA$166)&gt;=$Y123),$AB123,$AA123)))=Milestones!$AB$166),UPPER(TEXT(EDATE($D123,Milestones!$AA$166),"dd mmm yy"))&amp;" "&amp;Milestones!$AB$166&amp;" "&amp;IF(AND(Milestones!$AB$166="FT",Milestones!$AA$166=FT_Y5,EDATE($D123,Milestones!$AA$166)&lt;PolicyEff),1,Milestones!$AC$166)&amp;";  ","")&amp;IF(AND(EDATE($D123,Milestones!$AA$167)&lt;=AsOfDate,EDATE($D123,Milestones!$AA$167)&gt;=SchemeStart,IF($X123=0,$AD123,IF(AND($Z123&lt;&gt;"",EDATE($D123,Milestones!$AA$167)&gt;=$Z123),$AC123,IF(AND($Y123&lt;&gt;"",EDATE($D123,Milestones!$AA$167)&gt;=$Y123),$AB123,$AA123)))=Milestones!$AB$167),UPPER(TEXT(EDATE($D123,Milestones!$AA$167),"dd mmm yy"))&amp;" "&amp;Milestones!$AB$167&amp;" "&amp;IF(AND(Milestones!$AB$167="FT",Milestones!$AA$167=FT_Y5,EDATE($D123,Milestones!$AA$167)&lt;PolicyEff),1,Milestones!$AC$167)&amp;";  ","")&amp;IF(AND(EDATE($D123,Milestones!$AA$168)&lt;=AsOfDate,EDATE($D123,Milestones!$AA$168)&gt;=SchemeStart,IF($X123=0,$AD123,IF(AND($Z123&lt;&gt;"",EDATE($D123,Milestones!$AA$168)&gt;=$Z123),$AC123,IF(AND($Y123&lt;&gt;"",EDATE($D123,Milestones!$AA$168)&gt;=$Y123),$AB123,$AA123)))=Milestones!$AB$168),UPPER(TEXT(EDATE($D123,Milestones!$AA$168),"dd mmm yy"))&amp;" "&amp;Milestones!$AB$168&amp;" "&amp;IF(AND(Milestones!$AB$168="FT",Milestones!$AA$168=FT_Y5,EDATE($D123,Milestones!$AA$168)&lt;PolicyEff),1,Milestones!$AC$168)&amp;";  ","")&amp;IF(AND(EDATE($D123,Milestones!$AA$169)&lt;=AsOfDate,EDATE($D123,Milestones!$AA$169)&gt;=SchemeStart,IF($X123=0,$AD123,IF(AND($Z123&lt;&gt;"",EDATE($D123,Milestones!$AA$169)&gt;=$Z123),$AC123,IF(AND($Y123&lt;&gt;"",EDATE($D123,Milestones!$AA$169)&gt;=$Y123),$AB123,$AA123)))=Milestones!$AB$169),UPPER(TEXT(EDATE($D123,Milestones!$AA$169),"dd mmm yy"))&amp;" "&amp;Milestones!$AB$169&amp;" "&amp;IF(AND(Milestones!$AB$169="FT",Milestones!$AA$169=FT_Y5,EDATE($D123,Milestones!$AA$169)&lt;PolicyEff),1,Milestones!$AC$169)&amp;";  ","")&amp;IF(AND(EDATE($D123,Milestones!$AA$170)&lt;=AsOfDate,EDATE($D123,Milestones!$AA$170)&gt;=SchemeStart,IF($X123=0,$AD123,IF(AND($Z123&lt;&gt;"",EDATE($D123,Milestones!$AA$170)&gt;=$Z123),$AC123,IF(AND($Y123&lt;&gt;"",EDATE($D123,Milestones!$AA$170)&gt;=$Y123),$AB123,$AA123)))=Milestones!$AB$170),UPPER(TEXT(EDATE($D123,Milestones!$AA$170),"dd mmm yy"))&amp;" "&amp;Milestones!$AB$170&amp;" "&amp;IF(AND(Milestones!$AB$170="FT",Milestones!$AA$170=FT_Y5,EDATE($D123,Milestones!$AA$170)&lt;PolicyEff),1,Milestones!$AC$170)&amp;";  ","")&amp;IF(AND(EDATE($D123,Milestones!$AA$171)&lt;=AsOfDate,EDATE($D123,Milestones!$AA$171)&gt;=SchemeStart,IF($X123=0,$AD123,IF(AND($Z123&lt;&gt;"",EDATE($D123,Milestones!$AA$171)&gt;=$Z123),$AC123,IF(AND($Y123&lt;&gt;"",EDATE($D123,Milestones!$AA$171)&gt;=$Y123),$AB123,$AA123)))=Milestones!$AB$171),UPPER(TEXT(EDATE($D123,Milestones!$AA$171),"dd mmm yy"))&amp;" "&amp;Milestones!$AB$171&amp;" "&amp;IF(AND(Milestones!$AB$171="FT",Milestones!$AA$171=FT_Y5,EDATE($D123,Milestones!$AA$171)&lt;PolicyEff),1,Milestones!$AC$171)&amp;";  ","")&amp;IF(AND(EDATE($D123,Milestones!$AA$172)&lt;=AsOfDate,EDATE($D123,Milestones!$AA$172)&gt;=SchemeStart,IF($X123=0,$AD123,IF(AND($Z123&lt;&gt;"",EDATE($D123,Milestones!$AA$172)&gt;=$Z123),$AC123,IF(AND($Y123&lt;&gt;"",EDATE($D123,Milestones!$AA$172)&gt;=$Y123),$AB123,$AA123)))=Milestones!$AB$172),UPPER(TEXT(EDATE($D123,Milestones!$AA$172),"dd mmm yy"))&amp;" "&amp;Milestones!$AB$172&amp;" "&amp;IF(AND(Milestones!$AB$172="FT",Milestones!$AA$172=FT_Y5,EDATE($D123,Milestones!$AA$172)&lt;PolicyEff),1,Milestones!$AC$172)&amp;";  ","")&amp;IF(AND(EDATE($D123,Milestones!$AA$173)&lt;=AsOfDate,EDATE($D123,Milestones!$AA$173)&gt;=SchemeStart,IF($X123=0,$AD123,IF(AND($Z123&lt;&gt;"",EDATE($D123,Milestones!$AA$173)&gt;=$Z123),$AC123,IF(AND($Y123&lt;&gt;"",EDATE($D123,Milestones!$AA$173)&gt;=$Y123),$AB123,$AA123)))=Milestones!$AB$173),UPPER(TEXT(EDATE($D123,Milestones!$AA$173),"dd mmm yy"))&amp;" "&amp;Milestones!$AB$173&amp;" "&amp;IF(AND(Milestones!$AB$173="FT",Milestones!$AA$173=FT_Y5,EDATE($D123,Milestones!$AA$173)&lt;PolicyEff),1,Milestones!$AC$173)&amp;";  ","")&amp;IF(AND(EDATE($D123,Milestones!$AA$174)&lt;=AsOfDate,EDATE($D123,Milestones!$AA$174)&gt;=SchemeStart,IF($X123=0,$AD123,IF(AND($Z123&lt;&gt;"",EDATE($D123,Milestones!$AA$174)&gt;=$Z123),$AC123,IF(AND($Y123&lt;&gt;"",EDATE($D123,Milestones!$AA$174)&gt;=$Y123),$AB123,$AA123)))=Milestones!$AB$174),UPPER(TEXT(EDATE($D123,Milestones!$AA$174),"dd mmm yy"))&amp;" "&amp;Milestones!$AB$174&amp;" "&amp;IF(AND(Milestones!$AB$174="FT",Milestones!$AA$174=FT_Y5,EDATE($D123,Milestones!$AA$174)&lt;PolicyEff),1,Milestones!$AC$174)&amp;";  ","")&amp;IF(AND(EDATE($D123,Milestones!$AA$175)&lt;=AsOfDate,EDATE($D123,Milestones!$AA$175)&gt;=SchemeStart,IF($X123=0,$AD123,IF(AND($Z123&lt;&gt;"",EDATE($D123,Milestones!$AA$175)&gt;=$Z123),$AC123,IF(AND($Y123&lt;&gt;"",EDATE($D123,Milestones!$AA$175)&gt;=$Y123),$AB123,$AA123)))=Milestones!$AB$175),UPPER(TEXT(EDATE($D123,Milestones!$AA$175),"dd mmm yy"))&amp;" "&amp;Milestones!$AB$175&amp;" "&amp;IF(AND(Milestones!$AB$175="FT",Milestones!$AA$175=FT_Y5,EDATE($D123,Milestones!$AA$175)&lt;PolicyEff),1,Milestones!$AC$175)&amp;";  ",""))</f>
        <v/>
      </c>
      <c r="V123" s="0" t="str">
        <f aca="false">IF(OR($A123="",$D123=""),"",IF(AND(EDATE($D123,Milestones!$AA$176)&lt;=AsOfDate,EDATE($D123,Milestones!$AA$176)&gt;=SchemeStart,IF($X123=0,$AD123,IF(AND($Z123&lt;&gt;"",EDATE($D123,Milestones!$AA$176)&gt;=$Z123),$AC123,IF(AND($Y123&lt;&gt;"",EDATE($D123,Milestones!$AA$176)&gt;=$Y123),$AB123,$AA123)))=Milestones!$AB$176),UPPER(TEXT(EDATE($D123,Milestones!$AA$176),"dd mmm yy"))&amp;" "&amp;Milestones!$AB$176&amp;" "&amp;IF(AND(Milestones!$AB$176="FT",Milestones!$AA$176=FT_Y5,EDATE($D123,Milestones!$AA$176)&lt;PolicyEff),1,Milestones!$AC$176)&amp;";  ","")&amp;IF(AND(EDATE($D123,Milestones!$AA$177)&lt;=AsOfDate,EDATE($D123,Milestones!$AA$177)&gt;=SchemeStart,IF($X123=0,$AD123,IF(AND($Z123&lt;&gt;"",EDATE($D123,Milestones!$AA$177)&gt;=$Z123),$AC123,IF(AND($Y123&lt;&gt;"",EDATE($D123,Milestones!$AA$177)&gt;=$Y123),$AB123,$AA123)))=Milestones!$AB$177),UPPER(TEXT(EDATE($D123,Milestones!$AA$177),"dd mmm yy"))&amp;" "&amp;Milestones!$AB$177&amp;" "&amp;IF(AND(Milestones!$AB$177="FT",Milestones!$AA$177=FT_Y5,EDATE($D123,Milestones!$AA$177)&lt;PolicyEff),1,Milestones!$AC$177)&amp;";  ","")&amp;IF(AND(EDATE($D123,Milestones!$AA$178)&lt;=AsOfDate,EDATE($D123,Milestones!$AA$178)&gt;=SchemeStart,IF($X123=0,$AD123,IF(AND($Z123&lt;&gt;"",EDATE($D123,Milestones!$AA$178)&gt;=$Z123),$AC123,IF(AND($Y123&lt;&gt;"",EDATE($D123,Milestones!$AA$178)&gt;=$Y123),$AB123,$AA123)))=Milestones!$AB$178),UPPER(TEXT(EDATE($D123,Milestones!$AA$178),"dd mmm yy"))&amp;" "&amp;Milestones!$AB$178&amp;" "&amp;IF(AND(Milestones!$AB$178="FT",Milestones!$AA$178=FT_Y5,EDATE($D123,Milestones!$AA$178)&lt;PolicyEff),1,Milestones!$AC$178)&amp;";  ","")&amp;IF(AND(EDATE($D123,Milestones!$AA$179)&lt;=AsOfDate,EDATE($D123,Milestones!$AA$179)&gt;=SchemeStart,IF($X123=0,$AD123,IF(AND($Z123&lt;&gt;"",EDATE($D123,Milestones!$AA$179)&gt;=$Z123),$AC123,IF(AND($Y123&lt;&gt;"",EDATE($D123,Milestones!$AA$179)&gt;=$Y123),$AB123,$AA123)))=Milestones!$AB$179),UPPER(TEXT(EDATE($D123,Milestones!$AA$179),"dd mmm yy"))&amp;" "&amp;Milestones!$AB$179&amp;" "&amp;IF(AND(Milestones!$AB$179="FT",Milestones!$AA$179=FT_Y5,EDATE($D123,Milestones!$AA$179)&lt;PolicyEff),1,Milestones!$AC$179)&amp;";  ","")&amp;IF(AND(EDATE($D123,Milestones!$AA$180)&lt;=AsOfDate,EDATE($D123,Milestones!$AA$180)&gt;=SchemeStart,IF($X123=0,$AD123,IF(AND($Z123&lt;&gt;"",EDATE($D123,Milestones!$AA$180)&gt;=$Z123),$AC123,IF(AND($Y123&lt;&gt;"",EDATE($D123,Milestones!$AA$180)&gt;=$Y123),$AB123,$AA123)))=Milestones!$AB$180),UPPER(TEXT(EDATE($D123,Milestones!$AA$180),"dd mmm yy"))&amp;" "&amp;Milestones!$AB$180&amp;" "&amp;IF(AND(Milestones!$AB$180="FT",Milestones!$AA$180=FT_Y5,EDATE($D123,Milestones!$AA$180)&lt;PolicyEff),1,Milestones!$AC$180)&amp;";  ","")&amp;IF(AND(EDATE($D123,Milestones!$AA$181)&lt;=AsOfDate,EDATE($D123,Milestones!$AA$181)&gt;=SchemeStart,IF($X123=0,$AD123,IF(AND($Z123&lt;&gt;"",EDATE($D123,Milestones!$AA$181)&gt;=$Z123),$AC123,IF(AND($Y123&lt;&gt;"",EDATE($D123,Milestones!$AA$181)&gt;=$Y123),$AB123,$AA123)))=Milestones!$AB$181),UPPER(TEXT(EDATE($D123,Milestones!$AA$181),"dd mmm yy"))&amp;" "&amp;Milestones!$AB$181&amp;" "&amp;IF(AND(Milestones!$AB$181="FT",Milestones!$AA$181=FT_Y5,EDATE($D123,Milestones!$AA$181)&lt;PolicyEff),1,Milestones!$AC$181)&amp;";  ","")&amp;IF(AND(EDATE($D123,Milestones!$AA$182)&lt;=AsOfDate,EDATE($D123,Milestones!$AA$182)&gt;=SchemeStart,IF($X123=0,$AD123,IF(AND($Z123&lt;&gt;"",EDATE($D123,Milestones!$AA$182)&gt;=$Z123),$AC123,IF(AND($Y123&lt;&gt;"",EDATE($D123,Milestones!$AA$182)&gt;=$Y123),$AB123,$AA123)))=Milestones!$AB$182),UPPER(TEXT(EDATE($D123,Milestones!$AA$182),"dd mmm yy"))&amp;" "&amp;Milestones!$AB$182&amp;" "&amp;IF(AND(Milestones!$AB$182="FT",Milestones!$AA$182=FT_Y5,EDATE($D123,Milestones!$AA$182)&lt;PolicyEff),1,Milestones!$AC$182)&amp;";  ","")&amp;IF(AND(EDATE($D123,Milestones!$AA$183)&lt;=AsOfDate,EDATE($D123,Milestones!$AA$183)&gt;=SchemeStart,IF($X123=0,$AD123,IF(AND($Z123&lt;&gt;"",EDATE($D123,Milestones!$AA$183)&gt;=$Z123),$AC123,IF(AND($Y123&lt;&gt;"",EDATE($D123,Milestones!$AA$183)&gt;=$Y123),$AB123,$AA123)))=Milestones!$AB$183),UPPER(TEXT(EDATE($D123,Milestones!$AA$183),"dd mmm yy"))&amp;" "&amp;Milestones!$AB$183&amp;" "&amp;IF(AND(Milestones!$AB$183="FT",Milestones!$AA$183=FT_Y5,EDATE($D123,Milestones!$AA$183)&lt;PolicyEff),1,Milestones!$AC$183)&amp;";  ","")&amp;IF(AND(EDATE($D123,Milestones!$AA$184)&lt;=AsOfDate,EDATE($D123,Milestones!$AA$184)&gt;=SchemeStart,IF($X123=0,$AD123,IF(AND($Z123&lt;&gt;"",EDATE($D123,Milestones!$AA$184)&gt;=$Z123),$AC123,IF(AND($Y123&lt;&gt;"",EDATE($D123,Milestones!$AA$184)&gt;=$Y123),$AB123,$AA123)))=Milestones!$AB$184),UPPER(TEXT(EDATE($D123,Milestones!$AA$184),"dd mmm yy"))&amp;" "&amp;Milestones!$AB$184&amp;" "&amp;IF(AND(Milestones!$AB$184="FT",Milestones!$AA$184=FT_Y5,EDATE($D123,Milestones!$AA$184)&lt;PolicyEff),1,Milestones!$AC$184)&amp;";  ","")&amp;IF(AND(EDATE($D123,Milestones!$AA$185)&lt;=AsOfDate,EDATE($D123,Milestones!$AA$185)&gt;=SchemeStart,IF($X123=0,$AD123,IF(AND($Z123&lt;&gt;"",EDATE($D123,Milestones!$AA$185)&gt;=$Z123),$AC123,IF(AND($Y123&lt;&gt;"",EDATE($D123,Milestones!$AA$185)&gt;=$Y123),$AB123,$AA123)))=Milestones!$AB$185),UPPER(TEXT(EDATE($D123,Milestones!$AA$185),"dd mmm yy"))&amp;" "&amp;Milestones!$AB$185&amp;" "&amp;IF(AND(Milestones!$AB$185="FT",Milestones!$AA$185=FT_Y5,EDATE($D123,Milestones!$AA$185)&lt;PolicyEff),1,Milestones!$AC$185)&amp;";  ","")&amp;IF(AND(EDATE($D123,Milestones!$AA$186)&lt;=AsOfDate,EDATE($D123,Milestones!$AA$186)&gt;=SchemeStart,IF($X123=0,$AD123,IF(AND($Z123&lt;&gt;"",EDATE($D123,Milestones!$AA$186)&gt;=$Z123),$AC123,IF(AND($Y123&lt;&gt;"",EDATE($D123,Milestones!$AA$186)&gt;=$Y123),$AB123,$AA123)))=Milestones!$AB$186),UPPER(TEXT(EDATE($D123,Milestones!$AA$186),"dd mmm yy"))&amp;" "&amp;Milestones!$AB$186&amp;" "&amp;IF(AND(Milestones!$AB$186="FT",Milestones!$AA$186=FT_Y5,EDATE($D123,Milestones!$AA$186)&lt;PolicyEff),1,Milestones!$AC$186)&amp;";  ","")&amp;IF(AND(EDATE($D123,Milestones!$AA$187)&lt;=AsOfDate,EDATE($D123,Milestones!$AA$187)&gt;=SchemeStart,IF($X123=0,$AD123,IF(AND($Z123&lt;&gt;"",EDATE($D123,Milestones!$AA$187)&gt;=$Z123),$AC123,IF(AND($Y123&lt;&gt;"",EDATE($D123,Milestones!$AA$187)&gt;=$Y123),$AB123,$AA123)))=Milestones!$AB$187),UPPER(TEXT(EDATE($D123,Milestones!$AA$187),"dd mmm yy"))&amp;" "&amp;Milestones!$AB$187&amp;" "&amp;IF(AND(Milestones!$AB$187="FT",Milestones!$AA$187=FT_Y5,EDATE($D123,Milestones!$AA$187)&lt;PolicyEff),1,Milestones!$AC$187)&amp;";  ",""))</f>
        <v/>
      </c>
      <c r="W123" s="0" t="str">
        <f aca="false">IF(OR($A123="",$D123=""),"",IF(AND(EDATE($D123,Milestones!$AA$188)&lt;=AsOfDate,EDATE($D123,Milestones!$AA$188)&gt;=SchemeStart,IF($X123=0,$AD123,IF(AND($Z123&lt;&gt;"",EDATE($D123,Milestones!$AA$188)&gt;=$Z123),$AC123,IF(AND($Y123&lt;&gt;"",EDATE($D123,Milestones!$AA$188)&gt;=$Y123),$AB123,$AA123)))=Milestones!$AB$188),UPPER(TEXT(EDATE($D123,Milestones!$AA$188),"dd mmm yy"))&amp;" "&amp;Milestones!$AB$188&amp;" "&amp;IF(AND(Milestones!$AB$188="FT",Milestones!$AA$188=FT_Y5,EDATE($D123,Milestones!$AA$188)&lt;PolicyEff),1,Milestones!$AC$188)&amp;";  ","")&amp;IF(AND(EDATE($D123,Milestones!$AA$189)&lt;=AsOfDate,EDATE($D123,Milestones!$AA$189)&gt;=SchemeStart,IF($X123=0,$AD123,IF(AND($Z123&lt;&gt;"",EDATE($D123,Milestones!$AA$189)&gt;=$Z123),$AC123,IF(AND($Y123&lt;&gt;"",EDATE($D123,Milestones!$AA$189)&gt;=$Y123),$AB123,$AA123)))=Milestones!$AB$189),UPPER(TEXT(EDATE($D123,Milestones!$AA$189),"dd mmm yy"))&amp;" "&amp;Milestones!$AB$189&amp;" "&amp;IF(AND(Milestones!$AB$189="FT",Milestones!$AA$189=FT_Y5,EDATE($D123,Milestones!$AA$189)&lt;PolicyEff),1,Milestones!$AC$189)&amp;";  ","")&amp;IF(AND(EDATE($D123,Milestones!$AA$190)&lt;=AsOfDate,EDATE($D123,Milestones!$AA$190)&gt;=SchemeStart,IF($X123=0,$AD123,IF(AND($Z123&lt;&gt;"",EDATE($D123,Milestones!$AA$190)&gt;=$Z123),$AC123,IF(AND($Y123&lt;&gt;"",EDATE($D123,Milestones!$AA$190)&gt;=$Y123),$AB123,$AA123)))=Milestones!$AB$190),UPPER(TEXT(EDATE($D123,Milestones!$AA$190),"dd mmm yy"))&amp;" "&amp;Milestones!$AB$190&amp;" "&amp;IF(AND(Milestones!$AB$190="FT",Milestones!$AA$190=FT_Y5,EDATE($D123,Milestones!$AA$190)&lt;PolicyEff),1,Milestones!$AC$190)&amp;";  ","")&amp;IF(AND(EDATE($D123,Milestones!$AA$191)&lt;=AsOfDate,EDATE($D123,Milestones!$AA$191)&gt;=SchemeStart,IF($X123=0,$AD123,IF(AND($Z123&lt;&gt;"",EDATE($D123,Milestones!$AA$191)&gt;=$Z123),$AC123,IF(AND($Y123&lt;&gt;"",EDATE($D123,Milestones!$AA$191)&gt;=$Y123),$AB123,$AA123)))=Milestones!$AB$191),UPPER(TEXT(EDATE($D123,Milestones!$AA$191),"dd mmm yy"))&amp;" "&amp;Milestones!$AB$191&amp;" "&amp;IF(AND(Milestones!$AB$191="FT",Milestones!$AA$191=FT_Y5,EDATE($D123,Milestones!$AA$191)&lt;PolicyEff),1,Milestones!$AC$191)&amp;";  ","")&amp;IF(AND(EDATE($D123,Milestones!$AA$192)&lt;=AsOfDate,EDATE($D123,Milestones!$AA$192)&gt;=SchemeStart,IF($X123=0,$AD123,IF(AND($Z123&lt;&gt;"",EDATE($D123,Milestones!$AA$192)&gt;=$Z123),$AC123,IF(AND($Y123&lt;&gt;"",EDATE($D123,Milestones!$AA$192)&gt;=$Y123),$AB123,$AA123)))=Milestones!$AB$192),UPPER(TEXT(EDATE($D123,Milestones!$AA$192),"dd mmm yy"))&amp;" "&amp;Milestones!$AB$192&amp;" "&amp;IF(AND(Milestones!$AB$192="FT",Milestones!$AA$192=FT_Y5,EDATE($D123,Milestones!$AA$192)&lt;PolicyEff),1,Milestones!$AC$192)&amp;";  ","")&amp;IF(AND(EDATE($D123,Milestones!$AA$193)&lt;=AsOfDate,EDATE($D123,Milestones!$AA$193)&gt;=SchemeStart,IF($X123=0,$AD123,IF(AND($Z123&lt;&gt;"",EDATE($D123,Milestones!$AA$193)&gt;=$Z123),$AC123,IF(AND($Y123&lt;&gt;"",EDATE($D123,Milestones!$AA$193)&gt;=$Y123),$AB123,$AA123)))=Milestones!$AB$193),UPPER(TEXT(EDATE($D123,Milestones!$AA$193),"dd mmm yy"))&amp;" "&amp;Milestones!$AB$193&amp;" "&amp;IF(AND(Milestones!$AB$193="FT",Milestones!$AA$193=FT_Y5,EDATE($D123,Milestones!$AA$193)&lt;PolicyEff),1,Milestones!$AC$193)&amp;";  ","")&amp;IF(AND(EDATE($D123,Milestones!$AA$194)&lt;=AsOfDate,EDATE($D123,Milestones!$AA$194)&gt;=SchemeStart,IF($X123=0,$AD123,IF(AND($Z123&lt;&gt;"",EDATE($D123,Milestones!$AA$194)&gt;=$Z123),$AC123,IF(AND($Y123&lt;&gt;"",EDATE($D123,Milestones!$AA$194)&gt;=$Y123),$AB123,$AA123)))=Milestones!$AB$194),UPPER(TEXT(EDATE($D123,Milestones!$AA$194),"dd mmm yy"))&amp;" "&amp;Milestones!$AB$194&amp;" "&amp;IF(AND(Milestones!$AB$194="FT",Milestones!$AA$194=FT_Y5,EDATE($D123,Milestones!$AA$194)&lt;PolicyEff),1,Milestones!$AC$194)&amp;";  ","")&amp;IF(AND(EDATE($D123,Milestones!$AA$195)&lt;=AsOfDate,EDATE($D123,Milestones!$AA$195)&gt;=SchemeStart,IF($X123=0,$AD123,IF(AND($Z123&lt;&gt;"",EDATE($D123,Milestones!$AA$195)&gt;=$Z123),$AC123,IF(AND($Y123&lt;&gt;"",EDATE($D123,Milestones!$AA$195)&gt;=$Y123),$AB123,$AA123)))=Milestones!$AB$195),UPPER(TEXT(EDATE($D123,Milestones!$AA$195),"dd mmm yy"))&amp;" "&amp;Milestones!$AB$195&amp;" "&amp;IF(AND(Milestones!$AB$195="FT",Milestones!$AA$195=FT_Y5,EDATE($D123,Milestones!$AA$195)&lt;PolicyEff),1,Milestones!$AC$195)&amp;";  ","")&amp;IF(AND(EDATE($D123,Milestones!$AA$196)&lt;=AsOfDate,EDATE($D123,Milestones!$AA$196)&gt;=SchemeStart,IF($X123=0,$AD123,IF(AND($Z123&lt;&gt;"",EDATE($D123,Milestones!$AA$196)&gt;=$Z123),$AC123,IF(AND($Y123&lt;&gt;"",EDATE($D123,Milestones!$AA$196)&gt;=$Y123),$AB123,$AA123)))=Milestones!$AB$196),UPPER(TEXT(EDATE($D123,Milestones!$AA$196),"dd mmm yy"))&amp;" "&amp;Milestones!$AB$196&amp;" "&amp;IF(AND(Milestones!$AB$196="FT",Milestones!$AA$196=FT_Y5,EDATE($D123,Milestones!$AA$196)&lt;PolicyEff),1,Milestones!$AC$196)&amp;";  ","")&amp;IF(AND(EDATE($D123,Milestones!$AA$197)&lt;=AsOfDate,EDATE($D123,Milestones!$AA$197)&gt;=SchemeStart,IF($X123=0,$AD123,IF(AND($Z123&lt;&gt;"",EDATE($D123,Milestones!$AA$197)&gt;=$Z123),$AC123,IF(AND($Y123&lt;&gt;"",EDATE($D123,Milestones!$AA$197)&gt;=$Y123),$AB123,$AA123)))=Milestones!$AB$197),UPPER(TEXT(EDATE($D123,Milestones!$AA$197),"dd mmm yy"))&amp;" "&amp;Milestones!$AB$197&amp;" "&amp;IF(AND(Milestones!$AB$197="FT",Milestones!$AA$197=FT_Y5,EDATE($D123,Milestones!$AA$197)&lt;PolicyEff),1,Milestones!$AC$197)&amp;";  ","")&amp;IF(AND(EDATE($D123,Milestones!$AA$198)&lt;=AsOfDate,EDATE($D123,Milestones!$AA$198)&gt;=SchemeStart,IF($X123=0,$AD123,IF(AND($Z123&lt;&gt;"",EDATE($D123,Milestones!$AA$198)&gt;=$Z123),$AC123,IF(AND($Y123&lt;&gt;"",EDATE($D123,Milestones!$AA$198)&gt;=$Y123),$AB123,$AA123)))=Milestones!$AB$198),UPPER(TEXT(EDATE($D123,Milestones!$AA$198),"dd mmm yy"))&amp;" "&amp;Milestones!$AB$198&amp;" "&amp;IF(AND(Milestones!$AB$198="FT",Milestones!$AA$198=FT_Y5,EDATE($D123,Milestones!$AA$198)&lt;PolicyEff),1,Milestones!$AC$198)&amp;";  ","")&amp;IF(AND(EDATE($D123,Milestones!$AA$199)&lt;=AsOfDate,EDATE($D123,Milestones!$AA$199)&gt;=SchemeStart,IF($X123=0,$AD123,IF(AND($Z123&lt;&gt;"",EDATE($D123,Milestones!$AA$199)&gt;=$Z123),$AC123,IF(AND($Y123&lt;&gt;"",EDATE($D123,Milestones!$AA$199)&gt;=$Y123),$AB123,$AA123)))=Milestones!$AB$199),UPPER(TEXT(EDATE($D123,Milestones!$AA$199),"dd mmm yy"))&amp;" "&amp;Milestones!$AB$199&amp;" "&amp;IF(AND(Milestones!$AB$199="FT",Milestones!$AA$199=FT_Y5,EDATE($D123,Milestones!$AA$199)&lt;PolicyEff),1,Milestones!$AC$199)&amp;";  ",""))</f>
        <v/>
      </c>
      <c r="X123" s="0" t="str">
        <f aca="false">IF(Staff!$A123="","",Staff!$AM123)</f>
        <v/>
      </c>
      <c r="Y123" s="0" t="str">
        <f aca="false">IF(Staff!$A123="","",Staff!$AO123)</f>
        <v/>
      </c>
      <c r="Z123" s="0" t="str">
        <f aca="false">IF(Staff!$A123="","",Staff!$AP123)</f>
        <v/>
      </c>
      <c r="AA123" s="0" t="str">
        <f aca="false">IF(Staff!$A123="","",Staff!$AT123)</f>
        <v/>
      </c>
      <c r="AB123" s="0" t="str">
        <f aca="false">IF(Staff!$A123="","",Staff!$AU123)</f>
        <v/>
      </c>
      <c r="AC123" s="0" t="str">
        <f aca="false">IF(Staff!$A123="","",Staff!$AV123)</f>
        <v/>
      </c>
      <c r="AD123" s="0" t="str">
        <f aca="false">IF(Staff!$A123="","",Staff!$AW123)</f>
        <v/>
      </c>
    </row>
    <row r="124" customFormat="false" ht="15" hidden="false" customHeight="false" outlineLevel="0" collapsed="false">
      <c r="A124" s="16" t="str">
        <f aca="false">IF(Staff!$A124="","",Staff!$A124)</f>
        <v/>
      </c>
      <c r="B124" s="16" t="str">
        <f aca="false">IF(Staff!$A124="","",Staff!$B124)</f>
        <v/>
      </c>
      <c r="C124" s="16" t="str">
        <f aca="false">IF(Staff!$A124="","",Staff!$C124)</f>
        <v/>
      </c>
      <c r="D124" s="14" t="str">
        <f aca="false">IF(Staff!$A124="","",Staff!$AL124)</f>
        <v/>
      </c>
      <c r="E124" s="16" t="str">
        <f aca="false">IF(Staff!$A124="","",Staff!$O124)</f>
        <v/>
      </c>
      <c r="F124" s="16" t="str">
        <f aca="false">IF(E124="","",E124*HoursPerDay)</f>
        <v/>
      </c>
      <c r="G124" s="16" t="str">
        <f aca="false">IF(Staff!$A124="","",Staff!$AE124)</f>
        <v/>
      </c>
      <c r="H124" s="28" t="str">
        <f aca="false">IF($A124="","",I124&amp;J124&amp;K124&amp;L124&amp;M124&amp;N124&amp;O124&amp;P124&amp;Q124&amp;R124&amp;S124&amp;T124&amp;U124&amp;V124&amp;W124)</f>
        <v/>
      </c>
      <c r="I124" s="0" t="str">
        <f aca="false">IF(OR($A124="",$D124=""),"",IF(AND(EDATE($D124,Milestones!$AA$20)&lt;=AsOfDate,EDATE($D124,Milestones!$AA$20)&gt;=SchemeStart,IF($X124=0,$AD124,IF(AND($Z124&lt;&gt;"",EDATE($D124,Milestones!$AA$20)&gt;=$Z124),$AC124,IF(AND($Y124&lt;&gt;"",EDATE($D124,Milestones!$AA$20)&gt;=$Y124),$AB124,$AA124)))=Milestones!$AB$20),UPPER(TEXT(EDATE($D124,Milestones!$AA$20),"dd mmm yy"))&amp;" "&amp;Milestones!$AB$20&amp;" "&amp;IF(AND(Milestones!$AB$20="FT",Milestones!$AA$20=FT_Y5,EDATE($D124,Milestones!$AA$20)&lt;PolicyEff),1,Milestones!$AC$20)&amp;";  ","")&amp;IF(AND(EDATE($D124,Milestones!$AA$21)&lt;=AsOfDate,EDATE($D124,Milestones!$AA$21)&gt;=SchemeStart,IF($X124=0,$AD124,IF(AND($Z124&lt;&gt;"",EDATE($D124,Milestones!$AA$21)&gt;=$Z124),$AC124,IF(AND($Y124&lt;&gt;"",EDATE($D124,Milestones!$AA$21)&gt;=$Y124),$AB124,$AA124)))=Milestones!$AB$21),UPPER(TEXT(EDATE($D124,Milestones!$AA$21),"dd mmm yy"))&amp;" "&amp;Milestones!$AB$21&amp;" "&amp;IF(AND(Milestones!$AB$21="FT",Milestones!$AA$21=FT_Y5,EDATE($D124,Milestones!$AA$21)&lt;PolicyEff),1,Milestones!$AC$21)&amp;";  ","")&amp;IF(AND(EDATE($D124,Milestones!$AA$22)&lt;=AsOfDate,EDATE($D124,Milestones!$AA$22)&gt;=SchemeStart,IF($X124=0,$AD124,IF(AND($Z124&lt;&gt;"",EDATE($D124,Milestones!$AA$22)&gt;=$Z124),$AC124,IF(AND($Y124&lt;&gt;"",EDATE($D124,Milestones!$AA$22)&gt;=$Y124),$AB124,$AA124)))=Milestones!$AB$22),UPPER(TEXT(EDATE($D124,Milestones!$AA$22),"dd mmm yy"))&amp;" "&amp;Milestones!$AB$22&amp;" "&amp;IF(AND(Milestones!$AB$22="FT",Milestones!$AA$22=FT_Y5,EDATE($D124,Milestones!$AA$22)&lt;PolicyEff),1,Milestones!$AC$22)&amp;";  ","")&amp;IF(AND(EDATE($D124,Milestones!$AA$23)&lt;=AsOfDate,EDATE($D124,Milestones!$AA$23)&gt;=SchemeStart,IF($X124=0,$AD124,IF(AND($Z124&lt;&gt;"",EDATE($D124,Milestones!$AA$23)&gt;=$Z124),$AC124,IF(AND($Y124&lt;&gt;"",EDATE($D124,Milestones!$AA$23)&gt;=$Y124),$AB124,$AA124)))=Milestones!$AB$23),UPPER(TEXT(EDATE($D124,Milestones!$AA$23),"dd mmm yy"))&amp;" "&amp;Milestones!$AB$23&amp;" "&amp;IF(AND(Milestones!$AB$23="FT",Milestones!$AA$23=FT_Y5,EDATE($D124,Milestones!$AA$23)&lt;PolicyEff),1,Milestones!$AC$23)&amp;";  ","")&amp;IF(AND(EDATE($D124,Milestones!$AA$24)&lt;=AsOfDate,EDATE($D124,Milestones!$AA$24)&gt;=SchemeStart,IF($X124=0,$AD124,IF(AND($Z124&lt;&gt;"",EDATE($D124,Milestones!$AA$24)&gt;=$Z124),$AC124,IF(AND($Y124&lt;&gt;"",EDATE($D124,Milestones!$AA$24)&gt;=$Y124),$AB124,$AA124)))=Milestones!$AB$24),UPPER(TEXT(EDATE($D124,Milestones!$AA$24),"dd mmm yy"))&amp;" "&amp;Milestones!$AB$24&amp;" "&amp;IF(AND(Milestones!$AB$24="FT",Milestones!$AA$24=FT_Y5,EDATE($D124,Milestones!$AA$24)&lt;PolicyEff),1,Milestones!$AC$24)&amp;";  ","")&amp;IF(AND(EDATE($D124,Milestones!$AA$25)&lt;=AsOfDate,EDATE($D124,Milestones!$AA$25)&gt;=SchemeStart,IF($X124=0,$AD124,IF(AND($Z124&lt;&gt;"",EDATE($D124,Milestones!$AA$25)&gt;=$Z124),$AC124,IF(AND($Y124&lt;&gt;"",EDATE($D124,Milestones!$AA$25)&gt;=$Y124),$AB124,$AA124)))=Milestones!$AB$25),UPPER(TEXT(EDATE($D124,Milestones!$AA$25),"dd mmm yy"))&amp;" "&amp;Milestones!$AB$25&amp;" "&amp;IF(AND(Milestones!$AB$25="FT",Milestones!$AA$25=FT_Y5,EDATE($D124,Milestones!$AA$25)&lt;PolicyEff),1,Milestones!$AC$25)&amp;";  ","")&amp;IF(AND(EDATE($D124,Milestones!$AA$26)&lt;=AsOfDate,EDATE($D124,Milestones!$AA$26)&gt;=SchemeStart,IF($X124=0,$AD124,IF(AND($Z124&lt;&gt;"",EDATE($D124,Milestones!$AA$26)&gt;=$Z124),$AC124,IF(AND($Y124&lt;&gt;"",EDATE($D124,Milestones!$AA$26)&gt;=$Y124),$AB124,$AA124)))=Milestones!$AB$26),UPPER(TEXT(EDATE($D124,Milestones!$AA$26),"dd mmm yy"))&amp;" "&amp;Milestones!$AB$26&amp;" "&amp;IF(AND(Milestones!$AB$26="FT",Milestones!$AA$26=FT_Y5,EDATE($D124,Milestones!$AA$26)&lt;PolicyEff),1,Milestones!$AC$26)&amp;";  ","")&amp;IF(AND(EDATE($D124,Milestones!$AA$27)&lt;=AsOfDate,EDATE($D124,Milestones!$AA$27)&gt;=SchemeStart,IF($X124=0,$AD124,IF(AND($Z124&lt;&gt;"",EDATE($D124,Milestones!$AA$27)&gt;=$Z124),$AC124,IF(AND($Y124&lt;&gt;"",EDATE($D124,Milestones!$AA$27)&gt;=$Y124),$AB124,$AA124)))=Milestones!$AB$27),UPPER(TEXT(EDATE($D124,Milestones!$AA$27),"dd mmm yy"))&amp;" "&amp;Milestones!$AB$27&amp;" "&amp;IF(AND(Milestones!$AB$27="FT",Milestones!$AA$27=FT_Y5,EDATE($D124,Milestones!$AA$27)&lt;PolicyEff),1,Milestones!$AC$27)&amp;";  ","")&amp;IF(AND(EDATE($D124,Milestones!$AA$28)&lt;=AsOfDate,EDATE($D124,Milestones!$AA$28)&gt;=SchemeStart,IF($X124=0,$AD124,IF(AND($Z124&lt;&gt;"",EDATE($D124,Milestones!$AA$28)&gt;=$Z124),$AC124,IF(AND($Y124&lt;&gt;"",EDATE($D124,Milestones!$AA$28)&gt;=$Y124),$AB124,$AA124)))=Milestones!$AB$28),UPPER(TEXT(EDATE($D124,Milestones!$AA$28),"dd mmm yy"))&amp;" "&amp;Milestones!$AB$28&amp;" "&amp;IF(AND(Milestones!$AB$28="FT",Milestones!$AA$28=FT_Y5,EDATE($D124,Milestones!$AA$28)&lt;PolicyEff),1,Milestones!$AC$28)&amp;";  ","")&amp;IF(AND(EDATE($D124,Milestones!$AA$29)&lt;=AsOfDate,EDATE($D124,Milestones!$AA$29)&gt;=SchemeStart,IF($X124=0,$AD124,IF(AND($Z124&lt;&gt;"",EDATE($D124,Milestones!$AA$29)&gt;=$Z124),$AC124,IF(AND($Y124&lt;&gt;"",EDATE($D124,Milestones!$AA$29)&gt;=$Y124),$AB124,$AA124)))=Milestones!$AB$29),UPPER(TEXT(EDATE($D124,Milestones!$AA$29),"dd mmm yy"))&amp;" "&amp;Milestones!$AB$29&amp;" "&amp;IF(AND(Milestones!$AB$29="FT",Milestones!$AA$29=FT_Y5,EDATE($D124,Milestones!$AA$29)&lt;PolicyEff),1,Milestones!$AC$29)&amp;";  ","")&amp;IF(AND(EDATE($D124,Milestones!$AA$30)&lt;=AsOfDate,EDATE($D124,Milestones!$AA$30)&gt;=SchemeStart,IF($X124=0,$AD124,IF(AND($Z124&lt;&gt;"",EDATE($D124,Milestones!$AA$30)&gt;=$Z124),$AC124,IF(AND($Y124&lt;&gt;"",EDATE($D124,Milestones!$AA$30)&gt;=$Y124),$AB124,$AA124)))=Milestones!$AB$30),UPPER(TEXT(EDATE($D124,Milestones!$AA$30),"dd mmm yy"))&amp;" "&amp;Milestones!$AB$30&amp;" "&amp;IF(AND(Milestones!$AB$30="FT",Milestones!$AA$30=FT_Y5,EDATE($D124,Milestones!$AA$30)&lt;PolicyEff),1,Milestones!$AC$30)&amp;";  ","")&amp;IF(AND(EDATE($D124,Milestones!$AA$31)&lt;=AsOfDate,EDATE($D124,Milestones!$AA$31)&gt;=SchemeStart,IF($X124=0,$AD124,IF(AND($Z124&lt;&gt;"",EDATE($D124,Milestones!$AA$31)&gt;=$Z124),$AC124,IF(AND($Y124&lt;&gt;"",EDATE($D124,Milestones!$AA$31)&gt;=$Y124),$AB124,$AA124)))=Milestones!$AB$31),UPPER(TEXT(EDATE($D124,Milestones!$AA$31),"dd mmm yy"))&amp;" "&amp;Milestones!$AB$31&amp;" "&amp;IF(AND(Milestones!$AB$31="FT",Milestones!$AA$31=FT_Y5,EDATE($D124,Milestones!$AA$31)&lt;PolicyEff),1,Milestones!$AC$31)&amp;";  ",""))</f>
        <v/>
      </c>
      <c r="J124" s="0" t="str">
        <f aca="false">IF(OR($A124="",$D124=""),"",IF(AND(EDATE($D124,Milestones!$AA$32)&lt;=AsOfDate,EDATE($D124,Milestones!$AA$32)&gt;=SchemeStart,IF($X124=0,$AD124,IF(AND($Z124&lt;&gt;"",EDATE($D124,Milestones!$AA$32)&gt;=$Z124),$AC124,IF(AND($Y124&lt;&gt;"",EDATE($D124,Milestones!$AA$32)&gt;=$Y124),$AB124,$AA124)))=Milestones!$AB$32),UPPER(TEXT(EDATE($D124,Milestones!$AA$32),"dd mmm yy"))&amp;" "&amp;Milestones!$AB$32&amp;" "&amp;IF(AND(Milestones!$AB$32="FT",Milestones!$AA$32=FT_Y5,EDATE($D124,Milestones!$AA$32)&lt;PolicyEff),1,Milestones!$AC$32)&amp;";  ","")&amp;IF(AND(EDATE($D124,Milestones!$AA$33)&lt;=AsOfDate,EDATE($D124,Milestones!$AA$33)&gt;=SchemeStart,IF($X124=0,$AD124,IF(AND($Z124&lt;&gt;"",EDATE($D124,Milestones!$AA$33)&gt;=$Z124),$AC124,IF(AND($Y124&lt;&gt;"",EDATE($D124,Milestones!$AA$33)&gt;=$Y124),$AB124,$AA124)))=Milestones!$AB$33),UPPER(TEXT(EDATE($D124,Milestones!$AA$33),"dd mmm yy"))&amp;" "&amp;Milestones!$AB$33&amp;" "&amp;IF(AND(Milestones!$AB$33="FT",Milestones!$AA$33=FT_Y5,EDATE($D124,Milestones!$AA$33)&lt;PolicyEff),1,Milestones!$AC$33)&amp;";  ","")&amp;IF(AND(EDATE($D124,Milestones!$AA$34)&lt;=AsOfDate,EDATE($D124,Milestones!$AA$34)&gt;=SchemeStart,IF($X124=0,$AD124,IF(AND($Z124&lt;&gt;"",EDATE($D124,Milestones!$AA$34)&gt;=$Z124),$AC124,IF(AND($Y124&lt;&gt;"",EDATE($D124,Milestones!$AA$34)&gt;=$Y124),$AB124,$AA124)))=Milestones!$AB$34),UPPER(TEXT(EDATE($D124,Milestones!$AA$34),"dd mmm yy"))&amp;" "&amp;Milestones!$AB$34&amp;" "&amp;IF(AND(Milestones!$AB$34="FT",Milestones!$AA$34=FT_Y5,EDATE($D124,Milestones!$AA$34)&lt;PolicyEff),1,Milestones!$AC$34)&amp;";  ","")&amp;IF(AND(EDATE($D124,Milestones!$AA$35)&lt;=AsOfDate,EDATE($D124,Milestones!$AA$35)&gt;=SchemeStart,IF($X124=0,$AD124,IF(AND($Z124&lt;&gt;"",EDATE($D124,Milestones!$AA$35)&gt;=$Z124),$AC124,IF(AND($Y124&lt;&gt;"",EDATE($D124,Milestones!$AA$35)&gt;=$Y124),$AB124,$AA124)))=Milestones!$AB$35),UPPER(TEXT(EDATE($D124,Milestones!$AA$35),"dd mmm yy"))&amp;" "&amp;Milestones!$AB$35&amp;" "&amp;IF(AND(Milestones!$AB$35="FT",Milestones!$AA$35=FT_Y5,EDATE($D124,Milestones!$AA$35)&lt;PolicyEff),1,Milestones!$AC$35)&amp;";  ","")&amp;IF(AND(EDATE($D124,Milestones!$AA$36)&lt;=AsOfDate,EDATE($D124,Milestones!$AA$36)&gt;=SchemeStart,IF($X124=0,$AD124,IF(AND($Z124&lt;&gt;"",EDATE($D124,Milestones!$AA$36)&gt;=$Z124),$AC124,IF(AND($Y124&lt;&gt;"",EDATE($D124,Milestones!$AA$36)&gt;=$Y124),$AB124,$AA124)))=Milestones!$AB$36),UPPER(TEXT(EDATE($D124,Milestones!$AA$36),"dd mmm yy"))&amp;" "&amp;Milestones!$AB$36&amp;" "&amp;IF(AND(Milestones!$AB$36="FT",Milestones!$AA$36=FT_Y5,EDATE($D124,Milestones!$AA$36)&lt;PolicyEff),1,Milestones!$AC$36)&amp;";  ","")&amp;IF(AND(EDATE($D124,Milestones!$AA$37)&lt;=AsOfDate,EDATE($D124,Milestones!$AA$37)&gt;=SchemeStart,IF($X124=0,$AD124,IF(AND($Z124&lt;&gt;"",EDATE($D124,Milestones!$AA$37)&gt;=$Z124),$AC124,IF(AND($Y124&lt;&gt;"",EDATE($D124,Milestones!$AA$37)&gt;=$Y124),$AB124,$AA124)))=Milestones!$AB$37),UPPER(TEXT(EDATE($D124,Milestones!$AA$37),"dd mmm yy"))&amp;" "&amp;Milestones!$AB$37&amp;" "&amp;IF(AND(Milestones!$AB$37="FT",Milestones!$AA$37=FT_Y5,EDATE($D124,Milestones!$AA$37)&lt;PolicyEff),1,Milestones!$AC$37)&amp;";  ","")&amp;IF(AND(EDATE($D124,Milestones!$AA$38)&lt;=AsOfDate,EDATE($D124,Milestones!$AA$38)&gt;=SchemeStart,IF($X124=0,$AD124,IF(AND($Z124&lt;&gt;"",EDATE($D124,Milestones!$AA$38)&gt;=$Z124),$AC124,IF(AND($Y124&lt;&gt;"",EDATE($D124,Milestones!$AA$38)&gt;=$Y124),$AB124,$AA124)))=Milestones!$AB$38),UPPER(TEXT(EDATE($D124,Milestones!$AA$38),"dd mmm yy"))&amp;" "&amp;Milestones!$AB$38&amp;" "&amp;IF(AND(Milestones!$AB$38="FT",Milestones!$AA$38=FT_Y5,EDATE($D124,Milestones!$AA$38)&lt;PolicyEff),1,Milestones!$AC$38)&amp;";  ","")&amp;IF(AND(EDATE($D124,Milestones!$AA$39)&lt;=AsOfDate,EDATE($D124,Milestones!$AA$39)&gt;=SchemeStart,IF($X124=0,$AD124,IF(AND($Z124&lt;&gt;"",EDATE($D124,Milestones!$AA$39)&gt;=$Z124),$AC124,IF(AND($Y124&lt;&gt;"",EDATE($D124,Milestones!$AA$39)&gt;=$Y124),$AB124,$AA124)))=Milestones!$AB$39),UPPER(TEXT(EDATE($D124,Milestones!$AA$39),"dd mmm yy"))&amp;" "&amp;Milestones!$AB$39&amp;" "&amp;IF(AND(Milestones!$AB$39="FT",Milestones!$AA$39=FT_Y5,EDATE($D124,Milestones!$AA$39)&lt;PolicyEff),1,Milestones!$AC$39)&amp;";  ","")&amp;IF(AND(EDATE($D124,Milestones!$AA$40)&lt;=AsOfDate,EDATE($D124,Milestones!$AA$40)&gt;=SchemeStart,IF($X124=0,$AD124,IF(AND($Z124&lt;&gt;"",EDATE($D124,Milestones!$AA$40)&gt;=$Z124),$AC124,IF(AND($Y124&lt;&gt;"",EDATE($D124,Milestones!$AA$40)&gt;=$Y124),$AB124,$AA124)))=Milestones!$AB$40),UPPER(TEXT(EDATE($D124,Milestones!$AA$40),"dd mmm yy"))&amp;" "&amp;Milestones!$AB$40&amp;" "&amp;IF(AND(Milestones!$AB$40="FT",Milestones!$AA$40=FT_Y5,EDATE($D124,Milestones!$AA$40)&lt;PolicyEff),1,Milestones!$AC$40)&amp;";  ","")&amp;IF(AND(EDATE($D124,Milestones!$AA$41)&lt;=AsOfDate,EDATE($D124,Milestones!$AA$41)&gt;=SchemeStart,IF($X124=0,$AD124,IF(AND($Z124&lt;&gt;"",EDATE($D124,Milestones!$AA$41)&gt;=$Z124),$AC124,IF(AND($Y124&lt;&gt;"",EDATE($D124,Milestones!$AA$41)&gt;=$Y124),$AB124,$AA124)))=Milestones!$AB$41),UPPER(TEXT(EDATE($D124,Milestones!$AA$41),"dd mmm yy"))&amp;" "&amp;Milestones!$AB$41&amp;" "&amp;IF(AND(Milestones!$AB$41="FT",Milestones!$AA$41=FT_Y5,EDATE($D124,Milestones!$AA$41)&lt;PolicyEff),1,Milestones!$AC$41)&amp;";  ","")&amp;IF(AND(EDATE($D124,Milestones!$AA$42)&lt;=AsOfDate,EDATE($D124,Milestones!$AA$42)&gt;=SchemeStart,IF($X124=0,$AD124,IF(AND($Z124&lt;&gt;"",EDATE($D124,Milestones!$AA$42)&gt;=$Z124),$AC124,IF(AND($Y124&lt;&gt;"",EDATE($D124,Milestones!$AA$42)&gt;=$Y124),$AB124,$AA124)))=Milestones!$AB$42),UPPER(TEXT(EDATE($D124,Milestones!$AA$42),"dd mmm yy"))&amp;" "&amp;Milestones!$AB$42&amp;" "&amp;IF(AND(Milestones!$AB$42="FT",Milestones!$AA$42=FT_Y5,EDATE($D124,Milestones!$AA$42)&lt;PolicyEff),1,Milestones!$AC$42)&amp;";  ","")&amp;IF(AND(EDATE($D124,Milestones!$AA$43)&lt;=AsOfDate,EDATE($D124,Milestones!$AA$43)&gt;=SchemeStart,IF($X124=0,$AD124,IF(AND($Z124&lt;&gt;"",EDATE($D124,Milestones!$AA$43)&gt;=$Z124),$AC124,IF(AND($Y124&lt;&gt;"",EDATE($D124,Milestones!$AA$43)&gt;=$Y124),$AB124,$AA124)))=Milestones!$AB$43),UPPER(TEXT(EDATE($D124,Milestones!$AA$43),"dd mmm yy"))&amp;" "&amp;Milestones!$AB$43&amp;" "&amp;IF(AND(Milestones!$AB$43="FT",Milestones!$AA$43=FT_Y5,EDATE($D124,Milestones!$AA$43)&lt;PolicyEff),1,Milestones!$AC$43)&amp;";  ",""))</f>
        <v/>
      </c>
      <c r="K124" s="0" t="str">
        <f aca="false">IF(OR($A124="",$D124=""),"",IF(AND(EDATE($D124,Milestones!$AA$44)&lt;=AsOfDate,EDATE($D124,Milestones!$AA$44)&gt;=SchemeStart,IF($X124=0,$AD124,IF(AND($Z124&lt;&gt;"",EDATE($D124,Milestones!$AA$44)&gt;=$Z124),$AC124,IF(AND($Y124&lt;&gt;"",EDATE($D124,Milestones!$AA$44)&gt;=$Y124),$AB124,$AA124)))=Milestones!$AB$44),UPPER(TEXT(EDATE($D124,Milestones!$AA$44),"dd mmm yy"))&amp;" "&amp;Milestones!$AB$44&amp;" "&amp;IF(AND(Milestones!$AB$44="FT",Milestones!$AA$44=FT_Y5,EDATE($D124,Milestones!$AA$44)&lt;PolicyEff),1,Milestones!$AC$44)&amp;";  ","")&amp;IF(AND(EDATE($D124,Milestones!$AA$45)&lt;=AsOfDate,EDATE($D124,Milestones!$AA$45)&gt;=SchemeStart,IF($X124=0,$AD124,IF(AND($Z124&lt;&gt;"",EDATE($D124,Milestones!$AA$45)&gt;=$Z124),$AC124,IF(AND($Y124&lt;&gt;"",EDATE($D124,Milestones!$AA$45)&gt;=$Y124),$AB124,$AA124)))=Milestones!$AB$45),UPPER(TEXT(EDATE($D124,Milestones!$AA$45),"dd mmm yy"))&amp;" "&amp;Milestones!$AB$45&amp;" "&amp;IF(AND(Milestones!$AB$45="FT",Milestones!$AA$45=FT_Y5,EDATE($D124,Milestones!$AA$45)&lt;PolicyEff),1,Milestones!$AC$45)&amp;";  ","")&amp;IF(AND(EDATE($D124,Milestones!$AA$46)&lt;=AsOfDate,EDATE($D124,Milestones!$AA$46)&gt;=SchemeStart,IF($X124=0,$AD124,IF(AND($Z124&lt;&gt;"",EDATE($D124,Milestones!$AA$46)&gt;=$Z124),$AC124,IF(AND($Y124&lt;&gt;"",EDATE($D124,Milestones!$AA$46)&gt;=$Y124),$AB124,$AA124)))=Milestones!$AB$46),UPPER(TEXT(EDATE($D124,Milestones!$AA$46),"dd mmm yy"))&amp;" "&amp;Milestones!$AB$46&amp;" "&amp;IF(AND(Milestones!$AB$46="FT",Milestones!$AA$46=FT_Y5,EDATE($D124,Milestones!$AA$46)&lt;PolicyEff),1,Milestones!$AC$46)&amp;";  ","")&amp;IF(AND(EDATE($D124,Milestones!$AA$47)&lt;=AsOfDate,EDATE($D124,Milestones!$AA$47)&gt;=SchemeStart,IF($X124=0,$AD124,IF(AND($Z124&lt;&gt;"",EDATE($D124,Milestones!$AA$47)&gt;=$Z124),$AC124,IF(AND($Y124&lt;&gt;"",EDATE($D124,Milestones!$AA$47)&gt;=$Y124),$AB124,$AA124)))=Milestones!$AB$47),UPPER(TEXT(EDATE($D124,Milestones!$AA$47),"dd mmm yy"))&amp;" "&amp;Milestones!$AB$47&amp;" "&amp;IF(AND(Milestones!$AB$47="FT",Milestones!$AA$47=FT_Y5,EDATE($D124,Milestones!$AA$47)&lt;PolicyEff),1,Milestones!$AC$47)&amp;";  ","")&amp;IF(AND(EDATE($D124,Milestones!$AA$48)&lt;=AsOfDate,EDATE($D124,Milestones!$AA$48)&gt;=SchemeStart,IF($X124=0,$AD124,IF(AND($Z124&lt;&gt;"",EDATE($D124,Milestones!$AA$48)&gt;=$Z124),$AC124,IF(AND($Y124&lt;&gt;"",EDATE($D124,Milestones!$AA$48)&gt;=$Y124),$AB124,$AA124)))=Milestones!$AB$48),UPPER(TEXT(EDATE($D124,Milestones!$AA$48),"dd mmm yy"))&amp;" "&amp;Milestones!$AB$48&amp;" "&amp;IF(AND(Milestones!$AB$48="FT",Milestones!$AA$48=FT_Y5,EDATE($D124,Milestones!$AA$48)&lt;PolicyEff),1,Milestones!$AC$48)&amp;";  ","")&amp;IF(AND(EDATE($D124,Milestones!$AA$49)&lt;=AsOfDate,EDATE($D124,Milestones!$AA$49)&gt;=SchemeStart,IF($X124=0,$AD124,IF(AND($Z124&lt;&gt;"",EDATE($D124,Milestones!$AA$49)&gt;=$Z124),$AC124,IF(AND($Y124&lt;&gt;"",EDATE($D124,Milestones!$AA$49)&gt;=$Y124),$AB124,$AA124)))=Milestones!$AB$49),UPPER(TEXT(EDATE($D124,Milestones!$AA$49),"dd mmm yy"))&amp;" "&amp;Milestones!$AB$49&amp;" "&amp;IF(AND(Milestones!$AB$49="FT",Milestones!$AA$49=FT_Y5,EDATE($D124,Milestones!$AA$49)&lt;PolicyEff),1,Milestones!$AC$49)&amp;";  ","")&amp;IF(AND(EDATE($D124,Milestones!$AA$50)&lt;=AsOfDate,EDATE($D124,Milestones!$AA$50)&gt;=SchemeStart,IF($X124=0,$AD124,IF(AND($Z124&lt;&gt;"",EDATE($D124,Milestones!$AA$50)&gt;=$Z124),$AC124,IF(AND($Y124&lt;&gt;"",EDATE($D124,Milestones!$AA$50)&gt;=$Y124),$AB124,$AA124)))=Milestones!$AB$50),UPPER(TEXT(EDATE($D124,Milestones!$AA$50),"dd mmm yy"))&amp;" "&amp;Milestones!$AB$50&amp;" "&amp;IF(AND(Milestones!$AB$50="FT",Milestones!$AA$50=FT_Y5,EDATE($D124,Milestones!$AA$50)&lt;PolicyEff),1,Milestones!$AC$50)&amp;";  ","")&amp;IF(AND(EDATE($D124,Milestones!$AA$51)&lt;=AsOfDate,EDATE($D124,Milestones!$AA$51)&gt;=SchemeStart,IF($X124=0,$AD124,IF(AND($Z124&lt;&gt;"",EDATE($D124,Milestones!$AA$51)&gt;=$Z124),$AC124,IF(AND($Y124&lt;&gt;"",EDATE($D124,Milestones!$AA$51)&gt;=$Y124),$AB124,$AA124)))=Milestones!$AB$51),UPPER(TEXT(EDATE($D124,Milestones!$AA$51),"dd mmm yy"))&amp;" "&amp;Milestones!$AB$51&amp;" "&amp;IF(AND(Milestones!$AB$51="FT",Milestones!$AA$51=FT_Y5,EDATE($D124,Milestones!$AA$51)&lt;PolicyEff),1,Milestones!$AC$51)&amp;";  ","")&amp;IF(AND(EDATE($D124,Milestones!$AA$52)&lt;=AsOfDate,EDATE($D124,Milestones!$AA$52)&gt;=SchemeStart,IF($X124=0,$AD124,IF(AND($Z124&lt;&gt;"",EDATE($D124,Milestones!$AA$52)&gt;=$Z124),$AC124,IF(AND($Y124&lt;&gt;"",EDATE($D124,Milestones!$AA$52)&gt;=$Y124),$AB124,$AA124)))=Milestones!$AB$52),UPPER(TEXT(EDATE($D124,Milestones!$AA$52),"dd mmm yy"))&amp;" "&amp;Milestones!$AB$52&amp;" "&amp;IF(AND(Milestones!$AB$52="FT",Milestones!$AA$52=FT_Y5,EDATE($D124,Milestones!$AA$52)&lt;PolicyEff),1,Milestones!$AC$52)&amp;";  ","")&amp;IF(AND(EDATE($D124,Milestones!$AA$53)&lt;=AsOfDate,EDATE($D124,Milestones!$AA$53)&gt;=SchemeStart,IF($X124=0,$AD124,IF(AND($Z124&lt;&gt;"",EDATE($D124,Milestones!$AA$53)&gt;=$Z124),$AC124,IF(AND($Y124&lt;&gt;"",EDATE($D124,Milestones!$AA$53)&gt;=$Y124),$AB124,$AA124)))=Milestones!$AB$53),UPPER(TEXT(EDATE($D124,Milestones!$AA$53),"dd mmm yy"))&amp;" "&amp;Milestones!$AB$53&amp;" "&amp;IF(AND(Milestones!$AB$53="FT",Milestones!$AA$53=FT_Y5,EDATE($D124,Milestones!$AA$53)&lt;PolicyEff),1,Milestones!$AC$53)&amp;";  ","")&amp;IF(AND(EDATE($D124,Milestones!$AA$54)&lt;=AsOfDate,EDATE($D124,Milestones!$AA$54)&gt;=SchemeStart,IF($X124=0,$AD124,IF(AND($Z124&lt;&gt;"",EDATE($D124,Milestones!$AA$54)&gt;=$Z124),$AC124,IF(AND($Y124&lt;&gt;"",EDATE($D124,Milestones!$AA$54)&gt;=$Y124),$AB124,$AA124)))=Milestones!$AB$54),UPPER(TEXT(EDATE($D124,Milestones!$AA$54),"dd mmm yy"))&amp;" "&amp;Milestones!$AB$54&amp;" "&amp;IF(AND(Milestones!$AB$54="FT",Milestones!$AA$54=FT_Y5,EDATE($D124,Milestones!$AA$54)&lt;PolicyEff),1,Milestones!$AC$54)&amp;";  ","")&amp;IF(AND(EDATE($D124,Milestones!$AA$55)&lt;=AsOfDate,EDATE($D124,Milestones!$AA$55)&gt;=SchemeStart,IF($X124=0,$AD124,IF(AND($Z124&lt;&gt;"",EDATE($D124,Milestones!$AA$55)&gt;=$Z124),$AC124,IF(AND($Y124&lt;&gt;"",EDATE($D124,Milestones!$AA$55)&gt;=$Y124),$AB124,$AA124)))=Milestones!$AB$55),UPPER(TEXT(EDATE($D124,Milestones!$AA$55),"dd mmm yy"))&amp;" "&amp;Milestones!$AB$55&amp;" "&amp;IF(AND(Milestones!$AB$55="FT",Milestones!$AA$55=FT_Y5,EDATE($D124,Milestones!$AA$55)&lt;PolicyEff),1,Milestones!$AC$55)&amp;";  ",""))</f>
        <v/>
      </c>
      <c r="L124" s="0" t="str">
        <f aca="false">IF(OR($A124="",$D124=""),"",IF(AND(EDATE($D124,Milestones!$AA$56)&lt;=AsOfDate,EDATE($D124,Milestones!$AA$56)&gt;=SchemeStart,IF($X124=0,$AD124,IF(AND($Z124&lt;&gt;"",EDATE($D124,Milestones!$AA$56)&gt;=$Z124),$AC124,IF(AND($Y124&lt;&gt;"",EDATE($D124,Milestones!$AA$56)&gt;=$Y124),$AB124,$AA124)))=Milestones!$AB$56),UPPER(TEXT(EDATE($D124,Milestones!$AA$56),"dd mmm yy"))&amp;" "&amp;Milestones!$AB$56&amp;" "&amp;IF(AND(Milestones!$AB$56="FT",Milestones!$AA$56=FT_Y5,EDATE($D124,Milestones!$AA$56)&lt;PolicyEff),1,Milestones!$AC$56)&amp;";  ","")&amp;IF(AND(EDATE($D124,Milestones!$AA$57)&lt;=AsOfDate,EDATE($D124,Milestones!$AA$57)&gt;=SchemeStart,IF($X124=0,$AD124,IF(AND($Z124&lt;&gt;"",EDATE($D124,Milestones!$AA$57)&gt;=$Z124),$AC124,IF(AND($Y124&lt;&gt;"",EDATE($D124,Milestones!$AA$57)&gt;=$Y124),$AB124,$AA124)))=Milestones!$AB$57),UPPER(TEXT(EDATE($D124,Milestones!$AA$57),"dd mmm yy"))&amp;" "&amp;Milestones!$AB$57&amp;" "&amp;IF(AND(Milestones!$AB$57="FT",Milestones!$AA$57=FT_Y5,EDATE($D124,Milestones!$AA$57)&lt;PolicyEff),1,Milestones!$AC$57)&amp;";  ","")&amp;IF(AND(EDATE($D124,Milestones!$AA$58)&lt;=AsOfDate,EDATE($D124,Milestones!$AA$58)&gt;=SchemeStart,IF($X124=0,$AD124,IF(AND($Z124&lt;&gt;"",EDATE($D124,Milestones!$AA$58)&gt;=$Z124),$AC124,IF(AND($Y124&lt;&gt;"",EDATE($D124,Milestones!$AA$58)&gt;=$Y124),$AB124,$AA124)))=Milestones!$AB$58),UPPER(TEXT(EDATE($D124,Milestones!$AA$58),"dd mmm yy"))&amp;" "&amp;Milestones!$AB$58&amp;" "&amp;IF(AND(Milestones!$AB$58="FT",Milestones!$AA$58=FT_Y5,EDATE($D124,Milestones!$AA$58)&lt;PolicyEff),1,Milestones!$AC$58)&amp;";  ","")&amp;IF(AND(EDATE($D124,Milestones!$AA$59)&lt;=AsOfDate,EDATE($D124,Milestones!$AA$59)&gt;=SchemeStart,IF($X124=0,$AD124,IF(AND($Z124&lt;&gt;"",EDATE($D124,Milestones!$AA$59)&gt;=$Z124),$AC124,IF(AND($Y124&lt;&gt;"",EDATE($D124,Milestones!$AA$59)&gt;=$Y124),$AB124,$AA124)))=Milestones!$AB$59),UPPER(TEXT(EDATE($D124,Milestones!$AA$59),"dd mmm yy"))&amp;" "&amp;Milestones!$AB$59&amp;" "&amp;IF(AND(Milestones!$AB$59="FT",Milestones!$AA$59=FT_Y5,EDATE($D124,Milestones!$AA$59)&lt;PolicyEff),1,Milestones!$AC$59)&amp;";  ","")&amp;IF(AND(EDATE($D124,Milestones!$AA$60)&lt;=AsOfDate,EDATE($D124,Milestones!$AA$60)&gt;=SchemeStart,IF($X124=0,$AD124,IF(AND($Z124&lt;&gt;"",EDATE($D124,Milestones!$AA$60)&gt;=$Z124),$AC124,IF(AND($Y124&lt;&gt;"",EDATE($D124,Milestones!$AA$60)&gt;=$Y124),$AB124,$AA124)))=Milestones!$AB$60),UPPER(TEXT(EDATE($D124,Milestones!$AA$60),"dd mmm yy"))&amp;" "&amp;Milestones!$AB$60&amp;" "&amp;IF(AND(Milestones!$AB$60="FT",Milestones!$AA$60=FT_Y5,EDATE($D124,Milestones!$AA$60)&lt;PolicyEff),1,Milestones!$AC$60)&amp;";  ","")&amp;IF(AND(EDATE($D124,Milestones!$AA$61)&lt;=AsOfDate,EDATE($D124,Milestones!$AA$61)&gt;=SchemeStart,IF($X124=0,$AD124,IF(AND($Z124&lt;&gt;"",EDATE($D124,Milestones!$AA$61)&gt;=$Z124),$AC124,IF(AND($Y124&lt;&gt;"",EDATE($D124,Milestones!$AA$61)&gt;=$Y124),$AB124,$AA124)))=Milestones!$AB$61),UPPER(TEXT(EDATE($D124,Milestones!$AA$61),"dd mmm yy"))&amp;" "&amp;Milestones!$AB$61&amp;" "&amp;IF(AND(Milestones!$AB$61="FT",Milestones!$AA$61=FT_Y5,EDATE($D124,Milestones!$AA$61)&lt;PolicyEff),1,Milestones!$AC$61)&amp;";  ","")&amp;IF(AND(EDATE($D124,Milestones!$AA$62)&lt;=AsOfDate,EDATE($D124,Milestones!$AA$62)&gt;=SchemeStart,IF($X124=0,$AD124,IF(AND($Z124&lt;&gt;"",EDATE($D124,Milestones!$AA$62)&gt;=$Z124),$AC124,IF(AND($Y124&lt;&gt;"",EDATE($D124,Milestones!$AA$62)&gt;=$Y124),$AB124,$AA124)))=Milestones!$AB$62),UPPER(TEXT(EDATE($D124,Milestones!$AA$62),"dd mmm yy"))&amp;" "&amp;Milestones!$AB$62&amp;" "&amp;IF(AND(Milestones!$AB$62="FT",Milestones!$AA$62=FT_Y5,EDATE($D124,Milestones!$AA$62)&lt;PolicyEff),1,Milestones!$AC$62)&amp;";  ","")&amp;IF(AND(EDATE($D124,Milestones!$AA$63)&lt;=AsOfDate,EDATE($D124,Milestones!$AA$63)&gt;=SchemeStart,IF($X124=0,$AD124,IF(AND($Z124&lt;&gt;"",EDATE($D124,Milestones!$AA$63)&gt;=$Z124),$AC124,IF(AND($Y124&lt;&gt;"",EDATE($D124,Milestones!$AA$63)&gt;=$Y124),$AB124,$AA124)))=Milestones!$AB$63),UPPER(TEXT(EDATE($D124,Milestones!$AA$63),"dd mmm yy"))&amp;" "&amp;Milestones!$AB$63&amp;" "&amp;IF(AND(Milestones!$AB$63="FT",Milestones!$AA$63=FT_Y5,EDATE($D124,Milestones!$AA$63)&lt;PolicyEff),1,Milestones!$AC$63)&amp;";  ","")&amp;IF(AND(EDATE($D124,Milestones!$AA$64)&lt;=AsOfDate,EDATE($D124,Milestones!$AA$64)&gt;=SchemeStart,IF($X124=0,$AD124,IF(AND($Z124&lt;&gt;"",EDATE($D124,Milestones!$AA$64)&gt;=$Z124),$AC124,IF(AND($Y124&lt;&gt;"",EDATE($D124,Milestones!$AA$64)&gt;=$Y124),$AB124,$AA124)))=Milestones!$AB$64),UPPER(TEXT(EDATE($D124,Milestones!$AA$64),"dd mmm yy"))&amp;" "&amp;Milestones!$AB$64&amp;" "&amp;IF(AND(Milestones!$AB$64="FT",Milestones!$AA$64=FT_Y5,EDATE($D124,Milestones!$AA$64)&lt;PolicyEff),1,Milestones!$AC$64)&amp;";  ","")&amp;IF(AND(EDATE($D124,Milestones!$AA$65)&lt;=AsOfDate,EDATE($D124,Milestones!$AA$65)&gt;=SchemeStart,IF($X124=0,$AD124,IF(AND($Z124&lt;&gt;"",EDATE($D124,Milestones!$AA$65)&gt;=$Z124),$AC124,IF(AND($Y124&lt;&gt;"",EDATE($D124,Milestones!$AA$65)&gt;=$Y124),$AB124,$AA124)))=Milestones!$AB$65),UPPER(TEXT(EDATE($D124,Milestones!$AA$65),"dd mmm yy"))&amp;" "&amp;Milestones!$AB$65&amp;" "&amp;IF(AND(Milestones!$AB$65="FT",Milestones!$AA$65=FT_Y5,EDATE($D124,Milestones!$AA$65)&lt;PolicyEff),1,Milestones!$AC$65)&amp;";  ","")&amp;IF(AND(EDATE($D124,Milestones!$AA$66)&lt;=AsOfDate,EDATE($D124,Milestones!$AA$66)&gt;=SchemeStart,IF($X124=0,$AD124,IF(AND($Z124&lt;&gt;"",EDATE($D124,Milestones!$AA$66)&gt;=$Z124),$AC124,IF(AND($Y124&lt;&gt;"",EDATE($D124,Milestones!$AA$66)&gt;=$Y124),$AB124,$AA124)))=Milestones!$AB$66),UPPER(TEXT(EDATE($D124,Milestones!$AA$66),"dd mmm yy"))&amp;" "&amp;Milestones!$AB$66&amp;" "&amp;IF(AND(Milestones!$AB$66="FT",Milestones!$AA$66=FT_Y5,EDATE($D124,Milestones!$AA$66)&lt;PolicyEff),1,Milestones!$AC$66)&amp;";  ","")&amp;IF(AND(EDATE($D124,Milestones!$AA$67)&lt;=AsOfDate,EDATE($D124,Milestones!$AA$67)&gt;=SchemeStart,IF($X124=0,$AD124,IF(AND($Z124&lt;&gt;"",EDATE($D124,Milestones!$AA$67)&gt;=$Z124),$AC124,IF(AND($Y124&lt;&gt;"",EDATE($D124,Milestones!$AA$67)&gt;=$Y124),$AB124,$AA124)))=Milestones!$AB$67),UPPER(TEXT(EDATE($D124,Milestones!$AA$67),"dd mmm yy"))&amp;" "&amp;Milestones!$AB$67&amp;" "&amp;IF(AND(Milestones!$AB$67="FT",Milestones!$AA$67=FT_Y5,EDATE($D124,Milestones!$AA$67)&lt;PolicyEff),1,Milestones!$AC$67)&amp;";  ",""))</f>
        <v/>
      </c>
      <c r="M124" s="0" t="str">
        <f aca="false">IF(OR($A124="",$D124=""),"",IF(AND(EDATE($D124,Milestones!$AA$68)&lt;=AsOfDate,EDATE($D124,Milestones!$AA$68)&gt;=SchemeStart,IF($X124=0,$AD124,IF(AND($Z124&lt;&gt;"",EDATE($D124,Milestones!$AA$68)&gt;=$Z124),$AC124,IF(AND($Y124&lt;&gt;"",EDATE($D124,Milestones!$AA$68)&gt;=$Y124),$AB124,$AA124)))=Milestones!$AB$68),UPPER(TEXT(EDATE($D124,Milestones!$AA$68),"dd mmm yy"))&amp;" "&amp;Milestones!$AB$68&amp;" "&amp;IF(AND(Milestones!$AB$68="FT",Milestones!$AA$68=FT_Y5,EDATE($D124,Milestones!$AA$68)&lt;PolicyEff),1,Milestones!$AC$68)&amp;";  ","")&amp;IF(AND(EDATE($D124,Milestones!$AA$69)&lt;=AsOfDate,EDATE($D124,Milestones!$AA$69)&gt;=SchemeStart,IF($X124=0,$AD124,IF(AND($Z124&lt;&gt;"",EDATE($D124,Milestones!$AA$69)&gt;=$Z124),$AC124,IF(AND($Y124&lt;&gt;"",EDATE($D124,Milestones!$AA$69)&gt;=$Y124),$AB124,$AA124)))=Milestones!$AB$69),UPPER(TEXT(EDATE($D124,Milestones!$AA$69),"dd mmm yy"))&amp;" "&amp;Milestones!$AB$69&amp;" "&amp;IF(AND(Milestones!$AB$69="FT",Milestones!$AA$69=FT_Y5,EDATE($D124,Milestones!$AA$69)&lt;PolicyEff),1,Milestones!$AC$69)&amp;";  ","")&amp;IF(AND(EDATE($D124,Milestones!$AA$70)&lt;=AsOfDate,EDATE($D124,Milestones!$AA$70)&gt;=SchemeStart,IF($X124=0,$AD124,IF(AND($Z124&lt;&gt;"",EDATE($D124,Milestones!$AA$70)&gt;=$Z124),$AC124,IF(AND($Y124&lt;&gt;"",EDATE($D124,Milestones!$AA$70)&gt;=$Y124),$AB124,$AA124)))=Milestones!$AB$70),UPPER(TEXT(EDATE($D124,Milestones!$AA$70),"dd mmm yy"))&amp;" "&amp;Milestones!$AB$70&amp;" "&amp;IF(AND(Milestones!$AB$70="FT",Milestones!$AA$70=FT_Y5,EDATE($D124,Milestones!$AA$70)&lt;PolicyEff),1,Milestones!$AC$70)&amp;";  ","")&amp;IF(AND(EDATE($D124,Milestones!$AA$71)&lt;=AsOfDate,EDATE($D124,Milestones!$AA$71)&gt;=SchemeStart,IF($X124=0,$AD124,IF(AND($Z124&lt;&gt;"",EDATE($D124,Milestones!$AA$71)&gt;=$Z124),$AC124,IF(AND($Y124&lt;&gt;"",EDATE($D124,Milestones!$AA$71)&gt;=$Y124),$AB124,$AA124)))=Milestones!$AB$71),UPPER(TEXT(EDATE($D124,Milestones!$AA$71),"dd mmm yy"))&amp;" "&amp;Milestones!$AB$71&amp;" "&amp;IF(AND(Milestones!$AB$71="FT",Milestones!$AA$71=FT_Y5,EDATE($D124,Milestones!$AA$71)&lt;PolicyEff),1,Milestones!$AC$71)&amp;";  ","")&amp;IF(AND(EDATE($D124,Milestones!$AA$72)&lt;=AsOfDate,EDATE($D124,Milestones!$AA$72)&gt;=SchemeStart,IF($X124=0,$AD124,IF(AND($Z124&lt;&gt;"",EDATE($D124,Milestones!$AA$72)&gt;=$Z124),$AC124,IF(AND($Y124&lt;&gt;"",EDATE($D124,Milestones!$AA$72)&gt;=$Y124),$AB124,$AA124)))=Milestones!$AB$72),UPPER(TEXT(EDATE($D124,Milestones!$AA$72),"dd mmm yy"))&amp;" "&amp;Milestones!$AB$72&amp;" "&amp;IF(AND(Milestones!$AB$72="FT",Milestones!$AA$72=FT_Y5,EDATE($D124,Milestones!$AA$72)&lt;PolicyEff),1,Milestones!$AC$72)&amp;";  ","")&amp;IF(AND(EDATE($D124,Milestones!$AA$73)&lt;=AsOfDate,EDATE($D124,Milestones!$AA$73)&gt;=SchemeStart,IF($X124=0,$AD124,IF(AND($Z124&lt;&gt;"",EDATE($D124,Milestones!$AA$73)&gt;=$Z124),$AC124,IF(AND($Y124&lt;&gt;"",EDATE($D124,Milestones!$AA$73)&gt;=$Y124),$AB124,$AA124)))=Milestones!$AB$73),UPPER(TEXT(EDATE($D124,Milestones!$AA$73),"dd mmm yy"))&amp;" "&amp;Milestones!$AB$73&amp;" "&amp;IF(AND(Milestones!$AB$73="FT",Milestones!$AA$73=FT_Y5,EDATE($D124,Milestones!$AA$73)&lt;PolicyEff),1,Milestones!$AC$73)&amp;";  ","")&amp;IF(AND(EDATE($D124,Milestones!$AA$74)&lt;=AsOfDate,EDATE($D124,Milestones!$AA$74)&gt;=SchemeStart,IF($X124=0,$AD124,IF(AND($Z124&lt;&gt;"",EDATE($D124,Milestones!$AA$74)&gt;=$Z124),$AC124,IF(AND($Y124&lt;&gt;"",EDATE($D124,Milestones!$AA$74)&gt;=$Y124),$AB124,$AA124)))=Milestones!$AB$74),UPPER(TEXT(EDATE($D124,Milestones!$AA$74),"dd mmm yy"))&amp;" "&amp;Milestones!$AB$74&amp;" "&amp;IF(AND(Milestones!$AB$74="FT",Milestones!$AA$74=FT_Y5,EDATE($D124,Milestones!$AA$74)&lt;PolicyEff),1,Milestones!$AC$74)&amp;";  ","")&amp;IF(AND(EDATE($D124,Milestones!$AA$75)&lt;=AsOfDate,EDATE($D124,Milestones!$AA$75)&gt;=SchemeStart,IF($X124=0,$AD124,IF(AND($Z124&lt;&gt;"",EDATE($D124,Milestones!$AA$75)&gt;=$Z124),$AC124,IF(AND($Y124&lt;&gt;"",EDATE($D124,Milestones!$AA$75)&gt;=$Y124),$AB124,$AA124)))=Milestones!$AB$75),UPPER(TEXT(EDATE($D124,Milestones!$AA$75),"dd mmm yy"))&amp;" "&amp;Milestones!$AB$75&amp;" "&amp;IF(AND(Milestones!$AB$75="FT",Milestones!$AA$75=FT_Y5,EDATE($D124,Milestones!$AA$75)&lt;PolicyEff),1,Milestones!$AC$75)&amp;";  ","")&amp;IF(AND(EDATE($D124,Milestones!$AA$76)&lt;=AsOfDate,EDATE($D124,Milestones!$AA$76)&gt;=SchemeStart,IF($X124=0,$AD124,IF(AND($Z124&lt;&gt;"",EDATE($D124,Milestones!$AA$76)&gt;=$Z124),$AC124,IF(AND($Y124&lt;&gt;"",EDATE($D124,Milestones!$AA$76)&gt;=$Y124),$AB124,$AA124)))=Milestones!$AB$76),UPPER(TEXT(EDATE($D124,Milestones!$AA$76),"dd mmm yy"))&amp;" "&amp;Milestones!$AB$76&amp;" "&amp;IF(AND(Milestones!$AB$76="FT",Milestones!$AA$76=FT_Y5,EDATE($D124,Milestones!$AA$76)&lt;PolicyEff),1,Milestones!$AC$76)&amp;";  ","")&amp;IF(AND(EDATE($D124,Milestones!$AA$77)&lt;=AsOfDate,EDATE($D124,Milestones!$AA$77)&gt;=SchemeStart,IF($X124=0,$AD124,IF(AND($Z124&lt;&gt;"",EDATE($D124,Milestones!$AA$77)&gt;=$Z124),$AC124,IF(AND($Y124&lt;&gt;"",EDATE($D124,Milestones!$AA$77)&gt;=$Y124),$AB124,$AA124)))=Milestones!$AB$77),UPPER(TEXT(EDATE($D124,Milestones!$AA$77),"dd mmm yy"))&amp;" "&amp;Milestones!$AB$77&amp;" "&amp;IF(AND(Milestones!$AB$77="FT",Milestones!$AA$77=FT_Y5,EDATE($D124,Milestones!$AA$77)&lt;PolicyEff),1,Milestones!$AC$77)&amp;";  ","")&amp;IF(AND(EDATE($D124,Milestones!$AA$78)&lt;=AsOfDate,EDATE($D124,Milestones!$AA$78)&gt;=SchemeStart,IF($X124=0,$AD124,IF(AND($Z124&lt;&gt;"",EDATE($D124,Milestones!$AA$78)&gt;=$Z124),$AC124,IF(AND($Y124&lt;&gt;"",EDATE($D124,Milestones!$AA$78)&gt;=$Y124),$AB124,$AA124)))=Milestones!$AB$78),UPPER(TEXT(EDATE($D124,Milestones!$AA$78),"dd mmm yy"))&amp;" "&amp;Milestones!$AB$78&amp;" "&amp;IF(AND(Milestones!$AB$78="FT",Milestones!$AA$78=FT_Y5,EDATE($D124,Milestones!$AA$78)&lt;PolicyEff),1,Milestones!$AC$78)&amp;";  ","")&amp;IF(AND(EDATE($D124,Milestones!$AA$79)&lt;=AsOfDate,EDATE($D124,Milestones!$AA$79)&gt;=SchemeStart,IF($X124=0,$AD124,IF(AND($Z124&lt;&gt;"",EDATE($D124,Milestones!$AA$79)&gt;=$Z124),$AC124,IF(AND($Y124&lt;&gt;"",EDATE($D124,Milestones!$AA$79)&gt;=$Y124),$AB124,$AA124)))=Milestones!$AB$79),UPPER(TEXT(EDATE($D124,Milestones!$AA$79),"dd mmm yy"))&amp;" "&amp;Milestones!$AB$79&amp;" "&amp;IF(AND(Milestones!$AB$79="FT",Milestones!$AA$79=FT_Y5,EDATE($D124,Milestones!$AA$79)&lt;PolicyEff),1,Milestones!$AC$79)&amp;";  ",""))</f>
        <v/>
      </c>
      <c r="N124" s="0" t="str">
        <f aca="false">IF(OR($A124="",$D124=""),"",IF(AND(EDATE($D124,Milestones!$AA$80)&lt;=AsOfDate,EDATE($D124,Milestones!$AA$80)&gt;=SchemeStart,IF($X124=0,$AD124,IF(AND($Z124&lt;&gt;"",EDATE($D124,Milestones!$AA$80)&gt;=$Z124),$AC124,IF(AND($Y124&lt;&gt;"",EDATE($D124,Milestones!$AA$80)&gt;=$Y124),$AB124,$AA124)))=Milestones!$AB$80),UPPER(TEXT(EDATE($D124,Milestones!$AA$80),"dd mmm yy"))&amp;" "&amp;Milestones!$AB$80&amp;" "&amp;IF(AND(Milestones!$AB$80="FT",Milestones!$AA$80=FT_Y5,EDATE($D124,Milestones!$AA$80)&lt;PolicyEff),1,Milestones!$AC$80)&amp;";  ","")&amp;IF(AND(EDATE($D124,Milestones!$AA$81)&lt;=AsOfDate,EDATE($D124,Milestones!$AA$81)&gt;=SchemeStart,IF($X124=0,$AD124,IF(AND($Z124&lt;&gt;"",EDATE($D124,Milestones!$AA$81)&gt;=$Z124),$AC124,IF(AND($Y124&lt;&gt;"",EDATE($D124,Milestones!$AA$81)&gt;=$Y124),$AB124,$AA124)))=Milestones!$AB$81),UPPER(TEXT(EDATE($D124,Milestones!$AA$81),"dd mmm yy"))&amp;" "&amp;Milestones!$AB$81&amp;" "&amp;IF(AND(Milestones!$AB$81="FT",Milestones!$AA$81=FT_Y5,EDATE($D124,Milestones!$AA$81)&lt;PolicyEff),1,Milestones!$AC$81)&amp;";  ","")&amp;IF(AND(EDATE($D124,Milestones!$AA$82)&lt;=AsOfDate,EDATE($D124,Milestones!$AA$82)&gt;=SchemeStart,IF($X124=0,$AD124,IF(AND($Z124&lt;&gt;"",EDATE($D124,Milestones!$AA$82)&gt;=$Z124),$AC124,IF(AND($Y124&lt;&gt;"",EDATE($D124,Milestones!$AA$82)&gt;=$Y124),$AB124,$AA124)))=Milestones!$AB$82),UPPER(TEXT(EDATE($D124,Milestones!$AA$82),"dd mmm yy"))&amp;" "&amp;Milestones!$AB$82&amp;" "&amp;IF(AND(Milestones!$AB$82="FT",Milestones!$AA$82=FT_Y5,EDATE($D124,Milestones!$AA$82)&lt;PolicyEff),1,Milestones!$AC$82)&amp;";  ","")&amp;IF(AND(EDATE($D124,Milestones!$AA$83)&lt;=AsOfDate,EDATE($D124,Milestones!$AA$83)&gt;=SchemeStart,IF($X124=0,$AD124,IF(AND($Z124&lt;&gt;"",EDATE($D124,Milestones!$AA$83)&gt;=$Z124),$AC124,IF(AND($Y124&lt;&gt;"",EDATE($D124,Milestones!$AA$83)&gt;=$Y124),$AB124,$AA124)))=Milestones!$AB$83),UPPER(TEXT(EDATE($D124,Milestones!$AA$83),"dd mmm yy"))&amp;" "&amp;Milestones!$AB$83&amp;" "&amp;IF(AND(Milestones!$AB$83="FT",Milestones!$AA$83=FT_Y5,EDATE($D124,Milestones!$AA$83)&lt;PolicyEff),1,Milestones!$AC$83)&amp;";  ","")&amp;IF(AND(EDATE($D124,Milestones!$AA$84)&lt;=AsOfDate,EDATE($D124,Milestones!$AA$84)&gt;=SchemeStart,IF($X124=0,$AD124,IF(AND($Z124&lt;&gt;"",EDATE($D124,Milestones!$AA$84)&gt;=$Z124),$AC124,IF(AND($Y124&lt;&gt;"",EDATE($D124,Milestones!$AA$84)&gt;=$Y124),$AB124,$AA124)))=Milestones!$AB$84),UPPER(TEXT(EDATE($D124,Milestones!$AA$84),"dd mmm yy"))&amp;" "&amp;Milestones!$AB$84&amp;" "&amp;IF(AND(Milestones!$AB$84="FT",Milestones!$AA$84=FT_Y5,EDATE($D124,Milestones!$AA$84)&lt;PolicyEff),1,Milestones!$AC$84)&amp;";  ","")&amp;IF(AND(EDATE($D124,Milestones!$AA$85)&lt;=AsOfDate,EDATE($D124,Milestones!$AA$85)&gt;=SchemeStart,IF($X124=0,$AD124,IF(AND($Z124&lt;&gt;"",EDATE($D124,Milestones!$AA$85)&gt;=$Z124),$AC124,IF(AND($Y124&lt;&gt;"",EDATE($D124,Milestones!$AA$85)&gt;=$Y124),$AB124,$AA124)))=Milestones!$AB$85),UPPER(TEXT(EDATE($D124,Milestones!$AA$85),"dd mmm yy"))&amp;" "&amp;Milestones!$AB$85&amp;" "&amp;IF(AND(Milestones!$AB$85="FT",Milestones!$AA$85=FT_Y5,EDATE($D124,Milestones!$AA$85)&lt;PolicyEff),1,Milestones!$AC$85)&amp;";  ","")&amp;IF(AND(EDATE($D124,Milestones!$AA$86)&lt;=AsOfDate,EDATE($D124,Milestones!$AA$86)&gt;=SchemeStart,IF($X124=0,$AD124,IF(AND($Z124&lt;&gt;"",EDATE($D124,Milestones!$AA$86)&gt;=$Z124),$AC124,IF(AND($Y124&lt;&gt;"",EDATE($D124,Milestones!$AA$86)&gt;=$Y124),$AB124,$AA124)))=Milestones!$AB$86),UPPER(TEXT(EDATE($D124,Milestones!$AA$86),"dd mmm yy"))&amp;" "&amp;Milestones!$AB$86&amp;" "&amp;IF(AND(Milestones!$AB$86="FT",Milestones!$AA$86=FT_Y5,EDATE($D124,Milestones!$AA$86)&lt;PolicyEff),1,Milestones!$AC$86)&amp;";  ","")&amp;IF(AND(EDATE($D124,Milestones!$AA$87)&lt;=AsOfDate,EDATE($D124,Milestones!$AA$87)&gt;=SchemeStart,IF($X124=0,$AD124,IF(AND($Z124&lt;&gt;"",EDATE($D124,Milestones!$AA$87)&gt;=$Z124),$AC124,IF(AND($Y124&lt;&gt;"",EDATE($D124,Milestones!$AA$87)&gt;=$Y124),$AB124,$AA124)))=Milestones!$AB$87),UPPER(TEXT(EDATE($D124,Milestones!$AA$87),"dd mmm yy"))&amp;" "&amp;Milestones!$AB$87&amp;" "&amp;IF(AND(Milestones!$AB$87="FT",Milestones!$AA$87=FT_Y5,EDATE($D124,Milestones!$AA$87)&lt;PolicyEff),1,Milestones!$AC$87)&amp;";  ","")&amp;IF(AND(EDATE($D124,Milestones!$AA$88)&lt;=AsOfDate,EDATE($D124,Milestones!$AA$88)&gt;=SchemeStart,IF($X124=0,$AD124,IF(AND($Z124&lt;&gt;"",EDATE($D124,Milestones!$AA$88)&gt;=$Z124),$AC124,IF(AND($Y124&lt;&gt;"",EDATE($D124,Milestones!$AA$88)&gt;=$Y124),$AB124,$AA124)))=Milestones!$AB$88),UPPER(TEXT(EDATE($D124,Milestones!$AA$88),"dd mmm yy"))&amp;" "&amp;Milestones!$AB$88&amp;" "&amp;IF(AND(Milestones!$AB$88="FT",Milestones!$AA$88=FT_Y5,EDATE($D124,Milestones!$AA$88)&lt;PolicyEff),1,Milestones!$AC$88)&amp;";  ","")&amp;IF(AND(EDATE($D124,Milestones!$AA$89)&lt;=AsOfDate,EDATE($D124,Milestones!$AA$89)&gt;=SchemeStart,IF($X124=0,$AD124,IF(AND($Z124&lt;&gt;"",EDATE($D124,Milestones!$AA$89)&gt;=$Z124),$AC124,IF(AND($Y124&lt;&gt;"",EDATE($D124,Milestones!$AA$89)&gt;=$Y124),$AB124,$AA124)))=Milestones!$AB$89),UPPER(TEXT(EDATE($D124,Milestones!$AA$89),"dd mmm yy"))&amp;" "&amp;Milestones!$AB$89&amp;" "&amp;IF(AND(Milestones!$AB$89="FT",Milestones!$AA$89=FT_Y5,EDATE($D124,Milestones!$AA$89)&lt;PolicyEff),1,Milestones!$AC$89)&amp;";  ","")&amp;IF(AND(EDATE($D124,Milestones!$AA$90)&lt;=AsOfDate,EDATE($D124,Milestones!$AA$90)&gt;=SchemeStart,IF($X124=0,$AD124,IF(AND($Z124&lt;&gt;"",EDATE($D124,Milestones!$AA$90)&gt;=$Z124),$AC124,IF(AND($Y124&lt;&gt;"",EDATE($D124,Milestones!$AA$90)&gt;=$Y124),$AB124,$AA124)))=Milestones!$AB$90),UPPER(TEXT(EDATE($D124,Milestones!$AA$90),"dd mmm yy"))&amp;" "&amp;Milestones!$AB$90&amp;" "&amp;IF(AND(Milestones!$AB$90="FT",Milestones!$AA$90=FT_Y5,EDATE($D124,Milestones!$AA$90)&lt;PolicyEff),1,Milestones!$AC$90)&amp;";  ","")&amp;IF(AND(EDATE($D124,Milestones!$AA$91)&lt;=AsOfDate,EDATE($D124,Milestones!$AA$91)&gt;=SchemeStart,IF($X124=0,$AD124,IF(AND($Z124&lt;&gt;"",EDATE($D124,Milestones!$AA$91)&gt;=$Z124),$AC124,IF(AND($Y124&lt;&gt;"",EDATE($D124,Milestones!$AA$91)&gt;=$Y124),$AB124,$AA124)))=Milestones!$AB$91),UPPER(TEXT(EDATE($D124,Milestones!$AA$91),"dd mmm yy"))&amp;" "&amp;Milestones!$AB$91&amp;" "&amp;IF(AND(Milestones!$AB$91="FT",Milestones!$AA$91=FT_Y5,EDATE($D124,Milestones!$AA$91)&lt;PolicyEff),1,Milestones!$AC$91)&amp;";  ",""))</f>
        <v/>
      </c>
      <c r="O124" s="0" t="str">
        <f aca="false">IF(OR($A124="",$D124=""),"",IF(AND(EDATE($D124,Milestones!$AA$92)&lt;=AsOfDate,EDATE($D124,Milestones!$AA$92)&gt;=SchemeStart,IF($X124=0,$AD124,IF(AND($Z124&lt;&gt;"",EDATE($D124,Milestones!$AA$92)&gt;=$Z124),$AC124,IF(AND($Y124&lt;&gt;"",EDATE($D124,Milestones!$AA$92)&gt;=$Y124),$AB124,$AA124)))=Milestones!$AB$92),UPPER(TEXT(EDATE($D124,Milestones!$AA$92),"dd mmm yy"))&amp;" "&amp;Milestones!$AB$92&amp;" "&amp;IF(AND(Milestones!$AB$92="FT",Milestones!$AA$92=FT_Y5,EDATE($D124,Milestones!$AA$92)&lt;PolicyEff),1,Milestones!$AC$92)&amp;";  ","")&amp;IF(AND(EDATE($D124,Milestones!$AA$93)&lt;=AsOfDate,EDATE($D124,Milestones!$AA$93)&gt;=SchemeStart,IF($X124=0,$AD124,IF(AND($Z124&lt;&gt;"",EDATE($D124,Milestones!$AA$93)&gt;=$Z124),$AC124,IF(AND($Y124&lt;&gt;"",EDATE($D124,Milestones!$AA$93)&gt;=$Y124),$AB124,$AA124)))=Milestones!$AB$93),UPPER(TEXT(EDATE($D124,Milestones!$AA$93),"dd mmm yy"))&amp;" "&amp;Milestones!$AB$93&amp;" "&amp;IF(AND(Milestones!$AB$93="FT",Milestones!$AA$93=FT_Y5,EDATE($D124,Milestones!$AA$93)&lt;PolicyEff),1,Milestones!$AC$93)&amp;";  ","")&amp;IF(AND(EDATE($D124,Milestones!$AA$94)&lt;=AsOfDate,EDATE($D124,Milestones!$AA$94)&gt;=SchemeStart,IF($X124=0,$AD124,IF(AND($Z124&lt;&gt;"",EDATE($D124,Milestones!$AA$94)&gt;=$Z124),$AC124,IF(AND($Y124&lt;&gt;"",EDATE($D124,Milestones!$AA$94)&gt;=$Y124),$AB124,$AA124)))=Milestones!$AB$94),UPPER(TEXT(EDATE($D124,Milestones!$AA$94),"dd mmm yy"))&amp;" "&amp;Milestones!$AB$94&amp;" "&amp;IF(AND(Milestones!$AB$94="FT",Milestones!$AA$94=FT_Y5,EDATE($D124,Milestones!$AA$94)&lt;PolicyEff),1,Milestones!$AC$94)&amp;";  ","")&amp;IF(AND(EDATE($D124,Milestones!$AA$95)&lt;=AsOfDate,EDATE($D124,Milestones!$AA$95)&gt;=SchemeStart,IF($X124=0,$AD124,IF(AND($Z124&lt;&gt;"",EDATE($D124,Milestones!$AA$95)&gt;=$Z124),$AC124,IF(AND($Y124&lt;&gt;"",EDATE($D124,Milestones!$AA$95)&gt;=$Y124),$AB124,$AA124)))=Milestones!$AB$95),UPPER(TEXT(EDATE($D124,Milestones!$AA$95),"dd mmm yy"))&amp;" "&amp;Milestones!$AB$95&amp;" "&amp;IF(AND(Milestones!$AB$95="FT",Milestones!$AA$95=FT_Y5,EDATE($D124,Milestones!$AA$95)&lt;PolicyEff),1,Milestones!$AC$95)&amp;";  ","")&amp;IF(AND(EDATE($D124,Milestones!$AA$96)&lt;=AsOfDate,EDATE($D124,Milestones!$AA$96)&gt;=SchemeStart,IF($X124=0,$AD124,IF(AND($Z124&lt;&gt;"",EDATE($D124,Milestones!$AA$96)&gt;=$Z124),$AC124,IF(AND($Y124&lt;&gt;"",EDATE($D124,Milestones!$AA$96)&gt;=$Y124),$AB124,$AA124)))=Milestones!$AB$96),UPPER(TEXT(EDATE($D124,Milestones!$AA$96),"dd mmm yy"))&amp;" "&amp;Milestones!$AB$96&amp;" "&amp;IF(AND(Milestones!$AB$96="FT",Milestones!$AA$96=FT_Y5,EDATE($D124,Milestones!$AA$96)&lt;PolicyEff),1,Milestones!$AC$96)&amp;";  ","")&amp;IF(AND(EDATE($D124,Milestones!$AA$97)&lt;=AsOfDate,EDATE($D124,Milestones!$AA$97)&gt;=SchemeStart,IF($X124=0,$AD124,IF(AND($Z124&lt;&gt;"",EDATE($D124,Milestones!$AA$97)&gt;=$Z124),$AC124,IF(AND($Y124&lt;&gt;"",EDATE($D124,Milestones!$AA$97)&gt;=$Y124),$AB124,$AA124)))=Milestones!$AB$97),UPPER(TEXT(EDATE($D124,Milestones!$AA$97),"dd mmm yy"))&amp;" "&amp;Milestones!$AB$97&amp;" "&amp;IF(AND(Milestones!$AB$97="FT",Milestones!$AA$97=FT_Y5,EDATE($D124,Milestones!$AA$97)&lt;PolicyEff),1,Milestones!$AC$97)&amp;";  ","")&amp;IF(AND(EDATE($D124,Milestones!$AA$98)&lt;=AsOfDate,EDATE($D124,Milestones!$AA$98)&gt;=SchemeStart,IF($X124=0,$AD124,IF(AND($Z124&lt;&gt;"",EDATE($D124,Milestones!$AA$98)&gt;=$Z124),$AC124,IF(AND($Y124&lt;&gt;"",EDATE($D124,Milestones!$AA$98)&gt;=$Y124),$AB124,$AA124)))=Milestones!$AB$98),UPPER(TEXT(EDATE($D124,Milestones!$AA$98),"dd mmm yy"))&amp;" "&amp;Milestones!$AB$98&amp;" "&amp;IF(AND(Milestones!$AB$98="FT",Milestones!$AA$98=FT_Y5,EDATE($D124,Milestones!$AA$98)&lt;PolicyEff),1,Milestones!$AC$98)&amp;";  ","")&amp;IF(AND(EDATE($D124,Milestones!$AA$99)&lt;=AsOfDate,EDATE($D124,Milestones!$AA$99)&gt;=SchemeStart,IF($X124=0,$AD124,IF(AND($Z124&lt;&gt;"",EDATE($D124,Milestones!$AA$99)&gt;=$Z124),$AC124,IF(AND($Y124&lt;&gt;"",EDATE($D124,Milestones!$AA$99)&gt;=$Y124),$AB124,$AA124)))=Milestones!$AB$99),UPPER(TEXT(EDATE($D124,Milestones!$AA$99),"dd mmm yy"))&amp;" "&amp;Milestones!$AB$99&amp;" "&amp;IF(AND(Milestones!$AB$99="FT",Milestones!$AA$99=FT_Y5,EDATE($D124,Milestones!$AA$99)&lt;PolicyEff),1,Milestones!$AC$99)&amp;";  ","")&amp;IF(AND(EDATE($D124,Milestones!$AA$100)&lt;=AsOfDate,EDATE($D124,Milestones!$AA$100)&gt;=SchemeStart,IF($X124=0,$AD124,IF(AND($Z124&lt;&gt;"",EDATE($D124,Milestones!$AA$100)&gt;=$Z124),$AC124,IF(AND($Y124&lt;&gt;"",EDATE($D124,Milestones!$AA$100)&gt;=$Y124),$AB124,$AA124)))=Milestones!$AB$100),UPPER(TEXT(EDATE($D124,Milestones!$AA$100),"dd mmm yy"))&amp;" "&amp;Milestones!$AB$100&amp;" "&amp;IF(AND(Milestones!$AB$100="FT",Milestones!$AA$100=FT_Y5,EDATE($D124,Milestones!$AA$100)&lt;PolicyEff),1,Milestones!$AC$100)&amp;";  ","")&amp;IF(AND(EDATE($D124,Milestones!$AA$101)&lt;=AsOfDate,EDATE($D124,Milestones!$AA$101)&gt;=SchemeStart,IF($X124=0,$AD124,IF(AND($Z124&lt;&gt;"",EDATE($D124,Milestones!$AA$101)&gt;=$Z124),$AC124,IF(AND($Y124&lt;&gt;"",EDATE($D124,Milestones!$AA$101)&gt;=$Y124),$AB124,$AA124)))=Milestones!$AB$101),UPPER(TEXT(EDATE($D124,Milestones!$AA$101),"dd mmm yy"))&amp;" "&amp;Milestones!$AB$101&amp;" "&amp;IF(AND(Milestones!$AB$101="FT",Milestones!$AA$101=FT_Y5,EDATE($D124,Milestones!$AA$101)&lt;PolicyEff),1,Milestones!$AC$101)&amp;";  ","")&amp;IF(AND(EDATE($D124,Milestones!$AA$102)&lt;=AsOfDate,EDATE($D124,Milestones!$AA$102)&gt;=SchemeStart,IF($X124=0,$AD124,IF(AND($Z124&lt;&gt;"",EDATE($D124,Milestones!$AA$102)&gt;=$Z124),$AC124,IF(AND($Y124&lt;&gt;"",EDATE($D124,Milestones!$AA$102)&gt;=$Y124),$AB124,$AA124)))=Milestones!$AB$102),UPPER(TEXT(EDATE($D124,Milestones!$AA$102),"dd mmm yy"))&amp;" "&amp;Milestones!$AB$102&amp;" "&amp;IF(AND(Milestones!$AB$102="FT",Milestones!$AA$102=FT_Y5,EDATE($D124,Milestones!$AA$102)&lt;PolicyEff),1,Milestones!$AC$102)&amp;";  ","")&amp;IF(AND(EDATE($D124,Milestones!$AA$103)&lt;=AsOfDate,EDATE($D124,Milestones!$AA$103)&gt;=SchemeStart,IF($X124=0,$AD124,IF(AND($Z124&lt;&gt;"",EDATE($D124,Milestones!$AA$103)&gt;=$Z124),$AC124,IF(AND($Y124&lt;&gt;"",EDATE($D124,Milestones!$AA$103)&gt;=$Y124),$AB124,$AA124)))=Milestones!$AB$103),UPPER(TEXT(EDATE($D124,Milestones!$AA$103),"dd mmm yy"))&amp;" "&amp;Milestones!$AB$103&amp;" "&amp;IF(AND(Milestones!$AB$103="FT",Milestones!$AA$103=FT_Y5,EDATE($D124,Milestones!$AA$103)&lt;PolicyEff),1,Milestones!$AC$103)&amp;";  ",""))</f>
        <v/>
      </c>
      <c r="P124" s="0" t="str">
        <f aca="false">IF(OR($A124="",$D124=""),"",IF(AND(EDATE($D124,Milestones!$AA$104)&lt;=AsOfDate,EDATE($D124,Milestones!$AA$104)&gt;=SchemeStart,IF($X124=0,$AD124,IF(AND($Z124&lt;&gt;"",EDATE($D124,Milestones!$AA$104)&gt;=$Z124),$AC124,IF(AND($Y124&lt;&gt;"",EDATE($D124,Milestones!$AA$104)&gt;=$Y124),$AB124,$AA124)))=Milestones!$AB$104),UPPER(TEXT(EDATE($D124,Milestones!$AA$104),"dd mmm yy"))&amp;" "&amp;Milestones!$AB$104&amp;" "&amp;IF(AND(Milestones!$AB$104="FT",Milestones!$AA$104=FT_Y5,EDATE($D124,Milestones!$AA$104)&lt;PolicyEff),1,Milestones!$AC$104)&amp;";  ","")&amp;IF(AND(EDATE($D124,Milestones!$AA$105)&lt;=AsOfDate,EDATE($D124,Milestones!$AA$105)&gt;=SchemeStart,IF($X124=0,$AD124,IF(AND($Z124&lt;&gt;"",EDATE($D124,Milestones!$AA$105)&gt;=$Z124),$AC124,IF(AND($Y124&lt;&gt;"",EDATE($D124,Milestones!$AA$105)&gt;=$Y124),$AB124,$AA124)))=Milestones!$AB$105),UPPER(TEXT(EDATE($D124,Milestones!$AA$105),"dd mmm yy"))&amp;" "&amp;Milestones!$AB$105&amp;" "&amp;IF(AND(Milestones!$AB$105="FT",Milestones!$AA$105=FT_Y5,EDATE($D124,Milestones!$AA$105)&lt;PolicyEff),1,Milestones!$AC$105)&amp;";  ","")&amp;IF(AND(EDATE($D124,Milestones!$AA$106)&lt;=AsOfDate,EDATE($D124,Milestones!$AA$106)&gt;=SchemeStart,IF($X124=0,$AD124,IF(AND($Z124&lt;&gt;"",EDATE($D124,Milestones!$AA$106)&gt;=$Z124),$AC124,IF(AND($Y124&lt;&gt;"",EDATE($D124,Milestones!$AA$106)&gt;=$Y124),$AB124,$AA124)))=Milestones!$AB$106),UPPER(TEXT(EDATE($D124,Milestones!$AA$106),"dd mmm yy"))&amp;" "&amp;Milestones!$AB$106&amp;" "&amp;IF(AND(Milestones!$AB$106="FT",Milestones!$AA$106=FT_Y5,EDATE($D124,Milestones!$AA$106)&lt;PolicyEff),1,Milestones!$AC$106)&amp;";  ","")&amp;IF(AND(EDATE($D124,Milestones!$AA$107)&lt;=AsOfDate,EDATE($D124,Milestones!$AA$107)&gt;=SchemeStart,IF($X124=0,$AD124,IF(AND($Z124&lt;&gt;"",EDATE($D124,Milestones!$AA$107)&gt;=$Z124),$AC124,IF(AND($Y124&lt;&gt;"",EDATE($D124,Milestones!$AA$107)&gt;=$Y124),$AB124,$AA124)))=Milestones!$AB$107),UPPER(TEXT(EDATE($D124,Milestones!$AA$107),"dd mmm yy"))&amp;" "&amp;Milestones!$AB$107&amp;" "&amp;IF(AND(Milestones!$AB$107="FT",Milestones!$AA$107=FT_Y5,EDATE($D124,Milestones!$AA$107)&lt;PolicyEff),1,Milestones!$AC$107)&amp;";  ","")&amp;IF(AND(EDATE($D124,Milestones!$AA$108)&lt;=AsOfDate,EDATE($D124,Milestones!$AA$108)&gt;=SchemeStart,IF($X124=0,$AD124,IF(AND($Z124&lt;&gt;"",EDATE($D124,Milestones!$AA$108)&gt;=$Z124),$AC124,IF(AND($Y124&lt;&gt;"",EDATE($D124,Milestones!$AA$108)&gt;=$Y124),$AB124,$AA124)))=Milestones!$AB$108),UPPER(TEXT(EDATE($D124,Milestones!$AA$108),"dd mmm yy"))&amp;" "&amp;Milestones!$AB$108&amp;" "&amp;IF(AND(Milestones!$AB$108="FT",Milestones!$AA$108=FT_Y5,EDATE($D124,Milestones!$AA$108)&lt;PolicyEff),1,Milestones!$AC$108)&amp;";  ","")&amp;IF(AND(EDATE($D124,Milestones!$AA$109)&lt;=AsOfDate,EDATE($D124,Milestones!$AA$109)&gt;=SchemeStart,IF($X124=0,$AD124,IF(AND($Z124&lt;&gt;"",EDATE($D124,Milestones!$AA$109)&gt;=$Z124),$AC124,IF(AND($Y124&lt;&gt;"",EDATE($D124,Milestones!$AA$109)&gt;=$Y124),$AB124,$AA124)))=Milestones!$AB$109),UPPER(TEXT(EDATE($D124,Milestones!$AA$109),"dd mmm yy"))&amp;" "&amp;Milestones!$AB$109&amp;" "&amp;IF(AND(Milestones!$AB$109="FT",Milestones!$AA$109=FT_Y5,EDATE($D124,Milestones!$AA$109)&lt;PolicyEff),1,Milestones!$AC$109)&amp;";  ","")&amp;IF(AND(EDATE($D124,Milestones!$AA$110)&lt;=AsOfDate,EDATE($D124,Milestones!$AA$110)&gt;=SchemeStart,IF($X124=0,$AD124,IF(AND($Z124&lt;&gt;"",EDATE($D124,Milestones!$AA$110)&gt;=$Z124),$AC124,IF(AND($Y124&lt;&gt;"",EDATE($D124,Milestones!$AA$110)&gt;=$Y124),$AB124,$AA124)))=Milestones!$AB$110),UPPER(TEXT(EDATE($D124,Milestones!$AA$110),"dd mmm yy"))&amp;" "&amp;Milestones!$AB$110&amp;" "&amp;IF(AND(Milestones!$AB$110="FT",Milestones!$AA$110=FT_Y5,EDATE($D124,Milestones!$AA$110)&lt;PolicyEff),1,Milestones!$AC$110)&amp;";  ","")&amp;IF(AND(EDATE($D124,Milestones!$AA$111)&lt;=AsOfDate,EDATE($D124,Milestones!$AA$111)&gt;=SchemeStart,IF($X124=0,$AD124,IF(AND($Z124&lt;&gt;"",EDATE($D124,Milestones!$AA$111)&gt;=$Z124),$AC124,IF(AND($Y124&lt;&gt;"",EDATE($D124,Milestones!$AA$111)&gt;=$Y124),$AB124,$AA124)))=Milestones!$AB$111),UPPER(TEXT(EDATE($D124,Milestones!$AA$111),"dd mmm yy"))&amp;" "&amp;Milestones!$AB$111&amp;" "&amp;IF(AND(Milestones!$AB$111="FT",Milestones!$AA$111=FT_Y5,EDATE($D124,Milestones!$AA$111)&lt;PolicyEff),1,Milestones!$AC$111)&amp;";  ","")&amp;IF(AND(EDATE($D124,Milestones!$AA$112)&lt;=AsOfDate,EDATE($D124,Milestones!$AA$112)&gt;=SchemeStart,IF($X124=0,$AD124,IF(AND($Z124&lt;&gt;"",EDATE($D124,Milestones!$AA$112)&gt;=$Z124),$AC124,IF(AND($Y124&lt;&gt;"",EDATE($D124,Milestones!$AA$112)&gt;=$Y124),$AB124,$AA124)))=Milestones!$AB$112),UPPER(TEXT(EDATE($D124,Milestones!$AA$112),"dd mmm yy"))&amp;" "&amp;Milestones!$AB$112&amp;" "&amp;IF(AND(Milestones!$AB$112="FT",Milestones!$AA$112=FT_Y5,EDATE($D124,Milestones!$AA$112)&lt;PolicyEff),1,Milestones!$AC$112)&amp;";  ","")&amp;IF(AND(EDATE($D124,Milestones!$AA$113)&lt;=AsOfDate,EDATE($D124,Milestones!$AA$113)&gt;=SchemeStart,IF($X124=0,$AD124,IF(AND($Z124&lt;&gt;"",EDATE($D124,Milestones!$AA$113)&gt;=$Z124),$AC124,IF(AND($Y124&lt;&gt;"",EDATE($D124,Milestones!$AA$113)&gt;=$Y124),$AB124,$AA124)))=Milestones!$AB$113),UPPER(TEXT(EDATE($D124,Milestones!$AA$113),"dd mmm yy"))&amp;" "&amp;Milestones!$AB$113&amp;" "&amp;IF(AND(Milestones!$AB$113="FT",Milestones!$AA$113=FT_Y5,EDATE($D124,Milestones!$AA$113)&lt;PolicyEff),1,Milestones!$AC$113)&amp;";  ","")&amp;IF(AND(EDATE($D124,Milestones!$AA$114)&lt;=AsOfDate,EDATE($D124,Milestones!$AA$114)&gt;=SchemeStart,IF($X124=0,$AD124,IF(AND($Z124&lt;&gt;"",EDATE($D124,Milestones!$AA$114)&gt;=$Z124),$AC124,IF(AND($Y124&lt;&gt;"",EDATE($D124,Milestones!$AA$114)&gt;=$Y124),$AB124,$AA124)))=Milestones!$AB$114),UPPER(TEXT(EDATE($D124,Milestones!$AA$114),"dd mmm yy"))&amp;" "&amp;Milestones!$AB$114&amp;" "&amp;IF(AND(Milestones!$AB$114="FT",Milestones!$AA$114=FT_Y5,EDATE($D124,Milestones!$AA$114)&lt;PolicyEff),1,Milestones!$AC$114)&amp;";  ","")&amp;IF(AND(EDATE($D124,Milestones!$AA$115)&lt;=AsOfDate,EDATE($D124,Milestones!$AA$115)&gt;=SchemeStart,IF($X124=0,$AD124,IF(AND($Z124&lt;&gt;"",EDATE($D124,Milestones!$AA$115)&gt;=$Z124),$AC124,IF(AND($Y124&lt;&gt;"",EDATE($D124,Milestones!$AA$115)&gt;=$Y124),$AB124,$AA124)))=Milestones!$AB$115),UPPER(TEXT(EDATE($D124,Milestones!$AA$115),"dd mmm yy"))&amp;" "&amp;Milestones!$AB$115&amp;" "&amp;IF(AND(Milestones!$AB$115="FT",Milestones!$AA$115=FT_Y5,EDATE($D124,Milestones!$AA$115)&lt;PolicyEff),1,Milestones!$AC$115)&amp;";  ",""))</f>
        <v/>
      </c>
      <c r="Q124" s="0" t="str">
        <f aca="false">IF(OR($A124="",$D124=""),"",IF(AND(EDATE($D124,Milestones!$AA$116)&lt;=AsOfDate,EDATE($D124,Milestones!$AA$116)&gt;=SchemeStart,IF($X124=0,$AD124,IF(AND($Z124&lt;&gt;"",EDATE($D124,Milestones!$AA$116)&gt;=$Z124),$AC124,IF(AND($Y124&lt;&gt;"",EDATE($D124,Milestones!$AA$116)&gt;=$Y124),$AB124,$AA124)))=Milestones!$AB$116),UPPER(TEXT(EDATE($D124,Milestones!$AA$116),"dd mmm yy"))&amp;" "&amp;Milestones!$AB$116&amp;" "&amp;IF(AND(Milestones!$AB$116="FT",Milestones!$AA$116=FT_Y5,EDATE($D124,Milestones!$AA$116)&lt;PolicyEff),1,Milestones!$AC$116)&amp;";  ","")&amp;IF(AND(EDATE($D124,Milestones!$AA$117)&lt;=AsOfDate,EDATE($D124,Milestones!$AA$117)&gt;=SchemeStart,IF($X124=0,$AD124,IF(AND($Z124&lt;&gt;"",EDATE($D124,Milestones!$AA$117)&gt;=$Z124),$AC124,IF(AND($Y124&lt;&gt;"",EDATE($D124,Milestones!$AA$117)&gt;=$Y124),$AB124,$AA124)))=Milestones!$AB$117),UPPER(TEXT(EDATE($D124,Milestones!$AA$117),"dd mmm yy"))&amp;" "&amp;Milestones!$AB$117&amp;" "&amp;IF(AND(Milestones!$AB$117="FT",Milestones!$AA$117=FT_Y5,EDATE($D124,Milestones!$AA$117)&lt;PolicyEff),1,Milestones!$AC$117)&amp;";  ","")&amp;IF(AND(EDATE($D124,Milestones!$AA$118)&lt;=AsOfDate,EDATE($D124,Milestones!$AA$118)&gt;=SchemeStart,IF($X124=0,$AD124,IF(AND($Z124&lt;&gt;"",EDATE($D124,Milestones!$AA$118)&gt;=$Z124),$AC124,IF(AND($Y124&lt;&gt;"",EDATE($D124,Milestones!$AA$118)&gt;=$Y124),$AB124,$AA124)))=Milestones!$AB$118),UPPER(TEXT(EDATE($D124,Milestones!$AA$118),"dd mmm yy"))&amp;" "&amp;Milestones!$AB$118&amp;" "&amp;IF(AND(Milestones!$AB$118="FT",Milestones!$AA$118=FT_Y5,EDATE($D124,Milestones!$AA$118)&lt;PolicyEff),1,Milestones!$AC$118)&amp;";  ","")&amp;IF(AND(EDATE($D124,Milestones!$AA$119)&lt;=AsOfDate,EDATE($D124,Milestones!$AA$119)&gt;=SchemeStart,IF($X124=0,$AD124,IF(AND($Z124&lt;&gt;"",EDATE($D124,Milestones!$AA$119)&gt;=$Z124),$AC124,IF(AND($Y124&lt;&gt;"",EDATE($D124,Milestones!$AA$119)&gt;=$Y124),$AB124,$AA124)))=Milestones!$AB$119),UPPER(TEXT(EDATE($D124,Milestones!$AA$119),"dd mmm yy"))&amp;" "&amp;Milestones!$AB$119&amp;" "&amp;IF(AND(Milestones!$AB$119="FT",Milestones!$AA$119=FT_Y5,EDATE($D124,Milestones!$AA$119)&lt;PolicyEff),1,Milestones!$AC$119)&amp;";  ","")&amp;IF(AND(EDATE($D124,Milestones!$AA$120)&lt;=AsOfDate,EDATE($D124,Milestones!$AA$120)&gt;=SchemeStart,IF($X124=0,$AD124,IF(AND($Z124&lt;&gt;"",EDATE($D124,Milestones!$AA$120)&gt;=$Z124),$AC124,IF(AND($Y124&lt;&gt;"",EDATE($D124,Milestones!$AA$120)&gt;=$Y124),$AB124,$AA124)))=Milestones!$AB$120),UPPER(TEXT(EDATE($D124,Milestones!$AA$120),"dd mmm yy"))&amp;" "&amp;Milestones!$AB$120&amp;" "&amp;IF(AND(Milestones!$AB$120="FT",Milestones!$AA$120=FT_Y5,EDATE($D124,Milestones!$AA$120)&lt;PolicyEff),1,Milestones!$AC$120)&amp;";  ","")&amp;IF(AND(EDATE($D124,Milestones!$AA$121)&lt;=AsOfDate,EDATE($D124,Milestones!$AA$121)&gt;=SchemeStart,IF($X124=0,$AD124,IF(AND($Z124&lt;&gt;"",EDATE($D124,Milestones!$AA$121)&gt;=$Z124),$AC124,IF(AND($Y124&lt;&gt;"",EDATE($D124,Milestones!$AA$121)&gt;=$Y124),$AB124,$AA124)))=Milestones!$AB$121),UPPER(TEXT(EDATE($D124,Milestones!$AA$121),"dd mmm yy"))&amp;" "&amp;Milestones!$AB$121&amp;" "&amp;IF(AND(Milestones!$AB$121="FT",Milestones!$AA$121=FT_Y5,EDATE($D124,Milestones!$AA$121)&lt;PolicyEff),1,Milestones!$AC$121)&amp;";  ","")&amp;IF(AND(EDATE($D124,Milestones!$AA$122)&lt;=AsOfDate,EDATE($D124,Milestones!$AA$122)&gt;=SchemeStart,IF($X124=0,$AD124,IF(AND($Z124&lt;&gt;"",EDATE($D124,Milestones!$AA$122)&gt;=$Z124),$AC124,IF(AND($Y124&lt;&gt;"",EDATE($D124,Milestones!$AA$122)&gt;=$Y124),$AB124,$AA124)))=Milestones!$AB$122),UPPER(TEXT(EDATE($D124,Milestones!$AA$122),"dd mmm yy"))&amp;" "&amp;Milestones!$AB$122&amp;" "&amp;IF(AND(Milestones!$AB$122="FT",Milestones!$AA$122=FT_Y5,EDATE($D124,Milestones!$AA$122)&lt;PolicyEff),1,Milestones!$AC$122)&amp;";  ","")&amp;IF(AND(EDATE($D124,Milestones!$AA$123)&lt;=AsOfDate,EDATE($D124,Milestones!$AA$123)&gt;=SchemeStart,IF($X124=0,$AD124,IF(AND($Z124&lt;&gt;"",EDATE($D124,Milestones!$AA$123)&gt;=$Z124),$AC124,IF(AND($Y124&lt;&gt;"",EDATE($D124,Milestones!$AA$123)&gt;=$Y124),$AB124,$AA124)))=Milestones!$AB$123),UPPER(TEXT(EDATE($D124,Milestones!$AA$123),"dd mmm yy"))&amp;" "&amp;Milestones!$AB$123&amp;" "&amp;IF(AND(Milestones!$AB$123="FT",Milestones!$AA$123=FT_Y5,EDATE($D124,Milestones!$AA$123)&lt;PolicyEff),1,Milestones!$AC$123)&amp;";  ","")&amp;IF(AND(EDATE($D124,Milestones!$AA$124)&lt;=AsOfDate,EDATE($D124,Milestones!$AA$124)&gt;=SchemeStart,IF($X124=0,$AD124,IF(AND($Z124&lt;&gt;"",EDATE($D124,Milestones!$AA$124)&gt;=$Z124),$AC124,IF(AND($Y124&lt;&gt;"",EDATE($D124,Milestones!$AA$124)&gt;=$Y124),$AB124,$AA124)))=Milestones!$AB$124),UPPER(TEXT(EDATE($D124,Milestones!$AA$124),"dd mmm yy"))&amp;" "&amp;Milestones!$AB$124&amp;" "&amp;IF(AND(Milestones!$AB$124="FT",Milestones!$AA$124=FT_Y5,EDATE($D124,Milestones!$AA$124)&lt;PolicyEff),1,Milestones!$AC$124)&amp;";  ","")&amp;IF(AND(EDATE($D124,Milestones!$AA$125)&lt;=AsOfDate,EDATE($D124,Milestones!$AA$125)&gt;=SchemeStart,IF($X124=0,$AD124,IF(AND($Z124&lt;&gt;"",EDATE($D124,Milestones!$AA$125)&gt;=$Z124),$AC124,IF(AND($Y124&lt;&gt;"",EDATE($D124,Milestones!$AA$125)&gt;=$Y124),$AB124,$AA124)))=Milestones!$AB$125),UPPER(TEXT(EDATE($D124,Milestones!$AA$125),"dd mmm yy"))&amp;" "&amp;Milestones!$AB$125&amp;" "&amp;IF(AND(Milestones!$AB$125="FT",Milestones!$AA$125=FT_Y5,EDATE($D124,Milestones!$AA$125)&lt;PolicyEff),1,Milestones!$AC$125)&amp;";  ","")&amp;IF(AND(EDATE($D124,Milestones!$AA$126)&lt;=AsOfDate,EDATE($D124,Milestones!$AA$126)&gt;=SchemeStart,IF($X124=0,$AD124,IF(AND($Z124&lt;&gt;"",EDATE($D124,Milestones!$AA$126)&gt;=$Z124),$AC124,IF(AND($Y124&lt;&gt;"",EDATE($D124,Milestones!$AA$126)&gt;=$Y124),$AB124,$AA124)))=Milestones!$AB$126),UPPER(TEXT(EDATE($D124,Milestones!$AA$126),"dd mmm yy"))&amp;" "&amp;Milestones!$AB$126&amp;" "&amp;IF(AND(Milestones!$AB$126="FT",Milestones!$AA$126=FT_Y5,EDATE($D124,Milestones!$AA$126)&lt;PolicyEff),1,Milestones!$AC$126)&amp;";  ","")&amp;IF(AND(EDATE($D124,Milestones!$AA$127)&lt;=AsOfDate,EDATE($D124,Milestones!$AA$127)&gt;=SchemeStart,IF($X124=0,$AD124,IF(AND($Z124&lt;&gt;"",EDATE($D124,Milestones!$AA$127)&gt;=$Z124),$AC124,IF(AND($Y124&lt;&gt;"",EDATE($D124,Milestones!$AA$127)&gt;=$Y124),$AB124,$AA124)))=Milestones!$AB$127),UPPER(TEXT(EDATE($D124,Milestones!$AA$127),"dd mmm yy"))&amp;" "&amp;Milestones!$AB$127&amp;" "&amp;IF(AND(Milestones!$AB$127="FT",Milestones!$AA$127=FT_Y5,EDATE($D124,Milestones!$AA$127)&lt;PolicyEff),1,Milestones!$AC$127)&amp;";  ",""))</f>
        <v/>
      </c>
      <c r="R124" s="0" t="str">
        <f aca="false">IF(OR($A124="",$D124=""),"",IF(AND(EDATE($D124,Milestones!$AA$128)&lt;=AsOfDate,EDATE($D124,Milestones!$AA$128)&gt;=SchemeStart,IF($X124=0,$AD124,IF(AND($Z124&lt;&gt;"",EDATE($D124,Milestones!$AA$128)&gt;=$Z124),$AC124,IF(AND($Y124&lt;&gt;"",EDATE($D124,Milestones!$AA$128)&gt;=$Y124),$AB124,$AA124)))=Milestones!$AB$128),UPPER(TEXT(EDATE($D124,Milestones!$AA$128),"dd mmm yy"))&amp;" "&amp;Milestones!$AB$128&amp;" "&amp;IF(AND(Milestones!$AB$128="FT",Milestones!$AA$128=FT_Y5,EDATE($D124,Milestones!$AA$128)&lt;PolicyEff),1,Milestones!$AC$128)&amp;";  ","")&amp;IF(AND(EDATE($D124,Milestones!$AA$129)&lt;=AsOfDate,EDATE($D124,Milestones!$AA$129)&gt;=SchemeStart,IF($X124=0,$AD124,IF(AND($Z124&lt;&gt;"",EDATE($D124,Milestones!$AA$129)&gt;=$Z124),$AC124,IF(AND($Y124&lt;&gt;"",EDATE($D124,Milestones!$AA$129)&gt;=$Y124),$AB124,$AA124)))=Milestones!$AB$129),UPPER(TEXT(EDATE($D124,Milestones!$AA$129),"dd mmm yy"))&amp;" "&amp;Milestones!$AB$129&amp;" "&amp;IF(AND(Milestones!$AB$129="FT",Milestones!$AA$129=FT_Y5,EDATE($D124,Milestones!$AA$129)&lt;PolicyEff),1,Milestones!$AC$129)&amp;";  ","")&amp;IF(AND(EDATE($D124,Milestones!$AA$130)&lt;=AsOfDate,EDATE($D124,Milestones!$AA$130)&gt;=SchemeStart,IF($X124=0,$AD124,IF(AND($Z124&lt;&gt;"",EDATE($D124,Milestones!$AA$130)&gt;=$Z124),$AC124,IF(AND($Y124&lt;&gt;"",EDATE($D124,Milestones!$AA$130)&gt;=$Y124),$AB124,$AA124)))=Milestones!$AB$130),UPPER(TEXT(EDATE($D124,Milestones!$AA$130),"dd mmm yy"))&amp;" "&amp;Milestones!$AB$130&amp;" "&amp;IF(AND(Milestones!$AB$130="FT",Milestones!$AA$130=FT_Y5,EDATE($D124,Milestones!$AA$130)&lt;PolicyEff),1,Milestones!$AC$130)&amp;";  ","")&amp;IF(AND(EDATE($D124,Milestones!$AA$131)&lt;=AsOfDate,EDATE($D124,Milestones!$AA$131)&gt;=SchemeStart,IF($X124=0,$AD124,IF(AND($Z124&lt;&gt;"",EDATE($D124,Milestones!$AA$131)&gt;=$Z124),$AC124,IF(AND($Y124&lt;&gt;"",EDATE($D124,Milestones!$AA$131)&gt;=$Y124),$AB124,$AA124)))=Milestones!$AB$131),UPPER(TEXT(EDATE($D124,Milestones!$AA$131),"dd mmm yy"))&amp;" "&amp;Milestones!$AB$131&amp;" "&amp;IF(AND(Milestones!$AB$131="FT",Milestones!$AA$131=FT_Y5,EDATE($D124,Milestones!$AA$131)&lt;PolicyEff),1,Milestones!$AC$131)&amp;";  ","")&amp;IF(AND(EDATE($D124,Milestones!$AA$132)&lt;=AsOfDate,EDATE($D124,Milestones!$AA$132)&gt;=SchemeStart,IF($X124=0,$AD124,IF(AND($Z124&lt;&gt;"",EDATE($D124,Milestones!$AA$132)&gt;=$Z124),$AC124,IF(AND($Y124&lt;&gt;"",EDATE($D124,Milestones!$AA$132)&gt;=$Y124),$AB124,$AA124)))=Milestones!$AB$132),UPPER(TEXT(EDATE($D124,Milestones!$AA$132),"dd mmm yy"))&amp;" "&amp;Milestones!$AB$132&amp;" "&amp;IF(AND(Milestones!$AB$132="FT",Milestones!$AA$132=FT_Y5,EDATE($D124,Milestones!$AA$132)&lt;PolicyEff),1,Milestones!$AC$132)&amp;";  ","")&amp;IF(AND(EDATE($D124,Milestones!$AA$133)&lt;=AsOfDate,EDATE($D124,Milestones!$AA$133)&gt;=SchemeStart,IF($X124=0,$AD124,IF(AND($Z124&lt;&gt;"",EDATE($D124,Milestones!$AA$133)&gt;=$Z124),$AC124,IF(AND($Y124&lt;&gt;"",EDATE($D124,Milestones!$AA$133)&gt;=$Y124),$AB124,$AA124)))=Milestones!$AB$133),UPPER(TEXT(EDATE($D124,Milestones!$AA$133),"dd mmm yy"))&amp;" "&amp;Milestones!$AB$133&amp;" "&amp;IF(AND(Milestones!$AB$133="FT",Milestones!$AA$133=FT_Y5,EDATE($D124,Milestones!$AA$133)&lt;PolicyEff),1,Milestones!$AC$133)&amp;";  ","")&amp;IF(AND(EDATE($D124,Milestones!$AA$134)&lt;=AsOfDate,EDATE($D124,Milestones!$AA$134)&gt;=SchemeStart,IF($X124=0,$AD124,IF(AND($Z124&lt;&gt;"",EDATE($D124,Milestones!$AA$134)&gt;=$Z124),$AC124,IF(AND($Y124&lt;&gt;"",EDATE($D124,Milestones!$AA$134)&gt;=$Y124),$AB124,$AA124)))=Milestones!$AB$134),UPPER(TEXT(EDATE($D124,Milestones!$AA$134),"dd mmm yy"))&amp;" "&amp;Milestones!$AB$134&amp;" "&amp;IF(AND(Milestones!$AB$134="FT",Milestones!$AA$134=FT_Y5,EDATE($D124,Milestones!$AA$134)&lt;PolicyEff),1,Milestones!$AC$134)&amp;";  ","")&amp;IF(AND(EDATE($D124,Milestones!$AA$135)&lt;=AsOfDate,EDATE($D124,Milestones!$AA$135)&gt;=SchemeStart,IF($X124=0,$AD124,IF(AND($Z124&lt;&gt;"",EDATE($D124,Milestones!$AA$135)&gt;=$Z124),$AC124,IF(AND($Y124&lt;&gt;"",EDATE($D124,Milestones!$AA$135)&gt;=$Y124),$AB124,$AA124)))=Milestones!$AB$135),UPPER(TEXT(EDATE($D124,Milestones!$AA$135),"dd mmm yy"))&amp;" "&amp;Milestones!$AB$135&amp;" "&amp;IF(AND(Milestones!$AB$135="FT",Milestones!$AA$135=FT_Y5,EDATE($D124,Milestones!$AA$135)&lt;PolicyEff),1,Milestones!$AC$135)&amp;";  ","")&amp;IF(AND(EDATE($D124,Milestones!$AA$136)&lt;=AsOfDate,EDATE($D124,Milestones!$AA$136)&gt;=SchemeStart,IF($X124=0,$AD124,IF(AND($Z124&lt;&gt;"",EDATE($D124,Milestones!$AA$136)&gt;=$Z124),$AC124,IF(AND($Y124&lt;&gt;"",EDATE($D124,Milestones!$AA$136)&gt;=$Y124),$AB124,$AA124)))=Milestones!$AB$136),UPPER(TEXT(EDATE($D124,Milestones!$AA$136),"dd mmm yy"))&amp;" "&amp;Milestones!$AB$136&amp;" "&amp;IF(AND(Milestones!$AB$136="FT",Milestones!$AA$136=FT_Y5,EDATE($D124,Milestones!$AA$136)&lt;PolicyEff),1,Milestones!$AC$136)&amp;";  ","")&amp;IF(AND(EDATE($D124,Milestones!$AA$137)&lt;=AsOfDate,EDATE($D124,Milestones!$AA$137)&gt;=SchemeStart,IF($X124=0,$AD124,IF(AND($Z124&lt;&gt;"",EDATE($D124,Milestones!$AA$137)&gt;=$Z124),$AC124,IF(AND($Y124&lt;&gt;"",EDATE($D124,Milestones!$AA$137)&gt;=$Y124),$AB124,$AA124)))=Milestones!$AB$137),UPPER(TEXT(EDATE($D124,Milestones!$AA$137),"dd mmm yy"))&amp;" "&amp;Milestones!$AB$137&amp;" "&amp;IF(AND(Milestones!$AB$137="FT",Milestones!$AA$137=FT_Y5,EDATE($D124,Milestones!$AA$137)&lt;PolicyEff),1,Milestones!$AC$137)&amp;";  ","")&amp;IF(AND(EDATE($D124,Milestones!$AA$138)&lt;=AsOfDate,EDATE($D124,Milestones!$AA$138)&gt;=SchemeStart,IF($X124=0,$AD124,IF(AND($Z124&lt;&gt;"",EDATE($D124,Milestones!$AA$138)&gt;=$Z124),$AC124,IF(AND($Y124&lt;&gt;"",EDATE($D124,Milestones!$AA$138)&gt;=$Y124),$AB124,$AA124)))=Milestones!$AB$138),UPPER(TEXT(EDATE($D124,Milestones!$AA$138),"dd mmm yy"))&amp;" "&amp;Milestones!$AB$138&amp;" "&amp;IF(AND(Milestones!$AB$138="FT",Milestones!$AA$138=FT_Y5,EDATE($D124,Milestones!$AA$138)&lt;PolicyEff),1,Milestones!$AC$138)&amp;";  ","")&amp;IF(AND(EDATE($D124,Milestones!$AA$139)&lt;=AsOfDate,EDATE($D124,Milestones!$AA$139)&gt;=SchemeStart,IF($X124=0,$AD124,IF(AND($Z124&lt;&gt;"",EDATE($D124,Milestones!$AA$139)&gt;=$Z124),$AC124,IF(AND($Y124&lt;&gt;"",EDATE($D124,Milestones!$AA$139)&gt;=$Y124),$AB124,$AA124)))=Milestones!$AB$139),UPPER(TEXT(EDATE($D124,Milestones!$AA$139),"dd mmm yy"))&amp;" "&amp;Milestones!$AB$139&amp;" "&amp;IF(AND(Milestones!$AB$139="FT",Milestones!$AA$139=FT_Y5,EDATE($D124,Milestones!$AA$139)&lt;PolicyEff),1,Milestones!$AC$139)&amp;";  ",""))</f>
        <v/>
      </c>
      <c r="S124" s="0" t="str">
        <f aca="false">IF(OR($A124="",$D124=""),"",IF(AND(EDATE($D124,Milestones!$AA$140)&lt;=AsOfDate,EDATE($D124,Milestones!$AA$140)&gt;=SchemeStart,IF($X124=0,$AD124,IF(AND($Z124&lt;&gt;"",EDATE($D124,Milestones!$AA$140)&gt;=$Z124),$AC124,IF(AND($Y124&lt;&gt;"",EDATE($D124,Milestones!$AA$140)&gt;=$Y124),$AB124,$AA124)))=Milestones!$AB$140),UPPER(TEXT(EDATE($D124,Milestones!$AA$140),"dd mmm yy"))&amp;" "&amp;Milestones!$AB$140&amp;" "&amp;IF(AND(Milestones!$AB$140="FT",Milestones!$AA$140=FT_Y5,EDATE($D124,Milestones!$AA$140)&lt;PolicyEff),1,Milestones!$AC$140)&amp;";  ","")&amp;IF(AND(EDATE($D124,Milestones!$AA$141)&lt;=AsOfDate,EDATE($D124,Milestones!$AA$141)&gt;=SchemeStart,IF($X124=0,$AD124,IF(AND($Z124&lt;&gt;"",EDATE($D124,Milestones!$AA$141)&gt;=$Z124),$AC124,IF(AND($Y124&lt;&gt;"",EDATE($D124,Milestones!$AA$141)&gt;=$Y124),$AB124,$AA124)))=Milestones!$AB$141),UPPER(TEXT(EDATE($D124,Milestones!$AA$141),"dd mmm yy"))&amp;" "&amp;Milestones!$AB$141&amp;" "&amp;IF(AND(Milestones!$AB$141="FT",Milestones!$AA$141=FT_Y5,EDATE($D124,Milestones!$AA$141)&lt;PolicyEff),1,Milestones!$AC$141)&amp;";  ","")&amp;IF(AND(EDATE($D124,Milestones!$AA$142)&lt;=AsOfDate,EDATE($D124,Milestones!$AA$142)&gt;=SchemeStart,IF($X124=0,$AD124,IF(AND($Z124&lt;&gt;"",EDATE($D124,Milestones!$AA$142)&gt;=$Z124),$AC124,IF(AND($Y124&lt;&gt;"",EDATE($D124,Milestones!$AA$142)&gt;=$Y124),$AB124,$AA124)))=Milestones!$AB$142),UPPER(TEXT(EDATE($D124,Milestones!$AA$142),"dd mmm yy"))&amp;" "&amp;Milestones!$AB$142&amp;" "&amp;IF(AND(Milestones!$AB$142="FT",Milestones!$AA$142=FT_Y5,EDATE($D124,Milestones!$AA$142)&lt;PolicyEff),1,Milestones!$AC$142)&amp;";  ","")&amp;IF(AND(EDATE($D124,Milestones!$AA$143)&lt;=AsOfDate,EDATE($D124,Milestones!$AA$143)&gt;=SchemeStart,IF($X124=0,$AD124,IF(AND($Z124&lt;&gt;"",EDATE($D124,Milestones!$AA$143)&gt;=$Z124),$AC124,IF(AND($Y124&lt;&gt;"",EDATE($D124,Milestones!$AA$143)&gt;=$Y124),$AB124,$AA124)))=Milestones!$AB$143),UPPER(TEXT(EDATE($D124,Milestones!$AA$143),"dd mmm yy"))&amp;" "&amp;Milestones!$AB$143&amp;" "&amp;IF(AND(Milestones!$AB$143="FT",Milestones!$AA$143=FT_Y5,EDATE($D124,Milestones!$AA$143)&lt;PolicyEff),1,Milestones!$AC$143)&amp;";  ","")&amp;IF(AND(EDATE($D124,Milestones!$AA$144)&lt;=AsOfDate,EDATE($D124,Milestones!$AA$144)&gt;=SchemeStart,IF($X124=0,$AD124,IF(AND($Z124&lt;&gt;"",EDATE($D124,Milestones!$AA$144)&gt;=$Z124),$AC124,IF(AND($Y124&lt;&gt;"",EDATE($D124,Milestones!$AA$144)&gt;=$Y124),$AB124,$AA124)))=Milestones!$AB$144),UPPER(TEXT(EDATE($D124,Milestones!$AA$144),"dd mmm yy"))&amp;" "&amp;Milestones!$AB$144&amp;" "&amp;IF(AND(Milestones!$AB$144="FT",Milestones!$AA$144=FT_Y5,EDATE($D124,Milestones!$AA$144)&lt;PolicyEff),1,Milestones!$AC$144)&amp;";  ","")&amp;IF(AND(EDATE($D124,Milestones!$AA$145)&lt;=AsOfDate,EDATE($D124,Milestones!$AA$145)&gt;=SchemeStart,IF($X124=0,$AD124,IF(AND($Z124&lt;&gt;"",EDATE($D124,Milestones!$AA$145)&gt;=$Z124),$AC124,IF(AND($Y124&lt;&gt;"",EDATE($D124,Milestones!$AA$145)&gt;=$Y124),$AB124,$AA124)))=Milestones!$AB$145),UPPER(TEXT(EDATE($D124,Milestones!$AA$145),"dd mmm yy"))&amp;" "&amp;Milestones!$AB$145&amp;" "&amp;IF(AND(Milestones!$AB$145="FT",Milestones!$AA$145=FT_Y5,EDATE($D124,Milestones!$AA$145)&lt;PolicyEff),1,Milestones!$AC$145)&amp;";  ","")&amp;IF(AND(EDATE($D124,Milestones!$AA$146)&lt;=AsOfDate,EDATE($D124,Milestones!$AA$146)&gt;=SchemeStart,IF($X124=0,$AD124,IF(AND($Z124&lt;&gt;"",EDATE($D124,Milestones!$AA$146)&gt;=$Z124),$AC124,IF(AND($Y124&lt;&gt;"",EDATE($D124,Milestones!$AA$146)&gt;=$Y124),$AB124,$AA124)))=Milestones!$AB$146),UPPER(TEXT(EDATE($D124,Milestones!$AA$146),"dd mmm yy"))&amp;" "&amp;Milestones!$AB$146&amp;" "&amp;IF(AND(Milestones!$AB$146="FT",Milestones!$AA$146=FT_Y5,EDATE($D124,Milestones!$AA$146)&lt;PolicyEff),1,Milestones!$AC$146)&amp;";  ","")&amp;IF(AND(EDATE($D124,Milestones!$AA$147)&lt;=AsOfDate,EDATE($D124,Milestones!$AA$147)&gt;=SchemeStart,IF($X124=0,$AD124,IF(AND($Z124&lt;&gt;"",EDATE($D124,Milestones!$AA$147)&gt;=$Z124),$AC124,IF(AND($Y124&lt;&gt;"",EDATE($D124,Milestones!$AA$147)&gt;=$Y124),$AB124,$AA124)))=Milestones!$AB$147),UPPER(TEXT(EDATE($D124,Milestones!$AA$147),"dd mmm yy"))&amp;" "&amp;Milestones!$AB$147&amp;" "&amp;IF(AND(Milestones!$AB$147="FT",Milestones!$AA$147=FT_Y5,EDATE($D124,Milestones!$AA$147)&lt;PolicyEff),1,Milestones!$AC$147)&amp;";  ","")&amp;IF(AND(EDATE($D124,Milestones!$AA$148)&lt;=AsOfDate,EDATE($D124,Milestones!$AA$148)&gt;=SchemeStart,IF($X124=0,$AD124,IF(AND($Z124&lt;&gt;"",EDATE($D124,Milestones!$AA$148)&gt;=$Z124),$AC124,IF(AND($Y124&lt;&gt;"",EDATE($D124,Milestones!$AA$148)&gt;=$Y124),$AB124,$AA124)))=Milestones!$AB$148),UPPER(TEXT(EDATE($D124,Milestones!$AA$148),"dd mmm yy"))&amp;" "&amp;Milestones!$AB$148&amp;" "&amp;IF(AND(Milestones!$AB$148="FT",Milestones!$AA$148=FT_Y5,EDATE($D124,Milestones!$AA$148)&lt;PolicyEff),1,Milestones!$AC$148)&amp;";  ","")&amp;IF(AND(EDATE($D124,Milestones!$AA$149)&lt;=AsOfDate,EDATE($D124,Milestones!$AA$149)&gt;=SchemeStart,IF($X124=0,$AD124,IF(AND($Z124&lt;&gt;"",EDATE($D124,Milestones!$AA$149)&gt;=$Z124),$AC124,IF(AND($Y124&lt;&gt;"",EDATE($D124,Milestones!$AA$149)&gt;=$Y124),$AB124,$AA124)))=Milestones!$AB$149),UPPER(TEXT(EDATE($D124,Milestones!$AA$149),"dd mmm yy"))&amp;" "&amp;Milestones!$AB$149&amp;" "&amp;IF(AND(Milestones!$AB$149="FT",Milestones!$AA$149=FT_Y5,EDATE($D124,Milestones!$AA$149)&lt;PolicyEff),1,Milestones!$AC$149)&amp;";  ","")&amp;IF(AND(EDATE($D124,Milestones!$AA$150)&lt;=AsOfDate,EDATE($D124,Milestones!$AA$150)&gt;=SchemeStart,IF($X124=0,$AD124,IF(AND($Z124&lt;&gt;"",EDATE($D124,Milestones!$AA$150)&gt;=$Z124),$AC124,IF(AND($Y124&lt;&gt;"",EDATE($D124,Milestones!$AA$150)&gt;=$Y124),$AB124,$AA124)))=Milestones!$AB$150),UPPER(TEXT(EDATE($D124,Milestones!$AA$150),"dd mmm yy"))&amp;" "&amp;Milestones!$AB$150&amp;" "&amp;IF(AND(Milestones!$AB$150="FT",Milestones!$AA$150=FT_Y5,EDATE($D124,Milestones!$AA$150)&lt;PolicyEff),1,Milestones!$AC$150)&amp;";  ","")&amp;IF(AND(EDATE($D124,Milestones!$AA$151)&lt;=AsOfDate,EDATE($D124,Milestones!$AA$151)&gt;=SchemeStart,IF($X124=0,$AD124,IF(AND($Z124&lt;&gt;"",EDATE($D124,Milestones!$AA$151)&gt;=$Z124),$AC124,IF(AND($Y124&lt;&gt;"",EDATE($D124,Milestones!$AA$151)&gt;=$Y124),$AB124,$AA124)))=Milestones!$AB$151),UPPER(TEXT(EDATE($D124,Milestones!$AA$151),"dd mmm yy"))&amp;" "&amp;Milestones!$AB$151&amp;" "&amp;IF(AND(Milestones!$AB$151="FT",Milestones!$AA$151=FT_Y5,EDATE($D124,Milestones!$AA$151)&lt;PolicyEff),1,Milestones!$AC$151)&amp;";  ",""))</f>
        <v/>
      </c>
      <c r="T124" s="0" t="str">
        <f aca="false">IF(OR($A124="",$D124=""),"",IF(AND(EDATE($D124,Milestones!$AA$152)&lt;=AsOfDate,EDATE($D124,Milestones!$AA$152)&gt;=SchemeStart,IF($X124=0,$AD124,IF(AND($Z124&lt;&gt;"",EDATE($D124,Milestones!$AA$152)&gt;=$Z124),$AC124,IF(AND($Y124&lt;&gt;"",EDATE($D124,Milestones!$AA$152)&gt;=$Y124),$AB124,$AA124)))=Milestones!$AB$152),UPPER(TEXT(EDATE($D124,Milestones!$AA$152),"dd mmm yy"))&amp;" "&amp;Milestones!$AB$152&amp;" "&amp;IF(AND(Milestones!$AB$152="FT",Milestones!$AA$152=FT_Y5,EDATE($D124,Milestones!$AA$152)&lt;PolicyEff),1,Milestones!$AC$152)&amp;";  ","")&amp;IF(AND(EDATE($D124,Milestones!$AA$153)&lt;=AsOfDate,EDATE($D124,Milestones!$AA$153)&gt;=SchemeStart,IF($X124=0,$AD124,IF(AND($Z124&lt;&gt;"",EDATE($D124,Milestones!$AA$153)&gt;=$Z124),$AC124,IF(AND($Y124&lt;&gt;"",EDATE($D124,Milestones!$AA$153)&gt;=$Y124),$AB124,$AA124)))=Milestones!$AB$153),UPPER(TEXT(EDATE($D124,Milestones!$AA$153),"dd mmm yy"))&amp;" "&amp;Milestones!$AB$153&amp;" "&amp;IF(AND(Milestones!$AB$153="FT",Milestones!$AA$153=FT_Y5,EDATE($D124,Milestones!$AA$153)&lt;PolicyEff),1,Milestones!$AC$153)&amp;";  ","")&amp;IF(AND(EDATE($D124,Milestones!$AA$154)&lt;=AsOfDate,EDATE($D124,Milestones!$AA$154)&gt;=SchemeStart,IF($X124=0,$AD124,IF(AND($Z124&lt;&gt;"",EDATE($D124,Milestones!$AA$154)&gt;=$Z124),$AC124,IF(AND($Y124&lt;&gt;"",EDATE($D124,Milestones!$AA$154)&gt;=$Y124),$AB124,$AA124)))=Milestones!$AB$154),UPPER(TEXT(EDATE($D124,Milestones!$AA$154),"dd mmm yy"))&amp;" "&amp;Milestones!$AB$154&amp;" "&amp;IF(AND(Milestones!$AB$154="FT",Milestones!$AA$154=FT_Y5,EDATE($D124,Milestones!$AA$154)&lt;PolicyEff),1,Milestones!$AC$154)&amp;";  ","")&amp;IF(AND(EDATE($D124,Milestones!$AA$155)&lt;=AsOfDate,EDATE($D124,Milestones!$AA$155)&gt;=SchemeStart,IF($X124=0,$AD124,IF(AND($Z124&lt;&gt;"",EDATE($D124,Milestones!$AA$155)&gt;=$Z124),$AC124,IF(AND($Y124&lt;&gt;"",EDATE($D124,Milestones!$AA$155)&gt;=$Y124),$AB124,$AA124)))=Milestones!$AB$155),UPPER(TEXT(EDATE($D124,Milestones!$AA$155),"dd mmm yy"))&amp;" "&amp;Milestones!$AB$155&amp;" "&amp;IF(AND(Milestones!$AB$155="FT",Milestones!$AA$155=FT_Y5,EDATE($D124,Milestones!$AA$155)&lt;PolicyEff),1,Milestones!$AC$155)&amp;";  ","")&amp;IF(AND(EDATE($D124,Milestones!$AA$156)&lt;=AsOfDate,EDATE($D124,Milestones!$AA$156)&gt;=SchemeStart,IF($X124=0,$AD124,IF(AND($Z124&lt;&gt;"",EDATE($D124,Milestones!$AA$156)&gt;=$Z124),$AC124,IF(AND($Y124&lt;&gt;"",EDATE($D124,Milestones!$AA$156)&gt;=$Y124),$AB124,$AA124)))=Milestones!$AB$156),UPPER(TEXT(EDATE($D124,Milestones!$AA$156),"dd mmm yy"))&amp;" "&amp;Milestones!$AB$156&amp;" "&amp;IF(AND(Milestones!$AB$156="FT",Milestones!$AA$156=FT_Y5,EDATE($D124,Milestones!$AA$156)&lt;PolicyEff),1,Milestones!$AC$156)&amp;";  ","")&amp;IF(AND(EDATE($D124,Milestones!$AA$157)&lt;=AsOfDate,EDATE($D124,Milestones!$AA$157)&gt;=SchemeStart,IF($X124=0,$AD124,IF(AND($Z124&lt;&gt;"",EDATE($D124,Milestones!$AA$157)&gt;=$Z124),$AC124,IF(AND($Y124&lt;&gt;"",EDATE($D124,Milestones!$AA$157)&gt;=$Y124),$AB124,$AA124)))=Milestones!$AB$157),UPPER(TEXT(EDATE($D124,Milestones!$AA$157),"dd mmm yy"))&amp;" "&amp;Milestones!$AB$157&amp;" "&amp;IF(AND(Milestones!$AB$157="FT",Milestones!$AA$157=FT_Y5,EDATE($D124,Milestones!$AA$157)&lt;PolicyEff),1,Milestones!$AC$157)&amp;";  ","")&amp;IF(AND(EDATE($D124,Milestones!$AA$158)&lt;=AsOfDate,EDATE($D124,Milestones!$AA$158)&gt;=SchemeStart,IF($X124=0,$AD124,IF(AND($Z124&lt;&gt;"",EDATE($D124,Milestones!$AA$158)&gt;=$Z124),$AC124,IF(AND($Y124&lt;&gt;"",EDATE($D124,Milestones!$AA$158)&gt;=$Y124),$AB124,$AA124)))=Milestones!$AB$158),UPPER(TEXT(EDATE($D124,Milestones!$AA$158),"dd mmm yy"))&amp;" "&amp;Milestones!$AB$158&amp;" "&amp;IF(AND(Milestones!$AB$158="FT",Milestones!$AA$158=FT_Y5,EDATE($D124,Milestones!$AA$158)&lt;PolicyEff),1,Milestones!$AC$158)&amp;";  ","")&amp;IF(AND(EDATE($D124,Milestones!$AA$159)&lt;=AsOfDate,EDATE($D124,Milestones!$AA$159)&gt;=SchemeStart,IF($X124=0,$AD124,IF(AND($Z124&lt;&gt;"",EDATE($D124,Milestones!$AA$159)&gt;=$Z124),$AC124,IF(AND($Y124&lt;&gt;"",EDATE($D124,Milestones!$AA$159)&gt;=$Y124),$AB124,$AA124)))=Milestones!$AB$159),UPPER(TEXT(EDATE($D124,Milestones!$AA$159),"dd mmm yy"))&amp;" "&amp;Milestones!$AB$159&amp;" "&amp;IF(AND(Milestones!$AB$159="FT",Milestones!$AA$159=FT_Y5,EDATE($D124,Milestones!$AA$159)&lt;PolicyEff),1,Milestones!$AC$159)&amp;";  ","")&amp;IF(AND(EDATE($D124,Milestones!$AA$160)&lt;=AsOfDate,EDATE($D124,Milestones!$AA$160)&gt;=SchemeStart,IF($X124=0,$AD124,IF(AND($Z124&lt;&gt;"",EDATE($D124,Milestones!$AA$160)&gt;=$Z124),$AC124,IF(AND($Y124&lt;&gt;"",EDATE($D124,Milestones!$AA$160)&gt;=$Y124),$AB124,$AA124)))=Milestones!$AB$160),UPPER(TEXT(EDATE($D124,Milestones!$AA$160),"dd mmm yy"))&amp;" "&amp;Milestones!$AB$160&amp;" "&amp;IF(AND(Milestones!$AB$160="FT",Milestones!$AA$160=FT_Y5,EDATE($D124,Milestones!$AA$160)&lt;PolicyEff),1,Milestones!$AC$160)&amp;";  ","")&amp;IF(AND(EDATE($D124,Milestones!$AA$161)&lt;=AsOfDate,EDATE($D124,Milestones!$AA$161)&gt;=SchemeStart,IF($X124=0,$AD124,IF(AND($Z124&lt;&gt;"",EDATE($D124,Milestones!$AA$161)&gt;=$Z124),$AC124,IF(AND($Y124&lt;&gt;"",EDATE($D124,Milestones!$AA$161)&gt;=$Y124),$AB124,$AA124)))=Milestones!$AB$161),UPPER(TEXT(EDATE($D124,Milestones!$AA$161),"dd mmm yy"))&amp;" "&amp;Milestones!$AB$161&amp;" "&amp;IF(AND(Milestones!$AB$161="FT",Milestones!$AA$161=FT_Y5,EDATE($D124,Milestones!$AA$161)&lt;PolicyEff),1,Milestones!$AC$161)&amp;";  ","")&amp;IF(AND(EDATE($D124,Milestones!$AA$162)&lt;=AsOfDate,EDATE($D124,Milestones!$AA$162)&gt;=SchemeStart,IF($X124=0,$AD124,IF(AND($Z124&lt;&gt;"",EDATE($D124,Milestones!$AA$162)&gt;=$Z124),$AC124,IF(AND($Y124&lt;&gt;"",EDATE($D124,Milestones!$AA$162)&gt;=$Y124),$AB124,$AA124)))=Milestones!$AB$162),UPPER(TEXT(EDATE($D124,Milestones!$AA$162),"dd mmm yy"))&amp;" "&amp;Milestones!$AB$162&amp;" "&amp;IF(AND(Milestones!$AB$162="FT",Milestones!$AA$162=FT_Y5,EDATE($D124,Milestones!$AA$162)&lt;PolicyEff),1,Milestones!$AC$162)&amp;";  ","")&amp;IF(AND(EDATE($D124,Milestones!$AA$163)&lt;=AsOfDate,EDATE($D124,Milestones!$AA$163)&gt;=SchemeStart,IF($X124=0,$AD124,IF(AND($Z124&lt;&gt;"",EDATE($D124,Milestones!$AA$163)&gt;=$Z124),$AC124,IF(AND($Y124&lt;&gt;"",EDATE($D124,Milestones!$AA$163)&gt;=$Y124),$AB124,$AA124)))=Milestones!$AB$163),UPPER(TEXT(EDATE($D124,Milestones!$AA$163),"dd mmm yy"))&amp;" "&amp;Milestones!$AB$163&amp;" "&amp;IF(AND(Milestones!$AB$163="FT",Milestones!$AA$163=FT_Y5,EDATE($D124,Milestones!$AA$163)&lt;PolicyEff),1,Milestones!$AC$163)&amp;";  ",""))</f>
        <v/>
      </c>
      <c r="U124" s="0" t="str">
        <f aca="false">IF(OR($A124="",$D124=""),"",IF(AND(EDATE($D124,Milestones!$AA$164)&lt;=AsOfDate,EDATE($D124,Milestones!$AA$164)&gt;=SchemeStart,IF($X124=0,$AD124,IF(AND($Z124&lt;&gt;"",EDATE($D124,Milestones!$AA$164)&gt;=$Z124),$AC124,IF(AND($Y124&lt;&gt;"",EDATE($D124,Milestones!$AA$164)&gt;=$Y124),$AB124,$AA124)))=Milestones!$AB$164),UPPER(TEXT(EDATE($D124,Milestones!$AA$164),"dd mmm yy"))&amp;" "&amp;Milestones!$AB$164&amp;" "&amp;IF(AND(Milestones!$AB$164="FT",Milestones!$AA$164=FT_Y5,EDATE($D124,Milestones!$AA$164)&lt;PolicyEff),1,Milestones!$AC$164)&amp;";  ","")&amp;IF(AND(EDATE($D124,Milestones!$AA$165)&lt;=AsOfDate,EDATE($D124,Milestones!$AA$165)&gt;=SchemeStart,IF($X124=0,$AD124,IF(AND($Z124&lt;&gt;"",EDATE($D124,Milestones!$AA$165)&gt;=$Z124),$AC124,IF(AND($Y124&lt;&gt;"",EDATE($D124,Milestones!$AA$165)&gt;=$Y124),$AB124,$AA124)))=Milestones!$AB$165),UPPER(TEXT(EDATE($D124,Milestones!$AA$165),"dd mmm yy"))&amp;" "&amp;Milestones!$AB$165&amp;" "&amp;IF(AND(Milestones!$AB$165="FT",Milestones!$AA$165=FT_Y5,EDATE($D124,Milestones!$AA$165)&lt;PolicyEff),1,Milestones!$AC$165)&amp;";  ","")&amp;IF(AND(EDATE($D124,Milestones!$AA$166)&lt;=AsOfDate,EDATE($D124,Milestones!$AA$166)&gt;=SchemeStart,IF($X124=0,$AD124,IF(AND($Z124&lt;&gt;"",EDATE($D124,Milestones!$AA$166)&gt;=$Z124),$AC124,IF(AND($Y124&lt;&gt;"",EDATE($D124,Milestones!$AA$166)&gt;=$Y124),$AB124,$AA124)))=Milestones!$AB$166),UPPER(TEXT(EDATE($D124,Milestones!$AA$166),"dd mmm yy"))&amp;" "&amp;Milestones!$AB$166&amp;" "&amp;IF(AND(Milestones!$AB$166="FT",Milestones!$AA$166=FT_Y5,EDATE($D124,Milestones!$AA$166)&lt;PolicyEff),1,Milestones!$AC$166)&amp;";  ","")&amp;IF(AND(EDATE($D124,Milestones!$AA$167)&lt;=AsOfDate,EDATE($D124,Milestones!$AA$167)&gt;=SchemeStart,IF($X124=0,$AD124,IF(AND($Z124&lt;&gt;"",EDATE($D124,Milestones!$AA$167)&gt;=$Z124),$AC124,IF(AND($Y124&lt;&gt;"",EDATE($D124,Milestones!$AA$167)&gt;=$Y124),$AB124,$AA124)))=Milestones!$AB$167),UPPER(TEXT(EDATE($D124,Milestones!$AA$167),"dd mmm yy"))&amp;" "&amp;Milestones!$AB$167&amp;" "&amp;IF(AND(Milestones!$AB$167="FT",Milestones!$AA$167=FT_Y5,EDATE($D124,Milestones!$AA$167)&lt;PolicyEff),1,Milestones!$AC$167)&amp;";  ","")&amp;IF(AND(EDATE($D124,Milestones!$AA$168)&lt;=AsOfDate,EDATE($D124,Milestones!$AA$168)&gt;=SchemeStart,IF($X124=0,$AD124,IF(AND($Z124&lt;&gt;"",EDATE($D124,Milestones!$AA$168)&gt;=$Z124),$AC124,IF(AND($Y124&lt;&gt;"",EDATE($D124,Milestones!$AA$168)&gt;=$Y124),$AB124,$AA124)))=Milestones!$AB$168),UPPER(TEXT(EDATE($D124,Milestones!$AA$168),"dd mmm yy"))&amp;" "&amp;Milestones!$AB$168&amp;" "&amp;IF(AND(Milestones!$AB$168="FT",Milestones!$AA$168=FT_Y5,EDATE($D124,Milestones!$AA$168)&lt;PolicyEff),1,Milestones!$AC$168)&amp;";  ","")&amp;IF(AND(EDATE($D124,Milestones!$AA$169)&lt;=AsOfDate,EDATE($D124,Milestones!$AA$169)&gt;=SchemeStart,IF($X124=0,$AD124,IF(AND($Z124&lt;&gt;"",EDATE($D124,Milestones!$AA$169)&gt;=$Z124),$AC124,IF(AND($Y124&lt;&gt;"",EDATE($D124,Milestones!$AA$169)&gt;=$Y124),$AB124,$AA124)))=Milestones!$AB$169),UPPER(TEXT(EDATE($D124,Milestones!$AA$169),"dd mmm yy"))&amp;" "&amp;Milestones!$AB$169&amp;" "&amp;IF(AND(Milestones!$AB$169="FT",Milestones!$AA$169=FT_Y5,EDATE($D124,Milestones!$AA$169)&lt;PolicyEff),1,Milestones!$AC$169)&amp;";  ","")&amp;IF(AND(EDATE($D124,Milestones!$AA$170)&lt;=AsOfDate,EDATE($D124,Milestones!$AA$170)&gt;=SchemeStart,IF($X124=0,$AD124,IF(AND($Z124&lt;&gt;"",EDATE($D124,Milestones!$AA$170)&gt;=$Z124),$AC124,IF(AND($Y124&lt;&gt;"",EDATE($D124,Milestones!$AA$170)&gt;=$Y124),$AB124,$AA124)))=Milestones!$AB$170),UPPER(TEXT(EDATE($D124,Milestones!$AA$170),"dd mmm yy"))&amp;" "&amp;Milestones!$AB$170&amp;" "&amp;IF(AND(Milestones!$AB$170="FT",Milestones!$AA$170=FT_Y5,EDATE($D124,Milestones!$AA$170)&lt;PolicyEff),1,Milestones!$AC$170)&amp;";  ","")&amp;IF(AND(EDATE($D124,Milestones!$AA$171)&lt;=AsOfDate,EDATE($D124,Milestones!$AA$171)&gt;=SchemeStart,IF($X124=0,$AD124,IF(AND($Z124&lt;&gt;"",EDATE($D124,Milestones!$AA$171)&gt;=$Z124),$AC124,IF(AND($Y124&lt;&gt;"",EDATE($D124,Milestones!$AA$171)&gt;=$Y124),$AB124,$AA124)))=Milestones!$AB$171),UPPER(TEXT(EDATE($D124,Milestones!$AA$171),"dd mmm yy"))&amp;" "&amp;Milestones!$AB$171&amp;" "&amp;IF(AND(Milestones!$AB$171="FT",Milestones!$AA$171=FT_Y5,EDATE($D124,Milestones!$AA$171)&lt;PolicyEff),1,Milestones!$AC$171)&amp;";  ","")&amp;IF(AND(EDATE($D124,Milestones!$AA$172)&lt;=AsOfDate,EDATE($D124,Milestones!$AA$172)&gt;=SchemeStart,IF($X124=0,$AD124,IF(AND($Z124&lt;&gt;"",EDATE($D124,Milestones!$AA$172)&gt;=$Z124),$AC124,IF(AND($Y124&lt;&gt;"",EDATE($D124,Milestones!$AA$172)&gt;=$Y124),$AB124,$AA124)))=Milestones!$AB$172),UPPER(TEXT(EDATE($D124,Milestones!$AA$172),"dd mmm yy"))&amp;" "&amp;Milestones!$AB$172&amp;" "&amp;IF(AND(Milestones!$AB$172="FT",Milestones!$AA$172=FT_Y5,EDATE($D124,Milestones!$AA$172)&lt;PolicyEff),1,Milestones!$AC$172)&amp;";  ","")&amp;IF(AND(EDATE($D124,Milestones!$AA$173)&lt;=AsOfDate,EDATE($D124,Milestones!$AA$173)&gt;=SchemeStart,IF($X124=0,$AD124,IF(AND($Z124&lt;&gt;"",EDATE($D124,Milestones!$AA$173)&gt;=$Z124),$AC124,IF(AND($Y124&lt;&gt;"",EDATE($D124,Milestones!$AA$173)&gt;=$Y124),$AB124,$AA124)))=Milestones!$AB$173),UPPER(TEXT(EDATE($D124,Milestones!$AA$173),"dd mmm yy"))&amp;" "&amp;Milestones!$AB$173&amp;" "&amp;IF(AND(Milestones!$AB$173="FT",Milestones!$AA$173=FT_Y5,EDATE($D124,Milestones!$AA$173)&lt;PolicyEff),1,Milestones!$AC$173)&amp;";  ","")&amp;IF(AND(EDATE($D124,Milestones!$AA$174)&lt;=AsOfDate,EDATE($D124,Milestones!$AA$174)&gt;=SchemeStart,IF($X124=0,$AD124,IF(AND($Z124&lt;&gt;"",EDATE($D124,Milestones!$AA$174)&gt;=$Z124),$AC124,IF(AND($Y124&lt;&gt;"",EDATE($D124,Milestones!$AA$174)&gt;=$Y124),$AB124,$AA124)))=Milestones!$AB$174),UPPER(TEXT(EDATE($D124,Milestones!$AA$174),"dd mmm yy"))&amp;" "&amp;Milestones!$AB$174&amp;" "&amp;IF(AND(Milestones!$AB$174="FT",Milestones!$AA$174=FT_Y5,EDATE($D124,Milestones!$AA$174)&lt;PolicyEff),1,Milestones!$AC$174)&amp;";  ","")&amp;IF(AND(EDATE($D124,Milestones!$AA$175)&lt;=AsOfDate,EDATE($D124,Milestones!$AA$175)&gt;=SchemeStart,IF($X124=0,$AD124,IF(AND($Z124&lt;&gt;"",EDATE($D124,Milestones!$AA$175)&gt;=$Z124),$AC124,IF(AND($Y124&lt;&gt;"",EDATE($D124,Milestones!$AA$175)&gt;=$Y124),$AB124,$AA124)))=Milestones!$AB$175),UPPER(TEXT(EDATE($D124,Milestones!$AA$175),"dd mmm yy"))&amp;" "&amp;Milestones!$AB$175&amp;" "&amp;IF(AND(Milestones!$AB$175="FT",Milestones!$AA$175=FT_Y5,EDATE($D124,Milestones!$AA$175)&lt;PolicyEff),1,Milestones!$AC$175)&amp;";  ",""))</f>
        <v/>
      </c>
      <c r="V124" s="0" t="str">
        <f aca="false">IF(OR($A124="",$D124=""),"",IF(AND(EDATE($D124,Milestones!$AA$176)&lt;=AsOfDate,EDATE($D124,Milestones!$AA$176)&gt;=SchemeStart,IF($X124=0,$AD124,IF(AND($Z124&lt;&gt;"",EDATE($D124,Milestones!$AA$176)&gt;=$Z124),$AC124,IF(AND($Y124&lt;&gt;"",EDATE($D124,Milestones!$AA$176)&gt;=$Y124),$AB124,$AA124)))=Milestones!$AB$176),UPPER(TEXT(EDATE($D124,Milestones!$AA$176),"dd mmm yy"))&amp;" "&amp;Milestones!$AB$176&amp;" "&amp;IF(AND(Milestones!$AB$176="FT",Milestones!$AA$176=FT_Y5,EDATE($D124,Milestones!$AA$176)&lt;PolicyEff),1,Milestones!$AC$176)&amp;";  ","")&amp;IF(AND(EDATE($D124,Milestones!$AA$177)&lt;=AsOfDate,EDATE($D124,Milestones!$AA$177)&gt;=SchemeStart,IF($X124=0,$AD124,IF(AND($Z124&lt;&gt;"",EDATE($D124,Milestones!$AA$177)&gt;=$Z124),$AC124,IF(AND($Y124&lt;&gt;"",EDATE($D124,Milestones!$AA$177)&gt;=$Y124),$AB124,$AA124)))=Milestones!$AB$177),UPPER(TEXT(EDATE($D124,Milestones!$AA$177),"dd mmm yy"))&amp;" "&amp;Milestones!$AB$177&amp;" "&amp;IF(AND(Milestones!$AB$177="FT",Milestones!$AA$177=FT_Y5,EDATE($D124,Milestones!$AA$177)&lt;PolicyEff),1,Milestones!$AC$177)&amp;";  ","")&amp;IF(AND(EDATE($D124,Milestones!$AA$178)&lt;=AsOfDate,EDATE($D124,Milestones!$AA$178)&gt;=SchemeStart,IF($X124=0,$AD124,IF(AND($Z124&lt;&gt;"",EDATE($D124,Milestones!$AA$178)&gt;=$Z124),$AC124,IF(AND($Y124&lt;&gt;"",EDATE($D124,Milestones!$AA$178)&gt;=$Y124),$AB124,$AA124)))=Milestones!$AB$178),UPPER(TEXT(EDATE($D124,Milestones!$AA$178),"dd mmm yy"))&amp;" "&amp;Milestones!$AB$178&amp;" "&amp;IF(AND(Milestones!$AB$178="FT",Milestones!$AA$178=FT_Y5,EDATE($D124,Milestones!$AA$178)&lt;PolicyEff),1,Milestones!$AC$178)&amp;";  ","")&amp;IF(AND(EDATE($D124,Milestones!$AA$179)&lt;=AsOfDate,EDATE($D124,Milestones!$AA$179)&gt;=SchemeStart,IF($X124=0,$AD124,IF(AND($Z124&lt;&gt;"",EDATE($D124,Milestones!$AA$179)&gt;=$Z124),$AC124,IF(AND($Y124&lt;&gt;"",EDATE($D124,Milestones!$AA$179)&gt;=$Y124),$AB124,$AA124)))=Milestones!$AB$179),UPPER(TEXT(EDATE($D124,Milestones!$AA$179),"dd mmm yy"))&amp;" "&amp;Milestones!$AB$179&amp;" "&amp;IF(AND(Milestones!$AB$179="FT",Milestones!$AA$179=FT_Y5,EDATE($D124,Milestones!$AA$179)&lt;PolicyEff),1,Milestones!$AC$179)&amp;";  ","")&amp;IF(AND(EDATE($D124,Milestones!$AA$180)&lt;=AsOfDate,EDATE($D124,Milestones!$AA$180)&gt;=SchemeStart,IF($X124=0,$AD124,IF(AND($Z124&lt;&gt;"",EDATE($D124,Milestones!$AA$180)&gt;=$Z124),$AC124,IF(AND($Y124&lt;&gt;"",EDATE($D124,Milestones!$AA$180)&gt;=$Y124),$AB124,$AA124)))=Milestones!$AB$180),UPPER(TEXT(EDATE($D124,Milestones!$AA$180),"dd mmm yy"))&amp;" "&amp;Milestones!$AB$180&amp;" "&amp;IF(AND(Milestones!$AB$180="FT",Milestones!$AA$180=FT_Y5,EDATE($D124,Milestones!$AA$180)&lt;PolicyEff),1,Milestones!$AC$180)&amp;";  ","")&amp;IF(AND(EDATE($D124,Milestones!$AA$181)&lt;=AsOfDate,EDATE($D124,Milestones!$AA$181)&gt;=SchemeStart,IF($X124=0,$AD124,IF(AND($Z124&lt;&gt;"",EDATE($D124,Milestones!$AA$181)&gt;=$Z124),$AC124,IF(AND($Y124&lt;&gt;"",EDATE($D124,Milestones!$AA$181)&gt;=$Y124),$AB124,$AA124)))=Milestones!$AB$181),UPPER(TEXT(EDATE($D124,Milestones!$AA$181),"dd mmm yy"))&amp;" "&amp;Milestones!$AB$181&amp;" "&amp;IF(AND(Milestones!$AB$181="FT",Milestones!$AA$181=FT_Y5,EDATE($D124,Milestones!$AA$181)&lt;PolicyEff),1,Milestones!$AC$181)&amp;";  ","")&amp;IF(AND(EDATE($D124,Milestones!$AA$182)&lt;=AsOfDate,EDATE($D124,Milestones!$AA$182)&gt;=SchemeStart,IF($X124=0,$AD124,IF(AND($Z124&lt;&gt;"",EDATE($D124,Milestones!$AA$182)&gt;=$Z124),$AC124,IF(AND($Y124&lt;&gt;"",EDATE($D124,Milestones!$AA$182)&gt;=$Y124),$AB124,$AA124)))=Milestones!$AB$182),UPPER(TEXT(EDATE($D124,Milestones!$AA$182),"dd mmm yy"))&amp;" "&amp;Milestones!$AB$182&amp;" "&amp;IF(AND(Milestones!$AB$182="FT",Milestones!$AA$182=FT_Y5,EDATE($D124,Milestones!$AA$182)&lt;PolicyEff),1,Milestones!$AC$182)&amp;";  ","")&amp;IF(AND(EDATE($D124,Milestones!$AA$183)&lt;=AsOfDate,EDATE($D124,Milestones!$AA$183)&gt;=SchemeStart,IF($X124=0,$AD124,IF(AND($Z124&lt;&gt;"",EDATE($D124,Milestones!$AA$183)&gt;=$Z124),$AC124,IF(AND($Y124&lt;&gt;"",EDATE($D124,Milestones!$AA$183)&gt;=$Y124),$AB124,$AA124)))=Milestones!$AB$183),UPPER(TEXT(EDATE($D124,Milestones!$AA$183),"dd mmm yy"))&amp;" "&amp;Milestones!$AB$183&amp;" "&amp;IF(AND(Milestones!$AB$183="FT",Milestones!$AA$183=FT_Y5,EDATE($D124,Milestones!$AA$183)&lt;PolicyEff),1,Milestones!$AC$183)&amp;";  ","")&amp;IF(AND(EDATE($D124,Milestones!$AA$184)&lt;=AsOfDate,EDATE($D124,Milestones!$AA$184)&gt;=SchemeStart,IF($X124=0,$AD124,IF(AND($Z124&lt;&gt;"",EDATE($D124,Milestones!$AA$184)&gt;=$Z124),$AC124,IF(AND($Y124&lt;&gt;"",EDATE($D124,Milestones!$AA$184)&gt;=$Y124),$AB124,$AA124)))=Milestones!$AB$184),UPPER(TEXT(EDATE($D124,Milestones!$AA$184),"dd mmm yy"))&amp;" "&amp;Milestones!$AB$184&amp;" "&amp;IF(AND(Milestones!$AB$184="FT",Milestones!$AA$184=FT_Y5,EDATE($D124,Milestones!$AA$184)&lt;PolicyEff),1,Milestones!$AC$184)&amp;";  ","")&amp;IF(AND(EDATE($D124,Milestones!$AA$185)&lt;=AsOfDate,EDATE($D124,Milestones!$AA$185)&gt;=SchemeStart,IF($X124=0,$AD124,IF(AND($Z124&lt;&gt;"",EDATE($D124,Milestones!$AA$185)&gt;=$Z124),$AC124,IF(AND($Y124&lt;&gt;"",EDATE($D124,Milestones!$AA$185)&gt;=$Y124),$AB124,$AA124)))=Milestones!$AB$185),UPPER(TEXT(EDATE($D124,Milestones!$AA$185),"dd mmm yy"))&amp;" "&amp;Milestones!$AB$185&amp;" "&amp;IF(AND(Milestones!$AB$185="FT",Milestones!$AA$185=FT_Y5,EDATE($D124,Milestones!$AA$185)&lt;PolicyEff),1,Milestones!$AC$185)&amp;";  ","")&amp;IF(AND(EDATE($D124,Milestones!$AA$186)&lt;=AsOfDate,EDATE($D124,Milestones!$AA$186)&gt;=SchemeStart,IF($X124=0,$AD124,IF(AND($Z124&lt;&gt;"",EDATE($D124,Milestones!$AA$186)&gt;=$Z124),$AC124,IF(AND($Y124&lt;&gt;"",EDATE($D124,Milestones!$AA$186)&gt;=$Y124),$AB124,$AA124)))=Milestones!$AB$186),UPPER(TEXT(EDATE($D124,Milestones!$AA$186),"dd mmm yy"))&amp;" "&amp;Milestones!$AB$186&amp;" "&amp;IF(AND(Milestones!$AB$186="FT",Milestones!$AA$186=FT_Y5,EDATE($D124,Milestones!$AA$186)&lt;PolicyEff),1,Milestones!$AC$186)&amp;";  ","")&amp;IF(AND(EDATE($D124,Milestones!$AA$187)&lt;=AsOfDate,EDATE($D124,Milestones!$AA$187)&gt;=SchemeStart,IF($X124=0,$AD124,IF(AND($Z124&lt;&gt;"",EDATE($D124,Milestones!$AA$187)&gt;=$Z124),$AC124,IF(AND($Y124&lt;&gt;"",EDATE($D124,Milestones!$AA$187)&gt;=$Y124),$AB124,$AA124)))=Milestones!$AB$187),UPPER(TEXT(EDATE($D124,Milestones!$AA$187),"dd mmm yy"))&amp;" "&amp;Milestones!$AB$187&amp;" "&amp;IF(AND(Milestones!$AB$187="FT",Milestones!$AA$187=FT_Y5,EDATE($D124,Milestones!$AA$187)&lt;PolicyEff),1,Milestones!$AC$187)&amp;";  ",""))</f>
        <v/>
      </c>
      <c r="W124" s="0" t="str">
        <f aca="false">IF(OR($A124="",$D124=""),"",IF(AND(EDATE($D124,Milestones!$AA$188)&lt;=AsOfDate,EDATE($D124,Milestones!$AA$188)&gt;=SchemeStart,IF($X124=0,$AD124,IF(AND($Z124&lt;&gt;"",EDATE($D124,Milestones!$AA$188)&gt;=$Z124),$AC124,IF(AND($Y124&lt;&gt;"",EDATE($D124,Milestones!$AA$188)&gt;=$Y124),$AB124,$AA124)))=Milestones!$AB$188),UPPER(TEXT(EDATE($D124,Milestones!$AA$188),"dd mmm yy"))&amp;" "&amp;Milestones!$AB$188&amp;" "&amp;IF(AND(Milestones!$AB$188="FT",Milestones!$AA$188=FT_Y5,EDATE($D124,Milestones!$AA$188)&lt;PolicyEff),1,Milestones!$AC$188)&amp;";  ","")&amp;IF(AND(EDATE($D124,Milestones!$AA$189)&lt;=AsOfDate,EDATE($D124,Milestones!$AA$189)&gt;=SchemeStart,IF($X124=0,$AD124,IF(AND($Z124&lt;&gt;"",EDATE($D124,Milestones!$AA$189)&gt;=$Z124),$AC124,IF(AND($Y124&lt;&gt;"",EDATE($D124,Milestones!$AA$189)&gt;=$Y124),$AB124,$AA124)))=Milestones!$AB$189),UPPER(TEXT(EDATE($D124,Milestones!$AA$189),"dd mmm yy"))&amp;" "&amp;Milestones!$AB$189&amp;" "&amp;IF(AND(Milestones!$AB$189="FT",Milestones!$AA$189=FT_Y5,EDATE($D124,Milestones!$AA$189)&lt;PolicyEff),1,Milestones!$AC$189)&amp;";  ","")&amp;IF(AND(EDATE($D124,Milestones!$AA$190)&lt;=AsOfDate,EDATE($D124,Milestones!$AA$190)&gt;=SchemeStart,IF($X124=0,$AD124,IF(AND($Z124&lt;&gt;"",EDATE($D124,Milestones!$AA$190)&gt;=$Z124),$AC124,IF(AND($Y124&lt;&gt;"",EDATE($D124,Milestones!$AA$190)&gt;=$Y124),$AB124,$AA124)))=Milestones!$AB$190),UPPER(TEXT(EDATE($D124,Milestones!$AA$190),"dd mmm yy"))&amp;" "&amp;Milestones!$AB$190&amp;" "&amp;IF(AND(Milestones!$AB$190="FT",Milestones!$AA$190=FT_Y5,EDATE($D124,Milestones!$AA$190)&lt;PolicyEff),1,Milestones!$AC$190)&amp;";  ","")&amp;IF(AND(EDATE($D124,Milestones!$AA$191)&lt;=AsOfDate,EDATE($D124,Milestones!$AA$191)&gt;=SchemeStart,IF($X124=0,$AD124,IF(AND($Z124&lt;&gt;"",EDATE($D124,Milestones!$AA$191)&gt;=$Z124),$AC124,IF(AND($Y124&lt;&gt;"",EDATE($D124,Milestones!$AA$191)&gt;=$Y124),$AB124,$AA124)))=Milestones!$AB$191),UPPER(TEXT(EDATE($D124,Milestones!$AA$191),"dd mmm yy"))&amp;" "&amp;Milestones!$AB$191&amp;" "&amp;IF(AND(Milestones!$AB$191="FT",Milestones!$AA$191=FT_Y5,EDATE($D124,Milestones!$AA$191)&lt;PolicyEff),1,Milestones!$AC$191)&amp;";  ","")&amp;IF(AND(EDATE($D124,Milestones!$AA$192)&lt;=AsOfDate,EDATE($D124,Milestones!$AA$192)&gt;=SchemeStart,IF($X124=0,$AD124,IF(AND($Z124&lt;&gt;"",EDATE($D124,Milestones!$AA$192)&gt;=$Z124),$AC124,IF(AND($Y124&lt;&gt;"",EDATE($D124,Milestones!$AA$192)&gt;=$Y124),$AB124,$AA124)))=Milestones!$AB$192),UPPER(TEXT(EDATE($D124,Milestones!$AA$192),"dd mmm yy"))&amp;" "&amp;Milestones!$AB$192&amp;" "&amp;IF(AND(Milestones!$AB$192="FT",Milestones!$AA$192=FT_Y5,EDATE($D124,Milestones!$AA$192)&lt;PolicyEff),1,Milestones!$AC$192)&amp;";  ","")&amp;IF(AND(EDATE($D124,Milestones!$AA$193)&lt;=AsOfDate,EDATE($D124,Milestones!$AA$193)&gt;=SchemeStart,IF($X124=0,$AD124,IF(AND($Z124&lt;&gt;"",EDATE($D124,Milestones!$AA$193)&gt;=$Z124),$AC124,IF(AND($Y124&lt;&gt;"",EDATE($D124,Milestones!$AA$193)&gt;=$Y124),$AB124,$AA124)))=Milestones!$AB$193),UPPER(TEXT(EDATE($D124,Milestones!$AA$193),"dd mmm yy"))&amp;" "&amp;Milestones!$AB$193&amp;" "&amp;IF(AND(Milestones!$AB$193="FT",Milestones!$AA$193=FT_Y5,EDATE($D124,Milestones!$AA$193)&lt;PolicyEff),1,Milestones!$AC$193)&amp;";  ","")&amp;IF(AND(EDATE($D124,Milestones!$AA$194)&lt;=AsOfDate,EDATE($D124,Milestones!$AA$194)&gt;=SchemeStart,IF($X124=0,$AD124,IF(AND($Z124&lt;&gt;"",EDATE($D124,Milestones!$AA$194)&gt;=$Z124),$AC124,IF(AND($Y124&lt;&gt;"",EDATE($D124,Milestones!$AA$194)&gt;=$Y124),$AB124,$AA124)))=Milestones!$AB$194),UPPER(TEXT(EDATE($D124,Milestones!$AA$194),"dd mmm yy"))&amp;" "&amp;Milestones!$AB$194&amp;" "&amp;IF(AND(Milestones!$AB$194="FT",Milestones!$AA$194=FT_Y5,EDATE($D124,Milestones!$AA$194)&lt;PolicyEff),1,Milestones!$AC$194)&amp;";  ","")&amp;IF(AND(EDATE($D124,Milestones!$AA$195)&lt;=AsOfDate,EDATE($D124,Milestones!$AA$195)&gt;=SchemeStart,IF($X124=0,$AD124,IF(AND($Z124&lt;&gt;"",EDATE($D124,Milestones!$AA$195)&gt;=$Z124),$AC124,IF(AND($Y124&lt;&gt;"",EDATE($D124,Milestones!$AA$195)&gt;=$Y124),$AB124,$AA124)))=Milestones!$AB$195),UPPER(TEXT(EDATE($D124,Milestones!$AA$195),"dd mmm yy"))&amp;" "&amp;Milestones!$AB$195&amp;" "&amp;IF(AND(Milestones!$AB$195="FT",Milestones!$AA$195=FT_Y5,EDATE($D124,Milestones!$AA$195)&lt;PolicyEff),1,Milestones!$AC$195)&amp;";  ","")&amp;IF(AND(EDATE($D124,Milestones!$AA$196)&lt;=AsOfDate,EDATE($D124,Milestones!$AA$196)&gt;=SchemeStart,IF($X124=0,$AD124,IF(AND($Z124&lt;&gt;"",EDATE($D124,Milestones!$AA$196)&gt;=$Z124),$AC124,IF(AND($Y124&lt;&gt;"",EDATE($D124,Milestones!$AA$196)&gt;=$Y124),$AB124,$AA124)))=Milestones!$AB$196),UPPER(TEXT(EDATE($D124,Milestones!$AA$196),"dd mmm yy"))&amp;" "&amp;Milestones!$AB$196&amp;" "&amp;IF(AND(Milestones!$AB$196="FT",Milestones!$AA$196=FT_Y5,EDATE($D124,Milestones!$AA$196)&lt;PolicyEff),1,Milestones!$AC$196)&amp;";  ","")&amp;IF(AND(EDATE($D124,Milestones!$AA$197)&lt;=AsOfDate,EDATE($D124,Milestones!$AA$197)&gt;=SchemeStart,IF($X124=0,$AD124,IF(AND($Z124&lt;&gt;"",EDATE($D124,Milestones!$AA$197)&gt;=$Z124),$AC124,IF(AND($Y124&lt;&gt;"",EDATE($D124,Milestones!$AA$197)&gt;=$Y124),$AB124,$AA124)))=Milestones!$AB$197),UPPER(TEXT(EDATE($D124,Milestones!$AA$197),"dd mmm yy"))&amp;" "&amp;Milestones!$AB$197&amp;" "&amp;IF(AND(Milestones!$AB$197="FT",Milestones!$AA$197=FT_Y5,EDATE($D124,Milestones!$AA$197)&lt;PolicyEff),1,Milestones!$AC$197)&amp;";  ","")&amp;IF(AND(EDATE($D124,Milestones!$AA$198)&lt;=AsOfDate,EDATE($D124,Milestones!$AA$198)&gt;=SchemeStart,IF($X124=0,$AD124,IF(AND($Z124&lt;&gt;"",EDATE($D124,Milestones!$AA$198)&gt;=$Z124),$AC124,IF(AND($Y124&lt;&gt;"",EDATE($D124,Milestones!$AA$198)&gt;=$Y124),$AB124,$AA124)))=Milestones!$AB$198),UPPER(TEXT(EDATE($D124,Milestones!$AA$198),"dd mmm yy"))&amp;" "&amp;Milestones!$AB$198&amp;" "&amp;IF(AND(Milestones!$AB$198="FT",Milestones!$AA$198=FT_Y5,EDATE($D124,Milestones!$AA$198)&lt;PolicyEff),1,Milestones!$AC$198)&amp;";  ","")&amp;IF(AND(EDATE($D124,Milestones!$AA$199)&lt;=AsOfDate,EDATE($D124,Milestones!$AA$199)&gt;=SchemeStart,IF($X124=0,$AD124,IF(AND($Z124&lt;&gt;"",EDATE($D124,Milestones!$AA$199)&gt;=$Z124),$AC124,IF(AND($Y124&lt;&gt;"",EDATE($D124,Milestones!$AA$199)&gt;=$Y124),$AB124,$AA124)))=Milestones!$AB$199),UPPER(TEXT(EDATE($D124,Milestones!$AA$199),"dd mmm yy"))&amp;" "&amp;Milestones!$AB$199&amp;" "&amp;IF(AND(Milestones!$AB$199="FT",Milestones!$AA$199=FT_Y5,EDATE($D124,Milestones!$AA$199)&lt;PolicyEff),1,Milestones!$AC$199)&amp;";  ",""))</f>
        <v/>
      </c>
      <c r="X124" s="0" t="str">
        <f aca="false">IF(Staff!$A124="","",Staff!$AM124)</f>
        <v/>
      </c>
      <c r="Y124" s="0" t="str">
        <f aca="false">IF(Staff!$A124="","",Staff!$AO124)</f>
        <v/>
      </c>
      <c r="Z124" s="0" t="str">
        <f aca="false">IF(Staff!$A124="","",Staff!$AP124)</f>
        <v/>
      </c>
      <c r="AA124" s="0" t="str">
        <f aca="false">IF(Staff!$A124="","",Staff!$AT124)</f>
        <v/>
      </c>
      <c r="AB124" s="0" t="str">
        <f aca="false">IF(Staff!$A124="","",Staff!$AU124)</f>
        <v/>
      </c>
      <c r="AC124" s="0" t="str">
        <f aca="false">IF(Staff!$A124="","",Staff!$AV124)</f>
        <v/>
      </c>
      <c r="AD124" s="0" t="str">
        <f aca="false">IF(Staff!$A124="","",Staff!$AW124)</f>
        <v/>
      </c>
    </row>
    <row r="125" customFormat="false" ht="15" hidden="false" customHeight="false" outlineLevel="0" collapsed="false">
      <c r="A125" s="16" t="str">
        <f aca="false">IF(Staff!$A125="","",Staff!$A125)</f>
        <v/>
      </c>
      <c r="B125" s="16" t="str">
        <f aca="false">IF(Staff!$A125="","",Staff!$B125)</f>
        <v/>
      </c>
      <c r="C125" s="16" t="str">
        <f aca="false">IF(Staff!$A125="","",Staff!$C125)</f>
        <v/>
      </c>
      <c r="D125" s="14" t="str">
        <f aca="false">IF(Staff!$A125="","",Staff!$AL125)</f>
        <v/>
      </c>
      <c r="E125" s="16" t="str">
        <f aca="false">IF(Staff!$A125="","",Staff!$O125)</f>
        <v/>
      </c>
      <c r="F125" s="16" t="str">
        <f aca="false">IF(E125="","",E125*HoursPerDay)</f>
        <v/>
      </c>
      <c r="G125" s="16" t="str">
        <f aca="false">IF(Staff!$A125="","",Staff!$AE125)</f>
        <v/>
      </c>
      <c r="H125" s="28" t="str">
        <f aca="false">IF($A125="","",I125&amp;J125&amp;K125&amp;L125&amp;M125&amp;N125&amp;O125&amp;P125&amp;Q125&amp;R125&amp;S125&amp;T125&amp;U125&amp;V125&amp;W125)</f>
        <v/>
      </c>
      <c r="I125" s="0" t="str">
        <f aca="false">IF(OR($A125="",$D125=""),"",IF(AND(EDATE($D125,Milestones!$AA$20)&lt;=AsOfDate,EDATE($D125,Milestones!$AA$20)&gt;=SchemeStart,IF($X125=0,$AD125,IF(AND($Z125&lt;&gt;"",EDATE($D125,Milestones!$AA$20)&gt;=$Z125),$AC125,IF(AND($Y125&lt;&gt;"",EDATE($D125,Milestones!$AA$20)&gt;=$Y125),$AB125,$AA125)))=Milestones!$AB$20),UPPER(TEXT(EDATE($D125,Milestones!$AA$20),"dd mmm yy"))&amp;" "&amp;Milestones!$AB$20&amp;" "&amp;IF(AND(Milestones!$AB$20="FT",Milestones!$AA$20=FT_Y5,EDATE($D125,Milestones!$AA$20)&lt;PolicyEff),1,Milestones!$AC$20)&amp;";  ","")&amp;IF(AND(EDATE($D125,Milestones!$AA$21)&lt;=AsOfDate,EDATE($D125,Milestones!$AA$21)&gt;=SchemeStart,IF($X125=0,$AD125,IF(AND($Z125&lt;&gt;"",EDATE($D125,Milestones!$AA$21)&gt;=$Z125),$AC125,IF(AND($Y125&lt;&gt;"",EDATE($D125,Milestones!$AA$21)&gt;=$Y125),$AB125,$AA125)))=Milestones!$AB$21),UPPER(TEXT(EDATE($D125,Milestones!$AA$21),"dd mmm yy"))&amp;" "&amp;Milestones!$AB$21&amp;" "&amp;IF(AND(Milestones!$AB$21="FT",Milestones!$AA$21=FT_Y5,EDATE($D125,Milestones!$AA$21)&lt;PolicyEff),1,Milestones!$AC$21)&amp;";  ","")&amp;IF(AND(EDATE($D125,Milestones!$AA$22)&lt;=AsOfDate,EDATE($D125,Milestones!$AA$22)&gt;=SchemeStart,IF($X125=0,$AD125,IF(AND($Z125&lt;&gt;"",EDATE($D125,Milestones!$AA$22)&gt;=$Z125),$AC125,IF(AND($Y125&lt;&gt;"",EDATE($D125,Milestones!$AA$22)&gt;=$Y125),$AB125,$AA125)))=Milestones!$AB$22),UPPER(TEXT(EDATE($D125,Milestones!$AA$22),"dd mmm yy"))&amp;" "&amp;Milestones!$AB$22&amp;" "&amp;IF(AND(Milestones!$AB$22="FT",Milestones!$AA$22=FT_Y5,EDATE($D125,Milestones!$AA$22)&lt;PolicyEff),1,Milestones!$AC$22)&amp;";  ","")&amp;IF(AND(EDATE($D125,Milestones!$AA$23)&lt;=AsOfDate,EDATE($D125,Milestones!$AA$23)&gt;=SchemeStart,IF($X125=0,$AD125,IF(AND($Z125&lt;&gt;"",EDATE($D125,Milestones!$AA$23)&gt;=$Z125),$AC125,IF(AND($Y125&lt;&gt;"",EDATE($D125,Milestones!$AA$23)&gt;=$Y125),$AB125,$AA125)))=Milestones!$AB$23),UPPER(TEXT(EDATE($D125,Milestones!$AA$23),"dd mmm yy"))&amp;" "&amp;Milestones!$AB$23&amp;" "&amp;IF(AND(Milestones!$AB$23="FT",Milestones!$AA$23=FT_Y5,EDATE($D125,Milestones!$AA$23)&lt;PolicyEff),1,Milestones!$AC$23)&amp;";  ","")&amp;IF(AND(EDATE($D125,Milestones!$AA$24)&lt;=AsOfDate,EDATE($D125,Milestones!$AA$24)&gt;=SchemeStart,IF($X125=0,$AD125,IF(AND($Z125&lt;&gt;"",EDATE($D125,Milestones!$AA$24)&gt;=$Z125),$AC125,IF(AND($Y125&lt;&gt;"",EDATE($D125,Milestones!$AA$24)&gt;=$Y125),$AB125,$AA125)))=Milestones!$AB$24),UPPER(TEXT(EDATE($D125,Milestones!$AA$24),"dd mmm yy"))&amp;" "&amp;Milestones!$AB$24&amp;" "&amp;IF(AND(Milestones!$AB$24="FT",Milestones!$AA$24=FT_Y5,EDATE($D125,Milestones!$AA$24)&lt;PolicyEff),1,Milestones!$AC$24)&amp;";  ","")&amp;IF(AND(EDATE($D125,Milestones!$AA$25)&lt;=AsOfDate,EDATE($D125,Milestones!$AA$25)&gt;=SchemeStart,IF($X125=0,$AD125,IF(AND($Z125&lt;&gt;"",EDATE($D125,Milestones!$AA$25)&gt;=$Z125),$AC125,IF(AND($Y125&lt;&gt;"",EDATE($D125,Milestones!$AA$25)&gt;=$Y125),$AB125,$AA125)))=Milestones!$AB$25),UPPER(TEXT(EDATE($D125,Milestones!$AA$25),"dd mmm yy"))&amp;" "&amp;Milestones!$AB$25&amp;" "&amp;IF(AND(Milestones!$AB$25="FT",Milestones!$AA$25=FT_Y5,EDATE($D125,Milestones!$AA$25)&lt;PolicyEff),1,Milestones!$AC$25)&amp;";  ","")&amp;IF(AND(EDATE($D125,Milestones!$AA$26)&lt;=AsOfDate,EDATE($D125,Milestones!$AA$26)&gt;=SchemeStart,IF($X125=0,$AD125,IF(AND($Z125&lt;&gt;"",EDATE($D125,Milestones!$AA$26)&gt;=$Z125),$AC125,IF(AND($Y125&lt;&gt;"",EDATE($D125,Milestones!$AA$26)&gt;=$Y125),$AB125,$AA125)))=Milestones!$AB$26),UPPER(TEXT(EDATE($D125,Milestones!$AA$26),"dd mmm yy"))&amp;" "&amp;Milestones!$AB$26&amp;" "&amp;IF(AND(Milestones!$AB$26="FT",Milestones!$AA$26=FT_Y5,EDATE($D125,Milestones!$AA$26)&lt;PolicyEff),1,Milestones!$AC$26)&amp;";  ","")&amp;IF(AND(EDATE($D125,Milestones!$AA$27)&lt;=AsOfDate,EDATE($D125,Milestones!$AA$27)&gt;=SchemeStart,IF($X125=0,$AD125,IF(AND($Z125&lt;&gt;"",EDATE($D125,Milestones!$AA$27)&gt;=$Z125),$AC125,IF(AND($Y125&lt;&gt;"",EDATE($D125,Milestones!$AA$27)&gt;=$Y125),$AB125,$AA125)))=Milestones!$AB$27),UPPER(TEXT(EDATE($D125,Milestones!$AA$27),"dd mmm yy"))&amp;" "&amp;Milestones!$AB$27&amp;" "&amp;IF(AND(Milestones!$AB$27="FT",Milestones!$AA$27=FT_Y5,EDATE($D125,Milestones!$AA$27)&lt;PolicyEff),1,Milestones!$AC$27)&amp;";  ","")&amp;IF(AND(EDATE($D125,Milestones!$AA$28)&lt;=AsOfDate,EDATE($D125,Milestones!$AA$28)&gt;=SchemeStart,IF($X125=0,$AD125,IF(AND($Z125&lt;&gt;"",EDATE($D125,Milestones!$AA$28)&gt;=$Z125),$AC125,IF(AND($Y125&lt;&gt;"",EDATE($D125,Milestones!$AA$28)&gt;=$Y125),$AB125,$AA125)))=Milestones!$AB$28),UPPER(TEXT(EDATE($D125,Milestones!$AA$28),"dd mmm yy"))&amp;" "&amp;Milestones!$AB$28&amp;" "&amp;IF(AND(Milestones!$AB$28="FT",Milestones!$AA$28=FT_Y5,EDATE($D125,Milestones!$AA$28)&lt;PolicyEff),1,Milestones!$AC$28)&amp;";  ","")&amp;IF(AND(EDATE($D125,Milestones!$AA$29)&lt;=AsOfDate,EDATE($D125,Milestones!$AA$29)&gt;=SchemeStart,IF($X125=0,$AD125,IF(AND($Z125&lt;&gt;"",EDATE($D125,Milestones!$AA$29)&gt;=$Z125),$AC125,IF(AND($Y125&lt;&gt;"",EDATE($D125,Milestones!$AA$29)&gt;=$Y125),$AB125,$AA125)))=Milestones!$AB$29),UPPER(TEXT(EDATE($D125,Milestones!$AA$29),"dd mmm yy"))&amp;" "&amp;Milestones!$AB$29&amp;" "&amp;IF(AND(Milestones!$AB$29="FT",Milestones!$AA$29=FT_Y5,EDATE($D125,Milestones!$AA$29)&lt;PolicyEff),1,Milestones!$AC$29)&amp;";  ","")&amp;IF(AND(EDATE($D125,Milestones!$AA$30)&lt;=AsOfDate,EDATE($D125,Milestones!$AA$30)&gt;=SchemeStart,IF($X125=0,$AD125,IF(AND($Z125&lt;&gt;"",EDATE($D125,Milestones!$AA$30)&gt;=$Z125),$AC125,IF(AND($Y125&lt;&gt;"",EDATE($D125,Milestones!$AA$30)&gt;=$Y125),$AB125,$AA125)))=Milestones!$AB$30),UPPER(TEXT(EDATE($D125,Milestones!$AA$30),"dd mmm yy"))&amp;" "&amp;Milestones!$AB$30&amp;" "&amp;IF(AND(Milestones!$AB$30="FT",Milestones!$AA$30=FT_Y5,EDATE($D125,Milestones!$AA$30)&lt;PolicyEff),1,Milestones!$AC$30)&amp;";  ","")&amp;IF(AND(EDATE($D125,Milestones!$AA$31)&lt;=AsOfDate,EDATE($D125,Milestones!$AA$31)&gt;=SchemeStart,IF($X125=0,$AD125,IF(AND($Z125&lt;&gt;"",EDATE($D125,Milestones!$AA$31)&gt;=$Z125),$AC125,IF(AND($Y125&lt;&gt;"",EDATE($D125,Milestones!$AA$31)&gt;=$Y125),$AB125,$AA125)))=Milestones!$AB$31),UPPER(TEXT(EDATE($D125,Milestones!$AA$31),"dd mmm yy"))&amp;" "&amp;Milestones!$AB$31&amp;" "&amp;IF(AND(Milestones!$AB$31="FT",Milestones!$AA$31=FT_Y5,EDATE($D125,Milestones!$AA$31)&lt;PolicyEff),1,Milestones!$AC$31)&amp;";  ",""))</f>
        <v/>
      </c>
      <c r="J125" s="0" t="str">
        <f aca="false">IF(OR($A125="",$D125=""),"",IF(AND(EDATE($D125,Milestones!$AA$32)&lt;=AsOfDate,EDATE($D125,Milestones!$AA$32)&gt;=SchemeStart,IF($X125=0,$AD125,IF(AND($Z125&lt;&gt;"",EDATE($D125,Milestones!$AA$32)&gt;=$Z125),$AC125,IF(AND($Y125&lt;&gt;"",EDATE($D125,Milestones!$AA$32)&gt;=$Y125),$AB125,$AA125)))=Milestones!$AB$32),UPPER(TEXT(EDATE($D125,Milestones!$AA$32),"dd mmm yy"))&amp;" "&amp;Milestones!$AB$32&amp;" "&amp;IF(AND(Milestones!$AB$32="FT",Milestones!$AA$32=FT_Y5,EDATE($D125,Milestones!$AA$32)&lt;PolicyEff),1,Milestones!$AC$32)&amp;";  ","")&amp;IF(AND(EDATE($D125,Milestones!$AA$33)&lt;=AsOfDate,EDATE($D125,Milestones!$AA$33)&gt;=SchemeStart,IF($X125=0,$AD125,IF(AND($Z125&lt;&gt;"",EDATE($D125,Milestones!$AA$33)&gt;=$Z125),$AC125,IF(AND($Y125&lt;&gt;"",EDATE($D125,Milestones!$AA$33)&gt;=$Y125),$AB125,$AA125)))=Milestones!$AB$33),UPPER(TEXT(EDATE($D125,Milestones!$AA$33),"dd mmm yy"))&amp;" "&amp;Milestones!$AB$33&amp;" "&amp;IF(AND(Milestones!$AB$33="FT",Milestones!$AA$33=FT_Y5,EDATE($D125,Milestones!$AA$33)&lt;PolicyEff),1,Milestones!$AC$33)&amp;";  ","")&amp;IF(AND(EDATE($D125,Milestones!$AA$34)&lt;=AsOfDate,EDATE($D125,Milestones!$AA$34)&gt;=SchemeStart,IF($X125=0,$AD125,IF(AND($Z125&lt;&gt;"",EDATE($D125,Milestones!$AA$34)&gt;=$Z125),$AC125,IF(AND($Y125&lt;&gt;"",EDATE($D125,Milestones!$AA$34)&gt;=$Y125),$AB125,$AA125)))=Milestones!$AB$34),UPPER(TEXT(EDATE($D125,Milestones!$AA$34),"dd mmm yy"))&amp;" "&amp;Milestones!$AB$34&amp;" "&amp;IF(AND(Milestones!$AB$34="FT",Milestones!$AA$34=FT_Y5,EDATE($D125,Milestones!$AA$34)&lt;PolicyEff),1,Milestones!$AC$34)&amp;";  ","")&amp;IF(AND(EDATE($D125,Milestones!$AA$35)&lt;=AsOfDate,EDATE($D125,Milestones!$AA$35)&gt;=SchemeStart,IF($X125=0,$AD125,IF(AND($Z125&lt;&gt;"",EDATE($D125,Milestones!$AA$35)&gt;=$Z125),$AC125,IF(AND($Y125&lt;&gt;"",EDATE($D125,Milestones!$AA$35)&gt;=$Y125),$AB125,$AA125)))=Milestones!$AB$35),UPPER(TEXT(EDATE($D125,Milestones!$AA$35),"dd mmm yy"))&amp;" "&amp;Milestones!$AB$35&amp;" "&amp;IF(AND(Milestones!$AB$35="FT",Milestones!$AA$35=FT_Y5,EDATE($D125,Milestones!$AA$35)&lt;PolicyEff),1,Milestones!$AC$35)&amp;";  ","")&amp;IF(AND(EDATE($D125,Milestones!$AA$36)&lt;=AsOfDate,EDATE($D125,Milestones!$AA$36)&gt;=SchemeStart,IF($X125=0,$AD125,IF(AND($Z125&lt;&gt;"",EDATE($D125,Milestones!$AA$36)&gt;=$Z125),$AC125,IF(AND($Y125&lt;&gt;"",EDATE($D125,Milestones!$AA$36)&gt;=$Y125),$AB125,$AA125)))=Milestones!$AB$36),UPPER(TEXT(EDATE($D125,Milestones!$AA$36),"dd mmm yy"))&amp;" "&amp;Milestones!$AB$36&amp;" "&amp;IF(AND(Milestones!$AB$36="FT",Milestones!$AA$36=FT_Y5,EDATE($D125,Milestones!$AA$36)&lt;PolicyEff),1,Milestones!$AC$36)&amp;";  ","")&amp;IF(AND(EDATE($D125,Milestones!$AA$37)&lt;=AsOfDate,EDATE($D125,Milestones!$AA$37)&gt;=SchemeStart,IF($X125=0,$AD125,IF(AND($Z125&lt;&gt;"",EDATE($D125,Milestones!$AA$37)&gt;=$Z125),$AC125,IF(AND($Y125&lt;&gt;"",EDATE($D125,Milestones!$AA$37)&gt;=$Y125),$AB125,$AA125)))=Milestones!$AB$37),UPPER(TEXT(EDATE($D125,Milestones!$AA$37),"dd mmm yy"))&amp;" "&amp;Milestones!$AB$37&amp;" "&amp;IF(AND(Milestones!$AB$37="FT",Milestones!$AA$37=FT_Y5,EDATE($D125,Milestones!$AA$37)&lt;PolicyEff),1,Milestones!$AC$37)&amp;";  ","")&amp;IF(AND(EDATE($D125,Milestones!$AA$38)&lt;=AsOfDate,EDATE($D125,Milestones!$AA$38)&gt;=SchemeStart,IF($X125=0,$AD125,IF(AND($Z125&lt;&gt;"",EDATE($D125,Milestones!$AA$38)&gt;=$Z125),$AC125,IF(AND($Y125&lt;&gt;"",EDATE($D125,Milestones!$AA$38)&gt;=$Y125),$AB125,$AA125)))=Milestones!$AB$38),UPPER(TEXT(EDATE($D125,Milestones!$AA$38),"dd mmm yy"))&amp;" "&amp;Milestones!$AB$38&amp;" "&amp;IF(AND(Milestones!$AB$38="FT",Milestones!$AA$38=FT_Y5,EDATE($D125,Milestones!$AA$38)&lt;PolicyEff),1,Milestones!$AC$38)&amp;";  ","")&amp;IF(AND(EDATE($D125,Milestones!$AA$39)&lt;=AsOfDate,EDATE($D125,Milestones!$AA$39)&gt;=SchemeStart,IF($X125=0,$AD125,IF(AND($Z125&lt;&gt;"",EDATE($D125,Milestones!$AA$39)&gt;=$Z125),$AC125,IF(AND($Y125&lt;&gt;"",EDATE($D125,Milestones!$AA$39)&gt;=$Y125),$AB125,$AA125)))=Milestones!$AB$39),UPPER(TEXT(EDATE($D125,Milestones!$AA$39),"dd mmm yy"))&amp;" "&amp;Milestones!$AB$39&amp;" "&amp;IF(AND(Milestones!$AB$39="FT",Milestones!$AA$39=FT_Y5,EDATE($D125,Milestones!$AA$39)&lt;PolicyEff),1,Milestones!$AC$39)&amp;";  ","")&amp;IF(AND(EDATE($D125,Milestones!$AA$40)&lt;=AsOfDate,EDATE($D125,Milestones!$AA$40)&gt;=SchemeStart,IF($X125=0,$AD125,IF(AND($Z125&lt;&gt;"",EDATE($D125,Milestones!$AA$40)&gt;=$Z125),$AC125,IF(AND($Y125&lt;&gt;"",EDATE($D125,Milestones!$AA$40)&gt;=$Y125),$AB125,$AA125)))=Milestones!$AB$40),UPPER(TEXT(EDATE($D125,Milestones!$AA$40),"dd mmm yy"))&amp;" "&amp;Milestones!$AB$40&amp;" "&amp;IF(AND(Milestones!$AB$40="FT",Milestones!$AA$40=FT_Y5,EDATE($D125,Milestones!$AA$40)&lt;PolicyEff),1,Milestones!$AC$40)&amp;";  ","")&amp;IF(AND(EDATE($D125,Milestones!$AA$41)&lt;=AsOfDate,EDATE($D125,Milestones!$AA$41)&gt;=SchemeStart,IF($X125=0,$AD125,IF(AND($Z125&lt;&gt;"",EDATE($D125,Milestones!$AA$41)&gt;=$Z125),$AC125,IF(AND($Y125&lt;&gt;"",EDATE($D125,Milestones!$AA$41)&gt;=$Y125),$AB125,$AA125)))=Milestones!$AB$41),UPPER(TEXT(EDATE($D125,Milestones!$AA$41),"dd mmm yy"))&amp;" "&amp;Milestones!$AB$41&amp;" "&amp;IF(AND(Milestones!$AB$41="FT",Milestones!$AA$41=FT_Y5,EDATE($D125,Milestones!$AA$41)&lt;PolicyEff),1,Milestones!$AC$41)&amp;";  ","")&amp;IF(AND(EDATE($D125,Milestones!$AA$42)&lt;=AsOfDate,EDATE($D125,Milestones!$AA$42)&gt;=SchemeStart,IF($X125=0,$AD125,IF(AND($Z125&lt;&gt;"",EDATE($D125,Milestones!$AA$42)&gt;=$Z125),$AC125,IF(AND($Y125&lt;&gt;"",EDATE($D125,Milestones!$AA$42)&gt;=$Y125),$AB125,$AA125)))=Milestones!$AB$42),UPPER(TEXT(EDATE($D125,Milestones!$AA$42),"dd mmm yy"))&amp;" "&amp;Milestones!$AB$42&amp;" "&amp;IF(AND(Milestones!$AB$42="FT",Milestones!$AA$42=FT_Y5,EDATE($D125,Milestones!$AA$42)&lt;PolicyEff),1,Milestones!$AC$42)&amp;";  ","")&amp;IF(AND(EDATE($D125,Milestones!$AA$43)&lt;=AsOfDate,EDATE($D125,Milestones!$AA$43)&gt;=SchemeStart,IF($X125=0,$AD125,IF(AND($Z125&lt;&gt;"",EDATE($D125,Milestones!$AA$43)&gt;=$Z125),$AC125,IF(AND($Y125&lt;&gt;"",EDATE($D125,Milestones!$AA$43)&gt;=$Y125),$AB125,$AA125)))=Milestones!$AB$43),UPPER(TEXT(EDATE($D125,Milestones!$AA$43),"dd mmm yy"))&amp;" "&amp;Milestones!$AB$43&amp;" "&amp;IF(AND(Milestones!$AB$43="FT",Milestones!$AA$43=FT_Y5,EDATE($D125,Milestones!$AA$43)&lt;PolicyEff),1,Milestones!$AC$43)&amp;";  ",""))</f>
        <v/>
      </c>
      <c r="K125" s="0" t="str">
        <f aca="false">IF(OR($A125="",$D125=""),"",IF(AND(EDATE($D125,Milestones!$AA$44)&lt;=AsOfDate,EDATE($D125,Milestones!$AA$44)&gt;=SchemeStart,IF($X125=0,$AD125,IF(AND($Z125&lt;&gt;"",EDATE($D125,Milestones!$AA$44)&gt;=$Z125),$AC125,IF(AND($Y125&lt;&gt;"",EDATE($D125,Milestones!$AA$44)&gt;=$Y125),$AB125,$AA125)))=Milestones!$AB$44),UPPER(TEXT(EDATE($D125,Milestones!$AA$44),"dd mmm yy"))&amp;" "&amp;Milestones!$AB$44&amp;" "&amp;IF(AND(Milestones!$AB$44="FT",Milestones!$AA$44=FT_Y5,EDATE($D125,Milestones!$AA$44)&lt;PolicyEff),1,Milestones!$AC$44)&amp;";  ","")&amp;IF(AND(EDATE($D125,Milestones!$AA$45)&lt;=AsOfDate,EDATE($D125,Milestones!$AA$45)&gt;=SchemeStart,IF($X125=0,$AD125,IF(AND($Z125&lt;&gt;"",EDATE($D125,Milestones!$AA$45)&gt;=$Z125),$AC125,IF(AND($Y125&lt;&gt;"",EDATE($D125,Milestones!$AA$45)&gt;=$Y125),$AB125,$AA125)))=Milestones!$AB$45),UPPER(TEXT(EDATE($D125,Milestones!$AA$45),"dd mmm yy"))&amp;" "&amp;Milestones!$AB$45&amp;" "&amp;IF(AND(Milestones!$AB$45="FT",Milestones!$AA$45=FT_Y5,EDATE($D125,Milestones!$AA$45)&lt;PolicyEff),1,Milestones!$AC$45)&amp;";  ","")&amp;IF(AND(EDATE($D125,Milestones!$AA$46)&lt;=AsOfDate,EDATE($D125,Milestones!$AA$46)&gt;=SchemeStart,IF($X125=0,$AD125,IF(AND($Z125&lt;&gt;"",EDATE($D125,Milestones!$AA$46)&gt;=$Z125),$AC125,IF(AND($Y125&lt;&gt;"",EDATE($D125,Milestones!$AA$46)&gt;=$Y125),$AB125,$AA125)))=Milestones!$AB$46),UPPER(TEXT(EDATE($D125,Milestones!$AA$46),"dd mmm yy"))&amp;" "&amp;Milestones!$AB$46&amp;" "&amp;IF(AND(Milestones!$AB$46="FT",Milestones!$AA$46=FT_Y5,EDATE($D125,Milestones!$AA$46)&lt;PolicyEff),1,Milestones!$AC$46)&amp;";  ","")&amp;IF(AND(EDATE($D125,Milestones!$AA$47)&lt;=AsOfDate,EDATE($D125,Milestones!$AA$47)&gt;=SchemeStart,IF($X125=0,$AD125,IF(AND($Z125&lt;&gt;"",EDATE($D125,Milestones!$AA$47)&gt;=$Z125),$AC125,IF(AND($Y125&lt;&gt;"",EDATE($D125,Milestones!$AA$47)&gt;=$Y125),$AB125,$AA125)))=Milestones!$AB$47),UPPER(TEXT(EDATE($D125,Milestones!$AA$47),"dd mmm yy"))&amp;" "&amp;Milestones!$AB$47&amp;" "&amp;IF(AND(Milestones!$AB$47="FT",Milestones!$AA$47=FT_Y5,EDATE($D125,Milestones!$AA$47)&lt;PolicyEff),1,Milestones!$AC$47)&amp;";  ","")&amp;IF(AND(EDATE($D125,Milestones!$AA$48)&lt;=AsOfDate,EDATE($D125,Milestones!$AA$48)&gt;=SchemeStart,IF($X125=0,$AD125,IF(AND($Z125&lt;&gt;"",EDATE($D125,Milestones!$AA$48)&gt;=$Z125),$AC125,IF(AND($Y125&lt;&gt;"",EDATE($D125,Milestones!$AA$48)&gt;=$Y125),$AB125,$AA125)))=Milestones!$AB$48),UPPER(TEXT(EDATE($D125,Milestones!$AA$48),"dd mmm yy"))&amp;" "&amp;Milestones!$AB$48&amp;" "&amp;IF(AND(Milestones!$AB$48="FT",Milestones!$AA$48=FT_Y5,EDATE($D125,Milestones!$AA$48)&lt;PolicyEff),1,Milestones!$AC$48)&amp;";  ","")&amp;IF(AND(EDATE($D125,Milestones!$AA$49)&lt;=AsOfDate,EDATE($D125,Milestones!$AA$49)&gt;=SchemeStart,IF($X125=0,$AD125,IF(AND($Z125&lt;&gt;"",EDATE($D125,Milestones!$AA$49)&gt;=$Z125),$AC125,IF(AND($Y125&lt;&gt;"",EDATE($D125,Milestones!$AA$49)&gt;=$Y125),$AB125,$AA125)))=Milestones!$AB$49),UPPER(TEXT(EDATE($D125,Milestones!$AA$49),"dd mmm yy"))&amp;" "&amp;Milestones!$AB$49&amp;" "&amp;IF(AND(Milestones!$AB$49="FT",Milestones!$AA$49=FT_Y5,EDATE($D125,Milestones!$AA$49)&lt;PolicyEff),1,Milestones!$AC$49)&amp;";  ","")&amp;IF(AND(EDATE($D125,Milestones!$AA$50)&lt;=AsOfDate,EDATE($D125,Milestones!$AA$50)&gt;=SchemeStart,IF($X125=0,$AD125,IF(AND($Z125&lt;&gt;"",EDATE($D125,Milestones!$AA$50)&gt;=$Z125),$AC125,IF(AND($Y125&lt;&gt;"",EDATE($D125,Milestones!$AA$50)&gt;=$Y125),$AB125,$AA125)))=Milestones!$AB$50),UPPER(TEXT(EDATE($D125,Milestones!$AA$50),"dd mmm yy"))&amp;" "&amp;Milestones!$AB$50&amp;" "&amp;IF(AND(Milestones!$AB$50="FT",Milestones!$AA$50=FT_Y5,EDATE($D125,Milestones!$AA$50)&lt;PolicyEff),1,Milestones!$AC$50)&amp;";  ","")&amp;IF(AND(EDATE($D125,Milestones!$AA$51)&lt;=AsOfDate,EDATE($D125,Milestones!$AA$51)&gt;=SchemeStart,IF($X125=0,$AD125,IF(AND($Z125&lt;&gt;"",EDATE($D125,Milestones!$AA$51)&gt;=$Z125),$AC125,IF(AND($Y125&lt;&gt;"",EDATE($D125,Milestones!$AA$51)&gt;=$Y125),$AB125,$AA125)))=Milestones!$AB$51),UPPER(TEXT(EDATE($D125,Milestones!$AA$51),"dd mmm yy"))&amp;" "&amp;Milestones!$AB$51&amp;" "&amp;IF(AND(Milestones!$AB$51="FT",Milestones!$AA$51=FT_Y5,EDATE($D125,Milestones!$AA$51)&lt;PolicyEff),1,Milestones!$AC$51)&amp;";  ","")&amp;IF(AND(EDATE($D125,Milestones!$AA$52)&lt;=AsOfDate,EDATE($D125,Milestones!$AA$52)&gt;=SchemeStart,IF($X125=0,$AD125,IF(AND($Z125&lt;&gt;"",EDATE($D125,Milestones!$AA$52)&gt;=$Z125),$AC125,IF(AND($Y125&lt;&gt;"",EDATE($D125,Milestones!$AA$52)&gt;=$Y125),$AB125,$AA125)))=Milestones!$AB$52),UPPER(TEXT(EDATE($D125,Milestones!$AA$52),"dd mmm yy"))&amp;" "&amp;Milestones!$AB$52&amp;" "&amp;IF(AND(Milestones!$AB$52="FT",Milestones!$AA$52=FT_Y5,EDATE($D125,Milestones!$AA$52)&lt;PolicyEff),1,Milestones!$AC$52)&amp;";  ","")&amp;IF(AND(EDATE($D125,Milestones!$AA$53)&lt;=AsOfDate,EDATE($D125,Milestones!$AA$53)&gt;=SchemeStart,IF($X125=0,$AD125,IF(AND($Z125&lt;&gt;"",EDATE($D125,Milestones!$AA$53)&gt;=$Z125),$AC125,IF(AND($Y125&lt;&gt;"",EDATE($D125,Milestones!$AA$53)&gt;=$Y125),$AB125,$AA125)))=Milestones!$AB$53),UPPER(TEXT(EDATE($D125,Milestones!$AA$53),"dd mmm yy"))&amp;" "&amp;Milestones!$AB$53&amp;" "&amp;IF(AND(Milestones!$AB$53="FT",Milestones!$AA$53=FT_Y5,EDATE($D125,Milestones!$AA$53)&lt;PolicyEff),1,Milestones!$AC$53)&amp;";  ","")&amp;IF(AND(EDATE($D125,Milestones!$AA$54)&lt;=AsOfDate,EDATE($D125,Milestones!$AA$54)&gt;=SchemeStart,IF($X125=0,$AD125,IF(AND($Z125&lt;&gt;"",EDATE($D125,Milestones!$AA$54)&gt;=$Z125),$AC125,IF(AND($Y125&lt;&gt;"",EDATE($D125,Milestones!$AA$54)&gt;=$Y125),$AB125,$AA125)))=Milestones!$AB$54),UPPER(TEXT(EDATE($D125,Milestones!$AA$54),"dd mmm yy"))&amp;" "&amp;Milestones!$AB$54&amp;" "&amp;IF(AND(Milestones!$AB$54="FT",Milestones!$AA$54=FT_Y5,EDATE($D125,Milestones!$AA$54)&lt;PolicyEff),1,Milestones!$AC$54)&amp;";  ","")&amp;IF(AND(EDATE($D125,Milestones!$AA$55)&lt;=AsOfDate,EDATE($D125,Milestones!$AA$55)&gt;=SchemeStart,IF($X125=0,$AD125,IF(AND($Z125&lt;&gt;"",EDATE($D125,Milestones!$AA$55)&gt;=$Z125),$AC125,IF(AND($Y125&lt;&gt;"",EDATE($D125,Milestones!$AA$55)&gt;=$Y125),$AB125,$AA125)))=Milestones!$AB$55),UPPER(TEXT(EDATE($D125,Milestones!$AA$55),"dd mmm yy"))&amp;" "&amp;Milestones!$AB$55&amp;" "&amp;IF(AND(Milestones!$AB$55="FT",Milestones!$AA$55=FT_Y5,EDATE($D125,Milestones!$AA$55)&lt;PolicyEff),1,Milestones!$AC$55)&amp;";  ",""))</f>
        <v/>
      </c>
      <c r="L125" s="0" t="str">
        <f aca="false">IF(OR($A125="",$D125=""),"",IF(AND(EDATE($D125,Milestones!$AA$56)&lt;=AsOfDate,EDATE($D125,Milestones!$AA$56)&gt;=SchemeStart,IF($X125=0,$AD125,IF(AND($Z125&lt;&gt;"",EDATE($D125,Milestones!$AA$56)&gt;=$Z125),$AC125,IF(AND($Y125&lt;&gt;"",EDATE($D125,Milestones!$AA$56)&gt;=$Y125),$AB125,$AA125)))=Milestones!$AB$56),UPPER(TEXT(EDATE($D125,Milestones!$AA$56),"dd mmm yy"))&amp;" "&amp;Milestones!$AB$56&amp;" "&amp;IF(AND(Milestones!$AB$56="FT",Milestones!$AA$56=FT_Y5,EDATE($D125,Milestones!$AA$56)&lt;PolicyEff),1,Milestones!$AC$56)&amp;";  ","")&amp;IF(AND(EDATE($D125,Milestones!$AA$57)&lt;=AsOfDate,EDATE($D125,Milestones!$AA$57)&gt;=SchemeStart,IF($X125=0,$AD125,IF(AND($Z125&lt;&gt;"",EDATE($D125,Milestones!$AA$57)&gt;=$Z125),$AC125,IF(AND($Y125&lt;&gt;"",EDATE($D125,Milestones!$AA$57)&gt;=$Y125),$AB125,$AA125)))=Milestones!$AB$57),UPPER(TEXT(EDATE($D125,Milestones!$AA$57),"dd mmm yy"))&amp;" "&amp;Milestones!$AB$57&amp;" "&amp;IF(AND(Milestones!$AB$57="FT",Milestones!$AA$57=FT_Y5,EDATE($D125,Milestones!$AA$57)&lt;PolicyEff),1,Milestones!$AC$57)&amp;";  ","")&amp;IF(AND(EDATE($D125,Milestones!$AA$58)&lt;=AsOfDate,EDATE($D125,Milestones!$AA$58)&gt;=SchemeStart,IF($X125=0,$AD125,IF(AND($Z125&lt;&gt;"",EDATE($D125,Milestones!$AA$58)&gt;=$Z125),$AC125,IF(AND($Y125&lt;&gt;"",EDATE($D125,Milestones!$AA$58)&gt;=$Y125),$AB125,$AA125)))=Milestones!$AB$58),UPPER(TEXT(EDATE($D125,Milestones!$AA$58),"dd mmm yy"))&amp;" "&amp;Milestones!$AB$58&amp;" "&amp;IF(AND(Milestones!$AB$58="FT",Milestones!$AA$58=FT_Y5,EDATE($D125,Milestones!$AA$58)&lt;PolicyEff),1,Milestones!$AC$58)&amp;";  ","")&amp;IF(AND(EDATE($D125,Milestones!$AA$59)&lt;=AsOfDate,EDATE($D125,Milestones!$AA$59)&gt;=SchemeStart,IF($X125=0,$AD125,IF(AND($Z125&lt;&gt;"",EDATE($D125,Milestones!$AA$59)&gt;=$Z125),$AC125,IF(AND($Y125&lt;&gt;"",EDATE($D125,Milestones!$AA$59)&gt;=$Y125),$AB125,$AA125)))=Milestones!$AB$59),UPPER(TEXT(EDATE($D125,Milestones!$AA$59),"dd mmm yy"))&amp;" "&amp;Milestones!$AB$59&amp;" "&amp;IF(AND(Milestones!$AB$59="FT",Milestones!$AA$59=FT_Y5,EDATE($D125,Milestones!$AA$59)&lt;PolicyEff),1,Milestones!$AC$59)&amp;";  ","")&amp;IF(AND(EDATE($D125,Milestones!$AA$60)&lt;=AsOfDate,EDATE($D125,Milestones!$AA$60)&gt;=SchemeStart,IF($X125=0,$AD125,IF(AND($Z125&lt;&gt;"",EDATE($D125,Milestones!$AA$60)&gt;=$Z125),$AC125,IF(AND($Y125&lt;&gt;"",EDATE($D125,Milestones!$AA$60)&gt;=$Y125),$AB125,$AA125)))=Milestones!$AB$60),UPPER(TEXT(EDATE($D125,Milestones!$AA$60),"dd mmm yy"))&amp;" "&amp;Milestones!$AB$60&amp;" "&amp;IF(AND(Milestones!$AB$60="FT",Milestones!$AA$60=FT_Y5,EDATE($D125,Milestones!$AA$60)&lt;PolicyEff),1,Milestones!$AC$60)&amp;";  ","")&amp;IF(AND(EDATE($D125,Milestones!$AA$61)&lt;=AsOfDate,EDATE($D125,Milestones!$AA$61)&gt;=SchemeStart,IF($X125=0,$AD125,IF(AND($Z125&lt;&gt;"",EDATE($D125,Milestones!$AA$61)&gt;=$Z125),$AC125,IF(AND($Y125&lt;&gt;"",EDATE($D125,Milestones!$AA$61)&gt;=$Y125),$AB125,$AA125)))=Milestones!$AB$61),UPPER(TEXT(EDATE($D125,Milestones!$AA$61),"dd mmm yy"))&amp;" "&amp;Milestones!$AB$61&amp;" "&amp;IF(AND(Milestones!$AB$61="FT",Milestones!$AA$61=FT_Y5,EDATE($D125,Milestones!$AA$61)&lt;PolicyEff),1,Milestones!$AC$61)&amp;";  ","")&amp;IF(AND(EDATE($D125,Milestones!$AA$62)&lt;=AsOfDate,EDATE($D125,Milestones!$AA$62)&gt;=SchemeStart,IF($X125=0,$AD125,IF(AND($Z125&lt;&gt;"",EDATE($D125,Milestones!$AA$62)&gt;=$Z125),$AC125,IF(AND($Y125&lt;&gt;"",EDATE($D125,Milestones!$AA$62)&gt;=$Y125),$AB125,$AA125)))=Milestones!$AB$62),UPPER(TEXT(EDATE($D125,Milestones!$AA$62),"dd mmm yy"))&amp;" "&amp;Milestones!$AB$62&amp;" "&amp;IF(AND(Milestones!$AB$62="FT",Milestones!$AA$62=FT_Y5,EDATE($D125,Milestones!$AA$62)&lt;PolicyEff),1,Milestones!$AC$62)&amp;";  ","")&amp;IF(AND(EDATE($D125,Milestones!$AA$63)&lt;=AsOfDate,EDATE($D125,Milestones!$AA$63)&gt;=SchemeStart,IF($X125=0,$AD125,IF(AND($Z125&lt;&gt;"",EDATE($D125,Milestones!$AA$63)&gt;=$Z125),$AC125,IF(AND($Y125&lt;&gt;"",EDATE($D125,Milestones!$AA$63)&gt;=$Y125),$AB125,$AA125)))=Milestones!$AB$63),UPPER(TEXT(EDATE($D125,Milestones!$AA$63),"dd mmm yy"))&amp;" "&amp;Milestones!$AB$63&amp;" "&amp;IF(AND(Milestones!$AB$63="FT",Milestones!$AA$63=FT_Y5,EDATE($D125,Milestones!$AA$63)&lt;PolicyEff),1,Milestones!$AC$63)&amp;";  ","")&amp;IF(AND(EDATE($D125,Milestones!$AA$64)&lt;=AsOfDate,EDATE($D125,Milestones!$AA$64)&gt;=SchemeStart,IF($X125=0,$AD125,IF(AND($Z125&lt;&gt;"",EDATE($D125,Milestones!$AA$64)&gt;=$Z125),$AC125,IF(AND($Y125&lt;&gt;"",EDATE($D125,Milestones!$AA$64)&gt;=$Y125),$AB125,$AA125)))=Milestones!$AB$64),UPPER(TEXT(EDATE($D125,Milestones!$AA$64),"dd mmm yy"))&amp;" "&amp;Milestones!$AB$64&amp;" "&amp;IF(AND(Milestones!$AB$64="FT",Milestones!$AA$64=FT_Y5,EDATE($D125,Milestones!$AA$64)&lt;PolicyEff),1,Milestones!$AC$64)&amp;";  ","")&amp;IF(AND(EDATE($D125,Milestones!$AA$65)&lt;=AsOfDate,EDATE($D125,Milestones!$AA$65)&gt;=SchemeStart,IF($X125=0,$AD125,IF(AND($Z125&lt;&gt;"",EDATE($D125,Milestones!$AA$65)&gt;=$Z125),$AC125,IF(AND($Y125&lt;&gt;"",EDATE($D125,Milestones!$AA$65)&gt;=$Y125),$AB125,$AA125)))=Milestones!$AB$65),UPPER(TEXT(EDATE($D125,Milestones!$AA$65),"dd mmm yy"))&amp;" "&amp;Milestones!$AB$65&amp;" "&amp;IF(AND(Milestones!$AB$65="FT",Milestones!$AA$65=FT_Y5,EDATE($D125,Milestones!$AA$65)&lt;PolicyEff),1,Milestones!$AC$65)&amp;";  ","")&amp;IF(AND(EDATE($D125,Milestones!$AA$66)&lt;=AsOfDate,EDATE($D125,Milestones!$AA$66)&gt;=SchemeStart,IF($X125=0,$AD125,IF(AND($Z125&lt;&gt;"",EDATE($D125,Milestones!$AA$66)&gt;=$Z125),$AC125,IF(AND($Y125&lt;&gt;"",EDATE($D125,Milestones!$AA$66)&gt;=$Y125),$AB125,$AA125)))=Milestones!$AB$66),UPPER(TEXT(EDATE($D125,Milestones!$AA$66),"dd mmm yy"))&amp;" "&amp;Milestones!$AB$66&amp;" "&amp;IF(AND(Milestones!$AB$66="FT",Milestones!$AA$66=FT_Y5,EDATE($D125,Milestones!$AA$66)&lt;PolicyEff),1,Milestones!$AC$66)&amp;";  ","")&amp;IF(AND(EDATE($D125,Milestones!$AA$67)&lt;=AsOfDate,EDATE($D125,Milestones!$AA$67)&gt;=SchemeStart,IF($X125=0,$AD125,IF(AND($Z125&lt;&gt;"",EDATE($D125,Milestones!$AA$67)&gt;=$Z125),$AC125,IF(AND($Y125&lt;&gt;"",EDATE($D125,Milestones!$AA$67)&gt;=$Y125),$AB125,$AA125)))=Milestones!$AB$67),UPPER(TEXT(EDATE($D125,Milestones!$AA$67),"dd mmm yy"))&amp;" "&amp;Milestones!$AB$67&amp;" "&amp;IF(AND(Milestones!$AB$67="FT",Milestones!$AA$67=FT_Y5,EDATE($D125,Milestones!$AA$67)&lt;PolicyEff),1,Milestones!$AC$67)&amp;";  ",""))</f>
        <v/>
      </c>
      <c r="M125" s="0" t="str">
        <f aca="false">IF(OR($A125="",$D125=""),"",IF(AND(EDATE($D125,Milestones!$AA$68)&lt;=AsOfDate,EDATE($D125,Milestones!$AA$68)&gt;=SchemeStart,IF($X125=0,$AD125,IF(AND($Z125&lt;&gt;"",EDATE($D125,Milestones!$AA$68)&gt;=$Z125),$AC125,IF(AND($Y125&lt;&gt;"",EDATE($D125,Milestones!$AA$68)&gt;=$Y125),$AB125,$AA125)))=Milestones!$AB$68),UPPER(TEXT(EDATE($D125,Milestones!$AA$68),"dd mmm yy"))&amp;" "&amp;Milestones!$AB$68&amp;" "&amp;IF(AND(Milestones!$AB$68="FT",Milestones!$AA$68=FT_Y5,EDATE($D125,Milestones!$AA$68)&lt;PolicyEff),1,Milestones!$AC$68)&amp;";  ","")&amp;IF(AND(EDATE($D125,Milestones!$AA$69)&lt;=AsOfDate,EDATE($D125,Milestones!$AA$69)&gt;=SchemeStart,IF($X125=0,$AD125,IF(AND($Z125&lt;&gt;"",EDATE($D125,Milestones!$AA$69)&gt;=$Z125),$AC125,IF(AND($Y125&lt;&gt;"",EDATE($D125,Milestones!$AA$69)&gt;=$Y125),$AB125,$AA125)))=Milestones!$AB$69),UPPER(TEXT(EDATE($D125,Milestones!$AA$69),"dd mmm yy"))&amp;" "&amp;Milestones!$AB$69&amp;" "&amp;IF(AND(Milestones!$AB$69="FT",Milestones!$AA$69=FT_Y5,EDATE($D125,Milestones!$AA$69)&lt;PolicyEff),1,Milestones!$AC$69)&amp;";  ","")&amp;IF(AND(EDATE($D125,Milestones!$AA$70)&lt;=AsOfDate,EDATE($D125,Milestones!$AA$70)&gt;=SchemeStart,IF($X125=0,$AD125,IF(AND($Z125&lt;&gt;"",EDATE($D125,Milestones!$AA$70)&gt;=$Z125),$AC125,IF(AND($Y125&lt;&gt;"",EDATE($D125,Milestones!$AA$70)&gt;=$Y125),$AB125,$AA125)))=Milestones!$AB$70),UPPER(TEXT(EDATE($D125,Milestones!$AA$70),"dd mmm yy"))&amp;" "&amp;Milestones!$AB$70&amp;" "&amp;IF(AND(Milestones!$AB$70="FT",Milestones!$AA$70=FT_Y5,EDATE($D125,Milestones!$AA$70)&lt;PolicyEff),1,Milestones!$AC$70)&amp;";  ","")&amp;IF(AND(EDATE($D125,Milestones!$AA$71)&lt;=AsOfDate,EDATE($D125,Milestones!$AA$71)&gt;=SchemeStart,IF($X125=0,$AD125,IF(AND($Z125&lt;&gt;"",EDATE($D125,Milestones!$AA$71)&gt;=$Z125),$AC125,IF(AND($Y125&lt;&gt;"",EDATE($D125,Milestones!$AA$71)&gt;=$Y125),$AB125,$AA125)))=Milestones!$AB$71),UPPER(TEXT(EDATE($D125,Milestones!$AA$71),"dd mmm yy"))&amp;" "&amp;Milestones!$AB$71&amp;" "&amp;IF(AND(Milestones!$AB$71="FT",Milestones!$AA$71=FT_Y5,EDATE($D125,Milestones!$AA$71)&lt;PolicyEff),1,Milestones!$AC$71)&amp;";  ","")&amp;IF(AND(EDATE($D125,Milestones!$AA$72)&lt;=AsOfDate,EDATE($D125,Milestones!$AA$72)&gt;=SchemeStart,IF($X125=0,$AD125,IF(AND($Z125&lt;&gt;"",EDATE($D125,Milestones!$AA$72)&gt;=$Z125),$AC125,IF(AND($Y125&lt;&gt;"",EDATE($D125,Milestones!$AA$72)&gt;=$Y125),$AB125,$AA125)))=Milestones!$AB$72),UPPER(TEXT(EDATE($D125,Milestones!$AA$72),"dd mmm yy"))&amp;" "&amp;Milestones!$AB$72&amp;" "&amp;IF(AND(Milestones!$AB$72="FT",Milestones!$AA$72=FT_Y5,EDATE($D125,Milestones!$AA$72)&lt;PolicyEff),1,Milestones!$AC$72)&amp;";  ","")&amp;IF(AND(EDATE($D125,Milestones!$AA$73)&lt;=AsOfDate,EDATE($D125,Milestones!$AA$73)&gt;=SchemeStart,IF($X125=0,$AD125,IF(AND($Z125&lt;&gt;"",EDATE($D125,Milestones!$AA$73)&gt;=$Z125),$AC125,IF(AND($Y125&lt;&gt;"",EDATE($D125,Milestones!$AA$73)&gt;=$Y125),$AB125,$AA125)))=Milestones!$AB$73),UPPER(TEXT(EDATE($D125,Milestones!$AA$73),"dd mmm yy"))&amp;" "&amp;Milestones!$AB$73&amp;" "&amp;IF(AND(Milestones!$AB$73="FT",Milestones!$AA$73=FT_Y5,EDATE($D125,Milestones!$AA$73)&lt;PolicyEff),1,Milestones!$AC$73)&amp;";  ","")&amp;IF(AND(EDATE($D125,Milestones!$AA$74)&lt;=AsOfDate,EDATE($D125,Milestones!$AA$74)&gt;=SchemeStart,IF($X125=0,$AD125,IF(AND($Z125&lt;&gt;"",EDATE($D125,Milestones!$AA$74)&gt;=$Z125),$AC125,IF(AND($Y125&lt;&gt;"",EDATE($D125,Milestones!$AA$74)&gt;=$Y125),$AB125,$AA125)))=Milestones!$AB$74),UPPER(TEXT(EDATE($D125,Milestones!$AA$74),"dd mmm yy"))&amp;" "&amp;Milestones!$AB$74&amp;" "&amp;IF(AND(Milestones!$AB$74="FT",Milestones!$AA$74=FT_Y5,EDATE($D125,Milestones!$AA$74)&lt;PolicyEff),1,Milestones!$AC$74)&amp;";  ","")&amp;IF(AND(EDATE($D125,Milestones!$AA$75)&lt;=AsOfDate,EDATE($D125,Milestones!$AA$75)&gt;=SchemeStart,IF($X125=0,$AD125,IF(AND($Z125&lt;&gt;"",EDATE($D125,Milestones!$AA$75)&gt;=$Z125),$AC125,IF(AND($Y125&lt;&gt;"",EDATE($D125,Milestones!$AA$75)&gt;=$Y125),$AB125,$AA125)))=Milestones!$AB$75),UPPER(TEXT(EDATE($D125,Milestones!$AA$75),"dd mmm yy"))&amp;" "&amp;Milestones!$AB$75&amp;" "&amp;IF(AND(Milestones!$AB$75="FT",Milestones!$AA$75=FT_Y5,EDATE($D125,Milestones!$AA$75)&lt;PolicyEff),1,Milestones!$AC$75)&amp;";  ","")&amp;IF(AND(EDATE($D125,Milestones!$AA$76)&lt;=AsOfDate,EDATE($D125,Milestones!$AA$76)&gt;=SchemeStart,IF($X125=0,$AD125,IF(AND($Z125&lt;&gt;"",EDATE($D125,Milestones!$AA$76)&gt;=$Z125),$AC125,IF(AND($Y125&lt;&gt;"",EDATE($D125,Milestones!$AA$76)&gt;=$Y125),$AB125,$AA125)))=Milestones!$AB$76),UPPER(TEXT(EDATE($D125,Milestones!$AA$76),"dd mmm yy"))&amp;" "&amp;Milestones!$AB$76&amp;" "&amp;IF(AND(Milestones!$AB$76="FT",Milestones!$AA$76=FT_Y5,EDATE($D125,Milestones!$AA$76)&lt;PolicyEff),1,Milestones!$AC$76)&amp;";  ","")&amp;IF(AND(EDATE($D125,Milestones!$AA$77)&lt;=AsOfDate,EDATE($D125,Milestones!$AA$77)&gt;=SchemeStart,IF($X125=0,$AD125,IF(AND($Z125&lt;&gt;"",EDATE($D125,Milestones!$AA$77)&gt;=$Z125),$AC125,IF(AND($Y125&lt;&gt;"",EDATE($D125,Milestones!$AA$77)&gt;=$Y125),$AB125,$AA125)))=Milestones!$AB$77),UPPER(TEXT(EDATE($D125,Milestones!$AA$77),"dd mmm yy"))&amp;" "&amp;Milestones!$AB$77&amp;" "&amp;IF(AND(Milestones!$AB$77="FT",Milestones!$AA$77=FT_Y5,EDATE($D125,Milestones!$AA$77)&lt;PolicyEff),1,Milestones!$AC$77)&amp;";  ","")&amp;IF(AND(EDATE($D125,Milestones!$AA$78)&lt;=AsOfDate,EDATE($D125,Milestones!$AA$78)&gt;=SchemeStart,IF($X125=0,$AD125,IF(AND($Z125&lt;&gt;"",EDATE($D125,Milestones!$AA$78)&gt;=$Z125),$AC125,IF(AND($Y125&lt;&gt;"",EDATE($D125,Milestones!$AA$78)&gt;=$Y125),$AB125,$AA125)))=Milestones!$AB$78),UPPER(TEXT(EDATE($D125,Milestones!$AA$78),"dd mmm yy"))&amp;" "&amp;Milestones!$AB$78&amp;" "&amp;IF(AND(Milestones!$AB$78="FT",Milestones!$AA$78=FT_Y5,EDATE($D125,Milestones!$AA$78)&lt;PolicyEff),1,Milestones!$AC$78)&amp;";  ","")&amp;IF(AND(EDATE($D125,Milestones!$AA$79)&lt;=AsOfDate,EDATE($D125,Milestones!$AA$79)&gt;=SchemeStart,IF($X125=0,$AD125,IF(AND($Z125&lt;&gt;"",EDATE($D125,Milestones!$AA$79)&gt;=$Z125),$AC125,IF(AND($Y125&lt;&gt;"",EDATE($D125,Milestones!$AA$79)&gt;=$Y125),$AB125,$AA125)))=Milestones!$AB$79),UPPER(TEXT(EDATE($D125,Milestones!$AA$79),"dd mmm yy"))&amp;" "&amp;Milestones!$AB$79&amp;" "&amp;IF(AND(Milestones!$AB$79="FT",Milestones!$AA$79=FT_Y5,EDATE($D125,Milestones!$AA$79)&lt;PolicyEff),1,Milestones!$AC$79)&amp;";  ",""))</f>
        <v/>
      </c>
      <c r="N125" s="0" t="str">
        <f aca="false">IF(OR($A125="",$D125=""),"",IF(AND(EDATE($D125,Milestones!$AA$80)&lt;=AsOfDate,EDATE($D125,Milestones!$AA$80)&gt;=SchemeStart,IF($X125=0,$AD125,IF(AND($Z125&lt;&gt;"",EDATE($D125,Milestones!$AA$80)&gt;=$Z125),$AC125,IF(AND($Y125&lt;&gt;"",EDATE($D125,Milestones!$AA$80)&gt;=$Y125),$AB125,$AA125)))=Milestones!$AB$80),UPPER(TEXT(EDATE($D125,Milestones!$AA$80),"dd mmm yy"))&amp;" "&amp;Milestones!$AB$80&amp;" "&amp;IF(AND(Milestones!$AB$80="FT",Milestones!$AA$80=FT_Y5,EDATE($D125,Milestones!$AA$80)&lt;PolicyEff),1,Milestones!$AC$80)&amp;";  ","")&amp;IF(AND(EDATE($D125,Milestones!$AA$81)&lt;=AsOfDate,EDATE($D125,Milestones!$AA$81)&gt;=SchemeStart,IF($X125=0,$AD125,IF(AND($Z125&lt;&gt;"",EDATE($D125,Milestones!$AA$81)&gt;=$Z125),$AC125,IF(AND($Y125&lt;&gt;"",EDATE($D125,Milestones!$AA$81)&gt;=$Y125),$AB125,$AA125)))=Milestones!$AB$81),UPPER(TEXT(EDATE($D125,Milestones!$AA$81),"dd mmm yy"))&amp;" "&amp;Milestones!$AB$81&amp;" "&amp;IF(AND(Milestones!$AB$81="FT",Milestones!$AA$81=FT_Y5,EDATE($D125,Milestones!$AA$81)&lt;PolicyEff),1,Milestones!$AC$81)&amp;";  ","")&amp;IF(AND(EDATE($D125,Milestones!$AA$82)&lt;=AsOfDate,EDATE($D125,Milestones!$AA$82)&gt;=SchemeStart,IF($X125=0,$AD125,IF(AND($Z125&lt;&gt;"",EDATE($D125,Milestones!$AA$82)&gt;=$Z125),$AC125,IF(AND($Y125&lt;&gt;"",EDATE($D125,Milestones!$AA$82)&gt;=$Y125),$AB125,$AA125)))=Milestones!$AB$82),UPPER(TEXT(EDATE($D125,Milestones!$AA$82),"dd mmm yy"))&amp;" "&amp;Milestones!$AB$82&amp;" "&amp;IF(AND(Milestones!$AB$82="FT",Milestones!$AA$82=FT_Y5,EDATE($D125,Milestones!$AA$82)&lt;PolicyEff),1,Milestones!$AC$82)&amp;";  ","")&amp;IF(AND(EDATE($D125,Milestones!$AA$83)&lt;=AsOfDate,EDATE($D125,Milestones!$AA$83)&gt;=SchemeStart,IF($X125=0,$AD125,IF(AND($Z125&lt;&gt;"",EDATE($D125,Milestones!$AA$83)&gt;=$Z125),$AC125,IF(AND($Y125&lt;&gt;"",EDATE($D125,Milestones!$AA$83)&gt;=$Y125),$AB125,$AA125)))=Milestones!$AB$83),UPPER(TEXT(EDATE($D125,Milestones!$AA$83),"dd mmm yy"))&amp;" "&amp;Milestones!$AB$83&amp;" "&amp;IF(AND(Milestones!$AB$83="FT",Milestones!$AA$83=FT_Y5,EDATE($D125,Milestones!$AA$83)&lt;PolicyEff),1,Milestones!$AC$83)&amp;";  ","")&amp;IF(AND(EDATE($D125,Milestones!$AA$84)&lt;=AsOfDate,EDATE($D125,Milestones!$AA$84)&gt;=SchemeStart,IF($X125=0,$AD125,IF(AND($Z125&lt;&gt;"",EDATE($D125,Milestones!$AA$84)&gt;=$Z125),$AC125,IF(AND($Y125&lt;&gt;"",EDATE($D125,Milestones!$AA$84)&gt;=$Y125),$AB125,$AA125)))=Milestones!$AB$84),UPPER(TEXT(EDATE($D125,Milestones!$AA$84),"dd mmm yy"))&amp;" "&amp;Milestones!$AB$84&amp;" "&amp;IF(AND(Milestones!$AB$84="FT",Milestones!$AA$84=FT_Y5,EDATE($D125,Milestones!$AA$84)&lt;PolicyEff),1,Milestones!$AC$84)&amp;";  ","")&amp;IF(AND(EDATE($D125,Milestones!$AA$85)&lt;=AsOfDate,EDATE($D125,Milestones!$AA$85)&gt;=SchemeStart,IF($X125=0,$AD125,IF(AND($Z125&lt;&gt;"",EDATE($D125,Milestones!$AA$85)&gt;=$Z125),$AC125,IF(AND($Y125&lt;&gt;"",EDATE($D125,Milestones!$AA$85)&gt;=$Y125),$AB125,$AA125)))=Milestones!$AB$85),UPPER(TEXT(EDATE($D125,Milestones!$AA$85),"dd mmm yy"))&amp;" "&amp;Milestones!$AB$85&amp;" "&amp;IF(AND(Milestones!$AB$85="FT",Milestones!$AA$85=FT_Y5,EDATE($D125,Milestones!$AA$85)&lt;PolicyEff),1,Milestones!$AC$85)&amp;";  ","")&amp;IF(AND(EDATE($D125,Milestones!$AA$86)&lt;=AsOfDate,EDATE($D125,Milestones!$AA$86)&gt;=SchemeStart,IF($X125=0,$AD125,IF(AND($Z125&lt;&gt;"",EDATE($D125,Milestones!$AA$86)&gt;=$Z125),$AC125,IF(AND($Y125&lt;&gt;"",EDATE($D125,Milestones!$AA$86)&gt;=$Y125),$AB125,$AA125)))=Milestones!$AB$86),UPPER(TEXT(EDATE($D125,Milestones!$AA$86),"dd mmm yy"))&amp;" "&amp;Milestones!$AB$86&amp;" "&amp;IF(AND(Milestones!$AB$86="FT",Milestones!$AA$86=FT_Y5,EDATE($D125,Milestones!$AA$86)&lt;PolicyEff),1,Milestones!$AC$86)&amp;";  ","")&amp;IF(AND(EDATE($D125,Milestones!$AA$87)&lt;=AsOfDate,EDATE($D125,Milestones!$AA$87)&gt;=SchemeStart,IF($X125=0,$AD125,IF(AND($Z125&lt;&gt;"",EDATE($D125,Milestones!$AA$87)&gt;=$Z125),$AC125,IF(AND($Y125&lt;&gt;"",EDATE($D125,Milestones!$AA$87)&gt;=$Y125),$AB125,$AA125)))=Milestones!$AB$87),UPPER(TEXT(EDATE($D125,Milestones!$AA$87),"dd mmm yy"))&amp;" "&amp;Milestones!$AB$87&amp;" "&amp;IF(AND(Milestones!$AB$87="FT",Milestones!$AA$87=FT_Y5,EDATE($D125,Milestones!$AA$87)&lt;PolicyEff),1,Milestones!$AC$87)&amp;";  ","")&amp;IF(AND(EDATE($D125,Milestones!$AA$88)&lt;=AsOfDate,EDATE($D125,Milestones!$AA$88)&gt;=SchemeStart,IF($X125=0,$AD125,IF(AND($Z125&lt;&gt;"",EDATE($D125,Milestones!$AA$88)&gt;=$Z125),$AC125,IF(AND($Y125&lt;&gt;"",EDATE($D125,Milestones!$AA$88)&gt;=$Y125),$AB125,$AA125)))=Milestones!$AB$88),UPPER(TEXT(EDATE($D125,Milestones!$AA$88),"dd mmm yy"))&amp;" "&amp;Milestones!$AB$88&amp;" "&amp;IF(AND(Milestones!$AB$88="FT",Milestones!$AA$88=FT_Y5,EDATE($D125,Milestones!$AA$88)&lt;PolicyEff),1,Milestones!$AC$88)&amp;";  ","")&amp;IF(AND(EDATE($D125,Milestones!$AA$89)&lt;=AsOfDate,EDATE($D125,Milestones!$AA$89)&gt;=SchemeStart,IF($X125=0,$AD125,IF(AND($Z125&lt;&gt;"",EDATE($D125,Milestones!$AA$89)&gt;=$Z125),$AC125,IF(AND($Y125&lt;&gt;"",EDATE($D125,Milestones!$AA$89)&gt;=$Y125),$AB125,$AA125)))=Milestones!$AB$89),UPPER(TEXT(EDATE($D125,Milestones!$AA$89),"dd mmm yy"))&amp;" "&amp;Milestones!$AB$89&amp;" "&amp;IF(AND(Milestones!$AB$89="FT",Milestones!$AA$89=FT_Y5,EDATE($D125,Milestones!$AA$89)&lt;PolicyEff),1,Milestones!$AC$89)&amp;";  ","")&amp;IF(AND(EDATE($D125,Milestones!$AA$90)&lt;=AsOfDate,EDATE($D125,Milestones!$AA$90)&gt;=SchemeStart,IF($X125=0,$AD125,IF(AND($Z125&lt;&gt;"",EDATE($D125,Milestones!$AA$90)&gt;=$Z125),$AC125,IF(AND($Y125&lt;&gt;"",EDATE($D125,Milestones!$AA$90)&gt;=$Y125),$AB125,$AA125)))=Milestones!$AB$90),UPPER(TEXT(EDATE($D125,Milestones!$AA$90),"dd mmm yy"))&amp;" "&amp;Milestones!$AB$90&amp;" "&amp;IF(AND(Milestones!$AB$90="FT",Milestones!$AA$90=FT_Y5,EDATE($D125,Milestones!$AA$90)&lt;PolicyEff),1,Milestones!$AC$90)&amp;";  ","")&amp;IF(AND(EDATE($D125,Milestones!$AA$91)&lt;=AsOfDate,EDATE($D125,Milestones!$AA$91)&gt;=SchemeStart,IF($X125=0,$AD125,IF(AND($Z125&lt;&gt;"",EDATE($D125,Milestones!$AA$91)&gt;=$Z125),$AC125,IF(AND($Y125&lt;&gt;"",EDATE($D125,Milestones!$AA$91)&gt;=$Y125),$AB125,$AA125)))=Milestones!$AB$91),UPPER(TEXT(EDATE($D125,Milestones!$AA$91),"dd mmm yy"))&amp;" "&amp;Milestones!$AB$91&amp;" "&amp;IF(AND(Milestones!$AB$91="FT",Milestones!$AA$91=FT_Y5,EDATE($D125,Milestones!$AA$91)&lt;PolicyEff),1,Milestones!$AC$91)&amp;";  ",""))</f>
        <v/>
      </c>
      <c r="O125" s="0" t="str">
        <f aca="false">IF(OR($A125="",$D125=""),"",IF(AND(EDATE($D125,Milestones!$AA$92)&lt;=AsOfDate,EDATE($D125,Milestones!$AA$92)&gt;=SchemeStart,IF($X125=0,$AD125,IF(AND($Z125&lt;&gt;"",EDATE($D125,Milestones!$AA$92)&gt;=$Z125),$AC125,IF(AND($Y125&lt;&gt;"",EDATE($D125,Milestones!$AA$92)&gt;=$Y125),$AB125,$AA125)))=Milestones!$AB$92),UPPER(TEXT(EDATE($D125,Milestones!$AA$92),"dd mmm yy"))&amp;" "&amp;Milestones!$AB$92&amp;" "&amp;IF(AND(Milestones!$AB$92="FT",Milestones!$AA$92=FT_Y5,EDATE($D125,Milestones!$AA$92)&lt;PolicyEff),1,Milestones!$AC$92)&amp;";  ","")&amp;IF(AND(EDATE($D125,Milestones!$AA$93)&lt;=AsOfDate,EDATE($D125,Milestones!$AA$93)&gt;=SchemeStart,IF($X125=0,$AD125,IF(AND($Z125&lt;&gt;"",EDATE($D125,Milestones!$AA$93)&gt;=$Z125),$AC125,IF(AND($Y125&lt;&gt;"",EDATE($D125,Milestones!$AA$93)&gt;=$Y125),$AB125,$AA125)))=Milestones!$AB$93),UPPER(TEXT(EDATE($D125,Milestones!$AA$93),"dd mmm yy"))&amp;" "&amp;Milestones!$AB$93&amp;" "&amp;IF(AND(Milestones!$AB$93="FT",Milestones!$AA$93=FT_Y5,EDATE($D125,Milestones!$AA$93)&lt;PolicyEff),1,Milestones!$AC$93)&amp;";  ","")&amp;IF(AND(EDATE($D125,Milestones!$AA$94)&lt;=AsOfDate,EDATE($D125,Milestones!$AA$94)&gt;=SchemeStart,IF($X125=0,$AD125,IF(AND($Z125&lt;&gt;"",EDATE($D125,Milestones!$AA$94)&gt;=$Z125),$AC125,IF(AND($Y125&lt;&gt;"",EDATE($D125,Milestones!$AA$94)&gt;=$Y125),$AB125,$AA125)))=Milestones!$AB$94),UPPER(TEXT(EDATE($D125,Milestones!$AA$94),"dd mmm yy"))&amp;" "&amp;Milestones!$AB$94&amp;" "&amp;IF(AND(Milestones!$AB$94="FT",Milestones!$AA$94=FT_Y5,EDATE($D125,Milestones!$AA$94)&lt;PolicyEff),1,Milestones!$AC$94)&amp;";  ","")&amp;IF(AND(EDATE($D125,Milestones!$AA$95)&lt;=AsOfDate,EDATE($D125,Milestones!$AA$95)&gt;=SchemeStart,IF($X125=0,$AD125,IF(AND($Z125&lt;&gt;"",EDATE($D125,Milestones!$AA$95)&gt;=$Z125),$AC125,IF(AND($Y125&lt;&gt;"",EDATE($D125,Milestones!$AA$95)&gt;=$Y125),$AB125,$AA125)))=Milestones!$AB$95),UPPER(TEXT(EDATE($D125,Milestones!$AA$95),"dd mmm yy"))&amp;" "&amp;Milestones!$AB$95&amp;" "&amp;IF(AND(Milestones!$AB$95="FT",Milestones!$AA$95=FT_Y5,EDATE($D125,Milestones!$AA$95)&lt;PolicyEff),1,Milestones!$AC$95)&amp;";  ","")&amp;IF(AND(EDATE($D125,Milestones!$AA$96)&lt;=AsOfDate,EDATE($D125,Milestones!$AA$96)&gt;=SchemeStart,IF($X125=0,$AD125,IF(AND($Z125&lt;&gt;"",EDATE($D125,Milestones!$AA$96)&gt;=$Z125),$AC125,IF(AND($Y125&lt;&gt;"",EDATE($D125,Milestones!$AA$96)&gt;=$Y125),$AB125,$AA125)))=Milestones!$AB$96),UPPER(TEXT(EDATE($D125,Milestones!$AA$96),"dd mmm yy"))&amp;" "&amp;Milestones!$AB$96&amp;" "&amp;IF(AND(Milestones!$AB$96="FT",Milestones!$AA$96=FT_Y5,EDATE($D125,Milestones!$AA$96)&lt;PolicyEff),1,Milestones!$AC$96)&amp;";  ","")&amp;IF(AND(EDATE($D125,Milestones!$AA$97)&lt;=AsOfDate,EDATE($D125,Milestones!$AA$97)&gt;=SchemeStart,IF($X125=0,$AD125,IF(AND($Z125&lt;&gt;"",EDATE($D125,Milestones!$AA$97)&gt;=$Z125),$AC125,IF(AND($Y125&lt;&gt;"",EDATE($D125,Milestones!$AA$97)&gt;=$Y125),$AB125,$AA125)))=Milestones!$AB$97),UPPER(TEXT(EDATE($D125,Milestones!$AA$97),"dd mmm yy"))&amp;" "&amp;Milestones!$AB$97&amp;" "&amp;IF(AND(Milestones!$AB$97="FT",Milestones!$AA$97=FT_Y5,EDATE($D125,Milestones!$AA$97)&lt;PolicyEff),1,Milestones!$AC$97)&amp;";  ","")&amp;IF(AND(EDATE($D125,Milestones!$AA$98)&lt;=AsOfDate,EDATE($D125,Milestones!$AA$98)&gt;=SchemeStart,IF($X125=0,$AD125,IF(AND($Z125&lt;&gt;"",EDATE($D125,Milestones!$AA$98)&gt;=$Z125),$AC125,IF(AND($Y125&lt;&gt;"",EDATE($D125,Milestones!$AA$98)&gt;=$Y125),$AB125,$AA125)))=Milestones!$AB$98),UPPER(TEXT(EDATE($D125,Milestones!$AA$98),"dd mmm yy"))&amp;" "&amp;Milestones!$AB$98&amp;" "&amp;IF(AND(Milestones!$AB$98="FT",Milestones!$AA$98=FT_Y5,EDATE($D125,Milestones!$AA$98)&lt;PolicyEff),1,Milestones!$AC$98)&amp;";  ","")&amp;IF(AND(EDATE($D125,Milestones!$AA$99)&lt;=AsOfDate,EDATE($D125,Milestones!$AA$99)&gt;=SchemeStart,IF($X125=0,$AD125,IF(AND($Z125&lt;&gt;"",EDATE($D125,Milestones!$AA$99)&gt;=$Z125),$AC125,IF(AND($Y125&lt;&gt;"",EDATE($D125,Milestones!$AA$99)&gt;=$Y125),$AB125,$AA125)))=Milestones!$AB$99),UPPER(TEXT(EDATE($D125,Milestones!$AA$99),"dd mmm yy"))&amp;" "&amp;Milestones!$AB$99&amp;" "&amp;IF(AND(Milestones!$AB$99="FT",Milestones!$AA$99=FT_Y5,EDATE($D125,Milestones!$AA$99)&lt;PolicyEff),1,Milestones!$AC$99)&amp;";  ","")&amp;IF(AND(EDATE($D125,Milestones!$AA$100)&lt;=AsOfDate,EDATE($D125,Milestones!$AA$100)&gt;=SchemeStart,IF($X125=0,$AD125,IF(AND($Z125&lt;&gt;"",EDATE($D125,Milestones!$AA$100)&gt;=$Z125),$AC125,IF(AND($Y125&lt;&gt;"",EDATE($D125,Milestones!$AA$100)&gt;=$Y125),$AB125,$AA125)))=Milestones!$AB$100),UPPER(TEXT(EDATE($D125,Milestones!$AA$100),"dd mmm yy"))&amp;" "&amp;Milestones!$AB$100&amp;" "&amp;IF(AND(Milestones!$AB$100="FT",Milestones!$AA$100=FT_Y5,EDATE($D125,Milestones!$AA$100)&lt;PolicyEff),1,Milestones!$AC$100)&amp;";  ","")&amp;IF(AND(EDATE($D125,Milestones!$AA$101)&lt;=AsOfDate,EDATE($D125,Milestones!$AA$101)&gt;=SchemeStart,IF($X125=0,$AD125,IF(AND($Z125&lt;&gt;"",EDATE($D125,Milestones!$AA$101)&gt;=$Z125),$AC125,IF(AND($Y125&lt;&gt;"",EDATE($D125,Milestones!$AA$101)&gt;=$Y125),$AB125,$AA125)))=Milestones!$AB$101),UPPER(TEXT(EDATE($D125,Milestones!$AA$101),"dd mmm yy"))&amp;" "&amp;Milestones!$AB$101&amp;" "&amp;IF(AND(Milestones!$AB$101="FT",Milestones!$AA$101=FT_Y5,EDATE($D125,Milestones!$AA$101)&lt;PolicyEff),1,Milestones!$AC$101)&amp;";  ","")&amp;IF(AND(EDATE($D125,Milestones!$AA$102)&lt;=AsOfDate,EDATE($D125,Milestones!$AA$102)&gt;=SchemeStart,IF($X125=0,$AD125,IF(AND($Z125&lt;&gt;"",EDATE($D125,Milestones!$AA$102)&gt;=$Z125),$AC125,IF(AND($Y125&lt;&gt;"",EDATE($D125,Milestones!$AA$102)&gt;=$Y125),$AB125,$AA125)))=Milestones!$AB$102),UPPER(TEXT(EDATE($D125,Milestones!$AA$102),"dd mmm yy"))&amp;" "&amp;Milestones!$AB$102&amp;" "&amp;IF(AND(Milestones!$AB$102="FT",Milestones!$AA$102=FT_Y5,EDATE($D125,Milestones!$AA$102)&lt;PolicyEff),1,Milestones!$AC$102)&amp;";  ","")&amp;IF(AND(EDATE($D125,Milestones!$AA$103)&lt;=AsOfDate,EDATE($D125,Milestones!$AA$103)&gt;=SchemeStart,IF($X125=0,$AD125,IF(AND($Z125&lt;&gt;"",EDATE($D125,Milestones!$AA$103)&gt;=$Z125),$AC125,IF(AND($Y125&lt;&gt;"",EDATE($D125,Milestones!$AA$103)&gt;=$Y125),$AB125,$AA125)))=Milestones!$AB$103),UPPER(TEXT(EDATE($D125,Milestones!$AA$103),"dd mmm yy"))&amp;" "&amp;Milestones!$AB$103&amp;" "&amp;IF(AND(Milestones!$AB$103="FT",Milestones!$AA$103=FT_Y5,EDATE($D125,Milestones!$AA$103)&lt;PolicyEff),1,Milestones!$AC$103)&amp;";  ",""))</f>
        <v/>
      </c>
      <c r="P125" s="0" t="str">
        <f aca="false">IF(OR($A125="",$D125=""),"",IF(AND(EDATE($D125,Milestones!$AA$104)&lt;=AsOfDate,EDATE($D125,Milestones!$AA$104)&gt;=SchemeStart,IF($X125=0,$AD125,IF(AND($Z125&lt;&gt;"",EDATE($D125,Milestones!$AA$104)&gt;=$Z125),$AC125,IF(AND($Y125&lt;&gt;"",EDATE($D125,Milestones!$AA$104)&gt;=$Y125),$AB125,$AA125)))=Milestones!$AB$104),UPPER(TEXT(EDATE($D125,Milestones!$AA$104),"dd mmm yy"))&amp;" "&amp;Milestones!$AB$104&amp;" "&amp;IF(AND(Milestones!$AB$104="FT",Milestones!$AA$104=FT_Y5,EDATE($D125,Milestones!$AA$104)&lt;PolicyEff),1,Milestones!$AC$104)&amp;";  ","")&amp;IF(AND(EDATE($D125,Milestones!$AA$105)&lt;=AsOfDate,EDATE($D125,Milestones!$AA$105)&gt;=SchemeStart,IF($X125=0,$AD125,IF(AND($Z125&lt;&gt;"",EDATE($D125,Milestones!$AA$105)&gt;=$Z125),$AC125,IF(AND($Y125&lt;&gt;"",EDATE($D125,Milestones!$AA$105)&gt;=$Y125),$AB125,$AA125)))=Milestones!$AB$105),UPPER(TEXT(EDATE($D125,Milestones!$AA$105),"dd mmm yy"))&amp;" "&amp;Milestones!$AB$105&amp;" "&amp;IF(AND(Milestones!$AB$105="FT",Milestones!$AA$105=FT_Y5,EDATE($D125,Milestones!$AA$105)&lt;PolicyEff),1,Milestones!$AC$105)&amp;";  ","")&amp;IF(AND(EDATE($D125,Milestones!$AA$106)&lt;=AsOfDate,EDATE($D125,Milestones!$AA$106)&gt;=SchemeStart,IF($X125=0,$AD125,IF(AND($Z125&lt;&gt;"",EDATE($D125,Milestones!$AA$106)&gt;=$Z125),$AC125,IF(AND($Y125&lt;&gt;"",EDATE($D125,Milestones!$AA$106)&gt;=$Y125),$AB125,$AA125)))=Milestones!$AB$106),UPPER(TEXT(EDATE($D125,Milestones!$AA$106),"dd mmm yy"))&amp;" "&amp;Milestones!$AB$106&amp;" "&amp;IF(AND(Milestones!$AB$106="FT",Milestones!$AA$106=FT_Y5,EDATE($D125,Milestones!$AA$106)&lt;PolicyEff),1,Milestones!$AC$106)&amp;";  ","")&amp;IF(AND(EDATE($D125,Milestones!$AA$107)&lt;=AsOfDate,EDATE($D125,Milestones!$AA$107)&gt;=SchemeStart,IF($X125=0,$AD125,IF(AND($Z125&lt;&gt;"",EDATE($D125,Milestones!$AA$107)&gt;=$Z125),$AC125,IF(AND($Y125&lt;&gt;"",EDATE($D125,Milestones!$AA$107)&gt;=$Y125),$AB125,$AA125)))=Milestones!$AB$107),UPPER(TEXT(EDATE($D125,Milestones!$AA$107),"dd mmm yy"))&amp;" "&amp;Milestones!$AB$107&amp;" "&amp;IF(AND(Milestones!$AB$107="FT",Milestones!$AA$107=FT_Y5,EDATE($D125,Milestones!$AA$107)&lt;PolicyEff),1,Milestones!$AC$107)&amp;";  ","")&amp;IF(AND(EDATE($D125,Milestones!$AA$108)&lt;=AsOfDate,EDATE($D125,Milestones!$AA$108)&gt;=SchemeStart,IF($X125=0,$AD125,IF(AND($Z125&lt;&gt;"",EDATE($D125,Milestones!$AA$108)&gt;=$Z125),$AC125,IF(AND($Y125&lt;&gt;"",EDATE($D125,Milestones!$AA$108)&gt;=$Y125),$AB125,$AA125)))=Milestones!$AB$108),UPPER(TEXT(EDATE($D125,Milestones!$AA$108),"dd mmm yy"))&amp;" "&amp;Milestones!$AB$108&amp;" "&amp;IF(AND(Milestones!$AB$108="FT",Milestones!$AA$108=FT_Y5,EDATE($D125,Milestones!$AA$108)&lt;PolicyEff),1,Milestones!$AC$108)&amp;";  ","")&amp;IF(AND(EDATE($D125,Milestones!$AA$109)&lt;=AsOfDate,EDATE($D125,Milestones!$AA$109)&gt;=SchemeStart,IF($X125=0,$AD125,IF(AND($Z125&lt;&gt;"",EDATE($D125,Milestones!$AA$109)&gt;=$Z125),$AC125,IF(AND($Y125&lt;&gt;"",EDATE($D125,Milestones!$AA$109)&gt;=$Y125),$AB125,$AA125)))=Milestones!$AB$109),UPPER(TEXT(EDATE($D125,Milestones!$AA$109),"dd mmm yy"))&amp;" "&amp;Milestones!$AB$109&amp;" "&amp;IF(AND(Milestones!$AB$109="FT",Milestones!$AA$109=FT_Y5,EDATE($D125,Milestones!$AA$109)&lt;PolicyEff),1,Milestones!$AC$109)&amp;";  ","")&amp;IF(AND(EDATE($D125,Milestones!$AA$110)&lt;=AsOfDate,EDATE($D125,Milestones!$AA$110)&gt;=SchemeStart,IF($X125=0,$AD125,IF(AND($Z125&lt;&gt;"",EDATE($D125,Milestones!$AA$110)&gt;=$Z125),$AC125,IF(AND($Y125&lt;&gt;"",EDATE($D125,Milestones!$AA$110)&gt;=$Y125),$AB125,$AA125)))=Milestones!$AB$110),UPPER(TEXT(EDATE($D125,Milestones!$AA$110),"dd mmm yy"))&amp;" "&amp;Milestones!$AB$110&amp;" "&amp;IF(AND(Milestones!$AB$110="FT",Milestones!$AA$110=FT_Y5,EDATE($D125,Milestones!$AA$110)&lt;PolicyEff),1,Milestones!$AC$110)&amp;";  ","")&amp;IF(AND(EDATE($D125,Milestones!$AA$111)&lt;=AsOfDate,EDATE($D125,Milestones!$AA$111)&gt;=SchemeStart,IF($X125=0,$AD125,IF(AND($Z125&lt;&gt;"",EDATE($D125,Milestones!$AA$111)&gt;=$Z125),$AC125,IF(AND($Y125&lt;&gt;"",EDATE($D125,Milestones!$AA$111)&gt;=$Y125),$AB125,$AA125)))=Milestones!$AB$111),UPPER(TEXT(EDATE($D125,Milestones!$AA$111),"dd mmm yy"))&amp;" "&amp;Milestones!$AB$111&amp;" "&amp;IF(AND(Milestones!$AB$111="FT",Milestones!$AA$111=FT_Y5,EDATE($D125,Milestones!$AA$111)&lt;PolicyEff),1,Milestones!$AC$111)&amp;";  ","")&amp;IF(AND(EDATE($D125,Milestones!$AA$112)&lt;=AsOfDate,EDATE($D125,Milestones!$AA$112)&gt;=SchemeStart,IF($X125=0,$AD125,IF(AND($Z125&lt;&gt;"",EDATE($D125,Milestones!$AA$112)&gt;=$Z125),$AC125,IF(AND($Y125&lt;&gt;"",EDATE($D125,Milestones!$AA$112)&gt;=$Y125),$AB125,$AA125)))=Milestones!$AB$112),UPPER(TEXT(EDATE($D125,Milestones!$AA$112),"dd mmm yy"))&amp;" "&amp;Milestones!$AB$112&amp;" "&amp;IF(AND(Milestones!$AB$112="FT",Milestones!$AA$112=FT_Y5,EDATE($D125,Milestones!$AA$112)&lt;PolicyEff),1,Milestones!$AC$112)&amp;";  ","")&amp;IF(AND(EDATE($D125,Milestones!$AA$113)&lt;=AsOfDate,EDATE($D125,Milestones!$AA$113)&gt;=SchemeStart,IF($X125=0,$AD125,IF(AND($Z125&lt;&gt;"",EDATE($D125,Milestones!$AA$113)&gt;=$Z125),$AC125,IF(AND($Y125&lt;&gt;"",EDATE($D125,Milestones!$AA$113)&gt;=$Y125),$AB125,$AA125)))=Milestones!$AB$113),UPPER(TEXT(EDATE($D125,Milestones!$AA$113),"dd mmm yy"))&amp;" "&amp;Milestones!$AB$113&amp;" "&amp;IF(AND(Milestones!$AB$113="FT",Milestones!$AA$113=FT_Y5,EDATE($D125,Milestones!$AA$113)&lt;PolicyEff),1,Milestones!$AC$113)&amp;";  ","")&amp;IF(AND(EDATE($D125,Milestones!$AA$114)&lt;=AsOfDate,EDATE($D125,Milestones!$AA$114)&gt;=SchemeStart,IF($X125=0,$AD125,IF(AND($Z125&lt;&gt;"",EDATE($D125,Milestones!$AA$114)&gt;=$Z125),$AC125,IF(AND($Y125&lt;&gt;"",EDATE($D125,Milestones!$AA$114)&gt;=$Y125),$AB125,$AA125)))=Milestones!$AB$114),UPPER(TEXT(EDATE($D125,Milestones!$AA$114),"dd mmm yy"))&amp;" "&amp;Milestones!$AB$114&amp;" "&amp;IF(AND(Milestones!$AB$114="FT",Milestones!$AA$114=FT_Y5,EDATE($D125,Milestones!$AA$114)&lt;PolicyEff),1,Milestones!$AC$114)&amp;";  ","")&amp;IF(AND(EDATE($D125,Milestones!$AA$115)&lt;=AsOfDate,EDATE($D125,Milestones!$AA$115)&gt;=SchemeStart,IF($X125=0,$AD125,IF(AND($Z125&lt;&gt;"",EDATE($D125,Milestones!$AA$115)&gt;=$Z125),$AC125,IF(AND($Y125&lt;&gt;"",EDATE($D125,Milestones!$AA$115)&gt;=$Y125),$AB125,$AA125)))=Milestones!$AB$115),UPPER(TEXT(EDATE($D125,Milestones!$AA$115),"dd mmm yy"))&amp;" "&amp;Milestones!$AB$115&amp;" "&amp;IF(AND(Milestones!$AB$115="FT",Milestones!$AA$115=FT_Y5,EDATE($D125,Milestones!$AA$115)&lt;PolicyEff),1,Milestones!$AC$115)&amp;";  ",""))</f>
        <v/>
      </c>
      <c r="Q125" s="0" t="str">
        <f aca="false">IF(OR($A125="",$D125=""),"",IF(AND(EDATE($D125,Milestones!$AA$116)&lt;=AsOfDate,EDATE($D125,Milestones!$AA$116)&gt;=SchemeStart,IF($X125=0,$AD125,IF(AND($Z125&lt;&gt;"",EDATE($D125,Milestones!$AA$116)&gt;=$Z125),$AC125,IF(AND($Y125&lt;&gt;"",EDATE($D125,Milestones!$AA$116)&gt;=$Y125),$AB125,$AA125)))=Milestones!$AB$116),UPPER(TEXT(EDATE($D125,Milestones!$AA$116),"dd mmm yy"))&amp;" "&amp;Milestones!$AB$116&amp;" "&amp;IF(AND(Milestones!$AB$116="FT",Milestones!$AA$116=FT_Y5,EDATE($D125,Milestones!$AA$116)&lt;PolicyEff),1,Milestones!$AC$116)&amp;";  ","")&amp;IF(AND(EDATE($D125,Milestones!$AA$117)&lt;=AsOfDate,EDATE($D125,Milestones!$AA$117)&gt;=SchemeStart,IF($X125=0,$AD125,IF(AND($Z125&lt;&gt;"",EDATE($D125,Milestones!$AA$117)&gt;=$Z125),$AC125,IF(AND($Y125&lt;&gt;"",EDATE($D125,Milestones!$AA$117)&gt;=$Y125),$AB125,$AA125)))=Milestones!$AB$117),UPPER(TEXT(EDATE($D125,Milestones!$AA$117),"dd mmm yy"))&amp;" "&amp;Milestones!$AB$117&amp;" "&amp;IF(AND(Milestones!$AB$117="FT",Milestones!$AA$117=FT_Y5,EDATE($D125,Milestones!$AA$117)&lt;PolicyEff),1,Milestones!$AC$117)&amp;";  ","")&amp;IF(AND(EDATE($D125,Milestones!$AA$118)&lt;=AsOfDate,EDATE($D125,Milestones!$AA$118)&gt;=SchemeStart,IF($X125=0,$AD125,IF(AND($Z125&lt;&gt;"",EDATE($D125,Milestones!$AA$118)&gt;=$Z125),$AC125,IF(AND($Y125&lt;&gt;"",EDATE($D125,Milestones!$AA$118)&gt;=$Y125),$AB125,$AA125)))=Milestones!$AB$118),UPPER(TEXT(EDATE($D125,Milestones!$AA$118),"dd mmm yy"))&amp;" "&amp;Milestones!$AB$118&amp;" "&amp;IF(AND(Milestones!$AB$118="FT",Milestones!$AA$118=FT_Y5,EDATE($D125,Milestones!$AA$118)&lt;PolicyEff),1,Milestones!$AC$118)&amp;";  ","")&amp;IF(AND(EDATE($D125,Milestones!$AA$119)&lt;=AsOfDate,EDATE($D125,Milestones!$AA$119)&gt;=SchemeStart,IF($X125=0,$AD125,IF(AND($Z125&lt;&gt;"",EDATE($D125,Milestones!$AA$119)&gt;=$Z125),$AC125,IF(AND($Y125&lt;&gt;"",EDATE($D125,Milestones!$AA$119)&gt;=$Y125),$AB125,$AA125)))=Milestones!$AB$119),UPPER(TEXT(EDATE($D125,Milestones!$AA$119),"dd mmm yy"))&amp;" "&amp;Milestones!$AB$119&amp;" "&amp;IF(AND(Milestones!$AB$119="FT",Milestones!$AA$119=FT_Y5,EDATE($D125,Milestones!$AA$119)&lt;PolicyEff),1,Milestones!$AC$119)&amp;";  ","")&amp;IF(AND(EDATE($D125,Milestones!$AA$120)&lt;=AsOfDate,EDATE($D125,Milestones!$AA$120)&gt;=SchemeStart,IF($X125=0,$AD125,IF(AND($Z125&lt;&gt;"",EDATE($D125,Milestones!$AA$120)&gt;=$Z125),$AC125,IF(AND($Y125&lt;&gt;"",EDATE($D125,Milestones!$AA$120)&gt;=$Y125),$AB125,$AA125)))=Milestones!$AB$120),UPPER(TEXT(EDATE($D125,Milestones!$AA$120),"dd mmm yy"))&amp;" "&amp;Milestones!$AB$120&amp;" "&amp;IF(AND(Milestones!$AB$120="FT",Milestones!$AA$120=FT_Y5,EDATE($D125,Milestones!$AA$120)&lt;PolicyEff),1,Milestones!$AC$120)&amp;";  ","")&amp;IF(AND(EDATE($D125,Milestones!$AA$121)&lt;=AsOfDate,EDATE($D125,Milestones!$AA$121)&gt;=SchemeStart,IF($X125=0,$AD125,IF(AND($Z125&lt;&gt;"",EDATE($D125,Milestones!$AA$121)&gt;=$Z125),$AC125,IF(AND($Y125&lt;&gt;"",EDATE($D125,Milestones!$AA$121)&gt;=$Y125),$AB125,$AA125)))=Milestones!$AB$121),UPPER(TEXT(EDATE($D125,Milestones!$AA$121),"dd mmm yy"))&amp;" "&amp;Milestones!$AB$121&amp;" "&amp;IF(AND(Milestones!$AB$121="FT",Milestones!$AA$121=FT_Y5,EDATE($D125,Milestones!$AA$121)&lt;PolicyEff),1,Milestones!$AC$121)&amp;";  ","")&amp;IF(AND(EDATE($D125,Milestones!$AA$122)&lt;=AsOfDate,EDATE($D125,Milestones!$AA$122)&gt;=SchemeStart,IF($X125=0,$AD125,IF(AND($Z125&lt;&gt;"",EDATE($D125,Milestones!$AA$122)&gt;=$Z125),$AC125,IF(AND($Y125&lt;&gt;"",EDATE($D125,Milestones!$AA$122)&gt;=$Y125),$AB125,$AA125)))=Milestones!$AB$122),UPPER(TEXT(EDATE($D125,Milestones!$AA$122),"dd mmm yy"))&amp;" "&amp;Milestones!$AB$122&amp;" "&amp;IF(AND(Milestones!$AB$122="FT",Milestones!$AA$122=FT_Y5,EDATE($D125,Milestones!$AA$122)&lt;PolicyEff),1,Milestones!$AC$122)&amp;";  ","")&amp;IF(AND(EDATE($D125,Milestones!$AA$123)&lt;=AsOfDate,EDATE($D125,Milestones!$AA$123)&gt;=SchemeStart,IF($X125=0,$AD125,IF(AND($Z125&lt;&gt;"",EDATE($D125,Milestones!$AA$123)&gt;=$Z125),$AC125,IF(AND($Y125&lt;&gt;"",EDATE($D125,Milestones!$AA$123)&gt;=$Y125),$AB125,$AA125)))=Milestones!$AB$123),UPPER(TEXT(EDATE($D125,Milestones!$AA$123),"dd mmm yy"))&amp;" "&amp;Milestones!$AB$123&amp;" "&amp;IF(AND(Milestones!$AB$123="FT",Milestones!$AA$123=FT_Y5,EDATE($D125,Milestones!$AA$123)&lt;PolicyEff),1,Milestones!$AC$123)&amp;";  ","")&amp;IF(AND(EDATE($D125,Milestones!$AA$124)&lt;=AsOfDate,EDATE($D125,Milestones!$AA$124)&gt;=SchemeStart,IF($X125=0,$AD125,IF(AND($Z125&lt;&gt;"",EDATE($D125,Milestones!$AA$124)&gt;=$Z125),$AC125,IF(AND($Y125&lt;&gt;"",EDATE($D125,Milestones!$AA$124)&gt;=$Y125),$AB125,$AA125)))=Milestones!$AB$124),UPPER(TEXT(EDATE($D125,Milestones!$AA$124),"dd mmm yy"))&amp;" "&amp;Milestones!$AB$124&amp;" "&amp;IF(AND(Milestones!$AB$124="FT",Milestones!$AA$124=FT_Y5,EDATE($D125,Milestones!$AA$124)&lt;PolicyEff),1,Milestones!$AC$124)&amp;";  ","")&amp;IF(AND(EDATE($D125,Milestones!$AA$125)&lt;=AsOfDate,EDATE($D125,Milestones!$AA$125)&gt;=SchemeStart,IF($X125=0,$AD125,IF(AND($Z125&lt;&gt;"",EDATE($D125,Milestones!$AA$125)&gt;=$Z125),$AC125,IF(AND($Y125&lt;&gt;"",EDATE($D125,Milestones!$AA$125)&gt;=$Y125),$AB125,$AA125)))=Milestones!$AB$125),UPPER(TEXT(EDATE($D125,Milestones!$AA$125),"dd mmm yy"))&amp;" "&amp;Milestones!$AB$125&amp;" "&amp;IF(AND(Milestones!$AB$125="FT",Milestones!$AA$125=FT_Y5,EDATE($D125,Milestones!$AA$125)&lt;PolicyEff),1,Milestones!$AC$125)&amp;";  ","")&amp;IF(AND(EDATE($D125,Milestones!$AA$126)&lt;=AsOfDate,EDATE($D125,Milestones!$AA$126)&gt;=SchemeStart,IF($X125=0,$AD125,IF(AND($Z125&lt;&gt;"",EDATE($D125,Milestones!$AA$126)&gt;=$Z125),$AC125,IF(AND($Y125&lt;&gt;"",EDATE($D125,Milestones!$AA$126)&gt;=$Y125),$AB125,$AA125)))=Milestones!$AB$126),UPPER(TEXT(EDATE($D125,Milestones!$AA$126),"dd mmm yy"))&amp;" "&amp;Milestones!$AB$126&amp;" "&amp;IF(AND(Milestones!$AB$126="FT",Milestones!$AA$126=FT_Y5,EDATE($D125,Milestones!$AA$126)&lt;PolicyEff),1,Milestones!$AC$126)&amp;";  ","")&amp;IF(AND(EDATE($D125,Milestones!$AA$127)&lt;=AsOfDate,EDATE($D125,Milestones!$AA$127)&gt;=SchemeStart,IF($X125=0,$AD125,IF(AND($Z125&lt;&gt;"",EDATE($D125,Milestones!$AA$127)&gt;=$Z125),$AC125,IF(AND($Y125&lt;&gt;"",EDATE($D125,Milestones!$AA$127)&gt;=$Y125),$AB125,$AA125)))=Milestones!$AB$127),UPPER(TEXT(EDATE($D125,Milestones!$AA$127),"dd mmm yy"))&amp;" "&amp;Milestones!$AB$127&amp;" "&amp;IF(AND(Milestones!$AB$127="FT",Milestones!$AA$127=FT_Y5,EDATE($D125,Milestones!$AA$127)&lt;PolicyEff),1,Milestones!$AC$127)&amp;";  ",""))</f>
        <v/>
      </c>
      <c r="R125" s="0" t="str">
        <f aca="false">IF(OR($A125="",$D125=""),"",IF(AND(EDATE($D125,Milestones!$AA$128)&lt;=AsOfDate,EDATE($D125,Milestones!$AA$128)&gt;=SchemeStart,IF($X125=0,$AD125,IF(AND($Z125&lt;&gt;"",EDATE($D125,Milestones!$AA$128)&gt;=$Z125),$AC125,IF(AND($Y125&lt;&gt;"",EDATE($D125,Milestones!$AA$128)&gt;=$Y125),$AB125,$AA125)))=Milestones!$AB$128),UPPER(TEXT(EDATE($D125,Milestones!$AA$128),"dd mmm yy"))&amp;" "&amp;Milestones!$AB$128&amp;" "&amp;IF(AND(Milestones!$AB$128="FT",Milestones!$AA$128=FT_Y5,EDATE($D125,Milestones!$AA$128)&lt;PolicyEff),1,Milestones!$AC$128)&amp;";  ","")&amp;IF(AND(EDATE($D125,Milestones!$AA$129)&lt;=AsOfDate,EDATE($D125,Milestones!$AA$129)&gt;=SchemeStart,IF($X125=0,$AD125,IF(AND($Z125&lt;&gt;"",EDATE($D125,Milestones!$AA$129)&gt;=$Z125),$AC125,IF(AND($Y125&lt;&gt;"",EDATE($D125,Milestones!$AA$129)&gt;=$Y125),$AB125,$AA125)))=Milestones!$AB$129),UPPER(TEXT(EDATE($D125,Milestones!$AA$129),"dd mmm yy"))&amp;" "&amp;Milestones!$AB$129&amp;" "&amp;IF(AND(Milestones!$AB$129="FT",Milestones!$AA$129=FT_Y5,EDATE($D125,Milestones!$AA$129)&lt;PolicyEff),1,Milestones!$AC$129)&amp;";  ","")&amp;IF(AND(EDATE($D125,Milestones!$AA$130)&lt;=AsOfDate,EDATE($D125,Milestones!$AA$130)&gt;=SchemeStart,IF($X125=0,$AD125,IF(AND($Z125&lt;&gt;"",EDATE($D125,Milestones!$AA$130)&gt;=$Z125),$AC125,IF(AND($Y125&lt;&gt;"",EDATE($D125,Milestones!$AA$130)&gt;=$Y125),$AB125,$AA125)))=Milestones!$AB$130),UPPER(TEXT(EDATE($D125,Milestones!$AA$130),"dd mmm yy"))&amp;" "&amp;Milestones!$AB$130&amp;" "&amp;IF(AND(Milestones!$AB$130="FT",Milestones!$AA$130=FT_Y5,EDATE($D125,Milestones!$AA$130)&lt;PolicyEff),1,Milestones!$AC$130)&amp;";  ","")&amp;IF(AND(EDATE($D125,Milestones!$AA$131)&lt;=AsOfDate,EDATE($D125,Milestones!$AA$131)&gt;=SchemeStart,IF($X125=0,$AD125,IF(AND($Z125&lt;&gt;"",EDATE($D125,Milestones!$AA$131)&gt;=$Z125),$AC125,IF(AND($Y125&lt;&gt;"",EDATE($D125,Milestones!$AA$131)&gt;=$Y125),$AB125,$AA125)))=Milestones!$AB$131),UPPER(TEXT(EDATE($D125,Milestones!$AA$131),"dd mmm yy"))&amp;" "&amp;Milestones!$AB$131&amp;" "&amp;IF(AND(Milestones!$AB$131="FT",Milestones!$AA$131=FT_Y5,EDATE($D125,Milestones!$AA$131)&lt;PolicyEff),1,Milestones!$AC$131)&amp;";  ","")&amp;IF(AND(EDATE($D125,Milestones!$AA$132)&lt;=AsOfDate,EDATE($D125,Milestones!$AA$132)&gt;=SchemeStart,IF($X125=0,$AD125,IF(AND($Z125&lt;&gt;"",EDATE($D125,Milestones!$AA$132)&gt;=$Z125),$AC125,IF(AND($Y125&lt;&gt;"",EDATE($D125,Milestones!$AA$132)&gt;=$Y125),$AB125,$AA125)))=Milestones!$AB$132),UPPER(TEXT(EDATE($D125,Milestones!$AA$132),"dd mmm yy"))&amp;" "&amp;Milestones!$AB$132&amp;" "&amp;IF(AND(Milestones!$AB$132="FT",Milestones!$AA$132=FT_Y5,EDATE($D125,Milestones!$AA$132)&lt;PolicyEff),1,Milestones!$AC$132)&amp;";  ","")&amp;IF(AND(EDATE($D125,Milestones!$AA$133)&lt;=AsOfDate,EDATE($D125,Milestones!$AA$133)&gt;=SchemeStart,IF($X125=0,$AD125,IF(AND($Z125&lt;&gt;"",EDATE($D125,Milestones!$AA$133)&gt;=$Z125),$AC125,IF(AND($Y125&lt;&gt;"",EDATE($D125,Milestones!$AA$133)&gt;=$Y125),$AB125,$AA125)))=Milestones!$AB$133),UPPER(TEXT(EDATE($D125,Milestones!$AA$133),"dd mmm yy"))&amp;" "&amp;Milestones!$AB$133&amp;" "&amp;IF(AND(Milestones!$AB$133="FT",Milestones!$AA$133=FT_Y5,EDATE($D125,Milestones!$AA$133)&lt;PolicyEff),1,Milestones!$AC$133)&amp;";  ","")&amp;IF(AND(EDATE($D125,Milestones!$AA$134)&lt;=AsOfDate,EDATE($D125,Milestones!$AA$134)&gt;=SchemeStart,IF($X125=0,$AD125,IF(AND($Z125&lt;&gt;"",EDATE($D125,Milestones!$AA$134)&gt;=$Z125),$AC125,IF(AND($Y125&lt;&gt;"",EDATE($D125,Milestones!$AA$134)&gt;=$Y125),$AB125,$AA125)))=Milestones!$AB$134),UPPER(TEXT(EDATE($D125,Milestones!$AA$134),"dd mmm yy"))&amp;" "&amp;Milestones!$AB$134&amp;" "&amp;IF(AND(Milestones!$AB$134="FT",Milestones!$AA$134=FT_Y5,EDATE($D125,Milestones!$AA$134)&lt;PolicyEff),1,Milestones!$AC$134)&amp;";  ","")&amp;IF(AND(EDATE($D125,Milestones!$AA$135)&lt;=AsOfDate,EDATE($D125,Milestones!$AA$135)&gt;=SchemeStart,IF($X125=0,$AD125,IF(AND($Z125&lt;&gt;"",EDATE($D125,Milestones!$AA$135)&gt;=$Z125),$AC125,IF(AND($Y125&lt;&gt;"",EDATE($D125,Milestones!$AA$135)&gt;=$Y125),$AB125,$AA125)))=Milestones!$AB$135),UPPER(TEXT(EDATE($D125,Milestones!$AA$135),"dd mmm yy"))&amp;" "&amp;Milestones!$AB$135&amp;" "&amp;IF(AND(Milestones!$AB$135="FT",Milestones!$AA$135=FT_Y5,EDATE($D125,Milestones!$AA$135)&lt;PolicyEff),1,Milestones!$AC$135)&amp;";  ","")&amp;IF(AND(EDATE($D125,Milestones!$AA$136)&lt;=AsOfDate,EDATE($D125,Milestones!$AA$136)&gt;=SchemeStart,IF($X125=0,$AD125,IF(AND($Z125&lt;&gt;"",EDATE($D125,Milestones!$AA$136)&gt;=$Z125),$AC125,IF(AND($Y125&lt;&gt;"",EDATE($D125,Milestones!$AA$136)&gt;=$Y125),$AB125,$AA125)))=Milestones!$AB$136),UPPER(TEXT(EDATE($D125,Milestones!$AA$136),"dd mmm yy"))&amp;" "&amp;Milestones!$AB$136&amp;" "&amp;IF(AND(Milestones!$AB$136="FT",Milestones!$AA$136=FT_Y5,EDATE($D125,Milestones!$AA$136)&lt;PolicyEff),1,Milestones!$AC$136)&amp;";  ","")&amp;IF(AND(EDATE($D125,Milestones!$AA$137)&lt;=AsOfDate,EDATE($D125,Milestones!$AA$137)&gt;=SchemeStart,IF($X125=0,$AD125,IF(AND($Z125&lt;&gt;"",EDATE($D125,Milestones!$AA$137)&gt;=$Z125),$AC125,IF(AND($Y125&lt;&gt;"",EDATE($D125,Milestones!$AA$137)&gt;=$Y125),$AB125,$AA125)))=Milestones!$AB$137),UPPER(TEXT(EDATE($D125,Milestones!$AA$137),"dd mmm yy"))&amp;" "&amp;Milestones!$AB$137&amp;" "&amp;IF(AND(Milestones!$AB$137="FT",Milestones!$AA$137=FT_Y5,EDATE($D125,Milestones!$AA$137)&lt;PolicyEff),1,Milestones!$AC$137)&amp;";  ","")&amp;IF(AND(EDATE($D125,Milestones!$AA$138)&lt;=AsOfDate,EDATE($D125,Milestones!$AA$138)&gt;=SchemeStart,IF($X125=0,$AD125,IF(AND($Z125&lt;&gt;"",EDATE($D125,Milestones!$AA$138)&gt;=$Z125),$AC125,IF(AND($Y125&lt;&gt;"",EDATE($D125,Milestones!$AA$138)&gt;=$Y125),$AB125,$AA125)))=Milestones!$AB$138),UPPER(TEXT(EDATE($D125,Milestones!$AA$138),"dd mmm yy"))&amp;" "&amp;Milestones!$AB$138&amp;" "&amp;IF(AND(Milestones!$AB$138="FT",Milestones!$AA$138=FT_Y5,EDATE($D125,Milestones!$AA$138)&lt;PolicyEff),1,Milestones!$AC$138)&amp;";  ","")&amp;IF(AND(EDATE($D125,Milestones!$AA$139)&lt;=AsOfDate,EDATE($D125,Milestones!$AA$139)&gt;=SchemeStart,IF($X125=0,$AD125,IF(AND($Z125&lt;&gt;"",EDATE($D125,Milestones!$AA$139)&gt;=$Z125),$AC125,IF(AND($Y125&lt;&gt;"",EDATE($D125,Milestones!$AA$139)&gt;=$Y125),$AB125,$AA125)))=Milestones!$AB$139),UPPER(TEXT(EDATE($D125,Milestones!$AA$139),"dd mmm yy"))&amp;" "&amp;Milestones!$AB$139&amp;" "&amp;IF(AND(Milestones!$AB$139="FT",Milestones!$AA$139=FT_Y5,EDATE($D125,Milestones!$AA$139)&lt;PolicyEff),1,Milestones!$AC$139)&amp;";  ",""))</f>
        <v/>
      </c>
      <c r="S125" s="0" t="str">
        <f aca="false">IF(OR($A125="",$D125=""),"",IF(AND(EDATE($D125,Milestones!$AA$140)&lt;=AsOfDate,EDATE($D125,Milestones!$AA$140)&gt;=SchemeStart,IF($X125=0,$AD125,IF(AND($Z125&lt;&gt;"",EDATE($D125,Milestones!$AA$140)&gt;=$Z125),$AC125,IF(AND($Y125&lt;&gt;"",EDATE($D125,Milestones!$AA$140)&gt;=$Y125),$AB125,$AA125)))=Milestones!$AB$140),UPPER(TEXT(EDATE($D125,Milestones!$AA$140),"dd mmm yy"))&amp;" "&amp;Milestones!$AB$140&amp;" "&amp;IF(AND(Milestones!$AB$140="FT",Milestones!$AA$140=FT_Y5,EDATE($D125,Milestones!$AA$140)&lt;PolicyEff),1,Milestones!$AC$140)&amp;";  ","")&amp;IF(AND(EDATE($D125,Milestones!$AA$141)&lt;=AsOfDate,EDATE($D125,Milestones!$AA$141)&gt;=SchemeStart,IF($X125=0,$AD125,IF(AND($Z125&lt;&gt;"",EDATE($D125,Milestones!$AA$141)&gt;=$Z125),$AC125,IF(AND($Y125&lt;&gt;"",EDATE($D125,Milestones!$AA$141)&gt;=$Y125),$AB125,$AA125)))=Milestones!$AB$141),UPPER(TEXT(EDATE($D125,Milestones!$AA$141),"dd mmm yy"))&amp;" "&amp;Milestones!$AB$141&amp;" "&amp;IF(AND(Milestones!$AB$141="FT",Milestones!$AA$141=FT_Y5,EDATE($D125,Milestones!$AA$141)&lt;PolicyEff),1,Milestones!$AC$141)&amp;";  ","")&amp;IF(AND(EDATE($D125,Milestones!$AA$142)&lt;=AsOfDate,EDATE($D125,Milestones!$AA$142)&gt;=SchemeStart,IF($X125=0,$AD125,IF(AND($Z125&lt;&gt;"",EDATE($D125,Milestones!$AA$142)&gt;=$Z125),$AC125,IF(AND($Y125&lt;&gt;"",EDATE($D125,Milestones!$AA$142)&gt;=$Y125),$AB125,$AA125)))=Milestones!$AB$142),UPPER(TEXT(EDATE($D125,Milestones!$AA$142),"dd mmm yy"))&amp;" "&amp;Milestones!$AB$142&amp;" "&amp;IF(AND(Milestones!$AB$142="FT",Milestones!$AA$142=FT_Y5,EDATE($D125,Milestones!$AA$142)&lt;PolicyEff),1,Milestones!$AC$142)&amp;";  ","")&amp;IF(AND(EDATE($D125,Milestones!$AA$143)&lt;=AsOfDate,EDATE($D125,Milestones!$AA$143)&gt;=SchemeStart,IF($X125=0,$AD125,IF(AND($Z125&lt;&gt;"",EDATE($D125,Milestones!$AA$143)&gt;=$Z125),$AC125,IF(AND($Y125&lt;&gt;"",EDATE($D125,Milestones!$AA$143)&gt;=$Y125),$AB125,$AA125)))=Milestones!$AB$143),UPPER(TEXT(EDATE($D125,Milestones!$AA$143),"dd mmm yy"))&amp;" "&amp;Milestones!$AB$143&amp;" "&amp;IF(AND(Milestones!$AB$143="FT",Milestones!$AA$143=FT_Y5,EDATE($D125,Milestones!$AA$143)&lt;PolicyEff),1,Milestones!$AC$143)&amp;";  ","")&amp;IF(AND(EDATE($D125,Milestones!$AA$144)&lt;=AsOfDate,EDATE($D125,Milestones!$AA$144)&gt;=SchemeStart,IF($X125=0,$AD125,IF(AND($Z125&lt;&gt;"",EDATE($D125,Milestones!$AA$144)&gt;=$Z125),$AC125,IF(AND($Y125&lt;&gt;"",EDATE($D125,Milestones!$AA$144)&gt;=$Y125),$AB125,$AA125)))=Milestones!$AB$144),UPPER(TEXT(EDATE($D125,Milestones!$AA$144),"dd mmm yy"))&amp;" "&amp;Milestones!$AB$144&amp;" "&amp;IF(AND(Milestones!$AB$144="FT",Milestones!$AA$144=FT_Y5,EDATE($D125,Milestones!$AA$144)&lt;PolicyEff),1,Milestones!$AC$144)&amp;";  ","")&amp;IF(AND(EDATE($D125,Milestones!$AA$145)&lt;=AsOfDate,EDATE($D125,Milestones!$AA$145)&gt;=SchemeStart,IF($X125=0,$AD125,IF(AND($Z125&lt;&gt;"",EDATE($D125,Milestones!$AA$145)&gt;=$Z125),$AC125,IF(AND($Y125&lt;&gt;"",EDATE($D125,Milestones!$AA$145)&gt;=$Y125),$AB125,$AA125)))=Milestones!$AB$145),UPPER(TEXT(EDATE($D125,Milestones!$AA$145),"dd mmm yy"))&amp;" "&amp;Milestones!$AB$145&amp;" "&amp;IF(AND(Milestones!$AB$145="FT",Milestones!$AA$145=FT_Y5,EDATE($D125,Milestones!$AA$145)&lt;PolicyEff),1,Milestones!$AC$145)&amp;";  ","")&amp;IF(AND(EDATE($D125,Milestones!$AA$146)&lt;=AsOfDate,EDATE($D125,Milestones!$AA$146)&gt;=SchemeStart,IF($X125=0,$AD125,IF(AND($Z125&lt;&gt;"",EDATE($D125,Milestones!$AA$146)&gt;=$Z125),$AC125,IF(AND($Y125&lt;&gt;"",EDATE($D125,Milestones!$AA$146)&gt;=$Y125),$AB125,$AA125)))=Milestones!$AB$146),UPPER(TEXT(EDATE($D125,Milestones!$AA$146),"dd mmm yy"))&amp;" "&amp;Milestones!$AB$146&amp;" "&amp;IF(AND(Milestones!$AB$146="FT",Milestones!$AA$146=FT_Y5,EDATE($D125,Milestones!$AA$146)&lt;PolicyEff),1,Milestones!$AC$146)&amp;";  ","")&amp;IF(AND(EDATE($D125,Milestones!$AA$147)&lt;=AsOfDate,EDATE($D125,Milestones!$AA$147)&gt;=SchemeStart,IF($X125=0,$AD125,IF(AND($Z125&lt;&gt;"",EDATE($D125,Milestones!$AA$147)&gt;=$Z125),$AC125,IF(AND($Y125&lt;&gt;"",EDATE($D125,Milestones!$AA$147)&gt;=$Y125),$AB125,$AA125)))=Milestones!$AB$147),UPPER(TEXT(EDATE($D125,Milestones!$AA$147),"dd mmm yy"))&amp;" "&amp;Milestones!$AB$147&amp;" "&amp;IF(AND(Milestones!$AB$147="FT",Milestones!$AA$147=FT_Y5,EDATE($D125,Milestones!$AA$147)&lt;PolicyEff),1,Milestones!$AC$147)&amp;";  ","")&amp;IF(AND(EDATE($D125,Milestones!$AA$148)&lt;=AsOfDate,EDATE($D125,Milestones!$AA$148)&gt;=SchemeStart,IF($X125=0,$AD125,IF(AND($Z125&lt;&gt;"",EDATE($D125,Milestones!$AA$148)&gt;=$Z125),$AC125,IF(AND($Y125&lt;&gt;"",EDATE($D125,Milestones!$AA$148)&gt;=$Y125),$AB125,$AA125)))=Milestones!$AB$148),UPPER(TEXT(EDATE($D125,Milestones!$AA$148),"dd mmm yy"))&amp;" "&amp;Milestones!$AB$148&amp;" "&amp;IF(AND(Milestones!$AB$148="FT",Milestones!$AA$148=FT_Y5,EDATE($D125,Milestones!$AA$148)&lt;PolicyEff),1,Milestones!$AC$148)&amp;";  ","")&amp;IF(AND(EDATE($D125,Milestones!$AA$149)&lt;=AsOfDate,EDATE($D125,Milestones!$AA$149)&gt;=SchemeStart,IF($X125=0,$AD125,IF(AND($Z125&lt;&gt;"",EDATE($D125,Milestones!$AA$149)&gt;=$Z125),$AC125,IF(AND($Y125&lt;&gt;"",EDATE($D125,Milestones!$AA$149)&gt;=$Y125),$AB125,$AA125)))=Milestones!$AB$149),UPPER(TEXT(EDATE($D125,Milestones!$AA$149),"dd mmm yy"))&amp;" "&amp;Milestones!$AB$149&amp;" "&amp;IF(AND(Milestones!$AB$149="FT",Milestones!$AA$149=FT_Y5,EDATE($D125,Milestones!$AA$149)&lt;PolicyEff),1,Milestones!$AC$149)&amp;";  ","")&amp;IF(AND(EDATE($D125,Milestones!$AA$150)&lt;=AsOfDate,EDATE($D125,Milestones!$AA$150)&gt;=SchemeStart,IF($X125=0,$AD125,IF(AND($Z125&lt;&gt;"",EDATE($D125,Milestones!$AA$150)&gt;=$Z125),$AC125,IF(AND($Y125&lt;&gt;"",EDATE($D125,Milestones!$AA$150)&gt;=$Y125),$AB125,$AA125)))=Milestones!$AB$150),UPPER(TEXT(EDATE($D125,Milestones!$AA$150),"dd mmm yy"))&amp;" "&amp;Milestones!$AB$150&amp;" "&amp;IF(AND(Milestones!$AB$150="FT",Milestones!$AA$150=FT_Y5,EDATE($D125,Milestones!$AA$150)&lt;PolicyEff),1,Milestones!$AC$150)&amp;";  ","")&amp;IF(AND(EDATE($D125,Milestones!$AA$151)&lt;=AsOfDate,EDATE($D125,Milestones!$AA$151)&gt;=SchemeStart,IF($X125=0,$AD125,IF(AND($Z125&lt;&gt;"",EDATE($D125,Milestones!$AA$151)&gt;=$Z125),$AC125,IF(AND($Y125&lt;&gt;"",EDATE($D125,Milestones!$AA$151)&gt;=$Y125),$AB125,$AA125)))=Milestones!$AB$151),UPPER(TEXT(EDATE($D125,Milestones!$AA$151),"dd mmm yy"))&amp;" "&amp;Milestones!$AB$151&amp;" "&amp;IF(AND(Milestones!$AB$151="FT",Milestones!$AA$151=FT_Y5,EDATE($D125,Milestones!$AA$151)&lt;PolicyEff),1,Milestones!$AC$151)&amp;";  ",""))</f>
        <v/>
      </c>
      <c r="T125" s="0" t="str">
        <f aca="false">IF(OR($A125="",$D125=""),"",IF(AND(EDATE($D125,Milestones!$AA$152)&lt;=AsOfDate,EDATE($D125,Milestones!$AA$152)&gt;=SchemeStart,IF($X125=0,$AD125,IF(AND($Z125&lt;&gt;"",EDATE($D125,Milestones!$AA$152)&gt;=$Z125),$AC125,IF(AND($Y125&lt;&gt;"",EDATE($D125,Milestones!$AA$152)&gt;=$Y125),$AB125,$AA125)))=Milestones!$AB$152),UPPER(TEXT(EDATE($D125,Milestones!$AA$152),"dd mmm yy"))&amp;" "&amp;Milestones!$AB$152&amp;" "&amp;IF(AND(Milestones!$AB$152="FT",Milestones!$AA$152=FT_Y5,EDATE($D125,Milestones!$AA$152)&lt;PolicyEff),1,Milestones!$AC$152)&amp;";  ","")&amp;IF(AND(EDATE($D125,Milestones!$AA$153)&lt;=AsOfDate,EDATE($D125,Milestones!$AA$153)&gt;=SchemeStart,IF($X125=0,$AD125,IF(AND($Z125&lt;&gt;"",EDATE($D125,Milestones!$AA$153)&gt;=$Z125),$AC125,IF(AND($Y125&lt;&gt;"",EDATE($D125,Milestones!$AA$153)&gt;=$Y125),$AB125,$AA125)))=Milestones!$AB$153),UPPER(TEXT(EDATE($D125,Milestones!$AA$153),"dd mmm yy"))&amp;" "&amp;Milestones!$AB$153&amp;" "&amp;IF(AND(Milestones!$AB$153="FT",Milestones!$AA$153=FT_Y5,EDATE($D125,Milestones!$AA$153)&lt;PolicyEff),1,Milestones!$AC$153)&amp;";  ","")&amp;IF(AND(EDATE($D125,Milestones!$AA$154)&lt;=AsOfDate,EDATE($D125,Milestones!$AA$154)&gt;=SchemeStart,IF($X125=0,$AD125,IF(AND($Z125&lt;&gt;"",EDATE($D125,Milestones!$AA$154)&gt;=$Z125),$AC125,IF(AND($Y125&lt;&gt;"",EDATE($D125,Milestones!$AA$154)&gt;=$Y125),$AB125,$AA125)))=Milestones!$AB$154),UPPER(TEXT(EDATE($D125,Milestones!$AA$154),"dd mmm yy"))&amp;" "&amp;Milestones!$AB$154&amp;" "&amp;IF(AND(Milestones!$AB$154="FT",Milestones!$AA$154=FT_Y5,EDATE($D125,Milestones!$AA$154)&lt;PolicyEff),1,Milestones!$AC$154)&amp;";  ","")&amp;IF(AND(EDATE($D125,Milestones!$AA$155)&lt;=AsOfDate,EDATE($D125,Milestones!$AA$155)&gt;=SchemeStart,IF($X125=0,$AD125,IF(AND($Z125&lt;&gt;"",EDATE($D125,Milestones!$AA$155)&gt;=$Z125),$AC125,IF(AND($Y125&lt;&gt;"",EDATE($D125,Milestones!$AA$155)&gt;=$Y125),$AB125,$AA125)))=Milestones!$AB$155),UPPER(TEXT(EDATE($D125,Milestones!$AA$155),"dd mmm yy"))&amp;" "&amp;Milestones!$AB$155&amp;" "&amp;IF(AND(Milestones!$AB$155="FT",Milestones!$AA$155=FT_Y5,EDATE($D125,Milestones!$AA$155)&lt;PolicyEff),1,Milestones!$AC$155)&amp;";  ","")&amp;IF(AND(EDATE($D125,Milestones!$AA$156)&lt;=AsOfDate,EDATE($D125,Milestones!$AA$156)&gt;=SchemeStart,IF($X125=0,$AD125,IF(AND($Z125&lt;&gt;"",EDATE($D125,Milestones!$AA$156)&gt;=$Z125),$AC125,IF(AND($Y125&lt;&gt;"",EDATE($D125,Milestones!$AA$156)&gt;=$Y125),$AB125,$AA125)))=Milestones!$AB$156),UPPER(TEXT(EDATE($D125,Milestones!$AA$156),"dd mmm yy"))&amp;" "&amp;Milestones!$AB$156&amp;" "&amp;IF(AND(Milestones!$AB$156="FT",Milestones!$AA$156=FT_Y5,EDATE($D125,Milestones!$AA$156)&lt;PolicyEff),1,Milestones!$AC$156)&amp;";  ","")&amp;IF(AND(EDATE($D125,Milestones!$AA$157)&lt;=AsOfDate,EDATE($D125,Milestones!$AA$157)&gt;=SchemeStart,IF($X125=0,$AD125,IF(AND($Z125&lt;&gt;"",EDATE($D125,Milestones!$AA$157)&gt;=$Z125),$AC125,IF(AND($Y125&lt;&gt;"",EDATE($D125,Milestones!$AA$157)&gt;=$Y125),$AB125,$AA125)))=Milestones!$AB$157),UPPER(TEXT(EDATE($D125,Milestones!$AA$157),"dd mmm yy"))&amp;" "&amp;Milestones!$AB$157&amp;" "&amp;IF(AND(Milestones!$AB$157="FT",Milestones!$AA$157=FT_Y5,EDATE($D125,Milestones!$AA$157)&lt;PolicyEff),1,Milestones!$AC$157)&amp;";  ","")&amp;IF(AND(EDATE($D125,Milestones!$AA$158)&lt;=AsOfDate,EDATE($D125,Milestones!$AA$158)&gt;=SchemeStart,IF($X125=0,$AD125,IF(AND($Z125&lt;&gt;"",EDATE($D125,Milestones!$AA$158)&gt;=$Z125),$AC125,IF(AND($Y125&lt;&gt;"",EDATE($D125,Milestones!$AA$158)&gt;=$Y125),$AB125,$AA125)))=Milestones!$AB$158),UPPER(TEXT(EDATE($D125,Milestones!$AA$158),"dd mmm yy"))&amp;" "&amp;Milestones!$AB$158&amp;" "&amp;IF(AND(Milestones!$AB$158="FT",Milestones!$AA$158=FT_Y5,EDATE($D125,Milestones!$AA$158)&lt;PolicyEff),1,Milestones!$AC$158)&amp;";  ","")&amp;IF(AND(EDATE($D125,Milestones!$AA$159)&lt;=AsOfDate,EDATE($D125,Milestones!$AA$159)&gt;=SchemeStart,IF($X125=0,$AD125,IF(AND($Z125&lt;&gt;"",EDATE($D125,Milestones!$AA$159)&gt;=$Z125),$AC125,IF(AND($Y125&lt;&gt;"",EDATE($D125,Milestones!$AA$159)&gt;=$Y125),$AB125,$AA125)))=Milestones!$AB$159),UPPER(TEXT(EDATE($D125,Milestones!$AA$159),"dd mmm yy"))&amp;" "&amp;Milestones!$AB$159&amp;" "&amp;IF(AND(Milestones!$AB$159="FT",Milestones!$AA$159=FT_Y5,EDATE($D125,Milestones!$AA$159)&lt;PolicyEff),1,Milestones!$AC$159)&amp;";  ","")&amp;IF(AND(EDATE($D125,Milestones!$AA$160)&lt;=AsOfDate,EDATE($D125,Milestones!$AA$160)&gt;=SchemeStart,IF($X125=0,$AD125,IF(AND($Z125&lt;&gt;"",EDATE($D125,Milestones!$AA$160)&gt;=$Z125),$AC125,IF(AND($Y125&lt;&gt;"",EDATE($D125,Milestones!$AA$160)&gt;=$Y125),$AB125,$AA125)))=Milestones!$AB$160),UPPER(TEXT(EDATE($D125,Milestones!$AA$160),"dd mmm yy"))&amp;" "&amp;Milestones!$AB$160&amp;" "&amp;IF(AND(Milestones!$AB$160="FT",Milestones!$AA$160=FT_Y5,EDATE($D125,Milestones!$AA$160)&lt;PolicyEff),1,Milestones!$AC$160)&amp;";  ","")&amp;IF(AND(EDATE($D125,Milestones!$AA$161)&lt;=AsOfDate,EDATE($D125,Milestones!$AA$161)&gt;=SchemeStart,IF($X125=0,$AD125,IF(AND($Z125&lt;&gt;"",EDATE($D125,Milestones!$AA$161)&gt;=$Z125),$AC125,IF(AND($Y125&lt;&gt;"",EDATE($D125,Milestones!$AA$161)&gt;=$Y125),$AB125,$AA125)))=Milestones!$AB$161),UPPER(TEXT(EDATE($D125,Milestones!$AA$161),"dd mmm yy"))&amp;" "&amp;Milestones!$AB$161&amp;" "&amp;IF(AND(Milestones!$AB$161="FT",Milestones!$AA$161=FT_Y5,EDATE($D125,Milestones!$AA$161)&lt;PolicyEff),1,Milestones!$AC$161)&amp;";  ","")&amp;IF(AND(EDATE($D125,Milestones!$AA$162)&lt;=AsOfDate,EDATE($D125,Milestones!$AA$162)&gt;=SchemeStart,IF($X125=0,$AD125,IF(AND($Z125&lt;&gt;"",EDATE($D125,Milestones!$AA$162)&gt;=$Z125),$AC125,IF(AND($Y125&lt;&gt;"",EDATE($D125,Milestones!$AA$162)&gt;=$Y125),$AB125,$AA125)))=Milestones!$AB$162),UPPER(TEXT(EDATE($D125,Milestones!$AA$162),"dd mmm yy"))&amp;" "&amp;Milestones!$AB$162&amp;" "&amp;IF(AND(Milestones!$AB$162="FT",Milestones!$AA$162=FT_Y5,EDATE($D125,Milestones!$AA$162)&lt;PolicyEff),1,Milestones!$AC$162)&amp;";  ","")&amp;IF(AND(EDATE($D125,Milestones!$AA$163)&lt;=AsOfDate,EDATE($D125,Milestones!$AA$163)&gt;=SchemeStart,IF($X125=0,$AD125,IF(AND($Z125&lt;&gt;"",EDATE($D125,Milestones!$AA$163)&gt;=$Z125),$AC125,IF(AND($Y125&lt;&gt;"",EDATE($D125,Milestones!$AA$163)&gt;=$Y125),$AB125,$AA125)))=Milestones!$AB$163),UPPER(TEXT(EDATE($D125,Milestones!$AA$163),"dd mmm yy"))&amp;" "&amp;Milestones!$AB$163&amp;" "&amp;IF(AND(Milestones!$AB$163="FT",Milestones!$AA$163=FT_Y5,EDATE($D125,Milestones!$AA$163)&lt;PolicyEff),1,Milestones!$AC$163)&amp;";  ",""))</f>
        <v/>
      </c>
      <c r="U125" s="0" t="str">
        <f aca="false">IF(OR($A125="",$D125=""),"",IF(AND(EDATE($D125,Milestones!$AA$164)&lt;=AsOfDate,EDATE($D125,Milestones!$AA$164)&gt;=SchemeStart,IF($X125=0,$AD125,IF(AND($Z125&lt;&gt;"",EDATE($D125,Milestones!$AA$164)&gt;=$Z125),$AC125,IF(AND($Y125&lt;&gt;"",EDATE($D125,Milestones!$AA$164)&gt;=$Y125),$AB125,$AA125)))=Milestones!$AB$164),UPPER(TEXT(EDATE($D125,Milestones!$AA$164),"dd mmm yy"))&amp;" "&amp;Milestones!$AB$164&amp;" "&amp;IF(AND(Milestones!$AB$164="FT",Milestones!$AA$164=FT_Y5,EDATE($D125,Milestones!$AA$164)&lt;PolicyEff),1,Milestones!$AC$164)&amp;";  ","")&amp;IF(AND(EDATE($D125,Milestones!$AA$165)&lt;=AsOfDate,EDATE($D125,Milestones!$AA$165)&gt;=SchemeStart,IF($X125=0,$AD125,IF(AND($Z125&lt;&gt;"",EDATE($D125,Milestones!$AA$165)&gt;=$Z125),$AC125,IF(AND($Y125&lt;&gt;"",EDATE($D125,Milestones!$AA$165)&gt;=$Y125),$AB125,$AA125)))=Milestones!$AB$165),UPPER(TEXT(EDATE($D125,Milestones!$AA$165),"dd mmm yy"))&amp;" "&amp;Milestones!$AB$165&amp;" "&amp;IF(AND(Milestones!$AB$165="FT",Milestones!$AA$165=FT_Y5,EDATE($D125,Milestones!$AA$165)&lt;PolicyEff),1,Milestones!$AC$165)&amp;";  ","")&amp;IF(AND(EDATE($D125,Milestones!$AA$166)&lt;=AsOfDate,EDATE($D125,Milestones!$AA$166)&gt;=SchemeStart,IF($X125=0,$AD125,IF(AND($Z125&lt;&gt;"",EDATE($D125,Milestones!$AA$166)&gt;=$Z125),$AC125,IF(AND($Y125&lt;&gt;"",EDATE($D125,Milestones!$AA$166)&gt;=$Y125),$AB125,$AA125)))=Milestones!$AB$166),UPPER(TEXT(EDATE($D125,Milestones!$AA$166),"dd mmm yy"))&amp;" "&amp;Milestones!$AB$166&amp;" "&amp;IF(AND(Milestones!$AB$166="FT",Milestones!$AA$166=FT_Y5,EDATE($D125,Milestones!$AA$166)&lt;PolicyEff),1,Milestones!$AC$166)&amp;";  ","")&amp;IF(AND(EDATE($D125,Milestones!$AA$167)&lt;=AsOfDate,EDATE($D125,Milestones!$AA$167)&gt;=SchemeStart,IF($X125=0,$AD125,IF(AND($Z125&lt;&gt;"",EDATE($D125,Milestones!$AA$167)&gt;=$Z125),$AC125,IF(AND($Y125&lt;&gt;"",EDATE($D125,Milestones!$AA$167)&gt;=$Y125),$AB125,$AA125)))=Milestones!$AB$167),UPPER(TEXT(EDATE($D125,Milestones!$AA$167),"dd mmm yy"))&amp;" "&amp;Milestones!$AB$167&amp;" "&amp;IF(AND(Milestones!$AB$167="FT",Milestones!$AA$167=FT_Y5,EDATE($D125,Milestones!$AA$167)&lt;PolicyEff),1,Milestones!$AC$167)&amp;";  ","")&amp;IF(AND(EDATE($D125,Milestones!$AA$168)&lt;=AsOfDate,EDATE($D125,Milestones!$AA$168)&gt;=SchemeStart,IF($X125=0,$AD125,IF(AND($Z125&lt;&gt;"",EDATE($D125,Milestones!$AA$168)&gt;=$Z125),$AC125,IF(AND($Y125&lt;&gt;"",EDATE($D125,Milestones!$AA$168)&gt;=$Y125),$AB125,$AA125)))=Milestones!$AB$168),UPPER(TEXT(EDATE($D125,Milestones!$AA$168),"dd mmm yy"))&amp;" "&amp;Milestones!$AB$168&amp;" "&amp;IF(AND(Milestones!$AB$168="FT",Milestones!$AA$168=FT_Y5,EDATE($D125,Milestones!$AA$168)&lt;PolicyEff),1,Milestones!$AC$168)&amp;";  ","")&amp;IF(AND(EDATE($D125,Milestones!$AA$169)&lt;=AsOfDate,EDATE($D125,Milestones!$AA$169)&gt;=SchemeStart,IF($X125=0,$AD125,IF(AND($Z125&lt;&gt;"",EDATE($D125,Milestones!$AA$169)&gt;=$Z125),$AC125,IF(AND($Y125&lt;&gt;"",EDATE($D125,Milestones!$AA$169)&gt;=$Y125),$AB125,$AA125)))=Milestones!$AB$169),UPPER(TEXT(EDATE($D125,Milestones!$AA$169),"dd mmm yy"))&amp;" "&amp;Milestones!$AB$169&amp;" "&amp;IF(AND(Milestones!$AB$169="FT",Milestones!$AA$169=FT_Y5,EDATE($D125,Milestones!$AA$169)&lt;PolicyEff),1,Milestones!$AC$169)&amp;";  ","")&amp;IF(AND(EDATE($D125,Milestones!$AA$170)&lt;=AsOfDate,EDATE($D125,Milestones!$AA$170)&gt;=SchemeStart,IF($X125=0,$AD125,IF(AND($Z125&lt;&gt;"",EDATE($D125,Milestones!$AA$170)&gt;=$Z125),$AC125,IF(AND($Y125&lt;&gt;"",EDATE($D125,Milestones!$AA$170)&gt;=$Y125),$AB125,$AA125)))=Milestones!$AB$170),UPPER(TEXT(EDATE($D125,Milestones!$AA$170),"dd mmm yy"))&amp;" "&amp;Milestones!$AB$170&amp;" "&amp;IF(AND(Milestones!$AB$170="FT",Milestones!$AA$170=FT_Y5,EDATE($D125,Milestones!$AA$170)&lt;PolicyEff),1,Milestones!$AC$170)&amp;";  ","")&amp;IF(AND(EDATE($D125,Milestones!$AA$171)&lt;=AsOfDate,EDATE($D125,Milestones!$AA$171)&gt;=SchemeStart,IF($X125=0,$AD125,IF(AND($Z125&lt;&gt;"",EDATE($D125,Milestones!$AA$171)&gt;=$Z125),$AC125,IF(AND($Y125&lt;&gt;"",EDATE($D125,Milestones!$AA$171)&gt;=$Y125),$AB125,$AA125)))=Milestones!$AB$171),UPPER(TEXT(EDATE($D125,Milestones!$AA$171),"dd mmm yy"))&amp;" "&amp;Milestones!$AB$171&amp;" "&amp;IF(AND(Milestones!$AB$171="FT",Milestones!$AA$171=FT_Y5,EDATE($D125,Milestones!$AA$171)&lt;PolicyEff),1,Milestones!$AC$171)&amp;";  ","")&amp;IF(AND(EDATE($D125,Milestones!$AA$172)&lt;=AsOfDate,EDATE($D125,Milestones!$AA$172)&gt;=SchemeStart,IF($X125=0,$AD125,IF(AND($Z125&lt;&gt;"",EDATE($D125,Milestones!$AA$172)&gt;=$Z125),$AC125,IF(AND($Y125&lt;&gt;"",EDATE($D125,Milestones!$AA$172)&gt;=$Y125),$AB125,$AA125)))=Milestones!$AB$172),UPPER(TEXT(EDATE($D125,Milestones!$AA$172),"dd mmm yy"))&amp;" "&amp;Milestones!$AB$172&amp;" "&amp;IF(AND(Milestones!$AB$172="FT",Milestones!$AA$172=FT_Y5,EDATE($D125,Milestones!$AA$172)&lt;PolicyEff),1,Milestones!$AC$172)&amp;";  ","")&amp;IF(AND(EDATE($D125,Milestones!$AA$173)&lt;=AsOfDate,EDATE($D125,Milestones!$AA$173)&gt;=SchemeStart,IF($X125=0,$AD125,IF(AND($Z125&lt;&gt;"",EDATE($D125,Milestones!$AA$173)&gt;=$Z125),$AC125,IF(AND($Y125&lt;&gt;"",EDATE($D125,Milestones!$AA$173)&gt;=$Y125),$AB125,$AA125)))=Milestones!$AB$173),UPPER(TEXT(EDATE($D125,Milestones!$AA$173),"dd mmm yy"))&amp;" "&amp;Milestones!$AB$173&amp;" "&amp;IF(AND(Milestones!$AB$173="FT",Milestones!$AA$173=FT_Y5,EDATE($D125,Milestones!$AA$173)&lt;PolicyEff),1,Milestones!$AC$173)&amp;";  ","")&amp;IF(AND(EDATE($D125,Milestones!$AA$174)&lt;=AsOfDate,EDATE($D125,Milestones!$AA$174)&gt;=SchemeStart,IF($X125=0,$AD125,IF(AND($Z125&lt;&gt;"",EDATE($D125,Milestones!$AA$174)&gt;=$Z125),$AC125,IF(AND($Y125&lt;&gt;"",EDATE($D125,Milestones!$AA$174)&gt;=$Y125),$AB125,$AA125)))=Milestones!$AB$174),UPPER(TEXT(EDATE($D125,Milestones!$AA$174),"dd mmm yy"))&amp;" "&amp;Milestones!$AB$174&amp;" "&amp;IF(AND(Milestones!$AB$174="FT",Milestones!$AA$174=FT_Y5,EDATE($D125,Milestones!$AA$174)&lt;PolicyEff),1,Milestones!$AC$174)&amp;";  ","")&amp;IF(AND(EDATE($D125,Milestones!$AA$175)&lt;=AsOfDate,EDATE($D125,Milestones!$AA$175)&gt;=SchemeStart,IF($X125=0,$AD125,IF(AND($Z125&lt;&gt;"",EDATE($D125,Milestones!$AA$175)&gt;=$Z125),$AC125,IF(AND($Y125&lt;&gt;"",EDATE($D125,Milestones!$AA$175)&gt;=$Y125),$AB125,$AA125)))=Milestones!$AB$175),UPPER(TEXT(EDATE($D125,Milestones!$AA$175),"dd mmm yy"))&amp;" "&amp;Milestones!$AB$175&amp;" "&amp;IF(AND(Milestones!$AB$175="FT",Milestones!$AA$175=FT_Y5,EDATE($D125,Milestones!$AA$175)&lt;PolicyEff),1,Milestones!$AC$175)&amp;";  ",""))</f>
        <v/>
      </c>
      <c r="V125" s="0" t="str">
        <f aca="false">IF(OR($A125="",$D125=""),"",IF(AND(EDATE($D125,Milestones!$AA$176)&lt;=AsOfDate,EDATE($D125,Milestones!$AA$176)&gt;=SchemeStart,IF($X125=0,$AD125,IF(AND($Z125&lt;&gt;"",EDATE($D125,Milestones!$AA$176)&gt;=$Z125),$AC125,IF(AND($Y125&lt;&gt;"",EDATE($D125,Milestones!$AA$176)&gt;=$Y125),$AB125,$AA125)))=Milestones!$AB$176),UPPER(TEXT(EDATE($D125,Milestones!$AA$176),"dd mmm yy"))&amp;" "&amp;Milestones!$AB$176&amp;" "&amp;IF(AND(Milestones!$AB$176="FT",Milestones!$AA$176=FT_Y5,EDATE($D125,Milestones!$AA$176)&lt;PolicyEff),1,Milestones!$AC$176)&amp;";  ","")&amp;IF(AND(EDATE($D125,Milestones!$AA$177)&lt;=AsOfDate,EDATE($D125,Milestones!$AA$177)&gt;=SchemeStart,IF($X125=0,$AD125,IF(AND($Z125&lt;&gt;"",EDATE($D125,Milestones!$AA$177)&gt;=$Z125),$AC125,IF(AND($Y125&lt;&gt;"",EDATE($D125,Milestones!$AA$177)&gt;=$Y125),$AB125,$AA125)))=Milestones!$AB$177),UPPER(TEXT(EDATE($D125,Milestones!$AA$177),"dd mmm yy"))&amp;" "&amp;Milestones!$AB$177&amp;" "&amp;IF(AND(Milestones!$AB$177="FT",Milestones!$AA$177=FT_Y5,EDATE($D125,Milestones!$AA$177)&lt;PolicyEff),1,Milestones!$AC$177)&amp;";  ","")&amp;IF(AND(EDATE($D125,Milestones!$AA$178)&lt;=AsOfDate,EDATE($D125,Milestones!$AA$178)&gt;=SchemeStart,IF($X125=0,$AD125,IF(AND($Z125&lt;&gt;"",EDATE($D125,Milestones!$AA$178)&gt;=$Z125),$AC125,IF(AND($Y125&lt;&gt;"",EDATE($D125,Milestones!$AA$178)&gt;=$Y125),$AB125,$AA125)))=Milestones!$AB$178),UPPER(TEXT(EDATE($D125,Milestones!$AA$178),"dd mmm yy"))&amp;" "&amp;Milestones!$AB$178&amp;" "&amp;IF(AND(Milestones!$AB$178="FT",Milestones!$AA$178=FT_Y5,EDATE($D125,Milestones!$AA$178)&lt;PolicyEff),1,Milestones!$AC$178)&amp;";  ","")&amp;IF(AND(EDATE($D125,Milestones!$AA$179)&lt;=AsOfDate,EDATE($D125,Milestones!$AA$179)&gt;=SchemeStart,IF($X125=0,$AD125,IF(AND($Z125&lt;&gt;"",EDATE($D125,Milestones!$AA$179)&gt;=$Z125),$AC125,IF(AND($Y125&lt;&gt;"",EDATE($D125,Milestones!$AA$179)&gt;=$Y125),$AB125,$AA125)))=Milestones!$AB$179),UPPER(TEXT(EDATE($D125,Milestones!$AA$179),"dd mmm yy"))&amp;" "&amp;Milestones!$AB$179&amp;" "&amp;IF(AND(Milestones!$AB$179="FT",Milestones!$AA$179=FT_Y5,EDATE($D125,Milestones!$AA$179)&lt;PolicyEff),1,Milestones!$AC$179)&amp;";  ","")&amp;IF(AND(EDATE($D125,Milestones!$AA$180)&lt;=AsOfDate,EDATE($D125,Milestones!$AA$180)&gt;=SchemeStart,IF($X125=0,$AD125,IF(AND($Z125&lt;&gt;"",EDATE($D125,Milestones!$AA$180)&gt;=$Z125),$AC125,IF(AND($Y125&lt;&gt;"",EDATE($D125,Milestones!$AA$180)&gt;=$Y125),$AB125,$AA125)))=Milestones!$AB$180),UPPER(TEXT(EDATE($D125,Milestones!$AA$180),"dd mmm yy"))&amp;" "&amp;Milestones!$AB$180&amp;" "&amp;IF(AND(Milestones!$AB$180="FT",Milestones!$AA$180=FT_Y5,EDATE($D125,Milestones!$AA$180)&lt;PolicyEff),1,Milestones!$AC$180)&amp;";  ","")&amp;IF(AND(EDATE($D125,Milestones!$AA$181)&lt;=AsOfDate,EDATE($D125,Milestones!$AA$181)&gt;=SchemeStart,IF($X125=0,$AD125,IF(AND($Z125&lt;&gt;"",EDATE($D125,Milestones!$AA$181)&gt;=$Z125),$AC125,IF(AND($Y125&lt;&gt;"",EDATE($D125,Milestones!$AA$181)&gt;=$Y125),$AB125,$AA125)))=Milestones!$AB$181),UPPER(TEXT(EDATE($D125,Milestones!$AA$181),"dd mmm yy"))&amp;" "&amp;Milestones!$AB$181&amp;" "&amp;IF(AND(Milestones!$AB$181="FT",Milestones!$AA$181=FT_Y5,EDATE($D125,Milestones!$AA$181)&lt;PolicyEff),1,Milestones!$AC$181)&amp;";  ","")&amp;IF(AND(EDATE($D125,Milestones!$AA$182)&lt;=AsOfDate,EDATE($D125,Milestones!$AA$182)&gt;=SchemeStart,IF($X125=0,$AD125,IF(AND($Z125&lt;&gt;"",EDATE($D125,Milestones!$AA$182)&gt;=$Z125),$AC125,IF(AND($Y125&lt;&gt;"",EDATE($D125,Milestones!$AA$182)&gt;=$Y125),$AB125,$AA125)))=Milestones!$AB$182),UPPER(TEXT(EDATE($D125,Milestones!$AA$182),"dd mmm yy"))&amp;" "&amp;Milestones!$AB$182&amp;" "&amp;IF(AND(Milestones!$AB$182="FT",Milestones!$AA$182=FT_Y5,EDATE($D125,Milestones!$AA$182)&lt;PolicyEff),1,Milestones!$AC$182)&amp;";  ","")&amp;IF(AND(EDATE($D125,Milestones!$AA$183)&lt;=AsOfDate,EDATE($D125,Milestones!$AA$183)&gt;=SchemeStart,IF($X125=0,$AD125,IF(AND($Z125&lt;&gt;"",EDATE($D125,Milestones!$AA$183)&gt;=$Z125),$AC125,IF(AND($Y125&lt;&gt;"",EDATE($D125,Milestones!$AA$183)&gt;=$Y125),$AB125,$AA125)))=Milestones!$AB$183),UPPER(TEXT(EDATE($D125,Milestones!$AA$183),"dd mmm yy"))&amp;" "&amp;Milestones!$AB$183&amp;" "&amp;IF(AND(Milestones!$AB$183="FT",Milestones!$AA$183=FT_Y5,EDATE($D125,Milestones!$AA$183)&lt;PolicyEff),1,Milestones!$AC$183)&amp;";  ","")&amp;IF(AND(EDATE($D125,Milestones!$AA$184)&lt;=AsOfDate,EDATE($D125,Milestones!$AA$184)&gt;=SchemeStart,IF($X125=0,$AD125,IF(AND($Z125&lt;&gt;"",EDATE($D125,Milestones!$AA$184)&gt;=$Z125),$AC125,IF(AND($Y125&lt;&gt;"",EDATE($D125,Milestones!$AA$184)&gt;=$Y125),$AB125,$AA125)))=Milestones!$AB$184),UPPER(TEXT(EDATE($D125,Milestones!$AA$184),"dd mmm yy"))&amp;" "&amp;Milestones!$AB$184&amp;" "&amp;IF(AND(Milestones!$AB$184="FT",Milestones!$AA$184=FT_Y5,EDATE($D125,Milestones!$AA$184)&lt;PolicyEff),1,Milestones!$AC$184)&amp;";  ","")&amp;IF(AND(EDATE($D125,Milestones!$AA$185)&lt;=AsOfDate,EDATE($D125,Milestones!$AA$185)&gt;=SchemeStart,IF($X125=0,$AD125,IF(AND($Z125&lt;&gt;"",EDATE($D125,Milestones!$AA$185)&gt;=$Z125),$AC125,IF(AND($Y125&lt;&gt;"",EDATE($D125,Milestones!$AA$185)&gt;=$Y125),$AB125,$AA125)))=Milestones!$AB$185),UPPER(TEXT(EDATE($D125,Milestones!$AA$185),"dd mmm yy"))&amp;" "&amp;Milestones!$AB$185&amp;" "&amp;IF(AND(Milestones!$AB$185="FT",Milestones!$AA$185=FT_Y5,EDATE($D125,Milestones!$AA$185)&lt;PolicyEff),1,Milestones!$AC$185)&amp;";  ","")&amp;IF(AND(EDATE($D125,Milestones!$AA$186)&lt;=AsOfDate,EDATE($D125,Milestones!$AA$186)&gt;=SchemeStart,IF($X125=0,$AD125,IF(AND($Z125&lt;&gt;"",EDATE($D125,Milestones!$AA$186)&gt;=$Z125),$AC125,IF(AND($Y125&lt;&gt;"",EDATE($D125,Milestones!$AA$186)&gt;=$Y125),$AB125,$AA125)))=Milestones!$AB$186),UPPER(TEXT(EDATE($D125,Milestones!$AA$186),"dd mmm yy"))&amp;" "&amp;Milestones!$AB$186&amp;" "&amp;IF(AND(Milestones!$AB$186="FT",Milestones!$AA$186=FT_Y5,EDATE($D125,Milestones!$AA$186)&lt;PolicyEff),1,Milestones!$AC$186)&amp;";  ","")&amp;IF(AND(EDATE($D125,Milestones!$AA$187)&lt;=AsOfDate,EDATE($D125,Milestones!$AA$187)&gt;=SchemeStart,IF($X125=0,$AD125,IF(AND($Z125&lt;&gt;"",EDATE($D125,Milestones!$AA$187)&gt;=$Z125),$AC125,IF(AND($Y125&lt;&gt;"",EDATE($D125,Milestones!$AA$187)&gt;=$Y125),$AB125,$AA125)))=Milestones!$AB$187),UPPER(TEXT(EDATE($D125,Milestones!$AA$187),"dd mmm yy"))&amp;" "&amp;Milestones!$AB$187&amp;" "&amp;IF(AND(Milestones!$AB$187="FT",Milestones!$AA$187=FT_Y5,EDATE($D125,Milestones!$AA$187)&lt;PolicyEff),1,Milestones!$AC$187)&amp;";  ",""))</f>
        <v/>
      </c>
      <c r="W125" s="0" t="str">
        <f aca="false">IF(OR($A125="",$D125=""),"",IF(AND(EDATE($D125,Milestones!$AA$188)&lt;=AsOfDate,EDATE($D125,Milestones!$AA$188)&gt;=SchemeStart,IF($X125=0,$AD125,IF(AND($Z125&lt;&gt;"",EDATE($D125,Milestones!$AA$188)&gt;=$Z125),$AC125,IF(AND($Y125&lt;&gt;"",EDATE($D125,Milestones!$AA$188)&gt;=$Y125),$AB125,$AA125)))=Milestones!$AB$188),UPPER(TEXT(EDATE($D125,Milestones!$AA$188),"dd mmm yy"))&amp;" "&amp;Milestones!$AB$188&amp;" "&amp;IF(AND(Milestones!$AB$188="FT",Milestones!$AA$188=FT_Y5,EDATE($D125,Milestones!$AA$188)&lt;PolicyEff),1,Milestones!$AC$188)&amp;";  ","")&amp;IF(AND(EDATE($D125,Milestones!$AA$189)&lt;=AsOfDate,EDATE($D125,Milestones!$AA$189)&gt;=SchemeStart,IF($X125=0,$AD125,IF(AND($Z125&lt;&gt;"",EDATE($D125,Milestones!$AA$189)&gt;=$Z125),$AC125,IF(AND($Y125&lt;&gt;"",EDATE($D125,Milestones!$AA$189)&gt;=$Y125),$AB125,$AA125)))=Milestones!$AB$189),UPPER(TEXT(EDATE($D125,Milestones!$AA$189),"dd mmm yy"))&amp;" "&amp;Milestones!$AB$189&amp;" "&amp;IF(AND(Milestones!$AB$189="FT",Milestones!$AA$189=FT_Y5,EDATE($D125,Milestones!$AA$189)&lt;PolicyEff),1,Milestones!$AC$189)&amp;";  ","")&amp;IF(AND(EDATE($D125,Milestones!$AA$190)&lt;=AsOfDate,EDATE($D125,Milestones!$AA$190)&gt;=SchemeStart,IF($X125=0,$AD125,IF(AND($Z125&lt;&gt;"",EDATE($D125,Milestones!$AA$190)&gt;=$Z125),$AC125,IF(AND($Y125&lt;&gt;"",EDATE($D125,Milestones!$AA$190)&gt;=$Y125),$AB125,$AA125)))=Milestones!$AB$190),UPPER(TEXT(EDATE($D125,Milestones!$AA$190),"dd mmm yy"))&amp;" "&amp;Milestones!$AB$190&amp;" "&amp;IF(AND(Milestones!$AB$190="FT",Milestones!$AA$190=FT_Y5,EDATE($D125,Milestones!$AA$190)&lt;PolicyEff),1,Milestones!$AC$190)&amp;";  ","")&amp;IF(AND(EDATE($D125,Milestones!$AA$191)&lt;=AsOfDate,EDATE($D125,Milestones!$AA$191)&gt;=SchemeStart,IF($X125=0,$AD125,IF(AND($Z125&lt;&gt;"",EDATE($D125,Milestones!$AA$191)&gt;=$Z125),$AC125,IF(AND($Y125&lt;&gt;"",EDATE($D125,Milestones!$AA$191)&gt;=$Y125),$AB125,$AA125)))=Milestones!$AB$191),UPPER(TEXT(EDATE($D125,Milestones!$AA$191),"dd mmm yy"))&amp;" "&amp;Milestones!$AB$191&amp;" "&amp;IF(AND(Milestones!$AB$191="FT",Milestones!$AA$191=FT_Y5,EDATE($D125,Milestones!$AA$191)&lt;PolicyEff),1,Milestones!$AC$191)&amp;";  ","")&amp;IF(AND(EDATE($D125,Milestones!$AA$192)&lt;=AsOfDate,EDATE($D125,Milestones!$AA$192)&gt;=SchemeStart,IF($X125=0,$AD125,IF(AND($Z125&lt;&gt;"",EDATE($D125,Milestones!$AA$192)&gt;=$Z125),$AC125,IF(AND($Y125&lt;&gt;"",EDATE($D125,Milestones!$AA$192)&gt;=$Y125),$AB125,$AA125)))=Milestones!$AB$192),UPPER(TEXT(EDATE($D125,Milestones!$AA$192),"dd mmm yy"))&amp;" "&amp;Milestones!$AB$192&amp;" "&amp;IF(AND(Milestones!$AB$192="FT",Milestones!$AA$192=FT_Y5,EDATE($D125,Milestones!$AA$192)&lt;PolicyEff),1,Milestones!$AC$192)&amp;";  ","")&amp;IF(AND(EDATE($D125,Milestones!$AA$193)&lt;=AsOfDate,EDATE($D125,Milestones!$AA$193)&gt;=SchemeStart,IF($X125=0,$AD125,IF(AND($Z125&lt;&gt;"",EDATE($D125,Milestones!$AA$193)&gt;=$Z125),$AC125,IF(AND($Y125&lt;&gt;"",EDATE($D125,Milestones!$AA$193)&gt;=$Y125),$AB125,$AA125)))=Milestones!$AB$193),UPPER(TEXT(EDATE($D125,Milestones!$AA$193),"dd mmm yy"))&amp;" "&amp;Milestones!$AB$193&amp;" "&amp;IF(AND(Milestones!$AB$193="FT",Milestones!$AA$193=FT_Y5,EDATE($D125,Milestones!$AA$193)&lt;PolicyEff),1,Milestones!$AC$193)&amp;";  ","")&amp;IF(AND(EDATE($D125,Milestones!$AA$194)&lt;=AsOfDate,EDATE($D125,Milestones!$AA$194)&gt;=SchemeStart,IF($X125=0,$AD125,IF(AND($Z125&lt;&gt;"",EDATE($D125,Milestones!$AA$194)&gt;=$Z125),$AC125,IF(AND($Y125&lt;&gt;"",EDATE($D125,Milestones!$AA$194)&gt;=$Y125),$AB125,$AA125)))=Milestones!$AB$194),UPPER(TEXT(EDATE($D125,Milestones!$AA$194),"dd mmm yy"))&amp;" "&amp;Milestones!$AB$194&amp;" "&amp;IF(AND(Milestones!$AB$194="FT",Milestones!$AA$194=FT_Y5,EDATE($D125,Milestones!$AA$194)&lt;PolicyEff),1,Milestones!$AC$194)&amp;";  ","")&amp;IF(AND(EDATE($D125,Milestones!$AA$195)&lt;=AsOfDate,EDATE($D125,Milestones!$AA$195)&gt;=SchemeStart,IF($X125=0,$AD125,IF(AND($Z125&lt;&gt;"",EDATE($D125,Milestones!$AA$195)&gt;=$Z125),$AC125,IF(AND($Y125&lt;&gt;"",EDATE($D125,Milestones!$AA$195)&gt;=$Y125),$AB125,$AA125)))=Milestones!$AB$195),UPPER(TEXT(EDATE($D125,Milestones!$AA$195),"dd mmm yy"))&amp;" "&amp;Milestones!$AB$195&amp;" "&amp;IF(AND(Milestones!$AB$195="FT",Milestones!$AA$195=FT_Y5,EDATE($D125,Milestones!$AA$195)&lt;PolicyEff),1,Milestones!$AC$195)&amp;";  ","")&amp;IF(AND(EDATE($D125,Milestones!$AA$196)&lt;=AsOfDate,EDATE($D125,Milestones!$AA$196)&gt;=SchemeStart,IF($X125=0,$AD125,IF(AND($Z125&lt;&gt;"",EDATE($D125,Milestones!$AA$196)&gt;=$Z125),$AC125,IF(AND($Y125&lt;&gt;"",EDATE($D125,Milestones!$AA$196)&gt;=$Y125),$AB125,$AA125)))=Milestones!$AB$196),UPPER(TEXT(EDATE($D125,Milestones!$AA$196),"dd mmm yy"))&amp;" "&amp;Milestones!$AB$196&amp;" "&amp;IF(AND(Milestones!$AB$196="FT",Milestones!$AA$196=FT_Y5,EDATE($D125,Milestones!$AA$196)&lt;PolicyEff),1,Milestones!$AC$196)&amp;";  ","")&amp;IF(AND(EDATE($D125,Milestones!$AA$197)&lt;=AsOfDate,EDATE($D125,Milestones!$AA$197)&gt;=SchemeStart,IF($X125=0,$AD125,IF(AND($Z125&lt;&gt;"",EDATE($D125,Milestones!$AA$197)&gt;=$Z125),$AC125,IF(AND($Y125&lt;&gt;"",EDATE($D125,Milestones!$AA$197)&gt;=$Y125),$AB125,$AA125)))=Milestones!$AB$197),UPPER(TEXT(EDATE($D125,Milestones!$AA$197),"dd mmm yy"))&amp;" "&amp;Milestones!$AB$197&amp;" "&amp;IF(AND(Milestones!$AB$197="FT",Milestones!$AA$197=FT_Y5,EDATE($D125,Milestones!$AA$197)&lt;PolicyEff),1,Milestones!$AC$197)&amp;";  ","")&amp;IF(AND(EDATE($D125,Milestones!$AA$198)&lt;=AsOfDate,EDATE($D125,Milestones!$AA$198)&gt;=SchemeStart,IF($X125=0,$AD125,IF(AND($Z125&lt;&gt;"",EDATE($D125,Milestones!$AA$198)&gt;=$Z125),$AC125,IF(AND($Y125&lt;&gt;"",EDATE($D125,Milestones!$AA$198)&gt;=$Y125),$AB125,$AA125)))=Milestones!$AB$198),UPPER(TEXT(EDATE($D125,Milestones!$AA$198),"dd mmm yy"))&amp;" "&amp;Milestones!$AB$198&amp;" "&amp;IF(AND(Milestones!$AB$198="FT",Milestones!$AA$198=FT_Y5,EDATE($D125,Milestones!$AA$198)&lt;PolicyEff),1,Milestones!$AC$198)&amp;";  ","")&amp;IF(AND(EDATE($D125,Milestones!$AA$199)&lt;=AsOfDate,EDATE($D125,Milestones!$AA$199)&gt;=SchemeStart,IF($X125=0,$AD125,IF(AND($Z125&lt;&gt;"",EDATE($D125,Milestones!$AA$199)&gt;=$Z125),$AC125,IF(AND($Y125&lt;&gt;"",EDATE($D125,Milestones!$AA$199)&gt;=$Y125),$AB125,$AA125)))=Milestones!$AB$199),UPPER(TEXT(EDATE($D125,Milestones!$AA$199),"dd mmm yy"))&amp;" "&amp;Milestones!$AB$199&amp;" "&amp;IF(AND(Milestones!$AB$199="FT",Milestones!$AA$199=FT_Y5,EDATE($D125,Milestones!$AA$199)&lt;PolicyEff),1,Milestones!$AC$199)&amp;";  ",""))</f>
        <v/>
      </c>
      <c r="X125" s="0" t="str">
        <f aca="false">IF(Staff!$A125="","",Staff!$AM125)</f>
        <v/>
      </c>
      <c r="Y125" s="0" t="str">
        <f aca="false">IF(Staff!$A125="","",Staff!$AO125)</f>
        <v/>
      </c>
      <c r="Z125" s="0" t="str">
        <f aca="false">IF(Staff!$A125="","",Staff!$AP125)</f>
        <v/>
      </c>
      <c r="AA125" s="0" t="str">
        <f aca="false">IF(Staff!$A125="","",Staff!$AT125)</f>
        <v/>
      </c>
      <c r="AB125" s="0" t="str">
        <f aca="false">IF(Staff!$A125="","",Staff!$AU125)</f>
        <v/>
      </c>
      <c r="AC125" s="0" t="str">
        <f aca="false">IF(Staff!$A125="","",Staff!$AV125)</f>
        <v/>
      </c>
      <c r="AD125" s="0" t="str">
        <f aca="false">IF(Staff!$A125="","",Staff!$AW125)</f>
        <v/>
      </c>
    </row>
    <row r="126" customFormat="false" ht="15" hidden="false" customHeight="false" outlineLevel="0" collapsed="false">
      <c r="A126" s="16" t="str">
        <f aca="false">IF(Staff!$A126="","",Staff!$A126)</f>
        <v/>
      </c>
      <c r="B126" s="16" t="str">
        <f aca="false">IF(Staff!$A126="","",Staff!$B126)</f>
        <v/>
      </c>
      <c r="C126" s="16" t="str">
        <f aca="false">IF(Staff!$A126="","",Staff!$C126)</f>
        <v/>
      </c>
      <c r="D126" s="14" t="str">
        <f aca="false">IF(Staff!$A126="","",Staff!$AL126)</f>
        <v/>
      </c>
      <c r="E126" s="16" t="str">
        <f aca="false">IF(Staff!$A126="","",Staff!$O126)</f>
        <v/>
      </c>
      <c r="F126" s="16" t="str">
        <f aca="false">IF(E126="","",E126*HoursPerDay)</f>
        <v/>
      </c>
      <c r="G126" s="16" t="str">
        <f aca="false">IF(Staff!$A126="","",Staff!$AE126)</f>
        <v/>
      </c>
      <c r="H126" s="28" t="str">
        <f aca="false">IF($A126="","",I126&amp;J126&amp;K126&amp;L126&amp;M126&amp;N126&amp;O126&amp;P126&amp;Q126&amp;R126&amp;S126&amp;T126&amp;U126&amp;V126&amp;W126)</f>
        <v/>
      </c>
      <c r="I126" s="0" t="str">
        <f aca="false">IF(OR($A126="",$D126=""),"",IF(AND(EDATE($D126,Milestones!$AA$20)&lt;=AsOfDate,EDATE($D126,Milestones!$AA$20)&gt;=SchemeStart,IF($X126=0,$AD126,IF(AND($Z126&lt;&gt;"",EDATE($D126,Milestones!$AA$20)&gt;=$Z126),$AC126,IF(AND($Y126&lt;&gt;"",EDATE($D126,Milestones!$AA$20)&gt;=$Y126),$AB126,$AA126)))=Milestones!$AB$20),UPPER(TEXT(EDATE($D126,Milestones!$AA$20),"dd mmm yy"))&amp;" "&amp;Milestones!$AB$20&amp;" "&amp;IF(AND(Milestones!$AB$20="FT",Milestones!$AA$20=FT_Y5,EDATE($D126,Milestones!$AA$20)&lt;PolicyEff),1,Milestones!$AC$20)&amp;";  ","")&amp;IF(AND(EDATE($D126,Milestones!$AA$21)&lt;=AsOfDate,EDATE($D126,Milestones!$AA$21)&gt;=SchemeStart,IF($X126=0,$AD126,IF(AND($Z126&lt;&gt;"",EDATE($D126,Milestones!$AA$21)&gt;=$Z126),$AC126,IF(AND($Y126&lt;&gt;"",EDATE($D126,Milestones!$AA$21)&gt;=$Y126),$AB126,$AA126)))=Milestones!$AB$21),UPPER(TEXT(EDATE($D126,Milestones!$AA$21),"dd mmm yy"))&amp;" "&amp;Milestones!$AB$21&amp;" "&amp;IF(AND(Milestones!$AB$21="FT",Milestones!$AA$21=FT_Y5,EDATE($D126,Milestones!$AA$21)&lt;PolicyEff),1,Milestones!$AC$21)&amp;";  ","")&amp;IF(AND(EDATE($D126,Milestones!$AA$22)&lt;=AsOfDate,EDATE($D126,Milestones!$AA$22)&gt;=SchemeStart,IF($X126=0,$AD126,IF(AND($Z126&lt;&gt;"",EDATE($D126,Milestones!$AA$22)&gt;=$Z126),$AC126,IF(AND($Y126&lt;&gt;"",EDATE($D126,Milestones!$AA$22)&gt;=$Y126),$AB126,$AA126)))=Milestones!$AB$22),UPPER(TEXT(EDATE($D126,Milestones!$AA$22),"dd mmm yy"))&amp;" "&amp;Milestones!$AB$22&amp;" "&amp;IF(AND(Milestones!$AB$22="FT",Milestones!$AA$22=FT_Y5,EDATE($D126,Milestones!$AA$22)&lt;PolicyEff),1,Milestones!$AC$22)&amp;";  ","")&amp;IF(AND(EDATE($D126,Milestones!$AA$23)&lt;=AsOfDate,EDATE($D126,Milestones!$AA$23)&gt;=SchemeStart,IF($X126=0,$AD126,IF(AND($Z126&lt;&gt;"",EDATE($D126,Milestones!$AA$23)&gt;=$Z126),$AC126,IF(AND($Y126&lt;&gt;"",EDATE($D126,Milestones!$AA$23)&gt;=$Y126),$AB126,$AA126)))=Milestones!$AB$23),UPPER(TEXT(EDATE($D126,Milestones!$AA$23),"dd mmm yy"))&amp;" "&amp;Milestones!$AB$23&amp;" "&amp;IF(AND(Milestones!$AB$23="FT",Milestones!$AA$23=FT_Y5,EDATE($D126,Milestones!$AA$23)&lt;PolicyEff),1,Milestones!$AC$23)&amp;";  ","")&amp;IF(AND(EDATE($D126,Milestones!$AA$24)&lt;=AsOfDate,EDATE($D126,Milestones!$AA$24)&gt;=SchemeStart,IF($X126=0,$AD126,IF(AND($Z126&lt;&gt;"",EDATE($D126,Milestones!$AA$24)&gt;=$Z126),$AC126,IF(AND($Y126&lt;&gt;"",EDATE($D126,Milestones!$AA$24)&gt;=$Y126),$AB126,$AA126)))=Milestones!$AB$24),UPPER(TEXT(EDATE($D126,Milestones!$AA$24),"dd mmm yy"))&amp;" "&amp;Milestones!$AB$24&amp;" "&amp;IF(AND(Milestones!$AB$24="FT",Milestones!$AA$24=FT_Y5,EDATE($D126,Milestones!$AA$24)&lt;PolicyEff),1,Milestones!$AC$24)&amp;";  ","")&amp;IF(AND(EDATE($D126,Milestones!$AA$25)&lt;=AsOfDate,EDATE($D126,Milestones!$AA$25)&gt;=SchemeStart,IF($X126=0,$AD126,IF(AND($Z126&lt;&gt;"",EDATE($D126,Milestones!$AA$25)&gt;=$Z126),$AC126,IF(AND($Y126&lt;&gt;"",EDATE($D126,Milestones!$AA$25)&gt;=$Y126),$AB126,$AA126)))=Milestones!$AB$25),UPPER(TEXT(EDATE($D126,Milestones!$AA$25),"dd mmm yy"))&amp;" "&amp;Milestones!$AB$25&amp;" "&amp;IF(AND(Milestones!$AB$25="FT",Milestones!$AA$25=FT_Y5,EDATE($D126,Milestones!$AA$25)&lt;PolicyEff),1,Milestones!$AC$25)&amp;";  ","")&amp;IF(AND(EDATE($D126,Milestones!$AA$26)&lt;=AsOfDate,EDATE($D126,Milestones!$AA$26)&gt;=SchemeStart,IF($X126=0,$AD126,IF(AND($Z126&lt;&gt;"",EDATE($D126,Milestones!$AA$26)&gt;=$Z126),$AC126,IF(AND($Y126&lt;&gt;"",EDATE($D126,Milestones!$AA$26)&gt;=$Y126),$AB126,$AA126)))=Milestones!$AB$26),UPPER(TEXT(EDATE($D126,Milestones!$AA$26),"dd mmm yy"))&amp;" "&amp;Milestones!$AB$26&amp;" "&amp;IF(AND(Milestones!$AB$26="FT",Milestones!$AA$26=FT_Y5,EDATE($D126,Milestones!$AA$26)&lt;PolicyEff),1,Milestones!$AC$26)&amp;";  ","")&amp;IF(AND(EDATE($D126,Milestones!$AA$27)&lt;=AsOfDate,EDATE($D126,Milestones!$AA$27)&gt;=SchemeStart,IF($X126=0,$AD126,IF(AND($Z126&lt;&gt;"",EDATE($D126,Milestones!$AA$27)&gt;=$Z126),$AC126,IF(AND($Y126&lt;&gt;"",EDATE($D126,Milestones!$AA$27)&gt;=$Y126),$AB126,$AA126)))=Milestones!$AB$27),UPPER(TEXT(EDATE($D126,Milestones!$AA$27),"dd mmm yy"))&amp;" "&amp;Milestones!$AB$27&amp;" "&amp;IF(AND(Milestones!$AB$27="FT",Milestones!$AA$27=FT_Y5,EDATE($D126,Milestones!$AA$27)&lt;PolicyEff),1,Milestones!$AC$27)&amp;";  ","")&amp;IF(AND(EDATE($D126,Milestones!$AA$28)&lt;=AsOfDate,EDATE($D126,Milestones!$AA$28)&gt;=SchemeStart,IF($X126=0,$AD126,IF(AND($Z126&lt;&gt;"",EDATE($D126,Milestones!$AA$28)&gt;=$Z126),$AC126,IF(AND($Y126&lt;&gt;"",EDATE($D126,Milestones!$AA$28)&gt;=$Y126),$AB126,$AA126)))=Milestones!$AB$28),UPPER(TEXT(EDATE($D126,Milestones!$AA$28),"dd mmm yy"))&amp;" "&amp;Milestones!$AB$28&amp;" "&amp;IF(AND(Milestones!$AB$28="FT",Milestones!$AA$28=FT_Y5,EDATE($D126,Milestones!$AA$28)&lt;PolicyEff),1,Milestones!$AC$28)&amp;";  ","")&amp;IF(AND(EDATE($D126,Milestones!$AA$29)&lt;=AsOfDate,EDATE($D126,Milestones!$AA$29)&gt;=SchemeStart,IF($X126=0,$AD126,IF(AND($Z126&lt;&gt;"",EDATE($D126,Milestones!$AA$29)&gt;=$Z126),$AC126,IF(AND($Y126&lt;&gt;"",EDATE($D126,Milestones!$AA$29)&gt;=$Y126),$AB126,$AA126)))=Milestones!$AB$29),UPPER(TEXT(EDATE($D126,Milestones!$AA$29),"dd mmm yy"))&amp;" "&amp;Milestones!$AB$29&amp;" "&amp;IF(AND(Milestones!$AB$29="FT",Milestones!$AA$29=FT_Y5,EDATE($D126,Milestones!$AA$29)&lt;PolicyEff),1,Milestones!$AC$29)&amp;";  ","")&amp;IF(AND(EDATE($D126,Milestones!$AA$30)&lt;=AsOfDate,EDATE($D126,Milestones!$AA$30)&gt;=SchemeStart,IF($X126=0,$AD126,IF(AND($Z126&lt;&gt;"",EDATE($D126,Milestones!$AA$30)&gt;=$Z126),$AC126,IF(AND($Y126&lt;&gt;"",EDATE($D126,Milestones!$AA$30)&gt;=$Y126),$AB126,$AA126)))=Milestones!$AB$30),UPPER(TEXT(EDATE($D126,Milestones!$AA$30),"dd mmm yy"))&amp;" "&amp;Milestones!$AB$30&amp;" "&amp;IF(AND(Milestones!$AB$30="FT",Milestones!$AA$30=FT_Y5,EDATE($D126,Milestones!$AA$30)&lt;PolicyEff),1,Milestones!$AC$30)&amp;";  ","")&amp;IF(AND(EDATE($D126,Milestones!$AA$31)&lt;=AsOfDate,EDATE($D126,Milestones!$AA$31)&gt;=SchemeStart,IF($X126=0,$AD126,IF(AND($Z126&lt;&gt;"",EDATE($D126,Milestones!$AA$31)&gt;=$Z126),$AC126,IF(AND($Y126&lt;&gt;"",EDATE($D126,Milestones!$AA$31)&gt;=$Y126),$AB126,$AA126)))=Milestones!$AB$31),UPPER(TEXT(EDATE($D126,Milestones!$AA$31),"dd mmm yy"))&amp;" "&amp;Milestones!$AB$31&amp;" "&amp;IF(AND(Milestones!$AB$31="FT",Milestones!$AA$31=FT_Y5,EDATE($D126,Milestones!$AA$31)&lt;PolicyEff),1,Milestones!$AC$31)&amp;";  ",""))</f>
        <v/>
      </c>
      <c r="J126" s="0" t="str">
        <f aca="false">IF(OR($A126="",$D126=""),"",IF(AND(EDATE($D126,Milestones!$AA$32)&lt;=AsOfDate,EDATE($D126,Milestones!$AA$32)&gt;=SchemeStart,IF($X126=0,$AD126,IF(AND($Z126&lt;&gt;"",EDATE($D126,Milestones!$AA$32)&gt;=$Z126),$AC126,IF(AND($Y126&lt;&gt;"",EDATE($D126,Milestones!$AA$32)&gt;=$Y126),$AB126,$AA126)))=Milestones!$AB$32),UPPER(TEXT(EDATE($D126,Milestones!$AA$32),"dd mmm yy"))&amp;" "&amp;Milestones!$AB$32&amp;" "&amp;IF(AND(Milestones!$AB$32="FT",Milestones!$AA$32=FT_Y5,EDATE($D126,Milestones!$AA$32)&lt;PolicyEff),1,Milestones!$AC$32)&amp;";  ","")&amp;IF(AND(EDATE($D126,Milestones!$AA$33)&lt;=AsOfDate,EDATE($D126,Milestones!$AA$33)&gt;=SchemeStart,IF($X126=0,$AD126,IF(AND($Z126&lt;&gt;"",EDATE($D126,Milestones!$AA$33)&gt;=$Z126),$AC126,IF(AND($Y126&lt;&gt;"",EDATE($D126,Milestones!$AA$33)&gt;=$Y126),$AB126,$AA126)))=Milestones!$AB$33),UPPER(TEXT(EDATE($D126,Milestones!$AA$33),"dd mmm yy"))&amp;" "&amp;Milestones!$AB$33&amp;" "&amp;IF(AND(Milestones!$AB$33="FT",Milestones!$AA$33=FT_Y5,EDATE($D126,Milestones!$AA$33)&lt;PolicyEff),1,Milestones!$AC$33)&amp;";  ","")&amp;IF(AND(EDATE($D126,Milestones!$AA$34)&lt;=AsOfDate,EDATE($D126,Milestones!$AA$34)&gt;=SchemeStart,IF($X126=0,$AD126,IF(AND($Z126&lt;&gt;"",EDATE($D126,Milestones!$AA$34)&gt;=$Z126),$AC126,IF(AND($Y126&lt;&gt;"",EDATE($D126,Milestones!$AA$34)&gt;=$Y126),$AB126,$AA126)))=Milestones!$AB$34),UPPER(TEXT(EDATE($D126,Milestones!$AA$34),"dd mmm yy"))&amp;" "&amp;Milestones!$AB$34&amp;" "&amp;IF(AND(Milestones!$AB$34="FT",Milestones!$AA$34=FT_Y5,EDATE($D126,Milestones!$AA$34)&lt;PolicyEff),1,Milestones!$AC$34)&amp;";  ","")&amp;IF(AND(EDATE($D126,Milestones!$AA$35)&lt;=AsOfDate,EDATE($D126,Milestones!$AA$35)&gt;=SchemeStart,IF($X126=0,$AD126,IF(AND($Z126&lt;&gt;"",EDATE($D126,Milestones!$AA$35)&gt;=$Z126),$AC126,IF(AND($Y126&lt;&gt;"",EDATE($D126,Milestones!$AA$35)&gt;=$Y126),$AB126,$AA126)))=Milestones!$AB$35),UPPER(TEXT(EDATE($D126,Milestones!$AA$35),"dd mmm yy"))&amp;" "&amp;Milestones!$AB$35&amp;" "&amp;IF(AND(Milestones!$AB$35="FT",Milestones!$AA$35=FT_Y5,EDATE($D126,Milestones!$AA$35)&lt;PolicyEff),1,Milestones!$AC$35)&amp;";  ","")&amp;IF(AND(EDATE($D126,Milestones!$AA$36)&lt;=AsOfDate,EDATE($D126,Milestones!$AA$36)&gt;=SchemeStart,IF($X126=0,$AD126,IF(AND($Z126&lt;&gt;"",EDATE($D126,Milestones!$AA$36)&gt;=$Z126),$AC126,IF(AND($Y126&lt;&gt;"",EDATE($D126,Milestones!$AA$36)&gt;=$Y126),$AB126,$AA126)))=Milestones!$AB$36),UPPER(TEXT(EDATE($D126,Milestones!$AA$36),"dd mmm yy"))&amp;" "&amp;Milestones!$AB$36&amp;" "&amp;IF(AND(Milestones!$AB$36="FT",Milestones!$AA$36=FT_Y5,EDATE($D126,Milestones!$AA$36)&lt;PolicyEff),1,Milestones!$AC$36)&amp;";  ","")&amp;IF(AND(EDATE($D126,Milestones!$AA$37)&lt;=AsOfDate,EDATE($D126,Milestones!$AA$37)&gt;=SchemeStart,IF($X126=0,$AD126,IF(AND($Z126&lt;&gt;"",EDATE($D126,Milestones!$AA$37)&gt;=$Z126),$AC126,IF(AND($Y126&lt;&gt;"",EDATE($D126,Milestones!$AA$37)&gt;=$Y126),$AB126,$AA126)))=Milestones!$AB$37),UPPER(TEXT(EDATE($D126,Milestones!$AA$37),"dd mmm yy"))&amp;" "&amp;Milestones!$AB$37&amp;" "&amp;IF(AND(Milestones!$AB$37="FT",Milestones!$AA$37=FT_Y5,EDATE($D126,Milestones!$AA$37)&lt;PolicyEff),1,Milestones!$AC$37)&amp;";  ","")&amp;IF(AND(EDATE($D126,Milestones!$AA$38)&lt;=AsOfDate,EDATE($D126,Milestones!$AA$38)&gt;=SchemeStart,IF($X126=0,$AD126,IF(AND($Z126&lt;&gt;"",EDATE($D126,Milestones!$AA$38)&gt;=$Z126),$AC126,IF(AND($Y126&lt;&gt;"",EDATE($D126,Milestones!$AA$38)&gt;=$Y126),$AB126,$AA126)))=Milestones!$AB$38),UPPER(TEXT(EDATE($D126,Milestones!$AA$38),"dd mmm yy"))&amp;" "&amp;Milestones!$AB$38&amp;" "&amp;IF(AND(Milestones!$AB$38="FT",Milestones!$AA$38=FT_Y5,EDATE($D126,Milestones!$AA$38)&lt;PolicyEff),1,Milestones!$AC$38)&amp;";  ","")&amp;IF(AND(EDATE($D126,Milestones!$AA$39)&lt;=AsOfDate,EDATE($D126,Milestones!$AA$39)&gt;=SchemeStart,IF($X126=0,$AD126,IF(AND($Z126&lt;&gt;"",EDATE($D126,Milestones!$AA$39)&gt;=$Z126),$AC126,IF(AND($Y126&lt;&gt;"",EDATE($D126,Milestones!$AA$39)&gt;=$Y126),$AB126,$AA126)))=Milestones!$AB$39),UPPER(TEXT(EDATE($D126,Milestones!$AA$39),"dd mmm yy"))&amp;" "&amp;Milestones!$AB$39&amp;" "&amp;IF(AND(Milestones!$AB$39="FT",Milestones!$AA$39=FT_Y5,EDATE($D126,Milestones!$AA$39)&lt;PolicyEff),1,Milestones!$AC$39)&amp;";  ","")&amp;IF(AND(EDATE($D126,Milestones!$AA$40)&lt;=AsOfDate,EDATE($D126,Milestones!$AA$40)&gt;=SchemeStart,IF($X126=0,$AD126,IF(AND($Z126&lt;&gt;"",EDATE($D126,Milestones!$AA$40)&gt;=$Z126),$AC126,IF(AND($Y126&lt;&gt;"",EDATE($D126,Milestones!$AA$40)&gt;=$Y126),$AB126,$AA126)))=Milestones!$AB$40),UPPER(TEXT(EDATE($D126,Milestones!$AA$40),"dd mmm yy"))&amp;" "&amp;Milestones!$AB$40&amp;" "&amp;IF(AND(Milestones!$AB$40="FT",Milestones!$AA$40=FT_Y5,EDATE($D126,Milestones!$AA$40)&lt;PolicyEff),1,Milestones!$AC$40)&amp;";  ","")&amp;IF(AND(EDATE($D126,Milestones!$AA$41)&lt;=AsOfDate,EDATE($D126,Milestones!$AA$41)&gt;=SchemeStart,IF($X126=0,$AD126,IF(AND($Z126&lt;&gt;"",EDATE($D126,Milestones!$AA$41)&gt;=$Z126),$AC126,IF(AND($Y126&lt;&gt;"",EDATE($D126,Milestones!$AA$41)&gt;=$Y126),$AB126,$AA126)))=Milestones!$AB$41),UPPER(TEXT(EDATE($D126,Milestones!$AA$41),"dd mmm yy"))&amp;" "&amp;Milestones!$AB$41&amp;" "&amp;IF(AND(Milestones!$AB$41="FT",Milestones!$AA$41=FT_Y5,EDATE($D126,Milestones!$AA$41)&lt;PolicyEff),1,Milestones!$AC$41)&amp;";  ","")&amp;IF(AND(EDATE($D126,Milestones!$AA$42)&lt;=AsOfDate,EDATE($D126,Milestones!$AA$42)&gt;=SchemeStart,IF($X126=0,$AD126,IF(AND($Z126&lt;&gt;"",EDATE($D126,Milestones!$AA$42)&gt;=$Z126),$AC126,IF(AND($Y126&lt;&gt;"",EDATE($D126,Milestones!$AA$42)&gt;=$Y126),$AB126,$AA126)))=Milestones!$AB$42),UPPER(TEXT(EDATE($D126,Milestones!$AA$42),"dd mmm yy"))&amp;" "&amp;Milestones!$AB$42&amp;" "&amp;IF(AND(Milestones!$AB$42="FT",Milestones!$AA$42=FT_Y5,EDATE($D126,Milestones!$AA$42)&lt;PolicyEff),1,Milestones!$AC$42)&amp;";  ","")&amp;IF(AND(EDATE($D126,Milestones!$AA$43)&lt;=AsOfDate,EDATE($D126,Milestones!$AA$43)&gt;=SchemeStart,IF($X126=0,$AD126,IF(AND($Z126&lt;&gt;"",EDATE($D126,Milestones!$AA$43)&gt;=$Z126),$AC126,IF(AND($Y126&lt;&gt;"",EDATE($D126,Milestones!$AA$43)&gt;=$Y126),$AB126,$AA126)))=Milestones!$AB$43),UPPER(TEXT(EDATE($D126,Milestones!$AA$43),"dd mmm yy"))&amp;" "&amp;Milestones!$AB$43&amp;" "&amp;IF(AND(Milestones!$AB$43="FT",Milestones!$AA$43=FT_Y5,EDATE($D126,Milestones!$AA$43)&lt;PolicyEff),1,Milestones!$AC$43)&amp;";  ",""))</f>
        <v/>
      </c>
      <c r="K126" s="0" t="str">
        <f aca="false">IF(OR($A126="",$D126=""),"",IF(AND(EDATE($D126,Milestones!$AA$44)&lt;=AsOfDate,EDATE($D126,Milestones!$AA$44)&gt;=SchemeStart,IF($X126=0,$AD126,IF(AND($Z126&lt;&gt;"",EDATE($D126,Milestones!$AA$44)&gt;=$Z126),$AC126,IF(AND($Y126&lt;&gt;"",EDATE($D126,Milestones!$AA$44)&gt;=$Y126),$AB126,$AA126)))=Milestones!$AB$44),UPPER(TEXT(EDATE($D126,Milestones!$AA$44),"dd mmm yy"))&amp;" "&amp;Milestones!$AB$44&amp;" "&amp;IF(AND(Milestones!$AB$44="FT",Milestones!$AA$44=FT_Y5,EDATE($D126,Milestones!$AA$44)&lt;PolicyEff),1,Milestones!$AC$44)&amp;";  ","")&amp;IF(AND(EDATE($D126,Milestones!$AA$45)&lt;=AsOfDate,EDATE($D126,Milestones!$AA$45)&gt;=SchemeStart,IF($X126=0,$AD126,IF(AND($Z126&lt;&gt;"",EDATE($D126,Milestones!$AA$45)&gt;=$Z126),$AC126,IF(AND($Y126&lt;&gt;"",EDATE($D126,Milestones!$AA$45)&gt;=$Y126),$AB126,$AA126)))=Milestones!$AB$45),UPPER(TEXT(EDATE($D126,Milestones!$AA$45),"dd mmm yy"))&amp;" "&amp;Milestones!$AB$45&amp;" "&amp;IF(AND(Milestones!$AB$45="FT",Milestones!$AA$45=FT_Y5,EDATE($D126,Milestones!$AA$45)&lt;PolicyEff),1,Milestones!$AC$45)&amp;";  ","")&amp;IF(AND(EDATE($D126,Milestones!$AA$46)&lt;=AsOfDate,EDATE($D126,Milestones!$AA$46)&gt;=SchemeStart,IF($X126=0,$AD126,IF(AND($Z126&lt;&gt;"",EDATE($D126,Milestones!$AA$46)&gt;=$Z126),$AC126,IF(AND($Y126&lt;&gt;"",EDATE($D126,Milestones!$AA$46)&gt;=$Y126),$AB126,$AA126)))=Milestones!$AB$46),UPPER(TEXT(EDATE($D126,Milestones!$AA$46),"dd mmm yy"))&amp;" "&amp;Milestones!$AB$46&amp;" "&amp;IF(AND(Milestones!$AB$46="FT",Milestones!$AA$46=FT_Y5,EDATE($D126,Milestones!$AA$46)&lt;PolicyEff),1,Milestones!$AC$46)&amp;";  ","")&amp;IF(AND(EDATE($D126,Milestones!$AA$47)&lt;=AsOfDate,EDATE($D126,Milestones!$AA$47)&gt;=SchemeStart,IF($X126=0,$AD126,IF(AND($Z126&lt;&gt;"",EDATE($D126,Milestones!$AA$47)&gt;=$Z126),$AC126,IF(AND($Y126&lt;&gt;"",EDATE($D126,Milestones!$AA$47)&gt;=$Y126),$AB126,$AA126)))=Milestones!$AB$47),UPPER(TEXT(EDATE($D126,Milestones!$AA$47),"dd mmm yy"))&amp;" "&amp;Milestones!$AB$47&amp;" "&amp;IF(AND(Milestones!$AB$47="FT",Milestones!$AA$47=FT_Y5,EDATE($D126,Milestones!$AA$47)&lt;PolicyEff),1,Milestones!$AC$47)&amp;";  ","")&amp;IF(AND(EDATE($D126,Milestones!$AA$48)&lt;=AsOfDate,EDATE($D126,Milestones!$AA$48)&gt;=SchemeStart,IF($X126=0,$AD126,IF(AND($Z126&lt;&gt;"",EDATE($D126,Milestones!$AA$48)&gt;=$Z126),$AC126,IF(AND($Y126&lt;&gt;"",EDATE($D126,Milestones!$AA$48)&gt;=$Y126),$AB126,$AA126)))=Milestones!$AB$48),UPPER(TEXT(EDATE($D126,Milestones!$AA$48),"dd mmm yy"))&amp;" "&amp;Milestones!$AB$48&amp;" "&amp;IF(AND(Milestones!$AB$48="FT",Milestones!$AA$48=FT_Y5,EDATE($D126,Milestones!$AA$48)&lt;PolicyEff),1,Milestones!$AC$48)&amp;";  ","")&amp;IF(AND(EDATE($D126,Milestones!$AA$49)&lt;=AsOfDate,EDATE($D126,Milestones!$AA$49)&gt;=SchemeStart,IF($X126=0,$AD126,IF(AND($Z126&lt;&gt;"",EDATE($D126,Milestones!$AA$49)&gt;=$Z126),$AC126,IF(AND($Y126&lt;&gt;"",EDATE($D126,Milestones!$AA$49)&gt;=$Y126),$AB126,$AA126)))=Milestones!$AB$49),UPPER(TEXT(EDATE($D126,Milestones!$AA$49),"dd mmm yy"))&amp;" "&amp;Milestones!$AB$49&amp;" "&amp;IF(AND(Milestones!$AB$49="FT",Milestones!$AA$49=FT_Y5,EDATE($D126,Milestones!$AA$49)&lt;PolicyEff),1,Milestones!$AC$49)&amp;";  ","")&amp;IF(AND(EDATE($D126,Milestones!$AA$50)&lt;=AsOfDate,EDATE($D126,Milestones!$AA$50)&gt;=SchemeStart,IF($X126=0,$AD126,IF(AND($Z126&lt;&gt;"",EDATE($D126,Milestones!$AA$50)&gt;=$Z126),$AC126,IF(AND($Y126&lt;&gt;"",EDATE($D126,Milestones!$AA$50)&gt;=$Y126),$AB126,$AA126)))=Milestones!$AB$50),UPPER(TEXT(EDATE($D126,Milestones!$AA$50),"dd mmm yy"))&amp;" "&amp;Milestones!$AB$50&amp;" "&amp;IF(AND(Milestones!$AB$50="FT",Milestones!$AA$50=FT_Y5,EDATE($D126,Milestones!$AA$50)&lt;PolicyEff),1,Milestones!$AC$50)&amp;";  ","")&amp;IF(AND(EDATE($D126,Milestones!$AA$51)&lt;=AsOfDate,EDATE($D126,Milestones!$AA$51)&gt;=SchemeStart,IF($X126=0,$AD126,IF(AND($Z126&lt;&gt;"",EDATE($D126,Milestones!$AA$51)&gt;=$Z126),$AC126,IF(AND($Y126&lt;&gt;"",EDATE($D126,Milestones!$AA$51)&gt;=$Y126),$AB126,$AA126)))=Milestones!$AB$51),UPPER(TEXT(EDATE($D126,Milestones!$AA$51),"dd mmm yy"))&amp;" "&amp;Milestones!$AB$51&amp;" "&amp;IF(AND(Milestones!$AB$51="FT",Milestones!$AA$51=FT_Y5,EDATE($D126,Milestones!$AA$51)&lt;PolicyEff),1,Milestones!$AC$51)&amp;";  ","")&amp;IF(AND(EDATE($D126,Milestones!$AA$52)&lt;=AsOfDate,EDATE($D126,Milestones!$AA$52)&gt;=SchemeStart,IF($X126=0,$AD126,IF(AND($Z126&lt;&gt;"",EDATE($D126,Milestones!$AA$52)&gt;=$Z126),$AC126,IF(AND($Y126&lt;&gt;"",EDATE($D126,Milestones!$AA$52)&gt;=$Y126),$AB126,$AA126)))=Milestones!$AB$52),UPPER(TEXT(EDATE($D126,Milestones!$AA$52),"dd mmm yy"))&amp;" "&amp;Milestones!$AB$52&amp;" "&amp;IF(AND(Milestones!$AB$52="FT",Milestones!$AA$52=FT_Y5,EDATE($D126,Milestones!$AA$52)&lt;PolicyEff),1,Milestones!$AC$52)&amp;";  ","")&amp;IF(AND(EDATE($D126,Milestones!$AA$53)&lt;=AsOfDate,EDATE($D126,Milestones!$AA$53)&gt;=SchemeStart,IF($X126=0,$AD126,IF(AND($Z126&lt;&gt;"",EDATE($D126,Milestones!$AA$53)&gt;=$Z126),$AC126,IF(AND($Y126&lt;&gt;"",EDATE($D126,Milestones!$AA$53)&gt;=$Y126),$AB126,$AA126)))=Milestones!$AB$53),UPPER(TEXT(EDATE($D126,Milestones!$AA$53),"dd mmm yy"))&amp;" "&amp;Milestones!$AB$53&amp;" "&amp;IF(AND(Milestones!$AB$53="FT",Milestones!$AA$53=FT_Y5,EDATE($D126,Milestones!$AA$53)&lt;PolicyEff),1,Milestones!$AC$53)&amp;";  ","")&amp;IF(AND(EDATE($D126,Milestones!$AA$54)&lt;=AsOfDate,EDATE($D126,Milestones!$AA$54)&gt;=SchemeStart,IF($X126=0,$AD126,IF(AND($Z126&lt;&gt;"",EDATE($D126,Milestones!$AA$54)&gt;=$Z126),$AC126,IF(AND($Y126&lt;&gt;"",EDATE($D126,Milestones!$AA$54)&gt;=$Y126),$AB126,$AA126)))=Milestones!$AB$54),UPPER(TEXT(EDATE($D126,Milestones!$AA$54),"dd mmm yy"))&amp;" "&amp;Milestones!$AB$54&amp;" "&amp;IF(AND(Milestones!$AB$54="FT",Milestones!$AA$54=FT_Y5,EDATE($D126,Milestones!$AA$54)&lt;PolicyEff),1,Milestones!$AC$54)&amp;";  ","")&amp;IF(AND(EDATE($D126,Milestones!$AA$55)&lt;=AsOfDate,EDATE($D126,Milestones!$AA$55)&gt;=SchemeStart,IF($X126=0,$AD126,IF(AND($Z126&lt;&gt;"",EDATE($D126,Milestones!$AA$55)&gt;=$Z126),$AC126,IF(AND($Y126&lt;&gt;"",EDATE($D126,Milestones!$AA$55)&gt;=$Y126),$AB126,$AA126)))=Milestones!$AB$55),UPPER(TEXT(EDATE($D126,Milestones!$AA$55),"dd mmm yy"))&amp;" "&amp;Milestones!$AB$55&amp;" "&amp;IF(AND(Milestones!$AB$55="FT",Milestones!$AA$55=FT_Y5,EDATE($D126,Milestones!$AA$55)&lt;PolicyEff),1,Milestones!$AC$55)&amp;";  ",""))</f>
        <v/>
      </c>
      <c r="L126" s="0" t="str">
        <f aca="false">IF(OR($A126="",$D126=""),"",IF(AND(EDATE($D126,Milestones!$AA$56)&lt;=AsOfDate,EDATE($D126,Milestones!$AA$56)&gt;=SchemeStart,IF($X126=0,$AD126,IF(AND($Z126&lt;&gt;"",EDATE($D126,Milestones!$AA$56)&gt;=$Z126),$AC126,IF(AND($Y126&lt;&gt;"",EDATE($D126,Milestones!$AA$56)&gt;=$Y126),$AB126,$AA126)))=Milestones!$AB$56),UPPER(TEXT(EDATE($D126,Milestones!$AA$56),"dd mmm yy"))&amp;" "&amp;Milestones!$AB$56&amp;" "&amp;IF(AND(Milestones!$AB$56="FT",Milestones!$AA$56=FT_Y5,EDATE($D126,Milestones!$AA$56)&lt;PolicyEff),1,Milestones!$AC$56)&amp;";  ","")&amp;IF(AND(EDATE($D126,Milestones!$AA$57)&lt;=AsOfDate,EDATE($D126,Milestones!$AA$57)&gt;=SchemeStart,IF($X126=0,$AD126,IF(AND($Z126&lt;&gt;"",EDATE($D126,Milestones!$AA$57)&gt;=$Z126),$AC126,IF(AND($Y126&lt;&gt;"",EDATE($D126,Milestones!$AA$57)&gt;=$Y126),$AB126,$AA126)))=Milestones!$AB$57),UPPER(TEXT(EDATE($D126,Milestones!$AA$57),"dd mmm yy"))&amp;" "&amp;Milestones!$AB$57&amp;" "&amp;IF(AND(Milestones!$AB$57="FT",Milestones!$AA$57=FT_Y5,EDATE($D126,Milestones!$AA$57)&lt;PolicyEff),1,Milestones!$AC$57)&amp;";  ","")&amp;IF(AND(EDATE($D126,Milestones!$AA$58)&lt;=AsOfDate,EDATE($D126,Milestones!$AA$58)&gt;=SchemeStart,IF($X126=0,$AD126,IF(AND($Z126&lt;&gt;"",EDATE($D126,Milestones!$AA$58)&gt;=$Z126),$AC126,IF(AND($Y126&lt;&gt;"",EDATE($D126,Milestones!$AA$58)&gt;=$Y126),$AB126,$AA126)))=Milestones!$AB$58),UPPER(TEXT(EDATE($D126,Milestones!$AA$58),"dd mmm yy"))&amp;" "&amp;Milestones!$AB$58&amp;" "&amp;IF(AND(Milestones!$AB$58="FT",Milestones!$AA$58=FT_Y5,EDATE($D126,Milestones!$AA$58)&lt;PolicyEff),1,Milestones!$AC$58)&amp;";  ","")&amp;IF(AND(EDATE($D126,Milestones!$AA$59)&lt;=AsOfDate,EDATE($D126,Milestones!$AA$59)&gt;=SchemeStart,IF($X126=0,$AD126,IF(AND($Z126&lt;&gt;"",EDATE($D126,Milestones!$AA$59)&gt;=$Z126),$AC126,IF(AND($Y126&lt;&gt;"",EDATE($D126,Milestones!$AA$59)&gt;=$Y126),$AB126,$AA126)))=Milestones!$AB$59),UPPER(TEXT(EDATE($D126,Milestones!$AA$59),"dd mmm yy"))&amp;" "&amp;Milestones!$AB$59&amp;" "&amp;IF(AND(Milestones!$AB$59="FT",Milestones!$AA$59=FT_Y5,EDATE($D126,Milestones!$AA$59)&lt;PolicyEff),1,Milestones!$AC$59)&amp;";  ","")&amp;IF(AND(EDATE($D126,Milestones!$AA$60)&lt;=AsOfDate,EDATE($D126,Milestones!$AA$60)&gt;=SchemeStart,IF($X126=0,$AD126,IF(AND($Z126&lt;&gt;"",EDATE($D126,Milestones!$AA$60)&gt;=$Z126),$AC126,IF(AND($Y126&lt;&gt;"",EDATE($D126,Milestones!$AA$60)&gt;=$Y126),$AB126,$AA126)))=Milestones!$AB$60),UPPER(TEXT(EDATE($D126,Milestones!$AA$60),"dd mmm yy"))&amp;" "&amp;Milestones!$AB$60&amp;" "&amp;IF(AND(Milestones!$AB$60="FT",Milestones!$AA$60=FT_Y5,EDATE($D126,Milestones!$AA$60)&lt;PolicyEff),1,Milestones!$AC$60)&amp;";  ","")&amp;IF(AND(EDATE($D126,Milestones!$AA$61)&lt;=AsOfDate,EDATE($D126,Milestones!$AA$61)&gt;=SchemeStart,IF($X126=0,$AD126,IF(AND($Z126&lt;&gt;"",EDATE($D126,Milestones!$AA$61)&gt;=$Z126),$AC126,IF(AND($Y126&lt;&gt;"",EDATE($D126,Milestones!$AA$61)&gt;=$Y126),$AB126,$AA126)))=Milestones!$AB$61),UPPER(TEXT(EDATE($D126,Milestones!$AA$61),"dd mmm yy"))&amp;" "&amp;Milestones!$AB$61&amp;" "&amp;IF(AND(Milestones!$AB$61="FT",Milestones!$AA$61=FT_Y5,EDATE($D126,Milestones!$AA$61)&lt;PolicyEff),1,Milestones!$AC$61)&amp;";  ","")&amp;IF(AND(EDATE($D126,Milestones!$AA$62)&lt;=AsOfDate,EDATE($D126,Milestones!$AA$62)&gt;=SchemeStart,IF($X126=0,$AD126,IF(AND($Z126&lt;&gt;"",EDATE($D126,Milestones!$AA$62)&gt;=$Z126),$AC126,IF(AND($Y126&lt;&gt;"",EDATE($D126,Milestones!$AA$62)&gt;=$Y126),$AB126,$AA126)))=Milestones!$AB$62),UPPER(TEXT(EDATE($D126,Milestones!$AA$62),"dd mmm yy"))&amp;" "&amp;Milestones!$AB$62&amp;" "&amp;IF(AND(Milestones!$AB$62="FT",Milestones!$AA$62=FT_Y5,EDATE($D126,Milestones!$AA$62)&lt;PolicyEff),1,Milestones!$AC$62)&amp;";  ","")&amp;IF(AND(EDATE($D126,Milestones!$AA$63)&lt;=AsOfDate,EDATE($D126,Milestones!$AA$63)&gt;=SchemeStart,IF($X126=0,$AD126,IF(AND($Z126&lt;&gt;"",EDATE($D126,Milestones!$AA$63)&gt;=$Z126),$AC126,IF(AND($Y126&lt;&gt;"",EDATE($D126,Milestones!$AA$63)&gt;=$Y126),$AB126,$AA126)))=Milestones!$AB$63),UPPER(TEXT(EDATE($D126,Milestones!$AA$63),"dd mmm yy"))&amp;" "&amp;Milestones!$AB$63&amp;" "&amp;IF(AND(Milestones!$AB$63="FT",Milestones!$AA$63=FT_Y5,EDATE($D126,Milestones!$AA$63)&lt;PolicyEff),1,Milestones!$AC$63)&amp;";  ","")&amp;IF(AND(EDATE($D126,Milestones!$AA$64)&lt;=AsOfDate,EDATE($D126,Milestones!$AA$64)&gt;=SchemeStart,IF($X126=0,$AD126,IF(AND($Z126&lt;&gt;"",EDATE($D126,Milestones!$AA$64)&gt;=$Z126),$AC126,IF(AND($Y126&lt;&gt;"",EDATE($D126,Milestones!$AA$64)&gt;=$Y126),$AB126,$AA126)))=Milestones!$AB$64),UPPER(TEXT(EDATE($D126,Milestones!$AA$64),"dd mmm yy"))&amp;" "&amp;Milestones!$AB$64&amp;" "&amp;IF(AND(Milestones!$AB$64="FT",Milestones!$AA$64=FT_Y5,EDATE($D126,Milestones!$AA$64)&lt;PolicyEff),1,Milestones!$AC$64)&amp;";  ","")&amp;IF(AND(EDATE($D126,Milestones!$AA$65)&lt;=AsOfDate,EDATE($D126,Milestones!$AA$65)&gt;=SchemeStart,IF($X126=0,$AD126,IF(AND($Z126&lt;&gt;"",EDATE($D126,Milestones!$AA$65)&gt;=$Z126),$AC126,IF(AND($Y126&lt;&gt;"",EDATE($D126,Milestones!$AA$65)&gt;=$Y126),$AB126,$AA126)))=Milestones!$AB$65),UPPER(TEXT(EDATE($D126,Milestones!$AA$65),"dd mmm yy"))&amp;" "&amp;Milestones!$AB$65&amp;" "&amp;IF(AND(Milestones!$AB$65="FT",Milestones!$AA$65=FT_Y5,EDATE($D126,Milestones!$AA$65)&lt;PolicyEff),1,Milestones!$AC$65)&amp;";  ","")&amp;IF(AND(EDATE($D126,Milestones!$AA$66)&lt;=AsOfDate,EDATE($D126,Milestones!$AA$66)&gt;=SchemeStart,IF($X126=0,$AD126,IF(AND($Z126&lt;&gt;"",EDATE($D126,Milestones!$AA$66)&gt;=$Z126),$AC126,IF(AND($Y126&lt;&gt;"",EDATE($D126,Milestones!$AA$66)&gt;=$Y126),$AB126,$AA126)))=Milestones!$AB$66),UPPER(TEXT(EDATE($D126,Milestones!$AA$66),"dd mmm yy"))&amp;" "&amp;Milestones!$AB$66&amp;" "&amp;IF(AND(Milestones!$AB$66="FT",Milestones!$AA$66=FT_Y5,EDATE($D126,Milestones!$AA$66)&lt;PolicyEff),1,Milestones!$AC$66)&amp;";  ","")&amp;IF(AND(EDATE($D126,Milestones!$AA$67)&lt;=AsOfDate,EDATE($D126,Milestones!$AA$67)&gt;=SchemeStart,IF($X126=0,$AD126,IF(AND($Z126&lt;&gt;"",EDATE($D126,Milestones!$AA$67)&gt;=$Z126),$AC126,IF(AND($Y126&lt;&gt;"",EDATE($D126,Milestones!$AA$67)&gt;=$Y126),$AB126,$AA126)))=Milestones!$AB$67),UPPER(TEXT(EDATE($D126,Milestones!$AA$67),"dd mmm yy"))&amp;" "&amp;Milestones!$AB$67&amp;" "&amp;IF(AND(Milestones!$AB$67="FT",Milestones!$AA$67=FT_Y5,EDATE($D126,Milestones!$AA$67)&lt;PolicyEff),1,Milestones!$AC$67)&amp;";  ",""))</f>
        <v/>
      </c>
      <c r="M126" s="0" t="str">
        <f aca="false">IF(OR($A126="",$D126=""),"",IF(AND(EDATE($D126,Milestones!$AA$68)&lt;=AsOfDate,EDATE($D126,Milestones!$AA$68)&gt;=SchemeStart,IF($X126=0,$AD126,IF(AND($Z126&lt;&gt;"",EDATE($D126,Milestones!$AA$68)&gt;=$Z126),$AC126,IF(AND($Y126&lt;&gt;"",EDATE($D126,Milestones!$AA$68)&gt;=$Y126),$AB126,$AA126)))=Milestones!$AB$68),UPPER(TEXT(EDATE($D126,Milestones!$AA$68),"dd mmm yy"))&amp;" "&amp;Milestones!$AB$68&amp;" "&amp;IF(AND(Milestones!$AB$68="FT",Milestones!$AA$68=FT_Y5,EDATE($D126,Milestones!$AA$68)&lt;PolicyEff),1,Milestones!$AC$68)&amp;";  ","")&amp;IF(AND(EDATE($D126,Milestones!$AA$69)&lt;=AsOfDate,EDATE($D126,Milestones!$AA$69)&gt;=SchemeStart,IF($X126=0,$AD126,IF(AND($Z126&lt;&gt;"",EDATE($D126,Milestones!$AA$69)&gt;=$Z126),$AC126,IF(AND($Y126&lt;&gt;"",EDATE($D126,Milestones!$AA$69)&gt;=$Y126),$AB126,$AA126)))=Milestones!$AB$69),UPPER(TEXT(EDATE($D126,Milestones!$AA$69),"dd mmm yy"))&amp;" "&amp;Milestones!$AB$69&amp;" "&amp;IF(AND(Milestones!$AB$69="FT",Milestones!$AA$69=FT_Y5,EDATE($D126,Milestones!$AA$69)&lt;PolicyEff),1,Milestones!$AC$69)&amp;";  ","")&amp;IF(AND(EDATE($D126,Milestones!$AA$70)&lt;=AsOfDate,EDATE($D126,Milestones!$AA$70)&gt;=SchemeStart,IF($X126=0,$AD126,IF(AND($Z126&lt;&gt;"",EDATE($D126,Milestones!$AA$70)&gt;=$Z126),$AC126,IF(AND($Y126&lt;&gt;"",EDATE($D126,Milestones!$AA$70)&gt;=$Y126),$AB126,$AA126)))=Milestones!$AB$70),UPPER(TEXT(EDATE($D126,Milestones!$AA$70),"dd mmm yy"))&amp;" "&amp;Milestones!$AB$70&amp;" "&amp;IF(AND(Milestones!$AB$70="FT",Milestones!$AA$70=FT_Y5,EDATE($D126,Milestones!$AA$70)&lt;PolicyEff),1,Milestones!$AC$70)&amp;";  ","")&amp;IF(AND(EDATE($D126,Milestones!$AA$71)&lt;=AsOfDate,EDATE($D126,Milestones!$AA$71)&gt;=SchemeStart,IF($X126=0,$AD126,IF(AND($Z126&lt;&gt;"",EDATE($D126,Milestones!$AA$71)&gt;=$Z126),$AC126,IF(AND($Y126&lt;&gt;"",EDATE($D126,Milestones!$AA$71)&gt;=$Y126),$AB126,$AA126)))=Milestones!$AB$71),UPPER(TEXT(EDATE($D126,Milestones!$AA$71),"dd mmm yy"))&amp;" "&amp;Milestones!$AB$71&amp;" "&amp;IF(AND(Milestones!$AB$71="FT",Milestones!$AA$71=FT_Y5,EDATE($D126,Milestones!$AA$71)&lt;PolicyEff),1,Milestones!$AC$71)&amp;";  ","")&amp;IF(AND(EDATE($D126,Milestones!$AA$72)&lt;=AsOfDate,EDATE($D126,Milestones!$AA$72)&gt;=SchemeStart,IF($X126=0,$AD126,IF(AND($Z126&lt;&gt;"",EDATE($D126,Milestones!$AA$72)&gt;=$Z126),$AC126,IF(AND($Y126&lt;&gt;"",EDATE($D126,Milestones!$AA$72)&gt;=$Y126),$AB126,$AA126)))=Milestones!$AB$72),UPPER(TEXT(EDATE($D126,Milestones!$AA$72),"dd mmm yy"))&amp;" "&amp;Milestones!$AB$72&amp;" "&amp;IF(AND(Milestones!$AB$72="FT",Milestones!$AA$72=FT_Y5,EDATE($D126,Milestones!$AA$72)&lt;PolicyEff),1,Milestones!$AC$72)&amp;";  ","")&amp;IF(AND(EDATE($D126,Milestones!$AA$73)&lt;=AsOfDate,EDATE($D126,Milestones!$AA$73)&gt;=SchemeStart,IF($X126=0,$AD126,IF(AND($Z126&lt;&gt;"",EDATE($D126,Milestones!$AA$73)&gt;=$Z126),$AC126,IF(AND($Y126&lt;&gt;"",EDATE($D126,Milestones!$AA$73)&gt;=$Y126),$AB126,$AA126)))=Milestones!$AB$73),UPPER(TEXT(EDATE($D126,Milestones!$AA$73),"dd mmm yy"))&amp;" "&amp;Milestones!$AB$73&amp;" "&amp;IF(AND(Milestones!$AB$73="FT",Milestones!$AA$73=FT_Y5,EDATE($D126,Milestones!$AA$73)&lt;PolicyEff),1,Milestones!$AC$73)&amp;";  ","")&amp;IF(AND(EDATE($D126,Milestones!$AA$74)&lt;=AsOfDate,EDATE($D126,Milestones!$AA$74)&gt;=SchemeStart,IF($X126=0,$AD126,IF(AND($Z126&lt;&gt;"",EDATE($D126,Milestones!$AA$74)&gt;=$Z126),$AC126,IF(AND($Y126&lt;&gt;"",EDATE($D126,Milestones!$AA$74)&gt;=$Y126),$AB126,$AA126)))=Milestones!$AB$74),UPPER(TEXT(EDATE($D126,Milestones!$AA$74),"dd mmm yy"))&amp;" "&amp;Milestones!$AB$74&amp;" "&amp;IF(AND(Milestones!$AB$74="FT",Milestones!$AA$74=FT_Y5,EDATE($D126,Milestones!$AA$74)&lt;PolicyEff),1,Milestones!$AC$74)&amp;";  ","")&amp;IF(AND(EDATE($D126,Milestones!$AA$75)&lt;=AsOfDate,EDATE($D126,Milestones!$AA$75)&gt;=SchemeStart,IF($X126=0,$AD126,IF(AND($Z126&lt;&gt;"",EDATE($D126,Milestones!$AA$75)&gt;=$Z126),$AC126,IF(AND($Y126&lt;&gt;"",EDATE($D126,Milestones!$AA$75)&gt;=$Y126),$AB126,$AA126)))=Milestones!$AB$75),UPPER(TEXT(EDATE($D126,Milestones!$AA$75),"dd mmm yy"))&amp;" "&amp;Milestones!$AB$75&amp;" "&amp;IF(AND(Milestones!$AB$75="FT",Milestones!$AA$75=FT_Y5,EDATE($D126,Milestones!$AA$75)&lt;PolicyEff),1,Milestones!$AC$75)&amp;";  ","")&amp;IF(AND(EDATE($D126,Milestones!$AA$76)&lt;=AsOfDate,EDATE($D126,Milestones!$AA$76)&gt;=SchemeStart,IF($X126=0,$AD126,IF(AND($Z126&lt;&gt;"",EDATE($D126,Milestones!$AA$76)&gt;=$Z126),$AC126,IF(AND($Y126&lt;&gt;"",EDATE($D126,Milestones!$AA$76)&gt;=$Y126),$AB126,$AA126)))=Milestones!$AB$76),UPPER(TEXT(EDATE($D126,Milestones!$AA$76),"dd mmm yy"))&amp;" "&amp;Milestones!$AB$76&amp;" "&amp;IF(AND(Milestones!$AB$76="FT",Milestones!$AA$76=FT_Y5,EDATE($D126,Milestones!$AA$76)&lt;PolicyEff),1,Milestones!$AC$76)&amp;";  ","")&amp;IF(AND(EDATE($D126,Milestones!$AA$77)&lt;=AsOfDate,EDATE($D126,Milestones!$AA$77)&gt;=SchemeStart,IF($X126=0,$AD126,IF(AND($Z126&lt;&gt;"",EDATE($D126,Milestones!$AA$77)&gt;=$Z126),$AC126,IF(AND($Y126&lt;&gt;"",EDATE($D126,Milestones!$AA$77)&gt;=$Y126),$AB126,$AA126)))=Milestones!$AB$77),UPPER(TEXT(EDATE($D126,Milestones!$AA$77),"dd mmm yy"))&amp;" "&amp;Milestones!$AB$77&amp;" "&amp;IF(AND(Milestones!$AB$77="FT",Milestones!$AA$77=FT_Y5,EDATE($D126,Milestones!$AA$77)&lt;PolicyEff),1,Milestones!$AC$77)&amp;";  ","")&amp;IF(AND(EDATE($D126,Milestones!$AA$78)&lt;=AsOfDate,EDATE($D126,Milestones!$AA$78)&gt;=SchemeStart,IF($X126=0,$AD126,IF(AND($Z126&lt;&gt;"",EDATE($D126,Milestones!$AA$78)&gt;=$Z126),$AC126,IF(AND($Y126&lt;&gt;"",EDATE($D126,Milestones!$AA$78)&gt;=$Y126),$AB126,$AA126)))=Milestones!$AB$78),UPPER(TEXT(EDATE($D126,Milestones!$AA$78),"dd mmm yy"))&amp;" "&amp;Milestones!$AB$78&amp;" "&amp;IF(AND(Milestones!$AB$78="FT",Milestones!$AA$78=FT_Y5,EDATE($D126,Milestones!$AA$78)&lt;PolicyEff),1,Milestones!$AC$78)&amp;";  ","")&amp;IF(AND(EDATE($D126,Milestones!$AA$79)&lt;=AsOfDate,EDATE($D126,Milestones!$AA$79)&gt;=SchemeStart,IF($X126=0,$AD126,IF(AND($Z126&lt;&gt;"",EDATE($D126,Milestones!$AA$79)&gt;=$Z126),$AC126,IF(AND($Y126&lt;&gt;"",EDATE($D126,Milestones!$AA$79)&gt;=$Y126),$AB126,$AA126)))=Milestones!$AB$79),UPPER(TEXT(EDATE($D126,Milestones!$AA$79),"dd mmm yy"))&amp;" "&amp;Milestones!$AB$79&amp;" "&amp;IF(AND(Milestones!$AB$79="FT",Milestones!$AA$79=FT_Y5,EDATE($D126,Milestones!$AA$79)&lt;PolicyEff),1,Milestones!$AC$79)&amp;";  ",""))</f>
        <v/>
      </c>
      <c r="N126" s="0" t="str">
        <f aca="false">IF(OR($A126="",$D126=""),"",IF(AND(EDATE($D126,Milestones!$AA$80)&lt;=AsOfDate,EDATE($D126,Milestones!$AA$80)&gt;=SchemeStart,IF($X126=0,$AD126,IF(AND($Z126&lt;&gt;"",EDATE($D126,Milestones!$AA$80)&gt;=$Z126),$AC126,IF(AND($Y126&lt;&gt;"",EDATE($D126,Milestones!$AA$80)&gt;=$Y126),$AB126,$AA126)))=Milestones!$AB$80),UPPER(TEXT(EDATE($D126,Milestones!$AA$80),"dd mmm yy"))&amp;" "&amp;Milestones!$AB$80&amp;" "&amp;IF(AND(Milestones!$AB$80="FT",Milestones!$AA$80=FT_Y5,EDATE($D126,Milestones!$AA$80)&lt;PolicyEff),1,Milestones!$AC$80)&amp;";  ","")&amp;IF(AND(EDATE($D126,Milestones!$AA$81)&lt;=AsOfDate,EDATE($D126,Milestones!$AA$81)&gt;=SchemeStart,IF($X126=0,$AD126,IF(AND($Z126&lt;&gt;"",EDATE($D126,Milestones!$AA$81)&gt;=$Z126),$AC126,IF(AND($Y126&lt;&gt;"",EDATE($D126,Milestones!$AA$81)&gt;=$Y126),$AB126,$AA126)))=Milestones!$AB$81),UPPER(TEXT(EDATE($D126,Milestones!$AA$81),"dd mmm yy"))&amp;" "&amp;Milestones!$AB$81&amp;" "&amp;IF(AND(Milestones!$AB$81="FT",Milestones!$AA$81=FT_Y5,EDATE($D126,Milestones!$AA$81)&lt;PolicyEff),1,Milestones!$AC$81)&amp;";  ","")&amp;IF(AND(EDATE($D126,Milestones!$AA$82)&lt;=AsOfDate,EDATE($D126,Milestones!$AA$82)&gt;=SchemeStart,IF($X126=0,$AD126,IF(AND($Z126&lt;&gt;"",EDATE($D126,Milestones!$AA$82)&gt;=$Z126),$AC126,IF(AND($Y126&lt;&gt;"",EDATE($D126,Milestones!$AA$82)&gt;=$Y126),$AB126,$AA126)))=Milestones!$AB$82),UPPER(TEXT(EDATE($D126,Milestones!$AA$82),"dd mmm yy"))&amp;" "&amp;Milestones!$AB$82&amp;" "&amp;IF(AND(Milestones!$AB$82="FT",Milestones!$AA$82=FT_Y5,EDATE($D126,Milestones!$AA$82)&lt;PolicyEff),1,Milestones!$AC$82)&amp;";  ","")&amp;IF(AND(EDATE($D126,Milestones!$AA$83)&lt;=AsOfDate,EDATE($D126,Milestones!$AA$83)&gt;=SchemeStart,IF($X126=0,$AD126,IF(AND($Z126&lt;&gt;"",EDATE($D126,Milestones!$AA$83)&gt;=$Z126),$AC126,IF(AND($Y126&lt;&gt;"",EDATE($D126,Milestones!$AA$83)&gt;=$Y126),$AB126,$AA126)))=Milestones!$AB$83),UPPER(TEXT(EDATE($D126,Milestones!$AA$83),"dd mmm yy"))&amp;" "&amp;Milestones!$AB$83&amp;" "&amp;IF(AND(Milestones!$AB$83="FT",Milestones!$AA$83=FT_Y5,EDATE($D126,Milestones!$AA$83)&lt;PolicyEff),1,Milestones!$AC$83)&amp;";  ","")&amp;IF(AND(EDATE($D126,Milestones!$AA$84)&lt;=AsOfDate,EDATE($D126,Milestones!$AA$84)&gt;=SchemeStart,IF($X126=0,$AD126,IF(AND($Z126&lt;&gt;"",EDATE($D126,Milestones!$AA$84)&gt;=$Z126),$AC126,IF(AND($Y126&lt;&gt;"",EDATE($D126,Milestones!$AA$84)&gt;=$Y126),$AB126,$AA126)))=Milestones!$AB$84),UPPER(TEXT(EDATE($D126,Milestones!$AA$84),"dd mmm yy"))&amp;" "&amp;Milestones!$AB$84&amp;" "&amp;IF(AND(Milestones!$AB$84="FT",Milestones!$AA$84=FT_Y5,EDATE($D126,Milestones!$AA$84)&lt;PolicyEff),1,Milestones!$AC$84)&amp;";  ","")&amp;IF(AND(EDATE($D126,Milestones!$AA$85)&lt;=AsOfDate,EDATE($D126,Milestones!$AA$85)&gt;=SchemeStart,IF($X126=0,$AD126,IF(AND($Z126&lt;&gt;"",EDATE($D126,Milestones!$AA$85)&gt;=$Z126),$AC126,IF(AND($Y126&lt;&gt;"",EDATE($D126,Milestones!$AA$85)&gt;=$Y126),$AB126,$AA126)))=Milestones!$AB$85),UPPER(TEXT(EDATE($D126,Milestones!$AA$85),"dd mmm yy"))&amp;" "&amp;Milestones!$AB$85&amp;" "&amp;IF(AND(Milestones!$AB$85="FT",Milestones!$AA$85=FT_Y5,EDATE($D126,Milestones!$AA$85)&lt;PolicyEff),1,Milestones!$AC$85)&amp;";  ","")&amp;IF(AND(EDATE($D126,Milestones!$AA$86)&lt;=AsOfDate,EDATE($D126,Milestones!$AA$86)&gt;=SchemeStart,IF($X126=0,$AD126,IF(AND($Z126&lt;&gt;"",EDATE($D126,Milestones!$AA$86)&gt;=$Z126),$AC126,IF(AND($Y126&lt;&gt;"",EDATE($D126,Milestones!$AA$86)&gt;=$Y126),$AB126,$AA126)))=Milestones!$AB$86),UPPER(TEXT(EDATE($D126,Milestones!$AA$86),"dd mmm yy"))&amp;" "&amp;Milestones!$AB$86&amp;" "&amp;IF(AND(Milestones!$AB$86="FT",Milestones!$AA$86=FT_Y5,EDATE($D126,Milestones!$AA$86)&lt;PolicyEff),1,Milestones!$AC$86)&amp;";  ","")&amp;IF(AND(EDATE($D126,Milestones!$AA$87)&lt;=AsOfDate,EDATE($D126,Milestones!$AA$87)&gt;=SchemeStart,IF($X126=0,$AD126,IF(AND($Z126&lt;&gt;"",EDATE($D126,Milestones!$AA$87)&gt;=$Z126),$AC126,IF(AND($Y126&lt;&gt;"",EDATE($D126,Milestones!$AA$87)&gt;=$Y126),$AB126,$AA126)))=Milestones!$AB$87),UPPER(TEXT(EDATE($D126,Milestones!$AA$87),"dd mmm yy"))&amp;" "&amp;Milestones!$AB$87&amp;" "&amp;IF(AND(Milestones!$AB$87="FT",Milestones!$AA$87=FT_Y5,EDATE($D126,Milestones!$AA$87)&lt;PolicyEff),1,Milestones!$AC$87)&amp;";  ","")&amp;IF(AND(EDATE($D126,Milestones!$AA$88)&lt;=AsOfDate,EDATE($D126,Milestones!$AA$88)&gt;=SchemeStart,IF($X126=0,$AD126,IF(AND($Z126&lt;&gt;"",EDATE($D126,Milestones!$AA$88)&gt;=$Z126),$AC126,IF(AND($Y126&lt;&gt;"",EDATE($D126,Milestones!$AA$88)&gt;=$Y126),$AB126,$AA126)))=Milestones!$AB$88),UPPER(TEXT(EDATE($D126,Milestones!$AA$88),"dd mmm yy"))&amp;" "&amp;Milestones!$AB$88&amp;" "&amp;IF(AND(Milestones!$AB$88="FT",Milestones!$AA$88=FT_Y5,EDATE($D126,Milestones!$AA$88)&lt;PolicyEff),1,Milestones!$AC$88)&amp;";  ","")&amp;IF(AND(EDATE($D126,Milestones!$AA$89)&lt;=AsOfDate,EDATE($D126,Milestones!$AA$89)&gt;=SchemeStart,IF($X126=0,$AD126,IF(AND($Z126&lt;&gt;"",EDATE($D126,Milestones!$AA$89)&gt;=$Z126),$AC126,IF(AND($Y126&lt;&gt;"",EDATE($D126,Milestones!$AA$89)&gt;=$Y126),$AB126,$AA126)))=Milestones!$AB$89),UPPER(TEXT(EDATE($D126,Milestones!$AA$89),"dd mmm yy"))&amp;" "&amp;Milestones!$AB$89&amp;" "&amp;IF(AND(Milestones!$AB$89="FT",Milestones!$AA$89=FT_Y5,EDATE($D126,Milestones!$AA$89)&lt;PolicyEff),1,Milestones!$AC$89)&amp;";  ","")&amp;IF(AND(EDATE($D126,Milestones!$AA$90)&lt;=AsOfDate,EDATE($D126,Milestones!$AA$90)&gt;=SchemeStart,IF($X126=0,$AD126,IF(AND($Z126&lt;&gt;"",EDATE($D126,Milestones!$AA$90)&gt;=$Z126),$AC126,IF(AND($Y126&lt;&gt;"",EDATE($D126,Milestones!$AA$90)&gt;=$Y126),$AB126,$AA126)))=Milestones!$AB$90),UPPER(TEXT(EDATE($D126,Milestones!$AA$90),"dd mmm yy"))&amp;" "&amp;Milestones!$AB$90&amp;" "&amp;IF(AND(Milestones!$AB$90="FT",Milestones!$AA$90=FT_Y5,EDATE($D126,Milestones!$AA$90)&lt;PolicyEff),1,Milestones!$AC$90)&amp;";  ","")&amp;IF(AND(EDATE($D126,Milestones!$AA$91)&lt;=AsOfDate,EDATE($D126,Milestones!$AA$91)&gt;=SchemeStart,IF($X126=0,$AD126,IF(AND($Z126&lt;&gt;"",EDATE($D126,Milestones!$AA$91)&gt;=$Z126),$AC126,IF(AND($Y126&lt;&gt;"",EDATE($D126,Milestones!$AA$91)&gt;=$Y126),$AB126,$AA126)))=Milestones!$AB$91),UPPER(TEXT(EDATE($D126,Milestones!$AA$91),"dd mmm yy"))&amp;" "&amp;Milestones!$AB$91&amp;" "&amp;IF(AND(Milestones!$AB$91="FT",Milestones!$AA$91=FT_Y5,EDATE($D126,Milestones!$AA$91)&lt;PolicyEff),1,Milestones!$AC$91)&amp;";  ",""))</f>
        <v/>
      </c>
      <c r="O126" s="0" t="str">
        <f aca="false">IF(OR($A126="",$D126=""),"",IF(AND(EDATE($D126,Milestones!$AA$92)&lt;=AsOfDate,EDATE($D126,Milestones!$AA$92)&gt;=SchemeStart,IF($X126=0,$AD126,IF(AND($Z126&lt;&gt;"",EDATE($D126,Milestones!$AA$92)&gt;=$Z126),$AC126,IF(AND($Y126&lt;&gt;"",EDATE($D126,Milestones!$AA$92)&gt;=$Y126),$AB126,$AA126)))=Milestones!$AB$92),UPPER(TEXT(EDATE($D126,Milestones!$AA$92),"dd mmm yy"))&amp;" "&amp;Milestones!$AB$92&amp;" "&amp;IF(AND(Milestones!$AB$92="FT",Milestones!$AA$92=FT_Y5,EDATE($D126,Milestones!$AA$92)&lt;PolicyEff),1,Milestones!$AC$92)&amp;";  ","")&amp;IF(AND(EDATE($D126,Milestones!$AA$93)&lt;=AsOfDate,EDATE($D126,Milestones!$AA$93)&gt;=SchemeStart,IF($X126=0,$AD126,IF(AND($Z126&lt;&gt;"",EDATE($D126,Milestones!$AA$93)&gt;=$Z126),$AC126,IF(AND($Y126&lt;&gt;"",EDATE($D126,Milestones!$AA$93)&gt;=$Y126),$AB126,$AA126)))=Milestones!$AB$93),UPPER(TEXT(EDATE($D126,Milestones!$AA$93),"dd mmm yy"))&amp;" "&amp;Milestones!$AB$93&amp;" "&amp;IF(AND(Milestones!$AB$93="FT",Milestones!$AA$93=FT_Y5,EDATE($D126,Milestones!$AA$93)&lt;PolicyEff),1,Milestones!$AC$93)&amp;";  ","")&amp;IF(AND(EDATE($D126,Milestones!$AA$94)&lt;=AsOfDate,EDATE($D126,Milestones!$AA$94)&gt;=SchemeStart,IF($X126=0,$AD126,IF(AND($Z126&lt;&gt;"",EDATE($D126,Milestones!$AA$94)&gt;=$Z126),$AC126,IF(AND($Y126&lt;&gt;"",EDATE($D126,Milestones!$AA$94)&gt;=$Y126),$AB126,$AA126)))=Milestones!$AB$94),UPPER(TEXT(EDATE($D126,Milestones!$AA$94),"dd mmm yy"))&amp;" "&amp;Milestones!$AB$94&amp;" "&amp;IF(AND(Milestones!$AB$94="FT",Milestones!$AA$94=FT_Y5,EDATE($D126,Milestones!$AA$94)&lt;PolicyEff),1,Milestones!$AC$94)&amp;";  ","")&amp;IF(AND(EDATE($D126,Milestones!$AA$95)&lt;=AsOfDate,EDATE($D126,Milestones!$AA$95)&gt;=SchemeStart,IF($X126=0,$AD126,IF(AND($Z126&lt;&gt;"",EDATE($D126,Milestones!$AA$95)&gt;=$Z126),$AC126,IF(AND($Y126&lt;&gt;"",EDATE($D126,Milestones!$AA$95)&gt;=$Y126),$AB126,$AA126)))=Milestones!$AB$95),UPPER(TEXT(EDATE($D126,Milestones!$AA$95),"dd mmm yy"))&amp;" "&amp;Milestones!$AB$95&amp;" "&amp;IF(AND(Milestones!$AB$95="FT",Milestones!$AA$95=FT_Y5,EDATE($D126,Milestones!$AA$95)&lt;PolicyEff),1,Milestones!$AC$95)&amp;";  ","")&amp;IF(AND(EDATE($D126,Milestones!$AA$96)&lt;=AsOfDate,EDATE($D126,Milestones!$AA$96)&gt;=SchemeStart,IF($X126=0,$AD126,IF(AND($Z126&lt;&gt;"",EDATE($D126,Milestones!$AA$96)&gt;=$Z126),$AC126,IF(AND($Y126&lt;&gt;"",EDATE($D126,Milestones!$AA$96)&gt;=$Y126),$AB126,$AA126)))=Milestones!$AB$96),UPPER(TEXT(EDATE($D126,Milestones!$AA$96),"dd mmm yy"))&amp;" "&amp;Milestones!$AB$96&amp;" "&amp;IF(AND(Milestones!$AB$96="FT",Milestones!$AA$96=FT_Y5,EDATE($D126,Milestones!$AA$96)&lt;PolicyEff),1,Milestones!$AC$96)&amp;";  ","")&amp;IF(AND(EDATE($D126,Milestones!$AA$97)&lt;=AsOfDate,EDATE($D126,Milestones!$AA$97)&gt;=SchemeStart,IF($X126=0,$AD126,IF(AND($Z126&lt;&gt;"",EDATE($D126,Milestones!$AA$97)&gt;=$Z126),$AC126,IF(AND($Y126&lt;&gt;"",EDATE($D126,Milestones!$AA$97)&gt;=$Y126),$AB126,$AA126)))=Milestones!$AB$97),UPPER(TEXT(EDATE($D126,Milestones!$AA$97),"dd mmm yy"))&amp;" "&amp;Milestones!$AB$97&amp;" "&amp;IF(AND(Milestones!$AB$97="FT",Milestones!$AA$97=FT_Y5,EDATE($D126,Milestones!$AA$97)&lt;PolicyEff),1,Milestones!$AC$97)&amp;";  ","")&amp;IF(AND(EDATE($D126,Milestones!$AA$98)&lt;=AsOfDate,EDATE($D126,Milestones!$AA$98)&gt;=SchemeStart,IF($X126=0,$AD126,IF(AND($Z126&lt;&gt;"",EDATE($D126,Milestones!$AA$98)&gt;=$Z126),$AC126,IF(AND($Y126&lt;&gt;"",EDATE($D126,Milestones!$AA$98)&gt;=$Y126),$AB126,$AA126)))=Milestones!$AB$98),UPPER(TEXT(EDATE($D126,Milestones!$AA$98),"dd mmm yy"))&amp;" "&amp;Milestones!$AB$98&amp;" "&amp;IF(AND(Milestones!$AB$98="FT",Milestones!$AA$98=FT_Y5,EDATE($D126,Milestones!$AA$98)&lt;PolicyEff),1,Milestones!$AC$98)&amp;";  ","")&amp;IF(AND(EDATE($D126,Milestones!$AA$99)&lt;=AsOfDate,EDATE($D126,Milestones!$AA$99)&gt;=SchemeStart,IF($X126=0,$AD126,IF(AND($Z126&lt;&gt;"",EDATE($D126,Milestones!$AA$99)&gt;=$Z126),$AC126,IF(AND($Y126&lt;&gt;"",EDATE($D126,Milestones!$AA$99)&gt;=$Y126),$AB126,$AA126)))=Milestones!$AB$99),UPPER(TEXT(EDATE($D126,Milestones!$AA$99),"dd mmm yy"))&amp;" "&amp;Milestones!$AB$99&amp;" "&amp;IF(AND(Milestones!$AB$99="FT",Milestones!$AA$99=FT_Y5,EDATE($D126,Milestones!$AA$99)&lt;PolicyEff),1,Milestones!$AC$99)&amp;";  ","")&amp;IF(AND(EDATE($D126,Milestones!$AA$100)&lt;=AsOfDate,EDATE($D126,Milestones!$AA$100)&gt;=SchemeStart,IF($X126=0,$AD126,IF(AND($Z126&lt;&gt;"",EDATE($D126,Milestones!$AA$100)&gt;=$Z126),$AC126,IF(AND($Y126&lt;&gt;"",EDATE($D126,Milestones!$AA$100)&gt;=$Y126),$AB126,$AA126)))=Milestones!$AB$100),UPPER(TEXT(EDATE($D126,Milestones!$AA$100),"dd mmm yy"))&amp;" "&amp;Milestones!$AB$100&amp;" "&amp;IF(AND(Milestones!$AB$100="FT",Milestones!$AA$100=FT_Y5,EDATE($D126,Milestones!$AA$100)&lt;PolicyEff),1,Milestones!$AC$100)&amp;";  ","")&amp;IF(AND(EDATE($D126,Milestones!$AA$101)&lt;=AsOfDate,EDATE($D126,Milestones!$AA$101)&gt;=SchemeStart,IF($X126=0,$AD126,IF(AND($Z126&lt;&gt;"",EDATE($D126,Milestones!$AA$101)&gt;=$Z126),$AC126,IF(AND($Y126&lt;&gt;"",EDATE($D126,Milestones!$AA$101)&gt;=$Y126),$AB126,$AA126)))=Milestones!$AB$101),UPPER(TEXT(EDATE($D126,Milestones!$AA$101),"dd mmm yy"))&amp;" "&amp;Milestones!$AB$101&amp;" "&amp;IF(AND(Milestones!$AB$101="FT",Milestones!$AA$101=FT_Y5,EDATE($D126,Milestones!$AA$101)&lt;PolicyEff),1,Milestones!$AC$101)&amp;";  ","")&amp;IF(AND(EDATE($D126,Milestones!$AA$102)&lt;=AsOfDate,EDATE($D126,Milestones!$AA$102)&gt;=SchemeStart,IF($X126=0,$AD126,IF(AND($Z126&lt;&gt;"",EDATE($D126,Milestones!$AA$102)&gt;=$Z126),$AC126,IF(AND($Y126&lt;&gt;"",EDATE($D126,Milestones!$AA$102)&gt;=$Y126),$AB126,$AA126)))=Milestones!$AB$102),UPPER(TEXT(EDATE($D126,Milestones!$AA$102),"dd mmm yy"))&amp;" "&amp;Milestones!$AB$102&amp;" "&amp;IF(AND(Milestones!$AB$102="FT",Milestones!$AA$102=FT_Y5,EDATE($D126,Milestones!$AA$102)&lt;PolicyEff),1,Milestones!$AC$102)&amp;";  ","")&amp;IF(AND(EDATE($D126,Milestones!$AA$103)&lt;=AsOfDate,EDATE($D126,Milestones!$AA$103)&gt;=SchemeStart,IF($X126=0,$AD126,IF(AND($Z126&lt;&gt;"",EDATE($D126,Milestones!$AA$103)&gt;=$Z126),$AC126,IF(AND($Y126&lt;&gt;"",EDATE($D126,Milestones!$AA$103)&gt;=$Y126),$AB126,$AA126)))=Milestones!$AB$103),UPPER(TEXT(EDATE($D126,Milestones!$AA$103),"dd mmm yy"))&amp;" "&amp;Milestones!$AB$103&amp;" "&amp;IF(AND(Milestones!$AB$103="FT",Milestones!$AA$103=FT_Y5,EDATE($D126,Milestones!$AA$103)&lt;PolicyEff),1,Milestones!$AC$103)&amp;";  ",""))</f>
        <v/>
      </c>
      <c r="P126" s="0" t="str">
        <f aca="false">IF(OR($A126="",$D126=""),"",IF(AND(EDATE($D126,Milestones!$AA$104)&lt;=AsOfDate,EDATE($D126,Milestones!$AA$104)&gt;=SchemeStart,IF($X126=0,$AD126,IF(AND($Z126&lt;&gt;"",EDATE($D126,Milestones!$AA$104)&gt;=$Z126),$AC126,IF(AND($Y126&lt;&gt;"",EDATE($D126,Milestones!$AA$104)&gt;=$Y126),$AB126,$AA126)))=Milestones!$AB$104),UPPER(TEXT(EDATE($D126,Milestones!$AA$104),"dd mmm yy"))&amp;" "&amp;Milestones!$AB$104&amp;" "&amp;IF(AND(Milestones!$AB$104="FT",Milestones!$AA$104=FT_Y5,EDATE($D126,Milestones!$AA$104)&lt;PolicyEff),1,Milestones!$AC$104)&amp;";  ","")&amp;IF(AND(EDATE($D126,Milestones!$AA$105)&lt;=AsOfDate,EDATE($D126,Milestones!$AA$105)&gt;=SchemeStart,IF($X126=0,$AD126,IF(AND($Z126&lt;&gt;"",EDATE($D126,Milestones!$AA$105)&gt;=$Z126),$AC126,IF(AND($Y126&lt;&gt;"",EDATE($D126,Milestones!$AA$105)&gt;=$Y126),$AB126,$AA126)))=Milestones!$AB$105),UPPER(TEXT(EDATE($D126,Milestones!$AA$105),"dd mmm yy"))&amp;" "&amp;Milestones!$AB$105&amp;" "&amp;IF(AND(Milestones!$AB$105="FT",Milestones!$AA$105=FT_Y5,EDATE($D126,Milestones!$AA$105)&lt;PolicyEff),1,Milestones!$AC$105)&amp;";  ","")&amp;IF(AND(EDATE($D126,Milestones!$AA$106)&lt;=AsOfDate,EDATE($D126,Milestones!$AA$106)&gt;=SchemeStart,IF($X126=0,$AD126,IF(AND($Z126&lt;&gt;"",EDATE($D126,Milestones!$AA$106)&gt;=$Z126),$AC126,IF(AND($Y126&lt;&gt;"",EDATE($D126,Milestones!$AA$106)&gt;=$Y126),$AB126,$AA126)))=Milestones!$AB$106),UPPER(TEXT(EDATE($D126,Milestones!$AA$106),"dd mmm yy"))&amp;" "&amp;Milestones!$AB$106&amp;" "&amp;IF(AND(Milestones!$AB$106="FT",Milestones!$AA$106=FT_Y5,EDATE($D126,Milestones!$AA$106)&lt;PolicyEff),1,Milestones!$AC$106)&amp;";  ","")&amp;IF(AND(EDATE($D126,Milestones!$AA$107)&lt;=AsOfDate,EDATE($D126,Milestones!$AA$107)&gt;=SchemeStart,IF($X126=0,$AD126,IF(AND($Z126&lt;&gt;"",EDATE($D126,Milestones!$AA$107)&gt;=$Z126),$AC126,IF(AND($Y126&lt;&gt;"",EDATE($D126,Milestones!$AA$107)&gt;=$Y126),$AB126,$AA126)))=Milestones!$AB$107),UPPER(TEXT(EDATE($D126,Milestones!$AA$107),"dd mmm yy"))&amp;" "&amp;Milestones!$AB$107&amp;" "&amp;IF(AND(Milestones!$AB$107="FT",Milestones!$AA$107=FT_Y5,EDATE($D126,Milestones!$AA$107)&lt;PolicyEff),1,Milestones!$AC$107)&amp;";  ","")&amp;IF(AND(EDATE($D126,Milestones!$AA$108)&lt;=AsOfDate,EDATE($D126,Milestones!$AA$108)&gt;=SchemeStart,IF($X126=0,$AD126,IF(AND($Z126&lt;&gt;"",EDATE($D126,Milestones!$AA$108)&gt;=$Z126),$AC126,IF(AND($Y126&lt;&gt;"",EDATE($D126,Milestones!$AA$108)&gt;=$Y126),$AB126,$AA126)))=Milestones!$AB$108),UPPER(TEXT(EDATE($D126,Milestones!$AA$108),"dd mmm yy"))&amp;" "&amp;Milestones!$AB$108&amp;" "&amp;IF(AND(Milestones!$AB$108="FT",Milestones!$AA$108=FT_Y5,EDATE($D126,Milestones!$AA$108)&lt;PolicyEff),1,Milestones!$AC$108)&amp;";  ","")&amp;IF(AND(EDATE($D126,Milestones!$AA$109)&lt;=AsOfDate,EDATE($D126,Milestones!$AA$109)&gt;=SchemeStart,IF($X126=0,$AD126,IF(AND($Z126&lt;&gt;"",EDATE($D126,Milestones!$AA$109)&gt;=$Z126),$AC126,IF(AND($Y126&lt;&gt;"",EDATE($D126,Milestones!$AA$109)&gt;=$Y126),$AB126,$AA126)))=Milestones!$AB$109),UPPER(TEXT(EDATE($D126,Milestones!$AA$109),"dd mmm yy"))&amp;" "&amp;Milestones!$AB$109&amp;" "&amp;IF(AND(Milestones!$AB$109="FT",Milestones!$AA$109=FT_Y5,EDATE($D126,Milestones!$AA$109)&lt;PolicyEff),1,Milestones!$AC$109)&amp;";  ","")&amp;IF(AND(EDATE($D126,Milestones!$AA$110)&lt;=AsOfDate,EDATE($D126,Milestones!$AA$110)&gt;=SchemeStart,IF($X126=0,$AD126,IF(AND($Z126&lt;&gt;"",EDATE($D126,Milestones!$AA$110)&gt;=$Z126),$AC126,IF(AND($Y126&lt;&gt;"",EDATE($D126,Milestones!$AA$110)&gt;=$Y126),$AB126,$AA126)))=Milestones!$AB$110),UPPER(TEXT(EDATE($D126,Milestones!$AA$110),"dd mmm yy"))&amp;" "&amp;Milestones!$AB$110&amp;" "&amp;IF(AND(Milestones!$AB$110="FT",Milestones!$AA$110=FT_Y5,EDATE($D126,Milestones!$AA$110)&lt;PolicyEff),1,Milestones!$AC$110)&amp;";  ","")&amp;IF(AND(EDATE($D126,Milestones!$AA$111)&lt;=AsOfDate,EDATE($D126,Milestones!$AA$111)&gt;=SchemeStart,IF($X126=0,$AD126,IF(AND($Z126&lt;&gt;"",EDATE($D126,Milestones!$AA$111)&gt;=$Z126),$AC126,IF(AND($Y126&lt;&gt;"",EDATE($D126,Milestones!$AA$111)&gt;=$Y126),$AB126,$AA126)))=Milestones!$AB$111),UPPER(TEXT(EDATE($D126,Milestones!$AA$111),"dd mmm yy"))&amp;" "&amp;Milestones!$AB$111&amp;" "&amp;IF(AND(Milestones!$AB$111="FT",Milestones!$AA$111=FT_Y5,EDATE($D126,Milestones!$AA$111)&lt;PolicyEff),1,Milestones!$AC$111)&amp;";  ","")&amp;IF(AND(EDATE($D126,Milestones!$AA$112)&lt;=AsOfDate,EDATE($D126,Milestones!$AA$112)&gt;=SchemeStart,IF($X126=0,$AD126,IF(AND($Z126&lt;&gt;"",EDATE($D126,Milestones!$AA$112)&gt;=$Z126),$AC126,IF(AND($Y126&lt;&gt;"",EDATE($D126,Milestones!$AA$112)&gt;=$Y126),$AB126,$AA126)))=Milestones!$AB$112),UPPER(TEXT(EDATE($D126,Milestones!$AA$112),"dd mmm yy"))&amp;" "&amp;Milestones!$AB$112&amp;" "&amp;IF(AND(Milestones!$AB$112="FT",Milestones!$AA$112=FT_Y5,EDATE($D126,Milestones!$AA$112)&lt;PolicyEff),1,Milestones!$AC$112)&amp;";  ","")&amp;IF(AND(EDATE($D126,Milestones!$AA$113)&lt;=AsOfDate,EDATE($D126,Milestones!$AA$113)&gt;=SchemeStart,IF($X126=0,$AD126,IF(AND($Z126&lt;&gt;"",EDATE($D126,Milestones!$AA$113)&gt;=$Z126),$AC126,IF(AND($Y126&lt;&gt;"",EDATE($D126,Milestones!$AA$113)&gt;=$Y126),$AB126,$AA126)))=Milestones!$AB$113),UPPER(TEXT(EDATE($D126,Milestones!$AA$113),"dd mmm yy"))&amp;" "&amp;Milestones!$AB$113&amp;" "&amp;IF(AND(Milestones!$AB$113="FT",Milestones!$AA$113=FT_Y5,EDATE($D126,Milestones!$AA$113)&lt;PolicyEff),1,Milestones!$AC$113)&amp;";  ","")&amp;IF(AND(EDATE($D126,Milestones!$AA$114)&lt;=AsOfDate,EDATE($D126,Milestones!$AA$114)&gt;=SchemeStart,IF($X126=0,$AD126,IF(AND($Z126&lt;&gt;"",EDATE($D126,Milestones!$AA$114)&gt;=$Z126),$AC126,IF(AND($Y126&lt;&gt;"",EDATE($D126,Milestones!$AA$114)&gt;=$Y126),$AB126,$AA126)))=Milestones!$AB$114),UPPER(TEXT(EDATE($D126,Milestones!$AA$114),"dd mmm yy"))&amp;" "&amp;Milestones!$AB$114&amp;" "&amp;IF(AND(Milestones!$AB$114="FT",Milestones!$AA$114=FT_Y5,EDATE($D126,Milestones!$AA$114)&lt;PolicyEff),1,Milestones!$AC$114)&amp;";  ","")&amp;IF(AND(EDATE($D126,Milestones!$AA$115)&lt;=AsOfDate,EDATE($D126,Milestones!$AA$115)&gt;=SchemeStart,IF($X126=0,$AD126,IF(AND($Z126&lt;&gt;"",EDATE($D126,Milestones!$AA$115)&gt;=$Z126),$AC126,IF(AND($Y126&lt;&gt;"",EDATE($D126,Milestones!$AA$115)&gt;=$Y126),$AB126,$AA126)))=Milestones!$AB$115),UPPER(TEXT(EDATE($D126,Milestones!$AA$115),"dd mmm yy"))&amp;" "&amp;Milestones!$AB$115&amp;" "&amp;IF(AND(Milestones!$AB$115="FT",Milestones!$AA$115=FT_Y5,EDATE($D126,Milestones!$AA$115)&lt;PolicyEff),1,Milestones!$AC$115)&amp;";  ",""))</f>
        <v/>
      </c>
      <c r="Q126" s="0" t="str">
        <f aca="false">IF(OR($A126="",$D126=""),"",IF(AND(EDATE($D126,Milestones!$AA$116)&lt;=AsOfDate,EDATE($D126,Milestones!$AA$116)&gt;=SchemeStart,IF($X126=0,$AD126,IF(AND($Z126&lt;&gt;"",EDATE($D126,Milestones!$AA$116)&gt;=$Z126),$AC126,IF(AND($Y126&lt;&gt;"",EDATE($D126,Milestones!$AA$116)&gt;=$Y126),$AB126,$AA126)))=Milestones!$AB$116),UPPER(TEXT(EDATE($D126,Milestones!$AA$116),"dd mmm yy"))&amp;" "&amp;Milestones!$AB$116&amp;" "&amp;IF(AND(Milestones!$AB$116="FT",Milestones!$AA$116=FT_Y5,EDATE($D126,Milestones!$AA$116)&lt;PolicyEff),1,Milestones!$AC$116)&amp;";  ","")&amp;IF(AND(EDATE($D126,Milestones!$AA$117)&lt;=AsOfDate,EDATE($D126,Milestones!$AA$117)&gt;=SchemeStart,IF($X126=0,$AD126,IF(AND($Z126&lt;&gt;"",EDATE($D126,Milestones!$AA$117)&gt;=$Z126),$AC126,IF(AND($Y126&lt;&gt;"",EDATE($D126,Milestones!$AA$117)&gt;=$Y126),$AB126,$AA126)))=Milestones!$AB$117),UPPER(TEXT(EDATE($D126,Milestones!$AA$117),"dd mmm yy"))&amp;" "&amp;Milestones!$AB$117&amp;" "&amp;IF(AND(Milestones!$AB$117="FT",Milestones!$AA$117=FT_Y5,EDATE($D126,Milestones!$AA$117)&lt;PolicyEff),1,Milestones!$AC$117)&amp;";  ","")&amp;IF(AND(EDATE($D126,Milestones!$AA$118)&lt;=AsOfDate,EDATE($D126,Milestones!$AA$118)&gt;=SchemeStart,IF($X126=0,$AD126,IF(AND($Z126&lt;&gt;"",EDATE($D126,Milestones!$AA$118)&gt;=$Z126),$AC126,IF(AND($Y126&lt;&gt;"",EDATE($D126,Milestones!$AA$118)&gt;=$Y126),$AB126,$AA126)))=Milestones!$AB$118),UPPER(TEXT(EDATE($D126,Milestones!$AA$118),"dd mmm yy"))&amp;" "&amp;Milestones!$AB$118&amp;" "&amp;IF(AND(Milestones!$AB$118="FT",Milestones!$AA$118=FT_Y5,EDATE($D126,Milestones!$AA$118)&lt;PolicyEff),1,Milestones!$AC$118)&amp;";  ","")&amp;IF(AND(EDATE($D126,Milestones!$AA$119)&lt;=AsOfDate,EDATE($D126,Milestones!$AA$119)&gt;=SchemeStart,IF($X126=0,$AD126,IF(AND($Z126&lt;&gt;"",EDATE($D126,Milestones!$AA$119)&gt;=$Z126),$AC126,IF(AND($Y126&lt;&gt;"",EDATE($D126,Milestones!$AA$119)&gt;=$Y126),$AB126,$AA126)))=Milestones!$AB$119),UPPER(TEXT(EDATE($D126,Milestones!$AA$119),"dd mmm yy"))&amp;" "&amp;Milestones!$AB$119&amp;" "&amp;IF(AND(Milestones!$AB$119="FT",Milestones!$AA$119=FT_Y5,EDATE($D126,Milestones!$AA$119)&lt;PolicyEff),1,Milestones!$AC$119)&amp;";  ","")&amp;IF(AND(EDATE($D126,Milestones!$AA$120)&lt;=AsOfDate,EDATE($D126,Milestones!$AA$120)&gt;=SchemeStart,IF($X126=0,$AD126,IF(AND($Z126&lt;&gt;"",EDATE($D126,Milestones!$AA$120)&gt;=$Z126),$AC126,IF(AND($Y126&lt;&gt;"",EDATE($D126,Milestones!$AA$120)&gt;=$Y126),$AB126,$AA126)))=Milestones!$AB$120),UPPER(TEXT(EDATE($D126,Milestones!$AA$120),"dd mmm yy"))&amp;" "&amp;Milestones!$AB$120&amp;" "&amp;IF(AND(Milestones!$AB$120="FT",Milestones!$AA$120=FT_Y5,EDATE($D126,Milestones!$AA$120)&lt;PolicyEff),1,Milestones!$AC$120)&amp;";  ","")&amp;IF(AND(EDATE($D126,Milestones!$AA$121)&lt;=AsOfDate,EDATE($D126,Milestones!$AA$121)&gt;=SchemeStart,IF($X126=0,$AD126,IF(AND($Z126&lt;&gt;"",EDATE($D126,Milestones!$AA$121)&gt;=$Z126),$AC126,IF(AND($Y126&lt;&gt;"",EDATE($D126,Milestones!$AA$121)&gt;=$Y126),$AB126,$AA126)))=Milestones!$AB$121),UPPER(TEXT(EDATE($D126,Milestones!$AA$121),"dd mmm yy"))&amp;" "&amp;Milestones!$AB$121&amp;" "&amp;IF(AND(Milestones!$AB$121="FT",Milestones!$AA$121=FT_Y5,EDATE($D126,Milestones!$AA$121)&lt;PolicyEff),1,Milestones!$AC$121)&amp;";  ","")&amp;IF(AND(EDATE($D126,Milestones!$AA$122)&lt;=AsOfDate,EDATE($D126,Milestones!$AA$122)&gt;=SchemeStart,IF($X126=0,$AD126,IF(AND($Z126&lt;&gt;"",EDATE($D126,Milestones!$AA$122)&gt;=$Z126),$AC126,IF(AND($Y126&lt;&gt;"",EDATE($D126,Milestones!$AA$122)&gt;=$Y126),$AB126,$AA126)))=Milestones!$AB$122),UPPER(TEXT(EDATE($D126,Milestones!$AA$122),"dd mmm yy"))&amp;" "&amp;Milestones!$AB$122&amp;" "&amp;IF(AND(Milestones!$AB$122="FT",Milestones!$AA$122=FT_Y5,EDATE($D126,Milestones!$AA$122)&lt;PolicyEff),1,Milestones!$AC$122)&amp;";  ","")&amp;IF(AND(EDATE($D126,Milestones!$AA$123)&lt;=AsOfDate,EDATE($D126,Milestones!$AA$123)&gt;=SchemeStart,IF($X126=0,$AD126,IF(AND($Z126&lt;&gt;"",EDATE($D126,Milestones!$AA$123)&gt;=$Z126),$AC126,IF(AND($Y126&lt;&gt;"",EDATE($D126,Milestones!$AA$123)&gt;=$Y126),$AB126,$AA126)))=Milestones!$AB$123),UPPER(TEXT(EDATE($D126,Milestones!$AA$123),"dd mmm yy"))&amp;" "&amp;Milestones!$AB$123&amp;" "&amp;IF(AND(Milestones!$AB$123="FT",Milestones!$AA$123=FT_Y5,EDATE($D126,Milestones!$AA$123)&lt;PolicyEff),1,Milestones!$AC$123)&amp;";  ","")&amp;IF(AND(EDATE($D126,Milestones!$AA$124)&lt;=AsOfDate,EDATE($D126,Milestones!$AA$124)&gt;=SchemeStart,IF($X126=0,$AD126,IF(AND($Z126&lt;&gt;"",EDATE($D126,Milestones!$AA$124)&gt;=$Z126),$AC126,IF(AND($Y126&lt;&gt;"",EDATE($D126,Milestones!$AA$124)&gt;=$Y126),$AB126,$AA126)))=Milestones!$AB$124),UPPER(TEXT(EDATE($D126,Milestones!$AA$124),"dd mmm yy"))&amp;" "&amp;Milestones!$AB$124&amp;" "&amp;IF(AND(Milestones!$AB$124="FT",Milestones!$AA$124=FT_Y5,EDATE($D126,Milestones!$AA$124)&lt;PolicyEff),1,Milestones!$AC$124)&amp;";  ","")&amp;IF(AND(EDATE($D126,Milestones!$AA$125)&lt;=AsOfDate,EDATE($D126,Milestones!$AA$125)&gt;=SchemeStart,IF($X126=0,$AD126,IF(AND($Z126&lt;&gt;"",EDATE($D126,Milestones!$AA$125)&gt;=$Z126),$AC126,IF(AND($Y126&lt;&gt;"",EDATE($D126,Milestones!$AA$125)&gt;=$Y126),$AB126,$AA126)))=Milestones!$AB$125),UPPER(TEXT(EDATE($D126,Milestones!$AA$125),"dd mmm yy"))&amp;" "&amp;Milestones!$AB$125&amp;" "&amp;IF(AND(Milestones!$AB$125="FT",Milestones!$AA$125=FT_Y5,EDATE($D126,Milestones!$AA$125)&lt;PolicyEff),1,Milestones!$AC$125)&amp;";  ","")&amp;IF(AND(EDATE($D126,Milestones!$AA$126)&lt;=AsOfDate,EDATE($D126,Milestones!$AA$126)&gt;=SchemeStart,IF($X126=0,$AD126,IF(AND($Z126&lt;&gt;"",EDATE($D126,Milestones!$AA$126)&gt;=$Z126),$AC126,IF(AND($Y126&lt;&gt;"",EDATE($D126,Milestones!$AA$126)&gt;=$Y126),$AB126,$AA126)))=Milestones!$AB$126),UPPER(TEXT(EDATE($D126,Milestones!$AA$126),"dd mmm yy"))&amp;" "&amp;Milestones!$AB$126&amp;" "&amp;IF(AND(Milestones!$AB$126="FT",Milestones!$AA$126=FT_Y5,EDATE($D126,Milestones!$AA$126)&lt;PolicyEff),1,Milestones!$AC$126)&amp;";  ","")&amp;IF(AND(EDATE($D126,Milestones!$AA$127)&lt;=AsOfDate,EDATE($D126,Milestones!$AA$127)&gt;=SchemeStart,IF($X126=0,$AD126,IF(AND($Z126&lt;&gt;"",EDATE($D126,Milestones!$AA$127)&gt;=$Z126),$AC126,IF(AND($Y126&lt;&gt;"",EDATE($D126,Milestones!$AA$127)&gt;=$Y126),$AB126,$AA126)))=Milestones!$AB$127),UPPER(TEXT(EDATE($D126,Milestones!$AA$127),"dd mmm yy"))&amp;" "&amp;Milestones!$AB$127&amp;" "&amp;IF(AND(Milestones!$AB$127="FT",Milestones!$AA$127=FT_Y5,EDATE($D126,Milestones!$AA$127)&lt;PolicyEff),1,Milestones!$AC$127)&amp;";  ",""))</f>
        <v/>
      </c>
      <c r="R126" s="0" t="str">
        <f aca="false">IF(OR($A126="",$D126=""),"",IF(AND(EDATE($D126,Milestones!$AA$128)&lt;=AsOfDate,EDATE($D126,Milestones!$AA$128)&gt;=SchemeStart,IF($X126=0,$AD126,IF(AND($Z126&lt;&gt;"",EDATE($D126,Milestones!$AA$128)&gt;=$Z126),$AC126,IF(AND($Y126&lt;&gt;"",EDATE($D126,Milestones!$AA$128)&gt;=$Y126),$AB126,$AA126)))=Milestones!$AB$128),UPPER(TEXT(EDATE($D126,Milestones!$AA$128),"dd mmm yy"))&amp;" "&amp;Milestones!$AB$128&amp;" "&amp;IF(AND(Milestones!$AB$128="FT",Milestones!$AA$128=FT_Y5,EDATE($D126,Milestones!$AA$128)&lt;PolicyEff),1,Milestones!$AC$128)&amp;";  ","")&amp;IF(AND(EDATE($D126,Milestones!$AA$129)&lt;=AsOfDate,EDATE($D126,Milestones!$AA$129)&gt;=SchemeStart,IF($X126=0,$AD126,IF(AND($Z126&lt;&gt;"",EDATE($D126,Milestones!$AA$129)&gt;=$Z126),$AC126,IF(AND($Y126&lt;&gt;"",EDATE($D126,Milestones!$AA$129)&gt;=$Y126),$AB126,$AA126)))=Milestones!$AB$129),UPPER(TEXT(EDATE($D126,Milestones!$AA$129),"dd mmm yy"))&amp;" "&amp;Milestones!$AB$129&amp;" "&amp;IF(AND(Milestones!$AB$129="FT",Milestones!$AA$129=FT_Y5,EDATE($D126,Milestones!$AA$129)&lt;PolicyEff),1,Milestones!$AC$129)&amp;";  ","")&amp;IF(AND(EDATE($D126,Milestones!$AA$130)&lt;=AsOfDate,EDATE($D126,Milestones!$AA$130)&gt;=SchemeStart,IF($X126=0,$AD126,IF(AND($Z126&lt;&gt;"",EDATE($D126,Milestones!$AA$130)&gt;=$Z126),$AC126,IF(AND($Y126&lt;&gt;"",EDATE($D126,Milestones!$AA$130)&gt;=$Y126),$AB126,$AA126)))=Milestones!$AB$130),UPPER(TEXT(EDATE($D126,Milestones!$AA$130),"dd mmm yy"))&amp;" "&amp;Milestones!$AB$130&amp;" "&amp;IF(AND(Milestones!$AB$130="FT",Milestones!$AA$130=FT_Y5,EDATE($D126,Milestones!$AA$130)&lt;PolicyEff),1,Milestones!$AC$130)&amp;";  ","")&amp;IF(AND(EDATE($D126,Milestones!$AA$131)&lt;=AsOfDate,EDATE($D126,Milestones!$AA$131)&gt;=SchemeStart,IF($X126=0,$AD126,IF(AND($Z126&lt;&gt;"",EDATE($D126,Milestones!$AA$131)&gt;=$Z126),$AC126,IF(AND($Y126&lt;&gt;"",EDATE($D126,Milestones!$AA$131)&gt;=$Y126),$AB126,$AA126)))=Milestones!$AB$131),UPPER(TEXT(EDATE($D126,Milestones!$AA$131),"dd mmm yy"))&amp;" "&amp;Milestones!$AB$131&amp;" "&amp;IF(AND(Milestones!$AB$131="FT",Milestones!$AA$131=FT_Y5,EDATE($D126,Milestones!$AA$131)&lt;PolicyEff),1,Milestones!$AC$131)&amp;";  ","")&amp;IF(AND(EDATE($D126,Milestones!$AA$132)&lt;=AsOfDate,EDATE($D126,Milestones!$AA$132)&gt;=SchemeStart,IF($X126=0,$AD126,IF(AND($Z126&lt;&gt;"",EDATE($D126,Milestones!$AA$132)&gt;=$Z126),$AC126,IF(AND($Y126&lt;&gt;"",EDATE($D126,Milestones!$AA$132)&gt;=$Y126),$AB126,$AA126)))=Milestones!$AB$132),UPPER(TEXT(EDATE($D126,Milestones!$AA$132),"dd mmm yy"))&amp;" "&amp;Milestones!$AB$132&amp;" "&amp;IF(AND(Milestones!$AB$132="FT",Milestones!$AA$132=FT_Y5,EDATE($D126,Milestones!$AA$132)&lt;PolicyEff),1,Milestones!$AC$132)&amp;";  ","")&amp;IF(AND(EDATE($D126,Milestones!$AA$133)&lt;=AsOfDate,EDATE($D126,Milestones!$AA$133)&gt;=SchemeStart,IF($X126=0,$AD126,IF(AND($Z126&lt;&gt;"",EDATE($D126,Milestones!$AA$133)&gt;=$Z126),$AC126,IF(AND($Y126&lt;&gt;"",EDATE($D126,Milestones!$AA$133)&gt;=$Y126),$AB126,$AA126)))=Milestones!$AB$133),UPPER(TEXT(EDATE($D126,Milestones!$AA$133),"dd mmm yy"))&amp;" "&amp;Milestones!$AB$133&amp;" "&amp;IF(AND(Milestones!$AB$133="FT",Milestones!$AA$133=FT_Y5,EDATE($D126,Milestones!$AA$133)&lt;PolicyEff),1,Milestones!$AC$133)&amp;";  ","")&amp;IF(AND(EDATE($D126,Milestones!$AA$134)&lt;=AsOfDate,EDATE($D126,Milestones!$AA$134)&gt;=SchemeStart,IF($X126=0,$AD126,IF(AND($Z126&lt;&gt;"",EDATE($D126,Milestones!$AA$134)&gt;=$Z126),$AC126,IF(AND($Y126&lt;&gt;"",EDATE($D126,Milestones!$AA$134)&gt;=$Y126),$AB126,$AA126)))=Milestones!$AB$134),UPPER(TEXT(EDATE($D126,Milestones!$AA$134),"dd mmm yy"))&amp;" "&amp;Milestones!$AB$134&amp;" "&amp;IF(AND(Milestones!$AB$134="FT",Milestones!$AA$134=FT_Y5,EDATE($D126,Milestones!$AA$134)&lt;PolicyEff),1,Milestones!$AC$134)&amp;";  ","")&amp;IF(AND(EDATE($D126,Milestones!$AA$135)&lt;=AsOfDate,EDATE($D126,Milestones!$AA$135)&gt;=SchemeStart,IF($X126=0,$AD126,IF(AND($Z126&lt;&gt;"",EDATE($D126,Milestones!$AA$135)&gt;=$Z126),$AC126,IF(AND($Y126&lt;&gt;"",EDATE($D126,Milestones!$AA$135)&gt;=$Y126),$AB126,$AA126)))=Milestones!$AB$135),UPPER(TEXT(EDATE($D126,Milestones!$AA$135),"dd mmm yy"))&amp;" "&amp;Milestones!$AB$135&amp;" "&amp;IF(AND(Milestones!$AB$135="FT",Milestones!$AA$135=FT_Y5,EDATE($D126,Milestones!$AA$135)&lt;PolicyEff),1,Milestones!$AC$135)&amp;";  ","")&amp;IF(AND(EDATE($D126,Milestones!$AA$136)&lt;=AsOfDate,EDATE($D126,Milestones!$AA$136)&gt;=SchemeStart,IF($X126=0,$AD126,IF(AND($Z126&lt;&gt;"",EDATE($D126,Milestones!$AA$136)&gt;=$Z126),$AC126,IF(AND($Y126&lt;&gt;"",EDATE($D126,Milestones!$AA$136)&gt;=$Y126),$AB126,$AA126)))=Milestones!$AB$136),UPPER(TEXT(EDATE($D126,Milestones!$AA$136),"dd mmm yy"))&amp;" "&amp;Milestones!$AB$136&amp;" "&amp;IF(AND(Milestones!$AB$136="FT",Milestones!$AA$136=FT_Y5,EDATE($D126,Milestones!$AA$136)&lt;PolicyEff),1,Milestones!$AC$136)&amp;";  ","")&amp;IF(AND(EDATE($D126,Milestones!$AA$137)&lt;=AsOfDate,EDATE($D126,Milestones!$AA$137)&gt;=SchemeStart,IF($X126=0,$AD126,IF(AND($Z126&lt;&gt;"",EDATE($D126,Milestones!$AA$137)&gt;=$Z126),$AC126,IF(AND($Y126&lt;&gt;"",EDATE($D126,Milestones!$AA$137)&gt;=$Y126),$AB126,$AA126)))=Milestones!$AB$137),UPPER(TEXT(EDATE($D126,Milestones!$AA$137),"dd mmm yy"))&amp;" "&amp;Milestones!$AB$137&amp;" "&amp;IF(AND(Milestones!$AB$137="FT",Milestones!$AA$137=FT_Y5,EDATE($D126,Milestones!$AA$137)&lt;PolicyEff),1,Milestones!$AC$137)&amp;";  ","")&amp;IF(AND(EDATE($D126,Milestones!$AA$138)&lt;=AsOfDate,EDATE($D126,Milestones!$AA$138)&gt;=SchemeStart,IF($X126=0,$AD126,IF(AND($Z126&lt;&gt;"",EDATE($D126,Milestones!$AA$138)&gt;=$Z126),$AC126,IF(AND($Y126&lt;&gt;"",EDATE($D126,Milestones!$AA$138)&gt;=$Y126),$AB126,$AA126)))=Milestones!$AB$138),UPPER(TEXT(EDATE($D126,Milestones!$AA$138),"dd mmm yy"))&amp;" "&amp;Milestones!$AB$138&amp;" "&amp;IF(AND(Milestones!$AB$138="FT",Milestones!$AA$138=FT_Y5,EDATE($D126,Milestones!$AA$138)&lt;PolicyEff),1,Milestones!$AC$138)&amp;";  ","")&amp;IF(AND(EDATE($D126,Milestones!$AA$139)&lt;=AsOfDate,EDATE($D126,Milestones!$AA$139)&gt;=SchemeStart,IF($X126=0,$AD126,IF(AND($Z126&lt;&gt;"",EDATE($D126,Milestones!$AA$139)&gt;=$Z126),$AC126,IF(AND($Y126&lt;&gt;"",EDATE($D126,Milestones!$AA$139)&gt;=$Y126),$AB126,$AA126)))=Milestones!$AB$139),UPPER(TEXT(EDATE($D126,Milestones!$AA$139),"dd mmm yy"))&amp;" "&amp;Milestones!$AB$139&amp;" "&amp;IF(AND(Milestones!$AB$139="FT",Milestones!$AA$139=FT_Y5,EDATE($D126,Milestones!$AA$139)&lt;PolicyEff),1,Milestones!$AC$139)&amp;";  ",""))</f>
        <v/>
      </c>
      <c r="S126" s="0" t="str">
        <f aca="false">IF(OR($A126="",$D126=""),"",IF(AND(EDATE($D126,Milestones!$AA$140)&lt;=AsOfDate,EDATE($D126,Milestones!$AA$140)&gt;=SchemeStart,IF($X126=0,$AD126,IF(AND($Z126&lt;&gt;"",EDATE($D126,Milestones!$AA$140)&gt;=$Z126),$AC126,IF(AND($Y126&lt;&gt;"",EDATE($D126,Milestones!$AA$140)&gt;=$Y126),$AB126,$AA126)))=Milestones!$AB$140),UPPER(TEXT(EDATE($D126,Milestones!$AA$140),"dd mmm yy"))&amp;" "&amp;Milestones!$AB$140&amp;" "&amp;IF(AND(Milestones!$AB$140="FT",Milestones!$AA$140=FT_Y5,EDATE($D126,Milestones!$AA$140)&lt;PolicyEff),1,Milestones!$AC$140)&amp;";  ","")&amp;IF(AND(EDATE($D126,Milestones!$AA$141)&lt;=AsOfDate,EDATE($D126,Milestones!$AA$141)&gt;=SchemeStart,IF($X126=0,$AD126,IF(AND($Z126&lt;&gt;"",EDATE($D126,Milestones!$AA$141)&gt;=$Z126),$AC126,IF(AND($Y126&lt;&gt;"",EDATE($D126,Milestones!$AA$141)&gt;=$Y126),$AB126,$AA126)))=Milestones!$AB$141),UPPER(TEXT(EDATE($D126,Milestones!$AA$141),"dd mmm yy"))&amp;" "&amp;Milestones!$AB$141&amp;" "&amp;IF(AND(Milestones!$AB$141="FT",Milestones!$AA$141=FT_Y5,EDATE($D126,Milestones!$AA$141)&lt;PolicyEff),1,Milestones!$AC$141)&amp;";  ","")&amp;IF(AND(EDATE($D126,Milestones!$AA$142)&lt;=AsOfDate,EDATE($D126,Milestones!$AA$142)&gt;=SchemeStart,IF($X126=0,$AD126,IF(AND($Z126&lt;&gt;"",EDATE($D126,Milestones!$AA$142)&gt;=$Z126),$AC126,IF(AND($Y126&lt;&gt;"",EDATE($D126,Milestones!$AA$142)&gt;=$Y126),$AB126,$AA126)))=Milestones!$AB$142),UPPER(TEXT(EDATE($D126,Milestones!$AA$142),"dd mmm yy"))&amp;" "&amp;Milestones!$AB$142&amp;" "&amp;IF(AND(Milestones!$AB$142="FT",Milestones!$AA$142=FT_Y5,EDATE($D126,Milestones!$AA$142)&lt;PolicyEff),1,Milestones!$AC$142)&amp;";  ","")&amp;IF(AND(EDATE($D126,Milestones!$AA$143)&lt;=AsOfDate,EDATE($D126,Milestones!$AA$143)&gt;=SchemeStart,IF($X126=0,$AD126,IF(AND($Z126&lt;&gt;"",EDATE($D126,Milestones!$AA$143)&gt;=$Z126),$AC126,IF(AND($Y126&lt;&gt;"",EDATE($D126,Milestones!$AA$143)&gt;=$Y126),$AB126,$AA126)))=Milestones!$AB$143),UPPER(TEXT(EDATE($D126,Milestones!$AA$143),"dd mmm yy"))&amp;" "&amp;Milestones!$AB$143&amp;" "&amp;IF(AND(Milestones!$AB$143="FT",Milestones!$AA$143=FT_Y5,EDATE($D126,Milestones!$AA$143)&lt;PolicyEff),1,Milestones!$AC$143)&amp;";  ","")&amp;IF(AND(EDATE($D126,Milestones!$AA$144)&lt;=AsOfDate,EDATE($D126,Milestones!$AA$144)&gt;=SchemeStart,IF($X126=0,$AD126,IF(AND($Z126&lt;&gt;"",EDATE($D126,Milestones!$AA$144)&gt;=$Z126),$AC126,IF(AND($Y126&lt;&gt;"",EDATE($D126,Milestones!$AA$144)&gt;=$Y126),$AB126,$AA126)))=Milestones!$AB$144),UPPER(TEXT(EDATE($D126,Milestones!$AA$144),"dd mmm yy"))&amp;" "&amp;Milestones!$AB$144&amp;" "&amp;IF(AND(Milestones!$AB$144="FT",Milestones!$AA$144=FT_Y5,EDATE($D126,Milestones!$AA$144)&lt;PolicyEff),1,Milestones!$AC$144)&amp;";  ","")&amp;IF(AND(EDATE($D126,Milestones!$AA$145)&lt;=AsOfDate,EDATE($D126,Milestones!$AA$145)&gt;=SchemeStart,IF($X126=0,$AD126,IF(AND($Z126&lt;&gt;"",EDATE($D126,Milestones!$AA$145)&gt;=$Z126),$AC126,IF(AND($Y126&lt;&gt;"",EDATE($D126,Milestones!$AA$145)&gt;=$Y126),$AB126,$AA126)))=Milestones!$AB$145),UPPER(TEXT(EDATE($D126,Milestones!$AA$145),"dd mmm yy"))&amp;" "&amp;Milestones!$AB$145&amp;" "&amp;IF(AND(Milestones!$AB$145="FT",Milestones!$AA$145=FT_Y5,EDATE($D126,Milestones!$AA$145)&lt;PolicyEff),1,Milestones!$AC$145)&amp;";  ","")&amp;IF(AND(EDATE($D126,Milestones!$AA$146)&lt;=AsOfDate,EDATE($D126,Milestones!$AA$146)&gt;=SchemeStart,IF($X126=0,$AD126,IF(AND($Z126&lt;&gt;"",EDATE($D126,Milestones!$AA$146)&gt;=$Z126),$AC126,IF(AND($Y126&lt;&gt;"",EDATE($D126,Milestones!$AA$146)&gt;=$Y126),$AB126,$AA126)))=Milestones!$AB$146),UPPER(TEXT(EDATE($D126,Milestones!$AA$146),"dd mmm yy"))&amp;" "&amp;Milestones!$AB$146&amp;" "&amp;IF(AND(Milestones!$AB$146="FT",Milestones!$AA$146=FT_Y5,EDATE($D126,Milestones!$AA$146)&lt;PolicyEff),1,Milestones!$AC$146)&amp;";  ","")&amp;IF(AND(EDATE($D126,Milestones!$AA$147)&lt;=AsOfDate,EDATE($D126,Milestones!$AA$147)&gt;=SchemeStart,IF($X126=0,$AD126,IF(AND($Z126&lt;&gt;"",EDATE($D126,Milestones!$AA$147)&gt;=$Z126),$AC126,IF(AND($Y126&lt;&gt;"",EDATE($D126,Milestones!$AA$147)&gt;=$Y126),$AB126,$AA126)))=Milestones!$AB$147),UPPER(TEXT(EDATE($D126,Milestones!$AA$147),"dd mmm yy"))&amp;" "&amp;Milestones!$AB$147&amp;" "&amp;IF(AND(Milestones!$AB$147="FT",Milestones!$AA$147=FT_Y5,EDATE($D126,Milestones!$AA$147)&lt;PolicyEff),1,Milestones!$AC$147)&amp;";  ","")&amp;IF(AND(EDATE($D126,Milestones!$AA$148)&lt;=AsOfDate,EDATE($D126,Milestones!$AA$148)&gt;=SchemeStart,IF($X126=0,$AD126,IF(AND($Z126&lt;&gt;"",EDATE($D126,Milestones!$AA$148)&gt;=$Z126),$AC126,IF(AND($Y126&lt;&gt;"",EDATE($D126,Milestones!$AA$148)&gt;=$Y126),$AB126,$AA126)))=Milestones!$AB$148),UPPER(TEXT(EDATE($D126,Milestones!$AA$148),"dd mmm yy"))&amp;" "&amp;Milestones!$AB$148&amp;" "&amp;IF(AND(Milestones!$AB$148="FT",Milestones!$AA$148=FT_Y5,EDATE($D126,Milestones!$AA$148)&lt;PolicyEff),1,Milestones!$AC$148)&amp;";  ","")&amp;IF(AND(EDATE($D126,Milestones!$AA$149)&lt;=AsOfDate,EDATE($D126,Milestones!$AA$149)&gt;=SchemeStart,IF($X126=0,$AD126,IF(AND($Z126&lt;&gt;"",EDATE($D126,Milestones!$AA$149)&gt;=$Z126),$AC126,IF(AND($Y126&lt;&gt;"",EDATE($D126,Milestones!$AA$149)&gt;=$Y126),$AB126,$AA126)))=Milestones!$AB$149),UPPER(TEXT(EDATE($D126,Milestones!$AA$149),"dd mmm yy"))&amp;" "&amp;Milestones!$AB$149&amp;" "&amp;IF(AND(Milestones!$AB$149="FT",Milestones!$AA$149=FT_Y5,EDATE($D126,Milestones!$AA$149)&lt;PolicyEff),1,Milestones!$AC$149)&amp;";  ","")&amp;IF(AND(EDATE($D126,Milestones!$AA$150)&lt;=AsOfDate,EDATE($D126,Milestones!$AA$150)&gt;=SchemeStart,IF($X126=0,$AD126,IF(AND($Z126&lt;&gt;"",EDATE($D126,Milestones!$AA$150)&gt;=$Z126),$AC126,IF(AND($Y126&lt;&gt;"",EDATE($D126,Milestones!$AA$150)&gt;=$Y126),$AB126,$AA126)))=Milestones!$AB$150),UPPER(TEXT(EDATE($D126,Milestones!$AA$150),"dd mmm yy"))&amp;" "&amp;Milestones!$AB$150&amp;" "&amp;IF(AND(Milestones!$AB$150="FT",Milestones!$AA$150=FT_Y5,EDATE($D126,Milestones!$AA$150)&lt;PolicyEff),1,Milestones!$AC$150)&amp;";  ","")&amp;IF(AND(EDATE($D126,Milestones!$AA$151)&lt;=AsOfDate,EDATE($D126,Milestones!$AA$151)&gt;=SchemeStart,IF($X126=0,$AD126,IF(AND($Z126&lt;&gt;"",EDATE($D126,Milestones!$AA$151)&gt;=$Z126),$AC126,IF(AND($Y126&lt;&gt;"",EDATE($D126,Milestones!$AA$151)&gt;=$Y126),$AB126,$AA126)))=Milestones!$AB$151),UPPER(TEXT(EDATE($D126,Milestones!$AA$151),"dd mmm yy"))&amp;" "&amp;Milestones!$AB$151&amp;" "&amp;IF(AND(Milestones!$AB$151="FT",Milestones!$AA$151=FT_Y5,EDATE($D126,Milestones!$AA$151)&lt;PolicyEff),1,Milestones!$AC$151)&amp;";  ",""))</f>
        <v/>
      </c>
      <c r="T126" s="0" t="str">
        <f aca="false">IF(OR($A126="",$D126=""),"",IF(AND(EDATE($D126,Milestones!$AA$152)&lt;=AsOfDate,EDATE($D126,Milestones!$AA$152)&gt;=SchemeStart,IF($X126=0,$AD126,IF(AND($Z126&lt;&gt;"",EDATE($D126,Milestones!$AA$152)&gt;=$Z126),$AC126,IF(AND($Y126&lt;&gt;"",EDATE($D126,Milestones!$AA$152)&gt;=$Y126),$AB126,$AA126)))=Milestones!$AB$152),UPPER(TEXT(EDATE($D126,Milestones!$AA$152),"dd mmm yy"))&amp;" "&amp;Milestones!$AB$152&amp;" "&amp;IF(AND(Milestones!$AB$152="FT",Milestones!$AA$152=FT_Y5,EDATE($D126,Milestones!$AA$152)&lt;PolicyEff),1,Milestones!$AC$152)&amp;";  ","")&amp;IF(AND(EDATE($D126,Milestones!$AA$153)&lt;=AsOfDate,EDATE($D126,Milestones!$AA$153)&gt;=SchemeStart,IF($X126=0,$AD126,IF(AND($Z126&lt;&gt;"",EDATE($D126,Milestones!$AA$153)&gt;=$Z126),$AC126,IF(AND($Y126&lt;&gt;"",EDATE($D126,Milestones!$AA$153)&gt;=$Y126),$AB126,$AA126)))=Milestones!$AB$153),UPPER(TEXT(EDATE($D126,Milestones!$AA$153),"dd mmm yy"))&amp;" "&amp;Milestones!$AB$153&amp;" "&amp;IF(AND(Milestones!$AB$153="FT",Milestones!$AA$153=FT_Y5,EDATE($D126,Milestones!$AA$153)&lt;PolicyEff),1,Milestones!$AC$153)&amp;";  ","")&amp;IF(AND(EDATE($D126,Milestones!$AA$154)&lt;=AsOfDate,EDATE($D126,Milestones!$AA$154)&gt;=SchemeStart,IF($X126=0,$AD126,IF(AND($Z126&lt;&gt;"",EDATE($D126,Milestones!$AA$154)&gt;=$Z126),$AC126,IF(AND($Y126&lt;&gt;"",EDATE($D126,Milestones!$AA$154)&gt;=$Y126),$AB126,$AA126)))=Milestones!$AB$154),UPPER(TEXT(EDATE($D126,Milestones!$AA$154),"dd mmm yy"))&amp;" "&amp;Milestones!$AB$154&amp;" "&amp;IF(AND(Milestones!$AB$154="FT",Milestones!$AA$154=FT_Y5,EDATE($D126,Milestones!$AA$154)&lt;PolicyEff),1,Milestones!$AC$154)&amp;";  ","")&amp;IF(AND(EDATE($D126,Milestones!$AA$155)&lt;=AsOfDate,EDATE($D126,Milestones!$AA$155)&gt;=SchemeStart,IF($X126=0,$AD126,IF(AND($Z126&lt;&gt;"",EDATE($D126,Milestones!$AA$155)&gt;=$Z126),$AC126,IF(AND($Y126&lt;&gt;"",EDATE($D126,Milestones!$AA$155)&gt;=$Y126),$AB126,$AA126)))=Milestones!$AB$155),UPPER(TEXT(EDATE($D126,Milestones!$AA$155),"dd mmm yy"))&amp;" "&amp;Milestones!$AB$155&amp;" "&amp;IF(AND(Milestones!$AB$155="FT",Milestones!$AA$155=FT_Y5,EDATE($D126,Milestones!$AA$155)&lt;PolicyEff),1,Milestones!$AC$155)&amp;";  ","")&amp;IF(AND(EDATE($D126,Milestones!$AA$156)&lt;=AsOfDate,EDATE($D126,Milestones!$AA$156)&gt;=SchemeStart,IF($X126=0,$AD126,IF(AND($Z126&lt;&gt;"",EDATE($D126,Milestones!$AA$156)&gt;=$Z126),$AC126,IF(AND($Y126&lt;&gt;"",EDATE($D126,Milestones!$AA$156)&gt;=$Y126),$AB126,$AA126)))=Milestones!$AB$156),UPPER(TEXT(EDATE($D126,Milestones!$AA$156),"dd mmm yy"))&amp;" "&amp;Milestones!$AB$156&amp;" "&amp;IF(AND(Milestones!$AB$156="FT",Milestones!$AA$156=FT_Y5,EDATE($D126,Milestones!$AA$156)&lt;PolicyEff),1,Milestones!$AC$156)&amp;";  ","")&amp;IF(AND(EDATE($D126,Milestones!$AA$157)&lt;=AsOfDate,EDATE($D126,Milestones!$AA$157)&gt;=SchemeStart,IF($X126=0,$AD126,IF(AND($Z126&lt;&gt;"",EDATE($D126,Milestones!$AA$157)&gt;=$Z126),$AC126,IF(AND($Y126&lt;&gt;"",EDATE($D126,Milestones!$AA$157)&gt;=$Y126),$AB126,$AA126)))=Milestones!$AB$157),UPPER(TEXT(EDATE($D126,Milestones!$AA$157),"dd mmm yy"))&amp;" "&amp;Milestones!$AB$157&amp;" "&amp;IF(AND(Milestones!$AB$157="FT",Milestones!$AA$157=FT_Y5,EDATE($D126,Milestones!$AA$157)&lt;PolicyEff),1,Milestones!$AC$157)&amp;";  ","")&amp;IF(AND(EDATE($D126,Milestones!$AA$158)&lt;=AsOfDate,EDATE($D126,Milestones!$AA$158)&gt;=SchemeStart,IF($X126=0,$AD126,IF(AND($Z126&lt;&gt;"",EDATE($D126,Milestones!$AA$158)&gt;=$Z126),$AC126,IF(AND($Y126&lt;&gt;"",EDATE($D126,Milestones!$AA$158)&gt;=$Y126),$AB126,$AA126)))=Milestones!$AB$158),UPPER(TEXT(EDATE($D126,Milestones!$AA$158),"dd mmm yy"))&amp;" "&amp;Milestones!$AB$158&amp;" "&amp;IF(AND(Milestones!$AB$158="FT",Milestones!$AA$158=FT_Y5,EDATE($D126,Milestones!$AA$158)&lt;PolicyEff),1,Milestones!$AC$158)&amp;";  ","")&amp;IF(AND(EDATE($D126,Milestones!$AA$159)&lt;=AsOfDate,EDATE($D126,Milestones!$AA$159)&gt;=SchemeStart,IF($X126=0,$AD126,IF(AND($Z126&lt;&gt;"",EDATE($D126,Milestones!$AA$159)&gt;=$Z126),$AC126,IF(AND($Y126&lt;&gt;"",EDATE($D126,Milestones!$AA$159)&gt;=$Y126),$AB126,$AA126)))=Milestones!$AB$159),UPPER(TEXT(EDATE($D126,Milestones!$AA$159),"dd mmm yy"))&amp;" "&amp;Milestones!$AB$159&amp;" "&amp;IF(AND(Milestones!$AB$159="FT",Milestones!$AA$159=FT_Y5,EDATE($D126,Milestones!$AA$159)&lt;PolicyEff),1,Milestones!$AC$159)&amp;";  ","")&amp;IF(AND(EDATE($D126,Milestones!$AA$160)&lt;=AsOfDate,EDATE($D126,Milestones!$AA$160)&gt;=SchemeStart,IF($X126=0,$AD126,IF(AND($Z126&lt;&gt;"",EDATE($D126,Milestones!$AA$160)&gt;=$Z126),$AC126,IF(AND($Y126&lt;&gt;"",EDATE($D126,Milestones!$AA$160)&gt;=$Y126),$AB126,$AA126)))=Milestones!$AB$160),UPPER(TEXT(EDATE($D126,Milestones!$AA$160),"dd mmm yy"))&amp;" "&amp;Milestones!$AB$160&amp;" "&amp;IF(AND(Milestones!$AB$160="FT",Milestones!$AA$160=FT_Y5,EDATE($D126,Milestones!$AA$160)&lt;PolicyEff),1,Milestones!$AC$160)&amp;";  ","")&amp;IF(AND(EDATE($D126,Milestones!$AA$161)&lt;=AsOfDate,EDATE($D126,Milestones!$AA$161)&gt;=SchemeStart,IF($X126=0,$AD126,IF(AND($Z126&lt;&gt;"",EDATE($D126,Milestones!$AA$161)&gt;=$Z126),$AC126,IF(AND($Y126&lt;&gt;"",EDATE($D126,Milestones!$AA$161)&gt;=$Y126),$AB126,$AA126)))=Milestones!$AB$161),UPPER(TEXT(EDATE($D126,Milestones!$AA$161),"dd mmm yy"))&amp;" "&amp;Milestones!$AB$161&amp;" "&amp;IF(AND(Milestones!$AB$161="FT",Milestones!$AA$161=FT_Y5,EDATE($D126,Milestones!$AA$161)&lt;PolicyEff),1,Milestones!$AC$161)&amp;";  ","")&amp;IF(AND(EDATE($D126,Milestones!$AA$162)&lt;=AsOfDate,EDATE($D126,Milestones!$AA$162)&gt;=SchemeStart,IF($X126=0,$AD126,IF(AND($Z126&lt;&gt;"",EDATE($D126,Milestones!$AA$162)&gt;=$Z126),$AC126,IF(AND($Y126&lt;&gt;"",EDATE($D126,Milestones!$AA$162)&gt;=$Y126),$AB126,$AA126)))=Milestones!$AB$162),UPPER(TEXT(EDATE($D126,Milestones!$AA$162),"dd mmm yy"))&amp;" "&amp;Milestones!$AB$162&amp;" "&amp;IF(AND(Milestones!$AB$162="FT",Milestones!$AA$162=FT_Y5,EDATE($D126,Milestones!$AA$162)&lt;PolicyEff),1,Milestones!$AC$162)&amp;";  ","")&amp;IF(AND(EDATE($D126,Milestones!$AA$163)&lt;=AsOfDate,EDATE($D126,Milestones!$AA$163)&gt;=SchemeStart,IF($X126=0,$AD126,IF(AND($Z126&lt;&gt;"",EDATE($D126,Milestones!$AA$163)&gt;=$Z126),$AC126,IF(AND($Y126&lt;&gt;"",EDATE($D126,Milestones!$AA$163)&gt;=$Y126),$AB126,$AA126)))=Milestones!$AB$163),UPPER(TEXT(EDATE($D126,Milestones!$AA$163),"dd mmm yy"))&amp;" "&amp;Milestones!$AB$163&amp;" "&amp;IF(AND(Milestones!$AB$163="FT",Milestones!$AA$163=FT_Y5,EDATE($D126,Milestones!$AA$163)&lt;PolicyEff),1,Milestones!$AC$163)&amp;";  ",""))</f>
        <v/>
      </c>
      <c r="U126" s="0" t="str">
        <f aca="false">IF(OR($A126="",$D126=""),"",IF(AND(EDATE($D126,Milestones!$AA$164)&lt;=AsOfDate,EDATE($D126,Milestones!$AA$164)&gt;=SchemeStart,IF($X126=0,$AD126,IF(AND($Z126&lt;&gt;"",EDATE($D126,Milestones!$AA$164)&gt;=$Z126),$AC126,IF(AND($Y126&lt;&gt;"",EDATE($D126,Milestones!$AA$164)&gt;=$Y126),$AB126,$AA126)))=Milestones!$AB$164),UPPER(TEXT(EDATE($D126,Milestones!$AA$164),"dd mmm yy"))&amp;" "&amp;Milestones!$AB$164&amp;" "&amp;IF(AND(Milestones!$AB$164="FT",Milestones!$AA$164=FT_Y5,EDATE($D126,Milestones!$AA$164)&lt;PolicyEff),1,Milestones!$AC$164)&amp;";  ","")&amp;IF(AND(EDATE($D126,Milestones!$AA$165)&lt;=AsOfDate,EDATE($D126,Milestones!$AA$165)&gt;=SchemeStart,IF($X126=0,$AD126,IF(AND($Z126&lt;&gt;"",EDATE($D126,Milestones!$AA$165)&gt;=$Z126),$AC126,IF(AND($Y126&lt;&gt;"",EDATE($D126,Milestones!$AA$165)&gt;=$Y126),$AB126,$AA126)))=Milestones!$AB$165),UPPER(TEXT(EDATE($D126,Milestones!$AA$165),"dd mmm yy"))&amp;" "&amp;Milestones!$AB$165&amp;" "&amp;IF(AND(Milestones!$AB$165="FT",Milestones!$AA$165=FT_Y5,EDATE($D126,Milestones!$AA$165)&lt;PolicyEff),1,Milestones!$AC$165)&amp;";  ","")&amp;IF(AND(EDATE($D126,Milestones!$AA$166)&lt;=AsOfDate,EDATE($D126,Milestones!$AA$166)&gt;=SchemeStart,IF($X126=0,$AD126,IF(AND($Z126&lt;&gt;"",EDATE($D126,Milestones!$AA$166)&gt;=$Z126),$AC126,IF(AND($Y126&lt;&gt;"",EDATE($D126,Milestones!$AA$166)&gt;=$Y126),$AB126,$AA126)))=Milestones!$AB$166),UPPER(TEXT(EDATE($D126,Milestones!$AA$166),"dd mmm yy"))&amp;" "&amp;Milestones!$AB$166&amp;" "&amp;IF(AND(Milestones!$AB$166="FT",Milestones!$AA$166=FT_Y5,EDATE($D126,Milestones!$AA$166)&lt;PolicyEff),1,Milestones!$AC$166)&amp;";  ","")&amp;IF(AND(EDATE($D126,Milestones!$AA$167)&lt;=AsOfDate,EDATE($D126,Milestones!$AA$167)&gt;=SchemeStart,IF($X126=0,$AD126,IF(AND($Z126&lt;&gt;"",EDATE($D126,Milestones!$AA$167)&gt;=$Z126),$AC126,IF(AND($Y126&lt;&gt;"",EDATE($D126,Milestones!$AA$167)&gt;=$Y126),$AB126,$AA126)))=Milestones!$AB$167),UPPER(TEXT(EDATE($D126,Milestones!$AA$167),"dd mmm yy"))&amp;" "&amp;Milestones!$AB$167&amp;" "&amp;IF(AND(Milestones!$AB$167="FT",Milestones!$AA$167=FT_Y5,EDATE($D126,Milestones!$AA$167)&lt;PolicyEff),1,Milestones!$AC$167)&amp;";  ","")&amp;IF(AND(EDATE($D126,Milestones!$AA$168)&lt;=AsOfDate,EDATE($D126,Milestones!$AA$168)&gt;=SchemeStart,IF($X126=0,$AD126,IF(AND($Z126&lt;&gt;"",EDATE($D126,Milestones!$AA$168)&gt;=$Z126),$AC126,IF(AND($Y126&lt;&gt;"",EDATE($D126,Milestones!$AA$168)&gt;=$Y126),$AB126,$AA126)))=Milestones!$AB$168),UPPER(TEXT(EDATE($D126,Milestones!$AA$168),"dd mmm yy"))&amp;" "&amp;Milestones!$AB$168&amp;" "&amp;IF(AND(Milestones!$AB$168="FT",Milestones!$AA$168=FT_Y5,EDATE($D126,Milestones!$AA$168)&lt;PolicyEff),1,Milestones!$AC$168)&amp;";  ","")&amp;IF(AND(EDATE($D126,Milestones!$AA$169)&lt;=AsOfDate,EDATE($D126,Milestones!$AA$169)&gt;=SchemeStart,IF($X126=0,$AD126,IF(AND($Z126&lt;&gt;"",EDATE($D126,Milestones!$AA$169)&gt;=$Z126),$AC126,IF(AND($Y126&lt;&gt;"",EDATE($D126,Milestones!$AA$169)&gt;=$Y126),$AB126,$AA126)))=Milestones!$AB$169),UPPER(TEXT(EDATE($D126,Milestones!$AA$169),"dd mmm yy"))&amp;" "&amp;Milestones!$AB$169&amp;" "&amp;IF(AND(Milestones!$AB$169="FT",Milestones!$AA$169=FT_Y5,EDATE($D126,Milestones!$AA$169)&lt;PolicyEff),1,Milestones!$AC$169)&amp;";  ","")&amp;IF(AND(EDATE($D126,Milestones!$AA$170)&lt;=AsOfDate,EDATE($D126,Milestones!$AA$170)&gt;=SchemeStart,IF($X126=0,$AD126,IF(AND($Z126&lt;&gt;"",EDATE($D126,Milestones!$AA$170)&gt;=$Z126),$AC126,IF(AND($Y126&lt;&gt;"",EDATE($D126,Milestones!$AA$170)&gt;=$Y126),$AB126,$AA126)))=Milestones!$AB$170),UPPER(TEXT(EDATE($D126,Milestones!$AA$170),"dd mmm yy"))&amp;" "&amp;Milestones!$AB$170&amp;" "&amp;IF(AND(Milestones!$AB$170="FT",Milestones!$AA$170=FT_Y5,EDATE($D126,Milestones!$AA$170)&lt;PolicyEff),1,Milestones!$AC$170)&amp;";  ","")&amp;IF(AND(EDATE($D126,Milestones!$AA$171)&lt;=AsOfDate,EDATE($D126,Milestones!$AA$171)&gt;=SchemeStart,IF($X126=0,$AD126,IF(AND($Z126&lt;&gt;"",EDATE($D126,Milestones!$AA$171)&gt;=$Z126),$AC126,IF(AND($Y126&lt;&gt;"",EDATE($D126,Milestones!$AA$171)&gt;=$Y126),$AB126,$AA126)))=Milestones!$AB$171),UPPER(TEXT(EDATE($D126,Milestones!$AA$171),"dd mmm yy"))&amp;" "&amp;Milestones!$AB$171&amp;" "&amp;IF(AND(Milestones!$AB$171="FT",Milestones!$AA$171=FT_Y5,EDATE($D126,Milestones!$AA$171)&lt;PolicyEff),1,Milestones!$AC$171)&amp;";  ","")&amp;IF(AND(EDATE($D126,Milestones!$AA$172)&lt;=AsOfDate,EDATE($D126,Milestones!$AA$172)&gt;=SchemeStart,IF($X126=0,$AD126,IF(AND($Z126&lt;&gt;"",EDATE($D126,Milestones!$AA$172)&gt;=$Z126),$AC126,IF(AND($Y126&lt;&gt;"",EDATE($D126,Milestones!$AA$172)&gt;=$Y126),$AB126,$AA126)))=Milestones!$AB$172),UPPER(TEXT(EDATE($D126,Milestones!$AA$172),"dd mmm yy"))&amp;" "&amp;Milestones!$AB$172&amp;" "&amp;IF(AND(Milestones!$AB$172="FT",Milestones!$AA$172=FT_Y5,EDATE($D126,Milestones!$AA$172)&lt;PolicyEff),1,Milestones!$AC$172)&amp;";  ","")&amp;IF(AND(EDATE($D126,Milestones!$AA$173)&lt;=AsOfDate,EDATE($D126,Milestones!$AA$173)&gt;=SchemeStart,IF($X126=0,$AD126,IF(AND($Z126&lt;&gt;"",EDATE($D126,Milestones!$AA$173)&gt;=$Z126),$AC126,IF(AND($Y126&lt;&gt;"",EDATE($D126,Milestones!$AA$173)&gt;=$Y126),$AB126,$AA126)))=Milestones!$AB$173),UPPER(TEXT(EDATE($D126,Milestones!$AA$173),"dd mmm yy"))&amp;" "&amp;Milestones!$AB$173&amp;" "&amp;IF(AND(Milestones!$AB$173="FT",Milestones!$AA$173=FT_Y5,EDATE($D126,Milestones!$AA$173)&lt;PolicyEff),1,Milestones!$AC$173)&amp;";  ","")&amp;IF(AND(EDATE($D126,Milestones!$AA$174)&lt;=AsOfDate,EDATE($D126,Milestones!$AA$174)&gt;=SchemeStart,IF($X126=0,$AD126,IF(AND($Z126&lt;&gt;"",EDATE($D126,Milestones!$AA$174)&gt;=$Z126),$AC126,IF(AND($Y126&lt;&gt;"",EDATE($D126,Milestones!$AA$174)&gt;=$Y126),$AB126,$AA126)))=Milestones!$AB$174),UPPER(TEXT(EDATE($D126,Milestones!$AA$174),"dd mmm yy"))&amp;" "&amp;Milestones!$AB$174&amp;" "&amp;IF(AND(Milestones!$AB$174="FT",Milestones!$AA$174=FT_Y5,EDATE($D126,Milestones!$AA$174)&lt;PolicyEff),1,Milestones!$AC$174)&amp;";  ","")&amp;IF(AND(EDATE($D126,Milestones!$AA$175)&lt;=AsOfDate,EDATE($D126,Milestones!$AA$175)&gt;=SchemeStart,IF($X126=0,$AD126,IF(AND($Z126&lt;&gt;"",EDATE($D126,Milestones!$AA$175)&gt;=$Z126),$AC126,IF(AND($Y126&lt;&gt;"",EDATE($D126,Milestones!$AA$175)&gt;=$Y126),$AB126,$AA126)))=Milestones!$AB$175),UPPER(TEXT(EDATE($D126,Milestones!$AA$175),"dd mmm yy"))&amp;" "&amp;Milestones!$AB$175&amp;" "&amp;IF(AND(Milestones!$AB$175="FT",Milestones!$AA$175=FT_Y5,EDATE($D126,Milestones!$AA$175)&lt;PolicyEff),1,Milestones!$AC$175)&amp;";  ",""))</f>
        <v/>
      </c>
      <c r="V126" s="0" t="str">
        <f aca="false">IF(OR($A126="",$D126=""),"",IF(AND(EDATE($D126,Milestones!$AA$176)&lt;=AsOfDate,EDATE($D126,Milestones!$AA$176)&gt;=SchemeStart,IF($X126=0,$AD126,IF(AND($Z126&lt;&gt;"",EDATE($D126,Milestones!$AA$176)&gt;=$Z126),$AC126,IF(AND($Y126&lt;&gt;"",EDATE($D126,Milestones!$AA$176)&gt;=$Y126),$AB126,$AA126)))=Milestones!$AB$176),UPPER(TEXT(EDATE($D126,Milestones!$AA$176),"dd mmm yy"))&amp;" "&amp;Milestones!$AB$176&amp;" "&amp;IF(AND(Milestones!$AB$176="FT",Milestones!$AA$176=FT_Y5,EDATE($D126,Milestones!$AA$176)&lt;PolicyEff),1,Milestones!$AC$176)&amp;";  ","")&amp;IF(AND(EDATE($D126,Milestones!$AA$177)&lt;=AsOfDate,EDATE($D126,Milestones!$AA$177)&gt;=SchemeStart,IF($X126=0,$AD126,IF(AND($Z126&lt;&gt;"",EDATE($D126,Milestones!$AA$177)&gt;=$Z126),$AC126,IF(AND($Y126&lt;&gt;"",EDATE($D126,Milestones!$AA$177)&gt;=$Y126),$AB126,$AA126)))=Milestones!$AB$177),UPPER(TEXT(EDATE($D126,Milestones!$AA$177),"dd mmm yy"))&amp;" "&amp;Milestones!$AB$177&amp;" "&amp;IF(AND(Milestones!$AB$177="FT",Milestones!$AA$177=FT_Y5,EDATE($D126,Milestones!$AA$177)&lt;PolicyEff),1,Milestones!$AC$177)&amp;";  ","")&amp;IF(AND(EDATE($D126,Milestones!$AA$178)&lt;=AsOfDate,EDATE($D126,Milestones!$AA$178)&gt;=SchemeStart,IF($X126=0,$AD126,IF(AND($Z126&lt;&gt;"",EDATE($D126,Milestones!$AA$178)&gt;=$Z126),$AC126,IF(AND($Y126&lt;&gt;"",EDATE($D126,Milestones!$AA$178)&gt;=$Y126),$AB126,$AA126)))=Milestones!$AB$178),UPPER(TEXT(EDATE($D126,Milestones!$AA$178),"dd mmm yy"))&amp;" "&amp;Milestones!$AB$178&amp;" "&amp;IF(AND(Milestones!$AB$178="FT",Milestones!$AA$178=FT_Y5,EDATE($D126,Milestones!$AA$178)&lt;PolicyEff),1,Milestones!$AC$178)&amp;";  ","")&amp;IF(AND(EDATE($D126,Milestones!$AA$179)&lt;=AsOfDate,EDATE($D126,Milestones!$AA$179)&gt;=SchemeStart,IF($X126=0,$AD126,IF(AND($Z126&lt;&gt;"",EDATE($D126,Milestones!$AA$179)&gt;=$Z126),$AC126,IF(AND($Y126&lt;&gt;"",EDATE($D126,Milestones!$AA$179)&gt;=$Y126),$AB126,$AA126)))=Milestones!$AB$179),UPPER(TEXT(EDATE($D126,Milestones!$AA$179),"dd mmm yy"))&amp;" "&amp;Milestones!$AB$179&amp;" "&amp;IF(AND(Milestones!$AB$179="FT",Milestones!$AA$179=FT_Y5,EDATE($D126,Milestones!$AA$179)&lt;PolicyEff),1,Milestones!$AC$179)&amp;";  ","")&amp;IF(AND(EDATE($D126,Milestones!$AA$180)&lt;=AsOfDate,EDATE($D126,Milestones!$AA$180)&gt;=SchemeStart,IF($X126=0,$AD126,IF(AND($Z126&lt;&gt;"",EDATE($D126,Milestones!$AA$180)&gt;=$Z126),$AC126,IF(AND($Y126&lt;&gt;"",EDATE($D126,Milestones!$AA$180)&gt;=$Y126),$AB126,$AA126)))=Milestones!$AB$180),UPPER(TEXT(EDATE($D126,Milestones!$AA$180),"dd mmm yy"))&amp;" "&amp;Milestones!$AB$180&amp;" "&amp;IF(AND(Milestones!$AB$180="FT",Milestones!$AA$180=FT_Y5,EDATE($D126,Milestones!$AA$180)&lt;PolicyEff),1,Milestones!$AC$180)&amp;";  ","")&amp;IF(AND(EDATE($D126,Milestones!$AA$181)&lt;=AsOfDate,EDATE($D126,Milestones!$AA$181)&gt;=SchemeStart,IF($X126=0,$AD126,IF(AND($Z126&lt;&gt;"",EDATE($D126,Milestones!$AA$181)&gt;=$Z126),$AC126,IF(AND($Y126&lt;&gt;"",EDATE($D126,Milestones!$AA$181)&gt;=$Y126),$AB126,$AA126)))=Milestones!$AB$181),UPPER(TEXT(EDATE($D126,Milestones!$AA$181),"dd mmm yy"))&amp;" "&amp;Milestones!$AB$181&amp;" "&amp;IF(AND(Milestones!$AB$181="FT",Milestones!$AA$181=FT_Y5,EDATE($D126,Milestones!$AA$181)&lt;PolicyEff),1,Milestones!$AC$181)&amp;";  ","")&amp;IF(AND(EDATE($D126,Milestones!$AA$182)&lt;=AsOfDate,EDATE($D126,Milestones!$AA$182)&gt;=SchemeStart,IF($X126=0,$AD126,IF(AND($Z126&lt;&gt;"",EDATE($D126,Milestones!$AA$182)&gt;=$Z126),$AC126,IF(AND($Y126&lt;&gt;"",EDATE($D126,Milestones!$AA$182)&gt;=$Y126),$AB126,$AA126)))=Milestones!$AB$182),UPPER(TEXT(EDATE($D126,Milestones!$AA$182),"dd mmm yy"))&amp;" "&amp;Milestones!$AB$182&amp;" "&amp;IF(AND(Milestones!$AB$182="FT",Milestones!$AA$182=FT_Y5,EDATE($D126,Milestones!$AA$182)&lt;PolicyEff),1,Milestones!$AC$182)&amp;";  ","")&amp;IF(AND(EDATE($D126,Milestones!$AA$183)&lt;=AsOfDate,EDATE($D126,Milestones!$AA$183)&gt;=SchemeStart,IF($X126=0,$AD126,IF(AND($Z126&lt;&gt;"",EDATE($D126,Milestones!$AA$183)&gt;=$Z126),$AC126,IF(AND($Y126&lt;&gt;"",EDATE($D126,Milestones!$AA$183)&gt;=$Y126),$AB126,$AA126)))=Milestones!$AB$183),UPPER(TEXT(EDATE($D126,Milestones!$AA$183),"dd mmm yy"))&amp;" "&amp;Milestones!$AB$183&amp;" "&amp;IF(AND(Milestones!$AB$183="FT",Milestones!$AA$183=FT_Y5,EDATE($D126,Milestones!$AA$183)&lt;PolicyEff),1,Milestones!$AC$183)&amp;";  ","")&amp;IF(AND(EDATE($D126,Milestones!$AA$184)&lt;=AsOfDate,EDATE($D126,Milestones!$AA$184)&gt;=SchemeStart,IF($X126=0,$AD126,IF(AND($Z126&lt;&gt;"",EDATE($D126,Milestones!$AA$184)&gt;=$Z126),$AC126,IF(AND($Y126&lt;&gt;"",EDATE($D126,Milestones!$AA$184)&gt;=$Y126),$AB126,$AA126)))=Milestones!$AB$184),UPPER(TEXT(EDATE($D126,Milestones!$AA$184),"dd mmm yy"))&amp;" "&amp;Milestones!$AB$184&amp;" "&amp;IF(AND(Milestones!$AB$184="FT",Milestones!$AA$184=FT_Y5,EDATE($D126,Milestones!$AA$184)&lt;PolicyEff),1,Milestones!$AC$184)&amp;";  ","")&amp;IF(AND(EDATE($D126,Milestones!$AA$185)&lt;=AsOfDate,EDATE($D126,Milestones!$AA$185)&gt;=SchemeStart,IF($X126=0,$AD126,IF(AND($Z126&lt;&gt;"",EDATE($D126,Milestones!$AA$185)&gt;=$Z126),$AC126,IF(AND($Y126&lt;&gt;"",EDATE($D126,Milestones!$AA$185)&gt;=$Y126),$AB126,$AA126)))=Milestones!$AB$185),UPPER(TEXT(EDATE($D126,Milestones!$AA$185),"dd mmm yy"))&amp;" "&amp;Milestones!$AB$185&amp;" "&amp;IF(AND(Milestones!$AB$185="FT",Milestones!$AA$185=FT_Y5,EDATE($D126,Milestones!$AA$185)&lt;PolicyEff),1,Milestones!$AC$185)&amp;";  ","")&amp;IF(AND(EDATE($D126,Milestones!$AA$186)&lt;=AsOfDate,EDATE($D126,Milestones!$AA$186)&gt;=SchemeStart,IF($X126=0,$AD126,IF(AND($Z126&lt;&gt;"",EDATE($D126,Milestones!$AA$186)&gt;=$Z126),$AC126,IF(AND($Y126&lt;&gt;"",EDATE($D126,Milestones!$AA$186)&gt;=$Y126),$AB126,$AA126)))=Milestones!$AB$186),UPPER(TEXT(EDATE($D126,Milestones!$AA$186),"dd mmm yy"))&amp;" "&amp;Milestones!$AB$186&amp;" "&amp;IF(AND(Milestones!$AB$186="FT",Milestones!$AA$186=FT_Y5,EDATE($D126,Milestones!$AA$186)&lt;PolicyEff),1,Milestones!$AC$186)&amp;";  ","")&amp;IF(AND(EDATE($D126,Milestones!$AA$187)&lt;=AsOfDate,EDATE($D126,Milestones!$AA$187)&gt;=SchemeStart,IF($X126=0,$AD126,IF(AND($Z126&lt;&gt;"",EDATE($D126,Milestones!$AA$187)&gt;=$Z126),$AC126,IF(AND($Y126&lt;&gt;"",EDATE($D126,Milestones!$AA$187)&gt;=$Y126),$AB126,$AA126)))=Milestones!$AB$187),UPPER(TEXT(EDATE($D126,Milestones!$AA$187),"dd mmm yy"))&amp;" "&amp;Milestones!$AB$187&amp;" "&amp;IF(AND(Milestones!$AB$187="FT",Milestones!$AA$187=FT_Y5,EDATE($D126,Milestones!$AA$187)&lt;PolicyEff),1,Milestones!$AC$187)&amp;";  ",""))</f>
        <v/>
      </c>
      <c r="W126" s="0" t="str">
        <f aca="false">IF(OR($A126="",$D126=""),"",IF(AND(EDATE($D126,Milestones!$AA$188)&lt;=AsOfDate,EDATE($D126,Milestones!$AA$188)&gt;=SchemeStart,IF($X126=0,$AD126,IF(AND($Z126&lt;&gt;"",EDATE($D126,Milestones!$AA$188)&gt;=$Z126),$AC126,IF(AND($Y126&lt;&gt;"",EDATE($D126,Milestones!$AA$188)&gt;=$Y126),$AB126,$AA126)))=Milestones!$AB$188),UPPER(TEXT(EDATE($D126,Milestones!$AA$188),"dd mmm yy"))&amp;" "&amp;Milestones!$AB$188&amp;" "&amp;IF(AND(Milestones!$AB$188="FT",Milestones!$AA$188=FT_Y5,EDATE($D126,Milestones!$AA$188)&lt;PolicyEff),1,Milestones!$AC$188)&amp;";  ","")&amp;IF(AND(EDATE($D126,Milestones!$AA$189)&lt;=AsOfDate,EDATE($D126,Milestones!$AA$189)&gt;=SchemeStart,IF($X126=0,$AD126,IF(AND($Z126&lt;&gt;"",EDATE($D126,Milestones!$AA$189)&gt;=$Z126),$AC126,IF(AND($Y126&lt;&gt;"",EDATE($D126,Milestones!$AA$189)&gt;=$Y126),$AB126,$AA126)))=Milestones!$AB$189),UPPER(TEXT(EDATE($D126,Milestones!$AA$189),"dd mmm yy"))&amp;" "&amp;Milestones!$AB$189&amp;" "&amp;IF(AND(Milestones!$AB$189="FT",Milestones!$AA$189=FT_Y5,EDATE($D126,Milestones!$AA$189)&lt;PolicyEff),1,Milestones!$AC$189)&amp;";  ","")&amp;IF(AND(EDATE($D126,Milestones!$AA$190)&lt;=AsOfDate,EDATE($D126,Milestones!$AA$190)&gt;=SchemeStart,IF($X126=0,$AD126,IF(AND($Z126&lt;&gt;"",EDATE($D126,Milestones!$AA$190)&gt;=$Z126),$AC126,IF(AND($Y126&lt;&gt;"",EDATE($D126,Milestones!$AA$190)&gt;=$Y126),$AB126,$AA126)))=Milestones!$AB$190),UPPER(TEXT(EDATE($D126,Milestones!$AA$190),"dd mmm yy"))&amp;" "&amp;Milestones!$AB$190&amp;" "&amp;IF(AND(Milestones!$AB$190="FT",Milestones!$AA$190=FT_Y5,EDATE($D126,Milestones!$AA$190)&lt;PolicyEff),1,Milestones!$AC$190)&amp;";  ","")&amp;IF(AND(EDATE($D126,Milestones!$AA$191)&lt;=AsOfDate,EDATE($D126,Milestones!$AA$191)&gt;=SchemeStart,IF($X126=0,$AD126,IF(AND($Z126&lt;&gt;"",EDATE($D126,Milestones!$AA$191)&gt;=$Z126),$AC126,IF(AND($Y126&lt;&gt;"",EDATE($D126,Milestones!$AA$191)&gt;=$Y126),$AB126,$AA126)))=Milestones!$AB$191),UPPER(TEXT(EDATE($D126,Milestones!$AA$191),"dd mmm yy"))&amp;" "&amp;Milestones!$AB$191&amp;" "&amp;IF(AND(Milestones!$AB$191="FT",Milestones!$AA$191=FT_Y5,EDATE($D126,Milestones!$AA$191)&lt;PolicyEff),1,Milestones!$AC$191)&amp;";  ","")&amp;IF(AND(EDATE($D126,Milestones!$AA$192)&lt;=AsOfDate,EDATE($D126,Milestones!$AA$192)&gt;=SchemeStart,IF($X126=0,$AD126,IF(AND($Z126&lt;&gt;"",EDATE($D126,Milestones!$AA$192)&gt;=$Z126),$AC126,IF(AND($Y126&lt;&gt;"",EDATE($D126,Milestones!$AA$192)&gt;=$Y126),$AB126,$AA126)))=Milestones!$AB$192),UPPER(TEXT(EDATE($D126,Milestones!$AA$192),"dd mmm yy"))&amp;" "&amp;Milestones!$AB$192&amp;" "&amp;IF(AND(Milestones!$AB$192="FT",Milestones!$AA$192=FT_Y5,EDATE($D126,Milestones!$AA$192)&lt;PolicyEff),1,Milestones!$AC$192)&amp;";  ","")&amp;IF(AND(EDATE($D126,Milestones!$AA$193)&lt;=AsOfDate,EDATE($D126,Milestones!$AA$193)&gt;=SchemeStart,IF($X126=0,$AD126,IF(AND($Z126&lt;&gt;"",EDATE($D126,Milestones!$AA$193)&gt;=$Z126),$AC126,IF(AND($Y126&lt;&gt;"",EDATE($D126,Milestones!$AA$193)&gt;=$Y126),$AB126,$AA126)))=Milestones!$AB$193),UPPER(TEXT(EDATE($D126,Milestones!$AA$193),"dd mmm yy"))&amp;" "&amp;Milestones!$AB$193&amp;" "&amp;IF(AND(Milestones!$AB$193="FT",Milestones!$AA$193=FT_Y5,EDATE($D126,Milestones!$AA$193)&lt;PolicyEff),1,Milestones!$AC$193)&amp;";  ","")&amp;IF(AND(EDATE($D126,Milestones!$AA$194)&lt;=AsOfDate,EDATE($D126,Milestones!$AA$194)&gt;=SchemeStart,IF($X126=0,$AD126,IF(AND($Z126&lt;&gt;"",EDATE($D126,Milestones!$AA$194)&gt;=$Z126),$AC126,IF(AND($Y126&lt;&gt;"",EDATE($D126,Milestones!$AA$194)&gt;=$Y126),$AB126,$AA126)))=Milestones!$AB$194),UPPER(TEXT(EDATE($D126,Milestones!$AA$194),"dd mmm yy"))&amp;" "&amp;Milestones!$AB$194&amp;" "&amp;IF(AND(Milestones!$AB$194="FT",Milestones!$AA$194=FT_Y5,EDATE($D126,Milestones!$AA$194)&lt;PolicyEff),1,Milestones!$AC$194)&amp;";  ","")&amp;IF(AND(EDATE($D126,Milestones!$AA$195)&lt;=AsOfDate,EDATE($D126,Milestones!$AA$195)&gt;=SchemeStart,IF($X126=0,$AD126,IF(AND($Z126&lt;&gt;"",EDATE($D126,Milestones!$AA$195)&gt;=$Z126),$AC126,IF(AND($Y126&lt;&gt;"",EDATE($D126,Milestones!$AA$195)&gt;=$Y126),$AB126,$AA126)))=Milestones!$AB$195),UPPER(TEXT(EDATE($D126,Milestones!$AA$195),"dd mmm yy"))&amp;" "&amp;Milestones!$AB$195&amp;" "&amp;IF(AND(Milestones!$AB$195="FT",Milestones!$AA$195=FT_Y5,EDATE($D126,Milestones!$AA$195)&lt;PolicyEff),1,Milestones!$AC$195)&amp;";  ","")&amp;IF(AND(EDATE($D126,Milestones!$AA$196)&lt;=AsOfDate,EDATE($D126,Milestones!$AA$196)&gt;=SchemeStart,IF($X126=0,$AD126,IF(AND($Z126&lt;&gt;"",EDATE($D126,Milestones!$AA$196)&gt;=$Z126),$AC126,IF(AND($Y126&lt;&gt;"",EDATE($D126,Milestones!$AA$196)&gt;=$Y126),$AB126,$AA126)))=Milestones!$AB$196),UPPER(TEXT(EDATE($D126,Milestones!$AA$196),"dd mmm yy"))&amp;" "&amp;Milestones!$AB$196&amp;" "&amp;IF(AND(Milestones!$AB$196="FT",Milestones!$AA$196=FT_Y5,EDATE($D126,Milestones!$AA$196)&lt;PolicyEff),1,Milestones!$AC$196)&amp;";  ","")&amp;IF(AND(EDATE($D126,Milestones!$AA$197)&lt;=AsOfDate,EDATE($D126,Milestones!$AA$197)&gt;=SchemeStart,IF($X126=0,$AD126,IF(AND($Z126&lt;&gt;"",EDATE($D126,Milestones!$AA$197)&gt;=$Z126),$AC126,IF(AND($Y126&lt;&gt;"",EDATE($D126,Milestones!$AA$197)&gt;=$Y126),$AB126,$AA126)))=Milestones!$AB$197),UPPER(TEXT(EDATE($D126,Milestones!$AA$197),"dd mmm yy"))&amp;" "&amp;Milestones!$AB$197&amp;" "&amp;IF(AND(Milestones!$AB$197="FT",Milestones!$AA$197=FT_Y5,EDATE($D126,Milestones!$AA$197)&lt;PolicyEff),1,Milestones!$AC$197)&amp;";  ","")&amp;IF(AND(EDATE($D126,Milestones!$AA$198)&lt;=AsOfDate,EDATE($D126,Milestones!$AA$198)&gt;=SchemeStart,IF($X126=0,$AD126,IF(AND($Z126&lt;&gt;"",EDATE($D126,Milestones!$AA$198)&gt;=$Z126),$AC126,IF(AND($Y126&lt;&gt;"",EDATE($D126,Milestones!$AA$198)&gt;=$Y126),$AB126,$AA126)))=Milestones!$AB$198),UPPER(TEXT(EDATE($D126,Milestones!$AA$198),"dd mmm yy"))&amp;" "&amp;Milestones!$AB$198&amp;" "&amp;IF(AND(Milestones!$AB$198="FT",Milestones!$AA$198=FT_Y5,EDATE($D126,Milestones!$AA$198)&lt;PolicyEff),1,Milestones!$AC$198)&amp;";  ","")&amp;IF(AND(EDATE($D126,Milestones!$AA$199)&lt;=AsOfDate,EDATE($D126,Milestones!$AA$199)&gt;=SchemeStart,IF($X126=0,$AD126,IF(AND($Z126&lt;&gt;"",EDATE($D126,Milestones!$AA$199)&gt;=$Z126),$AC126,IF(AND($Y126&lt;&gt;"",EDATE($D126,Milestones!$AA$199)&gt;=$Y126),$AB126,$AA126)))=Milestones!$AB$199),UPPER(TEXT(EDATE($D126,Milestones!$AA$199),"dd mmm yy"))&amp;" "&amp;Milestones!$AB$199&amp;" "&amp;IF(AND(Milestones!$AB$199="FT",Milestones!$AA$199=FT_Y5,EDATE($D126,Milestones!$AA$199)&lt;PolicyEff),1,Milestones!$AC$199)&amp;";  ",""))</f>
        <v/>
      </c>
      <c r="X126" s="0" t="str">
        <f aca="false">IF(Staff!$A126="","",Staff!$AM126)</f>
        <v/>
      </c>
      <c r="Y126" s="0" t="str">
        <f aca="false">IF(Staff!$A126="","",Staff!$AO126)</f>
        <v/>
      </c>
      <c r="Z126" s="0" t="str">
        <f aca="false">IF(Staff!$A126="","",Staff!$AP126)</f>
        <v/>
      </c>
      <c r="AA126" s="0" t="str">
        <f aca="false">IF(Staff!$A126="","",Staff!$AT126)</f>
        <v/>
      </c>
      <c r="AB126" s="0" t="str">
        <f aca="false">IF(Staff!$A126="","",Staff!$AU126)</f>
        <v/>
      </c>
      <c r="AC126" s="0" t="str">
        <f aca="false">IF(Staff!$A126="","",Staff!$AV126)</f>
        <v/>
      </c>
      <c r="AD126" s="0" t="str">
        <f aca="false">IF(Staff!$A126="","",Staff!$AW126)</f>
        <v/>
      </c>
    </row>
    <row r="127" customFormat="false" ht="15" hidden="false" customHeight="false" outlineLevel="0" collapsed="false">
      <c r="A127" s="16" t="str">
        <f aca="false">IF(Staff!$A127="","",Staff!$A127)</f>
        <v/>
      </c>
      <c r="B127" s="16" t="str">
        <f aca="false">IF(Staff!$A127="","",Staff!$B127)</f>
        <v/>
      </c>
      <c r="C127" s="16" t="str">
        <f aca="false">IF(Staff!$A127="","",Staff!$C127)</f>
        <v/>
      </c>
      <c r="D127" s="14" t="str">
        <f aca="false">IF(Staff!$A127="","",Staff!$AL127)</f>
        <v/>
      </c>
      <c r="E127" s="16" t="str">
        <f aca="false">IF(Staff!$A127="","",Staff!$O127)</f>
        <v/>
      </c>
      <c r="F127" s="16" t="str">
        <f aca="false">IF(E127="","",E127*HoursPerDay)</f>
        <v/>
      </c>
      <c r="G127" s="16" t="str">
        <f aca="false">IF(Staff!$A127="","",Staff!$AE127)</f>
        <v/>
      </c>
      <c r="H127" s="28" t="str">
        <f aca="false">IF($A127="","",I127&amp;J127&amp;K127&amp;L127&amp;M127&amp;N127&amp;O127&amp;P127&amp;Q127&amp;R127&amp;S127&amp;T127&amp;U127&amp;V127&amp;W127)</f>
        <v/>
      </c>
      <c r="I127" s="0" t="str">
        <f aca="false">IF(OR($A127="",$D127=""),"",IF(AND(EDATE($D127,Milestones!$AA$20)&lt;=AsOfDate,EDATE($D127,Milestones!$AA$20)&gt;=SchemeStart,IF($X127=0,$AD127,IF(AND($Z127&lt;&gt;"",EDATE($D127,Milestones!$AA$20)&gt;=$Z127),$AC127,IF(AND($Y127&lt;&gt;"",EDATE($D127,Milestones!$AA$20)&gt;=$Y127),$AB127,$AA127)))=Milestones!$AB$20),UPPER(TEXT(EDATE($D127,Milestones!$AA$20),"dd mmm yy"))&amp;" "&amp;Milestones!$AB$20&amp;" "&amp;IF(AND(Milestones!$AB$20="FT",Milestones!$AA$20=FT_Y5,EDATE($D127,Milestones!$AA$20)&lt;PolicyEff),1,Milestones!$AC$20)&amp;";  ","")&amp;IF(AND(EDATE($D127,Milestones!$AA$21)&lt;=AsOfDate,EDATE($D127,Milestones!$AA$21)&gt;=SchemeStart,IF($X127=0,$AD127,IF(AND($Z127&lt;&gt;"",EDATE($D127,Milestones!$AA$21)&gt;=$Z127),$AC127,IF(AND($Y127&lt;&gt;"",EDATE($D127,Milestones!$AA$21)&gt;=$Y127),$AB127,$AA127)))=Milestones!$AB$21),UPPER(TEXT(EDATE($D127,Milestones!$AA$21),"dd mmm yy"))&amp;" "&amp;Milestones!$AB$21&amp;" "&amp;IF(AND(Milestones!$AB$21="FT",Milestones!$AA$21=FT_Y5,EDATE($D127,Milestones!$AA$21)&lt;PolicyEff),1,Milestones!$AC$21)&amp;";  ","")&amp;IF(AND(EDATE($D127,Milestones!$AA$22)&lt;=AsOfDate,EDATE($D127,Milestones!$AA$22)&gt;=SchemeStart,IF($X127=0,$AD127,IF(AND($Z127&lt;&gt;"",EDATE($D127,Milestones!$AA$22)&gt;=$Z127),$AC127,IF(AND($Y127&lt;&gt;"",EDATE($D127,Milestones!$AA$22)&gt;=$Y127),$AB127,$AA127)))=Milestones!$AB$22),UPPER(TEXT(EDATE($D127,Milestones!$AA$22),"dd mmm yy"))&amp;" "&amp;Milestones!$AB$22&amp;" "&amp;IF(AND(Milestones!$AB$22="FT",Milestones!$AA$22=FT_Y5,EDATE($D127,Milestones!$AA$22)&lt;PolicyEff),1,Milestones!$AC$22)&amp;";  ","")&amp;IF(AND(EDATE($D127,Milestones!$AA$23)&lt;=AsOfDate,EDATE($D127,Milestones!$AA$23)&gt;=SchemeStart,IF($X127=0,$AD127,IF(AND($Z127&lt;&gt;"",EDATE($D127,Milestones!$AA$23)&gt;=$Z127),$AC127,IF(AND($Y127&lt;&gt;"",EDATE($D127,Milestones!$AA$23)&gt;=$Y127),$AB127,$AA127)))=Milestones!$AB$23),UPPER(TEXT(EDATE($D127,Milestones!$AA$23),"dd mmm yy"))&amp;" "&amp;Milestones!$AB$23&amp;" "&amp;IF(AND(Milestones!$AB$23="FT",Milestones!$AA$23=FT_Y5,EDATE($D127,Milestones!$AA$23)&lt;PolicyEff),1,Milestones!$AC$23)&amp;";  ","")&amp;IF(AND(EDATE($D127,Milestones!$AA$24)&lt;=AsOfDate,EDATE($D127,Milestones!$AA$24)&gt;=SchemeStart,IF($X127=0,$AD127,IF(AND($Z127&lt;&gt;"",EDATE($D127,Milestones!$AA$24)&gt;=$Z127),$AC127,IF(AND($Y127&lt;&gt;"",EDATE($D127,Milestones!$AA$24)&gt;=$Y127),$AB127,$AA127)))=Milestones!$AB$24),UPPER(TEXT(EDATE($D127,Milestones!$AA$24),"dd mmm yy"))&amp;" "&amp;Milestones!$AB$24&amp;" "&amp;IF(AND(Milestones!$AB$24="FT",Milestones!$AA$24=FT_Y5,EDATE($D127,Milestones!$AA$24)&lt;PolicyEff),1,Milestones!$AC$24)&amp;";  ","")&amp;IF(AND(EDATE($D127,Milestones!$AA$25)&lt;=AsOfDate,EDATE($D127,Milestones!$AA$25)&gt;=SchemeStart,IF($X127=0,$AD127,IF(AND($Z127&lt;&gt;"",EDATE($D127,Milestones!$AA$25)&gt;=$Z127),$AC127,IF(AND($Y127&lt;&gt;"",EDATE($D127,Milestones!$AA$25)&gt;=$Y127),$AB127,$AA127)))=Milestones!$AB$25),UPPER(TEXT(EDATE($D127,Milestones!$AA$25),"dd mmm yy"))&amp;" "&amp;Milestones!$AB$25&amp;" "&amp;IF(AND(Milestones!$AB$25="FT",Milestones!$AA$25=FT_Y5,EDATE($D127,Milestones!$AA$25)&lt;PolicyEff),1,Milestones!$AC$25)&amp;";  ","")&amp;IF(AND(EDATE($D127,Milestones!$AA$26)&lt;=AsOfDate,EDATE($D127,Milestones!$AA$26)&gt;=SchemeStart,IF($X127=0,$AD127,IF(AND($Z127&lt;&gt;"",EDATE($D127,Milestones!$AA$26)&gt;=$Z127),$AC127,IF(AND($Y127&lt;&gt;"",EDATE($D127,Milestones!$AA$26)&gt;=$Y127),$AB127,$AA127)))=Milestones!$AB$26),UPPER(TEXT(EDATE($D127,Milestones!$AA$26),"dd mmm yy"))&amp;" "&amp;Milestones!$AB$26&amp;" "&amp;IF(AND(Milestones!$AB$26="FT",Milestones!$AA$26=FT_Y5,EDATE($D127,Milestones!$AA$26)&lt;PolicyEff),1,Milestones!$AC$26)&amp;";  ","")&amp;IF(AND(EDATE($D127,Milestones!$AA$27)&lt;=AsOfDate,EDATE($D127,Milestones!$AA$27)&gt;=SchemeStart,IF($X127=0,$AD127,IF(AND($Z127&lt;&gt;"",EDATE($D127,Milestones!$AA$27)&gt;=$Z127),$AC127,IF(AND($Y127&lt;&gt;"",EDATE($D127,Milestones!$AA$27)&gt;=$Y127),$AB127,$AA127)))=Milestones!$AB$27),UPPER(TEXT(EDATE($D127,Milestones!$AA$27),"dd mmm yy"))&amp;" "&amp;Milestones!$AB$27&amp;" "&amp;IF(AND(Milestones!$AB$27="FT",Milestones!$AA$27=FT_Y5,EDATE($D127,Milestones!$AA$27)&lt;PolicyEff),1,Milestones!$AC$27)&amp;";  ","")&amp;IF(AND(EDATE($D127,Milestones!$AA$28)&lt;=AsOfDate,EDATE($D127,Milestones!$AA$28)&gt;=SchemeStart,IF($X127=0,$AD127,IF(AND($Z127&lt;&gt;"",EDATE($D127,Milestones!$AA$28)&gt;=$Z127),$AC127,IF(AND($Y127&lt;&gt;"",EDATE($D127,Milestones!$AA$28)&gt;=$Y127),$AB127,$AA127)))=Milestones!$AB$28),UPPER(TEXT(EDATE($D127,Milestones!$AA$28),"dd mmm yy"))&amp;" "&amp;Milestones!$AB$28&amp;" "&amp;IF(AND(Milestones!$AB$28="FT",Milestones!$AA$28=FT_Y5,EDATE($D127,Milestones!$AA$28)&lt;PolicyEff),1,Milestones!$AC$28)&amp;";  ","")&amp;IF(AND(EDATE($D127,Milestones!$AA$29)&lt;=AsOfDate,EDATE($D127,Milestones!$AA$29)&gt;=SchemeStart,IF($X127=0,$AD127,IF(AND($Z127&lt;&gt;"",EDATE($D127,Milestones!$AA$29)&gt;=$Z127),$AC127,IF(AND($Y127&lt;&gt;"",EDATE($D127,Milestones!$AA$29)&gt;=$Y127),$AB127,$AA127)))=Milestones!$AB$29),UPPER(TEXT(EDATE($D127,Milestones!$AA$29),"dd mmm yy"))&amp;" "&amp;Milestones!$AB$29&amp;" "&amp;IF(AND(Milestones!$AB$29="FT",Milestones!$AA$29=FT_Y5,EDATE($D127,Milestones!$AA$29)&lt;PolicyEff),1,Milestones!$AC$29)&amp;";  ","")&amp;IF(AND(EDATE($D127,Milestones!$AA$30)&lt;=AsOfDate,EDATE($D127,Milestones!$AA$30)&gt;=SchemeStart,IF($X127=0,$AD127,IF(AND($Z127&lt;&gt;"",EDATE($D127,Milestones!$AA$30)&gt;=$Z127),$AC127,IF(AND($Y127&lt;&gt;"",EDATE($D127,Milestones!$AA$30)&gt;=$Y127),$AB127,$AA127)))=Milestones!$AB$30),UPPER(TEXT(EDATE($D127,Milestones!$AA$30),"dd mmm yy"))&amp;" "&amp;Milestones!$AB$30&amp;" "&amp;IF(AND(Milestones!$AB$30="FT",Milestones!$AA$30=FT_Y5,EDATE($D127,Milestones!$AA$30)&lt;PolicyEff),1,Milestones!$AC$30)&amp;";  ","")&amp;IF(AND(EDATE($D127,Milestones!$AA$31)&lt;=AsOfDate,EDATE($D127,Milestones!$AA$31)&gt;=SchemeStart,IF($X127=0,$AD127,IF(AND($Z127&lt;&gt;"",EDATE($D127,Milestones!$AA$31)&gt;=$Z127),$AC127,IF(AND($Y127&lt;&gt;"",EDATE($D127,Milestones!$AA$31)&gt;=$Y127),$AB127,$AA127)))=Milestones!$AB$31),UPPER(TEXT(EDATE($D127,Milestones!$AA$31),"dd mmm yy"))&amp;" "&amp;Milestones!$AB$31&amp;" "&amp;IF(AND(Milestones!$AB$31="FT",Milestones!$AA$31=FT_Y5,EDATE($D127,Milestones!$AA$31)&lt;PolicyEff),1,Milestones!$AC$31)&amp;";  ",""))</f>
        <v/>
      </c>
      <c r="J127" s="0" t="str">
        <f aca="false">IF(OR($A127="",$D127=""),"",IF(AND(EDATE($D127,Milestones!$AA$32)&lt;=AsOfDate,EDATE($D127,Milestones!$AA$32)&gt;=SchemeStart,IF($X127=0,$AD127,IF(AND($Z127&lt;&gt;"",EDATE($D127,Milestones!$AA$32)&gt;=$Z127),$AC127,IF(AND($Y127&lt;&gt;"",EDATE($D127,Milestones!$AA$32)&gt;=$Y127),$AB127,$AA127)))=Milestones!$AB$32),UPPER(TEXT(EDATE($D127,Milestones!$AA$32),"dd mmm yy"))&amp;" "&amp;Milestones!$AB$32&amp;" "&amp;IF(AND(Milestones!$AB$32="FT",Milestones!$AA$32=FT_Y5,EDATE($D127,Milestones!$AA$32)&lt;PolicyEff),1,Milestones!$AC$32)&amp;";  ","")&amp;IF(AND(EDATE($D127,Milestones!$AA$33)&lt;=AsOfDate,EDATE($D127,Milestones!$AA$33)&gt;=SchemeStart,IF($X127=0,$AD127,IF(AND($Z127&lt;&gt;"",EDATE($D127,Milestones!$AA$33)&gt;=$Z127),$AC127,IF(AND($Y127&lt;&gt;"",EDATE($D127,Milestones!$AA$33)&gt;=$Y127),$AB127,$AA127)))=Milestones!$AB$33),UPPER(TEXT(EDATE($D127,Milestones!$AA$33),"dd mmm yy"))&amp;" "&amp;Milestones!$AB$33&amp;" "&amp;IF(AND(Milestones!$AB$33="FT",Milestones!$AA$33=FT_Y5,EDATE($D127,Milestones!$AA$33)&lt;PolicyEff),1,Milestones!$AC$33)&amp;";  ","")&amp;IF(AND(EDATE($D127,Milestones!$AA$34)&lt;=AsOfDate,EDATE($D127,Milestones!$AA$34)&gt;=SchemeStart,IF($X127=0,$AD127,IF(AND($Z127&lt;&gt;"",EDATE($D127,Milestones!$AA$34)&gt;=$Z127),$AC127,IF(AND($Y127&lt;&gt;"",EDATE($D127,Milestones!$AA$34)&gt;=$Y127),$AB127,$AA127)))=Milestones!$AB$34),UPPER(TEXT(EDATE($D127,Milestones!$AA$34),"dd mmm yy"))&amp;" "&amp;Milestones!$AB$34&amp;" "&amp;IF(AND(Milestones!$AB$34="FT",Milestones!$AA$34=FT_Y5,EDATE($D127,Milestones!$AA$34)&lt;PolicyEff),1,Milestones!$AC$34)&amp;";  ","")&amp;IF(AND(EDATE($D127,Milestones!$AA$35)&lt;=AsOfDate,EDATE($D127,Milestones!$AA$35)&gt;=SchemeStart,IF($X127=0,$AD127,IF(AND($Z127&lt;&gt;"",EDATE($D127,Milestones!$AA$35)&gt;=$Z127),$AC127,IF(AND($Y127&lt;&gt;"",EDATE($D127,Milestones!$AA$35)&gt;=$Y127),$AB127,$AA127)))=Milestones!$AB$35),UPPER(TEXT(EDATE($D127,Milestones!$AA$35),"dd mmm yy"))&amp;" "&amp;Milestones!$AB$35&amp;" "&amp;IF(AND(Milestones!$AB$35="FT",Milestones!$AA$35=FT_Y5,EDATE($D127,Milestones!$AA$35)&lt;PolicyEff),1,Milestones!$AC$35)&amp;";  ","")&amp;IF(AND(EDATE($D127,Milestones!$AA$36)&lt;=AsOfDate,EDATE($D127,Milestones!$AA$36)&gt;=SchemeStart,IF($X127=0,$AD127,IF(AND($Z127&lt;&gt;"",EDATE($D127,Milestones!$AA$36)&gt;=$Z127),$AC127,IF(AND($Y127&lt;&gt;"",EDATE($D127,Milestones!$AA$36)&gt;=$Y127),$AB127,$AA127)))=Milestones!$AB$36),UPPER(TEXT(EDATE($D127,Milestones!$AA$36),"dd mmm yy"))&amp;" "&amp;Milestones!$AB$36&amp;" "&amp;IF(AND(Milestones!$AB$36="FT",Milestones!$AA$36=FT_Y5,EDATE($D127,Milestones!$AA$36)&lt;PolicyEff),1,Milestones!$AC$36)&amp;";  ","")&amp;IF(AND(EDATE($D127,Milestones!$AA$37)&lt;=AsOfDate,EDATE($D127,Milestones!$AA$37)&gt;=SchemeStart,IF($X127=0,$AD127,IF(AND($Z127&lt;&gt;"",EDATE($D127,Milestones!$AA$37)&gt;=$Z127),$AC127,IF(AND($Y127&lt;&gt;"",EDATE($D127,Milestones!$AA$37)&gt;=$Y127),$AB127,$AA127)))=Milestones!$AB$37),UPPER(TEXT(EDATE($D127,Milestones!$AA$37),"dd mmm yy"))&amp;" "&amp;Milestones!$AB$37&amp;" "&amp;IF(AND(Milestones!$AB$37="FT",Milestones!$AA$37=FT_Y5,EDATE($D127,Milestones!$AA$37)&lt;PolicyEff),1,Milestones!$AC$37)&amp;";  ","")&amp;IF(AND(EDATE($D127,Milestones!$AA$38)&lt;=AsOfDate,EDATE($D127,Milestones!$AA$38)&gt;=SchemeStart,IF($X127=0,$AD127,IF(AND($Z127&lt;&gt;"",EDATE($D127,Milestones!$AA$38)&gt;=$Z127),$AC127,IF(AND($Y127&lt;&gt;"",EDATE($D127,Milestones!$AA$38)&gt;=$Y127),$AB127,$AA127)))=Milestones!$AB$38),UPPER(TEXT(EDATE($D127,Milestones!$AA$38),"dd mmm yy"))&amp;" "&amp;Milestones!$AB$38&amp;" "&amp;IF(AND(Milestones!$AB$38="FT",Milestones!$AA$38=FT_Y5,EDATE($D127,Milestones!$AA$38)&lt;PolicyEff),1,Milestones!$AC$38)&amp;";  ","")&amp;IF(AND(EDATE($D127,Milestones!$AA$39)&lt;=AsOfDate,EDATE($D127,Milestones!$AA$39)&gt;=SchemeStart,IF($X127=0,$AD127,IF(AND($Z127&lt;&gt;"",EDATE($D127,Milestones!$AA$39)&gt;=$Z127),$AC127,IF(AND($Y127&lt;&gt;"",EDATE($D127,Milestones!$AA$39)&gt;=$Y127),$AB127,$AA127)))=Milestones!$AB$39),UPPER(TEXT(EDATE($D127,Milestones!$AA$39),"dd mmm yy"))&amp;" "&amp;Milestones!$AB$39&amp;" "&amp;IF(AND(Milestones!$AB$39="FT",Milestones!$AA$39=FT_Y5,EDATE($D127,Milestones!$AA$39)&lt;PolicyEff),1,Milestones!$AC$39)&amp;";  ","")&amp;IF(AND(EDATE($D127,Milestones!$AA$40)&lt;=AsOfDate,EDATE($D127,Milestones!$AA$40)&gt;=SchemeStart,IF($X127=0,$AD127,IF(AND($Z127&lt;&gt;"",EDATE($D127,Milestones!$AA$40)&gt;=$Z127),$AC127,IF(AND($Y127&lt;&gt;"",EDATE($D127,Milestones!$AA$40)&gt;=$Y127),$AB127,$AA127)))=Milestones!$AB$40),UPPER(TEXT(EDATE($D127,Milestones!$AA$40),"dd mmm yy"))&amp;" "&amp;Milestones!$AB$40&amp;" "&amp;IF(AND(Milestones!$AB$40="FT",Milestones!$AA$40=FT_Y5,EDATE($D127,Milestones!$AA$40)&lt;PolicyEff),1,Milestones!$AC$40)&amp;";  ","")&amp;IF(AND(EDATE($D127,Milestones!$AA$41)&lt;=AsOfDate,EDATE($D127,Milestones!$AA$41)&gt;=SchemeStart,IF($X127=0,$AD127,IF(AND($Z127&lt;&gt;"",EDATE($D127,Milestones!$AA$41)&gt;=$Z127),$AC127,IF(AND($Y127&lt;&gt;"",EDATE($D127,Milestones!$AA$41)&gt;=$Y127),$AB127,$AA127)))=Milestones!$AB$41),UPPER(TEXT(EDATE($D127,Milestones!$AA$41),"dd mmm yy"))&amp;" "&amp;Milestones!$AB$41&amp;" "&amp;IF(AND(Milestones!$AB$41="FT",Milestones!$AA$41=FT_Y5,EDATE($D127,Milestones!$AA$41)&lt;PolicyEff),1,Milestones!$AC$41)&amp;";  ","")&amp;IF(AND(EDATE($D127,Milestones!$AA$42)&lt;=AsOfDate,EDATE($D127,Milestones!$AA$42)&gt;=SchemeStart,IF($X127=0,$AD127,IF(AND($Z127&lt;&gt;"",EDATE($D127,Milestones!$AA$42)&gt;=$Z127),$AC127,IF(AND($Y127&lt;&gt;"",EDATE($D127,Milestones!$AA$42)&gt;=$Y127),$AB127,$AA127)))=Milestones!$AB$42),UPPER(TEXT(EDATE($D127,Milestones!$AA$42),"dd mmm yy"))&amp;" "&amp;Milestones!$AB$42&amp;" "&amp;IF(AND(Milestones!$AB$42="FT",Milestones!$AA$42=FT_Y5,EDATE($D127,Milestones!$AA$42)&lt;PolicyEff),1,Milestones!$AC$42)&amp;";  ","")&amp;IF(AND(EDATE($D127,Milestones!$AA$43)&lt;=AsOfDate,EDATE($D127,Milestones!$AA$43)&gt;=SchemeStart,IF($X127=0,$AD127,IF(AND($Z127&lt;&gt;"",EDATE($D127,Milestones!$AA$43)&gt;=$Z127),$AC127,IF(AND($Y127&lt;&gt;"",EDATE($D127,Milestones!$AA$43)&gt;=$Y127),$AB127,$AA127)))=Milestones!$AB$43),UPPER(TEXT(EDATE($D127,Milestones!$AA$43),"dd mmm yy"))&amp;" "&amp;Milestones!$AB$43&amp;" "&amp;IF(AND(Milestones!$AB$43="FT",Milestones!$AA$43=FT_Y5,EDATE($D127,Milestones!$AA$43)&lt;PolicyEff),1,Milestones!$AC$43)&amp;";  ",""))</f>
        <v/>
      </c>
      <c r="K127" s="0" t="str">
        <f aca="false">IF(OR($A127="",$D127=""),"",IF(AND(EDATE($D127,Milestones!$AA$44)&lt;=AsOfDate,EDATE($D127,Milestones!$AA$44)&gt;=SchemeStart,IF($X127=0,$AD127,IF(AND($Z127&lt;&gt;"",EDATE($D127,Milestones!$AA$44)&gt;=$Z127),$AC127,IF(AND($Y127&lt;&gt;"",EDATE($D127,Milestones!$AA$44)&gt;=$Y127),$AB127,$AA127)))=Milestones!$AB$44),UPPER(TEXT(EDATE($D127,Milestones!$AA$44),"dd mmm yy"))&amp;" "&amp;Milestones!$AB$44&amp;" "&amp;IF(AND(Milestones!$AB$44="FT",Milestones!$AA$44=FT_Y5,EDATE($D127,Milestones!$AA$44)&lt;PolicyEff),1,Milestones!$AC$44)&amp;";  ","")&amp;IF(AND(EDATE($D127,Milestones!$AA$45)&lt;=AsOfDate,EDATE($D127,Milestones!$AA$45)&gt;=SchemeStart,IF($X127=0,$AD127,IF(AND($Z127&lt;&gt;"",EDATE($D127,Milestones!$AA$45)&gt;=$Z127),$AC127,IF(AND($Y127&lt;&gt;"",EDATE($D127,Milestones!$AA$45)&gt;=$Y127),$AB127,$AA127)))=Milestones!$AB$45),UPPER(TEXT(EDATE($D127,Milestones!$AA$45),"dd mmm yy"))&amp;" "&amp;Milestones!$AB$45&amp;" "&amp;IF(AND(Milestones!$AB$45="FT",Milestones!$AA$45=FT_Y5,EDATE($D127,Milestones!$AA$45)&lt;PolicyEff),1,Milestones!$AC$45)&amp;";  ","")&amp;IF(AND(EDATE($D127,Milestones!$AA$46)&lt;=AsOfDate,EDATE($D127,Milestones!$AA$46)&gt;=SchemeStart,IF($X127=0,$AD127,IF(AND($Z127&lt;&gt;"",EDATE($D127,Milestones!$AA$46)&gt;=$Z127),$AC127,IF(AND($Y127&lt;&gt;"",EDATE($D127,Milestones!$AA$46)&gt;=$Y127),$AB127,$AA127)))=Milestones!$AB$46),UPPER(TEXT(EDATE($D127,Milestones!$AA$46),"dd mmm yy"))&amp;" "&amp;Milestones!$AB$46&amp;" "&amp;IF(AND(Milestones!$AB$46="FT",Milestones!$AA$46=FT_Y5,EDATE($D127,Milestones!$AA$46)&lt;PolicyEff),1,Milestones!$AC$46)&amp;";  ","")&amp;IF(AND(EDATE($D127,Milestones!$AA$47)&lt;=AsOfDate,EDATE($D127,Milestones!$AA$47)&gt;=SchemeStart,IF($X127=0,$AD127,IF(AND($Z127&lt;&gt;"",EDATE($D127,Milestones!$AA$47)&gt;=$Z127),$AC127,IF(AND($Y127&lt;&gt;"",EDATE($D127,Milestones!$AA$47)&gt;=$Y127),$AB127,$AA127)))=Milestones!$AB$47),UPPER(TEXT(EDATE($D127,Milestones!$AA$47),"dd mmm yy"))&amp;" "&amp;Milestones!$AB$47&amp;" "&amp;IF(AND(Milestones!$AB$47="FT",Milestones!$AA$47=FT_Y5,EDATE($D127,Milestones!$AA$47)&lt;PolicyEff),1,Milestones!$AC$47)&amp;";  ","")&amp;IF(AND(EDATE($D127,Milestones!$AA$48)&lt;=AsOfDate,EDATE($D127,Milestones!$AA$48)&gt;=SchemeStart,IF($X127=0,$AD127,IF(AND($Z127&lt;&gt;"",EDATE($D127,Milestones!$AA$48)&gt;=$Z127),$AC127,IF(AND($Y127&lt;&gt;"",EDATE($D127,Milestones!$AA$48)&gt;=$Y127),$AB127,$AA127)))=Milestones!$AB$48),UPPER(TEXT(EDATE($D127,Milestones!$AA$48),"dd mmm yy"))&amp;" "&amp;Milestones!$AB$48&amp;" "&amp;IF(AND(Milestones!$AB$48="FT",Milestones!$AA$48=FT_Y5,EDATE($D127,Milestones!$AA$48)&lt;PolicyEff),1,Milestones!$AC$48)&amp;";  ","")&amp;IF(AND(EDATE($D127,Milestones!$AA$49)&lt;=AsOfDate,EDATE($D127,Milestones!$AA$49)&gt;=SchemeStart,IF($X127=0,$AD127,IF(AND($Z127&lt;&gt;"",EDATE($D127,Milestones!$AA$49)&gt;=$Z127),$AC127,IF(AND($Y127&lt;&gt;"",EDATE($D127,Milestones!$AA$49)&gt;=$Y127),$AB127,$AA127)))=Milestones!$AB$49),UPPER(TEXT(EDATE($D127,Milestones!$AA$49),"dd mmm yy"))&amp;" "&amp;Milestones!$AB$49&amp;" "&amp;IF(AND(Milestones!$AB$49="FT",Milestones!$AA$49=FT_Y5,EDATE($D127,Milestones!$AA$49)&lt;PolicyEff),1,Milestones!$AC$49)&amp;";  ","")&amp;IF(AND(EDATE($D127,Milestones!$AA$50)&lt;=AsOfDate,EDATE($D127,Milestones!$AA$50)&gt;=SchemeStart,IF($X127=0,$AD127,IF(AND($Z127&lt;&gt;"",EDATE($D127,Milestones!$AA$50)&gt;=$Z127),$AC127,IF(AND($Y127&lt;&gt;"",EDATE($D127,Milestones!$AA$50)&gt;=$Y127),$AB127,$AA127)))=Milestones!$AB$50),UPPER(TEXT(EDATE($D127,Milestones!$AA$50),"dd mmm yy"))&amp;" "&amp;Milestones!$AB$50&amp;" "&amp;IF(AND(Milestones!$AB$50="FT",Milestones!$AA$50=FT_Y5,EDATE($D127,Milestones!$AA$50)&lt;PolicyEff),1,Milestones!$AC$50)&amp;";  ","")&amp;IF(AND(EDATE($D127,Milestones!$AA$51)&lt;=AsOfDate,EDATE($D127,Milestones!$AA$51)&gt;=SchemeStart,IF($X127=0,$AD127,IF(AND($Z127&lt;&gt;"",EDATE($D127,Milestones!$AA$51)&gt;=$Z127),$AC127,IF(AND($Y127&lt;&gt;"",EDATE($D127,Milestones!$AA$51)&gt;=$Y127),$AB127,$AA127)))=Milestones!$AB$51),UPPER(TEXT(EDATE($D127,Milestones!$AA$51),"dd mmm yy"))&amp;" "&amp;Milestones!$AB$51&amp;" "&amp;IF(AND(Milestones!$AB$51="FT",Milestones!$AA$51=FT_Y5,EDATE($D127,Milestones!$AA$51)&lt;PolicyEff),1,Milestones!$AC$51)&amp;";  ","")&amp;IF(AND(EDATE($D127,Milestones!$AA$52)&lt;=AsOfDate,EDATE($D127,Milestones!$AA$52)&gt;=SchemeStart,IF($X127=0,$AD127,IF(AND($Z127&lt;&gt;"",EDATE($D127,Milestones!$AA$52)&gt;=$Z127),$AC127,IF(AND($Y127&lt;&gt;"",EDATE($D127,Milestones!$AA$52)&gt;=$Y127),$AB127,$AA127)))=Milestones!$AB$52),UPPER(TEXT(EDATE($D127,Milestones!$AA$52),"dd mmm yy"))&amp;" "&amp;Milestones!$AB$52&amp;" "&amp;IF(AND(Milestones!$AB$52="FT",Milestones!$AA$52=FT_Y5,EDATE($D127,Milestones!$AA$52)&lt;PolicyEff),1,Milestones!$AC$52)&amp;";  ","")&amp;IF(AND(EDATE($D127,Milestones!$AA$53)&lt;=AsOfDate,EDATE($D127,Milestones!$AA$53)&gt;=SchemeStart,IF($X127=0,$AD127,IF(AND($Z127&lt;&gt;"",EDATE($D127,Milestones!$AA$53)&gt;=$Z127),$AC127,IF(AND($Y127&lt;&gt;"",EDATE($D127,Milestones!$AA$53)&gt;=$Y127),$AB127,$AA127)))=Milestones!$AB$53),UPPER(TEXT(EDATE($D127,Milestones!$AA$53),"dd mmm yy"))&amp;" "&amp;Milestones!$AB$53&amp;" "&amp;IF(AND(Milestones!$AB$53="FT",Milestones!$AA$53=FT_Y5,EDATE($D127,Milestones!$AA$53)&lt;PolicyEff),1,Milestones!$AC$53)&amp;";  ","")&amp;IF(AND(EDATE($D127,Milestones!$AA$54)&lt;=AsOfDate,EDATE($D127,Milestones!$AA$54)&gt;=SchemeStart,IF($X127=0,$AD127,IF(AND($Z127&lt;&gt;"",EDATE($D127,Milestones!$AA$54)&gt;=$Z127),$AC127,IF(AND($Y127&lt;&gt;"",EDATE($D127,Milestones!$AA$54)&gt;=$Y127),$AB127,$AA127)))=Milestones!$AB$54),UPPER(TEXT(EDATE($D127,Milestones!$AA$54),"dd mmm yy"))&amp;" "&amp;Milestones!$AB$54&amp;" "&amp;IF(AND(Milestones!$AB$54="FT",Milestones!$AA$54=FT_Y5,EDATE($D127,Milestones!$AA$54)&lt;PolicyEff),1,Milestones!$AC$54)&amp;";  ","")&amp;IF(AND(EDATE($D127,Milestones!$AA$55)&lt;=AsOfDate,EDATE($D127,Milestones!$AA$55)&gt;=SchemeStart,IF($X127=0,$AD127,IF(AND($Z127&lt;&gt;"",EDATE($D127,Milestones!$AA$55)&gt;=$Z127),$AC127,IF(AND($Y127&lt;&gt;"",EDATE($D127,Milestones!$AA$55)&gt;=$Y127),$AB127,$AA127)))=Milestones!$AB$55),UPPER(TEXT(EDATE($D127,Milestones!$AA$55),"dd mmm yy"))&amp;" "&amp;Milestones!$AB$55&amp;" "&amp;IF(AND(Milestones!$AB$55="FT",Milestones!$AA$55=FT_Y5,EDATE($D127,Milestones!$AA$55)&lt;PolicyEff),1,Milestones!$AC$55)&amp;";  ",""))</f>
        <v/>
      </c>
      <c r="L127" s="0" t="str">
        <f aca="false">IF(OR($A127="",$D127=""),"",IF(AND(EDATE($D127,Milestones!$AA$56)&lt;=AsOfDate,EDATE($D127,Milestones!$AA$56)&gt;=SchemeStart,IF($X127=0,$AD127,IF(AND($Z127&lt;&gt;"",EDATE($D127,Milestones!$AA$56)&gt;=$Z127),$AC127,IF(AND($Y127&lt;&gt;"",EDATE($D127,Milestones!$AA$56)&gt;=$Y127),$AB127,$AA127)))=Milestones!$AB$56),UPPER(TEXT(EDATE($D127,Milestones!$AA$56),"dd mmm yy"))&amp;" "&amp;Milestones!$AB$56&amp;" "&amp;IF(AND(Milestones!$AB$56="FT",Milestones!$AA$56=FT_Y5,EDATE($D127,Milestones!$AA$56)&lt;PolicyEff),1,Milestones!$AC$56)&amp;";  ","")&amp;IF(AND(EDATE($D127,Milestones!$AA$57)&lt;=AsOfDate,EDATE($D127,Milestones!$AA$57)&gt;=SchemeStart,IF($X127=0,$AD127,IF(AND($Z127&lt;&gt;"",EDATE($D127,Milestones!$AA$57)&gt;=$Z127),$AC127,IF(AND($Y127&lt;&gt;"",EDATE($D127,Milestones!$AA$57)&gt;=$Y127),$AB127,$AA127)))=Milestones!$AB$57),UPPER(TEXT(EDATE($D127,Milestones!$AA$57),"dd mmm yy"))&amp;" "&amp;Milestones!$AB$57&amp;" "&amp;IF(AND(Milestones!$AB$57="FT",Milestones!$AA$57=FT_Y5,EDATE($D127,Milestones!$AA$57)&lt;PolicyEff),1,Milestones!$AC$57)&amp;";  ","")&amp;IF(AND(EDATE($D127,Milestones!$AA$58)&lt;=AsOfDate,EDATE($D127,Milestones!$AA$58)&gt;=SchemeStart,IF($X127=0,$AD127,IF(AND($Z127&lt;&gt;"",EDATE($D127,Milestones!$AA$58)&gt;=$Z127),$AC127,IF(AND($Y127&lt;&gt;"",EDATE($D127,Milestones!$AA$58)&gt;=$Y127),$AB127,$AA127)))=Milestones!$AB$58),UPPER(TEXT(EDATE($D127,Milestones!$AA$58),"dd mmm yy"))&amp;" "&amp;Milestones!$AB$58&amp;" "&amp;IF(AND(Milestones!$AB$58="FT",Milestones!$AA$58=FT_Y5,EDATE($D127,Milestones!$AA$58)&lt;PolicyEff),1,Milestones!$AC$58)&amp;";  ","")&amp;IF(AND(EDATE($D127,Milestones!$AA$59)&lt;=AsOfDate,EDATE($D127,Milestones!$AA$59)&gt;=SchemeStart,IF($X127=0,$AD127,IF(AND($Z127&lt;&gt;"",EDATE($D127,Milestones!$AA$59)&gt;=$Z127),$AC127,IF(AND($Y127&lt;&gt;"",EDATE($D127,Milestones!$AA$59)&gt;=$Y127),$AB127,$AA127)))=Milestones!$AB$59),UPPER(TEXT(EDATE($D127,Milestones!$AA$59),"dd mmm yy"))&amp;" "&amp;Milestones!$AB$59&amp;" "&amp;IF(AND(Milestones!$AB$59="FT",Milestones!$AA$59=FT_Y5,EDATE($D127,Milestones!$AA$59)&lt;PolicyEff),1,Milestones!$AC$59)&amp;";  ","")&amp;IF(AND(EDATE($D127,Milestones!$AA$60)&lt;=AsOfDate,EDATE($D127,Milestones!$AA$60)&gt;=SchemeStart,IF($X127=0,$AD127,IF(AND($Z127&lt;&gt;"",EDATE($D127,Milestones!$AA$60)&gt;=$Z127),$AC127,IF(AND($Y127&lt;&gt;"",EDATE($D127,Milestones!$AA$60)&gt;=$Y127),$AB127,$AA127)))=Milestones!$AB$60),UPPER(TEXT(EDATE($D127,Milestones!$AA$60),"dd mmm yy"))&amp;" "&amp;Milestones!$AB$60&amp;" "&amp;IF(AND(Milestones!$AB$60="FT",Milestones!$AA$60=FT_Y5,EDATE($D127,Milestones!$AA$60)&lt;PolicyEff),1,Milestones!$AC$60)&amp;";  ","")&amp;IF(AND(EDATE($D127,Milestones!$AA$61)&lt;=AsOfDate,EDATE($D127,Milestones!$AA$61)&gt;=SchemeStart,IF($X127=0,$AD127,IF(AND($Z127&lt;&gt;"",EDATE($D127,Milestones!$AA$61)&gt;=$Z127),$AC127,IF(AND($Y127&lt;&gt;"",EDATE($D127,Milestones!$AA$61)&gt;=$Y127),$AB127,$AA127)))=Milestones!$AB$61),UPPER(TEXT(EDATE($D127,Milestones!$AA$61),"dd mmm yy"))&amp;" "&amp;Milestones!$AB$61&amp;" "&amp;IF(AND(Milestones!$AB$61="FT",Milestones!$AA$61=FT_Y5,EDATE($D127,Milestones!$AA$61)&lt;PolicyEff),1,Milestones!$AC$61)&amp;";  ","")&amp;IF(AND(EDATE($D127,Milestones!$AA$62)&lt;=AsOfDate,EDATE($D127,Milestones!$AA$62)&gt;=SchemeStart,IF($X127=0,$AD127,IF(AND($Z127&lt;&gt;"",EDATE($D127,Milestones!$AA$62)&gt;=$Z127),$AC127,IF(AND($Y127&lt;&gt;"",EDATE($D127,Milestones!$AA$62)&gt;=$Y127),$AB127,$AA127)))=Milestones!$AB$62),UPPER(TEXT(EDATE($D127,Milestones!$AA$62),"dd mmm yy"))&amp;" "&amp;Milestones!$AB$62&amp;" "&amp;IF(AND(Milestones!$AB$62="FT",Milestones!$AA$62=FT_Y5,EDATE($D127,Milestones!$AA$62)&lt;PolicyEff),1,Milestones!$AC$62)&amp;";  ","")&amp;IF(AND(EDATE($D127,Milestones!$AA$63)&lt;=AsOfDate,EDATE($D127,Milestones!$AA$63)&gt;=SchemeStart,IF($X127=0,$AD127,IF(AND($Z127&lt;&gt;"",EDATE($D127,Milestones!$AA$63)&gt;=$Z127),$AC127,IF(AND($Y127&lt;&gt;"",EDATE($D127,Milestones!$AA$63)&gt;=$Y127),$AB127,$AA127)))=Milestones!$AB$63),UPPER(TEXT(EDATE($D127,Milestones!$AA$63),"dd mmm yy"))&amp;" "&amp;Milestones!$AB$63&amp;" "&amp;IF(AND(Milestones!$AB$63="FT",Milestones!$AA$63=FT_Y5,EDATE($D127,Milestones!$AA$63)&lt;PolicyEff),1,Milestones!$AC$63)&amp;";  ","")&amp;IF(AND(EDATE($D127,Milestones!$AA$64)&lt;=AsOfDate,EDATE($D127,Milestones!$AA$64)&gt;=SchemeStart,IF($X127=0,$AD127,IF(AND($Z127&lt;&gt;"",EDATE($D127,Milestones!$AA$64)&gt;=$Z127),$AC127,IF(AND($Y127&lt;&gt;"",EDATE($D127,Milestones!$AA$64)&gt;=$Y127),$AB127,$AA127)))=Milestones!$AB$64),UPPER(TEXT(EDATE($D127,Milestones!$AA$64),"dd mmm yy"))&amp;" "&amp;Milestones!$AB$64&amp;" "&amp;IF(AND(Milestones!$AB$64="FT",Milestones!$AA$64=FT_Y5,EDATE($D127,Milestones!$AA$64)&lt;PolicyEff),1,Milestones!$AC$64)&amp;";  ","")&amp;IF(AND(EDATE($D127,Milestones!$AA$65)&lt;=AsOfDate,EDATE($D127,Milestones!$AA$65)&gt;=SchemeStart,IF($X127=0,$AD127,IF(AND($Z127&lt;&gt;"",EDATE($D127,Milestones!$AA$65)&gt;=$Z127),$AC127,IF(AND($Y127&lt;&gt;"",EDATE($D127,Milestones!$AA$65)&gt;=$Y127),$AB127,$AA127)))=Milestones!$AB$65),UPPER(TEXT(EDATE($D127,Milestones!$AA$65),"dd mmm yy"))&amp;" "&amp;Milestones!$AB$65&amp;" "&amp;IF(AND(Milestones!$AB$65="FT",Milestones!$AA$65=FT_Y5,EDATE($D127,Milestones!$AA$65)&lt;PolicyEff),1,Milestones!$AC$65)&amp;";  ","")&amp;IF(AND(EDATE($D127,Milestones!$AA$66)&lt;=AsOfDate,EDATE($D127,Milestones!$AA$66)&gt;=SchemeStart,IF($X127=0,$AD127,IF(AND($Z127&lt;&gt;"",EDATE($D127,Milestones!$AA$66)&gt;=$Z127),$AC127,IF(AND($Y127&lt;&gt;"",EDATE($D127,Milestones!$AA$66)&gt;=$Y127),$AB127,$AA127)))=Milestones!$AB$66),UPPER(TEXT(EDATE($D127,Milestones!$AA$66),"dd mmm yy"))&amp;" "&amp;Milestones!$AB$66&amp;" "&amp;IF(AND(Milestones!$AB$66="FT",Milestones!$AA$66=FT_Y5,EDATE($D127,Milestones!$AA$66)&lt;PolicyEff),1,Milestones!$AC$66)&amp;";  ","")&amp;IF(AND(EDATE($D127,Milestones!$AA$67)&lt;=AsOfDate,EDATE($D127,Milestones!$AA$67)&gt;=SchemeStart,IF($X127=0,$AD127,IF(AND($Z127&lt;&gt;"",EDATE($D127,Milestones!$AA$67)&gt;=$Z127),$AC127,IF(AND($Y127&lt;&gt;"",EDATE($D127,Milestones!$AA$67)&gt;=$Y127),$AB127,$AA127)))=Milestones!$AB$67),UPPER(TEXT(EDATE($D127,Milestones!$AA$67),"dd mmm yy"))&amp;" "&amp;Milestones!$AB$67&amp;" "&amp;IF(AND(Milestones!$AB$67="FT",Milestones!$AA$67=FT_Y5,EDATE($D127,Milestones!$AA$67)&lt;PolicyEff),1,Milestones!$AC$67)&amp;";  ",""))</f>
        <v/>
      </c>
      <c r="M127" s="0" t="str">
        <f aca="false">IF(OR($A127="",$D127=""),"",IF(AND(EDATE($D127,Milestones!$AA$68)&lt;=AsOfDate,EDATE($D127,Milestones!$AA$68)&gt;=SchemeStart,IF($X127=0,$AD127,IF(AND($Z127&lt;&gt;"",EDATE($D127,Milestones!$AA$68)&gt;=$Z127),$AC127,IF(AND($Y127&lt;&gt;"",EDATE($D127,Milestones!$AA$68)&gt;=$Y127),$AB127,$AA127)))=Milestones!$AB$68),UPPER(TEXT(EDATE($D127,Milestones!$AA$68),"dd mmm yy"))&amp;" "&amp;Milestones!$AB$68&amp;" "&amp;IF(AND(Milestones!$AB$68="FT",Milestones!$AA$68=FT_Y5,EDATE($D127,Milestones!$AA$68)&lt;PolicyEff),1,Milestones!$AC$68)&amp;";  ","")&amp;IF(AND(EDATE($D127,Milestones!$AA$69)&lt;=AsOfDate,EDATE($D127,Milestones!$AA$69)&gt;=SchemeStart,IF($X127=0,$AD127,IF(AND($Z127&lt;&gt;"",EDATE($D127,Milestones!$AA$69)&gt;=$Z127),$AC127,IF(AND($Y127&lt;&gt;"",EDATE($D127,Milestones!$AA$69)&gt;=$Y127),$AB127,$AA127)))=Milestones!$AB$69),UPPER(TEXT(EDATE($D127,Milestones!$AA$69),"dd mmm yy"))&amp;" "&amp;Milestones!$AB$69&amp;" "&amp;IF(AND(Milestones!$AB$69="FT",Milestones!$AA$69=FT_Y5,EDATE($D127,Milestones!$AA$69)&lt;PolicyEff),1,Milestones!$AC$69)&amp;";  ","")&amp;IF(AND(EDATE($D127,Milestones!$AA$70)&lt;=AsOfDate,EDATE($D127,Milestones!$AA$70)&gt;=SchemeStart,IF($X127=0,$AD127,IF(AND($Z127&lt;&gt;"",EDATE($D127,Milestones!$AA$70)&gt;=$Z127),$AC127,IF(AND($Y127&lt;&gt;"",EDATE($D127,Milestones!$AA$70)&gt;=$Y127),$AB127,$AA127)))=Milestones!$AB$70),UPPER(TEXT(EDATE($D127,Milestones!$AA$70),"dd mmm yy"))&amp;" "&amp;Milestones!$AB$70&amp;" "&amp;IF(AND(Milestones!$AB$70="FT",Milestones!$AA$70=FT_Y5,EDATE($D127,Milestones!$AA$70)&lt;PolicyEff),1,Milestones!$AC$70)&amp;";  ","")&amp;IF(AND(EDATE($D127,Milestones!$AA$71)&lt;=AsOfDate,EDATE($D127,Milestones!$AA$71)&gt;=SchemeStart,IF($X127=0,$AD127,IF(AND($Z127&lt;&gt;"",EDATE($D127,Milestones!$AA$71)&gt;=$Z127),$AC127,IF(AND($Y127&lt;&gt;"",EDATE($D127,Milestones!$AA$71)&gt;=$Y127),$AB127,$AA127)))=Milestones!$AB$71),UPPER(TEXT(EDATE($D127,Milestones!$AA$71),"dd mmm yy"))&amp;" "&amp;Milestones!$AB$71&amp;" "&amp;IF(AND(Milestones!$AB$71="FT",Milestones!$AA$71=FT_Y5,EDATE($D127,Milestones!$AA$71)&lt;PolicyEff),1,Milestones!$AC$71)&amp;";  ","")&amp;IF(AND(EDATE($D127,Milestones!$AA$72)&lt;=AsOfDate,EDATE($D127,Milestones!$AA$72)&gt;=SchemeStart,IF($X127=0,$AD127,IF(AND($Z127&lt;&gt;"",EDATE($D127,Milestones!$AA$72)&gt;=$Z127),$AC127,IF(AND($Y127&lt;&gt;"",EDATE($D127,Milestones!$AA$72)&gt;=$Y127),$AB127,$AA127)))=Milestones!$AB$72),UPPER(TEXT(EDATE($D127,Milestones!$AA$72),"dd mmm yy"))&amp;" "&amp;Milestones!$AB$72&amp;" "&amp;IF(AND(Milestones!$AB$72="FT",Milestones!$AA$72=FT_Y5,EDATE($D127,Milestones!$AA$72)&lt;PolicyEff),1,Milestones!$AC$72)&amp;";  ","")&amp;IF(AND(EDATE($D127,Milestones!$AA$73)&lt;=AsOfDate,EDATE($D127,Milestones!$AA$73)&gt;=SchemeStart,IF($X127=0,$AD127,IF(AND($Z127&lt;&gt;"",EDATE($D127,Milestones!$AA$73)&gt;=$Z127),$AC127,IF(AND($Y127&lt;&gt;"",EDATE($D127,Milestones!$AA$73)&gt;=$Y127),$AB127,$AA127)))=Milestones!$AB$73),UPPER(TEXT(EDATE($D127,Milestones!$AA$73),"dd mmm yy"))&amp;" "&amp;Milestones!$AB$73&amp;" "&amp;IF(AND(Milestones!$AB$73="FT",Milestones!$AA$73=FT_Y5,EDATE($D127,Milestones!$AA$73)&lt;PolicyEff),1,Milestones!$AC$73)&amp;";  ","")&amp;IF(AND(EDATE($D127,Milestones!$AA$74)&lt;=AsOfDate,EDATE($D127,Milestones!$AA$74)&gt;=SchemeStart,IF($X127=0,$AD127,IF(AND($Z127&lt;&gt;"",EDATE($D127,Milestones!$AA$74)&gt;=$Z127),$AC127,IF(AND($Y127&lt;&gt;"",EDATE($D127,Milestones!$AA$74)&gt;=$Y127),$AB127,$AA127)))=Milestones!$AB$74),UPPER(TEXT(EDATE($D127,Milestones!$AA$74),"dd mmm yy"))&amp;" "&amp;Milestones!$AB$74&amp;" "&amp;IF(AND(Milestones!$AB$74="FT",Milestones!$AA$74=FT_Y5,EDATE($D127,Milestones!$AA$74)&lt;PolicyEff),1,Milestones!$AC$74)&amp;";  ","")&amp;IF(AND(EDATE($D127,Milestones!$AA$75)&lt;=AsOfDate,EDATE($D127,Milestones!$AA$75)&gt;=SchemeStart,IF($X127=0,$AD127,IF(AND($Z127&lt;&gt;"",EDATE($D127,Milestones!$AA$75)&gt;=$Z127),$AC127,IF(AND($Y127&lt;&gt;"",EDATE($D127,Milestones!$AA$75)&gt;=$Y127),$AB127,$AA127)))=Milestones!$AB$75),UPPER(TEXT(EDATE($D127,Milestones!$AA$75),"dd mmm yy"))&amp;" "&amp;Milestones!$AB$75&amp;" "&amp;IF(AND(Milestones!$AB$75="FT",Milestones!$AA$75=FT_Y5,EDATE($D127,Milestones!$AA$75)&lt;PolicyEff),1,Milestones!$AC$75)&amp;";  ","")&amp;IF(AND(EDATE($D127,Milestones!$AA$76)&lt;=AsOfDate,EDATE($D127,Milestones!$AA$76)&gt;=SchemeStart,IF($X127=0,$AD127,IF(AND($Z127&lt;&gt;"",EDATE($D127,Milestones!$AA$76)&gt;=$Z127),$AC127,IF(AND($Y127&lt;&gt;"",EDATE($D127,Milestones!$AA$76)&gt;=$Y127),$AB127,$AA127)))=Milestones!$AB$76),UPPER(TEXT(EDATE($D127,Milestones!$AA$76),"dd mmm yy"))&amp;" "&amp;Milestones!$AB$76&amp;" "&amp;IF(AND(Milestones!$AB$76="FT",Milestones!$AA$76=FT_Y5,EDATE($D127,Milestones!$AA$76)&lt;PolicyEff),1,Milestones!$AC$76)&amp;";  ","")&amp;IF(AND(EDATE($D127,Milestones!$AA$77)&lt;=AsOfDate,EDATE($D127,Milestones!$AA$77)&gt;=SchemeStart,IF($X127=0,$AD127,IF(AND($Z127&lt;&gt;"",EDATE($D127,Milestones!$AA$77)&gt;=$Z127),$AC127,IF(AND($Y127&lt;&gt;"",EDATE($D127,Milestones!$AA$77)&gt;=$Y127),$AB127,$AA127)))=Milestones!$AB$77),UPPER(TEXT(EDATE($D127,Milestones!$AA$77),"dd mmm yy"))&amp;" "&amp;Milestones!$AB$77&amp;" "&amp;IF(AND(Milestones!$AB$77="FT",Milestones!$AA$77=FT_Y5,EDATE($D127,Milestones!$AA$77)&lt;PolicyEff),1,Milestones!$AC$77)&amp;";  ","")&amp;IF(AND(EDATE($D127,Milestones!$AA$78)&lt;=AsOfDate,EDATE($D127,Milestones!$AA$78)&gt;=SchemeStart,IF($X127=0,$AD127,IF(AND($Z127&lt;&gt;"",EDATE($D127,Milestones!$AA$78)&gt;=$Z127),$AC127,IF(AND($Y127&lt;&gt;"",EDATE($D127,Milestones!$AA$78)&gt;=$Y127),$AB127,$AA127)))=Milestones!$AB$78),UPPER(TEXT(EDATE($D127,Milestones!$AA$78),"dd mmm yy"))&amp;" "&amp;Milestones!$AB$78&amp;" "&amp;IF(AND(Milestones!$AB$78="FT",Milestones!$AA$78=FT_Y5,EDATE($D127,Milestones!$AA$78)&lt;PolicyEff),1,Milestones!$AC$78)&amp;";  ","")&amp;IF(AND(EDATE($D127,Milestones!$AA$79)&lt;=AsOfDate,EDATE($D127,Milestones!$AA$79)&gt;=SchemeStart,IF($X127=0,$AD127,IF(AND($Z127&lt;&gt;"",EDATE($D127,Milestones!$AA$79)&gt;=$Z127),$AC127,IF(AND($Y127&lt;&gt;"",EDATE($D127,Milestones!$AA$79)&gt;=$Y127),$AB127,$AA127)))=Milestones!$AB$79),UPPER(TEXT(EDATE($D127,Milestones!$AA$79),"dd mmm yy"))&amp;" "&amp;Milestones!$AB$79&amp;" "&amp;IF(AND(Milestones!$AB$79="FT",Milestones!$AA$79=FT_Y5,EDATE($D127,Milestones!$AA$79)&lt;PolicyEff),1,Milestones!$AC$79)&amp;";  ",""))</f>
        <v/>
      </c>
      <c r="N127" s="0" t="str">
        <f aca="false">IF(OR($A127="",$D127=""),"",IF(AND(EDATE($D127,Milestones!$AA$80)&lt;=AsOfDate,EDATE($D127,Milestones!$AA$80)&gt;=SchemeStart,IF($X127=0,$AD127,IF(AND($Z127&lt;&gt;"",EDATE($D127,Milestones!$AA$80)&gt;=$Z127),$AC127,IF(AND($Y127&lt;&gt;"",EDATE($D127,Milestones!$AA$80)&gt;=$Y127),$AB127,$AA127)))=Milestones!$AB$80),UPPER(TEXT(EDATE($D127,Milestones!$AA$80),"dd mmm yy"))&amp;" "&amp;Milestones!$AB$80&amp;" "&amp;IF(AND(Milestones!$AB$80="FT",Milestones!$AA$80=FT_Y5,EDATE($D127,Milestones!$AA$80)&lt;PolicyEff),1,Milestones!$AC$80)&amp;";  ","")&amp;IF(AND(EDATE($D127,Milestones!$AA$81)&lt;=AsOfDate,EDATE($D127,Milestones!$AA$81)&gt;=SchemeStart,IF($X127=0,$AD127,IF(AND($Z127&lt;&gt;"",EDATE($D127,Milestones!$AA$81)&gt;=$Z127),$AC127,IF(AND($Y127&lt;&gt;"",EDATE($D127,Milestones!$AA$81)&gt;=$Y127),$AB127,$AA127)))=Milestones!$AB$81),UPPER(TEXT(EDATE($D127,Milestones!$AA$81),"dd mmm yy"))&amp;" "&amp;Milestones!$AB$81&amp;" "&amp;IF(AND(Milestones!$AB$81="FT",Milestones!$AA$81=FT_Y5,EDATE($D127,Milestones!$AA$81)&lt;PolicyEff),1,Milestones!$AC$81)&amp;";  ","")&amp;IF(AND(EDATE($D127,Milestones!$AA$82)&lt;=AsOfDate,EDATE($D127,Milestones!$AA$82)&gt;=SchemeStart,IF($X127=0,$AD127,IF(AND($Z127&lt;&gt;"",EDATE($D127,Milestones!$AA$82)&gt;=$Z127),$AC127,IF(AND($Y127&lt;&gt;"",EDATE($D127,Milestones!$AA$82)&gt;=$Y127),$AB127,$AA127)))=Milestones!$AB$82),UPPER(TEXT(EDATE($D127,Milestones!$AA$82),"dd mmm yy"))&amp;" "&amp;Milestones!$AB$82&amp;" "&amp;IF(AND(Milestones!$AB$82="FT",Milestones!$AA$82=FT_Y5,EDATE($D127,Milestones!$AA$82)&lt;PolicyEff),1,Milestones!$AC$82)&amp;";  ","")&amp;IF(AND(EDATE($D127,Milestones!$AA$83)&lt;=AsOfDate,EDATE($D127,Milestones!$AA$83)&gt;=SchemeStart,IF($X127=0,$AD127,IF(AND($Z127&lt;&gt;"",EDATE($D127,Milestones!$AA$83)&gt;=$Z127),$AC127,IF(AND($Y127&lt;&gt;"",EDATE($D127,Milestones!$AA$83)&gt;=$Y127),$AB127,$AA127)))=Milestones!$AB$83),UPPER(TEXT(EDATE($D127,Milestones!$AA$83),"dd mmm yy"))&amp;" "&amp;Milestones!$AB$83&amp;" "&amp;IF(AND(Milestones!$AB$83="FT",Milestones!$AA$83=FT_Y5,EDATE($D127,Milestones!$AA$83)&lt;PolicyEff),1,Milestones!$AC$83)&amp;";  ","")&amp;IF(AND(EDATE($D127,Milestones!$AA$84)&lt;=AsOfDate,EDATE($D127,Milestones!$AA$84)&gt;=SchemeStart,IF($X127=0,$AD127,IF(AND($Z127&lt;&gt;"",EDATE($D127,Milestones!$AA$84)&gt;=$Z127),$AC127,IF(AND($Y127&lt;&gt;"",EDATE($D127,Milestones!$AA$84)&gt;=$Y127),$AB127,$AA127)))=Milestones!$AB$84),UPPER(TEXT(EDATE($D127,Milestones!$AA$84),"dd mmm yy"))&amp;" "&amp;Milestones!$AB$84&amp;" "&amp;IF(AND(Milestones!$AB$84="FT",Milestones!$AA$84=FT_Y5,EDATE($D127,Milestones!$AA$84)&lt;PolicyEff),1,Milestones!$AC$84)&amp;";  ","")&amp;IF(AND(EDATE($D127,Milestones!$AA$85)&lt;=AsOfDate,EDATE($D127,Milestones!$AA$85)&gt;=SchemeStart,IF($X127=0,$AD127,IF(AND($Z127&lt;&gt;"",EDATE($D127,Milestones!$AA$85)&gt;=$Z127),$AC127,IF(AND($Y127&lt;&gt;"",EDATE($D127,Milestones!$AA$85)&gt;=$Y127),$AB127,$AA127)))=Milestones!$AB$85),UPPER(TEXT(EDATE($D127,Milestones!$AA$85),"dd mmm yy"))&amp;" "&amp;Milestones!$AB$85&amp;" "&amp;IF(AND(Milestones!$AB$85="FT",Milestones!$AA$85=FT_Y5,EDATE($D127,Milestones!$AA$85)&lt;PolicyEff),1,Milestones!$AC$85)&amp;";  ","")&amp;IF(AND(EDATE($D127,Milestones!$AA$86)&lt;=AsOfDate,EDATE($D127,Milestones!$AA$86)&gt;=SchemeStart,IF($X127=0,$AD127,IF(AND($Z127&lt;&gt;"",EDATE($D127,Milestones!$AA$86)&gt;=$Z127),$AC127,IF(AND($Y127&lt;&gt;"",EDATE($D127,Milestones!$AA$86)&gt;=$Y127),$AB127,$AA127)))=Milestones!$AB$86),UPPER(TEXT(EDATE($D127,Milestones!$AA$86),"dd mmm yy"))&amp;" "&amp;Milestones!$AB$86&amp;" "&amp;IF(AND(Milestones!$AB$86="FT",Milestones!$AA$86=FT_Y5,EDATE($D127,Milestones!$AA$86)&lt;PolicyEff),1,Milestones!$AC$86)&amp;";  ","")&amp;IF(AND(EDATE($D127,Milestones!$AA$87)&lt;=AsOfDate,EDATE($D127,Milestones!$AA$87)&gt;=SchemeStart,IF($X127=0,$AD127,IF(AND($Z127&lt;&gt;"",EDATE($D127,Milestones!$AA$87)&gt;=$Z127),$AC127,IF(AND($Y127&lt;&gt;"",EDATE($D127,Milestones!$AA$87)&gt;=$Y127),$AB127,$AA127)))=Milestones!$AB$87),UPPER(TEXT(EDATE($D127,Milestones!$AA$87),"dd mmm yy"))&amp;" "&amp;Milestones!$AB$87&amp;" "&amp;IF(AND(Milestones!$AB$87="FT",Milestones!$AA$87=FT_Y5,EDATE($D127,Milestones!$AA$87)&lt;PolicyEff),1,Milestones!$AC$87)&amp;";  ","")&amp;IF(AND(EDATE($D127,Milestones!$AA$88)&lt;=AsOfDate,EDATE($D127,Milestones!$AA$88)&gt;=SchemeStart,IF($X127=0,$AD127,IF(AND($Z127&lt;&gt;"",EDATE($D127,Milestones!$AA$88)&gt;=$Z127),$AC127,IF(AND($Y127&lt;&gt;"",EDATE($D127,Milestones!$AA$88)&gt;=$Y127),$AB127,$AA127)))=Milestones!$AB$88),UPPER(TEXT(EDATE($D127,Milestones!$AA$88),"dd mmm yy"))&amp;" "&amp;Milestones!$AB$88&amp;" "&amp;IF(AND(Milestones!$AB$88="FT",Milestones!$AA$88=FT_Y5,EDATE($D127,Milestones!$AA$88)&lt;PolicyEff),1,Milestones!$AC$88)&amp;";  ","")&amp;IF(AND(EDATE($D127,Milestones!$AA$89)&lt;=AsOfDate,EDATE($D127,Milestones!$AA$89)&gt;=SchemeStart,IF($X127=0,$AD127,IF(AND($Z127&lt;&gt;"",EDATE($D127,Milestones!$AA$89)&gt;=$Z127),$AC127,IF(AND($Y127&lt;&gt;"",EDATE($D127,Milestones!$AA$89)&gt;=$Y127),$AB127,$AA127)))=Milestones!$AB$89),UPPER(TEXT(EDATE($D127,Milestones!$AA$89),"dd mmm yy"))&amp;" "&amp;Milestones!$AB$89&amp;" "&amp;IF(AND(Milestones!$AB$89="FT",Milestones!$AA$89=FT_Y5,EDATE($D127,Milestones!$AA$89)&lt;PolicyEff),1,Milestones!$AC$89)&amp;";  ","")&amp;IF(AND(EDATE($D127,Milestones!$AA$90)&lt;=AsOfDate,EDATE($D127,Milestones!$AA$90)&gt;=SchemeStart,IF($X127=0,$AD127,IF(AND($Z127&lt;&gt;"",EDATE($D127,Milestones!$AA$90)&gt;=$Z127),$AC127,IF(AND($Y127&lt;&gt;"",EDATE($D127,Milestones!$AA$90)&gt;=$Y127),$AB127,$AA127)))=Milestones!$AB$90),UPPER(TEXT(EDATE($D127,Milestones!$AA$90),"dd mmm yy"))&amp;" "&amp;Milestones!$AB$90&amp;" "&amp;IF(AND(Milestones!$AB$90="FT",Milestones!$AA$90=FT_Y5,EDATE($D127,Milestones!$AA$90)&lt;PolicyEff),1,Milestones!$AC$90)&amp;";  ","")&amp;IF(AND(EDATE($D127,Milestones!$AA$91)&lt;=AsOfDate,EDATE($D127,Milestones!$AA$91)&gt;=SchemeStart,IF($X127=0,$AD127,IF(AND($Z127&lt;&gt;"",EDATE($D127,Milestones!$AA$91)&gt;=$Z127),$AC127,IF(AND($Y127&lt;&gt;"",EDATE($D127,Milestones!$AA$91)&gt;=$Y127),$AB127,$AA127)))=Milestones!$AB$91),UPPER(TEXT(EDATE($D127,Milestones!$AA$91),"dd mmm yy"))&amp;" "&amp;Milestones!$AB$91&amp;" "&amp;IF(AND(Milestones!$AB$91="FT",Milestones!$AA$91=FT_Y5,EDATE($D127,Milestones!$AA$91)&lt;PolicyEff),1,Milestones!$AC$91)&amp;";  ",""))</f>
        <v/>
      </c>
      <c r="O127" s="0" t="str">
        <f aca="false">IF(OR($A127="",$D127=""),"",IF(AND(EDATE($D127,Milestones!$AA$92)&lt;=AsOfDate,EDATE($D127,Milestones!$AA$92)&gt;=SchemeStart,IF($X127=0,$AD127,IF(AND($Z127&lt;&gt;"",EDATE($D127,Milestones!$AA$92)&gt;=$Z127),$AC127,IF(AND($Y127&lt;&gt;"",EDATE($D127,Milestones!$AA$92)&gt;=$Y127),$AB127,$AA127)))=Milestones!$AB$92),UPPER(TEXT(EDATE($D127,Milestones!$AA$92),"dd mmm yy"))&amp;" "&amp;Milestones!$AB$92&amp;" "&amp;IF(AND(Milestones!$AB$92="FT",Milestones!$AA$92=FT_Y5,EDATE($D127,Milestones!$AA$92)&lt;PolicyEff),1,Milestones!$AC$92)&amp;";  ","")&amp;IF(AND(EDATE($D127,Milestones!$AA$93)&lt;=AsOfDate,EDATE($D127,Milestones!$AA$93)&gt;=SchemeStart,IF($X127=0,$AD127,IF(AND($Z127&lt;&gt;"",EDATE($D127,Milestones!$AA$93)&gt;=$Z127),$AC127,IF(AND($Y127&lt;&gt;"",EDATE($D127,Milestones!$AA$93)&gt;=$Y127),$AB127,$AA127)))=Milestones!$AB$93),UPPER(TEXT(EDATE($D127,Milestones!$AA$93),"dd mmm yy"))&amp;" "&amp;Milestones!$AB$93&amp;" "&amp;IF(AND(Milestones!$AB$93="FT",Milestones!$AA$93=FT_Y5,EDATE($D127,Milestones!$AA$93)&lt;PolicyEff),1,Milestones!$AC$93)&amp;";  ","")&amp;IF(AND(EDATE($D127,Milestones!$AA$94)&lt;=AsOfDate,EDATE($D127,Milestones!$AA$94)&gt;=SchemeStart,IF($X127=0,$AD127,IF(AND($Z127&lt;&gt;"",EDATE($D127,Milestones!$AA$94)&gt;=$Z127),$AC127,IF(AND($Y127&lt;&gt;"",EDATE($D127,Milestones!$AA$94)&gt;=$Y127),$AB127,$AA127)))=Milestones!$AB$94),UPPER(TEXT(EDATE($D127,Milestones!$AA$94),"dd mmm yy"))&amp;" "&amp;Milestones!$AB$94&amp;" "&amp;IF(AND(Milestones!$AB$94="FT",Milestones!$AA$94=FT_Y5,EDATE($D127,Milestones!$AA$94)&lt;PolicyEff),1,Milestones!$AC$94)&amp;";  ","")&amp;IF(AND(EDATE($D127,Milestones!$AA$95)&lt;=AsOfDate,EDATE($D127,Milestones!$AA$95)&gt;=SchemeStart,IF($X127=0,$AD127,IF(AND($Z127&lt;&gt;"",EDATE($D127,Milestones!$AA$95)&gt;=$Z127),$AC127,IF(AND($Y127&lt;&gt;"",EDATE($D127,Milestones!$AA$95)&gt;=$Y127),$AB127,$AA127)))=Milestones!$AB$95),UPPER(TEXT(EDATE($D127,Milestones!$AA$95),"dd mmm yy"))&amp;" "&amp;Milestones!$AB$95&amp;" "&amp;IF(AND(Milestones!$AB$95="FT",Milestones!$AA$95=FT_Y5,EDATE($D127,Milestones!$AA$95)&lt;PolicyEff),1,Milestones!$AC$95)&amp;";  ","")&amp;IF(AND(EDATE($D127,Milestones!$AA$96)&lt;=AsOfDate,EDATE($D127,Milestones!$AA$96)&gt;=SchemeStart,IF($X127=0,$AD127,IF(AND($Z127&lt;&gt;"",EDATE($D127,Milestones!$AA$96)&gt;=$Z127),$AC127,IF(AND($Y127&lt;&gt;"",EDATE($D127,Milestones!$AA$96)&gt;=$Y127),$AB127,$AA127)))=Milestones!$AB$96),UPPER(TEXT(EDATE($D127,Milestones!$AA$96),"dd mmm yy"))&amp;" "&amp;Milestones!$AB$96&amp;" "&amp;IF(AND(Milestones!$AB$96="FT",Milestones!$AA$96=FT_Y5,EDATE($D127,Milestones!$AA$96)&lt;PolicyEff),1,Milestones!$AC$96)&amp;";  ","")&amp;IF(AND(EDATE($D127,Milestones!$AA$97)&lt;=AsOfDate,EDATE($D127,Milestones!$AA$97)&gt;=SchemeStart,IF($X127=0,$AD127,IF(AND($Z127&lt;&gt;"",EDATE($D127,Milestones!$AA$97)&gt;=$Z127),$AC127,IF(AND($Y127&lt;&gt;"",EDATE($D127,Milestones!$AA$97)&gt;=$Y127),$AB127,$AA127)))=Milestones!$AB$97),UPPER(TEXT(EDATE($D127,Milestones!$AA$97),"dd mmm yy"))&amp;" "&amp;Milestones!$AB$97&amp;" "&amp;IF(AND(Milestones!$AB$97="FT",Milestones!$AA$97=FT_Y5,EDATE($D127,Milestones!$AA$97)&lt;PolicyEff),1,Milestones!$AC$97)&amp;";  ","")&amp;IF(AND(EDATE($D127,Milestones!$AA$98)&lt;=AsOfDate,EDATE($D127,Milestones!$AA$98)&gt;=SchemeStart,IF($X127=0,$AD127,IF(AND($Z127&lt;&gt;"",EDATE($D127,Milestones!$AA$98)&gt;=$Z127),$AC127,IF(AND($Y127&lt;&gt;"",EDATE($D127,Milestones!$AA$98)&gt;=$Y127),$AB127,$AA127)))=Milestones!$AB$98),UPPER(TEXT(EDATE($D127,Milestones!$AA$98),"dd mmm yy"))&amp;" "&amp;Milestones!$AB$98&amp;" "&amp;IF(AND(Milestones!$AB$98="FT",Milestones!$AA$98=FT_Y5,EDATE($D127,Milestones!$AA$98)&lt;PolicyEff),1,Milestones!$AC$98)&amp;";  ","")&amp;IF(AND(EDATE($D127,Milestones!$AA$99)&lt;=AsOfDate,EDATE($D127,Milestones!$AA$99)&gt;=SchemeStart,IF($X127=0,$AD127,IF(AND($Z127&lt;&gt;"",EDATE($D127,Milestones!$AA$99)&gt;=$Z127),$AC127,IF(AND($Y127&lt;&gt;"",EDATE($D127,Milestones!$AA$99)&gt;=$Y127),$AB127,$AA127)))=Milestones!$AB$99),UPPER(TEXT(EDATE($D127,Milestones!$AA$99),"dd mmm yy"))&amp;" "&amp;Milestones!$AB$99&amp;" "&amp;IF(AND(Milestones!$AB$99="FT",Milestones!$AA$99=FT_Y5,EDATE($D127,Milestones!$AA$99)&lt;PolicyEff),1,Milestones!$AC$99)&amp;";  ","")&amp;IF(AND(EDATE($D127,Milestones!$AA$100)&lt;=AsOfDate,EDATE($D127,Milestones!$AA$100)&gt;=SchemeStart,IF($X127=0,$AD127,IF(AND($Z127&lt;&gt;"",EDATE($D127,Milestones!$AA$100)&gt;=$Z127),$AC127,IF(AND($Y127&lt;&gt;"",EDATE($D127,Milestones!$AA$100)&gt;=$Y127),$AB127,$AA127)))=Milestones!$AB$100),UPPER(TEXT(EDATE($D127,Milestones!$AA$100),"dd mmm yy"))&amp;" "&amp;Milestones!$AB$100&amp;" "&amp;IF(AND(Milestones!$AB$100="FT",Milestones!$AA$100=FT_Y5,EDATE($D127,Milestones!$AA$100)&lt;PolicyEff),1,Milestones!$AC$100)&amp;";  ","")&amp;IF(AND(EDATE($D127,Milestones!$AA$101)&lt;=AsOfDate,EDATE($D127,Milestones!$AA$101)&gt;=SchemeStart,IF($X127=0,$AD127,IF(AND($Z127&lt;&gt;"",EDATE($D127,Milestones!$AA$101)&gt;=$Z127),$AC127,IF(AND($Y127&lt;&gt;"",EDATE($D127,Milestones!$AA$101)&gt;=$Y127),$AB127,$AA127)))=Milestones!$AB$101),UPPER(TEXT(EDATE($D127,Milestones!$AA$101),"dd mmm yy"))&amp;" "&amp;Milestones!$AB$101&amp;" "&amp;IF(AND(Milestones!$AB$101="FT",Milestones!$AA$101=FT_Y5,EDATE($D127,Milestones!$AA$101)&lt;PolicyEff),1,Milestones!$AC$101)&amp;";  ","")&amp;IF(AND(EDATE($D127,Milestones!$AA$102)&lt;=AsOfDate,EDATE($D127,Milestones!$AA$102)&gt;=SchemeStart,IF($X127=0,$AD127,IF(AND($Z127&lt;&gt;"",EDATE($D127,Milestones!$AA$102)&gt;=$Z127),$AC127,IF(AND($Y127&lt;&gt;"",EDATE($D127,Milestones!$AA$102)&gt;=$Y127),$AB127,$AA127)))=Milestones!$AB$102),UPPER(TEXT(EDATE($D127,Milestones!$AA$102),"dd mmm yy"))&amp;" "&amp;Milestones!$AB$102&amp;" "&amp;IF(AND(Milestones!$AB$102="FT",Milestones!$AA$102=FT_Y5,EDATE($D127,Milestones!$AA$102)&lt;PolicyEff),1,Milestones!$AC$102)&amp;";  ","")&amp;IF(AND(EDATE($D127,Milestones!$AA$103)&lt;=AsOfDate,EDATE($D127,Milestones!$AA$103)&gt;=SchemeStart,IF($X127=0,$AD127,IF(AND($Z127&lt;&gt;"",EDATE($D127,Milestones!$AA$103)&gt;=$Z127),$AC127,IF(AND($Y127&lt;&gt;"",EDATE($D127,Milestones!$AA$103)&gt;=$Y127),$AB127,$AA127)))=Milestones!$AB$103),UPPER(TEXT(EDATE($D127,Milestones!$AA$103),"dd mmm yy"))&amp;" "&amp;Milestones!$AB$103&amp;" "&amp;IF(AND(Milestones!$AB$103="FT",Milestones!$AA$103=FT_Y5,EDATE($D127,Milestones!$AA$103)&lt;PolicyEff),1,Milestones!$AC$103)&amp;";  ",""))</f>
        <v/>
      </c>
      <c r="P127" s="0" t="str">
        <f aca="false">IF(OR($A127="",$D127=""),"",IF(AND(EDATE($D127,Milestones!$AA$104)&lt;=AsOfDate,EDATE($D127,Milestones!$AA$104)&gt;=SchemeStart,IF($X127=0,$AD127,IF(AND($Z127&lt;&gt;"",EDATE($D127,Milestones!$AA$104)&gt;=$Z127),$AC127,IF(AND($Y127&lt;&gt;"",EDATE($D127,Milestones!$AA$104)&gt;=$Y127),$AB127,$AA127)))=Milestones!$AB$104),UPPER(TEXT(EDATE($D127,Milestones!$AA$104),"dd mmm yy"))&amp;" "&amp;Milestones!$AB$104&amp;" "&amp;IF(AND(Milestones!$AB$104="FT",Milestones!$AA$104=FT_Y5,EDATE($D127,Milestones!$AA$104)&lt;PolicyEff),1,Milestones!$AC$104)&amp;";  ","")&amp;IF(AND(EDATE($D127,Milestones!$AA$105)&lt;=AsOfDate,EDATE($D127,Milestones!$AA$105)&gt;=SchemeStart,IF($X127=0,$AD127,IF(AND($Z127&lt;&gt;"",EDATE($D127,Milestones!$AA$105)&gt;=$Z127),$AC127,IF(AND($Y127&lt;&gt;"",EDATE($D127,Milestones!$AA$105)&gt;=$Y127),$AB127,$AA127)))=Milestones!$AB$105),UPPER(TEXT(EDATE($D127,Milestones!$AA$105),"dd mmm yy"))&amp;" "&amp;Milestones!$AB$105&amp;" "&amp;IF(AND(Milestones!$AB$105="FT",Milestones!$AA$105=FT_Y5,EDATE($D127,Milestones!$AA$105)&lt;PolicyEff),1,Milestones!$AC$105)&amp;";  ","")&amp;IF(AND(EDATE($D127,Milestones!$AA$106)&lt;=AsOfDate,EDATE($D127,Milestones!$AA$106)&gt;=SchemeStart,IF($X127=0,$AD127,IF(AND($Z127&lt;&gt;"",EDATE($D127,Milestones!$AA$106)&gt;=$Z127),$AC127,IF(AND($Y127&lt;&gt;"",EDATE($D127,Milestones!$AA$106)&gt;=$Y127),$AB127,$AA127)))=Milestones!$AB$106),UPPER(TEXT(EDATE($D127,Milestones!$AA$106),"dd mmm yy"))&amp;" "&amp;Milestones!$AB$106&amp;" "&amp;IF(AND(Milestones!$AB$106="FT",Milestones!$AA$106=FT_Y5,EDATE($D127,Milestones!$AA$106)&lt;PolicyEff),1,Milestones!$AC$106)&amp;";  ","")&amp;IF(AND(EDATE($D127,Milestones!$AA$107)&lt;=AsOfDate,EDATE($D127,Milestones!$AA$107)&gt;=SchemeStart,IF($X127=0,$AD127,IF(AND($Z127&lt;&gt;"",EDATE($D127,Milestones!$AA$107)&gt;=$Z127),$AC127,IF(AND($Y127&lt;&gt;"",EDATE($D127,Milestones!$AA$107)&gt;=$Y127),$AB127,$AA127)))=Milestones!$AB$107),UPPER(TEXT(EDATE($D127,Milestones!$AA$107),"dd mmm yy"))&amp;" "&amp;Milestones!$AB$107&amp;" "&amp;IF(AND(Milestones!$AB$107="FT",Milestones!$AA$107=FT_Y5,EDATE($D127,Milestones!$AA$107)&lt;PolicyEff),1,Milestones!$AC$107)&amp;";  ","")&amp;IF(AND(EDATE($D127,Milestones!$AA$108)&lt;=AsOfDate,EDATE($D127,Milestones!$AA$108)&gt;=SchemeStart,IF($X127=0,$AD127,IF(AND($Z127&lt;&gt;"",EDATE($D127,Milestones!$AA$108)&gt;=$Z127),$AC127,IF(AND($Y127&lt;&gt;"",EDATE($D127,Milestones!$AA$108)&gt;=$Y127),$AB127,$AA127)))=Milestones!$AB$108),UPPER(TEXT(EDATE($D127,Milestones!$AA$108),"dd mmm yy"))&amp;" "&amp;Milestones!$AB$108&amp;" "&amp;IF(AND(Milestones!$AB$108="FT",Milestones!$AA$108=FT_Y5,EDATE($D127,Milestones!$AA$108)&lt;PolicyEff),1,Milestones!$AC$108)&amp;";  ","")&amp;IF(AND(EDATE($D127,Milestones!$AA$109)&lt;=AsOfDate,EDATE($D127,Milestones!$AA$109)&gt;=SchemeStart,IF($X127=0,$AD127,IF(AND($Z127&lt;&gt;"",EDATE($D127,Milestones!$AA$109)&gt;=$Z127),$AC127,IF(AND($Y127&lt;&gt;"",EDATE($D127,Milestones!$AA$109)&gt;=$Y127),$AB127,$AA127)))=Milestones!$AB$109),UPPER(TEXT(EDATE($D127,Milestones!$AA$109),"dd mmm yy"))&amp;" "&amp;Milestones!$AB$109&amp;" "&amp;IF(AND(Milestones!$AB$109="FT",Milestones!$AA$109=FT_Y5,EDATE($D127,Milestones!$AA$109)&lt;PolicyEff),1,Milestones!$AC$109)&amp;";  ","")&amp;IF(AND(EDATE($D127,Milestones!$AA$110)&lt;=AsOfDate,EDATE($D127,Milestones!$AA$110)&gt;=SchemeStart,IF($X127=0,$AD127,IF(AND($Z127&lt;&gt;"",EDATE($D127,Milestones!$AA$110)&gt;=$Z127),$AC127,IF(AND($Y127&lt;&gt;"",EDATE($D127,Milestones!$AA$110)&gt;=$Y127),$AB127,$AA127)))=Milestones!$AB$110),UPPER(TEXT(EDATE($D127,Milestones!$AA$110),"dd mmm yy"))&amp;" "&amp;Milestones!$AB$110&amp;" "&amp;IF(AND(Milestones!$AB$110="FT",Milestones!$AA$110=FT_Y5,EDATE($D127,Milestones!$AA$110)&lt;PolicyEff),1,Milestones!$AC$110)&amp;";  ","")&amp;IF(AND(EDATE($D127,Milestones!$AA$111)&lt;=AsOfDate,EDATE($D127,Milestones!$AA$111)&gt;=SchemeStart,IF($X127=0,$AD127,IF(AND($Z127&lt;&gt;"",EDATE($D127,Milestones!$AA$111)&gt;=$Z127),$AC127,IF(AND($Y127&lt;&gt;"",EDATE($D127,Milestones!$AA$111)&gt;=$Y127),$AB127,$AA127)))=Milestones!$AB$111),UPPER(TEXT(EDATE($D127,Milestones!$AA$111),"dd mmm yy"))&amp;" "&amp;Milestones!$AB$111&amp;" "&amp;IF(AND(Milestones!$AB$111="FT",Milestones!$AA$111=FT_Y5,EDATE($D127,Milestones!$AA$111)&lt;PolicyEff),1,Milestones!$AC$111)&amp;";  ","")&amp;IF(AND(EDATE($D127,Milestones!$AA$112)&lt;=AsOfDate,EDATE($D127,Milestones!$AA$112)&gt;=SchemeStart,IF($X127=0,$AD127,IF(AND($Z127&lt;&gt;"",EDATE($D127,Milestones!$AA$112)&gt;=$Z127),$AC127,IF(AND($Y127&lt;&gt;"",EDATE($D127,Milestones!$AA$112)&gt;=$Y127),$AB127,$AA127)))=Milestones!$AB$112),UPPER(TEXT(EDATE($D127,Milestones!$AA$112),"dd mmm yy"))&amp;" "&amp;Milestones!$AB$112&amp;" "&amp;IF(AND(Milestones!$AB$112="FT",Milestones!$AA$112=FT_Y5,EDATE($D127,Milestones!$AA$112)&lt;PolicyEff),1,Milestones!$AC$112)&amp;";  ","")&amp;IF(AND(EDATE($D127,Milestones!$AA$113)&lt;=AsOfDate,EDATE($D127,Milestones!$AA$113)&gt;=SchemeStart,IF($X127=0,$AD127,IF(AND($Z127&lt;&gt;"",EDATE($D127,Milestones!$AA$113)&gt;=$Z127),$AC127,IF(AND($Y127&lt;&gt;"",EDATE($D127,Milestones!$AA$113)&gt;=$Y127),$AB127,$AA127)))=Milestones!$AB$113),UPPER(TEXT(EDATE($D127,Milestones!$AA$113),"dd mmm yy"))&amp;" "&amp;Milestones!$AB$113&amp;" "&amp;IF(AND(Milestones!$AB$113="FT",Milestones!$AA$113=FT_Y5,EDATE($D127,Milestones!$AA$113)&lt;PolicyEff),1,Milestones!$AC$113)&amp;";  ","")&amp;IF(AND(EDATE($D127,Milestones!$AA$114)&lt;=AsOfDate,EDATE($D127,Milestones!$AA$114)&gt;=SchemeStart,IF($X127=0,$AD127,IF(AND($Z127&lt;&gt;"",EDATE($D127,Milestones!$AA$114)&gt;=$Z127),$AC127,IF(AND($Y127&lt;&gt;"",EDATE($D127,Milestones!$AA$114)&gt;=$Y127),$AB127,$AA127)))=Milestones!$AB$114),UPPER(TEXT(EDATE($D127,Milestones!$AA$114),"dd mmm yy"))&amp;" "&amp;Milestones!$AB$114&amp;" "&amp;IF(AND(Milestones!$AB$114="FT",Milestones!$AA$114=FT_Y5,EDATE($D127,Milestones!$AA$114)&lt;PolicyEff),1,Milestones!$AC$114)&amp;";  ","")&amp;IF(AND(EDATE($D127,Milestones!$AA$115)&lt;=AsOfDate,EDATE($D127,Milestones!$AA$115)&gt;=SchemeStart,IF($X127=0,$AD127,IF(AND($Z127&lt;&gt;"",EDATE($D127,Milestones!$AA$115)&gt;=$Z127),$AC127,IF(AND($Y127&lt;&gt;"",EDATE($D127,Milestones!$AA$115)&gt;=$Y127),$AB127,$AA127)))=Milestones!$AB$115),UPPER(TEXT(EDATE($D127,Milestones!$AA$115),"dd mmm yy"))&amp;" "&amp;Milestones!$AB$115&amp;" "&amp;IF(AND(Milestones!$AB$115="FT",Milestones!$AA$115=FT_Y5,EDATE($D127,Milestones!$AA$115)&lt;PolicyEff),1,Milestones!$AC$115)&amp;";  ",""))</f>
        <v/>
      </c>
      <c r="Q127" s="0" t="str">
        <f aca="false">IF(OR($A127="",$D127=""),"",IF(AND(EDATE($D127,Milestones!$AA$116)&lt;=AsOfDate,EDATE($D127,Milestones!$AA$116)&gt;=SchemeStart,IF($X127=0,$AD127,IF(AND($Z127&lt;&gt;"",EDATE($D127,Milestones!$AA$116)&gt;=$Z127),$AC127,IF(AND($Y127&lt;&gt;"",EDATE($D127,Milestones!$AA$116)&gt;=$Y127),$AB127,$AA127)))=Milestones!$AB$116),UPPER(TEXT(EDATE($D127,Milestones!$AA$116),"dd mmm yy"))&amp;" "&amp;Milestones!$AB$116&amp;" "&amp;IF(AND(Milestones!$AB$116="FT",Milestones!$AA$116=FT_Y5,EDATE($D127,Milestones!$AA$116)&lt;PolicyEff),1,Milestones!$AC$116)&amp;";  ","")&amp;IF(AND(EDATE($D127,Milestones!$AA$117)&lt;=AsOfDate,EDATE($D127,Milestones!$AA$117)&gt;=SchemeStart,IF($X127=0,$AD127,IF(AND($Z127&lt;&gt;"",EDATE($D127,Milestones!$AA$117)&gt;=$Z127),$AC127,IF(AND($Y127&lt;&gt;"",EDATE($D127,Milestones!$AA$117)&gt;=$Y127),$AB127,$AA127)))=Milestones!$AB$117),UPPER(TEXT(EDATE($D127,Milestones!$AA$117),"dd mmm yy"))&amp;" "&amp;Milestones!$AB$117&amp;" "&amp;IF(AND(Milestones!$AB$117="FT",Milestones!$AA$117=FT_Y5,EDATE($D127,Milestones!$AA$117)&lt;PolicyEff),1,Milestones!$AC$117)&amp;";  ","")&amp;IF(AND(EDATE($D127,Milestones!$AA$118)&lt;=AsOfDate,EDATE($D127,Milestones!$AA$118)&gt;=SchemeStart,IF($X127=0,$AD127,IF(AND($Z127&lt;&gt;"",EDATE($D127,Milestones!$AA$118)&gt;=$Z127),$AC127,IF(AND($Y127&lt;&gt;"",EDATE($D127,Milestones!$AA$118)&gt;=$Y127),$AB127,$AA127)))=Milestones!$AB$118),UPPER(TEXT(EDATE($D127,Milestones!$AA$118),"dd mmm yy"))&amp;" "&amp;Milestones!$AB$118&amp;" "&amp;IF(AND(Milestones!$AB$118="FT",Milestones!$AA$118=FT_Y5,EDATE($D127,Milestones!$AA$118)&lt;PolicyEff),1,Milestones!$AC$118)&amp;";  ","")&amp;IF(AND(EDATE($D127,Milestones!$AA$119)&lt;=AsOfDate,EDATE($D127,Milestones!$AA$119)&gt;=SchemeStart,IF($X127=0,$AD127,IF(AND($Z127&lt;&gt;"",EDATE($D127,Milestones!$AA$119)&gt;=$Z127),$AC127,IF(AND($Y127&lt;&gt;"",EDATE($D127,Milestones!$AA$119)&gt;=$Y127),$AB127,$AA127)))=Milestones!$AB$119),UPPER(TEXT(EDATE($D127,Milestones!$AA$119),"dd mmm yy"))&amp;" "&amp;Milestones!$AB$119&amp;" "&amp;IF(AND(Milestones!$AB$119="FT",Milestones!$AA$119=FT_Y5,EDATE($D127,Milestones!$AA$119)&lt;PolicyEff),1,Milestones!$AC$119)&amp;";  ","")&amp;IF(AND(EDATE($D127,Milestones!$AA$120)&lt;=AsOfDate,EDATE($D127,Milestones!$AA$120)&gt;=SchemeStart,IF($X127=0,$AD127,IF(AND($Z127&lt;&gt;"",EDATE($D127,Milestones!$AA$120)&gt;=$Z127),$AC127,IF(AND($Y127&lt;&gt;"",EDATE($D127,Milestones!$AA$120)&gt;=$Y127),$AB127,$AA127)))=Milestones!$AB$120),UPPER(TEXT(EDATE($D127,Milestones!$AA$120),"dd mmm yy"))&amp;" "&amp;Milestones!$AB$120&amp;" "&amp;IF(AND(Milestones!$AB$120="FT",Milestones!$AA$120=FT_Y5,EDATE($D127,Milestones!$AA$120)&lt;PolicyEff),1,Milestones!$AC$120)&amp;";  ","")&amp;IF(AND(EDATE($D127,Milestones!$AA$121)&lt;=AsOfDate,EDATE($D127,Milestones!$AA$121)&gt;=SchemeStart,IF($X127=0,$AD127,IF(AND($Z127&lt;&gt;"",EDATE($D127,Milestones!$AA$121)&gt;=$Z127),$AC127,IF(AND($Y127&lt;&gt;"",EDATE($D127,Milestones!$AA$121)&gt;=$Y127),$AB127,$AA127)))=Milestones!$AB$121),UPPER(TEXT(EDATE($D127,Milestones!$AA$121),"dd mmm yy"))&amp;" "&amp;Milestones!$AB$121&amp;" "&amp;IF(AND(Milestones!$AB$121="FT",Milestones!$AA$121=FT_Y5,EDATE($D127,Milestones!$AA$121)&lt;PolicyEff),1,Milestones!$AC$121)&amp;";  ","")&amp;IF(AND(EDATE($D127,Milestones!$AA$122)&lt;=AsOfDate,EDATE($D127,Milestones!$AA$122)&gt;=SchemeStart,IF($X127=0,$AD127,IF(AND($Z127&lt;&gt;"",EDATE($D127,Milestones!$AA$122)&gt;=$Z127),$AC127,IF(AND($Y127&lt;&gt;"",EDATE($D127,Milestones!$AA$122)&gt;=$Y127),$AB127,$AA127)))=Milestones!$AB$122),UPPER(TEXT(EDATE($D127,Milestones!$AA$122),"dd mmm yy"))&amp;" "&amp;Milestones!$AB$122&amp;" "&amp;IF(AND(Milestones!$AB$122="FT",Milestones!$AA$122=FT_Y5,EDATE($D127,Milestones!$AA$122)&lt;PolicyEff),1,Milestones!$AC$122)&amp;";  ","")&amp;IF(AND(EDATE($D127,Milestones!$AA$123)&lt;=AsOfDate,EDATE($D127,Milestones!$AA$123)&gt;=SchemeStart,IF($X127=0,$AD127,IF(AND($Z127&lt;&gt;"",EDATE($D127,Milestones!$AA$123)&gt;=$Z127),$AC127,IF(AND($Y127&lt;&gt;"",EDATE($D127,Milestones!$AA$123)&gt;=$Y127),$AB127,$AA127)))=Milestones!$AB$123),UPPER(TEXT(EDATE($D127,Milestones!$AA$123),"dd mmm yy"))&amp;" "&amp;Milestones!$AB$123&amp;" "&amp;IF(AND(Milestones!$AB$123="FT",Milestones!$AA$123=FT_Y5,EDATE($D127,Milestones!$AA$123)&lt;PolicyEff),1,Milestones!$AC$123)&amp;";  ","")&amp;IF(AND(EDATE($D127,Milestones!$AA$124)&lt;=AsOfDate,EDATE($D127,Milestones!$AA$124)&gt;=SchemeStart,IF($X127=0,$AD127,IF(AND($Z127&lt;&gt;"",EDATE($D127,Milestones!$AA$124)&gt;=$Z127),$AC127,IF(AND($Y127&lt;&gt;"",EDATE($D127,Milestones!$AA$124)&gt;=$Y127),$AB127,$AA127)))=Milestones!$AB$124),UPPER(TEXT(EDATE($D127,Milestones!$AA$124),"dd mmm yy"))&amp;" "&amp;Milestones!$AB$124&amp;" "&amp;IF(AND(Milestones!$AB$124="FT",Milestones!$AA$124=FT_Y5,EDATE($D127,Milestones!$AA$124)&lt;PolicyEff),1,Milestones!$AC$124)&amp;";  ","")&amp;IF(AND(EDATE($D127,Milestones!$AA$125)&lt;=AsOfDate,EDATE($D127,Milestones!$AA$125)&gt;=SchemeStart,IF($X127=0,$AD127,IF(AND($Z127&lt;&gt;"",EDATE($D127,Milestones!$AA$125)&gt;=$Z127),$AC127,IF(AND($Y127&lt;&gt;"",EDATE($D127,Milestones!$AA$125)&gt;=$Y127),$AB127,$AA127)))=Milestones!$AB$125),UPPER(TEXT(EDATE($D127,Milestones!$AA$125),"dd mmm yy"))&amp;" "&amp;Milestones!$AB$125&amp;" "&amp;IF(AND(Milestones!$AB$125="FT",Milestones!$AA$125=FT_Y5,EDATE($D127,Milestones!$AA$125)&lt;PolicyEff),1,Milestones!$AC$125)&amp;";  ","")&amp;IF(AND(EDATE($D127,Milestones!$AA$126)&lt;=AsOfDate,EDATE($D127,Milestones!$AA$126)&gt;=SchemeStart,IF($X127=0,$AD127,IF(AND($Z127&lt;&gt;"",EDATE($D127,Milestones!$AA$126)&gt;=$Z127),$AC127,IF(AND($Y127&lt;&gt;"",EDATE($D127,Milestones!$AA$126)&gt;=$Y127),$AB127,$AA127)))=Milestones!$AB$126),UPPER(TEXT(EDATE($D127,Milestones!$AA$126),"dd mmm yy"))&amp;" "&amp;Milestones!$AB$126&amp;" "&amp;IF(AND(Milestones!$AB$126="FT",Milestones!$AA$126=FT_Y5,EDATE($D127,Milestones!$AA$126)&lt;PolicyEff),1,Milestones!$AC$126)&amp;";  ","")&amp;IF(AND(EDATE($D127,Milestones!$AA$127)&lt;=AsOfDate,EDATE($D127,Milestones!$AA$127)&gt;=SchemeStart,IF($X127=0,$AD127,IF(AND($Z127&lt;&gt;"",EDATE($D127,Milestones!$AA$127)&gt;=$Z127),$AC127,IF(AND($Y127&lt;&gt;"",EDATE($D127,Milestones!$AA$127)&gt;=$Y127),$AB127,$AA127)))=Milestones!$AB$127),UPPER(TEXT(EDATE($D127,Milestones!$AA$127),"dd mmm yy"))&amp;" "&amp;Milestones!$AB$127&amp;" "&amp;IF(AND(Milestones!$AB$127="FT",Milestones!$AA$127=FT_Y5,EDATE($D127,Milestones!$AA$127)&lt;PolicyEff),1,Milestones!$AC$127)&amp;";  ",""))</f>
        <v/>
      </c>
      <c r="R127" s="0" t="str">
        <f aca="false">IF(OR($A127="",$D127=""),"",IF(AND(EDATE($D127,Milestones!$AA$128)&lt;=AsOfDate,EDATE($D127,Milestones!$AA$128)&gt;=SchemeStart,IF($X127=0,$AD127,IF(AND($Z127&lt;&gt;"",EDATE($D127,Milestones!$AA$128)&gt;=$Z127),$AC127,IF(AND($Y127&lt;&gt;"",EDATE($D127,Milestones!$AA$128)&gt;=$Y127),$AB127,$AA127)))=Milestones!$AB$128),UPPER(TEXT(EDATE($D127,Milestones!$AA$128),"dd mmm yy"))&amp;" "&amp;Milestones!$AB$128&amp;" "&amp;IF(AND(Milestones!$AB$128="FT",Milestones!$AA$128=FT_Y5,EDATE($D127,Milestones!$AA$128)&lt;PolicyEff),1,Milestones!$AC$128)&amp;";  ","")&amp;IF(AND(EDATE($D127,Milestones!$AA$129)&lt;=AsOfDate,EDATE($D127,Milestones!$AA$129)&gt;=SchemeStart,IF($X127=0,$AD127,IF(AND($Z127&lt;&gt;"",EDATE($D127,Milestones!$AA$129)&gt;=$Z127),$AC127,IF(AND($Y127&lt;&gt;"",EDATE($D127,Milestones!$AA$129)&gt;=$Y127),$AB127,$AA127)))=Milestones!$AB$129),UPPER(TEXT(EDATE($D127,Milestones!$AA$129),"dd mmm yy"))&amp;" "&amp;Milestones!$AB$129&amp;" "&amp;IF(AND(Milestones!$AB$129="FT",Milestones!$AA$129=FT_Y5,EDATE($D127,Milestones!$AA$129)&lt;PolicyEff),1,Milestones!$AC$129)&amp;";  ","")&amp;IF(AND(EDATE($D127,Milestones!$AA$130)&lt;=AsOfDate,EDATE($D127,Milestones!$AA$130)&gt;=SchemeStart,IF($X127=0,$AD127,IF(AND($Z127&lt;&gt;"",EDATE($D127,Milestones!$AA$130)&gt;=$Z127),$AC127,IF(AND($Y127&lt;&gt;"",EDATE($D127,Milestones!$AA$130)&gt;=$Y127),$AB127,$AA127)))=Milestones!$AB$130),UPPER(TEXT(EDATE($D127,Milestones!$AA$130),"dd mmm yy"))&amp;" "&amp;Milestones!$AB$130&amp;" "&amp;IF(AND(Milestones!$AB$130="FT",Milestones!$AA$130=FT_Y5,EDATE($D127,Milestones!$AA$130)&lt;PolicyEff),1,Milestones!$AC$130)&amp;";  ","")&amp;IF(AND(EDATE($D127,Milestones!$AA$131)&lt;=AsOfDate,EDATE($D127,Milestones!$AA$131)&gt;=SchemeStart,IF($X127=0,$AD127,IF(AND($Z127&lt;&gt;"",EDATE($D127,Milestones!$AA$131)&gt;=$Z127),$AC127,IF(AND($Y127&lt;&gt;"",EDATE($D127,Milestones!$AA$131)&gt;=$Y127),$AB127,$AA127)))=Milestones!$AB$131),UPPER(TEXT(EDATE($D127,Milestones!$AA$131),"dd mmm yy"))&amp;" "&amp;Milestones!$AB$131&amp;" "&amp;IF(AND(Milestones!$AB$131="FT",Milestones!$AA$131=FT_Y5,EDATE($D127,Milestones!$AA$131)&lt;PolicyEff),1,Milestones!$AC$131)&amp;";  ","")&amp;IF(AND(EDATE($D127,Milestones!$AA$132)&lt;=AsOfDate,EDATE($D127,Milestones!$AA$132)&gt;=SchemeStart,IF($X127=0,$AD127,IF(AND($Z127&lt;&gt;"",EDATE($D127,Milestones!$AA$132)&gt;=$Z127),$AC127,IF(AND($Y127&lt;&gt;"",EDATE($D127,Milestones!$AA$132)&gt;=$Y127),$AB127,$AA127)))=Milestones!$AB$132),UPPER(TEXT(EDATE($D127,Milestones!$AA$132),"dd mmm yy"))&amp;" "&amp;Milestones!$AB$132&amp;" "&amp;IF(AND(Milestones!$AB$132="FT",Milestones!$AA$132=FT_Y5,EDATE($D127,Milestones!$AA$132)&lt;PolicyEff),1,Milestones!$AC$132)&amp;";  ","")&amp;IF(AND(EDATE($D127,Milestones!$AA$133)&lt;=AsOfDate,EDATE($D127,Milestones!$AA$133)&gt;=SchemeStart,IF($X127=0,$AD127,IF(AND($Z127&lt;&gt;"",EDATE($D127,Milestones!$AA$133)&gt;=$Z127),$AC127,IF(AND($Y127&lt;&gt;"",EDATE($D127,Milestones!$AA$133)&gt;=$Y127),$AB127,$AA127)))=Milestones!$AB$133),UPPER(TEXT(EDATE($D127,Milestones!$AA$133),"dd mmm yy"))&amp;" "&amp;Milestones!$AB$133&amp;" "&amp;IF(AND(Milestones!$AB$133="FT",Milestones!$AA$133=FT_Y5,EDATE($D127,Milestones!$AA$133)&lt;PolicyEff),1,Milestones!$AC$133)&amp;";  ","")&amp;IF(AND(EDATE($D127,Milestones!$AA$134)&lt;=AsOfDate,EDATE($D127,Milestones!$AA$134)&gt;=SchemeStart,IF($X127=0,$AD127,IF(AND($Z127&lt;&gt;"",EDATE($D127,Milestones!$AA$134)&gt;=$Z127),$AC127,IF(AND($Y127&lt;&gt;"",EDATE($D127,Milestones!$AA$134)&gt;=$Y127),$AB127,$AA127)))=Milestones!$AB$134),UPPER(TEXT(EDATE($D127,Milestones!$AA$134),"dd mmm yy"))&amp;" "&amp;Milestones!$AB$134&amp;" "&amp;IF(AND(Milestones!$AB$134="FT",Milestones!$AA$134=FT_Y5,EDATE($D127,Milestones!$AA$134)&lt;PolicyEff),1,Milestones!$AC$134)&amp;";  ","")&amp;IF(AND(EDATE($D127,Milestones!$AA$135)&lt;=AsOfDate,EDATE($D127,Milestones!$AA$135)&gt;=SchemeStart,IF($X127=0,$AD127,IF(AND($Z127&lt;&gt;"",EDATE($D127,Milestones!$AA$135)&gt;=$Z127),$AC127,IF(AND($Y127&lt;&gt;"",EDATE($D127,Milestones!$AA$135)&gt;=$Y127),$AB127,$AA127)))=Milestones!$AB$135),UPPER(TEXT(EDATE($D127,Milestones!$AA$135),"dd mmm yy"))&amp;" "&amp;Milestones!$AB$135&amp;" "&amp;IF(AND(Milestones!$AB$135="FT",Milestones!$AA$135=FT_Y5,EDATE($D127,Milestones!$AA$135)&lt;PolicyEff),1,Milestones!$AC$135)&amp;";  ","")&amp;IF(AND(EDATE($D127,Milestones!$AA$136)&lt;=AsOfDate,EDATE($D127,Milestones!$AA$136)&gt;=SchemeStart,IF($X127=0,$AD127,IF(AND($Z127&lt;&gt;"",EDATE($D127,Milestones!$AA$136)&gt;=$Z127),$AC127,IF(AND($Y127&lt;&gt;"",EDATE($D127,Milestones!$AA$136)&gt;=$Y127),$AB127,$AA127)))=Milestones!$AB$136),UPPER(TEXT(EDATE($D127,Milestones!$AA$136),"dd mmm yy"))&amp;" "&amp;Milestones!$AB$136&amp;" "&amp;IF(AND(Milestones!$AB$136="FT",Milestones!$AA$136=FT_Y5,EDATE($D127,Milestones!$AA$136)&lt;PolicyEff),1,Milestones!$AC$136)&amp;";  ","")&amp;IF(AND(EDATE($D127,Milestones!$AA$137)&lt;=AsOfDate,EDATE($D127,Milestones!$AA$137)&gt;=SchemeStart,IF($X127=0,$AD127,IF(AND($Z127&lt;&gt;"",EDATE($D127,Milestones!$AA$137)&gt;=$Z127),$AC127,IF(AND($Y127&lt;&gt;"",EDATE($D127,Milestones!$AA$137)&gt;=$Y127),$AB127,$AA127)))=Milestones!$AB$137),UPPER(TEXT(EDATE($D127,Milestones!$AA$137),"dd mmm yy"))&amp;" "&amp;Milestones!$AB$137&amp;" "&amp;IF(AND(Milestones!$AB$137="FT",Milestones!$AA$137=FT_Y5,EDATE($D127,Milestones!$AA$137)&lt;PolicyEff),1,Milestones!$AC$137)&amp;";  ","")&amp;IF(AND(EDATE($D127,Milestones!$AA$138)&lt;=AsOfDate,EDATE($D127,Milestones!$AA$138)&gt;=SchemeStart,IF($X127=0,$AD127,IF(AND($Z127&lt;&gt;"",EDATE($D127,Milestones!$AA$138)&gt;=$Z127),$AC127,IF(AND($Y127&lt;&gt;"",EDATE($D127,Milestones!$AA$138)&gt;=$Y127),$AB127,$AA127)))=Milestones!$AB$138),UPPER(TEXT(EDATE($D127,Milestones!$AA$138),"dd mmm yy"))&amp;" "&amp;Milestones!$AB$138&amp;" "&amp;IF(AND(Milestones!$AB$138="FT",Milestones!$AA$138=FT_Y5,EDATE($D127,Milestones!$AA$138)&lt;PolicyEff),1,Milestones!$AC$138)&amp;";  ","")&amp;IF(AND(EDATE($D127,Milestones!$AA$139)&lt;=AsOfDate,EDATE($D127,Milestones!$AA$139)&gt;=SchemeStart,IF($X127=0,$AD127,IF(AND($Z127&lt;&gt;"",EDATE($D127,Milestones!$AA$139)&gt;=$Z127),$AC127,IF(AND($Y127&lt;&gt;"",EDATE($D127,Milestones!$AA$139)&gt;=$Y127),$AB127,$AA127)))=Milestones!$AB$139),UPPER(TEXT(EDATE($D127,Milestones!$AA$139),"dd mmm yy"))&amp;" "&amp;Milestones!$AB$139&amp;" "&amp;IF(AND(Milestones!$AB$139="FT",Milestones!$AA$139=FT_Y5,EDATE($D127,Milestones!$AA$139)&lt;PolicyEff),1,Milestones!$AC$139)&amp;";  ",""))</f>
        <v/>
      </c>
      <c r="S127" s="0" t="str">
        <f aca="false">IF(OR($A127="",$D127=""),"",IF(AND(EDATE($D127,Milestones!$AA$140)&lt;=AsOfDate,EDATE($D127,Milestones!$AA$140)&gt;=SchemeStart,IF($X127=0,$AD127,IF(AND($Z127&lt;&gt;"",EDATE($D127,Milestones!$AA$140)&gt;=$Z127),$AC127,IF(AND($Y127&lt;&gt;"",EDATE($D127,Milestones!$AA$140)&gt;=$Y127),$AB127,$AA127)))=Milestones!$AB$140),UPPER(TEXT(EDATE($D127,Milestones!$AA$140),"dd mmm yy"))&amp;" "&amp;Milestones!$AB$140&amp;" "&amp;IF(AND(Milestones!$AB$140="FT",Milestones!$AA$140=FT_Y5,EDATE($D127,Milestones!$AA$140)&lt;PolicyEff),1,Milestones!$AC$140)&amp;";  ","")&amp;IF(AND(EDATE($D127,Milestones!$AA$141)&lt;=AsOfDate,EDATE($D127,Milestones!$AA$141)&gt;=SchemeStart,IF($X127=0,$AD127,IF(AND($Z127&lt;&gt;"",EDATE($D127,Milestones!$AA$141)&gt;=$Z127),$AC127,IF(AND($Y127&lt;&gt;"",EDATE($D127,Milestones!$AA$141)&gt;=$Y127),$AB127,$AA127)))=Milestones!$AB$141),UPPER(TEXT(EDATE($D127,Milestones!$AA$141),"dd mmm yy"))&amp;" "&amp;Milestones!$AB$141&amp;" "&amp;IF(AND(Milestones!$AB$141="FT",Milestones!$AA$141=FT_Y5,EDATE($D127,Milestones!$AA$141)&lt;PolicyEff),1,Milestones!$AC$141)&amp;";  ","")&amp;IF(AND(EDATE($D127,Milestones!$AA$142)&lt;=AsOfDate,EDATE($D127,Milestones!$AA$142)&gt;=SchemeStart,IF($X127=0,$AD127,IF(AND($Z127&lt;&gt;"",EDATE($D127,Milestones!$AA$142)&gt;=$Z127),$AC127,IF(AND($Y127&lt;&gt;"",EDATE($D127,Milestones!$AA$142)&gt;=$Y127),$AB127,$AA127)))=Milestones!$AB$142),UPPER(TEXT(EDATE($D127,Milestones!$AA$142),"dd mmm yy"))&amp;" "&amp;Milestones!$AB$142&amp;" "&amp;IF(AND(Milestones!$AB$142="FT",Milestones!$AA$142=FT_Y5,EDATE($D127,Milestones!$AA$142)&lt;PolicyEff),1,Milestones!$AC$142)&amp;";  ","")&amp;IF(AND(EDATE($D127,Milestones!$AA$143)&lt;=AsOfDate,EDATE($D127,Milestones!$AA$143)&gt;=SchemeStart,IF($X127=0,$AD127,IF(AND($Z127&lt;&gt;"",EDATE($D127,Milestones!$AA$143)&gt;=$Z127),$AC127,IF(AND($Y127&lt;&gt;"",EDATE($D127,Milestones!$AA$143)&gt;=$Y127),$AB127,$AA127)))=Milestones!$AB$143),UPPER(TEXT(EDATE($D127,Milestones!$AA$143),"dd mmm yy"))&amp;" "&amp;Milestones!$AB$143&amp;" "&amp;IF(AND(Milestones!$AB$143="FT",Milestones!$AA$143=FT_Y5,EDATE($D127,Milestones!$AA$143)&lt;PolicyEff),1,Milestones!$AC$143)&amp;";  ","")&amp;IF(AND(EDATE($D127,Milestones!$AA$144)&lt;=AsOfDate,EDATE($D127,Milestones!$AA$144)&gt;=SchemeStart,IF($X127=0,$AD127,IF(AND($Z127&lt;&gt;"",EDATE($D127,Milestones!$AA$144)&gt;=$Z127),$AC127,IF(AND($Y127&lt;&gt;"",EDATE($D127,Milestones!$AA$144)&gt;=$Y127),$AB127,$AA127)))=Milestones!$AB$144),UPPER(TEXT(EDATE($D127,Milestones!$AA$144),"dd mmm yy"))&amp;" "&amp;Milestones!$AB$144&amp;" "&amp;IF(AND(Milestones!$AB$144="FT",Milestones!$AA$144=FT_Y5,EDATE($D127,Milestones!$AA$144)&lt;PolicyEff),1,Milestones!$AC$144)&amp;";  ","")&amp;IF(AND(EDATE($D127,Milestones!$AA$145)&lt;=AsOfDate,EDATE($D127,Milestones!$AA$145)&gt;=SchemeStart,IF($X127=0,$AD127,IF(AND($Z127&lt;&gt;"",EDATE($D127,Milestones!$AA$145)&gt;=$Z127),$AC127,IF(AND($Y127&lt;&gt;"",EDATE($D127,Milestones!$AA$145)&gt;=$Y127),$AB127,$AA127)))=Milestones!$AB$145),UPPER(TEXT(EDATE($D127,Milestones!$AA$145),"dd mmm yy"))&amp;" "&amp;Milestones!$AB$145&amp;" "&amp;IF(AND(Milestones!$AB$145="FT",Milestones!$AA$145=FT_Y5,EDATE($D127,Milestones!$AA$145)&lt;PolicyEff),1,Milestones!$AC$145)&amp;";  ","")&amp;IF(AND(EDATE($D127,Milestones!$AA$146)&lt;=AsOfDate,EDATE($D127,Milestones!$AA$146)&gt;=SchemeStart,IF($X127=0,$AD127,IF(AND($Z127&lt;&gt;"",EDATE($D127,Milestones!$AA$146)&gt;=$Z127),$AC127,IF(AND($Y127&lt;&gt;"",EDATE($D127,Milestones!$AA$146)&gt;=$Y127),$AB127,$AA127)))=Milestones!$AB$146),UPPER(TEXT(EDATE($D127,Milestones!$AA$146),"dd mmm yy"))&amp;" "&amp;Milestones!$AB$146&amp;" "&amp;IF(AND(Milestones!$AB$146="FT",Milestones!$AA$146=FT_Y5,EDATE($D127,Milestones!$AA$146)&lt;PolicyEff),1,Milestones!$AC$146)&amp;";  ","")&amp;IF(AND(EDATE($D127,Milestones!$AA$147)&lt;=AsOfDate,EDATE($D127,Milestones!$AA$147)&gt;=SchemeStart,IF($X127=0,$AD127,IF(AND($Z127&lt;&gt;"",EDATE($D127,Milestones!$AA$147)&gt;=$Z127),$AC127,IF(AND($Y127&lt;&gt;"",EDATE($D127,Milestones!$AA$147)&gt;=$Y127),$AB127,$AA127)))=Milestones!$AB$147),UPPER(TEXT(EDATE($D127,Milestones!$AA$147),"dd mmm yy"))&amp;" "&amp;Milestones!$AB$147&amp;" "&amp;IF(AND(Milestones!$AB$147="FT",Milestones!$AA$147=FT_Y5,EDATE($D127,Milestones!$AA$147)&lt;PolicyEff),1,Milestones!$AC$147)&amp;";  ","")&amp;IF(AND(EDATE($D127,Milestones!$AA$148)&lt;=AsOfDate,EDATE($D127,Milestones!$AA$148)&gt;=SchemeStart,IF($X127=0,$AD127,IF(AND($Z127&lt;&gt;"",EDATE($D127,Milestones!$AA$148)&gt;=$Z127),$AC127,IF(AND($Y127&lt;&gt;"",EDATE($D127,Milestones!$AA$148)&gt;=$Y127),$AB127,$AA127)))=Milestones!$AB$148),UPPER(TEXT(EDATE($D127,Milestones!$AA$148),"dd mmm yy"))&amp;" "&amp;Milestones!$AB$148&amp;" "&amp;IF(AND(Milestones!$AB$148="FT",Milestones!$AA$148=FT_Y5,EDATE($D127,Milestones!$AA$148)&lt;PolicyEff),1,Milestones!$AC$148)&amp;";  ","")&amp;IF(AND(EDATE($D127,Milestones!$AA$149)&lt;=AsOfDate,EDATE($D127,Milestones!$AA$149)&gt;=SchemeStart,IF($X127=0,$AD127,IF(AND($Z127&lt;&gt;"",EDATE($D127,Milestones!$AA$149)&gt;=$Z127),$AC127,IF(AND($Y127&lt;&gt;"",EDATE($D127,Milestones!$AA$149)&gt;=$Y127),$AB127,$AA127)))=Milestones!$AB$149),UPPER(TEXT(EDATE($D127,Milestones!$AA$149),"dd mmm yy"))&amp;" "&amp;Milestones!$AB$149&amp;" "&amp;IF(AND(Milestones!$AB$149="FT",Milestones!$AA$149=FT_Y5,EDATE($D127,Milestones!$AA$149)&lt;PolicyEff),1,Milestones!$AC$149)&amp;";  ","")&amp;IF(AND(EDATE($D127,Milestones!$AA$150)&lt;=AsOfDate,EDATE($D127,Milestones!$AA$150)&gt;=SchemeStart,IF($X127=0,$AD127,IF(AND($Z127&lt;&gt;"",EDATE($D127,Milestones!$AA$150)&gt;=$Z127),$AC127,IF(AND($Y127&lt;&gt;"",EDATE($D127,Milestones!$AA$150)&gt;=$Y127),$AB127,$AA127)))=Milestones!$AB$150),UPPER(TEXT(EDATE($D127,Milestones!$AA$150),"dd mmm yy"))&amp;" "&amp;Milestones!$AB$150&amp;" "&amp;IF(AND(Milestones!$AB$150="FT",Milestones!$AA$150=FT_Y5,EDATE($D127,Milestones!$AA$150)&lt;PolicyEff),1,Milestones!$AC$150)&amp;";  ","")&amp;IF(AND(EDATE($D127,Milestones!$AA$151)&lt;=AsOfDate,EDATE($D127,Milestones!$AA$151)&gt;=SchemeStart,IF($X127=0,$AD127,IF(AND($Z127&lt;&gt;"",EDATE($D127,Milestones!$AA$151)&gt;=$Z127),$AC127,IF(AND($Y127&lt;&gt;"",EDATE($D127,Milestones!$AA$151)&gt;=$Y127),$AB127,$AA127)))=Milestones!$AB$151),UPPER(TEXT(EDATE($D127,Milestones!$AA$151),"dd mmm yy"))&amp;" "&amp;Milestones!$AB$151&amp;" "&amp;IF(AND(Milestones!$AB$151="FT",Milestones!$AA$151=FT_Y5,EDATE($D127,Milestones!$AA$151)&lt;PolicyEff),1,Milestones!$AC$151)&amp;";  ",""))</f>
        <v/>
      </c>
      <c r="T127" s="0" t="str">
        <f aca="false">IF(OR($A127="",$D127=""),"",IF(AND(EDATE($D127,Milestones!$AA$152)&lt;=AsOfDate,EDATE($D127,Milestones!$AA$152)&gt;=SchemeStart,IF($X127=0,$AD127,IF(AND($Z127&lt;&gt;"",EDATE($D127,Milestones!$AA$152)&gt;=$Z127),$AC127,IF(AND($Y127&lt;&gt;"",EDATE($D127,Milestones!$AA$152)&gt;=$Y127),$AB127,$AA127)))=Milestones!$AB$152),UPPER(TEXT(EDATE($D127,Milestones!$AA$152),"dd mmm yy"))&amp;" "&amp;Milestones!$AB$152&amp;" "&amp;IF(AND(Milestones!$AB$152="FT",Milestones!$AA$152=FT_Y5,EDATE($D127,Milestones!$AA$152)&lt;PolicyEff),1,Milestones!$AC$152)&amp;";  ","")&amp;IF(AND(EDATE($D127,Milestones!$AA$153)&lt;=AsOfDate,EDATE($D127,Milestones!$AA$153)&gt;=SchemeStart,IF($X127=0,$AD127,IF(AND($Z127&lt;&gt;"",EDATE($D127,Milestones!$AA$153)&gt;=$Z127),$AC127,IF(AND($Y127&lt;&gt;"",EDATE($D127,Milestones!$AA$153)&gt;=$Y127),$AB127,$AA127)))=Milestones!$AB$153),UPPER(TEXT(EDATE($D127,Milestones!$AA$153),"dd mmm yy"))&amp;" "&amp;Milestones!$AB$153&amp;" "&amp;IF(AND(Milestones!$AB$153="FT",Milestones!$AA$153=FT_Y5,EDATE($D127,Milestones!$AA$153)&lt;PolicyEff),1,Milestones!$AC$153)&amp;";  ","")&amp;IF(AND(EDATE($D127,Milestones!$AA$154)&lt;=AsOfDate,EDATE($D127,Milestones!$AA$154)&gt;=SchemeStart,IF($X127=0,$AD127,IF(AND($Z127&lt;&gt;"",EDATE($D127,Milestones!$AA$154)&gt;=$Z127),$AC127,IF(AND($Y127&lt;&gt;"",EDATE($D127,Milestones!$AA$154)&gt;=$Y127),$AB127,$AA127)))=Milestones!$AB$154),UPPER(TEXT(EDATE($D127,Milestones!$AA$154),"dd mmm yy"))&amp;" "&amp;Milestones!$AB$154&amp;" "&amp;IF(AND(Milestones!$AB$154="FT",Milestones!$AA$154=FT_Y5,EDATE($D127,Milestones!$AA$154)&lt;PolicyEff),1,Milestones!$AC$154)&amp;";  ","")&amp;IF(AND(EDATE($D127,Milestones!$AA$155)&lt;=AsOfDate,EDATE($D127,Milestones!$AA$155)&gt;=SchemeStart,IF($X127=0,$AD127,IF(AND($Z127&lt;&gt;"",EDATE($D127,Milestones!$AA$155)&gt;=$Z127),$AC127,IF(AND($Y127&lt;&gt;"",EDATE($D127,Milestones!$AA$155)&gt;=$Y127),$AB127,$AA127)))=Milestones!$AB$155),UPPER(TEXT(EDATE($D127,Milestones!$AA$155),"dd mmm yy"))&amp;" "&amp;Milestones!$AB$155&amp;" "&amp;IF(AND(Milestones!$AB$155="FT",Milestones!$AA$155=FT_Y5,EDATE($D127,Milestones!$AA$155)&lt;PolicyEff),1,Milestones!$AC$155)&amp;";  ","")&amp;IF(AND(EDATE($D127,Milestones!$AA$156)&lt;=AsOfDate,EDATE($D127,Milestones!$AA$156)&gt;=SchemeStart,IF($X127=0,$AD127,IF(AND($Z127&lt;&gt;"",EDATE($D127,Milestones!$AA$156)&gt;=$Z127),$AC127,IF(AND($Y127&lt;&gt;"",EDATE($D127,Milestones!$AA$156)&gt;=$Y127),$AB127,$AA127)))=Milestones!$AB$156),UPPER(TEXT(EDATE($D127,Milestones!$AA$156),"dd mmm yy"))&amp;" "&amp;Milestones!$AB$156&amp;" "&amp;IF(AND(Milestones!$AB$156="FT",Milestones!$AA$156=FT_Y5,EDATE($D127,Milestones!$AA$156)&lt;PolicyEff),1,Milestones!$AC$156)&amp;";  ","")&amp;IF(AND(EDATE($D127,Milestones!$AA$157)&lt;=AsOfDate,EDATE($D127,Milestones!$AA$157)&gt;=SchemeStart,IF($X127=0,$AD127,IF(AND($Z127&lt;&gt;"",EDATE($D127,Milestones!$AA$157)&gt;=$Z127),$AC127,IF(AND($Y127&lt;&gt;"",EDATE($D127,Milestones!$AA$157)&gt;=$Y127),$AB127,$AA127)))=Milestones!$AB$157),UPPER(TEXT(EDATE($D127,Milestones!$AA$157),"dd mmm yy"))&amp;" "&amp;Milestones!$AB$157&amp;" "&amp;IF(AND(Milestones!$AB$157="FT",Milestones!$AA$157=FT_Y5,EDATE($D127,Milestones!$AA$157)&lt;PolicyEff),1,Milestones!$AC$157)&amp;";  ","")&amp;IF(AND(EDATE($D127,Milestones!$AA$158)&lt;=AsOfDate,EDATE($D127,Milestones!$AA$158)&gt;=SchemeStart,IF($X127=0,$AD127,IF(AND($Z127&lt;&gt;"",EDATE($D127,Milestones!$AA$158)&gt;=$Z127),$AC127,IF(AND($Y127&lt;&gt;"",EDATE($D127,Milestones!$AA$158)&gt;=$Y127),$AB127,$AA127)))=Milestones!$AB$158),UPPER(TEXT(EDATE($D127,Milestones!$AA$158),"dd mmm yy"))&amp;" "&amp;Milestones!$AB$158&amp;" "&amp;IF(AND(Milestones!$AB$158="FT",Milestones!$AA$158=FT_Y5,EDATE($D127,Milestones!$AA$158)&lt;PolicyEff),1,Milestones!$AC$158)&amp;";  ","")&amp;IF(AND(EDATE($D127,Milestones!$AA$159)&lt;=AsOfDate,EDATE($D127,Milestones!$AA$159)&gt;=SchemeStart,IF($X127=0,$AD127,IF(AND($Z127&lt;&gt;"",EDATE($D127,Milestones!$AA$159)&gt;=$Z127),$AC127,IF(AND($Y127&lt;&gt;"",EDATE($D127,Milestones!$AA$159)&gt;=$Y127),$AB127,$AA127)))=Milestones!$AB$159),UPPER(TEXT(EDATE($D127,Milestones!$AA$159),"dd mmm yy"))&amp;" "&amp;Milestones!$AB$159&amp;" "&amp;IF(AND(Milestones!$AB$159="FT",Milestones!$AA$159=FT_Y5,EDATE($D127,Milestones!$AA$159)&lt;PolicyEff),1,Milestones!$AC$159)&amp;";  ","")&amp;IF(AND(EDATE($D127,Milestones!$AA$160)&lt;=AsOfDate,EDATE($D127,Milestones!$AA$160)&gt;=SchemeStart,IF($X127=0,$AD127,IF(AND($Z127&lt;&gt;"",EDATE($D127,Milestones!$AA$160)&gt;=$Z127),$AC127,IF(AND($Y127&lt;&gt;"",EDATE($D127,Milestones!$AA$160)&gt;=$Y127),$AB127,$AA127)))=Milestones!$AB$160),UPPER(TEXT(EDATE($D127,Milestones!$AA$160),"dd mmm yy"))&amp;" "&amp;Milestones!$AB$160&amp;" "&amp;IF(AND(Milestones!$AB$160="FT",Milestones!$AA$160=FT_Y5,EDATE($D127,Milestones!$AA$160)&lt;PolicyEff),1,Milestones!$AC$160)&amp;";  ","")&amp;IF(AND(EDATE($D127,Milestones!$AA$161)&lt;=AsOfDate,EDATE($D127,Milestones!$AA$161)&gt;=SchemeStart,IF($X127=0,$AD127,IF(AND($Z127&lt;&gt;"",EDATE($D127,Milestones!$AA$161)&gt;=$Z127),$AC127,IF(AND($Y127&lt;&gt;"",EDATE($D127,Milestones!$AA$161)&gt;=$Y127),$AB127,$AA127)))=Milestones!$AB$161),UPPER(TEXT(EDATE($D127,Milestones!$AA$161),"dd mmm yy"))&amp;" "&amp;Milestones!$AB$161&amp;" "&amp;IF(AND(Milestones!$AB$161="FT",Milestones!$AA$161=FT_Y5,EDATE($D127,Milestones!$AA$161)&lt;PolicyEff),1,Milestones!$AC$161)&amp;";  ","")&amp;IF(AND(EDATE($D127,Milestones!$AA$162)&lt;=AsOfDate,EDATE($D127,Milestones!$AA$162)&gt;=SchemeStart,IF($X127=0,$AD127,IF(AND($Z127&lt;&gt;"",EDATE($D127,Milestones!$AA$162)&gt;=$Z127),$AC127,IF(AND($Y127&lt;&gt;"",EDATE($D127,Milestones!$AA$162)&gt;=$Y127),$AB127,$AA127)))=Milestones!$AB$162),UPPER(TEXT(EDATE($D127,Milestones!$AA$162),"dd mmm yy"))&amp;" "&amp;Milestones!$AB$162&amp;" "&amp;IF(AND(Milestones!$AB$162="FT",Milestones!$AA$162=FT_Y5,EDATE($D127,Milestones!$AA$162)&lt;PolicyEff),1,Milestones!$AC$162)&amp;";  ","")&amp;IF(AND(EDATE($D127,Milestones!$AA$163)&lt;=AsOfDate,EDATE($D127,Milestones!$AA$163)&gt;=SchemeStart,IF($X127=0,$AD127,IF(AND($Z127&lt;&gt;"",EDATE($D127,Milestones!$AA$163)&gt;=$Z127),$AC127,IF(AND($Y127&lt;&gt;"",EDATE($D127,Milestones!$AA$163)&gt;=$Y127),$AB127,$AA127)))=Milestones!$AB$163),UPPER(TEXT(EDATE($D127,Milestones!$AA$163),"dd mmm yy"))&amp;" "&amp;Milestones!$AB$163&amp;" "&amp;IF(AND(Milestones!$AB$163="FT",Milestones!$AA$163=FT_Y5,EDATE($D127,Milestones!$AA$163)&lt;PolicyEff),1,Milestones!$AC$163)&amp;";  ",""))</f>
        <v/>
      </c>
      <c r="U127" s="0" t="str">
        <f aca="false">IF(OR($A127="",$D127=""),"",IF(AND(EDATE($D127,Milestones!$AA$164)&lt;=AsOfDate,EDATE($D127,Milestones!$AA$164)&gt;=SchemeStart,IF($X127=0,$AD127,IF(AND($Z127&lt;&gt;"",EDATE($D127,Milestones!$AA$164)&gt;=$Z127),$AC127,IF(AND($Y127&lt;&gt;"",EDATE($D127,Milestones!$AA$164)&gt;=$Y127),$AB127,$AA127)))=Milestones!$AB$164),UPPER(TEXT(EDATE($D127,Milestones!$AA$164),"dd mmm yy"))&amp;" "&amp;Milestones!$AB$164&amp;" "&amp;IF(AND(Milestones!$AB$164="FT",Milestones!$AA$164=FT_Y5,EDATE($D127,Milestones!$AA$164)&lt;PolicyEff),1,Milestones!$AC$164)&amp;";  ","")&amp;IF(AND(EDATE($D127,Milestones!$AA$165)&lt;=AsOfDate,EDATE($D127,Milestones!$AA$165)&gt;=SchemeStart,IF($X127=0,$AD127,IF(AND($Z127&lt;&gt;"",EDATE($D127,Milestones!$AA$165)&gt;=$Z127),$AC127,IF(AND($Y127&lt;&gt;"",EDATE($D127,Milestones!$AA$165)&gt;=$Y127),$AB127,$AA127)))=Milestones!$AB$165),UPPER(TEXT(EDATE($D127,Milestones!$AA$165),"dd mmm yy"))&amp;" "&amp;Milestones!$AB$165&amp;" "&amp;IF(AND(Milestones!$AB$165="FT",Milestones!$AA$165=FT_Y5,EDATE($D127,Milestones!$AA$165)&lt;PolicyEff),1,Milestones!$AC$165)&amp;";  ","")&amp;IF(AND(EDATE($D127,Milestones!$AA$166)&lt;=AsOfDate,EDATE($D127,Milestones!$AA$166)&gt;=SchemeStart,IF($X127=0,$AD127,IF(AND($Z127&lt;&gt;"",EDATE($D127,Milestones!$AA$166)&gt;=$Z127),$AC127,IF(AND($Y127&lt;&gt;"",EDATE($D127,Milestones!$AA$166)&gt;=$Y127),$AB127,$AA127)))=Milestones!$AB$166),UPPER(TEXT(EDATE($D127,Milestones!$AA$166),"dd mmm yy"))&amp;" "&amp;Milestones!$AB$166&amp;" "&amp;IF(AND(Milestones!$AB$166="FT",Milestones!$AA$166=FT_Y5,EDATE($D127,Milestones!$AA$166)&lt;PolicyEff),1,Milestones!$AC$166)&amp;";  ","")&amp;IF(AND(EDATE($D127,Milestones!$AA$167)&lt;=AsOfDate,EDATE($D127,Milestones!$AA$167)&gt;=SchemeStart,IF($X127=0,$AD127,IF(AND($Z127&lt;&gt;"",EDATE($D127,Milestones!$AA$167)&gt;=$Z127),$AC127,IF(AND($Y127&lt;&gt;"",EDATE($D127,Milestones!$AA$167)&gt;=$Y127),$AB127,$AA127)))=Milestones!$AB$167),UPPER(TEXT(EDATE($D127,Milestones!$AA$167),"dd mmm yy"))&amp;" "&amp;Milestones!$AB$167&amp;" "&amp;IF(AND(Milestones!$AB$167="FT",Milestones!$AA$167=FT_Y5,EDATE($D127,Milestones!$AA$167)&lt;PolicyEff),1,Milestones!$AC$167)&amp;";  ","")&amp;IF(AND(EDATE($D127,Milestones!$AA$168)&lt;=AsOfDate,EDATE($D127,Milestones!$AA$168)&gt;=SchemeStart,IF($X127=0,$AD127,IF(AND($Z127&lt;&gt;"",EDATE($D127,Milestones!$AA$168)&gt;=$Z127),$AC127,IF(AND($Y127&lt;&gt;"",EDATE($D127,Milestones!$AA$168)&gt;=$Y127),$AB127,$AA127)))=Milestones!$AB$168),UPPER(TEXT(EDATE($D127,Milestones!$AA$168),"dd mmm yy"))&amp;" "&amp;Milestones!$AB$168&amp;" "&amp;IF(AND(Milestones!$AB$168="FT",Milestones!$AA$168=FT_Y5,EDATE($D127,Milestones!$AA$168)&lt;PolicyEff),1,Milestones!$AC$168)&amp;";  ","")&amp;IF(AND(EDATE($D127,Milestones!$AA$169)&lt;=AsOfDate,EDATE($D127,Milestones!$AA$169)&gt;=SchemeStart,IF($X127=0,$AD127,IF(AND($Z127&lt;&gt;"",EDATE($D127,Milestones!$AA$169)&gt;=$Z127),$AC127,IF(AND($Y127&lt;&gt;"",EDATE($D127,Milestones!$AA$169)&gt;=$Y127),$AB127,$AA127)))=Milestones!$AB$169),UPPER(TEXT(EDATE($D127,Milestones!$AA$169),"dd mmm yy"))&amp;" "&amp;Milestones!$AB$169&amp;" "&amp;IF(AND(Milestones!$AB$169="FT",Milestones!$AA$169=FT_Y5,EDATE($D127,Milestones!$AA$169)&lt;PolicyEff),1,Milestones!$AC$169)&amp;";  ","")&amp;IF(AND(EDATE($D127,Milestones!$AA$170)&lt;=AsOfDate,EDATE($D127,Milestones!$AA$170)&gt;=SchemeStart,IF($X127=0,$AD127,IF(AND($Z127&lt;&gt;"",EDATE($D127,Milestones!$AA$170)&gt;=$Z127),$AC127,IF(AND($Y127&lt;&gt;"",EDATE($D127,Milestones!$AA$170)&gt;=$Y127),$AB127,$AA127)))=Milestones!$AB$170),UPPER(TEXT(EDATE($D127,Milestones!$AA$170),"dd mmm yy"))&amp;" "&amp;Milestones!$AB$170&amp;" "&amp;IF(AND(Milestones!$AB$170="FT",Milestones!$AA$170=FT_Y5,EDATE($D127,Milestones!$AA$170)&lt;PolicyEff),1,Milestones!$AC$170)&amp;";  ","")&amp;IF(AND(EDATE($D127,Milestones!$AA$171)&lt;=AsOfDate,EDATE($D127,Milestones!$AA$171)&gt;=SchemeStart,IF($X127=0,$AD127,IF(AND($Z127&lt;&gt;"",EDATE($D127,Milestones!$AA$171)&gt;=$Z127),$AC127,IF(AND($Y127&lt;&gt;"",EDATE($D127,Milestones!$AA$171)&gt;=$Y127),$AB127,$AA127)))=Milestones!$AB$171),UPPER(TEXT(EDATE($D127,Milestones!$AA$171),"dd mmm yy"))&amp;" "&amp;Milestones!$AB$171&amp;" "&amp;IF(AND(Milestones!$AB$171="FT",Milestones!$AA$171=FT_Y5,EDATE($D127,Milestones!$AA$171)&lt;PolicyEff),1,Milestones!$AC$171)&amp;";  ","")&amp;IF(AND(EDATE($D127,Milestones!$AA$172)&lt;=AsOfDate,EDATE($D127,Milestones!$AA$172)&gt;=SchemeStart,IF($X127=0,$AD127,IF(AND($Z127&lt;&gt;"",EDATE($D127,Milestones!$AA$172)&gt;=$Z127),$AC127,IF(AND($Y127&lt;&gt;"",EDATE($D127,Milestones!$AA$172)&gt;=$Y127),$AB127,$AA127)))=Milestones!$AB$172),UPPER(TEXT(EDATE($D127,Milestones!$AA$172),"dd mmm yy"))&amp;" "&amp;Milestones!$AB$172&amp;" "&amp;IF(AND(Milestones!$AB$172="FT",Milestones!$AA$172=FT_Y5,EDATE($D127,Milestones!$AA$172)&lt;PolicyEff),1,Milestones!$AC$172)&amp;";  ","")&amp;IF(AND(EDATE($D127,Milestones!$AA$173)&lt;=AsOfDate,EDATE($D127,Milestones!$AA$173)&gt;=SchemeStart,IF($X127=0,$AD127,IF(AND($Z127&lt;&gt;"",EDATE($D127,Milestones!$AA$173)&gt;=$Z127),$AC127,IF(AND($Y127&lt;&gt;"",EDATE($D127,Milestones!$AA$173)&gt;=$Y127),$AB127,$AA127)))=Milestones!$AB$173),UPPER(TEXT(EDATE($D127,Milestones!$AA$173),"dd mmm yy"))&amp;" "&amp;Milestones!$AB$173&amp;" "&amp;IF(AND(Milestones!$AB$173="FT",Milestones!$AA$173=FT_Y5,EDATE($D127,Milestones!$AA$173)&lt;PolicyEff),1,Milestones!$AC$173)&amp;";  ","")&amp;IF(AND(EDATE($D127,Milestones!$AA$174)&lt;=AsOfDate,EDATE($D127,Milestones!$AA$174)&gt;=SchemeStart,IF($X127=0,$AD127,IF(AND($Z127&lt;&gt;"",EDATE($D127,Milestones!$AA$174)&gt;=$Z127),$AC127,IF(AND($Y127&lt;&gt;"",EDATE($D127,Milestones!$AA$174)&gt;=$Y127),$AB127,$AA127)))=Milestones!$AB$174),UPPER(TEXT(EDATE($D127,Milestones!$AA$174),"dd mmm yy"))&amp;" "&amp;Milestones!$AB$174&amp;" "&amp;IF(AND(Milestones!$AB$174="FT",Milestones!$AA$174=FT_Y5,EDATE($D127,Milestones!$AA$174)&lt;PolicyEff),1,Milestones!$AC$174)&amp;";  ","")&amp;IF(AND(EDATE($D127,Milestones!$AA$175)&lt;=AsOfDate,EDATE($D127,Milestones!$AA$175)&gt;=SchemeStart,IF($X127=0,$AD127,IF(AND($Z127&lt;&gt;"",EDATE($D127,Milestones!$AA$175)&gt;=$Z127),$AC127,IF(AND($Y127&lt;&gt;"",EDATE($D127,Milestones!$AA$175)&gt;=$Y127),$AB127,$AA127)))=Milestones!$AB$175),UPPER(TEXT(EDATE($D127,Milestones!$AA$175),"dd mmm yy"))&amp;" "&amp;Milestones!$AB$175&amp;" "&amp;IF(AND(Milestones!$AB$175="FT",Milestones!$AA$175=FT_Y5,EDATE($D127,Milestones!$AA$175)&lt;PolicyEff),1,Milestones!$AC$175)&amp;";  ",""))</f>
        <v/>
      </c>
      <c r="V127" s="0" t="str">
        <f aca="false">IF(OR($A127="",$D127=""),"",IF(AND(EDATE($D127,Milestones!$AA$176)&lt;=AsOfDate,EDATE($D127,Milestones!$AA$176)&gt;=SchemeStart,IF($X127=0,$AD127,IF(AND($Z127&lt;&gt;"",EDATE($D127,Milestones!$AA$176)&gt;=$Z127),$AC127,IF(AND($Y127&lt;&gt;"",EDATE($D127,Milestones!$AA$176)&gt;=$Y127),$AB127,$AA127)))=Milestones!$AB$176),UPPER(TEXT(EDATE($D127,Milestones!$AA$176),"dd mmm yy"))&amp;" "&amp;Milestones!$AB$176&amp;" "&amp;IF(AND(Milestones!$AB$176="FT",Milestones!$AA$176=FT_Y5,EDATE($D127,Milestones!$AA$176)&lt;PolicyEff),1,Milestones!$AC$176)&amp;";  ","")&amp;IF(AND(EDATE($D127,Milestones!$AA$177)&lt;=AsOfDate,EDATE($D127,Milestones!$AA$177)&gt;=SchemeStart,IF($X127=0,$AD127,IF(AND($Z127&lt;&gt;"",EDATE($D127,Milestones!$AA$177)&gt;=$Z127),$AC127,IF(AND($Y127&lt;&gt;"",EDATE($D127,Milestones!$AA$177)&gt;=$Y127),$AB127,$AA127)))=Milestones!$AB$177),UPPER(TEXT(EDATE($D127,Milestones!$AA$177),"dd mmm yy"))&amp;" "&amp;Milestones!$AB$177&amp;" "&amp;IF(AND(Milestones!$AB$177="FT",Milestones!$AA$177=FT_Y5,EDATE($D127,Milestones!$AA$177)&lt;PolicyEff),1,Milestones!$AC$177)&amp;";  ","")&amp;IF(AND(EDATE($D127,Milestones!$AA$178)&lt;=AsOfDate,EDATE($D127,Milestones!$AA$178)&gt;=SchemeStart,IF($X127=0,$AD127,IF(AND($Z127&lt;&gt;"",EDATE($D127,Milestones!$AA$178)&gt;=$Z127),$AC127,IF(AND($Y127&lt;&gt;"",EDATE($D127,Milestones!$AA$178)&gt;=$Y127),$AB127,$AA127)))=Milestones!$AB$178),UPPER(TEXT(EDATE($D127,Milestones!$AA$178),"dd mmm yy"))&amp;" "&amp;Milestones!$AB$178&amp;" "&amp;IF(AND(Milestones!$AB$178="FT",Milestones!$AA$178=FT_Y5,EDATE($D127,Milestones!$AA$178)&lt;PolicyEff),1,Milestones!$AC$178)&amp;";  ","")&amp;IF(AND(EDATE($D127,Milestones!$AA$179)&lt;=AsOfDate,EDATE($D127,Milestones!$AA$179)&gt;=SchemeStart,IF($X127=0,$AD127,IF(AND($Z127&lt;&gt;"",EDATE($D127,Milestones!$AA$179)&gt;=$Z127),$AC127,IF(AND($Y127&lt;&gt;"",EDATE($D127,Milestones!$AA$179)&gt;=$Y127),$AB127,$AA127)))=Milestones!$AB$179),UPPER(TEXT(EDATE($D127,Milestones!$AA$179),"dd mmm yy"))&amp;" "&amp;Milestones!$AB$179&amp;" "&amp;IF(AND(Milestones!$AB$179="FT",Milestones!$AA$179=FT_Y5,EDATE($D127,Milestones!$AA$179)&lt;PolicyEff),1,Milestones!$AC$179)&amp;";  ","")&amp;IF(AND(EDATE($D127,Milestones!$AA$180)&lt;=AsOfDate,EDATE($D127,Milestones!$AA$180)&gt;=SchemeStart,IF($X127=0,$AD127,IF(AND($Z127&lt;&gt;"",EDATE($D127,Milestones!$AA$180)&gt;=$Z127),$AC127,IF(AND($Y127&lt;&gt;"",EDATE($D127,Milestones!$AA$180)&gt;=$Y127),$AB127,$AA127)))=Milestones!$AB$180),UPPER(TEXT(EDATE($D127,Milestones!$AA$180),"dd mmm yy"))&amp;" "&amp;Milestones!$AB$180&amp;" "&amp;IF(AND(Milestones!$AB$180="FT",Milestones!$AA$180=FT_Y5,EDATE($D127,Milestones!$AA$180)&lt;PolicyEff),1,Milestones!$AC$180)&amp;";  ","")&amp;IF(AND(EDATE($D127,Milestones!$AA$181)&lt;=AsOfDate,EDATE($D127,Milestones!$AA$181)&gt;=SchemeStart,IF($X127=0,$AD127,IF(AND($Z127&lt;&gt;"",EDATE($D127,Milestones!$AA$181)&gt;=$Z127),$AC127,IF(AND($Y127&lt;&gt;"",EDATE($D127,Milestones!$AA$181)&gt;=$Y127),$AB127,$AA127)))=Milestones!$AB$181),UPPER(TEXT(EDATE($D127,Milestones!$AA$181),"dd mmm yy"))&amp;" "&amp;Milestones!$AB$181&amp;" "&amp;IF(AND(Milestones!$AB$181="FT",Milestones!$AA$181=FT_Y5,EDATE($D127,Milestones!$AA$181)&lt;PolicyEff),1,Milestones!$AC$181)&amp;";  ","")&amp;IF(AND(EDATE($D127,Milestones!$AA$182)&lt;=AsOfDate,EDATE($D127,Milestones!$AA$182)&gt;=SchemeStart,IF($X127=0,$AD127,IF(AND($Z127&lt;&gt;"",EDATE($D127,Milestones!$AA$182)&gt;=$Z127),$AC127,IF(AND($Y127&lt;&gt;"",EDATE($D127,Milestones!$AA$182)&gt;=$Y127),$AB127,$AA127)))=Milestones!$AB$182),UPPER(TEXT(EDATE($D127,Milestones!$AA$182),"dd mmm yy"))&amp;" "&amp;Milestones!$AB$182&amp;" "&amp;IF(AND(Milestones!$AB$182="FT",Milestones!$AA$182=FT_Y5,EDATE($D127,Milestones!$AA$182)&lt;PolicyEff),1,Milestones!$AC$182)&amp;";  ","")&amp;IF(AND(EDATE($D127,Milestones!$AA$183)&lt;=AsOfDate,EDATE($D127,Milestones!$AA$183)&gt;=SchemeStart,IF($X127=0,$AD127,IF(AND($Z127&lt;&gt;"",EDATE($D127,Milestones!$AA$183)&gt;=$Z127),$AC127,IF(AND($Y127&lt;&gt;"",EDATE($D127,Milestones!$AA$183)&gt;=$Y127),$AB127,$AA127)))=Milestones!$AB$183),UPPER(TEXT(EDATE($D127,Milestones!$AA$183),"dd mmm yy"))&amp;" "&amp;Milestones!$AB$183&amp;" "&amp;IF(AND(Milestones!$AB$183="FT",Milestones!$AA$183=FT_Y5,EDATE($D127,Milestones!$AA$183)&lt;PolicyEff),1,Milestones!$AC$183)&amp;";  ","")&amp;IF(AND(EDATE($D127,Milestones!$AA$184)&lt;=AsOfDate,EDATE($D127,Milestones!$AA$184)&gt;=SchemeStart,IF($X127=0,$AD127,IF(AND($Z127&lt;&gt;"",EDATE($D127,Milestones!$AA$184)&gt;=$Z127),$AC127,IF(AND($Y127&lt;&gt;"",EDATE($D127,Milestones!$AA$184)&gt;=$Y127),$AB127,$AA127)))=Milestones!$AB$184),UPPER(TEXT(EDATE($D127,Milestones!$AA$184),"dd mmm yy"))&amp;" "&amp;Milestones!$AB$184&amp;" "&amp;IF(AND(Milestones!$AB$184="FT",Milestones!$AA$184=FT_Y5,EDATE($D127,Milestones!$AA$184)&lt;PolicyEff),1,Milestones!$AC$184)&amp;";  ","")&amp;IF(AND(EDATE($D127,Milestones!$AA$185)&lt;=AsOfDate,EDATE($D127,Milestones!$AA$185)&gt;=SchemeStart,IF($X127=0,$AD127,IF(AND($Z127&lt;&gt;"",EDATE($D127,Milestones!$AA$185)&gt;=$Z127),$AC127,IF(AND($Y127&lt;&gt;"",EDATE($D127,Milestones!$AA$185)&gt;=$Y127),$AB127,$AA127)))=Milestones!$AB$185),UPPER(TEXT(EDATE($D127,Milestones!$AA$185),"dd mmm yy"))&amp;" "&amp;Milestones!$AB$185&amp;" "&amp;IF(AND(Milestones!$AB$185="FT",Milestones!$AA$185=FT_Y5,EDATE($D127,Milestones!$AA$185)&lt;PolicyEff),1,Milestones!$AC$185)&amp;";  ","")&amp;IF(AND(EDATE($D127,Milestones!$AA$186)&lt;=AsOfDate,EDATE($D127,Milestones!$AA$186)&gt;=SchemeStart,IF($X127=0,$AD127,IF(AND($Z127&lt;&gt;"",EDATE($D127,Milestones!$AA$186)&gt;=$Z127),$AC127,IF(AND($Y127&lt;&gt;"",EDATE($D127,Milestones!$AA$186)&gt;=$Y127),$AB127,$AA127)))=Milestones!$AB$186),UPPER(TEXT(EDATE($D127,Milestones!$AA$186),"dd mmm yy"))&amp;" "&amp;Milestones!$AB$186&amp;" "&amp;IF(AND(Milestones!$AB$186="FT",Milestones!$AA$186=FT_Y5,EDATE($D127,Milestones!$AA$186)&lt;PolicyEff),1,Milestones!$AC$186)&amp;";  ","")&amp;IF(AND(EDATE($D127,Milestones!$AA$187)&lt;=AsOfDate,EDATE($D127,Milestones!$AA$187)&gt;=SchemeStart,IF($X127=0,$AD127,IF(AND($Z127&lt;&gt;"",EDATE($D127,Milestones!$AA$187)&gt;=$Z127),$AC127,IF(AND($Y127&lt;&gt;"",EDATE($D127,Milestones!$AA$187)&gt;=$Y127),$AB127,$AA127)))=Milestones!$AB$187),UPPER(TEXT(EDATE($D127,Milestones!$AA$187),"dd mmm yy"))&amp;" "&amp;Milestones!$AB$187&amp;" "&amp;IF(AND(Milestones!$AB$187="FT",Milestones!$AA$187=FT_Y5,EDATE($D127,Milestones!$AA$187)&lt;PolicyEff),1,Milestones!$AC$187)&amp;";  ",""))</f>
        <v/>
      </c>
      <c r="W127" s="0" t="str">
        <f aca="false">IF(OR($A127="",$D127=""),"",IF(AND(EDATE($D127,Milestones!$AA$188)&lt;=AsOfDate,EDATE($D127,Milestones!$AA$188)&gt;=SchemeStart,IF($X127=0,$AD127,IF(AND($Z127&lt;&gt;"",EDATE($D127,Milestones!$AA$188)&gt;=$Z127),$AC127,IF(AND($Y127&lt;&gt;"",EDATE($D127,Milestones!$AA$188)&gt;=$Y127),$AB127,$AA127)))=Milestones!$AB$188),UPPER(TEXT(EDATE($D127,Milestones!$AA$188),"dd mmm yy"))&amp;" "&amp;Milestones!$AB$188&amp;" "&amp;IF(AND(Milestones!$AB$188="FT",Milestones!$AA$188=FT_Y5,EDATE($D127,Milestones!$AA$188)&lt;PolicyEff),1,Milestones!$AC$188)&amp;";  ","")&amp;IF(AND(EDATE($D127,Milestones!$AA$189)&lt;=AsOfDate,EDATE($D127,Milestones!$AA$189)&gt;=SchemeStart,IF($X127=0,$AD127,IF(AND($Z127&lt;&gt;"",EDATE($D127,Milestones!$AA$189)&gt;=$Z127),$AC127,IF(AND($Y127&lt;&gt;"",EDATE($D127,Milestones!$AA$189)&gt;=$Y127),$AB127,$AA127)))=Milestones!$AB$189),UPPER(TEXT(EDATE($D127,Milestones!$AA$189),"dd mmm yy"))&amp;" "&amp;Milestones!$AB$189&amp;" "&amp;IF(AND(Milestones!$AB$189="FT",Milestones!$AA$189=FT_Y5,EDATE($D127,Milestones!$AA$189)&lt;PolicyEff),1,Milestones!$AC$189)&amp;";  ","")&amp;IF(AND(EDATE($D127,Milestones!$AA$190)&lt;=AsOfDate,EDATE($D127,Milestones!$AA$190)&gt;=SchemeStart,IF($X127=0,$AD127,IF(AND($Z127&lt;&gt;"",EDATE($D127,Milestones!$AA$190)&gt;=$Z127),$AC127,IF(AND($Y127&lt;&gt;"",EDATE($D127,Milestones!$AA$190)&gt;=$Y127),$AB127,$AA127)))=Milestones!$AB$190),UPPER(TEXT(EDATE($D127,Milestones!$AA$190),"dd mmm yy"))&amp;" "&amp;Milestones!$AB$190&amp;" "&amp;IF(AND(Milestones!$AB$190="FT",Milestones!$AA$190=FT_Y5,EDATE($D127,Milestones!$AA$190)&lt;PolicyEff),1,Milestones!$AC$190)&amp;";  ","")&amp;IF(AND(EDATE($D127,Milestones!$AA$191)&lt;=AsOfDate,EDATE($D127,Milestones!$AA$191)&gt;=SchemeStart,IF($X127=0,$AD127,IF(AND($Z127&lt;&gt;"",EDATE($D127,Milestones!$AA$191)&gt;=$Z127),$AC127,IF(AND($Y127&lt;&gt;"",EDATE($D127,Milestones!$AA$191)&gt;=$Y127),$AB127,$AA127)))=Milestones!$AB$191),UPPER(TEXT(EDATE($D127,Milestones!$AA$191),"dd mmm yy"))&amp;" "&amp;Milestones!$AB$191&amp;" "&amp;IF(AND(Milestones!$AB$191="FT",Milestones!$AA$191=FT_Y5,EDATE($D127,Milestones!$AA$191)&lt;PolicyEff),1,Milestones!$AC$191)&amp;";  ","")&amp;IF(AND(EDATE($D127,Milestones!$AA$192)&lt;=AsOfDate,EDATE($D127,Milestones!$AA$192)&gt;=SchemeStart,IF($X127=0,$AD127,IF(AND($Z127&lt;&gt;"",EDATE($D127,Milestones!$AA$192)&gt;=$Z127),$AC127,IF(AND($Y127&lt;&gt;"",EDATE($D127,Milestones!$AA$192)&gt;=$Y127),$AB127,$AA127)))=Milestones!$AB$192),UPPER(TEXT(EDATE($D127,Milestones!$AA$192),"dd mmm yy"))&amp;" "&amp;Milestones!$AB$192&amp;" "&amp;IF(AND(Milestones!$AB$192="FT",Milestones!$AA$192=FT_Y5,EDATE($D127,Milestones!$AA$192)&lt;PolicyEff),1,Milestones!$AC$192)&amp;";  ","")&amp;IF(AND(EDATE($D127,Milestones!$AA$193)&lt;=AsOfDate,EDATE($D127,Milestones!$AA$193)&gt;=SchemeStart,IF($X127=0,$AD127,IF(AND($Z127&lt;&gt;"",EDATE($D127,Milestones!$AA$193)&gt;=$Z127),$AC127,IF(AND($Y127&lt;&gt;"",EDATE($D127,Milestones!$AA$193)&gt;=$Y127),$AB127,$AA127)))=Milestones!$AB$193),UPPER(TEXT(EDATE($D127,Milestones!$AA$193),"dd mmm yy"))&amp;" "&amp;Milestones!$AB$193&amp;" "&amp;IF(AND(Milestones!$AB$193="FT",Milestones!$AA$193=FT_Y5,EDATE($D127,Milestones!$AA$193)&lt;PolicyEff),1,Milestones!$AC$193)&amp;";  ","")&amp;IF(AND(EDATE($D127,Milestones!$AA$194)&lt;=AsOfDate,EDATE($D127,Milestones!$AA$194)&gt;=SchemeStart,IF($X127=0,$AD127,IF(AND($Z127&lt;&gt;"",EDATE($D127,Milestones!$AA$194)&gt;=$Z127),$AC127,IF(AND($Y127&lt;&gt;"",EDATE($D127,Milestones!$AA$194)&gt;=$Y127),$AB127,$AA127)))=Milestones!$AB$194),UPPER(TEXT(EDATE($D127,Milestones!$AA$194),"dd mmm yy"))&amp;" "&amp;Milestones!$AB$194&amp;" "&amp;IF(AND(Milestones!$AB$194="FT",Milestones!$AA$194=FT_Y5,EDATE($D127,Milestones!$AA$194)&lt;PolicyEff),1,Milestones!$AC$194)&amp;";  ","")&amp;IF(AND(EDATE($D127,Milestones!$AA$195)&lt;=AsOfDate,EDATE($D127,Milestones!$AA$195)&gt;=SchemeStart,IF($X127=0,$AD127,IF(AND($Z127&lt;&gt;"",EDATE($D127,Milestones!$AA$195)&gt;=$Z127),$AC127,IF(AND($Y127&lt;&gt;"",EDATE($D127,Milestones!$AA$195)&gt;=$Y127),$AB127,$AA127)))=Milestones!$AB$195),UPPER(TEXT(EDATE($D127,Milestones!$AA$195),"dd mmm yy"))&amp;" "&amp;Milestones!$AB$195&amp;" "&amp;IF(AND(Milestones!$AB$195="FT",Milestones!$AA$195=FT_Y5,EDATE($D127,Milestones!$AA$195)&lt;PolicyEff),1,Milestones!$AC$195)&amp;";  ","")&amp;IF(AND(EDATE($D127,Milestones!$AA$196)&lt;=AsOfDate,EDATE($D127,Milestones!$AA$196)&gt;=SchemeStart,IF($X127=0,$AD127,IF(AND($Z127&lt;&gt;"",EDATE($D127,Milestones!$AA$196)&gt;=$Z127),$AC127,IF(AND($Y127&lt;&gt;"",EDATE($D127,Milestones!$AA$196)&gt;=$Y127),$AB127,$AA127)))=Milestones!$AB$196),UPPER(TEXT(EDATE($D127,Milestones!$AA$196),"dd mmm yy"))&amp;" "&amp;Milestones!$AB$196&amp;" "&amp;IF(AND(Milestones!$AB$196="FT",Milestones!$AA$196=FT_Y5,EDATE($D127,Milestones!$AA$196)&lt;PolicyEff),1,Milestones!$AC$196)&amp;";  ","")&amp;IF(AND(EDATE($D127,Milestones!$AA$197)&lt;=AsOfDate,EDATE($D127,Milestones!$AA$197)&gt;=SchemeStart,IF($X127=0,$AD127,IF(AND($Z127&lt;&gt;"",EDATE($D127,Milestones!$AA$197)&gt;=$Z127),$AC127,IF(AND($Y127&lt;&gt;"",EDATE($D127,Milestones!$AA$197)&gt;=$Y127),$AB127,$AA127)))=Milestones!$AB$197),UPPER(TEXT(EDATE($D127,Milestones!$AA$197),"dd mmm yy"))&amp;" "&amp;Milestones!$AB$197&amp;" "&amp;IF(AND(Milestones!$AB$197="FT",Milestones!$AA$197=FT_Y5,EDATE($D127,Milestones!$AA$197)&lt;PolicyEff),1,Milestones!$AC$197)&amp;";  ","")&amp;IF(AND(EDATE($D127,Milestones!$AA$198)&lt;=AsOfDate,EDATE($D127,Milestones!$AA$198)&gt;=SchemeStart,IF($X127=0,$AD127,IF(AND($Z127&lt;&gt;"",EDATE($D127,Milestones!$AA$198)&gt;=$Z127),$AC127,IF(AND($Y127&lt;&gt;"",EDATE($D127,Milestones!$AA$198)&gt;=$Y127),$AB127,$AA127)))=Milestones!$AB$198),UPPER(TEXT(EDATE($D127,Milestones!$AA$198),"dd mmm yy"))&amp;" "&amp;Milestones!$AB$198&amp;" "&amp;IF(AND(Milestones!$AB$198="FT",Milestones!$AA$198=FT_Y5,EDATE($D127,Milestones!$AA$198)&lt;PolicyEff),1,Milestones!$AC$198)&amp;";  ","")&amp;IF(AND(EDATE($D127,Milestones!$AA$199)&lt;=AsOfDate,EDATE($D127,Milestones!$AA$199)&gt;=SchemeStart,IF($X127=0,$AD127,IF(AND($Z127&lt;&gt;"",EDATE($D127,Milestones!$AA$199)&gt;=$Z127),$AC127,IF(AND($Y127&lt;&gt;"",EDATE($D127,Milestones!$AA$199)&gt;=$Y127),$AB127,$AA127)))=Milestones!$AB$199),UPPER(TEXT(EDATE($D127,Milestones!$AA$199),"dd mmm yy"))&amp;" "&amp;Milestones!$AB$199&amp;" "&amp;IF(AND(Milestones!$AB$199="FT",Milestones!$AA$199=FT_Y5,EDATE($D127,Milestones!$AA$199)&lt;PolicyEff),1,Milestones!$AC$199)&amp;";  ",""))</f>
        <v/>
      </c>
      <c r="X127" s="0" t="str">
        <f aca="false">IF(Staff!$A127="","",Staff!$AM127)</f>
        <v/>
      </c>
      <c r="Y127" s="0" t="str">
        <f aca="false">IF(Staff!$A127="","",Staff!$AO127)</f>
        <v/>
      </c>
      <c r="Z127" s="0" t="str">
        <f aca="false">IF(Staff!$A127="","",Staff!$AP127)</f>
        <v/>
      </c>
      <c r="AA127" s="0" t="str">
        <f aca="false">IF(Staff!$A127="","",Staff!$AT127)</f>
        <v/>
      </c>
      <c r="AB127" s="0" t="str">
        <f aca="false">IF(Staff!$A127="","",Staff!$AU127)</f>
        <v/>
      </c>
      <c r="AC127" s="0" t="str">
        <f aca="false">IF(Staff!$A127="","",Staff!$AV127)</f>
        <v/>
      </c>
      <c r="AD127" s="0" t="str">
        <f aca="false">IF(Staff!$A127="","",Staff!$AW127)</f>
        <v/>
      </c>
    </row>
    <row r="128" customFormat="false" ht="15" hidden="false" customHeight="false" outlineLevel="0" collapsed="false">
      <c r="A128" s="16" t="str">
        <f aca="false">IF(Staff!$A128="","",Staff!$A128)</f>
        <v/>
      </c>
      <c r="B128" s="16" t="str">
        <f aca="false">IF(Staff!$A128="","",Staff!$B128)</f>
        <v/>
      </c>
      <c r="C128" s="16" t="str">
        <f aca="false">IF(Staff!$A128="","",Staff!$C128)</f>
        <v/>
      </c>
      <c r="D128" s="14" t="str">
        <f aca="false">IF(Staff!$A128="","",Staff!$AL128)</f>
        <v/>
      </c>
      <c r="E128" s="16" t="str">
        <f aca="false">IF(Staff!$A128="","",Staff!$O128)</f>
        <v/>
      </c>
      <c r="F128" s="16" t="str">
        <f aca="false">IF(E128="","",E128*HoursPerDay)</f>
        <v/>
      </c>
      <c r="G128" s="16" t="str">
        <f aca="false">IF(Staff!$A128="","",Staff!$AE128)</f>
        <v/>
      </c>
      <c r="H128" s="28" t="str">
        <f aca="false">IF($A128="","",I128&amp;J128&amp;K128&amp;L128&amp;M128&amp;N128&amp;O128&amp;P128&amp;Q128&amp;R128&amp;S128&amp;T128&amp;U128&amp;V128&amp;W128)</f>
        <v/>
      </c>
      <c r="I128" s="0" t="str">
        <f aca="false">IF(OR($A128="",$D128=""),"",IF(AND(EDATE($D128,Milestones!$AA$20)&lt;=AsOfDate,EDATE($D128,Milestones!$AA$20)&gt;=SchemeStart,IF($X128=0,$AD128,IF(AND($Z128&lt;&gt;"",EDATE($D128,Milestones!$AA$20)&gt;=$Z128),$AC128,IF(AND($Y128&lt;&gt;"",EDATE($D128,Milestones!$AA$20)&gt;=$Y128),$AB128,$AA128)))=Milestones!$AB$20),UPPER(TEXT(EDATE($D128,Milestones!$AA$20),"dd mmm yy"))&amp;" "&amp;Milestones!$AB$20&amp;" "&amp;IF(AND(Milestones!$AB$20="FT",Milestones!$AA$20=FT_Y5,EDATE($D128,Milestones!$AA$20)&lt;PolicyEff),1,Milestones!$AC$20)&amp;";  ","")&amp;IF(AND(EDATE($D128,Milestones!$AA$21)&lt;=AsOfDate,EDATE($D128,Milestones!$AA$21)&gt;=SchemeStart,IF($X128=0,$AD128,IF(AND($Z128&lt;&gt;"",EDATE($D128,Milestones!$AA$21)&gt;=$Z128),$AC128,IF(AND($Y128&lt;&gt;"",EDATE($D128,Milestones!$AA$21)&gt;=$Y128),$AB128,$AA128)))=Milestones!$AB$21),UPPER(TEXT(EDATE($D128,Milestones!$AA$21),"dd mmm yy"))&amp;" "&amp;Milestones!$AB$21&amp;" "&amp;IF(AND(Milestones!$AB$21="FT",Milestones!$AA$21=FT_Y5,EDATE($D128,Milestones!$AA$21)&lt;PolicyEff),1,Milestones!$AC$21)&amp;";  ","")&amp;IF(AND(EDATE($D128,Milestones!$AA$22)&lt;=AsOfDate,EDATE($D128,Milestones!$AA$22)&gt;=SchemeStart,IF($X128=0,$AD128,IF(AND($Z128&lt;&gt;"",EDATE($D128,Milestones!$AA$22)&gt;=$Z128),$AC128,IF(AND($Y128&lt;&gt;"",EDATE($D128,Milestones!$AA$22)&gt;=$Y128),$AB128,$AA128)))=Milestones!$AB$22),UPPER(TEXT(EDATE($D128,Milestones!$AA$22),"dd mmm yy"))&amp;" "&amp;Milestones!$AB$22&amp;" "&amp;IF(AND(Milestones!$AB$22="FT",Milestones!$AA$22=FT_Y5,EDATE($D128,Milestones!$AA$22)&lt;PolicyEff),1,Milestones!$AC$22)&amp;";  ","")&amp;IF(AND(EDATE($D128,Milestones!$AA$23)&lt;=AsOfDate,EDATE($D128,Milestones!$AA$23)&gt;=SchemeStart,IF($X128=0,$AD128,IF(AND($Z128&lt;&gt;"",EDATE($D128,Milestones!$AA$23)&gt;=$Z128),$AC128,IF(AND($Y128&lt;&gt;"",EDATE($D128,Milestones!$AA$23)&gt;=$Y128),$AB128,$AA128)))=Milestones!$AB$23),UPPER(TEXT(EDATE($D128,Milestones!$AA$23),"dd mmm yy"))&amp;" "&amp;Milestones!$AB$23&amp;" "&amp;IF(AND(Milestones!$AB$23="FT",Milestones!$AA$23=FT_Y5,EDATE($D128,Milestones!$AA$23)&lt;PolicyEff),1,Milestones!$AC$23)&amp;";  ","")&amp;IF(AND(EDATE($D128,Milestones!$AA$24)&lt;=AsOfDate,EDATE($D128,Milestones!$AA$24)&gt;=SchemeStart,IF($X128=0,$AD128,IF(AND($Z128&lt;&gt;"",EDATE($D128,Milestones!$AA$24)&gt;=$Z128),$AC128,IF(AND($Y128&lt;&gt;"",EDATE($D128,Milestones!$AA$24)&gt;=$Y128),$AB128,$AA128)))=Milestones!$AB$24),UPPER(TEXT(EDATE($D128,Milestones!$AA$24),"dd mmm yy"))&amp;" "&amp;Milestones!$AB$24&amp;" "&amp;IF(AND(Milestones!$AB$24="FT",Milestones!$AA$24=FT_Y5,EDATE($D128,Milestones!$AA$24)&lt;PolicyEff),1,Milestones!$AC$24)&amp;";  ","")&amp;IF(AND(EDATE($D128,Milestones!$AA$25)&lt;=AsOfDate,EDATE($D128,Milestones!$AA$25)&gt;=SchemeStart,IF($X128=0,$AD128,IF(AND($Z128&lt;&gt;"",EDATE($D128,Milestones!$AA$25)&gt;=$Z128),$AC128,IF(AND($Y128&lt;&gt;"",EDATE($D128,Milestones!$AA$25)&gt;=$Y128),$AB128,$AA128)))=Milestones!$AB$25),UPPER(TEXT(EDATE($D128,Milestones!$AA$25),"dd mmm yy"))&amp;" "&amp;Milestones!$AB$25&amp;" "&amp;IF(AND(Milestones!$AB$25="FT",Milestones!$AA$25=FT_Y5,EDATE($D128,Milestones!$AA$25)&lt;PolicyEff),1,Milestones!$AC$25)&amp;";  ","")&amp;IF(AND(EDATE($D128,Milestones!$AA$26)&lt;=AsOfDate,EDATE($D128,Milestones!$AA$26)&gt;=SchemeStart,IF($X128=0,$AD128,IF(AND($Z128&lt;&gt;"",EDATE($D128,Milestones!$AA$26)&gt;=$Z128),$AC128,IF(AND($Y128&lt;&gt;"",EDATE($D128,Milestones!$AA$26)&gt;=$Y128),$AB128,$AA128)))=Milestones!$AB$26),UPPER(TEXT(EDATE($D128,Milestones!$AA$26),"dd mmm yy"))&amp;" "&amp;Milestones!$AB$26&amp;" "&amp;IF(AND(Milestones!$AB$26="FT",Milestones!$AA$26=FT_Y5,EDATE($D128,Milestones!$AA$26)&lt;PolicyEff),1,Milestones!$AC$26)&amp;";  ","")&amp;IF(AND(EDATE($D128,Milestones!$AA$27)&lt;=AsOfDate,EDATE($D128,Milestones!$AA$27)&gt;=SchemeStart,IF($X128=0,$AD128,IF(AND($Z128&lt;&gt;"",EDATE($D128,Milestones!$AA$27)&gt;=$Z128),$AC128,IF(AND($Y128&lt;&gt;"",EDATE($D128,Milestones!$AA$27)&gt;=$Y128),$AB128,$AA128)))=Milestones!$AB$27),UPPER(TEXT(EDATE($D128,Milestones!$AA$27),"dd mmm yy"))&amp;" "&amp;Milestones!$AB$27&amp;" "&amp;IF(AND(Milestones!$AB$27="FT",Milestones!$AA$27=FT_Y5,EDATE($D128,Milestones!$AA$27)&lt;PolicyEff),1,Milestones!$AC$27)&amp;";  ","")&amp;IF(AND(EDATE($D128,Milestones!$AA$28)&lt;=AsOfDate,EDATE($D128,Milestones!$AA$28)&gt;=SchemeStart,IF($X128=0,$AD128,IF(AND($Z128&lt;&gt;"",EDATE($D128,Milestones!$AA$28)&gt;=$Z128),$AC128,IF(AND($Y128&lt;&gt;"",EDATE($D128,Milestones!$AA$28)&gt;=$Y128),$AB128,$AA128)))=Milestones!$AB$28),UPPER(TEXT(EDATE($D128,Milestones!$AA$28),"dd mmm yy"))&amp;" "&amp;Milestones!$AB$28&amp;" "&amp;IF(AND(Milestones!$AB$28="FT",Milestones!$AA$28=FT_Y5,EDATE($D128,Milestones!$AA$28)&lt;PolicyEff),1,Milestones!$AC$28)&amp;";  ","")&amp;IF(AND(EDATE($D128,Milestones!$AA$29)&lt;=AsOfDate,EDATE($D128,Milestones!$AA$29)&gt;=SchemeStart,IF($X128=0,$AD128,IF(AND($Z128&lt;&gt;"",EDATE($D128,Milestones!$AA$29)&gt;=$Z128),$AC128,IF(AND($Y128&lt;&gt;"",EDATE($D128,Milestones!$AA$29)&gt;=$Y128),$AB128,$AA128)))=Milestones!$AB$29),UPPER(TEXT(EDATE($D128,Milestones!$AA$29),"dd mmm yy"))&amp;" "&amp;Milestones!$AB$29&amp;" "&amp;IF(AND(Milestones!$AB$29="FT",Milestones!$AA$29=FT_Y5,EDATE($D128,Milestones!$AA$29)&lt;PolicyEff),1,Milestones!$AC$29)&amp;";  ","")&amp;IF(AND(EDATE($D128,Milestones!$AA$30)&lt;=AsOfDate,EDATE($D128,Milestones!$AA$30)&gt;=SchemeStart,IF($X128=0,$AD128,IF(AND($Z128&lt;&gt;"",EDATE($D128,Milestones!$AA$30)&gt;=$Z128),$AC128,IF(AND($Y128&lt;&gt;"",EDATE($D128,Milestones!$AA$30)&gt;=$Y128),$AB128,$AA128)))=Milestones!$AB$30),UPPER(TEXT(EDATE($D128,Milestones!$AA$30),"dd mmm yy"))&amp;" "&amp;Milestones!$AB$30&amp;" "&amp;IF(AND(Milestones!$AB$30="FT",Milestones!$AA$30=FT_Y5,EDATE($D128,Milestones!$AA$30)&lt;PolicyEff),1,Milestones!$AC$30)&amp;";  ","")&amp;IF(AND(EDATE($D128,Milestones!$AA$31)&lt;=AsOfDate,EDATE($D128,Milestones!$AA$31)&gt;=SchemeStart,IF($X128=0,$AD128,IF(AND($Z128&lt;&gt;"",EDATE($D128,Milestones!$AA$31)&gt;=$Z128),$AC128,IF(AND($Y128&lt;&gt;"",EDATE($D128,Milestones!$AA$31)&gt;=$Y128),$AB128,$AA128)))=Milestones!$AB$31),UPPER(TEXT(EDATE($D128,Milestones!$AA$31),"dd mmm yy"))&amp;" "&amp;Milestones!$AB$31&amp;" "&amp;IF(AND(Milestones!$AB$31="FT",Milestones!$AA$31=FT_Y5,EDATE($D128,Milestones!$AA$31)&lt;PolicyEff),1,Milestones!$AC$31)&amp;";  ",""))</f>
        <v/>
      </c>
      <c r="J128" s="0" t="str">
        <f aca="false">IF(OR($A128="",$D128=""),"",IF(AND(EDATE($D128,Milestones!$AA$32)&lt;=AsOfDate,EDATE($D128,Milestones!$AA$32)&gt;=SchemeStart,IF($X128=0,$AD128,IF(AND($Z128&lt;&gt;"",EDATE($D128,Milestones!$AA$32)&gt;=$Z128),$AC128,IF(AND($Y128&lt;&gt;"",EDATE($D128,Milestones!$AA$32)&gt;=$Y128),$AB128,$AA128)))=Milestones!$AB$32),UPPER(TEXT(EDATE($D128,Milestones!$AA$32),"dd mmm yy"))&amp;" "&amp;Milestones!$AB$32&amp;" "&amp;IF(AND(Milestones!$AB$32="FT",Milestones!$AA$32=FT_Y5,EDATE($D128,Milestones!$AA$32)&lt;PolicyEff),1,Milestones!$AC$32)&amp;";  ","")&amp;IF(AND(EDATE($D128,Milestones!$AA$33)&lt;=AsOfDate,EDATE($D128,Milestones!$AA$33)&gt;=SchemeStart,IF($X128=0,$AD128,IF(AND($Z128&lt;&gt;"",EDATE($D128,Milestones!$AA$33)&gt;=$Z128),$AC128,IF(AND($Y128&lt;&gt;"",EDATE($D128,Milestones!$AA$33)&gt;=$Y128),$AB128,$AA128)))=Milestones!$AB$33),UPPER(TEXT(EDATE($D128,Milestones!$AA$33),"dd mmm yy"))&amp;" "&amp;Milestones!$AB$33&amp;" "&amp;IF(AND(Milestones!$AB$33="FT",Milestones!$AA$33=FT_Y5,EDATE($D128,Milestones!$AA$33)&lt;PolicyEff),1,Milestones!$AC$33)&amp;";  ","")&amp;IF(AND(EDATE($D128,Milestones!$AA$34)&lt;=AsOfDate,EDATE($D128,Milestones!$AA$34)&gt;=SchemeStart,IF($X128=0,$AD128,IF(AND($Z128&lt;&gt;"",EDATE($D128,Milestones!$AA$34)&gt;=$Z128),$AC128,IF(AND($Y128&lt;&gt;"",EDATE($D128,Milestones!$AA$34)&gt;=$Y128),$AB128,$AA128)))=Milestones!$AB$34),UPPER(TEXT(EDATE($D128,Milestones!$AA$34),"dd mmm yy"))&amp;" "&amp;Milestones!$AB$34&amp;" "&amp;IF(AND(Milestones!$AB$34="FT",Milestones!$AA$34=FT_Y5,EDATE($D128,Milestones!$AA$34)&lt;PolicyEff),1,Milestones!$AC$34)&amp;";  ","")&amp;IF(AND(EDATE($D128,Milestones!$AA$35)&lt;=AsOfDate,EDATE($D128,Milestones!$AA$35)&gt;=SchemeStart,IF($X128=0,$AD128,IF(AND($Z128&lt;&gt;"",EDATE($D128,Milestones!$AA$35)&gt;=$Z128),$AC128,IF(AND($Y128&lt;&gt;"",EDATE($D128,Milestones!$AA$35)&gt;=$Y128),$AB128,$AA128)))=Milestones!$AB$35),UPPER(TEXT(EDATE($D128,Milestones!$AA$35),"dd mmm yy"))&amp;" "&amp;Milestones!$AB$35&amp;" "&amp;IF(AND(Milestones!$AB$35="FT",Milestones!$AA$35=FT_Y5,EDATE($D128,Milestones!$AA$35)&lt;PolicyEff),1,Milestones!$AC$35)&amp;";  ","")&amp;IF(AND(EDATE($D128,Milestones!$AA$36)&lt;=AsOfDate,EDATE($D128,Milestones!$AA$36)&gt;=SchemeStart,IF($X128=0,$AD128,IF(AND($Z128&lt;&gt;"",EDATE($D128,Milestones!$AA$36)&gt;=$Z128),$AC128,IF(AND($Y128&lt;&gt;"",EDATE($D128,Milestones!$AA$36)&gt;=$Y128),$AB128,$AA128)))=Milestones!$AB$36),UPPER(TEXT(EDATE($D128,Milestones!$AA$36),"dd mmm yy"))&amp;" "&amp;Milestones!$AB$36&amp;" "&amp;IF(AND(Milestones!$AB$36="FT",Milestones!$AA$36=FT_Y5,EDATE($D128,Milestones!$AA$36)&lt;PolicyEff),1,Milestones!$AC$36)&amp;";  ","")&amp;IF(AND(EDATE($D128,Milestones!$AA$37)&lt;=AsOfDate,EDATE($D128,Milestones!$AA$37)&gt;=SchemeStart,IF($X128=0,$AD128,IF(AND($Z128&lt;&gt;"",EDATE($D128,Milestones!$AA$37)&gt;=$Z128),$AC128,IF(AND($Y128&lt;&gt;"",EDATE($D128,Milestones!$AA$37)&gt;=$Y128),$AB128,$AA128)))=Milestones!$AB$37),UPPER(TEXT(EDATE($D128,Milestones!$AA$37),"dd mmm yy"))&amp;" "&amp;Milestones!$AB$37&amp;" "&amp;IF(AND(Milestones!$AB$37="FT",Milestones!$AA$37=FT_Y5,EDATE($D128,Milestones!$AA$37)&lt;PolicyEff),1,Milestones!$AC$37)&amp;";  ","")&amp;IF(AND(EDATE($D128,Milestones!$AA$38)&lt;=AsOfDate,EDATE($D128,Milestones!$AA$38)&gt;=SchemeStart,IF($X128=0,$AD128,IF(AND($Z128&lt;&gt;"",EDATE($D128,Milestones!$AA$38)&gt;=$Z128),$AC128,IF(AND($Y128&lt;&gt;"",EDATE($D128,Milestones!$AA$38)&gt;=$Y128),$AB128,$AA128)))=Milestones!$AB$38),UPPER(TEXT(EDATE($D128,Milestones!$AA$38),"dd mmm yy"))&amp;" "&amp;Milestones!$AB$38&amp;" "&amp;IF(AND(Milestones!$AB$38="FT",Milestones!$AA$38=FT_Y5,EDATE($D128,Milestones!$AA$38)&lt;PolicyEff),1,Milestones!$AC$38)&amp;";  ","")&amp;IF(AND(EDATE($D128,Milestones!$AA$39)&lt;=AsOfDate,EDATE($D128,Milestones!$AA$39)&gt;=SchemeStart,IF($X128=0,$AD128,IF(AND($Z128&lt;&gt;"",EDATE($D128,Milestones!$AA$39)&gt;=$Z128),$AC128,IF(AND($Y128&lt;&gt;"",EDATE($D128,Milestones!$AA$39)&gt;=$Y128),$AB128,$AA128)))=Milestones!$AB$39),UPPER(TEXT(EDATE($D128,Milestones!$AA$39),"dd mmm yy"))&amp;" "&amp;Milestones!$AB$39&amp;" "&amp;IF(AND(Milestones!$AB$39="FT",Milestones!$AA$39=FT_Y5,EDATE($D128,Milestones!$AA$39)&lt;PolicyEff),1,Milestones!$AC$39)&amp;";  ","")&amp;IF(AND(EDATE($D128,Milestones!$AA$40)&lt;=AsOfDate,EDATE($D128,Milestones!$AA$40)&gt;=SchemeStart,IF($X128=0,$AD128,IF(AND($Z128&lt;&gt;"",EDATE($D128,Milestones!$AA$40)&gt;=$Z128),$AC128,IF(AND($Y128&lt;&gt;"",EDATE($D128,Milestones!$AA$40)&gt;=$Y128),$AB128,$AA128)))=Milestones!$AB$40),UPPER(TEXT(EDATE($D128,Milestones!$AA$40),"dd mmm yy"))&amp;" "&amp;Milestones!$AB$40&amp;" "&amp;IF(AND(Milestones!$AB$40="FT",Milestones!$AA$40=FT_Y5,EDATE($D128,Milestones!$AA$40)&lt;PolicyEff),1,Milestones!$AC$40)&amp;";  ","")&amp;IF(AND(EDATE($D128,Milestones!$AA$41)&lt;=AsOfDate,EDATE($D128,Milestones!$AA$41)&gt;=SchemeStart,IF($X128=0,$AD128,IF(AND($Z128&lt;&gt;"",EDATE($D128,Milestones!$AA$41)&gt;=$Z128),$AC128,IF(AND($Y128&lt;&gt;"",EDATE($D128,Milestones!$AA$41)&gt;=$Y128),$AB128,$AA128)))=Milestones!$AB$41),UPPER(TEXT(EDATE($D128,Milestones!$AA$41),"dd mmm yy"))&amp;" "&amp;Milestones!$AB$41&amp;" "&amp;IF(AND(Milestones!$AB$41="FT",Milestones!$AA$41=FT_Y5,EDATE($D128,Milestones!$AA$41)&lt;PolicyEff),1,Milestones!$AC$41)&amp;";  ","")&amp;IF(AND(EDATE($D128,Milestones!$AA$42)&lt;=AsOfDate,EDATE($D128,Milestones!$AA$42)&gt;=SchemeStart,IF($X128=0,$AD128,IF(AND($Z128&lt;&gt;"",EDATE($D128,Milestones!$AA$42)&gt;=$Z128),$AC128,IF(AND($Y128&lt;&gt;"",EDATE($D128,Milestones!$AA$42)&gt;=$Y128),$AB128,$AA128)))=Milestones!$AB$42),UPPER(TEXT(EDATE($D128,Milestones!$AA$42),"dd mmm yy"))&amp;" "&amp;Milestones!$AB$42&amp;" "&amp;IF(AND(Milestones!$AB$42="FT",Milestones!$AA$42=FT_Y5,EDATE($D128,Milestones!$AA$42)&lt;PolicyEff),1,Milestones!$AC$42)&amp;";  ","")&amp;IF(AND(EDATE($D128,Milestones!$AA$43)&lt;=AsOfDate,EDATE($D128,Milestones!$AA$43)&gt;=SchemeStart,IF($X128=0,$AD128,IF(AND($Z128&lt;&gt;"",EDATE($D128,Milestones!$AA$43)&gt;=$Z128),$AC128,IF(AND($Y128&lt;&gt;"",EDATE($D128,Milestones!$AA$43)&gt;=$Y128),$AB128,$AA128)))=Milestones!$AB$43),UPPER(TEXT(EDATE($D128,Milestones!$AA$43),"dd mmm yy"))&amp;" "&amp;Milestones!$AB$43&amp;" "&amp;IF(AND(Milestones!$AB$43="FT",Milestones!$AA$43=FT_Y5,EDATE($D128,Milestones!$AA$43)&lt;PolicyEff),1,Milestones!$AC$43)&amp;";  ",""))</f>
        <v/>
      </c>
      <c r="K128" s="0" t="str">
        <f aca="false">IF(OR($A128="",$D128=""),"",IF(AND(EDATE($D128,Milestones!$AA$44)&lt;=AsOfDate,EDATE($D128,Milestones!$AA$44)&gt;=SchemeStart,IF($X128=0,$AD128,IF(AND($Z128&lt;&gt;"",EDATE($D128,Milestones!$AA$44)&gt;=$Z128),$AC128,IF(AND($Y128&lt;&gt;"",EDATE($D128,Milestones!$AA$44)&gt;=$Y128),$AB128,$AA128)))=Milestones!$AB$44),UPPER(TEXT(EDATE($D128,Milestones!$AA$44),"dd mmm yy"))&amp;" "&amp;Milestones!$AB$44&amp;" "&amp;IF(AND(Milestones!$AB$44="FT",Milestones!$AA$44=FT_Y5,EDATE($D128,Milestones!$AA$44)&lt;PolicyEff),1,Milestones!$AC$44)&amp;";  ","")&amp;IF(AND(EDATE($D128,Milestones!$AA$45)&lt;=AsOfDate,EDATE($D128,Milestones!$AA$45)&gt;=SchemeStart,IF($X128=0,$AD128,IF(AND($Z128&lt;&gt;"",EDATE($D128,Milestones!$AA$45)&gt;=$Z128),$AC128,IF(AND($Y128&lt;&gt;"",EDATE($D128,Milestones!$AA$45)&gt;=$Y128),$AB128,$AA128)))=Milestones!$AB$45),UPPER(TEXT(EDATE($D128,Milestones!$AA$45),"dd mmm yy"))&amp;" "&amp;Milestones!$AB$45&amp;" "&amp;IF(AND(Milestones!$AB$45="FT",Milestones!$AA$45=FT_Y5,EDATE($D128,Milestones!$AA$45)&lt;PolicyEff),1,Milestones!$AC$45)&amp;";  ","")&amp;IF(AND(EDATE($D128,Milestones!$AA$46)&lt;=AsOfDate,EDATE($D128,Milestones!$AA$46)&gt;=SchemeStart,IF($X128=0,$AD128,IF(AND($Z128&lt;&gt;"",EDATE($D128,Milestones!$AA$46)&gt;=$Z128),$AC128,IF(AND($Y128&lt;&gt;"",EDATE($D128,Milestones!$AA$46)&gt;=$Y128),$AB128,$AA128)))=Milestones!$AB$46),UPPER(TEXT(EDATE($D128,Milestones!$AA$46),"dd mmm yy"))&amp;" "&amp;Milestones!$AB$46&amp;" "&amp;IF(AND(Milestones!$AB$46="FT",Milestones!$AA$46=FT_Y5,EDATE($D128,Milestones!$AA$46)&lt;PolicyEff),1,Milestones!$AC$46)&amp;";  ","")&amp;IF(AND(EDATE($D128,Milestones!$AA$47)&lt;=AsOfDate,EDATE($D128,Milestones!$AA$47)&gt;=SchemeStart,IF($X128=0,$AD128,IF(AND($Z128&lt;&gt;"",EDATE($D128,Milestones!$AA$47)&gt;=$Z128),$AC128,IF(AND($Y128&lt;&gt;"",EDATE($D128,Milestones!$AA$47)&gt;=$Y128),$AB128,$AA128)))=Milestones!$AB$47),UPPER(TEXT(EDATE($D128,Milestones!$AA$47),"dd mmm yy"))&amp;" "&amp;Milestones!$AB$47&amp;" "&amp;IF(AND(Milestones!$AB$47="FT",Milestones!$AA$47=FT_Y5,EDATE($D128,Milestones!$AA$47)&lt;PolicyEff),1,Milestones!$AC$47)&amp;";  ","")&amp;IF(AND(EDATE($D128,Milestones!$AA$48)&lt;=AsOfDate,EDATE($D128,Milestones!$AA$48)&gt;=SchemeStart,IF($X128=0,$AD128,IF(AND($Z128&lt;&gt;"",EDATE($D128,Milestones!$AA$48)&gt;=$Z128),$AC128,IF(AND($Y128&lt;&gt;"",EDATE($D128,Milestones!$AA$48)&gt;=$Y128),$AB128,$AA128)))=Milestones!$AB$48),UPPER(TEXT(EDATE($D128,Milestones!$AA$48),"dd mmm yy"))&amp;" "&amp;Milestones!$AB$48&amp;" "&amp;IF(AND(Milestones!$AB$48="FT",Milestones!$AA$48=FT_Y5,EDATE($D128,Milestones!$AA$48)&lt;PolicyEff),1,Milestones!$AC$48)&amp;";  ","")&amp;IF(AND(EDATE($D128,Milestones!$AA$49)&lt;=AsOfDate,EDATE($D128,Milestones!$AA$49)&gt;=SchemeStart,IF($X128=0,$AD128,IF(AND($Z128&lt;&gt;"",EDATE($D128,Milestones!$AA$49)&gt;=$Z128),$AC128,IF(AND($Y128&lt;&gt;"",EDATE($D128,Milestones!$AA$49)&gt;=$Y128),$AB128,$AA128)))=Milestones!$AB$49),UPPER(TEXT(EDATE($D128,Milestones!$AA$49),"dd mmm yy"))&amp;" "&amp;Milestones!$AB$49&amp;" "&amp;IF(AND(Milestones!$AB$49="FT",Milestones!$AA$49=FT_Y5,EDATE($D128,Milestones!$AA$49)&lt;PolicyEff),1,Milestones!$AC$49)&amp;";  ","")&amp;IF(AND(EDATE($D128,Milestones!$AA$50)&lt;=AsOfDate,EDATE($D128,Milestones!$AA$50)&gt;=SchemeStart,IF($X128=0,$AD128,IF(AND($Z128&lt;&gt;"",EDATE($D128,Milestones!$AA$50)&gt;=$Z128),$AC128,IF(AND($Y128&lt;&gt;"",EDATE($D128,Milestones!$AA$50)&gt;=$Y128),$AB128,$AA128)))=Milestones!$AB$50),UPPER(TEXT(EDATE($D128,Milestones!$AA$50),"dd mmm yy"))&amp;" "&amp;Milestones!$AB$50&amp;" "&amp;IF(AND(Milestones!$AB$50="FT",Milestones!$AA$50=FT_Y5,EDATE($D128,Milestones!$AA$50)&lt;PolicyEff),1,Milestones!$AC$50)&amp;";  ","")&amp;IF(AND(EDATE($D128,Milestones!$AA$51)&lt;=AsOfDate,EDATE($D128,Milestones!$AA$51)&gt;=SchemeStart,IF($X128=0,$AD128,IF(AND($Z128&lt;&gt;"",EDATE($D128,Milestones!$AA$51)&gt;=$Z128),$AC128,IF(AND($Y128&lt;&gt;"",EDATE($D128,Milestones!$AA$51)&gt;=$Y128),$AB128,$AA128)))=Milestones!$AB$51),UPPER(TEXT(EDATE($D128,Milestones!$AA$51),"dd mmm yy"))&amp;" "&amp;Milestones!$AB$51&amp;" "&amp;IF(AND(Milestones!$AB$51="FT",Milestones!$AA$51=FT_Y5,EDATE($D128,Milestones!$AA$51)&lt;PolicyEff),1,Milestones!$AC$51)&amp;";  ","")&amp;IF(AND(EDATE($D128,Milestones!$AA$52)&lt;=AsOfDate,EDATE($D128,Milestones!$AA$52)&gt;=SchemeStart,IF($X128=0,$AD128,IF(AND($Z128&lt;&gt;"",EDATE($D128,Milestones!$AA$52)&gt;=$Z128),$AC128,IF(AND($Y128&lt;&gt;"",EDATE($D128,Milestones!$AA$52)&gt;=$Y128),$AB128,$AA128)))=Milestones!$AB$52),UPPER(TEXT(EDATE($D128,Milestones!$AA$52),"dd mmm yy"))&amp;" "&amp;Milestones!$AB$52&amp;" "&amp;IF(AND(Milestones!$AB$52="FT",Milestones!$AA$52=FT_Y5,EDATE($D128,Milestones!$AA$52)&lt;PolicyEff),1,Milestones!$AC$52)&amp;";  ","")&amp;IF(AND(EDATE($D128,Milestones!$AA$53)&lt;=AsOfDate,EDATE($D128,Milestones!$AA$53)&gt;=SchemeStart,IF($X128=0,$AD128,IF(AND($Z128&lt;&gt;"",EDATE($D128,Milestones!$AA$53)&gt;=$Z128),$AC128,IF(AND($Y128&lt;&gt;"",EDATE($D128,Milestones!$AA$53)&gt;=$Y128),$AB128,$AA128)))=Milestones!$AB$53),UPPER(TEXT(EDATE($D128,Milestones!$AA$53),"dd mmm yy"))&amp;" "&amp;Milestones!$AB$53&amp;" "&amp;IF(AND(Milestones!$AB$53="FT",Milestones!$AA$53=FT_Y5,EDATE($D128,Milestones!$AA$53)&lt;PolicyEff),1,Milestones!$AC$53)&amp;";  ","")&amp;IF(AND(EDATE($D128,Milestones!$AA$54)&lt;=AsOfDate,EDATE($D128,Milestones!$AA$54)&gt;=SchemeStart,IF($X128=0,$AD128,IF(AND($Z128&lt;&gt;"",EDATE($D128,Milestones!$AA$54)&gt;=$Z128),$AC128,IF(AND($Y128&lt;&gt;"",EDATE($D128,Milestones!$AA$54)&gt;=$Y128),$AB128,$AA128)))=Milestones!$AB$54),UPPER(TEXT(EDATE($D128,Milestones!$AA$54),"dd mmm yy"))&amp;" "&amp;Milestones!$AB$54&amp;" "&amp;IF(AND(Milestones!$AB$54="FT",Milestones!$AA$54=FT_Y5,EDATE($D128,Milestones!$AA$54)&lt;PolicyEff),1,Milestones!$AC$54)&amp;";  ","")&amp;IF(AND(EDATE($D128,Milestones!$AA$55)&lt;=AsOfDate,EDATE($D128,Milestones!$AA$55)&gt;=SchemeStart,IF($X128=0,$AD128,IF(AND($Z128&lt;&gt;"",EDATE($D128,Milestones!$AA$55)&gt;=$Z128),$AC128,IF(AND($Y128&lt;&gt;"",EDATE($D128,Milestones!$AA$55)&gt;=$Y128),$AB128,$AA128)))=Milestones!$AB$55),UPPER(TEXT(EDATE($D128,Milestones!$AA$55),"dd mmm yy"))&amp;" "&amp;Milestones!$AB$55&amp;" "&amp;IF(AND(Milestones!$AB$55="FT",Milestones!$AA$55=FT_Y5,EDATE($D128,Milestones!$AA$55)&lt;PolicyEff),1,Milestones!$AC$55)&amp;";  ",""))</f>
        <v/>
      </c>
      <c r="L128" s="0" t="str">
        <f aca="false">IF(OR($A128="",$D128=""),"",IF(AND(EDATE($D128,Milestones!$AA$56)&lt;=AsOfDate,EDATE($D128,Milestones!$AA$56)&gt;=SchemeStart,IF($X128=0,$AD128,IF(AND($Z128&lt;&gt;"",EDATE($D128,Milestones!$AA$56)&gt;=$Z128),$AC128,IF(AND($Y128&lt;&gt;"",EDATE($D128,Milestones!$AA$56)&gt;=$Y128),$AB128,$AA128)))=Milestones!$AB$56),UPPER(TEXT(EDATE($D128,Milestones!$AA$56),"dd mmm yy"))&amp;" "&amp;Milestones!$AB$56&amp;" "&amp;IF(AND(Milestones!$AB$56="FT",Milestones!$AA$56=FT_Y5,EDATE($D128,Milestones!$AA$56)&lt;PolicyEff),1,Milestones!$AC$56)&amp;";  ","")&amp;IF(AND(EDATE($D128,Milestones!$AA$57)&lt;=AsOfDate,EDATE($D128,Milestones!$AA$57)&gt;=SchemeStart,IF($X128=0,$AD128,IF(AND($Z128&lt;&gt;"",EDATE($D128,Milestones!$AA$57)&gt;=$Z128),$AC128,IF(AND($Y128&lt;&gt;"",EDATE($D128,Milestones!$AA$57)&gt;=$Y128),$AB128,$AA128)))=Milestones!$AB$57),UPPER(TEXT(EDATE($D128,Milestones!$AA$57),"dd mmm yy"))&amp;" "&amp;Milestones!$AB$57&amp;" "&amp;IF(AND(Milestones!$AB$57="FT",Milestones!$AA$57=FT_Y5,EDATE($D128,Milestones!$AA$57)&lt;PolicyEff),1,Milestones!$AC$57)&amp;";  ","")&amp;IF(AND(EDATE($D128,Milestones!$AA$58)&lt;=AsOfDate,EDATE($D128,Milestones!$AA$58)&gt;=SchemeStart,IF($X128=0,$AD128,IF(AND($Z128&lt;&gt;"",EDATE($D128,Milestones!$AA$58)&gt;=$Z128),$AC128,IF(AND($Y128&lt;&gt;"",EDATE($D128,Milestones!$AA$58)&gt;=$Y128),$AB128,$AA128)))=Milestones!$AB$58),UPPER(TEXT(EDATE($D128,Milestones!$AA$58),"dd mmm yy"))&amp;" "&amp;Milestones!$AB$58&amp;" "&amp;IF(AND(Milestones!$AB$58="FT",Milestones!$AA$58=FT_Y5,EDATE($D128,Milestones!$AA$58)&lt;PolicyEff),1,Milestones!$AC$58)&amp;";  ","")&amp;IF(AND(EDATE($D128,Milestones!$AA$59)&lt;=AsOfDate,EDATE($D128,Milestones!$AA$59)&gt;=SchemeStart,IF($X128=0,$AD128,IF(AND($Z128&lt;&gt;"",EDATE($D128,Milestones!$AA$59)&gt;=$Z128),$AC128,IF(AND($Y128&lt;&gt;"",EDATE($D128,Milestones!$AA$59)&gt;=$Y128),$AB128,$AA128)))=Milestones!$AB$59),UPPER(TEXT(EDATE($D128,Milestones!$AA$59),"dd mmm yy"))&amp;" "&amp;Milestones!$AB$59&amp;" "&amp;IF(AND(Milestones!$AB$59="FT",Milestones!$AA$59=FT_Y5,EDATE($D128,Milestones!$AA$59)&lt;PolicyEff),1,Milestones!$AC$59)&amp;";  ","")&amp;IF(AND(EDATE($D128,Milestones!$AA$60)&lt;=AsOfDate,EDATE($D128,Milestones!$AA$60)&gt;=SchemeStart,IF($X128=0,$AD128,IF(AND($Z128&lt;&gt;"",EDATE($D128,Milestones!$AA$60)&gt;=$Z128),$AC128,IF(AND($Y128&lt;&gt;"",EDATE($D128,Milestones!$AA$60)&gt;=$Y128),$AB128,$AA128)))=Milestones!$AB$60),UPPER(TEXT(EDATE($D128,Milestones!$AA$60),"dd mmm yy"))&amp;" "&amp;Milestones!$AB$60&amp;" "&amp;IF(AND(Milestones!$AB$60="FT",Milestones!$AA$60=FT_Y5,EDATE($D128,Milestones!$AA$60)&lt;PolicyEff),1,Milestones!$AC$60)&amp;";  ","")&amp;IF(AND(EDATE($D128,Milestones!$AA$61)&lt;=AsOfDate,EDATE($D128,Milestones!$AA$61)&gt;=SchemeStart,IF($X128=0,$AD128,IF(AND($Z128&lt;&gt;"",EDATE($D128,Milestones!$AA$61)&gt;=$Z128),$AC128,IF(AND($Y128&lt;&gt;"",EDATE($D128,Milestones!$AA$61)&gt;=$Y128),$AB128,$AA128)))=Milestones!$AB$61),UPPER(TEXT(EDATE($D128,Milestones!$AA$61),"dd mmm yy"))&amp;" "&amp;Milestones!$AB$61&amp;" "&amp;IF(AND(Milestones!$AB$61="FT",Milestones!$AA$61=FT_Y5,EDATE($D128,Milestones!$AA$61)&lt;PolicyEff),1,Milestones!$AC$61)&amp;";  ","")&amp;IF(AND(EDATE($D128,Milestones!$AA$62)&lt;=AsOfDate,EDATE($D128,Milestones!$AA$62)&gt;=SchemeStart,IF($X128=0,$AD128,IF(AND($Z128&lt;&gt;"",EDATE($D128,Milestones!$AA$62)&gt;=$Z128),$AC128,IF(AND($Y128&lt;&gt;"",EDATE($D128,Milestones!$AA$62)&gt;=$Y128),$AB128,$AA128)))=Milestones!$AB$62),UPPER(TEXT(EDATE($D128,Milestones!$AA$62),"dd mmm yy"))&amp;" "&amp;Milestones!$AB$62&amp;" "&amp;IF(AND(Milestones!$AB$62="FT",Milestones!$AA$62=FT_Y5,EDATE($D128,Milestones!$AA$62)&lt;PolicyEff),1,Milestones!$AC$62)&amp;";  ","")&amp;IF(AND(EDATE($D128,Milestones!$AA$63)&lt;=AsOfDate,EDATE($D128,Milestones!$AA$63)&gt;=SchemeStart,IF($X128=0,$AD128,IF(AND($Z128&lt;&gt;"",EDATE($D128,Milestones!$AA$63)&gt;=$Z128),$AC128,IF(AND($Y128&lt;&gt;"",EDATE($D128,Milestones!$AA$63)&gt;=$Y128),$AB128,$AA128)))=Milestones!$AB$63),UPPER(TEXT(EDATE($D128,Milestones!$AA$63),"dd mmm yy"))&amp;" "&amp;Milestones!$AB$63&amp;" "&amp;IF(AND(Milestones!$AB$63="FT",Milestones!$AA$63=FT_Y5,EDATE($D128,Milestones!$AA$63)&lt;PolicyEff),1,Milestones!$AC$63)&amp;";  ","")&amp;IF(AND(EDATE($D128,Milestones!$AA$64)&lt;=AsOfDate,EDATE($D128,Milestones!$AA$64)&gt;=SchemeStart,IF($X128=0,$AD128,IF(AND($Z128&lt;&gt;"",EDATE($D128,Milestones!$AA$64)&gt;=$Z128),$AC128,IF(AND($Y128&lt;&gt;"",EDATE($D128,Milestones!$AA$64)&gt;=$Y128),$AB128,$AA128)))=Milestones!$AB$64),UPPER(TEXT(EDATE($D128,Milestones!$AA$64),"dd mmm yy"))&amp;" "&amp;Milestones!$AB$64&amp;" "&amp;IF(AND(Milestones!$AB$64="FT",Milestones!$AA$64=FT_Y5,EDATE($D128,Milestones!$AA$64)&lt;PolicyEff),1,Milestones!$AC$64)&amp;";  ","")&amp;IF(AND(EDATE($D128,Milestones!$AA$65)&lt;=AsOfDate,EDATE($D128,Milestones!$AA$65)&gt;=SchemeStart,IF($X128=0,$AD128,IF(AND($Z128&lt;&gt;"",EDATE($D128,Milestones!$AA$65)&gt;=$Z128),$AC128,IF(AND($Y128&lt;&gt;"",EDATE($D128,Milestones!$AA$65)&gt;=$Y128),$AB128,$AA128)))=Milestones!$AB$65),UPPER(TEXT(EDATE($D128,Milestones!$AA$65),"dd mmm yy"))&amp;" "&amp;Milestones!$AB$65&amp;" "&amp;IF(AND(Milestones!$AB$65="FT",Milestones!$AA$65=FT_Y5,EDATE($D128,Milestones!$AA$65)&lt;PolicyEff),1,Milestones!$AC$65)&amp;";  ","")&amp;IF(AND(EDATE($D128,Milestones!$AA$66)&lt;=AsOfDate,EDATE($D128,Milestones!$AA$66)&gt;=SchemeStart,IF($X128=0,$AD128,IF(AND($Z128&lt;&gt;"",EDATE($D128,Milestones!$AA$66)&gt;=$Z128),$AC128,IF(AND($Y128&lt;&gt;"",EDATE($D128,Milestones!$AA$66)&gt;=$Y128),$AB128,$AA128)))=Milestones!$AB$66),UPPER(TEXT(EDATE($D128,Milestones!$AA$66),"dd mmm yy"))&amp;" "&amp;Milestones!$AB$66&amp;" "&amp;IF(AND(Milestones!$AB$66="FT",Milestones!$AA$66=FT_Y5,EDATE($D128,Milestones!$AA$66)&lt;PolicyEff),1,Milestones!$AC$66)&amp;";  ","")&amp;IF(AND(EDATE($D128,Milestones!$AA$67)&lt;=AsOfDate,EDATE($D128,Milestones!$AA$67)&gt;=SchemeStart,IF($X128=0,$AD128,IF(AND($Z128&lt;&gt;"",EDATE($D128,Milestones!$AA$67)&gt;=$Z128),$AC128,IF(AND($Y128&lt;&gt;"",EDATE($D128,Milestones!$AA$67)&gt;=$Y128),$AB128,$AA128)))=Milestones!$AB$67),UPPER(TEXT(EDATE($D128,Milestones!$AA$67),"dd mmm yy"))&amp;" "&amp;Milestones!$AB$67&amp;" "&amp;IF(AND(Milestones!$AB$67="FT",Milestones!$AA$67=FT_Y5,EDATE($D128,Milestones!$AA$67)&lt;PolicyEff),1,Milestones!$AC$67)&amp;";  ",""))</f>
        <v/>
      </c>
      <c r="M128" s="0" t="str">
        <f aca="false">IF(OR($A128="",$D128=""),"",IF(AND(EDATE($D128,Milestones!$AA$68)&lt;=AsOfDate,EDATE($D128,Milestones!$AA$68)&gt;=SchemeStart,IF($X128=0,$AD128,IF(AND($Z128&lt;&gt;"",EDATE($D128,Milestones!$AA$68)&gt;=$Z128),$AC128,IF(AND($Y128&lt;&gt;"",EDATE($D128,Milestones!$AA$68)&gt;=$Y128),$AB128,$AA128)))=Milestones!$AB$68),UPPER(TEXT(EDATE($D128,Milestones!$AA$68),"dd mmm yy"))&amp;" "&amp;Milestones!$AB$68&amp;" "&amp;IF(AND(Milestones!$AB$68="FT",Milestones!$AA$68=FT_Y5,EDATE($D128,Milestones!$AA$68)&lt;PolicyEff),1,Milestones!$AC$68)&amp;";  ","")&amp;IF(AND(EDATE($D128,Milestones!$AA$69)&lt;=AsOfDate,EDATE($D128,Milestones!$AA$69)&gt;=SchemeStart,IF($X128=0,$AD128,IF(AND($Z128&lt;&gt;"",EDATE($D128,Milestones!$AA$69)&gt;=$Z128),$AC128,IF(AND($Y128&lt;&gt;"",EDATE($D128,Milestones!$AA$69)&gt;=$Y128),$AB128,$AA128)))=Milestones!$AB$69),UPPER(TEXT(EDATE($D128,Milestones!$AA$69),"dd mmm yy"))&amp;" "&amp;Milestones!$AB$69&amp;" "&amp;IF(AND(Milestones!$AB$69="FT",Milestones!$AA$69=FT_Y5,EDATE($D128,Milestones!$AA$69)&lt;PolicyEff),1,Milestones!$AC$69)&amp;";  ","")&amp;IF(AND(EDATE($D128,Milestones!$AA$70)&lt;=AsOfDate,EDATE($D128,Milestones!$AA$70)&gt;=SchemeStart,IF($X128=0,$AD128,IF(AND($Z128&lt;&gt;"",EDATE($D128,Milestones!$AA$70)&gt;=$Z128),$AC128,IF(AND($Y128&lt;&gt;"",EDATE($D128,Milestones!$AA$70)&gt;=$Y128),$AB128,$AA128)))=Milestones!$AB$70),UPPER(TEXT(EDATE($D128,Milestones!$AA$70),"dd mmm yy"))&amp;" "&amp;Milestones!$AB$70&amp;" "&amp;IF(AND(Milestones!$AB$70="FT",Milestones!$AA$70=FT_Y5,EDATE($D128,Milestones!$AA$70)&lt;PolicyEff),1,Milestones!$AC$70)&amp;";  ","")&amp;IF(AND(EDATE($D128,Milestones!$AA$71)&lt;=AsOfDate,EDATE($D128,Milestones!$AA$71)&gt;=SchemeStart,IF($X128=0,$AD128,IF(AND($Z128&lt;&gt;"",EDATE($D128,Milestones!$AA$71)&gt;=$Z128),$AC128,IF(AND($Y128&lt;&gt;"",EDATE($D128,Milestones!$AA$71)&gt;=$Y128),$AB128,$AA128)))=Milestones!$AB$71),UPPER(TEXT(EDATE($D128,Milestones!$AA$71),"dd mmm yy"))&amp;" "&amp;Milestones!$AB$71&amp;" "&amp;IF(AND(Milestones!$AB$71="FT",Milestones!$AA$71=FT_Y5,EDATE($D128,Milestones!$AA$71)&lt;PolicyEff),1,Milestones!$AC$71)&amp;";  ","")&amp;IF(AND(EDATE($D128,Milestones!$AA$72)&lt;=AsOfDate,EDATE($D128,Milestones!$AA$72)&gt;=SchemeStart,IF($X128=0,$AD128,IF(AND($Z128&lt;&gt;"",EDATE($D128,Milestones!$AA$72)&gt;=$Z128),$AC128,IF(AND($Y128&lt;&gt;"",EDATE($D128,Milestones!$AA$72)&gt;=$Y128),$AB128,$AA128)))=Milestones!$AB$72),UPPER(TEXT(EDATE($D128,Milestones!$AA$72),"dd mmm yy"))&amp;" "&amp;Milestones!$AB$72&amp;" "&amp;IF(AND(Milestones!$AB$72="FT",Milestones!$AA$72=FT_Y5,EDATE($D128,Milestones!$AA$72)&lt;PolicyEff),1,Milestones!$AC$72)&amp;";  ","")&amp;IF(AND(EDATE($D128,Milestones!$AA$73)&lt;=AsOfDate,EDATE($D128,Milestones!$AA$73)&gt;=SchemeStart,IF($X128=0,$AD128,IF(AND($Z128&lt;&gt;"",EDATE($D128,Milestones!$AA$73)&gt;=$Z128),$AC128,IF(AND($Y128&lt;&gt;"",EDATE($D128,Milestones!$AA$73)&gt;=$Y128),$AB128,$AA128)))=Milestones!$AB$73),UPPER(TEXT(EDATE($D128,Milestones!$AA$73),"dd mmm yy"))&amp;" "&amp;Milestones!$AB$73&amp;" "&amp;IF(AND(Milestones!$AB$73="FT",Milestones!$AA$73=FT_Y5,EDATE($D128,Milestones!$AA$73)&lt;PolicyEff),1,Milestones!$AC$73)&amp;";  ","")&amp;IF(AND(EDATE($D128,Milestones!$AA$74)&lt;=AsOfDate,EDATE($D128,Milestones!$AA$74)&gt;=SchemeStart,IF($X128=0,$AD128,IF(AND($Z128&lt;&gt;"",EDATE($D128,Milestones!$AA$74)&gt;=$Z128),$AC128,IF(AND($Y128&lt;&gt;"",EDATE($D128,Milestones!$AA$74)&gt;=$Y128),$AB128,$AA128)))=Milestones!$AB$74),UPPER(TEXT(EDATE($D128,Milestones!$AA$74),"dd mmm yy"))&amp;" "&amp;Milestones!$AB$74&amp;" "&amp;IF(AND(Milestones!$AB$74="FT",Milestones!$AA$74=FT_Y5,EDATE($D128,Milestones!$AA$74)&lt;PolicyEff),1,Milestones!$AC$74)&amp;";  ","")&amp;IF(AND(EDATE($D128,Milestones!$AA$75)&lt;=AsOfDate,EDATE($D128,Milestones!$AA$75)&gt;=SchemeStart,IF($X128=0,$AD128,IF(AND($Z128&lt;&gt;"",EDATE($D128,Milestones!$AA$75)&gt;=$Z128),$AC128,IF(AND($Y128&lt;&gt;"",EDATE($D128,Milestones!$AA$75)&gt;=$Y128),$AB128,$AA128)))=Milestones!$AB$75),UPPER(TEXT(EDATE($D128,Milestones!$AA$75),"dd mmm yy"))&amp;" "&amp;Milestones!$AB$75&amp;" "&amp;IF(AND(Milestones!$AB$75="FT",Milestones!$AA$75=FT_Y5,EDATE($D128,Milestones!$AA$75)&lt;PolicyEff),1,Milestones!$AC$75)&amp;";  ","")&amp;IF(AND(EDATE($D128,Milestones!$AA$76)&lt;=AsOfDate,EDATE($D128,Milestones!$AA$76)&gt;=SchemeStart,IF($X128=0,$AD128,IF(AND($Z128&lt;&gt;"",EDATE($D128,Milestones!$AA$76)&gt;=$Z128),$AC128,IF(AND($Y128&lt;&gt;"",EDATE($D128,Milestones!$AA$76)&gt;=$Y128),$AB128,$AA128)))=Milestones!$AB$76),UPPER(TEXT(EDATE($D128,Milestones!$AA$76),"dd mmm yy"))&amp;" "&amp;Milestones!$AB$76&amp;" "&amp;IF(AND(Milestones!$AB$76="FT",Milestones!$AA$76=FT_Y5,EDATE($D128,Milestones!$AA$76)&lt;PolicyEff),1,Milestones!$AC$76)&amp;";  ","")&amp;IF(AND(EDATE($D128,Milestones!$AA$77)&lt;=AsOfDate,EDATE($D128,Milestones!$AA$77)&gt;=SchemeStart,IF($X128=0,$AD128,IF(AND($Z128&lt;&gt;"",EDATE($D128,Milestones!$AA$77)&gt;=$Z128),$AC128,IF(AND($Y128&lt;&gt;"",EDATE($D128,Milestones!$AA$77)&gt;=$Y128),$AB128,$AA128)))=Milestones!$AB$77),UPPER(TEXT(EDATE($D128,Milestones!$AA$77),"dd mmm yy"))&amp;" "&amp;Milestones!$AB$77&amp;" "&amp;IF(AND(Milestones!$AB$77="FT",Milestones!$AA$77=FT_Y5,EDATE($D128,Milestones!$AA$77)&lt;PolicyEff),1,Milestones!$AC$77)&amp;";  ","")&amp;IF(AND(EDATE($D128,Milestones!$AA$78)&lt;=AsOfDate,EDATE($D128,Milestones!$AA$78)&gt;=SchemeStart,IF($X128=0,$AD128,IF(AND($Z128&lt;&gt;"",EDATE($D128,Milestones!$AA$78)&gt;=$Z128),$AC128,IF(AND($Y128&lt;&gt;"",EDATE($D128,Milestones!$AA$78)&gt;=$Y128),$AB128,$AA128)))=Milestones!$AB$78),UPPER(TEXT(EDATE($D128,Milestones!$AA$78),"dd mmm yy"))&amp;" "&amp;Milestones!$AB$78&amp;" "&amp;IF(AND(Milestones!$AB$78="FT",Milestones!$AA$78=FT_Y5,EDATE($D128,Milestones!$AA$78)&lt;PolicyEff),1,Milestones!$AC$78)&amp;";  ","")&amp;IF(AND(EDATE($D128,Milestones!$AA$79)&lt;=AsOfDate,EDATE($D128,Milestones!$AA$79)&gt;=SchemeStart,IF($X128=0,$AD128,IF(AND($Z128&lt;&gt;"",EDATE($D128,Milestones!$AA$79)&gt;=$Z128),$AC128,IF(AND($Y128&lt;&gt;"",EDATE($D128,Milestones!$AA$79)&gt;=$Y128),$AB128,$AA128)))=Milestones!$AB$79),UPPER(TEXT(EDATE($D128,Milestones!$AA$79),"dd mmm yy"))&amp;" "&amp;Milestones!$AB$79&amp;" "&amp;IF(AND(Milestones!$AB$79="FT",Milestones!$AA$79=FT_Y5,EDATE($D128,Milestones!$AA$79)&lt;PolicyEff),1,Milestones!$AC$79)&amp;";  ",""))</f>
        <v/>
      </c>
      <c r="N128" s="0" t="str">
        <f aca="false">IF(OR($A128="",$D128=""),"",IF(AND(EDATE($D128,Milestones!$AA$80)&lt;=AsOfDate,EDATE($D128,Milestones!$AA$80)&gt;=SchemeStart,IF($X128=0,$AD128,IF(AND($Z128&lt;&gt;"",EDATE($D128,Milestones!$AA$80)&gt;=$Z128),$AC128,IF(AND($Y128&lt;&gt;"",EDATE($D128,Milestones!$AA$80)&gt;=$Y128),$AB128,$AA128)))=Milestones!$AB$80),UPPER(TEXT(EDATE($D128,Milestones!$AA$80),"dd mmm yy"))&amp;" "&amp;Milestones!$AB$80&amp;" "&amp;IF(AND(Milestones!$AB$80="FT",Milestones!$AA$80=FT_Y5,EDATE($D128,Milestones!$AA$80)&lt;PolicyEff),1,Milestones!$AC$80)&amp;";  ","")&amp;IF(AND(EDATE($D128,Milestones!$AA$81)&lt;=AsOfDate,EDATE($D128,Milestones!$AA$81)&gt;=SchemeStart,IF($X128=0,$AD128,IF(AND($Z128&lt;&gt;"",EDATE($D128,Milestones!$AA$81)&gt;=$Z128),$AC128,IF(AND($Y128&lt;&gt;"",EDATE($D128,Milestones!$AA$81)&gt;=$Y128),$AB128,$AA128)))=Milestones!$AB$81),UPPER(TEXT(EDATE($D128,Milestones!$AA$81),"dd mmm yy"))&amp;" "&amp;Milestones!$AB$81&amp;" "&amp;IF(AND(Milestones!$AB$81="FT",Milestones!$AA$81=FT_Y5,EDATE($D128,Milestones!$AA$81)&lt;PolicyEff),1,Milestones!$AC$81)&amp;";  ","")&amp;IF(AND(EDATE($D128,Milestones!$AA$82)&lt;=AsOfDate,EDATE($D128,Milestones!$AA$82)&gt;=SchemeStart,IF($X128=0,$AD128,IF(AND($Z128&lt;&gt;"",EDATE($D128,Milestones!$AA$82)&gt;=$Z128),$AC128,IF(AND($Y128&lt;&gt;"",EDATE($D128,Milestones!$AA$82)&gt;=$Y128),$AB128,$AA128)))=Milestones!$AB$82),UPPER(TEXT(EDATE($D128,Milestones!$AA$82),"dd mmm yy"))&amp;" "&amp;Milestones!$AB$82&amp;" "&amp;IF(AND(Milestones!$AB$82="FT",Milestones!$AA$82=FT_Y5,EDATE($D128,Milestones!$AA$82)&lt;PolicyEff),1,Milestones!$AC$82)&amp;";  ","")&amp;IF(AND(EDATE($D128,Milestones!$AA$83)&lt;=AsOfDate,EDATE($D128,Milestones!$AA$83)&gt;=SchemeStart,IF($X128=0,$AD128,IF(AND($Z128&lt;&gt;"",EDATE($D128,Milestones!$AA$83)&gt;=$Z128),$AC128,IF(AND($Y128&lt;&gt;"",EDATE($D128,Milestones!$AA$83)&gt;=$Y128),$AB128,$AA128)))=Milestones!$AB$83),UPPER(TEXT(EDATE($D128,Milestones!$AA$83),"dd mmm yy"))&amp;" "&amp;Milestones!$AB$83&amp;" "&amp;IF(AND(Milestones!$AB$83="FT",Milestones!$AA$83=FT_Y5,EDATE($D128,Milestones!$AA$83)&lt;PolicyEff),1,Milestones!$AC$83)&amp;";  ","")&amp;IF(AND(EDATE($D128,Milestones!$AA$84)&lt;=AsOfDate,EDATE($D128,Milestones!$AA$84)&gt;=SchemeStart,IF($X128=0,$AD128,IF(AND($Z128&lt;&gt;"",EDATE($D128,Milestones!$AA$84)&gt;=$Z128),$AC128,IF(AND($Y128&lt;&gt;"",EDATE($D128,Milestones!$AA$84)&gt;=$Y128),$AB128,$AA128)))=Milestones!$AB$84),UPPER(TEXT(EDATE($D128,Milestones!$AA$84),"dd mmm yy"))&amp;" "&amp;Milestones!$AB$84&amp;" "&amp;IF(AND(Milestones!$AB$84="FT",Milestones!$AA$84=FT_Y5,EDATE($D128,Milestones!$AA$84)&lt;PolicyEff),1,Milestones!$AC$84)&amp;";  ","")&amp;IF(AND(EDATE($D128,Milestones!$AA$85)&lt;=AsOfDate,EDATE($D128,Milestones!$AA$85)&gt;=SchemeStart,IF($X128=0,$AD128,IF(AND($Z128&lt;&gt;"",EDATE($D128,Milestones!$AA$85)&gt;=$Z128),$AC128,IF(AND($Y128&lt;&gt;"",EDATE($D128,Milestones!$AA$85)&gt;=$Y128),$AB128,$AA128)))=Milestones!$AB$85),UPPER(TEXT(EDATE($D128,Milestones!$AA$85),"dd mmm yy"))&amp;" "&amp;Milestones!$AB$85&amp;" "&amp;IF(AND(Milestones!$AB$85="FT",Milestones!$AA$85=FT_Y5,EDATE($D128,Milestones!$AA$85)&lt;PolicyEff),1,Milestones!$AC$85)&amp;";  ","")&amp;IF(AND(EDATE($D128,Milestones!$AA$86)&lt;=AsOfDate,EDATE($D128,Milestones!$AA$86)&gt;=SchemeStart,IF($X128=0,$AD128,IF(AND($Z128&lt;&gt;"",EDATE($D128,Milestones!$AA$86)&gt;=$Z128),$AC128,IF(AND($Y128&lt;&gt;"",EDATE($D128,Milestones!$AA$86)&gt;=$Y128),$AB128,$AA128)))=Milestones!$AB$86),UPPER(TEXT(EDATE($D128,Milestones!$AA$86),"dd mmm yy"))&amp;" "&amp;Milestones!$AB$86&amp;" "&amp;IF(AND(Milestones!$AB$86="FT",Milestones!$AA$86=FT_Y5,EDATE($D128,Milestones!$AA$86)&lt;PolicyEff),1,Milestones!$AC$86)&amp;";  ","")&amp;IF(AND(EDATE($D128,Milestones!$AA$87)&lt;=AsOfDate,EDATE($D128,Milestones!$AA$87)&gt;=SchemeStart,IF($X128=0,$AD128,IF(AND($Z128&lt;&gt;"",EDATE($D128,Milestones!$AA$87)&gt;=$Z128),$AC128,IF(AND($Y128&lt;&gt;"",EDATE($D128,Milestones!$AA$87)&gt;=$Y128),$AB128,$AA128)))=Milestones!$AB$87),UPPER(TEXT(EDATE($D128,Milestones!$AA$87),"dd mmm yy"))&amp;" "&amp;Milestones!$AB$87&amp;" "&amp;IF(AND(Milestones!$AB$87="FT",Milestones!$AA$87=FT_Y5,EDATE($D128,Milestones!$AA$87)&lt;PolicyEff),1,Milestones!$AC$87)&amp;";  ","")&amp;IF(AND(EDATE($D128,Milestones!$AA$88)&lt;=AsOfDate,EDATE($D128,Milestones!$AA$88)&gt;=SchemeStart,IF($X128=0,$AD128,IF(AND($Z128&lt;&gt;"",EDATE($D128,Milestones!$AA$88)&gt;=$Z128),$AC128,IF(AND($Y128&lt;&gt;"",EDATE($D128,Milestones!$AA$88)&gt;=$Y128),$AB128,$AA128)))=Milestones!$AB$88),UPPER(TEXT(EDATE($D128,Milestones!$AA$88),"dd mmm yy"))&amp;" "&amp;Milestones!$AB$88&amp;" "&amp;IF(AND(Milestones!$AB$88="FT",Milestones!$AA$88=FT_Y5,EDATE($D128,Milestones!$AA$88)&lt;PolicyEff),1,Milestones!$AC$88)&amp;";  ","")&amp;IF(AND(EDATE($D128,Milestones!$AA$89)&lt;=AsOfDate,EDATE($D128,Milestones!$AA$89)&gt;=SchemeStart,IF($X128=0,$AD128,IF(AND($Z128&lt;&gt;"",EDATE($D128,Milestones!$AA$89)&gt;=$Z128),$AC128,IF(AND($Y128&lt;&gt;"",EDATE($D128,Milestones!$AA$89)&gt;=$Y128),$AB128,$AA128)))=Milestones!$AB$89),UPPER(TEXT(EDATE($D128,Milestones!$AA$89),"dd mmm yy"))&amp;" "&amp;Milestones!$AB$89&amp;" "&amp;IF(AND(Milestones!$AB$89="FT",Milestones!$AA$89=FT_Y5,EDATE($D128,Milestones!$AA$89)&lt;PolicyEff),1,Milestones!$AC$89)&amp;";  ","")&amp;IF(AND(EDATE($D128,Milestones!$AA$90)&lt;=AsOfDate,EDATE($D128,Milestones!$AA$90)&gt;=SchemeStart,IF($X128=0,$AD128,IF(AND($Z128&lt;&gt;"",EDATE($D128,Milestones!$AA$90)&gt;=$Z128),$AC128,IF(AND($Y128&lt;&gt;"",EDATE($D128,Milestones!$AA$90)&gt;=$Y128),$AB128,$AA128)))=Milestones!$AB$90),UPPER(TEXT(EDATE($D128,Milestones!$AA$90),"dd mmm yy"))&amp;" "&amp;Milestones!$AB$90&amp;" "&amp;IF(AND(Milestones!$AB$90="FT",Milestones!$AA$90=FT_Y5,EDATE($D128,Milestones!$AA$90)&lt;PolicyEff),1,Milestones!$AC$90)&amp;";  ","")&amp;IF(AND(EDATE($D128,Milestones!$AA$91)&lt;=AsOfDate,EDATE($D128,Milestones!$AA$91)&gt;=SchemeStart,IF($X128=0,$AD128,IF(AND($Z128&lt;&gt;"",EDATE($D128,Milestones!$AA$91)&gt;=$Z128),$AC128,IF(AND($Y128&lt;&gt;"",EDATE($D128,Milestones!$AA$91)&gt;=$Y128),$AB128,$AA128)))=Milestones!$AB$91),UPPER(TEXT(EDATE($D128,Milestones!$AA$91),"dd mmm yy"))&amp;" "&amp;Milestones!$AB$91&amp;" "&amp;IF(AND(Milestones!$AB$91="FT",Milestones!$AA$91=FT_Y5,EDATE($D128,Milestones!$AA$91)&lt;PolicyEff),1,Milestones!$AC$91)&amp;";  ",""))</f>
        <v/>
      </c>
      <c r="O128" s="0" t="str">
        <f aca="false">IF(OR($A128="",$D128=""),"",IF(AND(EDATE($D128,Milestones!$AA$92)&lt;=AsOfDate,EDATE($D128,Milestones!$AA$92)&gt;=SchemeStart,IF($X128=0,$AD128,IF(AND($Z128&lt;&gt;"",EDATE($D128,Milestones!$AA$92)&gt;=$Z128),$AC128,IF(AND($Y128&lt;&gt;"",EDATE($D128,Milestones!$AA$92)&gt;=$Y128),$AB128,$AA128)))=Milestones!$AB$92),UPPER(TEXT(EDATE($D128,Milestones!$AA$92),"dd mmm yy"))&amp;" "&amp;Milestones!$AB$92&amp;" "&amp;IF(AND(Milestones!$AB$92="FT",Milestones!$AA$92=FT_Y5,EDATE($D128,Milestones!$AA$92)&lt;PolicyEff),1,Milestones!$AC$92)&amp;";  ","")&amp;IF(AND(EDATE($D128,Milestones!$AA$93)&lt;=AsOfDate,EDATE($D128,Milestones!$AA$93)&gt;=SchemeStart,IF($X128=0,$AD128,IF(AND($Z128&lt;&gt;"",EDATE($D128,Milestones!$AA$93)&gt;=$Z128),$AC128,IF(AND($Y128&lt;&gt;"",EDATE($D128,Milestones!$AA$93)&gt;=$Y128),$AB128,$AA128)))=Milestones!$AB$93),UPPER(TEXT(EDATE($D128,Milestones!$AA$93),"dd mmm yy"))&amp;" "&amp;Milestones!$AB$93&amp;" "&amp;IF(AND(Milestones!$AB$93="FT",Milestones!$AA$93=FT_Y5,EDATE($D128,Milestones!$AA$93)&lt;PolicyEff),1,Milestones!$AC$93)&amp;";  ","")&amp;IF(AND(EDATE($D128,Milestones!$AA$94)&lt;=AsOfDate,EDATE($D128,Milestones!$AA$94)&gt;=SchemeStart,IF($X128=0,$AD128,IF(AND($Z128&lt;&gt;"",EDATE($D128,Milestones!$AA$94)&gt;=$Z128),$AC128,IF(AND($Y128&lt;&gt;"",EDATE($D128,Milestones!$AA$94)&gt;=$Y128),$AB128,$AA128)))=Milestones!$AB$94),UPPER(TEXT(EDATE($D128,Milestones!$AA$94),"dd mmm yy"))&amp;" "&amp;Milestones!$AB$94&amp;" "&amp;IF(AND(Milestones!$AB$94="FT",Milestones!$AA$94=FT_Y5,EDATE($D128,Milestones!$AA$94)&lt;PolicyEff),1,Milestones!$AC$94)&amp;";  ","")&amp;IF(AND(EDATE($D128,Milestones!$AA$95)&lt;=AsOfDate,EDATE($D128,Milestones!$AA$95)&gt;=SchemeStart,IF($X128=0,$AD128,IF(AND($Z128&lt;&gt;"",EDATE($D128,Milestones!$AA$95)&gt;=$Z128),$AC128,IF(AND($Y128&lt;&gt;"",EDATE($D128,Milestones!$AA$95)&gt;=$Y128),$AB128,$AA128)))=Milestones!$AB$95),UPPER(TEXT(EDATE($D128,Milestones!$AA$95),"dd mmm yy"))&amp;" "&amp;Milestones!$AB$95&amp;" "&amp;IF(AND(Milestones!$AB$95="FT",Milestones!$AA$95=FT_Y5,EDATE($D128,Milestones!$AA$95)&lt;PolicyEff),1,Milestones!$AC$95)&amp;";  ","")&amp;IF(AND(EDATE($D128,Milestones!$AA$96)&lt;=AsOfDate,EDATE($D128,Milestones!$AA$96)&gt;=SchemeStart,IF($X128=0,$AD128,IF(AND($Z128&lt;&gt;"",EDATE($D128,Milestones!$AA$96)&gt;=$Z128),$AC128,IF(AND($Y128&lt;&gt;"",EDATE($D128,Milestones!$AA$96)&gt;=$Y128),$AB128,$AA128)))=Milestones!$AB$96),UPPER(TEXT(EDATE($D128,Milestones!$AA$96),"dd mmm yy"))&amp;" "&amp;Milestones!$AB$96&amp;" "&amp;IF(AND(Milestones!$AB$96="FT",Milestones!$AA$96=FT_Y5,EDATE($D128,Milestones!$AA$96)&lt;PolicyEff),1,Milestones!$AC$96)&amp;";  ","")&amp;IF(AND(EDATE($D128,Milestones!$AA$97)&lt;=AsOfDate,EDATE($D128,Milestones!$AA$97)&gt;=SchemeStart,IF($X128=0,$AD128,IF(AND($Z128&lt;&gt;"",EDATE($D128,Milestones!$AA$97)&gt;=$Z128),$AC128,IF(AND($Y128&lt;&gt;"",EDATE($D128,Milestones!$AA$97)&gt;=$Y128),$AB128,$AA128)))=Milestones!$AB$97),UPPER(TEXT(EDATE($D128,Milestones!$AA$97),"dd mmm yy"))&amp;" "&amp;Milestones!$AB$97&amp;" "&amp;IF(AND(Milestones!$AB$97="FT",Milestones!$AA$97=FT_Y5,EDATE($D128,Milestones!$AA$97)&lt;PolicyEff),1,Milestones!$AC$97)&amp;";  ","")&amp;IF(AND(EDATE($D128,Milestones!$AA$98)&lt;=AsOfDate,EDATE($D128,Milestones!$AA$98)&gt;=SchemeStart,IF($X128=0,$AD128,IF(AND($Z128&lt;&gt;"",EDATE($D128,Milestones!$AA$98)&gt;=$Z128),$AC128,IF(AND($Y128&lt;&gt;"",EDATE($D128,Milestones!$AA$98)&gt;=$Y128),$AB128,$AA128)))=Milestones!$AB$98),UPPER(TEXT(EDATE($D128,Milestones!$AA$98),"dd mmm yy"))&amp;" "&amp;Milestones!$AB$98&amp;" "&amp;IF(AND(Milestones!$AB$98="FT",Milestones!$AA$98=FT_Y5,EDATE($D128,Milestones!$AA$98)&lt;PolicyEff),1,Milestones!$AC$98)&amp;";  ","")&amp;IF(AND(EDATE($D128,Milestones!$AA$99)&lt;=AsOfDate,EDATE($D128,Milestones!$AA$99)&gt;=SchemeStart,IF($X128=0,$AD128,IF(AND($Z128&lt;&gt;"",EDATE($D128,Milestones!$AA$99)&gt;=$Z128),$AC128,IF(AND($Y128&lt;&gt;"",EDATE($D128,Milestones!$AA$99)&gt;=$Y128),$AB128,$AA128)))=Milestones!$AB$99),UPPER(TEXT(EDATE($D128,Milestones!$AA$99),"dd mmm yy"))&amp;" "&amp;Milestones!$AB$99&amp;" "&amp;IF(AND(Milestones!$AB$99="FT",Milestones!$AA$99=FT_Y5,EDATE($D128,Milestones!$AA$99)&lt;PolicyEff),1,Milestones!$AC$99)&amp;";  ","")&amp;IF(AND(EDATE($D128,Milestones!$AA$100)&lt;=AsOfDate,EDATE($D128,Milestones!$AA$100)&gt;=SchemeStart,IF($X128=0,$AD128,IF(AND($Z128&lt;&gt;"",EDATE($D128,Milestones!$AA$100)&gt;=$Z128),$AC128,IF(AND($Y128&lt;&gt;"",EDATE($D128,Milestones!$AA$100)&gt;=$Y128),$AB128,$AA128)))=Milestones!$AB$100),UPPER(TEXT(EDATE($D128,Milestones!$AA$100),"dd mmm yy"))&amp;" "&amp;Milestones!$AB$100&amp;" "&amp;IF(AND(Milestones!$AB$100="FT",Milestones!$AA$100=FT_Y5,EDATE($D128,Milestones!$AA$100)&lt;PolicyEff),1,Milestones!$AC$100)&amp;";  ","")&amp;IF(AND(EDATE($D128,Milestones!$AA$101)&lt;=AsOfDate,EDATE($D128,Milestones!$AA$101)&gt;=SchemeStart,IF($X128=0,$AD128,IF(AND($Z128&lt;&gt;"",EDATE($D128,Milestones!$AA$101)&gt;=$Z128),$AC128,IF(AND($Y128&lt;&gt;"",EDATE($D128,Milestones!$AA$101)&gt;=$Y128),$AB128,$AA128)))=Milestones!$AB$101),UPPER(TEXT(EDATE($D128,Milestones!$AA$101),"dd mmm yy"))&amp;" "&amp;Milestones!$AB$101&amp;" "&amp;IF(AND(Milestones!$AB$101="FT",Milestones!$AA$101=FT_Y5,EDATE($D128,Milestones!$AA$101)&lt;PolicyEff),1,Milestones!$AC$101)&amp;";  ","")&amp;IF(AND(EDATE($D128,Milestones!$AA$102)&lt;=AsOfDate,EDATE($D128,Milestones!$AA$102)&gt;=SchemeStart,IF($X128=0,$AD128,IF(AND($Z128&lt;&gt;"",EDATE($D128,Milestones!$AA$102)&gt;=$Z128),$AC128,IF(AND($Y128&lt;&gt;"",EDATE($D128,Milestones!$AA$102)&gt;=$Y128),$AB128,$AA128)))=Milestones!$AB$102),UPPER(TEXT(EDATE($D128,Milestones!$AA$102),"dd mmm yy"))&amp;" "&amp;Milestones!$AB$102&amp;" "&amp;IF(AND(Milestones!$AB$102="FT",Milestones!$AA$102=FT_Y5,EDATE($D128,Milestones!$AA$102)&lt;PolicyEff),1,Milestones!$AC$102)&amp;";  ","")&amp;IF(AND(EDATE($D128,Milestones!$AA$103)&lt;=AsOfDate,EDATE($D128,Milestones!$AA$103)&gt;=SchemeStart,IF($X128=0,$AD128,IF(AND($Z128&lt;&gt;"",EDATE($D128,Milestones!$AA$103)&gt;=$Z128),$AC128,IF(AND($Y128&lt;&gt;"",EDATE($D128,Milestones!$AA$103)&gt;=$Y128),$AB128,$AA128)))=Milestones!$AB$103),UPPER(TEXT(EDATE($D128,Milestones!$AA$103),"dd mmm yy"))&amp;" "&amp;Milestones!$AB$103&amp;" "&amp;IF(AND(Milestones!$AB$103="FT",Milestones!$AA$103=FT_Y5,EDATE($D128,Milestones!$AA$103)&lt;PolicyEff),1,Milestones!$AC$103)&amp;";  ",""))</f>
        <v/>
      </c>
      <c r="P128" s="0" t="str">
        <f aca="false">IF(OR($A128="",$D128=""),"",IF(AND(EDATE($D128,Milestones!$AA$104)&lt;=AsOfDate,EDATE($D128,Milestones!$AA$104)&gt;=SchemeStart,IF($X128=0,$AD128,IF(AND($Z128&lt;&gt;"",EDATE($D128,Milestones!$AA$104)&gt;=$Z128),$AC128,IF(AND($Y128&lt;&gt;"",EDATE($D128,Milestones!$AA$104)&gt;=$Y128),$AB128,$AA128)))=Milestones!$AB$104),UPPER(TEXT(EDATE($D128,Milestones!$AA$104),"dd mmm yy"))&amp;" "&amp;Milestones!$AB$104&amp;" "&amp;IF(AND(Milestones!$AB$104="FT",Milestones!$AA$104=FT_Y5,EDATE($D128,Milestones!$AA$104)&lt;PolicyEff),1,Milestones!$AC$104)&amp;";  ","")&amp;IF(AND(EDATE($D128,Milestones!$AA$105)&lt;=AsOfDate,EDATE($D128,Milestones!$AA$105)&gt;=SchemeStart,IF($X128=0,$AD128,IF(AND($Z128&lt;&gt;"",EDATE($D128,Milestones!$AA$105)&gt;=$Z128),$AC128,IF(AND($Y128&lt;&gt;"",EDATE($D128,Milestones!$AA$105)&gt;=$Y128),$AB128,$AA128)))=Milestones!$AB$105),UPPER(TEXT(EDATE($D128,Milestones!$AA$105),"dd mmm yy"))&amp;" "&amp;Milestones!$AB$105&amp;" "&amp;IF(AND(Milestones!$AB$105="FT",Milestones!$AA$105=FT_Y5,EDATE($D128,Milestones!$AA$105)&lt;PolicyEff),1,Milestones!$AC$105)&amp;";  ","")&amp;IF(AND(EDATE($D128,Milestones!$AA$106)&lt;=AsOfDate,EDATE($D128,Milestones!$AA$106)&gt;=SchemeStart,IF($X128=0,$AD128,IF(AND($Z128&lt;&gt;"",EDATE($D128,Milestones!$AA$106)&gt;=$Z128),$AC128,IF(AND($Y128&lt;&gt;"",EDATE($D128,Milestones!$AA$106)&gt;=$Y128),$AB128,$AA128)))=Milestones!$AB$106),UPPER(TEXT(EDATE($D128,Milestones!$AA$106),"dd mmm yy"))&amp;" "&amp;Milestones!$AB$106&amp;" "&amp;IF(AND(Milestones!$AB$106="FT",Milestones!$AA$106=FT_Y5,EDATE($D128,Milestones!$AA$106)&lt;PolicyEff),1,Milestones!$AC$106)&amp;";  ","")&amp;IF(AND(EDATE($D128,Milestones!$AA$107)&lt;=AsOfDate,EDATE($D128,Milestones!$AA$107)&gt;=SchemeStart,IF($X128=0,$AD128,IF(AND($Z128&lt;&gt;"",EDATE($D128,Milestones!$AA$107)&gt;=$Z128),$AC128,IF(AND($Y128&lt;&gt;"",EDATE($D128,Milestones!$AA$107)&gt;=$Y128),$AB128,$AA128)))=Milestones!$AB$107),UPPER(TEXT(EDATE($D128,Milestones!$AA$107),"dd mmm yy"))&amp;" "&amp;Milestones!$AB$107&amp;" "&amp;IF(AND(Milestones!$AB$107="FT",Milestones!$AA$107=FT_Y5,EDATE($D128,Milestones!$AA$107)&lt;PolicyEff),1,Milestones!$AC$107)&amp;";  ","")&amp;IF(AND(EDATE($D128,Milestones!$AA$108)&lt;=AsOfDate,EDATE($D128,Milestones!$AA$108)&gt;=SchemeStart,IF($X128=0,$AD128,IF(AND($Z128&lt;&gt;"",EDATE($D128,Milestones!$AA$108)&gt;=$Z128),$AC128,IF(AND($Y128&lt;&gt;"",EDATE($D128,Milestones!$AA$108)&gt;=$Y128),$AB128,$AA128)))=Milestones!$AB$108),UPPER(TEXT(EDATE($D128,Milestones!$AA$108),"dd mmm yy"))&amp;" "&amp;Milestones!$AB$108&amp;" "&amp;IF(AND(Milestones!$AB$108="FT",Milestones!$AA$108=FT_Y5,EDATE($D128,Milestones!$AA$108)&lt;PolicyEff),1,Milestones!$AC$108)&amp;";  ","")&amp;IF(AND(EDATE($D128,Milestones!$AA$109)&lt;=AsOfDate,EDATE($D128,Milestones!$AA$109)&gt;=SchemeStart,IF($X128=0,$AD128,IF(AND($Z128&lt;&gt;"",EDATE($D128,Milestones!$AA$109)&gt;=$Z128),$AC128,IF(AND($Y128&lt;&gt;"",EDATE($D128,Milestones!$AA$109)&gt;=$Y128),$AB128,$AA128)))=Milestones!$AB$109),UPPER(TEXT(EDATE($D128,Milestones!$AA$109),"dd mmm yy"))&amp;" "&amp;Milestones!$AB$109&amp;" "&amp;IF(AND(Milestones!$AB$109="FT",Milestones!$AA$109=FT_Y5,EDATE($D128,Milestones!$AA$109)&lt;PolicyEff),1,Milestones!$AC$109)&amp;";  ","")&amp;IF(AND(EDATE($D128,Milestones!$AA$110)&lt;=AsOfDate,EDATE($D128,Milestones!$AA$110)&gt;=SchemeStart,IF($X128=0,$AD128,IF(AND($Z128&lt;&gt;"",EDATE($D128,Milestones!$AA$110)&gt;=$Z128),$AC128,IF(AND($Y128&lt;&gt;"",EDATE($D128,Milestones!$AA$110)&gt;=$Y128),$AB128,$AA128)))=Milestones!$AB$110),UPPER(TEXT(EDATE($D128,Milestones!$AA$110),"dd mmm yy"))&amp;" "&amp;Milestones!$AB$110&amp;" "&amp;IF(AND(Milestones!$AB$110="FT",Milestones!$AA$110=FT_Y5,EDATE($D128,Milestones!$AA$110)&lt;PolicyEff),1,Milestones!$AC$110)&amp;";  ","")&amp;IF(AND(EDATE($D128,Milestones!$AA$111)&lt;=AsOfDate,EDATE($D128,Milestones!$AA$111)&gt;=SchemeStart,IF($X128=0,$AD128,IF(AND($Z128&lt;&gt;"",EDATE($D128,Milestones!$AA$111)&gt;=$Z128),$AC128,IF(AND($Y128&lt;&gt;"",EDATE($D128,Milestones!$AA$111)&gt;=$Y128),$AB128,$AA128)))=Milestones!$AB$111),UPPER(TEXT(EDATE($D128,Milestones!$AA$111),"dd mmm yy"))&amp;" "&amp;Milestones!$AB$111&amp;" "&amp;IF(AND(Milestones!$AB$111="FT",Milestones!$AA$111=FT_Y5,EDATE($D128,Milestones!$AA$111)&lt;PolicyEff),1,Milestones!$AC$111)&amp;";  ","")&amp;IF(AND(EDATE($D128,Milestones!$AA$112)&lt;=AsOfDate,EDATE($D128,Milestones!$AA$112)&gt;=SchemeStart,IF($X128=0,$AD128,IF(AND($Z128&lt;&gt;"",EDATE($D128,Milestones!$AA$112)&gt;=$Z128),$AC128,IF(AND($Y128&lt;&gt;"",EDATE($D128,Milestones!$AA$112)&gt;=$Y128),$AB128,$AA128)))=Milestones!$AB$112),UPPER(TEXT(EDATE($D128,Milestones!$AA$112),"dd mmm yy"))&amp;" "&amp;Milestones!$AB$112&amp;" "&amp;IF(AND(Milestones!$AB$112="FT",Milestones!$AA$112=FT_Y5,EDATE($D128,Milestones!$AA$112)&lt;PolicyEff),1,Milestones!$AC$112)&amp;";  ","")&amp;IF(AND(EDATE($D128,Milestones!$AA$113)&lt;=AsOfDate,EDATE($D128,Milestones!$AA$113)&gt;=SchemeStart,IF($X128=0,$AD128,IF(AND($Z128&lt;&gt;"",EDATE($D128,Milestones!$AA$113)&gt;=$Z128),$AC128,IF(AND($Y128&lt;&gt;"",EDATE($D128,Milestones!$AA$113)&gt;=$Y128),$AB128,$AA128)))=Milestones!$AB$113),UPPER(TEXT(EDATE($D128,Milestones!$AA$113),"dd mmm yy"))&amp;" "&amp;Milestones!$AB$113&amp;" "&amp;IF(AND(Milestones!$AB$113="FT",Milestones!$AA$113=FT_Y5,EDATE($D128,Milestones!$AA$113)&lt;PolicyEff),1,Milestones!$AC$113)&amp;";  ","")&amp;IF(AND(EDATE($D128,Milestones!$AA$114)&lt;=AsOfDate,EDATE($D128,Milestones!$AA$114)&gt;=SchemeStart,IF($X128=0,$AD128,IF(AND($Z128&lt;&gt;"",EDATE($D128,Milestones!$AA$114)&gt;=$Z128),$AC128,IF(AND($Y128&lt;&gt;"",EDATE($D128,Milestones!$AA$114)&gt;=$Y128),$AB128,$AA128)))=Milestones!$AB$114),UPPER(TEXT(EDATE($D128,Milestones!$AA$114),"dd mmm yy"))&amp;" "&amp;Milestones!$AB$114&amp;" "&amp;IF(AND(Milestones!$AB$114="FT",Milestones!$AA$114=FT_Y5,EDATE($D128,Milestones!$AA$114)&lt;PolicyEff),1,Milestones!$AC$114)&amp;";  ","")&amp;IF(AND(EDATE($D128,Milestones!$AA$115)&lt;=AsOfDate,EDATE($D128,Milestones!$AA$115)&gt;=SchemeStart,IF($X128=0,$AD128,IF(AND($Z128&lt;&gt;"",EDATE($D128,Milestones!$AA$115)&gt;=$Z128),$AC128,IF(AND($Y128&lt;&gt;"",EDATE($D128,Milestones!$AA$115)&gt;=$Y128),$AB128,$AA128)))=Milestones!$AB$115),UPPER(TEXT(EDATE($D128,Milestones!$AA$115),"dd mmm yy"))&amp;" "&amp;Milestones!$AB$115&amp;" "&amp;IF(AND(Milestones!$AB$115="FT",Milestones!$AA$115=FT_Y5,EDATE($D128,Milestones!$AA$115)&lt;PolicyEff),1,Milestones!$AC$115)&amp;";  ",""))</f>
        <v/>
      </c>
      <c r="Q128" s="0" t="str">
        <f aca="false">IF(OR($A128="",$D128=""),"",IF(AND(EDATE($D128,Milestones!$AA$116)&lt;=AsOfDate,EDATE($D128,Milestones!$AA$116)&gt;=SchemeStart,IF($X128=0,$AD128,IF(AND($Z128&lt;&gt;"",EDATE($D128,Milestones!$AA$116)&gt;=$Z128),$AC128,IF(AND($Y128&lt;&gt;"",EDATE($D128,Milestones!$AA$116)&gt;=$Y128),$AB128,$AA128)))=Milestones!$AB$116),UPPER(TEXT(EDATE($D128,Milestones!$AA$116),"dd mmm yy"))&amp;" "&amp;Milestones!$AB$116&amp;" "&amp;IF(AND(Milestones!$AB$116="FT",Milestones!$AA$116=FT_Y5,EDATE($D128,Milestones!$AA$116)&lt;PolicyEff),1,Milestones!$AC$116)&amp;";  ","")&amp;IF(AND(EDATE($D128,Milestones!$AA$117)&lt;=AsOfDate,EDATE($D128,Milestones!$AA$117)&gt;=SchemeStart,IF($X128=0,$AD128,IF(AND($Z128&lt;&gt;"",EDATE($D128,Milestones!$AA$117)&gt;=$Z128),$AC128,IF(AND($Y128&lt;&gt;"",EDATE($D128,Milestones!$AA$117)&gt;=$Y128),$AB128,$AA128)))=Milestones!$AB$117),UPPER(TEXT(EDATE($D128,Milestones!$AA$117),"dd mmm yy"))&amp;" "&amp;Milestones!$AB$117&amp;" "&amp;IF(AND(Milestones!$AB$117="FT",Milestones!$AA$117=FT_Y5,EDATE($D128,Milestones!$AA$117)&lt;PolicyEff),1,Milestones!$AC$117)&amp;";  ","")&amp;IF(AND(EDATE($D128,Milestones!$AA$118)&lt;=AsOfDate,EDATE($D128,Milestones!$AA$118)&gt;=SchemeStart,IF($X128=0,$AD128,IF(AND($Z128&lt;&gt;"",EDATE($D128,Milestones!$AA$118)&gt;=$Z128),$AC128,IF(AND($Y128&lt;&gt;"",EDATE($D128,Milestones!$AA$118)&gt;=$Y128),$AB128,$AA128)))=Milestones!$AB$118),UPPER(TEXT(EDATE($D128,Milestones!$AA$118),"dd mmm yy"))&amp;" "&amp;Milestones!$AB$118&amp;" "&amp;IF(AND(Milestones!$AB$118="FT",Milestones!$AA$118=FT_Y5,EDATE($D128,Milestones!$AA$118)&lt;PolicyEff),1,Milestones!$AC$118)&amp;";  ","")&amp;IF(AND(EDATE($D128,Milestones!$AA$119)&lt;=AsOfDate,EDATE($D128,Milestones!$AA$119)&gt;=SchemeStart,IF($X128=0,$AD128,IF(AND($Z128&lt;&gt;"",EDATE($D128,Milestones!$AA$119)&gt;=$Z128),$AC128,IF(AND($Y128&lt;&gt;"",EDATE($D128,Milestones!$AA$119)&gt;=$Y128),$AB128,$AA128)))=Milestones!$AB$119),UPPER(TEXT(EDATE($D128,Milestones!$AA$119),"dd mmm yy"))&amp;" "&amp;Milestones!$AB$119&amp;" "&amp;IF(AND(Milestones!$AB$119="FT",Milestones!$AA$119=FT_Y5,EDATE($D128,Milestones!$AA$119)&lt;PolicyEff),1,Milestones!$AC$119)&amp;";  ","")&amp;IF(AND(EDATE($D128,Milestones!$AA$120)&lt;=AsOfDate,EDATE($D128,Milestones!$AA$120)&gt;=SchemeStart,IF($X128=0,$AD128,IF(AND($Z128&lt;&gt;"",EDATE($D128,Milestones!$AA$120)&gt;=$Z128),$AC128,IF(AND($Y128&lt;&gt;"",EDATE($D128,Milestones!$AA$120)&gt;=$Y128),$AB128,$AA128)))=Milestones!$AB$120),UPPER(TEXT(EDATE($D128,Milestones!$AA$120),"dd mmm yy"))&amp;" "&amp;Milestones!$AB$120&amp;" "&amp;IF(AND(Milestones!$AB$120="FT",Milestones!$AA$120=FT_Y5,EDATE($D128,Milestones!$AA$120)&lt;PolicyEff),1,Milestones!$AC$120)&amp;";  ","")&amp;IF(AND(EDATE($D128,Milestones!$AA$121)&lt;=AsOfDate,EDATE($D128,Milestones!$AA$121)&gt;=SchemeStart,IF($X128=0,$AD128,IF(AND($Z128&lt;&gt;"",EDATE($D128,Milestones!$AA$121)&gt;=$Z128),$AC128,IF(AND($Y128&lt;&gt;"",EDATE($D128,Milestones!$AA$121)&gt;=$Y128),$AB128,$AA128)))=Milestones!$AB$121),UPPER(TEXT(EDATE($D128,Milestones!$AA$121),"dd mmm yy"))&amp;" "&amp;Milestones!$AB$121&amp;" "&amp;IF(AND(Milestones!$AB$121="FT",Milestones!$AA$121=FT_Y5,EDATE($D128,Milestones!$AA$121)&lt;PolicyEff),1,Milestones!$AC$121)&amp;";  ","")&amp;IF(AND(EDATE($D128,Milestones!$AA$122)&lt;=AsOfDate,EDATE($D128,Milestones!$AA$122)&gt;=SchemeStart,IF($X128=0,$AD128,IF(AND($Z128&lt;&gt;"",EDATE($D128,Milestones!$AA$122)&gt;=$Z128),$AC128,IF(AND($Y128&lt;&gt;"",EDATE($D128,Milestones!$AA$122)&gt;=$Y128),$AB128,$AA128)))=Milestones!$AB$122),UPPER(TEXT(EDATE($D128,Milestones!$AA$122),"dd mmm yy"))&amp;" "&amp;Milestones!$AB$122&amp;" "&amp;IF(AND(Milestones!$AB$122="FT",Milestones!$AA$122=FT_Y5,EDATE($D128,Milestones!$AA$122)&lt;PolicyEff),1,Milestones!$AC$122)&amp;";  ","")&amp;IF(AND(EDATE($D128,Milestones!$AA$123)&lt;=AsOfDate,EDATE($D128,Milestones!$AA$123)&gt;=SchemeStart,IF($X128=0,$AD128,IF(AND($Z128&lt;&gt;"",EDATE($D128,Milestones!$AA$123)&gt;=$Z128),$AC128,IF(AND($Y128&lt;&gt;"",EDATE($D128,Milestones!$AA$123)&gt;=$Y128),$AB128,$AA128)))=Milestones!$AB$123),UPPER(TEXT(EDATE($D128,Milestones!$AA$123),"dd mmm yy"))&amp;" "&amp;Milestones!$AB$123&amp;" "&amp;IF(AND(Milestones!$AB$123="FT",Milestones!$AA$123=FT_Y5,EDATE($D128,Milestones!$AA$123)&lt;PolicyEff),1,Milestones!$AC$123)&amp;";  ","")&amp;IF(AND(EDATE($D128,Milestones!$AA$124)&lt;=AsOfDate,EDATE($D128,Milestones!$AA$124)&gt;=SchemeStart,IF($X128=0,$AD128,IF(AND($Z128&lt;&gt;"",EDATE($D128,Milestones!$AA$124)&gt;=$Z128),$AC128,IF(AND($Y128&lt;&gt;"",EDATE($D128,Milestones!$AA$124)&gt;=$Y128),$AB128,$AA128)))=Milestones!$AB$124),UPPER(TEXT(EDATE($D128,Milestones!$AA$124),"dd mmm yy"))&amp;" "&amp;Milestones!$AB$124&amp;" "&amp;IF(AND(Milestones!$AB$124="FT",Milestones!$AA$124=FT_Y5,EDATE($D128,Milestones!$AA$124)&lt;PolicyEff),1,Milestones!$AC$124)&amp;";  ","")&amp;IF(AND(EDATE($D128,Milestones!$AA$125)&lt;=AsOfDate,EDATE($D128,Milestones!$AA$125)&gt;=SchemeStart,IF($X128=0,$AD128,IF(AND($Z128&lt;&gt;"",EDATE($D128,Milestones!$AA$125)&gt;=$Z128),$AC128,IF(AND($Y128&lt;&gt;"",EDATE($D128,Milestones!$AA$125)&gt;=$Y128),$AB128,$AA128)))=Milestones!$AB$125),UPPER(TEXT(EDATE($D128,Milestones!$AA$125),"dd mmm yy"))&amp;" "&amp;Milestones!$AB$125&amp;" "&amp;IF(AND(Milestones!$AB$125="FT",Milestones!$AA$125=FT_Y5,EDATE($D128,Milestones!$AA$125)&lt;PolicyEff),1,Milestones!$AC$125)&amp;";  ","")&amp;IF(AND(EDATE($D128,Milestones!$AA$126)&lt;=AsOfDate,EDATE($D128,Milestones!$AA$126)&gt;=SchemeStart,IF($X128=0,$AD128,IF(AND($Z128&lt;&gt;"",EDATE($D128,Milestones!$AA$126)&gt;=$Z128),$AC128,IF(AND($Y128&lt;&gt;"",EDATE($D128,Milestones!$AA$126)&gt;=$Y128),$AB128,$AA128)))=Milestones!$AB$126),UPPER(TEXT(EDATE($D128,Milestones!$AA$126),"dd mmm yy"))&amp;" "&amp;Milestones!$AB$126&amp;" "&amp;IF(AND(Milestones!$AB$126="FT",Milestones!$AA$126=FT_Y5,EDATE($D128,Milestones!$AA$126)&lt;PolicyEff),1,Milestones!$AC$126)&amp;";  ","")&amp;IF(AND(EDATE($D128,Milestones!$AA$127)&lt;=AsOfDate,EDATE($D128,Milestones!$AA$127)&gt;=SchemeStart,IF($X128=0,$AD128,IF(AND($Z128&lt;&gt;"",EDATE($D128,Milestones!$AA$127)&gt;=$Z128),$AC128,IF(AND($Y128&lt;&gt;"",EDATE($D128,Milestones!$AA$127)&gt;=$Y128),$AB128,$AA128)))=Milestones!$AB$127),UPPER(TEXT(EDATE($D128,Milestones!$AA$127),"dd mmm yy"))&amp;" "&amp;Milestones!$AB$127&amp;" "&amp;IF(AND(Milestones!$AB$127="FT",Milestones!$AA$127=FT_Y5,EDATE($D128,Milestones!$AA$127)&lt;PolicyEff),1,Milestones!$AC$127)&amp;";  ",""))</f>
        <v/>
      </c>
      <c r="R128" s="0" t="str">
        <f aca="false">IF(OR($A128="",$D128=""),"",IF(AND(EDATE($D128,Milestones!$AA$128)&lt;=AsOfDate,EDATE($D128,Milestones!$AA$128)&gt;=SchemeStart,IF($X128=0,$AD128,IF(AND($Z128&lt;&gt;"",EDATE($D128,Milestones!$AA$128)&gt;=$Z128),$AC128,IF(AND($Y128&lt;&gt;"",EDATE($D128,Milestones!$AA$128)&gt;=$Y128),$AB128,$AA128)))=Milestones!$AB$128),UPPER(TEXT(EDATE($D128,Milestones!$AA$128),"dd mmm yy"))&amp;" "&amp;Milestones!$AB$128&amp;" "&amp;IF(AND(Milestones!$AB$128="FT",Milestones!$AA$128=FT_Y5,EDATE($D128,Milestones!$AA$128)&lt;PolicyEff),1,Milestones!$AC$128)&amp;";  ","")&amp;IF(AND(EDATE($D128,Milestones!$AA$129)&lt;=AsOfDate,EDATE($D128,Milestones!$AA$129)&gt;=SchemeStart,IF($X128=0,$AD128,IF(AND($Z128&lt;&gt;"",EDATE($D128,Milestones!$AA$129)&gt;=$Z128),$AC128,IF(AND($Y128&lt;&gt;"",EDATE($D128,Milestones!$AA$129)&gt;=$Y128),$AB128,$AA128)))=Milestones!$AB$129),UPPER(TEXT(EDATE($D128,Milestones!$AA$129),"dd mmm yy"))&amp;" "&amp;Milestones!$AB$129&amp;" "&amp;IF(AND(Milestones!$AB$129="FT",Milestones!$AA$129=FT_Y5,EDATE($D128,Milestones!$AA$129)&lt;PolicyEff),1,Milestones!$AC$129)&amp;";  ","")&amp;IF(AND(EDATE($D128,Milestones!$AA$130)&lt;=AsOfDate,EDATE($D128,Milestones!$AA$130)&gt;=SchemeStart,IF($X128=0,$AD128,IF(AND($Z128&lt;&gt;"",EDATE($D128,Milestones!$AA$130)&gt;=$Z128),$AC128,IF(AND($Y128&lt;&gt;"",EDATE($D128,Milestones!$AA$130)&gt;=$Y128),$AB128,$AA128)))=Milestones!$AB$130),UPPER(TEXT(EDATE($D128,Milestones!$AA$130),"dd mmm yy"))&amp;" "&amp;Milestones!$AB$130&amp;" "&amp;IF(AND(Milestones!$AB$130="FT",Milestones!$AA$130=FT_Y5,EDATE($D128,Milestones!$AA$130)&lt;PolicyEff),1,Milestones!$AC$130)&amp;";  ","")&amp;IF(AND(EDATE($D128,Milestones!$AA$131)&lt;=AsOfDate,EDATE($D128,Milestones!$AA$131)&gt;=SchemeStart,IF($X128=0,$AD128,IF(AND($Z128&lt;&gt;"",EDATE($D128,Milestones!$AA$131)&gt;=$Z128),$AC128,IF(AND($Y128&lt;&gt;"",EDATE($D128,Milestones!$AA$131)&gt;=$Y128),$AB128,$AA128)))=Milestones!$AB$131),UPPER(TEXT(EDATE($D128,Milestones!$AA$131),"dd mmm yy"))&amp;" "&amp;Milestones!$AB$131&amp;" "&amp;IF(AND(Milestones!$AB$131="FT",Milestones!$AA$131=FT_Y5,EDATE($D128,Milestones!$AA$131)&lt;PolicyEff),1,Milestones!$AC$131)&amp;";  ","")&amp;IF(AND(EDATE($D128,Milestones!$AA$132)&lt;=AsOfDate,EDATE($D128,Milestones!$AA$132)&gt;=SchemeStart,IF($X128=0,$AD128,IF(AND($Z128&lt;&gt;"",EDATE($D128,Milestones!$AA$132)&gt;=$Z128),$AC128,IF(AND($Y128&lt;&gt;"",EDATE($D128,Milestones!$AA$132)&gt;=$Y128),$AB128,$AA128)))=Milestones!$AB$132),UPPER(TEXT(EDATE($D128,Milestones!$AA$132),"dd mmm yy"))&amp;" "&amp;Milestones!$AB$132&amp;" "&amp;IF(AND(Milestones!$AB$132="FT",Milestones!$AA$132=FT_Y5,EDATE($D128,Milestones!$AA$132)&lt;PolicyEff),1,Milestones!$AC$132)&amp;";  ","")&amp;IF(AND(EDATE($D128,Milestones!$AA$133)&lt;=AsOfDate,EDATE($D128,Milestones!$AA$133)&gt;=SchemeStart,IF($X128=0,$AD128,IF(AND($Z128&lt;&gt;"",EDATE($D128,Milestones!$AA$133)&gt;=$Z128),$AC128,IF(AND($Y128&lt;&gt;"",EDATE($D128,Milestones!$AA$133)&gt;=$Y128),$AB128,$AA128)))=Milestones!$AB$133),UPPER(TEXT(EDATE($D128,Milestones!$AA$133),"dd mmm yy"))&amp;" "&amp;Milestones!$AB$133&amp;" "&amp;IF(AND(Milestones!$AB$133="FT",Milestones!$AA$133=FT_Y5,EDATE($D128,Milestones!$AA$133)&lt;PolicyEff),1,Milestones!$AC$133)&amp;";  ","")&amp;IF(AND(EDATE($D128,Milestones!$AA$134)&lt;=AsOfDate,EDATE($D128,Milestones!$AA$134)&gt;=SchemeStart,IF($X128=0,$AD128,IF(AND($Z128&lt;&gt;"",EDATE($D128,Milestones!$AA$134)&gt;=$Z128),$AC128,IF(AND($Y128&lt;&gt;"",EDATE($D128,Milestones!$AA$134)&gt;=$Y128),$AB128,$AA128)))=Milestones!$AB$134),UPPER(TEXT(EDATE($D128,Milestones!$AA$134),"dd mmm yy"))&amp;" "&amp;Milestones!$AB$134&amp;" "&amp;IF(AND(Milestones!$AB$134="FT",Milestones!$AA$134=FT_Y5,EDATE($D128,Milestones!$AA$134)&lt;PolicyEff),1,Milestones!$AC$134)&amp;";  ","")&amp;IF(AND(EDATE($D128,Milestones!$AA$135)&lt;=AsOfDate,EDATE($D128,Milestones!$AA$135)&gt;=SchemeStart,IF($X128=0,$AD128,IF(AND($Z128&lt;&gt;"",EDATE($D128,Milestones!$AA$135)&gt;=$Z128),$AC128,IF(AND($Y128&lt;&gt;"",EDATE($D128,Milestones!$AA$135)&gt;=$Y128),$AB128,$AA128)))=Milestones!$AB$135),UPPER(TEXT(EDATE($D128,Milestones!$AA$135),"dd mmm yy"))&amp;" "&amp;Milestones!$AB$135&amp;" "&amp;IF(AND(Milestones!$AB$135="FT",Milestones!$AA$135=FT_Y5,EDATE($D128,Milestones!$AA$135)&lt;PolicyEff),1,Milestones!$AC$135)&amp;";  ","")&amp;IF(AND(EDATE($D128,Milestones!$AA$136)&lt;=AsOfDate,EDATE($D128,Milestones!$AA$136)&gt;=SchemeStart,IF($X128=0,$AD128,IF(AND($Z128&lt;&gt;"",EDATE($D128,Milestones!$AA$136)&gt;=$Z128),$AC128,IF(AND($Y128&lt;&gt;"",EDATE($D128,Milestones!$AA$136)&gt;=$Y128),$AB128,$AA128)))=Milestones!$AB$136),UPPER(TEXT(EDATE($D128,Milestones!$AA$136),"dd mmm yy"))&amp;" "&amp;Milestones!$AB$136&amp;" "&amp;IF(AND(Milestones!$AB$136="FT",Milestones!$AA$136=FT_Y5,EDATE($D128,Milestones!$AA$136)&lt;PolicyEff),1,Milestones!$AC$136)&amp;";  ","")&amp;IF(AND(EDATE($D128,Milestones!$AA$137)&lt;=AsOfDate,EDATE($D128,Milestones!$AA$137)&gt;=SchemeStart,IF($X128=0,$AD128,IF(AND($Z128&lt;&gt;"",EDATE($D128,Milestones!$AA$137)&gt;=$Z128),$AC128,IF(AND($Y128&lt;&gt;"",EDATE($D128,Milestones!$AA$137)&gt;=$Y128),$AB128,$AA128)))=Milestones!$AB$137),UPPER(TEXT(EDATE($D128,Milestones!$AA$137),"dd mmm yy"))&amp;" "&amp;Milestones!$AB$137&amp;" "&amp;IF(AND(Milestones!$AB$137="FT",Milestones!$AA$137=FT_Y5,EDATE($D128,Milestones!$AA$137)&lt;PolicyEff),1,Milestones!$AC$137)&amp;";  ","")&amp;IF(AND(EDATE($D128,Milestones!$AA$138)&lt;=AsOfDate,EDATE($D128,Milestones!$AA$138)&gt;=SchemeStart,IF($X128=0,$AD128,IF(AND($Z128&lt;&gt;"",EDATE($D128,Milestones!$AA$138)&gt;=$Z128),$AC128,IF(AND($Y128&lt;&gt;"",EDATE($D128,Milestones!$AA$138)&gt;=$Y128),$AB128,$AA128)))=Milestones!$AB$138),UPPER(TEXT(EDATE($D128,Milestones!$AA$138),"dd mmm yy"))&amp;" "&amp;Milestones!$AB$138&amp;" "&amp;IF(AND(Milestones!$AB$138="FT",Milestones!$AA$138=FT_Y5,EDATE($D128,Milestones!$AA$138)&lt;PolicyEff),1,Milestones!$AC$138)&amp;";  ","")&amp;IF(AND(EDATE($D128,Milestones!$AA$139)&lt;=AsOfDate,EDATE($D128,Milestones!$AA$139)&gt;=SchemeStart,IF($X128=0,$AD128,IF(AND($Z128&lt;&gt;"",EDATE($D128,Milestones!$AA$139)&gt;=$Z128),$AC128,IF(AND($Y128&lt;&gt;"",EDATE($D128,Milestones!$AA$139)&gt;=$Y128),$AB128,$AA128)))=Milestones!$AB$139),UPPER(TEXT(EDATE($D128,Milestones!$AA$139),"dd mmm yy"))&amp;" "&amp;Milestones!$AB$139&amp;" "&amp;IF(AND(Milestones!$AB$139="FT",Milestones!$AA$139=FT_Y5,EDATE($D128,Milestones!$AA$139)&lt;PolicyEff),1,Milestones!$AC$139)&amp;";  ",""))</f>
        <v/>
      </c>
      <c r="S128" s="0" t="str">
        <f aca="false">IF(OR($A128="",$D128=""),"",IF(AND(EDATE($D128,Milestones!$AA$140)&lt;=AsOfDate,EDATE($D128,Milestones!$AA$140)&gt;=SchemeStart,IF($X128=0,$AD128,IF(AND($Z128&lt;&gt;"",EDATE($D128,Milestones!$AA$140)&gt;=$Z128),$AC128,IF(AND($Y128&lt;&gt;"",EDATE($D128,Milestones!$AA$140)&gt;=$Y128),$AB128,$AA128)))=Milestones!$AB$140),UPPER(TEXT(EDATE($D128,Milestones!$AA$140),"dd mmm yy"))&amp;" "&amp;Milestones!$AB$140&amp;" "&amp;IF(AND(Milestones!$AB$140="FT",Milestones!$AA$140=FT_Y5,EDATE($D128,Milestones!$AA$140)&lt;PolicyEff),1,Milestones!$AC$140)&amp;";  ","")&amp;IF(AND(EDATE($D128,Milestones!$AA$141)&lt;=AsOfDate,EDATE($D128,Milestones!$AA$141)&gt;=SchemeStart,IF($X128=0,$AD128,IF(AND($Z128&lt;&gt;"",EDATE($D128,Milestones!$AA$141)&gt;=$Z128),$AC128,IF(AND($Y128&lt;&gt;"",EDATE($D128,Milestones!$AA$141)&gt;=$Y128),$AB128,$AA128)))=Milestones!$AB$141),UPPER(TEXT(EDATE($D128,Milestones!$AA$141),"dd mmm yy"))&amp;" "&amp;Milestones!$AB$141&amp;" "&amp;IF(AND(Milestones!$AB$141="FT",Milestones!$AA$141=FT_Y5,EDATE($D128,Milestones!$AA$141)&lt;PolicyEff),1,Milestones!$AC$141)&amp;";  ","")&amp;IF(AND(EDATE($D128,Milestones!$AA$142)&lt;=AsOfDate,EDATE($D128,Milestones!$AA$142)&gt;=SchemeStart,IF($X128=0,$AD128,IF(AND($Z128&lt;&gt;"",EDATE($D128,Milestones!$AA$142)&gt;=$Z128),$AC128,IF(AND($Y128&lt;&gt;"",EDATE($D128,Milestones!$AA$142)&gt;=$Y128),$AB128,$AA128)))=Milestones!$AB$142),UPPER(TEXT(EDATE($D128,Milestones!$AA$142),"dd mmm yy"))&amp;" "&amp;Milestones!$AB$142&amp;" "&amp;IF(AND(Milestones!$AB$142="FT",Milestones!$AA$142=FT_Y5,EDATE($D128,Milestones!$AA$142)&lt;PolicyEff),1,Milestones!$AC$142)&amp;";  ","")&amp;IF(AND(EDATE($D128,Milestones!$AA$143)&lt;=AsOfDate,EDATE($D128,Milestones!$AA$143)&gt;=SchemeStart,IF($X128=0,$AD128,IF(AND($Z128&lt;&gt;"",EDATE($D128,Milestones!$AA$143)&gt;=$Z128),$AC128,IF(AND($Y128&lt;&gt;"",EDATE($D128,Milestones!$AA$143)&gt;=$Y128),$AB128,$AA128)))=Milestones!$AB$143),UPPER(TEXT(EDATE($D128,Milestones!$AA$143),"dd mmm yy"))&amp;" "&amp;Milestones!$AB$143&amp;" "&amp;IF(AND(Milestones!$AB$143="FT",Milestones!$AA$143=FT_Y5,EDATE($D128,Milestones!$AA$143)&lt;PolicyEff),1,Milestones!$AC$143)&amp;";  ","")&amp;IF(AND(EDATE($D128,Milestones!$AA$144)&lt;=AsOfDate,EDATE($D128,Milestones!$AA$144)&gt;=SchemeStart,IF($X128=0,$AD128,IF(AND($Z128&lt;&gt;"",EDATE($D128,Milestones!$AA$144)&gt;=$Z128),$AC128,IF(AND($Y128&lt;&gt;"",EDATE($D128,Milestones!$AA$144)&gt;=$Y128),$AB128,$AA128)))=Milestones!$AB$144),UPPER(TEXT(EDATE($D128,Milestones!$AA$144),"dd mmm yy"))&amp;" "&amp;Milestones!$AB$144&amp;" "&amp;IF(AND(Milestones!$AB$144="FT",Milestones!$AA$144=FT_Y5,EDATE($D128,Milestones!$AA$144)&lt;PolicyEff),1,Milestones!$AC$144)&amp;";  ","")&amp;IF(AND(EDATE($D128,Milestones!$AA$145)&lt;=AsOfDate,EDATE($D128,Milestones!$AA$145)&gt;=SchemeStart,IF($X128=0,$AD128,IF(AND($Z128&lt;&gt;"",EDATE($D128,Milestones!$AA$145)&gt;=$Z128),$AC128,IF(AND($Y128&lt;&gt;"",EDATE($D128,Milestones!$AA$145)&gt;=$Y128),$AB128,$AA128)))=Milestones!$AB$145),UPPER(TEXT(EDATE($D128,Milestones!$AA$145),"dd mmm yy"))&amp;" "&amp;Milestones!$AB$145&amp;" "&amp;IF(AND(Milestones!$AB$145="FT",Milestones!$AA$145=FT_Y5,EDATE($D128,Milestones!$AA$145)&lt;PolicyEff),1,Milestones!$AC$145)&amp;";  ","")&amp;IF(AND(EDATE($D128,Milestones!$AA$146)&lt;=AsOfDate,EDATE($D128,Milestones!$AA$146)&gt;=SchemeStart,IF($X128=0,$AD128,IF(AND($Z128&lt;&gt;"",EDATE($D128,Milestones!$AA$146)&gt;=$Z128),$AC128,IF(AND($Y128&lt;&gt;"",EDATE($D128,Milestones!$AA$146)&gt;=$Y128),$AB128,$AA128)))=Milestones!$AB$146),UPPER(TEXT(EDATE($D128,Milestones!$AA$146),"dd mmm yy"))&amp;" "&amp;Milestones!$AB$146&amp;" "&amp;IF(AND(Milestones!$AB$146="FT",Milestones!$AA$146=FT_Y5,EDATE($D128,Milestones!$AA$146)&lt;PolicyEff),1,Milestones!$AC$146)&amp;";  ","")&amp;IF(AND(EDATE($D128,Milestones!$AA$147)&lt;=AsOfDate,EDATE($D128,Milestones!$AA$147)&gt;=SchemeStart,IF($X128=0,$AD128,IF(AND($Z128&lt;&gt;"",EDATE($D128,Milestones!$AA$147)&gt;=$Z128),$AC128,IF(AND($Y128&lt;&gt;"",EDATE($D128,Milestones!$AA$147)&gt;=$Y128),$AB128,$AA128)))=Milestones!$AB$147),UPPER(TEXT(EDATE($D128,Milestones!$AA$147),"dd mmm yy"))&amp;" "&amp;Milestones!$AB$147&amp;" "&amp;IF(AND(Milestones!$AB$147="FT",Milestones!$AA$147=FT_Y5,EDATE($D128,Milestones!$AA$147)&lt;PolicyEff),1,Milestones!$AC$147)&amp;";  ","")&amp;IF(AND(EDATE($D128,Milestones!$AA$148)&lt;=AsOfDate,EDATE($D128,Milestones!$AA$148)&gt;=SchemeStart,IF($X128=0,$AD128,IF(AND($Z128&lt;&gt;"",EDATE($D128,Milestones!$AA$148)&gt;=$Z128),$AC128,IF(AND($Y128&lt;&gt;"",EDATE($D128,Milestones!$AA$148)&gt;=$Y128),$AB128,$AA128)))=Milestones!$AB$148),UPPER(TEXT(EDATE($D128,Milestones!$AA$148),"dd mmm yy"))&amp;" "&amp;Milestones!$AB$148&amp;" "&amp;IF(AND(Milestones!$AB$148="FT",Milestones!$AA$148=FT_Y5,EDATE($D128,Milestones!$AA$148)&lt;PolicyEff),1,Milestones!$AC$148)&amp;";  ","")&amp;IF(AND(EDATE($D128,Milestones!$AA$149)&lt;=AsOfDate,EDATE($D128,Milestones!$AA$149)&gt;=SchemeStart,IF($X128=0,$AD128,IF(AND($Z128&lt;&gt;"",EDATE($D128,Milestones!$AA$149)&gt;=$Z128),$AC128,IF(AND($Y128&lt;&gt;"",EDATE($D128,Milestones!$AA$149)&gt;=$Y128),$AB128,$AA128)))=Milestones!$AB$149),UPPER(TEXT(EDATE($D128,Milestones!$AA$149),"dd mmm yy"))&amp;" "&amp;Milestones!$AB$149&amp;" "&amp;IF(AND(Milestones!$AB$149="FT",Milestones!$AA$149=FT_Y5,EDATE($D128,Milestones!$AA$149)&lt;PolicyEff),1,Milestones!$AC$149)&amp;";  ","")&amp;IF(AND(EDATE($D128,Milestones!$AA$150)&lt;=AsOfDate,EDATE($D128,Milestones!$AA$150)&gt;=SchemeStart,IF($X128=0,$AD128,IF(AND($Z128&lt;&gt;"",EDATE($D128,Milestones!$AA$150)&gt;=$Z128),$AC128,IF(AND($Y128&lt;&gt;"",EDATE($D128,Milestones!$AA$150)&gt;=$Y128),$AB128,$AA128)))=Milestones!$AB$150),UPPER(TEXT(EDATE($D128,Milestones!$AA$150),"dd mmm yy"))&amp;" "&amp;Milestones!$AB$150&amp;" "&amp;IF(AND(Milestones!$AB$150="FT",Milestones!$AA$150=FT_Y5,EDATE($D128,Milestones!$AA$150)&lt;PolicyEff),1,Milestones!$AC$150)&amp;";  ","")&amp;IF(AND(EDATE($D128,Milestones!$AA$151)&lt;=AsOfDate,EDATE($D128,Milestones!$AA$151)&gt;=SchemeStart,IF($X128=0,$AD128,IF(AND($Z128&lt;&gt;"",EDATE($D128,Milestones!$AA$151)&gt;=$Z128),$AC128,IF(AND($Y128&lt;&gt;"",EDATE($D128,Milestones!$AA$151)&gt;=$Y128),$AB128,$AA128)))=Milestones!$AB$151),UPPER(TEXT(EDATE($D128,Milestones!$AA$151),"dd mmm yy"))&amp;" "&amp;Milestones!$AB$151&amp;" "&amp;IF(AND(Milestones!$AB$151="FT",Milestones!$AA$151=FT_Y5,EDATE($D128,Milestones!$AA$151)&lt;PolicyEff),1,Milestones!$AC$151)&amp;";  ",""))</f>
        <v/>
      </c>
      <c r="T128" s="0" t="str">
        <f aca="false">IF(OR($A128="",$D128=""),"",IF(AND(EDATE($D128,Milestones!$AA$152)&lt;=AsOfDate,EDATE($D128,Milestones!$AA$152)&gt;=SchemeStart,IF($X128=0,$AD128,IF(AND($Z128&lt;&gt;"",EDATE($D128,Milestones!$AA$152)&gt;=$Z128),$AC128,IF(AND($Y128&lt;&gt;"",EDATE($D128,Milestones!$AA$152)&gt;=$Y128),$AB128,$AA128)))=Milestones!$AB$152),UPPER(TEXT(EDATE($D128,Milestones!$AA$152),"dd mmm yy"))&amp;" "&amp;Milestones!$AB$152&amp;" "&amp;IF(AND(Milestones!$AB$152="FT",Milestones!$AA$152=FT_Y5,EDATE($D128,Milestones!$AA$152)&lt;PolicyEff),1,Milestones!$AC$152)&amp;";  ","")&amp;IF(AND(EDATE($D128,Milestones!$AA$153)&lt;=AsOfDate,EDATE($D128,Milestones!$AA$153)&gt;=SchemeStart,IF($X128=0,$AD128,IF(AND($Z128&lt;&gt;"",EDATE($D128,Milestones!$AA$153)&gt;=$Z128),$AC128,IF(AND($Y128&lt;&gt;"",EDATE($D128,Milestones!$AA$153)&gt;=$Y128),$AB128,$AA128)))=Milestones!$AB$153),UPPER(TEXT(EDATE($D128,Milestones!$AA$153),"dd mmm yy"))&amp;" "&amp;Milestones!$AB$153&amp;" "&amp;IF(AND(Milestones!$AB$153="FT",Milestones!$AA$153=FT_Y5,EDATE($D128,Milestones!$AA$153)&lt;PolicyEff),1,Milestones!$AC$153)&amp;";  ","")&amp;IF(AND(EDATE($D128,Milestones!$AA$154)&lt;=AsOfDate,EDATE($D128,Milestones!$AA$154)&gt;=SchemeStart,IF($X128=0,$AD128,IF(AND($Z128&lt;&gt;"",EDATE($D128,Milestones!$AA$154)&gt;=$Z128),$AC128,IF(AND($Y128&lt;&gt;"",EDATE($D128,Milestones!$AA$154)&gt;=$Y128),$AB128,$AA128)))=Milestones!$AB$154),UPPER(TEXT(EDATE($D128,Milestones!$AA$154),"dd mmm yy"))&amp;" "&amp;Milestones!$AB$154&amp;" "&amp;IF(AND(Milestones!$AB$154="FT",Milestones!$AA$154=FT_Y5,EDATE($D128,Milestones!$AA$154)&lt;PolicyEff),1,Milestones!$AC$154)&amp;";  ","")&amp;IF(AND(EDATE($D128,Milestones!$AA$155)&lt;=AsOfDate,EDATE($D128,Milestones!$AA$155)&gt;=SchemeStart,IF($X128=0,$AD128,IF(AND($Z128&lt;&gt;"",EDATE($D128,Milestones!$AA$155)&gt;=$Z128),$AC128,IF(AND($Y128&lt;&gt;"",EDATE($D128,Milestones!$AA$155)&gt;=$Y128),$AB128,$AA128)))=Milestones!$AB$155),UPPER(TEXT(EDATE($D128,Milestones!$AA$155),"dd mmm yy"))&amp;" "&amp;Milestones!$AB$155&amp;" "&amp;IF(AND(Milestones!$AB$155="FT",Milestones!$AA$155=FT_Y5,EDATE($D128,Milestones!$AA$155)&lt;PolicyEff),1,Milestones!$AC$155)&amp;";  ","")&amp;IF(AND(EDATE($D128,Milestones!$AA$156)&lt;=AsOfDate,EDATE($D128,Milestones!$AA$156)&gt;=SchemeStart,IF($X128=0,$AD128,IF(AND($Z128&lt;&gt;"",EDATE($D128,Milestones!$AA$156)&gt;=$Z128),$AC128,IF(AND($Y128&lt;&gt;"",EDATE($D128,Milestones!$AA$156)&gt;=$Y128),$AB128,$AA128)))=Milestones!$AB$156),UPPER(TEXT(EDATE($D128,Milestones!$AA$156),"dd mmm yy"))&amp;" "&amp;Milestones!$AB$156&amp;" "&amp;IF(AND(Milestones!$AB$156="FT",Milestones!$AA$156=FT_Y5,EDATE($D128,Milestones!$AA$156)&lt;PolicyEff),1,Milestones!$AC$156)&amp;";  ","")&amp;IF(AND(EDATE($D128,Milestones!$AA$157)&lt;=AsOfDate,EDATE($D128,Milestones!$AA$157)&gt;=SchemeStart,IF($X128=0,$AD128,IF(AND($Z128&lt;&gt;"",EDATE($D128,Milestones!$AA$157)&gt;=$Z128),$AC128,IF(AND($Y128&lt;&gt;"",EDATE($D128,Milestones!$AA$157)&gt;=$Y128),$AB128,$AA128)))=Milestones!$AB$157),UPPER(TEXT(EDATE($D128,Milestones!$AA$157),"dd mmm yy"))&amp;" "&amp;Milestones!$AB$157&amp;" "&amp;IF(AND(Milestones!$AB$157="FT",Milestones!$AA$157=FT_Y5,EDATE($D128,Milestones!$AA$157)&lt;PolicyEff),1,Milestones!$AC$157)&amp;";  ","")&amp;IF(AND(EDATE($D128,Milestones!$AA$158)&lt;=AsOfDate,EDATE($D128,Milestones!$AA$158)&gt;=SchemeStart,IF($X128=0,$AD128,IF(AND($Z128&lt;&gt;"",EDATE($D128,Milestones!$AA$158)&gt;=$Z128),$AC128,IF(AND($Y128&lt;&gt;"",EDATE($D128,Milestones!$AA$158)&gt;=$Y128),$AB128,$AA128)))=Milestones!$AB$158),UPPER(TEXT(EDATE($D128,Milestones!$AA$158),"dd mmm yy"))&amp;" "&amp;Milestones!$AB$158&amp;" "&amp;IF(AND(Milestones!$AB$158="FT",Milestones!$AA$158=FT_Y5,EDATE($D128,Milestones!$AA$158)&lt;PolicyEff),1,Milestones!$AC$158)&amp;";  ","")&amp;IF(AND(EDATE($D128,Milestones!$AA$159)&lt;=AsOfDate,EDATE($D128,Milestones!$AA$159)&gt;=SchemeStart,IF($X128=0,$AD128,IF(AND($Z128&lt;&gt;"",EDATE($D128,Milestones!$AA$159)&gt;=$Z128),$AC128,IF(AND($Y128&lt;&gt;"",EDATE($D128,Milestones!$AA$159)&gt;=$Y128),$AB128,$AA128)))=Milestones!$AB$159),UPPER(TEXT(EDATE($D128,Milestones!$AA$159),"dd mmm yy"))&amp;" "&amp;Milestones!$AB$159&amp;" "&amp;IF(AND(Milestones!$AB$159="FT",Milestones!$AA$159=FT_Y5,EDATE($D128,Milestones!$AA$159)&lt;PolicyEff),1,Milestones!$AC$159)&amp;";  ","")&amp;IF(AND(EDATE($D128,Milestones!$AA$160)&lt;=AsOfDate,EDATE($D128,Milestones!$AA$160)&gt;=SchemeStart,IF($X128=0,$AD128,IF(AND($Z128&lt;&gt;"",EDATE($D128,Milestones!$AA$160)&gt;=$Z128),$AC128,IF(AND($Y128&lt;&gt;"",EDATE($D128,Milestones!$AA$160)&gt;=$Y128),$AB128,$AA128)))=Milestones!$AB$160),UPPER(TEXT(EDATE($D128,Milestones!$AA$160),"dd mmm yy"))&amp;" "&amp;Milestones!$AB$160&amp;" "&amp;IF(AND(Milestones!$AB$160="FT",Milestones!$AA$160=FT_Y5,EDATE($D128,Milestones!$AA$160)&lt;PolicyEff),1,Milestones!$AC$160)&amp;";  ","")&amp;IF(AND(EDATE($D128,Milestones!$AA$161)&lt;=AsOfDate,EDATE($D128,Milestones!$AA$161)&gt;=SchemeStart,IF($X128=0,$AD128,IF(AND($Z128&lt;&gt;"",EDATE($D128,Milestones!$AA$161)&gt;=$Z128),$AC128,IF(AND($Y128&lt;&gt;"",EDATE($D128,Milestones!$AA$161)&gt;=$Y128),$AB128,$AA128)))=Milestones!$AB$161),UPPER(TEXT(EDATE($D128,Milestones!$AA$161),"dd mmm yy"))&amp;" "&amp;Milestones!$AB$161&amp;" "&amp;IF(AND(Milestones!$AB$161="FT",Milestones!$AA$161=FT_Y5,EDATE($D128,Milestones!$AA$161)&lt;PolicyEff),1,Milestones!$AC$161)&amp;";  ","")&amp;IF(AND(EDATE($D128,Milestones!$AA$162)&lt;=AsOfDate,EDATE($D128,Milestones!$AA$162)&gt;=SchemeStart,IF($X128=0,$AD128,IF(AND($Z128&lt;&gt;"",EDATE($D128,Milestones!$AA$162)&gt;=$Z128),$AC128,IF(AND($Y128&lt;&gt;"",EDATE($D128,Milestones!$AA$162)&gt;=$Y128),$AB128,$AA128)))=Milestones!$AB$162),UPPER(TEXT(EDATE($D128,Milestones!$AA$162),"dd mmm yy"))&amp;" "&amp;Milestones!$AB$162&amp;" "&amp;IF(AND(Milestones!$AB$162="FT",Milestones!$AA$162=FT_Y5,EDATE($D128,Milestones!$AA$162)&lt;PolicyEff),1,Milestones!$AC$162)&amp;";  ","")&amp;IF(AND(EDATE($D128,Milestones!$AA$163)&lt;=AsOfDate,EDATE($D128,Milestones!$AA$163)&gt;=SchemeStart,IF($X128=0,$AD128,IF(AND($Z128&lt;&gt;"",EDATE($D128,Milestones!$AA$163)&gt;=$Z128),$AC128,IF(AND($Y128&lt;&gt;"",EDATE($D128,Milestones!$AA$163)&gt;=$Y128),$AB128,$AA128)))=Milestones!$AB$163),UPPER(TEXT(EDATE($D128,Milestones!$AA$163),"dd mmm yy"))&amp;" "&amp;Milestones!$AB$163&amp;" "&amp;IF(AND(Milestones!$AB$163="FT",Milestones!$AA$163=FT_Y5,EDATE($D128,Milestones!$AA$163)&lt;PolicyEff),1,Milestones!$AC$163)&amp;";  ",""))</f>
        <v/>
      </c>
      <c r="U128" s="0" t="str">
        <f aca="false">IF(OR($A128="",$D128=""),"",IF(AND(EDATE($D128,Milestones!$AA$164)&lt;=AsOfDate,EDATE($D128,Milestones!$AA$164)&gt;=SchemeStart,IF($X128=0,$AD128,IF(AND($Z128&lt;&gt;"",EDATE($D128,Milestones!$AA$164)&gt;=$Z128),$AC128,IF(AND($Y128&lt;&gt;"",EDATE($D128,Milestones!$AA$164)&gt;=$Y128),$AB128,$AA128)))=Milestones!$AB$164),UPPER(TEXT(EDATE($D128,Milestones!$AA$164),"dd mmm yy"))&amp;" "&amp;Milestones!$AB$164&amp;" "&amp;IF(AND(Milestones!$AB$164="FT",Milestones!$AA$164=FT_Y5,EDATE($D128,Milestones!$AA$164)&lt;PolicyEff),1,Milestones!$AC$164)&amp;";  ","")&amp;IF(AND(EDATE($D128,Milestones!$AA$165)&lt;=AsOfDate,EDATE($D128,Milestones!$AA$165)&gt;=SchemeStart,IF($X128=0,$AD128,IF(AND($Z128&lt;&gt;"",EDATE($D128,Milestones!$AA$165)&gt;=$Z128),$AC128,IF(AND($Y128&lt;&gt;"",EDATE($D128,Milestones!$AA$165)&gt;=$Y128),$AB128,$AA128)))=Milestones!$AB$165),UPPER(TEXT(EDATE($D128,Milestones!$AA$165),"dd mmm yy"))&amp;" "&amp;Milestones!$AB$165&amp;" "&amp;IF(AND(Milestones!$AB$165="FT",Milestones!$AA$165=FT_Y5,EDATE($D128,Milestones!$AA$165)&lt;PolicyEff),1,Milestones!$AC$165)&amp;";  ","")&amp;IF(AND(EDATE($D128,Milestones!$AA$166)&lt;=AsOfDate,EDATE($D128,Milestones!$AA$166)&gt;=SchemeStart,IF($X128=0,$AD128,IF(AND($Z128&lt;&gt;"",EDATE($D128,Milestones!$AA$166)&gt;=$Z128),$AC128,IF(AND($Y128&lt;&gt;"",EDATE($D128,Milestones!$AA$166)&gt;=$Y128),$AB128,$AA128)))=Milestones!$AB$166),UPPER(TEXT(EDATE($D128,Milestones!$AA$166),"dd mmm yy"))&amp;" "&amp;Milestones!$AB$166&amp;" "&amp;IF(AND(Milestones!$AB$166="FT",Milestones!$AA$166=FT_Y5,EDATE($D128,Milestones!$AA$166)&lt;PolicyEff),1,Milestones!$AC$166)&amp;";  ","")&amp;IF(AND(EDATE($D128,Milestones!$AA$167)&lt;=AsOfDate,EDATE($D128,Milestones!$AA$167)&gt;=SchemeStart,IF($X128=0,$AD128,IF(AND($Z128&lt;&gt;"",EDATE($D128,Milestones!$AA$167)&gt;=$Z128),$AC128,IF(AND($Y128&lt;&gt;"",EDATE($D128,Milestones!$AA$167)&gt;=$Y128),$AB128,$AA128)))=Milestones!$AB$167),UPPER(TEXT(EDATE($D128,Milestones!$AA$167),"dd mmm yy"))&amp;" "&amp;Milestones!$AB$167&amp;" "&amp;IF(AND(Milestones!$AB$167="FT",Milestones!$AA$167=FT_Y5,EDATE($D128,Milestones!$AA$167)&lt;PolicyEff),1,Milestones!$AC$167)&amp;";  ","")&amp;IF(AND(EDATE($D128,Milestones!$AA$168)&lt;=AsOfDate,EDATE($D128,Milestones!$AA$168)&gt;=SchemeStart,IF($X128=0,$AD128,IF(AND($Z128&lt;&gt;"",EDATE($D128,Milestones!$AA$168)&gt;=$Z128),$AC128,IF(AND($Y128&lt;&gt;"",EDATE($D128,Milestones!$AA$168)&gt;=$Y128),$AB128,$AA128)))=Milestones!$AB$168),UPPER(TEXT(EDATE($D128,Milestones!$AA$168),"dd mmm yy"))&amp;" "&amp;Milestones!$AB$168&amp;" "&amp;IF(AND(Milestones!$AB$168="FT",Milestones!$AA$168=FT_Y5,EDATE($D128,Milestones!$AA$168)&lt;PolicyEff),1,Milestones!$AC$168)&amp;";  ","")&amp;IF(AND(EDATE($D128,Milestones!$AA$169)&lt;=AsOfDate,EDATE($D128,Milestones!$AA$169)&gt;=SchemeStart,IF($X128=0,$AD128,IF(AND($Z128&lt;&gt;"",EDATE($D128,Milestones!$AA$169)&gt;=$Z128),$AC128,IF(AND($Y128&lt;&gt;"",EDATE($D128,Milestones!$AA$169)&gt;=$Y128),$AB128,$AA128)))=Milestones!$AB$169),UPPER(TEXT(EDATE($D128,Milestones!$AA$169),"dd mmm yy"))&amp;" "&amp;Milestones!$AB$169&amp;" "&amp;IF(AND(Milestones!$AB$169="FT",Milestones!$AA$169=FT_Y5,EDATE($D128,Milestones!$AA$169)&lt;PolicyEff),1,Milestones!$AC$169)&amp;";  ","")&amp;IF(AND(EDATE($D128,Milestones!$AA$170)&lt;=AsOfDate,EDATE($D128,Milestones!$AA$170)&gt;=SchemeStart,IF($X128=0,$AD128,IF(AND($Z128&lt;&gt;"",EDATE($D128,Milestones!$AA$170)&gt;=$Z128),$AC128,IF(AND($Y128&lt;&gt;"",EDATE($D128,Milestones!$AA$170)&gt;=$Y128),$AB128,$AA128)))=Milestones!$AB$170),UPPER(TEXT(EDATE($D128,Milestones!$AA$170),"dd mmm yy"))&amp;" "&amp;Milestones!$AB$170&amp;" "&amp;IF(AND(Milestones!$AB$170="FT",Milestones!$AA$170=FT_Y5,EDATE($D128,Milestones!$AA$170)&lt;PolicyEff),1,Milestones!$AC$170)&amp;";  ","")&amp;IF(AND(EDATE($D128,Milestones!$AA$171)&lt;=AsOfDate,EDATE($D128,Milestones!$AA$171)&gt;=SchemeStart,IF($X128=0,$AD128,IF(AND($Z128&lt;&gt;"",EDATE($D128,Milestones!$AA$171)&gt;=$Z128),$AC128,IF(AND($Y128&lt;&gt;"",EDATE($D128,Milestones!$AA$171)&gt;=$Y128),$AB128,$AA128)))=Milestones!$AB$171),UPPER(TEXT(EDATE($D128,Milestones!$AA$171),"dd mmm yy"))&amp;" "&amp;Milestones!$AB$171&amp;" "&amp;IF(AND(Milestones!$AB$171="FT",Milestones!$AA$171=FT_Y5,EDATE($D128,Milestones!$AA$171)&lt;PolicyEff),1,Milestones!$AC$171)&amp;";  ","")&amp;IF(AND(EDATE($D128,Milestones!$AA$172)&lt;=AsOfDate,EDATE($D128,Milestones!$AA$172)&gt;=SchemeStart,IF($X128=0,$AD128,IF(AND($Z128&lt;&gt;"",EDATE($D128,Milestones!$AA$172)&gt;=$Z128),$AC128,IF(AND($Y128&lt;&gt;"",EDATE($D128,Milestones!$AA$172)&gt;=$Y128),$AB128,$AA128)))=Milestones!$AB$172),UPPER(TEXT(EDATE($D128,Milestones!$AA$172),"dd mmm yy"))&amp;" "&amp;Milestones!$AB$172&amp;" "&amp;IF(AND(Milestones!$AB$172="FT",Milestones!$AA$172=FT_Y5,EDATE($D128,Milestones!$AA$172)&lt;PolicyEff),1,Milestones!$AC$172)&amp;";  ","")&amp;IF(AND(EDATE($D128,Milestones!$AA$173)&lt;=AsOfDate,EDATE($D128,Milestones!$AA$173)&gt;=SchemeStart,IF($X128=0,$AD128,IF(AND($Z128&lt;&gt;"",EDATE($D128,Milestones!$AA$173)&gt;=$Z128),$AC128,IF(AND($Y128&lt;&gt;"",EDATE($D128,Milestones!$AA$173)&gt;=$Y128),$AB128,$AA128)))=Milestones!$AB$173),UPPER(TEXT(EDATE($D128,Milestones!$AA$173),"dd mmm yy"))&amp;" "&amp;Milestones!$AB$173&amp;" "&amp;IF(AND(Milestones!$AB$173="FT",Milestones!$AA$173=FT_Y5,EDATE($D128,Milestones!$AA$173)&lt;PolicyEff),1,Milestones!$AC$173)&amp;";  ","")&amp;IF(AND(EDATE($D128,Milestones!$AA$174)&lt;=AsOfDate,EDATE($D128,Milestones!$AA$174)&gt;=SchemeStart,IF($X128=0,$AD128,IF(AND($Z128&lt;&gt;"",EDATE($D128,Milestones!$AA$174)&gt;=$Z128),$AC128,IF(AND($Y128&lt;&gt;"",EDATE($D128,Milestones!$AA$174)&gt;=$Y128),$AB128,$AA128)))=Milestones!$AB$174),UPPER(TEXT(EDATE($D128,Milestones!$AA$174),"dd mmm yy"))&amp;" "&amp;Milestones!$AB$174&amp;" "&amp;IF(AND(Milestones!$AB$174="FT",Milestones!$AA$174=FT_Y5,EDATE($D128,Milestones!$AA$174)&lt;PolicyEff),1,Milestones!$AC$174)&amp;";  ","")&amp;IF(AND(EDATE($D128,Milestones!$AA$175)&lt;=AsOfDate,EDATE($D128,Milestones!$AA$175)&gt;=SchemeStart,IF($X128=0,$AD128,IF(AND($Z128&lt;&gt;"",EDATE($D128,Milestones!$AA$175)&gt;=$Z128),$AC128,IF(AND($Y128&lt;&gt;"",EDATE($D128,Milestones!$AA$175)&gt;=$Y128),$AB128,$AA128)))=Milestones!$AB$175),UPPER(TEXT(EDATE($D128,Milestones!$AA$175),"dd mmm yy"))&amp;" "&amp;Milestones!$AB$175&amp;" "&amp;IF(AND(Milestones!$AB$175="FT",Milestones!$AA$175=FT_Y5,EDATE($D128,Milestones!$AA$175)&lt;PolicyEff),1,Milestones!$AC$175)&amp;";  ",""))</f>
        <v/>
      </c>
      <c r="V128" s="0" t="str">
        <f aca="false">IF(OR($A128="",$D128=""),"",IF(AND(EDATE($D128,Milestones!$AA$176)&lt;=AsOfDate,EDATE($D128,Milestones!$AA$176)&gt;=SchemeStart,IF($X128=0,$AD128,IF(AND($Z128&lt;&gt;"",EDATE($D128,Milestones!$AA$176)&gt;=$Z128),$AC128,IF(AND($Y128&lt;&gt;"",EDATE($D128,Milestones!$AA$176)&gt;=$Y128),$AB128,$AA128)))=Milestones!$AB$176),UPPER(TEXT(EDATE($D128,Milestones!$AA$176),"dd mmm yy"))&amp;" "&amp;Milestones!$AB$176&amp;" "&amp;IF(AND(Milestones!$AB$176="FT",Milestones!$AA$176=FT_Y5,EDATE($D128,Milestones!$AA$176)&lt;PolicyEff),1,Milestones!$AC$176)&amp;";  ","")&amp;IF(AND(EDATE($D128,Milestones!$AA$177)&lt;=AsOfDate,EDATE($D128,Milestones!$AA$177)&gt;=SchemeStart,IF($X128=0,$AD128,IF(AND($Z128&lt;&gt;"",EDATE($D128,Milestones!$AA$177)&gt;=$Z128),$AC128,IF(AND($Y128&lt;&gt;"",EDATE($D128,Milestones!$AA$177)&gt;=$Y128),$AB128,$AA128)))=Milestones!$AB$177),UPPER(TEXT(EDATE($D128,Milestones!$AA$177),"dd mmm yy"))&amp;" "&amp;Milestones!$AB$177&amp;" "&amp;IF(AND(Milestones!$AB$177="FT",Milestones!$AA$177=FT_Y5,EDATE($D128,Milestones!$AA$177)&lt;PolicyEff),1,Milestones!$AC$177)&amp;";  ","")&amp;IF(AND(EDATE($D128,Milestones!$AA$178)&lt;=AsOfDate,EDATE($D128,Milestones!$AA$178)&gt;=SchemeStart,IF($X128=0,$AD128,IF(AND($Z128&lt;&gt;"",EDATE($D128,Milestones!$AA$178)&gt;=$Z128),$AC128,IF(AND($Y128&lt;&gt;"",EDATE($D128,Milestones!$AA$178)&gt;=$Y128),$AB128,$AA128)))=Milestones!$AB$178),UPPER(TEXT(EDATE($D128,Milestones!$AA$178),"dd mmm yy"))&amp;" "&amp;Milestones!$AB$178&amp;" "&amp;IF(AND(Milestones!$AB$178="FT",Milestones!$AA$178=FT_Y5,EDATE($D128,Milestones!$AA$178)&lt;PolicyEff),1,Milestones!$AC$178)&amp;";  ","")&amp;IF(AND(EDATE($D128,Milestones!$AA$179)&lt;=AsOfDate,EDATE($D128,Milestones!$AA$179)&gt;=SchemeStart,IF($X128=0,$AD128,IF(AND($Z128&lt;&gt;"",EDATE($D128,Milestones!$AA$179)&gt;=$Z128),$AC128,IF(AND($Y128&lt;&gt;"",EDATE($D128,Milestones!$AA$179)&gt;=$Y128),$AB128,$AA128)))=Milestones!$AB$179),UPPER(TEXT(EDATE($D128,Milestones!$AA$179),"dd mmm yy"))&amp;" "&amp;Milestones!$AB$179&amp;" "&amp;IF(AND(Milestones!$AB$179="FT",Milestones!$AA$179=FT_Y5,EDATE($D128,Milestones!$AA$179)&lt;PolicyEff),1,Milestones!$AC$179)&amp;";  ","")&amp;IF(AND(EDATE($D128,Milestones!$AA$180)&lt;=AsOfDate,EDATE($D128,Milestones!$AA$180)&gt;=SchemeStart,IF($X128=0,$AD128,IF(AND($Z128&lt;&gt;"",EDATE($D128,Milestones!$AA$180)&gt;=$Z128),$AC128,IF(AND($Y128&lt;&gt;"",EDATE($D128,Milestones!$AA$180)&gt;=$Y128),$AB128,$AA128)))=Milestones!$AB$180),UPPER(TEXT(EDATE($D128,Milestones!$AA$180),"dd mmm yy"))&amp;" "&amp;Milestones!$AB$180&amp;" "&amp;IF(AND(Milestones!$AB$180="FT",Milestones!$AA$180=FT_Y5,EDATE($D128,Milestones!$AA$180)&lt;PolicyEff),1,Milestones!$AC$180)&amp;";  ","")&amp;IF(AND(EDATE($D128,Milestones!$AA$181)&lt;=AsOfDate,EDATE($D128,Milestones!$AA$181)&gt;=SchemeStart,IF($X128=0,$AD128,IF(AND($Z128&lt;&gt;"",EDATE($D128,Milestones!$AA$181)&gt;=$Z128),$AC128,IF(AND($Y128&lt;&gt;"",EDATE($D128,Milestones!$AA$181)&gt;=$Y128),$AB128,$AA128)))=Milestones!$AB$181),UPPER(TEXT(EDATE($D128,Milestones!$AA$181),"dd mmm yy"))&amp;" "&amp;Milestones!$AB$181&amp;" "&amp;IF(AND(Milestones!$AB$181="FT",Milestones!$AA$181=FT_Y5,EDATE($D128,Milestones!$AA$181)&lt;PolicyEff),1,Milestones!$AC$181)&amp;";  ","")&amp;IF(AND(EDATE($D128,Milestones!$AA$182)&lt;=AsOfDate,EDATE($D128,Milestones!$AA$182)&gt;=SchemeStart,IF($X128=0,$AD128,IF(AND($Z128&lt;&gt;"",EDATE($D128,Milestones!$AA$182)&gt;=$Z128),$AC128,IF(AND($Y128&lt;&gt;"",EDATE($D128,Milestones!$AA$182)&gt;=$Y128),$AB128,$AA128)))=Milestones!$AB$182),UPPER(TEXT(EDATE($D128,Milestones!$AA$182),"dd mmm yy"))&amp;" "&amp;Milestones!$AB$182&amp;" "&amp;IF(AND(Milestones!$AB$182="FT",Milestones!$AA$182=FT_Y5,EDATE($D128,Milestones!$AA$182)&lt;PolicyEff),1,Milestones!$AC$182)&amp;";  ","")&amp;IF(AND(EDATE($D128,Milestones!$AA$183)&lt;=AsOfDate,EDATE($D128,Milestones!$AA$183)&gt;=SchemeStart,IF($X128=0,$AD128,IF(AND($Z128&lt;&gt;"",EDATE($D128,Milestones!$AA$183)&gt;=$Z128),$AC128,IF(AND($Y128&lt;&gt;"",EDATE($D128,Milestones!$AA$183)&gt;=$Y128),$AB128,$AA128)))=Milestones!$AB$183),UPPER(TEXT(EDATE($D128,Milestones!$AA$183),"dd mmm yy"))&amp;" "&amp;Milestones!$AB$183&amp;" "&amp;IF(AND(Milestones!$AB$183="FT",Milestones!$AA$183=FT_Y5,EDATE($D128,Milestones!$AA$183)&lt;PolicyEff),1,Milestones!$AC$183)&amp;";  ","")&amp;IF(AND(EDATE($D128,Milestones!$AA$184)&lt;=AsOfDate,EDATE($D128,Milestones!$AA$184)&gt;=SchemeStart,IF($X128=0,$AD128,IF(AND($Z128&lt;&gt;"",EDATE($D128,Milestones!$AA$184)&gt;=$Z128),$AC128,IF(AND($Y128&lt;&gt;"",EDATE($D128,Milestones!$AA$184)&gt;=$Y128),$AB128,$AA128)))=Milestones!$AB$184),UPPER(TEXT(EDATE($D128,Milestones!$AA$184),"dd mmm yy"))&amp;" "&amp;Milestones!$AB$184&amp;" "&amp;IF(AND(Milestones!$AB$184="FT",Milestones!$AA$184=FT_Y5,EDATE($D128,Milestones!$AA$184)&lt;PolicyEff),1,Milestones!$AC$184)&amp;";  ","")&amp;IF(AND(EDATE($D128,Milestones!$AA$185)&lt;=AsOfDate,EDATE($D128,Milestones!$AA$185)&gt;=SchemeStart,IF($X128=0,$AD128,IF(AND($Z128&lt;&gt;"",EDATE($D128,Milestones!$AA$185)&gt;=$Z128),$AC128,IF(AND($Y128&lt;&gt;"",EDATE($D128,Milestones!$AA$185)&gt;=$Y128),$AB128,$AA128)))=Milestones!$AB$185),UPPER(TEXT(EDATE($D128,Milestones!$AA$185),"dd mmm yy"))&amp;" "&amp;Milestones!$AB$185&amp;" "&amp;IF(AND(Milestones!$AB$185="FT",Milestones!$AA$185=FT_Y5,EDATE($D128,Milestones!$AA$185)&lt;PolicyEff),1,Milestones!$AC$185)&amp;";  ","")&amp;IF(AND(EDATE($D128,Milestones!$AA$186)&lt;=AsOfDate,EDATE($D128,Milestones!$AA$186)&gt;=SchemeStart,IF($X128=0,$AD128,IF(AND($Z128&lt;&gt;"",EDATE($D128,Milestones!$AA$186)&gt;=$Z128),$AC128,IF(AND($Y128&lt;&gt;"",EDATE($D128,Milestones!$AA$186)&gt;=$Y128),$AB128,$AA128)))=Milestones!$AB$186),UPPER(TEXT(EDATE($D128,Milestones!$AA$186),"dd mmm yy"))&amp;" "&amp;Milestones!$AB$186&amp;" "&amp;IF(AND(Milestones!$AB$186="FT",Milestones!$AA$186=FT_Y5,EDATE($D128,Milestones!$AA$186)&lt;PolicyEff),1,Milestones!$AC$186)&amp;";  ","")&amp;IF(AND(EDATE($D128,Milestones!$AA$187)&lt;=AsOfDate,EDATE($D128,Milestones!$AA$187)&gt;=SchemeStart,IF($X128=0,$AD128,IF(AND($Z128&lt;&gt;"",EDATE($D128,Milestones!$AA$187)&gt;=$Z128),$AC128,IF(AND($Y128&lt;&gt;"",EDATE($D128,Milestones!$AA$187)&gt;=$Y128),$AB128,$AA128)))=Milestones!$AB$187),UPPER(TEXT(EDATE($D128,Milestones!$AA$187),"dd mmm yy"))&amp;" "&amp;Milestones!$AB$187&amp;" "&amp;IF(AND(Milestones!$AB$187="FT",Milestones!$AA$187=FT_Y5,EDATE($D128,Milestones!$AA$187)&lt;PolicyEff),1,Milestones!$AC$187)&amp;";  ",""))</f>
        <v/>
      </c>
      <c r="W128" s="0" t="str">
        <f aca="false">IF(OR($A128="",$D128=""),"",IF(AND(EDATE($D128,Milestones!$AA$188)&lt;=AsOfDate,EDATE($D128,Milestones!$AA$188)&gt;=SchemeStart,IF($X128=0,$AD128,IF(AND($Z128&lt;&gt;"",EDATE($D128,Milestones!$AA$188)&gt;=$Z128),$AC128,IF(AND($Y128&lt;&gt;"",EDATE($D128,Milestones!$AA$188)&gt;=$Y128),$AB128,$AA128)))=Milestones!$AB$188),UPPER(TEXT(EDATE($D128,Milestones!$AA$188),"dd mmm yy"))&amp;" "&amp;Milestones!$AB$188&amp;" "&amp;IF(AND(Milestones!$AB$188="FT",Milestones!$AA$188=FT_Y5,EDATE($D128,Milestones!$AA$188)&lt;PolicyEff),1,Milestones!$AC$188)&amp;";  ","")&amp;IF(AND(EDATE($D128,Milestones!$AA$189)&lt;=AsOfDate,EDATE($D128,Milestones!$AA$189)&gt;=SchemeStart,IF($X128=0,$AD128,IF(AND($Z128&lt;&gt;"",EDATE($D128,Milestones!$AA$189)&gt;=$Z128),$AC128,IF(AND($Y128&lt;&gt;"",EDATE($D128,Milestones!$AA$189)&gt;=$Y128),$AB128,$AA128)))=Milestones!$AB$189),UPPER(TEXT(EDATE($D128,Milestones!$AA$189),"dd mmm yy"))&amp;" "&amp;Milestones!$AB$189&amp;" "&amp;IF(AND(Milestones!$AB$189="FT",Milestones!$AA$189=FT_Y5,EDATE($D128,Milestones!$AA$189)&lt;PolicyEff),1,Milestones!$AC$189)&amp;";  ","")&amp;IF(AND(EDATE($D128,Milestones!$AA$190)&lt;=AsOfDate,EDATE($D128,Milestones!$AA$190)&gt;=SchemeStart,IF($X128=0,$AD128,IF(AND($Z128&lt;&gt;"",EDATE($D128,Milestones!$AA$190)&gt;=$Z128),$AC128,IF(AND($Y128&lt;&gt;"",EDATE($D128,Milestones!$AA$190)&gt;=$Y128),$AB128,$AA128)))=Milestones!$AB$190),UPPER(TEXT(EDATE($D128,Milestones!$AA$190),"dd mmm yy"))&amp;" "&amp;Milestones!$AB$190&amp;" "&amp;IF(AND(Milestones!$AB$190="FT",Milestones!$AA$190=FT_Y5,EDATE($D128,Milestones!$AA$190)&lt;PolicyEff),1,Milestones!$AC$190)&amp;";  ","")&amp;IF(AND(EDATE($D128,Milestones!$AA$191)&lt;=AsOfDate,EDATE($D128,Milestones!$AA$191)&gt;=SchemeStart,IF($X128=0,$AD128,IF(AND($Z128&lt;&gt;"",EDATE($D128,Milestones!$AA$191)&gt;=$Z128),$AC128,IF(AND($Y128&lt;&gt;"",EDATE($D128,Milestones!$AA$191)&gt;=$Y128),$AB128,$AA128)))=Milestones!$AB$191),UPPER(TEXT(EDATE($D128,Milestones!$AA$191),"dd mmm yy"))&amp;" "&amp;Milestones!$AB$191&amp;" "&amp;IF(AND(Milestones!$AB$191="FT",Milestones!$AA$191=FT_Y5,EDATE($D128,Milestones!$AA$191)&lt;PolicyEff),1,Milestones!$AC$191)&amp;";  ","")&amp;IF(AND(EDATE($D128,Milestones!$AA$192)&lt;=AsOfDate,EDATE($D128,Milestones!$AA$192)&gt;=SchemeStart,IF($X128=0,$AD128,IF(AND($Z128&lt;&gt;"",EDATE($D128,Milestones!$AA$192)&gt;=$Z128),$AC128,IF(AND($Y128&lt;&gt;"",EDATE($D128,Milestones!$AA$192)&gt;=$Y128),$AB128,$AA128)))=Milestones!$AB$192),UPPER(TEXT(EDATE($D128,Milestones!$AA$192),"dd mmm yy"))&amp;" "&amp;Milestones!$AB$192&amp;" "&amp;IF(AND(Milestones!$AB$192="FT",Milestones!$AA$192=FT_Y5,EDATE($D128,Milestones!$AA$192)&lt;PolicyEff),1,Milestones!$AC$192)&amp;";  ","")&amp;IF(AND(EDATE($D128,Milestones!$AA$193)&lt;=AsOfDate,EDATE($D128,Milestones!$AA$193)&gt;=SchemeStart,IF($X128=0,$AD128,IF(AND($Z128&lt;&gt;"",EDATE($D128,Milestones!$AA$193)&gt;=$Z128),$AC128,IF(AND($Y128&lt;&gt;"",EDATE($D128,Milestones!$AA$193)&gt;=$Y128),$AB128,$AA128)))=Milestones!$AB$193),UPPER(TEXT(EDATE($D128,Milestones!$AA$193),"dd mmm yy"))&amp;" "&amp;Milestones!$AB$193&amp;" "&amp;IF(AND(Milestones!$AB$193="FT",Milestones!$AA$193=FT_Y5,EDATE($D128,Milestones!$AA$193)&lt;PolicyEff),1,Milestones!$AC$193)&amp;";  ","")&amp;IF(AND(EDATE($D128,Milestones!$AA$194)&lt;=AsOfDate,EDATE($D128,Milestones!$AA$194)&gt;=SchemeStart,IF($X128=0,$AD128,IF(AND($Z128&lt;&gt;"",EDATE($D128,Milestones!$AA$194)&gt;=$Z128),$AC128,IF(AND($Y128&lt;&gt;"",EDATE($D128,Milestones!$AA$194)&gt;=$Y128),$AB128,$AA128)))=Milestones!$AB$194),UPPER(TEXT(EDATE($D128,Milestones!$AA$194),"dd mmm yy"))&amp;" "&amp;Milestones!$AB$194&amp;" "&amp;IF(AND(Milestones!$AB$194="FT",Milestones!$AA$194=FT_Y5,EDATE($D128,Milestones!$AA$194)&lt;PolicyEff),1,Milestones!$AC$194)&amp;";  ","")&amp;IF(AND(EDATE($D128,Milestones!$AA$195)&lt;=AsOfDate,EDATE($D128,Milestones!$AA$195)&gt;=SchemeStart,IF($X128=0,$AD128,IF(AND($Z128&lt;&gt;"",EDATE($D128,Milestones!$AA$195)&gt;=$Z128),$AC128,IF(AND($Y128&lt;&gt;"",EDATE($D128,Milestones!$AA$195)&gt;=$Y128),$AB128,$AA128)))=Milestones!$AB$195),UPPER(TEXT(EDATE($D128,Milestones!$AA$195),"dd mmm yy"))&amp;" "&amp;Milestones!$AB$195&amp;" "&amp;IF(AND(Milestones!$AB$195="FT",Milestones!$AA$195=FT_Y5,EDATE($D128,Milestones!$AA$195)&lt;PolicyEff),1,Milestones!$AC$195)&amp;";  ","")&amp;IF(AND(EDATE($D128,Milestones!$AA$196)&lt;=AsOfDate,EDATE($D128,Milestones!$AA$196)&gt;=SchemeStart,IF($X128=0,$AD128,IF(AND($Z128&lt;&gt;"",EDATE($D128,Milestones!$AA$196)&gt;=$Z128),$AC128,IF(AND($Y128&lt;&gt;"",EDATE($D128,Milestones!$AA$196)&gt;=$Y128),$AB128,$AA128)))=Milestones!$AB$196),UPPER(TEXT(EDATE($D128,Milestones!$AA$196),"dd mmm yy"))&amp;" "&amp;Milestones!$AB$196&amp;" "&amp;IF(AND(Milestones!$AB$196="FT",Milestones!$AA$196=FT_Y5,EDATE($D128,Milestones!$AA$196)&lt;PolicyEff),1,Milestones!$AC$196)&amp;";  ","")&amp;IF(AND(EDATE($D128,Milestones!$AA$197)&lt;=AsOfDate,EDATE($D128,Milestones!$AA$197)&gt;=SchemeStart,IF($X128=0,$AD128,IF(AND($Z128&lt;&gt;"",EDATE($D128,Milestones!$AA$197)&gt;=$Z128),$AC128,IF(AND($Y128&lt;&gt;"",EDATE($D128,Milestones!$AA$197)&gt;=$Y128),$AB128,$AA128)))=Milestones!$AB$197),UPPER(TEXT(EDATE($D128,Milestones!$AA$197),"dd mmm yy"))&amp;" "&amp;Milestones!$AB$197&amp;" "&amp;IF(AND(Milestones!$AB$197="FT",Milestones!$AA$197=FT_Y5,EDATE($D128,Milestones!$AA$197)&lt;PolicyEff),1,Milestones!$AC$197)&amp;";  ","")&amp;IF(AND(EDATE($D128,Milestones!$AA$198)&lt;=AsOfDate,EDATE($D128,Milestones!$AA$198)&gt;=SchemeStart,IF($X128=0,$AD128,IF(AND($Z128&lt;&gt;"",EDATE($D128,Milestones!$AA$198)&gt;=$Z128),$AC128,IF(AND($Y128&lt;&gt;"",EDATE($D128,Milestones!$AA$198)&gt;=$Y128),$AB128,$AA128)))=Milestones!$AB$198),UPPER(TEXT(EDATE($D128,Milestones!$AA$198),"dd mmm yy"))&amp;" "&amp;Milestones!$AB$198&amp;" "&amp;IF(AND(Milestones!$AB$198="FT",Milestones!$AA$198=FT_Y5,EDATE($D128,Milestones!$AA$198)&lt;PolicyEff),1,Milestones!$AC$198)&amp;";  ","")&amp;IF(AND(EDATE($D128,Milestones!$AA$199)&lt;=AsOfDate,EDATE($D128,Milestones!$AA$199)&gt;=SchemeStart,IF($X128=0,$AD128,IF(AND($Z128&lt;&gt;"",EDATE($D128,Milestones!$AA$199)&gt;=$Z128),$AC128,IF(AND($Y128&lt;&gt;"",EDATE($D128,Milestones!$AA$199)&gt;=$Y128),$AB128,$AA128)))=Milestones!$AB$199),UPPER(TEXT(EDATE($D128,Milestones!$AA$199),"dd mmm yy"))&amp;" "&amp;Milestones!$AB$199&amp;" "&amp;IF(AND(Milestones!$AB$199="FT",Milestones!$AA$199=FT_Y5,EDATE($D128,Milestones!$AA$199)&lt;PolicyEff),1,Milestones!$AC$199)&amp;";  ",""))</f>
        <v/>
      </c>
      <c r="X128" s="0" t="str">
        <f aca="false">IF(Staff!$A128="","",Staff!$AM128)</f>
        <v/>
      </c>
      <c r="Y128" s="0" t="str">
        <f aca="false">IF(Staff!$A128="","",Staff!$AO128)</f>
        <v/>
      </c>
      <c r="Z128" s="0" t="str">
        <f aca="false">IF(Staff!$A128="","",Staff!$AP128)</f>
        <v/>
      </c>
      <c r="AA128" s="0" t="str">
        <f aca="false">IF(Staff!$A128="","",Staff!$AT128)</f>
        <v/>
      </c>
      <c r="AB128" s="0" t="str">
        <f aca="false">IF(Staff!$A128="","",Staff!$AU128)</f>
        <v/>
      </c>
      <c r="AC128" s="0" t="str">
        <f aca="false">IF(Staff!$A128="","",Staff!$AV128)</f>
        <v/>
      </c>
      <c r="AD128" s="0" t="str">
        <f aca="false">IF(Staff!$A128="","",Staff!$AW128)</f>
        <v/>
      </c>
    </row>
    <row r="129" customFormat="false" ht="15" hidden="false" customHeight="false" outlineLevel="0" collapsed="false">
      <c r="A129" s="16" t="str">
        <f aca="false">IF(Staff!$A129="","",Staff!$A129)</f>
        <v/>
      </c>
      <c r="B129" s="16" t="str">
        <f aca="false">IF(Staff!$A129="","",Staff!$B129)</f>
        <v/>
      </c>
      <c r="C129" s="16" t="str">
        <f aca="false">IF(Staff!$A129="","",Staff!$C129)</f>
        <v/>
      </c>
      <c r="D129" s="14" t="str">
        <f aca="false">IF(Staff!$A129="","",Staff!$AL129)</f>
        <v/>
      </c>
      <c r="E129" s="16" t="str">
        <f aca="false">IF(Staff!$A129="","",Staff!$O129)</f>
        <v/>
      </c>
      <c r="F129" s="16" t="str">
        <f aca="false">IF(E129="","",E129*HoursPerDay)</f>
        <v/>
      </c>
      <c r="G129" s="16" t="str">
        <f aca="false">IF(Staff!$A129="","",Staff!$AE129)</f>
        <v/>
      </c>
      <c r="H129" s="28" t="str">
        <f aca="false">IF($A129="","",I129&amp;J129&amp;K129&amp;L129&amp;M129&amp;N129&amp;O129&amp;P129&amp;Q129&amp;R129&amp;S129&amp;T129&amp;U129&amp;V129&amp;W129)</f>
        <v/>
      </c>
      <c r="I129" s="0" t="str">
        <f aca="false">IF(OR($A129="",$D129=""),"",IF(AND(EDATE($D129,Milestones!$AA$20)&lt;=AsOfDate,EDATE($D129,Milestones!$AA$20)&gt;=SchemeStart,IF($X129=0,$AD129,IF(AND($Z129&lt;&gt;"",EDATE($D129,Milestones!$AA$20)&gt;=$Z129),$AC129,IF(AND($Y129&lt;&gt;"",EDATE($D129,Milestones!$AA$20)&gt;=$Y129),$AB129,$AA129)))=Milestones!$AB$20),UPPER(TEXT(EDATE($D129,Milestones!$AA$20),"dd mmm yy"))&amp;" "&amp;Milestones!$AB$20&amp;" "&amp;IF(AND(Milestones!$AB$20="FT",Milestones!$AA$20=FT_Y5,EDATE($D129,Milestones!$AA$20)&lt;PolicyEff),1,Milestones!$AC$20)&amp;";  ","")&amp;IF(AND(EDATE($D129,Milestones!$AA$21)&lt;=AsOfDate,EDATE($D129,Milestones!$AA$21)&gt;=SchemeStart,IF($X129=0,$AD129,IF(AND($Z129&lt;&gt;"",EDATE($D129,Milestones!$AA$21)&gt;=$Z129),$AC129,IF(AND($Y129&lt;&gt;"",EDATE($D129,Milestones!$AA$21)&gt;=$Y129),$AB129,$AA129)))=Milestones!$AB$21),UPPER(TEXT(EDATE($D129,Milestones!$AA$21),"dd mmm yy"))&amp;" "&amp;Milestones!$AB$21&amp;" "&amp;IF(AND(Milestones!$AB$21="FT",Milestones!$AA$21=FT_Y5,EDATE($D129,Milestones!$AA$21)&lt;PolicyEff),1,Milestones!$AC$21)&amp;";  ","")&amp;IF(AND(EDATE($D129,Milestones!$AA$22)&lt;=AsOfDate,EDATE($D129,Milestones!$AA$22)&gt;=SchemeStart,IF($X129=0,$AD129,IF(AND($Z129&lt;&gt;"",EDATE($D129,Milestones!$AA$22)&gt;=$Z129),$AC129,IF(AND($Y129&lt;&gt;"",EDATE($D129,Milestones!$AA$22)&gt;=$Y129),$AB129,$AA129)))=Milestones!$AB$22),UPPER(TEXT(EDATE($D129,Milestones!$AA$22),"dd mmm yy"))&amp;" "&amp;Milestones!$AB$22&amp;" "&amp;IF(AND(Milestones!$AB$22="FT",Milestones!$AA$22=FT_Y5,EDATE($D129,Milestones!$AA$22)&lt;PolicyEff),1,Milestones!$AC$22)&amp;";  ","")&amp;IF(AND(EDATE($D129,Milestones!$AA$23)&lt;=AsOfDate,EDATE($D129,Milestones!$AA$23)&gt;=SchemeStart,IF($X129=0,$AD129,IF(AND($Z129&lt;&gt;"",EDATE($D129,Milestones!$AA$23)&gt;=$Z129),$AC129,IF(AND($Y129&lt;&gt;"",EDATE($D129,Milestones!$AA$23)&gt;=$Y129),$AB129,$AA129)))=Milestones!$AB$23),UPPER(TEXT(EDATE($D129,Milestones!$AA$23),"dd mmm yy"))&amp;" "&amp;Milestones!$AB$23&amp;" "&amp;IF(AND(Milestones!$AB$23="FT",Milestones!$AA$23=FT_Y5,EDATE($D129,Milestones!$AA$23)&lt;PolicyEff),1,Milestones!$AC$23)&amp;";  ","")&amp;IF(AND(EDATE($D129,Milestones!$AA$24)&lt;=AsOfDate,EDATE($D129,Milestones!$AA$24)&gt;=SchemeStart,IF($X129=0,$AD129,IF(AND($Z129&lt;&gt;"",EDATE($D129,Milestones!$AA$24)&gt;=$Z129),$AC129,IF(AND($Y129&lt;&gt;"",EDATE($D129,Milestones!$AA$24)&gt;=$Y129),$AB129,$AA129)))=Milestones!$AB$24),UPPER(TEXT(EDATE($D129,Milestones!$AA$24),"dd mmm yy"))&amp;" "&amp;Milestones!$AB$24&amp;" "&amp;IF(AND(Milestones!$AB$24="FT",Milestones!$AA$24=FT_Y5,EDATE($D129,Milestones!$AA$24)&lt;PolicyEff),1,Milestones!$AC$24)&amp;";  ","")&amp;IF(AND(EDATE($D129,Milestones!$AA$25)&lt;=AsOfDate,EDATE($D129,Milestones!$AA$25)&gt;=SchemeStart,IF($X129=0,$AD129,IF(AND($Z129&lt;&gt;"",EDATE($D129,Milestones!$AA$25)&gt;=$Z129),$AC129,IF(AND($Y129&lt;&gt;"",EDATE($D129,Milestones!$AA$25)&gt;=$Y129),$AB129,$AA129)))=Milestones!$AB$25),UPPER(TEXT(EDATE($D129,Milestones!$AA$25),"dd mmm yy"))&amp;" "&amp;Milestones!$AB$25&amp;" "&amp;IF(AND(Milestones!$AB$25="FT",Milestones!$AA$25=FT_Y5,EDATE($D129,Milestones!$AA$25)&lt;PolicyEff),1,Milestones!$AC$25)&amp;";  ","")&amp;IF(AND(EDATE($D129,Milestones!$AA$26)&lt;=AsOfDate,EDATE($D129,Milestones!$AA$26)&gt;=SchemeStart,IF($X129=0,$AD129,IF(AND($Z129&lt;&gt;"",EDATE($D129,Milestones!$AA$26)&gt;=$Z129),$AC129,IF(AND($Y129&lt;&gt;"",EDATE($D129,Milestones!$AA$26)&gt;=$Y129),$AB129,$AA129)))=Milestones!$AB$26),UPPER(TEXT(EDATE($D129,Milestones!$AA$26),"dd mmm yy"))&amp;" "&amp;Milestones!$AB$26&amp;" "&amp;IF(AND(Milestones!$AB$26="FT",Milestones!$AA$26=FT_Y5,EDATE($D129,Milestones!$AA$26)&lt;PolicyEff),1,Milestones!$AC$26)&amp;";  ","")&amp;IF(AND(EDATE($D129,Milestones!$AA$27)&lt;=AsOfDate,EDATE($D129,Milestones!$AA$27)&gt;=SchemeStart,IF($X129=0,$AD129,IF(AND($Z129&lt;&gt;"",EDATE($D129,Milestones!$AA$27)&gt;=$Z129),$AC129,IF(AND($Y129&lt;&gt;"",EDATE($D129,Milestones!$AA$27)&gt;=$Y129),$AB129,$AA129)))=Milestones!$AB$27),UPPER(TEXT(EDATE($D129,Milestones!$AA$27),"dd mmm yy"))&amp;" "&amp;Milestones!$AB$27&amp;" "&amp;IF(AND(Milestones!$AB$27="FT",Milestones!$AA$27=FT_Y5,EDATE($D129,Milestones!$AA$27)&lt;PolicyEff),1,Milestones!$AC$27)&amp;";  ","")&amp;IF(AND(EDATE($D129,Milestones!$AA$28)&lt;=AsOfDate,EDATE($D129,Milestones!$AA$28)&gt;=SchemeStart,IF($X129=0,$AD129,IF(AND($Z129&lt;&gt;"",EDATE($D129,Milestones!$AA$28)&gt;=$Z129),$AC129,IF(AND($Y129&lt;&gt;"",EDATE($D129,Milestones!$AA$28)&gt;=$Y129),$AB129,$AA129)))=Milestones!$AB$28),UPPER(TEXT(EDATE($D129,Milestones!$AA$28),"dd mmm yy"))&amp;" "&amp;Milestones!$AB$28&amp;" "&amp;IF(AND(Milestones!$AB$28="FT",Milestones!$AA$28=FT_Y5,EDATE($D129,Milestones!$AA$28)&lt;PolicyEff),1,Milestones!$AC$28)&amp;";  ","")&amp;IF(AND(EDATE($D129,Milestones!$AA$29)&lt;=AsOfDate,EDATE($D129,Milestones!$AA$29)&gt;=SchemeStart,IF($X129=0,$AD129,IF(AND($Z129&lt;&gt;"",EDATE($D129,Milestones!$AA$29)&gt;=$Z129),$AC129,IF(AND($Y129&lt;&gt;"",EDATE($D129,Milestones!$AA$29)&gt;=$Y129),$AB129,$AA129)))=Milestones!$AB$29),UPPER(TEXT(EDATE($D129,Milestones!$AA$29),"dd mmm yy"))&amp;" "&amp;Milestones!$AB$29&amp;" "&amp;IF(AND(Milestones!$AB$29="FT",Milestones!$AA$29=FT_Y5,EDATE($D129,Milestones!$AA$29)&lt;PolicyEff),1,Milestones!$AC$29)&amp;";  ","")&amp;IF(AND(EDATE($D129,Milestones!$AA$30)&lt;=AsOfDate,EDATE($D129,Milestones!$AA$30)&gt;=SchemeStart,IF($X129=0,$AD129,IF(AND($Z129&lt;&gt;"",EDATE($D129,Milestones!$AA$30)&gt;=$Z129),$AC129,IF(AND($Y129&lt;&gt;"",EDATE($D129,Milestones!$AA$30)&gt;=$Y129),$AB129,$AA129)))=Milestones!$AB$30),UPPER(TEXT(EDATE($D129,Milestones!$AA$30),"dd mmm yy"))&amp;" "&amp;Milestones!$AB$30&amp;" "&amp;IF(AND(Milestones!$AB$30="FT",Milestones!$AA$30=FT_Y5,EDATE($D129,Milestones!$AA$30)&lt;PolicyEff),1,Milestones!$AC$30)&amp;";  ","")&amp;IF(AND(EDATE($D129,Milestones!$AA$31)&lt;=AsOfDate,EDATE($D129,Milestones!$AA$31)&gt;=SchemeStart,IF($X129=0,$AD129,IF(AND($Z129&lt;&gt;"",EDATE($D129,Milestones!$AA$31)&gt;=$Z129),$AC129,IF(AND($Y129&lt;&gt;"",EDATE($D129,Milestones!$AA$31)&gt;=$Y129),$AB129,$AA129)))=Milestones!$AB$31),UPPER(TEXT(EDATE($D129,Milestones!$AA$31),"dd mmm yy"))&amp;" "&amp;Milestones!$AB$31&amp;" "&amp;IF(AND(Milestones!$AB$31="FT",Milestones!$AA$31=FT_Y5,EDATE($D129,Milestones!$AA$31)&lt;PolicyEff),1,Milestones!$AC$31)&amp;";  ",""))</f>
        <v/>
      </c>
      <c r="J129" s="0" t="str">
        <f aca="false">IF(OR($A129="",$D129=""),"",IF(AND(EDATE($D129,Milestones!$AA$32)&lt;=AsOfDate,EDATE($D129,Milestones!$AA$32)&gt;=SchemeStart,IF($X129=0,$AD129,IF(AND($Z129&lt;&gt;"",EDATE($D129,Milestones!$AA$32)&gt;=$Z129),$AC129,IF(AND($Y129&lt;&gt;"",EDATE($D129,Milestones!$AA$32)&gt;=$Y129),$AB129,$AA129)))=Milestones!$AB$32),UPPER(TEXT(EDATE($D129,Milestones!$AA$32),"dd mmm yy"))&amp;" "&amp;Milestones!$AB$32&amp;" "&amp;IF(AND(Milestones!$AB$32="FT",Milestones!$AA$32=FT_Y5,EDATE($D129,Milestones!$AA$32)&lt;PolicyEff),1,Milestones!$AC$32)&amp;";  ","")&amp;IF(AND(EDATE($D129,Milestones!$AA$33)&lt;=AsOfDate,EDATE($D129,Milestones!$AA$33)&gt;=SchemeStart,IF($X129=0,$AD129,IF(AND($Z129&lt;&gt;"",EDATE($D129,Milestones!$AA$33)&gt;=$Z129),$AC129,IF(AND($Y129&lt;&gt;"",EDATE($D129,Milestones!$AA$33)&gt;=$Y129),$AB129,$AA129)))=Milestones!$AB$33),UPPER(TEXT(EDATE($D129,Milestones!$AA$33),"dd mmm yy"))&amp;" "&amp;Milestones!$AB$33&amp;" "&amp;IF(AND(Milestones!$AB$33="FT",Milestones!$AA$33=FT_Y5,EDATE($D129,Milestones!$AA$33)&lt;PolicyEff),1,Milestones!$AC$33)&amp;";  ","")&amp;IF(AND(EDATE($D129,Milestones!$AA$34)&lt;=AsOfDate,EDATE($D129,Milestones!$AA$34)&gt;=SchemeStart,IF($X129=0,$AD129,IF(AND($Z129&lt;&gt;"",EDATE($D129,Milestones!$AA$34)&gt;=$Z129),$AC129,IF(AND($Y129&lt;&gt;"",EDATE($D129,Milestones!$AA$34)&gt;=$Y129),$AB129,$AA129)))=Milestones!$AB$34),UPPER(TEXT(EDATE($D129,Milestones!$AA$34),"dd mmm yy"))&amp;" "&amp;Milestones!$AB$34&amp;" "&amp;IF(AND(Milestones!$AB$34="FT",Milestones!$AA$34=FT_Y5,EDATE($D129,Milestones!$AA$34)&lt;PolicyEff),1,Milestones!$AC$34)&amp;";  ","")&amp;IF(AND(EDATE($D129,Milestones!$AA$35)&lt;=AsOfDate,EDATE($D129,Milestones!$AA$35)&gt;=SchemeStart,IF($X129=0,$AD129,IF(AND($Z129&lt;&gt;"",EDATE($D129,Milestones!$AA$35)&gt;=$Z129),$AC129,IF(AND($Y129&lt;&gt;"",EDATE($D129,Milestones!$AA$35)&gt;=$Y129),$AB129,$AA129)))=Milestones!$AB$35),UPPER(TEXT(EDATE($D129,Milestones!$AA$35),"dd mmm yy"))&amp;" "&amp;Milestones!$AB$35&amp;" "&amp;IF(AND(Milestones!$AB$35="FT",Milestones!$AA$35=FT_Y5,EDATE($D129,Milestones!$AA$35)&lt;PolicyEff),1,Milestones!$AC$35)&amp;";  ","")&amp;IF(AND(EDATE($D129,Milestones!$AA$36)&lt;=AsOfDate,EDATE($D129,Milestones!$AA$36)&gt;=SchemeStart,IF($X129=0,$AD129,IF(AND($Z129&lt;&gt;"",EDATE($D129,Milestones!$AA$36)&gt;=$Z129),$AC129,IF(AND($Y129&lt;&gt;"",EDATE($D129,Milestones!$AA$36)&gt;=$Y129),$AB129,$AA129)))=Milestones!$AB$36),UPPER(TEXT(EDATE($D129,Milestones!$AA$36),"dd mmm yy"))&amp;" "&amp;Milestones!$AB$36&amp;" "&amp;IF(AND(Milestones!$AB$36="FT",Milestones!$AA$36=FT_Y5,EDATE($D129,Milestones!$AA$36)&lt;PolicyEff),1,Milestones!$AC$36)&amp;";  ","")&amp;IF(AND(EDATE($D129,Milestones!$AA$37)&lt;=AsOfDate,EDATE($D129,Milestones!$AA$37)&gt;=SchemeStart,IF($X129=0,$AD129,IF(AND($Z129&lt;&gt;"",EDATE($D129,Milestones!$AA$37)&gt;=$Z129),$AC129,IF(AND($Y129&lt;&gt;"",EDATE($D129,Milestones!$AA$37)&gt;=$Y129),$AB129,$AA129)))=Milestones!$AB$37),UPPER(TEXT(EDATE($D129,Milestones!$AA$37),"dd mmm yy"))&amp;" "&amp;Milestones!$AB$37&amp;" "&amp;IF(AND(Milestones!$AB$37="FT",Milestones!$AA$37=FT_Y5,EDATE($D129,Milestones!$AA$37)&lt;PolicyEff),1,Milestones!$AC$37)&amp;";  ","")&amp;IF(AND(EDATE($D129,Milestones!$AA$38)&lt;=AsOfDate,EDATE($D129,Milestones!$AA$38)&gt;=SchemeStart,IF($X129=0,$AD129,IF(AND($Z129&lt;&gt;"",EDATE($D129,Milestones!$AA$38)&gt;=$Z129),$AC129,IF(AND($Y129&lt;&gt;"",EDATE($D129,Milestones!$AA$38)&gt;=$Y129),$AB129,$AA129)))=Milestones!$AB$38),UPPER(TEXT(EDATE($D129,Milestones!$AA$38),"dd mmm yy"))&amp;" "&amp;Milestones!$AB$38&amp;" "&amp;IF(AND(Milestones!$AB$38="FT",Milestones!$AA$38=FT_Y5,EDATE($D129,Milestones!$AA$38)&lt;PolicyEff),1,Milestones!$AC$38)&amp;";  ","")&amp;IF(AND(EDATE($D129,Milestones!$AA$39)&lt;=AsOfDate,EDATE($D129,Milestones!$AA$39)&gt;=SchemeStart,IF($X129=0,$AD129,IF(AND($Z129&lt;&gt;"",EDATE($D129,Milestones!$AA$39)&gt;=$Z129),$AC129,IF(AND($Y129&lt;&gt;"",EDATE($D129,Milestones!$AA$39)&gt;=$Y129),$AB129,$AA129)))=Milestones!$AB$39),UPPER(TEXT(EDATE($D129,Milestones!$AA$39),"dd mmm yy"))&amp;" "&amp;Milestones!$AB$39&amp;" "&amp;IF(AND(Milestones!$AB$39="FT",Milestones!$AA$39=FT_Y5,EDATE($D129,Milestones!$AA$39)&lt;PolicyEff),1,Milestones!$AC$39)&amp;";  ","")&amp;IF(AND(EDATE($D129,Milestones!$AA$40)&lt;=AsOfDate,EDATE($D129,Milestones!$AA$40)&gt;=SchemeStart,IF($X129=0,$AD129,IF(AND($Z129&lt;&gt;"",EDATE($D129,Milestones!$AA$40)&gt;=$Z129),$AC129,IF(AND($Y129&lt;&gt;"",EDATE($D129,Milestones!$AA$40)&gt;=$Y129),$AB129,$AA129)))=Milestones!$AB$40),UPPER(TEXT(EDATE($D129,Milestones!$AA$40),"dd mmm yy"))&amp;" "&amp;Milestones!$AB$40&amp;" "&amp;IF(AND(Milestones!$AB$40="FT",Milestones!$AA$40=FT_Y5,EDATE($D129,Milestones!$AA$40)&lt;PolicyEff),1,Milestones!$AC$40)&amp;";  ","")&amp;IF(AND(EDATE($D129,Milestones!$AA$41)&lt;=AsOfDate,EDATE($D129,Milestones!$AA$41)&gt;=SchemeStart,IF($X129=0,$AD129,IF(AND($Z129&lt;&gt;"",EDATE($D129,Milestones!$AA$41)&gt;=$Z129),$AC129,IF(AND($Y129&lt;&gt;"",EDATE($D129,Milestones!$AA$41)&gt;=$Y129),$AB129,$AA129)))=Milestones!$AB$41),UPPER(TEXT(EDATE($D129,Milestones!$AA$41),"dd mmm yy"))&amp;" "&amp;Milestones!$AB$41&amp;" "&amp;IF(AND(Milestones!$AB$41="FT",Milestones!$AA$41=FT_Y5,EDATE($D129,Milestones!$AA$41)&lt;PolicyEff),1,Milestones!$AC$41)&amp;";  ","")&amp;IF(AND(EDATE($D129,Milestones!$AA$42)&lt;=AsOfDate,EDATE($D129,Milestones!$AA$42)&gt;=SchemeStart,IF($X129=0,$AD129,IF(AND($Z129&lt;&gt;"",EDATE($D129,Milestones!$AA$42)&gt;=$Z129),$AC129,IF(AND($Y129&lt;&gt;"",EDATE($D129,Milestones!$AA$42)&gt;=$Y129),$AB129,$AA129)))=Milestones!$AB$42),UPPER(TEXT(EDATE($D129,Milestones!$AA$42),"dd mmm yy"))&amp;" "&amp;Milestones!$AB$42&amp;" "&amp;IF(AND(Milestones!$AB$42="FT",Milestones!$AA$42=FT_Y5,EDATE($D129,Milestones!$AA$42)&lt;PolicyEff),1,Milestones!$AC$42)&amp;";  ","")&amp;IF(AND(EDATE($D129,Milestones!$AA$43)&lt;=AsOfDate,EDATE($D129,Milestones!$AA$43)&gt;=SchemeStart,IF($X129=0,$AD129,IF(AND($Z129&lt;&gt;"",EDATE($D129,Milestones!$AA$43)&gt;=$Z129),$AC129,IF(AND($Y129&lt;&gt;"",EDATE($D129,Milestones!$AA$43)&gt;=$Y129),$AB129,$AA129)))=Milestones!$AB$43),UPPER(TEXT(EDATE($D129,Milestones!$AA$43),"dd mmm yy"))&amp;" "&amp;Milestones!$AB$43&amp;" "&amp;IF(AND(Milestones!$AB$43="FT",Milestones!$AA$43=FT_Y5,EDATE($D129,Milestones!$AA$43)&lt;PolicyEff),1,Milestones!$AC$43)&amp;";  ",""))</f>
        <v/>
      </c>
      <c r="K129" s="0" t="str">
        <f aca="false">IF(OR($A129="",$D129=""),"",IF(AND(EDATE($D129,Milestones!$AA$44)&lt;=AsOfDate,EDATE($D129,Milestones!$AA$44)&gt;=SchemeStart,IF($X129=0,$AD129,IF(AND($Z129&lt;&gt;"",EDATE($D129,Milestones!$AA$44)&gt;=$Z129),$AC129,IF(AND($Y129&lt;&gt;"",EDATE($D129,Milestones!$AA$44)&gt;=$Y129),$AB129,$AA129)))=Milestones!$AB$44),UPPER(TEXT(EDATE($D129,Milestones!$AA$44),"dd mmm yy"))&amp;" "&amp;Milestones!$AB$44&amp;" "&amp;IF(AND(Milestones!$AB$44="FT",Milestones!$AA$44=FT_Y5,EDATE($D129,Milestones!$AA$44)&lt;PolicyEff),1,Milestones!$AC$44)&amp;";  ","")&amp;IF(AND(EDATE($D129,Milestones!$AA$45)&lt;=AsOfDate,EDATE($D129,Milestones!$AA$45)&gt;=SchemeStart,IF($X129=0,$AD129,IF(AND($Z129&lt;&gt;"",EDATE($D129,Milestones!$AA$45)&gt;=$Z129),$AC129,IF(AND($Y129&lt;&gt;"",EDATE($D129,Milestones!$AA$45)&gt;=$Y129),$AB129,$AA129)))=Milestones!$AB$45),UPPER(TEXT(EDATE($D129,Milestones!$AA$45),"dd mmm yy"))&amp;" "&amp;Milestones!$AB$45&amp;" "&amp;IF(AND(Milestones!$AB$45="FT",Milestones!$AA$45=FT_Y5,EDATE($D129,Milestones!$AA$45)&lt;PolicyEff),1,Milestones!$AC$45)&amp;";  ","")&amp;IF(AND(EDATE($D129,Milestones!$AA$46)&lt;=AsOfDate,EDATE($D129,Milestones!$AA$46)&gt;=SchemeStart,IF($X129=0,$AD129,IF(AND($Z129&lt;&gt;"",EDATE($D129,Milestones!$AA$46)&gt;=$Z129),$AC129,IF(AND($Y129&lt;&gt;"",EDATE($D129,Milestones!$AA$46)&gt;=$Y129),$AB129,$AA129)))=Milestones!$AB$46),UPPER(TEXT(EDATE($D129,Milestones!$AA$46),"dd mmm yy"))&amp;" "&amp;Milestones!$AB$46&amp;" "&amp;IF(AND(Milestones!$AB$46="FT",Milestones!$AA$46=FT_Y5,EDATE($D129,Milestones!$AA$46)&lt;PolicyEff),1,Milestones!$AC$46)&amp;";  ","")&amp;IF(AND(EDATE($D129,Milestones!$AA$47)&lt;=AsOfDate,EDATE($D129,Milestones!$AA$47)&gt;=SchemeStart,IF($X129=0,$AD129,IF(AND($Z129&lt;&gt;"",EDATE($D129,Milestones!$AA$47)&gt;=$Z129),$AC129,IF(AND($Y129&lt;&gt;"",EDATE($D129,Milestones!$AA$47)&gt;=$Y129),$AB129,$AA129)))=Milestones!$AB$47),UPPER(TEXT(EDATE($D129,Milestones!$AA$47),"dd mmm yy"))&amp;" "&amp;Milestones!$AB$47&amp;" "&amp;IF(AND(Milestones!$AB$47="FT",Milestones!$AA$47=FT_Y5,EDATE($D129,Milestones!$AA$47)&lt;PolicyEff),1,Milestones!$AC$47)&amp;";  ","")&amp;IF(AND(EDATE($D129,Milestones!$AA$48)&lt;=AsOfDate,EDATE($D129,Milestones!$AA$48)&gt;=SchemeStart,IF($X129=0,$AD129,IF(AND($Z129&lt;&gt;"",EDATE($D129,Milestones!$AA$48)&gt;=$Z129),$AC129,IF(AND($Y129&lt;&gt;"",EDATE($D129,Milestones!$AA$48)&gt;=$Y129),$AB129,$AA129)))=Milestones!$AB$48),UPPER(TEXT(EDATE($D129,Milestones!$AA$48),"dd mmm yy"))&amp;" "&amp;Milestones!$AB$48&amp;" "&amp;IF(AND(Milestones!$AB$48="FT",Milestones!$AA$48=FT_Y5,EDATE($D129,Milestones!$AA$48)&lt;PolicyEff),1,Milestones!$AC$48)&amp;";  ","")&amp;IF(AND(EDATE($D129,Milestones!$AA$49)&lt;=AsOfDate,EDATE($D129,Milestones!$AA$49)&gt;=SchemeStart,IF($X129=0,$AD129,IF(AND($Z129&lt;&gt;"",EDATE($D129,Milestones!$AA$49)&gt;=$Z129),$AC129,IF(AND($Y129&lt;&gt;"",EDATE($D129,Milestones!$AA$49)&gt;=$Y129),$AB129,$AA129)))=Milestones!$AB$49),UPPER(TEXT(EDATE($D129,Milestones!$AA$49),"dd mmm yy"))&amp;" "&amp;Milestones!$AB$49&amp;" "&amp;IF(AND(Milestones!$AB$49="FT",Milestones!$AA$49=FT_Y5,EDATE($D129,Milestones!$AA$49)&lt;PolicyEff),1,Milestones!$AC$49)&amp;";  ","")&amp;IF(AND(EDATE($D129,Milestones!$AA$50)&lt;=AsOfDate,EDATE($D129,Milestones!$AA$50)&gt;=SchemeStart,IF($X129=0,$AD129,IF(AND($Z129&lt;&gt;"",EDATE($D129,Milestones!$AA$50)&gt;=$Z129),$AC129,IF(AND($Y129&lt;&gt;"",EDATE($D129,Milestones!$AA$50)&gt;=$Y129),$AB129,$AA129)))=Milestones!$AB$50),UPPER(TEXT(EDATE($D129,Milestones!$AA$50),"dd mmm yy"))&amp;" "&amp;Milestones!$AB$50&amp;" "&amp;IF(AND(Milestones!$AB$50="FT",Milestones!$AA$50=FT_Y5,EDATE($D129,Milestones!$AA$50)&lt;PolicyEff),1,Milestones!$AC$50)&amp;";  ","")&amp;IF(AND(EDATE($D129,Milestones!$AA$51)&lt;=AsOfDate,EDATE($D129,Milestones!$AA$51)&gt;=SchemeStart,IF($X129=0,$AD129,IF(AND($Z129&lt;&gt;"",EDATE($D129,Milestones!$AA$51)&gt;=$Z129),$AC129,IF(AND($Y129&lt;&gt;"",EDATE($D129,Milestones!$AA$51)&gt;=$Y129),$AB129,$AA129)))=Milestones!$AB$51),UPPER(TEXT(EDATE($D129,Milestones!$AA$51),"dd mmm yy"))&amp;" "&amp;Milestones!$AB$51&amp;" "&amp;IF(AND(Milestones!$AB$51="FT",Milestones!$AA$51=FT_Y5,EDATE($D129,Milestones!$AA$51)&lt;PolicyEff),1,Milestones!$AC$51)&amp;";  ","")&amp;IF(AND(EDATE($D129,Milestones!$AA$52)&lt;=AsOfDate,EDATE($D129,Milestones!$AA$52)&gt;=SchemeStart,IF($X129=0,$AD129,IF(AND($Z129&lt;&gt;"",EDATE($D129,Milestones!$AA$52)&gt;=$Z129),$AC129,IF(AND($Y129&lt;&gt;"",EDATE($D129,Milestones!$AA$52)&gt;=$Y129),$AB129,$AA129)))=Milestones!$AB$52),UPPER(TEXT(EDATE($D129,Milestones!$AA$52),"dd mmm yy"))&amp;" "&amp;Milestones!$AB$52&amp;" "&amp;IF(AND(Milestones!$AB$52="FT",Milestones!$AA$52=FT_Y5,EDATE($D129,Milestones!$AA$52)&lt;PolicyEff),1,Milestones!$AC$52)&amp;";  ","")&amp;IF(AND(EDATE($D129,Milestones!$AA$53)&lt;=AsOfDate,EDATE($D129,Milestones!$AA$53)&gt;=SchemeStart,IF($X129=0,$AD129,IF(AND($Z129&lt;&gt;"",EDATE($D129,Milestones!$AA$53)&gt;=$Z129),$AC129,IF(AND($Y129&lt;&gt;"",EDATE($D129,Milestones!$AA$53)&gt;=$Y129),$AB129,$AA129)))=Milestones!$AB$53),UPPER(TEXT(EDATE($D129,Milestones!$AA$53),"dd mmm yy"))&amp;" "&amp;Milestones!$AB$53&amp;" "&amp;IF(AND(Milestones!$AB$53="FT",Milestones!$AA$53=FT_Y5,EDATE($D129,Milestones!$AA$53)&lt;PolicyEff),1,Milestones!$AC$53)&amp;";  ","")&amp;IF(AND(EDATE($D129,Milestones!$AA$54)&lt;=AsOfDate,EDATE($D129,Milestones!$AA$54)&gt;=SchemeStart,IF($X129=0,$AD129,IF(AND($Z129&lt;&gt;"",EDATE($D129,Milestones!$AA$54)&gt;=$Z129),$AC129,IF(AND($Y129&lt;&gt;"",EDATE($D129,Milestones!$AA$54)&gt;=$Y129),$AB129,$AA129)))=Milestones!$AB$54),UPPER(TEXT(EDATE($D129,Milestones!$AA$54),"dd mmm yy"))&amp;" "&amp;Milestones!$AB$54&amp;" "&amp;IF(AND(Milestones!$AB$54="FT",Milestones!$AA$54=FT_Y5,EDATE($D129,Milestones!$AA$54)&lt;PolicyEff),1,Milestones!$AC$54)&amp;";  ","")&amp;IF(AND(EDATE($D129,Milestones!$AA$55)&lt;=AsOfDate,EDATE($D129,Milestones!$AA$55)&gt;=SchemeStart,IF($X129=0,$AD129,IF(AND($Z129&lt;&gt;"",EDATE($D129,Milestones!$AA$55)&gt;=$Z129),$AC129,IF(AND($Y129&lt;&gt;"",EDATE($D129,Milestones!$AA$55)&gt;=$Y129),$AB129,$AA129)))=Milestones!$AB$55),UPPER(TEXT(EDATE($D129,Milestones!$AA$55),"dd mmm yy"))&amp;" "&amp;Milestones!$AB$55&amp;" "&amp;IF(AND(Milestones!$AB$55="FT",Milestones!$AA$55=FT_Y5,EDATE($D129,Milestones!$AA$55)&lt;PolicyEff),1,Milestones!$AC$55)&amp;";  ",""))</f>
        <v/>
      </c>
      <c r="L129" s="0" t="str">
        <f aca="false">IF(OR($A129="",$D129=""),"",IF(AND(EDATE($D129,Milestones!$AA$56)&lt;=AsOfDate,EDATE($D129,Milestones!$AA$56)&gt;=SchemeStart,IF($X129=0,$AD129,IF(AND($Z129&lt;&gt;"",EDATE($D129,Milestones!$AA$56)&gt;=$Z129),$AC129,IF(AND($Y129&lt;&gt;"",EDATE($D129,Milestones!$AA$56)&gt;=$Y129),$AB129,$AA129)))=Milestones!$AB$56),UPPER(TEXT(EDATE($D129,Milestones!$AA$56),"dd mmm yy"))&amp;" "&amp;Milestones!$AB$56&amp;" "&amp;IF(AND(Milestones!$AB$56="FT",Milestones!$AA$56=FT_Y5,EDATE($D129,Milestones!$AA$56)&lt;PolicyEff),1,Milestones!$AC$56)&amp;";  ","")&amp;IF(AND(EDATE($D129,Milestones!$AA$57)&lt;=AsOfDate,EDATE($D129,Milestones!$AA$57)&gt;=SchemeStart,IF($X129=0,$AD129,IF(AND($Z129&lt;&gt;"",EDATE($D129,Milestones!$AA$57)&gt;=$Z129),$AC129,IF(AND($Y129&lt;&gt;"",EDATE($D129,Milestones!$AA$57)&gt;=$Y129),$AB129,$AA129)))=Milestones!$AB$57),UPPER(TEXT(EDATE($D129,Milestones!$AA$57),"dd mmm yy"))&amp;" "&amp;Milestones!$AB$57&amp;" "&amp;IF(AND(Milestones!$AB$57="FT",Milestones!$AA$57=FT_Y5,EDATE($D129,Milestones!$AA$57)&lt;PolicyEff),1,Milestones!$AC$57)&amp;";  ","")&amp;IF(AND(EDATE($D129,Milestones!$AA$58)&lt;=AsOfDate,EDATE($D129,Milestones!$AA$58)&gt;=SchemeStart,IF($X129=0,$AD129,IF(AND($Z129&lt;&gt;"",EDATE($D129,Milestones!$AA$58)&gt;=$Z129),$AC129,IF(AND($Y129&lt;&gt;"",EDATE($D129,Milestones!$AA$58)&gt;=$Y129),$AB129,$AA129)))=Milestones!$AB$58),UPPER(TEXT(EDATE($D129,Milestones!$AA$58),"dd mmm yy"))&amp;" "&amp;Milestones!$AB$58&amp;" "&amp;IF(AND(Milestones!$AB$58="FT",Milestones!$AA$58=FT_Y5,EDATE($D129,Milestones!$AA$58)&lt;PolicyEff),1,Milestones!$AC$58)&amp;";  ","")&amp;IF(AND(EDATE($D129,Milestones!$AA$59)&lt;=AsOfDate,EDATE($D129,Milestones!$AA$59)&gt;=SchemeStart,IF($X129=0,$AD129,IF(AND($Z129&lt;&gt;"",EDATE($D129,Milestones!$AA$59)&gt;=$Z129),$AC129,IF(AND($Y129&lt;&gt;"",EDATE($D129,Milestones!$AA$59)&gt;=$Y129),$AB129,$AA129)))=Milestones!$AB$59),UPPER(TEXT(EDATE($D129,Milestones!$AA$59),"dd mmm yy"))&amp;" "&amp;Milestones!$AB$59&amp;" "&amp;IF(AND(Milestones!$AB$59="FT",Milestones!$AA$59=FT_Y5,EDATE($D129,Milestones!$AA$59)&lt;PolicyEff),1,Milestones!$AC$59)&amp;";  ","")&amp;IF(AND(EDATE($D129,Milestones!$AA$60)&lt;=AsOfDate,EDATE($D129,Milestones!$AA$60)&gt;=SchemeStart,IF($X129=0,$AD129,IF(AND($Z129&lt;&gt;"",EDATE($D129,Milestones!$AA$60)&gt;=$Z129),$AC129,IF(AND($Y129&lt;&gt;"",EDATE($D129,Milestones!$AA$60)&gt;=$Y129),$AB129,$AA129)))=Milestones!$AB$60),UPPER(TEXT(EDATE($D129,Milestones!$AA$60),"dd mmm yy"))&amp;" "&amp;Milestones!$AB$60&amp;" "&amp;IF(AND(Milestones!$AB$60="FT",Milestones!$AA$60=FT_Y5,EDATE($D129,Milestones!$AA$60)&lt;PolicyEff),1,Milestones!$AC$60)&amp;";  ","")&amp;IF(AND(EDATE($D129,Milestones!$AA$61)&lt;=AsOfDate,EDATE($D129,Milestones!$AA$61)&gt;=SchemeStart,IF($X129=0,$AD129,IF(AND($Z129&lt;&gt;"",EDATE($D129,Milestones!$AA$61)&gt;=$Z129),$AC129,IF(AND($Y129&lt;&gt;"",EDATE($D129,Milestones!$AA$61)&gt;=$Y129),$AB129,$AA129)))=Milestones!$AB$61),UPPER(TEXT(EDATE($D129,Milestones!$AA$61),"dd mmm yy"))&amp;" "&amp;Milestones!$AB$61&amp;" "&amp;IF(AND(Milestones!$AB$61="FT",Milestones!$AA$61=FT_Y5,EDATE($D129,Milestones!$AA$61)&lt;PolicyEff),1,Milestones!$AC$61)&amp;";  ","")&amp;IF(AND(EDATE($D129,Milestones!$AA$62)&lt;=AsOfDate,EDATE($D129,Milestones!$AA$62)&gt;=SchemeStart,IF($X129=0,$AD129,IF(AND($Z129&lt;&gt;"",EDATE($D129,Milestones!$AA$62)&gt;=$Z129),$AC129,IF(AND($Y129&lt;&gt;"",EDATE($D129,Milestones!$AA$62)&gt;=$Y129),$AB129,$AA129)))=Milestones!$AB$62),UPPER(TEXT(EDATE($D129,Milestones!$AA$62),"dd mmm yy"))&amp;" "&amp;Milestones!$AB$62&amp;" "&amp;IF(AND(Milestones!$AB$62="FT",Milestones!$AA$62=FT_Y5,EDATE($D129,Milestones!$AA$62)&lt;PolicyEff),1,Milestones!$AC$62)&amp;";  ","")&amp;IF(AND(EDATE($D129,Milestones!$AA$63)&lt;=AsOfDate,EDATE($D129,Milestones!$AA$63)&gt;=SchemeStart,IF($X129=0,$AD129,IF(AND($Z129&lt;&gt;"",EDATE($D129,Milestones!$AA$63)&gt;=$Z129),$AC129,IF(AND($Y129&lt;&gt;"",EDATE($D129,Milestones!$AA$63)&gt;=$Y129),$AB129,$AA129)))=Milestones!$AB$63),UPPER(TEXT(EDATE($D129,Milestones!$AA$63),"dd mmm yy"))&amp;" "&amp;Milestones!$AB$63&amp;" "&amp;IF(AND(Milestones!$AB$63="FT",Milestones!$AA$63=FT_Y5,EDATE($D129,Milestones!$AA$63)&lt;PolicyEff),1,Milestones!$AC$63)&amp;";  ","")&amp;IF(AND(EDATE($D129,Milestones!$AA$64)&lt;=AsOfDate,EDATE($D129,Milestones!$AA$64)&gt;=SchemeStart,IF($X129=0,$AD129,IF(AND($Z129&lt;&gt;"",EDATE($D129,Milestones!$AA$64)&gt;=$Z129),$AC129,IF(AND($Y129&lt;&gt;"",EDATE($D129,Milestones!$AA$64)&gt;=$Y129),$AB129,$AA129)))=Milestones!$AB$64),UPPER(TEXT(EDATE($D129,Milestones!$AA$64),"dd mmm yy"))&amp;" "&amp;Milestones!$AB$64&amp;" "&amp;IF(AND(Milestones!$AB$64="FT",Milestones!$AA$64=FT_Y5,EDATE($D129,Milestones!$AA$64)&lt;PolicyEff),1,Milestones!$AC$64)&amp;";  ","")&amp;IF(AND(EDATE($D129,Milestones!$AA$65)&lt;=AsOfDate,EDATE($D129,Milestones!$AA$65)&gt;=SchemeStart,IF($X129=0,$AD129,IF(AND($Z129&lt;&gt;"",EDATE($D129,Milestones!$AA$65)&gt;=$Z129),$AC129,IF(AND($Y129&lt;&gt;"",EDATE($D129,Milestones!$AA$65)&gt;=$Y129),$AB129,$AA129)))=Milestones!$AB$65),UPPER(TEXT(EDATE($D129,Milestones!$AA$65),"dd mmm yy"))&amp;" "&amp;Milestones!$AB$65&amp;" "&amp;IF(AND(Milestones!$AB$65="FT",Milestones!$AA$65=FT_Y5,EDATE($D129,Milestones!$AA$65)&lt;PolicyEff),1,Milestones!$AC$65)&amp;";  ","")&amp;IF(AND(EDATE($D129,Milestones!$AA$66)&lt;=AsOfDate,EDATE($D129,Milestones!$AA$66)&gt;=SchemeStart,IF($X129=0,$AD129,IF(AND($Z129&lt;&gt;"",EDATE($D129,Milestones!$AA$66)&gt;=$Z129),$AC129,IF(AND($Y129&lt;&gt;"",EDATE($D129,Milestones!$AA$66)&gt;=$Y129),$AB129,$AA129)))=Milestones!$AB$66),UPPER(TEXT(EDATE($D129,Milestones!$AA$66),"dd mmm yy"))&amp;" "&amp;Milestones!$AB$66&amp;" "&amp;IF(AND(Milestones!$AB$66="FT",Milestones!$AA$66=FT_Y5,EDATE($D129,Milestones!$AA$66)&lt;PolicyEff),1,Milestones!$AC$66)&amp;";  ","")&amp;IF(AND(EDATE($D129,Milestones!$AA$67)&lt;=AsOfDate,EDATE($D129,Milestones!$AA$67)&gt;=SchemeStart,IF($X129=0,$AD129,IF(AND($Z129&lt;&gt;"",EDATE($D129,Milestones!$AA$67)&gt;=$Z129),$AC129,IF(AND($Y129&lt;&gt;"",EDATE($D129,Milestones!$AA$67)&gt;=$Y129),$AB129,$AA129)))=Milestones!$AB$67),UPPER(TEXT(EDATE($D129,Milestones!$AA$67),"dd mmm yy"))&amp;" "&amp;Milestones!$AB$67&amp;" "&amp;IF(AND(Milestones!$AB$67="FT",Milestones!$AA$67=FT_Y5,EDATE($D129,Milestones!$AA$67)&lt;PolicyEff),1,Milestones!$AC$67)&amp;";  ",""))</f>
        <v/>
      </c>
      <c r="M129" s="0" t="str">
        <f aca="false">IF(OR($A129="",$D129=""),"",IF(AND(EDATE($D129,Milestones!$AA$68)&lt;=AsOfDate,EDATE($D129,Milestones!$AA$68)&gt;=SchemeStart,IF($X129=0,$AD129,IF(AND($Z129&lt;&gt;"",EDATE($D129,Milestones!$AA$68)&gt;=$Z129),$AC129,IF(AND($Y129&lt;&gt;"",EDATE($D129,Milestones!$AA$68)&gt;=$Y129),$AB129,$AA129)))=Milestones!$AB$68),UPPER(TEXT(EDATE($D129,Milestones!$AA$68),"dd mmm yy"))&amp;" "&amp;Milestones!$AB$68&amp;" "&amp;IF(AND(Milestones!$AB$68="FT",Milestones!$AA$68=FT_Y5,EDATE($D129,Milestones!$AA$68)&lt;PolicyEff),1,Milestones!$AC$68)&amp;";  ","")&amp;IF(AND(EDATE($D129,Milestones!$AA$69)&lt;=AsOfDate,EDATE($D129,Milestones!$AA$69)&gt;=SchemeStart,IF($X129=0,$AD129,IF(AND($Z129&lt;&gt;"",EDATE($D129,Milestones!$AA$69)&gt;=$Z129),$AC129,IF(AND($Y129&lt;&gt;"",EDATE($D129,Milestones!$AA$69)&gt;=$Y129),$AB129,$AA129)))=Milestones!$AB$69),UPPER(TEXT(EDATE($D129,Milestones!$AA$69),"dd mmm yy"))&amp;" "&amp;Milestones!$AB$69&amp;" "&amp;IF(AND(Milestones!$AB$69="FT",Milestones!$AA$69=FT_Y5,EDATE($D129,Milestones!$AA$69)&lt;PolicyEff),1,Milestones!$AC$69)&amp;";  ","")&amp;IF(AND(EDATE($D129,Milestones!$AA$70)&lt;=AsOfDate,EDATE($D129,Milestones!$AA$70)&gt;=SchemeStart,IF($X129=0,$AD129,IF(AND($Z129&lt;&gt;"",EDATE($D129,Milestones!$AA$70)&gt;=$Z129),$AC129,IF(AND($Y129&lt;&gt;"",EDATE($D129,Milestones!$AA$70)&gt;=$Y129),$AB129,$AA129)))=Milestones!$AB$70),UPPER(TEXT(EDATE($D129,Milestones!$AA$70),"dd mmm yy"))&amp;" "&amp;Milestones!$AB$70&amp;" "&amp;IF(AND(Milestones!$AB$70="FT",Milestones!$AA$70=FT_Y5,EDATE($D129,Milestones!$AA$70)&lt;PolicyEff),1,Milestones!$AC$70)&amp;";  ","")&amp;IF(AND(EDATE($D129,Milestones!$AA$71)&lt;=AsOfDate,EDATE($D129,Milestones!$AA$71)&gt;=SchemeStart,IF($X129=0,$AD129,IF(AND($Z129&lt;&gt;"",EDATE($D129,Milestones!$AA$71)&gt;=$Z129),$AC129,IF(AND($Y129&lt;&gt;"",EDATE($D129,Milestones!$AA$71)&gt;=$Y129),$AB129,$AA129)))=Milestones!$AB$71),UPPER(TEXT(EDATE($D129,Milestones!$AA$71),"dd mmm yy"))&amp;" "&amp;Milestones!$AB$71&amp;" "&amp;IF(AND(Milestones!$AB$71="FT",Milestones!$AA$71=FT_Y5,EDATE($D129,Milestones!$AA$71)&lt;PolicyEff),1,Milestones!$AC$71)&amp;";  ","")&amp;IF(AND(EDATE($D129,Milestones!$AA$72)&lt;=AsOfDate,EDATE($D129,Milestones!$AA$72)&gt;=SchemeStart,IF($X129=0,$AD129,IF(AND($Z129&lt;&gt;"",EDATE($D129,Milestones!$AA$72)&gt;=$Z129),$AC129,IF(AND($Y129&lt;&gt;"",EDATE($D129,Milestones!$AA$72)&gt;=$Y129),$AB129,$AA129)))=Milestones!$AB$72),UPPER(TEXT(EDATE($D129,Milestones!$AA$72),"dd mmm yy"))&amp;" "&amp;Milestones!$AB$72&amp;" "&amp;IF(AND(Milestones!$AB$72="FT",Milestones!$AA$72=FT_Y5,EDATE($D129,Milestones!$AA$72)&lt;PolicyEff),1,Milestones!$AC$72)&amp;";  ","")&amp;IF(AND(EDATE($D129,Milestones!$AA$73)&lt;=AsOfDate,EDATE($D129,Milestones!$AA$73)&gt;=SchemeStart,IF($X129=0,$AD129,IF(AND($Z129&lt;&gt;"",EDATE($D129,Milestones!$AA$73)&gt;=$Z129),$AC129,IF(AND($Y129&lt;&gt;"",EDATE($D129,Milestones!$AA$73)&gt;=$Y129),$AB129,$AA129)))=Milestones!$AB$73),UPPER(TEXT(EDATE($D129,Milestones!$AA$73),"dd mmm yy"))&amp;" "&amp;Milestones!$AB$73&amp;" "&amp;IF(AND(Milestones!$AB$73="FT",Milestones!$AA$73=FT_Y5,EDATE($D129,Milestones!$AA$73)&lt;PolicyEff),1,Milestones!$AC$73)&amp;";  ","")&amp;IF(AND(EDATE($D129,Milestones!$AA$74)&lt;=AsOfDate,EDATE($D129,Milestones!$AA$74)&gt;=SchemeStart,IF($X129=0,$AD129,IF(AND($Z129&lt;&gt;"",EDATE($D129,Milestones!$AA$74)&gt;=$Z129),$AC129,IF(AND($Y129&lt;&gt;"",EDATE($D129,Milestones!$AA$74)&gt;=$Y129),$AB129,$AA129)))=Milestones!$AB$74),UPPER(TEXT(EDATE($D129,Milestones!$AA$74),"dd mmm yy"))&amp;" "&amp;Milestones!$AB$74&amp;" "&amp;IF(AND(Milestones!$AB$74="FT",Milestones!$AA$74=FT_Y5,EDATE($D129,Milestones!$AA$74)&lt;PolicyEff),1,Milestones!$AC$74)&amp;";  ","")&amp;IF(AND(EDATE($D129,Milestones!$AA$75)&lt;=AsOfDate,EDATE($D129,Milestones!$AA$75)&gt;=SchemeStart,IF($X129=0,$AD129,IF(AND($Z129&lt;&gt;"",EDATE($D129,Milestones!$AA$75)&gt;=$Z129),$AC129,IF(AND($Y129&lt;&gt;"",EDATE($D129,Milestones!$AA$75)&gt;=$Y129),$AB129,$AA129)))=Milestones!$AB$75),UPPER(TEXT(EDATE($D129,Milestones!$AA$75),"dd mmm yy"))&amp;" "&amp;Milestones!$AB$75&amp;" "&amp;IF(AND(Milestones!$AB$75="FT",Milestones!$AA$75=FT_Y5,EDATE($D129,Milestones!$AA$75)&lt;PolicyEff),1,Milestones!$AC$75)&amp;";  ","")&amp;IF(AND(EDATE($D129,Milestones!$AA$76)&lt;=AsOfDate,EDATE($D129,Milestones!$AA$76)&gt;=SchemeStart,IF($X129=0,$AD129,IF(AND($Z129&lt;&gt;"",EDATE($D129,Milestones!$AA$76)&gt;=$Z129),$AC129,IF(AND($Y129&lt;&gt;"",EDATE($D129,Milestones!$AA$76)&gt;=$Y129),$AB129,$AA129)))=Milestones!$AB$76),UPPER(TEXT(EDATE($D129,Milestones!$AA$76),"dd mmm yy"))&amp;" "&amp;Milestones!$AB$76&amp;" "&amp;IF(AND(Milestones!$AB$76="FT",Milestones!$AA$76=FT_Y5,EDATE($D129,Milestones!$AA$76)&lt;PolicyEff),1,Milestones!$AC$76)&amp;";  ","")&amp;IF(AND(EDATE($D129,Milestones!$AA$77)&lt;=AsOfDate,EDATE($D129,Milestones!$AA$77)&gt;=SchemeStart,IF($X129=0,$AD129,IF(AND($Z129&lt;&gt;"",EDATE($D129,Milestones!$AA$77)&gt;=$Z129),$AC129,IF(AND($Y129&lt;&gt;"",EDATE($D129,Milestones!$AA$77)&gt;=$Y129),$AB129,$AA129)))=Milestones!$AB$77),UPPER(TEXT(EDATE($D129,Milestones!$AA$77),"dd mmm yy"))&amp;" "&amp;Milestones!$AB$77&amp;" "&amp;IF(AND(Milestones!$AB$77="FT",Milestones!$AA$77=FT_Y5,EDATE($D129,Milestones!$AA$77)&lt;PolicyEff),1,Milestones!$AC$77)&amp;";  ","")&amp;IF(AND(EDATE($D129,Milestones!$AA$78)&lt;=AsOfDate,EDATE($D129,Milestones!$AA$78)&gt;=SchemeStart,IF($X129=0,$AD129,IF(AND($Z129&lt;&gt;"",EDATE($D129,Milestones!$AA$78)&gt;=$Z129),$AC129,IF(AND($Y129&lt;&gt;"",EDATE($D129,Milestones!$AA$78)&gt;=$Y129),$AB129,$AA129)))=Milestones!$AB$78),UPPER(TEXT(EDATE($D129,Milestones!$AA$78),"dd mmm yy"))&amp;" "&amp;Milestones!$AB$78&amp;" "&amp;IF(AND(Milestones!$AB$78="FT",Milestones!$AA$78=FT_Y5,EDATE($D129,Milestones!$AA$78)&lt;PolicyEff),1,Milestones!$AC$78)&amp;";  ","")&amp;IF(AND(EDATE($D129,Milestones!$AA$79)&lt;=AsOfDate,EDATE($D129,Milestones!$AA$79)&gt;=SchemeStart,IF($X129=0,$AD129,IF(AND($Z129&lt;&gt;"",EDATE($D129,Milestones!$AA$79)&gt;=$Z129),$AC129,IF(AND($Y129&lt;&gt;"",EDATE($D129,Milestones!$AA$79)&gt;=$Y129),$AB129,$AA129)))=Milestones!$AB$79),UPPER(TEXT(EDATE($D129,Milestones!$AA$79),"dd mmm yy"))&amp;" "&amp;Milestones!$AB$79&amp;" "&amp;IF(AND(Milestones!$AB$79="FT",Milestones!$AA$79=FT_Y5,EDATE($D129,Milestones!$AA$79)&lt;PolicyEff),1,Milestones!$AC$79)&amp;";  ",""))</f>
        <v/>
      </c>
      <c r="N129" s="0" t="str">
        <f aca="false">IF(OR($A129="",$D129=""),"",IF(AND(EDATE($D129,Milestones!$AA$80)&lt;=AsOfDate,EDATE($D129,Milestones!$AA$80)&gt;=SchemeStart,IF($X129=0,$AD129,IF(AND($Z129&lt;&gt;"",EDATE($D129,Milestones!$AA$80)&gt;=$Z129),$AC129,IF(AND($Y129&lt;&gt;"",EDATE($D129,Milestones!$AA$80)&gt;=$Y129),$AB129,$AA129)))=Milestones!$AB$80),UPPER(TEXT(EDATE($D129,Milestones!$AA$80),"dd mmm yy"))&amp;" "&amp;Milestones!$AB$80&amp;" "&amp;IF(AND(Milestones!$AB$80="FT",Milestones!$AA$80=FT_Y5,EDATE($D129,Milestones!$AA$80)&lt;PolicyEff),1,Milestones!$AC$80)&amp;";  ","")&amp;IF(AND(EDATE($D129,Milestones!$AA$81)&lt;=AsOfDate,EDATE($D129,Milestones!$AA$81)&gt;=SchemeStart,IF($X129=0,$AD129,IF(AND($Z129&lt;&gt;"",EDATE($D129,Milestones!$AA$81)&gt;=$Z129),$AC129,IF(AND($Y129&lt;&gt;"",EDATE($D129,Milestones!$AA$81)&gt;=$Y129),$AB129,$AA129)))=Milestones!$AB$81),UPPER(TEXT(EDATE($D129,Milestones!$AA$81),"dd mmm yy"))&amp;" "&amp;Milestones!$AB$81&amp;" "&amp;IF(AND(Milestones!$AB$81="FT",Milestones!$AA$81=FT_Y5,EDATE($D129,Milestones!$AA$81)&lt;PolicyEff),1,Milestones!$AC$81)&amp;";  ","")&amp;IF(AND(EDATE($D129,Milestones!$AA$82)&lt;=AsOfDate,EDATE($D129,Milestones!$AA$82)&gt;=SchemeStart,IF($X129=0,$AD129,IF(AND($Z129&lt;&gt;"",EDATE($D129,Milestones!$AA$82)&gt;=$Z129),$AC129,IF(AND($Y129&lt;&gt;"",EDATE($D129,Milestones!$AA$82)&gt;=$Y129),$AB129,$AA129)))=Milestones!$AB$82),UPPER(TEXT(EDATE($D129,Milestones!$AA$82),"dd mmm yy"))&amp;" "&amp;Milestones!$AB$82&amp;" "&amp;IF(AND(Milestones!$AB$82="FT",Milestones!$AA$82=FT_Y5,EDATE($D129,Milestones!$AA$82)&lt;PolicyEff),1,Milestones!$AC$82)&amp;";  ","")&amp;IF(AND(EDATE($D129,Milestones!$AA$83)&lt;=AsOfDate,EDATE($D129,Milestones!$AA$83)&gt;=SchemeStart,IF($X129=0,$AD129,IF(AND($Z129&lt;&gt;"",EDATE($D129,Milestones!$AA$83)&gt;=$Z129),$AC129,IF(AND($Y129&lt;&gt;"",EDATE($D129,Milestones!$AA$83)&gt;=$Y129),$AB129,$AA129)))=Milestones!$AB$83),UPPER(TEXT(EDATE($D129,Milestones!$AA$83),"dd mmm yy"))&amp;" "&amp;Milestones!$AB$83&amp;" "&amp;IF(AND(Milestones!$AB$83="FT",Milestones!$AA$83=FT_Y5,EDATE($D129,Milestones!$AA$83)&lt;PolicyEff),1,Milestones!$AC$83)&amp;";  ","")&amp;IF(AND(EDATE($D129,Milestones!$AA$84)&lt;=AsOfDate,EDATE($D129,Milestones!$AA$84)&gt;=SchemeStart,IF($X129=0,$AD129,IF(AND($Z129&lt;&gt;"",EDATE($D129,Milestones!$AA$84)&gt;=$Z129),$AC129,IF(AND($Y129&lt;&gt;"",EDATE($D129,Milestones!$AA$84)&gt;=$Y129),$AB129,$AA129)))=Milestones!$AB$84),UPPER(TEXT(EDATE($D129,Milestones!$AA$84),"dd mmm yy"))&amp;" "&amp;Milestones!$AB$84&amp;" "&amp;IF(AND(Milestones!$AB$84="FT",Milestones!$AA$84=FT_Y5,EDATE($D129,Milestones!$AA$84)&lt;PolicyEff),1,Milestones!$AC$84)&amp;";  ","")&amp;IF(AND(EDATE($D129,Milestones!$AA$85)&lt;=AsOfDate,EDATE($D129,Milestones!$AA$85)&gt;=SchemeStart,IF($X129=0,$AD129,IF(AND($Z129&lt;&gt;"",EDATE($D129,Milestones!$AA$85)&gt;=$Z129),$AC129,IF(AND($Y129&lt;&gt;"",EDATE($D129,Milestones!$AA$85)&gt;=$Y129),$AB129,$AA129)))=Milestones!$AB$85),UPPER(TEXT(EDATE($D129,Milestones!$AA$85),"dd mmm yy"))&amp;" "&amp;Milestones!$AB$85&amp;" "&amp;IF(AND(Milestones!$AB$85="FT",Milestones!$AA$85=FT_Y5,EDATE($D129,Milestones!$AA$85)&lt;PolicyEff),1,Milestones!$AC$85)&amp;";  ","")&amp;IF(AND(EDATE($D129,Milestones!$AA$86)&lt;=AsOfDate,EDATE($D129,Milestones!$AA$86)&gt;=SchemeStart,IF($X129=0,$AD129,IF(AND($Z129&lt;&gt;"",EDATE($D129,Milestones!$AA$86)&gt;=$Z129),$AC129,IF(AND($Y129&lt;&gt;"",EDATE($D129,Milestones!$AA$86)&gt;=$Y129),$AB129,$AA129)))=Milestones!$AB$86),UPPER(TEXT(EDATE($D129,Milestones!$AA$86),"dd mmm yy"))&amp;" "&amp;Milestones!$AB$86&amp;" "&amp;IF(AND(Milestones!$AB$86="FT",Milestones!$AA$86=FT_Y5,EDATE($D129,Milestones!$AA$86)&lt;PolicyEff),1,Milestones!$AC$86)&amp;";  ","")&amp;IF(AND(EDATE($D129,Milestones!$AA$87)&lt;=AsOfDate,EDATE($D129,Milestones!$AA$87)&gt;=SchemeStart,IF($X129=0,$AD129,IF(AND($Z129&lt;&gt;"",EDATE($D129,Milestones!$AA$87)&gt;=$Z129),$AC129,IF(AND($Y129&lt;&gt;"",EDATE($D129,Milestones!$AA$87)&gt;=$Y129),$AB129,$AA129)))=Milestones!$AB$87),UPPER(TEXT(EDATE($D129,Milestones!$AA$87),"dd mmm yy"))&amp;" "&amp;Milestones!$AB$87&amp;" "&amp;IF(AND(Milestones!$AB$87="FT",Milestones!$AA$87=FT_Y5,EDATE($D129,Milestones!$AA$87)&lt;PolicyEff),1,Milestones!$AC$87)&amp;";  ","")&amp;IF(AND(EDATE($D129,Milestones!$AA$88)&lt;=AsOfDate,EDATE($D129,Milestones!$AA$88)&gt;=SchemeStart,IF($X129=0,$AD129,IF(AND($Z129&lt;&gt;"",EDATE($D129,Milestones!$AA$88)&gt;=$Z129),$AC129,IF(AND($Y129&lt;&gt;"",EDATE($D129,Milestones!$AA$88)&gt;=$Y129),$AB129,$AA129)))=Milestones!$AB$88),UPPER(TEXT(EDATE($D129,Milestones!$AA$88),"dd mmm yy"))&amp;" "&amp;Milestones!$AB$88&amp;" "&amp;IF(AND(Milestones!$AB$88="FT",Milestones!$AA$88=FT_Y5,EDATE($D129,Milestones!$AA$88)&lt;PolicyEff),1,Milestones!$AC$88)&amp;";  ","")&amp;IF(AND(EDATE($D129,Milestones!$AA$89)&lt;=AsOfDate,EDATE($D129,Milestones!$AA$89)&gt;=SchemeStart,IF($X129=0,$AD129,IF(AND($Z129&lt;&gt;"",EDATE($D129,Milestones!$AA$89)&gt;=$Z129),$AC129,IF(AND($Y129&lt;&gt;"",EDATE($D129,Milestones!$AA$89)&gt;=$Y129),$AB129,$AA129)))=Milestones!$AB$89),UPPER(TEXT(EDATE($D129,Milestones!$AA$89),"dd mmm yy"))&amp;" "&amp;Milestones!$AB$89&amp;" "&amp;IF(AND(Milestones!$AB$89="FT",Milestones!$AA$89=FT_Y5,EDATE($D129,Milestones!$AA$89)&lt;PolicyEff),1,Milestones!$AC$89)&amp;";  ","")&amp;IF(AND(EDATE($D129,Milestones!$AA$90)&lt;=AsOfDate,EDATE($D129,Milestones!$AA$90)&gt;=SchemeStart,IF($X129=0,$AD129,IF(AND($Z129&lt;&gt;"",EDATE($D129,Milestones!$AA$90)&gt;=$Z129),$AC129,IF(AND($Y129&lt;&gt;"",EDATE($D129,Milestones!$AA$90)&gt;=$Y129),$AB129,$AA129)))=Milestones!$AB$90),UPPER(TEXT(EDATE($D129,Milestones!$AA$90),"dd mmm yy"))&amp;" "&amp;Milestones!$AB$90&amp;" "&amp;IF(AND(Milestones!$AB$90="FT",Milestones!$AA$90=FT_Y5,EDATE($D129,Milestones!$AA$90)&lt;PolicyEff),1,Milestones!$AC$90)&amp;";  ","")&amp;IF(AND(EDATE($D129,Milestones!$AA$91)&lt;=AsOfDate,EDATE($D129,Milestones!$AA$91)&gt;=SchemeStart,IF($X129=0,$AD129,IF(AND($Z129&lt;&gt;"",EDATE($D129,Milestones!$AA$91)&gt;=$Z129),$AC129,IF(AND($Y129&lt;&gt;"",EDATE($D129,Milestones!$AA$91)&gt;=$Y129),$AB129,$AA129)))=Milestones!$AB$91),UPPER(TEXT(EDATE($D129,Milestones!$AA$91),"dd mmm yy"))&amp;" "&amp;Milestones!$AB$91&amp;" "&amp;IF(AND(Milestones!$AB$91="FT",Milestones!$AA$91=FT_Y5,EDATE($D129,Milestones!$AA$91)&lt;PolicyEff),1,Milestones!$AC$91)&amp;";  ",""))</f>
        <v/>
      </c>
      <c r="O129" s="0" t="str">
        <f aca="false">IF(OR($A129="",$D129=""),"",IF(AND(EDATE($D129,Milestones!$AA$92)&lt;=AsOfDate,EDATE($D129,Milestones!$AA$92)&gt;=SchemeStart,IF($X129=0,$AD129,IF(AND($Z129&lt;&gt;"",EDATE($D129,Milestones!$AA$92)&gt;=$Z129),$AC129,IF(AND($Y129&lt;&gt;"",EDATE($D129,Milestones!$AA$92)&gt;=$Y129),$AB129,$AA129)))=Milestones!$AB$92),UPPER(TEXT(EDATE($D129,Milestones!$AA$92),"dd mmm yy"))&amp;" "&amp;Milestones!$AB$92&amp;" "&amp;IF(AND(Milestones!$AB$92="FT",Milestones!$AA$92=FT_Y5,EDATE($D129,Milestones!$AA$92)&lt;PolicyEff),1,Milestones!$AC$92)&amp;";  ","")&amp;IF(AND(EDATE($D129,Milestones!$AA$93)&lt;=AsOfDate,EDATE($D129,Milestones!$AA$93)&gt;=SchemeStart,IF($X129=0,$AD129,IF(AND($Z129&lt;&gt;"",EDATE($D129,Milestones!$AA$93)&gt;=$Z129),$AC129,IF(AND($Y129&lt;&gt;"",EDATE($D129,Milestones!$AA$93)&gt;=$Y129),$AB129,$AA129)))=Milestones!$AB$93),UPPER(TEXT(EDATE($D129,Milestones!$AA$93),"dd mmm yy"))&amp;" "&amp;Milestones!$AB$93&amp;" "&amp;IF(AND(Milestones!$AB$93="FT",Milestones!$AA$93=FT_Y5,EDATE($D129,Milestones!$AA$93)&lt;PolicyEff),1,Milestones!$AC$93)&amp;";  ","")&amp;IF(AND(EDATE($D129,Milestones!$AA$94)&lt;=AsOfDate,EDATE($D129,Milestones!$AA$94)&gt;=SchemeStart,IF($X129=0,$AD129,IF(AND($Z129&lt;&gt;"",EDATE($D129,Milestones!$AA$94)&gt;=$Z129),$AC129,IF(AND($Y129&lt;&gt;"",EDATE($D129,Milestones!$AA$94)&gt;=$Y129),$AB129,$AA129)))=Milestones!$AB$94),UPPER(TEXT(EDATE($D129,Milestones!$AA$94),"dd mmm yy"))&amp;" "&amp;Milestones!$AB$94&amp;" "&amp;IF(AND(Milestones!$AB$94="FT",Milestones!$AA$94=FT_Y5,EDATE($D129,Milestones!$AA$94)&lt;PolicyEff),1,Milestones!$AC$94)&amp;";  ","")&amp;IF(AND(EDATE($D129,Milestones!$AA$95)&lt;=AsOfDate,EDATE($D129,Milestones!$AA$95)&gt;=SchemeStart,IF($X129=0,$AD129,IF(AND($Z129&lt;&gt;"",EDATE($D129,Milestones!$AA$95)&gt;=$Z129),$AC129,IF(AND($Y129&lt;&gt;"",EDATE($D129,Milestones!$AA$95)&gt;=$Y129),$AB129,$AA129)))=Milestones!$AB$95),UPPER(TEXT(EDATE($D129,Milestones!$AA$95),"dd mmm yy"))&amp;" "&amp;Milestones!$AB$95&amp;" "&amp;IF(AND(Milestones!$AB$95="FT",Milestones!$AA$95=FT_Y5,EDATE($D129,Milestones!$AA$95)&lt;PolicyEff),1,Milestones!$AC$95)&amp;";  ","")&amp;IF(AND(EDATE($D129,Milestones!$AA$96)&lt;=AsOfDate,EDATE($D129,Milestones!$AA$96)&gt;=SchemeStart,IF($X129=0,$AD129,IF(AND($Z129&lt;&gt;"",EDATE($D129,Milestones!$AA$96)&gt;=$Z129),$AC129,IF(AND($Y129&lt;&gt;"",EDATE($D129,Milestones!$AA$96)&gt;=$Y129),$AB129,$AA129)))=Milestones!$AB$96),UPPER(TEXT(EDATE($D129,Milestones!$AA$96),"dd mmm yy"))&amp;" "&amp;Milestones!$AB$96&amp;" "&amp;IF(AND(Milestones!$AB$96="FT",Milestones!$AA$96=FT_Y5,EDATE($D129,Milestones!$AA$96)&lt;PolicyEff),1,Milestones!$AC$96)&amp;";  ","")&amp;IF(AND(EDATE($D129,Milestones!$AA$97)&lt;=AsOfDate,EDATE($D129,Milestones!$AA$97)&gt;=SchemeStart,IF($X129=0,$AD129,IF(AND($Z129&lt;&gt;"",EDATE($D129,Milestones!$AA$97)&gt;=$Z129),$AC129,IF(AND($Y129&lt;&gt;"",EDATE($D129,Milestones!$AA$97)&gt;=$Y129),$AB129,$AA129)))=Milestones!$AB$97),UPPER(TEXT(EDATE($D129,Milestones!$AA$97),"dd mmm yy"))&amp;" "&amp;Milestones!$AB$97&amp;" "&amp;IF(AND(Milestones!$AB$97="FT",Milestones!$AA$97=FT_Y5,EDATE($D129,Milestones!$AA$97)&lt;PolicyEff),1,Milestones!$AC$97)&amp;";  ","")&amp;IF(AND(EDATE($D129,Milestones!$AA$98)&lt;=AsOfDate,EDATE($D129,Milestones!$AA$98)&gt;=SchemeStart,IF($X129=0,$AD129,IF(AND($Z129&lt;&gt;"",EDATE($D129,Milestones!$AA$98)&gt;=$Z129),$AC129,IF(AND($Y129&lt;&gt;"",EDATE($D129,Milestones!$AA$98)&gt;=$Y129),$AB129,$AA129)))=Milestones!$AB$98),UPPER(TEXT(EDATE($D129,Milestones!$AA$98),"dd mmm yy"))&amp;" "&amp;Milestones!$AB$98&amp;" "&amp;IF(AND(Milestones!$AB$98="FT",Milestones!$AA$98=FT_Y5,EDATE($D129,Milestones!$AA$98)&lt;PolicyEff),1,Milestones!$AC$98)&amp;";  ","")&amp;IF(AND(EDATE($D129,Milestones!$AA$99)&lt;=AsOfDate,EDATE($D129,Milestones!$AA$99)&gt;=SchemeStart,IF($X129=0,$AD129,IF(AND($Z129&lt;&gt;"",EDATE($D129,Milestones!$AA$99)&gt;=$Z129),$AC129,IF(AND($Y129&lt;&gt;"",EDATE($D129,Milestones!$AA$99)&gt;=$Y129),$AB129,$AA129)))=Milestones!$AB$99),UPPER(TEXT(EDATE($D129,Milestones!$AA$99),"dd mmm yy"))&amp;" "&amp;Milestones!$AB$99&amp;" "&amp;IF(AND(Milestones!$AB$99="FT",Milestones!$AA$99=FT_Y5,EDATE($D129,Milestones!$AA$99)&lt;PolicyEff),1,Milestones!$AC$99)&amp;";  ","")&amp;IF(AND(EDATE($D129,Milestones!$AA$100)&lt;=AsOfDate,EDATE($D129,Milestones!$AA$100)&gt;=SchemeStart,IF($X129=0,$AD129,IF(AND($Z129&lt;&gt;"",EDATE($D129,Milestones!$AA$100)&gt;=$Z129),$AC129,IF(AND($Y129&lt;&gt;"",EDATE($D129,Milestones!$AA$100)&gt;=$Y129),$AB129,$AA129)))=Milestones!$AB$100),UPPER(TEXT(EDATE($D129,Milestones!$AA$100),"dd mmm yy"))&amp;" "&amp;Milestones!$AB$100&amp;" "&amp;IF(AND(Milestones!$AB$100="FT",Milestones!$AA$100=FT_Y5,EDATE($D129,Milestones!$AA$100)&lt;PolicyEff),1,Milestones!$AC$100)&amp;";  ","")&amp;IF(AND(EDATE($D129,Milestones!$AA$101)&lt;=AsOfDate,EDATE($D129,Milestones!$AA$101)&gt;=SchemeStart,IF($X129=0,$AD129,IF(AND($Z129&lt;&gt;"",EDATE($D129,Milestones!$AA$101)&gt;=$Z129),$AC129,IF(AND($Y129&lt;&gt;"",EDATE($D129,Milestones!$AA$101)&gt;=$Y129),$AB129,$AA129)))=Milestones!$AB$101),UPPER(TEXT(EDATE($D129,Milestones!$AA$101),"dd mmm yy"))&amp;" "&amp;Milestones!$AB$101&amp;" "&amp;IF(AND(Milestones!$AB$101="FT",Milestones!$AA$101=FT_Y5,EDATE($D129,Milestones!$AA$101)&lt;PolicyEff),1,Milestones!$AC$101)&amp;";  ","")&amp;IF(AND(EDATE($D129,Milestones!$AA$102)&lt;=AsOfDate,EDATE($D129,Milestones!$AA$102)&gt;=SchemeStart,IF($X129=0,$AD129,IF(AND($Z129&lt;&gt;"",EDATE($D129,Milestones!$AA$102)&gt;=$Z129),$AC129,IF(AND($Y129&lt;&gt;"",EDATE($D129,Milestones!$AA$102)&gt;=$Y129),$AB129,$AA129)))=Milestones!$AB$102),UPPER(TEXT(EDATE($D129,Milestones!$AA$102),"dd mmm yy"))&amp;" "&amp;Milestones!$AB$102&amp;" "&amp;IF(AND(Milestones!$AB$102="FT",Milestones!$AA$102=FT_Y5,EDATE($D129,Milestones!$AA$102)&lt;PolicyEff),1,Milestones!$AC$102)&amp;";  ","")&amp;IF(AND(EDATE($D129,Milestones!$AA$103)&lt;=AsOfDate,EDATE($D129,Milestones!$AA$103)&gt;=SchemeStart,IF($X129=0,$AD129,IF(AND($Z129&lt;&gt;"",EDATE($D129,Milestones!$AA$103)&gt;=$Z129),$AC129,IF(AND($Y129&lt;&gt;"",EDATE($D129,Milestones!$AA$103)&gt;=$Y129),$AB129,$AA129)))=Milestones!$AB$103),UPPER(TEXT(EDATE($D129,Milestones!$AA$103),"dd mmm yy"))&amp;" "&amp;Milestones!$AB$103&amp;" "&amp;IF(AND(Milestones!$AB$103="FT",Milestones!$AA$103=FT_Y5,EDATE($D129,Milestones!$AA$103)&lt;PolicyEff),1,Milestones!$AC$103)&amp;";  ",""))</f>
        <v/>
      </c>
      <c r="P129" s="0" t="str">
        <f aca="false">IF(OR($A129="",$D129=""),"",IF(AND(EDATE($D129,Milestones!$AA$104)&lt;=AsOfDate,EDATE($D129,Milestones!$AA$104)&gt;=SchemeStart,IF($X129=0,$AD129,IF(AND($Z129&lt;&gt;"",EDATE($D129,Milestones!$AA$104)&gt;=$Z129),$AC129,IF(AND($Y129&lt;&gt;"",EDATE($D129,Milestones!$AA$104)&gt;=$Y129),$AB129,$AA129)))=Milestones!$AB$104),UPPER(TEXT(EDATE($D129,Milestones!$AA$104),"dd mmm yy"))&amp;" "&amp;Milestones!$AB$104&amp;" "&amp;IF(AND(Milestones!$AB$104="FT",Milestones!$AA$104=FT_Y5,EDATE($D129,Milestones!$AA$104)&lt;PolicyEff),1,Milestones!$AC$104)&amp;";  ","")&amp;IF(AND(EDATE($D129,Milestones!$AA$105)&lt;=AsOfDate,EDATE($D129,Milestones!$AA$105)&gt;=SchemeStart,IF($X129=0,$AD129,IF(AND($Z129&lt;&gt;"",EDATE($D129,Milestones!$AA$105)&gt;=$Z129),$AC129,IF(AND($Y129&lt;&gt;"",EDATE($D129,Milestones!$AA$105)&gt;=$Y129),$AB129,$AA129)))=Milestones!$AB$105),UPPER(TEXT(EDATE($D129,Milestones!$AA$105),"dd mmm yy"))&amp;" "&amp;Milestones!$AB$105&amp;" "&amp;IF(AND(Milestones!$AB$105="FT",Milestones!$AA$105=FT_Y5,EDATE($D129,Milestones!$AA$105)&lt;PolicyEff),1,Milestones!$AC$105)&amp;";  ","")&amp;IF(AND(EDATE($D129,Milestones!$AA$106)&lt;=AsOfDate,EDATE($D129,Milestones!$AA$106)&gt;=SchemeStart,IF($X129=0,$AD129,IF(AND($Z129&lt;&gt;"",EDATE($D129,Milestones!$AA$106)&gt;=$Z129),$AC129,IF(AND($Y129&lt;&gt;"",EDATE($D129,Milestones!$AA$106)&gt;=$Y129),$AB129,$AA129)))=Milestones!$AB$106),UPPER(TEXT(EDATE($D129,Milestones!$AA$106),"dd mmm yy"))&amp;" "&amp;Milestones!$AB$106&amp;" "&amp;IF(AND(Milestones!$AB$106="FT",Milestones!$AA$106=FT_Y5,EDATE($D129,Milestones!$AA$106)&lt;PolicyEff),1,Milestones!$AC$106)&amp;";  ","")&amp;IF(AND(EDATE($D129,Milestones!$AA$107)&lt;=AsOfDate,EDATE($D129,Milestones!$AA$107)&gt;=SchemeStart,IF($X129=0,$AD129,IF(AND($Z129&lt;&gt;"",EDATE($D129,Milestones!$AA$107)&gt;=$Z129),$AC129,IF(AND($Y129&lt;&gt;"",EDATE($D129,Milestones!$AA$107)&gt;=$Y129),$AB129,$AA129)))=Milestones!$AB$107),UPPER(TEXT(EDATE($D129,Milestones!$AA$107),"dd mmm yy"))&amp;" "&amp;Milestones!$AB$107&amp;" "&amp;IF(AND(Milestones!$AB$107="FT",Milestones!$AA$107=FT_Y5,EDATE($D129,Milestones!$AA$107)&lt;PolicyEff),1,Milestones!$AC$107)&amp;";  ","")&amp;IF(AND(EDATE($D129,Milestones!$AA$108)&lt;=AsOfDate,EDATE($D129,Milestones!$AA$108)&gt;=SchemeStart,IF($X129=0,$AD129,IF(AND($Z129&lt;&gt;"",EDATE($D129,Milestones!$AA$108)&gt;=$Z129),$AC129,IF(AND($Y129&lt;&gt;"",EDATE($D129,Milestones!$AA$108)&gt;=$Y129),$AB129,$AA129)))=Milestones!$AB$108),UPPER(TEXT(EDATE($D129,Milestones!$AA$108),"dd mmm yy"))&amp;" "&amp;Milestones!$AB$108&amp;" "&amp;IF(AND(Milestones!$AB$108="FT",Milestones!$AA$108=FT_Y5,EDATE($D129,Milestones!$AA$108)&lt;PolicyEff),1,Milestones!$AC$108)&amp;";  ","")&amp;IF(AND(EDATE($D129,Milestones!$AA$109)&lt;=AsOfDate,EDATE($D129,Milestones!$AA$109)&gt;=SchemeStart,IF($X129=0,$AD129,IF(AND($Z129&lt;&gt;"",EDATE($D129,Milestones!$AA$109)&gt;=$Z129),$AC129,IF(AND($Y129&lt;&gt;"",EDATE($D129,Milestones!$AA$109)&gt;=$Y129),$AB129,$AA129)))=Milestones!$AB$109),UPPER(TEXT(EDATE($D129,Milestones!$AA$109),"dd mmm yy"))&amp;" "&amp;Milestones!$AB$109&amp;" "&amp;IF(AND(Milestones!$AB$109="FT",Milestones!$AA$109=FT_Y5,EDATE($D129,Milestones!$AA$109)&lt;PolicyEff),1,Milestones!$AC$109)&amp;";  ","")&amp;IF(AND(EDATE($D129,Milestones!$AA$110)&lt;=AsOfDate,EDATE($D129,Milestones!$AA$110)&gt;=SchemeStart,IF($X129=0,$AD129,IF(AND($Z129&lt;&gt;"",EDATE($D129,Milestones!$AA$110)&gt;=$Z129),$AC129,IF(AND($Y129&lt;&gt;"",EDATE($D129,Milestones!$AA$110)&gt;=$Y129),$AB129,$AA129)))=Milestones!$AB$110),UPPER(TEXT(EDATE($D129,Milestones!$AA$110),"dd mmm yy"))&amp;" "&amp;Milestones!$AB$110&amp;" "&amp;IF(AND(Milestones!$AB$110="FT",Milestones!$AA$110=FT_Y5,EDATE($D129,Milestones!$AA$110)&lt;PolicyEff),1,Milestones!$AC$110)&amp;";  ","")&amp;IF(AND(EDATE($D129,Milestones!$AA$111)&lt;=AsOfDate,EDATE($D129,Milestones!$AA$111)&gt;=SchemeStart,IF($X129=0,$AD129,IF(AND($Z129&lt;&gt;"",EDATE($D129,Milestones!$AA$111)&gt;=$Z129),$AC129,IF(AND($Y129&lt;&gt;"",EDATE($D129,Milestones!$AA$111)&gt;=$Y129),$AB129,$AA129)))=Milestones!$AB$111),UPPER(TEXT(EDATE($D129,Milestones!$AA$111),"dd mmm yy"))&amp;" "&amp;Milestones!$AB$111&amp;" "&amp;IF(AND(Milestones!$AB$111="FT",Milestones!$AA$111=FT_Y5,EDATE($D129,Milestones!$AA$111)&lt;PolicyEff),1,Milestones!$AC$111)&amp;";  ","")&amp;IF(AND(EDATE($D129,Milestones!$AA$112)&lt;=AsOfDate,EDATE($D129,Milestones!$AA$112)&gt;=SchemeStart,IF($X129=0,$AD129,IF(AND($Z129&lt;&gt;"",EDATE($D129,Milestones!$AA$112)&gt;=$Z129),$AC129,IF(AND($Y129&lt;&gt;"",EDATE($D129,Milestones!$AA$112)&gt;=$Y129),$AB129,$AA129)))=Milestones!$AB$112),UPPER(TEXT(EDATE($D129,Milestones!$AA$112),"dd mmm yy"))&amp;" "&amp;Milestones!$AB$112&amp;" "&amp;IF(AND(Milestones!$AB$112="FT",Milestones!$AA$112=FT_Y5,EDATE($D129,Milestones!$AA$112)&lt;PolicyEff),1,Milestones!$AC$112)&amp;";  ","")&amp;IF(AND(EDATE($D129,Milestones!$AA$113)&lt;=AsOfDate,EDATE($D129,Milestones!$AA$113)&gt;=SchemeStart,IF($X129=0,$AD129,IF(AND($Z129&lt;&gt;"",EDATE($D129,Milestones!$AA$113)&gt;=$Z129),$AC129,IF(AND($Y129&lt;&gt;"",EDATE($D129,Milestones!$AA$113)&gt;=$Y129),$AB129,$AA129)))=Milestones!$AB$113),UPPER(TEXT(EDATE($D129,Milestones!$AA$113),"dd mmm yy"))&amp;" "&amp;Milestones!$AB$113&amp;" "&amp;IF(AND(Milestones!$AB$113="FT",Milestones!$AA$113=FT_Y5,EDATE($D129,Milestones!$AA$113)&lt;PolicyEff),1,Milestones!$AC$113)&amp;";  ","")&amp;IF(AND(EDATE($D129,Milestones!$AA$114)&lt;=AsOfDate,EDATE($D129,Milestones!$AA$114)&gt;=SchemeStart,IF($X129=0,$AD129,IF(AND($Z129&lt;&gt;"",EDATE($D129,Milestones!$AA$114)&gt;=$Z129),$AC129,IF(AND($Y129&lt;&gt;"",EDATE($D129,Milestones!$AA$114)&gt;=$Y129),$AB129,$AA129)))=Milestones!$AB$114),UPPER(TEXT(EDATE($D129,Milestones!$AA$114),"dd mmm yy"))&amp;" "&amp;Milestones!$AB$114&amp;" "&amp;IF(AND(Milestones!$AB$114="FT",Milestones!$AA$114=FT_Y5,EDATE($D129,Milestones!$AA$114)&lt;PolicyEff),1,Milestones!$AC$114)&amp;";  ","")&amp;IF(AND(EDATE($D129,Milestones!$AA$115)&lt;=AsOfDate,EDATE($D129,Milestones!$AA$115)&gt;=SchemeStart,IF($X129=0,$AD129,IF(AND($Z129&lt;&gt;"",EDATE($D129,Milestones!$AA$115)&gt;=$Z129),$AC129,IF(AND($Y129&lt;&gt;"",EDATE($D129,Milestones!$AA$115)&gt;=$Y129),$AB129,$AA129)))=Milestones!$AB$115),UPPER(TEXT(EDATE($D129,Milestones!$AA$115),"dd mmm yy"))&amp;" "&amp;Milestones!$AB$115&amp;" "&amp;IF(AND(Milestones!$AB$115="FT",Milestones!$AA$115=FT_Y5,EDATE($D129,Milestones!$AA$115)&lt;PolicyEff),1,Milestones!$AC$115)&amp;";  ",""))</f>
        <v/>
      </c>
      <c r="Q129" s="0" t="str">
        <f aca="false">IF(OR($A129="",$D129=""),"",IF(AND(EDATE($D129,Milestones!$AA$116)&lt;=AsOfDate,EDATE($D129,Milestones!$AA$116)&gt;=SchemeStart,IF($X129=0,$AD129,IF(AND($Z129&lt;&gt;"",EDATE($D129,Milestones!$AA$116)&gt;=$Z129),$AC129,IF(AND($Y129&lt;&gt;"",EDATE($D129,Milestones!$AA$116)&gt;=$Y129),$AB129,$AA129)))=Milestones!$AB$116),UPPER(TEXT(EDATE($D129,Milestones!$AA$116),"dd mmm yy"))&amp;" "&amp;Milestones!$AB$116&amp;" "&amp;IF(AND(Milestones!$AB$116="FT",Milestones!$AA$116=FT_Y5,EDATE($D129,Milestones!$AA$116)&lt;PolicyEff),1,Milestones!$AC$116)&amp;";  ","")&amp;IF(AND(EDATE($D129,Milestones!$AA$117)&lt;=AsOfDate,EDATE($D129,Milestones!$AA$117)&gt;=SchemeStart,IF($X129=0,$AD129,IF(AND($Z129&lt;&gt;"",EDATE($D129,Milestones!$AA$117)&gt;=$Z129),$AC129,IF(AND($Y129&lt;&gt;"",EDATE($D129,Milestones!$AA$117)&gt;=$Y129),$AB129,$AA129)))=Milestones!$AB$117),UPPER(TEXT(EDATE($D129,Milestones!$AA$117),"dd mmm yy"))&amp;" "&amp;Milestones!$AB$117&amp;" "&amp;IF(AND(Milestones!$AB$117="FT",Milestones!$AA$117=FT_Y5,EDATE($D129,Milestones!$AA$117)&lt;PolicyEff),1,Milestones!$AC$117)&amp;";  ","")&amp;IF(AND(EDATE($D129,Milestones!$AA$118)&lt;=AsOfDate,EDATE($D129,Milestones!$AA$118)&gt;=SchemeStart,IF($X129=0,$AD129,IF(AND($Z129&lt;&gt;"",EDATE($D129,Milestones!$AA$118)&gt;=$Z129),$AC129,IF(AND($Y129&lt;&gt;"",EDATE($D129,Milestones!$AA$118)&gt;=$Y129),$AB129,$AA129)))=Milestones!$AB$118),UPPER(TEXT(EDATE($D129,Milestones!$AA$118),"dd mmm yy"))&amp;" "&amp;Milestones!$AB$118&amp;" "&amp;IF(AND(Milestones!$AB$118="FT",Milestones!$AA$118=FT_Y5,EDATE($D129,Milestones!$AA$118)&lt;PolicyEff),1,Milestones!$AC$118)&amp;";  ","")&amp;IF(AND(EDATE($D129,Milestones!$AA$119)&lt;=AsOfDate,EDATE($D129,Milestones!$AA$119)&gt;=SchemeStart,IF($X129=0,$AD129,IF(AND($Z129&lt;&gt;"",EDATE($D129,Milestones!$AA$119)&gt;=$Z129),$AC129,IF(AND($Y129&lt;&gt;"",EDATE($D129,Milestones!$AA$119)&gt;=$Y129),$AB129,$AA129)))=Milestones!$AB$119),UPPER(TEXT(EDATE($D129,Milestones!$AA$119),"dd mmm yy"))&amp;" "&amp;Milestones!$AB$119&amp;" "&amp;IF(AND(Milestones!$AB$119="FT",Milestones!$AA$119=FT_Y5,EDATE($D129,Milestones!$AA$119)&lt;PolicyEff),1,Milestones!$AC$119)&amp;";  ","")&amp;IF(AND(EDATE($D129,Milestones!$AA$120)&lt;=AsOfDate,EDATE($D129,Milestones!$AA$120)&gt;=SchemeStart,IF($X129=0,$AD129,IF(AND($Z129&lt;&gt;"",EDATE($D129,Milestones!$AA$120)&gt;=$Z129),$AC129,IF(AND($Y129&lt;&gt;"",EDATE($D129,Milestones!$AA$120)&gt;=$Y129),$AB129,$AA129)))=Milestones!$AB$120),UPPER(TEXT(EDATE($D129,Milestones!$AA$120),"dd mmm yy"))&amp;" "&amp;Milestones!$AB$120&amp;" "&amp;IF(AND(Milestones!$AB$120="FT",Milestones!$AA$120=FT_Y5,EDATE($D129,Milestones!$AA$120)&lt;PolicyEff),1,Milestones!$AC$120)&amp;";  ","")&amp;IF(AND(EDATE($D129,Milestones!$AA$121)&lt;=AsOfDate,EDATE($D129,Milestones!$AA$121)&gt;=SchemeStart,IF($X129=0,$AD129,IF(AND($Z129&lt;&gt;"",EDATE($D129,Milestones!$AA$121)&gt;=$Z129),$AC129,IF(AND($Y129&lt;&gt;"",EDATE($D129,Milestones!$AA$121)&gt;=$Y129),$AB129,$AA129)))=Milestones!$AB$121),UPPER(TEXT(EDATE($D129,Milestones!$AA$121),"dd mmm yy"))&amp;" "&amp;Milestones!$AB$121&amp;" "&amp;IF(AND(Milestones!$AB$121="FT",Milestones!$AA$121=FT_Y5,EDATE($D129,Milestones!$AA$121)&lt;PolicyEff),1,Milestones!$AC$121)&amp;";  ","")&amp;IF(AND(EDATE($D129,Milestones!$AA$122)&lt;=AsOfDate,EDATE($D129,Milestones!$AA$122)&gt;=SchemeStart,IF($X129=0,$AD129,IF(AND($Z129&lt;&gt;"",EDATE($D129,Milestones!$AA$122)&gt;=$Z129),$AC129,IF(AND($Y129&lt;&gt;"",EDATE($D129,Milestones!$AA$122)&gt;=$Y129),$AB129,$AA129)))=Milestones!$AB$122),UPPER(TEXT(EDATE($D129,Milestones!$AA$122),"dd mmm yy"))&amp;" "&amp;Milestones!$AB$122&amp;" "&amp;IF(AND(Milestones!$AB$122="FT",Milestones!$AA$122=FT_Y5,EDATE($D129,Milestones!$AA$122)&lt;PolicyEff),1,Milestones!$AC$122)&amp;";  ","")&amp;IF(AND(EDATE($D129,Milestones!$AA$123)&lt;=AsOfDate,EDATE($D129,Milestones!$AA$123)&gt;=SchemeStart,IF($X129=0,$AD129,IF(AND($Z129&lt;&gt;"",EDATE($D129,Milestones!$AA$123)&gt;=$Z129),$AC129,IF(AND($Y129&lt;&gt;"",EDATE($D129,Milestones!$AA$123)&gt;=$Y129),$AB129,$AA129)))=Milestones!$AB$123),UPPER(TEXT(EDATE($D129,Milestones!$AA$123),"dd mmm yy"))&amp;" "&amp;Milestones!$AB$123&amp;" "&amp;IF(AND(Milestones!$AB$123="FT",Milestones!$AA$123=FT_Y5,EDATE($D129,Milestones!$AA$123)&lt;PolicyEff),1,Milestones!$AC$123)&amp;";  ","")&amp;IF(AND(EDATE($D129,Milestones!$AA$124)&lt;=AsOfDate,EDATE($D129,Milestones!$AA$124)&gt;=SchemeStart,IF($X129=0,$AD129,IF(AND($Z129&lt;&gt;"",EDATE($D129,Milestones!$AA$124)&gt;=$Z129),$AC129,IF(AND($Y129&lt;&gt;"",EDATE($D129,Milestones!$AA$124)&gt;=$Y129),$AB129,$AA129)))=Milestones!$AB$124),UPPER(TEXT(EDATE($D129,Milestones!$AA$124),"dd mmm yy"))&amp;" "&amp;Milestones!$AB$124&amp;" "&amp;IF(AND(Milestones!$AB$124="FT",Milestones!$AA$124=FT_Y5,EDATE($D129,Milestones!$AA$124)&lt;PolicyEff),1,Milestones!$AC$124)&amp;";  ","")&amp;IF(AND(EDATE($D129,Milestones!$AA$125)&lt;=AsOfDate,EDATE($D129,Milestones!$AA$125)&gt;=SchemeStart,IF($X129=0,$AD129,IF(AND($Z129&lt;&gt;"",EDATE($D129,Milestones!$AA$125)&gt;=$Z129),$AC129,IF(AND($Y129&lt;&gt;"",EDATE($D129,Milestones!$AA$125)&gt;=$Y129),$AB129,$AA129)))=Milestones!$AB$125),UPPER(TEXT(EDATE($D129,Milestones!$AA$125),"dd mmm yy"))&amp;" "&amp;Milestones!$AB$125&amp;" "&amp;IF(AND(Milestones!$AB$125="FT",Milestones!$AA$125=FT_Y5,EDATE($D129,Milestones!$AA$125)&lt;PolicyEff),1,Milestones!$AC$125)&amp;";  ","")&amp;IF(AND(EDATE($D129,Milestones!$AA$126)&lt;=AsOfDate,EDATE($D129,Milestones!$AA$126)&gt;=SchemeStart,IF($X129=0,$AD129,IF(AND($Z129&lt;&gt;"",EDATE($D129,Milestones!$AA$126)&gt;=$Z129),$AC129,IF(AND($Y129&lt;&gt;"",EDATE($D129,Milestones!$AA$126)&gt;=$Y129),$AB129,$AA129)))=Milestones!$AB$126),UPPER(TEXT(EDATE($D129,Milestones!$AA$126),"dd mmm yy"))&amp;" "&amp;Milestones!$AB$126&amp;" "&amp;IF(AND(Milestones!$AB$126="FT",Milestones!$AA$126=FT_Y5,EDATE($D129,Milestones!$AA$126)&lt;PolicyEff),1,Milestones!$AC$126)&amp;";  ","")&amp;IF(AND(EDATE($D129,Milestones!$AA$127)&lt;=AsOfDate,EDATE($D129,Milestones!$AA$127)&gt;=SchemeStart,IF($X129=0,$AD129,IF(AND($Z129&lt;&gt;"",EDATE($D129,Milestones!$AA$127)&gt;=$Z129),$AC129,IF(AND($Y129&lt;&gt;"",EDATE($D129,Milestones!$AA$127)&gt;=$Y129),$AB129,$AA129)))=Milestones!$AB$127),UPPER(TEXT(EDATE($D129,Milestones!$AA$127),"dd mmm yy"))&amp;" "&amp;Milestones!$AB$127&amp;" "&amp;IF(AND(Milestones!$AB$127="FT",Milestones!$AA$127=FT_Y5,EDATE($D129,Milestones!$AA$127)&lt;PolicyEff),1,Milestones!$AC$127)&amp;";  ",""))</f>
        <v/>
      </c>
      <c r="R129" s="0" t="str">
        <f aca="false">IF(OR($A129="",$D129=""),"",IF(AND(EDATE($D129,Milestones!$AA$128)&lt;=AsOfDate,EDATE($D129,Milestones!$AA$128)&gt;=SchemeStart,IF($X129=0,$AD129,IF(AND($Z129&lt;&gt;"",EDATE($D129,Milestones!$AA$128)&gt;=$Z129),$AC129,IF(AND($Y129&lt;&gt;"",EDATE($D129,Milestones!$AA$128)&gt;=$Y129),$AB129,$AA129)))=Milestones!$AB$128),UPPER(TEXT(EDATE($D129,Milestones!$AA$128),"dd mmm yy"))&amp;" "&amp;Milestones!$AB$128&amp;" "&amp;IF(AND(Milestones!$AB$128="FT",Milestones!$AA$128=FT_Y5,EDATE($D129,Milestones!$AA$128)&lt;PolicyEff),1,Milestones!$AC$128)&amp;";  ","")&amp;IF(AND(EDATE($D129,Milestones!$AA$129)&lt;=AsOfDate,EDATE($D129,Milestones!$AA$129)&gt;=SchemeStart,IF($X129=0,$AD129,IF(AND($Z129&lt;&gt;"",EDATE($D129,Milestones!$AA$129)&gt;=$Z129),$AC129,IF(AND($Y129&lt;&gt;"",EDATE($D129,Milestones!$AA$129)&gt;=$Y129),$AB129,$AA129)))=Milestones!$AB$129),UPPER(TEXT(EDATE($D129,Milestones!$AA$129),"dd mmm yy"))&amp;" "&amp;Milestones!$AB$129&amp;" "&amp;IF(AND(Milestones!$AB$129="FT",Milestones!$AA$129=FT_Y5,EDATE($D129,Milestones!$AA$129)&lt;PolicyEff),1,Milestones!$AC$129)&amp;";  ","")&amp;IF(AND(EDATE($D129,Milestones!$AA$130)&lt;=AsOfDate,EDATE($D129,Milestones!$AA$130)&gt;=SchemeStart,IF($X129=0,$AD129,IF(AND($Z129&lt;&gt;"",EDATE($D129,Milestones!$AA$130)&gt;=$Z129),$AC129,IF(AND($Y129&lt;&gt;"",EDATE($D129,Milestones!$AA$130)&gt;=$Y129),$AB129,$AA129)))=Milestones!$AB$130),UPPER(TEXT(EDATE($D129,Milestones!$AA$130),"dd mmm yy"))&amp;" "&amp;Milestones!$AB$130&amp;" "&amp;IF(AND(Milestones!$AB$130="FT",Milestones!$AA$130=FT_Y5,EDATE($D129,Milestones!$AA$130)&lt;PolicyEff),1,Milestones!$AC$130)&amp;";  ","")&amp;IF(AND(EDATE($D129,Milestones!$AA$131)&lt;=AsOfDate,EDATE($D129,Milestones!$AA$131)&gt;=SchemeStart,IF($X129=0,$AD129,IF(AND($Z129&lt;&gt;"",EDATE($D129,Milestones!$AA$131)&gt;=$Z129),$AC129,IF(AND($Y129&lt;&gt;"",EDATE($D129,Milestones!$AA$131)&gt;=$Y129),$AB129,$AA129)))=Milestones!$AB$131),UPPER(TEXT(EDATE($D129,Milestones!$AA$131),"dd mmm yy"))&amp;" "&amp;Milestones!$AB$131&amp;" "&amp;IF(AND(Milestones!$AB$131="FT",Milestones!$AA$131=FT_Y5,EDATE($D129,Milestones!$AA$131)&lt;PolicyEff),1,Milestones!$AC$131)&amp;";  ","")&amp;IF(AND(EDATE($D129,Milestones!$AA$132)&lt;=AsOfDate,EDATE($D129,Milestones!$AA$132)&gt;=SchemeStart,IF($X129=0,$AD129,IF(AND($Z129&lt;&gt;"",EDATE($D129,Milestones!$AA$132)&gt;=$Z129),$AC129,IF(AND($Y129&lt;&gt;"",EDATE($D129,Milestones!$AA$132)&gt;=$Y129),$AB129,$AA129)))=Milestones!$AB$132),UPPER(TEXT(EDATE($D129,Milestones!$AA$132),"dd mmm yy"))&amp;" "&amp;Milestones!$AB$132&amp;" "&amp;IF(AND(Milestones!$AB$132="FT",Milestones!$AA$132=FT_Y5,EDATE($D129,Milestones!$AA$132)&lt;PolicyEff),1,Milestones!$AC$132)&amp;";  ","")&amp;IF(AND(EDATE($D129,Milestones!$AA$133)&lt;=AsOfDate,EDATE($D129,Milestones!$AA$133)&gt;=SchemeStart,IF($X129=0,$AD129,IF(AND($Z129&lt;&gt;"",EDATE($D129,Milestones!$AA$133)&gt;=$Z129),$AC129,IF(AND($Y129&lt;&gt;"",EDATE($D129,Milestones!$AA$133)&gt;=$Y129),$AB129,$AA129)))=Milestones!$AB$133),UPPER(TEXT(EDATE($D129,Milestones!$AA$133),"dd mmm yy"))&amp;" "&amp;Milestones!$AB$133&amp;" "&amp;IF(AND(Milestones!$AB$133="FT",Milestones!$AA$133=FT_Y5,EDATE($D129,Milestones!$AA$133)&lt;PolicyEff),1,Milestones!$AC$133)&amp;";  ","")&amp;IF(AND(EDATE($D129,Milestones!$AA$134)&lt;=AsOfDate,EDATE($D129,Milestones!$AA$134)&gt;=SchemeStart,IF($X129=0,$AD129,IF(AND($Z129&lt;&gt;"",EDATE($D129,Milestones!$AA$134)&gt;=$Z129),$AC129,IF(AND($Y129&lt;&gt;"",EDATE($D129,Milestones!$AA$134)&gt;=$Y129),$AB129,$AA129)))=Milestones!$AB$134),UPPER(TEXT(EDATE($D129,Milestones!$AA$134),"dd mmm yy"))&amp;" "&amp;Milestones!$AB$134&amp;" "&amp;IF(AND(Milestones!$AB$134="FT",Milestones!$AA$134=FT_Y5,EDATE($D129,Milestones!$AA$134)&lt;PolicyEff),1,Milestones!$AC$134)&amp;";  ","")&amp;IF(AND(EDATE($D129,Milestones!$AA$135)&lt;=AsOfDate,EDATE($D129,Milestones!$AA$135)&gt;=SchemeStart,IF($X129=0,$AD129,IF(AND($Z129&lt;&gt;"",EDATE($D129,Milestones!$AA$135)&gt;=$Z129),$AC129,IF(AND($Y129&lt;&gt;"",EDATE($D129,Milestones!$AA$135)&gt;=$Y129),$AB129,$AA129)))=Milestones!$AB$135),UPPER(TEXT(EDATE($D129,Milestones!$AA$135),"dd mmm yy"))&amp;" "&amp;Milestones!$AB$135&amp;" "&amp;IF(AND(Milestones!$AB$135="FT",Milestones!$AA$135=FT_Y5,EDATE($D129,Milestones!$AA$135)&lt;PolicyEff),1,Milestones!$AC$135)&amp;";  ","")&amp;IF(AND(EDATE($D129,Milestones!$AA$136)&lt;=AsOfDate,EDATE($D129,Milestones!$AA$136)&gt;=SchemeStart,IF($X129=0,$AD129,IF(AND($Z129&lt;&gt;"",EDATE($D129,Milestones!$AA$136)&gt;=$Z129),$AC129,IF(AND($Y129&lt;&gt;"",EDATE($D129,Milestones!$AA$136)&gt;=$Y129),$AB129,$AA129)))=Milestones!$AB$136),UPPER(TEXT(EDATE($D129,Milestones!$AA$136),"dd mmm yy"))&amp;" "&amp;Milestones!$AB$136&amp;" "&amp;IF(AND(Milestones!$AB$136="FT",Milestones!$AA$136=FT_Y5,EDATE($D129,Milestones!$AA$136)&lt;PolicyEff),1,Milestones!$AC$136)&amp;";  ","")&amp;IF(AND(EDATE($D129,Milestones!$AA$137)&lt;=AsOfDate,EDATE($D129,Milestones!$AA$137)&gt;=SchemeStart,IF($X129=0,$AD129,IF(AND($Z129&lt;&gt;"",EDATE($D129,Milestones!$AA$137)&gt;=$Z129),$AC129,IF(AND($Y129&lt;&gt;"",EDATE($D129,Milestones!$AA$137)&gt;=$Y129),$AB129,$AA129)))=Milestones!$AB$137),UPPER(TEXT(EDATE($D129,Milestones!$AA$137),"dd mmm yy"))&amp;" "&amp;Milestones!$AB$137&amp;" "&amp;IF(AND(Milestones!$AB$137="FT",Milestones!$AA$137=FT_Y5,EDATE($D129,Milestones!$AA$137)&lt;PolicyEff),1,Milestones!$AC$137)&amp;";  ","")&amp;IF(AND(EDATE($D129,Milestones!$AA$138)&lt;=AsOfDate,EDATE($D129,Milestones!$AA$138)&gt;=SchemeStart,IF($X129=0,$AD129,IF(AND($Z129&lt;&gt;"",EDATE($D129,Milestones!$AA$138)&gt;=$Z129),$AC129,IF(AND($Y129&lt;&gt;"",EDATE($D129,Milestones!$AA$138)&gt;=$Y129),$AB129,$AA129)))=Milestones!$AB$138),UPPER(TEXT(EDATE($D129,Milestones!$AA$138),"dd mmm yy"))&amp;" "&amp;Milestones!$AB$138&amp;" "&amp;IF(AND(Milestones!$AB$138="FT",Milestones!$AA$138=FT_Y5,EDATE($D129,Milestones!$AA$138)&lt;PolicyEff),1,Milestones!$AC$138)&amp;";  ","")&amp;IF(AND(EDATE($D129,Milestones!$AA$139)&lt;=AsOfDate,EDATE($D129,Milestones!$AA$139)&gt;=SchemeStart,IF($X129=0,$AD129,IF(AND($Z129&lt;&gt;"",EDATE($D129,Milestones!$AA$139)&gt;=$Z129),$AC129,IF(AND($Y129&lt;&gt;"",EDATE($D129,Milestones!$AA$139)&gt;=$Y129),$AB129,$AA129)))=Milestones!$AB$139),UPPER(TEXT(EDATE($D129,Milestones!$AA$139),"dd mmm yy"))&amp;" "&amp;Milestones!$AB$139&amp;" "&amp;IF(AND(Milestones!$AB$139="FT",Milestones!$AA$139=FT_Y5,EDATE($D129,Milestones!$AA$139)&lt;PolicyEff),1,Milestones!$AC$139)&amp;";  ",""))</f>
        <v/>
      </c>
      <c r="S129" s="0" t="str">
        <f aca="false">IF(OR($A129="",$D129=""),"",IF(AND(EDATE($D129,Milestones!$AA$140)&lt;=AsOfDate,EDATE($D129,Milestones!$AA$140)&gt;=SchemeStart,IF($X129=0,$AD129,IF(AND($Z129&lt;&gt;"",EDATE($D129,Milestones!$AA$140)&gt;=$Z129),$AC129,IF(AND($Y129&lt;&gt;"",EDATE($D129,Milestones!$AA$140)&gt;=$Y129),$AB129,$AA129)))=Milestones!$AB$140),UPPER(TEXT(EDATE($D129,Milestones!$AA$140),"dd mmm yy"))&amp;" "&amp;Milestones!$AB$140&amp;" "&amp;IF(AND(Milestones!$AB$140="FT",Milestones!$AA$140=FT_Y5,EDATE($D129,Milestones!$AA$140)&lt;PolicyEff),1,Milestones!$AC$140)&amp;";  ","")&amp;IF(AND(EDATE($D129,Milestones!$AA$141)&lt;=AsOfDate,EDATE($D129,Milestones!$AA$141)&gt;=SchemeStart,IF($X129=0,$AD129,IF(AND($Z129&lt;&gt;"",EDATE($D129,Milestones!$AA$141)&gt;=$Z129),$AC129,IF(AND($Y129&lt;&gt;"",EDATE($D129,Milestones!$AA$141)&gt;=$Y129),$AB129,$AA129)))=Milestones!$AB$141),UPPER(TEXT(EDATE($D129,Milestones!$AA$141),"dd mmm yy"))&amp;" "&amp;Milestones!$AB$141&amp;" "&amp;IF(AND(Milestones!$AB$141="FT",Milestones!$AA$141=FT_Y5,EDATE($D129,Milestones!$AA$141)&lt;PolicyEff),1,Milestones!$AC$141)&amp;";  ","")&amp;IF(AND(EDATE($D129,Milestones!$AA$142)&lt;=AsOfDate,EDATE($D129,Milestones!$AA$142)&gt;=SchemeStart,IF($X129=0,$AD129,IF(AND($Z129&lt;&gt;"",EDATE($D129,Milestones!$AA$142)&gt;=$Z129),$AC129,IF(AND($Y129&lt;&gt;"",EDATE($D129,Milestones!$AA$142)&gt;=$Y129),$AB129,$AA129)))=Milestones!$AB$142),UPPER(TEXT(EDATE($D129,Milestones!$AA$142),"dd mmm yy"))&amp;" "&amp;Milestones!$AB$142&amp;" "&amp;IF(AND(Milestones!$AB$142="FT",Milestones!$AA$142=FT_Y5,EDATE($D129,Milestones!$AA$142)&lt;PolicyEff),1,Milestones!$AC$142)&amp;";  ","")&amp;IF(AND(EDATE($D129,Milestones!$AA$143)&lt;=AsOfDate,EDATE($D129,Milestones!$AA$143)&gt;=SchemeStart,IF($X129=0,$AD129,IF(AND($Z129&lt;&gt;"",EDATE($D129,Milestones!$AA$143)&gt;=$Z129),$AC129,IF(AND($Y129&lt;&gt;"",EDATE($D129,Milestones!$AA$143)&gt;=$Y129),$AB129,$AA129)))=Milestones!$AB$143),UPPER(TEXT(EDATE($D129,Milestones!$AA$143),"dd mmm yy"))&amp;" "&amp;Milestones!$AB$143&amp;" "&amp;IF(AND(Milestones!$AB$143="FT",Milestones!$AA$143=FT_Y5,EDATE($D129,Milestones!$AA$143)&lt;PolicyEff),1,Milestones!$AC$143)&amp;";  ","")&amp;IF(AND(EDATE($D129,Milestones!$AA$144)&lt;=AsOfDate,EDATE($D129,Milestones!$AA$144)&gt;=SchemeStart,IF($X129=0,$AD129,IF(AND($Z129&lt;&gt;"",EDATE($D129,Milestones!$AA$144)&gt;=$Z129),$AC129,IF(AND($Y129&lt;&gt;"",EDATE($D129,Milestones!$AA$144)&gt;=$Y129),$AB129,$AA129)))=Milestones!$AB$144),UPPER(TEXT(EDATE($D129,Milestones!$AA$144),"dd mmm yy"))&amp;" "&amp;Milestones!$AB$144&amp;" "&amp;IF(AND(Milestones!$AB$144="FT",Milestones!$AA$144=FT_Y5,EDATE($D129,Milestones!$AA$144)&lt;PolicyEff),1,Milestones!$AC$144)&amp;";  ","")&amp;IF(AND(EDATE($D129,Milestones!$AA$145)&lt;=AsOfDate,EDATE($D129,Milestones!$AA$145)&gt;=SchemeStart,IF($X129=0,$AD129,IF(AND($Z129&lt;&gt;"",EDATE($D129,Milestones!$AA$145)&gt;=$Z129),$AC129,IF(AND($Y129&lt;&gt;"",EDATE($D129,Milestones!$AA$145)&gt;=$Y129),$AB129,$AA129)))=Milestones!$AB$145),UPPER(TEXT(EDATE($D129,Milestones!$AA$145),"dd mmm yy"))&amp;" "&amp;Milestones!$AB$145&amp;" "&amp;IF(AND(Milestones!$AB$145="FT",Milestones!$AA$145=FT_Y5,EDATE($D129,Milestones!$AA$145)&lt;PolicyEff),1,Milestones!$AC$145)&amp;";  ","")&amp;IF(AND(EDATE($D129,Milestones!$AA$146)&lt;=AsOfDate,EDATE($D129,Milestones!$AA$146)&gt;=SchemeStart,IF($X129=0,$AD129,IF(AND($Z129&lt;&gt;"",EDATE($D129,Milestones!$AA$146)&gt;=$Z129),$AC129,IF(AND($Y129&lt;&gt;"",EDATE($D129,Milestones!$AA$146)&gt;=$Y129),$AB129,$AA129)))=Milestones!$AB$146),UPPER(TEXT(EDATE($D129,Milestones!$AA$146),"dd mmm yy"))&amp;" "&amp;Milestones!$AB$146&amp;" "&amp;IF(AND(Milestones!$AB$146="FT",Milestones!$AA$146=FT_Y5,EDATE($D129,Milestones!$AA$146)&lt;PolicyEff),1,Milestones!$AC$146)&amp;";  ","")&amp;IF(AND(EDATE($D129,Milestones!$AA$147)&lt;=AsOfDate,EDATE($D129,Milestones!$AA$147)&gt;=SchemeStart,IF($X129=0,$AD129,IF(AND($Z129&lt;&gt;"",EDATE($D129,Milestones!$AA$147)&gt;=$Z129),$AC129,IF(AND($Y129&lt;&gt;"",EDATE($D129,Milestones!$AA$147)&gt;=$Y129),$AB129,$AA129)))=Milestones!$AB$147),UPPER(TEXT(EDATE($D129,Milestones!$AA$147),"dd mmm yy"))&amp;" "&amp;Milestones!$AB$147&amp;" "&amp;IF(AND(Milestones!$AB$147="FT",Milestones!$AA$147=FT_Y5,EDATE($D129,Milestones!$AA$147)&lt;PolicyEff),1,Milestones!$AC$147)&amp;";  ","")&amp;IF(AND(EDATE($D129,Milestones!$AA$148)&lt;=AsOfDate,EDATE($D129,Milestones!$AA$148)&gt;=SchemeStart,IF($X129=0,$AD129,IF(AND($Z129&lt;&gt;"",EDATE($D129,Milestones!$AA$148)&gt;=$Z129),$AC129,IF(AND($Y129&lt;&gt;"",EDATE($D129,Milestones!$AA$148)&gt;=$Y129),$AB129,$AA129)))=Milestones!$AB$148),UPPER(TEXT(EDATE($D129,Milestones!$AA$148),"dd mmm yy"))&amp;" "&amp;Milestones!$AB$148&amp;" "&amp;IF(AND(Milestones!$AB$148="FT",Milestones!$AA$148=FT_Y5,EDATE($D129,Milestones!$AA$148)&lt;PolicyEff),1,Milestones!$AC$148)&amp;";  ","")&amp;IF(AND(EDATE($D129,Milestones!$AA$149)&lt;=AsOfDate,EDATE($D129,Milestones!$AA$149)&gt;=SchemeStart,IF($X129=0,$AD129,IF(AND($Z129&lt;&gt;"",EDATE($D129,Milestones!$AA$149)&gt;=$Z129),$AC129,IF(AND($Y129&lt;&gt;"",EDATE($D129,Milestones!$AA$149)&gt;=$Y129),$AB129,$AA129)))=Milestones!$AB$149),UPPER(TEXT(EDATE($D129,Milestones!$AA$149),"dd mmm yy"))&amp;" "&amp;Milestones!$AB$149&amp;" "&amp;IF(AND(Milestones!$AB$149="FT",Milestones!$AA$149=FT_Y5,EDATE($D129,Milestones!$AA$149)&lt;PolicyEff),1,Milestones!$AC$149)&amp;";  ","")&amp;IF(AND(EDATE($D129,Milestones!$AA$150)&lt;=AsOfDate,EDATE($D129,Milestones!$AA$150)&gt;=SchemeStart,IF($X129=0,$AD129,IF(AND($Z129&lt;&gt;"",EDATE($D129,Milestones!$AA$150)&gt;=$Z129),$AC129,IF(AND($Y129&lt;&gt;"",EDATE($D129,Milestones!$AA$150)&gt;=$Y129),$AB129,$AA129)))=Milestones!$AB$150),UPPER(TEXT(EDATE($D129,Milestones!$AA$150),"dd mmm yy"))&amp;" "&amp;Milestones!$AB$150&amp;" "&amp;IF(AND(Milestones!$AB$150="FT",Milestones!$AA$150=FT_Y5,EDATE($D129,Milestones!$AA$150)&lt;PolicyEff),1,Milestones!$AC$150)&amp;";  ","")&amp;IF(AND(EDATE($D129,Milestones!$AA$151)&lt;=AsOfDate,EDATE($D129,Milestones!$AA$151)&gt;=SchemeStart,IF($X129=0,$AD129,IF(AND($Z129&lt;&gt;"",EDATE($D129,Milestones!$AA$151)&gt;=$Z129),$AC129,IF(AND($Y129&lt;&gt;"",EDATE($D129,Milestones!$AA$151)&gt;=$Y129),$AB129,$AA129)))=Milestones!$AB$151),UPPER(TEXT(EDATE($D129,Milestones!$AA$151),"dd mmm yy"))&amp;" "&amp;Milestones!$AB$151&amp;" "&amp;IF(AND(Milestones!$AB$151="FT",Milestones!$AA$151=FT_Y5,EDATE($D129,Milestones!$AA$151)&lt;PolicyEff),1,Milestones!$AC$151)&amp;";  ",""))</f>
        <v/>
      </c>
      <c r="T129" s="0" t="str">
        <f aca="false">IF(OR($A129="",$D129=""),"",IF(AND(EDATE($D129,Milestones!$AA$152)&lt;=AsOfDate,EDATE($D129,Milestones!$AA$152)&gt;=SchemeStart,IF($X129=0,$AD129,IF(AND($Z129&lt;&gt;"",EDATE($D129,Milestones!$AA$152)&gt;=$Z129),$AC129,IF(AND($Y129&lt;&gt;"",EDATE($D129,Milestones!$AA$152)&gt;=$Y129),$AB129,$AA129)))=Milestones!$AB$152),UPPER(TEXT(EDATE($D129,Milestones!$AA$152),"dd mmm yy"))&amp;" "&amp;Milestones!$AB$152&amp;" "&amp;IF(AND(Milestones!$AB$152="FT",Milestones!$AA$152=FT_Y5,EDATE($D129,Milestones!$AA$152)&lt;PolicyEff),1,Milestones!$AC$152)&amp;";  ","")&amp;IF(AND(EDATE($D129,Milestones!$AA$153)&lt;=AsOfDate,EDATE($D129,Milestones!$AA$153)&gt;=SchemeStart,IF($X129=0,$AD129,IF(AND($Z129&lt;&gt;"",EDATE($D129,Milestones!$AA$153)&gt;=$Z129),$AC129,IF(AND($Y129&lt;&gt;"",EDATE($D129,Milestones!$AA$153)&gt;=$Y129),$AB129,$AA129)))=Milestones!$AB$153),UPPER(TEXT(EDATE($D129,Milestones!$AA$153),"dd mmm yy"))&amp;" "&amp;Milestones!$AB$153&amp;" "&amp;IF(AND(Milestones!$AB$153="FT",Milestones!$AA$153=FT_Y5,EDATE($D129,Milestones!$AA$153)&lt;PolicyEff),1,Milestones!$AC$153)&amp;";  ","")&amp;IF(AND(EDATE($D129,Milestones!$AA$154)&lt;=AsOfDate,EDATE($D129,Milestones!$AA$154)&gt;=SchemeStart,IF($X129=0,$AD129,IF(AND($Z129&lt;&gt;"",EDATE($D129,Milestones!$AA$154)&gt;=$Z129),$AC129,IF(AND($Y129&lt;&gt;"",EDATE($D129,Milestones!$AA$154)&gt;=$Y129),$AB129,$AA129)))=Milestones!$AB$154),UPPER(TEXT(EDATE($D129,Milestones!$AA$154),"dd mmm yy"))&amp;" "&amp;Milestones!$AB$154&amp;" "&amp;IF(AND(Milestones!$AB$154="FT",Milestones!$AA$154=FT_Y5,EDATE($D129,Milestones!$AA$154)&lt;PolicyEff),1,Milestones!$AC$154)&amp;";  ","")&amp;IF(AND(EDATE($D129,Milestones!$AA$155)&lt;=AsOfDate,EDATE($D129,Milestones!$AA$155)&gt;=SchemeStart,IF($X129=0,$AD129,IF(AND($Z129&lt;&gt;"",EDATE($D129,Milestones!$AA$155)&gt;=$Z129),$AC129,IF(AND($Y129&lt;&gt;"",EDATE($D129,Milestones!$AA$155)&gt;=$Y129),$AB129,$AA129)))=Milestones!$AB$155),UPPER(TEXT(EDATE($D129,Milestones!$AA$155),"dd mmm yy"))&amp;" "&amp;Milestones!$AB$155&amp;" "&amp;IF(AND(Milestones!$AB$155="FT",Milestones!$AA$155=FT_Y5,EDATE($D129,Milestones!$AA$155)&lt;PolicyEff),1,Milestones!$AC$155)&amp;";  ","")&amp;IF(AND(EDATE($D129,Milestones!$AA$156)&lt;=AsOfDate,EDATE($D129,Milestones!$AA$156)&gt;=SchemeStart,IF($X129=0,$AD129,IF(AND($Z129&lt;&gt;"",EDATE($D129,Milestones!$AA$156)&gt;=$Z129),$AC129,IF(AND($Y129&lt;&gt;"",EDATE($D129,Milestones!$AA$156)&gt;=$Y129),$AB129,$AA129)))=Milestones!$AB$156),UPPER(TEXT(EDATE($D129,Milestones!$AA$156),"dd mmm yy"))&amp;" "&amp;Milestones!$AB$156&amp;" "&amp;IF(AND(Milestones!$AB$156="FT",Milestones!$AA$156=FT_Y5,EDATE($D129,Milestones!$AA$156)&lt;PolicyEff),1,Milestones!$AC$156)&amp;";  ","")&amp;IF(AND(EDATE($D129,Milestones!$AA$157)&lt;=AsOfDate,EDATE($D129,Milestones!$AA$157)&gt;=SchemeStart,IF($X129=0,$AD129,IF(AND($Z129&lt;&gt;"",EDATE($D129,Milestones!$AA$157)&gt;=$Z129),$AC129,IF(AND($Y129&lt;&gt;"",EDATE($D129,Milestones!$AA$157)&gt;=$Y129),$AB129,$AA129)))=Milestones!$AB$157),UPPER(TEXT(EDATE($D129,Milestones!$AA$157),"dd mmm yy"))&amp;" "&amp;Milestones!$AB$157&amp;" "&amp;IF(AND(Milestones!$AB$157="FT",Milestones!$AA$157=FT_Y5,EDATE($D129,Milestones!$AA$157)&lt;PolicyEff),1,Milestones!$AC$157)&amp;";  ","")&amp;IF(AND(EDATE($D129,Milestones!$AA$158)&lt;=AsOfDate,EDATE($D129,Milestones!$AA$158)&gt;=SchemeStart,IF($X129=0,$AD129,IF(AND($Z129&lt;&gt;"",EDATE($D129,Milestones!$AA$158)&gt;=$Z129),$AC129,IF(AND($Y129&lt;&gt;"",EDATE($D129,Milestones!$AA$158)&gt;=$Y129),$AB129,$AA129)))=Milestones!$AB$158),UPPER(TEXT(EDATE($D129,Milestones!$AA$158),"dd mmm yy"))&amp;" "&amp;Milestones!$AB$158&amp;" "&amp;IF(AND(Milestones!$AB$158="FT",Milestones!$AA$158=FT_Y5,EDATE($D129,Milestones!$AA$158)&lt;PolicyEff),1,Milestones!$AC$158)&amp;";  ","")&amp;IF(AND(EDATE($D129,Milestones!$AA$159)&lt;=AsOfDate,EDATE($D129,Milestones!$AA$159)&gt;=SchemeStart,IF($X129=0,$AD129,IF(AND($Z129&lt;&gt;"",EDATE($D129,Milestones!$AA$159)&gt;=$Z129),$AC129,IF(AND($Y129&lt;&gt;"",EDATE($D129,Milestones!$AA$159)&gt;=$Y129),$AB129,$AA129)))=Milestones!$AB$159),UPPER(TEXT(EDATE($D129,Milestones!$AA$159),"dd mmm yy"))&amp;" "&amp;Milestones!$AB$159&amp;" "&amp;IF(AND(Milestones!$AB$159="FT",Milestones!$AA$159=FT_Y5,EDATE($D129,Milestones!$AA$159)&lt;PolicyEff),1,Milestones!$AC$159)&amp;";  ","")&amp;IF(AND(EDATE($D129,Milestones!$AA$160)&lt;=AsOfDate,EDATE($D129,Milestones!$AA$160)&gt;=SchemeStart,IF($X129=0,$AD129,IF(AND($Z129&lt;&gt;"",EDATE($D129,Milestones!$AA$160)&gt;=$Z129),$AC129,IF(AND($Y129&lt;&gt;"",EDATE($D129,Milestones!$AA$160)&gt;=$Y129),$AB129,$AA129)))=Milestones!$AB$160),UPPER(TEXT(EDATE($D129,Milestones!$AA$160),"dd mmm yy"))&amp;" "&amp;Milestones!$AB$160&amp;" "&amp;IF(AND(Milestones!$AB$160="FT",Milestones!$AA$160=FT_Y5,EDATE($D129,Milestones!$AA$160)&lt;PolicyEff),1,Milestones!$AC$160)&amp;";  ","")&amp;IF(AND(EDATE($D129,Milestones!$AA$161)&lt;=AsOfDate,EDATE($D129,Milestones!$AA$161)&gt;=SchemeStart,IF($X129=0,$AD129,IF(AND($Z129&lt;&gt;"",EDATE($D129,Milestones!$AA$161)&gt;=$Z129),$AC129,IF(AND($Y129&lt;&gt;"",EDATE($D129,Milestones!$AA$161)&gt;=$Y129),$AB129,$AA129)))=Milestones!$AB$161),UPPER(TEXT(EDATE($D129,Milestones!$AA$161),"dd mmm yy"))&amp;" "&amp;Milestones!$AB$161&amp;" "&amp;IF(AND(Milestones!$AB$161="FT",Milestones!$AA$161=FT_Y5,EDATE($D129,Milestones!$AA$161)&lt;PolicyEff),1,Milestones!$AC$161)&amp;";  ","")&amp;IF(AND(EDATE($D129,Milestones!$AA$162)&lt;=AsOfDate,EDATE($D129,Milestones!$AA$162)&gt;=SchemeStart,IF($X129=0,$AD129,IF(AND($Z129&lt;&gt;"",EDATE($D129,Milestones!$AA$162)&gt;=$Z129),$AC129,IF(AND($Y129&lt;&gt;"",EDATE($D129,Milestones!$AA$162)&gt;=$Y129),$AB129,$AA129)))=Milestones!$AB$162),UPPER(TEXT(EDATE($D129,Milestones!$AA$162),"dd mmm yy"))&amp;" "&amp;Milestones!$AB$162&amp;" "&amp;IF(AND(Milestones!$AB$162="FT",Milestones!$AA$162=FT_Y5,EDATE($D129,Milestones!$AA$162)&lt;PolicyEff),1,Milestones!$AC$162)&amp;";  ","")&amp;IF(AND(EDATE($D129,Milestones!$AA$163)&lt;=AsOfDate,EDATE($D129,Milestones!$AA$163)&gt;=SchemeStart,IF($X129=0,$AD129,IF(AND($Z129&lt;&gt;"",EDATE($D129,Milestones!$AA$163)&gt;=$Z129),$AC129,IF(AND($Y129&lt;&gt;"",EDATE($D129,Milestones!$AA$163)&gt;=$Y129),$AB129,$AA129)))=Milestones!$AB$163),UPPER(TEXT(EDATE($D129,Milestones!$AA$163),"dd mmm yy"))&amp;" "&amp;Milestones!$AB$163&amp;" "&amp;IF(AND(Milestones!$AB$163="FT",Milestones!$AA$163=FT_Y5,EDATE($D129,Milestones!$AA$163)&lt;PolicyEff),1,Milestones!$AC$163)&amp;";  ",""))</f>
        <v/>
      </c>
      <c r="U129" s="0" t="str">
        <f aca="false">IF(OR($A129="",$D129=""),"",IF(AND(EDATE($D129,Milestones!$AA$164)&lt;=AsOfDate,EDATE($D129,Milestones!$AA$164)&gt;=SchemeStart,IF($X129=0,$AD129,IF(AND($Z129&lt;&gt;"",EDATE($D129,Milestones!$AA$164)&gt;=$Z129),$AC129,IF(AND($Y129&lt;&gt;"",EDATE($D129,Milestones!$AA$164)&gt;=$Y129),$AB129,$AA129)))=Milestones!$AB$164),UPPER(TEXT(EDATE($D129,Milestones!$AA$164),"dd mmm yy"))&amp;" "&amp;Milestones!$AB$164&amp;" "&amp;IF(AND(Milestones!$AB$164="FT",Milestones!$AA$164=FT_Y5,EDATE($D129,Milestones!$AA$164)&lt;PolicyEff),1,Milestones!$AC$164)&amp;";  ","")&amp;IF(AND(EDATE($D129,Milestones!$AA$165)&lt;=AsOfDate,EDATE($D129,Milestones!$AA$165)&gt;=SchemeStart,IF($X129=0,$AD129,IF(AND($Z129&lt;&gt;"",EDATE($D129,Milestones!$AA$165)&gt;=$Z129),$AC129,IF(AND($Y129&lt;&gt;"",EDATE($D129,Milestones!$AA$165)&gt;=$Y129),$AB129,$AA129)))=Milestones!$AB$165),UPPER(TEXT(EDATE($D129,Milestones!$AA$165),"dd mmm yy"))&amp;" "&amp;Milestones!$AB$165&amp;" "&amp;IF(AND(Milestones!$AB$165="FT",Milestones!$AA$165=FT_Y5,EDATE($D129,Milestones!$AA$165)&lt;PolicyEff),1,Milestones!$AC$165)&amp;";  ","")&amp;IF(AND(EDATE($D129,Milestones!$AA$166)&lt;=AsOfDate,EDATE($D129,Milestones!$AA$166)&gt;=SchemeStart,IF($X129=0,$AD129,IF(AND($Z129&lt;&gt;"",EDATE($D129,Milestones!$AA$166)&gt;=$Z129),$AC129,IF(AND($Y129&lt;&gt;"",EDATE($D129,Milestones!$AA$166)&gt;=$Y129),$AB129,$AA129)))=Milestones!$AB$166),UPPER(TEXT(EDATE($D129,Milestones!$AA$166),"dd mmm yy"))&amp;" "&amp;Milestones!$AB$166&amp;" "&amp;IF(AND(Milestones!$AB$166="FT",Milestones!$AA$166=FT_Y5,EDATE($D129,Milestones!$AA$166)&lt;PolicyEff),1,Milestones!$AC$166)&amp;";  ","")&amp;IF(AND(EDATE($D129,Milestones!$AA$167)&lt;=AsOfDate,EDATE($D129,Milestones!$AA$167)&gt;=SchemeStart,IF($X129=0,$AD129,IF(AND($Z129&lt;&gt;"",EDATE($D129,Milestones!$AA$167)&gt;=$Z129),$AC129,IF(AND($Y129&lt;&gt;"",EDATE($D129,Milestones!$AA$167)&gt;=$Y129),$AB129,$AA129)))=Milestones!$AB$167),UPPER(TEXT(EDATE($D129,Milestones!$AA$167),"dd mmm yy"))&amp;" "&amp;Milestones!$AB$167&amp;" "&amp;IF(AND(Milestones!$AB$167="FT",Milestones!$AA$167=FT_Y5,EDATE($D129,Milestones!$AA$167)&lt;PolicyEff),1,Milestones!$AC$167)&amp;";  ","")&amp;IF(AND(EDATE($D129,Milestones!$AA$168)&lt;=AsOfDate,EDATE($D129,Milestones!$AA$168)&gt;=SchemeStart,IF($X129=0,$AD129,IF(AND($Z129&lt;&gt;"",EDATE($D129,Milestones!$AA$168)&gt;=$Z129),$AC129,IF(AND($Y129&lt;&gt;"",EDATE($D129,Milestones!$AA$168)&gt;=$Y129),$AB129,$AA129)))=Milestones!$AB$168),UPPER(TEXT(EDATE($D129,Milestones!$AA$168),"dd mmm yy"))&amp;" "&amp;Milestones!$AB$168&amp;" "&amp;IF(AND(Milestones!$AB$168="FT",Milestones!$AA$168=FT_Y5,EDATE($D129,Milestones!$AA$168)&lt;PolicyEff),1,Milestones!$AC$168)&amp;";  ","")&amp;IF(AND(EDATE($D129,Milestones!$AA$169)&lt;=AsOfDate,EDATE($D129,Milestones!$AA$169)&gt;=SchemeStart,IF($X129=0,$AD129,IF(AND($Z129&lt;&gt;"",EDATE($D129,Milestones!$AA$169)&gt;=$Z129),$AC129,IF(AND($Y129&lt;&gt;"",EDATE($D129,Milestones!$AA$169)&gt;=$Y129),$AB129,$AA129)))=Milestones!$AB$169),UPPER(TEXT(EDATE($D129,Milestones!$AA$169),"dd mmm yy"))&amp;" "&amp;Milestones!$AB$169&amp;" "&amp;IF(AND(Milestones!$AB$169="FT",Milestones!$AA$169=FT_Y5,EDATE($D129,Milestones!$AA$169)&lt;PolicyEff),1,Milestones!$AC$169)&amp;";  ","")&amp;IF(AND(EDATE($D129,Milestones!$AA$170)&lt;=AsOfDate,EDATE($D129,Milestones!$AA$170)&gt;=SchemeStart,IF($X129=0,$AD129,IF(AND($Z129&lt;&gt;"",EDATE($D129,Milestones!$AA$170)&gt;=$Z129),$AC129,IF(AND($Y129&lt;&gt;"",EDATE($D129,Milestones!$AA$170)&gt;=$Y129),$AB129,$AA129)))=Milestones!$AB$170),UPPER(TEXT(EDATE($D129,Milestones!$AA$170),"dd mmm yy"))&amp;" "&amp;Milestones!$AB$170&amp;" "&amp;IF(AND(Milestones!$AB$170="FT",Milestones!$AA$170=FT_Y5,EDATE($D129,Milestones!$AA$170)&lt;PolicyEff),1,Milestones!$AC$170)&amp;";  ","")&amp;IF(AND(EDATE($D129,Milestones!$AA$171)&lt;=AsOfDate,EDATE($D129,Milestones!$AA$171)&gt;=SchemeStart,IF($X129=0,$AD129,IF(AND($Z129&lt;&gt;"",EDATE($D129,Milestones!$AA$171)&gt;=$Z129),$AC129,IF(AND($Y129&lt;&gt;"",EDATE($D129,Milestones!$AA$171)&gt;=$Y129),$AB129,$AA129)))=Milestones!$AB$171),UPPER(TEXT(EDATE($D129,Milestones!$AA$171),"dd mmm yy"))&amp;" "&amp;Milestones!$AB$171&amp;" "&amp;IF(AND(Milestones!$AB$171="FT",Milestones!$AA$171=FT_Y5,EDATE($D129,Milestones!$AA$171)&lt;PolicyEff),1,Milestones!$AC$171)&amp;";  ","")&amp;IF(AND(EDATE($D129,Milestones!$AA$172)&lt;=AsOfDate,EDATE($D129,Milestones!$AA$172)&gt;=SchemeStart,IF($X129=0,$AD129,IF(AND($Z129&lt;&gt;"",EDATE($D129,Milestones!$AA$172)&gt;=$Z129),$AC129,IF(AND($Y129&lt;&gt;"",EDATE($D129,Milestones!$AA$172)&gt;=$Y129),$AB129,$AA129)))=Milestones!$AB$172),UPPER(TEXT(EDATE($D129,Milestones!$AA$172),"dd mmm yy"))&amp;" "&amp;Milestones!$AB$172&amp;" "&amp;IF(AND(Milestones!$AB$172="FT",Milestones!$AA$172=FT_Y5,EDATE($D129,Milestones!$AA$172)&lt;PolicyEff),1,Milestones!$AC$172)&amp;";  ","")&amp;IF(AND(EDATE($D129,Milestones!$AA$173)&lt;=AsOfDate,EDATE($D129,Milestones!$AA$173)&gt;=SchemeStart,IF($X129=0,$AD129,IF(AND($Z129&lt;&gt;"",EDATE($D129,Milestones!$AA$173)&gt;=$Z129),$AC129,IF(AND($Y129&lt;&gt;"",EDATE($D129,Milestones!$AA$173)&gt;=$Y129),$AB129,$AA129)))=Milestones!$AB$173),UPPER(TEXT(EDATE($D129,Milestones!$AA$173),"dd mmm yy"))&amp;" "&amp;Milestones!$AB$173&amp;" "&amp;IF(AND(Milestones!$AB$173="FT",Milestones!$AA$173=FT_Y5,EDATE($D129,Milestones!$AA$173)&lt;PolicyEff),1,Milestones!$AC$173)&amp;";  ","")&amp;IF(AND(EDATE($D129,Milestones!$AA$174)&lt;=AsOfDate,EDATE($D129,Milestones!$AA$174)&gt;=SchemeStart,IF($X129=0,$AD129,IF(AND($Z129&lt;&gt;"",EDATE($D129,Milestones!$AA$174)&gt;=$Z129),$AC129,IF(AND($Y129&lt;&gt;"",EDATE($D129,Milestones!$AA$174)&gt;=$Y129),$AB129,$AA129)))=Milestones!$AB$174),UPPER(TEXT(EDATE($D129,Milestones!$AA$174),"dd mmm yy"))&amp;" "&amp;Milestones!$AB$174&amp;" "&amp;IF(AND(Milestones!$AB$174="FT",Milestones!$AA$174=FT_Y5,EDATE($D129,Milestones!$AA$174)&lt;PolicyEff),1,Milestones!$AC$174)&amp;";  ","")&amp;IF(AND(EDATE($D129,Milestones!$AA$175)&lt;=AsOfDate,EDATE($D129,Milestones!$AA$175)&gt;=SchemeStart,IF($X129=0,$AD129,IF(AND($Z129&lt;&gt;"",EDATE($D129,Milestones!$AA$175)&gt;=$Z129),$AC129,IF(AND($Y129&lt;&gt;"",EDATE($D129,Milestones!$AA$175)&gt;=$Y129),$AB129,$AA129)))=Milestones!$AB$175),UPPER(TEXT(EDATE($D129,Milestones!$AA$175),"dd mmm yy"))&amp;" "&amp;Milestones!$AB$175&amp;" "&amp;IF(AND(Milestones!$AB$175="FT",Milestones!$AA$175=FT_Y5,EDATE($D129,Milestones!$AA$175)&lt;PolicyEff),1,Milestones!$AC$175)&amp;";  ",""))</f>
        <v/>
      </c>
      <c r="V129" s="0" t="str">
        <f aca="false">IF(OR($A129="",$D129=""),"",IF(AND(EDATE($D129,Milestones!$AA$176)&lt;=AsOfDate,EDATE($D129,Milestones!$AA$176)&gt;=SchemeStart,IF($X129=0,$AD129,IF(AND($Z129&lt;&gt;"",EDATE($D129,Milestones!$AA$176)&gt;=$Z129),$AC129,IF(AND($Y129&lt;&gt;"",EDATE($D129,Milestones!$AA$176)&gt;=$Y129),$AB129,$AA129)))=Milestones!$AB$176),UPPER(TEXT(EDATE($D129,Milestones!$AA$176),"dd mmm yy"))&amp;" "&amp;Milestones!$AB$176&amp;" "&amp;IF(AND(Milestones!$AB$176="FT",Milestones!$AA$176=FT_Y5,EDATE($D129,Milestones!$AA$176)&lt;PolicyEff),1,Milestones!$AC$176)&amp;";  ","")&amp;IF(AND(EDATE($D129,Milestones!$AA$177)&lt;=AsOfDate,EDATE($D129,Milestones!$AA$177)&gt;=SchemeStart,IF($X129=0,$AD129,IF(AND($Z129&lt;&gt;"",EDATE($D129,Milestones!$AA$177)&gt;=$Z129),$AC129,IF(AND($Y129&lt;&gt;"",EDATE($D129,Milestones!$AA$177)&gt;=$Y129),$AB129,$AA129)))=Milestones!$AB$177),UPPER(TEXT(EDATE($D129,Milestones!$AA$177),"dd mmm yy"))&amp;" "&amp;Milestones!$AB$177&amp;" "&amp;IF(AND(Milestones!$AB$177="FT",Milestones!$AA$177=FT_Y5,EDATE($D129,Milestones!$AA$177)&lt;PolicyEff),1,Milestones!$AC$177)&amp;";  ","")&amp;IF(AND(EDATE($D129,Milestones!$AA$178)&lt;=AsOfDate,EDATE($D129,Milestones!$AA$178)&gt;=SchemeStart,IF($X129=0,$AD129,IF(AND($Z129&lt;&gt;"",EDATE($D129,Milestones!$AA$178)&gt;=$Z129),$AC129,IF(AND($Y129&lt;&gt;"",EDATE($D129,Milestones!$AA$178)&gt;=$Y129),$AB129,$AA129)))=Milestones!$AB$178),UPPER(TEXT(EDATE($D129,Milestones!$AA$178),"dd mmm yy"))&amp;" "&amp;Milestones!$AB$178&amp;" "&amp;IF(AND(Milestones!$AB$178="FT",Milestones!$AA$178=FT_Y5,EDATE($D129,Milestones!$AA$178)&lt;PolicyEff),1,Milestones!$AC$178)&amp;";  ","")&amp;IF(AND(EDATE($D129,Milestones!$AA$179)&lt;=AsOfDate,EDATE($D129,Milestones!$AA$179)&gt;=SchemeStart,IF($X129=0,$AD129,IF(AND($Z129&lt;&gt;"",EDATE($D129,Milestones!$AA$179)&gt;=$Z129),$AC129,IF(AND($Y129&lt;&gt;"",EDATE($D129,Milestones!$AA$179)&gt;=$Y129),$AB129,$AA129)))=Milestones!$AB$179),UPPER(TEXT(EDATE($D129,Milestones!$AA$179),"dd mmm yy"))&amp;" "&amp;Milestones!$AB$179&amp;" "&amp;IF(AND(Milestones!$AB$179="FT",Milestones!$AA$179=FT_Y5,EDATE($D129,Milestones!$AA$179)&lt;PolicyEff),1,Milestones!$AC$179)&amp;";  ","")&amp;IF(AND(EDATE($D129,Milestones!$AA$180)&lt;=AsOfDate,EDATE($D129,Milestones!$AA$180)&gt;=SchemeStart,IF($X129=0,$AD129,IF(AND($Z129&lt;&gt;"",EDATE($D129,Milestones!$AA$180)&gt;=$Z129),$AC129,IF(AND($Y129&lt;&gt;"",EDATE($D129,Milestones!$AA$180)&gt;=$Y129),$AB129,$AA129)))=Milestones!$AB$180),UPPER(TEXT(EDATE($D129,Milestones!$AA$180),"dd mmm yy"))&amp;" "&amp;Milestones!$AB$180&amp;" "&amp;IF(AND(Milestones!$AB$180="FT",Milestones!$AA$180=FT_Y5,EDATE($D129,Milestones!$AA$180)&lt;PolicyEff),1,Milestones!$AC$180)&amp;";  ","")&amp;IF(AND(EDATE($D129,Milestones!$AA$181)&lt;=AsOfDate,EDATE($D129,Milestones!$AA$181)&gt;=SchemeStart,IF($X129=0,$AD129,IF(AND($Z129&lt;&gt;"",EDATE($D129,Milestones!$AA$181)&gt;=$Z129),$AC129,IF(AND($Y129&lt;&gt;"",EDATE($D129,Milestones!$AA$181)&gt;=$Y129),$AB129,$AA129)))=Milestones!$AB$181),UPPER(TEXT(EDATE($D129,Milestones!$AA$181),"dd mmm yy"))&amp;" "&amp;Milestones!$AB$181&amp;" "&amp;IF(AND(Milestones!$AB$181="FT",Milestones!$AA$181=FT_Y5,EDATE($D129,Milestones!$AA$181)&lt;PolicyEff),1,Milestones!$AC$181)&amp;";  ","")&amp;IF(AND(EDATE($D129,Milestones!$AA$182)&lt;=AsOfDate,EDATE($D129,Milestones!$AA$182)&gt;=SchemeStart,IF($X129=0,$AD129,IF(AND($Z129&lt;&gt;"",EDATE($D129,Milestones!$AA$182)&gt;=$Z129),$AC129,IF(AND($Y129&lt;&gt;"",EDATE($D129,Milestones!$AA$182)&gt;=$Y129),$AB129,$AA129)))=Milestones!$AB$182),UPPER(TEXT(EDATE($D129,Milestones!$AA$182),"dd mmm yy"))&amp;" "&amp;Milestones!$AB$182&amp;" "&amp;IF(AND(Milestones!$AB$182="FT",Milestones!$AA$182=FT_Y5,EDATE($D129,Milestones!$AA$182)&lt;PolicyEff),1,Milestones!$AC$182)&amp;";  ","")&amp;IF(AND(EDATE($D129,Milestones!$AA$183)&lt;=AsOfDate,EDATE($D129,Milestones!$AA$183)&gt;=SchemeStart,IF($X129=0,$AD129,IF(AND($Z129&lt;&gt;"",EDATE($D129,Milestones!$AA$183)&gt;=$Z129),$AC129,IF(AND($Y129&lt;&gt;"",EDATE($D129,Milestones!$AA$183)&gt;=$Y129),$AB129,$AA129)))=Milestones!$AB$183),UPPER(TEXT(EDATE($D129,Milestones!$AA$183),"dd mmm yy"))&amp;" "&amp;Milestones!$AB$183&amp;" "&amp;IF(AND(Milestones!$AB$183="FT",Milestones!$AA$183=FT_Y5,EDATE($D129,Milestones!$AA$183)&lt;PolicyEff),1,Milestones!$AC$183)&amp;";  ","")&amp;IF(AND(EDATE($D129,Milestones!$AA$184)&lt;=AsOfDate,EDATE($D129,Milestones!$AA$184)&gt;=SchemeStart,IF($X129=0,$AD129,IF(AND($Z129&lt;&gt;"",EDATE($D129,Milestones!$AA$184)&gt;=$Z129),$AC129,IF(AND($Y129&lt;&gt;"",EDATE($D129,Milestones!$AA$184)&gt;=$Y129),$AB129,$AA129)))=Milestones!$AB$184),UPPER(TEXT(EDATE($D129,Milestones!$AA$184),"dd mmm yy"))&amp;" "&amp;Milestones!$AB$184&amp;" "&amp;IF(AND(Milestones!$AB$184="FT",Milestones!$AA$184=FT_Y5,EDATE($D129,Milestones!$AA$184)&lt;PolicyEff),1,Milestones!$AC$184)&amp;";  ","")&amp;IF(AND(EDATE($D129,Milestones!$AA$185)&lt;=AsOfDate,EDATE($D129,Milestones!$AA$185)&gt;=SchemeStart,IF($X129=0,$AD129,IF(AND($Z129&lt;&gt;"",EDATE($D129,Milestones!$AA$185)&gt;=$Z129),$AC129,IF(AND($Y129&lt;&gt;"",EDATE($D129,Milestones!$AA$185)&gt;=$Y129),$AB129,$AA129)))=Milestones!$AB$185),UPPER(TEXT(EDATE($D129,Milestones!$AA$185),"dd mmm yy"))&amp;" "&amp;Milestones!$AB$185&amp;" "&amp;IF(AND(Milestones!$AB$185="FT",Milestones!$AA$185=FT_Y5,EDATE($D129,Milestones!$AA$185)&lt;PolicyEff),1,Milestones!$AC$185)&amp;";  ","")&amp;IF(AND(EDATE($D129,Milestones!$AA$186)&lt;=AsOfDate,EDATE($D129,Milestones!$AA$186)&gt;=SchemeStart,IF($X129=0,$AD129,IF(AND($Z129&lt;&gt;"",EDATE($D129,Milestones!$AA$186)&gt;=$Z129),$AC129,IF(AND($Y129&lt;&gt;"",EDATE($D129,Milestones!$AA$186)&gt;=$Y129),$AB129,$AA129)))=Milestones!$AB$186),UPPER(TEXT(EDATE($D129,Milestones!$AA$186),"dd mmm yy"))&amp;" "&amp;Milestones!$AB$186&amp;" "&amp;IF(AND(Milestones!$AB$186="FT",Milestones!$AA$186=FT_Y5,EDATE($D129,Milestones!$AA$186)&lt;PolicyEff),1,Milestones!$AC$186)&amp;";  ","")&amp;IF(AND(EDATE($D129,Milestones!$AA$187)&lt;=AsOfDate,EDATE($D129,Milestones!$AA$187)&gt;=SchemeStart,IF($X129=0,$AD129,IF(AND($Z129&lt;&gt;"",EDATE($D129,Milestones!$AA$187)&gt;=$Z129),$AC129,IF(AND($Y129&lt;&gt;"",EDATE($D129,Milestones!$AA$187)&gt;=$Y129),$AB129,$AA129)))=Milestones!$AB$187),UPPER(TEXT(EDATE($D129,Milestones!$AA$187),"dd mmm yy"))&amp;" "&amp;Milestones!$AB$187&amp;" "&amp;IF(AND(Milestones!$AB$187="FT",Milestones!$AA$187=FT_Y5,EDATE($D129,Milestones!$AA$187)&lt;PolicyEff),1,Milestones!$AC$187)&amp;";  ",""))</f>
        <v/>
      </c>
      <c r="W129" s="0" t="str">
        <f aca="false">IF(OR($A129="",$D129=""),"",IF(AND(EDATE($D129,Milestones!$AA$188)&lt;=AsOfDate,EDATE($D129,Milestones!$AA$188)&gt;=SchemeStart,IF($X129=0,$AD129,IF(AND($Z129&lt;&gt;"",EDATE($D129,Milestones!$AA$188)&gt;=$Z129),$AC129,IF(AND($Y129&lt;&gt;"",EDATE($D129,Milestones!$AA$188)&gt;=$Y129),$AB129,$AA129)))=Milestones!$AB$188),UPPER(TEXT(EDATE($D129,Milestones!$AA$188),"dd mmm yy"))&amp;" "&amp;Milestones!$AB$188&amp;" "&amp;IF(AND(Milestones!$AB$188="FT",Milestones!$AA$188=FT_Y5,EDATE($D129,Milestones!$AA$188)&lt;PolicyEff),1,Milestones!$AC$188)&amp;";  ","")&amp;IF(AND(EDATE($D129,Milestones!$AA$189)&lt;=AsOfDate,EDATE($D129,Milestones!$AA$189)&gt;=SchemeStart,IF($X129=0,$AD129,IF(AND($Z129&lt;&gt;"",EDATE($D129,Milestones!$AA$189)&gt;=$Z129),$AC129,IF(AND($Y129&lt;&gt;"",EDATE($D129,Milestones!$AA$189)&gt;=$Y129),$AB129,$AA129)))=Milestones!$AB$189),UPPER(TEXT(EDATE($D129,Milestones!$AA$189),"dd mmm yy"))&amp;" "&amp;Milestones!$AB$189&amp;" "&amp;IF(AND(Milestones!$AB$189="FT",Milestones!$AA$189=FT_Y5,EDATE($D129,Milestones!$AA$189)&lt;PolicyEff),1,Milestones!$AC$189)&amp;";  ","")&amp;IF(AND(EDATE($D129,Milestones!$AA$190)&lt;=AsOfDate,EDATE($D129,Milestones!$AA$190)&gt;=SchemeStart,IF($X129=0,$AD129,IF(AND($Z129&lt;&gt;"",EDATE($D129,Milestones!$AA$190)&gt;=$Z129),$AC129,IF(AND($Y129&lt;&gt;"",EDATE($D129,Milestones!$AA$190)&gt;=$Y129),$AB129,$AA129)))=Milestones!$AB$190),UPPER(TEXT(EDATE($D129,Milestones!$AA$190),"dd mmm yy"))&amp;" "&amp;Milestones!$AB$190&amp;" "&amp;IF(AND(Milestones!$AB$190="FT",Milestones!$AA$190=FT_Y5,EDATE($D129,Milestones!$AA$190)&lt;PolicyEff),1,Milestones!$AC$190)&amp;";  ","")&amp;IF(AND(EDATE($D129,Milestones!$AA$191)&lt;=AsOfDate,EDATE($D129,Milestones!$AA$191)&gt;=SchemeStart,IF($X129=0,$AD129,IF(AND($Z129&lt;&gt;"",EDATE($D129,Milestones!$AA$191)&gt;=$Z129),$AC129,IF(AND($Y129&lt;&gt;"",EDATE($D129,Milestones!$AA$191)&gt;=$Y129),$AB129,$AA129)))=Milestones!$AB$191),UPPER(TEXT(EDATE($D129,Milestones!$AA$191),"dd mmm yy"))&amp;" "&amp;Milestones!$AB$191&amp;" "&amp;IF(AND(Milestones!$AB$191="FT",Milestones!$AA$191=FT_Y5,EDATE($D129,Milestones!$AA$191)&lt;PolicyEff),1,Milestones!$AC$191)&amp;";  ","")&amp;IF(AND(EDATE($D129,Milestones!$AA$192)&lt;=AsOfDate,EDATE($D129,Milestones!$AA$192)&gt;=SchemeStart,IF($X129=0,$AD129,IF(AND($Z129&lt;&gt;"",EDATE($D129,Milestones!$AA$192)&gt;=$Z129),$AC129,IF(AND($Y129&lt;&gt;"",EDATE($D129,Milestones!$AA$192)&gt;=$Y129),$AB129,$AA129)))=Milestones!$AB$192),UPPER(TEXT(EDATE($D129,Milestones!$AA$192),"dd mmm yy"))&amp;" "&amp;Milestones!$AB$192&amp;" "&amp;IF(AND(Milestones!$AB$192="FT",Milestones!$AA$192=FT_Y5,EDATE($D129,Milestones!$AA$192)&lt;PolicyEff),1,Milestones!$AC$192)&amp;";  ","")&amp;IF(AND(EDATE($D129,Milestones!$AA$193)&lt;=AsOfDate,EDATE($D129,Milestones!$AA$193)&gt;=SchemeStart,IF($X129=0,$AD129,IF(AND($Z129&lt;&gt;"",EDATE($D129,Milestones!$AA$193)&gt;=$Z129),$AC129,IF(AND($Y129&lt;&gt;"",EDATE($D129,Milestones!$AA$193)&gt;=$Y129),$AB129,$AA129)))=Milestones!$AB$193),UPPER(TEXT(EDATE($D129,Milestones!$AA$193),"dd mmm yy"))&amp;" "&amp;Milestones!$AB$193&amp;" "&amp;IF(AND(Milestones!$AB$193="FT",Milestones!$AA$193=FT_Y5,EDATE($D129,Milestones!$AA$193)&lt;PolicyEff),1,Milestones!$AC$193)&amp;";  ","")&amp;IF(AND(EDATE($D129,Milestones!$AA$194)&lt;=AsOfDate,EDATE($D129,Milestones!$AA$194)&gt;=SchemeStart,IF($X129=0,$AD129,IF(AND($Z129&lt;&gt;"",EDATE($D129,Milestones!$AA$194)&gt;=$Z129),$AC129,IF(AND($Y129&lt;&gt;"",EDATE($D129,Milestones!$AA$194)&gt;=$Y129),$AB129,$AA129)))=Milestones!$AB$194),UPPER(TEXT(EDATE($D129,Milestones!$AA$194),"dd mmm yy"))&amp;" "&amp;Milestones!$AB$194&amp;" "&amp;IF(AND(Milestones!$AB$194="FT",Milestones!$AA$194=FT_Y5,EDATE($D129,Milestones!$AA$194)&lt;PolicyEff),1,Milestones!$AC$194)&amp;";  ","")&amp;IF(AND(EDATE($D129,Milestones!$AA$195)&lt;=AsOfDate,EDATE($D129,Milestones!$AA$195)&gt;=SchemeStart,IF($X129=0,$AD129,IF(AND($Z129&lt;&gt;"",EDATE($D129,Milestones!$AA$195)&gt;=$Z129),$AC129,IF(AND($Y129&lt;&gt;"",EDATE($D129,Milestones!$AA$195)&gt;=$Y129),$AB129,$AA129)))=Milestones!$AB$195),UPPER(TEXT(EDATE($D129,Milestones!$AA$195),"dd mmm yy"))&amp;" "&amp;Milestones!$AB$195&amp;" "&amp;IF(AND(Milestones!$AB$195="FT",Milestones!$AA$195=FT_Y5,EDATE($D129,Milestones!$AA$195)&lt;PolicyEff),1,Milestones!$AC$195)&amp;";  ","")&amp;IF(AND(EDATE($D129,Milestones!$AA$196)&lt;=AsOfDate,EDATE($D129,Milestones!$AA$196)&gt;=SchemeStart,IF($X129=0,$AD129,IF(AND($Z129&lt;&gt;"",EDATE($D129,Milestones!$AA$196)&gt;=$Z129),$AC129,IF(AND($Y129&lt;&gt;"",EDATE($D129,Milestones!$AA$196)&gt;=$Y129),$AB129,$AA129)))=Milestones!$AB$196),UPPER(TEXT(EDATE($D129,Milestones!$AA$196),"dd mmm yy"))&amp;" "&amp;Milestones!$AB$196&amp;" "&amp;IF(AND(Milestones!$AB$196="FT",Milestones!$AA$196=FT_Y5,EDATE($D129,Milestones!$AA$196)&lt;PolicyEff),1,Milestones!$AC$196)&amp;";  ","")&amp;IF(AND(EDATE($D129,Milestones!$AA$197)&lt;=AsOfDate,EDATE($D129,Milestones!$AA$197)&gt;=SchemeStart,IF($X129=0,$AD129,IF(AND($Z129&lt;&gt;"",EDATE($D129,Milestones!$AA$197)&gt;=$Z129),$AC129,IF(AND($Y129&lt;&gt;"",EDATE($D129,Milestones!$AA$197)&gt;=$Y129),$AB129,$AA129)))=Milestones!$AB$197),UPPER(TEXT(EDATE($D129,Milestones!$AA$197),"dd mmm yy"))&amp;" "&amp;Milestones!$AB$197&amp;" "&amp;IF(AND(Milestones!$AB$197="FT",Milestones!$AA$197=FT_Y5,EDATE($D129,Milestones!$AA$197)&lt;PolicyEff),1,Milestones!$AC$197)&amp;";  ","")&amp;IF(AND(EDATE($D129,Milestones!$AA$198)&lt;=AsOfDate,EDATE($D129,Milestones!$AA$198)&gt;=SchemeStart,IF($X129=0,$AD129,IF(AND($Z129&lt;&gt;"",EDATE($D129,Milestones!$AA$198)&gt;=$Z129),$AC129,IF(AND($Y129&lt;&gt;"",EDATE($D129,Milestones!$AA$198)&gt;=$Y129),$AB129,$AA129)))=Milestones!$AB$198),UPPER(TEXT(EDATE($D129,Milestones!$AA$198),"dd mmm yy"))&amp;" "&amp;Milestones!$AB$198&amp;" "&amp;IF(AND(Milestones!$AB$198="FT",Milestones!$AA$198=FT_Y5,EDATE($D129,Milestones!$AA$198)&lt;PolicyEff),1,Milestones!$AC$198)&amp;";  ","")&amp;IF(AND(EDATE($D129,Milestones!$AA$199)&lt;=AsOfDate,EDATE($D129,Milestones!$AA$199)&gt;=SchemeStart,IF($X129=0,$AD129,IF(AND($Z129&lt;&gt;"",EDATE($D129,Milestones!$AA$199)&gt;=$Z129),$AC129,IF(AND($Y129&lt;&gt;"",EDATE($D129,Milestones!$AA$199)&gt;=$Y129),$AB129,$AA129)))=Milestones!$AB$199),UPPER(TEXT(EDATE($D129,Milestones!$AA$199),"dd mmm yy"))&amp;" "&amp;Milestones!$AB$199&amp;" "&amp;IF(AND(Milestones!$AB$199="FT",Milestones!$AA$199=FT_Y5,EDATE($D129,Milestones!$AA$199)&lt;PolicyEff),1,Milestones!$AC$199)&amp;";  ",""))</f>
        <v/>
      </c>
      <c r="X129" s="0" t="str">
        <f aca="false">IF(Staff!$A129="","",Staff!$AM129)</f>
        <v/>
      </c>
      <c r="Y129" s="0" t="str">
        <f aca="false">IF(Staff!$A129="","",Staff!$AO129)</f>
        <v/>
      </c>
      <c r="Z129" s="0" t="str">
        <f aca="false">IF(Staff!$A129="","",Staff!$AP129)</f>
        <v/>
      </c>
      <c r="AA129" s="0" t="str">
        <f aca="false">IF(Staff!$A129="","",Staff!$AT129)</f>
        <v/>
      </c>
      <c r="AB129" s="0" t="str">
        <f aca="false">IF(Staff!$A129="","",Staff!$AU129)</f>
        <v/>
      </c>
      <c r="AC129" s="0" t="str">
        <f aca="false">IF(Staff!$A129="","",Staff!$AV129)</f>
        <v/>
      </c>
      <c r="AD129" s="0" t="str">
        <f aca="false">IF(Staff!$A129="","",Staff!$AW129)</f>
        <v/>
      </c>
    </row>
    <row r="130" customFormat="false" ht="15" hidden="false" customHeight="false" outlineLevel="0" collapsed="false">
      <c r="A130" s="16" t="str">
        <f aca="false">IF(Staff!$A130="","",Staff!$A130)</f>
        <v/>
      </c>
      <c r="B130" s="16" t="str">
        <f aca="false">IF(Staff!$A130="","",Staff!$B130)</f>
        <v/>
      </c>
      <c r="C130" s="16" t="str">
        <f aca="false">IF(Staff!$A130="","",Staff!$C130)</f>
        <v/>
      </c>
      <c r="D130" s="14" t="str">
        <f aca="false">IF(Staff!$A130="","",Staff!$AL130)</f>
        <v/>
      </c>
      <c r="E130" s="16" t="str">
        <f aca="false">IF(Staff!$A130="","",Staff!$O130)</f>
        <v/>
      </c>
      <c r="F130" s="16" t="str">
        <f aca="false">IF(E130="","",E130*HoursPerDay)</f>
        <v/>
      </c>
      <c r="G130" s="16" t="str">
        <f aca="false">IF(Staff!$A130="","",Staff!$AE130)</f>
        <v/>
      </c>
      <c r="H130" s="28" t="str">
        <f aca="false">IF($A130="","",I130&amp;J130&amp;K130&amp;L130&amp;M130&amp;N130&amp;O130&amp;P130&amp;Q130&amp;R130&amp;S130&amp;T130&amp;U130&amp;V130&amp;W130)</f>
        <v/>
      </c>
      <c r="I130" s="0" t="str">
        <f aca="false">IF(OR($A130="",$D130=""),"",IF(AND(EDATE($D130,Milestones!$AA$20)&lt;=AsOfDate,EDATE($D130,Milestones!$AA$20)&gt;=SchemeStart,IF($X130=0,$AD130,IF(AND($Z130&lt;&gt;"",EDATE($D130,Milestones!$AA$20)&gt;=$Z130),$AC130,IF(AND($Y130&lt;&gt;"",EDATE($D130,Milestones!$AA$20)&gt;=$Y130),$AB130,$AA130)))=Milestones!$AB$20),UPPER(TEXT(EDATE($D130,Milestones!$AA$20),"dd mmm yy"))&amp;" "&amp;Milestones!$AB$20&amp;" "&amp;IF(AND(Milestones!$AB$20="FT",Milestones!$AA$20=FT_Y5,EDATE($D130,Milestones!$AA$20)&lt;PolicyEff),1,Milestones!$AC$20)&amp;";  ","")&amp;IF(AND(EDATE($D130,Milestones!$AA$21)&lt;=AsOfDate,EDATE($D130,Milestones!$AA$21)&gt;=SchemeStart,IF($X130=0,$AD130,IF(AND($Z130&lt;&gt;"",EDATE($D130,Milestones!$AA$21)&gt;=$Z130),$AC130,IF(AND($Y130&lt;&gt;"",EDATE($D130,Milestones!$AA$21)&gt;=$Y130),$AB130,$AA130)))=Milestones!$AB$21),UPPER(TEXT(EDATE($D130,Milestones!$AA$21),"dd mmm yy"))&amp;" "&amp;Milestones!$AB$21&amp;" "&amp;IF(AND(Milestones!$AB$21="FT",Milestones!$AA$21=FT_Y5,EDATE($D130,Milestones!$AA$21)&lt;PolicyEff),1,Milestones!$AC$21)&amp;";  ","")&amp;IF(AND(EDATE($D130,Milestones!$AA$22)&lt;=AsOfDate,EDATE($D130,Milestones!$AA$22)&gt;=SchemeStart,IF($X130=0,$AD130,IF(AND($Z130&lt;&gt;"",EDATE($D130,Milestones!$AA$22)&gt;=$Z130),$AC130,IF(AND($Y130&lt;&gt;"",EDATE($D130,Milestones!$AA$22)&gt;=$Y130),$AB130,$AA130)))=Milestones!$AB$22),UPPER(TEXT(EDATE($D130,Milestones!$AA$22),"dd mmm yy"))&amp;" "&amp;Milestones!$AB$22&amp;" "&amp;IF(AND(Milestones!$AB$22="FT",Milestones!$AA$22=FT_Y5,EDATE($D130,Milestones!$AA$22)&lt;PolicyEff),1,Milestones!$AC$22)&amp;";  ","")&amp;IF(AND(EDATE($D130,Milestones!$AA$23)&lt;=AsOfDate,EDATE($D130,Milestones!$AA$23)&gt;=SchemeStart,IF($X130=0,$AD130,IF(AND($Z130&lt;&gt;"",EDATE($D130,Milestones!$AA$23)&gt;=$Z130),$AC130,IF(AND($Y130&lt;&gt;"",EDATE($D130,Milestones!$AA$23)&gt;=$Y130),$AB130,$AA130)))=Milestones!$AB$23),UPPER(TEXT(EDATE($D130,Milestones!$AA$23),"dd mmm yy"))&amp;" "&amp;Milestones!$AB$23&amp;" "&amp;IF(AND(Milestones!$AB$23="FT",Milestones!$AA$23=FT_Y5,EDATE($D130,Milestones!$AA$23)&lt;PolicyEff),1,Milestones!$AC$23)&amp;";  ","")&amp;IF(AND(EDATE($D130,Milestones!$AA$24)&lt;=AsOfDate,EDATE($D130,Milestones!$AA$24)&gt;=SchemeStart,IF($X130=0,$AD130,IF(AND($Z130&lt;&gt;"",EDATE($D130,Milestones!$AA$24)&gt;=$Z130),$AC130,IF(AND($Y130&lt;&gt;"",EDATE($D130,Milestones!$AA$24)&gt;=$Y130),$AB130,$AA130)))=Milestones!$AB$24),UPPER(TEXT(EDATE($D130,Milestones!$AA$24),"dd mmm yy"))&amp;" "&amp;Milestones!$AB$24&amp;" "&amp;IF(AND(Milestones!$AB$24="FT",Milestones!$AA$24=FT_Y5,EDATE($D130,Milestones!$AA$24)&lt;PolicyEff),1,Milestones!$AC$24)&amp;";  ","")&amp;IF(AND(EDATE($D130,Milestones!$AA$25)&lt;=AsOfDate,EDATE($D130,Milestones!$AA$25)&gt;=SchemeStart,IF($X130=0,$AD130,IF(AND($Z130&lt;&gt;"",EDATE($D130,Milestones!$AA$25)&gt;=$Z130),$AC130,IF(AND($Y130&lt;&gt;"",EDATE($D130,Milestones!$AA$25)&gt;=$Y130),$AB130,$AA130)))=Milestones!$AB$25),UPPER(TEXT(EDATE($D130,Milestones!$AA$25),"dd mmm yy"))&amp;" "&amp;Milestones!$AB$25&amp;" "&amp;IF(AND(Milestones!$AB$25="FT",Milestones!$AA$25=FT_Y5,EDATE($D130,Milestones!$AA$25)&lt;PolicyEff),1,Milestones!$AC$25)&amp;";  ","")&amp;IF(AND(EDATE($D130,Milestones!$AA$26)&lt;=AsOfDate,EDATE($D130,Milestones!$AA$26)&gt;=SchemeStart,IF($X130=0,$AD130,IF(AND($Z130&lt;&gt;"",EDATE($D130,Milestones!$AA$26)&gt;=$Z130),$AC130,IF(AND($Y130&lt;&gt;"",EDATE($D130,Milestones!$AA$26)&gt;=$Y130),$AB130,$AA130)))=Milestones!$AB$26),UPPER(TEXT(EDATE($D130,Milestones!$AA$26),"dd mmm yy"))&amp;" "&amp;Milestones!$AB$26&amp;" "&amp;IF(AND(Milestones!$AB$26="FT",Milestones!$AA$26=FT_Y5,EDATE($D130,Milestones!$AA$26)&lt;PolicyEff),1,Milestones!$AC$26)&amp;";  ","")&amp;IF(AND(EDATE($D130,Milestones!$AA$27)&lt;=AsOfDate,EDATE($D130,Milestones!$AA$27)&gt;=SchemeStart,IF($X130=0,$AD130,IF(AND($Z130&lt;&gt;"",EDATE($D130,Milestones!$AA$27)&gt;=$Z130),$AC130,IF(AND($Y130&lt;&gt;"",EDATE($D130,Milestones!$AA$27)&gt;=$Y130),$AB130,$AA130)))=Milestones!$AB$27),UPPER(TEXT(EDATE($D130,Milestones!$AA$27),"dd mmm yy"))&amp;" "&amp;Milestones!$AB$27&amp;" "&amp;IF(AND(Milestones!$AB$27="FT",Milestones!$AA$27=FT_Y5,EDATE($D130,Milestones!$AA$27)&lt;PolicyEff),1,Milestones!$AC$27)&amp;";  ","")&amp;IF(AND(EDATE($D130,Milestones!$AA$28)&lt;=AsOfDate,EDATE($D130,Milestones!$AA$28)&gt;=SchemeStart,IF($X130=0,$AD130,IF(AND($Z130&lt;&gt;"",EDATE($D130,Milestones!$AA$28)&gt;=$Z130),$AC130,IF(AND($Y130&lt;&gt;"",EDATE($D130,Milestones!$AA$28)&gt;=$Y130),$AB130,$AA130)))=Milestones!$AB$28),UPPER(TEXT(EDATE($D130,Milestones!$AA$28),"dd mmm yy"))&amp;" "&amp;Milestones!$AB$28&amp;" "&amp;IF(AND(Milestones!$AB$28="FT",Milestones!$AA$28=FT_Y5,EDATE($D130,Milestones!$AA$28)&lt;PolicyEff),1,Milestones!$AC$28)&amp;";  ","")&amp;IF(AND(EDATE($D130,Milestones!$AA$29)&lt;=AsOfDate,EDATE($D130,Milestones!$AA$29)&gt;=SchemeStart,IF($X130=0,$AD130,IF(AND($Z130&lt;&gt;"",EDATE($D130,Milestones!$AA$29)&gt;=$Z130),$AC130,IF(AND($Y130&lt;&gt;"",EDATE($D130,Milestones!$AA$29)&gt;=$Y130),$AB130,$AA130)))=Milestones!$AB$29),UPPER(TEXT(EDATE($D130,Milestones!$AA$29),"dd mmm yy"))&amp;" "&amp;Milestones!$AB$29&amp;" "&amp;IF(AND(Milestones!$AB$29="FT",Milestones!$AA$29=FT_Y5,EDATE($D130,Milestones!$AA$29)&lt;PolicyEff),1,Milestones!$AC$29)&amp;";  ","")&amp;IF(AND(EDATE($D130,Milestones!$AA$30)&lt;=AsOfDate,EDATE($D130,Milestones!$AA$30)&gt;=SchemeStart,IF($X130=0,$AD130,IF(AND($Z130&lt;&gt;"",EDATE($D130,Milestones!$AA$30)&gt;=$Z130),$AC130,IF(AND($Y130&lt;&gt;"",EDATE($D130,Milestones!$AA$30)&gt;=$Y130),$AB130,$AA130)))=Milestones!$AB$30),UPPER(TEXT(EDATE($D130,Milestones!$AA$30),"dd mmm yy"))&amp;" "&amp;Milestones!$AB$30&amp;" "&amp;IF(AND(Milestones!$AB$30="FT",Milestones!$AA$30=FT_Y5,EDATE($D130,Milestones!$AA$30)&lt;PolicyEff),1,Milestones!$AC$30)&amp;";  ","")&amp;IF(AND(EDATE($D130,Milestones!$AA$31)&lt;=AsOfDate,EDATE($D130,Milestones!$AA$31)&gt;=SchemeStart,IF($X130=0,$AD130,IF(AND($Z130&lt;&gt;"",EDATE($D130,Milestones!$AA$31)&gt;=$Z130),$AC130,IF(AND($Y130&lt;&gt;"",EDATE($D130,Milestones!$AA$31)&gt;=$Y130),$AB130,$AA130)))=Milestones!$AB$31),UPPER(TEXT(EDATE($D130,Milestones!$AA$31),"dd mmm yy"))&amp;" "&amp;Milestones!$AB$31&amp;" "&amp;IF(AND(Milestones!$AB$31="FT",Milestones!$AA$31=FT_Y5,EDATE($D130,Milestones!$AA$31)&lt;PolicyEff),1,Milestones!$AC$31)&amp;";  ",""))</f>
        <v/>
      </c>
      <c r="J130" s="0" t="str">
        <f aca="false">IF(OR($A130="",$D130=""),"",IF(AND(EDATE($D130,Milestones!$AA$32)&lt;=AsOfDate,EDATE($D130,Milestones!$AA$32)&gt;=SchemeStart,IF($X130=0,$AD130,IF(AND($Z130&lt;&gt;"",EDATE($D130,Milestones!$AA$32)&gt;=$Z130),$AC130,IF(AND($Y130&lt;&gt;"",EDATE($D130,Milestones!$AA$32)&gt;=$Y130),$AB130,$AA130)))=Milestones!$AB$32),UPPER(TEXT(EDATE($D130,Milestones!$AA$32),"dd mmm yy"))&amp;" "&amp;Milestones!$AB$32&amp;" "&amp;IF(AND(Milestones!$AB$32="FT",Milestones!$AA$32=FT_Y5,EDATE($D130,Milestones!$AA$32)&lt;PolicyEff),1,Milestones!$AC$32)&amp;";  ","")&amp;IF(AND(EDATE($D130,Milestones!$AA$33)&lt;=AsOfDate,EDATE($D130,Milestones!$AA$33)&gt;=SchemeStart,IF($X130=0,$AD130,IF(AND($Z130&lt;&gt;"",EDATE($D130,Milestones!$AA$33)&gt;=$Z130),$AC130,IF(AND($Y130&lt;&gt;"",EDATE($D130,Milestones!$AA$33)&gt;=$Y130),$AB130,$AA130)))=Milestones!$AB$33),UPPER(TEXT(EDATE($D130,Milestones!$AA$33),"dd mmm yy"))&amp;" "&amp;Milestones!$AB$33&amp;" "&amp;IF(AND(Milestones!$AB$33="FT",Milestones!$AA$33=FT_Y5,EDATE($D130,Milestones!$AA$33)&lt;PolicyEff),1,Milestones!$AC$33)&amp;";  ","")&amp;IF(AND(EDATE($D130,Milestones!$AA$34)&lt;=AsOfDate,EDATE($D130,Milestones!$AA$34)&gt;=SchemeStart,IF($X130=0,$AD130,IF(AND($Z130&lt;&gt;"",EDATE($D130,Milestones!$AA$34)&gt;=$Z130),$AC130,IF(AND($Y130&lt;&gt;"",EDATE($D130,Milestones!$AA$34)&gt;=$Y130),$AB130,$AA130)))=Milestones!$AB$34),UPPER(TEXT(EDATE($D130,Milestones!$AA$34),"dd mmm yy"))&amp;" "&amp;Milestones!$AB$34&amp;" "&amp;IF(AND(Milestones!$AB$34="FT",Milestones!$AA$34=FT_Y5,EDATE($D130,Milestones!$AA$34)&lt;PolicyEff),1,Milestones!$AC$34)&amp;";  ","")&amp;IF(AND(EDATE($D130,Milestones!$AA$35)&lt;=AsOfDate,EDATE($D130,Milestones!$AA$35)&gt;=SchemeStart,IF($X130=0,$AD130,IF(AND($Z130&lt;&gt;"",EDATE($D130,Milestones!$AA$35)&gt;=$Z130),$AC130,IF(AND($Y130&lt;&gt;"",EDATE($D130,Milestones!$AA$35)&gt;=$Y130),$AB130,$AA130)))=Milestones!$AB$35),UPPER(TEXT(EDATE($D130,Milestones!$AA$35),"dd mmm yy"))&amp;" "&amp;Milestones!$AB$35&amp;" "&amp;IF(AND(Milestones!$AB$35="FT",Milestones!$AA$35=FT_Y5,EDATE($D130,Milestones!$AA$35)&lt;PolicyEff),1,Milestones!$AC$35)&amp;";  ","")&amp;IF(AND(EDATE($D130,Milestones!$AA$36)&lt;=AsOfDate,EDATE($D130,Milestones!$AA$36)&gt;=SchemeStart,IF($X130=0,$AD130,IF(AND($Z130&lt;&gt;"",EDATE($D130,Milestones!$AA$36)&gt;=$Z130),$AC130,IF(AND($Y130&lt;&gt;"",EDATE($D130,Milestones!$AA$36)&gt;=$Y130),$AB130,$AA130)))=Milestones!$AB$36),UPPER(TEXT(EDATE($D130,Milestones!$AA$36),"dd mmm yy"))&amp;" "&amp;Milestones!$AB$36&amp;" "&amp;IF(AND(Milestones!$AB$36="FT",Milestones!$AA$36=FT_Y5,EDATE($D130,Milestones!$AA$36)&lt;PolicyEff),1,Milestones!$AC$36)&amp;";  ","")&amp;IF(AND(EDATE($D130,Milestones!$AA$37)&lt;=AsOfDate,EDATE($D130,Milestones!$AA$37)&gt;=SchemeStart,IF($X130=0,$AD130,IF(AND($Z130&lt;&gt;"",EDATE($D130,Milestones!$AA$37)&gt;=$Z130),$AC130,IF(AND($Y130&lt;&gt;"",EDATE($D130,Milestones!$AA$37)&gt;=$Y130),$AB130,$AA130)))=Milestones!$AB$37),UPPER(TEXT(EDATE($D130,Milestones!$AA$37),"dd mmm yy"))&amp;" "&amp;Milestones!$AB$37&amp;" "&amp;IF(AND(Milestones!$AB$37="FT",Milestones!$AA$37=FT_Y5,EDATE($D130,Milestones!$AA$37)&lt;PolicyEff),1,Milestones!$AC$37)&amp;";  ","")&amp;IF(AND(EDATE($D130,Milestones!$AA$38)&lt;=AsOfDate,EDATE($D130,Milestones!$AA$38)&gt;=SchemeStart,IF($X130=0,$AD130,IF(AND($Z130&lt;&gt;"",EDATE($D130,Milestones!$AA$38)&gt;=$Z130),$AC130,IF(AND($Y130&lt;&gt;"",EDATE($D130,Milestones!$AA$38)&gt;=$Y130),$AB130,$AA130)))=Milestones!$AB$38),UPPER(TEXT(EDATE($D130,Milestones!$AA$38),"dd mmm yy"))&amp;" "&amp;Milestones!$AB$38&amp;" "&amp;IF(AND(Milestones!$AB$38="FT",Milestones!$AA$38=FT_Y5,EDATE($D130,Milestones!$AA$38)&lt;PolicyEff),1,Milestones!$AC$38)&amp;";  ","")&amp;IF(AND(EDATE($D130,Milestones!$AA$39)&lt;=AsOfDate,EDATE($D130,Milestones!$AA$39)&gt;=SchemeStart,IF($X130=0,$AD130,IF(AND($Z130&lt;&gt;"",EDATE($D130,Milestones!$AA$39)&gt;=$Z130),$AC130,IF(AND($Y130&lt;&gt;"",EDATE($D130,Milestones!$AA$39)&gt;=$Y130),$AB130,$AA130)))=Milestones!$AB$39),UPPER(TEXT(EDATE($D130,Milestones!$AA$39),"dd mmm yy"))&amp;" "&amp;Milestones!$AB$39&amp;" "&amp;IF(AND(Milestones!$AB$39="FT",Milestones!$AA$39=FT_Y5,EDATE($D130,Milestones!$AA$39)&lt;PolicyEff),1,Milestones!$AC$39)&amp;";  ","")&amp;IF(AND(EDATE($D130,Milestones!$AA$40)&lt;=AsOfDate,EDATE($D130,Milestones!$AA$40)&gt;=SchemeStart,IF($X130=0,$AD130,IF(AND($Z130&lt;&gt;"",EDATE($D130,Milestones!$AA$40)&gt;=$Z130),$AC130,IF(AND($Y130&lt;&gt;"",EDATE($D130,Milestones!$AA$40)&gt;=$Y130),$AB130,$AA130)))=Milestones!$AB$40),UPPER(TEXT(EDATE($D130,Milestones!$AA$40),"dd mmm yy"))&amp;" "&amp;Milestones!$AB$40&amp;" "&amp;IF(AND(Milestones!$AB$40="FT",Milestones!$AA$40=FT_Y5,EDATE($D130,Milestones!$AA$40)&lt;PolicyEff),1,Milestones!$AC$40)&amp;";  ","")&amp;IF(AND(EDATE($D130,Milestones!$AA$41)&lt;=AsOfDate,EDATE($D130,Milestones!$AA$41)&gt;=SchemeStart,IF($X130=0,$AD130,IF(AND($Z130&lt;&gt;"",EDATE($D130,Milestones!$AA$41)&gt;=$Z130),$AC130,IF(AND($Y130&lt;&gt;"",EDATE($D130,Milestones!$AA$41)&gt;=$Y130),$AB130,$AA130)))=Milestones!$AB$41),UPPER(TEXT(EDATE($D130,Milestones!$AA$41),"dd mmm yy"))&amp;" "&amp;Milestones!$AB$41&amp;" "&amp;IF(AND(Milestones!$AB$41="FT",Milestones!$AA$41=FT_Y5,EDATE($D130,Milestones!$AA$41)&lt;PolicyEff),1,Milestones!$AC$41)&amp;";  ","")&amp;IF(AND(EDATE($D130,Milestones!$AA$42)&lt;=AsOfDate,EDATE($D130,Milestones!$AA$42)&gt;=SchemeStart,IF($X130=0,$AD130,IF(AND($Z130&lt;&gt;"",EDATE($D130,Milestones!$AA$42)&gt;=$Z130),$AC130,IF(AND($Y130&lt;&gt;"",EDATE($D130,Milestones!$AA$42)&gt;=$Y130),$AB130,$AA130)))=Milestones!$AB$42),UPPER(TEXT(EDATE($D130,Milestones!$AA$42),"dd mmm yy"))&amp;" "&amp;Milestones!$AB$42&amp;" "&amp;IF(AND(Milestones!$AB$42="FT",Milestones!$AA$42=FT_Y5,EDATE($D130,Milestones!$AA$42)&lt;PolicyEff),1,Milestones!$AC$42)&amp;";  ","")&amp;IF(AND(EDATE($D130,Milestones!$AA$43)&lt;=AsOfDate,EDATE($D130,Milestones!$AA$43)&gt;=SchemeStart,IF($X130=0,$AD130,IF(AND($Z130&lt;&gt;"",EDATE($D130,Milestones!$AA$43)&gt;=$Z130),$AC130,IF(AND($Y130&lt;&gt;"",EDATE($D130,Milestones!$AA$43)&gt;=$Y130),$AB130,$AA130)))=Milestones!$AB$43),UPPER(TEXT(EDATE($D130,Milestones!$AA$43),"dd mmm yy"))&amp;" "&amp;Milestones!$AB$43&amp;" "&amp;IF(AND(Milestones!$AB$43="FT",Milestones!$AA$43=FT_Y5,EDATE($D130,Milestones!$AA$43)&lt;PolicyEff),1,Milestones!$AC$43)&amp;";  ",""))</f>
        <v/>
      </c>
      <c r="K130" s="0" t="str">
        <f aca="false">IF(OR($A130="",$D130=""),"",IF(AND(EDATE($D130,Milestones!$AA$44)&lt;=AsOfDate,EDATE($D130,Milestones!$AA$44)&gt;=SchemeStart,IF($X130=0,$AD130,IF(AND($Z130&lt;&gt;"",EDATE($D130,Milestones!$AA$44)&gt;=$Z130),$AC130,IF(AND($Y130&lt;&gt;"",EDATE($D130,Milestones!$AA$44)&gt;=$Y130),$AB130,$AA130)))=Milestones!$AB$44),UPPER(TEXT(EDATE($D130,Milestones!$AA$44),"dd mmm yy"))&amp;" "&amp;Milestones!$AB$44&amp;" "&amp;IF(AND(Milestones!$AB$44="FT",Milestones!$AA$44=FT_Y5,EDATE($D130,Milestones!$AA$44)&lt;PolicyEff),1,Milestones!$AC$44)&amp;";  ","")&amp;IF(AND(EDATE($D130,Milestones!$AA$45)&lt;=AsOfDate,EDATE($D130,Milestones!$AA$45)&gt;=SchemeStart,IF($X130=0,$AD130,IF(AND($Z130&lt;&gt;"",EDATE($D130,Milestones!$AA$45)&gt;=$Z130),$AC130,IF(AND($Y130&lt;&gt;"",EDATE($D130,Milestones!$AA$45)&gt;=$Y130),$AB130,$AA130)))=Milestones!$AB$45),UPPER(TEXT(EDATE($D130,Milestones!$AA$45),"dd mmm yy"))&amp;" "&amp;Milestones!$AB$45&amp;" "&amp;IF(AND(Milestones!$AB$45="FT",Milestones!$AA$45=FT_Y5,EDATE($D130,Milestones!$AA$45)&lt;PolicyEff),1,Milestones!$AC$45)&amp;";  ","")&amp;IF(AND(EDATE($D130,Milestones!$AA$46)&lt;=AsOfDate,EDATE($D130,Milestones!$AA$46)&gt;=SchemeStart,IF($X130=0,$AD130,IF(AND($Z130&lt;&gt;"",EDATE($D130,Milestones!$AA$46)&gt;=$Z130),$AC130,IF(AND($Y130&lt;&gt;"",EDATE($D130,Milestones!$AA$46)&gt;=$Y130),$AB130,$AA130)))=Milestones!$AB$46),UPPER(TEXT(EDATE($D130,Milestones!$AA$46),"dd mmm yy"))&amp;" "&amp;Milestones!$AB$46&amp;" "&amp;IF(AND(Milestones!$AB$46="FT",Milestones!$AA$46=FT_Y5,EDATE($D130,Milestones!$AA$46)&lt;PolicyEff),1,Milestones!$AC$46)&amp;";  ","")&amp;IF(AND(EDATE($D130,Milestones!$AA$47)&lt;=AsOfDate,EDATE($D130,Milestones!$AA$47)&gt;=SchemeStart,IF($X130=0,$AD130,IF(AND($Z130&lt;&gt;"",EDATE($D130,Milestones!$AA$47)&gt;=$Z130),$AC130,IF(AND($Y130&lt;&gt;"",EDATE($D130,Milestones!$AA$47)&gt;=$Y130),$AB130,$AA130)))=Milestones!$AB$47),UPPER(TEXT(EDATE($D130,Milestones!$AA$47),"dd mmm yy"))&amp;" "&amp;Milestones!$AB$47&amp;" "&amp;IF(AND(Milestones!$AB$47="FT",Milestones!$AA$47=FT_Y5,EDATE($D130,Milestones!$AA$47)&lt;PolicyEff),1,Milestones!$AC$47)&amp;";  ","")&amp;IF(AND(EDATE($D130,Milestones!$AA$48)&lt;=AsOfDate,EDATE($D130,Milestones!$AA$48)&gt;=SchemeStart,IF($X130=0,$AD130,IF(AND($Z130&lt;&gt;"",EDATE($D130,Milestones!$AA$48)&gt;=$Z130),$AC130,IF(AND($Y130&lt;&gt;"",EDATE($D130,Milestones!$AA$48)&gt;=$Y130),$AB130,$AA130)))=Milestones!$AB$48),UPPER(TEXT(EDATE($D130,Milestones!$AA$48),"dd mmm yy"))&amp;" "&amp;Milestones!$AB$48&amp;" "&amp;IF(AND(Milestones!$AB$48="FT",Milestones!$AA$48=FT_Y5,EDATE($D130,Milestones!$AA$48)&lt;PolicyEff),1,Milestones!$AC$48)&amp;";  ","")&amp;IF(AND(EDATE($D130,Milestones!$AA$49)&lt;=AsOfDate,EDATE($D130,Milestones!$AA$49)&gt;=SchemeStart,IF($X130=0,$AD130,IF(AND($Z130&lt;&gt;"",EDATE($D130,Milestones!$AA$49)&gt;=$Z130),$AC130,IF(AND($Y130&lt;&gt;"",EDATE($D130,Milestones!$AA$49)&gt;=$Y130),$AB130,$AA130)))=Milestones!$AB$49),UPPER(TEXT(EDATE($D130,Milestones!$AA$49),"dd mmm yy"))&amp;" "&amp;Milestones!$AB$49&amp;" "&amp;IF(AND(Milestones!$AB$49="FT",Milestones!$AA$49=FT_Y5,EDATE($D130,Milestones!$AA$49)&lt;PolicyEff),1,Milestones!$AC$49)&amp;";  ","")&amp;IF(AND(EDATE($D130,Milestones!$AA$50)&lt;=AsOfDate,EDATE($D130,Milestones!$AA$50)&gt;=SchemeStart,IF($X130=0,$AD130,IF(AND($Z130&lt;&gt;"",EDATE($D130,Milestones!$AA$50)&gt;=$Z130),$AC130,IF(AND($Y130&lt;&gt;"",EDATE($D130,Milestones!$AA$50)&gt;=$Y130),$AB130,$AA130)))=Milestones!$AB$50),UPPER(TEXT(EDATE($D130,Milestones!$AA$50),"dd mmm yy"))&amp;" "&amp;Milestones!$AB$50&amp;" "&amp;IF(AND(Milestones!$AB$50="FT",Milestones!$AA$50=FT_Y5,EDATE($D130,Milestones!$AA$50)&lt;PolicyEff),1,Milestones!$AC$50)&amp;";  ","")&amp;IF(AND(EDATE($D130,Milestones!$AA$51)&lt;=AsOfDate,EDATE($D130,Milestones!$AA$51)&gt;=SchemeStart,IF($X130=0,$AD130,IF(AND($Z130&lt;&gt;"",EDATE($D130,Milestones!$AA$51)&gt;=$Z130),$AC130,IF(AND($Y130&lt;&gt;"",EDATE($D130,Milestones!$AA$51)&gt;=$Y130),$AB130,$AA130)))=Milestones!$AB$51),UPPER(TEXT(EDATE($D130,Milestones!$AA$51),"dd mmm yy"))&amp;" "&amp;Milestones!$AB$51&amp;" "&amp;IF(AND(Milestones!$AB$51="FT",Milestones!$AA$51=FT_Y5,EDATE($D130,Milestones!$AA$51)&lt;PolicyEff),1,Milestones!$AC$51)&amp;";  ","")&amp;IF(AND(EDATE($D130,Milestones!$AA$52)&lt;=AsOfDate,EDATE($D130,Milestones!$AA$52)&gt;=SchemeStart,IF($X130=0,$AD130,IF(AND($Z130&lt;&gt;"",EDATE($D130,Milestones!$AA$52)&gt;=$Z130),$AC130,IF(AND($Y130&lt;&gt;"",EDATE($D130,Milestones!$AA$52)&gt;=$Y130),$AB130,$AA130)))=Milestones!$AB$52),UPPER(TEXT(EDATE($D130,Milestones!$AA$52),"dd mmm yy"))&amp;" "&amp;Milestones!$AB$52&amp;" "&amp;IF(AND(Milestones!$AB$52="FT",Milestones!$AA$52=FT_Y5,EDATE($D130,Milestones!$AA$52)&lt;PolicyEff),1,Milestones!$AC$52)&amp;";  ","")&amp;IF(AND(EDATE($D130,Milestones!$AA$53)&lt;=AsOfDate,EDATE($D130,Milestones!$AA$53)&gt;=SchemeStart,IF($X130=0,$AD130,IF(AND($Z130&lt;&gt;"",EDATE($D130,Milestones!$AA$53)&gt;=$Z130),$AC130,IF(AND($Y130&lt;&gt;"",EDATE($D130,Milestones!$AA$53)&gt;=$Y130),$AB130,$AA130)))=Milestones!$AB$53),UPPER(TEXT(EDATE($D130,Milestones!$AA$53),"dd mmm yy"))&amp;" "&amp;Milestones!$AB$53&amp;" "&amp;IF(AND(Milestones!$AB$53="FT",Milestones!$AA$53=FT_Y5,EDATE($D130,Milestones!$AA$53)&lt;PolicyEff),1,Milestones!$AC$53)&amp;";  ","")&amp;IF(AND(EDATE($D130,Milestones!$AA$54)&lt;=AsOfDate,EDATE($D130,Milestones!$AA$54)&gt;=SchemeStart,IF($X130=0,$AD130,IF(AND($Z130&lt;&gt;"",EDATE($D130,Milestones!$AA$54)&gt;=$Z130),$AC130,IF(AND($Y130&lt;&gt;"",EDATE($D130,Milestones!$AA$54)&gt;=$Y130),$AB130,$AA130)))=Milestones!$AB$54),UPPER(TEXT(EDATE($D130,Milestones!$AA$54),"dd mmm yy"))&amp;" "&amp;Milestones!$AB$54&amp;" "&amp;IF(AND(Milestones!$AB$54="FT",Milestones!$AA$54=FT_Y5,EDATE($D130,Milestones!$AA$54)&lt;PolicyEff),1,Milestones!$AC$54)&amp;";  ","")&amp;IF(AND(EDATE($D130,Milestones!$AA$55)&lt;=AsOfDate,EDATE($D130,Milestones!$AA$55)&gt;=SchemeStart,IF($X130=0,$AD130,IF(AND($Z130&lt;&gt;"",EDATE($D130,Milestones!$AA$55)&gt;=$Z130),$AC130,IF(AND($Y130&lt;&gt;"",EDATE($D130,Milestones!$AA$55)&gt;=$Y130),$AB130,$AA130)))=Milestones!$AB$55),UPPER(TEXT(EDATE($D130,Milestones!$AA$55),"dd mmm yy"))&amp;" "&amp;Milestones!$AB$55&amp;" "&amp;IF(AND(Milestones!$AB$55="FT",Milestones!$AA$55=FT_Y5,EDATE($D130,Milestones!$AA$55)&lt;PolicyEff),1,Milestones!$AC$55)&amp;";  ",""))</f>
        <v/>
      </c>
      <c r="L130" s="0" t="str">
        <f aca="false">IF(OR($A130="",$D130=""),"",IF(AND(EDATE($D130,Milestones!$AA$56)&lt;=AsOfDate,EDATE($D130,Milestones!$AA$56)&gt;=SchemeStart,IF($X130=0,$AD130,IF(AND($Z130&lt;&gt;"",EDATE($D130,Milestones!$AA$56)&gt;=$Z130),$AC130,IF(AND($Y130&lt;&gt;"",EDATE($D130,Milestones!$AA$56)&gt;=$Y130),$AB130,$AA130)))=Milestones!$AB$56),UPPER(TEXT(EDATE($D130,Milestones!$AA$56),"dd mmm yy"))&amp;" "&amp;Milestones!$AB$56&amp;" "&amp;IF(AND(Milestones!$AB$56="FT",Milestones!$AA$56=FT_Y5,EDATE($D130,Milestones!$AA$56)&lt;PolicyEff),1,Milestones!$AC$56)&amp;";  ","")&amp;IF(AND(EDATE($D130,Milestones!$AA$57)&lt;=AsOfDate,EDATE($D130,Milestones!$AA$57)&gt;=SchemeStart,IF($X130=0,$AD130,IF(AND($Z130&lt;&gt;"",EDATE($D130,Milestones!$AA$57)&gt;=$Z130),$AC130,IF(AND($Y130&lt;&gt;"",EDATE($D130,Milestones!$AA$57)&gt;=$Y130),$AB130,$AA130)))=Milestones!$AB$57),UPPER(TEXT(EDATE($D130,Milestones!$AA$57),"dd mmm yy"))&amp;" "&amp;Milestones!$AB$57&amp;" "&amp;IF(AND(Milestones!$AB$57="FT",Milestones!$AA$57=FT_Y5,EDATE($D130,Milestones!$AA$57)&lt;PolicyEff),1,Milestones!$AC$57)&amp;";  ","")&amp;IF(AND(EDATE($D130,Milestones!$AA$58)&lt;=AsOfDate,EDATE($D130,Milestones!$AA$58)&gt;=SchemeStart,IF($X130=0,$AD130,IF(AND($Z130&lt;&gt;"",EDATE($D130,Milestones!$AA$58)&gt;=$Z130),$AC130,IF(AND($Y130&lt;&gt;"",EDATE($D130,Milestones!$AA$58)&gt;=$Y130),$AB130,$AA130)))=Milestones!$AB$58),UPPER(TEXT(EDATE($D130,Milestones!$AA$58),"dd mmm yy"))&amp;" "&amp;Milestones!$AB$58&amp;" "&amp;IF(AND(Milestones!$AB$58="FT",Milestones!$AA$58=FT_Y5,EDATE($D130,Milestones!$AA$58)&lt;PolicyEff),1,Milestones!$AC$58)&amp;";  ","")&amp;IF(AND(EDATE($D130,Milestones!$AA$59)&lt;=AsOfDate,EDATE($D130,Milestones!$AA$59)&gt;=SchemeStart,IF($X130=0,$AD130,IF(AND($Z130&lt;&gt;"",EDATE($D130,Milestones!$AA$59)&gt;=$Z130),$AC130,IF(AND($Y130&lt;&gt;"",EDATE($D130,Milestones!$AA$59)&gt;=$Y130),$AB130,$AA130)))=Milestones!$AB$59),UPPER(TEXT(EDATE($D130,Milestones!$AA$59),"dd mmm yy"))&amp;" "&amp;Milestones!$AB$59&amp;" "&amp;IF(AND(Milestones!$AB$59="FT",Milestones!$AA$59=FT_Y5,EDATE($D130,Milestones!$AA$59)&lt;PolicyEff),1,Milestones!$AC$59)&amp;";  ","")&amp;IF(AND(EDATE($D130,Milestones!$AA$60)&lt;=AsOfDate,EDATE($D130,Milestones!$AA$60)&gt;=SchemeStart,IF($X130=0,$AD130,IF(AND($Z130&lt;&gt;"",EDATE($D130,Milestones!$AA$60)&gt;=$Z130),$AC130,IF(AND($Y130&lt;&gt;"",EDATE($D130,Milestones!$AA$60)&gt;=$Y130),$AB130,$AA130)))=Milestones!$AB$60),UPPER(TEXT(EDATE($D130,Milestones!$AA$60),"dd mmm yy"))&amp;" "&amp;Milestones!$AB$60&amp;" "&amp;IF(AND(Milestones!$AB$60="FT",Milestones!$AA$60=FT_Y5,EDATE($D130,Milestones!$AA$60)&lt;PolicyEff),1,Milestones!$AC$60)&amp;";  ","")&amp;IF(AND(EDATE($D130,Milestones!$AA$61)&lt;=AsOfDate,EDATE($D130,Milestones!$AA$61)&gt;=SchemeStart,IF($X130=0,$AD130,IF(AND($Z130&lt;&gt;"",EDATE($D130,Milestones!$AA$61)&gt;=$Z130),$AC130,IF(AND($Y130&lt;&gt;"",EDATE($D130,Milestones!$AA$61)&gt;=$Y130),$AB130,$AA130)))=Milestones!$AB$61),UPPER(TEXT(EDATE($D130,Milestones!$AA$61),"dd mmm yy"))&amp;" "&amp;Milestones!$AB$61&amp;" "&amp;IF(AND(Milestones!$AB$61="FT",Milestones!$AA$61=FT_Y5,EDATE($D130,Milestones!$AA$61)&lt;PolicyEff),1,Milestones!$AC$61)&amp;";  ","")&amp;IF(AND(EDATE($D130,Milestones!$AA$62)&lt;=AsOfDate,EDATE($D130,Milestones!$AA$62)&gt;=SchemeStart,IF($X130=0,$AD130,IF(AND($Z130&lt;&gt;"",EDATE($D130,Milestones!$AA$62)&gt;=$Z130),$AC130,IF(AND($Y130&lt;&gt;"",EDATE($D130,Milestones!$AA$62)&gt;=$Y130),$AB130,$AA130)))=Milestones!$AB$62),UPPER(TEXT(EDATE($D130,Milestones!$AA$62),"dd mmm yy"))&amp;" "&amp;Milestones!$AB$62&amp;" "&amp;IF(AND(Milestones!$AB$62="FT",Milestones!$AA$62=FT_Y5,EDATE($D130,Milestones!$AA$62)&lt;PolicyEff),1,Milestones!$AC$62)&amp;";  ","")&amp;IF(AND(EDATE($D130,Milestones!$AA$63)&lt;=AsOfDate,EDATE($D130,Milestones!$AA$63)&gt;=SchemeStart,IF($X130=0,$AD130,IF(AND($Z130&lt;&gt;"",EDATE($D130,Milestones!$AA$63)&gt;=$Z130),$AC130,IF(AND($Y130&lt;&gt;"",EDATE($D130,Milestones!$AA$63)&gt;=$Y130),$AB130,$AA130)))=Milestones!$AB$63),UPPER(TEXT(EDATE($D130,Milestones!$AA$63),"dd mmm yy"))&amp;" "&amp;Milestones!$AB$63&amp;" "&amp;IF(AND(Milestones!$AB$63="FT",Milestones!$AA$63=FT_Y5,EDATE($D130,Milestones!$AA$63)&lt;PolicyEff),1,Milestones!$AC$63)&amp;";  ","")&amp;IF(AND(EDATE($D130,Milestones!$AA$64)&lt;=AsOfDate,EDATE($D130,Milestones!$AA$64)&gt;=SchemeStart,IF($X130=0,$AD130,IF(AND($Z130&lt;&gt;"",EDATE($D130,Milestones!$AA$64)&gt;=$Z130),$AC130,IF(AND($Y130&lt;&gt;"",EDATE($D130,Milestones!$AA$64)&gt;=$Y130),$AB130,$AA130)))=Milestones!$AB$64),UPPER(TEXT(EDATE($D130,Milestones!$AA$64),"dd mmm yy"))&amp;" "&amp;Milestones!$AB$64&amp;" "&amp;IF(AND(Milestones!$AB$64="FT",Milestones!$AA$64=FT_Y5,EDATE($D130,Milestones!$AA$64)&lt;PolicyEff),1,Milestones!$AC$64)&amp;";  ","")&amp;IF(AND(EDATE($D130,Milestones!$AA$65)&lt;=AsOfDate,EDATE($D130,Milestones!$AA$65)&gt;=SchemeStart,IF($X130=0,$AD130,IF(AND($Z130&lt;&gt;"",EDATE($D130,Milestones!$AA$65)&gt;=$Z130),$AC130,IF(AND($Y130&lt;&gt;"",EDATE($D130,Milestones!$AA$65)&gt;=$Y130),$AB130,$AA130)))=Milestones!$AB$65),UPPER(TEXT(EDATE($D130,Milestones!$AA$65),"dd mmm yy"))&amp;" "&amp;Milestones!$AB$65&amp;" "&amp;IF(AND(Milestones!$AB$65="FT",Milestones!$AA$65=FT_Y5,EDATE($D130,Milestones!$AA$65)&lt;PolicyEff),1,Milestones!$AC$65)&amp;";  ","")&amp;IF(AND(EDATE($D130,Milestones!$AA$66)&lt;=AsOfDate,EDATE($D130,Milestones!$AA$66)&gt;=SchemeStart,IF($X130=0,$AD130,IF(AND($Z130&lt;&gt;"",EDATE($D130,Milestones!$AA$66)&gt;=$Z130),$AC130,IF(AND($Y130&lt;&gt;"",EDATE($D130,Milestones!$AA$66)&gt;=$Y130),$AB130,$AA130)))=Milestones!$AB$66),UPPER(TEXT(EDATE($D130,Milestones!$AA$66),"dd mmm yy"))&amp;" "&amp;Milestones!$AB$66&amp;" "&amp;IF(AND(Milestones!$AB$66="FT",Milestones!$AA$66=FT_Y5,EDATE($D130,Milestones!$AA$66)&lt;PolicyEff),1,Milestones!$AC$66)&amp;";  ","")&amp;IF(AND(EDATE($D130,Milestones!$AA$67)&lt;=AsOfDate,EDATE($D130,Milestones!$AA$67)&gt;=SchemeStart,IF($X130=0,$AD130,IF(AND($Z130&lt;&gt;"",EDATE($D130,Milestones!$AA$67)&gt;=$Z130),$AC130,IF(AND($Y130&lt;&gt;"",EDATE($D130,Milestones!$AA$67)&gt;=$Y130),$AB130,$AA130)))=Milestones!$AB$67),UPPER(TEXT(EDATE($D130,Milestones!$AA$67),"dd mmm yy"))&amp;" "&amp;Milestones!$AB$67&amp;" "&amp;IF(AND(Milestones!$AB$67="FT",Milestones!$AA$67=FT_Y5,EDATE($D130,Milestones!$AA$67)&lt;PolicyEff),1,Milestones!$AC$67)&amp;";  ",""))</f>
        <v/>
      </c>
      <c r="M130" s="0" t="str">
        <f aca="false">IF(OR($A130="",$D130=""),"",IF(AND(EDATE($D130,Milestones!$AA$68)&lt;=AsOfDate,EDATE($D130,Milestones!$AA$68)&gt;=SchemeStart,IF($X130=0,$AD130,IF(AND($Z130&lt;&gt;"",EDATE($D130,Milestones!$AA$68)&gt;=$Z130),$AC130,IF(AND($Y130&lt;&gt;"",EDATE($D130,Milestones!$AA$68)&gt;=$Y130),$AB130,$AA130)))=Milestones!$AB$68),UPPER(TEXT(EDATE($D130,Milestones!$AA$68),"dd mmm yy"))&amp;" "&amp;Milestones!$AB$68&amp;" "&amp;IF(AND(Milestones!$AB$68="FT",Milestones!$AA$68=FT_Y5,EDATE($D130,Milestones!$AA$68)&lt;PolicyEff),1,Milestones!$AC$68)&amp;";  ","")&amp;IF(AND(EDATE($D130,Milestones!$AA$69)&lt;=AsOfDate,EDATE($D130,Milestones!$AA$69)&gt;=SchemeStart,IF($X130=0,$AD130,IF(AND($Z130&lt;&gt;"",EDATE($D130,Milestones!$AA$69)&gt;=$Z130),$AC130,IF(AND($Y130&lt;&gt;"",EDATE($D130,Milestones!$AA$69)&gt;=$Y130),$AB130,$AA130)))=Milestones!$AB$69),UPPER(TEXT(EDATE($D130,Milestones!$AA$69),"dd mmm yy"))&amp;" "&amp;Milestones!$AB$69&amp;" "&amp;IF(AND(Milestones!$AB$69="FT",Milestones!$AA$69=FT_Y5,EDATE($D130,Milestones!$AA$69)&lt;PolicyEff),1,Milestones!$AC$69)&amp;";  ","")&amp;IF(AND(EDATE($D130,Milestones!$AA$70)&lt;=AsOfDate,EDATE($D130,Milestones!$AA$70)&gt;=SchemeStart,IF($X130=0,$AD130,IF(AND($Z130&lt;&gt;"",EDATE($D130,Milestones!$AA$70)&gt;=$Z130),$AC130,IF(AND($Y130&lt;&gt;"",EDATE($D130,Milestones!$AA$70)&gt;=$Y130),$AB130,$AA130)))=Milestones!$AB$70),UPPER(TEXT(EDATE($D130,Milestones!$AA$70),"dd mmm yy"))&amp;" "&amp;Milestones!$AB$70&amp;" "&amp;IF(AND(Milestones!$AB$70="FT",Milestones!$AA$70=FT_Y5,EDATE($D130,Milestones!$AA$70)&lt;PolicyEff),1,Milestones!$AC$70)&amp;";  ","")&amp;IF(AND(EDATE($D130,Milestones!$AA$71)&lt;=AsOfDate,EDATE($D130,Milestones!$AA$71)&gt;=SchemeStart,IF($X130=0,$AD130,IF(AND($Z130&lt;&gt;"",EDATE($D130,Milestones!$AA$71)&gt;=$Z130),$AC130,IF(AND($Y130&lt;&gt;"",EDATE($D130,Milestones!$AA$71)&gt;=$Y130),$AB130,$AA130)))=Milestones!$AB$71),UPPER(TEXT(EDATE($D130,Milestones!$AA$71),"dd mmm yy"))&amp;" "&amp;Milestones!$AB$71&amp;" "&amp;IF(AND(Milestones!$AB$71="FT",Milestones!$AA$71=FT_Y5,EDATE($D130,Milestones!$AA$71)&lt;PolicyEff),1,Milestones!$AC$71)&amp;";  ","")&amp;IF(AND(EDATE($D130,Milestones!$AA$72)&lt;=AsOfDate,EDATE($D130,Milestones!$AA$72)&gt;=SchemeStart,IF($X130=0,$AD130,IF(AND($Z130&lt;&gt;"",EDATE($D130,Milestones!$AA$72)&gt;=$Z130),$AC130,IF(AND($Y130&lt;&gt;"",EDATE($D130,Milestones!$AA$72)&gt;=$Y130),$AB130,$AA130)))=Milestones!$AB$72),UPPER(TEXT(EDATE($D130,Milestones!$AA$72),"dd mmm yy"))&amp;" "&amp;Milestones!$AB$72&amp;" "&amp;IF(AND(Milestones!$AB$72="FT",Milestones!$AA$72=FT_Y5,EDATE($D130,Milestones!$AA$72)&lt;PolicyEff),1,Milestones!$AC$72)&amp;";  ","")&amp;IF(AND(EDATE($D130,Milestones!$AA$73)&lt;=AsOfDate,EDATE($D130,Milestones!$AA$73)&gt;=SchemeStart,IF($X130=0,$AD130,IF(AND($Z130&lt;&gt;"",EDATE($D130,Milestones!$AA$73)&gt;=$Z130),$AC130,IF(AND($Y130&lt;&gt;"",EDATE($D130,Milestones!$AA$73)&gt;=$Y130),$AB130,$AA130)))=Milestones!$AB$73),UPPER(TEXT(EDATE($D130,Milestones!$AA$73),"dd mmm yy"))&amp;" "&amp;Milestones!$AB$73&amp;" "&amp;IF(AND(Milestones!$AB$73="FT",Milestones!$AA$73=FT_Y5,EDATE($D130,Milestones!$AA$73)&lt;PolicyEff),1,Milestones!$AC$73)&amp;";  ","")&amp;IF(AND(EDATE($D130,Milestones!$AA$74)&lt;=AsOfDate,EDATE($D130,Milestones!$AA$74)&gt;=SchemeStart,IF($X130=0,$AD130,IF(AND($Z130&lt;&gt;"",EDATE($D130,Milestones!$AA$74)&gt;=$Z130),$AC130,IF(AND($Y130&lt;&gt;"",EDATE($D130,Milestones!$AA$74)&gt;=$Y130),$AB130,$AA130)))=Milestones!$AB$74),UPPER(TEXT(EDATE($D130,Milestones!$AA$74),"dd mmm yy"))&amp;" "&amp;Milestones!$AB$74&amp;" "&amp;IF(AND(Milestones!$AB$74="FT",Milestones!$AA$74=FT_Y5,EDATE($D130,Milestones!$AA$74)&lt;PolicyEff),1,Milestones!$AC$74)&amp;";  ","")&amp;IF(AND(EDATE($D130,Milestones!$AA$75)&lt;=AsOfDate,EDATE($D130,Milestones!$AA$75)&gt;=SchemeStart,IF($X130=0,$AD130,IF(AND($Z130&lt;&gt;"",EDATE($D130,Milestones!$AA$75)&gt;=$Z130),$AC130,IF(AND($Y130&lt;&gt;"",EDATE($D130,Milestones!$AA$75)&gt;=$Y130),$AB130,$AA130)))=Milestones!$AB$75),UPPER(TEXT(EDATE($D130,Milestones!$AA$75),"dd mmm yy"))&amp;" "&amp;Milestones!$AB$75&amp;" "&amp;IF(AND(Milestones!$AB$75="FT",Milestones!$AA$75=FT_Y5,EDATE($D130,Milestones!$AA$75)&lt;PolicyEff),1,Milestones!$AC$75)&amp;";  ","")&amp;IF(AND(EDATE($D130,Milestones!$AA$76)&lt;=AsOfDate,EDATE($D130,Milestones!$AA$76)&gt;=SchemeStart,IF($X130=0,$AD130,IF(AND($Z130&lt;&gt;"",EDATE($D130,Milestones!$AA$76)&gt;=$Z130),$AC130,IF(AND($Y130&lt;&gt;"",EDATE($D130,Milestones!$AA$76)&gt;=$Y130),$AB130,$AA130)))=Milestones!$AB$76),UPPER(TEXT(EDATE($D130,Milestones!$AA$76),"dd mmm yy"))&amp;" "&amp;Milestones!$AB$76&amp;" "&amp;IF(AND(Milestones!$AB$76="FT",Milestones!$AA$76=FT_Y5,EDATE($D130,Milestones!$AA$76)&lt;PolicyEff),1,Milestones!$AC$76)&amp;";  ","")&amp;IF(AND(EDATE($D130,Milestones!$AA$77)&lt;=AsOfDate,EDATE($D130,Milestones!$AA$77)&gt;=SchemeStart,IF($X130=0,$AD130,IF(AND($Z130&lt;&gt;"",EDATE($D130,Milestones!$AA$77)&gt;=$Z130),$AC130,IF(AND($Y130&lt;&gt;"",EDATE($D130,Milestones!$AA$77)&gt;=$Y130),$AB130,$AA130)))=Milestones!$AB$77),UPPER(TEXT(EDATE($D130,Milestones!$AA$77),"dd mmm yy"))&amp;" "&amp;Milestones!$AB$77&amp;" "&amp;IF(AND(Milestones!$AB$77="FT",Milestones!$AA$77=FT_Y5,EDATE($D130,Milestones!$AA$77)&lt;PolicyEff),1,Milestones!$AC$77)&amp;";  ","")&amp;IF(AND(EDATE($D130,Milestones!$AA$78)&lt;=AsOfDate,EDATE($D130,Milestones!$AA$78)&gt;=SchemeStart,IF($X130=0,$AD130,IF(AND($Z130&lt;&gt;"",EDATE($D130,Milestones!$AA$78)&gt;=$Z130),$AC130,IF(AND($Y130&lt;&gt;"",EDATE($D130,Milestones!$AA$78)&gt;=$Y130),$AB130,$AA130)))=Milestones!$AB$78),UPPER(TEXT(EDATE($D130,Milestones!$AA$78),"dd mmm yy"))&amp;" "&amp;Milestones!$AB$78&amp;" "&amp;IF(AND(Milestones!$AB$78="FT",Milestones!$AA$78=FT_Y5,EDATE($D130,Milestones!$AA$78)&lt;PolicyEff),1,Milestones!$AC$78)&amp;";  ","")&amp;IF(AND(EDATE($D130,Milestones!$AA$79)&lt;=AsOfDate,EDATE($D130,Milestones!$AA$79)&gt;=SchemeStart,IF($X130=0,$AD130,IF(AND($Z130&lt;&gt;"",EDATE($D130,Milestones!$AA$79)&gt;=$Z130),$AC130,IF(AND($Y130&lt;&gt;"",EDATE($D130,Milestones!$AA$79)&gt;=$Y130),$AB130,$AA130)))=Milestones!$AB$79),UPPER(TEXT(EDATE($D130,Milestones!$AA$79),"dd mmm yy"))&amp;" "&amp;Milestones!$AB$79&amp;" "&amp;IF(AND(Milestones!$AB$79="FT",Milestones!$AA$79=FT_Y5,EDATE($D130,Milestones!$AA$79)&lt;PolicyEff),1,Milestones!$AC$79)&amp;";  ",""))</f>
        <v/>
      </c>
      <c r="N130" s="0" t="str">
        <f aca="false">IF(OR($A130="",$D130=""),"",IF(AND(EDATE($D130,Milestones!$AA$80)&lt;=AsOfDate,EDATE($D130,Milestones!$AA$80)&gt;=SchemeStart,IF($X130=0,$AD130,IF(AND($Z130&lt;&gt;"",EDATE($D130,Milestones!$AA$80)&gt;=$Z130),$AC130,IF(AND($Y130&lt;&gt;"",EDATE($D130,Milestones!$AA$80)&gt;=$Y130),$AB130,$AA130)))=Milestones!$AB$80),UPPER(TEXT(EDATE($D130,Milestones!$AA$80),"dd mmm yy"))&amp;" "&amp;Milestones!$AB$80&amp;" "&amp;IF(AND(Milestones!$AB$80="FT",Milestones!$AA$80=FT_Y5,EDATE($D130,Milestones!$AA$80)&lt;PolicyEff),1,Milestones!$AC$80)&amp;";  ","")&amp;IF(AND(EDATE($D130,Milestones!$AA$81)&lt;=AsOfDate,EDATE($D130,Milestones!$AA$81)&gt;=SchemeStart,IF($X130=0,$AD130,IF(AND($Z130&lt;&gt;"",EDATE($D130,Milestones!$AA$81)&gt;=$Z130),$AC130,IF(AND($Y130&lt;&gt;"",EDATE($D130,Milestones!$AA$81)&gt;=$Y130),$AB130,$AA130)))=Milestones!$AB$81),UPPER(TEXT(EDATE($D130,Milestones!$AA$81),"dd mmm yy"))&amp;" "&amp;Milestones!$AB$81&amp;" "&amp;IF(AND(Milestones!$AB$81="FT",Milestones!$AA$81=FT_Y5,EDATE($D130,Milestones!$AA$81)&lt;PolicyEff),1,Milestones!$AC$81)&amp;";  ","")&amp;IF(AND(EDATE($D130,Milestones!$AA$82)&lt;=AsOfDate,EDATE($D130,Milestones!$AA$82)&gt;=SchemeStart,IF($X130=0,$AD130,IF(AND($Z130&lt;&gt;"",EDATE($D130,Milestones!$AA$82)&gt;=$Z130),$AC130,IF(AND($Y130&lt;&gt;"",EDATE($D130,Milestones!$AA$82)&gt;=$Y130),$AB130,$AA130)))=Milestones!$AB$82),UPPER(TEXT(EDATE($D130,Milestones!$AA$82),"dd mmm yy"))&amp;" "&amp;Milestones!$AB$82&amp;" "&amp;IF(AND(Milestones!$AB$82="FT",Milestones!$AA$82=FT_Y5,EDATE($D130,Milestones!$AA$82)&lt;PolicyEff),1,Milestones!$AC$82)&amp;";  ","")&amp;IF(AND(EDATE($D130,Milestones!$AA$83)&lt;=AsOfDate,EDATE($D130,Milestones!$AA$83)&gt;=SchemeStart,IF($X130=0,$AD130,IF(AND($Z130&lt;&gt;"",EDATE($D130,Milestones!$AA$83)&gt;=$Z130),$AC130,IF(AND($Y130&lt;&gt;"",EDATE($D130,Milestones!$AA$83)&gt;=$Y130),$AB130,$AA130)))=Milestones!$AB$83),UPPER(TEXT(EDATE($D130,Milestones!$AA$83),"dd mmm yy"))&amp;" "&amp;Milestones!$AB$83&amp;" "&amp;IF(AND(Milestones!$AB$83="FT",Milestones!$AA$83=FT_Y5,EDATE($D130,Milestones!$AA$83)&lt;PolicyEff),1,Milestones!$AC$83)&amp;";  ","")&amp;IF(AND(EDATE($D130,Milestones!$AA$84)&lt;=AsOfDate,EDATE($D130,Milestones!$AA$84)&gt;=SchemeStart,IF($X130=0,$AD130,IF(AND($Z130&lt;&gt;"",EDATE($D130,Milestones!$AA$84)&gt;=$Z130),$AC130,IF(AND($Y130&lt;&gt;"",EDATE($D130,Milestones!$AA$84)&gt;=$Y130),$AB130,$AA130)))=Milestones!$AB$84),UPPER(TEXT(EDATE($D130,Milestones!$AA$84),"dd mmm yy"))&amp;" "&amp;Milestones!$AB$84&amp;" "&amp;IF(AND(Milestones!$AB$84="FT",Milestones!$AA$84=FT_Y5,EDATE($D130,Milestones!$AA$84)&lt;PolicyEff),1,Milestones!$AC$84)&amp;";  ","")&amp;IF(AND(EDATE($D130,Milestones!$AA$85)&lt;=AsOfDate,EDATE($D130,Milestones!$AA$85)&gt;=SchemeStart,IF($X130=0,$AD130,IF(AND($Z130&lt;&gt;"",EDATE($D130,Milestones!$AA$85)&gt;=$Z130),$AC130,IF(AND($Y130&lt;&gt;"",EDATE($D130,Milestones!$AA$85)&gt;=$Y130),$AB130,$AA130)))=Milestones!$AB$85),UPPER(TEXT(EDATE($D130,Milestones!$AA$85),"dd mmm yy"))&amp;" "&amp;Milestones!$AB$85&amp;" "&amp;IF(AND(Milestones!$AB$85="FT",Milestones!$AA$85=FT_Y5,EDATE($D130,Milestones!$AA$85)&lt;PolicyEff),1,Milestones!$AC$85)&amp;";  ","")&amp;IF(AND(EDATE($D130,Milestones!$AA$86)&lt;=AsOfDate,EDATE($D130,Milestones!$AA$86)&gt;=SchemeStart,IF($X130=0,$AD130,IF(AND($Z130&lt;&gt;"",EDATE($D130,Milestones!$AA$86)&gt;=$Z130),$AC130,IF(AND($Y130&lt;&gt;"",EDATE($D130,Milestones!$AA$86)&gt;=$Y130),$AB130,$AA130)))=Milestones!$AB$86),UPPER(TEXT(EDATE($D130,Milestones!$AA$86),"dd mmm yy"))&amp;" "&amp;Milestones!$AB$86&amp;" "&amp;IF(AND(Milestones!$AB$86="FT",Milestones!$AA$86=FT_Y5,EDATE($D130,Milestones!$AA$86)&lt;PolicyEff),1,Milestones!$AC$86)&amp;";  ","")&amp;IF(AND(EDATE($D130,Milestones!$AA$87)&lt;=AsOfDate,EDATE($D130,Milestones!$AA$87)&gt;=SchemeStart,IF($X130=0,$AD130,IF(AND($Z130&lt;&gt;"",EDATE($D130,Milestones!$AA$87)&gt;=$Z130),$AC130,IF(AND($Y130&lt;&gt;"",EDATE($D130,Milestones!$AA$87)&gt;=$Y130),$AB130,$AA130)))=Milestones!$AB$87),UPPER(TEXT(EDATE($D130,Milestones!$AA$87),"dd mmm yy"))&amp;" "&amp;Milestones!$AB$87&amp;" "&amp;IF(AND(Milestones!$AB$87="FT",Milestones!$AA$87=FT_Y5,EDATE($D130,Milestones!$AA$87)&lt;PolicyEff),1,Milestones!$AC$87)&amp;";  ","")&amp;IF(AND(EDATE($D130,Milestones!$AA$88)&lt;=AsOfDate,EDATE($D130,Milestones!$AA$88)&gt;=SchemeStart,IF($X130=0,$AD130,IF(AND($Z130&lt;&gt;"",EDATE($D130,Milestones!$AA$88)&gt;=$Z130),$AC130,IF(AND($Y130&lt;&gt;"",EDATE($D130,Milestones!$AA$88)&gt;=$Y130),$AB130,$AA130)))=Milestones!$AB$88),UPPER(TEXT(EDATE($D130,Milestones!$AA$88),"dd mmm yy"))&amp;" "&amp;Milestones!$AB$88&amp;" "&amp;IF(AND(Milestones!$AB$88="FT",Milestones!$AA$88=FT_Y5,EDATE($D130,Milestones!$AA$88)&lt;PolicyEff),1,Milestones!$AC$88)&amp;";  ","")&amp;IF(AND(EDATE($D130,Milestones!$AA$89)&lt;=AsOfDate,EDATE($D130,Milestones!$AA$89)&gt;=SchemeStart,IF($X130=0,$AD130,IF(AND($Z130&lt;&gt;"",EDATE($D130,Milestones!$AA$89)&gt;=$Z130),$AC130,IF(AND($Y130&lt;&gt;"",EDATE($D130,Milestones!$AA$89)&gt;=$Y130),$AB130,$AA130)))=Milestones!$AB$89),UPPER(TEXT(EDATE($D130,Milestones!$AA$89),"dd mmm yy"))&amp;" "&amp;Milestones!$AB$89&amp;" "&amp;IF(AND(Milestones!$AB$89="FT",Milestones!$AA$89=FT_Y5,EDATE($D130,Milestones!$AA$89)&lt;PolicyEff),1,Milestones!$AC$89)&amp;";  ","")&amp;IF(AND(EDATE($D130,Milestones!$AA$90)&lt;=AsOfDate,EDATE($D130,Milestones!$AA$90)&gt;=SchemeStart,IF($X130=0,$AD130,IF(AND($Z130&lt;&gt;"",EDATE($D130,Milestones!$AA$90)&gt;=$Z130),$AC130,IF(AND($Y130&lt;&gt;"",EDATE($D130,Milestones!$AA$90)&gt;=$Y130),$AB130,$AA130)))=Milestones!$AB$90),UPPER(TEXT(EDATE($D130,Milestones!$AA$90),"dd mmm yy"))&amp;" "&amp;Milestones!$AB$90&amp;" "&amp;IF(AND(Milestones!$AB$90="FT",Milestones!$AA$90=FT_Y5,EDATE($D130,Milestones!$AA$90)&lt;PolicyEff),1,Milestones!$AC$90)&amp;";  ","")&amp;IF(AND(EDATE($D130,Milestones!$AA$91)&lt;=AsOfDate,EDATE($D130,Milestones!$AA$91)&gt;=SchemeStart,IF($X130=0,$AD130,IF(AND($Z130&lt;&gt;"",EDATE($D130,Milestones!$AA$91)&gt;=$Z130),$AC130,IF(AND($Y130&lt;&gt;"",EDATE($D130,Milestones!$AA$91)&gt;=$Y130),$AB130,$AA130)))=Milestones!$AB$91),UPPER(TEXT(EDATE($D130,Milestones!$AA$91),"dd mmm yy"))&amp;" "&amp;Milestones!$AB$91&amp;" "&amp;IF(AND(Milestones!$AB$91="FT",Milestones!$AA$91=FT_Y5,EDATE($D130,Milestones!$AA$91)&lt;PolicyEff),1,Milestones!$AC$91)&amp;";  ",""))</f>
        <v/>
      </c>
      <c r="O130" s="0" t="str">
        <f aca="false">IF(OR($A130="",$D130=""),"",IF(AND(EDATE($D130,Milestones!$AA$92)&lt;=AsOfDate,EDATE($D130,Milestones!$AA$92)&gt;=SchemeStart,IF($X130=0,$AD130,IF(AND($Z130&lt;&gt;"",EDATE($D130,Milestones!$AA$92)&gt;=$Z130),$AC130,IF(AND($Y130&lt;&gt;"",EDATE($D130,Milestones!$AA$92)&gt;=$Y130),$AB130,$AA130)))=Milestones!$AB$92),UPPER(TEXT(EDATE($D130,Milestones!$AA$92),"dd mmm yy"))&amp;" "&amp;Milestones!$AB$92&amp;" "&amp;IF(AND(Milestones!$AB$92="FT",Milestones!$AA$92=FT_Y5,EDATE($D130,Milestones!$AA$92)&lt;PolicyEff),1,Milestones!$AC$92)&amp;";  ","")&amp;IF(AND(EDATE($D130,Milestones!$AA$93)&lt;=AsOfDate,EDATE($D130,Milestones!$AA$93)&gt;=SchemeStart,IF($X130=0,$AD130,IF(AND($Z130&lt;&gt;"",EDATE($D130,Milestones!$AA$93)&gt;=$Z130),$AC130,IF(AND($Y130&lt;&gt;"",EDATE($D130,Milestones!$AA$93)&gt;=$Y130),$AB130,$AA130)))=Milestones!$AB$93),UPPER(TEXT(EDATE($D130,Milestones!$AA$93),"dd mmm yy"))&amp;" "&amp;Milestones!$AB$93&amp;" "&amp;IF(AND(Milestones!$AB$93="FT",Milestones!$AA$93=FT_Y5,EDATE($D130,Milestones!$AA$93)&lt;PolicyEff),1,Milestones!$AC$93)&amp;";  ","")&amp;IF(AND(EDATE($D130,Milestones!$AA$94)&lt;=AsOfDate,EDATE($D130,Milestones!$AA$94)&gt;=SchemeStart,IF($X130=0,$AD130,IF(AND($Z130&lt;&gt;"",EDATE($D130,Milestones!$AA$94)&gt;=$Z130),$AC130,IF(AND($Y130&lt;&gt;"",EDATE($D130,Milestones!$AA$94)&gt;=$Y130),$AB130,$AA130)))=Milestones!$AB$94),UPPER(TEXT(EDATE($D130,Milestones!$AA$94),"dd mmm yy"))&amp;" "&amp;Milestones!$AB$94&amp;" "&amp;IF(AND(Milestones!$AB$94="FT",Milestones!$AA$94=FT_Y5,EDATE($D130,Milestones!$AA$94)&lt;PolicyEff),1,Milestones!$AC$94)&amp;";  ","")&amp;IF(AND(EDATE($D130,Milestones!$AA$95)&lt;=AsOfDate,EDATE($D130,Milestones!$AA$95)&gt;=SchemeStart,IF($X130=0,$AD130,IF(AND($Z130&lt;&gt;"",EDATE($D130,Milestones!$AA$95)&gt;=$Z130),$AC130,IF(AND($Y130&lt;&gt;"",EDATE($D130,Milestones!$AA$95)&gt;=$Y130),$AB130,$AA130)))=Milestones!$AB$95),UPPER(TEXT(EDATE($D130,Milestones!$AA$95),"dd mmm yy"))&amp;" "&amp;Milestones!$AB$95&amp;" "&amp;IF(AND(Milestones!$AB$95="FT",Milestones!$AA$95=FT_Y5,EDATE($D130,Milestones!$AA$95)&lt;PolicyEff),1,Milestones!$AC$95)&amp;";  ","")&amp;IF(AND(EDATE($D130,Milestones!$AA$96)&lt;=AsOfDate,EDATE($D130,Milestones!$AA$96)&gt;=SchemeStart,IF($X130=0,$AD130,IF(AND($Z130&lt;&gt;"",EDATE($D130,Milestones!$AA$96)&gt;=$Z130),$AC130,IF(AND($Y130&lt;&gt;"",EDATE($D130,Milestones!$AA$96)&gt;=$Y130),$AB130,$AA130)))=Milestones!$AB$96),UPPER(TEXT(EDATE($D130,Milestones!$AA$96),"dd mmm yy"))&amp;" "&amp;Milestones!$AB$96&amp;" "&amp;IF(AND(Milestones!$AB$96="FT",Milestones!$AA$96=FT_Y5,EDATE($D130,Milestones!$AA$96)&lt;PolicyEff),1,Milestones!$AC$96)&amp;";  ","")&amp;IF(AND(EDATE($D130,Milestones!$AA$97)&lt;=AsOfDate,EDATE($D130,Milestones!$AA$97)&gt;=SchemeStart,IF($X130=0,$AD130,IF(AND($Z130&lt;&gt;"",EDATE($D130,Milestones!$AA$97)&gt;=$Z130),$AC130,IF(AND($Y130&lt;&gt;"",EDATE($D130,Milestones!$AA$97)&gt;=$Y130),$AB130,$AA130)))=Milestones!$AB$97),UPPER(TEXT(EDATE($D130,Milestones!$AA$97),"dd mmm yy"))&amp;" "&amp;Milestones!$AB$97&amp;" "&amp;IF(AND(Milestones!$AB$97="FT",Milestones!$AA$97=FT_Y5,EDATE($D130,Milestones!$AA$97)&lt;PolicyEff),1,Milestones!$AC$97)&amp;";  ","")&amp;IF(AND(EDATE($D130,Milestones!$AA$98)&lt;=AsOfDate,EDATE($D130,Milestones!$AA$98)&gt;=SchemeStart,IF($X130=0,$AD130,IF(AND($Z130&lt;&gt;"",EDATE($D130,Milestones!$AA$98)&gt;=$Z130),$AC130,IF(AND($Y130&lt;&gt;"",EDATE($D130,Milestones!$AA$98)&gt;=$Y130),$AB130,$AA130)))=Milestones!$AB$98),UPPER(TEXT(EDATE($D130,Milestones!$AA$98),"dd mmm yy"))&amp;" "&amp;Milestones!$AB$98&amp;" "&amp;IF(AND(Milestones!$AB$98="FT",Milestones!$AA$98=FT_Y5,EDATE($D130,Milestones!$AA$98)&lt;PolicyEff),1,Milestones!$AC$98)&amp;";  ","")&amp;IF(AND(EDATE($D130,Milestones!$AA$99)&lt;=AsOfDate,EDATE($D130,Milestones!$AA$99)&gt;=SchemeStart,IF($X130=0,$AD130,IF(AND($Z130&lt;&gt;"",EDATE($D130,Milestones!$AA$99)&gt;=$Z130),$AC130,IF(AND($Y130&lt;&gt;"",EDATE($D130,Milestones!$AA$99)&gt;=$Y130),$AB130,$AA130)))=Milestones!$AB$99),UPPER(TEXT(EDATE($D130,Milestones!$AA$99),"dd mmm yy"))&amp;" "&amp;Milestones!$AB$99&amp;" "&amp;IF(AND(Milestones!$AB$99="FT",Milestones!$AA$99=FT_Y5,EDATE($D130,Milestones!$AA$99)&lt;PolicyEff),1,Milestones!$AC$99)&amp;";  ","")&amp;IF(AND(EDATE($D130,Milestones!$AA$100)&lt;=AsOfDate,EDATE($D130,Milestones!$AA$100)&gt;=SchemeStart,IF($X130=0,$AD130,IF(AND($Z130&lt;&gt;"",EDATE($D130,Milestones!$AA$100)&gt;=$Z130),$AC130,IF(AND($Y130&lt;&gt;"",EDATE($D130,Milestones!$AA$100)&gt;=$Y130),$AB130,$AA130)))=Milestones!$AB$100),UPPER(TEXT(EDATE($D130,Milestones!$AA$100),"dd mmm yy"))&amp;" "&amp;Milestones!$AB$100&amp;" "&amp;IF(AND(Milestones!$AB$100="FT",Milestones!$AA$100=FT_Y5,EDATE($D130,Milestones!$AA$100)&lt;PolicyEff),1,Milestones!$AC$100)&amp;";  ","")&amp;IF(AND(EDATE($D130,Milestones!$AA$101)&lt;=AsOfDate,EDATE($D130,Milestones!$AA$101)&gt;=SchemeStart,IF($X130=0,$AD130,IF(AND($Z130&lt;&gt;"",EDATE($D130,Milestones!$AA$101)&gt;=$Z130),$AC130,IF(AND($Y130&lt;&gt;"",EDATE($D130,Milestones!$AA$101)&gt;=$Y130),$AB130,$AA130)))=Milestones!$AB$101),UPPER(TEXT(EDATE($D130,Milestones!$AA$101),"dd mmm yy"))&amp;" "&amp;Milestones!$AB$101&amp;" "&amp;IF(AND(Milestones!$AB$101="FT",Milestones!$AA$101=FT_Y5,EDATE($D130,Milestones!$AA$101)&lt;PolicyEff),1,Milestones!$AC$101)&amp;";  ","")&amp;IF(AND(EDATE($D130,Milestones!$AA$102)&lt;=AsOfDate,EDATE($D130,Milestones!$AA$102)&gt;=SchemeStart,IF($X130=0,$AD130,IF(AND($Z130&lt;&gt;"",EDATE($D130,Milestones!$AA$102)&gt;=$Z130),$AC130,IF(AND($Y130&lt;&gt;"",EDATE($D130,Milestones!$AA$102)&gt;=$Y130),$AB130,$AA130)))=Milestones!$AB$102),UPPER(TEXT(EDATE($D130,Milestones!$AA$102),"dd mmm yy"))&amp;" "&amp;Milestones!$AB$102&amp;" "&amp;IF(AND(Milestones!$AB$102="FT",Milestones!$AA$102=FT_Y5,EDATE($D130,Milestones!$AA$102)&lt;PolicyEff),1,Milestones!$AC$102)&amp;";  ","")&amp;IF(AND(EDATE($D130,Milestones!$AA$103)&lt;=AsOfDate,EDATE($D130,Milestones!$AA$103)&gt;=SchemeStart,IF($X130=0,$AD130,IF(AND($Z130&lt;&gt;"",EDATE($D130,Milestones!$AA$103)&gt;=$Z130),$AC130,IF(AND($Y130&lt;&gt;"",EDATE($D130,Milestones!$AA$103)&gt;=$Y130),$AB130,$AA130)))=Milestones!$AB$103),UPPER(TEXT(EDATE($D130,Milestones!$AA$103),"dd mmm yy"))&amp;" "&amp;Milestones!$AB$103&amp;" "&amp;IF(AND(Milestones!$AB$103="FT",Milestones!$AA$103=FT_Y5,EDATE($D130,Milestones!$AA$103)&lt;PolicyEff),1,Milestones!$AC$103)&amp;";  ",""))</f>
        <v/>
      </c>
      <c r="P130" s="0" t="str">
        <f aca="false">IF(OR($A130="",$D130=""),"",IF(AND(EDATE($D130,Milestones!$AA$104)&lt;=AsOfDate,EDATE($D130,Milestones!$AA$104)&gt;=SchemeStart,IF($X130=0,$AD130,IF(AND($Z130&lt;&gt;"",EDATE($D130,Milestones!$AA$104)&gt;=$Z130),$AC130,IF(AND($Y130&lt;&gt;"",EDATE($D130,Milestones!$AA$104)&gt;=$Y130),$AB130,$AA130)))=Milestones!$AB$104),UPPER(TEXT(EDATE($D130,Milestones!$AA$104),"dd mmm yy"))&amp;" "&amp;Milestones!$AB$104&amp;" "&amp;IF(AND(Milestones!$AB$104="FT",Milestones!$AA$104=FT_Y5,EDATE($D130,Milestones!$AA$104)&lt;PolicyEff),1,Milestones!$AC$104)&amp;";  ","")&amp;IF(AND(EDATE($D130,Milestones!$AA$105)&lt;=AsOfDate,EDATE($D130,Milestones!$AA$105)&gt;=SchemeStart,IF($X130=0,$AD130,IF(AND($Z130&lt;&gt;"",EDATE($D130,Milestones!$AA$105)&gt;=$Z130),$AC130,IF(AND($Y130&lt;&gt;"",EDATE($D130,Milestones!$AA$105)&gt;=$Y130),$AB130,$AA130)))=Milestones!$AB$105),UPPER(TEXT(EDATE($D130,Milestones!$AA$105),"dd mmm yy"))&amp;" "&amp;Milestones!$AB$105&amp;" "&amp;IF(AND(Milestones!$AB$105="FT",Milestones!$AA$105=FT_Y5,EDATE($D130,Milestones!$AA$105)&lt;PolicyEff),1,Milestones!$AC$105)&amp;";  ","")&amp;IF(AND(EDATE($D130,Milestones!$AA$106)&lt;=AsOfDate,EDATE($D130,Milestones!$AA$106)&gt;=SchemeStart,IF($X130=0,$AD130,IF(AND($Z130&lt;&gt;"",EDATE($D130,Milestones!$AA$106)&gt;=$Z130),$AC130,IF(AND($Y130&lt;&gt;"",EDATE($D130,Milestones!$AA$106)&gt;=$Y130),$AB130,$AA130)))=Milestones!$AB$106),UPPER(TEXT(EDATE($D130,Milestones!$AA$106),"dd mmm yy"))&amp;" "&amp;Milestones!$AB$106&amp;" "&amp;IF(AND(Milestones!$AB$106="FT",Milestones!$AA$106=FT_Y5,EDATE($D130,Milestones!$AA$106)&lt;PolicyEff),1,Milestones!$AC$106)&amp;";  ","")&amp;IF(AND(EDATE($D130,Milestones!$AA$107)&lt;=AsOfDate,EDATE($D130,Milestones!$AA$107)&gt;=SchemeStart,IF($X130=0,$AD130,IF(AND($Z130&lt;&gt;"",EDATE($D130,Milestones!$AA$107)&gt;=$Z130),$AC130,IF(AND($Y130&lt;&gt;"",EDATE($D130,Milestones!$AA$107)&gt;=$Y130),$AB130,$AA130)))=Milestones!$AB$107),UPPER(TEXT(EDATE($D130,Milestones!$AA$107),"dd mmm yy"))&amp;" "&amp;Milestones!$AB$107&amp;" "&amp;IF(AND(Milestones!$AB$107="FT",Milestones!$AA$107=FT_Y5,EDATE($D130,Milestones!$AA$107)&lt;PolicyEff),1,Milestones!$AC$107)&amp;";  ","")&amp;IF(AND(EDATE($D130,Milestones!$AA$108)&lt;=AsOfDate,EDATE($D130,Milestones!$AA$108)&gt;=SchemeStart,IF($X130=0,$AD130,IF(AND($Z130&lt;&gt;"",EDATE($D130,Milestones!$AA$108)&gt;=$Z130),$AC130,IF(AND($Y130&lt;&gt;"",EDATE($D130,Milestones!$AA$108)&gt;=$Y130),$AB130,$AA130)))=Milestones!$AB$108),UPPER(TEXT(EDATE($D130,Milestones!$AA$108),"dd mmm yy"))&amp;" "&amp;Milestones!$AB$108&amp;" "&amp;IF(AND(Milestones!$AB$108="FT",Milestones!$AA$108=FT_Y5,EDATE($D130,Milestones!$AA$108)&lt;PolicyEff),1,Milestones!$AC$108)&amp;";  ","")&amp;IF(AND(EDATE($D130,Milestones!$AA$109)&lt;=AsOfDate,EDATE($D130,Milestones!$AA$109)&gt;=SchemeStart,IF($X130=0,$AD130,IF(AND($Z130&lt;&gt;"",EDATE($D130,Milestones!$AA$109)&gt;=$Z130),$AC130,IF(AND($Y130&lt;&gt;"",EDATE($D130,Milestones!$AA$109)&gt;=$Y130),$AB130,$AA130)))=Milestones!$AB$109),UPPER(TEXT(EDATE($D130,Milestones!$AA$109),"dd mmm yy"))&amp;" "&amp;Milestones!$AB$109&amp;" "&amp;IF(AND(Milestones!$AB$109="FT",Milestones!$AA$109=FT_Y5,EDATE($D130,Milestones!$AA$109)&lt;PolicyEff),1,Milestones!$AC$109)&amp;";  ","")&amp;IF(AND(EDATE($D130,Milestones!$AA$110)&lt;=AsOfDate,EDATE($D130,Milestones!$AA$110)&gt;=SchemeStart,IF($X130=0,$AD130,IF(AND($Z130&lt;&gt;"",EDATE($D130,Milestones!$AA$110)&gt;=$Z130),$AC130,IF(AND($Y130&lt;&gt;"",EDATE($D130,Milestones!$AA$110)&gt;=$Y130),$AB130,$AA130)))=Milestones!$AB$110),UPPER(TEXT(EDATE($D130,Milestones!$AA$110),"dd mmm yy"))&amp;" "&amp;Milestones!$AB$110&amp;" "&amp;IF(AND(Milestones!$AB$110="FT",Milestones!$AA$110=FT_Y5,EDATE($D130,Milestones!$AA$110)&lt;PolicyEff),1,Milestones!$AC$110)&amp;";  ","")&amp;IF(AND(EDATE($D130,Milestones!$AA$111)&lt;=AsOfDate,EDATE($D130,Milestones!$AA$111)&gt;=SchemeStart,IF($X130=0,$AD130,IF(AND($Z130&lt;&gt;"",EDATE($D130,Milestones!$AA$111)&gt;=$Z130),$AC130,IF(AND($Y130&lt;&gt;"",EDATE($D130,Milestones!$AA$111)&gt;=$Y130),$AB130,$AA130)))=Milestones!$AB$111),UPPER(TEXT(EDATE($D130,Milestones!$AA$111),"dd mmm yy"))&amp;" "&amp;Milestones!$AB$111&amp;" "&amp;IF(AND(Milestones!$AB$111="FT",Milestones!$AA$111=FT_Y5,EDATE($D130,Milestones!$AA$111)&lt;PolicyEff),1,Milestones!$AC$111)&amp;";  ","")&amp;IF(AND(EDATE($D130,Milestones!$AA$112)&lt;=AsOfDate,EDATE($D130,Milestones!$AA$112)&gt;=SchemeStart,IF($X130=0,$AD130,IF(AND($Z130&lt;&gt;"",EDATE($D130,Milestones!$AA$112)&gt;=$Z130),$AC130,IF(AND($Y130&lt;&gt;"",EDATE($D130,Milestones!$AA$112)&gt;=$Y130),$AB130,$AA130)))=Milestones!$AB$112),UPPER(TEXT(EDATE($D130,Milestones!$AA$112),"dd mmm yy"))&amp;" "&amp;Milestones!$AB$112&amp;" "&amp;IF(AND(Milestones!$AB$112="FT",Milestones!$AA$112=FT_Y5,EDATE($D130,Milestones!$AA$112)&lt;PolicyEff),1,Milestones!$AC$112)&amp;";  ","")&amp;IF(AND(EDATE($D130,Milestones!$AA$113)&lt;=AsOfDate,EDATE($D130,Milestones!$AA$113)&gt;=SchemeStart,IF($X130=0,$AD130,IF(AND($Z130&lt;&gt;"",EDATE($D130,Milestones!$AA$113)&gt;=$Z130),$AC130,IF(AND($Y130&lt;&gt;"",EDATE($D130,Milestones!$AA$113)&gt;=$Y130),$AB130,$AA130)))=Milestones!$AB$113),UPPER(TEXT(EDATE($D130,Milestones!$AA$113),"dd mmm yy"))&amp;" "&amp;Milestones!$AB$113&amp;" "&amp;IF(AND(Milestones!$AB$113="FT",Milestones!$AA$113=FT_Y5,EDATE($D130,Milestones!$AA$113)&lt;PolicyEff),1,Milestones!$AC$113)&amp;";  ","")&amp;IF(AND(EDATE($D130,Milestones!$AA$114)&lt;=AsOfDate,EDATE($D130,Milestones!$AA$114)&gt;=SchemeStart,IF($X130=0,$AD130,IF(AND($Z130&lt;&gt;"",EDATE($D130,Milestones!$AA$114)&gt;=$Z130),$AC130,IF(AND($Y130&lt;&gt;"",EDATE($D130,Milestones!$AA$114)&gt;=$Y130),$AB130,$AA130)))=Milestones!$AB$114),UPPER(TEXT(EDATE($D130,Milestones!$AA$114),"dd mmm yy"))&amp;" "&amp;Milestones!$AB$114&amp;" "&amp;IF(AND(Milestones!$AB$114="FT",Milestones!$AA$114=FT_Y5,EDATE($D130,Milestones!$AA$114)&lt;PolicyEff),1,Milestones!$AC$114)&amp;";  ","")&amp;IF(AND(EDATE($D130,Milestones!$AA$115)&lt;=AsOfDate,EDATE($D130,Milestones!$AA$115)&gt;=SchemeStart,IF($X130=0,$AD130,IF(AND($Z130&lt;&gt;"",EDATE($D130,Milestones!$AA$115)&gt;=$Z130),$AC130,IF(AND($Y130&lt;&gt;"",EDATE($D130,Milestones!$AA$115)&gt;=$Y130),$AB130,$AA130)))=Milestones!$AB$115),UPPER(TEXT(EDATE($D130,Milestones!$AA$115),"dd mmm yy"))&amp;" "&amp;Milestones!$AB$115&amp;" "&amp;IF(AND(Milestones!$AB$115="FT",Milestones!$AA$115=FT_Y5,EDATE($D130,Milestones!$AA$115)&lt;PolicyEff),1,Milestones!$AC$115)&amp;";  ",""))</f>
        <v/>
      </c>
      <c r="Q130" s="0" t="str">
        <f aca="false">IF(OR($A130="",$D130=""),"",IF(AND(EDATE($D130,Milestones!$AA$116)&lt;=AsOfDate,EDATE($D130,Milestones!$AA$116)&gt;=SchemeStart,IF($X130=0,$AD130,IF(AND($Z130&lt;&gt;"",EDATE($D130,Milestones!$AA$116)&gt;=$Z130),$AC130,IF(AND($Y130&lt;&gt;"",EDATE($D130,Milestones!$AA$116)&gt;=$Y130),$AB130,$AA130)))=Milestones!$AB$116),UPPER(TEXT(EDATE($D130,Milestones!$AA$116),"dd mmm yy"))&amp;" "&amp;Milestones!$AB$116&amp;" "&amp;IF(AND(Milestones!$AB$116="FT",Milestones!$AA$116=FT_Y5,EDATE($D130,Milestones!$AA$116)&lt;PolicyEff),1,Milestones!$AC$116)&amp;";  ","")&amp;IF(AND(EDATE($D130,Milestones!$AA$117)&lt;=AsOfDate,EDATE($D130,Milestones!$AA$117)&gt;=SchemeStart,IF($X130=0,$AD130,IF(AND($Z130&lt;&gt;"",EDATE($D130,Milestones!$AA$117)&gt;=$Z130),$AC130,IF(AND($Y130&lt;&gt;"",EDATE($D130,Milestones!$AA$117)&gt;=$Y130),$AB130,$AA130)))=Milestones!$AB$117),UPPER(TEXT(EDATE($D130,Milestones!$AA$117),"dd mmm yy"))&amp;" "&amp;Milestones!$AB$117&amp;" "&amp;IF(AND(Milestones!$AB$117="FT",Milestones!$AA$117=FT_Y5,EDATE($D130,Milestones!$AA$117)&lt;PolicyEff),1,Milestones!$AC$117)&amp;";  ","")&amp;IF(AND(EDATE($D130,Milestones!$AA$118)&lt;=AsOfDate,EDATE($D130,Milestones!$AA$118)&gt;=SchemeStart,IF($X130=0,$AD130,IF(AND($Z130&lt;&gt;"",EDATE($D130,Milestones!$AA$118)&gt;=$Z130),$AC130,IF(AND($Y130&lt;&gt;"",EDATE($D130,Milestones!$AA$118)&gt;=$Y130),$AB130,$AA130)))=Milestones!$AB$118),UPPER(TEXT(EDATE($D130,Milestones!$AA$118),"dd mmm yy"))&amp;" "&amp;Milestones!$AB$118&amp;" "&amp;IF(AND(Milestones!$AB$118="FT",Milestones!$AA$118=FT_Y5,EDATE($D130,Milestones!$AA$118)&lt;PolicyEff),1,Milestones!$AC$118)&amp;";  ","")&amp;IF(AND(EDATE($D130,Milestones!$AA$119)&lt;=AsOfDate,EDATE($D130,Milestones!$AA$119)&gt;=SchemeStart,IF($X130=0,$AD130,IF(AND($Z130&lt;&gt;"",EDATE($D130,Milestones!$AA$119)&gt;=$Z130),$AC130,IF(AND($Y130&lt;&gt;"",EDATE($D130,Milestones!$AA$119)&gt;=$Y130),$AB130,$AA130)))=Milestones!$AB$119),UPPER(TEXT(EDATE($D130,Milestones!$AA$119),"dd mmm yy"))&amp;" "&amp;Milestones!$AB$119&amp;" "&amp;IF(AND(Milestones!$AB$119="FT",Milestones!$AA$119=FT_Y5,EDATE($D130,Milestones!$AA$119)&lt;PolicyEff),1,Milestones!$AC$119)&amp;";  ","")&amp;IF(AND(EDATE($D130,Milestones!$AA$120)&lt;=AsOfDate,EDATE($D130,Milestones!$AA$120)&gt;=SchemeStart,IF($X130=0,$AD130,IF(AND($Z130&lt;&gt;"",EDATE($D130,Milestones!$AA$120)&gt;=$Z130),$AC130,IF(AND($Y130&lt;&gt;"",EDATE($D130,Milestones!$AA$120)&gt;=$Y130),$AB130,$AA130)))=Milestones!$AB$120),UPPER(TEXT(EDATE($D130,Milestones!$AA$120),"dd mmm yy"))&amp;" "&amp;Milestones!$AB$120&amp;" "&amp;IF(AND(Milestones!$AB$120="FT",Milestones!$AA$120=FT_Y5,EDATE($D130,Milestones!$AA$120)&lt;PolicyEff),1,Milestones!$AC$120)&amp;";  ","")&amp;IF(AND(EDATE($D130,Milestones!$AA$121)&lt;=AsOfDate,EDATE($D130,Milestones!$AA$121)&gt;=SchemeStart,IF($X130=0,$AD130,IF(AND($Z130&lt;&gt;"",EDATE($D130,Milestones!$AA$121)&gt;=$Z130),$AC130,IF(AND($Y130&lt;&gt;"",EDATE($D130,Milestones!$AA$121)&gt;=$Y130),$AB130,$AA130)))=Milestones!$AB$121),UPPER(TEXT(EDATE($D130,Milestones!$AA$121),"dd mmm yy"))&amp;" "&amp;Milestones!$AB$121&amp;" "&amp;IF(AND(Milestones!$AB$121="FT",Milestones!$AA$121=FT_Y5,EDATE($D130,Milestones!$AA$121)&lt;PolicyEff),1,Milestones!$AC$121)&amp;";  ","")&amp;IF(AND(EDATE($D130,Milestones!$AA$122)&lt;=AsOfDate,EDATE($D130,Milestones!$AA$122)&gt;=SchemeStart,IF($X130=0,$AD130,IF(AND($Z130&lt;&gt;"",EDATE($D130,Milestones!$AA$122)&gt;=$Z130),$AC130,IF(AND($Y130&lt;&gt;"",EDATE($D130,Milestones!$AA$122)&gt;=$Y130),$AB130,$AA130)))=Milestones!$AB$122),UPPER(TEXT(EDATE($D130,Milestones!$AA$122),"dd mmm yy"))&amp;" "&amp;Milestones!$AB$122&amp;" "&amp;IF(AND(Milestones!$AB$122="FT",Milestones!$AA$122=FT_Y5,EDATE($D130,Milestones!$AA$122)&lt;PolicyEff),1,Milestones!$AC$122)&amp;";  ","")&amp;IF(AND(EDATE($D130,Milestones!$AA$123)&lt;=AsOfDate,EDATE($D130,Milestones!$AA$123)&gt;=SchemeStart,IF($X130=0,$AD130,IF(AND($Z130&lt;&gt;"",EDATE($D130,Milestones!$AA$123)&gt;=$Z130),$AC130,IF(AND($Y130&lt;&gt;"",EDATE($D130,Milestones!$AA$123)&gt;=$Y130),$AB130,$AA130)))=Milestones!$AB$123),UPPER(TEXT(EDATE($D130,Milestones!$AA$123),"dd mmm yy"))&amp;" "&amp;Milestones!$AB$123&amp;" "&amp;IF(AND(Milestones!$AB$123="FT",Milestones!$AA$123=FT_Y5,EDATE($D130,Milestones!$AA$123)&lt;PolicyEff),1,Milestones!$AC$123)&amp;";  ","")&amp;IF(AND(EDATE($D130,Milestones!$AA$124)&lt;=AsOfDate,EDATE($D130,Milestones!$AA$124)&gt;=SchemeStart,IF($X130=0,$AD130,IF(AND($Z130&lt;&gt;"",EDATE($D130,Milestones!$AA$124)&gt;=$Z130),$AC130,IF(AND($Y130&lt;&gt;"",EDATE($D130,Milestones!$AA$124)&gt;=$Y130),$AB130,$AA130)))=Milestones!$AB$124),UPPER(TEXT(EDATE($D130,Milestones!$AA$124),"dd mmm yy"))&amp;" "&amp;Milestones!$AB$124&amp;" "&amp;IF(AND(Milestones!$AB$124="FT",Milestones!$AA$124=FT_Y5,EDATE($D130,Milestones!$AA$124)&lt;PolicyEff),1,Milestones!$AC$124)&amp;";  ","")&amp;IF(AND(EDATE($D130,Milestones!$AA$125)&lt;=AsOfDate,EDATE($D130,Milestones!$AA$125)&gt;=SchemeStart,IF($X130=0,$AD130,IF(AND($Z130&lt;&gt;"",EDATE($D130,Milestones!$AA$125)&gt;=$Z130),$AC130,IF(AND($Y130&lt;&gt;"",EDATE($D130,Milestones!$AA$125)&gt;=$Y130),$AB130,$AA130)))=Milestones!$AB$125),UPPER(TEXT(EDATE($D130,Milestones!$AA$125),"dd mmm yy"))&amp;" "&amp;Milestones!$AB$125&amp;" "&amp;IF(AND(Milestones!$AB$125="FT",Milestones!$AA$125=FT_Y5,EDATE($D130,Milestones!$AA$125)&lt;PolicyEff),1,Milestones!$AC$125)&amp;";  ","")&amp;IF(AND(EDATE($D130,Milestones!$AA$126)&lt;=AsOfDate,EDATE($D130,Milestones!$AA$126)&gt;=SchemeStart,IF($X130=0,$AD130,IF(AND($Z130&lt;&gt;"",EDATE($D130,Milestones!$AA$126)&gt;=$Z130),$AC130,IF(AND($Y130&lt;&gt;"",EDATE($D130,Milestones!$AA$126)&gt;=$Y130),$AB130,$AA130)))=Milestones!$AB$126),UPPER(TEXT(EDATE($D130,Milestones!$AA$126),"dd mmm yy"))&amp;" "&amp;Milestones!$AB$126&amp;" "&amp;IF(AND(Milestones!$AB$126="FT",Milestones!$AA$126=FT_Y5,EDATE($D130,Milestones!$AA$126)&lt;PolicyEff),1,Milestones!$AC$126)&amp;";  ","")&amp;IF(AND(EDATE($D130,Milestones!$AA$127)&lt;=AsOfDate,EDATE($D130,Milestones!$AA$127)&gt;=SchemeStart,IF($X130=0,$AD130,IF(AND($Z130&lt;&gt;"",EDATE($D130,Milestones!$AA$127)&gt;=$Z130),$AC130,IF(AND($Y130&lt;&gt;"",EDATE($D130,Milestones!$AA$127)&gt;=$Y130),$AB130,$AA130)))=Milestones!$AB$127),UPPER(TEXT(EDATE($D130,Milestones!$AA$127),"dd mmm yy"))&amp;" "&amp;Milestones!$AB$127&amp;" "&amp;IF(AND(Milestones!$AB$127="FT",Milestones!$AA$127=FT_Y5,EDATE($D130,Milestones!$AA$127)&lt;PolicyEff),1,Milestones!$AC$127)&amp;";  ",""))</f>
        <v/>
      </c>
      <c r="R130" s="0" t="str">
        <f aca="false">IF(OR($A130="",$D130=""),"",IF(AND(EDATE($D130,Milestones!$AA$128)&lt;=AsOfDate,EDATE($D130,Milestones!$AA$128)&gt;=SchemeStart,IF($X130=0,$AD130,IF(AND($Z130&lt;&gt;"",EDATE($D130,Milestones!$AA$128)&gt;=$Z130),$AC130,IF(AND($Y130&lt;&gt;"",EDATE($D130,Milestones!$AA$128)&gt;=$Y130),$AB130,$AA130)))=Milestones!$AB$128),UPPER(TEXT(EDATE($D130,Milestones!$AA$128),"dd mmm yy"))&amp;" "&amp;Milestones!$AB$128&amp;" "&amp;IF(AND(Milestones!$AB$128="FT",Milestones!$AA$128=FT_Y5,EDATE($D130,Milestones!$AA$128)&lt;PolicyEff),1,Milestones!$AC$128)&amp;";  ","")&amp;IF(AND(EDATE($D130,Milestones!$AA$129)&lt;=AsOfDate,EDATE($D130,Milestones!$AA$129)&gt;=SchemeStart,IF($X130=0,$AD130,IF(AND($Z130&lt;&gt;"",EDATE($D130,Milestones!$AA$129)&gt;=$Z130),$AC130,IF(AND($Y130&lt;&gt;"",EDATE($D130,Milestones!$AA$129)&gt;=$Y130),$AB130,$AA130)))=Milestones!$AB$129),UPPER(TEXT(EDATE($D130,Milestones!$AA$129),"dd mmm yy"))&amp;" "&amp;Milestones!$AB$129&amp;" "&amp;IF(AND(Milestones!$AB$129="FT",Milestones!$AA$129=FT_Y5,EDATE($D130,Milestones!$AA$129)&lt;PolicyEff),1,Milestones!$AC$129)&amp;";  ","")&amp;IF(AND(EDATE($D130,Milestones!$AA$130)&lt;=AsOfDate,EDATE($D130,Milestones!$AA$130)&gt;=SchemeStart,IF($X130=0,$AD130,IF(AND($Z130&lt;&gt;"",EDATE($D130,Milestones!$AA$130)&gt;=$Z130),$AC130,IF(AND($Y130&lt;&gt;"",EDATE($D130,Milestones!$AA$130)&gt;=$Y130),$AB130,$AA130)))=Milestones!$AB$130),UPPER(TEXT(EDATE($D130,Milestones!$AA$130),"dd mmm yy"))&amp;" "&amp;Milestones!$AB$130&amp;" "&amp;IF(AND(Milestones!$AB$130="FT",Milestones!$AA$130=FT_Y5,EDATE($D130,Milestones!$AA$130)&lt;PolicyEff),1,Milestones!$AC$130)&amp;";  ","")&amp;IF(AND(EDATE($D130,Milestones!$AA$131)&lt;=AsOfDate,EDATE($D130,Milestones!$AA$131)&gt;=SchemeStart,IF($X130=0,$AD130,IF(AND($Z130&lt;&gt;"",EDATE($D130,Milestones!$AA$131)&gt;=$Z130),$AC130,IF(AND($Y130&lt;&gt;"",EDATE($D130,Milestones!$AA$131)&gt;=$Y130),$AB130,$AA130)))=Milestones!$AB$131),UPPER(TEXT(EDATE($D130,Milestones!$AA$131),"dd mmm yy"))&amp;" "&amp;Milestones!$AB$131&amp;" "&amp;IF(AND(Milestones!$AB$131="FT",Milestones!$AA$131=FT_Y5,EDATE($D130,Milestones!$AA$131)&lt;PolicyEff),1,Milestones!$AC$131)&amp;";  ","")&amp;IF(AND(EDATE($D130,Milestones!$AA$132)&lt;=AsOfDate,EDATE($D130,Milestones!$AA$132)&gt;=SchemeStart,IF($X130=0,$AD130,IF(AND($Z130&lt;&gt;"",EDATE($D130,Milestones!$AA$132)&gt;=$Z130),$AC130,IF(AND($Y130&lt;&gt;"",EDATE($D130,Milestones!$AA$132)&gt;=$Y130),$AB130,$AA130)))=Milestones!$AB$132),UPPER(TEXT(EDATE($D130,Milestones!$AA$132),"dd mmm yy"))&amp;" "&amp;Milestones!$AB$132&amp;" "&amp;IF(AND(Milestones!$AB$132="FT",Milestones!$AA$132=FT_Y5,EDATE($D130,Milestones!$AA$132)&lt;PolicyEff),1,Milestones!$AC$132)&amp;";  ","")&amp;IF(AND(EDATE($D130,Milestones!$AA$133)&lt;=AsOfDate,EDATE($D130,Milestones!$AA$133)&gt;=SchemeStart,IF($X130=0,$AD130,IF(AND($Z130&lt;&gt;"",EDATE($D130,Milestones!$AA$133)&gt;=$Z130),$AC130,IF(AND($Y130&lt;&gt;"",EDATE($D130,Milestones!$AA$133)&gt;=$Y130),$AB130,$AA130)))=Milestones!$AB$133),UPPER(TEXT(EDATE($D130,Milestones!$AA$133),"dd mmm yy"))&amp;" "&amp;Milestones!$AB$133&amp;" "&amp;IF(AND(Milestones!$AB$133="FT",Milestones!$AA$133=FT_Y5,EDATE($D130,Milestones!$AA$133)&lt;PolicyEff),1,Milestones!$AC$133)&amp;";  ","")&amp;IF(AND(EDATE($D130,Milestones!$AA$134)&lt;=AsOfDate,EDATE($D130,Milestones!$AA$134)&gt;=SchemeStart,IF($X130=0,$AD130,IF(AND($Z130&lt;&gt;"",EDATE($D130,Milestones!$AA$134)&gt;=$Z130),$AC130,IF(AND($Y130&lt;&gt;"",EDATE($D130,Milestones!$AA$134)&gt;=$Y130),$AB130,$AA130)))=Milestones!$AB$134),UPPER(TEXT(EDATE($D130,Milestones!$AA$134),"dd mmm yy"))&amp;" "&amp;Milestones!$AB$134&amp;" "&amp;IF(AND(Milestones!$AB$134="FT",Milestones!$AA$134=FT_Y5,EDATE($D130,Milestones!$AA$134)&lt;PolicyEff),1,Milestones!$AC$134)&amp;";  ","")&amp;IF(AND(EDATE($D130,Milestones!$AA$135)&lt;=AsOfDate,EDATE($D130,Milestones!$AA$135)&gt;=SchemeStart,IF($X130=0,$AD130,IF(AND($Z130&lt;&gt;"",EDATE($D130,Milestones!$AA$135)&gt;=$Z130),$AC130,IF(AND($Y130&lt;&gt;"",EDATE($D130,Milestones!$AA$135)&gt;=$Y130),$AB130,$AA130)))=Milestones!$AB$135),UPPER(TEXT(EDATE($D130,Milestones!$AA$135),"dd mmm yy"))&amp;" "&amp;Milestones!$AB$135&amp;" "&amp;IF(AND(Milestones!$AB$135="FT",Milestones!$AA$135=FT_Y5,EDATE($D130,Milestones!$AA$135)&lt;PolicyEff),1,Milestones!$AC$135)&amp;";  ","")&amp;IF(AND(EDATE($D130,Milestones!$AA$136)&lt;=AsOfDate,EDATE($D130,Milestones!$AA$136)&gt;=SchemeStart,IF($X130=0,$AD130,IF(AND($Z130&lt;&gt;"",EDATE($D130,Milestones!$AA$136)&gt;=$Z130),$AC130,IF(AND($Y130&lt;&gt;"",EDATE($D130,Milestones!$AA$136)&gt;=$Y130),$AB130,$AA130)))=Milestones!$AB$136),UPPER(TEXT(EDATE($D130,Milestones!$AA$136),"dd mmm yy"))&amp;" "&amp;Milestones!$AB$136&amp;" "&amp;IF(AND(Milestones!$AB$136="FT",Milestones!$AA$136=FT_Y5,EDATE($D130,Milestones!$AA$136)&lt;PolicyEff),1,Milestones!$AC$136)&amp;";  ","")&amp;IF(AND(EDATE($D130,Milestones!$AA$137)&lt;=AsOfDate,EDATE($D130,Milestones!$AA$137)&gt;=SchemeStart,IF($X130=0,$AD130,IF(AND($Z130&lt;&gt;"",EDATE($D130,Milestones!$AA$137)&gt;=$Z130),$AC130,IF(AND($Y130&lt;&gt;"",EDATE($D130,Milestones!$AA$137)&gt;=$Y130),$AB130,$AA130)))=Milestones!$AB$137),UPPER(TEXT(EDATE($D130,Milestones!$AA$137),"dd mmm yy"))&amp;" "&amp;Milestones!$AB$137&amp;" "&amp;IF(AND(Milestones!$AB$137="FT",Milestones!$AA$137=FT_Y5,EDATE($D130,Milestones!$AA$137)&lt;PolicyEff),1,Milestones!$AC$137)&amp;";  ","")&amp;IF(AND(EDATE($D130,Milestones!$AA$138)&lt;=AsOfDate,EDATE($D130,Milestones!$AA$138)&gt;=SchemeStart,IF($X130=0,$AD130,IF(AND($Z130&lt;&gt;"",EDATE($D130,Milestones!$AA$138)&gt;=$Z130),$AC130,IF(AND($Y130&lt;&gt;"",EDATE($D130,Milestones!$AA$138)&gt;=$Y130),$AB130,$AA130)))=Milestones!$AB$138),UPPER(TEXT(EDATE($D130,Milestones!$AA$138),"dd mmm yy"))&amp;" "&amp;Milestones!$AB$138&amp;" "&amp;IF(AND(Milestones!$AB$138="FT",Milestones!$AA$138=FT_Y5,EDATE($D130,Milestones!$AA$138)&lt;PolicyEff),1,Milestones!$AC$138)&amp;";  ","")&amp;IF(AND(EDATE($D130,Milestones!$AA$139)&lt;=AsOfDate,EDATE($D130,Milestones!$AA$139)&gt;=SchemeStart,IF($X130=0,$AD130,IF(AND($Z130&lt;&gt;"",EDATE($D130,Milestones!$AA$139)&gt;=$Z130),$AC130,IF(AND($Y130&lt;&gt;"",EDATE($D130,Milestones!$AA$139)&gt;=$Y130),$AB130,$AA130)))=Milestones!$AB$139),UPPER(TEXT(EDATE($D130,Milestones!$AA$139),"dd mmm yy"))&amp;" "&amp;Milestones!$AB$139&amp;" "&amp;IF(AND(Milestones!$AB$139="FT",Milestones!$AA$139=FT_Y5,EDATE($D130,Milestones!$AA$139)&lt;PolicyEff),1,Milestones!$AC$139)&amp;";  ",""))</f>
        <v/>
      </c>
      <c r="S130" s="0" t="str">
        <f aca="false">IF(OR($A130="",$D130=""),"",IF(AND(EDATE($D130,Milestones!$AA$140)&lt;=AsOfDate,EDATE($D130,Milestones!$AA$140)&gt;=SchemeStart,IF($X130=0,$AD130,IF(AND($Z130&lt;&gt;"",EDATE($D130,Milestones!$AA$140)&gt;=$Z130),$AC130,IF(AND($Y130&lt;&gt;"",EDATE($D130,Milestones!$AA$140)&gt;=$Y130),$AB130,$AA130)))=Milestones!$AB$140),UPPER(TEXT(EDATE($D130,Milestones!$AA$140),"dd mmm yy"))&amp;" "&amp;Milestones!$AB$140&amp;" "&amp;IF(AND(Milestones!$AB$140="FT",Milestones!$AA$140=FT_Y5,EDATE($D130,Milestones!$AA$140)&lt;PolicyEff),1,Milestones!$AC$140)&amp;";  ","")&amp;IF(AND(EDATE($D130,Milestones!$AA$141)&lt;=AsOfDate,EDATE($D130,Milestones!$AA$141)&gt;=SchemeStart,IF($X130=0,$AD130,IF(AND($Z130&lt;&gt;"",EDATE($D130,Milestones!$AA$141)&gt;=$Z130),$AC130,IF(AND($Y130&lt;&gt;"",EDATE($D130,Milestones!$AA$141)&gt;=$Y130),$AB130,$AA130)))=Milestones!$AB$141),UPPER(TEXT(EDATE($D130,Milestones!$AA$141),"dd mmm yy"))&amp;" "&amp;Milestones!$AB$141&amp;" "&amp;IF(AND(Milestones!$AB$141="FT",Milestones!$AA$141=FT_Y5,EDATE($D130,Milestones!$AA$141)&lt;PolicyEff),1,Milestones!$AC$141)&amp;";  ","")&amp;IF(AND(EDATE($D130,Milestones!$AA$142)&lt;=AsOfDate,EDATE($D130,Milestones!$AA$142)&gt;=SchemeStart,IF($X130=0,$AD130,IF(AND($Z130&lt;&gt;"",EDATE($D130,Milestones!$AA$142)&gt;=$Z130),$AC130,IF(AND($Y130&lt;&gt;"",EDATE($D130,Milestones!$AA$142)&gt;=$Y130),$AB130,$AA130)))=Milestones!$AB$142),UPPER(TEXT(EDATE($D130,Milestones!$AA$142),"dd mmm yy"))&amp;" "&amp;Milestones!$AB$142&amp;" "&amp;IF(AND(Milestones!$AB$142="FT",Milestones!$AA$142=FT_Y5,EDATE($D130,Milestones!$AA$142)&lt;PolicyEff),1,Milestones!$AC$142)&amp;";  ","")&amp;IF(AND(EDATE($D130,Milestones!$AA$143)&lt;=AsOfDate,EDATE($D130,Milestones!$AA$143)&gt;=SchemeStart,IF($X130=0,$AD130,IF(AND($Z130&lt;&gt;"",EDATE($D130,Milestones!$AA$143)&gt;=$Z130),$AC130,IF(AND($Y130&lt;&gt;"",EDATE($D130,Milestones!$AA$143)&gt;=$Y130),$AB130,$AA130)))=Milestones!$AB$143),UPPER(TEXT(EDATE($D130,Milestones!$AA$143),"dd mmm yy"))&amp;" "&amp;Milestones!$AB$143&amp;" "&amp;IF(AND(Milestones!$AB$143="FT",Milestones!$AA$143=FT_Y5,EDATE($D130,Milestones!$AA$143)&lt;PolicyEff),1,Milestones!$AC$143)&amp;";  ","")&amp;IF(AND(EDATE($D130,Milestones!$AA$144)&lt;=AsOfDate,EDATE($D130,Milestones!$AA$144)&gt;=SchemeStart,IF($X130=0,$AD130,IF(AND($Z130&lt;&gt;"",EDATE($D130,Milestones!$AA$144)&gt;=$Z130),$AC130,IF(AND($Y130&lt;&gt;"",EDATE($D130,Milestones!$AA$144)&gt;=$Y130),$AB130,$AA130)))=Milestones!$AB$144),UPPER(TEXT(EDATE($D130,Milestones!$AA$144),"dd mmm yy"))&amp;" "&amp;Milestones!$AB$144&amp;" "&amp;IF(AND(Milestones!$AB$144="FT",Milestones!$AA$144=FT_Y5,EDATE($D130,Milestones!$AA$144)&lt;PolicyEff),1,Milestones!$AC$144)&amp;";  ","")&amp;IF(AND(EDATE($D130,Milestones!$AA$145)&lt;=AsOfDate,EDATE($D130,Milestones!$AA$145)&gt;=SchemeStart,IF($X130=0,$AD130,IF(AND($Z130&lt;&gt;"",EDATE($D130,Milestones!$AA$145)&gt;=$Z130),$AC130,IF(AND($Y130&lt;&gt;"",EDATE($D130,Milestones!$AA$145)&gt;=$Y130),$AB130,$AA130)))=Milestones!$AB$145),UPPER(TEXT(EDATE($D130,Milestones!$AA$145),"dd mmm yy"))&amp;" "&amp;Milestones!$AB$145&amp;" "&amp;IF(AND(Milestones!$AB$145="FT",Milestones!$AA$145=FT_Y5,EDATE($D130,Milestones!$AA$145)&lt;PolicyEff),1,Milestones!$AC$145)&amp;";  ","")&amp;IF(AND(EDATE($D130,Milestones!$AA$146)&lt;=AsOfDate,EDATE($D130,Milestones!$AA$146)&gt;=SchemeStart,IF($X130=0,$AD130,IF(AND($Z130&lt;&gt;"",EDATE($D130,Milestones!$AA$146)&gt;=$Z130),$AC130,IF(AND($Y130&lt;&gt;"",EDATE($D130,Milestones!$AA$146)&gt;=$Y130),$AB130,$AA130)))=Milestones!$AB$146),UPPER(TEXT(EDATE($D130,Milestones!$AA$146),"dd mmm yy"))&amp;" "&amp;Milestones!$AB$146&amp;" "&amp;IF(AND(Milestones!$AB$146="FT",Milestones!$AA$146=FT_Y5,EDATE($D130,Milestones!$AA$146)&lt;PolicyEff),1,Milestones!$AC$146)&amp;";  ","")&amp;IF(AND(EDATE($D130,Milestones!$AA$147)&lt;=AsOfDate,EDATE($D130,Milestones!$AA$147)&gt;=SchemeStart,IF($X130=0,$AD130,IF(AND($Z130&lt;&gt;"",EDATE($D130,Milestones!$AA$147)&gt;=$Z130),$AC130,IF(AND($Y130&lt;&gt;"",EDATE($D130,Milestones!$AA$147)&gt;=$Y130),$AB130,$AA130)))=Milestones!$AB$147),UPPER(TEXT(EDATE($D130,Milestones!$AA$147),"dd mmm yy"))&amp;" "&amp;Milestones!$AB$147&amp;" "&amp;IF(AND(Milestones!$AB$147="FT",Milestones!$AA$147=FT_Y5,EDATE($D130,Milestones!$AA$147)&lt;PolicyEff),1,Milestones!$AC$147)&amp;";  ","")&amp;IF(AND(EDATE($D130,Milestones!$AA$148)&lt;=AsOfDate,EDATE($D130,Milestones!$AA$148)&gt;=SchemeStart,IF($X130=0,$AD130,IF(AND($Z130&lt;&gt;"",EDATE($D130,Milestones!$AA$148)&gt;=$Z130),$AC130,IF(AND($Y130&lt;&gt;"",EDATE($D130,Milestones!$AA$148)&gt;=$Y130),$AB130,$AA130)))=Milestones!$AB$148),UPPER(TEXT(EDATE($D130,Milestones!$AA$148),"dd mmm yy"))&amp;" "&amp;Milestones!$AB$148&amp;" "&amp;IF(AND(Milestones!$AB$148="FT",Milestones!$AA$148=FT_Y5,EDATE($D130,Milestones!$AA$148)&lt;PolicyEff),1,Milestones!$AC$148)&amp;";  ","")&amp;IF(AND(EDATE($D130,Milestones!$AA$149)&lt;=AsOfDate,EDATE($D130,Milestones!$AA$149)&gt;=SchemeStart,IF($X130=0,$AD130,IF(AND($Z130&lt;&gt;"",EDATE($D130,Milestones!$AA$149)&gt;=$Z130),$AC130,IF(AND($Y130&lt;&gt;"",EDATE($D130,Milestones!$AA$149)&gt;=$Y130),$AB130,$AA130)))=Milestones!$AB$149),UPPER(TEXT(EDATE($D130,Milestones!$AA$149),"dd mmm yy"))&amp;" "&amp;Milestones!$AB$149&amp;" "&amp;IF(AND(Milestones!$AB$149="FT",Milestones!$AA$149=FT_Y5,EDATE($D130,Milestones!$AA$149)&lt;PolicyEff),1,Milestones!$AC$149)&amp;";  ","")&amp;IF(AND(EDATE($D130,Milestones!$AA$150)&lt;=AsOfDate,EDATE($D130,Milestones!$AA$150)&gt;=SchemeStart,IF($X130=0,$AD130,IF(AND($Z130&lt;&gt;"",EDATE($D130,Milestones!$AA$150)&gt;=$Z130),$AC130,IF(AND($Y130&lt;&gt;"",EDATE($D130,Milestones!$AA$150)&gt;=$Y130),$AB130,$AA130)))=Milestones!$AB$150),UPPER(TEXT(EDATE($D130,Milestones!$AA$150),"dd mmm yy"))&amp;" "&amp;Milestones!$AB$150&amp;" "&amp;IF(AND(Milestones!$AB$150="FT",Milestones!$AA$150=FT_Y5,EDATE($D130,Milestones!$AA$150)&lt;PolicyEff),1,Milestones!$AC$150)&amp;";  ","")&amp;IF(AND(EDATE($D130,Milestones!$AA$151)&lt;=AsOfDate,EDATE($D130,Milestones!$AA$151)&gt;=SchemeStart,IF($X130=0,$AD130,IF(AND($Z130&lt;&gt;"",EDATE($D130,Milestones!$AA$151)&gt;=$Z130),$AC130,IF(AND($Y130&lt;&gt;"",EDATE($D130,Milestones!$AA$151)&gt;=$Y130),$AB130,$AA130)))=Milestones!$AB$151),UPPER(TEXT(EDATE($D130,Milestones!$AA$151),"dd mmm yy"))&amp;" "&amp;Milestones!$AB$151&amp;" "&amp;IF(AND(Milestones!$AB$151="FT",Milestones!$AA$151=FT_Y5,EDATE($D130,Milestones!$AA$151)&lt;PolicyEff),1,Milestones!$AC$151)&amp;";  ",""))</f>
        <v/>
      </c>
      <c r="T130" s="0" t="str">
        <f aca="false">IF(OR($A130="",$D130=""),"",IF(AND(EDATE($D130,Milestones!$AA$152)&lt;=AsOfDate,EDATE($D130,Milestones!$AA$152)&gt;=SchemeStart,IF($X130=0,$AD130,IF(AND($Z130&lt;&gt;"",EDATE($D130,Milestones!$AA$152)&gt;=$Z130),$AC130,IF(AND($Y130&lt;&gt;"",EDATE($D130,Milestones!$AA$152)&gt;=$Y130),$AB130,$AA130)))=Milestones!$AB$152),UPPER(TEXT(EDATE($D130,Milestones!$AA$152),"dd mmm yy"))&amp;" "&amp;Milestones!$AB$152&amp;" "&amp;IF(AND(Milestones!$AB$152="FT",Milestones!$AA$152=FT_Y5,EDATE($D130,Milestones!$AA$152)&lt;PolicyEff),1,Milestones!$AC$152)&amp;";  ","")&amp;IF(AND(EDATE($D130,Milestones!$AA$153)&lt;=AsOfDate,EDATE($D130,Milestones!$AA$153)&gt;=SchemeStart,IF($X130=0,$AD130,IF(AND($Z130&lt;&gt;"",EDATE($D130,Milestones!$AA$153)&gt;=$Z130),$AC130,IF(AND($Y130&lt;&gt;"",EDATE($D130,Milestones!$AA$153)&gt;=$Y130),$AB130,$AA130)))=Milestones!$AB$153),UPPER(TEXT(EDATE($D130,Milestones!$AA$153),"dd mmm yy"))&amp;" "&amp;Milestones!$AB$153&amp;" "&amp;IF(AND(Milestones!$AB$153="FT",Milestones!$AA$153=FT_Y5,EDATE($D130,Milestones!$AA$153)&lt;PolicyEff),1,Milestones!$AC$153)&amp;";  ","")&amp;IF(AND(EDATE($D130,Milestones!$AA$154)&lt;=AsOfDate,EDATE($D130,Milestones!$AA$154)&gt;=SchemeStart,IF($X130=0,$AD130,IF(AND($Z130&lt;&gt;"",EDATE($D130,Milestones!$AA$154)&gt;=$Z130),$AC130,IF(AND($Y130&lt;&gt;"",EDATE($D130,Milestones!$AA$154)&gt;=$Y130),$AB130,$AA130)))=Milestones!$AB$154),UPPER(TEXT(EDATE($D130,Milestones!$AA$154),"dd mmm yy"))&amp;" "&amp;Milestones!$AB$154&amp;" "&amp;IF(AND(Milestones!$AB$154="FT",Milestones!$AA$154=FT_Y5,EDATE($D130,Milestones!$AA$154)&lt;PolicyEff),1,Milestones!$AC$154)&amp;";  ","")&amp;IF(AND(EDATE($D130,Milestones!$AA$155)&lt;=AsOfDate,EDATE($D130,Milestones!$AA$155)&gt;=SchemeStart,IF($X130=0,$AD130,IF(AND($Z130&lt;&gt;"",EDATE($D130,Milestones!$AA$155)&gt;=$Z130),$AC130,IF(AND($Y130&lt;&gt;"",EDATE($D130,Milestones!$AA$155)&gt;=$Y130),$AB130,$AA130)))=Milestones!$AB$155),UPPER(TEXT(EDATE($D130,Milestones!$AA$155),"dd mmm yy"))&amp;" "&amp;Milestones!$AB$155&amp;" "&amp;IF(AND(Milestones!$AB$155="FT",Milestones!$AA$155=FT_Y5,EDATE($D130,Milestones!$AA$155)&lt;PolicyEff),1,Milestones!$AC$155)&amp;";  ","")&amp;IF(AND(EDATE($D130,Milestones!$AA$156)&lt;=AsOfDate,EDATE($D130,Milestones!$AA$156)&gt;=SchemeStart,IF($X130=0,$AD130,IF(AND($Z130&lt;&gt;"",EDATE($D130,Milestones!$AA$156)&gt;=$Z130),$AC130,IF(AND($Y130&lt;&gt;"",EDATE($D130,Milestones!$AA$156)&gt;=$Y130),$AB130,$AA130)))=Milestones!$AB$156),UPPER(TEXT(EDATE($D130,Milestones!$AA$156),"dd mmm yy"))&amp;" "&amp;Milestones!$AB$156&amp;" "&amp;IF(AND(Milestones!$AB$156="FT",Milestones!$AA$156=FT_Y5,EDATE($D130,Milestones!$AA$156)&lt;PolicyEff),1,Milestones!$AC$156)&amp;";  ","")&amp;IF(AND(EDATE($D130,Milestones!$AA$157)&lt;=AsOfDate,EDATE($D130,Milestones!$AA$157)&gt;=SchemeStart,IF($X130=0,$AD130,IF(AND($Z130&lt;&gt;"",EDATE($D130,Milestones!$AA$157)&gt;=$Z130),$AC130,IF(AND($Y130&lt;&gt;"",EDATE($D130,Milestones!$AA$157)&gt;=$Y130),$AB130,$AA130)))=Milestones!$AB$157),UPPER(TEXT(EDATE($D130,Milestones!$AA$157),"dd mmm yy"))&amp;" "&amp;Milestones!$AB$157&amp;" "&amp;IF(AND(Milestones!$AB$157="FT",Milestones!$AA$157=FT_Y5,EDATE($D130,Milestones!$AA$157)&lt;PolicyEff),1,Milestones!$AC$157)&amp;";  ","")&amp;IF(AND(EDATE($D130,Milestones!$AA$158)&lt;=AsOfDate,EDATE($D130,Milestones!$AA$158)&gt;=SchemeStart,IF($X130=0,$AD130,IF(AND($Z130&lt;&gt;"",EDATE($D130,Milestones!$AA$158)&gt;=$Z130),$AC130,IF(AND($Y130&lt;&gt;"",EDATE($D130,Milestones!$AA$158)&gt;=$Y130),$AB130,$AA130)))=Milestones!$AB$158),UPPER(TEXT(EDATE($D130,Milestones!$AA$158),"dd mmm yy"))&amp;" "&amp;Milestones!$AB$158&amp;" "&amp;IF(AND(Milestones!$AB$158="FT",Milestones!$AA$158=FT_Y5,EDATE($D130,Milestones!$AA$158)&lt;PolicyEff),1,Milestones!$AC$158)&amp;";  ","")&amp;IF(AND(EDATE($D130,Milestones!$AA$159)&lt;=AsOfDate,EDATE($D130,Milestones!$AA$159)&gt;=SchemeStart,IF($X130=0,$AD130,IF(AND($Z130&lt;&gt;"",EDATE($D130,Milestones!$AA$159)&gt;=$Z130),$AC130,IF(AND($Y130&lt;&gt;"",EDATE($D130,Milestones!$AA$159)&gt;=$Y130),$AB130,$AA130)))=Milestones!$AB$159),UPPER(TEXT(EDATE($D130,Milestones!$AA$159),"dd mmm yy"))&amp;" "&amp;Milestones!$AB$159&amp;" "&amp;IF(AND(Milestones!$AB$159="FT",Milestones!$AA$159=FT_Y5,EDATE($D130,Milestones!$AA$159)&lt;PolicyEff),1,Milestones!$AC$159)&amp;";  ","")&amp;IF(AND(EDATE($D130,Milestones!$AA$160)&lt;=AsOfDate,EDATE($D130,Milestones!$AA$160)&gt;=SchemeStart,IF($X130=0,$AD130,IF(AND($Z130&lt;&gt;"",EDATE($D130,Milestones!$AA$160)&gt;=$Z130),$AC130,IF(AND($Y130&lt;&gt;"",EDATE($D130,Milestones!$AA$160)&gt;=$Y130),$AB130,$AA130)))=Milestones!$AB$160),UPPER(TEXT(EDATE($D130,Milestones!$AA$160),"dd mmm yy"))&amp;" "&amp;Milestones!$AB$160&amp;" "&amp;IF(AND(Milestones!$AB$160="FT",Milestones!$AA$160=FT_Y5,EDATE($D130,Milestones!$AA$160)&lt;PolicyEff),1,Milestones!$AC$160)&amp;";  ","")&amp;IF(AND(EDATE($D130,Milestones!$AA$161)&lt;=AsOfDate,EDATE($D130,Milestones!$AA$161)&gt;=SchemeStart,IF($X130=0,$AD130,IF(AND($Z130&lt;&gt;"",EDATE($D130,Milestones!$AA$161)&gt;=$Z130),$AC130,IF(AND($Y130&lt;&gt;"",EDATE($D130,Milestones!$AA$161)&gt;=$Y130),$AB130,$AA130)))=Milestones!$AB$161),UPPER(TEXT(EDATE($D130,Milestones!$AA$161),"dd mmm yy"))&amp;" "&amp;Milestones!$AB$161&amp;" "&amp;IF(AND(Milestones!$AB$161="FT",Milestones!$AA$161=FT_Y5,EDATE($D130,Milestones!$AA$161)&lt;PolicyEff),1,Milestones!$AC$161)&amp;";  ","")&amp;IF(AND(EDATE($D130,Milestones!$AA$162)&lt;=AsOfDate,EDATE($D130,Milestones!$AA$162)&gt;=SchemeStart,IF($X130=0,$AD130,IF(AND($Z130&lt;&gt;"",EDATE($D130,Milestones!$AA$162)&gt;=$Z130),$AC130,IF(AND($Y130&lt;&gt;"",EDATE($D130,Milestones!$AA$162)&gt;=$Y130),$AB130,$AA130)))=Milestones!$AB$162),UPPER(TEXT(EDATE($D130,Milestones!$AA$162),"dd mmm yy"))&amp;" "&amp;Milestones!$AB$162&amp;" "&amp;IF(AND(Milestones!$AB$162="FT",Milestones!$AA$162=FT_Y5,EDATE($D130,Milestones!$AA$162)&lt;PolicyEff),1,Milestones!$AC$162)&amp;";  ","")&amp;IF(AND(EDATE($D130,Milestones!$AA$163)&lt;=AsOfDate,EDATE($D130,Milestones!$AA$163)&gt;=SchemeStart,IF($X130=0,$AD130,IF(AND($Z130&lt;&gt;"",EDATE($D130,Milestones!$AA$163)&gt;=$Z130),$AC130,IF(AND($Y130&lt;&gt;"",EDATE($D130,Milestones!$AA$163)&gt;=$Y130),$AB130,$AA130)))=Milestones!$AB$163),UPPER(TEXT(EDATE($D130,Milestones!$AA$163),"dd mmm yy"))&amp;" "&amp;Milestones!$AB$163&amp;" "&amp;IF(AND(Milestones!$AB$163="FT",Milestones!$AA$163=FT_Y5,EDATE($D130,Milestones!$AA$163)&lt;PolicyEff),1,Milestones!$AC$163)&amp;";  ",""))</f>
        <v/>
      </c>
      <c r="U130" s="0" t="str">
        <f aca="false">IF(OR($A130="",$D130=""),"",IF(AND(EDATE($D130,Milestones!$AA$164)&lt;=AsOfDate,EDATE($D130,Milestones!$AA$164)&gt;=SchemeStart,IF($X130=0,$AD130,IF(AND($Z130&lt;&gt;"",EDATE($D130,Milestones!$AA$164)&gt;=$Z130),$AC130,IF(AND($Y130&lt;&gt;"",EDATE($D130,Milestones!$AA$164)&gt;=$Y130),$AB130,$AA130)))=Milestones!$AB$164),UPPER(TEXT(EDATE($D130,Milestones!$AA$164),"dd mmm yy"))&amp;" "&amp;Milestones!$AB$164&amp;" "&amp;IF(AND(Milestones!$AB$164="FT",Milestones!$AA$164=FT_Y5,EDATE($D130,Milestones!$AA$164)&lt;PolicyEff),1,Milestones!$AC$164)&amp;";  ","")&amp;IF(AND(EDATE($D130,Milestones!$AA$165)&lt;=AsOfDate,EDATE($D130,Milestones!$AA$165)&gt;=SchemeStart,IF($X130=0,$AD130,IF(AND($Z130&lt;&gt;"",EDATE($D130,Milestones!$AA$165)&gt;=$Z130),$AC130,IF(AND($Y130&lt;&gt;"",EDATE($D130,Milestones!$AA$165)&gt;=$Y130),$AB130,$AA130)))=Milestones!$AB$165),UPPER(TEXT(EDATE($D130,Milestones!$AA$165),"dd mmm yy"))&amp;" "&amp;Milestones!$AB$165&amp;" "&amp;IF(AND(Milestones!$AB$165="FT",Milestones!$AA$165=FT_Y5,EDATE($D130,Milestones!$AA$165)&lt;PolicyEff),1,Milestones!$AC$165)&amp;";  ","")&amp;IF(AND(EDATE($D130,Milestones!$AA$166)&lt;=AsOfDate,EDATE($D130,Milestones!$AA$166)&gt;=SchemeStart,IF($X130=0,$AD130,IF(AND($Z130&lt;&gt;"",EDATE($D130,Milestones!$AA$166)&gt;=$Z130),$AC130,IF(AND($Y130&lt;&gt;"",EDATE($D130,Milestones!$AA$166)&gt;=$Y130),$AB130,$AA130)))=Milestones!$AB$166),UPPER(TEXT(EDATE($D130,Milestones!$AA$166),"dd mmm yy"))&amp;" "&amp;Milestones!$AB$166&amp;" "&amp;IF(AND(Milestones!$AB$166="FT",Milestones!$AA$166=FT_Y5,EDATE($D130,Milestones!$AA$166)&lt;PolicyEff),1,Milestones!$AC$166)&amp;";  ","")&amp;IF(AND(EDATE($D130,Milestones!$AA$167)&lt;=AsOfDate,EDATE($D130,Milestones!$AA$167)&gt;=SchemeStart,IF($X130=0,$AD130,IF(AND($Z130&lt;&gt;"",EDATE($D130,Milestones!$AA$167)&gt;=$Z130),$AC130,IF(AND($Y130&lt;&gt;"",EDATE($D130,Milestones!$AA$167)&gt;=$Y130),$AB130,$AA130)))=Milestones!$AB$167),UPPER(TEXT(EDATE($D130,Milestones!$AA$167),"dd mmm yy"))&amp;" "&amp;Milestones!$AB$167&amp;" "&amp;IF(AND(Milestones!$AB$167="FT",Milestones!$AA$167=FT_Y5,EDATE($D130,Milestones!$AA$167)&lt;PolicyEff),1,Milestones!$AC$167)&amp;";  ","")&amp;IF(AND(EDATE($D130,Milestones!$AA$168)&lt;=AsOfDate,EDATE($D130,Milestones!$AA$168)&gt;=SchemeStart,IF($X130=0,$AD130,IF(AND($Z130&lt;&gt;"",EDATE($D130,Milestones!$AA$168)&gt;=$Z130),$AC130,IF(AND($Y130&lt;&gt;"",EDATE($D130,Milestones!$AA$168)&gt;=$Y130),$AB130,$AA130)))=Milestones!$AB$168),UPPER(TEXT(EDATE($D130,Milestones!$AA$168),"dd mmm yy"))&amp;" "&amp;Milestones!$AB$168&amp;" "&amp;IF(AND(Milestones!$AB$168="FT",Milestones!$AA$168=FT_Y5,EDATE($D130,Milestones!$AA$168)&lt;PolicyEff),1,Milestones!$AC$168)&amp;";  ","")&amp;IF(AND(EDATE($D130,Milestones!$AA$169)&lt;=AsOfDate,EDATE($D130,Milestones!$AA$169)&gt;=SchemeStart,IF($X130=0,$AD130,IF(AND($Z130&lt;&gt;"",EDATE($D130,Milestones!$AA$169)&gt;=$Z130),$AC130,IF(AND($Y130&lt;&gt;"",EDATE($D130,Milestones!$AA$169)&gt;=$Y130),$AB130,$AA130)))=Milestones!$AB$169),UPPER(TEXT(EDATE($D130,Milestones!$AA$169),"dd mmm yy"))&amp;" "&amp;Milestones!$AB$169&amp;" "&amp;IF(AND(Milestones!$AB$169="FT",Milestones!$AA$169=FT_Y5,EDATE($D130,Milestones!$AA$169)&lt;PolicyEff),1,Milestones!$AC$169)&amp;";  ","")&amp;IF(AND(EDATE($D130,Milestones!$AA$170)&lt;=AsOfDate,EDATE($D130,Milestones!$AA$170)&gt;=SchemeStart,IF($X130=0,$AD130,IF(AND($Z130&lt;&gt;"",EDATE($D130,Milestones!$AA$170)&gt;=$Z130),$AC130,IF(AND($Y130&lt;&gt;"",EDATE($D130,Milestones!$AA$170)&gt;=$Y130),$AB130,$AA130)))=Milestones!$AB$170),UPPER(TEXT(EDATE($D130,Milestones!$AA$170),"dd mmm yy"))&amp;" "&amp;Milestones!$AB$170&amp;" "&amp;IF(AND(Milestones!$AB$170="FT",Milestones!$AA$170=FT_Y5,EDATE($D130,Milestones!$AA$170)&lt;PolicyEff),1,Milestones!$AC$170)&amp;";  ","")&amp;IF(AND(EDATE($D130,Milestones!$AA$171)&lt;=AsOfDate,EDATE($D130,Milestones!$AA$171)&gt;=SchemeStart,IF($X130=0,$AD130,IF(AND($Z130&lt;&gt;"",EDATE($D130,Milestones!$AA$171)&gt;=$Z130),$AC130,IF(AND($Y130&lt;&gt;"",EDATE($D130,Milestones!$AA$171)&gt;=$Y130),$AB130,$AA130)))=Milestones!$AB$171),UPPER(TEXT(EDATE($D130,Milestones!$AA$171),"dd mmm yy"))&amp;" "&amp;Milestones!$AB$171&amp;" "&amp;IF(AND(Milestones!$AB$171="FT",Milestones!$AA$171=FT_Y5,EDATE($D130,Milestones!$AA$171)&lt;PolicyEff),1,Milestones!$AC$171)&amp;";  ","")&amp;IF(AND(EDATE($D130,Milestones!$AA$172)&lt;=AsOfDate,EDATE($D130,Milestones!$AA$172)&gt;=SchemeStart,IF($X130=0,$AD130,IF(AND($Z130&lt;&gt;"",EDATE($D130,Milestones!$AA$172)&gt;=$Z130),$AC130,IF(AND($Y130&lt;&gt;"",EDATE($D130,Milestones!$AA$172)&gt;=$Y130),$AB130,$AA130)))=Milestones!$AB$172),UPPER(TEXT(EDATE($D130,Milestones!$AA$172),"dd mmm yy"))&amp;" "&amp;Milestones!$AB$172&amp;" "&amp;IF(AND(Milestones!$AB$172="FT",Milestones!$AA$172=FT_Y5,EDATE($D130,Milestones!$AA$172)&lt;PolicyEff),1,Milestones!$AC$172)&amp;";  ","")&amp;IF(AND(EDATE($D130,Milestones!$AA$173)&lt;=AsOfDate,EDATE($D130,Milestones!$AA$173)&gt;=SchemeStart,IF($X130=0,$AD130,IF(AND($Z130&lt;&gt;"",EDATE($D130,Milestones!$AA$173)&gt;=$Z130),$AC130,IF(AND($Y130&lt;&gt;"",EDATE($D130,Milestones!$AA$173)&gt;=$Y130),$AB130,$AA130)))=Milestones!$AB$173),UPPER(TEXT(EDATE($D130,Milestones!$AA$173),"dd mmm yy"))&amp;" "&amp;Milestones!$AB$173&amp;" "&amp;IF(AND(Milestones!$AB$173="FT",Milestones!$AA$173=FT_Y5,EDATE($D130,Milestones!$AA$173)&lt;PolicyEff),1,Milestones!$AC$173)&amp;";  ","")&amp;IF(AND(EDATE($D130,Milestones!$AA$174)&lt;=AsOfDate,EDATE($D130,Milestones!$AA$174)&gt;=SchemeStart,IF($X130=0,$AD130,IF(AND($Z130&lt;&gt;"",EDATE($D130,Milestones!$AA$174)&gt;=$Z130),$AC130,IF(AND($Y130&lt;&gt;"",EDATE($D130,Milestones!$AA$174)&gt;=$Y130),$AB130,$AA130)))=Milestones!$AB$174),UPPER(TEXT(EDATE($D130,Milestones!$AA$174),"dd mmm yy"))&amp;" "&amp;Milestones!$AB$174&amp;" "&amp;IF(AND(Milestones!$AB$174="FT",Milestones!$AA$174=FT_Y5,EDATE($D130,Milestones!$AA$174)&lt;PolicyEff),1,Milestones!$AC$174)&amp;";  ","")&amp;IF(AND(EDATE($D130,Milestones!$AA$175)&lt;=AsOfDate,EDATE($D130,Milestones!$AA$175)&gt;=SchemeStart,IF($X130=0,$AD130,IF(AND($Z130&lt;&gt;"",EDATE($D130,Milestones!$AA$175)&gt;=$Z130),$AC130,IF(AND($Y130&lt;&gt;"",EDATE($D130,Milestones!$AA$175)&gt;=$Y130),$AB130,$AA130)))=Milestones!$AB$175),UPPER(TEXT(EDATE($D130,Milestones!$AA$175),"dd mmm yy"))&amp;" "&amp;Milestones!$AB$175&amp;" "&amp;IF(AND(Milestones!$AB$175="FT",Milestones!$AA$175=FT_Y5,EDATE($D130,Milestones!$AA$175)&lt;PolicyEff),1,Milestones!$AC$175)&amp;";  ",""))</f>
        <v/>
      </c>
      <c r="V130" s="0" t="str">
        <f aca="false">IF(OR($A130="",$D130=""),"",IF(AND(EDATE($D130,Milestones!$AA$176)&lt;=AsOfDate,EDATE($D130,Milestones!$AA$176)&gt;=SchemeStart,IF($X130=0,$AD130,IF(AND($Z130&lt;&gt;"",EDATE($D130,Milestones!$AA$176)&gt;=$Z130),$AC130,IF(AND($Y130&lt;&gt;"",EDATE($D130,Milestones!$AA$176)&gt;=$Y130),$AB130,$AA130)))=Milestones!$AB$176),UPPER(TEXT(EDATE($D130,Milestones!$AA$176),"dd mmm yy"))&amp;" "&amp;Milestones!$AB$176&amp;" "&amp;IF(AND(Milestones!$AB$176="FT",Milestones!$AA$176=FT_Y5,EDATE($D130,Milestones!$AA$176)&lt;PolicyEff),1,Milestones!$AC$176)&amp;";  ","")&amp;IF(AND(EDATE($D130,Milestones!$AA$177)&lt;=AsOfDate,EDATE($D130,Milestones!$AA$177)&gt;=SchemeStart,IF($X130=0,$AD130,IF(AND($Z130&lt;&gt;"",EDATE($D130,Milestones!$AA$177)&gt;=$Z130),$AC130,IF(AND($Y130&lt;&gt;"",EDATE($D130,Milestones!$AA$177)&gt;=$Y130),$AB130,$AA130)))=Milestones!$AB$177),UPPER(TEXT(EDATE($D130,Milestones!$AA$177),"dd mmm yy"))&amp;" "&amp;Milestones!$AB$177&amp;" "&amp;IF(AND(Milestones!$AB$177="FT",Milestones!$AA$177=FT_Y5,EDATE($D130,Milestones!$AA$177)&lt;PolicyEff),1,Milestones!$AC$177)&amp;";  ","")&amp;IF(AND(EDATE($D130,Milestones!$AA$178)&lt;=AsOfDate,EDATE($D130,Milestones!$AA$178)&gt;=SchemeStart,IF($X130=0,$AD130,IF(AND($Z130&lt;&gt;"",EDATE($D130,Milestones!$AA$178)&gt;=$Z130),$AC130,IF(AND($Y130&lt;&gt;"",EDATE($D130,Milestones!$AA$178)&gt;=$Y130),$AB130,$AA130)))=Milestones!$AB$178),UPPER(TEXT(EDATE($D130,Milestones!$AA$178),"dd mmm yy"))&amp;" "&amp;Milestones!$AB$178&amp;" "&amp;IF(AND(Milestones!$AB$178="FT",Milestones!$AA$178=FT_Y5,EDATE($D130,Milestones!$AA$178)&lt;PolicyEff),1,Milestones!$AC$178)&amp;";  ","")&amp;IF(AND(EDATE($D130,Milestones!$AA$179)&lt;=AsOfDate,EDATE($D130,Milestones!$AA$179)&gt;=SchemeStart,IF($X130=0,$AD130,IF(AND($Z130&lt;&gt;"",EDATE($D130,Milestones!$AA$179)&gt;=$Z130),$AC130,IF(AND($Y130&lt;&gt;"",EDATE($D130,Milestones!$AA$179)&gt;=$Y130),$AB130,$AA130)))=Milestones!$AB$179),UPPER(TEXT(EDATE($D130,Milestones!$AA$179),"dd mmm yy"))&amp;" "&amp;Milestones!$AB$179&amp;" "&amp;IF(AND(Milestones!$AB$179="FT",Milestones!$AA$179=FT_Y5,EDATE($D130,Milestones!$AA$179)&lt;PolicyEff),1,Milestones!$AC$179)&amp;";  ","")&amp;IF(AND(EDATE($D130,Milestones!$AA$180)&lt;=AsOfDate,EDATE($D130,Milestones!$AA$180)&gt;=SchemeStart,IF($X130=0,$AD130,IF(AND($Z130&lt;&gt;"",EDATE($D130,Milestones!$AA$180)&gt;=$Z130),$AC130,IF(AND($Y130&lt;&gt;"",EDATE($D130,Milestones!$AA$180)&gt;=$Y130),$AB130,$AA130)))=Milestones!$AB$180),UPPER(TEXT(EDATE($D130,Milestones!$AA$180),"dd mmm yy"))&amp;" "&amp;Milestones!$AB$180&amp;" "&amp;IF(AND(Milestones!$AB$180="FT",Milestones!$AA$180=FT_Y5,EDATE($D130,Milestones!$AA$180)&lt;PolicyEff),1,Milestones!$AC$180)&amp;";  ","")&amp;IF(AND(EDATE($D130,Milestones!$AA$181)&lt;=AsOfDate,EDATE($D130,Milestones!$AA$181)&gt;=SchemeStart,IF($X130=0,$AD130,IF(AND($Z130&lt;&gt;"",EDATE($D130,Milestones!$AA$181)&gt;=$Z130),$AC130,IF(AND($Y130&lt;&gt;"",EDATE($D130,Milestones!$AA$181)&gt;=$Y130),$AB130,$AA130)))=Milestones!$AB$181),UPPER(TEXT(EDATE($D130,Milestones!$AA$181),"dd mmm yy"))&amp;" "&amp;Milestones!$AB$181&amp;" "&amp;IF(AND(Milestones!$AB$181="FT",Milestones!$AA$181=FT_Y5,EDATE($D130,Milestones!$AA$181)&lt;PolicyEff),1,Milestones!$AC$181)&amp;";  ","")&amp;IF(AND(EDATE($D130,Milestones!$AA$182)&lt;=AsOfDate,EDATE($D130,Milestones!$AA$182)&gt;=SchemeStart,IF($X130=0,$AD130,IF(AND($Z130&lt;&gt;"",EDATE($D130,Milestones!$AA$182)&gt;=$Z130),$AC130,IF(AND($Y130&lt;&gt;"",EDATE($D130,Milestones!$AA$182)&gt;=$Y130),$AB130,$AA130)))=Milestones!$AB$182),UPPER(TEXT(EDATE($D130,Milestones!$AA$182),"dd mmm yy"))&amp;" "&amp;Milestones!$AB$182&amp;" "&amp;IF(AND(Milestones!$AB$182="FT",Milestones!$AA$182=FT_Y5,EDATE($D130,Milestones!$AA$182)&lt;PolicyEff),1,Milestones!$AC$182)&amp;";  ","")&amp;IF(AND(EDATE($D130,Milestones!$AA$183)&lt;=AsOfDate,EDATE($D130,Milestones!$AA$183)&gt;=SchemeStart,IF($X130=0,$AD130,IF(AND($Z130&lt;&gt;"",EDATE($D130,Milestones!$AA$183)&gt;=$Z130),$AC130,IF(AND($Y130&lt;&gt;"",EDATE($D130,Milestones!$AA$183)&gt;=$Y130),$AB130,$AA130)))=Milestones!$AB$183),UPPER(TEXT(EDATE($D130,Milestones!$AA$183),"dd mmm yy"))&amp;" "&amp;Milestones!$AB$183&amp;" "&amp;IF(AND(Milestones!$AB$183="FT",Milestones!$AA$183=FT_Y5,EDATE($D130,Milestones!$AA$183)&lt;PolicyEff),1,Milestones!$AC$183)&amp;";  ","")&amp;IF(AND(EDATE($D130,Milestones!$AA$184)&lt;=AsOfDate,EDATE($D130,Milestones!$AA$184)&gt;=SchemeStart,IF($X130=0,$AD130,IF(AND($Z130&lt;&gt;"",EDATE($D130,Milestones!$AA$184)&gt;=$Z130),$AC130,IF(AND($Y130&lt;&gt;"",EDATE($D130,Milestones!$AA$184)&gt;=$Y130),$AB130,$AA130)))=Milestones!$AB$184),UPPER(TEXT(EDATE($D130,Milestones!$AA$184),"dd mmm yy"))&amp;" "&amp;Milestones!$AB$184&amp;" "&amp;IF(AND(Milestones!$AB$184="FT",Milestones!$AA$184=FT_Y5,EDATE($D130,Milestones!$AA$184)&lt;PolicyEff),1,Milestones!$AC$184)&amp;";  ","")&amp;IF(AND(EDATE($D130,Milestones!$AA$185)&lt;=AsOfDate,EDATE($D130,Milestones!$AA$185)&gt;=SchemeStart,IF($X130=0,$AD130,IF(AND($Z130&lt;&gt;"",EDATE($D130,Milestones!$AA$185)&gt;=$Z130),$AC130,IF(AND($Y130&lt;&gt;"",EDATE($D130,Milestones!$AA$185)&gt;=$Y130),$AB130,$AA130)))=Milestones!$AB$185),UPPER(TEXT(EDATE($D130,Milestones!$AA$185),"dd mmm yy"))&amp;" "&amp;Milestones!$AB$185&amp;" "&amp;IF(AND(Milestones!$AB$185="FT",Milestones!$AA$185=FT_Y5,EDATE($D130,Milestones!$AA$185)&lt;PolicyEff),1,Milestones!$AC$185)&amp;";  ","")&amp;IF(AND(EDATE($D130,Milestones!$AA$186)&lt;=AsOfDate,EDATE($D130,Milestones!$AA$186)&gt;=SchemeStart,IF($X130=0,$AD130,IF(AND($Z130&lt;&gt;"",EDATE($D130,Milestones!$AA$186)&gt;=$Z130),$AC130,IF(AND($Y130&lt;&gt;"",EDATE($D130,Milestones!$AA$186)&gt;=$Y130),$AB130,$AA130)))=Milestones!$AB$186),UPPER(TEXT(EDATE($D130,Milestones!$AA$186),"dd mmm yy"))&amp;" "&amp;Milestones!$AB$186&amp;" "&amp;IF(AND(Milestones!$AB$186="FT",Milestones!$AA$186=FT_Y5,EDATE($D130,Milestones!$AA$186)&lt;PolicyEff),1,Milestones!$AC$186)&amp;";  ","")&amp;IF(AND(EDATE($D130,Milestones!$AA$187)&lt;=AsOfDate,EDATE($D130,Milestones!$AA$187)&gt;=SchemeStart,IF($X130=0,$AD130,IF(AND($Z130&lt;&gt;"",EDATE($D130,Milestones!$AA$187)&gt;=$Z130),$AC130,IF(AND($Y130&lt;&gt;"",EDATE($D130,Milestones!$AA$187)&gt;=$Y130),$AB130,$AA130)))=Milestones!$AB$187),UPPER(TEXT(EDATE($D130,Milestones!$AA$187),"dd mmm yy"))&amp;" "&amp;Milestones!$AB$187&amp;" "&amp;IF(AND(Milestones!$AB$187="FT",Milestones!$AA$187=FT_Y5,EDATE($D130,Milestones!$AA$187)&lt;PolicyEff),1,Milestones!$AC$187)&amp;";  ",""))</f>
        <v/>
      </c>
      <c r="W130" s="0" t="str">
        <f aca="false">IF(OR($A130="",$D130=""),"",IF(AND(EDATE($D130,Milestones!$AA$188)&lt;=AsOfDate,EDATE($D130,Milestones!$AA$188)&gt;=SchemeStart,IF($X130=0,$AD130,IF(AND($Z130&lt;&gt;"",EDATE($D130,Milestones!$AA$188)&gt;=$Z130),$AC130,IF(AND($Y130&lt;&gt;"",EDATE($D130,Milestones!$AA$188)&gt;=$Y130),$AB130,$AA130)))=Milestones!$AB$188),UPPER(TEXT(EDATE($D130,Milestones!$AA$188),"dd mmm yy"))&amp;" "&amp;Milestones!$AB$188&amp;" "&amp;IF(AND(Milestones!$AB$188="FT",Milestones!$AA$188=FT_Y5,EDATE($D130,Milestones!$AA$188)&lt;PolicyEff),1,Milestones!$AC$188)&amp;";  ","")&amp;IF(AND(EDATE($D130,Milestones!$AA$189)&lt;=AsOfDate,EDATE($D130,Milestones!$AA$189)&gt;=SchemeStart,IF($X130=0,$AD130,IF(AND($Z130&lt;&gt;"",EDATE($D130,Milestones!$AA$189)&gt;=$Z130),$AC130,IF(AND($Y130&lt;&gt;"",EDATE($D130,Milestones!$AA$189)&gt;=$Y130),$AB130,$AA130)))=Milestones!$AB$189),UPPER(TEXT(EDATE($D130,Milestones!$AA$189),"dd mmm yy"))&amp;" "&amp;Milestones!$AB$189&amp;" "&amp;IF(AND(Milestones!$AB$189="FT",Milestones!$AA$189=FT_Y5,EDATE($D130,Milestones!$AA$189)&lt;PolicyEff),1,Milestones!$AC$189)&amp;";  ","")&amp;IF(AND(EDATE($D130,Milestones!$AA$190)&lt;=AsOfDate,EDATE($D130,Milestones!$AA$190)&gt;=SchemeStart,IF($X130=0,$AD130,IF(AND($Z130&lt;&gt;"",EDATE($D130,Milestones!$AA$190)&gt;=$Z130),$AC130,IF(AND($Y130&lt;&gt;"",EDATE($D130,Milestones!$AA$190)&gt;=$Y130),$AB130,$AA130)))=Milestones!$AB$190),UPPER(TEXT(EDATE($D130,Milestones!$AA$190),"dd mmm yy"))&amp;" "&amp;Milestones!$AB$190&amp;" "&amp;IF(AND(Milestones!$AB$190="FT",Milestones!$AA$190=FT_Y5,EDATE($D130,Milestones!$AA$190)&lt;PolicyEff),1,Milestones!$AC$190)&amp;";  ","")&amp;IF(AND(EDATE($D130,Milestones!$AA$191)&lt;=AsOfDate,EDATE($D130,Milestones!$AA$191)&gt;=SchemeStart,IF($X130=0,$AD130,IF(AND($Z130&lt;&gt;"",EDATE($D130,Milestones!$AA$191)&gt;=$Z130),$AC130,IF(AND($Y130&lt;&gt;"",EDATE($D130,Milestones!$AA$191)&gt;=$Y130),$AB130,$AA130)))=Milestones!$AB$191),UPPER(TEXT(EDATE($D130,Milestones!$AA$191),"dd mmm yy"))&amp;" "&amp;Milestones!$AB$191&amp;" "&amp;IF(AND(Milestones!$AB$191="FT",Milestones!$AA$191=FT_Y5,EDATE($D130,Milestones!$AA$191)&lt;PolicyEff),1,Milestones!$AC$191)&amp;";  ","")&amp;IF(AND(EDATE($D130,Milestones!$AA$192)&lt;=AsOfDate,EDATE($D130,Milestones!$AA$192)&gt;=SchemeStart,IF($X130=0,$AD130,IF(AND($Z130&lt;&gt;"",EDATE($D130,Milestones!$AA$192)&gt;=$Z130),$AC130,IF(AND($Y130&lt;&gt;"",EDATE($D130,Milestones!$AA$192)&gt;=$Y130),$AB130,$AA130)))=Milestones!$AB$192),UPPER(TEXT(EDATE($D130,Milestones!$AA$192),"dd mmm yy"))&amp;" "&amp;Milestones!$AB$192&amp;" "&amp;IF(AND(Milestones!$AB$192="FT",Milestones!$AA$192=FT_Y5,EDATE($D130,Milestones!$AA$192)&lt;PolicyEff),1,Milestones!$AC$192)&amp;";  ","")&amp;IF(AND(EDATE($D130,Milestones!$AA$193)&lt;=AsOfDate,EDATE($D130,Milestones!$AA$193)&gt;=SchemeStart,IF($X130=0,$AD130,IF(AND($Z130&lt;&gt;"",EDATE($D130,Milestones!$AA$193)&gt;=$Z130),$AC130,IF(AND($Y130&lt;&gt;"",EDATE($D130,Milestones!$AA$193)&gt;=$Y130),$AB130,$AA130)))=Milestones!$AB$193),UPPER(TEXT(EDATE($D130,Milestones!$AA$193),"dd mmm yy"))&amp;" "&amp;Milestones!$AB$193&amp;" "&amp;IF(AND(Milestones!$AB$193="FT",Milestones!$AA$193=FT_Y5,EDATE($D130,Milestones!$AA$193)&lt;PolicyEff),1,Milestones!$AC$193)&amp;";  ","")&amp;IF(AND(EDATE($D130,Milestones!$AA$194)&lt;=AsOfDate,EDATE($D130,Milestones!$AA$194)&gt;=SchemeStart,IF($X130=0,$AD130,IF(AND($Z130&lt;&gt;"",EDATE($D130,Milestones!$AA$194)&gt;=$Z130),$AC130,IF(AND($Y130&lt;&gt;"",EDATE($D130,Milestones!$AA$194)&gt;=$Y130),$AB130,$AA130)))=Milestones!$AB$194),UPPER(TEXT(EDATE($D130,Milestones!$AA$194),"dd mmm yy"))&amp;" "&amp;Milestones!$AB$194&amp;" "&amp;IF(AND(Milestones!$AB$194="FT",Milestones!$AA$194=FT_Y5,EDATE($D130,Milestones!$AA$194)&lt;PolicyEff),1,Milestones!$AC$194)&amp;";  ","")&amp;IF(AND(EDATE($D130,Milestones!$AA$195)&lt;=AsOfDate,EDATE($D130,Milestones!$AA$195)&gt;=SchemeStart,IF($X130=0,$AD130,IF(AND($Z130&lt;&gt;"",EDATE($D130,Milestones!$AA$195)&gt;=$Z130),$AC130,IF(AND($Y130&lt;&gt;"",EDATE($D130,Milestones!$AA$195)&gt;=$Y130),$AB130,$AA130)))=Milestones!$AB$195),UPPER(TEXT(EDATE($D130,Milestones!$AA$195),"dd mmm yy"))&amp;" "&amp;Milestones!$AB$195&amp;" "&amp;IF(AND(Milestones!$AB$195="FT",Milestones!$AA$195=FT_Y5,EDATE($D130,Milestones!$AA$195)&lt;PolicyEff),1,Milestones!$AC$195)&amp;";  ","")&amp;IF(AND(EDATE($D130,Milestones!$AA$196)&lt;=AsOfDate,EDATE($D130,Milestones!$AA$196)&gt;=SchemeStart,IF($X130=0,$AD130,IF(AND($Z130&lt;&gt;"",EDATE($D130,Milestones!$AA$196)&gt;=$Z130),$AC130,IF(AND($Y130&lt;&gt;"",EDATE($D130,Milestones!$AA$196)&gt;=$Y130),$AB130,$AA130)))=Milestones!$AB$196),UPPER(TEXT(EDATE($D130,Milestones!$AA$196),"dd mmm yy"))&amp;" "&amp;Milestones!$AB$196&amp;" "&amp;IF(AND(Milestones!$AB$196="FT",Milestones!$AA$196=FT_Y5,EDATE($D130,Milestones!$AA$196)&lt;PolicyEff),1,Milestones!$AC$196)&amp;";  ","")&amp;IF(AND(EDATE($D130,Milestones!$AA$197)&lt;=AsOfDate,EDATE($D130,Milestones!$AA$197)&gt;=SchemeStart,IF($X130=0,$AD130,IF(AND($Z130&lt;&gt;"",EDATE($D130,Milestones!$AA$197)&gt;=$Z130),$AC130,IF(AND($Y130&lt;&gt;"",EDATE($D130,Milestones!$AA$197)&gt;=$Y130),$AB130,$AA130)))=Milestones!$AB$197),UPPER(TEXT(EDATE($D130,Milestones!$AA$197),"dd mmm yy"))&amp;" "&amp;Milestones!$AB$197&amp;" "&amp;IF(AND(Milestones!$AB$197="FT",Milestones!$AA$197=FT_Y5,EDATE($D130,Milestones!$AA$197)&lt;PolicyEff),1,Milestones!$AC$197)&amp;";  ","")&amp;IF(AND(EDATE($D130,Milestones!$AA$198)&lt;=AsOfDate,EDATE($D130,Milestones!$AA$198)&gt;=SchemeStart,IF($X130=0,$AD130,IF(AND($Z130&lt;&gt;"",EDATE($D130,Milestones!$AA$198)&gt;=$Z130),$AC130,IF(AND($Y130&lt;&gt;"",EDATE($D130,Milestones!$AA$198)&gt;=$Y130),$AB130,$AA130)))=Milestones!$AB$198),UPPER(TEXT(EDATE($D130,Milestones!$AA$198),"dd mmm yy"))&amp;" "&amp;Milestones!$AB$198&amp;" "&amp;IF(AND(Milestones!$AB$198="FT",Milestones!$AA$198=FT_Y5,EDATE($D130,Milestones!$AA$198)&lt;PolicyEff),1,Milestones!$AC$198)&amp;";  ","")&amp;IF(AND(EDATE($D130,Milestones!$AA$199)&lt;=AsOfDate,EDATE($D130,Milestones!$AA$199)&gt;=SchemeStart,IF($X130=0,$AD130,IF(AND($Z130&lt;&gt;"",EDATE($D130,Milestones!$AA$199)&gt;=$Z130),$AC130,IF(AND($Y130&lt;&gt;"",EDATE($D130,Milestones!$AA$199)&gt;=$Y130),$AB130,$AA130)))=Milestones!$AB$199),UPPER(TEXT(EDATE($D130,Milestones!$AA$199),"dd mmm yy"))&amp;" "&amp;Milestones!$AB$199&amp;" "&amp;IF(AND(Milestones!$AB$199="FT",Milestones!$AA$199=FT_Y5,EDATE($D130,Milestones!$AA$199)&lt;PolicyEff),1,Milestones!$AC$199)&amp;";  ",""))</f>
        <v/>
      </c>
      <c r="X130" s="0" t="str">
        <f aca="false">IF(Staff!$A130="","",Staff!$AM130)</f>
        <v/>
      </c>
      <c r="Y130" s="0" t="str">
        <f aca="false">IF(Staff!$A130="","",Staff!$AO130)</f>
        <v/>
      </c>
      <c r="Z130" s="0" t="str">
        <f aca="false">IF(Staff!$A130="","",Staff!$AP130)</f>
        <v/>
      </c>
      <c r="AA130" s="0" t="str">
        <f aca="false">IF(Staff!$A130="","",Staff!$AT130)</f>
        <v/>
      </c>
      <c r="AB130" s="0" t="str">
        <f aca="false">IF(Staff!$A130="","",Staff!$AU130)</f>
        <v/>
      </c>
      <c r="AC130" s="0" t="str">
        <f aca="false">IF(Staff!$A130="","",Staff!$AV130)</f>
        <v/>
      </c>
      <c r="AD130" s="0" t="str">
        <f aca="false">IF(Staff!$A130="","",Staff!$AW130)</f>
        <v/>
      </c>
    </row>
    <row r="131" customFormat="false" ht="15" hidden="false" customHeight="false" outlineLevel="0" collapsed="false">
      <c r="A131" s="16" t="str">
        <f aca="false">IF(Staff!$A131="","",Staff!$A131)</f>
        <v/>
      </c>
      <c r="B131" s="16" t="str">
        <f aca="false">IF(Staff!$A131="","",Staff!$B131)</f>
        <v/>
      </c>
      <c r="C131" s="16" t="str">
        <f aca="false">IF(Staff!$A131="","",Staff!$C131)</f>
        <v/>
      </c>
      <c r="D131" s="14" t="str">
        <f aca="false">IF(Staff!$A131="","",Staff!$AL131)</f>
        <v/>
      </c>
      <c r="E131" s="16" t="str">
        <f aca="false">IF(Staff!$A131="","",Staff!$O131)</f>
        <v/>
      </c>
      <c r="F131" s="16" t="str">
        <f aca="false">IF(E131="","",E131*HoursPerDay)</f>
        <v/>
      </c>
      <c r="G131" s="16" t="str">
        <f aca="false">IF(Staff!$A131="","",Staff!$AE131)</f>
        <v/>
      </c>
      <c r="H131" s="28" t="str">
        <f aca="false">IF($A131="","",I131&amp;J131&amp;K131&amp;L131&amp;M131&amp;N131&amp;O131&amp;P131&amp;Q131&amp;R131&amp;S131&amp;T131&amp;U131&amp;V131&amp;W131)</f>
        <v/>
      </c>
      <c r="I131" s="0" t="str">
        <f aca="false">IF(OR($A131="",$D131=""),"",IF(AND(EDATE($D131,Milestones!$AA$20)&lt;=AsOfDate,EDATE($D131,Milestones!$AA$20)&gt;=SchemeStart,IF($X131=0,$AD131,IF(AND($Z131&lt;&gt;"",EDATE($D131,Milestones!$AA$20)&gt;=$Z131),$AC131,IF(AND($Y131&lt;&gt;"",EDATE($D131,Milestones!$AA$20)&gt;=$Y131),$AB131,$AA131)))=Milestones!$AB$20),UPPER(TEXT(EDATE($D131,Milestones!$AA$20),"dd mmm yy"))&amp;" "&amp;Milestones!$AB$20&amp;" "&amp;IF(AND(Milestones!$AB$20="FT",Milestones!$AA$20=FT_Y5,EDATE($D131,Milestones!$AA$20)&lt;PolicyEff),1,Milestones!$AC$20)&amp;";  ","")&amp;IF(AND(EDATE($D131,Milestones!$AA$21)&lt;=AsOfDate,EDATE($D131,Milestones!$AA$21)&gt;=SchemeStart,IF($X131=0,$AD131,IF(AND($Z131&lt;&gt;"",EDATE($D131,Milestones!$AA$21)&gt;=$Z131),$AC131,IF(AND($Y131&lt;&gt;"",EDATE($D131,Milestones!$AA$21)&gt;=$Y131),$AB131,$AA131)))=Milestones!$AB$21),UPPER(TEXT(EDATE($D131,Milestones!$AA$21),"dd mmm yy"))&amp;" "&amp;Milestones!$AB$21&amp;" "&amp;IF(AND(Milestones!$AB$21="FT",Milestones!$AA$21=FT_Y5,EDATE($D131,Milestones!$AA$21)&lt;PolicyEff),1,Milestones!$AC$21)&amp;";  ","")&amp;IF(AND(EDATE($D131,Milestones!$AA$22)&lt;=AsOfDate,EDATE($D131,Milestones!$AA$22)&gt;=SchemeStart,IF($X131=0,$AD131,IF(AND($Z131&lt;&gt;"",EDATE($D131,Milestones!$AA$22)&gt;=$Z131),$AC131,IF(AND($Y131&lt;&gt;"",EDATE($D131,Milestones!$AA$22)&gt;=$Y131),$AB131,$AA131)))=Milestones!$AB$22),UPPER(TEXT(EDATE($D131,Milestones!$AA$22),"dd mmm yy"))&amp;" "&amp;Milestones!$AB$22&amp;" "&amp;IF(AND(Milestones!$AB$22="FT",Milestones!$AA$22=FT_Y5,EDATE($D131,Milestones!$AA$22)&lt;PolicyEff),1,Milestones!$AC$22)&amp;";  ","")&amp;IF(AND(EDATE($D131,Milestones!$AA$23)&lt;=AsOfDate,EDATE($D131,Milestones!$AA$23)&gt;=SchemeStart,IF($X131=0,$AD131,IF(AND($Z131&lt;&gt;"",EDATE($D131,Milestones!$AA$23)&gt;=$Z131),$AC131,IF(AND($Y131&lt;&gt;"",EDATE($D131,Milestones!$AA$23)&gt;=$Y131),$AB131,$AA131)))=Milestones!$AB$23),UPPER(TEXT(EDATE($D131,Milestones!$AA$23),"dd mmm yy"))&amp;" "&amp;Milestones!$AB$23&amp;" "&amp;IF(AND(Milestones!$AB$23="FT",Milestones!$AA$23=FT_Y5,EDATE($D131,Milestones!$AA$23)&lt;PolicyEff),1,Milestones!$AC$23)&amp;";  ","")&amp;IF(AND(EDATE($D131,Milestones!$AA$24)&lt;=AsOfDate,EDATE($D131,Milestones!$AA$24)&gt;=SchemeStart,IF($X131=0,$AD131,IF(AND($Z131&lt;&gt;"",EDATE($D131,Milestones!$AA$24)&gt;=$Z131),$AC131,IF(AND($Y131&lt;&gt;"",EDATE($D131,Milestones!$AA$24)&gt;=$Y131),$AB131,$AA131)))=Milestones!$AB$24),UPPER(TEXT(EDATE($D131,Milestones!$AA$24),"dd mmm yy"))&amp;" "&amp;Milestones!$AB$24&amp;" "&amp;IF(AND(Milestones!$AB$24="FT",Milestones!$AA$24=FT_Y5,EDATE($D131,Milestones!$AA$24)&lt;PolicyEff),1,Milestones!$AC$24)&amp;";  ","")&amp;IF(AND(EDATE($D131,Milestones!$AA$25)&lt;=AsOfDate,EDATE($D131,Milestones!$AA$25)&gt;=SchemeStart,IF($X131=0,$AD131,IF(AND($Z131&lt;&gt;"",EDATE($D131,Milestones!$AA$25)&gt;=$Z131),$AC131,IF(AND($Y131&lt;&gt;"",EDATE($D131,Milestones!$AA$25)&gt;=$Y131),$AB131,$AA131)))=Milestones!$AB$25),UPPER(TEXT(EDATE($D131,Milestones!$AA$25),"dd mmm yy"))&amp;" "&amp;Milestones!$AB$25&amp;" "&amp;IF(AND(Milestones!$AB$25="FT",Milestones!$AA$25=FT_Y5,EDATE($D131,Milestones!$AA$25)&lt;PolicyEff),1,Milestones!$AC$25)&amp;";  ","")&amp;IF(AND(EDATE($D131,Milestones!$AA$26)&lt;=AsOfDate,EDATE($D131,Milestones!$AA$26)&gt;=SchemeStart,IF($X131=0,$AD131,IF(AND($Z131&lt;&gt;"",EDATE($D131,Milestones!$AA$26)&gt;=$Z131),$AC131,IF(AND($Y131&lt;&gt;"",EDATE($D131,Milestones!$AA$26)&gt;=$Y131),$AB131,$AA131)))=Milestones!$AB$26),UPPER(TEXT(EDATE($D131,Milestones!$AA$26),"dd mmm yy"))&amp;" "&amp;Milestones!$AB$26&amp;" "&amp;IF(AND(Milestones!$AB$26="FT",Milestones!$AA$26=FT_Y5,EDATE($D131,Milestones!$AA$26)&lt;PolicyEff),1,Milestones!$AC$26)&amp;";  ","")&amp;IF(AND(EDATE($D131,Milestones!$AA$27)&lt;=AsOfDate,EDATE($D131,Milestones!$AA$27)&gt;=SchemeStart,IF($X131=0,$AD131,IF(AND($Z131&lt;&gt;"",EDATE($D131,Milestones!$AA$27)&gt;=$Z131),$AC131,IF(AND($Y131&lt;&gt;"",EDATE($D131,Milestones!$AA$27)&gt;=$Y131),$AB131,$AA131)))=Milestones!$AB$27),UPPER(TEXT(EDATE($D131,Milestones!$AA$27),"dd mmm yy"))&amp;" "&amp;Milestones!$AB$27&amp;" "&amp;IF(AND(Milestones!$AB$27="FT",Milestones!$AA$27=FT_Y5,EDATE($D131,Milestones!$AA$27)&lt;PolicyEff),1,Milestones!$AC$27)&amp;";  ","")&amp;IF(AND(EDATE($D131,Milestones!$AA$28)&lt;=AsOfDate,EDATE($D131,Milestones!$AA$28)&gt;=SchemeStart,IF($X131=0,$AD131,IF(AND($Z131&lt;&gt;"",EDATE($D131,Milestones!$AA$28)&gt;=$Z131),$AC131,IF(AND($Y131&lt;&gt;"",EDATE($D131,Milestones!$AA$28)&gt;=$Y131),$AB131,$AA131)))=Milestones!$AB$28),UPPER(TEXT(EDATE($D131,Milestones!$AA$28),"dd mmm yy"))&amp;" "&amp;Milestones!$AB$28&amp;" "&amp;IF(AND(Milestones!$AB$28="FT",Milestones!$AA$28=FT_Y5,EDATE($D131,Milestones!$AA$28)&lt;PolicyEff),1,Milestones!$AC$28)&amp;";  ","")&amp;IF(AND(EDATE($D131,Milestones!$AA$29)&lt;=AsOfDate,EDATE($D131,Milestones!$AA$29)&gt;=SchemeStart,IF($X131=0,$AD131,IF(AND($Z131&lt;&gt;"",EDATE($D131,Milestones!$AA$29)&gt;=$Z131),$AC131,IF(AND($Y131&lt;&gt;"",EDATE($D131,Milestones!$AA$29)&gt;=$Y131),$AB131,$AA131)))=Milestones!$AB$29),UPPER(TEXT(EDATE($D131,Milestones!$AA$29),"dd mmm yy"))&amp;" "&amp;Milestones!$AB$29&amp;" "&amp;IF(AND(Milestones!$AB$29="FT",Milestones!$AA$29=FT_Y5,EDATE($D131,Milestones!$AA$29)&lt;PolicyEff),1,Milestones!$AC$29)&amp;";  ","")&amp;IF(AND(EDATE($D131,Milestones!$AA$30)&lt;=AsOfDate,EDATE($D131,Milestones!$AA$30)&gt;=SchemeStart,IF($X131=0,$AD131,IF(AND($Z131&lt;&gt;"",EDATE($D131,Milestones!$AA$30)&gt;=$Z131),$AC131,IF(AND($Y131&lt;&gt;"",EDATE($D131,Milestones!$AA$30)&gt;=$Y131),$AB131,$AA131)))=Milestones!$AB$30),UPPER(TEXT(EDATE($D131,Milestones!$AA$30),"dd mmm yy"))&amp;" "&amp;Milestones!$AB$30&amp;" "&amp;IF(AND(Milestones!$AB$30="FT",Milestones!$AA$30=FT_Y5,EDATE($D131,Milestones!$AA$30)&lt;PolicyEff),1,Milestones!$AC$30)&amp;";  ","")&amp;IF(AND(EDATE($D131,Milestones!$AA$31)&lt;=AsOfDate,EDATE($D131,Milestones!$AA$31)&gt;=SchemeStart,IF($X131=0,$AD131,IF(AND($Z131&lt;&gt;"",EDATE($D131,Milestones!$AA$31)&gt;=$Z131),$AC131,IF(AND($Y131&lt;&gt;"",EDATE($D131,Milestones!$AA$31)&gt;=$Y131),$AB131,$AA131)))=Milestones!$AB$31),UPPER(TEXT(EDATE($D131,Milestones!$AA$31),"dd mmm yy"))&amp;" "&amp;Milestones!$AB$31&amp;" "&amp;IF(AND(Milestones!$AB$31="FT",Milestones!$AA$31=FT_Y5,EDATE($D131,Milestones!$AA$31)&lt;PolicyEff),1,Milestones!$AC$31)&amp;";  ",""))</f>
        <v/>
      </c>
      <c r="J131" s="0" t="str">
        <f aca="false">IF(OR($A131="",$D131=""),"",IF(AND(EDATE($D131,Milestones!$AA$32)&lt;=AsOfDate,EDATE($D131,Milestones!$AA$32)&gt;=SchemeStart,IF($X131=0,$AD131,IF(AND($Z131&lt;&gt;"",EDATE($D131,Milestones!$AA$32)&gt;=$Z131),$AC131,IF(AND($Y131&lt;&gt;"",EDATE($D131,Milestones!$AA$32)&gt;=$Y131),$AB131,$AA131)))=Milestones!$AB$32),UPPER(TEXT(EDATE($D131,Milestones!$AA$32),"dd mmm yy"))&amp;" "&amp;Milestones!$AB$32&amp;" "&amp;IF(AND(Milestones!$AB$32="FT",Milestones!$AA$32=FT_Y5,EDATE($D131,Milestones!$AA$32)&lt;PolicyEff),1,Milestones!$AC$32)&amp;";  ","")&amp;IF(AND(EDATE($D131,Milestones!$AA$33)&lt;=AsOfDate,EDATE($D131,Milestones!$AA$33)&gt;=SchemeStart,IF($X131=0,$AD131,IF(AND($Z131&lt;&gt;"",EDATE($D131,Milestones!$AA$33)&gt;=$Z131),$AC131,IF(AND($Y131&lt;&gt;"",EDATE($D131,Milestones!$AA$33)&gt;=$Y131),$AB131,$AA131)))=Milestones!$AB$33),UPPER(TEXT(EDATE($D131,Milestones!$AA$33),"dd mmm yy"))&amp;" "&amp;Milestones!$AB$33&amp;" "&amp;IF(AND(Milestones!$AB$33="FT",Milestones!$AA$33=FT_Y5,EDATE($D131,Milestones!$AA$33)&lt;PolicyEff),1,Milestones!$AC$33)&amp;";  ","")&amp;IF(AND(EDATE($D131,Milestones!$AA$34)&lt;=AsOfDate,EDATE($D131,Milestones!$AA$34)&gt;=SchemeStart,IF($X131=0,$AD131,IF(AND($Z131&lt;&gt;"",EDATE($D131,Milestones!$AA$34)&gt;=$Z131),$AC131,IF(AND($Y131&lt;&gt;"",EDATE($D131,Milestones!$AA$34)&gt;=$Y131),$AB131,$AA131)))=Milestones!$AB$34),UPPER(TEXT(EDATE($D131,Milestones!$AA$34),"dd mmm yy"))&amp;" "&amp;Milestones!$AB$34&amp;" "&amp;IF(AND(Milestones!$AB$34="FT",Milestones!$AA$34=FT_Y5,EDATE($D131,Milestones!$AA$34)&lt;PolicyEff),1,Milestones!$AC$34)&amp;";  ","")&amp;IF(AND(EDATE($D131,Milestones!$AA$35)&lt;=AsOfDate,EDATE($D131,Milestones!$AA$35)&gt;=SchemeStart,IF($X131=0,$AD131,IF(AND($Z131&lt;&gt;"",EDATE($D131,Milestones!$AA$35)&gt;=$Z131),$AC131,IF(AND($Y131&lt;&gt;"",EDATE($D131,Milestones!$AA$35)&gt;=$Y131),$AB131,$AA131)))=Milestones!$AB$35),UPPER(TEXT(EDATE($D131,Milestones!$AA$35),"dd mmm yy"))&amp;" "&amp;Milestones!$AB$35&amp;" "&amp;IF(AND(Milestones!$AB$35="FT",Milestones!$AA$35=FT_Y5,EDATE($D131,Milestones!$AA$35)&lt;PolicyEff),1,Milestones!$AC$35)&amp;";  ","")&amp;IF(AND(EDATE($D131,Milestones!$AA$36)&lt;=AsOfDate,EDATE($D131,Milestones!$AA$36)&gt;=SchemeStart,IF($X131=0,$AD131,IF(AND($Z131&lt;&gt;"",EDATE($D131,Milestones!$AA$36)&gt;=$Z131),$AC131,IF(AND($Y131&lt;&gt;"",EDATE($D131,Milestones!$AA$36)&gt;=$Y131),$AB131,$AA131)))=Milestones!$AB$36),UPPER(TEXT(EDATE($D131,Milestones!$AA$36),"dd mmm yy"))&amp;" "&amp;Milestones!$AB$36&amp;" "&amp;IF(AND(Milestones!$AB$36="FT",Milestones!$AA$36=FT_Y5,EDATE($D131,Milestones!$AA$36)&lt;PolicyEff),1,Milestones!$AC$36)&amp;";  ","")&amp;IF(AND(EDATE($D131,Milestones!$AA$37)&lt;=AsOfDate,EDATE($D131,Milestones!$AA$37)&gt;=SchemeStart,IF($X131=0,$AD131,IF(AND($Z131&lt;&gt;"",EDATE($D131,Milestones!$AA$37)&gt;=$Z131),$AC131,IF(AND($Y131&lt;&gt;"",EDATE($D131,Milestones!$AA$37)&gt;=$Y131),$AB131,$AA131)))=Milestones!$AB$37),UPPER(TEXT(EDATE($D131,Milestones!$AA$37),"dd mmm yy"))&amp;" "&amp;Milestones!$AB$37&amp;" "&amp;IF(AND(Milestones!$AB$37="FT",Milestones!$AA$37=FT_Y5,EDATE($D131,Milestones!$AA$37)&lt;PolicyEff),1,Milestones!$AC$37)&amp;";  ","")&amp;IF(AND(EDATE($D131,Milestones!$AA$38)&lt;=AsOfDate,EDATE($D131,Milestones!$AA$38)&gt;=SchemeStart,IF($X131=0,$AD131,IF(AND($Z131&lt;&gt;"",EDATE($D131,Milestones!$AA$38)&gt;=$Z131),$AC131,IF(AND($Y131&lt;&gt;"",EDATE($D131,Milestones!$AA$38)&gt;=$Y131),$AB131,$AA131)))=Milestones!$AB$38),UPPER(TEXT(EDATE($D131,Milestones!$AA$38),"dd mmm yy"))&amp;" "&amp;Milestones!$AB$38&amp;" "&amp;IF(AND(Milestones!$AB$38="FT",Milestones!$AA$38=FT_Y5,EDATE($D131,Milestones!$AA$38)&lt;PolicyEff),1,Milestones!$AC$38)&amp;";  ","")&amp;IF(AND(EDATE($D131,Milestones!$AA$39)&lt;=AsOfDate,EDATE($D131,Milestones!$AA$39)&gt;=SchemeStart,IF($X131=0,$AD131,IF(AND($Z131&lt;&gt;"",EDATE($D131,Milestones!$AA$39)&gt;=$Z131),$AC131,IF(AND($Y131&lt;&gt;"",EDATE($D131,Milestones!$AA$39)&gt;=$Y131),$AB131,$AA131)))=Milestones!$AB$39),UPPER(TEXT(EDATE($D131,Milestones!$AA$39),"dd mmm yy"))&amp;" "&amp;Milestones!$AB$39&amp;" "&amp;IF(AND(Milestones!$AB$39="FT",Milestones!$AA$39=FT_Y5,EDATE($D131,Milestones!$AA$39)&lt;PolicyEff),1,Milestones!$AC$39)&amp;";  ","")&amp;IF(AND(EDATE($D131,Milestones!$AA$40)&lt;=AsOfDate,EDATE($D131,Milestones!$AA$40)&gt;=SchemeStart,IF($X131=0,$AD131,IF(AND($Z131&lt;&gt;"",EDATE($D131,Milestones!$AA$40)&gt;=$Z131),$AC131,IF(AND($Y131&lt;&gt;"",EDATE($D131,Milestones!$AA$40)&gt;=$Y131),$AB131,$AA131)))=Milestones!$AB$40),UPPER(TEXT(EDATE($D131,Milestones!$AA$40),"dd mmm yy"))&amp;" "&amp;Milestones!$AB$40&amp;" "&amp;IF(AND(Milestones!$AB$40="FT",Milestones!$AA$40=FT_Y5,EDATE($D131,Milestones!$AA$40)&lt;PolicyEff),1,Milestones!$AC$40)&amp;";  ","")&amp;IF(AND(EDATE($D131,Milestones!$AA$41)&lt;=AsOfDate,EDATE($D131,Milestones!$AA$41)&gt;=SchemeStart,IF($X131=0,$AD131,IF(AND($Z131&lt;&gt;"",EDATE($D131,Milestones!$AA$41)&gt;=$Z131),$AC131,IF(AND($Y131&lt;&gt;"",EDATE($D131,Milestones!$AA$41)&gt;=$Y131),$AB131,$AA131)))=Milestones!$AB$41),UPPER(TEXT(EDATE($D131,Milestones!$AA$41),"dd mmm yy"))&amp;" "&amp;Milestones!$AB$41&amp;" "&amp;IF(AND(Milestones!$AB$41="FT",Milestones!$AA$41=FT_Y5,EDATE($D131,Milestones!$AA$41)&lt;PolicyEff),1,Milestones!$AC$41)&amp;";  ","")&amp;IF(AND(EDATE($D131,Milestones!$AA$42)&lt;=AsOfDate,EDATE($D131,Milestones!$AA$42)&gt;=SchemeStart,IF($X131=0,$AD131,IF(AND($Z131&lt;&gt;"",EDATE($D131,Milestones!$AA$42)&gt;=$Z131),$AC131,IF(AND($Y131&lt;&gt;"",EDATE($D131,Milestones!$AA$42)&gt;=$Y131),$AB131,$AA131)))=Milestones!$AB$42),UPPER(TEXT(EDATE($D131,Milestones!$AA$42),"dd mmm yy"))&amp;" "&amp;Milestones!$AB$42&amp;" "&amp;IF(AND(Milestones!$AB$42="FT",Milestones!$AA$42=FT_Y5,EDATE($D131,Milestones!$AA$42)&lt;PolicyEff),1,Milestones!$AC$42)&amp;";  ","")&amp;IF(AND(EDATE($D131,Milestones!$AA$43)&lt;=AsOfDate,EDATE($D131,Milestones!$AA$43)&gt;=SchemeStart,IF($X131=0,$AD131,IF(AND($Z131&lt;&gt;"",EDATE($D131,Milestones!$AA$43)&gt;=$Z131),$AC131,IF(AND($Y131&lt;&gt;"",EDATE($D131,Milestones!$AA$43)&gt;=$Y131),$AB131,$AA131)))=Milestones!$AB$43),UPPER(TEXT(EDATE($D131,Milestones!$AA$43),"dd mmm yy"))&amp;" "&amp;Milestones!$AB$43&amp;" "&amp;IF(AND(Milestones!$AB$43="FT",Milestones!$AA$43=FT_Y5,EDATE($D131,Milestones!$AA$43)&lt;PolicyEff),1,Milestones!$AC$43)&amp;";  ",""))</f>
        <v/>
      </c>
      <c r="K131" s="0" t="str">
        <f aca="false">IF(OR($A131="",$D131=""),"",IF(AND(EDATE($D131,Milestones!$AA$44)&lt;=AsOfDate,EDATE($D131,Milestones!$AA$44)&gt;=SchemeStart,IF($X131=0,$AD131,IF(AND($Z131&lt;&gt;"",EDATE($D131,Milestones!$AA$44)&gt;=$Z131),$AC131,IF(AND($Y131&lt;&gt;"",EDATE($D131,Milestones!$AA$44)&gt;=$Y131),$AB131,$AA131)))=Milestones!$AB$44),UPPER(TEXT(EDATE($D131,Milestones!$AA$44),"dd mmm yy"))&amp;" "&amp;Milestones!$AB$44&amp;" "&amp;IF(AND(Milestones!$AB$44="FT",Milestones!$AA$44=FT_Y5,EDATE($D131,Milestones!$AA$44)&lt;PolicyEff),1,Milestones!$AC$44)&amp;";  ","")&amp;IF(AND(EDATE($D131,Milestones!$AA$45)&lt;=AsOfDate,EDATE($D131,Milestones!$AA$45)&gt;=SchemeStart,IF($X131=0,$AD131,IF(AND($Z131&lt;&gt;"",EDATE($D131,Milestones!$AA$45)&gt;=$Z131),$AC131,IF(AND($Y131&lt;&gt;"",EDATE($D131,Milestones!$AA$45)&gt;=$Y131),$AB131,$AA131)))=Milestones!$AB$45),UPPER(TEXT(EDATE($D131,Milestones!$AA$45),"dd mmm yy"))&amp;" "&amp;Milestones!$AB$45&amp;" "&amp;IF(AND(Milestones!$AB$45="FT",Milestones!$AA$45=FT_Y5,EDATE($D131,Milestones!$AA$45)&lt;PolicyEff),1,Milestones!$AC$45)&amp;";  ","")&amp;IF(AND(EDATE($D131,Milestones!$AA$46)&lt;=AsOfDate,EDATE($D131,Milestones!$AA$46)&gt;=SchemeStart,IF($X131=0,$AD131,IF(AND($Z131&lt;&gt;"",EDATE($D131,Milestones!$AA$46)&gt;=$Z131),$AC131,IF(AND($Y131&lt;&gt;"",EDATE($D131,Milestones!$AA$46)&gt;=$Y131),$AB131,$AA131)))=Milestones!$AB$46),UPPER(TEXT(EDATE($D131,Milestones!$AA$46),"dd mmm yy"))&amp;" "&amp;Milestones!$AB$46&amp;" "&amp;IF(AND(Milestones!$AB$46="FT",Milestones!$AA$46=FT_Y5,EDATE($D131,Milestones!$AA$46)&lt;PolicyEff),1,Milestones!$AC$46)&amp;";  ","")&amp;IF(AND(EDATE($D131,Milestones!$AA$47)&lt;=AsOfDate,EDATE($D131,Milestones!$AA$47)&gt;=SchemeStart,IF($X131=0,$AD131,IF(AND($Z131&lt;&gt;"",EDATE($D131,Milestones!$AA$47)&gt;=$Z131),$AC131,IF(AND($Y131&lt;&gt;"",EDATE($D131,Milestones!$AA$47)&gt;=$Y131),$AB131,$AA131)))=Milestones!$AB$47),UPPER(TEXT(EDATE($D131,Milestones!$AA$47),"dd mmm yy"))&amp;" "&amp;Milestones!$AB$47&amp;" "&amp;IF(AND(Milestones!$AB$47="FT",Milestones!$AA$47=FT_Y5,EDATE($D131,Milestones!$AA$47)&lt;PolicyEff),1,Milestones!$AC$47)&amp;";  ","")&amp;IF(AND(EDATE($D131,Milestones!$AA$48)&lt;=AsOfDate,EDATE($D131,Milestones!$AA$48)&gt;=SchemeStart,IF($X131=0,$AD131,IF(AND($Z131&lt;&gt;"",EDATE($D131,Milestones!$AA$48)&gt;=$Z131),$AC131,IF(AND($Y131&lt;&gt;"",EDATE($D131,Milestones!$AA$48)&gt;=$Y131),$AB131,$AA131)))=Milestones!$AB$48),UPPER(TEXT(EDATE($D131,Milestones!$AA$48),"dd mmm yy"))&amp;" "&amp;Milestones!$AB$48&amp;" "&amp;IF(AND(Milestones!$AB$48="FT",Milestones!$AA$48=FT_Y5,EDATE($D131,Milestones!$AA$48)&lt;PolicyEff),1,Milestones!$AC$48)&amp;";  ","")&amp;IF(AND(EDATE($D131,Milestones!$AA$49)&lt;=AsOfDate,EDATE($D131,Milestones!$AA$49)&gt;=SchemeStart,IF($X131=0,$AD131,IF(AND($Z131&lt;&gt;"",EDATE($D131,Milestones!$AA$49)&gt;=$Z131),$AC131,IF(AND($Y131&lt;&gt;"",EDATE($D131,Milestones!$AA$49)&gt;=$Y131),$AB131,$AA131)))=Milestones!$AB$49),UPPER(TEXT(EDATE($D131,Milestones!$AA$49),"dd mmm yy"))&amp;" "&amp;Milestones!$AB$49&amp;" "&amp;IF(AND(Milestones!$AB$49="FT",Milestones!$AA$49=FT_Y5,EDATE($D131,Milestones!$AA$49)&lt;PolicyEff),1,Milestones!$AC$49)&amp;";  ","")&amp;IF(AND(EDATE($D131,Milestones!$AA$50)&lt;=AsOfDate,EDATE($D131,Milestones!$AA$50)&gt;=SchemeStart,IF($X131=0,$AD131,IF(AND($Z131&lt;&gt;"",EDATE($D131,Milestones!$AA$50)&gt;=$Z131),$AC131,IF(AND($Y131&lt;&gt;"",EDATE($D131,Milestones!$AA$50)&gt;=$Y131),$AB131,$AA131)))=Milestones!$AB$50),UPPER(TEXT(EDATE($D131,Milestones!$AA$50),"dd mmm yy"))&amp;" "&amp;Milestones!$AB$50&amp;" "&amp;IF(AND(Milestones!$AB$50="FT",Milestones!$AA$50=FT_Y5,EDATE($D131,Milestones!$AA$50)&lt;PolicyEff),1,Milestones!$AC$50)&amp;";  ","")&amp;IF(AND(EDATE($D131,Milestones!$AA$51)&lt;=AsOfDate,EDATE($D131,Milestones!$AA$51)&gt;=SchemeStart,IF($X131=0,$AD131,IF(AND($Z131&lt;&gt;"",EDATE($D131,Milestones!$AA$51)&gt;=$Z131),$AC131,IF(AND($Y131&lt;&gt;"",EDATE($D131,Milestones!$AA$51)&gt;=$Y131),$AB131,$AA131)))=Milestones!$AB$51),UPPER(TEXT(EDATE($D131,Milestones!$AA$51),"dd mmm yy"))&amp;" "&amp;Milestones!$AB$51&amp;" "&amp;IF(AND(Milestones!$AB$51="FT",Milestones!$AA$51=FT_Y5,EDATE($D131,Milestones!$AA$51)&lt;PolicyEff),1,Milestones!$AC$51)&amp;";  ","")&amp;IF(AND(EDATE($D131,Milestones!$AA$52)&lt;=AsOfDate,EDATE($D131,Milestones!$AA$52)&gt;=SchemeStart,IF($X131=0,$AD131,IF(AND($Z131&lt;&gt;"",EDATE($D131,Milestones!$AA$52)&gt;=$Z131),$AC131,IF(AND($Y131&lt;&gt;"",EDATE($D131,Milestones!$AA$52)&gt;=$Y131),$AB131,$AA131)))=Milestones!$AB$52),UPPER(TEXT(EDATE($D131,Milestones!$AA$52),"dd mmm yy"))&amp;" "&amp;Milestones!$AB$52&amp;" "&amp;IF(AND(Milestones!$AB$52="FT",Milestones!$AA$52=FT_Y5,EDATE($D131,Milestones!$AA$52)&lt;PolicyEff),1,Milestones!$AC$52)&amp;";  ","")&amp;IF(AND(EDATE($D131,Milestones!$AA$53)&lt;=AsOfDate,EDATE($D131,Milestones!$AA$53)&gt;=SchemeStart,IF($X131=0,$AD131,IF(AND($Z131&lt;&gt;"",EDATE($D131,Milestones!$AA$53)&gt;=$Z131),$AC131,IF(AND($Y131&lt;&gt;"",EDATE($D131,Milestones!$AA$53)&gt;=$Y131),$AB131,$AA131)))=Milestones!$AB$53),UPPER(TEXT(EDATE($D131,Milestones!$AA$53),"dd mmm yy"))&amp;" "&amp;Milestones!$AB$53&amp;" "&amp;IF(AND(Milestones!$AB$53="FT",Milestones!$AA$53=FT_Y5,EDATE($D131,Milestones!$AA$53)&lt;PolicyEff),1,Milestones!$AC$53)&amp;";  ","")&amp;IF(AND(EDATE($D131,Milestones!$AA$54)&lt;=AsOfDate,EDATE($D131,Milestones!$AA$54)&gt;=SchemeStart,IF($X131=0,$AD131,IF(AND($Z131&lt;&gt;"",EDATE($D131,Milestones!$AA$54)&gt;=$Z131),$AC131,IF(AND($Y131&lt;&gt;"",EDATE($D131,Milestones!$AA$54)&gt;=$Y131),$AB131,$AA131)))=Milestones!$AB$54),UPPER(TEXT(EDATE($D131,Milestones!$AA$54),"dd mmm yy"))&amp;" "&amp;Milestones!$AB$54&amp;" "&amp;IF(AND(Milestones!$AB$54="FT",Milestones!$AA$54=FT_Y5,EDATE($D131,Milestones!$AA$54)&lt;PolicyEff),1,Milestones!$AC$54)&amp;";  ","")&amp;IF(AND(EDATE($D131,Milestones!$AA$55)&lt;=AsOfDate,EDATE($D131,Milestones!$AA$55)&gt;=SchemeStart,IF($X131=0,$AD131,IF(AND($Z131&lt;&gt;"",EDATE($D131,Milestones!$AA$55)&gt;=$Z131),$AC131,IF(AND($Y131&lt;&gt;"",EDATE($D131,Milestones!$AA$55)&gt;=$Y131),$AB131,$AA131)))=Milestones!$AB$55),UPPER(TEXT(EDATE($D131,Milestones!$AA$55),"dd mmm yy"))&amp;" "&amp;Milestones!$AB$55&amp;" "&amp;IF(AND(Milestones!$AB$55="FT",Milestones!$AA$55=FT_Y5,EDATE($D131,Milestones!$AA$55)&lt;PolicyEff),1,Milestones!$AC$55)&amp;";  ",""))</f>
        <v/>
      </c>
      <c r="L131" s="0" t="str">
        <f aca="false">IF(OR($A131="",$D131=""),"",IF(AND(EDATE($D131,Milestones!$AA$56)&lt;=AsOfDate,EDATE($D131,Milestones!$AA$56)&gt;=SchemeStart,IF($X131=0,$AD131,IF(AND($Z131&lt;&gt;"",EDATE($D131,Milestones!$AA$56)&gt;=$Z131),$AC131,IF(AND($Y131&lt;&gt;"",EDATE($D131,Milestones!$AA$56)&gt;=$Y131),$AB131,$AA131)))=Milestones!$AB$56),UPPER(TEXT(EDATE($D131,Milestones!$AA$56),"dd mmm yy"))&amp;" "&amp;Milestones!$AB$56&amp;" "&amp;IF(AND(Milestones!$AB$56="FT",Milestones!$AA$56=FT_Y5,EDATE($D131,Milestones!$AA$56)&lt;PolicyEff),1,Milestones!$AC$56)&amp;";  ","")&amp;IF(AND(EDATE($D131,Milestones!$AA$57)&lt;=AsOfDate,EDATE($D131,Milestones!$AA$57)&gt;=SchemeStart,IF($X131=0,$AD131,IF(AND($Z131&lt;&gt;"",EDATE($D131,Milestones!$AA$57)&gt;=$Z131),$AC131,IF(AND($Y131&lt;&gt;"",EDATE($D131,Milestones!$AA$57)&gt;=$Y131),$AB131,$AA131)))=Milestones!$AB$57),UPPER(TEXT(EDATE($D131,Milestones!$AA$57),"dd mmm yy"))&amp;" "&amp;Milestones!$AB$57&amp;" "&amp;IF(AND(Milestones!$AB$57="FT",Milestones!$AA$57=FT_Y5,EDATE($D131,Milestones!$AA$57)&lt;PolicyEff),1,Milestones!$AC$57)&amp;";  ","")&amp;IF(AND(EDATE($D131,Milestones!$AA$58)&lt;=AsOfDate,EDATE($D131,Milestones!$AA$58)&gt;=SchemeStart,IF($X131=0,$AD131,IF(AND($Z131&lt;&gt;"",EDATE($D131,Milestones!$AA$58)&gt;=$Z131),$AC131,IF(AND($Y131&lt;&gt;"",EDATE($D131,Milestones!$AA$58)&gt;=$Y131),$AB131,$AA131)))=Milestones!$AB$58),UPPER(TEXT(EDATE($D131,Milestones!$AA$58),"dd mmm yy"))&amp;" "&amp;Milestones!$AB$58&amp;" "&amp;IF(AND(Milestones!$AB$58="FT",Milestones!$AA$58=FT_Y5,EDATE($D131,Milestones!$AA$58)&lt;PolicyEff),1,Milestones!$AC$58)&amp;";  ","")&amp;IF(AND(EDATE($D131,Milestones!$AA$59)&lt;=AsOfDate,EDATE($D131,Milestones!$AA$59)&gt;=SchemeStart,IF($X131=0,$AD131,IF(AND($Z131&lt;&gt;"",EDATE($D131,Milestones!$AA$59)&gt;=$Z131),$AC131,IF(AND($Y131&lt;&gt;"",EDATE($D131,Milestones!$AA$59)&gt;=$Y131),$AB131,$AA131)))=Milestones!$AB$59),UPPER(TEXT(EDATE($D131,Milestones!$AA$59),"dd mmm yy"))&amp;" "&amp;Milestones!$AB$59&amp;" "&amp;IF(AND(Milestones!$AB$59="FT",Milestones!$AA$59=FT_Y5,EDATE($D131,Milestones!$AA$59)&lt;PolicyEff),1,Milestones!$AC$59)&amp;";  ","")&amp;IF(AND(EDATE($D131,Milestones!$AA$60)&lt;=AsOfDate,EDATE($D131,Milestones!$AA$60)&gt;=SchemeStart,IF($X131=0,$AD131,IF(AND($Z131&lt;&gt;"",EDATE($D131,Milestones!$AA$60)&gt;=$Z131),$AC131,IF(AND($Y131&lt;&gt;"",EDATE($D131,Milestones!$AA$60)&gt;=$Y131),$AB131,$AA131)))=Milestones!$AB$60),UPPER(TEXT(EDATE($D131,Milestones!$AA$60),"dd mmm yy"))&amp;" "&amp;Milestones!$AB$60&amp;" "&amp;IF(AND(Milestones!$AB$60="FT",Milestones!$AA$60=FT_Y5,EDATE($D131,Milestones!$AA$60)&lt;PolicyEff),1,Milestones!$AC$60)&amp;";  ","")&amp;IF(AND(EDATE($D131,Milestones!$AA$61)&lt;=AsOfDate,EDATE($D131,Milestones!$AA$61)&gt;=SchemeStart,IF($X131=0,$AD131,IF(AND($Z131&lt;&gt;"",EDATE($D131,Milestones!$AA$61)&gt;=$Z131),$AC131,IF(AND($Y131&lt;&gt;"",EDATE($D131,Milestones!$AA$61)&gt;=$Y131),$AB131,$AA131)))=Milestones!$AB$61),UPPER(TEXT(EDATE($D131,Milestones!$AA$61),"dd mmm yy"))&amp;" "&amp;Milestones!$AB$61&amp;" "&amp;IF(AND(Milestones!$AB$61="FT",Milestones!$AA$61=FT_Y5,EDATE($D131,Milestones!$AA$61)&lt;PolicyEff),1,Milestones!$AC$61)&amp;";  ","")&amp;IF(AND(EDATE($D131,Milestones!$AA$62)&lt;=AsOfDate,EDATE($D131,Milestones!$AA$62)&gt;=SchemeStart,IF($X131=0,$AD131,IF(AND($Z131&lt;&gt;"",EDATE($D131,Milestones!$AA$62)&gt;=$Z131),$AC131,IF(AND($Y131&lt;&gt;"",EDATE($D131,Milestones!$AA$62)&gt;=$Y131),$AB131,$AA131)))=Milestones!$AB$62),UPPER(TEXT(EDATE($D131,Milestones!$AA$62),"dd mmm yy"))&amp;" "&amp;Milestones!$AB$62&amp;" "&amp;IF(AND(Milestones!$AB$62="FT",Milestones!$AA$62=FT_Y5,EDATE($D131,Milestones!$AA$62)&lt;PolicyEff),1,Milestones!$AC$62)&amp;";  ","")&amp;IF(AND(EDATE($D131,Milestones!$AA$63)&lt;=AsOfDate,EDATE($D131,Milestones!$AA$63)&gt;=SchemeStart,IF($X131=0,$AD131,IF(AND($Z131&lt;&gt;"",EDATE($D131,Milestones!$AA$63)&gt;=$Z131),$AC131,IF(AND($Y131&lt;&gt;"",EDATE($D131,Milestones!$AA$63)&gt;=$Y131),$AB131,$AA131)))=Milestones!$AB$63),UPPER(TEXT(EDATE($D131,Milestones!$AA$63),"dd mmm yy"))&amp;" "&amp;Milestones!$AB$63&amp;" "&amp;IF(AND(Milestones!$AB$63="FT",Milestones!$AA$63=FT_Y5,EDATE($D131,Milestones!$AA$63)&lt;PolicyEff),1,Milestones!$AC$63)&amp;";  ","")&amp;IF(AND(EDATE($D131,Milestones!$AA$64)&lt;=AsOfDate,EDATE($D131,Milestones!$AA$64)&gt;=SchemeStart,IF($X131=0,$AD131,IF(AND($Z131&lt;&gt;"",EDATE($D131,Milestones!$AA$64)&gt;=$Z131),$AC131,IF(AND($Y131&lt;&gt;"",EDATE($D131,Milestones!$AA$64)&gt;=$Y131),$AB131,$AA131)))=Milestones!$AB$64),UPPER(TEXT(EDATE($D131,Milestones!$AA$64),"dd mmm yy"))&amp;" "&amp;Milestones!$AB$64&amp;" "&amp;IF(AND(Milestones!$AB$64="FT",Milestones!$AA$64=FT_Y5,EDATE($D131,Milestones!$AA$64)&lt;PolicyEff),1,Milestones!$AC$64)&amp;";  ","")&amp;IF(AND(EDATE($D131,Milestones!$AA$65)&lt;=AsOfDate,EDATE($D131,Milestones!$AA$65)&gt;=SchemeStart,IF($X131=0,$AD131,IF(AND($Z131&lt;&gt;"",EDATE($D131,Milestones!$AA$65)&gt;=$Z131),$AC131,IF(AND($Y131&lt;&gt;"",EDATE($D131,Milestones!$AA$65)&gt;=$Y131),$AB131,$AA131)))=Milestones!$AB$65),UPPER(TEXT(EDATE($D131,Milestones!$AA$65),"dd mmm yy"))&amp;" "&amp;Milestones!$AB$65&amp;" "&amp;IF(AND(Milestones!$AB$65="FT",Milestones!$AA$65=FT_Y5,EDATE($D131,Milestones!$AA$65)&lt;PolicyEff),1,Milestones!$AC$65)&amp;";  ","")&amp;IF(AND(EDATE($D131,Milestones!$AA$66)&lt;=AsOfDate,EDATE($D131,Milestones!$AA$66)&gt;=SchemeStart,IF($X131=0,$AD131,IF(AND($Z131&lt;&gt;"",EDATE($D131,Milestones!$AA$66)&gt;=$Z131),$AC131,IF(AND($Y131&lt;&gt;"",EDATE($D131,Milestones!$AA$66)&gt;=$Y131),$AB131,$AA131)))=Milestones!$AB$66),UPPER(TEXT(EDATE($D131,Milestones!$AA$66),"dd mmm yy"))&amp;" "&amp;Milestones!$AB$66&amp;" "&amp;IF(AND(Milestones!$AB$66="FT",Milestones!$AA$66=FT_Y5,EDATE($D131,Milestones!$AA$66)&lt;PolicyEff),1,Milestones!$AC$66)&amp;";  ","")&amp;IF(AND(EDATE($D131,Milestones!$AA$67)&lt;=AsOfDate,EDATE($D131,Milestones!$AA$67)&gt;=SchemeStart,IF($X131=0,$AD131,IF(AND($Z131&lt;&gt;"",EDATE($D131,Milestones!$AA$67)&gt;=$Z131),$AC131,IF(AND($Y131&lt;&gt;"",EDATE($D131,Milestones!$AA$67)&gt;=$Y131),$AB131,$AA131)))=Milestones!$AB$67),UPPER(TEXT(EDATE($D131,Milestones!$AA$67),"dd mmm yy"))&amp;" "&amp;Milestones!$AB$67&amp;" "&amp;IF(AND(Milestones!$AB$67="FT",Milestones!$AA$67=FT_Y5,EDATE($D131,Milestones!$AA$67)&lt;PolicyEff),1,Milestones!$AC$67)&amp;";  ",""))</f>
        <v/>
      </c>
      <c r="M131" s="0" t="str">
        <f aca="false">IF(OR($A131="",$D131=""),"",IF(AND(EDATE($D131,Milestones!$AA$68)&lt;=AsOfDate,EDATE($D131,Milestones!$AA$68)&gt;=SchemeStart,IF($X131=0,$AD131,IF(AND($Z131&lt;&gt;"",EDATE($D131,Milestones!$AA$68)&gt;=$Z131),$AC131,IF(AND($Y131&lt;&gt;"",EDATE($D131,Milestones!$AA$68)&gt;=$Y131),$AB131,$AA131)))=Milestones!$AB$68),UPPER(TEXT(EDATE($D131,Milestones!$AA$68),"dd mmm yy"))&amp;" "&amp;Milestones!$AB$68&amp;" "&amp;IF(AND(Milestones!$AB$68="FT",Milestones!$AA$68=FT_Y5,EDATE($D131,Milestones!$AA$68)&lt;PolicyEff),1,Milestones!$AC$68)&amp;";  ","")&amp;IF(AND(EDATE($D131,Milestones!$AA$69)&lt;=AsOfDate,EDATE($D131,Milestones!$AA$69)&gt;=SchemeStart,IF($X131=0,$AD131,IF(AND($Z131&lt;&gt;"",EDATE($D131,Milestones!$AA$69)&gt;=$Z131),$AC131,IF(AND($Y131&lt;&gt;"",EDATE($D131,Milestones!$AA$69)&gt;=$Y131),$AB131,$AA131)))=Milestones!$AB$69),UPPER(TEXT(EDATE($D131,Milestones!$AA$69),"dd mmm yy"))&amp;" "&amp;Milestones!$AB$69&amp;" "&amp;IF(AND(Milestones!$AB$69="FT",Milestones!$AA$69=FT_Y5,EDATE($D131,Milestones!$AA$69)&lt;PolicyEff),1,Milestones!$AC$69)&amp;";  ","")&amp;IF(AND(EDATE($D131,Milestones!$AA$70)&lt;=AsOfDate,EDATE($D131,Milestones!$AA$70)&gt;=SchemeStart,IF($X131=0,$AD131,IF(AND($Z131&lt;&gt;"",EDATE($D131,Milestones!$AA$70)&gt;=$Z131),$AC131,IF(AND($Y131&lt;&gt;"",EDATE($D131,Milestones!$AA$70)&gt;=$Y131),$AB131,$AA131)))=Milestones!$AB$70),UPPER(TEXT(EDATE($D131,Milestones!$AA$70),"dd mmm yy"))&amp;" "&amp;Milestones!$AB$70&amp;" "&amp;IF(AND(Milestones!$AB$70="FT",Milestones!$AA$70=FT_Y5,EDATE($D131,Milestones!$AA$70)&lt;PolicyEff),1,Milestones!$AC$70)&amp;";  ","")&amp;IF(AND(EDATE($D131,Milestones!$AA$71)&lt;=AsOfDate,EDATE($D131,Milestones!$AA$71)&gt;=SchemeStart,IF($X131=0,$AD131,IF(AND($Z131&lt;&gt;"",EDATE($D131,Milestones!$AA$71)&gt;=$Z131),$AC131,IF(AND($Y131&lt;&gt;"",EDATE($D131,Milestones!$AA$71)&gt;=$Y131),$AB131,$AA131)))=Milestones!$AB$71),UPPER(TEXT(EDATE($D131,Milestones!$AA$71),"dd mmm yy"))&amp;" "&amp;Milestones!$AB$71&amp;" "&amp;IF(AND(Milestones!$AB$71="FT",Milestones!$AA$71=FT_Y5,EDATE($D131,Milestones!$AA$71)&lt;PolicyEff),1,Milestones!$AC$71)&amp;";  ","")&amp;IF(AND(EDATE($D131,Milestones!$AA$72)&lt;=AsOfDate,EDATE($D131,Milestones!$AA$72)&gt;=SchemeStart,IF($X131=0,$AD131,IF(AND($Z131&lt;&gt;"",EDATE($D131,Milestones!$AA$72)&gt;=$Z131),$AC131,IF(AND($Y131&lt;&gt;"",EDATE($D131,Milestones!$AA$72)&gt;=$Y131),$AB131,$AA131)))=Milestones!$AB$72),UPPER(TEXT(EDATE($D131,Milestones!$AA$72),"dd mmm yy"))&amp;" "&amp;Milestones!$AB$72&amp;" "&amp;IF(AND(Milestones!$AB$72="FT",Milestones!$AA$72=FT_Y5,EDATE($D131,Milestones!$AA$72)&lt;PolicyEff),1,Milestones!$AC$72)&amp;";  ","")&amp;IF(AND(EDATE($D131,Milestones!$AA$73)&lt;=AsOfDate,EDATE($D131,Milestones!$AA$73)&gt;=SchemeStart,IF($X131=0,$AD131,IF(AND($Z131&lt;&gt;"",EDATE($D131,Milestones!$AA$73)&gt;=$Z131),$AC131,IF(AND($Y131&lt;&gt;"",EDATE($D131,Milestones!$AA$73)&gt;=$Y131),$AB131,$AA131)))=Milestones!$AB$73),UPPER(TEXT(EDATE($D131,Milestones!$AA$73),"dd mmm yy"))&amp;" "&amp;Milestones!$AB$73&amp;" "&amp;IF(AND(Milestones!$AB$73="FT",Milestones!$AA$73=FT_Y5,EDATE($D131,Milestones!$AA$73)&lt;PolicyEff),1,Milestones!$AC$73)&amp;";  ","")&amp;IF(AND(EDATE($D131,Milestones!$AA$74)&lt;=AsOfDate,EDATE($D131,Milestones!$AA$74)&gt;=SchemeStart,IF($X131=0,$AD131,IF(AND($Z131&lt;&gt;"",EDATE($D131,Milestones!$AA$74)&gt;=$Z131),$AC131,IF(AND($Y131&lt;&gt;"",EDATE($D131,Milestones!$AA$74)&gt;=$Y131),$AB131,$AA131)))=Milestones!$AB$74),UPPER(TEXT(EDATE($D131,Milestones!$AA$74),"dd mmm yy"))&amp;" "&amp;Milestones!$AB$74&amp;" "&amp;IF(AND(Milestones!$AB$74="FT",Milestones!$AA$74=FT_Y5,EDATE($D131,Milestones!$AA$74)&lt;PolicyEff),1,Milestones!$AC$74)&amp;";  ","")&amp;IF(AND(EDATE($D131,Milestones!$AA$75)&lt;=AsOfDate,EDATE($D131,Milestones!$AA$75)&gt;=SchemeStart,IF($X131=0,$AD131,IF(AND($Z131&lt;&gt;"",EDATE($D131,Milestones!$AA$75)&gt;=$Z131),$AC131,IF(AND($Y131&lt;&gt;"",EDATE($D131,Milestones!$AA$75)&gt;=$Y131),$AB131,$AA131)))=Milestones!$AB$75),UPPER(TEXT(EDATE($D131,Milestones!$AA$75),"dd mmm yy"))&amp;" "&amp;Milestones!$AB$75&amp;" "&amp;IF(AND(Milestones!$AB$75="FT",Milestones!$AA$75=FT_Y5,EDATE($D131,Milestones!$AA$75)&lt;PolicyEff),1,Milestones!$AC$75)&amp;";  ","")&amp;IF(AND(EDATE($D131,Milestones!$AA$76)&lt;=AsOfDate,EDATE($D131,Milestones!$AA$76)&gt;=SchemeStart,IF($X131=0,$AD131,IF(AND($Z131&lt;&gt;"",EDATE($D131,Milestones!$AA$76)&gt;=$Z131),$AC131,IF(AND($Y131&lt;&gt;"",EDATE($D131,Milestones!$AA$76)&gt;=$Y131),$AB131,$AA131)))=Milestones!$AB$76),UPPER(TEXT(EDATE($D131,Milestones!$AA$76),"dd mmm yy"))&amp;" "&amp;Milestones!$AB$76&amp;" "&amp;IF(AND(Milestones!$AB$76="FT",Milestones!$AA$76=FT_Y5,EDATE($D131,Milestones!$AA$76)&lt;PolicyEff),1,Milestones!$AC$76)&amp;";  ","")&amp;IF(AND(EDATE($D131,Milestones!$AA$77)&lt;=AsOfDate,EDATE($D131,Milestones!$AA$77)&gt;=SchemeStart,IF($X131=0,$AD131,IF(AND($Z131&lt;&gt;"",EDATE($D131,Milestones!$AA$77)&gt;=$Z131),$AC131,IF(AND($Y131&lt;&gt;"",EDATE($D131,Milestones!$AA$77)&gt;=$Y131),$AB131,$AA131)))=Milestones!$AB$77),UPPER(TEXT(EDATE($D131,Milestones!$AA$77),"dd mmm yy"))&amp;" "&amp;Milestones!$AB$77&amp;" "&amp;IF(AND(Milestones!$AB$77="FT",Milestones!$AA$77=FT_Y5,EDATE($D131,Milestones!$AA$77)&lt;PolicyEff),1,Milestones!$AC$77)&amp;";  ","")&amp;IF(AND(EDATE($D131,Milestones!$AA$78)&lt;=AsOfDate,EDATE($D131,Milestones!$AA$78)&gt;=SchemeStart,IF($X131=0,$AD131,IF(AND($Z131&lt;&gt;"",EDATE($D131,Milestones!$AA$78)&gt;=$Z131),$AC131,IF(AND($Y131&lt;&gt;"",EDATE($D131,Milestones!$AA$78)&gt;=$Y131),$AB131,$AA131)))=Milestones!$AB$78),UPPER(TEXT(EDATE($D131,Milestones!$AA$78),"dd mmm yy"))&amp;" "&amp;Milestones!$AB$78&amp;" "&amp;IF(AND(Milestones!$AB$78="FT",Milestones!$AA$78=FT_Y5,EDATE($D131,Milestones!$AA$78)&lt;PolicyEff),1,Milestones!$AC$78)&amp;";  ","")&amp;IF(AND(EDATE($D131,Milestones!$AA$79)&lt;=AsOfDate,EDATE($D131,Milestones!$AA$79)&gt;=SchemeStart,IF($X131=0,$AD131,IF(AND($Z131&lt;&gt;"",EDATE($D131,Milestones!$AA$79)&gt;=$Z131),$AC131,IF(AND($Y131&lt;&gt;"",EDATE($D131,Milestones!$AA$79)&gt;=$Y131),$AB131,$AA131)))=Milestones!$AB$79),UPPER(TEXT(EDATE($D131,Milestones!$AA$79),"dd mmm yy"))&amp;" "&amp;Milestones!$AB$79&amp;" "&amp;IF(AND(Milestones!$AB$79="FT",Milestones!$AA$79=FT_Y5,EDATE($D131,Milestones!$AA$79)&lt;PolicyEff),1,Milestones!$AC$79)&amp;";  ",""))</f>
        <v/>
      </c>
      <c r="N131" s="0" t="str">
        <f aca="false">IF(OR($A131="",$D131=""),"",IF(AND(EDATE($D131,Milestones!$AA$80)&lt;=AsOfDate,EDATE($D131,Milestones!$AA$80)&gt;=SchemeStart,IF($X131=0,$AD131,IF(AND($Z131&lt;&gt;"",EDATE($D131,Milestones!$AA$80)&gt;=$Z131),$AC131,IF(AND($Y131&lt;&gt;"",EDATE($D131,Milestones!$AA$80)&gt;=$Y131),$AB131,$AA131)))=Milestones!$AB$80),UPPER(TEXT(EDATE($D131,Milestones!$AA$80),"dd mmm yy"))&amp;" "&amp;Milestones!$AB$80&amp;" "&amp;IF(AND(Milestones!$AB$80="FT",Milestones!$AA$80=FT_Y5,EDATE($D131,Milestones!$AA$80)&lt;PolicyEff),1,Milestones!$AC$80)&amp;";  ","")&amp;IF(AND(EDATE($D131,Milestones!$AA$81)&lt;=AsOfDate,EDATE($D131,Milestones!$AA$81)&gt;=SchemeStart,IF($X131=0,$AD131,IF(AND($Z131&lt;&gt;"",EDATE($D131,Milestones!$AA$81)&gt;=$Z131),$AC131,IF(AND($Y131&lt;&gt;"",EDATE($D131,Milestones!$AA$81)&gt;=$Y131),$AB131,$AA131)))=Milestones!$AB$81),UPPER(TEXT(EDATE($D131,Milestones!$AA$81),"dd mmm yy"))&amp;" "&amp;Milestones!$AB$81&amp;" "&amp;IF(AND(Milestones!$AB$81="FT",Milestones!$AA$81=FT_Y5,EDATE($D131,Milestones!$AA$81)&lt;PolicyEff),1,Milestones!$AC$81)&amp;";  ","")&amp;IF(AND(EDATE($D131,Milestones!$AA$82)&lt;=AsOfDate,EDATE($D131,Milestones!$AA$82)&gt;=SchemeStart,IF($X131=0,$AD131,IF(AND($Z131&lt;&gt;"",EDATE($D131,Milestones!$AA$82)&gt;=$Z131),$AC131,IF(AND($Y131&lt;&gt;"",EDATE($D131,Milestones!$AA$82)&gt;=$Y131),$AB131,$AA131)))=Milestones!$AB$82),UPPER(TEXT(EDATE($D131,Milestones!$AA$82),"dd mmm yy"))&amp;" "&amp;Milestones!$AB$82&amp;" "&amp;IF(AND(Milestones!$AB$82="FT",Milestones!$AA$82=FT_Y5,EDATE($D131,Milestones!$AA$82)&lt;PolicyEff),1,Milestones!$AC$82)&amp;";  ","")&amp;IF(AND(EDATE($D131,Milestones!$AA$83)&lt;=AsOfDate,EDATE($D131,Milestones!$AA$83)&gt;=SchemeStart,IF($X131=0,$AD131,IF(AND($Z131&lt;&gt;"",EDATE($D131,Milestones!$AA$83)&gt;=$Z131),$AC131,IF(AND($Y131&lt;&gt;"",EDATE($D131,Milestones!$AA$83)&gt;=$Y131),$AB131,$AA131)))=Milestones!$AB$83),UPPER(TEXT(EDATE($D131,Milestones!$AA$83),"dd mmm yy"))&amp;" "&amp;Milestones!$AB$83&amp;" "&amp;IF(AND(Milestones!$AB$83="FT",Milestones!$AA$83=FT_Y5,EDATE($D131,Milestones!$AA$83)&lt;PolicyEff),1,Milestones!$AC$83)&amp;";  ","")&amp;IF(AND(EDATE($D131,Milestones!$AA$84)&lt;=AsOfDate,EDATE($D131,Milestones!$AA$84)&gt;=SchemeStart,IF($X131=0,$AD131,IF(AND($Z131&lt;&gt;"",EDATE($D131,Milestones!$AA$84)&gt;=$Z131),$AC131,IF(AND($Y131&lt;&gt;"",EDATE($D131,Milestones!$AA$84)&gt;=$Y131),$AB131,$AA131)))=Milestones!$AB$84),UPPER(TEXT(EDATE($D131,Milestones!$AA$84),"dd mmm yy"))&amp;" "&amp;Milestones!$AB$84&amp;" "&amp;IF(AND(Milestones!$AB$84="FT",Milestones!$AA$84=FT_Y5,EDATE($D131,Milestones!$AA$84)&lt;PolicyEff),1,Milestones!$AC$84)&amp;";  ","")&amp;IF(AND(EDATE($D131,Milestones!$AA$85)&lt;=AsOfDate,EDATE($D131,Milestones!$AA$85)&gt;=SchemeStart,IF($X131=0,$AD131,IF(AND($Z131&lt;&gt;"",EDATE($D131,Milestones!$AA$85)&gt;=$Z131),$AC131,IF(AND($Y131&lt;&gt;"",EDATE($D131,Milestones!$AA$85)&gt;=$Y131),$AB131,$AA131)))=Milestones!$AB$85),UPPER(TEXT(EDATE($D131,Milestones!$AA$85),"dd mmm yy"))&amp;" "&amp;Milestones!$AB$85&amp;" "&amp;IF(AND(Milestones!$AB$85="FT",Milestones!$AA$85=FT_Y5,EDATE($D131,Milestones!$AA$85)&lt;PolicyEff),1,Milestones!$AC$85)&amp;";  ","")&amp;IF(AND(EDATE($D131,Milestones!$AA$86)&lt;=AsOfDate,EDATE($D131,Milestones!$AA$86)&gt;=SchemeStart,IF($X131=0,$AD131,IF(AND($Z131&lt;&gt;"",EDATE($D131,Milestones!$AA$86)&gt;=$Z131),$AC131,IF(AND($Y131&lt;&gt;"",EDATE($D131,Milestones!$AA$86)&gt;=$Y131),$AB131,$AA131)))=Milestones!$AB$86),UPPER(TEXT(EDATE($D131,Milestones!$AA$86),"dd mmm yy"))&amp;" "&amp;Milestones!$AB$86&amp;" "&amp;IF(AND(Milestones!$AB$86="FT",Milestones!$AA$86=FT_Y5,EDATE($D131,Milestones!$AA$86)&lt;PolicyEff),1,Milestones!$AC$86)&amp;";  ","")&amp;IF(AND(EDATE($D131,Milestones!$AA$87)&lt;=AsOfDate,EDATE($D131,Milestones!$AA$87)&gt;=SchemeStart,IF($X131=0,$AD131,IF(AND($Z131&lt;&gt;"",EDATE($D131,Milestones!$AA$87)&gt;=$Z131),$AC131,IF(AND($Y131&lt;&gt;"",EDATE($D131,Milestones!$AA$87)&gt;=$Y131),$AB131,$AA131)))=Milestones!$AB$87),UPPER(TEXT(EDATE($D131,Milestones!$AA$87),"dd mmm yy"))&amp;" "&amp;Milestones!$AB$87&amp;" "&amp;IF(AND(Milestones!$AB$87="FT",Milestones!$AA$87=FT_Y5,EDATE($D131,Milestones!$AA$87)&lt;PolicyEff),1,Milestones!$AC$87)&amp;";  ","")&amp;IF(AND(EDATE($D131,Milestones!$AA$88)&lt;=AsOfDate,EDATE($D131,Milestones!$AA$88)&gt;=SchemeStart,IF($X131=0,$AD131,IF(AND($Z131&lt;&gt;"",EDATE($D131,Milestones!$AA$88)&gt;=$Z131),$AC131,IF(AND($Y131&lt;&gt;"",EDATE($D131,Milestones!$AA$88)&gt;=$Y131),$AB131,$AA131)))=Milestones!$AB$88),UPPER(TEXT(EDATE($D131,Milestones!$AA$88),"dd mmm yy"))&amp;" "&amp;Milestones!$AB$88&amp;" "&amp;IF(AND(Milestones!$AB$88="FT",Milestones!$AA$88=FT_Y5,EDATE($D131,Milestones!$AA$88)&lt;PolicyEff),1,Milestones!$AC$88)&amp;";  ","")&amp;IF(AND(EDATE($D131,Milestones!$AA$89)&lt;=AsOfDate,EDATE($D131,Milestones!$AA$89)&gt;=SchemeStart,IF($X131=0,$AD131,IF(AND($Z131&lt;&gt;"",EDATE($D131,Milestones!$AA$89)&gt;=$Z131),$AC131,IF(AND($Y131&lt;&gt;"",EDATE($D131,Milestones!$AA$89)&gt;=$Y131),$AB131,$AA131)))=Milestones!$AB$89),UPPER(TEXT(EDATE($D131,Milestones!$AA$89),"dd mmm yy"))&amp;" "&amp;Milestones!$AB$89&amp;" "&amp;IF(AND(Milestones!$AB$89="FT",Milestones!$AA$89=FT_Y5,EDATE($D131,Milestones!$AA$89)&lt;PolicyEff),1,Milestones!$AC$89)&amp;";  ","")&amp;IF(AND(EDATE($D131,Milestones!$AA$90)&lt;=AsOfDate,EDATE($D131,Milestones!$AA$90)&gt;=SchemeStart,IF($X131=0,$AD131,IF(AND($Z131&lt;&gt;"",EDATE($D131,Milestones!$AA$90)&gt;=$Z131),$AC131,IF(AND($Y131&lt;&gt;"",EDATE($D131,Milestones!$AA$90)&gt;=$Y131),$AB131,$AA131)))=Milestones!$AB$90),UPPER(TEXT(EDATE($D131,Milestones!$AA$90),"dd mmm yy"))&amp;" "&amp;Milestones!$AB$90&amp;" "&amp;IF(AND(Milestones!$AB$90="FT",Milestones!$AA$90=FT_Y5,EDATE($D131,Milestones!$AA$90)&lt;PolicyEff),1,Milestones!$AC$90)&amp;";  ","")&amp;IF(AND(EDATE($D131,Milestones!$AA$91)&lt;=AsOfDate,EDATE($D131,Milestones!$AA$91)&gt;=SchemeStart,IF($X131=0,$AD131,IF(AND($Z131&lt;&gt;"",EDATE($D131,Milestones!$AA$91)&gt;=$Z131),$AC131,IF(AND($Y131&lt;&gt;"",EDATE($D131,Milestones!$AA$91)&gt;=$Y131),$AB131,$AA131)))=Milestones!$AB$91),UPPER(TEXT(EDATE($D131,Milestones!$AA$91),"dd mmm yy"))&amp;" "&amp;Milestones!$AB$91&amp;" "&amp;IF(AND(Milestones!$AB$91="FT",Milestones!$AA$91=FT_Y5,EDATE($D131,Milestones!$AA$91)&lt;PolicyEff),1,Milestones!$AC$91)&amp;";  ",""))</f>
        <v/>
      </c>
      <c r="O131" s="0" t="str">
        <f aca="false">IF(OR($A131="",$D131=""),"",IF(AND(EDATE($D131,Milestones!$AA$92)&lt;=AsOfDate,EDATE($D131,Milestones!$AA$92)&gt;=SchemeStart,IF($X131=0,$AD131,IF(AND($Z131&lt;&gt;"",EDATE($D131,Milestones!$AA$92)&gt;=$Z131),$AC131,IF(AND($Y131&lt;&gt;"",EDATE($D131,Milestones!$AA$92)&gt;=$Y131),$AB131,$AA131)))=Milestones!$AB$92),UPPER(TEXT(EDATE($D131,Milestones!$AA$92),"dd mmm yy"))&amp;" "&amp;Milestones!$AB$92&amp;" "&amp;IF(AND(Milestones!$AB$92="FT",Milestones!$AA$92=FT_Y5,EDATE($D131,Milestones!$AA$92)&lt;PolicyEff),1,Milestones!$AC$92)&amp;";  ","")&amp;IF(AND(EDATE($D131,Milestones!$AA$93)&lt;=AsOfDate,EDATE($D131,Milestones!$AA$93)&gt;=SchemeStart,IF($X131=0,$AD131,IF(AND($Z131&lt;&gt;"",EDATE($D131,Milestones!$AA$93)&gt;=$Z131),$AC131,IF(AND($Y131&lt;&gt;"",EDATE($D131,Milestones!$AA$93)&gt;=$Y131),$AB131,$AA131)))=Milestones!$AB$93),UPPER(TEXT(EDATE($D131,Milestones!$AA$93),"dd mmm yy"))&amp;" "&amp;Milestones!$AB$93&amp;" "&amp;IF(AND(Milestones!$AB$93="FT",Milestones!$AA$93=FT_Y5,EDATE($D131,Milestones!$AA$93)&lt;PolicyEff),1,Milestones!$AC$93)&amp;";  ","")&amp;IF(AND(EDATE($D131,Milestones!$AA$94)&lt;=AsOfDate,EDATE($D131,Milestones!$AA$94)&gt;=SchemeStart,IF($X131=0,$AD131,IF(AND($Z131&lt;&gt;"",EDATE($D131,Milestones!$AA$94)&gt;=$Z131),$AC131,IF(AND($Y131&lt;&gt;"",EDATE($D131,Milestones!$AA$94)&gt;=$Y131),$AB131,$AA131)))=Milestones!$AB$94),UPPER(TEXT(EDATE($D131,Milestones!$AA$94),"dd mmm yy"))&amp;" "&amp;Milestones!$AB$94&amp;" "&amp;IF(AND(Milestones!$AB$94="FT",Milestones!$AA$94=FT_Y5,EDATE($D131,Milestones!$AA$94)&lt;PolicyEff),1,Milestones!$AC$94)&amp;";  ","")&amp;IF(AND(EDATE($D131,Milestones!$AA$95)&lt;=AsOfDate,EDATE($D131,Milestones!$AA$95)&gt;=SchemeStart,IF($X131=0,$AD131,IF(AND($Z131&lt;&gt;"",EDATE($D131,Milestones!$AA$95)&gt;=$Z131),$AC131,IF(AND($Y131&lt;&gt;"",EDATE($D131,Milestones!$AA$95)&gt;=$Y131),$AB131,$AA131)))=Milestones!$AB$95),UPPER(TEXT(EDATE($D131,Milestones!$AA$95),"dd mmm yy"))&amp;" "&amp;Milestones!$AB$95&amp;" "&amp;IF(AND(Milestones!$AB$95="FT",Milestones!$AA$95=FT_Y5,EDATE($D131,Milestones!$AA$95)&lt;PolicyEff),1,Milestones!$AC$95)&amp;";  ","")&amp;IF(AND(EDATE($D131,Milestones!$AA$96)&lt;=AsOfDate,EDATE($D131,Milestones!$AA$96)&gt;=SchemeStart,IF($X131=0,$AD131,IF(AND($Z131&lt;&gt;"",EDATE($D131,Milestones!$AA$96)&gt;=$Z131),$AC131,IF(AND($Y131&lt;&gt;"",EDATE($D131,Milestones!$AA$96)&gt;=$Y131),$AB131,$AA131)))=Milestones!$AB$96),UPPER(TEXT(EDATE($D131,Milestones!$AA$96),"dd mmm yy"))&amp;" "&amp;Milestones!$AB$96&amp;" "&amp;IF(AND(Milestones!$AB$96="FT",Milestones!$AA$96=FT_Y5,EDATE($D131,Milestones!$AA$96)&lt;PolicyEff),1,Milestones!$AC$96)&amp;";  ","")&amp;IF(AND(EDATE($D131,Milestones!$AA$97)&lt;=AsOfDate,EDATE($D131,Milestones!$AA$97)&gt;=SchemeStart,IF($X131=0,$AD131,IF(AND($Z131&lt;&gt;"",EDATE($D131,Milestones!$AA$97)&gt;=$Z131),$AC131,IF(AND($Y131&lt;&gt;"",EDATE($D131,Milestones!$AA$97)&gt;=$Y131),$AB131,$AA131)))=Milestones!$AB$97),UPPER(TEXT(EDATE($D131,Milestones!$AA$97),"dd mmm yy"))&amp;" "&amp;Milestones!$AB$97&amp;" "&amp;IF(AND(Milestones!$AB$97="FT",Milestones!$AA$97=FT_Y5,EDATE($D131,Milestones!$AA$97)&lt;PolicyEff),1,Milestones!$AC$97)&amp;";  ","")&amp;IF(AND(EDATE($D131,Milestones!$AA$98)&lt;=AsOfDate,EDATE($D131,Milestones!$AA$98)&gt;=SchemeStart,IF($X131=0,$AD131,IF(AND($Z131&lt;&gt;"",EDATE($D131,Milestones!$AA$98)&gt;=$Z131),$AC131,IF(AND($Y131&lt;&gt;"",EDATE($D131,Milestones!$AA$98)&gt;=$Y131),$AB131,$AA131)))=Milestones!$AB$98),UPPER(TEXT(EDATE($D131,Milestones!$AA$98),"dd mmm yy"))&amp;" "&amp;Milestones!$AB$98&amp;" "&amp;IF(AND(Milestones!$AB$98="FT",Milestones!$AA$98=FT_Y5,EDATE($D131,Milestones!$AA$98)&lt;PolicyEff),1,Milestones!$AC$98)&amp;";  ","")&amp;IF(AND(EDATE($D131,Milestones!$AA$99)&lt;=AsOfDate,EDATE($D131,Milestones!$AA$99)&gt;=SchemeStart,IF($X131=0,$AD131,IF(AND($Z131&lt;&gt;"",EDATE($D131,Milestones!$AA$99)&gt;=$Z131),$AC131,IF(AND($Y131&lt;&gt;"",EDATE($D131,Milestones!$AA$99)&gt;=$Y131),$AB131,$AA131)))=Milestones!$AB$99),UPPER(TEXT(EDATE($D131,Milestones!$AA$99),"dd mmm yy"))&amp;" "&amp;Milestones!$AB$99&amp;" "&amp;IF(AND(Milestones!$AB$99="FT",Milestones!$AA$99=FT_Y5,EDATE($D131,Milestones!$AA$99)&lt;PolicyEff),1,Milestones!$AC$99)&amp;";  ","")&amp;IF(AND(EDATE($D131,Milestones!$AA$100)&lt;=AsOfDate,EDATE($D131,Milestones!$AA$100)&gt;=SchemeStart,IF($X131=0,$AD131,IF(AND($Z131&lt;&gt;"",EDATE($D131,Milestones!$AA$100)&gt;=$Z131),$AC131,IF(AND($Y131&lt;&gt;"",EDATE($D131,Milestones!$AA$100)&gt;=$Y131),$AB131,$AA131)))=Milestones!$AB$100),UPPER(TEXT(EDATE($D131,Milestones!$AA$100),"dd mmm yy"))&amp;" "&amp;Milestones!$AB$100&amp;" "&amp;IF(AND(Milestones!$AB$100="FT",Milestones!$AA$100=FT_Y5,EDATE($D131,Milestones!$AA$100)&lt;PolicyEff),1,Milestones!$AC$100)&amp;";  ","")&amp;IF(AND(EDATE($D131,Milestones!$AA$101)&lt;=AsOfDate,EDATE($D131,Milestones!$AA$101)&gt;=SchemeStart,IF($X131=0,$AD131,IF(AND($Z131&lt;&gt;"",EDATE($D131,Milestones!$AA$101)&gt;=$Z131),$AC131,IF(AND($Y131&lt;&gt;"",EDATE($D131,Milestones!$AA$101)&gt;=$Y131),$AB131,$AA131)))=Milestones!$AB$101),UPPER(TEXT(EDATE($D131,Milestones!$AA$101),"dd mmm yy"))&amp;" "&amp;Milestones!$AB$101&amp;" "&amp;IF(AND(Milestones!$AB$101="FT",Milestones!$AA$101=FT_Y5,EDATE($D131,Milestones!$AA$101)&lt;PolicyEff),1,Milestones!$AC$101)&amp;";  ","")&amp;IF(AND(EDATE($D131,Milestones!$AA$102)&lt;=AsOfDate,EDATE($D131,Milestones!$AA$102)&gt;=SchemeStart,IF($X131=0,$AD131,IF(AND($Z131&lt;&gt;"",EDATE($D131,Milestones!$AA$102)&gt;=$Z131),$AC131,IF(AND($Y131&lt;&gt;"",EDATE($D131,Milestones!$AA$102)&gt;=$Y131),$AB131,$AA131)))=Milestones!$AB$102),UPPER(TEXT(EDATE($D131,Milestones!$AA$102),"dd mmm yy"))&amp;" "&amp;Milestones!$AB$102&amp;" "&amp;IF(AND(Milestones!$AB$102="FT",Milestones!$AA$102=FT_Y5,EDATE($D131,Milestones!$AA$102)&lt;PolicyEff),1,Milestones!$AC$102)&amp;";  ","")&amp;IF(AND(EDATE($D131,Milestones!$AA$103)&lt;=AsOfDate,EDATE($D131,Milestones!$AA$103)&gt;=SchemeStart,IF($X131=0,$AD131,IF(AND($Z131&lt;&gt;"",EDATE($D131,Milestones!$AA$103)&gt;=$Z131),$AC131,IF(AND($Y131&lt;&gt;"",EDATE($D131,Milestones!$AA$103)&gt;=$Y131),$AB131,$AA131)))=Milestones!$AB$103),UPPER(TEXT(EDATE($D131,Milestones!$AA$103),"dd mmm yy"))&amp;" "&amp;Milestones!$AB$103&amp;" "&amp;IF(AND(Milestones!$AB$103="FT",Milestones!$AA$103=FT_Y5,EDATE($D131,Milestones!$AA$103)&lt;PolicyEff),1,Milestones!$AC$103)&amp;";  ",""))</f>
        <v/>
      </c>
      <c r="P131" s="0" t="str">
        <f aca="false">IF(OR($A131="",$D131=""),"",IF(AND(EDATE($D131,Milestones!$AA$104)&lt;=AsOfDate,EDATE($D131,Milestones!$AA$104)&gt;=SchemeStart,IF($X131=0,$AD131,IF(AND($Z131&lt;&gt;"",EDATE($D131,Milestones!$AA$104)&gt;=$Z131),$AC131,IF(AND($Y131&lt;&gt;"",EDATE($D131,Milestones!$AA$104)&gt;=$Y131),$AB131,$AA131)))=Milestones!$AB$104),UPPER(TEXT(EDATE($D131,Milestones!$AA$104),"dd mmm yy"))&amp;" "&amp;Milestones!$AB$104&amp;" "&amp;IF(AND(Milestones!$AB$104="FT",Milestones!$AA$104=FT_Y5,EDATE($D131,Milestones!$AA$104)&lt;PolicyEff),1,Milestones!$AC$104)&amp;";  ","")&amp;IF(AND(EDATE($D131,Milestones!$AA$105)&lt;=AsOfDate,EDATE($D131,Milestones!$AA$105)&gt;=SchemeStart,IF($X131=0,$AD131,IF(AND($Z131&lt;&gt;"",EDATE($D131,Milestones!$AA$105)&gt;=$Z131),$AC131,IF(AND($Y131&lt;&gt;"",EDATE($D131,Milestones!$AA$105)&gt;=$Y131),$AB131,$AA131)))=Milestones!$AB$105),UPPER(TEXT(EDATE($D131,Milestones!$AA$105),"dd mmm yy"))&amp;" "&amp;Milestones!$AB$105&amp;" "&amp;IF(AND(Milestones!$AB$105="FT",Milestones!$AA$105=FT_Y5,EDATE($D131,Milestones!$AA$105)&lt;PolicyEff),1,Milestones!$AC$105)&amp;";  ","")&amp;IF(AND(EDATE($D131,Milestones!$AA$106)&lt;=AsOfDate,EDATE($D131,Milestones!$AA$106)&gt;=SchemeStart,IF($X131=0,$AD131,IF(AND($Z131&lt;&gt;"",EDATE($D131,Milestones!$AA$106)&gt;=$Z131),$AC131,IF(AND($Y131&lt;&gt;"",EDATE($D131,Milestones!$AA$106)&gt;=$Y131),$AB131,$AA131)))=Milestones!$AB$106),UPPER(TEXT(EDATE($D131,Milestones!$AA$106),"dd mmm yy"))&amp;" "&amp;Milestones!$AB$106&amp;" "&amp;IF(AND(Milestones!$AB$106="FT",Milestones!$AA$106=FT_Y5,EDATE($D131,Milestones!$AA$106)&lt;PolicyEff),1,Milestones!$AC$106)&amp;";  ","")&amp;IF(AND(EDATE($D131,Milestones!$AA$107)&lt;=AsOfDate,EDATE($D131,Milestones!$AA$107)&gt;=SchemeStart,IF($X131=0,$AD131,IF(AND($Z131&lt;&gt;"",EDATE($D131,Milestones!$AA$107)&gt;=$Z131),$AC131,IF(AND($Y131&lt;&gt;"",EDATE($D131,Milestones!$AA$107)&gt;=$Y131),$AB131,$AA131)))=Milestones!$AB$107),UPPER(TEXT(EDATE($D131,Milestones!$AA$107),"dd mmm yy"))&amp;" "&amp;Milestones!$AB$107&amp;" "&amp;IF(AND(Milestones!$AB$107="FT",Milestones!$AA$107=FT_Y5,EDATE($D131,Milestones!$AA$107)&lt;PolicyEff),1,Milestones!$AC$107)&amp;";  ","")&amp;IF(AND(EDATE($D131,Milestones!$AA$108)&lt;=AsOfDate,EDATE($D131,Milestones!$AA$108)&gt;=SchemeStart,IF($X131=0,$AD131,IF(AND($Z131&lt;&gt;"",EDATE($D131,Milestones!$AA$108)&gt;=$Z131),$AC131,IF(AND($Y131&lt;&gt;"",EDATE($D131,Milestones!$AA$108)&gt;=$Y131),$AB131,$AA131)))=Milestones!$AB$108),UPPER(TEXT(EDATE($D131,Milestones!$AA$108),"dd mmm yy"))&amp;" "&amp;Milestones!$AB$108&amp;" "&amp;IF(AND(Milestones!$AB$108="FT",Milestones!$AA$108=FT_Y5,EDATE($D131,Milestones!$AA$108)&lt;PolicyEff),1,Milestones!$AC$108)&amp;";  ","")&amp;IF(AND(EDATE($D131,Milestones!$AA$109)&lt;=AsOfDate,EDATE($D131,Milestones!$AA$109)&gt;=SchemeStart,IF($X131=0,$AD131,IF(AND($Z131&lt;&gt;"",EDATE($D131,Milestones!$AA$109)&gt;=$Z131),$AC131,IF(AND($Y131&lt;&gt;"",EDATE($D131,Milestones!$AA$109)&gt;=$Y131),$AB131,$AA131)))=Milestones!$AB$109),UPPER(TEXT(EDATE($D131,Milestones!$AA$109),"dd mmm yy"))&amp;" "&amp;Milestones!$AB$109&amp;" "&amp;IF(AND(Milestones!$AB$109="FT",Milestones!$AA$109=FT_Y5,EDATE($D131,Milestones!$AA$109)&lt;PolicyEff),1,Milestones!$AC$109)&amp;";  ","")&amp;IF(AND(EDATE($D131,Milestones!$AA$110)&lt;=AsOfDate,EDATE($D131,Milestones!$AA$110)&gt;=SchemeStart,IF($X131=0,$AD131,IF(AND($Z131&lt;&gt;"",EDATE($D131,Milestones!$AA$110)&gt;=$Z131),$AC131,IF(AND($Y131&lt;&gt;"",EDATE($D131,Milestones!$AA$110)&gt;=$Y131),$AB131,$AA131)))=Milestones!$AB$110),UPPER(TEXT(EDATE($D131,Milestones!$AA$110),"dd mmm yy"))&amp;" "&amp;Milestones!$AB$110&amp;" "&amp;IF(AND(Milestones!$AB$110="FT",Milestones!$AA$110=FT_Y5,EDATE($D131,Milestones!$AA$110)&lt;PolicyEff),1,Milestones!$AC$110)&amp;";  ","")&amp;IF(AND(EDATE($D131,Milestones!$AA$111)&lt;=AsOfDate,EDATE($D131,Milestones!$AA$111)&gt;=SchemeStart,IF($X131=0,$AD131,IF(AND($Z131&lt;&gt;"",EDATE($D131,Milestones!$AA$111)&gt;=$Z131),$AC131,IF(AND($Y131&lt;&gt;"",EDATE($D131,Milestones!$AA$111)&gt;=$Y131),$AB131,$AA131)))=Milestones!$AB$111),UPPER(TEXT(EDATE($D131,Milestones!$AA$111),"dd mmm yy"))&amp;" "&amp;Milestones!$AB$111&amp;" "&amp;IF(AND(Milestones!$AB$111="FT",Milestones!$AA$111=FT_Y5,EDATE($D131,Milestones!$AA$111)&lt;PolicyEff),1,Milestones!$AC$111)&amp;";  ","")&amp;IF(AND(EDATE($D131,Milestones!$AA$112)&lt;=AsOfDate,EDATE($D131,Milestones!$AA$112)&gt;=SchemeStart,IF($X131=0,$AD131,IF(AND($Z131&lt;&gt;"",EDATE($D131,Milestones!$AA$112)&gt;=$Z131),$AC131,IF(AND($Y131&lt;&gt;"",EDATE($D131,Milestones!$AA$112)&gt;=$Y131),$AB131,$AA131)))=Milestones!$AB$112),UPPER(TEXT(EDATE($D131,Milestones!$AA$112),"dd mmm yy"))&amp;" "&amp;Milestones!$AB$112&amp;" "&amp;IF(AND(Milestones!$AB$112="FT",Milestones!$AA$112=FT_Y5,EDATE($D131,Milestones!$AA$112)&lt;PolicyEff),1,Milestones!$AC$112)&amp;";  ","")&amp;IF(AND(EDATE($D131,Milestones!$AA$113)&lt;=AsOfDate,EDATE($D131,Milestones!$AA$113)&gt;=SchemeStart,IF($X131=0,$AD131,IF(AND($Z131&lt;&gt;"",EDATE($D131,Milestones!$AA$113)&gt;=$Z131),$AC131,IF(AND($Y131&lt;&gt;"",EDATE($D131,Milestones!$AA$113)&gt;=$Y131),$AB131,$AA131)))=Milestones!$AB$113),UPPER(TEXT(EDATE($D131,Milestones!$AA$113),"dd mmm yy"))&amp;" "&amp;Milestones!$AB$113&amp;" "&amp;IF(AND(Milestones!$AB$113="FT",Milestones!$AA$113=FT_Y5,EDATE($D131,Milestones!$AA$113)&lt;PolicyEff),1,Milestones!$AC$113)&amp;";  ","")&amp;IF(AND(EDATE($D131,Milestones!$AA$114)&lt;=AsOfDate,EDATE($D131,Milestones!$AA$114)&gt;=SchemeStart,IF($X131=0,$AD131,IF(AND($Z131&lt;&gt;"",EDATE($D131,Milestones!$AA$114)&gt;=$Z131),$AC131,IF(AND($Y131&lt;&gt;"",EDATE($D131,Milestones!$AA$114)&gt;=$Y131),$AB131,$AA131)))=Milestones!$AB$114),UPPER(TEXT(EDATE($D131,Milestones!$AA$114),"dd mmm yy"))&amp;" "&amp;Milestones!$AB$114&amp;" "&amp;IF(AND(Milestones!$AB$114="FT",Milestones!$AA$114=FT_Y5,EDATE($D131,Milestones!$AA$114)&lt;PolicyEff),1,Milestones!$AC$114)&amp;";  ","")&amp;IF(AND(EDATE($D131,Milestones!$AA$115)&lt;=AsOfDate,EDATE($D131,Milestones!$AA$115)&gt;=SchemeStart,IF($X131=0,$AD131,IF(AND($Z131&lt;&gt;"",EDATE($D131,Milestones!$AA$115)&gt;=$Z131),$AC131,IF(AND($Y131&lt;&gt;"",EDATE($D131,Milestones!$AA$115)&gt;=$Y131),$AB131,$AA131)))=Milestones!$AB$115),UPPER(TEXT(EDATE($D131,Milestones!$AA$115),"dd mmm yy"))&amp;" "&amp;Milestones!$AB$115&amp;" "&amp;IF(AND(Milestones!$AB$115="FT",Milestones!$AA$115=FT_Y5,EDATE($D131,Milestones!$AA$115)&lt;PolicyEff),1,Milestones!$AC$115)&amp;";  ",""))</f>
        <v/>
      </c>
      <c r="Q131" s="0" t="str">
        <f aca="false">IF(OR($A131="",$D131=""),"",IF(AND(EDATE($D131,Milestones!$AA$116)&lt;=AsOfDate,EDATE($D131,Milestones!$AA$116)&gt;=SchemeStart,IF($X131=0,$AD131,IF(AND($Z131&lt;&gt;"",EDATE($D131,Milestones!$AA$116)&gt;=$Z131),$AC131,IF(AND($Y131&lt;&gt;"",EDATE($D131,Milestones!$AA$116)&gt;=$Y131),$AB131,$AA131)))=Milestones!$AB$116),UPPER(TEXT(EDATE($D131,Milestones!$AA$116),"dd mmm yy"))&amp;" "&amp;Milestones!$AB$116&amp;" "&amp;IF(AND(Milestones!$AB$116="FT",Milestones!$AA$116=FT_Y5,EDATE($D131,Milestones!$AA$116)&lt;PolicyEff),1,Milestones!$AC$116)&amp;";  ","")&amp;IF(AND(EDATE($D131,Milestones!$AA$117)&lt;=AsOfDate,EDATE($D131,Milestones!$AA$117)&gt;=SchemeStart,IF($X131=0,$AD131,IF(AND($Z131&lt;&gt;"",EDATE($D131,Milestones!$AA$117)&gt;=$Z131),$AC131,IF(AND($Y131&lt;&gt;"",EDATE($D131,Milestones!$AA$117)&gt;=$Y131),$AB131,$AA131)))=Milestones!$AB$117),UPPER(TEXT(EDATE($D131,Milestones!$AA$117),"dd mmm yy"))&amp;" "&amp;Milestones!$AB$117&amp;" "&amp;IF(AND(Milestones!$AB$117="FT",Milestones!$AA$117=FT_Y5,EDATE($D131,Milestones!$AA$117)&lt;PolicyEff),1,Milestones!$AC$117)&amp;";  ","")&amp;IF(AND(EDATE($D131,Milestones!$AA$118)&lt;=AsOfDate,EDATE($D131,Milestones!$AA$118)&gt;=SchemeStart,IF($X131=0,$AD131,IF(AND($Z131&lt;&gt;"",EDATE($D131,Milestones!$AA$118)&gt;=$Z131),$AC131,IF(AND($Y131&lt;&gt;"",EDATE($D131,Milestones!$AA$118)&gt;=$Y131),$AB131,$AA131)))=Milestones!$AB$118),UPPER(TEXT(EDATE($D131,Milestones!$AA$118),"dd mmm yy"))&amp;" "&amp;Milestones!$AB$118&amp;" "&amp;IF(AND(Milestones!$AB$118="FT",Milestones!$AA$118=FT_Y5,EDATE($D131,Milestones!$AA$118)&lt;PolicyEff),1,Milestones!$AC$118)&amp;";  ","")&amp;IF(AND(EDATE($D131,Milestones!$AA$119)&lt;=AsOfDate,EDATE($D131,Milestones!$AA$119)&gt;=SchemeStart,IF($X131=0,$AD131,IF(AND($Z131&lt;&gt;"",EDATE($D131,Milestones!$AA$119)&gt;=$Z131),$AC131,IF(AND($Y131&lt;&gt;"",EDATE($D131,Milestones!$AA$119)&gt;=$Y131),$AB131,$AA131)))=Milestones!$AB$119),UPPER(TEXT(EDATE($D131,Milestones!$AA$119),"dd mmm yy"))&amp;" "&amp;Milestones!$AB$119&amp;" "&amp;IF(AND(Milestones!$AB$119="FT",Milestones!$AA$119=FT_Y5,EDATE($D131,Milestones!$AA$119)&lt;PolicyEff),1,Milestones!$AC$119)&amp;";  ","")&amp;IF(AND(EDATE($D131,Milestones!$AA$120)&lt;=AsOfDate,EDATE($D131,Milestones!$AA$120)&gt;=SchemeStart,IF($X131=0,$AD131,IF(AND($Z131&lt;&gt;"",EDATE($D131,Milestones!$AA$120)&gt;=$Z131),$AC131,IF(AND($Y131&lt;&gt;"",EDATE($D131,Milestones!$AA$120)&gt;=$Y131),$AB131,$AA131)))=Milestones!$AB$120),UPPER(TEXT(EDATE($D131,Milestones!$AA$120),"dd mmm yy"))&amp;" "&amp;Milestones!$AB$120&amp;" "&amp;IF(AND(Milestones!$AB$120="FT",Milestones!$AA$120=FT_Y5,EDATE($D131,Milestones!$AA$120)&lt;PolicyEff),1,Milestones!$AC$120)&amp;";  ","")&amp;IF(AND(EDATE($D131,Milestones!$AA$121)&lt;=AsOfDate,EDATE($D131,Milestones!$AA$121)&gt;=SchemeStart,IF($X131=0,$AD131,IF(AND($Z131&lt;&gt;"",EDATE($D131,Milestones!$AA$121)&gt;=$Z131),$AC131,IF(AND($Y131&lt;&gt;"",EDATE($D131,Milestones!$AA$121)&gt;=$Y131),$AB131,$AA131)))=Milestones!$AB$121),UPPER(TEXT(EDATE($D131,Milestones!$AA$121),"dd mmm yy"))&amp;" "&amp;Milestones!$AB$121&amp;" "&amp;IF(AND(Milestones!$AB$121="FT",Milestones!$AA$121=FT_Y5,EDATE($D131,Milestones!$AA$121)&lt;PolicyEff),1,Milestones!$AC$121)&amp;";  ","")&amp;IF(AND(EDATE($D131,Milestones!$AA$122)&lt;=AsOfDate,EDATE($D131,Milestones!$AA$122)&gt;=SchemeStart,IF($X131=0,$AD131,IF(AND($Z131&lt;&gt;"",EDATE($D131,Milestones!$AA$122)&gt;=$Z131),$AC131,IF(AND($Y131&lt;&gt;"",EDATE($D131,Milestones!$AA$122)&gt;=$Y131),$AB131,$AA131)))=Milestones!$AB$122),UPPER(TEXT(EDATE($D131,Milestones!$AA$122),"dd mmm yy"))&amp;" "&amp;Milestones!$AB$122&amp;" "&amp;IF(AND(Milestones!$AB$122="FT",Milestones!$AA$122=FT_Y5,EDATE($D131,Milestones!$AA$122)&lt;PolicyEff),1,Milestones!$AC$122)&amp;";  ","")&amp;IF(AND(EDATE($D131,Milestones!$AA$123)&lt;=AsOfDate,EDATE($D131,Milestones!$AA$123)&gt;=SchemeStart,IF($X131=0,$AD131,IF(AND($Z131&lt;&gt;"",EDATE($D131,Milestones!$AA$123)&gt;=$Z131),$AC131,IF(AND($Y131&lt;&gt;"",EDATE($D131,Milestones!$AA$123)&gt;=$Y131),$AB131,$AA131)))=Milestones!$AB$123),UPPER(TEXT(EDATE($D131,Milestones!$AA$123),"dd mmm yy"))&amp;" "&amp;Milestones!$AB$123&amp;" "&amp;IF(AND(Milestones!$AB$123="FT",Milestones!$AA$123=FT_Y5,EDATE($D131,Milestones!$AA$123)&lt;PolicyEff),1,Milestones!$AC$123)&amp;";  ","")&amp;IF(AND(EDATE($D131,Milestones!$AA$124)&lt;=AsOfDate,EDATE($D131,Milestones!$AA$124)&gt;=SchemeStart,IF($X131=0,$AD131,IF(AND($Z131&lt;&gt;"",EDATE($D131,Milestones!$AA$124)&gt;=$Z131),$AC131,IF(AND($Y131&lt;&gt;"",EDATE($D131,Milestones!$AA$124)&gt;=$Y131),$AB131,$AA131)))=Milestones!$AB$124),UPPER(TEXT(EDATE($D131,Milestones!$AA$124),"dd mmm yy"))&amp;" "&amp;Milestones!$AB$124&amp;" "&amp;IF(AND(Milestones!$AB$124="FT",Milestones!$AA$124=FT_Y5,EDATE($D131,Milestones!$AA$124)&lt;PolicyEff),1,Milestones!$AC$124)&amp;";  ","")&amp;IF(AND(EDATE($D131,Milestones!$AA$125)&lt;=AsOfDate,EDATE($D131,Milestones!$AA$125)&gt;=SchemeStart,IF($X131=0,$AD131,IF(AND($Z131&lt;&gt;"",EDATE($D131,Milestones!$AA$125)&gt;=$Z131),$AC131,IF(AND($Y131&lt;&gt;"",EDATE($D131,Milestones!$AA$125)&gt;=$Y131),$AB131,$AA131)))=Milestones!$AB$125),UPPER(TEXT(EDATE($D131,Milestones!$AA$125),"dd mmm yy"))&amp;" "&amp;Milestones!$AB$125&amp;" "&amp;IF(AND(Milestones!$AB$125="FT",Milestones!$AA$125=FT_Y5,EDATE($D131,Milestones!$AA$125)&lt;PolicyEff),1,Milestones!$AC$125)&amp;";  ","")&amp;IF(AND(EDATE($D131,Milestones!$AA$126)&lt;=AsOfDate,EDATE($D131,Milestones!$AA$126)&gt;=SchemeStart,IF($X131=0,$AD131,IF(AND($Z131&lt;&gt;"",EDATE($D131,Milestones!$AA$126)&gt;=$Z131),$AC131,IF(AND($Y131&lt;&gt;"",EDATE($D131,Milestones!$AA$126)&gt;=$Y131),$AB131,$AA131)))=Milestones!$AB$126),UPPER(TEXT(EDATE($D131,Milestones!$AA$126),"dd mmm yy"))&amp;" "&amp;Milestones!$AB$126&amp;" "&amp;IF(AND(Milestones!$AB$126="FT",Milestones!$AA$126=FT_Y5,EDATE($D131,Milestones!$AA$126)&lt;PolicyEff),1,Milestones!$AC$126)&amp;";  ","")&amp;IF(AND(EDATE($D131,Milestones!$AA$127)&lt;=AsOfDate,EDATE($D131,Milestones!$AA$127)&gt;=SchemeStart,IF($X131=0,$AD131,IF(AND($Z131&lt;&gt;"",EDATE($D131,Milestones!$AA$127)&gt;=$Z131),$AC131,IF(AND($Y131&lt;&gt;"",EDATE($D131,Milestones!$AA$127)&gt;=$Y131),$AB131,$AA131)))=Milestones!$AB$127),UPPER(TEXT(EDATE($D131,Milestones!$AA$127),"dd mmm yy"))&amp;" "&amp;Milestones!$AB$127&amp;" "&amp;IF(AND(Milestones!$AB$127="FT",Milestones!$AA$127=FT_Y5,EDATE($D131,Milestones!$AA$127)&lt;PolicyEff),1,Milestones!$AC$127)&amp;";  ",""))</f>
        <v/>
      </c>
      <c r="R131" s="0" t="str">
        <f aca="false">IF(OR($A131="",$D131=""),"",IF(AND(EDATE($D131,Milestones!$AA$128)&lt;=AsOfDate,EDATE($D131,Milestones!$AA$128)&gt;=SchemeStart,IF($X131=0,$AD131,IF(AND($Z131&lt;&gt;"",EDATE($D131,Milestones!$AA$128)&gt;=$Z131),$AC131,IF(AND($Y131&lt;&gt;"",EDATE($D131,Milestones!$AA$128)&gt;=$Y131),$AB131,$AA131)))=Milestones!$AB$128),UPPER(TEXT(EDATE($D131,Milestones!$AA$128),"dd mmm yy"))&amp;" "&amp;Milestones!$AB$128&amp;" "&amp;IF(AND(Milestones!$AB$128="FT",Milestones!$AA$128=FT_Y5,EDATE($D131,Milestones!$AA$128)&lt;PolicyEff),1,Milestones!$AC$128)&amp;";  ","")&amp;IF(AND(EDATE($D131,Milestones!$AA$129)&lt;=AsOfDate,EDATE($D131,Milestones!$AA$129)&gt;=SchemeStart,IF($X131=0,$AD131,IF(AND($Z131&lt;&gt;"",EDATE($D131,Milestones!$AA$129)&gt;=$Z131),$AC131,IF(AND($Y131&lt;&gt;"",EDATE($D131,Milestones!$AA$129)&gt;=$Y131),$AB131,$AA131)))=Milestones!$AB$129),UPPER(TEXT(EDATE($D131,Milestones!$AA$129),"dd mmm yy"))&amp;" "&amp;Milestones!$AB$129&amp;" "&amp;IF(AND(Milestones!$AB$129="FT",Milestones!$AA$129=FT_Y5,EDATE($D131,Milestones!$AA$129)&lt;PolicyEff),1,Milestones!$AC$129)&amp;";  ","")&amp;IF(AND(EDATE($D131,Milestones!$AA$130)&lt;=AsOfDate,EDATE($D131,Milestones!$AA$130)&gt;=SchemeStart,IF($X131=0,$AD131,IF(AND($Z131&lt;&gt;"",EDATE($D131,Milestones!$AA$130)&gt;=$Z131),$AC131,IF(AND($Y131&lt;&gt;"",EDATE($D131,Milestones!$AA$130)&gt;=$Y131),$AB131,$AA131)))=Milestones!$AB$130),UPPER(TEXT(EDATE($D131,Milestones!$AA$130),"dd mmm yy"))&amp;" "&amp;Milestones!$AB$130&amp;" "&amp;IF(AND(Milestones!$AB$130="FT",Milestones!$AA$130=FT_Y5,EDATE($D131,Milestones!$AA$130)&lt;PolicyEff),1,Milestones!$AC$130)&amp;";  ","")&amp;IF(AND(EDATE($D131,Milestones!$AA$131)&lt;=AsOfDate,EDATE($D131,Milestones!$AA$131)&gt;=SchemeStart,IF($X131=0,$AD131,IF(AND($Z131&lt;&gt;"",EDATE($D131,Milestones!$AA$131)&gt;=$Z131),$AC131,IF(AND($Y131&lt;&gt;"",EDATE($D131,Milestones!$AA$131)&gt;=$Y131),$AB131,$AA131)))=Milestones!$AB$131),UPPER(TEXT(EDATE($D131,Milestones!$AA$131),"dd mmm yy"))&amp;" "&amp;Milestones!$AB$131&amp;" "&amp;IF(AND(Milestones!$AB$131="FT",Milestones!$AA$131=FT_Y5,EDATE($D131,Milestones!$AA$131)&lt;PolicyEff),1,Milestones!$AC$131)&amp;";  ","")&amp;IF(AND(EDATE($D131,Milestones!$AA$132)&lt;=AsOfDate,EDATE($D131,Milestones!$AA$132)&gt;=SchemeStart,IF($X131=0,$AD131,IF(AND($Z131&lt;&gt;"",EDATE($D131,Milestones!$AA$132)&gt;=$Z131),$AC131,IF(AND($Y131&lt;&gt;"",EDATE($D131,Milestones!$AA$132)&gt;=$Y131),$AB131,$AA131)))=Milestones!$AB$132),UPPER(TEXT(EDATE($D131,Milestones!$AA$132),"dd mmm yy"))&amp;" "&amp;Milestones!$AB$132&amp;" "&amp;IF(AND(Milestones!$AB$132="FT",Milestones!$AA$132=FT_Y5,EDATE($D131,Milestones!$AA$132)&lt;PolicyEff),1,Milestones!$AC$132)&amp;";  ","")&amp;IF(AND(EDATE($D131,Milestones!$AA$133)&lt;=AsOfDate,EDATE($D131,Milestones!$AA$133)&gt;=SchemeStart,IF($X131=0,$AD131,IF(AND($Z131&lt;&gt;"",EDATE($D131,Milestones!$AA$133)&gt;=$Z131),$AC131,IF(AND($Y131&lt;&gt;"",EDATE($D131,Milestones!$AA$133)&gt;=$Y131),$AB131,$AA131)))=Milestones!$AB$133),UPPER(TEXT(EDATE($D131,Milestones!$AA$133),"dd mmm yy"))&amp;" "&amp;Milestones!$AB$133&amp;" "&amp;IF(AND(Milestones!$AB$133="FT",Milestones!$AA$133=FT_Y5,EDATE($D131,Milestones!$AA$133)&lt;PolicyEff),1,Milestones!$AC$133)&amp;";  ","")&amp;IF(AND(EDATE($D131,Milestones!$AA$134)&lt;=AsOfDate,EDATE($D131,Milestones!$AA$134)&gt;=SchemeStart,IF($X131=0,$AD131,IF(AND($Z131&lt;&gt;"",EDATE($D131,Milestones!$AA$134)&gt;=$Z131),$AC131,IF(AND($Y131&lt;&gt;"",EDATE($D131,Milestones!$AA$134)&gt;=$Y131),$AB131,$AA131)))=Milestones!$AB$134),UPPER(TEXT(EDATE($D131,Milestones!$AA$134),"dd mmm yy"))&amp;" "&amp;Milestones!$AB$134&amp;" "&amp;IF(AND(Milestones!$AB$134="FT",Milestones!$AA$134=FT_Y5,EDATE($D131,Milestones!$AA$134)&lt;PolicyEff),1,Milestones!$AC$134)&amp;";  ","")&amp;IF(AND(EDATE($D131,Milestones!$AA$135)&lt;=AsOfDate,EDATE($D131,Milestones!$AA$135)&gt;=SchemeStart,IF($X131=0,$AD131,IF(AND($Z131&lt;&gt;"",EDATE($D131,Milestones!$AA$135)&gt;=$Z131),$AC131,IF(AND($Y131&lt;&gt;"",EDATE($D131,Milestones!$AA$135)&gt;=$Y131),$AB131,$AA131)))=Milestones!$AB$135),UPPER(TEXT(EDATE($D131,Milestones!$AA$135),"dd mmm yy"))&amp;" "&amp;Milestones!$AB$135&amp;" "&amp;IF(AND(Milestones!$AB$135="FT",Milestones!$AA$135=FT_Y5,EDATE($D131,Milestones!$AA$135)&lt;PolicyEff),1,Milestones!$AC$135)&amp;";  ","")&amp;IF(AND(EDATE($D131,Milestones!$AA$136)&lt;=AsOfDate,EDATE($D131,Milestones!$AA$136)&gt;=SchemeStart,IF($X131=0,$AD131,IF(AND($Z131&lt;&gt;"",EDATE($D131,Milestones!$AA$136)&gt;=$Z131),$AC131,IF(AND($Y131&lt;&gt;"",EDATE($D131,Milestones!$AA$136)&gt;=$Y131),$AB131,$AA131)))=Milestones!$AB$136),UPPER(TEXT(EDATE($D131,Milestones!$AA$136),"dd mmm yy"))&amp;" "&amp;Milestones!$AB$136&amp;" "&amp;IF(AND(Milestones!$AB$136="FT",Milestones!$AA$136=FT_Y5,EDATE($D131,Milestones!$AA$136)&lt;PolicyEff),1,Milestones!$AC$136)&amp;";  ","")&amp;IF(AND(EDATE($D131,Milestones!$AA$137)&lt;=AsOfDate,EDATE($D131,Milestones!$AA$137)&gt;=SchemeStart,IF($X131=0,$AD131,IF(AND($Z131&lt;&gt;"",EDATE($D131,Milestones!$AA$137)&gt;=$Z131),$AC131,IF(AND($Y131&lt;&gt;"",EDATE($D131,Milestones!$AA$137)&gt;=$Y131),$AB131,$AA131)))=Milestones!$AB$137),UPPER(TEXT(EDATE($D131,Milestones!$AA$137),"dd mmm yy"))&amp;" "&amp;Milestones!$AB$137&amp;" "&amp;IF(AND(Milestones!$AB$137="FT",Milestones!$AA$137=FT_Y5,EDATE($D131,Milestones!$AA$137)&lt;PolicyEff),1,Milestones!$AC$137)&amp;";  ","")&amp;IF(AND(EDATE($D131,Milestones!$AA$138)&lt;=AsOfDate,EDATE($D131,Milestones!$AA$138)&gt;=SchemeStart,IF($X131=0,$AD131,IF(AND($Z131&lt;&gt;"",EDATE($D131,Milestones!$AA$138)&gt;=$Z131),$AC131,IF(AND($Y131&lt;&gt;"",EDATE($D131,Milestones!$AA$138)&gt;=$Y131),$AB131,$AA131)))=Milestones!$AB$138),UPPER(TEXT(EDATE($D131,Milestones!$AA$138),"dd mmm yy"))&amp;" "&amp;Milestones!$AB$138&amp;" "&amp;IF(AND(Milestones!$AB$138="FT",Milestones!$AA$138=FT_Y5,EDATE($D131,Milestones!$AA$138)&lt;PolicyEff),1,Milestones!$AC$138)&amp;";  ","")&amp;IF(AND(EDATE($D131,Milestones!$AA$139)&lt;=AsOfDate,EDATE($D131,Milestones!$AA$139)&gt;=SchemeStart,IF($X131=0,$AD131,IF(AND($Z131&lt;&gt;"",EDATE($D131,Milestones!$AA$139)&gt;=$Z131),$AC131,IF(AND($Y131&lt;&gt;"",EDATE($D131,Milestones!$AA$139)&gt;=$Y131),$AB131,$AA131)))=Milestones!$AB$139),UPPER(TEXT(EDATE($D131,Milestones!$AA$139),"dd mmm yy"))&amp;" "&amp;Milestones!$AB$139&amp;" "&amp;IF(AND(Milestones!$AB$139="FT",Milestones!$AA$139=FT_Y5,EDATE($D131,Milestones!$AA$139)&lt;PolicyEff),1,Milestones!$AC$139)&amp;";  ",""))</f>
        <v/>
      </c>
      <c r="S131" s="0" t="str">
        <f aca="false">IF(OR($A131="",$D131=""),"",IF(AND(EDATE($D131,Milestones!$AA$140)&lt;=AsOfDate,EDATE($D131,Milestones!$AA$140)&gt;=SchemeStart,IF($X131=0,$AD131,IF(AND($Z131&lt;&gt;"",EDATE($D131,Milestones!$AA$140)&gt;=$Z131),$AC131,IF(AND($Y131&lt;&gt;"",EDATE($D131,Milestones!$AA$140)&gt;=$Y131),$AB131,$AA131)))=Milestones!$AB$140),UPPER(TEXT(EDATE($D131,Milestones!$AA$140),"dd mmm yy"))&amp;" "&amp;Milestones!$AB$140&amp;" "&amp;IF(AND(Milestones!$AB$140="FT",Milestones!$AA$140=FT_Y5,EDATE($D131,Milestones!$AA$140)&lt;PolicyEff),1,Milestones!$AC$140)&amp;";  ","")&amp;IF(AND(EDATE($D131,Milestones!$AA$141)&lt;=AsOfDate,EDATE($D131,Milestones!$AA$141)&gt;=SchemeStart,IF($X131=0,$AD131,IF(AND($Z131&lt;&gt;"",EDATE($D131,Milestones!$AA$141)&gt;=$Z131),$AC131,IF(AND($Y131&lt;&gt;"",EDATE($D131,Milestones!$AA$141)&gt;=$Y131),$AB131,$AA131)))=Milestones!$AB$141),UPPER(TEXT(EDATE($D131,Milestones!$AA$141),"dd mmm yy"))&amp;" "&amp;Milestones!$AB$141&amp;" "&amp;IF(AND(Milestones!$AB$141="FT",Milestones!$AA$141=FT_Y5,EDATE($D131,Milestones!$AA$141)&lt;PolicyEff),1,Milestones!$AC$141)&amp;";  ","")&amp;IF(AND(EDATE($D131,Milestones!$AA$142)&lt;=AsOfDate,EDATE($D131,Milestones!$AA$142)&gt;=SchemeStart,IF($X131=0,$AD131,IF(AND($Z131&lt;&gt;"",EDATE($D131,Milestones!$AA$142)&gt;=$Z131),$AC131,IF(AND($Y131&lt;&gt;"",EDATE($D131,Milestones!$AA$142)&gt;=$Y131),$AB131,$AA131)))=Milestones!$AB$142),UPPER(TEXT(EDATE($D131,Milestones!$AA$142),"dd mmm yy"))&amp;" "&amp;Milestones!$AB$142&amp;" "&amp;IF(AND(Milestones!$AB$142="FT",Milestones!$AA$142=FT_Y5,EDATE($D131,Milestones!$AA$142)&lt;PolicyEff),1,Milestones!$AC$142)&amp;";  ","")&amp;IF(AND(EDATE($D131,Milestones!$AA$143)&lt;=AsOfDate,EDATE($D131,Milestones!$AA$143)&gt;=SchemeStart,IF($X131=0,$AD131,IF(AND($Z131&lt;&gt;"",EDATE($D131,Milestones!$AA$143)&gt;=$Z131),$AC131,IF(AND($Y131&lt;&gt;"",EDATE($D131,Milestones!$AA$143)&gt;=$Y131),$AB131,$AA131)))=Milestones!$AB$143),UPPER(TEXT(EDATE($D131,Milestones!$AA$143),"dd mmm yy"))&amp;" "&amp;Milestones!$AB$143&amp;" "&amp;IF(AND(Milestones!$AB$143="FT",Milestones!$AA$143=FT_Y5,EDATE($D131,Milestones!$AA$143)&lt;PolicyEff),1,Milestones!$AC$143)&amp;";  ","")&amp;IF(AND(EDATE($D131,Milestones!$AA$144)&lt;=AsOfDate,EDATE($D131,Milestones!$AA$144)&gt;=SchemeStart,IF($X131=0,$AD131,IF(AND($Z131&lt;&gt;"",EDATE($D131,Milestones!$AA$144)&gt;=$Z131),$AC131,IF(AND($Y131&lt;&gt;"",EDATE($D131,Milestones!$AA$144)&gt;=$Y131),$AB131,$AA131)))=Milestones!$AB$144),UPPER(TEXT(EDATE($D131,Milestones!$AA$144),"dd mmm yy"))&amp;" "&amp;Milestones!$AB$144&amp;" "&amp;IF(AND(Milestones!$AB$144="FT",Milestones!$AA$144=FT_Y5,EDATE($D131,Milestones!$AA$144)&lt;PolicyEff),1,Milestones!$AC$144)&amp;";  ","")&amp;IF(AND(EDATE($D131,Milestones!$AA$145)&lt;=AsOfDate,EDATE($D131,Milestones!$AA$145)&gt;=SchemeStart,IF($X131=0,$AD131,IF(AND($Z131&lt;&gt;"",EDATE($D131,Milestones!$AA$145)&gt;=$Z131),$AC131,IF(AND($Y131&lt;&gt;"",EDATE($D131,Milestones!$AA$145)&gt;=$Y131),$AB131,$AA131)))=Milestones!$AB$145),UPPER(TEXT(EDATE($D131,Milestones!$AA$145),"dd mmm yy"))&amp;" "&amp;Milestones!$AB$145&amp;" "&amp;IF(AND(Milestones!$AB$145="FT",Milestones!$AA$145=FT_Y5,EDATE($D131,Milestones!$AA$145)&lt;PolicyEff),1,Milestones!$AC$145)&amp;";  ","")&amp;IF(AND(EDATE($D131,Milestones!$AA$146)&lt;=AsOfDate,EDATE($D131,Milestones!$AA$146)&gt;=SchemeStart,IF($X131=0,$AD131,IF(AND($Z131&lt;&gt;"",EDATE($D131,Milestones!$AA$146)&gt;=$Z131),$AC131,IF(AND($Y131&lt;&gt;"",EDATE($D131,Milestones!$AA$146)&gt;=$Y131),$AB131,$AA131)))=Milestones!$AB$146),UPPER(TEXT(EDATE($D131,Milestones!$AA$146),"dd mmm yy"))&amp;" "&amp;Milestones!$AB$146&amp;" "&amp;IF(AND(Milestones!$AB$146="FT",Milestones!$AA$146=FT_Y5,EDATE($D131,Milestones!$AA$146)&lt;PolicyEff),1,Milestones!$AC$146)&amp;";  ","")&amp;IF(AND(EDATE($D131,Milestones!$AA$147)&lt;=AsOfDate,EDATE($D131,Milestones!$AA$147)&gt;=SchemeStart,IF($X131=0,$AD131,IF(AND($Z131&lt;&gt;"",EDATE($D131,Milestones!$AA$147)&gt;=$Z131),$AC131,IF(AND($Y131&lt;&gt;"",EDATE($D131,Milestones!$AA$147)&gt;=$Y131),$AB131,$AA131)))=Milestones!$AB$147),UPPER(TEXT(EDATE($D131,Milestones!$AA$147),"dd mmm yy"))&amp;" "&amp;Milestones!$AB$147&amp;" "&amp;IF(AND(Milestones!$AB$147="FT",Milestones!$AA$147=FT_Y5,EDATE($D131,Milestones!$AA$147)&lt;PolicyEff),1,Milestones!$AC$147)&amp;";  ","")&amp;IF(AND(EDATE($D131,Milestones!$AA$148)&lt;=AsOfDate,EDATE($D131,Milestones!$AA$148)&gt;=SchemeStart,IF($X131=0,$AD131,IF(AND($Z131&lt;&gt;"",EDATE($D131,Milestones!$AA$148)&gt;=$Z131),$AC131,IF(AND($Y131&lt;&gt;"",EDATE($D131,Milestones!$AA$148)&gt;=$Y131),$AB131,$AA131)))=Milestones!$AB$148),UPPER(TEXT(EDATE($D131,Milestones!$AA$148),"dd mmm yy"))&amp;" "&amp;Milestones!$AB$148&amp;" "&amp;IF(AND(Milestones!$AB$148="FT",Milestones!$AA$148=FT_Y5,EDATE($D131,Milestones!$AA$148)&lt;PolicyEff),1,Milestones!$AC$148)&amp;";  ","")&amp;IF(AND(EDATE($D131,Milestones!$AA$149)&lt;=AsOfDate,EDATE($D131,Milestones!$AA$149)&gt;=SchemeStart,IF($X131=0,$AD131,IF(AND($Z131&lt;&gt;"",EDATE($D131,Milestones!$AA$149)&gt;=$Z131),$AC131,IF(AND($Y131&lt;&gt;"",EDATE($D131,Milestones!$AA$149)&gt;=$Y131),$AB131,$AA131)))=Milestones!$AB$149),UPPER(TEXT(EDATE($D131,Milestones!$AA$149),"dd mmm yy"))&amp;" "&amp;Milestones!$AB$149&amp;" "&amp;IF(AND(Milestones!$AB$149="FT",Milestones!$AA$149=FT_Y5,EDATE($D131,Milestones!$AA$149)&lt;PolicyEff),1,Milestones!$AC$149)&amp;";  ","")&amp;IF(AND(EDATE($D131,Milestones!$AA$150)&lt;=AsOfDate,EDATE($D131,Milestones!$AA$150)&gt;=SchemeStart,IF($X131=0,$AD131,IF(AND($Z131&lt;&gt;"",EDATE($D131,Milestones!$AA$150)&gt;=$Z131),$AC131,IF(AND($Y131&lt;&gt;"",EDATE($D131,Milestones!$AA$150)&gt;=$Y131),$AB131,$AA131)))=Milestones!$AB$150),UPPER(TEXT(EDATE($D131,Milestones!$AA$150),"dd mmm yy"))&amp;" "&amp;Milestones!$AB$150&amp;" "&amp;IF(AND(Milestones!$AB$150="FT",Milestones!$AA$150=FT_Y5,EDATE($D131,Milestones!$AA$150)&lt;PolicyEff),1,Milestones!$AC$150)&amp;";  ","")&amp;IF(AND(EDATE($D131,Milestones!$AA$151)&lt;=AsOfDate,EDATE($D131,Milestones!$AA$151)&gt;=SchemeStart,IF($X131=0,$AD131,IF(AND($Z131&lt;&gt;"",EDATE($D131,Milestones!$AA$151)&gt;=$Z131),$AC131,IF(AND($Y131&lt;&gt;"",EDATE($D131,Milestones!$AA$151)&gt;=$Y131),$AB131,$AA131)))=Milestones!$AB$151),UPPER(TEXT(EDATE($D131,Milestones!$AA$151),"dd mmm yy"))&amp;" "&amp;Milestones!$AB$151&amp;" "&amp;IF(AND(Milestones!$AB$151="FT",Milestones!$AA$151=FT_Y5,EDATE($D131,Milestones!$AA$151)&lt;PolicyEff),1,Milestones!$AC$151)&amp;";  ",""))</f>
        <v/>
      </c>
      <c r="T131" s="0" t="str">
        <f aca="false">IF(OR($A131="",$D131=""),"",IF(AND(EDATE($D131,Milestones!$AA$152)&lt;=AsOfDate,EDATE($D131,Milestones!$AA$152)&gt;=SchemeStart,IF($X131=0,$AD131,IF(AND($Z131&lt;&gt;"",EDATE($D131,Milestones!$AA$152)&gt;=$Z131),$AC131,IF(AND($Y131&lt;&gt;"",EDATE($D131,Milestones!$AA$152)&gt;=$Y131),$AB131,$AA131)))=Milestones!$AB$152),UPPER(TEXT(EDATE($D131,Milestones!$AA$152),"dd mmm yy"))&amp;" "&amp;Milestones!$AB$152&amp;" "&amp;IF(AND(Milestones!$AB$152="FT",Milestones!$AA$152=FT_Y5,EDATE($D131,Milestones!$AA$152)&lt;PolicyEff),1,Milestones!$AC$152)&amp;";  ","")&amp;IF(AND(EDATE($D131,Milestones!$AA$153)&lt;=AsOfDate,EDATE($D131,Milestones!$AA$153)&gt;=SchemeStart,IF($X131=0,$AD131,IF(AND($Z131&lt;&gt;"",EDATE($D131,Milestones!$AA$153)&gt;=$Z131),$AC131,IF(AND($Y131&lt;&gt;"",EDATE($D131,Milestones!$AA$153)&gt;=$Y131),$AB131,$AA131)))=Milestones!$AB$153),UPPER(TEXT(EDATE($D131,Milestones!$AA$153),"dd mmm yy"))&amp;" "&amp;Milestones!$AB$153&amp;" "&amp;IF(AND(Milestones!$AB$153="FT",Milestones!$AA$153=FT_Y5,EDATE($D131,Milestones!$AA$153)&lt;PolicyEff),1,Milestones!$AC$153)&amp;";  ","")&amp;IF(AND(EDATE($D131,Milestones!$AA$154)&lt;=AsOfDate,EDATE($D131,Milestones!$AA$154)&gt;=SchemeStart,IF($X131=0,$AD131,IF(AND($Z131&lt;&gt;"",EDATE($D131,Milestones!$AA$154)&gt;=$Z131),$AC131,IF(AND($Y131&lt;&gt;"",EDATE($D131,Milestones!$AA$154)&gt;=$Y131),$AB131,$AA131)))=Milestones!$AB$154),UPPER(TEXT(EDATE($D131,Milestones!$AA$154),"dd mmm yy"))&amp;" "&amp;Milestones!$AB$154&amp;" "&amp;IF(AND(Milestones!$AB$154="FT",Milestones!$AA$154=FT_Y5,EDATE($D131,Milestones!$AA$154)&lt;PolicyEff),1,Milestones!$AC$154)&amp;";  ","")&amp;IF(AND(EDATE($D131,Milestones!$AA$155)&lt;=AsOfDate,EDATE($D131,Milestones!$AA$155)&gt;=SchemeStart,IF($X131=0,$AD131,IF(AND($Z131&lt;&gt;"",EDATE($D131,Milestones!$AA$155)&gt;=$Z131),$AC131,IF(AND($Y131&lt;&gt;"",EDATE($D131,Milestones!$AA$155)&gt;=$Y131),$AB131,$AA131)))=Milestones!$AB$155),UPPER(TEXT(EDATE($D131,Milestones!$AA$155),"dd mmm yy"))&amp;" "&amp;Milestones!$AB$155&amp;" "&amp;IF(AND(Milestones!$AB$155="FT",Milestones!$AA$155=FT_Y5,EDATE($D131,Milestones!$AA$155)&lt;PolicyEff),1,Milestones!$AC$155)&amp;";  ","")&amp;IF(AND(EDATE($D131,Milestones!$AA$156)&lt;=AsOfDate,EDATE($D131,Milestones!$AA$156)&gt;=SchemeStart,IF($X131=0,$AD131,IF(AND($Z131&lt;&gt;"",EDATE($D131,Milestones!$AA$156)&gt;=$Z131),$AC131,IF(AND($Y131&lt;&gt;"",EDATE($D131,Milestones!$AA$156)&gt;=$Y131),$AB131,$AA131)))=Milestones!$AB$156),UPPER(TEXT(EDATE($D131,Milestones!$AA$156),"dd mmm yy"))&amp;" "&amp;Milestones!$AB$156&amp;" "&amp;IF(AND(Milestones!$AB$156="FT",Milestones!$AA$156=FT_Y5,EDATE($D131,Milestones!$AA$156)&lt;PolicyEff),1,Milestones!$AC$156)&amp;";  ","")&amp;IF(AND(EDATE($D131,Milestones!$AA$157)&lt;=AsOfDate,EDATE($D131,Milestones!$AA$157)&gt;=SchemeStart,IF($X131=0,$AD131,IF(AND($Z131&lt;&gt;"",EDATE($D131,Milestones!$AA$157)&gt;=$Z131),$AC131,IF(AND($Y131&lt;&gt;"",EDATE($D131,Milestones!$AA$157)&gt;=$Y131),$AB131,$AA131)))=Milestones!$AB$157),UPPER(TEXT(EDATE($D131,Milestones!$AA$157),"dd mmm yy"))&amp;" "&amp;Milestones!$AB$157&amp;" "&amp;IF(AND(Milestones!$AB$157="FT",Milestones!$AA$157=FT_Y5,EDATE($D131,Milestones!$AA$157)&lt;PolicyEff),1,Milestones!$AC$157)&amp;";  ","")&amp;IF(AND(EDATE($D131,Milestones!$AA$158)&lt;=AsOfDate,EDATE($D131,Milestones!$AA$158)&gt;=SchemeStart,IF($X131=0,$AD131,IF(AND($Z131&lt;&gt;"",EDATE($D131,Milestones!$AA$158)&gt;=$Z131),$AC131,IF(AND($Y131&lt;&gt;"",EDATE($D131,Milestones!$AA$158)&gt;=$Y131),$AB131,$AA131)))=Milestones!$AB$158),UPPER(TEXT(EDATE($D131,Milestones!$AA$158),"dd mmm yy"))&amp;" "&amp;Milestones!$AB$158&amp;" "&amp;IF(AND(Milestones!$AB$158="FT",Milestones!$AA$158=FT_Y5,EDATE($D131,Milestones!$AA$158)&lt;PolicyEff),1,Milestones!$AC$158)&amp;";  ","")&amp;IF(AND(EDATE($D131,Milestones!$AA$159)&lt;=AsOfDate,EDATE($D131,Milestones!$AA$159)&gt;=SchemeStart,IF($X131=0,$AD131,IF(AND($Z131&lt;&gt;"",EDATE($D131,Milestones!$AA$159)&gt;=$Z131),$AC131,IF(AND($Y131&lt;&gt;"",EDATE($D131,Milestones!$AA$159)&gt;=$Y131),$AB131,$AA131)))=Milestones!$AB$159),UPPER(TEXT(EDATE($D131,Milestones!$AA$159),"dd mmm yy"))&amp;" "&amp;Milestones!$AB$159&amp;" "&amp;IF(AND(Milestones!$AB$159="FT",Milestones!$AA$159=FT_Y5,EDATE($D131,Milestones!$AA$159)&lt;PolicyEff),1,Milestones!$AC$159)&amp;";  ","")&amp;IF(AND(EDATE($D131,Milestones!$AA$160)&lt;=AsOfDate,EDATE($D131,Milestones!$AA$160)&gt;=SchemeStart,IF($X131=0,$AD131,IF(AND($Z131&lt;&gt;"",EDATE($D131,Milestones!$AA$160)&gt;=$Z131),$AC131,IF(AND($Y131&lt;&gt;"",EDATE($D131,Milestones!$AA$160)&gt;=$Y131),$AB131,$AA131)))=Milestones!$AB$160),UPPER(TEXT(EDATE($D131,Milestones!$AA$160),"dd mmm yy"))&amp;" "&amp;Milestones!$AB$160&amp;" "&amp;IF(AND(Milestones!$AB$160="FT",Milestones!$AA$160=FT_Y5,EDATE($D131,Milestones!$AA$160)&lt;PolicyEff),1,Milestones!$AC$160)&amp;";  ","")&amp;IF(AND(EDATE($D131,Milestones!$AA$161)&lt;=AsOfDate,EDATE($D131,Milestones!$AA$161)&gt;=SchemeStart,IF($X131=0,$AD131,IF(AND($Z131&lt;&gt;"",EDATE($D131,Milestones!$AA$161)&gt;=$Z131),$AC131,IF(AND($Y131&lt;&gt;"",EDATE($D131,Milestones!$AA$161)&gt;=$Y131),$AB131,$AA131)))=Milestones!$AB$161),UPPER(TEXT(EDATE($D131,Milestones!$AA$161),"dd mmm yy"))&amp;" "&amp;Milestones!$AB$161&amp;" "&amp;IF(AND(Milestones!$AB$161="FT",Milestones!$AA$161=FT_Y5,EDATE($D131,Milestones!$AA$161)&lt;PolicyEff),1,Milestones!$AC$161)&amp;";  ","")&amp;IF(AND(EDATE($D131,Milestones!$AA$162)&lt;=AsOfDate,EDATE($D131,Milestones!$AA$162)&gt;=SchemeStart,IF($X131=0,$AD131,IF(AND($Z131&lt;&gt;"",EDATE($D131,Milestones!$AA$162)&gt;=$Z131),$AC131,IF(AND($Y131&lt;&gt;"",EDATE($D131,Milestones!$AA$162)&gt;=$Y131),$AB131,$AA131)))=Milestones!$AB$162),UPPER(TEXT(EDATE($D131,Milestones!$AA$162),"dd mmm yy"))&amp;" "&amp;Milestones!$AB$162&amp;" "&amp;IF(AND(Milestones!$AB$162="FT",Milestones!$AA$162=FT_Y5,EDATE($D131,Milestones!$AA$162)&lt;PolicyEff),1,Milestones!$AC$162)&amp;";  ","")&amp;IF(AND(EDATE($D131,Milestones!$AA$163)&lt;=AsOfDate,EDATE($D131,Milestones!$AA$163)&gt;=SchemeStart,IF($X131=0,$AD131,IF(AND($Z131&lt;&gt;"",EDATE($D131,Milestones!$AA$163)&gt;=$Z131),$AC131,IF(AND($Y131&lt;&gt;"",EDATE($D131,Milestones!$AA$163)&gt;=$Y131),$AB131,$AA131)))=Milestones!$AB$163),UPPER(TEXT(EDATE($D131,Milestones!$AA$163),"dd mmm yy"))&amp;" "&amp;Milestones!$AB$163&amp;" "&amp;IF(AND(Milestones!$AB$163="FT",Milestones!$AA$163=FT_Y5,EDATE($D131,Milestones!$AA$163)&lt;PolicyEff),1,Milestones!$AC$163)&amp;";  ",""))</f>
        <v/>
      </c>
      <c r="U131" s="0" t="str">
        <f aca="false">IF(OR($A131="",$D131=""),"",IF(AND(EDATE($D131,Milestones!$AA$164)&lt;=AsOfDate,EDATE($D131,Milestones!$AA$164)&gt;=SchemeStart,IF($X131=0,$AD131,IF(AND($Z131&lt;&gt;"",EDATE($D131,Milestones!$AA$164)&gt;=$Z131),$AC131,IF(AND($Y131&lt;&gt;"",EDATE($D131,Milestones!$AA$164)&gt;=$Y131),$AB131,$AA131)))=Milestones!$AB$164),UPPER(TEXT(EDATE($D131,Milestones!$AA$164),"dd mmm yy"))&amp;" "&amp;Milestones!$AB$164&amp;" "&amp;IF(AND(Milestones!$AB$164="FT",Milestones!$AA$164=FT_Y5,EDATE($D131,Milestones!$AA$164)&lt;PolicyEff),1,Milestones!$AC$164)&amp;";  ","")&amp;IF(AND(EDATE($D131,Milestones!$AA$165)&lt;=AsOfDate,EDATE($D131,Milestones!$AA$165)&gt;=SchemeStart,IF($X131=0,$AD131,IF(AND($Z131&lt;&gt;"",EDATE($D131,Milestones!$AA$165)&gt;=$Z131),$AC131,IF(AND($Y131&lt;&gt;"",EDATE($D131,Milestones!$AA$165)&gt;=$Y131),$AB131,$AA131)))=Milestones!$AB$165),UPPER(TEXT(EDATE($D131,Milestones!$AA$165),"dd mmm yy"))&amp;" "&amp;Milestones!$AB$165&amp;" "&amp;IF(AND(Milestones!$AB$165="FT",Milestones!$AA$165=FT_Y5,EDATE($D131,Milestones!$AA$165)&lt;PolicyEff),1,Milestones!$AC$165)&amp;";  ","")&amp;IF(AND(EDATE($D131,Milestones!$AA$166)&lt;=AsOfDate,EDATE($D131,Milestones!$AA$166)&gt;=SchemeStart,IF($X131=0,$AD131,IF(AND($Z131&lt;&gt;"",EDATE($D131,Milestones!$AA$166)&gt;=$Z131),$AC131,IF(AND($Y131&lt;&gt;"",EDATE($D131,Milestones!$AA$166)&gt;=$Y131),$AB131,$AA131)))=Milestones!$AB$166),UPPER(TEXT(EDATE($D131,Milestones!$AA$166),"dd mmm yy"))&amp;" "&amp;Milestones!$AB$166&amp;" "&amp;IF(AND(Milestones!$AB$166="FT",Milestones!$AA$166=FT_Y5,EDATE($D131,Milestones!$AA$166)&lt;PolicyEff),1,Milestones!$AC$166)&amp;";  ","")&amp;IF(AND(EDATE($D131,Milestones!$AA$167)&lt;=AsOfDate,EDATE($D131,Milestones!$AA$167)&gt;=SchemeStart,IF($X131=0,$AD131,IF(AND($Z131&lt;&gt;"",EDATE($D131,Milestones!$AA$167)&gt;=$Z131),$AC131,IF(AND($Y131&lt;&gt;"",EDATE($D131,Milestones!$AA$167)&gt;=$Y131),$AB131,$AA131)))=Milestones!$AB$167),UPPER(TEXT(EDATE($D131,Milestones!$AA$167),"dd mmm yy"))&amp;" "&amp;Milestones!$AB$167&amp;" "&amp;IF(AND(Milestones!$AB$167="FT",Milestones!$AA$167=FT_Y5,EDATE($D131,Milestones!$AA$167)&lt;PolicyEff),1,Milestones!$AC$167)&amp;";  ","")&amp;IF(AND(EDATE($D131,Milestones!$AA$168)&lt;=AsOfDate,EDATE($D131,Milestones!$AA$168)&gt;=SchemeStart,IF($X131=0,$AD131,IF(AND($Z131&lt;&gt;"",EDATE($D131,Milestones!$AA$168)&gt;=$Z131),$AC131,IF(AND($Y131&lt;&gt;"",EDATE($D131,Milestones!$AA$168)&gt;=$Y131),$AB131,$AA131)))=Milestones!$AB$168),UPPER(TEXT(EDATE($D131,Milestones!$AA$168),"dd mmm yy"))&amp;" "&amp;Milestones!$AB$168&amp;" "&amp;IF(AND(Milestones!$AB$168="FT",Milestones!$AA$168=FT_Y5,EDATE($D131,Milestones!$AA$168)&lt;PolicyEff),1,Milestones!$AC$168)&amp;";  ","")&amp;IF(AND(EDATE($D131,Milestones!$AA$169)&lt;=AsOfDate,EDATE($D131,Milestones!$AA$169)&gt;=SchemeStart,IF($X131=0,$AD131,IF(AND($Z131&lt;&gt;"",EDATE($D131,Milestones!$AA$169)&gt;=$Z131),$AC131,IF(AND($Y131&lt;&gt;"",EDATE($D131,Milestones!$AA$169)&gt;=$Y131),$AB131,$AA131)))=Milestones!$AB$169),UPPER(TEXT(EDATE($D131,Milestones!$AA$169),"dd mmm yy"))&amp;" "&amp;Milestones!$AB$169&amp;" "&amp;IF(AND(Milestones!$AB$169="FT",Milestones!$AA$169=FT_Y5,EDATE($D131,Milestones!$AA$169)&lt;PolicyEff),1,Milestones!$AC$169)&amp;";  ","")&amp;IF(AND(EDATE($D131,Milestones!$AA$170)&lt;=AsOfDate,EDATE($D131,Milestones!$AA$170)&gt;=SchemeStart,IF($X131=0,$AD131,IF(AND($Z131&lt;&gt;"",EDATE($D131,Milestones!$AA$170)&gt;=$Z131),$AC131,IF(AND($Y131&lt;&gt;"",EDATE($D131,Milestones!$AA$170)&gt;=$Y131),$AB131,$AA131)))=Milestones!$AB$170),UPPER(TEXT(EDATE($D131,Milestones!$AA$170),"dd mmm yy"))&amp;" "&amp;Milestones!$AB$170&amp;" "&amp;IF(AND(Milestones!$AB$170="FT",Milestones!$AA$170=FT_Y5,EDATE($D131,Milestones!$AA$170)&lt;PolicyEff),1,Milestones!$AC$170)&amp;";  ","")&amp;IF(AND(EDATE($D131,Milestones!$AA$171)&lt;=AsOfDate,EDATE($D131,Milestones!$AA$171)&gt;=SchemeStart,IF($X131=0,$AD131,IF(AND($Z131&lt;&gt;"",EDATE($D131,Milestones!$AA$171)&gt;=$Z131),$AC131,IF(AND($Y131&lt;&gt;"",EDATE($D131,Milestones!$AA$171)&gt;=$Y131),$AB131,$AA131)))=Milestones!$AB$171),UPPER(TEXT(EDATE($D131,Milestones!$AA$171),"dd mmm yy"))&amp;" "&amp;Milestones!$AB$171&amp;" "&amp;IF(AND(Milestones!$AB$171="FT",Milestones!$AA$171=FT_Y5,EDATE($D131,Milestones!$AA$171)&lt;PolicyEff),1,Milestones!$AC$171)&amp;";  ","")&amp;IF(AND(EDATE($D131,Milestones!$AA$172)&lt;=AsOfDate,EDATE($D131,Milestones!$AA$172)&gt;=SchemeStart,IF($X131=0,$AD131,IF(AND($Z131&lt;&gt;"",EDATE($D131,Milestones!$AA$172)&gt;=$Z131),$AC131,IF(AND($Y131&lt;&gt;"",EDATE($D131,Milestones!$AA$172)&gt;=$Y131),$AB131,$AA131)))=Milestones!$AB$172),UPPER(TEXT(EDATE($D131,Milestones!$AA$172),"dd mmm yy"))&amp;" "&amp;Milestones!$AB$172&amp;" "&amp;IF(AND(Milestones!$AB$172="FT",Milestones!$AA$172=FT_Y5,EDATE($D131,Milestones!$AA$172)&lt;PolicyEff),1,Milestones!$AC$172)&amp;";  ","")&amp;IF(AND(EDATE($D131,Milestones!$AA$173)&lt;=AsOfDate,EDATE($D131,Milestones!$AA$173)&gt;=SchemeStart,IF($X131=0,$AD131,IF(AND($Z131&lt;&gt;"",EDATE($D131,Milestones!$AA$173)&gt;=$Z131),$AC131,IF(AND($Y131&lt;&gt;"",EDATE($D131,Milestones!$AA$173)&gt;=$Y131),$AB131,$AA131)))=Milestones!$AB$173),UPPER(TEXT(EDATE($D131,Milestones!$AA$173),"dd mmm yy"))&amp;" "&amp;Milestones!$AB$173&amp;" "&amp;IF(AND(Milestones!$AB$173="FT",Milestones!$AA$173=FT_Y5,EDATE($D131,Milestones!$AA$173)&lt;PolicyEff),1,Milestones!$AC$173)&amp;";  ","")&amp;IF(AND(EDATE($D131,Milestones!$AA$174)&lt;=AsOfDate,EDATE($D131,Milestones!$AA$174)&gt;=SchemeStart,IF($X131=0,$AD131,IF(AND($Z131&lt;&gt;"",EDATE($D131,Milestones!$AA$174)&gt;=$Z131),$AC131,IF(AND($Y131&lt;&gt;"",EDATE($D131,Milestones!$AA$174)&gt;=$Y131),$AB131,$AA131)))=Milestones!$AB$174),UPPER(TEXT(EDATE($D131,Milestones!$AA$174),"dd mmm yy"))&amp;" "&amp;Milestones!$AB$174&amp;" "&amp;IF(AND(Milestones!$AB$174="FT",Milestones!$AA$174=FT_Y5,EDATE($D131,Milestones!$AA$174)&lt;PolicyEff),1,Milestones!$AC$174)&amp;";  ","")&amp;IF(AND(EDATE($D131,Milestones!$AA$175)&lt;=AsOfDate,EDATE($D131,Milestones!$AA$175)&gt;=SchemeStart,IF($X131=0,$AD131,IF(AND($Z131&lt;&gt;"",EDATE($D131,Milestones!$AA$175)&gt;=$Z131),$AC131,IF(AND($Y131&lt;&gt;"",EDATE($D131,Milestones!$AA$175)&gt;=$Y131),$AB131,$AA131)))=Milestones!$AB$175),UPPER(TEXT(EDATE($D131,Milestones!$AA$175),"dd mmm yy"))&amp;" "&amp;Milestones!$AB$175&amp;" "&amp;IF(AND(Milestones!$AB$175="FT",Milestones!$AA$175=FT_Y5,EDATE($D131,Milestones!$AA$175)&lt;PolicyEff),1,Milestones!$AC$175)&amp;";  ",""))</f>
        <v/>
      </c>
      <c r="V131" s="0" t="str">
        <f aca="false">IF(OR($A131="",$D131=""),"",IF(AND(EDATE($D131,Milestones!$AA$176)&lt;=AsOfDate,EDATE($D131,Milestones!$AA$176)&gt;=SchemeStart,IF($X131=0,$AD131,IF(AND($Z131&lt;&gt;"",EDATE($D131,Milestones!$AA$176)&gt;=$Z131),$AC131,IF(AND($Y131&lt;&gt;"",EDATE($D131,Milestones!$AA$176)&gt;=$Y131),$AB131,$AA131)))=Milestones!$AB$176),UPPER(TEXT(EDATE($D131,Milestones!$AA$176),"dd mmm yy"))&amp;" "&amp;Milestones!$AB$176&amp;" "&amp;IF(AND(Milestones!$AB$176="FT",Milestones!$AA$176=FT_Y5,EDATE($D131,Milestones!$AA$176)&lt;PolicyEff),1,Milestones!$AC$176)&amp;";  ","")&amp;IF(AND(EDATE($D131,Milestones!$AA$177)&lt;=AsOfDate,EDATE($D131,Milestones!$AA$177)&gt;=SchemeStart,IF($X131=0,$AD131,IF(AND($Z131&lt;&gt;"",EDATE($D131,Milestones!$AA$177)&gt;=$Z131),$AC131,IF(AND($Y131&lt;&gt;"",EDATE($D131,Milestones!$AA$177)&gt;=$Y131),$AB131,$AA131)))=Milestones!$AB$177),UPPER(TEXT(EDATE($D131,Milestones!$AA$177),"dd mmm yy"))&amp;" "&amp;Milestones!$AB$177&amp;" "&amp;IF(AND(Milestones!$AB$177="FT",Milestones!$AA$177=FT_Y5,EDATE($D131,Milestones!$AA$177)&lt;PolicyEff),1,Milestones!$AC$177)&amp;";  ","")&amp;IF(AND(EDATE($D131,Milestones!$AA$178)&lt;=AsOfDate,EDATE($D131,Milestones!$AA$178)&gt;=SchemeStart,IF($X131=0,$AD131,IF(AND($Z131&lt;&gt;"",EDATE($D131,Milestones!$AA$178)&gt;=$Z131),$AC131,IF(AND($Y131&lt;&gt;"",EDATE($D131,Milestones!$AA$178)&gt;=$Y131),$AB131,$AA131)))=Milestones!$AB$178),UPPER(TEXT(EDATE($D131,Milestones!$AA$178),"dd mmm yy"))&amp;" "&amp;Milestones!$AB$178&amp;" "&amp;IF(AND(Milestones!$AB$178="FT",Milestones!$AA$178=FT_Y5,EDATE($D131,Milestones!$AA$178)&lt;PolicyEff),1,Milestones!$AC$178)&amp;";  ","")&amp;IF(AND(EDATE($D131,Milestones!$AA$179)&lt;=AsOfDate,EDATE($D131,Milestones!$AA$179)&gt;=SchemeStart,IF($X131=0,$AD131,IF(AND($Z131&lt;&gt;"",EDATE($D131,Milestones!$AA$179)&gt;=$Z131),$AC131,IF(AND($Y131&lt;&gt;"",EDATE($D131,Milestones!$AA$179)&gt;=$Y131),$AB131,$AA131)))=Milestones!$AB$179),UPPER(TEXT(EDATE($D131,Milestones!$AA$179),"dd mmm yy"))&amp;" "&amp;Milestones!$AB$179&amp;" "&amp;IF(AND(Milestones!$AB$179="FT",Milestones!$AA$179=FT_Y5,EDATE($D131,Milestones!$AA$179)&lt;PolicyEff),1,Milestones!$AC$179)&amp;";  ","")&amp;IF(AND(EDATE($D131,Milestones!$AA$180)&lt;=AsOfDate,EDATE($D131,Milestones!$AA$180)&gt;=SchemeStart,IF($X131=0,$AD131,IF(AND($Z131&lt;&gt;"",EDATE($D131,Milestones!$AA$180)&gt;=$Z131),$AC131,IF(AND($Y131&lt;&gt;"",EDATE($D131,Milestones!$AA$180)&gt;=$Y131),$AB131,$AA131)))=Milestones!$AB$180),UPPER(TEXT(EDATE($D131,Milestones!$AA$180),"dd mmm yy"))&amp;" "&amp;Milestones!$AB$180&amp;" "&amp;IF(AND(Milestones!$AB$180="FT",Milestones!$AA$180=FT_Y5,EDATE($D131,Milestones!$AA$180)&lt;PolicyEff),1,Milestones!$AC$180)&amp;";  ","")&amp;IF(AND(EDATE($D131,Milestones!$AA$181)&lt;=AsOfDate,EDATE($D131,Milestones!$AA$181)&gt;=SchemeStart,IF($X131=0,$AD131,IF(AND($Z131&lt;&gt;"",EDATE($D131,Milestones!$AA$181)&gt;=$Z131),$AC131,IF(AND($Y131&lt;&gt;"",EDATE($D131,Milestones!$AA$181)&gt;=$Y131),$AB131,$AA131)))=Milestones!$AB$181),UPPER(TEXT(EDATE($D131,Milestones!$AA$181),"dd mmm yy"))&amp;" "&amp;Milestones!$AB$181&amp;" "&amp;IF(AND(Milestones!$AB$181="FT",Milestones!$AA$181=FT_Y5,EDATE($D131,Milestones!$AA$181)&lt;PolicyEff),1,Milestones!$AC$181)&amp;";  ","")&amp;IF(AND(EDATE($D131,Milestones!$AA$182)&lt;=AsOfDate,EDATE($D131,Milestones!$AA$182)&gt;=SchemeStart,IF($X131=0,$AD131,IF(AND($Z131&lt;&gt;"",EDATE($D131,Milestones!$AA$182)&gt;=$Z131),$AC131,IF(AND($Y131&lt;&gt;"",EDATE($D131,Milestones!$AA$182)&gt;=$Y131),$AB131,$AA131)))=Milestones!$AB$182),UPPER(TEXT(EDATE($D131,Milestones!$AA$182),"dd mmm yy"))&amp;" "&amp;Milestones!$AB$182&amp;" "&amp;IF(AND(Milestones!$AB$182="FT",Milestones!$AA$182=FT_Y5,EDATE($D131,Milestones!$AA$182)&lt;PolicyEff),1,Milestones!$AC$182)&amp;";  ","")&amp;IF(AND(EDATE($D131,Milestones!$AA$183)&lt;=AsOfDate,EDATE($D131,Milestones!$AA$183)&gt;=SchemeStart,IF($X131=0,$AD131,IF(AND($Z131&lt;&gt;"",EDATE($D131,Milestones!$AA$183)&gt;=$Z131),$AC131,IF(AND($Y131&lt;&gt;"",EDATE($D131,Milestones!$AA$183)&gt;=$Y131),$AB131,$AA131)))=Milestones!$AB$183),UPPER(TEXT(EDATE($D131,Milestones!$AA$183),"dd mmm yy"))&amp;" "&amp;Milestones!$AB$183&amp;" "&amp;IF(AND(Milestones!$AB$183="FT",Milestones!$AA$183=FT_Y5,EDATE($D131,Milestones!$AA$183)&lt;PolicyEff),1,Milestones!$AC$183)&amp;";  ","")&amp;IF(AND(EDATE($D131,Milestones!$AA$184)&lt;=AsOfDate,EDATE($D131,Milestones!$AA$184)&gt;=SchemeStart,IF($X131=0,$AD131,IF(AND($Z131&lt;&gt;"",EDATE($D131,Milestones!$AA$184)&gt;=$Z131),$AC131,IF(AND($Y131&lt;&gt;"",EDATE($D131,Milestones!$AA$184)&gt;=$Y131),$AB131,$AA131)))=Milestones!$AB$184),UPPER(TEXT(EDATE($D131,Milestones!$AA$184),"dd mmm yy"))&amp;" "&amp;Milestones!$AB$184&amp;" "&amp;IF(AND(Milestones!$AB$184="FT",Milestones!$AA$184=FT_Y5,EDATE($D131,Milestones!$AA$184)&lt;PolicyEff),1,Milestones!$AC$184)&amp;";  ","")&amp;IF(AND(EDATE($D131,Milestones!$AA$185)&lt;=AsOfDate,EDATE($D131,Milestones!$AA$185)&gt;=SchemeStart,IF($X131=0,$AD131,IF(AND($Z131&lt;&gt;"",EDATE($D131,Milestones!$AA$185)&gt;=$Z131),$AC131,IF(AND($Y131&lt;&gt;"",EDATE($D131,Milestones!$AA$185)&gt;=$Y131),$AB131,$AA131)))=Milestones!$AB$185),UPPER(TEXT(EDATE($D131,Milestones!$AA$185),"dd mmm yy"))&amp;" "&amp;Milestones!$AB$185&amp;" "&amp;IF(AND(Milestones!$AB$185="FT",Milestones!$AA$185=FT_Y5,EDATE($D131,Milestones!$AA$185)&lt;PolicyEff),1,Milestones!$AC$185)&amp;";  ","")&amp;IF(AND(EDATE($D131,Milestones!$AA$186)&lt;=AsOfDate,EDATE($D131,Milestones!$AA$186)&gt;=SchemeStart,IF($X131=0,$AD131,IF(AND($Z131&lt;&gt;"",EDATE($D131,Milestones!$AA$186)&gt;=$Z131),$AC131,IF(AND($Y131&lt;&gt;"",EDATE($D131,Milestones!$AA$186)&gt;=$Y131),$AB131,$AA131)))=Milestones!$AB$186),UPPER(TEXT(EDATE($D131,Milestones!$AA$186),"dd mmm yy"))&amp;" "&amp;Milestones!$AB$186&amp;" "&amp;IF(AND(Milestones!$AB$186="FT",Milestones!$AA$186=FT_Y5,EDATE($D131,Milestones!$AA$186)&lt;PolicyEff),1,Milestones!$AC$186)&amp;";  ","")&amp;IF(AND(EDATE($D131,Milestones!$AA$187)&lt;=AsOfDate,EDATE($D131,Milestones!$AA$187)&gt;=SchemeStart,IF($X131=0,$AD131,IF(AND($Z131&lt;&gt;"",EDATE($D131,Milestones!$AA$187)&gt;=$Z131),$AC131,IF(AND($Y131&lt;&gt;"",EDATE($D131,Milestones!$AA$187)&gt;=$Y131),$AB131,$AA131)))=Milestones!$AB$187),UPPER(TEXT(EDATE($D131,Milestones!$AA$187),"dd mmm yy"))&amp;" "&amp;Milestones!$AB$187&amp;" "&amp;IF(AND(Milestones!$AB$187="FT",Milestones!$AA$187=FT_Y5,EDATE($D131,Milestones!$AA$187)&lt;PolicyEff),1,Milestones!$AC$187)&amp;";  ",""))</f>
        <v/>
      </c>
      <c r="W131" s="0" t="str">
        <f aca="false">IF(OR($A131="",$D131=""),"",IF(AND(EDATE($D131,Milestones!$AA$188)&lt;=AsOfDate,EDATE($D131,Milestones!$AA$188)&gt;=SchemeStart,IF($X131=0,$AD131,IF(AND($Z131&lt;&gt;"",EDATE($D131,Milestones!$AA$188)&gt;=$Z131),$AC131,IF(AND($Y131&lt;&gt;"",EDATE($D131,Milestones!$AA$188)&gt;=$Y131),$AB131,$AA131)))=Milestones!$AB$188),UPPER(TEXT(EDATE($D131,Milestones!$AA$188),"dd mmm yy"))&amp;" "&amp;Milestones!$AB$188&amp;" "&amp;IF(AND(Milestones!$AB$188="FT",Milestones!$AA$188=FT_Y5,EDATE($D131,Milestones!$AA$188)&lt;PolicyEff),1,Milestones!$AC$188)&amp;";  ","")&amp;IF(AND(EDATE($D131,Milestones!$AA$189)&lt;=AsOfDate,EDATE($D131,Milestones!$AA$189)&gt;=SchemeStart,IF($X131=0,$AD131,IF(AND($Z131&lt;&gt;"",EDATE($D131,Milestones!$AA$189)&gt;=$Z131),$AC131,IF(AND($Y131&lt;&gt;"",EDATE($D131,Milestones!$AA$189)&gt;=$Y131),$AB131,$AA131)))=Milestones!$AB$189),UPPER(TEXT(EDATE($D131,Milestones!$AA$189),"dd mmm yy"))&amp;" "&amp;Milestones!$AB$189&amp;" "&amp;IF(AND(Milestones!$AB$189="FT",Milestones!$AA$189=FT_Y5,EDATE($D131,Milestones!$AA$189)&lt;PolicyEff),1,Milestones!$AC$189)&amp;";  ","")&amp;IF(AND(EDATE($D131,Milestones!$AA$190)&lt;=AsOfDate,EDATE($D131,Milestones!$AA$190)&gt;=SchemeStart,IF($X131=0,$AD131,IF(AND($Z131&lt;&gt;"",EDATE($D131,Milestones!$AA$190)&gt;=$Z131),$AC131,IF(AND($Y131&lt;&gt;"",EDATE($D131,Milestones!$AA$190)&gt;=$Y131),$AB131,$AA131)))=Milestones!$AB$190),UPPER(TEXT(EDATE($D131,Milestones!$AA$190),"dd mmm yy"))&amp;" "&amp;Milestones!$AB$190&amp;" "&amp;IF(AND(Milestones!$AB$190="FT",Milestones!$AA$190=FT_Y5,EDATE($D131,Milestones!$AA$190)&lt;PolicyEff),1,Milestones!$AC$190)&amp;";  ","")&amp;IF(AND(EDATE($D131,Milestones!$AA$191)&lt;=AsOfDate,EDATE($D131,Milestones!$AA$191)&gt;=SchemeStart,IF($X131=0,$AD131,IF(AND($Z131&lt;&gt;"",EDATE($D131,Milestones!$AA$191)&gt;=$Z131),$AC131,IF(AND($Y131&lt;&gt;"",EDATE($D131,Milestones!$AA$191)&gt;=$Y131),$AB131,$AA131)))=Milestones!$AB$191),UPPER(TEXT(EDATE($D131,Milestones!$AA$191),"dd mmm yy"))&amp;" "&amp;Milestones!$AB$191&amp;" "&amp;IF(AND(Milestones!$AB$191="FT",Milestones!$AA$191=FT_Y5,EDATE($D131,Milestones!$AA$191)&lt;PolicyEff),1,Milestones!$AC$191)&amp;";  ","")&amp;IF(AND(EDATE($D131,Milestones!$AA$192)&lt;=AsOfDate,EDATE($D131,Milestones!$AA$192)&gt;=SchemeStart,IF($X131=0,$AD131,IF(AND($Z131&lt;&gt;"",EDATE($D131,Milestones!$AA$192)&gt;=$Z131),$AC131,IF(AND($Y131&lt;&gt;"",EDATE($D131,Milestones!$AA$192)&gt;=$Y131),$AB131,$AA131)))=Milestones!$AB$192),UPPER(TEXT(EDATE($D131,Milestones!$AA$192),"dd mmm yy"))&amp;" "&amp;Milestones!$AB$192&amp;" "&amp;IF(AND(Milestones!$AB$192="FT",Milestones!$AA$192=FT_Y5,EDATE($D131,Milestones!$AA$192)&lt;PolicyEff),1,Milestones!$AC$192)&amp;";  ","")&amp;IF(AND(EDATE($D131,Milestones!$AA$193)&lt;=AsOfDate,EDATE($D131,Milestones!$AA$193)&gt;=SchemeStart,IF($X131=0,$AD131,IF(AND($Z131&lt;&gt;"",EDATE($D131,Milestones!$AA$193)&gt;=$Z131),$AC131,IF(AND($Y131&lt;&gt;"",EDATE($D131,Milestones!$AA$193)&gt;=$Y131),$AB131,$AA131)))=Milestones!$AB$193),UPPER(TEXT(EDATE($D131,Milestones!$AA$193),"dd mmm yy"))&amp;" "&amp;Milestones!$AB$193&amp;" "&amp;IF(AND(Milestones!$AB$193="FT",Milestones!$AA$193=FT_Y5,EDATE($D131,Milestones!$AA$193)&lt;PolicyEff),1,Milestones!$AC$193)&amp;";  ","")&amp;IF(AND(EDATE($D131,Milestones!$AA$194)&lt;=AsOfDate,EDATE($D131,Milestones!$AA$194)&gt;=SchemeStart,IF($X131=0,$AD131,IF(AND($Z131&lt;&gt;"",EDATE($D131,Milestones!$AA$194)&gt;=$Z131),$AC131,IF(AND($Y131&lt;&gt;"",EDATE($D131,Milestones!$AA$194)&gt;=$Y131),$AB131,$AA131)))=Milestones!$AB$194),UPPER(TEXT(EDATE($D131,Milestones!$AA$194),"dd mmm yy"))&amp;" "&amp;Milestones!$AB$194&amp;" "&amp;IF(AND(Milestones!$AB$194="FT",Milestones!$AA$194=FT_Y5,EDATE($D131,Milestones!$AA$194)&lt;PolicyEff),1,Milestones!$AC$194)&amp;";  ","")&amp;IF(AND(EDATE($D131,Milestones!$AA$195)&lt;=AsOfDate,EDATE($D131,Milestones!$AA$195)&gt;=SchemeStart,IF($X131=0,$AD131,IF(AND($Z131&lt;&gt;"",EDATE($D131,Milestones!$AA$195)&gt;=$Z131),$AC131,IF(AND($Y131&lt;&gt;"",EDATE($D131,Milestones!$AA$195)&gt;=$Y131),$AB131,$AA131)))=Milestones!$AB$195),UPPER(TEXT(EDATE($D131,Milestones!$AA$195),"dd mmm yy"))&amp;" "&amp;Milestones!$AB$195&amp;" "&amp;IF(AND(Milestones!$AB$195="FT",Milestones!$AA$195=FT_Y5,EDATE($D131,Milestones!$AA$195)&lt;PolicyEff),1,Milestones!$AC$195)&amp;";  ","")&amp;IF(AND(EDATE($D131,Milestones!$AA$196)&lt;=AsOfDate,EDATE($D131,Milestones!$AA$196)&gt;=SchemeStart,IF($X131=0,$AD131,IF(AND($Z131&lt;&gt;"",EDATE($D131,Milestones!$AA$196)&gt;=$Z131),$AC131,IF(AND($Y131&lt;&gt;"",EDATE($D131,Milestones!$AA$196)&gt;=$Y131),$AB131,$AA131)))=Milestones!$AB$196),UPPER(TEXT(EDATE($D131,Milestones!$AA$196),"dd mmm yy"))&amp;" "&amp;Milestones!$AB$196&amp;" "&amp;IF(AND(Milestones!$AB$196="FT",Milestones!$AA$196=FT_Y5,EDATE($D131,Milestones!$AA$196)&lt;PolicyEff),1,Milestones!$AC$196)&amp;";  ","")&amp;IF(AND(EDATE($D131,Milestones!$AA$197)&lt;=AsOfDate,EDATE($D131,Milestones!$AA$197)&gt;=SchemeStart,IF($X131=0,$AD131,IF(AND($Z131&lt;&gt;"",EDATE($D131,Milestones!$AA$197)&gt;=$Z131),$AC131,IF(AND($Y131&lt;&gt;"",EDATE($D131,Milestones!$AA$197)&gt;=$Y131),$AB131,$AA131)))=Milestones!$AB$197),UPPER(TEXT(EDATE($D131,Milestones!$AA$197),"dd mmm yy"))&amp;" "&amp;Milestones!$AB$197&amp;" "&amp;IF(AND(Milestones!$AB$197="FT",Milestones!$AA$197=FT_Y5,EDATE($D131,Milestones!$AA$197)&lt;PolicyEff),1,Milestones!$AC$197)&amp;";  ","")&amp;IF(AND(EDATE($D131,Milestones!$AA$198)&lt;=AsOfDate,EDATE($D131,Milestones!$AA$198)&gt;=SchemeStart,IF($X131=0,$AD131,IF(AND($Z131&lt;&gt;"",EDATE($D131,Milestones!$AA$198)&gt;=$Z131),$AC131,IF(AND($Y131&lt;&gt;"",EDATE($D131,Milestones!$AA$198)&gt;=$Y131),$AB131,$AA131)))=Milestones!$AB$198),UPPER(TEXT(EDATE($D131,Milestones!$AA$198),"dd mmm yy"))&amp;" "&amp;Milestones!$AB$198&amp;" "&amp;IF(AND(Milestones!$AB$198="FT",Milestones!$AA$198=FT_Y5,EDATE($D131,Milestones!$AA$198)&lt;PolicyEff),1,Milestones!$AC$198)&amp;";  ","")&amp;IF(AND(EDATE($D131,Milestones!$AA$199)&lt;=AsOfDate,EDATE($D131,Milestones!$AA$199)&gt;=SchemeStart,IF($X131=0,$AD131,IF(AND($Z131&lt;&gt;"",EDATE($D131,Milestones!$AA$199)&gt;=$Z131),$AC131,IF(AND($Y131&lt;&gt;"",EDATE($D131,Milestones!$AA$199)&gt;=$Y131),$AB131,$AA131)))=Milestones!$AB$199),UPPER(TEXT(EDATE($D131,Milestones!$AA$199),"dd mmm yy"))&amp;" "&amp;Milestones!$AB$199&amp;" "&amp;IF(AND(Milestones!$AB$199="FT",Milestones!$AA$199=FT_Y5,EDATE($D131,Milestones!$AA$199)&lt;PolicyEff),1,Milestones!$AC$199)&amp;";  ",""))</f>
        <v/>
      </c>
      <c r="X131" s="0" t="str">
        <f aca="false">IF(Staff!$A131="","",Staff!$AM131)</f>
        <v/>
      </c>
      <c r="Y131" s="0" t="str">
        <f aca="false">IF(Staff!$A131="","",Staff!$AO131)</f>
        <v/>
      </c>
      <c r="Z131" s="0" t="str">
        <f aca="false">IF(Staff!$A131="","",Staff!$AP131)</f>
        <v/>
      </c>
      <c r="AA131" s="0" t="str">
        <f aca="false">IF(Staff!$A131="","",Staff!$AT131)</f>
        <v/>
      </c>
      <c r="AB131" s="0" t="str">
        <f aca="false">IF(Staff!$A131="","",Staff!$AU131)</f>
        <v/>
      </c>
      <c r="AC131" s="0" t="str">
        <f aca="false">IF(Staff!$A131="","",Staff!$AV131)</f>
        <v/>
      </c>
      <c r="AD131" s="0" t="str">
        <f aca="false">IF(Staff!$A131="","",Staff!$AW131)</f>
        <v/>
      </c>
    </row>
    <row r="132" customFormat="false" ht="15" hidden="false" customHeight="false" outlineLevel="0" collapsed="false">
      <c r="A132" s="16" t="str">
        <f aca="false">IF(Staff!$A132="","",Staff!$A132)</f>
        <v/>
      </c>
      <c r="B132" s="16" t="str">
        <f aca="false">IF(Staff!$A132="","",Staff!$B132)</f>
        <v/>
      </c>
      <c r="C132" s="16" t="str">
        <f aca="false">IF(Staff!$A132="","",Staff!$C132)</f>
        <v/>
      </c>
      <c r="D132" s="14" t="str">
        <f aca="false">IF(Staff!$A132="","",Staff!$AL132)</f>
        <v/>
      </c>
      <c r="E132" s="16" t="str">
        <f aca="false">IF(Staff!$A132="","",Staff!$O132)</f>
        <v/>
      </c>
      <c r="F132" s="16" t="str">
        <f aca="false">IF(E132="","",E132*HoursPerDay)</f>
        <v/>
      </c>
      <c r="G132" s="16" t="str">
        <f aca="false">IF(Staff!$A132="","",Staff!$AE132)</f>
        <v/>
      </c>
      <c r="H132" s="28" t="str">
        <f aca="false">IF($A132="","",I132&amp;J132&amp;K132&amp;L132&amp;M132&amp;N132&amp;O132&amp;P132&amp;Q132&amp;R132&amp;S132&amp;T132&amp;U132&amp;V132&amp;W132)</f>
        <v/>
      </c>
      <c r="I132" s="0" t="str">
        <f aca="false">IF(OR($A132="",$D132=""),"",IF(AND(EDATE($D132,Milestones!$AA$20)&lt;=AsOfDate,EDATE($D132,Milestones!$AA$20)&gt;=SchemeStart,IF($X132=0,$AD132,IF(AND($Z132&lt;&gt;"",EDATE($D132,Milestones!$AA$20)&gt;=$Z132),$AC132,IF(AND($Y132&lt;&gt;"",EDATE($D132,Milestones!$AA$20)&gt;=$Y132),$AB132,$AA132)))=Milestones!$AB$20),UPPER(TEXT(EDATE($D132,Milestones!$AA$20),"dd mmm yy"))&amp;" "&amp;Milestones!$AB$20&amp;" "&amp;IF(AND(Milestones!$AB$20="FT",Milestones!$AA$20=FT_Y5,EDATE($D132,Milestones!$AA$20)&lt;PolicyEff),1,Milestones!$AC$20)&amp;";  ","")&amp;IF(AND(EDATE($D132,Milestones!$AA$21)&lt;=AsOfDate,EDATE($D132,Milestones!$AA$21)&gt;=SchemeStart,IF($X132=0,$AD132,IF(AND($Z132&lt;&gt;"",EDATE($D132,Milestones!$AA$21)&gt;=$Z132),$AC132,IF(AND($Y132&lt;&gt;"",EDATE($D132,Milestones!$AA$21)&gt;=$Y132),$AB132,$AA132)))=Milestones!$AB$21),UPPER(TEXT(EDATE($D132,Milestones!$AA$21),"dd mmm yy"))&amp;" "&amp;Milestones!$AB$21&amp;" "&amp;IF(AND(Milestones!$AB$21="FT",Milestones!$AA$21=FT_Y5,EDATE($D132,Milestones!$AA$21)&lt;PolicyEff),1,Milestones!$AC$21)&amp;";  ","")&amp;IF(AND(EDATE($D132,Milestones!$AA$22)&lt;=AsOfDate,EDATE($D132,Milestones!$AA$22)&gt;=SchemeStart,IF($X132=0,$AD132,IF(AND($Z132&lt;&gt;"",EDATE($D132,Milestones!$AA$22)&gt;=$Z132),$AC132,IF(AND($Y132&lt;&gt;"",EDATE($D132,Milestones!$AA$22)&gt;=$Y132),$AB132,$AA132)))=Milestones!$AB$22),UPPER(TEXT(EDATE($D132,Milestones!$AA$22),"dd mmm yy"))&amp;" "&amp;Milestones!$AB$22&amp;" "&amp;IF(AND(Milestones!$AB$22="FT",Milestones!$AA$22=FT_Y5,EDATE($D132,Milestones!$AA$22)&lt;PolicyEff),1,Milestones!$AC$22)&amp;";  ","")&amp;IF(AND(EDATE($D132,Milestones!$AA$23)&lt;=AsOfDate,EDATE($D132,Milestones!$AA$23)&gt;=SchemeStart,IF($X132=0,$AD132,IF(AND($Z132&lt;&gt;"",EDATE($D132,Milestones!$AA$23)&gt;=$Z132),$AC132,IF(AND($Y132&lt;&gt;"",EDATE($D132,Milestones!$AA$23)&gt;=$Y132),$AB132,$AA132)))=Milestones!$AB$23),UPPER(TEXT(EDATE($D132,Milestones!$AA$23),"dd mmm yy"))&amp;" "&amp;Milestones!$AB$23&amp;" "&amp;IF(AND(Milestones!$AB$23="FT",Milestones!$AA$23=FT_Y5,EDATE($D132,Milestones!$AA$23)&lt;PolicyEff),1,Milestones!$AC$23)&amp;";  ","")&amp;IF(AND(EDATE($D132,Milestones!$AA$24)&lt;=AsOfDate,EDATE($D132,Milestones!$AA$24)&gt;=SchemeStart,IF($X132=0,$AD132,IF(AND($Z132&lt;&gt;"",EDATE($D132,Milestones!$AA$24)&gt;=$Z132),$AC132,IF(AND($Y132&lt;&gt;"",EDATE($D132,Milestones!$AA$24)&gt;=$Y132),$AB132,$AA132)))=Milestones!$AB$24),UPPER(TEXT(EDATE($D132,Milestones!$AA$24),"dd mmm yy"))&amp;" "&amp;Milestones!$AB$24&amp;" "&amp;IF(AND(Milestones!$AB$24="FT",Milestones!$AA$24=FT_Y5,EDATE($D132,Milestones!$AA$24)&lt;PolicyEff),1,Milestones!$AC$24)&amp;";  ","")&amp;IF(AND(EDATE($D132,Milestones!$AA$25)&lt;=AsOfDate,EDATE($D132,Milestones!$AA$25)&gt;=SchemeStart,IF($X132=0,$AD132,IF(AND($Z132&lt;&gt;"",EDATE($D132,Milestones!$AA$25)&gt;=$Z132),$AC132,IF(AND($Y132&lt;&gt;"",EDATE($D132,Milestones!$AA$25)&gt;=$Y132),$AB132,$AA132)))=Milestones!$AB$25),UPPER(TEXT(EDATE($D132,Milestones!$AA$25),"dd mmm yy"))&amp;" "&amp;Milestones!$AB$25&amp;" "&amp;IF(AND(Milestones!$AB$25="FT",Milestones!$AA$25=FT_Y5,EDATE($D132,Milestones!$AA$25)&lt;PolicyEff),1,Milestones!$AC$25)&amp;";  ","")&amp;IF(AND(EDATE($D132,Milestones!$AA$26)&lt;=AsOfDate,EDATE($D132,Milestones!$AA$26)&gt;=SchemeStart,IF($X132=0,$AD132,IF(AND($Z132&lt;&gt;"",EDATE($D132,Milestones!$AA$26)&gt;=$Z132),$AC132,IF(AND($Y132&lt;&gt;"",EDATE($D132,Milestones!$AA$26)&gt;=$Y132),$AB132,$AA132)))=Milestones!$AB$26),UPPER(TEXT(EDATE($D132,Milestones!$AA$26),"dd mmm yy"))&amp;" "&amp;Milestones!$AB$26&amp;" "&amp;IF(AND(Milestones!$AB$26="FT",Milestones!$AA$26=FT_Y5,EDATE($D132,Milestones!$AA$26)&lt;PolicyEff),1,Milestones!$AC$26)&amp;";  ","")&amp;IF(AND(EDATE($D132,Milestones!$AA$27)&lt;=AsOfDate,EDATE($D132,Milestones!$AA$27)&gt;=SchemeStart,IF($X132=0,$AD132,IF(AND($Z132&lt;&gt;"",EDATE($D132,Milestones!$AA$27)&gt;=$Z132),$AC132,IF(AND($Y132&lt;&gt;"",EDATE($D132,Milestones!$AA$27)&gt;=$Y132),$AB132,$AA132)))=Milestones!$AB$27),UPPER(TEXT(EDATE($D132,Milestones!$AA$27),"dd mmm yy"))&amp;" "&amp;Milestones!$AB$27&amp;" "&amp;IF(AND(Milestones!$AB$27="FT",Milestones!$AA$27=FT_Y5,EDATE($D132,Milestones!$AA$27)&lt;PolicyEff),1,Milestones!$AC$27)&amp;";  ","")&amp;IF(AND(EDATE($D132,Milestones!$AA$28)&lt;=AsOfDate,EDATE($D132,Milestones!$AA$28)&gt;=SchemeStart,IF($X132=0,$AD132,IF(AND($Z132&lt;&gt;"",EDATE($D132,Milestones!$AA$28)&gt;=$Z132),$AC132,IF(AND($Y132&lt;&gt;"",EDATE($D132,Milestones!$AA$28)&gt;=$Y132),$AB132,$AA132)))=Milestones!$AB$28),UPPER(TEXT(EDATE($D132,Milestones!$AA$28),"dd mmm yy"))&amp;" "&amp;Milestones!$AB$28&amp;" "&amp;IF(AND(Milestones!$AB$28="FT",Milestones!$AA$28=FT_Y5,EDATE($D132,Milestones!$AA$28)&lt;PolicyEff),1,Milestones!$AC$28)&amp;";  ","")&amp;IF(AND(EDATE($D132,Milestones!$AA$29)&lt;=AsOfDate,EDATE($D132,Milestones!$AA$29)&gt;=SchemeStart,IF($X132=0,$AD132,IF(AND($Z132&lt;&gt;"",EDATE($D132,Milestones!$AA$29)&gt;=$Z132),$AC132,IF(AND($Y132&lt;&gt;"",EDATE($D132,Milestones!$AA$29)&gt;=$Y132),$AB132,$AA132)))=Milestones!$AB$29),UPPER(TEXT(EDATE($D132,Milestones!$AA$29),"dd mmm yy"))&amp;" "&amp;Milestones!$AB$29&amp;" "&amp;IF(AND(Milestones!$AB$29="FT",Milestones!$AA$29=FT_Y5,EDATE($D132,Milestones!$AA$29)&lt;PolicyEff),1,Milestones!$AC$29)&amp;";  ","")&amp;IF(AND(EDATE($D132,Milestones!$AA$30)&lt;=AsOfDate,EDATE($D132,Milestones!$AA$30)&gt;=SchemeStart,IF($X132=0,$AD132,IF(AND($Z132&lt;&gt;"",EDATE($D132,Milestones!$AA$30)&gt;=$Z132),$AC132,IF(AND($Y132&lt;&gt;"",EDATE($D132,Milestones!$AA$30)&gt;=$Y132),$AB132,$AA132)))=Milestones!$AB$30),UPPER(TEXT(EDATE($D132,Milestones!$AA$30),"dd mmm yy"))&amp;" "&amp;Milestones!$AB$30&amp;" "&amp;IF(AND(Milestones!$AB$30="FT",Milestones!$AA$30=FT_Y5,EDATE($D132,Milestones!$AA$30)&lt;PolicyEff),1,Milestones!$AC$30)&amp;";  ","")&amp;IF(AND(EDATE($D132,Milestones!$AA$31)&lt;=AsOfDate,EDATE($D132,Milestones!$AA$31)&gt;=SchemeStart,IF($X132=0,$AD132,IF(AND($Z132&lt;&gt;"",EDATE($D132,Milestones!$AA$31)&gt;=$Z132),$AC132,IF(AND($Y132&lt;&gt;"",EDATE($D132,Milestones!$AA$31)&gt;=$Y132),$AB132,$AA132)))=Milestones!$AB$31),UPPER(TEXT(EDATE($D132,Milestones!$AA$31),"dd mmm yy"))&amp;" "&amp;Milestones!$AB$31&amp;" "&amp;IF(AND(Milestones!$AB$31="FT",Milestones!$AA$31=FT_Y5,EDATE($D132,Milestones!$AA$31)&lt;PolicyEff),1,Milestones!$AC$31)&amp;";  ",""))</f>
        <v/>
      </c>
      <c r="J132" s="0" t="str">
        <f aca="false">IF(OR($A132="",$D132=""),"",IF(AND(EDATE($D132,Milestones!$AA$32)&lt;=AsOfDate,EDATE($D132,Milestones!$AA$32)&gt;=SchemeStart,IF($X132=0,$AD132,IF(AND($Z132&lt;&gt;"",EDATE($D132,Milestones!$AA$32)&gt;=$Z132),$AC132,IF(AND($Y132&lt;&gt;"",EDATE($D132,Milestones!$AA$32)&gt;=$Y132),$AB132,$AA132)))=Milestones!$AB$32),UPPER(TEXT(EDATE($D132,Milestones!$AA$32),"dd mmm yy"))&amp;" "&amp;Milestones!$AB$32&amp;" "&amp;IF(AND(Milestones!$AB$32="FT",Milestones!$AA$32=FT_Y5,EDATE($D132,Milestones!$AA$32)&lt;PolicyEff),1,Milestones!$AC$32)&amp;";  ","")&amp;IF(AND(EDATE($D132,Milestones!$AA$33)&lt;=AsOfDate,EDATE($D132,Milestones!$AA$33)&gt;=SchemeStart,IF($X132=0,$AD132,IF(AND($Z132&lt;&gt;"",EDATE($D132,Milestones!$AA$33)&gt;=$Z132),$AC132,IF(AND($Y132&lt;&gt;"",EDATE($D132,Milestones!$AA$33)&gt;=$Y132),$AB132,$AA132)))=Milestones!$AB$33),UPPER(TEXT(EDATE($D132,Milestones!$AA$33),"dd mmm yy"))&amp;" "&amp;Milestones!$AB$33&amp;" "&amp;IF(AND(Milestones!$AB$33="FT",Milestones!$AA$33=FT_Y5,EDATE($D132,Milestones!$AA$33)&lt;PolicyEff),1,Milestones!$AC$33)&amp;";  ","")&amp;IF(AND(EDATE($D132,Milestones!$AA$34)&lt;=AsOfDate,EDATE($D132,Milestones!$AA$34)&gt;=SchemeStart,IF($X132=0,$AD132,IF(AND($Z132&lt;&gt;"",EDATE($D132,Milestones!$AA$34)&gt;=$Z132),$AC132,IF(AND($Y132&lt;&gt;"",EDATE($D132,Milestones!$AA$34)&gt;=$Y132),$AB132,$AA132)))=Milestones!$AB$34),UPPER(TEXT(EDATE($D132,Milestones!$AA$34),"dd mmm yy"))&amp;" "&amp;Milestones!$AB$34&amp;" "&amp;IF(AND(Milestones!$AB$34="FT",Milestones!$AA$34=FT_Y5,EDATE($D132,Milestones!$AA$34)&lt;PolicyEff),1,Milestones!$AC$34)&amp;";  ","")&amp;IF(AND(EDATE($D132,Milestones!$AA$35)&lt;=AsOfDate,EDATE($D132,Milestones!$AA$35)&gt;=SchemeStart,IF($X132=0,$AD132,IF(AND($Z132&lt;&gt;"",EDATE($D132,Milestones!$AA$35)&gt;=$Z132),$AC132,IF(AND($Y132&lt;&gt;"",EDATE($D132,Milestones!$AA$35)&gt;=$Y132),$AB132,$AA132)))=Milestones!$AB$35),UPPER(TEXT(EDATE($D132,Milestones!$AA$35),"dd mmm yy"))&amp;" "&amp;Milestones!$AB$35&amp;" "&amp;IF(AND(Milestones!$AB$35="FT",Milestones!$AA$35=FT_Y5,EDATE($D132,Milestones!$AA$35)&lt;PolicyEff),1,Milestones!$AC$35)&amp;";  ","")&amp;IF(AND(EDATE($D132,Milestones!$AA$36)&lt;=AsOfDate,EDATE($D132,Milestones!$AA$36)&gt;=SchemeStart,IF($X132=0,$AD132,IF(AND($Z132&lt;&gt;"",EDATE($D132,Milestones!$AA$36)&gt;=$Z132),$AC132,IF(AND($Y132&lt;&gt;"",EDATE($D132,Milestones!$AA$36)&gt;=$Y132),$AB132,$AA132)))=Milestones!$AB$36),UPPER(TEXT(EDATE($D132,Milestones!$AA$36),"dd mmm yy"))&amp;" "&amp;Milestones!$AB$36&amp;" "&amp;IF(AND(Milestones!$AB$36="FT",Milestones!$AA$36=FT_Y5,EDATE($D132,Milestones!$AA$36)&lt;PolicyEff),1,Milestones!$AC$36)&amp;";  ","")&amp;IF(AND(EDATE($D132,Milestones!$AA$37)&lt;=AsOfDate,EDATE($D132,Milestones!$AA$37)&gt;=SchemeStart,IF($X132=0,$AD132,IF(AND($Z132&lt;&gt;"",EDATE($D132,Milestones!$AA$37)&gt;=$Z132),$AC132,IF(AND($Y132&lt;&gt;"",EDATE($D132,Milestones!$AA$37)&gt;=$Y132),$AB132,$AA132)))=Milestones!$AB$37),UPPER(TEXT(EDATE($D132,Milestones!$AA$37),"dd mmm yy"))&amp;" "&amp;Milestones!$AB$37&amp;" "&amp;IF(AND(Milestones!$AB$37="FT",Milestones!$AA$37=FT_Y5,EDATE($D132,Milestones!$AA$37)&lt;PolicyEff),1,Milestones!$AC$37)&amp;";  ","")&amp;IF(AND(EDATE($D132,Milestones!$AA$38)&lt;=AsOfDate,EDATE($D132,Milestones!$AA$38)&gt;=SchemeStart,IF($X132=0,$AD132,IF(AND($Z132&lt;&gt;"",EDATE($D132,Milestones!$AA$38)&gt;=$Z132),$AC132,IF(AND($Y132&lt;&gt;"",EDATE($D132,Milestones!$AA$38)&gt;=$Y132),$AB132,$AA132)))=Milestones!$AB$38),UPPER(TEXT(EDATE($D132,Milestones!$AA$38),"dd mmm yy"))&amp;" "&amp;Milestones!$AB$38&amp;" "&amp;IF(AND(Milestones!$AB$38="FT",Milestones!$AA$38=FT_Y5,EDATE($D132,Milestones!$AA$38)&lt;PolicyEff),1,Milestones!$AC$38)&amp;";  ","")&amp;IF(AND(EDATE($D132,Milestones!$AA$39)&lt;=AsOfDate,EDATE($D132,Milestones!$AA$39)&gt;=SchemeStart,IF($X132=0,$AD132,IF(AND($Z132&lt;&gt;"",EDATE($D132,Milestones!$AA$39)&gt;=$Z132),$AC132,IF(AND($Y132&lt;&gt;"",EDATE($D132,Milestones!$AA$39)&gt;=$Y132),$AB132,$AA132)))=Milestones!$AB$39),UPPER(TEXT(EDATE($D132,Milestones!$AA$39),"dd mmm yy"))&amp;" "&amp;Milestones!$AB$39&amp;" "&amp;IF(AND(Milestones!$AB$39="FT",Milestones!$AA$39=FT_Y5,EDATE($D132,Milestones!$AA$39)&lt;PolicyEff),1,Milestones!$AC$39)&amp;";  ","")&amp;IF(AND(EDATE($D132,Milestones!$AA$40)&lt;=AsOfDate,EDATE($D132,Milestones!$AA$40)&gt;=SchemeStart,IF($X132=0,$AD132,IF(AND($Z132&lt;&gt;"",EDATE($D132,Milestones!$AA$40)&gt;=$Z132),$AC132,IF(AND($Y132&lt;&gt;"",EDATE($D132,Milestones!$AA$40)&gt;=$Y132),$AB132,$AA132)))=Milestones!$AB$40),UPPER(TEXT(EDATE($D132,Milestones!$AA$40),"dd mmm yy"))&amp;" "&amp;Milestones!$AB$40&amp;" "&amp;IF(AND(Milestones!$AB$40="FT",Milestones!$AA$40=FT_Y5,EDATE($D132,Milestones!$AA$40)&lt;PolicyEff),1,Milestones!$AC$40)&amp;";  ","")&amp;IF(AND(EDATE($D132,Milestones!$AA$41)&lt;=AsOfDate,EDATE($D132,Milestones!$AA$41)&gt;=SchemeStart,IF($X132=0,$AD132,IF(AND($Z132&lt;&gt;"",EDATE($D132,Milestones!$AA$41)&gt;=$Z132),$AC132,IF(AND($Y132&lt;&gt;"",EDATE($D132,Milestones!$AA$41)&gt;=$Y132),$AB132,$AA132)))=Milestones!$AB$41),UPPER(TEXT(EDATE($D132,Milestones!$AA$41),"dd mmm yy"))&amp;" "&amp;Milestones!$AB$41&amp;" "&amp;IF(AND(Milestones!$AB$41="FT",Milestones!$AA$41=FT_Y5,EDATE($D132,Milestones!$AA$41)&lt;PolicyEff),1,Milestones!$AC$41)&amp;";  ","")&amp;IF(AND(EDATE($D132,Milestones!$AA$42)&lt;=AsOfDate,EDATE($D132,Milestones!$AA$42)&gt;=SchemeStart,IF($X132=0,$AD132,IF(AND($Z132&lt;&gt;"",EDATE($D132,Milestones!$AA$42)&gt;=$Z132),$AC132,IF(AND($Y132&lt;&gt;"",EDATE($D132,Milestones!$AA$42)&gt;=$Y132),$AB132,$AA132)))=Milestones!$AB$42),UPPER(TEXT(EDATE($D132,Milestones!$AA$42),"dd mmm yy"))&amp;" "&amp;Milestones!$AB$42&amp;" "&amp;IF(AND(Milestones!$AB$42="FT",Milestones!$AA$42=FT_Y5,EDATE($D132,Milestones!$AA$42)&lt;PolicyEff),1,Milestones!$AC$42)&amp;";  ","")&amp;IF(AND(EDATE($D132,Milestones!$AA$43)&lt;=AsOfDate,EDATE($D132,Milestones!$AA$43)&gt;=SchemeStart,IF($X132=0,$AD132,IF(AND($Z132&lt;&gt;"",EDATE($D132,Milestones!$AA$43)&gt;=$Z132),$AC132,IF(AND($Y132&lt;&gt;"",EDATE($D132,Milestones!$AA$43)&gt;=$Y132),$AB132,$AA132)))=Milestones!$AB$43),UPPER(TEXT(EDATE($D132,Milestones!$AA$43),"dd mmm yy"))&amp;" "&amp;Milestones!$AB$43&amp;" "&amp;IF(AND(Milestones!$AB$43="FT",Milestones!$AA$43=FT_Y5,EDATE($D132,Milestones!$AA$43)&lt;PolicyEff),1,Milestones!$AC$43)&amp;";  ",""))</f>
        <v/>
      </c>
      <c r="K132" s="0" t="str">
        <f aca="false">IF(OR($A132="",$D132=""),"",IF(AND(EDATE($D132,Milestones!$AA$44)&lt;=AsOfDate,EDATE($D132,Milestones!$AA$44)&gt;=SchemeStart,IF($X132=0,$AD132,IF(AND($Z132&lt;&gt;"",EDATE($D132,Milestones!$AA$44)&gt;=$Z132),$AC132,IF(AND($Y132&lt;&gt;"",EDATE($D132,Milestones!$AA$44)&gt;=$Y132),$AB132,$AA132)))=Milestones!$AB$44),UPPER(TEXT(EDATE($D132,Milestones!$AA$44),"dd mmm yy"))&amp;" "&amp;Milestones!$AB$44&amp;" "&amp;IF(AND(Milestones!$AB$44="FT",Milestones!$AA$44=FT_Y5,EDATE($D132,Milestones!$AA$44)&lt;PolicyEff),1,Milestones!$AC$44)&amp;";  ","")&amp;IF(AND(EDATE($D132,Milestones!$AA$45)&lt;=AsOfDate,EDATE($D132,Milestones!$AA$45)&gt;=SchemeStart,IF($X132=0,$AD132,IF(AND($Z132&lt;&gt;"",EDATE($D132,Milestones!$AA$45)&gt;=$Z132),$AC132,IF(AND($Y132&lt;&gt;"",EDATE($D132,Milestones!$AA$45)&gt;=$Y132),$AB132,$AA132)))=Milestones!$AB$45),UPPER(TEXT(EDATE($D132,Milestones!$AA$45),"dd mmm yy"))&amp;" "&amp;Milestones!$AB$45&amp;" "&amp;IF(AND(Milestones!$AB$45="FT",Milestones!$AA$45=FT_Y5,EDATE($D132,Milestones!$AA$45)&lt;PolicyEff),1,Milestones!$AC$45)&amp;";  ","")&amp;IF(AND(EDATE($D132,Milestones!$AA$46)&lt;=AsOfDate,EDATE($D132,Milestones!$AA$46)&gt;=SchemeStart,IF($X132=0,$AD132,IF(AND($Z132&lt;&gt;"",EDATE($D132,Milestones!$AA$46)&gt;=$Z132),$AC132,IF(AND($Y132&lt;&gt;"",EDATE($D132,Milestones!$AA$46)&gt;=$Y132),$AB132,$AA132)))=Milestones!$AB$46),UPPER(TEXT(EDATE($D132,Milestones!$AA$46),"dd mmm yy"))&amp;" "&amp;Milestones!$AB$46&amp;" "&amp;IF(AND(Milestones!$AB$46="FT",Milestones!$AA$46=FT_Y5,EDATE($D132,Milestones!$AA$46)&lt;PolicyEff),1,Milestones!$AC$46)&amp;";  ","")&amp;IF(AND(EDATE($D132,Milestones!$AA$47)&lt;=AsOfDate,EDATE($D132,Milestones!$AA$47)&gt;=SchemeStart,IF($X132=0,$AD132,IF(AND($Z132&lt;&gt;"",EDATE($D132,Milestones!$AA$47)&gt;=$Z132),$AC132,IF(AND($Y132&lt;&gt;"",EDATE($D132,Milestones!$AA$47)&gt;=$Y132),$AB132,$AA132)))=Milestones!$AB$47),UPPER(TEXT(EDATE($D132,Milestones!$AA$47),"dd mmm yy"))&amp;" "&amp;Milestones!$AB$47&amp;" "&amp;IF(AND(Milestones!$AB$47="FT",Milestones!$AA$47=FT_Y5,EDATE($D132,Milestones!$AA$47)&lt;PolicyEff),1,Milestones!$AC$47)&amp;";  ","")&amp;IF(AND(EDATE($D132,Milestones!$AA$48)&lt;=AsOfDate,EDATE($D132,Milestones!$AA$48)&gt;=SchemeStart,IF($X132=0,$AD132,IF(AND($Z132&lt;&gt;"",EDATE($D132,Milestones!$AA$48)&gt;=$Z132),$AC132,IF(AND($Y132&lt;&gt;"",EDATE($D132,Milestones!$AA$48)&gt;=$Y132),$AB132,$AA132)))=Milestones!$AB$48),UPPER(TEXT(EDATE($D132,Milestones!$AA$48),"dd mmm yy"))&amp;" "&amp;Milestones!$AB$48&amp;" "&amp;IF(AND(Milestones!$AB$48="FT",Milestones!$AA$48=FT_Y5,EDATE($D132,Milestones!$AA$48)&lt;PolicyEff),1,Milestones!$AC$48)&amp;";  ","")&amp;IF(AND(EDATE($D132,Milestones!$AA$49)&lt;=AsOfDate,EDATE($D132,Milestones!$AA$49)&gt;=SchemeStart,IF($X132=0,$AD132,IF(AND($Z132&lt;&gt;"",EDATE($D132,Milestones!$AA$49)&gt;=$Z132),$AC132,IF(AND($Y132&lt;&gt;"",EDATE($D132,Milestones!$AA$49)&gt;=$Y132),$AB132,$AA132)))=Milestones!$AB$49),UPPER(TEXT(EDATE($D132,Milestones!$AA$49),"dd mmm yy"))&amp;" "&amp;Milestones!$AB$49&amp;" "&amp;IF(AND(Milestones!$AB$49="FT",Milestones!$AA$49=FT_Y5,EDATE($D132,Milestones!$AA$49)&lt;PolicyEff),1,Milestones!$AC$49)&amp;";  ","")&amp;IF(AND(EDATE($D132,Milestones!$AA$50)&lt;=AsOfDate,EDATE($D132,Milestones!$AA$50)&gt;=SchemeStart,IF($X132=0,$AD132,IF(AND($Z132&lt;&gt;"",EDATE($D132,Milestones!$AA$50)&gt;=$Z132),$AC132,IF(AND($Y132&lt;&gt;"",EDATE($D132,Milestones!$AA$50)&gt;=$Y132),$AB132,$AA132)))=Milestones!$AB$50),UPPER(TEXT(EDATE($D132,Milestones!$AA$50),"dd mmm yy"))&amp;" "&amp;Milestones!$AB$50&amp;" "&amp;IF(AND(Milestones!$AB$50="FT",Milestones!$AA$50=FT_Y5,EDATE($D132,Milestones!$AA$50)&lt;PolicyEff),1,Milestones!$AC$50)&amp;";  ","")&amp;IF(AND(EDATE($D132,Milestones!$AA$51)&lt;=AsOfDate,EDATE($D132,Milestones!$AA$51)&gt;=SchemeStart,IF($X132=0,$AD132,IF(AND($Z132&lt;&gt;"",EDATE($D132,Milestones!$AA$51)&gt;=$Z132),$AC132,IF(AND($Y132&lt;&gt;"",EDATE($D132,Milestones!$AA$51)&gt;=$Y132),$AB132,$AA132)))=Milestones!$AB$51),UPPER(TEXT(EDATE($D132,Milestones!$AA$51),"dd mmm yy"))&amp;" "&amp;Milestones!$AB$51&amp;" "&amp;IF(AND(Milestones!$AB$51="FT",Milestones!$AA$51=FT_Y5,EDATE($D132,Milestones!$AA$51)&lt;PolicyEff),1,Milestones!$AC$51)&amp;";  ","")&amp;IF(AND(EDATE($D132,Milestones!$AA$52)&lt;=AsOfDate,EDATE($D132,Milestones!$AA$52)&gt;=SchemeStart,IF($X132=0,$AD132,IF(AND($Z132&lt;&gt;"",EDATE($D132,Milestones!$AA$52)&gt;=$Z132),$AC132,IF(AND($Y132&lt;&gt;"",EDATE($D132,Milestones!$AA$52)&gt;=$Y132),$AB132,$AA132)))=Milestones!$AB$52),UPPER(TEXT(EDATE($D132,Milestones!$AA$52),"dd mmm yy"))&amp;" "&amp;Milestones!$AB$52&amp;" "&amp;IF(AND(Milestones!$AB$52="FT",Milestones!$AA$52=FT_Y5,EDATE($D132,Milestones!$AA$52)&lt;PolicyEff),1,Milestones!$AC$52)&amp;";  ","")&amp;IF(AND(EDATE($D132,Milestones!$AA$53)&lt;=AsOfDate,EDATE($D132,Milestones!$AA$53)&gt;=SchemeStart,IF($X132=0,$AD132,IF(AND($Z132&lt;&gt;"",EDATE($D132,Milestones!$AA$53)&gt;=$Z132),$AC132,IF(AND($Y132&lt;&gt;"",EDATE($D132,Milestones!$AA$53)&gt;=$Y132),$AB132,$AA132)))=Milestones!$AB$53),UPPER(TEXT(EDATE($D132,Milestones!$AA$53),"dd mmm yy"))&amp;" "&amp;Milestones!$AB$53&amp;" "&amp;IF(AND(Milestones!$AB$53="FT",Milestones!$AA$53=FT_Y5,EDATE($D132,Milestones!$AA$53)&lt;PolicyEff),1,Milestones!$AC$53)&amp;";  ","")&amp;IF(AND(EDATE($D132,Milestones!$AA$54)&lt;=AsOfDate,EDATE($D132,Milestones!$AA$54)&gt;=SchemeStart,IF($X132=0,$AD132,IF(AND($Z132&lt;&gt;"",EDATE($D132,Milestones!$AA$54)&gt;=$Z132),$AC132,IF(AND($Y132&lt;&gt;"",EDATE($D132,Milestones!$AA$54)&gt;=$Y132),$AB132,$AA132)))=Milestones!$AB$54),UPPER(TEXT(EDATE($D132,Milestones!$AA$54),"dd mmm yy"))&amp;" "&amp;Milestones!$AB$54&amp;" "&amp;IF(AND(Milestones!$AB$54="FT",Milestones!$AA$54=FT_Y5,EDATE($D132,Milestones!$AA$54)&lt;PolicyEff),1,Milestones!$AC$54)&amp;";  ","")&amp;IF(AND(EDATE($D132,Milestones!$AA$55)&lt;=AsOfDate,EDATE($D132,Milestones!$AA$55)&gt;=SchemeStart,IF($X132=0,$AD132,IF(AND($Z132&lt;&gt;"",EDATE($D132,Milestones!$AA$55)&gt;=$Z132),$AC132,IF(AND($Y132&lt;&gt;"",EDATE($D132,Milestones!$AA$55)&gt;=$Y132),$AB132,$AA132)))=Milestones!$AB$55),UPPER(TEXT(EDATE($D132,Milestones!$AA$55),"dd mmm yy"))&amp;" "&amp;Milestones!$AB$55&amp;" "&amp;IF(AND(Milestones!$AB$55="FT",Milestones!$AA$55=FT_Y5,EDATE($D132,Milestones!$AA$55)&lt;PolicyEff),1,Milestones!$AC$55)&amp;";  ",""))</f>
        <v/>
      </c>
      <c r="L132" s="0" t="str">
        <f aca="false">IF(OR($A132="",$D132=""),"",IF(AND(EDATE($D132,Milestones!$AA$56)&lt;=AsOfDate,EDATE($D132,Milestones!$AA$56)&gt;=SchemeStart,IF($X132=0,$AD132,IF(AND($Z132&lt;&gt;"",EDATE($D132,Milestones!$AA$56)&gt;=$Z132),$AC132,IF(AND($Y132&lt;&gt;"",EDATE($D132,Milestones!$AA$56)&gt;=$Y132),$AB132,$AA132)))=Milestones!$AB$56),UPPER(TEXT(EDATE($D132,Milestones!$AA$56),"dd mmm yy"))&amp;" "&amp;Milestones!$AB$56&amp;" "&amp;IF(AND(Milestones!$AB$56="FT",Milestones!$AA$56=FT_Y5,EDATE($D132,Milestones!$AA$56)&lt;PolicyEff),1,Milestones!$AC$56)&amp;";  ","")&amp;IF(AND(EDATE($D132,Milestones!$AA$57)&lt;=AsOfDate,EDATE($D132,Milestones!$AA$57)&gt;=SchemeStart,IF($X132=0,$AD132,IF(AND($Z132&lt;&gt;"",EDATE($D132,Milestones!$AA$57)&gt;=$Z132),$AC132,IF(AND($Y132&lt;&gt;"",EDATE($D132,Milestones!$AA$57)&gt;=$Y132),$AB132,$AA132)))=Milestones!$AB$57),UPPER(TEXT(EDATE($D132,Milestones!$AA$57),"dd mmm yy"))&amp;" "&amp;Milestones!$AB$57&amp;" "&amp;IF(AND(Milestones!$AB$57="FT",Milestones!$AA$57=FT_Y5,EDATE($D132,Milestones!$AA$57)&lt;PolicyEff),1,Milestones!$AC$57)&amp;";  ","")&amp;IF(AND(EDATE($D132,Milestones!$AA$58)&lt;=AsOfDate,EDATE($D132,Milestones!$AA$58)&gt;=SchemeStart,IF($X132=0,$AD132,IF(AND($Z132&lt;&gt;"",EDATE($D132,Milestones!$AA$58)&gt;=$Z132),$AC132,IF(AND($Y132&lt;&gt;"",EDATE($D132,Milestones!$AA$58)&gt;=$Y132),$AB132,$AA132)))=Milestones!$AB$58),UPPER(TEXT(EDATE($D132,Milestones!$AA$58),"dd mmm yy"))&amp;" "&amp;Milestones!$AB$58&amp;" "&amp;IF(AND(Milestones!$AB$58="FT",Milestones!$AA$58=FT_Y5,EDATE($D132,Milestones!$AA$58)&lt;PolicyEff),1,Milestones!$AC$58)&amp;";  ","")&amp;IF(AND(EDATE($D132,Milestones!$AA$59)&lt;=AsOfDate,EDATE($D132,Milestones!$AA$59)&gt;=SchemeStart,IF($X132=0,$AD132,IF(AND($Z132&lt;&gt;"",EDATE($D132,Milestones!$AA$59)&gt;=$Z132),$AC132,IF(AND($Y132&lt;&gt;"",EDATE($D132,Milestones!$AA$59)&gt;=$Y132),$AB132,$AA132)))=Milestones!$AB$59),UPPER(TEXT(EDATE($D132,Milestones!$AA$59),"dd mmm yy"))&amp;" "&amp;Milestones!$AB$59&amp;" "&amp;IF(AND(Milestones!$AB$59="FT",Milestones!$AA$59=FT_Y5,EDATE($D132,Milestones!$AA$59)&lt;PolicyEff),1,Milestones!$AC$59)&amp;";  ","")&amp;IF(AND(EDATE($D132,Milestones!$AA$60)&lt;=AsOfDate,EDATE($D132,Milestones!$AA$60)&gt;=SchemeStart,IF($X132=0,$AD132,IF(AND($Z132&lt;&gt;"",EDATE($D132,Milestones!$AA$60)&gt;=$Z132),$AC132,IF(AND($Y132&lt;&gt;"",EDATE($D132,Milestones!$AA$60)&gt;=$Y132),$AB132,$AA132)))=Milestones!$AB$60),UPPER(TEXT(EDATE($D132,Milestones!$AA$60),"dd mmm yy"))&amp;" "&amp;Milestones!$AB$60&amp;" "&amp;IF(AND(Milestones!$AB$60="FT",Milestones!$AA$60=FT_Y5,EDATE($D132,Milestones!$AA$60)&lt;PolicyEff),1,Milestones!$AC$60)&amp;";  ","")&amp;IF(AND(EDATE($D132,Milestones!$AA$61)&lt;=AsOfDate,EDATE($D132,Milestones!$AA$61)&gt;=SchemeStart,IF($X132=0,$AD132,IF(AND($Z132&lt;&gt;"",EDATE($D132,Milestones!$AA$61)&gt;=$Z132),$AC132,IF(AND($Y132&lt;&gt;"",EDATE($D132,Milestones!$AA$61)&gt;=$Y132),$AB132,$AA132)))=Milestones!$AB$61),UPPER(TEXT(EDATE($D132,Milestones!$AA$61),"dd mmm yy"))&amp;" "&amp;Milestones!$AB$61&amp;" "&amp;IF(AND(Milestones!$AB$61="FT",Milestones!$AA$61=FT_Y5,EDATE($D132,Milestones!$AA$61)&lt;PolicyEff),1,Milestones!$AC$61)&amp;";  ","")&amp;IF(AND(EDATE($D132,Milestones!$AA$62)&lt;=AsOfDate,EDATE($D132,Milestones!$AA$62)&gt;=SchemeStart,IF($X132=0,$AD132,IF(AND($Z132&lt;&gt;"",EDATE($D132,Milestones!$AA$62)&gt;=$Z132),$AC132,IF(AND($Y132&lt;&gt;"",EDATE($D132,Milestones!$AA$62)&gt;=$Y132),$AB132,$AA132)))=Milestones!$AB$62),UPPER(TEXT(EDATE($D132,Milestones!$AA$62),"dd mmm yy"))&amp;" "&amp;Milestones!$AB$62&amp;" "&amp;IF(AND(Milestones!$AB$62="FT",Milestones!$AA$62=FT_Y5,EDATE($D132,Milestones!$AA$62)&lt;PolicyEff),1,Milestones!$AC$62)&amp;";  ","")&amp;IF(AND(EDATE($D132,Milestones!$AA$63)&lt;=AsOfDate,EDATE($D132,Milestones!$AA$63)&gt;=SchemeStart,IF($X132=0,$AD132,IF(AND($Z132&lt;&gt;"",EDATE($D132,Milestones!$AA$63)&gt;=$Z132),$AC132,IF(AND($Y132&lt;&gt;"",EDATE($D132,Milestones!$AA$63)&gt;=$Y132),$AB132,$AA132)))=Milestones!$AB$63),UPPER(TEXT(EDATE($D132,Milestones!$AA$63),"dd mmm yy"))&amp;" "&amp;Milestones!$AB$63&amp;" "&amp;IF(AND(Milestones!$AB$63="FT",Milestones!$AA$63=FT_Y5,EDATE($D132,Milestones!$AA$63)&lt;PolicyEff),1,Milestones!$AC$63)&amp;";  ","")&amp;IF(AND(EDATE($D132,Milestones!$AA$64)&lt;=AsOfDate,EDATE($D132,Milestones!$AA$64)&gt;=SchemeStart,IF($X132=0,$AD132,IF(AND($Z132&lt;&gt;"",EDATE($D132,Milestones!$AA$64)&gt;=$Z132),$AC132,IF(AND($Y132&lt;&gt;"",EDATE($D132,Milestones!$AA$64)&gt;=$Y132),$AB132,$AA132)))=Milestones!$AB$64),UPPER(TEXT(EDATE($D132,Milestones!$AA$64),"dd mmm yy"))&amp;" "&amp;Milestones!$AB$64&amp;" "&amp;IF(AND(Milestones!$AB$64="FT",Milestones!$AA$64=FT_Y5,EDATE($D132,Milestones!$AA$64)&lt;PolicyEff),1,Milestones!$AC$64)&amp;";  ","")&amp;IF(AND(EDATE($D132,Milestones!$AA$65)&lt;=AsOfDate,EDATE($D132,Milestones!$AA$65)&gt;=SchemeStart,IF($X132=0,$AD132,IF(AND($Z132&lt;&gt;"",EDATE($D132,Milestones!$AA$65)&gt;=$Z132),$AC132,IF(AND($Y132&lt;&gt;"",EDATE($D132,Milestones!$AA$65)&gt;=$Y132),$AB132,$AA132)))=Milestones!$AB$65),UPPER(TEXT(EDATE($D132,Milestones!$AA$65),"dd mmm yy"))&amp;" "&amp;Milestones!$AB$65&amp;" "&amp;IF(AND(Milestones!$AB$65="FT",Milestones!$AA$65=FT_Y5,EDATE($D132,Milestones!$AA$65)&lt;PolicyEff),1,Milestones!$AC$65)&amp;";  ","")&amp;IF(AND(EDATE($D132,Milestones!$AA$66)&lt;=AsOfDate,EDATE($D132,Milestones!$AA$66)&gt;=SchemeStart,IF($X132=0,$AD132,IF(AND($Z132&lt;&gt;"",EDATE($D132,Milestones!$AA$66)&gt;=$Z132),$AC132,IF(AND($Y132&lt;&gt;"",EDATE($D132,Milestones!$AA$66)&gt;=$Y132),$AB132,$AA132)))=Milestones!$AB$66),UPPER(TEXT(EDATE($D132,Milestones!$AA$66),"dd mmm yy"))&amp;" "&amp;Milestones!$AB$66&amp;" "&amp;IF(AND(Milestones!$AB$66="FT",Milestones!$AA$66=FT_Y5,EDATE($D132,Milestones!$AA$66)&lt;PolicyEff),1,Milestones!$AC$66)&amp;";  ","")&amp;IF(AND(EDATE($D132,Milestones!$AA$67)&lt;=AsOfDate,EDATE($D132,Milestones!$AA$67)&gt;=SchemeStart,IF($X132=0,$AD132,IF(AND($Z132&lt;&gt;"",EDATE($D132,Milestones!$AA$67)&gt;=$Z132),$AC132,IF(AND($Y132&lt;&gt;"",EDATE($D132,Milestones!$AA$67)&gt;=$Y132),$AB132,$AA132)))=Milestones!$AB$67),UPPER(TEXT(EDATE($D132,Milestones!$AA$67),"dd mmm yy"))&amp;" "&amp;Milestones!$AB$67&amp;" "&amp;IF(AND(Milestones!$AB$67="FT",Milestones!$AA$67=FT_Y5,EDATE($D132,Milestones!$AA$67)&lt;PolicyEff),1,Milestones!$AC$67)&amp;";  ",""))</f>
        <v/>
      </c>
      <c r="M132" s="0" t="str">
        <f aca="false">IF(OR($A132="",$D132=""),"",IF(AND(EDATE($D132,Milestones!$AA$68)&lt;=AsOfDate,EDATE($D132,Milestones!$AA$68)&gt;=SchemeStart,IF($X132=0,$AD132,IF(AND($Z132&lt;&gt;"",EDATE($D132,Milestones!$AA$68)&gt;=$Z132),$AC132,IF(AND($Y132&lt;&gt;"",EDATE($D132,Milestones!$AA$68)&gt;=$Y132),$AB132,$AA132)))=Milestones!$AB$68),UPPER(TEXT(EDATE($D132,Milestones!$AA$68),"dd mmm yy"))&amp;" "&amp;Milestones!$AB$68&amp;" "&amp;IF(AND(Milestones!$AB$68="FT",Milestones!$AA$68=FT_Y5,EDATE($D132,Milestones!$AA$68)&lt;PolicyEff),1,Milestones!$AC$68)&amp;";  ","")&amp;IF(AND(EDATE($D132,Milestones!$AA$69)&lt;=AsOfDate,EDATE($D132,Milestones!$AA$69)&gt;=SchemeStart,IF($X132=0,$AD132,IF(AND($Z132&lt;&gt;"",EDATE($D132,Milestones!$AA$69)&gt;=$Z132),$AC132,IF(AND($Y132&lt;&gt;"",EDATE($D132,Milestones!$AA$69)&gt;=$Y132),$AB132,$AA132)))=Milestones!$AB$69),UPPER(TEXT(EDATE($D132,Milestones!$AA$69),"dd mmm yy"))&amp;" "&amp;Milestones!$AB$69&amp;" "&amp;IF(AND(Milestones!$AB$69="FT",Milestones!$AA$69=FT_Y5,EDATE($D132,Milestones!$AA$69)&lt;PolicyEff),1,Milestones!$AC$69)&amp;";  ","")&amp;IF(AND(EDATE($D132,Milestones!$AA$70)&lt;=AsOfDate,EDATE($D132,Milestones!$AA$70)&gt;=SchemeStart,IF($X132=0,$AD132,IF(AND($Z132&lt;&gt;"",EDATE($D132,Milestones!$AA$70)&gt;=$Z132),$AC132,IF(AND($Y132&lt;&gt;"",EDATE($D132,Milestones!$AA$70)&gt;=$Y132),$AB132,$AA132)))=Milestones!$AB$70),UPPER(TEXT(EDATE($D132,Milestones!$AA$70),"dd mmm yy"))&amp;" "&amp;Milestones!$AB$70&amp;" "&amp;IF(AND(Milestones!$AB$70="FT",Milestones!$AA$70=FT_Y5,EDATE($D132,Milestones!$AA$70)&lt;PolicyEff),1,Milestones!$AC$70)&amp;";  ","")&amp;IF(AND(EDATE($D132,Milestones!$AA$71)&lt;=AsOfDate,EDATE($D132,Milestones!$AA$71)&gt;=SchemeStart,IF($X132=0,$AD132,IF(AND($Z132&lt;&gt;"",EDATE($D132,Milestones!$AA$71)&gt;=$Z132),$AC132,IF(AND($Y132&lt;&gt;"",EDATE($D132,Milestones!$AA$71)&gt;=$Y132),$AB132,$AA132)))=Milestones!$AB$71),UPPER(TEXT(EDATE($D132,Milestones!$AA$71),"dd mmm yy"))&amp;" "&amp;Milestones!$AB$71&amp;" "&amp;IF(AND(Milestones!$AB$71="FT",Milestones!$AA$71=FT_Y5,EDATE($D132,Milestones!$AA$71)&lt;PolicyEff),1,Milestones!$AC$71)&amp;";  ","")&amp;IF(AND(EDATE($D132,Milestones!$AA$72)&lt;=AsOfDate,EDATE($D132,Milestones!$AA$72)&gt;=SchemeStart,IF($X132=0,$AD132,IF(AND($Z132&lt;&gt;"",EDATE($D132,Milestones!$AA$72)&gt;=$Z132),$AC132,IF(AND($Y132&lt;&gt;"",EDATE($D132,Milestones!$AA$72)&gt;=$Y132),$AB132,$AA132)))=Milestones!$AB$72),UPPER(TEXT(EDATE($D132,Milestones!$AA$72),"dd mmm yy"))&amp;" "&amp;Milestones!$AB$72&amp;" "&amp;IF(AND(Milestones!$AB$72="FT",Milestones!$AA$72=FT_Y5,EDATE($D132,Milestones!$AA$72)&lt;PolicyEff),1,Milestones!$AC$72)&amp;";  ","")&amp;IF(AND(EDATE($D132,Milestones!$AA$73)&lt;=AsOfDate,EDATE($D132,Milestones!$AA$73)&gt;=SchemeStart,IF($X132=0,$AD132,IF(AND($Z132&lt;&gt;"",EDATE($D132,Milestones!$AA$73)&gt;=$Z132),$AC132,IF(AND($Y132&lt;&gt;"",EDATE($D132,Milestones!$AA$73)&gt;=$Y132),$AB132,$AA132)))=Milestones!$AB$73),UPPER(TEXT(EDATE($D132,Milestones!$AA$73),"dd mmm yy"))&amp;" "&amp;Milestones!$AB$73&amp;" "&amp;IF(AND(Milestones!$AB$73="FT",Milestones!$AA$73=FT_Y5,EDATE($D132,Milestones!$AA$73)&lt;PolicyEff),1,Milestones!$AC$73)&amp;";  ","")&amp;IF(AND(EDATE($D132,Milestones!$AA$74)&lt;=AsOfDate,EDATE($D132,Milestones!$AA$74)&gt;=SchemeStart,IF($X132=0,$AD132,IF(AND($Z132&lt;&gt;"",EDATE($D132,Milestones!$AA$74)&gt;=$Z132),$AC132,IF(AND($Y132&lt;&gt;"",EDATE($D132,Milestones!$AA$74)&gt;=$Y132),$AB132,$AA132)))=Milestones!$AB$74),UPPER(TEXT(EDATE($D132,Milestones!$AA$74),"dd mmm yy"))&amp;" "&amp;Milestones!$AB$74&amp;" "&amp;IF(AND(Milestones!$AB$74="FT",Milestones!$AA$74=FT_Y5,EDATE($D132,Milestones!$AA$74)&lt;PolicyEff),1,Milestones!$AC$74)&amp;";  ","")&amp;IF(AND(EDATE($D132,Milestones!$AA$75)&lt;=AsOfDate,EDATE($D132,Milestones!$AA$75)&gt;=SchemeStart,IF($X132=0,$AD132,IF(AND($Z132&lt;&gt;"",EDATE($D132,Milestones!$AA$75)&gt;=$Z132),$AC132,IF(AND($Y132&lt;&gt;"",EDATE($D132,Milestones!$AA$75)&gt;=$Y132),$AB132,$AA132)))=Milestones!$AB$75),UPPER(TEXT(EDATE($D132,Milestones!$AA$75),"dd mmm yy"))&amp;" "&amp;Milestones!$AB$75&amp;" "&amp;IF(AND(Milestones!$AB$75="FT",Milestones!$AA$75=FT_Y5,EDATE($D132,Milestones!$AA$75)&lt;PolicyEff),1,Milestones!$AC$75)&amp;";  ","")&amp;IF(AND(EDATE($D132,Milestones!$AA$76)&lt;=AsOfDate,EDATE($D132,Milestones!$AA$76)&gt;=SchemeStart,IF($X132=0,$AD132,IF(AND($Z132&lt;&gt;"",EDATE($D132,Milestones!$AA$76)&gt;=$Z132),$AC132,IF(AND($Y132&lt;&gt;"",EDATE($D132,Milestones!$AA$76)&gt;=$Y132),$AB132,$AA132)))=Milestones!$AB$76),UPPER(TEXT(EDATE($D132,Milestones!$AA$76),"dd mmm yy"))&amp;" "&amp;Milestones!$AB$76&amp;" "&amp;IF(AND(Milestones!$AB$76="FT",Milestones!$AA$76=FT_Y5,EDATE($D132,Milestones!$AA$76)&lt;PolicyEff),1,Milestones!$AC$76)&amp;";  ","")&amp;IF(AND(EDATE($D132,Milestones!$AA$77)&lt;=AsOfDate,EDATE($D132,Milestones!$AA$77)&gt;=SchemeStart,IF($X132=0,$AD132,IF(AND($Z132&lt;&gt;"",EDATE($D132,Milestones!$AA$77)&gt;=$Z132),$AC132,IF(AND($Y132&lt;&gt;"",EDATE($D132,Milestones!$AA$77)&gt;=$Y132),$AB132,$AA132)))=Milestones!$AB$77),UPPER(TEXT(EDATE($D132,Milestones!$AA$77),"dd mmm yy"))&amp;" "&amp;Milestones!$AB$77&amp;" "&amp;IF(AND(Milestones!$AB$77="FT",Milestones!$AA$77=FT_Y5,EDATE($D132,Milestones!$AA$77)&lt;PolicyEff),1,Milestones!$AC$77)&amp;";  ","")&amp;IF(AND(EDATE($D132,Milestones!$AA$78)&lt;=AsOfDate,EDATE($D132,Milestones!$AA$78)&gt;=SchemeStart,IF($X132=0,$AD132,IF(AND($Z132&lt;&gt;"",EDATE($D132,Milestones!$AA$78)&gt;=$Z132),$AC132,IF(AND($Y132&lt;&gt;"",EDATE($D132,Milestones!$AA$78)&gt;=$Y132),$AB132,$AA132)))=Milestones!$AB$78),UPPER(TEXT(EDATE($D132,Milestones!$AA$78),"dd mmm yy"))&amp;" "&amp;Milestones!$AB$78&amp;" "&amp;IF(AND(Milestones!$AB$78="FT",Milestones!$AA$78=FT_Y5,EDATE($D132,Milestones!$AA$78)&lt;PolicyEff),1,Milestones!$AC$78)&amp;";  ","")&amp;IF(AND(EDATE($D132,Milestones!$AA$79)&lt;=AsOfDate,EDATE($D132,Milestones!$AA$79)&gt;=SchemeStart,IF($X132=0,$AD132,IF(AND($Z132&lt;&gt;"",EDATE($D132,Milestones!$AA$79)&gt;=$Z132),$AC132,IF(AND($Y132&lt;&gt;"",EDATE($D132,Milestones!$AA$79)&gt;=$Y132),$AB132,$AA132)))=Milestones!$AB$79),UPPER(TEXT(EDATE($D132,Milestones!$AA$79),"dd mmm yy"))&amp;" "&amp;Milestones!$AB$79&amp;" "&amp;IF(AND(Milestones!$AB$79="FT",Milestones!$AA$79=FT_Y5,EDATE($D132,Milestones!$AA$79)&lt;PolicyEff),1,Milestones!$AC$79)&amp;";  ",""))</f>
        <v/>
      </c>
      <c r="N132" s="0" t="str">
        <f aca="false">IF(OR($A132="",$D132=""),"",IF(AND(EDATE($D132,Milestones!$AA$80)&lt;=AsOfDate,EDATE($D132,Milestones!$AA$80)&gt;=SchemeStart,IF($X132=0,$AD132,IF(AND($Z132&lt;&gt;"",EDATE($D132,Milestones!$AA$80)&gt;=$Z132),$AC132,IF(AND($Y132&lt;&gt;"",EDATE($D132,Milestones!$AA$80)&gt;=$Y132),$AB132,$AA132)))=Milestones!$AB$80),UPPER(TEXT(EDATE($D132,Milestones!$AA$80),"dd mmm yy"))&amp;" "&amp;Milestones!$AB$80&amp;" "&amp;IF(AND(Milestones!$AB$80="FT",Milestones!$AA$80=FT_Y5,EDATE($D132,Milestones!$AA$80)&lt;PolicyEff),1,Milestones!$AC$80)&amp;";  ","")&amp;IF(AND(EDATE($D132,Milestones!$AA$81)&lt;=AsOfDate,EDATE($D132,Milestones!$AA$81)&gt;=SchemeStart,IF($X132=0,$AD132,IF(AND($Z132&lt;&gt;"",EDATE($D132,Milestones!$AA$81)&gt;=$Z132),$AC132,IF(AND($Y132&lt;&gt;"",EDATE($D132,Milestones!$AA$81)&gt;=$Y132),$AB132,$AA132)))=Milestones!$AB$81),UPPER(TEXT(EDATE($D132,Milestones!$AA$81),"dd mmm yy"))&amp;" "&amp;Milestones!$AB$81&amp;" "&amp;IF(AND(Milestones!$AB$81="FT",Milestones!$AA$81=FT_Y5,EDATE($D132,Milestones!$AA$81)&lt;PolicyEff),1,Milestones!$AC$81)&amp;";  ","")&amp;IF(AND(EDATE($D132,Milestones!$AA$82)&lt;=AsOfDate,EDATE($D132,Milestones!$AA$82)&gt;=SchemeStart,IF($X132=0,$AD132,IF(AND($Z132&lt;&gt;"",EDATE($D132,Milestones!$AA$82)&gt;=$Z132),$AC132,IF(AND($Y132&lt;&gt;"",EDATE($D132,Milestones!$AA$82)&gt;=$Y132),$AB132,$AA132)))=Milestones!$AB$82),UPPER(TEXT(EDATE($D132,Milestones!$AA$82),"dd mmm yy"))&amp;" "&amp;Milestones!$AB$82&amp;" "&amp;IF(AND(Milestones!$AB$82="FT",Milestones!$AA$82=FT_Y5,EDATE($D132,Milestones!$AA$82)&lt;PolicyEff),1,Milestones!$AC$82)&amp;";  ","")&amp;IF(AND(EDATE($D132,Milestones!$AA$83)&lt;=AsOfDate,EDATE($D132,Milestones!$AA$83)&gt;=SchemeStart,IF($X132=0,$AD132,IF(AND($Z132&lt;&gt;"",EDATE($D132,Milestones!$AA$83)&gt;=$Z132),$AC132,IF(AND($Y132&lt;&gt;"",EDATE($D132,Milestones!$AA$83)&gt;=$Y132),$AB132,$AA132)))=Milestones!$AB$83),UPPER(TEXT(EDATE($D132,Milestones!$AA$83),"dd mmm yy"))&amp;" "&amp;Milestones!$AB$83&amp;" "&amp;IF(AND(Milestones!$AB$83="FT",Milestones!$AA$83=FT_Y5,EDATE($D132,Milestones!$AA$83)&lt;PolicyEff),1,Milestones!$AC$83)&amp;";  ","")&amp;IF(AND(EDATE($D132,Milestones!$AA$84)&lt;=AsOfDate,EDATE($D132,Milestones!$AA$84)&gt;=SchemeStart,IF($X132=0,$AD132,IF(AND($Z132&lt;&gt;"",EDATE($D132,Milestones!$AA$84)&gt;=$Z132),$AC132,IF(AND($Y132&lt;&gt;"",EDATE($D132,Milestones!$AA$84)&gt;=$Y132),$AB132,$AA132)))=Milestones!$AB$84),UPPER(TEXT(EDATE($D132,Milestones!$AA$84),"dd mmm yy"))&amp;" "&amp;Milestones!$AB$84&amp;" "&amp;IF(AND(Milestones!$AB$84="FT",Milestones!$AA$84=FT_Y5,EDATE($D132,Milestones!$AA$84)&lt;PolicyEff),1,Milestones!$AC$84)&amp;";  ","")&amp;IF(AND(EDATE($D132,Milestones!$AA$85)&lt;=AsOfDate,EDATE($D132,Milestones!$AA$85)&gt;=SchemeStart,IF($X132=0,$AD132,IF(AND($Z132&lt;&gt;"",EDATE($D132,Milestones!$AA$85)&gt;=$Z132),$AC132,IF(AND($Y132&lt;&gt;"",EDATE($D132,Milestones!$AA$85)&gt;=$Y132),$AB132,$AA132)))=Milestones!$AB$85),UPPER(TEXT(EDATE($D132,Milestones!$AA$85),"dd mmm yy"))&amp;" "&amp;Milestones!$AB$85&amp;" "&amp;IF(AND(Milestones!$AB$85="FT",Milestones!$AA$85=FT_Y5,EDATE($D132,Milestones!$AA$85)&lt;PolicyEff),1,Milestones!$AC$85)&amp;";  ","")&amp;IF(AND(EDATE($D132,Milestones!$AA$86)&lt;=AsOfDate,EDATE($D132,Milestones!$AA$86)&gt;=SchemeStart,IF($X132=0,$AD132,IF(AND($Z132&lt;&gt;"",EDATE($D132,Milestones!$AA$86)&gt;=$Z132),$AC132,IF(AND($Y132&lt;&gt;"",EDATE($D132,Milestones!$AA$86)&gt;=$Y132),$AB132,$AA132)))=Milestones!$AB$86),UPPER(TEXT(EDATE($D132,Milestones!$AA$86),"dd mmm yy"))&amp;" "&amp;Milestones!$AB$86&amp;" "&amp;IF(AND(Milestones!$AB$86="FT",Milestones!$AA$86=FT_Y5,EDATE($D132,Milestones!$AA$86)&lt;PolicyEff),1,Milestones!$AC$86)&amp;";  ","")&amp;IF(AND(EDATE($D132,Milestones!$AA$87)&lt;=AsOfDate,EDATE($D132,Milestones!$AA$87)&gt;=SchemeStart,IF($X132=0,$AD132,IF(AND($Z132&lt;&gt;"",EDATE($D132,Milestones!$AA$87)&gt;=$Z132),$AC132,IF(AND($Y132&lt;&gt;"",EDATE($D132,Milestones!$AA$87)&gt;=$Y132),$AB132,$AA132)))=Milestones!$AB$87),UPPER(TEXT(EDATE($D132,Milestones!$AA$87),"dd mmm yy"))&amp;" "&amp;Milestones!$AB$87&amp;" "&amp;IF(AND(Milestones!$AB$87="FT",Milestones!$AA$87=FT_Y5,EDATE($D132,Milestones!$AA$87)&lt;PolicyEff),1,Milestones!$AC$87)&amp;";  ","")&amp;IF(AND(EDATE($D132,Milestones!$AA$88)&lt;=AsOfDate,EDATE($D132,Milestones!$AA$88)&gt;=SchemeStart,IF($X132=0,$AD132,IF(AND($Z132&lt;&gt;"",EDATE($D132,Milestones!$AA$88)&gt;=$Z132),$AC132,IF(AND($Y132&lt;&gt;"",EDATE($D132,Milestones!$AA$88)&gt;=$Y132),$AB132,$AA132)))=Milestones!$AB$88),UPPER(TEXT(EDATE($D132,Milestones!$AA$88),"dd mmm yy"))&amp;" "&amp;Milestones!$AB$88&amp;" "&amp;IF(AND(Milestones!$AB$88="FT",Milestones!$AA$88=FT_Y5,EDATE($D132,Milestones!$AA$88)&lt;PolicyEff),1,Milestones!$AC$88)&amp;";  ","")&amp;IF(AND(EDATE($D132,Milestones!$AA$89)&lt;=AsOfDate,EDATE($D132,Milestones!$AA$89)&gt;=SchemeStart,IF($X132=0,$AD132,IF(AND($Z132&lt;&gt;"",EDATE($D132,Milestones!$AA$89)&gt;=$Z132),$AC132,IF(AND($Y132&lt;&gt;"",EDATE($D132,Milestones!$AA$89)&gt;=$Y132),$AB132,$AA132)))=Milestones!$AB$89),UPPER(TEXT(EDATE($D132,Milestones!$AA$89),"dd mmm yy"))&amp;" "&amp;Milestones!$AB$89&amp;" "&amp;IF(AND(Milestones!$AB$89="FT",Milestones!$AA$89=FT_Y5,EDATE($D132,Milestones!$AA$89)&lt;PolicyEff),1,Milestones!$AC$89)&amp;";  ","")&amp;IF(AND(EDATE($D132,Milestones!$AA$90)&lt;=AsOfDate,EDATE($D132,Milestones!$AA$90)&gt;=SchemeStart,IF($X132=0,$AD132,IF(AND($Z132&lt;&gt;"",EDATE($D132,Milestones!$AA$90)&gt;=$Z132),$AC132,IF(AND($Y132&lt;&gt;"",EDATE($D132,Milestones!$AA$90)&gt;=$Y132),$AB132,$AA132)))=Milestones!$AB$90),UPPER(TEXT(EDATE($D132,Milestones!$AA$90),"dd mmm yy"))&amp;" "&amp;Milestones!$AB$90&amp;" "&amp;IF(AND(Milestones!$AB$90="FT",Milestones!$AA$90=FT_Y5,EDATE($D132,Milestones!$AA$90)&lt;PolicyEff),1,Milestones!$AC$90)&amp;";  ","")&amp;IF(AND(EDATE($D132,Milestones!$AA$91)&lt;=AsOfDate,EDATE($D132,Milestones!$AA$91)&gt;=SchemeStart,IF($X132=0,$AD132,IF(AND($Z132&lt;&gt;"",EDATE($D132,Milestones!$AA$91)&gt;=$Z132),$AC132,IF(AND($Y132&lt;&gt;"",EDATE($D132,Milestones!$AA$91)&gt;=$Y132),$AB132,$AA132)))=Milestones!$AB$91),UPPER(TEXT(EDATE($D132,Milestones!$AA$91),"dd mmm yy"))&amp;" "&amp;Milestones!$AB$91&amp;" "&amp;IF(AND(Milestones!$AB$91="FT",Milestones!$AA$91=FT_Y5,EDATE($D132,Milestones!$AA$91)&lt;PolicyEff),1,Milestones!$AC$91)&amp;";  ",""))</f>
        <v/>
      </c>
      <c r="O132" s="0" t="str">
        <f aca="false">IF(OR($A132="",$D132=""),"",IF(AND(EDATE($D132,Milestones!$AA$92)&lt;=AsOfDate,EDATE($D132,Milestones!$AA$92)&gt;=SchemeStart,IF($X132=0,$AD132,IF(AND($Z132&lt;&gt;"",EDATE($D132,Milestones!$AA$92)&gt;=$Z132),$AC132,IF(AND($Y132&lt;&gt;"",EDATE($D132,Milestones!$AA$92)&gt;=$Y132),$AB132,$AA132)))=Milestones!$AB$92),UPPER(TEXT(EDATE($D132,Milestones!$AA$92),"dd mmm yy"))&amp;" "&amp;Milestones!$AB$92&amp;" "&amp;IF(AND(Milestones!$AB$92="FT",Milestones!$AA$92=FT_Y5,EDATE($D132,Milestones!$AA$92)&lt;PolicyEff),1,Milestones!$AC$92)&amp;";  ","")&amp;IF(AND(EDATE($D132,Milestones!$AA$93)&lt;=AsOfDate,EDATE($D132,Milestones!$AA$93)&gt;=SchemeStart,IF($X132=0,$AD132,IF(AND($Z132&lt;&gt;"",EDATE($D132,Milestones!$AA$93)&gt;=$Z132),$AC132,IF(AND($Y132&lt;&gt;"",EDATE($D132,Milestones!$AA$93)&gt;=$Y132),$AB132,$AA132)))=Milestones!$AB$93),UPPER(TEXT(EDATE($D132,Milestones!$AA$93),"dd mmm yy"))&amp;" "&amp;Milestones!$AB$93&amp;" "&amp;IF(AND(Milestones!$AB$93="FT",Milestones!$AA$93=FT_Y5,EDATE($D132,Milestones!$AA$93)&lt;PolicyEff),1,Milestones!$AC$93)&amp;";  ","")&amp;IF(AND(EDATE($D132,Milestones!$AA$94)&lt;=AsOfDate,EDATE($D132,Milestones!$AA$94)&gt;=SchemeStart,IF($X132=0,$AD132,IF(AND($Z132&lt;&gt;"",EDATE($D132,Milestones!$AA$94)&gt;=$Z132),$AC132,IF(AND($Y132&lt;&gt;"",EDATE($D132,Milestones!$AA$94)&gt;=$Y132),$AB132,$AA132)))=Milestones!$AB$94),UPPER(TEXT(EDATE($D132,Milestones!$AA$94),"dd mmm yy"))&amp;" "&amp;Milestones!$AB$94&amp;" "&amp;IF(AND(Milestones!$AB$94="FT",Milestones!$AA$94=FT_Y5,EDATE($D132,Milestones!$AA$94)&lt;PolicyEff),1,Milestones!$AC$94)&amp;";  ","")&amp;IF(AND(EDATE($D132,Milestones!$AA$95)&lt;=AsOfDate,EDATE($D132,Milestones!$AA$95)&gt;=SchemeStart,IF($X132=0,$AD132,IF(AND($Z132&lt;&gt;"",EDATE($D132,Milestones!$AA$95)&gt;=$Z132),$AC132,IF(AND($Y132&lt;&gt;"",EDATE($D132,Milestones!$AA$95)&gt;=$Y132),$AB132,$AA132)))=Milestones!$AB$95),UPPER(TEXT(EDATE($D132,Milestones!$AA$95),"dd mmm yy"))&amp;" "&amp;Milestones!$AB$95&amp;" "&amp;IF(AND(Milestones!$AB$95="FT",Milestones!$AA$95=FT_Y5,EDATE($D132,Milestones!$AA$95)&lt;PolicyEff),1,Milestones!$AC$95)&amp;";  ","")&amp;IF(AND(EDATE($D132,Milestones!$AA$96)&lt;=AsOfDate,EDATE($D132,Milestones!$AA$96)&gt;=SchemeStart,IF($X132=0,$AD132,IF(AND($Z132&lt;&gt;"",EDATE($D132,Milestones!$AA$96)&gt;=$Z132),$AC132,IF(AND($Y132&lt;&gt;"",EDATE($D132,Milestones!$AA$96)&gt;=$Y132),$AB132,$AA132)))=Milestones!$AB$96),UPPER(TEXT(EDATE($D132,Milestones!$AA$96),"dd mmm yy"))&amp;" "&amp;Milestones!$AB$96&amp;" "&amp;IF(AND(Milestones!$AB$96="FT",Milestones!$AA$96=FT_Y5,EDATE($D132,Milestones!$AA$96)&lt;PolicyEff),1,Milestones!$AC$96)&amp;";  ","")&amp;IF(AND(EDATE($D132,Milestones!$AA$97)&lt;=AsOfDate,EDATE($D132,Milestones!$AA$97)&gt;=SchemeStart,IF($X132=0,$AD132,IF(AND($Z132&lt;&gt;"",EDATE($D132,Milestones!$AA$97)&gt;=$Z132),$AC132,IF(AND($Y132&lt;&gt;"",EDATE($D132,Milestones!$AA$97)&gt;=$Y132),$AB132,$AA132)))=Milestones!$AB$97),UPPER(TEXT(EDATE($D132,Milestones!$AA$97),"dd mmm yy"))&amp;" "&amp;Milestones!$AB$97&amp;" "&amp;IF(AND(Milestones!$AB$97="FT",Milestones!$AA$97=FT_Y5,EDATE($D132,Milestones!$AA$97)&lt;PolicyEff),1,Milestones!$AC$97)&amp;";  ","")&amp;IF(AND(EDATE($D132,Milestones!$AA$98)&lt;=AsOfDate,EDATE($D132,Milestones!$AA$98)&gt;=SchemeStart,IF($X132=0,$AD132,IF(AND($Z132&lt;&gt;"",EDATE($D132,Milestones!$AA$98)&gt;=$Z132),$AC132,IF(AND($Y132&lt;&gt;"",EDATE($D132,Milestones!$AA$98)&gt;=$Y132),$AB132,$AA132)))=Milestones!$AB$98),UPPER(TEXT(EDATE($D132,Milestones!$AA$98),"dd mmm yy"))&amp;" "&amp;Milestones!$AB$98&amp;" "&amp;IF(AND(Milestones!$AB$98="FT",Milestones!$AA$98=FT_Y5,EDATE($D132,Milestones!$AA$98)&lt;PolicyEff),1,Milestones!$AC$98)&amp;";  ","")&amp;IF(AND(EDATE($D132,Milestones!$AA$99)&lt;=AsOfDate,EDATE($D132,Milestones!$AA$99)&gt;=SchemeStart,IF($X132=0,$AD132,IF(AND($Z132&lt;&gt;"",EDATE($D132,Milestones!$AA$99)&gt;=$Z132),$AC132,IF(AND($Y132&lt;&gt;"",EDATE($D132,Milestones!$AA$99)&gt;=$Y132),$AB132,$AA132)))=Milestones!$AB$99),UPPER(TEXT(EDATE($D132,Milestones!$AA$99),"dd mmm yy"))&amp;" "&amp;Milestones!$AB$99&amp;" "&amp;IF(AND(Milestones!$AB$99="FT",Milestones!$AA$99=FT_Y5,EDATE($D132,Milestones!$AA$99)&lt;PolicyEff),1,Milestones!$AC$99)&amp;";  ","")&amp;IF(AND(EDATE($D132,Milestones!$AA$100)&lt;=AsOfDate,EDATE($D132,Milestones!$AA$100)&gt;=SchemeStart,IF($X132=0,$AD132,IF(AND($Z132&lt;&gt;"",EDATE($D132,Milestones!$AA$100)&gt;=$Z132),$AC132,IF(AND($Y132&lt;&gt;"",EDATE($D132,Milestones!$AA$100)&gt;=$Y132),$AB132,$AA132)))=Milestones!$AB$100),UPPER(TEXT(EDATE($D132,Milestones!$AA$100),"dd mmm yy"))&amp;" "&amp;Milestones!$AB$100&amp;" "&amp;IF(AND(Milestones!$AB$100="FT",Milestones!$AA$100=FT_Y5,EDATE($D132,Milestones!$AA$100)&lt;PolicyEff),1,Milestones!$AC$100)&amp;";  ","")&amp;IF(AND(EDATE($D132,Milestones!$AA$101)&lt;=AsOfDate,EDATE($D132,Milestones!$AA$101)&gt;=SchemeStart,IF($X132=0,$AD132,IF(AND($Z132&lt;&gt;"",EDATE($D132,Milestones!$AA$101)&gt;=$Z132),$AC132,IF(AND($Y132&lt;&gt;"",EDATE($D132,Milestones!$AA$101)&gt;=$Y132),$AB132,$AA132)))=Milestones!$AB$101),UPPER(TEXT(EDATE($D132,Milestones!$AA$101),"dd mmm yy"))&amp;" "&amp;Milestones!$AB$101&amp;" "&amp;IF(AND(Milestones!$AB$101="FT",Milestones!$AA$101=FT_Y5,EDATE($D132,Milestones!$AA$101)&lt;PolicyEff),1,Milestones!$AC$101)&amp;";  ","")&amp;IF(AND(EDATE($D132,Milestones!$AA$102)&lt;=AsOfDate,EDATE($D132,Milestones!$AA$102)&gt;=SchemeStart,IF($X132=0,$AD132,IF(AND($Z132&lt;&gt;"",EDATE($D132,Milestones!$AA$102)&gt;=$Z132),$AC132,IF(AND($Y132&lt;&gt;"",EDATE($D132,Milestones!$AA$102)&gt;=$Y132),$AB132,$AA132)))=Milestones!$AB$102),UPPER(TEXT(EDATE($D132,Milestones!$AA$102),"dd mmm yy"))&amp;" "&amp;Milestones!$AB$102&amp;" "&amp;IF(AND(Milestones!$AB$102="FT",Milestones!$AA$102=FT_Y5,EDATE($D132,Milestones!$AA$102)&lt;PolicyEff),1,Milestones!$AC$102)&amp;";  ","")&amp;IF(AND(EDATE($D132,Milestones!$AA$103)&lt;=AsOfDate,EDATE($D132,Milestones!$AA$103)&gt;=SchemeStart,IF($X132=0,$AD132,IF(AND($Z132&lt;&gt;"",EDATE($D132,Milestones!$AA$103)&gt;=$Z132),$AC132,IF(AND($Y132&lt;&gt;"",EDATE($D132,Milestones!$AA$103)&gt;=$Y132),$AB132,$AA132)))=Milestones!$AB$103),UPPER(TEXT(EDATE($D132,Milestones!$AA$103),"dd mmm yy"))&amp;" "&amp;Milestones!$AB$103&amp;" "&amp;IF(AND(Milestones!$AB$103="FT",Milestones!$AA$103=FT_Y5,EDATE($D132,Milestones!$AA$103)&lt;PolicyEff),1,Milestones!$AC$103)&amp;";  ",""))</f>
        <v/>
      </c>
      <c r="P132" s="0" t="str">
        <f aca="false">IF(OR($A132="",$D132=""),"",IF(AND(EDATE($D132,Milestones!$AA$104)&lt;=AsOfDate,EDATE($D132,Milestones!$AA$104)&gt;=SchemeStart,IF($X132=0,$AD132,IF(AND($Z132&lt;&gt;"",EDATE($D132,Milestones!$AA$104)&gt;=$Z132),$AC132,IF(AND($Y132&lt;&gt;"",EDATE($D132,Milestones!$AA$104)&gt;=$Y132),$AB132,$AA132)))=Milestones!$AB$104),UPPER(TEXT(EDATE($D132,Milestones!$AA$104),"dd mmm yy"))&amp;" "&amp;Milestones!$AB$104&amp;" "&amp;IF(AND(Milestones!$AB$104="FT",Milestones!$AA$104=FT_Y5,EDATE($D132,Milestones!$AA$104)&lt;PolicyEff),1,Milestones!$AC$104)&amp;";  ","")&amp;IF(AND(EDATE($D132,Milestones!$AA$105)&lt;=AsOfDate,EDATE($D132,Milestones!$AA$105)&gt;=SchemeStart,IF($X132=0,$AD132,IF(AND($Z132&lt;&gt;"",EDATE($D132,Milestones!$AA$105)&gt;=$Z132),$AC132,IF(AND($Y132&lt;&gt;"",EDATE($D132,Milestones!$AA$105)&gt;=$Y132),$AB132,$AA132)))=Milestones!$AB$105),UPPER(TEXT(EDATE($D132,Milestones!$AA$105),"dd mmm yy"))&amp;" "&amp;Milestones!$AB$105&amp;" "&amp;IF(AND(Milestones!$AB$105="FT",Milestones!$AA$105=FT_Y5,EDATE($D132,Milestones!$AA$105)&lt;PolicyEff),1,Milestones!$AC$105)&amp;";  ","")&amp;IF(AND(EDATE($D132,Milestones!$AA$106)&lt;=AsOfDate,EDATE($D132,Milestones!$AA$106)&gt;=SchemeStart,IF($X132=0,$AD132,IF(AND($Z132&lt;&gt;"",EDATE($D132,Milestones!$AA$106)&gt;=$Z132),$AC132,IF(AND($Y132&lt;&gt;"",EDATE($D132,Milestones!$AA$106)&gt;=$Y132),$AB132,$AA132)))=Milestones!$AB$106),UPPER(TEXT(EDATE($D132,Milestones!$AA$106),"dd mmm yy"))&amp;" "&amp;Milestones!$AB$106&amp;" "&amp;IF(AND(Milestones!$AB$106="FT",Milestones!$AA$106=FT_Y5,EDATE($D132,Milestones!$AA$106)&lt;PolicyEff),1,Milestones!$AC$106)&amp;";  ","")&amp;IF(AND(EDATE($D132,Milestones!$AA$107)&lt;=AsOfDate,EDATE($D132,Milestones!$AA$107)&gt;=SchemeStart,IF($X132=0,$AD132,IF(AND($Z132&lt;&gt;"",EDATE($D132,Milestones!$AA$107)&gt;=$Z132),$AC132,IF(AND($Y132&lt;&gt;"",EDATE($D132,Milestones!$AA$107)&gt;=$Y132),$AB132,$AA132)))=Milestones!$AB$107),UPPER(TEXT(EDATE($D132,Milestones!$AA$107),"dd mmm yy"))&amp;" "&amp;Milestones!$AB$107&amp;" "&amp;IF(AND(Milestones!$AB$107="FT",Milestones!$AA$107=FT_Y5,EDATE($D132,Milestones!$AA$107)&lt;PolicyEff),1,Milestones!$AC$107)&amp;";  ","")&amp;IF(AND(EDATE($D132,Milestones!$AA$108)&lt;=AsOfDate,EDATE($D132,Milestones!$AA$108)&gt;=SchemeStart,IF($X132=0,$AD132,IF(AND($Z132&lt;&gt;"",EDATE($D132,Milestones!$AA$108)&gt;=$Z132),$AC132,IF(AND($Y132&lt;&gt;"",EDATE($D132,Milestones!$AA$108)&gt;=$Y132),$AB132,$AA132)))=Milestones!$AB$108),UPPER(TEXT(EDATE($D132,Milestones!$AA$108),"dd mmm yy"))&amp;" "&amp;Milestones!$AB$108&amp;" "&amp;IF(AND(Milestones!$AB$108="FT",Milestones!$AA$108=FT_Y5,EDATE($D132,Milestones!$AA$108)&lt;PolicyEff),1,Milestones!$AC$108)&amp;";  ","")&amp;IF(AND(EDATE($D132,Milestones!$AA$109)&lt;=AsOfDate,EDATE($D132,Milestones!$AA$109)&gt;=SchemeStart,IF($X132=0,$AD132,IF(AND($Z132&lt;&gt;"",EDATE($D132,Milestones!$AA$109)&gt;=$Z132),$AC132,IF(AND($Y132&lt;&gt;"",EDATE($D132,Milestones!$AA$109)&gt;=$Y132),$AB132,$AA132)))=Milestones!$AB$109),UPPER(TEXT(EDATE($D132,Milestones!$AA$109),"dd mmm yy"))&amp;" "&amp;Milestones!$AB$109&amp;" "&amp;IF(AND(Milestones!$AB$109="FT",Milestones!$AA$109=FT_Y5,EDATE($D132,Milestones!$AA$109)&lt;PolicyEff),1,Milestones!$AC$109)&amp;";  ","")&amp;IF(AND(EDATE($D132,Milestones!$AA$110)&lt;=AsOfDate,EDATE($D132,Milestones!$AA$110)&gt;=SchemeStart,IF($X132=0,$AD132,IF(AND($Z132&lt;&gt;"",EDATE($D132,Milestones!$AA$110)&gt;=$Z132),$AC132,IF(AND($Y132&lt;&gt;"",EDATE($D132,Milestones!$AA$110)&gt;=$Y132),$AB132,$AA132)))=Milestones!$AB$110),UPPER(TEXT(EDATE($D132,Milestones!$AA$110),"dd mmm yy"))&amp;" "&amp;Milestones!$AB$110&amp;" "&amp;IF(AND(Milestones!$AB$110="FT",Milestones!$AA$110=FT_Y5,EDATE($D132,Milestones!$AA$110)&lt;PolicyEff),1,Milestones!$AC$110)&amp;";  ","")&amp;IF(AND(EDATE($D132,Milestones!$AA$111)&lt;=AsOfDate,EDATE($D132,Milestones!$AA$111)&gt;=SchemeStart,IF($X132=0,$AD132,IF(AND($Z132&lt;&gt;"",EDATE($D132,Milestones!$AA$111)&gt;=$Z132),$AC132,IF(AND($Y132&lt;&gt;"",EDATE($D132,Milestones!$AA$111)&gt;=$Y132),$AB132,$AA132)))=Milestones!$AB$111),UPPER(TEXT(EDATE($D132,Milestones!$AA$111),"dd mmm yy"))&amp;" "&amp;Milestones!$AB$111&amp;" "&amp;IF(AND(Milestones!$AB$111="FT",Milestones!$AA$111=FT_Y5,EDATE($D132,Milestones!$AA$111)&lt;PolicyEff),1,Milestones!$AC$111)&amp;";  ","")&amp;IF(AND(EDATE($D132,Milestones!$AA$112)&lt;=AsOfDate,EDATE($D132,Milestones!$AA$112)&gt;=SchemeStart,IF($X132=0,$AD132,IF(AND($Z132&lt;&gt;"",EDATE($D132,Milestones!$AA$112)&gt;=$Z132),$AC132,IF(AND($Y132&lt;&gt;"",EDATE($D132,Milestones!$AA$112)&gt;=$Y132),$AB132,$AA132)))=Milestones!$AB$112),UPPER(TEXT(EDATE($D132,Milestones!$AA$112),"dd mmm yy"))&amp;" "&amp;Milestones!$AB$112&amp;" "&amp;IF(AND(Milestones!$AB$112="FT",Milestones!$AA$112=FT_Y5,EDATE($D132,Milestones!$AA$112)&lt;PolicyEff),1,Milestones!$AC$112)&amp;";  ","")&amp;IF(AND(EDATE($D132,Milestones!$AA$113)&lt;=AsOfDate,EDATE($D132,Milestones!$AA$113)&gt;=SchemeStart,IF($X132=0,$AD132,IF(AND($Z132&lt;&gt;"",EDATE($D132,Milestones!$AA$113)&gt;=$Z132),$AC132,IF(AND($Y132&lt;&gt;"",EDATE($D132,Milestones!$AA$113)&gt;=$Y132),$AB132,$AA132)))=Milestones!$AB$113),UPPER(TEXT(EDATE($D132,Milestones!$AA$113),"dd mmm yy"))&amp;" "&amp;Milestones!$AB$113&amp;" "&amp;IF(AND(Milestones!$AB$113="FT",Milestones!$AA$113=FT_Y5,EDATE($D132,Milestones!$AA$113)&lt;PolicyEff),1,Milestones!$AC$113)&amp;";  ","")&amp;IF(AND(EDATE($D132,Milestones!$AA$114)&lt;=AsOfDate,EDATE($D132,Milestones!$AA$114)&gt;=SchemeStart,IF($X132=0,$AD132,IF(AND($Z132&lt;&gt;"",EDATE($D132,Milestones!$AA$114)&gt;=$Z132),$AC132,IF(AND($Y132&lt;&gt;"",EDATE($D132,Milestones!$AA$114)&gt;=$Y132),$AB132,$AA132)))=Milestones!$AB$114),UPPER(TEXT(EDATE($D132,Milestones!$AA$114),"dd mmm yy"))&amp;" "&amp;Milestones!$AB$114&amp;" "&amp;IF(AND(Milestones!$AB$114="FT",Milestones!$AA$114=FT_Y5,EDATE($D132,Milestones!$AA$114)&lt;PolicyEff),1,Milestones!$AC$114)&amp;";  ","")&amp;IF(AND(EDATE($D132,Milestones!$AA$115)&lt;=AsOfDate,EDATE($D132,Milestones!$AA$115)&gt;=SchemeStart,IF($X132=0,$AD132,IF(AND($Z132&lt;&gt;"",EDATE($D132,Milestones!$AA$115)&gt;=$Z132),$AC132,IF(AND($Y132&lt;&gt;"",EDATE($D132,Milestones!$AA$115)&gt;=$Y132),$AB132,$AA132)))=Milestones!$AB$115),UPPER(TEXT(EDATE($D132,Milestones!$AA$115),"dd mmm yy"))&amp;" "&amp;Milestones!$AB$115&amp;" "&amp;IF(AND(Milestones!$AB$115="FT",Milestones!$AA$115=FT_Y5,EDATE($D132,Milestones!$AA$115)&lt;PolicyEff),1,Milestones!$AC$115)&amp;";  ",""))</f>
        <v/>
      </c>
      <c r="Q132" s="0" t="str">
        <f aca="false">IF(OR($A132="",$D132=""),"",IF(AND(EDATE($D132,Milestones!$AA$116)&lt;=AsOfDate,EDATE($D132,Milestones!$AA$116)&gt;=SchemeStart,IF($X132=0,$AD132,IF(AND($Z132&lt;&gt;"",EDATE($D132,Milestones!$AA$116)&gt;=$Z132),$AC132,IF(AND($Y132&lt;&gt;"",EDATE($D132,Milestones!$AA$116)&gt;=$Y132),$AB132,$AA132)))=Milestones!$AB$116),UPPER(TEXT(EDATE($D132,Milestones!$AA$116),"dd mmm yy"))&amp;" "&amp;Milestones!$AB$116&amp;" "&amp;IF(AND(Milestones!$AB$116="FT",Milestones!$AA$116=FT_Y5,EDATE($D132,Milestones!$AA$116)&lt;PolicyEff),1,Milestones!$AC$116)&amp;";  ","")&amp;IF(AND(EDATE($D132,Milestones!$AA$117)&lt;=AsOfDate,EDATE($D132,Milestones!$AA$117)&gt;=SchemeStart,IF($X132=0,$AD132,IF(AND($Z132&lt;&gt;"",EDATE($D132,Milestones!$AA$117)&gt;=$Z132),$AC132,IF(AND($Y132&lt;&gt;"",EDATE($D132,Milestones!$AA$117)&gt;=$Y132),$AB132,$AA132)))=Milestones!$AB$117),UPPER(TEXT(EDATE($D132,Milestones!$AA$117),"dd mmm yy"))&amp;" "&amp;Milestones!$AB$117&amp;" "&amp;IF(AND(Milestones!$AB$117="FT",Milestones!$AA$117=FT_Y5,EDATE($D132,Milestones!$AA$117)&lt;PolicyEff),1,Milestones!$AC$117)&amp;";  ","")&amp;IF(AND(EDATE($D132,Milestones!$AA$118)&lt;=AsOfDate,EDATE($D132,Milestones!$AA$118)&gt;=SchemeStart,IF($X132=0,$AD132,IF(AND($Z132&lt;&gt;"",EDATE($D132,Milestones!$AA$118)&gt;=$Z132),$AC132,IF(AND($Y132&lt;&gt;"",EDATE($D132,Milestones!$AA$118)&gt;=$Y132),$AB132,$AA132)))=Milestones!$AB$118),UPPER(TEXT(EDATE($D132,Milestones!$AA$118),"dd mmm yy"))&amp;" "&amp;Milestones!$AB$118&amp;" "&amp;IF(AND(Milestones!$AB$118="FT",Milestones!$AA$118=FT_Y5,EDATE($D132,Milestones!$AA$118)&lt;PolicyEff),1,Milestones!$AC$118)&amp;";  ","")&amp;IF(AND(EDATE($D132,Milestones!$AA$119)&lt;=AsOfDate,EDATE($D132,Milestones!$AA$119)&gt;=SchemeStart,IF($X132=0,$AD132,IF(AND($Z132&lt;&gt;"",EDATE($D132,Milestones!$AA$119)&gt;=$Z132),$AC132,IF(AND($Y132&lt;&gt;"",EDATE($D132,Milestones!$AA$119)&gt;=$Y132),$AB132,$AA132)))=Milestones!$AB$119),UPPER(TEXT(EDATE($D132,Milestones!$AA$119),"dd mmm yy"))&amp;" "&amp;Milestones!$AB$119&amp;" "&amp;IF(AND(Milestones!$AB$119="FT",Milestones!$AA$119=FT_Y5,EDATE($D132,Milestones!$AA$119)&lt;PolicyEff),1,Milestones!$AC$119)&amp;";  ","")&amp;IF(AND(EDATE($D132,Milestones!$AA$120)&lt;=AsOfDate,EDATE($D132,Milestones!$AA$120)&gt;=SchemeStart,IF($X132=0,$AD132,IF(AND($Z132&lt;&gt;"",EDATE($D132,Milestones!$AA$120)&gt;=$Z132),$AC132,IF(AND($Y132&lt;&gt;"",EDATE($D132,Milestones!$AA$120)&gt;=$Y132),$AB132,$AA132)))=Milestones!$AB$120),UPPER(TEXT(EDATE($D132,Milestones!$AA$120),"dd mmm yy"))&amp;" "&amp;Milestones!$AB$120&amp;" "&amp;IF(AND(Milestones!$AB$120="FT",Milestones!$AA$120=FT_Y5,EDATE($D132,Milestones!$AA$120)&lt;PolicyEff),1,Milestones!$AC$120)&amp;";  ","")&amp;IF(AND(EDATE($D132,Milestones!$AA$121)&lt;=AsOfDate,EDATE($D132,Milestones!$AA$121)&gt;=SchemeStart,IF($X132=0,$AD132,IF(AND($Z132&lt;&gt;"",EDATE($D132,Milestones!$AA$121)&gt;=$Z132),$AC132,IF(AND($Y132&lt;&gt;"",EDATE($D132,Milestones!$AA$121)&gt;=$Y132),$AB132,$AA132)))=Milestones!$AB$121),UPPER(TEXT(EDATE($D132,Milestones!$AA$121),"dd mmm yy"))&amp;" "&amp;Milestones!$AB$121&amp;" "&amp;IF(AND(Milestones!$AB$121="FT",Milestones!$AA$121=FT_Y5,EDATE($D132,Milestones!$AA$121)&lt;PolicyEff),1,Milestones!$AC$121)&amp;";  ","")&amp;IF(AND(EDATE($D132,Milestones!$AA$122)&lt;=AsOfDate,EDATE($D132,Milestones!$AA$122)&gt;=SchemeStart,IF($X132=0,$AD132,IF(AND($Z132&lt;&gt;"",EDATE($D132,Milestones!$AA$122)&gt;=$Z132),$AC132,IF(AND($Y132&lt;&gt;"",EDATE($D132,Milestones!$AA$122)&gt;=$Y132),$AB132,$AA132)))=Milestones!$AB$122),UPPER(TEXT(EDATE($D132,Milestones!$AA$122),"dd mmm yy"))&amp;" "&amp;Milestones!$AB$122&amp;" "&amp;IF(AND(Milestones!$AB$122="FT",Milestones!$AA$122=FT_Y5,EDATE($D132,Milestones!$AA$122)&lt;PolicyEff),1,Milestones!$AC$122)&amp;";  ","")&amp;IF(AND(EDATE($D132,Milestones!$AA$123)&lt;=AsOfDate,EDATE($D132,Milestones!$AA$123)&gt;=SchemeStart,IF($X132=0,$AD132,IF(AND($Z132&lt;&gt;"",EDATE($D132,Milestones!$AA$123)&gt;=$Z132),$AC132,IF(AND($Y132&lt;&gt;"",EDATE($D132,Milestones!$AA$123)&gt;=$Y132),$AB132,$AA132)))=Milestones!$AB$123),UPPER(TEXT(EDATE($D132,Milestones!$AA$123),"dd mmm yy"))&amp;" "&amp;Milestones!$AB$123&amp;" "&amp;IF(AND(Milestones!$AB$123="FT",Milestones!$AA$123=FT_Y5,EDATE($D132,Milestones!$AA$123)&lt;PolicyEff),1,Milestones!$AC$123)&amp;";  ","")&amp;IF(AND(EDATE($D132,Milestones!$AA$124)&lt;=AsOfDate,EDATE($D132,Milestones!$AA$124)&gt;=SchemeStart,IF($X132=0,$AD132,IF(AND($Z132&lt;&gt;"",EDATE($D132,Milestones!$AA$124)&gt;=$Z132),$AC132,IF(AND($Y132&lt;&gt;"",EDATE($D132,Milestones!$AA$124)&gt;=$Y132),$AB132,$AA132)))=Milestones!$AB$124),UPPER(TEXT(EDATE($D132,Milestones!$AA$124),"dd mmm yy"))&amp;" "&amp;Milestones!$AB$124&amp;" "&amp;IF(AND(Milestones!$AB$124="FT",Milestones!$AA$124=FT_Y5,EDATE($D132,Milestones!$AA$124)&lt;PolicyEff),1,Milestones!$AC$124)&amp;";  ","")&amp;IF(AND(EDATE($D132,Milestones!$AA$125)&lt;=AsOfDate,EDATE($D132,Milestones!$AA$125)&gt;=SchemeStart,IF($X132=0,$AD132,IF(AND($Z132&lt;&gt;"",EDATE($D132,Milestones!$AA$125)&gt;=$Z132),$AC132,IF(AND($Y132&lt;&gt;"",EDATE($D132,Milestones!$AA$125)&gt;=$Y132),$AB132,$AA132)))=Milestones!$AB$125),UPPER(TEXT(EDATE($D132,Milestones!$AA$125),"dd mmm yy"))&amp;" "&amp;Milestones!$AB$125&amp;" "&amp;IF(AND(Milestones!$AB$125="FT",Milestones!$AA$125=FT_Y5,EDATE($D132,Milestones!$AA$125)&lt;PolicyEff),1,Milestones!$AC$125)&amp;";  ","")&amp;IF(AND(EDATE($D132,Milestones!$AA$126)&lt;=AsOfDate,EDATE($D132,Milestones!$AA$126)&gt;=SchemeStart,IF($X132=0,$AD132,IF(AND($Z132&lt;&gt;"",EDATE($D132,Milestones!$AA$126)&gt;=$Z132),$AC132,IF(AND($Y132&lt;&gt;"",EDATE($D132,Milestones!$AA$126)&gt;=$Y132),$AB132,$AA132)))=Milestones!$AB$126),UPPER(TEXT(EDATE($D132,Milestones!$AA$126),"dd mmm yy"))&amp;" "&amp;Milestones!$AB$126&amp;" "&amp;IF(AND(Milestones!$AB$126="FT",Milestones!$AA$126=FT_Y5,EDATE($D132,Milestones!$AA$126)&lt;PolicyEff),1,Milestones!$AC$126)&amp;";  ","")&amp;IF(AND(EDATE($D132,Milestones!$AA$127)&lt;=AsOfDate,EDATE($D132,Milestones!$AA$127)&gt;=SchemeStart,IF($X132=0,$AD132,IF(AND($Z132&lt;&gt;"",EDATE($D132,Milestones!$AA$127)&gt;=$Z132),$AC132,IF(AND($Y132&lt;&gt;"",EDATE($D132,Milestones!$AA$127)&gt;=$Y132),$AB132,$AA132)))=Milestones!$AB$127),UPPER(TEXT(EDATE($D132,Milestones!$AA$127),"dd mmm yy"))&amp;" "&amp;Milestones!$AB$127&amp;" "&amp;IF(AND(Milestones!$AB$127="FT",Milestones!$AA$127=FT_Y5,EDATE($D132,Milestones!$AA$127)&lt;PolicyEff),1,Milestones!$AC$127)&amp;";  ",""))</f>
        <v/>
      </c>
      <c r="R132" s="0" t="str">
        <f aca="false">IF(OR($A132="",$D132=""),"",IF(AND(EDATE($D132,Milestones!$AA$128)&lt;=AsOfDate,EDATE($D132,Milestones!$AA$128)&gt;=SchemeStart,IF($X132=0,$AD132,IF(AND($Z132&lt;&gt;"",EDATE($D132,Milestones!$AA$128)&gt;=$Z132),$AC132,IF(AND($Y132&lt;&gt;"",EDATE($D132,Milestones!$AA$128)&gt;=$Y132),$AB132,$AA132)))=Milestones!$AB$128),UPPER(TEXT(EDATE($D132,Milestones!$AA$128),"dd mmm yy"))&amp;" "&amp;Milestones!$AB$128&amp;" "&amp;IF(AND(Milestones!$AB$128="FT",Milestones!$AA$128=FT_Y5,EDATE($D132,Milestones!$AA$128)&lt;PolicyEff),1,Milestones!$AC$128)&amp;";  ","")&amp;IF(AND(EDATE($D132,Milestones!$AA$129)&lt;=AsOfDate,EDATE($D132,Milestones!$AA$129)&gt;=SchemeStart,IF($X132=0,$AD132,IF(AND($Z132&lt;&gt;"",EDATE($D132,Milestones!$AA$129)&gt;=$Z132),$AC132,IF(AND($Y132&lt;&gt;"",EDATE($D132,Milestones!$AA$129)&gt;=$Y132),$AB132,$AA132)))=Milestones!$AB$129),UPPER(TEXT(EDATE($D132,Milestones!$AA$129),"dd mmm yy"))&amp;" "&amp;Milestones!$AB$129&amp;" "&amp;IF(AND(Milestones!$AB$129="FT",Milestones!$AA$129=FT_Y5,EDATE($D132,Milestones!$AA$129)&lt;PolicyEff),1,Milestones!$AC$129)&amp;";  ","")&amp;IF(AND(EDATE($D132,Milestones!$AA$130)&lt;=AsOfDate,EDATE($D132,Milestones!$AA$130)&gt;=SchemeStart,IF($X132=0,$AD132,IF(AND($Z132&lt;&gt;"",EDATE($D132,Milestones!$AA$130)&gt;=$Z132),$AC132,IF(AND($Y132&lt;&gt;"",EDATE($D132,Milestones!$AA$130)&gt;=$Y132),$AB132,$AA132)))=Milestones!$AB$130),UPPER(TEXT(EDATE($D132,Milestones!$AA$130),"dd mmm yy"))&amp;" "&amp;Milestones!$AB$130&amp;" "&amp;IF(AND(Milestones!$AB$130="FT",Milestones!$AA$130=FT_Y5,EDATE($D132,Milestones!$AA$130)&lt;PolicyEff),1,Milestones!$AC$130)&amp;";  ","")&amp;IF(AND(EDATE($D132,Milestones!$AA$131)&lt;=AsOfDate,EDATE($D132,Milestones!$AA$131)&gt;=SchemeStart,IF($X132=0,$AD132,IF(AND($Z132&lt;&gt;"",EDATE($D132,Milestones!$AA$131)&gt;=$Z132),$AC132,IF(AND($Y132&lt;&gt;"",EDATE($D132,Milestones!$AA$131)&gt;=$Y132),$AB132,$AA132)))=Milestones!$AB$131),UPPER(TEXT(EDATE($D132,Milestones!$AA$131),"dd mmm yy"))&amp;" "&amp;Milestones!$AB$131&amp;" "&amp;IF(AND(Milestones!$AB$131="FT",Milestones!$AA$131=FT_Y5,EDATE($D132,Milestones!$AA$131)&lt;PolicyEff),1,Milestones!$AC$131)&amp;";  ","")&amp;IF(AND(EDATE($D132,Milestones!$AA$132)&lt;=AsOfDate,EDATE($D132,Milestones!$AA$132)&gt;=SchemeStart,IF($X132=0,$AD132,IF(AND($Z132&lt;&gt;"",EDATE($D132,Milestones!$AA$132)&gt;=$Z132),$AC132,IF(AND($Y132&lt;&gt;"",EDATE($D132,Milestones!$AA$132)&gt;=$Y132),$AB132,$AA132)))=Milestones!$AB$132),UPPER(TEXT(EDATE($D132,Milestones!$AA$132),"dd mmm yy"))&amp;" "&amp;Milestones!$AB$132&amp;" "&amp;IF(AND(Milestones!$AB$132="FT",Milestones!$AA$132=FT_Y5,EDATE($D132,Milestones!$AA$132)&lt;PolicyEff),1,Milestones!$AC$132)&amp;";  ","")&amp;IF(AND(EDATE($D132,Milestones!$AA$133)&lt;=AsOfDate,EDATE($D132,Milestones!$AA$133)&gt;=SchemeStart,IF($X132=0,$AD132,IF(AND($Z132&lt;&gt;"",EDATE($D132,Milestones!$AA$133)&gt;=$Z132),$AC132,IF(AND($Y132&lt;&gt;"",EDATE($D132,Milestones!$AA$133)&gt;=$Y132),$AB132,$AA132)))=Milestones!$AB$133),UPPER(TEXT(EDATE($D132,Milestones!$AA$133),"dd mmm yy"))&amp;" "&amp;Milestones!$AB$133&amp;" "&amp;IF(AND(Milestones!$AB$133="FT",Milestones!$AA$133=FT_Y5,EDATE($D132,Milestones!$AA$133)&lt;PolicyEff),1,Milestones!$AC$133)&amp;";  ","")&amp;IF(AND(EDATE($D132,Milestones!$AA$134)&lt;=AsOfDate,EDATE($D132,Milestones!$AA$134)&gt;=SchemeStart,IF($X132=0,$AD132,IF(AND($Z132&lt;&gt;"",EDATE($D132,Milestones!$AA$134)&gt;=$Z132),$AC132,IF(AND($Y132&lt;&gt;"",EDATE($D132,Milestones!$AA$134)&gt;=$Y132),$AB132,$AA132)))=Milestones!$AB$134),UPPER(TEXT(EDATE($D132,Milestones!$AA$134),"dd mmm yy"))&amp;" "&amp;Milestones!$AB$134&amp;" "&amp;IF(AND(Milestones!$AB$134="FT",Milestones!$AA$134=FT_Y5,EDATE($D132,Milestones!$AA$134)&lt;PolicyEff),1,Milestones!$AC$134)&amp;";  ","")&amp;IF(AND(EDATE($D132,Milestones!$AA$135)&lt;=AsOfDate,EDATE($D132,Milestones!$AA$135)&gt;=SchemeStart,IF($X132=0,$AD132,IF(AND($Z132&lt;&gt;"",EDATE($D132,Milestones!$AA$135)&gt;=$Z132),$AC132,IF(AND($Y132&lt;&gt;"",EDATE($D132,Milestones!$AA$135)&gt;=$Y132),$AB132,$AA132)))=Milestones!$AB$135),UPPER(TEXT(EDATE($D132,Milestones!$AA$135),"dd mmm yy"))&amp;" "&amp;Milestones!$AB$135&amp;" "&amp;IF(AND(Milestones!$AB$135="FT",Milestones!$AA$135=FT_Y5,EDATE($D132,Milestones!$AA$135)&lt;PolicyEff),1,Milestones!$AC$135)&amp;";  ","")&amp;IF(AND(EDATE($D132,Milestones!$AA$136)&lt;=AsOfDate,EDATE($D132,Milestones!$AA$136)&gt;=SchemeStart,IF($X132=0,$AD132,IF(AND($Z132&lt;&gt;"",EDATE($D132,Milestones!$AA$136)&gt;=$Z132),$AC132,IF(AND($Y132&lt;&gt;"",EDATE($D132,Milestones!$AA$136)&gt;=$Y132),$AB132,$AA132)))=Milestones!$AB$136),UPPER(TEXT(EDATE($D132,Milestones!$AA$136),"dd mmm yy"))&amp;" "&amp;Milestones!$AB$136&amp;" "&amp;IF(AND(Milestones!$AB$136="FT",Milestones!$AA$136=FT_Y5,EDATE($D132,Milestones!$AA$136)&lt;PolicyEff),1,Milestones!$AC$136)&amp;";  ","")&amp;IF(AND(EDATE($D132,Milestones!$AA$137)&lt;=AsOfDate,EDATE($D132,Milestones!$AA$137)&gt;=SchemeStart,IF($X132=0,$AD132,IF(AND($Z132&lt;&gt;"",EDATE($D132,Milestones!$AA$137)&gt;=$Z132),$AC132,IF(AND($Y132&lt;&gt;"",EDATE($D132,Milestones!$AA$137)&gt;=$Y132),$AB132,$AA132)))=Milestones!$AB$137),UPPER(TEXT(EDATE($D132,Milestones!$AA$137),"dd mmm yy"))&amp;" "&amp;Milestones!$AB$137&amp;" "&amp;IF(AND(Milestones!$AB$137="FT",Milestones!$AA$137=FT_Y5,EDATE($D132,Milestones!$AA$137)&lt;PolicyEff),1,Milestones!$AC$137)&amp;";  ","")&amp;IF(AND(EDATE($D132,Milestones!$AA$138)&lt;=AsOfDate,EDATE($D132,Milestones!$AA$138)&gt;=SchemeStart,IF($X132=0,$AD132,IF(AND($Z132&lt;&gt;"",EDATE($D132,Milestones!$AA$138)&gt;=$Z132),$AC132,IF(AND($Y132&lt;&gt;"",EDATE($D132,Milestones!$AA$138)&gt;=$Y132),$AB132,$AA132)))=Milestones!$AB$138),UPPER(TEXT(EDATE($D132,Milestones!$AA$138),"dd mmm yy"))&amp;" "&amp;Milestones!$AB$138&amp;" "&amp;IF(AND(Milestones!$AB$138="FT",Milestones!$AA$138=FT_Y5,EDATE($D132,Milestones!$AA$138)&lt;PolicyEff),1,Milestones!$AC$138)&amp;";  ","")&amp;IF(AND(EDATE($D132,Milestones!$AA$139)&lt;=AsOfDate,EDATE($D132,Milestones!$AA$139)&gt;=SchemeStart,IF($X132=0,$AD132,IF(AND($Z132&lt;&gt;"",EDATE($D132,Milestones!$AA$139)&gt;=$Z132),$AC132,IF(AND($Y132&lt;&gt;"",EDATE($D132,Milestones!$AA$139)&gt;=$Y132),$AB132,$AA132)))=Milestones!$AB$139),UPPER(TEXT(EDATE($D132,Milestones!$AA$139),"dd mmm yy"))&amp;" "&amp;Milestones!$AB$139&amp;" "&amp;IF(AND(Milestones!$AB$139="FT",Milestones!$AA$139=FT_Y5,EDATE($D132,Milestones!$AA$139)&lt;PolicyEff),1,Milestones!$AC$139)&amp;";  ",""))</f>
        <v/>
      </c>
      <c r="S132" s="0" t="str">
        <f aca="false">IF(OR($A132="",$D132=""),"",IF(AND(EDATE($D132,Milestones!$AA$140)&lt;=AsOfDate,EDATE($D132,Milestones!$AA$140)&gt;=SchemeStart,IF($X132=0,$AD132,IF(AND($Z132&lt;&gt;"",EDATE($D132,Milestones!$AA$140)&gt;=$Z132),$AC132,IF(AND($Y132&lt;&gt;"",EDATE($D132,Milestones!$AA$140)&gt;=$Y132),$AB132,$AA132)))=Milestones!$AB$140),UPPER(TEXT(EDATE($D132,Milestones!$AA$140),"dd mmm yy"))&amp;" "&amp;Milestones!$AB$140&amp;" "&amp;IF(AND(Milestones!$AB$140="FT",Milestones!$AA$140=FT_Y5,EDATE($D132,Milestones!$AA$140)&lt;PolicyEff),1,Milestones!$AC$140)&amp;";  ","")&amp;IF(AND(EDATE($D132,Milestones!$AA$141)&lt;=AsOfDate,EDATE($D132,Milestones!$AA$141)&gt;=SchemeStart,IF($X132=0,$AD132,IF(AND($Z132&lt;&gt;"",EDATE($D132,Milestones!$AA$141)&gt;=$Z132),$AC132,IF(AND($Y132&lt;&gt;"",EDATE($D132,Milestones!$AA$141)&gt;=$Y132),$AB132,$AA132)))=Milestones!$AB$141),UPPER(TEXT(EDATE($D132,Milestones!$AA$141),"dd mmm yy"))&amp;" "&amp;Milestones!$AB$141&amp;" "&amp;IF(AND(Milestones!$AB$141="FT",Milestones!$AA$141=FT_Y5,EDATE($D132,Milestones!$AA$141)&lt;PolicyEff),1,Milestones!$AC$141)&amp;";  ","")&amp;IF(AND(EDATE($D132,Milestones!$AA$142)&lt;=AsOfDate,EDATE($D132,Milestones!$AA$142)&gt;=SchemeStart,IF($X132=0,$AD132,IF(AND($Z132&lt;&gt;"",EDATE($D132,Milestones!$AA$142)&gt;=$Z132),$AC132,IF(AND($Y132&lt;&gt;"",EDATE($D132,Milestones!$AA$142)&gt;=$Y132),$AB132,$AA132)))=Milestones!$AB$142),UPPER(TEXT(EDATE($D132,Milestones!$AA$142),"dd mmm yy"))&amp;" "&amp;Milestones!$AB$142&amp;" "&amp;IF(AND(Milestones!$AB$142="FT",Milestones!$AA$142=FT_Y5,EDATE($D132,Milestones!$AA$142)&lt;PolicyEff),1,Milestones!$AC$142)&amp;";  ","")&amp;IF(AND(EDATE($D132,Milestones!$AA$143)&lt;=AsOfDate,EDATE($D132,Milestones!$AA$143)&gt;=SchemeStart,IF($X132=0,$AD132,IF(AND($Z132&lt;&gt;"",EDATE($D132,Milestones!$AA$143)&gt;=$Z132),$AC132,IF(AND($Y132&lt;&gt;"",EDATE($D132,Milestones!$AA$143)&gt;=$Y132),$AB132,$AA132)))=Milestones!$AB$143),UPPER(TEXT(EDATE($D132,Milestones!$AA$143),"dd mmm yy"))&amp;" "&amp;Milestones!$AB$143&amp;" "&amp;IF(AND(Milestones!$AB$143="FT",Milestones!$AA$143=FT_Y5,EDATE($D132,Milestones!$AA$143)&lt;PolicyEff),1,Milestones!$AC$143)&amp;";  ","")&amp;IF(AND(EDATE($D132,Milestones!$AA$144)&lt;=AsOfDate,EDATE($D132,Milestones!$AA$144)&gt;=SchemeStart,IF($X132=0,$AD132,IF(AND($Z132&lt;&gt;"",EDATE($D132,Milestones!$AA$144)&gt;=$Z132),$AC132,IF(AND($Y132&lt;&gt;"",EDATE($D132,Milestones!$AA$144)&gt;=$Y132),$AB132,$AA132)))=Milestones!$AB$144),UPPER(TEXT(EDATE($D132,Milestones!$AA$144),"dd mmm yy"))&amp;" "&amp;Milestones!$AB$144&amp;" "&amp;IF(AND(Milestones!$AB$144="FT",Milestones!$AA$144=FT_Y5,EDATE($D132,Milestones!$AA$144)&lt;PolicyEff),1,Milestones!$AC$144)&amp;";  ","")&amp;IF(AND(EDATE($D132,Milestones!$AA$145)&lt;=AsOfDate,EDATE($D132,Milestones!$AA$145)&gt;=SchemeStart,IF($X132=0,$AD132,IF(AND($Z132&lt;&gt;"",EDATE($D132,Milestones!$AA$145)&gt;=$Z132),$AC132,IF(AND($Y132&lt;&gt;"",EDATE($D132,Milestones!$AA$145)&gt;=$Y132),$AB132,$AA132)))=Milestones!$AB$145),UPPER(TEXT(EDATE($D132,Milestones!$AA$145),"dd mmm yy"))&amp;" "&amp;Milestones!$AB$145&amp;" "&amp;IF(AND(Milestones!$AB$145="FT",Milestones!$AA$145=FT_Y5,EDATE($D132,Milestones!$AA$145)&lt;PolicyEff),1,Milestones!$AC$145)&amp;";  ","")&amp;IF(AND(EDATE($D132,Milestones!$AA$146)&lt;=AsOfDate,EDATE($D132,Milestones!$AA$146)&gt;=SchemeStart,IF($X132=0,$AD132,IF(AND($Z132&lt;&gt;"",EDATE($D132,Milestones!$AA$146)&gt;=$Z132),$AC132,IF(AND($Y132&lt;&gt;"",EDATE($D132,Milestones!$AA$146)&gt;=$Y132),$AB132,$AA132)))=Milestones!$AB$146),UPPER(TEXT(EDATE($D132,Milestones!$AA$146),"dd mmm yy"))&amp;" "&amp;Milestones!$AB$146&amp;" "&amp;IF(AND(Milestones!$AB$146="FT",Milestones!$AA$146=FT_Y5,EDATE($D132,Milestones!$AA$146)&lt;PolicyEff),1,Milestones!$AC$146)&amp;";  ","")&amp;IF(AND(EDATE($D132,Milestones!$AA$147)&lt;=AsOfDate,EDATE($D132,Milestones!$AA$147)&gt;=SchemeStart,IF($X132=0,$AD132,IF(AND($Z132&lt;&gt;"",EDATE($D132,Milestones!$AA$147)&gt;=$Z132),$AC132,IF(AND($Y132&lt;&gt;"",EDATE($D132,Milestones!$AA$147)&gt;=$Y132),$AB132,$AA132)))=Milestones!$AB$147),UPPER(TEXT(EDATE($D132,Milestones!$AA$147),"dd mmm yy"))&amp;" "&amp;Milestones!$AB$147&amp;" "&amp;IF(AND(Milestones!$AB$147="FT",Milestones!$AA$147=FT_Y5,EDATE($D132,Milestones!$AA$147)&lt;PolicyEff),1,Milestones!$AC$147)&amp;";  ","")&amp;IF(AND(EDATE($D132,Milestones!$AA$148)&lt;=AsOfDate,EDATE($D132,Milestones!$AA$148)&gt;=SchemeStart,IF($X132=0,$AD132,IF(AND($Z132&lt;&gt;"",EDATE($D132,Milestones!$AA$148)&gt;=$Z132),$AC132,IF(AND($Y132&lt;&gt;"",EDATE($D132,Milestones!$AA$148)&gt;=$Y132),$AB132,$AA132)))=Milestones!$AB$148),UPPER(TEXT(EDATE($D132,Milestones!$AA$148),"dd mmm yy"))&amp;" "&amp;Milestones!$AB$148&amp;" "&amp;IF(AND(Milestones!$AB$148="FT",Milestones!$AA$148=FT_Y5,EDATE($D132,Milestones!$AA$148)&lt;PolicyEff),1,Milestones!$AC$148)&amp;";  ","")&amp;IF(AND(EDATE($D132,Milestones!$AA$149)&lt;=AsOfDate,EDATE($D132,Milestones!$AA$149)&gt;=SchemeStart,IF($X132=0,$AD132,IF(AND($Z132&lt;&gt;"",EDATE($D132,Milestones!$AA$149)&gt;=$Z132),$AC132,IF(AND($Y132&lt;&gt;"",EDATE($D132,Milestones!$AA$149)&gt;=$Y132),$AB132,$AA132)))=Milestones!$AB$149),UPPER(TEXT(EDATE($D132,Milestones!$AA$149),"dd mmm yy"))&amp;" "&amp;Milestones!$AB$149&amp;" "&amp;IF(AND(Milestones!$AB$149="FT",Milestones!$AA$149=FT_Y5,EDATE($D132,Milestones!$AA$149)&lt;PolicyEff),1,Milestones!$AC$149)&amp;";  ","")&amp;IF(AND(EDATE($D132,Milestones!$AA$150)&lt;=AsOfDate,EDATE($D132,Milestones!$AA$150)&gt;=SchemeStart,IF($X132=0,$AD132,IF(AND($Z132&lt;&gt;"",EDATE($D132,Milestones!$AA$150)&gt;=$Z132),$AC132,IF(AND($Y132&lt;&gt;"",EDATE($D132,Milestones!$AA$150)&gt;=$Y132),$AB132,$AA132)))=Milestones!$AB$150),UPPER(TEXT(EDATE($D132,Milestones!$AA$150),"dd mmm yy"))&amp;" "&amp;Milestones!$AB$150&amp;" "&amp;IF(AND(Milestones!$AB$150="FT",Milestones!$AA$150=FT_Y5,EDATE($D132,Milestones!$AA$150)&lt;PolicyEff),1,Milestones!$AC$150)&amp;";  ","")&amp;IF(AND(EDATE($D132,Milestones!$AA$151)&lt;=AsOfDate,EDATE($D132,Milestones!$AA$151)&gt;=SchemeStart,IF($X132=0,$AD132,IF(AND($Z132&lt;&gt;"",EDATE($D132,Milestones!$AA$151)&gt;=$Z132),$AC132,IF(AND($Y132&lt;&gt;"",EDATE($D132,Milestones!$AA$151)&gt;=$Y132),$AB132,$AA132)))=Milestones!$AB$151),UPPER(TEXT(EDATE($D132,Milestones!$AA$151),"dd mmm yy"))&amp;" "&amp;Milestones!$AB$151&amp;" "&amp;IF(AND(Milestones!$AB$151="FT",Milestones!$AA$151=FT_Y5,EDATE($D132,Milestones!$AA$151)&lt;PolicyEff),1,Milestones!$AC$151)&amp;";  ",""))</f>
        <v/>
      </c>
      <c r="T132" s="0" t="str">
        <f aca="false">IF(OR($A132="",$D132=""),"",IF(AND(EDATE($D132,Milestones!$AA$152)&lt;=AsOfDate,EDATE($D132,Milestones!$AA$152)&gt;=SchemeStart,IF($X132=0,$AD132,IF(AND($Z132&lt;&gt;"",EDATE($D132,Milestones!$AA$152)&gt;=$Z132),$AC132,IF(AND($Y132&lt;&gt;"",EDATE($D132,Milestones!$AA$152)&gt;=$Y132),$AB132,$AA132)))=Milestones!$AB$152),UPPER(TEXT(EDATE($D132,Milestones!$AA$152),"dd mmm yy"))&amp;" "&amp;Milestones!$AB$152&amp;" "&amp;IF(AND(Milestones!$AB$152="FT",Milestones!$AA$152=FT_Y5,EDATE($D132,Milestones!$AA$152)&lt;PolicyEff),1,Milestones!$AC$152)&amp;";  ","")&amp;IF(AND(EDATE($D132,Milestones!$AA$153)&lt;=AsOfDate,EDATE($D132,Milestones!$AA$153)&gt;=SchemeStart,IF($X132=0,$AD132,IF(AND($Z132&lt;&gt;"",EDATE($D132,Milestones!$AA$153)&gt;=$Z132),$AC132,IF(AND($Y132&lt;&gt;"",EDATE($D132,Milestones!$AA$153)&gt;=$Y132),$AB132,$AA132)))=Milestones!$AB$153),UPPER(TEXT(EDATE($D132,Milestones!$AA$153),"dd mmm yy"))&amp;" "&amp;Milestones!$AB$153&amp;" "&amp;IF(AND(Milestones!$AB$153="FT",Milestones!$AA$153=FT_Y5,EDATE($D132,Milestones!$AA$153)&lt;PolicyEff),1,Milestones!$AC$153)&amp;";  ","")&amp;IF(AND(EDATE($D132,Milestones!$AA$154)&lt;=AsOfDate,EDATE($D132,Milestones!$AA$154)&gt;=SchemeStart,IF($X132=0,$AD132,IF(AND($Z132&lt;&gt;"",EDATE($D132,Milestones!$AA$154)&gt;=$Z132),$AC132,IF(AND($Y132&lt;&gt;"",EDATE($D132,Milestones!$AA$154)&gt;=$Y132),$AB132,$AA132)))=Milestones!$AB$154),UPPER(TEXT(EDATE($D132,Milestones!$AA$154),"dd mmm yy"))&amp;" "&amp;Milestones!$AB$154&amp;" "&amp;IF(AND(Milestones!$AB$154="FT",Milestones!$AA$154=FT_Y5,EDATE($D132,Milestones!$AA$154)&lt;PolicyEff),1,Milestones!$AC$154)&amp;";  ","")&amp;IF(AND(EDATE($D132,Milestones!$AA$155)&lt;=AsOfDate,EDATE($D132,Milestones!$AA$155)&gt;=SchemeStart,IF($X132=0,$AD132,IF(AND($Z132&lt;&gt;"",EDATE($D132,Milestones!$AA$155)&gt;=$Z132),$AC132,IF(AND($Y132&lt;&gt;"",EDATE($D132,Milestones!$AA$155)&gt;=$Y132),$AB132,$AA132)))=Milestones!$AB$155),UPPER(TEXT(EDATE($D132,Milestones!$AA$155),"dd mmm yy"))&amp;" "&amp;Milestones!$AB$155&amp;" "&amp;IF(AND(Milestones!$AB$155="FT",Milestones!$AA$155=FT_Y5,EDATE($D132,Milestones!$AA$155)&lt;PolicyEff),1,Milestones!$AC$155)&amp;";  ","")&amp;IF(AND(EDATE($D132,Milestones!$AA$156)&lt;=AsOfDate,EDATE($D132,Milestones!$AA$156)&gt;=SchemeStart,IF($X132=0,$AD132,IF(AND($Z132&lt;&gt;"",EDATE($D132,Milestones!$AA$156)&gt;=$Z132),$AC132,IF(AND($Y132&lt;&gt;"",EDATE($D132,Milestones!$AA$156)&gt;=$Y132),$AB132,$AA132)))=Milestones!$AB$156),UPPER(TEXT(EDATE($D132,Milestones!$AA$156),"dd mmm yy"))&amp;" "&amp;Milestones!$AB$156&amp;" "&amp;IF(AND(Milestones!$AB$156="FT",Milestones!$AA$156=FT_Y5,EDATE($D132,Milestones!$AA$156)&lt;PolicyEff),1,Milestones!$AC$156)&amp;";  ","")&amp;IF(AND(EDATE($D132,Milestones!$AA$157)&lt;=AsOfDate,EDATE($D132,Milestones!$AA$157)&gt;=SchemeStart,IF($X132=0,$AD132,IF(AND($Z132&lt;&gt;"",EDATE($D132,Milestones!$AA$157)&gt;=$Z132),$AC132,IF(AND($Y132&lt;&gt;"",EDATE($D132,Milestones!$AA$157)&gt;=$Y132),$AB132,$AA132)))=Milestones!$AB$157),UPPER(TEXT(EDATE($D132,Milestones!$AA$157),"dd mmm yy"))&amp;" "&amp;Milestones!$AB$157&amp;" "&amp;IF(AND(Milestones!$AB$157="FT",Milestones!$AA$157=FT_Y5,EDATE($D132,Milestones!$AA$157)&lt;PolicyEff),1,Milestones!$AC$157)&amp;";  ","")&amp;IF(AND(EDATE($D132,Milestones!$AA$158)&lt;=AsOfDate,EDATE($D132,Milestones!$AA$158)&gt;=SchemeStart,IF($X132=0,$AD132,IF(AND($Z132&lt;&gt;"",EDATE($D132,Milestones!$AA$158)&gt;=$Z132),$AC132,IF(AND($Y132&lt;&gt;"",EDATE($D132,Milestones!$AA$158)&gt;=$Y132),$AB132,$AA132)))=Milestones!$AB$158),UPPER(TEXT(EDATE($D132,Milestones!$AA$158),"dd mmm yy"))&amp;" "&amp;Milestones!$AB$158&amp;" "&amp;IF(AND(Milestones!$AB$158="FT",Milestones!$AA$158=FT_Y5,EDATE($D132,Milestones!$AA$158)&lt;PolicyEff),1,Milestones!$AC$158)&amp;";  ","")&amp;IF(AND(EDATE($D132,Milestones!$AA$159)&lt;=AsOfDate,EDATE($D132,Milestones!$AA$159)&gt;=SchemeStart,IF($X132=0,$AD132,IF(AND($Z132&lt;&gt;"",EDATE($D132,Milestones!$AA$159)&gt;=$Z132),$AC132,IF(AND($Y132&lt;&gt;"",EDATE($D132,Milestones!$AA$159)&gt;=$Y132),$AB132,$AA132)))=Milestones!$AB$159),UPPER(TEXT(EDATE($D132,Milestones!$AA$159),"dd mmm yy"))&amp;" "&amp;Milestones!$AB$159&amp;" "&amp;IF(AND(Milestones!$AB$159="FT",Milestones!$AA$159=FT_Y5,EDATE($D132,Milestones!$AA$159)&lt;PolicyEff),1,Milestones!$AC$159)&amp;";  ","")&amp;IF(AND(EDATE($D132,Milestones!$AA$160)&lt;=AsOfDate,EDATE($D132,Milestones!$AA$160)&gt;=SchemeStart,IF($X132=0,$AD132,IF(AND($Z132&lt;&gt;"",EDATE($D132,Milestones!$AA$160)&gt;=$Z132),$AC132,IF(AND($Y132&lt;&gt;"",EDATE($D132,Milestones!$AA$160)&gt;=$Y132),$AB132,$AA132)))=Milestones!$AB$160),UPPER(TEXT(EDATE($D132,Milestones!$AA$160),"dd mmm yy"))&amp;" "&amp;Milestones!$AB$160&amp;" "&amp;IF(AND(Milestones!$AB$160="FT",Milestones!$AA$160=FT_Y5,EDATE($D132,Milestones!$AA$160)&lt;PolicyEff),1,Milestones!$AC$160)&amp;";  ","")&amp;IF(AND(EDATE($D132,Milestones!$AA$161)&lt;=AsOfDate,EDATE($D132,Milestones!$AA$161)&gt;=SchemeStart,IF($X132=0,$AD132,IF(AND($Z132&lt;&gt;"",EDATE($D132,Milestones!$AA$161)&gt;=$Z132),$AC132,IF(AND($Y132&lt;&gt;"",EDATE($D132,Milestones!$AA$161)&gt;=$Y132),$AB132,$AA132)))=Milestones!$AB$161),UPPER(TEXT(EDATE($D132,Milestones!$AA$161),"dd mmm yy"))&amp;" "&amp;Milestones!$AB$161&amp;" "&amp;IF(AND(Milestones!$AB$161="FT",Milestones!$AA$161=FT_Y5,EDATE($D132,Milestones!$AA$161)&lt;PolicyEff),1,Milestones!$AC$161)&amp;";  ","")&amp;IF(AND(EDATE($D132,Milestones!$AA$162)&lt;=AsOfDate,EDATE($D132,Milestones!$AA$162)&gt;=SchemeStart,IF($X132=0,$AD132,IF(AND($Z132&lt;&gt;"",EDATE($D132,Milestones!$AA$162)&gt;=$Z132),$AC132,IF(AND($Y132&lt;&gt;"",EDATE($D132,Milestones!$AA$162)&gt;=$Y132),$AB132,$AA132)))=Milestones!$AB$162),UPPER(TEXT(EDATE($D132,Milestones!$AA$162),"dd mmm yy"))&amp;" "&amp;Milestones!$AB$162&amp;" "&amp;IF(AND(Milestones!$AB$162="FT",Milestones!$AA$162=FT_Y5,EDATE($D132,Milestones!$AA$162)&lt;PolicyEff),1,Milestones!$AC$162)&amp;";  ","")&amp;IF(AND(EDATE($D132,Milestones!$AA$163)&lt;=AsOfDate,EDATE($D132,Milestones!$AA$163)&gt;=SchemeStart,IF($X132=0,$AD132,IF(AND($Z132&lt;&gt;"",EDATE($D132,Milestones!$AA$163)&gt;=$Z132),$AC132,IF(AND($Y132&lt;&gt;"",EDATE($D132,Milestones!$AA$163)&gt;=$Y132),$AB132,$AA132)))=Milestones!$AB$163),UPPER(TEXT(EDATE($D132,Milestones!$AA$163),"dd mmm yy"))&amp;" "&amp;Milestones!$AB$163&amp;" "&amp;IF(AND(Milestones!$AB$163="FT",Milestones!$AA$163=FT_Y5,EDATE($D132,Milestones!$AA$163)&lt;PolicyEff),1,Milestones!$AC$163)&amp;";  ",""))</f>
        <v/>
      </c>
      <c r="U132" s="0" t="str">
        <f aca="false">IF(OR($A132="",$D132=""),"",IF(AND(EDATE($D132,Milestones!$AA$164)&lt;=AsOfDate,EDATE($D132,Milestones!$AA$164)&gt;=SchemeStart,IF($X132=0,$AD132,IF(AND($Z132&lt;&gt;"",EDATE($D132,Milestones!$AA$164)&gt;=$Z132),$AC132,IF(AND($Y132&lt;&gt;"",EDATE($D132,Milestones!$AA$164)&gt;=$Y132),$AB132,$AA132)))=Milestones!$AB$164),UPPER(TEXT(EDATE($D132,Milestones!$AA$164),"dd mmm yy"))&amp;" "&amp;Milestones!$AB$164&amp;" "&amp;IF(AND(Milestones!$AB$164="FT",Milestones!$AA$164=FT_Y5,EDATE($D132,Milestones!$AA$164)&lt;PolicyEff),1,Milestones!$AC$164)&amp;";  ","")&amp;IF(AND(EDATE($D132,Milestones!$AA$165)&lt;=AsOfDate,EDATE($D132,Milestones!$AA$165)&gt;=SchemeStart,IF($X132=0,$AD132,IF(AND($Z132&lt;&gt;"",EDATE($D132,Milestones!$AA$165)&gt;=$Z132),$AC132,IF(AND($Y132&lt;&gt;"",EDATE($D132,Milestones!$AA$165)&gt;=$Y132),$AB132,$AA132)))=Milestones!$AB$165),UPPER(TEXT(EDATE($D132,Milestones!$AA$165),"dd mmm yy"))&amp;" "&amp;Milestones!$AB$165&amp;" "&amp;IF(AND(Milestones!$AB$165="FT",Milestones!$AA$165=FT_Y5,EDATE($D132,Milestones!$AA$165)&lt;PolicyEff),1,Milestones!$AC$165)&amp;";  ","")&amp;IF(AND(EDATE($D132,Milestones!$AA$166)&lt;=AsOfDate,EDATE($D132,Milestones!$AA$166)&gt;=SchemeStart,IF($X132=0,$AD132,IF(AND($Z132&lt;&gt;"",EDATE($D132,Milestones!$AA$166)&gt;=$Z132),$AC132,IF(AND($Y132&lt;&gt;"",EDATE($D132,Milestones!$AA$166)&gt;=$Y132),$AB132,$AA132)))=Milestones!$AB$166),UPPER(TEXT(EDATE($D132,Milestones!$AA$166),"dd mmm yy"))&amp;" "&amp;Milestones!$AB$166&amp;" "&amp;IF(AND(Milestones!$AB$166="FT",Milestones!$AA$166=FT_Y5,EDATE($D132,Milestones!$AA$166)&lt;PolicyEff),1,Milestones!$AC$166)&amp;";  ","")&amp;IF(AND(EDATE($D132,Milestones!$AA$167)&lt;=AsOfDate,EDATE($D132,Milestones!$AA$167)&gt;=SchemeStart,IF($X132=0,$AD132,IF(AND($Z132&lt;&gt;"",EDATE($D132,Milestones!$AA$167)&gt;=$Z132),$AC132,IF(AND($Y132&lt;&gt;"",EDATE($D132,Milestones!$AA$167)&gt;=$Y132),$AB132,$AA132)))=Milestones!$AB$167),UPPER(TEXT(EDATE($D132,Milestones!$AA$167),"dd mmm yy"))&amp;" "&amp;Milestones!$AB$167&amp;" "&amp;IF(AND(Milestones!$AB$167="FT",Milestones!$AA$167=FT_Y5,EDATE($D132,Milestones!$AA$167)&lt;PolicyEff),1,Milestones!$AC$167)&amp;";  ","")&amp;IF(AND(EDATE($D132,Milestones!$AA$168)&lt;=AsOfDate,EDATE($D132,Milestones!$AA$168)&gt;=SchemeStart,IF($X132=0,$AD132,IF(AND($Z132&lt;&gt;"",EDATE($D132,Milestones!$AA$168)&gt;=$Z132),$AC132,IF(AND($Y132&lt;&gt;"",EDATE($D132,Milestones!$AA$168)&gt;=$Y132),$AB132,$AA132)))=Milestones!$AB$168),UPPER(TEXT(EDATE($D132,Milestones!$AA$168),"dd mmm yy"))&amp;" "&amp;Milestones!$AB$168&amp;" "&amp;IF(AND(Milestones!$AB$168="FT",Milestones!$AA$168=FT_Y5,EDATE($D132,Milestones!$AA$168)&lt;PolicyEff),1,Milestones!$AC$168)&amp;";  ","")&amp;IF(AND(EDATE($D132,Milestones!$AA$169)&lt;=AsOfDate,EDATE($D132,Milestones!$AA$169)&gt;=SchemeStart,IF($X132=0,$AD132,IF(AND($Z132&lt;&gt;"",EDATE($D132,Milestones!$AA$169)&gt;=$Z132),$AC132,IF(AND($Y132&lt;&gt;"",EDATE($D132,Milestones!$AA$169)&gt;=$Y132),$AB132,$AA132)))=Milestones!$AB$169),UPPER(TEXT(EDATE($D132,Milestones!$AA$169),"dd mmm yy"))&amp;" "&amp;Milestones!$AB$169&amp;" "&amp;IF(AND(Milestones!$AB$169="FT",Milestones!$AA$169=FT_Y5,EDATE($D132,Milestones!$AA$169)&lt;PolicyEff),1,Milestones!$AC$169)&amp;";  ","")&amp;IF(AND(EDATE($D132,Milestones!$AA$170)&lt;=AsOfDate,EDATE($D132,Milestones!$AA$170)&gt;=SchemeStart,IF($X132=0,$AD132,IF(AND($Z132&lt;&gt;"",EDATE($D132,Milestones!$AA$170)&gt;=$Z132),$AC132,IF(AND($Y132&lt;&gt;"",EDATE($D132,Milestones!$AA$170)&gt;=$Y132),$AB132,$AA132)))=Milestones!$AB$170),UPPER(TEXT(EDATE($D132,Milestones!$AA$170),"dd mmm yy"))&amp;" "&amp;Milestones!$AB$170&amp;" "&amp;IF(AND(Milestones!$AB$170="FT",Milestones!$AA$170=FT_Y5,EDATE($D132,Milestones!$AA$170)&lt;PolicyEff),1,Milestones!$AC$170)&amp;";  ","")&amp;IF(AND(EDATE($D132,Milestones!$AA$171)&lt;=AsOfDate,EDATE($D132,Milestones!$AA$171)&gt;=SchemeStart,IF($X132=0,$AD132,IF(AND($Z132&lt;&gt;"",EDATE($D132,Milestones!$AA$171)&gt;=$Z132),$AC132,IF(AND($Y132&lt;&gt;"",EDATE($D132,Milestones!$AA$171)&gt;=$Y132),$AB132,$AA132)))=Milestones!$AB$171),UPPER(TEXT(EDATE($D132,Milestones!$AA$171),"dd mmm yy"))&amp;" "&amp;Milestones!$AB$171&amp;" "&amp;IF(AND(Milestones!$AB$171="FT",Milestones!$AA$171=FT_Y5,EDATE($D132,Milestones!$AA$171)&lt;PolicyEff),1,Milestones!$AC$171)&amp;";  ","")&amp;IF(AND(EDATE($D132,Milestones!$AA$172)&lt;=AsOfDate,EDATE($D132,Milestones!$AA$172)&gt;=SchemeStart,IF($X132=0,$AD132,IF(AND($Z132&lt;&gt;"",EDATE($D132,Milestones!$AA$172)&gt;=$Z132),$AC132,IF(AND($Y132&lt;&gt;"",EDATE($D132,Milestones!$AA$172)&gt;=$Y132),$AB132,$AA132)))=Milestones!$AB$172),UPPER(TEXT(EDATE($D132,Milestones!$AA$172),"dd mmm yy"))&amp;" "&amp;Milestones!$AB$172&amp;" "&amp;IF(AND(Milestones!$AB$172="FT",Milestones!$AA$172=FT_Y5,EDATE($D132,Milestones!$AA$172)&lt;PolicyEff),1,Milestones!$AC$172)&amp;";  ","")&amp;IF(AND(EDATE($D132,Milestones!$AA$173)&lt;=AsOfDate,EDATE($D132,Milestones!$AA$173)&gt;=SchemeStart,IF($X132=0,$AD132,IF(AND($Z132&lt;&gt;"",EDATE($D132,Milestones!$AA$173)&gt;=$Z132),$AC132,IF(AND($Y132&lt;&gt;"",EDATE($D132,Milestones!$AA$173)&gt;=$Y132),$AB132,$AA132)))=Milestones!$AB$173),UPPER(TEXT(EDATE($D132,Milestones!$AA$173),"dd mmm yy"))&amp;" "&amp;Milestones!$AB$173&amp;" "&amp;IF(AND(Milestones!$AB$173="FT",Milestones!$AA$173=FT_Y5,EDATE($D132,Milestones!$AA$173)&lt;PolicyEff),1,Milestones!$AC$173)&amp;";  ","")&amp;IF(AND(EDATE($D132,Milestones!$AA$174)&lt;=AsOfDate,EDATE($D132,Milestones!$AA$174)&gt;=SchemeStart,IF($X132=0,$AD132,IF(AND($Z132&lt;&gt;"",EDATE($D132,Milestones!$AA$174)&gt;=$Z132),$AC132,IF(AND($Y132&lt;&gt;"",EDATE($D132,Milestones!$AA$174)&gt;=$Y132),$AB132,$AA132)))=Milestones!$AB$174),UPPER(TEXT(EDATE($D132,Milestones!$AA$174),"dd mmm yy"))&amp;" "&amp;Milestones!$AB$174&amp;" "&amp;IF(AND(Milestones!$AB$174="FT",Milestones!$AA$174=FT_Y5,EDATE($D132,Milestones!$AA$174)&lt;PolicyEff),1,Milestones!$AC$174)&amp;";  ","")&amp;IF(AND(EDATE($D132,Milestones!$AA$175)&lt;=AsOfDate,EDATE($D132,Milestones!$AA$175)&gt;=SchemeStart,IF($X132=0,$AD132,IF(AND($Z132&lt;&gt;"",EDATE($D132,Milestones!$AA$175)&gt;=$Z132),$AC132,IF(AND($Y132&lt;&gt;"",EDATE($D132,Milestones!$AA$175)&gt;=$Y132),$AB132,$AA132)))=Milestones!$AB$175),UPPER(TEXT(EDATE($D132,Milestones!$AA$175),"dd mmm yy"))&amp;" "&amp;Milestones!$AB$175&amp;" "&amp;IF(AND(Milestones!$AB$175="FT",Milestones!$AA$175=FT_Y5,EDATE($D132,Milestones!$AA$175)&lt;PolicyEff),1,Milestones!$AC$175)&amp;";  ",""))</f>
        <v/>
      </c>
      <c r="V132" s="0" t="str">
        <f aca="false">IF(OR($A132="",$D132=""),"",IF(AND(EDATE($D132,Milestones!$AA$176)&lt;=AsOfDate,EDATE($D132,Milestones!$AA$176)&gt;=SchemeStart,IF($X132=0,$AD132,IF(AND($Z132&lt;&gt;"",EDATE($D132,Milestones!$AA$176)&gt;=$Z132),$AC132,IF(AND($Y132&lt;&gt;"",EDATE($D132,Milestones!$AA$176)&gt;=$Y132),$AB132,$AA132)))=Milestones!$AB$176),UPPER(TEXT(EDATE($D132,Milestones!$AA$176),"dd mmm yy"))&amp;" "&amp;Milestones!$AB$176&amp;" "&amp;IF(AND(Milestones!$AB$176="FT",Milestones!$AA$176=FT_Y5,EDATE($D132,Milestones!$AA$176)&lt;PolicyEff),1,Milestones!$AC$176)&amp;";  ","")&amp;IF(AND(EDATE($D132,Milestones!$AA$177)&lt;=AsOfDate,EDATE($D132,Milestones!$AA$177)&gt;=SchemeStart,IF($X132=0,$AD132,IF(AND($Z132&lt;&gt;"",EDATE($D132,Milestones!$AA$177)&gt;=$Z132),$AC132,IF(AND($Y132&lt;&gt;"",EDATE($D132,Milestones!$AA$177)&gt;=$Y132),$AB132,$AA132)))=Milestones!$AB$177),UPPER(TEXT(EDATE($D132,Milestones!$AA$177),"dd mmm yy"))&amp;" "&amp;Milestones!$AB$177&amp;" "&amp;IF(AND(Milestones!$AB$177="FT",Milestones!$AA$177=FT_Y5,EDATE($D132,Milestones!$AA$177)&lt;PolicyEff),1,Milestones!$AC$177)&amp;";  ","")&amp;IF(AND(EDATE($D132,Milestones!$AA$178)&lt;=AsOfDate,EDATE($D132,Milestones!$AA$178)&gt;=SchemeStart,IF($X132=0,$AD132,IF(AND($Z132&lt;&gt;"",EDATE($D132,Milestones!$AA$178)&gt;=$Z132),$AC132,IF(AND($Y132&lt;&gt;"",EDATE($D132,Milestones!$AA$178)&gt;=$Y132),$AB132,$AA132)))=Milestones!$AB$178),UPPER(TEXT(EDATE($D132,Milestones!$AA$178),"dd mmm yy"))&amp;" "&amp;Milestones!$AB$178&amp;" "&amp;IF(AND(Milestones!$AB$178="FT",Milestones!$AA$178=FT_Y5,EDATE($D132,Milestones!$AA$178)&lt;PolicyEff),1,Milestones!$AC$178)&amp;";  ","")&amp;IF(AND(EDATE($D132,Milestones!$AA$179)&lt;=AsOfDate,EDATE($D132,Milestones!$AA$179)&gt;=SchemeStart,IF($X132=0,$AD132,IF(AND($Z132&lt;&gt;"",EDATE($D132,Milestones!$AA$179)&gt;=$Z132),$AC132,IF(AND($Y132&lt;&gt;"",EDATE($D132,Milestones!$AA$179)&gt;=$Y132),$AB132,$AA132)))=Milestones!$AB$179),UPPER(TEXT(EDATE($D132,Milestones!$AA$179),"dd mmm yy"))&amp;" "&amp;Milestones!$AB$179&amp;" "&amp;IF(AND(Milestones!$AB$179="FT",Milestones!$AA$179=FT_Y5,EDATE($D132,Milestones!$AA$179)&lt;PolicyEff),1,Milestones!$AC$179)&amp;";  ","")&amp;IF(AND(EDATE($D132,Milestones!$AA$180)&lt;=AsOfDate,EDATE($D132,Milestones!$AA$180)&gt;=SchemeStart,IF($X132=0,$AD132,IF(AND($Z132&lt;&gt;"",EDATE($D132,Milestones!$AA$180)&gt;=$Z132),$AC132,IF(AND($Y132&lt;&gt;"",EDATE($D132,Milestones!$AA$180)&gt;=$Y132),$AB132,$AA132)))=Milestones!$AB$180),UPPER(TEXT(EDATE($D132,Milestones!$AA$180),"dd mmm yy"))&amp;" "&amp;Milestones!$AB$180&amp;" "&amp;IF(AND(Milestones!$AB$180="FT",Milestones!$AA$180=FT_Y5,EDATE($D132,Milestones!$AA$180)&lt;PolicyEff),1,Milestones!$AC$180)&amp;";  ","")&amp;IF(AND(EDATE($D132,Milestones!$AA$181)&lt;=AsOfDate,EDATE($D132,Milestones!$AA$181)&gt;=SchemeStart,IF($X132=0,$AD132,IF(AND($Z132&lt;&gt;"",EDATE($D132,Milestones!$AA$181)&gt;=$Z132),$AC132,IF(AND($Y132&lt;&gt;"",EDATE($D132,Milestones!$AA$181)&gt;=$Y132),$AB132,$AA132)))=Milestones!$AB$181),UPPER(TEXT(EDATE($D132,Milestones!$AA$181),"dd mmm yy"))&amp;" "&amp;Milestones!$AB$181&amp;" "&amp;IF(AND(Milestones!$AB$181="FT",Milestones!$AA$181=FT_Y5,EDATE($D132,Milestones!$AA$181)&lt;PolicyEff),1,Milestones!$AC$181)&amp;";  ","")&amp;IF(AND(EDATE($D132,Milestones!$AA$182)&lt;=AsOfDate,EDATE($D132,Milestones!$AA$182)&gt;=SchemeStart,IF($X132=0,$AD132,IF(AND($Z132&lt;&gt;"",EDATE($D132,Milestones!$AA$182)&gt;=$Z132),$AC132,IF(AND($Y132&lt;&gt;"",EDATE($D132,Milestones!$AA$182)&gt;=$Y132),$AB132,$AA132)))=Milestones!$AB$182),UPPER(TEXT(EDATE($D132,Milestones!$AA$182),"dd mmm yy"))&amp;" "&amp;Milestones!$AB$182&amp;" "&amp;IF(AND(Milestones!$AB$182="FT",Milestones!$AA$182=FT_Y5,EDATE($D132,Milestones!$AA$182)&lt;PolicyEff),1,Milestones!$AC$182)&amp;";  ","")&amp;IF(AND(EDATE($D132,Milestones!$AA$183)&lt;=AsOfDate,EDATE($D132,Milestones!$AA$183)&gt;=SchemeStart,IF($X132=0,$AD132,IF(AND($Z132&lt;&gt;"",EDATE($D132,Milestones!$AA$183)&gt;=$Z132),$AC132,IF(AND($Y132&lt;&gt;"",EDATE($D132,Milestones!$AA$183)&gt;=$Y132),$AB132,$AA132)))=Milestones!$AB$183),UPPER(TEXT(EDATE($D132,Milestones!$AA$183),"dd mmm yy"))&amp;" "&amp;Milestones!$AB$183&amp;" "&amp;IF(AND(Milestones!$AB$183="FT",Milestones!$AA$183=FT_Y5,EDATE($D132,Milestones!$AA$183)&lt;PolicyEff),1,Milestones!$AC$183)&amp;";  ","")&amp;IF(AND(EDATE($D132,Milestones!$AA$184)&lt;=AsOfDate,EDATE($D132,Milestones!$AA$184)&gt;=SchemeStart,IF($X132=0,$AD132,IF(AND($Z132&lt;&gt;"",EDATE($D132,Milestones!$AA$184)&gt;=$Z132),$AC132,IF(AND($Y132&lt;&gt;"",EDATE($D132,Milestones!$AA$184)&gt;=$Y132),$AB132,$AA132)))=Milestones!$AB$184),UPPER(TEXT(EDATE($D132,Milestones!$AA$184),"dd mmm yy"))&amp;" "&amp;Milestones!$AB$184&amp;" "&amp;IF(AND(Milestones!$AB$184="FT",Milestones!$AA$184=FT_Y5,EDATE($D132,Milestones!$AA$184)&lt;PolicyEff),1,Milestones!$AC$184)&amp;";  ","")&amp;IF(AND(EDATE($D132,Milestones!$AA$185)&lt;=AsOfDate,EDATE($D132,Milestones!$AA$185)&gt;=SchemeStart,IF($X132=0,$AD132,IF(AND($Z132&lt;&gt;"",EDATE($D132,Milestones!$AA$185)&gt;=$Z132),$AC132,IF(AND($Y132&lt;&gt;"",EDATE($D132,Milestones!$AA$185)&gt;=$Y132),$AB132,$AA132)))=Milestones!$AB$185),UPPER(TEXT(EDATE($D132,Milestones!$AA$185),"dd mmm yy"))&amp;" "&amp;Milestones!$AB$185&amp;" "&amp;IF(AND(Milestones!$AB$185="FT",Milestones!$AA$185=FT_Y5,EDATE($D132,Milestones!$AA$185)&lt;PolicyEff),1,Milestones!$AC$185)&amp;";  ","")&amp;IF(AND(EDATE($D132,Milestones!$AA$186)&lt;=AsOfDate,EDATE($D132,Milestones!$AA$186)&gt;=SchemeStart,IF($X132=0,$AD132,IF(AND($Z132&lt;&gt;"",EDATE($D132,Milestones!$AA$186)&gt;=$Z132),$AC132,IF(AND($Y132&lt;&gt;"",EDATE($D132,Milestones!$AA$186)&gt;=$Y132),$AB132,$AA132)))=Milestones!$AB$186),UPPER(TEXT(EDATE($D132,Milestones!$AA$186),"dd mmm yy"))&amp;" "&amp;Milestones!$AB$186&amp;" "&amp;IF(AND(Milestones!$AB$186="FT",Milestones!$AA$186=FT_Y5,EDATE($D132,Milestones!$AA$186)&lt;PolicyEff),1,Milestones!$AC$186)&amp;";  ","")&amp;IF(AND(EDATE($D132,Milestones!$AA$187)&lt;=AsOfDate,EDATE($D132,Milestones!$AA$187)&gt;=SchemeStart,IF($X132=0,$AD132,IF(AND($Z132&lt;&gt;"",EDATE($D132,Milestones!$AA$187)&gt;=$Z132),$AC132,IF(AND($Y132&lt;&gt;"",EDATE($D132,Milestones!$AA$187)&gt;=$Y132),$AB132,$AA132)))=Milestones!$AB$187),UPPER(TEXT(EDATE($D132,Milestones!$AA$187),"dd mmm yy"))&amp;" "&amp;Milestones!$AB$187&amp;" "&amp;IF(AND(Milestones!$AB$187="FT",Milestones!$AA$187=FT_Y5,EDATE($D132,Milestones!$AA$187)&lt;PolicyEff),1,Milestones!$AC$187)&amp;";  ",""))</f>
        <v/>
      </c>
      <c r="W132" s="0" t="str">
        <f aca="false">IF(OR($A132="",$D132=""),"",IF(AND(EDATE($D132,Milestones!$AA$188)&lt;=AsOfDate,EDATE($D132,Milestones!$AA$188)&gt;=SchemeStart,IF($X132=0,$AD132,IF(AND($Z132&lt;&gt;"",EDATE($D132,Milestones!$AA$188)&gt;=$Z132),$AC132,IF(AND($Y132&lt;&gt;"",EDATE($D132,Milestones!$AA$188)&gt;=$Y132),$AB132,$AA132)))=Milestones!$AB$188),UPPER(TEXT(EDATE($D132,Milestones!$AA$188),"dd mmm yy"))&amp;" "&amp;Milestones!$AB$188&amp;" "&amp;IF(AND(Milestones!$AB$188="FT",Milestones!$AA$188=FT_Y5,EDATE($D132,Milestones!$AA$188)&lt;PolicyEff),1,Milestones!$AC$188)&amp;";  ","")&amp;IF(AND(EDATE($D132,Milestones!$AA$189)&lt;=AsOfDate,EDATE($D132,Milestones!$AA$189)&gt;=SchemeStart,IF($X132=0,$AD132,IF(AND($Z132&lt;&gt;"",EDATE($D132,Milestones!$AA$189)&gt;=$Z132),$AC132,IF(AND($Y132&lt;&gt;"",EDATE($D132,Milestones!$AA$189)&gt;=$Y132),$AB132,$AA132)))=Milestones!$AB$189),UPPER(TEXT(EDATE($D132,Milestones!$AA$189),"dd mmm yy"))&amp;" "&amp;Milestones!$AB$189&amp;" "&amp;IF(AND(Milestones!$AB$189="FT",Milestones!$AA$189=FT_Y5,EDATE($D132,Milestones!$AA$189)&lt;PolicyEff),1,Milestones!$AC$189)&amp;";  ","")&amp;IF(AND(EDATE($D132,Milestones!$AA$190)&lt;=AsOfDate,EDATE($D132,Milestones!$AA$190)&gt;=SchemeStart,IF($X132=0,$AD132,IF(AND($Z132&lt;&gt;"",EDATE($D132,Milestones!$AA$190)&gt;=$Z132),$AC132,IF(AND($Y132&lt;&gt;"",EDATE($D132,Milestones!$AA$190)&gt;=$Y132),$AB132,$AA132)))=Milestones!$AB$190),UPPER(TEXT(EDATE($D132,Milestones!$AA$190),"dd mmm yy"))&amp;" "&amp;Milestones!$AB$190&amp;" "&amp;IF(AND(Milestones!$AB$190="FT",Milestones!$AA$190=FT_Y5,EDATE($D132,Milestones!$AA$190)&lt;PolicyEff),1,Milestones!$AC$190)&amp;";  ","")&amp;IF(AND(EDATE($D132,Milestones!$AA$191)&lt;=AsOfDate,EDATE($D132,Milestones!$AA$191)&gt;=SchemeStart,IF($X132=0,$AD132,IF(AND($Z132&lt;&gt;"",EDATE($D132,Milestones!$AA$191)&gt;=$Z132),$AC132,IF(AND($Y132&lt;&gt;"",EDATE($D132,Milestones!$AA$191)&gt;=$Y132),$AB132,$AA132)))=Milestones!$AB$191),UPPER(TEXT(EDATE($D132,Milestones!$AA$191),"dd mmm yy"))&amp;" "&amp;Milestones!$AB$191&amp;" "&amp;IF(AND(Milestones!$AB$191="FT",Milestones!$AA$191=FT_Y5,EDATE($D132,Milestones!$AA$191)&lt;PolicyEff),1,Milestones!$AC$191)&amp;";  ","")&amp;IF(AND(EDATE($D132,Milestones!$AA$192)&lt;=AsOfDate,EDATE($D132,Milestones!$AA$192)&gt;=SchemeStart,IF($X132=0,$AD132,IF(AND($Z132&lt;&gt;"",EDATE($D132,Milestones!$AA$192)&gt;=$Z132),$AC132,IF(AND($Y132&lt;&gt;"",EDATE($D132,Milestones!$AA$192)&gt;=$Y132),$AB132,$AA132)))=Milestones!$AB$192),UPPER(TEXT(EDATE($D132,Milestones!$AA$192),"dd mmm yy"))&amp;" "&amp;Milestones!$AB$192&amp;" "&amp;IF(AND(Milestones!$AB$192="FT",Milestones!$AA$192=FT_Y5,EDATE($D132,Milestones!$AA$192)&lt;PolicyEff),1,Milestones!$AC$192)&amp;";  ","")&amp;IF(AND(EDATE($D132,Milestones!$AA$193)&lt;=AsOfDate,EDATE($D132,Milestones!$AA$193)&gt;=SchemeStart,IF($X132=0,$AD132,IF(AND($Z132&lt;&gt;"",EDATE($D132,Milestones!$AA$193)&gt;=$Z132),$AC132,IF(AND($Y132&lt;&gt;"",EDATE($D132,Milestones!$AA$193)&gt;=$Y132),$AB132,$AA132)))=Milestones!$AB$193),UPPER(TEXT(EDATE($D132,Milestones!$AA$193),"dd mmm yy"))&amp;" "&amp;Milestones!$AB$193&amp;" "&amp;IF(AND(Milestones!$AB$193="FT",Milestones!$AA$193=FT_Y5,EDATE($D132,Milestones!$AA$193)&lt;PolicyEff),1,Milestones!$AC$193)&amp;";  ","")&amp;IF(AND(EDATE($D132,Milestones!$AA$194)&lt;=AsOfDate,EDATE($D132,Milestones!$AA$194)&gt;=SchemeStart,IF($X132=0,$AD132,IF(AND($Z132&lt;&gt;"",EDATE($D132,Milestones!$AA$194)&gt;=$Z132),$AC132,IF(AND($Y132&lt;&gt;"",EDATE($D132,Milestones!$AA$194)&gt;=$Y132),$AB132,$AA132)))=Milestones!$AB$194),UPPER(TEXT(EDATE($D132,Milestones!$AA$194),"dd mmm yy"))&amp;" "&amp;Milestones!$AB$194&amp;" "&amp;IF(AND(Milestones!$AB$194="FT",Milestones!$AA$194=FT_Y5,EDATE($D132,Milestones!$AA$194)&lt;PolicyEff),1,Milestones!$AC$194)&amp;";  ","")&amp;IF(AND(EDATE($D132,Milestones!$AA$195)&lt;=AsOfDate,EDATE($D132,Milestones!$AA$195)&gt;=SchemeStart,IF($X132=0,$AD132,IF(AND($Z132&lt;&gt;"",EDATE($D132,Milestones!$AA$195)&gt;=$Z132),$AC132,IF(AND($Y132&lt;&gt;"",EDATE($D132,Milestones!$AA$195)&gt;=$Y132),$AB132,$AA132)))=Milestones!$AB$195),UPPER(TEXT(EDATE($D132,Milestones!$AA$195),"dd mmm yy"))&amp;" "&amp;Milestones!$AB$195&amp;" "&amp;IF(AND(Milestones!$AB$195="FT",Milestones!$AA$195=FT_Y5,EDATE($D132,Milestones!$AA$195)&lt;PolicyEff),1,Milestones!$AC$195)&amp;";  ","")&amp;IF(AND(EDATE($D132,Milestones!$AA$196)&lt;=AsOfDate,EDATE($D132,Milestones!$AA$196)&gt;=SchemeStart,IF($X132=0,$AD132,IF(AND($Z132&lt;&gt;"",EDATE($D132,Milestones!$AA$196)&gt;=$Z132),$AC132,IF(AND($Y132&lt;&gt;"",EDATE($D132,Milestones!$AA$196)&gt;=$Y132),$AB132,$AA132)))=Milestones!$AB$196),UPPER(TEXT(EDATE($D132,Milestones!$AA$196),"dd mmm yy"))&amp;" "&amp;Milestones!$AB$196&amp;" "&amp;IF(AND(Milestones!$AB$196="FT",Milestones!$AA$196=FT_Y5,EDATE($D132,Milestones!$AA$196)&lt;PolicyEff),1,Milestones!$AC$196)&amp;";  ","")&amp;IF(AND(EDATE($D132,Milestones!$AA$197)&lt;=AsOfDate,EDATE($D132,Milestones!$AA$197)&gt;=SchemeStart,IF($X132=0,$AD132,IF(AND($Z132&lt;&gt;"",EDATE($D132,Milestones!$AA$197)&gt;=$Z132),$AC132,IF(AND($Y132&lt;&gt;"",EDATE($D132,Milestones!$AA$197)&gt;=$Y132),$AB132,$AA132)))=Milestones!$AB$197),UPPER(TEXT(EDATE($D132,Milestones!$AA$197),"dd mmm yy"))&amp;" "&amp;Milestones!$AB$197&amp;" "&amp;IF(AND(Milestones!$AB$197="FT",Milestones!$AA$197=FT_Y5,EDATE($D132,Milestones!$AA$197)&lt;PolicyEff),1,Milestones!$AC$197)&amp;";  ","")&amp;IF(AND(EDATE($D132,Milestones!$AA$198)&lt;=AsOfDate,EDATE($D132,Milestones!$AA$198)&gt;=SchemeStart,IF($X132=0,$AD132,IF(AND($Z132&lt;&gt;"",EDATE($D132,Milestones!$AA$198)&gt;=$Z132),$AC132,IF(AND($Y132&lt;&gt;"",EDATE($D132,Milestones!$AA$198)&gt;=$Y132),$AB132,$AA132)))=Milestones!$AB$198),UPPER(TEXT(EDATE($D132,Milestones!$AA$198),"dd mmm yy"))&amp;" "&amp;Milestones!$AB$198&amp;" "&amp;IF(AND(Milestones!$AB$198="FT",Milestones!$AA$198=FT_Y5,EDATE($D132,Milestones!$AA$198)&lt;PolicyEff),1,Milestones!$AC$198)&amp;";  ","")&amp;IF(AND(EDATE($D132,Milestones!$AA$199)&lt;=AsOfDate,EDATE($D132,Milestones!$AA$199)&gt;=SchemeStart,IF($X132=0,$AD132,IF(AND($Z132&lt;&gt;"",EDATE($D132,Milestones!$AA$199)&gt;=$Z132),$AC132,IF(AND($Y132&lt;&gt;"",EDATE($D132,Milestones!$AA$199)&gt;=$Y132),$AB132,$AA132)))=Milestones!$AB$199),UPPER(TEXT(EDATE($D132,Milestones!$AA$199),"dd mmm yy"))&amp;" "&amp;Milestones!$AB$199&amp;" "&amp;IF(AND(Milestones!$AB$199="FT",Milestones!$AA$199=FT_Y5,EDATE($D132,Milestones!$AA$199)&lt;PolicyEff),1,Milestones!$AC$199)&amp;";  ",""))</f>
        <v/>
      </c>
      <c r="X132" s="0" t="str">
        <f aca="false">IF(Staff!$A132="","",Staff!$AM132)</f>
        <v/>
      </c>
      <c r="Y132" s="0" t="str">
        <f aca="false">IF(Staff!$A132="","",Staff!$AO132)</f>
        <v/>
      </c>
      <c r="Z132" s="0" t="str">
        <f aca="false">IF(Staff!$A132="","",Staff!$AP132)</f>
        <v/>
      </c>
      <c r="AA132" s="0" t="str">
        <f aca="false">IF(Staff!$A132="","",Staff!$AT132)</f>
        <v/>
      </c>
      <c r="AB132" s="0" t="str">
        <f aca="false">IF(Staff!$A132="","",Staff!$AU132)</f>
        <v/>
      </c>
      <c r="AC132" s="0" t="str">
        <f aca="false">IF(Staff!$A132="","",Staff!$AV132)</f>
        <v/>
      </c>
      <c r="AD132" s="0" t="str">
        <f aca="false">IF(Staff!$A132="","",Staff!$AW132)</f>
        <v/>
      </c>
    </row>
    <row r="133" customFormat="false" ht="15" hidden="false" customHeight="false" outlineLevel="0" collapsed="false">
      <c r="A133" s="16" t="str">
        <f aca="false">IF(Staff!$A133="","",Staff!$A133)</f>
        <v/>
      </c>
      <c r="B133" s="16" t="str">
        <f aca="false">IF(Staff!$A133="","",Staff!$B133)</f>
        <v/>
      </c>
      <c r="C133" s="16" t="str">
        <f aca="false">IF(Staff!$A133="","",Staff!$C133)</f>
        <v/>
      </c>
      <c r="D133" s="14" t="str">
        <f aca="false">IF(Staff!$A133="","",Staff!$AL133)</f>
        <v/>
      </c>
      <c r="E133" s="16" t="str">
        <f aca="false">IF(Staff!$A133="","",Staff!$O133)</f>
        <v/>
      </c>
      <c r="F133" s="16" t="str">
        <f aca="false">IF(E133="","",E133*HoursPerDay)</f>
        <v/>
      </c>
      <c r="G133" s="16" t="str">
        <f aca="false">IF(Staff!$A133="","",Staff!$AE133)</f>
        <v/>
      </c>
      <c r="H133" s="28" t="str">
        <f aca="false">IF($A133="","",I133&amp;J133&amp;K133&amp;L133&amp;M133&amp;N133&amp;O133&amp;P133&amp;Q133&amp;R133&amp;S133&amp;T133&amp;U133&amp;V133&amp;W133)</f>
        <v/>
      </c>
      <c r="I133" s="0" t="str">
        <f aca="false">IF(OR($A133="",$D133=""),"",IF(AND(EDATE($D133,Milestones!$AA$20)&lt;=AsOfDate,EDATE($D133,Milestones!$AA$20)&gt;=SchemeStart,IF($X133=0,$AD133,IF(AND($Z133&lt;&gt;"",EDATE($D133,Milestones!$AA$20)&gt;=$Z133),$AC133,IF(AND($Y133&lt;&gt;"",EDATE($D133,Milestones!$AA$20)&gt;=$Y133),$AB133,$AA133)))=Milestones!$AB$20),UPPER(TEXT(EDATE($D133,Milestones!$AA$20),"dd mmm yy"))&amp;" "&amp;Milestones!$AB$20&amp;" "&amp;IF(AND(Milestones!$AB$20="FT",Milestones!$AA$20=FT_Y5,EDATE($D133,Milestones!$AA$20)&lt;PolicyEff),1,Milestones!$AC$20)&amp;";  ","")&amp;IF(AND(EDATE($D133,Milestones!$AA$21)&lt;=AsOfDate,EDATE($D133,Milestones!$AA$21)&gt;=SchemeStart,IF($X133=0,$AD133,IF(AND($Z133&lt;&gt;"",EDATE($D133,Milestones!$AA$21)&gt;=$Z133),$AC133,IF(AND($Y133&lt;&gt;"",EDATE($D133,Milestones!$AA$21)&gt;=$Y133),$AB133,$AA133)))=Milestones!$AB$21),UPPER(TEXT(EDATE($D133,Milestones!$AA$21),"dd mmm yy"))&amp;" "&amp;Milestones!$AB$21&amp;" "&amp;IF(AND(Milestones!$AB$21="FT",Milestones!$AA$21=FT_Y5,EDATE($D133,Milestones!$AA$21)&lt;PolicyEff),1,Milestones!$AC$21)&amp;";  ","")&amp;IF(AND(EDATE($D133,Milestones!$AA$22)&lt;=AsOfDate,EDATE($D133,Milestones!$AA$22)&gt;=SchemeStart,IF($X133=0,$AD133,IF(AND($Z133&lt;&gt;"",EDATE($D133,Milestones!$AA$22)&gt;=$Z133),$AC133,IF(AND($Y133&lt;&gt;"",EDATE($D133,Milestones!$AA$22)&gt;=$Y133),$AB133,$AA133)))=Milestones!$AB$22),UPPER(TEXT(EDATE($D133,Milestones!$AA$22),"dd mmm yy"))&amp;" "&amp;Milestones!$AB$22&amp;" "&amp;IF(AND(Milestones!$AB$22="FT",Milestones!$AA$22=FT_Y5,EDATE($D133,Milestones!$AA$22)&lt;PolicyEff),1,Milestones!$AC$22)&amp;";  ","")&amp;IF(AND(EDATE($D133,Milestones!$AA$23)&lt;=AsOfDate,EDATE($D133,Milestones!$AA$23)&gt;=SchemeStart,IF($X133=0,$AD133,IF(AND($Z133&lt;&gt;"",EDATE($D133,Milestones!$AA$23)&gt;=$Z133),$AC133,IF(AND($Y133&lt;&gt;"",EDATE($D133,Milestones!$AA$23)&gt;=$Y133),$AB133,$AA133)))=Milestones!$AB$23),UPPER(TEXT(EDATE($D133,Milestones!$AA$23),"dd mmm yy"))&amp;" "&amp;Milestones!$AB$23&amp;" "&amp;IF(AND(Milestones!$AB$23="FT",Milestones!$AA$23=FT_Y5,EDATE($D133,Milestones!$AA$23)&lt;PolicyEff),1,Milestones!$AC$23)&amp;";  ","")&amp;IF(AND(EDATE($D133,Milestones!$AA$24)&lt;=AsOfDate,EDATE($D133,Milestones!$AA$24)&gt;=SchemeStart,IF($X133=0,$AD133,IF(AND($Z133&lt;&gt;"",EDATE($D133,Milestones!$AA$24)&gt;=$Z133),$AC133,IF(AND($Y133&lt;&gt;"",EDATE($D133,Milestones!$AA$24)&gt;=$Y133),$AB133,$AA133)))=Milestones!$AB$24),UPPER(TEXT(EDATE($D133,Milestones!$AA$24),"dd mmm yy"))&amp;" "&amp;Milestones!$AB$24&amp;" "&amp;IF(AND(Milestones!$AB$24="FT",Milestones!$AA$24=FT_Y5,EDATE($D133,Milestones!$AA$24)&lt;PolicyEff),1,Milestones!$AC$24)&amp;";  ","")&amp;IF(AND(EDATE($D133,Milestones!$AA$25)&lt;=AsOfDate,EDATE($D133,Milestones!$AA$25)&gt;=SchemeStart,IF($X133=0,$AD133,IF(AND($Z133&lt;&gt;"",EDATE($D133,Milestones!$AA$25)&gt;=$Z133),$AC133,IF(AND($Y133&lt;&gt;"",EDATE($D133,Milestones!$AA$25)&gt;=$Y133),$AB133,$AA133)))=Milestones!$AB$25),UPPER(TEXT(EDATE($D133,Milestones!$AA$25),"dd mmm yy"))&amp;" "&amp;Milestones!$AB$25&amp;" "&amp;IF(AND(Milestones!$AB$25="FT",Milestones!$AA$25=FT_Y5,EDATE($D133,Milestones!$AA$25)&lt;PolicyEff),1,Milestones!$AC$25)&amp;";  ","")&amp;IF(AND(EDATE($D133,Milestones!$AA$26)&lt;=AsOfDate,EDATE($D133,Milestones!$AA$26)&gt;=SchemeStart,IF($X133=0,$AD133,IF(AND($Z133&lt;&gt;"",EDATE($D133,Milestones!$AA$26)&gt;=$Z133),$AC133,IF(AND($Y133&lt;&gt;"",EDATE($D133,Milestones!$AA$26)&gt;=$Y133),$AB133,$AA133)))=Milestones!$AB$26),UPPER(TEXT(EDATE($D133,Milestones!$AA$26),"dd mmm yy"))&amp;" "&amp;Milestones!$AB$26&amp;" "&amp;IF(AND(Milestones!$AB$26="FT",Milestones!$AA$26=FT_Y5,EDATE($D133,Milestones!$AA$26)&lt;PolicyEff),1,Milestones!$AC$26)&amp;";  ","")&amp;IF(AND(EDATE($D133,Milestones!$AA$27)&lt;=AsOfDate,EDATE($D133,Milestones!$AA$27)&gt;=SchemeStart,IF($X133=0,$AD133,IF(AND($Z133&lt;&gt;"",EDATE($D133,Milestones!$AA$27)&gt;=$Z133),$AC133,IF(AND($Y133&lt;&gt;"",EDATE($D133,Milestones!$AA$27)&gt;=$Y133),$AB133,$AA133)))=Milestones!$AB$27),UPPER(TEXT(EDATE($D133,Milestones!$AA$27),"dd mmm yy"))&amp;" "&amp;Milestones!$AB$27&amp;" "&amp;IF(AND(Milestones!$AB$27="FT",Milestones!$AA$27=FT_Y5,EDATE($D133,Milestones!$AA$27)&lt;PolicyEff),1,Milestones!$AC$27)&amp;";  ","")&amp;IF(AND(EDATE($D133,Milestones!$AA$28)&lt;=AsOfDate,EDATE($D133,Milestones!$AA$28)&gt;=SchemeStart,IF($X133=0,$AD133,IF(AND($Z133&lt;&gt;"",EDATE($D133,Milestones!$AA$28)&gt;=$Z133),$AC133,IF(AND($Y133&lt;&gt;"",EDATE($D133,Milestones!$AA$28)&gt;=$Y133),$AB133,$AA133)))=Milestones!$AB$28),UPPER(TEXT(EDATE($D133,Milestones!$AA$28),"dd mmm yy"))&amp;" "&amp;Milestones!$AB$28&amp;" "&amp;IF(AND(Milestones!$AB$28="FT",Milestones!$AA$28=FT_Y5,EDATE($D133,Milestones!$AA$28)&lt;PolicyEff),1,Milestones!$AC$28)&amp;";  ","")&amp;IF(AND(EDATE($D133,Milestones!$AA$29)&lt;=AsOfDate,EDATE($D133,Milestones!$AA$29)&gt;=SchemeStart,IF($X133=0,$AD133,IF(AND($Z133&lt;&gt;"",EDATE($D133,Milestones!$AA$29)&gt;=$Z133),$AC133,IF(AND($Y133&lt;&gt;"",EDATE($D133,Milestones!$AA$29)&gt;=$Y133),$AB133,$AA133)))=Milestones!$AB$29),UPPER(TEXT(EDATE($D133,Milestones!$AA$29),"dd mmm yy"))&amp;" "&amp;Milestones!$AB$29&amp;" "&amp;IF(AND(Milestones!$AB$29="FT",Milestones!$AA$29=FT_Y5,EDATE($D133,Milestones!$AA$29)&lt;PolicyEff),1,Milestones!$AC$29)&amp;";  ","")&amp;IF(AND(EDATE($D133,Milestones!$AA$30)&lt;=AsOfDate,EDATE($D133,Milestones!$AA$30)&gt;=SchemeStart,IF($X133=0,$AD133,IF(AND($Z133&lt;&gt;"",EDATE($D133,Milestones!$AA$30)&gt;=$Z133),$AC133,IF(AND($Y133&lt;&gt;"",EDATE($D133,Milestones!$AA$30)&gt;=$Y133),$AB133,$AA133)))=Milestones!$AB$30),UPPER(TEXT(EDATE($D133,Milestones!$AA$30),"dd mmm yy"))&amp;" "&amp;Milestones!$AB$30&amp;" "&amp;IF(AND(Milestones!$AB$30="FT",Milestones!$AA$30=FT_Y5,EDATE($D133,Milestones!$AA$30)&lt;PolicyEff),1,Milestones!$AC$30)&amp;";  ","")&amp;IF(AND(EDATE($D133,Milestones!$AA$31)&lt;=AsOfDate,EDATE($D133,Milestones!$AA$31)&gt;=SchemeStart,IF($X133=0,$AD133,IF(AND($Z133&lt;&gt;"",EDATE($D133,Milestones!$AA$31)&gt;=$Z133),$AC133,IF(AND($Y133&lt;&gt;"",EDATE($D133,Milestones!$AA$31)&gt;=$Y133),$AB133,$AA133)))=Milestones!$AB$31),UPPER(TEXT(EDATE($D133,Milestones!$AA$31),"dd mmm yy"))&amp;" "&amp;Milestones!$AB$31&amp;" "&amp;IF(AND(Milestones!$AB$31="FT",Milestones!$AA$31=FT_Y5,EDATE($D133,Milestones!$AA$31)&lt;PolicyEff),1,Milestones!$AC$31)&amp;";  ",""))</f>
        <v/>
      </c>
      <c r="J133" s="0" t="str">
        <f aca="false">IF(OR($A133="",$D133=""),"",IF(AND(EDATE($D133,Milestones!$AA$32)&lt;=AsOfDate,EDATE($D133,Milestones!$AA$32)&gt;=SchemeStart,IF($X133=0,$AD133,IF(AND($Z133&lt;&gt;"",EDATE($D133,Milestones!$AA$32)&gt;=$Z133),$AC133,IF(AND($Y133&lt;&gt;"",EDATE($D133,Milestones!$AA$32)&gt;=$Y133),$AB133,$AA133)))=Milestones!$AB$32),UPPER(TEXT(EDATE($D133,Milestones!$AA$32),"dd mmm yy"))&amp;" "&amp;Milestones!$AB$32&amp;" "&amp;IF(AND(Milestones!$AB$32="FT",Milestones!$AA$32=FT_Y5,EDATE($D133,Milestones!$AA$32)&lt;PolicyEff),1,Milestones!$AC$32)&amp;";  ","")&amp;IF(AND(EDATE($D133,Milestones!$AA$33)&lt;=AsOfDate,EDATE($D133,Milestones!$AA$33)&gt;=SchemeStart,IF($X133=0,$AD133,IF(AND($Z133&lt;&gt;"",EDATE($D133,Milestones!$AA$33)&gt;=$Z133),$AC133,IF(AND($Y133&lt;&gt;"",EDATE($D133,Milestones!$AA$33)&gt;=$Y133),$AB133,$AA133)))=Milestones!$AB$33),UPPER(TEXT(EDATE($D133,Milestones!$AA$33),"dd mmm yy"))&amp;" "&amp;Milestones!$AB$33&amp;" "&amp;IF(AND(Milestones!$AB$33="FT",Milestones!$AA$33=FT_Y5,EDATE($D133,Milestones!$AA$33)&lt;PolicyEff),1,Milestones!$AC$33)&amp;";  ","")&amp;IF(AND(EDATE($D133,Milestones!$AA$34)&lt;=AsOfDate,EDATE($D133,Milestones!$AA$34)&gt;=SchemeStart,IF($X133=0,$AD133,IF(AND($Z133&lt;&gt;"",EDATE($D133,Milestones!$AA$34)&gt;=$Z133),$AC133,IF(AND($Y133&lt;&gt;"",EDATE($D133,Milestones!$AA$34)&gt;=$Y133),$AB133,$AA133)))=Milestones!$AB$34),UPPER(TEXT(EDATE($D133,Milestones!$AA$34),"dd mmm yy"))&amp;" "&amp;Milestones!$AB$34&amp;" "&amp;IF(AND(Milestones!$AB$34="FT",Milestones!$AA$34=FT_Y5,EDATE($D133,Milestones!$AA$34)&lt;PolicyEff),1,Milestones!$AC$34)&amp;";  ","")&amp;IF(AND(EDATE($D133,Milestones!$AA$35)&lt;=AsOfDate,EDATE($D133,Milestones!$AA$35)&gt;=SchemeStart,IF($X133=0,$AD133,IF(AND($Z133&lt;&gt;"",EDATE($D133,Milestones!$AA$35)&gt;=$Z133),$AC133,IF(AND($Y133&lt;&gt;"",EDATE($D133,Milestones!$AA$35)&gt;=$Y133),$AB133,$AA133)))=Milestones!$AB$35),UPPER(TEXT(EDATE($D133,Milestones!$AA$35),"dd mmm yy"))&amp;" "&amp;Milestones!$AB$35&amp;" "&amp;IF(AND(Milestones!$AB$35="FT",Milestones!$AA$35=FT_Y5,EDATE($D133,Milestones!$AA$35)&lt;PolicyEff),1,Milestones!$AC$35)&amp;";  ","")&amp;IF(AND(EDATE($D133,Milestones!$AA$36)&lt;=AsOfDate,EDATE($D133,Milestones!$AA$36)&gt;=SchemeStart,IF($X133=0,$AD133,IF(AND($Z133&lt;&gt;"",EDATE($D133,Milestones!$AA$36)&gt;=$Z133),$AC133,IF(AND($Y133&lt;&gt;"",EDATE($D133,Milestones!$AA$36)&gt;=$Y133),$AB133,$AA133)))=Milestones!$AB$36),UPPER(TEXT(EDATE($D133,Milestones!$AA$36),"dd mmm yy"))&amp;" "&amp;Milestones!$AB$36&amp;" "&amp;IF(AND(Milestones!$AB$36="FT",Milestones!$AA$36=FT_Y5,EDATE($D133,Milestones!$AA$36)&lt;PolicyEff),1,Milestones!$AC$36)&amp;";  ","")&amp;IF(AND(EDATE($D133,Milestones!$AA$37)&lt;=AsOfDate,EDATE($D133,Milestones!$AA$37)&gt;=SchemeStart,IF($X133=0,$AD133,IF(AND($Z133&lt;&gt;"",EDATE($D133,Milestones!$AA$37)&gt;=$Z133),$AC133,IF(AND($Y133&lt;&gt;"",EDATE($D133,Milestones!$AA$37)&gt;=$Y133),$AB133,$AA133)))=Milestones!$AB$37),UPPER(TEXT(EDATE($D133,Milestones!$AA$37),"dd mmm yy"))&amp;" "&amp;Milestones!$AB$37&amp;" "&amp;IF(AND(Milestones!$AB$37="FT",Milestones!$AA$37=FT_Y5,EDATE($D133,Milestones!$AA$37)&lt;PolicyEff),1,Milestones!$AC$37)&amp;";  ","")&amp;IF(AND(EDATE($D133,Milestones!$AA$38)&lt;=AsOfDate,EDATE($D133,Milestones!$AA$38)&gt;=SchemeStart,IF($X133=0,$AD133,IF(AND($Z133&lt;&gt;"",EDATE($D133,Milestones!$AA$38)&gt;=$Z133),$AC133,IF(AND($Y133&lt;&gt;"",EDATE($D133,Milestones!$AA$38)&gt;=$Y133),$AB133,$AA133)))=Milestones!$AB$38),UPPER(TEXT(EDATE($D133,Milestones!$AA$38),"dd mmm yy"))&amp;" "&amp;Milestones!$AB$38&amp;" "&amp;IF(AND(Milestones!$AB$38="FT",Milestones!$AA$38=FT_Y5,EDATE($D133,Milestones!$AA$38)&lt;PolicyEff),1,Milestones!$AC$38)&amp;";  ","")&amp;IF(AND(EDATE($D133,Milestones!$AA$39)&lt;=AsOfDate,EDATE($D133,Milestones!$AA$39)&gt;=SchemeStart,IF($X133=0,$AD133,IF(AND($Z133&lt;&gt;"",EDATE($D133,Milestones!$AA$39)&gt;=$Z133),$AC133,IF(AND($Y133&lt;&gt;"",EDATE($D133,Milestones!$AA$39)&gt;=$Y133),$AB133,$AA133)))=Milestones!$AB$39),UPPER(TEXT(EDATE($D133,Milestones!$AA$39),"dd mmm yy"))&amp;" "&amp;Milestones!$AB$39&amp;" "&amp;IF(AND(Milestones!$AB$39="FT",Milestones!$AA$39=FT_Y5,EDATE($D133,Milestones!$AA$39)&lt;PolicyEff),1,Milestones!$AC$39)&amp;";  ","")&amp;IF(AND(EDATE($D133,Milestones!$AA$40)&lt;=AsOfDate,EDATE($D133,Milestones!$AA$40)&gt;=SchemeStart,IF($X133=0,$AD133,IF(AND($Z133&lt;&gt;"",EDATE($D133,Milestones!$AA$40)&gt;=$Z133),$AC133,IF(AND($Y133&lt;&gt;"",EDATE($D133,Milestones!$AA$40)&gt;=$Y133),$AB133,$AA133)))=Milestones!$AB$40),UPPER(TEXT(EDATE($D133,Milestones!$AA$40),"dd mmm yy"))&amp;" "&amp;Milestones!$AB$40&amp;" "&amp;IF(AND(Milestones!$AB$40="FT",Milestones!$AA$40=FT_Y5,EDATE($D133,Milestones!$AA$40)&lt;PolicyEff),1,Milestones!$AC$40)&amp;";  ","")&amp;IF(AND(EDATE($D133,Milestones!$AA$41)&lt;=AsOfDate,EDATE($D133,Milestones!$AA$41)&gt;=SchemeStart,IF($X133=0,$AD133,IF(AND($Z133&lt;&gt;"",EDATE($D133,Milestones!$AA$41)&gt;=$Z133),$AC133,IF(AND($Y133&lt;&gt;"",EDATE($D133,Milestones!$AA$41)&gt;=$Y133),$AB133,$AA133)))=Milestones!$AB$41),UPPER(TEXT(EDATE($D133,Milestones!$AA$41),"dd mmm yy"))&amp;" "&amp;Milestones!$AB$41&amp;" "&amp;IF(AND(Milestones!$AB$41="FT",Milestones!$AA$41=FT_Y5,EDATE($D133,Milestones!$AA$41)&lt;PolicyEff),1,Milestones!$AC$41)&amp;";  ","")&amp;IF(AND(EDATE($D133,Milestones!$AA$42)&lt;=AsOfDate,EDATE($D133,Milestones!$AA$42)&gt;=SchemeStart,IF($X133=0,$AD133,IF(AND($Z133&lt;&gt;"",EDATE($D133,Milestones!$AA$42)&gt;=$Z133),$AC133,IF(AND($Y133&lt;&gt;"",EDATE($D133,Milestones!$AA$42)&gt;=$Y133),$AB133,$AA133)))=Milestones!$AB$42),UPPER(TEXT(EDATE($D133,Milestones!$AA$42),"dd mmm yy"))&amp;" "&amp;Milestones!$AB$42&amp;" "&amp;IF(AND(Milestones!$AB$42="FT",Milestones!$AA$42=FT_Y5,EDATE($D133,Milestones!$AA$42)&lt;PolicyEff),1,Milestones!$AC$42)&amp;";  ","")&amp;IF(AND(EDATE($D133,Milestones!$AA$43)&lt;=AsOfDate,EDATE($D133,Milestones!$AA$43)&gt;=SchemeStart,IF($X133=0,$AD133,IF(AND($Z133&lt;&gt;"",EDATE($D133,Milestones!$AA$43)&gt;=$Z133),$AC133,IF(AND($Y133&lt;&gt;"",EDATE($D133,Milestones!$AA$43)&gt;=$Y133),$AB133,$AA133)))=Milestones!$AB$43),UPPER(TEXT(EDATE($D133,Milestones!$AA$43),"dd mmm yy"))&amp;" "&amp;Milestones!$AB$43&amp;" "&amp;IF(AND(Milestones!$AB$43="FT",Milestones!$AA$43=FT_Y5,EDATE($D133,Milestones!$AA$43)&lt;PolicyEff),1,Milestones!$AC$43)&amp;";  ",""))</f>
        <v/>
      </c>
      <c r="K133" s="0" t="str">
        <f aca="false">IF(OR($A133="",$D133=""),"",IF(AND(EDATE($D133,Milestones!$AA$44)&lt;=AsOfDate,EDATE($D133,Milestones!$AA$44)&gt;=SchemeStart,IF($X133=0,$AD133,IF(AND($Z133&lt;&gt;"",EDATE($D133,Milestones!$AA$44)&gt;=$Z133),$AC133,IF(AND($Y133&lt;&gt;"",EDATE($D133,Milestones!$AA$44)&gt;=$Y133),$AB133,$AA133)))=Milestones!$AB$44),UPPER(TEXT(EDATE($D133,Milestones!$AA$44),"dd mmm yy"))&amp;" "&amp;Milestones!$AB$44&amp;" "&amp;IF(AND(Milestones!$AB$44="FT",Milestones!$AA$44=FT_Y5,EDATE($D133,Milestones!$AA$44)&lt;PolicyEff),1,Milestones!$AC$44)&amp;";  ","")&amp;IF(AND(EDATE($D133,Milestones!$AA$45)&lt;=AsOfDate,EDATE($D133,Milestones!$AA$45)&gt;=SchemeStart,IF($X133=0,$AD133,IF(AND($Z133&lt;&gt;"",EDATE($D133,Milestones!$AA$45)&gt;=$Z133),$AC133,IF(AND($Y133&lt;&gt;"",EDATE($D133,Milestones!$AA$45)&gt;=$Y133),$AB133,$AA133)))=Milestones!$AB$45),UPPER(TEXT(EDATE($D133,Milestones!$AA$45),"dd mmm yy"))&amp;" "&amp;Milestones!$AB$45&amp;" "&amp;IF(AND(Milestones!$AB$45="FT",Milestones!$AA$45=FT_Y5,EDATE($D133,Milestones!$AA$45)&lt;PolicyEff),1,Milestones!$AC$45)&amp;";  ","")&amp;IF(AND(EDATE($D133,Milestones!$AA$46)&lt;=AsOfDate,EDATE($D133,Milestones!$AA$46)&gt;=SchemeStart,IF($X133=0,$AD133,IF(AND($Z133&lt;&gt;"",EDATE($D133,Milestones!$AA$46)&gt;=$Z133),$AC133,IF(AND($Y133&lt;&gt;"",EDATE($D133,Milestones!$AA$46)&gt;=$Y133),$AB133,$AA133)))=Milestones!$AB$46),UPPER(TEXT(EDATE($D133,Milestones!$AA$46),"dd mmm yy"))&amp;" "&amp;Milestones!$AB$46&amp;" "&amp;IF(AND(Milestones!$AB$46="FT",Milestones!$AA$46=FT_Y5,EDATE($D133,Milestones!$AA$46)&lt;PolicyEff),1,Milestones!$AC$46)&amp;";  ","")&amp;IF(AND(EDATE($D133,Milestones!$AA$47)&lt;=AsOfDate,EDATE($D133,Milestones!$AA$47)&gt;=SchemeStart,IF($X133=0,$AD133,IF(AND($Z133&lt;&gt;"",EDATE($D133,Milestones!$AA$47)&gt;=$Z133),$AC133,IF(AND($Y133&lt;&gt;"",EDATE($D133,Milestones!$AA$47)&gt;=$Y133),$AB133,$AA133)))=Milestones!$AB$47),UPPER(TEXT(EDATE($D133,Milestones!$AA$47),"dd mmm yy"))&amp;" "&amp;Milestones!$AB$47&amp;" "&amp;IF(AND(Milestones!$AB$47="FT",Milestones!$AA$47=FT_Y5,EDATE($D133,Milestones!$AA$47)&lt;PolicyEff),1,Milestones!$AC$47)&amp;";  ","")&amp;IF(AND(EDATE($D133,Milestones!$AA$48)&lt;=AsOfDate,EDATE($D133,Milestones!$AA$48)&gt;=SchemeStart,IF($X133=0,$AD133,IF(AND($Z133&lt;&gt;"",EDATE($D133,Milestones!$AA$48)&gt;=$Z133),$AC133,IF(AND($Y133&lt;&gt;"",EDATE($D133,Milestones!$AA$48)&gt;=$Y133),$AB133,$AA133)))=Milestones!$AB$48),UPPER(TEXT(EDATE($D133,Milestones!$AA$48),"dd mmm yy"))&amp;" "&amp;Milestones!$AB$48&amp;" "&amp;IF(AND(Milestones!$AB$48="FT",Milestones!$AA$48=FT_Y5,EDATE($D133,Milestones!$AA$48)&lt;PolicyEff),1,Milestones!$AC$48)&amp;";  ","")&amp;IF(AND(EDATE($D133,Milestones!$AA$49)&lt;=AsOfDate,EDATE($D133,Milestones!$AA$49)&gt;=SchemeStart,IF($X133=0,$AD133,IF(AND($Z133&lt;&gt;"",EDATE($D133,Milestones!$AA$49)&gt;=$Z133),$AC133,IF(AND($Y133&lt;&gt;"",EDATE($D133,Milestones!$AA$49)&gt;=$Y133),$AB133,$AA133)))=Milestones!$AB$49),UPPER(TEXT(EDATE($D133,Milestones!$AA$49),"dd mmm yy"))&amp;" "&amp;Milestones!$AB$49&amp;" "&amp;IF(AND(Milestones!$AB$49="FT",Milestones!$AA$49=FT_Y5,EDATE($D133,Milestones!$AA$49)&lt;PolicyEff),1,Milestones!$AC$49)&amp;";  ","")&amp;IF(AND(EDATE($D133,Milestones!$AA$50)&lt;=AsOfDate,EDATE($D133,Milestones!$AA$50)&gt;=SchemeStart,IF($X133=0,$AD133,IF(AND($Z133&lt;&gt;"",EDATE($D133,Milestones!$AA$50)&gt;=$Z133),$AC133,IF(AND($Y133&lt;&gt;"",EDATE($D133,Milestones!$AA$50)&gt;=$Y133),$AB133,$AA133)))=Milestones!$AB$50),UPPER(TEXT(EDATE($D133,Milestones!$AA$50),"dd mmm yy"))&amp;" "&amp;Milestones!$AB$50&amp;" "&amp;IF(AND(Milestones!$AB$50="FT",Milestones!$AA$50=FT_Y5,EDATE($D133,Milestones!$AA$50)&lt;PolicyEff),1,Milestones!$AC$50)&amp;";  ","")&amp;IF(AND(EDATE($D133,Milestones!$AA$51)&lt;=AsOfDate,EDATE($D133,Milestones!$AA$51)&gt;=SchemeStart,IF($X133=0,$AD133,IF(AND($Z133&lt;&gt;"",EDATE($D133,Milestones!$AA$51)&gt;=$Z133),$AC133,IF(AND($Y133&lt;&gt;"",EDATE($D133,Milestones!$AA$51)&gt;=$Y133),$AB133,$AA133)))=Milestones!$AB$51),UPPER(TEXT(EDATE($D133,Milestones!$AA$51),"dd mmm yy"))&amp;" "&amp;Milestones!$AB$51&amp;" "&amp;IF(AND(Milestones!$AB$51="FT",Milestones!$AA$51=FT_Y5,EDATE($D133,Milestones!$AA$51)&lt;PolicyEff),1,Milestones!$AC$51)&amp;";  ","")&amp;IF(AND(EDATE($D133,Milestones!$AA$52)&lt;=AsOfDate,EDATE($D133,Milestones!$AA$52)&gt;=SchemeStart,IF($X133=0,$AD133,IF(AND($Z133&lt;&gt;"",EDATE($D133,Milestones!$AA$52)&gt;=$Z133),$AC133,IF(AND($Y133&lt;&gt;"",EDATE($D133,Milestones!$AA$52)&gt;=$Y133),$AB133,$AA133)))=Milestones!$AB$52),UPPER(TEXT(EDATE($D133,Milestones!$AA$52),"dd mmm yy"))&amp;" "&amp;Milestones!$AB$52&amp;" "&amp;IF(AND(Milestones!$AB$52="FT",Milestones!$AA$52=FT_Y5,EDATE($D133,Milestones!$AA$52)&lt;PolicyEff),1,Milestones!$AC$52)&amp;";  ","")&amp;IF(AND(EDATE($D133,Milestones!$AA$53)&lt;=AsOfDate,EDATE($D133,Milestones!$AA$53)&gt;=SchemeStart,IF($X133=0,$AD133,IF(AND($Z133&lt;&gt;"",EDATE($D133,Milestones!$AA$53)&gt;=$Z133),$AC133,IF(AND($Y133&lt;&gt;"",EDATE($D133,Milestones!$AA$53)&gt;=$Y133),$AB133,$AA133)))=Milestones!$AB$53),UPPER(TEXT(EDATE($D133,Milestones!$AA$53),"dd mmm yy"))&amp;" "&amp;Milestones!$AB$53&amp;" "&amp;IF(AND(Milestones!$AB$53="FT",Milestones!$AA$53=FT_Y5,EDATE($D133,Milestones!$AA$53)&lt;PolicyEff),1,Milestones!$AC$53)&amp;";  ","")&amp;IF(AND(EDATE($D133,Milestones!$AA$54)&lt;=AsOfDate,EDATE($D133,Milestones!$AA$54)&gt;=SchemeStart,IF($X133=0,$AD133,IF(AND($Z133&lt;&gt;"",EDATE($D133,Milestones!$AA$54)&gt;=$Z133),$AC133,IF(AND($Y133&lt;&gt;"",EDATE($D133,Milestones!$AA$54)&gt;=$Y133),$AB133,$AA133)))=Milestones!$AB$54),UPPER(TEXT(EDATE($D133,Milestones!$AA$54),"dd mmm yy"))&amp;" "&amp;Milestones!$AB$54&amp;" "&amp;IF(AND(Milestones!$AB$54="FT",Milestones!$AA$54=FT_Y5,EDATE($D133,Milestones!$AA$54)&lt;PolicyEff),1,Milestones!$AC$54)&amp;";  ","")&amp;IF(AND(EDATE($D133,Milestones!$AA$55)&lt;=AsOfDate,EDATE($D133,Milestones!$AA$55)&gt;=SchemeStart,IF($X133=0,$AD133,IF(AND($Z133&lt;&gt;"",EDATE($D133,Milestones!$AA$55)&gt;=$Z133),$AC133,IF(AND($Y133&lt;&gt;"",EDATE($D133,Milestones!$AA$55)&gt;=$Y133),$AB133,$AA133)))=Milestones!$AB$55),UPPER(TEXT(EDATE($D133,Milestones!$AA$55),"dd mmm yy"))&amp;" "&amp;Milestones!$AB$55&amp;" "&amp;IF(AND(Milestones!$AB$55="FT",Milestones!$AA$55=FT_Y5,EDATE($D133,Milestones!$AA$55)&lt;PolicyEff),1,Milestones!$AC$55)&amp;";  ",""))</f>
        <v/>
      </c>
      <c r="L133" s="0" t="str">
        <f aca="false">IF(OR($A133="",$D133=""),"",IF(AND(EDATE($D133,Milestones!$AA$56)&lt;=AsOfDate,EDATE($D133,Milestones!$AA$56)&gt;=SchemeStart,IF($X133=0,$AD133,IF(AND($Z133&lt;&gt;"",EDATE($D133,Milestones!$AA$56)&gt;=$Z133),$AC133,IF(AND($Y133&lt;&gt;"",EDATE($D133,Milestones!$AA$56)&gt;=$Y133),$AB133,$AA133)))=Milestones!$AB$56),UPPER(TEXT(EDATE($D133,Milestones!$AA$56),"dd mmm yy"))&amp;" "&amp;Milestones!$AB$56&amp;" "&amp;IF(AND(Milestones!$AB$56="FT",Milestones!$AA$56=FT_Y5,EDATE($D133,Milestones!$AA$56)&lt;PolicyEff),1,Milestones!$AC$56)&amp;";  ","")&amp;IF(AND(EDATE($D133,Milestones!$AA$57)&lt;=AsOfDate,EDATE($D133,Milestones!$AA$57)&gt;=SchemeStart,IF($X133=0,$AD133,IF(AND($Z133&lt;&gt;"",EDATE($D133,Milestones!$AA$57)&gt;=$Z133),$AC133,IF(AND($Y133&lt;&gt;"",EDATE($D133,Milestones!$AA$57)&gt;=$Y133),$AB133,$AA133)))=Milestones!$AB$57),UPPER(TEXT(EDATE($D133,Milestones!$AA$57),"dd mmm yy"))&amp;" "&amp;Milestones!$AB$57&amp;" "&amp;IF(AND(Milestones!$AB$57="FT",Milestones!$AA$57=FT_Y5,EDATE($D133,Milestones!$AA$57)&lt;PolicyEff),1,Milestones!$AC$57)&amp;";  ","")&amp;IF(AND(EDATE($D133,Milestones!$AA$58)&lt;=AsOfDate,EDATE($D133,Milestones!$AA$58)&gt;=SchemeStart,IF($X133=0,$AD133,IF(AND($Z133&lt;&gt;"",EDATE($D133,Milestones!$AA$58)&gt;=$Z133),$AC133,IF(AND($Y133&lt;&gt;"",EDATE($D133,Milestones!$AA$58)&gt;=$Y133),$AB133,$AA133)))=Milestones!$AB$58),UPPER(TEXT(EDATE($D133,Milestones!$AA$58),"dd mmm yy"))&amp;" "&amp;Milestones!$AB$58&amp;" "&amp;IF(AND(Milestones!$AB$58="FT",Milestones!$AA$58=FT_Y5,EDATE($D133,Milestones!$AA$58)&lt;PolicyEff),1,Milestones!$AC$58)&amp;";  ","")&amp;IF(AND(EDATE($D133,Milestones!$AA$59)&lt;=AsOfDate,EDATE($D133,Milestones!$AA$59)&gt;=SchemeStart,IF($X133=0,$AD133,IF(AND($Z133&lt;&gt;"",EDATE($D133,Milestones!$AA$59)&gt;=$Z133),$AC133,IF(AND($Y133&lt;&gt;"",EDATE($D133,Milestones!$AA$59)&gt;=$Y133),$AB133,$AA133)))=Milestones!$AB$59),UPPER(TEXT(EDATE($D133,Milestones!$AA$59),"dd mmm yy"))&amp;" "&amp;Milestones!$AB$59&amp;" "&amp;IF(AND(Milestones!$AB$59="FT",Milestones!$AA$59=FT_Y5,EDATE($D133,Milestones!$AA$59)&lt;PolicyEff),1,Milestones!$AC$59)&amp;";  ","")&amp;IF(AND(EDATE($D133,Milestones!$AA$60)&lt;=AsOfDate,EDATE($D133,Milestones!$AA$60)&gt;=SchemeStart,IF($X133=0,$AD133,IF(AND($Z133&lt;&gt;"",EDATE($D133,Milestones!$AA$60)&gt;=$Z133),$AC133,IF(AND($Y133&lt;&gt;"",EDATE($D133,Milestones!$AA$60)&gt;=$Y133),$AB133,$AA133)))=Milestones!$AB$60),UPPER(TEXT(EDATE($D133,Milestones!$AA$60),"dd mmm yy"))&amp;" "&amp;Milestones!$AB$60&amp;" "&amp;IF(AND(Milestones!$AB$60="FT",Milestones!$AA$60=FT_Y5,EDATE($D133,Milestones!$AA$60)&lt;PolicyEff),1,Milestones!$AC$60)&amp;";  ","")&amp;IF(AND(EDATE($D133,Milestones!$AA$61)&lt;=AsOfDate,EDATE($D133,Milestones!$AA$61)&gt;=SchemeStart,IF($X133=0,$AD133,IF(AND($Z133&lt;&gt;"",EDATE($D133,Milestones!$AA$61)&gt;=$Z133),$AC133,IF(AND($Y133&lt;&gt;"",EDATE($D133,Milestones!$AA$61)&gt;=$Y133),$AB133,$AA133)))=Milestones!$AB$61),UPPER(TEXT(EDATE($D133,Milestones!$AA$61),"dd mmm yy"))&amp;" "&amp;Milestones!$AB$61&amp;" "&amp;IF(AND(Milestones!$AB$61="FT",Milestones!$AA$61=FT_Y5,EDATE($D133,Milestones!$AA$61)&lt;PolicyEff),1,Milestones!$AC$61)&amp;";  ","")&amp;IF(AND(EDATE($D133,Milestones!$AA$62)&lt;=AsOfDate,EDATE($D133,Milestones!$AA$62)&gt;=SchemeStart,IF($X133=0,$AD133,IF(AND($Z133&lt;&gt;"",EDATE($D133,Milestones!$AA$62)&gt;=$Z133),$AC133,IF(AND($Y133&lt;&gt;"",EDATE($D133,Milestones!$AA$62)&gt;=$Y133),$AB133,$AA133)))=Milestones!$AB$62),UPPER(TEXT(EDATE($D133,Milestones!$AA$62),"dd mmm yy"))&amp;" "&amp;Milestones!$AB$62&amp;" "&amp;IF(AND(Milestones!$AB$62="FT",Milestones!$AA$62=FT_Y5,EDATE($D133,Milestones!$AA$62)&lt;PolicyEff),1,Milestones!$AC$62)&amp;";  ","")&amp;IF(AND(EDATE($D133,Milestones!$AA$63)&lt;=AsOfDate,EDATE($D133,Milestones!$AA$63)&gt;=SchemeStart,IF($X133=0,$AD133,IF(AND($Z133&lt;&gt;"",EDATE($D133,Milestones!$AA$63)&gt;=$Z133),$AC133,IF(AND($Y133&lt;&gt;"",EDATE($D133,Milestones!$AA$63)&gt;=$Y133),$AB133,$AA133)))=Milestones!$AB$63),UPPER(TEXT(EDATE($D133,Milestones!$AA$63),"dd mmm yy"))&amp;" "&amp;Milestones!$AB$63&amp;" "&amp;IF(AND(Milestones!$AB$63="FT",Milestones!$AA$63=FT_Y5,EDATE($D133,Milestones!$AA$63)&lt;PolicyEff),1,Milestones!$AC$63)&amp;";  ","")&amp;IF(AND(EDATE($D133,Milestones!$AA$64)&lt;=AsOfDate,EDATE($D133,Milestones!$AA$64)&gt;=SchemeStart,IF($X133=0,$AD133,IF(AND($Z133&lt;&gt;"",EDATE($D133,Milestones!$AA$64)&gt;=$Z133),$AC133,IF(AND($Y133&lt;&gt;"",EDATE($D133,Milestones!$AA$64)&gt;=$Y133),$AB133,$AA133)))=Milestones!$AB$64),UPPER(TEXT(EDATE($D133,Milestones!$AA$64),"dd mmm yy"))&amp;" "&amp;Milestones!$AB$64&amp;" "&amp;IF(AND(Milestones!$AB$64="FT",Milestones!$AA$64=FT_Y5,EDATE($D133,Milestones!$AA$64)&lt;PolicyEff),1,Milestones!$AC$64)&amp;";  ","")&amp;IF(AND(EDATE($D133,Milestones!$AA$65)&lt;=AsOfDate,EDATE($D133,Milestones!$AA$65)&gt;=SchemeStart,IF($X133=0,$AD133,IF(AND($Z133&lt;&gt;"",EDATE($D133,Milestones!$AA$65)&gt;=$Z133),$AC133,IF(AND($Y133&lt;&gt;"",EDATE($D133,Milestones!$AA$65)&gt;=$Y133),$AB133,$AA133)))=Milestones!$AB$65),UPPER(TEXT(EDATE($D133,Milestones!$AA$65),"dd mmm yy"))&amp;" "&amp;Milestones!$AB$65&amp;" "&amp;IF(AND(Milestones!$AB$65="FT",Milestones!$AA$65=FT_Y5,EDATE($D133,Milestones!$AA$65)&lt;PolicyEff),1,Milestones!$AC$65)&amp;";  ","")&amp;IF(AND(EDATE($D133,Milestones!$AA$66)&lt;=AsOfDate,EDATE($D133,Milestones!$AA$66)&gt;=SchemeStart,IF($X133=0,$AD133,IF(AND($Z133&lt;&gt;"",EDATE($D133,Milestones!$AA$66)&gt;=$Z133),$AC133,IF(AND($Y133&lt;&gt;"",EDATE($D133,Milestones!$AA$66)&gt;=$Y133),$AB133,$AA133)))=Milestones!$AB$66),UPPER(TEXT(EDATE($D133,Milestones!$AA$66),"dd mmm yy"))&amp;" "&amp;Milestones!$AB$66&amp;" "&amp;IF(AND(Milestones!$AB$66="FT",Milestones!$AA$66=FT_Y5,EDATE($D133,Milestones!$AA$66)&lt;PolicyEff),1,Milestones!$AC$66)&amp;";  ","")&amp;IF(AND(EDATE($D133,Milestones!$AA$67)&lt;=AsOfDate,EDATE($D133,Milestones!$AA$67)&gt;=SchemeStart,IF($X133=0,$AD133,IF(AND($Z133&lt;&gt;"",EDATE($D133,Milestones!$AA$67)&gt;=$Z133),$AC133,IF(AND($Y133&lt;&gt;"",EDATE($D133,Milestones!$AA$67)&gt;=$Y133),$AB133,$AA133)))=Milestones!$AB$67),UPPER(TEXT(EDATE($D133,Milestones!$AA$67),"dd mmm yy"))&amp;" "&amp;Milestones!$AB$67&amp;" "&amp;IF(AND(Milestones!$AB$67="FT",Milestones!$AA$67=FT_Y5,EDATE($D133,Milestones!$AA$67)&lt;PolicyEff),1,Milestones!$AC$67)&amp;";  ",""))</f>
        <v/>
      </c>
      <c r="M133" s="0" t="str">
        <f aca="false">IF(OR($A133="",$D133=""),"",IF(AND(EDATE($D133,Milestones!$AA$68)&lt;=AsOfDate,EDATE($D133,Milestones!$AA$68)&gt;=SchemeStart,IF($X133=0,$AD133,IF(AND($Z133&lt;&gt;"",EDATE($D133,Milestones!$AA$68)&gt;=$Z133),$AC133,IF(AND($Y133&lt;&gt;"",EDATE($D133,Milestones!$AA$68)&gt;=$Y133),$AB133,$AA133)))=Milestones!$AB$68),UPPER(TEXT(EDATE($D133,Milestones!$AA$68),"dd mmm yy"))&amp;" "&amp;Milestones!$AB$68&amp;" "&amp;IF(AND(Milestones!$AB$68="FT",Milestones!$AA$68=FT_Y5,EDATE($D133,Milestones!$AA$68)&lt;PolicyEff),1,Milestones!$AC$68)&amp;";  ","")&amp;IF(AND(EDATE($D133,Milestones!$AA$69)&lt;=AsOfDate,EDATE($D133,Milestones!$AA$69)&gt;=SchemeStart,IF($X133=0,$AD133,IF(AND($Z133&lt;&gt;"",EDATE($D133,Milestones!$AA$69)&gt;=$Z133),$AC133,IF(AND($Y133&lt;&gt;"",EDATE($D133,Milestones!$AA$69)&gt;=$Y133),$AB133,$AA133)))=Milestones!$AB$69),UPPER(TEXT(EDATE($D133,Milestones!$AA$69),"dd mmm yy"))&amp;" "&amp;Milestones!$AB$69&amp;" "&amp;IF(AND(Milestones!$AB$69="FT",Milestones!$AA$69=FT_Y5,EDATE($D133,Milestones!$AA$69)&lt;PolicyEff),1,Milestones!$AC$69)&amp;";  ","")&amp;IF(AND(EDATE($D133,Milestones!$AA$70)&lt;=AsOfDate,EDATE($D133,Milestones!$AA$70)&gt;=SchemeStart,IF($X133=0,$AD133,IF(AND($Z133&lt;&gt;"",EDATE($D133,Milestones!$AA$70)&gt;=$Z133),$AC133,IF(AND($Y133&lt;&gt;"",EDATE($D133,Milestones!$AA$70)&gt;=$Y133),$AB133,$AA133)))=Milestones!$AB$70),UPPER(TEXT(EDATE($D133,Milestones!$AA$70),"dd mmm yy"))&amp;" "&amp;Milestones!$AB$70&amp;" "&amp;IF(AND(Milestones!$AB$70="FT",Milestones!$AA$70=FT_Y5,EDATE($D133,Milestones!$AA$70)&lt;PolicyEff),1,Milestones!$AC$70)&amp;";  ","")&amp;IF(AND(EDATE($D133,Milestones!$AA$71)&lt;=AsOfDate,EDATE($D133,Milestones!$AA$71)&gt;=SchemeStart,IF($X133=0,$AD133,IF(AND($Z133&lt;&gt;"",EDATE($D133,Milestones!$AA$71)&gt;=$Z133),$AC133,IF(AND($Y133&lt;&gt;"",EDATE($D133,Milestones!$AA$71)&gt;=$Y133),$AB133,$AA133)))=Milestones!$AB$71),UPPER(TEXT(EDATE($D133,Milestones!$AA$71),"dd mmm yy"))&amp;" "&amp;Milestones!$AB$71&amp;" "&amp;IF(AND(Milestones!$AB$71="FT",Milestones!$AA$71=FT_Y5,EDATE($D133,Milestones!$AA$71)&lt;PolicyEff),1,Milestones!$AC$71)&amp;";  ","")&amp;IF(AND(EDATE($D133,Milestones!$AA$72)&lt;=AsOfDate,EDATE($D133,Milestones!$AA$72)&gt;=SchemeStart,IF($X133=0,$AD133,IF(AND($Z133&lt;&gt;"",EDATE($D133,Milestones!$AA$72)&gt;=$Z133),$AC133,IF(AND($Y133&lt;&gt;"",EDATE($D133,Milestones!$AA$72)&gt;=$Y133),$AB133,$AA133)))=Milestones!$AB$72),UPPER(TEXT(EDATE($D133,Milestones!$AA$72),"dd mmm yy"))&amp;" "&amp;Milestones!$AB$72&amp;" "&amp;IF(AND(Milestones!$AB$72="FT",Milestones!$AA$72=FT_Y5,EDATE($D133,Milestones!$AA$72)&lt;PolicyEff),1,Milestones!$AC$72)&amp;";  ","")&amp;IF(AND(EDATE($D133,Milestones!$AA$73)&lt;=AsOfDate,EDATE($D133,Milestones!$AA$73)&gt;=SchemeStart,IF($X133=0,$AD133,IF(AND($Z133&lt;&gt;"",EDATE($D133,Milestones!$AA$73)&gt;=$Z133),$AC133,IF(AND($Y133&lt;&gt;"",EDATE($D133,Milestones!$AA$73)&gt;=$Y133),$AB133,$AA133)))=Milestones!$AB$73),UPPER(TEXT(EDATE($D133,Milestones!$AA$73),"dd mmm yy"))&amp;" "&amp;Milestones!$AB$73&amp;" "&amp;IF(AND(Milestones!$AB$73="FT",Milestones!$AA$73=FT_Y5,EDATE($D133,Milestones!$AA$73)&lt;PolicyEff),1,Milestones!$AC$73)&amp;";  ","")&amp;IF(AND(EDATE($D133,Milestones!$AA$74)&lt;=AsOfDate,EDATE($D133,Milestones!$AA$74)&gt;=SchemeStart,IF($X133=0,$AD133,IF(AND($Z133&lt;&gt;"",EDATE($D133,Milestones!$AA$74)&gt;=$Z133),$AC133,IF(AND($Y133&lt;&gt;"",EDATE($D133,Milestones!$AA$74)&gt;=$Y133),$AB133,$AA133)))=Milestones!$AB$74),UPPER(TEXT(EDATE($D133,Milestones!$AA$74),"dd mmm yy"))&amp;" "&amp;Milestones!$AB$74&amp;" "&amp;IF(AND(Milestones!$AB$74="FT",Milestones!$AA$74=FT_Y5,EDATE($D133,Milestones!$AA$74)&lt;PolicyEff),1,Milestones!$AC$74)&amp;";  ","")&amp;IF(AND(EDATE($D133,Milestones!$AA$75)&lt;=AsOfDate,EDATE($D133,Milestones!$AA$75)&gt;=SchemeStart,IF($X133=0,$AD133,IF(AND($Z133&lt;&gt;"",EDATE($D133,Milestones!$AA$75)&gt;=$Z133),$AC133,IF(AND($Y133&lt;&gt;"",EDATE($D133,Milestones!$AA$75)&gt;=$Y133),$AB133,$AA133)))=Milestones!$AB$75),UPPER(TEXT(EDATE($D133,Milestones!$AA$75),"dd mmm yy"))&amp;" "&amp;Milestones!$AB$75&amp;" "&amp;IF(AND(Milestones!$AB$75="FT",Milestones!$AA$75=FT_Y5,EDATE($D133,Milestones!$AA$75)&lt;PolicyEff),1,Milestones!$AC$75)&amp;";  ","")&amp;IF(AND(EDATE($D133,Milestones!$AA$76)&lt;=AsOfDate,EDATE($D133,Milestones!$AA$76)&gt;=SchemeStart,IF($X133=0,$AD133,IF(AND($Z133&lt;&gt;"",EDATE($D133,Milestones!$AA$76)&gt;=$Z133),$AC133,IF(AND($Y133&lt;&gt;"",EDATE($D133,Milestones!$AA$76)&gt;=$Y133),$AB133,$AA133)))=Milestones!$AB$76),UPPER(TEXT(EDATE($D133,Milestones!$AA$76),"dd mmm yy"))&amp;" "&amp;Milestones!$AB$76&amp;" "&amp;IF(AND(Milestones!$AB$76="FT",Milestones!$AA$76=FT_Y5,EDATE($D133,Milestones!$AA$76)&lt;PolicyEff),1,Milestones!$AC$76)&amp;";  ","")&amp;IF(AND(EDATE($D133,Milestones!$AA$77)&lt;=AsOfDate,EDATE($D133,Milestones!$AA$77)&gt;=SchemeStart,IF($X133=0,$AD133,IF(AND($Z133&lt;&gt;"",EDATE($D133,Milestones!$AA$77)&gt;=$Z133),$AC133,IF(AND($Y133&lt;&gt;"",EDATE($D133,Milestones!$AA$77)&gt;=$Y133),$AB133,$AA133)))=Milestones!$AB$77),UPPER(TEXT(EDATE($D133,Milestones!$AA$77),"dd mmm yy"))&amp;" "&amp;Milestones!$AB$77&amp;" "&amp;IF(AND(Milestones!$AB$77="FT",Milestones!$AA$77=FT_Y5,EDATE($D133,Milestones!$AA$77)&lt;PolicyEff),1,Milestones!$AC$77)&amp;";  ","")&amp;IF(AND(EDATE($D133,Milestones!$AA$78)&lt;=AsOfDate,EDATE($D133,Milestones!$AA$78)&gt;=SchemeStart,IF($X133=0,$AD133,IF(AND($Z133&lt;&gt;"",EDATE($D133,Milestones!$AA$78)&gt;=$Z133),$AC133,IF(AND($Y133&lt;&gt;"",EDATE($D133,Milestones!$AA$78)&gt;=$Y133),$AB133,$AA133)))=Milestones!$AB$78),UPPER(TEXT(EDATE($D133,Milestones!$AA$78),"dd mmm yy"))&amp;" "&amp;Milestones!$AB$78&amp;" "&amp;IF(AND(Milestones!$AB$78="FT",Milestones!$AA$78=FT_Y5,EDATE($D133,Milestones!$AA$78)&lt;PolicyEff),1,Milestones!$AC$78)&amp;";  ","")&amp;IF(AND(EDATE($D133,Milestones!$AA$79)&lt;=AsOfDate,EDATE($D133,Milestones!$AA$79)&gt;=SchemeStart,IF($X133=0,$AD133,IF(AND($Z133&lt;&gt;"",EDATE($D133,Milestones!$AA$79)&gt;=$Z133),$AC133,IF(AND($Y133&lt;&gt;"",EDATE($D133,Milestones!$AA$79)&gt;=$Y133),$AB133,$AA133)))=Milestones!$AB$79),UPPER(TEXT(EDATE($D133,Milestones!$AA$79),"dd mmm yy"))&amp;" "&amp;Milestones!$AB$79&amp;" "&amp;IF(AND(Milestones!$AB$79="FT",Milestones!$AA$79=FT_Y5,EDATE($D133,Milestones!$AA$79)&lt;PolicyEff),1,Milestones!$AC$79)&amp;";  ",""))</f>
        <v/>
      </c>
      <c r="N133" s="0" t="str">
        <f aca="false">IF(OR($A133="",$D133=""),"",IF(AND(EDATE($D133,Milestones!$AA$80)&lt;=AsOfDate,EDATE($D133,Milestones!$AA$80)&gt;=SchemeStart,IF($X133=0,$AD133,IF(AND($Z133&lt;&gt;"",EDATE($D133,Milestones!$AA$80)&gt;=$Z133),$AC133,IF(AND($Y133&lt;&gt;"",EDATE($D133,Milestones!$AA$80)&gt;=$Y133),$AB133,$AA133)))=Milestones!$AB$80),UPPER(TEXT(EDATE($D133,Milestones!$AA$80),"dd mmm yy"))&amp;" "&amp;Milestones!$AB$80&amp;" "&amp;IF(AND(Milestones!$AB$80="FT",Milestones!$AA$80=FT_Y5,EDATE($D133,Milestones!$AA$80)&lt;PolicyEff),1,Milestones!$AC$80)&amp;";  ","")&amp;IF(AND(EDATE($D133,Milestones!$AA$81)&lt;=AsOfDate,EDATE($D133,Milestones!$AA$81)&gt;=SchemeStart,IF($X133=0,$AD133,IF(AND($Z133&lt;&gt;"",EDATE($D133,Milestones!$AA$81)&gt;=$Z133),$AC133,IF(AND($Y133&lt;&gt;"",EDATE($D133,Milestones!$AA$81)&gt;=$Y133),$AB133,$AA133)))=Milestones!$AB$81),UPPER(TEXT(EDATE($D133,Milestones!$AA$81),"dd mmm yy"))&amp;" "&amp;Milestones!$AB$81&amp;" "&amp;IF(AND(Milestones!$AB$81="FT",Milestones!$AA$81=FT_Y5,EDATE($D133,Milestones!$AA$81)&lt;PolicyEff),1,Milestones!$AC$81)&amp;";  ","")&amp;IF(AND(EDATE($D133,Milestones!$AA$82)&lt;=AsOfDate,EDATE($D133,Milestones!$AA$82)&gt;=SchemeStart,IF($X133=0,$AD133,IF(AND($Z133&lt;&gt;"",EDATE($D133,Milestones!$AA$82)&gt;=$Z133),$AC133,IF(AND($Y133&lt;&gt;"",EDATE($D133,Milestones!$AA$82)&gt;=$Y133),$AB133,$AA133)))=Milestones!$AB$82),UPPER(TEXT(EDATE($D133,Milestones!$AA$82),"dd mmm yy"))&amp;" "&amp;Milestones!$AB$82&amp;" "&amp;IF(AND(Milestones!$AB$82="FT",Milestones!$AA$82=FT_Y5,EDATE($D133,Milestones!$AA$82)&lt;PolicyEff),1,Milestones!$AC$82)&amp;";  ","")&amp;IF(AND(EDATE($D133,Milestones!$AA$83)&lt;=AsOfDate,EDATE($D133,Milestones!$AA$83)&gt;=SchemeStart,IF($X133=0,$AD133,IF(AND($Z133&lt;&gt;"",EDATE($D133,Milestones!$AA$83)&gt;=$Z133),$AC133,IF(AND($Y133&lt;&gt;"",EDATE($D133,Milestones!$AA$83)&gt;=$Y133),$AB133,$AA133)))=Milestones!$AB$83),UPPER(TEXT(EDATE($D133,Milestones!$AA$83),"dd mmm yy"))&amp;" "&amp;Milestones!$AB$83&amp;" "&amp;IF(AND(Milestones!$AB$83="FT",Milestones!$AA$83=FT_Y5,EDATE($D133,Milestones!$AA$83)&lt;PolicyEff),1,Milestones!$AC$83)&amp;";  ","")&amp;IF(AND(EDATE($D133,Milestones!$AA$84)&lt;=AsOfDate,EDATE($D133,Milestones!$AA$84)&gt;=SchemeStart,IF($X133=0,$AD133,IF(AND($Z133&lt;&gt;"",EDATE($D133,Milestones!$AA$84)&gt;=$Z133),$AC133,IF(AND($Y133&lt;&gt;"",EDATE($D133,Milestones!$AA$84)&gt;=$Y133),$AB133,$AA133)))=Milestones!$AB$84),UPPER(TEXT(EDATE($D133,Milestones!$AA$84),"dd mmm yy"))&amp;" "&amp;Milestones!$AB$84&amp;" "&amp;IF(AND(Milestones!$AB$84="FT",Milestones!$AA$84=FT_Y5,EDATE($D133,Milestones!$AA$84)&lt;PolicyEff),1,Milestones!$AC$84)&amp;";  ","")&amp;IF(AND(EDATE($D133,Milestones!$AA$85)&lt;=AsOfDate,EDATE($D133,Milestones!$AA$85)&gt;=SchemeStart,IF($X133=0,$AD133,IF(AND($Z133&lt;&gt;"",EDATE($D133,Milestones!$AA$85)&gt;=$Z133),$AC133,IF(AND($Y133&lt;&gt;"",EDATE($D133,Milestones!$AA$85)&gt;=$Y133),$AB133,$AA133)))=Milestones!$AB$85),UPPER(TEXT(EDATE($D133,Milestones!$AA$85),"dd mmm yy"))&amp;" "&amp;Milestones!$AB$85&amp;" "&amp;IF(AND(Milestones!$AB$85="FT",Milestones!$AA$85=FT_Y5,EDATE($D133,Milestones!$AA$85)&lt;PolicyEff),1,Milestones!$AC$85)&amp;";  ","")&amp;IF(AND(EDATE($D133,Milestones!$AA$86)&lt;=AsOfDate,EDATE($D133,Milestones!$AA$86)&gt;=SchemeStart,IF($X133=0,$AD133,IF(AND($Z133&lt;&gt;"",EDATE($D133,Milestones!$AA$86)&gt;=$Z133),$AC133,IF(AND($Y133&lt;&gt;"",EDATE($D133,Milestones!$AA$86)&gt;=$Y133),$AB133,$AA133)))=Milestones!$AB$86),UPPER(TEXT(EDATE($D133,Milestones!$AA$86),"dd mmm yy"))&amp;" "&amp;Milestones!$AB$86&amp;" "&amp;IF(AND(Milestones!$AB$86="FT",Milestones!$AA$86=FT_Y5,EDATE($D133,Milestones!$AA$86)&lt;PolicyEff),1,Milestones!$AC$86)&amp;";  ","")&amp;IF(AND(EDATE($D133,Milestones!$AA$87)&lt;=AsOfDate,EDATE($D133,Milestones!$AA$87)&gt;=SchemeStart,IF($X133=0,$AD133,IF(AND($Z133&lt;&gt;"",EDATE($D133,Milestones!$AA$87)&gt;=$Z133),$AC133,IF(AND($Y133&lt;&gt;"",EDATE($D133,Milestones!$AA$87)&gt;=$Y133),$AB133,$AA133)))=Milestones!$AB$87),UPPER(TEXT(EDATE($D133,Milestones!$AA$87),"dd mmm yy"))&amp;" "&amp;Milestones!$AB$87&amp;" "&amp;IF(AND(Milestones!$AB$87="FT",Milestones!$AA$87=FT_Y5,EDATE($D133,Milestones!$AA$87)&lt;PolicyEff),1,Milestones!$AC$87)&amp;";  ","")&amp;IF(AND(EDATE($D133,Milestones!$AA$88)&lt;=AsOfDate,EDATE($D133,Milestones!$AA$88)&gt;=SchemeStart,IF($X133=0,$AD133,IF(AND($Z133&lt;&gt;"",EDATE($D133,Milestones!$AA$88)&gt;=$Z133),$AC133,IF(AND($Y133&lt;&gt;"",EDATE($D133,Milestones!$AA$88)&gt;=$Y133),$AB133,$AA133)))=Milestones!$AB$88),UPPER(TEXT(EDATE($D133,Milestones!$AA$88),"dd mmm yy"))&amp;" "&amp;Milestones!$AB$88&amp;" "&amp;IF(AND(Milestones!$AB$88="FT",Milestones!$AA$88=FT_Y5,EDATE($D133,Milestones!$AA$88)&lt;PolicyEff),1,Milestones!$AC$88)&amp;";  ","")&amp;IF(AND(EDATE($D133,Milestones!$AA$89)&lt;=AsOfDate,EDATE($D133,Milestones!$AA$89)&gt;=SchemeStart,IF($X133=0,$AD133,IF(AND($Z133&lt;&gt;"",EDATE($D133,Milestones!$AA$89)&gt;=$Z133),$AC133,IF(AND($Y133&lt;&gt;"",EDATE($D133,Milestones!$AA$89)&gt;=$Y133),$AB133,$AA133)))=Milestones!$AB$89),UPPER(TEXT(EDATE($D133,Milestones!$AA$89),"dd mmm yy"))&amp;" "&amp;Milestones!$AB$89&amp;" "&amp;IF(AND(Milestones!$AB$89="FT",Milestones!$AA$89=FT_Y5,EDATE($D133,Milestones!$AA$89)&lt;PolicyEff),1,Milestones!$AC$89)&amp;";  ","")&amp;IF(AND(EDATE($D133,Milestones!$AA$90)&lt;=AsOfDate,EDATE($D133,Milestones!$AA$90)&gt;=SchemeStart,IF($X133=0,$AD133,IF(AND($Z133&lt;&gt;"",EDATE($D133,Milestones!$AA$90)&gt;=$Z133),$AC133,IF(AND($Y133&lt;&gt;"",EDATE($D133,Milestones!$AA$90)&gt;=$Y133),$AB133,$AA133)))=Milestones!$AB$90),UPPER(TEXT(EDATE($D133,Milestones!$AA$90),"dd mmm yy"))&amp;" "&amp;Milestones!$AB$90&amp;" "&amp;IF(AND(Milestones!$AB$90="FT",Milestones!$AA$90=FT_Y5,EDATE($D133,Milestones!$AA$90)&lt;PolicyEff),1,Milestones!$AC$90)&amp;";  ","")&amp;IF(AND(EDATE($D133,Milestones!$AA$91)&lt;=AsOfDate,EDATE($D133,Milestones!$AA$91)&gt;=SchemeStart,IF($X133=0,$AD133,IF(AND($Z133&lt;&gt;"",EDATE($D133,Milestones!$AA$91)&gt;=$Z133),$AC133,IF(AND($Y133&lt;&gt;"",EDATE($D133,Milestones!$AA$91)&gt;=$Y133),$AB133,$AA133)))=Milestones!$AB$91),UPPER(TEXT(EDATE($D133,Milestones!$AA$91),"dd mmm yy"))&amp;" "&amp;Milestones!$AB$91&amp;" "&amp;IF(AND(Milestones!$AB$91="FT",Milestones!$AA$91=FT_Y5,EDATE($D133,Milestones!$AA$91)&lt;PolicyEff),1,Milestones!$AC$91)&amp;";  ",""))</f>
        <v/>
      </c>
      <c r="O133" s="0" t="str">
        <f aca="false">IF(OR($A133="",$D133=""),"",IF(AND(EDATE($D133,Milestones!$AA$92)&lt;=AsOfDate,EDATE($D133,Milestones!$AA$92)&gt;=SchemeStart,IF($X133=0,$AD133,IF(AND($Z133&lt;&gt;"",EDATE($D133,Milestones!$AA$92)&gt;=$Z133),$AC133,IF(AND($Y133&lt;&gt;"",EDATE($D133,Milestones!$AA$92)&gt;=$Y133),$AB133,$AA133)))=Milestones!$AB$92),UPPER(TEXT(EDATE($D133,Milestones!$AA$92),"dd mmm yy"))&amp;" "&amp;Milestones!$AB$92&amp;" "&amp;IF(AND(Milestones!$AB$92="FT",Milestones!$AA$92=FT_Y5,EDATE($D133,Milestones!$AA$92)&lt;PolicyEff),1,Milestones!$AC$92)&amp;";  ","")&amp;IF(AND(EDATE($D133,Milestones!$AA$93)&lt;=AsOfDate,EDATE($D133,Milestones!$AA$93)&gt;=SchemeStart,IF($X133=0,$AD133,IF(AND($Z133&lt;&gt;"",EDATE($D133,Milestones!$AA$93)&gt;=$Z133),$AC133,IF(AND($Y133&lt;&gt;"",EDATE($D133,Milestones!$AA$93)&gt;=$Y133),$AB133,$AA133)))=Milestones!$AB$93),UPPER(TEXT(EDATE($D133,Milestones!$AA$93),"dd mmm yy"))&amp;" "&amp;Milestones!$AB$93&amp;" "&amp;IF(AND(Milestones!$AB$93="FT",Milestones!$AA$93=FT_Y5,EDATE($D133,Milestones!$AA$93)&lt;PolicyEff),1,Milestones!$AC$93)&amp;";  ","")&amp;IF(AND(EDATE($D133,Milestones!$AA$94)&lt;=AsOfDate,EDATE($D133,Milestones!$AA$94)&gt;=SchemeStart,IF($X133=0,$AD133,IF(AND($Z133&lt;&gt;"",EDATE($D133,Milestones!$AA$94)&gt;=$Z133),$AC133,IF(AND($Y133&lt;&gt;"",EDATE($D133,Milestones!$AA$94)&gt;=$Y133),$AB133,$AA133)))=Milestones!$AB$94),UPPER(TEXT(EDATE($D133,Milestones!$AA$94),"dd mmm yy"))&amp;" "&amp;Milestones!$AB$94&amp;" "&amp;IF(AND(Milestones!$AB$94="FT",Milestones!$AA$94=FT_Y5,EDATE($D133,Milestones!$AA$94)&lt;PolicyEff),1,Milestones!$AC$94)&amp;";  ","")&amp;IF(AND(EDATE($D133,Milestones!$AA$95)&lt;=AsOfDate,EDATE($D133,Milestones!$AA$95)&gt;=SchemeStart,IF($X133=0,$AD133,IF(AND($Z133&lt;&gt;"",EDATE($D133,Milestones!$AA$95)&gt;=$Z133),$AC133,IF(AND($Y133&lt;&gt;"",EDATE($D133,Milestones!$AA$95)&gt;=$Y133),$AB133,$AA133)))=Milestones!$AB$95),UPPER(TEXT(EDATE($D133,Milestones!$AA$95),"dd mmm yy"))&amp;" "&amp;Milestones!$AB$95&amp;" "&amp;IF(AND(Milestones!$AB$95="FT",Milestones!$AA$95=FT_Y5,EDATE($D133,Milestones!$AA$95)&lt;PolicyEff),1,Milestones!$AC$95)&amp;";  ","")&amp;IF(AND(EDATE($D133,Milestones!$AA$96)&lt;=AsOfDate,EDATE($D133,Milestones!$AA$96)&gt;=SchemeStart,IF($X133=0,$AD133,IF(AND($Z133&lt;&gt;"",EDATE($D133,Milestones!$AA$96)&gt;=$Z133),$AC133,IF(AND($Y133&lt;&gt;"",EDATE($D133,Milestones!$AA$96)&gt;=$Y133),$AB133,$AA133)))=Milestones!$AB$96),UPPER(TEXT(EDATE($D133,Milestones!$AA$96),"dd mmm yy"))&amp;" "&amp;Milestones!$AB$96&amp;" "&amp;IF(AND(Milestones!$AB$96="FT",Milestones!$AA$96=FT_Y5,EDATE($D133,Milestones!$AA$96)&lt;PolicyEff),1,Milestones!$AC$96)&amp;";  ","")&amp;IF(AND(EDATE($D133,Milestones!$AA$97)&lt;=AsOfDate,EDATE($D133,Milestones!$AA$97)&gt;=SchemeStart,IF($X133=0,$AD133,IF(AND($Z133&lt;&gt;"",EDATE($D133,Milestones!$AA$97)&gt;=$Z133),$AC133,IF(AND($Y133&lt;&gt;"",EDATE($D133,Milestones!$AA$97)&gt;=$Y133),$AB133,$AA133)))=Milestones!$AB$97),UPPER(TEXT(EDATE($D133,Milestones!$AA$97),"dd mmm yy"))&amp;" "&amp;Milestones!$AB$97&amp;" "&amp;IF(AND(Milestones!$AB$97="FT",Milestones!$AA$97=FT_Y5,EDATE($D133,Milestones!$AA$97)&lt;PolicyEff),1,Milestones!$AC$97)&amp;";  ","")&amp;IF(AND(EDATE($D133,Milestones!$AA$98)&lt;=AsOfDate,EDATE($D133,Milestones!$AA$98)&gt;=SchemeStart,IF($X133=0,$AD133,IF(AND($Z133&lt;&gt;"",EDATE($D133,Milestones!$AA$98)&gt;=$Z133),$AC133,IF(AND($Y133&lt;&gt;"",EDATE($D133,Milestones!$AA$98)&gt;=$Y133),$AB133,$AA133)))=Milestones!$AB$98),UPPER(TEXT(EDATE($D133,Milestones!$AA$98),"dd mmm yy"))&amp;" "&amp;Milestones!$AB$98&amp;" "&amp;IF(AND(Milestones!$AB$98="FT",Milestones!$AA$98=FT_Y5,EDATE($D133,Milestones!$AA$98)&lt;PolicyEff),1,Milestones!$AC$98)&amp;";  ","")&amp;IF(AND(EDATE($D133,Milestones!$AA$99)&lt;=AsOfDate,EDATE($D133,Milestones!$AA$99)&gt;=SchemeStart,IF($X133=0,$AD133,IF(AND($Z133&lt;&gt;"",EDATE($D133,Milestones!$AA$99)&gt;=$Z133),$AC133,IF(AND($Y133&lt;&gt;"",EDATE($D133,Milestones!$AA$99)&gt;=$Y133),$AB133,$AA133)))=Milestones!$AB$99),UPPER(TEXT(EDATE($D133,Milestones!$AA$99),"dd mmm yy"))&amp;" "&amp;Milestones!$AB$99&amp;" "&amp;IF(AND(Milestones!$AB$99="FT",Milestones!$AA$99=FT_Y5,EDATE($D133,Milestones!$AA$99)&lt;PolicyEff),1,Milestones!$AC$99)&amp;";  ","")&amp;IF(AND(EDATE($D133,Milestones!$AA$100)&lt;=AsOfDate,EDATE($D133,Milestones!$AA$100)&gt;=SchemeStart,IF($X133=0,$AD133,IF(AND($Z133&lt;&gt;"",EDATE($D133,Milestones!$AA$100)&gt;=$Z133),$AC133,IF(AND($Y133&lt;&gt;"",EDATE($D133,Milestones!$AA$100)&gt;=$Y133),$AB133,$AA133)))=Milestones!$AB$100),UPPER(TEXT(EDATE($D133,Milestones!$AA$100),"dd mmm yy"))&amp;" "&amp;Milestones!$AB$100&amp;" "&amp;IF(AND(Milestones!$AB$100="FT",Milestones!$AA$100=FT_Y5,EDATE($D133,Milestones!$AA$100)&lt;PolicyEff),1,Milestones!$AC$100)&amp;";  ","")&amp;IF(AND(EDATE($D133,Milestones!$AA$101)&lt;=AsOfDate,EDATE($D133,Milestones!$AA$101)&gt;=SchemeStart,IF($X133=0,$AD133,IF(AND($Z133&lt;&gt;"",EDATE($D133,Milestones!$AA$101)&gt;=$Z133),$AC133,IF(AND($Y133&lt;&gt;"",EDATE($D133,Milestones!$AA$101)&gt;=$Y133),$AB133,$AA133)))=Milestones!$AB$101),UPPER(TEXT(EDATE($D133,Milestones!$AA$101),"dd mmm yy"))&amp;" "&amp;Milestones!$AB$101&amp;" "&amp;IF(AND(Milestones!$AB$101="FT",Milestones!$AA$101=FT_Y5,EDATE($D133,Milestones!$AA$101)&lt;PolicyEff),1,Milestones!$AC$101)&amp;";  ","")&amp;IF(AND(EDATE($D133,Milestones!$AA$102)&lt;=AsOfDate,EDATE($D133,Milestones!$AA$102)&gt;=SchemeStart,IF($X133=0,$AD133,IF(AND($Z133&lt;&gt;"",EDATE($D133,Milestones!$AA$102)&gt;=$Z133),$AC133,IF(AND($Y133&lt;&gt;"",EDATE($D133,Milestones!$AA$102)&gt;=$Y133),$AB133,$AA133)))=Milestones!$AB$102),UPPER(TEXT(EDATE($D133,Milestones!$AA$102),"dd mmm yy"))&amp;" "&amp;Milestones!$AB$102&amp;" "&amp;IF(AND(Milestones!$AB$102="FT",Milestones!$AA$102=FT_Y5,EDATE($D133,Milestones!$AA$102)&lt;PolicyEff),1,Milestones!$AC$102)&amp;";  ","")&amp;IF(AND(EDATE($D133,Milestones!$AA$103)&lt;=AsOfDate,EDATE($D133,Milestones!$AA$103)&gt;=SchemeStart,IF($X133=0,$AD133,IF(AND($Z133&lt;&gt;"",EDATE($D133,Milestones!$AA$103)&gt;=$Z133),$AC133,IF(AND($Y133&lt;&gt;"",EDATE($D133,Milestones!$AA$103)&gt;=$Y133),$AB133,$AA133)))=Milestones!$AB$103),UPPER(TEXT(EDATE($D133,Milestones!$AA$103),"dd mmm yy"))&amp;" "&amp;Milestones!$AB$103&amp;" "&amp;IF(AND(Milestones!$AB$103="FT",Milestones!$AA$103=FT_Y5,EDATE($D133,Milestones!$AA$103)&lt;PolicyEff),1,Milestones!$AC$103)&amp;";  ",""))</f>
        <v/>
      </c>
      <c r="P133" s="0" t="str">
        <f aca="false">IF(OR($A133="",$D133=""),"",IF(AND(EDATE($D133,Milestones!$AA$104)&lt;=AsOfDate,EDATE($D133,Milestones!$AA$104)&gt;=SchemeStart,IF($X133=0,$AD133,IF(AND($Z133&lt;&gt;"",EDATE($D133,Milestones!$AA$104)&gt;=$Z133),$AC133,IF(AND($Y133&lt;&gt;"",EDATE($D133,Milestones!$AA$104)&gt;=$Y133),$AB133,$AA133)))=Milestones!$AB$104),UPPER(TEXT(EDATE($D133,Milestones!$AA$104),"dd mmm yy"))&amp;" "&amp;Milestones!$AB$104&amp;" "&amp;IF(AND(Milestones!$AB$104="FT",Milestones!$AA$104=FT_Y5,EDATE($D133,Milestones!$AA$104)&lt;PolicyEff),1,Milestones!$AC$104)&amp;";  ","")&amp;IF(AND(EDATE($D133,Milestones!$AA$105)&lt;=AsOfDate,EDATE($D133,Milestones!$AA$105)&gt;=SchemeStart,IF($X133=0,$AD133,IF(AND($Z133&lt;&gt;"",EDATE($D133,Milestones!$AA$105)&gt;=$Z133),$AC133,IF(AND($Y133&lt;&gt;"",EDATE($D133,Milestones!$AA$105)&gt;=$Y133),$AB133,$AA133)))=Milestones!$AB$105),UPPER(TEXT(EDATE($D133,Milestones!$AA$105),"dd mmm yy"))&amp;" "&amp;Milestones!$AB$105&amp;" "&amp;IF(AND(Milestones!$AB$105="FT",Milestones!$AA$105=FT_Y5,EDATE($D133,Milestones!$AA$105)&lt;PolicyEff),1,Milestones!$AC$105)&amp;";  ","")&amp;IF(AND(EDATE($D133,Milestones!$AA$106)&lt;=AsOfDate,EDATE($D133,Milestones!$AA$106)&gt;=SchemeStart,IF($X133=0,$AD133,IF(AND($Z133&lt;&gt;"",EDATE($D133,Milestones!$AA$106)&gt;=$Z133),$AC133,IF(AND($Y133&lt;&gt;"",EDATE($D133,Milestones!$AA$106)&gt;=$Y133),$AB133,$AA133)))=Milestones!$AB$106),UPPER(TEXT(EDATE($D133,Milestones!$AA$106),"dd mmm yy"))&amp;" "&amp;Milestones!$AB$106&amp;" "&amp;IF(AND(Milestones!$AB$106="FT",Milestones!$AA$106=FT_Y5,EDATE($D133,Milestones!$AA$106)&lt;PolicyEff),1,Milestones!$AC$106)&amp;";  ","")&amp;IF(AND(EDATE($D133,Milestones!$AA$107)&lt;=AsOfDate,EDATE($D133,Milestones!$AA$107)&gt;=SchemeStart,IF($X133=0,$AD133,IF(AND($Z133&lt;&gt;"",EDATE($D133,Milestones!$AA$107)&gt;=$Z133),$AC133,IF(AND($Y133&lt;&gt;"",EDATE($D133,Milestones!$AA$107)&gt;=$Y133),$AB133,$AA133)))=Milestones!$AB$107),UPPER(TEXT(EDATE($D133,Milestones!$AA$107),"dd mmm yy"))&amp;" "&amp;Milestones!$AB$107&amp;" "&amp;IF(AND(Milestones!$AB$107="FT",Milestones!$AA$107=FT_Y5,EDATE($D133,Milestones!$AA$107)&lt;PolicyEff),1,Milestones!$AC$107)&amp;";  ","")&amp;IF(AND(EDATE($D133,Milestones!$AA$108)&lt;=AsOfDate,EDATE($D133,Milestones!$AA$108)&gt;=SchemeStart,IF($X133=0,$AD133,IF(AND($Z133&lt;&gt;"",EDATE($D133,Milestones!$AA$108)&gt;=$Z133),$AC133,IF(AND($Y133&lt;&gt;"",EDATE($D133,Milestones!$AA$108)&gt;=$Y133),$AB133,$AA133)))=Milestones!$AB$108),UPPER(TEXT(EDATE($D133,Milestones!$AA$108),"dd mmm yy"))&amp;" "&amp;Milestones!$AB$108&amp;" "&amp;IF(AND(Milestones!$AB$108="FT",Milestones!$AA$108=FT_Y5,EDATE($D133,Milestones!$AA$108)&lt;PolicyEff),1,Milestones!$AC$108)&amp;";  ","")&amp;IF(AND(EDATE($D133,Milestones!$AA$109)&lt;=AsOfDate,EDATE($D133,Milestones!$AA$109)&gt;=SchemeStart,IF($X133=0,$AD133,IF(AND($Z133&lt;&gt;"",EDATE($D133,Milestones!$AA$109)&gt;=$Z133),$AC133,IF(AND($Y133&lt;&gt;"",EDATE($D133,Milestones!$AA$109)&gt;=$Y133),$AB133,$AA133)))=Milestones!$AB$109),UPPER(TEXT(EDATE($D133,Milestones!$AA$109),"dd mmm yy"))&amp;" "&amp;Milestones!$AB$109&amp;" "&amp;IF(AND(Milestones!$AB$109="FT",Milestones!$AA$109=FT_Y5,EDATE($D133,Milestones!$AA$109)&lt;PolicyEff),1,Milestones!$AC$109)&amp;";  ","")&amp;IF(AND(EDATE($D133,Milestones!$AA$110)&lt;=AsOfDate,EDATE($D133,Milestones!$AA$110)&gt;=SchemeStart,IF($X133=0,$AD133,IF(AND($Z133&lt;&gt;"",EDATE($D133,Milestones!$AA$110)&gt;=$Z133),$AC133,IF(AND($Y133&lt;&gt;"",EDATE($D133,Milestones!$AA$110)&gt;=$Y133),$AB133,$AA133)))=Milestones!$AB$110),UPPER(TEXT(EDATE($D133,Milestones!$AA$110),"dd mmm yy"))&amp;" "&amp;Milestones!$AB$110&amp;" "&amp;IF(AND(Milestones!$AB$110="FT",Milestones!$AA$110=FT_Y5,EDATE($D133,Milestones!$AA$110)&lt;PolicyEff),1,Milestones!$AC$110)&amp;";  ","")&amp;IF(AND(EDATE($D133,Milestones!$AA$111)&lt;=AsOfDate,EDATE($D133,Milestones!$AA$111)&gt;=SchemeStart,IF($X133=0,$AD133,IF(AND($Z133&lt;&gt;"",EDATE($D133,Milestones!$AA$111)&gt;=$Z133),$AC133,IF(AND($Y133&lt;&gt;"",EDATE($D133,Milestones!$AA$111)&gt;=$Y133),$AB133,$AA133)))=Milestones!$AB$111),UPPER(TEXT(EDATE($D133,Milestones!$AA$111),"dd mmm yy"))&amp;" "&amp;Milestones!$AB$111&amp;" "&amp;IF(AND(Milestones!$AB$111="FT",Milestones!$AA$111=FT_Y5,EDATE($D133,Milestones!$AA$111)&lt;PolicyEff),1,Milestones!$AC$111)&amp;";  ","")&amp;IF(AND(EDATE($D133,Milestones!$AA$112)&lt;=AsOfDate,EDATE($D133,Milestones!$AA$112)&gt;=SchemeStart,IF($X133=0,$AD133,IF(AND($Z133&lt;&gt;"",EDATE($D133,Milestones!$AA$112)&gt;=$Z133),$AC133,IF(AND($Y133&lt;&gt;"",EDATE($D133,Milestones!$AA$112)&gt;=$Y133),$AB133,$AA133)))=Milestones!$AB$112),UPPER(TEXT(EDATE($D133,Milestones!$AA$112),"dd mmm yy"))&amp;" "&amp;Milestones!$AB$112&amp;" "&amp;IF(AND(Milestones!$AB$112="FT",Milestones!$AA$112=FT_Y5,EDATE($D133,Milestones!$AA$112)&lt;PolicyEff),1,Milestones!$AC$112)&amp;";  ","")&amp;IF(AND(EDATE($D133,Milestones!$AA$113)&lt;=AsOfDate,EDATE($D133,Milestones!$AA$113)&gt;=SchemeStart,IF($X133=0,$AD133,IF(AND($Z133&lt;&gt;"",EDATE($D133,Milestones!$AA$113)&gt;=$Z133),$AC133,IF(AND($Y133&lt;&gt;"",EDATE($D133,Milestones!$AA$113)&gt;=$Y133),$AB133,$AA133)))=Milestones!$AB$113),UPPER(TEXT(EDATE($D133,Milestones!$AA$113),"dd mmm yy"))&amp;" "&amp;Milestones!$AB$113&amp;" "&amp;IF(AND(Milestones!$AB$113="FT",Milestones!$AA$113=FT_Y5,EDATE($D133,Milestones!$AA$113)&lt;PolicyEff),1,Milestones!$AC$113)&amp;";  ","")&amp;IF(AND(EDATE($D133,Milestones!$AA$114)&lt;=AsOfDate,EDATE($D133,Milestones!$AA$114)&gt;=SchemeStart,IF($X133=0,$AD133,IF(AND($Z133&lt;&gt;"",EDATE($D133,Milestones!$AA$114)&gt;=$Z133),$AC133,IF(AND($Y133&lt;&gt;"",EDATE($D133,Milestones!$AA$114)&gt;=$Y133),$AB133,$AA133)))=Milestones!$AB$114),UPPER(TEXT(EDATE($D133,Milestones!$AA$114),"dd mmm yy"))&amp;" "&amp;Milestones!$AB$114&amp;" "&amp;IF(AND(Milestones!$AB$114="FT",Milestones!$AA$114=FT_Y5,EDATE($D133,Milestones!$AA$114)&lt;PolicyEff),1,Milestones!$AC$114)&amp;";  ","")&amp;IF(AND(EDATE($D133,Milestones!$AA$115)&lt;=AsOfDate,EDATE($D133,Milestones!$AA$115)&gt;=SchemeStart,IF($X133=0,$AD133,IF(AND($Z133&lt;&gt;"",EDATE($D133,Milestones!$AA$115)&gt;=$Z133),$AC133,IF(AND($Y133&lt;&gt;"",EDATE($D133,Milestones!$AA$115)&gt;=$Y133),$AB133,$AA133)))=Milestones!$AB$115),UPPER(TEXT(EDATE($D133,Milestones!$AA$115),"dd mmm yy"))&amp;" "&amp;Milestones!$AB$115&amp;" "&amp;IF(AND(Milestones!$AB$115="FT",Milestones!$AA$115=FT_Y5,EDATE($D133,Milestones!$AA$115)&lt;PolicyEff),1,Milestones!$AC$115)&amp;";  ",""))</f>
        <v/>
      </c>
      <c r="Q133" s="0" t="str">
        <f aca="false">IF(OR($A133="",$D133=""),"",IF(AND(EDATE($D133,Milestones!$AA$116)&lt;=AsOfDate,EDATE($D133,Milestones!$AA$116)&gt;=SchemeStart,IF($X133=0,$AD133,IF(AND($Z133&lt;&gt;"",EDATE($D133,Milestones!$AA$116)&gt;=$Z133),$AC133,IF(AND($Y133&lt;&gt;"",EDATE($D133,Milestones!$AA$116)&gt;=$Y133),$AB133,$AA133)))=Milestones!$AB$116),UPPER(TEXT(EDATE($D133,Milestones!$AA$116),"dd mmm yy"))&amp;" "&amp;Milestones!$AB$116&amp;" "&amp;IF(AND(Milestones!$AB$116="FT",Milestones!$AA$116=FT_Y5,EDATE($D133,Milestones!$AA$116)&lt;PolicyEff),1,Milestones!$AC$116)&amp;";  ","")&amp;IF(AND(EDATE($D133,Milestones!$AA$117)&lt;=AsOfDate,EDATE($D133,Milestones!$AA$117)&gt;=SchemeStart,IF($X133=0,$AD133,IF(AND($Z133&lt;&gt;"",EDATE($D133,Milestones!$AA$117)&gt;=$Z133),$AC133,IF(AND($Y133&lt;&gt;"",EDATE($D133,Milestones!$AA$117)&gt;=$Y133),$AB133,$AA133)))=Milestones!$AB$117),UPPER(TEXT(EDATE($D133,Milestones!$AA$117),"dd mmm yy"))&amp;" "&amp;Milestones!$AB$117&amp;" "&amp;IF(AND(Milestones!$AB$117="FT",Milestones!$AA$117=FT_Y5,EDATE($D133,Milestones!$AA$117)&lt;PolicyEff),1,Milestones!$AC$117)&amp;";  ","")&amp;IF(AND(EDATE($D133,Milestones!$AA$118)&lt;=AsOfDate,EDATE($D133,Milestones!$AA$118)&gt;=SchemeStart,IF($X133=0,$AD133,IF(AND($Z133&lt;&gt;"",EDATE($D133,Milestones!$AA$118)&gt;=$Z133),$AC133,IF(AND($Y133&lt;&gt;"",EDATE($D133,Milestones!$AA$118)&gt;=$Y133),$AB133,$AA133)))=Milestones!$AB$118),UPPER(TEXT(EDATE($D133,Milestones!$AA$118),"dd mmm yy"))&amp;" "&amp;Milestones!$AB$118&amp;" "&amp;IF(AND(Milestones!$AB$118="FT",Milestones!$AA$118=FT_Y5,EDATE($D133,Milestones!$AA$118)&lt;PolicyEff),1,Milestones!$AC$118)&amp;";  ","")&amp;IF(AND(EDATE($D133,Milestones!$AA$119)&lt;=AsOfDate,EDATE($D133,Milestones!$AA$119)&gt;=SchemeStart,IF($X133=0,$AD133,IF(AND($Z133&lt;&gt;"",EDATE($D133,Milestones!$AA$119)&gt;=$Z133),$AC133,IF(AND($Y133&lt;&gt;"",EDATE($D133,Milestones!$AA$119)&gt;=$Y133),$AB133,$AA133)))=Milestones!$AB$119),UPPER(TEXT(EDATE($D133,Milestones!$AA$119),"dd mmm yy"))&amp;" "&amp;Milestones!$AB$119&amp;" "&amp;IF(AND(Milestones!$AB$119="FT",Milestones!$AA$119=FT_Y5,EDATE($D133,Milestones!$AA$119)&lt;PolicyEff),1,Milestones!$AC$119)&amp;";  ","")&amp;IF(AND(EDATE($D133,Milestones!$AA$120)&lt;=AsOfDate,EDATE($D133,Milestones!$AA$120)&gt;=SchemeStart,IF($X133=0,$AD133,IF(AND($Z133&lt;&gt;"",EDATE($D133,Milestones!$AA$120)&gt;=$Z133),$AC133,IF(AND($Y133&lt;&gt;"",EDATE($D133,Milestones!$AA$120)&gt;=$Y133),$AB133,$AA133)))=Milestones!$AB$120),UPPER(TEXT(EDATE($D133,Milestones!$AA$120),"dd mmm yy"))&amp;" "&amp;Milestones!$AB$120&amp;" "&amp;IF(AND(Milestones!$AB$120="FT",Milestones!$AA$120=FT_Y5,EDATE($D133,Milestones!$AA$120)&lt;PolicyEff),1,Milestones!$AC$120)&amp;";  ","")&amp;IF(AND(EDATE($D133,Milestones!$AA$121)&lt;=AsOfDate,EDATE($D133,Milestones!$AA$121)&gt;=SchemeStart,IF($X133=0,$AD133,IF(AND($Z133&lt;&gt;"",EDATE($D133,Milestones!$AA$121)&gt;=$Z133),$AC133,IF(AND($Y133&lt;&gt;"",EDATE($D133,Milestones!$AA$121)&gt;=$Y133),$AB133,$AA133)))=Milestones!$AB$121),UPPER(TEXT(EDATE($D133,Milestones!$AA$121),"dd mmm yy"))&amp;" "&amp;Milestones!$AB$121&amp;" "&amp;IF(AND(Milestones!$AB$121="FT",Milestones!$AA$121=FT_Y5,EDATE($D133,Milestones!$AA$121)&lt;PolicyEff),1,Milestones!$AC$121)&amp;";  ","")&amp;IF(AND(EDATE($D133,Milestones!$AA$122)&lt;=AsOfDate,EDATE($D133,Milestones!$AA$122)&gt;=SchemeStart,IF($X133=0,$AD133,IF(AND($Z133&lt;&gt;"",EDATE($D133,Milestones!$AA$122)&gt;=$Z133),$AC133,IF(AND($Y133&lt;&gt;"",EDATE($D133,Milestones!$AA$122)&gt;=$Y133),$AB133,$AA133)))=Milestones!$AB$122),UPPER(TEXT(EDATE($D133,Milestones!$AA$122),"dd mmm yy"))&amp;" "&amp;Milestones!$AB$122&amp;" "&amp;IF(AND(Milestones!$AB$122="FT",Milestones!$AA$122=FT_Y5,EDATE($D133,Milestones!$AA$122)&lt;PolicyEff),1,Milestones!$AC$122)&amp;";  ","")&amp;IF(AND(EDATE($D133,Milestones!$AA$123)&lt;=AsOfDate,EDATE($D133,Milestones!$AA$123)&gt;=SchemeStart,IF($X133=0,$AD133,IF(AND($Z133&lt;&gt;"",EDATE($D133,Milestones!$AA$123)&gt;=$Z133),$AC133,IF(AND($Y133&lt;&gt;"",EDATE($D133,Milestones!$AA$123)&gt;=$Y133),$AB133,$AA133)))=Milestones!$AB$123),UPPER(TEXT(EDATE($D133,Milestones!$AA$123),"dd mmm yy"))&amp;" "&amp;Milestones!$AB$123&amp;" "&amp;IF(AND(Milestones!$AB$123="FT",Milestones!$AA$123=FT_Y5,EDATE($D133,Milestones!$AA$123)&lt;PolicyEff),1,Milestones!$AC$123)&amp;";  ","")&amp;IF(AND(EDATE($D133,Milestones!$AA$124)&lt;=AsOfDate,EDATE($D133,Milestones!$AA$124)&gt;=SchemeStart,IF($X133=0,$AD133,IF(AND($Z133&lt;&gt;"",EDATE($D133,Milestones!$AA$124)&gt;=$Z133),$AC133,IF(AND($Y133&lt;&gt;"",EDATE($D133,Milestones!$AA$124)&gt;=$Y133),$AB133,$AA133)))=Milestones!$AB$124),UPPER(TEXT(EDATE($D133,Milestones!$AA$124),"dd mmm yy"))&amp;" "&amp;Milestones!$AB$124&amp;" "&amp;IF(AND(Milestones!$AB$124="FT",Milestones!$AA$124=FT_Y5,EDATE($D133,Milestones!$AA$124)&lt;PolicyEff),1,Milestones!$AC$124)&amp;";  ","")&amp;IF(AND(EDATE($D133,Milestones!$AA$125)&lt;=AsOfDate,EDATE($D133,Milestones!$AA$125)&gt;=SchemeStart,IF($X133=0,$AD133,IF(AND($Z133&lt;&gt;"",EDATE($D133,Milestones!$AA$125)&gt;=$Z133),$AC133,IF(AND($Y133&lt;&gt;"",EDATE($D133,Milestones!$AA$125)&gt;=$Y133),$AB133,$AA133)))=Milestones!$AB$125),UPPER(TEXT(EDATE($D133,Milestones!$AA$125),"dd mmm yy"))&amp;" "&amp;Milestones!$AB$125&amp;" "&amp;IF(AND(Milestones!$AB$125="FT",Milestones!$AA$125=FT_Y5,EDATE($D133,Milestones!$AA$125)&lt;PolicyEff),1,Milestones!$AC$125)&amp;";  ","")&amp;IF(AND(EDATE($D133,Milestones!$AA$126)&lt;=AsOfDate,EDATE($D133,Milestones!$AA$126)&gt;=SchemeStart,IF($X133=0,$AD133,IF(AND($Z133&lt;&gt;"",EDATE($D133,Milestones!$AA$126)&gt;=$Z133),$AC133,IF(AND($Y133&lt;&gt;"",EDATE($D133,Milestones!$AA$126)&gt;=$Y133),$AB133,$AA133)))=Milestones!$AB$126),UPPER(TEXT(EDATE($D133,Milestones!$AA$126),"dd mmm yy"))&amp;" "&amp;Milestones!$AB$126&amp;" "&amp;IF(AND(Milestones!$AB$126="FT",Milestones!$AA$126=FT_Y5,EDATE($D133,Milestones!$AA$126)&lt;PolicyEff),1,Milestones!$AC$126)&amp;";  ","")&amp;IF(AND(EDATE($D133,Milestones!$AA$127)&lt;=AsOfDate,EDATE($D133,Milestones!$AA$127)&gt;=SchemeStart,IF($X133=0,$AD133,IF(AND($Z133&lt;&gt;"",EDATE($D133,Milestones!$AA$127)&gt;=$Z133),$AC133,IF(AND($Y133&lt;&gt;"",EDATE($D133,Milestones!$AA$127)&gt;=$Y133),$AB133,$AA133)))=Milestones!$AB$127),UPPER(TEXT(EDATE($D133,Milestones!$AA$127),"dd mmm yy"))&amp;" "&amp;Milestones!$AB$127&amp;" "&amp;IF(AND(Milestones!$AB$127="FT",Milestones!$AA$127=FT_Y5,EDATE($D133,Milestones!$AA$127)&lt;PolicyEff),1,Milestones!$AC$127)&amp;";  ",""))</f>
        <v/>
      </c>
      <c r="R133" s="0" t="str">
        <f aca="false">IF(OR($A133="",$D133=""),"",IF(AND(EDATE($D133,Milestones!$AA$128)&lt;=AsOfDate,EDATE($D133,Milestones!$AA$128)&gt;=SchemeStart,IF($X133=0,$AD133,IF(AND($Z133&lt;&gt;"",EDATE($D133,Milestones!$AA$128)&gt;=$Z133),$AC133,IF(AND($Y133&lt;&gt;"",EDATE($D133,Milestones!$AA$128)&gt;=$Y133),$AB133,$AA133)))=Milestones!$AB$128),UPPER(TEXT(EDATE($D133,Milestones!$AA$128),"dd mmm yy"))&amp;" "&amp;Milestones!$AB$128&amp;" "&amp;IF(AND(Milestones!$AB$128="FT",Milestones!$AA$128=FT_Y5,EDATE($D133,Milestones!$AA$128)&lt;PolicyEff),1,Milestones!$AC$128)&amp;";  ","")&amp;IF(AND(EDATE($D133,Milestones!$AA$129)&lt;=AsOfDate,EDATE($D133,Milestones!$AA$129)&gt;=SchemeStart,IF($X133=0,$AD133,IF(AND($Z133&lt;&gt;"",EDATE($D133,Milestones!$AA$129)&gt;=$Z133),$AC133,IF(AND($Y133&lt;&gt;"",EDATE($D133,Milestones!$AA$129)&gt;=$Y133),$AB133,$AA133)))=Milestones!$AB$129),UPPER(TEXT(EDATE($D133,Milestones!$AA$129),"dd mmm yy"))&amp;" "&amp;Milestones!$AB$129&amp;" "&amp;IF(AND(Milestones!$AB$129="FT",Milestones!$AA$129=FT_Y5,EDATE($D133,Milestones!$AA$129)&lt;PolicyEff),1,Milestones!$AC$129)&amp;";  ","")&amp;IF(AND(EDATE($D133,Milestones!$AA$130)&lt;=AsOfDate,EDATE($D133,Milestones!$AA$130)&gt;=SchemeStart,IF($X133=0,$AD133,IF(AND($Z133&lt;&gt;"",EDATE($D133,Milestones!$AA$130)&gt;=$Z133),$AC133,IF(AND($Y133&lt;&gt;"",EDATE($D133,Milestones!$AA$130)&gt;=$Y133),$AB133,$AA133)))=Milestones!$AB$130),UPPER(TEXT(EDATE($D133,Milestones!$AA$130),"dd mmm yy"))&amp;" "&amp;Milestones!$AB$130&amp;" "&amp;IF(AND(Milestones!$AB$130="FT",Milestones!$AA$130=FT_Y5,EDATE($D133,Milestones!$AA$130)&lt;PolicyEff),1,Milestones!$AC$130)&amp;";  ","")&amp;IF(AND(EDATE($D133,Milestones!$AA$131)&lt;=AsOfDate,EDATE($D133,Milestones!$AA$131)&gt;=SchemeStart,IF($X133=0,$AD133,IF(AND($Z133&lt;&gt;"",EDATE($D133,Milestones!$AA$131)&gt;=$Z133),$AC133,IF(AND($Y133&lt;&gt;"",EDATE($D133,Milestones!$AA$131)&gt;=$Y133),$AB133,$AA133)))=Milestones!$AB$131),UPPER(TEXT(EDATE($D133,Milestones!$AA$131),"dd mmm yy"))&amp;" "&amp;Milestones!$AB$131&amp;" "&amp;IF(AND(Milestones!$AB$131="FT",Milestones!$AA$131=FT_Y5,EDATE($D133,Milestones!$AA$131)&lt;PolicyEff),1,Milestones!$AC$131)&amp;";  ","")&amp;IF(AND(EDATE($D133,Milestones!$AA$132)&lt;=AsOfDate,EDATE($D133,Milestones!$AA$132)&gt;=SchemeStart,IF($X133=0,$AD133,IF(AND($Z133&lt;&gt;"",EDATE($D133,Milestones!$AA$132)&gt;=$Z133),$AC133,IF(AND($Y133&lt;&gt;"",EDATE($D133,Milestones!$AA$132)&gt;=$Y133),$AB133,$AA133)))=Milestones!$AB$132),UPPER(TEXT(EDATE($D133,Milestones!$AA$132),"dd mmm yy"))&amp;" "&amp;Milestones!$AB$132&amp;" "&amp;IF(AND(Milestones!$AB$132="FT",Milestones!$AA$132=FT_Y5,EDATE($D133,Milestones!$AA$132)&lt;PolicyEff),1,Milestones!$AC$132)&amp;";  ","")&amp;IF(AND(EDATE($D133,Milestones!$AA$133)&lt;=AsOfDate,EDATE($D133,Milestones!$AA$133)&gt;=SchemeStart,IF($X133=0,$AD133,IF(AND($Z133&lt;&gt;"",EDATE($D133,Milestones!$AA$133)&gt;=$Z133),$AC133,IF(AND($Y133&lt;&gt;"",EDATE($D133,Milestones!$AA$133)&gt;=$Y133),$AB133,$AA133)))=Milestones!$AB$133),UPPER(TEXT(EDATE($D133,Milestones!$AA$133),"dd mmm yy"))&amp;" "&amp;Milestones!$AB$133&amp;" "&amp;IF(AND(Milestones!$AB$133="FT",Milestones!$AA$133=FT_Y5,EDATE($D133,Milestones!$AA$133)&lt;PolicyEff),1,Milestones!$AC$133)&amp;";  ","")&amp;IF(AND(EDATE($D133,Milestones!$AA$134)&lt;=AsOfDate,EDATE($D133,Milestones!$AA$134)&gt;=SchemeStart,IF($X133=0,$AD133,IF(AND($Z133&lt;&gt;"",EDATE($D133,Milestones!$AA$134)&gt;=$Z133),$AC133,IF(AND($Y133&lt;&gt;"",EDATE($D133,Milestones!$AA$134)&gt;=$Y133),$AB133,$AA133)))=Milestones!$AB$134),UPPER(TEXT(EDATE($D133,Milestones!$AA$134),"dd mmm yy"))&amp;" "&amp;Milestones!$AB$134&amp;" "&amp;IF(AND(Milestones!$AB$134="FT",Milestones!$AA$134=FT_Y5,EDATE($D133,Milestones!$AA$134)&lt;PolicyEff),1,Milestones!$AC$134)&amp;";  ","")&amp;IF(AND(EDATE($D133,Milestones!$AA$135)&lt;=AsOfDate,EDATE($D133,Milestones!$AA$135)&gt;=SchemeStart,IF($X133=0,$AD133,IF(AND($Z133&lt;&gt;"",EDATE($D133,Milestones!$AA$135)&gt;=$Z133),$AC133,IF(AND($Y133&lt;&gt;"",EDATE($D133,Milestones!$AA$135)&gt;=$Y133),$AB133,$AA133)))=Milestones!$AB$135),UPPER(TEXT(EDATE($D133,Milestones!$AA$135),"dd mmm yy"))&amp;" "&amp;Milestones!$AB$135&amp;" "&amp;IF(AND(Milestones!$AB$135="FT",Milestones!$AA$135=FT_Y5,EDATE($D133,Milestones!$AA$135)&lt;PolicyEff),1,Milestones!$AC$135)&amp;";  ","")&amp;IF(AND(EDATE($D133,Milestones!$AA$136)&lt;=AsOfDate,EDATE($D133,Milestones!$AA$136)&gt;=SchemeStart,IF($X133=0,$AD133,IF(AND($Z133&lt;&gt;"",EDATE($D133,Milestones!$AA$136)&gt;=$Z133),$AC133,IF(AND($Y133&lt;&gt;"",EDATE($D133,Milestones!$AA$136)&gt;=$Y133),$AB133,$AA133)))=Milestones!$AB$136),UPPER(TEXT(EDATE($D133,Milestones!$AA$136),"dd mmm yy"))&amp;" "&amp;Milestones!$AB$136&amp;" "&amp;IF(AND(Milestones!$AB$136="FT",Milestones!$AA$136=FT_Y5,EDATE($D133,Milestones!$AA$136)&lt;PolicyEff),1,Milestones!$AC$136)&amp;";  ","")&amp;IF(AND(EDATE($D133,Milestones!$AA$137)&lt;=AsOfDate,EDATE($D133,Milestones!$AA$137)&gt;=SchemeStart,IF($X133=0,$AD133,IF(AND($Z133&lt;&gt;"",EDATE($D133,Milestones!$AA$137)&gt;=$Z133),$AC133,IF(AND($Y133&lt;&gt;"",EDATE($D133,Milestones!$AA$137)&gt;=$Y133),$AB133,$AA133)))=Milestones!$AB$137),UPPER(TEXT(EDATE($D133,Milestones!$AA$137),"dd mmm yy"))&amp;" "&amp;Milestones!$AB$137&amp;" "&amp;IF(AND(Milestones!$AB$137="FT",Milestones!$AA$137=FT_Y5,EDATE($D133,Milestones!$AA$137)&lt;PolicyEff),1,Milestones!$AC$137)&amp;";  ","")&amp;IF(AND(EDATE($D133,Milestones!$AA$138)&lt;=AsOfDate,EDATE($D133,Milestones!$AA$138)&gt;=SchemeStart,IF($X133=0,$AD133,IF(AND($Z133&lt;&gt;"",EDATE($D133,Milestones!$AA$138)&gt;=$Z133),$AC133,IF(AND($Y133&lt;&gt;"",EDATE($D133,Milestones!$AA$138)&gt;=$Y133),$AB133,$AA133)))=Milestones!$AB$138),UPPER(TEXT(EDATE($D133,Milestones!$AA$138),"dd mmm yy"))&amp;" "&amp;Milestones!$AB$138&amp;" "&amp;IF(AND(Milestones!$AB$138="FT",Milestones!$AA$138=FT_Y5,EDATE($D133,Milestones!$AA$138)&lt;PolicyEff),1,Milestones!$AC$138)&amp;";  ","")&amp;IF(AND(EDATE($D133,Milestones!$AA$139)&lt;=AsOfDate,EDATE($D133,Milestones!$AA$139)&gt;=SchemeStart,IF($X133=0,$AD133,IF(AND($Z133&lt;&gt;"",EDATE($D133,Milestones!$AA$139)&gt;=$Z133),$AC133,IF(AND($Y133&lt;&gt;"",EDATE($D133,Milestones!$AA$139)&gt;=$Y133),$AB133,$AA133)))=Milestones!$AB$139),UPPER(TEXT(EDATE($D133,Milestones!$AA$139),"dd mmm yy"))&amp;" "&amp;Milestones!$AB$139&amp;" "&amp;IF(AND(Milestones!$AB$139="FT",Milestones!$AA$139=FT_Y5,EDATE($D133,Milestones!$AA$139)&lt;PolicyEff),1,Milestones!$AC$139)&amp;";  ",""))</f>
        <v/>
      </c>
      <c r="S133" s="0" t="str">
        <f aca="false">IF(OR($A133="",$D133=""),"",IF(AND(EDATE($D133,Milestones!$AA$140)&lt;=AsOfDate,EDATE($D133,Milestones!$AA$140)&gt;=SchemeStart,IF($X133=0,$AD133,IF(AND($Z133&lt;&gt;"",EDATE($D133,Milestones!$AA$140)&gt;=$Z133),$AC133,IF(AND($Y133&lt;&gt;"",EDATE($D133,Milestones!$AA$140)&gt;=$Y133),$AB133,$AA133)))=Milestones!$AB$140),UPPER(TEXT(EDATE($D133,Milestones!$AA$140),"dd mmm yy"))&amp;" "&amp;Milestones!$AB$140&amp;" "&amp;IF(AND(Milestones!$AB$140="FT",Milestones!$AA$140=FT_Y5,EDATE($D133,Milestones!$AA$140)&lt;PolicyEff),1,Milestones!$AC$140)&amp;";  ","")&amp;IF(AND(EDATE($D133,Milestones!$AA$141)&lt;=AsOfDate,EDATE($D133,Milestones!$AA$141)&gt;=SchemeStart,IF($X133=0,$AD133,IF(AND($Z133&lt;&gt;"",EDATE($D133,Milestones!$AA$141)&gt;=$Z133),$AC133,IF(AND($Y133&lt;&gt;"",EDATE($D133,Milestones!$AA$141)&gt;=$Y133),$AB133,$AA133)))=Milestones!$AB$141),UPPER(TEXT(EDATE($D133,Milestones!$AA$141),"dd mmm yy"))&amp;" "&amp;Milestones!$AB$141&amp;" "&amp;IF(AND(Milestones!$AB$141="FT",Milestones!$AA$141=FT_Y5,EDATE($D133,Milestones!$AA$141)&lt;PolicyEff),1,Milestones!$AC$141)&amp;";  ","")&amp;IF(AND(EDATE($D133,Milestones!$AA$142)&lt;=AsOfDate,EDATE($D133,Milestones!$AA$142)&gt;=SchemeStart,IF($X133=0,$AD133,IF(AND($Z133&lt;&gt;"",EDATE($D133,Milestones!$AA$142)&gt;=$Z133),$AC133,IF(AND($Y133&lt;&gt;"",EDATE($D133,Milestones!$AA$142)&gt;=$Y133),$AB133,$AA133)))=Milestones!$AB$142),UPPER(TEXT(EDATE($D133,Milestones!$AA$142),"dd mmm yy"))&amp;" "&amp;Milestones!$AB$142&amp;" "&amp;IF(AND(Milestones!$AB$142="FT",Milestones!$AA$142=FT_Y5,EDATE($D133,Milestones!$AA$142)&lt;PolicyEff),1,Milestones!$AC$142)&amp;";  ","")&amp;IF(AND(EDATE($D133,Milestones!$AA$143)&lt;=AsOfDate,EDATE($D133,Milestones!$AA$143)&gt;=SchemeStart,IF($X133=0,$AD133,IF(AND($Z133&lt;&gt;"",EDATE($D133,Milestones!$AA$143)&gt;=$Z133),$AC133,IF(AND($Y133&lt;&gt;"",EDATE($D133,Milestones!$AA$143)&gt;=$Y133),$AB133,$AA133)))=Milestones!$AB$143),UPPER(TEXT(EDATE($D133,Milestones!$AA$143),"dd mmm yy"))&amp;" "&amp;Milestones!$AB$143&amp;" "&amp;IF(AND(Milestones!$AB$143="FT",Milestones!$AA$143=FT_Y5,EDATE($D133,Milestones!$AA$143)&lt;PolicyEff),1,Milestones!$AC$143)&amp;";  ","")&amp;IF(AND(EDATE($D133,Milestones!$AA$144)&lt;=AsOfDate,EDATE($D133,Milestones!$AA$144)&gt;=SchemeStart,IF($X133=0,$AD133,IF(AND($Z133&lt;&gt;"",EDATE($D133,Milestones!$AA$144)&gt;=$Z133),$AC133,IF(AND($Y133&lt;&gt;"",EDATE($D133,Milestones!$AA$144)&gt;=$Y133),$AB133,$AA133)))=Milestones!$AB$144),UPPER(TEXT(EDATE($D133,Milestones!$AA$144),"dd mmm yy"))&amp;" "&amp;Milestones!$AB$144&amp;" "&amp;IF(AND(Milestones!$AB$144="FT",Milestones!$AA$144=FT_Y5,EDATE($D133,Milestones!$AA$144)&lt;PolicyEff),1,Milestones!$AC$144)&amp;";  ","")&amp;IF(AND(EDATE($D133,Milestones!$AA$145)&lt;=AsOfDate,EDATE($D133,Milestones!$AA$145)&gt;=SchemeStart,IF($X133=0,$AD133,IF(AND($Z133&lt;&gt;"",EDATE($D133,Milestones!$AA$145)&gt;=$Z133),$AC133,IF(AND($Y133&lt;&gt;"",EDATE($D133,Milestones!$AA$145)&gt;=$Y133),$AB133,$AA133)))=Milestones!$AB$145),UPPER(TEXT(EDATE($D133,Milestones!$AA$145),"dd mmm yy"))&amp;" "&amp;Milestones!$AB$145&amp;" "&amp;IF(AND(Milestones!$AB$145="FT",Milestones!$AA$145=FT_Y5,EDATE($D133,Milestones!$AA$145)&lt;PolicyEff),1,Milestones!$AC$145)&amp;";  ","")&amp;IF(AND(EDATE($D133,Milestones!$AA$146)&lt;=AsOfDate,EDATE($D133,Milestones!$AA$146)&gt;=SchemeStart,IF($X133=0,$AD133,IF(AND($Z133&lt;&gt;"",EDATE($D133,Milestones!$AA$146)&gt;=$Z133),$AC133,IF(AND($Y133&lt;&gt;"",EDATE($D133,Milestones!$AA$146)&gt;=$Y133),$AB133,$AA133)))=Milestones!$AB$146),UPPER(TEXT(EDATE($D133,Milestones!$AA$146),"dd mmm yy"))&amp;" "&amp;Milestones!$AB$146&amp;" "&amp;IF(AND(Milestones!$AB$146="FT",Milestones!$AA$146=FT_Y5,EDATE($D133,Milestones!$AA$146)&lt;PolicyEff),1,Milestones!$AC$146)&amp;";  ","")&amp;IF(AND(EDATE($D133,Milestones!$AA$147)&lt;=AsOfDate,EDATE($D133,Milestones!$AA$147)&gt;=SchemeStart,IF($X133=0,$AD133,IF(AND($Z133&lt;&gt;"",EDATE($D133,Milestones!$AA$147)&gt;=$Z133),$AC133,IF(AND($Y133&lt;&gt;"",EDATE($D133,Milestones!$AA$147)&gt;=$Y133),$AB133,$AA133)))=Milestones!$AB$147),UPPER(TEXT(EDATE($D133,Milestones!$AA$147),"dd mmm yy"))&amp;" "&amp;Milestones!$AB$147&amp;" "&amp;IF(AND(Milestones!$AB$147="FT",Milestones!$AA$147=FT_Y5,EDATE($D133,Milestones!$AA$147)&lt;PolicyEff),1,Milestones!$AC$147)&amp;";  ","")&amp;IF(AND(EDATE($D133,Milestones!$AA$148)&lt;=AsOfDate,EDATE($D133,Milestones!$AA$148)&gt;=SchemeStart,IF($X133=0,$AD133,IF(AND($Z133&lt;&gt;"",EDATE($D133,Milestones!$AA$148)&gt;=$Z133),$AC133,IF(AND($Y133&lt;&gt;"",EDATE($D133,Milestones!$AA$148)&gt;=$Y133),$AB133,$AA133)))=Milestones!$AB$148),UPPER(TEXT(EDATE($D133,Milestones!$AA$148),"dd mmm yy"))&amp;" "&amp;Milestones!$AB$148&amp;" "&amp;IF(AND(Milestones!$AB$148="FT",Milestones!$AA$148=FT_Y5,EDATE($D133,Milestones!$AA$148)&lt;PolicyEff),1,Milestones!$AC$148)&amp;";  ","")&amp;IF(AND(EDATE($D133,Milestones!$AA$149)&lt;=AsOfDate,EDATE($D133,Milestones!$AA$149)&gt;=SchemeStart,IF($X133=0,$AD133,IF(AND($Z133&lt;&gt;"",EDATE($D133,Milestones!$AA$149)&gt;=$Z133),$AC133,IF(AND($Y133&lt;&gt;"",EDATE($D133,Milestones!$AA$149)&gt;=$Y133),$AB133,$AA133)))=Milestones!$AB$149),UPPER(TEXT(EDATE($D133,Milestones!$AA$149),"dd mmm yy"))&amp;" "&amp;Milestones!$AB$149&amp;" "&amp;IF(AND(Milestones!$AB$149="FT",Milestones!$AA$149=FT_Y5,EDATE($D133,Milestones!$AA$149)&lt;PolicyEff),1,Milestones!$AC$149)&amp;";  ","")&amp;IF(AND(EDATE($D133,Milestones!$AA$150)&lt;=AsOfDate,EDATE($D133,Milestones!$AA$150)&gt;=SchemeStart,IF($X133=0,$AD133,IF(AND($Z133&lt;&gt;"",EDATE($D133,Milestones!$AA$150)&gt;=$Z133),$AC133,IF(AND($Y133&lt;&gt;"",EDATE($D133,Milestones!$AA$150)&gt;=$Y133),$AB133,$AA133)))=Milestones!$AB$150),UPPER(TEXT(EDATE($D133,Milestones!$AA$150),"dd mmm yy"))&amp;" "&amp;Milestones!$AB$150&amp;" "&amp;IF(AND(Milestones!$AB$150="FT",Milestones!$AA$150=FT_Y5,EDATE($D133,Milestones!$AA$150)&lt;PolicyEff),1,Milestones!$AC$150)&amp;";  ","")&amp;IF(AND(EDATE($D133,Milestones!$AA$151)&lt;=AsOfDate,EDATE($D133,Milestones!$AA$151)&gt;=SchemeStart,IF($X133=0,$AD133,IF(AND($Z133&lt;&gt;"",EDATE($D133,Milestones!$AA$151)&gt;=$Z133),$AC133,IF(AND($Y133&lt;&gt;"",EDATE($D133,Milestones!$AA$151)&gt;=$Y133),$AB133,$AA133)))=Milestones!$AB$151),UPPER(TEXT(EDATE($D133,Milestones!$AA$151),"dd mmm yy"))&amp;" "&amp;Milestones!$AB$151&amp;" "&amp;IF(AND(Milestones!$AB$151="FT",Milestones!$AA$151=FT_Y5,EDATE($D133,Milestones!$AA$151)&lt;PolicyEff),1,Milestones!$AC$151)&amp;";  ",""))</f>
        <v/>
      </c>
      <c r="T133" s="0" t="str">
        <f aca="false">IF(OR($A133="",$D133=""),"",IF(AND(EDATE($D133,Milestones!$AA$152)&lt;=AsOfDate,EDATE($D133,Milestones!$AA$152)&gt;=SchemeStart,IF($X133=0,$AD133,IF(AND($Z133&lt;&gt;"",EDATE($D133,Milestones!$AA$152)&gt;=$Z133),$AC133,IF(AND($Y133&lt;&gt;"",EDATE($D133,Milestones!$AA$152)&gt;=$Y133),$AB133,$AA133)))=Milestones!$AB$152),UPPER(TEXT(EDATE($D133,Milestones!$AA$152),"dd mmm yy"))&amp;" "&amp;Milestones!$AB$152&amp;" "&amp;IF(AND(Milestones!$AB$152="FT",Milestones!$AA$152=FT_Y5,EDATE($D133,Milestones!$AA$152)&lt;PolicyEff),1,Milestones!$AC$152)&amp;";  ","")&amp;IF(AND(EDATE($D133,Milestones!$AA$153)&lt;=AsOfDate,EDATE($D133,Milestones!$AA$153)&gt;=SchemeStart,IF($X133=0,$AD133,IF(AND($Z133&lt;&gt;"",EDATE($D133,Milestones!$AA$153)&gt;=$Z133),$AC133,IF(AND($Y133&lt;&gt;"",EDATE($D133,Milestones!$AA$153)&gt;=$Y133),$AB133,$AA133)))=Milestones!$AB$153),UPPER(TEXT(EDATE($D133,Milestones!$AA$153),"dd mmm yy"))&amp;" "&amp;Milestones!$AB$153&amp;" "&amp;IF(AND(Milestones!$AB$153="FT",Milestones!$AA$153=FT_Y5,EDATE($D133,Milestones!$AA$153)&lt;PolicyEff),1,Milestones!$AC$153)&amp;";  ","")&amp;IF(AND(EDATE($D133,Milestones!$AA$154)&lt;=AsOfDate,EDATE($D133,Milestones!$AA$154)&gt;=SchemeStart,IF($X133=0,$AD133,IF(AND($Z133&lt;&gt;"",EDATE($D133,Milestones!$AA$154)&gt;=$Z133),$AC133,IF(AND($Y133&lt;&gt;"",EDATE($D133,Milestones!$AA$154)&gt;=$Y133),$AB133,$AA133)))=Milestones!$AB$154),UPPER(TEXT(EDATE($D133,Milestones!$AA$154),"dd mmm yy"))&amp;" "&amp;Milestones!$AB$154&amp;" "&amp;IF(AND(Milestones!$AB$154="FT",Milestones!$AA$154=FT_Y5,EDATE($D133,Milestones!$AA$154)&lt;PolicyEff),1,Milestones!$AC$154)&amp;";  ","")&amp;IF(AND(EDATE($D133,Milestones!$AA$155)&lt;=AsOfDate,EDATE($D133,Milestones!$AA$155)&gt;=SchemeStart,IF($X133=0,$AD133,IF(AND($Z133&lt;&gt;"",EDATE($D133,Milestones!$AA$155)&gt;=$Z133),$AC133,IF(AND($Y133&lt;&gt;"",EDATE($D133,Milestones!$AA$155)&gt;=$Y133),$AB133,$AA133)))=Milestones!$AB$155),UPPER(TEXT(EDATE($D133,Milestones!$AA$155),"dd mmm yy"))&amp;" "&amp;Milestones!$AB$155&amp;" "&amp;IF(AND(Milestones!$AB$155="FT",Milestones!$AA$155=FT_Y5,EDATE($D133,Milestones!$AA$155)&lt;PolicyEff),1,Milestones!$AC$155)&amp;";  ","")&amp;IF(AND(EDATE($D133,Milestones!$AA$156)&lt;=AsOfDate,EDATE($D133,Milestones!$AA$156)&gt;=SchemeStart,IF($X133=0,$AD133,IF(AND($Z133&lt;&gt;"",EDATE($D133,Milestones!$AA$156)&gt;=$Z133),$AC133,IF(AND($Y133&lt;&gt;"",EDATE($D133,Milestones!$AA$156)&gt;=$Y133),$AB133,$AA133)))=Milestones!$AB$156),UPPER(TEXT(EDATE($D133,Milestones!$AA$156),"dd mmm yy"))&amp;" "&amp;Milestones!$AB$156&amp;" "&amp;IF(AND(Milestones!$AB$156="FT",Milestones!$AA$156=FT_Y5,EDATE($D133,Milestones!$AA$156)&lt;PolicyEff),1,Milestones!$AC$156)&amp;";  ","")&amp;IF(AND(EDATE($D133,Milestones!$AA$157)&lt;=AsOfDate,EDATE($D133,Milestones!$AA$157)&gt;=SchemeStart,IF($X133=0,$AD133,IF(AND($Z133&lt;&gt;"",EDATE($D133,Milestones!$AA$157)&gt;=$Z133),$AC133,IF(AND($Y133&lt;&gt;"",EDATE($D133,Milestones!$AA$157)&gt;=$Y133),$AB133,$AA133)))=Milestones!$AB$157),UPPER(TEXT(EDATE($D133,Milestones!$AA$157),"dd mmm yy"))&amp;" "&amp;Milestones!$AB$157&amp;" "&amp;IF(AND(Milestones!$AB$157="FT",Milestones!$AA$157=FT_Y5,EDATE($D133,Milestones!$AA$157)&lt;PolicyEff),1,Milestones!$AC$157)&amp;";  ","")&amp;IF(AND(EDATE($D133,Milestones!$AA$158)&lt;=AsOfDate,EDATE($D133,Milestones!$AA$158)&gt;=SchemeStart,IF($X133=0,$AD133,IF(AND($Z133&lt;&gt;"",EDATE($D133,Milestones!$AA$158)&gt;=$Z133),$AC133,IF(AND($Y133&lt;&gt;"",EDATE($D133,Milestones!$AA$158)&gt;=$Y133),$AB133,$AA133)))=Milestones!$AB$158),UPPER(TEXT(EDATE($D133,Milestones!$AA$158),"dd mmm yy"))&amp;" "&amp;Milestones!$AB$158&amp;" "&amp;IF(AND(Milestones!$AB$158="FT",Milestones!$AA$158=FT_Y5,EDATE($D133,Milestones!$AA$158)&lt;PolicyEff),1,Milestones!$AC$158)&amp;";  ","")&amp;IF(AND(EDATE($D133,Milestones!$AA$159)&lt;=AsOfDate,EDATE($D133,Milestones!$AA$159)&gt;=SchemeStart,IF($X133=0,$AD133,IF(AND($Z133&lt;&gt;"",EDATE($D133,Milestones!$AA$159)&gt;=$Z133),$AC133,IF(AND($Y133&lt;&gt;"",EDATE($D133,Milestones!$AA$159)&gt;=$Y133),$AB133,$AA133)))=Milestones!$AB$159),UPPER(TEXT(EDATE($D133,Milestones!$AA$159),"dd mmm yy"))&amp;" "&amp;Milestones!$AB$159&amp;" "&amp;IF(AND(Milestones!$AB$159="FT",Milestones!$AA$159=FT_Y5,EDATE($D133,Milestones!$AA$159)&lt;PolicyEff),1,Milestones!$AC$159)&amp;";  ","")&amp;IF(AND(EDATE($D133,Milestones!$AA$160)&lt;=AsOfDate,EDATE($D133,Milestones!$AA$160)&gt;=SchemeStart,IF($X133=0,$AD133,IF(AND($Z133&lt;&gt;"",EDATE($D133,Milestones!$AA$160)&gt;=$Z133),$AC133,IF(AND($Y133&lt;&gt;"",EDATE($D133,Milestones!$AA$160)&gt;=$Y133),$AB133,$AA133)))=Milestones!$AB$160),UPPER(TEXT(EDATE($D133,Milestones!$AA$160),"dd mmm yy"))&amp;" "&amp;Milestones!$AB$160&amp;" "&amp;IF(AND(Milestones!$AB$160="FT",Milestones!$AA$160=FT_Y5,EDATE($D133,Milestones!$AA$160)&lt;PolicyEff),1,Milestones!$AC$160)&amp;";  ","")&amp;IF(AND(EDATE($D133,Milestones!$AA$161)&lt;=AsOfDate,EDATE($D133,Milestones!$AA$161)&gt;=SchemeStart,IF($X133=0,$AD133,IF(AND($Z133&lt;&gt;"",EDATE($D133,Milestones!$AA$161)&gt;=$Z133),$AC133,IF(AND($Y133&lt;&gt;"",EDATE($D133,Milestones!$AA$161)&gt;=$Y133),$AB133,$AA133)))=Milestones!$AB$161),UPPER(TEXT(EDATE($D133,Milestones!$AA$161),"dd mmm yy"))&amp;" "&amp;Milestones!$AB$161&amp;" "&amp;IF(AND(Milestones!$AB$161="FT",Milestones!$AA$161=FT_Y5,EDATE($D133,Milestones!$AA$161)&lt;PolicyEff),1,Milestones!$AC$161)&amp;";  ","")&amp;IF(AND(EDATE($D133,Milestones!$AA$162)&lt;=AsOfDate,EDATE($D133,Milestones!$AA$162)&gt;=SchemeStart,IF($X133=0,$AD133,IF(AND($Z133&lt;&gt;"",EDATE($D133,Milestones!$AA$162)&gt;=$Z133),$AC133,IF(AND($Y133&lt;&gt;"",EDATE($D133,Milestones!$AA$162)&gt;=$Y133),$AB133,$AA133)))=Milestones!$AB$162),UPPER(TEXT(EDATE($D133,Milestones!$AA$162),"dd mmm yy"))&amp;" "&amp;Milestones!$AB$162&amp;" "&amp;IF(AND(Milestones!$AB$162="FT",Milestones!$AA$162=FT_Y5,EDATE($D133,Milestones!$AA$162)&lt;PolicyEff),1,Milestones!$AC$162)&amp;";  ","")&amp;IF(AND(EDATE($D133,Milestones!$AA$163)&lt;=AsOfDate,EDATE($D133,Milestones!$AA$163)&gt;=SchemeStart,IF($X133=0,$AD133,IF(AND($Z133&lt;&gt;"",EDATE($D133,Milestones!$AA$163)&gt;=$Z133),$AC133,IF(AND($Y133&lt;&gt;"",EDATE($D133,Milestones!$AA$163)&gt;=$Y133),$AB133,$AA133)))=Milestones!$AB$163),UPPER(TEXT(EDATE($D133,Milestones!$AA$163),"dd mmm yy"))&amp;" "&amp;Milestones!$AB$163&amp;" "&amp;IF(AND(Milestones!$AB$163="FT",Milestones!$AA$163=FT_Y5,EDATE($D133,Milestones!$AA$163)&lt;PolicyEff),1,Milestones!$AC$163)&amp;";  ",""))</f>
        <v/>
      </c>
      <c r="U133" s="0" t="str">
        <f aca="false">IF(OR($A133="",$D133=""),"",IF(AND(EDATE($D133,Milestones!$AA$164)&lt;=AsOfDate,EDATE($D133,Milestones!$AA$164)&gt;=SchemeStart,IF($X133=0,$AD133,IF(AND($Z133&lt;&gt;"",EDATE($D133,Milestones!$AA$164)&gt;=$Z133),$AC133,IF(AND($Y133&lt;&gt;"",EDATE($D133,Milestones!$AA$164)&gt;=$Y133),$AB133,$AA133)))=Milestones!$AB$164),UPPER(TEXT(EDATE($D133,Milestones!$AA$164),"dd mmm yy"))&amp;" "&amp;Milestones!$AB$164&amp;" "&amp;IF(AND(Milestones!$AB$164="FT",Milestones!$AA$164=FT_Y5,EDATE($D133,Milestones!$AA$164)&lt;PolicyEff),1,Milestones!$AC$164)&amp;";  ","")&amp;IF(AND(EDATE($D133,Milestones!$AA$165)&lt;=AsOfDate,EDATE($D133,Milestones!$AA$165)&gt;=SchemeStart,IF($X133=0,$AD133,IF(AND($Z133&lt;&gt;"",EDATE($D133,Milestones!$AA$165)&gt;=$Z133),$AC133,IF(AND($Y133&lt;&gt;"",EDATE($D133,Milestones!$AA$165)&gt;=$Y133),$AB133,$AA133)))=Milestones!$AB$165),UPPER(TEXT(EDATE($D133,Milestones!$AA$165),"dd mmm yy"))&amp;" "&amp;Milestones!$AB$165&amp;" "&amp;IF(AND(Milestones!$AB$165="FT",Milestones!$AA$165=FT_Y5,EDATE($D133,Milestones!$AA$165)&lt;PolicyEff),1,Milestones!$AC$165)&amp;";  ","")&amp;IF(AND(EDATE($D133,Milestones!$AA$166)&lt;=AsOfDate,EDATE($D133,Milestones!$AA$166)&gt;=SchemeStart,IF($X133=0,$AD133,IF(AND($Z133&lt;&gt;"",EDATE($D133,Milestones!$AA$166)&gt;=$Z133),$AC133,IF(AND($Y133&lt;&gt;"",EDATE($D133,Milestones!$AA$166)&gt;=$Y133),$AB133,$AA133)))=Milestones!$AB$166),UPPER(TEXT(EDATE($D133,Milestones!$AA$166),"dd mmm yy"))&amp;" "&amp;Milestones!$AB$166&amp;" "&amp;IF(AND(Milestones!$AB$166="FT",Milestones!$AA$166=FT_Y5,EDATE($D133,Milestones!$AA$166)&lt;PolicyEff),1,Milestones!$AC$166)&amp;";  ","")&amp;IF(AND(EDATE($D133,Milestones!$AA$167)&lt;=AsOfDate,EDATE($D133,Milestones!$AA$167)&gt;=SchemeStart,IF($X133=0,$AD133,IF(AND($Z133&lt;&gt;"",EDATE($D133,Milestones!$AA$167)&gt;=$Z133),$AC133,IF(AND($Y133&lt;&gt;"",EDATE($D133,Milestones!$AA$167)&gt;=$Y133),$AB133,$AA133)))=Milestones!$AB$167),UPPER(TEXT(EDATE($D133,Milestones!$AA$167),"dd mmm yy"))&amp;" "&amp;Milestones!$AB$167&amp;" "&amp;IF(AND(Milestones!$AB$167="FT",Milestones!$AA$167=FT_Y5,EDATE($D133,Milestones!$AA$167)&lt;PolicyEff),1,Milestones!$AC$167)&amp;";  ","")&amp;IF(AND(EDATE($D133,Milestones!$AA$168)&lt;=AsOfDate,EDATE($D133,Milestones!$AA$168)&gt;=SchemeStart,IF($X133=0,$AD133,IF(AND($Z133&lt;&gt;"",EDATE($D133,Milestones!$AA$168)&gt;=$Z133),$AC133,IF(AND($Y133&lt;&gt;"",EDATE($D133,Milestones!$AA$168)&gt;=$Y133),$AB133,$AA133)))=Milestones!$AB$168),UPPER(TEXT(EDATE($D133,Milestones!$AA$168),"dd mmm yy"))&amp;" "&amp;Milestones!$AB$168&amp;" "&amp;IF(AND(Milestones!$AB$168="FT",Milestones!$AA$168=FT_Y5,EDATE($D133,Milestones!$AA$168)&lt;PolicyEff),1,Milestones!$AC$168)&amp;";  ","")&amp;IF(AND(EDATE($D133,Milestones!$AA$169)&lt;=AsOfDate,EDATE($D133,Milestones!$AA$169)&gt;=SchemeStart,IF($X133=0,$AD133,IF(AND($Z133&lt;&gt;"",EDATE($D133,Milestones!$AA$169)&gt;=$Z133),$AC133,IF(AND($Y133&lt;&gt;"",EDATE($D133,Milestones!$AA$169)&gt;=$Y133),$AB133,$AA133)))=Milestones!$AB$169),UPPER(TEXT(EDATE($D133,Milestones!$AA$169),"dd mmm yy"))&amp;" "&amp;Milestones!$AB$169&amp;" "&amp;IF(AND(Milestones!$AB$169="FT",Milestones!$AA$169=FT_Y5,EDATE($D133,Milestones!$AA$169)&lt;PolicyEff),1,Milestones!$AC$169)&amp;";  ","")&amp;IF(AND(EDATE($D133,Milestones!$AA$170)&lt;=AsOfDate,EDATE($D133,Milestones!$AA$170)&gt;=SchemeStart,IF($X133=0,$AD133,IF(AND($Z133&lt;&gt;"",EDATE($D133,Milestones!$AA$170)&gt;=$Z133),$AC133,IF(AND($Y133&lt;&gt;"",EDATE($D133,Milestones!$AA$170)&gt;=$Y133),$AB133,$AA133)))=Milestones!$AB$170),UPPER(TEXT(EDATE($D133,Milestones!$AA$170),"dd mmm yy"))&amp;" "&amp;Milestones!$AB$170&amp;" "&amp;IF(AND(Milestones!$AB$170="FT",Milestones!$AA$170=FT_Y5,EDATE($D133,Milestones!$AA$170)&lt;PolicyEff),1,Milestones!$AC$170)&amp;";  ","")&amp;IF(AND(EDATE($D133,Milestones!$AA$171)&lt;=AsOfDate,EDATE($D133,Milestones!$AA$171)&gt;=SchemeStart,IF($X133=0,$AD133,IF(AND($Z133&lt;&gt;"",EDATE($D133,Milestones!$AA$171)&gt;=$Z133),$AC133,IF(AND($Y133&lt;&gt;"",EDATE($D133,Milestones!$AA$171)&gt;=$Y133),$AB133,$AA133)))=Milestones!$AB$171),UPPER(TEXT(EDATE($D133,Milestones!$AA$171),"dd mmm yy"))&amp;" "&amp;Milestones!$AB$171&amp;" "&amp;IF(AND(Milestones!$AB$171="FT",Milestones!$AA$171=FT_Y5,EDATE($D133,Milestones!$AA$171)&lt;PolicyEff),1,Milestones!$AC$171)&amp;";  ","")&amp;IF(AND(EDATE($D133,Milestones!$AA$172)&lt;=AsOfDate,EDATE($D133,Milestones!$AA$172)&gt;=SchemeStart,IF($X133=0,$AD133,IF(AND($Z133&lt;&gt;"",EDATE($D133,Milestones!$AA$172)&gt;=$Z133),$AC133,IF(AND($Y133&lt;&gt;"",EDATE($D133,Milestones!$AA$172)&gt;=$Y133),$AB133,$AA133)))=Milestones!$AB$172),UPPER(TEXT(EDATE($D133,Milestones!$AA$172),"dd mmm yy"))&amp;" "&amp;Milestones!$AB$172&amp;" "&amp;IF(AND(Milestones!$AB$172="FT",Milestones!$AA$172=FT_Y5,EDATE($D133,Milestones!$AA$172)&lt;PolicyEff),1,Milestones!$AC$172)&amp;";  ","")&amp;IF(AND(EDATE($D133,Milestones!$AA$173)&lt;=AsOfDate,EDATE($D133,Milestones!$AA$173)&gt;=SchemeStart,IF($X133=0,$AD133,IF(AND($Z133&lt;&gt;"",EDATE($D133,Milestones!$AA$173)&gt;=$Z133),$AC133,IF(AND($Y133&lt;&gt;"",EDATE($D133,Milestones!$AA$173)&gt;=$Y133),$AB133,$AA133)))=Milestones!$AB$173),UPPER(TEXT(EDATE($D133,Milestones!$AA$173),"dd mmm yy"))&amp;" "&amp;Milestones!$AB$173&amp;" "&amp;IF(AND(Milestones!$AB$173="FT",Milestones!$AA$173=FT_Y5,EDATE($D133,Milestones!$AA$173)&lt;PolicyEff),1,Milestones!$AC$173)&amp;";  ","")&amp;IF(AND(EDATE($D133,Milestones!$AA$174)&lt;=AsOfDate,EDATE($D133,Milestones!$AA$174)&gt;=SchemeStart,IF($X133=0,$AD133,IF(AND($Z133&lt;&gt;"",EDATE($D133,Milestones!$AA$174)&gt;=$Z133),$AC133,IF(AND($Y133&lt;&gt;"",EDATE($D133,Milestones!$AA$174)&gt;=$Y133),$AB133,$AA133)))=Milestones!$AB$174),UPPER(TEXT(EDATE($D133,Milestones!$AA$174),"dd mmm yy"))&amp;" "&amp;Milestones!$AB$174&amp;" "&amp;IF(AND(Milestones!$AB$174="FT",Milestones!$AA$174=FT_Y5,EDATE($D133,Milestones!$AA$174)&lt;PolicyEff),1,Milestones!$AC$174)&amp;";  ","")&amp;IF(AND(EDATE($D133,Milestones!$AA$175)&lt;=AsOfDate,EDATE($D133,Milestones!$AA$175)&gt;=SchemeStart,IF($X133=0,$AD133,IF(AND($Z133&lt;&gt;"",EDATE($D133,Milestones!$AA$175)&gt;=$Z133),$AC133,IF(AND($Y133&lt;&gt;"",EDATE($D133,Milestones!$AA$175)&gt;=$Y133),$AB133,$AA133)))=Milestones!$AB$175),UPPER(TEXT(EDATE($D133,Milestones!$AA$175),"dd mmm yy"))&amp;" "&amp;Milestones!$AB$175&amp;" "&amp;IF(AND(Milestones!$AB$175="FT",Milestones!$AA$175=FT_Y5,EDATE($D133,Milestones!$AA$175)&lt;PolicyEff),1,Milestones!$AC$175)&amp;";  ",""))</f>
        <v/>
      </c>
      <c r="V133" s="0" t="str">
        <f aca="false">IF(OR($A133="",$D133=""),"",IF(AND(EDATE($D133,Milestones!$AA$176)&lt;=AsOfDate,EDATE($D133,Milestones!$AA$176)&gt;=SchemeStart,IF($X133=0,$AD133,IF(AND($Z133&lt;&gt;"",EDATE($D133,Milestones!$AA$176)&gt;=$Z133),$AC133,IF(AND($Y133&lt;&gt;"",EDATE($D133,Milestones!$AA$176)&gt;=$Y133),$AB133,$AA133)))=Milestones!$AB$176),UPPER(TEXT(EDATE($D133,Milestones!$AA$176),"dd mmm yy"))&amp;" "&amp;Milestones!$AB$176&amp;" "&amp;IF(AND(Milestones!$AB$176="FT",Milestones!$AA$176=FT_Y5,EDATE($D133,Milestones!$AA$176)&lt;PolicyEff),1,Milestones!$AC$176)&amp;";  ","")&amp;IF(AND(EDATE($D133,Milestones!$AA$177)&lt;=AsOfDate,EDATE($D133,Milestones!$AA$177)&gt;=SchemeStart,IF($X133=0,$AD133,IF(AND($Z133&lt;&gt;"",EDATE($D133,Milestones!$AA$177)&gt;=$Z133),$AC133,IF(AND($Y133&lt;&gt;"",EDATE($D133,Milestones!$AA$177)&gt;=$Y133),$AB133,$AA133)))=Milestones!$AB$177),UPPER(TEXT(EDATE($D133,Milestones!$AA$177),"dd mmm yy"))&amp;" "&amp;Milestones!$AB$177&amp;" "&amp;IF(AND(Milestones!$AB$177="FT",Milestones!$AA$177=FT_Y5,EDATE($D133,Milestones!$AA$177)&lt;PolicyEff),1,Milestones!$AC$177)&amp;";  ","")&amp;IF(AND(EDATE($D133,Milestones!$AA$178)&lt;=AsOfDate,EDATE($D133,Milestones!$AA$178)&gt;=SchemeStart,IF($X133=0,$AD133,IF(AND($Z133&lt;&gt;"",EDATE($D133,Milestones!$AA$178)&gt;=$Z133),$AC133,IF(AND($Y133&lt;&gt;"",EDATE($D133,Milestones!$AA$178)&gt;=$Y133),$AB133,$AA133)))=Milestones!$AB$178),UPPER(TEXT(EDATE($D133,Milestones!$AA$178),"dd mmm yy"))&amp;" "&amp;Milestones!$AB$178&amp;" "&amp;IF(AND(Milestones!$AB$178="FT",Milestones!$AA$178=FT_Y5,EDATE($D133,Milestones!$AA$178)&lt;PolicyEff),1,Milestones!$AC$178)&amp;";  ","")&amp;IF(AND(EDATE($D133,Milestones!$AA$179)&lt;=AsOfDate,EDATE($D133,Milestones!$AA$179)&gt;=SchemeStart,IF($X133=0,$AD133,IF(AND($Z133&lt;&gt;"",EDATE($D133,Milestones!$AA$179)&gt;=$Z133),$AC133,IF(AND($Y133&lt;&gt;"",EDATE($D133,Milestones!$AA$179)&gt;=$Y133),$AB133,$AA133)))=Milestones!$AB$179),UPPER(TEXT(EDATE($D133,Milestones!$AA$179),"dd mmm yy"))&amp;" "&amp;Milestones!$AB$179&amp;" "&amp;IF(AND(Milestones!$AB$179="FT",Milestones!$AA$179=FT_Y5,EDATE($D133,Milestones!$AA$179)&lt;PolicyEff),1,Milestones!$AC$179)&amp;";  ","")&amp;IF(AND(EDATE($D133,Milestones!$AA$180)&lt;=AsOfDate,EDATE($D133,Milestones!$AA$180)&gt;=SchemeStart,IF($X133=0,$AD133,IF(AND($Z133&lt;&gt;"",EDATE($D133,Milestones!$AA$180)&gt;=$Z133),$AC133,IF(AND($Y133&lt;&gt;"",EDATE($D133,Milestones!$AA$180)&gt;=$Y133),$AB133,$AA133)))=Milestones!$AB$180),UPPER(TEXT(EDATE($D133,Milestones!$AA$180),"dd mmm yy"))&amp;" "&amp;Milestones!$AB$180&amp;" "&amp;IF(AND(Milestones!$AB$180="FT",Milestones!$AA$180=FT_Y5,EDATE($D133,Milestones!$AA$180)&lt;PolicyEff),1,Milestones!$AC$180)&amp;";  ","")&amp;IF(AND(EDATE($D133,Milestones!$AA$181)&lt;=AsOfDate,EDATE($D133,Milestones!$AA$181)&gt;=SchemeStart,IF($X133=0,$AD133,IF(AND($Z133&lt;&gt;"",EDATE($D133,Milestones!$AA$181)&gt;=$Z133),$AC133,IF(AND($Y133&lt;&gt;"",EDATE($D133,Milestones!$AA$181)&gt;=$Y133),$AB133,$AA133)))=Milestones!$AB$181),UPPER(TEXT(EDATE($D133,Milestones!$AA$181),"dd mmm yy"))&amp;" "&amp;Milestones!$AB$181&amp;" "&amp;IF(AND(Milestones!$AB$181="FT",Milestones!$AA$181=FT_Y5,EDATE($D133,Milestones!$AA$181)&lt;PolicyEff),1,Milestones!$AC$181)&amp;";  ","")&amp;IF(AND(EDATE($D133,Milestones!$AA$182)&lt;=AsOfDate,EDATE($D133,Milestones!$AA$182)&gt;=SchemeStart,IF($X133=0,$AD133,IF(AND($Z133&lt;&gt;"",EDATE($D133,Milestones!$AA$182)&gt;=$Z133),$AC133,IF(AND($Y133&lt;&gt;"",EDATE($D133,Milestones!$AA$182)&gt;=$Y133),$AB133,$AA133)))=Milestones!$AB$182),UPPER(TEXT(EDATE($D133,Milestones!$AA$182),"dd mmm yy"))&amp;" "&amp;Milestones!$AB$182&amp;" "&amp;IF(AND(Milestones!$AB$182="FT",Milestones!$AA$182=FT_Y5,EDATE($D133,Milestones!$AA$182)&lt;PolicyEff),1,Milestones!$AC$182)&amp;";  ","")&amp;IF(AND(EDATE($D133,Milestones!$AA$183)&lt;=AsOfDate,EDATE($D133,Milestones!$AA$183)&gt;=SchemeStart,IF($X133=0,$AD133,IF(AND($Z133&lt;&gt;"",EDATE($D133,Milestones!$AA$183)&gt;=$Z133),$AC133,IF(AND($Y133&lt;&gt;"",EDATE($D133,Milestones!$AA$183)&gt;=$Y133),$AB133,$AA133)))=Milestones!$AB$183),UPPER(TEXT(EDATE($D133,Milestones!$AA$183),"dd mmm yy"))&amp;" "&amp;Milestones!$AB$183&amp;" "&amp;IF(AND(Milestones!$AB$183="FT",Milestones!$AA$183=FT_Y5,EDATE($D133,Milestones!$AA$183)&lt;PolicyEff),1,Milestones!$AC$183)&amp;";  ","")&amp;IF(AND(EDATE($D133,Milestones!$AA$184)&lt;=AsOfDate,EDATE($D133,Milestones!$AA$184)&gt;=SchemeStart,IF($X133=0,$AD133,IF(AND($Z133&lt;&gt;"",EDATE($D133,Milestones!$AA$184)&gt;=$Z133),$AC133,IF(AND($Y133&lt;&gt;"",EDATE($D133,Milestones!$AA$184)&gt;=$Y133),$AB133,$AA133)))=Milestones!$AB$184),UPPER(TEXT(EDATE($D133,Milestones!$AA$184),"dd mmm yy"))&amp;" "&amp;Milestones!$AB$184&amp;" "&amp;IF(AND(Milestones!$AB$184="FT",Milestones!$AA$184=FT_Y5,EDATE($D133,Milestones!$AA$184)&lt;PolicyEff),1,Milestones!$AC$184)&amp;";  ","")&amp;IF(AND(EDATE($D133,Milestones!$AA$185)&lt;=AsOfDate,EDATE($D133,Milestones!$AA$185)&gt;=SchemeStart,IF($X133=0,$AD133,IF(AND($Z133&lt;&gt;"",EDATE($D133,Milestones!$AA$185)&gt;=$Z133),$AC133,IF(AND($Y133&lt;&gt;"",EDATE($D133,Milestones!$AA$185)&gt;=$Y133),$AB133,$AA133)))=Milestones!$AB$185),UPPER(TEXT(EDATE($D133,Milestones!$AA$185),"dd mmm yy"))&amp;" "&amp;Milestones!$AB$185&amp;" "&amp;IF(AND(Milestones!$AB$185="FT",Milestones!$AA$185=FT_Y5,EDATE($D133,Milestones!$AA$185)&lt;PolicyEff),1,Milestones!$AC$185)&amp;";  ","")&amp;IF(AND(EDATE($D133,Milestones!$AA$186)&lt;=AsOfDate,EDATE($D133,Milestones!$AA$186)&gt;=SchemeStart,IF($X133=0,$AD133,IF(AND($Z133&lt;&gt;"",EDATE($D133,Milestones!$AA$186)&gt;=$Z133),$AC133,IF(AND($Y133&lt;&gt;"",EDATE($D133,Milestones!$AA$186)&gt;=$Y133),$AB133,$AA133)))=Milestones!$AB$186),UPPER(TEXT(EDATE($D133,Milestones!$AA$186),"dd mmm yy"))&amp;" "&amp;Milestones!$AB$186&amp;" "&amp;IF(AND(Milestones!$AB$186="FT",Milestones!$AA$186=FT_Y5,EDATE($D133,Milestones!$AA$186)&lt;PolicyEff),1,Milestones!$AC$186)&amp;";  ","")&amp;IF(AND(EDATE($D133,Milestones!$AA$187)&lt;=AsOfDate,EDATE($D133,Milestones!$AA$187)&gt;=SchemeStart,IF($X133=0,$AD133,IF(AND($Z133&lt;&gt;"",EDATE($D133,Milestones!$AA$187)&gt;=$Z133),$AC133,IF(AND($Y133&lt;&gt;"",EDATE($D133,Milestones!$AA$187)&gt;=$Y133),$AB133,$AA133)))=Milestones!$AB$187),UPPER(TEXT(EDATE($D133,Milestones!$AA$187),"dd mmm yy"))&amp;" "&amp;Milestones!$AB$187&amp;" "&amp;IF(AND(Milestones!$AB$187="FT",Milestones!$AA$187=FT_Y5,EDATE($D133,Milestones!$AA$187)&lt;PolicyEff),1,Milestones!$AC$187)&amp;";  ",""))</f>
        <v/>
      </c>
      <c r="W133" s="0" t="str">
        <f aca="false">IF(OR($A133="",$D133=""),"",IF(AND(EDATE($D133,Milestones!$AA$188)&lt;=AsOfDate,EDATE($D133,Milestones!$AA$188)&gt;=SchemeStart,IF($X133=0,$AD133,IF(AND($Z133&lt;&gt;"",EDATE($D133,Milestones!$AA$188)&gt;=$Z133),$AC133,IF(AND($Y133&lt;&gt;"",EDATE($D133,Milestones!$AA$188)&gt;=$Y133),$AB133,$AA133)))=Milestones!$AB$188),UPPER(TEXT(EDATE($D133,Milestones!$AA$188),"dd mmm yy"))&amp;" "&amp;Milestones!$AB$188&amp;" "&amp;IF(AND(Milestones!$AB$188="FT",Milestones!$AA$188=FT_Y5,EDATE($D133,Milestones!$AA$188)&lt;PolicyEff),1,Milestones!$AC$188)&amp;";  ","")&amp;IF(AND(EDATE($D133,Milestones!$AA$189)&lt;=AsOfDate,EDATE($D133,Milestones!$AA$189)&gt;=SchemeStart,IF($X133=0,$AD133,IF(AND($Z133&lt;&gt;"",EDATE($D133,Milestones!$AA$189)&gt;=$Z133),$AC133,IF(AND($Y133&lt;&gt;"",EDATE($D133,Milestones!$AA$189)&gt;=$Y133),$AB133,$AA133)))=Milestones!$AB$189),UPPER(TEXT(EDATE($D133,Milestones!$AA$189),"dd mmm yy"))&amp;" "&amp;Milestones!$AB$189&amp;" "&amp;IF(AND(Milestones!$AB$189="FT",Milestones!$AA$189=FT_Y5,EDATE($D133,Milestones!$AA$189)&lt;PolicyEff),1,Milestones!$AC$189)&amp;";  ","")&amp;IF(AND(EDATE($D133,Milestones!$AA$190)&lt;=AsOfDate,EDATE($D133,Milestones!$AA$190)&gt;=SchemeStart,IF($X133=0,$AD133,IF(AND($Z133&lt;&gt;"",EDATE($D133,Milestones!$AA$190)&gt;=$Z133),$AC133,IF(AND($Y133&lt;&gt;"",EDATE($D133,Milestones!$AA$190)&gt;=$Y133),$AB133,$AA133)))=Milestones!$AB$190),UPPER(TEXT(EDATE($D133,Milestones!$AA$190),"dd mmm yy"))&amp;" "&amp;Milestones!$AB$190&amp;" "&amp;IF(AND(Milestones!$AB$190="FT",Milestones!$AA$190=FT_Y5,EDATE($D133,Milestones!$AA$190)&lt;PolicyEff),1,Milestones!$AC$190)&amp;";  ","")&amp;IF(AND(EDATE($D133,Milestones!$AA$191)&lt;=AsOfDate,EDATE($D133,Milestones!$AA$191)&gt;=SchemeStart,IF($X133=0,$AD133,IF(AND($Z133&lt;&gt;"",EDATE($D133,Milestones!$AA$191)&gt;=$Z133),$AC133,IF(AND($Y133&lt;&gt;"",EDATE($D133,Milestones!$AA$191)&gt;=$Y133),$AB133,$AA133)))=Milestones!$AB$191),UPPER(TEXT(EDATE($D133,Milestones!$AA$191),"dd mmm yy"))&amp;" "&amp;Milestones!$AB$191&amp;" "&amp;IF(AND(Milestones!$AB$191="FT",Milestones!$AA$191=FT_Y5,EDATE($D133,Milestones!$AA$191)&lt;PolicyEff),1,Milestones!$AC$191)&amp;";  ","")&amp;IF(AND(EDATE($D133,Milestones!$AA$192)&lt;=AsOfDate,EDATE($D133,Milestones!$AA$192)&gt;=SchemeStart,IF($X133=0,$AD133,IF(AND($Z133&lt;&gt;"",EDATE($D133,Milestones!$AA$192)&gt;=$Z133),$AC133,IF(AND($Y133&lt;&gt;"",EDATE($D133,Milestones!$AA$192)&gt;=$Y133),$AB133,$AA133)))=Milestones!$AB$192),UPPER(TEXT(EDATE($D133,Milestones!$AA$192),"dd mmm yy"))&amp;" "&amp;Milestones!$AB$192&amp;" "&amp;IF(AND(Milestones!$AB$192="FT",Milestones!$AA$192=FT_Y5,EDATE($D133,Milestones!$AA$192)&lt;PolicyEff),1,Milestones!$AC$192)&amp;";  ","")&amp;IF(AND(EDATE($D133,Milestones!$AA$193)&lt;=AsOfDate,EDATE($D133,Milestones!$AA$193)&gt;=SchemeStart,IF($X133=0,$AD133,IF(AND($Z133&lt;&gt;"",EDATE($D133,Milestones!$AA$193)&gt;=$Z133),$AC133,IF(AND($Y133&lt;&gt;"",EDATE($D133,Milestones!$AA$193)&gt;=$Y133),$AB133,$AA133)))=Milestones!$AB$193),UPPER(TEXT(EDATE($D133,Milestones!$AA$193),"dd mmm yy"))&amp;" "&amp;Milestones!$AB$193&amp;" "&amp;IF(AND(Milestones!$AB$193="FT",Milestones!$AA$193=FT_Y5,EDATE($D133,Milestones!$AA$193)&lt;PolicyEff),1,Milestones!$AC$193)&amp;";  ","")&amp;IF(AND(EDATE($D133,Milestones!$AA$194)&lt;=AsOfDate,EDATE($D133,Milestones!$AA$194)&gt;=SchemeStart,IF($X133=0,$AD133,IF(AND($Z133&lt;&gt;"",EDATE($D133,Milestones!$AA$194)&gt;=$Z133),$AC133,IF(AND($Y133&lt;&gt;"",EDATE($D133,Milestones!$AA$194)&gt;=$Y133),$AB133,$AA133)))=Milestones!$AB$194),UPPER(TEXT(EDATE($D133,Milestones!$AA$194),"dd mmm yy"))&amp;" "&amp;Milestones!$AB$194&amp;" "&amp;IF(AND(Milestones!$AB$194="FT",Milestones!$AA$194=FT_Y5,EDATE($D133,Milestones!$AA$194)&lt;PolicyEff),1,Milestones!$AC$194)&amp;";  ","")&amp;IF(AND(EDATE($D133,Milestones!$AA$195)&lt;=AsOfDate,EDATE($D133,Milestones!$AA$195)&gt;=SchemeStart,IF($X133=0,$AD133,IF(AND($Z133&lt;&gt;"",EDATE($D133,Milestones!$AA$195)&gt;=$Z133),$AC133,IF(AND($Y133&lt;&gt;"",EDATE($D133,Milestones!$AA$195)&gt;=$Y133),$AB133,$AA133)))=Milestones!$AB$195),UPPER(TEXT(EDATE($D133,Milestones!$AA$195),"dd mmm yy"))&amp;" "&amp;Milestones!$AB$195&amp;" "&amp;IF(AND(Milestones!$AB$195="FT",Milestones!$AA$195=FT_Y5,EDATE($D133,Milestones!$AA$195)&lt;PolicyEff),1,Milestones!$AC$195)&amp;";  ","")&amp;IF(AND(EDATE($D133,Milestones!$AA$196)&lt;=AsOfDate,EDATE($D133,Milestones!$AA$196)&gt;=SchemeStart,IF($X133=0,$AD133,IF(AND($Z133&lt;&gt;"",EDATE($D133,Milestones!$AA$196)&gt;=$Z133),$AC133,IF(AND($Y133&lt;&gt;"",EDATE($D133,Milestones!$AA$196)&gt;=$Y133),$AB133,$AA133)))=Milestones!$AB$196),UPPER(TEXT(EDATE($D133,Milestones!$AA$196),"dd mmm yy"))&amp;" "&amp;Milestones!$AB$196&amp;" "&amp;IF(AND(Milestones!$AB$196="FT",Milestones!$AA$196=FT_Y5,EDATE($D133,Milestones!$AA$196)&lt;PolicyEff),1,Milestones!$AC$196)&amp;";  ","")&amp;IF(AND(EDATE($D133,Milestones!$AA$197)&lt;=AsOfDate,EDATE($D133,Milestones!$AA$197)&gt;=SchemeStart,IF($X133=0,$AD133,IF(AND($Z133&lt;&gt;"",EDATE($D133,Milestones!$AA$197)&gt;=$Z133),$AC133,IF(AND($Y133&lt;&gt;"",EDATE($D133,Milestones!$AA$197)&gt;=$Y133),$AB133,$AA133)))=Milestones!$AB$197),UPPER(TEXT(EDATE($D133,Milestones!$AA$197),"dd mmm yy"))&amp;" "&amp;Milestones!$AB$197&amp;" "&amp;IF(AND(Milestones!$AB$197="FT",Milestones!$AA$197=FT_Y5,EDATE($D133,Milestones!$AA$197)&lt;PolicyEff),1,Milestones!$AC$197)&amp;";  ","")&amp;IF(AND(EDATE($D133,Milestones!$AA$198)&lt;=AsOfDate,EDATE($D133,Milestones!$AA$198)&gt;=SchemeStart,IF($X133=0,$AD133,IF(AND($Z133&lt;&gt;"",EDATE($D133,Milestones!$AA$198)&gt;=$Z133),$AC133,IF(AND($Y133&lt;&gt;"",EDATE($D133,Milestones!$AA$198)&gt;=$Y133),$AB133,$AA133)))=Milestones!$AB$198),UPPER(TEXT(EDATE($D133,Milestones!$AA$198),"dd mmm yy"))&amp;" "&amp;Milestones!$AB$198&amp;" "&amp;IF(AND(Milestones!$AB$198="FT",Milestones!$AA$198=FT_Y5,EDATE($D133,Milestones!$AA$198)&lt;PolicyEff),1,Milestones!$AC$198)&amp;";  ","")&amp;IF(AND(EDATE($D133,Milestones!$AA$199)&lt;=AsOfDate,EDATE($D133,Milestones!$AA$199)&gt;=SchemeStart,IF($X133=0,$AD133,IF(AND($Z133&lt;&gt;"",EDATE($D133,Milestones!$AA$199)&gt;=$Z133),$AC133,IF(AND($Y133&lt;&gt;"",EDATE($D133,Milestones!$AA$199)&gt;=$Y133),$AB133,$AA133)))=Milestones!$AB$199),UPPER(TEXT(EDATE($D133,Milestones!$AA$199),"dd mmm yy"))&amp;" "&amp;Milestones!$AB$199&amp;" "&amp;IF(AND(Milestones!$AB$199="FT",Milestones!$AA$199=FT_Y5,EDATE($D133,Milestones!$AA$199)&lt;PolicyEff),1,Milestones!$AC$199)&amp;";  ",""))</f>
        <v/>
      </c>
      <c r="X133" s="0" t="str">
        <f aca="false">IF(Staff!$A133="","",Staff!$AM133)</f>
        <v/>
      </c>
      <c r="Y133" s="0" t="str">
        <f aca="false">IF(Staff!$A133="","",Staff!$AO133)</f>
        <v/>
      </c>
      <c r="Z133" s="0" t="str">
        <f aca="false">IF(Staff!$A133="","",Staff!$AP133)</f>
        <v/>
      </c>
      <c r="AA133" s="0" t="str">
        <f aca="false">IF(Staff!$A133="","",Staff!$AT133)</f>
        <v/>
      </c>
      <c r="AB133" s="0" t="str">
        <f aca="false">IF(Staff!$A133="","",Staff!$AU133)</f>
        <v/>
      </c>
      <c r="AC133" s="0" t="str">
        <f aca="false">IF(Staff!$A133="","",Staff!$AV133)</f>
        <v/>
      </c>
      <c r="AD133" s="0" t="str">
        <f aca="false">IF(Staff!$A133="","",Staff!$AW133)</f>
        <v/>
      </c>
    </row>
    <row r="134" customFormat="false" ht="15" hidden="false" customHeight="false" outlineLevel="0" collapsed="false">
      <c r="A134" s="16" t="str">
        <f aca="false">IF(Staff!$A134="","",Staff!$A134)</f>
        <v/>
      </c>
      <c r="B134" s="16" t="str">
        <f aca="false">IF(Staff!$A134="","",Staff!$B134)</f>
        <v/>
      </c>
      <c r="C134" s="16" t="str">
        <f aca="false">IF(Staff!$A134="","",Staff!$C134)</f>
        <v/>
      </c>
      <c r="D134" s="14" t="str">
        <f aca="false">IF(Staff!$A134="","",Staff!$AL134)</f>
        <v/>
      </c>
      <c r="E134" s="16" t="str">
        <f aca="false">IF(Staff!$A134="","",Staff!$O134)</f>
        <v/>
      </c>
      <c r="F134" s="16" t="str">
        <f aca="false">IF(E134="","",E134*HoursPerDay)</f>
        <v/>
      </c>
      <c r="G134" s="16" t="str">
        <f aca="false">IF(Staff!$A134="","",Staff!$AE134)</f>
        <v/>
      </c>
      <c r="H134" s="28" t="str">
        <f aca="false">IF($A134="","",I134&amp;J134&amp;K134&amp;L134&amp;M134&amp;N134&amp;O134&amp;P134&amp;Q134&amp;R134&amp;S134&amp;T134&amp;U134&amp;V134&amp;W134)</f>
        <v/>
      </c>
      <c r="I134" s="0" t="str">
        <f aca="false">IF(OR($A134="",$D134=""),"",IF(AND(EDATE($D134,Milestones!$AA$20)&lt;=AsOfDate,EDATE($D134,Milestones!$AA$20)&gt;=SchemeStart,IF($X134=0,$AD134,IF(AND($Z134&lt;&gt;"",EDATE($D134,Milestones!$AA$20)&gt;=$Z134),$AC134,IF(AND($Y134&lt;&gt;"",EDATE($D134,Milestones!$AA$20)&gt;=$Y134),$AB134,$AA134)))=Milestones!$AB$20),UPPER(TEXT(EDATE($D134,Milestones!$AA$20),"dd mmm yy"))&amp;" "&amp;Milestones!$AB$20&amp;" "&amp;IF(AND(Milestones!$AB$20="FT",Milestones!$AA$20=FT_Y5,EDATE($D134,Milestones!$AA$20)&lt;PolicyEff),1,Milestones!$AC$20)&amp;";  ","")&amp;IF(AND(EDATE($D134,Milestones!$AA$21)&lt;=AsOfDate,EDATE($D134,Milestones!$AA$21)&gt;=SchemeStart,IF($X134=0,$AD134,IF(AND($Z134&lt;&gt;"",EDATE($D134,Milestones!$AA$21)&gt;=$Z134),$AC134,IF(AND($Y134&lt;&gt;"",EDATE($D134,Milestones!$AA$21)&gt;=$Y134),$AB134,$AA134)))=Milestones!$AB$21),UPPER(TEXT(EDATE($D134,Milestones!$AA$21),"dd mmm yy"))&amp;" "&amp;Milestones!$AB$21&amp;" "&amp;IF(AND(Milestones!$AB$21="FT",Milestones!$AA$21=FT_Y5,EDATE($D134,Milestones!$AA$21)&lt;PolicyEff),1,Milestones!$AC$21)&amp;";  ","")&amp;IF(AND(EDATE($D134,Milestones!$AA$22)&lt;=AsOfDate,EDATE($D134,Milestones!$AA$22)&gt;=SchemeStart,IF($X134=0,$AD134,IF(AND($Z134&lt;&gt;"",EDATE($D134,Milestones!$AA$22)&gt;=$Z134),$AC134,IF(AND($Y134&lt;&gt;"",EDATE($D134,Milestones!$AA$22)&gt;=$Y134),$AB134,$AA134)))=Milestones!$AB$22),UPPER(TEXT(EDATE($D134,Milestones!$AA$22),"dd mmm yy"))&amp;" "&amp;Milestones!$AB$22&amp;" "&amp;IF(AND(Milestones!$AB$22="FT",Milestones!$AA$22=FT_Y5,EDATE($D134,Milestones!$AA$22)&lt;PolicyEff),1,Milestones!$AC$22)&amp;";  ","")&amp;IF(AND(EDATE($D134,Milestones!$AA$23)&lt;=AsOfDate,EDATE($D134,Milestones!$AA$23)&gt;=SchemeStart,IF($X134=0,$AD134,IF(AND($Z134&lt;&gt;"",EDATE($D134,Milestones!$AA$23)&gt;=$Z134),$AC134,IF(AND($Y134&lt;&gt;"",EDATE($D134,Milestones!$AA$23)&gt;=$Y134),$AB134,$AA134)))=Milestones!$AB$23),UPPER(TEXT(EDATE($D134,Milestones!$AA$23),"dd mmm yy"))&amp;" "&amp;Milestones!$AB$23&amp;" "&amp;IF(AND(Milestones!$AB$23="FT",Milestones!$AA$23=FT_Y5,EDATE($D134,Milestones!$AA$23)&lt;PolicyEff),1,Milestones!$AC$23)&amp;";  ","")&amp;IF(AND(EDATE($D134,Milestones!$AA$24)&lt;=AsOfDate,EDATE($D134,Milestones!$AA$24)&gt;=SchemeStart,IF($X134=0,$AD134,IF(AND($Z134&lt;&gt;"",EDATE($D134,Milestones!$AA$24)&gt;=$Z134),$AC134,IF(AND($Y134&lt;&gt;"",EDATE($D134,Milestones!$AA$24)&gt;=$Y134),$AB134,$AA134)))=Milestones!$AB$24),UPPER(TEXT(EDATE($D134,Milestones!$AA$24),"dd mmm yy"))&amp;" "&amp;Milestones!$AB$24&amp;" "&amp;IF(AND(Milestones!$AB$24="FT",Milestones!$AA$24=FT_Y5,EDATE($D134,Milestones!$AA$24)&lt;PolicyEff),1,Milestones!$AC$24)&amp;";  ","")&amp;IF(AND(EDATE($D134,Milestones!$AA$25)&lt;=AsOfDate,EDATE($D134,Milestones!$AA$25)&gt;=SchemeStart,IF($X134=0,$AD134,IF(AND($Z134&lt;&gt;"",EDATE($D134,Milestones!$AA$25)&gt;=$Z134),$AC134,IF(AND($Y134&lt;&gt;"",EDATE($D134,Milestones!$AA$25)&gt;=$Y134),$AB134,$AA134)))=Milestones!$AB$25),UPPER(TEXT(EDATE($D134,Milestones!$AA$25),"dd mmm yy"))&amp;" "&amp;Milestones!$AB$25&amp;" "&amp;IF(AND(Milestones!$AB$25="FT",Milestones!$AA$25=FT_Y5,EDATE($D134,Milestones!$AA$25)&lt;PolicyEff),1,Milestones!$AC$25)&amp;";  ","")&amp;IF(AND(EDATE($D134,Milestones!$AA$26)&lt;=AsOfDate,EDATE($D134,Milestones!$AA$26)&gt;=SchemeStart,IF($X134=0,$AD134,IF(AND($Z134&lt;&gt;"",EDATE($D134,Milestones!$AA$26)&gt;=$Z134),$AC134,IF(AND($Y134&lt;&gt;"",EDATE($D134,Milestones!$AA$26)&gt;=$Y134),$AB134,$AA134)))=Milestones!$AB$26),UPPER(TEXT(EDATE($D134,Milestones!$AA$26),"dd mmm yy"))&amp;" "&amp;Milestones!$AB$26&amp;" "&amp;IF(AND(Milestones!$AB$26="FT",Milestones!$AA$26=FT_Y5,EDATE($D134,Milestones!$AA$26)&lt;PolicyEff),1,Milestones!$AC$26)&amp;";  ","")&amp;IF(AND(EDATE($D134,Milestones!$AA$27)&lt;=AsOfDate,EDATE($D134,Milestones!$AA$27)&gt;=SchemeStart,IF($X134=0,$AD134,IF(AND($Z134&lt;&gt;"",EDATE($D134,Milestones!$AA$27)&gt;=$Z134),$AC134,IF(AND($Y134&lt;&gt;"",EDATE($D134,Milestones!$AA$27)&gt;=$Y134),$AB134,$AA134)))=Milestones!$AB$27),UPPER(TEXT(EDATE($D134,Milestones!$AA$27),"dd mmm yy"))&amp;" "&amp;Milestones!$AB$27&amp;" "&amp;IF(AND(Milestones!$AB$27="FT",Milestones!$AA$27=FT_Y5,EDATE($D134,Milestones!$AA$27)&lt;PolicyEff),1,Milestones!$AC$27)&amp;";  ","")&amp;IF(AND(EDATE($D134,Milestones!$AA$28)&lt;=AsOfDate,EDATE($D134,Milestones!$AA$28)&gt;=SchemeStart,IF($X134=0,$AD134,IF(AND($Z134&lt;&gt;"",EDATE($D134,Milestones!$AA$28)&gt;=$Z134),$AC134,IF(AND($Y134&lt;&gt;"",EDATE($D134,Milestones!$AA$28)&gt;=$Y134),$AB134,$AA134)))=Milestones!$AB$28),UPPER(TEXT(EDATE($D134,Milestones!$AA$28),"dd mmm yy"))&amp;" "&amp;Milestones!$AB$28&amp;" "&amp;IF(AND(Milestones!$AB$28="FT",Milestones!$AA$28=FT_Y5,EDATE($D134,Milestones!$AA$28)&lt;PolicyEff),1,Milestones!$AC$28)&amp;";  ","")&amp;IF(AND(EDATE($D134,Milestones!$AA$29)&lt;=AsOfDate,EDATE($D134,Milestones!$AA$29)&gt;=SchemeStart,IF($X134=0,$AD134,IF(AND($Z134&lt;&gt;"",EDATE($D134,Milestones!$AA$29)&gt;=$Z134),$AC134,IF(AND($Y134&lt;&gt;"",EDATE($D134,Milestones!$AA$29)&gt;=$Y134),$AB134,$AA134)))=Milestones!$AB$29),UPPER(TEXT(EDATE($D134,Milestones!$AA$29),"dd mmm yy"))&amp;" "&amp;Milestones!$AB$29&amp;" "&amp;IF(AND(Milestones!$AB$29="FT",Milestones!$AA$29=FT_Y5,EDATE($D134,Milestones!$AA$29)&lt;PolicyEff),1,Milestones!$AC$29)&amp;";  ","")&amp;IF(AND(EDATE($D134,Milestones!$AA$30)&lt;=AsOfDate,EDATE($D134,Milestones!$AA$30)&gt;=SchemeStart,IF($X134=0,$AD134,IF(AND($Z134&lt;&gt;"",EDATE($D134,Milestones!$AA$30)&gt;=$Z134),$AC134,IF(AND($Y134&lt;&gt;"",EDATE($D134,Milestones!$AA$30)&gt;=$Y134),$AB134,$AA134)))=Milestones!$AB$30),UPPER(TEXT(EDATE($D134,Milestones!$AA$30),"dd mmm yy"))&amp;" "&amp;Milestones!$AB$30&amp;" "&amp;IF(AND(Milestones!$AB$30="FT",Milestones!$AA$30=FT_Y5,EDATE($D134,Milestones!$AA$30)&lt;PolicyEff),1,Milestones!$AC$30)&amp;";  ","")&amp;IF(AND(EDATE($D134,Milestones!$AA$31)&lt;=AsOfDate,EDATE($D134,Milestones!$AA$31)&gt;=SchemeStart,IF($X134=0,$AD134,IF(AND($Z134&lt;&gt;"",EDATE($D134,Milestones!$AA$31)&gt;=$Z134),$AC134,IF(AND($Y134&lt;&gt;"",EDATE($D134,Milestones!$AA$31)&gt;=$Y134),$AB134,$AA134)))=Milestones!$AB$31),UPPER(TEXT(EDATE($D134,Milestones!$AA$31),"dd mmm yy"))&amp;" "&amp;Milestones!$AB$31&amp;" "&amp;IF(AND(Milestones!$AB$31="FT",Milestones!$AA$31=FT_Y5,EDATE($D134,Milestones!$AA$31)&lt;PolicyEff),1,Milestones!$AC$31)&amp;";  ",""))</f>
        <v/>
      </c>
      <c r="J134" s="0" t="str">
        <f aca="false">IF(OR($A134="",$D134=""),"",IF(AND(EDATE($D134,Milestones!$AA$32)&lt;=AsOfDate,EDATE($D134,Milestones!$AA$32)&gt;=SchemeStart,IF($X134=0,$AD134,IF(AND($Z134&lt;&gt;"",EDATE($D134,Milestones!$AA$32)&gt;=$Z134),$AC134,IF(AND($Y134&lt;&gt;"",EDATE($D134,Milestones!$AA$32)&gt;=$Y134),$AB134,$AA134)))=Milestones!$AB$32),UPPER(TEXT(EDATE($D134,Milestones!$AA$32),"dd mmm yy"))&amp;" "&amp;Milestones!$AB$32&amp;" "&amp;IF(AND(Milestones!$AB$32="FT",Milestones!$AA$32=FT_Y5,EDATE($D134,Milestones!$AA$32)&lt;PolicyEff),1,Milestones!$AC$32)&amp;";  ","")&amp;IF(AND(EDATE($D134,Milestones!$AA$33)&lt;=AsOfDate,EDATE($D134,Milestones!$AA$33)&gt;=SchemeStart,IF($X134=0,$AD134,IF(AND($Z134&lt;&gt;"",EDATE($D134,Milestones!$AA$33)&gt;=$Z134),$AC134,IF(AND($Y134&lt;&gt;"",EDATE($D134,Milestones!$AA$33)&gt;=$Y134),$AB134,$AA134)))=Milestones!$AB$33),UPPER(TEXT(EDATE($D134,Milestones!$AA$33),"dd mmm yy"))&amp;" "&amp;Milestones!$AB$33&amp;" "&amp;IF(AND(Milestones!$AB$33="FT",Milestones!$AA$33=FT_Y5,EDATE($D134,Milestones!$AA$33)&lt;PolicyEff),1,Milestones!$AC$33)&amp;";  ","")&amp;IF(AND(EDATE($D134,Milestones!$AA$34)&lt;=AsOfDate,EDATE($D134,Milestones!$AA$34)&gt;=SchemeStart,IF($X134=0,$AD134,IF(AND($Z134&lt;&gt;"",EDATE($D134,Milestones!$AA$34)&gt;=$Z134),$AC134,IF(AND($Y134&lt;&gt;"",EDATE($D134,Milestones!$AA$34)&gt;=$Y134),$AB134,$AA134)))=Milestones!$AB$34),UPPER(TEXT(EDATE($D134,Milestones!$AA$34),"dd mmm yy"))&amp;" "&amp;Milestones!$AB$34&amp;" "&amp;IF(AND(Milestones!$AB$34="FT",Milestones!$AA$34=FT_Y5,EDATE($D134,Milestones!$AA$34)&lt;PolicyEff),1,Milestones!$AC$34)&amp;";  ","")&amp;IF(AND(EDATE($D134,Milestones!$AA$35)&lt;=AsOfDate,EDATE($D134,Milestones!$AA$35)&gt;=SchemeStart,IF($X134=0,$AD134,IF(AND($Z134&lt;&gt;"",EDATE($D134,Milestones!$AA$35)&gt;=$Z134),$AC134,IF(AND($Y134&lt;&gt;"",EDATE($D134,Milestones!$AA$35)&gt;=$Y134),$AB134,$AA134)))=Milestones!$AB$35),UPPER(TEXT(EDATE($D134,Milestones!$AA$35),"dd mmm yy"))&amp;" "&amp;Milestones!$AB$35&amp;" "&amp;IF(AND(Milestones!$AB$35="FT",Milestones!$AA$35=FT_Y5,EDATE($D134,Milestones!$AA$35)&lt;PolicyEff),1,Milestones!$AC$35)&amp;";  ","")&amp;IF(AND(EDATE($D134,Milestones!$AA$36)&lt;=AsOfDate,EDATE($D134,Milestones!$AA$36)&gt;=SchemeStart,IF($X134=0,$AD134,IF(AND($Z134&lt;&gt;"",EDATE($D134,Milestones!$AA$36)&gt;=$Z134),$AC134,IF(AND($Y134&lt;&gt;"",EDATE($D134,Milestones!$AA$36)&gt;=$Y134),$AB134,$AA134)))=Milestones!$AB$36),UPPER(TEXT(EDATE($D134,Milestones!$AA$36),"dd mmm yy"))&amp;" "&amp;Milestones!$AB$36&amp;" "&amp;IF(AND(Milestones!$AB$36="FT",Milestones!$AA$36=FT_Y5,EDATE($D134,Milestones!$AA$36)&lt;PolicyEff),1,Milestones!$AC$36)&amp;";  ","")&amp;IF(AND(EDATE($D134,Milestones!$AA$37)&lt;=AsOfDate,EDATE($D134,Milestones!$AA$37)&gt;=SchemeStart,IF($X134=0,$AD134,IF(AND($Z134&lt;&gt;"",EDATE($D134,Milestones!$AA$37)&gt;=$Z134),$AC134,IF(AND($Y134&lt;&gt;"",EDATE($D134,Milestones!$AA$37)&gt;=$Y134),$AB134,$AA134)))=Milestones!$AB$37),UPPER(TEXT(EDATE($D134,Milestones!$AA$37),"dd mmm yy"))&amp;" "&amp;Milestones!$AB$37&amp;" "&amp;IF(AND(Milestones!$AB$37="FT",Milestones!$AA$37=FT_Y5,EDATE($D134,Milestones!$AA$37)&lt;PolicyEff),1,Milestones!$AC$37)&amp;";  ","")&amp;IF(AND(EDATE($D134,Milestones!$AA$38)&lt;=AsOfDate,EDATE($D134,Milestones!$AA$38)&gt;=SchemeStart,IF($X134=0,$AD134,IF(AND($Z134&lt;&gt;"",EDATE($D134,Milestones!$AA$38)&gt;=$Z134),$AC134,IF(AND($Y134&lt;&gt;"",EDATE($D134,Milestones!$AA$38)&gt;=$Y134),$AB134,$AA134)))=Milestones!$AB$38),UPPER(TEXT(EDATE($D134,Milestones!$AA$38),"dd mmm yy"))&amp;" "&amp;Milestones!$AB$38&amp;" "&amp;IF(AND(Milestones!$AB$38="FT",Milestones!$AA$38=FT_Y5,EDATE($D134,Milestones!$AA$38)&lt;PolicyEff),1,Milestones!$AC$38)&amp;";  ","")&amp;IF(AND(EDATE($D134,Milestones!$AA$39)&lt;=AsOfDate,EDATE($D134,Milestones!$AA$39)&gt;=SchemeStart,IF($X134=0,$AD134,IF(AND($Z134&lt;&gt;"",EDATE($D134,Milestones!$AA$39)&gt;=$Z134),$AC134,IF(AND($Y134&lt;&gt;"",EDATE($D134,Milestones!$AA$39)&gt;=$Y134),$AB134,$AA134)))=Milestones!$AB$39),UPPER(TEXT(EDATE($D134,Milestones!$AA$39),"dd mmm yy"))&amp;" "&amp;Milestones!$AB$39&amp;" "&amp;IF(AND(Milestones!$AB$39="FT",Milestones!$AA$39=FT_Y5,EDATE($D134,Milestones!$AA$39)&lt;PolicyEff),1,Milestones!$AC$39)&amp;";  ","")&amp;IF(AND(EDATE($D134,Milestones!$AA$40)&lt;=AsOfDate,EDATE($D134,Milestones!$AA$40)&gt;=SchemeStart,IF($X134=0,$AD134,IF(AND($Z134&lt;&gt;"",EDATE($D134,Milestones!$AA$40)&gt;=$Z134),$AC134,IF(AND($Y134&lt;&gt;"",EDATE($D134,Milestones!$AA$40)&gt;=$Y134),$AB134,$AA134)))=Milestones!$AB$40),UPPER(TEXT(EDATE($D134,Milestones!$AA$40),"dd mmm yy"))&amp;" "&amp;Milestones!$AB$40&amp;" "&amp;IF(AND(Milestones!$AB$40="FT",Milestones!$AA$40=FT_Y5,EDATE($D134,Milestones!$AA$40)&lt;PolicyEff),1,Milestones!$AC$40)&amp;";  ","")&amp;IF(AND(EDATE($D134,Milestones!$AA$41)&lt;=AsOfDate,EDATE($D134,Milestones!$AA$41)&gt;=SchemeStart,IF($X134=0,$AD134,IF(AND($Z134&lt;&gt;"",EDATE($D134,Milestones!$AA$41)&gt;=$Z134),$AC134,IF(AND($Y134&lt;&gt;"",EDATE($D134,Milestones!$AA$41)&gt;=$Y134),$AB134,$AA134)))=Milestones!$AB$41),UPPER(TEXT(EDATE($D134,Milestones!$AA$41),"dd mmm yy"))&amp;" "&amp;Milestones!$AB$41&amp;" "&amp;IF(AND(Milestones!$AB$41="FT",Milestones!$AA$41=FT_Y5,EDATE($D134,Milestones!$AA$41)&lt;PolicyEff),1,Milestones!$AC$41)&amp;";  ","")&amp;IF(AND(EDATE($D134,Milestones!$AA$42)&lt;=AsOfDate,EDATE($D134,Milestones!$AA$42)&gt;=SchemeStart,IF($X134=0,$AD134,IF(AND($Z134&lt;&gt;"",EDATE($D134,Milestones!$AA$42)&gt;=$Z134),$AC134,IF(AND($Y134&lt;&gt;"",EDATE($D134,Milestones!$AA$42)&gt;=$Y134),$AB134,$AA134)))=Milestones!$AB$42),UPPER(TEXT(EDATE($D134,Milestones!$AA$42),"dd mmm yy"))&amp;" "&amp;Milestones!$AB$42&amp;" "&amp;IF(AND(Milestones!$AB$42="FT",Milestones!$AA$42=FT_Y5,EDATE($D134,Milestones!$AA$42)&lt;PolicyEff),1,Milestones!$AC$42)&amp;";  ","")&amp;IF(AND(EDATE($D134,Milestones!$AA$43)&lt;=AsOfDate,EDATE($D134,Milestones!$AA$43)&gt;=SchemeStart,IF($X134=0,$AD134,IF(AND($Z134&lt;&gt;"",EDATE($D134,Milestones!$AA$43)&gt;=$Z134),$AC134,IF(AND($Y134&lt;&gt;"",EDATE($D134,Milestones!$AA$43)&gt;=$Y134),$AB134,$AA134)))=Milestones!$AB$43),UPPER(TEXT(EDATE($D134,Milestones!$AA$43),"dd mmm yy"))&amp;" "&amp;Milestones!$AB$43&amp;" "&amp;IF(AND(Milestones!$AB$43="FT",Milestones!$AA$43=FT_Y5,EDATE($D134,Milestones!$AA$43)&lt;PolicyEff),1,Milestones!$AC$43)&amp;";  ",""))</f>
        <v/>
      </c>
      <c r="K134" s="0" t="str">
        <f aca="false">IF(OR($A134="",$D134=""),"",IF(AND(EDATE($D134,Milestones!$AA$44)&lt;=AsOfDate,EDATE($D134,Milestones!$AA$44)&gt;=SchemeStart,IF($X134=0,$AD134,IF(AND($Z134&lt;&gt;"",EDATE($D134,Milestones!$AA$44)&gt;=$Z134),$AC134,IF(AND($Y134&lt;&gt;"",EDATE($D134,Milestones!$AA$44)&gt;=$Y134),$AB134,$AA134)))=Milestones!$AB$44),UPPER(TEXT(EDATE($D134,Milestones!$AA$44),"dd mmm yy"))&amp;" "&amp;Milestones!$AB$44&amp;" "&amp;IF(AND(Milestones!$AB$44="FT",Milestones!$AA$44=FT_Y5,EDATE($D134,Milestones!$AA$44)&lt;PolicyEff),1,Milestones!$AC$44)&amp;";  ","")&amp;IF(AND(EDATE($D134,Milestones!$AA$45)&lt;=AsOfDate,EDATE($D134,Milestones!$AA$45)&gt;=SchemeStart,IF($X134=0,$AD134,IF(AND($Z134&lt;&gt;"",EDATE($D134,Milestones!$AA$45)&gt;=$Z134),$AC134,IF(AND($Y134&lt;&gt;"",EDATE($D134,Milestones!$AA$45)&gt;=$Y134),$AB134,$AA134)))=Milestones!$AB$45),UPPER(TEXT(EDATE($D134,Milestones!$AA$45),"dd mmm yy"))&amp;" "&amp;Milestones!$AB$45&amp;" "&amp;IF(AND(Milestones!$AB$45="FT",Milestones!$AA$45=FT_Y5,EDATE($D134,Milestones!$AA$45)&lt;PolicyEff),1,Milestones!$AC$45)&amp;";  ","")&amp;IF(AND(EDATE($D134,Milestones!$AA$46)&lt;=AsOfDate,EDATE($D134,Milestones!$AA$46)&gt;=SchemeStart,IF($X134=0,$AD134,IF(AND($Z134&lt;&gt;"",EDATE($D134,Milestones!$AA$46)&gt;=$Z134),$AC134,IF(AND($Y134&lt;&gt;"",EDATE($D134,Milestones!$AA$46)&gt;=$Y134),$AB134,$AA134)))=Milestones!$AB$46),UPPER(TEXT(EDATE($D134,Milestones!$AA$46),"dd mmm yy"))&amp;" "&amp;Milestones!$AB$46&amp;" "&amp;IF(AND(Milestones!$AB$46="FT",Milestones!$AA$46=FT_Y5,EDATE($D134,Milestones!$AA$46)&lt;PolicyEff),1,Milestones!$AC$46)&amp;";  ","")&amp;IF(AND(EDATE($D134,Milestones!$AA$47)&lt;=AsOfDate,EDATE($D134,Milestones!$AA$47)&gt;=SchemeStart,IF($X134=0,$AD134,IF(AND($Z134&lt;&gt;"",EDATE($D134,Milestones!$AA$47)&gt;=$Z134),$AC134,IF(AND($Y134&lt;&gt;"",EDATE($D134,Milestones!$AA$47)&gt;=$Y134),$AB134,$AA134)))=Milestones!$AB$47),UPPER(TEXT(EDATE($D134,Milestones!$AA$47),"dd mmm yy"))&amp;" "&amp;Milestones!$AB$47&amp;" "&amp;IF(AND(Milestones!$AB$47="FT",Milestones!$AA$47=FT_Y5,EDATE($D134,Milestones!$AA$47)&lt;PolicyEff),1,Milestones!$AC$47)&amp;";  ","")&amp;IF(AND(EDATE($D134,Milestones!$AA$48)&lt;=AsOfDate,EDATE($D134,Milestones!$AA$48)&gt;=SchemeStart,IF($X134=0,$AD134,IF(AND($Z134&lt;&gt;"",EDATE($D134,Milestones!$AA$48)&gt;=$Z134),$AC134,IF(AND($Y134&lt;&gt;"",EDATE($D134,Milestones!$AA$48)&gt;=$Y134),$AB134,$AA134)))=Milestones!$AB$48),UPPER(TEXT(EDATE($D134,Milestones!$AA$48),"dd mmm yy"))&amp;" "&amp;Milestones!$AB$48&amp;" "&amp;IF(AND(Milestones!$AB$48="FT",Milestones!$AA$48=FT_Y5,EDATE($D134,Milestones!$AA$48)&lt;PolicyEff),1,Milestones!$AC$48)&amp;";  ","")&amp;IF(AND(EDATE($D134,Milestones!$AA$49)&lt;=AsOfDate,EDATE($D134,Milestones!$AA$49)&gt;=SchemeStart,IF($X134=0,$AD134,IF(AND($Z134&lt;&gt;"",EDATE($D134,Milestones!$AA$49)&gt;=$Z134),$AC134,IF(AND($Y134&lt;&gt;"",EDATE($D134,Milestones!$AA$49)&gt;=$Y134),$AB134,$AA134)))=Milestones!$AB$49),UPPER(TEXT(EDATE($D134,Milestones!$AA$49),"dd mmm yy"))&amp;" "&amp;Milestones!$AB$49&amp;" "&amp;IF(AND(Milestones!$AB$49="FT",Milestones!$AA$49=FT_Y5,EDATE($D134,Milestones!$AA$49)&lt;PolicyEff),1,Milestones!$AC$49)&amp;";  ","")&amp;IF(AND(EDATE($D134,Milestones!$AA$50)&lt;=AsOfDate,EDATE($D134,Milestones!$AA$50)&gt;=SchemeStart,IF($X134=0,$AD134,IF(AND($Z134&lt;&gt;"",EDATE($D134,Milestones!$AA$50)&gt;=$Z134),$AC134,IF(AND($Y134&lt;&gt;"",EDATE($D134,Milestones!$AA$50)&gt;=$Y134),$AB134,$AA134)))=Milestones!$AB$50),UPPER(TEXT(EDATE($D134,Milestones!$AA$50),"dd mmm yy"))&amp;" "&amp;Milestones!$AB$50&amp;" "&amp;IF(AND(Milestones!$AB$50="FT",Milestones!$AA$50=FT_Y5,EDATE($D134,Milestones!$AA$50)&lt;PolicyEff),1,Milestones!$AC$50)&amp;";  ","")&amp;IF(AND(EDATE($D134,Milestones!$AA$51)&lt;=AsOfDate,EDATE($D134,Milestones!$AA$51)&gt;=SchemeStart,IF($X134=0,$AD134,IF(AND($Z134&lt;&gt;"",EDATE($D134,Milestones!$AA$51)&gt;=$Z134),$AC134,IF(AND($Y134&lt;&gt;"",EDATE($D134,Milestones!$AA$51)&gt;=$Y134),$AB134,$AA134)))=Milestones!$AB$51),UPPER(TEXT(EDATE($D134,Milestones!$AA$51),"dd mmm yy"))&amp;" "&amp;Milestones!$AB$51&amp;" "&amp;IF(AND(Milestones!$AB$51="FT",Milestones!$AA$51=FT_Y5,EDATE($D134,Milestones!$AA$51)&lt;PolicyEff),1,Milestones!$AC$51)&amp;";  ","")&amp;IF(AND(EDATE($D134,Milestones!$AA$52)&lt;=AsOfDate,EDATE($D134,Milestones!$AA$52)&gt;=SchemeStart,IF($X134=0,$AD134,IF(AND($Z134&lt;&gt;"",EDATE($D134,Milestones!$AA$52)&gt;=$Z134),$AC134,IF(AND($Y134&lt;&gt;"",EDATE($D134,Milestones!$AA$52)&gt;=$Y134),$AB134,$AA134)))=Milestones!$AB$52),UPPER(TEXT(EDATE($D134,Milestones!$AA$52),"dd mmm yy"))&amp;" "&amp;Milestones!$AB$52&amp;" "&amp;IF(AND(Milestones!$AB$52="FT",Milestones!$AA$52=FT_Y5,EDATE($D134,Milestones!$AA$52)&lt;PolicyEff),1,Milestones!$AC$52)&amp;";  ","")&amp;IF(AND(EDATE($D134,Milestones!$AA$53)&lt;=AsOfDate,EDATE($D134,Milestones!$AA$53)&gt;=SchemeStart,IF($X134=0,$AD134,IF(AND($Z134&lt;&gt;"",EDATE($D134,Milestones!$AA$53)&gt;=$Z134),$AC134,IF(AND($Y134&lt;&gt;"",EDATE($D134,Milestones!$AA$53)&gt;=$Y134),$AB134,$AA134)))=Milestones!$AB$53),UPPER(TEXT(EDATE($D134,Milestones!$AA$53),"dd mmm yy"))&amp;" "&amp;Milestones!$AB$53&amp;" "&amp;IF(AND(Milestones!$AB$53="FT",Milestones!$AA$53=FT_Y5,EDATE($D134,Milestones!$AA$53)&lt;PolicyEff),1,Milestones!$AC$53)&amp;";  ","")&amp;IF(AND(EDATE($D134,Milestones!$AA$54)&lt;=AsOfDate,EDATE($D134,Milestones!$AA$54)&gt;=SchemeStart,IF($X134=0,$AD134,IF(AND($Z134&lt;&gt;"",EDATE($D134,Milestones!$AA$54)&gt;=$Z134),$AC134,IF(AND($Y134&lt;&gt;"",EDATE($D134,Milestones!$AA$54)&gt;=$Y134),$AB134,$AA134)))=Milestones!$AB$54),UPPER(TEXT(EDATE($D134,Milestones!$AA$54),"dd mmm yy"))&amp;" "&amp;Milestones!$AB$54&amp;" "&amp;IF(AND(Milestones!$AB$54="FT",Milestones!$AA$54=FT_Y5,EDATE($D134,Milestones!$AA$54)&lt;PolicyEff),1,Milestones!$AC$54)&amp;";  ","")&amp;IF(AND(EDATE($D134,Milestones!$AA$55)&lt;=AsOfDate,EDATE($D134,Milestones!$AA$55)&gt;=SchemeStart,IF($X134=0,$AD134,IF(AND($Z134&lt;&gt;"",EDATE($D134,Milestones!$AA$55)&gt;=$Z134),$AC134,IF(AND($Y134&lt;&gt;"",EDATE($D134,Milestones!$AA$55)&gt;=$Y134),$AB134,$AA134)))=Milestones!$AB$55),UPPER(TEXT(EDATE($D134,Milestones!$AA$55),"dd mmm yy"))&amp;" "&amp;Milestones!$AB$55&amp;" "&amp;IF(AND(Milestones!$AB$55="FT",Milestones!$AA$55=FT_Y5,EDATE($D134,Milestones!$AA$55)&lt;PolicyEff),1,Milestones!$AC$55)&amp;";  ",""))</f>
        <v/>
      </c>
      <c r="L134" s="0" t="str">
        <f aca="false">IF(OR($A134="",$D134=""),"",IF(AND(EDATE($D134,Milestones!$AA$56)&lt;=AsOfDate,EDATE($D134,Milestones!$AA$56)&gt;=SchemeStart,IF($X134=0,$AD134,IF(AND($Z134&lt;&gt;"",EDATE($D134,Milestones!$AA$56)&gt;=$Z134),$AC134,IF(AND($Y134&lt;&gt;"",EDATE($D134,Milestones!$AA$56)&gt;=$Y134),$AB134,$AA134)))=Milestones!$AB$56),UPPER(TEXT(EDATE($D134,Milestones!$AA$56),"dd mmm yy"))&amp;" "&amp;Milestones!$AB$56&amp;" "&amp;IF(AND(Milestones!$AB$56="FT",Milestones!$AA$56=FT_Y5,EDATE($D134,Milestones!$AA$56)&lt;PolicyEff),1,Milestones!$AC$56)&amp;";  ","")&amp;IF(AND(EDATE($D134,Milestones!$AA$57)&lt;=AsOfDate,EDATE($D134,Milestones!$AA$57)&gt;=SchemeStart,IF($X134=0,$AD134,IF(AND($Z134&lt;&gt;"",EDATE($D134,Milestones!$AA$57)&gt;=$Z134),$AC134,IF(AND($Y134&lt;&gt;"",EDATE($D134,Milestones!$AA$57)&gt;=$Y134),$AB134,$AA134)))=Milestones!$AB$57),UPPER(TEXT(EDATE($D134,Milestones!$AA$57),"dd mmm yy"))&amp;" "&amp;Milestones!$AB$57&amp;" "&amp;IF(AND(Milestones!$AB$57="FT",Milestones!$AA$57=FT_Y5,EDATE($D134,Milestones!$AA$57)&lt;PolicyEff),1,Milestones!$AC$57)&amp;";  ","")&amp;IF(AND(EDATE($D134,Milestones!$AA$58)&lt;=AsOfDate,EDATE($D134,Milestones!$AA$58)&gt;=SchemeStart,IF($X134=0,$AD134,IF(AND($Z134&lt;&gt;"",EDATE($D134,Milestones!$AA$58)&gt;=$Z134),$AC134,IF(AND($Y134&lt;&gt;"",EDATE($D134,Milestones!$AA$58)&gt;=$Y134),$AB134,$AA134)))=Milestones!$AB$58),UPPER(TEXT(EDATE($D134,Milestones!$AA$58),"dd mmm yy"))&amp;" "&amp;Milestones!$AB$58&amp;" "&amp;IF(AND(Milestones!$AB$58="FT",Milestones!$AA$58=FT_Y5,EDATE($D134,Milestones!$AA$58)&lt;PolicyEff),1,Milestones!$AC$58)&amp;";  ","")&amp;IF(AND(EDATE($D134,Milestones!$AA$59)&lt;=AsOfDate,EDATE($D134,Milestones!$AA$59)&gt;=SchemeStart,IF($X134=0,$AD134,IF(AND($Z134&lt;&gt;"",EDATE($D134,Milestones!$AA$59)&gt;=$Z134),$AC134,IF(AND($Y134&lt;&gt;"",EDATE($D134,Milestones!$AA$59)&gt;=$Y134),$AB134,$AA134)))=Milestones!$AB$59),UPPER(TEXT(EDATE($D134,Milestones!$AA$59),"dd mmm yy"))&amp;" "&amp;Milestones!$AB$59&amp;" "&amp;IF(AND(Milestones!$AB$59="FT",Milestones!$AA$59=FT_Y5,EDATE($D134,Milestones!$AA$59)&lt;PolicyEff),1,Milestones!$AC$59)&amp;";  ","")&amp;IF(AND(EDATE($D134,Milestones!$AA$60)&lt;=AsOfDate,EDATE($D134,Milestones!$AA$60)&gt;=SchemeStart,IF($X134=0,$AD134,IF(AND($Z134&lt;&gt;"",EDATE($D134,Milestones!$AA$60)&gt;=$Z134),$AC134,IF(AND($Y134&lt;&gt;"",EDATE($D134,Milestones!$AA$60)&gt;=$Y134),$AB134,$AA134)))=Milestones!$AB$60),UPPER(TEXT(EDATE($D134,Milestones!$AA$60),"dd mmm yy"))&amp;" "&amp;Milestones!$AB$60&amp;" "&amp;IF(AND(Milestones!$AB$60="FT",Milestones!$AA$60=FT_Y5,EDATE($D134,Milestones!$AA$60)&lt;PolicyEff),1,Milestones!$AC$60)&amp;";  ","")&amp;IF(AND(EDATE($D134,Milestones!$AA$61)&lt;=AsOfDate,EDATE($D134,Milestones!$AA$61)&gt;=SchemeStart,IF($X134=0,$AD134,IF(AND($Z134&lt;&gt;"",EDATE($D134,Milestones!$AA$61)&gt;=$Z134),$AC134,IF(AND($Y134&lt;&gt;"",EDATE($D134,Milestones!$AA$61)&gt;=$Y134),$AB134,$AA134)))=Milestones!$AB$61),UPPER(TEXT(EDATE($D134,Milestones!$AA$61),"dd mmm yy"))&amp;" "&amp;Milestones!$AB$61&amp;" "&amp;IF(AND(Milestones!$AB$61="FT",Milestones!$AA$61=FT_Y5,EDATE($D134,Milestones!$AA$61)&lt;PolicyEff),1,Milestones!$AC$61)&amp;";  ","")&amp;IF(AND(EDATE($D134,Milestones!$AA$62)&lt;=AsOfDate,EDATE($D134,Milestones!$AA$62)&gt;=SchemeStart,IF($X134=0,$AD134,IF(AND($Z134&lt;&gt;"",EDATE($D134,Milestones!$AA$62)&gt;=$Z134),$AC134,IF(AND($Y134&lt;&gt;"",EDATE($D134,Milestones!$AA$62)&gt;=$Y134),$AB134,$AA134)))=Milestones!$AB$62),UPPER(TEXT(EDATE($D134,Milestones!$AA$62),"dd mmm yy"))&amp;" "&amp;Milestones!$AB$62&amp;" "&amp;IF(AND(Milestones!$AB$62="FT",Milestones!$AA$62=FT_Y5,EDATE($D134,Milestones!$AA$62)&lt;PolicyEff),1,Milestones!$AC$62)&amp;";  ","")&amp;IF(AND(EDATE($D134,Milestones!$AA$63)&lt;=AsOfDate,EDATE($D134,Milestones!$AA$63)&gt;=SchemeStart,IF($X134=0,$AD134,IF(AND($Z134&lt;&gt;"",EDATE($D134,Milestones!$AA$63)&gt;=$Z134),$AC134,IF(AND($Y134&lt;&gt;"",EDATE($D134,Milestones!$AA$63)&gt;=$Y134),$AB134,$AA134)))=Milestones!$AB$63),UPPER(TEXT(EDATE($D134,Milestones!$AA$63),"dd mmm yy"))&amp;" "&amp;Milestones!$AB$63&amp;" "&amp;IF(AND(Milestones!$AB$63="FT",Milestones!$AA$63=FT_Y5,EDATE($D134,Milestones!$AA$63)&lt;PolicyEff),1,Milestones!$AC$63)&amp;";  ","")&amp;IF(AND(EDATE($D134,Milestones!$AA$64)&lt;=AsOfDate,EDATE($D134,Milestones!$AA$64)&gt;=SchemeStart,IF($X134=0,$AD134,IF(AND($Z134&lt;&gt;"",EDATE($D134,Milestones!$AA$64)&gt;=$Z134),$AC134,IF(AND($Y134&lt;&gt;"",EDATE($D134,Milestones!$AA$64)&gt;=$Y134),$AB134,$AA134)))=Milestones!$AB$64),UPPER(TEXT(EDATE($D134,Milestones!$AA$64),"dd mmm yy"))&amp;" "&amp;Milestones!$AB$64&amp;" "&amp;IF(AND(Milestones!$AB$64="FT",Milestones!$AA$64=FT_Y5,EDATE($D134,Milestones!$AA$64)&lt;PolicyEff),1,Milestones!$AC$64)&amp;";  ","")&amp;IF(AND(EDATE($D134,Milestones!$AA$65)&lt;=AsOfDate,EDATE($D134,Milestones!$AA$65)&gt;=SchemeStart,IF($X134=0,$AD134,IF(AND($Z134&lt;&gt;"",EDATE($D134,Milestones!$AA$65)&gt;=$Z134),$AC134,IF(AND($Y134&lt;&gt;"",EDATE($D134,Milestones!$AA$65)&gt;=$Y134),$AB134,$AA134)))=Milestones!$AB$65),UPPER(TEXT(EDATE($D134,Milestones!$AA$65),"dd mmm yy"))&amp;" "&amp;Milestones!$AB$65&amp;" "&amp;IF(AND(Milestones!$AB$65="FT",Milestones!$AA$65=FT_Y5,EDATE($D134,Milestones!$AA$65)&lt;PolicyEff),1,Milestones!$AC$65)&amp;";  ","")&amp;IF(AND(EDATE($D134,Milestones!$AA$66)&lt;=AsOfDate,EDATE($D134,Milestones!$AA$66)&gt;=SchemeStart,IF($X134=0,$AD134,IF(AND($Z134&lt;&gt;"",EDATE($D134,Milestones!$AA$66)&gt;=$Z134),$AC134,IF(AND($Y134&lt;&gt;"",EDATE($D134,Milestones!$AA$66)&gt;=$Y134),$AB134,$AA134)))=Milestones!$AB$66),UPPER(TEXT(EDATE($D134,Milestones!$AA$66),"dd mmm yy"))&amp;" "&amp;Milestones!$AB$66&amp;" "&amp;IF(AND(Milestones!$AB$66="FT",Milestones!$AA$66=FT_Y5,EDATE($D134,Milestones!$AA$66)&lt;PolicyEff),1,Milestones!$AC$66)&amp;";  ","")&amp;IF(AND(EDATE($D134,Milestones!$AA$67)&lt;=AsOfDate,EDATE($D134,Milestones!$AA$67)&gt;=SchemeStart,IF($X134=0,$AD134,IF(AND($Z134&lt;&gt;"",EDATE($D134,Milestones!$AA$67)&gt;=$Z134),$AC134,IF(AND($Y134&lt;&gt;"",EDATE($D134,Milestones!$AA$67)&gt;=$Y134),$AB134,$AA134)))=Milestones!$AB$67),UPPER(TEXT(EDATE($D134,Milestones!$AA$67),"dd mmm yy"))&amp;" "&amp;Milestones!$AB$67&amp;" "&amp;IF(AND(Milestones!$AB$67="FT",Milestones!$AA$67=FT_Y5,EDATE($D134,Milestones!$AA$67)&lt;PolicyEff),1,Milestones!$AC$67)&amp;";  ",""))</f>
        <v/>
      </c>
      <c r="M134" s="0" t="str">
        <f aca="false">IF(OR($A134="",$D134=""),"",IF(AND(EDATE($D134,Milestones!$AA$68)&lt;=AsOfDate,EDATE($D134,Milestones!$AA$68)&gt;=SchemeStart,IF($X134=0,$AD134,IF(AND($Z134&lt;&gt;"",EDATE($D134,Milestones!$AA$68)&gt;=$Z134),$AC134,IF(AND($Y134&lt;&gt;"",EDATE($D134,Milestones!$AA$68)&gt;=$Y134),$AB134,$AA134)))=Milestones!$AB$68),UPPER(TEXT(EDATE($D134,Milestones!$AA$68),"dd mmm yy"))&amp;" "&amp;Milestones!$AB$68&amp;" "&amp;IF(AND(Milestones!$AB$68="FT",Milestones!$AA$68=FT_Y5,EDATE($D134,Milestones!$AA$68)&lt;PolicyEff),1,Milestones!$AC$68)&amp;";  ","")&amp;IF(AND(EDATE($D134,Milestones!$AA$69)&lt;=AsOfDate,EDATE($D134,Milestones!$AA$69)&gt;=SchemeStart,IF($X134=0,$AD134,IF(AND($Z134&lt;&gt;"",EDATE($D134,Milestones!$AA$69)&gt;=$Z134),$AC134,IF(AND($Y134&lt;&gt;"",EDATE($D134,Milestones!$AA$69)&gt;=$Y134),$AB134,$AA134)))=Milestones!$AB$69),UPPER(TEXT(EDATE($D134,Milestones!$AA$69),"dd mmm yy"))&amp;" "&amp;Milestones!$AB$69&amp;" "&amp;IF(AND(Milestones!$AB$69="FT",Milestones!$AA$69=FT_Y5,EDATE($D134,Milestones!$AA$69)&lt;PolicyEff),1,Milestones!$AC$69)&amp;";  ","")&amp;IF(AND(EDATE($D134,Milestones!$AA$70)&lt;=AsOfDate,EDATE($D134,Milestones!$AA$70)&gt;=SchemeStart,IF($X134=0,$AD134,IF(AND($Z134&lt;&gt;"",EDATE($D134,Milestones!$AA$70)&gt;=$Z134),$AC134,IF(AND($Y134&lt;&gt;"",EDATE($D134,Milestones!$AA$70)&gt;=$Y134),$AB134,$AA134)))=Milestones!$AB$70),UPPER(TEXT(EDATE($D134,Milestones!$AA$70),"dd mmm yy"))&amp;" "&amp;Milestones!$AB$70&amp;" "&amp;IF(AND(Milestones!$AB$70="FT",Milestones!$AA$70=FT_Y5,EDATE($D134,Milestones!$AA$70)&lt;PolicyEff),1,Milestones!$AC$70)&amp;";  ","")&amp;IF(AND(EDATE($D134,Milestones!$AA$71)&lt;=AsOfDate,EDATE($D134,Milestones!$AA$71)&gt;=SchemeStart,IF($X134=0,$AD134,IF(AND($Z134&lt;&gt;"",EDATE($D134,Milestones!$AA$71)&gt;=$Z134),$AC134,IF(AND($Y134&lt;&gt;"",EDATE($D134,Milestones!$AA$71)&gt;=$Y134),$AB134,$AA134)))=Milestones!$AB$71),UPPER(TEXT(EDATE($D134,Milestones!$AA$71),"dd mmm yy"))&amp;" "&amp;Milestones!$AB$71&amp;" "&amp;IF(AND(Milestones!$AB$71="FT",Milestones!$AA$71=FT_Y5,EDATE($D134,Milestones!$AA$71)&lt;PolicyEff),1,Milestones!$AC$71)&amp;";  ","")&amp;IF(AND(EDATE($D134,Milestones!$AA$72)&lt;=AsOfDate,EDATE($D134,Milestones!$AA$72)&gt;=SchemeStart,IF($X134=0,$AD134,IF(AND($Z134&lt;&gt;"",EDATE($D134,Milestones!$AA$72)&gt;=$Z134),$AC134,IF(AND($Y134&lt;&gt;"",EDATE($D134,Milestones!$AA$72)&gt;=$Y134),$AB134,$AA134)))=Milestones!$AB$72),UPPER(TEXT(EDATE($D134,Milestones!$AA$72),"dd mmm yy"))&amp;" "&amp;Milestones!$AB$72&amp;" "&amp;IF(AND(Milestones!$AB$72="FT",Milestones!$AA$72=FT_Y5,EDATE($D134,Milestones!$AA$72)&lt;PolicyEff),1,Milestones!$AC$72)&amp;";  ","")&amp;IF(AND(EDATE($D134,Milestones!$AA$73)&lt;=AsOfDate,EDATE($D134,Milestones!$AA$73)&gt;=SchemeStart,IF($X134=0,$AD134,IF(AND($Z134&lt;&gt;"",EDATE($D134,Milestones!$AA$73)&gt;=$Z134),$AC134,IF(AND($Y134&lt;&gt;"",EDATE($D134,Milestones!$AA$73)&gt;=$Y134),$AB134,$AA134)))=Milestones!$AB$73),UPPER(TEXT(EDATE($D134,Milestones!$AA$73),"dd mmm yy"))&amp;" "&amp;Milestones!$AB$73&amp;" "&amp;IF(AND(Milestones!$AB$73="FT",Milestones!$AA$73=FT_Y5,EDATE($D134,Milestones!$AA$73)&lt;PolicyEff),1,Milestones!$AC$73)&amp;";  ","")&amp;IF(AND(EDATE($D134,Milestones!$AA$74)&lt;=AsOfDate,EDATE($D134,Milestones!$AA$74)&gt;=SchemeStart,IF($X134=0,$AD134,IF(AND($Z134&lt;&gt;"",EDATE($D134,Milestones!$AA$74)&gt;=$Z134),$AC134,IF(AND($Y134&lt;&gt;"",EDATE($D134,Milestones!$AA$74)&gt;=$Y134),$AB134,$AA134)))=Milestones!$AB$74),UPPER(TEXT(EDATE($D134,Milestones!$AA$74),"dd mmm yy"))&amp;" "&amp;Milestones!$AB$74&amp;" "&amp;IF(AND(Milestones!$AB$74="FT",Milestones!$AA$74=FT_Y5,EDATE($D134,Milestones!$AA$74)&lt;PolicyEff),1,Milestones!$AC$74)&amp;";  ","")&amp;IF(AND(EDATE($D134,Milestones!$AA$75)&lt;=AsOfDate,EDATE($D134,Milestones!$AA$75)&gt;=SchemeStart,IF($X134=0,$AD134,IF(AND($Z134&lt;&gt;"",EDATE($D134,Milestones!$AA$75)&gt;=$Z134),$AC134,IF(AND($Y134&lt;&gt;"",EDATE($D134,Milestones!$AA$75)&gt;=$Y134),$AB134,$AA134)))=Milestones!$AB$75),UPPER(TEXT(EDATE($D134,Milestones!$AA$75),"dd mmm yy"))&amp;" "&amp;Milestones!$AB$75&amp;" "&amp;IF(AND(Milestones!$AB$75="FT",Milestones!$AA$75=FT_Y5,EDATE($D134,Milestones!$AA$75)&lt;PolicyEff),1,Milestones!$AC$75)&amp;";  ","")&amp;IF(AND(EDATE($D134,Milestones!$AA$76)&lt;=AsOfDate,EDATE($D134,Milestones!$AA$76)&gt;=SchemeStart,IF($X134=0,$AD134,IF(AND($Z134&lt;&gt;"",EDATE($D134,Milestones!$AA$76)&gt;=$Z134),$AC134,IF(AND($Y134&lt;&gt;"",EDATE($D134,Milestones!$AA$76)&gt;=$Y134),$AB134,$AA134)))=Milestones!$AB$76),UPPER(TEXT(EDATE($D134,Milestones!$AA$76),"dd mmm yy"))&amp;" "&amp;Milestones!$AB$76&amp;" "&amp;IF(AND(Milestones!$AB$76="FT",Milestones!$AA$76=FT_Y5,EDATE($D134,Milestones!$AA$76)&lt;PolicyEff),1,Milestones!$AC$76)&amp;";  ","")&amp;IF(AND(EDATE($D134,Milestones!$AA$77)&lt;=AsOfDate,EDATE($D134,Milestones!$AA$77)&gt;=SchemeStart,IF($X134=0,$AD134,IF(AND($Z134&lt;&gt;"",EDATE($D134,Milestones!$AA$77)&gt;=$Z134),$AC134,IF(AND($Y134&lt;&gt;"",EDATE($D134,Milestones!$AA$77)&gt;=$Y134),$AB134,$AA134)))=Milestones!$AB$77),UPPER(TEXT(EDATE($D134,Milestones!$AA$77),"dd mmm yy"))&amp;" "&amp;Milestones!$AB$77&amp;" "&amp;IF(AND(Milestones!$AB$77="FT",Milestones!$AA$77=FT_Y5,EDATE($D134,Milestones!$AA$77)&lt;PolicyEff),1,Milestones!$AC$77)&amp;";  ","")&amp;IF(AND(EDATE($D134,Milestones!$AA$78)&lt;=AsOfDate,EDATE($D134,Milestones!$AA$78)&gt;=SchemeStart,IF($X134=0,$AD134,IF(AND($Z134&lt;&gt;"",EDATE($D134,Milestones!$AA$78)&gt;=$Z134),$AC134,IF(AND($Y134&lt;&gt;"",EDATE($D134,Milestones!$AA$78)&gt;=$Y134),$AB134,$AA134)))=Milestones!$AB$78),UPPER(TEXT(EDATE($D134,Milestones!$AA$78),"dd mmm yy"))&amp;" "&amp;Milestones!$AB$78&amp;" "&amp;IF(AND(Milestones!$AB$78="FT",Milestones!$AA$78=FT_Y5,EDATE($D134,Milestones!$AA$78)&lt;PolicyEff),1,Milestones!$AC$78)&amp;";  ","")&amp;IF(AND(EDATE($D134,Milestones!$AA$79)&lt;=AsOfDate,EDATE($D134,Milestones!$AA$79)&gt;=SchemeStart,IF($X134=0,$AD134,IF(AND($Z134&lt;&gt;"",EDATE($D134,Milestones!$AA$79)&gt;=$Z134),$AC134,IF(AND($Y134&lt;&gt;"",EDATE($D134,Milestones!$AA$79)&gt;=$Y134),$AB134,$AA134)))=Milestones!$AB$79),UPPER(TEXT(EDATE($D134,Milestones!$AA$79),"dd mmm yy"))&amp;" "&amp;Milestones!$AB$79&amp;" "&amp;IF(AND(Milestones!$AB$79="FT",Milestones!$AA$79=FT_Y5,EDATE($D134,Milestones!$AA$79)&lt;PolicyEff),1,Milestones!$AC$79)&amp;";  ",""))</f>
        <v/>
      </c>
      <c r="N134" s="0" t="str">
        <f aca="false">IF(OR($A134="",$D134=""),"",IF(AND(EDATE($D134,Milestones!$AA$80)&lt;=AsOfDate,EDATE($D134,Milestones!$AA$80)&gt;=SchemeStart,IF($X134=0,$AD134,IF(AND($Z134&lt;&gt;"",EDATE($D134,Milestones!$AA$80)&gt;=$Z134),$AC134,IF(AND($Y134&lt;&gt;"",EDATE($D134,Milestones!$AA$80)&gt;=$Y134),$AB134,$AA134)))=Milestones!$AB$80),UPPER(TEXT(EDATE($D134,Milestones!$AA$80),"dd mmm yy"))&amp;" "&amp;Milestones!$AB$80&amp;" "&amp;IF(AND(Milestones!$AB$80="FT",Milestones!$AA$80=FT_Y5,EDATE($D134,Milestones!$AA$80)&lt;PolicyEff),1,Milestones!$AC$80)&amp;";  ","")&amp;IF(AND(EDATE($D134,Milestones!$AA$81)&lt;=AsOfDate,EDATE($D134,Milestones!$AA$81)&gt;=SchemeStart,IF($X134=0,$AD134,IF(AND($Z134&lt;&gt;"",EDATE($D134,Milestones!$AA$81)&gt;=$Z134),$AC134,IF(AND($Y134&lt;&gt;"",EDATE($D134,Milestones!$AA$81)&gt;=$Y134),$AB134,$AA134)))=Milestones!$AB$81),UPPER(TEXT(EDATE($D134,Milestones!$AA$81),"dd mmm yy"))&amp;" "&amp;Milestones!$AB$81&amp;" "&amp;IF(AND(Milestones!$AB$81="FT",Milestones!$AA$81=FT_Y5,EDATE($D134,Milestones!$AA$81)&lt;PolicyEff),1,Milestones!$AC$81)&amp;";  ","")&amp;IF(AND(EDATE($D134,Milestones!$AA$82)&lt;=AsOfDate,EDATE($D134,Milestones!$AA$82)&gt;=SchemeStart,IF($X134=0,$AD134,IF(AND($Z134&lt;&gt;"",EDATE($D134,Milestones!$AA$82)&gt;=$Z134),$AC134,IF(AND($Y134&lt;&gt;"",EDATE($D134,Milestones!$AA$82)&gt;=$Y134),$AB134,$AA134)))=Milestones!$AB$82),UPPER(TEXT(EDATE($D134,Milestones!$AA$82),"dd mmm yy"))&amp;" "&amp;Milestones!$AB$82&amp;" "&amp;IF(AND(Milestones!$AB$82="FT",Milestones!$AA$82=FT_Y5,EDATE($D134,Milestones!$AA$82)&lt;PolicyEff),1,Milestones!$AC$82)&amp;";  ","")&amp;IF(AND(EDATE($D134,Milestones!$AA$83)&lt;=AsOfDate,EDATE($D134,Milestones!$AA$83)&gt;=SchemeStart,IF($X134=0,$AD134,IF(AND($Z134&lt;&gt;"",EDATE($D134,Milestones!$AA$83)&gt;=$Z134),$AC134,IF(AND($Y134&lt;&gt;"",EDATE($D134,Milestones!$AA$83)&gt;=$Y134),$AB134,$AA134)))=Milestones!$AB$83),UPPER(TEXT(EDATE($D134,Milestones!$AA$83),"dd mmm yy"))&amp;" "&amp;Milestones!$AB$83&amp;" "&amp;IF(AND(Milestones!$AB$83="FT",Milestones!$AA$83=FT_Y5,EDATE($D134,Milestones!$AA$83)&lt;PolicyEff),1,Milestones!$AC$83)&amp;";  ","")&amp;IF(AND(EDATE($D134,Milestones!$AA$84)&lt;=AsOfDate,EDATE($D134,Milestones!$AA$84)&gt;=SchemeStart,IF($X134=0,$AD134,IF(AND($Z134&lt;&gt;"",EDATE($D134,Milestones!$AA$84)&gt;=$Z134),$AC134,IF(AND($Y134&lt;&gt;"",EDATE($D134,Milestones!$AA$84)&gt;=$Y134),$AB134,$AA134)))=Milestones!$AB$84),UPPER(TEXT(EDATE($D134,Milestones!$AA$84),"dd mmm yy"))&amp;" "&amp;Milestones!$AB$84&amp;" "&amp;IF(AND(Milestones!$AB$84="FT",Milestones!$AA$84=FT_Y5,EDATE($D134,Milestones!$AA$84)&lt;PolicyEff),1,Milestones!$AC$84)&amp;";  ","")&amp;IF(AND(EDATE($D134,Milestones!$AA$85)&lt;=AsOfDate,EDATE($D134,Milestones!$AA$85)&gt;=SchemeStart,IF($X134=0,$AD134,IF(AND($Z134&lt;&gt;"",EDATE($D134,Milestones!$AA$85)&gt;=$Z134),$AC134,IF(AND($Y134&lt;&gt;"",EDATE($D134,Milestones!$AA$85)&gt;=$Y134),$AB134,$AA134)))=Milestones!$AB$85),UPPER(TEXT(EDATE($D134,Milestones!$AA$85),"dd mmm yy"))&amp;" "&amp;Milestones!$AB$85&amp;" "&amp;IF(AND(Milestones!$AB$85="FT",Milestones!$AA$85=FT_Y5,EDATE($D134,Milestones!$AA$85)&lt;PolicyEff),1,Milestones!$AC$85)&amp;";  ","")&amp;IF(AND(EDATE($D134,Milestones!$AA$86)&lt;=AsOfDate,EDATE($D134,Milestones!$AA$86)&gt;=SchemeStart,IF($X134=0,$AD134,IF(AND($Z134&lt;&gt;"",EDATE($D134,Milestones!$AA$86)&gt;=$Z134),$AC134,IF(AND($Y134&lt;&gt;"",EDATE($D134,Milestones!$AA$86)&gt;=$Y134),$AB134,$AA134)))=Milestones!$AB$86),UPPER(TEXT(EDATE($D134,Milestones!$AA$86),"dd mmm yy"))&amp;" "&amp;Milestones!$AB$86&amp;" "&amp;IF(AND(Milestones!$AB$86="FT",Milestones!$AA$86=FT_Y5,EDATE($D134,Milestones!$AA$86)&lt;PolicyEff),1,Milestones!$AC$86)&amp;";  ","")&amp;IF(AND(EDATE($D134,Milestones!$AA$87)&lt;=AsOfDate,EDATE($D134,Milestones!$AA$87)&gt;=SchemeStart,IF($X134=0,$AD134,IF(AND($Z134&lt;&gt;"",EDATE($D134,Milestones!$AA$87)&gt;=$Z134),$AC134,IF(AND($Y134&lt;&gt;"",EDATE($D134,Milestones!$AA$87)&gt;=$Y134),$AB134,$AA134)))=Milestones!$AB$87),UPPER(TEXT(EDATE($D134,Milestones!$AA$87),"dd mmm yy"))&amp;" "&amp;Milestones!$AB$87&amp;" "&amp;IF(AND(Milestones!$AB$87="FT",Milestones!$AA$87=FT_Y5,EDATE($D134,Milestones!$AA$87)&lt;PolicyEff),1,Milestones!$AC$87)&amp;";  ","")&amp;IF(AND(EDATE($D134,Milestones!$AA$88)&lt;=AsOfDate,EDATE($D134,Milestones!$AA$88)&gt;=SchemeStart,IF($X134=0,$AD134,IF(AND($Z134&lt;&gt;"",EDATE($D134,Milestones!$AA$88)&gt;=$Z134),$AC134,IF(AND($Y134&lt;&gt;"",EDATE($D134,Milestones!$AA$88)&gt;=$Y134),$AB134,$AA134)))=Milestones!$AB$88),UPPER(TEXT(EDATE($D134,Milestones!$AA$88),"dd mmm yy"))&amp;" "&amp;Milestones!$AB$88&amp;" "&amp;IF(AND(Milestones!$AB$88="FT",Milestones!$AA$88=FT_Y5,EDATE($D134,Milestones!$AA$88)&lt;PolicyEff),1,Milestones!$AC$88)&amp;";  ","")&amp;IF(AND(EDATE($D134,Milestones!$AA$89)&lt;=AsOfDate,EDATE($D134,Milestones!$AA$89)&gt;=SchemeStart,IF($X134=0,$AD134,IF(AND($Z134&lt;&gt;"",EDATE($D134,Milestones!$AA$89)&gt;=$Z134),$AC134,IF(AND($Y134&lt;&gt;"",EDATE($D134,Milestones!$AA$89)&gt;=$Y134),$AB134,$AA134)))=Milestones!$AB$89),UPPER(TEXT(EDATE($D134,Milestones!$AA$89),"dd mmm yy"))&amp;" "&amp;Milestones!$AB$89&amp;" "&amp;IF(AND(Milestones!$AB$89="FT",Milestones!$AA$89=FT_Y5,EDATE($D134,Milestones!$AA$89)&lt;PolicyEff),1,Milestones!$AC$89)&amp;";  ","")&amp;IF(AND(EDATE($D134,Milestones!$AA$90)&lt;=AsOfDate,EDATE($D134,Milestones!$AA$90)&gt;=SchemeStart,IF($X134=0,$AD134,IF(AND($Z134&lt;&gt;"",EDATE($D134,Milestones!$AA$90)&gt;=$Z134),$AC134,IF(AND($Y134&lt;&gt;"",EDATE($D134,Milestones!$AA$90)&gt;=$Y134),$AB134,$AA134)))=Milestones!$AB$90),UPPER(TEXT(EDATE($D134,Milestones!$AA$90),"dd mmm yy"))&amp;" "&amp;Milestones!$AB$90&amp;" "&amp;IF(AND(Milestones!$AB$90="FT",Milestones!$AA$90=FT_Y5,EDATE($D134,Milestones!$AA$90)&lt;PolicyEff),1,Milestones!$AC$90)&amp;";  ","")&amp;IF(AND(EDATE($D134,Milestones!$AA$91)&lt;=AsOfDate,EDATE($D134,Milestones!$AA$91)&gt;=SchemeStart,IF($X134=0,$AD134,IF(AND($Z134&lt;&gt;"",EDATE($D134,Milestones!$AA$91)&gt;=$Z134),$AC134,IF(AND($Y134&lt;&gt;"",EDATE($D134,Milestones!$AA$91)&gt;=$Y134),$AB134,$AA134)))=Milestones!$AB$91),UPPER(TEXT(EDATE($D134,Milestones!$AA$91),"dd mmm yy"))&amp;" "&amp;Milestones!$AB$91&amp;" "&amp;IF(AND(Milestones!$AB$91="FT",Milestones!$AA$91=FT_Y5,EDATE($D134,Milestones!$AA$91)&lt;PolicyEff),1,Milestones!$AC$91)&amp;";  ",""))</f>
        <v/>
      </c>
      <c r="O134" s="0" t="str">
        <f aca="false">IF(OR($A134="",$D134=""),"",IF(AND(EDATE($D134,Milestones!$AA$92)&lt;=AsOfDate,EDATE($D134,Milestones!$AA$92)&gt;=SchemeStart,IF($X134=0,$AD134,IF(AND($Z134&lt;&gt;"",EDATE($D134,Milestones!$AA$92)&gt;=$Z134),$AC134,IF(AND($Y134&lt;&gt;"",EDATE($D134,Milestones!$AA$92)&gt;=$Y134),$AB134,$AA134)))=Milestones!$AB$92),UPPER(TEXT(EDATE($D134,Milestones!$AA$92),"dd mmm yy"))&amp;" "&amp;Milestones!$AB$92&amp;" "&amp;IF(AND(Milestones!$AB$92="FT",Milestones!$AA$92=FT_Y5,EDATE($D134,Milestones!$AA$92)&lt;PolicyEff),1,Milestones!$AC$92)&amp;";  ","")&amp;IF(AND(EDATE($D134,Milestones!$AA$93)&lt;=AsOfDate,EDATE($D134,Milestones!$AA$93)&gt;=SchemeStart,IF($X134=0,$AD134,IF(AND($Z134&lt;&gt;"",EDATE($D134,Milestones!$AA$93)&gt;=$Z134),$AC134,IF(AND($Y134&lt;&gt;"",EDATE($D134,Milestones!$AA$93)&gt;=$Y134),$AB134,$AA134)))=Milestones!$AB$93),UPPER(TEXT(EDATE($D134,Milestones!$AA$93),"dd mmm yy"))&amp;" "&amp;Milestones!$AB$93&amp;" "&amp;IF(AND(Milestones!$AB$93="FT",Milestones!$AA$93=FT_Y5,EDATE($D134,Milestones!$AA$93)&lt;PolicyEff),1,Milestones!$AC$93)&amp;";  ","")&amp;IF(AND(EDATE($D134,Milestones!$AA$94)&lt;=AsOfDate,EDATE($D134,Milestones!$AA$94)&gt;=SchemeStart,IF($X134=0,$AD134,IF(AND($Z134&lt;&gt;"",EDATE($D134,Milestones!$AA$94)&gt;=$Z134),$AC134,IF(AND($Y134&lt;&gt;"",EDATE($D134,Milestones!$AA$94)&gt;=$Y134),$AB134,$AA134)))=Milestones!$AB$94),UPPER(TEXT(EDATE($D134,Milestones!$AA$94),"dd mmm yy"))&amp;" "&amp;Milestones!$AB$94&amp;" "&amp;IF(AND(Milestones!$AB$94="FT",Milestones!$AA$94=FT_Y5,EDATE($D134,Milestones!$AA$94)&lt;PolicyEff),1,Milestones!$AC$94)&amp;";  ","")&amp;IF(AND(EDATE($D134,Milestones!$AA$95)&lt;=AsOfDate,EDATE($D134,Milestones!$AA$95)&gt;=SchemeStart,IF($X134=0,$AD134,IF(AND($Z134&lt;&gt;"",EDATE($D134,Milestones!$AA$95)&gt;=$Z134),$AC134,IF(AND($Y134&lt;&gt;"",EDATE($D134,Milestones!$AA$95)&gt;=$Y134),$AB134,$AA134)))=Milestones!$AB$95),UPPER(TEXT(EDATE($D134,Milestones!$AA$95),"dd mmm yy"))&amp;" "&amp;Milestones!$AB$95&amp;" "&amp;IF(AND(Milestones!$AB$95="FT",Milestones!$AA$95=FT_Y5,EDATE($D134,Milestones!$AA$95)&lt;PolicyEff),1,Milestones!$AC$95)&amp;";  ","")&amp;IF(AND(EDATE($D134,Milestones!$AA$96)&lt;=AsOfDate,EDATE($D134,Milestones!$AA$96)&gt;=SchemeStart,IF($X134=0,$AD134,IF(AND($Z134&lt;&gt;"",EDATE($D134,Milestones!$AA$96)&gt;=$Z134),$AC134,IF(AND($Y134&lt;&gt;"",EDATE($D134,Milestones!$AA$96)&gt;=$Y134),$AB134,$AA134)))=Milestones!$AB$96),UPPER(TEXT(EDATE($D134,Milestones!$AA$96),"dd mmm yy"))&amp;" "&amp;Milestones!$AB$96&amp;" "&amp;IF(AND(Milestones!$AB$96="FT",Milestones!$AA$96=FT_Y5,EDATE($D134,Milestones!$AA$96)&lt;PolicyEff),1,Milestones!$AC$96)&amp;";  ","")&amp;IF(AND(EDATE($D134,Milestones!$AA$97)&lt;=AsOfDate,EDATE($D134,Milestones!$AA$97)&gt;=SchemeStart,IF($X134=0,$AD134,IF(AND($Z134&lt;&gt;"",EDATE($D134,Milestones!$AA$97)&gt;=$Z134),$AC134,IF(AND($Y134&lt;&gt;"",EDATE($D134,Milestones!$AA$97)&gt;=$Y134),$AB134,$AA134)))=Milestones!$AB$97),UPPER(TEXT(EDATE($D134,Milestones!$AA$97),"dd mmm yy"))&amp;" "&amp;Milestones!$AB$97&amp;" "&amp;IF(AND(Milestones!$AB$97="FT",Milestones!$AA$97=FT_Y5,EDATE($D134,Milestones!$AA$97)&lt;PolicyEff),1,Milestones!$AC$97)&amp;";  ","")&amp;IF(AND(EDATE($D134,Milestones!$AA$98)&lt;=AsOfDate,EDATE($D134,Milestones!$AA$98)&gt;=SchemeStart,IF($X134=0,$AD134,IF(AND($Z134&lt;&gt;"",EDATE($D134,Milestones!$AA$98)&gt;=$Z134),$AC134,IF(AND($Y134&lt;&gt;"",EDATE($D134,Milestones!$AA$98)&gt;=$Y134),$AB134,$AA134)))=Milestones!$AB$98),UPPER(TEXT(EDATE($D134,Milestones!$AA$98),"dd mmm yy"))&amp;" "&amp;Milestones!$AB$98&amp;" "&amp;IF(AND(Milestones!$AB$98="FT",Milestones!$AA$98=FT_Y5,EDATE($D134,Milestones!$AA$98)&lt;PolicyEff),1,Milestones!$AC$98)&amp;";  ","")&amp;IF(AND(EDATE($D134,Milestones!$AA$99)&lt;=AsOfDate,EDATE($D134,Milestones!$AA$99)&gt;=SchemeStart,IF($X134=0,$AD134,IF(AND($Z134&lt;&gt;"",EDATE($D134,Milestones!$AA$99)&gt;=$Z134),$AC134,IF(AND($Y134&lt;&gt;"",EDATE($D134,Milestones!$AA$99)&gt;=$Y134),$AB134,$AA134)))=Milestones!$AB$99),UPPER(TEXT(EDATE($D134,Milestones!$AA$99),"dd mmm yy"))&amp;" "&amp;Milestones!$AB$99&amp;" "&amp;IF(AND(Milestones!$AB$99="FT",Milestones!$AA$99=FT_Y5,EDATE($D134,Milestones!$AA$99)&lt;PolicyEff),1,Milestones!$AC$99)&amp;";  ","")&amp;IF(AND(EDATE($D134,Milestones!$AA$100)&lt;=AsOfDate,EDATE($D134,Milestones!$AA$100)&gt;=SchemeStart,IF($X134=0,$AD134,IF(AND($Z134&lt;&gt;"",EDATE($D134,Milestones!$AA$100)&gt;=$Z134),$AC134,IF(AND($Y134&lt;&gt;"",EDATE($D134,Milestones!$AA$100)&gt;=$Y134),$AB134,$AA134)))=Milestones!$AB$100),UPPER(TEXT(EDATE($D134,Milestones!$AA$100),"dd mmm yy"))&amp;" "&amp;Milestones!$AB$100&amp;" "&amp;IF(AND(Milestones!$AB$100="FT",Milestones!$AA$100=FT_Y5,EDATE($D134,Milestones!$AA$100)&lt;PolicyEff),1,Milestones!$AC$100)&amp;";  ","")&amp;IF(AND(EDATE($D134,Milestones!$AA$101)&lt;=AsOfDate,EDATE($D134,Milestones!$AA$101)&gt;=SchemeStart,IF($X134=0,$AD134,IF(AND($Z134&lt;&gt;"",EDATE($D134,Milestones!$AA$101)&gt;=$Z134),$AC134,IF(AND($Y134&lt;&gt;"",EDATE($D134,Milestones!$AA$101)&gt;=$Y134),$AB134,$AA134)))=Milestones!$AB$101),UPPER(TEXT(EDATE($D134,Milestones!$AA$101),"dd mmm yy"))&amp;" "&amp;Milestones!$AB$101&amp;" "&amp;IF(AND(Milestones!$AB$101="FT",Milestones!$AA$101=FT_Y5,EDATE($D134,Milestones!$AA$101)&lt;PolicyEff),1,Milestones!$AC$101)&amp;";  ","")&amp;IF(AND(EDATE($D134,Milestones!$AA$102)&lt;=AsOfDate,EDATE($D134,Milestones!$AA$102)&gt;=SchemeStart,IF($X134=0,$AD134,IF(AND($Z134&lt;&gt;"",EDATE($D134,Milestones!$AA$102)&gt;=$Z134),$AC134,IF(AND($Y134&lt;&gt;"",EDATE($D134,Milestones!$AA$102)&gt;=$Y134),$AB134,$AA134)))=Milestones!$AB$102),UPPER(TEXT(EDATE($D134,Milestones!$AA$102),"dd mmm yy"))&amp;" "&amp;Milestones!$AB$102&amp;" "&amp;IF(AND(Milestones!$AB$102="FT",Milestones!$AA$102=FT_Y5,EDATE($D134,Milestones!$AA$102)&lt;PolicyEff),1,Milestones!$AC$102)&amp;";  ","")&amp;IF(AND(EDATE($D134,Milestones!$AA$103)&lt;=AsOfDate,EDATE($D134,Milestones!$AA$103)&gt;=SchemeStart,IF($X134=0,$AD134,IF(AND($Z134&lt;&gt;"",EDATE($D134,Milestones!$AA$103)&gt;=$Z134),$AC134,IF(AND($Y134&lt;&gt;"",EDATE($D134,Milestones!$AA$103)&gt;=$Y134),$AB134,$AA134)))=Milestones!$AB$103),UPPER(TEXT(EDATE($D134,Milestones!$AA$103),"dd mmm yy"))&amp;" "&amp;Milestones!$AB$103&amp;" "&amp;IF(AND(Milestones!$AB$103="FT",Milestones!$AA$103=FT_Y5,EDATE($D134,Milestones!$AA$103)&lt;PolicyEff),1,Milestones!$AC$103)&amp;";  ",""))</f>
        <v/>
      </c>
      <c r="P134" s="0" t="str">
        <f aca="false">IF(OR($A134="",$D134=""),"",IF(AND(EDATE($D134,Milestones!$AA$104)&lt;=AsOfDate,EDATE($D134,Milestones!$AA$104)&gt;=SchemeStart,IF($X134=0,$AD134,IF(AND($Z134&lt;&gt;"",EDATE($D134,Milestones!$AA$104)&gt;=$Z134),$AC134,IF(AND($Y134&lt;&gt;"",EDATE($D134,Milestones!$AA$104)&gt;=$Y134),$AB134,$AA134)))=Milestones!$AB$104),UPPER(TEXT(EDATE($D134,Milestones!$AA$104),"dd mmm yy"))&amp;" "&amp;Milestones!$AB$104&amp;" "&amp;IF(AND(Milestones!$AB$104="FT",Milestones!$AA$104=FT_Y5,EDATE($D134,Milestones!$AA$104)&lt;PolicyEff),1,Milestones!$AC$104)&amp;";  ","")&amp;IF(AND(EDATE($D134,Milestones!$AA$105)&lt;=AsOfDate,EDATE($D134,Milestones!$AA$105)&gt;=SchemeStart,IF($X134=0,$AD134,IF(AND($Z134&lt;&gt;"",EDATE($D134,Milestones!$AA$105)&gt;=$Z134),$AC134,IF(AND($Y134&lt;&gt;"",EDATE($D134,Milestones!$AA$105)&gt;=$Y134),$AB134,$AA134)))=Milestones!$AB$105),UPPER(TEXT(EDATE($D134,Milestones!$AA$105),"dd mmm yy"))&amp;" "&amp;Milestones!$AB$105&amp;" "&amp;IF(AND(Milestones!$AB$105="FT",Milestones!$AA$105=FT_Y5,EDATE($D134,Milestones!$AA$105)&lt;PolicyEff),1,Milestones!$AC$105)&amp;";  ","")&amp;IF(AND(EDATE($D134,Milestones!$AA$106)&lt;=AsOfDate,EDATE($D134,Milestones!$AA$106)&gt;=SchemeStart,IF($X134=0,$AD134,IF(AND($Z134&lt;&gt;"",EDATE($D134,Milestones!$AA$106)&gt;=$Z134),$AC134,IF(AND($Y134&lt;&gt;"",EDATE($D134,Milestones!$AA$106)&gt;=$Y134),$AB134,$AA134)))=Milestones!$AB$106),UPPER(TEXT(EDATE($D134,Milestones!$AA$106),"dd mmm yy"))&amp;" "&amp;Milestones!$AB$106&amp;" "&amp;IF(AND(Milestones!$AB$106="FT",Milestones!$AA$106=FT_Y5,EDATE($D134,Milestones!$AA$106)&lt;PolicyEff),1,Milestones!$AC$106)&amp;";  ","")&amp;IF(AND(EDATE($D134,Milestones!$AA$107)&lt;=AsOfDate,EDATE($D134,Milestones!$AA$107)&gt;=SchemeStart,IF($X134=0,$AD134,IF(AND($Z134&lt;&gt;"",EDATE($D134,Milestones!$AA$107)&gt;=$Z134),$AC134,IF(AND($Y134&lt;&gt;"",EDATE($D134,Milestones!$AA$107)&gt;=$Y134),$AB134,$AA134)))=Milestones!$AB$107),UPPER(TEXT(EDATE($D134,Milestones!$AA$107),"dd mmm yy"))&amp;" "&amp;Milestones!$AB$107&amp;" "&amp;IF(AND(Milestones!$AB$107="FT",Milestones!$AA$107=FT_Y5,EDATE($D134,Milestones!$AA$107)&lt;PolicyEff),1,Milestones!$AC$107)&amp;";  ","")&amp;IF(AND(EDATE($D134,Milestones!$AA$108)&lt;=AsOfDate,EDATE($D134,Milestones!$AA$108)&gt;=SchemeStart,IF($X134=0,$AD134,IF(AND($Z134&lt;&gt;"",EDATE($D134,Milestones!$AA$108)&gt;=$Z134),$AC134,IF(AND($Y134&lt;&gt;"",EDATE($D134,Milestones!$AA$108)&gt;=$Y134),$AB134,$AA134)))=Milestones!$AB$108),UPPER(TEXT(EDATE($D134,Milestones!$AA$108),"dd mmm yy"))&amp;" "&amp;Milestones!$AB$108&amp;" "&amp;IF(AND(Milestones!$AB$108="FT",Milestones!$AA$108=FT_Y5,EDATE($D134,Milestones!$AA$108)&lt;PolicyEff),1,Milestones!$AC$108)&amp;";  ","")&amp;IF(AND(EDATE($D134,Milestones!$AA$109)&lt;=AsOfDate,EDATE($D134,Milestones!$AA$109)&gt;=SchemeStart,IF($X134=0,$AD134,IF(AND($Z134&lt;&gt;"",EDATE($D134,Milestones!$AA$109)&gt;=$Z134),$AC134,IF(AND($Y134&lt;&gt;"",EDATE($D134,Milestones!$AA$109)&gt;=$Y134),$AB134,$AA134)))=Milestones!$AB$109),UPPER(TEXT(EDATE($D134,Milestones!$AA$109),"dd mmm yy"))&amp;" "&amp;Milestones!$AB$109&amp;" "&amp;IF(AND(Milestones!$AB$109="FT",Milestones!$AA$109=FT_Y5,EDATE($D134,Milestones!$AA$109)&lt;PolicyEff),1,Milestones!$AC$109)&amp;";  ","")&amp;IF(AND(EDATE($D134,Milestones!$AA$110)&lt;=AsOfDate,EDATE($D134,Milestones!$AA$110)&gt;=SchemeStart,IF($X134=0,$AD134,IF(AND($Z134&lt;&gt;"",EDATE($D134,Milestones!$AA$110)&gt;=$Z134),$AC134,IF(AND($Y134&lt;&gt;"",EDATE($D134,Milestones!$AA$110)&gt;=$Y134),$AB134,$AA134)))=Milestones!$AB$110),UPPER(TEXT(EDATE($D134,Milestones!$AA$110),"dd mmm yy"))&amp;" "&amp;Milestones!$AB$110&amp;" "&amp;IF(AND(Milestones!$AB$110="FT",Milestones!$AA$110=FT_Y5,EDATE($D134,Milestones!$AA$110)&lt;PolicyEff),1,Milestones!$AC$110)&amp;";  ","")&amp;IF(AND(EDATE($D134,Milestones!$AA$111)&lt;=AsOfDate,EDATE($D134,Milestones!$AA$111)&gt;=SchemeStart,IF($X134=0,$AD134,IF(AND($Z134&lt;&gt;"",EDATE($D134,Milestones!$AA$111)&gt;=$Z134),$AC134,IF(AND($Y134&lt;&gt;"",EDATE($D134,Milestones!$AA$111)&gt;=$Y134),$AB134,$AA134)))=Milestones!$AB$111),UPPER(TEXT(EDATE($D134,Milestones!$AA$111),"dd mmm yy"))&amp;" "&amp;Milestones!$AB$111&amp;" "&amp;IF(AND(Milestones!$AB$111="FT",Milestones!$AA$111=FT_Y5,EDATE($D134,Milestones!$AA$111)&lt;PolicyEff),1,Milestones!$AC$111)&amp;";  ","")&amp;IF(AND(EDATE($D134,Milestones!$AA$112)&lt;=AsOfDate,EDATE($D134,Milestones!$AA$112)&gt;=SchemeStart,IF($X134=0,$AD134,IF(AND($Z134&lt;&gt;"",EDATE($D134,Milestones!$AA$112)&gt;=$Z134),$AC134,IF(AND($Y134&lt;&gt;"",EDATE($D134,Milestones!$AA$112)&gt;=$Y134),$AB134,$AA134)))=Milestones!$AB$112),UPPER(TEXT(EDATE($D134,Milestones!$AA$112),"dd mmm yy"))&amp;" "&amp;Milestones!$AB$112&amp;" "&amp;IF(AND(Milestones!$AB$112="FT",Milestones!$AA$112=FT_Y5,EDATE($D134,Milestones!$AA$112)&lt;PolicyEff),1,Milestones!$AC$112)&amp;";  ","")&amp;IF(AND(EDATE($D134,Milestones!$AA$113)&lt;=AsOfDate,EDATE($D134,Milestones!$AA$113)&gt;=SchemeStart,IF($X134=0,$AD134,IF(AND($Z134&lt;&gt;"",EDATE($D134,Milestones!$AA$113)&gt;=$Z134),$AC134,IF(AND($Y134&lt;&gt;"",EDATE($D134,Milestones!$AA$113)&gt;=$Y134),$AB134,$AA134)))=Milestones!$AB$113),UPPER(TEXT(EDATE($D134,Milestones!$AA$113),"dd mmm yy"))&amp;" "&amp;Milestones!$AB$113&amp;" "&amp;IF(AND(Milestones!$AB$113="FT",Milestones!$AA$113=FT_Y5,EDATE($D134,Milestones!$AA$113)&lt;PolicyEff),1,Milestones!$AC$113)&amp;";  ","")&amp;IF(AND(EDATE($D134,Milestones!$AA$114)&lt;=AsOfDate,EDATE($D134,Milestones!$AA$114)&gt;=SchemeStart,IF($X134=0,$AD134,IF(AND($Z134&lt;&gt;"",EDATE($D134,Milestones!$AA$114)&gt;=$Z134),$AC134,IF(AND($Y134&lt;&gt;"",EDATE($D134,Milestones!$AA$114)&gt;=$Y134),$AB134,$AA134)))=Milestones!$AB$114),UPPER(TEXT(EDATE($D134,Milestones!$AA$114),"dd mmm yy"))&amp;" "&amp;Milestones!$AB$114&amp;" "&amp;IF(AND(Milestones!$AB$114="FT",Milestones!$AA$114=FT_Y5,EDATE($D134,Milestones!$AA$114)&lt;PolicyEff),1,Milestones!$AC$114)&amp;";  ","")&amp;IF(AND(EDATE($D134,Milestones!$AA$115)&lt;=AsOfDate,EDATE($D134,Milestones!$AA$115)&gt;=SchemeStart,IF($X134=0,$AD134,IF(AND($Z134&lt;&gt;"",EDATE($D134,Milestones!$AA$115)&gt;=$Z134),$AC134,IF(AND($Y134&lt;&gt;"",EDATE($D134,Milestones!$AA$115)&gt;=$Y134),$AB134,$AA134)))=Milestones!$AB$115),UPPER(TEXT(EDATE($D134,Milestones!$AA$115),"dd mmm yy"))&amp;" "&amp;Milestones!$AB$115&amp;" "&amp;IF(AND(Milestones!$AB$115="FT",Milestones!$AA$115=FT_Y5,EDATE($D134,Milestones!$AA$115)&lt;PolicyEff),1,Milestones!$AC$115)&amp;";  ",""))</f>
        <v/>
      </c>
      <c r="Q134" s="0" t="str">
        <f aca="false">IF(OR($A134="",$D134=""),"",IF(AND(EDATE($D134,Milestones!$AA$116)&lt;=AsOfDate,EDATE($D134,Milestones!$AA$116)&gt;=SchemeStart,IF($X134=0,$AD134,IF(AND($Z134&lt;&gt;"",EDATE($D134,Milestones!$AA$116)&gt;=$Z134),$AC134,IF(AND($Y134&lt;&gt;"",EDATE($D134,Milestones!$AA$116)&gt;=$Y134),$AB134,$AA134)))=Milestones!$AB$116),UPPER(TEXT(EDATE($D134,Milestones!$AA$116),"dd mmm yy"))&amp;" "&amp;Milestones!$AB$116&amp;" "&amp;IF(AND(Milestones!$AB$116="FT",Milestones!$AA$116=FT_Y5,EDATE($D134,Milestones!$AA$116)&lt;PolicyEff),1,Milestones!$AC$116)&amp;";  ","")&amp;IF(AND(EDATE($D134,Milestones!$AA$117)&lt;=AsOfDate,EDATE($D134,Milestones!$AA$117)&gt;=SchemeStart,IF($X134=0,$AD134,IF(AND($Z134&lt;&gt;"",EDATE($D134,Milestones!$AA$117)&gt;=$Z134),$AC134,IF(AND($Y134&lt;&gt;"",EDATE($D134,Milestones!$AA$117)&gt;=$Y134),$AB134,$AA134)))=Milestones!$AB$117),UPPER(TEXT(EDATE($D134,Milestones!$AA$117),"dd mmm yy"))&amp;" "&amp;Milestones!$AB$117&amp;" "&amp;IF(AND(Milestones!$AB$117="FT",Milestones!$AA$117=FT_Y5,EDATE($D134,Milestones!$AA$117)&lt;PolicyEff),1,Milestones!$AC$117)&amp;";  ","")&amp;IF(AND(EDATE($D134,Milestones!$AA$118)&lt;=AsOfDate,EDATE($D134,Milestones!$AA$118)&gt;=SchemeStart,IF($X134=0,$AD134,IF(AND($Z134&lt;&gt;"",EDATE($D134,Milestones!$AA$118)&gt;=$Z134),$AC134,IF(AND($Y134&lt;&gt;"",EDATE($D134,Milestones!$AA$118)&gt;=$Y134),$AB134,$AA134)))=Milestones!$AB$118),UPPER(TEXT(EDATE($D134,Milestones!$AA$118),"dd mmm yy"))&amp;" "&amp;Milestones!$AB$118&amp;" "&amp;IF(AND(Milestones!$AB$118="FT",Milestones!$AA$118=FT_Y5,EDATE($D134,Milestones!$AA$118)&lt;PolicyEff),1,Milestones!$AC$118)&amp;";  ","")&amp;IF(AND(EDATE($D134,Milestones!$AA$119)&lt;=AsOfDate,EDATE($D134,Milestones!$AA$119)&gt;=SchemeStart,IF($X134=0,$AD134,IF(AND($Z134&lt;&gt;"",EDATE($D134,Milestones!$AA$119)&gt;=$Z134),$AC134,IF(AND($Y134&lt;&gt;"",EDATE($D134,Milestones!$AA$119)&gt;=$Y134),$AB134,$AA134)))=Milestones!$AB$119),UPPER(TEXT(EDATE($D134,Milestones!$AA$119),"dd mmm yy"))&amp;" "&amp;Milestones!$AB$119&amp;" "&amp;IF(AND(Milestones!$AB$119="FT",Milestones!$AA$119=FT_Y5,EDATE($D134,Milestones!$AA$119)&lt;PolicyEff),1,Milestones!$AC$119)&amp;";  ","")&amp;IF(AND(EDATE($D134,Milestones!$AA$120)&lt;=AsOfDate,EDATE($D134,Milestones!$AA$120)&gt;=SchemeStart,IF($X134=0,$AD134,IF(AND($Z134&lt;&gt;"",EDATE($D134,Milestones!$AA$120)&gt;=$Z134),$AC134,IF(AND($Y134&lt;&gt;"",EDATE($D134,Milestones!$AA$120)&gt;=$Y134),$AB134,$AA134)))=Milestones!$AB$120),UPPER(TEXT(EDATE($D134,Milestones!$AA$120),"dd mmm yy"))&amp;" "&amp;Milestones!$AB$120&amp;" "&amp;IF(AND(Milestones!$AB$120="FT",Milestones!$AA$120=FT_Y5,EDATE($D134,Milestones!$AA$120)&lt;PolicyEff),1,Milestones!$AC$120)&amp;";  ","")&amp;IF(AND(EDATE($D134,Milestones!$AA$121)&lt;=AsOfDate,EDATE($D134,Milestones!$AA$121)&gt;=SchemeStart,IF($X134=0,$AD134,IF(AND($Z134&lt;&gt;"",EDATE($D134,Milestones!$AA$121)&gt;=$Z134),$AC134,IF(AND($Y134&lt;&gt;"",EDATE($D134,Milestones!$AA$121)&gt;=$Y134),$AB134,$AA134)))=Milestones!$AB$121),UPPER(TEXT(EDATE($D134,Milestones!$AA$121),"dd mmm yy"))&amp;" "&amp;Milestones!$AB$121&amp;" "&amp;IF(AND(Milestones!$AB$121="FT",Milestones!$AA$121=FT_Y5,EDATE($D134,Milestones!$AA$121)&lt;PolicyEff),1,Milestones!$AC$121)&amp;";  ","")&amp;IF(AND(EDATE($D134,Milestones!$AA$122)&lt;=AsOfDate,EDATE($D134,Milestones!$AA$122)&gt;=SchemeStart,IF($X134=0,$AD134,IF(AND($Z134&lt;&gt;"",EDATE($D134,Milestones!$AA$122)&gt;=$Z134),$AC134,IF(AND($Y134&lt;&gt;"",EDATE($D134,Milestones!$AA$122)&gt;=$Y134),$AB134,$AA134)))=Milestones!$AB$122),UPPER(TEXT(EDATE($D134,Milestones!$AA$122),"dd mmm yy"))&amp;" "&amp;Milestones!$AB$122&amp;" "&amp;IF(AND(Milestones!$AB$122="FT",Milestones!$AA$122=FT_Y5,EDATE($D134,Milestones!$AA$122)&lt;PolicyEff),1,Milestones!$AC$122)&amp;";  ","")&amp;IF(AND(EDATE($D134,Milestones!$AA$123)&lt;=AsOfDate,EDATE($D134,Milestones!$AA$123)&gt;=SchemeStart,IF($X134=0,$AD134,IF(AND($Z134&lt;&gt;"",EDATE($D134,Milestones!$AA$123)&gt;=$Z134),$AC134,IF(AND($Y134&lt;&gt;"",EDATE($D134,Milestones!$AA$123)&gt;=$Y134),$AB134,$AA134)))=Milestones!$AB$123),UPPER(TEXT(EDATE($D134,Milestones!$AA$123),"dd mmm yy"))&amp;" "&amp;Milestones!$AB$123&amp;" "&amp;IF(AND(Milestones!$AB$123="FT",Milestones!$AA$123=FT_Y5,EDATE($D134,Milestones!$AA$123)&lt;PolicyEff),1,Milestones!$AC$123)&amp;";  ","")&amp;IF(AND(EDATE($D134,Milestones!$AA$124)&lt;=AsOfDate,EDATE($D134,Milestones!$AA$124)&gt;=SchemeStart,IF($X134=0,$AD134,IF(AND($Z134&lt;&gt;"",EDATE($D134,Milestones!$AA$124)&gt;=$Z134),$AC134,IF(AND($Y134&lt;&gt;"",EDATE($D134,Milestones!$AA$124)&gt;=$Y134),$AB134,$AA134)))=Milestones!$AB$124),UPPER(TEXT(EDATE($D134,Milestones!$AA$124),"dd mmm yy"))&amp;" "&amp;Milestones!$AB$124&amp;" "&amp;IF(AND(Milestones!$AB$124="FT",Milestones!$AA$124=FT_Y5,EDATE($D134,Milestones!$AA$124)&lt;PolicyEff),1,Milestones!$AC$124)&amp;";  ","")&amp;IF(AND(EDATE($D134,Milestones!$AA$125)&lt;=AsOfDate,EDATE($D134,Milestones!$AA$125)&gt;=SchemeStart,IF($X134=0,$AD134,IF(AND($Z134&lt;&gt;"",EDATE($D134,Milestones!$AA$125)&gt;=$Z134),$AC134,IF(AND($Y134&lt;&gt;"",EDATE($D134,Milestones!$AA$125)&gt;=$Y134),$AB134,$AA134)))=Milestones!$AB$125),UPPER(TEXT(EDATE($D134,Milestones!$AA$125),"dd mmm yy"))&amp;" "&amp;Milestones!$AB$125&amp;" "&amp;IF(AND(Milestones!$AB$125="FT",Milestones!$AA$125=FT_Y5,EDATE($D134,Milestones!$AA$125)&lt;PolicyEff),1,Milestones!$AC$125)&amp;";  ","")&amp;IF(AND(EDATE($D134,Milestones!$AA$126)&lt;=AsOfDate,EDATE($D134,Milestones!$AA$126)&gt;=SchemeStart,IF($X134=0,$AD134,IF(AND($Z134&lt;&gt;"",EDATE($D134,Milestones!$AA$126)&gt;=$Z134),$AC134,IF(AND($Y134&lt;&gt;"",EDATE($D134,Milestones!$AA$126)&gt;=$Y134),$AB134,$AA134)))=Milestones!$AB$126),UPPER(TEXT(EDATE($D134,Milestones!$AA$126),"dd mmm yy"))&amp;" "&amp;Milestones!$AB$126&amp;" "&amp;IF(AND(Milestones!$AB$126="FT",Milestones!$AA$126=FT_Y5,EDATE($D134,Milestones!$AA$126)&lt;PolicyEff),1,Milestones!$AC$126)&amp;";  ","")&amp;IF(AND(EDATE($D134,Milestones!$AA$127)&lt;=AsOfDate,EDATE($D134,Milestones!$AA$127)&gt;=SchemeStart,IF($X134=0,$AD134,IF(AND($Z134&lt;&gt;"",EDATE($D134,Milestones!$AA$127)&gt;=$Z134),$AC134,IF(AND($Y134&lt;&gt;"",EDATE($D134,Milestones!$AA$127)&gt;=$Y134),$AB134,$AA134)))=Milestones!$AB$127),UPPER(TEXT(EDATE($D134,Milestones!$AA$127),"dd mmm yy"))&amp;" "&amp;Milestones!$AB$127&amp;" "&amp;IF(AND(Milestones!$AB$127="FT",Milestones!$AA$127=FT_Y5,EDATE($D134,Milestones!$AA$127)&lt;PolicyEff),1,Milestones!$AC$127)&amp;";  ",""))</f>
        <v/>
      </c>
      <c r="R134" s="0" t="str">
        <f aca="false">IF(OR($A134="",$D134=""),"",IF(AND(EDATE($D134,Milestones!$AA$128)&lt;=AsOfDate,EDATE($D134,Milestones!$AA$128)&gt;=SchemeStart,IF($X134=0,$AD134,IF(AND($Z134&lt;&gt;"",EDATE($D134,Milestones!$AA$128)&gt;=$Z134),$AC134,IF(AND($Y134&lt;&gt;"",EDATE($D134,Milestones!$AA$128)&gt;=$Y134),$AB134,$AA134)))=Milestones!$AB$128),UPPER(TEXT(EDATE($D134,Milestones!$AA$128),"dd mmm yy"))&amp;" "&amp;Milestones!$AB$128&amp;" "&amp;IF(AND(Milestones!$AB$128="FT",Milestones!$AA$128=FT_Y5,EDATE($D134,Milestones!$AA$128)&lt;PolicyEff),1,Milestones!$AC$128)&amp;";  ","")&amp;IF(AND(EDATE($D134,Milestones!$AA$129)&lt;=AsOfDate,EDATE($D134,Milestones!$AA$129)&gt;=SchemeStart,IF($X134=0,$AD134,IF(AND($Z134&lt;&gt;"",EDATE($D134,Milestones!$AA$129)&gt;=$Z134),$AC134,IF(AND($Y134&lt;&gt;"",EDATE($D134,Milestones!$AA$129)&gt;=$Y134),$AB134,$AA134)))=Milestones!$AB$129),UPPER(TEXT(EDATE($D134,Milestones!$AA$129),"dd mmm yy"))&amp;" "&amp;Milestones!$AB$129&amp;" "&amp;IF(AND(Milestones!$AB$129="FT",Milestones!$AA$129=FT_Y5,EDATE($D134,Milestones!$AA$129)&lt;PolicyEff),1,Milestones!$AC$129)&amp;";  ","")&amp;IF(AND(EDATE($D134,Milestones!$AA$130)&lt;=AsOfDate,EDATE($D134,Milestones!$AA$130)&gt;=SchemeStart,IF($X134=0,$AD134,IF(AND($Z134&lt;&gt;"",EDATE($D134,Milestones!$AA$130)&gt;=$Z134),$AC134,IF(AND($Y134&lt;&gt;"",EDATE($D134,Milestones!$AA$130)&gt;=$Y134),$AB134,$AA134)))=Milestones!$AB$130),UPPER(TEXT(EDATE($D134,Milestones!$AA$130),"dd mmm yy"))&amp;" "&amp;Milestones!$AB$130&amp;" "&amp;IF(AND(Milestones!$AB$130="FT",Milestones!$AA$130=FT_Y5,EDATE($D134,Milestones!$AA$130)&lt;PolicyEff),1,Milestones!$AC$130)&amp;";  ","")&amp;IF(AND(EDATE($D134,Milestones!$AA$131)&lt;=AsOfDate,EDATE($D134,Milestones!$AA$131)&gt;=SchemeStart,IF($X134=0,$AD134,IF(AND($Z134&lt;&gt;"",EDATE($D134,Milestones!$AA$131)&gt;=$Z134),$AC134,IF(AND($Y134&lt;&gt;"",EDATE($D134,Milestones!$AA$131)&gt;=$Y134),$AB134,$AA134)))=Milestones!$AB$131),UPPER(TEXT(EDATE($D134,Milestones!$AA$131),"dd mmm yy"))&amp;" "&amp;Milestones!$AB$131&amp;" "&amp;IF(AND(Milestones!$AB$131="FT",Milestones!$AA$131=FT_Y5,EDATE($D134,Milestones!$AA$131)&lt;PolicyEff),1,Milestones!$AC$131)&amp;";  ","")&amp;IF(AND(EDATE($D134,Milestones!$AA$132)&lt;=AsOfDate,EDATE($D134,Milestones!$AA$132)&gt;=SchemeStart,IF($X134=0,$AD134,IF(AND($Z134&lt;&gt;"",EDATE($D134,Milestones!$AA$132)&gt;=$Z134),$AC134,IF(AND($Y134&lt;&gt;"",EDATE($D134,Milestones!$AA$132)&gt;=$Y134),$AB134,$AA134)))=Milestones!$AB$132),UPPER(TEXT(EDATE($D134,Milestones!$AA$132),"dd mmm yy"))&amp;" "&amp;Milestones!$AB$132&amp;" "&amp;IF(AND(Milestones!$AB$132="FT",Milestones!$AA$132=FT_Y5,EDATE($D134,Milestones!$AA$132)&lt;PolicyEff),1,Milestones!$AC$132)&amp;";  ","")&amp;IF(AND(EDATE($D134,Milestones!$AA$133)&lt;=AsOfDate,EDATE($D134,Milestones!$AA$133)&gt;=SchemeStart,IF($X134=0,$AD134,IF(AND($Z134&lt;&gt;"",EDATE($D134,Milestones!$AA$133)&gt;=$Z134),$AC134,IF(AND($Y134&lt;&gt;"",EDATE($D134,Milestones!$AA$133)&gt;=$Y134),$AB134,$AA134)))=Milestones!$AB$133),UPPER(TEXT(EDATE($D134,Milestones!$AA$133),"dd mmm yy"))&amp;" "&amp;Milestones!$AB$133&amp;" "&amp;IF(AND(Milestones!$AB$133="FT",Milestones!$AA$133=FT_Y5,EDATE($D134,Milestones!$AA$133)&lt;PolicyEff),1,Milestones!$AC$133)&amp;";  ","")&amp;IF(AND(EDATE($D134,Milestones!$AA$134)&lt;=AsOfDate,EDATE($D134,Milestones!$AA$134)&gt;=SchemeStart,IF($X134=0,$AD134,IF(AND($Z134&lt;&gt;"",EDATE($D134,Milestones!$AA$134)&gt;=$Z134),$AC134,IF(AND($Y134&lt;&gt;"",EDATE($D134,Milestones!$AA$134)&gt;=$Y134),$AB134,$AA134)))=Milestones!$AB$134),UPPER(TEXT(EDATE($D134,Milestones!$AA$134),"dd mmm yy"))&amp;" "&amp;Milestones!$AB$134&amp;" "&amp;IF(AND(Milestones!$AB$134="FT",Milestones!$AA$134=FT_Y5,EDATE($D134,Milestones!$AA$134)&lt;PolicyEff),1,Milestones!$AC$134)&amp;";  ","")&amp;IF(AND(EDATE($D134,Milestones!$AA$135)&lt;=AsOfDate,EDATE($D134,Milestones!$AA$135)&gt;=SchemeStart,IF($X134=0,$AD134,IF(AND($Z134&lt;&gt;"",EDATE($D134,Milestones!$AA$135)&gt;=$Z134),$AC134,IF(AND($Y134&lt;&gt;"",EDATE($D134,Milestones!$AA$135)&gt;=$Y134),$AB134,$AA134)))=Milestones!$AB$135),UPPER(TEXT(EDATE($D134,Milestones!$AA$135),"dd mmm yy"))&amp;" "&amp;Milestones!$AB$135&amp;" "&amp;IF(AND(Milestones!$AB$135="FT",Milestones!$AA$135=FT_Y5,EDATE($D134,Milestones!$AA$135)&lt;PolicyEff),1,Milestones!$AC$135)&amp;";  ","")&amp;IF(AND(EDATE($D134,Milestones!$AA$136)&lt;=AsOfDate,EDATE($D134,Milestones!$AA$136)&gt;=SchemeStart,IF($X134=0,$AD134,IF(AND($Z134&lt;&gt;"",EDATE($D134,Milestones!$AA$136)&gt;=$Z134),$AC134,IF(AND($Y134&lt;&gt;"",EDATE($D134,Milestones!$AA$136)&gt;=$Y134),$AB134,$AA134)))=Milestones!$AB$136),UPPER(TEXT(EDATE($D134,Milestones!$AA$136),"dd mmm yy"))&amp;" "&amp;Milestones!$AB$136&amp;" "&amp;IF(AND(Milestones!$AB$136="FT",Milestones!$AA$136=FT_Y5,EDATE($D134,Milestones!$AA$136)&lt;PolicyEff),1,Milestones!$AC$136)&amp;";  ","")&amp;IF(AND(EDATE($D134,Milestones!$AA$137)&lt;=AsOfDate,EDATE($D134,Milestones!$AA$137)&gt;=SchemeStart,IF($X134=0,$AD134,IF(AND($Z134&lt;&gt;"",EDATE($D134,Milestones!$AA$137)&gt;=$Z134),$AC134,IF(AND($Y134&lt;&gt;"",EDATE($D134,Milestones!$AA$137)&gt;=$Y134),$AB134,$AA134)))=Milestones!$AB$137),UPPER(TEXT(EDATE($D134,Milestones!$AA$137),"dd mmm yy"))&amp;" "&amp;Milestones!$AB$137&amp;" "&amp;IF(AND(Milestones!$AB$137="FT",Milestones!$AA$137=FT_Y5,EDATE($D134,Milestones!$AA$137)&lt;PolicyEff),1,Milestones!$AC$137)&amp;";  ","")&amp;IF(AND(EDATE($D134,Milestones!$AA$138)&lt;=AsOfDate,EDATE($D134,Milestones!$AA$138)&gt;=SchemeStart,IF($X134=0,$AD134,IF(AND($Z134&lt;&gt;"",EDATE($D134,Milestones!$AA$138)&gt;=$Z134),$AC134,IF(AND($Y134&lt;&gt;"",EDATE($D134,Milestones!$AA$138)&gt;=$Y134),$AB134,$AA134)))=Milestones!$AB$138),UPPER(TEXT(EDATE($D134,Milestones!$AA$138),"dd mmm yy"))&amp;" "&amp;Milestones!$AB$138&amp;" "&amp;IF(AND(Milestones!$AB$138="FT",Milestones!$AA$138=FT_Y5,EDATE($D134,Milestones!$AA$138)&lt;PolicyEff),1,Milestones!$AC$138)&amp;";  ","")&amp;IF(AND(EDATE($D134,Milestones!$AA$139)&lt;=AsOfDate,EDATE($D134,Milestones!$AA$139)&gt;=SchemeStart,IF($X134=0,$AD134,IF(AND($Z134&lt;&gt;"",EDATE($D134,Milestones!$AA$139)&gt;=$Z134),$AC134,IF(AND($Y134&lt;&gt;"",EDATE($D134,Milestones!$AA$139)&gt;=$Y134),$AB134,$AA134)))=Milestones!$AB$139),UPPER(TEXT(EDATE($D134,Milestones!$AA$139),"dd mmm yy"))&amp;" "&amp;Milestones!$AB$139&amp;" "&amp;IF(AND(Milestones!$AB$139="FT",Milestones!$AA$139=FT_Y5,EDATE($D134,Milestones!$AA$139)&lt;PolicyEff),1,Milestones!$AC$139)&amp;";  ",""))</f>
        <v/>
      </c>
      <c r="S134" s="0" t="str">
        <f aca="false">IF(OR($A134="",$D134=""),"",IF(AND(EDATE($D134,Milestones!$AA$140)&lt;=AsOfDate,EDATE($D134,Milestones!$AA$140)&gt;=SchemeStart,IF($X134=0,$AD134,IF(AND($Z134&lt;&gt;"",EDATE($D134,Milestones!$AA$140)&gt;=$Z134),$AC134,IF(AND($Y134&lt;&gt;"",EDATE($D134,Milestones!$AA$140)&gt;=$Y134),$AB134,$AA134)))=Milestones!$AB$140),UPPER(TEXT(EDATE($D134,Milestones!$AA$140),"dd mmm yy"))&amp;" "&amp;Milestones!$AB$140&amp;" "&amp;IF(AND(Milestones!$AB$140="FT",Milestones!$AA$140=FT_Y5,EDATE($D134,Milestones!$AA$140)&lt;PolicyEff),1,Milestones!$AC$140)&amp;";  ","")&amp;IF(AND(EDATE($D134,Milestones!$AA$141)&lt;=AsOfDate,EDATE($D134,Milestones!$AA$141)&gt;=SchemeStart,IF($X134=0,$AD134,IF(AND($Z134&lt;&gt;"",EDATE($D134,Milestones!$AA$141)&gt;=$Z134),$AC134,IF(AND($Y134&lt;&gt;"",EDATE($D134,Milestones!$AA$141)&gt;=$Y134),$AB134,$AA134)))=Milestones!$AB$141),UPPER(TEXT(EDATE($D134,Milestones!$AA$141),"dd mmm yy"))&amp;" "&amp;Milestones!$AB$141&amp;" "&amp;IF(AND(Milestones!$AB$141="FT",Milestones!$AA$141=FT_Y5,EDATE($D134,Milestones!$AA$141)&lt;PolicyEff),1,Milestones!$AC$141)&amp;";  ","")&amp;IF(AND(EDATE($D134,Milestones!$AA$142)&lt;=AsOfDate,EDATE($D134,Milestones!$AA$142)&gt;=SchemeStart,IF($X134=0,$AD134,IF(AND($Z134&lt;&gt;"",EDATE($D134,Milestones!$AA$142)&gt;=$Z134),$AC134,IF(AND($Y134&lt;&gt;"",EDATE($D134,Milestones!$AA$142)&gt;=$Y134),$AB134,$AA134)))=Milestones!$AB$142),UPPER(TEXT(EDATE($D134,Milestones!$AA$142),"dd mmm yy"))&amp;" "&amp;Milestones!$AB$142&amp;" "&amp;IF(AND(Milestones!$AB$142="FT",Milestones!$AA$142=FT_Y5,EDATE($D134,Milestones!$AA$142)&lt;PolicyEff),1,Milestones!$AC$142)&amp;";  ","")&amp;IF(AND(EDATE($D134,Milestones!$AA$143)&lt;=AsOfDate,EDATE($D134,Milestones!$AA$143)&gt;=SchemeStart,IF($X134=0,$AD134,IF(AND($Z134&lt;&gt;"",EDATE($D134,Milestones!$AA$143)&gt;=$Z134),$AC134,IF(AND($Y134&lt;&gt;"",EDATE($D134,Milestones!$AA$143)&gt;=$Y134),$AB134,$AA134)))=Milestones!$AB$143),UPPER(TEXT(EDATE($D134,Milestones!$AA$143),"dd mmm yy"))&amp;" "&amp;Milestones!$AB$143&amp;" "&amp;IF(AND(Milestones!$AB$143="FT",Milestones!$AA$143=FT_Y5,EDATE($D134,Milestones!$AA$143)&lt;PolicyEff),1,Milestones!$AC$143)&amp;";  ","")&amp;IF(AND(EDATE($D134,Milestones!$AA$144)&lt;=AsOfDate,EDATE($D134,Milestones!$AA$144)&gt;=SchemeStart,IF($X134=0,$AD134,IF(AND($Z134&lt;&gt;"",EDATE($D134,Milestones!$AA$144)&gt;=$Z134),$AC134,IF(AND($Y134&lt;&gt;"",EDATE($D134,Milestones!$AA$144)&gt;=$Y134),$AB134,$AA134)))=Milestones!$AB$144),UPPER(TEXT(EDATE($D134,Milestones!$AA$144),"dd mmm yy"))&amp;" "&amp;Milestones!$AB$144&amp;" "&amp;IF(AND(Milestones!$AB$144="FT",Milestones!$AA$144=FT_Y5,EDATE($D134,Milestones!$AA$144)&lt;PolicyEff),1,Milestones!$AC$144)&amp;";  ","")&amp;IF(AND(EDATE($D134,Milestones!$AA$145)&lt;=AsOfDate,EDATE($D134,Milestones!$AA$145)&gt;=SchemeStart,IF($X134=0,$AD134,IF(AND($Z134&lt;&gt;"",EDATE($D134,Milestones!$AA$145)&gt;=$Z134),$AC134,IF(AND($Y134&lt;&gt;"",EDATE($D134,Milestones!$AA$145)&gt;=$Y134),$AB134,$AA134)))=Milestones!$AB$145),UPPER(TEXT(EDATE($D134,Milestones!$AA$145),"dd mmm yy"))&amp;" "&amp;Milestones!$AB$145&amp;" "&amp;IF(AND(Milestones!$AB$145="FT",Milestones!$AA$145=FT_Y5,EDATE($D134,Milestones!$AA$145)&lt;PolicyEff),1,Milestones!$AC$145)&amp;";  ","")&amp;IF(AND(EDATE($D134,Milestones!$AA$146)&lt;=AsOfDate,EDATE($D134,Milestones!$AA$146)&gt;=SchemeStart,IF($X134=0,$AD134,IF(AND($Z134&lt;&gt;"",EDATE($D134,Milestones!$AA$146)&gt;=$Z134),$AC134,IF(AND($Y134&lt;&gt;"",EDATE($D134,Milestones!$AA$146)&gt;=$Y134),$AB134,$AA134)))=Milestones!$AB$146),UPPER(TEXT(EDATE($D134,Milestones!$AA$146),"dd mmm yy"))&amp;" "&amp;Milestones!$AB$146&amp;" "&amp;IF(AND(Milestones!$AB$146="FT",Milestones!$AA$146=FT_Y5,EDATE($D134,Milestones!$AA$146)&lt;PolicyEff),1,Milestones!$AC$146)&amp;";  ","")&amp;IF(AND(EDATE($D134,Milestones!$AA$147)&lt;=AsOfDate,EDATE($D134,Milestones!$AA$147)&gt;=SchemeStart,IF($X134=0,$AD134,IF(AND($Z134&lt;&gt;"",EDATE($D134,Milestones!$AA$147)&gt;=$Z134),$AC134,IF(AND($Y134&lt;&gt;"",EDATE($D134,Milestones!$AA$147)&gt;=$Y134),$AB134,$AA134)))=Milestones!$AB$147),UPPER(TEXT(EDATE($D134,Milestones!$AA$147),"dd mmm yy"))&amp;" "&amp;Milestones!$AB$147&amp;" "&amp;IF(AND(Milestones!$AB$147="FT",Milestones!$AA$147=FT_Y5,EDATE($D134,Milestones!$AA$147)&lt;PolicyEff),1,Milestones!$AC$147)&amp;";  ","")&amp;IF(AND(EDATE($D134,Milestones!$AA$148)&lt;=AsOfDate,EDATE($D134,Milestones!$AA$148)&gt;=SchemeStart,IF($X134=0,$AD134,IF(AND($Z134&lt;&gt;"",EDATE($D134,Milestones!$AA$148)&gt;=$Z134),$AC134,IF(AND($Y134&lt;&gt;"",EDATE($D134,Milestones!$AA$148)&gt;=$Y134),$AB134,$AA134)))=Milestones!$AB$148),UPPER(TEXT(EDATE($D134,Milestones!$AA$148),"dd mmm yy"))&amp;" "&amp;Milestones!$AB$148&amp;" "&amp;IF(AND(Milestones!$AB$148="FT",Milestones!$AA$148=FT_Y5,EDATE($D134,Milestones!$AA$148)&lt;PolicyEff),1,Milestones!$AC$148)&amp;";  ","")&amp;IF(AND(EDATE($D134,Milestones!$AA$149)&lt;=AsOfDate,EDATE($D134,Milestones!$AA$149)&gt;=SchemeStart,IF($X134=0,$AD134,IF(AND($Z134&lt;&gt;"",EDATE($D134,Milestones!$AA$149)&gt;=$Z134),$AC134,IF(AND($Y134&lt;&gt;"",EDATE($D134,Milestones!$AA$149)&gt;=$Y134),$AB134,$AA134)))=Milestones!$AB$149),UPPER(TEXT(EDATE($D134,Milestones!$AA$149),"dd mmm yy"))&amp;" "&amp;Milestones!$AB$149&amp;" "&amp;IF(AND(Milestones!$AB$149="FT",Milestones!$AA$149=FT_Y5,EDATE($D134,Milestones!$AA$149)&lt;PolicyEff),1,Milestones!$AC$149)&amp;";  ","")&amp;IF(AND(EDATE($D134,Milestones!$AA$150)&lt;=AsOfDate,EDATE($D134,Milestones!$AA$150)&gt;=SchemeStart,IF($X134=0,$AD134,IF(AND($Z134&lt;&gt;"",EDATE($D134,Milestones!$AA$150)&gt;=$Z134),$AC134,IF(AND($Y134&lt;&gt;"",EDATE($D134,Milestones!$AA$150)&gt;=$Y134),$AB134,$AA134)))=Milestones!$AB$150),UPPER(TEXT(EDATE($D134,Milestones!$AA$150),"dd mmm yy"))&amp;" "&amp;Milestones!$AB$150&amp;" "&amp;IF(AND(Milestones!$AB$150="FT",Milestones!$AA$150=FT_Y5,EDATE($D134,Milestones!$AA$150)&lt;PolicyEff),1,Milestones!$AC$150)&amp;";  ","")&amp;IF(AND(EDATE($D134,Milestones!$AA$151)&lt;=AsOfDate,EDATE($D134,Milestones!$AA$151)&gt;=SchemeStart,IF($X134=0,$AD134,IF(AND($Z134&lt;&gt;"",EDATE($D134,Milestones!$AA$151)&gt;=$Z134),$AC134,IF(AND($Y134&lt;&gt;"",EDATE($D134,Milestones!$AA$151)&gt;=$Y134),$AB134,$AA134)))=Milestones!$AB$151),UPPER(TEXT(EDATE($D134,Milestones!$AA$151),"dd mmm yy"))&amp;" "&amp;Milestones!$AB$151&amp;" "&amp;IF(AND(Milestones!$AB$151="FT",Milestones!$AA$151=FT_Y5,EDATE($D134,Milestones!$AA$151)&lt;PolicyEff),1,Milestones!$AC$151)&amp;";  ",""))</f>
        <v/>
      </c>
      <c r="T134" s="0" t="str">
        <f aca="false">IF(OR($A134="",$D134=""),"",IF(AND(EDATE($D134,Milestones!$AA$152)&lt;=AsOfDate,EDATE($D134,Milestones!$AA$152)&gt;=SchemeStart,IF($X134=0,$AD134,IF(AND($Z134&lt;&gt;"",EDATE($D134,Milestones!$AA$152)&gt;=$Z134),$AC134,IF(AND($Y134&lt;&gt;"",EDATE($D134,Milestones!$AA$152)&gt;=$Y134),$AB134,$AA134)))=Milestones!$AB$152),UPPER(TEXT(EDATE($D134,Milestones!$AA$152),"dd mmm yy"))&amp;" "&amp;Milestones!$AB$152&amp;" "&amp;IF(AND(Milestones!$AB$152="FT",Milestones!$AA$152=FT_Y5,EDATE($D134,Milestones!$AA$152)&lt;PolicyEff),1,Milestones!$AC$152)&amp;";  ","")&amp;IF(AND(EDATE($D134,Milestones!$AA$153)&lt;=AsOfDate,EDATE($D134,Milestones!$AA$153)&gt;=SchemeStart,IF($X134=0,$AD134,IF(AND($Z134&lt;&gt;"",EDATE($D134,Milestones!$AA$153)&gt;=$Z134),$AC134,IF(AND($Y134&lt;&gt;"",EDATE($D134,Milestones!$AA$153)&gt;=$Y134),$AB134,$AA134)))=Milestones!$AB$153),UPPER(TEXT(EDATE($D134,Milestones!$AA$153),"dd mmm yy"))&amp;" "&amp;Milestones!$AB$153&amp;" "&amp;IF(AND(Milestones!$AB$153="FT",Milestones!$AA$153=FT_Y5,EDATE($D134,Milestones!$AA$153)&lt;PolicyEff),1,Milestones!$AC$153)&amp;";  ","")&amp;IF(AND(EDATE($D134,Milestones!$AA$154)&lt;=AsOfDate,EDATE($D134,Milestones!$AA$154)&gt;=SchemeStart,IF($X134=0,$AD134,IF(AND($Z134&lt;&gt;"",EDATE($D134,Milestones!$AA$154)&gt;=$Z134),$AC134,IF(AND($Y134&lt;&gt;"",EDATE($D134,Milestones!$AA$154)&gt;=$Y134),$AB134,$AA134)))=Milestones!$AB$154),UPPER(TEXT(EDATE($D134,Milestones!$AA$154),"dd mmm yy"))&amp;" "&amp;Milestones!$AB$154&amp;" "&amp;IF(AND(Milestones!$AB$154="FT",Milestones!$AA$154=FT_Y5,EDATE($D134,Milestones!$AA$154)&lt;PolicyEff),1,Milestones!$AC$154)&amp;";  ","")&amp;IF(AND(EDATE($D134,Milestones!$AA$155)&lt;=AsOfDate,EDATE($D134,Milestones!$AA$155)&gt;=SchemeStart,IF($X134=0,$AD134,IF(AND($Z134&lt;&gt;"",EDATE($D134,Milestones!$AA$155)&gt;=$Z134),$AC134,IF(AND($Y134&lt;&gt;"",EDATE($D134,Milestones!$AA$155)&gt;=$Y134),$AB134,$AA134)))=Milestones!$AB$155),UPPER(TEXT(EDATE($D134,Milestones!$AA$155),"dd mmm yy"))&amp;" "&amp;Milestones!$AB$155&amp;" "&amp;IF(AND(Milestones!$AB$155="FT",Milestones!$AA$155=FT_Y5,EDATE($D134,Milestones!$AA$155)&lt;PolicyEff),1,Milestones!$AC$155)&amp;";  ","")&amp;IF(AND(EDATE($D134,Milestones!$AA$156)&lt;=AsOfDate,EDATE($D134,Milestones!$AA$156)&gt;=SchemeStart,IF($X134=0,$AD134,IF(AND($Z134&lt;&gt;"",EDATE($D134,Milestones!$AA$156)&gt;=$Z134),$AC134,IF(AND($Y134&lt;&gt;"",EDATE($D134,Milestones!$AA$156)&gt;=$Y134),$AB134,$AA134)))=Milestones!$AB$156),UPPER(TEXT(EDATE($D134,Milestones!$AA$156),"dd mmm yy"))&amp;" "&amp;Milestones!$AB$156&amp;" "&amp;IF(AND(Milestones!$AB$156="FT",Milestones!$AA$156=FT_Y5,EDATE($D134,Milestones!$AA$156)&lt;PolicyEff),1,Milestones!$AC$156)&amp;";  ","")&amp;IF(AND(EDATE($D134,Milestones!$AA$157)&lt;=AsOfDate,EDATE($D134,Milestones!$AA$157)&gt;=SchemeStart,IF($X134=0,$AD134,IF(AND($Z134&lt;&gt;"",EDATE($D134,Milestones!$AA$157)&gt;=$Z134),$AC134,IF(AND($Y134&lt;&gt;"",EDATE($D134,Milestones!$AA$157)&gt;=$Y134),$AB134,$AA134)))=Milestones!$AB$157),UPPER(TEXT(EDATE($D134,Milestones!$AA$157),"dd mmm yy"))&amp;" "&amp;Milestones!$AB$157&amp;" "&amp;IF(AND(Milestones!$AB$157="FT",Milestones!$AA$157=FT_Y5,EDATE($D134,Milestones!$AA$157)&lt;PolicyEff),1,Milestones!$AC$157)&amp;";  ","")&amp;IF(AND(EDATE($D134,Milestones!$AA$158)&lt;=AsOfDate,EDATE($D134,Milestones!$AA$158)&gt;=SchemeStart,IF($X134=0,$AD134,IF(AND($Z134&lt;&gt;"",EDATE($D134,Milestones!$AA$158)&gt;=$Z134),$AC134,IF(AND($Y134&lt;&gt;"",EDATE($D134,Milestones!$AA$158)&gt;=$Y134),$AB134,$AA134)))=Milestones!$AB$158),UPPER(TEXT(EDATE($D134,Milestones!$AA$158),"dd mmm yy"))&amp;" "&amp;Milestones!$AB$158&amp;" "&amp;IF(AND(Milestones!$AB$158="FT",Milestones!$AA$158=FT_Y5,EDATE($D134,Milestones!$AA$158)&lt;PolicyEff),1,Milestones!$AC$158)&amp;";  ","")&amp;IF(AND(EDATE($D134,Milestones!$AA$159)&lt;=AsOfDate,EDATE($D134,Milestones!$AA$159)&gt;=SchemeStart,IF($X134=0,$AD134,IF(AND($Z134&lt;&gt;"",EDATE($D134,Milestones!$AA$159)&gt;=$Z134),$AC134,IF(AND($Y134&lt;&gt;"",EDATE($D134,Milestones!$AA$159)&gt;=$Y134),$AB134,$AA134)))=Milestones!$AB$159),UPPER(TEXT(EDATE($D134,Milestones!$AA$159),"dd mmm yy"))&amp;" "&amp;Milestones!$AB$159&amp;" "&amp;IF(AND(Milestones!$AB$159="FT",Milestones!$AA$159=FT_Y5,EDATE($D134,Milestones!$AA$159)&lt;PolicyEff),1,Milestones!$AC$159)&amp;";  ","")&amp;IF(AND(EDATE($D134,Milestones!$AA$160)&lt;=AsOfDate,EDATE($D134,Milestones!$AA$160)&gt;=SchemeStart,IF($X134=0,$AD134,IF(AND($Z134&lt;&gt;"",EDATE($D134,Milestones!$AA$160)&gt;=$Z134),$AC134,IF(AND($Y134&lt;&gt;"",EDATE($D134,Milestones!$AA$160)&gt;=$Y134),$AB134,$AA134)))=Milestones!$AB$160),UPPER(TEXT(EDATE($D134,Milestones!$AA$160),"dd mmm yy"))&amp;" "&amp;Milestones!$AB$160&amp;" "&amp;IF(AND(Milestones!$AB$160="FT",Milestones!$AA$160=FT_Y5,EDATE($D134,Milestones!$AA$160)&lt;PolicyEff),1,Milestones!$AC$160)&amp;";  ","")&amp;IF(AND(EDATE($D134,Milestones!$AA$161)&lt;=AsOfDate,EDATE($D134,Milestones!$AA$161)&gt;=SchemeStart,IF($X134=0,$AD134,IF(AND($Z134&lt;&gt;"",EDATE($D134,Milestones!$AA$161)&gt;=$Z134),$AC134,IF(AND($Y134&lt;&gt;"",EDATE($D134,Milestones!$AA$161)&gt;=$Y134),$AB134,$AA134)))=Milestones!$AB$161),UPPER(TEXT(EDATE($D134,Milestones!$AA$161),"dd mmm yy"))&amp;" "&amp;Milestones!$AB$161&amp;" "&amp;IF(AND(Milestones!$AB$161="FT",Milestones!$AA$161=FT_Y5,EDATE($D134,Milestones!$AA$161)&lt;PolicyEff),1,Milestones!$AC$161)&amp;";  ","")&amp;IF(AND(EDATE($D134,Milestones!$AA$162)&lt;=AsOfDate,EDATE($D134,Milestones!$AA$162)&gt;=SchemeStart,IF($X134=0,$AD134,IF(AND($Z134&lt;&gt;"",EDATE($D134,Milestones!$AA$162)&gt;=$Z134),$AC134,IF(AND($Y134&lt;&gt;"",EDATE($D134,Milestones!$AA$162)&gt;=$Y134),$AB134,$AA134)))=Milestones!$AB$162),UPPER(TEXT(EDATE($D134,Milestones!$AA$162),"dd mmm yy"))&amp;" "&amp;Milestones!$AB$162&amp;" "&amp;IF(AND(Milestones!$AB$162="FT",Milestones!$AA$162=FT_Y5,EDATE($D134,Milestones!$AA$162)&lt;PolicyEff),1,Milestones!$AC$162)&amp;";  ","")&amp;IF(AND(EDATE($D134,Milestones!$AA$163)&lt;=AsOfDate,EDATE($D134,Milestones!$AA$163)&gt;=SchemeStart,IF($X134=0,$AD134,IF(AND($Z134&lt;&gt;"",EDATE($D134,Milestones!$AA$163)&gt;=$Z134),$AC134,IF(AND($Y134&lt;&gt;"",EDATE($D134,Milestones!$AA$163)&gt;=$Y134),$AB134,$AA134)))=Milestones!$AB$163),UPPER(TEXT(EDATE($D134,Milestones!$AA$163),"dd mmm yy"))&amp;" "&amp;Milestones!$AB$163&amp;" "&amp;IF(AND(Milestones!$AB$163="FT",Milestones!$AA$163=FT_Y5,EDATE($D134,Milestones!$AA$163)&lt;PolicyEff),1,Milestones!$AC$163)&amp;";  ",""))</f>
        <v/>
      </c>
      <c r="U134" s="0" t="str">
        <f aca="false">IF(OR($A134="",$D134=""),"",IF(AND(EDATE($D134,Milestones!$AA$164)&lt;=AsOfDate,EDATE($D134,Milestones!$AA$164)&gt;=SchemeStart,IF($X134=0,$AD134,IF(AND($Z134&lt;&gt;"",EDATE($D134,Milestones!$AA$164)&gt;=$Z134),$AC134,IF(AND($Y134&lt;&gt;"",EDATE($D134,Milestones!$AA$164)&gt;=$Y134),$AB134,$AA134)))=Milestones!$AB$164),UPPER(TEXT(EDATE($D134,Milestones!$AA$164),"dd mmm yy"))&amp;" "&amp;Milestones!$AB$164&amp;" "&amp;IF(AND(Milestones!$AB$164="FT",Milestones!$AA$164=FT_Y5,EDATE($D134,Milestones!$AA$164)&lt;PolicyEff),1,Milestones!$AC$164)&amp;";  ","")&amp;IF(AND(EDATE($D134,Milestones!$AA$165)&lt;=AsOfDate,EDATE($D134,Milestones!$AA$165)&gt;=SchemeStart,IF($X134=0,$AD134,IF(AND($Z134&lt;&gt;"",EDATE($D134,Milestones!$AA$165)&gt;=$Z134),$AC134,IF(AND($Y134&lt;&gt;"",EDATE($D134,Milestones!$AA$165)&gt;=$Y134),$AB134,$AA134)))=Milestones!$AB$165),UPPER(TEXT(EDATE($D134,Milestones!$AA$165),"dd mmm yy"))&amp;" "&amp;Milestones!$AB$165&amp;" "&amp;IF(AND(Milestones!$AB$165="FT",Milestones!$AA$165=FT_Y5,EDATE($D134,Milestones!$AA$165)&lt;PolicyEff),1,Milestones!$AC$165)&amp;";  ","")&amp;IF(AND(EDATE($D134,Milestones!$AA$166)&lt;=AsOfDate,EDATE($D134,Milestones!$AA$166)&gt;=SchemeStart,IF($X134=0,$AD134,IF(AND($Z134&lt;&gt;"",EDATE($D134,Milestones!$AA$166)&gt;=$Z134),$AC134,IF(AND($Y134&lt;&gt;"",EDATE($D134,Milestones!$AA$166)&gt;=$Y134),$AB134,$AA134)))=Milestones!$AB$166),UPPER(TEXT(EDATE($D134,Milestones!$AA$166),"dd mmm yy"))&amp;" "&amp;Milestones!$AB$166&amp;" "&amp;IF(AND(Milestones!$AB$166="FT",Milestones!$AA$166=FT_Y5,EDATE($D134,Milestones!$AA$166)&lt;PolicyEff),1,Milestones!$AC$166)&amp;";  ","")&amp;IF(AND(EDATE($D134,Milestones!$AA$167)&lt;=AsOfDate,EDATE($D134,Milestones!$AA$167)&gt;=SchemeStart,IF($X134=0,$AD134,IF(AND($Z134&lt;&gt;"",EDATE($D134,Milestones!$AA$167)&gt;=$Z134),$AC134,IF(AND($Y134&lt;&gt;"",EDATE($D134,Milestones!$AA$167)&gt;=$Y134),$AB134,$AA134)))=Milestones!$AB$167),UPPER(TEXT(EDATE($D134,Milestones!$AA$167),"dd mmm yy"))&amp;" "&amp;Milestones!$AB$167&amp;" "&amp;IF(AND(Milestones!$AB$167="FT",Milestones!$AA$167=FT_Y5,EDATE($D134,Milestones!$AA$167)&lt;PolicyEff),1,Milestones!$AC$167)&amp;";  ","")&amp;IF(AND(EDATE($D134,Milestones!$AA$168)&lt;=AsOfDate,EDATE($D134,Milestones!$AA$168)&gt;=SchemeStart,IF($X134=0,$AD134,IF(AND($Z134&lt;&gt;"",EDATE($D134,Milestones!$AA$168)&gt;=$Z134),$AC134,IF(AND($Y134&lt;&gt;"",EDATE($D134,Milestones!$AA$168)&gt;=$Y134),$AB134,$AA134)))=Milestones!$AB$168),UPPER(TEXT(EDATE($D134,Milestones!$AA$168),"dd mmm yy"))&amp;" "&amp;Milestones!$AB$168&amp;" "&amp;IF(AND(Milestones!$AB$168="FT",Milestones!$AA$168=FT_Y5,EDATE($D134,Milestones!$AA$168)&lt;PolicyEff),1,Milestones!$AC$168)&amp;";  ","")&amp;IF(AND(EDATE($D134,Milestones!$AA$169)&lt;=AsOfDate,EDATE($D134,Milestones!$AA$169)&gt;=SchemeStart,IF($X134=0,$AD134,IF(AND($Z134&lt;&gt;"",EDATE($D134,Milestones!$AA$169)&gt;=$Z134),$AC134,IF(AND($Y134&lt;&gt;"",EDATE($D134,Milestones!$AA$169)&gt;=$Y134),$AB134,$AA134)))=Milestones!$AB$169),UPPER(TEXT(EDATE($D134,Milestones!$AA$169),"dd mmm yy"))&amp;" "&amp;Milestones!$AB$169&amp;" "&amp;IF(AND(Milestones!$AB$169="FT",Milestones!$AA$169=FT_Y5,EDATE($D134,Milestones!$AA$169)&lt;PolicyEff),1,Milestones!$AC$169)&amp;";  ","")&amp;IF(AND(EDATE($D134,Milestones!$AA$170)&lt;=AsOfDate,EDATE($D134,Milestones!$AA$170)&gt;=SchemeStart,IF($X134=0,$AD134,IF(AND($Z134&lt;&gt;"",EDATE($D134,Milestones!$AA$170)&gt;=$Z134),$AC134,IF(AND($Y134&lt;&gt;"",EDATE($D134,Milestones!$AA$170)&gt;=$Y134),$AB134,$AA134)))=Milestones!$AB$170),UPPER(TEXT(EDATE($D134,Milestones!$AA$170),"dd mmm yy"))&amp;" "&amp;Milestones!$AB$170&amp;" "&amp;IF(AND(Milestones!$AB$170="FT",Milestones!$AA$170=FT_Y5,EDATE($D134,Milestones!$AA$170)&lt;PolicyEff),1,Milestones!$AC$170)&amp;";  ","")&amp;IF(AND(EDATE($D134,Milestones!$AA$171)&lt;=AsOfDate,EDATE($D134,Milestones!$AA$171)&gt;=SchemeStart,IF($X134=0,$AD134,IF(AND($Z134&lt;&gt;"",EDATE($D134,Milestones!$AA$171)&gt;=$Z134),$AC134,IF(AND($Y134&lt;&gt;"",EDATE($D134,Milestones!$AA$171)&gt;=$Y134),$AB134,$AA134)))=Milestones!$AB$171),UPPER(TEXT(EDATE($D134,Milestones!$AA$171),"dd mmm yy"))&amp;" "&amp;Milestones!$AB$171&amp;" "&amp;IF(AND(Milestones!$AB$171="FT",Milestones!$AA$171=FT_Y5,EDATE($D134,Milestones!$AA$171)&lt;PolicyEff),1,Milestones!$AC$171)&amp;";  ","")&amp;IF(AND(EDATE($D134,Milestones!$AA$172)&lt;=AsOfDate,EDATE($D134,Milestones!$AA$172)&gt;=SchemeStart,IF($X134=0,$AD134,IF(AND($Z134&lt;&gt;"",EDATE($D134,Milestones!$AA$172)&gt;=$Z134),$AC134,IF(AND($Y134&lt;&gt;"",EDATE($D134,Milestones!$AA$172)&gt;=$Y134),$AB134,$AA134)))=Milestones!$AB$172),UPPER(TEXT(EDATE($D134,Milestones!$AA$172),"dd mmm yy"))&amp;" "&amp;Milestones!$AB$172&amp;" "&amp;IF(AND(Milestones!$AB$172="FT",Milestones!$AA$172=FT_Y5,EDATE($D134,Milestones!$AA$172)&lt;PolicyEff),1,Milestones!$AC$172)&amp;";  ","")&amp;IF(AND(EDATE($D134,Milestones!$AA$173)&lt;=AsOfDate,EDATE($D134,Milestones!$AA$173)&gt;=SchemeStart,IF($X134=0,$AD134,IF(AND($Z134&lt;&gt;"",EDATE($D134,Milestones!$AA$173)&gt;=$Z134),$AC134,IF(AND($Y134&lt;&gt;"",EDATE($D134,Milestones!$AA$173)&gt;=$Y134),$AB134,$AA134)))=Milestones!$AB$173),UPPER(TEXT(EDATE($D134,Milestones!$AA$173),"dd mmm yy"))&amp;" "&amp;Milestones!$AB$173&amp;" "&amp;IF(AND(Milestones!$AB$173="FT",Milestones!$AA$173=FT_Y5,EDATE($D134,Milestones!$AA$173)&lt;PolicyEff),1,Milestones!$AC$173)&amp;";  ","")&amp;IF(AND(EDATE($D134,Milestones!$AA$174)&lt;=AsOfDate,EDATE($D134,Milestones!$AA$174)&gt;=SchemeStart,IF($X134=0,$AD134,IF(AND($Z134&lt;&gt;"",EDATE($D134,Milestones!$AA$174)&gt;=$Z134),$AC134,IF(AND($Y134&lt;&gt;"",EDATE($D134,Milestones!$AA$174)&gt;=$Y134),$AB134,$AA134)))=Milestones!$AB$174),UPPER(TEXT(EDATE($D134,Milestones!$AA$174),"dd mmm yy"))&amp;" "&amp;Milestones!$AB$174&amp;" "&amp;IF(AND(Milestones!$AB$174="FT",Milestones!$AA$174=FT_Y5,EDATE($D134,Milestones!$AA$174)&lt;PolicyEff),1,Milestones!$AC$174)&amp;";  ","")&amp;IF(AND(EDATE($D134,Milestones!$AA$175)&lt;=AsOfDate,EDATE($D134,Milestones!$AA$175)&gt;=SchemeStart,IF($X134=0,$AD134,IF(AND($Z134&lt;&gt;"",EDATE($D134,Milestones!$AA$175)&gt;=$Z134),$AC134,IF(AND($Y134&lt;&gt;"",EDATE($D134,Milestones!$AA$175)&gt;=$Y134),$AB134,$AA134)))=Milestones!$AB$175),UPPER(TEXT(EDATE($D134,Milestones!$AA$175),"dd mmm yy"))&amp;" "&amp;Milestones!$AB$175&amp;" "&amp;IF(AND(Milestones!$AB$175="FT",Milestones!$AA$175=FT_Y5,EDATE($D134,Milestones!$AA$175)&lt;PolicyEff),1,Milestones!$AC$175)&amp;";  ",""))</f>
        <v/>
      </c>
      <c r="V134" s="0" t="str">
        <f aca="false">IF(OR($A134="",$D134=""),"",IF(AND(EDATE($D134,Milestones!$AA$176)&lt;=AsOfDate,EDATE($D134,Milestones!$AA$176)&gt;=SchemeStart,IF($X134=0,$AD134,IF(AND($Z134&lt;&gt;"",EDATE($D134,Milestones!$AA$176)&gt;=$Z134),$AC134,IF(AND($Y134&lt;&gt;"",EDATE($D134,Milestones!$AA$176)&gt;=$Y134),$AB134,$AA134)))=Milestones!$AB$176),UPPER(TEXT(EDATE($D134,Milestones!$AA$176),"dd mmm yy"))&amp;" "&amp;Milestones!$AB$176&amp;" "&amp;IF(AND(Milestones!$AB$176="FT",Milestones!$AA$176=FT_Y5,EDATE($D134,Milestones!$AA$176)&lt;PolicyEff),1,Milestones!$AC$176)&amp;";  ","")&amp;IF(AND(EDATE($D134,Milestones!$AA$177)&lt;=AsOfDate,EDATE($D134,Milestones!$AA$177)&gt;=SchemeStart,IF($X134=0,$AD134,IF(AND($Z134&lt;&gt;"",EDATE($D134,Milestones!$AA$177)&gt;=$Z134),$AC134,IF(AND($Y134&lt;&gt;"",EDATE($D134,Milestones!$AA$177)&gt;=$Y134),$AB134,$AA134)))=Milestones!$AB$177),UPPER(TEXT(EDATE($D134,Milestones!$AA$177),"dd mmm yy"))&amp;" "&amp;Milestones!$AB$177&amp;" "&amp;IF(AND(Milestones!$AB$177="FT",Milestones!$AA$177=FT_Y5,EDATE($D134,Milestones!$AA$177)&lt;PolicyEff),1,Milestones!$AC$177)&amp;";  ","")&amp;IF(AND(EDATE($D134,Milestones!$AA$178)&lt;=AsOfDate,EDATE($D134,Milestones!$AA$178)&gt;=SchemeStart,IF($X134=0,$AD134,IF(AND($Z134&lt;&gt;"",EDATE($D134,Milestones!$AA$178)&gt;=$Z134),$AC134,IF(AND($Y134&lt;&gt;"",EDATE($D134,Milestones!$AA$178)&gt;=$Y134),$AB134,$AA134)))=Milestones!$AB$178),UPPER(TEXT(EDATE($D134,Milestones!$AA$178),"dd mmm yy"))&amp;" "&amp;Milestones!$AB$178&amp;" "&amp;IF(AND(Milestones!$AB$178="FT",Milestones!$AA$178=FT_Y5,EDATE($D134,Milestones!$AA$178)&lt;PolicyEff),1,Milestones!$AC$178)&amp;";  ","")&amp;IF(AND(EDATE($D134,Milestones!$AA$179)&lt;=AsOfDate,EDATE($D134,Milestones!$AA$179)&gt;=SchemeStart,IF($X134=0,$AD134,IF(AND($Z134&lt;&gt;"",EDATE($D134,Milestones!$AA$179)&gt;=$Z134),$AC134,IF(AND($Y134&lt;&gt;"",EDATE($D134,Milestones!$AA$179)&gt;=$Y134),$AB134,$AA134)))=Milestones!$AB$179),UPPER(TEXT(EDATE($D134,Milestones!$AA$179),"dd mmm yy"))&amp;" "&amp;Milestones!$AB$179&amp;" "&amp;IF(AND(Milestones!$AB$179="FT",Milestones!$AA$179=FT_Y5,EDATE($D134,Milestones!$AA$179)&lt;PolicyEff),1,Milestones!$AC$179)&amp;";  ","")&amp;IF(AND(EDATE($D134,Milestones!$AA$180)&lt;=AsOfDate,EDATE($D134,Milestones!$AA$180)&gt;=SchemeStart,IF($X134=0,$AD134,IF(AND($Z134&lt;&gt;"",EDATE($D134,Milestones!$AA$180)&gt;=$Z134),$AC134,IF(AND($Y134&lt;&gt;"",EDATE($D134,Milestones!$AA$180)&gt;=$Y134),$AB134,$AA134)))=Milestones!$AB$180),UPPER(TEXT(EDATE($D134,Milestones!$AA$180),"dd mmm yy"))&amp;" "&amp;Milestones!$AB$180&amp;" "&amp;IF(AND(Milestones!$AB$180="FT",Milestones!$AA$180=FT_Y5,EDATE($D134,Milestones!$AA$180)&lt;PolicyEff),1,Milestones!$AC$180)&amp;";  ","")&amp;IF(AND(EDATE($D134,Milestones!$AA$181)&lt;=AsOfDate,EDATE($D134,Milestones!$AA$181)&gt;=SchemeStart,IF($X134=0,$AD134,IF(AND($Z134&lt;&gt;"",EDATE($D134,Milestones!$AA$181)&gt;=$Z134),$AC134,IF(AND($Y134&lt;&gt;"",EDATE($D134,Milestones!$AA$181)&gt;=$Y134),$AB134,$AA134)))=Milestones!$AB$181),UPPER(TEXT(EDATE($D134,Milestones!$AA$181),"dd mmm yy"))&amp;" "&amp;Milestones!$AB$181&amp;" "&amp;IF(AND(Milestones!$AB$181="FT",Milestones!$AA$181=FT_Y5,EDATE($D134,Milestones!$AA$181)&lt;PolicyEff),1,Milestones!$AC$181)&amp;";  ","")&amp;IF(AND(EDATE($D134,Milestones!$AA$182)&lt;=AsOfDate,EDATE($D134,Milestones!$AA$182)&gt;=SchemeStart,IF($X134=0,$AD134,IF(AND($Z134&lt;&gt;"",EDATE($D134,Milestones!$AA$182)&gt;=$Z134),$AC134,IF(AND($Y134&lt;&gt;"",EDATE($D134,Milestones!$AA$182)&gt;=$Y134),$AB134,$AA134)))=Milestones!$AB$182),UPPER(TEXT(EDATE($D134,Milestones!$AA$182),"dd mmm yy"))&amp;" "&amp;Milestones!$AB$182&amp;" "&amp;IF(AND(Milestones!$AB$182="FT",Milestones!$AA$182=FT_Y5,EDATE($D134,Milestones!$AA$182)&lt;PolicyEff),1,Milestones!$AC$182)&amp;";  ","")&amp;IF(AND(EDATE($D134,Milestones!$AA$183)&lt;=AsOfDate,EDATE($D134,Milestones!$AA$183)&gt;=SchemeStart,IF($X134=0,$AD134,IF(AND($Z134&lt;&gt;"",EDATE($D134,Milestones!$AA$183)&gt;=$Z134),$AC134,IF(AND($Y134&lt;&gt;"",EDATE($D134,Milestones!$AA$183)&gt;=$Y134),$AB134,$AA134)))=Milestones!$AB$183),UPPER(TEXT(EDATE($D134,Milestones!$AA$183),"dd mmm yy"))&amp;" "&amp;Milestones!$AB$183&amp;" "&amp;IF(AND(Milestones!$AB$183="FT",Milestones!$AA$183=FT_Y5,EDATE($D134,Milestones!$AA$183)&lt;PolicyEff),1,Milestones!$AC$183)&amp;";  ","")&amp;IF(AND(EDATE($D134,Milestones!$AA$184)&lt;=AsOfDate,EDATE($D134,Milestones!$AA$184)&gt;=SchemeStart,IF($X134=0,$AD134,IF(AND($Z134&lt;&gt;"",EDATE($D134,Milestones!$AA$184)&gt;=$Z134),$AC134,IF(AND($Y134&lt;&gt;"",EDATE($D134,Milestones!$AA$184)&gt;=$Y134),$AB134,$AA134)))=Milestones!$AB$184),UPPER(TEXT(EDATE($D134,Milestones!$AA$184),"dd mmm yy"))&amp;" "&amp;Milestones!$AB$184&amp;" "&amp;IF(AND(Milestones!$AB$184="FT",Milestones!$AA$184=FT_Y5,EDATE($D134,Milestones!$AA$184)&lt;PolicyEff),1,Milestones!$AC$184)&amp;";  ","")&amp;IF(AND(EDATE($D134,Milestones!$AA$185)&lt;=AsOfDate,EDATE($D134,Milestones!$AA$185)&gt;=SchemeStart,IF($X134=0,$AD134,IF(AND($Z134&lt;&gt;"",EDATE($D134,Milestones!$AA$185)&gt;=$Z134),$AC134,IF(AND($Y134&lt;&gt;"",EDATE($D134,Milestones!$AA$185)&gt;=$Y134),$AB134,$AA134)))=Milestones!$AB$185),UPPER(TEXT(EDATE($D134,Milestones!$AA$185),"dd mmm yy"))&amp;" "&amp;Milestones!$AB$185&amp;" "&amp;IF(AND(Milestones!$AB$185="FT",Milestones!$AA$185=FT_Y5,EDATE($D134,Milestones!$AA$185)&lt;PolicyEff),1,Milestones!$AC$185)&amp;";  ","")&amp;IF(AND(EDATE($D134,Milestones!$AA$186)&lt;=AsOfDate,EDATE($D134,Milestones!$AA$186)&gt;=SchemeStart,IF($X134=0,$AD134,IF(AND($Z134&lt;&gt;"",EDATE($D134,Milestones!$AA$186)&gt;=$Z134),$AC134,IF(AND($Y134&lt;&gt;"",EDATE($D134,Milestones!$AA$186)&gt;=$Y134),$AB134,$AA134)))=Milestones!$AB$186),UPPER(TEXT(EDATE($D134,Milestones!$AA$186),"dd mmm yy"))&amp;" "&amp;Milestones!$AB$186&amp;" "&amp;IF(AND(Milestones!$AB$186="FT",Milestones!$AA$186=FT_Y5,EDATE($D134,Milestones!$AA$186)&lt;PolicyEff),1,Milestones!$AC$186)&amp;";  ","")&amp;IF(AND(EDATE($D134,Milestones!$AA$187)&lt;=AsOfDate,EDATE($D134,Milestones!$AA$187)&gt;=SchemeStart,IF($X134=0,$AD134,IF(AND($Z134&lt;&gt;"",EDATE($D134,Milestones!$AA$187)&gt;=$Z134),$AC134,IF(AND($Y134&lt;&gt;"",EDATE($D134,Milestones!$AA$187)&gt;=$Y134),$AB134,$AA134)))=Milestones!$AB$187),UPPER(TEXT(EDATE($D134,Milestones!$AA$187),"dd mmm yy"))&amp;" "&amp;Milestones!$AB$187&amp;" "&amp;IF(AND(Milestones!$AB$187="FT",Milestones!$AA$187=FT_Y5,EDATE($D134,Milestones!$AA$187)&lt;PolicyEff),1,Milestones!$AC$187)&amp;";  ",""))</f>
        <v/>
      </c>
      <c r="W134" s="0" t="str">
        <f aca="false">IF(OR($A134="",$D134=""),"",IF(AND(EDATE($D134,Milestones!$AA$188)&lt;=AsOfDate,EDATE($D134,Milestones!$AA$188)&gt;=SchemeStart,IF($X134=0,$AD134,IF(AND($Z134&lt;&gt;"",EDATE($D134,Milestones!$AA$188)&gt;=$Z134),$AC134,IF(AND($Y134&lt;&gt;"",EDATE($D134,Milestones!$AA$188)&gt;=$Y134),$AB134,$AA134)))=Milestones!$AB$188),UPPER(TEXT(EDATE($D134,Milestones!$AA$188),"dd mmm yy"))&amp;" "&amp;Milestones!$AB$188&amp;" "&amp;IF(AND(Milestones!$AB$188="FT",Milestones!$AA$188=FT_Y5,EDATE($D134,Milestones!$AA$188)&lt;PolicyEff),1,Milestones!$AC$188)&amp;";  ","")&amp;IF(AND(EDATE($D134,Milestones!$AA$189)&lt;=AsOfDate,EDATE($D134,Milestones!$AA$189)&gt;=SchemeStart,IF($X134=0,$AD134,IF(AND($Z134&lt;&gt;"",EDATE($D134,Milestones!$AA$189)&gt;=$Z134),$AC134,IF(AND($Y134&lt;&gt;"",EDATE($D134,Milestones!$AA$189)&gt;=$Y134),$AB134,$AA134)))=Milestones!$AB$189),UPPER(TEXT(EDATE($D134,Milestones!$AA$189),"dd mmm yy"))&amp;" "&amp;Milestones!$AB$189&amp;" "&amp;IF(AND(Milestones!$AB$189="FT",Milestones!$AA$189=FT_Y5,EDATE($D134,Milestones!$AA$189)&lt;PolicyEff),1,Milestones!$AC$189)&amp;";  ","")&amp;IF(AND(EDATE($D134,Milestones!$AA$190)&lt;=AsOfDate,EDATE($D134,Milestones!$AA$190)&gt;=SchemeStart,IF($X134=0,$AD134,IF(AND($Z134&lt;&gt;"",EDATE($D134,Milestones!$AA$190)&gt;=$Z134),$AC134,IF(AND($Y134&lt;&gt;"",EDATE($D134,Milestones!$AA$190)&gt;=$Y134),$AB134,$AA134)))=Milestones!$AB$190),UPPER(TEXT(EDATE($D134,Milestones!$AA$190),"dd mmm yy"))&amp;" "&amp;Milestones!$AB$190&amp;" "&amp;IF(AND(Milestones!$AB$190="FT",Milestones!$AA$190=FT_Y5,EDATE($D134,Milestones!$AA$190)&lt;PolicyEff),1,Milestones!$AC$190)&amp;";  ","")&amp;IF(AND(EDATE($D134,Milestones!$AA$191)&lt;=AsOfDate,EDATE($D134,Milestones!$AA$191)&gt;=SchemeStart,IF($X134=0,$AD134,IF(AND($Z134&lt;&gt;"",EDATE($D134,Milestones!$AA$191)&gt;=$Z134),$AC134,IF(AND($Y134&lt;&gt;"",EDATE($D134,Milestones!$AA$191)&gt;=$Y134),$AB134,$AA134)))=Milestones!$AB$191),UPPER(TEXT(EDATE($D134,Milestones!$AA$191),"dd mmm yy"))&amp;" "&amp;Milestones!$AB$191&amp;" "&amp;IF(AND(Milestones!$AB$191="FT",Milestones!$AA$191=FT_Y5,EDATE($D134,Milestones!$AA$191)&lt;PolicyEff),1,Milestones!$AC$191)&amp;";  ","")&amp;IF(AND(EDATE($D134,Milestones!$AA$192)&lt;=AsOfDate,EDATE($D134,Milestones!$AA$192)&gt;=SchemeStart,IF($X134=0,$AD134,IF(AND($Z134&lt;&gt;"",EDATE($D134,Milestones!$AA$192)&gt;=$Z134),$AC134,IF(AND($Y134&lt;&gt;"",EDATE($D134,Milestones!$AA$192)&gt;=$Y134),$AB134,$AA134)))=Milestones!$AB$192),UPPER(TEXT(EDATE($D134,Milestones!$AA$192),"dd mmm yy"))&amp;" "&amp;Milestones!$AB$192&amp;" "&amp;IF(AND(Milestones!$AB$192="FT",Milestones!$AA$192=FT_Y5,EDATE($D134,Milestones!$AA$192)&lt;PolicyEff),1,Milestones!$AC$192)&amp;";  ","")&amp;IF(AND(EDATE($D134,Milestones!$AA$193)&lt;=AsOfDate,EDATE($D134,Milestones!$AA$193)&gt;=SchemeStart,IF($X134=0,$AD134,IF(AND($Z134&lt;&gt;"",EDATE($D134,Milestones!$AA$193)&gt;=$Z134),$AC134,IF(AND($Y134&lt;&gt;"",EDATE($D134,Milestones!$AA$193)&gt;=$Y134),$AB134,$AA134)))=Milestones!$AB$193),UPPER(TEXT(EDATE($D134,Milestones!$AA$193),"dd mmm yy"))&amp;" "&amp;Milestones!$AB$193&amp;" "&amp;IF(AND(Milestones!$AB$193="FT",Milestones!$AA$193=FT_Y5,EDATE($D134,Milestones!$AA$193)&lt;PolicyEff),1,Milestones!$AC$193)&amp;";  ","")&amp;IF(AND(EDATE($D134,Milestones!$AA$194)&lt;=AsOfDate,EDATE($D134,Milestones!$AA$194)&gt;=SchemeStart,IF($X134=0,$AD134,IF(AND($Z134&lt;&gt;"",EDATE($D134,Milestones!$AA$194)&gt;=$Z134),$AC134,IF(AND($Y134&lt;&gt;"",EDATE($D134,Milestones!$AA$194)&gt;=$Y134),$AB134,$AA134)))=Milestones!$AB$194),UPPER(TEXT(EDATE($D134,Milestones!$AA$194),"dd mmm yy"))&amp;" "&amp;Milestones!$AB$194&amp;" "&amp;IF(AND(Milestones!$AB$194="FT",Milestones!$AA$194=FT_Y5,EDATE($D134,Milestones!$AA$194)&lt;PolicyEff),1,Milestones!$AC$194)&amp;";  ","")&amp;IF(AND(EDATE($D134,Milestones!$AA$195)&lt;=AsOfDate,EDATE($D134,Milestones!$AA$195)&gt;=SchemeStart,IF($X134=0,$AD134,IF(AND($Z134&lt;&gt;"",EDATE($D134,Milestones!$AA$195)&gt;=$Z134),$AC134,IF(AND($Y134&lt;&gt;"",EDATE($D134,Milestones!$AA$195)&gt;=$Y134),$AB134,$AA134)))=Milestones!$AB$195),UPPER(TEXT(EDATE($D134,Milestones!$AA$195),"dd mmm yy"))&amp;" "&amp;Milestones!$AB$195&amp;" "&amp;IF(AND(Milestones!$AB$195="FT",Milestones!$AA$195=FT_Y5,EDATE($D134,Milestones!$AA$195)&lt;PolicyEff),1,Milestones!$AC$195)&amp;";  ","")&amp;IF(AND(EDATE($D134,Milestones!$AA$196)&lt;=AsOfDate,EDATE($D134,Milestones!$AA$196)&gt;=SchemeStart,IF($X134=0,$AD134,IF(AND($Z134&lt;&gt;"",EDATE($D134,Milestones!$AA$196)&gt;=$Z134),$AC134,IF(AND($Y134&lt;&gt;"",EDATE($D134,Milestones!$AA$196)&gt;=$Y134),$AB134,$AA134)))=Milestones!$AB$196),UPPER(TEXT(EDATE($D134,Milestones!$AA$196),"dd mmm yy"))&amp;" "&amp;Milestones!$AB$196&amp;" "&amp;IF(AND(Milestones!$AB$196="FT",Milestones!$AA$196=FT_Y5,EDATE($D134,Milestones!$AA$196)&lt;PolicyEff),1,Milestones!$AC$196)&amp;";  ","")&amp;IF(AND(EDATE($D134,Milestones!$AA$197)&lt;=AsOfDate,EDATE($D134,Milestones!$AA$197)&gt;=SchemeStart,IF($X134=0,$AD134,IF(AND($Z134&lt;&gt;"",EDATE($D134,Milestones!$AA$197)&gt;=$Z134),$AC134,IF(AND($Y134&lt;&gt;"",EDATE($D134,Milestones!$AA$197)&gt;=$Y134),$AB134,$AA134)))=Milestones!$AB$197),UPPER(TEXT(EDATE($D134,Milestones!$AA$197),"dd mmm yy"))&amp;" "&amp;Milestones!$AB$197&amp;" "&amp;IF(AND(Milestones!$AB$197="FT",Milestones!$AA$197=FT_Y5,EDATE($D134,Milestones!$AA$197)&lt;PolicyEff),1,Milestones!$AC$197)&amp;";  ","")&amp;IF(AND(EDATE($D134,Milestones!$AA$198)&lt;=AsOfDate,EDATE($D134,Milestones!$AA$198)&gt;=SchemeStart,IF($X134=0,$AD134,IF(AND($Z134&lt;&gt;"",EDATE($D134,Milestones!$AA$198)&gt;=$Z134),$AC134,IF(AND($Y134&lt;&gt;"",EDATE($D134,Milestones!$AA$198)&gt;=$Y134),$AB134,$AA134)))=Milestones!$AB$198),UPPER(TEXT(EDATE($D134,Milestones!$AA$198),"dd mmm yy"))&amp;" "&amp;Milestones!$AB$198&amp;" "&amp;IF(AND(Milestones!$AB$198="FT",Milestones!$AA$198=FT_Y5,EDATE($D134,Milestones!$AA$198)&lt;PolicyEff),1,Milestones!$AC$198)&amp;";  ","")&amp;IF(AND(EDATE($D134,Milestones!$AA$199)&lt;=AsOfDate,EDATE($D134,Milestones!$AA$199)&gt;=SchemeStart,IF($X134=0,$AD134,IF(AND($Z134&lt;&gt;"",EDATE($D134,Milestones!$AA$199)&gt;=$Z134),$AC134,IF(AND($Y134&lt;&gt;"",EDATE($D134,Milestones!$AA$199)&gt;=$Y134),$AB134,$AA134)))=Milestones!$AB$199),UPPER(TEXT(EDATE($D134,Milestones!$AA$199),"dd mmm yy"))&amp;" "&amp;Milestones!$AB$199&amp;" "&amp;IF(AND(Milestones!$AB$199="FT",Milestones!$AA$199=FT_Y5,EDATE($D134,Milestones!$AA$199)&lt;PolicyEff),1,Milestones!$AC$199)&amp;";  ",""))</f>
        <v/>
      </c>
      <c r="X134" s="0" t="str">
        <f aca="false">IF(Staff!$A134="","",Staff!$AM134)</f>
        <v/>
      </c>
      <c r="Y134" s="0" t="str">
        <f aca="false">IF(Staff!$A134="","",Staff!$AO134)</f>
        <v/>
      </c>
      <c r="Z134" s="0" t="str">
        <f aca="false">IF(Staff!$A134="","",Staff!$AP134)</f>
        <v/>
      </c>
      <c r="AA134" s="0" t="str">
        <f aca="false">IF(Staff!$A134="","",Staff!$AT134)</f>
        <v/>
      </c>
      <c r="AB134" s="0" t="str">
        <f aca="false">IF(Staff!$A134="","",Staff!$AU134)</f>
        <v/>
      </c>
      <c r="AC134" s="0" t="str">
        <f aca="false">IF(Staff!$A134="","",Staff!$AV134)</f>
        <v/>
      </c>
      <c r="AD134" s="0" t="str">
        <f aca="false">IF(Staff!$A134="","",Staff!$AW134)</f>
        <v/>
      </c>
    </row>
    <row r="135" customFormat="false" ht="15" hidden="false" customHeight="false" outlineLevel="0" collapsed="false">
      <c r="A135" s="16" t="str">
        <f aca="false">IF(Staff!$A135="","",Staff!$A135)</f>
        <v/>
      </c>
      <c r="B135" s="16" t="str">
        <f aca="false">IF(Staff!$A135="","",Staff!$B135)</f>
        <v/>
      </c>
      <c r="C135" s="16" t="str">
        <f aca="false">IF(Staff!$A135="","",Staff!$C135)</f>
        <v/>
      </c>
      <c r="D135" s="14" t="str">
        <f aca="false">IF(Staff!$A135="","",Staff!$AL135)</f>
        <v/>
      </c>
      <c r="E135" s="16" t="str">
        <f aca="false">IF(Staff!$A135="","",Staff!$O135)</f>
        <v/>
      </c>
      <c r="F135" s="16" t="str">
        <f aca="false">IF(E135="","",E135*HoursPerDay)</f>
        <v/>
      </c>
      <c r="G135" s="16" t="str">
        <f aca="false">IF(Staff!$A135="","",Staff!$AE135)</f>
        <v/>
      </c>
      <c r="H135" s="28" t="str">
        <f aca="false">IF($A135="","",I135&amp;J135&amp;K135&amp;L135&amp;M135&amp;N135&amp;O135&amp;P135&amp;Q135&amp;R135&amp;S135&amp;T135&amp;U135&amp;V135&amp;W135)</f>
        <v/>
      </c>
      <c r="I135" s="0" t="str">
        <f aca="false">IF(OR($A135="",$D135=""),"",IF(AND(EDATE($D135,Milestones!$AA$20)&lt;=AsOfDate,EDATE($D135,Milestones!$AA$20)&gt;=SchemeStart,IF($X135=0,$AD135,IF(AND($Z135&lt;&gt;"",EDATE($D135,Milestones!$AA$20)&gt;=$Z135),$AC135,IF(AND($Y135&lt;&gt;"",EDATE($D135,Milestones!$AA$20)&gt;=$Y135),$AB135,$AA135)))=Milestones!$AB$20),UPPER(TEXT(EDATE($D135,Milestones!$AA$20),"dd mmm yy"))&amp;" "&amp;Milestones!$AB$20&amp;" "&amp;IF(AND(Milestones!$AB$20="FT",Milestones!$AA$20=FT_Y5,EDATE($D135,Milestones!$AA$20)&lt;PolicyEff),1,Milestones!$AC$20)&amp;";  ","")&amp;IF(AND(EDATE($D135,Milestones!$AA$21)&lt;=AsOfDate,EDATE($D135,Milestones!$AA$21)&gt;=SchemeStart,IF($X135=0,$AD135,IF(AND($Z135&lt;&gt;"",EDATE($D135,Milestones!$AA$21)&gt;=$Z135),$AC135,IF(AND($Y135&lt;&gt;"",EDATE($D135,Milestones!$AA$21)&gt;=$Y135),$AB135,$AA135)))=Milestones!$AB$21),UPPER(TEXT(EDATE($D135,Milestones!$AA$21),"dd mmm yy"))&amp;" "&amp;Milestones!$AB$21&amp;" "&amp;IF(AND(Milestones!$AB$21="FT",Milestones!$AA$21=FT_Y5,EDATE($D135,Milestones!$AA$21)&lt;PolicyEff),1,Milestones!$AC$21)&amp;";  ","")&amp;IF(AND(EDATE($D135,Milestones!$AA$22)&lt;=AsOfDate,EDATE($D135,Milestones!$AA$22)&gt;=SchemeStart,IF($X135=0,$AD135,IF(AND($Z135&lt;&gt;"",EDATE($D135,Milestones!$AA$22)&gt;=$Z135),$AC135,IF(AND($Y135&lt;&gt;"",EDATE($D135,Milestones!$AA$22)&gt;=$Y135),$AB135,$AA135)))=Milestones!$AB$22),UPPER(TEXT(EDATE($D135,Milestones!$AA$22),"dd mmm yy"))&amp;" "&amp;Milestones!$AB$22&amp;" "&amp;IF(AND(Milestones!$AB$22="FT",Milestones!$AA$22=FT_Y5,EDATE($D135,Milestones!$AA$22)&lt;PolicyEff),1,Milestones!$AC$22)&amp;";  ","")&amp;IF(AND(EDATE($D135,Milestones!$AA$23)&lt;=AsOfDate,EDATE($D135,Milestones!$AA$23)&gt;=SchemeStart,IF($X135=0,$AD135,IF(AND($Z135&lt;&gt;"",EDATE($D135,Milestones!$AA$23)&gt;=$Z135),$AC135,IF(AND($Y135&lt;&gt;"",EDATE($D135,Milestones!$AA$23)&gt;=$Y135),$AB135,$AA135)))=Milestones!$AB$23),UPPER(TEXT(EDATE($D135,Milestones!$AA$23),"dd mmm yy"))&amp;" "&amp;Milestones!$AB$23&amp;" "&amp;IF(AND(Milestones!$AB$23="FT",Milestones!$AA$23=FT_Y5,EDATE($D135,Milestones!$AA$23)&lt;PolicyEff),1,Milestones!$AC$23)&amp;";  ","")&amp;IF(AND(EDATE($D135,Milestones!$AA$24)&lt;=AsOfDate,EDATE($D135,Milestones!$AA$24)&gt;=SchemeStart,IF($X135=0,$AD135,IF(AND($Z135&lt;&gt;"",EDATE($D135,Milestones!$AA$24)&gt;=$Z135),$AC135,IF(AND($Y135&lt;&gt;"",EDATE($D135,Milestones!$AA$24)&gt;=$Y135),$AB135,$AA135)))=Milestones!$AB$24),UPPER(TEXT(EDATE($D135,Milestones!$AA$24),"dd mmm yy"))&amp;" "&amp;Milestones!$AB$24&amp;" "&amp;IF(AND(Milestones!$AB$24="FT",Milestones!$AA$24=FT_Y5,EDATE($D135,Milestones!$AA$24)&lt;PolicyEff),1,Milestones!$AC$24)&amp;";  ","")&amp;IF(AND(EDATE($D135,Milestones!$AA$25)&lt;=AsOfDate,EDATE($D135,Milestones!$AA$25)&gt;=SchemeStart,IF($X135=0,$AD135,IF(AND($Z135&lt;&gt;"",EDATE($D135,Milestones!$AA$25)&gt;=$Z135),$AC135,IF(AND($Y135&lt;&gt;"",EDATE($D135,Milestones!$AA$25)&gt;=$Y135),$AB135,$AA135)))=Milestones!$AB$25),UPPER(TEXT(EDATE($D135,Milestones!$AA$25),"dd mmm yy"))&amp;" "&amp;Milestones!$AB$25&amp;" "&amp;IF(AND(Milestones!$AB$25="FT",Milestones!$AA$25=FT_Y5,EDATE($D135,Milestones!$AA$25)&lt;PolicyEff),1,Milestones!$AC$25)&amp;";  ","")&amp;IF(AND(EDATE($D135,Milestones!$AA$26)&lt;=AsOfDate,EDATE($D135,Milestones!$AA$26)&gt;=SchemeStart,IF($X135=0,$AD135,IF(AND($Z135&lt;&gt;"",EDATE($D135,Milestones!$AA$26)&gt;=$Z135),$AC135,IF(AND($Y135&lt;&gt;"",EDATE($D135,Milestones!$AA$26)&gt;=$Y135),$AB135,$AA135)))=Milestones!$AB$26),UPPER(TEXT(EDATE($D135,Milestones!$AA$26),"dd mmm yy"))&amp;" "&amp;Milestones!$AB$26&amp;" "&amp;IF(AND(Milestones!$AB$26="FT",Milestones!$AA$26=FT_Y5,EDATE($D135,Milestones!$AA$26)&lt;PolicyEff),1,Milestones!$AC$26)&amp;";  ","")&amp;IF(AND(EDATE($D135,Milestones!$AA$27)&lt;=AsOfDate,EDATE($D135,Milestones!$AA$27)&gt;=SchemeStart,IF($X135=0,$AD135,IF(AND($Z135&lt;&gt;"",EDATE($D135,Milestones!$AA$27)&gt;=$Z135),$AC135,IF(AND($Y135&lt;&gt;"",EDATE($D135,Milestones!$AA$27)&gt;=$Y135),$AB135,$AA135)))=Milestones!$AB$27),UPPER(TEXT(EDATE($D135,Milestones!$AA$27),"dd mmm yy"))&amp;" "&amp;Milestones!$AB$27&amp;" "&amp;IF(AND(Milestones!$AB$27="FT",Milestones!$AA$27=FT_Y5,EDATE($D135,Milestones!$AA$27)&lt;PolicyEff),1,Milestones!$AC$27)&amp;";  ","")&amp;IF(AND(EDATE($D135,Milestones!$AA$28)&lt;=AsOfDate,EDATE($D135,Milestones!$AA$28)&gt;=SchemeStart,IF($X135=0,$AD135,IF(AND($Z135&lt;&gt;"",EDATE($D135,Milestones!$AA$28)&gt;=$Z135),$AC135,IF(AND($Y135&lt;&gt;"",EDATE($D135,Milestones!$AA$28)&gt;=$Y135),$AB135,$AA135)))=Milestones!$AB$28),UPPER(TEXT(EDATE($D135,Milestones!$AA$28),"dd mmm yy"))&amp;" "&amp;Milestones!$AB$28&amp;" "&amp;IF(AND(Milestones!$AB$28="FT",Milestones!$AA$28=FT_Y5,EDATE($D135,Milestones!$AA$28)&lt;PolicyEff),1,Milestones!$AC$28)&amp;";  ","")&amp;IF(AND(EDATE($D135,Milestones!$AA$29)&lt;=AsOfDate,EDATE($D135,Milestones!$AA$29)&gt;=SchemeStart,IF($X135=0,$AD135,IF(AND($Z135&lt;&gt;"",EDATE($D135,Milestones!$AA$29)&gt;=$Z135),$AC135,IF(AND($Y135&lt;&gt;"",EDATE($D135,Milestones!$AA$29)&gt;=$Y135),$AB135,$AA135)))=Milestones!$AB$29),UPPER(TEXT(EDATE($D135,Milestones!$AA$29),"dd mmm yy"))&amp;" "&amp;Milestones!$AB$29&amp;" "&amp;IF(AND(Milestones!$AB$29="FT",Milestones!$AA$29=FT_Y5,EDATE($D135,Milestones!$AA$29)&lt;PolicyEff),1,Milestones!$AC$29)&amp;";  ","")&amp;IF(AND(EDATE($D135,Milestones!$AA$30)&lt;=AsOfDate,EDATE($D135,Milestones!$AA$30)&gt;=SchemeStart,IF($X135=0,$AD135,IF(AND($Z135&lt;&gt;"",EDATE($D135,Milestones!$AA$30)&gt;=$Z135),$AC135,IF(AND($Y135&lt;&gt;"",EDATE($D135,Milestones!$AA$30)&gt;=$Y135),$AB135,$AA135)))=Milestones!$AB$30),UPPER(TEXT(EDATE($D135,Milestones!$AA$30),"dd mmm yy"))&amp;" "&amp;Milestones!$AB$30&amp;" "&amp;IF(AND(Milestones!$AB$30="FT",Milestones!$AA$30=FT_Y5,EDATE($D135,Milestones!$AA$30)&lt;PolicyEff),1,Milestones!$AC$30)&amp;";  ","")&amp;IF(AND(EDATE($D135,Milestones!$AA$31)&lt;=AsOfDate,EDATE($D135,Milestones!$AA$31)&gt;=SchemeStart,IF($X135=0,$AD135,IF(AND($Z135&lt;&gt;"",EDATE($D135,Milestones!$AA$31)&gt;=$Z135),$AC135,IF(AND($Y135&lt;&gt;"",EDATE($D135,Milestones!$AA$31)&gt;=$Y135),$AB135,$AA135)))=Milestones!$AB$31),UPPER(TEXT(EDATE($D135,Milestones!$AA$31),"dd mmm yy"))&amp;" "&amp;Milestones!$AB$31&amp;" "&amp;IF(AND(Milestones!$AB$31="FT",Milestones!$AA$31=FT_Y5,EDATE($D135,Milestones!$AA$31)&lt;PolicyEff),1,Milestones!$AC$31)&amp;";  ",""))</f>
        <v/>
      </c>
      <c r="J135" s="0" t="str">
        <f aca="false">IF(OR($A135="",$D135=""),"",IF(AND(EDATE($D135,Milestones!$AA$32)&lt;=AsOfDate,EDATE($D135,Milestones!$AA$32)&gt;=SchemeStart,IF($X135=0,$AD135,IF(AND($Z135&lt;&gt;"",EDATE($D135,Milestones!$AA$32)&gt;=$Z135),$AC135,IF(AND($Y135&lt;&gt;"",EDATE($D135,Milestones!$AA$32)&gt;=$Y135),$AB135,$AA135)))=Milestones!$AB$32),UPPER(TEXT(EDATE($D135,Milestones!$AA$32),"dd mmm yy"))&amp;" "&amp;Milestones!$AB$32&amp;" "&amp;IF(AND(Milestones!$AB$32="FT",Milestones!$AA$32=FT_Y5,EDATE($D135,Milestones!$AA$32)&lt;PolicyEff),1,Milestones!$AC$32)&amp;";  ","")&amp;IF(AND(EDATE($D135,Milestones!$AA$33)&lt;=AsOfDate,EDATE($D135,Milestones!$AA$33)&gt;=SchemeStart,IF($X135=0,$AD135,IF(AND($Z135&lt;&gt;"",EDATE($D135,Milestones!$AA$33)&gt;=$Z135),$AC135,IF(AND($Y135&lt;&gt;"",EDATE($D135,Milestones!$AA$33)&gt;=$Y135),$AB135,$AA135)))=Milestones!$AB$33),UPPER(TEXT(EDATE($D135,Milestones!$AA$33),"dd mmm yy"))&amp;" "&amp;Milestones!$AB$33&amp;" "&amp;IF(AND(Milestones!$AB$33="FT",Milestones!$AA$33=FT_Y5,EDATE($D135,Milestones!$AA$33)&lt;PolicyEff),1,Milestones!$AC$33)&amp;";  ","")&amp;IF(AND(EDATE($D135,Milestones!$AA$34)&lt;=AsOfDate,EDATE($D135,Milestones!$AA$34)&gt;=SchemeStart,IF($X135=0,$AD135,IF(AND($Z135&lt;&gt;"",EDATE($D135,Milestones!$AA$34)&gt;=$Z135),$AC135,IF(AND($Y135&lt;&gt;"",EDATE($D135,Milestones!$AA$34)&gt;=$Y135),$AB135,$AA135)))=Milestones!$AB$34),UPPER(TEXT(EDATE($D135,Milestones!$AA$34),"dd mmm yy"))&amp;" "&amp;Milestones!$AB$34&amp;" "&amp;IF(AND(Milestones!$AB$34="FT",Milestones!$AA$34=FT_Y5,EDATE($D135,Milestones!$AA$34)&lt;PolicyEff),1,Milestones!$AC$34)&amp;";  ","")&amp;IF(AND(EDATE($D135,Milestones!$AA$35)&lt;=AsOfDate,EDATE($D135,Milestones!$AA$35)&gt;=SchemeStart,IF($X135=0,$AD135,IF(AND($Z135&lt;&gt;"",EDATE($D135,Milestones!$AA$35)&gt;=$Z135),$AC135,IF(AND($Y135&lt;&gt;"",EDATE($D135,Milestones!$AA$35)&gt;=$Y135),$AB135,$AA135)))=Milestones!$AB$35),UPPER(TEXT(EDATE($D135,Milestones!$AA$35),"dd mmm yy"))&amp;" "&amp;Milestones!$AB$35&amp;" "&amp;IF(AND(Milestones!$AB$35="FT",Milestones!$AA$35=FT_Y5,EDATE($D135,Milestones!$AA$35)&lt;PolicyEff),1,Milestones!$AC$35)&amp;";  ","")&amp;IF(AND(EDATE($D135,Milestones!$AA$36)&lt;=AsOfDate,EDATE($D135,Milestones!$AA$36)&gt;=SchemeStart,IF($X135=0,$AD135,IF(AND($Z135&lt;&gt;"",EDATE($D135,Milestones!$AA$36)&gt;=$Z135),$AC135,IF(AND($Y135&lt;&gt;"",EDATE($D135,Milestones!$AA$36)&gt;=$Y135),$AB135,$AA135)))=Milestones!$AB$36),UPPER(TEXT(EDATE($D135,Milestones!$AA$36),"dd mmm yy"))&amp;" "&amp;Milestones!$AB$36&amp;" "&amp;IF(AND(Milestones!$AB$36="FT",Milestones!$AA$36=FT_Y5,EDATE($D135,Milestones!$AA$36)&lt;PolicyEff),1,Milestones!$AC$36)&amp;";  ","")&amp;IF(AND(EDATE($D135,Milestones!$AA$37)&lt;=AsOfDate,EDATE($D135,Milestones!$AA$37)&gt;=SchemeStart,IF($X135=0,$AD135,IF(AND($Z135&lt;&gt;"",EDATE($D135,Milestones!$AA$37)&gt;=$Z135),$AC135,IF(AND($Y135&lt;&gt;"",EDATE($D135,Milestones!$AA$37)&gt;=$Y135),$AB135,$AA135)))=Milestones!$AB$37),UPPER(TEXT(EDATE($D135,Milestones!$AA$37),"dd mmm yy"))&amp;" "&amp;Milestones!$AB$37&amp;" "&amp;IF(AND(Milestones!$AB$37="FT",Milestones!$AA$37=FT_Y5,EDATE($D135,Milestones!$AA$37)&lt;PolicyEff),1,Milestones!$AC$37)&amp;";  ","")&amp;IF(AND(EDATE($D135,Milestones!$AA$38)&lt;=AsOfDate,EDATE($D135,Milestones!$AA$38)&gt;=SchemeStart,IF($X135=0,$AD135,IF(AND($Z135&lt;&gt;"",EDATE($D135,Milestones!$AA$38)&gt;=$Z135),$AC135,IF(AND($Y135&lt;&gt;"",EDATE($D135,Milestones!$AA$38)&gt;=$Y135),$AB135,$AA135)))=Milestones!$AB$38),UPPER(TEXT(EDATE($D135,Milestones!$AA$38),"dd mmm yy"))&amp;" "&amp;Milestones!$AB$38&amp;" "&amp;IF(AND(Milestones!$AB$38="FT",Milestones!$AA$38=FT_Y5,EDATE($D135,Milestones!$AA$38)&lt;PolicyEff),1,Milestones!$AC$38)&amp;";  ","")&amp;IF(AND(EDATE($D135,Milestones!$AA$39)&lt;=AsOfDate,EDATE($D135,Milestones!$AA$39)&gt;=SchemeStart,IF($X135=0,$AD135,IF(AND($Z135&lt;&gt;"",EDATE($D135,Milestones!$AA$39)&gt;=$Z135),$AC135,IF(AND($Y135&lt;&gt;"",EDATE($D135,Milestones!$AA$39)&gt;=$Y135),$AB135,$AA135)))=Milestones!$AB$39),UPPER(TEXT(EDATE($D135,Milestones!$AA$39),"dd mmm yy"))&amp;" "&amp;Milestones!$AB$39&amp;" "&amp;IF(AND(Milestones!$AB$39="FT",Milestones!$AA$39=FT_Y5,EDATE($D135,Milestones!$AA$39)&lt;PolicyEff),1,Milestones!$AC$39)&amp;";  ","")&amp;IF(AND(EDATE($D135,Milestones!$AA$40)&lt;=AsOfDate,EDATE($D135,Milestones!$AA$40)&gt;=SchemeStart,IF($X135=0,$AD135,IF(AND($Z135&lt;&gt;"",EDATE($D135,Milestones!$AA$40)&gt;=$Z135),$AC135,IF(AND($Y135&lt;&gt;"",EDATE($D135,Milestones!$AA$40)&gt;=$Y135),$AB135,$AA135)))=Milestones!$AB$40),UPPER(TEXT(EDATE($D135,Milestones!$AA$40),"dd mmm yy"))&amp;" "&amp;Milestones!$AB$40&amp;" "&amp;IF(AND(Milestones!$AB$40="FT",Milestones!$AA$40=FT_Y5,EDATE($D135,Milestones!$AA$40)&lt;PolicyEff),1,Milestones!$AC$40)&amp;";  ","")&amp;IF(AND(EDATE($D135,Milestones!$AA$41)&lt;=AsOfDate,EDATE($D135,Milestones!$AA$41)&gt;=SchemeStart,IF($X135=0,$AD135,IF(AND($Z135&lt;&gt;"",EDATE($D135,Milestones!$AA$41)&gt;=$Z135),$AC135,IF(AND($Y135&lt;&gt;"",EDATE($D135,Milestones!$AA$41)&gt;=$Y135),$AB135,$AA135)))=Milestones!$AB$41),UPPER(TEXT(EDATE($D135,Milestones!$AA$41),"dd mmm yy"))&amp;" "&amp;Milestones!$AB$41&amp;" "&amp;IF(AND(Milestones!$AB$41="FT",Milestones!$AA$41=FT_Y5,EDATE($D135,Milestones!$AA$41)&lt;PolicyEff),1,Milestones!$AC$41)&amp;";  ","")&amp;IF(AND(EDATE($D135,Milestones!$AA$42)&lt;=AsOfDate,EDATE($D135,Milestones!$AA$42)&gt;=SchemeStart,IF($X135=0,$AD135,IF(AND($Z135&lt;&gt;"",EDATE($D135,Milestones!$AA$42)&gt;=$Z135),$AC135,IF(AND($Y135&lt;&gt;"",EDATE($D135,Milestones!$AA$42)&gt;=$Y135),$AB135,$AA135)))=Milestones!$AB$42),UPPER(TEXT(EDATE($D135,Milestones!$AA$42),"dd mmm yy"))&amp;" "&amp;Milestones!$AB$42&amp;" "&amp;IF(AND(Milestones!$AB$42="FT",Milestones!$AA$42=FT_Y5,EDATE($D135,Milestones!$AA$42)&lt;PolicyEff),1,Milestones!$AC$42)&amp;";  ","")&amp;IF(AND(EDATE($D135,Milestones!$AA$43)&lt;=AsOfDate,EDATE($D135,Milestones!$AA$43)&gt;=SchemeStart,IF($X135=0,$AD135,IF(AND($Z135&lt;&gt;"",EDATE($D135,Milestones!$AA$43)&gt;=$Z135),$AC135,IF(AND($Y135&lt;&gt;"",EDATE($D135,Milestones!$AA$43)&gt;=$Y135),$AB135,$AA135)))=Milestones!$AB$43),UPPER(TEXT(EDATE($D135,Milestones!$AA$43),"dd mmm yy"))&amp;" "&amp;Milestones!$AB$43&amp;" "&amp;IF(AND(Milestones!$AB$43="FT",Milestones!$AA$43=FT_Y5,EDATE($D135,Milestones!$AA$43)&lt;PolicyEff),1,Milestones!$AC$43)&amp;";  ",""))</f>
        <v/>
      </c>
      <c r="K135" s="0" t="str">
        <f aca="false">IF(OR($A135="",$D135=""),"",IF(AND(EDATE($D135,Milestones!$AA$44)&lt;=AsOfDate,EDATE($D135,Milestones!$AA$44)&gt;=SchemeStart,IF($X135=0,$AD135,IF(AND($Z135&lt;&gt;"",EDATE($D135,Milestones!$AA$44)&gt;=$Z135),$AC135,IF(AND($Y135&lt;&gt;"",EDATE($D135,Milestones!$AA$44)&gt;=$Y135),$AB135,$AA135)))=Milestones!$AB$44),UPPER(TEXT(EDATE($D135,Milestones!$AA$44),"dd mmm yy"))&amp;" "&amp;Milestones!$AB$44&amp;" "&amp;IF(AND(Milestones!$AB$44="FT",Milestones!$AA$44=FT_Y5,EDATE($D135,Milestones!$AA$44)&lt;PolicyEff),1,Milestones!$AC$44)&amp;";  ","")&amp;IF(AND(EDATE($D135,Milestones!$AA$45)&lt;=AsOfDate,EDATE($D135,Milestones!$AA$45)&gt;=SchemeStart,IF($X135=0,$AD135,IF(AND($Z135&lt;&gt;"",EDATE($D135,Milestones!$AA$45)&gt;=$Z135),$AC135,IF(AND($Y135&lt;&gt;"",EDATE($D135,Milestones!$AA$45)&gt;=$Y135),$AB135,$AA135)))=Milestones!$AB$45),UPPER(TEXT(EDATE($D135,Milestones!$AA$45),"dd mmm yy"))&amp;" "&amp;Milestones!$AB$45&amp;" "&amp;IF(AND(Milestones!$AB$45="FT",Milestones!$AA$45=FT_Y5,EDATE($D135,Milestones!$AA$45)&lt;PolicyEff),1,Milestones!$AC$45)&amp;";  ","")&amp;IF(AND(EDATE($D135,Milestones!$AA$46)&lt;=AsOfDate,EDATE($D135,Milestones!$AA$46)&gt;=SchemeStart,IF($X135=0,$AD135,IF(AND($Z135&lt;&gt;"",EDATE($D135,Milestones!$AA$46)&gt;=$Z135),$AC135,IF(AND($Y135&lt;&gt;"",EDATE($D135,Milestones!$AA$46)&gt;=$Y135),$AB135,$AA135)))=Milestones!$AB$46),UPPER(TEXT(EDATE($D135,Milestones!$AA$46),"dd mmm yy"))&amp;" "&amp;Milestones!$AB$46&amp;" "&amp;IF(AND(Milestones!$AB$46="FT",Milestones!$AA$46=FT_Y5,EDATE($D135,Milestones!$AA$46)&lt;PolicyEff),1,Milestones!$AC$46)&amp;";  ","")&amp;IF(AND(EDATE($D135,Milestones!$AA$47)&lt;=AsOfDate,EDATE($D135,Milestones!$AA$47)&gt;=SchemeStart,IF($X135=0,$AD135,IF(AND($Z135&lt;&gt;"",EDATE($D135,Milestones!$AA$47)&gt;=$Z135),$AC135,IF(AND($Y135&lt;&gt;"",EDATE($D135,Milestones!$AA$47)&gt;=$Y135),$AB135,$AA135)))=Milestones!$AB$47),UPPER(TEXT(EDATE($D135,Milestones!$AA$47),"dd mmm yy"))&amp;" "&amp;Milestones!$AB$47&amp;" "&amp;IF(AND(Milestones!$AB$47="FT",Milestones!$AA$47=FT_Y5,EDATE($D135,Milestones!$AA$47)&lt;PolicyEff),1,Milestones!$AC$47)&amp;";  ","")&amp;IF(AND(EDATE($D135,Milestones!$AA$48)&lt;=AsOfDate,EDATE($D135,Milestones!$AA$48)&gt;=SchemeStart,IF($X135=0,$AD135,IF(AND($Z135&lt;&gt;"",EDATE($D135,Milestones!$AA$48)&gt;=$Z135),$AC135,IF(AND($Y135&lt;&gt;"",EDATE($D135,Milestones!$AA$48)&gt;=$Y135),$AB135,$AA135)))=Milestones!$AB$48),UPPER(TEXT(EDATE($D135,Milestones!$AA$48),"dd mmm yy"))&amp;" "&amp;Milestones!$AB$48&amp;" "&amp;IF(AND(Milestones!$AB$48="FT",Milestones!$AA$48=FT_Y5,EDATE($D135,Milestones!$AA$48)&lt;PolicyEff),1,Milestones!$AC$48)&amp;";  ","")&amp;IF(AND(EDATE($D135,Milestones!$AA$49)&lt;=AsOfDate,EDATE($D135,Milestones!$AA$49)&gt;=SchemeStart,IF($X135=0,$AD135,IF(AND($Z135&lt;&gt;"",EDATE($D135,Milestones!$AA$49)&gt;=$Z135),$AC135,IF(AND($Y135&lt;&gt;"",EDATE($D135,Milestones!$AA$49)&gt;=$Y135),$AB135,$AA135)))=Milestones!$AB$49),UPPER(TEXT(EDATE($D135,Milestones!$AA$49),"dd mmm yy"))&amp;" "&amp;Milestones!$AB$49&amp;" "&amp;IF(AND(Milestones!$AB$49="FT",Milestones!$AA$49=FT_Y5,EDATE($D135,Milestones!$AA$49)&lt;PolicyEff),1,Milestones!$AC$49)&amp;";  ","")&amp;IF(AND(EDATE($D135,Milestones!$AA$50)&lt;=AsOfDate,EDATE($D135,Milestones!$AA$50)&gt;=SchemeStart,IF($X135=0,$AD135,IF(AND($Z135&lt;&gt;"",EDATE($D135,Milestones!$AA$50)&gt;=$Z135),$AC135,IF(AND($Y135&lt;&gt;"",EDATE($D135,Milestones!$AA$50)&gt;=$Y135),$AB135,$AA135)))=Milestones!$AB$50),UPPER(TEXT(EDATE($D135,Milestones!$AA$50),"dd mmm yy"))&amp;" "&amp;Milestones!$AB$50&amp;" "&amp;IF(AND(Milestones!$AB$50="FT",Milestones!$AA$50=FT_Y5,EDATE($D135,Milestones!$AA$50)&lt;PolicyEff),1,Milestones!$AC$50)&amp;";  ","")&amp;IF(AND(EDATE($D135,Milestones!$AA$51)&lt;=AsOfDate,EDATE($D135,Milestones!$AA$51)&gt;=SchemeStart,IF($X135=0,$AD135,IF(AND($Z135&lt;&gt;"",EDATE($D135,Milestones!$AA$51)&gt;=$Z135),$AC135,IF(AND($Y135&lt;&gt;"",EDATE($D135,Milestones!$AA$51)&gt;=$Y135),$AB135,$AA135)))=Milestones!$AB$51),UPPER(TEXT(EDATE($D135,Milestones!$AA$51),"dd mmm yy"))&amp;" "&amp;Milestones!$AB$51&amp;" "&amp;IF(AND(Milestones!$AB$51="FT",Milestones!$AA$51=FT_Y5,EDATE($D135,Milestones!$AA$51)&lt;PolicyEff),1,Milestones!$AC$51)&amp;";  ","")&amp;IF(AND(EDATE($D135,Milestones!$AA$52)&lt;=AsOfDate,EDATE($D135,Milestones!$AA$52)&gt;=SchemeStart,IF($X135=0,$AD135,IF(AND($Z135&lt;&gt;"",EDATE($D135,Milestones!$AA$52)&gt;=$Z135),$AC135,IF(AND($Y135&lt;&gt;"",EDATE($D135,Milestones!$AA$52)&gt;=$Y135),$AB135,$AA135)))=Milestones!$AB$52),UPPER(TEXT(EDATE($D135,Milestones!$AA$52),"dd mmm yy"))&amp;" "&amp;Milestones!$AB$52&amp;" "&amp;IF(AND(Milestones!$AB$52="FT",Milestones!$AA$52=FT_Y5,EDATE($D135,Milestones!$AA$52)&lt;PolicyEff),1,Milestones!$AC$52)&amp;";  ","")&amp;IF(AND(EDATE($D135,Milestones!$AA$53)&lt;=AsOfDate,EDATE($D135,Milestones!$AA$53)&gt;=SchemeStart,IF($X135=0,$AD135,IF(AND($Z135&lt;&gt;"",EDATE($D135,Milestones!$AA$53)&gt;=$Z135),$AC135,IF(AND($Y135&lt;&gt;"",EDATE($D135,Milestones!$AA$53)&gt;=$Y135),$AB135,$AA135)))=Milestones!$AB$53),UPPER(TEXT(EDATE($D135,Milestones!$AA$53),"dd mmm yy"))&amp;" "&amp;Milestones!$AB$53&amp;" "&amp;IF(AND(Milestones!$AB$53="FT",Milestones!$AA$53=FT_Y5,EDATE($D135,Milestones!$AA$53)&lt;PolicyEff),1,Milestones!$AC$53)&amp;";  ","")&amp;IF(AND(EDATE($D135,Milestones!$AA$54)&lt;=AsOfDate,EDATE($D135,Milestones!$AA$54)&gt;=SchemeStart,IF($X135=0,$AD135,IF(AND($Z135&lt;&gt;"",EDATE($D135,Milestones!$AA$54)&gt;=$Z135),$AC135,IF(AND($Y135&lt;&gt;"",EDATE($D135,Milestones!$AA$54)&gt;=$Y135),$AB135,$AA135)))=Milestones!$AB$54),UPPER(TEXT(EDATE($D135,Milestones!$AA$54),"dd mmm yy"))&amp;" "&amp;Milestones!$AB$54&amp;" "&amp;IF(AND(Milestones!$AB$54="FT",Milestones!$AA$54=FT_Y5,EDATE($D135,Milestones!$AA$54)&lt;PolicyEff),1,Milestones!$AC$54)&amp;";  ","")&amp;IF(AND(EDATE($D135,Milestones!$AA$55)&lt;=AsOfDate,EDATE($D135,Milestones!$AA$55)&gt;=SchemeStart,IF($X135=0,$AD135,IF(AND($Z135&lt;&gt;"",EDATE($D135,Milestones!$AA$55)&gt;=$Z135),$AC135,IF(AND($Y135&lt;&gt;"",EDATE($D135,Milestones!$AA$55)&gt;=$Y135),$AB135,$AA135)))=Milestones!$AB$55),UPPER(TEXT(EDATE($D135,Milestones!$AA$55),"dd mmm yy"))&amp;" "&amp;Milestones!$AB$55&amp;" "&amp;IF(AND(Milestones!$AB$55="FT",Milestones!$AA$55=FT_Y5,EDATE($D135,Milestones!$AA$55)&lt;PolicyEff),1,Milestones!$AC$55)&amp;";  ",""))</f>
        <v/>
      </c>
      <c r="L135" s="0" t="str">
        <f aca="false">IF(OR($A135="",$D135=""),"",IF(AND(EDATE($D135,Milestones!$AA$56)&lt;=AsOfDate,EDATE($D135,Milestones!$AA$56)&gt;=SchemeStart,IF($X135=0,$AD135,IF(AND($Z135&lt;&gt;"",EDATE($D135,Milestones!$AA$56)&gt;=$Z135),$AC135,IF(AND($Y135&lt;&gt;"",EDATE($D135,Milestones!$AA$56)&gt;=$Y135),$AB135,$AA135)))=Milestones!$AB$56),UPPER(TEXT(EDATE($D135,Milestones!$AA$56),"dd mmm yy"))&amp;" "&amp;Milestones!$AB$56&amp;" "&amp;IF(AND(Milestones!$AB$56="FT",Milestones!$AA$56=FT_Y5,EDATE($D135,Milestones!$AA$56)&lt;PolicyEff),1,Milestones!$AC$56)&amp;";  ","")&amp;IF(AND(EDATE($D135,Milestones!$AA$57)&lt;=AsOfDate,EDATE($D135,Milestones!$AA$57)&gt;=SchemeStart,IF($X135=0,$AD135,IF(AND($Z135&lt;&gt;"",EDATE($D135,Milestones!$AA$57)&gt;=$Z135),$AC135,IF(AND($Y135&lt;&gt;"",EDATE($D135,Milestones!$AA$57)&gt;=$Y135),$AB135,$AA135)))=Milestones!$AB$57),UPPER(TEXT(EDATE($D135,Milestones!$AA$57),"dd mmm yy"))&amp;" "&amp;Milestones!$AB$57&amp;" "&amp;IF(AND(Milestones!$AB$57="FT",Milestones!$AA$57=FT_Y5,EDATE($D135,Milestones!$AA$57)&lt;PolicyEff),1,Milestones!$AC$57)&amp;";  ","")&amp;IF(AND(EDATE($D135,Milestones!$AA$58)&lt;=AsOfDate,EDATE($D135,Milestones!$AA$58)&gt;=SchemeStart,IF($X135=0,$AD135,IF(AND($Z135&lt;&gt;"",EDATE($D135,Milestones!$AA$58)&gt;=$Z135),$AC135,IF(AND($Y135&lt;&gt;"",EDATE($D135,Milestones!$AA$58)&gt;=$Y135),$AB135,$AA135)))=Milestones!$AB$58),UPPER(TEXT(EDATE($D135,Milestones!$AA$58),"dd mmm yy"))&amp;" "&amp;Milestones!$AB$58&amp;" "&amp;IF(AND(Milestones!$AB$58="FT",Milestones!$AA$58=FT_Y5,EDATE($D135,Milestones!$AA$58)&lt;PolicyEff),1,Milestones!$AC$58)&amp;";  ","")&amp;IF(AND(EDATE($D135,Milestones!$AA$59)&lt;=AsOfDate,EDATE($D135,Milestones!$AA$59)&gt;=SchemeStart,IF($X135=0,$AD135,IF(AND($Z135&lt;&gt;"",EDATE($D135,Milestones!$AA$59)&gt;=$Z135),$AC135,IF(AND($Y135&lt;&gt;"",EDATE($D135,Milestones!$AA$59)&gt;=$Y135),$AB135,$AA135)))=Milestones!$AB$59),UPPER(TEXT(EDATE($D135,Milestones!$AA$59),"dd mmm yy"))&amp;" "&amp;Milestones!$AB$59&amp;" "&amp;IF(AND(Milestones!$AB$59="FT",Milestones!$AA$59=FT_Y5,EDATE($D135,Milestones!$AA$59)&lt;PolicyEff),1,Milestones!$AC$59)&amp;";  ","")&amp;IF(AND(EDATE($D135,Milestones!$AA$60)&lt;=AsOfDate,EDATE($D135,Milestones!$AA$60)&gt;=SchemeStart,IF($X135=0,$AD135,IF(AND($Z135&lt;&gt;"",EDATE($D135,Milestones!$AA$60)&gt;=$Z135),$AC135,IF(AND($Y135&lt;&gt;"",EDATE($D135,Milestones!$AA$60)&gt;=$Y135),$AB135,$AA135)))=Milestones!$AB$60),UPPER(TEXT(EDATE($D135,Milestones!$AA$60),"dd mmm yy"))&amp;" "&amp;Milestones!$AB$60&amp;" "&amp;IF(AND(Milestones!$AB$60="FT",Milestones!$AA$60=FT_Y5,EDATE($D135,Milestones!$AA$60)&lt;PolicyEff),1,Milestones!$AC$60)&amp;";  ","")&amp;IF(AND(EDATE($D135,Milestones!$AA$61)&lt;=AsOfDate,EDATE($D135,Milestones!$AA$61)&gt;=SchemeStart,IF($X135=0,$AD135,IF(AND($Z135&lt;&gt;"",EDATE($D135,Milestones!$AA$61)&gt;=$Z135),$AC135,IF(AND($Y135&lt;&gt;"",EDATE($D135,Milestones!$AA$61)&gt;=$Y135),$AB135,$AA135)))=Milestones!$AB$61),UPPER(TEXT(EDATE($D135,Milestones!$AA$61),"dd mmm yy"))&amp;" "&amp;Milestones!$AB$61&amp;" "&amp;IF(AND(Milestones!$AB$61="FT",Milestones!$AA$61=FT_Y5,EDATE($D135,Milestones!$AA$61)&lt;PolicyEff),1,Milestones!$AC$61)&amp;";  ","")&amp;IF(AND(EDATE($D135,Milestones!$AA$62)&lt;=AsOfDate,EDATE($D135,Milestones!$AA$62)&gt;=SchemeStart,IF($X135=0,$AD135,IF(AND($Z135&lt;&gt;"",EDATE($D135,Milestones!$AA$62)&gt;=$Z135),$AC135,IF(AND($Y135&lt;&gt;"",EDATE($D135,Milestones!$AA$62)&gt;=$Y135),$AB135,$AA135)))=Milestones!$AB$62),UPPER(TEXT(EDATE($D135,Milestones!$AA$62),"dd mmm yy"))&amp;" "&amp;Milestones!$AB$62&amp;" "&amp;IF(AND(Milestones!$AB$62="FT",Milestones!$AA$62=FT_Y5,EDATE($D135,Milestones!$AA$62)&lt;PolicyEff),1,Milestones!$AC$62)&amp;";  ","")&amp;IF(AND(EDATE($D135,Milestones!$AA$63)&lt;=AsOfDate,EDATE($D135,Milestones!$AA$63)&gt;=SchemeStart,IF($X135=0,$AD135,IF(AND($Z135&lt;&gt;"",EDATE($D135,Milestones!$AA$63)&gt;=$Z135),$AC135,IF(AND($Y135&lt;&gt;"",EDATE($D135,Milestones!$AA$63)&gt;=$Y135),$AB135,$AA135)))=Milestones!$AB$63),UPPER(TEXT(EDATE($D135,Milestones!$AA$63),"dd mmm yy"))&amp;" "&amp;Milestones!$AB$63&amp;" "&amp;IF(AND(Milestones!$AB$63="FT",Milestones!$AA$63=FT_Y5,EDATE($D135,Milestones!$AA$63)&lt;PolicyEff),1,Milestones!$AC$63)&amp;";  ","")&amp;IF(AND(EDATE($D135,Milestones!$AA$64)&lt;=AsOfDate,EDATE($D135,Milestones!$AA$64)&gt;=SchemeStart,IF($X135=0,$AD135,IF(AND($Z135&lt;&gt;"",EDATE($D135,Milestones!$AA$64)&gt;=$Z135),$AC135,IF(AND($Y135&lt;&gt;"",EDATE($D135,Milestones!$AA$64)&gt;=$Y135),$AB135,$AA135)))=Milestones!$AB$64),UPPER(TEXT(EDATE($D135,Milestones!$AA$64),"dd mmm yy"))&amp;" "&amp;Milestones!$AB$64&amp;" "&amp;IF(AND(Milestones!$AB$64="FT",Milestones!$AA$64=FT_Y5,EDATE($D135,Milestones!$AA$64)&lt;PolicyEff),1,Milestones!$AC$64)&amp;";  ","")&amp;IF(AND(EDATE($D135,Milestones!$AA$65)&lt;=AsOfDate,EDATE($D135,Milestones!$AA$65)&gt;=SchemeStart,IF($X135=0,$AD135,IF(AND($Z135&lt;&gt;"",EDATE($D135,Milestones!$AA$65)&gt;=$Z135),$AC135,IF(AND($Y135&lt;&gt;"",EDATE($D135,Milestones!$AA$65)&gt;=$Y135),$AB135,$AA135)))=Milestones!$AB$65),UPPER(TEXT(EDATE($D135,Milestones!$AA$65),"dd mmm yy"))&amp;" "&amp;Milestones!$AB$65&amp;" "&amp;IF(AND(Milestones!$AB$65="FT",Milestones!$AA$65=FT_Y5,EDATE($D135,Milestones!$AA$65)&lt;PolicyEff),1,Milestones!$AC$65)&amp;";  ","")&amp;IF(AND(EDATE($D135,Milestones!$AA$66)&lt;=AsOfDate,EDATE($D135,Milestones!$AA$66)&gt;=SchemeStart,IF($X135=0,$AD135,IF(AND($Z135&lt;&gt;"",EDATE($D135,Milestones!$AA$66)&gt;=$Z135),$AC135,IF(AND($Y135&lt;&gt;"",EDATE($D135,Milestones!$AA$66)&gt;=$Y135),$AB135,$AA135)))=Milestones!$AB$66),UPPER(TEXT(EDATE($D135,Milestones!$AA$66),"dd mmm yy"))&amp;" "&amp;Milestones!$AB$66&amp;" "&amp;IF(AND(Milestones!$AB$66="FT",Milestones!$AA$66=FT_Y5,EDATE($D135,Milestones!$AA$66)&lt;PolicyEff),1,Milestones!$AC$66)&amp;";  ","")&amp;IF(AND(EDATE($D135,Milestones!$AA$67)&lt;=AsOfDate,EDATE($D135,Milestones!$AA$67)&gt;=SchemeStart,IF($X135=0,$AD135,IF(AND($Z135&lt;&gt;"",EDATE($D135,Milestones!$AA$67)&gt;=$Z135),$AC135,IF(AND($Y135&lt;&gt;"",EDATE($D135,Milestones!$AA$67)&gt;=$Y135),$AB135,$AA135)))=Milestones!$AB$67),UPPER(TEXT(EDATE($D135,Milestones!$AA$67),"dd mmm yy"))&amp;" "&amp;Milestones!$AB$67&amp;" "&amp;IF(AND(Milestones!$AB$67="FT",Milestones!$AA$67=FT_Y5,EDATE($D135,Milestones!$AA$67)&lt;PolicyEff),1,Milestones!$AC$67)&amp;";  ",""))</f>
        <v/>
      </c>
      <c r="M135" s="0" t="str">
        <f aca="false">IF(OR($A135="",$D135=""),"",IF(AND(EDATE($D135,Milestones!$AA$68)&lt;=AsOfDate,EDATE($D135,Milestones!$AA$68)&gt;=SchemeStart,IF($X135=0,$AD135,IF(AND($Z135&lt;&gt;"",EDATE($D135,Milestones!$AA$68)&gt;=$Z135),$AC135,IF(AND($Y135&lt;&gt;"",EDATE($D135,Milestones!$AA$68)&gt;=$Y135),$AB135,$AA135)))=Milestones!$AB$68),UPPER(TEXT(EDATE($D135,Milestones!$AA$68),"dd mmm yy"))&amp;" "&amp;Milestones!$AB$68&amp;" "&amp;IF(AND(Milestones!$AB$68="FT",Milestones!$AA$68=FT_Y5,EDATE($D135,Milestones!$AA$68)&lt;PolicyEff),1,Milestones!$AC$68)&amp;";  ","")&amp;IF(AND(EDATE($D135,Milestones!$AA$69)&lt;=AsOfDate,EDATE($D135,Milestones!$AA$69)&gt;=SchemeStart,IF($X135=0,$AD135,IF(AND($Z135&lt;&gt;"",EDATE($D135,Milestones!$AA$69)&gt;=$Z135),$AC135,IF(AND($Y135&lt;&gt;"",EDATE($D135,Milestones!$AA$69)&gt;=$Y135),$AB135,$AA135)))=Milestones!$AB$69),UPPER(TEXT(EDATE($D135,Milestones!$AA$69),"dd mmm yy"))&amp;" "&amp;Milestones!$AB$69&amp;" "&amp;IF(AND(Milestones!$AB$69="FT",Milestones!$AA$69=FT_Y5,EDATE($D135,Milestones!$AA$69)&lt;PolicyEff),1,Milestones!$AC$69)&amp;";  ","")&amp;IF(AND(EDATE($D135,Milestones!$AA$70)&lt;=AsOfDate,EDATE($D135,Milestones!$AA$70)&gt;=SchemeStart,IF($X135=0,$AD135,IF(AND($Z135&lt;&gt;"",EDATE($D135,Milestones!$AA$70)&gt;=$Z135),$AC135,IF(AND($Y135&lt;&gt;"",EDATE($D135,Milestones!$AA$70)&gt;=$Y135),$AB135,$AA135)))=Milestones!$AB$70),UPPER(TEXT(EDATE($D135,Milestones!$AA$70),"dd mmm yy"))&amp;" "&amp;Milestones!$AB$70&amp;" "&amp;IF(AND(Milestones!$AB$70="FT",Milestones!$AA$70=FT_Y5,EDATE($D135,Milestones!$AA$70)&lt;PolicyEff),1,Milestones!$AC$70)&amp;";  ","")&amp;IF(AND(EDATE($D135,Milestones!$AA$71)&lt;=AsOfDate,EDATE($D135,Milestones!$AA$71)&gt;=SchemeStart,IF($X135=0,$AD135,IF(AND($Z135&lt;&gt;"",EDATE($D135,Milestones!$AA$71)&gt;=$Z135),$AC135,IF(AND($Y135&lt;&gt;"",EDATE($D135,Milestones!$AA$71)&gt;=$Y135),$AB135,$AA135)))=Milestones!$AB$71),UPPER(TEXT(EDATE($D135,Milestones!$AA$71),"dd mmm yy"))&amp;" "&amp;Milestones!$AB$71&amp;" "&amp;IF(AND(Milestones!$AB$71="FT",Milestones!$AA$71=FT_Y5,EDATE($D135,Milestones!$AA$71)&lt;PolicyEff),1,Milestones!$AC$71)&amp;";  ","")&amp;IF(AND(EDATE($D135,Milestones!$AA$72)&lt;=AsOfDate,EDATE($D135,Milestones!$AA$72)&gt;=SchemeStart,IF($X135=0,$AD135,IF(AND($Z135&lt;&gt;"",EDATE($D135,Milestones!$AA$72)&gt;=$Z135),$AC135,IF(AND($Y135&lt;&gt;"",EDATE($D135,Milestones!$AA$72)&gt;=$Y135),$AB135,$AA135)))=Milestones!$AB$72),UPPER(TEXT(EDATE($D135,Milestones!$AA$72),"dd mmm yy"))&amp;" "&amp;Milestones!$AB$72&amp;" "&amp;IF(AND(Milestones!$AB$72="FT",Milestones!$AA$72=FT_Y5,EDATE($D135,Milestones!$AA$72)&lt;PolicyEff),1,Milestones!$AC$72)&amp;";  ","")&amp;IF(AND(EDATE($D135,Milestones!$AA$73)&lt;=AsOfDate,EDATE($D135,Milestones!$AA$73)&gt;=SchemeStart,IF($X135=0,$AD135,IF(AND($Z135&lt;&gt;"",EDATE($D135,Milestones!$AA$73)&gt;=$Z135),$AC135,IF(AND($Y135&lt;&gt;"",EDATE($D135,Milestones!$AA$73)&gt;=$Y135),$AB135,$AA135)))=Milestones!$AB$73),UPPER(TEXT(EDATE($D135,Milestones!$AA$73),"dd mmm yy"))&amp;" "&amp;Milestones!$AB$73&amp;" "&amp;IF(AND(Milestones!$AB$73="FT",Milestones!$AA$73=FT_Y5,EDATE($D135,Milestones!$AA$73)&lt;PolicyEff),1,Milestones!$AC$73)&amp;";  ","")&amp;IF(AND(EDATE($D135,Milestones!$AA$74)&lt;=AsOfDate,EDATE($D135,Milestones!$AA$74)&gt;=SchemeStart,IF($X135=0,$AD135,IF(AND($Z135&lt;&gt;"",EDATE($D135,Milestones!$AA$74)&gt;=$Z135),$AC135,IF(AND($Y135&lt;&gt;"",EDATE($D135,Milestones!$AA$74)&gt;=$Y135),$AB135,$AA135)))=Milestones!$AB$74),UPPER(TEXT(EDATE($D135,Milestones!$AA$74),"dd mmm yy"))&amp;" "&amp;Milestones!$AB$74&amp;" "&amp;IF(AND(Milestones!$AB$74="FT",Milestones!$AA$74=FT_Y5,EDATE($D135,Milestones!$AA$74)&lt;PolicyEff),1,Milestones!$AC$74)&amp;";  ","")&amp;IF(AND(EDATE($D135,Milestones!$AA$75)&lt;=AsOfDate,EDATE($D135,Milestones!$AA$75)&gt;=SchemeStart,IF($X135=0,$AD135,IF(AND($Z135&lt;&gt;"",EDATE($D135,Milestones!$AA$75)&gt;=$Z135),$AC135,IF(AND($Y135&lt;&gt;"",EDATE($D135,Milestones!$AA$75)&gt;=$Y135),$AB135,$AA135)))=Milestones!$AB$75),UPPER(TEXT(EDATE($D135,Milestones!$AA$75),"dd mmm yy"))&amp;" "&amp;Milestones!$AB$75&amp;" "&amp;IF(AND(Milestones!$AB$75="FT",Milestones!$AA$75=FT_Y5,EDATE($D135,Milestones!$AA$75)&lt;PolicyEff),1,Milestones!$AC$75)&amp;";  ","")&amp;IF(AND(EDATE($D135,Milestones!$AA$76)&lt;=AsOfDate,EDATE($D135,Milestones!$AA$76)&gt;=SchemeStart,IF($X135=0,$AD135,IF(AND($Z135&lt;&gt;"",EDATE($D135,Milestones!$AA$76)&gt;=$Z135),$AC135,IF(AND($Y135&lt;&gt;"",EDATE($D135,Milestones!$AA$76)&gt;=$Y135),$AB135,$AA135)))=Milestones!$AB$76),UPPER(TEXT(EDATE($D135,Milestones!$AA$76),"dd mmm yy"))&amp;" "&amp;Milestones!$AB$76&amp;" "&amp;IF(AND(Milestones!$AB$76="FT",Milestones!$AA$76=FT_Y5,EDATE($D135,Milestones!$AA$76)&lt;PolicyEff),1,Milestones!$AC$76)&amp;";  ","")&amp;IF(AND(EDATE($D135,Milestones!$AA$77)&lt;=AsOfDate,EDATE($D135,Milestones!$AA$77)&gt;=SchemeStart,IF($X135=0,$AD135,IF(AND($Z135&lt;&gt;"",EDATE($D135,Milestones!$AA$77)&gt;=$Z135),$AC135,IF(AND($Y135&lt;&gt;"",EDATE($D135,Milestones!$AA$77)&gt;=$Y135),$AB135,$AA135)))=Milestones!$AB$77),UPPER(TEXT(EDATE($D135,Milestones!$AA$77),"dd mmm yy"))&amp;" "&amp;Milestones!$AB$77&amp;" "&amp;IF(AND(Milestones!$AB$77="FT",Milestones!$AA$77=FT_Y5,EDATE($D135,Milestones!$AA$77)&lt;PolicyEff),1,Milestones!$AC$77)&amp;";  ","")&amp;IF(AND(EDATE($D135,Milestones!$AA$78)&lt;=AsOfDate,EDATE($D135,Milestones!$AA$78)&gt;=SchemeStart,IF($X135=0,$AD135,IF(AND($Z135&lt;&gt;"",EDATE($D135,Milestones!$AA$78)&gt;=$Z135),$AC135,IF(AND($Y135&lt;&gt;"",EDATE($D135,Milestones!$AA$78)&gt;=$Y135),$AB135,$AA135)))=Milestones!$AB$78),UPPER(TEXT(EDATE($D135,Milestones!$AA$78),"dd mmm yy"))&amp;" "&amp;Milestones!$AB$78&amp;" "&amp;IF(AND(Milestones!$AB$78="FT",Milestones!$AA$78=FT_Y5,EDATE($D135,Milestones!$AA$78)&lt;PolicyEff),1,Milestones!$AC$78)&amp;";  ","")&amp;IF(AND(EDATE($D135,Milestones!$AA$79)&lt;=AsOfDate,EDATE($D135,Milestones!$AA$79)&gt;=SchemeStart,IF($X135=0,$AD135,IF(AND($Z135&lt;&gt;"",EDATE($D135,Milestones!$AA$79)&gt;=$Z135),$AC135,IF(AND($Y135&lt;&gt;"",EDATE($D135,Milestones!$AA$79)&gt;=$Y135),$AB135,$AA135)))=Milestones!$AB$79),UPPER(TEXT(EDATE($D135,Milestones!$AA$79),"dd mmm yy"))&amp;" "&amp;Milestones!$AB$79&amp;" "&amp;IF(AND(Milestones!$AB$79="FT",Milestones!$AA$79=FT_Y5,EDATE($D135,Milestones!$AA$79)&lt;PolicyEff),1,Milestones!$AC$79)&amp;";  ",""))</f>
        <v/>
      </c>
      <c r="N135" s="0" t="str">
        <f aca="false">IF(OR($A135="",$D135=""),"",IF(AND(EDATE($D135,Milestones!$AA$80)&lt;=AsOfDate,EDATE($D135,Milestones!$AA$80)&gt;=SchemeStart,IF($X135=0,$AD135,IF(AND($Z135&lt;&gt;"",EDATE($D135,Milestones!$AA$80)&gt;=$Z135),$AC135,IF(AND($Y135&lt;&gt;"",EDATE($D135,Milestones!$AA$80)&gt;=$Y135),$AB135,$AA135)))=Milestones!$AB$80),UPPER(TEXT(EDATE($D135,Milestones!$AA$80),"dd mmm yy"))&amp;" "&amp;Milestones!$AB$80&amp;" "&amp;IF(AND(Milestones!$AB$80="FT",Milestones!$AA$80=FT_Y5,EDATE($D135,Milestones!$AA$80)&lt;PolicyEff),1,Milestones!$AC$80)&amp;";  ","")&amp;IF(AND(EDATE($D135,Milestones!$AA$81)&lt;=AsOfDate,EDATE($D135,Milestones!$AA$81)&gt;=SchemeStart,IF($X135=0,$AD135,IF(AND($Z135&lt;&gt;"",EDATE($D135,Milestones!$AA$81)&gt;=$Z135),$AC135,IF(AND($Y135&lt;&gt;"",EDATE($D135,Milestones!$AA$81)&gt;=$Y135),$AB135,$AA135)))=Milestones!$AB$81),UPPER(TEXT(EDATE($D135,Milestones!$AA$81),"dd mmm yy"))&amp;" "&amp;Milestones!$AB$81&amp;" "&amp;IF(AND(Milestones!$AB$81="FT",Milestones!$AA$81=FT_Y5,EDATE($D135,Milestones!$AA$81)&lt;PolicyEff),1,Milestones!$AC$81)&amp;";  ","")&amp;IF(AND(EDATE($D135,Milestones!$AA$82)&lt;=AsOfDate,EDATE($D135,Milestones!$AA$82)&gt;=SchemeStart,IF($X135=0,$AD135,IF(AND($Z135&lt;&gt;"",EDATE($D135,Milestones!$AA$82)&gt;=$Z135),$AC135,IF(AND($Y135&lt;&gt;"",EDATE($D135,Milestones!$AA$82)&gt;=$Y135),$AB135,$AA135)))=Milestones!$AB$82),UPPER(TEXT(EDATE($D135,Milestones!$AA$82),"dd mmm yy"))&amp;" "&amp;Milestones!$AB$82&amp;" "&amp;IF(AND(Milestones!$AB$82="FT",Milestones!$AA$82=FT_Y5,EDATE($D135,Milestones!$AA$82)&lt;PolicyEff),1,Milestones!$AC$82)&amp;";  ","")&amp;IF(AND(EDATE($D135,Milestones!$AA$83)&lt;=AsOfDate,EDATE($D135,Milestones!$AA$83)&gt;=SchemeStart,IF($X135=0,$AD135,IF(AND($Z135&lt;&gt;"",EDATE($D135,Milestones!$AA$83)&gt;=$Z135),$AC135,IF(AND($Y135&lt;&gt;"",EDATE($D135,Milestones!$AA$83)&gt;=$Y135),$AB135,$AA135)))=Milestones!$AB$83),UPPER(TEXT(EDATE($D135,Milestones!$AA$83),"dd mmm yy"))&amp;" "&amp;Milestones!$AB$83&amp;" "&amp;IF(AND(Milestones!$AB$83="FT",Milestones!$AA$83=FT_Y5,EDATE($D135,Milestones!$AA$83)&lt;PolicyEff),1,Milestones!$AC$83)&amp;";  ","")&amp;IF(AND(EDATE($D135,Milestones!$AA$84)&lt;=AsOfDate,EDATE($D135,Milestones!$AA$84)&gt;=SchemeStart,IF($X135=0,$AD135,IF(AND($Z135&lt;&gt;"",EDATE($D135,Milestones!$AA$84)&gt;=$Z135),$AC135,IF(AND($Y135&lt;&gt;"",EDATE($D135,Milestones!$AA$84)&gt;=$Y135),$AB135,$AA135)))=Milestones!$AB$84),UPPER(TEXT(EDATE($D135,Milestones!$AA$84),"dd mmm yy"))&amp;" "&amp;Milestones!$AB$84&amp;" "&amp;IF(AND(Milestones!$AB$84="FT",Milestones!$AA$84=FT_Y5,EDATE($D135,Milestones!$AA$84)&lt;PolicyEff),1,Milestones!$AC$84)&amp;";  ","")&amp;IF(AND(EDATE($D135,Milestones!$AA$85)&lt;=AsOfDate,EDATE($D135,Milestones!$AA$85)&gt;=SchemeStart,IF($X135=0,$AD135,IF(AND($Z135&lt;&gt;"",EDATE($D135,Milestones!$AA$85)&gt;=$Z135),$AC135,IF(AND($Y135&lt;&gt;"",EDATE($D135,Milestones!$AA$85)&gt;=$Y135),$AB135,$AA135)))=Milestones!$AB$85),UPPER(TEXT(EDATE($D135,Milestones!$AA$85),"dd mmm yy"))&amp;" "&amp;Milestones!$AB$85&amp;" "&amp;IF(AND(Milestones!$AB$85="FT",Milestones!$AA$85=FT_Y5,EDATE($D135,Milestones!$AA$85)&lt;PolicyEff),1,Milestones!$AC$85)&amp;";  ","")&amp;IF(AND(EDATE($D135,Milestones!$AA$86)&lt;=AsOfDate,EDATE($D135,Milestones!$AA$86)&gt;=SchemeStart,IF($X135=0,$AD135,IF(AND($Z135&lt;&gt;"",EDATE($D135,Milestones!$AA$86)&gt;=$Z135),$AC135,IF(AND($Y135&lt;&gt;"",EDATE($D135,Milestones!$AA$86)&gt;=$Y135),$AB135,$AA135)))=Milestones!$AB$86),UPPER(TEXT(EDATE($D135,Milestones!$AA$86),"dd mmm yy"))&amp;" "&amp;Milestones!$AB$86&amp;" "&amp;IF(AND(Milestones!$AB$86="FT",Milestones!$AA$86=FT_Y5,EDATE($D135,Milestones!$AA$86)&lt;PolicyEff),1,Milestones!$AC$86)&amp;";  ","")&amp;IF(AND(EDATE($D135,Milestones!$AA$87)&lt;=AsOfDate,EDATE($D135,Milestones!$AA$87)&gt;=SchemeStart,IF($X135=0,$AD135,IF(AND($Z135&lt;&gt;"",EDATE($D135,Milestones!$AA$87)&gt;=$Z135),$AC135,IF(AND($Y135&lt;&gt;"",EDATE($D135,Milestones!$AA$87)&gt;=$Y135),$AB135,$AA135)))=Milestones!$AB$87),UPPER(TEXT(EDATE($D135,Milestones!$AA$87),"dd mmm yy"))&amp;" "&amp;Milestones!$AB$87&amp;" "&amp;IF(AND(Milestones!$AB$87="FT",Milestones!$AA$87=FT_Y5,EDATE($D135,Milestones!$AA$87)&lt;PolicyEff),1,Milestones!$AC$87)&amp;";  ","")&amp;IF(AND(EDATE($D135,Milestones!$AA$88)&lt;=AsOfDate,EDATE($D135,Milestones!$AA$88)&gt;=SchemeStart,IF($X135=0,$AD135,IF(AND($Z135&lt;&gt;"",EDATE($D135,Milestones!$AA$88)&gt;=$Z135),$AC135,IF(AND($Y135&lt;&gt;"",EDATE($D135,Milestones!$AA$88)&gt;=$Y135),$AB135,$AA135)))=Milestones!$AB$88),UPPER(TEXT(EDATE($D135,Milestones!$AA$88),"dd mmm yy"))&amp;" "&amp;Milestones!$AB$88&amp;" "&amp;IF(AND(Milestones!$AB$88="FT",Milestones!$AA$88=FT_Y5,EDATE($D135,Milestones!$AA$88)&lt;PolicyEff),1,Milestones!$AC$88)&amp;";  ","")&amp;IF(AND(EDATE($D135,Milestones!$AA$89)&lt;=AsOfDate,EDATE($D135,Milestones!$AA$89)&gt;=SchemeStart,IF($X135=0,$AD135,IF(AND($Z135&lt;&gt;"",EDATE($D135,Milestones!$AA$89)&gt;=$Z135),$AC135,IF(AND($Y135&lt;&gt;"",EDATE($D135,Milestones!$AA$89)&gt;=$Y135),$AB135,$AA135)))=Milestones!$AB$89),UPPER(TEXT(EDATE($D135,Milestones!$AA$89),"dd mmm yy"))&amp;" "&amp;Milestones!$AB$89&amp;" "&amp;IF(AND(Milestones!$AB$89="FT",Milestones!$AA$89=FT_Y5,EDATE($D135,Milestones!$AA$89)&lt;PolicyEff),1,Milestones!$AC$89)&amp;";  ","")&amp;IF(AND(EDATE($D135,Milestones!$AA$90)&lt;=AsOfDate,EDATE($D135,Milestones!$AA$90)&gt;=SchemeStart,IF($X135=0,$AD135,IF(AND($Z135&lt;&gt;"",EDATE($D135,Milestones!$AA$90)&gt;=$Z135),$AC135,IF(AND($Y135&lt;&gt;"",EDATE($D135,Milestones!$AA$90)&gt;=$Y135),$AB135,$AA135)))=Milestones!$AB$90),UPPER(TEXT(EDATE($D135,Milestones!$AA$90),"dd mmm yy"))&amp;" "&amp;Milestones!$AB$90&amp;" "&amp;IF(AND(Milestones!$AB$90="FT",Milestones!$AA$90=FT_Y5,EDATE($D135,Milestones!$AA$90)&lt;PolicyEff),1,Milestones!$AC$90)&amp;";  ","")&amp;IF(AND(EDATE($D135,Milestones!$AA$91)&lt;=AsOfDate,EDATE($D135,Milestones!$AA$91)&gt;=SchemeStart,IF($X135=0,$AD135,IF(AND($Z135&lt;&gt;"",EDATE($D135,Milestones!$AA$91)&gt;=$Z135),$AC135,IF(AND($Y135&lt;&gt;"",EDATE($D135,Milestones!$AA$91)&gt;=$Y135),$AB135,$AA135)))=Milestones!$AB$91),UPPER(TEXT(EDATE($D135,Milestones!$AA$91),"dd mmm yy"))&amp;" "&amp;Milestones!$AB$91&amp;" "&amp;IF(AND(Milestones!$AB$91="FT",Milestones!$AA$91=FT_Y5,EDATE($D135,Milestones!$AA$91)&lt;PolicyEff),1,Milestones!$AC$91)&amp;";  ",""))</f>
        <v/>
      </c>
      <c r="O135" s="0" t="str">
        <f aca="false">IF(OR($A135="",$D135=""),"",IF(AND(EDATE($D135,Milestones!$AA$92)&lt;=AsOfDate,EDATE($D135,Milestones!$AA$92)&gt;=SchemeStart,IF($X135=0,$AD135,IF(AND($Z135&lt;&gt;"",EDATE($D135,Milestones!$AA$92)&gt;=$Z135),$AC135,IF(AND($Y135&lt;&gt;"",EDATE($D135,Milestones!$AA$92)&gt;=$Y135),$AB135,$AA135)))=Milestones!$AB$92),UPPER(TEXT(EDATE($D135,Milestones!$AA$92),"dd mmm yy"))&amp;" "&amp;Milestones!$AB$92&amp;" "&amp;IF(AND(Milestones!$AB$92="FT",Milestones!$AA$92=FT_Y5,EDATE($D135,Milestones!$AA$92)&lt;PolicyEff),1,Milestones!$AC$92)&amp;";  ","")&amp;IF(AND(EDATE($D135,Milestones!$AA$93)&lt;=AsOfDate,EDATE($D135,Milestones!$AA$93)&gt;=SchemeStart,IF($X135=0,$AD135,IF(AND($Z135&lt;&gt;"",EDATE($D135,Milestones!$AA$93)&gt;=$Z135),$AC135,IF(AND($Y135&lt;&gt;"",EDATE($D135,Milestones!$AA$93)&gt;=$Y135),$AB135,$AA135)))=Milestones!$AB$93),UPPER(TEXT(EDATE($D135,Milestones!$AA$93),"dd mmm yy"))&amp;" "&amp;Milestones!$AB$93&amp;" "&amp;IF(AND(Milestones!$AB$93="FT",Milestones!$AA$93=FT_Y5,EDATE($D135,Milestones!$AA$93)&lt;PolicyEff),1,Milestones!$AC$93)&amp;";  ","")&amp;IF(AND(EDATE($D135,Milestones!$AA$94)&lt;=AsOfDate,EDATE($D135,Milestones!$AA$94)&gt;=SchemeStart,IF($X135=0,$AD135,IF(AND($Z135&lt;&gt;"",EDATE($D135,Milestones!$AA$94)&gt;=$Z135),$AC135,IF(AND($Y135&lt;&gt;"",EDATE($D135,Milestones!$AA$94)&gt;=$Y135),$AB135,$AA135)))=Milestones!$AB$94),UPPER(TEXT(EDATE($D135,Milestones!$AA$94),"dd mmm yy"))&amp;" "&amp;Milestones!$AB$94&amp;" "&amp;IF(AND(Milestones!$AB$94="FT",Milestones!$AA$94=FT_Y5,EDATE($D135,Milestones!$AA$94)&lt;PolicyEff),1,Milestones!$AC$94)&amp;";  ","")&amp;IF(AND(EDATE($D135,Milestones!$AA$95)&lt;=AsOfDate,EDATE($D135,Milestones!$AA$95)&gt;=SchemeStart,IF($X135=0,$AD135,IF(AND($Z135&lt;&gt;"",EDATE($D135,Milestones!$AA$95)&gt;=$Z135),$AC135,IF(AND($Y135&lt;&gt;"",EDATE($D135,Milestones!$AA$95)&gt;=$Y135),$AB135,$AA135)))=Milestones!$AB$95),UPPER(TEXT(EDATE($D135,Milestones!$AA$95),"dd mmm yy"))&amp;" "&amp;Milestones!$AB$95&amp;" "&amp;IF(AND(Milestones!$AB$95="FT",Milestones!$AA$95=FT_Y5,EDATE($D135,Milestones!$AA$95)&lt;PolicyEff),1,Milestones!$AC$95)&amp;";  ","")&amp;IF(AND(EDATE($D135,Milestones!$AA$96)&lt;=AsOfDate,EDATE($D135,Milestones!$AA$96)&gt;=SchemeStart,IF($X135=0,$AD135,IF(AND($Z135&lt;&gt;"",EDATE($D135,Milestones!$AA$96)&gt;=$Z135),$AC135,IF(AND($Y135&lt;&gt;"",EDATE($D135,Milestones!$AA$96)&gt;=$Y135),$AB135,$AA135)))=Milestones!$AB$96),UPPER(TEXT(EDATE($D135,Milestones!$AA$96),"dd mmm yy"))&amp;" "&amp;Milestones!$AB$96&amp;" "&amp;IF(AND(Milestones!$AB$96="FT",Milestones!$AA$96=FT_Y5,EDATE($D135,Milestones!$AA$96)&lt;PolicyEff),1,Milestones!$AC$96)&amp;";  ","")&amp;IF(AND(EDATE($D135,Milestones!$AA$97)&lt;=AsOfDate,EDATE($D135,Milestones!$AA$97)&gt;=SchemeStart,IF($X135=0,$AD135,IF(AND($Z135&lt;&gt;"",EDATE($D135,Milestones!$AA$97)&gt;=$Z135),$AC135,IF(AND($Y135&lt;&gt;"",EDATE($D135,Milestones!$AA$97)&gt;=$Y135),$AB135,$AA135)))=Milestones!$AB$97),UPPER(TEXT(EDATE($D135,Milestones!$AA$97),"dd mmm yy"))&amp;" "&amp;Milestones!$AB$97&amp;" "&amp;IF(AND(Milestones!$AB$97="FT",Milestones!$AA$97=FT_Y5,EDATE($D135,Milestones!$AA$97)&lt;PolicyEff),1,Milestones!$AC$97)&amp;";  ","")&amp;IF(AND(EDATE($D135,Milestones!$AA$98)&lt;=AsOfDate,EDATE($D135,Milestones!$AA$98)&gt;=SchemeStart,IF($X135=0,$AD135,IF(AND($Z135&lt;&gt;"",EDATE($D135,Milestones!$AA$98)&gt;=$Z135),$AC135,IF(AND($Y135&lt;&gt;"",EDATE($D135,Milestones!$AA$98)&gt;=$Y135),$AB135,$AA135)))=Milestones!$AB$98),UPPER(TEXT(EDATE($D135,Milestones!$AA$98),"dd mmm yy"))&amp;" "&amp;Milestones!$AB$98&amp;" "&amp;IF(AND(Milestones!$AB$98="FT",Milestones!$AA$98=FT_Y5,EDATE($D135,Milestones!$AA$98)&lt;PolicyEff),1,Milestones!$AC$98)&amp;";  ","")&amp;IF(AND(EDATE($D135,Milestones!$AA$99)&lt;=AsOfDate,EDATE($D135,Milestones!$AA$99)&gt;=SchemeStart,IF($X135=0,$AD135,IF(AND($Z135&lt;&gt;"",EDATE($D135,Milestones!$AA$99)&gt;=$Z135),$AC135,IF(AND($Y135&lt;&gt;"",EDATE($D135,Milestones!$AA$99)&gt;=$Y135),$AB135,$AA135)))=Milestones!$AB$99),UPPER(TEXT(EDATE($D135,Milestones!$AA$99),"dd mmm yy"))&amp;" "&amp;Milestones!$AB$99&amp;" "&amp;IF(AND(Milestones!$AB$99="FT",Milestones!$AA$99=FT_Y5,EDATE($D135,Milestones!$AA$99)&lt;PolicyEff),1,Milestones!$AC$99)&amp;";  ","")&amp;IF(AND(EDATE($D135,Milestones!$AA$100)&lt;=AsOfDate,EDATE($D135,Milestones!$AA$100)&gt;=SchemeStart,IF($X135=0,$AD135,IF(AND($Z135&lt;&gt;"",EDATE($D135,Milestones!$AA$100)&gt;=$Z135),$AC135,IF(AND($Y135&lt;&gt;"",EDATE($D135,Milestones!$AA$100)&gt;=$Y135),$AB135,$AA135)))=Milestones!$AB$100),UPPER(TEXT(EDATE($D135,Milestones!$AA$100),"dd mmm yy"))&amp;" "&amp;Milestones!$AB$100&amp;" "&amp;IF(AND(Milestones!$AB$100="FT",Milestones!$AA$100=FT_Y5,EDATE($D135,Milestones!$AA$100)&lt;PolicyEff),1,Milestones!$AC$100)&amp;";  ","")&amp;IF(AND(EDATE($D135,Milestones!$AA$101)&lt;=AsOfDate,EDATE($D135,Milestones!$AA$101)&gt;=SchemeStart,IF($X135=0,$AD135,IF(AND($Z135&lt;&gt;"",EDATE($D135,Milestones!$AA$101)&gt;=$Z135),$AC135,IF(AND($Y135&lt;&gt;"",EDATE($D135,Milestones!$AA$101)&gt;=$Y135),$AB135,$AA135)))=Milestones!$AB$101),UPPER(TEXT(EDATE($D135,Milestones!$AA$101),"dd mmm yy"))&amp;" "&amp;Milestones!$AB$101&amp;" "&amp;IF(AND(Milestones!$AB$101="FT",Milestones!$AA$101=FT_Y5,EDATE($D135,Milestones!$AA$101)&lt;PolicyEff),1,Milestones!$AC$101)&amp;";  ","")&amp;IF(AND(EDATE($D135,Milestones!$AA$102)&lt;=AsOfDate,EDATE($D135,Milestones!$AA$102)&gt;=SchemeStart,IF($X135=0,$AD135,IF(AND($Z135&lt;&gt;"",EDATE($D135,Milestones!$AA$102)&gt;=$Z135),$AC135,IF(AND($Y135&lt;&gt;"",EDATE($D135,Milestones!$AA$102)&gt;=$Y135),$AB135,$AA135)))=Milestones!$AB$102),UPPER(TEXT(EDATE($D135,Milestones!$AA$102),"dd mmm yy"))&amp;" "&amp;Milestones!$AB$102&amp;" "&amp;IF(AND(Milestones!$AB$102="FT",Milestones!$AA$102=FT_Y5,EDATE($D135,Milestones!$AA$102)&lt;PolicyEff),1,Milestones!$AC$102)&amp;";  ","")&amp;IF(AND(EDATE($D135,Milestones!$AA$103)&lt;=AsOfDate,EDATE($D135,Milestones!$AA$103)&gt;=SchemeStart,IF($X135=0,$AD135,IF(AND($Z135&lt;&gt;"",EDATE($D135,Milestones!$AA$103)&gt;=$Z135),$AC135,IF(AND($Y135&lt;&gt;"",EDATE($D135,Milestones!$AA$103)&gt;=$Y135),$AB135,$AA135)))=Milestones!$AB$103),UPPER(TEXT(EDATE($D135,Milestones!$AA$103),"dd mmm yy"))&amp;" "&amp;Milestones!$AB$103&amp;" "&amp;IF(AND(Milestones!$AB$103="FT",Milestones!$AA$103=FT_Y5,EDATE($D135,Milestones!$AA$103)&lt;PolicyEff),1,Milestones!$AC$103)&amp;";  ",""))</f>
        <v/>
      </c>
      <c r="P135" s="0" t="str">
        <f aca="false">IF(OR($A135="",$D135=""),"",IF(AND(EDATE($D135,Milestones!$AA$104)&lt;=AsOfDate,EDATE($D135,Milestones!$AA$104)&gt;=SchemeStart,IF($X135=0,$AD135,IF(AND($Z135&lt;&gt;"",EDATE($D135,Milestones!$AA$104)&gt;=$Z135),$AC135,IF(AND($Y135&lt;&gt;"",EDATE($D135,Milestones!$AA$104)&gt;=$Y135),$AB135,$AA135)))=Milestones!$AB$104),UPPER(TEXT(EDATE($D135,Milestones!$AA$104),"dd mmm yy"))&amp;" "&amp;Milestones!$AB$104&amp;" "&amp;IF(AND(Milestones!$AB$104="FT",Milestones!$AA$104=FT_Y5,EDATE($D135,Milestones!$AA$104)&lt;PolicyEff),1,Milestones!$AC$104)&amp;";  ","")&amp;IF(AND(EDATE($D135,Milestones!$AA$105)&lt;=AsOfDate,EDATE($D135,Milestones!$AA$105)&gt;=SchemeStart,IF($X135=0,$AD135,IF(AND($Z135&lt;&gt;"",EDATE($D135,Milestones!$AA$105)&gt;=$Z135),$AC135,IF(AND($Y135&lt;&gt;"",EDATE($D135,Milestones!$AA$105)&gt;=$Y135),$AB135,$AA135)))=Milestones!$AB$105),UPPER(TEXT(EDATE($D135,Milestones!$AA$105),"dd mmm yy"))&amp;" "&amp;Milestones!$AB$105&amp;" "&amp;IF(AND(Milestones!$AB$105="FT",Milestones!$AA$105=FT_Y5,EDATE($D135,Milestones!$AA$105)&lt;PolicyEff),1,Milestones!$AC$105)&amp;";  ","")&amp;IF(AND(EDATE($D135,Milestones!$AA$106)&lt;=AsOfDate,EDATE($D135,Milestones!$AA$106)&gt;=SchemeStart,IF($X135=0,$AD135,IF(AND($Z135&lt;&gt;"",EDATE($D135,Milestones!$AA$106)&gt;=$Z135),$AC135,IF(AND($Y135&lt;&gt;"",EDATE($D135,Milestones!$AA$106)&gt;=$Y135),$AB135,$AA135)))=Milestones!$AB$106),UPPER(TEXT(EDATE($D135,Milestones!$AA$106),"dd mmm yy"))&amp;" "&amp;Milestones!$AB$106&amp;" "&amp;IF(AND(Milestones!$AB$106="FT",Milestones!$AA$106=FT_Y5,EDATE($D135,Milestones!$AA$106)&lt;PolicyEff),1,Milestones!$AC$106)&amp;";  ","")&amp;IF(AND(EDATE($D135,Milestones!$AA$107)&lt;=AsOfDate,EDATE($D135,Milestones!$AA$107)&gt;=SchemeStart,IF($X135=0,$AD135,IF(AND($Z135&lt;&gt;"",EDATE($D135,Milestones!$AA$107)&gt;=$Z135),$AC135,IF(AND($Y135&lt;&gt;"",EDATE($D135,Milestones!$AA$107)&gt;=$Y135),$AB135,$AA135)))=Milestones!$AB$107),UPPER(TEXT(EDATE($D135,Milestones!$AA$107),"dd mmm yy"))&amp;" "&amp;Milestones!$AB$107&amp;" "&amp;IF(AND(Milestones!$AB$107="FT",Milestones!$AA$107=FT_Y5,EDATE($D135,Milestones!$AA$107)&lt;PolicyEff),1,Milestones!$AC$107)&amp;";  ","")&amp;IF(AND(EDATE($D135,Milestones!$AA$108)&lt;=AsOfDate,EDATE($D135,Milestones!$AA$108)&gt;=SchemeStart,IF($X135=0,$AD135,IF(AND($Z135&lt;&gt;"",EDATE($D135,Milestones!$AA$108)&gt;=$Z135),$AC135,IF(AND($Y135&lt;&gt;"",EDATE($D135,Milestones!$AA$108)&gt;=$Y135),$AB135,$AA135)))=Milestones!$AB$108),UPPER(TEXT(EDATE($D135,Milestones!$AA$108),"dd mmm yy"))&amp;" "&amp;Milestones!$AB$108&amp;" "&amp;IF(AND(Milestones!$AB$108="FT",Milestones!$AA$108=FT_Y5,EDATE($D135,Milestones!$AA$108)&lt;PolicyEff),1,Milestones!$AC$108)&amp;";  ","")&amp;IF(AND(EDATE($D135,Milestones!$AA$109)&lt;=AsOfDate,EDATE($D135,Milestones!$AA$109)&gt;=SchemeStart,IF($X135=0,$AD135,IF(AND($Z135&lt;&gt;"",EDATE($D135,Milestones!$AA$109)&gt;=$Z135),$AC135,IF(AND($Y135&lt;&gt;"",EDATE($D135,Milestones!$AA$109)&gt;=$Y135),$AB135,$AA135)))=Milestones!$AB$109),UPPER(TEXT(EDATE($D135,Milestones!$AA$109),"dd mmm yy"))&amp;" "&amp;Milestones!$AB$109&amp;" "&amp;IF(AND(Milestones!$AB$109="FT",Milestones!$AA$109=FT_Y5,EDATE($D135,Milestones!$AA$109)&lt;PolicyEff),1,Milestones!$AC$109)&amp;";  ","")&amp;IF(AND(EDATE($D135,Milestones!$AA$110)&lt;=AsOfDate,EDATE($D135,Milestones!$AA$110)&gt;=SchemeStart,IF($X135=0,$AD135,IF(AND($Z135&lt;&gt;"",EDATE($D135,Milestones!$AA$110)&gt;=$Z135),$AC135,IF(AND($Y135&lt;&gt;"",EDATE($D135,Milestones!$AA$110)&gt;=$Y135),$AB135,$AA135)))=Milestones!$AB$110),UPPER(TEXT(EDATE($D135,Milestones!$AA$110),"dd mmm yy"))&amp;" "&amp;Milestones!$AB$110&amp;" "&amp;IF(AND(Milestones!$AB$110="FT",Milestones!$AA$110=FT_Y5,EDATE($D135,Milestones!$AA$110)&lt;PolicyEff),1,Milestones!$AC$110)&amp;";  ","")&amp;IF(AND(EDATE($D135,Milestones!$AA$111)&lt;=AsOfDate,EDATE($D135,Milestones!$AA$111)&gt;=SchemeStart,IF($X135=0,$AD135,IF(AND($Z135&lt;&gt;"",EDATE($D135,Milestones!$AA$111)&gt;=$Z135),$AC135,IF(AND($Y135&lt;&gt;"",EDATE($D135,Milestones!$AA$111)&gt;=$Y135),$AB135,$AA135)))=Milestones!$AB$111),UPPER(TEXT(EDATE($D135,Milestones!$AA$111),"dd mmm yy"))&amp;" "&amp;Milestones!$AB$111&amp;" "&amp;IF(AND(Milestones!$AB$111="FT",Milestones!$AA$111=FT_Y5,EDATE($D135,Milestones!$AA$111)&lt;PolicyEff),1,Milestones!$AC$111)&amp;";  ","")&amp;IF(AND(EDATE($D135,Milestones!$AA$112)&lt;=AsOfDate,EDATE($D135,Milestones!$AA$112)&gt;=SchemeStart,IF($X135=0,$AD135,IF(AND($Z135&lt;&gt;"",EDATE($D135,Milestones!$AA$112)&gt;=$Z135),$AC135,IF(AND($Y135&lt;&gt;"",EDATE($D135,Milestones!$AA$112)&gt;=$Y135),$AB135,$AA135)))=Milestones!$AB$112),UPPER(TEXT(EDATE($D135,Milestones!$AA$112),"dd mmm yy"))&amp;" "&amp;Milestones!$AB$112&amp;" "&amp;IF(AND(Milestones!$AB$112="FT",Milestones!$AA$112=FT_Y5,EDATE($D135,Milestones!$AA$112)&lt;PolicyEff),1,Milestones!$AC$112)&amp;";  ","")&amp;IF(AND(EDATE($D135,Milestones!$AA$113)&lt;=AsOfDate,EDATE($D135,Milestones!$AA$113)&gt;=SchemeStart,IF($X135=0,$AD135,IF(AND($Z135&lt;&gt;"",EDATE($D135,Milestones!$AA$113)&gt;=$Z135),$AC135,IF(AND($Y135&lt;&gt;"",EDATE($D135,Milestones!$AA$113)&gt;=$Y135),$AB135,$AA135)))=Milestones!$AB$113),UPPER(TEXT(EDATE($D135,Milestones!$AA$113),"dd mmm yy"))&amp;" "&amp;Milestones!$AB$113&amp;" "&amp;IF(AND(Milestones!$AB$113="FT",Milestones!$AA$113=FT_Y5,EDATE($D135,Milestones!$AA$113)&lt;PolicyEff),1,Milestones!$AC$113)&amp;";  ","")&amp;IF(AND(EDATE($D135,Milestones!$AA$114)&lt;=AsOfDate,EDATE($D135,Milestones!$AA$114)&gt;=SchemeStart,IF($X135=0,$AD135,IF(AND($Z135&lt;&gt;"",EDATE($D135,Milestones!$AA$114)&gt;=$Z135),$AC135,IF(AND($Y135&lt;&gt;"",EDATE($D135,Milestones!$AA$114)&gt;=$Y135),$AB135,$AA135)))=Milestones!$AB$114),UPPER(TEXT(EDATE($D135,Milestones!$AA$114),"dd mmm yy"))&amp;" "&amp;Milestones!$AB$114&amp;" "&amp;IF(AND(Milestones!$AB$114="FT",Milestones!$AA$114=FT_Y5,EDATE($D135,Milestones!$AA$114)&lt;PolicyEff),1,Milestones!$AC$114)&amp;";  ","")&amp;IF(AND(EDATE($D135,Milestones!$AA$115)&lt;=AsOfDate,EDATE($D135,Milestones!$AA$115)&gt;=SchemeStart,IF($X135=0,$AD135,IF(AND($Z135&lt;&gt;"",EDATE($D135,Milestones!$AA$115)&gt;=$Z135),$AC135,IF(AND($Y135&lt;&gt;"",EDATE($D135,Milestones!$AA$115)&gt;=$Y135),$AB135,$AA135)))=Milestones!$AB$115),UPPER(TEXT(EDATE($D135,Milestones!$AA$115),"dd mmm yy"))&amp;" "&amp;Milestones!$AB$115&amp;" "&amp;IF(AND(Milestones!$AB$115="FT",Milestones!$AA$115=FT_Y5,EDATE($D135,Milestones!$AA$115)&lt;PolicyEff),1,Milestones!$AC$115)&amp;";  ",""))</f>
        <v/>
      </c>
      <c r="Q135" s="0" t="str">
        <f aca="false">IF(OR($A135="",$D135=""),"",IF(AND(EDATE($D135,Milestones!$AA$116)&lt;=AsOfDate,EDATE($D135,Milestones!$AA$116)&gt;=SchemeStart,IF($X135=0,$AD135,IF(AND($Z135&lt;&gt;"",EDATE($D135,Milestones!$AA$116)&gt;=$Z135),$AC135,IF(AND($Y135&lt;&gt;"",EDATE($D135,Milestones!$AA$116)&gt;=$Y135),$AB135,$AA135)))=Milestones!$AB$116),UPPER(TEXT(EDATE($D135,Milestones!$AA$116),"dd mmm yy"))&amp;" "&amp;Milestones!$AB$116&amp;" "&amp;IF(AND(Milestones!$AB$116="FT",Milestones!$AA$116=FT_Y5,EDATE($D135,Milestones!$AA$116)&lt;PolicyEff),1,Milestones!$AC$116)&amp;";  ","")&amp;IF(AND(EDATE($D135,Milestones!$AA$117)&lt;=AsOfDate,EDATE($D135,Milestones!$AA$117)&gt;=SchemeStart,IF($X135=0,$AD135,IF(AND($Z135&lt;&gt;"",EDATE($D135,Milestones!$AA$117)&gt;=$Z135),$AC135,IF(AND($Y135&lt;&gt;"",EDATE($D135,Milestones!$AA$117)&gt;=$Y135),$AB135,$AA135)))=Milestones!$AB$117),UPPER(TEXT(EDATE($D135,Milestones!$AA$117),"dd mmm yy"))&amp;" "&amp;Milestones!$AB$117&amp;" "&amp;IF(AND(Milestones!$AB$117="FT",Milestones!$AA$117=FT_Y5,EDATE($D135,Milestones!$AA$117)&lt;PolicyEff),1,Milestones!$AC$117)&amp;";  ","")&amp;IF(AND(EDATE($D135,Milestones!$AA$118)&lt;=AsOfDate,EDATE($D135,Milestones!$AA$118)&gt;=SchemeStart,IF($X135=0,$AD135,IF(AND($Z135&lt;&gt;"",EDATE($D135,Milestones!$AA$118)&gt;=$Z135),$AC135,IF(AND($Y135&lt;&gt;"",EDATE($D135,Milestones!$AA$118)&gt;=$Y135),$AB135,$AA135)))=Milestones!$AB$118),UPPER(TEXT(EDATE($D135,Milestones!$AA$118),"dd mmm yy"))&amp;" "&amp;Milestones!$AB$118&amp;" "&amp;IF(AND(Milestones!$AB$118="FT",Milestones!$AA$118=FT_Y5,EDATE($D135,Milestones!$AA$118)&lt;PolicyEff),1,Milestones!$AC$118)&amp;";  ","")&amp;IF(AND(EDATE($D135,Milestones!$AA$119)&lt;=AsOfDate,EDATE($D135,Milestones!$AA$119)&gt;=SchemeStart,IF($X135=0,$AD135,IF(AND($Z135&lt;&gt;"",EDATE($D135,Milestones!$AA$119)&gt;=$Z135),$AC135,IF(AND($Y135&lt;&gt;"",EDATE($D135,Milestones!$AA$119)&gt;=$Y135),$AB135,$AA135)))=Milestones!$AB$119),UPPER(TEXT(EDATE($D135,Milestones!$AA$119),"dd mmm yy"))&amp;" "&amp;Milestones!$AB$119&amp;" "&amp;IF(AND(Milestones!$AB$119="FT",Milestones!$AA$119=FT_Y5,EDATE($D135,Milestones!$AA$119)&lt;PolicyEff),1,Milestones!$AC$119)&amp;";  ","")&amp;IF(AND(EDATE($D135,Milestones!$AA$120)&lt;=AsOfDate,EDATE($D135,Milestones!$AA$120)&gt;=SchemeStart,IF($X135=0,$AD135,IF(AND($Z135&lt;&gt;"",EDATE($D135,Milestones!$AA$120)&gt;=$Z135),$AC135,IF(AND($Y135&lt;&gt;"",EDATE($D135,Milestones!$AA$120)&gt;=$Y135),$AB135,$AA135)))=Milestones!$AB$120),UPPER(TEXT(EDATE($D135,Milestones!$AA$120),"dd mmm yy"))&amp;" "&amp;Milestones!$AB$120&amp;" "&amp;IF(AND(Milestones!$AB$120="FT",Milestones!$AA$120=FT_Y5,EDATE($D135,Milestones!$AA$120)&lt;PolicyEff),1,Milestones!$AC$120)&amp;";  ","")&amp;IF(AND(EDATE($D135,Milestones!$AA$121)&lt;=AsOfDate,EDATE($D135,Milestones!$AA$121)&gt;=SchemeStart,IF($X135=0,$AD135,IF(AND($Z135&lt;&gt;"",EDATE($D135,Milestones!$AA$121)&gt;=$Z135),$AC135,IF(AND($Y135&lt;&gt;"",EDATE($D135,Milestones!$AA$121)&gt;=$Y135),$AB135,$AA135)))=Milestones!$AB$121),UPPER(TEXT(EDATE($D135,Milestones!$AA$121),"dd mmm yy"))&amp;" "&amp;Milestones!$AB$121&amp;" "&amp;IF(AND(Milestones!$AB$121="FT",Milestones!$AA$121=FT_Y5,EDATE($D135,Milestones!$AA$121)&lt;PolicyEff),1,Milestones!$AC$121)&amp;";  ","")&amp;IF(AND(EDATE($D135,Milestones!$AA$122)&lt;=AsOfDate,EDATE($D135,Milestones!$AA$122)&gt;=SchemeStart,IF($X135=0,$AD135,IF(AND($Z135&lt;&gt;"",EDATE($D135,Milestones!$AA$122)&gt;=$Z135),$AC135,IF(AND($Y135&lt;&gt;"",EDATE($D135,Milestones!$AA$122)&gt;=$Y135),$AB135,$AA135)))=Milestones!$AB$122),UPPER(TEXT(EDATE($D135,Milestones!$AA$122),"dd mmm yy"))&amp;" "&amp;Milestones!$AB$122&amp;" "&amp;IF(AND(Milestones!$AB$122="FT",Milestones!$AA$122=FT_Y5,EDATE($D135,Milestones!$AA$122)&lt;PolicyEff),1,Milestones!$AC$122)&amp;";  ","")&amp;IF(AND(EDATE($D135,Milestones!$AA$123)&lt;=AsOfDate,EDATE($D135,Milestones!$AA$123)&gt;=SchemeStart,IF($X135=0,$AD135,IF(AND($Z135&lt;&gt;"",EDATE($D135,Milestones!$AA$123)&gt;=$Z135),$AC135,IF(AND($Y135&lt;&gt;"",EDATE($D135,Milestones!$AA$123)&gt;=$Y135),$AB135,$AA135)))=Milestones!$AB$123),UPPER(TEXT(EDATE($D135,Milestones!$AA$123),"dd mmm yy"))&amp;" "&amp;Milestones!$AB$123&amp;" "&amp;IF(AND(Milestones!$AB$123="FT",Milestones!$AA$123=FT_Y5,EDATE($D135,Milestones!$AA$123)&lt;PolicyEff),1,Milestones!$AC$123)&amp;";  ","")&amp;IF(AND(EDATE($D135,Milestones!$AA$124)&lt;=AsOfDate,EDATE($D135,Milestones!$AA$124)&gt;=SchemeStart,IF($X135=0,$AD135,IF(AND($Z135&lt;&gt;"",EDATE($D135,Milestones!$AA$124)&gt;=$Z135),$AC135,IF(AND($Y135&lt;&gt;"",EDATE($D135,Milestones!$AA$124)&gt;=$Y135),$AB135,$AA135)))=Milestones!$AB$124),UPPER(TEXT(EDATE($D135,Milestones!$AA$124),"dd mmm yy"))&amp;" "&amp;Milestones!$AB$124&amp;" "&amp;IF(AND(Milestones!$AB$124="FT",Milestones!$AA$124=FT_Y5,EDATE($D135,Milestones!$AA$124)&lt;PolicyEff),1,Milestones!$AC$124)&amp;";  ","")&amp;IF(AND(EDATE($D135,Milestones!$AA$125)&lt;=AsOfDate,EDATE($D135,Milestones!$AA$125)&gt;=SchemeStart,IF($X135=0,$AD135,IF(AND($Z135&lt;&gt;"",EDATE($D135,Milestones!$AA$125)&gt;=$Z135),$AC135,IF(AND($Y135&lt;&gt;"",EDATE($D135,Milestones!$AA$125)&gt;=$Y135),$AB135,$AA135)))=Milestones!$AB$125),UPPER(TEXT(EDATE($D135,Milestones!$AA$125),"dd mmm yy"))&amp;" "&amp;Milestones!$AB$125&amp;" "&amp;IF(AND(Milestones!$AB$125="FT",Milestones!$AA$125=FT_Y5,EDATE($D135,Milestones!$AA$125)&lt;PolicyEff),1,Milestones!$AC$125)&amp;";  ","")&amp;IF(AND(EDATE($D135,Milestones!$AA$126)&lt;=AsOfDate,EDATE($D135,Milestones!$AA$126)&gt;=SchemeStart,IF($X135=0,$AD135,IF(AND($Z135&lt;&gt;"",EDATE($D135,Milestones!$AA$126)&gt;=$Z135),$AC135,IF(AND($Y135&lt;&gt;"",EDATE($D135,Milestones!$AA$126)&gt;=$Y135),$AB135,$AA135)))=Milestones!$AB$126),UPPER(TEXT(EDATE($D135,Milestones!$AA$126),"dd mmm yy"))&amp;" "&amp;Milestones!$AB$126&amp;" "&amp;IF(AND(Milestones!$AB$126="FT",Milestones!$AA$126=FT_Y5,EDATE($D135,Milestones!$AA$126)&lt;PolicyEff),1,Milestones!$AC$126)&amp;";  ","")&amp;IF(AND(EDATE($D135,Milestones!$AA$127)&lt;=AsOfDate,EDATE($D135,Milestones!$AA$127)&gt;=SchemeStart,IF($X135=0,$AD135,IF(AND($Z135&lt;&gt;"",EDATE($D135,Milestones!$AA$127)&gt;=$Z135),$AC135,IF(AND($Y135&lt;&gt;"",EDATE($D135,Milestones!$AA$127)&gt;=$Y135),$AB135,$AA135)))=Milestones!$AB$127),UPPER(TEXT(EDATE($D135,Milestones!$AA$127),"dd mmm yy"))&amp;" "&amp;Milestones!$AB$127&amp;" "&amp;IF(AND(Milestones!$AB$127="FT",Milestones!$AA$127=FT_Y5,EDATE($D135,Milestones!$AA$127)&lt;PolicyEff),1,Milestones!$AC$127)&amp;";  ",""))</f>
        <v/>
      </c>
      <c r="R135" s="0" t="str">
        <f aca="false">IF(OR($A135="",$D135=""),"",IF(AND(EDATE($D135,Milestones!$AA$128)&lt;=AsOfDate,EDATE($D135,Milestones!$AA$128)&gt;=SchemeStart,IF($X135=0,$AD135,IF(AND($Z135&lt;&gt;"",EDATE($D135,Milestones!$AA$128)&gt;=$Z135),$AC135,IF(AND($Y135&lt;&gt;"",EDATE($D135,Milestones!$AA$128)&gt;=$Y135),$AB135,$AA135)))=Milestones!$AB$128),UPPER(TEXT(EDATE($D135,Milestones!$AA$128),"dd mmm yy"))&amp;" "&amp;Milestones!$AB$128&amp;" "&amp;IF(AND(Milestones!$AB$128="FT",Milestones!$AA$128=FT_Y5,EDATE($D135,Milestones!$AA$128)&lt;PolicyEff),1,Milestones!$AC$128)&amp;";  ","")&amp;IF(AND(EDATE($D135,Milestones!$AA$129)&lt;=AsOfDate,EDATE($D135,Milestones!$AA$129)&gt;=SchemeStart,IF($X135=0,$AD135,IF(AND($Z135&lt;&gt;"",EDATE($D135,Milestones!$AA$129)&gt;=$Z135),$AC135,IF(AND($Y135&lt;&gt;"",EDATE($D135,Milestones!$AA$129)&gt;=$Y135),$AB135,$AA135)))=Milestones!$AB$129),UPPER(TEXT(EDATE($D135,Milestones!$AA$129),"dd mmm yy"))&amp;" "&amp;Milestones!$AB$129&amp;" "&amp;IF(AND(Milestones!$AB$129="FT",Milestones!$AA$129=FT_Y5,EDATE($D135,Milestones!$AA$129)&lt;PolicyEff),1,Milestones!$AC$129)&amp;";  ","")&amp;IF(AND(EDATE($D135,Milestones!$AA$130)&lt;=AsOfDate,EDATE($D135,Milestones!$AA$130)&gt;=SchemeStart,IF($X135=0,$AD135,IF(AND($Z135&lt;&gt;"",EDATE($D135,Milestones!$AA$130)&gt;=$Z135),$AC135,IF(AND($Y135&lt;&gt;"",EDATE($D135,Milestones!$AA$130)&gt;=$Y135),$AB135,$AA135)))=Milestones!$AB$130),UPPER(TEXT(EDATE($D135,Milestones!$AA$130),"dd mmm yy"))&amp;" "&amp;Milestones!$AB$130&amp;" "&amp;IF(AND(Milestones!$AB$130="FT",Milestones!$AA$130=FT_Y5,EDATE($D135,Milestones!$AA$130)&lt;PolicyEff),1,Milestones!$AC$130)&amp;";  ","")&amp;IF(AND(EDATE($D135,Milestones!$AA$131)&lt;=AsOfDate,EDATE($D135,Milestones!$AA$131)&gt;=SchemeStart,IF($X135=0,$AD135,IF(AND($Z135&lt;&gt;"",EDATE($D135,Milestones!$AA$131)&gt;=$Z135),$AC135,IF(AND($Y135&lt;&gt;"",EDATE($D135,Milestones!$AA$131)&gt;=$Y135),$AB135,$AA135)))=Milestones!$AB$131),UPPER(TEXT(EDATE($D135,Milestones!$AA$131),"dd mmm yy"))&amp;" "&amp;Milestones!$AB$131&amp;" "&amp;IF(AND(Milestones!$AB$131="FT",Milestones!$AA$131=FT_Y5,EDATE($D135,Milestones!$AA$131)&lt;PolicyEff),1,Milestones!$AC$131)&amp;";  ","")&amp;IF(AND(EDATE($D135,Milestones!$AA$132)&lt;=AsOfDate,EDATE($D135,Milestones!$AA$132)&gt;=SchemeStart,IF($X135=0,$AD135,IF(AND($Z135&lt;&gt;"",EDATE($D135,Milestones!$AA$132)&gt;=$Z135),$AC135,IF(AND($Y135&lt;&gt;"",EDATE($D135,Milestones!$AA$132)&gt;=$Y135),$AB135,$AA135)))=Milestones!$AB$132),UPPER(TEXT(EDATE($D135,Milestones!$AA$132),"dd mmm yy"))&amp;" "&amp;Milestones!$AB$132&amp;" "&amp;IF(AND(Milestones!$AB$132="FT",Milestones!$AA$132=FT_Y5,EDATE($D135,Milestones!$AA$132)&lt;PolicyEff),1,Milestones!$AC$132)&amp;";  ","")&amp;IF(AND(EDATE($D135,Milestones!$AA$133)&lt;=AsOfDate,EDATE($D135,Milestones!$AA$133)&gt;=SchemeStart,IF($X135=0,$AD135,IF(AND($Z135&lt;&gt;"",EDATE($D135,Milestones!$AA$133)&gt;=$Z135),$AC135,IF(AND($Y135&lt;&gt;"",EDATE($D135,Milestones!$AA$133)&gt;=$Y135),$AB135,$AA135)))=Milestones!$AB$133),UPPER(TEXT(EDATE($D135,Milestones!$AA$133),"dd mmm yy"))&amp;" "&amp;Milestones!$AB$133&amp;" "&amp;IF(AND(Milestones!$AB$133="FT",Milestones!$AA$133=FT_Y5,EDATE($D135,Milestones!$AA$133)&lt;PolicyEff),1,Milestones!$AC$133)&amp;";  ","")&amp;IF(AND(EDATE($D135,Milestones!$AA$134)&lt;=AsOfDate,EDATE($D135,Milestones!$AA$134)&gt;=SchemeStart,IF($X135=0,$AD135,IF(AND($Z135&lt;&gt;"",EDATE($D135,Milestones!$AA$134)&gt;=$Z135),$AC135,IF(AND($Y135&lt;&gt;"",EDATE($D135,Milestones!$AA$134)&gt;=$Y135),$AB135,$AA135)))=Milestones!$AB$134),UPPER(TEXT(EDATE($D135,Milestones!$AA$134),"dd mmm yy"))&amp;" "&amp;Milestones!$AB$134&amp;" "&amp;IF(AND(Milestones!$AB$134="FT",Milestones!$AA$134=FT_Y5,EDATE($D135,Milestones!$AA$134)&lt;PolicyEff),1,Milestones!$AC$134)&amp;";  ","")&amp;IF(AND(EDATE($D135,Milestones!$AA$135)&lt;=AsOfDate,EDATE($D135,Milestones!$AA$135)&gt;=SchemeStart,IF($X135=0,$AD135,IF(AND($Z135&lt;&gt;"",EDATE($D135,Milestones!$AA$135)&gt;=$Z135),$AC135,IF(AND($Y135&lt;&gt;"",EDATE($D135,Milestones!$AA$135)&gt;=$Y135),$AB135,$AA135)))=Milestones!$AB$135),UPPER(TEXT(EDATE($D135,Milestones!$AA$135),"dd mmm yy"))&amp;" "&amp;Milestones!$AB$135&amp;" "&amp;IF(AND(Milestones!$AB$135="FT",Milestones!$AA$135=FT_Y5,EDATE($D135,Milestones!$AA$135)&lt;PolicyEff),1,Milestones!$AC$135)&amp;";  ","")&amp;IF(AND(EDATE($D135,Milestones!$AA$136)&lt;=AsOfDate,EDATE($D135,Milestones!$AA$136)&gt;=SchemeStart,IF($X135=0,$AD135,IF(AND($Z135&lt;&gt;"",EDATE($D135,Milestones!$AA$136)&gt;=$Z135),$AC135,IF(AND($Y135&lt;&gt;"",EDATE($D135,Milestones!$AA$136)&gt;=$Y135),$AB135,$AA135)))=Milestones!$AB$136),UPPER(TEXT(EDATE($D135,Milestones!$AA$136),"dd mmm yy"))&amp;" "&amp;Milestones!$AB$136&amp;" "&amp;IF(AND(Milestones!$AB$136="FT",Milestones!$AA$136=FT_Y5,EDATE($D135,Milestones!$AA$136)&lt;PolicyEff),1,Milestones!$AC$136)&amp;";  ","")&amp;IF(AND(EDATE($D135,Milestones!$AA$137)&lt;=AsOfDate,EDATE($D135,Milestones!$AA$137)&gt;=SchemeStart,IF($X135=0,$AD135,IF(AND($Z135&lt;&gt;"",EDATE($D135,Milestones!$AA$137)&gt;=$Z135),$AC135,IF(AND($Y135&lt;&gt;"",EDATE($D135,Milestones!$AA$137)&gt;=$Y135),$AB135,$AA135)))=Milestones!$AB$137),UPPER(TEXT(EDATE($D135,Milestones!$AA$137),"dd mmm yy"))&amp;" "&amp;Milestones!$AB$137&amp;" "&amp;IF(AND(Milestones!$AB$137="FT",Milestones!$AA$137=FT_Y5,EDATE($D135,Milestones!$AA$137)&lt;PolicyEff),1,Milestones!$AC$137)&amp;";  ","")&amp;IF(AND(EDATE($D135,Milestones!$AA$138)&lt;=AsOfDate,EDATE($D135,Milestones!$AA$138)&gt;=SchemeStart,IF($X135=0,$AD135,IF(AND($Z135&lt;&gt;"",EDATE($D135,Milestones!$AA$138)&gt;=$Z135),$AC135,IF(AND($Y135&lt;&gt;"",EDATE($D135,Milestones!$AA$138)&gt;=$Y135),$AB135,$AA135)))=Milestones!$AB$138),UPPER(TEXT(EDATE($D135,Milestones!$AA$138),"dd mmm yy"))&amp;" "&amp;Milestones!$AB$138&amp;" "&amp;IF(AND(Milestones!$AB$138="FT",Milestones!$AA$138=FT_Y5,EDATE($D135,Milestones!$AA$138)&lt;PolicyEff),1,Milestones!$AC$138)&amp;";  ","")&amp;IF(AND(EDATE($D135,Milestones!$AA$139)&lt;=AsOfDate,EDATE($D135,Milestones!$AA$139)&gt;=SchemeStart,IF($X135=0,$AD135,IF(AND($Z135&lt;&gt;"",EDATE($D135,Milestones!$AA$139)&gt;=$Z135),$AC135,IF(AND($Y135&lt;&gt;"",EDATE($D135,Milestones!$AA$139)&gt;=$Y135),$AB135,$AA135)))=Milestones!$AB$139),UPPER(TEXT(EDATE($D135,Milestones!$AA$139),"dd mmm yy"))&amp;" "&amp;Milestones!$AB$139&amp;" "&amp;IF(AND(Milestones!$AB$139="FT",Milestones!$AA$139=FT_Y5,EDATE($D135,Milestones!$AA$139)&lt;PolicyEff),1,Milestones!$AC$139)&amp;";  ",""))</f>
        <v/>
      </c>
      <c r="S135" s="0" t="str">
        <f aca="false">IF(OR($A135="",$D135=""),"",IF(AND(EDATE($D135,Milestones!$AA$140)&lt;=AsOfDate,EDATE($D135,Milestones!$AA$140)&gt;=SchemeStart,IF($X135=0,$AD135,IF(AND($Z135&lt;&gt;"",EDATE($D135,Milestones!$AA$140)&gt;=$Z135),$AC135,IF(AND($Y135&lt;&gt;"",EDATE($D135,Milestones!$AA$140)&gt;=$Y135),$AB135,$AA135)))=Milestones!$AB$140),UPPER(TEXT(EDATE($D135,Milestones!$AA$140),"dd mmm yy"))&amp;" "&amp;Milestones!$AB$140&amp;" "&amp;IF(AND(Milestones!$AB$140="FT",Milestones!$AA$140=FT_Y5,EDATE($D135,Milestones!$AA$140)&lt;PolicyEff),1,Milestones!$AC$140)&amp;";  ","")&amp;IF(AND(EDATE($D135,Milestones!$AA$141)&lt;=AsOfDate,EDATE($D135,Milestones!$AA$141)&gt;=SchemeStart,IF($X135=0,$AD135,IF(AND($Z135&lt;&gt;"",EDATE($D135,Milestones!$AA$141)&gt;=$Z135),$AC135,IF(AND($Y135&lt;&gt;"",EDATE($D135,Milestones!$AA$141)&gt;=$Y135),$AB135,$AA135)))=Milestones!$AB$141),UPPER(TEXT(EDATE($D135,Milestones!$AA$141),"dd mmm yy"))&amp;" "&amp;Milestones!$AB$141&amp;" "&amp;IF(AND(Milestones!$AB$141="FT",Milestones!$AA$141=FT_Y5,EDATE($D135,Milestones!$AA$141)&lt;PolicyEff),1,Milestones!$AC$141)&amp;";  ","")&amp;IF(AND(EDATE($D135,Milestones!$AA$142)&lt;=AsOfDate,EDATE($D135,Milestones!$AA$142)&gt;=SchemeStart,IF($X135=0,$AD135,IF(AND($Z135&lt;&gt;"",EDATE($D135,Milestones!$AA$142)&gt;=$Z135),$AC135,IF(AND($Y135&lt;&gt;"",EDATE($D135,Milestones!$AA$142)&gt;=$Y135),$AB135,$AA135)))=Milestones!$AB$142),UPPER(TEXT(EDATE($D135,Milestones!$AA$142),"dd mmm yy"))&amp;" "&amp;Milestones!$AB$142&amp;" "&amp;IF(AND(Milestones!$AB$142="FT",Milestones!$AA$142=FT_Y5,EDATE($D135,Milestones!$AA$142)&lt;PolicyEff),1,Milestones!$AC$142)&amp;";  ","")&amp;IF(AND(EDATE($D135,Milestones!$AA$143)&lt;=AsOfDate,EDATE($D135,Milestones!$AA$143)&gt;=SchemeStart,IF($X135=0,$AD135,IF(AND($Z135&lt;&gt;"",EDATE($D135,Milestones!$AA$143)&gt;=$Z135),$AC135,IF(AND($Y135&lt;&gt;"",EDATE($D135,Milestones!$AA$143)&gt;=$Y135),$AB135,$AA135)))=Milestones!$AB$143),UPPER(TEXT(EDATE($D135,Milestones!$AA$143),"dd mmm yy"))&amp;" "&amp;Milestones!$AB$143&amp;" "&amp;IF(AND(Milestones!$AB$143="FT",Milestones!$AA$143=FT_Y5,EDATE($D135,Milestones!$AA$143)&lt;PolicyEff),1,Milestones!$AC$143)&amp;";  ","")&amp;IF(AND(EDATE($D135,Milestones!$AA$144)&lt;=AsOfDate,EDATE($D135,Milestones!$AA$144)&gt;=SchemeStart,IF($X135=0,$AD135,IF(AND($Z135&lt;&gt;"",EDATE($D135,Milestones!$AA$144)&gt;=$Z135),$AC135,IF(AND($Y135&lt;&gt;"",EDATE($D135,Milestones!$AA$144)&gt;=$Y135),$AB135,$AA135)))=Milestones!$AB$144),UPPER(TEXT(EDATE($D135,Milestones!$AA$144),"dd mmm yy"))&amp;" "&amp;Milestones!$AB$144&amp;" "&amp;IF(AND(Milestones!$AB$144="FT",Milestones!$AA$144=FT_Y5,EDATE($D135,Milestones!$AA$144)&lt;PolicyEff),1,Milestones!$AC$144)&amp;";  ","")&amp;IF(AND(EDATE($D135,Milestones!$AA$145)&lt;=AsOfDate,EDATE($D135,Milestones!$AA$145)&gt;=SchemeStart,IF($X135=0,$AD135,IF(AND($Z135&lt;&gt;"",EDATE($D135,Milestones!$AA$145)&gt;=$Z135),$AC135,IF(AND($Y135&lt;&gt;"",EDATE($D135,Milestones!$AA$145)&gt;=$Y135),$AB135,$AA135)))=Milestones!$AB$145),UPPER(TEXT(EDATE($D135,Milestones!$AA$145),"dd mmm yy"))&amp;" "&amp;Milestones!$AB$145&amp;" "&amp;IF(AND(Milestones!$AB$145="FT",Milestones!$AA$145=FT_Y5,EDATE($D135,Milestones!$AA$145)&lt;PolicyEff),1,Milestones!$AC$145)&amp;";  ","")&amp;IF(AND(EDATE($D135,Milestones!$AA$146)&lt;=AsOfDate,EDATE($D135,Milestones!$AA$146)&gt;=SchemeStart,IF($X135=0,$AD135,IF(AND($Z135&lt;&gt;"",EDATE($D135,Milestones!$AA$146)&gt;=$Z135),$AC135,IF(AND($Y135&lt;&gt;"",EDATE($D135,Milestones!$AA$146)&gt;=$Y135),$AB135,$AA135)))=Milestones!$AB$146),UPPER(TEXT(EDATE($D135,Milestones!$AA$146),"dd mmm yy"))&amp;" "&amp;Milestones!$AB$146&amp;" "&amp;IF(AND(Milestones!$AB$146="FT",Milestones!$AA$146=FT_Y5,EDATE($D135,Milestones!$AA$146)&lt;PolicyEff),1,Milestones!$AC$146)&amp;";  ","")&amp;IF(AND(EDATE($D135,Milestones!$AA$147)&lt;=AsOfDate,EDATE($D135,Milestones!$AA$147)&gt;=SchemeStart,IF($X135=0,$AD135,IF(AND($Z135&lt;&gt;"",EDATE($D135,Milestones!$AA$147)&gt;=$Z135),$AC135,IF(AND($Y135&lt;&gt;"",EDATE($D135,Milestones!$AA$147)&gt;=$Y135),$AB135,$AA135)))=Milestones!$AB$147),UPPER(TEXT(EDATE($D135,Milestones!$AA$147),"dd mmm yy"))&amp;" "&amp;Milestones!$AB$147&amp;" "&amp;IF(AND(Milestones!$AB$147="FT",Milestones!$AA$147=FT_Y5,EDATE($D135,Milestones!$AA$147)&lt;PolicyEff),1,Milestones!$AC$147)&amp;";  ","")&amp;IF(AND(EDATE($D135,Milestones!$AA$148)&lt;=AsOfDate,EDATE($D135,Milestones!$AA$148)&gt;=SchemeStart,IF($X135=0,$AD135,IF(AND($Z135&lt;&gt;"",EDATE($D135,Milestones!$AA$148)&gt;=$Z135),$AC135,IF(AND($Y135&lt;&gt;"",EDATE($D135,Milestones!$AA$148)&gt;=$Y135),$AB135,$AA135)))=Milestones!$AB$148),UPPER(TEXT(EDATE($D135,Milestones!$AA$148),"dd mmm yy"))&amp;" "&amp;Milestones!$AB$148&amp;" "&amp;IF(AND(Milestones!$AB$148="FT",Milestones!$AA$148=FT_Y5,EDATE($D135,Milestones!$AA$148)&lt;PolicyEff),1,Milestones!$AC$148)&amp;";  ","")&amp;IF(AND(EDATE($D135,Milestones!$AA$149)&lt;=AsOfDate,EDATE($D135,Milestones!$AA$149)&gt;=SchemeStart,IF($X135=0,$AD135,IF(AND($Z135&lt;&gt;"",EDATE($D135,Milestones!$AA$149)&gt;=$Z135),$AC135,IF(AND($Y135&lt;&gt;"",EDATE($D135,Milestones!$AA$149)&gt;=$Y135),$AB135,$AA135)))=Milestones!$AB$149),UPPER(TEXT(EDATE($D135,Milestones!$AA$149),"dd mmm yy"))&amp;" "&amp;Milestones!$AB$149&amp;" "&amp;IF(AND(Milestones!$AB$149="FT",Milestones!$AA$149=FT_Y5,EDATE($D135,Milestones!$AA$149)&lt;PolicyEff),1,Milestones!$AC$149)&amp;";  ","")&amp;IF(AND(EDATE($D135,Milestones!$AA$150)&lt;=AsOfDate,EDATE($D135,Milestones!$AA$150)&gt;=SchemeStart,IF($X135=0,$AD135,IF(AND($Z135&lt;&gt;"",EDATE($D135,Milestones!$AA$150)&gt;=$Z135),$AC135,IF(AND($Y135&lt;&gt;"",EDATE($D135,Milestones!$AA$150)&gt;=$Y135),$AB135,$AA135)))=Milestones!$AB$150),UPPER(TEXT(EDATE($D135,Milestones!$AA$150),"dd mmm yy"))&amp;" "&amp;Milestones!$AB$150&amp;" "&amp;IF(AND(Milestones!$AB$150="FT",Milestones!$AA$150=FT_Y5,EDATE($D135,Milestones!$AA$150)&lt;PolicyEff),1,Milestones!$AC$150)&amp;";  ","")&amp;IF(AND(EDATE($D135,Milestones!$AA$151)&lt;=AsOfDate,EDATE($D135,Milestones!$AA$151)&gt;=SchemeStart,IF($X135=0,$AD135,IF(AND($Z135&lt;&gt;"",EDATE($D135,Milestones!$AA$151)&gt;=$Z135),$AC135,IF(AND($Y135&lt;&gt;"",EDATE($D135,Milestones!$AA$151)&gt;=$Y135),$AB135,$AA135)))=Milestones!$AB$151),UPPER(TEXT(EDATE($D135,Milestones!$AA$151),"dd mmm yy"))&amp;" "&amp;Milestones!$AB$151&amp;" "&amp;IF(AND(Milestones!$AB$151="FT",Milestones!$AA$151=FT_Y5,EDATE($D135,Milestones!$AA$151)&lt;PolicyEff),1,Milestones!$AC$151)&amp;";  ",""))</f>
        <v/>
      </c>
      <c r="T135" s="0" t="str">
        <f aca="false">IF(OR($A135="",$D135=""),"",IF(AND(EDATE($D135,Milestones!$AA$152)&lt;=AsOfDate,EDATE($D135,Milestones!$AA$152)&gt;=SchemeStart,IF($X135=0,$AD135,IF(AND($Z135&lt;&gt;"",EDATE($D135,Milestones!$AA$152)&gt;=$Z135),$AC135,IF(AND($Y135&lt;&gt;"",EDATE($D135,Milestones!$AA$152)&gt;=$Y135),$AB135,$AA135)))=Milestones!$AB$152),UPPER(TEXT(EDATE($D135,Milestones!$AA$152),"dd mmm yy"))&amp;" "&amp;Milestones!$AB$152&amp;" "&amp;IF(AND(Milestones!$AB$152="FT",Milestones!$AA$152=FT_Y5,EDATE($D135,Milestones!$AA$152)&lt;PolicyEff),1,Milestones!$AC$152)&amp;";  ","")&amp;IF(AND(EDATE($D135,Milestones!$AA$153)&lt;=AsOfDate,EDATE($D135,Milestones!$AA$153)&gt;=SchemeStart,IF($X135=0,$AD135,IF(AND($Z135&lt;&gt;"",EDATE($D135,Milestones!$AA$153)&gt;=$Z135),$AC135,IF(AND($Y135&lt;&gt;"",EDATE($D135,Milestones!$AA$153)&gt;=$Y135),$AB135,$AA135)))=Milestones!$AB$153),UPPER(TEXT(EDATE($D135,Milestones!$AA$153),"dd mmm yy"))&amp;" "&amp;Milestones!$AB$153&amp;" "&amp;IF(AND(Milestones!$AB$153="FT",Milestones!$AA$153=FT_Y5,EDATE($D135,Milestones!$AA$153)&lt;PolicyEff),1,Milestones!$AC$153)&amp;";  ","")&amp;IF(AND(EDATE($D135,Milestones!$AA$154)&lt;=AsOfDate,EDATE($D135,Milestones!$AA$154)&gt;=SchemeStart,IF($X135=0,$AD135,IF(AND($Z135&lt;&gt;"",EDATE($D135,Milestones!$AA$154)&gt;=$Z135),$AC135,IF(AND($Y135&lt;&gt;"",EDATE($D135,Milestones!$AA$154)&gt;=$Y135),$AB135,$AA135)))=Milestones!$AB$154),UPPER(TEXT(EDATE($D135,Milestones!$AA$154),"dd mmm yy"))&amp;" "&amp;Milestones!$AB$154&amp;" "&amp;IF(AND(Milestones!$AB$154="FT",Milestones!$AA$154=FT_Y5,EDATE($D135,Milestones!$AA$154)&lt;PolicyEff),1,Milestones!$AC$154)&amp;";  ","")&amp;IF(AND(EDATE($D135,Milestones!$AA$155)&lt;=AsOfDate,EDATE($D135,Milestones!$AA$155)&gt;=SchemeStart,IF($X135=0,$AD135,IF(AND($Z135&lt;&gt;"",EDATE($D135,Milestones!$AA$155)&gt;=$Z135),$AC135,IF(AND($Y135&lt;&gt;"",EDATE($D135,Milestones!$AA$155)&gt;=$Y135),$AB135,$AA135)))=Milestones!$AB$155),UPPER(TEXT(EDATE($D135,Milestones!$AA$155),"dd mmm yy"))&amp;" "&amp;Milestones!$AB$155&amp;" "&amp;IF(AND(Milestones!$AB$155="FT",Milestones!$AA$155=FT_Y5,EDATE($D135,Milestones!$AA$155)&lt;PolicyEff),1,Milestones!$AC$155)&amp;";  ","")&amp;IF(AND(EDATE($D135,Milestones!$AA$156)&lt;=AsOfDate,EDATE($D135,Milestones!$AA$156)&gt;=SchemeStart,IF($X135=0,$AD135,IF(AND($Z135&lt;&gt;"",EDATE($D135,Milestones!$AA$156)&gt;=$Z135),$AC135,IF(AND($Y135&lt;&gt;"",EDATE($D135,Milestones!$AA$156)&gt;=$Y135),$AB135,$AA135)))=Milestones!$AB$156),UPPER(TEXT(EDATE($D135,Milestones!$AA$156),"dd mmm yy"))&amp;" "&amp;Milestones!$AB$156&amp;" "&amp;IF(AND(Milestones!$AB$156="FT",Milestones!$AA$156=FT_Y5,EDATE($D135,Milestones!$AA$156)&lt;PolicyEff),1,Milestones!$AC$156)&amp;";  ","")&amp;IF(AND(EDATE($D135,Milestones!$AA$157)&lt;=AsOfDate,EDATE($D135,Milestones!$AA$157)&gt;=SchemeStart,IF($X135=0,$AD135,IF(AND($Z135&lt;&gt;"",EDATE($D135,Milestones!$AA$157)&gt;=$Z135),$AC135,IF(AND($Y135&lt;&gt;"",EDATE($D135,Milestones!$AA$157)&gt;=$Y135),$AB135,$AA135)))=Milestones!$AB$157),UPPER(TEXT(EDATE($D135,Milestones!$AA$157),"dd mmm yy"))&amp;" "&amp;Milestones!$AB$157&amp;" "&amp;IF(AND(Milestones!$AB$157="FT",Milestones!$AA$157=FT_Y5,EDATE($D135,Milestones!$AA$157)&lt;PolicyEff),1,Milestones!$AC$157)&amp;";  ","")&amp;IF(AND(EDATE($D135,Milestones!$AA$158)&lt;=AsOfDate,EDATE($D135,Milestones!$AA$158)&gt;=SchemeStart,IF($X135=0,$AD135,IF(AND($Z135&lt;&gt;"",EDATE($D135,Milestones!$AA$158)&gt;=$Z135),$AC135,IF(AND($Y135&lt;&gt;"",EDATE($D135,Milestones!$AA$158)&gt;=$Y135),$AB135,$AA135)))=Milestones!$AB$158),UPPER(TEXT(EDATE($D135,Milestones!$AA$158),"dd mmm yy"))&amp;" "&amp;Milestones!$AB$158&amp;" "&amp;IF(AND(Milestones!$AB$158="FT",Milestones!$AA$158=FT_Y5,EDATE($D135,Milestones!$AA$158)&lt;PolicyEff),1,Milestones!$AC$158)&amp;";  ","")&amp;IF(AND(EDATE($D135,Milestones!$AA$159)&lt;=AsOfDate,EDATE($D135,Milestones!$AA$159)&gt;=SchemeStart,IF($X135=0,$AD135,IF(AND($Z135&lt;&gt;"",EDATE($D135,Milestones!$AA$159)&gt;=$Z135),$AC135,IF(AND($Y135&lt;&gt;"",EDATE($D135,Milestones!$AA$159)&gt;=$Y135),$AB135,$AA135)))=Milestones!$AB$159),UPPER(TEXT(EDATE($D135,Milestones!$AA$159),"dd mmm yy"))&amp;" "&amp;Milestones!$AB$159&amp;" "&amp;IF(AND(Milestones!$AB$159="FT",Milestones!$AA$159=FT_Y5,EDATE($D135,Milestones!$AA$159)&lt;PolicyEff),1,Milestones!$AC$159)&amp;";  ","")&amp;IF(AND(EDATE($D135,Milestones!$AA$160)&lt;=AsOfDate,EDATE($D135,Milestones!$AA$160)&gt;=SchemeStart,IF($X135=0,$AD135,IF(AND($Z135&lt;&gt;"",EDATE($D135,Milestones!$AA$160)&gt;=$Z135),$AC135,IF(AND($Y135&lt;&gt;"",EDATE($D135,Milestones!$AA$160)&gt;=$Y135),$AB135,$AA135)))=Milestones!$AB$160),UPPER(TEXT(EDATE($D135,Milestones!$AA$160),"dd mmm yy"))&amp;" "&amp;Milestones!$AB$160&amp;" "&amp;IF(AND(Milestones!$AB$160="FT",Milestones!$AA$160=FT_Y5,EDATE($D135,Milestones!$AA$160)&lt;PolicyEff),1,Milestones!$AC$160)&amp;";  ","")&amp;IF(AND(EDATE($D135,Milestones!$AA$161)&lt;=AsOfDate,EDATE($D135,Milestones!$AA$161)&gt;=SchemeStart,IF($X135=0,$AD135,IF(AND($Z135&lt;&gt;"",EDATE($D135,Milestones!$AA$161)&gt;=$Z135),$AC135,IF(AND($Y135&lt;&gt;"",EDATE($D135,Milestones!$AA$161)&gt;=$Y135),$AB135,$AA135)))=Milestones!$AB$161),UPPER(TEXT(EDATE($D135,Milestones!$AA$161),"dd mmm yy"))&amp;" "&amp;Milestones!$AB$161&amp;" "&amp;IF(AND(Milestones!$AB$161="FT",Milestones!$AA$161=FT_Y5,EDATE($D135,Milestones!$AA$161)&lt;PolicyEff),1,Milestones!$AC$161)&amp;";  ","")&amp;IF(AND(EDATE($D135,Milestones!$AA$162)&lt;=AsOfDate,EDATE($D135,Milestones!$AA$162)&gt;=SchemeStart,IF($X135=0,$AD135,IF(AND($Z135&lt;&gt;"",EDATE($D135,Milestones!$AA$162)&gt;=$Z135),$AC135,IF(AND($Y135&lt;&gt;"",EDATE($D135,Milestones!$AA$162)&gt;=$Y135),$AB135,$AA135)))=Milestones!$AB$162),UPPER(TEXT(EDATE($D135,Milestones!$AA$162),"dd mmm yy"))&amp;" "&amp;Milestones!$AB$162&amp;" "&amp;IF(AND(Milestones!$AB$162="FT",Milestones!$AA$162=FT_Y5,EDATE($D135,Milestones!$AA$162)&lt;PolicyEff),1,Milestones!$AC$162)&amp;";  ","")&amp;IF(AND(EDATE($D135,Milestones!$AA$163)&lt;=AsOfDate,EDATE($D135,Milestones!$AA$163)&gt;=SchemeStart,IF($X135=0,$AD135,IF(AND($Z135&lt;&gt;"",EDATE($D135,Milestones!$AA$163)&gt;=$Z135),$AC135,IF(AND($Y135&lt;&gt;"",EDATE($D135,Milestones!$AA$163)&gt;=$Y135),$AB135,$AA135)))=Milestones!$AB$163),UPPER(TEXT(EDATE($D135,Milestones!$AA$163),"dd mmm yy"))&amp;" "&amp;Milestones!$AB$163&amp;" "&amp;IF(AND(Milestones!$AB$163="FT",Milestones!$AA$163=FT_Y5,EDATE($D135,Milestones!$AA$163)&lt;PolicyEff),1,Milestones!$AC$163)&amp;";  ",""))</f>
        <v/>
      </c>
      <c r="U135" s="0" t="str">
        <f aca="false">IF(OR($A135="",$D135=""),"",IF(AND(EDATE($D135,Milestones!$AA$164)&lt;=AsOfDate,EDATE($D135,Milestones!$AA$164)&gt;=SchemeStart,IF($X135=0,$AD135,IF(AND($Z135&lt;&gt;"",EDATE($D135,Milestones!$AA$164)&gt;=$Z135),$AC135,IF(AND($Y135&lt;&gt;"",EDATE($D135,Milestones!$AA$164)&gt;=$Y135),$AB135,$AA135)))=Milestones!$AB$164),UPPER(TEXT(EDATE($D135,Milestones!$AA$164),"dd mmm yy"))&amp;" "&amp;Milestones!$AB$164&amp;" "&amp;IF(AND(Milestones!$AB$164="FT",Milestones!$AA$164=FT_Y5,EDATE($D135,Milestones!$AA$164)&lt;PolicyEff),1,Milestones!$AC$164)&amp;";  ","")&amp;IF(AND(EDATE($D135,Milestones!$AA$165)&lt;=AsOfDate,EDATE($D135,Milestones!$AA$165)&gt;=SchemeStart,IF($X135=0,$AD135,IF(AND($Z135&lt;&gt;"",EDATE($D135,Milestones!$AA$165)&gt;=$Z135),$AC135,IF(AND($Y135&lt;&gt;"",EDATE($D135,Milestones!$AA$165)&gt;=$Y135),$AB135,$AA135)))=Milestones!$AB$165),UPPER(TEXT(EDATE($D135,Milestones!$AA$165),"dd mmm yy"))&amp;" "&amp;Milestones!$AB$165&amp;" "&amp;IF(AND(Milestones!$AB$165="FT",Milestones!$AA$165=FT_Y5,EDATE($D135,Milestones!$AA$165)&lt;PolicyEff),1,Milestones!$AC$165)&amp;";  ","")&amp;IF(AND(EDATE($D135,Milestones!$AA$166)&lt;=AsOfDate,EDATE($D135,Milestones!$AA$166)&gt;=SchemeStart,IF($X135=0,$AD135,IF(AND($Z135&lt;&gt;"",EDATE($D135,Milestones!$AA$166)&gt;=$Z135),$AC135,IF(AND($Y135&lt;&gt;"",EDATE($D135,Milestones!$AA$166)&gt;=$Y135),$AB135,$AA135)))=Milestones!$AB$166),UPPER(TEXT(EDATE($D135,Milestones!$AA$166),"dd mmm yy"))&amp;" "&amp;Milestones!$AB$166&amp;" "&amp;IF(AND(Milestones!$AB$166="FT",Milestones!$AA$166=FT_Y5,EDATE($D135,Milestones!$AA$166)&lt;PolicyEff),1,Milestones!$AC$166)&amp;";  ","")&amp;IF(AND(EDATE($D135,Milestones!$AA$167)&lt;=AsOfDate,EDATE($D135,Milestones!$AA$167)&gt;=SchemeStart,IF($X135=0,$AD135,IF(AND($Z135&lt;&gt;"",EDATE($D135,Milestones!$AA$167)&gt;=$Z135),$AC135,IF(AND($Y135&lt;&gt;"",EDATE($D135,Milestones!$AA$167)&gt;=$Y135),$AB135,$AA135)))=Milestones!$AB$167),UPPER(TEXT(EDATE($D135,Milestones!$AA$167),"dd mmm yy"))&amp;" "&amp;Milestones!$AB$167&amp;" "&amp;IF(AND(Milestones!$AB$167="FT",Milestones!$AA$167=FT_Y5,EDATE($D135,Milestones!$AA$167)&lt;PolicyEff),1,Milestones!$AC$167)&amp;";  ","")&amp;IF(AND(EDATE($D135,Milestones!$AA$168)&lt;=AsOfDate,EDATE($D135,Milestones!$AA$168)&gt;=SchemeStart,IF($X135=0,$AD135,IF(AND($Z135&lt;&gt;"",EDATE($D135,Milestones!$AA$168)&gt;=$Z135),$AC135,IF(AND($Y135&lt;&gt;"",EDATE($D135,Milestones!$AA$168)&gt;=$Y135),$AB135,$AA135)))=Milestones!$AB$168),UPPER(TEXT(EDATE($D135,Milestones!$AA$168),"dd mmm yy"))&amp;" "&amp;Milestones!$AB$168&amp;" "&amp;IF(AND(Milestones!$AB$168="FT",Milestones!$AA$168=FT_Y5,EDATE($D135,Milestones!$AA$168)&lt;PolicyEff),1,Milestones!$AC$168)&amp;";  ","")&amp;IF(AND(EDATE($D135,Milestones!$AA$169)&lt;=AsOfDate,EDATE($D135,Milestones!$AA$169)&gt;=SchemeStart,IF($X135=0,$AD135,IF(AND($Z135&lt;&gt;"",EDATE($D135,Milestones!$AA$169)&gt;=$Z135),$AC135,IF(AND($Y135&lt;&gt;"",EDATE($D135,Milestones!$AA$169)&gt;=$Y135),$AB135,$AA135)))=Milestones!$AB$169),UPPER(TEXT(EDATE($D135,Milestones!$AA$169),"dd mmm yy"))&amp;" "&amp;Milestones!$AB$169&amp;" "&amp;IF(AND(Milestones!$AB$169="FT",Milestones!$AA$169=FT_Y5,EDATE($D135,Milestones!$AA$169)&lt;PolicyEff),1,Milestones!$AC$169)&amp;";  ","")&amp;IF(AND(EDATE($D135,Milestones!$AA$170)&lt;=AsOfDate,EDATE($D135,Milestones!$AA$170)&gt;=SchemeStart,IF($X135=0,$AD135,IF(AND($Z135&lt;&gt;"",EDATE($D135,Milestones!$AA$170)&gt;=$Z135),$AC135,IF(AND($Y135&lt;&gt;"",EDATE($D135,Milestones!$AA$170)&gt;=$Y135),$AB135,$AA135)))=Milestones!$AB$170),UPPER(TEXT(EDATE($D135,Milestones!$AA$170),"dd mmm yy"))&amp;" "&amp;Milestones!$AB$170&amp;" "&amp;IF(AND(Milestones!$AB$170="FT",Milestones!$AA$170=FT_Y5,EDATE($D135,Milestones!$AA$170)&lt;PolicyEff),1,Milestones!$AC$170)&amp;";  ","")&amp;IF(AND(EDATE($D135,Milestones!$AA$171)&lt;=AsOfDate,EDATE($D135,Milestones!$AA$171)&gt;=SchemeStart,IF($X135=0,$AD135,IF(AND($Z135&lt;&gt;"",EDATE($D135,Milestones!$AA$171)&gt;=$Z135),$AC135,IF(AND($Y135&lt;&gt;"",EDATE($D135,Milestones!$AA$171)&gt;=$Y135),$AB135,$AA135)))=Milestones!$AB$171),UPPER(TEXT(EDATE($D135,Milestones!$AA$171),"dd mmm yy"))&amp;" "&amp;Milestones!$AB$171&amp;" "&amp;IF(AND(Milestones!$AB$171="FT",Milestones!$AA$171=FT_Y5,EDATE($D135,Milestones!$AA$171)&lt;PolicyEff),1,Milestones!$AC$171)&amp;";  ","")&amp;IF(AND(EDATE($D135,Milestones!$AA$172)&lt;=AsOfDate,EDATE($D135,Milestones!$AA$172)&gt;=SchemeStart,IF($X135=0,$AD135,IF(AND($Z135&lt;&gt;"",EDATE($D135,Milestones!$AA$172)&gt;=$Z135),$AC135,IF(AND($Y135&lt;&gt;"",EDATE($D135,Milestones!$AA$172)&gt;=$Y135),$AB135,$AA135)))=Milestones!$AB$172),UPPER(TEXT(EDATE($D135,Milestones!$AA$172),"dd mmm yy"))&amp;" "&amp;Milestones!$AB$172&amp;" "&amp;IF(AND(Milestones!$AB$172="FT",Milestones!$AA$172=FT_Y5,EDATE($D135,Milestones!$AA$172)&lt;PolicyEff),1,Milestones!$AC$172)&amp;";  ","")&amp;IF(AND(EDATE($D135,Milestones!$AA$173)&lt;=AsOfDate,EDATE($D135,Milestones!$AA$173)&gt;=SchemeStart,IF($X135=0,$AD135,IF(AND($Z135&lt;&gt;"",EDATE($D135,Milestones!$AA$173)&gt;=$Z135),$AC135,IF(AND($Y135&lt;&gt;"",EDATE($D135,Milestones!$AA$173)&gt;=$Y135),$AB135,$AA135)))=Milestones!$AB$173),UPPER(TEXT(EDATE($D135,Milestones!$AA$173),"dd mmm yy"))&amp;" "&amp;Milestones!$AB$173&amp;" "&amp;IF(AND(Milestones!$AB$173="FT",Milestones!$AA$173=FT_Y5,EDATE($D135,Milestones!$AA$173)&lt;PolicyEff),1,Milestones!$AC$173)&amp;";  ","")&amp;IF(AND(EDATE($D135,Milestones!$AA$174)&lt;=AsOfDate,EDATE($D135,Milestones!$AA$174)&gt;=SchemeStart,IF($X135=0,$AD135,IF(AND($Z135&lt;&gt;"",EDATE($D135,Milestones!$AA$174)&gt;=$Z135),$AC135,IF(AND($Y135&lt;&gt;"",EDATE($D135,Milestones!$AA$174)&gt;=$Y135),$AB135,$AA135)))=Milestones!$AB$174),UPPER(TEXT(EDATE($D135,Milestones!$AA$174),"dd mmm yy"))&amp;" "&amp;Milestones!$AB$174&amp;" "&amp;IF(AND(Milestones!$AB$174="FT",Milestones!$AA$174=FT_Y5,EDATE($D135,Milestones!$AA$174)&lt;PolicyEff),1,Milestones!$AC$174)&amp;";  ","")&amp;IF(AND(EDATE($D135,Milestones!$AA$175)&lt;=AsOfDate,EDATE($D135,Milestones!$AA$175)&gt;=SchemeStart,IF($X135=0,$AD135,IF(AND($Z135&lt;&gt;"",EDATE($D135,Milestones!$AA$175)&gt;=$Z135),$AC135,IF(AND($Y135&lt;&gt;"",EDATE($D135,Milestones!$AA$175)&gt;=$Y135),$AB135,$AA135)))=Milestones!$AB$175),UPPER(TEXT(EDATE($D135,Milestones!$AA$175),"dd mmm yy"))&amp;" "&amp;Milestones!$AB$175&amp;" "&amp;IF(AND(Milestones!$AB$175="FT",Milestones!$AA$175=FT_Y5,EDATE($D135,Milestones!$AA$175)&lt;PolicyEff),1,Milestones!$AC$175)&amp;";  ",""))</f>
        <v/>
      </c>
      <c r="V135" s="0" t="str">
        <f aca="false">IF(OR($A135="",$D135=""),"",IF(AND(EDATE($D135,Milestones!$AA$176)&lt;=AsOfDate,EDATE($D135,Milestones!$AA$176)&gt;=SchemeStart,IF($X135=0,$AD135,IF(AND($Z135&lt;&gt;"",EDATE($D135,Milestones!$AA$176)&gt;=$Z135),$AC135,IF(AND($Y135&lt;&gt;"",EDATE($D135,Milestones!$AA$176)&gt;=$Y135),$AB135,$AA135)))=Milestones!$AB$176),UPPER(TEXT(EDATE($D135,Milestones!$AA$176),"dd mmm yy"))&amp;" "&amp;Milestones!$AB$176&amp;" "&amp;IF(AND(Milestones!$AB$176="FT",Milestones!$AA$176=FT_Y5,EDATE($D135,Milestones!$AA$176)&lt;PolicyEff),1,Milestones!$AC$176)&amp;";  ","")&amp;IF(AND(EDATE($D135,Milestones!$AA$177)&lt;=AsOfDate,EDATE($D135,Milestones!$AA$177)&gt;=SchemeStart,IF($X135=0,$AD135,IF(AND($Z135&lt;&gt;"",EDATE($D135,Milestones!$AA$177)&gt;=$Z135),$AC135,IF(AND($Y135&lt;&gt;"",EDATE($D135,Milestones!$AA$177)&gt;=$Y135),$AB135,$AA135)))=Milestones!$AB$177),UPPER(TEXT(EDATE($D135,Milestones!$AA$177),"dd mmm yy"))&amp;" "&amp;Milestones!$AB$177&amp;" "&amp;IF(AND(Milestones!$AB$177="FT",Milestones!$AA$177=FT_Y5,EDATE($D135,Milestones!$AA$177)&lt;PolicyEff),1,Milestones!$AC$177)&amp;";  ","")&amp;IF(AND(EDATE($D135,Milestones!$AA$178)&lt;=AsOfDate,EDATE($D135,Milestones!$AA$178)&gt;=SchemeStart,IF($X135=0,$AD135,IF(AND($Z135&lt;&gt;"",EDATE($D135,Milestones!$AA$178)&gt;=$Z135),$AC135,IF(AND($Y135&lt;&gt;"",EDATE($D135,Milestones!$AA$178)&gt;=$Y135),$AB135,$AA135)))=Milestones!$AB$178),UPPER(TEXT(EDATE($D135,Milestones!$AA$178),"dd mmm yy"))&amp;" "&amp;Milestones!$AB$178&amp;" "&amp;IF(AND(Milestones!$AB$178="FT",Milestones!$AA$178=FT_Y5,EDATE($D135,Milestones!$AA$178)&lt;PolicyEff),1,Milestones!$AC$178)&amp;";  ","")&amp;IF(AND(EDATE($D135,Milestones!$AA$179)&lt;=AsOfDate,EDATE($D135,Milestones!$AA$179)&gt;=SchemeStart,IF($X135=0,$AD135,IF(AND($Z135&lt;&gt;"",EDATE($D135,Milestones!$AA$179)&gt;=$Z135),$AC135,IF(AND($Y135&lt;&gt;"",EDATE($D135,Milestones!$AA$179)&gt;=$Y135),$AB135,$AA135)))=Milestones!$AB$179),UPPER(TEXT(EDATE($D135,Milestones!$AA$179),"dd mmm yy"))&amp;" "&amp;Milestones!$AB$179&amp;" "&amp;IF(AND(Milestones!$AB$179="FT",Milestones!$AA$179=FT_Y5,EDATE($D135,Milestones!$AA$179)&lt;PolicyEff),1,Milestones!$AC$179)&amp;";  ","")&amp;IF(AND(EDATE($D135,Milestones!$AA$180)&lt;=AsOfDate,EDATE($D135,Milestones!$AA$180)&gt;=SchemeStart,IF($X135=0,$AD135,IF(AND($Z135&lt;&gt;"",EDATE($D135,Milestones!$AA$180)&gt;=$Z135),$AC135,IF(AND($Y135&lt;&gt;"",EDATE($D135,Milestones!$AA$180)&gt;=$Y135),$AB135,$AA135)))=Milestones!$AB$180),UPPER(TEXT(EDATE($D135,Milestones!$AA$180),"dd mmm yy"))&amp;" "&amp;Milestones!$AB$180&amp;" "&amp;IF(AND(Milestones!$AB$180="FT",Milestones!$AA$180=FT_Y5,EDATE($D135,Milestones!$AA$180)&lt;PolicyEff),1,Milestones!$AC$180)&amp;";  ","")&amp;IF(AND(EDATE($D135,Milestones!$AA$181)&lt;=AsOfDate,EDATE($D135,Milestones!$AA$181)&gt;=SchemeStart,IF($X135=0,$AD135,IF(AND($Z135&lt;&gt;"",EDATE($D135,Milestones!$AA$181)&gt;=$Z135),$AC135,IF(AND($Y135&lt;&gt;"",EDATE($D135,Milestones!$AA$181)&gt;=$Y135),$AB135,$AA135)))=Milestones!$AB$181),UPPER(TEXT(EDATE($D135,Milestones!$AA$181),"dd mmm yy"))&amp;" "&amp;Milestones!$AB$181&amp;" "&amp;IF(AND(Milestones!$AB$181="FT",Milestones!$AA$181=FT_Y5,EDATE($D135,Milestones!$AA$181)&lt;PolicyEff),1,Milestones!$AC$181)&amp;";  ","")&amp;IF(AND(EDATE($D135,Milestones!$AA$182)&lt;=AsOfDate,EDATE($D135,Milestones!$AA$182)&gt;=SchemeStart,IF($X135=0,$AD135,IF(AND($Z135&lt;&gt;"",EDATE($D135,Milestones!$AA$182)&gt;=$Z135),$AC135,IF(AND($Y135&lt;&gt;"",EDATE($D135,Milestones!$AA$182)&gt;=$Y135),$AB135,$AA135)))=Milestones!$AB$182),UPPER(TEXT(EDATE($D135,Milestones!$AA$182),"dd mmm yy"))&amp;" "&amp;Milestones!$AB$182&amp;" "&amp;IF(AND(Milestones!$AB$182="FT",Milestones!$AA$182=FT_Y5,EDATE($D135,Milestones!$AA$182)&lt;PolicyEff),1,Milestones!$AC$182)&amp;";  ","")&amp;IF(AND(EDATE($D135,Milestones!$AA$183)&lt;=AsOfDate,EDATE($D135,Milestones!$AA$183)&gt;=SchemeStart,IF($X135=0,$AD135,IF(AND($Z135&lt;&gt;"",EDATE($D135,Milestones!$AA$183)&gt;=$Z135),$AC135,IF(AND($Y135&lt;&gt;"",EDATE($D135,Milestones!$AA$183)&gt;=$Y135),$AB135,$AA135)))=Milestones!$AB$183),UPPER(TEXT(EDATE($D135,Milestones!$AA$183),"dd mmm yy"))&amp;" "&amp;Milestones!$AB$183&amp;" "&amp;IF(AND(Milestones!$AB$183="FT",Milestones!$AA$183=FT_Y5,EDATE($D135,Milestones!$AA$183)&lt;PolicyEff),1,Milestones!$AC$183)&amp;";  ","")&amp;IF(AND(EDATE($D135,Milestones!$AA$184)&lt;=AsOfDate,EDATE($D135,Milestones!$AA$184)&gt;=SchemeStart,IF($X135=0,$AD135,IF(AND($Z135&lt;&gt;"",EDATE($D135,Milestones!$AA$184)&gt;=$Z135),$AC135,IF(AND($Y135&lt;&gt;"",EDATE($D135,Milestones!$AA$184)&gt;=$Y135),$AB135,$AA135)))=Milestones!$AB$184),UPPER(TEXT(EDATE($D135,Milestones!$AA$184),"dd mmm yy"))&amp;" "&amp;Milestones!$AB$184&amp;" "&amp;IF(AND(Milestones!$AB$184="FT",Milestones!$AA$184=FT_Y5,EDATE($D135,Milestones!$AA$184)&lt;PolicyEff),1,Milestones!$AC$184)&amp;";  ","")&amp;IF(AND(EDATE($D135,Milestones!$AA$185)&lt;=AsOfDate,EDATE($D135,Milestones!$AA$185)&gt;=SchemeStart,IF($X135=0,$AD135,IF(AND($Z135&lt;&gt;"",EDATE($D135,Milestones!$AA$185)&gt;=$Z135),$AC135,IF(AND($Y135&lt;&gt;"",EDATE($D135,Milestones!$AA$185)&gt;=$Y135),$AB135,$AA135)))=Milestones!$AB$185),UPPER(TEXT(EDATE($D135,Milestones!$AA$185),"dd mmm yy"))&amp;" "&amp;Milestones!$AB$185&amp;" "&amp;IF(AND(Milestones!$AB$185="FT",Milestones!$AA$185=FT_Y5,EDATE($D135,Milestones!$AA$185)&lt;PolicyEff),1,Milestones!$AC$185)&amp;";  ","")&amp;IF(AND(EDATE($D135,Milestones!$AA$186)&lt;=AsOfDate,EDATE($D135,Milestones!$AA$186)&gt;=SchemeStart,IF($X135=0,$AD135,IF(AND($Z135&lt;&gt;"",EDATE($D135,Milestones!$AA$186)&gt;=$Z135),$AC135,IF(AND($Y135&lt;&gt;"",EDATE($D135,Milestones!$AA$186)&gt;=$Y135),$AB135,$AA135)))=Milestones!$AB$186),UPPER(TEXT(EDATE($D135,Milestones!$AA$186),"dd mmm yy"))&amp;" "&amp;Milestones!$AB$186&amp;" "&amp;IF(AND(Milestones!$AB$186="FT",Milestones!$AA$186=FT_Y5,EDATE($D135,Milestones!$AA$186)&lt;PolicyEff),1,Milestones!$AC$186)&amp;";  ","")&amp;IF(AND(EDATE($D135,Milestones!$AA$187)&lt;=AsOfDate,EDATE($D135,Milestones!$AA$187)&gt;=SchemeStart,IF($X135=0,$AD135,IF(AND($Z135&lt;&gt;"",EDATE($D135,Milestones!$AA$187)&gt;=$Z135),$AC135,IF(AND($Y135&lt;&gt;"",EDATE($D135,Milestones!$AA$187)&gt;=$Y135),$AB135,$AA135)))=Milestones!$AB$187),UPPER(TEXT(EDATE($D135,Milestones!$AA$187),"dd mmm yy"))&amp;" "&amp;Milestones!$AB$187&amp;" "&amp;IF(AND(Milestones!$AB$187="FT",Milestones!$AA$187=FT_Y5,EDATE($D135,Milestones!$AA$187)&lt;PolicyEff),1,Milestones!$AC$187)&amp;";  ",""))</f>
        <v/>
      </c>
      <c r="W135" s="0" t="str">
        <f aca="false">IF(OR($A135="",$D135=""),"",IF(AND(EDATE($D135,Milestones!$AA$188)&lt;=AsOfDate,EDATE($D135,Milestones!$AA$188)&gt;=SchemeStart,IF($X135=0,$AD135,IF(AND($Z135&lt;&gt;"",EDATE($D135,Milestones!$AA$188)&gt;=$Z135),$AC135,IF(AND($Y135&lt;&gt;"",EDATE($D135,Milestones!$AA$188)&gt;=$Y135),$AB135,$AA135)))=Milestones!$AB$188),UPPER(TEXT(EDATE($D135,Milestones!$AA$188),"dd mmm yy"))&amp;" "&amp;Milestones!$AB$188&amp;" "&amp;IF(AND(Milestones!$AB$188="FT",Milestones!$AA$188=FT_Y5,EDATE($D135,Milestones!$AA$188)&lt;PolicyEff),1,Milestones!$AC$188)&amp;";  ","")&amp;IF(AND(EDATE($D135,Milestones!$AA$189)&lt;=AsOfDate,EDATE($D135,Milestones!$AA$189)&gt;=SchemeStart,IF($X135=0,$AD135,IF(AND($Z135&lt;&gt;"",EDATE($D135,Milestones!$AA$189)&gt;=$Z135),$AC135,IF(AND($Y135&lt;&gt;"",EDATE($D135,Milestones!$AA$189)&gt;=$Y135),$AB135,$AA135)))=Milestones!$AB$189),UPPER(TEXT(EDATE($D135,Milestones!$AA$189),"dd mmm yy"))&amp;" "&amp;Milestones!$AB$189&amp;" "&amp;IF(AND(Milestones!$AB$189="FT",Milestones!$AA$189=FT_Y5,EDATE($D135,Milestones!$AA$189)&lt;PolicyEff),1,Milestones!$AC$189)&amp;";  ","")&amp;IF(AND(EDATE($D135,Milestones!$AA$190)&lt;=AsOfDate,EDATE($D135,Milestones!$AA$190)&gt;=SchemeStart,IF($X135=0,$AD135,IF(AND($Z135&lt;&gt;"",EDATE($D135,Milestones!$AA$190)&gt;=$Z135),$AC135,IF(AND($Y135&lt;&gt;"",EDATE($D135,Milestones!$AA$190)&gt;=$Y135),$AB135,$AA135)))=Milestones!$AB$190),UPPER(TEXT(EDATE($D135,Milestones!$AA$190),"dd mmm yy"))&amp;" "&amp;Milestones!$AB$190&amp;" "&amp;IF(AND(Milestones!$AB$190="FT",Milestones!$AA$190=FT_Y5,EDATE($D135,Milestones!$AA$190)&lt;PolicyEff),1,Milestones!$AC$190)&amp;";  ","")&amp;IF(AND(EDATE($D135,Milestones!$AA$191)&lt;=AsOfDate,EDATE($D135,Milestones!$AA$191)&gt;=SchemeStart,IF($X135=0,$AD135,IF(AND($Z135&lt;&gt;"",EDATE($D135,Milestones!$AA$191)&gt;=$Z135),$AC135,IF(AND($Y135&lt;&gt;"",EDATE($D135,Milestones!$AA$191)&gt;=$Y135),$AB135,$AA135)))=Milestones!$AB$191),UPPER(TEXT(EDATE($D135,Milestones!$AA$191),"dd mmm yy"))&amp;" "&amp;Milestones!$AB$191&amp;" "&amp;IF(AND(Milestones!$AB$191="FT",Milestones!$AA$191=FT_Y5,EDATE($D135,Milestones!$AA$191)&lt;PolicyEff),1,Milestones!$AC$191)&amp;";  ","")&amp;IF(AND(EDATE($D135,Milestones!$AA$192)&lt;=AsOfDate,EDATE($D135,Milestones!$AA$192)&gt;=SchemeStart,IF($X135=0,$AD135,IF(AND($Z135&lt;&gt;"",EDATE($D135,Milestones!$AA$192)&gt;=$Z135),$AC135,IF(AND($Y135&lt;&gt;"",EDATE($D135,Milestones!$AA$192)&gt;=$Y135),$AB135,$AA135)))=Milestones!$AB$192),UPPER(TEXT(EDATE($D135,Milestones!$AA$192),"dd mmm yy"))&amp;" "&amp;Milestones!$AB$192&amp;" "&amp;IF(AND(Milestones!$AB$192="FT",Milestones!$AA$192=FT_Y5,EDATE($D135,Milestones!$AA$192)&lt;PolicyEff),1,Milestones!$AC$192)&amp;";  ","")&amp;IF(AND(EDATE($D135,Milestones!$AA$193)&lt;=AsOfDate,EDATE($D135,Milestones!$AA$193)&gt;=SchemeStart,IF($X135=0,$AD135,IF(AND($Z135&lt;&gt;"",EDATE($D135,Milestones!$AA$193)&gt;=$Z135),$AC135,IF(AND($Y135&lt;&gt;"",EDATE($D135,Milestones!$AA$193)&gt;=$Y135),$AB135,$AA135)))=Milestones!$AB$193),UPPER(TEXT(EDATE($D135,Milestones!$AA$193),"dd mmm yy"))&amp;" "&amp;Milestones!$AB$193&amp;" "&amp;IF(AND(Milestones!$AB$193="FT",Milestones!$AA$193=FT_Y5,EDATE($D135,Milestones!$AA$193)&lt;PolicyEff),1,Milestones!$AC$193)&amp;";  ","")&amp;IF(AND(EDATE($D135,Milestones!$AA$194)&lt;=AsOfDate,EDATE($D135,Milestones!$AA$194)&gt;=SchemeStart,IF($X135=0,$AD135,IF(AND($Z135&lt;&gt;"",EDATE($D135,Milestones!$AA$194)&gt;=$Z135),$AC135,IF(AND($Y135&lt;&gt;"",EDATE($D135,Milestones!$AA$194)&gt;=$Y135),$AB135,$AA135)))=Milestones!$AB$194),UPPER(TEXT(EDATE($D135,Milestones!$AA$194),"dd mmm yy"))&amp;" "&amp;Milestones!$AB$194&amp;" "&amp;IF(AND(Milestones!$AB$194="FT",Milestones!$AA$194=FT_Y5,EDATE($D135,Milestones!$AA$194)&lt;PolicyEff),1,Milestones!$AC$194)&amp;";  ","")&amp;IF(AND(EDATE($D135,Milestones!$AA$195)&lt;=AsOfDate,EDATE($D135,Milestones!$AA$195)&gt;=SchemeStart,IF($X135=0,$AD135,IF(AND($Z135&lt;&gt;"",EDATE($D135,Milestones!$AA$195)&gt;=$Z135),$AC135,IF(AND($Y135&lt;&gt;"",EDATE($D135,Milestones!$AA$195)&gt;=$Y135),$AB135,$AA135)))=Milestones!$AB$195),UPPER(TEXT(EDATE($D135,Milestones!$AA$195),"dd mmm yy"))&amp;" "&amp;Milestones!$AB$195&amp;" "&amp;IF(AND(Milestones!$AB$195="FT",Milestones!$AA$195=FT_Y5,EDATE($D135,Milestones!$AA$195)&lt;PolicyEff),1,Milestones!$AC$195)&amp;";  ","")&amp;IF(AND(EDATE($D135,Milestones!$AA$196)&lt;=AsOfDate,EDATE($D135,Milestones!$AA$196)&gt;=SchemeStart,IF($X135=0,$AD135,IF(AND($Z135&lt;&gt;"",EDATE($D135,Milestones!$AA$196)&gt;=$Z135),$AC135,IF(AND($Y135&lt;&gt;"",EDATE($D135,Milestones!$AA$196)&gt;=$Y135),$AB135,$AA135)))=Milestones!$AB$196),UPPER(TEXT(EDATE($D135,Milestones!$AA$196),"dd mmm yy"))&amp;" "&amp;Milestones!$AB$196&amp;" "&amp;IF(AND(Milestones!$AB$196="FT",Milestones!$AA$196=FT_Y5,EDATE($D135,Milestones!$AA$196)&lt;PolicyEff),1,Milestones!$AC$196)&amp;";  ","")&amp;IF(AND(EDATE($D135,Milestones!$AA$197)&lt;=AsOfDate,EDATE($D135,Milestones!$AA$197)&gt;=SchemeStart,IF($X135=0,$AD135,IF(AND($Z135&lt;&gt;"",EDATE($D135,Milestones!$AA$197)&gt;=$Z135),$AC135,IF(AND($Y135&lt;&gt;"",EDATE($D135,Milestones!$AA$197)&gt;=$Y135),$AB135,$AA135)))=Milestones!$AB$197),UPPER(TEXT(EDATE($D135,Milestones!$AA$197),"dd mmm yy"))&amp;" "&amp;Milestones!$AB$197&amp;" "&amp;IF(AND(Milestones!$AB$197="FT",Milestones!$AA$197=FT_Y5,EDATE($D135,Milestones!$AA$197)&lt;PolicyEff),1,Milestones!$AC$197)&amp;";  ","")&amp;IF(AND(EDATE($D135,Milestones!$AA$198)&lt;=AsOfDate,EDATE($D135,Milestones!$AA$198)&gt;=SchemeStart,IF($X135=0,$AD135,IF(AND($Z135&lt;&gt;"",EDATE($D135,Milestones!$AA$198)&gt;=$Z135),$AC135,IF(AND($Y135&lt;&gt;"",EDATE($D135,Milestones!$AA$198)&gt;=$Y135),$AB135,$AA135)))=Milestones!$AB$198),UPPER(TEXT(EDATE($D135,Milestones!$AA$198),"dd mmm yy"))&amp;" "&amp;Milestones!$AB$198&amp;" "&amp;IF(AND(Milestones!$AB$198="FT",Milestones!$AA$198=FT_Y5,EDATE($D135,Milestones!$AA$198)&lt;PolicyEff),1,Milestones!$AC$198)&amp;";  ","")&amp;IF(AND(EDATE($D135,Milestones!$AA$199)&lt;=AsOfDate,EDATE($D135,Milestones!$AA$199)&gt;=SchemeStart,IF($X135=0,$AD135,IF(AND($Z135&lt;&gt;"",EDATE($D135,Milestones!$AA$199)&gt;=$Z135),$AC135,IF(AND($Y135&lt;&gt;"",EDATE($D135,Milestones!$AA$199)&gt;=$Y135),$AB135,$AA135)))=Milestones!$AB$199),UPPER(TEXT(EDATE($D135,Milestones!$AA$199),"dd mmm yy"))&amp;" "&amp;Milestones!$AB$199&amp;" "&amp;IF(AND(Milestones!$AB$199="FT",Milestones!$AA$199=FT_Y5,EDATE($D135,Milestones!$AA$199)&lt;PolicyEff),1,Milestones!$AC$199)&amp;";  ",""))</f>
        <v/>
      </c>
      <c r="X135" s="0" t="str">
        <f aca="false">IF(Staff!$A135="","",Staff!$AM135)</f>
        <v/>
      </c>
      <c r="Y135" s="0" t="str">
        <f aca="false">IF(Staff!$A135="","",Staff!$AO135)</f>
        <v/>
      </c>
      <c r="Z135" s="0" t="str">
        <f aca="false">IF(Staff!$A135="","",Staff!$AP135)</f>
        <v/>
      </c>
      <c r="AA135" s="0" t="str">
        <f aca="false">IF(Staff!$A135="","",Staff!$AT135)</f>
        <v/>
      </c>
      <c r="AB135" s="0" t="str">
        <f aca="false">IF(Staff!$A135="","",Staff!$AU135)</f>
        <v/>
      </c>
      <c r="AC135" s="0" t="str">
        <f aca="false">IF(Staff!$A135="","",Staff!$AV135)</f>
        <v/>
      </c>
      <c r="AD135" s="0" t="str">
        <f aca="false">IF(Staff!$A135="","",Staff!$AW135)</f>
        <v/>
      </c>
    </row>
    <row r="136" customFormat="false" ht="15" hidden="false" customHeight="false" outlineLevel="0" collapsed="false">
      <c r="A136" s="16" t="str">
        <f aca="false">IF(Staff!$A136="","",Staff!$A136)</f>
        <v/>
      </c>
      <c r="B136" s="16" t="str">
        <f aca="false">IF(Staff!$A136="","",Staff!$B136)</f>
        <v/>
      </c>
      <c r="C136" s="16" t="str">
        <f aca="false">IF(Staff!$A136="","",Staff!$C136)</f>
        <v/>
      </c>
      <c r="D136" s="14" t="str">
        <f aca="false">IF(Staff!$A136="","",Staff!$AL136)</f>
        <v/>
      </c>
      <c r="E136" s="16" t="str">
        <f aca="false">IF(Staff!$A136="","",Staff!$O136)</f>
        <v/>
      </c>
      <c r="F136" s="16" t="str">
        <f aca="false">IF(E136="","",E136*HoursPerDay)</f>
        <v/>
      </c>
      <c r="G136" s="16" t="str">
        <f aca="false">IF(Staff!$A136="","",Staff!$AE136)</f>
        <v/>
      </c>
      <c r="H136" s="28" t="str">
        <f aca="false">IF($A136="","",I136&amp;J136&amp;K136&amp;L136&amp;M136&amp;N136&amp;O136&amp;P136&amp;Q136&amp;R136&amp;S136&amp;T136&amp;U136&amp;V136&amp;W136)</f>
        <v/>
      </c>
      <c r="I136" s="0" t="str">
        <f aca="false">IF(OR($A136="",$D136=""),"",IF(AND(EDATE($D136,Milestones!$AA$20)&lt;=AsOfDate,EDATE($D136,Milestones!$AA$20)&gt;=SchemeStart,IF($X136=0,$AD136,IF(AND($Z136&lt;&gt;"",EDATE($D136,Milestones!$AA$20)&gt;=$Z136),$AC136,IF(AND($Y136&lt;&gt;"",EDATE($D136,Milestones!$AA$20)&gt;=$Y136),$AB136,$AA136)))=Milestones!$AB$20),UPPER(TEXT(EDATE($D136,Milestones!$AA$20),"dd mmm yy"))&amp;" "&amp;Milestones!$AB$20&amp;" "&amp;IF(AND(Milestones!$AB$20="FT",Milestones!$AA$20=FT_Y5,EDATE($D136,Milestones!$AA$20)&lt;PolicyEff),1,Milestones!$AC$20)&amp;";  ","")&amp;IF(AND(EDATE($D136,Milestones!$AA$21)&lt;=AsOfDate,EDATE($D136,Milestones!$AA$21)&gt;=SchemeStart,IF($X136=0,$AD136,IF(AND($Z136&lt;&gt;"",EDATE($D136,Milestones!$AA$21)&gt;=$Z136),$AC136,IF(AND($Y136&lt;&gt;"",EDATE($D136,Milestones!$AA$21)&gt;=$Y136),$AB136,$AA136)))=Milestones!$AB$21),UPPER(TEXT(EDATE($D136,Milestones!$AA$21),"dd mmm yy"))&amp;" "&amp;Milestones!$AB$21&amp;" "&amp;IF(AND(Milestones!$AB$21="FT",Milestones!$AA$21=FT_Y5,EDATE($D136,Milestones!$AA$21)&lt;PolicyEff),1,Milestones!$AC$21)&amp;";  ","")&amp;IF(AND(EDATE($D136,Milestones!$AA$22)&lt;=AsOfDate,EDATE($D136,Milestones!$AA$22)&gt;=SchemeStart,IF($X136=0,$AD136,IF(AND($Z136&lt;&gt;"",EDATE($D136,Milestones!$AA$22)&gt;=$Z136),$AC136,IF(AND($Y136&lt;&gt;"",EDATE($D136,Milestones!$AA$22)&gt;=$Y136),$AB136,$AA136)))=Milestones!$AB$22),UPPER(TEXT(EDATE($D136,Milestones!$AA$22),"dd mmm yy"))&amp;" "&amp;Milestones!$AB$22&amp;" "&amp;IF(AND(Milestones!$AB$22="FT",Milestones!$AA$22=FT_Y5,EDATE($D136,Milestones!$AA$22)&lt;PolicyEff),1,Milestones!$AC$22)&amp;";  ","")&amp;IF(AND(EDATE($D136,Milestones!$AA$23)&lt;=AsOfDate,EDATE($D136,Milestones!$AA$23)&gt;=SchemeStart,IF($X136=0,$AD136,IF(AND($Z136&lt;&gt;"",EDATE($D136,Milestones!$AA$23)&gt;=$Z136),$AC136,IF(AND($Y136&lt;&gt;"",EDATE($D136,Milestones!$AA$23)&gt;=$Y136),$AB136,$AA136)))=Milestones!$AB$23),UPPER(TEXT(EDATE($D136,Milestones!$AA$23),"dd mmm yy"))&amp;" "&amp;Milestones!$AB$23&amp;" "&amp;IF(AND(Milestones!$AB$23="FT",Milestones!$AA$23=FT_Y5,EDATE($D136,Milestones!$AA$23)&lt;PolicyEff),1,Milestones!$AC$23)&amp;";  ","")&amp;IF(AND(EDATE($D136,Milestones!$AA$24)&lt;=AsOfDate,EDATE($D136,Milestones!$AA$24)&gt;=SchemeStart,IF($X136=0,$AD136,IF(AND($Z136&lt;&gt;"",EDATE($D136,Milestones!$AA$24)&gt;=$Z136),$AC136,IF(AND($Y136&lt;&gt;"",EDATE($D136,Milestones!$AA$24)&gt;=$Y136),$AB136,$AA136)))=Milestones!$AB$24),UPPER(TEXT(EDATE($D136,Milestones!$AA$24),"dd mmm yy"))&amp;" "&amp;Milestones!$AB$24&amp;" "&amp;IF(AND(Milestones!$AB$24="FT",Milestones!$AA$24=FT_Y5,EDATE($D136,Milestones!$AA$24)&lt;PolicyEff),1,Milestones!$AC$24)&amp;";  ","")&amp;IF(AND(EDATE($D136,Milestones!$AA$25)&lt;=AsOfDate,EDATE($D136,Milestones!$AA$25)&gt;=SchemeStart,IF($X136=0,$AD136,IF(AND($Z136&lt;&gt;"",EDATE($D136,Milestones!$AA$25)&gt;=$Z136),$AC136,IF(AND($Y136&lt;&gt;"",EDATE($D136,Milestones!$AA$25)&gt;=$Y136),$AB136,$AA136)))=Milestones!$AB$25),UPPER(TEXT(EDATE($D136,Milestones!$AA$25),"dd mmm yy"))&amp;" "&amp;Milestones!$AB$25&amp;" "&amp;IF(AND(Milestones!$AB$25="FT",Milestones!$AA$25=FT_Y5,EDATE($D136,Milestones!$AA$25)&lt;PolicyEff),1,Milestones!$AC$25)&amp;";  ","")&amp;IF(AND(EDATE($D136,Milestones!$AA$26)&lt;=AsOfDate,EDATE($D136,Milestones!$AA$26)&gt;=SchemeStart,IF($X136=0,$AD136,IF(AND($Z136&lt;&gt;"",EDATE($D136,Milestones!$AA$26)&gt;=$Z136),$AC136,IF(AND($Y136&lt;&gt;"",EDATE($D136,Milestones!$AA$26)&gt;=$Y136),$AB136,$AA136)))=Milestones!$AB$26),UPPER(TEXT(EDATE($D136,Milestones!$AA$26),"dd mmm yy"))&amp;" "&amp;Milestones!$AB$26&amp;" "&amp;IF(AND(Milestones!$AB$26="FT",Milestones!$AA$26=FT_Y5,EDATE($D136,Milestones!$AA$26)&lt;PolicyEff),1,Milestones!$AC$26)&amp;";  ","")&amp;IF(AND(EDATE($D136,Milestones!$AA$27)&lt;=AsOfDate,EDATE($D136,Milestones!$AA$27)&gt;=SchemeStart,IF($X136=0,$AD136,IF(AND($Z136&lt;&gt;"",EDATE($D136,Milestones!$AA$27)&gt;=$Z136),$AC136,IF(AND($Y136&lt;&gt;"",EDATE($D136,Milestones!$AA$27)&gt;=$Y136),$AB136,$AA136)))=Milestones!$AB$27),UPPER(TEXT(EDATE($D136,Milestones!$AA$27),"dd mmm yy"))&amp;" "&amp;Milestones!$AB$27&amp;" "&amp;IF(AND(Milestones!$AB$27="FT",Milestones!$AA$27=FT_Y5,EDATE($D136,Milestones!$AA$27)&lt;PolicyEff),1,Milestones!$AC$27)&amp;";  ","")&amp;IF(AND(EDATE($D136,Milestones!$AA$28)&lt;=AsOfDate,EDATE($D136,Milestones!$AA$28)&gt;=SchemeStart,IF($X136=0,$AD136,IF(AND($Z136&lt;&gt;"",EDATE($D136,Milestones!$AA$28)&gt;=$Z136),$AC136,IF(AND($Y136&lt;&gt;"",EDATE($D136,Milestones!$AA$28)&gt;=$Y136),$AB136,$AA136)))=Milestones!$AB$28),UPPER(TEXT(EDATE($D136,Milestones!$AA$28),"dd mmm yy"))&amp;" "&amp;Milestones!$AB$28&amp;" "&amp;IF(AND(Milestones!$AB$28="FT",Milestones!$AA$28=FT_Y5,EDATE($D136,Milestones!$AA$28)&lt;PolicyEff),1,Milestones!$AC$28)&amp;";  ","")&amp;IF(AND(EDATE($D136,Milestones!$AA$29)&lt;=AsOfDate,EDATE($D136,Milestones!$AA$29)&gt;=SchemeStart,IF($X136=0,$AD136,IF(AND($Z136&lt;&gt;"",EDATE($D136,Milestones!$AA$29)&gt;=$Z136),$AC136,IF(AND($Y136&lt;&gt;"",EDATE($D136,Milestones!$AA$29)&gt;=$Y136),$AB136,$AA136)))=Milestones!$AB$29),UPPER(TEXT(EDATE($D136,Milestones!$AA$29),"dd mmm yy"))&amp;" "&amp;Milestones!$AB$29&amp;" "&amp;IF(AND(Milestones!$AB$29="FT",Milestones!$AA$29=FT_Y5,EDATE($D136,Milestones!$AA$29)&lt;PolicyEff),1,Milestones!$AC$29)&amp;";  ","")&amp;IF(AND(EDATE($D136,Milestones!$AA$30)&lt;=AsOfDate,EDATE($D136,Milestones!$AA$30)&gt;=SchemeStart,IF($X136=0,$AD136,IF(AND($Z136&lt;&gt;"",EDATE($D136,Milestones!$AA$30)&gt;=$Z136),$AC136,IF(AND($Y136&lt;&gt;"",EDATE($D136,Milestones!$AA$30)&gt;=$Y136),$AB136,$AA136)))=Milestones!$AB$30),UPPER(TEXT(EDATE($D136,Milestones!$AA$30),"dd mmm yy"))&amp;" "&amp;Milestones!$AB$30&amp;" "&amp;IF(AND(Milestones!$AB$30="FT",Milestones!$AA$30=FT_Y5,EDATE($D136,Milestones!$AA$30)&lt;PolicyEff),1,Milestones!$AC$30)&amp;";  ","")&amp;IF(AND(EDATE($D136,Milestones!$AA$31)&lt;=AsOfDate,EDATE($D136,Milestones!$AA$31)&gt;=SchemeStart,IF($X136=0,$AD136,IF(AND($Z136&lt;&gt;"",EDATE($D136,Milestones!$AA$31)&gt;=$Z136),$AC136,IF(AND($Y136&lt;&gt;"",EDATE($D136,Milestones!$AA$31)&gt;=$Y136),$AB136,$AA136)))=Milestones!$AB$31),UPPER(TEXT(EDATE($D136,Milestones!$AA$31),"dd mmm yy"))&amp;" "&amp;Milestones!$AB$31&amp;" "&amp;IF(AND(Milestones!$AB$31="FT",Milestones!$AA$31=FT_Y5,EDATE($D136,Milestones!$AA$31)&lt;PolicyEff),1,Milestones!$AC$31)&amp;";  ",""))</f>
        <v/>
      </c>
      <c r="J136" s="0" t="str">
        <f aca="false">IF(OR($A136="",$D136=""),"",IF(AND(EDATE($D136,Milestones!$AA$32)&lt;=AsOfDate,EDATE($D136,Milestones!$AA$32)&gt;=SchemeStart,IF($X136=0,$AD136,IF(AND($Z136&lt;&gt;"",EDATE($D136,Milestones!$AA$32)&gt;=$Z136),$AC136,IF(AND($Y136&lt;&gt;"",EDATE($D136,Milestones!$AA$32)&gt;=$Y136),$AB136,$AA136)))=Milestones!$AB$32),UPPER(TEXT(EDATE($D136,Milestones!$AA$32),"dd mmm yy"))&amp;" "&amp;Milestones!$AB$32&amp;" "&amp;IF(AND(Milestones!$AB$32="FT",Milestones!$AA$32=FT_Y5,EDATE($D136,Milestones!$AA$32)&lt;PolicyEff),1,Milestones!$AC$32)&amp;";  ","")&amp;IF(AND(EDATE($D136,Milestones!$AA$33)&lt;=AsOfDate,EDATE($D136,Milestones!$AA$33)&gt;=SchemeStart,IF($X136=0,$AD136,IF(AND($Z136&lt;&gt;"",EDATE($D136,Milestones!$AA$33)&gt;=$Z136),$AC136,IF(AND($Y136&lt;&gt;"",EDATE($D136,Milestones!$AA$33)&gt;=$Y136),$AB136,$AA136)))=Milestones!$AB$33),UPPER(TEXT(EDATE($D136,Milestones!$AA$33),"dd mmm yy"))&amp;" "&amp;Milestones!$AB$33&amp;" "&amp;IF(AND(Milestones!$AB$33="FT",Milestones!$AA$33=FT_Y5,EDATE($D136,Milestones!$AA$33)&lt;PolicyEff),1,Milestones!$AC$33)&amp;";  ","")&amp;IF(AND(EDATE($D136,Milestones!$AA$34)&lt;=AsOfDate,EDATE($D136,Milestones!$AA$34)&gt;=SchemeStart,IF($X136=0,$AD136,IF(AND($Z136&lt;&gt;"",EDATE($D136,Milestones!$AA$34)&gt;=$Z136),$AC136,IF(AND($Y136&lt;&gt;"",EDATE($D136,Milestones!$AA$34)&gt;=$Y136),$AB136,$AA136)))=Milestones!$AB$34),UPPER(TEXT(EDATE($D136,Milestones!$AA$34),"dd mmm yy"))&amp;" "&amp;Milestones!$AB$34&amp;" "&amp;IF(AND(Milestones!$AB$34="FT",Milestones!$AA$34=FT_Y5,EDATE($D136,Milestones!$AA$34)&lt;PolicyEff),1,Milestones!$AC$34)&amp;";  ","")&amp;IF(AND(EDATE($D136,Milestones!$AA$35)&lt;=AsOfDate,EDATE($D136,Milestones!$AA$35)&gt;=SchemeStart,IF($X136=0,$AD136,IF(AND($Z136&lt;&gt;"",EDATE($D136,Milestones!$AA$35)&gt;=$Z136),$AC136,IF(AND($Y136&lt;&gt;"",EDATE($D136,Milestones!$AA$35)&gt;=$Y136),$AB136,$AA136)))=Milestones!$AB$35),UPPER(TEXT(EDATE($D136,Milestones!$AA$35),"dd mmm yy"))&amp;" "&amp;Milestones!$AB$35&amp;" "&amp;IF(AND(Milestones!$AB$35="FT",Milestones!$AA$35=FT_Y5,EDATE($D136,Milestones!$AA$35)&lt;PolicyEff),1,Milestones!$AC$35)&amp;";  ","")&amp;IF(AND(EDATE($D136,Milestones!$AA$36)&lt;=AsOfDate,EDATE($D136,Milestones!$AA$36)&gt;=SchemeStart,IF($X136=0,$AD136,IF(AND($Z136&lt;&gt;"",EDATE($D136,Milestones!$AA$36)&gt;=$Z136),$AC136,IF(AND($Y136&lt;&gt;"",EDATE($D136,Milestones!$AA$36)&gt;=$Y136),$AB136,$AA136)))=Milestones!$AB$36),UPPER(TEXT(EDATE($D136,Milestones!$AA$36),"dd mmm yy"))&amp;" "&amp;Milestones!$AB$36&amp;" "&amp;IF(AND(Milestones!$AB$36="FT",Milestones!$AA$36=FT_Y5,EDATE($D136,Milestones!$AA$36)&lt;PolicyEff),1,Milestones!$AC$36)&amp;";  ","")&amp;IF(AND(EDATE($D136,Milestones!$AA$37)&lt;=AsOfDate,EDATE($D136,Milestones!$AA$37)&gt;=SchemeStart,IF($X136=0,$AD136,IF(AND($Z136&lt;&gt;"",EDATE($D136,Milestones!$AA$37)&gt;=$Z136),$AC136,IF(AND($Y136&lt;&gt;"",EDATE($D136,Milestones!$AA$37)&gt;=$Y136),$AB136,$AA136)))=Milestones!$AB$37),UPPER(TEXT(EDATE($D136,Milestones!$AA$37),"dd mmm yy"))&amp;" "&amp;Milestones!$AB$37&amp;" "&amp;IF(AND(Milestones!$AB$37="FT",Milestones!$AA$37=FT_Y5,EDATE($D136,Milestones!$AA$37)&lt;PolicyEff),1,Milestones!$AC$37)&amp;";  ","")&amp;IF(AND(EDATE($D136,Milestones!$AA$38)&lt;=AsOfDate,EDATE($D136,Milestones!$AA$38)&gt;=SchemeStart,IF($X136=0,$AD136,IF(AND($Z136&lt;&gt;"",EDATE($D136,Milestones!$AA$38)&gt;=$Z136),$AC136,IF(AND($Y136&lt;&gt;"",EDATE($D136,Milestones!$AA$38)&gt;=$Y136),$AB136,$AA136)))=Milestones!$AB$38),UPPER(TEXT(EDATE($D136,Milestones!$AA$38),"dd mmm yy"))&amp;" "&amp;Milestones!$AB$38&amp;" "&amp;IF(AND(Milestones!$AB$38="FT",Milestones!$AA$38=FT_Y5,EDATE($D136,Milestones!$AA$38)&lt;PolicyEff),1,Milestones!$AC$38)&amp;";  ","")&amp;IF(AND(EDATE($D136,Milestones!$AA$39)&lt;=AsOfDate,EDATE($D136,Milestones!$AA$39)&gt;=SchemeStart,IF($X136=0,$AD136,IF(AND($Z136&lt;&gt;"",EDATE($D136,Milestones!$AA$39)&gt;=$Z136),$AC136,IF(AND($Y136&lt;&gt;"",EDATE($D136,Milestones!$AA$39)&gt;=$Y136),$AB136,$AA136)))=Milestones!$AB$39),UPPER(TEXT(EDATE($D136,Milestones!$AA$39),"dd mmm yy"))&amp;" "&amp;Milestones!$AB$39&amp;" "&amp;IF(AND(Milestones!$AB$39="FT",Milestones!$AA$39=FT_Y5,EDATE($D136,Milestones!$AA$39)&lt;PolicyEff),1,Milestones!$AC$39)&amp;";  ","")&amp;IF(AND(EDATE($D136,Milestones!$AA$40)&lt;=AsOfDate,EDATE($D136,Milestones!$AA$40)&gt;=SchemeStart,IF($X136=0,$AD136,IF(AND($Z136&lt;&gt;"",EDATE($D136,Milestones!$AA$40)&gt;=$Z136),$AC136,IF(AND($Y136&lt;&gt;"",EDATE($D136,Milestones!$AA$40)&gt;=$Y136),$AB136,$AA136)))=Milestones!$AB$40),UPPER(TEXT(EDATE($D136,Milestones!$AA$40),"dd mmm yy"))&amp;" "&amp;Milestones!$AB$40&amp;" "&amp;IF(AND(Milestones!$AB$40="FT",Milestones!$AA$40=FT_Y5,EDATE($D136,Milestones!$AA$40)&lt;PolicyEff),1,Milestones!$AC$40)&amp;";  ","")&amp;IF(AND(EDATE($D136,Milestones!$AA$41)&lt;=AsOfDate,EDATE($D136,Milestones!$AA$41)&gt;=SchemeStart,IF($X136=0,$AD136,IF(AND($Z136&lt;&gt;"",EDATE($D136,Milestones!$AA$41)&gt;=$Z136),$AC136,IF(AND($Y136&lt;&gt;"",EDATE($D136,Milestones!$AA$41)&gt;=$Y136),$AB136,$AA136)))=Milestones!$AB$41),UPPER(TEXT(EDATE($D136,Milestones!$AA$41),"dd mmm yy"))&amp;" "&amp;Milestones!$AB$41&amp;" "&amp;IF(AND(Milestones!$AB$41="FT",Milestones!$AA$41=FT_Y5,EDATE($D136,Milestones!$AA$41)&lt;PolicyEff),1,Milestones!$AC$41)&amp;";  ","")&amp;IF(AND(EDATE($D136,Milestones!$AA$42)&lt;=AsOfDate,EDATE($D136,Milestones!$AA$42)&gt;=SchemeStart,IF($X136=0,$AD136,IF(AND($Z136&lt;&gt;"",EDATE($D136,Milestones!$AA$42)&gt;=$Z136),$AC136,IF(AND($Y136&lt;&gt;"",EDATE($D136,Milestones!$AA$42)&gt;=$Y136),$AB136,$AA136)))=Milestones!$AB$42),UPPER(TEXT(EDATE($D136,Milestones!$AA$42),"dd mmm yy"))&amp;" "&amp;Milestones!$AB$42&amp;" "&amp;IF(AND(Milestones!$AB$42="FT",Milestones!$AA$42=FT_Y5,EDATE($D136,Milestones!$AA$42)&lt;PolicyEff),1,Milestones!$AC$42)&amp;";  ","")&amp;IF(AND(EDATE($D136,Milestones!$AA$43)&lt;=AsOfDate,EDATE($D136,Milestones!$AA$43)&gt;=SchemeStart,IF($X136=0,$AD136,IF(AND($Z136&lt;&gt;"",EDATE($D136,Milestones!$AA$43)&gt;=$Z136),$AC136,IF(AND($Y136&lt;&gt;"",EDATE($D136,Milestones!$AA$43)&gt;=$Y136),$AB136,$AA136)))=Milestones!$AB$43),UPPER(TEXT(EDATE($D136,Milestones!$AA$43),"dd mmm yy"))&amp;" "&amp;Milestones!$AB$43&amp;" "&amp;IF(AND(Milestones!$AB$43="FT",Milestones!$AA$43=FT_Y5,EDATE($D136,Milestones!$AA$43)&lt;PolicyEff),1,Milestones!$AC$43)&amp;";  ",""))</f>
        <v/>
      </c>
      <c r="K136" s="0" t="str">
        <f aca="false">IF(OR($A136="",$D136=""),"",IF(AND(EDATE($D136,Milestones!$AA$44)&lt;=AsOfDate,EDATE($D136,Milestones!$AA$44)&gt;=SchemeStart,IF($X136=0,$AD136,IF(AND($Z136&lt;&gt;"",EDATE($D136,Milestones!$AA$44)&gt;=$Z136),$AC136,IF(AND($Y136&lt;&gt;"",EDATE($D136,Milestones!$AA$44)&gt;=$Y136),$AB136,$AA136)))=Milestones!$AB$44),UPPER(TEXT(EDATE($D136,Milestones!$AA$44),"dd mmm yy"))&amp;" "&amp;Milestones!$AB$44&amp;" "&amp;IF(AND(Milestones!$AB$44="FT",Milestones!$AA$44=FT_Y5,EDATE($D136,Milestones!$AA$44)&lt;PolicyEff),1,Milestones!$AC$44)&amp;";  ","")&amp;IF(AND(EDATE($D136,Milestones!$AA$45)&lt;=AsOfDate,EDATE($D136,Milestones!$AA$45)&gt;=SchemeStart,IF($X136=0,$AD136,IF(AND($Z136&lt;&gt;"",EDATE($D136,Milestones!$AA$45)&gt;=$Z136),$AC136,IF(AND($Y136&lt;&gt;"",EDATE($D136,Milestones!$AA$45)&gt;=$Y136),$AB136,$AA136)))=Milestones!$AB$45),UPPER(TEXT(EDATE($D136,Milestones!$AA$45),"dd mmm yy"))&amp;" "&amp;Milestones!$AB$45&amp;" "&amp;IF(AND(Milestones!$AB$45="FT",Milestones!$AA$45=FT_Y5,EDATE($D136,Milestones!$AA$45)&lt;PolicyEff),1,Milestones!$AC$45)&amp;";  ","")&amp;IF(AND(EDATE($D136,Milestones!$AA$46)&lt;=AsOfDate,EDATE($D136,Milestones!$AA$46)&gt;=SchemeStart,IF($X136=0,$AD136,IF(AND($Z136&lt;&gt;"",EDATE($D136,Milestones!$AA$46)&gt;=$Z136),$AC136,IF(AND($Y136&lt;&gt;"",EDATE($D136,Milestones!$AA$46)&gt;=$Y136),$AB136,$AA136)))=Milestones!$AB$46),UPPER(TEXT(EDATE($D136,Milestones!$AA$46),"dd mmm yy"))&amp;" "&amp;Milestones!$AB$46&amp;" "&amp;IF(AND(Milestones!$AB$46="FT",Milestones!$AA$46=FT_Y5,EDATE($D136,Milestones!$AA$46)&lt;PolicyEff),1,Milestones!$AC$46)&amp;";  ","")&amp;IF(AND(EDATE($D136,Milestones!$AA$47)&lt;=AsOfDate,EDATE($D136,Milestones!$AA$47)&gt;=SchemeStart,IF($X136=0,$AD136,IF(AND($Z136&lt;&gt;"",EDATE($D136,Milestones!$AA$47)&gt;=$Z136),$AC136,IF(AND($Y136&lt;&gt;"",EDATE($D136,Milestones!$AA$47)&gt;=$Y136),$AB136,$AA136)))=Milestones!$AB$47),UPPER(TEXT(EDATE($D136,Milestones!$AA$47),"dd mmm yy"))&amp;" "&amp;Milestones!$AB$47&amp;" "&amp;IF(AND(Milestones!$AB$47="FT",Milestones!$AA$47=FT_Y5,EDATE($D136,Milestones!$AA$47)&lt;PolicyEff),1,Milestones!$AC$47)&amp;";  ","")&amp;IF(AND(EDATE($D136,Milestones!$AA$48)&lt;=AsOfDate,EDATE($D136,Milestones!$AA$48)&gt;=SchemeStart,IF($X136=0,$AD136,IF(AND($Z136&lt;&gt;"",EDATE($D136,Milestones!$AA$48)&gt;=$Z136),$AC136,IF(AND($Y136&lt;&gt;"",EDATE($D136,Milestones!$AA$48)&gt;=$Y136),$AB136,$AA136)))=Milestones!$AB$48),UPPER(TEXT(EDATE($D136,Milestones!$AA$48),"dd mmm yy"))&amp;" "&amp;Milestones!$AB$48&amp;" "&amp;IF(AND(Milestones!$AB$48="FT",Milestones!$AA$48=FT_Y5,EDATE($D136,Milestones!$AA$48)&lt;PolicyEff),1,Milestones!$AC$48)&amp;";  ","")&amp;IF(AND(EDATE($D136,Milestones!$AA$49)&lt;=AsOfDate,EDATE($D136,Milestones!$AA$49)&gt;=SchemeStart,IF($X136=0,$AD136,IF(AND($Z136&lt;&gt;"",EDATE($D136,Milestones!$AA$49)&gt;=$Z136),$AC136,IF(AND($Y136&lt;&gt;"",EDATE($D136,Milestones!$AA$49)&gt;=$Y136),$AB136,$AA136)))=Milestones!$AB$49),UPPER(TEXT(EDATE($D136,Milestones!$AA$49),"dd mmm yy"))&amp;" "&amp;Milestones!$AB$49&amp;" "&amp;IF(AND(Milestones!$AB$49="FT",Milestones!$AA$49=FT_Y5,EDATE($D136,Milestones!$AA$49)&lt;PolicyEff),1,Milestones!$AC$49)&amp;";  ","")&amp;IF(AND(EDATE($D136,Milestones!$AA$50)&lt;=AsOfDate,EDATE($D136,Milestones!$AA$50)&gt;=SchemeStart,IF($X136=0,$AD136,IF(AND($Z136&lt;&gt;"",EDATE($D136,Milestones!$AA$50)&gt;=$Z136),$AC136,IF(AND($Y136&lt;&gt;"",EDATE($D136,Milestones!$AA$50)&gt;=$Y136),$AB136,$AA136)))=Milestones!$AB$50),UPPER(TEXT(EDATE($D136,Milestones!$AA$50),"dd mmm yy"))&amp;" "&amp;Milestones!$AB$50&amp;" "&amp;IF(AND(Milestones!$AB$50="FT",Milestones!$AA$50=FT_Y5,EDATE($D136,Milestones!$AA$50)&lt;PolicyEff),1,Milestones!$AC$50)&amp;";  ","")&amp;IF(AND(EDATE($D136,Milestones!$AA$51)&lt;=AsOfDate,EDATE($D136,Milestones!$AA$51)&gt;=SchemeStart,IF($X136=0,$AD136,IF(AND($Z136&lt;&gt;"",EDATE($D136,Milestones!$AA$51)&gt;=$Z136),$AC136,IF(AND($Y136&lt;&gt;"",EDATE($D136,Milestones!$AA$51)&gt;=$Y136),$AB136,$AA136)))=Milestones!$AB$51),UPPER(TEXT(EDATE($D136,Milestones!$AA$51),"dd mmm yy"))&amp;" "&amp;Milestones!$AB$51&amp;" "&amp;IF(AND(Milestones!$AB$51="FT",Milestones!$AA$51=FT_Y5,EDATE($D136,Milestones!$AA$51)&lt;PolicyEff),1,Milestones!$AC$51)&amp;";  ","")&amp;IF(AND(EDATE($D136,Milestones!$AA$52)&lt;=AsOfDate,EDATE($D136,Milestones!$AA$52)&gt;=SchemeStart,IF($X136=0,$AD136,IF(AND($Z136&lt;&gt;"",EDATE($D136,Milestones!$AA$52)&gt;=$Z136),$AC136,IF(AND($Y136&lt;&gt;"",EDATE($D136,Milestones!$AA$52)&gt;=$Y136),$AB136,$AA136)))=Milestones!$AB$52),UPPER(TEXT(EDATE($D136,Milestones!$AA$52),"dd mmm yy"))&amp;" "&amp;Milestones!$AB$52&amp;" "&amp;IF(AND(Milestones!$AB$52="FT",Milestones!$AA$52=FT_Y5,EDATE($D136,Milestones!$AA$52)&lt;PolicyEff),1,Milestones!$AC$52)&amp;";  ","")&amp;IF(AND(EDATE($D136,Milestones!$AA$53)&lt;=AsOfDate,EDATE($D136,Milestones!$AA$53)&gt;=SchemeStart,IF($X136=0,$AD136,IF(AND($Z136&lt;&gt;"",EDATE($D136,Milestones!$AA$53)&gt;=$Z136),$AC136,IF(AND($Y136&lt;&gt;"",EDATE($D136,Milestones!$AA$53)&gt;=$Y136),$AB136,$AA136)))=Milestones!$AB$53),UPPER(TEXT(EDATE($D136,Milestones!$AA$53),"dd mmm yy"))&amp;" "&amp;Milestones!$AB$53&amp;" "&amp;IF(AND(Milestones!$AB$53="FT",Milestones!$AA$53=FT_Y5,EDATE($D136,Milestones!$AA$53)&lt;PolicyEff),1,Milestones!$AC$53)&amp;";  ","")&amp;IF(AND(EDATE($D136,Milestones!$AA$54)&lt;=AsOfDate,EDATE($D136,Milestones!$AA$54)&gt;=SchemeStart,IF($X136=0,$AD136,IF(AND($Z136&lt;&gt;"",EDATE($D136,Milestones!$AA$54)&gt;=$Z136),$AC136,IF(AND($Y136&lt;&gt;"",EDATE($D136,Milestones!$AA$54)&gt;=$Y136),$AB136,$AA136)))=Milestones!$AB$54),UPPER(TEXT(EDATE($D136,Milestones!$AA$54),"dd mmm yy"))&amp;" "&amp;Milestones!$AB$54&amp;" "&amp;IF(AND(Milestones!$AB$54="FT",Milestones!$AA$54=FT_Y5,EDATE($D136,Milestones!$AA$54)&lt;PolicyEff),1,Milestones!$AC$54)&amp;";  ","")&amp;IF(AND(EDATE($D136,Milestones!$AA$55)&lt;=AsOfDate,EDATE($D136,Milestones!$AA$55)&gt;=SchemeStart,IF($X136=0,$AD136,IF(AND($Z136&lt;&gt;"",EDATE($D136,Milestones!$AA$55)&gt;=$Z136),$AC136,IF(AND($Y136&lt;&gt;"",EDATE($D136,Milestones!$AA$55)&gt;=$Y136),$AB136,$AA136)))=Milestones!$AB$55),UPPER(TEXT(EDATE($D136,Milestones!$AA$55),"dd mmm yy"))&amp;" "&amp;Milestones!$AB$55&amp;" "&amp;IF(AND(Milestones!$AB$55="FT",Milestones!$AA$55=FT_Y5,EDATE($D136,Milestones!$AA$55)&lt;PolicyEff),1,Milestones!$AC$55)&amp;";  ",""))</f>
        <v/>
      </c>
      <c r="L136" s="0" t="str">
        <f aca="false">IF(OR($A136="",$D136=""),"",IF(AND(EDATE($D136,Milestones!$AA$56)&lt;=AsOfDate,EDATE($D136,Milestones!$AA$56)&gt;=SchemeStart,IF($X136=0,$AD136,IF(AND($Z136&lt;&gt;"",EDATE($D136,Milestones!$AA$56)&gt;=$Z136),$AC136,IF(AND($Y136&lt;&gt;"",EDATE($D136,Milestones!$AA$56)&gt;=$Y136),$AB136,$AA136)))=Milestones!$AB$56),UPPER(TEXT(EDATE($D136,Milestones!$AA$56),"dd mmm yy"))&amp;" "&amp;Milestones!$AB$56&amp;" "&amp;IF(AND(Milestones!$AB$56="FT",Milestones!$AA$56=FT_Y5,EDATE($D136,Milestones!$AA$56)&lt;PolicyEff),1,Milestones!$AC$56)&amp;";  ","")&amp;IF(AND(EDATE($D136,Milestones!$AA$57)&lt;=AsOfDate,EDATE($D136,Milestones!$AA$57)&gt;=SchemeStart,IF($X136=0,$AD136,IF(AND($Z136&lt;&gt;"",EDATE($D136,Milestones!$AA$57)&gt;=$Z136),$AC136,IF(AND($Y136&lt;&gt;"",EDATE($D136,Milestones!$AA$57)&gt;=$Y136),$AB136,$AA136)))=Milestones!$AB$57),UPPER(TEXT(EDATE($D136,Milestones!$AA$57),"dd mmm yy"))&amp;" "&amp;Milestones!$AB$57&amp;" "&amp;IF(AND(Milestones!$AB$57="FT",Milestones!$AA$57=FT_Y5,EDATE($D136,Milestones!$AA$57)&lt;PolicyEff),1,Milestones!$AC$57)&amp;";  ","")&amp;IF(AND(EDATE($D136,Milestones!$AA$58)&lt;=AsOfDate,EDATE($D136,Milestones!$AA$58)&gt;=SchemeStart,IF($X136=0,$AD136,IF(AND($Z136&lt;&gt;"",EDATE($D136,Milestones!$AA$58)&gt;=$Z136),$AC136,IF(AND($Y136&lt;&gt;"",EDATE($D136,Milestones!$AA$58)&gt;=$Y136),$AB136,$AA136)))=Milestones!$AB$58),UPPER(TEXT(EDATE($D136,Milestones!$AA$58),"dd mmm yy"))&amp;" "&amp;Milestones!$AB$58&amp;" "&amp;IF(AND(Milestones!$AB$58="FT",Milestones!$AA$58=FT_Y5,EDATE($D136,Milestones!$AA$58)&lt;PolicyEff),1,Milestones!$AC$58)&amp;";  ","")&amp;IF(AND(EDATE($D136,Milestones!$AA$59)&lt;=AsOfDate,EDATE($D136,Milestones!$AA$59)&gt;=SchemeStart,IF($X136=0,$AD136,IF(AND($Z136&lt;&gt;"",EDATE($D136,Milestones!$AA$59)&gt;=$Z136),$AC136,IF(AND($Y136&lt;&gt;"",EDATE($D136,Milestones!$AA$59)&gt;=$Y136),$AB136,$AA136)))=Milestones!$AB$59),UPPER(TEXT(EDATE($D136,Milestones!$AA$59),"dd mmm yy"))&amp;" "&amp;Milestones!$AB$59&amp;" "&amp;IF(AND(Milestones!$AB$59="FT",Milestones!$AA$59=FT_Y5,EDATE($D136,Milestones!$AA$59)&lt;PolicyEff),1,Milestones!$AC$59)&amp;";  ","")&amp;IF(AND(EDATE($D136,Milestones!$AA$60)&lt;=AsOfDate,EDATE($D136,Milestones!$AA$60)&gt;=SchemeStart,IF($X136=0,$AD136,IF(AND($Z136&lt;&gt;"",EDATE($D136,Milestones!$AA$60)&gt;=$Z136),$AC136,IF(AND($Y136&lt;&gt;"",EDATE($D136,Milestones!$AA$60)&gt;=$Y136),$AB136,$AA136)))=Milestones!$AB$60),UPPER(TEXT(EDATE($D136,Milestones!$AA$60),"dd mmm yy"))&amp;" "&amp;Milestones!$AB$60&amp;" "&amp;IF(AND(Milestones!$AB$60="FT",Milestones!$AA$60=FT_Y5,EDATE($D136,Milestones!$AA$60)&lt;PolicyEff),1,Milestones!$AC$60)&amp;";  ","")&amp;IF(AND(EDATE($D136,Milestones!$AA$61)&lt;=AsOfDate,EDATE($D136,Milestones!$AA$61)&gt;=SchemeStart,IF($X136=0,$AD136,IF(AND($Z136&lt;&gt;"",EDATE($D136,Milestones!$AA$61)&gt;=$Z136),$AC136,IF(AND($Y136&lt;&gt;"",EDATE($D136,Milestones!$AA$61)&gt;=$Y136),$AB136,$AA136)))=Milestones!$AB$61),UPPER(TEXT(EDATE($D136,Milestones!$AA$61),"dd mmm yy"))&amp;" "&amp;Milestones!$AB$61&amp;" "&amp;IF(AND(Milestones!$AB$61="FT",Milestones!$AA$61=FT_Y5,EDATE($D136,Milestones!$AA$61)&lt;PolicyEff),1,Milestones!$AC$61)&amp;";  ","")&amp;IF(AND(EDATE($D136,Milestones!$AA$62)&lt;=AsOfDate,EDATE($D136,Milestones!$AA$62)&gt;=SchemeStart,IF($X136=0,$AD136,IF(AND($Z136&lt;&gt;"",EDATE($D136,Milestones!$AA$62)&gt;=$Z136),$AC136,IF(AND($Y136&lt;&gt;"",EDATE($D136,Milestones!$AA$62)&gt;=$Y136),$AB136,$AA136)))=Milestones!$AB$62),UPPER(TEXT(EDATE($D136,Milestones!$AA$62),"dd mmm yy"))&amp;" "&amp;Milestones!$AB$62&amp;" "&amp;IF(AND(Milestones!$AB$62="FT",Milestones!$AA$62=FT_Y5,EDATE($D136,Milestones!$AA$62)&lt;PolicyEff),1,Milestones!$AC$62)&amp;";  ","")&amp;IF(AND(EDATE($D136,Milestones!$AA$63)&lt;=AsOfDate,EDATE($D136,Milestones!$AA$63)&gt;=SchemeStart,IF($X136=0,$AD136,IF(AND($Z136&lt;&gt;"",EDATE($D136,Milestones!$AA$63)&gt;=$Z136),$AC136,IF(AND($Y136&lt;&gt;"",EDATE($D136,Milestones!$AA$63)&gt;=$Y136),$AB136,$AA136)))=Milestones!$AB$63),UPPER(TEXT(EDATE($D136,Milestones!$AA$63),"dd mmm yy"))&amp;" "&amp;Milestones!$AB$63&amp;" "&amp;IF(AND(Milestones!$AB$63="FT",Milestones!$AA$63=FT_Y5,EDATE($D136,Milestones!$AA$63)&lt;PolicyEff),1,Milestones!$AC$63)&amp;";  ","")&amp;IF(AND(EDATE($D136,Milestones!$AA$64)&lt;=AsOfDate,EDATE($D136,Milestones!$AA$64)&gt;=SchemeStart,IF($X136=0,$AD136,IF(AND($Z136&lt;&gt;"",EDATE($D136,Milestones!$AA$64)&gt;=$Z136),$AC136,IF(AND($Y136&lt;&gt;"",EDATE($D136,Milestones!$AA$64)&gt;=$Y136),$AB136,$AA136)))=Milestones!$AB$64),UPPER(TEXT(EDATE($D136,Milestones!$AA$64),"dd mmm yy"))&amp;" "&amp;Milestones!$AB$64&amp;" "&amp;IF(AND(Milestones!$AB$64="FT",Milestones!$AA$64=FT_Y5,EDATE($D136,Milestones!$AA$64)&lt;PolicyEff),1,Milestones!$AC$64)&amp;";  ","")&amp;IF(AND(EDATE($D136,Milestones!$AA$65)&lt;=AsOfDate,EDATE($D136,Milestones!$AA$65)&gt;=SchemeStart,IF($X136=0,$AD136,IF(AND($Z136&lt;&gt;"",EDATE($D136,Milestones!$AA$65)&gt;=$Z136),$AC136,IF(AND($Y136&lt;&gt;"",EDATE($D136,Milestones!$AA$65)&gt;=$Y136),$AB136,$AA136)))=Milestones!$AB$65),UPPER(TEXT(EDATE($D136,Milestones!$AA$65),"dd mmm yy"))&amp;" "&amp;Milestones!$AB$65&amp;" "&amp;IF(AND(Milestones!$AB$65="FT",Milestones!$AA$65=FT_Y5,EDATE($D136,Milestones!$AA$65)&lt;PolicyEff),1,Milestones!$AC$65)&amp;";  ","")&amp;IF(AND(EDATE($D136,Milestones!$AA$66)&lt;=AsOfDate,EDATE($D136,Milestones!$AA$66)&gt;=SchemeStart,IF($X136=0,$AD136,IF(AND($Z136&lt;&gt;"",EDATE($D136,Milestones!$AA$66)&gt;=$Z136),$AC136,IF(AND($Y136&lt;&gt;"",EDATE($D136,Milestones!$AA$66)&gt;=$Y136),$AB136,$AA136)))=Milestones!$AB$66),UPPER(TEXT(EDATE($D136,Milestones!$AA$66),"dd mmm yy"))&amp;" "&amp;Milestones!$AB$66&amp;" "&amp;IF(AND(Milestones!$AB$66="FT",Milestones!$AA$66=FT_Y5,EDATE($D136,Milestones!$AA$66)&lt;PolicyEff),1,Milestones!$AC$66)&amp;";  ","")&amp;IF(AND(EDATE($D136,Milestones!$AA$67)&lt;=AsOfDate,EDATE($D136,Milestones!$AA$67)&gt;=SchemeStart,IF($X136=0,$AD136,IF(AND($Z136&lt;&gt;"",EDATE($D136,Milestones!$AA$67)&gt;=$Z136),$AC136,IF(AND($Y136&lt;&gt;"",EDATE($D136,Milestones!$AA$67)&gt;=$Y136),$AB136,$AA136)))=Milestones!$AB$67),UPPER(TEXT(EDATE($D136,Milestones!$AA$67),"dd mmm yy"))&amp;" "&amp;Milestones!$AB$67&amp;" "&amp;IF(AND(Milestones!$AB$67="FT",Milestones!$AA$67=FT_Y5,EDATE($D136,Milestones!$AA$67)&lt;PolicyEff),1,Milestones!$AC$67)&amp;";  ",""))</f>
        <v/>
      </c>
      <c r="M136" s="0" t="str">
        <f aca="false">IF(OR($A136="",$D136=""),"",IF(AND(EDATE($D136,Milestones!$AA$68)&lt;=AsOfDate,EDATE($D136,Milestones!$AA$68)&gt;=SchemeStart,IF($X136=0,$AD136,IF(AND($Z136&lt;&gt;"",EDATE($D136,Milestones!$AA$68)&gt;=$Z136),$AC136,IF(AND($Y136&lt;&gt;"",EDATE($D136,Milestones!$AA$68)&gt;=$Y136),$AB136,$AA136)))=Milestones!$AB$68),UPPER(TEXT(EDATE($D136,Milestones!$AA$68),"dd mmm yy"))&amp;" "&amp;Milestones!$AB$68&amp;" "&amp;IF(AND(Milestones!$AB$68="FT",Milestones!$AA$68=FT_Y5,EDATE($D136,Milestones!$AA$68)&lt;PolicyEff),1,Milestones!$AC$68)&amp;";  ","")&amp;IF(AND(EDATE($D136,Milestones!$AA$69)&lt;=AsOfDate,EDATE($D136,Milestones!$AA$69)&gt;=SchemeStart,IF($X136=0,$AD136,IF(AND($Z136&lt;&gt;"",EDATE($D136,Milestones!$AA$69)&gt;=$Z136),$AC136,IF(AND($Y136&lt;&gt;"",EDATE($D136,Milestones!$AA$69)&gt;=$Y136),$AB136,$AA136)))=Milestones!$AB$69),UPPER(TEXT(EDATE($D136,Milestones!$AA$69),"dd mmm yy"))&amp;" "&amp;Milestones!$AB$69&amp;" "&amp;IF(AND(Milestones!$AB$69="FT",Milestones!$AA$69=FT_Y5,EDATE($D136,Milestones!$AA$69)&lt;PolicyEff),1,Milestones!$AC$69)&amp;";  ","")&amp;IF(AND(EDATE($D136,Milestones!$AA$70)&lt;=AsOfDate,EDATE($D136,Milestones!$AA$70)&gt;=SchemeStart,IF($X136=0,$AD136,IF(AND($Z136&lt;&gt;"",EDATE($D136,Milestones!$AA$70)&gt;=$Z136),$AC136,IF(AND($Y136&lt;&gt;"",EDATE($D136,Milestones!$AA$70)&gt;=$Y136),$AB136,$AA136)))=Milestones!$AB$70),UPPER(TEXT(EDATE($D136,Milestones!$AA$70),"dd mmm yy"))&amp;" "&amp;Milestones!$AB$70&amp;" "&amp;IF(AND(Milestones!$AB$70="FT",Milestones!$AA$70=FT_Y5,EDATE($D136,Milestones!$AA$70)&lt;PolicyEff),1,Milestones!$AC$70)&amp;";  ","")&amp;IF(AND(EDATE($D136,Milestones!$AA$71)&lt;=AsOfDate,EDATE($D136,Milestones!$AA$71)&gt;=SchemeStart,IF($X136=0,$AD136,IF(AND($Z136&lt;&gt;"",EDATE($D136,Milestones!$AA$71)&gt;=$Z136),$AC136,IF(AND($Y136&lt;&gt;"",EDATE($D136,Milestones!$AA$71)&gt;=$Y136),$AB136,$AA136)))=Milestones!$AB$71),UPPER(TEXT(EDATE($D136,Milestones!$AA$71),"dd mmm yy"))&amp;" "&amp;Milestones!$AB$71&amp;" "&amp;IF(AND(Milestones!$AB$71="FT",Milestones!$AA$71=FT_Y5,EDATE($D136,Milestones!$AA$71)&lt;PolicyEff),1,Milestones!$AC$71)&amp;";  ","")&amp;IF(AND(EDATE($D136,Milestones!$AA$72)&lt;=AsOfDate,EDATE($D136,Milestones!$AA$72)&gt;=SchemeStart,IF($X136=0,$AD136,IF(AND($Z136&lt;&gt;"",EDATE($D136,Milestones!$AA$72)&gt;=$Z136),$AC136,IF(AND($Y136&lt;&gt;"",EDATE($D136,Milestones!$AA$72)&gt;=$Y136),$AB136,$AA136)))=Milestones!$AB$72),UPPER(TEXT(EDATE($D136,Milestones!$AA$72),"dd mmm yy"))&amp;" "&amp;Milestones!$AB$72&amp;" "&amp;IF(AND(Milestones!$AB$72="FT",Milestones!$AA$72=FT_Y5,EDATE($D136,Milestones!$AA$72)&lt;PolicyEff),1,Milestones!$AC$72)&amp;";  ","")&amp;IF(AND(EDATE($D136,Milestones!$AA$73)&lt;=AsOfDate,EDATE($D136,Milestones!$AA$73)&gt;=SchemeStart,IF($X136=0,$AD136,IF(AND($Z136&lt;&gt;"",EDATE($D136,Milestones!$AA$73)&gt;=$Z136),$AC136,IF(AND($Y136&lt;&gt;"",EDATE($D136,Milestones!$AA$73)&gt;=$Y136),$AB136,$AA136)))=Milestones!$AB$73),UPPER(TEXT(EDATE($D136,Milestones!$AA$73),"dd mmm yy"))&amp;" "&amp;Milestones!$AB$73&amp;" "&amp;IF(AND(Milestones!$AB$73="FT",Milestones!$AA$73=FT_Y5,EDATE($D136,Milestones!$AA$73)&lt;PolicyEff),1,Milestones!$AC$73)&amp;";  ","")&amp;IF(AND(EDATE($D136,Milestones!$AA$74)&lt;=AsOfDate,EDATE($D136,Milestones!$AA$74)&gt;=SchemeStart,IF($X136=0,$AD136,IF(AND($Z136&lt;&gt;"",EDATE($D136,Milestones!$AA$74)&gt;=$Z136),$AC136,IF(AND($Y136&lt;&gt;"",EDATE($D136,Milestones!$AA$74)&gt;=$Y136),$AB136,$AA136)))=Milestones!$AB$74),UPPER(TEXT(EDATE($D136,Milestones!$AA$74),"dd mmm yy"))&amp;" "&amp;Milestones!$AB$74&amp;" "&amp;IF(AND(Milestones!$AB$74="FT",Milestones!$AA$74=FT_Y5,EDATE($D136,Milestones!$AA$74)&lt;PolicyEff),1,Milestones!$AC$74)&amp;";  ","")&amp;IF(AND(EDATE($D136,Milestones!$AA$75)&lt;=AsOfDate,EDATE($D136,Milestones!$AA$75)&gt;=SchemeStart,IF($X136=0,$AD136,IF(AND($Z136&lt;&gt;"",EDATE($D136,Milestones!$AA$75)&gt;=$Z136),$AC136,IF(AND($Y136&lt;&gt;"",EDATE($D136,Milestones!$AA$75)&gt;=$Y136),$AB136,$AA136)))=Milestones!$AB$75),UPPER(TEXT(EDATE($D136,Milestones!$AA$75),"dd mmm yy"))&amp;" "&amp;Milestones!$AB$75&amp;" "&amp;IF(AND(Milestones!$AB$75="FT",Milestones!$AA$75=FT_Y5,EDATE($D136,Milestones!$AA$75)&lt;PolicyEff),1,Milestones!$AC$75)&amp;";  ","")&amp;IF(AND(EDATE($D136,Milestones!$AA$76)&lt;=AsOfDate,EDATE($D136,Milestones!$AA$76)&gt;=SchemeStart,IF($X136=0,$AD136,IF(AND($Z136&lt;&gt;"",EDATE($D136,Milestones!$AA$76)&gt;=$Z136),$AC136,IF(AND($Y136&lt;&gt;"",EDATE($D136,Milestones!$AA$76)&gt;=$Y136),$AB136,$AA136)))=Milestones!$AB$76),UPPER(TEXT(EDATE($D136,Milestones!$AA$76),"dd mmm yy"))&amp;" "&amp;Milestones!$AB$76&amp;" "&amp;IF(AND(Milestones!$AB$76="FT",Milestones!$AA$76=FT_Y5,EDATE($D136,Milestones!$AA$76)&lt;PolicyEff),1,Milestones!$AC$76)&amp;";  ","")&amp;IF(AND(EDATE($D136,Milestones!$AA$77)&lt;=AsOfDate,EDATE($D136,Milestones!$AA$77)&gt;=SchemeStart,IF($X136=0,$AD136,IF(AND($Z136&lt;&gt;"",EDATE($D136,Milestones!$AA$77)&gt;=$Z136),$AC136,IF(AND($Y136&lt;&gt;"",EDATE($D136,Milestones!$AA$77)&gt;=$Y136),$AB136,$AA136)))=Milestones!$AB$77),UPPER(TEXT(EDATE($D136,Milestones!$AA$77),"dd mmm yy"))&amp;" "&amp;Milestones!$AB$77&amp;" "&amp;IF(AND(Milestones!$AB$77="FT",Milestones!$AA$77=FT_Y5,EDATE($D136,Milestones!$AA$77)&lt;PolicyEff),1,Milestones!$AC$77)&amp;";  ","")&amp;IF(AND(EDATE($D136,Milestones!$AA$78)&lt;=AsOfDate,EDATE($D136,Milestones!$AA$78)&gt;=SchemeStart,IF($X136=0,$AD136,IF(AND($Z136&lt;&gt;"",EDATE($D136,Milestones!$AA$78)&gt;=$Z136),$AC136,IF(AND($Y136&lt;&gt;"",EDATE($D136,Milestones!$AA$78)&gt;=$Y136),$AB136,$AA136)))=Milestones!$AB$78),UPPER(TEXT(EDATE($D136,Milestones!$AA$78),"dd mmm yy"))&amp;" "&amp;Milestones!$AB$78&amp;" "&amp;IF(AND(Milestones!$AB$78="FT",Milestones!$AA$78=FT_Y5,EDATE($D136,Milestones!$AA$78)&lt;PolicyEff),1,Milestones!$AC$78)&amp;";  ","")&amp;IF(AND(EDATE($D136,Milestones!$AA$79)&lt;=AsOfDate,EDATE($D136,Milestones!$AA$79)&gt;=SchemeStart,IF($X136=0,$AD136,IF(AND($Z136&lt;&gt;"",EDATE($D136,Milestones!$AA$79)&gt;=$Z136),$AC136,IF(AND($Y136&lt;&gt;"",EDATE($D136,Milestones!$AA$79)&gt;=$Y136),$AB136,$AA136)))=Milestones!$AB$79),UPPER(TEXT(EDATE($D136,Milestones!$AA$79),"dd mmm yy"))&amp;" "&amp;Milestones!$AB$79&amp;" "&amp;IF(AND(Milestones!$AB$79="FT",Milestones!$AA$79=FT_Y5,EDATE($D136,Milestones!$AA$79)&lt;PolicyEff),1,Milestones!$AC$79)&amp;";  ",""))</f>
        <v/>
      </c>
      <c r="N136" s="0" t="str">
        <f aca="false">IF(OR($A136="",$D136=""),"",IF(AND(EDATE($D136,Milestones!$AA$80)&lt;=AsOfDate,EDATE($D136,Milestones!$AA$80)&gt;=SchemeStart,IF($X136=0,$AD136,IF(AND($Z136&lt;&gt;"",EDATE($D136,Milestones!$AA$80)&gt;=$Z136),$AC136,IF(AND($Y136&lt;&gt;"",EDATE($D136,Milestones!$AA$80)&gt;=$Y136),$AB136,$AA136)))=Milestones!$AB$80),UPPER(TEXT(EDATE($D136,Milestones!$AA$80),"dd mmm yy"))&amp;" "&amp;Milestones!$AB$80&amp;" "&amp;IF(AND(Milestones!$AB$80="FT",Milestones!$AA$80=FT_Y5,EDATE($D136,Milestones!$AA$80)&lt;PolicyEff),1,Milestones!$AC$80)&amp;";  ","")&amp;IF(AND(EDATE($D136,Milestones!$AA$81)&lt;=AsOfDate,EDATE($D136,Milestones!$AA$81)&gt;=SchemeStart,IF($X136=0,$AD136,IF(AND($Z136&lt;&gt;"",EDATE($D136,Milestones!$AA$81)&gt;=$Z136),$AC136,IF(AND($Y136&lt;&gt;"",EDATE($D136,Milestones!$AA$81)&gt;=$Y136),$AB136,$AA136)))=Milestones!$AB$81),UPPER(TEXT(EDATE($D136,Milestones!$AA$81),"dd mmm yy"))&amp;" "&amp;Milestones!$AB$81&amp;" "&amp;IF(AND(Milestones!$AB$81="FT",Milestones!$AA$81=FT_Y5,EDATE($D136,Milestones!$AA$81)&lt;PolicyEff),1,Milestones!$AC$81)&amp;";  ","")&amp;IF(AND(EDATE($D136,Milestones!$AA$82)&lt;=AsOfDate,EDATE($D136,Milestones!$AA$82)&gt;=SchemeStart,IF($X136=0,$AD136,IF(AND($Z136&lt;&gt;"",EDATE($D136,Milestones!$AA$82)&gt;=$Z136),$AC136,IF(AND($Y136&lt;&gt;"",EDATE($D136,Milestones!$AA$82)&gt;=$Y136),$AB136,$AA136)))=Milestones!$AB$82),UPPER(TEXT(EDATE($D136,Milestones!$AA$82),"dd mmm yy"))&amp;" "&amp;Milestones!$AB$82&amp;" "&amp;IF(AND(Milestones!$AB$82="FT",Milestones!$AA$82=FT_Y5,EDATE($D136,Milestones!$AA$82)&lt;PolicyEff),1,Milestones!$AC$82)&amp;";  ","")&amp;IF(AND(EDATE($D136,Milestones!$AA$83)&lt;=AsOfDate,EDATE($D136,Milestones!$AA$83)&gt;=SchemeStart,IF($X136=0,$AD136,IF(AND($Z136&lt;&gt;"",EDATE($D136,Milestones!$AA$83)&gt;=$Z136),$AC136,IF(AND($Y136&lt;&gt;"",EDATE($D136,Milestones!$AA$83)&gt;=$Y136),$AB136,$AA136)))=Milestones!$AB$83),UPPER(TEXT(EDATE($D136,Milestones!$AA$83),"dd mmm yy"))&amp;" "&amp;Milestones!$AB$83&amp;" "&amp;IF(AND(Milestones!$AB$83="FT",Milestones!$AA$83=FT_Y5,EDATE($D136,Milestones!$AA$83)&lt;PolicyEff),1,Milestones!$AC$83)&amp;";  ","")&amp;IF(AND(EDATE($D136,Milestones!$AA$84)&lt;=AsOfDate,EDATE($D136,Milestones!$AA$84)&gt;=SchemeStart,IF($X136=0,$AD136,IF(AND($Z136&lt;&gt;"",EDATE($D136,Milestones!$AA$84)&gt;=$Z136),$AC136,IF(AND($Y136&lt;&gt;"",EDATE($D136,Milestones!$AA$84)&gt;=$Y136),$AB136,$AA136)))=Milestones!$AB$84),UPPER(TEXT(EDATE($D136,Milestones!$AA$84),"dd mmm yy"))&amp;" "&amp;Milestones!$AB$84&amp;" "&amp;IF(AND(Milestones!$AB$84="FT",Milestones!$AA$84=FT_Y5,EDATE($D136,Milestones!$AA$84)&lt;PolicyEff),1,Milestones!$AC$84)&amp;";  ","")&amp;IF(AND(EDATE($D136,Milestones!$AA$85)&lt;=AsOfDate,EDATE($D136,Milestones!$AA$85)&gt;=SchemeStart,IF($X136=0,$AD136,IF(AND($Z136&lt;&gt;"",EDATE($D136,Milestones!$AA$85)&gt;=$Z136),$AC136,IF(AND($Y136&lt;&gt;"",EDATE($D136,Milestones!$AA$85)&gt;=$Y136),$AB136,$AA136)))=Milestones!$AB$85),UPPER(TEXT(EDATE($D136,Milestones!$AA$85),"dd mmm yy"))&amp;" "&amp;Milestones!$AB$85&amp;" "&amp;IF(AND(Milestones!$AB$85="FT",Milestones!$AA$85=FT_Y5,EDATE($D136,Milestones!$AA$85)&lt;PolicyEff),1,Milestones!$AC$85)&amp;";  ","")&amp;IF(AND(EDATE($D136,Milestones!$AA$86)&lt;=AsOfDate,EDATE($D136,Milestones!$AA$86)&gt;=SchemeStart,IF($X136=0,$AD136,IF(AND($Z136&lt;&gt;"",EDATE($D136,Milestones!$AA$86)&gt;=$Z136),$AC136,IF(AND($Y136&lt;&gt;"",EDATE($D136,Milestones!$AA$86)&gt;=$Y136),$AB136,$AA136)))=Milestones!$AB$86),UPPER(TEXT(EDATE($D136,Milestones!$AA$86),"dd mmm yy"))&amp;" "&amp;Milestones!$AB$86&amp;" "&amp;IF(AND(Milestones!$AB$86="FT",Milestones!$AA$86=FT_Y5,EDATE($D136,Milestones!$AA$86)&lt;PolicyEff),1,Milestones!$AC$86)&amp;";  ","")&amp;IF(AND(EDATE($D136,Milestones!$AA$87)&lt;=AsOfDate,EDATE($D136,Milestones!$AA$87)&gt;=SchemeStart,IF($X136=0,$AD136,IF(AND($Z136&lt;&gt;"",EDATE($D136,Milestones!$AA$87)&gt;=$Z136),$AC136,IF(AND($Y136&lt;&gt;"",EDATE($D136,Milestones!$AA$87)&gt;=$Y136),$AB136,$AA136)))=Milestones!$AB$87),UPPER(TEXT(EDATE($D136,Milestones!$AA$87),"dd mmm yy"))&amp;" "&amp;Milestones!$AB$87&amp;" "&amp;IF(AND(Milestones!$AB$87="FT",Milestones!$AA$87=FT_Y5,EDATE($D136,Milestones!$AA$87)&lt;PolicyEff),1,Milestones!$AC$87)&amp;";  ","")&amp;IF(AND(EDATE($D136,Milestones!$AA$88)&lt;=AsOfDate,EDATE($D136,Milestones!$AA$88)&gt;=SchemeStart,IF($X136=0,$AD136,IF(AND($Z136&lt;&gt;"",EDATE($D136,Milestones!$AA$88)&gt;=$Z136),$AC136,IF(AND($Y136&lt;&gt;"",EDATE($D136,Milestones!$AA$88)&gt;=$Y136),$AB136,$AA136)))=Milestones!$AB$88),UPPER(TEXT(EDATE($D136,Milestones!$AA$88),"dd mmm yy"))&amp;" "&amp;Milestones!$AB$88&amp;" "&amp;IF(AND(Milestones!$AB$88="FT",Milestones!$AA$88=FT_Y5,EDATE($D136,Milestones!$AA$88)&lt;PolicyEff),1,Milestones!$AC$88)&amp;";  ","")&amp;IF(AND(EDATE($D136,Milestones!$AA$89)&lt;=AsOfDate,EDATE($D136,Milestones!$AA$89)&gt;=SchemeStart,IF($X136=0,$AD136,IF(AND($Z136&lt;&gt;"",EDATE($D136,Milestones!$AA$89)&gt;=$Z136),$AC136,IF(AND($Y136&lt;&gt;"",EDATE($D136,Milestones!$AA$89)&gt;=$Y136),$AB136,$AA136)))=Milestones!$AB$89),UPPER(TEXT(EDATE($D136,Milestones!$AA$89),"dd mmm yy"))&amp;" "&amp;Milestones!$AB$89&amp;" "&amp;IF(AND(Milestones!$AB$89="FT",Milestones!$AA$89=FT_Y5,EDATE($D136,Milestones!$AA$89)&lt;PolicyEff),1,Milestones!$AC$89)&amp;";  ","")&amp;IF(AND(EDATE($D136,Milestones!$AA$90)&lt;=AsOfDate,EDATE($D136,Milestones!$AA$90)&gt;=SchemeStart,IF($X136=0,$AD136,IF(AND($Z136&lt;&gt;"",EDATE($D136,Milestones!$AA$90)&gt;=$Z136),$AC136,IF(AND($Y136&lt;&gt;"",EDATE($D136,Milestones!$AA$90)&gt;=$Y136),$AB136,$AA136)))=Milestones!$AB$90),UPPER(TEXT(EDATE($D136,Milestones!$AA$90),"dd mmm yy"))&amp;" "&amp;Milestones!$AB$90&amp;" "&amp;IF(AND(Milestones!$AB$90="FT",Milestones!$AA$90=FT_Y5,EDATE($D136,Milestones!$AA$90)&lt;PolicyEff),1,Milestones!$AC$90)&amp;";  ","")&amp;IF(AND(EDATE($D136,Milestones!$AA$91)&lt;=AsOfDate,EDATE($D136,Milestones!$AA$91)&gt;=SchemeStart,IF($X136=0,$AD136,IF(AND($Z136&lt;&gt;"",EDATE($D136,Milestones!$AA$91)&gt;=$Z136),$AC136,IF(AND($Y136&lt;&gt;"",EDATE($D136,Milestones!$AA$91)&gt;=$Y136),$AB136,$AA136)))=Milestones!$AB$91),UPPER(TEXT(EDATE($D136,Milestones!$AA$91),"dd mmm yy"))&amp;" "&amp;Milestones!$AB$91&amp;" "&amp;IF(AND(Milestones!$AB$91="FT",Milestones!$AA$91=FT_Y5,EDATE($D136,Milestones!$AA$91)&lt;PolicyEff),1,Milestones!$AC$91)&amp;";  ",""))</f>
        <v/>
      </c>
      <c r="O136" s="0" t="str">
        <f aca="false">IF(OR($A136="",$D136=""),"",IF(AND(EDATE($D136,Milestones!$AA$92)&lt;=AsOfDate,EDATE($D136,Milestones!$AA$92)&gt;=SchemeStart,IF($X136=0,$AD136,IF(AND($Z136&lt;&gt;"",EDATE($D136,Milestones!$AA$92)&gt;=$Z136),$AC136,IF(AND($Y136&lt;&gt;"",EDATE($D136,Milestones!$AA$92)&gt;=$Y136),$AB136,$AA136)))=Milestones!$AB$92),UPPER(TEXT(EDATE($D136,Milestones!$AA$92),"dd mmm yy"))&amp;" "&amp;Milestones!$AB$92&amp;" "&amp;IF(AND(Milestones!$AB$92="FT",Milestones!$AA$92=FT_Y5,EDATE($D136,Milestones!$AA$92)&lt;PolicyEff),1,Milestones!$AC$92)&amp;";  ","")&amp;IF(AND(EDATE($D136,Milestones!$AA$93)&lt;=AsOfDate,EDATE($D136,Milestones!$AA$93)&gt;=SchemeStart,IF($X136=0,$AD136,IF(AND($Z136&lt;&gt;"",EDATE($D136,Milestones!$AA$93)&gt;=$Z136),$AC136,IF(AND($Y136&lt;&gt;"",EDATE($D136,Milestones!$AA$93)&gt;=$Y136),$AB136,$AA136)))=Milestones!$AB$93),UPPER(TEXT(EDATE($D136,Milestones!$AA$93),"dd mmm yy"))&amp;" "&amp;Milestones!$AB$93&amp;" "&amp;IF(AND(Milestones!$AB$93="FT",Milestones!$AA$93=FT_Y5,EDATE($D136,Milestones!$AA$93)&lt;PolicyEff),1,Milestones!$AC$93)&amp;";  ","")&amp;IF(AND(EDATE($D136,Milestones!$AA$94)&lt;=AsOfDate,EDATE($D136,Milestones!$AA$94)&gt;=SchemeStart,IF($X136=0,$AD136,IF(AND($Z136&lt;&gt;"",EDATE($D136,Milestones!$AA$94)&gt;=$Z136),$AC136,IF(AND($Y136&lt;&gt;"",EDATE($D136,Milestones!$AA$94)&gt;=$Y136),$AB136,$AA136)))=Milestones!$AB$94),UPPER(TEXT(EDATE($D136,Milestones!$AA$94),"dd mmm yy"))&amp;" "&amp;Milestones!$AB$94&amp;" "&amp;IF(AND(Milestones!$AB$94="FT",Milestones!$AA$94=FT_Y5,EDATE($D136,Milestones!$AA$94)&lt;PolicyEff),1,Milestones!$AC$94)&amp;";  ","")&amp;IF(AND(EDATE($D136,Milestones!$AA$95)&lt;=AsOfDate,EDATE($D136,Milestones!$AA$95)&gt;=SchemeStart,IF($X136=0,$AD136,IF(AND($Z136&lt;&gt;"",EDATE($D136,Milestones!$AA$95)&gt;=$Z136),$AC136,IF(AND($Y136&lt;&gt;"",EDATE($D136,Milestones!$AA$95)&gt;=$Y136),$AB136,$AA136)))=Milestones!$AB$95),UPPER(TEXT(EDATE($D136,Milestones!$AA$95),"dd mmm yy"))&amp;" "&amp;Milestones!$AB$95&amp;" "&amp;IF(AND(Milestones!$AB$95="FT",Milestones!$AA$95=FT_Y5,EDATE($D136,Milestones!$AA$95)&lt;PolicyEff),1,Milestones!$AC$95)&amp;";  ","")&amp;IF(AND(EDATE($D136,Milestones!$AA$96)&lt;=AsOfDate,EDATE($D136,Milestones!$AA$96)&gt;=SchemeStart,IF($X136=0,$AD136,IF(AND($Z136&lt;&gt;"",EDATE($D136,Milestones!$AA$96)&gt;=$Z136),$AC136,IF(AND($Y136&lt;&gt;"",EDATE($D136,Milestones!$AA$96)&gt;=$Y136),$AB136,$AA136)))=Milestones!$AB$96),UPPER(TEXT(EDATE($D136,Milestones!$AA$96),"dd mmm yy"))&amp;" "&amp;Milestones!$AB$96&amp;" "&amp;IF(AND(Milestones!$AB$96="FT",Milestones!$AA$96=FT_Y5,EDATE($D136,Milestones!$AA$96)&lt;PolicyEff),1,Milestones!$AC$96)&amp;";  ","")&amp;IF(AND(EDATE($D136,Milestones!$AA$97)&lt;=AsOfDate,EDATE($D136,Milestones!$AA$97)&gt;=SchemeStart,IF($X136=0,$AD136,IF(AND($Z136&lt;&gt;"",EDATE($D136,Milestones!$AA$97)&gt;=$Z136),$AC136,IF(AND($Y136&lt;&gt;"",EDATE($D136,Milestones!$AA$97)&gt;=$Y136),$AB136,$AA136)))=Milestones!$AB$97),UPPER(TEXT(EDATE($D136,Milestones!$AA$97),"dd mmm yy"))&amp;" "&amp;Milestones!$AB$97&amp;" "&amp;IF(AND(Milestones!$AB$97="FT",Milestones!$AA$97=FT_Y5,EDATE($D136,Milestones!$AA$97)&lt;PolicyEff),1,Milestones!$AC$97)&amp;";  ","")&amp;IF(AND(EDATE($D136,Milestones!$AA$98)&lt;=AsOfDate,EDATE($D136,Milestones!$AA$98)&gt;=SchemeStart,IF($X136=0,$AD136,IF(AND($Z136&lt;&gt;"",EDATE($D136,Milestones!$AA$98)&gt;=$Z136),$AC136,IF(AND($Y136&lt;&gt;"",EDATE($D136,Milestones!$AA$98)&gt;=$Y136),$AB136,$AA136)))=Milestones!$AB$98),UPPER(TEXT(EDATE($D136,Milestones!$AA$98),"dd mmm yy"))&amp;" "&amp;Milestones!$AB$98&amp;" "&amp;IF(AND(Milestones!$AB$98="FT",Milestones!$AA$98=FT_Y5,EDATE($D136,Milestones!$AA$98)&lt;PolicyEff),1,Milestones!$AC$98)&amp;";  ","")&amp;IF(AND(EDATE($D136,Milestones!$AA$99)&lt;=AsOfDate,EDATE($D136,Milestones!$AA$99)&gt;=SchemeStart,IF($X136=0,$AD136,IF(AND($Z136&lt;&gt;"",EDATE($D136,Milestones!$AA$99)&gt;=$Z136),$AC136,IF(AND($Y136&lt;&gt;"",EDATE($D136,Milestones!$AA$99)&gt;=$Y136),$AB136,$AA136)))=Milestones!$AB$99),UPPER(TEXT(EDATE($D136,Milestones!$AA$99),"dd mmm yy"))&amp;" "&amp;Milestones!$AB$99&amp;" "&amp;IF(AND(Milestones!$AB$99="FT",Milestones!$AA$99=FT_Y5,EDATE($D136,Milestones!$AA$99)&lt;PolicyEff),1,Milestones!$AC$99)&amp;";  ","")&amp;IF(AND(EDATE($D136,Milestones!$AA$100)&lt;=AsOfDate,EDATE($D136,Milestones!$AA$100)&gt;=SchemeStart,IF($X136=0,$AD136,IF(AND($Z136&lt;&gt;"",EDATE($D136,Milestones!$AA$100)&gt;=$Z136),$AC136,IF(AND($Y136&lt;&gt;"",EDATE($D136,Milestones!$AA$100)&gt;=$Y136),$AB136,$AA136)))=Milestones!$AB$100),UPPER(TEXT(EDATE($D136,Milestones!$AA$100),"dd mmm yy"))&amp;" "&amp;Milestones!$AB$100&amp;" "&amp;IF(AND(Milestones!$AB$100="FT",Milestones!$AA$100=FT_Y5,EDATE($D136,Milestones!$AA$100)&lt;PolicyEff),1,Milestones!$AC$100)&amp;";  ","")&amp;IF(AND(EDATE($D136,Milestones!$AA$101)&lt;=AsOfDate,EDATE($D136,Milestones!$AA$101)&gt;=SchemeStart,IF($X136=0,$AD136,IF(AND($Z136&lt;&gt;"",EDATE($D136,Milestones!$AA$101)&gt;=$Z136),$AC136,IF(AND($Y136&lt;&gt;"",EDATE($D136,Milestones!$AA$101)&gt;=$Y136),$AB136,$AA136)))=Milestones!$AB$101),UPPER(TEXT(EDATE($D136,Milestones!$AA$101),"dd mmm yy"))&amp;" "&amp;Milestones!$AB$101&amp;" "&amp;IF(AND(Milestones!$AB$101="FT",Milestones!$AA$101=FT_Y5,EDATE($D136,Milestones!$AA$101)&lt;PolicyEff),1,Milestones!$AC$101)&amp;";  ","")&amp;IF(AND(EDATE($D136,Milestones!$AA$102)&lt;=AsOfDate,EDATE($D136,Milestones!$AA$102)&gt;=SchemeStart,IF($X136=0,$AD136,IF(AND($Z136&lt;&gt;"",EDATE($D136,Milestones!$AA$102)&gt;=$Z136),$AC136,IF(AND($Y136&lt;&gt;"",EDATE($D136,Milestones!$AA$102)&gt;=$Y136),$AB136,$AA136)))=Milestones!$AB$102),UPPER(TEXT(EDATE($D136,Milestones!$AA$102),"dd mmm yy"))&amp;" "&amp;Milestones!$AB$102&amp;" "&amp;IF(AND(Milestones!$AB$102="FT",Milestones!$AA$102=FT_Y5,EDATE($D136,Milestones!$AA$102)&lt;PolicyEff),1,Milestones!$AC$102)&amp;";  ","")&amp;IF(AND(EDATE($D136,Milestones!$AA$103)&lt;=AsOfDate,EDATE($D136,Milestones!$AA$103)&gt;=SchemeStart,IF($X136=0,$AD136,IF(AND($Z136&lt;&gt;"",EDATE($D136,Milestones!$AA$103)&gt;=$Z136),$AC136,IF(AND($Y136&lt;&gt;"",EDATE($D136,Milestones!$AA$103)&gt;=$Y136),$AB136,$AA136)))=Milestones!$AB$103),UPPER(TEXT(EDATE($D136,Milestones!$AA$103),"dd mmm yy"))&amp;" "&amp;Milestones!$AB$103&amp;" "&amp;IF(AND(Milestones!$AB$103="FT",Milestones!$AA$103=FT_Y5,EDATE($D136,Milestones!$AA$103)&lt;PolicyEff),1,Milestones!$AC$103)&amp;";  ",""))</f>
        <v/>
      </c>
      <c r="P136" s="0" t="str">
        <f aca="false">IF(OR($A136="",$D136=""),"",IF(AND(EDATE($D136,Milestones!$AA$104)&lt;=AsOfDate,EDATE($D136,Milestones!$AA$104)&gt;=SchemeStart,IF($X136=0,$AD136,IF(AND($Z136&lt;&gt;"",EDATE($D136,Milestones!$AA$104)&gt;=$Z136),$AC136,IF(AND($Y136&lt;&gt;"",EDATE($D136,Milestones!$AA$104)&gt;=$Y136),$AB136,$AA136)))=Milestones!$AB$104),UPPER(TEXT(EDATE($D136,Milestones!$AA$104),"dd mmm yy"))&amp;" "&amp;Milestones!$AB$104&amp;" "&amp;IF(AND(Milestones!$AB$104="FT",Milestones!$AA$104=FT_Y5,EDATE($D136,Milestones!$AA$104)&lt;PolicyEff),1,Milestones!$AC$104)&amp;";  ","")&amp;IF(AND(EDATE($D136,Milestones!$AA$105)&lt;=AsOfDate,EDATE($D136,Milestones!$AA$105)&gt;=SchemeStart,IF($X136=0,$AD136,IF(AND($Z136&lt;&gt;"",EDATE($D136,Milestones!$AA$105)&gt;=$Z136),$AC136,IF(AND($Y136&lt;&gt;"",EDATE($D136,Milestones!$AA$105)&gt;=$Y136),$AB136,$AA136)))=Milestones!$AB$105),UPPER(TEXT(EDATE($D136,Milestones!$AA$105),"dd mmm yy"))&amp;" "&amp;Milestones!$AB$105&amp;" "&amp;IF(AND(Milestones!$AB$105="FT",Milestones!$AA$105=FT_Y5,EDATE($D136,Milestones!$AA$105)&lt;PolicyEff),1,Milestones!$AC$105)&amp;";  ","")&amp;IF(AND(EDATE($D136,Milestones!$AA$106)&lt;=AsOfDate,EDATE($D136,Milestones!$AA$106)&gt;=SchemeStart,IF($X136=0,$AD136,IF(AND($Z136&lt;&gt;"",EDATE($D136,Milestones!$AA$106)&gt;=$Z136),$AC136,IF(AND($Y136&lt;&gt;"",EDATE($D136,Milestones!$AA$106)&gt;=$Y136),$AB136,$AA136)))=Milestones!$AB$106),UPPER(TEXT(EDATE($D136,Milestones!$AA$106),"dd mmm yy"))&amp;" "&amp;Milestones!$AB$106&amp;" "&amp;IF(AND(Milestones!$AB$106="FT",Milestones!$AA$106=FT_Y5,EDATE($D136,Milestones!$AA$106)&lt;PolicyEff),1,Milestones!$AC$106)&amp;";  ","")&amp;IF(AND(EDATE($D136,Milestones!$AA$107)&lt;=AsOfDate,EDATE($D136,Milestones!$AA$107)&gt;=SchemeStart,IF($X136=0,$AD136,IF(AND($Z136&lt;&gt;"",EDATE($D136,Milestones!$AA$107)&gt;=$Z136),$AC136,IF(AND($Y136&lt;&gt;"",EDATE($D136,Milestones!$AA$107)&gt;=$Y136),$AB136,$AA136)))=Milestones!$AB$107),UPPER(TEXT(EDATE($D136,Milestones!$AA$107),"dd mmm yy"))&amp;" "&amp;Milestones!$AB$107&amp;" "&amp;IF(AND(Milestones!$AB$107="FT",Milestones!$AA$107=FT_Y5,EDATE($D136,Milestones!$AA$107)&lt;PolicyEff),1,Milestones!$AC$107)&amp;";  ","")&amp;IF(AND(EDATE($D136,Milestones!$AA$108)&lt;=AsOfDate,EDATE($D136,Milestones!$AA$108)&gt;=SchemeStart,IF($X136=0,$AD136,IF(AND($Z136&lt;&gt;"",EDATE($D136,Milestones!$AA$108)&gt;=$Z136),$AC136,IF(AND($Y136&lt;&gt;"",EDATE($D136,Milestones!$AA$108)&gt;=$Y136),$AB136,$AA136)))=Milestones!$AB$108),UPPER(TEXT(EDATE($D136,Milestones!$AA$108),"dd mmm yy"))&amp;" "&amp;Milestones!$AB$108&amp;" "&amp;IF(AND(Milestones!$AB$108="FT",Milestones!$AA$108=FT_Y5,EDATE($D136,Milestones!$AA$108)&lt;PolicyEff),1,Milestones!$AC$108)&amp;";  ","")&amp;IF(AND(EDATE($D136,Milestones!$AA$109)&lt;=AsOfDate,EDATE($D136,Milestones!$AA$109)&gt;=SchemeStart,IF($X136=0,$AD136,IF(AND($Z136&lt;&gt;"",EDATE($D136,Milestones!$AA$109)&gt;=$Z136),$AC136,IF(AND($Y136&lt;&gt;"",EDATE($D136,Milestones!$AA$109)&gt;=$Y136),$AB136,$AA136)))=Milestones!$AB$109),UPPER(TEXT(EDATE($D136,Milestones!$AA$109),"dd mmm yy"))&amp;" "&amp;Milestones!$AB$109&amp;" "&amp;IF(AND(Milestones!$AB$109="FT",Milestones!$AA$109=FT_Y5,EDATE($D136,Milestones!$AA$109)&lt;PolicyEff),1,Milestones!$AC$109)&amp;";  ","")&amp;IF(AND(EDATE($D136,Milestones!$AA$110)&lt;=AsOfDate,EDATE($D136,Milestones!$AA$110)&gt;=SchemeStart,IF($X136=0,$AD136,IF(AND($Z136&lt;&gt;"",EDATE($D136,Milestones!$AA$110)&gt;=$Z136),$AC136,IF(AND($Y136&lt;&gt;"",EDATE($D136,Milestones!$AA$110)&gt;=$Y136),$AB136,$AA136)))=Milestones!$AB$110),UPPER(TEXT(EDATE($D136,Milestones!$AA$110),"dd mmm yy"))&amp;" "&amp;Milestones!$AB$110&amp;" "&amp;IF(AND(Milestones!$AB$110="FT",Milestones!$AA$110=FT_Y5,EDATE($D136,Milestones!$AA$110)&lt;PolicyEff),1,Milestones!$AC$110)&amp;";  ","")&amp;IF(AND(EDATE($D136,Milestones!$AA$111)&lt;=AsOfDate,EDATE($D136,Milestones!$AA$111)&gt;=SchemeStart,IF($X136=0,$AD136,IF(AND($Z136&lt;&gt;"",EDATE($D136,Milestones!$AA$111)&gt;=$Z136),$AC136,IF(AND($Y136&lt;&gt;"",EDATE($D136,Milestones!$AA$111)&gt;=$Y136),$AB136,$AA136)))=Milestones!$AB$111),UPPER(TEXT(EDATE($D136,Milestones!$AA$111),"dd mmm yy"))&amp;" "&amp;Milestones!$AB$111&amp;" "&amp;IF(AND(Milestones!$AB$111="FT",Milestones!$AA$111=FT_Y5,EDATE($D136,Milestones!$AA$111)&lt;PolicyEff),1,Milestones!$AC$111)&amp;";  ","")&amp;IF(AND(EDATE($D136,Milestones!$AA$112)&lt;=AsOfDate,EDATE($D136,Milestones!$AA$112)&gt;=SchemeStart,IF($X136=0,$AD136,IF(AND($Z136&lt;&gt;"",EDATE($D136,Milestones!$AA$112)&gt;=$Z136),$AC136,IF(AND($Y136&lt;&gt;"",EDATE($D136,Milestones!$AA$112)&gt;=$Y136),$AB136,$AA136)))=Milestones!$AB$112),UPPER(TEXT(EDATE($D136,Milestones!$AA$112),"dd mmm yy"))&amp;" "&amp;Milestones!$AB$112&amp;" "&amp;IF(AND(Milestones!$AB$112="FT",Milestones!$AA$112=FT_Y5,EDATE($D136,Milestones!$AA$112)&lt;PolicyEff),1,Milestones!$AC$112)&amp;";  ","")&amp;IF(AND(EDATE($D136,Milestones!$AA$113)&lt;=AsOfDate,EDATE($D136,Milestones!$AA$113)&gt;=SchemeStart,IF($X136=0,$AD136,IF(AND($Z136&lt;&gt;"",EDATE($D136,Milestones!$AA$113)&gt;=$Z136),$AC136,IF(AND($Y136&lt;&gt;"",EDATE($D136,Milestones!$AA$113)&gt;=$Y136),$AB136,$AA136)))=Milestones!$AB$113),UPPER(TEXT(EDATE($D136,Milestones!$AA$113),"dd mmm yy"))&amp;" "&amp;Milestones!$AB$113&amp;" "&amp;IF(AND(Milestones!$AB$113="FT",Milestones!$AA$113=FT_Y5,EDATE($D136,Milestones!$AA$113)&lt;PolicyEff),1,Milestones!$AC$113)&amp;";  ","")&amp;IF(AND(EDATE($D136,Milestones!$AA$114)&lt;=AsOfDate,EDATE($D136,Milestones!$AA$114)&gt;=SchemeStart,IF($X136=0,$AD136,IF(AND($Z136&lt;&gt;"",EDATE($D136,Milestones!$AA$114)&gt;=$Z136),$AC136,IF(AND($Y136&lt;&gt;"",EDATE($D136,Milestones!$AA$114)&gt;=$Y136),$AB136,$AA136)))=Milestones!$AB$114),UPPER(TEXT(EDATE($D136,Milestones!$AA$114),"dd mmm yy"))&amp;" "&amp;Milestones!$AB$114&amp;" "&amp;IF(AND(Milestones!$AB$114="FT",Milestones!$AA$114=FT_Y5,EDATE($D136,Milestones!$AA$114)&lt;PolicyEff),1,Milestones!$AC$114)&amp;";  ","")&amp;IF(AND(EDATE($D136,Milestones!$AA$115)&lt;=AsOfDate,EDATE($D136,Milestones!$AA$115)&gt;=SchemeStart,IF($X136=0,$AD136,IF(AND($Z136&lt;&gt;"",EDATE($D136,Milestones!$AA$115)&gt;=$Z136),$AC136,IF(AND($Y136&lt;&gt;"",EDATE($D136,Milestones!$AA$115)&gt;=$Y136),$AB136,$AA136)))=Milestones!$AB$115),UPPER(TEXT(EDATE($D136,Milestones!$AA$115),"dd mmm yy"))&amp;" "&amp;Milestones!$AB$115&amp;" "&amp;IF(AND(Milestones!$AB$115="FT",Milestones!$AA$115=FT_Y5,EDATE($D136,Milestones!$AA$115)&lt;PolicyEff),1,Milestones!$AC$115)&amp;";  ",""))</f>
        <v/>
      </c>
      <c r="Q136" s="0" t="str">
        <f aca="false">IF(OR($A136="",$D136=""),"",IF(AND(EDATE($D136,Milestones!$AA$116)&lt;=AsOfDate,EDATE($D136,Milestones!$AA$116)&gt;=SchemeStart,IF($X136=0,$AD136,IF(AND($Z136&lt;&gt;"",EDATE($D136,Milestones!$AA$116)&gt;=$Z136),$AC136,IF(AND($Y136&lt;&gt;"",EDATE($D136,Milestones!$AA$116)&gt;=$Y136),$AB136,$AA136)))=Milestones!$AB$116),UPPER(TEXT(EDATE($D136,Milestones!$AA$116),"dd mmm yy"))&amp;" "&amp;Milestones!$AB$116&amp;" "&amp;IF(AND(Milestones!$AB$116="FT",Milestones!$AA$116=FT_Y5,EDATE($D136,Milestones!$AA$116)&lt;PolicyEff),1,Milestones!$AC$116)&amp;";  ","")&amp;IF(AND(EDATE($D136,Milestones!$AA$117)&lt;=AsOfDate,EDATE($D136,Milestones!$AA$117)&gt;=SchemeStart,IF($X136=0,$AD136,IF(AND($Z136&lt;&gt;"",EDATE($D136,Milestones!$AA$117)&gt;=$Z136),$AC136,IF(AND($Y136&lt;&gt;"",EDATE($D136,Milestones!$AA$117)&gt;=$Y136),$AB136,$AA136)))=Milestones!$AB$117),UPPER(TEXT(EDATE($D136,Milestones!$AA$117),"dd mmm yy"))&amp;" "&amp;Milestones!$AB$117&amp;" "&amp;IF(AND(Milestones!$AB$117="FT",Milestones!$AA$117=FT_Y5,EDATE($D136,Milestones!$AA$117)&lt;PolicyEff),1,Milestones!$AC$117)&amp;";  ","")&amp;IF(AND(EDATE($D136,Milestones!$AA$118)&lt;=AsOfDate,EDATE($D136,Milestones!$AA$118)&gt;=SchemeStart,IF($X136=0,$AD136,IF(AND($Z136&lt;&gt;"",EDATE($D136,Milestones!$AA$118)&gt;=$Z136),$AC136,IF(AND($Y136&lt;&gt;"",EDATE($D136,Milestones!$AA$118)&gt;=$Y136),$AB136,$AA136)))=Milestones!$AB$118),UPPER(TEXT(EDATE($D136,Milestones!$AA$118),"dd mmm yy"))&amp;" "&amp;Milestones!$AB$118&amp;" "&amp;IF(AND(Milestones!$AB$118="FT",Milestones!$AA$118=FT_Y5,EDATE($D136,Milestones!$AA$118)&lt;PolicyEff),1,Milestones!$AC$118)&amp;";  ","")&amp;IF(AND(EDATE($D136,Milestones!$AA$119)&lt;=AsOfDate,EDATE($D136,Milestones!$AA$119)&gt;=SchemeStart,IF($X136=0,$AD136,IF(AND($Z136&lt;&gt;"",EDATE($D136,Milestones!$AA$119)&gt;=$Z136),$AC136,IF(AND($Y136&lt;&gt;"",EDATE($D136,Milestones!$AA$119)&gt;=$Y136),$AB136,$AA136)))=Milestones!$AB$119),UPPER(TEXT(EDATE($D136,Milestones!$AA$119),"dd mmm yy"))&amp;" "&amp;Milestones!$AB$119&amp;" "&amp;IF(AND(Milestones!$AB$119="FT",Milestones!$AA$119=FT_Y5,EDATE($D136,Milestones!$AA$119)&lt;PolicyEff),1,Milestones!$AC$119)&amp;";  ","")&amp;IF(AND(EDATE($D136,Milestones!$AA$120)&lt;=AsOfDate,EDATE($D136,Milestones!$AA$120)&gt;=SchemeStart,IF($X136=0,$AD136,IF(AND($Z136&lt;&gt;"",EDATE($D136,Milestones!$AA$120)&gt;=$Z136),$AC136,IF(AND($Y136&lt;&gt;"",EDATE($D136,Milestones!$AA$120)&gt;=$Y136),$AB136,$AA136)))=Milestones!$AB$120),UPPER(TEXT(EDATE($D136,Milestones!$AA$120),"dd mmm yy"))&amp;" "&amp;Milestones!$AB$120&amp;" "&amp;IF(AND(Milestones!$AB$120="FT",Milestones!$AA$120=FT_Y5,EDATE($D136,Milestones!$AA$120)&lt;PolicyEff),1,Milestones!$AC$120)&amp;";  ","")&amp;IF(AND(EDATE($D136,Milestones!$AA$121)&lt;=AsOfDate,EDATE($D136,Milestones!$AA$121)&gt;=SchemeStart,IF($X136=0,$AD136,IF(AND($Z136&lt;&gt;"",EDATE($D136,Milestones!$AA$121)&gt;=$Z136),$AC136,IF(AND($Y136&lt;&gt;"",EDATE($D136,Milestones!$AA$121)&gt;=$Y136),$AB136,$AA136)))=Milestones!$AB$121),UPPER(TEXT(EDATE($D136,Milestones!$AA$121),"dd mmm yy"))&amp;" "&amp;Milestones!$AB$121&amp;" "&amp;IF(AND(Milestones!$AB$121="FT",Milestones!$AA$121=FT_Y5,EDATE($D136,Milestones!$AA$121)&lt;PolicyEff),1,Milestones!$AC$121)&amp;";  ","")&amp;IF(AND(EDATE($D136,Milestones!$AA$122)&lt;=AsOfDate,EDATE($D136,Milestones!$AA$122)&gt;=SchemeStart,IF($X136=0,$AD136,IF(AND($Z136&lt;&gt;"",EDATE($D136,Milestones!$AA$122)&gt;=$Z136),$AC136,IF(AND($Y136&lt;&gt;"",EDATE($D136,Milestones!$AA$122)&gt;=$Y136),$AB136,$AA136)))=Milestones!$AB$122),UPPER(TEXT(EDATE($D136,Milestones!$AA$122),"dd mmm yy"))&amp;" "&amp;Milestones!$AB$122&amp;" "&amp;IF(AND(Milestones!$AB$122="FT",Milestones!$AA$122=FT_Y5,EDATE($D136,Milestones!$AA$122)&lt;PolicyEff),1,Milestones!$AC$122)&amp;";  ","")&amp;IF(AND(EDATE($D136,Milestones!$AA$123)&lt;=AsOfDate,EDATE($D136,Milestones!$AA$123)&gt;=SchemeStart,IF($X136=0,$AD136,IF(AND($Z136&lt;&gt;"",EDATE($D136,Milestones!$AA$123)&gt;=$Z136),$AC136,IF(AND($Y136&lt;&gt;"",EDATE($D136,Milestones!$AA$123)&gt;=$Y136),$AB136,$AA136)))=Milestones!$AB$123),UPPER(TEXT(EDATE($D136,Milestones!$AA$123),"dd mmm yy"))&amp;" "&amp;Milestones!$AB$123&amp;" "&amp;IF(AND(Milestones!$AB$123="FT",Milestones!$AA$123=FT_Y5,EDATE($D136,Milestones!$AA$123)&lt;PolicyEff),1,Milestones!$AC$123)&amp;";  ","")&amp;IF(AND(EDATE($D136,Milestones!$AA$124)&lt;=AsOfDate,EDATE($D136,Milestones!$AA$124)&gt;=SchemeStart,IF($X136=0,$AD136,IF(AND($Z136&lt;&gt;"",EDATE($D136,Milestones!$AA$124)&gt;=$Z136),$AC136,IF(AND($Y136&lt;&gt;"",EDATE($D136,Milestones!$AA$124)&gt;=$Y136),$AB136,$AA136)))=Milestones!$AB$124),UPPER(TEXT(EDATE($D136,Milestones!$AA$124),"dd mmm yy"))&amp;" "&amp;Milestones!$AB$124&amp;" "&amp;IF(AND(Milestones!$AB$124="FT",Milestones!$AA$124=FT_Y5,EDATE($D136,Milestones!$AA$124)&lt;PolicyEff),1,Milestones!$AC$124)&amp;";  ","")&amp;IF(AND(EDATE($D136,Milestones!$AA$125)&lt;=AsOfDate,EDATE($D136,Milestones!$AA$125)&gt;=SchemeStart,IF($X136=0,$AD136,IF(AND($Z136&lt;&gt;"",EDATE($D136,Milestones!$AA$125)&gt;=$Z136),$AC136,IF(AND($Y136&lt;&gt;"",EDATE($D136,Milestones!$AA$125)&gt;=$Y136),$AB136,$AA136)))=Milestones!$AB$125),UPPER(TEXT(EDATE($D136,Milestones!$AA$125),"dd mmm yy"))&amp;" "&amp;Milestones!$AB$125&amp;" "&amp;IF(AND(Milestones!$AB$125="FT",Milestones!$AA$125=FT_Y5,EDATE($D136,Milestones!$AA$125)&lt;PolicyEff),1,Milestones!$AC$125)&amp;";  ","")&amp;IF(AND(EDATE($D136,Milestones!$AA$126)&lt;=AsOfDate,EDATE($D136,Milestones!$AA$126)&gt;=SchemeStart,IF($X136=0,$AD136,IF(AND($Z136&lt;&gt;"",EDATE($D136,Milestones!$AA$126)&gt;=$Z136),$AC136,IF(AND($Y136&lt;&gt;"",EDATE($D136,Milestones!$AA$126)&gt;=$Y136),$AB136,$AA136)))=Milestones!$AB$126),UPPER(TEXT(EDATE($D136,Milestones!$AA$126),"dd mmm yy"))&amp;" "&amp;Milestones!$AB$126&amp;" "&amp;IF(AND(Milestones!$AB$126="FT",Milestones!$AA$126=FT_Y5,EDATE($D136,Milestones!$AA$126)&lt;PolicyEff),1,Milestones!$AC$126)&amp;";  ","")&amp;IF(AND(EDATE($D136,Milestones!$AA$127)&lt;=AsOfDate,EDATE($D136,Milestones!$AA$127)&gt;=SchemeStart,IF($X136=0,$AD136,IF(AND($Z136&lt;&gt;"",EDATE($D136,Milestones!$AA$127)&gt;=$Z136),$AC136,IF(AND($Y136&lt;&gt;"",EDATE($D136,Milestones!$AA$127)&gt;=$Y136),$AB136,$AA136)))=Milestones!$AB$127),UPPER(TEXT(EDATE($D136,Milestones!$AA$127),"dd mmm yy"))&amp;" "&amp;Milestones!$AB$127&amp;" "&amp;IF(AND(Milestones!$AB$127="FT",Milestones!$AA$127=FT_Y5,EDATE($D136,Milestones!$AA$127)&lt;PolicyEff),1,Milestones!$AC$127)&amp;";  ",""))</f>
        <v/>
      </c>
      <c r="R136" s="0" t="str">
        <f aca="false">IF(OR($A136="",$D136=""),"",IF(AND(EDATE($D136,Milestones!$AA$128)&lt;=AsOfDate,EDATE($D136,Milestones!$AA$128)&gt;=SchemeStart,IF($X136=0,$AD136,IF(AND($Z136&lt;&gt;"",EDATE($D136,Milestones!$AA$128)&gt;=$Z136),$AC136,IF(AND($Y136&lt;&gt;"",EDATE($D136,Milestones!$AA$128)&gt;=$Y136),$AB136,$AA136)))=Milestones!$AB$128),UPPER(TEXT(EDATE($D136,Milestones!$AA$128),"dd mmm yy"))&amp;" "&amp;Milestones!$AB$128&amp;" "&amp;IF(AND(Milestones!$AB$128="FT",Milestones!$AA$128=FT_Y5,EDATE($D136,Milestones!$AA$128)&lt;PolicyEff),1,Milestones!$AC$128)&amp;";  ","")&amp;IF(AND(EDATE($D136,Milestones!$AA$129)&lt;=AsOfDate,EDATE($D136,Milestones!$AA$129)&gt;=SchemeStart,IF($X136=0,$AD136,IF(AND($Z136&lt;&gt;"",EDATE($D136,Milestones!$AA$129)&gt;=$Z136),$AC136,IF(AND($Y136&lt;&gt;"",EDATE($D136,Milestones!$AA$129)&gt;=$Y136),$AB136,$AA136)))=Milestones!$AB$129),UPPER(TEXT(EDATE($D136,Milestones!$AA$129),"dd mmm yy"))&amp;" "&amp;Milestones!$AB$129&amp;" "&amp;IF(AND(Milestones!$AB$129="FT",Milestones!$AA$129=FT_Y5,EDATE($D136,Milestones!$AA$129)&lt;PolicyEff),1,Milestones!$AC$129)&amp;";  ","")&amp;IF(AND(EDATE($D136,Milestones!$AA$130)&lt;=AsOfDate,EDATE($D136,Milestones!$AA$130)&gt;=SchemeStart,IF($X136=0,$AD136,IF(AND($Z136&lt;&gt;"",EDATE($D136,Milestones!$AA$130)&gt;=$Z136),$AC136,IF(AND($Y136&lt;&gt;"",EDATE($D136,Milestones!$AA$130)&gt;=$Y136),$AB136,$AA136)))=Milestones!$AB$130),UPPER(TEXT(EDATE($D136,Milestones!$AA$130),"dd mmm yy"))&amp;" "&amp;Milestones!$AB$130&amp;" "&amp;IF(AND(Milestones!$AB$130="FT",Milestones!$AA$130=FT_Y5,EDATE($D136,Milestones!$AA$130)&lt;PolicyEff),1,Milestones!$AC$130)&amp;";  ","")&amp;IF(AND(EDATE($D136,Milestones!$AA$131)&lt;=AsOfDate,EDATE($D136,Milestones!$AA$131)&gt;=SchemeStart,IF($X136=0,$AD136,IF(AND($Z136&lt;&gt;"",EDATE($D136,Milestones!$AA$131)&gt;=$Z136),$AC136,IF(AND($Y136&lt;&gt;"",EDATE($D136,Milestones!$AA$131)&gt;=$Y136),$AB136,$AA136)))=Milestones!$AB$131),UPPER(TEXT(EDATE($D136,Milestones!$AA$131),"dd mmm yy"))&amp;" "&amp;Milestones!$AB$131&amp;" "&amp;IF(AND(Milestones!$AB$131="FT",Milestones!$AA$131=FT_Y5,EDATE($D136,Milestones!$AA$131)&lt;PolicyEff),1,Milestones!$AC$131)&amp;";  ","")&amp;IF(AND(EDATE($D136,Milestones!$AA$132)&lt;=AsOfDate,EDATE($D136,Milestones!$AA$132)&gt;=SchemeStart,IF($X136=0,$AD136,IF(AND($Z136&lt;&gt;"",EDATE($D136,Milestones!$AA$132)&gt;=$Z136),$AC136,IF(AND($Y136&lt;&gt;"",EDATE($D136,Milestones!$AA$132)&gt;=$Y136),$AB136,$AA136)))=Milestones!$AB$132),UPPER(TEXT(EDATE($D136,Milestones!$AA$132),"dd mmm yy"))&amp;" "&amp;Milestones!$AB$132&amp;" "&amp;IF(AND(Milestones!$AB$132="FT",Milestones!$AA$132=FT_Y5,EDATE($D136,Milestones!$AA$132)&lt;PolicyEff),1,Milestones!$AC$132)&amp;";  ","")&amp;IF(AND(EDATE($D136,Milestones!$AA$133)&lt;=AsOfDate,EDATE($D136,Milestones!$AA$133)&gt;=SchemeStart,IF($X136=0,$AD136,IF(AND($Z136&lt;&gt;"",EDATE($D136,Milestones!$AA$133)&gt;=$Z136),$AC136,IF(AND($Y136&lt;&gt;"",EDATE($D136,Milestones!$AA$133)&gt;=$Y136),$AB136,$AA136)))=Milestones!$AB$133),UPPER(TEXT(EDATE($D136,Milestones!$AA$133),"dd mmm yy"))&amp;" "&amp;Milestones!$AB$133&amp;" "&amp;IF(AND(Milestones!$AB$133="FT",Milestones!$AA$133=FT_Y5,EDATE($D136,Milestones!$AA$133)&lt;PolicyEff),1,Milestones!$AC$133)&amp;";  ","")&amp;IF(AND(EDATE($D136,Milestones!$AA$134)&lt;=AsOfDate,EDATE($D136,Milestones!$AA$134)&gt;=SchemeStart,IF($X136=0,$AD136,IF(AND($Z136&lt;&gt;"",EDATE($D136,Milestones!$AA$134)&gt;=$Z136),$AC136,IF(AND($Y136&lt;&gt;"",EDATE($D136,Milestones!$AA$134)&gt;=$Y136),$AB136,$AA136)))=Milestones!$AB$134),UPPER(TEXT(EDATE($D136,Milestones!$AA$134),"dd mmm yy"))&amp;" "&amp;Milestones!$AB$134&amp;" "&amp;IF(AND(Milestones!$AB$134="FT",Milestones!$AA$134=FT_Y5,EDATE($D136,Milestones!$AA$134)&lt;PolicyEff),1,Milestones!$AC$134)&amp;";  ","")&amp;IF(AND(EDATE($D136,Milestones!$AA$135)&lt;=AsOfDate,EDATE($D136,Milestones!$AA$135)&gt;=SchemeStart,IF($X136=0,$AD136,IF(AND($Z136&lt;&gt;"",EDATE($D136,Milestones!$AA$135)&gt;=$Z136),$AC136,IF(AND($Y136&lt;&gt;"",EDATE($D136,Milestones!$AA$135)&gt;=$Y136),$AB136,$AA136)))=Milestones!$AB$135),UPPER(TEXT(EDATE($D136,Milestones!$AA$135),"dd mmm yy"))&amp;" "&amp;Milestones!$AB$135&amp;" "&amp;IF(AND(Milestones!$AB$135="FT",Milestones!$AA$135=FT_Y5,EDATE($D136,Milestones!$AA$135)&lt;PolicyEff),1,Milestones!$AC$135)&amp;";  ","")&amp;IF(AND(EDATE($D136,Milestones!$AA$136)&lt;=AsOfDate,EDATE($D136,Milestones!$AA$136)&gt;=SchemeStart,IF($X136=0,$AD136,IF(AND($Z136&lt;&gt;"",EDATE($D136,Milestones!$AA$136)&gt;=$Z136),$AC136,IF(AND($Y136&lt;&gt;"",EDATE($D136,Milestones!$AA$136)&gt;=$Y136),$AB136,$AA136)))=Milestones!$AB$136),UPPER(TEXT(EDATE($D136,Milestones!$AA$136),"dd mmm yy"))&amp;" "&amp;Milestones!$AB$136&amp;" "&amp;IF(AND(Milestones!$AB$136="FT",Milestones!$AA$136=FT_Y5,EDATE($D136,Milestones!$AA$136)&lt;PolicyEff),1,Milestones!$AC$136)&amp;";  ","")&amp;IF(AND(EDATE($D136,Milestones!$AA$137)&lt;=AsOfDate,EDATE($D136,Milestones!$AA$137)&gt;=SchemeStart,IF($X136=0,$AD136,IF(AND($Z136&lt;&gt;"",EDATE($D136,Milestones!$AA$137)&gt;=$Z136),$AC136,IF(AND($Y136&lt;&gt;"",EDATE($D136,Milestones!$AA$137)&gt;=$Y136),$AB136,$AA136)))=Milestones!$AB$137),UPPER(TEXT(EDATE($D136,Milestones!$AA$137),"dd mmm yy"))&amp;" "&amp;Milestones!$AB$137&amp;" "&amp;IF(AND(Milestones!$AB$137="FT",Milestones!$AA$137=FT_Y5,EDATE($D136,Milestones!$AA$137)&lt;PolicyEff),1,Milestones!$AC$137)&amp;";  ","")&amp;IF(AND(EDATE($D136,Milestones!$AA$138)&lt;=AsOfDate,EDATE($D136,Milestones!$AA$138)&gt;=SchemeStart,IF($X136=0,$AD136,IF(AND($Z136&lt;&gt;"",EDATE($D136,Milestones!$AA$138)&gt;=$Z136),$AC136,IF(AND($Y136&lt;&gt;"",EDATE($D136,Milestones!$AA$138)&gt;=$Y136),$AB136,$AA136)))=Milestones!$AB$138),UPPER(TEXT(EDATE($D136,Milestones!$AA$138),"dd mmm yy"))&amp;" "&amp;Milestones!$AB$138&amp;" "&amp;IF(AND(Milestones!$AB$138="FT",Milestones!$AA$138=FT_Y5,EDATE($D136,Milestones!$AA$138)&lt;PolicyEff),1,Milestones!$AC$138)&amp;";  ","")&amp;IF(AND(EDATE($D136,Milestones!$AA$139)&lt;=AsOfDate,EDATE($D136,Milestones!$AA$139)&gt;=SchemeStart,IF($X136=0,$AD136,IF(AND($Z136&lt;&gt;"",EDATE($D136,Milestones!$AA$139)&gt;=$Z136),$AC136,IF(AND($Y136&lt;&gt;"",EDATE($D136,Milestones!$AA$139)&gt;=$Y136),$AB136,$AA136)))=Milestones!$AB$139),UPPER(TEXT(EDATE($D136,Milestones!$AA$139),"dd mmm yy"))&amp;" "&amp;Milestones!$AB$139&amp;" "&amp;IF(AND(Milestones!$AB$139="FT",Milestones!$AA$139=FT_Y5,EDATE($D136,Milestones!$AA$139)&lt;PolicyEff),1,Milestones!$AC$139)&amp;";  ",""))</f>
        <v/>
      </c>
      <c r="S136" s="0" t="str">
        <f aca="false">IF(OR($A136="",$D136=""),"",IF(AND(EDATE($D136,Milestones!$AA$140)&lt;=AsOfDate,EDATE($D136,Milestones!$AA$140)&gt;=SchemeStart,IF($X136=0,$AD136,IF(AND($Z136&lt;&gt;"",EDATE($D136,Milestones!$AA$140)&gt;=$Z136),$AC136,IF(AND($Y136&lt;&gt;"",EDATE($D136,Milestones!$AA$140)&gt;=$Y136),$AB136,$AA136)))=Milestones!$AB$140),UPPER(TEXT(EDATE($D136,Milestones!$AA$140),"dd mmm yy"))&amp;" "&amp;Milestones!$AB$140&amp;" "&amp;IF(AND(Milestones!$AB$140="FT",Milestones!$AA$140=FT_Y5,EDATE($D136,Milestones!$AA$140)&lt;PolicyEff),1,Milestones!$AC$140)&amp;";  ","")&amp;IF(AND(EDATE($D136,Milestones!$AA$141)&lt;=AsOfDate,EDATE($D136,Milestones!$AA$141)&gt;=SchemeStart,IF($X136=0,$AD136,IF(AND($Z136&lt;&gt;"",EDATE($D136,Milestones!$AA$141)&gt;=$Z136),$AC136,IF(AND($Y136&lt;&gt;"",EDATE($D136,Milestones!$AA$141)&gt;=$Y136),$AB136,$AA136)))=Milestones!$AB$141),UPPER(TEXT(EDATE($D136,Milestones!$AA$141),"dd mmm yy"))&amp;" "&amp;Milestones!$AB$141&amp;" "&amp;IF(AND(Milestones!$AB$141="FT",Milestones!$AA$141=FT_Y5,EDATE($D136,Milestones!$AA$141)&lt;PolicyEff),1,Milestones!$AC$141)&amp;";  ","")&amp;IF(AND(EDATE($D136,Milestones!$AA$142)&lt;=AsOfDate,EDATE($D136,Milestones!$AA$142)&gt;=SchemeStart,IF($X136=0,$AD136,IF(AND($Z136&lt;&gt;"",EDATE($D136,Milestones!$AA$142)&gt;=$Z136),$AC136,IF(AND($Y136&lt;&gt;"",EDATE($D136,Milestones!$AA$142)&gt;=$Y136),$AB136,$AA136)))=Milestones!$AB$142),UPPER(TEXT(EDATE($D136,Milestones!$AA$142),"dd mmm yy"))&amp;" "&amp;Milestones!$AB$142&amp;" "&amp;IF(AND(Milestones!$AB$142="FT",Milestones!$AA$142=FT_Y5,EDATE($D136,Milestones!$AA$142)&lt;PolicyEff),1,Milestones!$AC$142)&amp;";  ","")&amp;IF(AND(EDATE($D136,Milestones!$AA$143)&lt;=AsOfDate,EDATE($D136,Milestones!$AA$143)&gt;=SchemeStart,IF($X136=0,$AD136,IF(AND($Z136&lt;&gt;"",EDATE($D136,Milestones!$AA$143)&gt;=$Z136),$AC136,IF(AND($Y136&lt;&gt;"",EDATE($D136,Milestones!$AA$143)&gt;=$Y136),$AB136,$AA136)))=Milestones!$AB$143),UPPER(TEXT(EDATE($D136,Milestones!$AA$143),"dd mmm yy"))&amp;" "&amp;Milestones!$AB$143&amp;" "&amp;IF(AND(Milestones!$AB$143="FT",Milestones!$AA$143=FT_Y5,EDATE($D136,Milestones!$AA$143)&lt;PolicyEff),1,Milestones!$AC$143)&amp;";  ","")&amp;IF(AND(EDATE($D136,Milestones!$AA$144)&lt;=AsOfDate,EDATE($D136,Milestones!$AA$144)&gt;=SchemeStart,IF($X136=0,$AD136,IF(AND($Z136&lt;&gt;"",EDATE($D136,Milestones!$AA$144)&gt;=$Z136),$AC136,IF(AND($Y136&lt;&gt;"",EDATE($D136,Milestones!$AA$144)&gt;=$Y136),$AB136,$AA136)))=Milestones!$AB$144),UPPER(TEXT(EDATE($D136,Milestones!$AA$144),"dd mmm yy"))&amp;" "&amp;Milestones!$AB$144&amp;" "&amp;IF(AND(Milestones!$AB$144="FT",Milestones!$AA$144=FT_Y5,EDATE($D136,Milestones!$AA$144)&lt;PolicyEff),1,Milestones!$AC$144)&amp;";  ","")&amp;IF(AND(EDATE($D136,Milestones!$AA$145)&lt;=AsOfDate,EDATE($D136,Milestones!$AA$145)&gt;=SchemeStart,IF($X136=0,$AD136,IF(AND($Z136&lt;&gt;"",EDATE($D136,Milestones!$AA$145)&gt;=$Z136),$AC136,IF(AND($Y136&lt;&gt;"",EDATE($D136,Milestones!$AA$145)&gt;=$Y136),$AB136,$AA136)))=Milestones!$AB$145),UPPER(TEXT(EDATE($D136,Milestones!$AA$145),"dd mmm yy"))&amp;" "&amp;Milestones!$AB$145&amp;" "&amp;IF(AND(Milestones!$AB$145="FT",Milestones!$AA$145=FT_Y5,EDATE($D136,Milestones!$AA$145)&lt;PolicyEff),1,Milestones!$AC$145)&amp;";  ","")&amp;IF(AND(EDATE($D136,Milestones!$AA$146)&lt;=AsOfDate,EDATE($D136,Milestones!$AA$146)&gt;=SchemeStart,IF($X136=0,$AD136,IF(AND($Z136&lt;&gt;"",EDATE($D136,Milestones!$AA$146)&gt;=$Z136),$AC136,IF(AND($Y136&lt;&gt;"",EDATE($D136,Milestones!$AA$146)&gt;=$Y136),$AB136,$AA136)))=Milestones!$AB$146),UPPER(TEXT(EDATE($D136,Milestones!$AA$146),"dd mmm yy"))&amp;" "&amp;Milestones!$AB$146&amp;" "&amp;IF(AND(Milestones!$AB$146="FT",Milestones!$AA$146=FT_Y5,EDATE($D136,Milestones!$AA$146)&lt;PolicyEff),1,Milestones!$AC$146)&amp;";  ","")&amp;IF(AND(EDATE($D136,Milestones!$AA$147)&lt;=AsOfDate,EDATE($D136,Milestones!$AA$147)&gt;=SchemeStart,IF($X136=0,$AD136,IF(AND($Z136&lt;&gt;"",EDATE($D136,Milestones!$AA$147)&gt;=$Z136),$AC136,IF(AND($Y136&lt;&gt;"",EDATE($D136,Milestones!$AA$147)&gt;=$Y136),$AB136,$AA136)))=Milestones!$AB$147),UPPER(TEXT(EDATE($D136,Milestones!$AA$147),"dd mmm yy"))&amp;" "&amp;Milestones!$AB$147&amp;" "&amp;IF(AND(Milestones!$AB$147="FT",Milestones!$AA$147=FT_Y5,EDATE($D136,Milestones!$AA$147)&lt;PolicyEff),1,Milestones!$AC$147)&amp;";  ","")&amp;IF(AND(EDATE($D136,Milestones!$AA$148)&lt;=AsOfDate,EDATE($D136,Milestones!$AA$148)&gt;=SchemeStart,IF($X136=0,$AD136,IF(AND($Z136&lt;&gt;"",EDATE($D136,Milestones!$AA$148)&gt;=$Z136),$AC136,IF(AND($Y136&lt;&gt;"",EDATE($D136,Milestones!$AA$148)&gt;=$Y136),$AB136,$AA136)))=Milestones!$AB$148),UPPER(TEXT(EDATE($D136,Milestones!$AA$148),"dd mmm yy"))&amp;" "&amp;Milestones!$AB$148&amp;" "&amp;IF(AND(Milestones!$AB$148="FT",Milestones!$AA$148=FT_Y5,EDATE($D136,Milestones!$AA$148)&lt;PolicyEff),1,Milestones!$AC$148)&amp;";  ","")&amp;IF(AND(EDATE($D136,Milestones!$AA$149)&lt;=AsOfDate,EDATE($D136,Milestones!$AA$149)&gt;=SchemeStart,IF($X136=0,$AD136,IF(AND($Z136&lt;&gt;"",EDATE($D136,Milestones!$AA$149)&gt;=$Z136),$AC136,IF(AND($Y136&lt;&gt;"",EDATE($D136,Milestones!$AA$149)&gt;=$Y136),$AB136,$AA136)))=Milestones!$AB$149),UPPER(TEXT(EDATE($D136,Milestones!$AA$149),"dd mmm yy"))&amp;" "&amp;Milestones!$AB$149&amp;" "&amp;IF(AND(Milestones!$AB$149="FT",Milestones!$AA$149=FT_Y5,EDATE($D136,Milestones!$AA$149)&lt;PolicyEff),1,Milestones!$AC$149)&amp;";  ","")&amp;IF(AND(EDATE($D136,Milestones!$AA$150)&lt;=AsOfDate,EDATE($D136,Milestones!$AA$150)&gt;=SchemeStart,IF($X136=0,$AD136,IF(AND($Z136&lt;&gt;"",EDATE($D136,Milestones!$AA$150)&gt;=$Z136),$AC136,IF(AND($Y136&lt;&gt;"",EDATE($D136,Milestones!$AA$150)&gt;=$Y136),$AB136,$AA136)))=Milestones!$AB$150),UPPER(TEXT(EDATE($D136,Milestones!$AA$150),"dd mmm yy"))&amp;" "&amp;Milestones!$AB$150&amp;" "&amp;IF(AND(Milestones!$AB$150="FT",Milestones!$AA$150=FT_Y5,EDATE($D136,Milestones!$AA$150)&lt;PolicyEff),1,Milestones!$AC$150)&amp;";  ","")&amp;IF(AND(EDATE($D136,Milestones!$AA$151)&lt;=AsOfDate,EDATE($D136,Milestones!$AA$151)&gt;=SchemeStart,IF($X136=0,$AD136,IF(AND($Z136&lt;&gt;"",EDATE($D136,Milestones!$AA$151)&gt;=$Z136),$AC136,IF(AND($Y136&lt;&gt;"",EDATE($D136,Milestones!$AA$151)&gt;=$Y136),$AB136,$AA136)))=Milestones!$AB$151),UPPER(TEXT(EDATE($D136,Milestones!$AA$151),"dd mmm yy"))&amp;" "&amp;Milestones!$AB$151&amp;" "&amp;IF(AND(Milestones!$AB$151="FT",Milestones!$AA$151=FT_Y5,EDATE($D136,Milestones!$AA$151)&lt;PolicyEff),1,Milestones!$AC$151)&amp;";  ",""))</f>
        <v/>
      </c>
      <c r="T136" s="0" t="str">
        <f aca="false">IF(OR($A136="",$D136=""),"",IF(AND(EDATE($D136,Milestones!$AA$152)&lt;=AsOfDate,EDATE($D136,Milestones!$AA$152)&gt;=SchemeStart,IF($X136=0,$AD136,IF(AND($Z136&lt;&gt;"",EDATE($D136,Milestones!$AA$152)&gt;=$Z136),$AC136,IF(AND($Y136&lt;&gt;"",EDATE($D136,Milestones!$AA$152)&gt;=$Y136),$AB136,$AA136)))=Milestones!$AB$152),UPPER(TEXT(EDATE($D136,Milestones!$AA$152),"dd mmm yy"))&amp;" "&amp;Milestones!$AB$152&amp;" "&amp;IF(AND(Milestones!$AB$152="FT",Milestones!$AA$152=FT_Y5,EDATE($D136,Milestones!$AA$152)&lt;PolicyEff),1,Milestones!$AC$152)&amp;";  ","")&amp;IF(AND(EDATE($D136,Milestones!$AA$153)&lt;=AsOfDate,EDATE($D136,Milestones!$AA$153)&gt;=SchemeStart,IF($X136=0,$AD136,IF(AND($Z136&lt;&gt;"",EDATE($D136,Milestones!$AA$153)&gt;=$Z136),$AC136,IF(AND($Y136&lt;&gt;"",EDATE($D136,Milestones!$AA$153)&gt;=$Y136),$AB136,$AA136)))=Milestones!$AB$153),UPPER(TEXT(EDATE($D136,Milestones!$AA$153),"dd mmm yy"))&amp;" "&amp;Milestones!$AB$153&amp;" "&amp;IF(AND(Milestones!$AB$153="FT",Milestones!$AA$153=FT_Y5,EDATE($D136,Milestones!$AA$153)&lt;PolicyEff),1,Milestones!$AC$153)&amp;";  ","")&amp;IF(AND(EDATE($D136,Milestones!$AA$154)&lt;=AsOfDate,EDATE($D136,Milestones!$AA$154)&gt;=SchemeStart,IF($X136=0,$AD136,IF(AND($Z136&lt;&gt;"",EDATE($D136,Milestones!$AA$154)&gt;=$Z136),$AC136,IF(AND($Y136&lt;&gt;"",EDATE($D136,Milestones!$AA$154)&gt;=$Y136),$AB136,$AA136)))=Milestones!$AB$154),UPPER(TEXT(EDATE($D136,Milestones!$AA$154),"dd mmm yy"))&amp;" "&amp;Milestones!$AB$154&amp;" "&amp;IF(AND(Milestones!$AB$154="FT",Milestones!$AA$154=FT_Y5,EDATE($D136,Milestones!$AA$154)&lt;PolicyEff),1,Milestones!$AC$154)&amp;";  ","")&amp;IF(AND(EDATE($D136,Milestones!$AA$155)&lt;=AsOfDate,EDATE($D136,Milestones!$AA$155)&gt;=SchemeStart,IF($X136=0,$AD136,IF(AND($Z136&lt;&gt;"",EDATE($D136,Milestones!$AA$155)&gt;=$Z136),$AC136,IF(AND($Y136&lt;&gt;"",EDATE($D136,Milestones!$AA$155)&gt;=$Y136),$AB136,$AA136)))=Milestones!$AB$155),UPPER(TEXT(EDATE($D136,Milestones!$AA$155),"dd mmm yy"))&amp;" "&amp;Milestones!$AB$155&amp;" "&amp;IF(AND(Milestones!$AB$155="FT",Milestones!$AA$155=FT_Y5,EDATE($D136,Milestones!$AA$155)&lt;PolicyEff),1,Milestones!$AC$155)&amp;";  ","")&amp;IF(AND(EDATE($D136,Milestones!$AA$156)&lt;=AsOfDate,EDATE($D136,Milestones!$AA$156)&gt;=SchemeStart,IF($X136=0,$AD136,IF(AND($Z136&lt;&gt;"",EDATE($D136,Milestones!$AA$156)&gt;=$Z136),$AC136,IF(AND($Y136&lt;&gt;"",EDATE($D136,Milestones!$AA$156)&gt;=$Y136),$AB136,$AA136)))=Milestones!$AB$156),UPPER(TEXT(EDATE($D136,Milestones!$AA$156),"dd mmm yy"))&amp;" "&amp;Milestones!$AB$156&amp;" "&amp;IF(AND(Milestones!$AB$156="FT",Milestones!$AA$156=FT_Y5,EDATE($D136,Milestones!$AA$156)&lt;PolicyEff),1,Milestones!$AC$156)&amp;";  ","")&amp;IF(AND(EDATE($D136,Milestones!$AA$157)&lt;=AsOfDate,EDATE($D136,Milestones!$AA$157)&gt;=SchemeStart,IF($X136=0,$AD136,IF(AND($Z136&lt;&gt;"",EDATE($D136,Milestones!$AA$157)&gt;=$Z136),$AC136,IF(AND($Y136&lt;&gt;"",EDATE($D136,Milestones!$AA$157)&gt;=$Y136),$AB136,$AA136)))=Milestones!$AB$157),UPPER(TEXT(EDATE($D136,Milestones!$AA$157),"dd mmm yy"))&amp;" "&amp;Milestones!$AB$157&amp;" "&amp;IF(AND(Milestones!$AB$157="FT",Milestones!$AA$157=FT_Y5,EDATE($D136,Milestones!$AA$157)&lt;PolicyEff),1,Milestones!$AC$157)&amp;";  ","")&amp;IF(AND(EDATE($D136,Milestones!$AA$158)&lt;=AsOfDate,EDATE($D136,Milestones!$AA$158)&gt;=SchemeStart,IF($X136=0,$AD136,IF(AND($Z136&lt;&gt;"",EDATE($D136,Milestones!$AA$158)&gt;=$Z136),$AC136,IF(AND($Y136&lt;&gt;"",EDATE($D136,Milestones!$AA$158)&gt;=$Y136),$AB136,$AA136)))=Milestones!$AB$158),UPPER(TEXT(EDATE($D136,Milestones!$AA$158),"dd mmm yy"))&amp;" "&amp;Milestones!$AB$158&amp;" "&amp;IF(AND(Milestones!$AB$158="FT",Milestones!$AA$158=FT_Y5,EDATE($D136,Milestones!$AA$158)&lt;PolicyEff),1,Milestones!$AC$158)&amp;";  ","")&amp;IF(AND(EDATE($D136,Milestones!$AA$159)&lt;=AsOfDate,EDATE($D136,Milestones!$AA$159)&gt;=SchemeStart,IF($X136=0,$AD136,IF(AND($Z136&lt;&gt;"",EDATE($D136,Milestones!$AA$159)&gt;=$Z136),$AC136,IF(AND($Y136&lt;&gt;"",EDATE($D136,Milestones!$AA$159)&gt;=$Y136),$AB136,$AA136)))=Milestones!$AB$159),UPPER(TEXT(EDATE($D136,Milestones!$AA$159),"dd mmm yy"))&amp;" "&amp;Milestones!$AB$159&amp;" "&amp;IF(AND(Milestones!$AB$159="FT",Milestones!$AA$159=FT_Y5,EDATE($D136,Milestones!$AA$159)&lt;PolicyEff),1,Milestones!$AC$159)&amp;";  ","")&amp;IF(AND(EDATE($D136,Milestones!$AA$160)&lt;=AsOfDate,EDATE($D136,Milestones!$AA$160)&gt;=SchemeStart,IF($X136=0,$AD136,IF(AND($Z136&lt;&gt;"",EDATE($D136,Milestones!$AA$160)&gt;=$Z136),$AC136,IF(AND($Y136&lt;&gt;"",EDATE($D136,Milestones!$AA$160)&gt;=$Y136),$AB136,$AA136)))=Milestones!$AB$160),UPPER(TEXT(EDATE($D136,Milestones!$AA$160),"dd mmm yy"))&amp;" "&amp;Milestones!$AB$160&amp;" "&amp;IF(AND(Milestones!$AB$160="FT",Milestones!$AA$160=FT_Y5,EDATE($D136,Milestones!$AA$160)&lt;PolicyEff),1,Milestones!$AC$160)&amp;";  ","")&amp;IF(AND(EDATE($D136,Milestones!$AA$161)&lt;=AsOfDate,EDATE($D136,Milestones!$AA$161)&gt;=SchemeStart,IF($X136=0,$AD136,IF(AND($Z136&lt;&gt;"",EDATE($D136,Milestones!$AA$161)&gt;=$Z136),$AC136,IF(AND($Y136&lt;&gt;"",EDATE($D136,Milestones!$AA$161)&gt;=$Y136),$AB136,$AA136)))=Milestones!$AB$161),UPPER(TEXT(EDATE($D136,Milestones!$AA$161),"dd mmm yy"))&amp;" "&amp;Milestones!$AB$161&amp;" "&amp;IF(AND(Milestones!$AB$161="FT",Milestones!$AA$161=FT_Y5,EDATE($D136,Milestones!$AA$161)&lt;PolicyEff),1,Milestones!$AC$161)&amp;";  ","")&amp;IF(AND(EDATE($D136,Milestones!$AA$162)&lt;=AsOfDate,EDATE($D136,Milestones!$AA$162)&gt;=SchemeStart,IF($X136=0,$AD136,IF(AND($Z136&lt;&gt;"",EDATE($D136,Milestones!$AA$162)&gt;=$Z136),$AC136,IF(AND($Y136&lt;&gt;"",EDATE($D136,Milestones!$AA$162)&gt;=$Y136),$AB136,$AA136)))=Milestones!$AB$162),UPPER(TEXT(EDATE($D136,Milestones!$AA$162),"dd mmm yy"))&amp;" "&amp;Milestones!$AB$162&amp;" "&amp;IF(AND(Milestones!$AB$162="FT",Milestones!$AA$162=FT_Y5,EDATE($D136,Milestones!$AA$162)&lt;PolicyEff),1,Milestones!$AC$162)&amp;";  ","")&amp;IF(AND(EDATE($D136,Milestones!$AA$163)&lt;=AsOfDate,EDATE($D136,Milestones!$AA$163)&gt;=SchemeStart,IF($X136=0,$AD136,IF(AND($Z136&lt;&gt;"",EDATE($D136,Milestones!$AA$163)&gt;=$Z136),$AC136,IF(AND($Y136&lt;&gt;"",EDATE($D136,Milestones!$AA$163)&gt;=$Y136),$AB136,$AA136)))=Milestones!$AB$163),UPPER(TEXT(EDATE($D136,Milestones!$AA$163),"dd mmm yy"))&amp;" "&amp;Milestones!$AB$163&amp;" "&amp;IF(AND(Milestones!$AB$163="FT",Milestones!$AA$163=FT_Y5,EDATE($D136,Milestones!$AA$163)&lt;PolicyEff),1,Milestones!$AC$163)&amp;";  ",""))</f>
        <v/>
      </c>
      <c r="U136" s="0" t="str">
        <f aca="false">IF(OR($A136="",$D136=""),"",IF(AND(EDATE($D136,Milestones!$AA$164)&lt;=AsOfDate,EDATE($D136,Milestones!$AA$164)&gt;=SchemeStart,IF($X136=0,$AD136,IF(AND($Z136&lt;&gt;"",EDATE($D136,Milestones!$AA$164)&gt;=$Z136),$AC136,IF(AND($Y136&lt;&gt;"",EDATE($D136,Milestones!$AA$164)&gt;=$Y136),$AB136,$AA136)))=Milestones!$AB$164),UPPER(TEXT(EDATE($D136,Milestones!$AA$164),"dd mmm yy"))&amp;" "&amp;Milestones!$AB$164&amp;" "&amp;IF(AND(Milestones!$AB$164="FT",Milestones!$AA$164=FT_Y5,EDATE($D136,Milestones!$AA$164)&lt;PolicyEff),1,Milestones!$AC$164)&amp;";  ","")&amp;IF(AND(EDATE($D136,Milestones!$AA$165)&lt;=AsOfDate,EDATE($D136,Milestones!$AA$165)&gt;=SchemeStart,IF($X136=0,$AD136,IF(AND($Z136&lt;&gt;"",EDATE($D136,Milestones!$AA$165)&gt;=$Z136),$AC136,IF(AND($Y136&lt;&gt;"",EDATE($D136,Milestones!$AA$165)&gt;=$Y136),$AB136,$AA136)))=Milestones!$AB$165),UPPER(TEXT(EDATE($D136,Milestones!$AA$165),"dd mmm yy"))&amp;" "&amp;Milestones!$AB$165&amp;" "&amp;IF(AND(Milestones!$AB$165="FT",Milestones!$AA$165=FT_Y5,EDATE($D136,Milestones!$AA$165)&lt;PolicyEff),1,Milestones!$AC$165)&amp;";  ","")&amp;IF(AND(EDATE($D136,Milestones!$AA$166)&lt;=AsOfDate,EDATE($D136,Milestones!$AA$166)&gt;=SchemeStart,IF($X136=0,$AD136,IF(AND($Z136&lt;&gt;"",EDATE($D136,Milestones!$AA$166)&gt;=$Z136),$AC136,IF(AND($Y136&lt;&gt;"",EDATE($D136,Milestones!$AA$166)&gt;=$Y136),$AB136,$AA136)))=Milestones!$AB$166),UPPER(TEXT(EDATE($D136,Milestones!$AA$166),"dd mmm yy"))&amp;" "&amp;Milestones!$AB$166&amp;" "&amp;IF(AND(Milestones!$AB$166="FT",Milestones!$AA$166=FT_Y5,EDATE($D136,Milestones!$AA$166)&lt;PolicyEff),1,Milestones!$AC$166)&amp;";  ","")&amp;IF(AND(EDATE($D136,Milestones!$AA$167)&lt;=AsOfDate,EDATE($D136,Milestones!$AA$167)&gt;=SchemeStart,IF($X136=0,$AD136,IF(AND($Z136&lt;&gt;"",EDATE($D136,Milestones!$AA$167)&gt;=$Z136),$AC136,IF(AND($Y136&lt;&gt;"",EDATE($D136,Milestones!$AA$167)&gt;=$Y136),$AB136,$AA136)))=Milestones!$AB$167),UPPER(TEXT(EDATE($D136,Milestones!$AA$167),"dd mmm yy"))&amp;" "&amp;Milestones!$AB$167&amp;" "&amp;IF(AND(Milestones!$AB$167="FT",Milestones!$AA$167=FT_Y5,EDATE($D136,Milestones!$AA$167)&lt;PolicyEff),1,Milestones!$AC$167)&amp;";  ","")&amp;IF(AND(EDATE($D136,Milestones!$AA$168)&lt;=AsOfDate,EDATE($D136,Milestones!$AA$168)&gt;=SchemeStart,IF($X136=0,$AD136,IF(AND($Z136&lt;&gt;"",EDATE($D136,Milestones!$AA$168)&gt;=$Z136),$AC136,IF(AND($Y136&lt;&gt;"",EDATE($D136,Milestones!$AA$168)&gt;=$Y136),$AB136,$AA136)))=Milestones!$AB$168),UPPER(TEXT(EDATE($D136,Milestones!$AA$168),"dd mmm yy"))&amp;" "&amp;Milestones!$AB$168&amp;" "&amp;IF(AND(Milestones!$AB$168="FT",Milestones!$AA$168=FT_Y5,EDATE($D136,Milestones!$AA$168)&lt;PolicyEff),1,Milestones!$AC$168)&amp;";  ","")&amp;IF(AND(EDATE($D136,Milestones!$AA$169)&lt;=AsOfDate,EDATE($D136,Milestones!$AA$169)&gt;=SchemeStart,IF($X136=0,$AD136,IF(AND($Z136&lt;&gt;"",EDATE($D136,Milestones!$AA$169)&gt;=$Z136),$AC136,IF(AND($Y136&lt;&gt;"",EDATE($D136,Milestones!$AA$169)&gt;=$Y136),$AB136,$AA136)))=Milestones!$AB$169),UPPER(TEXT(EDATE($D136,Milestones!$AA$169),"dd mmm yy"))&amp;" "&amp;Milestones!$AB$169&amp;" "&amp;IF(AND(Milestones!$AB$169="FT",Milestones!$AA$169=FT_Y5,EDATE($D136,Milestones!$AA$169)&lt;PolicyEff),1,Milestones!$AC$169)&amp;";  ","")&amp;IF(AND(EDATE($D136,Milestones!$AA$170)&lt;=AsOfDate,EDATE($D136,Milestones!$AA$170)&gt;=SchemeStart,IF($X136=0,$AD136,IF(AND($Z136&lt;&gt;"",EDATE($D136,Milestones!$AA$170)&gt;=$Z136),$AC136,IF(AND($Y136&lt;&gt;"",EDATE($D136,Milestones!$AA$170)&gt;=$Y136),$AB136,$AA136)))=Milestones!$AB$170),UPPER(TEXT(EDATE($D136,Milestones!$AA$170),"dd mmm yy"))&amp;" "&amp;Milestones!$AB$170&amp;" "&amp;IF(AND(Milestones!$AB$170="FT",Milestones!$AA$170=FT_Y5,EDATE($D136,Milestones!$AA$170)&lt;PolicyEff),1,Milestones!$AC$170)&amp;";  ","")&amp;IF(AND(EDATE($D136,Milestones!$AA$171)&lt;=AsOfDate,EDATE($D136,Milestones!$AA$171)&gt;=SchemeStart,IF($X136=0,$AD136,IF(AND($Z136&lt;&gt;"",EDATE($D136,Milestones!$AA$171)&gt;=$Z136),$AC136,IF(AND($Y136&lt;&gt;"",EDATE($D136,Milestones!$AA$171)&gt;=$Y136),$AB136,$AA136)))=Milestones!$AB$171),UPPER(TEXT(EDATE($D136,Milestones!$AA$171),"dd mmm yy"))&amp;" "&amp;Milestones!$AB$171&amp;" "&amp;IF(AND(Milestones!$AB$171="FT",Milestones!$AA$171=FT_Y5,EDATE($D136,Milestones!$AA$171)&lt;PolicyEff),1,Milestones!$AC$171)&amp;";  ","")&amp;IF(AND(EDATE($D136,Milestones!$AA$172)&lt;=AsOfDate,EDATE($D136,Milestones!$AA$172)&gt;=SchemeStart,IF($X136=0,$AD136,IF(AND($Z136&lt;&gt;"",EDATE($D136,Milestones!$AA$172)&gt;=$Z136),$AC136,IF(AND($Y136&lt;&gt;"",EDATE($D136,Milestones!$AA$172)&gt;=$Y136),$AB136,$AA136)))=Milestones!$AB$172),UPPER(TEXT(EDATE($D136,Milestones!$AA$172),"dd mmm yy"))&amp;" "&amp;Milestones!$AB$172&amp;" "&amp;IF(AND(Milestones!$AB$172="FT",Milestones!$AA$172=FT_Y5,EDATE($D136,Milestones!$AA$172)&lt;PolicyEff),1,Milestones!$AC$172)&amp;";  ","")&amp;IF(AND(EDATE($D136,Milestones!$AA$173)&lt;=AsOfDate,EDATE($D136,Milestones!$AA$173)&gt;=SchemeStart,IF($X136=0,$AD136,IF(AND($Z136&lt;&gt;"",EDATE($D136,Milestones!$AA$173)&gt;=$Z136),$AC136,IF(AND($Y136&lt;&gt;"",EDATE($D136,Milestones!$AA$173)&gt;=$Y136),$AB136,$AA136)))=Milestones!$AB$173),UPPER(TEXT(EDATE($D136,Milestones!$AA$173),"dd mmm yy"))&amp;" "&amp;Milestones!$AB$173&amp;" "&amp;IF(AND(Milestones!$AB$173="FT",Milestones!$AA$173=FT_Y5,EDATE($D136,Milestones!$AA$173)&lt;PolicyEff),1,Milestones!$AC$173)&amp;";  ","")&amp;IF(AND(EDATE($D136,Milestones!$AA$174)&lt;=AsOfDate,EDATE($D136,Milestones!$AA$174)&gt;=SchemeStart,IF($X136=0,$AD136,IF(AND($Z136&lt;&gt;"",EDATE($D136,Milestones!$AA$174)&gt;=$Z136),$AC136,IF(AND($Y136&lt;&gt;"",EDATE($D136,Milestones!$AA$174)&gt;=$Y136),$AB136,$AA136)))=Milestones!$AB$174),UPPER(TEXT(EDATE($D136,Milestones!$AA$174),"dd mmm yy"))&amp;" "&amp;Milestones!$AB$174&amp;" "&amp;IF(AND(Milestones!$AB$174="FT",Milestones!$AA$174=FT_Y5,EDATE($D136,Milestones!$AA$174)&lt;PolicyEff),1,Milestones!$AC$174)&amp;";  ","")&amp;IF(AND(EDATE($D136,Milestones!$AA$175)&lt;=AsOfDate,EDATE($D136,Milestones!$AA$175)&gt;=SchemeStart,IF($X136=0,$AD136,IF(AND($Z136&lt;&gt;"",EDATE($D136,Milestones!$AA$175)&gt;=$Z136),$AC136,IF(AND($Y136&lt;&gt;"",EDATE($D136,Milestones!$AA$175)&gt;=$Y136),$AB136,$AA136)))=Milestones!$AB$175),UPPER(TEXT(EDATE($D136,Milestones!$AA$175),"dd mmm yy"))&amp;" "&amp;Milestones!$AB$175&amp;" "&amp;IF(AND(Milestones!$AB$175="FT",Milestones!$AA$175=FT_Y5,EDATE($D136,Milestones!$AA$175)&lt;PolicyEff),1,Milestones!$AC$175)&amp;";  ",""))</f>
        <v/>
      </c>
      <c r="V136" s="0" t="str">
        <f aca="false">IF(OR($A136="",$D136=""),"",IF(AND(EDATE($D136,Milestones!$AA$176)&lt;=AsOfDate,EDATE($D136,Milestones!$AA$176)&gt;=SchemeStart,IF($X136=0,$AD136,IF(AND($Z136&lt;&gt;"",EDATE($D136,Milestones!$AA$176)&gt;=$Z136),$AC136,IF(AND($Y136&lt;&gt;"",EDATE($D136,Milestones!$AA$176)&gt;=$Y136),$AB136,$AA136)))=Milestones!$AB$176),UPPER(TEXT(EDATE($D136,Milestones!$AA$176),"dd mmm yy"))&amp;" "&amp;Milestones!$AB$176&amp;" "&amp;IF(AND(Milestones!$AB$176="FT",Milestones!$AA$176=FT_Y5,EDATE($D136,Milestones!$AA$176)&lt;PolicyEff),1,Milestones!$AC$176)&amp;";  ","")&amp;IF(AND(EDATE($D136,Milestones!$AA$177)&lt;=AsOfDate,EDATE($D136,Milestones!$AA$177)&gt;=SchemeStart,IF($X136=0,$AD136,IF(AND($Z136&lt;&gt;"",EDATE($D136,Milestones!$AA$177)&gt;=$Z136),$AC136,IF(AND($Y136&lt;&gt;"",EDATE($D136,Milestones!$AA$177)&gt;=$Y136),$AB136,$AA136)))=Milestones!$AB$177),UPPER(TEXT(EDATE($D136,Milestones!$AA$177),"dd mmm yy"))&amp;" "&amp;Milestones!$AB$177&amp;" "&amp;IF(AND(Milestones!$AB$177="FT",Milestones!$AA$177=FT_Y5,EDATE($D136,Milestones!$AA$177)&lt;PolicyEff),1,Milestones!$AC$177)&amp;";  ","")&amp;IF(AND(EDATE($D136,Milestones!$AA$178)&lt;=AsOfDate,EDATE($D136,Milestones!$AA$178)&gt;=SchemeStart,IF($X136=0,$AD136,IF(AND($Z136&lt;&gt;"",EDATE($D136,Milestones!$AA$178)&gt;=$Z136),$AC136,IF(AND($Y136&lt;&gt;"",EDATE($D136,Milestones!$AA$178)&gt;=$Y136),$AB136,$AA136)))=Milestones!$AB$178),UPPER(TEXT(EDATE($D136,Milestones!$AA$178),"dd mmm yy"))&amp;" "&amp;Milestones!$AB$178&amp;" "&amp;IF(AND(Milestones!$AB$178="FT",Milestones!$AA$178=FT_Y5,EDATE($D136,Milestones!$AA$178)&lt;PolicyEff),1,Milestones!$AC$178)&amp;";  ","")&amp;IF(AND(EDATE($D136,Milestones!$AA$179)&lt;=AsOfDate,EDATE($D136,Milestones!$AA$179)&gt;=SchemeStart,IF($X136=0,$AD136,IF(AND($Z136&lt;&gt;"",EDATE($D136,Milestones!$AA$179)&gt;=$Z136),$AC136,IF(AND($Y136&lt;&gt;"",EDATE($D136,Milestones!$AA$179)&gt;=$Y136),$AB136,$AA136)))=Milestones!$AB$179),UPPER(TEXT(EDATE($D136,Milestones!$AA$179),"dd mmm yy"))&amp;" "&amp;Milestones!$AB$179&amp;" "&amp;IF(AND(Milestones!$AB$179="FT",Milestones!$AA$179=FT_Y5,EDATE($D136,Milestones!$AA$179)&lt;PolicyEff),1,Milestones!$AC$179)&amp;";  ","")&amp;IF(AND(EDATE($D136,Milestones!$AA$180)&lt;=AsOfDate,EDATE($D136,Milestones!$AA$180)&gt;=SchemeStart,IF($X136=0,$AD136,IF(AND($Z136&lt;&gt;"",EDATE($D136,Milestones!$AA$180)&gt;=$Z136),$AC136,IF(AND($Y136&lt;&gt;"",EDATE($D136,Milestones!$AA$180)&gt;=$Y136),$AB136,$AA136)))=Milestones!$AB$180),UPPER(TEXT(EDATE($D136,Milestones!$AA$180),"dd mmm yy"))&amp;" "&amp;Milestones!$AB$180&amp;" "&amp;IF(AND(Milestones!$AB$180="FT",Milestones!$AA$180=FT_Y5,EDATE($D136,Milestones!$AA$180)&lt;PolicyEff),1,Milestones!$AC$180)&amp;";  ","")&amp;IF(AND(EDATE($D136,Milestones!$AA$181)&lt;=AsOfDate,EDATE($D136,Milestones!$AA$181)&gt;=SchemeStart,IF($X136=0,$AD136,IF(AND($Z136&lt;&gt;"",EDATE($D136,Milestones!$AA$181)&gt;=$Z136),$AC136,IF(AND($Y136&lt;&gt;"",EDATE($D136,Milestones!$AA$181)&gt;=$Y136),$AB136,$AA136)))=Milestones!$AB$181),UPPER(TEXT(EDATE($D136,Milestones!$AA$181),"dd mmm yy"))&amp;" "&amp;Milestones!$AB$181&amp;" "&amp;IF(AND(Milestones!$AB$181="FT",Milestones!$AA$181=FT_Y5,EDATE($D136,Milestones!$AA$181)&lt;PolicyEff),1,Milestones!$AC$181)&amp;";  ","")&amp;IF(AND(EDATE($D136,Milestones!$AA$182)&lt;=AsOfDate,EDATE($D136,Milestones!$AA$182)&gt;=SchemeStart,IF($X136=0,$AD136,IF(AND($Z136&lt;&gt;"",EDATE($D136,Milestones!$AA$182)&gt;=$Z136),$AC136,IF(AND($Y136&lt;&gt;"",EDATE($D136,Milestones!$AA$182)&gt;=$Y136),$AB136,$AA136)))=Milestones!$AB$182),UPPER(TEXT(EDATE($D136,Milestones!$AA$182),"dd mmm yy"))&amp;" "&amp;Milestones!$AB$182&amp;" "&amp;IF(AND(Milestones!$AB$182="FT",Milestones!$AA$182=FT_Y5,EDATE($D136,Milestones!$AA$182)&lt;PolicyEff),1,Milestones!$AC$182)&amp;";  ","")&amp;IF(AND(EDATE($D136,Milestones!$AA$183)&lt;=AsOfDate,EDATE($D136,Milestones!$AA$183)&gt;=SchemeStart,IF($X136=0,$AD136,IF(AND($Z136&lt;&gt;"",EDATE($D136,Milestones!$AA$183)&gt;=$Z136),$AC136,IF(AND($Y136&lt;&gt;"",EDATE($D136,Milestones!$AA$183)&gt;=$Y136),$AB136,$AA136)))=Milestones!$AB$183),UPPER(TEXT(EDATE($D136,Milestones!$AA$183),"dd mmm yy"))&amp;" "&amp;Milestones!$AB$183&amp;" "&amp;IF(AND(Milestones!$AB$183="FT",Milestones!$AA$183=FT_Y5,EDATE($D136,Milestones!$AA$183)&lt;PolicyEff),1,Milestones!$AC$183)&amp;";  ","")&amp;IF(AND(EDATE($D136,Milestones!$AA$184)&lt;=AsOfDate,EDATE($D136,Milestones!$AA$184)&gt;=SchemeStart,IF($X136=0,$AD136,IF(AND($Z136&lt;&gt;"",EDATE($D136,Milestones!$AA$184)&gt;=$Z136),$AC136,IF(AND($Y136&lt;&gt;"",EDATE($D136,Milestones!$AA$184)&gt;=$Y136),$AB136,$AA136)))=Milestones!$AB$184),UPPER(TEXT(EDATE($D136,Milestones!$AA$184),"dd mmm yy"))&amp;" "&amp;Milestones!$AB$184&amp;" "&amp;IF(AND(Milestones!$AB$184="FT",Milestones!$AA$184=FT_Y5,EDATE($D136,Milestones!$AA$184)&lt;PolicyEff),1,Milestones!$AC$184)&amp;";  ","")&amp;IF(AND(EDATE($D136,Milestones!$AA$185)&lt;=AsOfDate,EDATE($D136,Milestones!$AA$185)&gt;=SchemeStart,IF($X136=0,$AD136,IF(AND($Z136&lt;&gt;"",EDATE($D136,Milestones!$AA$185)&gt;=$Z136),$AC136,IF(AND($Y136&lt;&gt;"",EDATE($D136,Milestones!$AA$185)&gt;=$Y136),$AB136,$AA136)))=Milestones!$AB$185),UPPER(TEXT(EDATE($D136,Milestones!$AA$185),"dd mmm yy"))&amp;" "&amp;Milestones!$AB$185&amp;" "&amp;IF(AND(Milestones!$AB$185="FT",Milestones!$AA$185=FT_Y5,EDATE($D136,Milestones!$AA$185)&lt;PolicyEff),1,Milestones!$AC$185)&amp;";  ","")&amp;IF(AND(EDATE($D136,Milestones!$AA$186)&lt;=AsOfDate,EDATE($D136,Milestones!$AA$186)&gt;=SchemeStart,IF($X136=0,$AD136,IF(AND($Z136&lt;&gt;"",EDATE($D136,Milestones!$AA$186)&gt;=$Z136),$AC136,IF(AND($Y136&lt;&gt;"",EDATE($D136,Milestones!$AA$186)&gt;=$Y136),$AB136,$AA136)))=Milestones!$AB$186),UPPER(TEXT(EDATE($D136,Milestones!$AA$186),"dd mmm yy"))&amp;" "&amp;Milestones!$AB$186&amp;" "&amp;IF(AND(Milestones!$AB$186="FT",Milestones!$AA$186=FT_Y5,EDATE($D136,Milestones!$AA$186)&lt;PolicyEff),1,Milestones!$AC$186)&amp;";  ","")&amp;IF(AND(EDATE($D136,Milestones!$AA$187)&lt;=AsOfDate,EDATE($D136,Milestones!$AA$187)&gt;=SchemeStart,IF($X136=0,$AD136,IF(AND($Z136&lt;&gt;"",EDATE($D136,Milestones!$AA$187)&gt;=$Z136),$AC136,IF(AND($Y136&lt;&gt;"",EDATE($D136,Milestones!$AA$187)&gt;=$Y136),$AB136,$AA136)))=Milestones!$AB$187),UPPER(TEXT(EDATE($D136,Milestones!$AA$187),"dd mmm yy"))&amp;" "&amp;Milestones!$AB$187&amp;" "&amp;IF(AND(Milestones!$AB$187="FT",Milestones!$AA$187=FT_Y5,EDATE($D136,Milestones!$AA$187)&lt;PolicyEff),1,Milestones!$AC$187)&amp;";  ",""))</f>
        <v/>
      </c>
      <c r="W136" s="0" t="str">
        <f aca="false">IF(OR($A136="",$D136=""),"",IF(AND(EDATE($D136,Milestones!$AA$188)&lt;=AsOfDate,EDATE($D136,Milestones!$AA$188)&gt;=SchemeStart,IF($X136=0,$AD136,IF(AND($Z136&lt;&gt;"",EDATE($D136,Milestones!$AA$188)&gt;=$Z136),$AC136,IF(AND($Y136&lt;&gt;"",EDATE($D136,Milestones!$AA$188)&gt;=$Y136),$AB136,$AA136)))=Milestones!$AB$188),UPPER(TEXT(EDATE($D136,Milestones!$AA$188),"dd mmm yy"))&amp;" "&amp;Milestones!$AB$188&amp;" "&amp;IF(AND(Milestones!$AB$188="FT",Milestones!$AA$188=FT_Y5,EDATE($D136,Milestones!$AA$188)&lt;PolicyEff),1,Milestones!$AC$188)&amp;";  ","")&amp;IF(AND(EDATE($D136,Milestones!$AA$189)&lt;=AsOfDate,EDATE($D136,Milestones!$AA$189)&gt;=SchemeStart,IF($X136=0,$AD136,IF(AND($Z136&lt;&gt;"",EDATE($D136,Milestones!$AA$189)&gt;=$Z136),$AC136,IF(AND($Y136&lt;&gt;"",EDATE($D136,Milestones!$AA$189)&gt;=$Y136),$AB136,$AA136)))=Milestones!$AB$189),UPPER(TEXT(EDATE($D136,Milestones!$AA$189),"dd mmm yy"))&amp;" "&amp;Milestones!$AB$189&amp;" "&amp;IF(AND(Milestones!$AB$189="FT",Milestones!$AA$189=FT_Y5,EDATE($D136,Milestones!$AA$189)&lt;PolicyEff),1,Milestones!$AC$189)&amp;";  ","")&amp;IF(AND(EDATE($D136,Milestones!$AA$190)&lt;=AsOfDate,EDATE($D136,Milestones!$AA$190)&gt;=SchemeStart,IF($X136=0,$AD136,IF(AND($Z136&lt;&gt;"",EDATE($D136,Milestones!$AA$190)&gt;=$Z136),$AC136,IF(AND($Y136&lt;&gt;"",EDATE($D136,Milestones!$AA$190)&gt;=$Y136),$AB136,$AA136)))=Milestones!$AB$190),UPPER(TEXT(EDATE($D136,Milestones!$AA$190),"dd mmm yy"))&amp;" "&amp;Milestones!$AB$190&amp;" "&amp;IF(AND(Milestones!$AB$190="FT",Milestones!$AA$190=FT_Y5,EDATE($D136,Milestones!$AA$190)&lt;PolicyEff),1,Milestones!$AC$190)&amp;";  ","")&amp;IF(AND(EDATE($D136,Milestones!$AA$191)&lt;=AsOfDate,EDATE($D136,Milestones!$AA$191)&gt;=SchemeStart,IF($X136=0,$AD136,IF(AND($Z136&lt;&gt;"",EDATE($D136,Milestones!$AA$191)&gt;=$Z136),$AC136,IF(AND($Y136&lt;&gt;"",EDATE($D136,Milestones!$AA$191)&gt;=$Y136),$AB136,$AA136)))=Milestones!$AB$191),UPPER(TEXT(EDATE($D136,Milestones!$AA$191),"dd mmm yy"))&amp;" "&amp;Milestones!$AB$191&amp;" "&amp;IF(AND(Milestones!$AB$191="FT",Milestones!$AA$191=FT_Y5,EDATE($D136,Milestones!$AA$191)&lt;PolicyEff),1,Milestones!$AC$191)&amp;";  ","")&amp;IF(AND(EDATE($D136,Milestones!$AA$192)&lt;=AsOfDate,EDATE($D136,Milestones!$AA$192)&gt;=SchemeStart,IF($X136=0,$AD136,IF(AND($Z136&lt;&gt;"",EDATE($D136,Milestones!$AA$192)&gt;=$Z136),$AC136,IF(AND($Y136&lt;&gt;"",EDATE($D136,Milestones!$AA$192)&gt;=$Y136),$AB136,$AA136)))=Milestones!$AB$192),UPPER(TEXT(EDATE($D136,Milestones!$AA$192),"dd mmm yy"))&amp;" "&amp;Milestones!$AB$192&amp;" "&amp;IF(AND(Milestones!$AB$192="FT",Milestones!$AA$192=FT_Y5,EDATE($D136,Milestones!$AA$192)&lt;PolicyEff),1,Milestones!$AC$192)&amp;";  ","")&amp;IF(AND(EDATE($D136,Milestones!$AA$193)&lt;=AsOfDate,EDATE($D136,Milestones!$AA$193)&gt;=SchemeStart,IF($X136=0,$AD136,IF(AND($Z136&lt;&gt;"",EDATE($D136,Milestones!$AA$193)&gt;=$Z136),$AC136,IF(AND($Y136&lt;&gt;"",EDATE($D136,Milestones!$AA$193)&gt;=$Y136),$AB136,$AA136)))=Milestones!$AB$193),UPPER(TEXT(EDATE($D136,Milestones!$AA$193),"dd mmm yy"))&amp;" "&amp;Milestones!$AB$193&amp;" "&amp;IF(AND(Milestones!$AB$193="FT",Milestones!$AA$193=FT_Y5,EDATE($D136,Milestones!$AA$193)&lt;PolicyEff),1,Milestones!$AC$193)&amp;";  ","")&amp;IF(AND(EDATE($D136,Milestones!$AA$194)&lt;=AsOfDate,EDATE($D136,Milestones!$AA$194)&gt;=SchemeStart,IF($X136=0,$AD136,IF(AND($Z136&lt;&gt;"",EDATE($D136,Milestones!$AA$194)&gt;=$Z136),$AC136,IF(AND($Y136&lt;&gt;"",EDATE($D136,Milestones!$AA$194)&gt;=$Y136),$AB136,$AA136)))=Milestones!$AB$194),UPPER(TEXT(EDATE($D136,Milestones!$AA$194),"dd mmm yy"))&amp;" "&amp;Milestones!$AB$194&amp;" "&amp;IF(AND(Milestones!$AB$194="FT",Milestones!$AA$194=FT_Y5,EDATE($D136,Milestones!$AA$194)&lt;PolicyEff),1,Milestones!$AC$194)&amp;";  ","")&amp;IF(AND(EDATE($D136,Milestones!$AA$195)&lt;=AsOfDate,EDATE($D136,Milestones!$AA$195)&gt;=SchemeStart,IF($X136=0,$AD136,IF(AND($Z136&lt;&gt;"",EDATE($D136,Milestones!$AA$195)&gt;=$Z136),$AC136,IF(AND($Y136&lt;&gt;"",EDATE($D136,Milestones!$AA$195)&gt;=$Y136),$AB136,$AA136)))=Milestones!$AB$195),UPPER(TEXT(EDATE($D136,Milestones!$AA$195),"dd mmm yy"))&amp;" "&amp;Milestones!$AB$195&amp;" "&amp;IF(AND(Milestones!$AB$195="FT",Milestones!$AA$195=FT_Y5,EDATE($D136,Milestones!$AA$195)&lt;PolicyEff),1,Milestones!$AC$195)&amp;";  ","")&amp;IF(AND(EDATE($D136,Milestones!$AA$196)&lt;=AsOfDate,EDATE($D136,Milestones!$AA$196)&gt;=SchemeStart,IF($X136=0,$AD136,IF(AND($Z136&lt;&gt;"",EDATE($D136,Milestones!$AA$196)&gt;=$Z136),$AC136,IF(AND($Y136&lt;&gt;"",EDATE($D136,Milestones!$AA$196)&gt;=$Y136),$AB136,$AA136)))=Milestones!$AB$196),UPPER(TEXT(EDATE($D136,Milestones!$AA$196),"dd mmm yy"))&amp;" "&amp;Milestones!$AB$196&amp;" "&amp;IF(AND(Milestones!$AB$196="FT",Milestones!$AA$196=FT_Y5,EDATE($D136,Milestones!$AA$196)&lt;PolicyEff),1,Milestones!$AC$196)&amp;";  ","")&amp;IF(AND(EDATE($D136,Milestones!$AA$197)&lt;=AsOfDate,EDATE($D136,Milestones!$AA$197)&gt;=SchemeStart,IF($X136=0,$AD136,IF(AND($Z136&lt;&gt;"",EDATE($D136,Milestones!$AA$197)&gt;=$Z136),$AC136,IF(AND($Y136&lt;&gt;"",EDATE($D136,Milestones!$AA$197)&gt;=$Y136),$AB136,$AA136)))=Milestones!$AB$197),UPPER(TEXT(EDATE($D136,Milestones!$AA$197),"dd mmm yy"))&amp;" "&amp;Milestones!$AB$197&amp;" "&amp;IF(AND(Milestones!$AB$197="FT",Milestones!$AA$197=FT_Y5,EDATE($D136,Milestones!$AA$197)&lt;PolicyEff),1,Milestones!$AC$197)&amp;";  ","")&amp;IF(AND(EDATE($D136,Milestones!$AA$198)&lt;=AsOfDate,EDATE($D136,Milestones!$AA$198)&gt;=SchemeStart,IF($X136=0,$AD136,IF(AND($Z136&lt;&gt;"",EDATE($D136,Milestones!$AA$198)&gt;=$Z136),$AC136,IF(AND($Y136&lt;&gt;"",EDATE($D136,Milestones!$AA$198)&gt;=$Y136),$AB136,$AA136)))=Milestones!$AB$198),UPPER(TEXT(EDATE($D136,Milestones!$AA$198),"dd mmm yy"))&amp;" "&amp;Milestones!$AB$198&amp;" "&amp;IF(AND(Milestones!$AB$198="FT",Milestones!$AA$198=FT_Y5,EDATE($D136,Milestones!$AA$198)&lt;PolicyEff),1,Milestones!$AC$198)&amp;";  ","")&amp;IF(AND(EDATE($D136,Milestones!$AA$199)&lt;=AsOfDate,EDATE($D136,Milestones!$AA$199)&gt;=SchemeStart,IF($X136=0,$AD136,IF(AND($Z136&lt;&gt;"",EDATE($D136,Milestones!$AA$199)&gt;=$Z136),$AC136,IF(AND($Y136&lt;&gt;"",EDATE($D136,Milestones!$AA$199)&gt;=$Y136),$AB136,$AA136)))=Milestones!$AB$199),UPPER(TEXT(EDATE($D136,Milestones!$AA$199),"dd mmm yy"))&amp;" "&amp;Milestones!$AB$199&amp;" "&amp;IF(AND(Milestones!$AB$199="FT",Milestones!$AA$199=FT_Y5,EDATE($D136,Milestones!$AA$199)&lt;PolicyEff),1,Milestones!$AC$199)&amp;";  ",""))</f>
        <v/>
      </c>
      <c r="X136" s="0" t="str">
        <f aca="false">IF(Staff!$A136="","",Staff!$AM136)</f>
        <v/>
      </c>
      <c r="Y136" s="0" t="str">
        <f aca="false">IF(Staff!$A136="","",Staff!$AO136)</f>
        <v/>
      </c>
      <c r="Z136" s="0" t="str">
        <f aca="false">IF(Staff!$A136="","",Staff!$AP136)</f>
        <v/>
      </c>
      <c r="AA136" s="0" t="str">
        <f aca="false">IF(Staff!$A136="","",Staff!$AT136)</f>
        <v/>
      </c>
      <c r="AB136" s="0" t="str">
        <f aca="false">IF(Staff!$A136="","",Staff!$AU136)</f>
        <v/>
      </c>
      <c r="AC136" s="0" t="str">
        <f aca="false">IF(Staff!$A136="","",Staff!$AV136)</f>
        <v/>
      </c>
      <c r="AD136" s="0" t="str">
        <f aca="false">IF(Staff!$A136="","",Staff!$AW136)</f>
        <v/>
      </c>
    </row>
    <row r="137" customFormat="false" ht="15" hidden="false" customHeight="false" outlineLevel="0" collapsed="false">
      <c r="A137" s="16" t="str">
        <f aca="false">IF(Staff!$A137="","",Staff!$A137)</f>
        <v/>
      </c>
      <c r="B137" s="16" t="str">
        <f aca="false">IF(Staff!$A137="","",Staff!$B137)</f>
        <v/>
      </c>
      <c r="C137" s="16" t="str">
        <f aca="false">IF(Staff!$A137="","",Staff!$C137)</f>
        <v/>
      </c>
      <c r="D137" s="14" t="str">
        <f aca="false">IF(Staff!$A137="","",Staff!$AL137)</f>
        <v/>
      </c>
      <c r="E137" s="16" t="str">
        <f aca="false">IF(Staff!$A137="","",Staff!$O137)</f>
        <v/>
      </c>
      <c r="F137" s="16" t="str">
        <f aca="false">IF(E137="","",E137*HoursPerDay)</f>
        <v/>
      </c>
      <c r="G137" s="16" t="str">
        <f aca="false">IF(Staff!$A137="","",Staff!$AE137)</f>
        <v/>
      </c>
      <c r="H137" s="28" t="str">
        <f aca="false">IF($A137="","",I137&amp;J137&amp;K137&amp;L137&amp;M137&amp;N137&amp;O137&amp;P137&amp;Q137&amp;R137&amp;S137&amp;T137&amp;U137&amp;V137&amp;W137)</f>
        <v/>
      </c>
      <c r="I137" s="0" t="str">
        <f aca="false">IF(OR($A137="",$D137=""),"",IF(AND(EDATE($D137,Milestones!$AA$20)&lt;=AsOfDate,EDATE($D137,Milestones!$AA$20)&gt;=SchemeStart,IF($X137=0,$AD137,IF(AND($Z137&lt;&gt;"",EDATE($D137,Milestones!$AA$20)&gt;=$Z137),$AC137,IF(AND($Y137&lt;&gt;"",EDATE($D137,Milestones!$AA$20)&gt;=$Y137),$AB137,$AA137)))=Milestones!$AB$20),UPPER(TEXT(EDATE($D137,Milestones!$AA$20),"dd mmm yy"))&amp;" "&amp;Milestones!$AB$20&amp;" "&amp;IF(AND(Milestones!$AB$20="FT",Milestones!$AA$20=FT_Y5,EDATE($D137,Milestones!$AA$20)&lt;PolicyEff),1,Milestones!$AC$20)&amp;";  ","")&amp;IF(AND(EDATE($D137,Milestones!$AA$21)&lt;=AsOfDate,EDATE($D137,Milestones!$AA$21)&gt;=SchemeStart,IF($X137=0,$AD137,IF(AND($Z137&lt;&gt;"",EDATE($D137,Milestones!$AA$21)&gt;=$Z137),$AC137,IF(AND($Y137&lt;&gt;"",EDATE($D137,Milestones!$AA$21)&gt;=$Y137),$AB137,$AA137)))=Milestones!$AB$21),UPPER(TEXT(EDATE($D137,Milestones!$AA$21),"dd mmm yy"))&amp;" "&amp;Milestones!$AB$21&amp;" "&amp;IF(AND(Milestones!$AB$21="FT",Milestones!$AA$21=FT_Y5,EDATE($D137,Milestones!$AA$21)&lt;PolicyEff),1,Milestones!$AC$21)&amp;";  ","")&amp;IF(AND(EDATE($D137,Milestones!$AA$22)&lt;=AsOfDate,EDATE($D137,Milestones!$AA$22)&gt;=SchemeStart,IF($X137=0,$AD137,IF(AND($Z137&lt;&gt;"",EDATE($D137,Milestones!$AA$22)&gt;=$Z137),$AC137,IF(AND($Y137&lt;&gt;"",EDATE($D137,Milestones!$AA$22)&gt;=$Y137),$AB137,$AA137)))=Milestones!$AB$22),UPPER(TEXT(EDATE($D137,Milestones!$AA$22),"dd mmm yy"))&amp;" "&amp;Milestones!$AB$22&amp;" "&amp;IF(AND(Milestones!$AB$22="FT",Milestones!$AA$22=FT_Y5,EDATE($D137,Milestones!$AA$22)&lt;PolicyEff),1,Milestones!$AC$22)&amp;";  ","")&amp;IF(AND(EDATE($D137,Milestones!$AA$23)&lt;=AsOfDate,EDATE($D137,Milestones!$AA$23)&gt;=SchemeStart,IF($X137=0,$AD137,IF(AND($Z137&lt;&gt;"",EDATE($D137,Milestones!$AA$23)&gt;=$Z137),$AC137,IF(AND($Y137&lt;&gt;"",EDATE($D137,Milestones!$AA$23)&gt;=$Y137),$AB137,$AA137)))=Milestones!$AB$23),UPPER(TEXT(EDATE($D137,Milestones!$AA$23),"dd mmm yy"))&amp;" "&amp;Milestones!$AB$23&amp;" "&amp;IF(AND(Milestones!$AB$23="FT",Milestones!$AA$23=FT_Y5,EDATE($D137,Milestones!$AA$23)&lt;PolicyEff),1,Milestones!$AC$23)&amp;";  ","")&amp;IF(AND(EDATE($D137,Milestones!$AA$24)&lt;=AsOfDate,EDATE($D137,Milestones!$AA$24)&gt;=SchemeStart,IF($X137=0,$AD137,IF(AND($Z137&lt;&gt;"",EDATE($D137,Milestones!$AA$24)&gt;=$Z137),$AC137,IF(AND($Y137&lt;&gt;"",EDATE($D137,Milestones!$AA$24)&gt;=$Y137),$AB137,$AA137)))=Milestones!$AB$24),UPPER(TEXT(EDATE($D137,Milestones!$AA$24),"dd mmm yy"))&amp;" "&amp;Milestones!$AB$24&amp;" "&amp;IF(AND(Milestones!$AB$24="FT",Milestones!$AA$24=FT_Y5,EDATE($D137,Milestones!$AA$24)&lt;PolicyEff),1,Milestones!$AC$24)&amp;";  ","")&amp;IF(AND(EDATE($D137,Milestones!$AA$25)&lt;=AsOfDate,EDATE($D137,Milestones!$AA$25)&gt;=SchemeStart,IF($X137=0,$AD137,IF(AND($Z137&lt;&gt;"",EDATE($D137,Milestones!$AA$25)&gt;=$Z137),$AC137,IF(AND($Y137&lt;&gt;"",EDATE($D137,Milestones!$AA$25)&gt;=$Y137),$AB137,$AA137)))=Milestones!$AB$25),UPPER(TEXT(EDATE($D137,Milestones!$AA$25),"dd mmm yy"))&amp;" "&amp;Milestones!$AB$25&amp;" "&amp;IF(AND(Milestones!$AB$25="FT",Milestones!$AA$25=FT_Y5,EDATE($D137,Milestones!$AA$25)&lt;PolicyEff),1,Milestones!$AC$25)&amp;";  ","")&amp;IF(AND(EDATE($D137,Milestones!$AA$26)&lt;=AsOfDate,EDATE($D137,Milestones!$AA$26)&gt;=SchemeStart,IF($X137=0,$AD137,IF(AND($Z137&lt;&gt;"",EDATE($D137,Milestones!$AA$26)&gt;=$Z137),$AC137,IF(AND($Y137&lt;&gt;"",EDATE($D137,Milestones!$AA$26)&gt;=$Y137),$AB137,$AA137)))=Milestones!$AB$26),UPPER(TEXT(EDATE($D137,Milestones!$AA$26),"dd mmm yy"))&amp;" "&amp;Milestones!$AB$26&amp;" "&amp;IF(AND(Milestones!$AB$26="FT",Milestones!$AA$26=FT_Y5,EDATE($D137,Milestones!$AA$26)&lt;PolicyEff),1,Milestones!$AC$26)&amp;";  ","")&amp;IF(AND(EDATE($D137,Milestones!$AA$27)&lt;=AsOfDate,EDATE($D137,Milestones!$AA$27)&gt;=SchemeStart,IF($X137=0,$AD137,IF(AND($Z137&lt;&gt;"",EDATE($D137,Milestones!$AA$27)&gt;=$Z137),$AC137,IF(AND($Y137&lt;&gt;"",EDATE($D137,Milestones!$AA$27)&gt;=$Y137),$AB137,$AA137)))=Milestones!$AB$27),UPPER(TEXT(EDATE($D137,Milestones!$AA$27),"dd mmm yy"))&amp;" "&amp;Milestones!$AB$27&amp;" "&amp;IF(AND(Milestones!$AB$27="FT",Milestones!$AA$27=FT_Y5,EDATE($D137,Milestones!$AA$27)&lt;PolicyEff),1,Milestones!$AC$27)&amp;";  ","")&amp;IF(AND(EDATE($D137,Milestones!$AA$28)&lt;=AsOfDate,EDATE($D137,Milestones!$AA$28)&gt;=SchemeStart,IF($X137=0,$AD137,IF(AND($Z137&lt;&gt;"",EDATE($D137,Milestones!$AA$28)&gt;=$Z137),$AC137,IF(AND($Y137&lt;&gt;"",EDATE($D137,Milestones!$AA$28)&gt;=$Y137),$AB137,$AA137)))=Milestones!$AB$28),UPPER(TEXT(EDATE($D137,Milestones!$AA$28),"dd mmm yy"))&amp;" "&amp;Milestones!$AB$28&amp;" "&amp;IF(AND(Milestones!$AB$28="FT",Milestones!$AA$28=FT_Y5,EDATE($D137,Milestones!$AA$28)&lt;PolicyEff),1,Milestones!$AC$28)&amp;";  ","")&amp;IF(AND(EDATE($D137,Milestones!$AA$29)&lt;=AsOfDate,EDATE($D137,Milestones!$AA$29)&gt;=SchemeStart,IF($X137=0,$AD137,IF(AND($Z137&lt;&gt;"",EDATE($D137,Milestones!$AA$29)&gt;=$Z137),$AC137,IF(AND($Y137&lt;&gt;"",EDATE($D137,Milestones!$AA$29)&gt;=$Y137),$AB137,$AA137)))=Milestones!$AB$29),UPPER(TEXT(EDATE($D137,Milestones!$AA$29),"dd mmm yy"))&amp;" "&amp;Milestones!$AB$29&amp;" "&amp;IF(AND(Milestones!$AB$29="FT",Milestones!$AA$29=FT_Y5,EDATE($D137,Milestones!$AA$29)&lt;PolicyEff),1,Milestones!$AC$29)&amp;";  ","")&amp;IF(AND(EDATE($D137,Milestones!$AA$30)&lt;=AsOfDate,EDATE($D137,Milestones!$AA$30)&gt;=SchemeStart,IF($X137=0,$AD137,IF(AND($Z137&lt;&gt;"",EDATE($D137,Milestones!$AA$30)&gt;=$Z137),$AC137,IF(AND($Y137&lt;&gt;"",EDATE($D137,Milestones!$AA$30)&gt;=$Y137),$AB137,$AA137)))=Milestones!$AB$30),UPPER(TEXT(EDATE($D137,Milestones!$AA$30),"dd mmm yy"))&amp;" "&amp;Milestones!$AB$30&amp;" "&amp;IF(AND(Milestones!$AB$30="FT",Milestones!$AA$30=FT_Y5,EDATE($D137,Milestones!$AA$30)&lt;PolicyEff),1,Milestones!$AC$30)&amp;";  ","")&amp;IF(AND(EDATE($D137,Milestones!$AA$31)&lt;=AsOfDate,EDATE($D137,Milestones!$AA$31)&gt;=SchemeStart,IF($X137=0,$AD137,IF(AND($Z137&lt;&gt;"",EDATE($D137,Milestones!$AA$31)&gt;=$Z137),$AC137,IF(AND($Y137&lt;&gt;"",EDATE($D137,Milestones!$AA$31)&gt;=$Y137),$AB137,$AA137)))=Milestones!$AB$31),UPPER(TEXT(EDATE($D137,Milestones!$AA$31),"dd mmm yy"))&amp;" "&amp;Milestones!$AB$31&amp;" "&amp;IF(AND(Milestones!$AB$31="FT",Milestones!$AA$31=FT_Y5,EDATE($D137,Milestones!$AA$31)&lt;PolicyEff),1,Milestones!$AC$31)&amp;";  ",""))</f>
        <v/>
      </c>
      <c r="J137" s="0" t="str">
        <f aca="false">IF(OR($A137="",$D137=""),"",IF(AND(EDATE($D137,Milestones!$AA$32)&lt;=AsOfDate,EDATE($D137,Milestones!$AA$32)&gt;=SchemeStart,IF($X137=0,$AD137,IF(AND($Z137&lt;&gt;"",EDATE($D137,Milestones!$AA$32)&gt;=$Z137),$AC137,IF(AND($Y137&lt;&gt;"",EDATE($D137,Milestones!$AA$32)&gt;=$Y137),$AB137,$AA137)))=Milestones!$AB$32),UPPER(TEXT(EDATE($D137,Milestones!$AA$32),"dd mmm yy"))&amp;" "&amp;Milestones!$AB$32&amp;" "&amp;IF(AND(Milestones!$AB$32="FT",Milestones!$AA$32=FT_Y5,EDATE($D137,Milestones!$AA$32)&lt;PolicyEff),1,Milestones!$AC$32)&amp;";  ","")&amp;IF(AND(EDATE($D137,Milestones!$AA$33)&lt;=AsOfDate,EDATE($D137,Milestones!$AA$33)&gt;=SchemeStart,IF($X137=0,$AD137,IF(AND($Z137&lt;&gt;"",EDATE($D137,Milestones!$AA$33)&gt;=$Z137),$AC137,IF(AND($Y137&lt;&gt;"",EDATE($D137,Milestones!$AA$33)&gt;=$Y137),$AB137,$AA137)))=Milestones!$AB$33),UPPER(TEXT(EDATE($D137,Milestones!$AA$33),"dd mmm yy"))&amp;" "&amp;Milestones!$AB$33&amp;" "&amp;IF(AND(Milestones!$AB$33="FT",Milestones!$AA$33=FT_Y5,EDATE($D137,Milestones!$AA$33)&lt;PolicyEff),1,Milestones!$AC$33)&amp;";  ","")&amp;IF(AND(EDATE($D137,Milestones!$AA$34)&lt;=AsOfDate,EDATE($D137,Milestones!$AA$34)&gt;=SchemeStart,IF($X137=0,$AD137,IF(AND($Z137&lt;&gt;"",EDATE($D137,Milestones!$AA$34)&gt;=$Z137),$AC137,IF(AND($Y137&lt;&gt;"",EDATE($D137,Milestones!$AA$34)&gt;=$Y137),$AB137,$AA137)))=Milestones!$AB$34),UPPER(TEXT(EDATE($D137,Milestones!$AA$34),"dd mmm yy"))&amp;" "&amp;Milestones!$AB$34&amp;" "&amp;IF(AND(Milestones!$AB$34="FT",Milestones!$AA$34=FT_Y5,EDATE($D137,Milestones!$AA$34)&lt;PolicyEff),1,Milestones!$AC$34)&amp;";  ","")&amp;IF(AND(EDATE($D137,Milestones!$AA$35)&lt;=AsOfDate,EDATE($D137,Milestones!$AA$35)&gt;=SchemeStart,IF($X137=0,$AD137,IF(AND($Z137&lt;&gt;"",EDATE($D137,Milestones!$AA$35)&gt;=$Z137),$AC137,IF(AND($Y137&lt;&gt;"",EDATE($D137,Milestones!$AA$35)&gt;=$Y137),$AB137,$AA137)))=Milestones!$AB$35),UPPER(TEXT(EDATE($D137,Milestones!$AA$35),"dd mmm yy"))&amp;" "&amp;Milestones!$AB$35&amp;" "&amp;IF(AND(Milestones!$AB$35="FT",Milestones!$AA$35=FT_Y5,EDATE($D137,Milestones!$AA$35)&lt;PolicyEff),1,Milestones!$AC$35)&amp;";  ","")&amp;IF(AND(EDATE($D137,Milestones!$AA$36)&lt;=AsOfDate,EDATE($D137,Milestones!$AA$36)&gt;=SchemeStart,IF($X137=0,$AD137,IF(AND($Z137&lt;&gt;"",EDATE($D137,Milestones!$AA$36)&gt;=$Z137),$AC137,IF(AND($Y137&lt;&gt;"",EDATE($D137,Milestones!$AA$36)&gt;=$Y137),$AB137,$AA137)))=Milestones!$AB$36),UPPER(TEXT(EDATE($D137,Milestones!$AA$36),"dd mmm yy"))&amp;" "&amp;Milestones!$AB$36&amp;" "&amp;IF(AND(Milestones!$AB$36="FT",Milestones!$AA$36=FT_Y5,EDATE($D137,Milestones!$AA$36)&lt;PolicyEff),1,Milestones!$AC$36)&amp;";  ","")&amp;IF(AND(EDATE($D137,Milestones!$AA$37)&lt;=AsOfDate,EDATE($D137,Milestones!$AA$37)&gt;=SchemeStart,IF($X137=0,$AD137,IF(AND($Z137&lt;&gt;"",EDATE($D137,Milestones!$AA$37)&gt;=$Z137),$AC137,IF(AND($Y137&lt;&gt;"",EDATE($D137,Milestones!$AA$37)&gt;=$Y137),$AB137,$AA137)))=Milestones!$AB$37),UPPER(TEXT(EDATE($D137,Milestones!$AA$37),"dd mmm yy"))&amp;" "&amp;Milestones!$AB$37&amp;" "&amp;IF(AND(Milestones!$AB$37="FT",Milestones!$AA$37=FT_Y5,EDATE($D137,Milestones!$AA$37)&lt;PolicyEff),1,Milestones!$AC$37)&amp;";  ","")&amp;IF(AND(EDATE($D137,Milestones!$AA$38)&lt;=AsOfDate,EDATE($D137,Milestones!$AA$38)&gt;=SchemeStart,IF($X137=0,$AD137,IF(AND($Z137&lt;&gt;"",EDATE($D137,Milestones!$AA$38)&gt;=$Z137),$AC137,IF(AND($Y137&lt;&gt;"",EDATE($D137,Milestones!$AA$38)&gt;=$Y137),$AB137,$AA137)))=Milestones!$AB$38),UPPER(TEXT(EDATE($D137,Milestones!$AA$38),"dd mmm yy"))&amp;" "&amp;Milestones!$AB$38&amp;" "&amp;IF(AND(Milestones!$AB$38="FT",Milestones!$AA$38=FT_Y5,EDATE($D137,Milestones!$AA$38)&lt;PolicyEff),1,Milestones!$AC$38)&amp;";  ","")&amp;IF(AND(EDATE($D137,Milestones!$AA$39)&lt;=AsOfDate,EDATE($D137,Milestones!$AA$39)&gt;=SchemeStart,IF($X137=0,$AD137,IF(AND($Z137&lt;&gt;"",EDATE($D137,Milestones!$AA$39)&gt;=$Z137),$AC137,IF(AND($Y137&lt;&gt;"",EDATE($D137,Milestones!$AA$39)&gt;=$Y137),$AB137,$AA137)))=Milestones!$AB$39),UPPER(TEXT(EDATE($D137,Milestones!$AA$39),"dd mmm yy"))&amp;" "&amp;Milestones!$AB$39&amp;" "&amp;IF(AND(Milestones!$AB$39="FT",Milestones!$AA$39=FT_Y5,EDATE($D137,Milestones!$AA$39)&lt;PolicyEff),1,Milestones!$AC$39)&amp;";  ","")&amp;IF(AND(EDATE($D137,Milestones!$AA$40)&lt;=AsOfDate,EDATE($D137,Milestones!$AA$40)&gt;=SchemeStart,IF($X137=0,$AD137,IF(AND($Z137&lt;&gt;"",EDATE($D137,Milestones!$AA$40)&gt;=$Z137),$AC137,IF(AND($Y137&lt;&gt;"",EDATE($D137,Milestones!$AA$40)&gt;=$Y137),$AB137,$AA137)))=Milestones!$AB$40),UPPER(TEXT(EDATE($D137,Milestones!$AA$40),"dd mmm yy"))&amp;" "&amp;Milestones!$AB$40&amp;" "&amp;IF(AND(Milestones!$AB$40="FT",Milestones!$AA$40=FT_Y5,EDATE($D137,Milestones!$AA$40)&lt;PolicyEff),1,Milestones!$AC$40)&amp;";  ","")&amp;IF(AND(EDATE($D137,Milestones!$AA$41)&lt;=AsOfDate,EDATE($D137,Milestones!$AA$41)&gt;=SchemeStart,IF($X137=0,$AD137,IF(AND($Z137&lt;&gt;"",EDATE($D137,Milestones!$AA$41)&gt;=$Z137),$AC137,IF(AND($Y137&lt;&gt;"",EDATE($D137,Milestones!$AA$41)&gt;=$Y137),$AB137,$AA137)))=Milestones!$AB$41),UPPER(TEXT(EDATE($D137,Milestones!$AA$41),"dd mmm yy"))&amp;" "&amp;Milestones!$AB$41&amp;" "&amp;IF(AND(Milestones!$AB$41="FT",Milestones!$AA$41=FT_Y5,EDATE($D137,Milestones!$AA$41)&lt;PolicyEff),1,Milestones!$AC$41)&amp;";  ","")&amp;IF(AND(EDATE($D137,Milestones!$AA$42)&lt;=AsOfDate,EDATE($D137,Milestones!$AA$42)&gt;=SchemeStart,IF($X137=0,$AD137,IF(AND($Z137&lt;&gt;"",EDATE($D137,Milestones!$AA$42)&gt;=$Z137),$AC137,IF(AND($Y137&lt;&gt;"",EDATE($D137,Milestones!$AA$42)&gt;=$Y137),$AB137,$AA137)))=Milestones!$AB$42),UPPER(TEXT(EDATE($D137,Milestones!$AA$42),"dd mmm yy"))&amp;" "&amp;Milestones!$AB$42&amp;" "&amp;IF(AND(Milestones!$AB$42="FT",Milestones!$AA$42=FT_Y5,EDATE($D137,Milestones!$AA$42)&lt;PolicyEff),1,Milestones!$AC$42)&amp;";  ","")&amp;IF(AND(EDATE($D137,Milestones!$AA$43)&lt;=AsOfDate,EDATE($D137,Milestones!$AA$43)&gt;=SchemeStart,IF($X137=0,$AD137,IF(AND($Z137&lt;&gt;"",EDATE($D137,Milestones!$AA$43)&gt;=$Z137),$AC137,IF(AND($Y137&lt;&gt;"",EDATE($D137,Milestones!$AA$43)&gt;=$Y137),$AB137,$AA137)))=Milestones!$AB$43),UPPER(TEXT(EDATE($D137,Milestones!$AA$43),"dd mmm yy"))&amp;" "&amp;Milestones!$AB$43&amp;" "&amp;IF(AND(Milestones!$AB$43="FT",Milestones!$AA$43=FT_Y5,EDATE($D137,Milestones!$AA$43)&lt;PolicyEff),1,Milestones!$AC$43)&amp;";  ",""))</f>
        <v/>
      </c>
      <c r="K137" s="0" t="str">
        <f aca="false">IF(OR($A137="",$D137=""),"",IF(AND(EDATE($D137,Milestones!$AA$44)&lt;=AsOfDate,EDATE($D137,Milestones!$AA$44)&gt;=SchemeStart,IF($X137=0,$AD137,IF(AND($Z137&lt;&gt;"",EDATE($D137,Milestones!$AA$44)&gt;=$Z137),$AC137,IF(AND($Y137&lt;&gt;"",EDATE($D137,Milestones!$AA$44)&gt;=$Y137),$AB137,$AA137)))=Milestones!$AB$44),UPPER(TEXT(EDATE($D137,Milestones!$AA$44),"dd mmm yy"))&amp;" "&amp;Milestones!$AB$44&amp;" "&amp;IF(AND(Milestones!$AB$44="FT",Milestones!$AA$44=FT_Y5,EDATE($D137,Milestones!$AA$44)&lt;PolicyEff),1,Milestones!$AC$44)&amp;";  ","")&amp;IF(AND(EDATE($D137,Milestones!$AA$45)&lt;=AsOfDate,EDATE($D137,Milestones!$AA$45)&gt;=SchemeStart,IF($X137=0,$AD137,IF(AND($Z137&lt;&gt;"",EDATE($D137,Milestones!$AA$45)&gt;=$Z137),$AC137,IF(AND($Y137&lt;&gt;"",EDATE($D137,Milestones!$AA$45)&gt;=$Y137),$AB137,$AA137)))=Milestones!$AB$45),UPPER(TEXT(EDATE($D137,Milestones!$AA$45),"dd mmm yy"))&amp;" "&amp;Milestones!$AB$45&amp;" "&amp;IF(AND(Milestones!$AB$45="FT",Milestones!$AA$45=FT_Y5,EDATE($D137,Milestones!$AA$45)&lt;PolicyEff),1,Milestones!$AC$45)&amp;";  ","")&amp;IF(AND(EDATE($D137,Milestones!$AA$46)&lt;=AsOfDate,EDATE($D137,Milestones!$AA$46)&gt;=SchemeStart,IF($X137=0,$AD137,IF(AND($Z137&lt;&gt;"",EDATE($D137,Milestones!$AA$46)&gt;=$Z137),$AC137,IF(AND($Y137&lt;&gt;"",EDATE($D137,Milestones!$AA$46)&gt;=$Y137),$AB137,$AA137)))=Milestones!$AB$46),UPPER(TEXT(EDATE($D137,Milestones!$AA$46),"dd mmm yy"))&amp;" "&amp;Milestones!$AB$46&amp;" "&amp;IF(AND(Milestones!$AB$46="FT",Milestones!$AA$46=FT_Y5,EDATE($D137,Milestones!$AA$46)&lt;PolicyEff),1,Milestones!$AC$46)&amp;";  ","")&amp;IF(AND(EDATE($D137,Milestones!$AA$47)&lt;=AsOfDate,EDATE($D137,Milestones!$AA$47)&gt;=SchemeStart,IF($X137=0,$AD137,IF(AND($Z137&lt;&gt;"",EDATE($D137,Milestones!$AA$47)&gt;=$Z137),$AC137,IF(AND($Y137&lt;&gt;"",EDATE($D137,Milestones!$AA$47)&gt;=$Y137),$AB137,$AA137)))=Milestones!$AB$47),UPPER(TEXT(EDATE($D137,Milestones!$AA$47),"dd mmm yy"))&amp;" "&amp;Milestones!$AB$47&amp;" "&amp;IF(AND(Milestones!$AB$47="FT",Milestones!$AA$47=FT_Y5,EDATE($D137,Milestones!$AA$47)&lt;PolicyEff),1,Milestones!$AC$47)&amp;";  ","")&amp;IF(AND(EDATE($D137,Milestones!$AA$48)&lt;=AsOfDate,EDATE($D137,Milestones!$AA$48)&gt;=SchemeStart,IF($X137=0,$AD137,IF(AND($Z137&lt;&gt;"",EDATE($D137,Milestones!$AA$48)&gt;=$Z137),$AC137,IF(AND($Y137&lt;&gt;"",EDATE($D137,Milestones!$AA$48)&gt;=$Y137),$AB137,$AA137)))=Milestones!$AB$48),UPPER(TEXT(EDATE($D137,Milestones!$AA$48),"dd mmm yy"))&amp;" "&amp;Milestones!$AB$48&amp;" "&amp;IF(AND(Milestones!$AB$48="FT",Milestones!$AA$48=FT_Y5,EDATE($D137,Milestones!$AA$48)&lt;PolicyEff),1,Milestones!$AC$48)&amp;";  ","")&amp;IF(AND(EDATE($D137,Milestones!$AA$49)&lt;=AsOfDate,EDATE($D137,Milestones!$AA$49)&gt;=SchemeStart,IF($X137=0,$AD137,IF(AND($Z137&lt;&gt;"",EDATE($D137,Milestones!$AA$49)&gt;=$Z137),$AC137,IF(AND($Y137&lt;&gt;"",EDATE($D137,Milestones!$AA$49)&gt;=$Y137),$AB137,$AA137)))=Milestones!$AB$49),UPPER(TEXT(EDATE($D137,Milestones!$AA$49),"dd mmm yy"))&amp;" "&amp;Milestones!$AB$49&amp;" "&amp;IF(AND(Milestones!$AB$49="FT",Milestones!$AA$49=FT_Y5,EDATE($D137,Milestones!$AA$49)&lt;PolicyEff),1,Milestones!$AC$49)&amp;";  ","")&amp;IF(AND(EDATE($D137,Milestones!$AA$50)&lt;=AsOfDate,EDATE($D137,Milestones!$AA$50)&gt;=SchemeStart,IF($X137=0,$AD137,IF(AND($Z137&lt;&gt;"",EDATE($D137,Milestones!$AA$50)&gt;=$Z137),$AC137,IF(AND($Y137&lt;&gt;"",EDATE($D137,Milestones!$AA$50)&gt;=$Y137),$AB137,$AA137)))=Milestones!$AB$50),UPPER(TEXT(EDATE($D137,Milestones!$AA$50),"dd mmm yy"))&amp;" "&amp;Milestones!$AB$50&amp;" "&amp;IF(AND(Milestones!$AB$50="FT",Milestones!$AA$50=FT_Y5,EDATE($D137,Milestones!$AA$50)&lt;PolicyEff),1,Milestones!$AC$50)&amp;";  ","")&amp;IF(AND(EDATE($D137,Milestones!$AA$51)&lt;=AsOfDate,EDATE($D137,Milestones!$AA$51)&gt;=SchemeStart,IF($X137=0,$AD137,IF(AND($Z137&lt;&gt;"",EDATE($D137,Milestones!$AA$51)&gt;=$Z137),$AC137,IF(AND($Y137&lt;&gt;"",EDATE($D137,Milestones!$AA$51)&gt;=$Y137),$AB137,$AA137)))=Milestones!$AB$51),UPPER(TEXT(EDATE($D137,Milestones!$AA$51),"dd mmm yy"))&amp;" "&amp;Milestones!$AB$51&amp;" "&amp;IF(AND(Milestones!$AB$51="FT",Milestones!$AA$51=FT_Y5,EDATE($D137,Milestones!$AA$51)&lt;PolicyEff),1,Milestones!$AC$51)&amp;";  ","")&amp;IF(AND(EDATE($D137,Milestones!$AA$52)&lt;=AsOfDate,EDATE($D137,Milestones!$AA$52)&gt;=SchemeStart,IF($X137=0,$AD137,IF(AND($Z137&lt;&gt;"",EDATE($D137,Milestones!$AA$52)&gt;=$Z137),$AC137,IF(AND($Y137&lt;&gt;"",EDATE($D137,Milestones!$AA$52)&gt;=$Y137),$AB137,$AA137)))=Milestones!$AB$52),UPPER(TEXT(EDATE($D137,Milestones!$AA$52),"dd mmm yy"))&amp;" "&amp;Milestones!$AB$52&amp;" "&amp;IF(AND(Milestones!$AB$52="FT",Milestones!$AA$52=FT_Y5,EDATE($D137,Milestones!$AA$52)&lt;PolicyEff),1,Milestones!$AC$52)&amp;";  ","")&amp;IF(AND(EDATE($D137,Milestones!$AA$53)&lt;=AsOfDate,EDATE($D137,Milestones!$AA$53)&gt;=SchemeStart,IF($X137=0,$AD137,IF(AND($Z137&lt;&gt;"",EDATE($D137,Milestones!$AA$53)&gt;=$Z137),$AC137,IF(AND($Y137&lt;&gt;"",EDATE($D137,Milestones!$AA$53)&gt;=$Y137),$AB137,$AA137)))=Milestones!$AB$53),UPPER(TEXT(EDATE($D137,Milestones!$AA$53),"dd mmm yy"))&amp;" "&amp;Milestones!$AB$53&amp;" "&amp;IF(AND(Milestones!$AB$53="FT",Milestones!$AA$53=FT_Y5,EDATE($D137,Milestones!$AA$53)&lt;PolicyEff),1,Milestones!$AC$53)&amp;";  ","")&amp;IF(AND(EDATE($D137,Milestones!$AA$54)&lt;=AsOfDate,EDATE($D137,Milestones!$AA$54)&gt;=SchemeStart,IF($X137=0,$AD137,IF(AND($Z137&lt;&gt;"",EDATE($D137,Milestones!$AA$54)&gt;=$Z137),$AC137,IF(AND($Y137&lt;&gt;"",EDATE($D137,Milestones!$AA$54)&gt;=$Y137),$AB137,$AA137)))=Milestones!$AB$54),UPPER(TEXT(EDATE($D137,Milestones!$AA$54),"dd mmm yy"))&amp;" "&amp;Milestones!$AB$54&amp;" "&amp;IF(AND(Milestones!$AB$54="FT",Milestones!$AA$54=FT_Y5,EDATE($D137,Milestones!$AA$54)&lt;PolicyEff),1,Milestones!$AC$54)&amp;";  ","")&amp;IF(AND(EDATE($D137,Milestones!$AA$55)&lt;=AsOfDate,EDATE($D137,Milestones!$AA$55)&gt;=SchemeStart,IF($X137=0,$AD137,IF(AND($Z137&lt;&gt;"",EDATE($D137,Milestones!$AA$55)&gt;=$Z137),$AC137,IF(AND($Y137&lt;&gt;"",EDATE($D137,Milestones!$AA$55)&gt;=$Y137),$AB137,$AA137)))=Milestones!$AB$55),UPPER(TEXT(EDATE($D137,Milestones!$AA$55),"dd mmm yy"))&amp;" "&amp;Milestones!$AB$55&amp;" "&amp;IF(AND(Milestones!$AB$55="FT",Milestones!$AA$55=FT_Y5,EDATE($D137,Milestones!$AA$55)&lt;PolicyEff),1,Milestones!$AC$55)&amp;";  ",""))</f>
        <v/>
      </c>
      <c r="L137" s="0" t="str">
        <f aca="false">IF(OR($A137="",$D137=""),"",IF(AND(EDATE($D137,Milestones!$AA$56)&lt;=AsOfDate,EDATE($D137,Milestones!$AA$56)&gt;=SchemeStart,IF($X137=0,$AD137,IF(AND($Z137&lt;&gt;"",EDATE($D137,Milestones!$AA$56)&gt;=$Z137),$AC137,IF(AND($Y137&lt;&gt;"",EDATE($D137,Milestones!$AA$56)&gt;=$Y137),$AB137,$AA137)))=Milestones!$AB$56),UPPER(TEXT(EDATE($D137,Milestones!$AA$56),"dd mmm yy"))&amp;" "&amp;Milestones!$AB$56&amp;" "&amp;IF(AND(Milestones!$AB$56="FT",Milestones!$AA$56=FT_Y5,EDATE($D137,Milestones!$AA$56)&lt;PolicyEff),1,Milestones!$AC$56)&amp;";  ","")&amp;IF(AND(EDATE($D137,Milestones!$AA$57)&lt;=AsOfDate,EDATE($D137,Milestones!$AA$57)&gt;=SchemeStart,IF($X137=0,$AD137,IF(AND($Z137&lt;&gt;"",EDATE($D137,Milestones!$AA$57)&gt;=$Z137),$AC137,IF(AND($Y137&lt;&gt;"",EDATE($D137,Milestones!$AA$57)&gt;=$Y137),$AB137,$AA137)))=Milestones!$AB$57),UPPER(TEXT(EDATE($D137,Milestones!$AA$57),"dd mmm yy"))&amp;" "&amp;Milestones!$AB$57&amp;" "&amp;IF(AND(Milestones!$AB$57="FT",Milestones!$AA$57=FT_Y5,EDATE($D137,Milestones!$AA$57)&lt;PolicyEff),1,Milestones!$AC$57)&amp;";  ","")&amp;IF(AND(EDATE($D137,Milestones!$AA$58)&lt;=AsOfDate,EDATE($D137,Milestones!$AA$58)&gt;=SchemeStart,IF($X137=0,$AD137,IF(AND($Z137&lt;&gt;"",EDATE($D137,Milestones!$AA$58)&gt;=$Z137),$AC137,IF(AND($Y137&lt;&gt;"",EDATE($D137,Milestones!$AA$58)&gt;=$Y137),$AB137,$AA137)))=Milestones!$AB$58),UPPER(TEXT(EDATE($D137,Milestones!$AA$58),"dd mmm yy"))&amp;" "&amp;Milestones!$AB$58&amp;" "&amp;IF(AND(Milestones!$AB$58="FT",Milestones!$AA$58=FT_Y5,EDATE($D137,Milestones!$AA$58)&lt;PolicyEff),1,Milestones!$AC$58)&amp;";  ","")&amp;IF(AND(EDATE($D137,Milestones!$AA$59)&lt;=AsOfDate,EDATE($D137,Milestones!$AA$59)&gt;=SchemeStart,IF($X137=0,$AD137,IF(AND($Z137&lt;&gt;"",EDATE($D137,Milestones!$AA$59)&gt;=$Z137),$AC137,IF(AND($Y137&lt;&gt;"",EDATE($D137,Milestones!$AA$59)&gt;=$Y137),$AB137,$AA137)))=Milestones!$AB$59),UPPER(TEXT(EDATE($D137,Milestones!$AA$59),"dd mmm yy"))&amp;" "&amp;Milestones!$AB$59&amp;" "&amp;IF(AND(Milestones!$AB$59="FT",Milestones!$AA$59=FT_Y5,EDATE($D137,Milestones!$AA$59)&lt;PolicyEff),1,Milestones!$AC$59)&amp;";  ","")&amp;IF(AND(EDATE($D137,Milestones!$AA$60)&lt;=AsOfDate,EDATE($D137,Milestones!$AA$60)&gt;=SchemeStart,IF($X137=0,$AD137,IF(AND($Z137&lt;&gt;"",EDATE($D137,Milestones!$AA$60)&gt;=$Z137),$AC137,IF(AND($Y137&lt;&gt;"",EDATE($D137,Milestones!$AA$60)&gt;=$Y137),$AB137,$AA137)))=Milestones!$AB$60),UPPER(TEXT(EDATE($D137,Milestones!$AA$60),"dd mmm yy"))&amp;" "&amp;Milestones!$AB$60&amp;" "&amp;IF(AND(Milestones!$AB$60="FT",Milestones!$AA$60=FT_Y5,EDATE($D137,Milestones!$AA$60)&lt;PolicyEff),1,Milestones!$AC$60)&amp;";  ","")&amp;IF(AND(EDATE($D137,Milestones!$AA$61)&lt;=AsOfDate,EDATE($D137,Milestones!$AA$61)&gt;=SchemeStart,IF($X137=0,$AD137,IF(AND($Z137&lt;&gt;"",EDATE($D137,Milestones!$AA$61)&gt;=$Z137),$AC137,IF(AND($Y137&lt;&gt;"",EDATE($D137,Milestones!$AA$61)&gt;=$Y137),$AB137,$AA137)))=Milestones!$AB$61),UPPER(TEXT(EDATE($D137,Milestones!$AA$61),"dd mmm yy"))&amp;" "&amp;Milestones!$AB$61&amp;" "&amp;IF(AND(Milestones!$AB$61="FT",Milestones!$AA$61=FT_Y5,EDATE($D137,Milestones!$AA$61)&lt;PolicyEff),1,Milestones!$AC$61)&amp;";  ","")&amp;IF(AND(EDATE($D137,Milestones!$AA$62)&lt;=AsOfDate,EDATE($D137,Milestones!$AA$62)&gt;=SchemeStart,IF($X137=0,$AD137,IF(AND($Z137&lt;&gt;"",EDATE($D137,Milestones!$AA$62)&gt;=$Z137),$AC137,IF(AND($Y137&lt;&gt;"",EDATE($D137,Milestones!$AA$62)&gt;=$Y137),$AB137,$AA137)))=Milestones!$AB$62),UPPER(TEXT(EDATE($D137,Milestones!$AA$62),"dd mmm yy"))&amp;" "&amp;Milestones!$AB$62&amp;" "&amp;IF(AND(Milestones!$AB$62="FT",Milestones!$AA$62=FT_Y5,EDATE($D137,Milestones!$AA$62)&lt;PolicyEff),1,Milestones!$AC$62)&amp;";  ","")&amp;IF(AND(EDATE($D137,Milestones!$AA$63)&lt;=AsOfDate,EDATE($D137,Milestones!$AA$63)&gt;=SchemeStart,IF($X137=0,$AD137,IF(AND($Z137&lt;&gt;"",EDATE($D137,Milestones!$AA$63)&gt;=$Z137),$AC137,IF(AND($Y137&lt;&gt;"",EDATE($D137,Milestones!$AA$63)&gt;=$Y137),$AB137,$AA137)))=Milestones!$AB$63),UPPER(TEXT(EDATE($D137,Milestones!$AA$63),"dd mmm yy"))&amp;" "&amp;Milestones!$AB$63&amp;" "&amp;IF(AND(Milestones!$AB$63="FT",Milestones!$AA$63=FT_Y5,EDATE($D137,Milestones!$AA$63)&lt;PolicyEff),1,Milestones!$AC$63)&amp;";  ","")&amp;IF(AND(EDATE($D137,Milestones!$AA$64)&lt;=AsOfDate,EDATE($D137,Milestones!$AA$64)&gt;=SchemeStart,IF($X137=0,$AD137,IF(AND($Z137&lt;&gt;"",EDATE($D137,Milestones!$AA$64)&gt;=$Z137),$AC137,IF(AND($Y137&lt;&gt;"",EDATE($D137,Milestones!$AA$64)&gt;=$Y137),$AB137,$AA137)))=Milestones!$AB$64),UPPER(TEXT(EDATE($D137,Milestones!$AA$64),"dd mmm yy"))&amp;" "&amp;Milestones!$AB$64&amp;" "&amp;IF(AND(Milestones!$AB$64="FT",Milestones!$AA$64=FT_Y5,EDATE($D137,Milestones!$AA$64)&lt;PolicyEff),1,Milestones!$AC$64)&amp;";  ","")&amp;IF(AND(EDATE($D137,Milestones!$AA$65)&lt;=AsOfDate,EDATE($D137,Milestones!$AA$65)&gt;=SchemeStart,IF($X137=0,$AD137,IF(AND($Z137&lt;&gt;"",EDATE($D137,Milestones!$AA$65)&gt;=$Z137),$AC137,IF(AND($Y137&lt;&gt;"",EDATE($D137,Milestones!$AA$65)&gt;=$Y137),$AB137,$AA137)))=Milestones!$AB$65),UPPER(TEXT(EDATE($D137,Milestones!$AA$65),"dd mmm yy"))&amp;" "&amp;Milestones!$AB$65&amp;" "&amp;IF(AND(Milestones!$AB$65="FT",Milestones!$AA$65=FT_Y5,EDATE($D137,Milestones!$AA$65)&lt;PolicyEff),1,Milestones!$AC$65)&amp;";  ","")&amp;IF(AND(EDATE($D137,Milestones!$AA$66)&lt;=AsOfDate,EDATE($D137,Milestones!$AA$66)&gt;=SchemeStart,IF($X137=0,$AD137,IF(AND($Z137&lt;&gt;"",EDATE($D137,Milestones!$AA$66)&gt;=$Z137),$AC137,IF(AND($Y137&lt;&gt;"",EDATE($D137,Milestones!$AA$66)&gt;=$Y137),$AB137,$AA137)))=Milestones!$AB$66),UPPER(TEXT(EDATE($D137,Milestones!$AA$66),"dd mmm yy"))&amp;" "&amp;Milestones!$AB$66&amp;" "&amp;IF(AND(Milestones!$AB$66="FT",Milestones!$AA$66=FT_Y5,EDATE($D137,Milestones!$AA$66)&lt;PolicyEff),1,Milestones!$AC$66)&amp;";  ","")&amp;IF(AND(EDATE($D137,Milestones!$AA$67)&lt;=AsOfDate,EDATE($D137,Milestones!$AA$67)&gt;=SchemeStart,IF($X137=0,$AD137,IF(AND($Z137&lt;&gt;"",EDATE($D137,Milestones!$AA$67)&gt;=$Z137),$AC137,IF(AND($Y137&lt;&gt;"",EDATE($D137,Milestones!$AA$67)&gt;=$Y137),$AB137,$AA137)))=Milestones!$AB$67),UPPER(TEXT(EDATE($D137,Milestones!$AA$67),"dd mmm yy"))&amp;" "&amp;Milestones!$AB$67&amp;" "&amp;IF(AND(Milestones!$AB$67="FT",Milestones!$AA$67=FT_Y5,EDATE($D137,Milestones!$AA$67)&lt;PolicyEff),1,Milestones!$AC$67)&amp;";  ",""))</f>
        <v/>
      </c>
      <c r="M137" s="0" t="str">
        <f aca="false">IF(OR($A137="",$D137=""),"",IF(AND(EDATE($D137,Milestones!$AA$68)&lt;=AsOfDate,EDATE($D137,Milestones!$AA$68)&gt;=SchemeStart,IF($X137=0,$AD137,IF(AND($Z137&lt;&gt;"",EDATE($D137,Milestones!$AA$68)&gt;=$Z137),$AC137,IF(AND($Y137&lt;&gt;"",EDATE($D137,Milestones!$AA$68)&gt;=$Y137),$AB137,$AA137)))=Milestones!$AB$68),UPPER(TEXT(EDATE($D137,Milestones!$AA$68),"dd mmm yy"))&amp;" "&amp;Milestones!$AB$68&amp;" "&amp;IF(AND(Milestones!$AB$68="FT",Milestones!$AA$68=FT_Y5,EDATE($D137,Milestones!$AA$68)&lt;PolicyEff),1,Milestones!$AC$68)&amp;";  ","")&amp;IF(AND(EDATE($D137,Milestones!$AA$69)&lt;=AsOfDate,EDATE($D137,Milestones!$AA$69)&gt;=SchemeStart,IF($X137=0,$AD137,IF(AND($Z137&lt;&gt;"",EDATE($D137,Milestones!$AA$69)&gt;=$Z137),$AC137,IF(AND($Y137&lt;&gt;"",EDATE($D137,Milestones!$AA$69)&gt;=$Y137),$AB137,$AA137)))=Milestones!$AB$69),UPPER(TEXT(EDATE($D137,Milestones!$AA$69),"dd mmm yy"))&amp;" "&amp;Milestones!$AB$69&amp;" "&amp;IF(AND(Milestones!$AB$69="FT",Milestones!$AA$69=FT_Y5,EDATE($D137,Milestones!$AA$69)&lt;PolicyEff),1,Milestones!$AC$69)&amp;";  ","")&amp;IF(AND(EDATE($D137,Milestones!$AA$70)&lt;=AsOfDate,EDATE($D137,Milestones!$AA$70)&gt;=SchemeStart,IF($X137=0,$AD137,IF(AND($Z137&lt;&gt;"",EDATE($D137,Milestones!$AA$70)&gt;=$Z137),$AC137,IF(AND($Y137&lt;&gt;"",EDATE($D137,Milestones!$AA$70)&gt;=$Y137),$AB137,$AA137)))=Milestones!$AB$70),UPPER(TEXT(EDATE($D137,Milestones!$AA$70),"dd mmm yy"))&amp;" "&amp;Milestones!$AB$70&amp;" "&amp;IF(AND(Milestones!$AB$70="FT",Milestones!$AA$70=FT_Y5,EDATE($D137,Milestones!$AA$70)&lt;PolicyEff),1,Milestones!$AC$70)&amp;";  ","")&amp;IF(AND(EDATE($D137,Milestones!$AA$71)&lt;=AsOfDate,EDATE($D137,Milestones!$AA$71)&gt;=SchemeStart,IF($X137=0,$AD137,IF(AND($Z137&lt;&gt;"",EDATE($D137,Milestones!$AA$71)&gt;=$Z137),$AC137,IF(AND($Y137&lt;&gt;"",EDATE($D137,Milestones!$AA$71)&gt;=$Y137),$AB137,$AA137)))=Milestones!$AB$71),UPPER(TEXT(EDATE($D137,Milestones!$AA$71),"dd mmm yy"))&amp;" "&amp;Milestones!$AB$71&amp;" "&amp;IF(AND(Milestones!$AB$71="FT",Milestones!$AA$71=FT_Y5,EDATE($D137,Milestones!$AA$71)&lt;PolicyEff),1,Milestones!$AC$71)&amp;";  ","")&amp;IF(AND(EDATE($D137,Milestones!$AA$72)&lt;=AsOfDate,EDATE($D137,Milestones!$AA$72)&gt;=SchemeStart,IF($X137=0,$AD137,IF(AND($Z137&lt;&gt;"",EDATE($D137,Milestones!$AA$72)&gt;=$Z137),$AC137,IF(AND($Y137&lt;&gt;"",EDATE($D137,Milestones!$AA$72)&gt;=$Y137),$AB137,$AA137)))=Milestones!$AB$72),UPPER(TEXT(EDATE($D137,Milestones!$AA$72),"dd mmm yy"))&amp;" "&amp;Milestones!$AB$72&amp;" "&amp;IF(AND(Milestones!$AB$72="FT",Milestones!$AA$72=FT_Y5,EDATE($D137,Milestones!$AA$72)&lt;PolicyEff),1,Milestones!$AC$72)&amp;";  ","")&amp;IF(AND(EDATE($D137,Milestones!$AA$73)&lt;=AsOfDate,EDATE($D137,Milestones!$AA$73)&gt;=SchemeStart,IF($X137=0,$AD137,IF(AND($Z137&lt;&gt;"",EDATE($D137,Milestones!$AA$73)&gt;=$Z137),$AC137,IF(AND($Y137&lt;&gt;"",EDATE($D137,Milestones!$AA$73)&gt;=$Y137),$AB137,$AA137)))=Milestones!$AB$73),UPPER(TEXT(EDATE($D137,Milestones!$AA$73),"dd mmm yy"))&amp;" "&amp;Milestones!$AB$73&amp;" "&amp;IF(AND(Milestones!$AB$73="FT",Milestones!$AA$73=FT_Y5,EDATE($D137,Milestones!$AA$73)&lt;PolicyEff),1,Milestones!$AC$73)&amp;";  ","")&amp;IF(AND(EDATE($D137,Milestones!$AA$74)&lt;=AsOfDate,EDATE($D137,Milestones!$AA$74)&gt;=SchemeStart,IF($X137=0,$AD137,IF(AND($Z137&lt;&gt;"",EDATE($D137,Milestones!$AA$74)&gt;=$Z137),$AC137,IF(AND($Y137&lt;&gt;"",EDATE($D137,Milestones!$AA$74)&gt;=$Y137),$AB137,$AA137)))=Milestones!$AB$74),UPPER(TEXT(EDATE($D137,Milestones!$AA$74),"dd mmm yy"))&amp;" "&amp;Milestones!$AB$74&amp;" "&amp;IF(AND(Milestones!$AB$74="FT",Milestones!$AA$74=FT_Y5,EDATE($D137,Milestones!$AA$74)&lt;PolicyEff),1,Milestones!$AC$74)&amp;";  ","")&amp;IF(AND(EDATE($D137,Milestones!$AA$75)&lt;=AsOfDate,EDATE($D137,Milestones!$AA$75)&gt;=SchemeStart,IF($X137=0,$AD137,IF(AND($Z137&lt;&gt;"",EDATE($D137,Milestones!$AA$75)&gt;=$Z137),$AC137,IF(AND($Y137&lt;&gt;"",EDATE($D137,Milestones!$AA$75)&gt;=$Y137),$AB137,$AA137)))=Milestones!$AB$75),UPPER(TEXT(EDATE($D137,Milestones!$AA$75),"dd mmm yy"))&amp;" "&amp;Milestones!$AB$75&amp;" "&amp;IF(AND(Milestones!$AB$75="FT",Milestones!$AA$75=FT_Y5,EDATE($D137,Milestones!$AA$75)&lt;PolicyEff),1,Milestones!$AC$75)&amp;";  ","")&amp;IF(AND(EDATE($D137,Milestones!$AA$76)&lt;=AsOfDate,EDATE($D137,Milestones!$AA$76)&gt;=SchemeStart,IF($X137=0,$AD137,IF(AND($Z137&lt;&gt;"",EDATE($D137,Milestones!$AA$76)&gt;=$Z137),$AC137,IF(AND($Y137&lt;&gt;"",EDATE($D137,Milestones!$AA$76)&gt;=$Y137),$AB137,$AA137)))=Milestones!$AB$76),UPPER(TEXT(EDATE($D137,Milestones!$AA$76),"dd mmm yy"))&amp;" "&amp;Milestones!$AB$76&amp;" "&amp;IF(AND(Milestones!$AB$76="FT",Milestones!$AA$76=FT_Y5,EDATE($D137,Milestones!$AA$76)&lt;PolicyEff),1,Milestones!$AC$76)&amp;";  ","")&amp;IF(AND(EDATE($D137,Milestones!$AA$77)&lt;=AsOfDate,EDATE($D137,Milestones!$AA$77)&gt;=SchemeStart,IF($X137=0,$AD137,IF(AND($Z137&lt;&gt;"",EDATE($D137,Milestones!$AA$77)&gt;=$Z137),$AC137,IF(AND($Y137&lt;&gt;"",EDATE($D137,Milestones!$AA$77)&gt;=$Y137),$AB137,$AA137)))=Milestones!$AB$77),UPPER(TEXT(EDATE($D137,Milestones!$AA$77),"dd mmm yy"))&amp;" "&amp;Milestones!$AB$77&amp;" "&amp;IF(AND(Milestones!$AB$77="FT",Milestones!$AA$77=FT_Y5,EDATE($D137,Milestones!$AA$77)&lt;PolicyEff),1,Milestones!$AC$77)&amp;";  ","")&amp;IF(AND(EDATE($D137,Milestones!$AA$78)&lt;=AsOfDate,EDATE($D137,Milestones!$AA$78)&gt;=SchemeStart,IF($X137=0,$AD137,IF(AND($Z137&lt;&gt;"",EDATE($D137,Milestones!$AA$78)&gt;=$Z137),$AC137,IF(AND($Y137&lt;&gt;"",EDATE($D137,Milestones!$AA$78)&gt;=$Y137),$AB137,$AA137)))=Milestones!$AB$78),UPPER(TEXT(EDATE($D137,Milestones!$AA$78),"dd mmm yy"))&amp;" "&amp;Milestones!$AB$78&amp;" "&amp;IF(AND(Milestones!$AB$78="FT",Milestones!$AA$78=FT_Y5,EDATE($D137,Milestones!$AA$78)&lt;PolicyEff),1,Milestones!$AC$78)&amp;";  ","")&amp;IF(AND(EDATE($D137,Milestones!$AA$79)&lt;=AsOfDate,EDATE($D137,Milestones!$AA$79)&gt;=SchemeStart,IF($X137=0,$AD137,IF(AND($Z137&lt;&gt;"",EDATE($D137,Milestones!$AA$79)&gt;=$Z137),$AC137,IF(AND($Y137&lt;&gt;"",EDATE($D137,Milestones!$AA$79)&gt;=$Y137),$AB137,$AA137)))=Milestones!$AB$79),UPPER(TEXT(EDATE($D137,Milestones!$AA$79),"dd mmm yy"))&amp;" "&amp;Milestones!$AB$79&amp;" "&amp;IF(AND(Milestones!$AB$79="FT",Milestones!$AA$79=FT_Y5,EDATE($D137,Milestones!$AA$79)&lt;PolicyEff),1,Milestones!$AC$79)&amp;";  ",""))</f>
        <v/>
      </c>
      <c r="N137" s="0" t="str">
        <f aca="false">IF(OR($A137="",$D137=""),"",IF(AND(EDATE($D137,Milestones!$AA$80)&lt;=AsOfDate,EDATE($D137,Milestones!$AA$80)&gt;=SchemeStart,IF($X137=0,$AD137,IF(AND($Z137&lt;&gt;"",EDATE($D137,Milestones!$AA$80)&gt;=$Z137),$AC137,IF(AND($Y137&lt;&gt;"",EDATE($D137,Milestones!$AA$80)&gt;=$Y137),$AB137,$AA137)))=Milestones!$AB$80),UPPER(TEXT(EDATE($D137,Milestones!$AA$80),"dd mmm yy"))&amp;" "&amp;Milestones!$AB$80&amp;" "&amp;IF(AND(Milestones!$AB$80="FT",Milestones!$AA$80=FT_Y5,EDATE($D137,Milestones!$AA$80)&lt;PolicyEff),1,Milestones!$AC$80)&amp;";  ","")&amp;IF(AND(EDATE($D137,Milestones!$AA$81)&lt;=AsOfDate,EDATE($D137,Milestones!$AA$81)&gt;=SchemeStart,IF($X137=0,$AD137,IF(AND($Z137&lt;&gt;"",EDATE($D137,Milestones!$AA$81)&gt;=$Z137),$AC137,IF(AND($Y137&lt;&gt;"",EDATE($D137,Milestones!$AA$81)&gt;=$Y137),$AB137,$AA137)))=Milestones!$AB$81),UPPER(TEXT(EDATE($D137,Milestones!$AA$81),"dd mmm yy"))&amp;" "&amp;Milestones!$AB$81&amp;" "&amp;IF(AND(Milestones!$AB$81="FT",Milestones!$AA$81=FT_Y5,EDATE($D137,Milestones!$AA$81)&lt;PolicyEff),1,Milestones!$AC$81)&amp;";  ","")&amp;IF(AND(EDATE($D137,Milestones!$AA$82)&lt;=AsOfDate,EDATE($D137,Milestones!$AA$82)&gt;=SchemeStart,IF($X137=0,$AD137,IF(AND($Z137&lt;&gt;"",EDATE($D137,Milestones!$AA$82)&gt;=$Z137),$AC137,IF(AND($Y137&lt;&gt;"",EDATE($D137,Milestones!$AA$82)&gt;=$Y137),$AB137,$AA137)))=Milestones!$AB$82),UPPER(TEXT(EDATE($D137,Milestones!$AA$82),"dd mmm yy"))&amp;" "&amp;Milestones!$AB$82&amp;" "&amp;IF(AND(Milestones!$AB$82="FT",Milestones!$AA$82=FT_Y5,EDATE($D137,Milestones!$AA$82)&lt;PolicyEff),1,Milestones!$AC$82)&amp;";  ","")&amp;IF(AND(EDATE($D137,Milestones!$AA$83)&lt;=AsOfDate,EDATE($D137,Milestones!$AA$83)&gt;=SchemeStart,IF($X137=0,$AD137,IF(AND($Z137&lt;&gt;"",EDATE($D137,Milestones!$AA$83)&gt;=$Z137),$AC137,IF(AND($Y137&lt;&gt;"",EDATE($D137,Milestones!$AA$83)&gt;=$Y137),$AB137,$AA137)))=Milestones!$AB$83),UPPER(TEXT(EDATE($D137,Milestones!$AA$83),"dd mmm yy"))&amp;" "&amp;Milestones!$AB$83&amp;" "&amp;IF(AND(Milestones!$AB$83="FT",Milestones!$AA$83=FT_Y5,EDATE($D137,Milestones!$AA$83)&lt;PolicyEff),1,Milestones!$AC$83)&amp;";  ","")&amp;IF(AND(EDATE($D137,Milestones!$AA$84)&lt;=AsOfDate,EDATE($D137,Milestones!$AA$84)&gt;=SchemeStart,IF($X137=0,$AD137,IF(AND($Z137&lt;&gt;"",EDATE($D137,Milestones!$AA$84)&gt;=$Z137),$AC137,IF(AND($Y137&lt;&gt;"",EDATE($D137,Milestones!$AA$84)&gt;=$Y137),$AB137,$AA137)))=Milestones!$AB$84),UPPER(TEXT(EDATE($D137,Milestones!$AA$84),"dd mmm yy"))&amp;" "&amp;Milestones!$AB$84&amp;" "&amp;IF(AND(Milestones!$AB$84="FT",Milestones!$AA$84=FT_Y5,EDATE($D137,Milestones!$AA$84)&lt;PolicyEff),1,Milestones!$AC$84)&amp;";  ","")&amp;IF(AND(EDATE($D137,Milestones!$AA$85)&lt;=AsOfDate,EDATE($D137,Milestones!$AA$85)&gt;=SchemeStart,IF($X137=0,$AD137,IF(AND($Z137&lt;&gt;"",EDATE($D137,Milestones!$AA$85)&gt;=$Z137),$AC137,IF(AND($Y137&lt;&gt;"",EDATE($D137,Milestones!$AA$85)&gt;=$Y137),$AB137,$AA137)))=Milestones!$AB$85),UPPER(TEXT(EDATE($D137,Milestones!$AA$85),"dd mmm yy"))&amp;" "&amp;Milestones!$AB$85&amp;" "&amp;IF(AND(Milestones!$AB$85="FT",Milestones!$AA$85=FT_Y5,EDATE($D137,Milestones!$AA$85)&lt;PolicyEff),1,Milestones!$AC$85)&amp;";  ","")&amp;IF(AND(EDATE($D137,Milestones!$AA$86)&lt;=AsOfDate,EDATE($D137,Milestones!$AA$86)&gt;=SchemeStart,IF($X137=0,$AD137,IF(AND($Z137&lt;&gt;"",EDATE($D137,Milestones!$AA$86)&gt;=$Z137),$AC137,IF(AND($Y137&lt;&gt;"",EDATE($D137,Milestones!$AA$86)&gt;=$Y137),$AB137,$AA137)))=Milestones!$AB$86),UPPER(TEXT(EDATE($D137,Milestones!$AA$86),"dd mmm yy"))&amp;" "&amp;Milestones!$AB$86&amp;" "&amp;IF(AND(Milestones!$AB$86="FT",Milestones!$AA$86=FT_Y5,EDATE($D137,Milestones!$AA$86)&lt;PolicyEff),1,Milestones!$AC$86)&amp;";  ","")&amp;IF(AND(EDATE($D137,Milestones!$AA$87)&lt;=AsOfDate,EDATE($D137,Milestones!$AA$87)&gt;=SchemeStart,IF($X137=0,$AD137,IF(AND($Z137&lt;&gt;"",EDATE($D137,Milestones!$AA$87)&gt;=$Z137),$AC137,IF(AND($Y137&lt;&gt;"",EDATE($D137,Milestones!$AA$87)&gt;=$Y137),$AB137,$AA137)))=Milestones!$AB$87),UPPER(TEXT(EDATE($D137,Milestones!$AA$87),"dd mmm yy"))&amp;" "&amp;Milestones!$AB$87&amp;" "&amp;IF(AND(Milestones!$AB$87="FT",Milestones!$AA$87=FT_Y5,EDATE($D137,Milestones!$AA$87)&lt;PolicyEff),1,Milestones!$AC$87)&amp;";  ","")&amp;IF(AND(EDATE($D137,Milestones!$AA$88)&lt;=AsOfDate,EDATE($D137,Milestones!$AA$88)&gt;=SchemeStart,IF($X137=0,$AD137,IF(AND($Z137&lt;&gt;"",EDATE($D137,Milestones!$AA$88)&gt;=$Z137),$AC137,IF(AND($Y137&lt;&gt;"",EDATE($D137,Milestones!$AA$88)&gt;=$Y137),$AB137,$AA137)))=Milestones!$AB$88),UPPER(TEXT(EDATE($D137,Milestones!$AA$88),"dd mmm yy"))&amp;" "&amp;Milestones!$AB$88&amp;" "&amp;IF(AND(Milestones!$AB$88="FT",Milestones!$AA$88=FT_Y5,EDATE($D137,Milestones!$AA$88)&lt;PolicyEff),1,Milestones!$AC$88)&amp;";  ","")&amp;IF(AND(EDATE($D137,Milestones!$AA$89)&lt;=AsOfDate,EDATE($D137,Milestones!$AA$89)&gt;=SchemeStart,IF($X137=0,$AD137,IF(AND($Z137&lt;&gt;"",EDATE($D137,Milestones!$AA$89)&gt;=$Z137),$AC137,IF(AND($Y137&lt;&gt;"",EDATE($D137,Milestones!$AA$89)&gt;=$Y137),$AB137,$AA137)))=Milestones!$AB$89),UPPER(TEXT(EDATE($D137,Milestones!$AA$89),"dd mmm yy"))&amp;" "&amp;Milestones!$AB$89&amp;" "&amp;IF(AND(Milestones!$AB$89="FT",Milestones!$AA$89=FT_Y5,EDATE($D137,Milestones!$AA$89)&lt;PolicyEff),1,Milestones!$AC$89)&amp;";  ","")&amp;IF(AND(EDATE($D137,Milestones!$AA$90)&lt;=AsOfDate,EDATE($D137,Milestones!$AA$90)&gt;=SchemeStart,IF($X137=0,$AD137,IF(AND($Z137&lt;&gt;"",EDATE($D137,Milestones!$AA$90)&gt;=$Z137),$AC137,IF(AND($Y137&lt;&gt;"",EDATE($D137,Milestones!$AA$90)&gt;=$Y137),$AB137,$AA137)))=Milestones!$AB$90),UPPER(TEXT(EDATE($D137,Milestones!$AA$90),"dd mmm yy"))&amp;" "&amp;Milestones!$AB$90&amp;" "&amp;IF(AND(Milestones!$AB$90="FT",Milestones!$AA$90=FT_Y5,EDATE($D137,Milestones!$AA$90)&lt;PolicyEff),1,Milestones!$AC$90)&amp;";  ","")&amp;IF(AND(EDATE($D137,Milestones!$AA$91)&lt;=AsOfDate,EDATE($D137,Milestones!$AA$91)&gt;=SchemeStart,IF($X137=0,$AD137,IF(AND($Z137&lt;&gt;"",EDATE($D137,Milestones!$AA$91)&gt;=$Z137),$AC137,IF(AND($Y137&lt;&gt;"",EDATE($D137,Milestones!$AA$91)&gt;=$Y137),$AB137,$AA137)))=Milestones!$AB$91),UPPER(TEXT(EDATE($D137,Milestones!$AA$91),"dd mmm yy"))&amp;" "&amp;Milestones!$AB$91&amp;" "&amp;IF(AND(Milestones!$AB$91="FT",Milestones!$AA$91=FT_Y5,EDATE($D137,Milestones!$AA$91)&lt;PolicyEff),1,Milestones!$AC$91)&amp;";  ",""))</f>
        <v/>
      </c>
      <c r="O137" s="0" t="str">
        <f aca="false">IF(OR($A137="",$D137=""),"",IF(AND(EDATE($D137,Milestones!$AA$92)&lt;=AsOfDate,EDATE($D137,Milestones!$AA$92)&gt;=SchemeStart,IF($X137=0,$AD137,IF(AND($Z137&lt;&gt;"",EDATE($D137,Milestones!$AA$92)&gt;=$Z137),$AC137,IF(AND($Y137&lt;&gt;"",EDATE($D137,Milestones!$AA$92)&gt;=$Y137),$AB137,$AA137)))=Milestones!$AB$92),UPPER(TEXT(EDATE($D137,Milestones!$AA$92),"dd mmm yy"))&amp;" "&amp;Milestones!$AB$92&amp;" "&amp;IF(AND(Milestones!$AB$92="FT",Milestones!$AA$92=FT_Y5,EDATE($D137,Milestones!$AA$92)&lt;PolicyEff),1,Milestones!$AC$92)&amp;";  ","")&amp;IF(AND(EDATE($D137,Milestones!$AA$93)&lt;=AsOfDate,EDATE($D137,Milestones!$AA$93)&gt;=SchemeStart,IF($X137=0,$AD137,IF(AND($Z137&lt;&gt;"",EDATE($D137,Milestones!$AA$93)&gt;=$Z137),$AC137,IF(AND($Y137&lt;&gt;"",EDATE($D137,Milestones!$AA$93)&gt;=$Y137),$AB137,$AA137)))=Milestones!$AB$93),UPPER(TEXT(EDATE($D137,Milestones!$AA$93),"dd mmm yy"))&amp;" "&amp;Milestones!$AB$93&amp;" "&amp;IF(AND(Milestones!$AB$93="FT",Milestones!$AA$93=FT_Y5,EDATE($D137,Milestones!$AA$93)&lt;PolicyEff),1,Milestones!$AC$93)&amp;";  ","")&amp;IF(AND(EDATE($D137,Milestones!$AA$94)&lt;=AsOfDate,EDATE($D137,Milestones!$AA$94)&gt;=SchemeStart,IF($X137=0,$AD137,IF(AND($Z137&lt;&gt;"",EDATE($D137,Milestones!$AA$94)&gt;=$Z137),$AC137,IF(AND($Y137&lt;&gt;"",EDATE($D137,Milestones!$AA$94)&gt;=$Y137),$AB137,$AA137)))=Milestones!$AB$94),UPPER(TEXT(EDATE($D137,Milestones!$AA$94),"dd mmm yy"))&amp;" "&amp;Milestones!$AB$94&amp;" "&amp;IF(AND(Milestones!$AB$94="FT",Milestones!$AA$94=FT_Y5,EDATE($D137,Milestones!$AA$94)&lt;PolicyEff),1,Milestones!$AC$94)&amp;";  ","")&amp;IF(AND(EDATE($D137,Milestones!$AA$95)&lt;=AsOfDate,EDATE($D137,Milestones!$AA$95)&gt;=SchemeStart,IF($X137=0,$AD137,IF(AND($Z137&lt;&gt;"",EDATE($D137,Milestones!$AA$95)&gt;=$Z137),$AC137,IF(AND($Y137&lt;&gt;"",EDATE($D137,Milestones!$AA$95)&gt;=$Y137),$AB137,$AA137)))=Milestones!$AB$95),UPPER(TEXT(EDATE($D137,Milestones!$AA$95),"dd mmm yy"))&amp;" "&amp;Milestones!$AB$95&amp;" "&amp;IF(AND(Milestones!$AB$95="FT",Milestones!$AA$95=FT_Y5,EDATE($D137,Milestones!$AA$95)&lt;PolicyEff),1,Milestones!$AC$95)&amp;";  ","")&amp;IF(AND(EDATE($D137,Milestones!$AA$96)&lt;=AsOfDate,EDATE($D137,Milestones!$AA$96)&gt;=SchemeStart,IF($X137=0,$AD137,IF(AND($Z137&lt;&gt;"",EDATE($D137,Milestones!$AA$96)&gt;=$Z137),$AC137,IF(AND($Y137&lt;&gt;"",EDATE($D137,Milestones!$AA$96)&gt;=$Y137),$AB137,$AA137)))=Milestones!$AB$96),UPPER(TEXT(EDATE($D137,Milestones!$AA$96),"dd mmm yy"))&amp;" "&amp;Milestones!$AB$96&amp;" "&amp;IF(AND(Milestones!$AB$96="FT",Milestones!$AA$96=FT_Y5,EDATE($D137,Milestones!$AA$96)&lt;PolicyEff),1,Milestones!$AC$96)&amp;";  ","")&amp;IF(AND(EDATE($D137,Milestones!$AA$97)&lt;=AsOfDate,EDATE($D137,Milestones!$AA$97)&gt;=SchemeStart,IF($X137=0,$AD137,IF(AND($Z137&lt;&gt;"",EDATE($D137,Milestones!$AA$97)&gt;=$Z137),$AC137,IF(AND($Y137&lt;&gt;"",EDATE($D137,Milestones!$AA$97)&gt;=$Y137),$AB137,$AA137)))=Milestones!$AB$97),UPPER(TEXT(EDATE($D137,Milestones!$AA$97),"dd mmm yy"))&amp;" "&amp;Milestones!$AB$97&amp;" "&amp;IF(AND(Milestones!$AB$97="FT",Milestones!$AA$97=FT_Y5,EDATE($D137,Milestones!$AA$97)&lt;PolicyEff),1,Milestones!$AC$97)&amp;";  ","")&amp;IF(AND(EDATE($D137,Milestones!$AA$98)&lt;=AsOfDate,EDATE($D137,Milestones!$AA$98)&gt;=SchemeStart,IF($X137=0,$AD137,IF(AND($Z137&lt;&gt;"",EDATE($D137,Milestones!$AA$98)&gt;=$Z137),$AC137,IF(AND($Y137&lt;&gt;"",EDATE($D137,Milestones!$AA$98)&gt;=$Y137),$AB137,$AA137)))=Milestones!$AB$98),UPPER(TEXT(EDATE($D137,Milestones!$AA$98),"dd mmm yy"))&amp;" "&amp;Milestones!$AB$98&amp;" "&amp;IF(AND(Milestones!$AB$98="FT",Milestones!$AA$98=FT_Y5,EDATE($D137,Milestones!$AA$98)&lt;PolicyEff),1,Milestones!$AC$98)&amp;";  ","")&amp;IF(AND(EDATE($D137,Milestones!$AA$99)&lt;=AsOfDate,EDATE($D137,Milestones!$AA$99)&gt;=SchemeStart,IF($X137=0,$AD137,IF(AND($Z137&lt;&gt;"",EDATE($D137,Milestones!$AA$99)&gt;=$Z137),$AC137,IF(AND($Y137&lt;&gt;"",EDATE($D137,Milestones!$AA$99)&gt;=$Y137),$AB137,$AA137)))=Milestones!$AB$99),UPPER(TEXT(EDATE($D137,Milestones!$AA$99),"dd mmm yy"))&amp;" "&amp;Milestones!$AB$99&amp;" "&amp;IF(AND(Milestones!$AB$99="FT",Milestones!$AA$99=FT_Y5,EDATE($D137,Milestones!$AA$99)&lt;PolicyEff),1,Milestones!$AC$99)&amp;";  ","")&amp;IF(AND(EDATE($D137,Milestones!$AA$100)&lt;=AsOfDate,EDATE($D137,Milestones!$AA$100)&gt;=SchemeStart,IF($X137=0,$AD137,IF(AND($Z137&lt;&gt;"",EDATE($D137,Milestones!$AA$100)&gt;=$Z137),$AC137,IF(AND($Y137&lt;&gt;"",EDATE($D137,Milestones!$AA$100)&gt;=$Y137),$AB137,$AA137)))=Milestones!$AB$100),UPPER(TEXT(EDATE($D137,Milestones!$AA$100),"dd mmm yy"))&amp;" "&amp;Milestones!$AB$100&amp;" "&amp;IF(AND(Milestones!$AB$100="FT",Milestones!$AA$100=FT_Y5,EDATE($D137,Milestones!$AA$100)&lt;PolicyEff),1,Milestones!$AC$100)&amp;";  ","")&amp;IF(AND(EDATE($D137,Milestones!$AA$101)&lt;=AsOfDate,EDATE($D137,Milestones!$AA$101)&gt;=SchemeStart,IF($X137=0,$AD137,IF(AND($Z137&lt;&gt;"",EDATE($D137,Milestones!$AA$101)&gt;=$Z137),$AC137,IF(AND($Y137&lt;&gt;"",EDATE($D137,Milestones!$AA$101)&gt;=$Y137),$AB137,$AA137)))=Milestones!$AB$101),UPPER(TEXT(EDATE($D137,Milestones!$AA$101),"dd mmm yy"))&amp;" "&amp;Milestones!$AB$101&amp;" "&amp;IF(AND(Milestones!$AB$101="FT",Milestones!$AA$101=FT_Y5,EDATE($D137,Milestones!$AA$101)&lt;PolicyEff),1,Milestones!$AC$101)&amp;";  ","")&amp;IF(AND(EDATE($D137,Milestones!$AA$102)&lt;=AsOfDate,EDATE($D137,Milestones!$AA$102)&gt;=SchemeStart,IF($X137=0,$AD137,IF(AND($Z137&lt;&gt;"",EDATE($D137,Milestones!$AA$102)&gt;=$Z137),$AC137,IF(AND($Y137&lt;&gt;"",EDATE($D137,Milestones!$AA$102)&gt;=$Y137),$AB137,$AA137)))=Milestones!$AB$102),UPPER(TEXT(EDATE($D137,Milestones!$AA$102),"dd mmm yy"))&amp;" "&amp;Milestones!$AB$102&amp;" "&amp;IF(AND(Milestones!$AB$102="FT",Milestones!$AA$102=FT_Y5,EDATE($D137,Milestones!$AA$102)&lt;PolicyEff),1,Milestones!$AC$102)&amp;";  ","")&amp;IF(AND(EDATE($D137,Milestones!$AA$103)&lt;=AsOfDate,EDATE($D137,Milestones!$AA$103)&gt;=SchemeStart,IF($X137=0,$AD137,IF(AND($Z137&lt;&gt;"",EDATE($D137,Milestones!$AA$103)&gt;=$Z137),$AC137,IF(AND($Y137&lt;&gt;"",EDATE($D137,Milestones!$AA$103)&gt;=$Y137),$AB137,$AA137)))=Milestones!$AB$103),UPPER(TEXT(EDATE($D137,Milestones!$AA$103),"dd mmm yy"))&amp;" "&amp;Milestones!$AB$103&amp;" "&amp;IF(AND(Milestones!$AB$103="FT",Milestones!$AA$103=FT_Y5,EDATE($D137,Milestones!$AA$103)&lt;PolicyEff),1,Milestones!$AC$103)&amp;";  ",""))</f>
        <v/>
      </c>
      <c r="P137" s="0" t="str">
        <f aca="false">IF(OR($A137="",$D137=""),"",IF(AND(EDATE($D137,Milestones!$AA$104)&lt;=AsOfDate,EDATE($D137,Milestones!$AA$104)&gt;=SchemeStart,IF($X137=0,$AD137,IF(AND($Z137&lt;&gt;"",EDATE($D137,Milestones!$AA$104)&gt;=$Z137),$AC137,IF(AND($Y137&lt;&gt;"",EDATE($D137,Milestones!$AA$104)&gt;=$Y137),$AB137,$AA137)))=Milestones!$AB$104),UPPER(TEXT(EDATE($D137,Milestones!$AA$104),"dd mmm yy"))&amp;" "&amp;Milestones!$AB$104&amp;" "&amp;IF(AND(Milestones!$AB$104="FT",Milestones!$AA$104=FT_Y5,EDATE($D137,Milestones!$AA$104)&lt;PolicyEff),1,Milestones!$AC$104)&amp;";  ","")&amp;IF(AND(EDATE($D137,Milestones!$AA$105)&lt;=AsOfDate,EDATE($D137,Milestones!$AA$105)&gt;=SchemeStart,IF($X137=0,$AD137,IF(AND($Z137&lt;&gt;"",EDATE($D137,Milestones!$AA$105)&gt;=$Z137),$AC137,IF(AND($Y137&lt;&gt;"",EDATE($D137,Milestones!$AA$105)&gt;=$Y137),$AB137,$AA137)))=Milestones!$AB$105),UPPER(TEXT(EDATE($D137,Milestones!$AA$105),"dd mmm yy"))&amp;" "&amp;Milestones!$AB$105&amp;" "&amp;IF(AND(Milestones!$AB$105="FT",Milestones!$AA$105=FT_Y5,EDATE($D137,Milestones!$AA$105)&lt;PolicyEff),1,Milestones!$AC$105)&amp;";  ","")&amp;IF(AND(EDATE($D137,Milestones!$AA$106)&lt;=AsOfDate,EDATE($D137,Milestones!$AA$106)&gt;=SchemeStart,IF($X137=0,$AD137,IF(AND($Z137&lt;&gt;"",EDATE($D137,Milestones!$AA$106)&gt;=$Z137),$AC137,IF(AND($Y137&lt;&gt;"",EDATE($D137,Milestones!$AA$106)&gt;=$Y137),$AB137,$AA137)))=Milestones!$AB$106),UPPER(TEXT(EDATE($D137,Milestones!$AA$106),"dd mmm yy"))&amp;" "&amp;Milestones!$AB$106&amp;" "&amp;IF(AND(Milestones!$AB$106="FT",Milestones!$AA$106=FT_Y5,EDATE($D137,Milestones!$AA$106)&lt;PolicyEff),1,Milestones!$AC$106)&amp;";  ","")&amp;IF(AND(EDATE($D137,Milestones!$AA$107)&lt;=AsOfDate,EDATE($D137,Milestones!$AA$107)&gt;=SchemeStart,IF($X137=0,$AD137,IF(AND($Z137&lt;&gt;"",EDATE($D137,Milestones!$AA$107)&gt;=$Z137),$AC137,IF(AND($Y137&lt;&gt;"",EDATE($D137,Milestones!$AA$107)&gt;=$Y137),$AB137,$AA137)))=Milestones!$AB$107),UPPER(TEXT(EDATE($D137,Milestones!$AA$107),"dd mmm yy"))&amp;" "&amp;Milestones!$AB$107&amp;" "&amp;IF(AND(Milestones!$AB$107="FT",Milestones!$AA$107=FT_Y5,EDATE($D137,Milestones!$AA$107)&lt;PolicyEff),1,Milestones!$AC$107)&amp;";  ","")&amp;IF(AND(EDATE($D137,Milestones!$AA$108)&lt;=AsOfDate,EDATE($D137,Milestones!$AA$108)&gt;=SchemeStart,IF($X137=0,$AD137,IF(AND($Z137&lt;&gt;"",EDATE($D137,Milestones!$AA$108)&gt;=$Z137),$AC137,IF(AND($Y137&lt;&gt;"",EDATE($D137,Milestones!$AA$108)&gt;=$Y137),$AB137,$AA137)))=Milestones!$AB$108),UPPER(TEXT(EDATE($D137,Milestones!$AA$108),"dd mmm yy"))&amp;" "&amp;Milestones!$AB$108&amp;" "&amp;IF(AND(Milestones!$AB$108="FT",Milestones!$AA$108=FT_Y5,EDATE($D137,Milestones!$AA$108)&lt;PolicyEff),1,Milestones!$AC$108)&amp;";  ","")&amp;IF(AND(EDATE($D137,Milestones!$AA$109)&lt;=AsOfDate,EDATE($D137,Milestones!$AA$109)&gt;=SchemeStart,IF($X137=0,$AD137,IF(AND($Z137&lt;&gt;"",EDATE($D137,Milestones!$AA$109)&gt;=$Z137),$AC137,IF(AND($Y137&lt;&gt;"",EDATE($D137,Milestones!$AA$109)&gt;=$Y137),$AB137,$AA137)))=Milestones!$AB$109),UPPER(TEXT(EDATE($D137,Milestones!$AA$109),"dd mmm yy"))&amp;" "&amp;Milestones!$AB$109&amp;" "&amp;IF(AND(Milestones!$AB$109="FT",Milestones!$AA$109=FT_Y5,EDATE($D137,Milestones!$AA$109)&lt;PolicyEff),1,Milestones!$AC$109)&amp;";  ","")&amp;IF(AND(EDATE($D137,Milestones!$AA$110)&lt;=AsOfDate,EDATE($D137,Milestones!$AA$110)&gt;=SchemeStart,IF($X137=0,$AD137,IF(AND($Z137&lt;&gt;"",EDATE($D137,Milestones!$AA$110)&gt;=$Z137),$AC137,IF(AND($Y137&lt;&gt;"",EDATE($D137,Milestones!$AA$110)&gt;=$Y137),$AB137,$AA137)))=Milestones!$AB$110),UPPER(TEXT(EDATE($D137,Milestones!$AA$110),"dd mmm yy"))&amp;" "&amp;Milestones!$AB$110&amp;" "&amp;IF(AND(Milestones!$AB$110="FT",Milestones!$AA$110=FT_Y5,EDATE($D137,Milestones!$AA$110)&lt;PolicyEff),1,Milestones!$AC$110)&amp;";  ","")&amp;IF(AND(EDATE($D137,Milestones!$AA$111)&lt;=AsOfDate,EDATE($D137,Milestones!$AA$111)&gt;=SchemeStart,IF($X137=0,$AD137,IF(AND($Z137&lt;&gt;"",EDATE($D137,Milestones!$AA$111)&gt;=$Z137),$AC137,IF(AND($Y137&lt;&gt;"",EDATE($D137,Milestones!$AA$111)&gt;=$Y137),$AB137,$AA137)))=Milestones!$AB$111),UPPER(TEXT(EDATE($D137,Milestones!$AA$111),"dd mmm yy"))&amp;" "&amp;Milestones!$AB$111&amp;" "&amp;IF(AND(Milestones!$AB$111="FT",Milestones!$AA$111=FT_Y5,EDATE($D137,Milestones!$AA$111)&lt;PolicyEff),1,Milestones!$AC$111)&amp;";  ","")&amp;IF(AND(EDATE($D137,Milestones!$AA$112)&lt;=AsOfDate,EDATE($D137,Milestones!$AA$112)&gt;=SchemeStart,IF($X137=0,$AD137,IF(AND($Z137&lt;&gt;"",EDATE($D137,Milestones!$AA$112)&gt;=$Z137),$AC137,IF(AND($Y137&lt;&gt;"",EDATE($D137,Milestones!$AA$112)&gt;=$Y137),$AB137,$AA137)))=Milestones!$AB$112),UPPER(TEXT(EDATE($D137,Milestones!$AA$112),"dd mmm yy"))&amp;" "&amp;Milestones!$AB$112&amp;" "&amp;IF(AND(Milestones!$AB$112="FT",Milestones!$AA$112=FT_Y5,EDATE($D137,Milestones!$AA$112)&lt;PolicyEff),1,Milestones!$AC$112)&amp;";  ","")&amp;IF(AND(EDATE($D137,Milestones!$AA$113)&lt;=AsOfDate,EDATE($D137,Milestones!$AA$113)&gt;=SchemeStart,IF($X137=0,$AD137,IF(AND($Z137&lt;&gt;"",EDATE($D137,Milestones!$AA$113)&gt;=$Z137),$AC137,IF(AND($Y137&lt;&gt;"",EDATE($D137,Milestones!$AA$113)&gt;=$Y137),$AB137,$AA137)))=Milestones!$AB$113),UPPER(TEXT(EDATE($D137,Milestones!$AA$113),"dd mmm yy"))&amp;" "&amp;Milestones!$AB$113&amp;" "&amp;IF(AND(Milestones!$AB$113="FT",Milestones!$AA$113=FT_Y5,EDATE($D137,Milestones!$AA$113)&lt;PolicyEff),1,Milestones!$AC$113)&amp;";  ","")&amp;IF(AND(EDATE($D137,Milestones!$AA$114)&lt;=AsOfDate,EDATE($D137,Milestones!$AA$114)&gt;=SchemeStart,IF($X137=0,$AD137,IF(AND($Z137&lt;&gt;"",EDATE($D137,Milestones!$AA$114)&gt;=$Z137),$AC137,IF(AND($Y137&lt;&gt;"",EDATE($D137,Milestones!$AA$114)&gt;=$Y137),$AB137,$AA137)))=Milestones!$AB$114),UPPER(TEXT(EDATE($D137,Milestones!$AA$114),"dd mmm yy"))&amp;" "&amp;Milestones!$AB$114&amp;" "&amp;IF(AND(Milestones!$AB$114="FT",Milestones!$AA$114=FT_Y5,EDATE($D137,Milestones!$AA$114)&lt;PolicyEff),1,Milestones!$AC$114)&amp;";  ","")&amp;IF(AND(EDATE($D137,Milestones!$AA$115)&lt;=AsOfDate,EDATE($D137,Milestones!$AA$115)&gt;=SchemeStart,IF($X137=0,$AD137,IF(AND($Z137&lt;&gt;"",EDATE($D137,Milestones!$AA$115)&gt;=$Z137),$AC137,IF(AND($Y137&lt;&gt;"",EDATE($D137,Milestones!$AA$115)&gt;=$Y137),$AB137,$AA137)))=Milestones!$AB$115),UPPER(TEXT(EDATE($D137,Milestones!$AA$115),"dd mmm yy"))&amp;" "&amp;Milestones!$AB$115&amp;" "&amp;IF(AND(Milestones!$AB$115="FT",Milestones!$AA$115=FT_Y5,EDATE($D137,Milestones!$AA$115)&lt;PolicyEff),1,Milestones!$AC$115)&amp;";  ",""))</f>
        <v/>
      </c>
      <c r="Q137" s="0" t="str">
        <f aca="false">IF(OR($A137="",$D137=""),"",IF(AND(EDATE($D137,Milestones!$AA$116)&lt;=AsOfDate,EDATE($D137,Milestones!$AA$116)&gt;=SchemeStart,IF($X137=0,$AD137,IF(AND($Z137&lt;&gt;"",EDATE($D137,Milestones!$AA$116)&gt;=$Z137),$AC137,IF(AND($Y137&lt;&gt;"",EDATE($D137,Milestones!$AA$116)&gt;=$Y137),$AB137,$AA137)))=Milestones!$AB$116),UPPER(TEXT(EDATE($D137,Milestones!$AA$116),"dd mmm yy"))&amp;" "&amp;Milestones!$AB$116&amp;" "&amp;IF(AND(Milestones!$AB$116="FT",Milestones!$AA$116=FT_Y5,EDATE($D137,Milestones!$AA$116)&lt;PolicyEff),1,Milestones!$AC$116)&amp;";  ","")&amp;IF(AND(EDATE($D137,Milestones!$AA$117)&lt;=AsOfDate,EDATE($D137,Milestones!$AA$117)&gt;=SchemeStart,IF($X137=0,$AD137,IF(AND($Z137&lt;&gt;"",EDATE($D137,Milestones!$AA$117)&gt;=$Z137),$AC137,IF(AND($Y137&lt;&gt;"",EDATE($D137,Milestones!$AA$117)&gt;=$Y137),$AB137,$AA137)))=Milestones!$AB$117),UPPER(TEXT(EDATE($D137,Milestones!$AA$117),"dd mmm yy"))&amp;" "&amp;Milestones!$AB$117&amp;" "&amp;IF(AND(Milestones!$AB$117="FT",Milestones!$AA$117=FT_Y5,EDATE($D137,Milestones!$AA$117)&lt;PolicyEff),1,Milestones!$AC$117)&amp;";  ","")&amp;IF(AND(EDATE($D137,Milestones!$AA$118)&lt;=AsOfDate,EDATE($D137,Milestones!$AA$118)&gt;=SchemeStart,IF($X137=0,$AD137,IF(AND($Z137&lt;&gt;"",EDATE($D137,Milestones!$AA$118)&gt;=$Z137),$AC137,IF(AND($Y137&lt;&gt;"",EDATE($D137,Milestones!$AA$118)&gt;=$Y137),$AB137,$AA137)))=Milestones!$AB$118),UPPER(TEXT(EDATE($D137,Milestones!$AA$118),"dd mmm yy"))&amp;" "&amp;Milestones!$AB$118&amp;" "&amp;IF(AND(Milestones!$AB$118="FT",Milestones!$AA$118=FT_Y5,EDATE($D137,Milestones!$AA$118)&lt;PolicyEff),1,Milestones!$AC$118)&amp;";  ","")&amp;IF(AND(EDATE($D137,Milestones!$AA$119)&lt;=AsOfDate,EDATE($D137,Milestones!$AA$119)&gt;=SchemeStart,IF($X137=0,$AD137,IF(AND($Z137&lt;&gt;"",EDATE($D137,Milestones!$AA$119)&gt;=$Z137),$AC137,IF(AND($Y137&lt;&gt;"",EDATE($D137,Milestones!$AA$119)&gt;=$Y137),$AB137,$AA137)))=Milestones!$AB$119),UPPER(TEXT(EDATE($D137,Milestones!$AA$119),"dd mmm yy"))&amp;" "&amp;Milestones!$AB$119&amp;" "&amp;IF(AND(Milestones!$AB$119="FT",Milestones!$AA$119=FT_Y5,EDATE($D137,Milestones!$AA$119)&lt;PolicyEff),1,Milestones!$AC$119)&amp;";  ","")&amp;IF(AND(EDATE($D137,Milestones!$AA$120)&lt;=AsOfDate,EDATE($D137,Milestones!$AA$120)&gt;=SchemeStart,IF($X137=0,$AD137,IF(AND($Z137&lt;&gt;"",EDATE($D137,Milestones!$AA$120)&gt;=$Z137),$AC137,IF(AND($Y137&lt;&gt;"",EDATE($D137,Milestones!$AA$120)&gt;=$Y137),$AB137,$AA137)))=Milestones!$AB$120),UPPER(TEXT(EDATE($D137,Milestones!$AA$120),"dd mmm yy"))&amp;" "&amp;Milestones!$AB$120&amp;" "&amp;IF(AND(Milestones!$AB$120="FT",Milestones!$AA$120=FT_Y5,EDATE($D137,Milestones!$AA$120)&lt;PolicyEff),1,Milestones!$AC$120)&amp;";  ","")&amp;IF(AND(EDATE($D137,Milestones!$AA$121)&lt;=AsOfDate,EDATE($D137,Milestones!$AA$121)&gt;=SchemeStart,IF($X137=0,$AD137,IF(AND($Z137&lt;&gt;"",EDATE($D137,Milestones!$AA$121)&gt;=$Z137),$AC137,IF(AND($Y137&lt;&gt;"",EDATE($D137,Milestones!$AA$121)&gt;=$Y137),$AB137,$AA137)))=Milestones!$AB$121),UPPER(TEXT(EDATE($D137,Milestones!$AA$121),"dd mmm yy"))&amp;" "&amp;Milestones!$AB$121&amp;" "&amp;IF(AND(Milestones!$AB$121="FT",Milestones!$AA$121=FT_Y5,EDATE($D137,Milestones!$AA$121)&lt;PolicyEff),1,Milestones!$AC$121)&amp;";  ","")&amp;IF(AND(EDATE($D137,Milestones!$AA$122)&lt;=AsOfDate,EDATE($D137,Milestones!$AA$122)&gt;=SchemeStart,IF($X137=0,$AD137,IF(AND($Z137&lt;&gt;"",EDATE($D137,Milestones!$AA$122)&gt;=$Z137),$AC137,IF(AND($Y137&lt;&gt;"",EDATE($D137,Milestones!$AA$122)&gt;=$Y137),$AB137,$AA137)))=Milestones!$AB$122),UPPER(TEXT(EDATE($D137,Milestones!$AA$122),"dd mmm yy"))&amp;" "&amp;Milestones!$AB$122&amp;" "&amp;IF(AND(Milestones!$AB$122="FT",Milestones!$AA$122=FT_Y5,EDATE($D137,Milestones!$AA$122)&lt;PolicyEff),1,Milestones!$AC$122)&amp;";  ","")&amp;IF(AND(EDATE($D137,Milestones!$AA$123)&lt;=AsOfDate,EDATE($D137,Milestones!$AA$123)&gt;=SchemeStart,IF($X137=0,$AD137,IF(AND($Z137&lt;&gt;"",EDATE($D137,Milestones!$AA$123)&gt;=$Z137),$AC137,IF(AND($Y137&lt;&gt;"",EDATE($D137,Milestones!$AA$123)&gt;=$Y137),$AB137,$AA137)))=Milestones!$AB$123),UPPER(TEXT(EDATE($D137,Milestones!$AA$123),"dd mmm yy"))&amp;" "&amp;Milestones!$AB$123&amp;" "&amp;IF(AND(Milestones!$AB$123="FT",Milestones!$AA$123=FT_Y5,EDATE($D137,Milestones!$AA$123)&lt;PolicyEff),1,Milestones!$AC$123)&amp;";  ","")&amp;IF(AND(EDATE($D137,Milestones!$AA$124)&lt;=AsOfDate,EDATE($D137,Milestones!$AA$124)&gt;=SchemeStart,IF($X137=0,$AD137,IF(AND($Z137&lt;&gt;"",EDATE($D137,Milestones!$AA$124)&gt;=$Z137),$AC137,IF(AND($Y137&lt;&gt;"",EDATE($D137,Milestones!$AA$124)&gt;=$Y137),$AB137,$AA137)))=Milestones!$AB$124),UPPER(TEXT(EDATE($D137,Milestones!$AA$124),"dd mmm yy"))&amp;" "&amp;Milestones!$AB$124&amp;" "&amp;IF(AND(Milestones!$AB$124="FT",Milestones!$AA$124=FT_Y5,EDATE($D137,Milestones!$AA$124)&lt;PolicyEff),1,Milestones!$AC$124)&amp;";  ","")&amp;IF(AND(EDATE($D137,Milestones!$AA$125)&lt;=AsOfDate,EDATE($D137,Milestones!$AA$125)&gt;=SchemeStart,IF($X137=0,$AD137,IF(AND($Z137&lt;&gt;"",EDATE($D137,Milestones!$AA$125)&gt;=$Z137),$AC137,IF(AND($Y137&lt;&gt;"",EDATE($D137,Milestones!$AA$125)&gt;=$Y137),$AB137,$AA137)))=Milestones!$AB$125),UPPER(TEXT(EDATE($D137,Milestones!$AA$125),"dd mmm yy"))&amp;" "&amp;Milestones!$AB$125&amp;" "&amp;IF(AND(Milestones!$AB$125="FT",Milestones!$AA$125=FT_Y5,EDATE($D137,Milestones!$AA$125)&lt;PolicyEff),1,Milestones!$AC$125)&amp;";  ","")&amp;IF(AND(EDATE($D137,Milestones!$AA$126)&lt;=AsOfDate,EDATE($D137,Milestones!$AA$126)&gt;=SchemeStart,IF($X137=0,$AD137,IF(AND($Z137&lt;&gt;"",EDATE($D137,Milestones!$AA$126)&gt;=$Z137),$AC137,IF(AND($Y137&lt;&gt;"",EDATE($D137,Milestones!$AA$126)&gt;=$Y137),$AB137,$AA137)))=Milestones!$AB$126),UPPER(TEXT(EDATE($D137,Milestones!$AA$126),"dd mmm yy"))&amp;" "&amp;Milestones!$AB$126&amp;" "&amp;IF(AND(Milestones!$AB$126="FT",Milestones!$AA$126=FT_Y5,EDATE($D137,Milestones!$AA$126)&lt;PolicyEff),1,Milestones!$AC$126)&amp;";  ","")&amp;IF(AND(EDATE($D137,Milestones!$AA$127)&lt;=AsOfDate,EDATE($D137,Milestones!$AA$127)&gt;=SchemeStart,IF($X137=0,$AD137,IF(AND($Z137&lt;&gt;"",EDATE($D137,Milestones!$AA$127)&gt;=$Z137),$AC137,IF(AND($Y137&lt;&gt;"",EDATE($D137,Milestones!$AA$127)&gt;=$Y137),$AB137,$AA137)))=Milestones!$AB$127),UPPER(TEXT(EDATE($D137,Milestones!$AA$127),"dd mmm yy"))&amp;" "&amp;Milestones!$AB$127&amp;" "&amp;IF(AND(Milestones!$AB$127="FT",Milestones!$AA$127=FT_Y5,EDATE($D137,Milestones!$AA$127)&lt;PolicyEff),1,Milestones!$AC$127)&amp;";  ",""))</f>
        <v/>
      </c>
      <c r="R137" s="0" t="str">
        <f aca="false">IF(OR($A137="",$D137=""),"",IF(AND(EDATE($D137,Milestones!$AA$128)&lt;=AsOfDate,EDATE($D137,Milestones!$AA$128)&gt;=SchemeStart,IF($X137=0,$AD137,IF(AND($Z137&lt;&gt;"",EDATE($D137,Milestones!$AA$128)&gt;=$Z137),$AC137,IF(AND($Y137&lt;&gt;"",EDATE($D137,Milestones!$AA$128)&gt;=$Y137),$AB137,$AA137)))=Milestones!$AB$128),UPPER(TEXT(EDATE($D137,Milestones!$AA$128),"dd mmm yy"))&amp;" "&amp;Milestones!$AB$128&amp;" "&amp;IF(AND(Milestones!$AB$128="FT",Milestones!$AA$128=FT_Y5,EDATE($D137,Milestones!$AA$128)&lt;PolicyEff),1,Milestones!$AC$128)&amp;";  ","")&amp;IF(AND(EDATE($D137,Milestones!$AA$129)&lt;=AsOfDate,EDATE($D137,Milestones!$AA$129)&gt;=SchemeStart,IF($X137=0,$AD137,IF(AND($Z137&lt;&gt;"",EDATE($D137,Milestones!$AA$129)&gt;=$Z137),$AC137,IF(AND($Y137&lt;&gt;"",EDATE($D137,Milestones!$AA$129)&gt;=$Y137),$AB137,$AA137)))=Milestones!$AB$129),UPPER(TEXT(EDATE($D137,Milestones!$AA$129),"dd mmm yy"))&amp;" "&amp;Milestones!$AB$129&amp;" "&amp;IF(AND(Milestones!$AB$129="FT",Milestones!$AA$129=FT_Y5,EDATE($D137,Milestones!$AA$129)&lt;PolicyEff),1,Milestones!$AC$129)&amp;";  ","")&amp;IF(AND(EDATE($D137,Milestones!$AA$130)&lt;=AsOfDate,EDATE($D137,Milestones!$AA$130)&gt;=SchemeStart,IF($X137=0,$AD137,IF(AND($Z137&lt;&gt;"",EDATE($D137,Milestones!$AA$130)&gt;=$Z137),$AC137,IF(AND($Y137&lt;&gt;"",EDATE($D137,Milestones!$AA$130)&gt;=$Y137),$AB137,$AA137)))=Milestones!$AB$130),UPPER(TEXT(EDATE($D137,Milestones!$AA$130),"dd mmm yy"))&amp;" "&amp;Milestones!$AB$130&amp;" "&amp;IF(AND(Milestones!$AB$130="FT",Milestones!$AA$130=FT_Y5,EDATE($D137,Milestones!$AA$130)&lt;PolicyEff),1,Milestones!$AC$130)&amp;";  ","")&amp;IF(AND(EDATE($D137,Milestones!$AA$131)&lt;=AsOfDate,EDATE($D137,Milestones!$AA$131)&gt;=SchemeStart,IF($X137=0,$AD137,IF(AND($Z137&lt;&gt;"",EDATE($D137,Milestones!$AA$131)&gt;=$Z137),$AC137,IF(AND($Y137&lt;&gt;"",EDATE($D137,Milestones!$AA$131)&gt;=$Y137),$AB137,$AA137)))=Milestones!$AB$131),UPPER(TEXT(EDATE($D137,Milestones!$AA$131),"dd mmm yy"))&amp;" "&amp;Milestones!$AB$131&amp;" "&amp;IF(AND(Milestones!$AB$131="FT",Milestones!$AA$131=FT_Y5,EDATE($D137,Milestones!$AA$131)&lt;PolicyEff),1,Milestones!$AC$131)&amp;";  ","")&amp;IF(AND(EDATE($D137,Milestones!$AA$132)&lt;=AsOfDate,EDATE($D137,Milestones!$AA$132)&gt;=SchemeStart,IF($X137=0,$AD137,IF(AND($Z137&lt;&gt;"",EDATE($D137,Milestones!$AA$132)&gt;=$Z137),$AC137,IF(AND($Y137&lt;&gt;"",EDATE($D137,Milestones!$AA$132)&gt;=$Y137),$AB137,$AA137)))=Milestones!$AB$132),UPPER(TEXT(EDATE($D137,Milestones!$AA$132),"dd mmm yy"))&amp;" "&amp;Milestones!$AB$132&amp;" "&amp;IF(AND(Milestones!$AB$132="FT",Milestones!$AA$132=FT_Y5,EDATE($D137,Milestones!$AA$132)&lt;PolicyEff),1,Milestones!$AC$132)&amp;";  ","")&amp;IF(AND(EDATE($D137,Milestones!$AA$133)&lt;=AsOfDate,EDATE($D137,Milestones!$AA$133)&gt;=SchemeStart,IF($X137=0,$AD137,IF(AND($Z137&lt;&gt;"",EDATE($D137,Milestones!$AA$133)&gt;=$Z137),$AC137,IF(AND($Y137&lt;&gt;"",EDATE($D137,Milestones!$AA$133)&gt;=$Y137),$AB137,$AA137)))=Milestones!$AB$133),UPPER(TEXT(EDATE($D137,Milestones!$AA$133),"dd mmm yy"))&amp;" "&amp;Milestones!$AB$133&amp;" "&amp;IF(AND(Milestones!$AB$133="FT",Milestones!$AA$133=FT_Y5,EDATE($D137,Milestones!$AA$133)&lt;PolicyEff),1,Milestones!$AC$133)&amp;";  ","")&amp;IF(AND(EDATE($D137,Milestones!$AA$134)&lt;=AsOfDate,EDATE($D137,Milestones!$AA$134)&gt;=SchemeStart,IF($X137=0,$AD137,IF(AND($Z137&lt;&gt;"",EDATE($D137,Milestones!$AA$134)&gt;=$Z137),$AC137,IF(AND($Y137&lt;&gt;"",EDATE($D137,Milestones!$AA$134)&gt;=$Y137),$AB137,$AA137)))=Milestones!$AB$134),UPPER(TEXT(EDATE($D137,Milestones!$AA$134),"dd mmm yy"))&amp;" "&amp;Milestones!$AB$134&amp;" "&amp;IF(AND(Milestones!$AB$134="FT",Milestones!$AA$134=FT_Y5,EDATE($D137,Milestones!$AA$134)&lt;PolicyEff),1,Milestones!$AC$134)&amp;";  ","")&amp;IF(AND(EDATE($D137,Milestones!$AA$135)&lt;=AsOfDate,EDATE($D137,Milestones!$AA$135)&gt;=SchemeStart,IF($X137=0,$AD137,IF(AND($Z137&lt;&gt;"",EDATE($D137,Milestones!$AA$135)&gt;=$Z137),$AC137,IF(AND($Y137&lt;&gt;"",EDATE($D137,Milestones!$AA$135)&gt;=$Y137),$AB137,$AA137)))=Milestones!$AB$135),UPPER(TEXT(EDATE($D137,Milestones!$AA$135),"dd mmm yy"))&amp;" "&amp;Milestones!$AB$135&amp;" "&amp;IF(AND(Milestones!$AB$135="FT",Milestones!$AA$135=FT_Y5,EDATE($D137,Milestones!$AA$135)&lt;PolicyEff),1,Milestones!$AC$135)&amp;";  ","")&amp;IF(AND(EDATE($D137,Milestones!$AA$136)&lt;=AsOfDate,EDATE($D137,Milestones!$AA$136)&gt;=SchemeStart,IF($X137=0,$AD137,IF(AND($Z137&lt;&gt;"",EDATE($D137,Milestones!$AA$136)&gt;=$Z137),$AC137,IF(AND($Y137&lt;&gt;"",EDATE($D137,Milestones!$AA$136)&gt;=$Y137),$AB137,$AA137)))=Milestones!$AB$136),UPPER(TEXT(EDATE($D137,Milestones!$AA$136),"dd mmm yy"))&amp;" "&amp;Milestones!$AB$136&amp;" "&amp;IF(AND(Milestones!$AB$136="FT",Milestones!$AA$136=FT_Y5,EDATE($D137,Milestones!$AA$136)&lt;PolicyEff),1,Milestones!$AC$136)&amp;";  ","")&amp;IF(AND(EDATE($D137,Milestones!$AA$137)&lt;=AsOfDate,EDATE($D137,Milestones!$AA$137)&gt;=SchemeStart,IF($X137=0,$AD137,IF(AND($Z137&lt;&gt;"",EDATE($D137,Milestones!$AA$137)&gt;=$Z137),$AC137,IF(AND($Y137&lt;&gt;"",EDATE($D137,Milestones!$AA$137)&gt;=$Y137),$AB137,$AA137)))=Milestones!$AB$137),UPPER(TEXT(EDATE($D137,Milestones!$AA$137),"dd mmm yy"))&amp;" "&amp;Milestones!$AB$137&amp;" "&amp;IF(AND(Milestones!$AB$137="FT",Milestones!$AA$137=FT_Y5,EDATE($D137,Milestones!$AA$137)&lt;PolicyEff),1,Milestones!$AC$137)&amp;";  ","")&amp;IF(AND(EDATE($D137,Milestones!$AA$138)&lt;=AsOfDate,EDATE($D137,Milestones!$AA$138)&gt;=SchemeStart,IF($X137=0,$AD137,IF(AND($Z137&lt;&gt;"",EDATE($D137,Milestones!$AA$138)&gt;=$Z137),$AC137,IF(AND($Y137&lt;&gt;"",EDATE($D137,Milestones!$AA$138)&gt;=$Y137),$AB137,$AA137)))=Milestones!$AB$138),UPPER(TEXT(EDATE($D137,Milestones!$AA$138),"dd mmm yy"))&amp;" "&amp;Milestones!$AB$138&amp;" "&amp;IF(AND(Milestones!$AB$138="FT",Milestones!$AA$138=FT_Y5,EDATE($D137,Milestones!$AA$138)&lt;PolicyEff),1,Milestones!$AC$138)&amp;";  ","")&amp;IF(AND(EDATE($D137,Milestones!$AA$139)&lt;=AsOfDate,EDATE($D137,Milestones!$AA$139)&gt;=SchemeStart,IF($X137=0,$AD137,IF(AND($Z137&lt;&gt;"",EDATE($D137,Milestones!$AA$139)&gt;=$Z137),$AC137,IF(AND($Y137&lt;&gt;"",EDATE($D137,Milestones!$AA$139)&gt;=$Y137),$AB137,$AA137)))=Milestones!$AB$139),UPPER(TEXT(EDATE($D137,Milestones!$AA$139),"dd mmm yy"))&amp;" "&amp;Milestones!$AB$139&amp;" "&amp;IF(AND(Milestones!$AB$139="FT",Milestones!$AA$139=FT_Y5,EDATE($D137,Milestones!$AA$139)&lt;PolicyEff),1,Milestones!$AC$139)&amp;";  ",""))</f>
        <v/>
      </c>
      <c r="S137" s="0" t="str">
        <f aca="false">IF(OR($A137="",$D137=""),"",IF(AND(EDATE($D137,Milestones!$AA$140)&lt;=AsOfDate,EDATE($D137,Milestones!$AA$140)&gt;=SchemeStart,IF($X137=0,$AD137,IF(AND($Z137&lt;&gt;"",EDATE($D137,Milestones!$AA$140)&gt;=$Z137),$AC137,IF(AND($Y137&lt;&gt;"",EDATE($D137,Milestones!$AA$140)&gt;=$Y137),$AB137,$AA137)))=Milestones!$AB$140),UPPER(TEXT(EDATE($D137,Milestones!$AA$140),"dd mmm yy"))&amp;" "&amp;Milestones!$AB$140&amp;" "&amp;IF(AND(Milestones!$AB$140="FT",Milestones!$AA$140=FT_Y5,EDATE($D137,Milestones!$AA$140)&lt;PolicyEff),1,Milestones!$AC$140)&amp;";  ","")&amp;IF(AND(EDATE($D137,Milestones!$AA$141)&lt;=AsOfDate,EDATE($D137,Milestones!$AA$141)&gt;=SchemeStart,IF($X137=0,$AD137,IF(AND($Z137&lt;&gt;"",EDATE($D137,Milestones!$AA$141)&gt;=$Z137),$AC137,IF(AND($Y137&lt;&gt;"",EDATE($D137,Milestones!$AA$141)&gt;=$Y137),$AB137,$AA137)))=Milestones!$AB$141),UPPER(TEXT(EDATE($D137,Milestones!$AA$141),"dd mmm yy"))&amp;" "&amp;Milestones!$AB$141&amp;" "&amp;IF(AND(Milestones!$AB$141="FT",Milestones!$AA$141=FT_Y5,EDATE($D137,Milestones!$AA$141)&lt;PolicyEff),1,Milestones!$AC$141)&amp;";  ","")&amp;IF(AND(EDATE($D137,Milestones!$AA$142)&lt;=AsOfDate,EDATE($D137,Milestones!$AA$142)&gt;=SchemeStart,IF($X137=0,$AD137,IF(AND($Z137&lt;&gt;"",EDATE($D137,Milestones!$AA$142)&gt;=$Z137),$AC137,IF(AND($Y137&lt;&gt;"",EDATE($D137,Milestones!$AA$142)&gt;=$Y137),$AB137,$AA137)))=Milestones!$AB$142),UPPER(TEXT(EDATE($D137,Milestones!$AA$142),"dd mmm yy"))&amp;" "&amp;Milestones!$AB$142&amp;" "&amp;IF(AND(Milestones!$AB$142="FT",Milestones!$AA$142=FT_Y5,EDATE($D137,Milestones!$AA$142)&lt;PolicyEff),1,Milestones!$AC$142)&amp;";  ","")&amp;IF(AND(EDATE($D137,Milestones!$AA$143)&lt;=AsOfDate,EDATE($D137,Milestones!$AA$143)&gt;=SchemeStart,IF($X137=0,$AD137,IF(AND($Z137&lt;&gt;"",EDATE($D137,Milestones!$AA$143)&gt;=$Z137),$AC137,IF(AND($Y137&lt;&gt;"",EDATE($D137,Milestones!$AA$143)&gt;=$Y137),$AB137,$AA137)))=Milestones!$AB$143),UPPER(TEXT(EDATE($D137,Milestones!$AA$143),"dd mmm yy"))&amp;" "&amp;Milestones!$AB$143&amp;" "&amp;IF(AND(Milestones!$AB$143="FT",Milestones!$AA$143=FT_Y5,EDATE($D137,Milestones!$AA$143)&lt;PolicyEff),1,Milestones!$AC$143)&amp;";  ","")&amp;IF(AND(EDATE($D137,Milestones!$AA$144)&lt;=AsOfDate,EDATE($D137,Milestones!$AA$144)&gt;=SchemeStart,IF($X137=0,$AD137,IF(AND($Z137&lt;&gt;"",EDATE($D137,Milestones!$AA$144)&gt;=$Z137),$AC137,IF(AND($Y137&lt;&gt;"",EDATE($D137,Milestones!$AA$144)&gt;=$Y137),$AB137,$AA137)))=Milestones!$AB$144),UPPER(TEXT(EDATE($D137,Milestones!$AA$144),"dd mmm yy"))&amp;" "&amp;Milestones!$AB$144&amp;" "&amp;IF(AND(Milestones!$AB$144="FT",Milestones!$AA$144=FT_Y5,EDATE($D137,Milestones!$AA$144)&lt;PolicyEff),1,Milestones!$AC$144)&amp;";  ","")&amp;IF(AND(EDATE($D137,Milestones!$AA$145)&lt;=AsOfDate,EDATE($D137,Milestones!$AA$145)&gt;=SchemeStart,IF($X137=0,$AD137,IF(AND($Z137&lt;&gt;"",EDATE($D137,Milestones!$AA$145)&gt;=$Z137),$AC137,IF(AND($Y137&lt;&gt;"",EDATE($D137,Milestones!$AA$145)&gt;=$Y137),$AB137,$AA137)))=Milestones!$AB$145),UPPER(TEXT(EDATE($D137,Milestones!$AA$145),"dd mmm yy"))&amp;" "&amp;Milestones!$AB$145&amp;" "&amp;IF(AND(Milestones!$AB$145="FT",Milestones!$AA$145=FT_Y5,EDATE($D137,Milestones!$AA$145)&lt;PolicyEff),1,Milestones!$AC$145)&amp;";  ","")&amp;IF(AND(EDATE($D137,Milestones!$AA$146)&lt;=AsOfDate,EDATE($D137,Milestones!$AA$146)&gt;=SchemeStart,IF($X137=0,$AD137,IF(AND($Z137&lt;&gt;"",EDATE($D137,Milestones!$AA$146)&gt;=$Z137),$AC137,IF(AND($Y137&lt;&gt;"",EDATE($D137,Milestones!$AA$146)&gt;=$Y137),$AB137,$AA137)))=Milestones!$AB$146),UPPER(TEXT(EDATE($D137,Milestones!$AA$146),"dd mmm yy"))&amp;" "&amp;Milestones!$AB$146&amp;" "&amp;IF(AND(Milestones!$AB$146="FT",Milestones!$AA$146=FT_Y5,EDATE($D137,Milestones!$AA$146)&lt;PolicyEff),1,Milestones!$AC$146)&amp;";  ","")&amp;IF(AND(EDATE($D137,Milestones!$AA$147)&lt;=AsOfDate,EDATE($D137,Milestones!$AA$147)&gt;=SchemeStart,IF($X137=0,$AD137,IF(AND($Z137&lt;&gt;"",EDATE($D137,Milestones!$AA$147)&gt;=$Z137),$AC137,IF(AND($Y137&lt;&gt;"",EDATE($D137,Milestones!$AA$147)&gt;=$Y137),$AB137,$AA137)))=Milestones!$AB$147),UPPER(TEXT(EDATE($D137,Milestones!$AA$147),"dd mmm yy"))&amp;" "&amp;Milestones!$AB$147&amp;" "&amp;IF(AND(Milestones!$AB$147="FT",Milestones!$AA$147=FT_Y5,EDATE($D137,Milestones!$AA$147)&lt;PolicyEff),1,Milestones!$AC$147)&amp;";  ","")&amp;IF(AND(EDATE($D137,Milestones!$AA$148)&lt;=AsOfDate,EDATE($D137,Milestones!$AA$148)&gt;=SchemeStart,IF($X137=0,$AD137,IF(AND($Z137&lt;&gt;"",EDATE($D137,Milestones!$AA$148)&gt;=$Z137),$AC137,IF(AND($Y137&lt;&gt;"",EDATE($D137,Milestones!$AA$148)&gt;=$Y137),$AB137,$AA137)))=Milestones!$AB$148),UPPER(TEXT(EDATE($D137,Milestones!$AA$148),"dd mmm yy"))&amp;" "&amp;Milestones!$AB$148&amp;" "&amp;IF(AND(Milestones!$AB$148="FT",Milestones!$AA$148=FT_Y5,EDATE($D137,Milestones!$AA$148)&lt;PolicyEff),1,Milestones!$AC$148)&amp;";  ","")&amp;IF(AND(EDATE($D137,Milestones!$AA$149)&lt;=AsOfDate,EDATE($D137,Milestones!$AA$149)&gt;=SchemeStart,IF($X137=0,$AD137,IF(AND($Z137&lt;&gt;"",EDATE($D137,Milestones!$AA$149)&gt;=$Z137),$AC137,IF(AND($Y137&lt;&gt;"",EDATE($D137,Milestones!$AA$149)&gt;=$Y137),$AB137,$AA137)))=Milestones!$AB$149),UPPER(TEXT(EDATE($D137,Milestones!$AA$149),"dd mmm yy"))&amp;" "&amp;Milestones!$AB$149&amp;" "&amp;IF(AND(Milestones!$AB$149="FT",Milestones!$AA$149=FT_Y5,EDATE($D137,Milestones!$AA$149)&lt;PolicyEff),1,Milestones!$AC$149)&amp;";  ","")&amp;IF(AND(EDATE($D137,Milestones!$AA$150)&lt;=AsOfDate,EDATE($D137,Milestones!$AA$150)&gt;=SchemeStart,IF($X137=0,$AD137,IF(AND($Z137&lt;&gt;"",EDATE($D137,Milestones!$AA$150)&gt;=$Z137),$AC137,IF(AND($Y137&lt;&gt;"",EDATE($D137,Milestones!$AA$150)&gt;=$Y137),$AB137,$AA137)))=Milestones!$AB$150),UPPER(TEXT(EDATE($D137,Milestones!$AA$150),"dd mmm yy"))&amp;" "&amp;Milestones!$AB$150&amp;" "&amp;IF(AND(Milestones!$AB$150="FT",Milestones!$AA$150=FT_Y5,EDATE($D137,Milestones!$AA$150)&lt;PolicyEff),1,Milestones!$AC$150)&amp;";  ","")&amp;IF(AND(EDATE($D137,Milestones!$AA$151)&lt;=AsOfDate,EDATE($D137,Milestones!$AA$151)&gt;=SchemeStart,IF($X137=0,$AD137,IF(AND($Z137&lt;&gt;"",EDATE($D137,Milestones!$AA$151)&gt;=$Z137),$AC137,IF(AND($Y137&lt;&gt;"",EDATE($D137,Milestones!$AA$151)&gt;=$Y137),$AB137,$AA137)))=Milestones!$AB$151),UPPER(TEXT(EDATE($D137,Milestones!$AA$151),"dd mmm yy"))&amp;" "&amp;Milestones!$AB$151&amp;" "&amp;IF(AND(Milestones!$AB$151="FT",Milestones!$AA$151=FT_Y5,EDATE($D137,Milestones!$AA$151)&lt;PolicyEff),1,Milestones!$AC$151)&amp;";  ",""))</f>
        <v/>
      </c>
      <c r="T137" s="0" t="str">
        <f aca="false">IF(OR($A137="",$D137=""),"",IF(AND(EDATE($D137,Milestones!$AA$152)&lt;=AsOfDate,EDATE($D137,Milestones!$AA$152)&gt;=SchemeStart,IF($X137=0,$AD137,IF(AND($Z137&lt;&gt;"",EDATE($D137,Milestones!$AA$152)&gt;=$Z137),$AC137,IF(AND($Y137&lt;&gt;"",EDATE($D137,Milestones!$AA$152)&gt;=$Y137),$AB137,$AA137)))=Milestones!$AB$152),UPPER(TEXT(EDATE($D137,Milestones!$AA$152),"dd mmm yy"))&amp;" "&amp;Milestones!$AB$152&amp;" "&amp;IF(AND(Milestones!$AB$152="FT",Milestones!$AA$152=FT_Y5,EDATE($D137,Milestones!$AA$152)&lt;PolicyEff),1,Milestones!$AC$152)&amp;";  ","")&amp;IF(AND(EDATE($D137,Milestones!$AA$153)&lt;=AsOfDate,EDATE($D137,Milestones!$AA$153)&gt;=SchemeStart,IF($X137=0,$AD137,IF(AND($Z137&lt;&gt;"",EDATE($D137,Milestones!$AA$153)&gt;=$Z137),$AC137,IF(AND($Y137&lt;&gt;"",EDATE($D137,Milestones!$AA$153)&gt;=$Y137),$AB137,$AA137)))=Milestones!$AB$153),UPPER(TEXT(EDATE($D137,Milestones!$AA$153),"dd mmm yy"))&amp;" "&amp;Milestones!$AB$153&amp;" "&amp;IF(AND(Milestones!$AB$153="FT",Milestones!$AA$153=FT_Y5,EDATE($D137,Milestones!$AA$153)&lt;PolicyEff),1,Milestones!$AC$153)&amp;";  ","")&amp;IF(AND(EDATE($D137,Milestones!$AA$154)&lt;=AsOfDate,EDATE($D137,Milestones!$AA$154)&gt;=SchemeStart,IF($X137=0,$AD137,IF(AND($Z137&lt;&gt;"",EDATE($D137,Milestones!$AA$154)&gt;=$Z137),$AC137,IF(AND($Y137&lt;&gt;"",EDATE($D137,Milestones!$AA$154)&gt;=$Y137),$AB137,$AA137)))=Milestones!$AB$154),UPPER(TEXT(EDATE($D137,Milestones!$AA$154),"dd mmm yy"))&amp;" "&amp;Milestones!$AB$154&amp;" "&amp;IF(AND(Milestones!$AB$154="FT",Milestones!$AA$154=FT_Y5,EDATE($D137,Milestones!$AA$154)&lt;PolicyEff),1,Milestones!$AC$154)&amp;";  ","")&amp;IF(AND(EDATE($D137,Milestones!$AA$155)&lt;=AsOfDate,EDATE($D137,Milestones!$AA$155)&gt;=SchemeStart,IF($X137=0,$AD137,IF(AND($Z137&lt;&gt;"",EDATE($D137,Milestones!$AA$155)&gt;=$Z137),$AC137,IF(AND($Y137&lt;&gt;"",EDATE($D137,Milestones!$AA$155)&gt;=$Y137),$AB137,$AA137)))=Milestones!$AB$155),UPPER(TEXT(EDATE($D137,Milestones!$AA$155),"dd mmm yy"))&amp;" "&amp;Milestones!$AB$155&amp;" "&amp;IF(AND(Milestones!$AB$155="FT",Milestones!$AA$155=FT_Y5,EDATE($D137,Milestones!$AA$155)&lt;PolicyEff),1,Milestones!$AC$155)&amp;";  ","")&amp;IF(AND(EDATE($D137,Milestones!$AA$156)&lt;=AsOfDate,EDATE($D137,Milestones!$AA$156)&gt;=SchemeStart,IF($X137=0,$AD137,IF(AND($Z137&lt;&gt;"",EDATE($D137,Milestones!$AA$156)&gt;=$Z137),$AC137,IF(AND($Y137&lt;&gt;"",EDATE($D137,Milestones!$AA$156)&gt;=$Y137),$AB137,$AA137)))=Milestones!$AB$156),UPPER(TEXT(EDATE($D137,Milestones!$AA$156),"dd mmm yy"))&amp;" "&amp;Milestones!$AB$156&amp;" "&amp;IF(AND(Milestones!$AB$156="FT",Milestones!$AA$156=FT_Y5,EDATE($D137,Milestones!$AA$156)&lt;PolicyEff),1,Milestones!$AC$156)&amp;";  ","")&amp;IF(AND(EDATE($D137,Milestones!$AA$157)&lt;=AsOfDate,EDATE($D137,Milestones!$AA$157)&gt;=SchemeStart,IF($X137=0,$AD137,IF(AND($Z137&lt;&gt;"",EDATE($D137,Milestones!$AA$157)&gt;=$Z137),$AC137,IF(AND($Y137&lt;&gt;"",EDATE($D137,Milestones!$AA$157)&gt;=$Y137),$AB137,$AA137)))=Milestones!$AB$157),UPPER(TEXT(EDATE($D137,Milestones!$AA$157),"dd mmm yy"))&amp;" "&amp;Milestones!$AB$157&amp;" "&amp;IF(AND(Milestones!$AB$157="FT",Milestones!$AA$157=FT_Y5,EDATE($D137,Milestones!$AA$157)&lt;PolicyEff),1,Milestones!$AC$157)&amp;";  ","")&amp;IF(AND(EDATE($D137,Milestones!$AA$158)&lt;=AsOfDate,EDATE($D137,Milestones!$AA$158)&gt;=SchemeStart,IF($X137=0,$AD137,IF(AND($Z137&lt;&gt;"",EDATE($D137,Milestones!$AA$158)&gt;=$Z137),$AC137,IF(AND($Y137&lt;&gt;"",EDATE($D137,Milestones!$AA$158)&gt;=$Y137),$AB137,$AA137)))=Milestones!$AB$158),UPPER(TEXT(EDATE($D137,Milestones!$AA$158),"dd mmm yy"))&amp;" "&amp;Milestones!$AB$158&amp;" "&amp;IF(AND(Milestones!$AB$158="FT",Milestones!$AA$158=FT_Y5,EDATE($D137,Milestones!$AA$158)&lt;PolicyEff),1,Milestones!$AC$158)&amp;";  ","")&amp;IF(AND(EDATE($D137,Milestones!$AA$159)&lt;=AsOfDate,EDATE($D137,Milestones!$AA$159)&gt;=SchemeStart,IF($X137=0,$AD137,IF(AND($Z137&lt;&gt;"",EDATE($D137,Milestones!$AA$159)&gt;=$Z137),$AC137,IF(AND($Y137&lt;&gt;"",EDATE($D137,Milestones!$AA$159)&gt;=$Y137),$AB137,$AA137)))=Milestones!$AB$159),UPPER(TEXT(EDATE($D137,Milestones!$AA$159),"dd mmm yy"))&amp;" "&amp;Milestones!$AB$159&amp;" "&amp;IF(AND(Milestones!$AB$159="FT",Milestones!$AA$159=FT_Y5,EDATE($D137,Milestones!$AA$159)&lt;PolicyEff),1,Milestones!$AC$159)&amp;";  ","")&amp;IF(AND(EDATE($D137,Milestones!$AA$160)&lt;=AsOfDate,EDATE($D137,Milestones!$AA$160)&gt;=SchemeStart,IF($X137=0,$AD137,IF(AND($Z137&lt;&gt;"",EDATE($D137,Milestones!$AA$160)&gt;=$Z137),$AC137,IF(AND($Y137&lt;&gt;"",EDATE($D137,Milestones!$AA$160)&gt;=$Y137),$AB137,$AA137)))=Milestones!$AB$160),UPPER(TEXT(EDATE($D137,Milestones!$AA$160),"dd mmm yy"))&amp;" "&amp;Milestones!$AB$160&amp;" "&amp;IF(AND(Milestones!$AB$160="FT",Milestones!$AA$160=FT_Y5,EDATE($D137,Milestones!$AA$160)&lt;PolicyEff),1,Milestones!$AC$160)&amp;";  ","")&amp;IF(AND(EDATE($D137,Milestones!$AA$161)&lt;=AsOfDate,EDATE($D137,Milestones!$AA$161)&gt;=SchemeStart,IF($X137=0,$AD137,IF(AND($Z137&lt;&gt;"",EDATE($D137,Milestones!$AA$161)&gt;=$Z137),$AC137,IF(AND($Y137&lt;&gt;"",EDATE($D137,Milestones!$AA$161)&gt;=$Y137),$AB137,$AA137)))=Milestones!$AB$161),UPPER(TEXT(EDATE($D137,Milestones!$AA$161),"dd mmm yy"))&amp;" "&amp;Milestones!$AB$161&amp;" "&amp;IF(AND(Milestones!$AB$161="FT",Milestones!$AA$161=FT_Y5,EDATE($D137,Milestones!$AA$161)&lt;PolicyEff),1,Milestones!$AC$161)&amp;";  ","")&amp;IF(AND(EDATE($D137,Milestones!$AA$162)&lt;=AsOfDate,EDATE($D137,Milestones!$AA$162)&gt;=SchemeStart,IF($X137=0,$AD137,IF(AND($Z137&lt;&gt;"",EDATE($D137,Milestones!$AA$162)&gt;=$Z137),$AC137,IF(AND($Y137&lt;&gt;"",EDATE($D137,Milestones!$AA$162)&gt;=$Y137),$AB137,$AA137)))=Milestones!$AB$162),UPPER(TEXT(EDATE($D137,Milestones!$AA$162),"dd mmm yy"))&amp;" "&amp;Milestones!$AB$162&amp;" "&amp;IF(AND(Milestones!$AB$162="FT",Milestones!$AA$162=FT_Y5,EDATE($D137,Milestones!$AA$162)&lt;PolicyEff),1,Milestones!$AC$162)&amp;";  ","")&amp;IF(AND(EDATE($D137,Milestones!$AA$163)&lt;=AsOfDate,EDATE($D137,Milestones!$AA$163)&gt;=SchemeStart,IF($X137=0,$AD137,IF(AND($Z137&lt;&gt;"",EDATE($D137,Milestones!$AA$163)&gt;=$Z137),$AC137,IF(AND($Y137&lt;&gt;"",EDATE($D137,Milestones!$AA$163)&gt;=$Y137),$AB137,$AA137)))=Milestones!$AB$163),UPPER(TEXT(EDATE($D137,Milestones!$AA$163),"dd mmm yy"))&amp;" "&amp;Milestones!$AB$163&amp;" "&amp;IF(AND(Milestones!$AB$163="FT",Milestones!$AA$163=FT_Y5,EDATE($D137,Milestones!$AA$163)&lt;PolicyEff),1,Milestones!$AC$163)&amp;";  ",""))</f>
        <v/>
      </c>
      <c r="U137" s="0" t="str">
        <f aca="false">IF(OR($A137="",$D137=""),"",IF(AND(EDATE($D137,Milestones!$AA$164)&lt;=AsOfDate,EDATE($D137,Milestones!$AA$164)&gt;=SchemeStart,IF($X137=0,$AD137,IF(AND($Z137&lt;&gt;"",EDATE($D137,Milestones!$AA$164)&gt;=$Z137),$AC137,IF(AND($Y137&lt;&gt;"",EDATE($D137,Milestones!$AA$164)&gt;=$Y137),$AB137,$AA137)))=Milestones!$AB$164),UPPER(TEXT(EDATE($D137,Milestones!$AA$164),"dd mmm yy"))&amp;" "&amp;Milestones!$AB$164&amp;" "&amp;IF(AND(Milestones!$AB$164="FT",Milestones!$AA$164=FT_Y5,EDATE($D137,Milestones!$AA$164)&lt;PolicyEff),1,Milestones!$AC$164)&amp;";  ","")&amp;IF(AND(EDATE($D137,Milestones!$AA$165)&lt;=AsOfDate,EDATE($D137,Milestones!$AA$165)&gt;=SchemeStart,IF($X137=0,$AD137,IF(AND($Z137&lt;&gt;"",EDATE($D137,Milestones!$AA$165)&gt;=$Z137),$AC137,IF(AND($Y137&lt;&gt;"",EDATE($D137,Milestones!$AA$165)&gt;=$Y137),$AB137,$AA137)))=Milestones!$AB$165),UPPER(TEXT(EDATE($D137,Milestones!$AA$165),"dd mmm yy"))&amp;" "&amp;Milestones!$AB$165&amp;" "&amp;IF(AND(Milestones!$AB$165="FT",Milestones!$AA$165=FT_Y5,EDATE($D137,Milestones!$AA$165)&lt;PolicyEff),1,Milestones!$AC$165)&amp;";  ","")&amp;IF(AND(EDATE($D137,Milestones!$AA$166)&lt;=AsOfDate,EDATE($D137,Milestones!$AA$166)&gt;=SchemeStart,IF($X137=0,$AD137,IF(AND($Z137&lt;&gt;"",EDATE($D137,Milestones!$AA$166)&gt;=$Z137),$AC137,IF(AND($Y137&lt;&gt;"",EDATE($D137,Milestones!$AA$166)&gt;=$Y137),$AB137,$AA137)))=Milestones!$AB$166),UPPER(TEXT(EDATE($D137,Milestones!$AA$166),"dd mmm yy"))&amp;" "&amp;Milestones!$AB$166&amp;" "&amp;IF(AND(Milestones!$AB$166="FT",Milestones!$AA$166=FT_Y5,EDATE($D137,Milestones!$AA$166)&lt;PolicyEff),1,Milestones!$AC$166)&amp;";  ","")&amp;IF(AND(EDATE($D137,Milestones!$AA$167)&lt;=AsOfDate,EDATE($D137,Milestones!$AA$167)&gt;=SchemeStart,IF($X137=0,$AD137,IF(AND($Z137&lt;&gt;"",EDATE($D137,Milestones!$AA$167)&gt;=$Z137),$AC137,IF(AND($Y137&lt;&gt;"",EDATE($D137,Milestones!$AA$167)&gt;=$Y137),$AB137,$AA137)))=Milestones!$AB$167),UPPER(TEXT(EDATE($D137,Milestones!$AA$167),"dd mmm yy"))&amp;" "&amp;Milestones!$AB$167&amp;" "&amp;IF(AND(Milestones!$AB$167="FT",Milestones!$AA$167=FT_Y5,EDATE($D137,Milestones!$AA$167)&lt;PolicyEff),1,Milestones!$AC$167)&amp;";  ","")&amp;IF(AND(EDATE($D137,Milestones!$AA$168)&lt;=AsOfDate,EDATE($D137,Milestones!$AA$168)&gt;=SchemeStart,IF($X137=0,$AD137,IF(AND($Z137&lt;&gt;"",EDATE($D137,Milestones!$AA$168)&gt;=$Z137),$AC137,IF(AND($Y137&lt;&gt;"",EDATE($D137,Milestones!$AA$168)&gt;=$Y137),$AB137,$AA137)))=Milestones!$AB$168),UPPER(TEXT(EDATE($D137,Milestones!$AA$168),"dd mmm yy"))&amp;" "&amp;Milestones!$AB$168&amp;" "&amp;IF(AND(Milestones!$AB$168="FT",Milestones!$AA$168=FT_Y5,EDATE($D137,Milestones!$AA$168)&lt;PolicyEff),1,Milestones!$AC$168)&amp;";  ","")&amp;IF(AND(EDATE($D137,Milestones!$AA$169)&lt;=AsOfDate,EDATE($D137,Milestones!$AA$169)&gt;=SchemeStart,IF($X137=0,$AD137,IF(AND($Z137&lt;&gt;"",EDATE($D137,Milestones!$AA$169)&gt;=$Z137),$AC137,IF(AND($Y137&lt;&gt;"",EDATE($D137,Milestones!$AA$169)&gt;=$Y137),$AB137,$AA137)))=Milestones!$AB$169),UPPER(TEXT(EDATE($D137,Milestones!$AA$169),"dd mmm yy"))&amp;" "&amp;Milestones!$AB$169&amp;" "&amp;IF(AND(Milestones!$AB$169="FT",Milestones!$AA$169=FT_Y5,EDATE($D137,Milestones!$AA$169)&lt;PolicyEff),1,Milestones!$AC$169)&amp;";  ","")&amp;IF(AND(EDATE($D137,Milestones!$AA$170)&lt;=AsOfDate,EDATE($D137,Milestones!$AA$170)&gt;=SchemeStart,IF($X137=0,$AD137,IF(AND($Z137&lt;&gt;"",EDATE($D137,Milestones!$AA$170)&gt;=$Z137),$AC137,IF(AND($Y137&lt;&gt;"",EDATE($D137,Milestones!$AA$170)&gt;=$Y137),$AB137,$AA137)))=Milestones!$AB$170),UPPER(TEXT(EDATE($D137,Milestones!$AA$170),"dd mmm yy"))&amp;" "&amp;Milestones!$AB$170&amp;" "&amp;IF(AND(Milestones!$AB$170="FT",Milestones!$AA$170=FT_Y5,EDATE($D137,Milestones!$AA$170)&lt;PolicyEff),1,Milestones!$AC$170)&amp;";  ","")&amp;IF(AND(EDATE($D137,Milestones!$AA$171)&lt;=AsOfDate,EDATE($D137,Milestones!$AA$171)&gt;=SchemeStart,IF($X137=0,$AD137,IF(AND($Z137&lt;&gt;"",EDATE($D137,Milestones!$AA$171)&gt;=$Z137),$AC137,IF(AND($Y137&lt;&gt;"",EDATE($D137,Milestones!$AA$171)&gt;=$Y137),$AB137,$AA137)))=Milestones!$AB$171),UPPER(TEXT(EDATE($D137,Milestones!$AA$171),"dd mmm yy"))&amp;" "&amp;Milestones!$AB$171&amp;" "&amp;IF(AND(Milestones!$AB$171="FT",Milestones!$AA$171=FT_Y5,EDATE($D137,Milestones!$AA$171)&lt;PolicyEff),1,Milestones!$AC$171)&amp;";  ","")&amp;IF(AND(EDATE($D137,Milestones!$AA$172)&lt;=AsOfDate,EDATE($D137,Milestones!$AA$172)&gt;=SchemeStart,IF($X137=0,$AD137,IF(AND($Z137&lt;&gt;"",EDATE($D137,Milestones!$AA$172)&gt;=$Z137),$AC137,IF(AND($Y137&lt;&gt;"",EDATE($D137,Milestones!$AA$172)&gt;=$Y137),$AB137,$AA137)))=Milestones!$AB$172),UPPER(TEXT(EDATE($D137,Milestones!$AA$172),"dd mmm yy"))&amp;" "&amp;Milestones!$AB$172&amp;" "&amp;IF(AND(Milestones!$AB$172="FT",Milestones!$AA$172=FT_Y5,EDATE($D137,Milestones!$AA$172)&lt;PolicyEff),1,Milestones!$AC$172)&amp;";  ","")&amp;IF(AND(EDATE($D137,Milestones!$AA$173)&lt;=AsOfDate,EDATE($D137,Milestones!$AA$173)&gt;=SchemeStart,IF($X137=0,$AD137,IF(AND($Z137&lt;&gt;"",EDATE($D137,Milestones!$AA$173)&gt;=$Z137),$AC137,IF(AND($Y137&lt;&gt;"",EDATE($D137,Milestones!$AA$173)&gt;=$Y137),$AB137,$AA137)))=Milestones!$AB$173),UPPER(TEXT(EDATE($D137,Milestones!$AA$173),"dd mmm yy"))&amp;" "&amp;Milestones!$AB$173&amp;" "&amp;IF(AND(Milestones!$AB$173="FT",Milestones!$AA$173=FT_Y5,EDATE($D137,Milestones!$AA$173)&lt;PolicyEff),1,Milestones!$AC$173)&amp;";  ","")&amp;IF(AND(EDATE($D137,Milestones!$AA$174)&lt;=AsOfDate,EDATE($D137,Milestones!$AA$174)&gt;=SchemeStart,IF($X137=0,$AD137,IF(AND($Z137&lt;&gt;"",EDATE($D137,Milestones!$AA$174)&gt;=$Z137),$AC137,IF(AND($Y137&lt;&gt;"",EDATE($D137,Milestones!$AA$174)&gt;=$Y137),$AB137,$AA137)))=Milestones!$AB$174),UPPER(TEXT(EDATE($D137,Milestones!$AA$174),"dd mmm yy"))&amp;" "&amp;Milestones!$AB$174&amp;" "&amp;IF(AND(Milestones!$AB$174="FT",Milestones!$AA$174=FT_Y5,EDATE($D137,Milestones!$AA$174)&lt;PolicyEff),1,Milestones!$AC$174)&amp;";  ","")&amp;IF(AND(EDATE($D137,Milestones!$AA$175)&lt;=AsOfDate,EDATE($D137,Milestones!$AA$175)&gt;=SchemeStart,IF($X137=0,$AD137,IF(AND($Z137&lt;&gt;"",EDATE($D137,Milestones!$AA$175)&gt;=$Z137),$AC137,IF(AND($Y137&lt;&gt;"",EDATE($D137,Milestones!$AA$175)&gt;=$Y137),$AB137,$AA137)))=Milestones!$AB$175),UPPER(TEXT(EDATE($D137,Milestones!$AA$175),"dd mmm yy"))&amp;" "&amp;Milestones!$AB$175&amp;" "&amp;IF(AND(Milestones!$AB$175="FT",Milestones!$AA$175=FT_Y5,EDATE($D137,Milestones!$AA$175)&lt;PolicyEff),1,Milestones!$AC$175)&amp;";  ",""))</f>
        <v/>
      </c>
      <c r="V137" s="0" t="str">
        <f aca="false">IF(OR($A137="",$D137=""),"",IF(AND(EDATE($D137,Milestones!$AA$176)&lt;=AsOfDate,EDATE($D137,Milestones!$AA$176)&gt;=SchemeStart,IF($X137=0,$AD137,IF(AND($Z137&lt;&gt;"",EDATE($D137,Milestones!$AA$176)&gt;=$Z137),$AC137,IF(AND($Y137&lt;&gt;"",EDATE($D137,Milestones!$AA$176)&gt;=$Y137),$AB137,$AA137)))=Milestones!$AB$176),UPPER(TEXT(EDATE($D137,Milestones!$AA$176),"dd mmm yy"))&amp;" "&amp;Milestones!$AB$176&amp;" "&amp;IF(AND(Milestones!$AB$176="FT",Milestones!$AA$176=FT_Y5,EDATE($D137,Milestones!$AA$176)&lt;PolicyEff),1,Milestones!$AC$176)&amp;";  ","")&amp;IF(AND(EDATE($D137,Milestones!$AA$177)&lt;=AsOfDate,EDATE($D137,Milestones!$AA$177)&gt;=SchemeStart,IF($X137=0,$AD137,IF(AND($Z137&lt;&gt;"",EDATE($D137,Milestones!$AA$177)&gt;=$Z137),$AC137,IF(AND($Y137&lt;&gt;"",EDATE($D137,Milestones!$AA$177)&gt;=$Y137),$AB137,$AA137)))=Milestones!$AB$177),UPPER(TEXT(EDATE($D137,Milestones!$AA$177),"dd mmm yy"))&amp;" "&amp;Milestones!$AB$177&amp;" "&amp;IF(AND(Milestones!$AB$177="FT",Milestones!$AA$177=FT_Y5,EDATE($D137,Milestones!$AA$177)&lt;PolicyEff),1,Milestones!$AC$177)&amp;";  ","")&amp;IF(AND(EDATE($D137,Milestones!$AA$178)&lt;=AsOfDate,EDATE($D137,Milestones!$AA$178)&gt;=SchemeStart,IF($X137=0,$AD137,IF(AND($Z137&lt;&gt;"",EDATE($D137,Milestones!$AA$178)&gt;=$Z137),$AC137,IF(AND($Y137&lt;&gt;"",EDATE($D137,Milestones!$AA$178)&gt;=$Y137),$AB137,$AA137)))=Milestones!$AB$178),UPPER(TEXT(EDATE($D137,Milestones!$AA$178),"dd mmm yy"))&amp;" "&amp;Milestones!$AB$178&amp;" "&amp;IF(AND(Milestones!$AB$178="FT",Milestones!$AA$178=FT_Y5,EDATE($D137,Milestones!$AA$178)&lt;PolicyEff),1,Milestones!$AC$178)&amp;";  ","")&amp;IF(AND(EDATE($D137,Milestones!$AA$179)&lt;=AsOfDate,EDATE($D137,Milestones!$AA$179)&gt;=SchemeStart,IF($X137=0,$AD137,IF(AND($Z137&lt;&gt;"",EDATE($D137,Milestones!$AA$179)&gt;=$Z137),$AC137,IF(AND($Y137&lt;&gt;"",EDATE($D137,Milestones!$AA$179)&gt;=$Y137),$AB137,$AA137)))=Milestones!$AB$179),UPPER(TEXT(EDATE($D137,Milestones!$AA$179),"dd mmm yy"))&amp;" "&amp;Milestones!$AB$179&amp;" "&amp;IF(AND(Milestones!$AB$179="FT",Milestones!$AA$179=FT_Y5,EDATE($D137,Milestones!$AA$179)&lt;PolicyEff),1,Milestones!$AC$179)&amp;";  ","")&amp;IF(AND(EDATE($D137,Milestones!$AA$180)&lt;=AsOfDate,EDATE($D137,Milestones!$AA$180)&gt;=SchemeStart,IF($X137=0,$AD137,IF(AND($Z137&lt;&gt;"",EDATE($D137,Milestones!$AA$180)&gt;=$Z137),$AC137,IF(AND($Y137&lt;&gt;"",EDATE($D137,Milestones!$AA$180)&gt;=$Y137),$AB137,$AA137)))=Milestones!$AB$180),UPPER(TEXT(EDATE($D137,Milestones!$AA$180),"dd mmm yy"))&amp;" "&amp;Milestones!$AB$180&amp;" "&amp;IF(AND(Milestones!$AB$180="FT",Milestones!$AA$180=FT_Y5,EDATE($D137,Milestones!$AA$180)&lt;PolicyEff),1,Milestones!$AC$180)&amp;";  ","")&amp;IF(AND(EDATE($D137,Milestones!$AA$181)&lt;=AsOfDate,EDATE($D137,Milestones!$AA$181)&gt;=SchemeStart,IF($X137=0,$AD137,IF(AND($Z137&lt;&gt;"",EDATE($D137,Milestones!$AA$181)&gt;=$Z137),$AC137,IF(AND($Y137&lt;&gt;"",EDATE($D137,Milestones!$AA$181)&gt;=$Y137),$AB137,$AA137)))=Milestones!$AB$181),UPPER(TEXT(EDATE($D137,Milestones!$AA$181),"dd mmm yy"))&amp;" "&amp;Milestones!$AB$181&amp;" "&amp;IF(AND(Milestones!$AB$181="FT",Milestones!$AA$181=FT_Y5,EDATE($D137,Milestones!$AA$181)&lt;PolicyEff),1,Milestones!$AC$181)&amp;";  ","")&amp;IF(AND(EDATE($D137,Milestones!$AA$182)&lt;=AsOfDate,EDATE($D137,Milestones!$AA$182)&gt;=SchemeStart,IF($X137=0,$AD137,IF(AND($Z137&lt;&gt;"",EDATE($D137,Milestones!$AA$182)&gt;=$Z137),$AC137,IF(AND($Y137&lt;&gt;"",EDATE($D137,Milestones!$AA$182)&gt;=$Y137),$AB137,$AA137)))=Milestones!$AB$182),UPPER(TEXT(EDATE($D137,Milestones!$AA$182),"dd mmm yy"))&amp;" "&amp;Milestones!$AB$182&amp;" "&amp;IF(AND(Milestones!$AB$182="FT",Milestones!$AA$182=FT_Y5,EDATE($D137,Milestones!$AA$182)&lt;PolicyEff),1,Milestones!$AC$182)&amp;";  ","")&amp;IF(AND(EDATE($D137,Milestones!$AA$183)&lt;=AsOfDate,EDATE($D137,Milestones!$AA$183)&gt;=SchemeStart,IF($X137=0,$AD137,IF(AND($Z137&lt;&gt;"",EDATE($D137,Milestones!$AA$183)&gt;=$Z137),$AC137,IF(AND($Y137&lt;&gt;"",EDATE($D137,Milestones!$AA$183)&gt;=$Y137),$AB137,$AA137)))=Milestones!$AB$183),UPPER(TEXT(EDATE($D137,Milestones!$AA$183),"dd mmm yy"))&amp;" "&amp;Milestones!$AB$183&amp;" "&amp;IF(AND(Milestones!$AB$183="FT",Milestones!$AA$183=FT_Y5,EDATE($D137,Milestones!$AA$183)&lt;PolicyEff),1,Milestones!$AC$183)&amp;";  ","")&amp;IF(AND(EDATE($D137,Milestones!$AA$184)&lt;=AsOfDate,EDATE($D137,Milestones!$AA$184)&gt;=SchemeStart,IF($X137=0,$AD137,IF(AND($Z137&lt;&gt;"",EDATE($D137,Milestones!$AA$184)&gt;=$Z137),$AC137,IF(AND($Y137&lt;&gt;"",EDATE($D137,Milestones!$AA$184)&gt;=$Y137),$AB137,$AA137)))=Milestones!$AB$184),UPPER(TEXT(EDATE($D137,Milestones!$AA$184),"dd mmm yy"))&amp;" "&amp;Milestones!$AB$184&amp;" "&amp;IF(AND(Milestones!$AB$184="FT",Milestones!$AA$184=FT_Y5,EDATE($D137,Milestones!$AA$184)&lt;PolicyEff),1,Milestones!$AC$184)&amp;";  ","")&amp;IF(AND(EDATE($D137,Milestones!$AA$185)&lt;=AsOfDate,EDATE($D137,Milestones!$AA$185)&gt;=SchemeStart,IF($X137=0,$AD137,IF(AND($Z137&lt;&gt;"",EDATE($D137,Milestones!$AA$185)&gt;=$Z137),$AC137,IF(AND($Y137&lt;&gt;"",EDATE($D137,Milestones!$AA$185)&gt;=$Y137),$AB137,$AA137)))=Milestones!$AB$185),UPPER(TEXT(EDATE($D137,Milestones!$AA$185),"dd mmm yy"))&amp;" "&amp;Milestones!$AB$185&amp;" "&amp;IF(AND(Milestones!$AB$185="FT",Milestones!$AA$185=FT_Y5,EDATE($D137,Milestones!$AA$185)&lt;PolicyEff),1,Milestones!$AC$185)&amp;";  ","")&amp;IF(AND(EDATE($D137,Milestones!$AA$186)&lt;=AsOfDate,EDATE($D137,Milestones!$AA$186)&gt;=SchemeStart,IF($X137=0,$AD137,IF(AND($Z137&lt;&gt;"",EDATE($D137,Milestones!$AA$186)&gt;=$Z137),$AC137,IF(AND($Y137&lt;&gt;"",EDATE($D137,Milestones!$AA$186)&gt;=$Y137),$AB137,$AA137)))=Milestones!$AB$186),UPPER(TEXT(EDATE($D137,Milestones!$AA$186),"dd mmm yy"))&amp;" "&amp;Milestones!$AB$186&amp;" "&amp;IF(AND(Milestones!$AB$186="FT",Milestones!$AA$186=FT_Y5,EDATE($D137,Milestones!$AA$186)&lt;PolicyEff),1,Milestones!$AC$186)&amp;";  ","")&amp;IF(AND(EDATE($D137,Milestones!$AA$187)&lt;=AsOfDate,EDATE($D137,Milestones!$AA$187)&gt;=SchemeStart,IF($X137=0,$AD137,IF(AND($Z137&lt;&gt;"",EDATE($D137,Milestones!$AA$187)&gt;=$Z137),$AC137,IF(AND($Y137&lt;&gt;"",EDATE($D137,Milestones!$AA$187)&gt;=$Y137),$AB137,$AA137)))=Milestones!$AB$187),UPPER(TEXT(EDATE($D137,Milestones!$AA$187),"dd mmm yy"))&amp;" "&amp;Milestones!$AB$187&amp;" "&amp;IF(AND(Milestones!$AB$187="FT",Milestones!$AA$187=FT_Y5,EDATE($D137,Milestones!$AA$187)&lt;PolicyEff),1,Milestones!$AC$187)&amp;";  ",""))</f>
        <v/>
      </c>
      <c r="W137" s="0" t="str">
        <f aca="false">IF(OR($A137="",$D137=""),"",IF(AND(EDATE($D137,Milestones!$AA$188)&lt;=AsOfDate,EDATE($D137,Milestones!$AA$188)&gt;=SchemeStart,IF($X137=0,$AD137,IF(AND($Z137&lt;&gt;"",EDATE($D137,Milestones!$AA$188)&gt;=$Z137),$AC137,IF(AND($Y137&lt;&gt;"",EDATE($D137,Milestones!$AA$188)&gt;=$Y137),$AB137,$AA137)))=Milestones!$AB$188),UPPER(TEXT(EDATE($D137,Milestones!$AA$188),"dd mmm yy"))&amp;" "&amp;Milestones!$AB$188&amp;" "&amp;IF(AND(Milestones!$AB$188="FT",Milestones!$AA$188=FT_Y5,EDATE($D137,Milestones!$AA$188)&lt;PolicyEff),1,Milestones!$AC$188)&amp;";  ","")&amp;IF(AND(EDATE($D137,Milestones!$AA$189)&lt;=AsOfDate,EDATE($D137,Milestones!$AA$189)&gt;=SchemeStart,IF($X137=0,$AD137,IF(AND($Z137&lt;&gt;"",EDATE($D137,Milestones!$AA$189)&gt;=$Z137),$AC137,IF(AND($Y137&lt;&gt;"",EDATE($D137,Milestones!$AA$189)&gt;=$Y137),$AB137,$AA137)))=Milestones!$AB$189),UPPER(TEXT(EDATE($D137,Milestones!$AA$189),"dd mmm yy"))&amp;" "&amp;Milestones!$AB$189&amp;" "&amp;IF(AND(Milestones!$AB$189="FT",Milestones!$AA$189=FT_Y5,EDATE($D137,Milestones!$AA$189)&lt;PolicyEff),1,Milestones!$AC$189)&amp;";  ","")&amp;IF(AND(EDATE($D137,Milestones!$AA$190)&lt;=AsOfDate,EDATE($D137,Milestones!$AA$190)&gt;=SchemeStart,IF($X137=0,$AD137,IF(AND($Z137&lt;&gt;"",EDATE($D137,Milestones!$AA$190)&gt;=$Z137),$AC137,IF(AND($Y137&lt;&gt;"",EDATE($D137,Milestones!$AA$190)&gt;=$Y137),$AB137,$AA137)))=Milestones!$AB$190),UPPER(TEXT(EDATE($D137,Milestones!$AA$190),"dd mmm yy"))&amp;" "&amp;Milestones!$AB$190&amp;" "&amp;IF(AND(Milestones!$AB$190="FT",Milestones!$AA$190=FT_Y5,EDATE($D137,Milestones!$AA$190)&lt;PolicyEff),1,Milestones!$AC$190)&amp;";  ","")&amp;IF(AND(EDATE($D137,Milestones!$AA$191)&lt;=AsOfDate,EDATE($D137,Milestones!$AA$191)&gt;=SchemeStart,IF($X137=0,$AD137,IF(AND($Z137&lt;&gt;"",EDATE($D137,Milestones!$AA$191)&gt;=$Z137),$AC137,IF(AND($Y137&lt;&gt;"",EDATE($D137,Milestones!$AA$191)&gt;=$Y137),$AB137,$AA137)))=Milestones!$AB$191),UPPER(TEXT(EDATE($D137,Milestones!$AA$191),"dd mmm yy"))&amp;" "&amp;Milestones!$AB$191&amp;" "&amp;IF(AND(Milestones!$AB$191="FT",Milestones!$AA$191=FT_Y5,EDATE($D137,Milestones!$AA$191)&lt;PolicyEff),1,Milestones!$AC$191)&amp;";  ","")&amp;IF(AND(EDATE($D137,Milestones!$AA$192)&lt;=AsOfDate,EDATE($D137,Milestones!$AA$192)&gt;=SchemeStart,IF($X137=0,$AD137,IF(AND($Z137&lt;&gt;"",EDATE($D137,Milestones!$AA$192)&gt;=$Z137),$AC137,IF(AND($Y137&lt;&gt;"",EDATE($D137,Milestones!$AA$192)&gt;=$Y137),$AB137,$AA137)))=Milestones!$AB$192),UPPER(TEXT(EDATE($D137,Milestones!$AA$192),"dd mmm yy"))&amp;" "&amp;Milestones!$AB$192&amp;" "&amp;IF(AND(Milestones!$AB$192="FT",Milestones!$AA$192=FT_Y5,EDATE($D137,Milestones!$AA$192)&lt;PolicyEff),1,Milestones!$AC$192)&amp;";  ","")&amp;IF(AND(EDATE($D137,Milestones!$AA$193)&lt;=AsOfDate,EDATE($D137,Milestones!$AA$193)&gt;=SchemeStart,IF($X137=0,$AD137,IF(AND($Z137&lt;&gt;"",EDATE($D137,Milestones!$AA$193)&gt;=$Z137),$AC137,IF(AND($Y137&lt;&gt;"",EDATE($D137,Milestones!$AA$193)&gt;=$Y137),$AB137,$AA137)))=Milestones!$AB$193),UPPER(TEXT(EDATE($D137,Milestones!$AA$193),"dd mmm yy"))&amp;" "&amp;Milestones!$AB$193&amp;" "&amp;IF(AND(Milestones!$AB$193="FT",Milestones!$AA$193=FT_Y5,EDATE($D137,Milestones!$AA$193)&lt;PolicyEff),1,Milestones!$AC$193)&amp;";  ","")&amp;IF(AND(EDATE($D137,Milestones!$AA$194)&lt;=AsOfDate,EDATE($D137,Milestones!$AA$194)&gt;=SchemeStart,IF($X137=0,$AD137,IF(AND($Z137&lt;&gt;"",EDATE($D137,Milestones!$AA$194)&gt;=$Z137),$AC137,IF(AND($Y137&lt;&gt;"",EDATE($D137,Milestones!$AA$194)&gt;=$Y137),$AB137,$AA137)))=Milestones!$AB$194),UPPER(TEXT(EDATE($D137,Milestones!$AA$194),"dd mmm yy"))&amp;" "&amp;Milestones!$AB$194&amp;" "&amp;IF(AND(Milestones!$AB$194="FT",Milestones!$AA$194=FT_Y5,EDATE($D137,Milestones!$AA$194)&lt;PolicyEff),1,Milestones!$AC$194)&amp;";  ","")&amp;IF(AND(EDATE($D137,Milestones!$AA$195)&lt;=AsOfDate,EDATE($D137,Milestones!$AA$195)&gt;=SchemeStart,IF($X137=0,$AD137,IF(AND($Z137&lt;&gt;"",EDATE($D137,Milestones!$AA$195)&gt;=$Z137),$AC137,IF(AND($Y137&lt;&gt;"",EDATE($D137,Milestones!$AA$195)&gt;=$Y137),$AB137,$AA137)))=Milestones!$AB$195),UPPER(TEXT(EDATE($D137,Milestones!$AA$195),"dd mmm yy"))&amp;" "&amp;Milestones!$AB$195&amp;" "&amp;IF(AND(Milestones!$AB$195="FT",Milestones!$AA$195=FT_Y5,EDATE($D137,Milestones!$AA$195)&lt;PolicyEff),1,Milestones!$AC$195)&amp;";  ","")&amp;IF(AND(EDATE($D137,Milestones!$AA$196)&lt;=AsOfDate,EDATE($D137,Milestones!$AA$196)&gt;=SchemeStart,IF($X137=0,$AD137,IF(AND($Z137&lt;&gt;"",EDATE($D137,Milestones!$AA$196)&gt;=$Z137),$AC137,IF(AND($Y137&lt;&gt;"",EDATE($D137,Milestones!$AA$196)&gt;=$Y137),$AB137,$AA137)))=Milestones!$AB$196),UPPER(TEXT(EDATE($D137,Milestones!$AA$196),"dd mmm yy"))&amp;" "&amp;Milestones!$AB$196&amp;" "&amp;IF(AND(Milestones!$AB$196="FT",Milestones!$AA$196=FT_Y5,EDATE($D137,Milestones!$AA$196)&lt;PolicyEff),1,Milestones!$AC$196)&amp;";  ","")&amp;IF(AND(EDATE($D137,Milestones!$AA$197)&lt;=AsOfDate,EDATE($D137,Milestones!$AA$197)&gt;=SchemeStart,IF($X137=0,$AD137,IF(AND($Z137&lt;&gt;"",EDATE($D137,Milestones!$AA$197)&gt;=$Z137),$AC137,IF(AND($Y137&lt;&gt;"",EDATE($D137,Milestones!$AA$197)&gt;=$Y137),$AB137,$AA137)))=Milestones!$AB$197),UPPER(TEXT(EDATE($D137,Milestones!$AA$197),"dd mmm yy"))&amp;" "&amp;Milestones!$AB$197&amp;" "&amp;IF(AND(Milestones!$AB$197="FT",Milestones!$AA$197=FT_Y5,EDATE($D137,Milestones!$AA$197)&lt;PolicyEff),1,Milestones!$AC$197)&amp;";  ","")&amp;IF(AND(EDATE($D137,Milestones!$AA$198)&lt;=AsOfDate,EDATE($D137,Milestones!$AA$198)&gt;=SchemeStart,IF($X137=0,$AD137,IF(AND($Z137&lt;&gt;"",EDATE($D137,Milestones!$AA$198)&gt;=$Z137),$AC137,IF(AND($Y137&lt;&gt;"",EDATE($D137,Milestones!$AA$198)&gt;=$Y137),$AB137,$AA137)))=Milestones!$AB$198),UPPER(TEXT(EDATE($D137,Milestones!$AA$198),"dd mmm yy"))&amp;" "&amp;Milestones!$AB$198&amp;" "&amp;IF(AND(Milestones!$AB$198="FT",Milestones!$AA$198=FT_Y5,EDATE($D137,Milestones!$AA$198)&lt;PolicyEff),1,Milestones!$AC$198)&amp;";  ","")&amp;IF(AND(EDATE($D137,Milestones!$AA$199)&lt;=AsOfDate,EDATE($D137,Milestones!$AA$199)&gt;=SchemeStart,IF($X137=0,$AD137,IF(AND($Z137&lt;&gt;"",EDATE($D137,Milestones!$AA$199)&gt;=$Z137),$AC137,IF(AND($Y137&lt;&gt;"",EDATE($D137,Milestones!$AA$199)&gt;=$Y137),$AB137,$AA137)))=Milestones!$AB$199),UPPER(TEXT(EDATE($D137,Milestones!$AA$199),"dd mmm yy"))&amp;" "&amp;Milestones!$AB$199&amp;" "&amp;IF(AND(Milestones!$AB$199="FT",Milestones!$AA$199=FT_Y5,EDATE($D137,Milestones!$AA$199)&lt;PolicyEff),1,Milestones!$AC$199)&amp;";  ",""))</f>
        <v/>
      </c>
      <c r="X137" s="0" t="str">
        <f aca="false">IF(Staff!$A137="","",Staff!$AM137)</f>
        <v/>
      </c>
      <c r="Y137" s="0" t="str">
        <f aca="false">IF(Staff!$A137="","",Staff!$AO137)</f>
        <v/>
      </c>
      <c r="Z137" s="0" t="str">
        <f aca="false">IF(Staff!$A137="","",Staff!$AP137)</f>
        <v/>
      </c>
      <c r="AA137" s="0" t="str">
        <f aca="false">IF(Staff!$A137="","",Staff!$AT137)</f>
        <v/>
      </c>
      <c r="AB137" s="0" t="str">
        <f aca="false">IF(Staff!$A137="","",Staff!$AU137)</f>
        <v/>
      </c>
      <c r="AC137" s="0" t="str">
        <f aca="false">IF(Staff!$A137="","",Staff!$AV137)</f>
        <v/>
      </c>
      <c r="AD137" s="0" t="str">
        <f aca="false">IF(Staff!$A137="","",Staff!$AW137)</f>
        <v/>
      </c>
    </row>
    <row r="138" customFormat="false" ht="15" hidden="false" customHeight="false" outlineLevel="0" collapsed="false">
      <c r="A138" s="16" t="str">
        <f aca="false">IF(Staff!$A138="","",Staff!$A138)</f>
        <v/>
      </c>
      <c r="B138" s="16" t="str">
        <f aca="false">IF(Staff!$A138="","",Staff!$B138)</f>
        <v/>
      </c>
      <c r="C138" s="16" t="str">
        <f aca="false">IF(Staff!$A138="","",Staff!$C138)</f>
        <v/>
      </c>
      <c r="D138" s="14" t="str">
        <f aca="false">IF(Staff!$A138="","",Staff!$AL138)</f>
        <v/>
      </c>
      <c r="E138" s="16" t="str">
        <f aca="false">IF(Staff!$A138="","",Staff!$O138)</f>
        <v/>
      </c>
      <c r="F138" s="16" t="str">
        <f aca="false">IF(E138="","",E138*HoursPerDay)</f>
        <v/>
      </c>
      <c r="G138" s="16" t="str">
        <f aca="false">IF(Staff!$A138="","",Staff!$AE138)</f>
        <v/>
      </c>
      <c r="H138" s="28" t="str">
        <f aca="false">IF($A138="","",I138&amp;J138&amp;K138&amp;L138&amp;M138&amp;N138&amp;O138&amp;P138&amp;Q138&amp;R138&amp;S138&amp;T138&amp;U138&amp;V138&amp;W138)</f>
        <v/>
      </c>
      <c r="I138" s="0" t="str">
        <f aca="false">IF(OR($A138="",$D138=""),"",IF(AND(EDATE($D138,Milestones!$AA$20)&lt;=AsOfDate,EDATE($D138,Milestones!$AA$20)&gt;=SchemeStart,IF($X138=0,$AD138,IF(AND($Z138&lt;&gt;"",EDATE($D138,Milestones!$AA$20)&gt;=$Z138),$AC138,IF(AND($Y138&lt;&gt;"",EDATE($D138,Milestones!$AA$20)&gt;=$Y138),$AB138,$AA138)))=Milestones!$AB$20),UPPER(TEXT(EDATE($D138,Milestones!$AA$20),"dd mmm yy"))&amp;" "&amp;Milestones!$AB$20&amp;" "&amp;IF(AND(Milestones!$AB$20="FT",Milestones!$AA$20=FT_Y5,EDATE($D138,Milestones!$AA$20)&lt;PolicyEff),1,Milestones!$AC$20)&amp;";  ","")&amp;IF(AND(EDATE($D138,Milestones!$AA$21)&lt;=AsOfDate,EDATE($D138,Milestones!$AA$21)&gt;=SchemeStart,IF($X138=0,$AD138,IF(AND($Z138&lt;&gt;"",EDATE($D138,Milestones!$AA$21)&gt;=$Z138),$AC138,IF(AND($Y138&lt;&gt;"",EDATE($D138,Milestones!$AA$21)&gt;=$Y138),$AB138,$AA138)))=Milestones!$AB$21),UPPER(TEXT(EDATE($D138,Milestones!$AA$21),"dd mmm yy"))&amp;" "&amp;Milestones!$AB$21&amp;" "&amp;IF(AND(Milestones!$AB$21="FT",Milestones!$AA$21=FT_Y5,EDATE($D138,Milestones!$AA$21)&lt;PolicyEff),1,Milestones!$AC$21)&amp;";  ","")&amp;IF(AND(EDATE($D138,Milestones!$AA$22)&lt;=AsOfDate,EDATE($D138,Milestones!$AA$22)&gt;=SchemeStart,IF($X138=0,$AD138,IF(AND($Z138&lt;&gt;"",EDATE($D138,Milestones!$AA$22)&gt;=$Z138),$AC138,IF(AND($Y138&lt;&gt;"",EDATE($D138,Milestones!$AA$22)&gt;=$Y138),$AB138,$AA138)))=Milestones!$AB$22),UPPER(TEXT(EDATE($D138,Milestones!$AA$22),"dd mmm yy"))&amp;" "&amp;Milestones!$AB$22&amp;" "&amp;IF(AND(Milestones!$AB$22="FT",Milestones!$AA$22=FT_Y5,EDATE($D138,Milestones!$AA$22)&lt;PolicyEff),1,Milestones!$AC$22)&amp;";  ","")&amp;IF(AND(EDATE($D138,Milestones!$AA$23)&lt;=AsOfDate,EDATE($D138,Milestones!$AA$23)&gt;=SchemeStart,IF($X138=0,$AD138,IF(AND($Z138&lt;&gt;"",EDATE($D138,Milestones!$AA$23)&gt;=$Z138),$AC138,IF(AND($Y138&lt;&gt;"",EDATE($D138,Milestones!$AA$23)&gt;=$Y138),$AB138,$AA138)))=Milestones!$AB$23),UPPER(TEXT(EDATE($D138,Milestones!$AA$23),"dd mmm yy"))&amp;" "&amp;Milestones!$AB$23&amp;" "&amp;IF(AND(Milestones!$AB$23="FT",Milestones!$AA$23=FT_Y5,EDATE($D138,Milestones!$AA$23)&lt;PolicyEff),1,Milestones!$AC$23)&amp;";  ","")&amp;IF(AND(EDATE($D138,Milestones!$AA$24)&lt;=AsOfDate,EDATE($D138,Milestones!$AA$24)&gt;=SchemeStart,IF($X138=0,$AD138,IF(AND($Z138&lt;&gt;"",EDATE($D138,Milestones!$AA$24)&gt;=$Z138),$AC138,IF(AND($Y138&lt;&gt;"",EDATE($D138,Milestones!$AA$24)&gt;=$Y138),$AB138,$AA138)))=Milestones!$AB$24),UPPER(TEXT(EDATE($D138,Milestones!$AA$24),"dd mmm yy"))&amp;" "&amp;Milestones!$AB$24&amp;" "&amp;IF(AND(Milestones!$AB$24="FT",Milestones!$AA$24=FT_Y5,EDATE($D138,Milestones!$AA$24)&lt;PolicyEff),1,Milestones!$AC$24)&amp;";  ","")&amp;IF(AND(EDATE($D138,Milestones!$AA$25)&lt;=AsOfDate,EDATE($D138,Milestones!$AA$25)&gt;=SchemeStart,IF($X138=0,$AD138,IF(AND($Z138&lt;&gt;"",EDATE($D138,Milestones!$AA$25)&gt;=$Z138),$AC138,IF(AND($Y138&lt;&gt;"",EDATE($D138,Milestones!$AA$25)&gt;=$Y138),$AB138,$AA138)))=Milestones!$AB$25),UPPER(TEXT(EDATE($D138,Milestones!$AA$25),"dd mmm yy"))&amp;" "&amp;Milestones!$AB$25&amp;" "&amp;IF(AND(Milestones!$AB$25="FT",Milestones!$AA$25=FT_Y5,EDATE($D138,Milestones!$AA$25)&lt;PolicyEff),1,Milestones!$AC$25)&amp;";  ","")&amp;IF(AND(EDATE($D138,Milestones!$AA$26)&lt;=AsOfDate,EDATE($D138,Milestones!$AA$26)&gt;=SchemeStart,IF($X138=0,$AD138,IF(AND($Z138&lt;&gt;"",EDATE($D138,Milestones!$AA$26)&gt;=$Z138),$AC138,IF(AND($Y138&lt;&gt;"",EDATE($D138,Milestones!$AA$26)&gt;=$Y138),$AB138,$AA138)))=Milestones!$AB$26),UPPER(TEXT(EDATE($D138,Milestones!$AA$26),"dd mmm yy"))&amp;" "&amp;Milestones!$AB$26&amp;" "&amp;IF(AND(Milestones!$AB$26="FT",Milestones!$AA$26=FT_Y5,EDATE($D138,Milestones!$AA$26)&lt;PolicyEff),1,Milestones!$AC$26)&amp;";  ","")&amp;IF(AND(EDATE($D138,Milestones!$AA$27)&lt;=AsOfDate,EDATE($D138,Milestones!$AA$27)&gt;=SchemeStart,IF($X138=0,$AD138,IF(AND($Z138&lt;&gt;"",EDATE($D138,Milestones!$AA$27)&gt;=$Z138),$AC138,IF(AND($Y138&lt;&gt;"",EDATE($D138,Milestones!$AA$27)&gt;=$Y138),$AB138,$AA138)))=Milestones!$AB$27),UPPER(TEXT(EDATE($D138,Milestones!$AA$27),"dd mmm yy"))&amp;" "&amp;Milestones!$AB$27&amp;" "&amp;IF(AND(Milestones!$AB$27="FT",Milestones!$AA$27=FT_Y5,EDATE($D138,Milestones!$AA$27)&lt;PolicyEff),1,Milestones!$AC$27)&amp;";  ","")&amp;IF(AND(EDATE($D138,Milestones!$AA$28)&lt;=AsOfDate,EDATE($D138,Milestones!$AA$28)&gt;=SchemeStart,IF($X138=0,$AD138,IF(AND($Z138&lt;&gt;"",EDATE($D138,Milestones!$AA$28)&gt;=$Z138),$AC138,IF(AND($Y138&lt;&gt;"",EDATE($D138,Milestones!$AA$28)&gt;=$Y138),$AB138,$AA138)))=Milestones!$AB$28),UPPER(TEXT(EDATE($D138,Milestones!$AA$28),"dd mmm yy"))&amp;" "&amp;Milestones!$AB$28&amp;" "&amp;IF(AND(Milestones!$AB$28="FT",Milestones!$AA$28=FT_Y5,EDATE($D138,Milestones!$AA$28)&lt;PolicyEff),1,Milestones!$AC$28)&amp;";  ","")&amp;IF(AND(EDATE($D138,Milestones!$AA$29)&lt;=AsOfDate,EDATE($D138,Milestones!$AA$29)&gt;=SchemeStart,IF($X138=0,$AD138,IF(AND($Z138&lt;&gt;"",EDATE($D138,Milestones!$AA$29)&gt;=$Z138),$AC138,IF(AND($Y138&lt;&gt;"",EDATE($D138,Milestones!$AA$29)&gt;=$Y138),$AB138,$AA138)))=Milestones!$AB$29),UPPER(TEXT(EDATE($D138,Milestones!$AA$29),"dd mmm yy"))&amp;" "&amp;Milestones!$AB$29&amp;" "&amp;IF(AND(Milestones!$AB$29="FT",Milestones!$AA$29=FT_Y5,EDATE($D138,Milestones!$AA$29)&lt;PolicyEff),1,Milestones!$AC$29)&amp;";  ","")&amp;IF(AND(EDATE($D138,Milestones!$AA$30)&lt;=AsOfDate,EDATE($D138,Milestones!$AA$30)&gt;=SchemeStart,IF($X138=0,$AD138,IF(AND($Z138&lt;&gt;"",EDATE($D138,Milestones!$AA$30)&gt;=$Z138),$AC138,IF(AND($Y138&lt;&gt;"",EDATE($D138,Milestones!$AA$30)&gt;=$Y138),$AB138,$AA138)))=Milestones!$AB$30),UPPER(TEXT(EDATE($D138,Milestones!$AA$30),"dd mmm yy"))&amp;" "&amp;Milestones!$AB$30&amp;" "&amp;IF(AND(Milestones!$AB$30="FT",Milestones!$AA$30=FT_Y5,EDATE($D138,Milestones!$AA$30)&lt;PolicyEff),1,Milestones!$AC$30)&amp;";  ","")&amp;IF(AND(EDATE($D138,Milestones!$AA$31)&lt;=AsOfDate,EDATE($D138,Milestones!$AA$31)&gt;=SchemeStart,IF($X138=0,$AD138,IF(AND($Z138&lt;&gt;"",EDATE($D138,Milestones!$AA$31)&gt;=$Z138),$AC138,IF(AND($Y138&lt;&gt;"",EDATE($D138,Milestones!$AA$31)&gt;=$Y138),$AB138,$AA138)))=Milestones!$AB$31),UPPER(TEXT(EDATE($D138,Milestones!$AA$31),"dd mmm yy"))&amp;" "&amp;Milestones!$AB$31&amp;" "&amp;IF(AND(Milestones!$AB$31="FT",Milestones!$AA$31=FT_Y5,EDATE($D138,Milestones!$AA$31)&lt;PolicyEff),1,Milestones!$AC$31)&amp;";  ",""))</f>
        <v/>
      </c>
      <c r="J138" s="0" t="str">
        <f aca="false">IF(OR($A138="",$D138=""),"",IF(AND(EDATE($D138,Milestones!$AA$32)&lt;=AsOfDate,EDATE($D138,Milestones!$AA$32)&gt;=SchemeStart,IF($X138=0,$AD138,IF(AND($Z138&lt;&gt;"",EDATE($D138,Milestones!$AA$32)&gt;=$Z138),$AC138,IF(AND($Y138&lt;&gt;"",EDATE($D138,Milestones!$AA$32)&gt;=$Y138),$AB138,$AA138)))=Milestones!$AB$32),UPPER(TEXT(EDATE($D138,Milestones!$AA$32),"dd mmm yy"))&amp;" "&amp;Milestones!$AB$32&amp;" "&amp;IF(AND(Milestones!$AB$32="FT",Milestones!$AA$32=FT_Y5,EDATE($D138,Milestones!$AA$32)&lt;PolicyEff),1,Milestones!$AC$32)&amp;";  ","")&amp;IF(AND(EDATE($D138,Milestones!$AA$33)&lt;=AsOfDate,EDATE($D138,Milestones!$AA$33)&gt;=SchemeStart,IF($X138=0,$AD138,IF(AND($Z138&lt;&gt;"",EDATE($D138,Milestones!$AA$33)&gt;=$Z138),$AC138,IF(AND($Y138&lt;&gt;"",EDATE($D138,Milestones!$AA$33)&gt;=$Y138),$AB138,$AA138)))=Milestones!$AB$33),UPPER(TEXT(EDATE($D138,Milestones!$AA$33),"dd mmm yy"))&amp;" "&amp;Milestones!$AB$33&amp;" "&amp;IF(AND(Milestones!$AB$33="FT",Milestones!$AA$33=FT_Y5,EDATE($D138,Milestones!$AA$33)&lt;PolicyEff),1,Milestones!$AC$33)&amp;";  ","")&amp;IF(AND(EDATE($D138,Milestones!$AA$34)&lt;=AsOfDate,EDATE($D138,Milestones!$AA$34)&gt;=SchemeStart,IF($X138=0,$AD138,IF(AND($Z138&lt;&gt;"",EDATE($D138,Milestones!$AA$34)&gt;=$Z138),$AC138,IF(AND($Y138&lt;&gt;"",EDATE($D138,Milestones!$AA$34)&gt;=$Y138),$AB138,$AA138)))=Milestones!$AB$34),UPPER(TEXT(EDATE($D138,Milestones!$AA$34),"dd mmm yy"))&amp;" "&amp;Milestones!$AB$34&amp;" "&amp;IF(AND(Milestones!$AB$34="FT",Milestones!$AA$34=FT_Y5,EDATE($D138,Milestones!$AA$34)&lt;PolicyEff),1,Milestones!$AC$34)&amp;";  ","")&amp;IF(AND(EDATE($D138,Milestones!$AA$35)&lt;=AsOfDate,EDATE($D138,Milestones!$AA$35)&gt;=SchemeStart,IF($X138=0,$AD138,IF(AND($Z138&lt;&gt;"",EDATE($D138,Milestones!$AA$35)&gt;=$Z138),$AC138,IF(AND($Y138&lt;&gt;"",EDATE($D138,Milestones!$AA$35)&gt;=$Y138),$AB138,$AA138)))=Milestones!$AB$35),UPPER(TEXT(EDATE($D138,Milestones!$AA$35),"dd mmm yy"))&amp;" "&amp;Milestones!$AB$35&amp;" "&amp;IF(AND(Milestones!$AB$35="FT",Milestones!$AA$35=FT_Y5,EDATE($D138,Milestones!$AA$35)&lt;PolicyEff),1,Milestones!$AC$35)&amp;";  ","")&amp;IF(AND(EDATE($D138,Milestones!$AA$36)&lt;=AsOfDate,EDATE($D138,Milestones!$AA$36)&gt;=SchemeStart,IF($X138=0,$AD138,IF(AND($Z138&lt;&gt;"",EDATE($D138,Milestones!$AA$36)&gt;=$Z138),$AC138,IF(AND($Y138&lt;&gt;"",EDATE($D138,Milestones!$AA$36)&gt;=$Y138),$AB138,$AA138)))=Milestones!$AB$36),UPPER(TEXT(EDATE($D138,Milestones!$AA$36),"dd mmm yy"))&amp;" "&amp;Milestones!$AB$36&amp;" "&amp;IF(AND(Milestones!$AB$36="FT",Milestones!$AA$36=FT_Y5,EDATE($D138,Milestones!$AA$36)&lt;PolicyEff),1,Milestones!$AC$36)&amp;";  ","")&amp;IF(AND(EDATE($D138,Milestones!$AA$37)&lt;=AsOfDate,EDATE($D138,Milestones!$AA$37)&gt;=SchemeStart,IF($X138=0,$AD138,IF(AND($Z138&lt;&gt;"",EDATE($D138,Milestones!$AA$37)&gt;=$Z138),$AC138,IF(AND($Y138&lt;&gt;"",EDATE($D138,Milestones!$AA$37)&gt;=$Y138),$AB138,$AA138)))=Milestones!$AB$37),UPPER(TEXT(EDATE($D138,Milestones!$AA$37),"dd mmm yy"))&amp;" "&amp;Milestones!$AB$37&amp;" "&amp;IF(AND(Milestones!$AB$37="FT",Milestones!$AA$37=FT_Y5,EDATE($D138,Milestones!$AA$37)&lt;PolicyEff),1,Milestones!$AC$37)&amp;";  ","")&amp;IF(AND(EDATE($D138,Milestones!$AA$38)&lt;=AsOfDate,EDATE($D138,Milestones!$AA$38)&gt;=SchemeStart,IF($X138=0,$AD138,IF(AND($Z138&lt;&gt;"",EDATE($D138,Milestones!$AA$38)&gt;=$Z138),$AC138,IF(AND($Y138&lt;&gt;"",EDATE($D138,Milestones!$AA$38)&gt;=$Y138),$AB138,$AA138)))=Milestones!$AB$38),UPPER(TEXT(EDATE($D138,Milestones!$AA$38),"dd mmm yy"))&amp;" "&amp;Milestones!$AB$38&amp;" "&amp;IF(AND(Milestones!$AB$38="FT",Milestones!$AA$38=FT_Y5,EDATE($D138,Milestones!$AA$38)&lt;PolicyEff),1,Milestones!$AC$38)&amp;";  ","")&amp;IF(AND(EDATE($D138,Milestones!$AA$39)&lt;=AsOfDate,EDATE($D138,Milestones!$AA$39)&gt;=SchemeStart,IF($X138=0,$AD138,IF(AND($Z138&lt;&gt;"",EDATE($D138,Milestones!$AA$39)&gt;=$Z138),$AC138,IF(AND($Y138&lt;&gt;"",EDATE($D138,Milestones!$AA$39)&gt;=$Y138),$AB138,$AA138)))=Milestones!$AB$39),UPPER(TEXT(EDATE($D138,Milestones!$AA$39),"dd mmm yy"))&amp;" "&amp;Milestones!$AB$39&amp;" "&amp;IF(AND(Milestones!$AB$39="FT",Milestones!$AA$39=FT_Y5,EDATE($D138,Milestones!$AA$39)&lt;PolicyEff),1,Milestones!$AC$39)&amp;";  ","")&amp;IF(AND(EDATE($D138,Milestones!$AA$40)&lt;=AsOfDate,EDATE($D138,Milestones!$AA$40)&gt;=SchemeStart,IF($X138=0,$AD138,IF(AND($Z138&lt;&gt;"",EDATE($D138,Milestones!$AA$40)&gt;=$Z138),$AC138,IF(AND($Y138&lt;&gt;"",EDATE($D138,Milestones!$AA$40)&gt;=$Y138),$AB138,$AA138)))=Milestones!$AB$40),UPPER(TEXT(EDATE($D138,Milestones!$AA$40),"dd mmm yy"))&amp;" "&amp;Milestones!$AB$40&amp;" "&amp;IF(AND(Milestones!$AB$40="FT",Milestones!$AA$40=FT_Y5,EDATE($D138,Milestones!$AA$40)&lt;PolicyEff),1,Milestones!$AC$40)&amp;";  ","")&amp;IF(AND(EDATE($D138,Milestones!$AA$41)&lt;=AsOfDate,EDATE($D138,Milestones!$AA$41)&gt;=SchemeStart,IF($X138=0,$AD138,IF(AND($Z138&lt;&gt;"",EDATE($D138,Milestones!$AA$41)&gt;=$Z138),$AC138,IF(AND($Y138&lt;&gt;"",EDATE($D138,Milestones!$AA$41)&gt;=$Y138),$AB138,$AA138)))=Milestones!$AB$41),UPPER(TEXT(EDATE($D138,Milestones!$AA$41),"dd mmm yy"))&amp;" "&amp;Milestones!$AB$41&amp;" "&amp;IF(AND(Milestones!$AB$41="FT",Milestones!$AA$41=FT_Y5,EDATE($D138,Milestones!$AA$41)&lt;PolicyEff),1,Milestones!$AC$41)&amp;";  ","")&amp;IF(AND(EDATE($D138,Milestones!$AA$42)&lt;=AsOfDate,EDATE($D138,Milestones!$AA$42)&gt;=SchemeStart,IF($X138=0,$AD138,IF(AND($Z138&lt;&gt;"",EDATE($D138,Milestones!$AA$42)&gt;=$Z138),$AC138,IF(AND($Y138&lt;&gt;"",EDATE($D138,Milestones!$AA$42)&gt;=$Y138),$AB138,$AA138)))=Milestones!$AB$42),UPPER(TEXT(EDATE($D138,Milestones!$AA$42),"dd mmm yy"))&amp;" "&amp;Milestones!$AB$42&amp;" "&amp;IF(AND(Milestones!$AB$42="FT",Milestones!$AA$42=FT_Y5,EDATE($D138,Milestones!$AA$42)&lt;PolicyEff),1,Milestones!$AC$42)&amp;";  ","")&amp;IF(AND(EDATE($D138,Milestones!$AA$43)&lt;=AsOfDate,EDATE($D138,Milestones!$AA$43)&gt;=SchemeStart,IF($X138=0,$AD138,IF(AND($Z138&lt;&gt;"",EDATE($D138,Milestones!$AA$43)&gt;=$Z138),$AC138,IF(AND($Y138&lt;&gt;"",EDATE($D138,Milestones!$AA$43)&gt;=$Y138),$AB138,$AA138)))=Milestones!$AB$43),UPPER(TEXT(EDATE($D138,Milestones!$AA$43),"dd mmm yy"))&amp;" "&amp;Milestones!$AB$43&amp;" "&amp;IF(AND(Milestones!$AB$43="FT",Milestones!$AA$43=FT_Y5,EDATE($D138,Milestones!$AA$43)&lt;PolicyEff),1,Milestones!$AC$43)&amp;";  ",""))</f>
        <v/>
      </c>
      <c r="K138" s="0" t="str">
        <f aca="false">IF(OR($A138="",$D138=""),"",IF(AND(EDATE($D138,Milestones!$AA$44)&lt;=AsOfDate,EDATE($D138,Milestones!$AA$44)&gt;=SchemeStart,IF($X138=0,$AD138,IF(AND($Z138&lt;&gt;"",EDATE($D138,Milestones!$AA$44)&gt;=$Z138),$AC138,IF(AND($Y138&lt;&gt;"",EDATE($D138,Milestones!$AA$44)&gt;=$Y138),$AB138,$AA138)))=Milestones!$AB$44),UPPER(TEXT(EDATE($D138,Milestones!$AA$44),"dd mmm yy"))&amp;" "&amp;Milestones!$AB$44&amp;" "&amp;IF(AND(Milestones!$AB$44="FT",Milestones!$AA$44=FT_Y5,EDATE($D138,Milestones!$AA$44)&lt;PolicyEff),1,Milestones!$AC$44)&amp;";  ","")&amp;IF(AND(EDATE($D138,Milestones!$AA$45)&lt;=AsOfDate,EDATE($D138,Milestones!$AA$45)&gt;=SchemeStart,IF($X138=0,$AD138,IF(AND($Z138&lt;&gt;"",EDATE($D138,Milestones!$AA$45)&gt;=$Z138),$AC138,IF(AND($Y138&lt;&gt;"",EDATE($D138,Milestones!$AA$45)&gt;=$Y138),$AB138,$AA138)))=Milestones!$AB$45),UPPER(TEXT(EDATE($D138,Milestones!$AA$45),"dd mmm yy"))&amp;" "&amp;Milestones!$AB$45&amp;" "&amp;IF(AND(Milestones!$AB$45="FT",Milestones!$AA$45=FT_Y5,EDATE($D138,Milestones!$AA$45)&lt;PolicyEff),1,Milestones!$AC$45)&amp;";  ","")&amp;IF(AND(EDATE($D138,Milestones!$AA$46)&lt;=AsOfDate,EDATE($D138,Milestones!$AA$46)&gt;=SchemeStart,IF($X138=0,$AD138,IF(AND($Z138&lt;&gt;"",EDATE($D138,Milestones!$AA$46)&gt;=$Z138),$AC138,IF(AND($Y138&lt;&gt;"",EDATE($D138,Milestones!$AA$46)&gt;=$Y138),$AB138,$AA138)))=Milestones!$AB$46),UPPER(TEXT(EDATE($D138,Milestones!$AA$46),"dd mmm yy"))&amp;" "&amp;Milestones!$AB$46&amp;" "&amp;IF(AND(Milestones!$AB$46="FT",Milestones!$AA$46=FT_Y5,EDATE($D138,Milestones!$AA$46)&lt;PolicyEff),1,Milestones!$AC$46)&amp;";  ","")&amp;IF(AND(EDATE($D138,Milestones!$AA$47)&lt;=AsOfDate,EDATE($D138,Milestones!$AA$47)&gt;=SchemeStart,IF($X138=0,$AD138,IF(AND($Z138&lt;&gt;"",EDATE($D138,Milestones!$AA$47)&gt;=$Z138),$AC138,IF(AND($Y138&lt;&gt;"",EDATE($D138,Milestones!$AA$47)&gt;=$Y138),$AB138,$AA138)))=Milestones!$AB$47),UPPER(TEXT(EDATE($D138,Milestones!$AA$47),"dd mmm yy"))&amp;" "&amp;Milestones!$AB$47&amp;" "&amp;IF(AND(Milestones!$AB$47="FT",Milestones!$AA$47=FT_Y5,EDATE($D138,Milestones!$AA$47)&lt;PolicyEff),1,Milestones!$AC$47)&amp;";  ","")&amp;IF(AND(EDATE($D138,Milestones!$AA$48)&lt;=AsOfDate,EDATE($D138,Milestones!$AA$48)&gt;=SchemeStart,IF($X138=0,$AD138,IF(AND($Z138&lt;&gt;"",EDATE($D138,Milestones!$AA$48)&gt;=$Z138),$AC138,IF(AND($Y138&lt;&gt;"",EDATE($D138,Milestones!$AA$48)&gt;=$Y138),$AB138,$AA138)))=Milestones!$AB$48),UPPER(TEXT(EDATE($D138,Milestones!$AA$48),"dd mmm yy"))&amp;" "&amp;Milestones!$AB$48&amp;" "&amp;IF(AND(Milestones!$AB$48="FT",Milestones!$AA$48=FT_Y5,EDATE($D138,Milestones!$AA$48)&lt;PolicyEff),1,Milestones!$AC$48)&amp;";  ","")&amp;IF(AND(EDATE($D138,Milestones!$AA$49)&lt;=AsOfDate,EDATE($D138,Milestones!$AA$49)&gt;=SchemeStart,IF($X138=0,$AD138,IF(AND($Z138&lt;&gt;"",EDATE($D138,Milestones!$AA$49)&gt;=$Z138),$AC138,IF(AND($Y138&lt;&gt;"",EDATE($D138,Milestones!$AA$49)&gt;=$Y138),$AB138,$AA138)))=Milestones!$AB$49),UPPER(TEXT(EDATE($D138,Milestones!$AA$49),"dd mmm yy"))&amp;" "&amp;Milestones!$AB$49&amp;" "&amp;IF(AND(Milestones!$AB$49="FT",Milestones!$AA$49=FT_Y5,EDATE($D138,Milestones!$AA$49)&lt;PolicyEff),1,Milestones!$AC$49)&amp;";  ","")&amp;IF(AND(EDATE($D138,Milestones!$AA$50)&lt;=AsOfDate,EDATE($D138,Milestones!$AA$50)&gt;=SchemeStart,IF($X138=0,$AD138,IF(AND($Z138&lt;&gt;"",EDATE($D138,Milestones!$AA$50)&gt;=$Z138),$AC138,IF(AND($Y138&lt;&gt;"",EDATE($D138,Milestones!$AA$50)&gt;=$Y138),$AB138,$AA138)))=Milestones!$AB$50),UPPER(TEXT(EDATE($D138,Milestones!$AA$50),"dd mmm yy"))&amp;" "&amp;Milestones!$AB$50&amp;" "&amp;IF(AND(Milestones!$AB$50="FT",Milestones!$AA$50=FT_Y5,EDATE($D138,Milestones!$AA$50)&lt;PolicyEff),1,Milestones!$AC$50)&amp;";  ","")&amp;IF(AND(EDATE($D138,Milestones!$AA$51)&lt;=AsOfDate,EDATE($D138,Milestones!$AA$51)&gt;=SchemeStart,IF($X138=0,$AD138,IF(AND($Z138&lt;&gt;"",EDATE($D138,Milestones!$AA$51)&gt;=$Z138),$AC138,IF(AND($Y138&lt;&gt;"",EDATE($D138,Milestones!$AA$51)&gt;=$Y138),$AB138,$AA138)))=Milestones!$AB$51),UPPER(TEXT(EDATE($D138,Milestones!$AA$51),"dd mmm yy"))&amp;" "&amp;Milestones!$AB$51&amp;" "&amp;IF(AND(Milestones!$AB$51="FT",Milestones!$AA$51=FT_Y5,EDATE($D138,Milestones!$AA$51)&lt;PolicyEff),1,Milestones!$AC$51)&amp;";  ","")&amp;IF(AND(EDATE($D138,Milestones!$AA$52)&lt;=AsOfDate,EDATE($D138,Milestones!$AA$52)&gt;=SchemeStart,IF($X138=0,$AD138,IF(AND($Z138&lt;&gt;"",EDATE($D138,Milestones!$AA$52)&gt;=$Z138),$AC138,IF(AND($Y138&lt;&gt;"",EDATE($D138,Milestones!$AA$52)&gt;=$Y138),$AB138,$AA138)))=Milestones!$AB$52),UPPER(TEXT(EDATE($D138,Milestones!$AA$52),"dd mmm yy"))&amp;" "&amp;Milestones!$AB$52&amp;" "&amp;IF(AND(Milestones!$AB$52="FT",Milestones!$AA$52=FT_Y5,EDATE($D138,Milestones!$AA$52)&lt;PolicyEff),1,Milestones!$AC$52)&amp;";  ","")&amp;IF(AND(EDATE($D138,Milestones!$AA$53)&lt;=AsOfDate,EDATE($D138,Milestones!$AA$53)&gt;=SchemeStart,IF($X138=0,$AD138,IF(AND($Z138&lt;&gt;"",EDATE($D138,Milestones!$AA$53)&gt;=$Z138),$AC138,IF(AND($Y138&lt;&gt;"",EDATE($D138,Milestones!$AA$53)&gt;=$Y138),$AB138,$AA138)))=Milestones!$AB$53),UPPER(TEXT(EDATE($D138,Milestones!$AA$53),"dd mmm yy"))&amp;" "&amp;Milestones!$AB$53&amp;" "&amp;IF(AND(Milestones!$AB$53="FT",Milestones!$AA$53=FT_Y5,EDATE($D138,Milestones!$AA$53)&lt;PolicyEff),1,Milestones!$AC$53)&amp;";  ","")&amp;IF(AND(EDATE($D138,Milestones!$AA$54)&lt;=AsOfDate,EDATE($D138,Milestones!$AA$54)&gt;=SchemeStart,IF($X138=0,$AD138,IF(AND($Z138&lt;&gt;"",EDATE($D138,Milestones!$AA$54)&gt;=$Z138),$AC138,IF(AND($Y138&lt;&gt;"",EDATE($D138,Milestones!$AA$54)&gt;=$Y138),$AB138,$AA138)))=Milestones!$AB$54),UPPER(TEXT(EDATE($D138,Milestones!$AA$54),"dd mmm yy"))&amp;" "&amp;Milestones!$AB$54&amp;" "&amp;IF(AND(Milestones!$AB$54="FT",Milestones!$AA$54=FT_Y5,EDATE($D138,Milestones!$AA$54)&lt;PolicyEff),1,Milestones!$AC$54)&amp;";  ","")&amp;IF(AND(EDATE($D138,Milestones!$AA$55)&lt;=AsOfDate,EDATE($D138,Milestones!$AA$55)&gt;=SchemeStart,IF($X138=0,$AD138,IF(AND($Z138&lt;&gt;"",EDATE($D138,Milestones!$AA$55)&gt;=$Z138),$AC138,IF(AND($Y138&lt;&gt;"",EDATE($D138,Milestones!$AA$55)&gt;=$Y138),$AB138,$AA138)))=Milestones!$AB$55),UPPER(TEXT(EDATE($D138,Milestones!$AA$55),"dd mmm yy"))&amp;" "&amp;Milestones!$AB$55&amp;" "&amp;IF(AND(Milestones!$AB$55="FT",Milestones!$AA$55=FT_Y5,EDATE($D138,Milestones!$AA$55)&lt;PolicyEff),1,Milestones!$AC$55)&amp;";  ",""))</f>
        <v/>
      </c>
      <c r="L138" s="0" t="str">
        <f aca="false">IF(OR($A138="",$D138=""),"",IF(AND(EDATE($D138,Milestones!$AA$56)&lt;=AsOfDate,EDATE($D138,Milestones!$AA$56)&gt;=SchemeStart,IF($X138=0,$AD138,IF(AND($Z138&lt;&gt;"",EDATE($D138,Milestones!$AA$56)&gt;=$Z138),$AC138,IF(AND($Y138&lt;&gt;"",EDATE($D138,Milestones!$AA$56)&gt;=$Y138),$AB138,$AA138)))=Milestones!$AB$56),UPPER(TEXT(EDATE($D138,Milestones!$AA$56),"dd mmm yy"))&amp;" "&amp;Milestones!$AB$56&amp;" "&amp;IF(AND(Milestones!$AB$56="FT",Milestones!$AA$56=FT_Y5,EDATE($D138,Milestones!$AA$56)&lt;PolicyEff),1,Milestones!$AC$56)&amp;";  ","")&amp;IF(AND(EDATE($D138,Milestones!$AA$57)&lt;=AsOfDate,EDATE($D138,Milestones!$AA$57)&gt;=SchemeStart,IF($X138=0,$AD138,IF(AND($Z138&lt;&gt;"",EDATE($D138,Milestones!$AA$57)&gt;=$Z138),$AC138,IF(AND($Y138&lt;&gt;"",EDATE($D138,Milestones!$AA$57)&gt;=$Y138),$AB138,$AA138)))=Milestones!$AB$57),UPPER(TEXT(EDATE($D138,Milestones!$AA$57),"dd mmm yy"))&amp;" "&amp;Milestones!$AB$57&amp;" "&amp;IF(AND(Milestones!$AB$57="FT",Milestones!$AA$57=FT_Y5,EDATE($D138,Milestones!$AA$57)&lt;PolicyEff),1,Milestones!$AC$57)&amp;";  ","")&amp;IF(AND(EDATE($D138,Milestones!$AA$58)&lt;=AsOfDate,EDATE($D138,Milestones!$AA$58)&gt;=SchemeStart,IF($X138=0,$AD138,IF(AND($Z138&lt;&gt;"",EDATE($D138,Milestones!$AA$58)&gt;=$Z138),$AC138,IF(AND($Y138&lt;&gt;"",EDATE($D138,Milestones!$AA$58)&gt;=$Y138),$AB138,$AA138)))=Milestones!$AB$58),UPPER(TEXT(EDATE($D138,Milestones!$AA$58),"dd mmm yy"))&amp;" "&amp;Milestones!$AB$58&amp;" "&amp;IF(AND(Milestones!$AB$58="FT",Milestones!$AA$58=FT_Y5,EDATE($D138,Milestones!$AA$58)&lt;PolicyEff),1,Milestones!$AC$58)&amp;";  ","")&amp;IF(AND(EDATE($D138,Milestones!$AA$59)&lt;=AsOfDate,EDATE($D138,Milestones!$AA$59)&gt;=SchemeStart,IF($X138=0,$AD138,IF(AND($Z138&lt;&gt;"",EDATE($D138,Milestones!$AA$59)&gt;=$Z138),$AC138,IF(AND($Y138&lt;&gt;"",EDATE($D138,Milestones!$AA$59)&gt;=$Y138),$AB138,$AA138)))=Milestones!$AB$59),UPPER(TEXT(EDATE($D138,Milestones!$AA$59),"dd mmm yy"))&amp;" "&amp;Milestones!$AB$59&amp;" "&amp;IF(AND(Milestones!$AB$59="FT",Milestones!$AA$59=FT_Y5,EDATE($D138,Milestones!$AA$59)&lt;PolicyEff),1,Milestones!$AC$59)&amp;";  ","")&amp;IF(AND(EDATE($D138,Milestones!$AA$60)&lt;=AsOfDate,EDATE($D138,Milestones!$AA$60)&gt;=SchemeStart,IF($X138=0,$AD138,IF(AND($Z138&lt;&gt;"",EDATE($D138,Milestones!$AA$60)&gt;=$Z138),$AC138,IF(AND($Y138&lt;&gt;"",EDATE($D138,Milestones!$AA$60)&gt;=$Y138),$AB138,$AA138)))=Milestones!$AB$60),UPPER(TEXT(EDATE($D138,Milestones!$AA$60),"dd mmm yy"))&amp;" "&amp;Milestones!$AB$60&amp;" "&amp;IF(AND(Milestones!$AB$60="FT",Milestones!$AA$60=FT_Y5,EDATE($D138,Milestones!$AA$60)&lt;PolicyEff),1,Milestones!$AC$60)&amp;";  ","")&amp;IF(AND(EDATE($D138,Milestones!$AA$61)&lt;=AsOfDate,EDATE($D138,Milestones!$AA$61)&gt;=SchemeStart,IF($X138=0,$AD138,IF(AND($Z138&lt;&gt;"",EDATE($D138,Milestones!$AA$61)&gt;=$Z138),$AC138,IF(AND($Y138&lt;&gt;"",EDATE($D138,Milestones!$AA$61)&gt;=$Y138),$AB138,$AA138)))=Milestones!$AB$61),UPPER(TEXT(EDATE($D138,Milestones!$AA$61),"dd mmm yy"))&amp;" "&amp;Milestones!$AB$61&amp;" "&amp;IF(AND(Milestones!$AB$61="FT",Milestones!$AA$61=FT_Y5,EDATE($D138,Milestones!$AA$61)&lt;PolicyEff),1,Milestones!$AC$61)&amp;";  ","")&amp;IF(AND(EDATE($D138,Milestones!$AA$62)&lt;=AsOfDate,EDATE($D138,Milestones!$AA$62)&gt;=SchemeStart,IF($X138=0,$AD138,IF(AND($Z138&lt;&gt;"",EDATE($D138,Milestones!$AA$62)&gt;=$Z138),$AC138,IF(AND($Y138&lt;&gt;"",EDATE($D138,Milestones!$AA$62)&gt;=$Y138),$AB138,$AA138)))=Milestones!$AB$62),UPPER(TEXT(EDATE($D138,Milestones!$AA$62),"dd mmm yy"))&amp;" "&amp;Milestones!$AB$62&amp;" "&amp;IF(AND(Milestones!$AB$62="FT",Milestones!$AA$62=FT_Y5,EDATE($D138,Milestones!$AA$62)&lt;PolicyEff),1,Milestones!$AC$62)&amp;";  ","")&amp;IF(AND(EDATE($D138,Milestones!$AA$63)&lt;=AsOfDate,EDATE($D138,Milestones!$AA$63)&gt;=SchemeStart,IF($X138=0,$AD138,IF(AND($Z138&lt;&gt;"",EDATE($D138,Milestones!$AA$63)&gt;=$Z138),$AC138,IF(AND($Y138&lt;&gt;"",EDATE($D138,Milestones!$AA$63)&gt;=$Y138),$AB138,$AA138)))=Milestones!$AB$63),UPPER(TEXT(EDATE($D138,Milestones!$AA$63),"dd mmm yy"))&amp;" "&amp;Milestones!$AB$63&amp;" "&amp;IF(AND(Milestones!$AB$63="FT",Milestones!$AA$63=FT_Y5,EDATE($D138,Milestones!$AA$63)&lt;PolicyEff),1,Milestones!$AC$63)&amp;";  ","")&amp;IF(AND(EDATE($D138,Milestones!$AA$64)&lt;=AsOfDate,EDATE($D138,Milestones!$AA$64)&gt;=SchemeStart,IF($X138=0,$AD138,IF(AND($Z138&lt;&gt;"",EDATE($D138,Milestones!$AA$64)&gt;=$Z138),$AC138,IF(AND($Y138&lt;&gt;"",EDATE($D138,Milestones!$AA$64)&gt;=$Y138),$AB138,$AA138)))=Milestones!$AB$64),UPPER(TEXT(EDATE($D138,Milestones!$AA$64),"dd mmm yy"))&amp;" "&amp;Milestones!$AB$64&amp;" "&amp;IF(AND(Milestones!$AB$64="FT",Milestones!$AA$64=FT_Y5,EDATE($D138,Milestones!$AA$64)&lt;PolicyEff),1,Milestones!$AC$64)&amp;";  ","")&amp;IF(AND(EDATE($D138,Milestones!$AA$65)&lt;=AsOfDate,EDATE($D138,Milestones!$AA$65)&gt;=SchemeStart,IF($X138=0,$AD138,IF(AND($Z138&lt;&gt;"",EDATE($D138,Milestones!$AA$65)&gt;=$Z138),$AC138,IF(AND($Y138&lt;&gt;"",EDATE($D138,Milestones!$AA$65)&gt;=$Y138),$AB138,$AA138)))=Milestones!$AB$65),UPPER(TEXT(EDATE($D138,Milestones!$AA$65),"dd mmm yy"))&amp;" "&amp;Milestones!$AB$65&amp;" "&amp;IF(AND(Milestones!$AB$65="FT",Milestones!$AA$65=FT_Y5,EDATE($D138,Milestones!$AA$65)&lt;PolicyEff),1,Milestones!$AC$65)&amp;";  ","")&amp;IF(AND(EDATE($D138,Milestones!$AA$66)&lt;=AsOfDate,EDATE($D138,Milestones!$AA$66)&gt;=SchemeStart,IF($X138=0,$AD138,IF(AND($Z138&lt;&gt;"",EDATE($D138,Milestones!$AA$66)&gt;=$Z138),$AC138,IF(AND($Y138&lt;&gt;"",EDATE($D138,Milestones!$AA$66)&gt;=$Y138),$AB138,$AA138)))=Milestones!$AB$66),UPPER(TEXT(EDATE($D138,Milestones!$AA$66),"dd mmm yy"))&amp;" "&amp;Milestones!$AB$66&amp;" "&amp;IF(AND(Milestones!$AB$66="FT",Milestones!$AA$66=FT_Y5,EDATE($D138,Milestones!$AA$66)&lt;PolicyEff),1,Milestones!$AC$66)&amp;";  ","")&amp;IF(AND(EDATE($D138,Milestones!$AA$67)&lt;=AsOfDate,EDATE($D138,Milestones!$AA$67)&gt;=SchemeStart,IF($X138=0,$AD138,IF(AND($Z138&lt;&gt;"",EDATE($D138,Milestones!$AA$67)&gt;=$Z138),$AC138,IF(AND($Y138&lt;&gt;"",EDATE($D138,Milestones!$AA$67)&gt;=$Y138),$AB138,$AA138)))=Milestones!$AB$67),UPPER(TEXT(EDATE($D138,Milestones!$AA$67),"dd mmm yy"))&amp;" "&amp;Milestones!$AB$67&amp;" "&amp;IF(AND(Milestones!$AB$67="FT",Milestones!$AA$67=FT_Y5,EDATE($D138,Milestones!$AA$67)&lt;PolicyEff),1,Milestones!$AC$67)&amp;";  ",""))</f>
        <v/>
      </c>
      <c r="M138" s="0" t="str">
        <f aca="false">IF(OR($A138="",$D138=""),"",IF(AND(EDATE($D138,Milestones!$AA$68)&lt;=AsOfDate,EDATE($D138,Milestones!$AA$68)&gt;=SchemeStart,IF($X138=0,$AD138,IF(AND($Z138&lt;&gt;"",EDATE($D138,Milestones!$AA$68)&gt;=$Z138),$AC138,IF(AND($Y138&lt;&gt;"",EDATE($D138,Milestones!$AA$68)&gt;=$Y138),$AB138,$AA138)))=Milestones!$AB$68),UPPER(TEXT(EDATE($D138,Milestones!$AA$68),"dd mmm yy"))&amp;" "&amp;Milestones!$AB$68&amp;" "&amp;IF(AND(Milestones!$AB$68="FT",Milestones!$AA$68=FT_Y5,EDATE($D138,Milestones!$AA$68)&lt;PolicyEff),1,Milestones!$AC$68)&amp;";  ","")&amp;IF(AND(EDATE($D138,Milestones!$AA$69)&lt;=AsOfDate,EDATE($D138,Milestones!$AA$69)&gt;=SchemeStart,IF($X138=0,$AD138,IF(AND($Z138&lt;&gt;"",EDATE($D138,Milestones!$AA$69)&gt;=$Z138),$AC138,IF(AND($Y138&lt;&gt;"",EDATE($D138,Milestones!$AA$69)&gt;=$Y138),$AB138,$AA138)))=Milestones!$AB$69),UPPER(TEXT(EDATE($D138,Milestones!$AA$69),"dd mmm yy"))&amp;" "&amp;Milestones!$AB$69&amp;" "&amp;IF(AND(Milestones!$AB$69="FT",Milestones!$AA$69=FT_Y5,EDATE($D138,Milestones!$AA$69)&lt;PolicyEff),1,Milestones!$AC$69)&amp;";  ","")&amp;IF(AND(EDATE($D138,Milestones!$AA$70)&lt;=AsOfDate,EDATE($D138,Milestones!$AA$70)&gt;=SchemeStart,IF($X138=0,$AD138,IF(AND($Z138&lt;&gt;"",EDATE($D138,Milestones!$AA$70)&gt;=$Z138),$AC138,IF(AND($Y138&lt;&gt;"",EDATE($D138,Milestones!$AA$70)&gt;=$Y138),$AB138,$AA138)))=Milestones!$AB$70),UPPER(TEXT(EDATE($D138,Milestones!$AA$70),"dd mmm yy"))&amp;" "&amp;Milestones!$AB$70&amp;" "&amp;IF(AND(Milestones!$AB$70="FT",Milestones!$AA$70=FT_Y5,EDATE($D138,Milestones!$AA$70)&lt;PolicyEff),1,Milestones!$AC$70)&amp;";  ","")&amp;IF(AND(EDATE($D138,Milestones!$AA$71)&lt;=AsOfDate,EDATE($D138,Milestones!$AA$71)&gt;=SchemeStart,IF($X138=0,$AD138,IF(AND($Z138&lt;&gt;"",EDATE($D138,Milestones!$AA$71)&gt;=$Z138),$AC138,IF(AND($Y138&lt;&gt;"",EDATE($D138,Milestones!$AA$71)&gt;=$Y138),$AB138,$AA138)))=Milestones!$AB$71),UPPER(TEXT(EDATE($D138,Milestones!$AA$71),"dd mmm yy"))&amp;" "&amp;Milestones!$AB$71&amp;" "&amp;IF(AND(Milestones!$AB$71="FT",Milestones!$AA$71=FT_Y5,EDATE($D138,Milestones!$AA$71)&lt;PolicyEff),1,Milestones!$AC$71)&amp;";  ","")&amp;IF(AND(EDATE($D138,Milestones!$AA$72)&lt;=AsOfDate,EDATE($D138,Milestones!$AA$72)&gt;=SchemeStart,IF($X138=0,$AD138,IF(AND($Z138&lt;&gt;"",EDATE($D138,Milestones!$AA$72)&gt;=$Z138),$AC138,IF(AND($Y138&lt;&gt;"",EDATE($D138,Milestones!$AA$72)&gt;=$Y138),$AB138,$AA138)))=Milestones!$AB$72),UPPER(TEXT(EDATE($D138,Milestones!$AA$72),"dd mmm yy"))&amp;" "&amp;Milestones!$AB$72&amp;" "&amp;IF(AND(Milestones!$AB$72="FT",Milestones!$AA$72=FT_Y5,EDATE($D138,Milestones!$AA$72)&lt;PolicyEff),1,Milestones!$AC$72)&amp;";  ","")&amp;IF(AND(EDATE($D138,Milestones!$AA$73)&lt;=AsOfDate,EDATE($D138,Milestones!$AA$73)&gt;=SchemeStart,IF($X138=0,$AD138,IF(AND($Z138&lt;&gt;"",EDATE($D138,Milestones!$AA$73)&gt;=$Z138),$AC138,IF(AND($Y138&lt;&gt;"",EDATE($D138,Milestones!$AA$73)&gt;=$Y138),$AB138,$AA138)))=Milestones!$AB$73),UPPER(TEXT(EDATE($D138,Milestones!$AA$73),"dd mmm yy"))&amp;" "&amp;Milestones!$AB$73&amp;" "&amp;IF(AND(Milestones!$AB$73="FT",Milestones!$AA$73=FT_Y5,EDATE($D138,Milestones!$AA$73)&lt;PolicyEff),1,Milestones!$AC$73)&amp;";  ","")&amp;IF(AND(EDATE($D138,Milestones!$AA$74)&lt;=AsOfDate,EDATE($D138,Milestones!$AA$74)&gt;=SchemeStart,IF($X138=0,$AD138,IF(AND($Z138&lt;&gt;"",EDATE($D138,Milestones!$AA$74)&gt;=$Z138),$AC138,IF(AND($Y138&lt;&gt;"",EDATE($D138,Milestones!$AA$74)&gt;=$Y138),$AB138,$AA138)))=Milestones!$AB$74),UPPER(TEXT(EDATE($D138,Milestones!$AA$74),"dd mmm yy"))&amp;" "&amp;Milestones!$AB$74&amp;" "&amp;IF(AND(Milestones!$AB$74="FT",Milestones!$AA$74=FT_Y5,EDATE($D138,Milestones!$AA$74)&lt;PolicyEff),1,Milestones!$AC$74)&amp;";  ","")&amp;IF(AND(EDATE($D138,Milestones!$AA$75)&lt;=AsOfDate,EDATE($D138,Milestones!$AA$75)&gt;=SchemeStart,IF($X138=0,$AD138,IF(AND($Z138&lt;&gt;"",EDATE($D138,Milestones!$AA$75)&gt;=$Z138),$AC138,IF(AND($Y138&lt;&gt;"",EDATE($D138,Milestones!$AA$75)&gt;=$Y138),$AB138,$AA138)))=Milestones!$AB$75),UPPER(TEXT(EDATE($D138,Milestones!$AA$75),"dd mmm yy"))&amp;" "&amp;Milestones!$AB$75&amp;" "&amp;IF(AND(Milestones!$AB$75="FT",Milestones!$AA$75=FT_Y5,EDATE($D138,Milestones!$AA$75)&lt;PolicyEff),1,Milestones!$AC$75)&amp;";  ","")&amp;IF(AND(EDATE($D138,Milestones!$AA$76)&lt;=AsOfDate,EDATE($D138,Milestones!$AA$76)&gt;=SchemeStart,IF($X138=0,$AD138,IF(AND($Z138&lt;&gt;"",EDATE($D138,Milestones!$AA$76)&gt;=$Z138),$AC138,IF(AND($Y138&lt;&gt;"",EDATE($D138,Milestones!$AA$76)&gt;=$Y138),$AB138,$AA138)))=Milestones!$AB$76),UPPER(TEXT(EDATE($D138,Milestones!$AA$76),"dd mmm yy"))&amp;" "&amp;Milestones!$AB$76&amp;" "&amp;IF(AND(Milestones!$AB$76="FT",Milestones!$AA$76=FT_Y5,EDATE($D138,Milestones!$AA$76)&lt;PolicyEff),1,Milestones!$AC$76)&amp;";  ","")&amp;IF(AND(EDATE($D138,Milestones!$AA$77)&lt;=AsOfDate,EDATE($D138,Milestones!$AA$77)&gt;=SchemeStart,IF($X138=0,$AD138,IF(AND($Z138&lt;&gt;"",EDATE($D138,Milestones!$AA$77)&gt;=$Z138),$AC138,IF(AND($Y138&lt;&gt;"",EDATE($D138,Milestones!$AA$77)&gt;=$Y138),$AB138,$AA138)))=Milestones!$AB$77),UPPER(TEXT(EDATE($D138,Milestones!$AA$77),"dd mmm yy"))&amp;" "&amp;Milestones!$AB$77&amp;" "&amp;IF(AND(Milestones!$AB$77="FT",Milestones!$AA$77=FT_Y5,EDATE($D138,Milestones!$AA$77)&lt;PolicyEff),1,Milestones!$AC$77)&amp;";  ","")&amp;IF(AND(EDATE($D138,Milestones!$AA$78)&lt;=AsOfDate,EDATE($D138,Milestones!$AA$78)&gt;=SchemeStart,IF($X138=0,$AD138,IF(AND($Z138&lt;&gt;"",EDATE($D138,Milestones!$AA$78)&gt;=$Z138),$AC138,IF(AND($Y138&lt;&gt;"",EDATE($D138,Milestones!$AA$78)&gt;=$Y138),$AB138,$AA138)))=Milestones!$AB$78),UPPER(TEXT(EDATE($D138,Milestones!$AA$78),"dd mmm yy"))&amp;" "&amp;Milestones!$AB$78&amp;" "&amp;IF(AND(Milestones!$AB$78="FT",Milestones!$AA$78=FT_Y5,EDATE($D138,Milestones!$AA$78)&lt;PolicyEff),1,Milestones!$AC$78)&amp;";  ","")&amp;IF(AND(EDATE($D138,Milestones!$AA$79)&lt;=AsOfDate,EDATE($D138,Milestones!$AA$79)&gt;=SchemeStart,IF($X138=0,$AD138,IF(AND($Z138&lt;&gt;"",EDATE($D138,Milestones!$AA$79)&gt;=$Z138),$AC138,IF(AND($Y138&lt;&gt;"",EDATE($D138,Milestones!$AA$79)&gt;=$Y138),$AB138,$AA138)))=Milestones!$AB$79),UPPER(TEXT(EDATE($D138,Milestones!$AA$79),"dd mmm yy"))&amp;" "&amp;Milestones!$AB$79&amp;" "&amp;IF(AND(Milestones!$AB$79="FT",Milestones!$AA$79=FT_Y5,EDATE($D138,Milestones!$AA$79)&lt;PolicyEff),1,Milestones!$AC$79)&amp;";  ",""))</f>
        <v/>
      </c>
      <c r="N138" s="0" t="str">
        <f aca="false">IF(OR($A138="",$D138=""),"",IF(AND(EDATE($D138,Milestones!$AA$80)&lt;=AsOfDate,EDATE($D138,Milestones!$AA$80)&gt;=SchemeStart,IF($X138=0,$AD138,IF(AND($Z138&lt;&gt;"",EDATE($D138,Milestones!$AA$80)&gt;=$Z138),$AC138,IF(AND($Y138&lt;&gt;"",EDATE($D138,Milestones!$AA$80)&gt;=$Y138),$AB138,$AA138)))=Milestones!$AB$80),UPPER(TEXT(EDATE($D138,Milestones!$AA$80),"dd mmm yy"))&amp;" "&amp;Milestones!$AB$80&amp;" "&amp;IF(AND(Milestones!$AB$80="FT",Milestones!$AA$80=FT_Y5,EDATE($D138,Milestones!$AA$80)&lt;PolicyEff),1,Milestones!$AC$80)&amp;";  ","")&amp;IF(AND(EDATE($D138,Milestones!$AA$81)&lt;=AsOfDate,EDATE($D138,Milestones!$AA$81)&gt;=SchemeStart,IF($X138=0,$AD138,IF(AND($Z138&lt;&gt;"",EDATE($D138,Milestones!$AA$81)&gt;=$Z138),$AC138,IF(AND($Y138&lt;&gt;"",EDATE($D138,Milestones!$AA$81)&gt;=$Y138),$AB138,$AA138)))=Milestones!$AB$81),UPPER(TEXT(EDATE($D138,Milestones!$AA$81),"dd mmm yy"))&amp;" "&amp;Milestones!$AB$81&amp;" "&amp;IF(AND(Milestones!$AB$81="FT",Milestones!$AA$81=FT_Y5,EDATE($D138,Milestones!$AA$81)&lt;PolicyEff),1,Milestones!$AC$81)&amp;";  ","")&amp;IF(AND(EDATE($D138,Milestones!$AA$82)&lt;=AsOfDate,EDATE($D138,Milestones!$AA$82)&gt;=SchemeStart,IF($X138=0,$AD138,IF(AND($Z138&lt;&gt;"",EDATE($D138,Milestones!$AA$82)&gt;=$Z138),$AC138,IF(AND($Y138&lt;&gt;"",EDATE($D138,Milestones!$AA$82)&gt;=$Y138),$AB138,$AA138)))=Milestones!$AB$82),UPPER(TEXT(EDATE($D138,Milestones!$AA$82),"dd mmm yy"))&amp;" "&amp;Milestones!$AB$82&amp;" "&amp;IF(AND(Milestones!$AB$82="FT",Milestones!$AA$82=FT_Y5,EDATE($D138,Milestones!$AA$82)&lt;PolicyEff),1,Milestones!$AC$82)&amp;";  ","")&amp;IF(AND(EDATE($D138,Milestones!$AA$83)&lt;=AsOfDate,EDATE($D138,Milestones!$AA$83)&gt;=SchemeStart,IF($X138=0,$AD138,IF(AND($Z138&lt;&gt;"",EDATE($D138,Milestones!$AA$83)&gt;=$Z138),$AC138,IF(AND($Y138&lt;&gt;"",EDATE($D138,Milestones!$AA$83)&gt;=$Y138),$AB138,$AA138)))=Milestones!$AB$83),UPPER(TEXT(EDATE($D138,Milestones!$AA$83),"dd mmm yy"))&amp;" "&amp;Milestones!$AB$83&amp;" "&amp;IF(AND(Milestones!$AB$83="FT",Milestones!$AA$83=FT_Y5,EDATE($D138,Milestones!$AA$83)&lt;PolicyEff),1,Milestones!$AC$83)&amp;";  ","")&amp;IF(AND(EDATE($D138,Milestones!$AA$84)&lt;=AsOfDate,EDATE($D138,Milestones!$AA$84)&gt;=SchemeStart,IF($X138=0,$AD138,IF(AND($Z138&lt;&gt;"",EDATE($D138,Milestones!$AA$84)&gt;=$Z138),$AC138,IF(AND($Y138&lt;&gt;"",EDATE($D138,Milestones!$AA$84)&gt;=$Y138),$AB138,$AA138)))=Milestones!$AB$84),UPPER(TEXT(EDATE($D138,Milestones!$AA$84),"dd mmm yy"))&amp;" "&amp;Milestones!$AB$84&amp;" "&amp;IF(AND(Milestones!$AB$84="FT",Milestones!$AA$84=FT_Y5,EDATE($D138,Milestones!$AA$84)&lt;PolicyEff),1,Milestones!$AC$84)&amp;";  ","")&amp;IF(AND(EDATE($D138,Milestones!$AA$85)&lt;=AsOfDate,EDATE($D138,Milestones!$AA$85)&gt;=SchemeStart,IF($X138=0,$AD138,IF(AND($Z138&lt;&gt;"",EDATE($D138,Milestones!$AA$85)&gt;=$Z138),$AC138,IF(AND($Y138&lt;&gt;"",EDATE($D138,Milestones!$AA$85)&gt;=$Y138),$AB138,$AA138)))=Milestones!$AB$85),UPPER(TEXT(EDATE($D138,Milestones!$AA$85),"dd mmm yy"))&amp;" "&amp;Milestones!$AB$85&amp;" "&amp;IF(AND(Milestones!$AB$85="FT",Milestones!$AA$85=FT_Y5,EDATE($D138,Milestones!$AA$85)&lt;PolicyEff),1,Milestones!$AC$85)&amp;";  ","")&amp;IF(AND(EDATE($D138,Milestones!$AA$86)&lt;=AsOfDate,EDATE($D138,Milestones!$AA$86)&gt;=SchemeStart,IF($X138=0,$AD138,IF(AND($Z138&lt;&gt;"",EDATE($D138,Milestones!$AA$86)&gt;=$Z138),$AC138,IF(AND($Y138&lt;&gt;"",EDATE($D138,Milestones!$AA$86)&gt;=$Y138),$AB138,$AA138)))=Milestones!$AB$86),UPPER(TEXT(EDATE($D138,Milestones!$AA$86),"dd mmm yy"))&amp;" "&amp;Milestones!$AB$86&amp;" "&amp;IF(AND(Milestones!$AB$86="FT",Milestones!$AA$86=FT_Y5,EDATE($D138,Milestones!$AA$86)&lt;PolicyEff),1,Milestones!$AC$86)&amp;";  ","")&amp;IF(AND(EDATE($D138,Milestones!$AA$87)&lt;=AsOfDate,EDATE($D138,Milestones!$AA$87)&gt;=SchemeStart,IF($X138=0,$AD138,IF(AND($Z138&lt;&gt;"",EDATE($D138,Milestones!$AA$87)&gt;=$Z138),$AC138,IF(AND($Y138&lt;&gt;"",EDATE($D138,Milestones!$AA$87)&gt;=$Y138),$AB138,$AA138)))=Milestones!$AB$87),UPPER(TEXT(EDATE($D138,Milestones!$AA$87),"dd mmm yy"))&amp;" "&amp;Milestones!$AB$87&amp;" "&amp;IF(AND(Milestones!$AB$87="FT",Milestones!$AA$87=FT_Y5,EDATE($D138,Milestones!$AA$87)&lt;PolicyEff),1,Milestones!$AC$87)&amp;";  ","")&amp;IF(AND(EDATE($D138,Milestones!$AA$88)&lt;=AsOfDate,EDATE($D138,Milestones!$AA$88)&gt;=SchemeStart,IF($X138=0,$AD138,IF(AND($Z138&lt;&gt;"",EDATE($D138,Milestones!$AA$88)&gt;=$Z138),$AC138,IF(AND($Y138&lt;&gt;"",EDATE($D138,Milestones!$AA$88)&gt;=$Y138),$AB138,$AA138)))=Milestones!$AB$88),UPPER(TEXT(EDATE($D138,Milestones!$AA$88),"dd mmm yy"))&amp;" "&amp;Milestones!$AB$88&amp;" "&amp;IF(AND(Milestones!$AB$88="FT",Milestones!$AA$88=FT_Y5,EDATE($D138,Milestones!$AA$88)&lt;PolicyEff),1,Milestones!$AC$88)&amp;";  ","")&amp;IF(AND(EDATE($D138,Milestones!$AA$89)&lt;=AsOfDate,EDATE($D138,Milestones!$AA$89)&gt;=SchemeStart,IF($X138=0,$AD138,IF(AND($Z138&lt;&gt;"",EDATE($D138,Milestones!$AA$89)&gt;=$Z138),$AC138,IF(AND($Y138&lt;&gt;"",EDATE($D138,Milestones!$AA$89)&gt;=$Y138),$AB138,$AA138)))=Milestones!$AB$89),UPPER(TEXT(EDATE($D138,Milestones!$AA$89),"dd mmm yy"))&amp;" "&amp;Milestones!$AB$89&amp;" "&amp;IF(AND(Milestones!$AB$89="FT",Milestones!$AA$89=FT_Y5,EDATE($D138,Milestones!$AA$89)&lt;PolicyEff),1,Milestones!$AC$89)&amp;";  ","")&amp;IF(AND(EDATE($D138,Milestones!$AA$90)&lt;=AsOfDate,EDATE($D138,Milestones!$AA$90)&gt;=SchemeStart,IF($X138=0,$AD138,IF(AND($Z138&lt;&gt;"",EDATE($D138,Milestones!$AA$90)&gt;=$Z138),$AC138,IF(AND($Y138&lt;&gt;"",EDATE($D138,Milestones!$AA$90)&gt;=$Y138),$AB138,$AA138)))=Milestones!$AB$90),UPPER(TEXT(EDATE($D138,Milestones!$AA$90),"dd mmm yy"))&amp;" "&amp;Milestones!$AB$90&amp;" "&amp;IF(AND(Milestones!$AB$90="FT",Milestones!$AA$90=FT_Y5,EDATE($D138,Milestones!$AA$90)&lt;PolicyEff),1,Milestones!$AC$90)&amp;";  ","")&amp;IF(AND(EDATE($D138,Milestones!$AA$91)&lt;=AsOfDate,EDATE($D138,Milestones!$AA$91)&gt;=SchemeStart,IF($X138=0,$AD138,IF(AND($Z138&lt;&gt;"",EDATE($D138,Milestones!$AA$91)&gt;=$Z138),$AC138,IF(AND($Y138&lt;&gt;"",EDATE($D138,Milestones!$AA$91)&gt;=$Y138),$AB138,$AA138)))=Milestones!$AB$91),UPPER(TEXT(EDATE($D138,Milestones!$AA$91),"dd mmm yy"))&amp;" "&amp;Milestones!$AB$91&amp;" "&amp;IF(AND(Milestones!$AB$91="FT",Milestones!$AA$91=FT_Y5,EDATE($D138,Milestones!$AA$91)&lt;PolicyEff),1,Milestones!$AC$91)&amp;";  ",""))</f>
        <v/>
      </c>
      <c r="O138" s="0" t="str">
        <f aca="false">IF(OR($A138="",$D138=""),"",IF(AND(EDATE($D138,Milestones!$AA$92)&lt;=AsOfDate,EDATE($D138,Milestones!$AA$92)&gt;=SchemeStart,IF($X138=0,$AD138,IF(AND($Z138&lt;&gt;"",EDATE($D138,Milestones!$AA$92)&gt;=$Z138),$AC138,IF(AND($Y138&lt;&gt;"",EDATE($D138,Milestones!$AA$92)&gt;=$Y138),$AB138,$AA138)))=Milestones!$AB$92),UPPER(TEXT(EDATE($D138,Milestones!$AA$92),"dd mmm yy"))&amp;" "&amp;Milestones!$AB$92&amp;" "&amp;IF(AND(Milestones!$AB$92="FT",Milestones!$AA$92=FT_Y5,EDATE($D138,Milestones!$AA$92)&lt;PolicyEff),1,Milestones!$AC$92)&amp;";  ","")&amp;IF(AND(EDATE($D138,Milestones!$AA$93)&lt;=AsOfDate,EDATE($D138,Milestones!$AA$93)&gt;=SchemeStart,IF($X138=0,$AD138,IF(AND($Z138&lt;&gt;"",EDATE($D138,Milestones!$AA$93)&gt;=$Z138),$AC138,IF(AND($Y138&lt;&gt;"",EDATE($D138,Milestones!$AA$93)&gt;=$Y138),$AB138,$AA138)))=Milestones!$AB$93),UPPER(TEXT(EDATE($D138,Milestones!$AA$93),"dd mmm yy"))&amp;" "&amp;Milestones!$AB$93&amp;" "&amp;IF(AND(Milestones!$AB$93="FT",Milestones!$AA$93=FT_Y5,EDATE($D138,Milestones!$AA$93)&lt;PolicyEff),1,Milestones!$AC$93)&amp;";  ","")&amp;IF(AND(EDATE($D138,Milestones!$AA$94)&lt;=AsOfDate,EDATE($D138,Milestones!$AA$94)&gt;=SchemeStart,IF($X138=0,$AD138,IF(AND($Z138&lt;&gt;"",EDATE($D138,Milestones!$AA$94)&gt;=$Z138),$AC138,IF(AND($Y138&lt;&gt;"",EDATE($D138,Milestones!$AA$94)&gt;=$Y138),$AB138,$AA138)))=Milestones!$AB$94),UPPER(TEXT(EDATE($D138,Milestones!$AA$94),"dd mmm yy"))&amp;" "&amp;Milestones!$AB$94&amp;" "&amp;IF(AND(Milestones!$AB$94="FT",Milestones!$AA$94=FT_Y5,EDATE($D138,Milestones!$AA$94)&lt;PolicyEff),1,Milestones!$AC$94)&amp;";  ","")&amp;IF(AND(EDATE($D138,Milestones!$AA$95)&lt;=AsOfDate,EDATE($D138,Milestones!$AA$95)&gt;=SchemeStart,IF($X138=0,$AD138,IF(AND($Z138&lt;&gt;"",EDATE($D138,Milestones!$AA$95)&gt;=$Z138),$AC138,IF(AND($Y138&lt;&gt;"",EDATE($D138,Milestones!$AA$95)&gt;=$Y138),$AB138,$AA138)))=Milestones!$AB$95),UPPER(TEXT(EDATE($D138,Milestones!$AA$95),"dd mmm yy"))&amp;" "&amp;Milestones!$AB$95&amp;" "&amp;IF(AND(Milestones!$AB$95="FT",Milestones!$AA$95=FT_Y5,EDATE($D138,Milestones!$AA$95)&lt;PolicyEff),1,Milestones!$AC$95)&amp;";  ","")&amp;IF(AND(EDATE($D138,Milestones!$AA$96)&lt;=AsOfDate,EDATE($D138,Milestones!$AA$96)&gt;=SchemeStart,IF($X138=0,$AD138,IF(AND($Z138&lt;&gt;"",EDATE($D138,Milestones!$AA$96)&gt;=$Z138),$AC138,IF(AND($Y138&lt;&gt;"",EDATE($D138,Milestones!$AA$96)&gt;=$Y138),$AB138,$AA138)))=Milestones!$AB$96),UPPER(TEXT(EDATE($D138,Milestones!$AA$96),"dd mmm yy"))&amp;" "&amp;Milestones!$AB$96&amp;" "&amp;IF(AND(Milestones!$AB$96="FT",Milestones!$AA$96=FT_Y5,EDATE($D138,Milestones!$AA$96)&lt;PolicyEff),1,Milestones!$AC$96)&amp;";  ","")&amp;IF(AND(EDATE($D138,Milestones!$AA$97)&lt;=AsOfDate,EDATE($D138,Milestones!$AA$97)&gt;=SchemeStart,IF($X138=0,$AD138,IF(AND($Z138&lt;&gt;"",EDATE($D138,Milestones!$AA$97)&gt;=$Z138),$AC138,IF(AND($Y138&lt;&gt;"",EDATE($D138,Milestones!$AA$97)&gt;=$Y138),$AB138,$AA138)))=Milestones!$AB$97),UPPER(TEXT(EDATE($D138,Milestones!$AA$97),"dd mmm yy"))&amp;" "&amp;Milestones!$AB$97&amp;" "&amp;IF(AND(Milestones!$AB$97="FT",Milestones!$AA$97=FT_Y5,EDATE($D138,Milestones!$AA$97)&lt;PolicyEff),1,Milestones!$AC$97)&amp;";  ","")&amp;IF(AND(EDATE($D138,Milestones!$AA$98)&lt;=AsOfDate,EDATE($D138,Milestones!$AA$98)&gt;=SchemeStart,IF($X138=0,$AD138,IF(AND($Z138&lt;&gt;"",EDATE($D138,Milestones!$AA$98)&gt;=$Z138),$AC138,IF(AND($Y138&lt;&gt;"",EDATE($D138,Milestones!$AA$98)&gt;=$Y138),$AB138,$AA138)))=Milestones!$AB$98),UPPER(TEXT(EDATE($D138,Milestones!$AA$98),"dd mmm yy"))&amp;" "&amp;Milestones!$AB$98&amp;" "&amp;IF(AND(Milestones!$AB$98="FT",Milestones!$AA$98=FT_Y5,EDATE($D138,Milestones!$AA$98)&lt;PolicyEff),1,Milestones!$AC$98)&amp;";  ","")&amp;IF(AND(EDATE($D138,Milestones!$AA$99)&lt;=AsOfDate,EDATE($D138,Milestones!$AA$99)&gt;=SchemeStart,IF($X138=0,$AD138,IF(AND($Z138&lt;&gt;"",EDATE($D138,Milestones!$AA$99)&gt;=$Z138),$AC138,IF(AND($Y138&lt;&gt;"",EDATE($D138,Milestones!$AA$99)&gt;=$Y138),$AB138,$AA138)))=Milestones!$AB$99),UPPER(TEXT(EDATE($D138,Milestones!$AA$99),"dd mmm yy"))&amp;" "&amp;Milestones!$AB$99&amp;" "&amp;IF(AND(Milestones!$AB$99="FT",Milestones!$AA$99=FT_Y5,EDATE($D138,Milestones!$AA$99)&lt;PolicyEff),1,Milestones!$AC$99)&amp;";  ","")&amp;IF(AND(EDATE($D138,Milestones!$AA$100)&lt;=AsOfDate,EDATE($D138,Milestones!$AA$100)&gt;=SchemeStart,IF($X138=0,$AD138,IF(AND($Z138&lt;&gt;"",EDATE($D138,Milestones!$AA$100)&gt;=$Z138),$AC138,IF(AND($Y138&lt;&gt;"",EDATE($D138,Milestones!$AA$100)&gt;=$Y138),$AB138,$AA138)))=Milestones!$AB$100),UPPER(TEXT(EDATE($D138,Milestones!$AA$100),"dd mmm yy"))&amp;" "&amp;Milestones!$AB$100&amp;" "&amp;IF(AND(Milestones!$AB$100="FT",Milestones!$AA$100=FT_Y5,EDATE($D138,Milestones!$AA$100)&lt;PolicyEff),1,Milestones!$AC$100)&amp;";  ","")&amp;IF(AND(EDATE($D138,Milestones!$AA$101)&lt;=AsOfDate,EDATE($D138,Milestones!$AA$101)&gt;=SchemeStart,IF($X138=0,$AD138,IF(AND($Z138&lt;&gt;"",EDATE($D138,Milestones!$AA$101)&gt;=$Z138),$AC138,IF(AND($Y138&lt;&gt;"",EDATE($D138,Milestones!$AA$101)&gt;=$Y138),$AB138,$AA138)))=Milestones!$AB$101),UPPER(TEXT(EDATE($D138,Milestones!$AA$101),"dd mmm yy"))&amp;" "&amp;Milestones!$AB$101&amp;" "&amp;IF(AND(Milestones!$AB$101="FT",Milestones!$AA$101=FT_Y5,EDATE($D138,Milestones!$AA$101)&lt;PolicyEff),1,Milestones!$AC$101)&amp;";  ","")&amp;IF(AND(EDATE($D138,Milestones!$AA$102)&lt;=AsOfDate,EDATE($D138,Milestones!$AA$102)&gt;=SchemeStart,IF($X138=0,$AD138,IF(AND($Z138&lt;&gt;"",EDATE($D138,Milestones!$AA$102)&gt;=$Z138),$AC138,IF(AND($Y138&lt;&gt;"",EDATE($D138,Milestones!$AA$102)&gt;=$Y138),$AB138,$AA138)))=Milestones!$AB$102),UPPER(TEXT(EDATE($D138,Milestones!$AA$102),"dd mmm yy"))&amp;" "&amp;Milestones!$AB$102&amp;" "&amp;IF(AND(Milestones!$AB$102="FT",Milestones!$AA$102=FT_Y5,EDATE($D138,Milestones!$AA$102)&lt;PolicyEff),1,Milestones!$AC$102)&amp;";  ","")&amp;IF(AND(EDATE($D138,Milestones!$AA$103)&lt;=AsOfDate,EDATE($D138,Milestones!$AA$103)&gt;=SchemeStart,IF($X138=0,$AD138,IF(AND($Z138&lt;&gt;"",EDATE($D138,Milestones!$AA$103)&gt;=$Z138),$AC138,IF(AND($Y138&lt;&gt;"",EDATE($D138,Milestones!$AA$103)&gt;=$Y138),$AB138,$AA138)))=Milestones!$AB$103),UPPER(TEXT(EDATE($D138,Milestones!$AA$103),"dd mmm yy"))&amp;" "&amp;Milestones!$AB$103&amp;" "&amp;IF(AND(Milestones!$AB$103="FT",Milestones!$AA$103=FT_Y5,EDATE($D138,Milestones!$AA$103)&lt;PolicyEff),1,Milestones!$AC$103)&amp;";  ",""))</f>
        <v/>
      </c>
      <c r="P138" s="0" t="str">
        <f aca="false">IF(OR($A138="",$D138=""),"",IF(AND(EDATE($D138,Milestones!$AA$104)&lt;=AsOfDate,EDATE($D138,Milestones!$AA$104)&gt;=SchemeStart,IF($X138=0,$AD138,IF(AND($Z138&lt;&gt;"",EDATE($D138,Milestones!$AA$104)&gt;=$Z138),$AC138,IF(AND($Y138&lt;&gt;"",EDATE($D138,Milestones!$AA$104)&gt;=$Y138),$AB138,$AA138)))=Milestones!$AB$104),UPPER(TEXT(EDATE($D138,Milestones!$AA$104),"dd mmm yy"))&amp;" "&amp;Milestones!$AB$104&amp;" "&amp;IF(AND(Milestones!$AB$104="FT",Milestones!$AA$104=FT_Y5,EDATE($D138,Milestones!$AA$104)&lt;PolicyEff),1,Milestones!$AC$104)&amp;";  ","")&amp;IF(AND(EDATE($D138,Milestones!$AA$105)&lt;=AsOfDate,EDATE($D138,Milestones!$AA$105)&gt;=SchemeStart,IF($X138=0,$AD138,IF(AND($Z138&lt;&gt;"",EDATE($D138,Milestones!$AA$105)&gt;=$Z138),$AC138,IF(AND($Y138&lt;&gt;"",EDATE($D138,Milestones!$AA$105)&gt;=$Y138),$AB138,$AA138)))=Milestones!$AB$105),UPPER(TEXT(EDATE($D138,Milestones!$AA$105),"dd mmm yy"))&amp;" "&amp;Milestones!$AB$105&amp;" "&amp;IF(AND(Milestones!$AB$105="FT",Milestones!$AA$105=FT_Y5,EDATE($D138,Milestones!$AA$105)&lt;PolicyEff),1,Milestones!$AC$105)&amp;";  ","")&amp;IF(AND(EDATE($D138,Milestones!$AA$106)&lt;=AsOfDate,EDATE($D138,Milestones!$AA$106)&gt;=SchemeStart,IF($X138=0,$AD138,IF(AND($Z138&lt;&gt;"",EDATE($D138,Milestones!$AA$106)&gt;=$Z138),$AC138,IF(AND($Y138&lt;&gt;"",EDATE($D138,Milestones!$AA$106)&gt;=$Y138),$AB138,$AA138)))=Milestones!$AB$106),UPPER(TEXT(EDATE($D138,Milestones!$AA$106),"dd mmm yy"))&amp;" "&amp;Milestones!$AB$106&amp;" "&amp;IF(AND(Milestones!$AB$106="FT",Milestones!$AA$106=FT_Y5,EDATE($D138,Milestones!$AA$106)&lt;PolicyEff),1,Milestones!$AC$106)&amp;";  ","")&amp;IF(AND(EDATE($D138,Milestones!$AA$107)&lt;=AsOfDate,EDATE($D138,Milestones!$AA$107)&gt;=SchemeStart,IF($X138=0,$AD138,IF(AND($Z138&lt;&gt;"",EDATE($D138,Milestones!$AA$107)&gt;=$Z138),$AC138,IF(AND($Y138&lt;&gt;"",EDATE($D138,Milestones!$AA$107)&gt;=$Y138),$AB138,$AA138)))=Milestones!$AB$107),UPPER(TEXT(EDATE($D138,Milestones!$AA$107),"dd mmm yy"))&amp;" "&amp;Milestones!$AB$107&amp;" "&amp;IF(AND(Milestones!$AB$107="FT",Milestones!$AA$107=FT_Y5,EDATE($D138,Milestones!$AA$107)&lt;PolicyEff),1,Milestones!$AC$107)&amp;";  ","")&amp;IF(AND(EDATE($D138,Milestones!$AA$108)&lt;=AsOfDate,EDATE($D138,Milestones!$AA$108)&gt;=SchemeStart,IF($X138=0,$AD138,IF(AND($Z138&lt;&gt;"",EDATE($D138,Milestones!$AA$108)&gt;=$Z138),$AC138,IF(AND($Y138&lt;&gt;"",EDATE($D138,Milestones!$AA$108)&gt;=$Y138),$AB138,$AA138)))=Milestones!$AB$108),UPPER(TEXT(EDATE($D138,Milestones!$AA$108),"dd mmm yy"))&amp;" "&amp;Milestones!$AB$108&amp;" "&amp;IF(AND(Milestones!$AB$108="FT",Milestones!$AA$108=FT_Y5,EDATE($D138,Milestones!$AA$108)&lt;PolicyEff),1,Milestones!$AC$108)&amp;";  ","")&amp;IF(AND(EDATE($D138,Milestones!$AA$109)&lt;=AsOfDate,EDATE($D138,Milestones!$AA$109)&gt;=SchemeStart,IF($X138=0,$AD138,IF(AND($Z138&lt;&gt;"",EDATE($D138,Milestones!$AA$109)&gt;=$Z138),$AC138,IF(AND($Y138&lt;&gt;"",EDATE($D138,Milestones!$AA$109)&gt;=$Y138),$AB138,$AA138)))=Milestones!$AB$109),UPPER(TEXT(EDATE($D138,Milestones!$AA$109),"dd mmm yy"))&amp;" "&amp;Milestones!$AB$109&amp;" "&amp;IF(AND(Milestones!$AB$109="FT",Milestones!$AA$109=FT_Y5,EDATE($D138,Milestones!$AA$109)&lt;PolicyEff),1,Milestones!$AC$109)&amp;";  ","")&amp;IF(AND(EDATE($D138,Milestones!$AA$110)&lt;=AsOfDate,EDATE($D138,Milestones!$AA$110)&gt;=SchemeStart,IF($X138=0,$AD138,IF(AND($Z138&lt;&gt;"",EDATE($D138,Milestones!$AA$110)&gt;=$Z138),$AC138,IF(AND($Y138&lt;&gt;"",EDATE($D138,Milestones!$AA$110)&gt;=$Y138),$AB138,$AA138)))=Milestones!$AB$110),UPPER(TEXT(EDATE($D138,Milestones!$AA$110),"dd mmm yy"))&amp;" "&amp;Milestones!$AB$110&amp;" "&amp;IF(AND(Milestones!$AB$110="FT",Milestones!$AA$110=FT_Y5,EDATE($D138,Milestones!$AA$110)&lt;PolicyEff),1,Milestones!$AC$110)&amp;";  ","")&amp;IF(AND(EDATE($D138,Milestones!$AA$111)&lt;=AsOfDate,EDATE($D138,Milestones!$AA$111)&gt;=SchemeStart,IF($X138=0,$AD138,IF(AND($Z138&lt;&gt;"",EDATE($D138,Milestones!$AA$111)&gt;=$Z138),$AC138,IF(AND($Y138&lt;&gt;"",EDATE($D138,Milestones!$AA$111)&gt;=$Y138),$AB138,$AA138)))=Milestones!$AB$111),UPPER(TEXT(EDATE($D138,Milestones!$AA$111),"dd mmm yy"))&amp;" "&amp;Milestones!$AB$111&amp;" "&amp;IF(AND(Milestones!$AB$111="FT",Milestones!$AA$111=FT_Y5,EDATE($D138,Milestones!$AA$111)&lt;PolicyEff),1,Milestones!$AC$111)&amp;";  ","")&amp;IF(AND(EDATE($D138,Milestones!$AA$112)&lt;=AsOfDate,EDATE($D138,Milestones!$AA$112)&gt;=SchemeStart,IF($X138=0,$AD138,IF(AND($Z138&lt;&gt;"",EDATE($D138,Milestones!$AA$112)&gt;=$Z138),$AC138,IF(AND($Y138&lt;&gt;"",EDATE($D138,Milestones!$AA$112)&gt;=$Y138),$AB138,$AA138)))=Milestones!$AB$112),UPPER(TEXT(EDATE($D138,Milestones!$AA$112),"dd mmm yy"))&amp;" "&amp;Milestones!$AB$112&amp;" "&amp;IF(AND(Milestones!$AB$112="FT",Milestones!$AA$112=FT_Y5,EDATE($D138,Milestones!$AA$112)&lt;PolicyEff),1,Milestones!$AC$112)&amp;";  ","")&amp;IF(AND(EDATE($D138,Milestones!$AA$113)&lt;=AsOfDate,EDATE($D138,Milestones!$AA$113)&gt;=SchemeStart,IF($X138=0,$AD138,IF(AND($Z138&lt;&gt;"",EDATE($D138,Milestones!$AA$113)&gt;=$Z138),$AC138,IF(AND($Y138&lt;&gt;"",EDATE($D138,Milestones!$AA$113)&gt;=$Y138),$AB138,$AA138)))=Milestones!$AB$113),UPPER(TEXT(EDATE($D138,Milestones!$AA$113),"dd mmm yy"))&amp;" "&amp;Milestones!$AB$113&amp;" "&amp;IF(AND(Milestones!$AB$113="FT",Milestones!$AA$113=FT_Y5,EDATE($D138,Milestones!$AA$113)&lt;PolicyEff),1,Milestones!$AC$113)&amp;";  ","")&amp;IF(AND(EDATE($D138,Milestones!$AA$114)&lt;=AsOfDate,EDATE($D138,Milestones!$AA$114)&gt;=SchemeStart,IF($X138=0,$AD138,IF(AND($Z138&lt;&gt;"",EDATE($D138,Milestones!$AA$114)&gt;=$Z138),$AC138,IF(AND($Y138&lt;&gt;"",EDATE($D138,Milestones!$AA$114)&gt;=$Y138),$AB138,$AA138)))=Milestones!$AB$114),UPPER(TEXT(EDATE($D138,Milestones!$AA$114),"dd mmm yy"))&amp;" "&amp;Milestones!$AB$114&amp;" "&amp;IF(AND(Milestones!$AB$114="FT",Milestones!$AA$114=FT_Y5,EDATE($D138,Milestones!$AA$114)&lt;PolicyEff),1,Milestones!$AC$114)&amp;";  ","")&amp;IF(AND(EDATE($D138,Milestones!$AA$115)&lt;=AsOfDate,EDATE($D138,Milestones!$AA$115)&gt;=SchemeStart,IF($X138=0,$AD138,IF(AND($Z138&lt;&gt;"",EDATE($D138,Milestones!$AA$115)&gt;=$Z138),$AC138,IF(AND($Y138&lt;&gt;"",EDATE($D138,Milestones!$AA$115)&gt;=$Y138),$AB138,$AA138)))=Milestones!$AB$115),UPPER(TEXT(EDATE($D138,Milestones!$AA$115),"dd mmm yy"))&amp;" "&amp;Milestones!$AB$115&amp;" "&amp;IF(AND(Milestones!$AB$115="FT",Milestones!$AA$115=FT_Y5,EDATE($D138,Milestones!$AA$115)&lt;PolicyEff),1,Milestones!$AC$115)&amp;";  ",""))</f>
        <v/>
      </c>
      <c r="Q138" s="0" t="str">
        <f aca="false">IF(OR($A138="",$D138=""),"",IF(AND(EDATE($D138,Milestones!$AA$116)&lt;=AsOfDate,EDATE($D138,Milestones!$AA$116)&gt;=SchemeStart,IF($X138=0,$AD138,IF(AND($Z138&lt;&gt;"",EDATE($D138,Milestones!$AA$116)&gt;=$Z138),$AC138,IF(AND($Y138&lt;&gt;"",EDATE($D138,Milestones!$AA$116)&gt;=$Y138),$AB138,$AA138)))=Milestones!$AB$116),UPPER(TEXT(EDATE($D138,Milestones!$AA$116),"dd mmm yy"))&amp;" "&amp;Milestones!$AB$116&amp;" "&amp;IF(AND(Milestones!$AB$116="FT",Milestones!$AA$116=FT_Y5,EDATE($D138,Milestones!$AA$116)&lt;PolicyEff),1,Milestones!$AC$116)&amp;";  ","")&amp;IF(AND(EDATE($D138,Milestones!$AA$117)&lt;=AsOfDate,EDATE($D138,Milestones!$AA$117)&gt;=SchemeStart,IF($X138=0,$AD138,IF(AND($Z138&lt;&gt;"",EDATE($D138,Milestones!$AA$117)&gt;=$Z138),$AC138,IF(AND($Y138&lt;&gt;"",EDATE($D138,Milestones!$AA$117)&gt;=$Y138),$AB138,$AA138)))=Milestones!$AB$117),UPPER(TEXT(EDATE($D138,Milestones!$AA$117),"dd mmm yy"))&amp;" "&amp;Milestones!$AB$117&amp;" "&amp;IF(AND(Milestones!$AB$117="FT",Milestones!$AA$117=FT_Y5,EDATE($D138,Milestones!$AA$117)&lt;PolicyEff),1,Milestones!$AC$117)&amp;";  ","")&amp;IF(AND(EDATE($D138,Milestones!$AA$118)&lt;=AsOfDate,EDATE($D138,Milestones!$AA$118)&gt;=SchemeStart,IF($X138=0,$AD138,IF(AND($Z138&lt;&gt;"",EDATE($D138,Milestones!$AA$118)&gt;=$Z138),$AC138,IF(AND($Y138&lt;&gt;"",EDATE($D138,Milestones!$AA$118)&gt;=$Y138),$AB138,$AA138)))=Milestones!$AB$118),UPPER(TEXT(EDATE($D138,Milestones!$AA$118),"dd mmm yy"))&amp;" "&amp;Milestones!$AB$118&amp;" "&amp;IF(AND(Milestones!$AB$118="FT",Milestones!$AA$118=FT_Y5,EDATE($D138,Milestones!$AA$118)&lt;PolicyEff),1,Milestones!$AC$118)&amp;";  ","")&amp;IF(AND(EDATE($D138,Milestones!$AA$119)&lt;=AsOfDate,EDATE($D138,Milestones!$AA$119)&gt;=SchemeStart,IF($X138=0,$AD138,IF(AND($Z138&lt;&gt;"",EDATE($D138,Milestones!$AA$119)&gt;=$Z138),$AC138,IF(AND($Y138&lt;&gt;"",EDATE($D138,Milestones!$AA$119)&gt;=$Y138),$AB138,$AA138)))=Milestones!$AB$119),UPPER(TEXT(EDATE($D138,Milestones!$AA$119),"dd mmm yy"))&amp;" "&amp;Milestones!$AB$119&amp;" "&amp;IF(AND(Milestones!$AB$119="FT",Milestones!$AA$119=FT_Y5,EDATE($D138,Milestones!$AA$119)&lt;PolicyEff),1,Milestones!$AC$119)&amp;";  ","")&amp;IF(AND(EDATE($D138,Milestones!$AA$120)&lt;=AsOfDate,EDATE($D138,Milestones!$AA$120)&gt;=SchemeStart,IF($X138=0,$AD138,IF(AND($Z138&lt;&gt;"",EDATE($D138,Milestones!$AA$120)&gt;=$Z138),$AC138,IF(AND($Y138&lt;&gt;"",EDATE($D138,Milestones!$AA$120)&gt;=$Y138),$AB138,$AA138)))=Milestones!$AB$120),UPPER(TEXT(EDATE($D138,Milestones!$AA$120),"dd mmm yy"))&amp;" "&amp;Milestones!$AB$120&amp;" "&amp;IF(AND(Milestones!$AB$120="FT",Milestones!$AA$120=FT_Y5,EDATE($D138,Milestones!$AA$120)&lt;PolicyEff),1,Milestones!$AC$120)&amp;";  ","")&amp;IF(AND(EDATE($D138,Milestones!$AA$121)&lt;=AsOfDate,EDATE($D138,Milestones!$AA$121)&gt;=SchemeStart,IF($X138=0,$AD138,IF(AND($Z138&lt;&gt;"",EDATE($D138,Milestones!$AA$121)&gt;=$Z138),$AC138,IF(AND($Y138&lt;&gt;"",EDATE($D138,Milestones!$AA$121)&gt;=$Y138),$AB138,$AA138)))=Milestones!$AB$121),UPPER(TEXT(EDATE($D138,Milestones!$AA$121),"dd mmm yy"))&amp;" "&amp;Milestones!$AB$121&amp;" "&amp;IF(AND(Milestones!$AB$121="FT",Milestones!$AA$121=FT_Y5,EDATE($D138,Milestones!$AA$121)&lt;PolicyEff),1,Milestones!$AC$121)&amp;";  ","")&amp;IF(AND(EDATE($D138,Milestones!$AA$122)&lt;=AsOfDate,EDATE($D138,Milestones!$AA$122)&gt;=SchemeStart,IF($X138=0,$AD138,IF(AND($Z138&lt;&gt;"",EDATE($D138,Milestones!$AA$122)&gt;=$Z138),$AC138,IF(AND($Y138&lt;&gt;"",EDATE($D138,Milestones!$AA$122)&gt;=$Y138),$AB138,$AA138)))=Milestones!$AB$122),UPPER(TEXT(EDATE($D138,Milestones!$AA$122),"dd mmm yy"))&amp;" "&amp;Milestones!$AB$122&amp;" "&amp;IF(AND(Milestones!$AB$122="FT",Milestones!$AA$122=FT_Y5,EDATE($D138,Milestones!$AA$122)&lt;PolicyEff),1,Milestones!$AC$122)&amp;";  ","")&amp;IF(AND(EDATE($D138,Milestones!$AA$123)&lt;=AsOfDate,EDATE($D138,Milestones!$AA$123)&gt;=SchemeStart,IF($X138=0,$AD138,IF(AND($Z138&lt;&gt;"",EDATE($D138,Milestones!$AA$123)&gt;=$Z138),$AC138,IF(AND($Y138&lt;&gt;"",EDATE($D138,Milestones!$AA$123)&gt;=$Y138),$AB138,$AA138)))=Milestones!$AB$123),UPPER(TEXT(EDATE($D138,Milestones!$AA$123),"dd mmm yy"))&amp;" "&amp;Milestones!$AB$123&amp;" "&amp;IF(AND(Milestones!$AB$123="FT",Milestones!$AA$123=FT_Y5,EDATE($D138,Milestones!$AA$123)&lt;PolicyEff),1,Milestones!$AC$123)&amp;";  ","")&amp;IF(AND(EDATE($D138,Milestones!$AA$124)&lt;=AsOfDate,EDATE($D138,Milestones!$AA$124)&gt;=SchemeStart,IF($X138=0,$AD138,IF(AND($Z138&lt;&gt;"",EDATE($D138,Milestones!$AA$124)&gt;=$Z138),$AC138,IF(AND($Y138&lt;&gt;"",EDATE($D138,Milestones!$AA$124)&gt;=$Y138),$AB138,$AA138)))=Milestones!$AB$124),UPPER(TEXT(EDATE($D138,Milestones!$AA$124),"dd mmm yy"))&amp;" "&amp;Milestones!$AB$124&amp;" "&amp;IF(AND(Milestones!$AB$124="FT",Milestones!$AA$124=FT_Y5,EDATE($D138,Milestones!$AA$124)&lt;PolicyEff),1,Milestones!$AC$124)&amp;";  ","")&amp;IF(AND(EDATE($D138,Milestones!$AA$125)&lt;=AsOfDate,EDATE($D138,Milestones!$AA$125)&gt;=SchemeStart,IF($X138=0,$AD138,IF(AND($Z138&lt;&gt;"",EDATE($D138,Milestones!$AA$125)&gt;=$Z138),$AC138,IF(AND($Y138&lt;&gt;"",EDATE($D138,Milestones!$AA$125)&gt;=$Y138),$AB138,$AA138)))=Milestones!$AB$125),UPPER(TEXT(EDATE($D138,Milestones!$AA$125),"dd mmm yy"))&amp;" "&amp;Milestones!$AB$125&amp;" "&amp;IF(AND(Milestones!$AB$125="FT",Milestones!$AA$125=FT_Y5,EDATE($D138,Milestones!$AA$125)&lt;PolicyEff),1,Milestones!$AC$125)&amp;";  ","")&amp;IF(AND(EDATE($D138,Milestones!$AA$126)&lt;=AsOfDate,EDATE($D138,Milestones!$AA$126)&gt;=SchemeStart,IF($X138=0,$AD138,IF(AND($Z138&lt;&gt;"",EDATE($D138,Milestones!$AA$126)&gt;=$Z138),$AC138,IF(AND($Y138&lt;&gt;"",EDATE($D138,Milestones!$AA$126)&gt;=$Y138),$AB138,$AA138)))=Milestones!$AB$126),UPPER(TEXT(EDATE($D138,Milestones!$AA$126),"dd mmm yy"))&amp;" "&amp;Milestones!$AB$126&amp;" "&amp;IF(AND(Milestones!$AB$126="FT",Milestones!$AA$126=FT_Y5,EDATE($D138,Milestones!$AA$126)&lt;PolicyEff),1,Milestones!$AC$126)&amp;";  ","")&amp;IF(AND(EDATE($D138,Milestones!$AA$127)&lt;=AsOfDate,EDATE($D138,Milestones!$AA$127)&gt;=SchemeStart,IF($X138=0,$AD138,IF(AND($Z138&lt;&gt;"",EDATE($D138,Milestones!$AA$127)&gt;=$Z138),$AC138,IF(AND($Y138&lt;&gt;"",EDATE($D138,Milestones!$AA$127)&gt;=$Y138),$AB138,$AA138)))=Milestones!$AB$127),UPPER(TEXT(EDATE($D138,Milestones!$AA$127),"dd mmm yy"))&amp;" "&amp;Milestones!$AB$127&amp;" "&amp;IF(AND(Milestones!$AB$127="FT",Milestones!$AA$127=FT_Y5,EDATE($D138,Milestones!$AA$127)&lt;PolicyEff),1,Milestones!$AC$127)&amp;";  ",""))</f>
        <v/>
      </c>
      <c r="R138" s="0" t="str">
        <f aca="false">IF(OR($A138="",$D138=""),"",IF(AND(EDATE($D138,Milestones!$AA$128)&lt;=AsOfDate,EDATE($D138,Milestones!$AA$128)&gt;=SchemeStart,IF($X138=0,$AD138,IF(AND($Z138&lt;&gt;"",EDATE($D138,Milestones!$AA$128)&gt;=$Z138),$AC138,IF(AND($Y138&lt;&gt;"",EDATE($D138,Milestones!$AA$128)&gt;=$Y138),$AB138,$AA138)))=Milestones!$AB$128),UPPER(TEXT(EDATE($D138,Milestones!$AA$128),"dd mmm yy"))&amp;" "&amp;Milestones!$AB$128&amp;" "&amp;IF(AND(Milestones!$AB$128="FT",Milestones!$AA$128=FT_Y5,EDATE($D138,Milestones!$AA$128)&lt;PolicyEff),1,Milestones!$AC$128)&amp;";  ","")&amp;IF(AND(EDATE($D138,Milestones!$AA$129)&lt;=AsOfDate,EDATE($D138,Milestones!$AA$129)&gt;=SchemeStart,IF($X138=0,$AD138,IF(AND($Z138&lt;&gt;"",EDATE($D138,Milestones!$AA$129)&gt;=$Z138),$AC138,IF(AND($Y138&lt;&gt;"",EDATE($D138,Milestones!$AA$129)&gt;=$Y138),$AB138,$AA138)))=Milestones!$AB$129),UPPER(TEXT(EDATE($D138,Milestones!$AA$129),"dd mmm yy"))&amp;" "&amp;Milestones!$AB$129&amp;" "&amp;IF(AND(Milestones!$AB$129="FT",Milestones!$AA$129=FT_Y5,EDATE($D138,Milestones!$AA$129)&lt;PolicyEff),1,Milestones!$AC$129)&amp;";  ","")&amp;IF(AND(EDATE($D138,Milestones!$AA$130)&lt;=AsOfDate,EDATE($D138,Milestones!$AA$130)&gt;=SchemeStart,IF($X138=0,$AD138,IF(AND($Z138&lt;&gt;"",EDATE($D138,Milestones!$AA$130)&gt;=$Z138),$AC138,IF(AND($Y138&lt;&gt;"",EDATE($D138,Milestones!$AA$130)&gt;=$Y138),$AB138,$AA138)))=Milestones!$AB$130),UPPER(TEXT(EDATE($D138,Milestones!$AA$130),"dd mmm yy"))&amp;" "&amp;Milestones!$AB$130&amp;" "&amp;IF(AND(Milestones!$AB$130="FT",Milestones!$AA$130=FT_Y5,EDATE($D138,Milestones!$AA$130)&lt;PolicyEff),1,Milestones!$AC$130)&amp;";  ","")&amp;IF(AND(EDATE($D138,Milestones!$AA$131)&lt;=AsOfDate,EDATE($D138,Milestones!$AA$131)&gt;=SchemeStart,IF($X138=0,$AD138,IF(AND($Z138&lt;&gt;"",EDATE($D138,Milestones!$AA$131)&gt;=$Z138),$AC138,IF(AND($Y138&lt;&gt;"",EDATE($D138,Milestones!$AA$131)&gt;=$Y138),$AB138,$AA138)))=Milestones!$AB$131),UPPER(TEXT(EDATE($D138,Milestones!$AA$131),"dd mmm yy"))&amp;" "&amp;Milestones!$AB$131&amp;" "&amp;IF(AND(Milestones!$AB$131="FT",Milestones!$AA$131=FT_Y5,EDATE($D138,Milestones!$AA$131)&lt;PolicyEff),1,Milestones!$AC$131)&amp;";  ","")&amp;IF(AND(EDATE($D138,Milestones!$AA$132)&lt;=AsOfDate,EDATE($D138,Milestones!$AA$132)&gt;=SchemeStart,IF($X138=0,$AD138,IF(AND($Z138&lt;&gt;"",EDATE($D138,Milestones!$AA$132)&gt;=$Z138),$AC138,IF(AND($Y138&lt;&gt;"",EDATE($D138,Milestones!$AA$132)&gt;=$Y138),$AB138,$AA138)))=Milestones!$AB$132),UPPER(TEXT(EDATE($D138,Milestones!$AA$132),"dd mmm yy"))&amp;" "&amp;Milestones!$AB$132&amp;" "&amp;IF(AND(Milestones!$AB$132="FT",Milestones!$AA$132=FT_Y5,EDATE($D138,Milestones!$AA$132)&lt;PolicyEff),1,Milestones!$AC$132)&amp;";  ","")&amp;IF(AND(EDATE($D138,Milestones!$AA$133)&lt;=AsOfDate,EDATE($D138,Milestones!$AA$133)&gt;=SchemeStart,IF($X138=0,$AD138,IF(AND($Z138&lt;&gt;"",EDATE($D138,Milestones!$AA$133)&gt;=$Z138),$AC138,IF(AND($Y138&lt;&gt;"",EDATE($D138,Milestones!$AA$133)&gt;=$Y138),$AB138,$AA138)))=Milestones!$AB$133),UPPER(TEXT(EDATE($D138,Milestones!$AA$133),"dd mmm yy"))&amp;" "&amp;Milestones!$AB$133&amp;" "&amp;IF(AND(Milestones!$AB$133="FT",Milestones!$AA$133=FT_Y5,EDATE($D138,Milestones!$AA$133)&lt;PolicyEff),1,Milestones!$AC$133)&amp;";  ","")&amp;IF(AND(EDATE($D138,Milestones!$AA$134)&lt;=AsOfDate,EDATE($D138,Milestones!$AA$134)&gt;=SchemeStart,IF($X138=0,$AD138,IF(AND($Z138&lt;&gt;"",EDATE($D138,Milestones!$AA$134)&gt;=$Z138),$AC138,IF(AND($Y138&lt;&gt;"",EDATE($D138,Milestones!$AA$134)&gt;=$Y138),$AB138,$AA138)))=Milestones!$AB$134),UPPER(TEXT(EDATE($D138,Milestones!$AA$134),"dd mmm yy"))&amp;" "&amp;Milestones!$AB$134&amp;" "&amp;IF(AND(Milestones!$AB$134="FT",Milestones!$AA$134=FT_Y5,EDATE($D138,Milestones!$AA$134)&lt;PolicyEff),1,Milestones!$AC$134)&amp;";  ","")&amp;IF(AND(EDATE($D138,Milestones!$AA$135)&lt;=AsOfDate,EDATE($D138,Milestones!$AA$135)&gt;=SchemeStart,IF($X138=0,$AD138,IF(AND($Z138&lt;&gt;"",EDATE($D138,Milestones!$AA$135)&gt;=$Z138),$AC138,IF(AND($Y138&lt;&gt;"",EDATE($D138,Milestones!$AA$135)&gt;=$Y138),$AB138,$AA138)))=Milestones!$AB$135),UPPER(TEXT(EDATE($D138,Milestones!$AA$135),"dd mmm yy"))&amp;" "&amp;Milestones!$AB$135&amp;" "&amp;IF(AND(Milestones!$AB$135="FT",Milestones!$AA$135=FT_Y5,EDATE($D138,Milestones!$AA$135)&lt;PolicyEff),1,Milestones!$AC$135)&amp;";  ","")&amp;IF(AND(EDATE($D138,Milestones!$AA$136)&lt;=AsOfDate,EDATE($D138,Milestones!$AA$136)&gt;=SchemeStart,IF($X138=0,$AD138,IF(AND($Z138&lt;&gt;"",EDATE($D138,Milestones!$AA$136)&gt;=$Z138),$AC138,IF(AND($Y138&lt;&gt;"",EDATE($D138,Milestones!$AA$136)&gt;=$Y138),$AB138,$AA138)))=Milestones!$AB$136),UPPER(TEXT(EDATE($D138,Milestones!$AA$136),"dd mmm yy"))&amp;" "&amp;Milestones!$AB$136&amp;" "&amp;IF(AND(Milestones!$AB$136="FT",Milestones!$AA$136=FT_Y5,EDATE($D138,Milestones!$AA$136)&lt;PolicyEff),1,Milestones!$AC$136)&amp;";  ","")&amp;IF(AND(EDATE($D138,Milestones!$AA$137)&lt;=AsOfDate,EDATE($D138,Milestones!$AA$137)&gt;=SchemeStart,IF($X138=0,$AD138,IF(AND($Z138&lt;&gt;"",EDATE($D138,Milestones!$AA$137)&gt;=$Z138),$AC138,IF(AND($Y138&lt;&gt;"",EDATE($D138,Milestones!$AA$137)&gt;=$Y138),$AB138,$AA138)))=Milestones!$AB$137),UPPER(TEXT(EDATE($D138,Milestones!$AA$137),"dd mmm yy"))&amp;" "&amp;Milestones!$AB$137&amp;" "&amp;IF(AND(Milestones!$AB$137="FT",Milestones!$AA$137=FT_Y5,EDATE($D138,Milestones!$AA$137)&lt;PolicyEff),1,Milestones!$AC$137)&amp;";  ","")&amp;IF(AND(EDATE($D138,Milestones!$AA$138)&lt;=AsOfDate,EDATE($D138,Milestones!$AA$138)&gt;=SchemeStart,IF($X138=0,$AD138,IF(AND($Z138&lt;&gt;"",EDATE($D138,Milestones!$AA$138)&gt;=$Z138),$AC138,IF(AND($Y138&lt;&gt;"",EDATE($D138,Milestones!$AA$138)&gt;=$Y138),$AB138,$AA138)))=Milestones!$AB$138),UPPER(TEXT(EDATE($D138,Milestones!$AA$138),"dd mmm yy"))&amp;" "&amp;Milestones!$AB$138&amp;" "&amp;IF(AND(Milestones!$AB$138="FT",Milestones!$AA$138=FT_Y5,EDATE($D138,Milestones!$AA$138)&lt;PolicyEff),1,Milestones!$AC$138)&amp;";  ","")&amp;IF(AND(EDATE($D138,Milestones!$AA$139)&lt;=AsOfDate,EDATE($D138,Milestones!$AA$139)&gt;=SchemeStart,IF($X138=0,$AD138,IF(AND($Z138&lt;&gt;"",EDATE($D138,Milestones!$AA$139)&gt;=$Z138),$AC138,IF(AND($Y138&lt;&gt;"",EDATE($D138,Milestones!$AA$139)&gt;=$Y138),$AB138,$AA138)))=Milestones!$AB$139),UPPER(TEXT(EDATE($D138,Milestones!$AA$139),"dd mmm yy"))&amp;" "&amp;Milestones!$AB$139&amp;" "&amp;IF(AND(Milestones!$AB$139="FT",Milestones!$AA$139=FT_Y5,EDATE($D138,Milestones!$AA$139)&lt;PolicyEff),1,Milestones!$AC$139)&amp;";  ",""))</f>
        <v/>
      </c>
      <c r="S138" s="0" t="str">
        <f aca="false">IF(OR($A138="",$D138=""),"",IF(AND(EDATE($D138,Milestones!$AA$140)&lt;=AsOfDate,EDATE($D138,Milestones!$AA$140)&gt;=SchemeStart,IF($X138=0,$AD138,IF(AND($Z138&lt;&gt;"",EDATE($D138,Milestones!$AA$140)&gt;=$Z138),$AC138,IF(AND($Y138&lt;&gt;"",EDATE($D138,Milestones!$AA$140)&gt;=$Y138),$AB138,$AA138)))=Milestones!$AB$140),UPPER(TEXT(EDATE($D138,Milestones!$AA$140),"dd mmm yy"))&amp;" "&amp;Milestones!$AB$140&amp;" "&amp;IF(AND(Milestones!$AB$140="FT",Milestones!$AA$140=FT_Y5,EDATE($D138,Milestones!$AA$140)&lt;PolicyEff),1,Milestones!$AC$140)&amp;";  ","")&amp;IF(AND(EDATE($D138,Milestones!$AA$141)&lt;=AsOfDate,EDATE($D138,Milestones!$AA$141)&gt;=SchemeStart,IF($X138=0,$AD138,IF(AND($Z138&lt;&gt;"",EDATE($D138,Milestones!$AA$141)&gt;=$Z138),$AC138,IF(AND($Y138&lt;&gt;"",EDATE($D138,Milestones!$AA$141)&gt;=$Y138),$AB138,$AA138)))=Milestones!$AB$141),UPPER(TEXT(EDATE($D138,Milestones!$AA$141),"dd mmm yy"))&amp;" "&amp;Milestones!$AB$141&amp;" "&amp;IF(AND(Milestones!$AB$141="FT",Milestones!$AA$141=FT_Y5,EDATE($D138,Milestones!$AA$141)&lt;PolicyEff),1,Milestones!$AC$141)&amp;";  ","")&amp;IF(AND(EDATE($D138,Milestones!$AA$142)&lt;=AsOfDate,EDATE($D138,Milestones!$AA$142)&gt;=SchemeStart,IF($X138=0,$AD138,IF(AND($Z138&lt;&gt;"",EDATE($D138,Milestones!$AA$142)&gt;=$Z138),$AC138,IF(AND($Y138&lt;&gt;"",EDATE($D138,Milestones!$AA$142)&gt;=$Y138),$AB138,$AA138)))=Milestones!$AB$142),UPPER(TEXT(EDATE($D138,Milestones!$AA$142),"dd mmm yy"))&amp;" "&amp;Milestones!$AB$142&amp;" "&amp;IF(AND(Milestones!$AB$142="FT",Milestones!$AA$142=FT_Y5,EDATE($D138,Milestones!$AA$142)&lt;PolicyEff),1,Milestones!$AC$142)&amp;";  ","")&amp;IF(AND(EDATE($D138,Milestones!$AA$143)&lt;=AsOfDate,EDATE($D138,Milestones!$AA$143)&gt;=SchemeStart,IF($X138=0,$AD138,IF(AND($Z138&lt;&gt;"",EDATE($D138,Milestones!$AA$143)&gt;=$Z138),$AC138,IF(AND($Y138&lt;&gt;"",EDATE($D138,Milestones!$AA$143)&gt;=$Y138),$AB138,$AA138)))=Milestones!$AB$143),UPPER(TEXT(EDATE($D138,Milestones!$AA$143),"dd mmm yy"))&amp;" "&amp;Milestones!$AB$143&amp;" "&amp;IF(AND(Milestones!$AB$143="FT",Milestones!$AA$143=FT_Y5,EDATE($D138,Milestones!$AA$143)&lt;PolicyEff),1,Milestones!$AC$143)&amp;";  ","")&amp;IF(AND(EDATE($D138,Milestones!$AA$144)&lt;=AsOfDate,EDATE($D138,Milestones!$AA$144)&gt;=SchemeStart,IF($X138=0,$AD138,IF(AND($Z138&lt;&gt;"",EDATE($D138,Milestones!$AA$144)&gt;=$Z138),$AC138,IF(AND($Y138&lt;&gt;"",EDATE($D138,Milestones!$AA$144)&gt;=$Y138),$AB138,$AA138)))=Milestones!$AB$144),UPPER(TEXT(EDATE($D138,Milestones!$AA$144),"dd mmm yy"))&amp;" "&amp;Milestones!$AB$144&amp;" "&amp;IF(AND(Milestones!$AB$144="FT",Milestones!$AA$144=FT_Y5,EDATE($D138,Milestones!$AA$144)&lt;PolicyEff),1,Milestones!$AC$144)&amp;";  ","")&amp;IF(AND(EDATE($D138,Milestones!$AA$145)&lt;=AsOfDate,EDATE($D138,Milestones!$AA$145)&gt;=SchemeStart,IF($X138=0,$AD138,IF(AND($Z138&lt;&gt;"",EDATE($D138,Milestones!$AA$145)&gt;=$Z138),$AC138,IF(AND($Y138&lt;&gt;"",EDATE($D138,Milestones!$AA$145)&gt;=$Y138),$AB138,$AA138)))=Milestones!$AB$145),UPPER(TEXT(EDATE($D138,Milestones!$AA$145),"dd mmm yy"))&amp;" "&amp;Milestones!$AB$145&amp;" "&amp;IF(AND(Milestones!$AB$145="FT",Milestones!$AA$145=FT_Y5,EDATE($D138,Milestones!$AA$145)&lt;PolicyEff),1,Milestones!$AC$145)&amp;";  ","")&amp;IF(AND(EDATE($D138,Milestones!$AA$146)&lt;=AsOfDate,EDATE($D138,Milestones!$AA$146)&gt;=SchemeStart,IF($X138=0,$AD138,IF(AND($Z138&lt;&gt;"",EDATE($D138,Milestones!$AA$146)&gt;=$Z138),$AC138,IF(AND($Y138&lt;&gt;"",EDATE($D138,Milestones!$AA$146)&gt;=$Y138),$AB138,$AA138)))=Milestones!$AB$146),UPPER(TEXT(EDATE($D138,Milestones!$AA$146),"dd mmm yy"))&amp;" "&amp;Milestones!$AB$146&amp;" "&amp;IF(AND(Milestones!$AB$146="FT",Milestones!$AA$146=FT_Y5,EDATE($D138,Milestones!$AA$146)&lt;PolicyEff),1,Milestones!$AC$146)&amp;";  ","")&amp;IF(AND(EDATE($D138,Milestones!$AA$147)&lt;=AsOfDate,EDATE($D138,Milestones!$AA$147)&gt;=SchemeStart,IF($X138=0,$AD138,IF(AND($Z138&lt;&gt;"",EDATE($D138,Milestones!$AA$147)&gt;=$Z138),$AC138,IF(AND($Y138&lt;&gt;"",EDATE($D138,Milestones!$AA$147)&gt;=$Y138),$AB138,$AA138)))=Milestones!$AB$147),UPPER(TEXT(EDATE($D138,Milestones!$AA$147),"dd mmm yy"))&amp;" "&amp;Milestones!$AB$147&amp;" "&amp;IF(AND(Milestones!$AB$147="FT",Milestones!$AA$147=FT_Y5,EDATE($D138,Milestones!$AA$147)&lt;PolicyEff),1,Milestones!$AC$147)&amp;";  ","")&amp;IF(AND(EDATE($D138,Milestones!$AA$148)&lt;=AsOfDate,EDATE($D138,Milestones!$AA$148)&gt;=SchemeStart,IF($X138=0,$AD138,IF(AND($Z138&lt;&gt;"",EDATE($D138,Milestones!$AA$148)&gt;=$Z138),$AC138,IF(AND($Y138&lt;&gt;"",EDATE($D138,Milestones!$AA$148)&gt;=$Y138),$AB138,$AA138)))=Milestones!$AB$148),UPPER(TEXT(EDATE($D138,Milestones!$AA$148),"dd mmm yy"))&amp;" "&amp;Milestones!$AB$148&amp;" "&amp;IF(AND(Milestones!$AB$148="FT",Milestones!$AA$148=FT_Y5,EDATE($D138,Milestones!$AA$148)&lt;PolicyEff),1,Milestones!$AC$148)&amp;";  ","")&amp;IF(AND(EDATE($D138,Milestones!$AA$149)&lt;=AsOfDate,EDATE($D138,Milestones!$AA$149)&gt;=SchemeStart,IF($X138=0,$AD138,IF(AND($Z138&lt;&gt;"",EDATE($D138,Milestones!$AA$149)&gt;=$Z138),$AC138,IF(AND($Y138&lt;&gt;"",EDATE($D138,Milestones!$AA$149)&gt;=$Y138),$AB138,$AA138)))=Milestones!$AB$149),UPPER(TEXT(EDATE($D138,Milestones!$AA$149),"dd mmm yy"))&amp;" "&amp;Milestones!$AB$149&amp;" "&amp;IF(AND(Milestones!$AB$149="FT",Milestones!$AA$149=FT_Y5,EDATE($D138,Milestones!$AA$149)&lt;PolicyEff),1,Milestones!$AC$149)&amp;";  ","")&amp;IF(AND(EDATE($D138,Milestones!$AA$150)&lt;=AsOfDate,EDATE($D138,Milestones!$AA$150)&gt;=SchemeStart,IF($X138=0,$AD138,IF(AND($Z138&lt;&gt;"",EDATE($D138,Milestones!$AA$150)&gt;=$Z138),$AC138,IF(AND($Y138&lt;&gt;"",EDATE($D138,Milestones!$AA$150)&gt;=$Y138),$AB138,$AA138)))=Milestones!$AB$150),UPPER(TEXT(EDATE($D138,Milestones!$AA$150),"dd mmm yy"))&amp;" "&amp;Milestones!$AB$150&amp;" "&amp;IF(AND(Milestones!$AB$150="FT",Milestones!$AA$150=FT_Y5,EDATE($D138,Milestones!$AA$150)&lt;PolicyEff),1,Milestones!$AC$150)&amp;";  ","")&amp;IF(AND(EDATE($D138,Milestones!$AA$151)&lt;=AsOfDate,EDATE($D138,Milestones!$AA$151)&gt;=SchemeStart,IF($X138=0,$AD138,IF(AND($Z138&lt;&gt;"",EDATE($D138,Milestones!$AA$151)&gt;=$Z138),$AC138,IF(AND($Y138&lt;&gt;"",EDATE($D138,Milestones!$AA$151)&gt;=$Y138),$AB138,$AA138)))=Milestones!$AB$151),UPPER(TEXT(EDATE($D138,Milestones!$AA$151),"dd mmm yy"))&amp;" "&amp;Milestones!$AB$151&amp;" "&amp;IF(AND(Milestones!$AB$151="FT",Milestones!$AA$151=FT_Y5,EDATE($D138,Milestones!$AA$151)&lt;PolicyEff),1,Milestones!$AC$151)&amp;";  ",""))</f>
        <v/>
      </c>
      <c r="T138" s="0" t="str">
        <f aca="false">IF(OR($A138="",$D138=""),"",IF(AND(EDATE($D138,Milestones!$AA$152)&lt;=AsOfDate,EDATE($D138,Milestones!$AA$152)&gt;=SchemeStart,IF($X138=0,$AD138,IF(AND($Z138&lt;&gt;"",EDATE($D138,Milestones!$AA$152)&gt;=$Z138),$AC138,IF(AND($Y138&lt;&gt;"",EDATE($D138,Milestones!$AA$152)&gt;=$Y138),$AB138,$AA138)))=Milestones!$AB$152),UPPER(TEXT(EDATE($D138,Milestones!$AA$152),"dd mmm yy"))&amp;" "&amp;Milestones!$AB$152&amp;" "&amp;IF(AND(Milestones!$AB$152="FT",Milestones!$AA$152=FT_Y5,EDATE($D138,Milestones!$AA$152)&lt;PolicyEff),1,Milestones!$AC$152)&amp;";  ","")&amp;IF(AND(EDATE($D138,Milestones!$AA$153)&lt;=AsOfDate,EDATE($D138,Milestones!$AA$153)&gt;=SchemeStart,IF($X138=0,$AD138,IF(AND($Z138&lt;&gt;"",EDATE($D138,Milestones!$AA$153)&gt;=$Z138),$AC138,IF(AND($Y138&lt;&gt;"",EDATE($D138,Milestones!$AA$153)&gt;=$Y138),$AB138,$AA138)))=Milestones!$AB$153),UPPER(TEXT(EDATE($D138,Milestones!$AA$153),"dd mmm yy"))&amp;" "&amp;Milestones!$AB$153&amp;" "&amp;IF(AND(Milestones!$AB$153="FT",Milestones!$AA$153=FT_Y5,EDATE($D138,Milestones!$AA$153)&lt;PolicyEff),1,Milestones!$AC$153)&amp;";  ","")&amp;IF(AND(EDATE($D138,Milestones!$AA$154)&lt;=AsOfDate,EDATE($D138,Milestones!$AA$154)&gt;=SchemeStart,IF($X138=0,$AD138,IF(AND($Z138&lt;&gt;"",EDATE($D138,Milestones!$AA$154)&gt;=$Z138),$AC138,IF(AND($Y138&lt;&gt;"",EDATE($D138,Milestones!$AA$154)&gt;=$Y138),$AB138,$AA138)))=Milestones!$AB$154),UPPER(TEXT(EDATE($D138,Milestones!$AA$154),"dd mmm yy"))&amp;" "&amp;Milestones!$AB$154&amp;" "&amp;IF(AND(Milestones!$AB$154="FT",Milestones!$AA$154=FT_Y5,EDATE($D138,Milestones!$AA$154)&lt;PolicyEff),1,Milestones!$AC$154)&amp;";  ","")&amp;IF(AND(EDATE($D138,Milestones!$AA$155)&lt;=AsOfDate,EDATE($D138,Milestones!$AA$155)&gt;=SchemeStart,IF($X138=0,$AD138,IF(AND($Z138&lt;&gt;"",EDATE($D138,Milestones!$AA$155)&gt;=$Z138),$AC138,IF(AND($Y138&lt;&gt;"",EDATE($D138,Milestones!$AA$155)&gt;=$Y138),$AB138,$AA138)))=Milestones!$AB$155),UPPER(TEXT(EDATE($D138,Milestones!$AA$155),"dd mmm yy"))&amp;" "&amp;Milestones!$AB$155&amp;" "&amp;IF(AND(Milestones!$AB$155="FT",Milestones!$AA$155=FT_Y5,EDATE($D138,Milestones!$AA$155)&lt;PolicyEff),1,Milestones!$AC$155)&amp;";  ","")&amp;IF(AND(EDATE($D138,Milestones!$AA$156)&lt;=AsOfDate,EDATE($D138,Milestones!$AA$156)&gt;=SchemeStart,IF($X138=0,$AD138,IF(AND($Z138&lt;&gt;"",EDATE($D138,Milestones!$AA$156)&gt;=$Z138),$AC138,IF(AND($Y138&lt;&gt;"",EDATE($D138,Milestones!$AA$156)&gt;=$Y138),$AB138,$AA138)))=Milestones!$AB$156),UPPER(TEXT(EDATE($D138,Milestones!$AA$156),"dd mmm yy"))&amp;" "&amp;Milestones!$AB$156&amp;" "&amp;IF(AND(Milestones!$AB$156="FT",Milestones!$AA$156=FT_Y5,EDATE($D138,Milestones!$AA$156)&lt;PolicyEff),1,Milestones!$AC$156)&amp;";  ","")&amp;IF(AND(EDATE($D138,Milestones!$AA$157)&lt;=AsOfDate,EDATE($D138,Milestones!$AA$157)&gt;=SchemeStart,IF($X138=0,$AD138,IF(AND($Z138&lt;&gt;"",EDATE($D138,Milestones!$AA$157)&gt;=$Z138),$AC138,IF(AND($Y138&lt;&gt;"",EDATE($D138,Milestones!$AA$157)&gt;=$Y138),$AB138,$AA138)))=Milestones!$AB$157),UPPER(TEXT(EDATE($D138,Milestones!$AA$157),"dd mmm yy"))&amp;" "&amp;Milestones!$AB$157&amp;" "&amp;IF(AND(Milestones!$AB$157="FT",Milestones!$AA$157=FT_Y5,EDATE($D138,Milestones!$AA$157)&lt;PolicyEff),1,Milestones!$AC$157)&amp;";  ","")&amp;IF(AND(EDATE($D138,Milestones!$AA$158)&lt;=AsOfDate,EDATE($D138,Milestones!$AA$158)&gt;=SchemeStart,IF($X138=0,$AD138,IF(AND($Z138&lt;&gt;"",EDATE($D138,Milestones!$AA$158)&gt;=$Z138),$AC138,IF(AND($Y138&lt;&gt;"",EDATE($D138,Milestones!$AA$158)&gt;=$Y138),$AB138,$AA138)))=Milestones!$AB$158),UPPER(TEXT(EDATE($D138,Milestones!$AA$158),"dd mmm yy"))&amp;" "&amp;Milestones!$AB$158&amp;" "&amp;IF(AND(Milestones!$AB$158="FT",Milestones!$AA$158=FT_Y5,EDATE($D138,Milestones!$AA$158)&lt;PolicyEff),1,Milestones!$AC$158)&amp;";  ","")&amp;IF(AND(EDATE($D138,Milestones!$AA$159)&lt;=AsOfDate,EDATE($D138,Milestones!$AA$159)&gt;=SchemeStart,IF($X138=0,$AD138,IF(AND($Z138&lt;&gt;"",EDATE($D138,Milestones!$AA$159)&gt;=$Z138),$AC138,IF(AND($Y138&lt;&gt;"",EDATE($D138,Milestones!$AA$159)&gt;=$Y138),$AB138,$AA138)))=Milestones!$AB$159),UPPER(TEXT(EDATE($D138,Milestones!$AA$159),"dd mmm yy"))&amp;" "&amp;Milestones!$AB$159&amp;" "&amp;IF(AND(Milestones!$AB$159="FT",Milestones!$AA$159=FT_Y5,EDATE($D138,Milestones!$AA$159)&lt;PolicyEff),1,Milestones!$AC$159)&amp;";  ","")&amp;IF(AND(EDATE($D138,Milestones!$AA$160)&lt;=AsOfDate,EDATE($D138,Milestones!$AA$160)&gt;=SchemeStart,IF($X138=0,$AD138,IF(AND($Z138&lt;&gt;"",EDATE($D138,Milestones!$AA$160)&gt;=$Z138),$AC138,IF(AND($Y138&lt;&gt;"",EDATE($D138,Milestones!$AA$160)&gt;=$Y138),$AB138,$AA138)))=Milestones!$AB$160),UPPER(TEXT(EDATE($D138,Milestones!$AA$160),"dd mmm yy"))&amp;" "&amp;Milestones!$AB$160&amp;" "&amp;IF(AND(Milestones!$AB$160="FT",Milestones!$AA$160=FT_Y5,EDATE($D138,Milestones!$AA$160)&lt;PolicyEff),1,Milestones!$AC$160)&amp;";  ","")&amp;IF(AND(EDATE($D138,Milestones!$AA$161)&lt;=AsOfDate,EDATE($D138,Milestones!$AA$161)&gt;=SchemeStart,IF($X138=0,$AD138,IF(AND($Z138&lt;&gt;"",EDATE($D138,Milestones!$AA$161)&gt;=$Z138),$AC138,IF(AND($Y138&lt;&gt;"",EDATE($D138,Milestones!$AA$161)&gt;=$Y138),$AB138,$AA138)))=Milestones!$AB$161),UPPER(TEXT(EDATE($D138,Milestones!$AA$161),"dd mmm yy"))&amp;" "&amp;Milestones!$AB$161&amp;" "&amp;IF(AND(Milestones!$AB$161="FT",Milestones!$AA$161=FT_Y5,EDATE($D138,Milestones!$AA$161)&lt;PolicyEff),1,Milestones!$AC$161)&amp;";  ","")&amp;IF(AND(EDATE($D138,Milestones!$AA$162)&lt;=AsOfDate,EDATE($D138,Milestones!$AA$162)&gt;=SchemeStart,IF($X138=0,$AD138,IF(AND($Z138&lt;&gt;"",EDATE($D138,Milestones!$AA$162)&gt;=$Z138),$AC138,IF(AND($Y138&lt;&gt;"",EDATE($D138,Milestones!$AA$162)&gt;=$Y138),$AB138,$AA138)))=Milestones!$AB$162),UPPER(TEXT(EDATE($D138,Milestones!$AA$162),"dd mmm yy"))&amp;" "&amp;Milestones!$AB$162&amp;" "&amp;IF(AND(Milestones!$AB$162="FT",Milestones!$AA$162=FT_Y5,EDATE($D138,Milestones!$AA$162)&lt;PolicyEff),1,Milestones!$AC$162)&amp;";  ","")&amp;IF(AND(EDATE($D138,Milestones!$AA$163)&lt;=AsOfDate,EDATE($D138,Milestones!$AA$163)&gt;=SchemeStart,IF($X138=0,$AD138,IF(AND($Z138&lt;&gt;"",EDATE($D138,Milestones!$AA$163)&gt;=$Z138),$AC138,IF(AND($Y138&lt;&gt;"",EDATE($D138,Milestones!$AA$163)&gt;=$Y138),$AB138,$AA138)))=Milestones!$AB$163),UPPER(TEXT(EDATE($D138,Milestones!$AA$163),"dd mmm yy"))&amp;" "&amp;Milestones!$AB$163&amp;" "&amp;IF(AND(Milestones!$AB$163="FT",Milestones!$AA$163=FT_Y5,EDATE($D138,Milestones!$AA$163)&lt;PolicyEff),1,Milestones!$AC$163)&amp;";  ",""))</f>
        <v/>
      </c>
      <c r="U138" s="0" t="str">
        <f aca="false">IF(OR($A138="",$D138=""),"",IF(AND(EDATE($D138,Milestones!$AA$164)&lt;=AsOfDate,EDATE($D138,Milestones!$AA$164)&gt;=SchemeStart,IF($X138=0,$AD138,IF(AND($Z138&lt;&gt;"",EDATE($D138,Milestones!$AA$164)&gt;=$Z138),$AC138,IF(AND($Y138&lt;&gt;"",EDATE($D138,Milestones!$AA$164)&gt;=$Y138),$AB138,$AA138)))=Milestones!$AB$164),UPPER(TEXT(EDATE($D138,Milestones!$AA$164),"dd mmm yy"))&amp;" "&amp;Milestones!$AB$164&amp;" "&amp;IF(AND(Milestones!$AB$164="FT",Milestones!$AA$164=FT_Y5,EDATE($D138,Milestones!$AA$164)&lt;PolicyEff),1,Milestones!$AC$164)&amp;";  ","")&amp;IF(AND(EDATE($D138,Milestones!$AA$165)&lt;=AsOfDate,EDATE($D138,Milestones!$AA$165)&gt;=SchemeStart,IF($X138=0,$AD138,IF(AND($Z138&lt;&gt;"",EDATE($D138,Milestones!$AA$165)&gt;=$Z138),$AC138,IF(AND($Y138&lt;&gt;"",EDATE($D138,Milestones!$AA$165)&gt;=$Y138),$AB138,$AA138)))=Milestones!$AB$165),UPPER(TEXT(EDATE($D138,Milestones!$AA$165),"dd mmm yy"))&amp;" "&amp;Milestones!$AB$165&amp;" "&amp;IF(AND(Milestones!$AB$165="FT",Milestones!$AA$165=FT_Y5,EDATE($D138,Milestones!$AA$165)&lt;PolicyEff),1,Milestones!$AC$165)&amp;";  ","")&amp;IF(AND(EDATE($D138,Milestones!$AA$166)&lt;=AsOfDate,EDATE($D138,Milestones!$AA$166)&gt;=SchemeStart,IF($X138=0,$AD138,IF(AND($Z138&lt;&gt;"",EDATE($D138,Milestones!$AA$166)&gt;=$Z138),$AC138,IF(AND($Y138&lt;&gt;"",EDATE($D138,Milestones!$AA$166)&gt;=$Y138),$AB138,$AA138)))=Milestones!$AB$166),UPPER(TEXT(EDATE($D138,Milestones!$AA$166),"dd mmm yy"))&amp;" "&amp;Milestones!$AB$166&amp;" "&amp;IF(AND(Milestones!$AB$166="FT",Milestones!$AA$166=FT_Y5,EDATE($D138,Milestones!$AA$166)&lt;PolicyEff),1,Milestones!$AC$166)&amp;";  ","")&amp;IF(AND(EDATE($D138,Milestones!$AA$167)&lt;=AsOfDate,EDATE($D138,Milestones!$AA$167)&gt;=SchemeStart,IF($X138=0,$AD138,IF(AND($Z138&lt;&gt;"",EDATE($D138,Milestones!$AA$167)&gt;=$Z138),$AC138,IF(AND($Y138&lt;&gt;"",EDATE($D138,Milestones!$AA$167)&gt;=$Y138),$AB138,$AA138)))=Milestones!$AB$167),UPPER(TEXT(EDATE($D138,Milestones!$AA$167),"dd mmm yy"))&amp;" "&amp;Milestones!$AB$167&amp;" "&amp;IF(AND(Milestones!$AB$167="FT",Milestones!$AA$167=FT_Y5,EDATE($D138,Milestones!$AA$167)&lt;PolicyEff),1,Milestones!$AC$167)&amp;";  ","")&amp;IF(AND(EDATE($D138,Milestones!$AA$168)&lt;=AsOfDate,EDATE($D138,Milestones!$AA$168)&gt;=SchemeStart,IF($X138=0,$AD138,IF(AND($Z138&lt;&gt;"",EDATE($D138,Milestones!$AA$168)&gt;=$Z138),$AC138,IF(AND($Y138&lt;&gt;"",EDATE($D138,Milestones!$AA$168)&gt;=$Y138),$AB138,$AA138)))=Milestones!$AB$168),UPPER(TEXT(EDATE($D138,Milestones!$AA$168),"dd mmm yy"))&amp;" "&amp;Milestones!$AB$168&amp;" "&amp;IF(AND(Milestones!$AB$168="FT",Milestones!$AA$168=FT_Y5,EDATE($D138,Milestones!$AA$168)&lt;PolicyEff),1,Milestones!$AC$168)&amp;";  ","")&amp;IF(AND(EDATE($D138,Milestones!$AA$169)&lt;=AsOfDate,EDATE($D138,Milestones!$AA$169)&gt;=SchemeStart,IF($X138=0,$AD138,IF(AND($Z138&lt;&gt;"",EDATE($D138,Milestones!$AA$169)&gt;=$Z138),$AC138,IF(AND($Y138&lt;&gt;"",EDATE($D138,Milestones!$AA$169)&gt;=$Y138),$AB138,$AA138)))=Milestones!$AB$169),UPPER(TEXT(EDATE($D138,Milestones!$AA$169),"dd mmm yy"))&amp;" "&amp;Milestones!$AB$169&amp;" "&amp;IF(AND(Milestones!$AB$169="FT",Milestones!$AA$169=FT_Y5,EDATE($D138,Milestones!$AA$169)&lt;PolicyEff),1,Milestones!$AC$169)&amp;";  ","")&amp;IF(AND(EDATE($D138,Milestones!$AA$170)&lt;=AsOfDate,EDATE($D138,Milestones!$AA$170)&gt;=SchemeStart,IF($X138=0,$AD138,IF(AND($Z138&lt;&gt;"",EDATE($D138,Milestones!$AA$170)&gt;=$Z138),$AC138,IF(AND($Y138&lt;&gt;"",EDATE($D138,Milestones!$AA$170)&gt;=$Y138),$AB138,$AA138)))=Milestones!$AB$170),UPPER(TEXT(EDATE($D138,Milestones!$AA$170),"dd mmm yy"))&amp;" "&amp;Milestones!$AB$170&amp;" "&amp;IF(AND(Milestones!$AB$170="FT",Milestones!$AA$170=FT_Y5,EDATE($D138,Milestones!$AA$170)&lt;PolicyEff),1,Milestones!$AC$170)&amp;";  ","")&amp;IF(AND(EDATE($D138,Milestones!$AA$171)&lt;=AsOfDate,EDATE($D138,Milestones!$AA$171)&gt;=SchemeStart,IF($X138=0,$AD138,IF(AND($Z138&lt;&gt;"",EDATE($D138,Milestones!$AA$171)&gt;=$Z138),$AC138,IF(AND($Y138&lt;&gt;"",EDATE($D138,Milestones!$AA$171)&gt;=$Y138),$AB138,$AA138)))=Milestones!$AB$171),UPPER(TEXT(EDATE($D138,Milestones!$AA$171),"dd mmm yy"))&amp;" "&amp;Milestones!$AB$171&amp;" "&amp;IF(AND(Milestones!$AB$171="FT",Milestones!$AA$171=FT_Y5,EDATE($D138,Milestones!$AA$171)&lt;PolicyEff),1,Milestones!$AC$171)&amp;";  ","")&amp;IF(AND(EDATE($D138,Milestones!$AA$172)&lt;=AsOfDate,EDATE($D138,Milestones!$AA$172)&gt;=SchemeStart,IF($X138=0,$AD138,IF(AND($Z138&lt;&gt;"",EDATE($D138,Milestones!$AA$172)&gt;=$Z138),$AC138,IF(AND($Y138&lt;&gt;"",EDATE($D138,Milestones!$AA$172)&gt;=$Y138),$AB138,$AA138)))=Milestones!$AB$172),UPPER(TEXT(EDATE($D138,Milestones!$AA$172),"dd mmm yy"))&amp;" "&amp;Milestones!$AB$172&amp;" "&amp;IF(AND(Milestones!$AB$172="FT",Milestones!$AA$172=FT_Y5,EDATE($D138,Milestones!$AA$172)&lt;PolicyEff),1,Milestones!$AC$172)&amp;";  ","")&amp;IF(AND(EDATE($D138,Milestones!$AA$173)&lt;=AsOfDate,EDATE($D138,Milestones!$AA$173)&gt;=SchemeStart,IF($X138=0,$AD138,IF(AND($Z138&lt;&gt;"",EDATE($D138,Milestones!$AA$173)&gt;=$Z138),$AC138,IF(AND($Y138&lt;&gt;"",EDATE($D138,Milestones!$AA$173)&gt;=$Y138),$AB138,$AA138)))=Milestones!$AB$173),UPPER(TEXT(EDATE($D138,Milestones!$AA$173),"dd mmm yy"))&amp;" "&amp;Milestones!$AB$173&amp;" "&amp;IF(AND(Milestones!$AB$173="FT",Milestones!$AA$173=FT_Y5,EDATE($D138,Milestones!$AA$173)&lt;PolicyEff),1,Milestones!$AC$173)&amp;";  ","")&amp;IF(AND(EDATE($D138,Milestones!$AA$174)&lt;=AsOfDate,EDATE($D138,Milestones!$AA$174)&gt;=SchemeStart,IF($X138=0,$AD138,IF(AND($Z138&lt;&gt;"",EDATE($D138,Milestones!$AA$174)&gt;=$Z138),$AC138,IF(AND($Y138&lt;&gt;"",EDATE($D138,Milestones!$AA$174)&gt;=$Y138),$AB138,$AA138)))=Milestones!$AB$174),UPPER(TEXT(EDATE($D138,Milestones!$AA$174),"dd mmm yy"))&amp;" "&amp;Milestones!$AB$174&amp;" "&amp;IF(AND(Milestones!$AB$174="FT",Milestones!$AA$174=FT_Y5,EDATE($D138,Milestones!$AA$174)&lt;PolicyEff),1,Milestones!$AC$174)&amp;";  ","")&amp;IF(AND(EDATE($D138,Milestones!$AA$175)&lt;=AsOfDate,EDATE($D138,Milestones!$AA$175)&gt;=SchemeStart,IF($X138=0,$AD138,IF(AND($Z138&lt;&gt;"",EDATE($D138,Milestones!$AA$175)&gt;=$Z138),$AC138,IF(AND($Y138&lt;&gt;"",EDATE($D138,Milestones!$AA$175)&gt;=$Y138),$AB138,$AA138)))=Milestones!$AB$175),UPPER(TEXT(EDATE($D138,Milestones!$AA$175),"dd mmm yy"))&amp;" "&amp;Milestones!$AB$175&amp;" "&amp;IF(AND(Milestones!$AB$175="FT",Milestones!$AA$175=FT_Y5,EDATE($D138,Milestones!$AA$175)&lt;PolicyEff),1,Milestones!$AC$175)&amp;";  ",""))</f>
        <v/>
      </c>
      <c r="V138" s="0" t="str">
        <f aca="false">IF(OR($A138="",$D138=""),"",IF(AND(EDATE($D138,Milestones!$AA$176)&lt;=AsOfDate,EDATE($D138,Milestones!$AA$176)&gt;=SchemeStart,IF($X138=0,$AD138,IF(AND($Z138&lt;&gt;"",EDATE($D138,Milestones!$AA$176)&gt;=$Z138),$AC138,IF(AND($Y138&lt;&gt;"",EDATE($D138,Milestones!$AA$176)&gt;=$Y138),$AB138,$AA138)))=Milestones!$AB$176),UPPER(TEXT(EDATE($D138,Milestones!$AA$176),"dd mmm yy"))&amp;" "&amp;Milestones!$AB$176&amp;" "&amp;IF(AND(Milestones!$AB$176="FT",Milestones!$AA$176=FT_Y5,EDATE($D138,Milestones!$AA$176)&lt;PolicyEff),1,Milestones!$AC$176)&amp;";  ","")&amp;IF(AND(EDATE($D138,Milestones!$AA$177)&lt;=AsOfDate,EDATE($D138,Milestones!$AA$177)&gt;=SchemeStart,IF($X138=0,$AD138,IF(AND($Z138&lt;&gt;"",EDATE($D138,Milestones!$AA$177)&gt;=$Z138),$AC138,IF(AND($Y138&lt;&gt;"",EDATE($D138,Milestones!$AA$177)&gt;=$Y138),$AB138,$AA138)))=Milestones!$AB$177),UPPER(TEXT(EDATE($D138,Milestones!$AA$177),"dd mmm yy"))&amp;" "&amp;Milestones!$AB$177&amp;" "&amp;IF(AND(Milestones!$AB$177="FT",Milestones!$AA$177=FT_Y5,EDATE($D138,Milestones!$AA$177)&lt;PolicyEff),1,Milestones!$AC$177)&amp;";  ","")&amp;IF(AND(EDATE($D138,Milestones!$AA$178)&lt;=AsOfDate,EDATE($D138,Milestones!$AA$178)&gt;=SchemeStart,IF($X138=0,$AD138,IF(AND($Z138&lt;&gt;"",EDATE($D138,Milestones!$AA$178)&gt;=$Z138),$AC138,IF(AND($Y138&lt;&gt;"",EDATE($D138,Milestones!$AA$178)&gt;=$Y138),$AB138,$AA138)))=Milestones!$AB$178),UPPER(TEXT(EDATE($D138,Milestones!$AA$178),"dd mmm yy"))&amp;" "&amp;Milestones!$AB$178&amp;" "&amp;IF(AND(Milestones!$AB$178="FT",Milestones!$AA$178=FT_Y5,EDATE($D138,Milestones!$AA$178)&lt;PolicyEff),1,Milestones!$AC$178)&amp;";  ","")&amp;IF(AND(EDATE($D138,Milestones!$AA$179)&lt;=AsOfDate,EDATE($D138,Milestones!$AA$179)&gt;=SchemeStart,IF($X138=0,$AD138,IF(AND($Z138&lt;&gt;"",EDATE($D138,Milestones!$AA$179)&gt;=$Z138),$AC138,IF(AND($Y138&lt;&gt;"",EDATE($D138,Milestones!$AA$179)&gt;=$Y138),$AB138,$AA138)))=Milestones!$AB$179),UPPER(TEXT(EDATE($D138,Milestones!$AA$179),"dd mmm yy"))&amp;" "&amp;Milestones!$AB$179&amp;" "&amp;IF(AND(Milestones!$AB$179="FT",Milestones!$AA$179=FT_Y5,EDATE($D138,Milestones!$AA$179)&lt;PolicyEff),1,Milestones!$AC$179)&amp;";  ","")&amp;IF(AND(EDATE($D138,Milestones!$AA$180)&lt;=AsOfDate,EDATE($D138,Milestones!$AA$180)&gt;=SchemeStart,IF($X138=0,$AD138,IF(AND($Z138&lt;&gt;"",EDATE($D138,Milestones!$AA$180)&gt;=$Z138),$AC138,IF(AND($Y138&lt;&gt;"",EDATE($D138,Milestones!$AA$180)&gt;=$Y138),$AB138,$AA138)))=Milestones!$AB$180),UPPER(TEXT(EDATE($D138,Milestones!$AA$180),"dd mmm yy"))&amp;" "&amp;Milestones!$AB$180&amp;" "&amp;IF(AND(Milestones!$AB$180="FT",Milestones!$AA$180=FT_Y5,EDATE($D138,Milestones!$AA$180)&lt;PolicyEff),1,Milestones!$AC$180)&amp;";  ","")&amp;IF(AND(EDATE($D138,Milestones!$AA$181)&lt;=AsOfDate,EDATE($D138,Milestones!$AA$181)&gt;=SchemeStart,IF($X138=0,$AD138,IF(AND($Z138&lt;&gt;"",EDATE($D138,Milestones!$AA$181)&gt;=$Z138),$AC138,IF(AND($Y138&lt;&gt;"",EDATE($D138,Milestones!$AA$181)&gt;=$Y138),$AB138,$AA138)))=Milestones!$AB$181),UPPER(TEXT(EDATE($D138,Milestones!$AA$181),"dd mmm yy"))&amp;" "&amp;Milestones!$AB$181&amp;" "&amp;IF(AND(Milestones!$AB$181="FT",Milestones!$AA$181=FT_Y5,EDATE($D138,Milestones!$AA$181)&lt;PolicyEff),1,Milestones!$AC$181)&amp;";  ","")&amp;IF(AND(EDATE($D138,Milestones!$AA$182)&lt;=AsOfDate,EDATE($D138,Milestones!$AA$182)&gt;=SchemeStart,IF($X138=0,$AD138,IF(AND($Z138&lt;&gt;"",EDATE($D138,Milestones!$AA$182)&gt;=$Z138),$AC138,IF(AND($Y138&lt;&gt;"",EDATE($D138,Milestones!$AA$182)&gt;=$Y138),$AB138,$AA138)))=Milestones!$AB$182),UPPER(TEXT(EDATE($D138,Milestones!$AA$182),"dd mmm yy"))&amp;" "&amp;Milestones!$AB$182&amp;" "&amp;IF(AND(Milestones!$AB$182="FT",Milestones!$AA$182=FT_Y5,EDATE($D138,Milestones!$AA$182)&lt;PolicyEff),1,Milestones!$AC$182)&amp;";  ","")&amp;IF(AND(EDATE($D138,Milestones!$AA$183)&lt;=AsOfDate,EDATE($D138,Milestones!$AA$183)&gt;=SchemeStart,IF($X138=0,$AD138,IF(AND($Z138&lt;&gt;"",EDATE($D138,Milestones!$AA$183)&gt;=$Z138),$AC138,IF(AND($Y138&lt;&gt;"",EDATE($D138,Milestones!$AA$183)&gt;=$Y138),$AB138,$AA138)))=Milestones!$AB$183),UPPER(TEXT(EDATE($D138,Milestones!$AA$183),"dd mmm yy"))&amp;" "&amp;Milestones!$AB$183&amp;" "&amp;IF(AND(Milestones!$AB$183="FT",Milestones!$AA$183=FT_Y5,EDATE($D138,Milestones!$AA$183)&lt;PolicyEff),1,Milestones!$AC$183)&amp;";  ","")&amp;IF(AND(EDATE($D138,Milestones!$AA$184)&lt;=AsOfDate,EDATE($D138,Milestones!$AA$184)&gt;=SchemeStart,IF($X138=0,$AD138,IF(AND($Z138&lt;&gt;"",EDATE($D138,Milestones!$AA$184)&gt;=$Z138),$AC138,IF(AND($Y138&lt;&gt;"",EDATE($D138,Milestones!$AA$184)&gt;=$Y138),$AB138,$AA138)))=Milestones!$AB$184),UPPER(TEXT(EDATE($D138,Milestones!$AA$184),"dd mmm yy"))&amp;" "&amp;Milestones!$AB$184&amp;" "&amp;IF(AND(Milestones!$AB$184="FT",Milestones!$AA$184=FT_Y5,EDATE($D138,Milestones!$AA$184)&lt;PolicyEff),1,Milestones!$AC$184)&amp;";  ","")&amp;IF(AND(EDATE($D138,Milestones!$AA$185)&lt;=AsOfDate,EDATE($D138,Milestones!$AA$185)&gt;=SchemeStart,IF($X138=0,$AD138,IF(AND($Z138&lt;&gt;"",EDATE($D138,Milestones!$AA$185)&gt;=$Z138),$AC138,IF(AND($Y138&lt;&gt;"",EDATE($D138,Milestones!$AA$185)&gt;=$Y138),$AB138,$AA138)))=Milestones!$AB$185),UPPER(TEXT(EDATE($D138,Milestones!$AA$185),"dd mmm yy"))&amp;" "&amp;Milestones!$AB$185&amp;" "&amp;IF(AND(Milestones!$AB$185="FT",Milestones!$AA$185=FT_Y5,EDATE($D138,Milestones!$AA$185)&lt;PolicyEff),1,Milestones!$AC$185)&amp;";  ","")&amp;IF(AND(EDATE($D138,Milestones!$AA$186)&lt;=AsOfDate,EDATE($D138,Milestones!$AA$186)&gt;=SchemeStart,IF($X138=0,$AD138,IF(AND($Z138&lt;&gt;"",EDATE($D138,Milestones!$AA$186)&gt;=$Z138),$AC138,IF(AND($Y138&lt;&gt;"",EDATE($D138,Milestones!$AA$186)&gt;=$Y138),$AB138,$AA138)))=Milestones!$AB$186),UPPER(TEXT(EDATE($D138,Milestones!$AA$186),"dd mmm yy"))&amp;" "&amp;Milestones!$AB$186&amp;" "&amp;IF(AND(Milestones!$AB$186="FT",Milestones!$AA$186=FT_Y5,EDATE($D138,Milestones!$AA$186)&lt;PolicyEff),1,Milestones!$AC$186)&amp;";  ","")&amp;IF(AND(EDATE($D138,Milestones!$AA$187)&lt;=AsOfDate,EDATE($D138,Milestones!$AA$187)&gt;=SchemeStart,IF($X138=0,$AD138,IF(AND($Z138&lt;&gt;"",EDATE($D138,Milestones!$AA$187)&gt;=$Z138),$AC138,IF(AND($Y138&lt;&gt;"",EDATE($D138,Milestones!$AA$187)&gt;=$Y138),$AB138,$AA138)))=Milestones!$AB$187),UPPER(TEXT(EDATE($D138,Milestones!$AA$187),"dd mmm yy"))&amp;" "&amp;Milestones!$AB$187&amp;" "&amp;IF(AND(Milestones!$AB$187="FT",Milestones!$AA$187=FT_Y5,EDATE($D138,Milestones!$AA$187)&lt;PolicyEff),1,Milestones!$AC$187)&amp;";  ",""))</f>
        <v/>
      </c>
      <c r="W138" s="0" t="str">
        <f aca="false">IF(OR($A138="",$D138=""),"",IF(AND(EDATE($D138,Milestones!$AA$188)&lt;=AsOfDate,EDATE($D138,Milestones!$AA$188)&gt;=SchemeStart,IF($X138=0,$AD138,IF(AND($Z138&lt;&gt;"",EDATE($D138,Milestones!$AA$188)&gt;=$Z138),$AC138,IF(AND($Y138&lt;&gt;"",EDATE($D138,Milestones!$AA$188)&gt;=$Y138),$AB138,$AA138)))=Milestones!$AB$188),UPPER(TEXT(EDATE($D138,Milestones!$AA$188),"dd mmm yy"))&amp;" "&amp;Milestones!$AB$188&amp;" "&amp;IF(AND(Milestones!$AB$188="FT",Milestones!$AA$188=FT_Y5,EDATE($D138,Milestones!$AA$188)&lt;PolicyEff),1,Milestones!$AC$188)&amp;";  ","")&amp;IF(AND(EDATE($D138,Milestones!$AA$189)&lt;=AsOfDate,EDATE($D138,Milestones!$AA$189)&gt;=SchemeStart,IF($X138=0,$AD138,IF(AND($Z138&lt;&gt;"",EDATE($D138,Milestones!$AA$189)&gt;=$Z138),$AC138,IF(AND($Y138&lt;&gt;"",EDATE($D138,Milestones!$AA$189)&gt;=$Y138),$AB138,$AA138)))=Milestones!$AB$189),UPPER(TEXT(EDATE($D138,Milestones!$AA$189),"dd mmm yy"))&amp;" "&amp;Milestones!$AB$189&amp;" "&amp;IF(AND(Milestones!$AB$189="FT",Milestones!$AA$189=FT_Y5,EDATE($D138,Milestones!$AA$189)&lt;PolicyEff),1,Milestones!$AC$189)&amp;";  ","")&amp;IF(AND(EDATE($D138,Milestones!$AA$190)&lt;=AsOfDate,EDATE($D138,Milestones!$AA$190)&gt;=SchemeStart,IF($X138=0,$AD138,IF(AND($Z138&lt;&gt;"",EDATE($D138,Milestones!$AA$190)&gt;=$Z138),$AC138,IF(AND($Y138&lt;&gt;"",EDATE($D138,Milestones!$AA$190)&gt;=$Y138),$AB138,$AA138)))=Milestones!$AB$190),UPPER(TEXT(EDATE($D138,Milestones!$AA$190),"dd mmm yy"))&amp;" "&amp;Milestones!$AB$190&amp;" "&amp;IF(AND(Milestones!$AB$190="FT",Milestones!$AA$190=FT_Y5,EDATE($D138,Milestones!$AA$190)&lt;PolicyEff),1,Milestones!$AC$190)&amp;";  ","")&amp;IF(AND(EDATE($D138,Milestones!$AA$191)&lt;=AsOfDate,EDATE($D138,Milestones!$AA$191)&gt;=SchemeStart,IF($X138=0,$AD138,IF(AND($Z138&lt;&gt;"",EDATE($D138,Milestones!$AA$191)&gt;=$Z138),$AC138,IF(AND($Y138&lt;&gt;"",EDATE($D138,Milestones!$AA$191)&gt;=$Y138),$AB138,$AA138)))=Milestones!$AB$191),UPPER(TEXT(EDATE($D138,Milestones!$AA$191),"dd mmm yy"))&amp;" "&amp;Milestones!$AB$191&amp;" "&amp;IF(AND(Milestones!$AB$191="FT",Milestones!$AA$191=FT_Y5,EDATE($D138,Milestones!$AA$191)&lt;PolicyEff),1,Milestones!$AC$191)&amp;";  ","")&amp;IF(AND(EDATE($D138,Milestones!$AA$192)&lt;=AsOfDate,EDATE($D138,Milestones!$AA$192)&gt;=SchemeStart,IF($X138=0,$AD138,IF(AND($Z138&lt;&gt;"",EDATE($D138,Milestones!$AA$192)&gt;=$Z138),$AC138,IF(AND($Y138&lt;&gt;"",EDATE($D138,Milestones!$AA$192)&gt;=$Y138),$AB138,$AA138)))=Milestones!$AB$192),UPPER(TEXT(EDATE($D138,Milestones!$AA$192),"dd mmm yy"))&amp;" "&amp;Milestones!$AB$192&amp;" "&amp;IF(AND(Milestones!$AB$192="FT",Milestones!$AA$192=FT_Y5,EDATE($D138,Milestones!$AA$192)&lt;PolicyEff),1,Milestones!$AC$192)&amp;";  ","")&amp;IF(AND(EDATE($D138,Milestones!$AA$193)&lt;=AsOfDate,EDATE($D138,Milestones!$AA$193)&gt;=SchemeStart,IF($X138=0,$AD138,IF(AND($Z138&lt;&gt;"",EDATE($D138,Milestones!$AA$193)&gt;=$Z138),$AC138,IF(AND($Y138&lt;&gt;"",EDATE($D138,Milestones!$AA$193)&gt;=$Y138),$AB138,$AA138)))=Milestones!$AB$193),UPPER(TEXT(EDATE($D138,Milestones!$AA$193),"dd mmm yy"))&amp;" "&amp;Milestones!$AB$193&amp;" "&amp;IF(AND(Milestones!$AB$193="FT",Milestones!$AA$193=FT_Y5,EDATE($D138,Milestones!$AA$193)&lt;PolicyEff),1,Milestones!$AC$193)&amp;";  ","")&amp;IF(AND(EDATE($D138,Milestones!$AA$194)&lt;=AsOfDate,EDATE($D138,Milestones!$AA$194)&gt;=SchemeStart,IF($X138=0,$AD138,IF(AND($Z138&lt;&gt;"",EDATE($D138,Milestones!$AA$194)&gt;=$Z138),$AC138,IF(AND($Y138&lt;&gt;"",EDATE($D138,Milestones!$AA$194)&gt;=$Y138),$AB138,$AA138)))=Milestones!$AB$194),UPPER(TEXT(EDATE($D138,Milestones!$AA$194),"dd mmm yy"))&amp;" "&amp;Milestones!$AB$194&amp;" "&amp;IF(AND(Milestones!$AB$194="FT",Milestones!$AA$194=FT_Y5,EDATE($D138,Milestones!$AA$194)&lt;PolicyEff),1,Milestones!$AC$194)&amp;";  ","")&amp;IF(AND(EDATE($D138,Milestones!$AA$195)&lt;=AsOfDate,EDATE($D138,Milestones!$AA$195)&gt;=SchemeStart,IF($X138=0,$AD138,IF(AND($Z138&lt;&gt;"",EDATE($D138,Milestones!$AA$195)&gt;=$Z138),$AC138,IF(AND($Y138&lt;&gt;"",EDATE($D138,Milestones!$AA$195)&gt;=$Y138),$AB138,$AA138)))=Milestones!$AB$195),UPPER(TEXT(EDATE($D138,Milestones!$AA$195),"dd mmm yy"))&amp;" "&amp;Milestones!$AB$195&amp;" "&amp;IF(AND(Milestones!$AB$195="FT",Milestones!$AA$195=FT_Y5,EDATE($D138,Milestones!$AA$195)&lt;PolicyEff),1,Milestones!$AC$195)&amp;";  ","")&amp;IF(AND(EDATE($D138,Milestones!$AA$196)&lt;=AsOfDate,EDATE($D138,Milestones!$AA$196)&gt;=SchemeStart,IF($X138=0,$AD138,IF(AND($Z138&lt;&gt;"",EDATE($D138,Milestones!$AA$196)&gt;=$Z138),$AC138,IF(AND($Y138&lt;&gt;"",EDATE($D138,Milestones!$AA$196)&gt;=$Y138),$AB138,$AA138)))=Milestones!$AB$196),UPPER(TEXT(EDATE($D138,Milestones!$AA$196),"dd mmm yy"))&amp;" "&amp;Milestones!$AB$196&amp;" "&amp;IF(AND(Milestones!$AB$196="FT",Milestones!$AA$196=FT_Y5,EDATE($D138,Milestones!$AA$196)&lt;PolicyEff),1,Milestones!$AC$196)&amp;";  ","")&amp;IF(AND(EDATE($D138,Milestones!$AA$197)&lt;=AsOfDate,EDATE($D138,Milestones!$AA$197)&gt;=SchemeStart,IF($X138=0,$AD138,IF(AND($Z138&lt;&gt;"",EDATE($D138,Milestones!$AA$197)&gt;=$Z138),$AC138,IF(AND($Y138&lt;&gt;"",EDATE($D138,Milestones!$AA$197)&gt;=$Y138),$AB138,$AA138)))=Milestones!$AB$197),UPPER(TEXT(EDATE($D138,Milestones!$AA$197),"dd mmm yy"))&amp;" "&amp;Milestones!$AB$197&amp;" "&amp;IF(AND(Milestones!$AB$197="FT",Milestones!$AA$197=FT_Y5,EDATE($D138,Milestones!$AA$197)&lt;PolicyEff),1,Milestones!$AC$197)&amp;";  ","")&amp;IF(AND(EDATE($D138,Milestones!$AA$198)&lt;=AsOfDate,EDATE($D138,Milestones!$AA$198)&gt;=SchemeStart,IF($X138=0,$AD138,IF(AND($Z138&lt;&gt;"",EDATE($D138,Milestones!$AA$198)&gt;=$Z138),$AC138,IF(AND($Y138&lt;&gt;"",EDATE($D138,Milestones!$AA$198)&gt;=$Y138),$AB138,$AA138)))=Milestones!$AB$198),UPPER(TEXT(EDATE($D138,Milestones!$AA$198),"dd mmm yy"))&amp;" "&amp;Milestones!$AB$198&amp;" "&amp;IF(AND(Milestones!$AB$198="FT",Milestones!$AA$198=FT_Y5,EDATE($D138,Milestones!$AA$198)&lt;PolicyEff),1,Milestones!$AC$198)&amp;";  ","")&amp;IF(AND(EDATE($D138,Milestones!$AA$199)&lt;=AsOfDate,EDATE($D138,Milestones!$AA$199)&gt;=SchemeStart,IF($X138=0,$AD138,IF(AND($Z138&lt;&gt;"",EDATE($D138,Milestones!$AA$199)&gt;=$Z138),$AC138,IF(AND($Y138&lt;&gt;"",EDATE($D138,Milestones!$AA$199)&gt;=$Y138),$AB138,$AA138)))=Milestones!$AB$199),UPPER(TEXT(EDATE($D138,Milestones!$AA$199),"dd mmm yy"))&amp;" "&amp;Milestones!$AB$199&amp;" "&amp;IF(AND(Milestones!$AB$199="FT",Milestones!$AA$199=FT_Y5,EDATE($D138,Milestones!$AA$199)&lt;PolicyEff),1,Milestones!$AC$199)&amp;";  ",""))</f>
        <v/>
      </c>
      <c r="X138" s="0" t="str">
        <f aca="false">IF(Staff!$A138="","",Staff!$AM138)</f>
        <v/>
      </c>
      <c r="Y138" s="0" t="str">
        <f aca="false">IF(Staff!$A138="","",Staff!$AO138)</f>
        <v/>
      </c>
      <c r="Z138" s="0" t="str">
        <f aca="false">IF(Staff!$A138="","",Staff!$AP138)</f>
        <v/>
      </c>
      <c r="AA138" s="0" t="str">
        <f aca="false">IF(Staff!$A138="","",Staff!$AT138)</f>
        <v/>
      </c>
      <c r="AB138" s="0" t="str">
        <f aca="false">IF(Staff!$A138="","",Staff!$AU138)</f>
        <v/>
      </c>
      <c r="AC138" s="0" t="str">
        <f aca="false">IF(Staff!$A138="","",Staff!$AV138)</f>
        <v/>
      </c>
      <c r="AD138" s="0" t="str">
        <f aca="false">IF(Staff!$A138="","",Staff!$AW138)</f>
        <v/>
      </c>
    </row>
    <row r="139" customFormat="false" ht="15" hidden="false" customHeight="false" outlineLevel="0" collapsed="false">
      <c r="A139" s="16" t="str">
        <f aca="false">IF(Staff!$A139="","",Staff!$A139)</f>
        <v/>
      </c>
      <c r="B139" s="16" t="str">
        <f aca="false">IF(Staff!$A139="","",Staff!$B139)</f>
        <v/>
      </c>
      <c r="C139" s="16" t="str">
        <f aca="false">IF(Staff!$A139="","",Staff!$C139)</f>
        <v/>
      </c>
      <c r="D139" s="14" t="str">
        <f aca="false">IF(Staff!$A139="","",Staff!$AL139)</f>
        <v/>
      </c>
      <c r="E139" s="16" t="str">
        <f aca="false">IF(Staff!$A139="","",Staff!$O139)</f>
        <v/>
      </c>
      <c r="F139" s="16" t="str">
        <f aca="false">IF(E139="","",E139*HoursPerDay)</f>
        <v/>
      </c>
      <c r="G139" s="16" t="str">
        <f aca="false">IF(Staff!$A139="","",Staff!$AE139)</f>
        <v/>
      </c>
      <c r="H139" s="28" t="str">
        <f aca="false">IF($A139="","",I139&amp;J139&amp;K139&amp;L139&amp;M139&amp;N139&amp;O139&amp;P139&amp;Q139&amp;R139&amp;S139&amp;T139&amp;U139&amp;V139&amp;W139)</f>
        <v/>
      </c>
      <c r="I139" s="0" t="str">
        <f aca="false">IF(OR($A139="",$D139=""),"",IF(AND(EDATE($D139,Milestones!$AA$20)&lt;=AsOfDate,EDATE($D139,Milestones!$AA$20)&gt;=SchemeStart,IF($X139=0,$AD139,IF(AND($Z139&lt;&gt;"",EDATE($D139,Milestones!$AA$20)&gt;=$Z139),$AC139,IF(AND($Y139&lt;&gt;"",EDATE($D139,Milestones!$AA$20)&gt;=$Y139),$AB139,$AA139)))=Milestones!$AB$20),UPPER(TEXT(EDATE($D139,Milestones!$AA$20),"dd mmm yy"))&amp;" "&amp;Milestones!$AB$20&amp;" "&amp;IF(AND(Milestones!$AB$20="FT",Milestones!$AA$20=FT_Y5,EDATE($D139,Milestones!$AA$20)&lt;PolicyEff),1,Milestones!$AC$20)&amp;";  ","")&amp;IF(AND(EDATE($D139,Milestones!$AA$21)&lt;=AsOfDate,EDATE($D139,Milestones!$AA$21)&gt;=SchemeStart,IF($X139=0,$AD139,IF(AND($Z139&lt;&gt;"",EDATE($D139,Milestones!$AA$21)&gt;=$Z139),$AC139,IF(AND($Y139&lt;&gt;"",EDATE($D139,Milestones!$AA$21)&gt;=$Y139),$AB139,$AA139)))=Milestones!$AB$21),UPPER(TEXT(EDATE($D139,Milestones!$AA$21),"dd mmm yy"))&amp;" "&amp;Milestones!$AB$21&amp;" "&amp;IF(AND(Milestones!$AB$21="FT",Milestones!$AA$21=FT_Y5,EDATE($D139,Milestones!$AA$21)&lt;PolicyEff),1,Milestones!$AC$21)&amp;";  ","")&amp;IF(AND(EDATE($D139,Milestones!$AA$22)&lt;=AsOfDate,EDATE($D139,Milestones!$AA$22)&gt;=SchemeStart,IF($X139=0,$AD139,IF(AND($Z139&lt;&gt;"",EDATE($D139,Milestones!$AA$22)&gt;=$Z139),$AC139,IF(AND($Y139&lt;&gt;"",EDATE($D139,Milestones!$AA$22)&gt;=$Y139),$AB139,$AA139)))=Milestones!$AB$22),UPPER(TEXT(EDATE($D139,Milestones!$AA$22),"dd mmm yy"))&amp;" "&amp;Milestones!$AB$22&amp;" "&amp;IF(AND(Milestones!$AB$22="FT",Milestones!$AA$22=FT_Y5,EDATE($D139,Milestones!$AA$22)&lt;PolicyEff),1,Milestones!$AC$22)&amp;";  ","")&amp;IF(AND(EDATE($D139,Milestones!$AA$23)&lt;=AsOfDate,EDATE($D139,Milestones!$AA$23)&gt;=SchemeStart,IF($X139=0,$AD139,IF(AND($Z139&lt;&gt;"",EDATE($D139,Milestones!$AA$23)&gt;=$Z139),$AC139,IF(AND($Y139&lt;&gt;"",EDATE($D139,Milestones!$AA$23)&gt;=$Y139),$AB139,$AA139)))=Milestones!$AB$23),UPPER(TEXT(EDATE($D139,Milestones!$AA$23),"dd mmm yy"))&amp;" "&amp;Milestones!$AB$23&amp;" "&amp;IF(AND(Milestones!$AB$23="FT",Milestones!$AA$23=FT_Y5,EDATE($D139,Milestones!$AA$23)&lt;PolicyEff),1,Milestones!$AC$23)&amp;";  ","")&amp;IF(AND(EDATE($D139,Milestones!$AA$24)&lt;=AsOfDate,EDATE($D139,Milestones!$AA$24)&gt;=SchemeStart,IF($X139=0,$AD139,IF(AND($Z139&lt;&gt;"",EDATE($D139,Milestones!$AA$24)&gt;=$Z139),$AC139,IF(AND($Y139&lt;&gt;"",EDATE($D139,Milestones!$AA$24)&gt;=$Y139),$AB139,$AA139)))=Milestones!$AB$24),UPPER(TEXT(EDATE($D139,Milestones!$AA$24),"dd mmm yy"))&amp;" "&amp;Milestones!$AB$24&amp;" "&amp;IF(AND(Milestones!$AB$24="FT",Milestones!$AA$24=FT_Y5,EDATE($D139,Milestones!$AA$24)&lt;PolicyEff),1,Milestones!$AC$24)&amp;";  ","")&amp;IF(AND(EDATE($D139,Milestones!$AA$25)&lt;=AsOfDate,EDATE($D139,Milestones!$AA$25)&gt;=SchemeStart,IF($X139=0,$AD139,IF(AND($Z139&lt;&gt;"",EDATE($D139,Milestones!$AA$25)&gt;=$Z139),$AC139,IF(AND($Y139&lt;&gt;"",EDATE($D139,Milestones!$AA$25)&gt;=$Y139),$AB139,$AA139)))=Milestones!$AB$25),UPPER(TEXT(EDATE($D139,Milestones!$AA$25),"dd mmm yy"))&amp;" "&amp;Milestones!$AB$25&amp;" "&amp;IF(AND(Milestones!$AB$25="FT",Milestones!$AA$25=FT_Y5,EDATE($D139,Milestones!$AA$25)&lt;PolicyEff),1,Milestones!$AC$25)&amp;";  ","")&amp;IF(AND(EDATE($D139,Milestones!$AA$26)&lt;=AsOfDate,EDATE($D139,Milestones!$AA$26)&gt;=SchemeStart,IF($X139=0,$AD139,IF(AND($Z139&lt;&gt;"",EDATE($D139,Milestones!$AA$26)&gt;=$Z139),$AC139,IF(AND($Y139&lt;&gt;"",EDATE($D139,Milestones!$AA$26)&gt;=$Y139),$AB139,$AA139)))=Milestones!$AB$26),UPPER(TEXT(EDATE($D139,Milestones!$AA$26),"dd mmm yy"))&amp;" "&amp;Milestones!$AB$26&amp;" "&amp;IF(AND(Milestones!$AB$26="FT",Milestones!$AA$26=FT_Y5,EDATE($D139,Milestones!$AA$26)&lt;PolicyEff),1,Milestones!$AC$26)&amp;";  ","")&amp;IF(AND(EDATE($D139,Milestones!$AA$27)&lt;=AsOfDate,EDATE($D139,Milestones!$AA$27)&gt;=SchemeStart,IF($X139=0,$AD139,IF(AND($Z139&lt;&gt;"",EDATE($D139,Milestones!$AA$27)&gt;=$Z139),$AC139,IF(AND($Y139&lt;&gt;"",EDATE($D139,Milestones!$AA$27)&gt;=$Y139),$AB139,$AA139)))=Milestones!$AB$27),UPPER(TEXT(EDATE($D139,Milestones!$AA$27),"dd mmm yy"))&amp;" "&amp;Milestones!$AB$27&amp;" "&amp;IF(AND(Milestones!$AB$27="FT",Milestones!$AA$27=FT_Y5,EDATE($D139,Milestones!$AA$27)&lt;PolicyEff),1,Milestones!$AC$27)&amp;";  ","")&amp;IF(AND(EDATE($D139,Milestones!$AA$28)&lt;=AsOfDate,EDATE($D139,Milestones!$AA$28)&gt;=SchemeStart,IF($X139=0,$AD139,IF(AND($Z139&lt;&gt;"",EDATE($D139,Milestones!$AA$28)&gt;=$Z139),$AC139,IF(AND($Y139&lt;&gt;"",EDATE($D139,Milestones!$AA$28)&gt;=$Y139),$AB139,$AA139)))=Milestones!$AB$28),UPPER(TEXT(EDATE($D139,Milestones!$AA$28),"dd mmm yy"))&amp;" "&amp;Milestones!$AB$28&amp;" "&amp;IF(AND(Milestones!$AB$28="FT",Milestones!$AA$28=FT_Y5,EDATE($D139,Milestones!$AA$28)&lt;PolicyEff),1,Milestones!$AC$28)&amp;";  ","")&amp;IF(AND(EDATE($D139,Milestones!$AA$29)&lt;=AsOfDate,EDATE($D139,Milestones!$AA$29)&gt;=SchemeStart,IF($X139=0,$AD139,IF(AND($Z139&lt;&gt;"",EDATE($D139,Milestones!$AA$29)&gt;=$Z139),$AC139,IF(AND($Y139&lt;&gt;"",EDATE($D139,Milestones!$AA$29)&gt;=$Y139),$AB139,$AA139)))=Milestones!$AB$29),UPPER(TEXT(EDATE($D139,Milestones!$AA$29),"dd mmm yy"))&amp;" "&amp;Milestones!$AB$29&amp;" "&amp;IF(AND(Milestones!$AB$29="FT",Milestones!$AA$29=FT_Y5,EDATE($D139,Milestones!$AA$29)&lt;PolicyEff),1,Milestones!$AC$29)&amp;";  ","")&amp;IF(AND(EDATE($D139,Milestones!$AA$30)&lt;=AsOfDate,EDATE($D139,Milestones!$AA$30)&gt;=SchemeStart,IF($X139=0,$AD139,IF(AND($Z139&lt;&gt;"",EDATE($D139,Milestones!$AA$30)&gt;=$Z139),$AC139,IF(AND($Y139&lt;&gt;"",EDATE($D139,Milestones!$AA$30)&gt;=$Y139),$AB139,$AA139)))=Milestones!$AB$30),UPPER(TEXT(EDATE($D139,Milestones!$AA$30),"dd mmm yy"))&amp;" "&amp;Milestones!$AB$30&amp;" "&amp;IF(AND(Milestones!$AB$30="FT",Milestones!$AA$30=FT_Y5,EDATE($D139,Milestones!$AA$30)&lt;PolicyEff),1,Milestones!$AC$30)&amp;";  ","")&amp;IF(AND(EDATE($D139,Milestones!$AA$31)&lt;=AsOfDate,EDATE($D139,Milestones!$AA$31)&gt;=SchemeStart,IF($X139=0,$AD139,IF(AND($Z139&lt;&gt;"",EDATE($D139,Milestones!$AA$31)&gt;=$Z139),$AC139,IF(AND($Y139&lt;&gt;"",EDATE($D139,Milestones!$AA$31)&gt;=$Y139),$AB139,$AA139)))=Milestones!$AB$31),UPPER(TEXT(EDATE($D139,Milestones!$AA$31),"dd mmm yy"))&amp;" "&amp;Milestones!$AB$31&amp;" "&amp;IF(AND(Milestones!$AB$31="FT",Milestones!$AA$31=FT_Y5,EDATE($D139,Milestones!$AA$31)&lt;PolicyEff),1,Milestones!$AC$31)&amp;";  ",""))</f>
        <v/>
      </c>
      <c r="J139" s="0" t="str">
        <f aca="false">IF(OR($A139="",$D139=""),"",IF(AND(EDATE($D139,Milestones!$AA$32)&lt;=AsOfDate,EDATE($D139,Milestones!$AA$32)&gt;=SchemeStart,IF($X139=0,$AD139,IF(AND($Z139&lt;&gt;"",EDATE($D139,Milestones!$AA$32)&gt;=$Z139),$AC139,IF(AND($Y139&lt;&gt;"",EDATE($D139,Milestones!$AA$32)&gt;=$Y139),$AB139,$AA139)))=Milestones!$AB$32),UPPER(TEXT(EDATE($D139,Milestones!$AA$32),"dd mmm yy"))&amp;" "&amp;Milestones!$AB$32&amp;" "&amp;IF(AND(Milestones!$AB$32="FT",Milestones!$AA$32=FT_Y5,EDATE($D139,Milestones!$AA$32)&lt;PolicyEff),1,Milestones!$AC$32)&amp;";  ","")&amp;IF(AND(EDATE($D139,Milestones!$AA$33)&lt;=AsOfDate,EDATE($D139,Milestones!$AA$33)&gt;=SchemeStart,IF($X139=0,$AD139,IF(AND($Z139&lt;&gt;"",EDATE($D139,Milestones!$AA$33)&gt;=$Z139),$AC139,IF(AND($Y139&lt;&gt;"",EDATE($D139,Milestones!$AA$33)&gt;=$Y139),$AB139,$AA139)))=Milestones!$AB$33),UPPER(TEXT(EDATE($D139,Milestones!$AA$33),"dd mmm yy"))&amp;" "&amp;Milestones!$AB$33&amp;" "&amp;IF(AND(Milestones!$AB$33="FT",Milestones!$AA$33=FT_Y5,EDATE($D139,Milestones!$AA$33)&lt;PolicyEff),1,Milestones!$AC$33)&amp;";  ","")&amp;IF(AND(EDATE($D139,Milestones!$AA$34)&lt;=AsOfDate,EDATE($D139,Milestones!$AA$34)&gt;=SchemeStart,IF($X139=0,$AD139,IF(AND($Z139&lt;&gt;"",EDATE($D139,Milestones!$AA$34)&gt;=$Z139),$AC139,IF(AND($Y139&lt;&gt;"",EDATE($D139,Milestones!$AA$34)&gt;=$Y139),$AB139,$AA139)))=Milestones!$AB$34),UPPER(TEXT(EDATE($D139,Milestones!$AA$34),"dd mmm yy"))&amp;" "&amp;Milestones!$AB$34&amp;" "&amp;IF(AND(Milestones!$AB$34="FT",Milestones!$AA$34=FT_Y5,EDATE($D139,Milestones!$AA$34)&lt;PolicyEff),1,Milestones!$AC$34)&amp;";  ","")&amp;IF(AND(EDATE($D139,Milestones!$AA$35)&lt;=AsOfDate,EDATE($D139,Milestones!$AA$35)&gt;=SchemeStart,IF($X139=0,$AD139,IF(AND($Z139&lt;&gt;"",EDATE($D139,Milestones!$AA$35)&gt;=$Z139),$AC139,IF(AND($Y139&lt;&gt;"",EDATE($D139,Milestones!$AA$35)&gt;=$Y139),$AB139,$AA139)))=Milestones!$AB$35),UPPER(TEXT(EDATE($D139,Milestones!$AA$35),"dd mmm yy"))&amp;" "&amp;Milestones!$AB$35&amp;" "&amp;IF(AND(Milestones!$AB$35="FT",Milestones!$AA$35=FT_Y5,EDATE($D139,Milestones!$AA$35)&lt;PolicyEff),1,Milestones!$AC$35)&amp;";  ","")&amp;IF(AND(EDATE($D139,Milestones!$AA$36)&lt;=AsOfDate,EDATE($D139,Milestones!$AA$36)&gt;=SchemeStart,IF($X139=0,$AD139,IF(AND($Z139&lt;&gt;"",EDATE($D139,Milestones!$AA$36)&gt;=$Z139),$AC139,IF(AND($Y139&lt;&gt;"",EDATE($D139,Milestones!$AA$36)&gt;=$Y139),$AB139,$AA139)))=Milestones!$AB$36),UPPER(TEXT(EDATE($D139,Milestones!$AA$36),"dd mmm yy"))&amp;" "&amp;Milestones!$AB$36&amp;" "&amp;IF(AND(Milestones!$AB$36="FT",Milestones!$AA$36=FT_Y5,EDATE($D139,Milestones!$AA$36)&lt;PolicyEff),1,Milestones!$AC$36)&amp;";  ","")&amp;IF(AND(EDATE($D139,Milestones!$AA$37)&lt;=AsOfDate,EDATE($D139,Milestones!$AA$37)&gt;=SchemeStart,IF($X139=0,$AD139,IF(AND($Z139&lt;&gt;"",EDATE($D139,Milestones!$AA$37)&gt;=$Z139),$AC139,IF(AND($Y139&lt;&gt;"",EDATE($D139,Milestones!$AA$37)&gt;=$Y139),$AB139,$AA139)))=Milestones!$AB$37),UPPER(TEXT(EDATE($D139,Milestones!$AA$37),"dd mmm yy"))&amp;" "&amp;Milestones!$AB$37&amp;" "&amp;IF(AND(Milestones!$AB$37="FT",Milestones!$AA$37=FT_Y5,EDATE($D139,Milestones!$AA$37)&lt;PolicyEff),1,Milestones!$AC$37)&amp;";  ","")&amp;IF(AND(EDATE($D139,Milestones!$AA$38)&lt;=AsOfDate,EDATE($D139,Milestones!$AA$38)&gt;=SchemeStart,IF($X139=0,$AD139,IF(AND($Z139&lt;&gt;"",EDATE($D139,Milestones!$AA$38)&gt;=$Z139),$AC139,IF(AND($Y139&lt;&gt;"",EDATE($D139,Milestones!$AA$38)&gt;=$Y139),$AB139,$AA139)))=Milestones!$AB$38),UPPER(TEXT(EDATE($D139,Milestones!$AA$38),"dd mmm yy"))&amp;" "&amp;Milestones!$AB$38&amp;" "&amp;IF(AND(Milestones!$AB$38="FT",Milestones!$AA$38=FT_Y5,EDATE($D139,Milestones!$AA$38)&lt;PolicyEff),1,Milestones!$AC$38)&amp;";  ","")&amp;IF(AND(EDATE($D139,Milestones!$AA$39)&lt;=AsOfDate,EDATE($D139,Milestones!$AA$39)&gt;=SchemeStart,IF($X139=0,$AD139,IF(AND($Z139&lt;&gt;"",EDATE($D139,Milestones!$AA$39)&gt;=$Z139),$AC139,IF(AND($Y139&lt;&gt;"",EDATE($D139,Milestones!$AA$39)&gt;=$Y139),$AB139,$AA139)))=Milestones!$AB$39),UPPER(TEXT(EDATE($D139,Milestones!$AA$39),"dd mmm yy"))&amp;" "&amp;Milestones!$AB$39&amp;" "&amp;IF(AND(Milestones!$AB$39="FT",Milestones!$AA$39=FT_Y5,EDATE($D139,Milestones!$AA$39)&lt;PolicyEff),1,Milestones!$AC$39)&amp;";  ","")&amp;IF(AND(EDATE($D139,Milestones!$AA$40)&lt;=AsOfDate,EDATE($D139,Milestones!$AA$40)&gt;=SchemeStart,IF($X139=0,$AD139,IF(AND($Z139&lt;&gt;"",EDATE($D139,Milestones!$AA$40)&gt;=$Z139),$AC139,IF(AND($Y139&lt;&gt;"",EDATE($D139,Milestones!$AA$40)&gt;=$Y139),$AB139,$AA139)))=Milestones!$AB$40),UPPER(TEXT(EDATE($D139,Milestones!$AA$40),"dd mmm yy"))&amp;" "&amp;Milestones!$AB$40&amp;" "&amp;IF(AND(Milestones!$AB$40="FT",Milestones!$AA$40=FT_Y5,EDATE($D139,Milestones!$AA$40)&lt;PolicyEff),1,Milestones!$AC$40)&amp;";  ","")&amp;IF(AND(EDATE($D139,Milestones!$AA$41)&lt;=AsOfDate,EDATE($D139,Milestones!$AA$41)&gt;=SchemeStart,IF($X139=0,$AD139,IF(AND($Z139&lt;&gt;"",EDATE($D139,Milestones!$AA$41)&gt;=$Z139),$AC139,IF(AND($Y139&lt;&gt;"",EDATE($D139,Milestones!$AA$41)&gt;=$Y139),$AB139,$AA139)))=Milestones!$AB$41),UPPER(TEXT(EDATE($D139,Milestones!$AA$41),"dd mmm yy"))&amp;" "&amp;Milestones!$AB$41&amp;" "&amp;IF(AND(Milestones!$AB$41="FT",Milestones!$AA$41=FT_Y5,EDATE($D139,Milestones!$AA$41)&lt;PolicyEff),1,Milestones!$AC$41)&amp;";  ","")&amp;IF(AND(EDATE($D139,Milestones!$AA$42)&lt;=AsOfDate,EDATE($D139,Milestones!$AA$42)&gt;=SchemeStart,IF($X139=0,$AD139,IF(AND($Z139&lt;&gt;"",EDATE($D139,Milestones!$AA$42)&gt;=$Z139),$AC139,IF(AND($Y139&lt;&gt;"",EDATE($D139,Milestones!$AA$42)&gt;=$Y139),$AB139,$AA139)))=Milestones!$AB$42),UPPER(TEXT(EDATE($D139,Milestones!$AA$42),"dd mmm yy"))&amp;" "&amp;Milestones!$AB$42&amp;" "&amp;IF(AND(Milestones!$AB$42="FT",Milestones!$AA$42=FT_Y5,EDATE($D139,Milestones!$AA$42)&lt;PolicyEff),1,Milestones!$AC$42)&amp;";  ","")&amp;IF(AND(EDATE($D139,Milestones!$AA$43)&lt;=AsOfDate,EDATE($D139,Milestones!$AA$43)&gt;=SchemeStart,IF($X139=0,$AD139,IF(AND($Z139&lt;&gt;"",EDATE($D139,Milestones!$AA$43)&gt;=$Z139),$AC139,IF(AND($Y139&lt;&gt;"",EDATE($D139,Milestones!$AA$43)&gt;=$Y139),$AB139,$AA139)))=Milestones!$AB$43),UPPER(TEXT(EDATE($D139,Milestones!$AA$43),"dd mmm yy"))&amp;" "&amp;Milestones!$AB$43&amp;" "&amp;IF(AND(Milestones!$AB$43="FT",Milestones!$AA$43=FT_Y5,EDATE($D139,Milestones!$AA$43)&lt;PolicyEff),1,Milestones!$AC$43)&amp;";  ",""))</f>
        <v/>
      </c>
      <c r="K139" s="0" t="str">
        <f aca="false">IF(OR($A139="",$D139=""),"",IF(AND(EDATE($D139,Milestones!$AA$44)&lt;=AsOfDate,EDATE($D139,Milestones!$AA$44)&gt;=SchemeStart,IF($X139=0,$AD139,IF(AND($Z139&lt;&gt;"",EDATE($D139,Milestones!$AA$44)&gt;=$Z139),$AC139,IF(AND($Y139&lt;&gt;"",EDATE($D139,Milestones!$AA$44)&gt;=$Y139),$AB139,$AA139)))=Milestones!$AB$44),UPPER(TEXT(EDATE($D139,Milestones!$AA$44),"dd mmm yy"))&amp;" "&amp;Milestones!$AB$44&amp;" "&amp;IF(AND(Milestones!$AB$44="FT",Milestones!$AA$44=FT_Y5,EDATE($D139,Milestones!$AA$44)&lt;PolicyEff),1,Milestones!$AC$44)&amp;";  ","")&amp;IF(AND(EDATE($D139,Milestones!$AA$45)&lt;=AsOfDate,EDATE($D139,Milestones!$AA$45)&gt;=SchemeStart,IF($X139=0,$AD139,IF(AND($Z139&lt;&gt;"",EDATE($D139,Milestones!$AA$45)&gt;=$Z139),$AC139,IF(AND($Y139&lt;&gt;"",EDATE($D139,Milestones!$AA$45)&gt;=$Y139),$AB139,$AA139)))=Milestones!$AB$45),UPPER(TEXT(EDATE($D139,Milestones!$AA$45),"dd mmm yy"))&amp;" "&amp;Milestones!$AB$45&amp;" "&amp;IF(AND(Milestones!$AB$45="FT",Milestones!$AA$45=FT_Y5,EDATE($D139,Milestones!$AA$45)&lt;PolicyEff),1,Milestones!$AC$45)&amp;";  ","")&amp;IF(AND(EDATE($D139,Milestones!$AA$46)&lt;=AsOfDate,EDATE($D139,Milestones!$AA$46)&gt;=SchemeStart,IF($X139=0,$AD139,IF(AND($Z139&lt;&gt;"",EDATE($D139,Milestones!$AA$46)&gt;=$Z139),$AC139,IF(AND($Y139&lt;&gt;"",EDATE($D139,Milestones!$AA$46)&gt;=$Y139),$AB139,$AA139)))=Milestones!$AB$46),UPPER(TEXT(EDATE($D139,Milestones!$AA$46),"dd mmm yy"))&amp;" "&amp;Milestones!$AB$46&amp;" "&amp;IF(AND(Milestones!$AB$46="FT",Milestones!$AA$46=FT_Y5,EDATE($D139,Milestones!$AA$46)&lt;PolicyEff),1,Milestones!$AC$46)&amp;";  ","")&amp;IF(AND(EDATE($D139,Milestones!$AA$47)&lt;=AsOfDate,EDATE($D139,Milestones!$AA$47)&gt;=SchemeStart,IF($X139=0,$AD139,IF(AND($Z139&lt;&gt;"",EDATE($D139,Milestones!$AA$47)&gt;=$Z139),$AC139,IF(AND($Y139&lt;&gt;"",EDATE($D139,Milestones!$AA$47)&gt;=$Y139),$AB139,$AA139)))=Milestones!$AB$47),UPPER(TEXT(EDATE($D139,Milestones!$AA$47),"dd mmm yy"))&amp;" "&amp;Milestones!$AB$47&amp;" "&amp;IF(AND(Milestones!$AB$47="FT",Milestones!$AA$47=FT_Y5,EDATE($D139,Milestones!$AA$47)&lt;PolicyEff),1,Milestones!$AC$47)&amp;";  ","")&amp;IF(AND(EDATE($D139,Milestones!$AA$48)&lt;=AsOfDate,EDATE($D139,Milestones!$AA$48)&gt;=SchemeStart,IF($X139=0,$AD139,IF(AND($Z139&lt;&gt;"",EDATE($D139,Milestones!$AA$48)&gt;=$Z139),$AC139,IF(AND($Y139&lt;&gt;"",EDATE($D139,Milestones!$AA$48)&gt;=$Y139),$AB139,$AA139)))=Milestones!$AB$48),UPPER(TEXT(EDATE($D139,Milestones!$AA$48),"dd mmm yy"))&amp;" "&amp;Milestones!$AB$48&amp;" "&amp;IF(AND(Milestones!$AB$48="FT",Milestones!$AA$48=FT_Y5,EDATE($D139,Milestones!$AA$48)&lt;PolicyEff),1,Milestones!$AC$48)&amp;";  ","")&amp;IF(AND(EDATE($D139,Milestones!$AA$49)&lt;=AsOfDate,EDATE($D139,Milestones!$AA$49)&gt;=SchemeStart,IF($X139=0,$AD139,IF(AND($Z139&lt;&gt;"",EDATE($D139,Milestones!$AA$49)&gt;=$Z139),$AC139,IF(AND($Y139&lt;&gt;"",EDATE($D139,Milestones!$AA$49)&gt;=$Y139),$AB139,$AA139)))=Milestones!$AB$49),UPPER(TEXT(EDATE($D139,Milestones!$AA$49),"dd mmm yy"))&amp;" "&amp;Milestones!$AB$49&amp;" "&amp;IF(AND(Milestones!$AB$49="FT",Milestones!$AA$49=FT_Y5,EDATE($D139,Milestones!$AA$49)&lt;PolicyEff),1,Milestones!$AC$49)&amp;";  ","")&amp;IF(AND(EDATE($D139,Milestones!$AA$50)&lt;=AsOfDate,EDATE($D139,Milestones!$AA$50)&gt;=SchemeStart,IF($X139=0,$AD139,IF(AND($Z139&lt;&gt;"",EDATE($D139,Milestones!$AA$50)&gt;=$Z139),$AC139,IF(AND($Y139&lt;&gt;"",EDATE($D139,Milestones!$AA$50)&gt;=$Y139),$AB139,$AA139)))=Milestones!$AB$50),UPPER(TEXT(EDATE($D139,Milestones!$AA$50),"dd mmm yy"))&amp;" "&amp;Milestones!$AB$50&amp;" "&amp;IF(AND(Milestones!$AB$50="FT",Milestones!$AA$50=FT_Y5,EDATE($D139,Milestones!$AA$50)&lt;PolicyEff),1,Milestones!$AC$50)&amp;";  ","")&amp;IF(AND(EDATE($D139,Milestones!$AA$51)&lt;=AsOfDate,EDATE($D139,Milestones!$AA$51)&gt;=SchemeStart,IF($X139=0,$AD139,IF(AND($Z139&lt;&gt;"",EDATE($D139,Milestones!$AA$51)&gt;=$Z139),$AC139,IF(AND($Y139&lt;&gt;"",EDATE($D139,Milestones!$AA$51)&gt;=$Y139),$AB139,$AA139)))=Milestones!$AB$51),UPPER(TEXT(EDATE($D139,Milestones!$AA$51),"dd mmm yy"))&amp;" "&amp;Milestones!$AB$51&amp;" "&amp;IF(AND(Milestones!$AB$51="FT",Milestones!$AA$51=FT_Y5,EDATE($D139,Milestones!$AA$51)&lt;PolicyEff),1,Milestones!$AC$51)&amp;";  ","")&amp;IF(AND(EDATE($D139,Milestones!$AA$52)&lt;=AsOfDate,EDATE($D139,Milestones!$AA$52)&gt;=SchemeStart,IF($X139=0,$AD139,IF(AND($Z139&lt;&gt;"",EDATE($D139,Milestones!$AA$52)&gt;=$Z139),$AC139,IF(AND($Y139&lt;&gt;"",EDATE($D139,Milestones!$AA$52)&gt;=$Y139),$AB139,$AA139)))=Milestones!$AB$52),UPPER(TEXT(EDATE($D139,Milestones!$AA$52),"dd mmm yy"))&amp;" "&amp;Milestones!$AB$52&amp;" "&amp;IF(AND(Milestones!$AB$52="FT",Milestones!$AA$52=FT_Y5,EDATE($D139,Milestones!$AA$52)&lt;PolicyEff),1,Milestones!$AC$52)&amp;";  ","")&amp;IF(AND(EDATE($D139,Milestones!$AA$53)&lt;=AsOfDate,EDATE($D139,Milestones!$AA$53)&gt;=SchemeStart,IF($X139=0,$AD139,IF(AND($Z139&lt;&gt;"",EDATE($D139,Milestones!$AA$53)&gt;=$Z139),$AC139,IF(AND($Y139&lt;&gt;"",EDATE($D139,Milestones!$AA$53)&gt;=$Y139),$AB139,$AA139)))=Milestones!$AB$53),UPPER(TEXT(EDATE($D139,Milestones!$AA$53),"dd mmm yy"))&amp;" "&amp;Milestones!$AB$53&amp;" "&amp;IF(AND(Milestones!$AB$53="FT",Milestones!$AA$53=FT_Y5,EDATE($D139,Milestones!$AA$53)&lt;PolicyEff),1,Milestones!$AC$53)&amp;";  ","")&amp;IF(AND(EDATE($D139,Milestones!$AA$54)&lt;=AsOfDate,EDATE($D139,Milestones!$AA$54)&gt;=SchemeStart,IF($X139=0,$AD139,IF(AND($Z139&lt;&gt;"",EDATE($D139,Milestones!$AA$54)&gt;=$Z139),$AC139,IF(AND($Y139&lt;&gt;"",EDATE($D139,Milestones!$AA$54)&gt;=$Y139),$AB139,$AA139)))=Milestones!$AB$54),UPPER(TEXT(EDATE($D139,Milestones!$AA$54),"dd mmm yy"))&amp;" "&amp;Milestones!$AB$54&amp;" "&amp;IF(AND(Milestones!$AB$54="FT",Milestones!$AA$54=FT_Y5,EDATE($D139,Milestones!$AA$54)&lt;PolicyEff),1,Milestones!$AC$54)&amp;";  ","")&amp;IF(AND(EDATE($D139,Milestones!$AA$55)&lt;=AsOfDate,EDATE($D139,Milestones!$AA$55)&gt;=SchemeStart,IF($X139=0,$AD139,IF(AND($Z139&lt;&gt;"",EDATE($D139,Milestones!$AA$55)&gt;=$Z139),$AC139,IF(AND($Y139&lt;&gt;"",EDATE($D139,Milestones!$AA$55)&gt;=$Y139),$AB139,$AA139)))=Milestones!$AB$55),UPPER(TEXT(EDATE($D139,Milestones!$AA$55),"dd mmm yy"))&amp;" "&amp;Milestones!$AB$55&amp;" "&amp;IF(AND(Milestones!$AB$55="FT",Milestones!$AA$55=FT_Y5,EDATE($D139,Milestones!$AA$55)&lt;PolicyEff),1,Milestones!$AC$55)&amp;";  ",""))</f>
        <v/>
      </c>
      <c r="L139" s="0" t="str">
        <f aca="false">IF(OR($A139="",$D139=""),"",IF(AND(EDATE($D139,Milestones!$AA$56)&lt;=AsOfDate,EDATE($D139,Milestones!$AA$56)&gt;=SchemeStart,IF($X139=0,$AD139,IF(AND($Z139&lt;&gt;"",EDATE($D139,Milestones!$AA$56)&gt;=$Z139),$AC139,IF(AND($Y139&lt;&gt;"",EDATE($D139,Milestones!$AA$56)&gt;=$Y139),$AB139,$AA139)))=Milestones!$AB$56),UPPER(TEXT(EDATE($D139,Milestones!$AA$56),"dd mmm yy"))&amp;" "&amp;Milestones!$AB$56&amp;" "&amp;IF(AND(Milestones!$AB$56="FT",Milestones!$AA$56=FT_Y5,EDATE($D139,Milestones!$AA$56)&lt;PolicyEff),1,Milestones!$AC$56)&amp;";  ","")&amp;IF(AND(EDATE($D139,Milestones!$AA$57)&lt;=AsOfDate,EDATE($D139,Milestones!$AA$57)&gt;=SchemeStart,IF($X139=0,$AD139,IF(AND($Z139&lt;&gt;"",EDATE($D139,Milestones!$AA$57)&gt;=$Z139),$AC139,IF(AND($Y139&lt;&gt;"",EDATE($D139,Milestones!$AA$57)&gt;=$Y139),$AB139,$AA139)))=Milestones!$AB$57),UPPER(TEXT(EDATE($D139,Milestones!$AA$57),"dd mmm yy"))&amp;" "&amp;Milestones!$AB$57&amp;" "&amp;IF(AND(Milestones!$AB$57="FT",Milestones!$AA$57=FT_Y5,EDATE($D139,Milestones!$AA$57)&lt;PolicyEff),1,Milestones!$AC$57)&amp;";  ","")&amp;IF(AND(EDATE($D139,Milestones!$AA$58)&lt;=AsOfDate,EDATE($D139,Milestones!$AA$58)&gt;=SchemeStart,IF($X139=0,$AD139,IF(AND($Z139&lt;&gt;"",EDATE($D139,Milestones!$AA$58)&gt;=$Z139),$AC139,IF(AND($Y139&lt;&gt;"",EDATE($D139,Milestones!$AA$58)&gt;=$Y139),$AB139,$AA139)))=Milestones!$AB$58),UPPER(TEXT(EDATE($D139,Milestones!$AA$58),"dd mmm yy"))&amp;" "&amp;Milestones!$AB$58&amp;" "&amp;IF(AND(Milestones!$AB$58="FT",Milestones!$AA$58=FT_Y5,EDATE($D139,Milestones!$AA$58)&lt;PolicyEff),1,Milestones!$AC$58)&amp;";  ","")&amp;IF(AND(EDATE($D139,Milestones!$AA$59)&lt;=AsOfDate,EDATE($D139,Milestones!$AA$59)&gt;=SchemeStart,IF($X139=0,$AD139,IF(AND($Z139&lt;&gt;"",EDATE($D139,Milestones!$AA$59)&gt;=$Z139),$AC139,IF(AND($Y139&lt;&gt;"",EDATE($D139,Milestones!$AA$59)&gt;=$Y139),$AB139,$AA139)))=Milestones!$AB$59),UPPER(TEXT(EDATE($D139,Milestones!$AA$59),"dd mmm yy"))&amp;" "&amp;Milestones!$AB$59&amp;" "&amp;IF(AND(Milestones!$AB$59="FT",Milestones!$AA$59=FT_Y5,EDATE($D139,Milestones!$AA$59)&lt;PolicyEff),1,Milestones!$AC$59)&amp;";  ","")&amp;IF(AND(EDATE($D139,Milestones!$AA$60)&lt;=AsOfDate,EDATE($D139,Milestones!$AA$60)&gt;=SchemeStart,IF($X139=0,$AD139,IF(AND($Z139&lt;&gt;"",EDATE($D139,Milestones!$AA$60)&gt;=$Z139),$AC139,IF(AND($Y139&lt;&gt;"",EDATE($D139,Milestones!$AA$60)&gt;=$Y139),$AB139,$AA139)))=Milestones!$AB$60),UPPER(TEXT(EDATE($D139,Milestones!$AA$60),"dd mmm yy"))&amp;" "&amp;Milestones!$AB$60&amp;" "&amp;IF(AND(Milestones!$AB$60="FT",Milestones!$AA$60=FT_Y5,EDATE($D139,Milestones!$AA$60)&lt;PolicyEff),1,Milestones!$AC$60)&amp;";  ","")&amp;IF(AND(EDATE($D139,Milestones!$AA$61)&lt;=AsOfDate,EDATE($D139,Milestones!$AA$61)&gt;=SchemeStart,IF($X139=0,$AD139,IF(AND($Z139&lt;&gt;"",EDATE($D139,Milestones!$AA$61)&gt;=$Z139),$AC139,IF(AND($Y139&lt;&gt;"",EDATE($D139,Milestones!$AA$61)&gt;=$Y139),$AB139,$AA139)))=Milestones!$AB$61),UPPER(TEXT(EDATE($D139,Milestones!$AA$61),"dd mmm yy"))&amp;" "&amp;Milestones!$AB$61&amp;" "&amp;IF(AND(Milestones!$AB$61="FT",Milestones!$AA$61=FT_Y5,EDATE($D139,Milestones!$AA$61)&lt;PolicyEff),1,Milestones!$AC$61)&amp;";  ","")&amp;IF(AND(EDATE($D139,Milestones!$AA$62)&lt;=AsOfDate,EDATE($D139,Milestones!$AA$62)&gt;=SchemeStart,IF($X139=0,$AD139,IF(AND($Z139&lt;&gt;"",EDATE($D139,Milestones!$AA$62)&gt;=$Z139),$AC139,IF(AND($Y139&lt;&gt;"",EDATE($D139,Milestones!$AA$62)&gt;=$Y139),$AB139,$AA139)))=Milestones!$AB$62),UPPER(TEXT(EDATE($D139,Milestones!$AA$62),"dd mmm yy"))&amp;" "&amp;Milestones!$AB$62&amp;" "&amp;IF(AND(Milestones!$AB$62="FT",Milestones!$AA$62=FT_Y5,EDATE($D139,Milestones!$AA$62)&lt;PolicyEff),1,Milestones!$AC$62)&amp;";  ","")&amp;IF(AND(EDATE($D139,Milestones!$AA$63)&lt;=AsOfDate,EDATE($D139,Milestones!$AA$63)&gt;=SchemeStart,IF($X139=0,$AD139,IF(AND($Z139&lt;&gt;"",EDATE($D139,Milestones!$AA$63)&gt;=$Z139),$AC139,IF(AND($Y139&lt;&gt;"",EDATE($D139,Milestones!$AA$63)&gt;=$Y139),$AB139,$AA139)))=Milestones!$AB$63),UPPER(TEXT(EDATE($D139,Milestones!$AA$63),"dd mmm yy"))&amp;" "&amp;Milestones!$AB$63&amp;" "&amp;IF(AND(Milestones!$AB$63="FT",Milestones!$AA$63=FT_Y5,EDATE($D139,Milestones!$AA$63)&lt;PolicyEff),1,Milestones!$AC$63)&amp;";  ","")&amp;IF(AND(EDATE($D139,Milestones!$AA$64)&lt;=AsOfDate,EDATE($D139,Milestones!$AA$64)&gt;=SchemeStart,IF($X139=0,$AD139,IF(AND($Z139&lt;&gt;"",EDATE($D139,Milestones!$AA$64)&gt;=$Z139),$AC139,IF(AND($Y139&lt;&gt;"",EDATE($D139,Milestones!$AA$64)&gt;=$Y139),$AB139,$AA139)))=Milestones!$AB$64),UPPER(TEXT(EDATE($D139,Milestones!$AA$64),"dd mmm yy"))&amp;" "&amp;Milestones!$AB$64&amp;" "&amp;IF(AND(Milestones!$AB$64="FT",Milestones!$AA$64=FT_Y5,EDATE($D139,Milestones!$AA$64)&lt;PolicyEff),1,Milestones!$AC$64)&amp;";  ","")&amp;IF(AND(EDATE($D139,Milestones!$AA$65)&lt;=AsOfDate,EDATE($D139,Milestones!$AA$65)&gt;=SchemeStart,IF($X139=0,$AD139,IF(AND($Z139&lt;&gt;"",EDATE($D139,Milestones!$AA$65)&gt;=$Z139),$AC139,IF(AND($Y139&lt;&gt;"",EDATE($D139,Milestones!$AA$65)&gt;=$Y139),$AB139,$AA139)))=Milestones!$AB$65),UPPER(TEXT(EDATE($D139,Milestones!$AA$65),"dd mmm yy"))&amp;" "&amp;Milestones!$AB$65&amp;" "&amp;IF(AND(Milestones!$AB$65="FT",Milestones!$AA$65=FT_Y5,EDATE($D139,Milestones!$AA$65)&lt;PolicyEff),1,Milestones!$AC$65)&amp;";  ","")&amp;IF(AND(EDATE($D139,Milestones!$AA$66)&lt;=AsOfDate,EDATE($D139,Milestones!$AA$66)&gt;=SchemeStart,IF($X139=0,$AD139,IF(AND($Z139&lt;&gt;"",EDATE($D139,Milestones!$AA$66)&gt;=$Z139),$AC139,IF(AND($Y139&lt;&gt;"",EDATE($D139,Milestones!$AA$66)&gt;=$Y139),$AB139,$AA139)))=Milestones!$AB$66),UPPER(TEXT(EDATE($D139,Milestones!$AA$66),"dd mmm yy"))&amp;" "&amp;Milestones!$AB$66&amp;" "&amp;IF(AND(Milestones!$AB$66="FT",Milestones!$AA$66=FT_Y5,EDATE($D139,Milestones!$AA$66)&lt;PolicyEff),1,Milestones!$AC$66)&amp;";  ","")&amp;IF(AND(EDATE($D139,Milestones!$AA$67)&lt;=AsOfDate,EDATE($D139,Milestones!$AA$67)&gt;=SchemeStart,IF($X139=0,$AD139,IF(AND($Z139&lt;&gt;"",EDATE($D139,Milestones!$AA$67)&gt;=$Z139),$AC139,IF(AND($Y139&lt;&gt;"",EDATE($D139,Milestones!$AA$67)&gt;=$Y139),$AB139,$AA139)))=Milestones!$AB$67),UPPER(TEXT(EDATE($D139,Milestones!$AA$67),"dd mmm yy"))&amp;" "&amp;Milestones!$AB$67&amp;" "&amp;IF(AND(Milestones!$AB$67="FT",Milestones!$AA$67=FT_Y5,EDATE($D139,Milestones!$AA$67)&lt;PolicyEff),1,Milestones!$AC$67)&amp;";  ",""))</f>
        <v/>
      </c>
      <c r="M139" s="0" t="str">
        <f aca="false">IF(OR($A139="",$D139=""),"",IF(AND(EDATE($D139,Milestones!$AA$68)&lt;=AsOfDate,EDATE($D139,Milestones!$AA$68)&gt;=SchemeStart,IF($X139=0,$AD139,IF(AND($Z139&lt;&gt;"",EDATE($D139,Milestones!$AA$68)&gt;=$Z139),$AC139,IF(AND($Y139&lt;&gt;"",EDATE($D139,Milestones!$AA$68)&gt;=$Y139),$AB139,$AA139)))=Milestones!$AB$68),UPPER(TEXT(EDATE($D139,Milestones!$AA$68),"dd mmm yy"))&amp;" "&amp;Milestones!$AB$68&amp;" "&amp;IF(AND(Milestones!$AB$68="FT",Milestones!$AA$68=FT_Y5,EDATE($D139,Milestones!$AA$68)&lt;PolicyEff),1,Milestones!$AC$68)&amp;";  ","")&amp;IF(AND(EDATE($D139,Milestones!$AA$69)&lt;=AsOfDate,EDATE($D139,Milestones!$AA$69)&gt;=SchemeStart,IF($X139=0,$AD139,IF(AND($Z139&lt;&gt;"",EDATE($D139,Milestones!$AA$69)&gt;=$Z139),$AC139,IF(AND($Y139&lt;&gt;"",EDATE($D139,Milestones!$AA$69)&gt;=$Y139),$AB139,$AA139)))=Milestones!$AB$69),UPPER(TEXT(EDATE($D139,Milestones!$AA$69),"dd mmm yy"))&amp;" "&amp;Milestones!$AB$69&amp;" "&amp;IF(AND(Milestones!$AB$69="FT",Milestones!$AA$69=FT_Y5,EDATE($D139,Milestones!$AA$69)&lt;PolicyEff),1,Milestones!$AC$69)&amp;";  ","")&amp;IF(AND(EDATE($D139,Milestones!$AA$70)&lt;=AsOfDate,EDATE($D139,Milestones!$AA$70)&gt;=SchemeStart,IF($X139=0,$AD139,IF(AND($Z139&lt;&gt;"",EDATE($D139,Milestones!$AA$70)&gt;=$Z139),$AC139,IF(AND($Y139&lt;&gt;"",EDATE($D139,Milestones!$AA$70)&gt;=$Y139),$AB139,$AA139)))=Milestones!$AB$70),UPPER(TEXT(EDATE($D139,Milestones!$AA$70),"dd mmm yy"))&amp;" "&amp;Milestones!$AB$70&amp;" "&amp;IF(AND(Milestones!$AB$70="FT",Milestones!$AA$70=FT_Y5,EDATE($D139,Milestones!$AA$70)&lt;PolicyEff),1,Milestones!$AC$70)&amp;";  ","")&amp;IF(AND(EDATE($D139,Milestones!$AA$71)&lt;=AsOfDate,EDATE($D139,Milestones!$AA$71)&gt;=SchemeStart,IF($X139=0,$AD139,IF(AND($Z139&lt;&gt;"",EDATE($D139,Milestones!$AA$71)&gt;=$Z139),$AC139,IF(AND($Y139&lt;&gt;"",EDATE($D139,Milestones!$AA$71)&gt;=$Y139),$AB139,$AA139)))=Milestones!$AB$71),UPPER(TEXT(EDATE($D139,Milestones!$AA$71),"dd mmm yy"))&amp;" "&amp;Milestones!$AB$71&amp;" "&amp;IF(AND(Milestones!$AB$71="FT",Milestones!$AA$71=FT_Y5,EDATE($D139,Milestones!$AA$71)&lt;PolicyEff),1,Milestones!$AC$71)&amp;";  ","")&amp;IF(AND(EDATE($D139,Milestones!$AA$72)&lt;=AsOfDate,EDATE($D139,Milestones!$AA$72)&gt;=SchemeStart,IF($X139=0,$AD139,IF(AND($Z139&lt;&gt;"",EDATE($D139,Milestones!$AA$72)&gt;=$Z139),$AC139,IF(AND($Y139&lt;&gt;"",EDATE($D139,Milestones!$AA$72)&gt;=$Y139),$AB139,$AA139)))=Milestones!$AB$72),UPPER(TEXT(EDATE($D139,Milestones!$AA$72),"dd mmm yy"))&amp;" "&amp;Milestones!$AB$72&amp;" "&amp;IF(AND(Milestones!$AB$72="FT",Milestones!$AA$72=FT_Y5,EDATE($D139,Milestones!$AA$72)&lt;PolicyEff),1,Milestones!$AC$72)&amp;";  ","")&amp;IF(AND(EDATE($D139,Milestones!$AA$73)&lt;=AsOfDate,EDATE($D139,Milestones!$AA$73)&gt;=SchemeStart,IF($X139=0,$AD139,IF(AND($Z139&lt;&gt;"",EDATE($D139,Milestones!$AA$73)&gt;=$Z139),$AC139,IF(AND($Y139&lt;&gt;"",EDATE($D139,Milestones!$AA$73)&gt;=$Y139),$AB139,$AA139)))=Milestones!$AB$73),UPPER(TEXT(EDATE($D139,Milestones!$AA$73),"dd mmm yy"))&amp;" "&amp;Milestones!$AB$73&amp;" "&amp;IF(AND(Milestones!$AB$73="FT",Milestones!$AA$73=FT_Y5,EDATE($D139,Milestones!$AA$73)&lt;PolicyEff),1,Milestones!$AC$73)&amp;";  ","")&amp;IF(AND(EDATE($D139,Milestones!$AA$74)&lt;=AsOfDate,EDATE($D139,Milestones!$AA$74)&gt;=SchemeStart,IF($X139=0,$AD139,IF(AND($Z139&lt;&gt;"",EDATE($D139,Milestones!$AA$74)&gt;=$Z139),$AC139,IF(AND($Y139&lt;&gt;"",EDATE($D139,Milestones!$AA$74)&gt;=$Y139),$AB139,$AA139)))=Milestones!$AB$74),UPPER(TEXT(EDATE($D139,Milestones!$AA$74),"dd mmm yy"))&amp;" "&amp;Milestones!$AB$74&amp;" "&amp;IF(AND(Milestones!$AB$74="FT",Milestones!$AA$74=FT_Y5,EDATE($D139,Milestones!$AA$74)&lt;PolicyEff),1,Milestones!$AC$74)&amp;";  ","")&amp;IF(AND(EDATE($D139,Milestones!$AA$75)&lt;=AsOfDate,EDATE($D139,Milestones!$AA$75)&gt;=SchemeStart,IF($X139=0,$AD139,IF(AND($Z139&lt;&gt;"",EDATE($D139,Milestones!$AA$75)&gt;=$Z139),$AC139,IF(AND($Y139&lt;&gt;"",EDATE($D139,Milestones!$AA$75)&gt;=$Y139),$AB139,$AA139)))=Milestones!$AB$75),UPPER(TEXT(EDATE($D139,Milestones!$AA$75),"dd mmm yy"))&amp;" "&amp;Milestones!$AB$75&amp;" "&amp;IF(AND(Milestones!$AB$75="FT",Milestones!$AA$75=FT_Y5,EDATE($D139,Milestones!$AA$75)&lt;PolicyEff),1,Milestones!$AC$75)&amp;";  ","")&amp;IF(AND(EDATE($D139,Milestones!$AA$76)&lt;=AsOfDate,EDATE($D139,Milestones!$AA$76)&gt;=SchemeStart,IF($X139=0,$AD139,IF(AND($Z139&lt;&gt;"",EDATE($D139,Milestones!$AA$76)&gt;=$Z139),$AC139,IF(AND($Y139&lt;&gt;"",EDATE($D139,Milestones!$AA$76)&gt;=$Y139),$AB139,$AA139)))=Milestones!$AB$76),UPPER(TEXT(EDATE($D139,Milestones!$AA$76),"dd mmm yy"))&amp;" "&amp;Milestones!$AB$76&amp;" "&amp;IF(AND(Milestones!$AB$76="FT",Milestones!$AA$76=FT_Y5,EDATE($D139,Milestones!$AA$76)&lt;PolicyEff),1,Milestones!$AC$76)&amp;";  ","")&amp;IF(AND(EDATE($D139,Milestones!$AA$77)&lt;=AsOfDate,EDATE($D139,Milestones!$AA$77)&gt;=SchemeStart,IF($X139=0,$AD139,IF(AND($Z139&lt;&gt;"",EDATE($D139,Milestones!$AA$77)&gt;=$Z139),$AC139,IF(AND($Y139&lt;&gt;"",EDATE($D139,Milestones!$AA$77)&gt;=$Y139),$AB139,$AA139)))=Milestones!$AB$77),UPPER(TEXT(EDATE($D139,Milestones!$AA$77),"dd mmm yy"))&amp;" "&amp;Milestones!$AB$77&amp;" "&amp;IF(AND(Milestones!$AB$77="FT",Milestones!$AA$77=FT_Y5,EDATE($D139,Milestones!$AA$77)&lt;PolicyEff),1,Milestones!$AC$77)&amp;";  ","")&amp;IF(AND(EDATE($D139,Milestones!$AA$78)&lt;=AsOfDate,EDATE($D139,Milestones!$AA$78)&gt;=SchemeStart,IF($X139=0,$AD139,IF(AND($Z139&lt;&gt;"",EDATE($D139,Milestones!$AA$78)&gt;=$Z139),$AC139,IF(AND($Y139&lt;&gt;"",EDATE($D139,Milestones!$AA$78)&gt;=$Y139),$AB139,$AA139)))=Milestones!$AB$78),UPPER(TEXT(EDATE($D139,Milestones!$AA$78),"dd mmm yy"))&amp;" "&amp;Milestones!$AB$78&amp;" "&amp;IF(AND(Milestones!$AB$78="FT",Milestones!$AA$78=FT_Y5,EDATE($D139,Milestones!$AA$78)&lt;PolicyEff),1,Milestones!$AC$78)&amp;";  ","")&amp;IF(AND(EDATE($D139,Milestones!$AA$79)&lt;=AsOfDate,EDATE($D139,Milestones!$AA$79)&gt;=SchemeStart,IF($X139=0,$AD139,IF(AND($Z139&lt;&gt;"",EDATE($D139,Milestones!$AA$79)&gt;=$Z139),$AC139,IF(AND($Y139&lt;&gt;"",EDATE($D139,Milestones!$AA$79)&gt;=$Y139),$AB139,$AA139)))=Milestones!$AB$79),UPPER(TEXT(EDATE($D139,Milestones!$AA$79),"dd mmm yy"))&amp;" "&amp;Milestones!$AB$79&amp;" "&amp;IF(AND(Milestones!$AB$79="FT",Milestones!$AA$79=FT_Y5,EDATE($D139,Milestones!$AA$79)&lt;PolicyEff),1,Milestones!$AC$79)&amp;";  ",""))</f>
        <v/>
      </c>
      <c r="N139" s="0" t="str">
        <f aca="false">IF(OR($A139="",$D139=""),"",IF(AND(EDATE($D139,Milestones!$AA$80)&lt;=AsOfDate,EDATE($D139,Milestones!$AA$80)&gt;=SchemeStart,IF($X139=0,$AD139,IF(AND($Z139&lt;&gt;"",EDATE($D139,Milestones!$AA$80)&gt;=$Z139),$AC139,IF(AND($Y139&lt;&gt;"",EDATE($D139,Milestones!$AA$80)&gt;=$Y139),$AB139,$AA139)))=Milestones!$AB$80),UPPER(TEXT(EDATE($D139,Milestones!$AA$80),"dd mmm yy"))&amp;" "&amp;Milestones!$AB$80&amp;" "&amp;IF(AND(Milestones!$AB$80="FT",Milestones!$AA$80=FT_Y5,EDATE($D139,Milestones!$AA$80)&lt;PolicyEff),1,Milestones!$AC$80)&amp;";  ","")&amp;IF(AND(EDATE($D139,Milestones!$AA$81)&lt;=AsOfDate,EDATE($D139,Milestones!$AA$81)&gt;=SchemeStart,IF($X139=0,$AD139,IF(AND($Z139&lt;&gt;"",EDATE($D139,Milestones!$AA$81)&gt;=$Z139),$AC139,IF(AND($Y139&lt;&gt;"",EDATE($D139,Milestones!$AA$81)&gt;=$Y139),$AB139,$AA139)))=Milestones!$AB$81),UPPER(TEXT(EDATE($D139,Milestones!$AA$81),"dd mmm yy"))&amp;" "&amp;Milestones!$AB$81&amp;" "&amp;IF(AND(Milestones!$AB$81="FT",Milestones!$AA$81=FT_Y5,EDATE($D139,Milestones!$AA$81)&lt;PolicyEff),1,Milestones!$AC$81)&amp;";  ","")&amp;IF(AND(EDATE($D139,Milestones!$AA$82)&lt;=AsOfDate,EDATE($D139,Milestones!$AA$82)&gt;=SchemeStart,IF($X139=0,$AD139,IF(AND($Z139&lt;&gt;"",EDATE($D139,Milestones!$AA$82)&gt;=$Z139),$AC139,IF(AND($Y139&lt;&gt;"",EDATE($D139,Milestones!$AA$82)&gt;=$Y139),$AB139,$AA139)))=Milestones!$AB$82),UPPER(TEXT(EDATE($D139,Milestones!$AA$82),"dd mmm yy"))&amp;" "&amp;Milestones!$AB$82&amp;" "&amp;IF(AND(Milestones!$AB$82="FT",Milestones!$AA$82=FT_Y5,EDATE($D139,Milestones!$AA$82)&lt;PolicyEff),1,Milestones!$AC$82)&amp;";  ","")&amp;IF(AND(EDATE($D139,Milestones!$AA$83)&lt;=AsOfDate,EDATE($D139,Milestones!$AA$83)&gt;=SchemeStart,IF($X139=0,$AD139,IF(AND($Z139&lt;&gt;"",EDATE($D139,Milestones!$AA$83)&gt;=$Z139),$AC139,IF(AND($Y139&lt;&gt;"",EDATE($D139,Milestones!$AA$83)&gt;=$Y139),$AB139,$AA139)))=Milestones!$AB$83),UPPER(TEXT(EDATE($D139,Milestones!$AA$83),"dd mmm yy"))&amp;" "&amp;Milestones!$AB$83&amp;" "&amp;IF(AND(Milestones!$AB$83="FT",Milestones!$AA$83=FT_Y5,EDATE($D139,Milestones!$AA$83)&lt;PolicyEff),1,Milestones!$AC$83)&amp;";  ","")&amp;IF(AND(EDATE($D139,Milestones!$AA$84)&lt;=AsOfDate,EDATE($D139,Milestones!$AA$84)&gt;=SchemeStart,IF($X139=0,$AD139,IF(AND($Z139&lt;&gt;"",EDATE($D139,Milestones!$AA$84)&gt;=$Z139),$AC139,IF(AND($Y139&lt;&gt;"",EDATE($D139,Milestones!$AA$84)&gt;=$Y139),$AB139,$AA139)))=Milestones!$AB$84),UPPER(TEXT(EDATE($D139,Milestones!$AA$84),"dd mmm yy"))&amp;" "&amp;Milestones!$AB$84&amp;" "&amp;IF(AND(Milestones!$AB$84="FT",Milestones!$AA$84=FT_Y5,EDATE($D139,Milestones!$AA$84)&lt;PolicyEff),1,Milestones!$AC$84)&amp;";  ","")&amp;IF(AND(EDATE($D139,Milestones!$AA$85)&lt;=AsOfDate,EDATE($D139,Milestones!$AA$85)&gt;=SchemeStart,IF($X139=0,$AD139,IF(AND($Z139&lt;&gt;"",EDATE($D139,Milestones!$AA$85)&gt;=$Z139),$AC139,IF(AND($Y139&lt;&gt;"",EDATE($D139,Milestones!$AA$85)&gt;=$Y139),$AB139,$AA139)))=Milestones!$AB$85),UPPER(TEXT(EDATE($D139,Milestones!$AA$85),"dd mmm yy"))&amp;" "&amp;Milestones!$AB$85&amp;" "&amp;IF(AND(Milestones!$AB$85="FT",Milestones!$AA$85=FT_Y5,EDATE($D139,Milestones!$AA$85)&lt;PolicyEff),1,Milestones!$AC$85)&amp;";  ","")&amp;IF(AND(EDATE($D139,Milestones!$AA$86)&lt;=AsOfDate,EDATE($D139,Milestones!$AA$86)&gt;=SchemeStart,IF($X139=0,$AD139,IF(AND($Z139&lt;&gt;"",EDATE($D139,Milestones!$AA$86)&gt;=$Z139),$AC139,IF(AND($Y139&lt;&gt;"",EDATE($D139,Milestones!$AA$86)&gt;=$Y139),$AB139,$AA139)))=Milestones!$AB$86),UPPER(TEXT(EDATE($D139,Milestones!$AA$86),"dd mmm yy"))&amp;" "&amp;Milestones!$AB$86&amp;" "&amp;IF(AND(Milestones!$AB$86="FT",Milestones!$AA$86=FT_Y5,EDATE($D139,Milestones!$AA$86)&lt;PolicyEff),1,Milestones!$AC$86)&amp;";  ","")&amp;IF(AND(EDATE($D139,Milestones!$AA$87)&lt;=AsOfDate,EDATE($D139,Milestones!$AA$87)&gt;=SchemeStart,IF($X139=0,$AD139,IF(AND($Z139&lt;&gt;"",EDATE($D139,Milestones!$AA$87)&gt;=$Z139),$AC139,IF(AND($Y139&lt;&gt;"",EDATE($D139,Milestones!$AA$87)&gt;=$Y139),$AB139,$AA139)))=Milestones!$AB$87),UPPER(TEXT(EDATE($D139,Milestones!$AA$87),"dd mmm yy"))&amp;" "&amp;Milestones!$AB$87&amp;" "&amp;IF(AND(Milestones!$AB$87="FT",Milestones!$AA$87=FT_Y5,EDATE($D139,Milestones!$AA$87)&lt;PolicyEff),1,Milestones!$AC$87)&amp;";  ","")&amp;IF(AND(EDATE($D139,Milestones!$AA$88)&lt;=AsOfDate,EDATE($D139,Milestones!$AA$88)&gt;=SchemeStart,IF($X139=0,$AD139,IF(AND($Z139&lt;&gt;"",EDATE($D139,Milestones!$AA$88)&gt;=$Z139),$AC139,IF(AND($Y139&lt;&gt;"",EDATE($D139,Milestones!$AA$88)&gt;=$Y139),$AB139,$AA139)))=Milestones!$AB$88),UPPER(TEXT(EDATE($D139,Milestones!$AA$88),"dd mmm yy"))&amp;" "&amp;Milestones!$AB$88&amp;" "&amp;IF(AND(Milestones!$AB$88="FT",Milestones!$AA$88=FT_Y5,EDATE($D139,Milestones!$AA$88)&lt;PolicyEff),1,Milestones!$AC$88)&amp;";  ","")&amp;IF(AND(EDATE($D139,Milestones!$AA$89)&lt;=AsOfDate,EDATE($D139,Milestones!$AA$89)&gt;=SchemeStart,IF($X139=0,$AD139,IF(AND($Z139&lt;&gt;"",EDATE($D139,Milestones!$AA$89)&gt;=$Z139),$AC139,IF(AND($Y139&lt;&gt;"",EDATE($D139,Milestones!$AA$89)&gt;=$Y139),$AB139,$AA139)))=Milestones!$AB$89),UPPER(TEXT(EDATE($D139,Milestones!$AA$89),"dd mmm yy"))&amp;" "&amp;Milestones!$AB$89&amp;" "&amp;IF(AND(Milestones!$AB$89="FT",Milestones!$AA$89=FT_Y5,EDATE($D139,Milestones!$AA$89)&lt;PolicyEff),1,Milestones!$AC$89)&amp;";  ","")&amp;IF(AND(EDATE($D139,Milestones!$AA$90)&lt;=AsOfDate,EDATE($D139,Milestones!$AA$90)&gt;=SchemeStart,IF($X139=0,$AD139,IF(AND($Z139&lt;&gt;"",EDATE($D139,Milestones!$AA$90)&gt;=$Z139),$AC139,IF(AND($Y139&lt;&gt;"",EDATE($D139,Milestones!$AA$90)&gt;=$Y139),$AB139,$AA139)))=Milestones!$AB$90),UPPER(TEXT(EDATE($D139,Milestones!$AA$90),"dd mmm yy"))&amp;" "&amp;Milestones!$AB$90&amp;" "&amp;IF(AND(Milestones!$AB$90="FT",Milestones!$AA$90=FT_Y5,EDATE($D139,Milestones!$AA$90)&lt;PolicyEff),1,Milestones!$AC$90)&amp;";  ","")&amp;IF(AND(EDATE($D139,Milestones!$AA$91)&lt;=AsOfDate,EDATE($D139,Milestones!$AA$91)&gt;=SchemeStart,IF($X139=0,$AD139,IF(AND($Z139&lt;&gt;"",EDATE($D139,Milestones!$AA$91)&gt;=$Z139),$AC139,IF(AND($Y139&lt;&gt;"",EDATE($D139,Milestones!$AA$91)&gt;=$Y139),$AB139,$AA139)))=Milestones!$AB$91),UPPER(TEXT(EDATE($D139,Milestones!$AA$91),"dd mmm yy"))&amp;" "&amp;Milestones!$AB$91&amp;" "&amp;IF(AND(Milestones!$AB$91="FT",Milestones!$AA$91=FT_Y5,EDATE($D139,Milestones!$AA$91)&lt;PolicyEff),1,Milestones!$AC$91)&amp;";  ",""))</f>
        <v/>
      </c>
      <c r="O139" s="0" t="str">
        <f aca="false">IF(OR($A139="",$D139=""),"",IF(AND(EDATE($D139,Milestones!$AA$92)&lt;=AsOfDate,EDATE($D139,Milestones!$AA$92)&gt;=SchemeStart,IF($X139=0,$AD139,IF(AND($Z139&lt;&gt;"",EDATE($D139,Milestones!$AA$92)&gt;=$Z139),$AC139,IF(AND($Y139&lt;&gt;"",EDATE($D139,Milestones!$AA$92)&gt;=$Y139),$AB139,$AA139)))=Milestones!$AB$92),UPPER(TEXT(EDATE($D139,Milestones!$AA$92),"dd mmm yy"))&amp;" "&amp;Milestones!$AB$92&amp;" "&amp;IF(AND(Milestones!$AB$92="FT",Milestones!$AA$92=FT_Y5,EDATE($D139,Milestones!$AA$92)&lt;PolicyEff),1,Milestones!$AC$92)&amp;";  ","")&amp;IF(AND(EDATE($D139,Milestones!$AA$93)&lt;=AsOfDate,EDATE($D139,Milestones!$AA$93)&gt;=SchemeStart,IF($X139=0,$AD139,IF(AND($Z139&lt;&gt;"",EDATE($D139,Milestones!$AA$93)&gt;=$Z139),$AC139,IF(AND($Y139&lt;&gt;"",EDATE($D139,Milestones!$AA$93)&gt;=$Y139),$AB139,$AA139)))=Milestones!$AB$93),UPPER(TEXT(EDATE($D139,Milestones!$AA$93),"dd mmm yy"))&amp;" "&amp;Milestones!$AB$93&amp;" "&amp;IF(AND(Milestones!$AB$93="FT",Milestones!$AA$93=FT_Y5,EDATE($D139,Milestones!$AA$93)&lt;PolicyEff),1,Milestones!$AC$93)&amp;";  ","")&amp;IF(AND(EDATE($D139,Milestones!$AA$94)&lt;=AsOfDate,EDATE($D139,Milestones!$AA$94)&gt;=SchemeStart,IF($X139=0,$AD139,IF(AND($Z139&lt;&gt;"",EDATE($D139,Milestones!$AA$94)&gt;=$Z139),$AC139,IF(AND($Y139&lt;&gt;"",EDATE($D139,Milestones!$AA$94)&gt;=$Y139),$AB139,$AA139)))=Milestones!$AB$94),UPPER(TEXT(EDATE($D139,Milestones!$AA$94),"dd mmm yy"))&amp;" "&amp;Milestones!$AB$94&amp;" "&amp;IF(AND(Milestones!$AB$94="FT",Milestones!$AA$94=FT_Y5,EDATE($D139,Milestones!$AA$94)&lt;PolicyEff),1,Milestones!$AC$94)&amp;";  ","")&amp;IF(AND(EDATE($D139,Milestones!$AA$95)&lt;=AsOfDate,EDATE($D139,Milestones!$AA$95)&gt;=SchemeStart,IF($X139=0,$AD139,IF(AND($Z139&lt;&gt;"",EDATE($D139,Milestones!$AA$95)&gt;=$Z139),$AC139,IF(AND($Y139&lt;&gt;"",EDATE($D139,Milestones!$AA$95)&gt;=$Y139),$AB139,$AA139)))=Milestones!$AB$95),UPPER(TEXT(EDATE($D139,Milestones!$AA$95),"dd mmm yy"))&amp;" "&amp;Milestones!$AB$95&amp;" "&amp;IF(AND(Milestones!$AB$95="FT",Milestones!$AA$95=FT_Y5,EDATE($D139,Milestones!$AA$95)&lt;PolicyEff),1,Milestones!$AC$95)&amp;";  ","")&amp;IF(AND(EDATE($D139,Milestones!$AA$96)&lt;=AsOfDate,EDATE($D139,Milestones!$AA$96)&gt;=SchemeStart,IF($X139=0,$AD139,IF(AND($Z139&lt;&gt;"",EDATE($D139,Milestones!$AA$96)&gt;=$Z139),$AC139,IF(AND($Y139&lt;&gt;"",EDATE($D139,Milestones!$AA$96)&gt;=$Y139),$AB139,$AA139)))=Milestones!$AB$96),UPPER(TEXT(EDATE($D139,Milestones!$AA$96),"dd mmm yy"))&amp;" "&amp;Milestones!$AB$96&amp;" "&amp;IF(AND(Milestones!$AB$96="FT",Milestones!$AA$96=FT_Y5,EDATE($D139,Milestones!$AA$96)&lt;PolicyEff),1,Milestones!$AC$96)&amp;";  ","")&amp;IF(AND(EDATE($D139,Milestones!$AA$97)&lt;=AsOfDate,EDATE($D139,Milestones!$AA$97)&gt;=SchemeStart,IF($X139=0,$AD139,IF(AND($Z139&lt;&gt;"",EDATE($D139,Milestones!$AA$97)&gt;=$Z139),$AC139,IF(AND($Y139&lt;&gt;"",EDATE($D139,Milestones!$AA$97)&gt;=$Y139),$AB139,$AA139)))=Milestones!$AB$97),UPPER(TEXT(EDATE($D139,Milestones!$AA$97),"dd mmm yy"))&amp;" "&amp;Milestones!$AB$97&amp;" "&amp;IF(AND(Milestones!$AB$97="FT",Milestones!$AA$97=FT_Y5,EDATE($D139,Milestones!$AA$97)&lt;PolicyEff),1,Milestones!$AC$97)&amp;";  ","")&amp;IF(AND(EDATE($D139,Milestones!$AA$98)&lt;=AsOfDate,EDATE($D139,Milestones!$AA$98)&gt;=SchemeStart,IF($X139=0,$AD139,IF(AND($Z139&lt;&gt;"",EDATE($D139,Milestones!$AA$98)&gt;=$Z139),$AC139,IF(AND($Y139&lt;&gt;"",EDATE($D139,Milestones!$AA$98)&gt;=$Y139),$AB139,$AA139)))=Milestones!$AB$98),UPPER(TEXT(EDATE($D139,Milestones!$AA$98),"dd mmm yy"))&amp;" "&amp;Milestones!$AB$98&amp;" "&amp;IF(AND(Milestones!$AB$98="FT",Milestones!$AA$98=FT_Y5,EDATE($D139,Milestones!$AA$98)&lt;PolicyEff),1,Milestones!$AC$98)&amp;";  ","")&amp;IF(AND(EDATE($D139,Milestones!$AA$99)&lt;=AsOfDate,EDATE($D139,Milestones!$AA$99)&gt;=SchemeStart,IF($X139=0,$AD139,IF(AND($Z139&lt;&gt;"",EDATE($D139,Milestones!$AA$99)&gt;=$Z139),$AC139,IF(AND($Y139&lt;&gt;"",EDATE($D139,Milestones!$AA$99)&gt;=$Y139),$AB139,$AA139)))=Milestones!$AB$99),UPPER(TEXT(EDATE($D139,Milestones!$AA$99),"dd mmm yy"))&amp;" "&amp;Milestones!$AB$99&amp;" "&amp;IF(AND(Milestones!$AB$99="FT",Milestones!$AA$99=FT_Y5,EDATE($D139,Milestones!$AA$99)&lt;PolicyEff),1,Milestones!$AC$99)&amp;";  ","")&amp;IF(AND(EDATE($D139,Milestones!$AA$100)&lt;=AsOfDate,EDATE($D139,Milestones!$AA$100)&gt;=SchemeStart,IF($X139=0,$AD139,IF(AND($Z139&lt;&gt;"",EDATE($D139,Milestones!$AA$100)&gt;=$Z139),$AC139,IF(AND($Y139&lt;&gt;"",EDATE($D139,Milestones!$AA$100)&gt;=$Y139),$AB139,$AA139)))=Milestones!$AB$100),UPPER(TEXT(EDATE($D139,Milestones!$AA$100),"dd mmm yy"))&amp;" "&amp;Milestones!$AB$100&amp;" "&amp;IF(AND(Milestones!$AB$100="FT",Milestones!$AA$100=FT_Y5,EDATE($D139,Milestones!$AA$100)&lt;PolicyEff),1,Milestones!$AC$100)&amp;";  ","")&amp;IF(AND(EDATE($D139,Milestones!$AA$101)&lt;=AsOfDate,EDATE($D139,Milestones!$AA$101)&gt;=SchemeStart,IF($X139=0,$AD139,IF(AND($Z139&lt;&gt;"",EDATE($D139,Milestones!$AA$101)&gt;=$Z139),$AC139,IF(AND($Y139&lt;&gt;"",EDATE($D139,Milestones!$AA$101)&gt;=$Y139),$AB139,$AA139)))=Milestones!$AB$101),UPPER(TEXT(EDATE($D139,Milestones!$AA$101),"dd mmm yy"))&amp;" "&amp;Milestones!$AB$101&amp;" "&amp;IF(AND(Milestones!$AB$101="FT",Milestones!$AA$101=FT_Y5,EDATE($D139,Milestones!$AA$101)&lt;PolicyEff),1,Milestones!$AC$101)&amp;";  ","")&amp;IF(AND(EDATE($D139,Milestones!$AA$102)&lt;=AsOfDate,EDATE($D139,Milestones!$AA$102)&gt;=SchemeStart,IF($X139=0,$AD139,IF(AND($Z139&lt;&gt;"",EDATE($D139,Milestones!$AA$102)&gt;=$Z139),$AC139,IF(AND($Y139&lt;&gt;"",EDATE($D139,Milestones!$AA$102)&gt;=$Y139),$AB139,$AA139)))=Milestones!$AB$102),UPPER(TEXT(EDATE($D139,Milestones!$AA$102),"dd mmm yy"))&amp;" "&amp;Milestones!$AB$102&amp;" "&amp;IF(AND(Milestones!$AB$102="FT",Milestones!$AA$102=FT_Y5,EDATE($D139,Milestones!$AA$102)&lt;PolicyEff),1,Milestones!$AC$102)&amp;";  ","")&amp;IF(AND(EDATE($D139,Milestones!$AA$103)&lt;=AsOfDate,EDATE($D139,Milestones!$AA$103)&gt;=SchemeStart,IF($X139=0,$AD139,IF(AND($Z139&lt;&gt;"",EDATE($D139,Milestones!$AA$103)&gt;=$Z139),$AC139,IF(AND($Y139&lt;&gt;"",EDATE($D139,Milestones!$AA$103)&gt;=$Y139),$AB139,$AA139)))=Milestones!$AB$103),UPPER(TEXT(EDATE($D139,Milestones!$AA$103),"dd mmm yy"))&amp;" "&amp;Milestones!$AB$103&amp;" "&amp;IF(AND(Milestones!$AB$103="FT",Milestones!$AA$103=FT_Y5,EDATE($D139,Milestones!$AA$103)&lt;PolicyEff),1,Milestones!$AC$103)&amp;";  ",""))</f>
        <v/>
      </c>
      <c r="P139" s="0" t="str">
        <f aca="false">IF(OR($A139="",$D139=""),"",IF(AND(EDATE($D139,Milestones!$AA$104)&lt;=AsOfDate,EDATE($D139,Milestones!$AA$104)&gt;=SchemeStart,IF($X139=0,$AD139,IF(AND($Z139&lt;&gt;"",EDATE($D139,Milestones!$AA$104)&gt;=$Z139),$AC139,IF(AND($Y139&lt;&gt;"",EDATE($D139,Milestones!$AA$104)&gt;=$Y139),$AB139,$AA139)))=Milestones!$AB$104),UPPER(TEXT(EDATE($D139,Milestones!$AA$104),"dd mmm yy"))&amp;" "&amp;Milestones!$AB$104&amp;" "&amp;IF(AND(Milestones!$AB$104="FT",Milestones!$AA$104=FT_Y5,EDATE($D139,Milestones!$AA$104)&lt;PolicyEff),1,Milestones!$AC$104)&amp;";  ","")&amp;IF(AND(EDATE($D139,Milestones!$AA$105)&lt;=AsOfDate,EDATE($D139,Milestones!$AA$105)&gt;=SchemeStart,IF($X139=0,$AD139,IF(AND($Z139&lt;&gt;"",EDATE($D139,Milestones!$AA$105)&gt;=$Z139),$AC139,IF(AND($Y139&lt;&gt;"",EDATE($D139,Milestones!$AA$105)&gt;=$Y139),$AB139,$AA139)))=Milestones!$AB$105),UPPER(TEXT(EDATE($D139,Milestones!$AA$105),"dd mmm yy"))&amp;" "&amp;Milestones!$AB$105&amp;" "&amp;IF(AND(Milestones!$AB$105="FT",Milestones!$AA$105=FT_Y5,EDATE($D139,Milestones!$AA$105)&lt;PolicyEff),1,Milestones!$AC$105)&amp;";  ","")&amp;IF(AND(EDATE($D139,Milestones!$AA$106)&lt;=AsOfDate,EDATE($D139,Milestones!$AA$106)&gt;=SchemeStart,IF($X139=0,$AD139,IF(AND($Z139&lt;&gt;"",EDATE($D139,Milestones!$AA$106)&gt;=$Z139),$AC139,IF(AND($Y139&lt;&gt;"",EDATE($D139,Milestones!$AA$106)&gt;=$Y139),$AB139,$AA139)))=Milestones!$AB$106),UPPER(TEXT(EDATE($D139,Milestones!$AA$106),"dd mmm yy"))&amp;" "&amp;Milestones!$AB$106&amp;" "&amp;IF(AND(Milestones!$AB$106="FT",Milestones!$AA$106=FT_Y5,EDATE($D139,Milestones!$AA$106)&lt;PolicyEff),1,Milestones!$AC$106)&amp;";  ","")&amp;IF(AND(EDATE($D139,Milestones!$AA$107)&lt;=AsOfDate,EDATE($D139,Milestones!$AA$107)&gt;=SchemeStart,IF($X139=0,$AD139,IF(AND($Z139&lt;&gt;"",EDATE($D139,Milestones!$AA$107)&gt;=$Z139),$AC139,IF(AND($Y139&lt;&gt;"",EDATE($D139,Milestones!$AA$107)&gt;=$Y139),$AB139,$AA139)))=Milestones!$AB$107),UPPER(TEXT(EDATE($D139,Milestones!$AA$107),"dd mmm yy"))&amp;" "&amp;Milestones!$AB$107&amp;" "&amp;IF(AND(Milestones!$AB$107="FT",Milestones!$AA$107=FT_Y5,EDATE($D139,Milestones!$AA$107)&lt;PolicyEff),1,Milestones!$AC$107)&amp;";  ","")&amp;IF(AND(EDATE($D139,Milestones!$AA$108)&lt;=AsOfDate,EDATE($D139,Milestones!$AA$108)&gt;=SchemeStart,IF($X139=0,$AD139,IF(AND($Z139&lt;&gt;"",EDATE($D139,Milestones!$AA$108)&gt;=$Z139),$AC139,IF(AND($Y139&lt;&gt;"",EDATE($D139,Milestones!$AA$108)&gt;=$Y139),$AB139,$AA139)))=Milestones!$AB$108),UPPER(TEXT(EDATE($D139,Milestones!$AA$108),"dd mmm yy"))&amp;" "&amp;Milestones!$AB$108&amp;" "&amp;IF(AND(Milestones!$AB$108="FT",Milestones!$AA$108=FT_Y5,EDATE($D139,Milestones!$AA$108)&lt;PolicyEff),1,Milestones!$AC$108)&amp;";  ","")&amp;IF(AND(EDATE($D139,Milestones!$AA$109)&lt;=AsOfDate,EDATE($D139,Milestones!$AA$109)&gt;=SchemeStart,IF($X139=0,$AD139,IF(AND($Z139&lt;&gt;"",EDATE($D139,Milestones!$AA$109)&gt;=$Z139),$AC139,IF(AND($Y139&lt;&gt;"",EDATE($D139,Milestones!$AA$109)&gt;=$Y139),$AB139,$AA139)))=Milestones!$AB$109),UPPER(TEXT(EDATE($D139,Milestones!$AA$109),"dd mmm yy"))&amp;" "&amp;Milestones!$AB$109&amp;" "&amp;IF(AND(Milestones!$AB$109="FT",Milestones!$AA$109=FT_Y5,EDATE($D139,Milestones!$AA$109)&lt;PolicyEff),1,Milestones!$AC$109)&amp;";  ","")&amp;IF(AND(EDATE($D139,Milestones!$AA$110)&lt;=AsOfDate,EDATE($D139,Milestones!$AA$110)&gt;=SchemeStart,IF($X139=0,$AD139,IF(AND($Z139&lt;&gt;"",EDATE($D139,Milestones!$AA$110)&gt;=$Z139),$AC139,IF(AND($Y139&lt;&gt;"",EDATE($D139,Milestones!$AA$110)&gt;=$Y139),$AB139,$AA139)))=Milestones!$AB$110),UPPER(TEXT(EDATE($D139,Milestones!$AA$110),"dd mmm yy"))&amp;" "&amp;Milestones!$AB$110&amp;" "&amp;IF(AND(Milestones!$AB$110="FT",Milestones!$AA$110=FT_Y5,EDATE($D139,Milestones!$AA$110)&lt;PolicyEff),1,Milestones!$AC$110)&amp;";  ","")&amp;IF(AND(EDATE($D139,Milestones!$AA$111)&lt;=AsOfDate,EDATE($D139,Milestones!$AA$111)&gt;=SchemeStart,IF($X139=0,$AD139,IF(AND($Z139&lt;&gt;"",EDATE($D139,Milestones!$AA$111)&gt;=$Z139),$AC139,IF(AND($Y139&lt;&gt;"",EDATE($D139,Milestones!$AA$111)&gt;=$Y139),$AB139,$AA139)))=Milestones!$AB$111),UPPER(TEXT(EDATE($D139,Milestones!$AA$111),"dd mmm yy"))&amp;" "&amp;Milestones!$AB$111&amp;" "&amp;IF(AND(Milestones!$AB$111="FT",Milestones!$AA$111=FT_Y5,EDATE($D139,Milestones!$AA$111)&lt;PolicyEff),1,Milestones!$AC$111)&amp;";  ","")&amp;IF(AND(EDATE($D139,Milestones!$AA$112)&lt;=AsOfDate,EDATE($D139,Milestones!$AA$112)&gt;=SchemeStart,IF($X139=0,$AD139,IF(AND($Z139&lt;&gt;"",EDATE($D139,Milestones!$AA$112)&gt;=$Z139),$AC139,IF(AND($Y139&lt;&gt;"",EDATE($D139,Milestones!$AA$112)&gt;=$Y139),$AB139,$AA139)))=Milestones!$AB$112),UPPER(TEXT(EDATE($D139,Milestones!$AA$112),"dd mmm yy"))&amp;" "&amp;Milestones!$AB$112&amp;" "&amp;IF(AND(Milestones!$AB$112="FT",Milestones!$AA$112=FT_Y5,EDATE($D139,Milestones!$AA$112)&lt;PolicyEff),1,Milestones!$AC$112)&amp;";  ","")&amp;IF(AND(EDATE($D139,Milestones!$AA$113)&lt;=AsOfDate,EDATE($D139,Milestones!$AA$113)&gt;=SchemeStart,IF($X139=0,$AD139,IF(AND($Z139&lt;&gt;"",EDATE($D139,Milestones!$AA$113)&gt;=$Z139),$AC139,IF(AND($Y139&lt;&gt;"",EDATE($D139,Milestones!$AA$113)&gt;=$Y139),$AB139,$AA139)))=Milestones!$AB$113),UPPER(TEXT(EDATE($D139,Milestones!$AA$113),"dd mmm yy"))&amp;" "&amp;Milestones!$AB$113&amp;" "&amp;IF(AND(Milestones!$AB$113="FT",Milestones!$AA$113=FT_Y5,EDATE($D139,Milestones!$AA$113)&lt;PolicyEff),1,Milestones!$AC$113)&amp;";  ","")&amp;IF(AND(EDATE($D139,Milestones!$AA$114)&lt;=AsOfDate,EDATE($D139,Milestones!$AA$114)&gt;=SchemeStart,IF($X139=0,$AD139,IF(AND($Z139&lt;&gt;"",EDATE($D139,Milestones!$AA$114)&gt;=$Z139),$AC139,IF(AND($Y139&lt;&gt;"",EDATE($D139,Milestones!$AA$114)&gt;=$Y139),$AB139,$AA139)))=Milestones!$AB$114),UPPER(TEXT(EDATE($D139,Milestones!$AA$114),"dd mmm yy"))&amp;" "&amp;Milestones!$AB$114&amp;" "&amp;IF(AND(Milestones!$AB$114="FT",Milestones!$AA$114=FT_Y5,EDATE($D139,Milestones!$AA$114)&lt;PolicyEff),1,Milestones!$AC$114)&amp;";  ","")&amp;IF(AND(EDATE($D139,Milestones!$AA$115)&lt;=AsOfDate,EDATE($D139,Milestones!$AA$115)&gt;=SchemeStart,IF($X139=0,$AD139,IF(AND($Z139&lt;&gt;"",EDATE($D139,Milestones!$AA$115)&gt;=$Z139),$AC139,IF(AND($Y139&lt;&gt;"",EDATE($D139,Milestones!$AA$115)&gt;=$Y139),$AB139,$AA139)))=Milestones!$AB$115),UPPER(TEXT(EDATE($D139,Milestones!$AA$115),"dd mmm yy"))&amp;" "&amp;Milestones!$AB$115&amp;" "&amp;IF(AND(Milestones!$AB$115="FT",Milestones!$AA$115=FT_Y5,EDATE($D139,Milestones!$AA$115)&lt;PolicyEff),1,Milestones!$AC$115)&amp;";  ",""))</f>
        <v/>
      </c>
      <c r="Q139" s="0" t="str">
        <f aca="false">IF(OR($A139="",$D139=""),"",IF(AND(EDATE($D139,Milestones!$AA$116)&lt;=AsOfDate,EDATE($D139,Milestones!$AA$116)&gt;=SchemeStart,IF($X139=0,$AD139,IF(AND($Z139&lt;&gt;"",EDATE($D139,Milestones!$AA$116)&gt;=$Z139),$AC139,IF(AND($Y139&lt;&gt;"",EDATE($D139,Milestones!$AA$116)&gt;=$Y139),$AB139,$AA139)))=Milestones!$AB$116),UPPER(TEXT(EDATE($D139,Milestones!$AA$116),"dd mmm yy"))&amp;" "&amp;Milestones!$AB$116&amp;" "&amp;IF(AND(Milestones!$AB$116="FT",Milestones!$AA$116=FT_Y5,EDATE($D139,Milestones!$AA$116)&lt;PolicyEff),1,Milestones!$AC$116)&amp;";  ","")&amp;IF(AND(EDATE($D139,Milestones!$AA$117)&lt;=AsOfDate,EDATE($D139,Milestones!$AA$117)&gt;=SchemeStart,IF($X139=0,$AD139,IF(AND($Z139&lt;&gt;"",EDATE($D139,Milestones!$AA$117)&gt;=$Z139),$AC139,IF(AND($Y139&lt;&gt;"",EDATE($D139,Milestones!$AA$117)&gt;=$Y139),$AB139,$AA139)))=Milestones!$AB$117),UPPER(TEXT(EDATE($D139,Milestones!$AA$117),"dd mmm yy"))&amp;" "&amp;Milestones!$AB$117&amp;" "&amp;IF(AND(Milestones!$AB$117="FT",Milestones!$AA$117=FT_Y5,EDATE($D139,Milestones!$AA$117)&lt;PolicyEff),1,Milestones!$AC$117)&amp;";  ","")&amp;IF(AND(EDATE($D139,Milestones!$AA$118)&lt;=AsOfDate,EDATE($D139,Milestones!$AA$118)&gt;=SchemeStart,IF($X139=0,$AD139,IF(AND($Z139&lt;&gt;"",EDATE($D139,Milestones!$AA$118)&gt;=$Z139),$AC139,IF(AND($Y139&lt;&gt;"",EDATE($D139,Milestones!$AA$118)&gt;=$Y139),$AB139,$AA139)))=Milestones!$AB$118),UPPER(TEXT(EDATE($D139,Milestones!$AA$118),"dd mmm yy"))&amp;" "&amp;Milestones!$AB$118&amp;" "&amp;IF(AND(Milestones!$AB$118="FT",Milestones!$AA$118=FT_Y5,EDATE($D139,Milestones!$AA$118)&lt;PolicyEff),1,Milestones!$AC$118)&amp;";  ","")&amp;IF(AND(EDATE($D139,Milestones!$AA$119)&lt;=AsOfDate,EDATE($D139,Milestones!$AA$119)&gt;=SchemeStart,IF($X139=0,$AD139,IF(AND($Z139&lt;&gt;"",EDATE($D139,Milestones!$AA$119)&gt;=$Z139),$AC139,IF(AND($Y139&lt;&gt;"",EDATE($D139,Milestones!$AA$119)&gt;=$Y139),$AB139,$AA139)))=Milestones!$AB$119),UPPER(TEXT(EDATE($D139,Milestones!$AA$119),"dd mmm yy"))&amp;" "&amp;Milestones!$AB$119&amp;" "&amp;IF(AND(Milestones!$AB$119="FT",Milestones!$AA$119=FT_Y5,EDATE($D139,Milestones!$AA$119)&lt;PolicyEff),1,Milestones!$AC$119)&amp;";  ","")&amp;IF(AND(EDATE($D139,Milestones!$AA$120)&lt;=AsOfDate,EDATE($D139,Milestones!$AA$120)&gt;=SchemeStart,IF($X139=0,$AD139,IF(AND($Z139&lt;&gt;"",EDATE($D139,Milestones!$AA$120)&gt;=$Z139),$AC139,IF(AND($Y139&lt;&gt;"",EDATE($D139,Milestones!$AA$120)&gt;=$Y139),$AB139,$AA139)))=Milestones!$AB$120),UPPER(TEXT(EDATE($D139,Milestones!$AA$120),"dd mmm yy"))&amp;" "&amp;Milestones!$AB$120&amp;" "&amp;IF(AND(Milestones!$AB$120="FT",Milestones!$AA$120=FT_Y5,EDATE($D139,Milestones!$AA$120)&lt;PolicyEff),1,Milestones!$AC$120)&amp;";  ","")&amp;IF(AND(EDATE($D139,Milestones!$AA$121)&lt;=AsOfDate,EDATE($D139,Milestones!$AA$121)&gt;=SchemeStart,IF($X139=0,$AD139,IF(AND($Z139&lt;&gt;"",EDATE($D139,Milestones!$AA$121)&gt;=$Z139),$AC139,IF(AND($Y139&lt;&gt;"",EDATE($D139,Milestones!$AA$121)&gt;=$Y139),$AB139,$AA139)))=Milestones!$AB$121),UPPER(TEXT(EDATE($D139,Milestones!$AA$121),"dd mmm yy"))&amp;" "&amp;Milestones!$AB$121&amp;" "&amp;IF(AND(Milestones!$AB$121="FT",Milestones!$AA$121=FT_Y5,EDATE($D139,Milestones!$AA$121)&lt;PolicyEff),1,Milestones!$AC$121)&amp;";  ","")&amp;IF(AND(EDATE($D139,Milestones!$AA$122)&lt;=AsOfDate,EDATE($D139,Milestones!$AA$122)&gt;=SchemeStart,IF($X139=0,$AD139,IF(AND($Z139&lt;&gt;"",EDATE($D139,Milestones!$AA$122)&gt;=$Z139),$AC139,IF(AND($Y139&lt;&gt;"",EDATE($D139,Milestones!$AA$122)&gt;=$Y139),$AB139,$AA139)))=Milestones!$AB$122),UPPER(TEXT(EDATE($D139,Milestones!$AA$122),"dd mmm yy"))&amp;" "&amp;Milestones!$AB$122&amp;" "&amp;IF(AND(Milestones!$AB$122="FT",Milestones!$AA$122=FT_Y5,EDATE($D139,Milestones!$AA$122)&lt;PolicyEff),1,Milestones!$AC$122)&amp;";  ","")&amp;IF(AND(EDATE($D139,Milestones!$AA$123)&lt;=AsOfDate,EDATE($D139,Milestones!$AA$123)&gt;=SchemeStart,IF($X139=0,$AD139,IF(AND($Z139&lt;&gt;"",EDATE($D139,Milestones!$AA$123)&gt;=$Z139),$AC139,IF(AND($Y139&lt;&gt;"",EDATE($D139,Milestones!$AA$123)&gt;=$Y139),$AB139,$AA139)))=Milestones!$AB$123),UPPER(TEXT(EDATE($D139,Milestones!$AA$123),"dd mmm yy"))&amp;" "&amp;Milestones!$AB$123&amp;" "&amp;IF(AND(Milestones!$AB$123="FT",Milestones!$AA$123=FT_Y5,EDATE($D139,Milestones!$AA$123)&lt;PolicyEff),1,Milestones!$AC$123)&amp;";  ","")&amp;IF(AND(EDATE($D139,Milestones!$AA$124)&lt;=AsOfDate,EDATE($D139,Milestones!$AA$124)&gt;=SchemeStart,IF($X139=0,$AD139,IF(AND($Z139&lt;&gt;"",EDATE($D139,Milestones!$AA$124)&gt;=$Z139),$AC139,IF(AND($Y139&lt;&gt;"",EDATE($D139,Milestones!$AA$124)&gt;=$Y139),$AB139,$AA139)))=Milestones!$AB$124),UPPER(TEXT(EDATE($D139,Milestones!$AA$124),"dd mmm yy"))&amp;" "&amp;Milestones!$AB$124&amp;" "&amp;IF(AND(Milestones!$AB$124="FT",Milestones!$AA$124=FT_Y5,EDATE($D139,Milestones!$AA$124)&lt;PolicyEff),1,Milestones!$AC$124)&amp;";  ","")&amp;IF(AND(EDATE($D139,Milestones!$AA$125)&lt;=AsOfDate,EDATE($D139,Milestones!$AA$125)&gt;=SchemeStart,IF($X139=0,$AD139,IF(AND($Z139&lt;&gt;"",EDATE($D139,Milestones!$AA$125)&gt;=$Z139),$AC139,IF(AND($Y139&lt;&gt;"",EDATE($D139,Milestones!$AA$125)&gt;=$Y139),$AB139,$AA139)))=Milestones!$AB$125),UPPER(TEXT(EDATE($D139,Milestones!$AA$125),"dd mmm yy"))&amp;" "&amp;Milestones!$AB$125&amp;" "&amp;IF(AND(Milestones!$AB$125="FT",Milestones!$AA$125=FT_Y5,EDATE($D139,Milestones!$AA$125)&lt;PolicyEff),1,Milestones!$AC$125)&amp;";  ","")&amp;IF(AND(EDATE($D139,Milestones!$AA$126)&lt;=AsOfDate,EDATE($D139,Milestones!$AA$126)&gt;=SchemeStart,IF($X139=0,$AD139,IF(AND($Z139&lt;&gt;"",EDATE($D139,Milestones!$AA$126)&gt;=$Z139),$AC139,IF(AND($Y139&lt;&gt;"",EDATE($D139,Milestones!$AA$126)&gt;=$Y139),$AB139,$AA139)))=Milestones!$AB$126),UPPER(TEXT(EDATE($D139,Milestones!$AA$126),"dd mmm yy"))&amp;" "&amp;Milestones!$AB$126&amp;" "&amp;IF(AND(Milestones!$AB$126="FT",Milestones!$AA$126=FT_Y5,EDATE($D139,Milestones!$AA$126)&lt;PolicyEff),1,Milestones!$AC$126)&amp;";  ","")&amp;IF(AND(EDATE($D139,Milestones!$AA$127)&lt;=AsOfDate,EDATE($D139,Milestones!$AA$127)&gt;=SchemeStart,IF($X139=0,$AD139,IF(AND($Z139&lt;&gt;"",EDATE($D139,Milestones!$AA$127)&gt;=$Z139),$AC139,IF(AND($Y139&lt;&gt;"",EDATE($D139,Milestones!$AA$127)&gt;=$Y139),$AB139,$AA139)))=Milestones!$AB$127),UPPER(TEXT(EDATE($D139,Milestones!$AA$127),"dd mmm yy"))&amp;" "&amp;Milestones!$AB$127&amp;" "&amp;IF(AND(Milestones!$AB$127="FT",Milestones!$AA$127=FT_Y5,EDATE($D139,Milestones!$AA$127)&lt;PolicyEff),1,Milestones!$AC$127)&amp;";  ",""))</f>
        <v/>
      </c>
      <c r="R139" s="0" t="str">
        <f aca="false">IF(OR($A139="",$D139=""),"",IF(AND(EDATE($D139,Milestones!$AA$128)&lt;=AsOfDate,EDATE($D139,Milestones!$AA$128)&gt;=SchemeStart,IF($X139=0,$AD139,IF(AND($Z139&lt;&gt;"",EDATE($D139,Milestones!$AA$128)&gt;=$Z139),$AC139,IF(AND($Y139&lt;&gt;"",EDATE($D139,Milestones!$AA$128)&gt;=$Y139),$AB139,$AA139)))=Milestones!$AB$128),UPPER(TEXT(EDATE($D139,Milestones!$AA$128),"dd mmm yy"))&amp;" "&amp;Milestones!$AB$128&amp;" "&amp;IF(AND(Milestones!$AB$128="FT",Milestones!$AA$128=FT_Y5,EDATE($D139,Milestones!$AA$128)&lt;PolicyEff),1,Milestones!$AC$128)&amp;";  ","")&amp;IF(AND(EDATE($D139,Milestones!$AA$129)&lt;=AsOfDate,EDATE($D139,Milestones!$AA$129)&gt;=SchemeStart,IF($X139=0,$AD139,IF(AND($Z139&lt;&gt;"",EDATE($D139,Milestones!$AA$129)&gt;=$Z139),$AC139,IF(AND($Y139&lt;&gt;"",EDATE($D139,Milestones!$AA$129)&gt;=$Y139),$AB139,$AA139)))=Milestones!$AB$129),UPPER(TEXT(EDATE($D139,Milestones!$AA$129),"dd mmm yy"))&amp;" "&amp;Milestones!$AB$129&amp;" "&amp;IF(AND(Milestones!$AB$129="FT",Milestones!$AA$129=FT_Y5,EDATE($D139,Milestones!$AA$129)&lt;PolicyEff),1,Milestones!$AC$129)&amp;";  ","")&amp;IF(AND(EDATE($D139,Milestones!$AA$130)&lt;=AsOfDate,EDATE($D139,Milestones!$AA$130)&gt;=SchemeStart,IF($X139=0,$AD139,IF(AND($Z139&lt;&gt;"",EDATE($D139,Milestones!$AA$130)&gt;=$Z139),$AC139,IF(AND($Y139&lt;&gt;"",EDATE($D139,Milestones!$AA$130)&gt;=$Y139),$AB139,$AA139)))=Milestones!$AB$130),UPPER(TEXT(EDATE($D139,Milestones!$AA$130),"dd mmm yy"))&amp;" "&amp;Milestones!$AB$130&amp;" "&amp;IF(AND(Milestones!$AB$130="FT",Milestones!$AA$130=FT_Y5,EDATE($D139,Milestones!$AA$130)&lt;PolicyEff),1,Milestones!$AC$130)&amp;";  ","")&amp;IF(AND(EDATE($D139,Milestones!$AA$131)&lt;=AsOfDate,EDATE($D139,Milestones!$AA$131)&gt;=SchemeStart,IF($X139=0,$AD139,IF(AND($Z139&lt;&gt;"",EDATE($D139,Milestones!$AA$131)&gt;=$Z139),$AC139,IF(AND($Y139&lt;&gt;"",EDATE($D139,Milestones!$AA$131)&gt;=$Y139),$AB139,$AA139)))=Milestones!$AB$131),UPPER(TEXT(EDATE($D139,Milestones!$AA$131),"dd mmm yy"))&amp;" "&amp;Milestones!$AB$131&amp;" "&amp;IF(AND(Milestones!$AB$131="FT",Milestones!$AA$131=FT_Y5,EDATE($D139,Milestones!$AA$131)&lt;PolicyEff),1,Milestones!$AC$131)&amp;";  ","")&amp;IF(AND(EDATE($D139,Milestones!$AA$132)&lt;=AsOfDate,EDATE($D139,Milestones!$AA$132)&gt;=SchemeStart,IF($X139=0,$AD139,IF(AND($Z139&lt;&gt;"",EDATE($D139,Milestones!$AA$132)&gt;=$Z139),$AC139,IF(AND($Y139&lt;&gt;"",EDATE($D139,Milestones!$AA$132)&gt;=$Y139),$AB139,$AA139)))=Milestones!$AB$132),UPPER(TEXT(EDATE($D139,Milestones!$AA$132),"dd mmm yy"))&amp;" "&amp;Milestones!$AB$132&amp;" "&amp;IF(AND(Milestones!$AB$132="FT",Milestones!$AA$132=FT_Y5,EDATE($D139,Milestones!$AA$132)&lt;PolicyEff),1,Milestones!$AC$132)&amp;";  ","")&amp;IF(AND(EDATE($D139,Milestones!$AA$133)&lt;=AsOfDate,EDATE($D139,Milestones!$AA$133)&gt;=SchemeStart,IF($X139=0,$AD139,IF(AND($Z139&lt;&gt;"",EDATE($D139,Milestones!$AA$133)&gt;=$Z139),$AC139,IF(AND($Y139&lt;&gt;"",EDATE($D139,Milestones!$AA$133)&gt;=$Y139),$AB139,$AA139)))=Milestones!$AB$133),UPPER(TEXT(EDATE($D139,Milestones!$AA$133),"dd mmm yy"))&amp;" "&amp;Milestones!$AB$133&amp;" "&amp;IF(AND(Milestones!$AB$133="FT",Milestones!$AA$133=FT_Y5,EDATE($D139,Milestones!$AA$133)&lt;PolicyEff),1,Milestones!$AC$133)&amp;";  ","")&amp;IF(AND(EDATE($D139,Milestones!$AA$134)&lt;=AsOfDate,EDATE($D139,Milestones!$AA$134)&gt;=SchemeStart,IF($X139=0,$AD139,IF(AND($Z139&lt;&gt;"",EDATE($D139,Milestones!$AA$134)&gt;=$Z139),$AC139,IF(AND($Y139&lt;&gt;"",EDATE($D139,Milestones!$AA$134)&gt;=$Y139),$AB139,$AA139)))=Milestones!$AB$134),UPPER(TEXT(EDATE($D139,Milestones!$AA$134),"dd mmm yy"))&amp;" "&amp;Milestones!$AB$134&amp;" "&amp;IF(AND(Milestones!$AB$134="FT",Milestones!$AA$134=FT_Y5,EDATE($D139,Milestones!$AA$134)&lt;PolicyEff),1,Milestones!$AC$134)&amp;";  ","")&amp;IF(AND(EDATE($D139,Milestones!$AA$135)&lt;=AsOfDate,EDATE($D139,Milestones!$AA$135)&gt;=SchemeStart,IF($X139=0,$AD139,IF(AND($Z139&lt;&gt;"",EDATE($D139,Milestones!$AA$135)&gt;=$Z139),$AC139,IF(AND($Y139&lt;&gt;"",EDATE($D139,Milestones!$AA$135)&gt;=$Y139),$AB139,$AA139)))=Milestones!$AB$135),UPPER(TEXT(EDATE($D139,Milestones!$AA$135),"dd mmm yy"))&amp;" "&amp;Milestones!$AB$135&amp;" "&amp;IF(AND(Milestones!$AB$135="FT",Milestones!$AA$135=FT_Y5,EDATE($D139,Milestones!$AA$135)&lt;PolicyEff),1,Milestones!$AC$135)&amp;";  ","")&amp;IF(AND(EDATE($D139,Milestones!$AA$136)&lt;=AsOfDate,EDATE($D139,Milestones!$AA$136)&gt;=SchemeStart,IF($X139=0,$AD139,IF(AND($Z139&lt;&gt;"",EDATE($D139,Milestones!$AA$136)&gt;=$Z139),$AC139,IF(AND($Y139&lt;&gt;"",EDATE($D139,Milestones!$AA$136)&gt;=$Y139),$AB139,$AA139)))=Milestones!$AB$136),UPPER(TEXT(EDATE($D139,Milestones!$AA$136),"dd mmm yy"))&amp;" "&amp;Milestones!$AB$136&amp;" "&amp;IF(AND(Milestones!$AB$136="FT",Milestones!$AA$136=FT_Y5,EDATE($D139,Milestones!$AA$136)&lt;PolicyEff),1,Milestones!$AC$136)&amp;";  ","")&amp;IF(AND(EDATE($D139,Milestones!$AA$137)&lt;=AsOfDate,EDATE($D139,Milestones!$AA$137)&gt;=SchemeStart,IF($X139=0,$AD139,IF(AND($Z139&lt;&gt;"",EDATE($D139,Milestones!$AA$137)&gt;=$Z139),$AC139,IF(AND($Y139&lt;&gt;"",EDATE($D139,Milestones!$AA$137)&gt;=$Y139),$AB139,$AA139)))=Milestones!$AB$137),UPPER(TEXT(EDATE($D139,Milestones!$AA$137),"dd mmm yy"))&amp;" "&amp;Milestones!$AB$137&amp;" "&amp;IF(AND(Milestones!$AB$137="FT",Milestones!$AA$137=FT_Y5,EDATE($D139,Milestones!$AA$137)&lt;PolicyEff),1,Milestones!$AC$137)&amp;";  ","")&amp;IF(AND(EDATE($D139,Milestones!$AA$138)&lt;=AsOfDate,EDATE($D139,Milestones!$AA$138)&gt;=SchemeStart,IF($X139=0,$AD139,IF(AND($Z139&lt;&gt;"",EDATE($D139,Milestones!$AA$138)&gt;=$Z139),$AC139,IF(AND($Y139&lt;&gt;"",EDATE($D139,Milestones!$AA$138)&gt;=$Y139),$AB139,$AA139)))=Milestones!$AB$138),UPPER(TEXT(EDATE($D139,Milestones!$AA$138),"dd mmm yy"))&amp;" "&amp;Milestones!$AB$138&amp;" "&amp;IF(AND(Milestones!$AB$138="FT",Milestones!$AA$138=FT_Y5,EDATE($D139,Milestones!$AA$138)&lt;PolicyEff),1,Milestones!$AC$138)&amp;";  ","")&amp;IF(AND(EDATE($D139,Milestones!$AA$139)&lt;=AsOfDate,EDATE($D139,Milestones!$AA$139)&gt;=SchemeStart,IF($X139=0,$AD139,IF(AND($Z139&lt;&gt;"",EDATE($D139,Milestones!$AA$139)&gt;=$Z139),$AC139,IF(AND($Y139&lt;&gt;"",EDATE($D139,Milestones!$AA$139)&gt;=$Y139),$AB139,$AA139)))=Milestones!$AB$139),UPPER(TEXT(EDATE($D139,Milestones!$AA$139),"dd mmm yy"))&amp;" "&amp;Milestones!$AB$139&amp;" "&amp;IF(AND(Milestones!$AB$139="FT",Milestones!$AA$139=FT_Y5,EDATE($D139,Milestones!$AA$139)&lt;PolicyEff),1,Milestones!$AC$139)&amp;";  ",""))</f>
        <v/>
      </c>
      <c r="S139" s="0" t="str">
        <f aca="false">IF(OR($A139="",$D139=""),"",IF(AND(EDATE($D139,Milestones!$AA$140)&lt;=AsOfDate,EDATE($D139,Milestones!$AA$140)&gt;=SchemeStart,IF($X139=0,$AD139,IF(AND($Z139&lt;&gt;"",EDATE($D139,Milestones!$AA$140)&gt;=$Z139),$AC139,IF(AND($Y139&lt;&gt;"",EDATE($D139,Milestones!$AA$140)&gt;=$Y139),$AB139,$AA139)))=Milestones!$AB$140),UPPER(TEXT(EDATE($D139,Milestones!$AA$140),"dd mmm yy"))&amp;" "&amp;Milestones!$AB$140&amp;" "&amp;IF(AND(Milestones!$AB$140="FT",Milestones!$AA$140=FT_Y5,EDATE($D139,Milestones!$AA$140)&lt;PolicyEff),1,Milestones!$AC$140)&amp;";  ","")&amp;IF(AND(EDATE($D139,Milestones!$AA$141)&lt;=AsOfDate,EDATE($D139,Milestones!$AA$141)&gt;=SchemeStart,IF($X139=0,$AD139,IF(AND($Z139&lt;&gt;"",EDATE($D139,Milestones!$AA$141)&gt;=$Z139),$AC139,IF(AND($Y139&lt;&gt;"",EDATE($D139,Milestones!$AA$141)&gt;=$Y139),$AB139,$AA139)))=Milestones!$AB$141),UPPER(TEXT(EDATE($D139,Milestones!$AA$141),"dd mmm yy"))&amp;" "&amp;Milestones!$AB$141&amp;" "&amp;IF(AND(Milestones!$AB$141="FT",Milestones!$AA$141=FT_Y5,EDATE($D139,Milestones!$AA$141)&lt;PolicyEff),1,Milestones!$AC$141)&amp;";  ","")&amp;IF(AND(EDATE($D139,Milestones!$AA$142)&lt;=AsOfDate,EDATE($D139,Milestones!$AA$142)&gt;=SchemeStart,IF($X139=0,$AD139,IF(AND($Z139&lt;&gt;"",EDATE($D139,Milestones!$AA$142)&gt;=$Z139),$AC139,IF(AND($Y139&lt;&gt;"",EDATE($D139,Milestones!$AA$142)&gt;=$Y139),$AB139,$AA139)))=Milestones!$AB$142),UPPER(TEXT(EDATE($D139,Milestones!$AA$142),"dd mmm yy"))&amp;" "&amp;Milestones!$AB$142&amp;" "&amp;IF(AND(Milestones!$AB$142="FT",Milestones!$AA$142=FT_Y5,EDATE($D139,Milestones!$AA$142)&lt;PolicyEff),1,Milestones!$AC$142)&amp;";  ","")&amp;IF(AND(EDATE($D139,Milestones!$AA$143)&lt;=AsOfDate,EDATE($D139,Milestones!$AA$143)&gt;=SchemeStart,IF($X139=0,$AD139,IF(AND($Z139&lt;&gt;"",EDATE($D139,Milestones!$AA$143)&gt;=$Z139),$AC139,IF(AND($Y139&lt;&gt;"",EDATE($D139,Milestones!$AA$143)&gt;=$Y139),$AB139,$AA139)))=Milestones!$AB$143),UPPER(TEXT(EDATE($D139,Milestones!$AA$143),"dd mmm yy"))&amp;" "&amp;Milestones!$AB$143&amp;" "&amp;IF(AND(Milestones!$AB$143="FT",Milestones!$AA$143=FT_Y5,EDATE($D139,Milestones!$AA$143)&lt;PolicyEff),1,Milestones!$AC$143)&amp;";  ","")&amp;IF(AND(EDATE($D139,Milestones!$AA$144)&lt;=AsOfDate,EDATE($D139,Milestones!$AA$144)&gt;=SchemeStart,IF($X139=0,$AD139,IF(AND($Z139&lt;&gt;"",EDATE($D139,Milestones!$AA$144)&gt;=$Z139),$AC139,IF(AND($Y139&lt;&gt;"",EDATE($D139,Milestones!$AA$144)&gt;=$Y139),$AB139,$AA139)))=Milestones!$AB$144),UPPER(TEXT(EDATE($D139,Milestones!$AA$144),"dd mmm yy"))&amp;" "&amp;Milestones!$AB$144&amp;" "&amp;IF(AND(Milestones!$AB$144="FT",Milestones!$AA$144=FT_Y5,EDATE($D139,Milestones!$AA$144)&lt;PolicyEff),1,Milestones!$AC$144)&amp;";  ","")&amp;IF(AND(EDATE($D139,Milestones!$AA$145)&lt;=AsOfDate,EDATE($D139,Milestones!$AA$145)&gt;=SchemeStart,IF($X139=0,$AD139,IF(AND($Z139&lt;&gt;"",EDATE($D139,Milestones!$AA$145)&gt;=$Z139),$AC139,IF(AND($Y139&lt;&gt;"",EDATE($D139,Milestones!$AA$145)&gt;=$Y139),$AB139,$AA139)))=Milestones!$AB$145),UPPER(TEXT(EDATE($D139,Milestones!$AA$145),"dd mmm yy"))&amp;" "&amp;Milestones!$AB$145&amp;" "&amp;IF(AND(Milestones!$AB$145="FT",Milestones!$AA$145=FT_Y5,EDATE($D139,Milestones!$AA$145)&lt;PolicyEff),1,Milestones!$AC$145)&amp;";  ","")&amp;IF(AND(EDATE($D139,Milestones!$AA$146)&lt;=AsOfDate,EDATE($D139,Milestones!$AA$146)&gt;=SchemeStart,IF($X139=0,$AD139,IF(AND($Z139&lt;&gt;"",EDATE($D139,Milestones!$AA$146)&gt;=$Z139),$AC139,IF(AND($Y139&lt;&gt;"",EDATE($D139,Milestones!$AA$146)&gt;=$Y139),$AB139,$AA139)))=Milestones!$AB$146),UPPER(TEXT(EDATE($D139,Milestones!$AA$146),"dd mmm yy"))&amp;" "&amp;Milestones!$AB$146&amp;" "&amp;IF(AND(Milestones!$AB$146="FT",Milestones!$AA$146=FT_Y5,EDATE($D139,Milestones!$AA$146)&lt;PolicyEff),1,Milestones!$AC$146)&amp;";  ","")&amp;IF(AND(EDATE($D139,Milestones!$AA$147)&lt;=AsOfDate,EDATE($D139,Milestones!$AA$147)&gt;=SchemeStart,IF($X139=0,$AD139,IF(AND($Z139&lt;&gt;"",EDATE($D139,Milestones!$AA$147)&gt;=$Z139),$AC139,IF(AND($Y139&lt;&gt;"",EDATE($D139,Milestones!$AA$147)&gt;=$Y139),$AB139,$AA139)))=Milestones!$AB$147),UPPER(TEXT(EDATE($D139,Milestones!$AA$147),"dd mmm yy"))&amp;" "&amp;Milestones!$AB$147&amp;" "&amp;IF(AND(Milestones!$AB$147="FT",Milestones!$AA$147=FT_Y5,EDATE($D139,Milestones!$AA$147)&lt;PolicyEff),1,Milestones!$AC$147)&amp;";  ","")&amp;IF(AND(EDATE($D139,Milestones!$AA$148)&lt;=AsOfDate,EDATE($D139,Milestones!$AA$148)&gt;=SchemeStart,IF($X139=0,$AD139,IF(AND($Z139&lt;&gt;"",EDATE($D139,Milestones!$AA$148)&gt;=$Z139),$AC139,IF(AND($Y139&lt;&gt;"",EDATE($D139,Milestones!$AA$148)&gt;=$Y139),$AB139,$AA139)))=Milestones!$AB$148),UPPER(TEXT(EDATE($D139,Milestones!$AA$148),"dd mmm yy"))&amp;" "&amp;Milestones!$AB$148&amp;" "&amp;IF(AND(Milestones!$AB$148="FT",Milestones!$AA$148=FT_Y5,EDATE($D139,Milestones!$AA$148)&lt;PolicyEff),1,Milestones!$AC$148)&amp;";  ","")&amp;IF(AND(EDATE($D139,Milestones!$AA$149)&lt;=AsOfDate,EDATE($D139,Milestones!$AA$149)&gt;=SchemeStart,IF($X139=0,$AD139,IF(AND($Z139&lt;&gt;"",EDATE($D139,Milestones!$AA$149)&gt;=$Z139),$AC139,IF(AND($Y139&lt;&gt;"",EDATE($D139,Milestones!$AA$149)&gt;=$Y139),$AB139,$AA139)))=Milestones!$AB$149),UPPER(TEXT(EDATE($D139,Milestones!$AA$149),"dd mmm yy"))&amp;" "&amp;Milestones!$AB$149&amp;" "&amp;IF(AND(Milestones!$AB$149="FT",Milestones!$AA$149=FT_Y5,EDATE($D139,Milestones!$AA$149)&lt;PolicyEff),1,Milestones!$AC$149)&amp;";  ","")&amp;IF(AND(EDATE($D139,Milestones!$AA$150)&lt;=AsOfDate,EDATE($D139,Milestones!$AA$150)&gt;=SchemeStart,IF($X139=0,$AD139,IF(AND($Z139&lt;&gt;"",EDATE($D139,Milestones!$AA$150)&gt;=$Z139),$AC139,IF(AND($Y139&lt;&gt;"",EDATE($D139,Milestones!$AA$150)&gt;=$Y139),$AB139,$AA139)))=Milestones!$AB$150),UPPER(TEXT(EDATE($D139,Milestones!$AA$150),"dd mmm yy"))&amp;" "&amp;Milestones!$AB$150&amp;" "&amp;IF(AND(Milestones!$AB$150="FT",Milestones!$AA$150=FT_Y5,EDATE($D139,Milestones!$AA$150)&lt;PolicyEff),1,Milestones!$AC$150)&amp;";  ","")&amp;IF(AND(EDATE($D139,Milestones!$AA$151)&lt;=AsOfDate,EDATE($D139,Milestones!$AA$151)&gt;=SchemeStart,IF($X139=0,$AD139,IF(AND($Z139&lt;&gt;"",EDATE($D139,Milestones!$AA$151)&gt;=$Z139),$AC139,IF(AND($Y139&lt;&gt;"",EDATE($D139,Milestones!$AA$151)&gt;=$Y139),$AB139,$AA139)))=Milestones!$AB$151),UPPER(TEXT(EDATE($D139,Milestones!$AA$151),"dd mmm yy"))&amp;" "&amp;Milestones!$AB$151&amp;" "&amp;IF(AND(Milestones!$AB$151="FT",Milestones!$AA$151=FT_Y5,EDATE($D139,Milestones!$AA$151)&lt;PolicyEff),1,Milestones!$AC$151)&amp;";  ",""))</f>
        <v/>
      </c>
      <c r="T139" s="0" t="str">
        <f aca="false">IF(OR($A139="",$D139=""),"",IF(AND(EDATE($D139,Milestones!$AA$152)&lt;=AsOfDate,EDATE($D139,Milestones!$AA$152)&gt;=SchemeStart,IF($X139=0,$AD139,IF(AND($Z139&lt;&gt;"",EDATE($D139,Milestones!$AA$152)&gt;=$Z139),$AC139,IF(AND($Y139&lt;&gt;"",EDATE($D139,Milestones!$AA$152)&gt;=$Y139),$AB139,$AA139)))=Milestones!$AB$152),UPPER(TEXT(EDATE($D139,Milestones!$AA$152),"dd mmm yy"))&amp;" "&amp;Milestones!$AB$152&amp;" "&amp;IF(AND(Milestones!$AB$152="FT",Milestones!$AA$152=FT_Y5,EDATE($D139,Milestones!$AA$152)&lt;PolicyEff),1,Milestones!$AC$152)&amp;";  ","")&amp;IF(AND(EDATE($D139,Milestones!$AA$153)&lt;=AsOfDate,EDATE($D139,Milestones!$AA$153)&gt;=SchemeStart,IF($X139=0,$AD139,IF(AND($Z139&lt;&gt;"",EDATE($D139,Milestones!$AA$153)&gt;=$Z139),$AC139,IF(AND($Y139&lt;&gt;"",EDATE($D139,Milestones!$AA$153)&gt;=$Y139),$AB139,$AA139)))=Milestones!$AB$153),UPPER(TEXT(EDATE($D139,Milestones!$AA$153),"dd mmm yy"))&amp;" "&amp;Milestones!$AB$153&amp;" "&amp;IF(AND(Milestones!$AB$153="FT",Milestones!$AA$153=FT_Y5,EDATE($D139,Milestones!$AA$153)&lt;PolicyEff),1,Milestones!$AC$153)&amp;";  ","")&amp;IF(AND(EDATE($D139,Milestones!$AA$154)&lt;=AsOfDate,EDATE($D139,Milestones!$AA$154)&gt;=SchemeStart,IF($X139=0,$AD139,IF(AND($Z139&lt;&gt;"",EDATE($D139,Milestones!$AA$154)&gt;=$Z139),$AC139,IF(AND($Y139&lt;&gt;"",EDATE($D139,Milestones!$AA$154)&gt;=$Y139),$AB139,$AA139)))=Milestones!$AB$154),UPPER(TEXT(EDATE($D139,Milestones!$AA$154),"dd mmm yy"))&amp;" "&amp;Milestones!$AB$154&amp;" "&amp;IF(AND(Milestones!$AB$154="FT",Milestones!$AA$154=FT_Y5,EDATE($D139,Milestones!$AA$154)&lt;PolicyEff),1,Milestones!$AC$154)&amp;";  ","")&amp;IF(AND(EDATE($D139,Milestones!$AA$155)&lt;=AsOfDate,EDATE($D139,Milestones!$AA$155)&gt;=SchemeStart,IF($X139=0,$AD139,IF(AND($Z139&lt;&gt;"",EDATE($D139,Milestones!$AA$155)&gt;=$Z139),$AC139,IF(AND($Y139&lt;&gt;"",EDATE($D139,Milestones!$AA$155)&gt;=$Y139),$AB139,$AA139)))=Milestones!$AB$155),UPPER(TEXT(EDATE($D139,Milestones!$AA$155),"dd mmm yy"))&amp;" "&amp;Milestones!$AB$155&amp;" "&amp;IF(AND(Milestones!$AB$155="FT",Milestones!$AA$155=FT_Y5,EDATE($D139,Milestones!$AA$155)&lt;PolicyEff),1,Milestones!$AC$155)&amp;";  ","")&amp;IF(AND(EDATE($D139,Milestones!$AA$156)&lt;=AsOfDate,EDATE($D139,Milestones!$AA$156)&gt;=SchemeStart,IF($X139=0,$AD139,IF(AND($Z139&lt;&gt;"",EDATE($D139,Milestones!$AA$156)&gt;=$Z139),$AC139,IF(AND($Y139&lt;&gt;"",EDATE($D139,Milestones!$AA$156)&gt;=$Y139),$AB139,$AA139)))=Milestones!$AB$156),UPPER(TEXT(EDATE($D139,Milestones!$AA$156),"dd mmm yy"))&amp;" "&amp;Milestones!$AB$156&amp;" "&amp;IF(AND(Milestones!$AB$156="FT",Milestones!$AA$156=FT_Y5,EDATE($D139,Milestones!$AA$156)&lt;PolicyEff),1,Milestones!$AC$156)&amp;";  ","")&amp;IF(AND(EDATE($D139,Milestones!$AA$157)&lt;=AsOfDate,EDATE($D139,Milestones!$AA$157)&gt;=SchemeStart,IF($X139=0,$AD139,IF(AND($Z139&lt;&gt;"",EDATE($D139,Milestones!$AA$157)&gt;=$Z139),$AC139,IF(AND($Y139&lt;&gt;"",EDATE($D139,Milestones!$AA$157)&gt;=$Y139),$AB139,$AA139)))=Milestones!$AB$157),UPPER(TEXT(EDATE($D139,Milestones!$AA$157),"dd mmm yy"))&amp;" "&amp;Milestones!$AB$157&amp;" "&amp;IF(AND(Milestones!$AB$157="FT",Milestones!$AA$157=FT_Y5,EDATE($D139,Milestones!$AA$157)&lt;PolicyEff),1,Milestones!$AC$157)&amp;";  ","")&amp;IF(AND(EDATE($D139,Milestones!$AA$158)&lt;=AsOfDate,EDATE($D139,Milestones!$AA$158)&gt;=SchemeStart,IF($X139=0,$AD139,IF(AND($Z139&lt;&gt;"",EDATE($D139,Milestones!$AA$158)&gt;=$Z139),$AC139,IF(AND($Y139&lt;&gt;"",EDATE($D139,Milestones!$AA$158)&gt;=$Y139),$AB139,$AA139)))=Milestones!$AB$158),UPPER(TEXT(EDATE($D139,Milestones!$AA$158),"dd mmm yy"))&amp;" "&amp;Milestones!$AB$158&amp;" "&amp;IF(AND(Milestones!$AB$158="FT",Milestones!$AA$158=FT_Y5,EDATE($D139,Milestones!$AA$158)&lt;PolicyEff),1,Milestones!$AC$158)&amp;";  ","")&amp;IF(AND(EDATE($D139,Milestones!$AA$159)&lt;=AsOfDate,EDATE($D139,Milestones!$AA$159)&gt;=SchemeStart,IF($X139=0,$AD139,IF(AND($Z139&lt;&gt;"",EDATE($D139,Milestones!$AA$159)&gt;=$Z139),$AC139,IF(AND($Y139&lt;&gt;"",EDATE($D139,Milestones!$AA$159)&gt;=$Y139),$AB139,$AA139)))=Milestones!$AB$159),UPPER(TEXT(EDATE($D139,Milestones!$AA$159),"dd mmm yy"))&amp;" "&amp;Milestones!$AB$159&amp;" "&amp;IF(AND(Milestones!$AB$159="FT",Milestones!$AA$159=FT_Y5,EDATE($D139,Milestones!$AA$159)&lt;PolicyEff),1,Milestones!$AC$159)&amp;";  ","")&amp;IF(AND(EDATE($D139,Milestones!$AA$160)&lt;=AsOfDate,EDATE($D139,Milestones!$AA$160)&gt;=SchemeStart,IF($X139=0,$AD139,IF(AND($Z139&lt;&gt;"",EDATE($D139,Milestones!$AA$160)&gt;=$Z139),$AC139,IF(AND($Y139&lt;&gt;"",EDATE($D139,Milestones!$AA$160)&gt;=$Y139),$AB139,$AA139)))=Milestones!$AB$160),UPPER(TEXT(EDATE($D139,Milestones!$AA$160),"dd mmm yy"))&amp;" "&amp;Milestones!$AB$160&amp;" "&amp;IF(AND(Milestones!$AB$160="FT",Milestones!$AA$160=FT_Y5,EDATE($D139,Milestones!$AA$160)&lt;PolicyEff),1,Milestones!$AC$160)&amp;";  ","")&amp;IF(AND(EDATE($D139,Milestones!$AA$161)&lt;=AsOfDate,EDATE($D139,Milestones!$AA$161)&gt;=SchemeStart,IF($X139=0,$AD139,IF(AND($Z139&lt;&gt;"",EDATE($D139,Milestones!$AA$161)&gt;=$Z139),$AC139,IF(AND($Y139&lt;&gt;"",EDATE($D139,Milestones!$AA$161)&gt;=$Y139),$AB139,$AA139)))=Milestones!$AB$161),UPPER(TEXT(EDATE($D139,Milestones!$AA$161),"dd mmm yy"))&amp;" "&amp;Milestones!$AB$161&amp;" "&amp;IF(AND(Milestones!$AB$161="FT",Milestones!$AA$161=FT_Y5,EDATE($D139,Milestones!$AA$161)&lt;PolicyEff),1,Milestones!$AC$161)&amp;";  ","")&amp;IF(AND(EDATE($D139,Milestones!$AA$162)&lt;=AsOfDate,EDATE($D139,Milestones!$AA$162)&gt;=SchemeStart,IF($X139=0,$AD139,IF(AND($Z139&lt;&gt;"",EDATE($D139,Milestones!$AA$162)&gt;=$Z139),$AC139,IF(AND($Y139&lt;&gt;"",EDATE($D139,Milestones!$AA$162)&gt;=$Y139),$AB139,$AA139)))=Milestones!$AB$162),UPPER(TEXT(EDATE($D139,Milestones!$AA$162),"dd mmm yy"))&amp;" "&amp;Milestones!$AB$162&amp;" "&amp;IF(AND(Milestones!$AB$162="FT",Milestones!$AA$162=FT_Y5,EDATE($D139,Milestones!$AA$162)&lt;PolicyEff),1,Milestones!$AC$162)&amp;";  ","")&amp;IF(AND(EDATE($D139,Milestones!$AA$163)&lt;=AsOfDate,EDATE($D139,Milestones!$AA$163)&gt;=SchemeStart,IF($X139=0,$AD139,IF(AND($Z139&lt;&gt;"",EDATE($D139,Milestones!$AA$163)&gt;=$Z139),$AC139,IF(AND($Y139&lt;&gt;"",EDATE($D139,Milestones!$AA$163)&gt;=$Y139),$AB139,$AA139)))=Milestones!$AB$163),UPPER(TEXT(EDATE($D139,Milestones!$AA$163),"dd mmm yy"))&amp;" "&amp;Milestones!$AB$163&amp;" "&amp;IF(AND(Milestones!$AB$163="FT",Milestones!$AA$163=FT_Y5,EDATE($D139,Milestones!$AA$163)&lt;PolicyEff),1,Milestones!$AC$163)&amp;";  ",""))</f>
        <v/>
      </c>
      <c r="U139" s="0" t="str">
        <f aca="false">IF(OR($A139="",$D139=""),"",IF(AND(EDATE($D139,Milestones!$AA$164)&lt;=AsOfDate,EDATE($D139,Milestones!$AA$164)&gt;=SchemeStart,IF($X139=0,$AD139,IF(AND($Z139&lt;&gt;"",EDATE($D139,Milestones!$AA$164)&gt;=$Z139),$AC139,IF(AND($Y139&lt;&gt;"",EDATE($D139,Milestones!$AA$164)&gt;=$Y139),$AB139,$AA139)))=Milestones!$AB$164),UPPER(TEXT(EDATE($D139,Milestones!$AA$164),"dd mmm yy"))&amp;" "&amp;Milestones!$AB$164&amp;" "&amp;IF(AND(Milestones!$AB$164="FT",Milestones!$AA$164=FT_Y5,EDATE($D139,Milestones!$AA$164)&lt;PolicyEff),1,Milestones!$AC$164)&amp;";  ","")&amp;IF(AND(EDATE($D139,Milestones!$AA$165)&lt;=AsOfDate,EDATE($D139,Milestones!$AA$165)&gt;=SchemeStart,IF($X139=0,$AD139,IF(AND($Z139&lt;&gt;"",EDATE($D139,Milestones!$AA$165)&gt;=$Z139),$AC139,IF(AND($Y139&lt;&gt;"",EDATE($D139,Milestones!$AA$165)&gt;=$Y139),$AB139,$AA139)))=Milestones!$AB$165),UPPER(TEXT(EDATE($D139,Milestones!$AA$165),"dd mmm yy"))&amp;" "&amp;Milestones!$AB$165&amp;" "&amp;IF(AND(Milestones!$AB$165="FT",Milestones!$AA$165=FT_Y5,EDATE($D139,Milestones!$AA$165)&lt;PolicyEff),1,Milestones!$AC$165)&amp;";  ","")&amp;IF(AND(EDATE($D139,Milestones!$AA$166)&lt;=AsOfDate,EDATE($D139,Milestones!$AA$166)&gt;=SchemeStart,IF($X139=0,$AD139,IF(AND($Z139&lt;&gt;"",EDATE($D139,Milestones!$AA$166)&gt;=$Z139),$AC139,IF(AND($Y139&lt;&gt;"",EDATE($D139,Milestones!$AA$166)&gt;=$Y139),$AB139,$AA139)))=Milestones!$AB$166),UPPER(TEXT(EDATE($D139,Milestones!$AA$166),"dd mmm yy"))&amp;" "&amp;Milestones!$AB$166&amp;" "&amp;IF(AND(Milestones!$AB$166="FT",Milestones!$AA$166=FT_Y5,EDATE($D139,Milestones!$AA$166)&lt;PolicyEff),1,Milestones!$AC$166)&amp;";  ","")&amp;IF(AND(EDATE($D139,Milestones!$AA$167)&lt;=AsOfDate,EDATE($D139,Milestones!$AA$167)&gt;=SchemeStart,IF($X139=0,$AD139,IF(AND($Z139&lt;&gt;"",EDATE($D139,Milestones!$AA$167)&gt;=$Z139),$AC139,IF(AND($Y139&lt;&gt;"",EDATE($D139,Milestones!$AA$167)&gt;=$Y139),$AB139,$AA139)))=Milestones!$AB$167),UPPER(TEXT(EDATE($D139,Milestones!$AA$167),"dd mmm yy"))&amp;" "&amp;Milestones!$AB$167&amp;" "&amp;IF(AND(Milestones!$AB$167="FT",Milestones!$AA$167=FT_Y5,EDATE($D139,Milestones!$AA$167)&lt;PolicyEff),1,Milestones!$AC$167)&amp;";  ","")&amp;IF(AND(EDATE($D139,Milestones!$AA$168)&lt;=AsOfDate,EDATE($D139,Milestones!$AA$168)&gt;=SchemeStart,IF($X139=0,$AD139,IF(AND($Z139&lt;&gt;"",EDATE($D139,Milestones!$AA$168)&gt;=$Z139),$AC139,IF(AND($Y139&lt;&gt;"",EDATE($D139,Milestones!$AA$168)&gt;=$Y139),$AB139,$AA139)))=Milestones!$AB$168),UPPER(TEXT(EDATE($D139,Milestones!$AA$168),"dd mmm yy"))&amp;" "&amp;Milestones!$AB$168&amp;" "&amp;IF(AND(Milestones!$AB$168="FT",Milestones!$AA$168=FT_Y5,EDATE($D139,Milestones!$AA$168)&lt;PolicyEff),1,Milestones!$AC$168)&amp;";  ","")&amp;IF(AND(EDATE($D139,Milestones!$AA$169)&lt;=AsOfDate,EDATE($D139,Milestones!$AA$169)&gt;=SchemeStart,IF($X139=0,$AD139,IF(AND($Z139&lt;&gt;"",EDATE($D139,Milestones!$AA$169)&gt;=$Z139),$AC139,IF(AND($Y139&lt;&gt;"",EDATE($D139,Milestones!$AA$169)&gt;=$Y139),$AB139,$AA139)))=Milestones!$AB$169),UPPER(TEXT(EDATE($D139,Milestones!$AA$169),"dd mmm yy"))&amp;" "&amp;Milestones!$AB$169&amp;" "&amp;IF(AND(Milestones!$AB$169="FT",Milestones!$AA$169=FT_Y5,EDATE($D139,Milestones!$AA$169)&lt;PolicyEff),1,Milestones!$AC$169)&amp;";  ","")&amp;IF(AND(EDATE($D139,Milestones!$AA$170)&lt;=AsOfDate,EDATE($D139,Milestones!$AA$170)&gt;=SchemeStart,IF($X139=0,$AD139,IF(AND($Z139&lt;&gt;"",EDATE($D139,Milestones!$AA$170)&gt;=$Z139),$AC139,IF(AND($Y139&lt;&gt;"",EDATE($D139,Milestones!$AA$170)&gt;=$Y139),$AB139,$AA139)))=Milestones!$AB$170),UPPER(TEXT(EDATE($D139,Milestones!$AA$170),"dd mmm yy"))&amp;" "&amp;Milestones!$AB$170&amp;" "&amp;IF(AND(Milestones!$AB$170="FT",Milestones!$AA$170=FT_Y5,EDATE($D139,Milestones!$AA$170)&lt;PolicyEff),1,Milestones!$AC$170)&amp;";  ","")&amp;IF(AND(EDATE($D139,Milestones!$AA$171)&lt;=AsOfDate,EDATE($D139,Milestones!$AA$171)&gt;=SchemeStart,IF($X139=0,$AD139,IF(AND($Z139&lt;&gt;"",EDATE($D139,Milestones!$AA$171)&gt;=$Z139),$AC139,IF(AND($Y139&lt;&gt;"",EDATE($D139,Milestones!$AA$171)&gt;=$Y139),$AB139,$AA139)))=Milestones!$AB$171),UPPER(TEXT(EDATE($D139,Milestones!$AA$171),"dd mmm yy"))&amp;" "&amp;Milestones!$AB$171&amp;" "&amp;IF(AND(Milestones!$AB$171="FT",Milestones!$AA$171=FT_Y5,EDATE($D139,Milestones!$AA$171)&lt;PolicyEff),1,Milestones!$AC$171)&amp;";  ","")&amp;IF(AND(EDATE($D139,Milestones!$AA$172)&lt;=AsOfDate,EDATE($D139,Milestones!$AA$172)&gt;=SchemeStart,IF($X139=0,$AD139,IF(AND($Z139&lt;&gt;"",EDATE($D139,Milestones!$AA$172)&gt;=$Z139),$AC139,IF(AND($Y139&lt;&gt;"",EDATE($D139,Milestones!$AA$172)&gt;=$Y139),$AB139,$AA139)))=Milestones!$AB$172),UPPER(TEXT(EDATE($D139,Milestones!$AA$172),"dd mmm yy"))&amp;" "&amp;Milestones!$AB$172&amp;" "&amp;IF(AND(Milestones!$AB$172="FT",Milestones!$AA$172=FT_Y5,EDATE($D139,Milestones!$AA$172)&lt;PolicyEff),1,Milestones!$AC$172)&amp;";  ","")&amp;IF(AND(EDATE($D139,Milestones!$AA$173)&lt;=AsOfDate,EDATE($D139,Milestones!$AA$173)&gt;=SchemeStart,IF($X139=0,$AD139,IF(AND($Z139&lt;&gt;"",EDATE($D139,Milestones!$AA$173)&gt;=$Z139),$AC139,IF(AND($Y139&lt;&gt;"",EDATE($D139,Milestones!$AA$173)&gt;=$Y139),$AB139,$AA139)))=Milestones!$AB$173),UPPER(TEXT(EDATE($D139,Milestones!$AA$173),"dd mmm yy"))&amp;" "&amp;Milestones!$AB$173&amp;" "&amp;IF(AND(Milestones!$AB$173="FT",Milestones!$AA$173=FT_Y5,EDATE($D139,Milestones!$AA$173)&lt;PolicyEff),1,Milestones!$AC$173)&amp;";  ","")&amp;IF(AND(EDATE($D139,Milestones!$AA$174)&lt;=AsOfDate,EDATE($D139,Milestones!$AA$174)&gt;=SchemeStart,IF($X139=0,$AD139,IF(AND($Z139&lt;&gt;"",EDATE($D139,Milestones!$AA$174)&gt;=$Z139),$AC139,IF(AND($Y139&lt;&gt;"",EDATE($D139,Milestones!$AA$174)&gt;=$Y139),$AB139,$AA139)))=Milestones!$AB$174),UPPER(TEXT(EDATE($D139,Milestones!$AA$174),"dd mmm yy"))&amp;" "&amp;Milestones!$AB$174&amp;" "&amp;IF(AND(Milestones!$AB$174="FT",Milestones!$AA$174=FT_Y5,EDATE($D139,Milestones!$AA$174)&lt;PolicyEff),1,Milestones!$AC$174)&amp;";  ","")&amp;IF(AND(EDATE($D139,Milestones!$AA$175)&lt;=AsOfDate,EDATE($D139,Milestones!$AA$175)&gt;=SchemeStart,IF($X139=0,$AD139,IF(AND($Z139&lt;&gt;"",EDATE($D139,Milestones!$AA$175)&gt;=$Z139),$AC139,IF(AND($Y139&lt;&gt;"",EDATE($D139,Milestones!$AA$175)&gt;=$Y139),$AB139,$AA139)))=Milestones!$AB$175),UPPER(TEXT(EDATE($D139,Milestones!$AA$175),"dd mmm yy"))&amp;" "&amp;Milestones!$AB$175&amp;" "&amp;IF(AND(Milestones!$AB$175="FT",Milestones!$AA$175=FT_Y5,EDATE($D139,Milestones!$AA$175)&lt;PolicyEff),1,Milestones!$AC$175)&amp;";  ",""))</f>
        <v/>
      </c>
      <c r="V139" s="0" t="str">
        <f aca="false">IF(OR($A139="",$D139=""),"",IF(AND(EDATE($D139,Milestones!$AA$176)&lt;=AsOfDate,EDATE($D139,Milestones!$AA$176)&gt;=SchemeStart,IF($X139=0,$AD139,IF(AND($Z139&lt;&gt;"",EDATE($D139,Milestones!$AA$176)&gt;=$Z139),$AC139,IF(AND($Y139&lt;&gt;"",EDATE($D139,Milestones!$AA$176)&gt;=$Y139),$AB139,$AA139)))=Milestones!$AB$176),UPPER(TEXT(EDATE($D139,Milestones!$AA$176),"dd mmm yy"))&amp;" "&amp;Milestones!$AB$176&amp;" "&amp;IF(AND(Milestones!$AB$176="FT",Milestones!$AA$176=FT_Y5,EDATE($D139,Milestones!$AA$176)&lt;PolicyEff),1,Milestones!$AC$176)&amp;";  ","")&amp;IF(AND(EDATE($D139,Milestones!$AA$177)&lt;=AsOfDate,EDATE($D139,Milestones!$AA$177)&gt;=SchemeStart,IF($X139=0,$AD139,IF(AND($Z139&lt;&gt;"",EDATE($D139,Milestones!$AA$177)&gt;=$Z139),$AC139,IF(AND($Y139&lt;&gt;"",EDATE($D139,Milestones!$AA$177)&gt;=$Y139),$AB139,$AA139)))=Milestones!$AB$177),UPPER(TEXT(EDATE($D139,Milestones!$AA$177),"dd mmm yy"))&amp;" "&amp;Milestones!$AB$177&amp;" "&amp;IF(AND(Milestones!$AB$177="FT",Milestones!$AA$177=FT_Y5,EDATE($D139,Milestones!$AA$177)&lt;PolicyEff),1,Milestones!$AC$177)&amp;";  ","")&amp;IF(AND(EDATE($D139,Milestones!$AA$178)&lt;=AsOfDate,EDATE($D139,Milestones!$AA$178)&gt;=SchemeStart,IF($X139=0,$AD139,IF(AND($Z139&lt;&gt;"",EDATE($D139,Milestones!$AA$178)&gt;=$Z139),$AC139,IF(AND($Y139&lt;&gt;"",EDATE($D139,Milestones!$AA$178)&gt;=$Y139),$AB139,$AA139)))=Milestones!$AB$178),UPPER(TEXT(EDATE($D139,Milestones!$AA$178),"dd mmm yy"))&amp;" "&amp;Milestones!$AB$178&amp;" "&amp;IF(AND(Milestones!$AB$178="FT",Milestones!$AA$178=FT_Y5,EDATE($D139,Milestones!$AA$178)&lt;PolicyEff),1,Milestones!$AC$178)&amp;";  ","")&amp;IF(AND(EDATE($D139,Milestones!$AA$179)&lt;=AsOfDate,EDATE($D139,Milestones!$AA$179)&gt;=SchemeStart,IF($X139=0,$AD139,IF(AND($Z139&lt;&gt;"",EDATE($D139,Milestones!$AA$179)&gt;=$Z139),$AC139,IF(AND($Y139&lt;&gt;"",EDATE($D139,Milestones!$AA$179)&gt;=$Y139),$AB139,$AA139)))=Milestones!$AB$179),UPPER(TEXT(EDATE($D139,Milestones!$AA$179),"dd mmm yy"))&amp;" "&amp;Milestones!$AB$179&amp;" "&amp;IF(AND(Milestones!$AB$179="FT",Milestones!$AA$179=FT_Y5,EDATE($D139,Milestones!$AA$179)&lt;PolicyEff),1,Milestones!$AC$179)&amp;";  ","")&amp;IF(AND(EDATE($D139,Milestones!$AA$180)&lt;=AsOfDate,EDATE($D139,Milestones!$AA$180)&gt;=SchemeStart,IF($X139=0,$AD139,IF(AND($Z139&lt;&gt;"",EDATE($D139,Milestones!$AA$180)&gt;=$Z139),$AC139,IF(AND($Y139&lt;&gt;"",EDATE($D139,Milestones!$AA$180)&gt;=$Y139),$AB139,$AA139)))=Milestones!$AB$180),UPPER(TEXT(EDATE($D139,Milestones!$AA$180),"dd mmm yy"))&amp;" "&amp;Milestones!$AB$180&amp;" "&amp;IF(AND(Milestones!$AB$180="FT",Milestones!$AA$180=FT_Y5,EDATE($D139,Milestones!$AA$180)&lt;PolicyEff),1,Milestones!$AC$180)&amp;";  ","")&amp;IF(AND(EDATE($D139,Milestones!$AA$181)&lt;=AsOfDate,EDATE($D139,Milestones!$AA$181)&gt;=SchemeStart,IF($X139=0,$AD139,IF(AND($Z139&lt;&gt;"",EDATE($D139,Milestones!$AA$181)&gt;=$Z139),$AC139,IF(AND($Y139&lt;&gt;"",EDATE($D139,Milestones!$AA$181)&gt;=$Y139),$AB139,$AA139)))=Milestones!$AB$181),UPPER(TEXT(EDATE($D139,Milestones!$AA$181),"dd mmm yy"))&amp;" "&amp;Milestones!$AB$181&amp;" "&amp;IF(AND(Milestones!$AB$181="FT",Milestones!$AA$181=FT_Y5,EDATE($D139,Milestones!$AA$181)&lt;PolicyEff),1,Milestones!$AC$181)&amp;";  ","")&amp;IF(AND(EDATE($D139,Milestones!$AA$182)&lt;=AsOfDate,EDATE($D139,Milestones!$AA$182)&gt;=SchemeStart,IF($X139=0,$AD139,IF(AND($Z139&lt;&gt;"",EDATE($D139,Milestones!$AA$182)&gt;=$Z139),$AC139,IF(AND($Y139&lt;&gt;"",EDATE($D139,Milestones!$AA$182)&gt;=$Y139),$AB139,$AA139)))=Milestones!$AB$182),UPPER(TEXT(EDATE($D139,Milestones!$AA$182),"dd mmm yy"))&amp;" "&amp;Milestones!$AB$182&amp;" "&amp;IF(AND(Milestones!$AB$182="FT",Milestones!$AA$182=FT_Y5,EDATE($D139,Milestones!$AA$182)&lt;PolicyEff),1,Milestones!$AC$182)&amp;";  ","")&amp;IF(AND(EDATE($D139,Milestones!$AA$183)&lt;=AsOfDate,EDATE($D139,Milestones!$AA$183)&gt;=SchemeStart,IF($X139=0,$AD139,IF(AND($Z139&lt;&gt;"",EDATE($D139,Milestones!$AA$183)&gt;=$Z139),$AC139,IF(AND($Y139&lt;&gt;"",EDATE($D139,Milestones!$AA$183)&gt;=$Y139),$AB139,$AA139)))=Milestones!$AB$183),UPPER(TEXT(EDATE($D139,Milestones!$AA$183),"dd mmm yy"))&amp;" "&amp;Milestones!$AB$183&amp;" "&amp;IF(AND(Milestones!$AB$183="FT",Milestones!$AA$183=FT_Y5,EDATE($D139,Milestones!$AA$183)&lt;PolicyEff),1,Milestones!$AC$183)&amp;";  ","")&amp;IF(AND(EDATE($D139,Milestones!$AA$184)&lt;=AsOfDate,EDATE($D139,Milestones!$AA$184)&gt;=SchemeStart,IF($X139=0,$AD139,IF(AND($Z139&lt;&gt;"",EDATE($D139,Milestones!$AA$184)&gt;=$Z139),$AC139,IF(AND($Y139&lt;&gt;"",EDATE($D139,Milestones!$AA$184)&gt;=$Y139),$AB139,$AA139)))=Milestones!$AB$184),UPPER(TEXT(EDATE($D139,Milestones!$AA$184),"dd mmm yy"))&amp;" "&amp;Milestones!$AB$184&amp;" "&amp;IF(AND(Milestones!$AB$184="FT",Milestones!$AA$184=FT_Y5,EDATE($D139,Milestones!$AA$184)&lt;PolicyEff),1,Milestones!$AC$184)&amp;";  ","")&amp;IF(AND(EDATE($D139,Milestones!$AA$185)&lt;=AsOfDate,EDATE($D139,Milestones!$AA$185)&gt;=SchemeStart,IF($X139=0,$AD139,IF(AND($Z139&lt;&gt;"",EDATE($D139,Milestones!$AA$185)&gt;=$Z139),$AC139,IF(AND($Y139&lt;&gt;"",EDATE($D139,Milestones!$AA$185)&gt;=$Y139),$AB139,$AA139)))=Milestones!$AB$185),UPPER(TEXT(EDATE($D139,Milestones!$AA$185),"dd mmm yy"))&amp;" "&amp;Milestones!$AB$185&amp;" "&amp;IF(AND(Milestones!$AB$185="FT",Milestones!$AA$185=FT_Y5,EDATE($D139,Milestones!$AA$185)&lt;PolicyEff),1,Milestones!$AC$185)&amp;";  ","")&amp;IF(AND(EDATE($D139,Milestones!$AA$186)&lt;=AsOfDate,EDATE($D139,Milestones!$AA$186)&gt;=SchemeStart,IF($X139=0,$AD139,IF(AND($Z139&lt;&gt;"",EDATE($D139,Milestones!$AA$186)&gt;=$Z139),$AC139,IF(AND($Y139&lt;&gt;"",EDATE($D139,Milestones!$AA$186)&gt;=$Y139),$AB139,$AA139)))=Milestones!$AB$186),UPPER(TEXT(EDATE($D139,Milestones!$AA$186),"dd mmm yy"))&amp;" "&amp;Milestones!$AB$186&amp;" "&amp;IF(AND(Milestones!$AB$186="FT",Milestones!$AA$186=FT_Y5,EDATE($D139,Milestones!$AA$186)&lt;PolicyEff),1,Milestones!$AC$186)&amp;";  ","")&amp;IF(AND(EDATE($D139,Milestones!$AA$187)&lt;=AsOfDate,EDATE($D139,Milestones!$AA$187)&gt;=SchemeStart,IF($X139=0,$AD139,IF(AND($Z139&lt;&gt;"",EDATE($D139,Milestones!$AA$187)&gt;=$Z139),$AC139,IF(AND($Y139&lt;&gt;"",EDATE($D139,Milestones!$AA$187)&gt;=$Y139),$AB139,$AA139)))=Milestones!$AB$187),UPPER(TEXT(EDATE($D139,Milestones!$AA$187),"dd mmm yy"))&amp;" "&amp;Milestones!$AB$187&amp;" "&amp;IF(AND(Milestones!$AB$187="FT",Milestones!$AA$187=FT_Y5,EDATE($D139,Milestones!$AA$187)&lt;PolicyEff),1,Milestones!$AC$187)&amp;";  ",""))</f>
        <v/>
      </c>
      <c r="W139" s="0" t="str">
        <f aca="false">IF(OR($A139="",$D139=""),"",IF(AND(EDATE($D139,Milestones!$AA$188)&lt;=AsOfDate,EDATE($D139,Milestones!$AA$188)&gt;=SchemeStart,IF($X139=0,$AD139,IF(AND($Z139&lt;&gt;"",EDATE($D139,Milestones!$AA$188)&gt;=$Z139),$AC139,IF(AND($Y139&lt;&gt;"",EDATE($D139,Milestones!$AA$188)&gt;=$Y139),$AB139,$AA139)))=Milestones!$AB$188),UPPER(TEXT(EDATE($D139,Milestones!$AA$188),"dd mmm yy"))&amp;" "&amp;Milestones!$AB$188&amp;" "&amp;IF(AND(Milestones!$AB$188="FT",Milestones!$AA$188=FT_Y5,EDATE($D139,Milestones!$AA$188)&lt;PolicyEff),1,Milestones!$AC$188)&amp;";  ","")&amp;IF(AND(EDATE($D139,Milestones!$AA$189)&lt;=AsOfDate,EDATE($D139,Milestones!$AA$189)&gt;=SchemeStart,IF($X139=0,$AD139,IF(AND($Z139&lt;&gt;"",EDATE($D139,Milestones!$AA$189)&gt;=$Z139),$AC139,IF(AND($Y139&lt;&gt;"",EDATE($D139,Milestones!$AA$189)&gt;=$Y139),$AB139,$AA139)))=Milestones!$AB$189),UPPER(TEXT(EDATE($D139,Milestones!$AA$189),"dd mmm yy"))&amp;" "&amp;Milestones!$AB$189&amp;" "&amp;IF(AND(Milestones!$AB$189="FT",Milestones!$AA$189=FT_Y5,EDATE($D139,Milestones!$AA$189)&lt;PolicyEff),1,Milestones!$AC$189)&amp;";  ","")&amp;IF(AND(EDATE($D139,Milestones!$AA$190)&lt;=AsOfDate,EDATE($D139,Milestones!$AA$190)&gt;=SchemeStart,IF($X139=0,$AD139,IF(AND($Z139&lt;&gt;"",EDATE($D139,Milestones!$AA$190)&gt;=$Z139),$AC139,IF(AND($Y139&lt;&gt;"",EDATE($D139,Milestones!$AA$190)&gt;=$Y139),$AB139,$AA139)))=Milestones!$AB$190),UPPER(TEXT(EDATE($D139,Milestones!$AA$190),"dd mmm yy"))&amp;" "&amp;Milestones!$AB$190&amp;" "&amp;IF(AND(Milestones!$AB$190="FT",Milestones!$AA$190=FT_Y5,EDATE($D139,Milestones!$AA$190)&lt;PolicyEff),1,Milestones!$AC$190)&amp;";  ","")&amp;IF(AND(EDATE($D139,Milestones!$AA$191)&lt;=AsOfDate,EDATE($D139,Milestones!$AA$191)&gt;=SchemeStart,IF($X139=0,$AD139,IF(AND($Z139&lt;&gt;"",EDATE($D139,Milestones!$AA$191)&gt;=$Z139),$AC139,IF(AND($Y139&lt;&gt;"",EDATE($D139,Milestones!$AA$191)&gt;=$Y139),$AB139,$AA139)))=Milestones!$AB$191),UPPER(TEXT(EDATE($D139,Milestones!$AA$191),"dd mmm yy"))&amp;" "&amp;Milestones!$AB$191&amp;" "&amp;IF(AND(Milestones!$AB$191="FT",Milestones!$AA$191=FT_Y5,EDATE($D139,Milestones!$AA$191)&lt;PolicyEff),1,Milestones!$AC$191)&amp;";  ","")&amp;IF(AND(EDATE($D139,Milestones!$AA$192)&lt;=AsOfDate,EDATE($D139,Milestones!$AA$192)&gt;=SchemeStart,IF($X139=0,$AD139,IF(AND($Z139&lt;&gt;"",EDATE($D139,Milestones!$AA$192)&gt;=$Z139),$AC139,IF(AND($Y139&lt;&gt;"",EDATE($D139,Milestones!$AA$192)&gt;=$Y139),$AB139,$AA139)))=Milestones!$AB$192),UPPER(TEXT(EDATE($D139,Milestones!$AA$192),"dd mmm yy"))&amp;" "&amp;Milestones!$AB$192&amp;" "&amp;IF(AND(Milestones!$AB$192="FT",Milestones!$AA$192=FT_Y5,EDATE($D139,Milestones!$AA$192)&lt;PolicyEff),1,Milestones!$AC$192)&amp;";  ","")&amp;IF(AND(EDATE($D139,Milestones!$AA$193)&lt;=AsOfDate,EDATE($D139,Milestones!$AA$193)&gt;=SchemeStart,IF($X139=0,$AD139,IF(AND($Z139&lt;&gt;"",EDATE($D139,Milestones!$AA$193)&gt;=$Z139),$AC139,IF(AND($Y139&lt;&gt;"",EDATE($D139,Milestones!$AA$193)&gt;=$Y139),$AB139,$AA139)))=Milestones!$AB$193),UPPER(TEXT(EDATE($D139,Milestones!$AA$193),"dd mmm yy"))&amp;" "&amp;Milestones!$AB$193&amp;" "&amp;IF(AND(Milestones!$AB$193="FT",Milestones!$AA$193=FT_Y5,EDATE($D139,Milestones!$AA$193)&lt;PolicyEff),1,Milestones!$AC$193)&amp;";  ","")&amp;IF(AND(EDATE($D139,Milestones!$AA$194)&lt;=AsOfDate,EDATE($D139,Milestones!$AA$194)&gt;=SchemeStart,IF($X139=0,$AD139,IF(AND($Z139&lt;&gt;"",EDATE($D139,Milestones!$AA$194)&gt;=$Z139),$AC139,IF(AND($Y139&lt;&gt;"",EDATE($D139,Milestones!$AA$194)&gt;=$Y139),$AB139,$AA139)))=Milestones!$AB$194),UPPER(TEXT(EDATE($D139,Milestones!$AA$194),"dd mmm yy"))&amp;" "&amp;Milestones!$AB$194&amp;" "&amp;IF(AND(Milestones!$AB$194="FT",Milestones!$AA$194=FT_Y5,EDATE($D139,Milestones!$AA$194)&lt;PolicyEff),1,Milestones!$AC$194)&amp;";  ","")&amp;IF(AND(EDATE($D139,Milestones!$AA$195)&lt;=AsOfDate,EDATE($D139,Milestones!$AA$195)&gt;=SchemeStart,IF($X139=0,$AD139,IF(AND($Z139&lt;&gt;"",EDATE($D139,Milestones!$AA$195)&gt;=$Z139),$AC139,IF(AND($Y139&lt;&gt;"",EDATE($D139,Milestones!$AA$195)&gt;=$Y139),$AB139,$AA139)))=Milestones!$AB$195),UPPER(TEXT(EDATE($D139,Milestones!$AA$195),"dd mmm yy"))&amp;" "&amp;Milestones!$AB$195&amp;" "&amp;IF(AND(Milestones!$AB$195="FT",Milestones!$AA$195=FT_Y5,EDATE($D139,Milestones!$AA$195)&lt;PolicyEff),1,Milestones!$AC$195)&amp;";  ","")&amp;IF(AND(EDATE($D139,Milestones!$AA$196)&lt;=AsOfDate,EDATE($D139,Milestones!$AA$196)&gt;=SchemeStart,IF($X139=0,$AD139,IF(AND($Z139&lt;&gt;"",EDATE($D139,Milestones!$AA$196)&gt;=$Z139),$AC139,IF(AND($Y139&lt;&gt;"",EDATE($D139,Milestones!$AA$196)&gt;=$Y139),$AB139,$AA139)))=Milestones!$AB$196),UPPER(TEXT(EDATE($D139,Milestones!$AA$196),"dd mmm yy"))&amp;" "&amp;Milestones!$AB$196&amp;" "&amp;IF(AND(Milestones!$AB$196="FT",Milestones!$AA$196=FT_Y5,EDATE($D139,Milestones!$AA$196)&lt;PolicyEff),1,Milestones!$AC$196)&amp;";  ","")&amp;IF(AND(EDATE($D139,Milestones!$AA$197)&lt;=AsOfDate,EDATE($D139,Milestones!$AA$197)&gt;=SchemeStart,IF($X139=0,$AD139,IF(AND($Z139&lt;&gt;"",EDATE($D139,Milestones!$AA$197)&gt;=$Z139),$AC139,IF(AND($Y139&lt;&gt;"",EDATE($D139,Milestones!$AA$197)&gt;=$Y139),$AB139,$AA139)))=Milestones!$AB$197),UPPER(TEXT(EDATE($D139,Milestones!$AA$197),"dd mmm yy"))&amp;" "&amp;Milestones!$AB$197&amp;" "&amp;IF(AND(Milestones!$AB$197="FT",Milestones!$AA$197=FT_Y5,EDATE($D139,Milestones!$AA$197)&lt;PolicyEff),1,Milestones!$AC$197)&amp;";  ","")&amp;IF(AND(EDATE($D139,Milestones!$AA$198)&lt;=AsOfDate,EDATE($D139,Milestones!$AA$198)&gt;=SchemeStart,IF($X139=0,$AD139,IF(AND($Z139&lt;&gt;"",EDATE($D139,Milestones!$AA$198)&gt;=$Z139),$AC139,IF(AND($Y139&lt;&gt;"",EDATE($D139,Milestones!$AA$198)&gt;=$Y139),$AB139,$AA139)))=Milestones!$AB$198),UPPER(TEXT(EDATE($D139,Milestones!$AA$198),"dd mmm yy"))&amp;" "&amp;Milestones!$AB$198&amp;" "&amp;IF(AND(Milestones!$AB$198="FT",Milestones!$AA$198=FT_Y5,EDATE($D139,Milestones!$AA$198)&lt;PolicyEff),1,Milestones!$AC$198)&amp;";  ","")&amp;IF(AND(EDATE($D139,Milestones!$AA$199)&lt;=AsOfDate,EDATE($D139,Milestones!$AA$199)&gt;=SchemeStart,IF($X139=0,$AD139,IF(AND($Z139&lt;&gt;"",EDATE($D139,Milestones!$AA$199)&gt;=$Z139),$AC139,IF(AND($Y139&lt;&gt;"",EDATE($D139,Milestones!$AA$199)&gt;=$Y139),$AB139,$AA139)))=Milestones!$AB$199),UPPER(TEXT(EDATE($D139,Milestones!$AA$199),"dd mmm yy"))&amp;" "&amp;Milestones!$AB$199&amp;" "&amp;IF(AND(Milestones!$AB$199="FT",Milestones!$AA$199=FT_Y5,EDATE($D139,Milestones!$AA$199)&lt;PolicyEff),1,Milestones!$AC$199)&amp;";  ",""))</f>
        <v/>
      </c>
      <c r="X139" s="0" t="str">
        <f aca="false">IF(Staff!$A139="","",Staff!$AM139)</f>
        <v/>
      </c>
      <c r="Y139" s="0" t="str">
        <f aca="false">IF(Staff!$A139="","",Staff!$AO139)</f>
        <v/>
      </c>
      <c r="Z139" s="0" t="str">
        <f aca="false">IF(Staff!$A139="","",Staff!$AP139)</f>
        <v/>
      </c>
      <c r="AA139" s="0" t="str">
        <f aca="false">IF(Staff!$A139="","",Staff!$AT139)</f>
        <v/>
      </c>
      <c r="AB139" s="0" t="str">
        <f aca="false">IF(Staff!$A139="","",Staff!$AU139)</f>
        <v/>
      </c>
      <c r="AC139" s="0" t="str">
        <f aca="false">IF(Staff!$A139="","",Staff!$AV139)</f>
        <v/>
      </c>
      <c r="AD139" s="0" t="str">
        <f aca="false">IF(Staff!$A139="","",Staff!$AW139)</f>
        <v/>
      </c>
    </row>
    <row r="140" customFormat="false" ht="15" hidden="false" customHeight="false" outlineLevel="0" collapsed="false">
      <c r="A140" s="16" t="str">
        <f aca="false">IF(Staff!$A140="","",Staff!$A140)</f>
        <v/>
      </c>
      <c r="B140" s="16" t="str">
        <f aca="false">IF(Staff!$A140="","",Staff!$B140)</f>
        <v/>
      </c>
      <c r="C140" s="16" t="str">
        <f aca="false">IF(Staff!$A140="","",Staff!$C140)</f>
        <v/>
      </c>
      <c r="D140" s="14" t="str">
        <f aca="false">IF(Staff!$A140="","",Staff!$AL140)</f>
        <v/>
      </c>
      <c r="E140" s="16" t="str">
        <f aca="false">IF(Staff!$A140="","",Staff!$O140)</f>
        <v/>
      </c>
      <c r="F140" s="16" t="str">
        <f aca="false">IF(E140="","",E140*HoursPerDay)</f>
        <v/>
      </c>
      <c r="G140" s="16" t="str">
        <f aca="false">IF(Staff!$A140="","",Staff!$AE140)</f>
        <v/>
      </c>
      <c r="H140" s="28" t="str">
        <f aca="false">IF($A140="","",I140&amp;J140&amp;K140&amp;L140&amp;M140&amp;N140&amp;O140&amp;P140&amp;Q140&amp;R140&amp;S140&amp;T140&amp;U140&amp;V140&amp;W140)</f>
        <v/>
      </c>
      <c r="I140" s="0" t="str">
        <f aca="false">IF(OR($A140="",$D140=""),"",IF(AND(EDATE($D140,Milestones!$AA$20)&lt;=AsOfDate,EDATE($D140,Milestones!$AA$20)&gt;=SchemeStart,IF($X140=0,$AD140,IF(AND($Z140&lt;&gt;"",EDATE($D140,Milestones!$AA$20)&gt;=$Z140),$AC140,IF(AND($Y140&lt;&gt;"",EDATE($D140,Milestones!$AA$20)&gt;=$Y140),$AB140,$AA140)))=Milestones!$AB$20),UPPER(TEXT(EDATE($D140,Milestones!$AA$20),"dd mmm yy"))&amp;" "&amp;Milestones!$AB$20&amp;" "&amp;IF(AND(Milestones!$AB$20="FT",Milestones!$AA$20=FT_Y5,EDATE($D140,Milestones!$AA$20)&lt;PolicyEff),1,Milestones!$AC$20)&amp;";  ","")&amp;IF(AND(EDATE($D140,Milestones!$AA$21)&lt;=AsOfDate,EDATE($D140,Milestones!$AA$21)&gt;=SchemeStart,IF($X140=0,$AD140,IF(AND($Z140&lt;&gt;"",EDATE($D140,Milestones!$AA$21)&gt;=$Z140),$AC140,IF(AND($Y140&lt;&gt;"",EDATE($D140,Milestones!$AA$21)&gt;=$Y140),$AB140,$AA140)))=Milestones!$AB$21),UPPER(TEXT(EDATE($D140,Milestones!$AA$21),"dd mmm yy"))&amp;" "&amp;Milestones!$AB$21&amp;" "&amp;IF(AND(Milestones!$AB$21="FT",Milestones!$AA$21=FT_Y5,EDATE($D140,Milestones!$AA$21)&lt;PolicyEff),1,Milestones!$AC$21)&amp;";  ","")&amp;IF(AND(EDATE($D140,Milestones!$AA$22)&lt;=AsOfDate,EDATE($D140,Milestones!$AA$22)&gt;=SchemeStart,IF($X140=0,$AD140,IF(AND($Z140&lt;&gt;"",EDATE($D140,Milestones!$AA$22)&gt;=$Z140),$AC140,IF(AND($Y140&lt;&gt;"",EDATE($D140,Milestones!$AA$22)&gt;=$Y140),$AB140,$AA140)))=Milestones!$AB$22),UPPER(TEXT(EDATE($D140,Milestones!$AA$22),"dd mmm yy"))&amp;" "&amp;Milestones!$AB$22&amp;" "&amp;IF(AND(Milestones!$AB$22="FT",Milestones!$AA$22=FT_Y5,EDATE($D140,Milestones!$AA$22)&lt;PolicyEff),1,Milestones!$AC$22)&amp;";  ","")&amp;IF(AND(EDATE($D140,Milestones!$AA$23)&lt;=AsOfDate,EDATE($D140,Milestones!$AA$23)&gt;=SchemeStart,IF($X140=0,$AD140,IF(AND($Z140&lt;&gt;"",EDATE($D140,Milestones!$AA$23)&gt;=$Z140),$AC140,IF(AND($Y140&lt;&gt;"",EDATE($D140,Milestones!$AA$23)&gt;=$Y140),$AB140,$AA140)))=Milestones!$AB$23),UPPER(TEXT(EDATE($D140,Milestones!$AA$23),"dd mmm yy"))&amp;" "&amp;Milestones!$AB$23&amp;" "&amp;IF(AND(Milestones!$AB$23="FT",Milestones!$AA$23=FT_Y5,EDATE($D140,Milestones!$AA$23)&lt;PolicyEff),1,Milestones!$AC$23)&amp;";  ","")&amp;IF(AND(EDATE($D140,Milestones!$AA$24)&lt;=AsOfDate,EDATE($D140,Milestones!$AA$24)&gt;=SchemeStart,IF($X140=0,$AD140,IF(AND($Z140&lt;&gt;"",EDATE($D140,Milestones!$AA$24)&gt;=$Z140),$AC140,IF(AND($Y140&lt;&gt;"",EDATE($D140,Milestones!$AA$24)&gt;=$Y140),$AB140,$AA140)))=Milestones!$AB$24),UPPER(TEXT(EDATE($D140,Milestones!$AA$24),"dd mmm yy"))&amp;" "&amp;Milestones!$AB$24&amp;" "&amp;IF(AND(Milestones!$AB$24="FT",Milestones!$AA$24=FT_Y5,EDATE($D140,Milestones!$AA$24)&lt;PolicyEff),1,Milestones!$AC$24)&amp;";  ","")&amp;IF(AND(EDATE($D140,Milestones!$AA$25)&lt;=AsOfDate,EDATE($D140,Milestones!$AA$25)&gt;=SchemeStart,IF($X140=0,$AD140,IF(AND($Z140&lt;&gt;"",EDATE($D140,Milestones!$AA$25)&gt;=$Z140),$AC140,IF(AND($Y140&lt;&gt;"",EDATE($D140,Milestones!$AA$25)&gt;=$Y140),$AB140,$AA140)))=Milestones!$AB$25),UPPER(TEXT(EDATE($D140,Milestones!$AA$25),"dd mmm yy"))&amp;" "&amp;Milestones!$AB$25&amp;" "&amp;IF(AND(Milestones!$AB$25="FT",Milestones!$AA$25=FT_Y5,EDATE($D140,Milestones!$AA$25)&lt;PolicyEff),1,Milestones!$AC$25)&amp;";  ","")&amp;IF(AND(EDATE($D140,Milestones!$AA$26)&lt;=AsOfDate,EDATE($D140,Milestones!$AA$26)&gt;=SchemeStart,IF($X140=0,$AD140,IF(AND($Z140&lt;&gt;"",EDATE($D140,Milestones!$AA$26)&gt;=$Z140),$AC140,IF(AND($Y140&lt;&gt;"",EDATE($D140,Milestones!$AA$26)&gt;=$Y140),$AB140,$AA140)))=Milestones!$AB$26),UPPER(TEXT(EDATE($D140,Milestones!$AA$26),"dd mmm yy"))&amp;" "&amp;Milestones!$AB$26&amp;" "&amp;IF(AND(Milestones!$AB$26="FT",Milestones!$AA$26=FT_Y5,EDATE($D140,Milestones!$AA$26)&lt;PolicyEff),1,Milestones!$AC$26)&amp;";  ","")&amp;IF(AND(EDATE($D140,Milestones!$AA$27)&lt;=AsOfDate,EDATE($D140,Milestones!$AA$27)&gt;=SchemeStart,IF($X140=0,$AD140,IF(AND($Z140&lt;&gt;"",EDATE($D140,Milestones!$AA$27)&gt;=$Z140),$AC140,IF(AND($Y140&lt;&gt;"",EDATE($D140,Milestones!$AA$27)&gt;=$Y140),$AB140,$AA140)))=Milestones!$AB$27),UPPER(TEXT(EDATE($D140,Milestones!$AA$27),"dd mmm yy"))&amp;" "&amp;Milestones!$AB$27&amp;" "&amp;IF(AND(Milestones!$AB$27="FT",Milestones!$AA$27=FT_Y5,EDATE($D140,Milestones!$AA$27)&lt;PolicyEff),1,Milestones!$AC$27)&amp;";  ","")&amp;IF(AND(EDATE($D140,Milestones!$AA$28)&lt;=AsOfDate,EDATE($D140,Milestones!$AA$28)&gt;=SchemeStart,IF($X140=0,$AD140,IF(AND($Z140&lt;&gt;"",EDATE($D140,Milestones!$AA$28)&gt;=$Z140),$AC140,IF(AND($Y140&lt;&gt;"",EDATE($D140,Milestones!$AA$28)&gt;=$Y140),$AB140,$AA140)))=Milestones!$AB$28),UPPER(TEXT(EDATE($D140,Milestones!$AA$28),"dd mmm yy"))&amp;" "&amp;Milestones!$AB$28&amp;" "&amp;IF(AND(Milestones!$AB$28="FT",Milestones!$AA$28=FT_Y5,EDATE($D140,Milestones!$AA$28)&lt;PolicyEff),1,Milestones!$AC$28)&amp;";  ","")&amp;IF(AND(EDATE($D140,Milestones!$AA$29)&lt;=AsOfDate,EDATE($D140,Milestones!$AA$29)&gt;=SchemeStart,IF($X140=0,$AD140,IF(AND($Z140&lt;&gt;"",EDATE($D140,Milestones!$AA$29)&gt;=$Z140),$AC140,IF(AND($Y140&lt;&gt;"",EDATE($D140,Milestones!$AA$29)&gt;=$Y140),$AB140,$AA140)))=Milestones!$AB$29),UPPER(TEXT(EDATE($D140,Milestones!$AA$29),"dd mmm yy"))&amp;" "&amp;Milestones!$AB$29&amp;" "&amp;IF(AND(Milestones!$AB$29="FT",Milestones!$AA$29=FT_Y5,EDATE($D140,Milestones!$AA$29)&lt;PolicyEff),1,Milestones!$AC$29)&amp;";  ","")&amp;IF(AND(EDATE($D140,Milestones!$AA$30)&lt;=AsOfDate,EDATE($D140,Milestones!$AA$30)&gt;=SchemeStart,IF($X140=0,$AD140,IF(AND($Z140&lt;&gt;"",EDATE($D140,Milestones!$AA$30)&gt;=$Z140),$AC140,IF(AND($Y140&lt;&gt;"",EDATE($D140,Milestones!$AA$30)&gt;=$Y140),$AB140,$AA140)))=Milestones!$AB$30),UPPER(TEXT(EDATE($D140,Milestones!$AA$30),"dd mmm yy"))&amp;" "&amp;Milestones!$AB$30&amp;" "&amp;IF(AND(Milestones!$AB$30="FT",Milestones!$AA$30=FT_Y5,EDATE($D140,Milestones!$AA$30)&lt;PolicyEff),1,Milestones!$AC$30)&amp;";  ","")&amp;IF(AND(EDATE($D140,Milestones!$AA$31)&lt;=AsOfDate,EDATE($D140,Milestones!$AA$31)&gt;=SchemeStart,IF($X140=0,$AD140,IF(AND($Z140&lt;&gt;"",EDATE($D140,Milestones!$AA$31)&gt;=$Z140),$AC140,IF(AND($Y140&lt;&gt;"",EDATE($D140,Milestones!$AA$31)&gt;=$Y140),$AB140,$AA140)))=Milestones!$AB$31),UPPER(TEXT(EDATE($D140,Milestones!$AA$31),"dd mmm yy"))&amp;" "&amp;Milestones!$AB$31&amp;" "&amp;IF(AND(Milestones!$AB$31="FT",Milestones!$AA$31=FT_Y5,EDATE($D140,Milestones!$AA$31)&lt;PolicyEff),1,Milestones!$AC$31)&amp;";  ",""))</f>
        <v/>
      </c>
      <c r="J140" s="0" t="str">
        <f aca="false">IF(OR($A140="",$D140=""),"",IF(AND(EDATE($D140,Milestones!$AA$32)&lt;=AsOfDate,EDATE($D140,Milestones!$AA$32)&gt;=SchemeStart,IF($X140=0,$AD140,IF(AND($Z140&lt;&gt;"",EDATE($D140,Milestones!$AA$32)&gt;=$Z140),$AC140,IF(AND($Y140&lt;&gt;"",EDATE($D140,Milestones!$AA$32)&gt;=$Y140),$AB140,$AA140)))=Milestones!$AB$32),UPPER(TEXT(EDATE($D140,Milestones!$AA$32),"dd mmm yy"))&amp;" "&amp;Milestones!$AB$32&amp;" "&amp;IF(AND(Milestones!$AB$32="FT",Milestones!$AA$32=FT_Y5,EDATE($D140,Milestones!$AA$32)&lt;PolicyEff),1,Milestones!$AC$32)&amp;";  ","")&amp;IF(AND(EDATE($D140,Milestones!$AA$33)&lt;=AsOfDate,EDATE($D140,Milestones!$AA$33)&gt;=SchemeStart,IF($X140=0,$AD140,IF(AND($Z140&lt;&gt;"",EDATE($D140,Milestones!$AA$33)&gt;=$Z140),$AC140,IF(AND($Y140&lt;&gt;"",EDATE($D140,Milestones!$AA$33)&gt;=$Y140),$AB140,$AA140)))=Milestones!$AB$33),UPPER(TEXT(EDATE($D140,Milestones!$AA$33),"dd mmm yy"))&amp;" "&amp;Milestones!$AB$33&amp;" "&amp;IF(AND(Milestones!$AB$33="FT",Milestones!$AA$33=FT_Y5,EDATE($D140,Milestones!$AA$33)&lt;PolicyEff),1,Milestones!$AC$33)&amp;";  ","")&amp;IF(AND(EDATE($D140,Milestones!$AA$34)&lt;=AsOfDate,EDATE($D140,Milestones!$AA$34)&gt;=SchemeStart,IF($X140=0,$AD140,IF(AND($Z140&lt;&gt;"",EDATE($D140,Milestones!$AA$34)&gt;=$Z140),$AC140,IF(AND($Y140&lt;&gt;"",EDATE($D140,Milestones!$AA$34)&gt;=$Y140),$AB140,$AA140)))=Milestones!$AB$34),UPPER(TEXT(EDATE($D140,Milestones!$AA$34),"dd mmm yy"))&amp;" "&amp;Milestones!$AB$34&amp;" "&amp;IF(AND(Milestones!$AB$34="FT",Milestones!$AA$34=FT_Y5,EDATE($D140,Milestones!$AA$34)&lt;PolicyEff),1,Milestones!$AC$34)&amp;";  ","")&amp;IF(AND(EDATE($D140,Milestones!$AA$35)&lt;=AsOfDate,EDATE($D140,Milestones!$AA$35)&gt;=SchemeStart,IF($X140=0,$AD140,IF(AND($Z140&lt;&gt;"",EDATE($D140,Milestones!$AA$35)&gt;=$Z140),$AC140,IF(AND($Y140&lt;&gt;"",EDATE($D140,Milestones!$AA$35)&gt;=$Y140),$AB140,$AA140)))=Milestones!$AB$35),UPPER(TEXT(EDATE($D140,Milestones!$AA$35),"dd mmm yy"))&amp;" "&amp;Milestones!$AB$35&amp;" "&amp;IF(AND(Milestones!$AB$35="FT",Milestones!$AA$35=FT_Y5,EDATE($D140,Milestones!$AA$35)&lt;PolicyEff),1,Milestones!$AC$35)&amp;";  ","")&amp;IF(AND(EDATE($D140,Milestones!$AA$36)&lt;=AsOfDate,EDATE($D140,Milestones!$AA$36)&gt;=SchemeStart,IF($X140=0,$AD140,IF(AND($Z140&lt;&gt;"",EDATE($D140,Milestones!$AA$36)&gt;=$Z140),$AC140,IF(AND($Y140&lt;&gt;"",EDATE($D140,Milestones!$AA$36)&gt;=$Y140),$AB140,$AA140)))=Milestones!$AB$36),UPPER(TEXT(EDATE($D140,Milestones!$AA$36),"dd mmm yy"))&amp;" "&amp;Milestones!$AB$36&amp;" "&amp;IF(AND(Milestones!$AB$36="FT",Milestones!$AA$36=FT_Y5,EDATE($D140,Milestones!$AA$36)&lt;PolicyEff),1,Milestones!$AC$36)&amp;";  ","")&amp;IF(AND(EDATE($D140,Milestones!$AA$37)&lt;=AsOfDate,EDATE($D140,Milestones!$AA$37)&gt;=SchemeStart,IF($X140=0,$AD140,IF(AND($Z140&lt;&gt;"",EDATE($D140,Milestones!$AA$37)&gt;=$Z140),$AC140,IF(AND($Y140&lt;&gt;"",EDATE($D140,Milestones!$AA$37)&gt;=$Y140),$AB140,$AA140)))=Milestones!$AB$37),UPPER(TEXT(EDATE($D140,Milestones!$AA$37),"dd mmm yy"))&amp;" "&amp;Milestones!$AB$37&amp;" "&amp;IF(AND(Milestones!$AB$37="FT",Milestones!$AA$37=FT_Y5,EDATE($D140,Milestones!$AA$37)&lt;PolicyEff),1,Milestones!$AC$37)&amp;";  ","")&amp;IF(AND(EDATE($D140,Milestones!$AA$38)&lt;=AsOfDate,EDATE($D140,Milestones!$AA$38)&gt;=SchemeStart,IF($X140=0,$AD140,IF(AND($Z140&lt;&gt;"",EDATE($D140,Milestones!$AA$38)&gt;=$Z140),$AC140,IF(AND($Y140&lt;&gt;"",EDATE($D140,Milestones!$AA$38)&gt;=$Y140),$AB140,$AA140)))=Milestones!$AB$38),UPPER(TEXT(EDATE($D140,Milestones!$AA$38),"dd mmm yy"))&amp;" "&amp;Milestones!$AB$38&amp;" "&amp;IF(AND(Milestones!$AB$38="FT",Milestones!$AA$38=FT_Y5,EDATE($D140,Milestones!$AA$38)&lt;PolicyEff),1,Milestones!$AC$38)&amp;";  ","")&amp;IF(AND(EDATE($D140,Milestones!$AA$39)&lt;=AsOfDate,EDATE($D140,Milestones!$AA$39)&gt;=SchemeStart,IF($X140=0,$AD140,IF(AND($Z140&lt;&gt;"",EDATE($D140,Milestones!$AA$39)&gt;=$Z140),$AC140,IF(AND($Y140&lt;&gt;"",EDATE($D140,Milestones!$AA$39)&gt;=$Y140),$AB140,$AA140)))=Milestones!$AB$39),UPPER(TEXT(EDATE($D140,Milestones!$AA$39),"dd mmm yy"))&amp;" "&amp;Milestones!$AB$39&amp;" "&amp;IF(AND(Milestones!$AB$39="FT",Milestones!$AA$39=FT_Y5,EDATE($D140,Milestones!$AA$39)&lt;PolicyEff),1,Milestones!$AC$39)&amp;";  ","")&amp;IF(AND(EDATE($D140,Milestones!$AA$40)&lt;=AsOfDate,EDATE($D140,Milestones!$AA$40)&gt;=SchemeStart,IF($X140=0,$AD140,IF(AND($Z140&lt;&gt;"",EDATE($D140,Milestones!$AA$40)&gt;=$Z140),$AC140,IF(AND($Y140&lt;&gt;"",EDATE($D140,Milestones!$AA$40)&gt;=$Y140),$AB140,$AA140)))=Milestones!$AB$40),UPPER(TEXT(EDATE($D140,Milestones!$AA$40),"dd mmm yy"))&amp;" "&amp;Milestones!$AB$40&amp;" "&amp;IF(AND(Milestones!$AB$40="FT",Milestones!$AA$40=FT_Y5,EDATE($D140,Milestones!$AA$40)&lt;PolicyEff),1,Milestones!$AC$40)&amp;";  ","")&amp;IF(AND(EDATE($D140,Milestones!$AA$41)&lt;=AsOfDate,EDATE($D140,Milestones!$AA$41)&gt;=SchemeStart,IF($X140=0,$AD140,IF(AND($Z140&lt;&gt;"",EDATE($D140,Milestones!$AA$41)&gt;=$Z140),$AC140,IF(AND($Y140&lt;&gt;"",EDATE($D140,Milestones!$AA$41)&gt;=$Y140),$AB140,$AA140)))=Milestones!$AB$41),UPPER(TEXT(EDATE($D140,Milestones!$AA$41),"dd mmm yy"))&amp;" "&amp;Milestones!$AB$41&amp;" "&amp;IF(AND(Milestones!$AB$41="FT",Milestones!$AA$41=FT_Y5,EDATE($D140,Milestones!$AA$41)&lt;PolicyEff),1,Milestones!$AC$41)&amp;";  ","")&amp;IF(AND(EDATE($D140,Milestones!$AA$42)&lt;=AsOfDate,EDATE($D140,Milestones!$AA$42)&gt;=SchemeStart,IF($X140=0,$AD140,IF(AND($Z140&lt;&gt;"",EDATE($D140,Milestones!$AA$42)&gt;=$Z140),$AC140,IF(AND($Y140&lt;&gt;"",EDATE($D140,Milestones!$AA$42)&gt;=$Y140),$AB140,$AA140)))=Milestones!$AB$42),UPPER(TEXT(EDATE($D140,Milestones!$AA$42),"dd mmm yy"))&amp;" "&amp;Milestones!$AB$42&amp;" "&amp;IF(AND(Milestones!$AB$42="FT",Milestones!$AA$42=FT_Y5,EDATE($D140,Milestones!$AA$42)&lt;PolicyEff),1,Milestones!$AC$42)&amp;";  ","")&amp;IF(AND(EDATE($D140,Milestones!$AA$43)&lt;=AsOfDate,EDATE($D140,Milestones!$AA$43)&gt;=SchemeStart,IF($X140=0,$AD140,IF(AND($Z140&lt;&gt;"",EDATE($D140,Milestones!$AA$43)&gt;=$Z140),$AC140,IF(AND($Y140&lt;&gt;"",EDATE($D140,Milestones!$AA$43)&gt;=$Y140),$AB140,$AA140)))=Milestones!$AB$43),UPPER(TEXT(EDATE($D140,Milestones!$AA$43),"dd mmm yy"))&amp;" "&amp;Milestones!$AB$43&amp;" "&amp;IF(AND(Milestones!$AB$43="FT",Milestones!$AA$43=FT_Y5,EDATE($D140,Milestones!$AA$43)&lt;PolicyEff),1,Milestones!$AC$43)&amp;";  ",""))</f>
        <v/>
      </c>
      <c r="K140" s="0" t="str">
        <f aca="false">IF(OR($A140="",$D140=""),"",IF(AND(EDATE($D140,Milestones!$AA$44)&lt;=AsOfDate,EDATE($D140,Milestones!$AA$44)&gt;=SchemeStart,IF($X140=0,$AD140,IF(AND($Z140&lt;&gt;"",EDATE($D140,Milestones!$AA$44)&gt;=$Z140),$AC140,IF(AND($Y140&lt;&gt;"",EDATE($D140,Milestones!$AA$44)&gt;=$Y140),$AB140,$AA140)))=Milestones!$AB$44),UPPER(TEXT(EDATE($D140,Milestones!$AA$44),"dd mmm yy"))&amp;" "&amp;Milestones!$AB$44&amp;" "&amp;IF(AND(Milestones!$AB$44="FT",Milestones!$AA$44=FT_Y5,EDATE($D140,Milestones!$AA$44)&lt;PolicyEff),1,Milestones!$AC$44)&amp;";  ","")&amp;IF(AND(EDATE($D140,Milestones!$AA$45)&lt;=AsOfDate,EDATE($D140,Milestones!$AA$45)&gt;=SchemeStart,IF($X140=0,$AD140,IF(AND($Z140&lt;&gt;"",EDATE($D140,Milestones!$AA$45)&gt;=$Z140),$AC140,IF(AND($Y140&lt;&gt;"",EDATE($D140,Milestones!$AA$45)&gt;=$Y140),$AB140,$AA140)))=Milestones!$AB$45),UPPER(TEXT(EDATE($D140,Milestones!$AA$45),"dd mmm yy"))&amp;" "&amp;Milestones!$AB$45&amp;" "&amp;IF(AND(Milestones!$AB$45="FT",Milestones!$AA$45=FT_Y5,EDATE($D140,Milestones!$AA$45)&lt;PolicyEff),1,Milestones!$AC$45)&amp;";  ","")&amp;IF(AND(EDATE($D140,Milestones!$AA$46)&lt;=AsOfDate,EDATE($D140,Milestones!$AA$46)&gt;=SchemeStart,IF($X140=0,$AD140,IF(AND($Z140&lt;&gt;"",EDATE($D140,Milestones!$AA$46)&gt;=$Z140),$AC140,IF(AND($Y140&lt;&gt;"",EDATE($D140,Milestones!$AA$46)&gt;=$Y140),$AB140,$AA140)))=Milestones!$AB$46),UPPER(TEXT(EDATE($D140,Milestones!$AA$46),"dd mmm yy"))&amp;" "&amp;Milestones!$AB$46&amp;" "&amp;IF(AND(Milestones!$AB$46="FT",Milestones!$AA$46=FT_Y5,EDATE($D140,Milestones!$AA$46)&lt;PolicyEff),1,Milestones!$AC$46)&amp;";  ","")&amp;IF(AND(EDATE($D140,Milestones!$AA$47)&lt;=AsOfDate,EDATE($D140,Milestones!$AA$47)&gt;=SchemeStart,IF($X140=0,$AD140,IF(AND($Z140&lt;&gt;"",EDATE($D140,Milestones!$AA$47)&gt;=$Z140),$AC140,IF(AND($Y140&lt;&gt;"",EDATE($D140,Milestones!$AA$47)&gt;=$Y140),$AB140,$AA140)))=Milestones!$AB$47),UPPER(TEXT(EDATE($D140,Milestones!$AA$47),"dd mmm yy"))&amp;" "&amp;Milestones!$AB$47&amp;" "&amp;IF(AND(Milestones!$AB$47="FT",Milestones!$AA$47=FT_Y5,EDATE($D140,Milestones!$AA$47)&lt;PolicyEff),1,Milestones!$AC$47)&amp;";  ","")&amp;IF(AND(EDATE($D140,Milestones!$AA$48)&lt;=AsOfDate,EDATE($D140,Milestones!$AA$48)&gt;=SchemeStart,IF($X140=0,$AD140,IF(AND($Z140&lt;&gt;"",EDATE($D140,Milestones!$AA$48)&gt;=$Z140),$AC140,IF(AND($Y140&lt;&gt;"",EDATE($D140,Milestones!$AA$48)&gt;=$Y140),$AB140,$AA140)))=Milestones!$AB$48),UPPER(TEXT(EDATE($D140,Milestones!$AA$48),"dd mmm yy"))&amp;" "&amp;Milestones!$AB$48&amp;" "&amp;IF(AND(Milestones!$AB$48="FT",Milestones!$AA$48=FT_Y5,EDATE($D140,Milestones!$AA$48)&lt;PolicyEff),1,Milestones!$AC$48)&amp;";  ","")&amp;IF(AND(EDATE($D140,Milestones!$AA$49)&lt;=AsOfDate,EDATE($D140,Milestones!$AA$49)&gt;=SchemeStart,IF($X140=0,$AD140,IF(AND($Z140&lt;&gt;"",EDATE($D140,Milestones!$AA$49)&gt;=$Z140),$AC140,IF(AND($Y140&lt;&gt;"",EDATE($D140,Milestones!$AA$49)&gt;=$Y140),$AB140,$AA140)))=Milestones!$AB$49),UPPER(TEXT(EDATE($D140,Milestones!$AA$49),"dd mmm yy"))&amp;" "&amp;Milestones!$AB$49&amp;" "&amp;IF(AND(Milestones!$AB$49="FT",Milestones!$AA$49=FT_Y5,EDATE($D140,Milestones!$AA$49)&lt;PolicyEff),1,Milestones!$AC$49)&amp;";  ","")&amp;IF(AND(EDATE($D140,Milestones!$AA$50)&lt;=AsOfDate,EDATE($D140,Milestones!$AA$50)&gt;=SchemeStart,IF($X140=0,$AD140,IF(AND($Z140&lt;&gt;"",EDATE($D140,Milestones!$AA$50)&gt;=$Z140),$AC140,IF(AND($Y140&lt;&gt;"",EDATE($D140,Milestones!$AA$50)&gt;=$Y140),$AB140,$AA140)))=Milestones!$AB$50),UPPER(TEXT(EDATE($D140,Milestones!$AA$50),"dd mmm yy"))&amp;" "&amp;Milestones!$AB$50&amp;" "&amp;IF(AND(Milestones!$AB$50="FT",Milestones!$AA$50=FT_Y5,EDATE($D140,Milestones!$AA$50)&lt;PolicyEff),1,Milestones!$AC$50)&amp;";  ","")&amp;IF(AND(EDATE($D140,Milestones!$AA$51)&lt;=AsOfDate,EDATE($D140,Milestones!$AA$51)&gt;=SchemeStart,IF($X140=0,$AD140,IF(AND($Z140&lt;&gt;"",EDATE($D140,Milestones!$AA$51)&gt;=$Z140),$AC140,IF(AND($Y140&lt;&gt;"",EDATE($D140,Milestones!$AA$51)&gt;=$Y140),$AB140,$AA140)))=Milestones!$AB$51),UPPER(TEXT(EDATE($D140,Milestones!$AA$51),"dd mmm yy"))&amp;" "&amp;Milestones!$AB$51&amp;" "&amp;IF(AND(Milestones!$AB$51="FT",Milestones!$AA$51=FT_Y5,EDATE($D140,Milestones!$AA$51)&lt;PolicyEff),1,Milestones!$AC$51)&amp;";  ","")&amp;IF(AND(EDATE($D140,Milestones!$AA$52)&lt;=AsOfDate,EDATE($D140,Milestones!$AA$52)&gt;=SchemeStart,IF($X140=0,$AD140,IF(AND($Z140&lt;&gt;"",EDATE($D140,Milestones!$AA$52)&gt;=$Z140),$AC140,IF(AND($Y140&lt;&gt;"",EDATE($D140,Milestones!$AA$52)&gt;=$Y140),$AB140,$AA140)))=Milestones!$AB$52),UPPER(TEXT(EDATE($D140,Milestones!$AA$52),"dd mmm yy"))&amp;" "&amp;Milestones!$AB$52&amp;" "&amp;IF(AND(Milestones!$AB$52="FT",Milestones!$AA$52=FT_Y5,EDATE($D140,Milestones!$AA$52)&lt;PolicyEff),1,Milestones!$AC$52)&amp;";  ","")&amp;IF(AND(EDATE($D140,Milestones!$AA$53)&lt;=AsOfDate,EDATE($D140,Milestones!$AA$53)&gt;=SchemeStart,IF($X140=0,$AD140,IF(AND($Z140&lt;&gt;"",EDATE($D140,Milestones!$AA$53)&gt;=$Z140),$AC140,IF(AND($Y140&lt;&gt;"",EDATE($D140,Milestones!$AA$53)&gt;=$Y140),$AB140,$AA140)))=Milestones!$AB$53),UPPER(TEXT(EDATE($D140,Milestones!$AA$53),"dd mmm yy"))&amp;" "&amp;Milestones!$AB$53&amp;" "&amp;IF(AND(Milestones!$AB$53="FT",Milestones!$AA$53=FT_Y5,EDATE($D140,Milestones!$AA$53)&lt;PolicyEff),1,Milestones!$AC$53)&amp;";  ","")&amp;IF(AND(EDATE($D140,Milestones!$AA$54)&lt;=AsOfDate,EDATE($D140,Milestones!$AA$54)&gt;=SchemeStart,IF($X140=0,$AD140,IF(AND($Z140&lt;&gt;"",EDATE($D140,Milestones!$AA$54)&gt;=$Z140),$AC140,IF(AND($Y140&lt;&gt;"",EDATE($D140,Milestones!$AA$54)&gt;=$Y140),$AB140,$AA140)))=Milestones!$AB$54),UPPER(TEXT(EDATE($D140,Milestones!$AA$54),"dd mmm yy"))&amp;" "&amp;Milestones!$AB$54&amp;" "&amp;IF(AND(Milestones!$AB$54="FT",Milestones!$AA$54=FT_Y5,EDATE($D140,Milestones!$AA$54)&lt;PolicyEff),1,Milestones!$AC$54)&amp;";  ","")&amp;IF(AND(EDATE($D140,Milestones!$AA$55)&lt;=AsOfDate,EDATE($D140,Milestones!$AA$55)&gt;=SchemeStart,IF($X140=0,$AD140,IF(AND($Z140&lt;&gt;"",EDATE($D140,Milestones!$AA$55)&gt;=$Z140),$AC140,IF(AND($Y140&lt;&gt;"",EDATE($D140,Milestones!$AA$55)&gt;=$Y140),$AB140,$AA140)))=Milestones!$AB$55),UPPER(TEXT(EDATE($D140,Milestones!$AA$55),"dd mmm yy"))&amp;" "&amp;Milestones!$AB$55&amp;" "&amp;IF(AND(Milestones!$AB$55="FT",Milestones!$AA$55=FT_Y5,EDATE($D140,Milestones!$AA$55)&lt;PolicyEff),1,Milestones!$AC$55)&amp;";  ",""))</f>
        <v/>
      </c>
      <c r="L140" s="0" t="str">
        <f aca="false">IF(OR($A140="",$D140=""),"",IF(AND(EDATE($D140,Milestones!$AA$56)&lt;=AsOfDate,EDATE($D140,Milestones!$AA$56)&gt;=SchemeStart,IF($X140=0,$AD140,IF(AND($Z140&lt;&gt;"",EDATE($D140,Milestones!$AA$56)&gt;=$Z140),$AC140,IF(AND($Y140&lt;&gt;"",EDATE($D140,Milestones!$AA$56)&gt;=$Y140),$AB140,$AA140)))=Milestones!$AB$56),UPPER(TEXT(EDATE($D140,Milestones!$AA$56),"dd mmm yy"))&amp;" "&amp;Milestones!$AB$56&amp;" "&amp;IF(AND(Milestones!$AB$56="FT",Milestones!$AA$56=FT_Y5,EDATE($D140,Milestones!$AA$56)&lt;PolicyEff),1,Milestones!$AC$56)&amp;";  ","")&amp;IF(AND(EDATE($D140,Milestones!$AA$57)&lt;=AsOfDate,EDATE($D140,Milestones!$AA$57)&gt;=SchemeStart,IF($X140=0,$AD140,IF(AND($Z140&lt;&gt;"",EDATE($D140,Milestones!$AA$57)&gt;=$Z140),$AC140,IF(AND($Y140&lt;&gt;"",EDATE($D140,Milestones!$AA$57)&gt;=$Y140),$AB140,$AA140)))=Milestones!$AB$57),UPPER(TEXT(EDATE($D140,Milestones!$AA$57),"dd mmm yy"))&amp;" "&amp;Milestones!$AB$57&amp;" "&amp;IF(AND(Milestones!$AB$57="FT",Milestones!$AA$57=FT_Y5,EDATE($D140,Milestones!$AA$57)&lt;PolicyEff),1,Milestones!$AC$57)&amp;";  ","")&amp;IF(AND(EDATE($D140,Milestones!$AA$58)&lt;=AsOfDate,EDATE($D140,Milestones!$AA$58)&gt;=SchemeStart,IF($X140=0,$AD140,IF(AND($Z140&lt;&gt;"",EDATE($D140,Milestones!$AA$58)&gt;=$Z140),$AC140,IF(AND($Y140&lt;&gt;"",EDATE($D140,Milestones!$AA$58)&gt;=$Y140),$AB140,$AA140)))=Milestones!$AB$58),UPPER(TEXT(EDATE($D140,Milestones!$AA$58),"dd mmm yy"))&amp;" "&amp;Milestones!$AB$58&amp;" "&amp;IF(AND(Milestones!$AB$58="FT",Milestones!$AA$58=FT_Y5,EDATE($D140,Milestones!$AA$58)&lt;PolicyEff),1,Milestones!$AC$58)&amp;";  ","")&amp;IF(AND(EDATE($D140,Milestones!$AA$59)&lt;=AsOfDate,EDATE($D140,Milestones!$AA$59)&gt;=SchemeStart,IF($X140=0,$AD140,IF(AND($Z140&lt;&gt;"",EDATE($D140,Milestones!$AA$59)&gt;=$Z140),$AC140,IF(AND($Y140&lt;&gt;"",EDATE($D140,Milestones!$AA$59)&gt;=$Y140),$AB140,$AA140)))=Milestones!$AB$59),UPPER(TEXT(EDATE($D140,Milestones!$AA$59),"dd mmm yy"))&amp;" "&amp;Milestones!$AB$59&amp;" "&amp;IF(AND(Milestones!$AB$59="FT",Milestones!$AA$59=FT_Y5,EDATE($D140,Milestones!$AA$59)&lt;PolicyEff),1,Milestones!$AC$59)&amp;";  ","")&amp;IF(AND(EDATE($D140,Milestones!$AA$60)&lt;=AsOfDate,EDATE($D140,Milestones!$AA$60)&gt;=SchemeStart,IF($X140=0,$AD140,IF(AND($Z140&lt;&gt;"",EDATE($D140,Milestones!$AA$60)&gt;=$Z140),$AC140,IF(AND($Y140&lt;&gt;"",EDATE($D140,Milestones!$AA$60)&gt;=$Y140),$AB140,$AA140)))=Milestones!$AB$60),UPPER(TEXT(EDATE($D140,Milestones!$AA$60),"dd mmm yy"))&amp;" "&amp;Milestones!$AB$60&amp;" "&amp;IF(AND(Milestones!$AB$60="FT",Milestones!$AA$60=FT_Y5,EDATE($D140,Milestones!$AA$60)&lt;PolicyEff),1,Milestones!$AC$60)&amp;";  ","")&amp;IF(AND(EDATE($D140,Milestones!$AA$61)&lt;=AsOfDate,EDATE($D140,Milestones!$AA$61)&gt;=SchemeStart,IF($X140=0,$AD140,IF(AND($Z140&lt;&gt;"",EDATE($D140,Milestones!$AA$61)&gt;=$Z140),$AC140,IF(AND($Y140&lt;&gt;"",EDATE($D140,Milestones!$AA$61)&gt;=$Y140),$AB140,$AA140)))=Milestones!$AB$61),UPPER(TEXT(EDATE($D140,Milestones!$AA$61),"dd mmm yy"))&amp;" "&amp;Milestones!$AB$61&amp;" "&amp;IF(AND(Milestones!$AB$61="FT",Milestones!$AA$61=FT_Y5,EDATE($D140,Milestones!$AA$61)&lt;PolicyEff),1,Milestones!$AC$61)&amp;";  ","")&amp;IF(AND(EDATE($D140,Milestones!$AA$62)&lt;=AsOfDate,EDATE($D140,Milestones!$AA$62)&gt;=SchemeStart,IF($X140=0,$AD140,IF(AND($Z140&lt;&gt;"",EDATE($D140,Milestones!$AA$62)&gt;=$Z140),$AC140,IF(AND($Y140&lt;&gt;"",EDATE($D140,Milestones!$AA$62)&gt;=$Y140),$AB140,$AA140)))=Milestones!$AB$62),UPPER(TEXT(EDATE($D140,Milestones!$AA$62),"dd mmm yy"))&amp;" "&amp;Milestones!$AB$62&amp;" "&amp;IF(AND(Milestones!$AB$62="FT",Milestones!$AA$62=FT_Y5,EDATE($D140,Milestones!$AA$62)&lt;PolicyEff),1,Milestones!$AC$62)&amp;";  ","")&amp;IF(AND(EDATE($D140,Milestones!$AA$63)&lt;=AsOfDate,EDATE($D140,Milestones!$AA$63)&gt;=SchemeStart,IF($X140=0,$AD140,IF(AND($Z140&lt;&gt;"",EDATE($D140,Milestones!$AA$63)&gt;=$Z140),$AC140,IF(AND($Y140&lt;&gt;"",EDATE($D140,Milestones!$AA$63)&gt;=$Y140),$AB140,$AA140)))=Milestones!$AB$63),UPPER(TEXT(EDATE($D140,Milestones!$AA$63),"dd mmm yy"))&amp;" "&amp;Milestones!$AB$63&amp;" "&amp;IF(AND(Milestones!$AB$63="FT",Milestones!$AA$63=FT_Y5,EDATE($D140,Milestones!$AA$63)&lt;PolicyEff),1,Milestones!$AC$63)&amp;";  ","")&amp;IF(AND(EDATE($D140,Milestones!$AA$64)&lt;=AsOfDate,EDATE($D140,Milestones!$AA$64)&gt;=SchemeStart,IF($X140=0,$AD140,IF(AND($Z140&lt;&gt;"",EDATE($D140,Milestones!$AA$64)&gt;=$Z140),$AC140,IF(AND($Y140&lt;&gt;"",EDATE($D140,Milestones!$AA$64)&gt;=$Y140),$AB140,$AA140)))=Milestones!$AB$64),UPPER(TEXT(EDATE($D140,Milestones!$AA$64),"dd mmm yy"))&amp;" "&amp;Milestones!$AB$64&amp;" "&amp;IF(AND(Milestones!$AB$64="FT",Milestones!$AA$64=FT_Y5,EDATE($D140,Milestones!$AA$64)&lt;PolicyEff),1,Milestones!$AC$64)&amp;";  ","")&amp;IF(AND(EDATE($D140,Milestones!$AA$65)&lt;=AsOfDate,EDATE($D140,Milestones!$AA$65)&gt;=SchemeStart,IF($X140=0,$AD140,IF(AND($Z140&lt;&gt;"",EDATE($D140,Milestones!$AA$65)&gt;=$Z140),$AC140,IF(AND($Y140&lt;&gt;"",EDATE($D140,Milestones!$AA$65)&gt;=$Y140),$AB140,$AA140)))=Milestones!$AB$65),UPPER(TEXT(EDATE($D140,Milestones!$AA$65),"dd mmm yy"))&amp;" "&amp;Milestones!$AB$65&amp;" "&amp;IF(AND(Milestones!$AB$65="FT",Milestones!$AA$65=FT_Y5,EDATE($D140,Milestones!$AA$65)&lt;PolicyEff),1,Milestones!$AC$65)&amp;";  ","")&amp;IF(AND(EDATE($D140,Milestones!$AA$66)&lt;=AsOfDate,EDATE($D140,Milestones!$AA$66)&gt;=SchemeStart,IF($X140=0,$AD140,IF(AND($Z140&lt;&gt;"",EDATE($D140,Milestones!$AA$66)&gt;=$Z140),$AC140,IF(AND($Y140&lt;&gt;"",EDATE($D140,Milestones!$AA$66)&gt;=$Y140),$AB140,$AA140)))=Milestones!$AB$66),UPPER(TEXT(EDATE($D140,Milestones!$AA$66),"dd mmm yy"))&amp;" "&amp;Milestones!$AB$66&amp;" "&amp;IF(AND(Milestones!$AB$66="FT",Milestones!$AA$66=FT_Y5,EDATE($D140,Milestones!$AA$66)&lt;PolicyEff),1,Milestones!$AC$66)&amp;";  ","")&amp;IF(AND(EDATE($D140,Milestones!$AA$67)&lt;=AsOfDate,EDATE($D140,Milestones!$AA$67)&gt;=SchemeStart,IF($X140=0,$AD140,IF(AND($Z140&lt;&gt;"",EDATE($D140,Milestones!$AA$67)&gt;=$Z140),$AC140,IF(AND($Y140&lt;&gt;"",EDATE($D140,Milestones!$AA$67)&gt;=$Y140),$AB140,$AA140)))=Milestones!$AB$67),UPPER(TEXT(EDATE($D140,Milestones!$AA$67),"dd mmm yy"))&amp;" "&amp;Milestones!$AB$67&amp;" "&amp;IF(AND(Milestones!$AB$67="FT",Milestones!$AA$67=FT_Y5,EDATE($D140,Milestones!$AA$67)&lt;PolicyEff),1,Milestones!$AC$67)&amp;";  ",""))</f>
        <v/>
      </c>
      <c r="M140" s="0" t="str">
        <f aca="false">IF(OR($A140="",$D140=""),"",IF(AND(EDATE($D140,Milestones!$AA$68)&lt;=AsOfDate,EDATE($D140,Milestones!$AA$68)&gt;=SchemeStart,IF($X140=0,$AD140,IF(AND($Z140&lt;&gt;"",EDATE($D140,Milestones!$AA$68)&gt;=$Z140),$AC140,IF(AND($Y140&lt;&gt;"",EDATE($D140,Milestones!$AA$68)&gt;=$Y140),$AB140,$AA140)))=Milestones!$AB$68),UPPER(TEXT(EDATE($D140,Milestones!$AA$68),"dd mmm yy"))&amp;" "&amp;Milestones!$AB$68&amp;" "&amp;IF(AND(Milestones!$AB$68="FT",Milestones!$AA$68=FT_Y5,EDATE($D140,Milestones!$AA$68)&lt;PolicyEff),1,Milestones!$AC$68)&amp;";  ","")&amp;IF(AND(EDATE($D140,Milestones!$AA$69)&lt;=AsOfDate,EDATE($D140,Milestones!$AA$69)&gt;=SchemeStart,IF($X140=0,$AD140,IF(AND($Z140&lt;&gt;"",EDATE($D140,Milestones!$AA$69)&gt;=$Z140),$AC140,IF(AND($Y140&lt;&gt;"",EDATE($D140,Milestones!$AA$69)&gt;=$Y140),$AB140,$AA140)))=Milestones!$AB$69),UPPER(TEXT(EDATE($D140,Milestones!$AA$69),"dd mmm yy"))&amp;" "&amp;Milestones!$AB$69&amp;" "&amp;IF(AND(Milestones!$AB$69="FT",Milestones!$AA$69=FT_Y5,EDATE($D140,Milestones!$AA$69)&lt;PolicyEff),1,Milestones!$AC$69)&amp;";  ","")&amp;IF(AND(EDATE($D140,Milestones!$AA$70)&lt;=AsOfDate,EDATE($D140,Milestones!$AA$70)&gt;=SchemeStart,IF($X140=0,$AD140,IF(AND($Z140&lt;&gt;"",EDATE($D140,Milestones!$AA$70)&gt;=$Z140),$AC140,IF(AND($Y140&lt;&gt;"",EDATE($D140,Milestones!$AA$70)&gt;=$Y140),$AB140,$AA140)))=Milestones!$AB$70),UPPER(TEXT(EDATE($D140,Milestones!$AA$70),"dd mmm yy"))&amp;" "&amp;Milestones!$AB$70&amp;" "&amp;IF(AND(Milestones!$AB$70="FT",Milestones!$AA$70=FT_Y5,EDATE($D140,Milestones!$AA$70)&lt;PolicyEff),1,Milestones!$AC$70)&amp;";  ","")&amp;IF(AND(EDATE($D140,Milestones!$AA$71)&lt;=AsOfDate,EDATE($D140,Milestones!$AA$71)&gt;=SchemeStart,IF($X140=0,$AD140,IF(AND($Z140&lt;&gt;"",EDATE($D140,Milestones!$AA$71)&gt;=$Z140),$AC140,IF(AND($Y140&lt;&gt;"",EDATE($D140,Milestones!$AA$71)&gt;=$Y140),$AB140,$AA140)))=Milestones!$AB$71),UPPER(TEXT(EDATE($D140,Milestones!$AA$71),"dd mmm yy"))&amp;" "&amp;Milestones!$AB$71&amp;" "&amp;IF(AND(Milestones!$AB$71="FT",Milestones!$AA$71=FT_Y5,EDATE($D140,Milestones!$AA$71)&lt;PolicyEff),1,Milestones!$AC$71)&amp;";  ","")&amp;IF(AND(EDATE($D140,Milestones!$AA$72)&lt;=AsOfDate,EDATE($D140,Milestones!$AA$72)&gt;=SchemeStart,IF($X140=0,$AD140,IF(AND($Z140&lt;&gt;"",EDATE($D140,Milestones!$AA$72)&gt;=$Z140),$AC140,IF(AND($Y140&lt;&gt;"",EDATE($D140,Milestones!$AA$72)&gt;=$Y140),$AB140,$AA140)))=Milestones!$AB$72),UPPER(TEXT(EDATE($D140,Milestones!$AA$72),"dd mmm yy"))&amp;" "&amp;Milestones!$AB$72&amp;" "&amp;IF(AND(Milestones!$AB$72="FT",Milestones!$AA$72=FT_Y5,EDATE($D140,Milestones!$AA$72)&lt;PolicyEff),1,Milestones!$AC$72)&amp;";  ","")&amp;IF(AND(EDATE($D140,Milestones!$AA$73)&lt;=AsOfDate,EDATE($D140,Milestones!$AA$73)&gt;=SchemeStart,IF($X140=0,$AD140,IF(AND($Z140&lt;&gt;"",EDATE($D140,Milestones!$AA$73)&gt;=$Z140),$AC140,IF(AND($Y140&lt;&gt;"",EDATE($D140,Milestones!$AA$73)&gt;=$Y140),$AB140,$AA140)))=Milestones!$AB$73),UPPER(TEXT(EDATE($D140,Milestones!$AA$73),"dd mmm yy"))&amp;" "&amp;Milestones!$AB$73&amp;" "&amp;IF(AND(Milestones!$AB$73="FT",Milestones!$AA$73=FT_Y5,EDATE($D140,Milestones!$AA$73)&lt;PolicyEff),1,Milestones!$AC$73)&amp;";  ","")&amp;IF(AND(EDATE($D140,Milestones!$AA$74)&lt;=AsOfDate,EDATE($D140,Milestones!$AA$74)&gt;=SchemeStart,IF($X140=0,$AD140,IF(AND($Z140&lt;&gt;"",EDATE($D140,Milestones!$AA$74)&gt;=$Z140),$AC140,IF(AND($Y140&lt;&gt;"",EDATE($D140,Milestones!$AA$74)&gt;=$Y140),$AB140,$AA140)))=Milestones!$AB$74),UPPER(TEXT(EDATE($D140,Milestones!$AA$74),"dd mmm yy"))&amp;" "&amp;Milestones!$AB$74&amp;" "&amp;IF(AND(Milestones!$AB$74="FT",Milestones!$AA$74=FT_Y5,EDATE($D140,Milestones!$AA$74)&lt;PolicyEff),1,Milestones!$AC$74)&amp;";  ","")&amp;IF(AND(EDATE($D140,Milestones!$AA$75)&lt;=AsOfDate,EDATE($D140,Milestones!$AA$75)&gt;=SchemeStart,IF($X140=0,$AD140,IF(AND($Z140&lt;&gt;"",EDATE($D140,Milestones!$AA$75)&gt;=$Z140),$AC140,IF(AND($Y140&lt;&gt;"",EDATE($D140,Milestones!$AA$75)&gt;=$Y140),$AB140,$AA140)))=Milestones!$AB$75),UPPER(TEXT(EDATE($D140,Milestones!$AA$75),"dd mmm yy"))&amp;" "&amp;Milestones!$AB$75&amp;" "&amp;IF(AND(Milestones!$AB$75="FT",Milestones!$AA$75=FT_Y5,EDATE($D140,Milestones!$AA$75)&lt;PolicyEff),1,Milestones!$AC$75)&amp;";  ","")&amp;IF(AND(EDATE($D140,Milestones!$AA$76)&lt;=AsOfDate,EDATE($D140,Milestones!$AA$76)&gt;=SchemeStart,IF($X140=0,$AD140,IF(AND($Z140&lt;&gt;"",EDATE($D140,Milestones!$AA$76)&gt;=$Z140),$AC140,IF(AND($Y140&lt;&gt;"",EDATE($D140,Milestones!$AA$76)&gt;=$Y140),$AB140,$AA140)))=Milestones!$AB$76),UPPER(TEXT(EDATE($D140,Milestones!$AA$76),"dd mmm yy"))&amp;" "&amp;Milestones!$AB$76&amp;" "&amp;IF(AND(Milestones!$AB$76="FT",Milestones!$AA$76=FT_Y5,EDATE($D140,Milestones!$AA$76)&lt;PolicyEff),1,Milestones!$AC$76)&amp;";  ","")&amp;IF(AND(EDATE($D140,Milestones!$AA$77)&lt;=AsOfDate,EDATE($D140,Milestones!$AA$77)&gt;=SchemeStart,IF($X140=0,$AD140,IF(AND($Z140&lt;&gt;"",EDATE($D140,Milestones!$AA$77)&gt;=$Z140),$AC140,IF(AND($Y140&lt;&gt;"",EDATE($D140,Milestones!$AA$77)&gt;=$Y140),$AB140,$AA140)))=Milestones!$AB$77),UPPER(TEXT(EDATE($D140,Milestones!$AA$77),"dd mmm yy"))&amp;" "&amp;Milestones!$AB$77&amp;" "&amp;IF(AND(Milestones!$AB$77="FT",Milestones!$AA$77=FT_Y5,EDATE($D140,Milestones!$AA$77)&lt;PolicyEff),1,Milestones!$AC$77)&amp;";  ","")&amp;IF(AND(EDATE($D140,Milestones!$AA$78)&lt;=AsOfDate,EDATE($D140,Milestones!$AA$78)&gt;=SchemeStart,IF($X140=0,$AD140,IF(AND($Z140&lt;&gt;"",EDATE($D140,Milestones!$AA$78)&gt;=$Z140),$AC140,IF(AND($Y140&lt;&gt;"",EDATE($D140,Milestones!$AA$78)&gt;=$Y140),$AB140,$AA140)))=Milestones!$AB$78),UPPER(TEXT(EDATE($D140,Milestones!$AA$78),"dd mmm yy"))&amp;" "&amp;Milestones!$AB$78&amp;" "&amp;IF(AND(Milestones!$AB$78="FT",Milestones!$AA$78=FT_Y5,EDATE($D140,Milestones!$AA$78)&lt;PolicyEff),1,Milestones!$AC$78)&amp;";  ","")&amp;IF(AND(EDATE($D140,Milestones!$AA$79)&lt;=AsOfDate,EDATE($D140,Milestones!$AA$79)&gt;=SchemeStart,IF($X140=0,$AD140,IF(AND($Z140&lt;&gt;"",EDATE($D140,Milestones!$AA$79)&gt;=$Z140),$AC140,IF(AND($Y140&lt;&gt;"",EDATE($D140,Milestones!$AA$79)&gt;=$Y140),$AB140,$AA140)))=Milestones!$AB$79),UPPER(TEXT(EDATE($D140,Milestones!$AA$79),"dd mmm yy"))&amp;" "&amp;Milestones!$AB$79&amp;" "&amp;IF(AND(Milestones!$AB$79="FT",Milestones!$AA$79=FT_Y5,EDATE($D140,Milestones!$AA$79)&lt;PolicyEff),1,Milestones!$AC$79)&amp;";  ",""))</f>
        <v/>
      </c>
      <c r="N140" s="0" t="str">
        <f aca="false">IF(OR($A140="",$D140=""),"",IF(AND(EDATE($D140,Milestones!$AA$80)&lt;=AsOfDate,EDATE($D140,Milestones!$AA$80)&gt;=SchemeStart,IF($X140=0,$AD140,IF(AND($Z140&lt;&gt;"",EDATE($D140,Milestones!$AA$80)&gt;=$Z140),$AC140,IF(AND($Y140&lt;&gt;"",EDATE($D140,Milestones!$AA$80)&gt;=$Y140),$AB140,$AA140)))=Milestones!$AB$80),UPPER(TEXT(EDATE($D140,Milestones!$AA$80),"dd mmm yy"))&amp;" "&amp;Milestones!$AB$80&amp;" "&amp;IF(AND(Milestones!$AB$80="FT",Milestones!$AA$80=FT_Y5,EDATE($D140,Milestones!$AA$80)&lt;PolicyEff),1,Milestones!$AC$80)&amp;";  ","")&amp;IF(AND(EDATE($D140,Milestones!$AA$81)&lt;=AsOfDate,EDATE($D140,Milestones!$AA$81)&gt;=SchemeStart,IF($X140=0,$AD140,IF(AND($Z140&lt;&gt;"",EDATE($D140,Milestones!$AA$81)&gt;=$Z140),$AC140,IF(AND($Y140&lt;&gt;"",EDATE($D140,Milestones!$AA$81)&gt;=$Y140),$AB140,$AA140)))=Milestones!$AB$81),UPPER(TEXT(EDATE($D140,Milestones!$AA$81),"dd mmm yy"))&amp;" "&amp;Milestones!$AB$81&amp;" "&amp;IF(AND(Milestones!$AB$81="FT",Milestones!$AA$81=FT_Y5,EDATE($D140,Milestones!$AA$81)&lt;PolicyEff),1,Milestones!$AC$81)&amp;";  ","")&amp;IF(AND(EDATE($D140,Milestones!$AA$82)&lt;=AsOfDate,EDATE($D140,Milestones!$AA$82)&gt;=SchemeStart,IF($X140=0,$AD140,IF(AND($Z140&lt;&gt;"",EDATE($D140,Milestones!$AA$82)&gt;=$Z140),$AC140,IF(AND($Y140&lt;&gt;"",EDATE($D140,Milestones!$AA$82)&gt;=$Y140),$AB140,$AA140)))=Milestones!$AB$82),UPPER(TEXT(EDATE($D140,Milestones!$AA$82),"dd mmm yy"))&amp;" "&amp;Milestones!$AB$82&amp;" "&amp;IF(AND(Milestones!$AB$82="FT",Milestones!$AA$82=FT_Y5,EDATE($D140,Milestones!$AA$82)&lt;PolicyEff),1,Milestones!$AC$82)&amp;";  ","")&amp;IF(AND(EDATE($D140,Milestones!$AA$83)&lt;=AsOfDate,EDATE($D140,Milestones!$AA$83)&gt;=SchemeStart,IF($X140=0,$AD140,IF(AND($Z140&lt;&gt;"",EDATE($D140,Milestones!$AA$83)&gt;=$Z140),$AC140,IF(AND($Y140&lt;&gt;"",EDATE($D140,Milestones!$AA$83)&gt;=$Y140),$AB140,$AA140)))=Milestones!$AB$83),UPPER(TEXT(EDATE($D140,Milestones!$AA$83),"dd mmm yy"))&amp;" "&amp;Milestones!$AB$83&amp;" "&amp;IF(AND(Milestones!$AB$83="FT",Milestones!$AA$83=FT_Y5,EDATE($D140,Milestones!$AA$83)&lt;PolicyEff),1,Milestones!$AC$83)&amp;";  ","")&amp;IF(AND(EDATE($D140,Milestones!$AA$84)&lt;=AsOfDate,EDATE($D140,Milestones!$AA$84)&gt;=SchemeStart,IF($X140=0,$AD140,IF(AND($Z140&lt;&gt;"",EDATE($D140,Milestones!$AA$84)&gt;=$Z140),$AC140,IF(AND($Y140&lt;&gt;"",EDATE($D140,Milestones!$AA$84)&gt;=$Y140),$AB140,$AA140)))=Milestones!$AB$84),UPPER(TEXT(EDATE($D140,Milestones!$AA$84),"dd mmm yy"))&amp;" "&amp;Milestones!$AB$84&amp;" "&amp;IF(AND(Milestones!$AB$84="FT",Milestones!$AA$84=FT_Y5,EDATE($D140,Milestones!$AA$84)&lt;PolicyEff),1,Milestones!$AC$84)&amp;";  ","")&amp;IF(AND(EDATE($D140,Milestones!$AA$85)&lt;=AsOfDate,EDATE($D140,Milestones!$AA$85)&gt;=SchemeStart,IF($X140=0,$AD140,IF(AND($Z140&lt;&gt;"",EDATE($D140,Milestones!$AA$85)&gt;=$Z140),$AC140,IF(AND($Y140&lt;&gt;"",EDATE($D140,Milestones!$AA$85)&gt;=$Y140),$AB140,$AA140)))=Milestones!$AB$85),UPPER(TEXT(EDATE($D140,Milestones!$AA$85),"dd mmm yy"))&amp;" "&amp;Milestones!$AB$85&amp;" "&amp;IF(AND(Milestones!$AB$85="FT",Milestones!$AA$85=FT_Y5,EDATE($D140,Milestones!$AA$85)&lt;PolicyEff),1,Milestones!$AC$85)&amp;";  ","")&amp;IF(AND(EDATE($D140,Milestones!$AA$86)&lt;=AsOfDate,EDATE($D140,Milestones!$AA$86)&gt;=SchemeStart,IF($X140=0,$AD140,IF(AND($Z140&lt;&gt;"",EDATE($D140,Milestones!$AA$86)&gt;=$Z140),$AC140,IF(AND($Y140&lt;&gt;"",EDATE($D140,Milestones!$AA$86)&gt;=$Y140),$AB140,$AA140)))=Milestones!$AB$86),UPPER(TEXT(EDATE($D140,Milestones!$AA$86),"dd mmm yy"))&amp;" "&amp;Milestones!$AB$86&amp;" "&amp;IF(AND(Milestones!$AB$86="FT",Milestones!$AA$86=FT_Y5,EDATE($D140,Milestones!$AA$86)&lt;PolicyEff),1,Milestones!$AC$86)&amp;";  ","")&amp;IF(AND(EDATE($D140,Milestones!$AA$87)&lt;=AsOfDate,EDATE($D140,Milestones!$AA$87)&gt;=SchemeStart,IF($X140=0,$AD140,IF(AND($Z140&lt;&gt;"",EDATE($D140,Milestones!$AA$87)&gt;=$Z140),$AC140,IF(AND($Y140&lt;&gt;"",EDATE($D140,Milestones!$AA$87)&gt;=$Y140),$AB140,$AA140)))=Milestones!$AB$87),UPPER(TEXT(EDATE($D140,Milestones!$AA$87),"dd mmm yy"))&amp;" "&amp;Milestones!$AB$87&amp;" "&amp;IF(AND(Milestones!$AB$87="FT",Milestones!$AA$87=FT_Y5,EDATE($D140,Milestones!$AA$87)&lt;PolicyEff),1,Milestones!$AC$87)&amp;";  ","")&amp;IF(AND(EDATE($D140,Milestones!$AA$88)&lt;=AsOfDate,EDATE($D140,Milestones!$AA$88)&gt;=SchemeStart,IF($X140=0,$AD140,IF(AND($Z140&lt;&gt;"",EDATE($D140,Milestones!$AA$88)&gt;=$Z140),$AC140,IF(AND($Y140&lt;&gt;"",EDATE($D140,Milestones!$AA$88)&gt;=$Y140),$AB140,$AA140)))=Milestones!$AB$88),UPPER(TEXT(EDATE($D140,Milestones!$AA$88),"dd mmm yy"))&amp;" "&amp;Milestones!$AB$88&amp;" "&amp;IF(AND(Milestones!$AB$88="FT",Milestones!$AA$88=FT_Y5,EDATE($D140,Milestones!$AA$88)&lt;PolicyEff),1,Milestones!$AC$88)&amp;";  ","")&amp;IF(AND(EDATE($D140,Milestones!$AA$89)&lt;=AsOfDate,EDATE($D140,Milestones!$AA$89)&gt;=SchemeStart,IF($X140=0,$AD140,IF(AND($Z140&lt;&gt;"",EDATE($D140,Milestones!$AA$89)&gt;=$Z140),$AC140,IF(AND($Y140&lt;&gt;"",EDATE($D140,Milestones!$AA$89)&gt;=$Y140),$AB140,$AA140)))=Milestones!$AB$89),UPPER(TEXT(EDATE($D140,Milestones!$AA$89),"dd mmm yy"))&amp;" "&amp;Milestones!$AB$89&amp;" "&amp;IF(AND(Milestones!$AB$89="FT",Milestones!$AA$89=FT_Y5,EDATE($D140,Milestones!$AA$89)&lt;PolicyEff),1,Milestones!$AC$89)&amp;";  ","")&amp;IF(AND(EDATE($D140,Milestones!$AA$90)&lt;=AsOfDate,EDATE($D140,Milestones!$AA$90)&gt;=SchemeStart,IF($X140=0,$AD140,IF(AND($Z140&lt;&gt;"",EDATE($D140,Milestones!$AA$90)&gt;=$Z140),$AC140,IF(AND($Y140&lt;&gt;"",EDATE($D140,Milestones!$AA$90)&gt;=$Y140),$AB140,$AA140)))=Milestones!$AB$90),UPPER(TEXT(EDATE($D140,Milestones!$AA$90),"dd mmm yy"))&amp;" "&amp;Milestones!$AB$90&amp;" "&amp;IF(AND(Milestones!$AB$90="FT",Milestones!$AA$90=FT_Y5,EDATE($D140,Milestones!$AA$90)&lt;PolicyEff),1,Milestones!$AC$90)&amp;";  ","")&amp;IF(AND(EDATE($D140,Milestones!$AA$91)&lt;=AsOfDate,EDATE($D140,Milestones!$AA$91)&gt;=SchemeStart,IF($X140=0,$AD140,IF(AND($Z140&lt;&gt;"",EDATE($D140,Milestones!$AA$91)&gt;=$Z140),$AC140,IF(AND($Y140&lt;&gt;"",EDATE($D140,Milestones!$AA$91)&gt;=$Y140),$AB140,$AA140)))=Milestones!$AB$91),UPPER(TEXT(EDATE($D140,Milestones!$AA$91),"dd mmm yy"))&amp;" "&amp;Milestones!$AB$91&amp;" "&amp;IF(AND(Milestones!$AB$91="FT",Milestones!$AA$91=FT_Y5,EDATE($D140,Milestones!$AA$91)&lt;PolicyEff),1,Milestones!$AC$91)&amp;";  ",""))</f>
        <v/>
      </c>
      <c r="O140" s="0" t="str">
        <f aca="false">IF(OR($A140="",$D140=""),"",IF(AND(EDATE($D140,Milestones!$AA$92)&lt;=AsOfDate,EDATE($D140,Milestones!$AA$92)&gt;=SchemeStart,IF($X140=0,$AD140,IF(AND($Z140&lt;&gt;"",EDATE($D140,Milestones!$AA$92)&gt;=$Z140),$AC140,IF(AND($Y140&lt;&gt;"",EDATE($D140,Milestones!$AA$92)&gt;=$Y140),$AB140,$AA140)))=Milestones!$AB$92),UPPER(TEXT(EDATE($D140,Milestones!$AA$92),"dd mmm yy"))&amp;" "&amp;Milestones!$AB$92&amp;" "&amp;IF(AND(Milestones!$AB$92="FT",Milestones!$AA$92=FT_Y5,EDATE($D140,Milestones!$AA$92)&lt;PolicyEff),1,Milestones!$AC$92)&amp;";  ","")&amp;IF(AND(EDATE($D140,Milestones!$AA$93)&lt;=AsOfDate,EDATE($D140,Milestones!$AA$93)&gt;=SchemeStart,IF($X140=0,$AD140,IF(AND($Z140&lt;&gt;"",EDATE($D140,Milestones!$AA$93)&gt;=$Z140),$AC140,IF(AND($Y140&lt;&gt;"",EDATE($D140,Milestones!$AA$93)&gt;=$Y140),$AB140,$AA140)))=Milestones!$AB$93),UPPER(TEXT(EDATE($D140,Milestones!$AA$93),"dd mmm yy"))&amp;" "&amp;Milestones!$AB$93&amp;" "&amp;IF(AND(Milestones!$AB$93="FT",Milestones!$AA$93=FT_Y5,EDATE($D140,Milestones!$AA$93)&lt;PolicyEff),1,Milestones!$AC$93)&amp;";  ","")&amp;IF(AND(EDATE($D140,Milestones!$AA$94)&lt;=AsOfDate,EDATE($D140,Milestones!$AA$94)&gt;=SchemeStart,IF($X140=0,$AD140,IF(AND($Z140&lt;&gt;"",EDATE($D140,Milestones!$AA$94)&gt;=$Z140),$AC140,IF(AND($Y140&lt;&gt;"",EDATE($D140,Milestones!$AA$94)&gt;=$Y140),$AB140,$AA140)))=Milestones!$AB$94),UPPER(TEXT(EDATE($D140,Milestones!$AA$94),"dd mmm yy"))&amp;" "&amp;Milestones!$AB$94&amp;" "&amp;IF(AND(Milestones!$AB$94="FT",Milestones!$AA$94=FT_Y5,EDATE($D140,Milestones!$AA$94)&lt;PolicyEff),1,Milestones!$AC$94)&amp;";  ","")&amp;IF(AND(EDATE($D140,Milestones!$AA$95)&lt;=AsOfDate,EDATE($D140,Milestones!$AA$95)&gt;=SchemeStart,IF($X140=0,$AD140,IF(AND($Z140&lt;&gt;"",EDATE($D140,Milestones!$AA$95)&gt;=$Z140),$AC140,IF(AND($Y140&lt;&gt;"",EDATE($D140,Milestones!$AA$95)&gt;=$Y140),$AB140,$AA140)))=Milestones!$AB$95),UPPER(TEXT(EDATE($D140,Milestones!$AA$95),"dd mmm yy"))&amp;" "&amp;Milestones!$AB$95&amp;" "&amp;IF(AND(Milestones!$AB$95="FT",Milestones!$AA$95=FT_Y5,EDATE($D140,Milestones!$AA$95)&lt;PolicyEff),1,Milestones!$AC$95)&amp;";  ","")&amp;IF(AND(EDATE($D140,Milestones!$AA$96)&lt;=AsOfDate,EDATE($D140,Milestones!$AA$96)&gt;=SchemeStart,IF($X140=0,$AD140,IF(AND($Z140&lt;&gt;"",EDATE($D140,Milestones!$AA$96)&gt;=$Z140),$AC140,IF(AND($Y140&lt;&gt;"",EDATE($D140,Milestones!$AA$96)&gt;=$Y140),$AB140,$AA140)))=Milestones!$AB$96),UPPER(TEXT(EDATE($D140,Milestones!$AA$96),"dd mmm yy"))&amp;" "&amp;Milestones!$AB$96&amp;" "&amp;IF(AND(Milestones!$AB$96="FT",Milestones!$AA$96=FT_Y5,EDATE($D140,Milestones!$AA$96)&lt;PolicyEff),1,Milestones!$AC$96)&amp;";  ","")&amp;IF(AND(EDATE($D140,Milestones!$AA$97)&lt;=AsOfDate,EDATE($D140,Milestones!$AA$97)&gt;=SchemeStart,IF($X140=0,$AD140,IF(AND($Z140&lt;&gt;"",EDATE($D140,Milestones!$AA$97)&gt;=$Z140),$AC140,IF(AND($Y140&lt;&gt;"",EDATE($D140,Milestones!$AA$97)&gt;=$Y140),$AB140,$AA140)))=Milestones!$AB$97),UPPER(TEXT(EDATE($D140,Milestones!$AA$97),"dd mmm yy"))&amp;" "&amp;Milestones!$AB$97&amp;" "&amp;IF(AND(Milestones!$AB$97="FT",Milestones!$AA$97=FT_Y5,EDATE($D140,Milestones!$AA$97)&lt;PolicyEff),1,Milestones!$AC$97)&amp;";  ","")&amp;IF(AND(EDATE($D140,Milestones!$AA$98)&lt;=AsOfDate,EDATE($D140,Milestones!$AA$98)&gt;=SchemeStart,IF($X140=0,$AD140,IF(AND($Z140&lt;&gt;"",EDATE($D140,Milestones!$AA$98)&gt;=$Z140),$AC140,IF(AND($Y140&lt;&gt;"",EDATE($D140,Milestones!$AA$98)&gt;=$Y140),$AB140,$AA140)))=Milestones!$AB$98),UPPER(TEXT(EDATE($D140,Milestones!$AA$98),"dd mmm yy"))&amp;" "&amp;Milestones!$AB$98&amp;" "&amp;IF(AND(Milestones!$AB$98="FT",Milestones!$AA$98=FT_Y5,EDATE($D140,Milestones!$AA$98)&lt;PolicyEff),1,Milestones!$AC$98)&amp;";  ","")&amp;IF(AND(EDATE($D140,Milestones!$AA$99)&lt;=AsOfDate,EDATE($D140,Milestones!$AA$99)&gt;=SchemeStart,IF($X140=0,$AD140,IF(AND($Z140&lt;&gt;"",EDATE($D140,Milestones!$AA$99)&gt;=$Z140),$AC140,IF(AND($Y140&lt;&gt;"",EDATE($D140,Milestones!$AA$99)&gt;=$Y140),$AB140,$AA140)))=Milestones!$AB$99),UPPER(TEXT(EDATE($D140,Milestones!$AA$99),"dd mmm yy"))&amp;" "&amp;Milestones!$AB$99&amp;" "&amp;IF(AND(Milestones!$AB$99="FT",Milestones!$AA$99=FT_Y5,EDATE($D140,Milestones!$AA$99)&lt;PolicyEff),1,Milestones!$AC$99)&amp;";  ","")&amp;IF(AND(EDATE($D140,Milestones!$AA$100)&lt;=AsOfDate,EDATE($D140,Milestones!$AA$100)&gt;=SchemeStart,IF($X140=0,$AD140,IF(AND($Z140&lt;&gt;"",EDATE($D140,Milestones!$AA$100)&gt;=$Z140),$AC140,IF(AND($Y140&lt;&gt;"",EDATE($D140,Milestones!$AA$100)&gt;=$Y140),$AB140,$AA140)))=Milestones!$AB$100),UPPER(TEXT(EDATE($D140,Milestones!$AA$100),"dd mmm yy"))&amp;" "&amp;Milestones!$AB$100&amp;" "&amp;IF(AND(Milestones!$AB$100="FT",Milestones!$AA$100=FT_Y5,EDATE($D140,Milestones!$AA$100)&lt;PolicyEff),1,Milestones!$AC$100)&amp;";  ","")&amp;IF(AND(EDATE($D140,Milestones!$AA$101)&lt;=AsOfDate,EDATE($D140,Milestones!$AA$101)&gt;=SchemeStart,IF($X140=0,$AD140,IF(AND($Z140&lt;&gt;"",EDATE($D140,Milestones!$AA$101)&gt;=$Z140),$AC140,IF(AND($Y140&lt;&gt;"",EDATE($D140,Milestones!$AA$101)&gt;=$Y140),$AB140,$AA140)))=Milestones!$AB$101),UPPER(TEXT(EDATE($D140,Milestones!$AA$101),"dd mmm yy"))&amp;" "&amp;Milestones!$AB$101&amp;" "&amp;IF(AND(Milestones!$AB$101="FT",Milestones!$AA$101=FT_Y5,EDATE($D140,Milestones!$AA$101)&lt;PolicyEff),1,Milestones!$AC$101)&amp;";  ","")&amp;IF(AND(EDATE($D140,Milestones!$AA$102)&lt;=AsOfDate,EDATE($D140,Milestones!$AA$102)&gt;=SchemeStart,IF($X140=0,$AD140,IF(AND($Z140&lt;&gt;"",EDATE($D140,Milestones!$AA$102)&gt;=$Z140),$AC140,IF(AND($Y140&lt;&gt;"",EDATE($D140,Milestones!$AA$102)&gt;=$Y140),$AB140,$AA140)))=Milestones!$AB$102),UPPER(TEXT(EDATE($D140,Milestones!$AA$102),"dd mmm yy"))&amp;" "&amp;Milestones!$AB$102&amp;" "&amp;IF(AND(Milestones!$AB$102="FT",Milestones!$AA$102=FT_Y5,EDATE($D140,Milestones!$AA$102)&lt;PolicyEff),1,Milestones!$AC$102)&amp;";  ","")&amp;IF(AND(EDATE($D140,Milestones!$AA$103)&lt;=AsOfDate,EDATE($D140,Milestones!$AA$103)&gt;=SchemeStart,IF($X140=0,$AD140,IF(AND($Z140&lt;&gt;"",EDATE($D140,Milestones!$AA$103)&gt;=$Z140),$AC140,IF(AND($Y140&lt;&gt;"",EDATE($D140,Milestones!$AA$103)&gt;=$Y140),$AB140,$AA140)))=Milestones!$AB$103),UPPER(TEXT(EDATE($D140,Milestones!$AA$103),"dd mmm yy"))&amp;" "&amp;Milestones!$AB$103&amp;" "&amp;IF(AND(Milestones!$AB$103="FT",Milestones!$AA$103=FT_Y5,EDATE($D140,Milestones!$AA$103)&lt;PolicyEff),1,Milestones!$AC$103)&amp;";  ",""))</f>
        <v/>
      </c>
      <c r="P140" s="0" t="str">
        <f aca="false">IF(OR($A140="",$D140=""),"",IF(AND(EDATE($D140,Milestones!$AA$104)&lt;=AsOfDate,EDATE($D140,Milestones!$AA$104)&gt;=SchemeStart,IF($X140=0,$AD140,IF(AND($Z140&lt;&gt;"",EDATE($D140,Milestones!$AA$104)&gt;=$Z140),$AC140,IF(AND($Y140&lt;&gt;"",EDATE($D140,Milestones!$AA$104)&gt;=$Y140),$AB140,$AA140)))=Milestones!$AB$104),UPPER(TEXT(EDATE($D140,Milestones!$AA$104),"dd mmm yy"))&amp;" "&amp;Milestones!$AB$104&amp;" "&amp;IF(AND(Milestones!$AB$104="FT",Milestones!$AA$104=FT_Y5,EDATE($D140,Milestones!$AA$104)&lt;PolicyEff),1,Milestones!$AC$104)&amp;";  ","")&amp;IF(AND(EDATE($D140,Milestones!$AA$105)&lt;=AsOfDate,EDATE($D140,Milestones!$AA$105)&gt;=SchemeStart,IF($X140=0,$AD140,IF(AND($Z140&lt;&gt;"",EDATE($D140,Milestones!$AA$105)&gt;=$Z140),$AC140,IF(AND($Y140&lt;&gt;"",EDATE($D140,Milestones!$AA$105)&gt;=$Y140),$AB140,$AA140)))=Milestones!$AB$105),UPPER(TEXT(EDATE($D140,Milestones!$AA$105),"dd mmm yy"))&amp;" "&amp;Milestones!$AB$105&amp;" "&amp;IF(AND(Milestones!$AB$105="FT",Milestones!$AA$105=FT_Y5,EDATE($D140,Milestones!$AA$105)&lt;PolicyEff),1,Milestones!$AC$105)&amp;";  ","")&amp;IF(AND(EDATE($D140,Milestones!$AA$106)&lt;=AsOfDate,EDATE($D140,Milestones!$AA$106)&gt;=SchemeStart,IF($X140=0,$AD140,IF(AND($Z140&lt;&gt;"",EDATE($D140,Milestones!$AA$106)&gt;=$Z140),$AC140,IF(AND($Y140&lt;&gt;"",EDATE($D140,Milestones!$AA$106)&gt;=$Y140),$AB140,$AA140)))=Milestones!$AB$106),UPPER(TEXT(EDATE($D140,Milestones!$AA$106),"dd mmm yy"))&amp;" "&amp;Milestones!$AB$106&amp;" "&amp;IF(AND(Milestones!$AB$106="FT",Milestones!$AA$106=FT_Y5,EDATE($D140,Milestones!$AA$106)&lt;PolicyEff),1,Milestones!$AC$106)&amp;";  ","")&amp;IF(AND(EDATE($D140,Milestones!$AA$107)&lt;=AsOfDate,EDATE($D140,Milestones!$AA$107)&gt;=SchemeStart,IF($X140=0,$AD140,IF(AND($Z140&lt;&gt;"",EDATE($D140,Milestones!$AA$107)&gt;=$Z140),$AC140,IF(AND($Y140&lt;&gt;"",EDATE($D140,Milestones!$AA$107)&gt;=$Y140),$AB140,$AA140)))=Milestones!$AB$107),UPPER(TEXT(EDATE($D140,Milestones!$AA$107),"dd mmm yy"))&amp;" "&amp;Milestones!$AB$107&amp;" "&amp;IF(AND(Milestones!$AB$107="FT",Milestones!$AA$107=FT_Y5,EDATE($D140,Milestones!$AA$107)&lt;PolicyEff),1,Milestones!$AC$107)&amp;";  ","")&amp;IF(AND(EDATE($D140,Milestones!$AA$108)&lt;=AsOfDate,EDATE($D140,Milestones!$AA$108)&gt;=SchemeStart,IF($X140=0,$AD140,IF(AND($Z140&lt;&gt;"",EDATE($D140,Milestones!$AA$108)&gt;=$Z140),$AC140,IF(AND($Y140&lt;&gt;"",EDATE($D140,Milestones!$AA$108)&gt;=$Y140),$AB140,$AA140)))=Milestones!$AB$108),UPPER(TEXT(EDATE($D140,Milestones!$AA$108),"dd mmm yy"))&amp;" "&amp;Milestones!$AB$108&amp;" "&amp;IF(AND(Milestones!$AB$108="FT",Milestones!$AA$108=FT_Y5,EDATE($D140,Milestones!$AA$108)&lt;PolicyEff),1,Milestones!$AC$108)&amp;";  ","")&amp;IF(AND(EDATE($D140,Milestones!$AA$109)&lt;=AsOfDate,EDATE($D140,Milestones!$AA$109)&gt;=SchemeStart,IF($X140=0,$AD140,IF(AND($Z140&lt;&gt;"",EDATE($D140,Milestones!$AA$109)&gt;=$Z140),$AC140,IF(AND($Y140&lt;&gt;"",EDATE($D140,Milestones!$AA$109)&gt;=$Y140),$AB140,$AA140)))=Milestones!$AB$109),UPPER(TEXT(EDATE($D140,Milestones!$AA$109),"dd mmm yy"))&amp;" "&amp;Milestones!$AB$109&amp;" "&amp;IF(AND(Milestones!$AB$109="FT",Milestones!$AA$109=FT_Y5,EDATE($D140,Milestones!$AA$109)&lt;PolicyEff),1,Milestones!$AC$109)&amp;";  ","")&amp;IF(AND(EDATE($D140,Milestones!$AA$110)&lt;=AsOfDate,EDATE($D140,Milestones!$AA$110)&gt;=SchemeStart,IF($X140=0,$AD140,IF(AND($Z140&lt;&gt;"",EDATE($D140,Milestones!$AA$110)&gt;=$Z140),$AC140,IF(AND($Y140&lt;&gt;"",EDATE($D140,Milestones!$AA$110)&gt;=$Y140),$AB140,$AA140)))=Milestones!$AB$110),UPPER(TEXT(EDATE($D140,Milestones!$AA$110),"dd mmm yy"))&amp;" "&amp;Milestones!$AB$110&amp;" "&amp;IF(AND(Milestones!$AB$110="FT",Milestones!$AA$110=FT_Y5,EDATE($D140,Milestones!$AA$110)&lt;PolicyEff),1,Milestones!$AC$110)&amp;";  ","")&amp;IF(AND(EDATE($D140,Milestones!$AA$111)&lt;=AsOfDate,EDATE($D140,Milestones!$AA$111)&gt;=SchemeStart,IF($X140=0,$AD140,IF(AND($Z140&lt;&gt;"",EDATE($D140,Milestones!$AA$111)&gt;=$Z140),$AC140,IF(AND($Y140&lt;&gt;"",EDATE($D140,Milestones!$AA$111)&gt;=$Y140),$AB140,$AA140)))=Milestones!$AB$111),UPPER(TEXT(EDATE($D140,Milestones!$AA$111),"dd mmm yy"))&amp;" "&amp;Milestones!$AB$111&amp;" "&amp;IF(AND(Milestones!$AB$111="FT",Milestones!$AA$111=FT_Y5,EDATE($D140,Milestones!$AA$111)&lt;PolicyEff),1,Milestones!$AC$111)&amp;";  ","")&amp;IF(AND(EDATE($D140,Milestones!$AA$112)&lt;=AsOfDate,EDATE($D140,Milestones!$AA$112)&gt;=SchemeStart,IF($X140=0,$AD140,IF(AND($Z140&lt;&gt;"",EDATE($D140,Milestones!$AA$112)&gt;=$Z140),$AC140,IF(AND($Y140&lt;&gt;"",EDATE($D140,Milestones!$AA$112)&gt;=$Y140),$AB140,$AA140)))=Milestones!$AB$112),UPPER(TEXT(EDATE($D140,Milestones!$AA$112),"dd mmm yy"))&amp;" "&amp;Milestones!$AB$112&amp;" "&amp;IF(AND(Milestones!$AB$112="FT",Milestones!$AA$112=FT_Y5,EDATE($D140,Milestones!$AA$112)&lt;PolicyEff),1,Milestones!$AC$112)&amp;";  ","")&amp;IF(AND(EDATE($D140,Milestones!$AA$113)&lt;=AsOfDate,EDATE($D140,Milestones!$AA$113)&gt;=SchemeStart,IF($X140=0,$AD140,IF(AND($Z140&lt;&gt;"",EDATE($D140,Milestones!$AA$113)&gt;=$Z140),$AC140,IF(AND($Y140&lt;&gt;"",EDATE($D140,Milestones!$AA$113)&gt;=$Y140),$AB140,$AA140)))=Milestones!$AB$113),UPPER(TEXT(EDATE($D140,Milestones!$AA$113),"dd mmm yy"))&amp;" "&amp;Milestones!$AB$113&amp;" "&amp;IF(AND(Milestones!$AB$113="FT",Milestones!$AA$113=FT_Y5,EDATE($D140,Milestones!$AA$113)&lt;PolicyEff),1,Milestones!$AC$113)&amp;";  ","")&amp;IF(AND(EDATE($D140,Milestones!$AA$114)&lt;=AsOfDate,EDATE($D140,Milestones!$AA$114)&gt;=SchemeStart,IF($X140=0,$AD140,IF(AND($Z140&lt;&gt;"",EDATE($D140,Milestones!$AA$114)&gt;=$Z140),$AC140,IF(AND($Y140&lt;&gt;"",EDATE($D140,Milestones!$AA$114)&gt;=$Y140),$AB140,$AA140)))=Milestones!$AB$114),UPPER(TEXT(EDATE($D140,Milestones!$AA$114),"dd mmm yy"))&amp;" "&amp;Milestones!$AB$114&amp;" "&amp;IF(AND(Milestones!$AB$114="FT",Milestones!$AA$114=FT_Y5,EDATE($D140,Milestones!$AA$114)&lt;PolicyEff),1,Milestones!$AC$114)&amp;";  ","")&amp;IF(AND(EDATE($D140,Milestones!$AA$115)&lt;=AsOfDate,EDATE($D140,Milestones!$AA$115)&gt;=SchemeStart,IF($X140=0,$AD140,IF(AND($Z140&lt;&gt;"",EDATE($D140,Milestones!$AA$115)&gt;=$Z140),$AC140,IF(AND($Y140&lt;&gt;"",EDATE($D140,Milestones!$AA$115)&gt;=$Y140),$AB140,$AA140)))=Milestones!$AB$115),UPPER(TEXT(EDATE($D140,Milestones!$AA$115),"dd mmm yy"))&amp;" "&amp;Milestones!$AB$115&amp;" "&amp;IF(AND(Milestones!$AB$115="FT",Milestones!$AA$115=FT_Y5,EDATE($D140,Milestones!$AA$115)&lt;PolicyEff),1,Milestones!$AC$115)&amp;";  ",""))</f>
        <v/>
      </c>
      <c r="Q140" s="0" t="str">
        <f aca="false">IF(OR($A140="",$D140=""),"",IF(AND(EDATE($D140,Milestones!$AA$116)&lt;=AsOfDate,EDATE($D140,Milestones!$AA$116)&gt;=SchemeStart,IF($X140=0,$AD140,IF(AND($Z140&lt;&gt;"",EDATE($D140,Milestones!$AA$116)&gt;=$Z140),$AC140,IF(AND($Y140&lt;&gt;"",EDATE($D140,Milestones!$AA$116)&gt;=$Y140),$AB140,$AA140)))=Milestones!$AB$116),UPPER(TEXT(EDATE($D140,Milestones!$AA$116),"dd mmm yy"))&amp;" "&amp;Milestones!$AB$116&amp;" "&amp;IF(AND(Milestones!$AB$116="FT",Milestones!$AA$116=FT_Y5,EDATE($D140,Milestones!$AA$116)&lt;PolicyEff),1,Milestones!$AC$116)&amp;";  ","")&amp;IF(AND(EDATE($D140,Milestones!$AA$117)&lt;=AsOfDate,EDATE($D140,Milestones!$AA$117)&gt;=SchemeStart,IF($X140=0,$AD140,IF(AND($Z140&lt;&gt;"",EDATE($D140,Milestones!$AA$117)&gt;=$Z140),$AC140,IF(AND($Y140&lt;&gt;"",EDATE($D140,Milestones!$AA$117)&gt;=$Y140),$AB140,$AA140)))=Milestones!$AB$117),UPPER(TEXT(EDATE($D140,Milestones!$AA$117),"dd mmm yy"))&amp;" "&amp;Milestones!$AB$117&amp;" "&amp;IF(AND(Milestones!$AB$117="FT",Milestones!$AA$117=FT_Y5,EDATE($D140,Milestones!$AA$117)&lt;PolicyEff),1,Milestones!$AC$117)&amp;";  ","")&amp;IF(AND(EDATE($D140,Milestones!$AA$118)&lt;=AsOfDate,EDATE($D140,Milestones!$AA$118)&gt;=SchemeStart,IF($X140=0,$AD140,IF(AND($Z140&lt;&gt;"",EDATE($D140,Milestones!$AA$118)&gt;=$Z140),$AC140,IF(AND($Y140&lt;&gt;"",EDATE($D140,Milestones!$AA$118)&gt;=$Y140),$AB140,$AA140)))=Milestones!$AB$118),UPPER(TEXT(EDATE($D140,Milestones!$AA$118),"dd mmm yy"))&amp;" "&amp;Milestones!$AB$118&amp;" "&amp;IF(AND(Milestones!$AB$118="FT",Milestones!$AA$118=FT_Y5,EDATE($D140,Milestones!$AA$118)&lt;PolicyEff),1,Milestones!$AC$118)&amp;";  ","")&amp;IF(AND(EDATE($D140,Milestones!$AA$119)&lt;=AsOfDate,EDATE($D140,Milestones!$AA$119)&gt;=SchemeStart,IF($X140=0,$AD140,IF(AND($Z140&lt;&gt;"",EDATE($D140,Milestones!$AA$119)&gt;=$Z140),$AC140,IF(AND($Y140&lt;&gt;"",EDATE($D140,Milestones!$AA$119)&gt;=$Y140),$AB140,$AA140)))=Milestones!$AB$119),UPPER(TEXT(EDATE($D140,Milestones!$AA$119),"dd mmm yy"))&amp;" "&amp;Milestones!$AB$119&amp;" "&amp;IF(AND(Milestones!$AB$119="FT",Milestones!$AA$119=FT_Y5,EDATE($D140,Milestones!$AA$119)&lt;PolicyEff),1,Milestones!$AC$119)&amp;";  ","")&amp;IF(AND(EDATE($D140,Milestones!$AA$120)&lt;=AsOfDate,EDATE($D140,Milestones!$AA$120)&gt;=SchemeStart,IF($X140=0,$AD140,IF(AND($Z140&lt;&gt;"",EDATE($D140,Milestones!$AA$120)&gt;=$Z140),$AC140,IF(AND($Y140&lt;&gt;"",EDATE($D140,Milestones!$AA$120)&gt;=$Y140),$AB140,$AA140)))=Milestones!$AB$120),UPPER(TEXT(EDATE($D140,Milestones!$AA$120),"dd mmm yy"))&amp;" "&amp;Milestones!$AB$120&amp;" "&amp;IF(AND(Milestones!$AB$120="FT",Milestones!$AA$120=FT_Y5,EDATE($D140,Milestones!$AA$120)&lt;PolicyEff),1,Milestones!$AC$120)&amp;";  ","")&amp;IF(AND(EDATE($D140,Milestones!$AA$121)&lt;=AsOfDate,EDATE($D140,Milestones!$AA$121)&gt;=SchemeStart,IF($X140=0,$AD140,IF(AND($Z140&lt;&gt;"",EDATE($D140,Milestones!$AA$121)&gt;=$Z140),$AC140,IF(AND($Y140&lt;&gt;"",EDATE($D140,Milestones!$AA$121)&gt;=$Y140),$AB140,$AA140)))=Milestones!$AB$121),UPPER(TEXT(EDATE($D140,Milestones!$AA$121),"dd mmm yy"))&amp;" "&amp;Milestones!$AB$121&amp;" "&amp;IF(AND(Milestones!$AB$121="FT",Milestones!$AA$121=FT_Y5,EDATE($D140,Milestones!$AA$121)&lt;PolicyEff),1,Milestones!$AC$121)&amp;";  ","")&amp;IF(AND(EDATE($D140,Milestones!$AA$122)&lt;=AsOfDate,EDATE($D140,Milestones!$AA$122)&gt;=SchemeStart,IF($X140=0,$AD140,IF(AND($Z140&lt;&gt;"",EDATE($D140,Milestones!$AA$122)&gt;=$Z140),$AC140,IF(AND($Y140&lt;&gt;"",EDATE($D140,Milestones!$AA$122)&gt;=$Y140),$AB140,$AA140)))=Milestones!$AB$122),UPPER(TEXT(EDATE($D140,Milestones!$AA$122),"dd mmm yy"))&amp;" "&amp;Milestones!$AB$122&amp;" "&amp;IF(AND(Milestones!$AB$122="FT",Milestones!$AA$122=FT_Y5,EDATE($D140,Milestones!$AA$122)&lt;PolicyEff),1,Milestones!$AC$122)&amp;";  ","")&amp;IF(AND(EDATE($D140,Milestones!$AA$123)&lt;=AsOfDate,EDATE($D140,Milestones!$AA$123)&gt;=SchemeStart,IF($X140=0,$AD140,IF(AND($Z140&lt;&gt;"",EDATE($D140,Milestones!$AA$123)&gt;=$Z140),$AC140,IF(AND($Y140&lt;&gt;"",EDATE($D140,Milestones!$AA$123)&gt;=$Y140),$AB140,$AA140)))=Milestones!$AB$123),UPPER(TEXT(EDATE($D140,Milestones!$AA$123),"dd mmm yy"))&amp;" "&amp;Milestones!$AB$123&amp;" "&amp;IF(AND(Milestones!$AB$123="FT",Milestones!$AA$123=FT_Y5,EDATE($D140,Milestones!$AA$123)&lt;PolicyEff),1,Milestones!$AC$123)&amp;";  ","")&amp;IF(AND(EDATE($D140,Milestones!$AA$124)&lt;=AsOfDate,EDATE($D140,Milestones!$AA$124)&gt;=SchemeStart,IF($X140=0,$AD140,IF(AND($Z140&lt;&gt;"",EDATE($D140,Milestones!$AA$124)&gt;=$Z140),$AC140,IF(AND($Y140&lt;&gt;"",EDATE($D140,Milestones!$AA$124)&gt;=$Y140),$AB140,$AA140)))=Milestones!$AB$124),UPPER(TEXT(EDATE($D140,Milestones!$AA$124),"dd mmm yy"))&amp;" "&amp;Milestones!$AB$124&amp;" "&amp;IF(AND(Milestones!$AB$124="FT",Milestones!$AA$124=FT_Y5,EDATE($D140,Milestones!$AA$124)&lt;PolicyEff),1,Milestones!$AC$124)&amp;";  ","")&amp;IF(AND(EDATE($D140,Milestones!$AA$125)&lt;=AsOfDate,EDATE($D140,Milestones!$AA$125)&gt;=SchemeStart,IF($X140=0,$AD140,IF(AND($Z140&lt;&gt;"",EDATE($D140,Milestones!$AA$125)&gt;=$Z140),$AC140,IF(AND($Y140&lt;&gt;"",EDATE($D140,Milestones!$AA$125)&gt;=$Y140),$AB140,$AA140)))=Milestones!$AB$125),UPPER(TEXT(EDATE($D140,Milestones!$AA$125),"dd mmm yy"))&amp;" "&amp;Milestones!$AB$125&amp;" "&amp;IF(AND(Milestones!$AB$125="FT",Milestones!$AA$125=FT_Y5,EDATE($D140,Milestones!$AA$125)&lt;PolicyEff),1,Milestones!$AC$125)&amp;";  ","")&amp;IF(AND(EDATE($D140,Milestones!$AA$126)&lt;=AsOfDate,EDATE($D140,Milestones!$AA$126)&gt;=SchemeStart,IF($X140=0,$AD140,IF(AND($Z140&lt;&gt;"",EDATE($D140,Milestones!$AA$126)&gt;=$Z140),$AC140,IF(AND($Y140&lt;&gt;"",EDATE($D140,Milestones!$AA$126)&gt;=$Y140),$AB140,$AA140)))=Milestones!$AB$126),UPPER(TEXT(EDATE($D140,Milestones!$AA$126),"dd mmm yy"))&amp;" "&amp;Milestones!$AB$126&amp;" "&amp;IF(AND(Milestones!$AB$126="FT",Milestones!$AA$126=FT_Y5,EDATE($D140,Milestones!$AA$126)&lt;PolicyEff),1,Milestones!$AC$126)&amp;";  ","")&amp;IF(AND(EDATE($D140,Milestones!$AA$127)&lt;=AsOfDate,EDATE($D140,Milestones!$AA$127)&gt;=SchemeStart,IF($X140=0,$AD140,IF(AND($Z140&lt;&gt;"",EDATE($D140,Milestones!$AA$127)&gt;=$Z140),$AC140,IF(AND($Y140&lt;&gt;"",EDATE($D140,Milestones!$AA$127)&gt;=$Y140),$AB140,$AA140)))=Milestones!$AB$127),UPPER(TEXT(EDATE($D140,Milestones!$AA$127),"dd mmm yy"))&amp;" "&amp;Milestones!$AB$127&amp;" "&amp;IF(AND(Milestones!$AB$127="FT",Milestones!$AA$127=FT_Y5,EDATE($D140,Milestones!$AA$127)&lt;PolicyEff),1,Milestones!$AC$127)&amp;";  ",""))</f>
        <v/>
      </c>
      <c r="R140" s="0" t="str">
        <f aca="false">IF(OR($A140="",$D140=""),"",IF(AND(EDATE($D140,Milestones!$AA$128)&lt;=AsOfDate,EDATE($D140,Milestones!$AA$128)&gt;=SchemeStart,IF($X140=0,$AD140,IF(AND($Z140&lt;&gt;"",EDATE($D140,Milestones!$AA$128)&gt;=$Z140),$AC140,IF(AND($Y140&lt;&gt;"",EDATE($D140,Milestones!$AA$128)&gt;=$Y140),$AB140,$AA140)))=Milestones!$AB$128),UPPER(TEXT(EDATE($D140,Milestones!$AA$128),"dd mmm yy"))&amp;" "&amp;Milestones!$AB$128&amp;" "&amp;IF(AND(Milestones!$AB$128="FT",Milestones!$AA$128=FT_Y5,EDATE($D140,Milestones!$AA$128)&lt;PolicyEff),1,Milestones!$AC$128)&amp;";  ","")&amp;IF(AND(EDATE($D140,Milestones!$AA$129)&lt;=AsOfDate,EDATE($D140,Milestones!$AA$129)&gt;=SchemeStart,IF($X140=0,$AD140,IF(AND($Z140&lt;&gt;"",EDATE($D140,Milestones!$AA$129)&gt;=$Z140),$AC140,IF(AND($Y140&lt;&gt;"",EDATE($D140,Milestones!$AA$129)&gt;=$Y140),$AB140,$AA140)))=Milestones!$AB$129),UPPER(TEXT(EDATE($D140,Milestones!$AA$129),"dd mmm yy"))&amp;" "&amp;Milestones!$AB$129&amp;" "&amp;IF(AND(Milestones!$AB$129="FT",Milestones!$AA$129=FT_Y5,EDATE($D140,Milestones!$AA$129)&lt;PolicyEff),1,Milestones!$AC$129)&amp;";  ","")&amp;IF(AND(EDATE($D140,Milestones!$AA$130)&lt;=AsOfDate,EDATE($D140,Milestones!$AA$130)&gt;=SchemeStart,IF($X140=0,$AD140,IF(AND($Z140&lt;&gt;"",EDATE($D140,Milestones!$AA$130)&gt;=$Z140),$AC140,IF(AND($Y140&lt;&gt;"",EDATE($D140,Milestones!$AA$130)&gt;=$Y140),$AB140,$AA140)))=Milestones!$AB$130),UPPER(TEXT(EDATE($D140,Milestones!$AA$130),"dd mmm yy"))&amp;" "&amp;Milestones!$AB$130&amp;" "&amp;IF(AND(Milestones!$AB$130="FT",Milestones!$AA$130=FT_Y5,EDATE($D140,Milestones!$AA$130)&lt;PolicyEff),1,Milestones!$AC$130)&amp;";  ","")&amp;IF(AND(EDATE($D140,Milestones!$AA$131)&lt;=AsOfDate,EDATE($D140,Milestones!$AA$131)&gt;=SchemeStart,IF($X140=0,$AD140,IF(AND($Z140&lt;&gt;"",EDATE($D140,Milestones!$AA$131)&gt;=$Z140),$AC140,IF(AND($Y140&lt;&gt;"",EDATE($D140,Milestones!$AA$131)&gt;=$Y140),$AB140,$AA140)))=Milestones!$AB$131),UPPER(TEXT(EDATE($D140,Milestones!$AA$131),"dd mmm yy"))&amp;" "&amp;Milestones!$AB$131&amp;" "&amp;IF(AND(Milestones!$AB$131="FT",Milestones!$AA$131=FT_Y5,EDATE($D140,Milestones!$AA$131)&lt;PolicyEff),1,Milestones!$AC$131)&amp;";  ","")&amp;IF(AND(EDATE($D140,Milestones!$AA$132)&lt;=AsOfDate,EDATE($D140,Milestones!$AA$132)&gt;=SchemeStart,IF($X140=0,$AD140,IF(AND($Z140&lt;&gt;"",EDATE($D140,Milestones!$AA$132)&gt;=$Z140),$AC140,IF(AND($Y140&lt;&gt;"",EDATE($D140,Milestones!$AA$132)&gt;=$Y140),$AB140,$AA140)))=Milestones!$AB$132),UPPER(TEXT(EDATE($D140,Milestones!$AA$132),"dd mmm yy"))&amp;" "&amp;Milestones!$AB$132&amp;" "&amp;IF(AND(Milestones!$AB$132="FT",Milestones!$AA$132=FT_Y5,EDATE($D140,Milestones!$AA$132)&lt;PolicyEff),1,Milestones!$AC$132)&amp;";  ","")&amp;IF(AND(EDATE($D140,Milestones!$AA$133)&lt;=AsOfDate,EDATE($D140,Milestones!$AA$133)&gt;=SchemeStart,IF($X140=0,$AD140,IF(AND($Z140&lt;&gt;"",EDATE($D140,Milestones!$AA$133)&gt;=$Z140),$AC140,IF(AND($Y140&lt;&gt;"",EDATE($D140,Milestones!$AA$133)&gt;=$Y140),$AB140,$AA140)))=Milestones!$AB$133),UPPER(TEXT(EDATE($D140,Milestones!$AA$133),"dd mmm yy"))&amp;" "&amp;Milestones!$AB$133&amp;" "&amp;IF(AND(Milestones!$AB$133="FT",Milestones!$AA$133=FT_Y5,EDATE($D140,Milestones!$AA$133)&lt;PolicyEff),1,Milestones!$AC$133)&amp;";  ","")&amp;IF(AND(EDATE($D140,Milestones!$AA$134)&lt;=AsOfDate,EDATE($D140,Milestones!$AA$134)&gt;=SchemeStart,IF($X140=0,$AD140,IF(AND($Z140&lt;&gt;"",EDATE($D140,Milestones!$AA$134)&gt;=$Z140),$AC140,IF(AND($Y140&lt;&gt;"",EDATE($D140,Milestones!$AA$134)&gt;=$Y140),$AB140,$AA140)))=Milestones!$AB$134),UPPER(TEXT(EDATE($D140,Milestones!$AA$134),"dd mmm yy"))&amp;" "&amp;Milestones!$AB$134&amp;" "&amp;IF(AND(Milestones!$AB$134="FT",Milestones!$AA$134=FT_Y5,EDATE($D140,Milestones!$AA$134)&lt;PolicyEff),1,Milestones!$AC$134)&amp;";  ","")&amp;IF(AND(EDATE($D140,Milestones!$AA$135)&lt;=AsOfDate,EDATE($D140,Milestones!$AA$135)&gt;=SchemeStart,IF($X140=0,$AD140,IF(AND($Z140&lt;&gt;"",EDATE($D140,Milestones!$AA$135)&gt;=$Z140),$AC140,IF(AND($Y140&lt;&gt;"",EDATE($D140,Milestones!$AA$135)&gt;=$Y140),$AB140,$AA140)))=Milestones!$AB$135),UPPER(TEXT(EDATE($D140,Milestones!$AA$135),"dd mmm yy"))&amp;" "&amp;Milestones!$AB$135&amp;" "&amp;IF(AND(Milestones!$AB$135="FT",Milestones!$AA$135=FT_Y5,EDATE($D140,Milestones!$AA$135)&lt;PolicyEff),1,Milestones!$AC$135)&amp;";  ","")&amp;IF(AND(EDATE($D140,Milestones!$AA$136)&lt;=AsOfDate,EDATE($D140,Milestones!$AA$136)&gt;=SchemeStart,IF($X140=0,$AD140,IF(AND($Z140&lt;&gt;"",EDATE($D140,Milestones!$AA$136)&gt;=$Z140),$AC140,IF(AND($Y140&lt;&gt;"",EDATE($D140,Milestones!$AA$136)&gt;=$Y140),$AB140,$AA140)))=Milestones!$AB$136),UPPER(TEXT(EDATE($D140,Milestones!$AA$136),"dd mmm yy"))&amp;" "&amp;Milestones!$AB$136&amp;" "&amp;IF(AND(Milestones!$AB$136="FT",Milestones!$AA$136=FT_Y5,EDATE($D140,Milestones!$AA$136)&lt;PolicyEff),1,Milestones!$AC$136)&amp;";  ","")&amp;IF(AND(EDATE($D140,Milestones!$AA$137)&lt;=AsOfDate,EDATE($D140,Milestones!$AA$137)&gt;=SchemeStart,IF($X140=0,$AD140,IF(AND($Z140&lt;&gt;"",EDATE($D140,Milestones!$AA$137)&gt;=$Z140),$AC140,IF(AND($Y140&lt;&gt;"",EDATE($D140,Milestones!$AA$137)&gt;=$Y140),$AB140,$AA140)))=Milestones!$AB$137),UPPER(TEXT(EDATE($D140,Milestones!$AA$137),"dd mmm yy"))&amp;" "&amp;Milestones!$AB$137&amp;" "&amp;IF(AND(Milestones!$AB$137="FT",Milestones!$AA$137=FT_Y5,EDATE($D140,Milestones!$AA$137)&lt;PolicyEff),1,Milestones!$AC$137)&amp;";  ","")&amp;IF(AND(EDATE($D140,Milestones!$AA$138)&lt;=AsOfDate,EDATE($D140,Milestones!$AA$138)&gt;=SchemeStart,IF($X140=0,$AD140,IF(AND($Z140&lt;&gt;"",EDATE($D140,Milestones!$AA$138)&gt;=$Z140),$AC140,IF(AND($Y140&lt;&gt;"",EDATE($D140,Milestones!$AA$138)&gt;=$Y140),$AB140,$AA140)))=Milestones!$AB$138),UPPER(TEXT(EDATE($D140,Milestones!$AA$138),"dd mmm yy"))&amp;" "&amp;Milestones!$AB$138&amp;" "&amp;IF(AND(Milestones!$AB$138="FT",Milestones!$AA$138=FT_Y5,EDATE($D140,Milestones!$AA$138)&lt;PolicyEff),1,Milestones!$AC$138)&amp;";  ","")&amp;IF(AND(EDATE($D140,Milestones!$AA$139)&lt;=AsOfDate,EDATE($D140,Milestones!$AA$139)&gt;=SchemeStart,IF($X140=0,$AD140,IF(AND($Z140&lt;&gt;"",EDATE($D140,Milestones!$AA$139)&gt;=$Z140),$AC140,IF(AND($Y140&lt;&gt;"",EDATE($D140,Milestones!$AA$139)&gt;=$Y140),$AB140,$AA140)))=Milestones!$AB$139),UPPER(TEXT(EDATE($D140,Milestones!$AA$139),"dd mmm yy"))&amp;" "&amp;Milestones!$AB$139&amp;" "&amp;IF(AND(Milestones!$AB$139="FT",Milestones!$AA$139=FT_Y5,EDATE($D140,Milestones!$AA$139)&lt;PolicyEff),1,Milestones!$AC$139)&amp;";  ",""))</f>
        <v/>
      </c>
      <c r="S140" s="0" t="str">
        <f aca="false">IF(OR($A140="",$D140=""),"",IF(AND(EDATE($D140,Milestones!$AA$140)&lt;=AsOfDate,EDATE($D140,Milestones!$AA$140)&gt;=SchemeStart,IF($X140=0,$AD140,IF(AND($Z140&lt;&gt;"",EDATE($D140,Milestones!$AA$140)&gt;=$Z140),$AC140,IF(AND($Y140&lt;&gt;"",EDATE($D140,Milestones!$AA$140)&gt;=$Y140),$AB140,$AA140)))=Milestones!$AB$140),UPPER(TEXT(EDATE($D140,Milestones!$AA$140),"dd mmm yy"))&amp;" "&amp;Milestones!$AB$140&amp;" "&amp;IF(AND(Milestones!$AB$140="FT",Milestones!$AA$140=FT_Y5,EDATE($D140,Milestones!$AA$140)&lt;PolicyEff),1,Milestones!$AC$140)&amp;";  ","")&amp;IF(AND(EDATE($D140,Milestones!$AA$141)&lt;=AsOfDate,EDATE($D140,Milestones!$AA$141)&gt;=SchemeStart,IF($X140=0,$AD140,IF(AND($Z140&lt;&gt;"",EDATE($D140,Milestones!$AA$141)&gt;=$Z140),$AC140,IF(AND($Y140&lt;&gt;"",EDATE($D140,Milestones!$AA$141)&gt;=$Y140),$AB140,$AA140)))=Milestones!$AB$141),UPPER(TEXT(EDATE($D140,Milestones!$AA$141),"dd mmm yy"))&amp;" "&amp;Milestones!$AB$141&amp;" "&amp;IF(AND(Milestones!$AB$141="FT",Milestones!$AA$141=FT_Y5,EDATE($D140,Milestones!$AA$141)&lt;PolicyEff),1,Milestones!$AC$141)&amp;";  ","")&amp;IF(AND(EDATE($D140,Milestones!$AA$142)&lt;=AsOfDate,EDATE($D140,Milestones!$AA$142)&gt;=SchemeStart,IF($X140=0,$AD140,IF(AND($Z140&lt;&gt;"",EDATE($D140,Milestones!$AA$142)&gt;=$Z140),$AC140,IF(AND($Y140&lt;&gt;"",EDATE($D140,Milestones!$AA$142)&gt;=$Y140),$AB140,$AA140)))=Milestones!$AB$142),UPPER(TEXT(EDATE($D140,Milestones!$AA$142),"dd mmm yy"))&amp;" "&amp;Milestones!$AB$142&amp;" "&amp;IF(AND(Milestones!$AB$142="FT",Milestones!$AA$142=FT_Y5,EDATE($D140,Milestones!$AA$142)&lt;PolicyEff),1,Milestones!$AC$142)&amp;";  ","")&amp;IF(AND(EDATE($D140,Milestones!$AA$143)&lt;=AsOfDate,EDATE($D140,Milestones!$AA$143)&gt;=SchemeStart,IF($X140=0,$AD140,IF(AND($Z140&lt;&gt;"",EDATE($D140,Milestones!$AA$143)&gt;=$Z140),$AC140,IF(AND($Y140&lt;&gt;"",EDATE($D140,Milestones!$AA$143)&gt;=$Y140),$AB140,$AA140)))=Milestones!$AB$143),UPPER(TEXT(EDATE($D140,Milestones!$AA$143),"dd mmm yy"))&amp;" "&amp;Milestones!$AB$143&amp;" "&amp;IF(AND(Milestones!$AB$143="FT",Milestones!$AA$143=FT_Y5,EDATE($D140,Milestones!$AA$143)&lt;PolicyEff),1,Milestones!$AC$143)&amp;";  ","")&amp;IF(AND(EDATE($D140,Milestones!$AA$144)&lt;=AsOfDate,EDATE($D140,Milestones!$AA$144)&gt;=SchemeStart,IF($X140=0,$AD140,IF(AND($Z140&lt;&gt;"",EDATE($D140,Milestones!$AA$144)&gt;=$Z140),$AC140,IF(AND($Y140&lt;&gt;"",EDATE($D140,Milestones!$AA$144)&gt;=$Y140),$AB140,$AA140)))=Milestones!$AB$144),UPPER(TEXT(EDATE($D140,Milestones!$AA$144),"dd mmm yy"))&amp;" "&amp;Milestones!$AB$144&amp;" "&amp;IF(AND(Milestones!$AB$144="FT",Milestones!$AA$144=FT_Y5,EDATE($D140,Milestones!$AA$144)&lt;PolicyEff),1,Milestones!$AC$144)&amp;";  ","")&amp;IF(AND(EDATE($D140,Milestones!$AA$145)&lt;=AsOfDate,EDATE($D140,Milestones!$AA$145)&gt;=SchemeStart,IF($X140=0,$AD140,IF(AND($Z140&lt;&gt;"",EDATE($D140,Milestones!$AA$145)&gt;=$Z140),$AC140,IF(AND($Y140&lt;&gt;"",EDATE($D140,Milestones!$AA$145)&gt;=$Y140),$AB140,$AA140)))=Milestones!$AB$145),UPPER(TEXT(EDATE($D140,Milestones!$AA$145),"dd mmm yy"))&amp;" "&amp;Milestones!$AB$145&amp;" "&amp;IF(AND(Milestones!$AB$145="FT",Milestones!$AA$145=FT_Y5,EDATE($D140,Milestones!$AA$145)&lt;PolicyEff),1,Milestones!$AC$145)&amp;";  ","")&amp;IF(AND(EDATE($D140,Milestones!$AA$146)&lt;=AsOfDate,EDATE($D140,Milestones!$AA$146)&gt;=SchemeStart,IF($X140=0,$AD140,IF(AND($Z140&lt;&gt;"",EDATE($D140,Milestones!$AA$146)&gt;=$Z140),$AC140,IF(AND($Y140&lt;&gt;"",EDATE($D140,Milestones!$AA$146)&gt;=$Y140),$AB140,$AA140)))=Milestones!$AB$146),UPPER(TEXT(EDATE($D140,Milestones!$AA$146),"dd mmm yy"))&amp;" "&amp;Milestones!$AB$146&amp;" "&amp;IF(AND(Milestones!$AB$146="FT",Milestones!$AA$146=FT_Y5,EDATE($D140,Milestones!$AA$146)&lt;PolicyEff),1,Milestones!$AC$146)&amp;";  ","")&amp;IF(AND(EDATE($D140,Milestones!$AA$147)&lt;=AsOfDate,EDATE($D140,Milestones!$AA$147)&gt;=SchemeStart,IF($X140=0,$AD140,IF(AND($Z140&lt;&gt;"",EDATE($D140,Milestones!$AA$147)&gt;=$Z140),$AC140,IF(AND($Y140&lt;&gt;"",EDATE($D140,Milestones!$AA$147)&gt;=$Y140),$AB140,$AA140)))=Milestones!$AB$147),UPPER(TEXT(EDATE($D140,Milestones!$AA$147),"dd mmm yy"))&amp;" "&amp;Milestones!$AB$147&amp;" "&amp;IF(AND(Milestones!$AB$147="FT",Milestones!$AA$147=FT_Y5,EDATE($D140,Milestones!$AA$147)&lt;PolicyEff),1,Milestones!$AC$147)&amp;";  ","")&amp;IF(AND(EDATE($D140,Milestones!$AA$148)&lt;=AsOfDate,EDATE($D140,Milestones!$AA$148)&gt;=SchemeStart,IF($X140=0,$AD140,IF(AND($Z140&lt;&gt;"",EDATE($D140,Milestones!$AA$148)&gt;=$Z140),$AC140,IF(AND($Y140&lt;&gt;"",EDATE($D140,Milestones!$AA$148)&gt;=$Y140),$AB140,$AA140)))=Milestones!$AB$148),UPPER(TEXT(EDATE($D140,Milestones!$AA$148),"dd mmm yy"))&amp;" "&amp;Milestones!$AB$148&amp;" "&amp;IF(AND(Milestones!$AB$148="FT",Milestones!$AA$148=FT_Y5,EDATE($D140,Milestones!$AA$148)&lt;PolicyEff),1,Milestones!$AC$148)&amp;";  ","")&amp;IF(AND(EDATE($D140,Milestones!$AA$149)&lt;=AsOfDate,EDATE($D140,Milestones!$AA$149)&gt;=SchemeStart,IF($X140=0,$AD140,IF(AND($Z140&lt;&gt;"",EDATE($D140,Milestones!$AA$149)&gt;=$Z140),$AC140,IF(AND($Y140&lt;&gt;"",EDATE($D140,Milestones!$AA$149)&gt;=$Y140),$AB140,$AA140)))=Milestones!$AB$149),UPPER(TEXT(EDATE($D140,Milestones!$AA$149),"dd mmm yy"))&amp;" "&amp;Milestones!$AB$149&amp;" "&amp;IF(AND(Milestones!$AB$149="FT",Milestones!$AA$149=FT_Y5,EDATE($D140,Milestones!$AA$149)&lt;PolicyEff),1,Milestones!$AC$149)&amp;";  ","")&amp;IF(AND(EDATE($D140,Milestones!$AA$150)&lt;=AsOfDate,EDATE($D140,Milestones!$AA$150)&gt;=SchemeStart,IF($X140=0,$AD140,IF(AND($Z140&lt;&gt;"",EDATE($D140,Milestones!$AA$150)&gt;=$Z140),$AC140,IF(AND($Y140&lt;&gt;"",EDATE($D140,Milestones!$AA$150)&gt;=$Y140),$AB140,$AA140)))=Milestones!$AB$150),UPPER(TEXT(EDATE($D140,Milestones!$AA$150),"dd mmm yy"))&amp;" "&amp;Milestones!$AB$150&amp;" "&amp;IF(AND(Milestones!$AB$150="FT",Milestones!$AA$150=FT_Y5,EDATE($D140,Milestones!$AA$150)&lt;PolicyEff),1,Milestones!$AC$150)&amp;";  ","")&amp;IF(AND(EDATE($D140,Milestones!$AA$151)&lt;=AsOfDate,EDATE($D140,Milestones!$AA$151)&gt;=SchemeStart,IF($X140=0,$AD140,IF(AND($Z140&lt;&gt;"",EDATE($D140,Milestones!$AA$151)&gt;=$Z140),$AC140,IF(AND($Y140&lt;&gt;"",EDATE($D140,Milestones!$AA$151)&gt;=$Y140),$AB140,$AA140)))=Milestones!$AB$151),UPPER(TEXT(EDATE($D140,Milestones!$AA$151),"dd mmm yy"))&amp;" "&amp;Milestones!$AB$151&amp;" "&amp;IF(AND(Milestones!$AB$151="FT",Milestones!$AA$151=FT_Y5,EDATE($D140,Milestones!$AA$151)&lt;PolicyEff),1,Milestones!$AC$151)&amp;";  ",""))</f>
        <v/>
      </c>
      <c r="T140" s="0" t="str">
        <f aca="false">IF(OR($A140="",$D140=""),"",IF(AND(EDATE($D140,Milestones!$AA$152)&lt;=AsOfDate,EDATE($D140,Milestones!$AA$152)&gt;=SchemeStart,IF($X140=0,$AD140,IF(AND($Z140&lt;&gt;"",EDATE($D140,Milestones!$AA$152)&gt;=$Z140),$AC140,IF(AND($Y140&lt;&gt;"",EDATE($D140,Milestones!$AA$152)&gt;=$Y140),$AB140,$AA140)))=Milestones!$AB$152),UPPER(TEXT(EDATE($D140,Milestones!$AA$152),"dd mmm yy"))&amp;" "&amp;Milestones!$AB$152&amp;" "&amp;IF(AND(Milestones!$AB$152="FT",Milestones!$AA$152=FT_Y5,EDATE($D140,Milestones!$AA$152)&lt;PolicyEff),1,Milestones!$AC$152)&amp;";  ","")&amp;IF(AND(EDATE($D140,Milestones!$AA$153)&lt;=AsOfDate,EDATE($D140,Milestones!$AA$153)&gt;=SchemeStart,IF($X140=0,$AD140,IF(AND($Z140&lt;&gt;"",EDATE($D140,Milestones!$AA$153)&gt;=$Z140),$AC140,IF(AND($Y140&lt;&gt;"",EDATE($D140,Milestones!$AA$153)&gt;=$Y140),$AB140,$AA140)))=Milestones!$AB$153),UPPER(TEXT(EDATE($D140,Milestones!$AA$153),"dd mmm yy"))&amp;" "&amp;Milestones!$AB$153&amp;" "&amp;IF(AND(Milestones!$AB$153="FT",Milestones!$AA$153=FT_Y5,EDATE($D140,Milestones!$AA$153)&lt;PolicyEff),1,Milestones!$AC$153)&amp;";  ","")&amp;IF(AND(EDATE($D140,Milestones!$AA$154)&lt;=AsOfDate,EDATE($D140,Milestones!$AA$154)&gt;=SchemeStart,IF($X140=0,$AD140,IF(AND($Z140&lt;&gt;"",EDATE($D140,Milestones!$AA$154)&gt;=$Z140),$AC140,IF(AND($Y140&lt;&gt;"",EDATE($D140,Milestones!$AA$154)&gt;=$Y140),$AB140,$AA140)))=Milestones!$AB$154),UPPER(TEXT(EDATE($D140,Milestones!$AA$154),"dd mmm yy"))&amp;" "&amp;Milestones!$AB$154&amp;" "&amp;IF(AND(Milestones!$AB$154="FT",Milestones!$AA$154=FT_Y5,EDATE($D140,Milestones!$AA$154)&lt;PolicyEff),1,Milestones!$AC$154)&amp;";  ","")&amp;IF(AND(EDATE($D140,Milestones!$AA$155)&lt;=AsOfDate,EDATE($D140,Milestones!$AA$155)&gt;=SchemeStart,IF($X140=0,$AD140,IF(AND($Z140&lt;&gt;"",EDATE($D140,Milestones!$AA$155)&gt;=$Z140),$AC140,IF(AND($Y140&lt;&gt;"",EDATE($D140,Milestones!$AA$155)&gt;=$Y140),$AB140,$AA140)))=Milestones!$AB$155),UPPER(TEXT(EDATE($D140,Milestones!$AA$155),"dd mmm yy"))&amp;" "&amp;Milestones!$AB$155&amp;" "&amp;IF(AND(Milestones!$AB$155="FT",Milestones!$AA$155=FT_Y5,EDATE($D140,Milestones!$AA$155)&lt;PolicyEff),1,Milestones!$AC$155)&amp;";  ","")&amp;IF(AND(EDATE($D140,Milestones!$AA$156)&lt;=AsOfDate,EDATE($D140,Milestones!$AA$156)&gt;=SchemeStart,IF($X140=0,$AD140,IF(AND($Z140&lt;&gt;"",EDATE($D140,Milestones!$AA$156)&gt;=$Z140),$AC140,IF(AND($Y140&lt;&gt;"",EDATE($D140,Milestones!$AA$156)&gt;=$Y140),$AB140,$AA140)))=Milestones!$AB$156),UPPER(TEXT(EDATE($D140,Milestones!$AA$156),"dd mmm yy"))&amp;" "&amp;Milestones!$AB$156&amp;" "&amp;IF(AND(Milestones!$AB$156="FT",Milestones!$AA$156=FT_Y5,EDATE($D140,Milestones!$AA$156)&lt;PolicyEff),1,Milestones!$AC$156)&amp;";  ","")&amp;IF(AND(EDATE($D140,Milestones!$AA$157)&lt;=AsOfDate,EDATE($D140,Milestones!$AA$157)&gt;=SchemeStart,IF($X140=0,$AD140,IF(AND($Z140&lt;&gt;"",EDATE($D140,Milestones!$AA$157)&gt;=$Z140),$AC140,IF(AND($Y140&lt;&gt;"",EDATE($D140,Milestones!$AA$157)&gt;=$Y140),$AB140,$AA140)))=Milestones!$AB$157),UPPER(TEXT(EDATE($D140,Milestones!$AA$157),"dd mmm yy"))&amp;" "&amp;Milestones!$AB$157&amp;" "&amp;IF(AND(Milestones!$AB$157="FT",Milestones!$AA$157=FT_Y5,EDATE($D140,Milestones!$AA$157)&lt;PolicyEff),1,Milestones!$AC$157)&amp;";  ","")&amp;IF(AND(EDATE($D140,Milestones!$AA$158)&lt;=AsOfDate,EDATE($D140,Milestones!$AA$158)&gt;=SchemeStart,IF($X140=0,$AD140,IF(AND($Z140&lt;&gt;"",EDATE($D140,Milestones!$AA$158)&gt;=$Z140),$AC140,IF(AND($Y140&lt;&gt;"",EDATE($D140,Milestones!$AA$158)&gt;=$Y140),$AB140,$AA140)))=Milestones!$AB$158),UPPER(TEXT(EDATE($D140,Milestones!$AA$158),"dd mmm yy"))&amp;" "&amp;Milestones!$AB$158&amp;" "&amp;IF(AND(Milestones!$AB$158="FT",Milestones!$AA$158=FT_Y5,EDATE($D140,Milestones!$AA$158)&lt;PolicyEff),1,Milestones!$AC$158)&amp;";  ","")&amp;IF(AND(EDATE($D140,Milestones!$AA$159)&lt;=AsOfDate,EDATE($D140,Milestones!$AA$159)&gt;=SchemeStart,IF($X140=0,$AD140,IF(AND($Z140&lt;&gt;"",EDATE($D140,Milestones!$AA$159)&gt;=$Z140),$AC140,IF(AND($Y140&lt;&gt;"",EDATE($D140,Milestones!$AA$159)&gt;=$Y140),$AB140,$AA140)))=Milestones!$AB$159),UPPER(TEXT(EDATE($D140,Milestones!$AA$159),"dd mmm yy"))&amp;" "&amp;Milestones!$AB$159&amp;" "&amp;IF(AND(Milestones!$AB$159="FT",Milestones!$AA$159=FT_Y5,EDATE($D140,Milestones!$AA$159)&lt;PolicyEff),1,Milestones!$AC$159)&amp;";  ","")&amp;IF(AND(EDATE($D140,Milestones!$AA$160)&lt;=AsOfDate,EDATE($D140,Milestones!$AA$160)&gt;=SchemeStart,IF($X140=0,$AD140,IF(AND($Z140&lt;&gt;"",EDATE($D140,Milestones!$AA$160)&gt;=$Z140),$AC140,IF(AND($Y140&lt;&gt;"",EDATE($D140,Milestones!$AA$160)&gt;=$Y140),$AB140,$AA140)))=Milestones!$AB$160),UPPER(TEXT(EDATE($D140,Milestones!$AA$160),"dd mmm yy"))&amp;" "&amp;Milestones!$AB$160&amp;" "&amp;IF(AND(Milestones!$AB$160="FT",Milestones!$AA$160=FT_Y5,EDATE($D140,Milestones!$AA$160)&lt;PolicyEff),1,Milestones!$AC$160)&amp;";  ","")&amp;IF(AND(EDATE($D140,Milestones!$AA$161)&lt;=AsOfDate,EDATE($D140,Milestones!$AA$161)&gt;=SchemeStart,IF($X140=0,$AD140,IF(AND($Z140&lt;&gt;"",EDATE($D140,Milestones!$AA$161)&gt;=$Z140),$AC140,IF(AND($Y140&lt;&gt;"",EDATE($D140,Milestones!$AA$161)&gt;=$Y140),$AB140,$AA140)))=Milestones!$AB$161),UPPER(TEXT(EDATE($D140,Milestones!$AA$161),"dd mmm yy"))&amp;" "&amp;Milestones!$AB$161&amp;" "&amp;IF(AND(Milestones!$AB$161="FT",Milestones!$AA$161=FT_Y5,EDATE($D140,Milestones!$AA$161)&lt;PolicyEff),1,Milestones!$AC$161)&amp;";  ","")&amp;IF(AND(EDATE($D140,Milestones!$AA$162)&lt;=AsOfDate,EDATE($D140,Milestones!$AA$162)&gt;=SchemeStart,IF($X140=0,$AD140,IF(AND($Z140&lt;&gt;"",EDATE($D140,Milestones!$AA$162)&gt;=$Z140),$AC140,IF(AND($Y140&lt;&gt;"",EDATE($D140,Milestones!$AA$162)&gt;=$Y140),$AB140,$AA140)))=Milestones!$AB$162),UPPER(TEXT(EDATE($D140,Milestones!$AA$162),"dd mmm yy"))&amp;" "&amp;Milestones!$AB$162&amp;" "&amp;IF(AND(Milestones!$AB$162="FT",Milestones!$AA$162=FT_Y5,EDATE($D140,Milestones!$AA$162)&lt;PolicyEff),1,Milestones!$AC$162)&amp;";  ","")&amp;IF(AND(EDATE($D140,Milestones!$AA$163)&lt;=AsOfDate,EDATE($D140,Milestones!$AA$163)&gt;=SchemeStart,IF($X140=0,$AD140,IF(AND($Z140&lt;&gt;"",EDATE($D140,Milestones!$AA$163)&gt;=$Z140),$AC140,IF(AND($Y140&lt;&gt;"",EDATE($D140,Milestones!$AA$163)&gt;=$Y140),$AB140,$AA140)))=Milestones!$AB$163),UPPER(TEXT(EDATE($D140,Milestones!$AA$163),"dd mmm yy"))&amp;" "&amp;Milestones!$AB$163&amp;" "&amp;IF(AND(Milestones!$AB$163="FT",Milestones!$AA$163=FT_Y5,EDATE($D140,Milestones!$AA$163)&lt;PolicyEff),1,Milestones!$AC$163)&amp;";  ",""))</f>
        <v/>
      </c>
      <c r="U140" s="0" t="str">
        <f aca="false">IF(OR($A140="",$D140=""),"",IF(AND(EDATE($D140,Milestones!$AA$164)&lt;=AsOfDate,EDATE($D140,Milestones!$AA$164)&gt;=SchemeStart,IF($X140=0,$AD140,IF(AND($Z140&lt;&gt;"",EDATE($D140,Milestones!$AA$164)&gt;=$Z140),$AC140,IF(AND($Y140&lt;&gt;"",EDATE($D140,Milestones!$AA$164)&gt;=$Y140),$AB140,$AA140)))=Milestones!$AB$164),UPPER(TEXT(EDATE($D140,Milestones!$AA$164),"dd mmm yy"))&amp;" "&amp;Milestones!$AB$164&amp;" "&amp;IF(AND(Milestones!$AB$164="FT",Milestones!$AA$164=FT_Y5,EDATE($D140,Milestones!$AA$164)&lt;PolicyEff),1,Milestones!$AC$164)&amp;";  ","")&amp;IF(AND(EDATE($D140,Milestones!$AA$165)&lt;=AsOfDate,EDATE($D140,Milestones!$AA$165)&gt;=SchemeStart,IF($X140=0,$AD140,IF(AND($Z140&lt;&gt;"",EDATE($D140,Milestones!$AA$165)&gt;=$Z140),$AC140,IF(AND($Y140&lt;&gt;"",EDATE($D140,Milestones!$AA$165)&gt;=$Y140),$AB140,$AA140)))=Milestones!$AB$165),UPPER(TEXT(EDATE($D140,Milestones!$AA$165),"dd mmm yy"))&amp;" "&amp;Milestones!$AB$165&amp;" "&amp;IF(AND(Milestones!$AB$165="FT",Milestones!$AA$165=FT_Y5,EDATE($D140,Milestones!$AA$165)&lt;PolicyEff),1,Milestones!$AC$165)&amp;";  ","")&amp;IF(AND(EDATE($D140,Milestones!$AA$166)&lt;=AsOfDate,EDATE($D140,Milestones!$AA$166)&gt;=SchemeStart,IF($X140=0,$AD140,IF(AND($Z140&lt;&gt;"",EDATE($D140,Milestones!$AA$166)&gt;=$Z140),$AC140,IF(AND($Y140&lt;&gt;"",EDATE($D140,Milestones!$AA$166)&gt;=$Y140),$AB140,$AA140)))=Milestones!$AB$166),UPPER(TEXT(EDATE($D140,Milestones!$AA$166),"dd mmm yy"))&amp;" "&amp;Milestones!$AB$166&amp;" "&amp;IF(AND(Milestones!$AB$166="FT",Milestones!$AA$166=FT_Y5,EDATE($D140,Milestones!$AA$166)&lt;PolicyEff),1,Milestones!$AC$166)&amp;";  ","")&amp;IF(AND(EDATE($D140,Milestones!$AA$167)&lt;=AsOfDate,EDATE($D140,Milestones!$AA$167)&gt;=SchemeStart,IF($X140=0,$AD140,IF(AND($Z140&lt;&gt;"",EDATE($D140,Milestones!$AA$167)&gt;=$Z140),$AC140,IF(AND($Y140&lt;&gt;"",EDATE($D140,Milestones!$AA$167)&gt;=$Y140),$AB140,$AA140)))=Milestones!$AB$167),UPPER(TEXT(EDATE($D140,Milestones!$AA$167),"dd mmm yy"))&amp;" "&amp;Milestones!$AB$167&amp;" "&amp;IF(AND(Milestones!$AB$167="FT",Milestones!$AA$167=FT_Y5,EDATE($D140,Milestones!$AA$167)&lt;PolicyEff),1,Milestones!$AC$167)&amp;";  ","")&amp;IF(AND(EDATE($D140,Milestones!$AA$168)&lt;=AsOfDate,EDATE($D140,Milestones!$AA$168)&gt;=SchemeStart,IF($X140=0,$AD140,IF(AND($Z140&lt;&gt;"",EDATE($D140,Milestones!$AA$168)&gt;=$Z140),$AC140,IF(AND($Y140&lt;&gt;"",EDATE($D140,Milestones!$AA$168)&gt;=$Y140),$AB140,$AA140)))=Milestones!$AB$168),UPPER(TEXT(EDATE($D140,Milestones!$AA$168),"dd mmm yy"))&amp;" "&amp;Milestones!$AB$168&amp;" "&amp;IF(AND(Milestones!$AB$168="FT",Milestones!$AA$168=FT_Y5,EDATE($D140,Milestones!$AA$168)&lt;PolicyEff),1,Milestones!$AC$168)&amp;";  ","")&amp;IF(AND(EDATE($D140,Milestones!$AA$169)&lt;=AsOfDate,EDATE($D140,Milestones!$AA$169)&gt;=SchemeStart,IF($X140=0,$AD140,IF(AND($Z140&lt;&gt;"",EDATE($D140,Milestones!$AA$169)&gt;=$Z140),$AC140,IF(AND($Y140&lt;&gt;"",EDATE($D140,Milestones!$AA$169)&gt;=$Y140),$AB140,$AA140)))=Milestones!$AB$169),UPPER(TEXT(EDATE($D140,Milestones!$AA$169),"dd mmm yy"))&amp;" "&amp;Milestones!$AB$169&amp;" "&amp;IF(AND(Milestones!$AB$169="FT",Milestones!$AA$169=FT_Y5,EDATE($D140,Milestones!$AA$169)&lt;PolicyEff),1,Milestones!$AC$169)&amp;";  ","")&amp;IF(AND(EDATE($D140,Milestones!$AA$170)&lt;=AsOfDate,EDATE($D140,Milestones!$AA$170)&gt;=SchemeStart,IF($X140=0,$AD140,IF(AND($Z140&lt;&gt;"",EDATE($D140,Milestones!$AA$170)&gt;=$Z140),$AC140,IF(AND($Y140&lt;&gt;"",EDATE($D140,Milestones!$AA$170)&gt;=$Y140),$AB140,$AA140)))=Milestones!$AB$170),UPPER(TEXT(EDATE($D140,Milestones!$AA$170),"dd mmm yy"))&amp;" "&amp;Milestones!$AB$170&amp;" "&amp;IF(AND(Milestones!$AB$170="FT",Milestones!$AA$170=FT_Y5,EDATE($D140,Milestones!$AA$170)&lt;PolicyEff),1,Milestones!$AC$170)&amp;";  ","")&amp;IF(AND(EDATE($D140,Milestones!$AA$171)&lt;=AsOfDate,EDATE($D140,Milestones!$AA$171)&gt;=SchemeStart,IF($X140=0,$AD140,IF(AND($Z140&lt;&gt;"",EDATE($D140,Milestones!$AA$171)&gt;=$Z140),$AC140,IF(AND($Y140&lt;&gt;"",EDATE($D140,Milestones!$AA$171)&gt;=$Y140),$AB140,$AA140)))=Milestones!$AB$171),UPPER(TEXT(EDATE($D140,Milestones!$AA$171),"dd mmm yy"))&amp;" "&amp;Milestones!$AB$171&amp;" "&amp;IF(AND(Milestones!$AB$171="FT",Milestones!$AA$171=FT_Y5,EDATE($D140,Milestones!$AA$171)&lt;PolicyEff),1,Milestones!$AC$171)&amp;";  ","")&amp;IF(AND(EDATE($D140,Milestones!$AA$172)&lt;=AsOfDate,EDATE($D140,Milestones!$AA$172)&gt;=SchemeStart,IF($X140=0,$AD140,IF(AND($Z140&lt;&gt;"",EDATE($D140,Milestones!$AA$172)&gt;=$Z140),$AC140,IF(AND($Y140&lt;&gt;"",EDATE($D140,Milestones!$AA$172)&gt;=$Y140),$AB140,$AA140)))=Milestones!$AB$172),UPPER(TEXT(EDATE($D140,Milestones!$AA$172),"dd mmm yy"))&amp;" "&amp;Milestones!$AB$172&amp;" "&amp;IF(AND(Milestones!$AB$172="FT",Milestones!$AA$172=FT_Y5,EDATE($D140,Milestones!$AA$172)&lt;PolicyEff),1,Milestones!$AC$172)&amp;";  ","")&amp;IF(AND(EDATE($D140,Milestones!$AA$173)&lt;=AsOfDate,EDATE($D140,Milestones!$AA$173)&gt;=SchemeStart,IF($X140=0,$AD140,IF(AND($Z140&lt;&gt;"",EDATE($D140,Milestones!$AA$173)&gt;=$Z140),$AC140,IF(AND($Y140&lt;&gt;"",EDATE($D140,Milestones!$AA$173)&gt;=$Y140),$AB140,$AA140)))=Milestones!$AB$173),UPPER(TEXT(EDATE($D140,Milestones!$AA$173),"dd mmm yy"))&amp;" "&amp;Milestones!$AB$173&amp;" "&amp;IF(AND(Milestones!$AB$173="FT",Milestones!$AA$173=FT_Y5,EDATE($D140,Milestones!$AA$173)&lt;PolicyEff),1,Milestones!$AC$173)&amp;";  ","")&amp;IF(AND(EDATE($D140,Milestones!$AA$174)&lt;=AsOfDate,EDATE($D140,Milestones!$AA$174)&gt;=SchemeStart,IF($X140=0,$AD140,IF(AND($Z140&lt;&gt;"",EDATE($D140,Milestones!$AA$174)&gt;=$Z140),$AC140,IF(AND($Y140&lt;&gt;"",EDATE($D140,Milestones!$AA$174)&gt;=$Y140),$AB140,$AA140)))=Milestones!$AB$174),UPPER(TEXT(EDATE($D140,Milestones!$AA$174),"dd mmm yy"))&amp;" "&amp;Milestones!$AB$174&amp;" "&amp;IF(AND(Milestones!$AB$174="FT",Milestones!$AA$174=FT_Y5,EDATE($D140,Milestones!$AA$174)&lt;PolicyEff),1,Milestones!$AC$174)&amp;";  ","")&amp;IF(AND(EDATE($D140,Milestones!$AA$175)&lt;=AsOfDate,EDATE($D140,Milestones!$AA$175)&gt;=SchemeStart,IF($X140=0,$AD140,IF(AND($Z140&lt;&gt;"",EDATE($D140,Milestones!$AA$175)&gt;=$Z140),$AC140,IF(AND($Y140&lt;&gt;"",EDATE($D140,Milestones!$AA$175)&gt;=$Y140),$AB140,$AA140)))=Milestones!$AB$175),UPPER(TEXT(EDATE($D140,Milestones!$AA$175),"dd mmm yy"))&amp;" "&amp;Milestones!$AB$175&amp;" "&amp;IF(AND(Milestones!$AB$175="FT",Milestones!$AA$175=FT_Y5,EDATE($D140,Milestones!$AA$175)&lt;PolicyEff),1,Milestones!$AC$175)&amp;";  ",""))</f>
        <v/>
      </c>
      <c r="V140" s="0" t="str">
        <f aca="false">IF(OR($A140="",$D140=""),"",IF(AND(EDATE($D140,Milestones!$AA$176)&lt;=AsOfDate,EDATE($D140,Milestones!$AA$176)&gt;=SchemeStart,IF($X140=0,$AD140,IF(AND($Z140&lt;&gt;"",EDATE($D140,Milestones!$AA$176)&gt;=$Z140),$AC140,IF(AND($Y140&lt;&gt;"",EDATE($D140,Milestones!$AA$176)&gt;=$Y140),$AB140,$AA140)))=Milestones!$AB$176),UPPER(TEXT(EDATE($D140,Milestones!$AA$176),"dd mmm yy"))&amp;" "&amp;Milestones!$AB$176&amp;" "&amp;IF(AND(Milestones!$AB$176="FT",Milestones!$AA$176=FT_Y5,EDATE($D140,Milestones!$AA$176)&lt;PolicyEff),1,Milestones!$AC$176)&amp;";  ","")&amp;IF(AND(EDATE($D140,Milestones!$AA$177)&lt;=AsOfDate,EDATE($D140,Milestones!$AA$177)&gt;=SchemeStart,IF($X140=0,$AD140,IF(AND($Z140&lt;&gt;"",EDATE($D140,Milestones!$AA$177)&gt;=$Z140),$AC140,IF(AND($Y140&lt;&gt;"",EDATE($D140,Milestones!$AA$177)&gt;=$Y140),$AB140,$AA140)))=Milestones!$AB$177),UPPER(TEXT(EDATE($D140,Milestones!$AA$177),"dd mmm yy"))&amp;" "&amp;Milestones!$AB$177&amp;" "&amp;IF(AND(Milestones!$AB$177="FT",Milestones!$AA$177=FT_Y5,EDATE($D140,Milestones!$AA$177)&lt;PolicyEff),1,Milestones!$AC$177)&amp;";  ","")&amp;IF(AND(EDATE($D140,Milestones!$AA$178)&lt;=AsOfDate,EDATE($D140,Milestones!$AA$178)&gt;=SchemeStart,IF($X140=0,$AD140,IF(AND($Z140&lt;&gt;"",EDATE($D140,Milestones!$AA$178)&gt;=$Z140),$AC140,IF(AND($Y140&lt;&gt;"",EDATE($D140,Milestones!$AA$178)&gt;=$Y140),$AB140,$AA140)))=Milestones!$AB$178),UPPER(TEXT(EDATE($D140,Milestones!$AA$178),"dd mmm yy"))&amp;" "&amp;Milestones!$AB$178&amp;" "&amp;IF(AND(Milestones!$AB$178="FT",Milestones!$AA$178=FT_Y5,EDATE($D140,Milestones!$AA$178)&lt;PolicyEff),1,Milestones!$AC$178)&amp;";  ","")&amp;IF(AND(EDATE($D140,Milestones!$AA$179)&lt;=AsOfDate,EDATE($D140,Milestones!$AA$179)&gt;=SchemeStart,IF($X140=0,$AD140,IF(AND($Z140&lt;&gt;"",EDATE($D140,Milestones!$AA$179)&gt;=$Z140),$AC140,IF(AND($Y140&lt;&gt;"",EDATE($D140,Milestones!$AA$179)&gt;=$Y140),$AB140,$AA140)))=Milestones!$AB$179),UPPER(TEXT(EDATE($D140,Milestones!$AA$179),"dd mmm yy"))&amp;" "&amp;Milestones!$AB$179&amp;" "&amp;IF(AND(Milestones!$AB$179="FT",Milestones!$AA$179=FT_Y5,EDATE($D140,Milestones!$AA$179)&lt;PolicyEff),1,Milestones!$AC$179)&amp;";  ","")&amp;IF(AND(EDATE($D140,Milestones!$AA$180)&lt;=AsOfDate,EDATE($D140,Milestones!$AA$180)&gt;=SchemeStart,IF($X140=0,$AD140,IF(AND($Z140&lt;&gt;"",EDATE($D140,Milestones!$AA$180)&gt;=$Z140),$AC140,IF(AND($Y140&lt;&gt;"",EDATE($D140,Milestones!$AA$180)&gt;=$Y140),$AB140,$AA140)))=Milestones!$AB$180),UPPER(TEXT(EDATE($D140,Milestones!$AA$180),"dd mmm yy"))&amp;" "&amp;Milestones!$AB$180&amp;" "&amp;IF(AND(Milestones!$AB$180="FT",Milestones!$AA$180=FT_Y5,EDATE($D140,Milestones!$AA$180)&lt;PolicyEff),1,Milestones!$AC$180)&amp;";  ","")&amp;IF(AND(EDATE($D140,Milestones!$AA$181)&lt;=AsOfDate,EDATE($D140,Milestones!$AA$181)&gt;=SchemeStart,IF($X140=0,$AD140,IF(AND($Z140&lt;&gt;"",EDATE($D140,Milestones!$AA$181)&gt;=$Z140),$AC140,IF(AND($Y140&lt;&gt;"",EDATE($D140,Milestones!$AA$181)&gt;=$Y140),$AB140,$AA140)))=Milestones!$AB$181),UPPER(TEXT(EDATE($D140,Milestones!$AA$181),"dd mmm yy"))&amp;" "&amp;Milestones!$AB$181&amp;" "&amp;IF(AND(Milestones!$AB$181="FT",Milestones!$AA$181=FT_Y5,EDATE($D140,Milestones!$AA$181)&lt;PolicyEff),1,Milestones!$AC$181)&amp;";  ","")&amp;IF(AND(EDATE($D140,Milestones!$AA$182)&lt;=AsOfDate,EDATE($D140,Milestones!$AA$182)&gt;=SchemeStart,IF($X140=0,$AD140,IF(AND($Z140&lt;&gt;"",EDATE($D140,Milestones!$AA$182)&gt;=$Z140),$AC140,IF(AND($Y140&lt;&gt;"",EDATE($D140,Milestones!$AA$182)&gt;=$Y140),$AB140,$AA140)))=Milestones!$AB$182),UPPER(TEXT(EDATE($D140,Milestones!$AA$182),"dd mmm yy"))&amp;" "&amp;Milestones!$AB$182&amp;" "&amp;IF(AND(Milestones!$AB$182="FT",Milestones!$AA$182=FT_Y5,EDATE($D140,Milestones!$AA$182)&lt;PolicyEff),1,Milestones!$AC$182)&amp;";  ","")&amp;IF(AND(EDATE($D140,Milestones!$AA$183)&lt;=AsOfDate,EDATE($D140,Milestones!$AA$183)&gt;=SchemeStart,IF($X140=0,$AD140,IF(AND($Z140&lt;&gt;"",EDATE($D140,Milestones!$AA$183)&gt;=$Z140),$AC140,IF(AND($Y140&lt;&gt;"",EDATE($D140,Milestones!$AA$183)&gt;=$Y140),$AB140,$AA140)))=Milestones!$AB$183),UPPER(TEXT(EDATE($D140,Milestones!$AA$183),"dd mmm yy"))&amp;" "&amp;Milestones!$AB$183&amp;" "&amp;IF(AND(Milestones!$AB$183="FT",Milestones!$AA$183=FT_Y5,EDATE($D140,Milestones!$AA$183)&lt;PolicyEff),1,Milestones!$AC$183)&amp;";  ","")&amp;IF(AND(EDATE($D140,Milestones!$AA$184)&lt;=AsOfDate,EDATE($D140,Milestones!$AA$184)&gt;=SchemeStart,IF($X140=0,$AD140,IF(AND($Z140&lt;&gt;"",EDATE($D140,Milestones!$AA$184)&gt;=$Z140),$AC140,IF(AND($Y140&lt;&gt;"",EDATE($D140,Milestones!$AA$184)&gt;=$Y140),$AB140,$AA140)))=Milestones!$AB$184),UPPER(TEXT(EDATE($D140,Milestones!$AA$184),"dd mmm yy"))&amp;" "&amp;Milestones!$AB$184&amp;" "&amp;IF(AND(Milestones!$AB$184="FT",Milestones!$AA$184=FT_Y5,EDATE($D140,Milestones!$AA$184)&lt;PolicyEff),1,Milestones!$AC$184)&amp;";  ","")&amp;IF(AND(EDATE($D140,Milestones!$AA$185)&lt;=AsOfDate,EDATE($D140,Milestones!$AA$185)&gt;=SchemeStart,IF($X140=0,$AD140,IF(AND($Z140&lt;&gt;"",EDATE($D140,Milestones!$AA$185)&gt;=$Z140),$AC140,IF(AND($Y140&lt;&gt;"",EDATE($D140,Milestones!$AA$185)&gt;=$Y140),$AB140,$AA140)))=Milestones!$AB$185),UPPER(TEXT(EDATE($D140,Milestones!$AA$185),"dd mmm yy"))&amp;" "&amp;Milestones!$AB$185&amp;" "&amp;IF(AND(Milestones!$AB$185="FT",Milestones!$AA$185=FT_Y5,EDATE($D140,Milestones!$AA$185)&lt;PolicyEff),1,Milestones!$AC$185)&amp;";  ","")&amp;IF(AND(EDATE($D140,Milestones!$AA$186)&lt;=AsOfDate,EDATE($D140,Milestones!$AA$186)&gt;=SchemeStart,IF($X140=0,$AD140,IF(AND($Z140&lt;&gt;"",EDATE($D140,Milestones!$AA$186)&gt;=$Z140),$AC140,IF(AND($Y140&lt;&gt;"",EDATE($D140,Milestones!$AA$186)&gt;=$Y140),$AB140,$AA140)))=Milestones!$AB$186),UPPER(TEXT(EDATE($D140,Milestones!$AA$186),"dd mmm yy"))&amp;" "&amp;Milestones!$AB$186&amp;" "&amp;IF(AND(Milestones!$AB$186="FT",Milestones!$AA$186=FT_Y5,EDATE($D140,Milestones!$AA$186)&lt;PolicyEff),1,Milestones!$AC$186)&amp;";  ","")&amp;IF(AND(EDATE($D140,Milestones!$AA$187)&lt;=AsOfDate,EDATE($D140,Milestones!$AA$187)&gt;=SchemeStart,IF($X140=0,$AD140,IF(AND($Z140&lt;&gt;"",EDATE($D140,Milestones!$AA$187)&gt;=$Z140),$AC140,IF(AND($Y140&lt;&gt;"",EDATE($D140,Milestones!$AA$187)&gt;=$Y140),$AB140,$AA140)))=Milestones!$AB$187),UPPER(TEXT(EDATE($D140,Milestones!$AA$187),"dd mmm yy"))&amp;" "&amp;Milestones!$AB$187&amp;" "&amp;IF(AND(Milestones!$AB$187="FT",Milestones!$AA$187=FT_Y5,EDATE($D140,Milestones!$AA$187)&lt;PolicyEff),1,Milestones!$AC$187)&amp;";  ",""))</f>
        <v/>
      </c>
      <c r="W140" s="0" t="str">
        <f aca="false">IF(OR($A140="",$D140=""),"",IF(AND(EDATE($D140,Milestones!$AA$188)&lt;=AsOfDate,EDATE($D140,Milestones!$AA$188)&gt;=SchemeStart,IF($X140=0,$AD140,IF(AND($Z140&lt;&gt;"",EDATE($D140,Milestones!$AA$188)&gt;=$Z140),$AC140,IF(AND($Y140&lt;&gt;"",EDATE($D140,Milestones!$AA$188)&gt;=$Y140),$AB140,$AA140)))=Milestones!$AB$188),UPPER(TEXT(EDATE($D140,Milestones!$AA$188),"dd mmm yy"))&amp;" "&amp;Milestones!$AB$188&amp;" "&amp;IF(AND(Milestones!$AB$188="FT",Milestones!$AA$188=FT_Y5,EDATE($D140,Milestones!$AA$188)&lt;PolicyEff),1,Milestones!$AC$188)&amp;";  ","")&amp;IF(AND(EDATE($D140,Milestones!$AA$189)&lt;=AsOfDate,EDATE($D140,Milestones!$AA$189)&gt;=SchemeStart,IF($X140=0,$AD140,IF(AND($Z140&lt;&gt;"",EDATE($D140,Milestones!$AA$189)&gt;=$Z140),$AC140,IF(AND($Y140&lt;&gt;"",EDATE($D140,Milestones!$AA$189)&gt;=$Y140),$AB140,$AA140)))=Milestones!$AB$189),UPPER(TEXT(EDATE($D140,Milestones!$AA$189),"dd mmm yy"))&amp;" "&amp;Milestones!$AB$189&amp;" "&amp;IF(AND(Milestones!$AB$189="FT",Milestones!$AA$189=FT_Y5,EDATE($D140,Milestones!$AA$189)&lt;PolicyEff),1,Milestones!$AC$189)&amp;";  ","")&amp;IF(AND(EDATE($D140,Milestones!$AA$190)&lt;=AsOfDate,EDATE($D140,Milestones!$AA$190)&gt;=SchemeStart,IF($X140=0,$AD140,IF(AND($Z140&lt;&gt;"",EDATE($D140,Milestones!$AA$190)&gt;=$Z140),$AC140,IF(AND($Y140&lt;&gt;"",EDATE($D140,Milestones!$AA$190)&gt;=$Y140),$AB140,$AA140)))=Milestones!$AB$190),UPPER(TEXT(EDATE($D140,Milestones!$AA$190),"dd mmm yy"))&amp;" "&amp;Milestones!$AB$190&amp;" "&amp;IF(AND(Milestones!$AB$190="FT",Milestones!$AA$190=FT_Y5,EDATE($D140,Milestones!$AA$190)&lt;PolicyEff),1,Milestones!$AC$190)&amp;";  ","")&amp;IF(AND(EDATE($D140,Milestones!$AA$191)&lt;=AsOfDate,EDATE($D140,Milestones!$AA$191)&gt;=SchemeStart,IF($X140=0,$AD140,IF(AND($Z140&lt;&gt;"",EDATE($D140,Milestones!$AA$191)&gt;=$Z140),$AC140,IF(AND($Y140&lt;&gt;"",EDATE($D140,Milestones!$AA$191)&gt;=$Y140),$AB140,$AA140)))=Milestones!$AB$191),UPPER(TEXT(EDATE($D140,Milestones!$AA$191),"dd mmm yy"))&amp;" "&amp;Milestones!$AB$191&amp;" "&amp;IF(AND(Milestones!$AB$191="FT",Milestones!$AA$191=FT_Y5,EDATE($D140,Milestones!$AA$191)&lt;PolicyEff),1,Milestones!$AC$191)&amp;";  ","")&amp;IF(AND(EDATE($D140,Milestones!$AA$192)&lt;=AsOfDate,EDATE($D140,Milestones!$AA$192)&gt;=SchemeStart,IF($X140=0,$AD140,IF(AND($Z140&lt;&gt;"",EDATE($D140,Milestones!$AA$192)&gt;=$Z140),$AC140,IF(AND($Y140&lt;&gt;"",EDATE($D140,Milestones!$AA$192)&gt;=$Y140),$AB140,$AA140)))=Milestones!$AB$192),UPPER(TEXT(EDATE($D140,Milestones!$AA$192),"dd mmm yy"))&amp;" "&amp;Milestones!$AB$192&amp;" "&amp;IF(AND(Milestones!$AB$192="FT",Milestones!$AA$192=FT_Y5,EDATE($D140,Milestones!$AA$192)&lt;PolicyEff),1,Milestones!$AC$192)&amp;";  ","")&amp;IF(AND(EDATE($D140,Milestones!$AA$193)&lt;=AsOfDate,EDATE($D140,Milestones!$AA$193)&gt;=SchemeStart,IF($X140=0,$AD140,IF(AND($Z140&lt;&gt;"",EDATE($D140,Milestones!$AA$193)&gt;=$Z140),$AC140,IF(AND($Y140&lt;&gt;"",EDATE($D140,Milestones!$AA$193)&gt;=$Y140),$AB140,$AA140)))=Milestones!$AB$193),UPPER(TEXT(EDATE($D140,Milestones!$AA$193),"dd mmm yy"))&amp;" "&amp;Milestones!$AB$193&amp;" "&amp;IF(AND(Milestones!$AB$193="FT",Milestones!$AA$193=FT_Y5,EDATE($D140,Milestones!$AA$193)&lt;PolicyEff),1,Milestones!$AC$193)&amp;";  ","")&amp;IF(AND(EDATE($D140,Milestones!$AA$194)&lt;=AsOfDate,EDATE($D140,Milestones!$AA$194)&gt;=SchemeStart,IF($X140=0,$AD140,IF(AND($Z140&lt;&gt;"",EDATE($D140,Milestones!$AA$194)&gt;=$Z140),$AC140,IF(AND($Y140&lt;&gt;"",EDATE($D140,Milestones!$AA$194)&gt;=$Y140),$AB140,$AA140)))=Milestones!$AB$194),UPPER(TEXT(EDATE($D140,Milestones!$AA$194),"dd mmm yy"))&amp;" "&amp;Milestones!$AB$194&amp;" "&amp;IF(AND(Milestones!$AB$194="FT",Milestones!$AA$194=FT_Y5,EDATE($D140,Milestones!$AA$194)&lt;PolicyEff),1,Milestones!$AC$194)&amp;";  ","")&amp;IF(AND(EDATE($D140,Milestones!$AA$195)&lt;=AsOfDate,EDATE($D140,Milestones!$AA$195)&gt;=SchemeStart,IF($X140=0,$AD140,IF(AND($Z140&lt;&gt;"",EDATE($D140,Milestones!$AA$195)&gt;=$Z140),$AC140,IF(AND($Y140&lt;&gt;"",EDATE($D140,Milestones!$AA$195)&gt;=$Y140),$AB140,$AA140)))=Milestones!$AB$195),UPPER(TEXT(EDATE($D140,Milestones!$AA$195),"dd mmm yy"))&amp;" "&amp;Milestones!$AB$195&amp;" "&amp;IF(AND(Milestones!$AB$195="FT",Milestones!$AA$195=FT_Y5,EDATE($D140,Milestones!$AA$195)&lt;PolicyEff),1,Milestones!$AC$195)&amp;";  ","")&amp;IF(AND(EDATE($D140,Milestones!$AA$196)&lt;=AsOfDate,EDATE($D140,Milestones!$AA$196)&gt;=SchemeStart,IF($X140=0,$AD140,IF(AND($Z140&lt;&gt;"",EDATE($D140,Milestones!$AA$196)&gt;=$Z140),$AC140,IF(AND($Y140&lt;&gt;"",EDATE($D140,Milestones!$AA$196)&gt;=$Y140),$AB140,$AA140)))=Milestones!$AB$196),UPPER(TEXT(EDATE($D140,Milestones!$AA$196),"dd mmm yy"))&amp;" "&amp;Milestones!$AB$196&amp;" "&amp;IF(AND(Milestones!$AB$196="FT",Milestones!$AA$196=FT_Y5,EDATE($D140,Milestones!$AA$196)&lt;PolicyEff),1,Milestones!$AC$196)&amp;";  ","")&amp;IF(AND(EDATE($D140,Milestones!$AA$197)&lt;=AsOfDate,EDATE($D140,Milestones!$AA$197)&gt;=SchemeStart,IF($X140=0,$AD140,IF(AND($Z140&lt;&gt;"",EDATE($D140,Milestones!$AA$197)&gt;=$Z140),$AC140,IF(AND($Y140&lt;&gt;"",EDATE($D140,Milestones!$AA$197)&gt;=$Y140),$AB140,$AA140)))=Milestones!$AB$197),UPPER(TEXT(EDATE($D140,Milestones!$AA$197),"dd mmm yy"))&amp;" "&amp;Milestones!$AB$197&amp;" "&amp;IF(AND(Milestones!$AB$197="FT",Milestones!$AA$197=FT_Y5,EDATE($D140,Milestones!$AA$197)&lt;PolicyEff),1,Milestones!$AC$197)&amp;";  ","")&amp;IF(AND(EDATE($D140,Milestones!$AA$198)&lt;=AsOfDate,EDATE($D140,Milestones!$AA$198)&gt;=SchemeStart,IF($X140=0,$AD140,IF(AND($Z140&lt;&gt;"",EDATE($D140,Milestones!$AA$198)&gt;=$Z140),$AC140,IF(AND($Y140&lt;&gt;"",EDATE($D140,Milestones!$AA$198)&gt;=$Y140),$AB140,$AA140)))=Milestones!$AB$198),UPPER(TEXT(EDATE($D140,Milestones!$AA$198),"dd mmm yy"))&amp;" "&amp;Milestones!$AB$198&amp;" "&amp;IF(AND(Milestones!$AB$198="FT",Milestones!$AA$198=FT_Y5,EDATE($D140,Milestones!$AA$198)&lt;PolicyEff),1,Milestones!$AC$198)&amp;";  ","")&amp;IF(AND(EDATE($D140,Milestones!$AA$199)&lt;=AsOfDate,EDATE($D140,Milestones!$AA$199)&gt;=SchemeStart,IF($X140=0,$AD140,IF(AND($Z140&lt;&gt;"",EDATE($D140,Milestones!$AA$199)&gt;=$Z140),$AC140,IF(AND($Y140&lt;&gt;"",EDATE($D140,Milestones!$AA$199)&gt;=$Y140),$AB140,$AA140)))=Milestones!$AB$199),UPPER(TEXT(EDATE($D140,Milestones!$AA$199),"dd mmm yy"))&amp;" "&amp;Milestones!$AB$199&amp;" "&amp;IF(AND(Milestones!$AB$199="FT",Milestones!$AA$199=FT_Y5,EDATE($D140,Milestones!$AA$199)&lt;PolicyEff),1,Milestones!$AC$199)&amp;";  ",""))</f>
        <v/>
      </c>
      <c r="X140" s="0" t="str">
        <f aca="false">IF(Staff!$A140="","",Staff!$AM140)</f>
        <v/>
      </c>
      <c r="Y140" s="0" t="str">
        <f aca="false">IF(Staff!$A140="","",Staff!$AO140)</f>
        <v/>
      </c>
      <c r="Z140" s="0" t="str">
        <f aca="false">IF(Staff!$A140="","",Staff!$AP140)</f>
        <v/>
      </c>
      <c r="AA140" s="0" t="str">
        <f aca="false">IF(Staff!$A140="","",Staff!$AT140)</f>
        <v/>
      </c>
      <c r="AB140" s="0" t="str">
        <f aca="false">IF(Staff!$A140="","",Staff!$AU140)</f>
        <v/>
      </c>
      <c r="AC140" s="0" t="str">
        <f aca="false">IF(Staff!$A140="","",Staff!$AV140)</f>
        <v/>
      </c>
      <c r="AD140" s="0" t="str">
        <f aca="false">IF(Staff!$A140="","",Staff!$AW140)</f>
        <v/>
      </c>
    </row>
    <row r="141" customFormat="false" ht="15" hidden="false" customHeight="false" outlineLevel="0" collapsed="false">
      <c r="A141" s="16" t="str">
        <f aca="false">IF(Staff!$A141="","",Staff!$A141)</f>
        <v/>
      </c>
      <c r="B141" s="16" t="str">
        <f aca="false">IF(Staff!$A141="","",Staff!$B141)</f>
        <v/>
      </c>
      <c r="C141" s="16" t="str">
        <f aca="false">IF(Staff!$A141="","",Staff!$C141)</f>
        <v/>
      </c>
      <c r="D141" s="14" t="str">
        <f aca="false">IF(Staff!$A141="","",Staff!$AL141)</f>
        <v/>
      </c>
      <c r="E141" s="16" t="str">
        <f aca="false">IF(Staff!$A141="","",Staff!$O141)</f>
        <v/>
      </c>
      <c r="F141" s="16" t="str">
        <f aca="false">IF(E141="","",E141*HoursPerDay)</f>
        <v/>
      </c>
      <c r="G141" s="16" t="str">
        <f aca="false">IF(Staff!$A141="","",Staff!$AE141)</f>
        <v/>
      </c>
      <c r="H141" s="28" t="str">
        <f aca="false">IF($A141="","",I141&amp;J141&amp;K141&amp;L141&amp;M141&amp;N141&amp;O141&amp;P141&amp;Q141&amp;R141&amp;S141&amp;T141&amp;U141&amp;V141&amp;W141)</f>
        <v/>
      </c>
      <c r="I141" s="0" t="str">
        <f aca="false">IF(OR($A141="",$D141=""),"",IF(AND(EDATE($D141,Milestones!$AA$20)&lt;=AsOfDate,EDATE($D141,Milestones!$AA$20)&gt;=SchemeStart,IF($X141=0,$AD141,IF(AND($Z141&lt;&gt;"",EDATE($D141,Milestones!$AA$20)&gt;=$Z141),$AC141,IF(AND($Y141&lt;&gt;"",EDATE($D141,Milestones!$AA$20)&gt;=$Y141),$AB141,$AA141)))=Milestones!$AB$20),UPPER(TEXT(EDATE($D141,Milestones!$AA$20),"dd mmm yy"))&amp;" "&amp;Milestones!$AB$20&amp;" "&amp;IF(AND(Milestones!$AB$20="FT",Milestones!$AA$20=FT_Y5,EDATE($D141,Milestones!$AA$20)&lt;PolicyEff),1,Milestones!$AC$20)&amp;";  ","")&amp;IF(AND(EDATE($D141,Milestones!$AA$21)&lt;=AsOfDate,EDATE($D141,Milestones!$AA$21)&gt;=SchemeStart,IF($X141=0,$AD141,IF(AND($Z141&lt;&gt;"",EDATE($D141,Milestones!$AA$21)&gt;=$Z141),$AC141,IF(AND($Y141&lt;&gt;"",EDATE($D141,Milestones!$AA$21)&gt;=$Y141),$AB141,$AA141)))=Milestones!$AB$21),UPPER(TEXT(EDATE($D141,Milestones!$AA$21),"dd mmm yy"))&amp;" "&amp;Milestones!$AB$21&amp;" "&amp;IF(AND(Milestones!$AB$21="FT",Milestones!$AA$21=FT_Y5,EDATE($D141,Milestones!$AA$21)&lt;PolicyEff),1,Milestones!$AC$21)&amp;";  ","")&amp;IF(AND(EDATE($D141,Milestones!$AA$22)&lt;=AsOfDate,EDATE($D141,Milestones!$AA$22)&gt;=SchemeStart,IF($X141=0,$AD141,IF(AND($Z141&lt;&gt;"",EDATE($D141,Milestones!$AA$22)&gt;=$Z141),$AC141,IF(AND($Y141&lt;&gt;"",EDATE($D141,Milestones!$AA$22)&gt;=$Y141),$AB141,$AA141)))=Milestones!$AB$22),UPPER(TEXT(EDATE($D141,Milestones!$AA$22),"dd mmm yy"))&amp;" "&amp;Milestones!$AB$22&amp;" "&amp;IF(AND(Milestones!$AB$22="FT",Milestones!$AA$22=FT_Y5,EDATE($D141,Milestones!$AA$22)&lt;PolicyEff),1,Milestones!$AC$22)&amp;";  ","")&amp;IF(AND(EDATE($D141,Milestones!$AA$23)&lt;=AsOfDate,EDATE($D141,Milestones!$AA$23)&gt;=SchemeStart,IF($X141=0,$AD141,IF(AND($Z141&lt;&gt;"",EDATE($D141,Milestones!$AA$23)&gt;=$Z141),$AC141,IF(AND($Y141&lt;&gt;"",EDATE($D141,Milestones!$AA$23)&gt;=$Y141),$AB141,$AA141)))=Milestones!$AB$23),UPPER(TEXT(EDATE($D141,Milestones!$AA$23),"dd mmm yy"))&amp;" "&amp;Milestones!$AB$23&amp;" "&amp;IF(AND(Milestones!$AB$23="FT",Milestones!$AA$23=FT_Y5,EDATE($D141,Milestones!$AA$23)&lt;PolicyEff),1,Milestones!$AC$23)&amp;";  ","")&amp;IF(AND(EDATE($D141,Milestones!$AA$24)&lt;=AsOfDate,EDATE($D141,Milestones!$AA$24)&gt;=SchemeStart,IF($X141=0,$AD141,IF(AND($Z141&lt;&gt;"",EDATE($D141,Milestones!$AA$24)&gt;=$Z141),$AC141,IF(AND($Y141&lt;&gt;"",EDATE($D141,Milestones!$AA$24)&gt;=$Y141),$AB141,$AA141)))=Milestones!$AB$24),UPPER(TEXT(EDATE($D141,Milestones!$AA$24),"dd mmm yy"))&amp;" "&amp;Milestones!$AB$24&amp;" "&amp;IF(AND(Milestones!$AB$24="FT",Milestones!$AA$24=FT_Y5,EDATE($D141,Milestones!$AA$24)&lt;PolicyEff),1,Milestones!$AC$24)&amp;";  ","")&amp;IF(AND(EDATE($D141,Milestones!$AA$25)&lt;=AsOfDate,EDATE($D141,Milestones!$AA$25)&gt;=SchemeStart,IF($X141=0,$AD141,IF(AND($Z141&lt;&gt;"",EDATE($D141,Milestones!$AA$25)&gt;=$Z141),$AC141,IF(AND($Y141&lt;&gt;"",EDATE($D141,Milestones!$AA$25)&gt;=$Y141),$AB141,$AA141)))=Milestones!$AB$25),UPPER(TEXT(EDATE($D141,Milestones!$AA$25),"dd mmm yy"))&amp;" "&amp;Milestones!$AB$25&amp;" "&amp;IF(AND(Milestones!$AB$25="FT",Milestones!$AA$25=FT_Y5,EDATE($D141,Milestones!$AA$25)&lt;PolicyEff),1,Milestones!$AC$25)&amp;";  ","")&amp;IF(AND(EDATE($D141,Milestones!$AA$26)&lt;=AsOfDate,EDATE($D141,Milestones!$AA$26)&gt;=SchemeStart,IF($X141=0,$AD141,IF(AND($Z141&lt;&gt;"",EDATE($D141,Milestones!$AA$26)&gt;=$Z141),$AC141,IF(AND($Y141&lt;&gt;"",EDATE($D141,Milestones!$AA$26)&gt;=$Y141),$AB141,$AA141)))=Milestones!$AB$26),UPPER(TEXT(EDATE($D141,Milestones!$AA$26),"dd mmm yy"))&amp;" "&amp;Milestones!$AB$26&amp;" "&amp;IF(AND(Milestones!$AB$26="FT",Milestones!$AA$26=FT_Y5,EDATE($D141,Milestones!$AA$26)&lt;PolicyEff),1,Milestones!$AC$26)&amp;";  ","")&amp;IF(AND(EDATE($D141,Milestones!$AA$27)&lt;=AsOfDate,EDATE($D141,Milestones!$AA$27)&gt;=SchemeStart,IF($X141=0,$AD141,IF(AND($Z141&lt;&gt;"",EDATE($D141,Milestones!$AA$27)&gt;=$Z141),$AC141,IF(AND($Y141&lt;&gt;"",EDATE($D141,Milestones!$AA$27)&gt;=$Y141),$AB141,$AA141)))=Milestones!$AB$27),UPPER(TEXT(EDATE($D141,Milestones!$AA$27),"dd mmm yy"))&amp;" "&amp;Milestones!$AB$27&amp;" "&amp;IF(AND(Milestones!$AB$27="FT",Milestones!$AA$27=FT_Y5,EDATE($D141,Milestones!$AA$27)&lt;PolicyEff),1,Milestones!$AC$27)&amp;";  ","")&amp;IF(AND(EDATE($D141,Milestones!$AA$28)&lt;=AsOfDate,EDATE($D141,Milestones!$AA$28)&gt;=SchemeStart,IF($X141=0,$AD141,IF(AND($Z141&lt;&gt;"",EDATE($D141,Milestones!$AA$28)&gt;=$Z141),$AC141,IF(AND($Y141&lt;&gt;"",EDATE($D141,Milestones!$AA$28)&gt;=$Y141),$AB141,$AA141)))=Milestones!$AB$28),UPPER(TEXT(EDATE($D141,Milestones!$AA$28),"dd mmm yy"))&amp;" "&amp;Milestones!$AB$28&amp;" "&amp;IF(AND(Milestones!$AB$28="FT",Milestones!$AA$28=FT_Y5,EDATE($D141,Milestones!$AA$28)&lt;PolicyEff),1,Milestones!$AC$28)&amp;";  ","")&amp;IF(AND(EDATE($D141,Milestones!$AA$29)&lt;=AsOfDate,EDATE($D141,Milestones!$AA$29)&gt;=SchemeStart,IF($X141=0,$AD141,IF(AND($Z141&lt;&gt;"",EDATE($D141,Milestones!$AA$29)&gt;=$Z141),$AC141,IF(AND($Y141&lt;&gt;"",EDATE($D141,Milestones!$AA$29)&gt;=$Y141),$AB141,$AA141)))=Milestones!$AB$29),UPPER(TEXT(EDATE($D141,Milestones!$AA$29),"dd mmm yy"))&amp;" "&amp;Milestones!$AB$29&amp;" "&amp;IF(AND(Milestones!$AB$29="FT",Milestones!$AA$29=FT_Y5,EDATE($D141,Milestones!$AA$29)&lt;PolicyEff),1,Milestones!$AC$29)&amp;";  ","")&amp;IF(AND(EDATE($D141,Milestones!$AA$30)&lt;=AsOfDate,EDATE($D141,Milestones!$AA$30)&gt;=SchemeStart,IF($X141=0,$AD141,IF(AND($Z141&lt;&gt;"",EDATE($D141,Milestones!$AA$30)&gt;=$Z141),$AC141,IF(AND($Y141&lt;&gt;"",EDATE($D141,Milestones!$AA$30)&gt;=$Y141),$AB141,$AA141)))=Milestones!$AB$30),UPPER(TEXT(EDATE($D141,Milestones!$AA$30),"dd mmm yy"))&amp;" "&amp;Milestones!$AB$30&amp;" "&amp;IF(AND(Milestones!$AB$30="FT",Milestones!$AA$30=FT_Y5,EDATE($D141,Milestones!$AA$30)&lt;PolicyEff),1,Milestones!$AC$30)&amp;";  ","")&amp;IF(AND(EDATE($D141,Milestones!$AA$31)&lt;=AsOfDate,EDATE($D141,Milestones!$AA$31)&gt;=SchemeStart,IF($X141=0,$AD141,IF(AND($Z141&lt;&gt;"",EDATE($D141,Milestones!$AA$31)&gt;=$Z141),$AC141,IF(AND($Y141&lt;&gt;"",EDATE($D141,Milestones!$AA$31)&gt;=$Y141),$AB141,$AA141)))=Milestones!$AB$31),UPPER(TEXT(EDATE($D141,Milestones!$AA$31),"dd mmm yy"))&amp;" "&amp;Milestones!$AB$31&amp;" "&amp;IF(AND(Milestones!$AB$31="FT",Milestones!$AA$31=FT_Y5,EDATE($D141,Milestones!$AA$31)&lt;PolicyEff),1,Milestones!$AC$31)&amp;";  ",""))</f>
        <v/>
      </c>
      <c r="J141" s="0" t="str">
        <f aca="false">IF(OR($A141="",$D141=""),"",IF(AND(EDATE($D141,Milestones!$AA$32)&lt;=AsOfDate,EDATE($D141,Milestones!$AA$32)&gt;=SchemeStart,IF($X141=0,$AD141,IF(AND($Z141&lt;&gt;"",EDATE($D141,Milestones!$AA$32)&gt;=$Z141),$AC141,IF(AND($Y141&lt;&gt;"",EDATE($D141,Milestones!$AA$32)&gt;=$Y141),$AB141,$AA141)))=Milestones!$AB$32),UPPER(TEXT(EDATE($D141,Milestones!$AA$32),"dd mmm yy"))&amp;" "&amp;Milestones!$AB$32&amp;" "&amp;IF(AND(Milestones!$AB$32="FT",Milestones!$AA$32=FT_Y5,EDATE($D141,Milestones!$AA$32)&lt;PolicyEff),1,Milestones!$AC$32)&amp;";  ","")&amp;IF(AND(EDATE($D141,Milestones!$AA$33)&lt;=AsOfDate,EDATE($D141,Milestones!$AA$33)&gt;=SchemeStart,IF($X141=0,$AD141,IF(AND($Z141&lt;&gt;"",EDATE($D141,Milestones!$AA$33)&gt;=$Z141),$AC141,IF(AND($Y141&lt;&gt;"",EDATE($D141,Milestones!$AA$33)&gt;=$Y141),$AB141,$AA141)))=Milestones!$AB$33),UPPER(TEXT(EDATE($D141,Milestones!$AA$33),"dd mmm yy"))&amp;" "&amp;Milestones!$AB$33&amp;" "&amp;IF(AND(Milestones!$AB$33="FT",Milestones!$AA$33=FT_Y5,EDATE($D141,Milestones!$AA$33)&lt;PolicyEff),1,Milestones!$AC$33)&amp;";  ","")&amp;IF(AND(EDATE($D141,Milestones!$AA$34)&lt;=AsOfDate,EDATE($D141,Milestones!$AA$34)&gt;=SchemeStart,IF($X141=0,$AD141,IF(AND($Z141&lt;&gt;"",EDATE($D141,Milestones!$AA$34)&gt;=$Z141),$AC141,IF(AND($Y141&lt;&gt;"",EDATE($D141,Milestones!$AA$34)&gt;=$Y141),$AB141,$AA141)))=Milestones!$AB$34),UPPER(TEXT(EDATE($D141,Milestones!$AA$34),"dd mmm yy"))&amp;" "&amp;Milestones!$AB$34&amp;" "&amp;IF(AND(Milestones!$AB$34="FT",Milestones!$AA$34=FT_Y5,EDATE($D141,Milestones!$AA$34)&lt;PolicyEff),1,Milestones!$AC$34)&amp;";  ","")&amp;IF(AND(EDATE($D141,Milestones!$AA$35)&lt;=AsOfDate,EDATE($D141,Milestones!$AA$35)&gt;=SchemeStart,IF($X141=0,$AD141,IF(AND($Z141&lt;&gt;"",EDATE($D141,Milestones!$AA$35)&gt;=$Z141),$AC141,IF(AND($Y141&lt;&gt;"",EDATE($D141,Milestones!$AA$35)&gt;=$Y141),$AB141,$AA141)))=Milestones!$AB$35),UPPER(TEXT(EDATE($D141,Milestones!$AA$35),"dd mmm yy"))&amp;" "&amp;Milestones!$AB$35&amp;" "&amp;IF(AND(Milestones!$AB$35="FT",Milestones!$AA$35=FT_Y5,EDATE($D141,Milestones!$AA$35)&lt;PolicyEff),1,Milestones!$AC$35)&amp;";  ","")&amp;IF(AND(EDATE($D141,Milestones!$AA$36)&lt;=AsOfDate,EDATE($D141,Milestones!$AA$36)&gt;=SchemeStart,IF($X141=0,$AD141,IF(AND($Z141&lt;&gt;"",EDATE($D141,Milestones!$AA$36)&gt;=$Z141),$AC141,IF(AND($Y141&lt;&gt;"",EDATE($D141,Milestones!$AA$36)&gt;=$Y141),$AB141,$AA141)))=Milestones!$AB$36),UPPER(TEXT(EDATE($D141,Milestones!$AA$36),"dd mmm yy"))&amp;" "&amp;Milestones!$AB$36&amp;" "&amp;IF(AND(Milestones!$AB$36="FT",Milestones!$AA$36=FT_Y5,EDATE($D141,Milestones!$AA$36)&lt;PolicyEff),1,Milestones!$AC$36)&amp;";  ","")&amp;IF(AND(EDATE($D141,Milestones!$AA$37)&lt;=AsOfDate,EDATE($D141,Milestones!$AA$37)&gt;=SchemeStart,IF($X141=0,$AD141,IF(AND($Z141&lt;&gt;"",EDATE($D141,Milestones!$AA$37)&gt;=$Z141),$AC141,IF(AND($Y141&lt;&gt;"",EDATE($D141,Milestones!$AA$37)&gt;=$Y141),$AB141,$AA141)))=Milestones!$AB$37),UPPER(TEXT(EDATE($D141,Milestones!$AA$37),"dd mmm yy"))&amp;" "&amp;Milestones!$AB$37&amp;" "&amp;IF(AND(Milestones!$AB$37="FT",Milestones!$AA$37=FT_Y5,EDATE($D141,Milestones!$AA$37)&lt;PolicyEff),1,Milestones!$AC$37)&amp;";  ","")&amp;IF(AND(EDATE($D141,Milestones!$AA$38)&lt;=AsOfDate,EDATE($D141,Milestones!$AA$38)&gt;=SchemeStart,IF($X141=0,$AD141,IF(AND($Z141&lt;&gt;"",EDATE($D141,Milestones!$AA$38)&gt;=$Z141),$AC141,IF(AND($Y141&lt;&gt;"",EDATE($D141,Milestones!$AA$38)&gt;=$Y141),$AB141,$AA141)))=Milestones!$AB$38),UPPER(TEXT(EDATE($D141,Milestones!$AA$38),"dd mmm yy"))&amp;" "&amp;Milestones!$AB$38&amp;" "&amp;IF(AND(Milestones!$AB$38="FT",Milestones!$AA$38=FT_Y5,EDATE($D141,Milestones!$AA$38)&lt;PolicyEff),1,Milestones!$AC$38)&amp;";  ","")&amp;IF(AND(EDATE($D141,Milestones!$AA$39)&lt;=AsOfDate,EDATE($D141,Milestones!$AA$39)&gt;=SchemeStart,IF($X141=0,$AD141,IF(AND($Z141&lt;&gt;"",EDATE($D141,Milestones!$AA$39)&gt;=$Z141),$AC141,IF(AND($Y141&lt;&gt;"",EDATE($D141,Milestones!$AA$39)&gt;=$Y141),$AB141,$AA141)))=Milestones!$AB$39),UPPER(TEXT(EDATE($D141,Milestones!$AA$39),"dd mmm yy"))&amp;" "&amp;Milestones!$AB$39&amp;" "&amp;IF(AND(Milestones!$AB$39="FT",Milestones!$AA$39=FT_Y5,EDATE($D141,Milestones!$AA$39)&lt;PolicyEff),1,Milestones!$AC$39)&amp;";  ","")&amp;IF(AND(EDATE($D141,Milestones!$AA$40)&lt;=AsOfDate,EDATE($D141,Milestones!$AA$40)&gt;=SchemeStart,IF($X141=0,$AD141,IF(AND($Z141&lt;&gt;"",EDATE($D141,Milestones!$AA$40)&gt;=$Z141),$AC141,IF(AND($Y141&lt;&gt;"",EDATE($D141,Milestones!$AA$40)&gt;=$Y141),$AB141,$AA141)))=Milestones!$AB$40),UPPER(TEXT(EDATE($D141,Milestones!$AA$40),"dd mmm yy"))&amp;" "&amp;Milestones!$AB$40&amp;" "&amp;IF(AND(Milestones!$AB$40="FT",Milestones!$AA$40=FT_Y5,EDATE($D141,Milestones!$AA$40)&lt;PolicyEff),1,Milestones!$AC$40)&amp;";  ","")&amp;IF(AND(EDATE($D141,Milestones!$AA$41)&lt;=AsOfDate,EDATE($D141,Milestones!$AA$41)&gt;=SchemeStart,IF($X141=0,$AD141,IF(AND($Z141&lt;&gt;"",EDATE($D141,Milestones!$AA$41)&gt;=$Z141),$AC141,IF(AND($Y141&lt;&gt;"",EDATE($D141,Milestones!$AA$41)&gt;=$Y141),$AB141,$AA141)))=Milestones!$AB$41),UPPER(TEXT(EDATE($D141,Milestones!$AA$41),"dd mmm yy"))&amp;" "&amp;Milestones!$AB$41&amp;" "&amp;IF(AND(Milestones!$AB$41="FT",Milestones!$AA$41=FT_Y5,EDATE($D141,Milestones!$AA$41)&lt;PolicyEff),1,Milestones!$AC$41)&amp;";  ","")&amp;IF(AND(EDATE($D141,Milestones!$AA$42)&lt;=AsOfDate,EDATE($D141,Milestones!$AA$42)&gt;=SchemeStart,IF($X141=0,$AD141,IF(AND($Z141&lt;&gt;"",EDATE($D141,Milestones!$AA$42)&gt;=$Z141),$AC141,IF(AND($Y141&lt;&gt;"",EDATE($D141,Milestones!$AA$42)&gt;=$Y141),$AB141,$AA141)))=Milestones!$AB$42),UPPER(TEXT(EDATE($D141,Milestones!$AA$42),"dd mmm yy"))&amp;" "&amp;Milestones!$AB$42&amp;" "&amp;IF(AND(Milestones!$AB$42="FT",Milestones!$AA$42=FT_Y5,EDATE($D141,Milestones!$AA$42)&lt;PolicyEff),1,Milestones!$AC$42)&amp;";  ","")&amp;IF(AND(EDATE($D141,Milestones!$AA$43)&lt;=AsOfDate,EDATE($D141,Milestones!$AA$43)&gt;=SchemeStart,IF($X141=0,$AD141,IF(AND($Z141&lt;&gt;"",EDATE($D141,Milestones!$AA$43)&gt;=$Z141),$AC141,IF(AND($Y141&lt;&gt;"",EDATE($D141,Milestones!$AA$43)&gt;=$Y141),$AB141,$AA141)))=Milestones!$AB$43),UPPER(TEXT(EDATE($D141,Milestones!$AA$43),"dd mmm yy"))&amp;" "&amp;Milestones!$AB$43&amp;" "&amp;IF(AND(Milestones!$AB$43="FT",Milestones!$AA$43=FT_Y5,EDATE($D141,Milestones!$AA$43)&lt;PolicyEff),1,Milestones!$AC$43)&amp;";  ",""))</f>
        <v/>
      </c>
      <c r="K141" s="0" t="str">
        <f aca="false">IF(OR($A141="",$D141=""),"",IF(AND(EDATE($D141,Milestones!$AA$44)&lt;=AsOfDate,EDATE($D141,Milestones!$AA$44)&gt;=SchemeStart,IF($X141=0,$AD141,IF(AND($Z141&lt;&gt;"",EDATE($D141,Milestones!$AA$44)&gt;=$Z141),$AC141,IF(AND($Y141&lt;&gt;"",EDATE($D141,Milestones!$AA$44)&gt;=$Y141),$AB141,$AA141)))=Milestones!$AB$44),UPPER(TEXT(EDATE($D141,Milestones!$AA$44),"dd mmm yy"))&amp;" "&amp;Milestones!$AB$44&amp;" "&amp;IF(AND(Milestones!$AB$44="FT",Milestones!$AA$44=FT_Y5,EDATE($D141,Milestones!$AA$44)&lt;PolicyEff),1,Milestones!$AC$44)&amp;";  ","")&amp;IF(AND(EDATE($D141,Milestones!$AA$45)&lt;=AsOfDate,EDATE($D141,Milestones!$AA$45)&gt;=SchemeStart,IF($X141=0,$AD141,IF(AND($Z141&lt;&gt;"",EDATE($D141,Milestones!$AA$45)&gt;=$Z141),$AC141,IF(AND($Y141&lt;&gt;"",EDATE($D141,Milestones!$AA$45)&gt;=$Y141),$AB141,$AA141)))=Milestones!$AB$45),UPPER(TEXT(EDATE($D141,Milestones!$AA$45),"dd mmm yy"))&amp;" "&amp;Milestones!$AB$45&amp;" "&amp;IF(AND(Milestones!$AB$45="FT",Milestones!$AA$45=FT_Y5,EDATE($D141,Milestones!$AA$45)&lt;PolicyEff),1,Milestones!$AC$45)&amp;";  ","")&amp;IF(AND(EDATE($D141,Milestones!$AA$46)&lt;=AsOfDate,EDATE($D141,Milestones!$AA$46)&gt;=SchemeStart,IF($X141=0,$AD141,IF(AND($Z141&lt;&gt;"",EDATE($D141,Milestones!$AA$46)&gt;=$Z141),$AC141,IF(AND($Y141&lt;&gt;"",EDATE($D141,Milestones!$AA$46)&gt;=$Y141),$AB141,$AA141)))=Milestones!$AB$46),UPPER(TEXT(EDATE($D141,Milestones!$AA$46),"dd mmm yy"))&amp;" "&amp;Milestones!$AB$46&amp;" "&amp;IF(AND(Milestones!$AB$46="FT",Milestones!$AA$46=FT_Y5,EDATE($D141,Milestones!$AA$46)&lt;PolicyEff),1,Milestones!$AC$46)&amp;";  ","")&amp;IF(AND(EDATE($D141,Milestones!$AA$47)&lt;=AsOfDate,EDATE($D141,Milestones!$AA$47)&gt;=SchemeStart,IF($X141=0,$AD141,IF(AND($Z141&lt;&gt;"",EDATE($D141,Milestones!$AA$47)&gt;=$Z141),$AC141,IF(AND($Y141&lt;&gt;"",EDATE($D141,Milestones!$AA$47)&gt;=$Y141),$AB141,$AA141)))=Milestones!$AB$47),UPPER(TEXT(EDATE($D141,Milestones!$AA$47),"dd mmm yy"))&amp;" "&amp;Milestones!$AB$47&amp;" "&amp;IF(AND(Milestones!$AB$47="FT",Milestones!$AA$47=FT_Y5,EDATE($D141,Milestones!$AA$47)&lt;PolicyEff),1,Milestones!$AC$47)&amp;";  ","")&amp;IF(AND(EDATE($D141,Milestones!$AA$48)&lt;=AsOfDate,EDATE($D141,Milestones!$AA$48)&gt;=SchemeStart,IF($X141=0,$AD141,IF(AND($Z141&lt;&gt;"",EDATE($D141,Milestones!$AA$48)&gt;=$Z141),$AC141,IF(AND($Y141&lt;&gt;"",EDATE($D141,Milestones!$AA$48)&gt;=$Y141),$AB141,$AA141)))=Milestones!$AB$48),UPPER(TEXT(EDATE($D141,Milestones!$AA$48),"dd mmm yy"))&amp;" "&amp;Milestones!$AB$48&amp;" "&amp;IF(AND(Milestones!$AB$48="FT",Milestones!$AA$48=FT_Y5,EDATE($D141,Milestones!$AA$48)&lt;PolicyEff),1,Milestones!$AC$48)&amp;";  ","")&amp;IF(AND(EDATE($D141,Milestones!$AA$49)&lt;=AsOfDate,EDATE($D141,Milestones!$AA$49)&gt;=SchemeStart,IF($X141=0,$AD141,IF(AND($Z141&lt;&gt;"",EDATE($D141,Milestones!$AA$49)&gt;=$Z141),$AC141,IF(AND($Y141&lt;&gt;"",EDATE($D141,Milestones!$AA$49)&gt;=$Y141),$AB141,$AA141)))=Milestones!$AB$49),UPPER(TEXT(EDATE($D141,Milestones!$AA$49),"dd mmm yy"))&amp;" "&amp;Milestones!$AB$49&amp;" "&amp;IF(AND(Milestones!$AB$49="FT",Milestones!$AA$49=FT_Y5,EDATE($D141,Milestones!$AA$49)&lt;PolicyEff),1,Milestones!$AC$49)&amp;";  ","")&amp;IF(AND(EDATE($D141,Milestones!$AA$50)&lt;=AsOfDate,EDATE($D141,Milestones!$AA$50)&gt;=SchemeStart,IF($X141=0,$AD141,IF(AND($Z141&lt;&gt;"",EDATE($D141,Milestones!$AA$50)&gt;=$Z141),$AC141,IF(AND($Y141&lt;&gt;"",EDATE($D141,Milestones!$AA$50)&gt;=$Y141),$AB141,$AA141)))=Milestones!$AB$50),UPPER(TEXT(EDATE($D141,Milestones!$AA$50),"dd mmm yy"))&amp;" "&amp;Milestones!$AB$50&amp;" "&amp;IF(AND(Milestones!$AB$50="FT",Milestones!$AA$50=FT_Y5,EDATE($D141,Milestones!$AA$50)&lt;PolicyEff),1,Milestones!$AC$50)&amp;";  ","")&amp;IF(AND(EDATE($D141,Milestones!$AA$51)&lt;=AsOfDate,EDATE($D141,Milestones!$AA$51)&gt;=SchemeStart,IF($X141=0,$AD141,IF(AND($Z141&lt;&gt;"",EDATE($D141,Milestones!$AA$51)&gt;=$Z141),$AC141,IF(AND($Y141&lt;&gt;"",EDATE($D141,Milestones!$AA$51)&gt;=$Y141),$AB141,$AA141)))=Milestones!$AB$51),UPPER(TEXT(EDATE($D141,Milestones!$AA$51),"dd mmm yy"))&amp;" "&amp;Milestones!$AB$51&amp;" "&amp;IF(AND(Milestones!$AB$51="FT",Milestones!$AA$51=FT_Y5,EDATE($D141,Milestones!$AA$51)&lt;PolicyEff),1,Milestones!$AC$51)&amp;";  ","")&amp;IF(AND(EDATE($D141,Milestones!$AA$52)&lt;=AsOfDate,EDATE($D141,Milestones!$AA$52)&gt;=SchemeStart,IF($X141=0,$AD141,IF(AND($Z141&lt;&gt;"",EDATE($D141,Milestones!$AA$52)&gt;=$Z141),$AC141,IF(AND($Y141&lt;&gt;"",EDATE($D141,Milestones!$AA$52)&gt;=$Y141),$AB141,$AA141)))=Milestones!$AB$52),UPPER(TEXT(EDATE($D141,Milestones!$AA$52),"dd mmm yy"))&amp;" "&amp;Milestones!$AB$52&amp;" "&amp;IF(AND(Milestones!$AB$52="FT",Milestones!$AA$52=FT_Y5,EDATE($D141,Milestones!$AA$52)&lt;PolicyEff),1,Milestones!$AC$52)&amp;";  ","")&amp;IF(AND(EDATE($D141,Milestones!$AA$53)&lt;=AsOfDate,EDATE($D141,Milestones!$AA$53)&gt;=SchemeStart,IF($X141=0,$AD141,IF(AND($Z141&lt;&gt;"",EDATE($D141,Milestones!$AA$53)&gt;=$Z141),$AC141,IF(AND($Y141&lt;&gt;"",EDATE($D141,Milestones!$AA$53)&gt;=$Y141),$AB141,$AA141)))=Milestones!$AB$53),UPPER(TEXT(EDATE($D141,Milestones!$AA$53),"dd mmm yy"))&amp;" "&amp;Milestones!$AB$53&amp;" "&amp;IF(AND(Milestones!$AB$53="FT",Milestones!$AA$53=FT_Y5,EDATE($D141,Milestones!$AA$53)&lt;PolicyEff),1,Milestones!$AC$53)&amp;";  ","")&amp;IF(AND(EDATE($D141,Milestones!$AA$54)&lt;=AsOfDate,EDATE($D141,Milestones!$AA$54)&gt;=SchemeStart,IF($X141=0,$AD141,IF(AND($Z141&lt;&gt;"",EDATE($D141,Milestones!$AA$54)&gt;=$Z141),$AC141,IF(AND($Y141&lt;&gt;"",EDATE($D141,Milestones!$AA$54)&gt;=$Y141),$AB141,$AA141)))=Milestones!$AB$54),UPPER(TEXT(EDATE($D141,Milestones!$AA$54),"dd mmm yy"))&amp;" "&amp;Milestones!$AB$54&amp;" "&amp;IF(AND(Milestones!$AB$54="FT",Milestones!$AA$54=FT_Y5,EDATE($D141,Milestones!$AA$54)&lt;PolicyEff),1,Milestones!$AC$54)&amp;";  ","")&amp;IF(AND(EDATE($D141,Milestones!$AA$55)&lt;=AsOfDate,EDATE($D141,Milestones!$AA$55)&gt;=SchemeStart,IF($X141=0,$AD141,IF(AND($Z141&lt;&gt;"",EDATE($D141,Milestones!$AA$55)&gt;=$Z141),$AC141,IF(AND($Y141&lt;&gt;"",EDATE($D141,Milestones!$AA$55)&gt;=$Y141),$AB141,$AA141)))=Milestones!$AB$55),UPPER(TEXT(EDATE($D141,Milestones!$AA$55),"dd mmm yy"))&amp;" "&amp;Milestones!$AB$55&amp;" "&amp;IF(AND(Milestones!$AB$55="FT",Milestones!$AA$55=FT_Y5,EDATE($D141,Milestones!$AA$55)&lt;PolicyEff),1,Milestones!$AC$55)&amp;";  ",""))</f>
        <v/>
      </c>
      <c r="L141" s="0" t="str">
        <f aca="false">IF(OR($A141="",$D141=""),"",IF(AND(EDATE($D141,Milestones!$AA$56)&lt;=AsOfDate,EDATE($D141,Milestones!$AA$56)&gt;=SchemeStart,IF($X141=0,$AD141,IF(AND($Z141&lt;&gt;"",EDATE($D141,Milestones!$AA$56)&gt;=$Z141),$AC141,IF(AND($Y141&lt;&gt;"",EDATE($D141,Milestones!$AA$56)&gt;=$Y141),$AB141,$AA141)))=Milestones!$AB$56),UPPER(TEXT(EDATE($D141,Milestones!$AA$56),"dd mmm yy"))&amp;" "&amp;Milestones!$AB$56&amp;" "&amp;IF(AND(Milestones!$AB$56="FT",Milestones!$AA$56=FT_Y5,EDATE($D141,Milestones!$AA$56)&lt;PolicyEff),1,Milestones!$AC$56)&amp;";  ","")&amp;IF(AND(EDATE($D141,Milestones!$AA$57)&lt;=AsOfDate,EDATE($D141,Milestones!$AA$57)&gt;=SchemeStart,IF($X141=0,$AD141,IF(AND($Z141&lt;&gt;"",EDATE($D141,Milestones!$AA$57)&gt;=$Z141),$AC141,IF(AND($Y141&lt;&gt;"",EDATE($D141,Milestones!$AA$57)&gt;=$Y141),$AB141,$AA141)))=Milestones!$AB$57),UPPER(TEXT(EDATE($D141,Milestones!$AA$57),"dd mmm yy"))&amp;" "&amp;Milestones!$AB$57&amp;" "&amp;IF(AND(Milestones!$AB$57="FT",Milestones!$AA$57=FT_Y5,EDATE($D141,Milestones!$AA$57)&lt;PolicyEff),1,Milestones!$AC$57)&amp;";  ","")&amp;IF(AND(EDATE($D141,Milestones!$AA$58)&lt;=AsOfDate,EDATE($D141,Milestones!$AA$58)&gt;=SchemeStart,IF($X141=0,$AD141,IF(AND($Z141&lt;&gt;"",EDATE($D141,Milestones!$AA$58)&gt;=$Z141),$AC141,IF(AND($Y141&lt;&gt;"",EDATE($D141,Milestones!$AA$58)&gt;=$Y141),$AB141,$AA141)))=Milestones!$AB$58),UPPER(TEXT(EDATE($D141,Milestones!$AA$58),"dd mmm yy"))&amp;" "&amp;Milestones!$AB$58&amp;" "&amp;IF(AND(Milestones!$AB$58="FT",Milestones!$AA$58=FT_Y5,EDATE($D141,Milestones!$AA$58)&lt;PolicyEff),1,Milestones!$AC$58)&amp;";  ","")&amp;IF(AND(EDATE($D141,Milestones!$AA$59)&lt;=AsOfDate,EDATE($D141,Milestones!$AA$59)&gt;=SchemeStart,IF($X141=0,$AD141,IF(AND($Z141&lt;&gt;"",EDATE($D141,Milestones!$AA$59)&gt;=$Z141),$AC141,IF(AND($Y141&lt;&gt;"",EDATE($D141,Milestones!$AA$59)&gt;=$Y141),$AB141,$AA141)))=Milestones!$AB$59),UPPER(TEXT(EDATE($D141,Milestones!$AA$59),"dd mmm yy"))&amp;" "&amp;Milestones!$AB$59&amp;" "&amp;IF(AND(Milestones!$AB$59="FT",Milestones!$AA$59=FT_Y5,EDATE($D141,Milestones!$AA$59)&lt;PolicyEff),1,Milestones!$AC$59)&amp;";  ","")&amp;IF(AND(EDATE($D141,Milestones!$AA$60)&lt;=AsOfDate,EDATE($D141,Milestones!$AA$60)&gt;=SchemeStart,IF($X141=0,$AD141,IF(AND($Z141&lt;&gt;"",EDATE($D141,Milestones!$AA$60)&gt;=$Z141),$AC141,IF(AND($Y141&lt;&gt;"",EDATE($D141,Milestones!$AA$60)&gt;=$Y141),$AB141,$AA141)))=Milestones!$AB$60),UPPER(TEXT(EDATE($D141,Milestones!$AA$60),"dd mmm yy"))&amp;" "&amp;Milestones!$AB$60&amp;" "&amp;IF(AND(Milestones!$AB$60="FT",Milestones!$AA$60=FT_Y5,EDATE($D141,Milestones!$AA$60)&lt;PolicyEff),1,Milestones!$AC$60)&amp;";  ","")&amp;IF(AND(EDATE($D141,Milestones!$AA$61)&lt;=AsOfDate,EDATE($D141,Milestones!$AA$61)&gt;=SchemeStart,IF($X141=0,$AD141,IF(AND($Z141&lt;&gt;"",EDATE($D141,Milestones!$AA$61)&gt;=$Z141),$AC141,IF(AND($Y141&lt;&gt;"",EDATE($D141,Milestones!$AA$61)&gt;=$Y141),$AB141,$AA141)))=Milestones!$AB$61),UPPER(TEXT(EDATE($D141,Milestones!$AA$61),"dd mmm yy"))&amp;" "&amp;Milestones!$AB$61&amp;" "&amp;IF(AND(Milestones!$AB$61="FT",Milestones!$AA$61=FT_Y5,EDATE($D141,Milestones!$AA$61)&lt;PolicyEff),1,Milestones!$AC$61)&amp;";  ","")&amp;IF(AND(EDATE($D141,Milestones!$AA$62)&lt;=AsOfDate,EDATE($D141,Milestones!$AA$62)&gt;=SchemeStart,IF($X141=0,$AD141,IF(AND($Z141&lt;&gt;"",EDATE($D141,Milestones!$AA$62)&gt;=$Z141),$AC141,IF(AND($Y141&lt;&gt;"",EDATE($D141,Milestones!$AA$62)&gt;=$Y141),$AB141,$AA141)))=Milestones!$AB$62),UPPER(TEXT(EDATE($D141,Milestones!$AA$62),"dd mmm yy"))&amp;" "&amp;Milestones!$AB$62&amp;" "&amp;IF(AND(Milestones!$AB$62="FT",Milestones!$AA$62=FT_Y5,EDATE($D141,Milestones!$AA$62)&lt;PolicyEff),1,Milestones!$AC$62)&amp;";  ","")&amp;IF(AND(EDATE($D141,Milestones!$AA$63)&lt;=AsOfDate,EDATE($D141,Milestones!$AA$63)&gt;=SchemeStart,IF($X141=0,$AD141,IF(AND($Z141&lt;&gt;"",EDATE($D141,Milestones!$AA$63)&gt;=$Z141),$AC141,IF(AND($Y141&lt;&gt;"",EDATE($D141,Milestones!$AA$63)&gt;=$Y141),$AB141,$AA141)))=Milestones!$AB$63),UPPER(TEXT(EDATE($D141,Milestones!$AA$63),"dd mmm yy"))&amp;" "&amp;Milestones!$AB$63&amp;" "&amp;IF(AND(Milestones!$AB$63="FT",Milestones!$AA$63=FT_Y5,EDATE($D141,Milestones!$AA$63)&lt;PolicyEff),1,Milestones!$AC$63)&amp;";  ","")&amp;IF(AND(EDATE($D141,Milestones!$AA$64)&lt;=AsOfDate,EDATE($D141,Milestones!$AA$64)&gt;=SchemeStart,IF($X141=0,$AD141,IF(AND($Z141&lt;&gt;"",EDATE($D141,Milestones!$AA$64)&gt;=$Z141),$AC141,IF(AND($Y141&lt;&gt;"",EDATE($D141,Milestones!$AA$64)&gt;=$Y141),$AB141,$AA141)))=Milestones!$AB$64),UPPER(TEXT(EDATE($D141,Milestones!$AA$64),"dd mmm yy"))&amp;" "&amp;Milestones!$AB$64&amp;" "&amp;IF(AND(Milestones!$AB$64="FT",Milestones!$AA$64=FT_Y5,EDATE($D141,Milestones!$AA$64)&lt;PolicyEff),1,Milestones!$AC$64)&amp;";  ","")&amp;IF(AND(EDATE($D141,Milestones!$AA$65)&lt;=AsOfDate,EDATE($D141,Milestones!$AA$65)&gt;=SchemeStart,IF($X141=0,$AD141,IF(AND($Z141&lt;&gt;"",EDATE($D141,Milestones!$AA$65)&gt;=$Z141),$AC141,IF(AND($Y141&lt;&gt;"",EDATE($D141,Milestones!$AA$65)&gt;=$Y141),$AB141,$AA141)))=Milestones!$AB$65),UPPER(TEXT(EDATE($D141,Milestones!$AA$65),"dd mmm yy"))&amp;" "&amp;Milestones!$AB$65&amp;" "&amp;IF(AND(Milestones!$AB$65="FT",Milestones!$AA$65=FT_Y5,EDATE($D141,Milestones!$AA$65)&lt;PolicyEff),1,Milestones!$AC$65)&amp;";  ","")&amp;IF(AND(EDATE($D141,Milestones!$AA$66)&lt;=AsOfDate,EDATE($D141,Milestones!$AA$66)&gt;=SchemeStart,IF($X141=0,$AD141,IF(AND($Z141&lt;&gt;"",EDATE($D141,Milestones!$AA$66)&gt;=$Z141),$AC141,IF(AND($Y141&lt;&gt;"",EDATE($D141,Milestones!$AA$66)&gt;=$Y141),$AB141,$AA141)))=Milestones!$AB$66),UPPER(TEXT(EDATE($D141,Milestones!$AA$66),"dd mmm yy"))&amp;" "&amp;Milestones!$AB$66&amp;" "&amp;IF(AND(Milestones!$AB$66="FT",Milestones!$AA$66=FT_Y5,EDATE($D141,Milestones!$AA$66)&lt;PolicyEff),1,Milestones!$AC$66)&amp;";  ","")&amp;IF(AND(EDATE($D141,Milestones!$AA$67)&lt;=AsOfDate,EDATE($D141,Milestones!$AA$67)&gt;=SchemeStart,IF($X141=0,$AD141,IF(AND($Z141&lt;&gt;"",EDATE($D141,Milestones!$AA$67)&gt;=$Z141),$AC141,IF(AND($Y141&lt;&gt;"",EDATE($D141,Milestones!$AA$67)&gt;=$Y141),$AB141,$AA141)))=Milestones!$AB$67),UPPER(TEXT(EDATE($D141,Milestones!$AA$67),"dd mmm yy"))&amp;" "&amp;Milestones!$AB$67&amp;" "&amp;IF(AND(Milestones!$AB$67="FT",Milestones!$AA$67=FT_Y5,EDATE($D141,Milestones!$AA$67)&lt;PolicyEff),1,Milestones!$AC$67)&amp;";  ",""))</f>
        <v/>
      </c>
      <c r="M141" s="0" t="str">
        <f aca="false">IF(OR($A141="",$D141=""),"",IF(AND(EDATE($D141,Milestones!$AA$68)&lt;=AsOfDate,EDATE($D141,Milestones!$AA$68)&gt;=SchemeStart,IF($X141=0,$AD141,IF(AND($Z141&lt;&gt;"",EDATE($D141,Milestones!$AA$68)&gt;=$Z141),$AC141,IF(AND($Y141&lt;&gt;"",EDATE($D141,Milestones!$AA$68)&gt;=$Y141),$AB141,$AA141)))=Milestones!$AB$68),UPPER(TEXT(EDATE($D141,Milestones!$AA$68),"dd mmm yy"))&amp;" "&amp;Milestones!$AB$68&amp;" "&amp;IF(AND(Milestones!$AB$68="FT",Milestones!$AA$68=FT_Y5,EDATE($D141,Milestones!$AA$68)&lt;PolicyEff),1,Milestones!$AC$68)&amp;";  ","")&amp;IF(AND(EDATE($D141,Milestones!$AA$69)&lt;=AsOfDate,EDATE($D141,Milestones!$AA$69)&gt;=SchemeStart,IF($X141=0,$AD141,IF(AND($Z141&lt;&gt;"",EDATE($D141,Milestones!$AA$69)&gt;=$Z141),$AC141,IF(AND($Y141&lt;&gt;"",EDATE($D141,Milestones!$AA$69)&gt;=$Y141),$AB141,$AA141)))=Milestones!$AB$69),UPPER(TEXT(EDATE($D141,Milestones!$AA$69),"dd mmm yy"))&amp;" "&amp;Milestones!$AB$69&amp;" "&amp;IF(AND(Milestones!$AB$69="FT",Milestones!$AA$69=FT_Y5,EDATE($D141,Milestones!$AA$69)&lt;PolicyEff),1,Milestones!$AC$69)&amp;";  ","")&amp;IF(AND(EDATE($D141,Milestones!$AA$70)&lt;=AsOfDate,EDATE($D141,Milestones!$AA$70)&gt;=SchemeStart,IF($X141=0,$AD141,IF(AND($Z141&lt;&gt;"",EDATE($D141,Milestones!$AA$70)&gt;=$Z141),$AC141,IF(AND($Y141&lt;&gt;"",EDATE($D141,Milestones!$AA$70)&gt;=$Y141),$AB141,$AA141)))=Milestones!$AB$70),UPPER(TEXT(EDATE($D141,Milestones!$AA$70),"dd mmm yy"))&amp;" "&amp;Milestones!$AB$70&amp;" "&amp;IF(AND(Milestones!$AB$70="FT",Milestones!$AA$70=FT_Y5,EDATE($D141,Milestones!$AA$70)&lt;PolicyEff),1,Milestones!$AC$70)&amp;";  ","")&amp;IF(AND(EDATE($D141,Milestones!$AA$71)&lt;=AsOfDate,EDATE($D141,Milestones!$AA$71)&gt;=SchemeStart,IF($X141=0,$AD141,IF(AND($Z141&lt;&gt;"",EDATE($D141,Milestones!$AA$71)&gt;=$Z141),$AC141,IF(AND($Y141&lt;&gt;"",EDATE($D141,Milestones!$AA$71)&gt;=$Y141),$AB141,$AA141)))=Milestones!$AB$71),UPPER(TEXT(EDATE($D141,Milestones!$AA$71),"dd mmm yy"))&amp;" "&amp;Milestones!$AB$71&amp;" "&amp;IF(AND(Milestones!$AB$71="FT",Milestones!$AA$71=FT_Y5,EDATE($D141,Milestones!$AA$71)&lt;PolicyEff),1,Milestones!$AC$71)&amp;";  ","")&amp;IF(AND(EDATE($D141,Milestones!$AA$72)&lt;=AsOfDate,EDATE($D141,Milestones!$AA$72)&gt;=SchemeStart,IF($X141=0,$AD141,IF(AND($Z141&lt;&gt;"",EDATE($D141,Milestones!$AA$72)&gt;=$Z141),$AC141,IF(AND($Y141&lt;&gt;"",EDATE($D141,Milestones!$AA$72)&gt;=$Y141),$AB141,$AA141)))=Milestones!$AB$72),UPPER(TEXT(EDATE($D141,Milestones!$AA$72),"dd mmm yy"))&amp;" "&amp;Milestones!$AB$72&amp;" "&amp;IF(AND(Milestones!$AB$72="FT",Milestones!$AA$72=FT_Y5,EDATE($D141,Milestones!$AA$72)&lt;PolicyEff),1,Milestones!$AC$72)&amp;";  ","")&amp;IF(AND(EDATE($D141,Milestones!$AA$73)&lt;=AsOfDate,EDATE($D141,Milestones!$AA$73)&gt;=SchemeStart,IF($X141=0,$AD141,IF(AND($Z141&lt;&gt;"",EDATE($D141,Milestones!$AA$73)&gt;=$Z141),$AC141,IF(AND($Y141&lt;&gt;"",EDATE($D141,Milestones!$AA$73)&gt;=$Y141),$AB141,$AA141)))=Milestones!$AB$73),UPPER(TEXT(EDATE($D141,Milestones!$AA$73),"dd mmm yy"))&amp;" "&amp;Milestones!$AB$73&amp;" "&amp;IF(AND(Milestones!$AB$73="FT",Milestones!$AA$73=FT_Y5,EDATE($D141,Milestones!$AA$73)&lt;PolicyEff),1,Milestones!$AC$73)&amp;";  ","")&amp;IF(AND(EDATE($D141,Milestones!$AA$74)&lt;=AsOfDate,EDATE($D141,Milestones!$AA$74)&gt;=SchemeStart,IF($X141=0,$AD141,IF(AND($Z141&lt;&gt;"",EDATE($D141,Milestones!$AA$74)&gt;=$Z141),$AC141,IF(AND($Y141&lt;&gt;"",EDATE($D141,Milestones!$AA$74)&gt;=$Y141),$AB141,$AA141)))=Milestones!$AB$74),UPPER(TEXT(EDATE($D141,Milestones!$AA$74),"dd mmm yy"))&amp;" "&amp;Milestones!$AB$74&amp;" "&amp;IF(AND(Milestones!$AB$74="FT",Milestones!$AA$74=FT_Y5,EDATE($D141,Milestones!$AA$74)&lt;PolicyEff),1,Milestones!$AC$74)&amp;";  ","")&amp;IF(AND(EDATE($D141,Milestones!$AA$75)&lt;=AsOfDate,EDATE($D141,Milestones!$AA$75)&gt;=SchemeStart,IF($X141=0,$AD141,IF(AND($Z141&lt;&gt;"",EDATE($D141,Milestones!$AA$75)&gt;=$Z141),$AC141,IF(AND($Y141&lt;&gt;"",EDATE($D141,Milestones!$AA$75)&gt;=$Y141),$AB141,$AA141)))=Milestones!$AB$75),UPPER(TEXT(EDATE($D141,Milestones!$AA$75),"dd mmm yy"))&amp;" "&amp;Milestones!$AB$75&amp;" "&amp;IF(AND(Milestones!$AB$75="FT",Milestones!$AA$75=FT_Y5,EDATE($D141,Milestones!$AA$75)&lt;PolicyEff),1,Milestones!$AC$75)&amp;";  ","")&amp;IF(AND(EDATE($D141,Milestones!$AA$76)&lt;=AsOfDate,EDATE($D141,Milestones!$AA$76)&gt;=SchemeStart,IF($X141=0,$AD141,IF(AND($Z141&lt;&gt;"",EDATE($D141,Milestones!$AA$76)&gt;=$Z141),$AC141,IF(AND($Y141&lt;&gt;"",EDATE($D141,Milestones!$AA$76)&gt;=$Y141),$AB141,$AA141)))=Milestones!$AB$76),UPPER(TEXT(EDATE($D141,Milestones!$AA$76),"dd mmm yy"))&amp;" "&amp;Milestones!$AB$76&amp;" "&amp;IF(AND(Milestones!$AB$76="FT",Milestones!$AA$76=FT_Y5,EDATE($D141,Milestones!$AA$76)&lt;PolicyEff),1,Milestones!$AC$76)&amp;";  ","")&amp;IF(AND(EDATE($D141,Milestones!$AA$77)&lt;=AsOfDate,EDATE($D141,Milestones!$AA$77)&gt;=SchemeStart,IF($X141=0,$AD141,IF(AND($Z141&lt;&gt;"",EDATE($D141,Milestones!$AA$77)&gt;=$Z141),$AC141,IF(AND($Y141&lt;&gt;"",EDATE($D141,Milestones!$AA$77)&gt;=$Y141),$AB141,$AA141)))=Milestones!$AB$77),UPPER(TEXT(EDATE($D141,Milestones!$AA$77),"dd mmm yy"))&amp;" "&amp;Milestones!$AB$77&amp;" "&amp;IF(AND(Milestones!$AB$77="FT",Milestones!$AA$77=FT_Y5,EDATE($D141,Milestones!$AA$77)&lt;PolicyEff),1,Milestones!$AC$77)&amp;";  ","")&amp;IF(AND(EDATE($D141,Milestones!$AA$78)&lt;=AsOfDate,EDATE($D141,Milestones!$AA$78)&gt;=SchemeStart,IF($X141=0,$AD141,IF(AND($Z141&lt;&gt;"",EDATE($D141,Milestones!$AA$78)&gt;=$Z141),$AC141,IF(AND($Y141&lt;&gt;"",EDATE($D141,Milestones!$AA$78)&gt;=$Y141),$AB141,$AA141)))=Milestones!$AB$78),UPPER(TEXT(EDATE($D141,Milestones!$AA$78),"dd mmm yy"))&amp;" "&amp;Milestones!$AB$78&amp;" "&amp;IF(AND(Milestones!$AB$78="FT",Milestones!$AA$78=FT_Y5,EDATE($D141,Milestones!$AA$78)&lt;PolicyEff),1,Milestones!$AC$78)&amp;";  ","")&amp;IF(AND(EDATE($D141,Milestones!$AA$79)&lt;=AsOfDate,EDATE($D141,Milestones!$AA$79)&gt;=SchemeStart,IF($X141=0,$AD141,IF(AND($Z141&lt;&gt;"",EDATE($D141,Milestones!$AA$79)&gt;=$Z141),$AC141,IF(AND($Y141&lt;&gt;"",EDATE($D141,Milestones!$AA$79)&gt;=$Y141),$AB141,$AA141)))=Milestones!$AB$79),UPPER(TEXT(EDATE($D141,Milestones!$AA$79),"dd mmm yy"))&amp;" "&amp;Milestones!$AB$79&amp;" "&amp;IF(AND(Milestones!$AB$79="FT",Milestones!$AA$79=FT_Y5,EDATE($D141,Milestones!$AA$79)&lt;PolicyEff),1,Milestones!$AC$79)&amp;";  ",""))</f>
        <v/>
      </c>
      <c r="N141" s="0" t="str">
        <f aca="false">IF(OR($A141="",$D141=""),"",IF(AND(EDATE($D141,Milestones!$AA$80)&lt;=AsOfDate,EDATE($D141,Milestones!$AA$80)&gt;=SchemeStart,IF($X141=0,$AD141,IF(AND($Z141&lt;&gt;"",EDATE($D141,Milestones!$AA$80)&gt;=$Z141),$AC141,IF(AND($Y141&lt;&gt;"",EDATE($D141,Milestones!$AA$80)&gt;=$Y141),$AB141,$AA141)))=Milestones!$AB$80),UPPER(TEXT(EDATE($D141,Milestones!$AA$80),"dd mmm yy"))&amp;" "&amp;Milestones!$AB$80&amp;" "&amp;IF(AND(Milestones!$AB$80="FT",Milestones!$AA$80=FT_Y5,EDATE($D141,Milestones!$AA$80)&lt;PolicyEff),1,Milestones!$AC$80)&amp;";  ","")&amp;IF(AND(EDATE($D141,Milestones!$AA$81)&lt;=AsOfDate,EDATE($D141,Milestones!$AA$81)&gt;=SchemeStart,IF($X141=0,$AD141,IF(AND($Z141&lt;&gt;"",EDATE($D141,Milestones!$AA$81)&gt;=$Z141),$AC141,IF(AND($Y141&lt;&gt;"",EDATE($D141,Milestones!$AA$81)&gt;=$Y141),$AB141,$AA141)))=Milestones!$AB$81),UPPER(TEXT(EDATE($D141,Milestones!$AA$81),"dd mmm yy"))&amp;" "&amp;Milestones!$AB$81&amp;" "&amp;IF(AND(Milestones!$AB$81="FT",Milestones!$AA$81=FT_Y5,EDATE($D141,Milestones!$AA$81)&lt;PolicyEff),1,Milestones!$AC$81)&amp;";  ","")&amp;IF(AND(EDATE($D141,Milestones!$AA$82)&lt;=AsOfDate,EDATE($D141,Milestones!$AA$82)&gt;=SchemeStart,IF($X141=0,$AD141,IF(AND($Z141&lt;&gt;"",EDATE($D141,Milestones!$AA$82)&gt;=$Z141),$AC141,IF(AND($Y141&lt;&gt;"",EDATE($D141,Milestones!$AA$82)&gt;=$Y141),$AB141,$AA141)))=Milestones!$AB$82),UPPER(TEXT(EDATE($D141,Milestones!$AA$82),"dd mmm yy"))&amp;" "&amp;Milestones!$AB$82&amp;" "&amp;IF(AND(Milestones!$AB$82="FT",Milestones!$AA$82=FT_Y5,EDATE($D141,Milestones!$AA$82)&lt;PolicyEff),1,Milestones!$AC$82)&amp;";  ","")&amp;IF(AND(EDATE($D141,Milestones!$AA$83)&lt;=AsOfDate,EDATE($D141,Milestones!$AA$83)&gt;=SchemeStart,IF($X141=0,$AD141,IF(AND($Z141&lt;&gt;"",EDATE($D141,Milestones!$AA$83)&gt;=$Z141),$AC141,IF(AND($Y141&lt;&gt;"",EDATE($D141,Milestones!$AA$83)&gt;=$Y141),$AB141,$AA141)))=Milestones!$AB$83),UPPER(TEXT(EDATE($D141,Milestones!$AA$83),"dd mmm yy"))&amp;" "&amp;Milestones!$AB$83&amp;" "&amp;IF(AND(Milestones!$AB$83="FT",Milestones!$AA$83=FT_Y5,EDATE($D141,Milestones!$AA$83)&lt;PolicyEff),1,Milestones!$AC$83)&amp;";  ","")&amp;IF(AND(EDATE($D141,Milestones!$AA$84)&lt;=AsOfDate,EDATE($D141,Milestones!$AA$84)&gt;=SchemeStart,IF($X141=0,$AD141,IF(AND($Z141&lt;&gt;"",EDATE($D141,Milestones!$AA$84)&gt;=$Z141),$AC141,IF(AND($Y141&lt;&gt;"",EDATE($D141,Milestones!$AA$84)&gt;=$Y141),$AB141,$AA141)))=Milestones!$AB$84),UPPER(TEXT(EDATE($D141,Milestones!$AA$84),"dd mmm yy"))&amp;" "&amp;Milestones!$AB$84&amp;" "&amp;IF(AND(Milestones!$AB$84="FT",Milestones!$AA$84=FT_Y5,EDATE($D141,Milestones!$AA$84)&lt;PolicyEff),1,Milestones!$AC$84)&amp;";  ","")&amp;IF(AND(EDATE($D141,Milestones!$AA$85)&lt;=AsOfDate,EDATE($D141,Milestones!$AA$85)&gt;=SchemeStart,IF($X141=0,$AD141,IF(AND($Z141&lt;&gt;"",EDATE($D141,Milestones!$AA$85)&gt;=$Z141),$AC141,IF(AND($Y141&lt;&gt;"",EDATE($D141,Milestones!$AA$85)&gt;=$Y141),$AB141,$AA141)))=Milestones!$AB$85),UPPER(TEXT(EDATE($D141,Milestones!$AA$85),"dd mmm yy"))&amp;" "&amp;Milestones!$AB$85&amp;" "&amp;IF(AND(Milestones!$AB$85="FT",Milestones!$AA$85=FT_Y5,EDATE($D141,Milestones!$AA$85)&lt;PolicyEff),1,Milestones!$AC$85)&amp;";  ","")&amp;IF(AND(EDATE($D141,Milestones!$AA$86)&lt;=AsOfDate,EDATE($D141,Milestones!$AA$86)&gt;=SchemeStart,IF($X141=0,$AD141,IF(AND($Z141&lt;&gt;"",EDATE($D141,Milestones!$AA$86)&gt;=$Z141),$AC141,IF(AND($Y141&lt;&gt;"",EDATE($D141,Milestones!$AA$86)&gt;=$Y141),$AB141,$AA141)))=Milestones!$AB$86),UPPER(TEXT(EDATE($D141,Milestones!$AA$86),"dd mmm yy"))&amp;" "&amp;Milestones!$AB$86&amp;" "&amp;IF(AND(Milestones!$AB$86="FT",Milestones!$AA$86=FT_Y5,EDATE($D141,Milestones!$AA$86)&lt;PolicyEff),1,Milestones!$AC$86)&amp;";  ","")&amp;IF(AND(EDATE($D141,Milestones!$AA$87)&lt;=AsOfDate,EDATE($D141,Milestones!$AA$87)&gt;=SchemeStart,IF($X141=0,$AD141,IF(AND($Z141&lt;&gt;"",EDATE($D141,Milestones!$AA$87)&gt;=$Z141),$AC141,IF(AND($Y141&lt;&gt;"",EDATE($D141,Milestones!$AA$87)&gt;=$Y141),$AB141,$AA141)))=Milestones!$AB$87),UPPER(TEXT(EDATE($D141,Milestones!$AA$87),"dd mmm yy"))&amp;" "&amp;Milestones!$AB$87&amp;" "&amp;IF(AND(Milestones!$AB$87="FT",Milestones!$AA$87=FT_Y5,EDATE($D141,Milestones!$AA$87)&lt;PolicyEff),1,Milestones!$AC$87)&amp;";  ","")&amp;IF(AND(EDATE($D141,Milestones!$AA$88)&lt;=AsOfDate,EDATE($D141,Milestones!$AA$88)&gt;=SchemeStart,IF($X141=0,$AD141,IF(AND($Z141&lt;&gt;"",EDATE($D141,Milestones!$AA$88)&gt;=$Z141),$AC141,IF(AND($Y141&lt;&gt;"",EDATE($D141,Milestones!$AA$88)&gt;=$Y141),$AB141,$AA141)))=Milestones!$AB$88),UPPER(TEXT(EDATE($D141,Milestones!$AA$88),"dd mmm yy"))&amp;" "&amp;Milestones!$AB$88&amp;" "&amp;IF(AND(Milestones!$AB$88="FT",Milestones!$AA$88=FT_Y5,EDATE($D141,Milestones!$AA$88)&lt;PolicyEff),1,Milestones!$AC$88)&amp;";  ","")&amp;IF(AND(EDATE($D141,Milestones!$AA$89)&lt;=AsOfDate,EDATE($D141,Milestones!$AA$89)&gt;=SchemeStart,IF($X141=0,$AD141,IF(AND($Z141&lt;&gt;"",EDATE($D141,Milestones!$AA$89)&gt;=$Z141),$AC141,IF(AND($Y141&lt;&gt;"",EDATE($D141,Milestones!$AA$89)&gt;=$Y141),$AB141,$AA141)))=Milestones!$AB$89),UPPER(TEXT(EDATE($D141,Milestones!$AA$89),"dd mmm yy"))&amp;" "&amp;Milestones!$AB$89&amp;" "&amp;IF(AND(Milestones!$AB$89="FT",Milestones!$AA$89=FT_Y5,EDATE($D141,Milestones!$AA$89)&lt;PolicyEff),1,Milestones!$AC$89)&amp;";  ","")&amp;IF(AND(EDATE($D141,Milestones!$AA$90)&lt;=AsOfDate,EDATE($D141,Milestones!$AA$90)&gt;=SchemeStart,IF($X141=0,$AD141,IF(AND($Z141&lt;&gt;"",EDATE($D141,Milestones!$AA$90)&gt;=$Z141),$AC141,IF(AND($Y141&lt;&gt;"",EDATE($D141,Milestones!$AA$90)&gt;=$Y141),$AB141,$AA141)))=Milestones!$AB$90),UPPER(TEXT(EDATE($D141,Milestones!$AA$90),"dd mmm yy"))&amp;" "&amp;Milestones!$AB$90&amp;" "&amp;IF(AND(Milestones!$AB$90="FT",Milestones!$AA$90=FT_Y5,EDATE($D141,Milestones!$AA$90)&lt;PolicyEff),1,Milestones!$AC$90)&amp;";  ","")&amp;IF(AND(EDATE($D141,Milestones!$AA$91)&lt;=AsOfDate,EDATE($D141,Milestones!$AA$91)&gt;=SchemeStart,IF($X141=0,$AD141,IF(AND($Z141&lt;&gt;"",EDATE($D141,Milestones!$AA$91)&gt;=$Z141),$AC141,IF(AND($Y141&lt;&gt;"",EDATE($D141,Milestones!$AA$91)&gt;=$Y141),$AB141,$AA141)))=Milestones!$AB$91),UPPER(TEXT(EDATE($D141,Milestones!$AA$91),"dd mmm yy"))&amp;" "&amp;Milestones!$AB$91&amp;" "&amp;IF(AND(Milestones!$AB$91="FT",Milestones!$AA$91=FT_Y5,EDATE($D141,Milestones!$AA$91)&lt;PolicyEff),1,Milestones!$AC$91)&amp;";  ",""))</f>
        <v/>
      </c>
      <c r="O141" s="0" t="str">
        <f aca="false">IF(OR($A141="",$D141=""),"",IF(AND(EDATE($D141,Milestones!$AA$92)&lt;=AsOfDate,EDATE($D141,Milestones!$AA$92)&gt;=SchemeStart,IF($X141=0,$AD141,IF(AND($Z141&lt;&gt;"",EDATE($D141,Milestones!$AA$92)&gt;=$Z141),$AC141,IF(AND($Y141&lt;&gt;"",EDATE($D141,Milestones!$AA$92)&gt;=$Y141),$AB141,$AA141)))=Milestones!$AB$92),UPPER(TEXT(EDATE($D141,Milestones!$AA$92),"dd mmm yy"))&amp;" "&amp;Milestones!$AB$92&amp;" "&amp;IF(AND(Milestones!$AB$92="FT",Milestones!$AA$92=FT_Y5,EDATE($D141,Milestones!$AA$92)&lt;PolicyEff),1,Milestones!$AC$92)&amp;";  ","")&amp;IF(AND(EDATE($D141,Milestones!$AA$93)&lt;=AsOfDate,EDATE($D141,Milestones!$AA$93)&gt;=SchemeStart,IF($X141=0,$AD141,IF(AND($Z141&lt;&gt;"",EDATE($D141,Milestones!$AA$93)&gt;=$Z141),$AC141,IF(AND($Y141&lt;&gt;"",EDATE($D141,Milestones!$AA$93)&gt;=$Y141),$AB141,$AA141)))=Milestones!$AB$93),UPPER(TEXT(EDATE($D141,Milestones!$AA$93),"dd mmm yy"))&amp;" "&amp;Milestones!$AB$93&amp;" "&amp;IF(AND(Milestones!$AB$93="FT",Milestones!$AA$93=FT_Y5,EDATE($D141,Milestones!$AA$93)&lt;PolicyEff),1,Milestones!$AC$93)&amp;";  ","")&amp;IF(AND(EDATE($D141,Milestones!$AA$94)&lt;=AsOfDate,EDATE($D141,Milestones!$AA$94)&gt;=SchemeStart,IF($X141=0,$AD141,IF(AND($Z141&lt;&gt;"",EDATE($D141,Milestones!$AA$94)&gt;=$Z141),$AC141,IF(AND($Y141&lt;&gt;"",EDATE($D141,Milestones!$AA$94)&gt;=$Y141),$AB141,$AA141)))=Milestones!$AB$94),UPPER(TEXT(EDATE($D141,Milestones!$AA$94),"dd mmm yy"))&amp;" "&amp;Milestones!$AB$94&amp;" "&amp;IF(AND(Milestones!$AB$94="FT",Milestones!$AA$94=FT_Y5,EDATE($D141,Milestones!$AA$94)&lt;PolicyEff),1,Milestones!$AC$94)&amp;";  ","")&amp;IF(AND(EDATE($D141,Milestones!$AA$95)&lt;=AsOfDate,EDATE($D141,Milestones!$AA$95)&gt;=SchemeStart,IF($X141=0,$AD141,IF(AND($Z141&lt;&gt;"",EDATE($D141,Milestones!$AA$95)&gt;=$Z141),$AC141,IF(AND($Y141&lt;&gt;"",EDATE($D141,Milestones!$AA$95)&gt;=$Y141),$AB141,$AA141)))=Milestones!$AB$95),UPPER(TEXT(EDATE($D141,Milestones!$AA$95),"dd mmm yy"))&amp;" "&amp;Milestones!$AB$95&amp;" "&amp;IF(AND(Milestones!$AB$95="FT",Milestones!$AA$95=FT_Y5,EDATE($D141,Milestones!$AA$95)&lt;PolicyEff),1,Milestones!$AC$95)&amp;";  ","")&amp;IF(AND(EDATE($D141,Milestones!$AA$96)&lt;=AsOfDate,EDATE($D141,Milestones!$AA$96)&gt;=SchemeStart,IF($X141=0,$AD141,IF(AND($Z141&lt;&gt;"",EDATE($D141,Milestones!$AA$96)&gt;=$Z141),$AC141,IF(AND($Y141&lt;&gt;"",EDATE($D141,Milestones!$AA$96)&gt;=$Y141),$AB141,$AA141)))=Milestones!$AB$96),UPPER(TEXT(EDATE($D141,Milestones!$AA$96),"dd mmm yy"))&amp;" "&amp;Milestones!$AB$96&amp;" "&amp;IF(AND(Milestones!$AB$96="FT",Milestones!$AA$96=FT_Y5,EDATE($D141,Milestones!$AA$96)&lt;PolicyEff),1,Milestones!$AC$96)&amp;";  ","")&amp;IF(AND(EDATE($D141,Milestones!$AA$97)&lt;=AsOfDate,EDATE($D141,Milestones!$AA$97)&gt;=SchemeStart,IF($X141=0,$AD141,IF(AND($Z141&lt;&gt;"",EDATE($D141,Milestones!$AA$97)&gt;=$Z141),$AC141,IF(AND($Y141&lt;&gt;"",EDATE($D141,Milestones!$AA$97)&gt;=$Y141),$AB141,$AA141)))=Milestones!$AB$97),UPPER(TEXT(EDATE($D141,Milestones!$AA$97),"dd mmm yy"))&amp;" "&amp;Milestones!$AB$97&amp;" "&amp;IF(AND(Milestones!$AB$97="FT",Milestones!$AA$97=FT_Y5,EDATE($D141,Milestones!$AA$97)&lt;PolicyEff),1,Milestones!$AC$97)&amp;";  ","")&amp;IF(AND(EDATE($D141,Milestones!$AA$98)&lt;=AsOfDate,EDATE($D141,Milestones!$AA$98)&gt;=SchemeStart,IF($X141=0,$AD141,IF(AND($Z141&lt;&gt;"",EDATE($D141,Milestones!$AA$98)&gt;=$Z141),$AC141,IF(AND($Y141&lt;&gt;"",EDATE($D141,Milestones!$AA$98)&gt;=$Y141),$AB141,$AA141)))=Milestones!$AB$98),UPPER(TEXT(EDATE($D141,Milestones!$AA$98),"dd mmm yy"))&amp;" "&amp;Milestones!$AB$98&amp;" "&amp;IF(AND(Milestones!$AB$98="FT",Milestones!$AA$98=FT_Y5,EDATE($D141,Milestones!$AA$98)&lt;PolicyEff),1,Milestones!$AC$98)&amp;";  ","")&amp;IF(AND(EDATE($D141,Milestones!$AA$99)&lt;=AsOfDate,EDATE($D141,Milestones!$AA$99)&gt;=SchemeStart,IF($X141=0,$AD141,IF(AND($Z141&lt;&gt;"",EDATE($D141,Milestones!$AA$99)&gt;=$Z141),$AC141,IF(AND($Y141&lt;&gt;"",EDATE($D141,Milestones!$AA$99)&gt;=$Y141),$AB141,$AA141)))=Milestones!$AB$99),UPPER(TEXT(EDATE($D141,Milestones!$AA$99),"dd mmm yy"))&amp;" "&amp;Milestones!$AB$99&amp;" "&amp;IF(AND(Milestones!$AB$99="FT",Milestones!$AA$99=FT_Y5,EDATE($D141,Milestones!$AA$99)&lt;PolicyEff),1,Milestones!$AC$99)&amp;";  ","")&amp;IF(AND(EDATE($D141,Milestones!$AA$100)&lt;=AsOfDate,EDATE($D141,Milestones!$AA$100)&gt;=SchemeStart,IF($X141=0,$AD141,IF(AND($Z141&lt;&gt;"",EDATE($D141,Milestones!$AA$100)&gt;=$Z141),$AC141,IF(AND($Y141&lt;&gt;"",EDATE($D141,Milestones!$AA$100)&gt;=$Y141),$AB141,$AA141)))=Milestones!$AB$100),UPPER(TEXT(EDATE($D141,Milestones!$AA$100),"dd mmm yy"))&amp;" "&amp;Milestones!$AB$100&amp;" "&amp;IF(AND(Milestones!$AB$100="FT",Milestones!$AA$100=FT_Y5,EDATE($D141,Milestones!$AA$100)&lt;PolicyEff),1,Milestones!$AC$100)&amp;";  ","")&amp;IF(AND(EDATE($D141,Milestones!$AA$101)&lt;=AsOfDate,EDATE($D141,Milestones!$AA$101)&gt;=SchemeStart,IF($X141=0,$AD141,IF(AND($Z141&lt;&gt;"",EDATE($D141,Milestones!$AA$101)&gt;=$Z141),$AC141,IF(AND($Y141&lt;&gt;"",EDATE($D141,Milestones!$AA$101)&gt;=$Y141),$AB141,$AA141)))=Milestones!$AB$101),UPPER(TEXT(EDATE($D141,Milestones!$AA$101),"dd mmm yy"))&amp;" "&amp;Milestones!$AB$101&amp;" "&amp;IF(AND(Milestones!$AB$101="FT",Milestones!$AA$101=FT_Y5,EDATE($D141,Milestones!$AA$101)&lt;PolicyEff),1,Milestones!$AC$101)&amp;";  ","")&amp;IF(AND(EDATE($D141,Milestones!$AA$102)&lt;=AsOfDate,EDATE($D141,Milestones!$AA$102)&gt;=SchemeStart,IF($X141=0,$AD141,IF(AND($Z141&lt;&gt;"",EDATE($D141,Milestones!$AA$102)&gt;=$Z141),$AC141,IF(AND($Y141&lt;&gt;"",EDATE($D141,Milestones!$AA$102)&gt;=$Y141),$AB141,$AA141)))=Milestones!$AB$102),UPPER(TEXT(EDATE($D141,Milestones!$AA$102),"dd mmm yy"))&amp;" "&amp;Milestones!$AB$102&amp;" "&amp;IF(AND(Milestones!$AB$102="FT",Milestones!$AA$102=FT_Y5,EDATE($D141,Milestones!$AA$102)&lt;PolicyEff),1,Milestones!$AC$102)&amp;";  ","")&amp;IF(AND(EDATE($D141,Milestones!$AA$103)&lt;=AsOfDate,EDATE($D141,Milestones!$AA$103)&gt;=SchemeStart,IF($X141=0,$AD141,IF(AND($Z141&lt;&gt;"",EDATE($D141,Milestones!$AA$103)&gt;=$Z141),$AC141,IF(AND($Y141&lt;&gt;"",EDATE($D141,Milestones!$AA$103)&gt;=$Y141),$AB141,$AA141)))=Milestones!$AB$103),UPPER(TEXT(EDATE($D141,Milestones!$AA$103),"dd mmm yy"))&amp;" "&amp;Milestones!$AB$103&amp;" "&amp;IF(AND(Milestones!$AB$103="FT",Milestones!$AA$103=FT_Y5,EDATE($D141,Milestones!$AA$103)&lt;PolicyEff),1,Milestones!$AC$103)&amp;";  ",""))</f>
        <v/>
      </c>
      <c r="P141" s="0" t="str">
        <f aca="false">IF(OR($A141="",$D141=""),"",IF(AND(EDATE($D141,Milestones!$AA$104)&lt;=AsOfDate,EDATE($D141,Milestones!$AA$104)&gt;=SchemeStart,IF($X141=0,$AD141,IF(AND($Z141&lt;&gt;"",EDATE($D141,Milestones!$AA$104)&gt;=$Z141),$AC141,IF(AND($Y141&lt;&gt;"",EDATE($D141,Milestones!$AA$104)&gt;=$Y141),$AB141,$AA141)))=Milestones!$AB$104),UPPER(TEXT(EDATE($D141,Milestones!$AA$104),"dd mmm yy"))&amp;" "&amp;Milestones!$AB$104&amp;" "&amp;IF(AND(Milestones!$AB$104="FT",Milestones!$AA$104=FT_Y5,EDATE($D141,Milestones!$AA$104)&lt;PolicyEff),1,Milestones!$AC$104)&amp;";  ","")&amp;IF(AND(EDATE($D141,Milestones!$AA$105)&lt;=AsOfDate,EDATE($D141,Milestones!$AA$105)&gt;=SchemeStart,IF($X141=0,$AD141,IF(AND($Z141&lt;&gt;"",EDATE($D141,Milestones!$AA$105)&gt;=$Z141),$AC141,IF(AND($Y141&lt;&gt;"",EDATE($D141,Milestones!$AA$105)&gt;=$Y141),$AB141,$AA141)))=Milestones!$AB$105),UPPER(TEXT(EDATE($D141,Milestones!$AA$105),"dd mmm yy"))&amp;" "&amp;Milestones!$AB$105&amp;" "&amp;IF(AND(Milestones!$AB$105="FT",Milestones!$AA$105=FT_Y5,EDATE($D141,Milestones!$AA$105)&lt;PolicyEff),1,Milestones!$AC$105)&amp;";  ","")&amp;IF(AND(EDATE($D141,Milestones!$AA$106)&lt;=AsOfDate,EDATE($D141,Milestones!$AA$106)&gt;=SchemeStart,IF($X141=0,$AD141,IF(AND($Z141&lt;&gt;"",EDATE($D141,Milestones!$AA$106)&gt;=$Z141),$AC141,IF(AND($Y141&lt;&gt;"",EDATE($D141,Milestones!$AA$106)&gt;=$Y141),$AB141,$AA141)))=Milestones!$AB$106),UPPER(TEXT(EDATE($D141,Milestones!$AA$106),"dd mmm yy"))&amp;" "&amp;Milestones!$AB$106&amp;" "&amp;IF(AND(Milestones!$AB$106="FT",Milestones!$AA$106=FT_Y5,EDATE($D141,Milestones!$AA$106)&lt;PolicyEff),1,Milestones!$AC$106)&amp;";  ","")&amp;IF(AND(EDATE($D141,Milestones!$AA$107)&lt;=AsOfDate,EDATE($D141,Milestones!$AA$107)&gt;=SchemeStart,IF($X141=0,$AD141,IF(AND($Z141&lt;&gt;"",EDATE($D141,Milestones!$AA$107)&gt;=$Z141),$AC141,IF(AND($Y141&lt;&gt;"",EDATE($D141,Milestones!$AA$107)&gt;=$Y141),$AB141,$AA141)))=Milestones!$AB$107),UPPER(TEXT(EDATE($D141,Milestones!$AA$107),"dd mmm yy"))&amp;" "&amp;Milestones!$AB$107&amp;" "&amp;IF(AND(Milestones!$AB$107="FT",Milestones!$AA$107=FT_Y5,EDATE($D141,Milestones!$AA$107)&lt;PolicyEff),1,Milestones!$AC$107)&amp;";  ","")&amp;IF(AND(EDATE($D141,Milestones!$AA$108)&lt;=AsOfDate,EDATE($D141,Milestones!$AA$108)&gt;=SchemeStart,IF($X141=0,$AD141,IF(AND($Z141&lt;&gt;"",EDATE($D141,Milestones!$AA$108)&gt;=$Z141),$AC141,IF(AND($Y141&lt;&gt;"",EDATE($D141,Milestones!$AA$108)&gt;=$Y141),$AB141,$AA141)))=Milestones!$AB$108),UPPER(TEXT(EDATE($D141,Milestones!$AA$108),"dd mmm yy"))&amp;" "&amp;Milestones!$AB$108&amp;" "&amp;IF(AND(Milestones!$AB$108="FT",Milestones!$AA$108=FT_Y5,EDATE($D141,Milestones!$AA$108)&lt;PolicyEff),1,Milestones!$AC$108)&amp;";  ","")&amp;IF(AND(EDATE($D141,Milestones!$AA$109)&lt;=AsOfDate,EDATE($D141,Milestones!$AA$109)&gt;=SchemeStart,IF($X141=0,$AD141,IF(AND($Z141&lt;&gt;"",EDATE($D141,Milestones!$AA$109)&gt;=$Z141),$AC141,IF(AND($Y141&lt;&gt;"",EDATE($D141,Milestones!$AA$109)&gt;=$Y141),$AB141,$AA141)))=Milestones!$AB$109),UPPER(TEXT(EDATE($D141,Milestones!$AA$109),"dd mmm yy"))&amp;" "&amp;Milestones!$AB$109&amp;" "&amp;IF(AND(Milestones!$AB$109="FT",Milestones!$AA$109=FT_Y5,EDATE($D141,Milestones!$AA$109)&lt;PolicyEff),1,Milestones!$AC$109)&amp;";  ","")&amp;IF(AND(EDATE($D141,Milestones!$AA$110)&lt;=AsOfDate,EDATE($D141,Milestones!$AA$110)&gt;=SchemeStart,IF($X141=0,$AD141,IF(AND($Z141&lt;&gt;"",EDATE($D141,Milestones!$AA$110)&gt;=$Z141),$AC141,IF(AND($Y141&lt;&gt;"",EDATE($D141,Milestones!$AA$110)&gt;=$Y141),$AB141,$AA141)))=Milestones!$AB$110),UPPER(TEXT(EDATE($D141,Milestones!$AA$110),"dd mmm yy"))&amp;" "&amp;Milestones!$AB$110&amp;" "&amp;IF(AND(Milestones!$AB$110="FT",Milestones!$AA$110=FT_Y5,EDATE($D141,Milestones!$AA$110)&lt;PolicyEff),1,Milestones!$AC$110)&amp;";  ","")&amp;IF(AND(EDATE($D141,Milestones!$AA$111)&lt;=AsOfDate,EDATE($D141,Milestones!$AA$111)&gt;=SchemeStart,IF($X141=0,$AD141,IF(AND($Z141&lt;&gt;"",EDATE($D141,Milestones!$AA$111)&gt;=$Z141),$AC141,IF(AND($Y141&lt;&gt;"",EDATE($D141,Milestones!$AA$111)&gt;=$Y141),$AB141,$AA141)))=Milestones!$AB$111),UPPER(TEXT(EDATE($D141,Milestones!$AA$111),"dd mmm yy"))&amp;" "&amp;Milestones!$AB$111&amp;" "&amp;IF(AND(Milestones!$AB$111="FT",Milestones!$AA$111=FT_Y5,EDATE($D141,Milestones!$AA$111)&lt;PolicyEff),1,Milestones!$AC$111)&amp;";  ","")&amp;IF(AND(EDATE($D141,Milestones!$AA$112)&lt;=AsOfDate,EDATE($D141,Milestones!$AA$112)&gt;=SchemeStart,IF($X141=0,$AD141,IF(AND($Z141&lt;&gt;"",EDATE($D141,Milestones!$AA$112)&gt;=$Z141),$AC141,IF(AND($Y141&lt;&gt;"",EDATE($D141,Milestones!$AA$112)&gt;=$Y141),$AB141,$AA141)))=Milestones!$AB$112),UPPER(TEXT(EDATE($D141,Milestones!$AA$112),"dd mmm yy"))&amp;" "&amp;Milestones!$AB$112&amp;" "&amp;IF(AND(Milestones!$AB$112="FT",Milestones!$AA$112=FT_Y5,EDATE($D141,Milestones!$AA$112)&lt;PolicyEff),1,Milestones!$AC$112)&amp;";  ","")&amp;IF(AND(EDATE($D141,Milestones!$AA$113)&lt;=AsOfDate,EDATE($D141,Milestones!$AA$113)&gt;=SchemeStart,IF($X141=0,$AD141,IF(AND($Z141&lt;&gt;"",EDATE($D141,Milestones!$AA$113)&gt;=$Z141),$AC141,IF(AND($Y141&lt;&gt;"",EDATE($D141,Milestones!$AA$113)&gt;=$Y141),$AB141,$AA141)))=Milestones!$AB$113),UPPER(TEXT(EDATE($D141,Milestones!$AA$113),"dd mmm yy"))&amp;" "&amp;Milestones!$AB$113&amp;" "&amp;IF(AND(Milestones!$AB$113="FT",Milestones!$AA$113=FT_Y5,EDATE($D141,Milestones!$AA$113)&lt;PolicyEff),1,Milestones!$AC$113)&amp;";  ","")&amp;IF(AND(EDATE($D141,Milestones!$AA$114)&lt;=AsOfDate,EDATE($D141,Milestones!$AA$114)&gt;=SchemeStart,IF($X141=0,$AD141,IF(AND($Z141&lt;&gt;"",EDATE($D141,Milestones!$AA$114)&gt;=$Z141),$AC141,IF(AND($Y141&lt;&gt;"",EDATE($D141,Milestones!$AA$114)&gt;=$Y141),$AB141,$AA141)))=Milestones!$AB$114),UPPER(TEXT(EDATE($D141,Milestones!$AA$114),"dd mmm yy"))&amp;" "&amp;Milestones!$AB$114&amp;" "&amp;IF(AND(Milestones!$AB$114="FT",Milestones!$AA$114=FT_Y5,EDATE($D141,Milestones!$AA$114)&lt;PolicyEff),1,Milestones!$AC$114)&amp;";  ","")&amp;IF(AND(EDATE($D141,Milestones!$AA$115)&lt;=AsOfDate,EDATE($D141,Milestones!$AA$115)&gt;=SchemeStart,IF($X141=0,$AD141,IF(AND($Z141&lt;&gt;"",EDATE($D141,Milestones!$AA$115)&gt;=$Z141),$AC141,IF(AND($Y141&lt;&gt;"",EDATE($D141,Milestones!$AA$115)&gt;=$Y141),$AB141,$AA141)))=Milestones!$AB$115),UPPER(TEXT(EDATE($D141,Milestones!$AA$115),"dd mmm yy"))&amp;" "&amp;Milestones!$AB$115&amp;" "&amp;IF(AND(Milestones!$AB$115="FT",Milestones!$AA$115=FT_Y5,EDATE($D141,Milestones!$AA$115)&lt;PolicyEff),1,Milestones!$AC$115)&amp;";  ",""))</f>
        <v/>
      </c>
      <c r="Q141" s="0" t="str">
        <f aca="false">IF(OR($A141="",$D141=""),"",IF(AND(EDATE($D141,Milestones!$AA$116)&lt;=AsOfDate,EDATE($D141,Milestones!$AA$116)&gt;=SchemeStart,IF($X141=0,$AD141,IF(AND($Z141&lt;&gt;"",EDATE($D141,Milestones!$AA$116)&gt;=$Z141),$AC141,IF(AND($Y141&lt;&gt;"",EDATE($D141,Milestones!$AA$116)&gt;=$Y141),$AB141,$AA141)))=Milestones!$AB$116),UPPER(TEXT(EDATE($D141,Milestones!$AA$116),"dd mmm yy"))&amp;" "&amp;Milestones!$AB$116&amp;" "&amp;IF(AND(Milestones!$AB$116="FT",Milestones!$AA$116=FT_Y5,EDATE($D141,Milestones!$AA$116)&lt;PolicyEff),1,Milestones!$AC$116)&amp;";  ","")&amp;IF(AND(EDATE($D141,Milestones!$AA$117)&lt;=AsOfDate,EDATE($D141,Milestones!$AA$117)&gt;=SchemeStart,IF($X141=0,$AD141,IF(AND($Z141&lt;&gt;"",EDATE($D141,Milestones!$AA$117)&gt;=$Z141),$AC141,IF(AND($Y141&lt;&gt;"",EDATE($D141,Milestones!$AA$117)&gt;=$Y141),$AB141,$AA141)))=Milestones!$AB$117),UPPER(TEXT(EDATE($D141,Milestones!$AA$117),"dd mmm yy"))&amp;" "&amp;Milestones!$AB$117&amp;" "&amp;IF(AND(Milestones!$AB$117="FT",Milestones!$AA$117=FT_Y5,EDATE($D141,Milestones!$AA$117)&lt;PolicyEff),1,Milestones!$AC$117)&amp;";  ","")&amp;IF(AND(EDATE($D141,Milestones!$AA$118)&lt;=AsOfDate,EDATE($D141,Milestones!$AA$118)&gt;=SchemeStart,IF($X141=0,$AD141,IF(AND($Z141&lt;&gt;"",EDATE($D141,Milestones!$AA$118)&gt;=$Z141),$AC141,IF(AND($Y141&lt;&gt;"",EDATE($D141,Milestones!$AA$118)&gt;=$Y141),$AB141,$AA141)))=Milestones!$AB$118),UPPER(TEXT(EDATE($D141,Milestones!$AA$118),"dd mmm yy"))&amp;" "&amp;Milestones!$AB$118&amp;" "&amp;IF(AND(Milestones!$AB$118="FT",Milestones!$AA$118=FT_Y5,EDATE($D141,Milestones!$AA$118)&lt;PolicyEff),1,Milestones!$AC$118)&amp;";  ","")&amp;IF(AND(EDATE($D141,Milestones!$AA$119)&lt;=AsOfDate,EDATE($D141,Milestones!$AA$119)&gt;=SchemeStart,IF($X141=0,$AD141,IF(AND($Z141&lt;&gt;"",EDATE($D141,Milestones!$AA$119)&gt;=$Z141),$AC141,IF(AND($Y141&lt;&gt;"",EDATE($D141,Milestones!$AA$119)&gt;=$Y141),$AB141,$AA141)))=Milestones!$AB$119),UPPER(TEXT(EDATE($D141,Milestones!$AA$119),"dd mmm yy"))&amp;" "&amp;Milestones!$AB$119&amp;" "&amp;IF(AND(Milestones!$AB$119="FT",Milestones!$AA$119=FT_Y5,EDATE($D141,Milestones!$AA$119)&lt;PolicyEff),1,Milestones!$AC$119)&amp;";  ","")&amp;IF(AND(EDATE($D141,Milestones!$AA$120)&lt;=AsOfDate,EDATE($D141,Milestones!$AA$120)&gt;=SchemeStart,IF($X141=0,$AD141,IF(AND($Z141&lt;&gt;"",EDATE($D141,Milestones!$AA$120)&gt;=$Z141),$AC141,IF(AND($Y141&lt;&gt;"",EDATE($D141,Milestones!$AA$120)&gt;=$Y141),$AB141,$AA141)))=Milestones!$AB$120),UPPER(TEXT(EDATE($D141,Milestones!$AA$120),"dd mmm yy"))&amp;" "&amp;Milestones!$AB$120&amp;" "&amp;IF(AND(Milestones!$AB$120="FT",Milestones!$AA$120=FT_Y5,EDATE($D141,Milestones!$AA$120)&lt;PolicyEff),1,Milestones!$AC$120)&amp;";  ","")&amp;IF(AND(EDATE($D141,Milestones!$AA$121)&lt;=AsOfDate,EDATE($D141,Milestones!$AA$121)&gt;=SchemeStart,IF($X141=0,$AD141,IF(AND($Z141&lt;&gt;"",EDATE($D141,Milestones!$AA$121)&gt;=$Z141),$AC141,IF(AND($Y141&lt;&gt;"",EDATE($D141,Milestones!$AA$121)&gt;=$Y141),$AB141,$AA141)))=Milestones!$AB$121),UPPER(TEXT(EDATE($D141,Milestones!$AA$121),"dd mmm yy"))&amp;" "&amp;Milestones!$AB$121&amp;" "&amp;IF(AND(Milestones!$AB$121="FT",Milestones!$AA$121=FT_Y5,EDATE($D141,Milestones!$AA$121)&lt;PolicyEff),1,Milestones!$AC$121)&amp;";  ","")&amp;IF(AND(EDATE($D141,Milestones!$AA$122)&lt;=AsOfDate,EDATE($D141,Milestones!$AA$122)&gt;=SchemeStart,IF($X141=0,$AD141,IF(AND($Z141&lt;&gt;"",EDATE($D141,Milestones!$AA$122)&gt;=$Z141),$AC141,IF(AND($Y141&lt;&gt;"",EDATE($D141,Milestones!$AA$122)&gt;=$Y141),$AB141,$AA141)))=Milestones!$AB$122),UPPER(TEXT(EDATE($D141,Milestones!$AA$122),"dd mmm yy"))&amp;" "&amp;Milestones!$AB$122&amp;" "&amp;IF(AND(Milestones!$AB$122="FT",Milestones!$AA$122=FT_Y5,EDATE($D141,Milestones!$AA$122)&lt;PolicyEff),1,Milestones!$AC$122)&amp;";  ","")&amp;IF(AND(EDATE($D141,Milestones!$AA$123)&lt;=AsOfDate,EDATE($D141,Milestones!$AA$123)&gt;=SchemeStart,IF($X141=0,$AD141,IF(AND($Z141&lt;&gt;"",EDATE($D141,Milestones!$AA$123)&gt;=$Z141),$AC141,IF(AND($Y141&lt;&gt;"",EDATE($D141,Milestones!$AA$123)&gt;=$Y141),$AB141,$AA141)))=Milestones!$AB$123),UPPER(TEXT(EDATE($D141,Milestones!$AA$123),"dd mmm yy"))&amp;" "&amp;Milestones!$AB$123&amp;" "&amp;IF(AND(Milestones!$AB$123="FT",Milestones!$AA$123=FT_Y5,EDATE($D141,Milestones!$AA$123)&lt;PolicyEff),1,Milestones!$AC$123)&amp;";  ","")&amp;IF(AND(EDATE($D141,Milestones!$AA$124)&lt;=AsOfDate,EDATE($D141,Milestones!$AA$124)&gt;=SchemeStart,IF($X141=0,$AD141,IF(AND($Z141&lt;&gt;"",EDATE($D141,Milestones!$AA$124)&gt;=$Z141),$AC141,IF(AND($Y141&lt;&gt;"",EDATE($D141,Milestones!$AA$124)&gt;=$Y141),$AB141,$AA141)))=Milestones!$AB$124),UPPER(TEXT(EDATE($D141,Milestones!$AA$124),"dd mmm yy"))&amp;" "&amp;Milestones!$AB$124&amp;" "&amp;IF(AND(Milestones!$AB$124="FT",Milestones!$AA$124=FT_Y5,EDATE($D141,Milestones!$AA$124)&lt;PolicyEff),1,Milestones!$AC$124)&amp;";  ","")&amp;IF(AND(EDATE($D141,Milestones!$AA$125)&lt;=AsOfDate,EDATE($D141,Milestones!$AA$125)&gt;=SchemeStart,IF($X141=0,$AD141,IF(AND($Z141&lt;&gt;"",EDATE($D141,Milestones!$AA$125)&gt;=$Z141),$AC141,IF(AND($Y141&lt;&gt;"",EDATE($D141,Milestones!$AA$125)&gt;=$Y141),$AB141,$AA141)))=Milestones!$AB$125),UPPER(TEXT(EDATE($D141,Milestones!$AA$125),"dd mmm yy"))&amp;" "&amp;Milestones!$AB$125&amp;" "&amp;IF(AND(Milestones!$AB$125="FT",Milestones!$AA$125=FT_Y5,EDATE($D141,Milestones!$AA$125)&lt;PolicyEff),1,Milestones!$AC$125)&amp;";  ","")&amp;IF(AND(EDATE($D141,Milestones!$AA$126)&lt;=AsOfDate,EDATE($D141,Milestones!$AA$126)&gt;=SchemeStart,IF($X141=0,$AD141,IF(AND($Z141&lt;&gt;"",EDATE($D141,Milestones!$AA$126)&gt;=$Z141),$AC141,IF(AND($Y141&lt;&gt;"",EDATE($D141,Milestones!$AA$126)&gt;=$Y141),$AB141,$AA141)))=Milestones!$AB$126),UPPER(TEXT(EDATE($D141,Milestones!$AA$126),"dd mmm yy"))&amp;" "&amp;Milestones!$AB$126&amp;" "&amp;IF(AND(Milestones!$AB$126="FT",Milestones!$AA$126=FT_Y5,EDATE($D141,Milestones!$AA$126)&lt;PolicyEff),1,Milestones!$AC$126)&amp;";  ","")&amp;IF(AND(EDATE($D141,Milestones!$AA$127)&lt;=AsOfDate,EDATE($D141,Milestones!$AA$127)&gt;=SchemeStart,IF($X141=0,$AD141,IF(AND($Z141&lt;&gt;"",EDATE($D141,Milestones!$AA$127)&gt;=$Z141),$AC141,IF(AND($Y141&lt;&gt;"",EDATE($D141,Milestones!$AA$127)&gt;=$Y141),$AB141,$AA141)))=Milestones!$AB$127),UPPER(TEXT(EDATE($D141,Milestones!$AA$127),"dd mmm yy"))&amp;" "&amp;Milestones!$AB$127&amp;" "&amp;IF(AND(Milestones!$AB$127="FT",Milestones!$AA$127=FT_Y5,EDATE($D141,Milestones!$AA$127)&lt;PolicyEff),1,Milestones!$AC$127)&amp;";  ",""))</f>
        <v/>
      </c>
      <c r="R141" s="0" t="str">
        <f aca="false">IF(OR($A141="",$D141=""),"",IF(AND(EDATE($D141,Milestones!$AA$128)&lt;=AsOfDate,EDATE($D141,Milestones!$AA$128)&gt;=SchemeStart,IF($X141=0,$AD141,IF(AND($Z141&lt;&gt;"",EDATE($D141,Milestones!$AA$128)&gt;=$Z141),$AC141,IF(AND($Y141&lt;&gt;"",EDATE($D141,Milestones!$AA$128)&gt;=$Y141),$AB141,$AA141)))=Milestones!$AB$128),UPPER(TEXT(EDATE($D141,Milestones!$AA$128),"dd mmm yy"))&amp;" "&amp;Milestones!$AB$128&amp;" "&amp;IF(AND(Milestones!$AB$128="FT",Milestones!$AA$128=FT_Y5,EDATE($D141,Milestones!$AA$128)&lt;PolicyEff),1,Milestones!$AC$128)&amp;";  ","")&amp;IF(AND(EDATE($D141,Milestones!$AA$129)&lt;=AsOfDate,EDATE($D141,Milestones!$AA$129)&gt;=SchemeStart,IF($X141=0,$AD141,IF(AND($Z141&lt;&gt;"",EDATE($D141,Milestones!$AA$129)&gt;=$Z141),$AC141,IF(AND($Y141&lt;&gt;"",EDATE($D141,Milestones!$AA$129)&gt;=$Y141),$AB141,$AA141)))=Milestones!$AB$129),UPPER(TEXT(EDATE($D141,Milestones!$AA$129),"dd mmm yy"))&amp;" "&amp;Milestones!$AB$129&amp;" "&amp;IF(AND(Milestones!$AB$129="FT",Milestones!$AA$129=FT_Y5,EDATE($D141,Milestones!$AA$129)&lt;PolicyEff),1,Milestones!$AC$129)&amp;";  ","")&amp;IF(AND(EDATE($D141,Milestones!$AA$130)&lt;=AsOfDate,EDATE($D141,Milestones!$AA$130)&gt;=SchemeStart,IF($X141=0,$AD141,IF(AND($Z141&lt;&gt;"",EDATE($D141,Milestones!$AA$130)&gt;=$Z141),$AC141,IF(AND($Y141&lt;&gt;"",EDATE($D141,Milestones!$AA$130)&gt;=$Y141),$AB141,$AA141)))=Milestones!$AB$130),UPPER(TEXT(EDATE($D141,Milestones!$AA$130),"dd mmm yy"))&amp;" "&amp;Milestones!$AB$130&amp;" "&amp;IF(AND(Milestones!$AB$130="FT",Milestones!$AA$130=FT_Y5,EDATE($D141,Milestones!$AA$130)&lt;PolicyEff),1,Milestones!$AC$130)&amp;";  ","")&amp;IF(AND(EDATE($D141,Milestones!$AA$131)&lt;=AsOfDate,EDATE($D141,Milestones!$AA$131)&gt;=SchemeStart,IF($X141=0,$AD141,IF(AND($Z141&lt;&gt;"",EDATE($D141,Milestones!$AA$131)&gt;=$Z141),$AC141,IF(AND($Y141&lt;&gt;"",EDATE($D141,Milestones!$AA$131)&gt;=$Y141),$AB141,$AA141)))=Milestones!$AB$131),UPPER(TEXT(EDATE($D141,Milestones!$AA$131),"dd mmm yy"))&amp;" "&amp;Milestones!$AB$131&amp;" "&amp;IF(AND(Milestones!$AB$131="FT",Milestones!$AA$131=FT_Y5,EDATE($D141,Milestones!$AA$131)&lt;PolicyEff),1,Milestones!$AC$131)&amp;";  ","")&amp;IF(AND(EDATE($D141,Milestones!$AA$132)&lt;=AsOfDate,EDATE($D141,Milestones!$AA$132)&gt;=SchemeStart,IF($X141=0,$AD141,IF(AND($Z141&lt;&gt;"",EDATE($D141,Milestones!$AA$132)&gt;=$Z141),$AC141,IF(AND($Y141&lt;&gt;"",EDATE($D141,Milestones!$AA$132)&gt;=$Y141),$AB141,$AA141)))=Milestones!$AB$132),UPPER(TEXT(EDATE($D141,Milestones!$AA$132),"dd mmm yy"))&amp;" "&amp;Milestones!$AB$132&amp;" "&amp;IF(AND(Milestones!$AB$132="FT",Milestones!$AA$132=FT_Y5,EDATE($D141,Milestones!$AA$132)&lt;PolicyEff),1,Milestones!$AC$132)&amp;";  ","")&amp;IF(AND(EDATE($D141,Milestones!$AA$133)&lt;=AsOfDate,EDATE($D141,Milestones!$AA$133)&gt;=SchemeStart,IF($X141=0,$AD141,IF(AND($Z141&lt;&gt;"",EDATE($D141,Milestones!$AA$133)&gt;=$Z141),$AC141,IF(AND($Y141&lt;&gt;"",EDATE($D141,Milestones!$AA$133)&gt;=$Y141),$AB141,$AA141)))=Milestones!$AB$133),UPPER(TEXT(EDATE($D141,Milestones!$AA$133),"dd mmm yy"))&amp;" "&amp;Milestones!$AB$133&amp;" "&amp;IF(AND(Milestones!$AB$133="FT",Milestones!$AA$133=FT_Y5,EDATE($D141,Milestones!$AA$133)&lt;PolicyEff),1,Milestones!$AC$133)&amp;";  ","")&amp;IF(AND(EDATE($D141,Milestones!$AA$134)&lt;=AsOfDate,EDATE($D141,Milestones!$AA$134)&gt;=SchemeStart,IF($X141=0,$AD141,IF(AND($Z141&lt;&gt;"",EDATE($D141,Milestones!$AA$134)&gt;=$Z141),$AC141,IF(AND($Y141&lt;&gt;"",EDATE($D141,Milestones!$AA$134)&gt;=$Y141),$AB141,$AA141)))=Milestones!$AB$134),UPPER(TEXT(EDATE($D141,Milestones!$AA$134),"dd mmm yy"))&amp;" "&amp;Milestones!$AB$134&amp;" "&amp;IF(AND(Milestones!$AB$134="FT",Milestones!$AA$134=FT_Y5,EDATE($D141,Milestones!$AA$134)&lt;PolicyEff),1,Milestones!$AC$134)&amp;";  ","")&amp;IF(AND(EDATE($D141,Milestones!$AA$135)&lt;=AsOfDate,EDATE($D141,Milestones!$AA$135)&gt;=SchemeStart,IF($X141=0,$AD141,IF(AND($Z141&lt;&gt;"",EDATE($D141,Milestones!$AA$135)&gt;=$Z141),$AC141,IF(AND($Y141&lt;&gt;"",EDATE($D141,Milestones!$AA$135)&gt;=$Y141),$AB141,$AA141)))=Milestones!$AB$135),UPPER(TEXT(EDATE($D141,Milestones!$AA$135),"dd mmm yy"))&amp;" "&amp;Milestones!$AB$135&amp;" "&amp;IF(AND(Milestones!$AB$135="FT",Milestones!$AA$135=FT_Y5,EDATE($D141,Milestones!$AA$135)&lt;PolicyEff),1,Milestones!$AC$135)&amp;";  ","")&amp;IF(AND(EDATE($D141,Milestones!$AA$136)&lt;=AsOfDate,EDATE($D141,Milestones!$AA$136)&gt;=SchemeStart,IF($X141=0,$AD141,IF(AND($Z141&lt;&gt;"",EDATE($D141,Milestones!$AA$136)&gt;=$Z141),$AC141,IF(AND($Y141&lt;&gt;"",EDATE($D141,Milestones!$AA$136)&gt;=$Y141),$AB141,$AA141)))=Milestones!$AB$136),UPPER(TEXT(EDATE($D141,Milestones!$AA$136),"dd mmm yy"))&amp;" "&amp;Milestones!$AB$136&amp;" "&amp;IF(AND(Milestones!$AB$136="FT",Milestones!$AA$136=FT_Y5,EDATE($D141,Milestones!$AA$136)&lt;PolicyEff),1,Milestones!$AC$136)&amp;";  ","")&amp;IF(AND(EDATE($D141,Milestones!$AA$137)&lt;=AsOfDate,EDATE($D141,Milestones!$AA$137)&gt;=SchemeStart,IF($X141=0,$AD141,IF(AND($Z141&lt;&gt;"",EDATE($D141,Milestones!$AA$137)&gt;=$Z141),$AC141,IF(AND($Y141&lt;&gt;"",EDATE($D141,Milestones!$AA$137)&gt;=$Y141),$AB141,$AA141)))=Milestones!$AB$137),UPPER(TEXT(EDATE($D141,Milestones!$AA$137),"dd mmm yy"))&amp;" "&amp;Milestones!$AB$137&amp;" "&amp;IF(AND(Milestones!$AB$137="FT",Milestones!$AA$137=FT_Y5,EDATE($D141,Milestones!$AA$137)&lt;PolicyEff),1,Milestones!$AC$137)&amp;";  ","")&amp;IF(AND(EDATE($D141,Milestones!$AA$138)&lt;=AsOfDate,EDATE($D141,Milestones!$AA$138)&gt;=SchemeStart,IF($X141=0,$AD141,IF(AND($Z141&lt;&gt;"",EDATE($D141,Milestones!$AA$138)&gt;=$Z141),$AC141,IF(AND($Y141&lt;&gt;"",EDATE($D141,Milestones!$AA$138)&gt;=$Y141),$AB141,$AA141)))=Milestones!$AB$138),UPPER(TEXT(EDATE($D141,Milestones!$AA$138),"dd mmm yy"))&amp;" "&amp;Milestones!$AB$138&amp;" "&amp;IF(AND(Milestones!$AB$138="FT",Milestones!$AA$138=FT_Y5,EDATE($D141,Milestones!$AA$138)&lt;PolicyEff),1,Milestones!$AC$138)&amp;";  ","")&amp;IF(AND(EDATE($D141,Milestones!$AA$139)&lt;=AsOfDate,EDATE($D141,Milestones!$AA$139)&gt;=SchemeStart,IF($X141=0,$AD141,IF(AND($Z141&lt;&gt;"",EDATE($D141,Milestones!$AA$139)&gt;=$Z141),$AC141,IF(AND($Y141&lt;&gt;"",EDATE($D141,Milestones!$AA$139)&gt;=$Y141),$AB141,$AA141)))=Milestones!$AB$139),UPPER(TEXT(EDATE($D141,Milestones!$AA$139),"dd mmm yy"))&amp;" "&amp;Milestones!$AB$139&amp;" "&amp;IF(AND(Milestones!$AB$139="FT",Milestones!$AA$139=FT_Y5,EDATE($D141,Milestones!$AA$139)&lt;PolicyEff),1,Milestones!$AC$139)&amp;";  ",""))</f>
        <v/>
      </c>
      <c r="S141" s="0" t="str">
        <f aca="false">IF(OR($A141="",$D141=""),"",IF(AND(EDATE($D141,Milestones!$AA$140)&lt;=AsOfDate,EDATE($D141,Milestones!$AA$140)&gt;=SchemeStart,IF($X141=0,$AD141,IF(AND($Z141&lt;&gt;"",EDATE($D141,Milestones!$AA$140)&gt;=$Z141),$AC141,IF(AND($Y141&lt;&gt;"",EDATE($D141,Milestones!$AA$140)&gt;=$Y141),$AB141,$AA141)))=Milestones!$AB$140),UPPER(TEXT(EDATE($D141,Milestones!$AA$140),"dd mmm yy"))&amp;" "&amp;Milestones!$AB$140&amp;" "&amp;IF(AND(Milestones!$AB$140="FT",Milestones!$AA$140=FT_Y5,EDATE($D141,Milestones!$AA$140)&lt;PolicyEff),1,Milestones!$AC$140)&amp;";  ","")&amp;IF(AND(EDATE($D141,Milestones!$AA$141)&lt;=AsOfDate,EDATE($D141,Milestones!$AA$141)&gt;=SchemeStart,IF($X141=0,$AD141,IF(AND($Z141&lt;&gt;"",EDATE($D141,Milestones!$AA$141)&gt;=$Z141),$AC141,IF(AND($Y141&lt;&gt;"",EDATE($D141,Milestones!$AA$141)&gt;=$Y141),$AB141,$AA141)))=Milestones!$AB$141),UPPER(TEXT(EDATE($D141,Milestones!$AA$141),"dd mmm yy"))&amp;" "&amp;Milestones!$AB$141&amp;" "&amp;IF(AND(Milestones!$AB$141="FT",Milestones!$AA$141=FT_Y5,EDATE($D141,Milestones!$AA$141)&lt;PolicyEff),1,Milestones!$AC$141)&amp;";  ","")&amp;IF(AND(EDATE($D141,Milestones!$AA$142)&lt;=AsOfDate,EDATE($D141,Milestones!$AA$142)&gt;=SchemeStart,IF($X141=0,$AD141,IF(AND($Z141&lt;&gt;"",EDATE($D141,Milestones!$AA$142)&gt;=$Z141),$AC141,IF(AND($Y141&lt;&gt;"",EDATE($D141,Milestones!$AA$142)&gt;=$Y141),$AB141,$AA141)))=Milestones!$AB$142),UPPER(TEXT(EDATE($D141,Milestones!$AA$142),"dd mmm yy"))&amp;" "&amp;Milestones!$AB$142&amp;" "&amp;IF(AND(Milestones!$AB$142="FT",Milestones!$AA$142=FT_Y5,EDATE($D141,Milestones!$AA$142)&lt;PolicyEff),1,Milestones!$AC$142)&amp;";  ","")&amp;IF(AND(EDATE($D141,Milestones!$AA$143)&lt;=AsOfDate,EDATE($D141,Milestones!$AA$143)&gt;=SchemeStart,IF($X141=0,$AD141,IF(AND($Z141&lt;&gt;"",EDATE($D141,Milestones!$AA$143)&gt;=$Z141),$AC141,IF(AND($Y141&lt;&gt;"",EDATE($D141,Milestones!$AA$143)&gt;=$Y141),$AB141,$AA141)))=Milestones!$AB$143),UPPER(TEXT(EDATE($D141,Milestones!$AA$143),"dd mmm yy"))&amp;" "&amp;Milestones!$AB$143&amp;" "&amp;IF(AND(Milestones!$AB$143="FT",Milestones!$AA$143=FT_Y5,EDATE($D141,Milestones!$AA$143)&lt;PolicyEff),1,Milestones!$AC$143)&amp;";  ","")&amp;IF(AND(EDATE($D141,Milestones!$AA$144)&lt;=AsOfDate,EDATE($D141,Milestones!$AA$144)&gt;=SchemeStart,IF($X141=0,$AD141,IF(AND($Z141&lt;&gt;"",EDATE($D141,Milestones!$AA$144)&gt;=$Z141),$AC141,IF(AND($Y141&lt;&gt;"",EDATE($D141,Milestones!$AA$144)&gt;=$Y141),$AB141,$AA141)))=Milestones!$AB$144),UPPER(TEXT(EDATE($D141,Milestones!$AA$144),"dd mmm yy"))&amp;" "&amp;Milestones!$AB$144&amp;" "&amp;IF(AND(Milestones!$AB$144="FT",Milestones!$AA$144=FT_Y5,EDATE($D141,Milestones!$AA$144)&lt;PolicyEff),1,Milestones!$AC$144)&amp;";  ","")&amp;IF(AND(EDATE($D141,Milestones!$AA$145)&lt;=AsOfDate,EDATE($D141,Milestones!$AA$145)&gt;=SchemeStart,IF($X141=0,$AD141,IF(AND($Z141&lt;&gt;"",EDATE($D141,Milestones!$AA$145)&gt;=$Z141),$AC141,IF(AND($Y141&lt;&gt;"",EDATE($D141,Milestones!$AA$145)&gt;=$Y141),$AB141,$AA141)))=Milestones!$AB$145),UPPER(TEXT(EDATE($D141,Milestones!$AA$145),"dd mmm yy"))&amp;" "&amp;Milestones!$AB$145&amp;" "&amp;IF(AND(Milestones!$AB$145="FT",Milestones!$AA$145=FT_Y5,EDATE($D141,Milestones!$AA$145)&lt;PolicyEff),1,Milestones!$AC$145)&amp;";  ","")&amp;IF(AND(EDATE($D141,Milestones!$AA$146)&lt;=AsOfDate,EDATE($D141,Milestones!$AA$146)&gt;=SchemeStart,IF($X141=0,$AD141,IF(AND($Z141&lt;&gt;"",EDATE($D141,Milestones!$AA$146)&gt;=$Z141),$AC141,IF(AND($Y141&lt;&gt;"",EDATE($D141,Milestones!$AA$146)&gt;=$Y141),$AB141,$AA141)))=Milestones!$AB$146),UPPER(TEXT(EDATE($D141,Milestones!$AA$146),"dd mmm yy"))&amp;" "&amp;Milestones!$AB$146&amp;" "&amp;IF(AND(Milestones!$AB$146="FT",Milestones!$AA$146=FT_Y5,EDATE($D141,Milestones!$AA$146)&lt;PolicyEff),1,Milestones!$AC$146)&amp;";  ","")&amp;IF(AND(EDATE($D141,Milestones!$AA$147)&lt;=AsOfDate,EDATE($D141,Milestones!$AA$147)&gt;=SchemeStart,IF($X141=0,$AD141,IF(AND($Z141&lt;&gt;"",EDATE($D141,Milestones!$AA$147)&gt;=$Z141),$AC141,IF(AND($Y141&lt;&gt;"",EDATE($D141,Milestones!$AA$147)&gt;=$Y141),$AB141,$AA141)))=Milestones!$AB$147),UPPER(TEXT(EDATE($D141,Milestones!$AA$147),"dd mmm yy"))&amp;" "&amp;Milestones!$AB$147&amp;" "&amp;IF(AND(Milestones!$AB$147="FT",Milestones!$AA$147=FT_Y5,EDATE($D141,Milestones!$AA$147)&lt;PolicyEff),1,Milestones!$AC$147)&amp;";  ","")&amp;IF(AND(EDATE($D141,Milestones!$AA$148)&lt;=AsOfDate,EDATE($D141,Milestones!$AA$148)&gt;=SchemeStart,IF($X141=0,$AD141,IF(AND($Z141&lt;&gt;"",EDATE($D141,Milestones!$AA$148)&gt;=$Z141),$AC141,IF(AND($Y141&lt;&gt;"",EDATE($D141,Milestones!$AA$148)&gt;=$Y141),$AB141,$AA141)))=Milestones!$AB$148),UPPER(TEXT(EDATE($D141,Milestones!$AA$148),"dd mmm yy"))&amp;" "&amp;Milestones!$AB$148&amp;" "&amp;IF(AND(Milestones!$AB$148="FT",Milestones!$AA$148=FT_Y5,EDATE($D141,Milestones!$AA$148)&lt;PolicyEff),1,Milestones!$AC$148)&amp;";  ","")&amp;IF(AND(EDATE($D141,Milestones!$AA$149)&lt;=AsOfDate,EDATE($D141,Milestones!$AA$149)&gt;=SchemeStart,IF($X141=0,$AD141,IF(AND($Z141&lt;&gt;"",EDATE($D141,Milestones!$AA$149)&gt;=$Z141),$AC141,IF(AND($Y141&lt;&gt;"",EDATE($D141,Milestones!$AA$149)&gt;=$Y141),$AB141,$AA141)))=Milestones!$AB$149),UPPER(TEXT(EDATE($D141,Milestones!$AA$149),"dd mmm yy"))&amp;" "&amp;Milestones!$AB$149&amp;" "&amp;IF(AND(Milestones!$AB$149="FT",Milestones!$AA$149=FT_Y5,EDATE($D141,Milestones!$AA$149)&lt;PolicyEff),1,Milestones!$AC$149)&amp;";  ","")&amp;IF(AND(EDATE($D141,Milestones!$AA$150)&lt;=AsOfDate,EDATE($D141,Milestones!$AA$150)&gt;=SchemeStart,IF($X141=0,$AD141,IF(AND($Z141&lt;&gt;"",EDATE($D141,Milestones!$AA$150)&gt;=$Z141),$AC141,IF(AND($Y141&lt;&gt;"",EDATE($D141,Milestones!$AA$150)&gt;=$Y141),$AB141,$AA141)))=Milestones!$AB$150),UPPER(TEXT(EDATE($D141,Milestones!$AA$150),"dd mmm yy"))&amp;" "&amp;Milestones!$AB$150&amp;" "&amp;IF(AND(Milestones!$AB$150="FT",Milestones!$AA$150=FT_Y5,EDATE($D141,Milestones!$AA$150)&lt;PolicyEff),1,Milestones!$AC$150)&amp;";  ","")&amp;IF(AND(EDATE($D141,Milestones!$AA$151)&lt;=AsOfDate,EDATE($D141,Milestones!$AA$151)&gt;=SchemeStart,IF($X141=0,$AD141,IF(AND($Z141&lt;&gt;"",EDATE($D141,Milestones!$AA$151)&gt;=$Z141),$AC141,IF(AND($Y141&lt;&gt;"",EDATE($D141,Milestones!$AA$151)&gt;=$Y141),$AB141,$AA141)))=Milestones!$AB$151),UPPER(TEXT(EDATE($D141,Milestones!$AA$151),"dd mmm yy"))&amp;" "&amp;Milestones!$AB$151&amp;" "&amp;IF(AND(Milestones!$AB$151="FT",Milestones!$AA$151=FT_Y5,EDATE($D141,Milestones!$AA$151)&lt;PolicyEff),1,Milestones!$AC$151)&amp;";  ",""))</f>
        <v/>
      </c>
      <c r="T141" s="0" t="str">
        <f aca="false">IF(OR($A141="",$D141=""),"",IF(AND(EDATE($D141,Milestones!$AA$152)&lt;=AsOfDate,EDATE($D141,Milestones!$AA$152)&gt;=SchemeStart,IF($X141=0,$AD141,IF(AND($Z141&lt;&gt;"",EDATE($D141,Milestones!$AA$152)&gt;=$Z141),$AC141,IF(AND($Y141&lt;&gt;"",EDATE($D141,Milestones!$AA$152)&gt;=$Y141),$AB141,$AA141)))=Milestones!$AB$152),UPPER(TEXT(EDATE($D141,Milestones!$AA$152),"dd mmm yy"))&amp;" "&amp;Milestones!$AB$152&amp;" "&amp;IF(AND(Milestones!$AB$152="FT",Milestones!$AA$152=FT_Y5,EDATE($D141,Milestones!$AA$152)&lt;PolicyEff),1,Milestones!$AC$152)&amp;";  ","")&amp;IF(AND(EDATE($D141,Milestones!$AA$153)&lt;=AsOfDate,EDATE($D141,Milestones!$AA$153)&gt;=SchemeStart,IF($X141=0,$AD141,IF(AND($Z141&lt;&gt;"",EDATE($D141,Milestones!$AA$153)&gt;=$Z141),$AC141,IF(AND($Y141&lt;&gt;"",EDATE($D141,Milestones!$AA$153)&gt;=$Y141),$AB141,$AA141)))=Milestones!$AB$153),UPPER(TEXT(EDATE($D141,Milestones!$AA$153),"dd mmm yy"))&amp;" "&amp;Milestones!$AB$153&amp;" "&amp;IF(AND(Milestones!$AB$153="FT",Milestones!$AA$153=FT_Y5,EDATE($D141,Milestones!$AA$153)&lt;PolicyEff),1,Milestones!$AC$153)&amp;";  ","")&amp;IF(AND(EDATE($D141,Milestones!$AA$154)&lt;=AsOfDate,EDATE($D141,Milestones!$AA$154)&gt;=SchemeStart,IF($X141=0,$AD141,IF(AND($Z141&lt;&gt;"",EDATE($D141,Milestones!$AA$154)&gt;=$Z141),$AC141,IF(AND($Y141&lt;&gt;"",EDATE($D141,Milestones!$AA$154)&gt;=$Y141),$AB141,$AA141)))=Milestones!$AB$154),UPPER(TEXT(EDATE($D141,Milestones!$AA$154),"dd mmm yy"))&amp;" "&amp;Milestones!$AB$154&amp;" "&amp;IF(AND(Milestones!$AB$154="FT",Milestones!$AA$154=FT_Y5,EDATE($D141,Milestones!$AA$154)&lt;PolicyEff),1,Milestones!$AC$154)&amp;";  ","")&amp;IF(AND(EDATE($D141,Milestones!$AA$155)&lt;=AsOfDate,EDATE($D141,Milestones!$AA$155)&gt;=SchemeStart,IF($X141=0,$AD141,IF(AND($Z141&lt;&gt;"",EDATE($D141,Milestones!$AA$155)&gt;=$Z141),$AC141,IF(AND($Y141&lt;&gt;"",EDATE($D141,Milestones!$AA$155)&gt;=$Y141),$AB141,$AA141)))=Milestones!$AB$155),UPPER(TEXT(EDATE($D141,Milestones!$AA$155),"dd mmm yy"))&amp;" "&amp;Milestones!$AB$155&amp;" "&amp;IF(AND(Milestones!$AB$155="FT",Milestones!$AA$155=FT_Y5,EDATE($D141,Milestones!$AA$155)&lt;PolicyEff),1,Milestones!$AC$155)&amp;";  ","")&amp;IF(AND(EDATE($D141,Milestones!$AA$156)&lt;=AsOfDate,EDATE($D141,Milestones!$AA$156)&gt;=SchemeStart,IF($X141=0,$AD141,IF(AND($Z141&lt;&gt;"",EDATE($D141,Milestones!$AA$156)&gt;=$Z141),$AC141,IF(AND($Y141&lt;&gt;"",EDATE($D141,Milestones!$AA$156)&gt;=$Y141),$AB141,$AA141)))=Milestones!$AB$156),UPPER(TEXT(EDATE($D141,Milestones!$AA$156),"dd mmm yy"))&amp;" "&amp;Milestones!$AB$156&amp;" "&amp;IF(AND(Milestones!$AB$156="FT",Milestones!$AA$156=FT_Y5,EDATE($D141,Milestones!$AA$156)&lt;PolicyEff),1,Milestones!$AC$156)&amp;";  ","")&amp;IF(AND(EDATE($D141,Milestones!$AA$157)&lt;=AsOfDate,EDATE($D141,Milestones!$AA$157)&gt;=SchemeStart,IF($X141=0,$AD141,IF(AND($Z141&lt;&gt;"",EDATE($D141,Milestones!$AA$157)&gt;=$Z141),$AC141,IF(AND($Y141&lt;&gt;"",EDATE($D141,Milestones!$AA$157)&gt;=$Y141),$AB141,$AA141)))=Milestones!$AB$157),UPPER(TEXT(EDATE($D141,Milestones!$AA$157),"dd mmm yy"))&amp;" "&amp;Milestones!$AB$157&amp;" "&amp;IF(AND(Milestones!$AB$157="FT",Milestones!$AA$157=FT_Y5,EDATE($D141,Milestones!$AA$157)&lt;PolicyEff),1,Milestones!$AC$157)&amp;";  ","")&amp;IF(AND(EDATE($D141,Milestones!$AA$158)&lt;=AsOfDate,EDATE($D141,Milestones!$AA$158)&gt;=SchemeStart,IF($X141=0,$AD141,IF(AND($Z141&lt;&gt;"",EDATE($D141,Milestones!$AA$158)&gt;=$Z141),$AC141,IF(AND($Y141&lt;&gt;"",EDATE($D141,Milestones!$AA$158)&gt;=$Y141),$AB141,$AA141)))=Milestones!$AB$158),UPPER(TEXT(EDATE($D141,Milestones!$AA$158),"dd mmm yy"))&amp;" "&amp;Milestones!$AB$158&amp;" "&amp;IF(AND(Milestones!$AB$158="FT",Milestones!$AA$158=FT_Y5,EDATE($D141,Milestones!$AA$158)&lt;PolicyEff),1,Milestones!$AC$158)&amp;";  ","")&amp;IF(AND(EDATE($D141,Milestones!$AA$159)&lt;=AsOfDate,EDATE($D141,Milestones!$AA$159)&gt;=SchemeStart,IF($X141=0,$AD141,IF(AND($Z141&lt;&gt;"",EDATE($D141,Milestones!$AA$159)&gt;=$Z141),$AC141,IF(AND($Y141&lt;&gt;"",EDATE($D141,Milestones!$AA$159)&gt;=$Y141),$AB141,$AA141)))=Milestones!$AB$159),UPPER(TEXT(EDATE($D141,Milestones!$AA$159),"dd mmm yy"))&amp;" "&amp;Milestones!$AB$159&amp;" "&amp;IF(AND(Milestones!$AB$159="FT",Milestones!$AA$159=FT_Y5,EDATE($D141,Milestones!$AA$159)&lt;PolicyEff),1,Milestones!$AC$159)&amp;";  ","")&amp;IF(AND(EDATE($D141,Milestones!$AA$160)&lt;=AsOfDate,EDATE($D141,Milestones!$AA$160)&gt;=SchemeStart,IF($X141=0,$AD141,IF(AND($Z141&lt;&gt;"",EDATE($D141,Milestones!$AA$160)&gt;=$Z141),$AC141,IF(AND($Y141&lt;&gt;"",EDATE($D141,Milestones!$AA$160)&gt;=$Y141),$AB141,$AA141)))=Milestones!$AB$160),UPPER(TEXT(EDATE($D141,Milestones!$AA$160),"dd mmm yy"))&amp;" "&amp;Milestones!$AB$160&amp;" "&amp;IF(AND(Milestones!$AB$160="FT",Milestones!$AA$160=FT_Y5,EDATE($D141,Milestones!$AA$160)&lt;PolicyEff),1,Milestones!$AC$160)&amp;";  ","")&amp;IF(AND(EDATE($D141,Milestones!$AA$161)&lt;=AsOfDate,EDATE($D141,Milestones!$AA$161)&gt;=SchemeStart,IF($X141=0,$AD141,IF(AND($Z141&lt;&gt;"",EDATE($D141,Milestones!$AA$161)&gt;=$Z141),$AC141,IF(AND($Y141&lt;&gt;"",EDATE($D141,Milestones!$AA$161)&gt;=$Y141),$AB141,$AA141)))=Milestones!$AB$161),UPPER(TEXT(EDATE($D141,Milestones!$AA$161),"dd mmm yy"))&amp;" "&amp;Milestones!$AB$161&amp;" "&amp;IF(AND(Milestones!$AB$161="FT",Milestones!$AA$161=FT_Y5,EDATE($D141,Milestones!$AA$161)&lt;PolicyEff),1,Milestones!$AC$161)&amp;";  ","")&amp;IF(AND(EDATE($D141,Milestones!$AA$162)&lt;=AsOfDate,EDATE($D141,Milestones!$AA$162)&gt;=SchemeStart,IF($X141=0,$AD141,IF(AND($Z141&lt;&gt;"",EDATE($D141,Milestones!$AA$162)&gt;=$Z141),$AC141,IF(AND($Y141&lt;&gt;"",EDATE($D141,Milestones!$AA$162)&gt;=$Y141),$AB141,$AA141)))=Milestones!$AB$162),UPPER(TEXT(EDATE($D141,Milestones!$AA$162),"dd mmm yy"))&amp;" "&amp;Milestones!$AB$162&amp;" "&amp;IF(AND(Milestones!$AB$162="FT",Milestones!$AA$162=FT_Y5,EDATE($D141,Milestones!$AA$162)&lt;PolicyEff),1,Milestones!$AC$162)&amp;";  ","")&amp;IF(AND(EDATE($D141,Milestones!$AA$163)&lt;=AsOfDate,EDATE($D141,Milestones!$AA$163)&gt;=SchemeStart,IF($X141=0,$AD141,IF(AND($Z141&lt;&gt;"",EDATE($D141,Milestones!$AA$163)&gt;=$Z141),$AC141,IF(AND($Y141&lt;&gt;"",EDATE($D141,Milestones!$AA$163)&gt;=$Y141),$AB141,$AA141)))=Milestones!$AB$163),UPPER(TEXT(EDATE($D141,Milestones!$AA$163),"dd mmm yy"))&amp;" "&amp;Milestones!$AB$163&amp;" "&amp;IF(AND(Milestones!$AB$163="FT",Milestones!$AA$163=FT_Y5,EDATE($D141,Milestones!$AA$163)&lt;PolicyEff),1,Milestones!$AC$163)&amp;";  ",""))</f>
        <v/>
      </c>
      <c r="U141" s="0" t="str">
        <f aca="false">IF(OR($A141="",$D141=""),"",IF(AND(EDATE($D141,Milestones!$AA$164)&lt;=AsOfDate,EDATE($D141,Milestones!$AA$164)&gt;=SchemeStart,IF($X141=0,$AD141,IF(AND($Z141&lt;&gt;"",EDATE($D141,Milestones!$AA$164)&gt;=$Z141),$AC141,IF(AND($Y141&lt;&gt;"",EDATE($D141,Milestones!$AA$164)&gt;=$Y141),$AB141,$AA141)))=Milestones!$AB$164),UPPER(TEXT(EDATE($D141,Milestones!$AA$164),"dd mmm yy"))&amp;" "&amp;Milestones!$AB$164&amp;" "&amp;IF(AND(Milestones!$AB$164="FT",Milestones!$AA$164=FT_Y5,EDATE($D141,Milestones!$AA$164)&lt;PolicyEff),1,Milestones!$AC$164)&amp;";  ","")&amp;IF(AND(EDATE($D141,Milestones!$AA$165)&lt;=AsOfDate,EDATE($D141,Milestones!$AA$165)&gt;=SchemeStart,IF($X141=0,$AD141,IF(AND($Z141&lt;&gt;"",EDATE($D141,Milestones!$AA$165)&gt;=$Z141),$AC141,IF(AND($Y141&lt;&gt;"",EDATE($D141,Milestones!$AA$165)&gt;=$Y141),$AB141,$AA141)))=Milestones!$AB$165),UPPER(TEXT(EDATE($D141,Milestones!$AA$165),"dd mmm yy"))&amp;" "&amp;Milestones!$AB$165&amp;" "&amp;IF(AND(Milestones!$AB$165="FT",Milestones!$AA$165=FT_Y5,EDATE($D141,Milestones!$AA$165)&lt;PolicyEff),1,Milestones!$AC$165)&amp;";  ","")&amp;IF(AND(EDATE($D141,Milestones!$AA$166)&lt;=AsOfDate,EDATE($D141,Milestones!$AA$166)&gt;=SchemeStart,IF($X141=0,$AD141,IF(AND($Z141&lt;&gt;"",EDATE($D141,Milestones!$AA$166)&gt;=$Z141),$AC141,IF(AND($Y141&lt;&gt;"",EDATE($D141,Milestones!$AA$166)&gt;=$Y141),$AB141,$AA141)))=Milestones!$AB$166),UPPER(TEXT(EDATE($D141,Milestones!$AA$166),"dd mmm yy"))&amp;" "&amp;Milestones!$AB$166&amp;" "&amp;IF(AND(Milestones!$AB$166="FT",Milestones!$AA$166=FT_Y5,EDATE($D141,Milestones!$AA$166)&lt;PolicyEff),1,Milestones!$AC$166)&amp;";  ","")&amp;IF(AND(EDATE($D141,Milestones!$AA$167)&lt;=AsOfDate,EDATE($D141,Milestones!$AA$167)&gt;=SchemeStart,IF($X141=0,$AD141,IF(AND($Z141&lt;&gt;"",EDATE($D141,Milestones!$AA$167)&gt;=$Z141),$AC141,IF(AND($Y141&lt;&gt;"",EDATE($D141,Milestones!$AA$167)&gt;=$Y141),$AB141,$AA141)))=Milestones!$AB$167),UPPER(TEXT(EDATE($D141,Milestones!$AA$167),"dd mmm yy"))&amp;" "&amp;Milestones!$AB$167&amp;" "&amp;IF(AND(Milestones!$AB$167="FT",Milestones!$AA$167=FT_Y5,EDATE($D141,Milestones!$AA$167)&lt;PolicyEff),1,Milestones!$AC$167)&amp;";  ","")&amp;IF(AND(EDATE($D141,Milestones!$AA$168)&lt;=AsOfDate,EDATE($D141,Milestones!$AA$168)&gt;=SchemeStart,IF($X141=0,$AD141,IF(AND($Z141&lt;&gt;"",EDATE($D141,Milestones!$AA$168)&gt;=$Z141),$AC141,IF(AND($Y141&lt;&gt;"",EDATE($D141,Milestones!$AA$168)&gt;=$Y141),$AB141,$AA141)))=Milestones!$AB$168),UPPER(TEXT(EDATE($D141,Milestones!$AA$168),"dd mmm yy"))&amp;" "&amp;Milestones!$AB$168&amp;" "&amp;IF(AND(Milestones!$AB$168="FT",Milestones!$AA$168=FT_Y5,EDATE($D141,Milestones!$AA$168)&lt;PolicyEff),1,Milestones!$AC$168)&amp;";  ","")&amp;IF(AND(EDATE($D141,Milestones!$AA$169)&lt;=AsOfDate,EDATE($D141,Milestones!$AA$169)&gt;=SchemeStart,IF($X141=0,$AD141,IF(AND($Z141&lt;&gt;"",EDATE($D141,Milestones!$AA$169)&gt;=$Z141),$AC141,IF(AND($Y141&lt;&gt;"",EDATE($D141,Milestones!$AA$169)&gt;=$Y141),$AB141,$AA141)))=Milestones!$AB$169),UPPER(TEXT(EDATE($D141,Milestones!$AA$169),"dd mmm yy"))&amp;" "&amp;Milestones!$AB$169&amp;" "&amp;IF(AND(Milestones!$AB$169="FT",Milestones!$AA$169=FT_Y5,EDATE($D141,Milestones!$AA$169)&lt;PolicyEff),1,Milestones!$AC$169)&amp;";  ","")&amp;IF(AND(EDATE($D141,Milestones!$AA$170)&lt;=AsOfDate,EDATE($D141,Milestones!$AA$170)&gt;=SchemeStart,IF($X141=0,$AD141,IF(AND($Z141&lt;&gt;"",EDATE($D141,Milestones!$AA$170)&gt;=$Z141),$AC141,IF(AND($Y141&lt;&gt;"",EDATE($D141,Milestones!$AA$170)&gt;=$Y141),$AB141,$AA141)))=Milestones!$AB$170),UPPER(TEXT(EDATE($D141,Milestones!$AA$170),"dd mmm yy"))&amp;" "&amp;Milestones!$AB$170&amp;" "&amp;IF(AND(Milestones!$AB$170="FT",Milestones!$AA$170=FT_Y5,EDATE($D141,Milestones!$AA$170)&lt;PolicyEff),1,Milestones!$AC$170)&amp;";  ","")&amp;IF(AND(EDATE($D141,Milestones!$AA$171)&lt;=AsOfDate,EDATE($D141,Milestones!$AA$171)&gt;=SchemeStart,IF($X141=0,$AD141,IF(AND($Z141&lt;&gt;"",EDATE($D141,Milestones!$AA$171)&gt;=$Z141),$AC141,IF(AND($Y141&lt;&gt;"",EDATE($D141,Milestones!$AA$171)&gt;=$Y141),$AB141,$AA141)))=Milestones!$AB$171),UPPER(TEXT(EDATE($D141,Milestones!$AA$171),"dd mmm yy"))&amp;" "&amp;Milestones!$AB$171&amp;" "&amp;IF(AND(Milestones!$AB$171="FT",Milestones!$AA$171=FT_Y5,EDATE($D141,Milestones!$AA$171)&lt;PolicyEff),1,Milestones!$AC$171)&amp;";  ","")&amp;IF(AND(EDATE($D141,Milestones!$AA$172)&lt;=AsOfDate,EDATE($D141,Milestones!$AA$172)&gt;=SchemeStart,IF($X141=0,$AD141,IF(AND($Z141&lt;&gt;"",EDATE($D141,Milestones!$AA$172)&gt;=$Z141),$AC141,IF(AND($Y141&lt;&gt;"",EDATE($D141,Milestones!$AA$172)&gt;=$Y141),$AB141,$AA141)))=Milestones!$AB$172),UPPER(TEXT(EDATE($D141,Milestones!$AA$172),"dd mmm yy"))&amp;" "&amp;Milestones!$AB$172&amp;" "&amp;IF(AND(Milestones!$AB$172="FT",Milestones!$AA$172=FT_Y5,EDATE($D141,Milestones!$AA$172)&lt;PolicyEff),1,Milestones!$AC$172)&amp;";  ","")&amp;IF(AND(EDATE($D141,Milestones!$AA$173)&lt;=AsOfDate,EDATE($D141,Milestones!$AA$173)&gt;=SchemeStart,IF($X141=0,$AD141,IF(AND($Z141&lt;&gt;"",EDATE($D141,Milestones!$AA$173)&gt;=$Z141),$AC141,IF(AND($Y141&lt;&gt;"",EDATE($D141,Milestones!$AA$173)&gt;=$Y141),$AB141,$AA141)))=Milestones!$AB$173),UPPER(TEXT(EDATE($D141,Milestones!$AA$173),"dd mmm yy"))&amp;" "&amp;Milestones!$AB$173&amp;" "&amp;IF(AND(Milestones!$AB$173="FT",Milestones!$AA$173=FT_Y5,EDATE($D141,Milestones!$AA$173)&lt;PolicyEff),1,Milestones!$AC$173)&amp;";  ","")&amp;IF(AND(EDATE($D141,Milestones!$AA$174)&lt;=AsOfDate,EDATE($D141,Milestones!$AA$174)&gt;=SchemeStart,IF($X141=0,$AD141,IF(AND($Z141&lt;&gt;"",EDATE($D141,Milestones!$AA$174)&gt;=$Z141),$AC141,IF(AND($Y141&lt;&gt;"",EDATE($D141,Milestones!$AA$174)&gt;=$Y141),$AB141,$AA141)))=Milestones!$AB$174),UPPER(TEXT(EDATE($D141,Milestones!$AA$174),"dd mmm yy"))&amp;" "&amp;Milestones!$AB$174&amp;" "&amp;IF(AND(Milestones!$AB$174="FT",Milestones!$AA$174=FT_Y5,EDATE($D141,Milestones!$AA$174)&lt;PolicyEff),1,Milestones!$AC$174)&amp;";  ","")&amp;IF(AND(EDATE($D141,Milestones!$AA$175)&lt;=AsOfDate,EDATE($D141,Milestones!$AA$175)&gt;=SchemeStart,IF($X141=0,$AD141,IF(AND($Z141&lt;&gt;"",EDATE($D141,Milestones!$AA$175)&gt;=$Z141),$AC141,IF(AND($Y141&lt;&gt;"",EDATE($D141,Milestones!$AA$175)&gt;=$Y141),$AB141,$AA141)))=Milestones!$AB$175),UPPER(TEXT(EDATE($D141,Milestones!$AA$175),"dd mmm yy"))&amp;" "&amp;Milestones!$AB$175&amp;" "&amp;IF(AND(Milestones!$AB$175="FT",Milestones!$AA$175=FT_Y5,EDATE($D141,Milestones!$AA$175)&lt;PolicyEff),1,Milestones!$AC$175)&amp;";  ",""))</f>
        <v/>
      </c>
      <c r="V141" s="0" t="str">
        <f aca="false">IF(OR($A141="",$D141=""),"",IF(AND(EDATE($D141,Milestones!$AA$176)&lt;=AsOfDate,EDATE($D141,Milestones!$AA$176)&gt;=SchemeStart,IF($X141=0,$AD141,IF(AND($Z141&lt;&gt;"",EDATE($D141,Milestones!$AA$176)&gt;=$Z141),$AC141,IF(AND($Y141&lt;&gt;"",EDATE($D141,Milestones!$AA$176)&gt;=$Y141),$AB141,$AA141)))=Milestones!$AB$176),UPPER(TEXT(EDATE($D141,Milestones!$AA$176),"dd mmm yy"))&amp;" "&amp;Milestones!$AB$176&amp;" "&amp;IF(AND(Milestones!$AB$176="FT",Milestones!$AA$176=FT_Y5,EDATE($D141,Milestones!$AA$176)&lt;PolicyEff),1,Milestones!$AC$176)&amp;";  ","")&amp;IF(AND(EDATE($D141,Milestones!$AA$177)&lt;=AsOfDate,EDATE($D141,Milestones!$AA$177)&gt;=SchemeStart,IF($X141=0,$AD141,IF(AND($Z141&lt;&gt;"",EDATE($D141,Milestones!$AA$177)&gt;=$Z141),$AC141,IF(AND($Y141&lt;&gt;"",EDATE($D141,Milestones!$AA$177)&gt;=$Y141),$AB141,$AA141)))=Milestones!$AB$177),UPPER(TEXT(EDATE($D141,Milestones!$AA$177),"dd mmm yy"))&amp;" "&amp;Milestones!$AB$177&amp;" "&amp;IF(AND(Milestones!$AB$177="FT",Milestones!$AA$177=FT_Y5,EDATE($D141,Milestones!$AA$177)&lt;PolicyEff),1,Milestones!$AC$177)&amp;";  ","")&amp;IF(AND(EDATE($D141,Milestones!$AA$178)&lt;=AsOfDate,EDATE($D141,Milestones!$AA$178)&gt;=SchemeStart,IF($X141=0,$AD141,IF(AND($Z141&lt;&gt;"",EDATE($D141,Milestones!$AA$178)&gt;=$Z141),$AC141,IF(AND($Y141&lt;&gt;"",EDATE($D141,Milestones!$AA$178)&gt;=$Y141),$AB141,$AA141)))=Milestones!$AB$178),UPPER(TEXT(EDATE($D141,Milestones!$AA$178),"dd mmm yy"))&amp;" "&amp;Milestones!$AB$178&amp;" "&amp;IF(AND(Milestones!$AB$178="FT",Milestones!$AA$178=FT_Y5,EDATE($D141,Milestones!$AA$178)&lt;PolicyEff),1,Milestones!$AC$178)&amp;";  ","")&amp;IF(AND(EDATE($D141,Milestones!$AA$179)&lt;=AsOfDate,EDATE($D141,Milestones!$AA$179)&gt;=SchemeStart,IF($X141=0,$AD141,IF(AND($Z141&lt;&gt;"",EDATE($D141,Milestones!$AA$179)&gt;=$Z141),$AC141,IF(AND($Y141&lt;&gt;"",EDATE($D141,Milestones!$AA$179)&gt;=$Y141),$AB141,$AA141)))=Milestones!$AB$179),UPPER(TEXT(EDATE($D141,Milestones!$AA$179),"dd mmm yy"))&amp;" "&amp;Milestones!$AB$179&amp;" "&amp;IF(AND(Milestones!$AB$179="FT",Milestones!$AA$179=FT_Y5,EDATE($D141,Milestones!$AA$179)&lt;PolicyEff),1,Milestones!$AC$179)&amp;";  ","")&amp;IF(AND(EDATE($D141,Milestones!$AA$180)&lt;=AsOfDate,EDATE($D141,Milestones!$AA$180)&gt;=SchemeStart,IF($X141=0,$AD141,IF(AND($Z141&lt;&gt;"",EDATE($D141,Milestones!$AA$180)&gt;=$Z141),$AC141,IF(AND($Y141&lt;&gt;"",EDATE($D141,Milestones!$AA$180)&gt;=$Y141),$AB141,$AA141)))=Milestones!$AB$180),UPPER(TEXT(EDATE($D141,Milestones!$AA$180),"dd mmm yy"))&amp;" "&amp;Milestones!$AB$180&amp;" "&amp;IF(AND(Milestones!$AB$180="FT",Milestones!$AA$180=FT_Y5,EDATE($D141,Milestones!$AA$180)&lt;PolicyEff),1,Milestones!$AC$180)&amp;";  ","")&amp;IF(AND(EDATE($D141,Milestones!$AA$181)&lt;=AsOfDate,EDATE($D141,Milestones!$AA$181)&gt;=SchemeStart,IF($X141=0,$AD141,IF(AND($Z141&lt;&gt;"",EDATE($D141,Milestones!$AA$181)&gt;=$Z141),$AC141,IF(AND($Y141&lt;&gt;"",EDATE($D141,Milestones!$AA$181)&gt;=$Y141),$AB141,$AA141)))=Milestones!$AB$181),UPPER(TEXT(EDATE($D141,Milestones!$AA$181),"dd mmm yy"))&amp;" "&amp;Milestones!$AB$181&amp;" "&amp;IF(AND(Milestones!$AB$181="FT",Milestones!$AA$181=FT_Y5,EDATE($D141,Milestones!$AA$181)&lt;PolicyEff),1,Milestones!$AC$181)&amp;";  ","")&amp;IF(AND(EDATE($D141,Milestones!$AA$182)&lt;=AsOfDate,EDATE($D141,Milestones!$AA$182)&gt;=SchemeStart,IF($X141=0,$AD141,IF(AND($Z141&lt;&gt;"",EDATE($D141,Milestones!$AA$182)&gt;=$Z141),$AC141,IF(AND($Y141&lt;&gt;"",EDATE($D141,Milestones!$AA$182)&gt;=$Y141),$AB141,$AA141)))=Milestones!$AB$182),UPPER(TEXT(EDATE($D141,Milestones!$AA$182),"dd mmm yy"))&amp;" "&amp;Milestones!$AB$182&amp;" "&amp;IF(AND(Milestones!$AB$182="FT",Milestones!$AA$182=FT_Y5,EDATE($D141,Milestones!$AA$182)&lt;PolicyEff),1,Milestones!$AC$182)&amp;";  ","")&amp;IF(AND(EDATE($D141,Milestones!$AA$183)&lt;=AsOfDate,EDATE($D141,Milestones!$AA$183)&gt;=SchemeStart,IF($X141=0,$AD141,IF(AND($Z141&lt;&gt;"",EDATE($D141,Milestones!$AA$183)&gt;=$Z141),$AC141,IF(AND($Y141&lt;&gt;"",EDATE($D141,Milestones!$AA$183)&gt;=$Y141),$AB141,$AA141)))=Milestones!$AB$183),UPPER(TEXT(EDATE($D141,Milestones!$AA$183),"dd mmm yy"))&amp;" "&amp;Milestones!$AB$183&amp;" "&amp;IF(AND(Milestones!$AB$183="FT",Milestones!$AA$183=FT_Y5,EDATE($D141,Milestones!$AA$183)&lt;PolicyEff),1,Milestones!$AC$183)&amp;";  ","")&amp;IF(AND(EDATE($D141,Milestones!$AA$184)&lt;=AsOfDate,EDATE($D141,Milestones!$AA$184)&gt;=SchemeStart,IF($X141=0,$AD141,IF(AND($Z141&lt;&gt;"",EDATE($D141,Milestones!$AA$184)&gt;=$Z141),$AC141,IF(AND($Y141&lt;&gt;"",EDATE($D141,Milestones!$AA$184)&gt;=$Y141),$AB141,$AA141)))=Milestones!$AB$184),UPPER(TEXT(EDATE($D141,Milestones!$AA$184),"dd mmm yy"))&amp;" "&amp;Milestones!$AB$184&amp;" "&amp;IF(AND(Milestones!$AB$184="FT",Milestones!$AA$184=FT_Y5,EDATE($D141,Milestones!$AA$184)&lt;PolicyEff),1,Milestones!$AC$184)&amp;";  ","")&amp;IF(AND(EDATE($D141,Milestones!$AA$185)&lt;=AsOfDate,EDATE($D141,Milestones!$AA$185)&gt;=SchemeStart,IF($X141=0,$AD141,IF(AND($Z141&lt;&gt;"",EDATE($D141,Milestones!$AA$185)&gt;=$Z141),$AC141,IF(AND($Y141&lt;&gt;"",EDATE($D141,Milestones!$AA$185)&gt;=$Y141),$AB141,$AA141)))=Milestones!$AB$185),UPPER(TEXT(EDATE($D141,Milestones!$AA$185),"dd mmm yy"))&amp;" "&amp;Milestones!$AB$185&amp;" "&amp;IF(AND(Milestones!$AB$185="FT",Milestones!$AA$185=FT_Y5,EDATE($D141,Milestones!$AA$185)&lt;PolicyEff),1,Milestones!$AC$185)&amp;";  ","")&amp;IF(AND(EDATE($D141,Milestones!$AA$186)&lt;=AsOfDate,EDATE($D141,Milestones!$AA$186)&gt;=SchemeStart,IF($X141=0,$AD141,IF(AND($Z141&lt;&gt;"",EDATE($D141,Milestones!$AA$186)&gt;=$Z141),$AC141,IF(AND($Y141&lt;&gt;"",EDATE($D141,Milestones!$AA$186)&gt;=$Y141),$AB141,$AA141)))=Milestones!$AB$186),UPPER(TEXT(EDATE($D141,Milestones!$AA$186),"dd mmm yy"))&amp;" "&amp;Milestones!$AB$186&amp;" "&amp;IF(AND(Milestones!$AB$186="FT",Milestones!$AA$186=FT_Y5,EDATE($D141,Milestones!$AA$186)&lt;PolicyEff),1,Milestones!$AC$186)&amp;";  ","")&amp;IF(AND(EDATE($D141,Milestones!$AA$187)&lt;=AsOfDate,EDATE($D141,Milestones!$AA$187)&gt;=SchemeStart,IF($X141=0,$AD141,IF(AND($Z141&lt;&gt;"",EDATE($D141,Milestones!$AA$187)&gt;=$Z141),$AC141,IF(AND($Y141&lt;&gt;"",EDATE($D141,Milestones!$AA$187)&gt;=$Y141),$AB141,$AA141)))=Milestones!$AB$187),UPPER(TEXT(EDATE($D141,Milestones!$AA$187),"dd mmm yy"))&amp;" "&amp;Milestones!$AB$187&amp;" "&amp;IF(AND(Milestones!$AB$187="FT",Milestones!$AA$187=FT_Y5,EDATE($D141,Milestones!$AA$187)&lt;PolicyEff),1,Milestones!$AC$187)&amp;";  ",""))</f>
        <v/>
      </c>
      <c r="W141" s="0" t="str">
        <f aca="false">IF(OR($A141="",$D141=""),"",IF(AND(EDATE($D141,Milestones!$AA$188)&lt;=AsOfDate,EDATE($D141,Milestones!$AA$188)&gt;=SchemeStart,IF($X141=0,$AD141,IF(AND($Z141&lt;&gt;"",EDATE($D141,Milestones!$AA$188)&gt;=$Z141),$AC141,IF(AND($Y141&lt;&gt;"",EDATE($D141,Milestones!$AA$188)&gt;=$Y141),$AB141,$AA141)))=Milestones!$AB$188),UPPER(TEXT(EDATE($D141,Milestones!$AA$188),"dd mmm yy"))&amp;" "&amp;Milestones!$AB$188&amp;" "&amp;IF(AND(Milestones!$AB$188="FT",Milestones!$AA$188=FT_Y5,EDATE($D141,Milestones!$AA$188)&lt;PolicyEff),1,Milestones!$AC$188)&amp;";  ","")&amp;IF(AND(EDATE($D141,Milestones!$AA$189)&lt;=AsOfDate,EDATE($D141,Milestones!$AA$189)&gt;=SchemeStart,IF($X141=0,$AD141,IF(AND($Z141&lt;&gt;"",EDATE($D141,Milestones!$AA$189)&gt;=$Z141),$AC141,IF(AND($Y141&lt;&gt;"",EDATE($D141,Milestones!$AA$189)&gt;=$Y141),$AB141,$AA141)))=Milestones!$AB$189),UPPER(TEXT(EDATE($D141,Milestones!$AA$189),"dd mmm yy"))&amp;" "&amp;Milestones!$AB$189&amp;" "&amp;IF(AND(Milestones!$AB$189="FT",Milestones!$AA$189=FT_Y5,EDATE($D141,Milestones!$AA$189)&lt;PolicyEff),1,Milestones!$AC$189)&amp;";  ","")&amp;IF(AND(EDATE($D141,Milestones!$AA$190)&lt;=AsOfDate,EDATE($D141,Milestones!$AA$190)&gt;=SchemeStart,IF($X141=0,$AD141,IF(AND($Z141&lt;&gt;"",EDATE($D141,Milestones!$AA$190)&gt;=$Z141),$AC141,IF(AND($Y141&lt;&gt;"",EDATE($D141,Milestones!$AA$190)&gt;=$Y141),$AB141,$AA141)))=Milestones!$AB$190),UPPER(TEXT(EDATE($D141,Milestones!$AA$190),"dd mmm yy"))&amp;" "&amp;Milestones!$AB$190&amp;" "&amp;IF(AND(Milestones!$AB$190="FT",Milestones!$AA$190=FT_Y5,EDATE($D141,Milestones!$AA$190)&lt;PolicyEff),1,Milestones!$AC$190)&amp;";  ","")&amp;IF(AND(EDATE($D141,Milestones!$AA$191)&lt;=AsOfDate,EDATE($D141,Milestones!$AA$191)&gt;=SchemeStart,IF($X141=0,$AD141,IF(AND($Z141&lt;&gt;"",EDATE($D141,Milestones!$AA$191)&gt;=$Z141),$AC141,IF(AND($Y141&lt;&gt;"",EDATE($D141,Milestones!$AA$191)&gt;=$Y141),$AB141,$AA141)))=Milestones!$AB$191),UPPER(TEXT(EDATE($D141,Milestones!$AA$191),"dd mmm yy"))&amp;" "&amp;Milestones!$AB$191&amp;" "&amp;IF(AND(Milestones!$AB$191="FT",Milestones!$AA$191=FT_Y5,EDATE($D141,Milestones!$AA$191)&lt;PolicyEff),1,Milestones!$AC$191)&amp;";  ","")&amp;IF(AND(EDATE($D141,Milestones!$AA$192)&lt;=AsOfDate,EDATE($D141,Milestones!$AA$192)&gt;=SchemeStart,IF($X141=0,$AD141,IF(AND($Z141&lt;&gt;"",EDATE($D141,Milestones!$AA$192)&gt;=$Z141),$AC141,IF(AND($Y141&lt;&gt;"",EDATE($D141,Milestones!$AA$192)&gt;=$Y141),$AB141,$AA141)))=Milestones!$AB$192),UPPER(TEXT(EDATE($D141,Milestones!$AA$192),"dd mmm yy"))&amp;" "&amp;Milestones!$AB$192&amp;" "&amp;IF(AND(Milestones!$AB$192="FT",Milestones!$AA$192=FT_Y5,EDATE($D141,Milestones!$AA$192)&lt;PolicyEff),1,Milestones!$AC$192)&amp;";  ","")&amp;IF(AND(EDATE($D141,Milestones!$AA$193)&lt;=AsOfDate,EDATE($D141,Milestones!$AA$193)&gt;=SchemeStart,IF($X141=0,$AD141,IF(AND($Z141&lt;&gt;"",EDATE($D141,Milestones!$AA$193)&gt;=$Z141),$AC141,IF(AND($Y141&lt;&gt;"",EDATE($D141,Milestones!$AA$193)&gt;=$Y141),$AB141,$AA141)))=Milestones!$AB$193),UPPER(TEXT(EDATE($D141,Milestones!$AA$193),"dd mmm yy"))&amp;" "&amp;Milestones!$AB$193&amp;" "&amp;IF(AND(Milestones!$AB$193="FT",Milestones!$AA$193=FT_Y5,EDATE($D141,Milestones!$AA$193)&lt;PolicyEff),1,Milestones!$AC$193)&amp;";  ","")&amp;IF(AND(EDATE($D141,Milestones!$AA$194)&lt;=AsOfDate,EDATE($D141,Milestones!$AA$194)&gt;=SchemeStart,IF($X141=0,$AD141,IF(AND($Z141&lt;&gt;"",EDATE($D141,Milestones!$AA$194)&gt;=$Z141),$AC141,IF(AND($Y141&lt;&gt;"",EDATE($D141,Milestones!$AA$194)&gt;=$Y141),$AB141,$AA141)))=Milestones!$AB$194),UPPER(TEXT(EDATE($D141,Milestones!$AA$194),"dd mmm yy"))&amp;" "&amp;Milestones!$AB$194&amp;" "&amp;IF(AND(Milestones!$AB$194="FT",Milestones!$AA$194=FT_Y5,EDATE($D141,Milestones!$AA$194)&lt;PolicyEff),1,Milestones!$AC$194)&amp;";  ","")&amp;IF(AND(EDATE($D141,Milestones!$AA$195)&lt;=AsOfDate,EDATE($D141,Milestones!$AA$195)&gt;=SchemeStart,IF($X141=0,$AD141,IF(AND($Z141&lt;&gt;"",EDATE($D141,Milestones!$AA$195)&gt;=$Z141),$AC141,IF(AND($Y141&lt;&gt;"",EDATE($D141,Milestones!$AA$195)&gt;=$Y141),$AB141,$AA141)))=Milestones!$AB$195),UPPER(TEXT(EDATE($D141,Milestones!$AA$195),"dd mmm yy"))&amp;" "&amp;Milestones!$AB$195&amp;" "&amp;IF(AND(Milestones!$AB$195="FT",Milestones!$AA$195=FT_Y5,EDATE($D141,Milestones!$AA$195)&lt;PolicyEff),1,Milestones!$AC$195)&amp;";  ","")&amp;IF(AND(EDATE($D141,Milestones!$AA$196)&lt;=AsOfDate,EDATE($D141,Milestones!$AA$196)&gt;=SchemeStart,IF($X141=0,$AD141,IF(AND($Z141&lt;&gt;"",EDATE($D141,Milestones!$AA$196)&gt;=$Z141),$AC141,IF(AND($Y141&lt;&gt;"",EDATE($D141,Milestones!$AA$196)&gt;=$Y141),$AB141,$AA141)))=Milestones!$AB$196),UPPER(TEXT(EDATE($D141,Milestones!$AA$196),"dd mmm yy"))&amp;" "&amp;Milestones!$AB$196&amp;" "&amp;IF(AND(Milestones!$AB$196="FT",Milestones!$AA$196=FT_Y5,EDATE($D141,Milestones!$AA$196)&lt;PolicyEff),1,Milestones!$AC$196)&amp;";  ","")&amp;IF(AND(EDATE($D141,Milestones!$AA$197)&lt;=AsOfDate,EDATE($D141,Milestones!$AA$197)&gt;=SchemeStart,IF($X141=0,$AD141,IF(AND($Z141&lt;&gt;"",EDATE($D141,Milestones!$AA$197)&gt;=$Z141),$AC141,IF(AND($Y141&lt;&gt;"",EDATE($D141,Milestones!$AA$197)&gt;=$Y141),$AB141,$AA141)))=Milestones!$AB$197),UPPER(TEXT(EDATE($D141,Milestones!$AA$197),"dd mmm yy"))&amp;" "&amp;Milestones!$AB$197&amp;" "&amp;IF(AND(Milestones!$AB$197="FT",Milestones!$AA$197=FT_Y5,EDATE($D141,Milestones!$AA$197)&lt;PolicyEff),1,Milestones!$AC$197)&amp;";  ","")&amp;IF(AND(EDATE($D141,Milestones!$AA$198)&lt;=AsOfDate,EDATE($D141,Milestones!$AA$198)&gt;=SchemeStart,IF($X141=0,$AD141,IF(AND($Z141&lt;&gt;"",EDATE($D141,Milestones!$AA$198)&gt;=$Z141),$AC141,IF(AND($Y141&lt;&gt;"",EDATE($D141,Milestones!$AA$198)&gt;=$Y141),$AB141,$AA141)))=Milestones!$AB$198),UPPER(TEXT(EDATE($D141,Milestones!$AA$198),"dd mmm yy"))&amp;" "&amp;Milestones!$AB$198&amp;" "&amp;IF(AND(Milestones!$AB$198="FT",Milestones!$AA$198=FT_Y5,EDATE($D141,Milestones!$AA$198)&lt;PolicyEff),1,Milestones!$AC$198)&amp;";  ","")&amp;IF(AND(EDATE($D141,Milestones!$AA$199)&lt;=AsOfDate,EDATE($D141,Milestones!$AA$199)&gt;=SchemeStart,IF($X141=0,$AD141,IF(AND($Z141&lt;&gt;"",EDATE($D141,Milestones!$AA$199)&gt;=$Z141),$AC141,IF(AND($Y141&lt;&gt;"",EDATE($D141,Milestones!$AA$199)&gt;=$Y141),$AB141,$AA141)))=Milestones!$AB$199),UPPER(TEXT(EDATE($D141,Milestones!$AA$199),"dd mmm yy"))&amp;" "&amp;Milestones!$AB$199&amp;" "&amp;IF(AND(Milestones!$AB$199="FT",Milestones!$AA$199=FT_Y5,EDATE($D141,Milestones!$AA$199)&lt;PolicyEff),1,Milestones!$AC$199)&amp;";  ",""))</f>
        <v/>
      </c>
      <c r="X141" s="0" t="str">
        <f aca="false">IF(Staff!$A141="","",Staff!$AM141)</f>
        <v/>
      </c>
      <c r="Y141" s="0" t="str">
        <f aca="false">IF(Staff!$A141="","",Staff!$AO141)</f>
        <v/>
      </c>
      <c r="Z141" s="0" t="str">
        <f aca="false">IF(Staff!$A141="","",Staff!$AP141)</f>
        <v/>
      </c>
      <c r="AA141" s="0" t="str">
        <f aca="false">IF(Staff!$A141="","",Staff!$AT141)</f>
        <v/>
      </c>
      <c r="AB141" s="0" t="str">
        <f aca="false">IF(Staff!$A141="","",Staff!$AU141)</f>
        <v/>
      </c>
      <c r="AC141" s="0" t="str">
        <f aca="false">IF(Staff!$A141="","",Staff!$AV141)</f>
        <v/>
      </c>
      <c r="AD141" s="0" t="str">
        <f aca="false">IF(Staff!$A141="","",Staff!$AW141)</f>
        <v/>
      </c>
    </row>
    <row r="142" customFormat="false" ht="15" hidden="false" customHeight="false" outlineLevel="0" collapsed="false">
      <c r="A142" s="16" t="str">
        <f aca="false">IF(Staff!$A142="","",Staff!$A142)</f>
        <v/>
      </c>
      <c r="B142" s="16" t="str">
        <f aca="false">IF(Staff!$A142="","",Staff!$B142)</f>
        <v/>
      </c>
      <c r="C142" s="16" t="str">
        <f aca="false">IF(Staff!$A142="","",Staff!$C142)</f>
        <v/>
      </c>
      <c r="D142" s="14" t="str">
        <f aca="false">IF(Staff!$A142="","",Staff!$AL142)</f>
        <v/>
      </c>
      <c r="E142" s="16" t="str">
        <f aca="false">IF(Staff!$A142="","",Staff!$O142)</f>
        <v/>
      </c>
      <c r="F142" s="16" t="str">
        <f aca="false">IF(E142="","",E142*HoursPerDay)</f>
        <v/>
      </c>
      <c r="G142" s="16" t="str">
        <f aca="false">IF(Staff!$A142="","",Staff!$AE142)</f>
        <v/>
      </c>
      <c r="H142" s="28" t="str">
        <f aca="false">IF($A142="","",I142&amp;J142&amp;K142&amp;L142&amp;M142&amp;N142&amp;O142&amp;P142&amp;Q142&amp;R142&amp;S142&amp;T142&amp;U142&amp;V142&amp;W142)</f>
        <v/>
      </c>
      <c r="I142" s="0" t="str">
        <f aca="false">IF(OR($A142="",$D142=""),"",IF(AND(EDATE($D142,Milestones!$AA$20)&lt;=AsOfDate,EDATE($D142,Milestones!$AA$20)&gt;=SchemeStart,IF($X142=0,$AD142,IF(AND($Z142&lt;&gt;"",EDATE($D142,Milestones!$AA$20)&gt;=$Z142),$AC142,IF(AND($Y142&lt;&gt;"",EDATE($D142,Milestones!$AA$20)&gt;=$Y142),$AB142,$AA142)))=Milestones!$AB$20),UPPER(TEXT(EDATE($D142,Milestones!$AA$20),"dd mmm yy"))&amp;" "&amp;Milestones!$AB$20&amp;" "&amp;IF(AND(Milestones!$AB$20="FT",Milestones!$AA$20=FT_Y5,EDATE($D142,Milestones!$AA$20)&lt;PolicyEff),1,Milestones!$AC$20)&amp;";  ","")&amp;IF(AND(EDATE($D142,Milestones!$AA$21)&lt;=AsOfDate,EDATE($D142,Milestones!$AA$21)&gt;=SchemeStart,IF($X142=0,$AD142,IF(AND($Z142&lt;&gt;"",EDATE($D142,Milestones!$AA$21)&gt;=$Z142),$AC142,IF(AND($Y142&lt;&gt;"",EDATE($D142,Milestones!$AA$21)&gt;=$Y142),$AB142,$AA142)))=Milestones!$AB$21),UPPER(TEXT(EDATE($D142,Milestones!$AA$21),"dd mmm yy"))&amp;" "&amp;Milestones!$AB$21&amp;" "&amp;IF(AND(Milestones!$AB$21="FT",Milestones!$AA$21=FT_Y5,EDATE($D142,Milestones!$AA$21)&lt;PolicyEff),1,Milestones!$AC$21)&amp;";  ","")&amp;IF(AND(EDATE($D142,Milestones!$AA$22)&lt;=AsOfDate,EDATE($D142,Milestones!$AA$22)&gt;=SchemeStart,IF($X142=0,$AD142,IF(AND($Z142&lt;&gt;"",EDATE($D142,Milestones!$AA$22)&gt;=$Z142),$AC142,IF(AND($Y142&lt;&gt;"",EDATE($D142,Milestones!$AA$22)&gt;=$Y142),$AB142,$AA142)))=Milestones!$AB$22),UPPER(TEXT(EDATE($D142,Milestones!$AA$22),"dd mmm yy"))&amp;" "&amp;Milestones!$AB$22&amp;" "&amp;IF(AND(Milestones!$AB$22="FT",Milestones!$AA$22=FT_Y5,EDATE($D142,Milestones!$AA$22)&lt;PolicyEff),1,Milestones!$AC$22)&amp;";  ","")&amp;IF(AND(EDATE($D142,Milestones!$AA$23)&lt;=AsOfDate,EDATE($D142,Milestones!$AA$23)&gt;=SchemeStart,IF($X142=0,$AD142,IF(AND($Z142&lt;&gt;"",EDATE($D142,Milestones!$AA$23)&gt;=$Z142),$AC142,IF(AND($Y142&lt;&gt;"",EDATE($D142,Milestones!$AA$23)&gt;=$Y142),$AB142,$AA142)))=Milestones!$AB$23),UPPER(TEXT(EDATE($D142,Milestones!$AA$23),"dd mmm yy"))&amp;" "&amp;Milestones!$AB$23&amp;" "&amp;IF(AND(Milestones!$AB$23="FT",Milestones!$AA$23=FT_Y5,EDATE($D142,Milestones!$AA$23)&lt;PolicyEff),1,Milestones!$AC$23)&amp;";  ","")&amp;IF(AND(EDATE($D142,Milestones!$AA$24)&lt;=AsOfDate,EDATE($D142,Milestones!$AA$24)&gt;=SchemeStart,IF($X142=0,$AD142,IF(AND($Z142&lt;&gt;"",EDATE($D142,Milestones!$AA$24)&gt;=$Z142),$AC142,IF(AND($Y142&lt;&gt;"",EDATE($D142,Milestones!$AA$24)&gt;=$Y142),$AB142,$AA142)))=Milestones!$AB$24),UPPER(TEXT(EDATE($D142,Milestones!$AA$24),"dd mmm yy"))&amp;" "&amp;Milestones!$AB$24&amp;" "&amp;IF(AND(Milestones!$AB$24="FT",Milestones!$AA$24=FT_Y5,EDATE($D142,Milestones!$AA$24)&lt;PolicyEff),1,Milestones!$AC$24)&amp;";  ","")&amp;IF(AND(EDATE($D142,Milestones!$AA$25)&lt;=AsOfDate,EDATE($D142,Milestones!$AA$25)&gt;=SchemeStart,IF($X142=0,$AD142,IF(AND($Z142&lt;&gt;"",EDATE($D142,Milestones!$AA$25)&gt;=$Z142),$AC142,IF(AND($Y142&lt;&gt;"",EDATE($D142,Milestones!$AA$25)&gt;=$Y142),$AB142,$AA142)))=Milestones!$AB$25),UPPER(TEXT(EDATE($D142,Milestones!$AA$25),"dd mmm yy"))&amp;" "&amp;Milestones!$AB$25&amp;" "&amp;IF(AND(Milestones!$AB$25="FT",Milestones!$AA$25=FT_Y5,EDATE($D142,Milestones!$AA$25)&lt;PolicyEff),1,Milestones!$AC$25)&amp;";  ","")&amp;IF(AND(EDATE($D142,Milestones!$AA$26)&lt;=AsOfDate,EDATE($D142,Milestones!$AA$26)&gt;=SchemeStart,IF($X142=0,$AD142,IF(AND($Z142&lt;&gt;"",EDATE($D142,Milestones!$AA$26)&gt;=$Z142),$AC142,IF(AND($Y142&lt;&gt;"",EDATE($D142,Milestones!$AA$26)&gt;=$Y142),$AB142,$AA142)))=Milestones!$AB$26),UPPER(TEXT(EDATE($D142,Milestones!$AA$26),"dd mmm yy"))&amp;" "&amp;Milestones!$AB$26&amp;" "&amp;IF(AND(Milestones!$AB$26="FT",Milestones!$AA$26=FT_Y5,EDATE($D142,Milestones!$AA$26)&lt;PolicyEff),1,Milestones!$AC$26)&amp;";  ","")&amp;IF(AND(EDATE($D142,Milestones!$AA$27)&lt;=AsOfDate,EDATE($D142,Milestones!$AA$27)&gt;=SchemeStart,IF($X142=0,$AD142,IF(AND($Z142&lt;&gt;"",EDATE($D142,Milestones!$AA$27)&gt;=$Z142),$AC142,IF(AND($Y142&lt;&gt;"",EDATE($D142,Milestones!$AA$27)&gt;=$Y142),$AB142,$AA142)))=Milestones!$AB$27),UPPER(TEXT(EDATE($D142,Milestones!$AA$27),"dd mmm yy"))&amp;" "&amp;Milestones!$AB$27&amp;" "&amp;IF(AND(Milestones!$AB$27="FT",Milestones!$AA$27=FT_Y5,EDATE($D142,Milestones!$AA$27)&lt;PolicyEff),1,Milestones!$AC$27)&amp;";  ","")&amp;IF(AND(EDATE($D142,Milestones!$AA$28)&lt;=AsOfDate,EDATE($D142,Milestones!$AA$28)&gt;=SchemeStart,IF($X142=0,$AD142,IF(AND($Z142&lt;&gt;"",EDATE($D142,Milestones!$AA$28)&gt;=$Z142),$AC142,IF(AND($Y142&lt;&gt;"",EDATE($D142,Milestones!$AA$28)&gt;=$Y142),$AB142,$AA142)))=Milestones!$AB$28),UPPER(TEXT(EDATE($D142,Milestones!$AA$28),"dd mmm yy"))&amp;" "&amp;Milestones!$AB$28&amp;" "&amp;IF(AND(Milestones!$AB$28="FT",Milestones!$AA$28=FT_Y5,EDATE($D142,Milestones!$AA$28)&lt;PolicyEff),1,Milestones!$AC$28)&amp;";  ","")&amp;IF(AND(EDATE($D142,Milestones!$AA$29)&lt;=AsOfDate,EDATE($D142,Milestones!$AA$29)&gt;=SchemeStart,IF($X142=0,$AD142,IF(AND($Z142&lt;&gt;"",EDATE($D142,Milestones!$AA$29)&gt;=$Z142),$AC142,IF(AND($Y142&lt;&gt;"",EDATE($D142,Milestones!$AA$29)&gt;=$Y142),$AB142,$AA142)))=Milestones!$AB$29),UPPER(TEXT(EDATE($D142,Milestones!$AA$29),"dd mmm yy"))&amp;" "&amp;Milestones!$AB$29&amp;" "&amp;IF(AND(Milestones!$AB$29="FT",Milestones!$AA$29=FT_Y5,EDATE($D142,Milestones!$AA$29)&lt;PolicyEff),1,Milestones!$AC$29)&amp;";  ","")&amp;IF(AND(EDATE($D142,Milestones!$AA$30)&lt;=AsOfDate,EDATE($D142,Milestones!$AA$30)&gt;=SchemeStart,IF($X142=0,$AD142,IF(AND($Z142&lt;&gt;"",EDATE($D142,Milestones!$AA$30)&gt;=$Z142),$AC142,IF(AND($Y142&lt;&gt;"",EDATE($D142,Milestones!$AA$30)&gt;=$Y142),$AB142,$AA142)))=Milestones!$AB$30),UPPER(TEXT(EDATE($D142,Milestones!$AA$30),"dd mmm yy"))&amp;" "&amp;Milestones!$AB$30&amp;" "&amp;IF(AND(Milestones!$AB$30="FT",Milestones!$AA$30=FT_Y5,EDATE($D142,Milestones!$AA$30)&lt;PolicyEff),1,Milestones!$AC$30)&amp;";  ","")&amp;IF(AND(EDATE($D142,Milestones!$AA$31)&lt;=AsOfDate,EDATE($D142,Milestones!$AA$31)&gt;=SchemeStart,IF($X142=0,$AD142,IF(AND($Z142&lt;&gt;"",EDATE($D142,Milestones!$AA$31)&gt;=$Z142),$AC142,IF(AND($Y142&lt;&gt;"",EDATE($D142,Milestones!$AA$31)&gt;=$Y142),$AB142,$AA142)))=Milestones!$AB$31),UPPER(TEXT(EDATE($D142,Milestones!$AA$31),"dd mmm yy"))&amp;" "&amp;Milestones!$AB$31&amp;" "&amp;IF(AND(Milestones!$AB$31="FT",Milestones!$AA$31=FT_Y5,EDATE($D142,Milestones!$AA$31)&lt;PolicyEff),1,Milestones!$AC$31)&amp;";  ",""))</f>
        <v/>
      </c>
      <c r="J142" s="0" t="str">
        <f aca="false">IF(OR($A142="",$D142=""),"",IF(AND(EDATE($D142,Milestones!$AA$32)&lt;=AsOfDate,EDATE($D142,Milestones!$AA$32)&gt;=SchemeStart,IF($X142=0,$AD142,IF(AND($Z142&lt;&gt;"",EDATE($D142,Milestones!$AA$32)&gt;=$Z142),$AC142,IF(AND($Y142&lt;&gt;"",EDATE($D142,Milestones!$AA$32)&gt;=$Y142),$AB142,$AA142)))=Milestones!$AB$32),UPPER(TEXT(EDATE($D142,Milestones!$AA$32),"dd mmm yy"))&amp;" "&amp;Milestones!$AB$32&amp;" "&amp;IF(AND(Milestones!$AB$32="FT",Milestones!$AA$32=FT_Y5,EDATE($D142,Milestones!$AA$32)&lt;PolicyEff),1,Milestones!$AC$32)&amp;";  ","")&amp;IF(AND(EDATE($D142,Milestones!$AA$33)&lt;=AsOfDate,EDATE($D142,Milestones!$AA$33)&gt;=SchemeStart,IF($X142=0,$AD142,IF(AND($Z142&lt;&gt;"",EDATE($D142,Milestones!$AA$33)&gt;=$Z142),$AC142,IF(AND($Y142&lt;&gt;"",EDATE($D142,Milestones!$AA$33)&gt;=$Y142),$AB142,$AA142)))=Milestones!$AB$33),UPPER(TEXT(EDATE($D142,Milestones!$AA$33),"dd mmm yy"))&amp;" "&amp;Milestones!$AB$33&amp;" "&amp;IF(AND(Milestones!$AB$33="FT",Milestones!$AA$33=FT_Y5,EDATE($D142,Milestones!$AA$33)&lt;PolicyEff),1,Milestones!$AC$33)&amp;";  ","")&amp;IF(AND(EDATE($D142,Milestones!$AA$34)&lt;=AsOfDate,EDATE($D142,Milestones!$AA$34)&gt;=SchemeStart,IF($X142=0,$AD142,IF(AND($Z142&lt;&gt;"",EDATE($D142,Milestones!$AA$34)&gt;=$Z142),$AC142,IF(AND($Y142&lt;&gt;"",EDATE($D142,Milestones!$AA$34)&gt;=$Y142),$AB142,$AA142)))=Milestones!$AB$34),UPPER(TEXT(EDATE($D142,Milestones!$AA$34),"dd mmm yy"))&amp;" "&amp;Milestones!$AB$34&amp;" "&amp;IF(AND(Milestones!$AB$34="FT",Milestones!$AA$34=FT_Y5,EDATE($D142,Milestones!$AA$34)&lt;PolicyEff),1,Milestones!$AC$34)&amp;";  ","")&amp;IF(AND(EDATE($D142,Milestones!$AA$35)&lt;=AsOfDate,EDATE($D142,Milestones!$AA$35)&gt;=SchemeStart,IF($X142=0,$AD142,IF(AND($Z142&lt;&gt;"",EDATE($D142,Milestones!$AA$35)&gt;=$Z142),$AC142,IF(AND($Y142&lt;&gt;"",EDATE($D142,Milestones!$AA$35)&gt;=$Y142),$AB142,$AA142)))=Milestones!$AB$35),UPPER(TEXT(EDATE($D142,Milestones!$AA$35),"dd mmm yy"))&amp;" "&amp;Milestones!$AB$35&amp;" "&amp;IF(AND(Milestones!$AB$35="FT",Milestones!$AA$35=FT_Y5,EDATE($D142,Milestones!$AA$35)&lt;PolicyEff),1,Milestones!$AC$35)&amp;";  ","")&amp;IF(AND(EDATE($D142,Milestones!$AA$36)&lt;=AsOfDate,EDATE($D142,Milestones!$AA$36)&gt;=SchemeStart,IF($X142=0,$AD142,IF(AND($Z142&lt;&gt;"",EDATE($D142,Milestones!$AA$36)&gt;=$Z142),$AC142,IF(AND($Y142&lt;&gt;"",EDATE($D142,Milestones!$AA$36)&gt;=$Y142),$AB142,$AA142)))=Milestones!$AB$36),UPPER(TEXT(EDATE($D142,Milestones!$AA$36),"dd mmm yy"))&amp;" "&amp;Milestones!$AB$36&amp;" "&amp;IF(AND(Milestones!$AB$36="FT",Milestones!$AA$36=FT_Y5,EDATE($D142,Milestones!$AA$36)&lt;PolicyEff),1,Milestones!$AC$36)&amp;";  ","")&amp;IF(AND(EDATE($D142,Milestones!$AA$37)&lt;=AsOfDate,EDATE($D142,Milestones!$AA$37)&gt;=SchemeStart,IF($X142=0,$AD142,IF(AND($Z142&lt;&gt;"",EDATE($D142,Milestones!$AA$37)&gt;=$Z142),$AC142,IF(AND($Y142&lt;&gt;"",EDATE($D142,Milestones!$AA$37)&gt;=$Y142),$AB142,$AA142)))=Milestones!$AB$37),UPPER(TEXT(EDATE($D142,Milestones!$AA$37),"dd mmm yy"))&amp;" "&amp;Milestones!$AB$37&amp;" "&amp;IF(AND(Milestones!$AB$37="FT",Milestones!$AA$37=FT_Y5,EDATE($D142,Milestones!$AA$37)&lt;PolicyEff),1,Milestones!$AC$37)&amp;";  ","")&amp;IF(AND(EDATE($D142,Milestones!$AA$38)&lt;=AsOfDate,EDATE($D142,Milestones!$AA$38)&gt;=SchemeStart,IF($X142=0,$AD142,IF(AND($Z142&lt;&gt;"",EDATE($D142,Milestones!$AA$38)&gt;=$Z142),$AC142,IF(AND($Y142&lt;&gt;"",EDATE($D142,Milestones!$AA$38)&gt;=$Y142),$AB142,$AA142)))=Milestones!$AB$38),UPPER(TEXT(EDATE($D142,Milestones!$AA$38),"dd mmm yy"))&amp;" "&amp;Milestones!$AB$38&amp;" "&amp;IF(AND(Milestones!$AB$38="FT",Milestones!$AA$38=FT_Y5,EDATE($D142,Milestones!$AA$38)&lt;PolicyEff),1,Milestones!$AC$38)&amp;";  ","")&amp;IF(AND(EDATE($D142,Milestones!$AA$39)&lt;=AsOfDate,EDATE($D142,Milestones!$AA$39)&gt;=SchemeStart,IF($X142=0,$AD142,IF(AND($Z142&lt;&gt;"",EDATE($D142,Milestones!$AA$39)&gt;=$Z142),$AC142,IF(AND($Y142&lt;&gt;"",EDATE($D142,Milestones!$AA$39)&gt;=$Y142),$AB142,$AA142)))=Milestones!$AB$39),UPPER(TEXT(EDATE($D142,Milestones!$AA$39),"dd mmm yy"))&amp;" "&amp;Milestones!$AB$39&amp;" "&amp;IF(AND(Milestones!$AB$39="FT",Milestones!$AA$39=FT_Y5,EDATE($D142,Milestones!$AA$39)&lt;PolicyEff),1,Milestones!$AC$39)&amp;";  ","")&amp;IF(AND(EDATE($D142,Milestones!$AA$40)&lt;=AsOfDate,EDATE($D142,Milestones!$AA$40)&gt;=SchemeStart,IF($X142=0,$AD142,IF(AND($Z142&lt;&gt;"",EDATE($D142,Milestones!$AA$40)&gt;=$Z142),$AC142,IF(AND($Y142&lt;&gt;"",EDATE($D142,Milestones!$AA$40)&gt;=$Y142),$AB142,$AA142)))=Milestones!$AB$40),UPPER(TEXT(EDATE($D142,Milestones!$AA$40),"dd mmm yy"))&amp;" "&amp;Milestones!$AB$40&amp;" "&amp;IF(AND(Milestones!$AB$40="FT",Milestones!$AA$40=FT_Y5,EDATE($D142,Milestones!$AA$40)&lt;PolicyEff),1,Milestones!$AC$40)&amp;";  ","")&amp;IF(AND(EDATE($D142,Milestones!$AA$41)&lt;=AsOfDate,EDATE($D142,Milestones!$AA$41)&gt;=SchemeStart,IF($X142=0,$AD142,IF(AND($Z142&lt;&gt;"",EDATE($D142,Milestones!$AA$41)&gt;=$Z142),$AC142,IF(AND($Y142&lt;&gt;"",EDATE($D142,Milestones!$AA$41)&gt;=$Y142),$AB142,$AA142)))=Milestones!$AB$41),UPPER(TEXT(EDATE($D142,Milestones!$AA$41),"dd mmm yy"))&amp;" "&amp;Milestones!$AB$41&amp;" "&amp;IF(AND(Milestones!$AB$41="FT",Milestones!$AA$41=FT_Y5,EDATE($D142,Milestones!$AA$41)&lt;PolicyEff),1,Milestones!$AC$41)&amp;";  ","")&amp;IF(AND(EDATE($D142,Milestones!$AA$42)&lt;=AsOfDate,EDATE($D142,Milestones!$AA$42)&gt;=SchemeStart,IF($X142=0,$AD142,IF(AND($Z142&lt;&gt;"",EDATE($D142,Milestones!$AA$42)&gt;=$Z142),$AC142,IF(AND($Y142&lt;&gt;"",EDATE($D142,Milestones!$AA$42)&gt;=$Y142),$AB142,$AA142)))=Milestones!$AB$42),UPPER(TEXT(EDATE($D142,Milestones!$AA$42),"dd mmm yy"))&amp;" "&amp;Milestones!$AB$42&amp;" "&amp;IF(AND(Milestones!$AB$42="FT",Milestones!$AA$42=FT_Y5,EDATE($D142,Milestones!$AA$42)&lt;PolicyEff),1,Milestones!$AC$42)&amp;";  ","")&amp;IF(AND(EDATE($D142,Milestones!$AA$43)&lt;=AsOfDate,EDATE($D142,Milestones!$AA$43)&gt;=SchemeStart,IF($X142=0,$AD142,IF(AND($Z142&lt;&gt;"",EDATE($D142,Milestones!$AA$43)&gt;=$Z142),$AC142,IF(AND($Y142&lt;&gt;"",EDATE($D142,Milestones!$AA$43)&gt;=$Y142),$AB142,$AA142)))=Milestones!$AB$43),UPPER(TEXT(EDATE($D142,Milestones!$AA$43),"dd mmm yy"))&amp;" "&amp;Milestones!$AB$43&amp;" "&amp;IF(AND(Milestones!$AB$43="FT",Milestones!$AA$43=FT_Y5,EDATE($D142,Milestones!$AA$43)&lt;PolicyEff),1,Milestones!$AC$43)&amp;";  ",""))</f>
        <v/>
      </c>
      <c r="K142" s="0" t="str">
        <f aca="false">IF(OR($A142="",$D142=""),"",IF(AND(EDATE($D142,Milestones!$AA$44)&lt;=AsOfDate,EDATE($D142,Milestones!$AA$44)&gt;=SchemeStart,IF($X142=0,$AD142,IF(AND($Z142&lt;&gt;"",EDATE($D142,Milestones!$AA$44)&gt;=$Z142),$AC142,IF(AND($Y142&lt;&gt;"",EDATE($D142,Milestones!$AA$44)&gt;=$Y142),$AB142,$AA142)))=Milestones!$AB$44),UPPER(TEXT(EDATE($D142,Milestones!$AA$44),"dd mmm yy"))&amp;" "&amp;Milestones!$AB$44&amp;" "&amp;IF(AND(Milestones!$AB$44="FT",Milestones!$AA$44=FT_Y5,EDATE($D142,Milestones!$AA$44)&lt;PolicyEff),1,Milestones!$AC$44)&amp;";  ","")&amp;IF(AND(EDATE($D142,Milestones!$AA$45)&lt;=AsOfDate,EDATE($D142,Milestones!$AA$45)&gt;=SchemeStart,IF($X142=0,$AD142,IF(AND($Z142&lt;&gt;"",EDATE($D142,Milestones!$AA$45)&gt;=$Z142),$AC142,IF(AND($Y142&lt;&gt;"",EDATE($D142,Milestones!$AA$45)&gt;=$Y142),$AB142,$AA142)))=Milestones!$AB$45),UPPER(TEXT(EDATE($D142,Milestones!$AA$45),"dd mmm yy"))&amp;" "&amp;Milestones!$AB$45&amp;" "&amp;IF(AND(Milestones!$AB$45="FT",Milestones!$AA$45=FT_Y5,EDATE($D142,Milestones!$AA$45)&lt;PolicyEff),1,Milestones!$AC$45)&amp;";  ","")&amp;IF(AND(EDATE($D142,Milestones!$AA$46)&lt;=AsOfDate,EDATE($D142,Milestones!$AA$46)&gt;=SchemeStart,IF($X142=0,$AD142,IF(AND($Z142&lt;&gt;"",EDATE($D142,Milestones!$AA$46)&gt;=$Z142),$AC142,IF(AND($Y142&lt;&gt;"",EDATE($D142,Milestones!$AA$46)&gt;=$Y142),$AB142,$AA142)))=Milestones!$AB$46),UPPER(TEXT(EDATE($D142,Milestones!$AA$46),"dd mmm yy"))&amp;" "&amp;Milestones!$AB$46&amp;" "&amp;IF(AND(Milestones!$AB$46="FT",Milestones!$AA$46=FT_Y5,EDATE($D142,Milestones!$AA$46)&lt;PolicyEff),1,Milestones!$AC$46)&amp;";  ","")&amp;IF(AND(EDATE($D142,Milestones!$AA$47)&lt;=AsOfDate,EDATE($D142,Milestones!$AA$47)&gt;=SchemeStart,IF($X142=0,$AD142,IF(AND($Z142&lt;&gt;"",EDATE($D142,Milestones!$AA$47)&gt;=$Z142),$AC142,IF(AND($Y142&lt;&gt;"",EDATE($D142,Milestones!$AA$47)&gt;=$Y142),$AB142,$AA142)))=Milestones!$AB$47),UPPER(TEXT(EDATE($D142,Milestones!$AA$47),"dd mmm yy"))&amp;" "&amp;Milestones!$AB$47&amp;" "&amp;IF(AND(Milestones!$AB$47="FT",Milestones!$AA$47=FT_Y5,EDATE($D142,Milestones!$AA$47)&lt;PolicyEff),1,Milestones!$AC$47)&amp;";  ","")&amp;IF(AND(EDATE($D142,Milestones!$AA$48)&lt;=AsOfDate,EDATE($D142,Milestones!$AA$48)&gt;=SchemeStart,IF($X142=0,$AD142,IF(AND($Z142&lt;&gt;"",EDATE($D142,Milestones!$AA$48)&gt;=$Z142),$AC142,IF(AND($Y142&lt;&gt;"",EDATE($D142,Milestones!$AA$48)&gt;=$Y142),$AB142,$AA142)))=Milestones!$AB$48),UPPER(TEXT(EDATE($D142,Milestones!$AA$48),"dd mmm yy"))&amp;" "&amp;Milestones!$AB$48&amp;" "&amp;IF(AND(Milestones!$AB$48="FT",Milestones!$AA$48=FT_Y5,EDATE($D142,Milestones!$AA$48)&lt;PolicyEff),1,Milestones!$AC$48)&amp;";  ","")&amp;IF(AND(EDATE($D142,Milestones!$AA$49)&lt;=AsOfDate,EDATE($D142,Milestones!$AA$49)&gt;=SchemeStart,IF($X142=0,$AD142,IF(AND($Z142&lt;&gt;"",EDATE($D142,Milestones!$AA$49)&gt;=$Z142),$AC142,IF(AND($Y142&lt;&gt;"",EDATE($D142,Milestones!$AA$49)&gt;=$Y142),$AB142,$AA142)))=Milestones!$AB$49),UPPER(TEXT(EDATE($D142,Milestones!$AA$49),"dd mmm yy"))&amp;" "&amp;Milestones!$AB$49&amp;" "&amp;IF(AND(Milestones!$AB$49="FT",Milestones!$AA$49=FT_Y5,EDATE($D142,Milestones!$AA$49)&lt;PolicyEff),1,Milestones!$AC$49)&amp;";  ","")&amp;IF(AND(EDATE($D142,Milestones!$AA$50)&lt;=AsOfDate,EDATE($D142,Milestones!$AA$50)&gt;=SchemeStart,IF($X142=0,$AD142,IF(AND($Z142&lt;&gt;"",EDATE($D142,Milestones!$AA$50)&gt;=$Z142),$AC142,IF(AND($Y142&lt;&gt;"",EDATE($D142,Milestones!$AA$50)&gt;=$Y142),$AB142,$AA142)))=Milestones!$AB$50),UPPER(TEXT(EDATE($D142,Milestones!$AA$50),"dd mmm yy"))&amp;" "&amp;Milestones!$AB$50&amp;" "&amp;IF(AND(Milestones!$AB$50="FT",Milestones!$AA$50=FT_Y5,EDATE($D142,Milestones!$AA$50)&lt;PolicyEff),1,Milestones!$AC$50)&amp;";  ","")&amp;IF(AND(EDATE($D142,Milestones!$AA$51)&lt;=AsOfDate,EDATE($D142,Milestones!$AA$51)&gt;=SchemeStart,IF($X142=0,$AD142,IF(AND($Z142&lt;&gt;"",EDATE($D142,Milestones!$AA$51)&gt;=$Z142),$AC142,IF(AND($Y142&lt;&gt;"",EDATE($D142,Milestones!$AA$51)&gt;=$Y142),$AB142,$AA142)))=Milestones!$AB$51),UPPER(TEXT(EDATE($D142,Milestones!$AA$51),"dd mmm yy"))&amp;" "&amp;Milestones!$AB$51&amp;" "&amp;IF(AND(Milestones!$AB$51="FT",Milestones!$AA$51=FT_Y5,EDATE($D142,Milestones!$AA$51)&lt;PolicyEff),1,Milestones!$AC$51)&amp;";  ","")&amp;IF(AND(EDATE($D142,Milestones!$AA$52)&lt;=AsOfDate,EDATE($D142,Milestones!$AA$52)&gt;=SchemeStart,IF($X142=0,$AD142,IF(AND($Z142&lt;&gt;"",EDATE($D142,Milestones!$AA$52)&gt;=$Z142),$AC142,IF(AND($Y142&lt;&gt;"",EDATE($D142,Milestones!$AA$52)&gt;=$Y142),$AB142,$AA142)))=Milestones!$AB$52),UPPER(TEXT(EDATE($D142,Milestones!$AA$52),"dd mmm yy"))&amp;" "&amp;Milestones!$AB$52&amp;" "&amp;IF(AND(Milestones!$AB$52="FT",Milestones!$AA$52=FT_Y5,EDATE($D142,Milestones!$AA$52)&lt;PolicyEff),1,Milestones!$AC$52)&amp;";  ","")&amp;IF(AND(EDATE($D142,Milestones!$AA$53)&lt;=AsOfDate,EDATE($D142,Milestones!$AA$53)&gt;=SchemeStart,IF($X142=0,$AD142,IF(AND($Z142&lt;&gt;"",EDATE($D142,Milestones!$AA$53)&gt;=$Z142),$AC142,IF(AND($Y142&lt;&gt;"",EDATE($D142,Milestones!$AA$53)&gt;=$Y142),$AB142,$AA142)))=Milestones!$AB$53),UPPER(TEXT(EDATE($D142,Milestones!$AA$53),"dd mmm yy"))&amp;" "&amp;Milestones!$AB$53&amp;" "&amp;IF(AND(Milestones!$AB$53="FT",Milestones!$AA$53=FT_Y5,EDATE($D142,Milestones!$AA$53)&lt;PolicyEff),1,Milestones!$AC$53)&amp;";  ","")&amp;IF(AND(EDATE($D142,Milestones!$AA$54)&lt;=AsOfDate,EDATE($D142,Milestones!$AA$54)&gt;=SchemeStart,IF($X142=0,$AD142,IF(AND($Z142&lt;&gt;"",EDATE($D142,Milestones!$AA$54)&gt;=$Z142),$AC142,IF(AND($Y142&lt;&gt;"",EDATE($D142,Milestones!$AA$54)&gt;=$Y142),$AB142,$AA142)))=Milestones!$AB$54),UPPER(TEXT(EDATE($D142,Milestones!$AA$54),"dd mmm yy"))&amp;" "&amp;Milestones!$AB$54&amp;" "&amp;IF(AND(Milestones!$AB$54="FT",Milestones!$AA$54=FT_Y5,EDATE($D142,Milestones!$AA$54)&lt;PolicyEff),1,Milestones!$AC$54)&amp;";  ","")&amp;IF(AND(EDATE($D142,Milestones!$AA$55)&lt;=AsOfDate,EDATE($D142,Milestones!$AA$55)&gt;=SchemeStart,IF($X142=0,$AD142,IF(AND($Z142&lt;&gt;"",EDATE($D142,Milestones!$AA$55)&gt;=$Z142),$AC142,IF(AND($Y142&lt;&gt;"",EDATE($D142,Milestones!$AA$55)&gt;=$Y142),$AB142,$AA142)))=Milestones!$AB$55),UPPER(TEXT(EDATE($D142,Milestones!$AA$55),"dd mmm yy"))&amp;" "&amp;Milestones!$AB$55&amp;" "&amp;IF(AND(Milestones!$AB$55="FT",Milestones!$AA$55=FT_Y5,EDATE($D142,Milestones!$AA$55)&lt;PolicyEff),1,Milestones!$AC$55)&amp;";  ",""))</f>
        <v/>
      </c>
      <c r="L142" s="0" t="str">
        <f aca="false">IF(OR($A142="",$D142=""),"",IF(AND(EDATE($D142,Milestones!$AA$56)&lt;=AsOfDate,EDATE($D142,Milestones!$AA$56)&gt;=SchemeStart,IF($X142=0,$AD142,IF(AND($Z142&lt;&gt;"",EDATE($D142,Milestones!$AA$56)&gt;=$Z142),$AC142,IF(AND($Y142&lt;&gt;"",EDATE($D142,Milestones!$AA$56)&gt;=$Y142),$AB142,$AA142)))=Milestones!$AB$56),UPPER(TEXT(EDATE($D142,Milestones!$AA$56),"dd mmm yy"))&amp;" "&amp;Milestones!$AB$56&amp;" "&amp;IF(AND(Milestones!$AB$56="FT",Milestones!$AA$56=FT_Y5,EDATE($D142,Milestones!$AA$56)&lt;PolicyEff),1,Milestones!$AC$56)&amp;";  ","")&amp;IF(AND(EDATE($D142,Milestones!$AA$57)&lt;=AsOfDate,EDATE($D142,Milestones!$AA$57)&gt;=SchemeStart,IF($X142=0,$AD142,IF(AND($Z142&lt;&gt;"",EDATE($D142,Milestones!$AA$57)&gt;=$Z142),$AC142,IF(AND($Y142&lt;&gt;"",EDATE($D142,Milestones!$AA$57)&gt;=$Y142),$AB142,$AA142)))=Milestones!$AB$57),UPPER(TEXT(EDATE($D142,Milestones!$AA$57),"dd mmm yy"))&amp;" "&amp;Milestones!$AB$57&amp;" "&amp;IF(AND(Milestones!$AB$57="FT",Milestones!$AA$57=FT_Y5,EDATE($D142,Milestones!$AA$57)&lt;PolicyEff),1,Milestones!$AC$57)&amp;";  ","")&amp;IF(AND(EDATE($D142,Milestones!$AA$58)&lt;=AsOfDate,EDATE($D142,Milestones!$AA$58)&gt;=SchemeStart,IF($X142=0,$AD142,IF(AND($Z142&lt;&gt;"",EDATE($D142,Milestones!$AA$58)&gt;=$Z142),$AC142,IF(AND($Y142&lt;&gt;"",EDATE($D142,Milestones!$AA$58)&gt;=$Y142),$AB142,$AA142)))=Milestones!$AB$58),UPPER(TEXT(EDATE($D142,Milestones!$AA$58),"dd mmm yy"))&amp;" "&amp;Milestones!$AB$58&amp;" "&amp;IF(AND(Milestones!$AB$58="FT",Milestones!$AA$58=FT_Y5,EDATE($D142,Milestones!$AA$58)&lt;PolicyEff),1,Milestones!$AC$58)&amp;";  ","")&amp;IF(AND(EDATE($D142,Milestones!$AA$59)&lt;=AsOfDate,EDATE($D142,Milestones!$AA$59)&gt;=SchemeStart,IF($X142=0,$AD142,IF(AND($Z142&lt;&gt;"",EDATE($D142,Milestones!$AA$59)&gt;=$Z142),$AC142,IF(AND($Y142&lt;&gt;"",EDATE($D142,Milestones!$AA$59)&gt;=$Y142),$AB142,$AA142)))=Milestones!$AB$59),UPPER(TEXT(EDATE($D142,Milestones!$AA$59),"dd mmm yy"))&amp;" "&amp;Milestones!$AB$59&amp;" "&amp;IF(AND(Milestones!$AB$59="FT",Milestones!$AA$59=FT_Y5,EDATE($D142,Milestones!$AA$59)&lt;PolicyEff),1,Milestones!$AC$59)&amp;";  ","")&amp;IF(AND(EDATE($D142,Milestones!$AA$60)&lt;=AsOfDate,EDATE($D142,Milestones!$AA$60)&gt;=SchemeStart,IF($X142=0,$AD142,IF(AND($Z142&lt;&gt;"",EDATE($D142,Milestones!$AA$60)&gt;=$Z142),$AC142,IF(AND($Y142&lt;&gt;"",EDATE($D142,Milestones!$AA$60)&gt;=$Y142),$AB142,$AA142)))=Milestones!$AB$60),UPPER(TEXT(EDATE($D142,Milestones!$AA$60),"dd mmm yy"))&amp;" "&amp;Milestones!$AB$60&amp;" "&amp;IF(AND(Milestones!$AB$60="FT",Milestones!$AA$60=FT_Y5,EDATE($D142,Milestones!$AA$60)&lt;PolicyEff),1,Milestones!$AC$60)&amp;";  ","")&amp;IF(AND(EDATE($D142,Milestones!$AA$61)&lt;=AsOfDate,EDATE($D142,Milestones!$AA$61)&gt;=SchemeStart,IF($X142=0,$AD142,IF(AND($Z142&lt;&gt;"",EDATE($D142,Milestones!$AA$61)&gt;=$Z142),$AC142,IF(AND($Y142&lt;&gt;"",EDATE($D142,Milestones!$AA$61)&gt;=$Y142),$AB142,$AA142)))=Milestones!$AB$61),UPPER(TEXT(EDATE($D142,Milestones!$AA$61),"dd mmm yy"))&amp;" "&amp;Milestones!$AB$61&amp;" "&amp;IF(AND(Milestones!$AB$61="FT",Milestones!$AA$61=FT_Y5,EDATE($D142,Milestones!$AA$61)&lt;PolicyEff),1,Milestones!$AC$61)&amp;";  ","")&amp;IF(AND(EDATE($D142,Milestones!$AA$62)&lt;=AsOfDate,EDATE($D142,Milestones!$AA$62)&gt;=SchemeStart,IF($X142=0,$AD142,IF(AND($Z142&lt;&gt;"",EDATE($D142,Milestones!$AA$62)&gt;=$Z142),$AC142,IF(AND($Y142&lt;&gt;"",EDATE($D142,Milestones!$AA$62)&gt;=$Y142),$AB142,$AA142)))=Milestones!$AB$62),UPPER(TEXT(EDATE($D142,Milestones!$AA$62),"dd mmm yy"))&amp;" "&amp;Milestones!$AB$62&amp;" "&amp;IF(AND(Milestones!$AB$62="FT",Milestones!$AA$62=FT_Y5,EDATE($D142,Milestones!$AA$62)&lt;PolicyEff),1,Milestones!$AC$62)&amp;";  ","")&amp;IF(AND(EDATE($D142,Milestones!$AA$63)&lt;=AsOfDate,EDATE($D142,Milestones!$AA$63)&gt;=SchemeStart,IF($X142=0,$AD142,IF(AND($Z142&lt;&gt;"",EDATE($D142,Milestones!$AA$63)&gt;=$Z142),$AC142,IF(AND($Y142&lt;&gt;"",EDATE($D142,Milestones!$AA$63)&gt;=$Y142),$AB142,$AA142)))=Milestones!$AB$63),UPPER(TEXT(EDATE($D142,Milestones!$AA$63),"dd mmm yy"))&amp;" "&amp;Milestones!$AB$63&amp;" "&amp;IF(AND(Milestones!$AB$63="FT",Milestones!$AA$63=FT_Y5,EDATE($D142,Milestones!$AA$63)&lt;PolicyEff),1,Milestones!$AC$63)&amp;";  ","")&amp;IF(AND(EDATE($D142,Milestones!$AA$64)&lt;=AsOfDate,EDATE($D142,Milestones!$AA$64)&gt;=SchemeStart,IF($X142=0,$AD142,IF(AND($Z142&lt;&gt;"",EDATE($D142,Milestones!$AA$64)&gt;=$Z142),$AC142,IF(AND($Y142&lt;&gt;"",EDATE($D142,Milestones!$AA$64)&gt;=$Y142),$AB142,$AA142)))=Milestones!$AB$64),UPPER(TEXT(EDATE($D142,Milestones!$AA$64),"dd mmm yy"))&amp;" "&amp;Milestones!$AB$64&amp;" "&amp;IF(AND(Milestones!$AB$64="FT",Milestones!$AA$64=FT_Y5,EDATE($D142,Milestones!$AA$64)&lt;PolicyEff),1,Milestones!$AC$64)&amp;";  ","")&amp;IF(AND(EDATE($D142,Milestones!$AA$65)&lt;=AsOfDate,EDATE($D142,Milestones!$AA$65)&gt;=SchemeStart,IF($X142=0,$AD142,IF(AND($Z142&lt;&gt;"",EDATE($D142,Milestones!$AA$65)&gt;=$Z142),$AC142,IF(AND($Y142&lt;&gt;"",EDATE($D142,Milestones!$AA$65)&gt;=$Y142),$AB142,$AA142)))=Milestones!$AB$65),UPPER(TEXT(EDATE($D142,Milestones!$AA$65),"dd mmm yy"))&amp;" "&amp;Milestones!$AB$65&amp;" "&amp;IF(AND(Milestones!$AB$65="FT",Milestones!$AA$65=FT_Y5,EDATE($D142,Milestones!$AA$65)&lt;PolicyEff),1,Milestones!$AC$65)&amp;";  ","")&amp;IF(AND(EDATE($D142,Milestones!$AA$66)&lt;=AsOfDate,EDATE($D142,Milestones!$AA$66)&gt;=SchemeStart,IF($X142=0,$AD142,IF(AND($Z142&lt;&gt;"",EDATE($D142,Milestones!$AA$66)&gt;=$Z142),$AC142,IF(AND($Y142&lt;&gt;"",EDATE($D142,Milestones!$AA$66)&gt;=$Y142),$AB142,$AA142)))=Milestones!$AB$66),UPPER(TEXT(EDATE($D142,Milestones!$AA$66),"dd mmm yy"))&amp;" "&amp;Milestones!$AB$66&amp;" "&amp;IF(AND(Milestones!$AB$66="FT",Milestones!$AA$66=FT_Y5,EDATE($D142,Milestones!$AA$66)&lt;PolicyEff),1,Milestones!$AC$66)&amp;";  ","")&amp;IF(AND(EDATE($D142,Milestones!$AA$67)&lt;=AsOfDate,EDATE($D142,Milestones!$AA$67)&gt;=SchemeStart,IF($X142=0,$AD142,IF(AND($Z142&lt;&gt;"",EDATE($D142,Milestones!$AA$67)&gt;=$Z142),$AC142,IF(AND($Y142&lt;&gt;"",EDATE($D142,Milestones!$AA$67)&gt;=$Y142),$AB142,$AA142)))=Milestones!$AB$67),UPPER(TEXT(EDATE($D142,Milestones!$AA$67),"dd mmm yy"))&amp;" "&amp;Milestones!$AB$67&amp;" "&amp;IF(AND(Milestones!$AB$67="FT",Milestones!$AA$67=FT_Y5,EDATE($D142,Milestones!$AA$67)&lt;PolicyEff),1,Milestones!$AC$67)&amp;";  ",""))</f>
        <v/>
      </c>
      <c r="M142" s="0" t="str">
        <f aca="false">IF(OR($A142="",$D142=""),"",IF(AND(EDATE($D142,Milestones!$AA$68)&lt;=AsOfDate,EDATE($D142,Milestones!$AA$68)&gt;=SchemeStart,IF($X142=0,$AD142,IF(AND($Z142&lt;&gt;"",EDATE($D142,Milestones!$AA$68)&gt;=$Z142),$AC142,IF(AND($Y142&lt;&gt;"",EDATE($D142,Milestones!$AA$68)&gt;=$Y142),$AB142,$AA142)))=Milestones!$AB$68),UPPER(TEXT(EDATE($D142,Milestones!$AA$68),"dd mmm yy"))&amp;" "&amp;Milestones!$AB$68&amp;" "&amp;IF(AND(Milestones!$AB$68="FT",Milestones!$AA$68=FT_Y5,EDATE($D142,Milestones!$AA$68)&lt;PolicyEff),1,Milestones!$AC$68)&amp;";  ","")&amp;IF(AND(EDATE($D142,Milestones!$AA$69)&lt;=AsOfDate,EDATE($D142,Milestones!$AA$69)&gt;=SchemeStart,IF($X142=0,$AD142,IF(AND($Z142&lt;&gt;"",EDATE($D142,Milestones!$AA$69)&gt;=$Z142),$AC142,IF(AND($Y142&lt;&gt;"",EDATE($D142,Milestones!$AA$69)&gt;=$Y142),$AB142,$AA142)))=Milestones!$AB$69),UPPER(TEXT(EDATE($D142,Milestones!$AA$69),"dd mmm yy"))&amp;" "&amp;Milestones!$AB$69&amp;" "&amp;IF(AND(Milestones!$AB$69="FT",Milestones!$AA$69=FT_Y5,EDATE($D142,Milestones!$AA$69)&lt;PolicyEff),1,Milestones!$AC$69)&amp;";  ","")&amp;IF(AND(EDATE($D142,Milestones!$AA$70)&lt;=AsOfDate,EDATE($D142,Milestones!$AA$70)&gt;=SchemeStart,IF($X142=0,$AD142,IF(AND($Z142&lt;&gt;"",EDATE($D142,Milestones!$AA$70)&gt;=$Z142),$AC142,IF(AND($Y142&lt;&gt;"",EDATE($D142,Milestones!$AA$70)&gt;=$Y142),$AB142,$AA142)))=Milestones!$AB$70),UPPER(TEXT(EDATE($D142,Milestones!$AA$70),"dd mmm yy"))&amp;" "&amp;Milestones!$AB$70&amp;" "&amp;IF(AND(Milestones!$AB$70="FT",Milestones!$AA$70=FT_Y5,EDATE($D142,Milestones!$AA$70)&lt;PolicyEff),1,Milestones!$AC$70)&amp;";  ","")&amp;IF(AND(EDATE($D142,Milestones!$AA$71)&lt;=AsOfDate,EDATE($D142,Milestones!$AA$71)&gt;=SchemeStart,IF($X142=0,$AD142,IF(AND($Z142&lt;&gt;"",EDATE($D142,Milestones!$AA$71)&gt;=$Z142),$AC142,IF(AND($Y142&lt;&gt;"",EDATE($D142,Milestones!$AA$71)&gt;=$Y142),$AB142,$AA142)))=Milestones!$AB$71),UPPER(TEXT(EDATE($D142,Milestones!$AA$71),"dd mmm yy"))&amp;" "&amp;Milestones!$AB$71&amp;" "&amp;IF(AND(Milestones!$AB$71="FT",Milestones!$AA$71=FT_Y5,EDATE($D142,Milestones!$AA$71)&lt;PolicyEff),1,Milestones!$AC$71)&amp;";  ","")&amp;IF(AND(EDATE($D142,Milestones!$AA$72)&lt;=AsOfDate,EDATE($D142,Milestones!$AA$72)&gt;=SchemeStart,IF($X142=0,$AD142,IF(AND($Z142&lt;&gt;"",EDATE($D142,Milestones!$AA$72)&gt;=$Z142),$AC142,IF(AND($Y142&lt;&gt;"",EDATE($D142,Milestones!$AA$72)&gt;=$Y142),$AB142,$AA142)))=Milestones!$AB$72),UPPER(TEXT(EDATE($D142,Milestones!$AA$72),"dd mmm yy"))&amp;" "&amp;Milestones!$AB$72&amp;" "&amp;IF(AND(Milestones!$AB$72="FT",Milestones!$AA$72=FT_Y5,EDATE($D142,Milestones!$AA$72)&lt;PolicyEff),1,Milestones!$AC$72)&amp;";  ","")&amp;IF(AND(EDATE($D142,Milestones!$AA$73)&lt;=AsOfDate,EDATE($D142,Milestones!$AA$73)&gt;=SchemeStart,IF($X142=0,$AD142,IF(AND($Z142&lt;&gt;"",EDATE($D142,Milestones!$AA$73)&gt;=$Z142),$AC142,IF(AND($Y142&lt;&gt;"",EDATE($D142,Milestones!$AA$73)&gt;=$Y142),$AB142,$AA142)))=Milestones!$AB$73),UPPER(TEXT(EDATE($D142,Milestones!$AA$73),"dd mmm yy"))&amp;" "&amp;Milestones!$AB$73&amp;" "&amp;IF(AND(Milestones!$AB$73="FT",Milestones!$AA$73=FT_Y5,EDATE($D142,Milestones!$AA$73)&lt;PolicyEff),1,Milestones!$AC$73)&amp;";  ","")&amp;IF(AND(EDATE($D142,Milestones!$AA$74)&lt;=AsOfDate,EDATE($D142,Milestones!$AA$74)&gt;=SchemeStart,IF($X142=0,$AD142,IF(AND($Z142&lt;&gt;"",EDATE($D142,Milestones!$AA$74)&gt;=$Z142),$AC142,IF(AND($Y142&lt;&gt;"",EDATE($D142,Milestones!$AA$74)&gt;=$Y142),$AB142,$AA142)))=Milestones!$AB$74),UPPER(TEXT(EDATE($D142,Milestones!$AA$74),"dd mmm yy"))&amp;" "&amp;Milestones!$AB$74&amp;" "&amp;IF(AND(Milestones!$AB$74="FT",Milestones!$AA$74=FT_Y5,EDATE($D142,Milestones!$AA$74)&lt;PolicyEff),1,Milestones!$AC$74)&amp;";  ","")&amp;IF(AND(EDATE($D142,Milestones!$AA$75)&lt;=AsOfDate,EDATE($D142,Milestones!$AA$75)&gt;=SchemeStart,IF($X142=0,$AD142,IF(AND($Z142&lt;&gt;"",EDATE($D142,Milestones!$AA$75)&gt;=$Z142),$AC142,IF(AND($Y142&lt;&gt;"",EDATE($D142,Milestones!$AA$75)&gt;=$Y142),$AB142,$AA142)))=Milestones!$AB$75),UPPER(TEXT(EDATE($D142,Milestones!$AA$75),"dd mmm yy"))&amp;" "&amp;Milestones!$AB$75&amp;" "&amp;IF(AND(Milestones!$AB$75="FT",Milestones!$AA$75=FT_Y5,EDATE($D142,Milestones!$AA$75)&lt;PolicyEff),1,Milestones!$AC$75)&amp;";  ","")&amp;IF(AND(EDATE($D142,Milestones!$AA$76)&lt;=AsOfDate,EDATE($D142,Milestones!$AA$76)&gt;=SchemeStart,IF($X142=0,$AD142,IF(AND($Z142&lt;&gt;"",EDATE($D142,Milestones!$AA$76)&gt;=$Z142),$AC142,IF(AND($Y142&lt;&gt;"",EDATE($D142,Milestones!$AA$76)&gt;=$Y142),$AB142,$AA142)))=Milestones!$AB$76),UPPER(TEXT(EDATE($D142,Milestones!$AA$76),"dd mmm yy"))&amp;" "&amp;Milestones!$AB$76&amp;" "&amp;IF(AND(Milestones!$AB$76="FT",Milestones!$AA$76=FT_Y5,EDATE($D142,Milestones!$AA$76)&lt;PolicyEff),1,Milestones!$AC$76)&amp;";  ","")&amp;IF(AND(EDATE($D142,Milestones!$AA$77)&lt;=AsOfDate,EDATE($D142,Milestones!$AA$77)&gt;=SchemeStart,IF($X142=0,$AD142,IF(AND($Z142&lt;&gt;"",EDATE($D142,Milestones!$AA$77)&gt;=$Z142),$AC142,IF(AND($Y142&lt;&gt;"",EDATE($D142,Milestones!$AA$77)&gt;=$Y142),$AB142,$AA142)))=Milestones!$AB$77),UPPER(TEXT(EDATE($D142,Milestones!$AA$77),"dd mmm yy"))&amp;" "&amp;Milestones!$AB$77&amp;" "&amp;IF(AND(Milestones!$AB$77="FT",Milestones!$AA$77=FT_Y5,EDATE($D142,Milestones!$AA$77)&lt;PolicyEff),1,Milestones!$AC$77)&amp;";  ","")&amp;IF(AND(EDATE($D142,Milestones!$AA$78)&lt;=AsOfDate,EDATE($D142,Milestones!$AA$78)&gt;=SchemeStart,IF($X142=0,$AD142,IF(AND($Z142&lt;&gt;"",EDATE($D142,Milestones!$AA$78)&gt;=$Z142),$AC142,IF(AND($Y142&lt;&gt;"",EDATE($D142,Milestones!$AA$78)&gt;=$Y142),$AB142,$AA142)))=Milestones!$AB$78),UPPER(TEXT(EDATE($D142,Milestones!$AA$78),"dd mmm yy"))&amp;" "&amp;Milestones!$AB$78&amp;" "&amp;IF(AND(Milestones!$AB$78="FT",Milestones!$AA$78=FT_Y5,EDATE($D142,Milestones!$AA$78)&lt;PolicyEff),1,Milestones!$AC$78)&amp;";  ","")&amp;IF(AND(EDATE($D142,Milestones!$AA$79)&lt;=AsOfDate,EDATE($D142,Milestones!$AA$79)&gt;=SchemeStart,IF($X142=0,$AD142,IF(AND($Z142&lt;&gt;"",EDATE($D142,Milestones!$AA$79)&gt;=$Z142),$AC142,IF(AND($Y142&lt;&gt;"",EDATE($D142,Milestones!$AA$79)&gt;=$Y142),$AB142,$AA142)))=Milestones!$AB$79),UPPER(TEXT(EDATE($D142,Milestones!$AA$79),"dd mmm yy"))&amp;" "&amp;Milestones!$AB$79&amp;" "&amp;IF(AND(Milestones!$AB$79="FT",Milestones!$AA$79=FT_Y5,EDATE($D142,Milestones!$AA$79)&lt;PolicyEff),1,Milestones!$AC$79)&amp;";  ",""))</f>
        <v/>
      </c>
      <c r="N142" s="0" t="str">
        <f aca="false">IF(OR($A142="",$D142=""),"",IF(AND(EDATE($D142,Milestones!$AA$80)&lt;=AsOfDate,EDATE($D142,Milestones!$AA$80)&gt;=SchemeStart,IF($X142=0,$AD142,IF(AND($Z142&lt;&gt;"",EDATE($D142,Milestones!$AA$80)&gt;=$Z142),$AC142,IF(AND($Y142&lt;&gt;"",EDATE($D142,Milestones!$AA$80)&gt;=$Y142),$AB142,$AA142)))=Milestones!$AB$80),UPPER(TEXT(EDATE($D142,Milestones!$AA$80),"dd mmm yy"))&amp;" "&amp;Milestones!$AB$80&amp;" "&amp;IF(AND(Milestones!$AB$80="FT",Milestones!$AA$80=FT_Y5,EDATE($D142,Milestones!$AA$80)&lt;PolicyEff),1,Milestones!$AC$80)&amp;";  ","")&amp;IF(AND(EDATE($D142,Milestones!$AA$81)&lt;=AsOfDate,EDATE($D142,Milestones!$AA$81)&gt;=SchemeStart,IF($X142=0,$AD142,IF(AND($Z142&lt;&gt;"",EDATE($D142,Milestones!$AA$81)&gt;=$Z142),$AC142,IF(AND($Y142&lt;&gt;"",EDATE($D142,Milestones!$AA$81)&gt;=$Y142),$AB142,$AA142)))=Milestones!$AB$81),UPPER(TEXT(EDATE($D142,Milestones!$AA$81),"dd mmm yy"))&amp;" "&amp;Milestones!$AB$81&amp;" "&amp;IF(AND(Milestones!$AB$81="FT",Milestones!$AA$81=FT_Y5,EDATE($D142,Milestones!$AA$81)&lt;PolicyEff),1,Milestones!$AC$81)&amp;";  ","")&amp;IF(AND(EDATE($D142,Milestones!$AA$82)&lt;=AsOfDate,EDATE($D142,Milestones!$AA$82)&gt;=SchemeStart,IF($X142=0,$AD142,IF(AND($Z142&lt;&gt;"",EDATE($D142,Milestones!$AA$82)&gt;=$Z142),$AC142,IF(AND($Y142&lt;&gt;"",EDATE($D142,Milestones!$AA$82)&gt;=$Y142),$AB142,$AA142)))=Milestones!$AB$82),UPPER(TEXT(EDATE($D142,Milestones!$AA$82),"dd mmm yy"))&amp;" "&amp;Milestones!$AB$82&amp;" "&amp;IF(AND(Milestones!$AB$82="FT",Milestones!$AA$82=FT_Y5,EDATE($D142,Milestones!$AA$82)&lt;PolicyEff),1,Milestones!$AC$82)&amp;";  ","")&amp;IF(AND(EDATE($D142,Milestones!$AA$83)&lt;=AsOfDate,EDATE($D142,Milestones!$AA$83)&gt;=SchemeStart,IF($X142=0,$AD142,IF(AND($Z142&lt;&gt;"",EDATE($D142,Milestones!$AA$83)&gt;=$Z142),$AC142,IF(AND($Y142&lt;&gt;"",EDATE($D142,Milestones!$AA$83)&gt;=$Y142),$AB142,$AA142)))=Milestones!$AB$83),UPPER(TEXT(EDATE($D142,Milestones!$AA$83),"dd mmm yy"))&amp;" "&amp;Milestones!$AB$83&amp;" "&amp;IF(AND(Milestones!$AB$83="FT",Milestones!$AA$83=FT_Y5,EDATE($D142,Milestones!$AA$83)&lt;PolicyEff),1,Milestones!$AC$83)&amp;";  ","")&amp;IF(AND(EDATE($D142,Milestones!$AA$84)&lt;=AsOfDate,EDATE($D142,Milestones!$AA$84)&gt;=SchemeStart,IF($X142=0,$AD142,IF(AND($Z142&lt;&gt;"",EDATE($D142,Milestones!$AA$84)&gt;=$Z142),$AC142,IF(AND($Y142&lt;&gt;"",EDATE($D142,Milestones!$AA$84)&gt;=$Y142),$AB142,$AA142)))=Milestones!$AB$84),UPPER(TEXT(EDATE($D142,Milestones!$AA$84),"dd mmm yy"))&amp;" "&amp;Milestones!$AB$84&amp;" "&amp;IF(AND(Milestones!$AB$84="FT",Milestones!$AA$84=FT_Y5,EDATE($D142,Milestones!$AA$84)&lt;PolicyEff),1,Milestones!$AC$84)&amp;";  ","")&amp;IF(AND(EDATE($D142,Milestones!$AA$85)&lt;=AsOfDate,EDATE($D142,Milestones!$AA$85)&gt;=SchemeStart,IF($X142=0,$AD142,IF(AND($Z142&lt;&gt;"",EDATE($D142,Milestones!$AA$85)&gt;=$Z142),$AC142,IF(AND($Y142&lt;&gt;"",EDATE($D142,Milestones!$AA$85)&gt;=$Y142),$AB142,$AA142)))=Milestones!$AB$85),UPPER(TEXT(EDATE($D142,Milestones!$AA$85),"dd mmm yy"))&amp;" "&amp;Milestones!$AB$85&amp;" "&amp;IF(AND(Milestones!$AB$85="FT",Milestones!$AA$85=FT_Y5,EDATE($D142,Milestones!$AA$85)&lt;PolicyEff),1,Milestones!$AC$85)&amp;";  ","")&amp;IF(AND(EDATE($D142,Milestones!$AA$86)&lt;=AsOfDate,EDATE($D142,Milestones!$AA$86)&gt;=SchemeStart,IF($X142=0,$AD142,IF(AND($Z142&lt;&gt;"",EDATE($D142,Milestones!$AA$86)&gt;=$Z142),$AC142,IF(AND($Y142&lt;&gt;"",EDATE($D142,Milestones!$AA$86)&gt;=$Y142),$AB142,$AA142)))=Milestones!$AB$86),UPPER(TEXT(EDATE($D142,Milestones!$AA$86),"dd mmm yy"))&amp;" "&amp;Milestones!$AB$86&amp;" "&amp;IF(AND(Milestones!$AB$86="FT",Milestones!$AA$86=FT_Y5,EDATE($D142,Milestones!$AA$86)&lt;PolicyEff),1,Milestones!$AC$86)&amp;";  ","")&amp;IF(AND(EDATE($D142,Milestones!$AA$87)&lt;=AsOfDate,EDATE($D142,Milestones!$AA$87)&gt;=SchemeStart,IF($X142=0,$AD142,IF(AND($Z142&lt;&gt;"",EDATE($D142,Milestones!$AA$87)&gt;=$Z142),$AC142,IF(AND($Y142&lt;&gt;"",EDATE($D142,Milestones!$AA$87)&gt;=$Y142),$AB142,$AA142)))=Milestones!$AB$87),UPPER(TEXT(EDATE($D142,Milestones!$AA$87),"dd mmm yy"))&amp;" "&amp;Milestones!$AB$87&amp;" "&amp;IF(AND(Milestones!$AB$87="FT",Milestones!$AA$87=FT_Y5,EDATE($D142,Milestones!$AA$87)&lt;PolicyEff),1,Milestones!$AC$87)&amp;";  ","")&amp;IF(AND(EDATE($D142,Milestones!$AA$88)&lt;=AsOfDate,EDATE($D142,Milestones!$AA$88)&gt;=SchemeStart,IF($X142=0,$AD142,IF(AND($Z142&lt;&gt;"",EDATE($D142,Milestones!$AA$88)&gt;=$Z142),$AC142,IF(AND($Y142&lt;&gt;"",EDATE($D142,Milestones!$AA$88)&gt;=$Y142),$AB142,$AA142)))=Milestones!$AB$88),UPPER(TEXT(EDATE($D142,Milestones!$AA$88),"dd mmm yy"))&amp;" "&amp;Milestones!$AB$88&amp;" "&amp;IF(AND(Milestones!$AB$88="FT",Milestones!$AA$88=FT_Y5,EDATE($D142,Milestones!$AA$88)&lt;PolicyEff),1,Milestones!$AC$88)&amp;";  ","")&amp;IF(AND(EDATE($D142,Milestones!$AA$89)&lt;=AsOfDate,EDATE($D142,Milestones!$AA$89)&gt;=SchemeStart,IF($X142=0,$AD142,IF(AND($Z142&lt;&gt;"",EDATE($D142,Milestones!$AA$89)&gt;=$Z142),$AC142,IF(AND($Y142&lt;&gt;"",EDATE($D142,Milestones!$AA$89)&gt;=$Y142),$AB142,$AA142)))=Milestones!$AB$89),UPPER(TEXT(EDATE($D142,Milestones!$AA$89),"dd mmm yy"))&amp;" "&amp;Milestones!$AB$89&amp;" "&amp;IF(AND(Milestones!$AB$89="FT",Milestones!$AA$89=FT_Y5,EDATE($D142,Milestones!$AA$89)&lt;PolicyEff),1,Milestones!$AC$89)&amp;";  ","")&amp;IF(AND(EDATE($D142,Milestones!$AA$90)&lt;=AsOfDate,EDATE($D142,Milestones!$AA$90)&gt;=SchemeStart,IF($X142=0,$AD142,IF(AND($Z142&lt;&gt;"",EDATE($D142,Milestones!$AA$90)&gt;=$Z142),$AC142,IF(AND($Y142&lt;&gt;"",EDATE($D142,Milestones!$AA$90)&gt;=$Y142),$AB142,$AA142)))=Milestones!$AB$90),UPPER(TEXT(EDATE($D142,Milestones!$AA$90),"dd mmm yy"))&amp;" "&amp;Milestones!$AB$90&amp;" "&amp;IF(AND(Milestones!$AB$90="FT",Milestones!$AA$90=FT_Y5,EDATE($D142,Milestones!$AA$90)&lt;PolicyEff),1,Milestones!$AC$90)&amp;";  ","")&amp;IF(AND(EDATE($D142,Milestones!$AA$91)&lt;=AsOfDate,EDATE($D142,Milestones!$AA$91)&gt;=SchemeStart,IF($X142=0,$AD142,IF(AND($Z142&lt;&gt;"",EDATE($D142,Milestones!$AA$91)&gt;=$Z142),$AC142,IF(AND($Y142&lt;&gt;"",EDATE($D142,Milestones!$AA$91)&gt;=$Y142),$AB142,$AA142)))=Milestones!$AB$91),UPPER(TEXT(EDATE($D142,Milestones!$AA$91),"dd mmm yy"))&amp;" "&amp;Milestones!$AB$91&amp;" "&amp;IF(AND(Milestones!$AB$91="FT",Milestones!$AA$91=FT_Y5,EDATE($D142,Milestones!$AA$91)&lt;PolicyEff),1,Milestones!$AC$91)&amp;";  ",""))</f>
        <v/>
      </c>
      <c r="O142" s="0" t="str">
        <f aca="false">IF(OR($A142="",$D142=""),"",IF(AND(EDATE($D142,Milestones!$AA$92)&lt;=AsOfDate,EDATE($D142,Milestones!$AA$92)&gt;=SchemeStart,IF($X142=0,$AD142,IF(AND($Z142&lt;&gt;"",EDATE($D142,Milestones!$AA$92)&gt;=$Z142),$AC142,IF(AND($Y142&lt;&gt;"",EDATE($D142,Milestones!$AA$92)&gt;=$Y142),$AB142,$AA142)))=Milestones!$AB$92),UPPER(TEXT(EDATE($D142,Milestones!$AA$92),"dd mmm yy"))&amp;" "&amp;Milestones!$AB$92&amp;" "&amp;IF(AND(Milestones!$AB$92="FT",Milestones!$AA$92=FT_Y5,EDATE($D142,Milestones!$AA$92)&lt;PolicyEff),1,Milestones!$AC$92)&amp;";  ","")&amp;IF(AND(EDATE($D142,Milestones!$AA$93)&lt;=AsOfDate,EDATE($D142,Milestones!$AA$93)&gt;=SchemeStart,IF($X142=0,$AD142,IF(AND($Z142&lt;&gt;"",EDATE($D142,Milestones!$AA$93)&gt;=$Z142),$AC142,IF(AND($Y142&lt;&gt;"",EDATE($D142,Milestones!$AA$93)&gt;=$Y142),$AB142,$AA142)))=Milestones!$AB$93),UPPER(TEXT(EDATE($D142,Milestones!$AA$93),"dd mmm yy"))&amp;" "&amp;Milestones!$AB$93&amp;" "&amp;IF(AND(Milestones!$AB$93="FT",Milestones!$AA$93=FT_Y5,EDATE($D142,Milestones!$AA$93)&lt;PolicyEff),1,Milestones!$AC$93)&amp;";  ","")&amp;IF(AND(EDATE($D142,Milestones!$AA$94)&lt;=AsOfDate,EDATE($D142,Milestones!$AA$94)&gt;=SchemeStart,IF($X142=0,$AD142,IF(AND($Z142&lt;&gt;"",EDATE($D142,Milestones!$AA$94)&gt;=$Z142),$AC142,IF(AND($Y142&lt;&gt;"",EDATE($D142,Milestones!$AA$94)&gt;=$Y142),$AB142,$AA142)))=Milestones!$AB$94),UPPER(TEXT(EDATE($D142,Milestones!$AA$94),"dd mmm yy"))&amp;" "&amp;Milestones!$AB$94&amp;" "&amp;IF(AND(Milestones!$AB$94="FT",Milestones!$AA$94=FT_Y5,EDATE($D142,Milestones!$AA$94)&lt;PolicyEff),1,Milestones!$AC$94)&amp;";  ","")&amp;IF(AND(EDATE($D142,Milestones!$AA$95)&lt;=AsOfDate,EDATE($D142,Milestones!$AA$95)&gt;=SchemeStart,IF($X142=0,$AD142,IF(AND($Z142&lt;&gt;"",EDATE($D142,Milestones!$AA$95)&gt;=$Z142),$AC142,IF(AND($Y142&lt;&gt;"",EDATE($D142,Milestones!$AA$95)&gt;=$Y142),$AB142,$AA142)))=Milestones!$AB$95),UPPER(TEXT(EDATE($D142,Milestones!$AA$95),"dd mmm yy"))&amp;" "&amp;Milestones!$AB$95&amp;" "&amp;IF(AND(Milestones!$AB$95="FT",Milestones!$AA$95=FT_Y5,EDATE($D142,Milestones!$AA$95)&lt;PolicyEff),1,Milestones!$AC$95)&amp;";  ","")&amp;IF(AND(EDATE($D142,Milestones!$AA$96)&lt;=AsOfDate,EDATE($D142,Milestones!$AA$96)&gt;=SchemeStart,IF($X142=0,$AD142,IF(AND($Z142&lt;&gt;"",EDATE($D142,Milestones!$AA$96)&gt;=$Z142),$AC142,IF(AND($Y142&lt;&gt;"",EDATE($D142,Milestones!$AA$96)&gt;=$Y142),$AB142,$AA142)))=Milestones!$AB$96),UPPER(TEXT(EDATE($D142,Milestones!$AA$96),"dd mmm yy"))&amp;" "&amp;Milestones!$AB$96&amp;" "&amp;IF(AND(Milestones!$AB$96="FT",Milestones!$AA$96=FT_Y5,EDATE($D142,Milestones!$AA$96)&lt;PolicyEff),1,Milestones!$AC$96)&amp;";  ","")&amp;IF(AND(EDATE($D142,Milestones!$AA$97)&lt;=AsOfDate,EDATE($D142,Milestones!$AA$97)&gt;=SchemeStart,IF($X142=0,$AD142,IF(AND($Z142&lt;&gt;"",EDATE($D142,Milestones!$AA$97)&gt;=$Z142),$AC142,IF(AND($Y142&lt;&gt;"",EDATE($D142,Milestones!$AA$97)&gt;=$Y142),$AB142,$AA142)))=Milestones!$AB$97),UPPER(TEXT(EDATE($D142,Milestones!$AA$97),"dd mmm yy"))&amp;" "&amp;Milestones!$AB$97&amp;" "&amp;IF(AND(Milestones!$AB$97="FT",Milestones!$AA$97=FT_Y5,EDATE($D142,Milestones!$AA$97)&lt;PolicyEff),1,Milestones!$AC$97)&amp;";  ","")&amp;IF(AND(EDATE($D142,Milestones!$AA$98)&lt;=AsOfDate,EDATE($D142,Milestones!$AA$98)&gt;=SchemeStart,IF($X142=0,$AD142,IF(AND($Z142&lt;&gt;"",EDATE($D142,Milestones!$AA$98)&gt;=$Z142),$AC142,IF(AND($Y142&lt;&gt;"",EDATE($D142,Milestones!$AA$98)&gt;=$Y142),$AB142,$AA142)))=Milestones!$AB$98),UPPER(TEXT(EDATE($D142,Milestones!$AA$98),"dd mmm yy"))&amp;" "&amp;Milestones!$AB$98&amp;" "&amp;IF(AND(Milestones!$AB$98="FT",Milestones!$AA$98=FT_Y5,EDATE($D142,Milestones!$AA$98)&lt;PolicyEff),1,Milestones!$AC$98)&amp;";  ","")&amp;IF(AND(EDATE($D142,Milestones!$AA$99)&lt;=AsOfDate,EDATE($D142,Milestones!$AA$99)&gt;=SchemeStart,IF($X142=0,$AD142,IF(AND($Z142&lt;&gt;"",EDATE($D142,Milestones!$AA$99)&gt;=$Z142),$AC142,IF(AND($Y142&lt;&gt;"",EDATE($D142,Milestones!$AA$99)&gt;=$Y142),$AB142,$AA142)))=Milestones!$AB$99),UPPER(TEXT(EDATE($D142,Milestones!$AA$99),"dd mmm yy"))&amp;" "&amp;Milestones!$AB$99&amp;" "&amp;IF(AND(Milestones!$AB$99="FT",Milestones!$AA$99=FT_Y5,EDATE($D142,Milestones!$AA$99)&lt;PolicyEff),1,Milestones!$AC$99)&amp;";  ","")&amp;IF(AND(EDATE($D142,Milestones!$AA$100)&lt;=AsOfDate,EDATE($D142,Milestones!$AA$100)&gt;=SchemeStart,IF($X142=0,$AD142,IF(AND($Z142&lt;&gt;"",EDATE($D142,Milestones!$AA$100)&gt;=$Z142),$AC142,IF(AND($Y142&lt;&gt;"",EDATE($D142,Milestones!$AA$100)&gt;=$Y142),$AB142,$AA142)))=Milestones!$AB$100),UPPER(TEXT(EDATE($D142,Milestones!$AA$100),"dd mmm yy"))&amp;" "&amp;Milestones!$AB$100&amp;" "&amp;IF(AND(Milestones!$AB$100="FT",Milestones!$AA$100=FT_Y5,EDATE($D142,Milestones!$AA$100)&lt;PolicyEff),1,Milestones!$AC$100)&amp;";  ","")&amp;IF(AND(EDATE($D142,Milestones!$AA$101)&lt;=AsOfDate,EDATE($D142,Milestones!$AA$101)&gt;=SchemeStart,IF($X142=0,$AD142,IF(AND($Z142&lt;&gt;"",EDATE($D142,Milestones!$AA$101)&gt;=$Z142),$AC142,IF(AND($Y142&lt;&gt;"",EDATE($D142,Milestones!$AA$101)&gt;=$Y142),$AB142,$AA142)))=Milestones!$AB$101),UPPER(TEXT(EDATE($D142,Milestones!$AA$101),"dd mmm yy"))&amp;" "&amp;Milestones!$AB$101&amp;" "&amp;IF(AND(Milestones!$AB$101="FT",Milestones!$AA$101=FT_Y5,EDATE($D142,Milestones!$AA$101)&lt;PolicyEff),1,Milestones!$AC$101)&amp;";  ","")&amp;IF(AND(EDATE($D142,Milestones!$AA$102)&lt;=AsOfDate,EDATE($D142,Milestones!$AA$102)&gt;=SchemeStart,IF($X142=0,$AD142,IF(AND($Z142&lt;&gt;"",EDATE($D142,Milestones!$AA$102)&gt;=$Z142),$AC142,IF(AND($Y142&lt;&gt;"",EDATE($D142,Milestones!$AA$102)&gt;=$Y142),$AB142,$AA142)))=Milestones!$AB$102),UPPER(TEXT(EDATE($D142,Milestones!$AA$102),"dd mmm yy"))&amp;" "&amp;Milestones!$AB$102&amp;" "&amp;IF(AND(Milestones!$AB$102="FT",Milestones!$AA$102=FT_Y5,EDATE($D142,Milestones!$AA$102)&lt;PolicyEff),1,Milestones!$AC$102)&amp;";  ","")&amp;IF(AND(EDATE($D142,Milestones!$AA$103)&lt;=AsOfDate,EDATE($D142,Milestones!$AA$103)&gt;=SchemeStart,IF($X142=0,$AD142,IF(AND($Z142&lt;&gt;"",EDATE($D142,Milestones!$AA$103)&gt;=$Z142),$AC142,IF(AND($Y142&lt;&gt;"",EDATE($D142,Milestones!$AA$103)&gt;=$Y142),$AB142,$AA142)))=Milestones!$AB$103),UPPER(TEXT(EDATE($D142,Milestones!$AA$103),"dd mmm yy"))&amp;" "&amp;Milestones!$AB$103&amp;" "&amp;IF(AND(Milestones!$AB$103="FT",Milestones!$AA$103=FT_Y5,EDATE($D142,Milestones!$AA$103)&lt;PolicyEff),1,Milestones!$AC$103)&amp;";  ",""))</f>
        <v/>
      </c>
      <c r="P142" s="0" t="str">
        <f aca="false">IF(OR($A142="",$D142=""),"",IF(AND(EDATE($D142,Milestones!$AA$104)&lt;=AsOfDate,EDATE($D142,Milestones!$AA$104)&gt;=SchemeStart,IF($X142=0,$AD142,IF(AND($Z142&lt;&gt;"",EDATE($D142,Milestones!$AA$104)&gt;=$Z142),$AC142,IF(AND($Y142&lt;&gt;"",EDATE($D142,Milestones!$AA$104)&gt;=$Y142),$AB142,$AA142)))=Milestones!$AB$104),UPPER(TEXT(EDATE($D142,Milestones!$AA$104),"dd mmm yy"))&amp;" "&amp;Milestones!$AB$104&amp;" "&amp;IF(AND(Milestones!$AB$104="FT",Milestones!$AA$104=FT_Y5,EDATE($D142,Milestones!$AA$104)&lt;PolicyEff),1,Milestones!$AC$104)&amp;";  ","")&amp;IF(AND(EDATE($D142,Milestones!$AA$105)&lt;=AsOfDate,EDATE($D142,Milestones!$AA$105)&gt;=SchemeStart,IF($X142=0,$AD142,IF(AND($Z142&lt;&gt;"",EDATE($D142,Milestones!$AA$105)&gt;=$Z142),$AC142,IF(AND($Y142&lt;&gt;"",EDATE($D142,Milestones!$AA$105)&gt;=$Y142),$AB142,$AA142)))=Milestones!$AB$105),UPPER(TEXT(EDATE($D142,Milestones!$AA$105),"dd mmm yy"))&amp;" "&amp;Milestones!$AB$105&amp;" "&amp;IF(AND(Milestones!$AB$105="FT",Milestones!$AA$105=FT_Y5,EDATE($D142,Milestones!$AA$105)&lt;PolicyEff),1,Milestones!$AC$105)&amp;";  ","")&amp;IF(AND(EDATE($D142,Milestones!$AA$106)&lt;=AsOfDate,EDATE($D142,Milestones!$AA$106)&gt;=SchemeStart,IF($X142=0,$AD142,IF(AND($Z142&lt;&gt;"",EDATE($D142,Milestones!$AA$106)&gt;=$Z142),$AC142,IF(AND($Y142&lt;&gt;"",EDATE($D142,Milestones!$AA$106)&gt;=$Y142),$AB142,$AA142)))=Milestones!$AB$106),UPPER(TEXT(EDATE($D142,Milestones!$AA$106),"dd mmm yy"))&amp;" "&amp;Milestones!$AB$106&amp;" "&amp;IF(AND(Milestones!$AB$106="FT",Milestones!$AA$106=FT_Y5,EDATE($D142,Milestones!$AA$106)&lt;PolicyEff),1,Milestones!$AC$106)&amp;";  ","")&amp;IF(AND(EDATE($D142,Milestones!$AA$107)&lt;=AsOfDate,EDATE($D142,Milestones!$AA$107)&gt;=SchemeStart,IF($X142=0,$AD142,IF(AND($Z142&lt;&gt;"",EDATE($D142,Milestones!$AA$107)&gt;=$Z142),$AC142,IF(AND($Y142&lt;&gt;"",EDATE($D142,Milestones!$AA$107)&gt;=$Y142),$AB142,$AA142)))=Milestones!$AB$107),UPPER(TEXT(EDATE($D142,Milestones!$AA$107),"dd mmm yy"))&amp;" "&amp;Milestones!$AB$107&amp;" "&amp;IF(AND(Milestones!$AB$107="FT",Milestones!$AA$107=FT_Y5,EDATE($D142,Milestones!$AA$107)&lt;PolicyEff),1,Milestones!$AC$107)&amp;";  ","")&amp;IF(AND(EDATE($D142,Milestones!$AA$108)&lt;=AsOfDate,EDATE($D142,Milestones!$AA$108)&gt;=SchemeStart,IF($X142=0,$AD142,IF(AND($Z142&lt;&gt;"",EDATE($D142,Milestones!$AA$108)&gt;=$Z142),$AC142,IF(AND($Y142&lt;&gt;"",EDATE($D142,Milestones!$AA$108)&gt;=$Y142),$AB142,$AA142)))=Milestones!$AB$108),UPPER(TEXT(EDATE($D142,Milestones!$AA$108),"dd mmm yy"))&amp;" "&amp;Milestones!$AB$108&amp;" "&amp;IF(AND(Milestones!$AB$108="FT",Milestones!$AA$108=FT_Y5,EDATE($D142,Milestones!$AA$108)&lt;PolicyEff),1,Milestones!$AC$108)&amp;";  ","")&amp;IF(AND(EDATE($D142,Milestones!$AA$109)&lt;=AsOfDate,EDATE($D142,Milestones!$AA$109)&gt;=SchemeStart,IF($X142=0,$AD142,IF(AND($Z142&lt;&gt;"",EDATE($D142,Milestones!$AA$109)&gt;=$Z142),$AC142,IF(AND($Y142&lt;&gt;"",EDATE($D142,Milestones!$AA$109)&gt;=$Y142),$AB142,$AA142)))=Milestones!$AB$109),UPPER(TEXT(EDATE($D142,Milestones!$AA$109),"dd mmm yy"))&amp;" "&amp;Milestones!$AB$109&amp;" "&amp;IF(AND(Milestones!$AB$109="FT",Milestones!$AA$109=FT_Y5,EDATE($D142,Milestones!$AA$109)&lt;PolicyEff),1,Milestones!$AC$109)&amp;";  ","")&amp;IF(AND(EDATE($D142,Milestones!$AA$110)&lt;=AsOfDate,EDATE($D142,Milestones!$AA$110)&gt;=SchemeStart,IF($X142=0,$AD142,IF(AND($Z142&lt;&gt;"",EDATE($D142,Milestones!$AA$110)&gt;=$Z142),$AC142,IF(AND($Y142&lt;&gt;"",EDATE($D142,Milestones!$AA$110)&gt;=$Y142),$AB142,$AA142)))=Milestones!$AB$110),UPPER(TEXT(EDATE($D142,Milestones!$AA$110),"dd mmm yy"))&amp;" "&amp;Milestones!$AB$110&amp;" "&amp;IF(AND(Milestones!$AB$110="FT",Milestones!$AA$110=FT_Y5,EDATE($D142,Milestones!$AA$110)&lt;PolicyEff),1,Milestones!$AC$110)&amp;";  ","")&amp;IF(AND(EDATE($D142,Milestones!$AA$111)&lt;=AsOfDate,EDATE($D142,Milestones!$AA$111)&gt;=SchemeStart,IF($X142=0,$AD142,IF(AND($Z142&lt;&gt;"",EDATE($D142,Milestones!$AA$111)&gt;=$Z142),$AC142,IF(AND($Y142&lt;&gt;"",EDATE($D142,Milestones!$AA$111)&gt;=$Y142),$AB142,$AA142)))=Milestones!$AB$111),UPPER(TEXT(EDATE($D142,Milestones!$AA$111),"dd mmm yy"))&amp;" "&amp;Milestones!$AB$111&amp;" "&amp;IF(AND(Milestones!$AB$111="FT",Milestones!$AA$111=FT_Y5,EDATE($D142,Milestones!$AA$111)&lt;PolicyEff),1,Milestones!$AC$111)&amp;";  ","")&amp;IF(AND(EDATE($D142,Milestones!$AA$112)&lt;=AsOfDate,EDATE($D142,Milestones!$AA$112)&gt;=SchemeStart,IF($X142=0,$AD142,IF(AND($Z142&lt;&gt;"",EDATE($D142,Milestones!$AA$112)&gt;=$Z142),$AC142,IF(AND($Y142&lt;&gt;"",EDATE($D142,Milestones!$AA$112)&gt;=$Y142),$AB142,$AA142)))=Milestones!$AB$112),UPPER(TEXT(EDATE($D142,Milestones!$AA$112),"dd mmm yy"))&amp;" "&amp;Milestones!$AB$112&amp;" "&amp;IF(AND(Milestones!$AB$112="FT",Milestones!$AA$112=FT_Y5,EDATE($D142,Milestones!$AA$112)&lt;PolicyEff),1,Milestones!$AC$112)&amp;";  ","")&amp;IF(AND(EDATE($D142,Milestones!$AA$113)&lt;=AsOfDate,EDATE($D142,Milestones!$AA$113)&gt;=SchemeStart,IF($X142=0,$AD142,IF(AND($Z142&lt;&gt;"",EDATE($D142,Milestones!$AA$113)&gt;=$Z142),$AC142,IF(AND($Y142&lt;&gt;"",EDATE($D142,Milestones!$AA$113)&gt;=$Y142),$AB142,$AA142)))=Milestones!$AB$113),UPPER(TEXT(EDATE($D142,Milestones!$AA$113),"dd mmm yy"))&amp;" "&amp;Milestones!$AB$113&amp;" "&amp;IF(AND(Milestones!$AB$113="FT",Milestones!$AA$113=FT_Y5,EDATE($D142,Milestones!$AA$113)&lt;PolicyEff),1,Milestones!$AC$113)&amp;";  ","")&amp;IF(AND(EDATE($D142,Milestones!$AA$114)&lt;=AsOfDate,EDATE($D142,Milestones!$AA$114)&gt;=SchemeStart,IF($X142=0,$AD142,IF(AND($Z142&lt;&gt;"",EDATE($D142,Milestones!$AA$114)&gt;=$Z142),$AC142,IF(AND($Y142&lt;&gt;"",EDATE($D142,Milestones!$AA$114)&gt;=$Y142),$AB142,$AA142)))=Milestones!$AB$114),UPPER(TEXT(EDATE($D142,Milestones!$AA$114),"dd mmm yy"))&amp;" "&amp;Milestones!$AB$114&amp;" "&amp;IF(AND(Milestones!$AB$114="FT",Milestones!$AA$114=FT_Y5,EDATE($D142,Milestones!$AA$114)&lt;PolicyEff),1,Milestones!$AC$114)&amp;";  ","")&amp;IF(AND(EDATE($D142,Milestones!$AA$115)&lt;=AsOfDate,EDATE($D142,Milestones!$AA$115)&gt;=SchemeStart,IF($X142=0,$AD142,IF(AND($Z142&lt;&gt;"",EDATE($D142,Milestones!$AA$115)&gt;=$Z142),$AC142,IF(AND($Y142&lt;&gt;"",EDATE($D142,Milestones!$AA$115)&gt;=$Y142),$AB142,$AA142)))=Milestones!$AB$115),UPPER(TEXT(EDATE($D142,Milestones!$AA$115),"dd mmm yy"))&amp;" "&amp;Milestones!$AB$115&amp;" "&amp;IF(AND(Milestones!$AB$115="FT",Milestones!$AA$115=FT_Y5,EDATE($D142,Milestones!$AA$115)&lt;PolicyEff),1,Milestones!$AC$115)&amp;";  ",""))</f>
        <v/>
      </c>
      <c r="Q142" s="0" t="str">
        <f aca="false">IF(OR($A142="",$D142=""),"",IF(AND(EDATE($D142,Milestones!$AA$116)&lt;=AsOfDate,EDATE($D142,Milestones!$AA$116)&gt;=SchemeStart,IF($X142=0,$AD142,IF(AND($Z142&lt;&gt;"",EDATE($D142,Milestones!$AA$116)&gt;=$Z142),$AC142,IF(AND($Y142&lt;&gt;"",EDATE($D142,Milestones!$AA$116)&gt;=$Y142),$AB142,$AA142)))=Milestones!$AB$116),UPPER(TEXT(EDATE($D142,Milestones!$AA$116),"dd mmm yy"))&amp;" "&amp;Milestones!$AB$116&amp;" "&amp;IF(AND(Milestones!$AB$116="FT",Milestones!$AA$116=FT_Y5,EDATE($D142,Milestones!$AA$116)&lt;PolicyEff),1,Milestones!$AC$116)&amp;";  ","")&amp;IF(AND(EDATE($D142,Milestones!$AA$117)&lt;=AsOfDate,EDATE($D142,Milestones!$AA$117)&gt;=SchemeStart,IF($X142=0,$AD142,IF(AND($Z142&lt;&gt;"",EDATE($D142,Milestones!$AA$117)&gt;=$Z142),$AC142,IF(AND($Y142&lt;&gt;"",EDATE($D142,Milestones!$AA$117)&gt;=$Y142),$AB142,$AA142)))=Milestones!$AB$117),UPPER(TEXT(EDATE($D142,Milestones!$AA$117),"dd mmm yy"))&amp;" "&amp;Milestones!$AB$117&amp;" "&amp;IF(AND(Milestones!$AB$117="FT",Milestones!$AA$117=FT_Y5,EDATE($D142,Milestones!$AA$117)&lt;PolicyEff),1,Milestones!$AC$117)&amp;";  ","")&amp;IF(AND(EDATE($D142,Milestones!$AA$118)&lt;=AsOfDate,EDATE($D142,Milestones!$AA$118)&gt;=SchemeStart,IF($X142=0,$AD142,IF(AND($Z142&lt;&gt;"",EDATE($D142,Milestones!$AA$118)&gt;=$Z142),$AC142,IF(AND($Y142&lt;&gt;"",EDATE($D142,Milestones!$AA$118)&gt;=$Y142),$AB142,$AA142)))=Milestones!$AB$118),UPPER(TEXT(EDATE($D142,Milestones!$AA$118),"dd mmm yy"))&amp;" "&amp;Milestones!$AB$118&amp;" "&amp;IF(AND(Milestones!$AB$118="FT",Milestones!$AA$118=FT_Y5,EDATE($D142,Milestones!$AA$118)&lt;PolicyEff),1,Milestones!$AC$118)&amp;";  ","")&amp;IF(AND(EDATE($D142,Milestones!$AA$119)&lt;=AsOfDate,EDATE($D142,Milestones!$AA$119)&gt;=SchemeStart,IF($X142=0,$AD142,IF(AND($Z142&lt;&gt;"",EDATE($D142,Milestones!$AA$119)&gt;=$Z142),$AC142,IF(AND($Y142&lt;&gt;"",EDATE($D142,Milestones!$AA$119)&gt;=$Y142),$AB142,$AA142)))=Milestones!$AB$119),UPPER(TEXT(EDATE($D142,Milestones!$AA$119),"dd mmm yy"))&amp;" "&amp;Milestones!$AB$119&amp;" "&amp;IF(AND(Milestones!$AB$119="FT",Milestones!$AA$119=FT_Y5,EDATE($D142,Milestones!$AA$119)&lt;PolicyEff),1,Milestones!$AC$119)&amp;";  ","")&amp;IF(AND(EDATE($D142,Milestones!$AA$120)&lt;=AsOfDate,EDATE($D142,Milestones!$AA$120)&gt;=SchemeStart,IF($X142=0,$AD142,IF(AND($Z142&lt;&gt;"",EDATE($D142,Milestones!$AA$120)&gt;=$Z142),$AC142,IF(AND($Y142&lt;&gt;"",EDATE($D142,Milestones!$AA$120)&gt;=$Y142),$AB142,$AA142)))=Milestones!$AB$120),UPPER(TEXT(EDATE($D142,Milestones!$AA$120),"dd mmm yy"))&amp;" "&amp;Milestones!$AB$120&amp;" "&amp;IF(AND(Milestones!$AB$120="FT",Milestones!$AA$120=FT_Y5,EDATE($D142,Milestones!$AA$120)&lt;PolicyEff),1,Milestones!$AC$120)&amp;";  ","")&amp;IF(AND(EDATE($D142,Milestones!$AA$121)&lt;=AsOfDate,EDATE($D142,Milestones!$AA$121)&gt;=SchemeStart,IF($X142=0,$AD142,IF(AND($Z142&lt;&gt;"",EDATE($D142,Milestones!$AA$121)&gt;=$Z142),$AC142,IF(AND($Y142&lt;&gt;"",EDATE($D142,Milestones!$AA$121)&gt;=$Y142),$AB142,$AA142)))=Milestones!$AB$121),UPPER(TEXT(EDATE($D142,Milestones!$AA$121),"dd mmm yy"))&amp;" "&amp;Milestones!$AB$121&amp;" "&amp;IF(AND(Milestones!$AB$121="FT",Milestones!$AA$121=FT_Y5,EDATE($D142,Milestones!$AA$121)&lt;PolicyEff),1,Milestones!$AC$121)&amp;";  ","")&amp;IF(AND(EDATE($D142,Milestones!$AA$122)&lt;=AsOfDate,EDATE($D142,Milestones!$AA$122)&gt;=SchemeStart,IF($X142=0,$AD142,IF(AND($Z142&lt;&gt;"",EDATE($D142,Milestones!$AA$122)&gt;=$Z142),$AC142,IF(AND($Y142&lt;&gt;"",EDATE($D142,Milestones!$AA$122)&gt;=$Y142),$AB142,$AA142)))=Milestones!$AB$122),UPPER(TEXT(EDATE($D142,Milestones!$AA$122),"dd mmm yy"))&amp;" "&amp;Milestones!$AB$122&amp;" "&amp;IF(AND(Milestones!$AB$122="FT",Milestones!$AA$122=FT_Y5,EDATE($D142,Milestones!$AA$122)&lt;PolicyEff),1,Milestones!$AC$122)&amp;";  ","")&amp;IF(AND(EDATE($D142,Milestones!$AA$123)&lt;=AsOfDate,EDATE($D142,Milestones!$AA$123)&gt;=SchemeStart,IF($X142=0,$AD142,IF(AND($Z142&lt;&gt;"",EDATE($D142,Milestones!$AA$123)&gt;=$Z142),$AC142,IF(AND($Y142&lt;&gt;"",EDATE($D142,Milestones!$AA$123)&gt;=$Y142),$AB142,$AA142)))=Milestones!$AB$123),UPPER(TEXT(EDATE($D142,Milestones!$AA$123),"dd mmm yy"))&amp;" "&amp;Milestones!$AB$123&amp;" "&amp;IF(AND(Milestones!$AB$123="FT",Milestones!$AA$123=FT_Y5,EDATE($D142,Milestones!$AA$123)&lt;PolicyEff),1,Milestones!$AC$123)&amp;";  ","")&amp;IF(AND(EDATE($D142,Milestones!$AA$124)&lt;=AsOfDate,EDATE($D142,Milestones!$AA$124)&gt;=SchemeStart,IF($X142=0,$AD142,IF(AND($Z142&lt;&gt;"",EDATE($D142,Milestones!$AA$124)&gt;=$Z142),$AC142,IF(AND($Y142&lt;&gt;"",EDATE($D142,Milestones!$AA$124)&gt;=$Y142),$AB142,$AA142)))=Milestones!$AB$124),UPPER(TEXT(EDATE($D142,Milestones!$AA$124),"dd mmm yy"))&amp;" "&amp;Milestones!$AB$124&amp;" "&amp;IF(AND(Milestones!$AB$124="FT",Milestones!$AA$124=FT_Y5,EDATE($D142,Milestones!$AA$124)&lt;PolicyEff),1,Milestones!$AC$124)&amp;";  ","")&amp;IF(AND(EDATE($D142,Milestones!$AA$125)&lt;=AsOfDate,EDATE($D142,Milestones!$AA$125)&gt;=SchemeStart,IF($X142=0,$AD142,IF(AND($Z142&lt;&gt;"",EDATE($D142,Milestones!$AA$125)&gt;=$Z142),$AC142,IF(AND($Y142&lt;&gt;"",EDATE($D142,Milestones!$AA$125)&gt;=$Y142),$AB142,$AA142)))=Milestones!$AB$125),UPPER(TEXT(EDATE($D142,Milestones!$AA$125),"dd mmm yy"))&amp;" "&amp;Milestones!$AB$125&amp;" "&amp;IF(AND(Milestones!$AB$125="FT",Milestones!$AA$125=FT_Y5,EDATE($D142,Milestones!$AA$125)&lt;PolicyEff),1,Milestones!$AC$125)&amp;";  ","")&amp;IF(AND(EDATE($D142,Milestones!$AA$126)&lt;=AsOfDate,EDATE($D142,Milestones!$AA$126)&gt;=SchemeStart,IF($X142=0,$AD142,IF(AND($Z142&lt;&gt;"",EDATE($D142,Milestones!$AA$126)&gt;=$Z142),$AC142,IF(AND($Y142&lt;&gt;"",EDATE($D142,Milestones!$AA$126)&gt;=$Y142),$AB142,$AA142)))=Milestones!$AB$126),UPPER(TEXT(EDATE($D142,Milestones!$AA$126),"dd mmm yy"))&amp;" "&amp;Milestones!$AB$126&amp;" "&amp;IF(AND(Milestones!$AB$126="FT",Milestones!$AA$126=FT_Y5,EDATE($D142,Milestones!$AA$126)&lt;PolicyEff),1,Milestones!$AC$126)&amp;";  ","")&amp;IF(AND(EDATE($D142,Milestones!$AA$127)&lt;=AsOfDate,EDATE($D142,Milestones!$AA$127)&gt;=SchemeStart,IF($X142=0,$AD142,IF(AND($Z142&lt;&gt;"",EDATE($D142,Milestones!$AA$127)&gt;=$Z142),$AC142,IF(AND($Y142&lt;&gt;"",EDATE($D142,Milestones!$AA$127)&gt;=$Y142),$AB142,$AA142)))=Milestones!$AB$127),UPPER(TEXT(EDATE($D142,Milestones!$AA$127),"dd mmm yy"))&amp;" "&amp;Milestones!$AB$127&amp;" "&amp;IF(AND(Milestones!$AB$127="FT",Milestones!$AA$127=FT_Y5,EDATE($D142,Milestones!$AA$127)&lt;PolicyEff),1,Milestones!$AC$127)&amp;";  ",""))</f>
        <v/>
      </c>
      <c r="R142" s="0" t="str">
        <f aca="false">IF(OR($A142="",$D142=""),"",IF(AND(EDATE($D142,Milestones!$AA$128)&lt;=AsOfDate,EDATE($D142,Milestones!$AA$128)&gt;=SchemeStart,IF($X142=0,$AD142,IF(AND($Z142&lt;&gt;"",EDATE($D142,Milestones!$AA$128)&gt;=$Z142),$AC142,IF(AND($Y142&lt;&gt;"",EDATE($D142,Milestones!$AA$128)&gt;=$Y142),$AB142,$AA142)))=Milestones!$AB$128),UPPER(TEXT(EDATE($D142,Milestones!$AA$128),"dd mmm yy"))&amp;" "&amp;Milestones!$AB$128&amp;" "&amp;IF(AND(Milestones!$AB$128="FT",Milestones!$AA$128=FT_Y5,EDATE($D142,Milestones!$AA$128)&lt;PolicyEff),1,Milestones!$AC$128)&amp;";  ","")&amp;IF(AND(EDATE($D142,Milestones!$AA$129)&lt;=AsOfDate,EDATE($D142,Milestones!$AA$129)&gt;=SchemeStart,IF($X142=0,$AD142,IF(AND($Z142&lt;&gt;"",EDATE($D142,Milestones!$AA$129)&gt;=$Z142),$AC142,IF(AND($Y142&lt;&gt;"",EDATE($D142,Milestones!$AA$129)&gt;=$Y142),$AB142,$AA142)))=Milestones!$AB$129),UPPER(TEXT(EDATE($D142,Milestones!$AA$129),"dd mmm yy"))&amp;" "&amp;Milestones!$AB$129&amp;" "&amp;IF(AND(Milestones!$AB$129="FT",Milestones!$AA$129=FT_Y5,EDATE($D142,Milestones!$AA$129)&lt;PolicyEff),1,Milestones!$AC$129)&amp;";  ","")&amp;IF(AND(EDATE($D142,Milestones!$AA$130)&lt;=AsOfDate,EDATE($D142,Milestones!$AA$130)&gt;=SchemeStart,IF($X142=0,$AD142,IF(AND($Z142&lt;&gt;"",EDATE($D142,Milestones!$AA$130)&gt;=$Z142),$AC142,IF(AND($Y142&lt;&gt;"",EDATE($D142,Milestones!$AA$130)&gt;=$Y142),$AB142,$AA142)))=Milestones!$AB$130),UPPER(TEXT(EDATE($D142,Milestones!$AA$130),"dd mmm yy"))&amp;" "&amp;Milestones!$AB$130&amp;" "&amp;IF(AND(Milestones!$AB$130="FT",Milestones!$AA$130=FT_Y5,EDATE($D142,Milestones!$AA$130)&lt;PolicyEff),1,Milestones!$AC$130)&amp;";  ","")&amp;IF(AND(EDATE($D142,Milestones!$AA$131)&lt;=AsOfDate,EDATE($D142,Milestones!$AA$131)&gt;=SchemeStart,IF($X142=0,$AD142,IF(AND($Z142&lt;&gt;"",EDATE($D142,Milestones!$AA$131)&gt;=$Z142),$AC142,IF(AND($Y142&lt;&gt;"",EDATE($D142,Milestones!$AA$131)&gt;=$Y142),$AB142,$AA142)))=Milestones!$AB$131),UPPER(TEXT(EDATE($D142,Milestones!$AA$131),"dd mmm yy"))&amp;" "&amp;Milestones!$AB$131&amp;" "&amp;IF(AND(Milestones!$AB$131="FT",Milestones!$AA$131=FT_Y5,EDATE($D142,Milestones!$AA$131)&lt;PolicyEff),1,Milestones!$AC$131)&amp;";  ","")&amp;IF(AND(EDATE($D142,Milestones!$AA$132)&lt;=AsOfDate,EDATE($D142,Milestones!$AA$132)&gt;=SchemeStart,IF($X142=0,$AD142,IF(AND($Z142&lt;&gt;"",EDATE($D142,Milestones!$AA$132)&gt;=$Z142),$AC142,IF(AND($Y142&lt;&gt;"",EDATE($D142,Milestones!$AA$132)&gt;=$Y142),$AB142,$AA142)))=Milestones!$AB$132),UPPER(TEXT(EDATE($D142,Milestones!$AA$132),"dd mmm yy"))&amp;" "&amp;Milestones!$AB$132&amp;" "&amp;IF(AND(Milestones!$AB$132="FT",Milestones!$AA$132=FT_Y5,EDATE($D142,Milestones!$AA$132)&lt;PolicyEff),1,Milestones!$AC$132)&amp;";  ","")&amp;IF(AND(EDATE($D142,Milestones!$AA$133)&lt;=AsOfDate,EDATE($D142,Milestones!$AA$133)&gt;=SchemeStart,IF($X142=0,$AD142,IF(AND($Z142&lt;&gt;"",EDATE($D142,Milestones!$AA$133)&gt;=$Z142),$AC142,IF(AND($Y142&lt;&gt;"",EDATE($D142,Milestones!$AA$133)&gt;=$Y142),$AB142,$AA142)))=Milestones!$AB$133),UPPER(TEXT(EDATE($D142,Milestones!$AA$133),"dd mmm yy"))&amp;" "&amp;Milestones!$AB$133&amp;" "&amp;IF(AND(Milestones!$AB$133="FT",Milestones!$AA$133=FT_Y5,EDATE($D142,Milestones!$AA$133)&lt;PolicyEff),1,Milestones!$AC$133)&amp;";  ","")&amp;IF(AND(EDATE($D142,Milestones!$AA$134)&lt;=AsOfDate,EDATE($D142,Milestones!$AA$134)&gt;=SchemeStart,IF($X142=0,$AD142,IF(AND($Z142&lt;&gt;"",EDATE($D142,Milestones!$AA$134)&gt;=$Z142),$AC142,IF(AND($Y142&lt;&gt;"",EDATE($D142,Milestones!$AA$134)&gt;=$Y142),$AB142,$AA142)))=Milestones!$AB$134),UPPER(TEXT(EDATE($D142,Milestones!$AA$134),"dd mmm yy"))&amp;" "&amp;Milestones!$AB$134&amp;" "&amp;IF(AND(Milestones!$AB$134="FT",Milestones!$AA$134=FT_Y5,EDATE($D142,Milestones!$AA$134)&lt;PolicyEff),1,Milestones!$AC$134)&amp;";  ","")&amp;IF(AND(EDATE($D142,Milestones!$AA$135)&lt;=AsOfDate,EDATE($D142,Milestones!$AA$135)&gt;=SchemeStart,IF($X142=0,$AD142,IF(AND($Z142&lt;&gt;"",EDATE($D142,Milestones!$AA$135)&gt;=$Z142),$AC142,IF(AND($Y142&lt;&gt;"",EDATE($D142,Milestones!$AA$135)&gt;=$Y142),$AB142,$AA142)))=Milestones!$AB$135),UPPER(TEXT(EDATE($D142,Milestones!$AA$135),"dd mmm yy"))&amp;" "&amp;Milestones!$AB$135&amp;" "&amp;IF(AND(Milestones!$AB$135="FT",Milestones!$AA$135=FT_Y5,EDATE($D142,Milestones!$AA$135)&lt;PolicyEff),1,Milestones!$AC$135)&amp;";  ","")&amp;IF(AND(EDATE($D142,Milestones!$AA$136)&lt;=AsOfDate,EDATE($D142,Milestones!$AA$136)&gt;=SchemeStart,IF($X142=0,$AD142,IF(AND($Z142&lt;&gt;"",EDATE($D142,Milestones!$AA$136)&gt;=$Z142),$AC142,IF(AND($Y142&lt;&gt;"",EDATE($D142,Milestones!$AA$136)&gt;=$Y142),$AB142,$AA142)))=Milestones!$AB$136),UPPER(TEXT(EDATE($D142,Milestones!$AA$136),"dd mmm yy"))&amp;" "&amp;Milestones!$AB$136&amp;" "&amp;IF(AND(Milestones!$AB$136="FT",Milestones!$AA$136=FT_Y5,EDATE($D142,Milestones!$AA$136)&lt;PolicyEff),1,Milestones!$AC$136)&amp;";  ","")&amp;IF(AND(EDATE($D142,Milestones!$AA$137)&lt;=AsOfDate,EDATE($D142,Milestones!$AA$137)&gt;=SchemeStart,IF($X142=0,$AD142,IF(AND($Z142&lt;&gt;"",EDATE($D142,Milestones!$AA$137)&gt;=$Z142),$AC142,IF(AND($Y142&lt;&gt;"",EDATE($D142,Milestones!$AA$137)&gt;=$Y142),$AB142,$AA142)))=Milestones!$AB$137),UPPER(TEXT(EDATE($D142,Milestones!$AA$137),"dd mmm yy"))&amp;" "&amp;Milestones!$AB$137&amp;" "&amp;IF(AND(Milestones!$AB$137="FT",Milestones!$AA$137=FT_Y5,EDATE($D142,Milestones!$AA$137)&lt;PolicyEff),1,Milestones!$AC$137)&amp;";  ","")&amp;IF(AND(EDATE($D142,Milestones!$AA$138)&lt;=AsOfDate,EDATE($D142,Milestones!$AA$138)&gt;=SchemeStart,IF($X142=0,$AD142,IF(AND($Z142&lt;&gt;"",EDATE($D142,Milestones!$AA$138)&gt;=$Z142),$AC142,IF(AND($Y142&lt;&gt;"",EDATE($D142,Milestones!$AA$138)&gt;=$Y142),$AB142,$AA142)))=Milestones!$AB$138),UPPER(TEXT(EDATE($D142,Milestones!$AA$138),"dd mmm yy"))&amp;" "&amp;Milestones!$AB$138&amp;" "&amp;IF(AND(Milestones!$AB$138="FT",Milestones!$AA$138=FT_Y5,EDATE($D142,Milestones!$AA$138)&lt;PolicyEff),1,Milestones!$AC$138)&amp;";  ","")&amp;IF(AND(EDATE($D142,Milestones!$AA$139)&lt;=AsOfDate,EDATE($D142,Milestones!$AA$139)&gt;=SchemeStart,IF($X142=0,$AD142,IF(AND($Z142&lt;&gt;"",EDATE($D142,Milestones!$AA$139)&gt;=$Z142),$AC142,IF(AND($Y142&lt;&gt;"",EDATE($D142,Milestones!$AA$139)&gt;=$Y142),$AB142,$AA142)))=Milestones!$AB$139),UPPER(TEXT(EDATE($D142,Milestones!$AA$139),"dd mmm yy"))&amp;" "&amp;Milestones!$AB$139&amp;" "&amp;IF(AND(Milestones!$AB$139="FT",Milestones!$AA$139=FT_Y5,EDATE($D142,Milestones!$AA$139)&lt;PolicyEff),1,Milestones!$AC$139)&amp;";  ",""))</f>
        <v/>
      </c>
      <c r="S142" s="0" t="str">
        <f aca="false">IF(OR($A142="",$D142=""),"",IF(AND(EDATE($D142,Milestones!$AA$140)&lt;=AsOfDate,EDATE($D142,Milestones!$AA$140)&gt;=SchemeStart,IF($X142=0,$AD142,IF(AND($Z142&lt;&gt;"",EDATE($D142,Milestones!$AA$140)&gt;=$Z142),$AC142,IF(AND($Y142&lt;&gt;"",EDATE($D142,Milestones!$AA$140)&gt;=$Y142),$AB142,$AA142)))=Milestones!$AB$140),UPPER(TEXT(EDATE($D142,Milestones!$AA$140),"dd mmm yy"))&amp;" "&amp;Milestones!$AB$140&amp;" "&amp;IF(AND(Milestones!$AB$140="FT",Milestones!$AA$140=FT_Y5,EDATE($D142,Milestones!$AA$140)&lt;PolicyEff),1,Milestones!$AC$140)&amp;";  ","")&amp;IF(AND(EDATE($D142,Milestones!$AA$141)&lt;=AsOfDate,EDATE($D142,Milestones!$AA$141)&gt;=SchemeStart,IF($X142=0,$AD142,IF(AND($Z142&lt;&gt;"",EDATE($D142,Milestones!$AA$141)&gt;=$Z142),$AC142,IF(AND($Y142&lt;&gt;"",EDATE($D142,Milestones!$AA$141)&gt;=$Y142),$AB142,$AA142)))=Milestones!$AB$141),UPPER(TEXT(EDATE($D142,Milestones!$AA$141),"dd mmm yy"))&amp;" "&amp;Milestones!$AB$141&amp;" "&amp;IF(AND(Milestones!$AB$141="FT",Milestones!$AA$141=FT_Y5,EDATE($D142,Milestones!$AA$141)&lt;PolicyEff),1,Milestones!$AC$141)&amp;";  ","")&amp;IF(AND(EDATE($D142,Milestones!$AA$142)&lt;=AsOfDate,EDATE($D142,Milestones!$AA$142)&gt;=SchemeStart,IF($X142=0,$AD142,IF(AND($Z142&lt;&gt;"",EDATE($D142,Milestones!$AA$142)&gt;=$Z142),$AC142,IF(AND($Y142&lt;&gt;"",EDATE($D142,Milestones!$AA$142)&gt;=$Y142),$AB142,$AA142)))=Milestones!$AB$142),UPPER(TEXT(EDATE($D142,Milestones!$AA$142),"dd mmm yy"))&amp;" "&amp;Milestones!$AB$142&amp;" "&amp;IF(AND(Milestones!$AB$142="FT",Milestones!$AA$142=FT_Y5,EDATE($D142,Milestones!$AA$142)&lt;PolicyEff),1,Milestones!$AC$142)&amp;";  ","")&amp;IF(AND(EDATE($D142,Milestones!$AA$143)&lt;=AsOfDate,EDATE($D142,Milestones!$AA$143)&gt;=SchemeStart,IF($X142=0,$AD142,IF(AND($Z142&lt;&gt;"",EDATE($D142,Milestones!$AA$143)&gt;=$Z142),$AC142,IF(AND($Y142&lt;&gt;"",EDATE($D142,Milestones!$AA$143)&gt;=$Y142),$AB142,$AA142)))=Milestones!$AB$143),UPPER(TEXT(EDATE($D142,Milestones!$AA$143),"dd mmm yy"))&amp;" "&amp;Milestones!$AB$143&amp;" "&amp;IF(AND(Milestones!$AB$143="FT",Milestones!$AA$143=FT_Y5,EDATE($D142,Milestones!$AA$143)&lt;PolicyEff),1,Milestones!$AC$143)&amp;";  ","")&amp;IF(AND(EDATE($D142,Milestones!$AA$144)&lt;=AsOfDate,EDATE($D142,Milestones!$AA$144)&gt;=SchemeStart,IF($X142=0,$AD142,IF(AND($Z142&lt;&gt;"",EDATE($D142,Milestones!$AA$144)&gt;=$Z142),$AC142,IF(AND($Y142&lt;&gt;"",EDATE($D142,Milestones!$AA$144)&gt;=$Y142),$AB142,$AA142)))=Milestones!$AB$144),UPPER(TEXT(EDATE($D142,Milestones!$AA$144),"dd mmm yy"))&amp;" "&amp;Milestones!$AB$144&amp;" "&amp;IF(AND(Milestones!$AB$144="FT",Milestones!$AA$144=FT_Y5,EDATE($D142,Milestones!$AA$144)&lt;PolicyEff),1,Milestones!$AC$144)&amp;";  ","")&amp;IF(AND(EDATE($D142,Milestones!$AA$145)&lt;=AsOfDate,EDATE($D142,Milestones!$AA$145)&gt;=SchemeStart,IF($X142=0,$AD142,IF(AND($Z142&lt;&gt;"",EDATE($D142,Milestones!$AA$145)&gt;=$Z142),$AC142,IF(AND($Y142&lt;&gt;"",EDATE($D142,Milestones!$AA$145)&gt;=$Y142),$AB142,$AA142)))=Milestones!$AB$145),UPPER(TEXT(EDATE($D142,Milestones!$AA$145),"dd mmm yy"))&amp;" "&amp;Milestones!$AB$145&amp;" "&amp;IF(AND(Milestones!$AB$145="FT",Milestones!$AA$145=FT_Y5,EDATE($D142,Milestones!$AA$145)&lt;PolicyEff),1,Milestones!$AC$145)&amp;";  ","")&amp;IF(AND(EDATE($D142,Milestones!$AA$146)&lt;=AsOfDate,EDATE($D142,Milestones!$AA$146)&gt;=SchemeStart,IF($X142=0,$AD142,IF(AND($Z142&lt;&gt;"",EDATE($D142,Milestones!$AA$146)&gt;=$Z142),$AC142,IF(AND($Y142&lt;&gt;"",EDATE($D142,Milestones!$AA$146)&gt;=$Y142),$AB142,$AA142)))=Milestones!$AB$146),UPPER(TEXT(EDATE($D142,Milestones!$AA$146),"dd mmm yy"))&amp;" "&amp;Milestones!$AB$146&amp;" "&amp;IF(AND(Milestones!$AB$146="FT",Milestones!$AA$146=FT_Y5,EDATE($D142,Milestones!$AA$146)&lt;PolicyEff),1,Milestones!$AC$146)&amp;";  ","")&amp;IF(AND(EDATE($D142,Milestones!$AA$147)&lt;=AsOfDate,EDATE($D142,Milestones!$AA$147)&gt;=SchemeStart,IF($X142=0,$AD142,IF(AND($Z142&lt;&gt;"",EDATE($D142,Milestones!$AA$147)&gt;=$Z142),$AC142,IF(AND($Y142&lt;&gt;"",EDATE($D142,Milestones!$AA$147)&gt;=$Y142),$AB142,$AA142)))=Milestones!$AB$147),UPPER(TEXT(EDATE($D142,Milestones!$AA$147),"dd mmm yy"))&amp;" "&amp;Milestones!$AB$147&amp;" "&amp;IF(AND(Milestones!$AB$147="FT",Milestones!$AA$147=FT_Y5,EDATE($D142,Milestones!$AA$147)&lt;PolicyEff),1,Milestones!$AC$147)&amp;";  ","")&amp;IF(AND(EDATE($D142,Milestones!$AA$148)&lt;=AsOfDate,EDATE($D142,Milestones!$AA$148)&gt;=SchemeStart,IF($X142=0,$AD142,IF(AND($Z142&lt;&gt;"",EDATE($D142,Milestones!$AA$148)&gt;=$Z142),$AC142,IF(AND($Y142&lt;&gt;"",EDATE($D142,Milestones!$AA$148)&gt;=$Y142),$AB142,$AA142)))=Milestones!$AB$148),UPPER(TEXT(EDATE($D142,Milestones!$AA$148),"dd mmm yy"))&amp;" "&amp;Milestones!$AB$148&amp;" "&amp;IF(AND(Milestones!$AB$148="FT",Milestones!$AA$148=FT_Y5,EDATE($D142,Milestones!$AA$148)&lt;PolicyEff),1,Milestones!$AC$148)&amp;";  ","")&amp;IF(AND(EDATE($D142,Milestones!$AA$149)&lt;=AsOfDate,EDATE($D142,Milestones!$AA$149)&gt;=SchemeStart,IF($X142=0,$AD142,IF(AND($Z142&lt;&gt;"",EDATE($D142,Milestones!$AA$149)&gt;=$Z142),$AC142,IF(AND($Y142&lt;&gt;"",EDATE($D142,Milestones!$AA$149)&gt;=$Y142),$AB142,$AA142)))=Milestones!$AB$149),UPPER(TEXT(EDATE($D142,Milestones!$AA$149),"dd mmm yy"))&amp;" "&amp;Milestones!$AB$149&amp;" "&amp;IF(AND(Milestones!$AB$149="FT",Milestones!$AA$149=FT_Y5,EDATE($D142,Milestones!$AA$149)&lt;PolicyEff),1,Milestones!$AC$149)&amp;";  ","")&amp;IF(AND(EDATE($D142,Milestones!$AA$150)&lt;=AsOfDate,EDATE($D142,Milestones!$AA$150)&gt;=SchemeStart,IF($X142=0,$AD142,IF(AND($Z142&lt;&gt;"",EDATE($D142,Milestones!$AA$150)&gt;=$Z142),$AC142,IF(AND($Y142&lt;&gt;"",EDATE($D142,Milestones!$AA$150)&gt;=$Y142),$AB142,$AA142)))=Milestones!$AB$150),UPPER(TEXT(EDATE($D142,Milestones!$AA$150),"dd mmm yy"))&amp;" "&amp;Milestones!$AB$150&amp;" "&amp;IF(AND(Milestones!$AB$150="FT",Milestones!$AA$150=FT_Y5,EDATE($D142,Milestones!$AA$150)&lt;PolicyEff),1,Milestones!$AC$150)&amp;";  ","")&amp;IF(AND(EDATE($D142,Milestones!$AA$151)&lt;=AsOfDate,EDATE($D142,Milestones!$AA$151)&gt;=SchemeStart,IF($X142=0,$AD142,IF(AND($Z142&lt;&gt;"",EDATE($D142,Milestones!$AA$151)&gt;=$Z142),$AC142,IF(AND($Y142&lt;&gt;"",EDATE($D142,Milestones!$AA$151)&gt;=$Y142),$AB142,$AA142)))=Milestones!$AB$151),UPPER(TEXT(EDATE($D142,Milestones!$AA$151),"dd mmm yy"))&amp;" "&amp;Milestones!$AB$151&amp;" "&amp;IF(AND(Milestones!$AB$151="FT",Milestones!$AA$151=FT_Y5,EDATE($D142,Milestones!$AA$151)&lt;PolicyEff),1,Milestones!$AC$151)&amp;";  ",""))</f>
        <v/>
      </c>
      <c r="T142" s="0" t="str">
        <f aca="false">IF(OR($A142="",$D142=""),"",IF(AND(EDATE($D142,Milestones!$AA$152)&lt;=AsOfDate,EDATE($D142,Milestones!$AA$152)&gt;=SchemeStart,IF($X142=0,$AD142,IF(AND($Z142&lt;&gt;"",EDATE($D142,Milestones!$AA$152)&gt;=$Z142),$AC142,IF(AND($Y142&lt;&gt;"",EDATE($D142,Milestones!$AA$152)&gt;=$Y142),$AB142,$AA142)))=Milestones!$AB$152),UPPER(TEXT(EDATE($D142,Milestones!$AA$152),"dd mmm yy"))&amp;" "&amp;Milestones!$AB$152&amp;" "&amp;IF(AND(Milestones!$AB$152="FT",Milestones!$AA$152=FT_Y5,EDATE($D142,Milestones!$AA$152)&lt;PolicyEff),1,Milestones!$AC$152)&amp;";  ","")&amp;IF(AND(EDATE($D142,Milestones!$AA$153)&lt;=AsOfDate,EDATE($D142,Milestones!$AA$153)&gt;=SchemeStart,IF($X142=0,$AD142,IF(AND($Z142&lt;&gt;"",EDATE($D142,Milestones!$AA$153)&gt;=$Z142),$AC142,IF(AND($Y142&lt;&gt;"",EDATE($D142,Milestones!$AA$153)&gt;=$Y142),$AB142,$AA142)))=Milestones!$AB$153),UPPER(TEXT(EDATE($D142,Milestones!$AA$153),"dd mmm yy"))&amp;" "&amp;Milestones!$AB$153&amp;" "&amp;IF(AND(Milestones!$AB$153="FT",Milestones!$AA$153=FT_Y5,EDATE($D142,Milestones!$AA$153)&lt;PolicyEff),1,Milestones!$AC$153)&amp;";  ","")&amp;IF(AND(EDATE($D142,Milestones!$AA$154)&lt;=AsOfDate,EDATE($D142,Milestones!$AA$154)&gt;=SchemeStart,IF($X142=0,$AD142,IF(AND($Z142&lt;&gt;"",EDATE($D142,Milestones!$AA$154)&gt;=$Z142),$AC142,IF(AND($Y142&lt;&gt;"",EDATE($D142,Milestones!$AA$154)&gt;=$Y142),$AB142,$AA142)))=Milestones!$AB$154),UPPER(TEXT(EDATE($D142,Milestones!$AA$154),"dd mmm yy"))&amp;" "&amp;Milestones!$AB$154&amp;" "&amp;IF(AND(Milestones!$AB$154="FT",Milestones!$AA$154=FT_Y5,EDATE($D142,Milestones!$AA$154)&lt;PolicyEff),1,Milestones!$AC$154)&amp;";  ","")&amp;IF(AND(EDATE($D142,Milestones!$AA$155)&lt;=AsOfDate,EDATE($D142,Milestones!$AA$155)&gt;=SchemeStart,IF($X142=0,$AD142,IF(AND($Z142&lt;&gt;"",EDATE($D142,Milestones!$AA$155)&gt;=$Z142),$AC142,IF(AND($Y142&lt;&gt;"",EDATE($D142,Milestones!$AA$155)&gt;=$Y142),$AB142,$AA142)))=Milestones!$AB$155),UPPER(TEXT(EDATE($D142,Milestones!$AA$155),"dd mmm yy"))&amp;" "&amp;Milestones!$AB$155&amp;" "&amp;IF(AND(Milestones!$AB$155="FT",Milestones!$AA$155=FT_Y5,EDATE($D142,Milestones!$AA$155)&lt;PolicyEff),1,Milestones!$AC$155)&amp;";  ","")&amp;IF(AND(EDATE($D142,Milestones!$AA$156)&lt;=AsOfDate,EDATE($D142,Milestones!$AA$156)&gt;=SchemeStart,IF($X142=0,$AD142,IF(AND($Z142&lt;&gt;"",EDATE($D142,Milestones!$AA$156)&gt;=$Z142),$AC142,IF(AND($Y142&lt;&gt;"",EDATE($D142,Milestones!$AA$156)&gt;=$Y142),$AB142,$AA142)))=Milestones!$AB$156),UPPER(TEXT(EDATE($D142,Milestones!$AA$156),"dd mmm yy"))&amp;" "&amp;Milestones!$AB$156&amp;" "&amp;IF(AND(Milestones!$AB$156="FT",Milestones!$AA$156=FT_Y5,EDATE($D142,Milestones!$AA$156)&lt;PolicyEff),1,Milestones!$AC$156)&amp;";  ","")&amp;IF(AND(EDATE($D142,Milestones!$AA$157)&lt;=AsOfDate,EDATE($D142,Milestones!$AA$157)&gt;=SchemeStart,IF($X142=0,$AD142,IF(AND($Z142&lt;&gt;"",EDATE($D142,Milestones!$AA$157)&gt;=$Z142),$AC142,IF(AND($Y142&lt;&gt;"",EDATE($D142,Milestones!$AA$157)&gt;=$Y142),$AB142,$AA142)))=Milestones!$AB$157),UPPER(TEXT(EDATE($D142,Milestones!$AA$157),"dd mmm yy"))&amp;" "&amp;Milestones!$AB$157&amp;" "&amp;IF(AND(Milestones!$AB$157="FT",Milestones!$AA$157=FT_Y5,EDATE($D142,Milestones!$AA$157)&lt;PolicyEff),1,Milestones!$AC$157)&amp;";  ","")&amp;IF(AND(EDATE($D142,Milestones!$AA$158)&lt;=AsOfDate,EDATE($D142,Milestones!$AA$158)&gt;=SchemeStart,IF($X142=0,$AD142,IF(AND($Z142&lt;&gt;"",EDATE($D142,Milestones!$AA$158)&gt;=$Z142),$AC142,IF(AND($Y142&lt;&gt;"",EDATE($D142,Milestones!$AA$158)&gt;=$Y142),$AB142,$AA142)))=Milestones!$AB$158),UPPER(TEXT(EDATE($D142,Milestones!$AA$158),"dd mmm yy"))&amp;" "&amp;Milestones!$AB$158&amp;" "&amp;IF(AND(Milestones!$AB$158="FT",Milestones!$AA$158=FT_Y5,EDATE($D142,Milestones!$AA$158)&lt;PolicyEff),1,Milestones!$AC$158)&amp;";  ","")&amp;IF(AND(EDATE($D142,Milestones!$AA$159)&lt;=AsOfDate,EDATE($D142,Milestones!$AA$159)&gt;=SchemeStart,IF($X142=0,$AD142,IF(AND($Z142&lt;&gt;"",EDATE($D142,Milestones!$AA$159)&gt;=$Z142),$AC142,IF(AND($Y142&lt;&gt;"",EDATE($D142,Milestones!$AA$159)&gt;=$Y142),$AB142,$AA142)))=Milestones!$AB$159),UPPER(TEXT(EDATE($D142,Milestones!$AA$159),"dd mmm yy"))&amp;" "&amp;Milestones!$AB$159&amp;" "&amp;IF(AND(Milestones!$AB$159="FT",Milestones!$AA$159=FT_Y5,EDATE($D142,Milestones!$AA$159)&lt;PolicyEff),1,Milestones!$AC$159)&amp;";  ","")&amp;IF(AND(EDATE($D142,Milestones!$AA$160)&lt;=AsOfDate,EDATE($D142,Milestones!$AA$160)&gt;=SchemeStart,IF($X142=0,$AD142,IF(AND($Z142&lt;&gt;"",EDATE($D142,Milestones!$AA$160)&gt;=$Z142),$AC142,IF(AND($Y142&lt;&gt;"",EDATE($D142,Milestones!$AA$160)&gt;=$Y142),$AB142,$AA142)))=Milestones!$AB$160),UPPER(TEXT(EDATE($D142,Milestones!$AA$160),"dd mmm yy"))&amp;" "&amp;Milestones!$AB$160&amp;" "&amp;IF(AND(Milestones!$AB$160="FT",Milestones!$AA$160=FT_Y5,EDATE($D142,Milestones!$AA$160)&lt;PolicyEff),1,Milestones!$AC$160)&amp;";  ","")&amp;IF(AND(EDATE($D142,Milestones!$AA$161)&lt;=AsOfDate,EDATE($D142,Milestones!$AA$161)&gt;=SchemeStart,IF($X142=0,$AD142,IF(AND($Z142&lt;&gt;"",EDATE($D142,Milestones!$AA$161)&gt;=$Z142),$AC142,IF(AND($Y142&lt;&gt;"",EDATE($D142,Milestones!$AA$161)&gt;=$Y142),$AB142,$AA142)))=Milestones!$AB$161),UPPER(TEXT(EDATE($D142,Milestones!$AA$161),"dd mmm yy"))&amp;" "&amp;Milestones!$AB$161&amp;" "&amp;IF(AND(Milestones!$AB$161="FT",Milestones!$AA$161=FT_Y5,EDATE($D142,Milestones!$AA$161)&lt;PolicyEff),1,Milestones!$AC$161)&amp;";  ","")&amp;IF(AND(EDATE($D142,Milestones!$AA$162)&lt;=AsOfDate,EDATE($D142,Milestones!$AA$162)&gt;=SchemeStart,IF($X142=0,$AD142,IF(AND($Z142&lt;&gt;"",EDATE($D142,Milestones!$AA$162)&gt;=$Z142),$AC142,IF(AND($Y142&lt;&gt;"",EDATE($D142,Milestones!$AA$162)&gt;=$Y142),$AB142,$AA142)))=Milestones!$AB$162),UPPER(TEXT(EDATE($D142,Milestones!$AA$162),"dd mmm yy"))&amp;" "&amp;Milestones!$AB$162&amp;" "&amp;IF(AND(Milestones!$AB$162="FT",Milestones!$AA$162=FT_Y5,EDATE($D142,Milestones!$AA$162)&lt;PolicyEff),1,Milestones!$AC$162)&amp;";  ","")&amp;IF(AND(EDATE($D142,Milestones!$AA$163)&lt;=AsOfDate,EDATE($D142,Milestones!$AA$163)&gt;=SchemeStart,IF($X142=0,$AD142,IF(AND($Z142&lt;&gt;"",EDATE($D142,Milestones!$AA$163)&gt;=$Z142),$AC142,IF(AND($Y142&lt;&gt;"",EDATE($D142,Milestones!$AA$163)&gt;=$Y142),$AB142,$AA142)))=Milestones!$AB$163),UPPER(TEXT(EDATE($D142,Milestones!$AA$163),"dd mmm yy"))&amp;" "&amp;Milestones!$AB$163&amp;" "&amp;IF(AND(Milestones!$AB$163="FT",Milestones!$AA$163=FT_Y5,EDATE($D142,Milestones!$AA$163)&lt;PolicyEff),1,Milestones!$AC$163)&amp;";  ",""))</f>
        <v/>
      </c>
      <c r="U142" s="0" t="str">
        <f aca="false">IF(OR($A142="",$D142=""),"",IF(AND(EDATE($D142,Milestones!$AA$164)&lt;=AsOfDate,EDATE($D142,Milestones!$AA$164)&gt;=SchemeStart,IF($X142=0,$AD142,IF(AND($Z142&lt;&gt;"",EDATE($D142,Milestones!$AA$164)&gt;=$Z142),$AC142,IF(AND($Y142&lt;&gt;"",EDATE($D142,Milestones!$AA$164)&gt;=$Y142),$AB142,$AA142)))=Milestones!$AB$164),UPPER(TEXT(EDATE($D142,Milestones!$AA$164),"dd mmm yy"))&amp;" "&amp;Milestones!$AB$164&amp;" "&amp;IF(AND(Milestones!$AB$164="FT",Milestones!$AA$164=FT_Y5,EDATE($D142,Milestones!$AA$164)&lt;PolicyEff),1,Milestones!$AC$164)&amp;";  ","")&amp;IF(AND(EDATE($D142,Milestones!$AA$165)&lt;=AsOfDate,EDATE($D142,Milestones!$AA$165)&gt;=SchemeStart,IF($X142=0,$AD142,IF(AND($Z142&lt;&gt;"",EDATE($D142,Milestones!$AA$165)&gt;=$Z142),$AC142,IF(AND($Y142&lt;&gt;"",EDATE($D142,Milestones!$AA$165)&gt;=$Y142),$AB142,$AA142)))=Milestones!$AB$165),UPPER(TEXT(EDATE($D142,Milestones!$AA$165),"dd mmm yy"))&amp;" "&amp;Milestones!$AB$165&amp;" "&amp;IF(AND(Milestones!$AB$165="FT",Milestones!$AA$165=FT_Y5,EDATE($D142,Milestones!$AA$165)&lt;PolicyEff),1,Milestones!$AC$165)&amp;";  ","")&amp;IF(AND(EDATE($D142,Milestones!$AA$166)&lt;=AsOfDate,EDATE($D142,Milestones!$AA$166)&gt;=SchemeStart,IF($X142=0,$AD142,IF(AND($Z142&lt;&gt;"",EDATE($D142,Milestones!$AA$166)&gt;=$Z142),$AC142,IF(AND($Y142&lt;&gt;"",EDATE($D142,Milestones!$AA$166)&gt;=$Y142),$AB142,$AA142)))=Milestones!$AB$166),UPPER(TEXT(EDATE($D142,Milestones!$AA$166),"dd mmm yy"))&amp;" "&amp;Milestones!$AB$166&amp;" "&amp;IF(AND(Milestones!$AB$166="FT",Milestones!$AA$166=FT_Y5,EDATE($D142,Milestones!$AA$166)&lt;PolicyEff),1,Milestones!$AC$166)&amp;";  ","")&amp;IF(AND(EDATE($D142,Milestones!$AA$167)&lt;=AsOfDate,EDATE($D142,Milestones!$AA$167)&gt;=SchemeStart,IF($X142=0,$AD142,IF(AND($Z142&lt;&gt;"",EDATE($D142,Milestones!$AA$167)&gt;=$Z142),$AC142,IF(AND($Y142&lt;&gt;"",EDATE($D142,Milestones!$AA$167)&gt;=$Y142),$AB142,$AA142)))=Milestones!$AB$167),UPPER(TEXT(EDATE($D142,Milestones!$AA$167),"dd mmm yy"))&amp;" "&amp;Milestones!$AB$167&amp;" "&amp;IF(AND(Milestones!$AB$167="FT",Milestones!$AA$167=FT_Y5,EDATE($D142,Milestones!$AA$167)&lt;PolicyEff),1,Milestones!$AC$167)&amp;";  ","")&amp;IF(AND(EDATE($D142,Milestones!$AA$168)&lt;=AsOfDate,EDATE($D142,Milestones!$AA$168)&gt;=SchemeStart,IF($X142=0,$AD142,IF(AND($Z142&lt;&gt;"",EDATE($D142,Milestones!$AA$168)&gt;=$Z142),$AC142,IF(AND($Y142&lt;&gt;"",EDATE($D142,Milestones!$AA$168)&gt;=$Y142),$AB142,$AA142)))=Milestones!$AB$168),UPPER(TEXT(EDATE($D142,Milestones!$AA$168),"dd mmm yy"))&amp;" "&amp;Milestones!$AB$168&amp;" "&amp;IF(AND(Milestones!$AB$168="FT",Milestones!$AA$168=FT_Y5,EDATE($D142,Milestones!$AA$168)&lt;PolicyEff),1,Milestones!$AC$168)&amp;";  ","")&amp;IF(AND(EDATE($D142,Milestones!$AA$169)&lt;=AsOfDate,EDATE($D142,Milestones!$AA$169)&gt;=SchemeStart,IF($X142=0,$AD142,IF(AND($Z142&lt;&gt;"",EDATE($D142,Milestones!$AA$169)&gt;=$Z142),$AC142,IF(AND($Y142&lt;&gt;"",EDATE($D142,Milestones!$AA$169)&gt;=$Y142),$AB142,$AA142)))=Milestones!$AB$169),UPPER(TEXT(EDATE($D142,Milestones!$AA$169),"dd mmm yy"))&amp;" "&amp;Milestones!$AB$169&amp;" "&amp;IF(AND(Milestones!$AB$169="FT",Milestones!$AA$169=FT_Y5,EDATE($D142,Milestones!$AA$169)&lt;PolicyEff),1,Milestones!$AC$169)&amp;";  ","")&amp;IF(AND(EDATE($D142,Milestones!$AA$170)&lt;=AsOfDate,EDATE($D142,Milestones!$AA$170)&gt;=SchemeStart,IF($X142=0,$AD142,IF(AND($Z142&lt;&gt;"",EDATE($D142,Milestones!$AA$170)&gt;=$Z142),$AC142,IF(AND($Y142&lt;&gt;"",EDATE($D142,Milestones!$AA$170)&gt;=$Y142),$AB142,$AA142)))=Milestones!$AB$170),UPPER(TEXT(EDATE($D142,Milestones!$AA$170),"dd mmm yy"))&amp;" "&amp;Milestones!$AB$170&amp;" "&amp;IF(AND(Milestones!$AB$170="FT",Milestones!$AA$170=FT_Y5,EDATE($D142,Milestones!$AA$170)&lt;PolicyEff),1,Milestones!$AC$170)&amp;";  ","")&amp;IF(AND(EDATE($D142,Milestones!$AA$171)&lt;=AsOfDate,EDATE($D142,Milestones!$AA$171)&gt;=SchemeStart,IF($X142=0,$AD142,IF(AND($Z142&lt;&gt;"",EDATE($D142,Milestones!$AA$171)&gt;=$Z142),$AC142,IF(AND($Y142&lt;&gt;"",EDATE($D142,Milestones!$AA$171)&gt;=$Y142),$AB142,$AA142)))=Milestones!$AB$171),UPPER(TEXT(EDATE($D142,Milestones!$AA$171),"dd mmm yy"))&amp;" "&amp;Milestones!$AB$171&amp;" "&amp;IF(AND(Milestones!$AB$171="FT",Milestones!$AA$171=FT_Y5,EDATE($D142,Milestones!$AA$171)&lt;PolicyEff),1,Milestones!$AC$171)&amp;";  ","")&amp;IF(AND(EDATE($D142,Milestones!$AA$172)&lt;=AsOfDate,EDATE($D142,Milestones!$AA$172)&gt;=SchemeStart,IF($X142=0,$AD142,IF(AND($Z142&lt;&gt;"",EDATE($D142,Milestones!$AA$172)&gt;=$Z142),$AC142,IF(AND($Y142&lt;&gt;"",EDATE($D142,Milestones!$AA$172)&gt;=$Y142),$AB142,$AA142)))=Milestones!$AB$172),UPPER(TEXT(EDATE($D142,Milestones!$AA$172),"dd mmm yy"))&amp;" "&amp;Milestones!$AB$172&amp;" "&amp;IF(AND(Milestones!$AB$172="FT",Milestones!$AA$172=FT_Y5,EDATE($D142,Milestones!$AA$172)&lt;PolicyEff),1,Milestones!$AC$172)&amp;";  ","")&amp;IF(AND(EDATE($D142,Milestones!$AA$173)&lt;=AsOfDate,EDATE($D142,Milestones!$AA$173)&gt;=SchemeStart,IF($X142=0,$AD142,IF(AND($Z142&lt;&gt;"",EDATE($D142,Milestones!$AA$173)&gt;=$Z142),$AC142,IF(AND($Y142&lt;&gt;"",EDATE($D142,Milestones!$AA$173)&gt;=$Y142),$AB142,$AA142)))=Milestones!$AB$173),UPPER(TEXT(EDATE($D142,Milestones!$AA$173),"dd mmm yy"))&amp;" "&amp;Milestones!$AB$173&amp;" "&amp;IF(AND(Milestones!$AB$173="FT",Milestones!$AA$173=FT_Y5,EDATE($D142,Milestones!$AA$173)&lt;PolicyEff),1,Milestones!$AC$173)&amp;";  ","")&amp;IF(AND(EDATE($D142,Milestones!$AA$174)&lt;=AsOfDate,EDATE($D142,Milestones!$AA$174)&gt;=SchemeStart,IF($X142=0,$AD142,IF(AND($Z142&lt;&gt;"",EDATE($D142,Milestones!$AA$174)&gt;=$Z142),$AC142,IF(AND($Y142&lt;&gt;"",EDATE($D142,Milestones!$AA$174)&gt;=$Y142),$AB142,$AA142)))=Milestones!$AB$174),UPPER(TEXT(EDATE($D142,Milestones!$AA$174),"dd mmm yy"))&amp;" "&amp;Milestones!$AB$174&amp;" "&amp;IF(AND(Milestones!$AB$174="FT",Milestones!$AA$174=FT_Y5,EDATE($D142,Milestones!$AA$174)&lt;PolicyEff),1,Milestones!$AC$174)&amp;";  ","")&amp;IF(AND(EDATE($D142,Milestones!$AA$175)&lt;=AsOfDate,EDATE($D142,Milestones!$AA$175)&gt;=SchemeStart,IF($X142=0,$AD142,IF(AND($Z142&lt;&gt;"",EDATE($D142,Milestones!$AA$175)&gt;=$Z142),$AC142,IF(AND($Y142&lt;&gt;"",EDATE($D142,Milestones!$AA$175)&gt;=$Y142),$AB142,$AA142)))=Milestones!$AB$175),UPPER(TEXT(EDATE($D142,Milestones!$AA$175),"dd mmm yy"))&amp;" "&amp;Milestones!$AB$175&amp;" "&amp;IF(AND(Milestones!$AB$175="FT",Milestones!$AA$175=FT_Y5,EDATE($D142,Milestones!$AA$175)&lt;PolicyEff),1,Milestones!$AC$175)&amp;";  ",""))</f>
        <v/>
      </c>
      <c r="V142" s="0" t="str">
        <f aca="false">IF(OR($A142="",$D142=""),"",IF(AND(EDATE($D142,Milestones!$AA$176)&lt;=AsOfDate,EDATE($D142,Milestones!$AA$176)&gt;=SchemeStart,IF($X142=0,$AD142,IF(AND($Z142&lt;&gt;"",EDATE($D142,Milestones!$AA$176)&gt;=$Z142),$AC142,IF(AND($Y142&lt;&gt;"",EDATE($D142,Milestones!$AA$176)&gt;=$Y142),$AB142,$AA142)))=Milestones!$AB$176),UPPER(TEXT(EDATE($D142,Milestones!$AA$176),"dd mmm yy"))&amp;" "&amp;Milestones!$AB$176&amp;" "&amp;IF(AND(Milestones!$AB$176="FT",Milestones!$AA$176=FT_Y5,EDATE($D142,Milestones!$AA$176)&lt;PolicyEff),1,Milestones!$AC$176)&amp;";  ","")&amp;IF(AND(EDATE($D142,Milestones!$AA$177)&lt;=AsOfDate,EDATE($D142,Milestones!$AA$177)&gt;=SchemeStart,IF($X142=0,$AD142,IF(AND($Z142&lt;&gt;"",EDATE($D142,Milestones!$AA$177)&gt;=$Z142),$AC142,IF(AND($Y142&lt;&gt;"",EDATE($D142,Milestones!$AA$177)&gt;=$Y142),$AB142,$AA142)))=Milestones!$AB$177),UPPER(TEXT(EDATE($D142,Milestones!$AA$177),"dd mmm yy"))&amp;" "&amp;Milestones!$AB$177&amp;" "&amp;IF(AND(Milestones!$AB$177="FT",Milestones!$AA$177=FT_Y5,EDATE($D142,Milestones!$AA$177)&lt;PolicyEff),1,Milestones!$AC$177)&amp;";  ","")&amp;IF(AND(EDATE($D142,Milestones!$AA$178)&lt;=AsOfDate,EDATE($D142,Milestones!$AA$178)&gt;=SchemeStart,IF($X142=0,$AD142,IF(AND($Z142&lt;&gt;"",EDATE($D142,Milestones!$AA$178)&gt;=$Z142),$AC142,IF(AND($Y142&lt;&gt;"",EDATE($D142,Milestones!$AA$178)&gt;=$Y142),$AB142,$AA142)))=Milestones!$AB$178),UPPER(TEXT(EDATE($D142,Milestones!$AA$178),"dd mmm yy"))&amp;" "&amp;Milestones!$AB$178&amp;" "&amp;IF(AND(Milestones!$AB$178="FT",Milestones!$AA$178=FT_Y5,EDATE($D142,Milestones!$AA$178)&lt;PolicyEff),1,Milestones!$AC$178)&amp;";  ","")&amp;IF(AND(EDATE($D142,Milestones!$AA$179)&lt;=AsOfDate,EDATE($D142,Milestones!$AA$179)&gt;=SchemeStart,IF($X142=0,$AD142,IF(AND($Z142&lt;&gt;"",EDATE($D142,Milestones!$AA$179)&gt;=$Z142),$AC142,IF(AND($Y142&lt;&gt;"",EDATE($D142,Milestones!$AA$179)&gt;=$Y142),$AB142,$AA142)))=Milestones!$AB$179),UPPER(TEXT(EDATE($D142,Milestones!$AA$179),"dd mmm yy"))&amp;" "&amp;Milestones!$AB$179&amp;" "&amp;IF(AND(Milestones!$AB$179="FT",Milestones!$AA$179=FT_Y5,EDATE($D142,Milestones!$AA$179)&lt;PolicyEff),1,Milestones!$AC$179)&amp;";  ","")&amp;IF(AND(EDATE($D142,Milestones!$AA$180)&lt;=AsOfDate,EDATE($D142,Milestones!$AA$180)&gt;=SchemeStart,IF($X142=0,$AD142,IF(AND($Z142&lt;&gt;"",EDATE($D142,Milestones!$AA$180)&gt;=$Z142),$AC142,IF(AND($Y142&lt;&gt;"",EDATE($D142,Milestones!$AA$180)&gt;=$Y142),$AB142,$AA142)))=Milestones!$AB$180),UPPER(TEXT(EDATE($D142,Milestones!$AA$180),"dd mmm yy"))&amp;" "&amp;Milestones!$AB$180&amp;" "&amp;IF(AND(Milestones!$AB$180="FT",Milestones!$AA$180=FT_Y5,EDATE($D142,Milestones!$AA$180)&lt;PolicyEff),1,Milestones!$AC$180)&amp;";  ","")&amp;IF(AND(EDATE($D142,Milestones!$AA$181)&lt;=AsOfDate,EDATE($D142,Milestones!$AA$181)&gt;=SchemeStart,IF($X142=0,$AD142,IF(AND($Z142&lt;&gt;"",EDATE($D142,Milestones!$AA$181)&gt;=$Z142),$AC142,IF(AND($Y142&lt;&gt;"",EDATE($D142,Milestones!$AA$181)&gt;=$Y142),$AB142,$AA142)))=Milestones!$AB$181),UPPER(TEXT(EDATE($D142,Milestones!$AA$181),"dd mmm yy"))&amp;" "&amp;Milestones!$AB$181&amp;" "&amp;IF(AND(Milestones!$AB$181="FT",Milestones!$AA$181=FT_Y5,EDATE($D142,Milestones!$AA$181)&lt;PolicyEff),1,Milestones!$AC$181)&amp;";  ","")&amp;IF(AND(EDATE($D142,Milestones!$AA$182)&lt;=AsOfDate,EDATE($D142,Milestones!$AA$182)&gt;=SchemeStart,IF($X142=0,$AD142,IF(AND($Z142&lt;&gt;"",EDATE($D142,Milestones!$AA$182)&gt;=$Z142),$AC142,IF(AND($Y142&lt;&gt;"",EDATE($D142,Milestones!$AA$182)&gt;=$Y142),$AB142,$AA142)))=Milestones!$AB$182),UPPER(TEXT(EDATE($D142,Milestones!$AA$182),"dd mmm yy"))&amp;" "&amp;Milestones!$AB$182&amp;" "&amp;IF(AND(Milestones!$AB$182="FT",Milestones!$AA$182=FT_Y5,EDATE($D142,Milestones!$AA$182)&lt;PolicyEff),1,Milestones!$AC$182)&amp;";  ","")&amp;IF(AND(EDATE($D142,Milestones!$AA$183)&lt;=AsOfDate,EDATE($D142,Milestones!$AA$183)&gt;=SchemeStart,IF($X142=0,$AD142,IF(AND($Z142&lt;&gt;"",EDATE($D142,Milestones!$AA$183)&gt;=$Z142),$AC142,IF(AND($Y142&lt;&gt;"",EDATE($D142,Milestones!$AA$183)&gt;=$Y142),$AB142,$AA142)))=Milestones!$AB$183),UPPER(TEXT(EDATE($D142,Milestones!$AA$183),"dd mmm yy"))&amp;" "&amp;Milestones!$AB$183&amp;" "&amp;IF(AND(Milestones!$AB$183="FT",Milestones!$AA$183=FT_Y5,EDATE($D142,Milestones!$AA$183)&lt;PolicyEff),1,Milestones!$AC$183)&amp;";  ","")&amp;IF(AND(EDATE($D142,Milestones!$AA$184)&lt;=AsOfDate,EDATE($D142,Milestones!$AA$184)&gt;=SchemeStart,IF($X142=0,$AD142,IF(AND($Z142&lt;&gt;"",EDATE($D142,Milestones!$AA$184)&gt;=$Z142),$AC142,IF(AND($Y142&lt;&gt;"",EDATE($D142,Milestones!$AA$184)&gt;=$Y142),$AB142,$AA142)))=Milestones!$AB$184),UPPER(TEXT(EDATE($D142,Milestones!$AA$184),"dd mmm yy"))&amp;" "&amp;Milestones!$AB$184&amp;" "&amp;IF(AND(Milestones!$AB$184="FT",Milestones!$AA$184=FT_Y5,EDATE($D142,Milestones!$AA$184)&lt;PolicyEff),1,Milestones!$AC$184)&amp;";  ","")&amp;IF(AND(EDATE($D142,Milestones!$AA$185)&lt;=AsOfDate,EDATE($D142,Milestones!$AA$185)&gt;=SchemeStart,IF($X142=0,$AD142,IF(AND($Z142&lt;&gt;"",EDATE($D142,Milestones!$AA$185)&gt;=$Z142),$AC142,IF(AND($Y142&lt;&gt;"",EDATE($D142,Milestones!$AA$185)&gt;=$Y142),$AB142,$AA142)))=Milestones!$AB$185),UPPER(TEXT(EDATE($D142,Milestones!$AA$185),"dd mmm yy"))&amp;" "&amp;Milestones!$AB$185&amp;" "&amp;IF(AND(Milestones!$AB$185="FT",Milestones!$AA$185=FT_Y5,EDATE($D142,Milestones!$AA$185)&lt;PolicyEff),1,Milestones!$AC$185)&amp;";  ","")&amp;IF(AND(EDATE($D142,Milestones!$AA$186)&lt;=AsOfDate,EDATE($D142,Milestones!$AA$186)&gt;=SchemeStart,IF($X142=0,$AD142,IF(AND($Z142&lt;&gt;"",EDATE($D142,Milestones!$AA$186)&gt;=$Z142),$AC142,IF(AND($Y142&lt;&gt;"",EDATE($D142,Milestones!$AA$186)&gt;=$Y142),$AB142,$AA142)))=Milestones!$AB$186),UPPER(TEXT(EDATE($D142,Milestones!$AA$186),"dd mmm yy"))&amp;" "&amp;Milestones!$AB$186&amp;" "&amp;IF(AND(Milestones!$AB$186="FT",Milestones!$AA$186=FT_Y5,EDATE($D142,Milestones!$AA$186)&lt;PolicyEff),1,Milestones!$AC$186)&amp;";  ","")&amp;IF(AND(EDATE($D142,Milestones!$AA$187)&lt;=AsOfDate,EDATE($D142,Milestones!$AA$187)&gt;=SchemeStart,IF($X142=0,$AD142,IF(AND($Z142&lt;&gt;"",EDATE($D142,Milestones!$AA$187)&gt;=$Z142),$AC142,IF(AND($Y142&lt;&gt;"",EDATE($D142,Milestones!$AA$187)&gt;=$Y142),$AB142,$AA142)))=Milestones!$AB$187),UPPER(TEXT(EDATE($D142,Milestones!$AA$187),"dd mmm yy"))&amp;" "&amp;Milestones!$AB$187&amp;" "&amp;IF(AND(Milestones!$AB$187="FT",Milestones!$AA$187=FT_Y5,EDATE($D142,Milestones!$AA$187)&lt;PolicyEff),1,Milestones!$AC$187)&amp;";  ",""))</f>
        <v/>
      </c>
      <c r="W142" s="0" t="str">
        <f aca="false">IF(OR($A142="",$D142=""),"",IF(AND(EDATE($D142,Milestones!$AA$188)&lt;=AsOfDate,EDATE($D142,Milestones!$AA$188)&gt;=SchemeStart,IF($X142=0,$AD142,IF(AND($Z142&lt;&gt;"",EDATE($D142,Milestones!$AA$188)&gt;=$Z142),$AC142,IF(AND($Y142&lt;&gt;"",EDATE($D142,Milestones!$AA$188)&gt;=$Y142),$AB142,$AA142)))=Milestones!$AB$188),UPPER(TEXT(EDATE($D142,Milestones!$AA$188),"dd mmm yy"))&amp;" "&amp;Milestones!$AB$188&amp;" "&amp;IF(AND(Milestones!$AB$188="FT",Milestones!$AA$188=FT_Y5,EDATE($D142,Milestones!$AA$188)&lt;PolicyEff),1,Milestones!$AC$188)&amp;";  ","")&amp;IF(AND(EDATE($D142,Milestones!$AA$189)&lt;=AsOfDate,EDATE($D142,Milestones!$AA$189)&gt;=SchemeStart,IF($X142=0,$AD142,IF(AND($Z142&lt;&gt;"",EDATE($D142,Milestones!$AA$189)&gt;=$Z142),$AC142,IF(AND($Y142&lt;&gt;"",EDATE($D142,Milestones!$AA$189)&gt;=$Y142),$AB142,$AA142)))=Milestones!$AB$189),UPPER(TEXT(EDATE($D142,Milestones!$AA$189),"dd mmm yy"))&amp;" "&amp;Milestones!$AB$189&amp;" "&amp;IF(AND(Milestones!$AB$189="FT",Milestones!$AA$189=FT_Y5,EDATE($D142,Milestones!$AA$189)&lt;PolicyEff),1,Milestones!$AC$189)&amp;";  ","")&amp;IF(AND(EDATE($D142,Milestones!$AA$190)&lt;=AsOfDate,EDATE($D142,Milestones!$AA$190)&gt;=SchemeStart,IF($X142=0,$AD142,IF(AND($Z142&lt;&gt;"",EDATE($D142,Milestones!$AA$190)&gt;=$Z142),$AC142,IF(AND($Y142&lt;&gt;"",EDATE($D142,Milestones!$AA$190)&gt;=$Y142),$AB142,$AA142)))=Milestones!$AB$190),UPPER(TEXT(EDATE($D142,Milestones!$AA$190),"dd mmm yy"))&amp;" "&amp;Milestones!$AB$190&amp;" "&amp;IF(AND(Milestones!$AB$190="FT",Milestones!$AA$190=FT_Y5,EDATE($D142,Milestones!$AA$190)&lt;PolicyEff),1,Milestones!$AC$190)&amp;";  ","")&amp;IF(AND(EDATE($D142,Milestones!$AA$191)&lt;=AsOfDate,EDATE($D142,Milestones!$AA$191)&gt;=SchemeStart,IF($X142=0,$AD142,IF(AND($Z142&lt;&gt;"",EDATE($D142,Milestones!$AA$191)&gt;=$Z142),$AC142,IF(AND($Y142&lt;&gt;"",EDATE($D142,Milestones!$AA$191)&gt;=$Y142),$AB142,$AA142)))=Milestones!$AB$191),UPPER(TEXT(EDATE($D142,Milestones!$AA$191),"dd mmm yy"))&amp;" "&amp;Milestones!$AB$191&amp;" "&amp;IF(AND(Milestones!$AB$191="FT",Milestones!$AA$191=FT_Y5,EDATE($D142,Milestones!$AA$191)&lt;PolicyEff),1,Milestones!$AC$191)&amp;";  ","")&amp;IF(AND(EDATE($D142,Milestones!$AA$192)&lt;=AsOfDate,EDATE($D142,Milestones!$AA$192)&gt;=SchemeStart,IF($X142=0,$AD142,IF(AND($Z142&lt;&gt;"",EDATE($D142,Milestones!$AA$192)&gt;=$Z142),$AC142,IF(AND($Y142&lt;&gt;"",EDATE($D142,Milestones!$AA$192)&gt;=$Y142),$AB142,$AA142)))=Milestones!$AB$192),UPPER(TEXT(EDATE($D142,Milestones!$AA$192),"dd mmm yy"))&amp;" "&amp;Milestones!$AB$192&amp;" "&amp;IF(AND(Milestones!$AB$192="FT",Milestones!$AA$192=FT_Y5,EDATE($D142,Milestones!$AA$192)&lt;PolicyEff),1,Milestones!$AC$192)&amp;";  ","")&amp;IF(AND(EDATE($D142,Milestones!$AA$193)&lt;=AsOfDate,EDATE($D142,Milestones!$AA$193)&gt;=SchemeStart,IF($X142=0,$AD142,IF(AND($Z142&lt;&gt;"",EDATE($D142,Milestones!$AA$193)&gt;=$Z142),$AC142,IF(AND($Y142&lt;&gt;"",EDATE($D142,Milestones!$AA$193)&gt;=$Y142),$AB142,$AA142)))=Milestones!$AB$193),UPPER(TEXT(EDATE($D142,Milestones!$AA$193),"dd mmm yy"))&amp;" "&amp;Milestones!$AB$193&amp;" "&amp;IF(AND(Milestones!$AB$193="FT",Milestones!$AA$193=FT_Y5,EDATE($D142,Milestones!$AA$193)&lt;PolicyEff),1,Milestones!$AC$193)&amp;";  ","")&amp;IF(AND(EDATE($D142,Milestones!$AA$194)&lt;=AsOfDate,EDATE($D142,Milestones!$AA$194)&gt;=SchemeStart,IF($X142=0,$AD142,IF(AND($Z142&lt;&gt;"",EDATE($D142,Milestones!$AA$194)&gt;=$Z142),$AC142,IF(AND($Y142&lt;&gt;"",EDATE($D142,Milestones!$AA$194)&gt;=$Y142),$AB142,$AA142)))=Milestones!$AB$194),UPPER(TEXT(EDATE($D142,Milestones!$AA$194),"dd mmm yy"))&amp;" "&amp;Milestones!$AB$194&amp;" "&amp;IF(AND(Milestones!$AB$194="FT",Milestones!$AA$194=FT_Y5,EDATE($D142,Milestones!$AA$194)&lt;PolicyEff),1,Milestones!$AC$194)&amp;";  ","")&amp;IF(AND(EDATE($D142,Milestones!$AA$195)&lt;=AsOfDate,EDATE($D142,Milestones!$AA$195)&gt;=SchemeStart,IF($X142=0,$AD142,IF(AND($Z142&lt;&gt;"",EDATE($D142,Milestones!$AA$195)&gt;=$Z142),$AC142,IF(AND($Y142&lt;&gt;"",EDATE($D142,Milestones!$AA$195)&gt;=$Y142),$AB142,$AA142)))=Milestones!$AB$195),UPPER(TEXT(EDATE($D142,Milestones!$AA$195),"dd mmm yy"))&amp;" "&amp;Milestones!$AB$195&amp;" "&amp;IF(AND(Milestones!$AB$195="FT",Milestones!$AA$195=FT_Y5,EDATE($D142,Milestones!$AA$195)&lt;PolicyEff),1,Milestones!$AC$195)&amp;";  ","")&amp;IF(AND(EDATE($D142,Milestones!$AA$196)&lt;=AsOfDate,EDATE($D142,Milestones!$AA$196)&gt;=SchemeStart,IF($X142=0,$AD142,IF(AND($Z142&lt;&gt;"",EDATE($D142,Milestones!$AA$196)&gt;=$Z142),$AC142,IF(AND($Y142&lt;&gt;"",EDATE($D142,Milestones!$AA$196)&gt;=$Y142),$AB142,$AA142)))=Milestones!$AB$196),UPPER(TEXT(EDATE($D142,Milestones!$AA$196),"dd mmm yy"))&amp;" "&amp;Milestones!$AB$196&amp;" "&amp;IF(AND(Milestones!$AB$196="FT",Milestones!$AA$196=FT_Y5,EDATE($D142,Milestones!$AA$196)&lt;PolicyEff),1,Milestones!$AC$196)&amp;";  ","")&amp;IF(AND(EDATE($D142,Milestones!$AA$197)&lt;=AsOfDate,EDATE($D142,Milestones!$AA$197)&gt;=SchemeStart,IF($X142=0,$AD142,IF(AND($Z142&lt;&gt;"",EDATE($D142,Milestones!$AA$197)&gt;=$Z142),$AC142,IF(AND($Y142&lt;&gt;"",EDATE($D142,Milestones!$AA$197)&gt;=$Y142),$AB142,$AA142)))=Milestones!$AB$197),UPPER(TEXT(EDATE($D142,Milestones!$AA$197),"dd mmm yy"))&amp;" "&amp;Milestones!$AB$197&amp;" "&amp;IF(AND(Milestones!$AB$197="FT",Milestones!$AA$197=FT_Y5,EDATE($D142,Milestones!$AA$197)&lt;PolicyEff),1,Milestones!$AC$197)&amp;";  ","")&amp;IF(AND(EDATE($D142,Milestones!$AA$198)&lt;=AsOfDate,EDATE($D142,Milestones!$AA$198)&gt;=SchemeStart,IF($X142=0,$AD142,IF(AND($Z142&lt;&gt;"",EDATE($D142,Milestones!$AA$198)&gt;=$Z142),$AC142,IF(AND($Y142&lt;&gt;"",EDATE($D142,Milestones!$AA$198)&gt;=$Y142),$AB142,$AA142)))=Milestones!$AB$198),UPPER(TEXT(EDATE($D142,Milestones!$AA$198),"dd mmm yy"))&amp;" "&amp;Milestones!$AB$198&amp;" "&amp;IF(AND(Milestones!$AB$198="FT",Milestones!$AA$198=FT_Y5,EDATE($D142,Milestones!$AA$198)&lt;PolicyEff),1,Milestones!$AC$198)&amp;";  ","")&amp;IF(AND(EDATE($D142,Milestones!$AA$199)&lt;=AsOfDate,EDATE($D142,Milestones!$AA$199)&gt;=SchemeStart,IF($X142=0,$AD142,IF(AND($Z142&lt;&gt;"",EDATE($D142,Milestones!$AA$199)&gt;=$Z142),$AC142,IF(AND($Y142&lt;&gt;"",EDATE($D142,Milestones!$AA$199)&gt;=$Y142),$AB142,$AA142)))=Milestones!$AB$199),UPPER(TEXT(EDATE($D142,Milestones!$AA$199),"dd mmm yy"))&amp;" "&amp;Milestones!$AB$199&amp;" "&amp;IF(AND(Milestones!$AB$199="FT",Milestones!$AA$199=FT_Y5,EDATE($D142,Milestones!$AA$199)&lt;PolicyEff),1,Milestones!$AC$199)&amp;";  ",""))</f>
        <v/>
      </c>
      <c r="X142" s="0" t="str">
        <f aca="false">IF(Staff!$A142="","",Staff!$AM142)</f>
        <v/>
      </c>
      <c r="Y142" s="0" t="str">
        <f aca="false">IF(Staff!$A142="","",Staff!$AO142)</f>
        <v/>
      </c>
      <c r="Z142" s="0" t="str">
        <f aca="false">IF(Staff!$A142="","",Staff!$AP142)</f>
        <v/>
      </c>
      <c r="AA142" s="0" t="str">
        <f aca="false">IF(Staff!$A142="","",Staff!$AT142)</f>
        <v/>
      </c>
      <c r="AB142" s="0" t="str">
        <f aca="false">IF(Staff!$A142="","",Staff!$AU142)</f>
        <v/>
      </c>
      <c r="AC142" s="0" t="str">
        <f aca="false">IF(Staff!$A142="","",Staff!$AV142)</f>
        <v/>
      </c>
      <c r="AD142" s="0" t="str">
        <f aca="false">IF(Staff!$A142="","",Staff!$AW142)</f>
        <v/>
      </c>
    </row>
    <row r="143" customFormat="false" ht="15" hidden="false" customHeight="false" outlineLevel="0" collapsed="false">
      <c r="A143" s="16" t="str">
        <f aca="false">IF(Staff!$A143="","",Staff!$A143)</f>
        <v/>
      </c>
      <c r="B143" s="16" t="str">
        <f aca="false">IF(Staff!$A143="","",Staff!$B143)</f>
        <v/>
      </c>
      <c r="C143" s="16" t="str">
        <f aca="false">IF(Staff!$A143="","",Staff!$C143)</f>
        <v/>
      </c>
      <c r="D143" s="14" t="str">
        <f aca="false">IF(Staff!$A143="","",Staff!$AL143)</f>
        <v/>
      </c>
      <c r="E143" s="16" t="str">
        <f aca="false">IF(Staff!$A143="","",Staff!$O143)</f>
        <v/>
      </c>
      <c r="F143" s="16" t="str">
        <f aca="false">IF(E143="","",E143*HoursPerDay)</f>
        <v/>
      </c>
      <c r="G143" s="16" t="str">
        <f aca="false">IF(Staff!$A143="","",Staff!$AE143)</f>
        <v/>
      </c>
      <c r="H143" s="28" t="str">
        <f aca="false">IF($A143="","",I143&amp;J143&amp;K143&amp;L143&amp;M143&amp;N143&amp;O143&amp;P143&amp;Q143&amp;R143&amp;S143&amp;T143&amp;U143&amp;V143&amp;W143)</f>
        <v/>
      </c>
      <c r="I143" s="0" t="str">
        <f aca="false">IF(OR($A143="",$D143=""),"",IF(AND(EDATE($D143,Milestones!$AA$20)&lt;=AsOfDate,EDATE($D143,Milestones!$AA$20)&gt;=SchemeStart,IF($X143=0,$AD143,IF(AND($Z143&lt;&gt;"",EDATE($D143,Milestones!$AA$20)&gt;=$Z143),$AC143,IF(AND($Y143&lt;&gt;"",EDATE($D143,Milestones!$AA$20)&gt;=$Y143),$AB143,$AA143)))=Milestones!$AB$20),UPPER(TEXT(EDATE($D143,Milestones!$AA$20),"dd mmm yy"))&amp;" "&amp;Milestones!$AB$20&amp;" "&amp;IF(AND(Milestones!$AB$20="FT",Milestones!$AA$20=FT_Y5,EDATE($D143,Milestones!$AA$20)&lt;PolicyEff),1,Milestones!$AC$20)&amp;";  ","")&amp;IF(AND(EDATE($D143,Milestones!$AA$21)&lt;=AsOfDate,EDATE($D143,Milestones!$AA$21)&gt;=SchemeStart,IF($X143=0,$AD143,IF(AND($Z143&lt;&gt;"",EDATE($D143,Milestones!$AA$21)&gt;=$Z143),$AC143,IF(AND($Y143&lt;&gt;"",EDATE($D143,Milestones!$AA$21)&gt;=$Y143),$AB143,$AA143)))=Milestones!$AB$21),UPPER(TEXT(EDATE($D143,Milestones!$AA$21),"dd mmm yy"))&amp;" "&amp;Milestones!$AB$21&amp;" "&amp;IF(AND(Milestones!$AB$21="FT",Milestones!$AA$21=FT_Y5,EDATE($D143,Milestones!$AA$21)&lt;PolicyEff),1,Milestones!$AC$21)&amp;";  ","")&amp;IF(AND(EDATE($D143,Milestones!$AA$22)&lt;=AsOfDate,EDATE($D143,Milestones!$AA$22)&gt;=SchemeStart,IF($X143=0,$AD143,IF(AND($Z143&lt;&gt;"",EDATE($D143,Milestones!$AA$22)&gt;=$Z143),$AC143,IF(AND($Y143&lt;&gt;"",EDATE($D143,Milestones!$AA$22)&gt;=$Y143),$AB143,$AA143)))=Milestones!$AB$22),UPPER(TEXT(EDATE($D143,Milestones!$AA$22),"dd mmm yy"))&amp;" "&amp;Milestones!$AB$22&amp;" "&amp;IF(AND(Milestones!$AB$22="FT",Milestones!$AA$22=FT_Y5,EDATE($D143,Milestones!$AA$22)&lt;PolicyEff),1,Milestones!$AC$22)&amp;";  ","")&amp;IF(AND(EDATE($D143,Milestones!$AA$23)&lt;=AsOfDate,EDATE($D143,Milestones!$AA$23)&gt;=SchemeStart,IF($X143=0,$AD143,IF(AND($Z143&lt;&gt;"",EDATE($D143,Milestones!$AA$23)&gt;=$Z143),$AC143,IF(AND($Y143&lt;&gt;"",EDATE($D143,Milestones!$AA$23)&gt;=$Y143),$AB143,$AA143)))=Milestones!$AB$23),UPPER(TEXT(EDATE($D143,Milestones!$AA$23),"dd mmm yy"))&amp;" "&amp;Milestones!$AB$23&amp;" "&amp;IF(AND(Milestones!$AB$23="FT",Milestones!$AA$23=FT_Y5,EDATE($D143,Milestones!$AA$23)&lt;PolicyEff),1,Milestones!$AC$23)&amp;";  ","")&amp;IF(AND(EDATE($D143,Milestones!$AA$24)&lt;=AsOfDate,EDATE($D143,Milestones!$AA$24)&gt;=SchemeStart,IF($X143=0,$AD143,IF(AND($Z143&lt;&gt;"",EDATE($D143,Milestones!$AA$24)&gt;=$Z143),$AC143,IF(AND($Y143&lt;&gt;"",EDATE($D143,Milestones!$AA$24)&gt;=$Y143),$AB143,$AA143)))=Milestones!$AB$24),UPPER(TEXT(EDATE($D143,Milestones!$AA$24),"dd mmm yy"))&amp;" "&amp;Milestones!$AB$24&amp;" "&amp;IF(AND(Milestones!$AB$24="FT",Milestones!$AA$24=FT_Y5,EDATE($D143,Milestones!$AA$24)&lt;PolicyEff),1,Milestones!$AC$24)&amp;";  ","")&amp;IF(AND(EDATE($D143,Milestones!$AA$25)&lt;=AsOfDate,EDATE($D143,Milestones!$AA$25)&gt;=SchemeStart,IF($X143=0,$AD143,IF(AND($Z143&lt;&gt;"",EDATE($D143,Milestones!$AA$25)&gt;=$Z143),$AC143,IF(AND($Y143&lt;&gt;"",EDATE($D143,Milestones!$AA$25)&gt;=$Y143),$AB143,$AA143)))=Milestones!$AB$25),UPPER(TEXT(EDATE($D143,Milestones!$AA$25),"dd mmm yy"))&amp;" "&amp;Milestones!$AB$25&amp;" "&amp;IF(AND(Milestones!$AB$25="FT",Milestones!$AA$25=FT_Y5,EDATE($D143,Milestones!$AA$25)&lt;PolicyEff),1,Milestones!$AC$25)&amp;";  ","")&amp;IF(AND(EDATE($D143,Milestones!$AA$26)&lt;=AsOfDate,EDATE($D143,Milestones!$AA$26)&gt;=SchemeStart,IF($X143=0,$AD143,IF(AND($Z143&lt;&gt;"",EDATE($D143,Milestones!$AA$26)&gt;=$Z143),$AC143,IF(AND($Y143&lt;&gt;"",EDATE($D143,Milestones!$AA$26)&gt;=$Y143),$AB143,$AA143)))=Milestones!$AB$26),UPPER(TEXT(EDATE($D143,Milestones!$AA$26),"dd mmm yy"))&amp;" "&amp;Milestones!$AB$26&amp;" "&amp;IF(AND(Milestones!$AB$26="FT",Milestones!$AA$26=FT_Y5,EDATE($D143,Milestones!$AA$26)&lt;PolicyEff),1,Milestones!$AC$26)&amp;";  ","")&amp;IF(AND(EDATE($D143,Milestones!$AA$27)&lt;=AsOfDate,EDATE($D143,Milestones!$AA$27)&gt;=SchemeStart,IF($X143=0,$AD143,IF(AND($Z143&lt;&gt;"",EDATE($D143,Milestones!$AA$27)&gt;=$Z143),$AC143,IF(AND($Y143&lt;&gt;"",EDATE($D143,Milestones!$AA$27)&gt;=$Y143),$AB143,$AA143)))=Milestones!$AB$27),UPPER(TEXT(EDATE($D143,Milestones!$AA$27),"dd mmm yy"))&amp;" "&amp;Milestones!$AB$27&amp;" "&amp;IF(AND(Milestones!$AB$27="FT",Milestones!$AA$27=FT_Y5,EDATE($D143,Milestones!$AA$27)&lt;PolicyEff),1,Milestones!$AC$27)&amp;";  ","")&amp;IF(AND(EDATE($D143,Milestones!$AA$28)&lt;=AsOfDate,EDATE($D143,Milestones!$AA$28)&gt;=SchemeStart,IF($X143=0,$AD143,IF(AND($Z143&lt;&gt;"",EDATE($D143,Milestones!$AA$28)&gt;=$Z143),$AC143,IF(AND($Y143&lt;&gt;"",EDATE($D143,Milestones!$AA$28)&gt;=$Y143),$AB143,$AA143)))=Milestones!$AB$28),UPPER(TEXT(EDATE($D143,Milestones!$AA$28),"dd mmm yy"))&amp;" "&amp;Milestones!$AB$28&amp;" "&amp;IF(AND(Milestones!$AB$28="FT",Milestones!$AA$28=FT_Y5,EDATE($D143,Milestones!$AA$28)&lt;PolicyEff),1,Milestones!$AC$28)&amp;";  ","")&amp;IF(AND(EDATE($D143,Milestones!$AA$29)&lt;=AsOfDate,EDATE($D143,Milestones!$AA$29)&gt;=SchemeStart,IF($X143=0,$AD143,IF(AND($Z143&lt;&gt;"",EDATE($D143,Milestones!$AA$29)&gt;=$Z143),$AC143,IF(AND($Y143&lt;&gt;"",EDATE($D143,Milestones!$AA$29)&gt;=$Y143),$AB143,$AA143)))=Milestones!$AB$29),UPPER(TEXT(EDATE($D143,Milestones!$AA$29),"dd mmm yy"))&amp;" "&amp;Milestones!$AB$29&amp;" "&amp;IF(AND(Milestones!$AB$29="FT",Milestones!$AA$29=FT_Y5,EDATE($D143,Milestones!$AA$29)&lt;PolicyEff),1,Milestones!$AC$29)&amp;";  ","")&amp;IF(AND(EDATE($D143,Milestones!$AA$30)&lt;=AsOfDate,EDATE($D143,Milestones!$AA$30)&gt;=SchemeStart,IF($X143=0,$AD143,IF(AND($Z143&lt;&gt;"",EDATE($D143,Milestones!$AA$30)&gt;=$Z143),$AC143,IF(AND($Y143&lt;&gt;"",EDATE($D143,Milestones!$AA$30)&gt;=$Y143),$AB143,$AA143)))=Milestones!$AB$30),UPPER(TEXT(EDATE($D143,Milestones!$AA$30),"dd mmm yy"))&amp;" "&amp;Milestones!$AB$30&amp;" "&amp;IF(AND(Milestones!$AB$30="FT",Milestones!$AA$30=FT_Y5,EDATE($D143,Milestones!$AA$30)&lt;PolicyEff),1,Milestones!$AC$30)&amp;";  ","")&amp;IF(AND(EDATE($D143,Milestones!$AA$31)&lt;=AsOfDate,EDATE($D143,Milestones!$AA$31)&gt;=SchemeStart,IF($X143=0,$AD143,IF(AND($Z143&lt;&gt;"",EDATE($D143,Milestones!$AA$31)&gt;=$Z143),$AC143,IF(AND($Y143&lt;&gt;"",EDATE($D143,Milestones!$AA$31)&gt;=$Y143),$AB143,$AA143)))=Milestones!$AB$31),UPPER(TEXT(EDATE($D143,Milestones!$AA$31),"dd mmm yy"))&amp;" "&amp;Milestones!$AB$31&amp;" "&amp;IF(AND(Milestones!$AB$31="FT",Milestones!$AA$31=FT_Y5,EDATE($D143,Milestones!$AA$31)&lt;PolicyEff),1,Milestones!$AC$31)&amp;";  ",""))</f>
        <v/>
      </c>
      <c r="J143" s="0" t="str">
        <f aca="false">IF(OR($A143="",$D143=""),"",IF(AND(EDATE($D143,Milestones!$AA$32)&lt;=AsOfDate,EDATE($D143,Milestones!$AA$32)&gt;=SchemeStart,IF($X143=0,$AD143,IF(AND($Z143&lt;&gt;"",EDATE($D143,Milestones!$AA$32)&gt;=$Z143),$AC143,IF(AND($Y143&lt;&gt;"",EDATE($D143,Milestones!$AA$32)&gt;=$Y143),$AB143,$AA143)))=Milestones!$AB$32),UPPER(TEXT(EDATE($D143,Milestones!$AA$32),"dd mmm yy"))&amp;" "&amp;Milestones!$AB$32&amp;" "&amp;IF(AND(Milestones!$AB$32="FT",Milestones!$AA$32=FT_Y5,EDATE($D143,Milestones!$AA$32)&lt;PolicyEff),1,Milestones!$AC$32)&amp;";  ","")&amp;IF(AND(EDATE($D143,Milestones!$AA$33)&lt;=AsOfDate,EDATE($D143,Milestones!$AA$33)&gt;=SchemeStart,IF($X143=0,$AD143,IF(AND($Z143&lt;&gt;"",EDATE($D143,Milestones!$AA$33)&gt;=$Z143),$AC143,IF(AND($Y143&lt;&gt;"",EDATE($D143,Milestones!$AA$33)&gt;=$Y143),$AB143,$AA143)))=Milestones!$AB$33),UPPER(TEXT(EDATE($D143,Milestones!$AA$33),"dd mmm yy"))&amp;" "&amp;Milestones!$AB$33&amp;" "&amp;IF(AND(Milestones!$AB$33="FT",Milestones!$AA$33=FT_Y5,EDATE($D143,Milestones!$AA$33)&lt;PolicyEff),1,Milestones!$AC$33)&amp;";  ","")&amp;IF(AND(EDATE($D143,Milestones!$AA$34)&lt;=AsOfDate,EDATE($D143,Milestones!$AA$34)&gt;=SchemeStart,IF($X143=0,$AD143,IF(AND($Z143&lt;&gt;"",EDATE($D143,Milestones!$AA$34)&gt;=$Z143),$AC143,IF(AND($Y143&lt;&gt;"",EDATE($D143,Milestones!$AA$34)&gt;=$Y143),$AB143,$AA143)))=Milestones!$AB$34),UPPER(TEXT(EDATE($D143,Milestones!$AA$34),"dd mmm yy"))&amp;" "&amp;Milestones!$AB$34&amp;" "&amp;IF(AND(Milestones!$AB$34="FT",Milestones!$AA$34=FT_Y5,EDATE($D143,Milestones!$AA$34)&lt;PolicyEff),1,Milestones!$AC$34)&amp;";  ","")&amp;IF(AND(EDATE($D143,Milestones!$AA$35)&lt;=AsOfDate,EDATE($D143,Milestones!$AA$35)&gt;=SchemeStart,IF($X143=0,$AD143,IF(AND($Z143&lt;&gt;"",EDATE($D143,Milestones!$AA$35)&gt;=$Z143),$AC143,IF(AND($Y143&lt;&gt;"",EDATE($D143,Milestones!$AA$35)&gt;=$Y143),$AB143,$AA143)))=Milestones!$AB$35),UPPER(TEXT(EDATE($D143,Milestones!$AA$35),"dd mmm yy"))&amp;" "&amp;Milestones!$AB$35&amp;" "&amp;IF(AND(Milestones!$AB$35="FT",Milestones!$AA$35=FT_Y5,EDATE($D143,Milestones!$AA$35)&lt;PolicyEff),1,Milestones!$AC$35)&amp;";  ","")&amp;IF(AND(EDATE($D143,Milestones!$AA$36)&lt;=AsOfDate,EDATE($D143,Milestones!$AA$36)&gt;=SchemeStart,IF($X143=0,$AD143,IF(AND($Z143&lt;&gt;"",EDATE($D143,Milestones!$AA$36)&gt;=$Z143),$AC143,IF(AND($Y143&lt;&gt;"",EDATE($D143,Milestones!$AA$36)&gt;=$Y143),$AB143,$AA143)))=Milestones!$AB$36),UPPER(TEXT(EDATE($D143,Milestones!$AA$36),"dd mmm yy"))&amp;" "&amp;Milestones!$AB$36&amp;" "&amp;IF(AND(Milestones!$AB$36="FT",Milestones!$AA$36=FT_Y5,EDATE($D143,Milestones!$AA$36)&lt;PolicyEff),1,Milestones!$AC$36)&amp;";  ","")&amp;IF(AND(EDATE($D143,Milestones!$AA$37)&lt;=AsOfDate,EDATE($D143,Milestones!$AA$37)&gt;=SchemeStart,IF($X143=0,$AD143,IF(AND($Z143&lt;&gt;"",EDATE($D143,Milestones!$AA$37)&gt;=$Z143),$AC143,IF(AND($Y143&lt;&gt;"",EDATE($D143,Milestones!$AA$37)&gt;=$Y143),$AB143,$AA143)))=Milestones!$AB$37),UPPER(TEXT(EDATE($D143,Milestones!$AA$37),"dd mmm yy"))&amp;" "&amp;Milestones!$AB$37&amp;" "&amp;IF(AND(Milestones!$AB$37="FT",Milestones!$AA$37=FT_Y5,EDATE($D143,Milestones!$AA$37)&lt;PolicyEff),1,Milestones!$AC$37)&amp;";  ","")&amp;IF(AND(EDATE($D143,Milestones!$AA$38)&lt;=AsOfDate,EDATE($D143,Milestones!$AA$38)&gt;=SchemeStart,IF($X143=0,$AD143,IF(AND($Z143&lt;&gt;"",EDATE($D143,Milestones!$AA$38)&gt;=$Z143),$AC143,IF(AND($Y143&lt;&gt;"",EDATE($D143,Milestones!$AA$38)&gt;=$Y143),$AB143,$AA143)))=Milestones!$AB$38),UPPER(TEXT(EDATE($D143,Milestones!$AA$38),"dd mmm yy"))&amp;" "&amp;Milestones!$AB$38&amp;" "&amp;IF(AND(Milestones!$AB$38="FT",Milestones!$AA$38=FT_Y5,EDATE($D143,Milestones!$AA$38)&lt;PolicyEff),1,Milestones!$AC$38)&amp;";  ","")&amp;IF(AND(EDATE($D143,Milestones!$AA$39)&lt;=AsOfDate,EDATE($D143,Milestones!$AA$39)&gt;=SchemeStart,IF($X143=0,$AD143,IF(AND($Z143&lt;&gt;"",EDATE($D143,Milestones!$AA$39)&gt;=$Z143),$AC143,IF(AND($Y143&lt;&gt;"",EDATE($D143,Milestones!$AA$39)&gt;=$Y143),$AB143,$AA143)))=Milestones!$AB$39),UPPER(TEXT(EDATE($D143,Milestones!$AA$39),"dd mmm yy"))&amp;" "&amp;Milestones!$AB$39&amp;" "&amp;IF(AND(Milestones!$AB$39="FT",Milestones!$AA$39=FT_Y5,EDATE($D143,Milestones!$AA$39)&lt;PolicyEff),1,Milestones!$AC$39)&amp;";  ","")&amp;IF(AND(EDATE($D143,Milestones!$AA$40)&lt;=AsOfDate,EDATE($D143,Milestones!$AA$40)&gt;=SchemeStart,IF($X143=0,$AD143,IF(AND($Z143&lt;&gt;"",EDATE($D143,Milestones!$AA$40)&gt;=$Z143),$AC143,IF(AND($Y143&lt;&gt;"",EDATE($D143,Milestones!$AA$40)&gt;=$Y143),$AB143,$AA143)))=Milestones!$AB$40),UPPER(TEXT(EDATE($D143,Milestones!$AA$40),"dd mmm yy"))&amp;" "&amp;Milestones!$AB$40&amp;" "&amp;IF(AND(Milestones!$AB$40="FT",Milestones!$AA$40=FT_Y5,EDATE($D143,Milestones!$AA$40)&lt;PolicyEff),1,Milestones!$AC$40)&amp;";  ","")&amp;IF(AND(EDATE($D143,Milestones!$AA$41)&lt;=AsOfDate,EDATE($D143,Milestones!$AA$41)&gt;=SchemeStart,IF($X143=0,$AD143,IF(AND($Z143&lt;&gt;"",EDATE($D143,Milestones!$AA$41)&gt;=$Z143),$AC143,IF(AND($Y143&lt;&gt;"",EDATE($D143,Milestones!$AA$41)&gt;=$Y143),$AB143,$AA143)))=Milestones!$AB$41),UPPER(TEXT(EDATE($D143,Milestones!$AA$41),"dd mmm yy"))&amp;" "&amp;Milestones!$AB$41&amp;" "&amp;IF(AND(Milestones!$AB$41="FT",Milestones!$AA$41=FT_Y5,EDATE($D143,Milestones!$AA$41)&lt;PolicyEff),1,Milestones!$AC$41)&amp;";  ","")&amp;IF(AND(EDATE($D143,Milestones!$AA$42)&lt;=AsOfDate,EDATE($D143,Milestones!$AA$42)&gt;=SchemeStart,IF($X143=0,$AD143,IF(AND($Z143&lt;&gt;"",EDATE($D143,Milestones!$AA$42)&gt;=$Z143),$AC143,IF(AND($Y143&lt;&gt;"",EDATE($D143,Milestones!$AA$42)&gt;=$Y143),$AB143,$AA143)))=Milestones!$AB$42),UPPER(TEXT(EDATE($D143,Milestones!$AA$42),"dd mmm yy"))&amp;" "&amp;Milestones!$AB$42&amp;" "&amp;IF(AND(Milestones!$AB$42="FT",Milestones!$AA$42=FT_Y5,EDATE($D143,Milestones!$AA$42)&lt;PolicyEff),1,Milestones!$AC$42)&amp;";  ","")&amp;IF(AND(EDATE($D143,Milestones!$AA$43)&lt;=AsOfDate,EDATE($D143,Milestones!$AA$43)&gt;=SchemeStart,IF($X143=0,$AD143,IF(AND($Z143&lt;&gt;"",EDATE($D143,Milestones!$AA$43)&gt;=$Z143),$AC143,IF(AND($Y143&lt;&gt;"",EDATE($D143,Milestones!$AA$43)&gt;=$Y143),$AB143,$AA143)))=Milestones!$AB$43),UPPER(TEXT(EDATE($D143,Milestones!$AA$43),"dd mmm yy"))&amp;" "&amp;Milestones!$AB$43&amp;" "&amp;IF(AND(Milestones!$AB$43="FT",Milestones!$AA$43=FT_Y5,EDATE($D143,Milestones!$AA$43)&lt;PolicyEff),1,Milestones!$AC$43)&amp;";  ",""))</f>
        <v/>
      </c>
      <c r="K143" s="0" t="str">
        <f aca="false">IF(OR($A143="",$D143=""),"",IF(AND(EDATE($D143,Milestones!$AA$44)&lt;=AsOfDate,EDATE($D143,Milestones!$AA$44)&gt;=SchemeStart,IF($X143=0,$AD143,IF(AND($Z143&lt;&gt;"",EDATE($D143,Milestones!$AA$44)&gt;=$Z143),$AC143,IF(AND($Y143&lt;&gt;"",EDATE($D143,Milestones!$AA$44)&gt;=$Y143),$AB143,$AA143)))=Milestones!$AB$44),UPPER(TEXT(EDATE($D143,Milestones!$AA$44),"dd mmm yy"))&amp;" "&amp;Milestones!$AB$44&amp;" "&amp;IF(AND(Milestones!$AB$44="FT",Milestones!$AA$44=FT_Y5,EDATE($D143,Milestones!$AA$44)&lt;PolicyEff),1,Milestones!$AC$44)&amp;";  ","")&amp;IF(AND(EDATE($D143,Milestones!$AA$45)&lt;=AsOfDate,EDATE($D143,Milestones!$AA$45)&gt;=SchemeStart,IF($X143=0,$AD143,IF(AND($Z143&lt;&gt;"",EDATE($D143,Milestones!$AA$45)&gt;=$Z143),$AC143,IF(AND($Y143&lt;&gt;"",EDATE($D143,Milestones!$AA$45)&gt;=$Y143),$AB143,$AA143)))=Milestones!$AB$45),UPPER(TEXT(EDATE($D143,Milestones!$AA$45),"dd mmm yy"))&amp;" "&amp;Milestones!$AB$45&amp;" "&amp;IF(AND(Milestones!$AB$45="FT",Milestones!$AA$45=FT_Y5,EDATE($D143,Milestones!$AA$45)&lt;PolicyEff),1,Milestones!$AC$45)&amp;";  ","")&amp;IF(AND(EDATE($D143,Milestones!$AA$46)&lt;=AsOfDate,EDATE($D143,Milestones!$AA$46)&gt;=SchemeStart,IF($X143=0,$AD143,IF(AND($Z143&lt;&gt;"",EDATE($D143,Milestones!$AA$46)&gt;=$Z143),$AC143,IF(AND($Y143&lt;&gt;"",EDATE($D143,Milestones!$AA$46)&gt;=$Y143),$AB143,$AA143)))=Milestones!$AB$46),UPPER(TEXT(EDATE($D143,Milestones!$AA$46),"dd mmm yy"))&amp;" "&amp;Milestones!$AB$46&amp;" "&amp;IF(AND(Milestones!$AB$46="FT",Milestones!$AA$46=FT_Y5,EDATE($D143,Milestones!$AA$46)&lt;PolicyEff),1,Milestones!$AC$46)&amp;";  ","")&amp;IF(AND(EDATE($D143,Milestones!$AA$47)&lt;=AsOfDate,EDATE($D143,Milestones!$AA$47)&gt;=SchemeStart,IF($X143=0,$AD143,IF(AND($Z143&lt;&gt;"",EDATE($D143,Milestones!$AA$47)&gt;=$Z143),$AC143,IF(AND($Y143&lt;&gt;"",EDATE($D143,Milestones!$AA$47)&gt;=$Y143),$AB143,$AA143)))=Milestones!$AB$47),UPPER(TEXT(EDATE($D143,Milestones!$AA$47),"dd mmm yy"))&amp;" "&amp;Milestones!$AB$47&amp;" "&amp;IF(AND(Milestones!$AB$47="FT",Milestones!$AA$47=FT_Y5,EDATE($D143,Milestones!$AA$47)&lt;PolicyEff),1,Milestones!$AC$47)&amp;";  ","")&amp;IF(AND(EDATE($D143,Milestones!$AA$48)&lt;=AsOfDate,EDATE($D143,Milestones!$AA$48)&gt;=SchemeStart,IF($X143=0,$AD143,IF(AND($Z143&lt;&gt;"",EDATE($D143,Milestones!$AA$48)&gt;=$Z143),$AC143,IF(AND($Y143&lt;&gt;"",EDATE($D143,Milestones!$AA$48)&gt;=$Y143),$AB143,$AA143)))=Milestones!$AB$48),UPPER(TEXT(EDATE($D143,Milestones!$AA$48),"dd mmm yy"))&amp;" "&amp;Milestones!$AB$48&amp;" "&amp;IF(AND(Milestones!$AB$48="FT",Milestones!$AA$48=FT_Y5,EDATE($D143,Milestones!$AA$48)&lt;PolicyEff),1,Milestones!$AC$48)&amp;";  ","")&amp;IF(AND(EDATE($D143,Milestones!$AA$49)&lt;=AsOfDate,EDATE($D143,Milestones!$AA$49)&gt;=SchemeStart,IF($X143=0,$AD143,IF(AND($Z143&lt;&gt;"",EDATE($D143,Milestones!$AA$49)&gt;=$Z143),$AC143,IF(AND($Y143&lt;&gt;"",EDATE($D143,Milestones!$AA$49)&gt;=$Y143),$AB143,$AA143)))=Milestones!$AB$49),UPPER(TEXT(EDATE($D143,Milestones!$AA$49),"dd mmm yy"))&amp;" "&amp;Milestones!$AB$49&amp;" "&amp;IF(AND(Milestones!$AB$49="FT",Milestones!$AA$49=FT_Y5,EDATE($D143,Milestones!$AA$49)&lt;PolicyEff),1,Milestones!$AC$49)&amp;";  ","")&amp;IF(AND(EDATE($D143,Milestones!$AA$50)&lt;=AsOfDate,EDATE($D143,Milestones!$AA$50)&gt;=SchemeStart,IF($X143=0,$AD143,IF(AND($Z143&lt;&gt;"",EDATE($D143,Milestones!$AA$50)&gt;=$Z143),$AC143,IF(AND($Y143&lt;&gt;"",EDATE($D143,Milestones!$AA$50)&gt;=$Y143),$AB143,$AA143)))=Milestones!$AB$50),UPPER(TEXT(EDATE($D143,Milestones!$AA$50),"dd mmm yy"))&amp;" "&amp;Milestones!$AB$50&amp;" "&amp;IF(AND(Milestones!$AB$50="FT",Milestones!$AA$50=FT_Y5,EDATE($D143,Milestones!$AA$50)&lt;PolicyEff),1,Milestones!$AC$50)&amp;";  ","")&amp;IF(AND(EDATE($D143,Milestones!$AA$51)&lt;=AsOfDate,EDATE($D143,Milestones!$AA$51)&gt;=SchemeStart,IF($X143=0,$AD143,IF(AND($Z143&lt;&gt;"",EDATE($D143,Milestones!$AA$51)&gt;=$Z143),$AC143,IF(AND($Y143&lt;&gt;"",EDATE($D143,Milestones!$AA$51)&gt;=$Y143),$AB143,$AA143)))=Milestones!$AB$51),UPPER(TEXT(EDATE($D143,Milestones!$AA$51),"dd mmm yy"))&amp;" "&amp;Milestones!$AB$51&amp;" "&amp;IF(AND(Milestones!$AB$51="FT",Milestones!$AA$51=FT_Y5,EDATE($D143,Milestones!$AA$51)&lt;PolicyEff),1,Milestones!$AC$51)&amp;";  ","")&amp;IF(AND(EDATE($D143,Milestones!$AA$52)&lt;=AsOfDate,EDATE($D143,Milestones!$AA$52)&gt;=SchemeStart,IF($X143=0,$AD143,IF(AND($Z143&lt;&gt;"",EDATE($D143,Milestones!$AA$52)&gt;=$Z143),$AC143,IF(AND($Y143&lt;&gt;"",EDATE($D143,Milestones!$AA$52)&gt;=$Y143),$AB143,$AA143)))=Milestones!$AB$52),UPPER(TEXT(EDATE($D143,Milestones!$AA$52),"dd mmm yy"))&amp;" "&amp;Milestones!$AB$52&amp;" "&amp;IF(AND(Milestones!$AB$52="FT",Milestones!$AA$52=FT_Y5,EDATE($D143,Milestones!$AA$52)&lt;PolicyEff),1,Milestones!$AC$52)&amp;";  ","")&amp;IF(AND(EDATE($D143,Milestones!$AA$53)&lt;=AsOfDate,EDATE($D143,Milestones!$AA$53)&gt;=SchemeStart,IF($X143=0,$AD143,IF(AND($Z143&lt;&gt;"",EDATE($D143,Milestones!$AA$53)&gt;=$Z143),$AC143,IF(AND($Y143&lt;&gt;"",EDATE($D143,Milestones!$AA$53)&gt;=$Y143),$AB143,$AA143)))=Milestones!$AB$53),UPPER(TEXT(EDATE($D143,Milestones!$AA$53),"dd mmm yy"))&amp;" "&amp;Milestones!$AB$53&amp;" "&amp;IF(AND(Milestones!$AB$53="FT",Milestones!$AA$53=FT_Y5,EDATE($D143,Milestones!$AA$53)&lt;PolicyEff),1,Milestones!$AC$53)&amp;";  ","")&amp;IF(AND(EDATE($D143,Milestones!$AA$54)&lt;=AsOfDate,EDATE($D143,Milestones!$AA$54)&gt;=SchemeStart,IF($X143=0,$AD143,IF(AND($Z143&lt;&gt;"",EDATE($D143,Milestones!$AA$54)&gt;=$Z143),$AC143,IF(AND($Y143&lt;&gt;"",EDATE($D143,Milestones!$AA$54)&gt;=$Y143),$AB143,$AA143)))=Milestones!$AB$54),UPPER(TEXT(EDATE($D143,Milestones!$AA$54),"dd mmm yy"))&amp;" "&amp;Milestones!$AB$54&amp;" "&amp;IF(AND(Milestones!$AB$54="FT",Milestones!$AA$54=FT_Y5,EDATE($D143,Milestones!$AA$54)&lt;PolicyEff),1,Milestones!$AC$54)&amp;";  ","")&amp;IF(AND(EDATE($D143,Milestones!$AA$55)&lt;=AsOfDate,EDATE($D143,Milestones!$AA$55)&gt;=SchemeStart,IF($X143=0,$AD143,IF(AND($Z143&lt;&gt;"",EDATE($D143,Milestones!$AA$55)&gt;=$Z143),$AC143,IF(AND($Y143&lt;&gt;"",EDATE($D143,Milestones!$AA$55)&gt;=$Y143),$AB143,$AA143)))=Milestones!$AB$55),UPPER(TEXT(EDATE($D143,Milestones!$AA$55),"dd mmm yy"))&amp;" "&amp;Milestones!$AB$55&amp;" "&amp;IF(AND(Milestones!$AB$55="FT",Milestones!$AA$55=FT_Y5,EDATE($D143,Milestones!$AA$55)&lt;PolicyEff),1,Milestones!$AC$55)&amp;";  ",""))</f>
        <v/>
      </c>
      <c r="L143" s="0" t="str">
        <f aca="false">IF(OR($A143="",$D143=""),"",IF(AND(EDATE($D143,Milestones!$AA$56)&lt;=AsOfDate,EDATE($D143,Milestones!$AA$56)&gt;=SchemeStart,IF($X143=0,$AD143,IF(AND($Z143&lt;&gt;"",EDATE($D143,Milestones!$AA$56)&gt;=$Z143),$AC143,IF(AND($Y143&lt;&gt;"",EDATE($D143,Milestones!$AA$56)&gt;=$Y143),$AB143,$AA143)))=Milestones!$AB$56),UPPER(TEXT(EDATE($D143,Milestones!$AA$56),"dd mmm yy"))&amp;" "&amp;Milestones!$AB$56&amp;" "&amp;IF(AND(Milestones!$AB$56="FT",Milestones!$AA$56=FT_Y5,EDATE($D143,Milestones!$AA$56)&lt;PolicyEff),1,Milestones!$AC$56)&amp;";  ","")&amp;IF(AND(EDATE($D143,Milestones!$AA$57)&lt;=AsOfDate,EDATE($D143,Milestones!$AA$57)&gt;=SchemeStart,IF($X143=0,$AD143,IF(AND($Z143&lt;&gt;"",EDATE($D143,Milestones!$AA$57)&gt;=$Z143),$AC143,IF(AND($Y143&lt;&gt;"",EDATE($D143,Milestones!$AA$57)&gt;=$Y143),$AB143,$AA143)))=Milestones!$AB$57),UPPER(TEXT(EDATE($D143,Milestones!$AA$57),"dd mmm yy"))&amp;" "&amp;Milestones!$AB$57&amp;" "&amp;IF(AND(Milestones!$AB$57="FT",Milestones!$AA$57=FT_Y5,EDATE($D143,Milestones!$AA$57)&lt;PolicyEff),1,Milestones!$AC$57)&amp;";  ","")&amp;IF(AND(EDATE($D143,Milestones!$AA$58)&lt;=AsOfDate,EDATE($D143,Milestones!$AA$58)&gt;=SchemeStart,IF($X143=0,$AD143,IF(AND($Z143&lt;&gt;"",EDATE($D143,Milestones!$AA$58)&gt;=$Z143),$AC143,IF(AND($Y143&lt;&gt;"",EDATE($D143,Milestones!$AA$58)&gt;=$Y143),$AB143,$AA143)))=Milestones!$AB$58),UPPER(TEXT(EDATE($D143,Milestones!$AA$58),"dd mmm yy"))&amp;" "&amp;Milestones!$AB$58&amp;" "&amp;IF(AND(Milestones!$AB$58="FT",Milestones!$AA$58=FT_Y5,EDATE($D143,Milestones!$AA$58)&lt;PolicyEff),1,Milestones!$AC$58)&amp;";  ","")&amp;IF(AND(EDATE($D143,Milestones!$AA$59)&lt;=AsOfDate,EDATE($D143,Milestones!$AA$59)&gt;=SchemeStart,IF($X143=0,$AD143,IF(AND($Z143&lt;&gt;"",EDATE($D143,Milestones!$AA$59)&gt;=$Z143),$AC143,IF(AND($Y143&lt;&gt;"",EDATE($D143,Milestones!$AA$59)&gt;=$Y143),$AB143,$AA143)))=Milestones!$AB$59),UPPER(TEXT(EDATE($D143,Milestones!$AA$59),"dd mmm yy"))&amp;" "&amp;Milestones!$AB$59&amp;" "&amp;IF(AND(Milestones!$AB$59="FT",Milestones!$AA$59=FT_Y5,EDATE($D143,Milestones!$AA$59)&lt;PolicyEff),1,Milestones!$AC$59)&amp;";  ","")&amp;IF(AND(EDATE($D143,Milestones!$AA$60)&lt;=AsOfDate,EDATE($D143,Milestones!$AA$60)&gt;=SchemeStart,IF($X143=0,$AD143,IF(AND($Z143&lt;&gt;"",EDATE($D143,Milestones!$AA$60)&gt;=$Z143),$AC143,IF(AND($Y143&lt;&gt;"",EDATE($D143,Milestones!$AA$60)&gt;=$Y143),$AB143,$AA143)))=Milestones!$AB$60),UPPER(TEXT(EDATE($D143,Milestones!$AA$60),"dd mmm yy"))&amp;" "&amp;Milestones!$AB$60&amp;" "&amp;IF(AND(Milestones!$AB$60="FT",Milestones!$AA$60=FT_Y5,EDATE($D143,Milestones!$AA$60)&lt;PolicyEff),1,Milestones!$AC$60)&amp;";  ","")&amp;IF(AND(EDATE($D143,Milestones!$AA$61)&lt;=AsOfDate,EDATE($D143,Milestones!$AA$61)&gt;=SchemeStart,IF($X143=0,$AD143,IF(AND($Z143&lt;&gt;"",EDATE($D143,Milestones!$AA$61)&gt;=$Z143),$AC143,IF(AND($Y143&lt;&gt;"",EDATE($D143,Milestones!$AA$61)&gt;=$Y143),$AB143,$AA143)))=Milestones!$AB$61),UPPER(TEXT(EDATE($D143,Milestones!$AA$61),"dd mmm yy"))&amp;" "&amp;Milestones!$AB$61&amp;" "&amp;IF(AND(Milestones!$AB$61="FT",Milestones!$AA$61=FT_Y5,EDATE($D143,Milestones!$AA$61)&lt;PolicyEff),1,Milestones!$AC$61)&amp;";  ","")&amp;IF(AND(EDATE($D143,Milestones!$AA$62)&lt;=AsOfDate,EDATE($D143,Milestones!$AA$62)&gt;=SchemeStart,IF($X143=0,$AD143,IF(AND($Z143&lt;&gt;"",EDATE($D143,Milestones!$AA$62)&gt;=$Z143),$AC143,IF(AND($Y143&lt;&gt;"",EDATE($D143,Milestones!$AA$62)&gt;=$Y143),$AB143,$AA143)))=Milestones!$AB$62),UPPER(TEXT(EDATE($D143,Milestones!$AA$62),"dd mmm yy"))&amp;" "&amp;Milestones!$AB$62&amp;" "&amp;IF(AND(Milestones!$AB$62="FT",Milestones!$AA$62=FT_Y5,EDATE($D143,Milestones!$AA$62)&lt;PolicyEff),1,Milestones!$AC$62)&amp;";  ","")&amp;IF(AND(EDATE($D143,Milestones!$AA$63)&lt;=AsOfDate,EDATE($D143,Milestones!$AA$63)&gt;=SchemeStart,IF($X143=0,$AD143,IF(AND($Z143&lt;&gt;"",EDATE($D143,Milestones!$AA$63)&gt;=$Z143),$AC143,IF(AND($Y143&lt;&gt;"",EDATE($D143,Milestones!$AA$63)&gt;=$Y143),$AB143,$AA143)))=Milestones!$AB$63),UPPER(TEXT(EDATE($D143,Milestones!$AA$63),"dd mmm yy"))&amp;" "&amp;Milestones!$AB$63&amp;" "&amp;IF(AND(Milestones!$AB$63="FT",Milestones!$AA$63=FT_Y5,EDATE($D143,Milestones!$AA$63)&lt;PolicyEff),1,Milestones!$AC$63)&amp;";  ","")&amp;IF(AND(EDATE($D143,Milestones!$AA$64)&lt;=AsOfDate,EDATE($D143,Milestones!$AA$64)&gt;=SchemeStart,IF($X143=0,$AD143,IF(AND($Z143&lt;&gt;"",EDATE($D143,Milestones!$AA$64)&gt;=$Z143),$AC143,IF(AND($Y143&lt;&gt;"",EDATE($D143,Milestones!$AA$64)&gt;=$Y143),$AB143,$AA143)))=Milestones!$AB$64),UPPER(TEXT(EDATE($D143,Milestones!$AA$64),"dd mmm yy"))&amp;" "&amp;Milestones!$AB$64&amp;" "&amp;IF(AND(Milestones!$AB$64="FT",Milestones!$AA$64=FT_Y5,EDATE($D143,Milestones!$AA$64)&lt;PolicyEff),1,Milestones!$AC$64)&amp;";  ","")&amp;IF(AND(EDATE($D143,Milestones!$AA$65)&lt;=AsOfDate,EDATE($D143,Milestones!$AA$65)&gt;=SchemeStart,IF($X143=0,$AD143,IF(AND($Z143&lt;&gt;"",EDATE($D143,Milestones!$AA$65)&gt;=$Z143),$AC143,IF(AND($Y143&lt;&gt;"",EDATE($D143,Milestones!$AA$65)&gt;=$Y143),$AB143,$AA143)))=Milestones!$AB$65),UPPER(TEXT(EDATE($D143,Milestones!$AA$65),"dd mmm yy"))&amp;" "&amp;Milestones!$AB$65&amp;" "&amp;IF(AND(Milestones!$AB$65="FT",Milestones!$AA$65=FT_Y5,EDATE($D143,Milestones!$AA$65)&lt;PolicyEff),1,Milestones!$AC$65)&amp;";  ","")&amp;IF(AND(EDATE($D143,Milestones!$AA$66)&lt;=AsOfDate,EDATE($D143,Milestones!$AA$66)&gt;=SchemeStart,IF($X143=0,$AD143,IF(AND($Z143&lt;&gt;"",EDATE($D143,Milestones!$AA$66)&gt;=$Z143),$AC143,IF(AND($Y143&lt;&gt;"",EDATE($D143,Milestones!$AA$66)&gt;=$Y143),$AB143,$AA143)))=Milestones!$AB$66),UPPER(TEXT(EDATE($D143,Milestones!$AA$66),"dd mmm yy"))&amp;" "&amp;Milestones!$AB$66&amp;" "&amp;IF(AND(Milestones!$AB$66="FT",Milestones!$AA$66=FT_Y5,EDATE($D143,Milestones!$AA$66)&lt;PolicyEff),1,Milestones!$AC$66)&amp;";  ","")&amp;IF(AND(EDATE($D143,Milestones!$AA$67)&lt;=AsOfDate,EDATE($D143,Milestones!$AA$67)&gt;=SchemeStart,IF($X143=0,$AD143,IF(AND($Z143&lt;&gt;"",EDATE($D143,Milestones!$AA$67)&gt;=$Z143),$AC143,IF(AND($Y143&lt;&gt;"",EDATE($D143,Milestones!$AA$67)&gt;=$Y143),$AB143,$AA143)))=Milestones!$AB$67),UPPER(TEXT(EDATE($D143,Milestones!$AA$67),"dd mmm yy"))&amp;" "&amp;Milestones!$AB$67&amp;" "&amp;IF(AND(Milestones!$AB$67="FT",Milestones!$AA$67=FT_Y5,EDATE($D143,Milestones!$AA$67)&lt;PolicyEff),1,Milestones!$AC$67)&amp;";  ",""))</f>
        <v/>
      </c>
      <c r="M143" s="0" t="str">
        <f aca="false">IF(OR($A143="",$D143=""),"",IF(AND(EDATE($D143,Milestones!$AA$68)&lt;=AsOfDate,EDATE($D143,Milestones!$AA$68)&gt;=SchemeStart,IF($X143=0,$AD143,IF(AND($Z143&lt;&gt;"",EDATE($D143,Milestones!$AA$68)&gt;=$Z143),$AC143,IF(AND($Y143&lt;&gt;"",EDATE($D143,Milestones!$AA$68)&gt;=$Y143),$AB143,$AA143)))=Milestones!$AB$68),UPPER(TEXT(EDATE($D143,Milestones!$AA$68),"dd mmm yy"))&amp;" "&amp;Milestones!$AB$68&amp;" "&amp;IF(AND(Milestones!$AB$68="FT",Milestones!$AA$68=FT_Y5,EDATE($D143,Milestones!$AA$68)&lt;PolicyEff),1,Milestones!$AC$68)&amp;";  ","")&amp;IF(AND(EDATE($D143,Milestones!$AA$69)&lt;=AsOfDate,EDATE($D143,Milestones!$AA$69)&gt;=SchemeStart,IF($X143=0,$AD143,IF(AND($Z143&lt;&gt;"",EDATE($D143,Milestones!$AA$69)&gt;=$Z143),$AC143,IF(AND($Y143&lt;&gt;"",EDATE($D143,Milestones!$AA$69)&gt;=$Y143),$AB143,$AA143)))=Milestones!$AB$69),UPPER(TEXT(EDATE($D143,Milestones!$AA$69),"dd mmm yy"))&amp;" "&amp;Milestones!$AB$69&amp;" "&amp;IF(AND(Milestones!$AB$69="FT",Milestones!$AA$69=FT_Y5,EDATE($D143,Milestones!$AA$69)&lt;PolicyEff),1,Milestones!$AC$69)&amp;";  ","")&amp;IF(AND(EDATE($D143,Milestones!$AA$70)&lt;=AsOfDate,EDATE($D143,Milestones!$AA$70)&gt;=SchemeStart,IF($X143=0,$AD143,IF(AND($Z143&lt;&gt;"",EDATE($D143,Milestones!$AA$70)&gt;=$Z143),$AC143,IF(AND($Y143&lt;&gt;"",EDATE($D143,Milestones!$AA$70)&gt;=$Y143),$AB143,$AA143)))=Milestones!$AB$70),UPPER(TEXT(EDATE($D143,Milestones!$AA$70),"dd mmm yy"))&amp;" "&amp;Milestones!$AB$70&amp;" "&amp;IF(AND(Milestones!$AB$70="FT",Milestones!$AA$70=FT_Y5,EDATE($D143,Milestones!$AA$70)&lt;PolicyEff),1,Milestones!$AC$70)&amp;";  ","")&amp;IF(AND(EDATE($D143,Milestones!$AA$71)&lt;=AsOfDate,EDATE($D143,Milestones!$AA$71)&gt;=SchemeStart,IF($X143=0,$AD143,IF(AND($Z143&lt;&gt;"",EDATE($D143,Milestones!$AA$71)&gt;=$Z143),$AC143,IF(AND($Y143&lt;&gt;"",EDATE($D143,Milestones!$AA$71)&gt;=$Y143),$AB143,$AA143)))=Milestones!$AB$71),UPPER(TEXT(EDATE($D143,Milestones!$AA$71),"dd mmm yy"))&amp;" "&amp;Milestones!$AB$71&amp;" "&amp;IF(AND(Milestones!$AB$71="FT",Milestones!$AA$71=FT_Y5,EDATE($D143,Milestones!$AA$71)&lt;PolicyEff),1,Milestones!$AC$71)&amp;";  ","")&amp;IF(AND(EDATE($D143,Milestones!$AA$72)&lt;=AsOfDate,EDATE($D143,Milestones!$AA$72)&gt;=SchemeStart,IF($X143=0,$AD143,IF(AND($Z143&lt;&gt;"",EDATE($D143,Milestones!$AA$72)&gt;=$Z143),$AC143,IF(AND($Y143&lt;&gt;"",EDATE($D143,Milestones!$AA$72)&gt;=$Y143),$AB143,$AA143)))=Milestones!$AB$72),UPPER(TEXT(EDATE($D143,Milestones!$AA$72),"dd mmm yy"))&amp;" "&amp;Milestones!$AB$72&amp;" "&amp;IF(AND(Milestones!$AB$72="FT",Milestones!$AA$72=FT_Y5,EDATE($D143,Milestones!$AA$72)&lt;PolicyEff),1,Milestones!$AC$72)&amp;";  ","")&amp;IF(AND(EDATE($D143,Milestones!$AA$73)&lt;=AsOfDate,EDATE($D143,Milestones!$AA$73)&gt;=SchemeStart,IF($X143=0,$AD143,IF(AND($Z143&lt;&gt;"",EDATE($D143,Milestones!$AA$73)&gt;=$Z143),$AC143,IF(AND($Y143&lt;&gt;"",EDATE($D143,Milestones!$AA$73)&gt;=$Y143),$AB143,$AA143)))=Milestones!$AB$73),UPPER(TEXT(EDATE($D143,Milestones!$AA$73),"dd mmm yy"))&amp;" "&amp;Milestones!$AB$73&amp;" "&amp;IF(AND(Milestones!$AB$73="FT",Milestones!$AA$73=FT_Y5,EDATE($D143,Milestones!$AA$73)&lt;PolicyEff),1,Milestones!$AC$73)&amp;";  ","")&amp;IF(AND(EDATE($D143,Milestones!$AA$74)&lt;=AsOfDate,EDATE($D143,Milestones!$AA$74)&gt;=SchemeStart,IF($X143=0,$AD143,IF(AND($Z143&lt;&gt;"",EDATE($D143,Milestones!$AA$74)&gt;=$Z143),$AC143,IF(AND($Y143&lt;&gt;"",EDATE($D143,Milestones!$AA$74)&gt;=$Y143),$AB143,$AA143)))=Milestones!$AB$74),UPPER(TEXT(EDATE($D143,Milestones!$AA$74),"dd mmm yy"))&amp;" "&amp;Milestones!$AB$74&amp;" "&amp;IF(AND(Milestones!$AB$74="FT",Milestones!$AA$74=FT_Y5,EDATE($D143,Milestones!$AA$74)&lt;PolicyEff),1,Milestones!$AC$74)&amp;";  ","")&amp;IF(AND(EDATE($D143,Milestones!$AA$75)&lt;=AsOfDate,EDATE($D143,Milestones!$AA$75)&gt;=SchemeStart,IF($X143=0,$AD143,IF(AND($Z143&lt;&gt;"",EDATE($D143,Milestones!$AA$75)&gt;=$Z143),$AC143,IF(AND($Y143&lt;&gt;"",EDATE($D143,Milestones!$AA$75)&gt;=$Y143),$AB143,$AA143)))=Milestones!$AB$75),UPPER(TEXT(EDATE($D143,Milestones!$AA$75),"dd mmm yy"))&amp;" "&amp;Milestones!$AB$75&amp;" "&amp;IF(AND(Milestones!$AB$75="FT",Milestones!$AA$75=FT_Y5,EDATE($D143,Milestones!$AA$75)&lt;PolicyEff),1,Milestones!$AC$75)&amp;";  ","")&amp;IF(AND(EDATE($D143,Milestones!$AA$76)&lt;=AsOfDate,EDATE($D143,Milestones!$AA$76)&gt;=SchemeStart,IF($X143=0,$AD143,IF(AND($Z143&lt;&gt;"",EDATE($D143,Milestones!$AA$76)&gt;=$Z143),$AC143,IF(AND($Y143&lt;&gt;"",EDATE($D143,Milestones!$AA$76)&gt;=$Y143),$AB143,$AA143)))=Milestones!$AB$76),UPPER(TEXT(EDATE($D143,Milestones!$AA$76),"dd mmm yy"))&amp;" "&amp;Milestones!$AB$76&amp;" "&amp;IF(AND(Milestones!$AB$76="FT",Milestones!$AA$76=FT_Y5,EDATE($D143,Milestones!$AA$76)&lt;PolicyEff),1,Milestones!$AC$76)&amp;";  ","")&amp;IF(AND(EDATE($D143,Milestones!$AA$77)&lt;=AsOfDate,EDATE($D143,Milestones!$AA$77)&gt;=SchemeStart,IF($X143=0,$AD143,IF(AND($Z143&lt;&gt;"",EDATE($D143,Milestones!$AA$77)&gt;=$Z143),$AC143,IF(AND($Y143&lt;&gt;"",EDATE($D143,Milestones!$AA$77)&gt;=$Y143),$AB143,$AA143)))=Milestones!$AB$77),UPPER(TEXT(EDATE($D143,Milestones!$AA$77),"dd mmm yy"))&amp;" "&amp;Milestones!$AB$77&amp;" "&amp;IF(AND(Milestones!$AB$77="FT",Milestones!$AA$77=FT_Y5,EDATE($D143,Milestones!$AA$77)&lt;PolicyEff),1,Milestones!$AC$77)&amp;";  ","")&amp;IF(AND(EDATE($D143,Milestones!$AA$78)&lt;=AsOfDate,EDATE($D143,Milestones!$AA$78)&gt;=SchemeStart,IF($X143=0,$AD143,IF(AND($Z143&lt;&gt;"",EDATE($D143,Milestones!$AA$78)&gt;=$Z143),$AC143,IF(AND($Y143&lt;&gt;"",EDATE($D143,Milestones!$AA$78)&gt;=$Y143),$AB143,$AA143)))=Milestones!$AB$78),UPPER(TEXT(EDATE($D143,Milestones!$AA$78),"dd mmm yy"))&amp;" "&amp;Milestones!$AB$78&amp;" "&amp;IF(AND(Milestones!$AB$78="FT",Milestones!$AA$78=FT_Y5,EDATE($D143,Milestones!$AA$78)&lt;PolicyEff),1,Milestones!$AC$78)&amp;";  ","")&amp;IF(AND(EDATE($D143,Milestones!$AA$79)&lt;=AsOfDate,EDATE($D143,Milestones!$AA$79)&gt;=SchemeStart,IF($X143=0,$AD143,IF(AND($Z143&lt;&gt;"",EDATE($D143,Milestones!$AA$79)&gt;=$Z143),$AC143,IF(AND($Y143&lt;&gt;"",EDATE($D143,Milestones!$AA$79)&gt;=$Y143),$AB143,$AA143)))=Milestones!$AB$79),UPPER(TEXT(EDATE($D143,Milestones!$AA$79),"dd mmm yy"))&amp;" "&amp;Milestones!$AB$79&amp;" "&amp;IF(AND(Milestones!$AB$79="FT",Milestones!$AA$79=FT_Y5,EDATE($D143,Milestones!$AA$79)&lt;PolicyEff),1,Milestones!$AC$79)&amp;";  ",""))</f>
        <v/>
      </c>
      <c r="N143" s="0" t="str">
        <f aca="false">IF(OR($A143="",$D143=""),"",IF(AND(EDATE($D143,Milestones!$AA$80)&lt;=AsOfDate,EDATE($D143,Milestones!$AA$80)&gt;=SchemeStart,IF($X143=0,$AD143,IF(AND($Z143&lt;&gt;"",EDATE($D143,Milestones!$AA$80)&gt;=$Z143),$AC143,IF(AND($Y143&lt;&gt;"",EDATE($D143,Milestones!$AA$80)&gt;=$Y143),$AB143,$AA143)))=Milestones!$AB$80),UPPER(TEXT(EDATE($D143,Milestones!$AA$80),"dd mmm yy"))&amp;" "&amp;Milestones!$AB$80&amp;" "&amp;IF(AND(Milestones!$AB$80="FT",Milestones!$AA$80=FT_Y5,EDATE($D143,Milestones!$AA$80)&lt;PolicyEff),1,Milestones!$AC$80)&amp;";  ","")&amp;IF(AND(EDATE($D143,Milestones!$AA$81)&lt;=AsOfDate,EDATE($D143,Milestones!$AA$81)&gt;=SchemeStart,IF($X143=0,$AD143,IF(AND($Z143&lt;&gt;"",EDATE($D143,Milestones!$AA$81)&gt;=$Z143),$AC143,IF(AND($Y143&lt;&gt;"",EDATE($D143,Milestones!$AA$81)&gt;=$Y143),$AB143,$AA143)))=Milestones!$AB$81),UPPER(TEXT(EDATE($D143,Milestones!$AA$81),"dd mmm yy"))&amp;" "&amp;Milestones!$AB$81&amp;" "&amp;IF(AND(Milestones!$AB$81="FT",Milestones!$AA$81=FT_Y5,EDATE($D143,Milestones!$AA$81)&lt;PolicyEff),1,Milestones!$AC$81)&amp;";  ","")&amp;IF(AND(EDATE($D143,Milestones!$AA$82)&lt;=AsOfDate,EDATE($D143,Milestones!$AA$82)&gt;=SchemeStart,IF($X143=0,$AD143,IF(AND($Z143&lt;&gt;"",EDATE($D143,Milestones!$AA$82)&gt;=$Z143),$AC143,IF(AND($Y143&lt;&gt;"",EDATE($D143,Milestones!$AA$82)&gt;=$Y143),$AB143,$AA143)))=Milestones!$AB$82),UPPER(TEXT(EDATE($D143,Milestones!$AA$82),"dd mmm yy"))&amp;" "&amp;Milestones!$AB$82&amp;" "&amp;IF(AND(Milestones!$AB$82="FT",Milestones!$AA$82=FT_Y5,EDATE($D143,Milestones!$AA$82)&lt;PolicyEff),1,Milestones!$AC$82)&amp;";  ","")&amp;IF(AND(EDATE($D143,Milestones!$AA$83)&lt;=AsOfDate,EDATE($D143,Milestones!$AA$83)&gt;=SchemeStart,IF($X143=0,$AD143,IF(AND($Z143&lt;&gt;"",EDATE($D143,Milestones!$AA$83)&gt;=$Z143),$AC143,IF(AND($Y143&lt;&gt;"",EDATE($D143,Milestones!$AA$83)&gt;=$Y143),$AB143,$AA143)))=Milestones!$AB$83),UPPER(TEXT(EDATE($D143,Milestones!$AA$83),"dd mmm yy"))&amp;" "&amp;Milestones!$AB$83&amp;" "&amp;IF(AND(Milestones!$AB$83="FT",Milestones!$AA$83=FT_Y5,EDATE($D143,Milestones!$AA$83)&lt;PolicyEff),1,Milestones!$AC$83)&amp;";  ","")&amp;IF(AND(EDATE($D143,Milestones!$AA$84)&lt;=AsOfDate,EDATE($D143,Milestones!$AA$84)&gt;=SchemeStart,IF($X143=0,$AD143,IF(AND($Z143&lt;&gt;"",EDATE($D143,Milestones!$AA$84)&gt;=$Z143),$AC143,IF(AND($Y143&lt;&gt;"",EDATE($D143,Milestones!$AA$84)&gt;=$Y143),$AB143,$AA143)))=Milestones!$AB$84),UPPER(TEXT(EDATE($D143,Milestones!$AA$84),"dd mmm yy"))&amp;" "&amp;Milestones!$AB$84&amp;" "&amp;IF(AND(Milestones!$AB$84="FT",Milestones!$AA$84=FT_Y5,EDATE($D143,Milestones!$AA$84)&lt;PolicyEff),1,Milestones!$AC$84)&amp;";  ","")&amp;IF(AND(EDATE($D143,Milestones!$AA$85)&lt;=AsOfDate,EDATE($D143,Milestones!$AA$85)&gt;=SchemeStart,IF($X143=0,$AD143,IF(AND($Z143&lt;&gt;"",EDATE($D143,Milestones!$AA$85)&gt;=$Z143),$AC143,IF(AND($Y143&lt;&gt;"",EDATE($D143,Milestones!$AA$85)&gt;=$Y143),$AB143,$AA143)))=Milestones!$AB$85),UPPER(TEXT(EDATE($D143,Milestones!$AA$85),"dd mmm yy"))&amp;" "&amp;Milestones!$AB$85&amp;" "&amp;IF(AND(Milestones!$AB$85="FT",Milestones!$AA$85=FT_Y5,EDATE($D143,Milestones!$AA$85)&lt;PolicyEff),1,Milestones!$AC$85)&amp;";  ","")&amp;IF(AND(EDATE($D143,Milestones!$AA$86)&lt;=AsOfDate,EDATE($D143,Milestones!$AA$86)&gt;=SchemeStart,IF($X143=0,$AD143,IF(AND($Z143&lt;&gt;"",EDATE($D143,Milestones!$AA$86)&gt;=$Z143),$AC143,IF(AND($Y143&lt;&gt;"",EDATE($D143,Milestones!$AA$86)&gt;=$Y143),$AB143,$AA143)))=Milestones!$AB$86),UPPER(TEXT(EDATE($D143,Milestones!$AA$86),"dd mmm yy"))&amp;" "&amp;Milestones!$AB$86&amp;" "&amp;IF(AND(Milestones!$AB$86="FT",Milestones!$AA$86=FT_Y5,EDATE($D143,Milestones!$AA$86)&lt;PolicyEff),1,Milestones!$AC$86)&amp;";  ","")&amp;IF(AND(EDATE($D143,Milestones!$AA$87)&lt;=AsOfDate,EDATE($D143,Milestones!$AA$87)&gt;=SchemeStart,IF($X143=0,$AD143,IF(AND($Z143&lt;&gt;"",EDATE($D143,Milestones!$AA$87)&gt;=$Z143),$AC143,IF(AND($Y143&lt;&gt;"",EDATE($D143,Milestones!$AA$87)&gt;=$Y143),$AB143,$AA143)))=Milestones!$AB$87),UPPER(TEXT(EDATE($D143,Milestones!$AA$87),"dd mmm yy"))&amp;" "&amp;Milestones!$AB$87&amp;" "&amp;IF(AND(Milestones!$AB$87="FT",Milestones!$AA$87=FT_Y5,EDATE($D143,Milestones!$AA$87)&lt;PolicyEff),1,Milestones!$AC$87)&amp;";  ","")&amp;IF(AND(EDATE($D143,Milestones!$AA$88)&lt;=AsOfDate,EDATE($D143,Milestones!$AA$88)&gt;=SchemeStart,IF($X143=0,$AD143,IF(AND($Z143&lt;&gt;"",EDATE($D143,Milestones!$AA$88)&gt;=$Z143),$AC143,IF(AND($Y143&lt;&gt;"",EDATE($D143,Milestones!$AA$88)&gt;=$Y143),$AB143,$AA143)))=Milestones!$AB$88),UPPER(TEXT(EDATE($D143,Milestones!$AA$88),"dd mmm yy"))&amp;" "&amp;Milestones!$AB$88&amp;" "&amp;IF(AND(Milestones!$AB$88="FT",Milestones!$AA$88=FT_Y5,EDATE($D143,Milestones!$AA$88)&lt;PolicyEff),1,Milestones!$AC$88)&amp;";  ","")&amp;IF(AND(EDATE($D143,Milestones!$AA$89)&lt;=AsOfDate,EDATE($D143,Milestones!$AA$89)&gt;=SchemeStart,IF($X143=0,$AD143,IF(AND($Z143&lt;&gt;"",EDATE($D143,Milestones!$AA$89)&gt;=$Z143),$AC143,IF(AND($Y143&lt;&gt;"",EDATE($D143,Milestones!$AA$89)&gt;=$Y143),$AB143,$AA143)))=Milestones!$AB$89),UPPER(TEXT(EDATE($D143,Milestones!$AA$89),"dd mmm yy"))&amp;" "&amp;Milestones!$AB$89&amp;" "&amp;IF(AND(Milestones!$AB$89="FT",Milestones!$AA$89=FT_Y5,EDATE($D143,Milestones!$AA$89)&lt;PolicyEff),1,Milestones!$AC$89)&amp;";  ","")&amp;IF(AND(EDATE($D143,Milestones!$AA$90)&lt;=AsOfDate,EDATE($D143,Milestones!$AA$90)&gt;=SchemeStart,IF($X143=0,$AD143,IF(AND($Z143&lt;&gt;"",EDATE($D143,Milestones!$AA$90)&gt;=$Z143),$AC143,IF(AND($Y143&lt;&gt;"",EDATE($D143,Milestones!$AA$90)&gt;=$Y143),$AB143,$AA143)))=Milestones!$AB$90),UPPER(TEXT(EDATE($D143,Milestones!$AA$90),"dd mmm yy"))&amp;" "&amp;Milestones!$AB$90&amp;" "&amp;IF(AND(Milestones!$AB$90="FT",Milestones!$AA$90=FT_Y5,EDATE($D143,Milestones!$AA$90)&lt;PolicyEff),1,Milestones!$AC$90)&amp;";  ","")&amp;IF(AND(EDATE($D143,Milestones!$AA$91)&lt;=AsOfDate,EDATE($D143,Milestones!$AA$91)&gt;=SchemeStart,IF($X143=0,$AD143,IF(AND($Z143&lt;&gt;"",EDATE($D143,Milestones!$AA$91)&gt;=$Z143),$AC143,IF(AND($Y143&lt;&gt;"",EDATE($D143,Milestones!$AA$91)&gt;=$Y143),$AB143,$AA143)))=Milestones!$AB$91),UPPER(TEXT(EDATE($D143,Milestones!$AA$91),"dd mmm yy"))&amp;" "&amp;Milestones!$AB$91&amp;" "&amp;IF(AND(Milestones!$AB$91="FT",Milestones!$AA$91=FT_Y5,EDATE($D143,Milestones!$AA$91)&lt;PolicyEff),1,Milestones!$AC$91)&amp;";  ",""))</f>
        <v/>
      </c>
      <c r="O143" s="0" t="str">
        <f aca="false">IF(OR($A143="",$D143=""),"",IF(AND(EDATE($D143,Milestones!$AA$92)&lt;=AsOfDate,EDATE($D143,Milestones!$AA$92)&gt;=SchemeStart,IF($X143=0,$AD143,IF(AND($Z143&lt;&gt;"",EDATE($D143,Milestones!$AA$92)&gt;=$Z143),$AC143,IF(AND($Y143&lt;&gt;"",EDATE($D143,Milestones!$AA$92)&gt;=$Y143),$AB143,$AA143)))=Milestones!$AB$92),UPPER(TEXT(EDATE($D143,Milestones!$AA$92),"dd mmm yy"))&amp;" "&amp;Milestones!$AB$92&amp;" "&amp;IF(AND(Milestones!$AB$92="FT",Milestones!$AA$92=FT_Y5,EDATE($D143,Milestones!$AA$92)&lt;PolicyEff),1,Milestones!$AC$92)&amp;";  ","")&amp;IF(AND(EDATE($D143,Milestones!$AA$93)&lt;=AsOfDate,EDATE($D143,Milestones!$AA$93)&gt;=SchemeStart,IF($X143=0,$AD143,IF(AND($Z143&lt;&gt;"",EDATE($D143,Milestones!$AA$93)&gt;=$Z143),$AC143,IF(AND($Y143&lt;&gt;"",EDATE($D143,Milestones!$AA$93)&gt;=$Y143),$AB143,$AA143)))=Milestones!$AB$93),UPPER(TEXT(EDATE($D143,Milestones!$AA$93),"dd mmm yy"))&amp;" "&amp;Milestones!$AB$93&amp;" "&amp;IF(AND(Milestones!$AB$93="FT",Milestones!$AA$93=FT_Y5,EDATE($D143,Milestones!$AA$93)&lt;PolicyEff),1,Milestones!$AC$93)&amp;";  ","")&amp;IF(AND(EDATE($D143,Milestones!$AA$94)&lt;=AsOfDate,EDATE($D143,Milestones!$AA$94)&gt;=SchemeStart,IF($X143=0,$AD143,IF(AND($Z143&lt;&gt;"",EDATE($D143,Milestones!$AA$94)&gt;=$Z143),$AC143,IF(AND($Y143&lt;&gt;"",EDATE($D143,Milestones!$AA$94)&gt;=$Y143),$AB143,$AA143)))=Milestones!$AB$94),UPPER(TEXT(EDATE($D143,Milestones!$AA$94),"dd mmm yy"))&amp;" "&amp;Milestones!$AB$94&amp;" "&amp;IF(AND(Milestones!$AB$94="FT",Milestones!$AA$94=FT_Y5,EDATE($D143,Milestones!$AA$94)&lt;PolicyEff),1,Milestones!$AC$94)&amp;";  ","")&amp;IF(AND(EDATE($D143,Milestones!$AA$95)&lt;=AsOfDate,EDATE($D143,Milestones!$AA$95)&gt;=SchemeStart,IF($X143=0,$AD143,IF(AND($Z143&lt;&gt;"",EDATE($D143,Milestones!$AA$95)&gt;=$Z143),$AC143,IF(AND($Y143&lt;&gt;"",EDATE($D143,Milestones!$AA$95)&gt;=$Y143),$AB143,$AA143)))=Milestones!$AB$95),UPPER(TEXT(EDATE($D143,Milestones!$AA$95),"dd mmm yy"))&amp;" "&amp;Milestones!$AB$95&amp;" "&amp;IF(AND(Milestones!$AB$95="FT",Milestones!$AA$95=FT_Y5,EDATE($D143,Milestones!$AA$95)&lt;PolicyEff),1,Milestones!$AC$95)&amp;";  ","")&amp;IF(AND(EDATE($D143,Milestones!$AA$96)&lt;=AsOfDate,EDATE($D143,Milestones!$AA$96)&gt;=SchemeStart,IF($X143=0,$AD143,IF(AND($Z143&lt;&gt;"",EDATE($D143,Milestones!$AA$96)&gt;=$Z143),$AC143,IF(AND($Y143&lt;&gt;"",EDATE($D143,Milestones!$AA$96)&gt;=$Y143),$AB143,$AA143)))=Milestones!$AB$96),UPPER(TEXT(EDATE($D143,Milestones!$AA$96),"dd mmm yy"))&amp;" "&amp;Milestones!$AB$96&amp;" "&amp;IF(AND(Milestones!$AB$96="FT",Milestones!$AA$96=FT_Y5,EDATE($D143,Milestones!$AA$96)&lt;PolicyEff),1,Milestones!$AC$96)&amp;";  ","")&amp;IF(AND(EDATE($D143,Milestones!$AA$97)&lt;=AsOfDate,EDATE($D143,Milestones!$AA$97)&gt;=SchemeStart,IF($X143=0,$AD143,IF(AND($Z143&lt;&gt;"",EDATE($D143,Milestones!$AA$97)&gt;=$Z143),$AC143,IF(AND($Y143&lt;&gt;"",EDATE($D143,Milestones!$AA$97)&gt;=$Y143),$AB143,$AA143)))=Milestones!$AB$97),UPPER(TEXT(EDATE($D143,Milestones!$AA$97),"dd mmm yy"))&amp;" "&amp;Milestones!$AB$97&amp;" "&amp;IF(AND(Milestones!$AB$97="FT",Milestones!$AA$97=FT_Y5,EDATE($D143,Milestones!$AA$97)&lt;PolicyEff),1,Milestones!$AC$97)&amp;";  ","")&amp;IF(AND(EDATE($D143,Milestones!$AA$98)&lt;=AsOfDate,EDATE($D143,Milestones!$AA$98)&gt;=SchemeStart,IF($X143=0,$AD143,IF(AND($Z143&lt;&gt;"",EDATE($D143,Milestones!$AA$98)&gt;=$Z143),$AC143,IF(AND($Y143&lt;&gt;"",EDATE($D143,Milestones!$AA$98)&gt;=$Y143),$AB143,$AA143)))=Milestones!$AB$98),UPPER(TEXT(EDATE($D143,Milestones!$AA$98),"dd mmm yy"))&amp;" "&amp;Milestones!$AB$98&amp;" "&amp;IF(AND(Milestones!$AB$98="FT",Milestones!$AA$98=FT_Y5,EDATE($D143,Milestones!$AA$98)&lt;PolicyEff),1,Milestones!$AC$98)&amp;";  ","")&amp;IF(AND(EDATE($D143,Milestones!$AA$99)&lt;=AsOfDate,EDATE($D143,Milestones!$AA$99)&gt;=SchemeStart,IF($X143=0,$AD143,IF(AND($Z143&lt;&gt;"",EDATE($D143,Milestones!$AA$99)&gt;=$Z143),$AC143,IF(AND($Y143&lt;&gt;"",EDATE($D143,Milestones!$AA$99)&gt;=$Y143),$AB143,$AA143)))=Milestones!$AB$99),UPPER(TEXT(EDATE($D143,Milestones!$AA$99),"dd mmm yy"))&amp;" "&amp;Milestones!$AB$99&amp;" "&amp;IF(AND(Milestones!$AB$99="FT",Milestones!$AA$99=FT_Y5,EDATE($D143,Milestones!$AA$99)&lt;PolicyEff),1,Milestones!$AC$99)&amp;";  ","")&amp;IF(AND(EDATE($D143,Milestones!$AA$100)&lt;=AsOfDate,EDATE($D143,Milestones!$AA$100)&gt;=SchemeStart,IF($X143=0,$AD143,IF(AND($Z143&lt;&gt;"",EDATE($D143,Milestones!$AA$100)&gt;=$Z143),$AC143,IF(AND($Y143&lt;&gt;"",EDATE($D143,Milestones!$AA$100)&gt;=$Y143),$AB143,$AA143)))=Milestones!$AB$100),UPPER(TEXT(EDATE($D143,Milestones!$AA$100),"dd mmm yy"))&amp;" "&amp;Milestones!$AB$100&amp;" "&amp;IF(AND(Milestones!$AB$100="FT",Milestones!$AA$100=FT_Y5,EDATE($D143,Milestones!$AA$100)&lt;PolicyEff),1,Milestones!$AC$100)&amp;";  ","")&amp;IF(AND(EDATE($D143,Milestones!$AA$101)&lt;=AsOfDate,EDATE($D143,Milestones!$AA$101)&gt;=SchemeStart,IF($X143=0,$AD143,IF(AND($Z143&lt;&gt;"",EDATE($D143,Milestones!$AA$101)&gt;=$Z143),$AC143,IF(AND($Y143&lt;&gt;"",EDATE($D143,Milestones!$AA$101)&gt;=$Y143),$AB143,$AA143)))=Milestones!$AB$101),UPPER(TEXT(EDATE($D143,Milestones!$AA$101),"dd mmm yy"))&amp;" "&amp;Milestones!$AB$101&amp;" "&amp;IF(AND(Milestones!$AB$101="FT",Milestones!$AA$101=FT_Y5,EDATE($D143,Milestones!$AA$101)&lt;PolicyEff),1,Milestones!$AC$101)&amp;";  ","")&amp;IF(AND(EDATE($D143,Milestones!$AA$102)&lt;=AsOfDate,EDATE($D143,Milestones!$AA$102)&gt;=SchemeStart,IF($X143=0,$AD143,IF(AND($Z143&lt;&gt;"",EDATE($D143,Milestones!$AA$102)&gt;=$Z143),$AC143,IF(AND($Y143&lt;&gt;"",EDATE($D143,Milestones!$AA$102)&gt;=$Y143),$AB143,$AA143)))=Milestones!$AB$102),UPPER(TEXT(EDATE($D143,Milestones!$AA$102),"dd mmm yy"))&amp;" "&amp;Milestones!$AB$102&amp;" "&amp;IF(AND(Milestones!$AB$102="FT",Milestones!$AA$102=FT_Y5,EDATE($D143,Milestones!$AA$102)&lt;PolicyEff),1,Milestones!$AC$102)&amp;";  ","")&amp;IF(AND(EDATE($D143,Milestones!$AA$103)&lt;=AsOfDate,EDATE($D143,Milestones!$AA$103)&gt;=SchemeStart,IF($X143=0,$AD143,IF(AND($Z143&lt;&gt;"",EDATE($D143,Milestones!$AA$103)&gt;=$Z143),$AC143,IF(AND($Y143&lt;&gt;"",EDATE($D143,Milestones!$AA$103)&gt;=$Y143),$AB143,$AA143)))=Milestones!$AB$103),UPPER(TEXT(EDATE($D143,Milestones!$AA$103),"dd mmm yy"))&amp;" "&amp;Milestones!$AB$103&amp;" "&amp;IF(AND(Milestones!$AB$103="FT",Milestones!$AA$103=FT_Y5,EDATE($D143,Milestones!$AA$103)&lt;PolicyEff),1,Milestones!$AC$103)&amp;";  ",""))</f>
        <v/>
      </c>
      <c r="P143" s="0" t="str">
        <f aca="false">IF(OR($A143="",$D143=""),"",IF(AND(EDATE($D143,Milestones!$AA$104)&lt;=AsOfDate,EDATE($D143,Milestones!$AA$104)&gt;=SchemeStart,IF($X143=0,$AD143,IF(AND($Z143&lt;&gt;"",EDATE($D143,Milestones!$AA$104)&gt;=$Z143),$AC143,IF(AND($Y143&lt;&gt;"",EDATE($D143,Milestones!$AA$104)&gt;=$Y143),$AB143,$AA143)))=Milestones!$AB$104),UPPER(TEXT(EDATE($D143,Milestones!$AA$104),"dd mmm yy"))&amp;" "&amp;Milestones!$AB$104&amp;" "&amp;IF(AND(Milestones!$AB$104="FT",Milestones!$AA$104=FT_Y5,EDATE($D143,Milestones!$AA$104)&lt;PolicyEff),1,Milestones!$AC$104)&amp;";  ","")&amp;IF(AND(EDATE($D143,Milestones!$AA$105)&lt;=AsOfDate,EDATE($D143,Milestones!$AA$105)&gt;=SchemeStart,IF($X143=0,$AD143,IF(AND($Z143&lt;&gt;"",EDATE($D143,Milestones!$AA$105)&gt;=$Z143),$AC143,IF(AND($Y143&lt;&gt;"",EDATE($D143,Milestones!$AA$105)&gt;=$Y143),$AB143,$AA143)))=Milestones!$AB$105),UPPER(TEXT(EDATE($D143,Milestones!$AA$105),"dd mmm yy"))&amp;" "&amp;Milestones!$AB$105&amp;" "&amp;IF(AND(Milestones!$AB$105="FT",Milestones!$AA$105=FT_Y5,EDATE($D143,Milestones!$AA$105)&lt;PolicyEff),1,Milestones!$AC$105)&amp;";  ","")&amp;IF(AND(EDATE($D143,Milestones!$AA$106)&lt;=AsOfDate,EDATE($D143,Milestones!$AA$106)&gt;=SchemeStart,IF($X143=0,$AD143,IF(AND($Z143&lt;&gt;"",EDATE($D143,Milestones!$AA$106)&gt;=$Z143),$AC143,IF(AND($Y143&lt;&gt;"",EDATE($D143,Milestones!$AA$106)&gt;=$Y143),$AB143,$AA143)))=Milestones!$AB$106),UPPER(TEXT(EDATE($D143,Milestones!$AA$106),"dd mmm yy"))&amp;" "&amp;Milestones!$AB$106&amp;" "&amp;IF(AND(Milestones!$AB$106="FT",Milestones!$AA$106=FT_Y5,EDATE($D143,Milestones!$AA$106)&lt;PolicyEff),1,Milestones!$AC$106)&amp;";  ","")&amp;IF(AND(EDATE($D143,Milestones!$AA$107)&lt;=AsOfDate,EDATE($D143,Milestones!$AA$107)&gt;=SchemeStart,IF($X143=0,$AD143,IF(AND($Z143&lt;&gt;"",EDATE($D143,Milestones!$AA$107)&gt;=$Z143),$AC143,IF(AND($Y143&lt;&gt;"",EDATE($D143,Milestones!$AA$107)&gt;=$Y143),$AB143,$AA143)))=Milestones!$AB$107),UPPER(TEXT(EDATE($D143,Milestones!$AA$107),"dd mmm yy"))&amp;" "&amp;Milestones!$AB$107&amp;" "&amp;IF(AND(Milestones!$AB$107="FT",Milestones!$AA$107=FT_Y5,EDATE($D143,Milestones!$AA$107)&lt;PolicyEff),1,Milestones!$AC$107)&amp;";  ","")&amp;IF(AND(EDATE($D143,Milestones!$AA$108)&lt;=AsOfDate,EDATE($D143,Milestones!$AA$108)&gt;=SchemeStart,IF($X143=0,$AD143,IF(AND($Z143&lt;&gt;"",EDATE($D143,Milestones!$AA$108)&gt;=$Z143),$AC143,IF(AND($Y143&lt;&gt;"",EDATE($D143,Milestones!$AA$108)&gt;=$Y143),$AB143,$AA143)))=Milestones!$AB$108),UPPER(TEXT(EDATE($D143,Milestones!$AA$108),"dd mmm yy"))&amp;" "&amp;Milestones!$AB$108&amp;" "&amp;IF(AND(Milestones!$AB$108="FT",Milestones!$AA$108=FT_Y5,EDATE($D143,Milestones!$AA$108)&lt;PolicyEff),1,Milestones!$AC$108)&amp;";  ","")&amp;IF(AND(EDATE($D143,Milestones!$AA$109)&lt;=AsOfDate,EDATE($D143,Milestones!$AA$109)&gt;=SchemeStart,IF($X143=0,$AD143,IF(AND($Z143&lt;&gt;"",EDATE($D143,Milestones!$AA$109)&gt;=$Z143),$AC143,IF(AND($Y143&lt;&gt;"",EDATE($D143,Milestones!$AA$109)&gt;=$Y143),$AB143,$AA143)))=Milestones!$AB$109),UPPER(TEXT(EDATE($D143,Milestones!$AA$109),"dd mmm yy"))&amp;" "&amp;Milestones!$AB$109&amp;" "&amp;IF(AND(Milestones!$AB$109="FT",Milestones!$AA$109=FT_Y5,EDATE($D143,Milestones!$AA$109)&lt;PolicyEff),1,Milestones!$AC$109)&amp;";  ","")&amp;IF(AND(EDATE($D143,Milestones!$AA$110)&lt;=AsOfDate,EDATE($D143,Milestones!$AA$110)&gt;=SchemeStart,IF($X143=0,$AD143,IF(AND($Z143&lt;&gt;"",EDATE($D143,Milestones!$AA$110)&gt;=$Z143),$AC143,IF(AND($Y143&lt;&gt;"",EDATE($D143,Milestones!$AA$110)&gt;=$Y143),$AB143,$AA143)))=Milestones!$AB$110),UPPER(TEXT(EDATE($D143,Milestones!$AA$110),"dd mmm yy"))&amp;" "&amp;Milestones!$AB$110&amp;" "&amp;IF(AND(Milestones!$AB$110="FT",Milestones!$AA$110=FT_Y5,EDATE($D143,Milestones!$AA$110)&lt;PolicyEff),1,Milestones!$AC$110)&amp;";  ","")&amp;IF(AND(EDATE($D143,Milestones!$AA$111)&lt;=AsOfDate,EDATE($D143,Milestones!$AA$111)&gt;=SchemeStart,IF($X143=0,$AD143,IF(AND($Z143&lt;&gt;"",EDATE($D143,Milestones!$AA$111)&gt;=$Z143),$AC143,IF(AND($Y143&lt;&gt;"",EDATE($D143,Milestones!$AA$111)&gt;=$Y143),$AB143,$AA143)))=Milestones!$AB$111),UPPER(TEXT(EDATE($D143,Milestones!$AA$111),"dd mmm yy"))&amp;" "&amp;Milestones!$AB$111&amp;" "&amp;IF(AND(Milestones!$AB$111="FT",Milestones!$AA$111=FT_Y5,EDATE($D143,Milestones!$AA$111)&lt;PolicyEff),1,Milestones!$AC$111)&amp;";  ","")&amp;IF(AND(EDATE($D143,Milestones!$AA$112)&lt;=AsOfDate,EDATE($D143,Milestones!$AA$112)&gt;=SchemeStart,IF($X143=0,$AD143,IF(AND($Z143&lt;&gt;"",EDATE($D143,Milestones!$AA$112)&gt;=$Z143),$AC143,IF(AND($Y143&lt;&gt;"",EDATE($D143,Milestones!$AA$112)&gt;=$Y143),$AB143,$AA143)))=Milestones!$AB$112),UPPER(TEXT(EDATE($D143,Milestones!$AA$112),"dd mmm yy"))&amp;" "&amp;Milestones!$AB$112&amp;" "&amp;IF(AND(Milestones!$AB$112="FT",Milestones!$AA$112=FT_Y5,EDATE($D143,Milestones!$AA$112)&lt;PolicyEff),1,Milestones!$AC$112)&amp;";  ","")&amp;IF(AND(EDATE($D143,Milestones!$AA$113)&lt;=AsOfDate,EDATE($D143,Milestones!$AA$113)&gt;=SchemeStart,IF($X143=0,$AD143,IF(AND($Z143&lt;&gt;"",EDATE($D143,Milestones!$AA$113)&gt;=$Z143),$AC143,IF(AND($Y143&lt;&gt;"",EDATE($D143,Milestones!$AA$113)&gt;=$Y143),$AB143,$AA143)))=Milestones!$AB$113),UPPER(TEXT(EDATE($D143,Milestones!$AA$113),"dd mmm yy"))&amp;" "&amp;Milestones!$AB$113&amp;" "&amp;IF(AND(Milestones!$AB$113="FT",Milestones!$AA$113=FT_Y5,EDATE($D143,Milestones!$AA$113)&lt;PolicyEff),1,Milestones!$AC$113)&amp;";  ","")&amp;IF(AND(EDATE($D143,Milestones!$AA$114)&lt;=AsOfDate,EDATE($D143,Milestones!$AA$114)&gt;=SchemeStart,IF($X143=0,$AD143,IF(AND($Z143&lt;&gt;"",EDATE($D143,Milestones!$AA$114)&gt;=$Z143),$AC143,IF(AND($Y143&lt;&gt;"",EDATE($D143,Milestones!$AA$114)&gt;=$Y143),$AB143,$AA143)))=Milestones!$AB$114),UPPER(TEXT(EDATE($D143,Milestones!$AA$114),"dd mmm yy"))&amp;" "&amp;Milestones!$AB$114&amp;" "&amp;IF(AND(Milestones!$AB$114="FT",Milestones!$AA$114=FT_Y5,EDATE($D143,Milestones!$AA$114)&lt;PolicyEff),1,Milestones!$AC$114)&amp;";  ","")&amp;IF(AND(EDATE($D143,Milestones!$AA$115)&lt;=AsOfDate,EDATE($D143,Milestones!$AA$115)&gt;=SchemeStart,IF($X143=0,$AD143,IF(AND($Z143&lt;&gt;"",EDATE($D143,Milestones!$AA$115)&gt;=$Z143),$AC143,IF(AND($Y143&lt;&gt;"",EDATE($D143,Milestones!$AA$115)&gt;=$Y143),$AB143,$AA143)))=Milestones!$AB$115),UPPER(TEXT(EDATE($D143,Milestones!$AA$115),"dd mmm yy"))&amp;" "&amp;Milestones!$AB$115&amp;" "&amp;IF(AND(Milestones!$AB$115="FT",Milestones!$AA$115=FT_Y5,EDATE($D143,Milestones!$AA$115)&lt;PolicyEff),1,Milestones!$AC$115)&amp;";  ",""))</f>
        <v/>
      </c>
      <c r="Q143" s="0" t="str">
        <f aca="false">IF(OR($A143="",$D143=""),"",IF(AND(EDATE($D143,Milestones!$AA$116)&lt;=AsOfDate,EDATE($D143,Milestones!$AA$116)&gt;=SchemeStart,IF($X143=0,$AD143,IF(AND($Z143&lt;&gt;"",EDATE($D143,Milestones!$AA$116)&gt;=$Z143),$AC143,IF(AND($Y143&lt;&gt;"",EDATE($D143,Milestones!$AA$116)&gt;=$Y143),$AB143,$AA143)))=Milestones!$AB$116),UPPER(TEXT(EDATE($D143,Milestones!$AA$116),"dd mmm yy"))&amp;" "&amp;Milestones!$AB$116&amp;" "&amp;IF(AND(Milestones!$AB$116="FT",Milestones!$AA$116=FT_Y5,EDATE($D143,Milestones!$AA$116)&lt;PolicyEff),1,Milestones!$AC$116)&amp;";  ","")&amp;IF(AND(EDATE($D143,Milestones!$AA$117)&lt;=AsOfDate,EDATE($D143,Milestones!$AA$117)&gt;=SchemeStart,IF($X143=0,$AD143,IF(AND($Z143&lt;&gt;"",EDATE($D143,Milestones!$AA$117)&gt;=$Z143),$AC143,IF(AND($Y143&lt;&gt;"",EDATE($D143,Milestones!$AA$117)&gt;=$Y143),$AB143,$AA143)))=Milestones!$AB$117),UPPER(TEXT(EDATE($D143,Milestones!$AA$117),"dd mmm yy"))&amp;" "&amp;Milestones!$AB$117&amp;" "&amp;IF(AND(Milestones!$AB$117="FT",Milestones!$AA$117=FT_Y5,EDATE($D143,Milestones!$AA$117)&lt;PolicyEff),1,Milestones!$AC$117)&amp;";  ","")&amp;IF(AND(EDATE($D143,Milestones!$AA$118)&lt;=AsOfDate,EDATE($D143,Milestones!$AA$118)&gt;=SchemeStart,IF($X143=0,$AD143,IF(AND($Z143&lt;&gt;"",EDATE($D143,Milestones!$AA$118)&gt;=$Z143),$AC143,IF(AND($Y143&lt;&gt;"",EDATE($D143,Milestones!$AA$118)&gt;=$Y143),$AB143,$AA143)))=Milestones!$AB$118),UPPER(TEXT(EDATE($D143,Milestones!$AA$118),"dd mmm yy"))&amp;" "&amp;Milestones!$AB$118&amp;" "&amp;IF(AND(Milestones!$AB$118="FT",Milestones!$AA$118=FT_Y5,EDATE($D143,Milestones!$AA$118)&lt;PolicyEff),1,Milestones!$AC$118)&amp;";  ","")&amp;IF(AND(EDATE($D143,Milestones!$AA$119)&lt;=AsOfDate,EDATE($D143,Milestones!$AA$119)&gt;=SchemeStart,IF($X143=0,$AD143,IF(AND($Z143&lt;&gt;"",EDATE($D143,Milestones!$AA$119)&gt;=$Z143),$AC143,IF(AND($Y143&lt;&gt;"",EDATE($D143,Milestones!$AA$119)&gt;=$Y143),$AB143,$AA143)))=Milestones!$AB$119),UPPER(TEXT(EDATE($D143,Milestones!$AA$119),"dd mmm yy"))&amp;" "&amp;Milestones!$AB$119&amp;" "&amp;IF(AND(Milestones!$AB$119="FT",Milestones!$AA$119=FT_Y5,EDATE($D143,Milestones!$AA$119)&lt;PolicyEff),1,Milestones!$AC$119)&amp;";  ","")&amp;IF(AND(EDATE($D143,Milestones!$AA$120)&lt;=AsOfDate,EDATE($D143,Milestones!$AA$120)&gt;=SchemeStart,IF($X143=0,$AD143,IF(AND($Z143&lt;&gt;"",EDATE($D143,Milestones!$AA$120)&gt;=$Z143),$AC143,IF(AND($Y143&lt;&gt;"",EDATE($D143,Milestones!$AA$120)&gt;=$Y143),$AB143,$AA143)))=Milestones!$AB$120),UPPER(TEXT(EDATE($D143,Milestones!$AA$120),"dd mmm yy"))&amp;" "&amp;Milestones!$AB$120&amp;" "&amp;IF(AND(Milestones!$AB$120="FT",Milestones!$AA$120=FT_Y5,EDATE($D143,Milestones!$AA$120)&lt;PolicyEff),1,Milestones!$AC$120)&amp;";  ","")&amp;IF(AND(EDATE($D143,Milestones!$AA$121)&lt;=AsOfDate,EDATE($D143,Milestones!$AA$121)&gt;=SchemeStart,IF($X143=0,$AD143,IF(AND($Z143&lt;&gt;"",EDATE($D143,Milestones!$AA$121)&gt;=$Z143),$AC143,IF(AND($Y143&lt;&gt;"",EDATE($D143,Milestones!$AA$121)&gt;=$Y143),$AB143,$AA143)))=Milestones!$AB$121),UPPER(TEXT(EDATE($D143,Milestones!$AA$121),"dd mmm yy"))&amp;" "&amp;Milestones!$AB$121&amp;" "&amp;IF(AND(Milestones!$AB$121="FT",Milestones!$AA$121=FT_Y5,EDATE($D143,Milestones!$AA$121)&lt;PolicyEff),1,Milestones!$AC$121)&amp;";  ","")&amp;IF(AND(EDATE($D143,Milestones!$AA$122)&lt;=AsOfDate,EDATE($D143,Milestones!$AA$122)&gt;=SchemeStart,IF($X143=0,$AD143,IF(AND($Z143&lt;&gt;"",EDATE($D143,Milestones!$AA$122)&gt;=$Z143),$AC143,IF(AND($Y143&lt;&gt;"",EDATE($D143,Milestones!$AA$122)&gt;=$Y143),$AB143,$AA143)))=Milestones!$AB$122),UPPER(TEXT(EDATE($D143,Milestones!$AA$122),"dd mmm yy"))&amp;" "&amp;Milestones!$AB$122&amp;" "&amp;IF(AND(Milestones!$AB$122="FT",Milestones!$AA$122=FT_Y5,EDATE($D143,Milestones!$AA$122)&lt;PolicyEff),1,Milestones!$AC$122)&amp;";  ","")&amp;IF(AND(EDATE($D143,Milestones!$AA$123)&lt;=AsOfDate,EDATE($D143,Milestones!$AA$123)&gt;=SchemeStart,IF($X143=0,$AD143,IF(AND($Z143&lt;&gt;"",EDATE($D143,Milestones!$AA$123)&gt;=$Z143),$AC143,IF(AND($Y143&lt;&gt;"",EDATE($D143,Milestones!$AA$123)&gt;=$Y143),$AB143,$AA143)))=Milestones!$AB$123),UPPER(TEXT(EDATE($D143,Milestones!$AA$123),"dd mmm yy"))&amp;" "&amp;Milestones!$AB$123&amp;" "&amp;IF(AND(Milestones!$AB$123="FT",Milestones!$AA$123=FT_Y5,EDATE($D143,Milestones!$AA$123)&lt;PolicyEff),1,Milestones!$AC$123)&amp;";  ","")&amp;IF(AND(EDATE($D143,Milestones!$AA$124)&lt;=AsOfDate,EDATE($D143,Milestones!$AA$124)&gt;=SchemeStart,IF($X143=0,$AD143,IF(AND($Z143&lt;&gt;"",EDATE($D143,Milestones!$AA$124)&gt;=$Z143),$AC143,IF(AND($Y143&lt;&gt;"",EDATE($D143,Milestones!$AA$124)&gt;=$Y143),$AB143,$AA143)))=Milestones!$AB$124),UPPER(TEXT(EDATE($D143,Milestones!$AA$124),"dd mmm yy"))&amp;" "&amp;Milestones!$AB$124&amp;" "&amp;IF(AND(Milestones!$AB$124="FT",Milestones!$AA$124=FT_Y5,EDATE($D143,Milestones!$AA$124)&lt;PolicyEff),1,Milestones!$AC$124)&amp;";  ","")&amp;IF(AND(EDATE($D143,Milestones!$AA$125)&lt;=AsOfDate,EDATE($D143,Milestones!$AA$125)&gt;=SchemeStart,IF($X143=0,$AD143,IF(AND($Z143&lt;&gt;"",EDATE($D143,Milestones!$AA$125)&gt;=$Z143),$AC143,IF(AND($Y143&lt;&gt;"",EDATE($D143,Milestones!$AA$125)&gt;=$Y143),$AB143,$AA143)))=Milestones!$AB$125),UPPER(TEXT(EDATE($D143,Milestones!$AA$125),"dd mmm yy"))&amp;" "&amp;Milestones!$AB$125&amp;" "&amp;IF(AND(Milestones!$AB$125="FT",Milestones!$AA$125=FT_Y5,EDATE($D143,Milestones!$AA$125)&lt;PolicyEff),1,Milestones!$AC$125)&amp;";  ","")&amp;IF(AND(EDATE($D143,Milestones!$AA$126)&lt;=AsOfDate,EDATE($D143,Milestones!$AA$126)&gt;=SchemeStart,IF($X143=0,$AD143,IF(AND($Z143&lt;&gt;"",EDATE($D143,Milestones!$AA$126)&gt;=$Z143),$AC143,IF(AND($Y143&lt;&gt;"",EDATE($D143,Milestones!$AA$126)&gt;=$Y143),$AB143,$AA143)))=Milestones!$AB$126),UPPER(TEXT(EDATE($D143,Milestones!$AA$126),"dd mmm yy"))&amp;" "&amp;Milestones!$AB$126&amp;" "&amp;IF(AND(Milestones!$AB$126="FT",Milestones!$AA$126=FT_Y5,EDATE($D143,Milestones!$AA$126)&lt;PolicyEff),1,Milestones!$AC$126)&amp;";  ","")&amp;IF(AND(EDATE($D143,Milestones!$AA$127)&lt;=AsOfDate,EDATE($D143,Milestones!$AA$127)&gt;=SchemeStart,IF($X143=0,$AD143,IF(AND($Z143&lt;&gt;"",EDATE($D143,Milestones!$AA$127)&gt;=$Z143),$AC143,IF(AND($Y143&lt;&gt;"",EDATE($D143,Milestones!$AA$127)&gt;=$Y143),$AB143,$AA143)))=Milestones!$AB$127),UPPER(TEXT(EDATE($D143,Milestones!$AA$127),"dd mmm yy"))&amp;" "&amp;Milestones!$AB$127&amp;" "&amp;IF(AND(Milestones!$AB$127="FT",Milestones!$AA$127=FT_Y5,EDATE($D143,Milestones!$AA$127)&lt;PolicyEff),1,Milestones!$AC$127)&amp;";  ",""))</f>
        <v/>
      </c>
      <c r="R143" s="0" t="str">
        <f aca="false">IF(OR($A143="",$D143=""),"",IF(AND(EDATE($D143,Milestones!$AA$128)&lt;=AsOfDate,EDATE($D143,Milestones!$AA$128)&gt;=SchemeStart,IF($X143=0,$AD143,IF(AND($Z143&lt;&gt;"",EDATE($D143,Milestones!$AA$128)&gt;=$Z143),$AC143,IF(AND($Y143&lt;&gt;"",EDATE($D143,Milestones!$AA$128)&gt;=$Y143),$AB143,$AA143)))=Milestones!$AB$128),UPPER(TEXT(EDATE($D143,Milestones!$AA$128),"dd mmm yy"))&amp;" "&amp;Milestones!$AB$128&amp;" "&amp;IF(AND(Milestones!$AB$128="FT",Milestones!$AA$128=FT_Y5,EDATE($D143,Milestones!$AA$128)&lt;PolicyEff),1,Milestones!$AC$128)&amp;";  ","")&amp;IF(AND(EDATE($D143,Milestones!$AA$129)&lt;=AsOfDate,EDATE($D143,Milestones!$AA$129)&gt;=SchemeStart,IF($X143=0,$AD143,IF(AND($Z143&lt;&gt;"",EDATE($D143,Milestones!$AA$129)&gt;=$Z143),$AC143,IF(AND($Y143&lt;&gt;"",EDATE($D143,Milestones!$AA$129)&gt;=$Y143),$AB143,$AA143)))=Milestones!$AB$129),UPPER(TEXT(EDATE($D143,Milestones!$AA$129),"dd mmm yy"))&amp;" "&amp;Milestones!$AB$129&amp;" "&amp;IF(AND(Milestones!$AB$129="FT",Milestones!$AA$129=FT_Y5,EDATE($D143,Milestones!$AA$129)&lt;PolicyEff),1,Milestones!$AC$129)&amp;";  ","")&amp;IF(AND(EDATE($D143,Milestones!$AA$130)&lt;=AsOfDate,EDATE($D143,Milestones!$AA$130)&gt;=SchemeStart,IF($X143=0,$AD143,IF(AND($Z143&lt;&gt;"",EDATE($D143,Milestones!$AA$130)&gt;=$Z143),$AC143,IF(AND($Y143&lt;&gt;"",EDATE($D143,Milestones!$AA$130)&gt;=$Y143),$AB143,$AA143)))=Milestones!$AB$130),UPPER(TEXT(EDATE($D143,Milestones!$AA$130),"dd mmm yy"))&amp;" "&amp;Milestones!$AB$130&amp;" "&amp;IF(AND(Milestones!$AB$130="FT",Milestones!$AA$130=FT_Y5,EDATE($D143,Milestones!$AA$130)&lt;PolicyEff),1,Milestones!$AC$130)&amp;";  ","")&amp;IF(AND(EDATE($D143,Milestones!$AA$131)&lt;=AsOfDate,EDATE($D143,Milestones!$AA$131)&gt;=SchemeStart,IF($X143=0,$AD143,IF(AND($Z143&lt;&gt;"",EDATE($D143,Milestones!$AA$131)&gt;=$Z143),$AC143,IF(AND($Y143&lt;&gt;"",EDATE($D143,Milestones!$AA$131)&gt;=$Y143),$AB143,$AA143)))=Milestones!$AB$131),UPPER(TEXT(EDATE($D143,Milestones!$AA$131),"dd mmm yy"))&amp;" "&amp;Milestones!$AB$131&amp;" "&amp;IF(AND(Milestones!$AB$131="FT",Milestones!$AA$131=FT_Y5,EDATE($D143,Milestones!$AA$131)&lt;PolicyEff),1,Milestones!$AC$131)&amp;";  ","")&amp;IF(AND(EDATE($D143,Milestones!$AA$132)&lt;=AsOfDate,EDATE($D143,Milestones!$AA$132)&gt;=SchemeStart,IF($X143=0,$AD143,IF(AND($Z143&lt;&gt;"",EDATE($D143,Milestones!$AA$132)&gt;=$Z143),$AC143,IF(AND($Y143&lt;&gt;"",EDATE($D143,Milestones!$AA$132)&gt;=$Y143),$AB143,$AA143)))=Milestones!$AB$132),UPPER(TEXT(EDATE($D143,Milestones!$AA$132),"dd mmm yy"))&amp;" "&amp;Milestones!$AB$132&amp;" "&amp;IF(AND(Milestones!$AB$132="FT",Milestones!$AA$132=FT_Y5,EDATE($D143,Milestones!$AA$132)&lt;PolicyEff),1,Milestones!$AC$132)&amp;";  ","")&amp;IF(AND(EDATE($D143,Milestones!$AA$133)&lt;=AsOfDate,EDATE($D143,Milestones!$AA$133)&gt;=SchemeStart,IF($X143=0,$AD143,IF(AND($Z143&lt;&gt;"",EDATE($D143,Milestones!$AA$133)&gt;=$Z143),$AC143,IF(AND($Y143&lt;&gt;"",EDATE($D143,Milestones!$AA$133)&gt;=$Y143),$AB143,$AA143)))=Milestones!$AB$133),UPPER(TEXT(EDATE($D143,Milestones!$AA$133),"dd mmm yy"))&amp;" "&amp;Milestones!$AB$133&amp;" "&amp;IF(AND(Milestones!$AB$133="FT",Milestones!$AA$133=FT_Y5,EDATE($D143,Milestones!$AA$133)&lt;PolicyEff),1,Milestones!$AC$133)&amp;";  ","")&amp;IF(AND(EDATE($D143,Milestones!$AA$134)&lt;=AsOfDate,EDATE($D143,Milestones!$AA$134)&gt;=SchemeStart,IF($X143=0,$AD143,IF(AND($Z143&lt;&gt;"",EDATE($D143,Milestones!$AA$134)&gt;=$Z143),$AC143,IF(AND($Y143&lt;&gt;"",EDATE($D143,Milestones!$AA$134)&gt;=$Y143),$AB143,$AA143)))=Milestones!$AB$134),UPPER(TEXT(EDATE($D143,Milestones!$AA$134),"dd mmm yy"))&amp;" "&amp;Milestones!$AB$134&amp;" "&amp;IF(AND(Milestones!$AB$134="FT",Milestones!$AA$134=FT_Y5,EDATE($D143,Milestones!$AA$134)&lt;PolicyEff),1,Milestones!$AC$134)&amp;";  ","")&amp;IF(AND(EDATE($D143,Milestones!$AA$135)&lt;=AsOfDate,EDATE($D143,Milestones!$AA$135)&gt;=SchemeStart,IF($X143=0,$AD143,IF(AND($Z143&lt;&gt;"",EDATE($D143,Milestones!$AA$135)&gt;=$Z143),$AC143,IF(AND($Y143&lt;&gt;"",EDATE($D143,Milestones!$AA$135)&gt;=$Y143),$AB143,$AA143)))=Milestones!$AB$135),UPPER(TEXT(EDATE($D143,Milestones!$AA$135),"dd mmm yy"))&amp;" "&amp;Milestones!$AB$135&amp;" "&amp;IF(AND(Milestones!$AB$135="FT",Milestones!$AA$135=FT_Y5,EDATE($D143,Milestones!$AA$135)&lt;PolicyEff),1,Milestones!$AC$135)&amp;";  ","")&amp;IF(AND(EDATE($D143,Milestones!$AA$136)&lt;=AsOfDate,EDATE($D143,Milestones!$AA$136)&gt;=SchemeStart,IF($X143=0,$AD143,IF(AND($Z143&lt;&gt;"",EDATE($D143,Milestones!$AA$136)&gt;=$Z143),$AC143,IF(AND($Y143&lt;&gt;"",EDATE($D143,Milestones!$AA$136)&gt;=$Y143),$AB143,$AA143)))=Milestones!$AB$136),UPPER(TEXT(EDATE($D143,Milestones!$AA$136),"dd mmm yy"))&amp;" "&amp;Milestones!$AB$136&amp;" "&amp;IF(AND(Milestones!$AB$136="FT",Milestones!$AA$136=FT_Y5,EDATE($D143,Milestones!$AA$136)&lt;PolicyEff),1,Milestones!$AC$136)&amp;";  ","")&amp;IF(AND(EDATE($D143,Milestones!$AA$137)&lt;=AsOfDate,EDATE($D143,Milestones!$AA$137)&gt;=SchemeStart,IF($X143=0,$AD143,IF(AND($Z143&lt;&gt;"",EDATE($D143,Milestones!$AA$137)&gt;=$Z143),$AC143,IF(AND($Y143&lt;&gt;"",EDATE($D143,Milestones!$AA$137)&gt;=$Y143),$AB143,$AA143)))=Milestones!$AB$137),UPPER(TEXT(EDATE($D143,Milestones!$AA$137),"dd mmm yy"))&amp;" "&amp;Milestones!$AB$137&amp;" "&amp;IF(AND(Milestones!$AB$137="FT",Milestones!$AA$137=FT_Y5,EDATE($D143,Milestones!$AA$137)&lt;PolicyEff),1,Milestones!$AC$137)&amp;";  ","")&amp;IF(AND(EDATE($D143,Milestones!$AA$138)&lt;=AsOfDate,EDATE($D143,Milestones!$AA$138)&gt;=SchemeStart,IF($X143=0,$AD143,IF(AND($Z143&lt;&gt;"",EDATE($D143,Milestones!$AA$138)&gt;=$Z143),$AC143,IF(AND($Y143&lt;&gt;"",EDATE($D143,Milestones!$AA$138)&gt;=$Y143),$AB143,$AA143)))=Milestones!$AB$138),UPPER(TEXT(EDATE($D143,Milestones!$AA$138),"dd mmm yy"))&amp;" "&amp;Milestones!$AB$138&amp;" "&amp;IF(AND(Milestones!$AB$138="FT",Milestones!$AA$138=FT_Y5,EDATE($D143,Milestones!$AA$138)&lt;PolicyEff),1,Milestones!$AC$138)&amp;";  ","")&amp;IF(AND(EDATE($D143,Milestones!$AA$139)&lt;=AsOfDate,EDATE($D143,Milestones!$AA$139)&gt;=SchemeStart,IF($X143=0,$AD143,IF(AND($Z143&lt;&gt;"",EDATE($D143,Milestones!$AA$139)&gt;=$Z143),$AC143,IF(AND($Y143&lt;&gt;"",EDATE($D143,Milestones!$AA$139)&gt;=$Y143),$AB143,$AA143)))=Milestones!$AB$139),UPPER(TEXT(EDATE($D143,Milestones!$AA$139),"dd mmm yy"))&amp;" "&amp;Milestones!$AB$139&amp;" "&amp;IF(AND(Milestones!$AB$139="FT",Milestones!$AA$139=FT_Y5,EDATE($D143,Milestones!$AA$139)&lt;PolicyEff),1,Milestones!$AC$139)&amp;";  ",""))</f>
        <v/>
      </c>
      <c r="S143" s="0" t="str">
        <f aca="false">IF(OR($A143="",$D143=""),"",IF(AND(EDATE($D143,Milestones!$AA$140)&lt;=AsOfDate,EDATE($D143,Milestones!$AA$140)&gt;=SchemeStart,IF($X143=0,$AD143,IF(AND($Z143&lt;&gt;"",EDATE($D143,Milestones!$AA$140)&gt;=$Z143),$AC143,IF(AND($Y143&lt;&gt;"",EDATE($D143,Milestones!$AA$140)&gt;=$Y143),$AB143,$AA143)))=Milestones!$AB$140),UPPER(TEXT(EDATE($D143,Milestones!$AA$140),"dd mmm yy"))&amp;" "&amp;Milestones!$AB$140&amp;" "&amp;IF(AND(Milestones!$AB$140="FT",Milestones!$AA$140=FT_Y5,EDATE($D143,Milestones!$AA$140)&lt;PolicyEff),1,Milestones!$AC$140)&amp;";  ","")&amp;IF(AND(EDATE($D143,Milestones!$AA$141)&lt;=AsOfDate,EDATE($D143,Milestones!$AA$141)&gt;=SchemeStart,IF($X143=0,$AD143,IF(AND($Z143&lt;&gt;"",EDATE($D143,Milestones!$AA$141)&gt;=$Z143),$AC143,IF(AND($Y143&lt;&gt;"",EDATE($D143,Milestones!$AA$141)&gt;=$Y143),$AB143,$AA143)))=Milestones!$AB$141),UPPER(TEXT(EDATE($D143,Milestones!$AA$141),"dd mmm yy"))&amp;" "&amp;Milestones!$AB$141&amp;" "&amp;IF(AND(Milestones!$AB$141="FT",Milestones!$AA$141=FT_Y5,EDATE($D143,Milestones!$AA$141)&lt;PolicyEff),1,Milestones!$AC$141)&amp;";  ","")&amp;IF(AND(EDATE($D143,Milestones!$AA$142)&lt;=AsOfDate,EDATE($D143,Milestones!$AA$142)&gt;=SchemeStart,IF($X143=0,$AD143,IF(AND($Z143&lt;&gt;"",EDATE($D143,Milestones!$AA$142)&gt;=$Z143),$AC143,IF(AND($Y143&lt;&gt;"",EDATE($D143,Milestones!$AA$142)&gt;=$Y143),$AB143,$AA143)))=Milestones!$AB$142),UPPER(TEXT(EDATE($D143,Milestones!$AA$142),"dd mmm yy"))&amp;" "&amp;Milestones!$AB$142&amp;" "&amp;IF(AND(Milestones!$AB$142="FT",Milestones!$AA$142=FT_Y5,EDATE($D143,Milestones!$AA$142)&lt;PolicyEff),1,Milestones!$AC$142)&amp;";  ","")&amp;IF(AND(EDATE($D143,Milestones!$AA$143)&lt;=AsOfDate,EDATE($D143,Milestones!$AA$143)&gt;=SchemeStart,IF($X143=0,$AD143,IF(AND($Z143&lt;&gt;"",EDATE($D143,Milestones!$AA$143)&gt;=$Z143),$AC143,IF(AND($Y143&lt;&gt;"",EDATE($D143,Milestones!$AA$143)&gt;=$Y143),$AB143,$AA143)))=Milestones!$AB$143),UPPER(TEXT(EDATE($D143,Milestones!$AA$143),"dd mmm yy"))&amp;" "&amp;Milestones!$AB$143&amp;" "&amp;IF(AND(Milestones!$AB$143="FT",Milestones!$AA$143=FT_Y5,EDATE($D143,Milestones!$AA$143)&lt;PolicyEff),1,Milestones!$AC$143)&amp;";  ","")&amp;IF(AND(EDATE($D143,Milestones!$AA$144)&lt;=AsOfDate,EDATE($D143,Milestones!$AA$144)&gt;=SchemeStart,IF($X143=0,$AD143,IF(AND($Z143&lt;&gt;"",EDATE($D143,Milestones!$AA$144)&gt;=$Z143),$AC143,IF(AND($Y143&lt;&gt;"",EDATE($D143,Milestones!$AA$144)&gt;=$Y143),$AB143,$AA143)))=Milestones!$AB$144),UPPER(TEXT(EDATE($D143,Milestones!$AA$144),"dd mmm yy"))&amp;" "&amp;Milestones!$AB$144&amp;" "&amp;IF(AND(Milestones!$AB$144="FT",Milestones!$AA$144=FT_Y5,EDATE($D143,Milestones!$AA$144)&lt;PolicyEff),1,Milestones!$AC$144)&amp;";  ","")&amp;IF(AND(EDATE($D143,Milestones!$AA$145)&lt;=AsOfDate,EDATE($D143,Milestones!$AA$145)&gt;=SchemeStart,IF($X143=0,$AD143,IF(AND($Z143&lt;&gt;"",EDATE($D143,Milestones!$AA$145)&gt;=$Z143),$AC143,IF(AND($Y143&lt;&gt;"",EDATE($D143,Milestones!$AA$145)&gt;=$Y143),$AB143,$AA143)))=Milestones!$AB$145),UPPER(TEXT(EDATE($D143,Milestones!$AA$145),"dd mmm yy"))&amp;" "&amp;Milestones!$AB$145&amp;" "&amp;IF(AND(Milestones!$AB$145="FT",Milestones!$AA$145=FT_Y5,EDATE($D143,Milestones!$AA$145)&lt;PolicyEff),1,Milestones!$AC$145)&amp;";  ","")&amp;IF(AND(EDATE($D143,Milestones!$AA$146)&lt;=AsOfDate,EDATE($D143,Milestones!$AA$146)&gt;=SchemeStart,IF($X143=0,$AD143,IF(AND($Z143&lt;&gt;"",EDATE($D143,Milestones!$AA$146)&gt;=$Z143),$AC143,IF(AND($Y143&lt;&gt;"",EDATE($D143,Milestones!$AA$146)&gt;=$Y143),$AB143,$AA143)))=Milestones!$AB$146),UPPER(TEXT(EDATE($D143,Milestones!$AA$146),"dd mmm yy"))&amp;" "&amp;Milestones!$AB$146&amp;" "&amp;IF(AND(Milestones!$AB$146="FT",Milestones!$AA$146=FT_Y5,EDATE($D143,Milestones!$AA$146)&lt;PolicyEff),1,Milestones!$AC$146)&amp;";  ","")&amp;IF(AND(EDATE($D143,Milestones!$AA$147)&lt;=AsOfDate,EDATE($D143,Milestones!$AA$147)&gt;=SchemeStart,IF($X143=0,$AD143,IF(AND($Z143&lt;&gt;"",EDATE($D143,Milestones!$AA$147)&gt;=$Z143),$AC143,IF(AND($Y143&lt;&gt;"",EDATE($D143,Milestones!$AA$147)&gt;=$Y143),$AB143,$AA143)))=Milestones!$AB$147),UPPER(TEXT(EDATE($D143,Milestones!$AA$147),"dd mmm yy"))&amp;" "&amp;Milestones!$AB$147&amp;" "&amp;IF(AND(Milestones!$AB$147="FT",Milestones!$AA$147=FT_Y5,EDATE($D143,Milestones!$AA$147)&lt;PolicyEff),1,Milestones!$AC$147)&amp;";  ","")&amp;IF(AND(EDATE($D143,Milestones!$AA$148)&lt;=AsOfDate,EDATE($D143,Milestones!$AA$148)&gt;=SchemeStart,IF($X143=0,$AD143,IF(AND($Z143&lt;&gt;"",EDATE($D143,Milestones!$AA$148)&gt;=$Z143),$AC143,IF(AND($Y143&lt;&gt;"",EDATE($D143,Milestones!$AA$148)&gt;=$Y143),$AB143,$AA143)))=Milestones!$AB$148),UPPER(TEXT(EDATE($D143,Milestones!$AA$148),"dd mmm yy"))&amp;" "&amp;Milestones!$AB$148&amp;" "&amp;IF(AND(Milestones!$AB$148="FT",Milestones!$AA$148=FT_Y5,EDATE($D143,Milestones!$AA$148)&lt;PolicyEff),1,Milestones!$AC$148)&amp;";  ","")&amp;IF(AND(EDATE($D143,Milestones!$AA$149)&lt;=AsOfDate,EDATE($D143,Milestones!$AA$149)&gt;=SchemeStart,IF($X143=0,$AD143,IF(AND($Z143&lt;&gt;"",EDATE($D143,Milestones!$AA$149)&gt;=$Z143),$AC143,IF(AND($Y143&lt;&gt;"",EDATE($D143,Milestones!$AA$149)&gt;=$Y143),$AB143,$AA143)))=Milestones!$AB$149),UPPER(TEXT(EDATE($D143,Milestones!$AA$149),"dd mmm yy"))&amp;" "&amp;Milestones!$AB$149&amp;" "&amp;IF(AND(Milestones!$AB$149="FT",Milestones!$AA$149=FT_Y5,EDATE($D143,Milestones!$AA$149)&lt;PolicyEff),1,Milestones!$AC$149)&amp;";  ","")&amp;IF(AND(EDATE($D143,Milestones!$AA$150)&lt;=AsOfDate,EDATE($D143,Milestones!$AA$150)&gt;=SchemeStart,IF($X143=0,$AD143,IF(AND($Z143&lt;&gt;"",EDATE($D143,Milestones!$AA$150)&gt;=$Z143),$AC143,IF(AND($Y143&lt;&gt;"",EDATE($D143,Milestones!$AA$150)&gt;=$Y143),$AB143,$AA143)))=Milestones!$AB$150),UPPER(TEXT(EDATE($D143,Milestones!$AA$150),"dd mmm yy"))&amp;" "&amp;Milestones!$AB$150&amp;" "&amp;IF(AND(Milestones!$AB$150="FT",Milestones!$AA$150=FT_Y5,EDATE($D143,Milestones!$AA$150)&lt;PolicyEff),1,Milestones!$AC$150)&amp;";  ","")&amp;IF(AND(EDATE($D143,Milestones!$AA$151)&lt;=AsOfDate,EDATE($D143,Milestones!$AA$151)&gt;=SchemeStart,IF($X143=0,$AD143,IF(AND($Z143&lt;&gt;"",EDATE($D143,Milestones!$AA$151)&gt;=$Z143),$AC143,IF(AND($Y143&lt;&gt;"",EDATE($D143,Milestones!$AA$151)&gt;=$Y143),$AB143,$AA143)))=Milestones!$AB$151),UPPER(TEXT(EDATE($D143,Milestones!$AA$151),"dd mmm yy"))&amp;" "&amp;Milestones!$AB$151&amp;" "&amp;IF(AND(Milestones!$AB$151="FT",Milestones!$AA$151=FT_Y5,EDATE($D143,Milestones!$AA$151)&lt;PolicyEff),1,Milestones!$AC$151)&amp;";  ",""))</f>
        <v/>
      </c>
      <c r="T143" s="0" t="str">
        <f aca="false">IF(OR($A143="",$D143=""),"",IF(AND(EDATE($D143,Milestones!$AA$152)&lt;=AsOfDate,EDATE($D143,Milestones!$AA$152)&gt;=SchemeStart,IF($X143=0,$AD143,IF(AND($Z143&lt;&gt;"",EDATE($D143,Milestones!$AA$152)&gt;=$Z143),$AC143,IF(AND($Y143&lt;&gt;"",EDATE($D143,Milestones!$AA$152)&gt;=$Y143),$AB143,$AA143)))=Milestones!$AB$152),UPPER(TEXT(EDATE($D143,Milestones!$AA$152),"dd mmm yy"))&amp;" "&amp;Milestones!$AB$152&amp;" "&amp;IF(AND(Milestones!$AB$152="FT",Milestones!$AA$152=FT_Y5,EDATE($D143,Milestones!$AA$152)&lt;PolicyEff),1,Milestones!$AC$152)&amp;";  ","")&amp;IF(AND(EDATE($D143,Milestones!$AA$153)&lt;=AsOfDate,EDATE($D143,Milestones!$AA$153)&gt;=SchemeStart,IF($X143=0,$AD143,IF(AND($Z143&lt;&gt;"",EDATE($D143,Milestones!$AA$153)&gt;=$Z143),$AC143,IF(AND($Y143&lt;&gt;"",EDATE($D143,Milestones!$AA$153)&gt;=$Y143),$AB143,$AA143)))=Milestones!$AB$153),UPPER(TEXT(EDATE($D143,Milestones!$AA$153),"dd mmm yy"))&amp;" "&amp;Milestones!$AB$153&amp;" "&amp;IF(AND(Milestones!$AB$153="FT",Milestones!$AA$153=FT_Y5,EDATE($D143,Milestones!$AA$153)&lt;PolicyEff),1,Milestones!$AC$153)&amp;";  ","")&amp;IF(AND(EDATE($D143,Milestones!$AA$154)&lt;=AsOfDate,EDATE($D143,Milestones!$AA$154)&gt;=SchemeStart,IF($X143=0,$AD143,IF(AND($Z143&lt;&gt;"",EDATE($D143,Milestones!$AA$154)&gt;=$Z143),$AC143,IF(AND($Y143&lt;&gt;"",EDATE($D143,Milestones!$AA$154)&gt;=$Y143),$AB143,$AA143)))=Milestones!$AB$154),UPPER(TEXT(EDATE($D143,Milestones!$AA$154),"dd mmm yy"))&amp;" "&amp;Milestones!$AB$154&amp;" "&amp;IF(AND(Milestones!$AB$154="FT",Milestones!$AA$154=FT_Y5,EDATE($D143,Milestones!$AA$154)&lt;PolicyEff),1,Milestones!$AC$154)&amp;";  ","")&amp;IF(AND(EDATE($D143,Milestones!$AA$155)&lt;=AsOfDate,EDATE($D143,Milestones!$AA$155)&gt;=SchemeStart,IF($X143=0,$AD143,IF(AND($Z143&lt;&gt;"",EDATE($D143,Milestones!$AA$155)&gt;=$Z143),$AC143,IF(AND($Y143&lt;&gt;"",EDATE($D143,Milestones!$AA$155)&gt;=$Y143),$AB143,$AA143)))=Milestones!$AB$155),UPPER(TEXT(EDATE($D143,Milestones!$AA$155),"dd mmm yy"))&amp;" "&amp;Milestones!$AB$155&amp;" "&amp;IF(AND(Milestones!$AB$155="FT",Milestones!$AA$155=FT_Y5,EDATE($D143,Milestones!$AA$155)&lt;PolicyEff),1,Milestones!$AC$155)&amp;";  ","")&amp;IF(AND(EDATE($D143,Milestones!$AA$156)&lt;=AsOfDate,EDATE($D143,Milestones!$AA$156)&gt;=SchemeStart,IF($X143=0,$AD143,IF(AND($Z143&lt;&gt;"",EDATE($D143,Milestones!$AA$156)&gt;=$Z143),$AC143,IF(AND($Y143&lt;&gt;"",EDATE($D143,Milestones!$AA$156)&gt;=$Y143),$AB143,$AA143)))=Milestones!$AB$156),UPPER(TEXT(EDATE($D143,Milestones!$AA$156),"dd mmm yy"))&amp;" "&amp;Milestones!$AB$156&amp;" "&amp;IF(AND(Milestones!$AB$156="FT",Milestones!$AA$156=FT_Y5,EDATE($D143,Milestones!$AA$156)&lt;PolicyEff),1,Milestones!$AC$156)&amp;";  ","")&amp;IF(AND(EDATE($D143,Milestones!$AA$157)&lt;=AsOfDate,EDATE($D143,Milestones!$AA$157)&gt;=SchemeStart,IF($X143=0,$AD143,IF(AND($Z143&lt;&gt;"",EDATE($D143,Milestones!$AA$157)&gt;=$Z143),$AC143,IF(AND($Y143&lt;&gt;"",EDATE($D143,Milestones!$AA$157)&gt;=$Y143),$AB143,$AA143)))=Milestones!$AB$157),UPPER(TEXT(EDATE($D143,Milestones!$AA$157),"dd mmm yy"))&amp;" "&amp;Milestones!$AB$157&amp;" "&amp;IF(AND(Milestones!$AB$157="FT",Milestones!$AA$157=FT_Y5,EDATE($D143,Milestones!$AA$157)&lt;PolicyEff),1,Milestones!$AC$157)&amp;";  ","")&amp;IF(AND(EDATE($D143,Milestones!$AA$158)&lt;=AsOfDate,EDATE($D143,Milestones!$AA$158)&gt;=SchemeStart,IF($X143=0,$AD143,IF(AND($Z143&lt;&gt;"",EDATE($D143,Milestones!$AA$158)&gt;=$Z143),$AC143,IF(AND($Y143&lt;&gt;"",EDATE($D143,Milestones!$AA$158)&gt;=$Y143),$AB143,$AA143)))=Milestones!$AB$158),UPPER(TEXT(EDATE($D143,Milestones!$AA$158),"dd mmm yy"))&amp;" "&amp;Milestones!$AB$158&amp;" "&amp;IF(AND(Milestones!$AB$158="FT",Milestones!$AA$158=FT_Y5,EDATE($D143,Milestones!$AA$158)&lt;PolicyEff),1,Milestones!$AC$158)&amp;";  ","")&amp;IF(AND(EDATE($D143,Milestones!$AA$159)&lt;=AsOfDate,EDATE($D143,Milestones!$AA$159)&gt;=SchemeStart,IF($X143=0,$AD143,IF(AND($Z143&lt;&gt;"",EDATE($D143,Milestones!$AA$159)&gt;=$Z143),$AC143,IF(AND($Y143&lt;&gt;"",EDATE($D143,Milestones!$AA$159)&gt;=$Y143),$AB143,$AA143)))=Milestones!$AB$159),UPPER(TEXT(EDATE($D143,Milestones!$AA$159),"dd mmm yy"))&amp;" "&amp;Milestones!$AB$159&amp;" "&amp;IF(AND(Milestones!$AB$159="FT",Milestones!$AA$159=FT_Y5,EDATE($D143,Milestones!$AA$159)&lt;PolicyEff),1,Milestones!$AC$159)&amp;";  ","")&amp;IF(AND(EDATE($D143,Milestones!$AA$160)&lt;=AsOfDate,EDATE($D143,Milestones!$AA$160)&gt;=SchemeStart,IF($X143=0,$AD143,IF(AND($Z143&lt;&gt;"",EDATE($D143,Milestones!$AA$160)&gt;=$Z143),$AC143,IF(AND($Y143&lt;&gt;"",EDATE($D143,Milestones!$AA$160)&gt;=$Y143),$AB143,$AA143)))=Milestones!$AB$160),UPPER(TEXT(EDATE($D143,Milestones!$AA$160),"dd mmm yy"))&amp;" "&amp;Milestones!$AB$160&amp;" "&amp;IF(AND(Milestones!$AB$160="FT",Milestones!$AA$160=FT_Y5,EDATE($D143,Milestones!$AA$160)&lt;PolicyEff),1,Milestones!$AC$160)&amp;";  ","")&amp;IF(AND(EDATE($D143,Milestones!$AA$161)&lt;=AsOfDate,EDATE($D143,Milestones!$AA$161)&gt;=SchemeStart,IF($X143=0,$AD143,IF(AND($Z143&lt;&gt;"",EDATE($D143,Milestones!$AA$161)&gt;=$Z143),$AC143,IF(AND($Y143&lt;&gt;"",EDATE($D143,Milestones!$AA$161)&gt;=$Y143),$AB143,$AA143)))=Milestones!$AB$161),UPPER(TEXT(EDATE($D143,Milestones!$AA$161),"dd mmm yy"))&amp;" "&amp;Milestones!$AB$161&amp;" "&amp;IF(AND(Milestones!$AB$161="FT",Milestones!$AA$161=FT_Y5,EDATE($D143,Milestones!$AA$161)&lt;PolicyEff),1,Milestones!$AC$161)&amp;";  ","")&amp;IF(AND(EDATE($D143,Milestones!$AA$162)&lt;=AsOfDate,EDATE($D143,Milestones!$AA$162)&gt;=SchemeStart,IF($X143=0,$AD143,IF(AND($Z143&lt;&gt;"",EDATE($D143,Milestones!$AA$162)&gt;=$Z143),$AC143,IF(AND($Y143&lt;&gt;"",EDATE($D143,Milestones!$AA$162)&gt;=$Y143),$AB143,$AA143)))=Milestones!$AB$162),UPPER(TEXT(EDATE($D143,Milestones!$AA$162),"dd mmm yy"))&amp;" "&amp;Milestones!$AB$162&amp;" "&amp;IF(AND(Milestones!$AB$162="FT",Milestones!$AA$162=FT_Y5,EDATE($D143,Milestones!$AA$162)&lt;PolicyEff),1,Milestones!$AC$162)&amp;";  ","")&amp;IF(AND(EDATE($D143,Milestones!$AA$163)&lt;=AsOfDate,EDATE($D143,Milestones!$AA$163)&gt;=SchemeStart,IF($X143=0,$AD143,IF(AND($Z143&lt;&gt;"",EDATE($D143,Milestones!$AA$163)&gt;=$Z143),$AC143,IF(AND($Y143&lt;&gt;"",EDATE($D143,Milestones!$AA$163)&gt;=$Y143),$AB143,$AA143)))=Milestones!$AB$163),UPPER(TEXT(EDATE($D143,Milestones!$AA$163),"dd mmm yy"))&amp;" "&amp;Milestones!$AB$163&amp;" "&amp;IF(AND(Milestones!$AB$163="FT",Milestones!$AA$163=FT_Y5,EDATE($D143,Milestones!$AA$163)&lt;PolicyEff),1,Milestones!$AC$163)&amp;";  ",""))</f>
        <v/>
      </c>
      <c r="U143" s="0" t="str">
        <f aca="false">IF(OR($A143="",$D143=""),"",IF(AND(EDATE($D143,Milestones!$AA$164)&lt;=AsOfDate,EDATE($D143,Milestones!$AA$164)&gt;=SchemeStart,IF($X143=0,$AD143,IF(AND($Z143&lt;&gt;"",EDATE($D143,Milestones!$AA$164)&gt;=$Z143),$AC143,IF(AND($Y143&lt;&gt;"",EDATE($D143,Milestones!$AA$164)&gt;=$Y143),$AB143,$AA143)))=Milestones!$AB$164),UPPER(TEXT(EDATE($D143,Milestones!$AA$164),"dd mmm yy"))&amp;" "&amp;Milestones!$AB$164&amp;" "&amp;IF(AND(Milestones!$AB$164="FT",Milestones!$AA$164=FT_Y5,EDATE($D143,Milestones!$AA$164)&lt;PolicyEff),1,Milestones!$AC$164)&amp;";  ","")&amp;IF(AND(EDATE($D143,Milestones!$AA$165)&lt;=AsOfDate,EDATE($D143,Milestones!$AA$165)&gt;=SchemeStart,IF($X143=0,$AD143,IF(AND($Z143&lt;&gt;"",EDATE($D143,Milestones!$AA$165)&gt;=$Z143),$AC143,IF(AND($Y143&lt;&gt;"",EDATE($D143,Milestones!$AA$165)&gt;=$Y143),$AB143,$AA143)))=Milestones!$AB$165),UPPER(TEXT(EDATE($D143,Milestones!$AA$165),"dd mmm yy"))&amp;" "&amp;Milestones!$AB$165&amp;" "&amp;IF(AND(Milestones!$AB$165="FT",Milestones!$AA$165=FT_Y5,EDATE($D143,Milestones!$AA$165)&lt;PolicyEff),1,Milestones!$AC$165)&amp;";  ","")&amp;IF(AND(EDATE($D143,Milestones!$AA$166)&lt;=AsOfDate,EDATE($D143,Milestones!$AA$166)&gt;=SchemeStart,IF($X143=0,$AD143,IF(AND($Z143&lt;&gt;"",EDATE($D143,Milestones!$AA$166)&gt;=$Z143),$AC143,IF(AND($Y143&lt;&gt;"",EDATE($D143,Milestones!$AA$166)&gt;=$Y143),$AB143,$AA143)))=Milestones!$AB$166),UPPER(TEXT(EDATE($D143,Milestones!$AA$166),"dd mmm yy"))&amp;" "&amp;Milestones!$AB$166&amp;" "&amp;IF(AND(Milestones!$AB$166="FT",Milestones!$AA$166=FT_Y5,EDATE($D143,Milestones!$AA$166)&lt;PolicyEff),1,Milestones!$AC$166)&amp;";  ","")&amp;IF(AND(EDATE($D143,Milestones!$AA$167)&lt;=AsOfDate,EDATE($D143,Milestones!$AA$167)&gt;=SchemeStart,IF($X143=0,$AD143,IF(AND($Z143&lt;&gt;"",EDATE($D143,Milestones!$AA$167)&gt;=$Z143),$AC143,IF(AND($Y143&lt;&gt;"",EDATE($D143,Milestones!$AA$167)&gt;=$Y143),$AB143,$AA143)))=Milestones!$AB$167),UPPER(TEXT(EDATE($D143,Milestones!$AA$167),"dd mmm yy"))&amp;" "&amp;Milestones!$AB$167&amp;" "&amp;IF(AND(Milestones!$AB$167="FT",Milestones!$AA$167=FT_Y5,EDATE($D143,Milestones!$AA$167)&lt;PolicyEff),1,Milestones!$AC$167)&amp;";  ","")&amp;IF(AND(EDATE($D143,Milestones!$AA$168)&lt;=AsOfDate,EDATE($D143,Milestones!$AA$168)&gt;=SchemeStart,IF($X143=0,$AD143,IF(AND($Z143&lt;&gt;"",EDATE($D143,Milestones!$AA$168)&gt;=$Z143),$AC143,IF(AND($Y143&lt;&gt;"",EDATE($D143,Milestones!$AA$168)&gt;=$Y143),$AB143,$AA143)))=Milestones!$AB$168),UPPER(TEXT(EDATE($D143,Milestones!$AA$168),"dd mmm yy"))&amp;" "&amp;Milestones!$AB$168&amp;" "&amp;IF(AND(Milestones!$AB$168="FT",Milestones!$AA$168=FT_Y5,EDATE($D143,Milestones!$AA$168)&lt;PolicyEff),1,Milestones!$AC$168)&amp;";  ","")&amp;IF(AND(EDATE($D143,Milestones!$AA$169)&lt;=AsOfDate,EDATE($D143,Milestones!$AA$169)&gt;=SchemeStart,IF($X143=0,$AD143,IF(AND($Z143&lt;&gt;"",EDATE($D143,Milestones!$AA$169)&gt;=$Z143),$AC143,IF(AND($Y143&lt;&gt;"",EDATE($D143,Milestones!$AA$169)&gt;=$Y143),$AB143,$AA143)))=Milestones!$AB$169),UPPER(TEXT(EDATE($D143,Milestones!$AA$169),"dd mmm yy"))&amp;" "&amp;Milestones!$AB$169&amp;" "&amp;IF(AND(Milestones!$AB$169="FT",Milestones!$AA$169=FT_Y5,EDATE($D143,Milestones!$AA$169)&lt;PolicyEff),1,Milestones!$AC$169)&amp;";  ","")&amp;IF(AND(EDATE($D143,Milestones!$AA$170)&lt;=AsOfDate,EDATE($D143,Milestones!$AA$170)&gt;=SchemeStart,IF($X143=0,$AD143,IF(AND($Z143&lt;&gt;"",EDATE($D143,Milestones!$AA$170)&gt;=$Z143),$AC143,IF(AND($Y143&lt;&gt;"",EDATE($D143,Milestones!$AA$170)&gt;=$Y143),$AB143,$AA143)))=Milestones!$AB$170),UPPER(TEXT(EDATE($D143,Milestones!$AA$170),"dd mmm yy"))&amp;" "&amp;Milestones!$AB$170&amp;" "&amp;IF(AND(Milestones!$AB$170="FT",Milestones!$AA$170=FT_Y5,EDATE($D143,Milestones!$AA$170)&lt;PolicyEff),1,Milestones!$AC$170)&amp;";  ","")&amp;IF(AND(EDATE($D143,Milestones!$AA$171)&lt;=AsOfDate,EDATE($D143,Milestones!$AA$171)&gt;=SchemeStart,IF($X143=0,$AD143,IF(AND($Z143&lt;&gt;"",EDATE($D143,Milestones!$AA$171)&gt;=$Z143),$AC143,IF(AND($Y143&lt;&gt;"",EDATE($D143,Milestones!$AA$171)&gt;=$Y143),$AB143,$AA143)))=Milestones!$AB$171),UPPER(TEXT(EDATE($D143,Milestones!$AA$171),"dd mmm yy"))&amp;" "&amp;Milestones!$AB$171&amp;" "&amp;IF(AND(Milestones!$AB$171="FT",Milestones!$AA$171=FT_Y5,EDATE($D143,Milestones!$AA$171)&lt;PolicyEff),1,Milestones!$AC$171)&amp;";  ","")&amp;IF(AND(EDATE($D143,Milestones!$AA$172)&lt;=AsOfDate,EDATE($D143,Milestones!$AA$172)&gt;=SchemeStart,IF($X143=0,$AD143,IF(AND($Z143&lt;&gt;"",EDATE($D143,Milestones!$AA$172)&gt;=$Z143),$AC143,IF(AND($Y143&lt;&gt;"",EDATE($D143,Milestones!$AA$172)&gt;=$Y143),$AB143,$AA143)))=Milestones!$AB$172),UPPER(TEXT(EDATE($D143,Milestones!$AA$172),"dd mmm yy"))&amp;" "&amp;Milestones!$AB$172&amp;" "&amp;IF(AND(Milestones!$AB$172="FT",Milestones!$AA$172=FT_Y5,EDATE($D143,Milestones!$AA$172)&lt;PolicyEff),1,Milestones!$AC$172)&amp;";  ","")&amp;IF(AND(EDATE($D143,Milestones!$AA$173)&lt;=AsOfDate,EDATE($D143,Milestones!$AA$173)&gt;=SchemeStart,IF($X143=0,$AD143,IF(AND($Z143&lt;&gt;"",EDATE($D143,Milestones!$AA$173)&gt;=$Z143),$AC143,IF(AND($Y143&lt;&gt;"",EDATE($D143,Milestones!$AA$173)&gt;=$Y143),$AB143,$AA143)))=Milestones!$AB$173),UPPER(TEXT(EDATE($D143,Milestones!$AA$173),"dd mmm yy"))&amp;" "&amp;Milestones!$AB$173&amp;" "&amp;IF(AND(Milestones!$AB$173="FT",Milestones!$AA$173=FT_Y5,EDATE($D143,Milestones!$AA$173)&lt;PolicyEff),1,Milestones!$AC$173)&amp;";  ","")&amp;IF(AND(EDATE($D143,Milestones!$AA$174)&lt;=AsOfDate,EDATE($D143,Milestones!$AA$174)&gt;=SchemeStart,IF($X143=0,$AD143,IF(AND($Z143&lt;&gt;"",EDATE($D143,Milestones!$AA$174)&gt;=$Z143),$AC143,IF(AND($Y143&lt;&gt;"",EDATE($D143,Milestones!$AA$174)&gt;=$Y143),$AB143,$AA143)))=Milestones!$AB$174),UPPER(TEXT(EDATE($D143,Milestones!$AA$174),"dd mmm yy"))&amp;" "&amp;Milestones!$AB$174&amp;" "&amp;IF(AND(Milestones!$AB$174="FT",Milestones!$AA$174=FT_Y5,EDATE($D143,Milestones!$AA$174)&lt;PolicyEff),1,Milestones!$AC$174)&amp;";  ","")&amp;IF(AND(EDATE($D143,Milestones!$AA$175)&lt;=AsOfDate,EDATE($D143,Milestones!$AA$175)&gt;=SchemeStart,IF($X143=0,$AD143,IF(AND($Z143&lt;&gt;"",EDATE($D143,Milestones!$AA$175)&gt;=$Z143),$AC143,IF(AND($Y143&lt;&gt;"",EDATE($D143,Milestones!$AA$175)&gt;=$Y143),$AB143,$AA143)))=Milestones!$AB$175),UPPER(TEXT(EDATE($D143,Milestones!$AA$175),"dd mmm yy"))&amp;" "&amp;Milestones!$AB$175&amp;" "&amp;IF(AND(Milestones!$AB$175="FT",Milestones!$AA$175=FT_Y5,EDATE($D143,Milestones!$AA$175)&lt;PolicyEff),1,Milestones!$AC$175)&amp;";  ",""))</f>
        <v/>
      </c>
      <c r="V143" s="0" t="str">
        <f aca="false">IF(OR($A143="",$D143=""),"",IF(AND(EDATE($D143,Milestones!$AA$176)&lt;=AsOfDate,EDATE($D143,Milestones!$AA$176)&gt;=SchemeStart,IF($X143=0,$AD143,IF(AND($Z143&lt;&gt;"",EDATE($D143,Milestones!$AA$176)&gt;=$Z143),$AC143,IF(AND($Y143&lt;&gt;"",EDATE($D143,Milestones!$AA$176)&gt;=$Y143),$AB143,$AA143)))=Milestones!$AB$176),UPPER(TEXT(EDATE($D143,Milestones!$AA$176),"dd mmm yy"))&amp;" "&amp;Milestones!$AB$176&amp;" "&amp;IF(AND(Milestones!$AB$176="FT",Milestones!$AA$176=FT_Y5,EDATE($D143,Milestones!$AA$176)&lt;PolicyEff),1,Milestones!$AC$176)&amp;";  ","")&amp;IF(AND(EDATE($D143,Milestones!$AA$177)&lt;=AsOfDate,EDATE($D143,Milestones!$AA$177)&gt;=SchemeStart,IF($X143=0,$AD143,IF(AND($Z143&lt;&gt;"",EDATE($D143,Milestones!$AA$177)&gt;=$Z143),$AC143,IF(AND($Y143&lt;&gt;"",EDATE($D143,Milestones!$AA$177)&gt;=$Y143),$AB143,$AA143)))=Milestones!$AB$177),UPPER(TEXT(EDATE($D143,Milestones!$AA$177),"dd mmm yy"))&amp;" "&amp;Milestones!$AB$177&amp;" "&amp;IF(AND(Milestones!$AB$177="FT",Milestones!$AA$177=FT_Y5,EDATE($D143,Milestones!$AA$177)&lt;PolicyEff),1,Milestones!$AC$177)&amp;";  ","")&amp;IF(AND(EDATE($D143,Milestones!$AA$178)&lt;=AsOfDate,EDATE($D143,Milestones!$AA$178)&gt;=SchemeStart,IF($X143=0,$AD143,IF(AND($Z143&lt;&gt;"",EDATE($D143,Milestones!$AA$178)&gt;=$Z143),$AC143,IF(AND($Y143&lt;&gt;"",EDATE($D143,Milestones!$AA$178)&gt;=$Y143),$AB143,$AA143)))=Milestones!$AB$178),UPPER(TEXT(EDATE($D143,Milestones!$AA$178),"dd mmm yy"))&amp;" "&amp;Milestones!$AB$178&amp;" "&amp;IF(AND(Milestones!$AB$178="FT",Milestones!$AA$178=FT_Y5,EDATE($D143,Milestones!$AA$178)&lt;PolicyEff),1,Milestones!$AC$178)&amp;";  ","")&amp;IF(AND(EDATE($D143,Milestones!$AA$179)&lt;=AsOfDate,EDATE($D143,Milestones!$AA$179)&gt;=SchemeStart,IF($X143=0,$AD143,IF(AND($Z143&lt;&gt;"",EDATE($D143,Milestones!$AA$179)&gt;=$Z143),$AC143,IF(AND($Y143&lt;&gt;"",EDATE($D143,Milestones!$AA$179)&gt;=$Y143),$AB143,$AA143)))=Milestones!$AB$179),UPPER(TEXT(EDATE($D143,Milestones!$AA$179),"dd mmm yy"))&amp;" "&amp;Milestones!$AB$179&amp;" "&amp;IF(AND(Milestones!$AB$179="FT",Milestones!$AA$179=FT_Y5,EDATE($D143,Milestones!$AA$179)&lt;PolicyEff),1,Milestones!$AC$179)&amp;";  ","")&amp;IF(AND(EDATE($D143,Milestones!$AA$180)&lt;=AsOfDate,EDATE($D143,Milestones!$AA$180)&gt;=SchemeStart,IF($X143=0,$AD143,IF(AND($Z143&lt;&gt;"",EDATE($D143,Milestones!$AA$180)&gt;=$Z143),$AC143,IF(AND($Y143&lt;&gt;"",EDATE($D143,Milestones!$AA$180)&gt;=$Y143),$AB143,$AA143)))=Milestones!$AB$180),UPPER(TEXT(EDATE($D143,Milestones!$AA$180),"dd mmm yy"))&amp;" "&amp;Milestones!$AB$180&amp;" "&amp;IF(AND(Milestones!$AB$180="FT",Milestones!$AA$180=FT_Y5,EDATE($D143,Milestones!$AA$180)&lt;PolicyEff),1,Milestones!$AC$180)&amp;";  ","")&amp;IF(AND(EDATE($D143,Milestones!$AA$181)&lt;=AsOfDate,EDATE($D143,Milestones!$AA$181)&gt;=SchemeStart,IF($X143=0,$AD143,IF(AND($Z143&lt;&gt;"",EDATE($D143,Milestones!$AA$181)&gt;=$Z143),$AC143,IF(AND($Y143&lt;&gt;"",EDATE($D143,Milestones!$AA$181)&gt;=$Y143),$AB143,$AA143)))=Milestones!$AB$181),UPPER(TEXT(EDATE($D143,Milestones!$AA$181),"dd mmm yy"))&amp;" "&amp;Milestones!$AB$181&amp;" "&amp;IF(AND(Milestones!$AB$181="FT",Milestones!$AA$181=FT_Y5,EDATE($D143,Milestones!$AA$181)&lt;PolicyEff),1,Milestones!$AC$181)&amp;";  ","")&amp;IF(AND(EDATE($D143,Milestones!$AA$182)&lt;=AsOfDate,EDATE($D143,Milestones!$AA$182)&gt;=SchemeStart,IF($X143=0,$AD143,IF(AND($Z143&lt;&gt;"",EDATE($D143,Milestones!$AA$182)&gt;=$Z143),$AC143,IF(AND($Y143&lt;&gt;"",EDATE($D143,Milestones!$AA$182)&gt;=$Y143),$AB143,$AA143)))=Milestones!$AB$182),UPPER(TEXT(EDATE($D143,Milestones!$AA$182),"dd mmm yy"))&amp;" "&amp;Milestones!$AB$182&amp;" "&amp;IF(AND(Milestones!$AB$182="FT",Milestones!$AA$182=FT_Y5,EDATE($D143,Milestones!$AA$182)&lt;PolicyEff),1,Milestones!$AC$182)&amp;";  ","")&amp;IF(AND(EDATE($D143,Milestones!$AA$183)&lt;=AsOfDate,EDATE($D143,Milestones!$AA$183)&gt;=SchemeStart,IF($X143=0,$AD143,IF(AND($Z143&lt;&gt;"",EDATE($D143,Milestones!$AA$183)&gt;=$Z143),$AC143,IF(AND($Y143&lt;&gt;"",EDATE($D143,Milestones!$AA$183)&gt;=$Y143),$AB143,$AA143)))=Milestones!$AB$183),UPPER(TEXT(EDATE($D143,Milestones!$AA$183),"dd mmm yy"))&amp;" "&amp;Milestones!$AB$183&amp;" "&amp;IF(AND(Milestones!$AB$183="FT",Milestones!$AA$183=FT_Y5,EDATE($D143,Milestones!$AA$183)&lt;PolicyEff),1,Milestones!$AC$183)&amp;";  ","")&amp;IF(AND(EDATE($D143,Milestones!$AA$184)&lt;=AsOfDate,EDATE($D143,Milestones!$AA$184)&gt;=SchemeStart,IF($X143=0,$AD143,IF(AND($Z143&lt;&gt;"",EDATE($D143,Milestones!$AA$184)&gt;=$Z143),$AC143,IF(AND($Y143&lt;&gt;"",EDATE($D143,Milestones!$AA$184)&gt;=$Y143),$AB143,$AA143)))=Milestones!$AB$184),UPPER(TEXT(EDATE($D143,Milestones!$AA$184),"dd mmm yy"))&amp;" "&amp;Milestones!$AB$184&amp;" "&amp;IF(AND(Milestones!$AB$184="FT",Milestones!$AA$184=FT_Y5,EDATE($D143,Milestones!$AA$184)&lt;PolicyEff),1,Milestones!$AC$184)&amp;";  ","")&amp;IF(AND(EDATE($D143,Milestones!$AA$185)&lt;=AsOfDate,EDATE($D143,Milestones!$AA$185)&gt;=SchemeStart,IF($X143=0,$AD143,IF(AND($Z143&lt;&gt;"",EDATE($D143,Milestones!$AA$185)&gt;=$Z143),$AC143,IF(AND($Y143&lt;&gt;"",EDATE($D143,Milestones!$AA$185)&gt;=$Y143),$AB143,$AA143)))=Milestones!$AB$185),UPPER(TEXT(EDATE($D143,Milestones!$AA$185),"dd mmm yy"))&amp;" "&amp;Milestones!$AB$185&amp;" "&amp;IF(AND(Milestones!$AB$185="FT",Milestones!$AA$185=FT_Y5,EDATE($D143,Milestones!$AA$185)&lt;PolicyEff),1,Milestones!$AC$185)&amp;";  ","")&amp;IF(AND(EDATE($D143,Milestones!$AA$186)&lt;=AsOfDate,EDATE($D143,Milestones!$AA$186)&gt;=SchemeStart,IF($X143=0,$AD143,IF(AND($Z143&lt;&gt;"",EDATE($D143,Milestones!$AA$186)&gt;=$Z143),$AC143,IF(AND($Y143&lt;&gt;"",EDATE($D143,Milestones!$AA$186)&gt;=$Y143),$AB143,$AA143)))=Milestones!$AB$186),UPPER(TEXT(EDATE($D143,Milestones!$AA$186),"dd mmm yy"))&amp;" "&amp;Milestones!$AB$186&amp;" "&amp;IF(AND(Milestones!$AB$186="FT",Milestones!$AA$186=FT_Y5,EDATE($D143,Milestones!$AA$186)&lt;PolicyEff),1,Milestones!$AC$186)&amp;";  ","")&amp;IF(AND(EDATE($D143,Milestones!$AA$187)&lt;=AsOfDate,EDATE($D143,Milestones!$AA$187)&gt;=SchemeStart,IF($X143=0,$AD143,IF(AND($Z143&lt;&gt;"",EDATE($D143,Milestones!$AA$187)&gt;=$Z143),$AC143,IF(AND($Y143&lt;&gt;"",EDATE($D143,Milestones!$AA$187)&gt;=$Y143),$AB143,$AA143)))=Milestones!$AB$187),UPPER(TEXT(EDATE($D143,Milestones!$AA$187),"dd mmm yy"))&amp;" "&amp;Milestones!$AB$187&amp;" "&amp;IF(AND(Milestones!$AB$187="FT",Milestones!$AA$187=FT_Y5,EDATE($D143,Milestones!$AA$187)&lt;PolicyEff),1,Milestones!$AC$187)&amp;";  ",""))</f>
        <v/>
      </c>
      <c r="W143" s="0" t="str">
        <f aca="false">IF(OR($A143="",$D143=""),"",IF(AND(EDATE($D143,Milestones!$AA$188)&lt;=AsOfDate,EDATE($D143,Milestones!$AA$188)&gt;=SchemeStart,IF($X143=0,$AD143,IF(AND($Z143&lt;&gt;"",EDATE($D143,Milestones!$AA$188)&gt;=$Z143),$AC143,IF(AND($Y143&lt;&gt;"",EDATE($D143,Milestones!$AA$188)&gt;=$Y143),$AB143,$AA143)))=Milestones!$AB$188),UPPER(TEXT(EDATE($D143,Milestones!$AA$188),"dd mmm yy"))&amp;" "&amp;Milestones!$AB$188&amp;" "&amp;IF(AND(Milestones!$AB$188="FT",Milestones!$AA$188=FT_Y5,EDATE($D143,Milestones!$AA$188)&lt;PolicyEff),1,Milestones!$AC$188)&amp;";  ","")&amp;IF(AND(EDATE($D143,Milestones!$AA$189)&lt;=AsOfDate,EDATE($D143,Milestones!$AA$189)&gt;=SchemeStart,IF($X143=0,$AD143,IF(AND($Z143&lt;&gt;"",EDATE($D143,Milestones!$AA$189)&gt;=$Z143),$AC143,IF(AND($Y143&lt;&gt;"",EDATE($D143,Milestones!$AA$189)&gt;=$Y143),$AB143,$AA143)))=Milestones!$AB$189),UPPER(TEXT(EDATE($D143,Milestones!$AA$189),"dd mmm yy"))&amp;" "&amp;Milestones!$AB$189&amp;" "&amp;IF(AND(Milestones!$AB$189="FT",Milestones!$AA$189=FT_Y5,EDATE($D143,Milestones!$AA$189)&lt;PolicyEff),1,Milestones!$AC$189)&amp;";  ","")&amp;IF(AND(EDATE($D143,Milestones!$AA$190)&lt;=AsOfDate,EDATE($D143,Milestones!$AA$190)&gt;=SchemeStart,IF($X143=0,$AD143,IF(AND($Z143&lt;&gt;"",EDATE($D143,Milestones!$AA$190)&gt;=$Z143),$AC143,IF(AND($Y143&lt;&gt;"",EDATE($D143,Milestones!$AA$190)&gt;=$Y143),$AB143,$AA143)))=Milestones!$AB$190),UPPER(TEXT(EDATE($D143,Milestones!$AA$190),"dd mmm yy"))&amp;" "&amp;Milestones!$AB$190&amp;" "&amp;IF(AND(Milestones!$AB$190="FT",Milestones!$AA$190=FT_Y5,EDATE($D143,Milestones!$AA$190)&lt;PolicyEff),1,Milestones!$AC$190)&amp;";  ","")&amp;IF(AND(EDATE($D143,Milestones!$AA$191)&lt;=AsOfDate,EDATE($D143,Milestones!$AA$191)&gt;=SchemeStart,IF($X143=0,$AD143,IF(AND($Z143&lt;&gt;"",EDATE($D143,Milestones!$AA$191)&gt;=$Z143),$AC143,IF(AND($Y143&lt;&gt;"",EDATE($D143,Milestones!$AA$191)&gt;=$Y143),$AB143,$AA143)))=Milestones!$AB$191),UPPER(TEXT(EDATE($D143,Milestones!$AA$191),"dd mmm yy"))&amp;" "&amp;Milestones!$AB$191&amp;" "&amp;IF(AND(Milestones!$AB$191="FT",Milestones!$AA$191=FT_Y5,EDATE($D143,Milestones!$AA$191)&lt;PolicyEff),1,Milestones!$AC$191)&amp;";  ","")&amp;IF(AND(EDATE($D143,Milestones!$AA$192)&lt;=AsOfDate,EDATE($D143,Milestones!$AA$192)&gt;=SchemeStart,IF($X143=0,$AD143,IF(AND($Z143&lt;&gt;"",EDATE($D143,Milestones!$AA$192)&gt;=$Z143),$AC143,IF(AND($Y143&lt;&gt;"",EDATE($D143,Milestones!$AA$192)&gt;=$Y143),$AB143,$AA143)))=Milestones!$AB$192),UPPER(TEXT(EDATE($D143,Milestones!$AA$192),"dd mmm yy"))&amp;" "&amp;Milestones!$AB$192&amp;" "&amp;IF(AND(Milestones!$AB$192="FT",Milestones!$AA$192=FT_Y5,EDATE($D143,Milestones!$AA$192)&lt;PolicyEff),1,Milestones!$AC$192)&amp;";  ","")&amp;IF(AND(EDATE($D143,Milestones!$AA$193)&lt;=AsOfDate,EDATE($D143,Milestones!$AA$193)&gt;=SchemeStart,IF($X143=0,$AD143,IF(AND($Z143&lt;&gt;"",EDATE($D143,Milestones!$AA$193)&gt;=$Z143),$AC143,IF(AND($Y143&lt;&gt;"",EDATE($D143,Milestones!$AA$193)&gt;=$Y143),$AB143,$AA143)))=Milestones!$AB$193),UPPER(TEXT(EDATE($D143,Milestones!$AA$193),"dd mmm yy"))&amp;" "&amp;Milestones!$AB$193&amp;" "&amp;IF(AND(Milestones!$AB$193="FT",Milestones!$AA$193=FT_Y5,EDATE($D143,Milestones!$AA$193)&lt;PolicyEff),1,Milestones!$AC$193)&amp;";  ","")&amp;IF(AND(EDATE($D143,Milestones!$AA$194)&lt;=AsOfDate,EDATE($D143,Milestones!$AA$194)&gt;=SchemeStart,IF($X143=0,$AD143,IF(AND($Z143&lt;&gt;"",EDATE($D143,Milestones!$AA$194)&gt;=$Z143),$AC143,IF(AND($Y143&lt;&gt;"",EDATE($D143,Milestones!$AA$194)&gt;=$Y143),$AB143,$AA143)))=Milestones!$AB$194),UPPER(TEXT(EDATE($D143,Milestones!$AA$194),"dd mmm yy"))&amp;" "&amp;Milestones!$AB$194&amp;" "&amp;IF(AND(Milestones!$AB$194="FT",Milestones!$AA$194=FT_Y5,EDATE($D143,Milestones!$AA$194)&lt;PolicyEff),1,Milestones!$AC$194)&amp;";  ","")&amp;IF(AND(EDATE($D143,Milestones!$AA$195)&lt;=AsOfDate,EDATE($D143,Milestones!$AA$195)&gt;=SchemeStart,IF($X143=0,$AD143,IF(AND($Z143&lt;&gt;"",EDATE($D143,Milestones!$AA$195)&gt;=$Z143),$AC143,IF(AND($Y143&lt;&gt;"",EDATE($D143,Milestones!$AA$195)&gt;=$Y143),$AB143,$AA143)))=Milestones!$AB$195),UPPER(TEXT(EDATE($D143,Milestones!$AA$195),"dd mmm yy"))&amp;" "&amp;Milestones!$AB$195&amp;" "&amp;IF(AND(Milestones!$AB$195="FT",Milestones!$AA$195=FT_Y5,EDATE($D143,Milestones!$AA$195)&lt;PolicyEff),1,Milestones!$AC$195)&amp;";  ","")&amp;IF(AND(EDATE($D143,Milestones!$AA$196)&lt;=AsOfDate,EDATE($D143,Milestones!$AA$196)&gt;=SchemeStart,IF($X143=0,$AD143,IF(AND($Z143&lt;&gt;"",EDATE($D143,Milestones!$AA$196)&gt;=$Z143),$AC143,IF(AND($Y143&lt;&gt;"",EDATE($D143,Milestones!$AA$196)&gt;=$Y143),$AB143,$AA143)))=Milestones!$AB$196),UPPER(TEXT(EDATE($D143,Milestones!$AA$196),"dd mmm yy"))&amp;" "&amp;Milestones!$AB$196&amp;" "&amp;IF(AND(Milestones!$AB$196="FT",Milestones!$AA$196=FT_Y5,EDATE($D143,Milestones!$AA$196)&lt;PolicyEff),1,Milestones!$AC$196)&amp;";  ","")&amp;IF(AND(EDATE($D143,Milestones!$AA$197)&lt;=AsOfDate,EDATE($D143,Milestones!$AA$197)&gt;=SchemeStart,IF($X143=0,$AD143,IF(AND($Z143&lt;&gt;"",EDATE($D143,Milestones!$AA$197)&gt;=$Z143),$AC143,IF(AND($Y143&lt;&gt;"",EDATE($D143,Milestones!$AA$197)&gt;=$Y143),$AB143,$AA143)))=Milestones!$AB$197),UPPER(TEXT(EDATE($D143,Milestones!$AA$197),"dd mmm yy"))&amp;" "&amp;Milestones!$AB$197&amp;" "&amp;IF(AND(Milestones!$AB$197="FT",Milestones!$AA$197=FT_Y5,EDATE($D143,Milestones!$AA$197)&lt;PolicyEff),1,Milestones!$AC$197)&amp;";  ","")&amp;IF(AND(EDATE($D143,Milestones!$AA$198)&lt;=AsOfDate,EDATE($D143,Milestones!$AA$198)&gt;=SchemeStart,IF($X143=0,$AD143,IF(AND($Z143&lt;&gt;"",EDATE($D143,Milestones!$AA$198)&gt;=$Z143),$AC143,IF(AND($Y143&lt;&gt;"",EDATE($D143,Milestones!$AA$198)&gt;=$Y143),$AB143,$AA143)))=Milestones!$AB$198),UPPER(TEXT(EDATE($D143,Milestones!$AA$198),"dd mmm yy"))&amp;" "&amp;Milestones!$AB$198&amp;" "&amp;IF(AND(Milestones!$AB$198="FT",Milestones!$AA$198=FT_Y5,EDATE($D143,Milestones!$AA$198)&lt;PolicyEff),1,Milestones!$AC$198)&amp;";  ","")&amp;IF(AND(EDATE($D143,Milestones!$AA$199)&lt;=AsOfDate,EDATE($D143,Milestones!$AA$199)&gt;=SchemeStart,IF($X143=0,$AD143,IF(AND($Z143&lt;&gt;"",EDATE($D143,Milestones!$AA$199)&gt;=$Z143),$AC143,IF(AND($Y143&lt;&gt;"",EDATE($D143,Milestones!$AA$199)&gt;=$Y143),$AB143,$AA143)))=Milestones!$AB$199),UPPER(TEXT(EDATE($D143,Milestones!$AA$199),"dd mmm yy"))&amp;" "&amp;Milestones!$AB$199&amp;" "&amp;IF(AND(Milestones!$AB$199="FT",Milestones!$AA$199=FT_Y5,EDATE($D143,Milestones!$AA$199)&lt;PolicyEff),1,Milestones!$AC$199)&amp;";  ",""))</f>
        <v/>
      </c>
      <c r="X143" s="0" t="str">
        <f aca="false">IF(Staff!$A143="","",Staff!$AM143)</f>
        <v/>
      </c>
      <c r="Y143" s="0" t="str">
        <f aca="false">IF(Staff!$A143="","",Staff!$AO143)</f>
        <v/>
      </c>
      <c r="Z143" s="0" t="str">
        <f aca="false">IF(Staff!$A143="","",Staff!$AP143)</f>
        <v/>
      </c>
      <c r="AA143" s="0" t="str">
        <f aca="false">IF(Staff!$A143="","",Staff!$AT143)</f>
        <v/>
      </c>
      <c r="AB143" s="0" t="str">
        <f aca="false">IF(Staff!$A143="","",Staff!$AU143)</f>
        <v/>
      </c>
      <c r="AC143" s="0" t="str">
        <f aca="false">IF(Staff!$A143="","",Staff!$AV143)</f>
        <v/>
      </c>
      <c r="AD143" s="0" t="str">
        <f aca="false">IF(Staff!$A143="","",Staff!$AW143)</f>
        <v/>
      </c>
    </row>
    <row r="144" customFormat="false" ht="15" hidden="false" customHeight="false" outlineLevel="0" collapsed="false">
      <c r="A144" s="16" t="str">
        <f aca="false">IF(Staff!$A144="","",Staff!$A144)</f>
        <v/>
      </c>
      <c r="B144" s="16" t="str">
        <f aca="false">IF(Staff!$A144="","",Staff!$B144)</f>
        <v/>
      </c>
      <c r="C144" s="16" t="str">
        <f aca="false">IF(Staff!$A144="","",Staff!$C144)</f>
        <v/>
      </c>
      <c r="D144" s="14" t="str">
        <f aca="false">IF(Staff!$A144="","",Staff!$AL144)</f>
        <v/>
      </c>
      <c r="E144" s="16" t="str">
        <f aca="false">IF(Staff!$A144="","",Staff!$O144)</f>
        <v/>
      </c>
      <c r="F144" s="16" t="str">
        <f aca="false">IF(E144="","",E144*HoursPerDay)</f>
        <v/>
      </c>
      <c r="G144" s="16" t="str">
        <f aca="false">IF(Staff!$A144="","",Staff!$AE144)</f>
        <v/>
      </c>
      <c r="H144" s="28" t="str">
        <f aca="false">IF($A144="","",I144&amp;J144&amp;K144&amp;L144&amp;M144&amp;N144&amp;O144&amp;P144&amp;Q144&amp;R144&amp;S144&amp;T144&amp;U144&amp;V144&amp;W144)</f>
        <v/>
      </c>
      <c r="I144" s="0" t="str">
        <f aca="false">IF(OR($A144="",$D144=""),"",IF(AND(EDATE($D144,Milestones!$AA$20)&lt;=AsOfDate,EDATE($D144,Milestones!$AA$20)&gt;=SchemeStart,IF($X144=0,$AD144,IF(AND($Z144&lt;&gt;"",EDATE($D144,Milestones!$AA$20)&gt;=$Z144),$AC144,IF(AND($Y144&lt;&gt;"",EDATE($D144,Milestones!$AA$20)&gt;=$Y144),$AB144,$AA144)))=Milestones!$AB$20),UPPER(TEXT(EDATE($D144,Milestones!$AA$20),"dd mmm yy"))&amp;" "&amp;Milestones!$AB$20&amp;" "&amp;IF(AND(Milestones!$AB$20="FT",Milestones!$AA$20=FT_Y5,EDATE($D144,Milestones!$AA$20)&lt;PolicyEff),1,Milestones!$AC$20)&amp;";  ","")&amp;IF(AND(EDATE($D144,Milestones!$AA$21)&lt;=AsOfDate,EDATE($D144,Milestones!$AA$21)&gt;=SchemeStart,IF($X144=0,$AD144,IF(AND($Z144&lt;&gt;"",EDATE($D144,Milestones!$AA$21)&gt;=$Z144),$AC144,IF(AND($Y144&lt;&gt;"",EDATE($D144,Milestones!$AA$21)&gt;=$Y144),$AB144,$AA144)))=Milestones!$AB$21),UPPER(TEXT(EDATE($D144,Milestones!$AA$21),"dd mmm yy"))&amp;" "&amp;Milestones!$AB$21&amp;" "&amp;IF(AND(Milestones!$AB$21="FT",Milestones!$AA$21=FT_Y5,EDATE($D144,Milestones!$AA$21)&lt;PolicyEff),1,Milestones!$AC$21)&amp;";  ","")&amp;IF(AND(EDATE($D144,Milestones!$AA$22)&lt;=AsOfDate,EDATE($D144,Milestones!$AA$22)&gt;=SchemeStart,IF($X144=0,$AD144,IF(AND($Z144&lt;&gt;"",EDATE($D144,Milestones!$AA$22)&gt;=$Z144),$AC144,IF(AND($Y144&lt;&gt;"",EDATE($D144,Milestones!$AA$22)&gt;=$Y144),$AB144,$AA144)))=Milestones!$AB$22),UPPER(TEXT(EDATE($D144,Milestones!$AA$22),"dd mmm yy"))&amp;" "&amp;Milestones!$AB$22&amp;" "&amp;IF(AND(Milestones!$AB$22="FT",Milestones!$AA$22=FT_Y5,EDATE($D144,Milestones!$AA$22)&lt;PolicyEff),1,Milestones!$AC$22)&amp;";  ","")&amp;IF(AND(EDATE($D144,Milestones!$AA$23)&lt;=AsOfDate,EDATE($D144,Milestones!$AA$23)&gt;=SchemeStart,IF($X144=0,$AD144,IF(AND($Z144&lt;&gt;"",EDATE($D144,Milestones!$AA$23)&gt;=$Z144),$AC144,IF(AND($Y144&lt;&gt;"",EDATE($D144,Milestones!$AA$23)&gt;=$Y144),$AB144,$AA144)))=Milestones!$AB$23),UPPER(TEXT(EDATE($D144,Milestones!$AA$23),"dd mmm yy"))&amp;" "&amp;Milestones!$AB$23&amp;" "&amp;IF(AND(Milestones!$AB$23="FT",Milestones!$AA$23=FT_Y5,EDATE($D144,Milestones!$AA$23)&lt;PolicyEff),1,Milestones!$AC$23)&amp;";  ","")&amp;IF(AND(EDATE($D144,Milestones!$AA$24)&lt;=AsOfDate,EDATE($D144,Milestones!$AA$24)&gt;=SchemeStart,IF($X144=0,$AD144,IF(AND($Z144&lt;&gt;"",EDATE($D144,Milestones!$AA$24)&gt;=$Z144),$AC144,IF(AND($Y144&lt;&gt;"",EDATE($D144,Milestones!$AA$24)&gt;=$Y144),$AB144,$AA144)))=Milestones!$AB$24),UPPER(TEXT(EDATE($D144,Milestones!$AA$24),"dd mmm yy"))&amp;" "&amp;Milestones!$AB$24&amp;" "&amp;IF(AND(Milestones!$AB$24="FT",Milestones!$AA$24=FT_Y5,EDATE($D144,Milestones!$AA$24)&lt;PolicyEff),1,Milestones!$AC$24)&amp;";  ","")&amp;IF(AND(EDATE($D144,Milestones!$AA$25)&lt;=AsOfDate,EDATE($D144,Milestones!$AA$25)&gt;=SchemeStart,IF($X144=0,$AD144,IF(AND($Z144&lt;&gt;"",EDATE($D144,Milestones!$AA$25)&gt;=$Z144),$AC144,IF(AND($Y144&lt;&gt;"",EDATE($D144,Milestones!$AA$25)&gt;=$Y144),$AB144,$AA144)))=Milestones!$AB$25),UPPER(TEXT(EDATE($D144,Milestones!$AA$25),"dd mmm yy"))&amp;" "&amp;Milestones!$AB$25&amp;" "&amp;IF(AND(Milestones!$AB$25="FT",Milestones!$AA$25=FT_Y5,EDATE($D144,Milestones!$AA$25)&lt;PolicyEff),1,Milestones!$AC$25)&amp;";  ","")&amp;IF(AND(EDATE($D144,Milestones!$AA$26)&lt;=AsOfDate,EDATE($D144,Milestones!$AA$26)&gt;=SchemeStart,IF($X144=0,$AD144,IF(AND($Z144&lt;&gt;"",EDATE($D144,Milestones!$AA$26)&gt;=$Z144),$AC144,IF(AND($Y144&lt;&gt;"",EDATE($D144,Milestones!$AA$26)&gt;=$Y144),$AB144,$AA144)))=Milestones!$AB$26),UPPER(TEXT(EDATE($D144,Milestones!$AA$26),"dd mmm yy"))&amp;" "&amp;Milestones!$AB$26&amp;" "&amp;IF(AND(Milestones!$AB$26="FT",Milestones!$AA$26=FT_Y5,EDATE($D144,Milestones!$AA$26)&lt;PolicyEff),1,Milestones!$AC$26)&amp;";  ","")&amp;IF(AND(EDATE($D144,Milestones!$AA$27)&lt;=AsOfDate,EDATE($D144,Milestones!$AA$27)&gt;=SchemeStart,IF($X144=0,$AD144,IF(AND($Z144&lt;&gt;"",EDATE($D144,Milestones!$AA$27)&gt;=$Z144),$AC144,IF(AND($Y144&lt;&gt;"",EDATE($D144,Milestones!$AA$27)&gt;=$Y144),$AB144,$AA144)))=Milestones!$AB$27),UPPER(TEXT(EDATE($D144,Milestones!$AA$27),"dd mmm yy"))&amp;" "&amp;Milestones!$AB$27&amp;" "&amp;IF(AND(Milestones!$AB$27="FT",Milestones!$AA$27=FT_Y5,EDATE($D144,Milestones!$AA$27)&lt;PolicyEff),1,Milestones!$AC$27)&amp;";  ","")&amp;IF(AND(EDATE($D144,Milestones!$AA$28)&lt;=AsOfDate,EDATE($D144,Milestones!$AA$28)&gt;=SchemeStart,IF($X144=0,$AD144,IF(AND($Z144&lt;&gt;"",EDATE($D144,Milestones!$AA$28)&gt;=$Z144),$AC144,IF(AND($Y144&lt;&gt;"",EDATE($D144,Milestones!$AA$28)&gt;=$Y144),$AB144,$AA144)))=Milestones!$AB$28),UPPER(TEXT(EDATE($D144,Milestones!$AA$28),"dd mmm yy"))&amp;" "&amp;Milestones!$AB$28&amp;" "&amp;IF(AND(Milestones!$AB$28="FT",Milestones!$AA$28=FT_Y5,EDATE($D144,Milestones!$AA$28)&lt;PolicyEff),1,Milestones!$AC$28)&amp;";  ","")&amp;IF(AND(EDATE($D144,Milestones!$AA$29)&lt;=AsOfDate,EDATE($D144,Milestones!$AA$29)&gt;=SchemeStart,IF($X144=0,$AD144,IF(AND($Z144&lt;&gt;"",EDATE($D144,Milestones!$AA$29)&gt;=$Z144),$AC144,IF(AND($Y144&lt;&gt;"",EDATE($D144,Milestones!$AA$29)&gt;=$Y144),$AB144,$AA144)))=Milestones!$AB$29),UPPER(TEXT(EDATE($D144,Milestones!$AA$29),"dd mmm yy"))&amp;" "&amp;Milestones!$AB$29&amp;" "&amp;IF(AND(Milestones!$AB$29="FT",Milestones!$AA$29=FT_Y5,EDATE($D144,Milestones!$AA$29)&lt;PolicyEff),1,Milestones!$AC$29)&amp;";  ","")&amp;IF(AND(EDATE($D144,Milestones!$AA$30)&lt;=AsOfDate,EDATE($D144,Milestones!$AA$30)&gt;=SchemeStart,IF($X144=0,$AD144,IF(AND($Z144&lt;&gt;"",EDATE($D144,Milestones!$AA$30)&gt;=$Z144),$AC144,IF(AND($Y144&lt;&gt;"",EDATE($D144,Milestones!$AA$30)&gt;=$Y144),$AB144,$AA144)))=Milestones!$AB$30),UPPER(TEXT(EDATE($D144,Milestones!$AA$30),"dd mmm yy"))&amp;" "&amp;Milestones!$AB$30&amp;" "&amp;IF(AND(Milestones!$AB$30="FT",Milestones!$AA$30=FT_Y5,EDATE($D144,Milestones!$AA$30)&lt;PolicyEff),1,Milestones!$AC$30)&amp;";  ","")&amp;IF(AND(EDATE($D144,Milestones!$AA$31)&lt;=AsOfDate,EDATE($D144,Milestones!$AA$31)&gt;=SchemeStart,IF($X144=0,$AD144,IF(AND($Z144&lt;&gt;"",EDATE($D144,Milestones!$AA$31)&gt;=$Z144),$AC144,IF(AND($Y144&lt;&gt;"",EDATE($D144,Milestones!$AA$31)&gt;=$Y144),$AB144,$AA144)))=Milestones!$AB$31),UPPER(TEXT(EDATE($D144,Milestones!$AA$31),"dd mmm yy"))&amp;" "&amp;Milestones!$AB$31&amp;" "&amp;IF(AND(Milestones!$AB$31="FT",Milestones!$AA$31=FT_Y5,EDATE($D144,Milestones!$AA$31)&lt;PolicyEff),1,Milestones!$AC$31)&amp;";  ",""))</f>
        <v/>
      </c>
      <c r="J144" s="0" t="str">
        <f aca="false">IF(OR($A144="",$D144=""),"",IF(AND(EDATE($D144,Milestones!$AA$32)&lt;=AsOfDate,EDATE($D144,Milestones!$AA$32)&gt;=SchemeStart,IF($X144=0,$AD144,IF(AND($Z144&lt;&gt;"",EDATE($D144,Milestones!$AA$32)&gt;=$Z144),$AC144,IF(AND($Y144&lt;&gt;"",EDATE($D144,Milestones!$AA$32)&gt;=$Y144),$AB144,$AA144)))=Milestones!$AB$32),UPPER(TEXT(EDATE($D144,Milestones!$AA$32),"dd mmm yy"))&amp;" "&amp;Milestones!$AB$32&amp;" "&amp;IF(AND(Milestones!$AB$32="FT",Milestones!$AA$32=FT_Y5,EDATE($D144,Milestones!$AA$32)&lt;PolicyEff),1,Milestones!$AC$32)&amp;";  ","")&amp;IF(AND(EDATE($D144,Milestones!$AA$33)&lt;=AsOfDate,EDATE($D144,Milestones!$AA$33)&gt;=SchemeStart,IF($X144=0,$AD144,IF(AND($Z144&lt;&gt;"",EDATE($D144,Milestones!$AA$33)&gt;=$Z144),$AC144,IF(AND($Y144&lt;&gt;"",EDATE($D144,Milestones!$AA$33)&gt;=$Y144),$AB144,$AA144)))=Milestones!$AB$33),UPPER(TEXT(EDATE($D144,Milestones!$AA$33),"dd mmm yy"))&amp;" "&amp;Milestones!$AB$33&amp;" "&amp;IF(AND(Milestones!$AB$33="FT",Milestones!$AA$33=FT_Y5,EDATE($D144,Milestones!$AA$33)&lt;PolicyEff),1,Milestones!$AC$33)&amp;";  ","")&amp;IF(AND(EDATE($D144,Milestones!$AA$34)&lt;=AsOfDate,EDATE($D144,Milestones!$AA$34)&gt;=SchemeStart,IF($X144=0,$AD144,IF(AND($Z144&lt;&gt;"",EDATE($D144,Milestones!$AA$34)&gt;=$Z144),$AC144,IF(AND($Y144&lt;&gt;"",EDATE($D144,Milestones!$AA$34)&gt;=$Y144),$AB144,$AA144)))=Milestones!$AB$34),UPPER(TEXT(EDATE($D144,Milestones!$AA$34),"dd mmm yy"))&amp;" "&amp;Milestones!$AB$34&amp;" "&amp;IF(AND(Milestones!$AB$34="FT",Milestones!$AA$34=FT_Y5,EDATE($D144,Milestones!$AA$34)&lt;PolicyEff),1,Milestones!$AC$34)&amp;";  ","")&amp;IF(AND(EDATE($D144,Milestones!$AA$35)&lt;=AsOfDate,EDATE($D144,Milestones!$AA$35)&gt;=SchemeStart,IF($X144=0,$AD144,IF(AND($Z144&lt;&gt;"",EDATE($D144,Milestones!$AA$35)&gt;=$Z144),$AC144,IF(AND($Y144&lt;&gt;"",EDATE($D144,Milestones!$AA$35)&gt;=$Y144),$AB144,$AA144)))=Milestones!$AB$35),UPPER(TEXT(EDATE($D144,Milestones!$AA$35),"dd mmm yy"))&amp;" "&amp;Milestones!$AB$35&amp;" "&amp;IF(AND(Milestones!$AB$35="FT",Milestones!$AA$35=FT_Y5,EDATE($D144,Milestones!$AA$35)&lt;PolicyEff),1,Milestones!$AC$35)&amp;";  ","")&amp;IF(AND(EDATE($D144,Milestones!$AA$36)&lt;=AsOfDate,EDATE($D144,Milestones!$AA$36)&gt;=SchemeStart,IF($X144=0,$AD144,IF(AND($Z144&lt;&gt;"",EDATE($D144,Milestones!$AA$36)&gt;=$Z144),$AC144,IF(AND($Y144&lt;&gt;"",EDATE($D144,Milestones!$AA$36)&gt;=$Y144),$AB144,$AA144)))=Milestones!$AB$36),UPPER(TEXT(EDATE($D144,Milestones!$AA$36),"dd mmm yy"))&amp;" "&amp;Milestones!$AB$36&amp;" "&amp;IF(AND(Milestones!$AB$36="FT",Milestones!$AA$36=FT_Y5,EDATE($D144,Milestones!$AA$36)&lt;PolicyEff),1,Milestones!$AC$36)&amp;";  ","")&amp;IF(AND(EDATE($D144,Milestones!$AA$37)&lt;=AsOfDate,EDATE($D144,Milestones!$AA$37)&gt;=SchemeStart,IF($X144=0,$AD144,IF(AND($Z144&lt;&gt;"",EDATE($D144,Milestones!$AA$37)&gt;=$Z144),$AC144,IF(AND($Y144&lt;&gt;"",EDATE($D144,Milestones!$AA$37)&gt;=$Y144),$AB144,$AA144)))=Milestones!$AB$37),UPPER(TEXT(EDATE($D144,Milestones!$AA$37),"dd mmm yy"))&amp;" "&amp;Milestones!$AB$37&amp;" "&amp;IF(AND(Milestones!$AB$37="FT",Milestones!$AA$37=FT_Y5,EDATE($D144,Milestones!$AA$37)&lt;PolicyEff),1,Milestones!$AC$37)&amp;";  ","")&amp;IF(AND(EDATE($D144,Milestones!$AA$38)&lt;=AsOfDate,EDATE($D144,Milestones!$AA$38)&gt;=SchemeStart,IF($X144=0,$AD144,IF(AND($Z144&lt;&gt;"",EDATE($D144,Milestones!$AA$38)&gt;=$Z144),$AC144,IF(AND($Y144&lt;&gt;"",EDATE($D144,Milestones!$AA$38)&gt;=$Y144),$AB144,$AA144)))=Milestones!$AB$38),UPPER(TEXT(EDATE($D144,Milestones!$AA$38),"dd mmm yy"))&amp;" "&amp;Milestones!$AB$38&amp;" "&amp;IF(AND(Milestones!$AB$38="FT",Milestones!$AA$38=FT_Y5,EDATE($D144,Milestones!$AA$38)&lt;PolicyEff),1,Milestones!$AC$38)&amp;";  ","")&amp;IF(AND(EDATE($D144,Milestones!$AA$39)&lt;=AsOfDate,EDATE($D144,Milestones!$AA$39)&gt;=SchemeStart,IF($X144=0,$AD144,IF(AND($Z144&lt;&gt;"",EDATE($D144,Milestones!$AA$39)&gt;=$Z144),$AC144,IF(AND($Y144&lt;&gt;"",EDATE($D144,Milestones!$AA$39)&gt;=$Y144),$AB144,$AA144)))=Milestones!$AB$39),UPPER(TEXT(EDATE($D144,Milestones!$AA$39),"dd mmm yy"))&amp;" "&amp;Milestones!$AB$39&amp;" "&amp;IF(AND(Milestones!$AB$39="FT",Milestones!$AA$39=FT_Y5,EDATE($D144,Milestones!$AA$39)&lt;PolicyEff),1,Milestones!$AC$39)&amp;";  ","")&amp;IF(AND(EDATE($D144,Milestones!$AA$40)&lt;=AsOfDate,EDATE($D144,Milestones!$AA$40)&gt;=SchemeStart,IF($X144=0,$AD144,IF(AND($Z144&lt;&gt;"",EDATE($D144,Milestones!$AA$40)&gt;=$Z144),$AC144,IF(AND($Y144&lt;&gt;"",EDATE($D144,Milestones!$AA$40)&gt;=$Y144),$AB144,$AA144)))=Milestones!$AB$40),UPPER(TEXT(EDATE($D144,Milestones!$AA$40),"dd mmm yy"))&amp;" "&amp;Milestones!$AB$40&amp;" "&amp;IF(AND(Milestones!$AB$40="FT",Milestones!$AA$40=FT_Y5,EDATE($D144,Milestones!$AA$40)&lt;PolicyEff),1,Milestones!$AC$40)&amp;";  ","")&amp;IF(AND(EDATE($D144,Milestones!$AA$41)&lt;=AsOfDate,EDATE($D144,Milestones!$AA$41)&gt;=SchemeStart,IF($X144=0,$AD144,IF(AND($Z144&lt;&gt;"",EDATE($D144,Milestones!$AA$41)&gt;=$Z144),$AC144,IF(AND($Y144&lt;&gt;"",EDATE($D144,Milestones!$AA$41)&gt;=$Y144),$AB144,$AA144)))=Milestones!$AB$41),UPPER(TEXT(EDATE($D144,Milestones!$AA$41),"dd mmm yy"))&amp;" "&amp;Milestones!$AB$41&amp;" "&amp;IF(AND(Milestones!$AB$41="FT",Milestones!$AA$41=FT_Y5,EDATE($D144,Milestones!$AA$41)&lt;PolicyEff),1,Milestones!$AC$41)&amp;";  ","")&amp;IF(AND(EDATE($D144,Milestones!$AA$42)&lt;=AsOfDate,EDATE($D144,Milestones!$AA$42)&gt;=SchemeStart,IF($X144=0,$AD144,IF(AND($Z144&lt;&gt;"",EDATE($D144,Milestones!$AA$42)&gt;=$Z144),$AC144,IF(AND($Y144&lt;&gt;"",EDATE($D144,Milestones!$AA$42)&gt;=$Y144),$AB144,$AA144)))=Milestones!$AB$42),UPPER(TEXT(EDATE($D144,Milestones!$AA$42),"dd mmm yy"))&amp;" "&amp;Milestones!$AB$42&amp;" "&amp;IF(AND(Milestones!$AB$42="FT",Milestones!$AA$42=FT_Y5,EDATE($D144,Milestones!$AA$42)&lt;PolicyEff),1,Milestones!$AC$42)&amp;";  ","")&amp;IF(AND(EDATE($D144,Milestones!$AA$43)&lt;=AsOfDate,EDATE($D144,Milestones!$AA$43)&gt;=SchemeStart,IF($X144=0,$AD144,IF(AND($Z144&lt;&gt;"",EDATE($D144,Milestones!$AA$43)&gt;=$Z144),$AC144,IF(AND($Y144&lt;&gt;"",EDATE($D144,Milestones!$AA$43)&gt;=$Y144),$AB144,$AA144)))=Milestones!$AB$43),UPPER(TEXT(EDATE($D144,Milestones!$AA$43),"dd mmm yy"))&amp;" "&amp;Milestones!$AB$43&amp;" "&amp;IF(AND(Milestones!$AB$43="FT",Milestones!$AA$43=FT_Y5,EDATE($D144,Milestones!$AA$43)&lt;PolicyEff),1,Milestones!$AC$43)&amp;";  ",""))</f>
        <v/>
      </c>
      <c r="K144" s="0" t="str">
        <f aca="false">IF(OR($A144="",$D144=""),"",IF(AND(EDATE($D144,Milestones!$AA$44)&lt;=AsOfDate,EDATE($D144,Milestones!$AA$44)&gt;=SchemeStart,IF($X144=0,$AD144,IF(AND($Z144&lt;&gt;"",EDATE($D144,Milestones!$AA$44)&gt;=$Z144),$AC144,IF(AND($Y144&lt;&gt;"",EDATE($D144,Milestones!$AA$44)&gt;=$Y144),$AB144,$AA144)))=Milestones!$AB$44),UPPER(TEXT(EDATE($D144,Milestones!$AA$44),"dd mmm yy"))&amp;" "&amp;Milestones!$AB$44&amp;" "&amp;IF(AND(Milestones!$AB$44="FT",Milestones!$AA$44=FT_Y5,EDATE($D144,Milestones!$AA$44)&lt;PolicyEff),1,Milestones!$AC$44)&amp;";  ","")&amp;IF(AND(EDATE($D144,Milestones!$AA$45)&lt;=AsOfDate,EDATE($D144,Milestones!$AA$45)&gt;=SchemeStart,IF($X144=0,$AD144,IF(AND($Z144&lt;&gt;"",EDATE($D144,Milestones!$AA$45)&gt;=$Z144),$AC144,IF(AND($Y144&lt;&gt;"",EDATE($D144,Milestones!$AA$45)&gt;=$Y144),$AB144,$AA144)))=Milestones!$AB$45),UPPER(TEXT(EDATE($D144,Milestones!$AA$45),"dd mmm yy"))&amp;" "&amp;Milestones!$AB$45&amp;" "&amp;IF(AND(Milestones!$AB$45="FT",Milestones!$AA$45=FT_Y5,EDATE($D144,Milestones!$AA$45)&lt;PolicyEff),1,Milestones!$AC$45)&amp;";  ","")&amp;IF(AND(EDATE($D144,Milestones!$AA$46)&lt;=AsOfDate,EDATE($D144,Milestones!$AA$46)&gt;=SchemeStart,IF($X144=0,$AD144,IF(AND($Z144&lt;&gt;"",EDATE($D144,Milestones!$AA$46)&gt;=$Z144),$AC144,IF(AND($Y144&lt;&gt;"",EDATE($D144,Milestones!$AA$46)&gt;=$Y144),$AB144,$AA144)))=Milestones!$AB$46),UPPER(TEXT(EDATE($D144,Milestones!$AA$46),"dd mmm yy"))&amp;" "&amp;Milestones!$AB$46&amp;" "&amp;IF(AND(Milestones!$AB$46="FT",Milestones!$AA$46=FT_Y5,EDATE($D144,Milestones!$AA$46)&lt;PolicyEff),1,Milestones!$AC$46)&amp;";  ","")&amp;IF(AND(EDATE($D144,Milestones!$AA$47)&lt;=AsOfDate,EDATE($D144,Milestones!$AA$47)&gt;=SchemeStart,IF($X144=0,$AD144,IF(AND($Z144&lt;&gt;"",EDATE($D144,Milestones!$AA$47)&gt;=$Z144),$AC144,IF(AND($Y144&lt;&gt;"",EDATE($D144,Milestones!$AA$47)&gt;=$Y144),$AB144,$AA144)))=Milestones!$AB$47),UPPER(TEXT(EDATE($D144,Milestones!$AA$47),"dd mmm yy"))&amp;" "&amp;Milestones!$AB$47&amp;" "&amp;IF(AND(Milestones!$AB$47="FT",Milestones!$AA$47=FT_Y5,EDATE($D144,Milestones!$AA$47)&lt;PolicyEff),1,Milestones!$AC$47)&amp;";  ","")&amp;IF(AND(EDATE($D144,Milestones!$AA$48)&lt;=AsOfDate,EDATE($D144,Milestones!$AA$48)&gt;=SchemeStart,IF($X144=0,$AD144,IF(AND($Z144&lt;&gt;"",EDATE($D144,Milestones!$AA$48)&gt;=$Z144),$AC144,IF(AND($Y144&lt;&gt;"",EDATE($D144,Milestones!$AA$48)&gt;=$Y144),$AB144,$AA144)))=Milestones!$AB$48),UPPER(TEXT(EDATE($D144,Milestones!$AA$48),"dd mmm yy"))&amp;" "&amp;Milestones!$AB$48&amp;" "&amp;IF(AND(Milestones!$AB$48="FT",Milestones!$AA$48=FT_Y5,EDATE($D144,Milestones!$AA$48)&lt;PolicyEff),1,Milestones!$AC$48)&amp;";  ","")&amp;IF(AND(EDATE($D144,Milestones!$AA$49)&lt;=AsOfDate,EDATE($D144,Milestones!$AA$49)&gt;=SchemeStart,IF($X144=0,$AD144,IF(AND($Z144&lt;&gt;"",EDATE($D144,Milestones!$AA$49)&gt;=$Z144),$AC144,IF(AND($Y144&lt;&gt;"",EDATE($D144,Milestones!$AA$49)&gt;=$Y144),$AB144,$AA144)))=Milestones!$AB$49),UPPER(TEXT(EDATE($D144,Milestones!$AA$49),"dd mmm yy"))&amp;" "&amp;Milestones!$AB$49&amp;" "&amp;IF(AND(Milestones!$AB$49="FT",Milestones!$AA$49=FT_Y5,EDATE($D144,Milestones!$AA$49)&lt;PolicyEff),1,Milestones!$AC$49)&amp;";  ","")&amp;IF(AND(EDATE($D144,Milestones!$AA$50)&lt;=AsOfDate,EDATE($D144,Milestones!$AA$50)&gt;=SchemeStart,IF($X144=0,$AD144,IF(AND($Z144&lt;&gt;"",EDATE($D144,Milestones!$AA$50)&gt;=$Z144),$AC144,IF(AND($Y144&lt;&gt;"",EDATE($D144,Milestones!$AA$50)&gt;=$Y144),$AB144,$AA144)))=Milestones!$AB$50),UPPER(TEXT(EDATE($D144,Milestones!$AA$50),"dd mmm yy"))&amp;" "&amp;Milestones!$AB$50&amp;" "&amp;IF(AND(Milestones!$AB$50="FT",Milestones!$AA$50=FT_Y5,EDATE($D144,Milestones!$AA$50)&lt;PolicyEff),1,Milestones!$AC$50)&amp;";  ","")&amp;IF(AND(EDATE($D144,Milestones!$AA$51)&lt;=AsOfDate,EDATE($D144,Milestones!$AA$51)&gt;=SchemeStart,IF($X144=0,$AD144,IF(AND($Z144&lt;&gt;"",EDATE($D144,Milestones!$AA$51)&gt;=$Z144),$AC144,IF(AND($Y144&lt;&gt;"",EDATE($D144,Milestones!$AA$51)&gt;=$Y144),$AB144,$AA144)))=Milestones!$AB$51),UPPER(TEXT(EDATE($D144,Milestones!$AA$51),"dd mmm yy"))&amp;" "&amp;Milestones!$AB$51&amp;" "&amp;IF(AND(Milestones!$AB$51="FT",Milestones!$AA$51=FT_Y5,EDATE($D144,Milestones!$AA$51)&lt;PolicyEff),1,Milestones!$AC$51)&amp;";  ","")&amp;IF(AND(EDATE($D144,Milestones!$AA$52)&lt;=AsOfDate,EDATE($D144,Milestones!$AA$52)&gt;=SchemeStart,IF($X144=0,$AD144,IF(AND($Z144&lt;&gt;"",EDATE($D144,Milestones!$AA$52)&gt;=$Z144),$AC144,IF(AND($Y144&lt;&gt;"",EDATE($D144,Milestones!$AA$52)&gt;=$Y144),$AB144,$AA144)))=Milestones!$AB$52),UPPER(TEXT(EDATE($D144,Milestones!$AA$52),"dd mmm yy"))&amp;" "&amp;Milestones!$AB$52&amp;" "&amp;IF(AND(Milestones!$AB$52="FT",Milestones!$AA$52=FT_Y5,EDATE($D144,Milestones!$AA$52)&lt;PolicyEff),1,Milestones!$AC$52)&amp;";  ","")&amp;IF(AND(EDATE($D144,Milestones!$AA$53)&lt;=AsOfDate,EDATE($D144,Milestones!$AA$53)&gt;=SchemeStart,IF($X144=0,$AD144,IF(AND($Z144&lt;&gt;"",EDATE($D144,Milestones!$AA$53)&gt;=$Z144),$AC144,IF(AND($Y144&lt;&gt;"",EDATE($D144,Milestones!$AA$53)&gt;=$Y144),$AB144,$AA144)))=Milestones!$AB$53),UPPER(TEXT(EDATE($D144,Milestones!$AA$53),"dd mmm yy"))&amp;" "&amp;Milestones!$AB$53&amp;" "&amp;IF(AND(Milestones!$AB$53="FT",Milestones!$AA$53=FT_Y5,EDATE($D144,Milestones!$AA$53)&lt;PolicyEff),1,Milestones!$AC$53)&amp;";  ","")&amp;IF(AND(EDATE($D144,Milestones!$AA$54)&lt;=AsOfDate,EDATE($D144,Milestones!$AA$54)&gt;=SchemeStart,IF($X144=0,$AD144,IF(AND($Z144&lt;&gt;"",EDATE($D144,Milestones!$AA$54)&gt;=$Z144),$AC144,IF(AND($Y144&lt;&gt;"",EDATE($D144,Milestones!$AA$54)&gt;=$Y144),$AB144,$AA144)))=Milestones!$AB$54),UPPER(TEXT(EDATE($D144,Milestones!$AA$54),"dd mmm yy"))&amp;" "&amp;Milestones!$AB$54&amp;" "&amp;IF(AND(Milestones!$AB$54="FT",Milestones!$AA$54=FT_Y5,EDATE($D144,Milestones!$AA$54)&lt;PolicyEff),1,Milestones!$AC$54)&amp;";  ","")&amp;IF(AND(EDATE($D144,Milestones!$AA$55)&lt;=AsOfDate,EDATE($D144,Milestones!$AA$55)&gt;=SchemeStart,IF($X144=0,$AD144,IF(AND($Z144&lt;&gt;"",EDATE($D144,Milestones!$AA$55)&gt;=$Z144),$AC144,IF(AND($Y144&lt;&gt;"",EDATE($D144,Milestones!$AA$55)&gt;=$Y144),$AB144,$AA144)))=Milestones!$AB$55),UPPER(TEXT(EDATE($D144,Milestones!$AA$55),"dd mmm yy"))&amp;" "&amp;Milestones!$AB$55&amp;" "&amp;IF(AND(Milestones!$AB$55="FT",Milestones!$AA$55=FT_Y5,EDATE($D144,Milestones!$AA$55)&lt;PolicyEff),1,Milestones!$AC$55)&amp;";  ",""))</f>
        <v/>
      </c>
      <c r="L144" s="0" t="str">
        <f aca="false">IF(OR($A144="",$D144=""),"",IF(AND(EDATE($D144,Milestones!$AA$56)&lt;=AsOfDate,EDATE($D144,Milestones!$AA$56)&gt;=SchemeStart,IF($X144=0,$AD144,IF(AND($Z144&lt;&gt;"",EDATE($D144,Milestones!$AA$56)&gt;=$Z144),$AC144,IF(AND($Y144&lt;&gt;"",EDATE($D144,Milestones!$AA$56)&gt;=$Y144),$AB144,$AA144)))=Milestones!$AB$56),UPPER(TEXT(EDATE($D144,Milestones!$AA$56),"dd mmm yy"))&amp;" "&amp;Milestones!$AB$56&amp;" "&amp;IF(AND(Milestones!$AB$56="FT",Milestones!$AA$56=FT_Y5,EDATE($D144,Milestones!$AA$56)&lt;PolicyEff),1,Milestones!$AC$56)&amp;";  ","")&amp;IF(AND(EDATE($D144,Milestones!$AA$57)&lt;=AsOfDate,EDATE($D144,Milestones!$AA$57)&gt;=SchemeStart,IF($X144=0,$AD144,IF(AND($Z144&lt;&gt;"",EDATE($D144,Milestones!$AA$57)&gt;=$Z144),$AC144,IF(AND($Y144&lt;&gt;"",EDATE($D144,Milestones!$AA$57)&gt;=$Y144),$AB144,$AA144)))=Milestones!$AB$57),UPPER(TEXT(EDATE($D144,Milestones!$AA$57),"dd mmm yy"))&amp;" "&amp;Milestones!$AB$57&amp;" "&amp;IF(AND(Milestones!$AB$57="FT",Milestones!$AA$57=FT_Y5,EDATE($D144,Milestones!$AA$57)&lt;PolicyEff),1,Milestones!$AC$57)&amp;";  ","")&amp;IF(AND(EDATE($D144,Milestones!$AA$58)&lt;=AsOfDate,EDATE($D144,Milestones!$AA$58)&gt;=SchemeStart,IF($X144=0,$AD144,IF(AND($Z144&lt;&gt;"",EDATE($D144,Milestones!$AA$58)&gt;=$Z144),$AC144,IF(AND($Y144&lt;&gt;"",EDATE($D144,Milestones!$AA$58)&gt;=$Y144),$AB144,$AA144)))=Milestones!$AB$58),UPPER(TEXT(EDATE($D144,Milestones!$AA$58),"dd mmm yy"))&amp;" "&amp;Milestones!$AB$58&amp;" "&amp;IF(AND(Milestones!$AB$58="FT",Milestones!$AA$58=FT_Y5,EDATE($D144,Milestones!$AA$58)&lt;PolicyEff),1,Milestones!$AC$58)&amp;";  ","")&amp;IF(AND(EDATE($D144,Milestones!$AA$59)&lt;=AsOfDate,EDATE($D144,Milestones!$AA$59)&gt;=SchemeStart,IF($X144=0,$AD144,IF(AND($Z144&lt;&gt;"",EDATE($D144,Milestones!$AA$59)&gt;=$Z144),$AC144,IF(AND($Y144&lt;&gt;"",EDATE($D144,Milestones!$AA$59)&gt;=$Y144),$AB144,$AA144)))=Milestones!$AB$59),UPPER(TEXT(EDATE($D144,Milestones!$AA$59),"dd mmm yy"))&amp;" "&amp;Milestones!$AB$59&amp;" "&amp;IF(AND(Milestones!$AB$59="FT",Milestones!$AA$59=FT_Y5,EDATE($D144,Milestones!$AA$59)&lt;PolicyEff),1,Milestones!$AC$59)&amp;";  ","")&amp;IF(AND(EDATE($D144,Milestones!$AA$60)&lt;=AsOfDate,EDATE($D144,Milestones!$AA$60)&gt;=SchemeStart,IF($X144=0,$AD144,IF(AND($Z144&lt;&gt;"",EDATE($D144,Milestones!$AA$60)&gt;=$Z144),$AC144,IF(AND($Y144&lt;&gt;"",EDATE($D144,Milestones!$AA$60)&gt;=$Y144),$AB144,$AA144)))=Milestones!$AB$60),UPPER(TEXT(EDATE($D144,Milestones!$AA$60),"dd mmm yy"))&amp;" "&amp;Milestones!$AB$60&amp;" "&amp;IF(AND(Milestones!$AB$60="FT",Milestones!$AA$60=FT_Y5,EDATE($D144,Milestones!$AA$60)&lt;PolicyEff),1,Milestones!$AC$60)&amp;";  ","")&amp;IF(AND(EDATE($D144,Milestones!$AA$61)&lt;=AsOfDate,EDATE($D144,Milestones!$AA$61)&gt;=SchemeStart,IF($X144=0,$AD144,IF(AND($Z144&lt;&gt;"",EDATE($D144,Milestones!$AA$61)&gt;=$Z144),$AC144,IF(AND($Y144&lt;&gt;"",EDATE($D144,Milestones!$AA$61)&gt;=$Y144),$AB144,$AA144)))=Milestones!$AB$61),UPPER(TEXT(EDATE($D144,Milestones!$AA$61),"dd mmm yy"))&amp;" "&amp;Milestones!$AB$61&amp;" "&amp;IF(AND(Milestones!$AB$61="FT",Milestones!$AA$61=FT_Y5,EDATE($D144,Milestones!$AA$61)&lt;PolicyEff),1,Milestones!$AC$61)&amp;";  ","")&amp;IF(AND(EDATE($D144,Milestones!$AA$62)&lt;=AsOfDate,EDATE($D144,Milestones!$AA$62)&gt;=SchemeStart,IF($X144=0,$AD144,IF(AND($Z144&lt;&gt;"",EDATE($D144,Milestones!$AA$62)&gt;=$Z144),$AC144,IF(AND($Y144&lt;&gt;"",EDATE($D144,Milestones!$AA$62)&gt;=$Y144),$AB144,$AA144)))=Milestones!$AB$62),UPPER(TEXT(EDATE($D144,Milestones!$AA$62),"dd mmm yy"))&amp;" "&amp;Milestones!$AB$62&amp;" "&amp;IF(AND(Milestones!$AB$62="FT",Milestones!$AA$62=FT_Y5,EDATE($D144,Milestones!$AA$62)&lt;PolicyEff),1,Milestones!$AC$62)&amp;";  ","")&amp;IF(AND(EDATE($D144,Milestones!$AA$63)&lt;=AsOfDate,EDATE($D144,Milestones!$AA$63)&gt;=SchemeStart,IF($X144=0,$AD144,IF(AND($Z144&lt;&gt;"",EDATE($D144,Milestones!$AA$63)&gt;=$Z144),$AC144,IF(AND($Y144&lt;&gt;"",EDATE($D144,Milestones!$AA$63)&gt;=$Y144),$AB144,$AA144)))=Milestones!$AB$63),UPPER(TEXT(EDATE($D144,Milestones!$AA$63),"dd mmm yy"))&amp;" "&amp;Milestones!$AB$63&amp;" "&amp;IF(AND(Milestones!$AB$63="FT",Milestones!$AA$63=FT_Y5,EDATE($D144,Milestones!$AA$63)&lt;PolicyEff),1,Milestones!$AC$63)&amp;";  ","")&amp;IF(AND(EDATE($D144,Milestones!$AA$64)&lt;=AsOfDate,EDATE($D144,Milestones!$AA$64)&gt;=SchemeStart,IF($X144=0,$AD144,IF(AND($Z144&lt;&gt;"",EDATE($D144,Milestones!$AA$64)&gt;=$Z144),$AC144,IF(AND($Y144&lt;&gt;"",EDATE($D144,Milestones!$AA$64)&gt;=$Y144),$AB144,$AA144)))=Milestones!$AB$64),UPPER(TEXT(EDATE($D144,Milestones!$AA$64),"dd mmm yy"))&amp;" "&amp;Milestones!$AB$64&amp;" "&amp;IF(AND(Milestones!$AB$64="FT",Milestones!$AA$64=FT_Y5,EDATE($D144,Milestones!$AA$64)&lt;PolicyEff),1,Milestones!$AC$64)&amp;";  ","")&amp;IF(AND(EDATE($D144,Milestones!$AA$65)&lt;=AsOfDate,EDATE($D144,Milestones!$AA$65)&gt;=SchemeStart,IF($X144=0,$AD144,IF(AND($Z144&lt;&gt;"",EDATE($D144,Milestones!$AA$65)&gt;=$Z144),$AC144,IF(AND($Y144&lt;&gt;"",EDATE($D144,Milestones!$AA$65)&gt;=$Y144),$AB144,$AA144)))=Milestones!$AB$65),UPPER(TEXT(EDATE($D144,Milestones!$AA$65),"dd mmm yy"))&amp;" "&amp;Milestones!$AB$65&amp;" "&amp;IF(AND(Milestones!$AB$65="FT",Milestones!$AA$65=FT_Y5,EDATE($D144,Milestones!$AA$65)&lt;PolicyEff),1,Milestones!$AC$65)&amp;";  ","")&amp;IF(AND(EDATE($D144,Milestones!$AA$66)&lt;=AsOfDate,EDATE($D144,Milestones!$AA$66)&gt;=SchemeStart,IF($X144=0,$AD144,IF(AND($Z144&lt;&gt;"",EDATE($D144,Milestones!$AA$66)&gt;=$Z144),$AC144,IF(AND($Y144&lt;&gt;"",EDATE($D144,Milestones!$AA$66)&gt;=$Y144),$AB144,$AA144)))=Milestones!$AB$66),UPPER(TEXT(EDATE($D144,Milestones!$AA$66),"dd mmm yy"))&amp;" "&amp;Milestones!$AB$66&amp;" "&amp;IF(AND(Milestones!$AB$66="FT",Milestones!$AA$66=FT_Y5,EDATE($D144,Milestones!$AA$66)&lt;PolicyEff),1,Milestones!$AC$66)&amp;";  ","")&amp;IF(AND(EDATE($D144,Milestones!$AA$67)&lt;=AsOfDate,EDATE($D144,Milestones!$AA$67)&gt;=SchemeStart,IF($X144=0,$AD144,IF(AND($Z144&lt;&gt;"",EDATE($D144,Milestones!$AA$67)&gt;=$Z144),$AC144,IF(AND($Y144&lt;&gt;"",EDATE($D144,Milestones!$AA$67)&gt;=$Y144),$AB144,$AA144)))=Milestones!$AB$67),UPPER(TEXT(EDATE($D144,Milestones!$AA$67),"dd mmm yy"))&amp;" "&amp;Milestones!$AB$67&amp;" "&amp;IF(AND(Milestones!$AB$67="FT",Milestones!$AA$67=FT_Y5,EDATE($D144,Milestones!$AA$67)&lt;PolicyEff),1,Milestones!$AC$67)&amp;";  ",""))</f>
        <v/>
      </c>
      <c r="M144" s="0" t="str">
        <f aca="false">IF(OR($A144="",$D144=""),"",IF(AND(EDATE($D144,Milestones!$AA$68)&lt;=AsOfDate,EDATE($D144,Milestones!$AA$68)&gt;=SchemeStart,IF($X144=0,$AD144,IF(AND($Z144&lt;&gt;"",EDATE($D144,Milestones!$AA$68)&gt;=$Z144),$AC144,IF(AND($Y144&lt;&gt;"",EDATE($D144,Milestones!$AA$68)&gt;=$Y144),$AB144,$AA144)))=Milestones!$AB$68),UPPER(TEXT(EDATE($D144,Milestones!$AA$68),"dd mmm yy"))&amp;" "&amp;Milestones!$AB$68&amp;" "&amp;IF(AND(Milestones!$AB$68="FT",Milestones!$AA$68=FT_Y5,EDATE($D144,Milestones!$AA$68)&lt;PolicyEff),1,Milestones!$AC$68)&amp;";  ","")&amp;IF(AND(EDATE($D144,Milestones!$AA$69)&lt;=AsOfDate,EDATE($D144,Milestones!$AA$69)&gt;=SchemeStart,IF($X144=0,$AD144,IF(AND($Z144&lt;&gt;"",EDATE($D144,Milestones!$AA$69)&gt;=$Z144),$AC144,IF(AND($Y144&lt;&gt;"",EDATE($D144,Milestones!$AA$69)&gt;=$Y144),$AB144,$AA144)))=Milestones!$AB$69),UPPER(TEXT(EDATE($D144,Milestones!$AA$69),"dd mmm yy"))&amp;" "&amp;Milestones!$AB$69&amp;" "&amp;IF(AND(Milestones!$AB$69="FT",Milestones!$AA$69=FT_Y5,EDATE($D144,Milestones!$AA$69)&lt;PolicyEff),1,Milestones!$AC$69)&amp;";  ","")&amp;IF(AND(EDATE($D144,Milestones!$AA$70)&lt;=AsOfDate,EDATE($D144,Milestones!$AA$70)&gt;=SchemeStart,IF($X144=0,$AD144,IF(AND($Z144&lt;&gt;"",EDATE($D144,Milestones!$AA$70)&gt;=$Z144),$AC144,IF(AND($Y144&lt;&gt;"",EDATE($D144,Milestones!$AA$70)&gt;=$Y144),$AB144,$AA144)))=Milestones!$AB$70),UPPER(TEXT(EDATE($D144,Milestones!$AA$70),"dd mmm yy"))&amp;" "&amp;Milestones!$AB$70&amp;" "&amp;IF(AND(Milestones!$AB$70="FT",Milestones!$AA$70=FT_Y5,EDATE($D144,Milestones!$AA$70)&lt;PolicyEff),1,Milestones!$AC$70)&amp;";  ","")&amp;IF(AND(EDATE($D144,Milestones!$AA$71)&lt;=AsOfDate,EDATE($D144,Milestones!$AA$71)&gt;=SchemeStart,IF($X144=0,$AD144,IF(AND($Z144&lt;&gt;"",EDATE($D144,Milestones!$AA$71)&gt;=$Z144),$AC144,IF(AND($Y144&lt;&gt;"",EDATE($D144,Milestones!$AA$71)&gt;=$Y144),$AB144,$AA144)))=Milestones!$AB$71),UPPER(TEXT(EDATE($D144,Milestones!$AA$71),"dd mmm yy"))&amp;" "&amp;Milestones!$AB$71&amp;" "&amp;IF(AND(Milestones!$AB$71="FT",Milestones!$AA$71=FT_Y5,EDATE($D144,Milestones!$AA$71)&lt;PolicyEff),1,Milestones!$AC$71)&amp;";  ","")&amp;IF(AND(EDATE($D144,Milestones!$AA$72)&lt;=AsOfDate,EDATE($D144,Milestones!$AA$72)&gt;=SchemeStart,IF($X144=0,$AD144,IF(AND($Z144&lt;&gt;"",EDATE($D144,Milestones!$AA$72)&gt;=$Z144),$AC144,IF(AND($Y144&lt;&gt;"",EDATE($D144,Milestones!$AA$72)&gt;=$Y144),$AB144,$AA144)))=Milestones!$AB$72),UPPER(TEXT(EDATE($D144,Milestones!$AA$72),"dd mmm yy"))&amp;" "&amp;Milestones!$AB$72&amp;" "&amp;IF(AND(Milestones!$AB$72="FT",Milestones!$AA$72=FT_Y5,EDATE($D144,Milestones!$AA$72)&lt;PolicyEff),1,Milestones!$AC$72)&amp;";  ","")&amp;IF(AND(EDATE($D144,Milestones!$AA$73)&lt;=AsOfDate,EDATE($D144,Milestones!$AA$73)&gt;=SchemeStart,IF($X144=0,$AD144,IF(AND($Z144&lt;&gt;"",EDATE($D144,Milestones!$AA$73)&gt;=$Z144),$AC144,IF(AND($Y144&lt;&gt;"",EDATE($D144,Milestones!$AA$73)&gt;=$Y144),$AB144,$AA144)))=Milestones!$AB$73),UPPER(TEXT(EDATE($D144,Milestones!$AA$73),"dd mmm yy"))&amp;" "&amp;Milestones!$AB$73&amp;" "&amp;IF(AND(Milestones!$AB$73="FT",Milestones!$AA$73=FT_Y5,EDATE($D144,Milestones!$AA$73)&lt;PolicyEff),1,Milestones!$AC$73)&amp;";  ","")&amp;IF(AND(EDATE($D144,Milestones!$AA$74)&lt;=AsOfDate,EDATE($D144,Milestones!$AA$74)&gt;=SchemeStart,IF($X144=0,$AD144,IF(AND($Z144&lt;&gt;"",EDATE($D144,Milestones!$AA$74)&gt;=$Z144),$AC144,IF(AND($Y144&lt;&gt;"",EDATE($D144,Milestones!$AA$74)&gt;=$Y144),$AB144,$AA144)))=Milestones!$AB$74),UPPER(TEXT(EDATE($D144,Milestones!$AA$74),"dd mmm yy"))&amp;" "&amp;Milestones!$AB$74&amp;" "&amp;IF(AND(Milestones!$AB$74="FT",Milestones!$AA$74=FT_Y5,EDATE($D144,Milestones!$AA$74)&lt;PolicyEff),1,Milestones!$AC$74)&amp;";  ","")&amp;IF(AND(EDATE($D144,Milestones!$AA$75)&lt;=AsOfDate,EDATE($D144,Milestones!$AA$75)&gt;=SchemeStart,IF($X144=0,$AD144,IF(AND($Z144&lt;&gt;"",EDATE($D144,Milestones!$AA$75)&gt;=$Z144),$AC144,IF(AND($Y144&lt;&gt;"",EDATE($D144,Milestones!$AA$75)&gt;=$Y144),$AB144,$AA144)))=Milestones!$AB$75),UPPER(TEXT(EDATE($D144,Milestones!$AA$75),"dd mmm yy"))&amp;" "&amp;Milestones!$AB$75&amp;" "&amp;IF(AND(Milestones!$AB$75="FT",Milestones!$AA$75=FT_Y5,EDATE($D144,Milestones!$AA$75)&lt;PolicyEff),1,Milestones!$AC$75)&amp;";  ","")&amp;IF(AND(EDATE($D144,Milestones!$AA$76)&lt;=AsOfDate,EDATE($D144,Milestones!$AA$76)&gt;=SchemeStart,IF($X144=0,$AD144,IF(AND($Z144&lt;&gt;"",EDATE($D144,Milestones!$AA$76)&gt;=$Z144),$AC144,IF(AND($Y144&lt;&gt;"",EDATE($D144,Milestones!$AA$76)&gt;=$Y144),$AB144,$AA144)))=Milestones!$AB$76),UPPER(TEXT(EDATE($D144,Milestones!$AA$76),"dd mmm yy"))&amp;" "&amp;Milestones!$AB$76&amp;" "&amp;IF(AND(Milestones!$AB$76="FT",Milestones!$AA$76=FT_Y5,EDATE($D144,Milestones!$AA$76)&lt;PolicyEff),1,Milestones!$AC$76)&amp;";  ","")&amp;IF(AND(EDATE($D144,Milestones!$AA$77)&lt;=AsOfDate,EDATE($D144,Milestones!$AA$77)&gt;=SchemeStart,IF($X144=0,$AD144,IF(AND($Z144&lt;&gt;"",EDATE($D144,Milestones!$AA$77)&gt;=$Z144),$AC144,IF(AND($Y144&lt;&gt;"",EDATE($D144,Milestones!$AA$77)&gt;=$Y144),$AB144,$AA144)))=Milestones!$AB$77),UPPER(TEXT(EDATE($D144,Milestones!$AA$77),"dd mmm yy"))&amp;" "&amp;Milestones!$AB$77&amp;" "&amp;IF(AND(Milestones!$AB$77="FT",Milestones!$AA$77=FT_Y5,EDATE($D144,Milestones!$AA$77)&lt;PolicyEff),1,Milestones!$AC$77)&amp;";  ","")&amp;IF(AND(EDATE($D144,Milestones!$AA$78)&lt;=AsOfDate,EDATE($D144,Milestones!$AA$78)&gt;=SchemeStart,IF($X144=0,$AD144,IF(AND($Z144&lt;&gt;"",EDATE($D144,Milestones!$AA$78)&gt;=$Z144),$AC144,IF(AND($Y144&lt;&gt;"",EDATE($D144,Milestones!$AA$78)&gt;=$Y144),$AB144,$AA144)))=Milestones!$AB$78),UPPER(TEXT(EDATE($D144,Milestones!$AA$78),"dd mmm yy"))&amp;" "&amp;Milestones!$AB$78&amp;" "&amp;IF(AND(Milestones!$AB$78="FT",Milestones!$AA$78=FT_Y5,EDATE($D144,Milestones!$AA$78)&lt;PolicyEff),1,Milestones!$AC$78)&amp;";  ","")&amp;IF(AND(EDATE($D144,Milestones!$AA$79)&lt;=AsOfDate,EDATE($D144,Milestones!$AA$79)&gt;=SchemeStart,IF($X144=0,$AD144,IF(AND($Z144&lt;&gt;"",EDATE($D144,Milestones!$AA$79)&gt;=$Z144),$AC144,IF(AND($Y144&lt;&gt;"",EDATE($D144,Milestones!$AA$79)&gt;=$Y144),$AB144,$AA144)))=Milestones!$AB$79),UPPER(TEXT(EDATE($D144,Milestones!$AA$79),"dd mmm yy"))&amp;" "&amp;Milestones!$AB$79&amp;" "&amp;IF(AND(Milestones!$AB$79="FT",Milestones!$AA$79=FT_Y5,EDATE($D144,Milestones!$AA$79)&lt;PolicyEff),1,Milestones!$AC$79)&amp;";  ",""))</f>
        <v/>
      </c>
      <c r="N144" s="0" t="str">
        <f aca="false">IF(OR($A144="",$D144=""),"",IF(AND(EDATE($D144,Milestones!$AA$80)&lt;=AsOfDate,EDATE($D144,Milestones!$AA$80)&gt;=SchemeStart,IF($X144=0,$AD144,IF(AND($Z144&lt;&gt;"",EDATE($D144,Milestones!$AA$80)&gt;=$Z144),$AC144,IF(AND($Y144&lt;&gt;"",EDATE($D144,Milestones!$AA$80)&gt;=$Y144),$AB144,$AA144)))=Milestones!$AB$80),UPPER(TEXT(EDATE($D144,Milestones!$AA$80),"dd mmm yy"))&amp;" "&amp;Milestones!$AB$80&amp;" "&amp;IF(AND(Milestones!$AB$80="FT",Milestones!$AA$80=FT_Y5,EDATE($D144,Milestones!$AA$80)&lt;PolicyEff),1,Milestones!$AC$80)&amp;";  ","")&amp;IF(AND(EDATE($D144,Milestones!$AA$81)&lt;=AsOfDate,EDATE($D144,Milestones!$AA$81)&gt;=SchemeStart,IF($X144=0,$AD144,IF(AND($Z144&lt;&gt;"",EDATE($D144,Milestones!$AA$81)&gt;=$Z144),$AC144,IF(AND($Y144&lt;&gt;"",EDATE($D144,Milestones!$AA$81)&gt;=$Y144),$AB144,$AA144)))=Milestones!$AB$81),UPPER(TEXT(EDATE($D144,Milestones!$AA$81),"dd mmm yy"))&amp;" "&amp;Milestones!$AB$81&amp;" "&amp;IF(AND(Milestones!$AB$81="FT",Milestones!$AA$81=FT_Y5,EDATE($D144,Milestones!$AA$81)&lt;PolicyEff),1,Milestones!$AC$81)&amp;";  ","")&amp;IF(AND(EDATE($D144,Milestones!$AA$82)&lt;=AsOfDate,EDATE($D144,Milestones!$AA$82)&gt;=SchemeStart,IF($X144=0,$AD144,IF(AND($Z144&lt;&gt;"",EDATE($D144,Milestones!$AA$82)&gt;=$Z144),$AC144,IF(AND($Y144&lt;&gt;"",EDATE($D144,Milestones!$AA$82)&gt;=$Y144),$AB144,$AA144)))=Milestones!$AB$82),UPPER(TEXT(EDATE($D144,Milestones!$AA$82),"dd mmm yy"))&amp;" "&amp;Milestones!$AB$82&amp;" "&amp;IF(AND(Milestones!$AB$82="FT",Milestones!$AA$82=FT_Y5,EDATE($D144,Milestones!$AA$82)&lt;PolicyEff),1,Milestones!$AC$82)&amp;";  ","")&amp;IF(AND(EDATE($D144,Milestones!$AA$83)&lt;=AsOfDate,EDATE($D144,Milestones!$AA$83)&gt;=SchemeStart,IF($X144=0,$AD144,IF(AND($Z144&lt;&gt;"",EDATE($D144,Milestones!$AA$83)&gt;=$Z144),$AC144,IF(AND($Y144&lt;&gt;"",EDATE($D144,Milestones!$AA$83)&gt;=$Y144),$AB144,$AA144)))=Milestones!$AB$83),UPPER(TEXT(EDATE($D144,Milestones!$AA$83),"dd mmm yy"))&amp;" "&amp;Milestones!$AB$83&amp;" "&amp;IF(AND(Milestones!$AB$83="FT",Milestones!$AA$83=FT_Y5,EDATE($D144,Milestones!$AA$83)&lt;PolicyEff),1,Milestones!$AC$83)&amp;";  ","")&amp;IF(AND(EDATE($D144,Milestones!$AA$84)&lt;=AsOfDate,EDATE($D144,Milestones!$AA$84)&gt;=SchemeStart,IF($X144=0,$AD144,IF(AND($Z144&lt;&gt;"",EDATE($D144,Milestones!$AA$84)&gt;=$Z144),$AC144,IF(AND($Y144&lt;&gt;"",EDATE($D144,Milestones!$AA$84)&gt;=$Y144),$AB144,$AA144)))=Milestones!$AB$84),UPPER(TEXT(EDATE($D144,Milestones!$AA$84),"dd mmm yy"))&amp;" "&amp;Milestones!$AB$84&amp;" "&amp;IF(AND(Milestones!$AB$84="FT",Milestones!$AA$84=FT_Y5,EDATE($D144,Milestones!$AA$84)&lt;PolicyEff),1,Milestones!$AC$84)&amp;";  ","")&amp;IF(AND(EDATE($D144,Milestones!$AA$85)&lt;=AsOfDate,EDATE($D144,Milestones!$AA$85)&gt;=SchemeStart,IF($X144=0,$AD144,IF(AND($Z144&lt;&gt;"",EDATE($D144,Milestones!$AA$85)&gt;=$Z144),$AC144,IF(AND($Y144&lt;&gt;"",EDATE($D144,Milestones!$AA$85)&gt;=$Y144),$AB144,$AA144)))=Milestones!$AB$85),UPPER(TEXT(EDATE($D144,Milestones!$AA$85),"dd mmm yy"))&amp;" "&amp;Milestones!$AB$85&amp;" "&amp;IF(AND(Milestones!$AB$85="FT",Milestones!$AA$85=FT_Y5,EDATE($D144,Milestones!$AA$85)&lt;PolicyEff),1,Milestones!$AC$85)&amp;";  ","")&amp;IF(AND(EDATE($D144,Milestones!$AA$86)&lt;=AsOfDate,EDATE($D144,Milestones!$AA$86)&gt;=SchemeStart,IF($X144=0,$AD144,IF(AND($Z144&lt;&gt;"",EDATE($D144,Milestones!$AA$86)&gt;=$Z144),$AC144,IF(AND($Y144&lt;&gt;"",EDATE($D144,Milestones!$AA$86)&gt;=$Y144),$AB144,$AA144)))=Milestones!$AB$86),UPPER(TEXT(EDATE($D144,Milestones!$AA$86),"dd mmm yy"))&amp;" "&amp;Milestones!$AB$86&amp;" "&amp;IF(AND(Milestones!$AB$86="FT",Milestones!$AA$86=FT_Y5,EDATE($D144,Milestones!$AA$86)&lt;PolicyEff),1,Milestones!$AC$86)&amp;";  ","")&amp;IF(AND(EDATE($D144,Milestones!$AA$87)&lt;=AsOfDate,EDATE($D144,Milestones!$AA$87)&gt;=SchemeStart,IF($X144=0,$AD144,IF(AND($Z144&lt;&gt;"",EDATE($D144,Milestones!$AA$87)&gt;=$Z144),$AC144,IF(AND($Y144&lt;&gt;"",EDATE($D144,Milestones!$AA$87)&gt;=$Y144),$AB144,$AA144)))=Milestones!$AB$87),UPPER(TEXT(EDATE($D144,Milestones!$AA$87),"dd mmm yy"))&amp;" "&amp;Milestones!$AB$87&amp;" "&amp;IF(AND(Milestones!$AB$87="FT",Milestones!$AA$87=FT_Y5,EDATE($D144,Milestones!$AA$87)&lt;PolicyEff),1,Milestones!$AC$87)&amp;";  ","")&amp;IF(AND(EDATE($D144,Milestones!$AA$88)&lt;=AsOfDate,EDATE($D144,Milestones!$AA$88)&gt;=SchemeStart,IF($X144=0,$AD144,IF(AND($Z144&lt;&gt;"",EDATE($D144,Milestones!$AA$88)&gt;=$Z144),$AC144,IF(AND($Y144&lt;&gt;"",EDATE($D144,Milestones!$AA$88)&gt;=$Y144),$AB144,$AA144)))=Milestones!$AB$88),UPPER(TEXT(EDATE($D144,Milestones!$AA$88),"dd mmm yy"))&amp;" "&amp;Milestones!$AB$88&amp;" "&amp;IF(AND(Milestones!$AB$88="FT",Milestones!$AA$88=FT_Y5,EDATE($D144,Milestones!$AA$88)&lt;PolicyEff),1,Milestones!$AC$88)&amp;";  ","")&amp;IF(AND(EDATE($D144,Milestones!$AA$89)&lt;=AsOfDate,EDATE($D144,Milestones!$AA$89)&gt;=SchemeStart,IF($X144=0,$AD144,IF(AND($Z144&lt;&gt;"",EDATE($D144,Milestones!$AA$89)&gt;=$Z144),$AC144,IF(AND($Y144&lt;&gt;"",EDATE($D144,Milestones!$AA$89)&gt;=$Y144),$AB144,$AA144)))=Milestones!$AB$89),UPPER(TEXT(EDATE($D144,Milestones!$AA$89),"dd mmm yy"))&amp;" "&amp;Milestones!$AB$89&amp;" "&amp;IF(AND(Milestones!$AB$89="FT",Milestones!$AA$89=FT_Y5,EDATE($D144,Milestones!$AA$89)&lt;PolicyEff),1,Milestones!$AC$89)&amp;";  ","")&amp;IF(AND(EDATE($D144,Milestones!$AA$90)&lt;=AsOfDate,EDATE($D144,Milestones!$AA$90)&gt;=SchemeStart,IF($X144=0,$AD144,IF(AND($Z144&lt;&gt;"",EDATE($D144,Milestones!$AA$90)&gt;=$Z144),$AC144,IF(AND($Y144&lt;&gt;"",EDATE($D144,Milestones!$AA$90)&gt;=$Y144),$AB144,$AA144)))=Milestones!$AB$90),UPPER(TEXT(EDATE($D144,Milestones!$AA$90),"dd mmm yy"))&amp;" "&amp;Milestones!$AB$90&amp;" "&amp;IF(AND(Milestones!$AB$90="FT",Milestones!$AA$90=FT_Y5,EDATE($D144,Milestones!$AA$90)&lt;PolicyEff),1,Milestones!$AC$90)&amp;";  ","")&amp;IF(AND(EDATE($D144,Milestones!$AA$91)&lt;=AsOfDate,EDATE($D144,Milestones!$AA$91)&gt;=SchemeStart,IF($X144=0,$AD144,IF(AND($Z144&lt;&gt;"",EDATE($D144,Milestones!$AA$91)&gt;=$Z144),$AC144,IF(AND($Y144&lt;&gt;"",EDATE($D144,Milestones!$AA$91)&gt;=$Y144),$AB144,$AA144)))=Milestones!$AB$91),UPPER(TEXT(EDATE($D144,Milestones!$AA$91),"dd mmm yy"))&amp;" "&amp;Milestones!$AB$91&amp;" "&amp;IF(AND(Milestones!$AB$91="FT",Milestones!$AA$91=FT_Y5,EDATE($D144,Milestones!$AA$91)&lt;PolicyEff),1,Milestones!$AC$91)&amp;";  ",""))</f>
        <v/>
      </c>
      <c r="O144" s="0" t="str">
        <f aca="false">IF(OR($A144="",$D144=""),"",IF(AND(EDATE($D144,Milestones!$AA$92)&lt;=AsOfDate,EDATE($D144,Milestones!$AA$92)&gt;=SchemeStart,IF($X144=0,$AD144,IF(AND($Z144&lt;&gt;"",EDATE($D144,Milestones!$AA$92)&gt;=$Z144),$AC144,IF(AND($Y144&lt;&gt;"",EDATE($D144,Milestones!$AA$92)&gt;=$Y144),$AB144,$AA144)))=Milestones!$AB$92),UPPER(TEXT(EDATE($D144,Milestones!$AA$92),"dd mmm yy"))&amp;" "&amp;Milestones!$AB$92&amp;" "&amp;IF(AND(Milestones!$AB$92="FT",Milestones!$AA$92=FT_Y5,EDATE($D144,Milestones!$AA$92)&lt;PolicyEff),1,Milestones!$AC$92)&amp;";  ","")&amp;IF(AND(EDATE($D144,Milestones!$AA$93)&lt;=AsOfDate,EDATE($D144,Milestones!$AA$93)&gt;=SchemeStart,IF($X144=0,$AD144,IF(AND($Z144&lt;&gt;"",EDATE($D144,Milestones!$AA$93)&gt;=$Z144),$AC144,IF(AND($Y144&lt;&gt;"",EDATE($D144,Milestones!$AA$93)&gt;=$Y144),$AB144,$AA144)))=Milestones!$AB$93),UPPER(TEXT(EDATE($D144,Milestones!$AA$93),"dd mmm yy"))&amp;" "&amp;Milestones!$AB$93&amp;" "&amp;IF(AND(Milestones!$AB$93="FT",Milestones!$AA$93=FT_Y5,EDATE($D144,Milestones!$AA$93)&lt;PolicyEff),1,Milestones!$AC$93)&amp;";  ","")&amp;IF(AND(EDATE($D144,Milestones!$AA$94)&lt;=AsOfDate,EDATE($D144,Milestones!$AA$94)&gt;=SchemeStart,IF($X144=0,$AD144,IF(AND($Z144&lt;&gt;"",EDATE($D144,Milestones!$AA$94)&gt;=$Z144),$AC144,IF(AND($Y144&lt;&gt;"",EDATE($D144,Milestones!$AA$94)&gt;=$Y144),$AB144,$AA144)))=Milestones!$AB$94),UPPER(TEXT(EDATE($D144,Milestones!$AA$94),"dd mmm yy"))&amp;" "&amp;Milestones!$AB$94&amp;" "&amp;IF(AND(Milestones!$AB$94="FT",Milestones!$AA$94=FT_Y5,EDATE($D144,Milestones!$AA$94)&lt;PolicyEff),1,Milestones!$AC$94)&amp;";  ","")&amp;IF(AND(EDATE($D144,Milestones!$AA$95)&lt;=AsOfDate,EDATE($D144,Milestones!$AA$95)&gt;=SchemeStart,IF($X144=0,$AD144,IF(AND($Z144&lt;&gt;"",EDATE($D144,Milestones!$AA$95)&gt;=$Z144),$AC144,IF(AND($Y144&lt;&gt;"",EDATE($D144,Milestones!$AA$95)&gt;=$Y144),$AB144,$AA144)))=Milestones!$AB$95),UPPER(TEXT(EDATE($D144,Milestones!$AA$95),"dd mmm yy"))&amp;" "&amp;Milestones!$AB$95&amp;" "&amp;IF(AND(Milestones!$AB$95="FT",Milestones!$AA$95=FT_Y5,EDATE($D144,Milestones!$AA$95)&lt;PolicyEff),1,Milestones!$AC$95)&amp;";  ","")&amp;IF(AND(EDATE($D144,Milestones!$AA$96)&lt;=AsOfDate,EDATE($D144,Milestones!$AA$96)&gt;=SchemeStart,IF($X144=0,$AD144,IF(AND($Z144&lt;&gt;"",EDATE($D144,Milestones!$AA$96)&gt;=$Z144),$AC144,IF(AND($Y144&lt;&gt;"",EDATE($D144,Milestones!$AA$96)&gt;=$Y144),$AB144,$AA144)))=Milestones!$AB$96),UPPER(TEXT(EDATE($D144,Milestones!$AA$96),"dd mmm yy"))&amp;" "&amp;Milestones!$AB$96&amp;" "&amp;IF(AND(Milestones!$AB$96="FT",Milestones!$AA$96=FT_Y5,EDATE($D144,Milestones!$AA$96)&lt;PolicyEff),1,Milestones!$AC$96)&amp;";  ","")&amp;IF(AND(EDATE($D144,Milestones!$AA$97)&lt;=AsOfDate,EDATE($D144,Milestones!$AA$97)&gt;=SchemeStart,IF($X144=0,$AD144,IF(AND($Z144&lt;&gt;"",EDATE($D144,Milestones!$AA$97)&gt;=$Z144),$AC144,IF(AND($Y144&lt;&gt;"",EDATE($D144,Milestones!$AA$97)&gt;=$Y144),$AB144,$AA144)))=Milestones!$AB$97),UPPER(TEXT(EDATE($D144,Milestones!$AA$97),"dd mmm yy"))&amp;" "&amp;Milestones!$AB$97&amp;" "&amp;IF(AND(Milestones!$AB$97="FT",Milestones!$AA$97=FT_Y5,EDATE($D144,Milestones!$AA$97)&lt;PolicyEff),1,Milestones!$AC$97)&amp;";  ","")&amp;IF(AND(EDATE($D144,Milestones!$AA$98)&lt;=AsOfDate,EDATE($D144,Milestones!$AA$98)&gt;=SchemeStart,IF($X144=0,$AD144,IF(AND($Z144&lt;&gt;"",EDATE($D144,Milestones!$AA$98)&gt;=$Z144),$AC144,IF(AND($Y144&lt;&gt;"",EDATE($D144,Milestones!$AA$98)&gt;=$Y144),$AB144,$AA144)))=Milestones!$AB$98),UPPER(TEXT(EDATE($D144,Milestones!$AA$98),"dd mmm yy"))&amp;" "&amp;Milestones!$AB$98&amp;" "&amp;IF(AND(Milestones!$AB$98="FT",Milestones!$AA$98=FT_Y5,EDATE($D144,Milestones!$AA$98)&lt;PolicyEff),1,Milestones!$AC$98)&amp;";  ","")&amp;IF(AND(EDATE($D144,Milestones!$AA$99)&lt;=AsOfDate,EDATE($D144,Milestones!$AA$99)&gt;=SchemeStart,IF($X144=0,$AD144,IF(AND($Z144&lt;&gt;"",EDATE($D144,Milestones!$AA$99)&gt;=$Z144),$AC144,IF(AND($Y144&lt;&gt;"",EDATE($D144,Milestones!$AA$99)&gt;=$Y144),$AB144,$AA144)))=Milestones!$AB$99),UPPER(TEXT(EDATE($D144,Milestones!$AA$99),"dd mmm yy"))&amp;" "&amp;Milestones!$AB$99&amp;" "&amp;IF(AND(Milestones!$AB$99="FT",Milestones!$AA$99=FT_Y5,EDATE($D144,Milestones!$AA$99)&lt;PolicyEff),1,Milestones!$AC$99)&amp;";  ","")&amp;IF(AND(EDATE($D144,Milestones!$AA$100)&lt;=AsOfDate,EDATE($D144,Milestones!$AA$100)&gt;=SchemeStart,IF($X144=0,$AD144,IF(AND($Z144&lt;&gt;"",EDATE($D144,Milestones!$AA$100)&gt;=$Z144),$AC144,IF(AND($Y144&lt;&gt;"",EDATE($D144,Milestones!$AA$100)&gt;=$Y144),$AB144,$AA144)))=Milestones!$AB$100),UPPER(TEXT(EDATE($D144,Milestones!$AA$100),"dd mmm yy"))&amp;" "&amp;Milestones!$AB$100&amp;" "&amp;IF(AND(Milestones!$AB$100="FT",Milestones!$AA$100=FT_Y5,EDATE($D144,Milestones!$AA$100)&lt;PolicyEff),1,Milestones!$AC$100)&amp;";  ","")&amp;IF(AND(EDATE($D144,Milestones!$AA$101)&lt;=AsOfDate,EDATE($D144,Milestones!$AA$101)&gt;=SchemeStart,IF($X144=0,$AD144,IF(AND($Z144&lt;&gt;"",EDATE($D144,Milestones!$AA$101)&gt;=$Z144),$AC144,IF(AND($Y144&lt;&gt;"",EDATE($D144,Milestones!$AA$101)&gt;=$Y144),$AB144,$AA144)))=Milestones!$AB$101),UPPER(TEXT(EDATE($D144,Milestones!$AA$101),"dd mmm yy"))&amp;" "&amp;Milestones!$AB$101&amp;" "&amp;IF(AND(Milestones!$AB$101="FT",Milestones!$AA$101=FT_Y5,EDATE($D144,Milestones!$AA$101)&lt;PolicyEff),1,Milestones!$AC$101)&amp;";  ","")&amp;IF(AND(EDATE($D144,Milestones!$AA$102)&lt;=AsOfDate,EDATE($D144,Milestones!$AA$102)&gt;=SchemeStart,IF($X144=0,$AD144,IF(AND($Z144&lt;&gt;"",EDATE($D144,Milestones!$AA$102)&gt;=$Z144),$AC144,IF(AND($Y144&lt;&gt;"",EDATE($D144,Milestones!$AA$102)&gt;=$Y144),$AB144,$AA144)))=Milestones!$AB$102),UPPER(TEXT(EDATE($D144,Milestones!$AA$102),"dd mmm yy"))&amp;" "&amp;Milestones!$AB$102&amp;" "&amp;IF(AND(Milestones!$AB$102="FT",Milestones!$AA$102=FT_Y5,EDATE($D144,Milestones!$AA$102)&lt;PolicyEff),1,Milestones!$AC$102)&amp;";  ","")&amp;IF(AND(EDATE($D144,Milestones!$AA$103)&lt;=AsOfDate,EDATE($D144,Milestones!$AA$103)&gt;=SchemeStart,IF($X144=0,$AD144,IF(AND($Z144&lt;&gt;"",EDATE($D144,Milestones!$AA$103)&gt;=$Z144),$AC144,IF(AND($Y144&lt;&gt;"",EDATE($D144,Milestones!$AA$103)&gt;=$Y144),$AB144,$AA144)))=Milestones!$AB$103),UPPER(TEXT(EDATE($D144,Milestones!$AA$103),"dd mmm yy"))&amp;" "&amp;Milestones!$AB$103&amp;" "&amp;IF(AND(Milestones!$AB$103="FT",Milestones!$AA$103=FT_Y5,EDATE($D144,Milestones!$AA$103)&lt;PolicyEff),1,Milestones!$AC$103)&amp;";  ",""))</f>
        <v/>
      </c>
      <c r="P144" s="0" t="str">
        <f aca="false">IF(OR($A144="",$D144=""),"",IF(AND(EDATE($D144,Milestones!$AA$104)&lt;=AsOfDate,EDATE($D144,Milestones!$AA$104)&gt;=SchemeStart,IF($X144=0,$AD144,IF(AND($Z144&lt;&gt;"",EDATE($D144,Milestones!$AA$104)&gt;=$Z144),$AC144,IF(AND($Y144&lt;&gt;"",EDATE($D144,Milestones!$AA$104)&gt;=$Y144),$AB144,$AA144)))=Milestones!$AB$104),UPPER(TEXT(EDATE($D144,Milestones!$AA$104),"dd mmm yy"))&amp;" "&amp;Milestones!$AB$104&amp;" "&amp;IF(AND(Milestones!$AB$104="FT",Milestones!$AA$104=FT_Y5,EDATE($D144,Milestones!$AA$104)&lt;PolicyEff),1,Milestones!$AC$104)&amp;";  ","")&amp;IF(AND(EDATE($D144,Milestones!$AA$105)&lt;=AsOfDate,EDATE($D144,Milestones!$AA$105)&gt;=SchemeStart,IF($X144=0,$AD144,IF(AND($Z144&lt;&gt;"",EDATE($D144,Milestones!$AA$105)&gt;=$Z144),$AC144,IF(AND($Y144&lt;&gt;"",EDATE($D144,Milestones!$AA$105)&gt;=$Y144),$AB144,$AA144)))=Milestones!$AB$105),UPPER(TEXT(EDATE($D144,Milestones!$AA$105),"dd mmm yy"))&amp;" "&amp;Milestones!$AB$105&amp;" "&amp;IF(AND(Milestones!$AB$105="FT",Milestones!$AA$105=FT_Y5,EDATE($D144,Milestones!$AA$105)&lt;PolicyEff),1,Milestones!$AC$105)&amp;";  ","")&amp;IF(AND(EDATE($D144,Milestones!$AA$106)&lt;=AsOfDate,EDATE($D144,Milestones!$AA$106)&gt;=SchemeStart,IF($X144=0,$AD144,IF(AND($Z144&lt;&gt;"",EDATE($D144,Milestones!$AA$106)&gt;=$Z144),$AC144,IF(AND($Y144&lt;&gt;"",EDATE($D144,Milestones!$AA$106)&gt;=$Y144),$AB144,$AA144)))=Milestones!$AB$106),UPPER(TEXT(EDATE($D144,Milestones!$AA$106),"dd mmm yy"))&amp;" "&amp;Milestones!$AB$106&amp;" "&amp;IF(AND(Milestones!$AB$106="FT",Milestones!$AA$106=FT_Y5,EDATE($D144,Milestones!$AA$106)&lt;PolicyEff),1,Milestones!$AC$106)&amp;";  ","")&amp;IF(AND(EDATE($D144,Milestones!$AA$107)&lt;=AsOfDate,EDATE($D144,Milestones!$AA$107)&gt;=SchemeStart,IF($X144=0,$AD144,IF(AND($Z144&lt;&gt;"",EDATE($D144,Milestones!$AA$107)&gt;=$Z144),$AC144,IF(AND($Y144&lt;&gt;"",EDATE($D144,Milestones!$AA$107)&gt;=$Y144),$AB144,$AA144)))=Milestones!$AB$107),UPPER(TEXT(EDATE($D144,Milestones!$AA$107),"dd mmm yy"))&amp;" "&amp;Milestones!$AB$107&amp;" "&amp;IF(AND(Milestones!$AB$107="FT",Milestones!$AA$107=FT_Y5,EDATE($D144,Milestones!$AA$107)&lt;PolicyEff),1,Milestones!$AC$107)&amp;";  ","")&amp;IF(AND(EDATE($D144,Milestones!$AA$108)&lt;=AsOfDate,EDATE($D144,Milestones!$AA$108)&gt;=SchemeStart,IF($X144=0,$AD144,IF(AND($Z144&lt;&gt;"",EDATE($D144,Milestones!$AA$108)&gt;=$Z144),$AC144,IF(AND($Y144&lt;&gt;"",EDATE($D144,Milestones!$AA$108)&gt;=$Y144),$AB144,$AA144)))=Milestones!$AB$108),UPPER(TEXT(EDATE($D144,Milestones!$AA$108),"dd mmm yy"))&amp;" "&amp;Milestones!$AB$108&amp;" "&amp;IF(AND(Milestones!$AB$108="FT",Milestones!$AA$108=FT_Y5,EDATE($D144,Milestones!$AA$108)&lt;PolicyEff),1,Milestones!$AC$108)&amp;";  ","")&amp;IF(AND(EDATE($D144,Milestones!$AA$109)&lt;=AsOfDate,EDATE($D144,Milestones!$AA$109)&gt;=SchemeStart,IF($X144=0,$AD144,IF(AND($Z144&lt;&gt;"",EDATE($D144,Milestones!$AA$109)&gt;=$Z144),$AC144,IF(AND($Y144&lt;&gt;"",EDATE($D144,Milestones!$AA$109)&gt;=$Y144),$AB144,$AA144)))=Milestones!$AB$109),UPPER(TEXT(EDATE($D144,Milestones!$AA$109),"dd mmm yy"))&amp;" "&amp;Milestones!$AB$109&amp;" "&amp;IF(AND(Milestones!$AB$109="FT",Milestones!$AA$109=FT_Y5,EDATE($D144,Milestones!$AA$109)&lt;PolicyEff),1,Milestones!$AC$109)&amp;";  ","")&amp;IF(AND(EDATE($D144,Milestones!$AA$110)&lt;=AsOfDate,EDATE($D144,Milestones!$AA$110)&gt;=SchemeStart,IF($X144=0,$AD144,IF(AND($Z144&lt;&gt;"",EDATE($D144,Milestones!$AA$110)&gt;=$Z144),$AC144,IF(AND($Y144&lt;&gt;"",EDATE($D144,Milestones!$AA$110)&gt;=$Y144),$AB144,$AA144)))=Milestones!$AB$110),UPPER(TEXT(EDATE($D144,Milestones!$AA$110),"dd mmm yy"))&amp;" "&amp;Milestones!$AB$110&amp;" "&amp;IF(AND(Milestones!$AB$110="FT",Milestones!$AA$110=FT_Y5,EDATE($D144,Milestones!$AA$110)&lt;PolicyEff),1,Milestones!$AC$110)&amp;";  ","")&amp;IF(AND(EDATE($D144,Milestones!$AA$111)&lt;=AsOfDate,EDATE($D144,Milestones!$AA$111)&gt;=SchemeStart,IF($X144=0,$AD144,IF(AND($Z144&lt;&gt;"",EDATE($D144,Milestones!$AA$111)&gt;=$Z144),$AC144,IF(AND($Y144&lt;&gt;"",EDATE($D144,Milestones!$AA$111)&gt;=$Y144),$AB144,$AA144)))=Milestones!$AB$111),UPPER(TEXT(EDATE($D144,Milestones!$AA$111),"dd mmm yy"))&amp;" "&amp;Milestones!$AB$111&amp;" "&amp;IF(AND(Milestones!$AB$111="FT",Milestones!$AA$111=FT_Y5,EDATE($D144,Milestones!$AA$111)&lt;PolicyEff),1,Milestones!$AC$111)&amp;";  ","")&amp;IF(AND(EDATE($D144,Milestones!$AA$112)&lt;=AsOfDate,EDATE($D144,Milestones!$AA$112)&gt;=SchemeStart,IF($X144=0,$AD144,IF(AND($Z144&lt;&gt;"",EDATE($D144,Milestones!$AA$112)&gt;=$Z144),$AC144,IF(AND($Y144&lt;&gt;"",EDATE($D144,Milestones!$AA$112)&gt;=$Y144),$AB144,$AA144)))=Milestones!$AB$112),UPPER(TEXT(EDATE($D144,Milestones!$AA$112),"dd mmm yy"))&amp;" "&amp;Milestones!$AB$112&amp;" "&amp;IF(AND(Milestones!$AB$112="FT",Milestones!$AA$112=FT_Y5,EDATE($D144,Milestones!$AA$112)&lt;PolicyEff),1,Milestones!$AC$112)&amp;";  ","")&amp;IF(AND(EDATE($D144,Milestones!$AA$113)&lt;=AsOfDate,EDATE($D144,Milestones!$AA$113)&gt;=SchemeStart,IF($X144=0,$AD144,IF(AND($Z144&lt;&gt;"",EDATE($D144,Milestones!$AA$113)&gt;=$Z144),$AC144,IF(AND($Y144&lt;&gt;"",EDATE($D144,Milestones!$AA$113)&gt;=$Y144),$AB144,$AA144)))=Milestones!$AB$113),UPPER(TEXT(EDATE($D144,Milestones!$AA$113),"dd mmm yy"))&amp;" "&amp;Milestones!$AB$113&amp;" "&amp;IF(AND(Milestones!$AB$113="FT",Milestones!$AA$113=FT_Y5,EDATE($D144,Milestones!$AA$113)&lt;PolicyEff),1,Milestones!$AC$113)&amp;";  ","")&amp;IF(AND(EDATE($D144,Milestones!$AA$114)&lt;=AsOfDate,EDATE($D144,Milestones!$AA$114)&gt;=SchemeStart,IF($X144=0,$AD144,IF(AND($Z144&lt;&gt;"",EDATE($D144,Milestones!$AA$114)&gt;=$Z144),$AC144,IF(AND($Y144&lt;&gt;"",EDATE($D144,Milestones!$AA$114)&gt;=$Y144),$AB144,$AA144)))=Milestones!$AB$114),UPPER(TEXT(EDATE($D144,Milestones!$AA$114),"dd mmm yy"))&amp;" "&amp;Milestones!$AB$114&amp;" "&amp;IF(AND(Milestones!$AB$114="FT",Milestones!$AA$114=FT_Y5,EDATE($D144,Milestones!$AA$114)&lt;PolicyEff),1,Milestones!$AC$114)&amp;";  ","")&amp;IF(AND(EDATE($D144,Milestones!$AA$115)&lt;=AsOfDate,EDATE($D144,Milestones!$AA$115)&gt;=SchemeStart,IF($X144=0,$AD144,IF(AND($Z144&lt;&gt;"",EDATE($D144,Milestones!$AA$115)&gt;=$Z144),$AC144,IF(AND($Y144&lt;&gt;"",EDATE($D144,Milestones!$AA$115)&gt;=$Y144),$AB144,$AA144)))=Milestones!$AB$115),UPPER(TEXT(EDATE($D144,Milestones!$AA$115),"dd mmm yy"))&amp;" "&amp;Milestones!$AB$115&amp;" "&amp;IF(AND(Milestones!$AB$115="FT",Milestones!$AA$115=FT_Y5,EDATE($D144,Milestones!$AA$115)&lt;PolicyEff),1,Milestones!$AC$115)&amp;";  ",""))</f>
        <v/>
      </c>
      <c r="Q144" s="0" t="str">
        <f aca="false">IF(OR($A144="",$D144=""),"",IF(AND(EDATE($D144,Milestones!$AA$116)&lt;=AsOfDate,EDATE($D144,Milestones!$AA$116)&gt;=SchemeStart,IF($X144=0,$AD144,IF(AND($Z144&lt;&gt;"",EDATE($D144,Milestones!$AA$116)&gt;=$Z144),$AC144,IF(AND($Y144&lt;&gt;"",EDATE($D144,Milestones!$AA$116)&gt;=$Y144),$AB144,$AA144)))=Milestones!$AB$116),UPPER(TEXT(EDATE($D144,Milestones!$AA$116),"dd mmm yy"))&amp;" "&amp;Milestones!$AB$116&amp;" "&amp;IF(AND(Milestones!$AB$116="FT",Milestones!$AA$116=FT_Y5,EDATE($D144,Milestones!$AA$116)&lt;PolicyEff),1,Milestones!$AC$116)&amp;";  ","")&amp;IF(AND(EDATE($D144,Milestones!$AA$117)&lt;=AsOfDate,EDATE($D144,Milestones!$AA$117)&gt;=SchemeStart,IF($X144=0,$AD144,IF(AND($Z144&lt;&gt;"",EDATE($D144,Milestones!$AA$117)&gt;=$Z144),$AC144,IF(AND($Y144&lt;&gt;"",EDATE($D144,Milestones!$AA$117)&gt;=$Y144),$AB144,$AA144)))=Milestones!$AB$117),UPPER(TEXT(EDATE($D144,Milestones!$AA$117),"dd mmm yy"))&amp;" "&amp;Milestones!$AB$117&amp;" "&amp;IF(AND(Milestones!$AB$117="FT",Milestones!$AA$117=FT_Y5,EDATE($D144,Milestones!$AA$117)&lt;PolicyEff),1,Milestones!$AC$117)&amp;";  ","")&amp;IF(AND(EDATE($D144,Milestones!$AA$118)&lt;=AsOfDate,EDATE($D144,Milestones!$AA$118)&gt;=SchemeStart,IF($X144=0,$AD144,IF(AND($Z144&lt;&gt;"",EDATE($D144,Milestones!$AA$118)&gt;=$Z144),$AC144,IF(AND($Y144&lt;&gt;"",EDATE($D144,Milestones!$AA$118)&gt;=$Y144),$AB144,$AA144)))=Milestones!$AB$118),UPPER(TEXT(EDATE($D144,Milestones!$AA$118),"dd mmm yy"))&amp;" "&amp;Milestones!$AB$118&amp;" "&amp;IF(AND(Milestones!$AB$118="FT",Milestones!$AA$118=FT_Y5,EDATE($D144,Milestones!$AA$118)&lt;PolicyEff),1,Milestones!$AC$118)&amp;";  ","")&amp;IF(AND(EDATE($D144,Milestones!$AA$119)&lt;=AsOfDate,EDATE($D144,Milestones!$AA$119)&gt;=SchemeStart,IF($X144=0,$AD144,IF(AND($Z144&lt;&gt;"",EDATE($D144,Milestones!$AA$119)&gt;=$Z144),$AC144,IF(AND($Y144&lt;&gt;"",EDATE($D144,Milestones!$AA$119)&gt;=$Y144),$AB144,$AA144)))=Milestones!$AB$119),UPPER(TEXT(EDATE($D144,Milestones!$AA$119),"dd mmm yy"))&amp;" "&amp;Milestones!$AB$119&amp;" "&amp;IF(AND(Milestones!$AB$119="FT",Milestones!$AA$119=FT_Y5,EDATE($D144,Milestones!$AA$119)&lt;PolicyEff),1,Milestones!$AC$119)&amp;";  ","")&amp;IF(AND(EDATE($D144,Milestones!$AA$120)&lt;=AsOfDate,EDATE($D144,Milestones!$AA$120)&gt;=SchemeStart,IF($X144=0,$AD144,IF(AND($Z144&lt;&gt;"",EDATE($D144,Milestones!$AA$120)&gt;=$Z144),$AC144,IF(AND($Y144&lt;&gt;"",EDATE($D144,Milestones!$AA$120)&gt;=$Y144),$AB144,$AA144)))=Milestones!$AB$120),UPPER(TEXT(EDATE($D144,Milestones!$AA$120),"dd mmm yy"))&amp;" "&amp;Milestones!$AB$120&amp;" "&amp;IF(AND(Milestones!$AB$120="FT",Milestones!$AA$120=FT_Y5,EDATE($D144,Milestones!$AA$120)&lt;PolicyEff),1,Milestones!$AC$120)&amp;";  ","")&amp;IF(AND(EDATE($D144,Milestones!$AA$121)&lt;=AsOfDate,EDATE($D144,Milestones!$AA$121)&gt;=SchemeStart,IF($X144=0,$AD144,IF(AND($Z144&lt;&gt;"",EDATE($D144,Milestones!$AA$121)&gt;=$Z144),$AC144,IF(AND($Y144&lt;&gt;"",EDATE($D144,Milestones!$AA$121)&gt;=$Y144),$AB144,$AA144)))=Milestones!$AB$121),UPPER(TEXT(EDATE($D144,Milestones!$AA$121),"dd mmm yy"))&amp;" "&amp;Milestones!$AB$121&amp;" "&amp;IF(AND(Milestones!$AB$121="FT",Milestones!$AA$121=FT_Y5,EDATE($D144,Milestones!$AA$121)&lt;PolicyEff),1,Milestones!$AC$121)&amp;";  ","")&amp;IF(AND(EDATE($D144,Milestones!$AA$122)&lt;=AsOfDate,EDATE($D144,Milestones!$AA$122)&gt;=SchemeStart,IF($X144=0,$AD144,IF(AND($Z144&lt;&gt;"",EDATE($D144,Milestones!$AA$122)&gt;=$Z144),$AC144,IF(AND($Y144&lt;&gt;"",EDATE($D144,Milestones!$AA$122)&gt;=$Y144),$AB144,$AA144)))=Milestones!$AB$122),UPPER(TEXT(EDATE($D144,Milestones!$AA$122),"dd mmm yy"))&amp;" "&amp;Milestones!$AB$122&amp;" "&amp;IF(AND(Milestones!$AB$122="FT",Milestones!$AA$122=FT_Y5,EDATE($D144,Milestones!$AA$122)&lt;PolicyEff),1,Milestones!$AC$122)&amp;";  ","")&amp;IF(AND(EDATE($D144,Milestones!$AA$123)&lt;=AsOfDate,EDATE($D144,Milestones!$AA$123)&gt;=SchemeStart,IF($X144=0,$AD144,IF(AND($Z144&lt;&gt;"",EDATE($D144,Milestones!$AA$123)&gt;=$Z144),$AC144,IF(AND($Y144&lt;&gt;"",EDATE($D144,Milestones!$AA$123)&gt;=$Y144),$AB144,$AA144)))=Milestones!$AB$123),UPPER(TEXT(EDATE($D144,Milestones!$AA$123),"dd mmm yy"))&amp;" "&amp;Milestones!$AB$123&amp;" "&amp;IF(AND(Milestones!$AB$123="FT",Milestones!$AA$123=FT_Y5,EDATE($D144,Milestones!$AA$123)&lt;PolicyEff),1,Milestones!$AC$123)&amp;";  ","")&amp;IF(AND(EDATE($D144,Milestones!$AA$124)&lt;=AsOfDate,EDATE($D144,Milestones!$AA$124)&gt;=SchemeStart,IF($X144=0,$AD144,IF(AND($Z144&lt;&gt;"",EDATE($D144,Milestones!$AA$124)&gt;=$Z144),$AC144,IF(AND($Y144&lt;&gt;"",EDATE($D144,Milestones!$AA$124)&gt;=$Y144),$AB144,$AA144)))=Milestones!$AB$124),UPPER(TEXT(EDATE($D144,Milestones!$AA$124),"dd mmm yy"))&amp;" "&amp;Milestones!$AB$124&amp;" "&amp;IF(AND(Milestones!$AB$124="FT",Milestones!$AA$124=FT_Y5,EDATE($D144,Milestones!$AA$124)&lt;PolicyEff),1,Milestones!$AC$124)&amp;";  ","")&amp;IF(AND(EDATE($D144,Milestones!$AA$125)&lt;=AsOfDate,EDATE($D144,Milestones!$AA$125)&gt;=SchemeStart,IF($X144=0,$AD144,IF(AND($Z144&lt;&gt;"",EDATE($D144,Milestones!$AA$125)&gt;=$Z144),$AC144,IF(AND($Y144&lt;&gt;"",EDATE($D144,Milestones!$AA$125)&gt;=$Y144),$AB144,$AA144)))=Milestones!$AB$125),UPPER(TEXT(EDATE($D144,Milestones!$AA$125),"dd mmm yy"))&amp;" "&amp;Milestones!$AB$125&amp;" "&amp;IF(AND(Milestones!$AB$125="FT",Milestones!$AA$125=FT_Y5,EDATE($D144,Milestones!$AA$125)&lt;PolicyEff),1,Milestones!$AC$125)&amp;";  ","")&amp;IF(AND(EDATE($D144,Milestones!$AA$126)&lt;=AsOfDate,EDATE($D144,Milestones!$AA$126)&gt;=SchemeStart,IF($X144=0,$AD144,IF(AND($Z144&lt;&gt;"",EDATE($D144,Milestones!$AA$126)&gt;=$Z144),$AC144,IF(AND($Y144&lt;&gt;"",EDATE($D144,Milestones!$AA$126)&gt;=$Y144),$AB144,$AA144)))=Milestones!$AB$126),UPPER(TEXT(EDATE($D144,Milestones!$AA$126),"dd mmm yy"))&amp;" "&amp;Milestones!$AB$126&amp;" "&amp;IF(AND(Milestones!$AB$126="FT",Milestones!$AA$126=FT_Y5,EDATE($D144,Milestones!$AA$126)&lt;PolicyEff),1,Milestones!$AC$126)&amp;";  ","")&amp;IF(AND(EDATE($D144,Milestones!$AA$127)&lt;=AsOfDate,EDATE($D144,Milestones!$AA$127)&gt;=SchemeStart,IF($X144=0,$AD144,IF(AND($Z144&lt;&gt;"",EDATE($D144,Milestones!$AA$127)&gt;=$Z144),$AC144,IF(AND($Y144&lt;&gt;"",EDATE($D144,Milestones!$AA$127)&gt;=$Y144),$AB144,$AA144)))=Milestones!$AB$127),UPPER(TEXT(EDATE($D144,Milestones!$AA$127),"dd mmm yy"))&amp;" "&amp;Milestones!$AB$127&amp;" "&amp;IF(AND(Milestones!$AB$127="FT",Milestones!$AA$127=FT_Y5,EDATE($D144,Milestones!$AA$127)&lt;PolicyEff),1,Milestones!$AC$127)&amp;";  ",""))</f>
        <v/>
      </c>
      <c r="R144" s="0" t="str">
        <f aca="false">IF(OR($A144="",$D144=""),"",IF(AND(EDATE($D144,Milestones!$AA$128)&lt;=AsOfDate,EDATE($D144,Milestones!$AA$128)&gt;=SchemeStart,IF($X144=0,$AD144,IF(AND($Z144&lt;&gt;"",EDATE($D144,Milestones!$AA$128)&gt;=$Z144),$AC144,IF(AND($Y144&lt;&gt;"",EDATE($D144,Milestones!$AA$128)&gt;=$Y144),$AB144,$AA144)))=Milestones!$AB$128),UPPER(TEXT(EDATE($D144,Milestones!$AA$128),"dd mmm yy"))&amp;" "&amp;Milestones!$AB$128&amp;" "&amp;IF(AND(Milestones!$AB$128="FT",Milestones!$AA$128=FT_Y5,EDATE($D144,Milestones!$AA$128)&lt;PolicyEff),1,Milestones!$AC$128)&amp;";  ","")&amp;IF(AND(EDATE($D144,Milestones!$AA$129)&lt;=AsOfDate,EDATE($D144,Milestones!$AA$129)&gt;=SchemeStart,IF($X144=0,$AD144,IF(AND($Z144&lt;&gt;"",EDATE($D144,Milestones!$AA$129)&gt;=$Z144),$AC144,IF(AND($Y144&lt;&gt;"",EDATE($D144,Milestones!$AA$129)&gt;=$Y144),$AB144,$AA144)))=Milestones!$AB$129),UPPER(TEXT(EDATE($D144,Milestones!$AA$129),"dd mmm yy"))&amp;" "&amp;Milestones!$AB$129&amp;" "&amp;IF(AND(Milestones!$AB$129="FT",Milestones!$AA$129=FT_Y5,EDATE($D144,Milestones!$AA$129)&lt;PolicyEff),1,Milestones!$AC$129)&amp;";  ","")&amp;IF(AND(EDATE($D144,Milestones!$AA$130)&lt;=AsOfDate,EDATE($D144,Milestones!$AA$130)&gt;=SchemeStart,IF($X144=0,$AD144,IF(AND($Z144&lt;&gt;"",EDATE($D144,Milestones!$AA$130)&gt;=$Z144),$AC144,IF(AND($Y144&lt;&gt;"",EDATE($D144,Milestones!$AA$130)&gt;=$Y144),$AB144,$AA144)))=Milestones!$AB$130),UPPER(TEXT(EDATE($D144,Milestones!$AA$130),"dd mmm yy"))&amp;" "&amp;Milestones!$AB$130&amp;" "&amp;IF(AND(Milestones!$AB$130="FT",Milestones!$AA$130=FT_Y5,EDATE($D144,Milestones!$AA$130)&lt;PolicyEff),1,Milestones!$AC$130)&amp;";  ","")&amp;IF(AND(EDATE($D144,Milestones!$AA$131)&lt;=AsOfDate,EDATE($D144,Milestones!$AA$131)&gt;=SchemeStart,IF($X144=0,$AD144,IF(AND($Z144&lt;&gt;"",EDATE($D144,Milestones!$AA$131)&gt;=$Z144),$AC144,IF(AND($Y144&lt;&gt;"",EDATE($D144,Milestones!$AA$131)&gt;=$Y144),$AB144,$AA144)))=Milestones!$AB$131),UPPER(TEXT(EDATE($D144,Milestones!$AA$131),"dd mmm yy"))&amp;" "&amp;Milestones!$AB$131&amp;" "&amp;IF(AND(Milestones!$AB$131="FT",Milestones!$AA$131=FT_Y5,EDATE($D144,Milestones!$AA$131)&lt;PolicyEff),1,Milestones!$AC$131)&amp;";  ","")&amp;IF(AND(EDATE($D144,Milestones!$AA$132)&lt;=AsOfDate,EDATE($D144,Milestones!$AA$132)&gt;=SchemeStart,IF($X144=0,$AD144,IF(AND($Z144&lt;&gt;"",EDATE($D144,Milestones!$AA$132)&gt;=$Z144),$AC144,IF(AND($Y144&lt;&gt;"",EDATE($D144,Milestones!$AA$132)&gt;=$Y144),$AB144,$AA144)))=Milestones!$AB$132),UPPER(TEXT(EDATE($D144,Milestones!$AA$132),"dd mmm yy"))&amp;" "&amp;Milestones!$AB$132&amp;" "&amp;IF(AND(Milestones!$AB$132="FT",Milestones!$AA$132=FT_Y5,EDATE($D144,Milestones!$AA$132)&lt;PolicyEff),1,Milestones!$AC$132)&amp;";  ","")&amp;IF(AND(EDATE($D144,Milestones!$AA$133)&lt;=AsOfDate,EDATE($D144,Milestones!$AA$133)&gt;=SchemeStart,IF($X144=0,$AD144,IF(AND($Z144&lt;&gt;"",EDATE($D144,Milestones!$AA$133)&gt;=$Z144),$AC144,IF(AND($Y144&lt;&gt;"",EDATE($D144,Milestones!$AA$133)&gt;=$Y144),$AB144,$AA144)))=Milestones!$AB$133),UPPER(TEXT(EDATE($D144,Milestones!$AA$133),"dd mmm yy"))&amp;" "&amp;Milestones!$AB$133&amp;" "&amp;IF(AND(Milestones!$AB$133="FT",Milestones!$AA$133=FT_Y5,EDATE($D144,Milestones!$AA$133)&lt;PolicyEff),1,Milestones!$AC$133)&amp;";  ","")&amp;IF(AND(EDATE($D144,Milestones!$AA$134)&lt;=AsOfDate,EDATE($D144,Milestones!$AA$134)&gt;=SchemeStart,IF($X144=0,$AD144,IF(AND($Z144&lt;&gt;"",EDATE($D144,Milestones!$AA$134)&gt;=$Z144),$AC144,IF(AND($Y144&lt;&gt;"",EDATE($D144,Milestones!$AA$134)&gt;=$Y144),$AB144,$AA144)))=Milestones!$AB$134),UPPER(TEXT(EDATE($D144,Milestones!$AA$134),"dd mmm yy"))&amp;" "&amp;Milestones!$AB$134&amp;" "&amp;IF(AND(Milestones!$AB$134="FT",Milestones!$AA$134=FT_Y5,EDATE($D144,Milestones!$AA$134)&lt;PolicyEff),1,Milestones!$AC$134)&amp;";  ","")&amp;IF(AND(EDATE($D144,Milestones!$AA$135)&lt;=AsOfDate,EDATE($D144,Milestones!$AA$135)&gt;=SchemeStart,IF($X144=0,$AD144,IF(AND($Z144&lt;&gt;"",EDATE($D144,Milestones!$AA$135)&gt;=$Z144),$AC144,IF(AND($Y144&lt;&gt;"",EDATE($D144,Milestones!$AA$135)&gt;=$Y144),$AB144,$AA144)))=Milestones!$AB$135),UPPER(TEXT(EDATE($D144,Milestones!$AA$135),"dd mmm yy"))&amp;" "&amp;Milestones!$AB$135&amp;" "&amp;IF(AND(Milestones!$AB$135="FT",Milestones!$AA$135=FT_Y5,EDATE($D144,Milestones!$AA$135)&lt;PolicyEff),1,Milestones!$AC$135)&amp;";  ","")&amp;IF(AND(EDATE($D144,Milestones!$AA$136)&lt;=AsOfDate,EDATE($D144,Milestones!$AA$136)&gt;=SchemeStart,IF($X144=0,$AD144,IF(AND($Z144&lt;&gt;"",EDATE($D144,Milestones!$AA$136)&gt;=$Z144),$AC144,IF(AND($Y144&lt;&gt;"",EDATE($D144,Milestones!$AA$136)&gt;=$Y144),$AB144,$AA144)))=Milestones!$AB$136),UPPER(TEXT(EDATE($D144,Milestones!$AA$136),"dd mmm yy"))&amp;" "&amp;Milestones!$AB$136&amp;" "&amp;IF(AND(Milestones!$AB$136="FT",Milestones!$AA$136=FT_Y5,EDATE($D144,Milestones!$AA$136)&lt;PolicyEff),1,Milestones!$AC$136)&amp;";  ","")&amp;IF(AND(EDATE($D144,Milestones!$AA$137)&lt;=AsOfDate,EDATE($D144,Milestones!$AA$137)&gt;=SchemeStart,IF($X144=0,$AD144,IF(AND($Z144&lt;&gt;"",EDATE($D144,Milestones!$AA$137)&gt;=$Z144),$AC144,IF(AND($Y144&lt;&gt;"",EDATE($D144,Milestones!$AA$137)&gt;=$Y144),$AB144,$AA144)))=Milestones!$AB$137),UPPER(TEXT(EDATE($D144,Milestones!$AA$137),"dd mmm yy"))&amp;" "&amp;Milestones!$AB$137&amp;" "&amp;IF(AND(Milestones!$AB$137="FT",Milestones!$AA$137=FT_Y5,EDATE($D144,Milestones!$AA$137)&lt;PolicyEff),1,Milestones!$AC$137)&amp;";  ","")&amp;IF(AND(EDATE($D144,Milestones!$AA$138)&lt;=AsOfDate,EDATE($D144,Milestones!$AA$138)&gt;=SchemeStart,IF($X144=0,$AD144,IF(AND($Z144&lt;&gt;"",EDATE($D144,Milestones!$AA$138)&gt;=$Z144),$AC144,IF(AND($Y144&lt;&gt;"",EDATE($D144,Milestones!$AA$138)&gt;=$Y144),$AB144,$AA144)))=Milestones!$AB$138),UPPER(TEXT(EDATE($D144,Milestones!$AA$138),"dd mmm yy"))&amp;" "&amp;Milestones!$AB$138&amp;" "&amp;IF(AND(Milestones!$AB$138="FT",Milestones!$AA$138=FT_Y5,EDATE($D144,Milestones!$AA$138)&lt;PolicyEff),1,Milestones!$AC$138)&amp;";  ","")&amp;IF(AND(EDATE($D144,Milestones!$AA$139)&lt;=AsOfDate,EDATE($D144,Milestones!$AA$139)&gt;=SchemeStart,IF($X144=0,$AD144,IF(AND($Z144&lt;&gt;"",EDATE($D144,Milestones!$AA$139)&gt;=$Z144),$AC144,IF(AND($Y144&lt;&gt;"",EDATE($D144,Milestones!$AA$139)&gt;=$Y144),$AB144,$AA144)))=Milestones!$AB$139),UPPER(TEXT(EDATE($D144,Milestones!$AA$139),"dd mmm yy"))&amp;" "&amp;Milestones!$AB$139&amp;" "&amp;IF(AND(Milestones!$AB$139="FT",Milestones!$AA$139=FT_Y5,EDATE($D144,Milestones!$AA$139)&lt;PolicyEff),1,Milestones!$AC$139)&amp;";  ",""))</f>
        <v/>
      </c>
      <c r="S144" s="0" t="str">
        <f aca="false">IF(OR($A144="",$D144=""),"",IF(AND(EDATE($D144,Milestones!$AA$140)&lt;=AsOfDate,EDATE($D144,Milestones!$AA$140)&gt;=SchemeStart,IF($X144=0,$AD144,IF(AND($Z144&lt;&gt;"",EDATE($D144,Milestones!$AA$140)&gt;=$Z144),$AC144,IF(AND($Y144&lt;&gt;"",EDATE($D144,Milestones!$AA$140)&gt;=$Y144),$AB144,$AA144)))=Milestones!$AB$140),UPPER(TEXT(EDATE($D144,Milestones!$AA$140),"dd mmm yy"))&amp;" "&amp;Milestones!$AB$140&amp;" "&amp;IF(AND(Milestones!$AB$140="FT",Milestones!$AA$140=FT_Y5,EDATE($D144,Milestones!$AA$140)&lt;PolicyEff),1,Milestones!$AC$140)&amp;";  ","")&amp;IF(AND(EDATE($D144,Milestones!$AA$141)&lt;=AsOfDate,EDATE($D144,Milestones!$AA$141)&gt;=SchemeStart,IF($X144=0,$AD144,IF(AND($Z144&lt;&gt;"",EDATE($D144,Milestones!$AA$141)&gt;=$Z144),$AC144,IF(AND($Y144&lt;&gt;"",EDATE($D144,Milestones!$AA$141)&gt;=$Y144),$AB144,$AA144)))=Milestones!$AB$141),UPPER(TEXT(EDATE($D144,Milestones!$AA$141),"dd mmm yy"))&amp;" "&amp;Milestones!$AB$141&amp;" "&amp;IF(AND(Milestones!$AB$141="FT",Milestones!$AA$141=FT_Y5,EDATE($D144,Milestones!$AA$141)&lt;PolicyEff),1,Milestones!$AC$141)&amp;";  ","")&amp;IF(AND(EDATE($D144,Milestones!$AA$142)&lt;=AsOfDate,EDATE($D144,Milestones!$AA$142)&gt;=SchemeStart,IF($X144=0,$AD144,IF(AND($Z144&lt;&gt;"",EDATE($D144,Milestones!$AA$142)&gt;=$Z144),$AC144,IF(AND($Y144&lt;&gt;"",EDATE($D144,Milestones!$AA$142)&gt;=$Y144),$AB144,$AA144)))=Milestones!$AB$142),UPPER(TEXT(EDATE($D144,Milestones!$AA$142),"dd mmm yy"))&amp;" "&amp;Milestones!$AB$142&amp;" "&amp;IF(AND(Milestones!$AB$142="FT",Milestones!$AA$142=FT_Y5,EDATE($D144,Milestones!$AA$142)&lt;PolicyEff),1,Milestones!$AC$142)&amp;";  ","")&amp;IF(AND(EDATE($D144,Milestones!$AA$143)&lt;=AsOfDate,EDATE($D144,Milestones!$AA$143)&gt;=SchemeStart,IF($X144=0,$AD144,IF(AND($Z144&lt;&gt;"",EDATE($D144,Milestones!$AA$143)&gt;=$Z144),$AC144,IF(AND($Y144&lt;&gt;"",EDATE($D144,Milestones!$AA$143)&gt;=$Y144),$AB144,$AA144)))=Milestones!$AB$143),UPPER(TEXT(EDATE($D144,Milestones!$AA$143),"dd mmm yy"))&amp;" "&amp;Milestones!$AB$143&amp;" "&amp;IF(AND(Milestones!$AB$143="FT",Milestones!$AA$143=FT_Y5,EDATE($D144,Milestones!$AA$143)&lt;PolicyEff),1,Milestones!$AC$143)&amp;";  ","")&amp;IF(AND(EDATE($D144,Milestones!$AA$144)&lt;=AsOfDate,EDATE($D144,Milestones!$AA$144)&gt;=SchemeStart,IF($X144=0,$AD144,IF(AND($Z144&lt;&gt;"",EDATE($D144,Milestones!$AA$144)&gt;=$Z144),$AC144,IF(AND($Y144&lt;&gt;"",EDATE($D144,Milestones!$AA$144)&gt;=$Y144),$AB144,$AA144)))=Milestones!$AB$144),UPPER(TEXT(EDATE($D144,Milestones!$AA$144),"dd mmm yy"))&amp;" "&amp;Milestones!$AB$144&amp;" "&amp;IF(AND(Milestones!$AB$144="FT",Milestones!$AA$144=FT_Y5,EDATE($D144,Milestones!$AA$144)&lt;PolicyEff),1,Milestones!$AC$144)&amp;";  ","")&amp;IF(AND(EDATE($D144,Milestones!$AA$145)&lt;=AsOfDate,EDATE($D144,Milestones!$AA$145)&gt;=SchemeStart,IF($X144=0,$AD144,IF(AND($Z144&lt;&gt;"",EDATE($D144,Milestones!$AA$145)&gt;=$Z144),$AC144,IF(AND($Y144&lt;&gt;"",EDATE($D144,Milestones!$AA$145)&gt;=$Y144),$AB144,$AA144)))=Milestones!$AB$145),UPPER(TEXT(EDATE($D144,Milestones!$AA$145),"dd mmm yy"))&amp;" "&amp;Milestones!$AB$145&amp;" "&amp;IF(AND(Milestones!$AB$145="FT",Milestones!$AA$145=FT_Y5,EDATE($D144,Milestones!$AA$145)&lt;PolicyEff),1,Milestones!$AC$145)&amp;";  ","")&amp;IF(AND(EDATE($D144,Milestones!$AA$146)&lt;=AsOfDate,EDATE($D144,Milestones!$AA$146)&gt;=SchemeStart,IF($X144=0,$AD144,IF(AND($Z144&lt;&gt;"",EDATE($D144,Milestones!$AA$146)&gt;=$Z144),$AC144,IF(AND($Y144&lt;&gt;"",EDATE($D144,Milestones!$AA$146)&gt;=$Y144),$AB144,$AA144)))=Milestones!$AB$146),UPPER(TEXT(EDATE($D144,Milestones!$AA$146),"dd mmm yy"))&amp;" "&amp;Milestones!$AB$146&amp;" "&amp;IF(AND(Milestones!$AB$146="FT",Milestones!$AA$146=FT_Y5,EDATE($D144,Milestones!$AA$146)&lt;PolicyEff),1,Milestones!$AC$146)&amp;";  ","")&amp;IF(AND(EDATE($D144,Milestones!$AA$147)&lt;=AsOfDate,EDATE($D144,Milestones!$AA$147)&gt;=SchemeStart,IF($X144=0,$AD144,IF(AND($Z144&lt;&gt;"",EDATE($D144,Milestones!$AA$147)&gt;=$Z144),$AC144,IF(AND($Y144&lt;&gt;"",EDATE($D144,Milestones!$AA$147)&gt;=$Y144),$AB144,$AA144)))=Milestones!$AB$147),UPPER(TEXT(EDATE($D144,Milestones!$AA$147),"dd mmm yy"))&amp;" "&amp;Milestones!$AB$147&amp;" "&amp;IF(AND(Milestones!$AB$147="FT",Milestones!$AA$147=FT_Y5,EDATE($D144,Milestones!$AA$147)&lt;PolicyEff),1,Milestones!$AC$147)&amp;";  ","")&amp;IF(AND(EDATE($D144,Milestones!$AA$148)&lt;=AsOfDate,EDATE($D144,Milestones!$AA$148)&gt;=SchemeStart,IF($X144=0,$AD144,IF(AND($Z144&lt;&gt;"",EDATE($D144,Milestones!$AA$148)&gt;=$Z144),$AC144,IF(AND($Y144&lt;&gt;"",EDATE($D144,Milestones!$AA$148)&gt;=$Y144),$AB144,$AA144)))=Milestones!$AB$148),UPPER(TEXT(EDATE($D144,Milestones!$AA$148),"dd mmm yy"))&amp;" "&amp;Milestones!$AB$148&amp;" "&amp;IF(AND(Milestones!$AB$148="FT",Milestones!$AA$148=FT_Y5,EDATE($D144,Milestones!$AA$148)&lt;PolicyEff),1,Milestones!$AC$148)&amp;";  ","")&amp;IF(AND(EDATE($D144,Milestones!$AA$149)&lt;=AsOfDate,EDATE($D144,Milestones!$AA$149)&gt;=SchemeStart,IF($X144=0,$AD144,IF(AND($Z144&lt;&gt;"",EDATE($D144,Milestones!$AA$149)&gt;=$Z144),$AC144,IF(AND($Y144&lt;&gt;"",EDATE($D144,Milestones!$AA$149)&gt;=$Y144),$AB144,$AA144)))=Milestones!$AB$149),UPPER(TEXT(EDATE($D144,Milestones!$AA$149),"dd mmm yy"))&amp;" "&amp;Milestones!$AB$149&amp;" "&amp;IF(AND(Milestones!$AB$149="FT",Milestones!$AA$149=FT_Y5,EDATE($D144,Milestones!$AA$149)&lt;PolicyEff),1,Milestones!$AC$149)&amp;";  ","")&amp;IF(AND(EDATE($D144,Milestones!$AA$150)&lt;=AsOfDate,EDATE($D144,Milestones!$AA$150)&gt;=SchemeStart,IF($X144=0,$AD144,IF(AND($Z144&lt;&gt;"",EDATE($D144,Milestones!$AA$150)&gt;=$Z144),$AC144,IF(AND($Y144&lt;&gt;"",EDATE($D144,Milestones!$AA$150)&gt;=$Y144),$AB144,$AA144)))=Milestones!$AB$150),UPPER(TEXT(EDATE($D144,Milestones!$AA$150),"dd mmm yy"))&amp;" "&amp;Milestones!$AB$150&amp;" "&amp;IF(AND(Milestones!$AB$150="FT",Milestones!$AA$150=FT_Y5,EDATE($D144,Milestones!$AA$150)&lt;PolicyEff),1,Milestones!$AC$150)&amp;";  ","")&amp;IF(AND(EDATE($D144,Milestones!$AA$151)&lt;=AsOfDate,EDATE($D144,Milestones!$AA$151)&gt;=SchemeStart,IF($X144=0,$AD144,IF(AND($Z144&lt;&gt;"",EDATE($D144,Milestones!$AA$151)&gt;=$Z144),$AC144,IF(AND($Y144&lt;&gt;"",EDATE($D144,Milestones!$AA$151)&gt;=$Y144),$AB144,$AA144)))=Milestones!$AB$151),UPPER(TEXT(EDATE($D144,Milestones!$AA$151),"dd mmm yy"))&amp;" "&amp;Milestones!$AB$151&amp;" "&amp;IF(AND(Milestones!$AB$151="FT",Milestones!$AA$151=FT_Y5,EDATE($D144,Milestones!$AA$151)&lt;PolicyEff),1,Milestones!$AC$151)&amp;";  ",""))</f>
        <v/>
      </c>
      <c r="T144" s="0" t="str">
        <f aca="false">IF(OR($A144="",$D144=""),"",IF(AND(EDATE($D144,Milestones!$AA$152)&lt;=AsOfDate,EDATE($D144,Milestones!$AA$152)&gt;=SchemeStart,IF($X144=0,$AD144,IF(AND($Z144&lt;&gt;"",EDATE($D144,Milestones!$AA$152)&gt;=$Z144),$AC144,IF(AND($Y144&lt;&gt;"",EDATE($D144,Milestones!$AA$152)&gt;=$Y144),$AB144,$AA144)))=Milestones!$AB$152),UPPER(TEXT(EDATE($D144,Milestones!$AA$152),"dd mmm yy"))&amp;" "&amp;Milestones!$AB$152&amp;" "&amp;IF(AND(Milestones!$AB$152="FT",Milestones!$AA$152=FT_Y5,EDATE($D144,Milestones!$AA$152)&lt;PolicyEff),1,Milestones!$AC$152)&amp;";  ","")&amp;IF(AND(EDATE($D144,Milestones!$AA$153)&lt;=AsOfDate,EDATE($D144,Milestones!$AA$153)&gt;=SchemeStart,IF($X144=0,$AD144,IF(AND($Z144&lt;&gt;"",EDATE($D144,Milestones!$AA$153)&gt;=$Z144),$AC144,IF(AND($Y144&lt;&gt;"",EDATE($D144,Milestones!$AA$153)&gt;=$Y144),$AB144,$AA144)))=Milestones!$AB$153),UPPER(TEXT(EDATE($D144,Milestones!$AA$153),"dd mmm yy"))&amp;" "&amp;Milestones!$AB$153&amp;" "&amp;IF(AND(Milestones!$AB$153="FT",Milestones!$AA$153=FT_Y5,EDATE($D144,Milestones!$AA$153)&lt;PolicyEff),1,Milestones!$AC$153)&amp;";  ","")&amp;IF(AND(EDATE($D144,Milestones!$AA$154)&lt;=AsOfDate,EDATE($D144,Milestones!$AA$154)&gt;=SchemeStart,IF($X144=0,$AD144,IF(AND($Z144&lt;&gt;"",EDATE($D144,Milestones!$AA$154)&gt;=$Z144),$AC144,IF(AND($Y144&lt;&gt;"",EDATE($D144,Milestones!$AA$154)&gt;=$Y144),$AB144,$AA144)))=Milestones!$AB$154),UPPER(TEXT(EDATE($D144,Milestones!$AA$154),"dd mmm yy"))&amp;" "&amp;Milestones!$AB$154&amp;" "&amp;IF(AND(Milestones!$AB$154="FT",Milestones!$AA$154=FT_Y5,EDATE($D144,Milestones!$AA$154)&lt;PolicyEff),1,Milestones!$AC$154)&amp;";  ","")&amp;IF(AND(EDATE($D144,Milestones!$AA$155)&lt;=AsOfDate,EDATE($D144,Milestones!$AA$155)&gt;=SchemeStart,IF($X144=0,$AD144,IF(AND($Z144&lt;&gt;"",EDATE($D144,Milestones!$AA$155)&gt;=$Z144),$AC144,IF(AND($Y144&lt;&gt;"",EDATE($D144,Milestones!$AA$155)&gt;=$Y144),$AB144,$AA144)))=Milestones!$AB$155),UPPER(TEXT(EDATE($D144,Milestones!$AA$155),"dd mmm yy"))&amp;" "&amp;Milestones!$AB$155&amp;" "&amp;IF(AND(Milestones!$AB$155="FT",Milestones!$AA$155=FT_Y5,EDATE($D144,Milestones!$AA$155)&lt;PolicyEff),1,Milestones!$AC$155)&amp;";  ","")&amp;IF(AND(EDATE($D144,Milestones!$AA$156)&lt;=AsOfDate,EDATE($D144,Milestones!$AA$156)&gt;=SchemeStart,IF($X144=0,$AD144,IF(AND($Z144&lt;&gt;"",EDATE($D144,Milestones!$AA$156)&gt;=$Z144),$AC144,IF(AND($Y144&lt;&gt;"",EDATE($D144,Milestones!$AA$156)&gt;=$Y144),$AB144,$AA144)))=Milestones!$AB$156),UPPER(TEXT(EDATE($D144,Milestones!$AA$156),"dd mmm yy"))&amp;" "&amp;Milestones!$AB$156&amp;" "&amp;IF(AND(Milestones!$AB$156="FT",Milestones!$AA$156=FT_Y5,EDATE($D144,Milestones!$AA$156)&lt;PolicyEff),1,Milestones!$AC$156)&amp;";  ","")&amp;IF(AND(EDATE($D144,Milestones!$AA$157)&lt;=AsOfDate,EDATE($D144,Milestones!$AA$157)&gt;=SchemeStart,IF($X144=0,$AD144,IF(AND($Z144&lt;&gt;"",EDATE($D144,Milestones!$AA$157)&gt;=$Z144),$AC144,IF(AND($Y144&lt;&gt;"",EDATE($D144,Milestones!$AA$157)&gt;=$Y144),$AB144,$AA144)))=Milestones!$AB$157),UPPER(TEXT(EDATE($D144,Milestones!$AA$157),"dd mmm yy"))&amp;" "&amp;Milestones!$AB$157&amp;" "&amp;IF(AND(Milestones!$AB$157="FT",Milestones!$AA$157=FT_Y5,EDATE($D144,Milestones!$AA$157)&lt;PolicyEff),1,Milestones!$AC$157)&amp;";  ","")&amp;IF(AND(EDATE($D144,Milestones!$AA$158)&lt;=AsOfDate,EDATE($D144,Milestones!$AA$158)&gt;=SchemeStart,IF($X144=0,$AD144,IF(AND($Z144&lt;&gt;"",EDATE($D144,Milestones!$AA$158)&gt;=$Z144),$AC144,IF(AND($Y144&lt;&gt;"",EDATE($D144,Milestones!$AA$158)&gt;=$Y144),$AB144,$AA144)))=Milestones!$AB$158),UPPER(TEXT(EDATE($D144,Milestones!$AA$158),"dd mmm yy"))&amp;" "&amp;Milestones!$AB$158&amp;" "&amp;IF(AND(Milestones!$AB$158="FT",Milestones!$AA$158=FT_Y5,EDATE($D144,Milestones!$AA$158)&lt;PolicyEff),1,Milestones!$AC$158)&amp;";  ","")&amp;IF(AND(EDATE($D144,Milestones!$AA$159)&lt;=AsOfDate,EDATE($D144,Milestones!$AA$159)&gt;=SchemeStart,IF($X144=0,$AD144,IF(AND($Z144&lt;&gt;"",EDATE($D144,Milestones!$AA$159)&gt;=$Z144),$AC144,IF(AND($Y144&lt;&gt;"",EDATE($D144,Milestones!$AA$159)&gt;=$Y144),$AB144,$AA144)))=Milestones!$AB$159),UPPER(TEXT(EDATE($D144,Milestones!$AA$159),"dd mmm yy"))&amp;" "&amp;Milestones!$AB$159&amp;" "&amp;IF(AND(Milestones!$AB$159="FT",Milestones!$AA$159=FT_Y5,EDATE($D144,Milestones!$AA$159)&lt;PolicyEff),1,Milestones!$AC$159)&amp;";  ","")&amp;IF(AND(EDATE($D144,Milestones!$AA$160)&lt;=AsOfDate,EDATE($D144,Milestones!$AA$160)&gt;=SchemeStart,IF($X144=0,$AD144,IF(AND($Z144&lt;&gt;"",EDATE($D144,Milestones!$AA$160)&gt;=$Z144),$AC144,IF(AND($Y144&lt;&gt;"",EDATE($D144,Milestones!$AA$160)&gt;=$Y144),$AB144,$AA144)))=Milestones!$AB$160),UPPER(TEXT(EDATE($D144,Milestones!$AA$160),"dd mmm yy"))&amp;" "&amp;Milestones!$AB$160&amp;" "&amp;IF(AND(Milestones!$AB$160="FT",Milestones!$AA$160=FT_Y5,EDATE($D144,Milestones!$AA$160)&lt;PolicyEff),1,Milestones!$AC$160)&amp;";  ","")&amp;IF(AND(EDATE($D144,Milestones!$AA$161)&lt;=AsOfDate,EDATE($D144,Milestones!$AA$161)&gt;=SchemeStart,IF($X144=0,$AD144,IF(AND($Z144&lt;&gt;"",EDATE($D144,Milestones!$AA$161)&gt;=$Z144),$AC144,IF(AND($Y144&lt;&gt;"",EDATE($D144,Milestones!$AA$161)&gt;=$Y144),$AB144,$AA144)))=Milestones!$AB$161),UPPER(TEXT(EDATE($D144,Milestones!$AA$161),"dd mmm yy"))&amp;" "&amp;Milestones!$AB$161&amp;" "&amp;IF(AND(Milestones!$AB$161="FT",Milestones!$AA$161=FT_Y5,EDATE($D144,Milestones!$AA$161)&lt;PolicyEff),1,Milestones!$AC$161)&amp;";  ","")&amp;IF(AND(EDATE($D144,Milestones!$AA$162)&lt;=AsOfDate,EDATE($D144,Milestones!$AA$162)&gt;=SchemeStart,IF($X144=0,$AD144,IF(AND($Z144&lt;&gt;"",EDATE($D144,Milestones!$AA$162)&gt;=$Z144),$AC144,IF(AND($Y144&lt;&gt;"",EDATE($D144,Milestones!$AA$162)&gt;=$Y144),$AB144,$AA144)))=Milestones!$AB$162),UPPER(TEXT(EDATE($D144,Milestones!$AA$162),"dd mmm yy"))&amp;" "&amp;Milestones!$AB$162&amp;" "&amp;IF(AND(Milestones!$AB$162="FT",Milestones!$AA$162=FT_Y5,EDATE($D144,Milestones!$AA$162)&lt;PolicyEff),1,Milestones!$AC$162)&amp;";  ","")&amp;IF(AND(EDATE($D144,Milestones!$AA$163)&lt;=AsOfDate,EDATE($D144,Milestones!$AA$163)&gt;=SchemeStart,IF($X144=0,$AD144,IF(AND($Z144&lt;&gt;"",EDATE($D144,Milestones!$AA$163)&gt;=$Z144),$AC144,IF(AND($Y144&lt;&gt;"",EDATE($D144,Milestones!$AA$163)&gt;=$Y144),$AB144,$AA144)))=Milestones!$AB$163),UPPER(TEXT(EDATE($D144,Milestones!$AA$163),"dd mmm yy"))&amp;" "&amp;Milestones!$AB$163&amp;" "&amp;IF(AND(Milestones!$AB$163="FT",Milestones!$AA$163=FT_Y5,EDATE($D144,Milestones!$AA$163)&lt;PolicyEff),1,Milestones!$AC$163)&amp;";  ",""))</f>
        <v/>
      </c>
      <c r="U144" s="0" t="str">
        <f aca="false">IF(OR($A144="",$D144=""),"",IF(AND(EDATE($D144,Milestones!$AA$164)&lt;=AsOfDate,EDATE($D144,Milestones!$AA$164)&gt;=SchemeStart,IF($X144=0,$AD144,IF(AND($Z144&lt;&gt;"",EDATE($D144,Milestones!$AA$164)&gt;=$Z144),$AC144,IF(AND($Y144&lt;&gt;"",EDATE($D144,Milestones!$AA$164)&gt;=$Y144),$AB144,$AA144)))=Milestones!$AB$164),UPPER(TEXT(EDATE($D144,Milestones!$AA$164),"dd mmm yy"))&amp;" "&amp;Milestones!$AB$164&amp;" "&amp;IF(AND(Milestones!$AB$164="FT",Milestones!$AA$164=FT_Y5,EDATE($D144,Milestones!$AA$164)&lt;PolicyEff),1,Milestones!$AC$164)&amp;";  ","")&amp;IF(AND(EDATE($D144,Milestones!$AA$165)&lt;=AsOfDate,EDATE($D144,Milestones!$AA$165)&gt;=SchemeStart,IF($X144=0,$AD144,IF(AND($Z144&lt;&gt;"",EDATE($D144,Milestones!$AA$165)&gt;=$Z144),$AC144,IF(AND($Y144&lt;&gt;"",EDATE($D144,Milestones!$AA$165)&gt;=$Y144),$AB144,$AA144)))=Milestones!$AB$165),UPPER(TEXT(EDATE($D144,Milestones!$AA$165),"dd mmm yy"))&amp;" "&amp;Milestones!$AB$165&amp;" "&amp;IF(AND(Milestones!$AB$165="FT",Milestones!$AA$165=FT_Y5,EDATE($D144,Milestones!$AA$165)&lt;PolicyEff),1,Milestones!$AC$165)&amp;";  ","")&amp;IF(AND(EDATE($D144,Milestones!$AA$166)&lt;=AsOfDate,EDATE($D144,Milestones!$AA$166)&gt;=SchemeStart,IF($X144=0,$AD144,IF(AND($Z144&lt;&gt;"",EDATE($D144,Milestones!$AA$166)&gt;=$Z144),$AC144,IF(AND($Y144&lt;&gt;"",EDATE($D144,Milestones!$AA$166)&gt;=$Y144),$AB144,$AA144)))=Milestones!$AB$166),UPPER(TEXT(EDATE($D144,Milestones!$AA$166),"dd mmm yy"))&amp;" "&amp;Milestones!$AB$166&amp;" "&amp;IF(AND(Milestones!$AB$166="FT",Milestones!$AA$166=FT_Y5,EDATE($D144,Milestones!$AA$166)&lt;PolicyEff),1,Milestones!$AC$166)&amp;";  ","")&amp;IF(AND(EDATE($D144,Milestones!$AA$167)&lt;=AsOfDate,EDATE($D144,Milestones!$AA$167)&gt;=SchemeStart,IF($X144=0,$AD144,IF(AND($Z144&lt;&gt;"",EDATE($D144,Milestones!$AA$167)&gt;=$Z144),$AC144,IF(AND($Y144&lt;&gt;"",EDATE($D144,Milestones!$AA$167)&gt;=$Y144),$AB144,$AA144)))=Milestones!$AB$167),UPPER(TEXT(EDATE($D144,Milestones!$AA$167),"dd mmm yy"))&amp;" "&amp;Milestones!$AB$167&amp;" "&amp;IF(AND(Milestones!$AB$167="FT",Milestones!$AA$167=FT_Y5,EDATE($D144,Milestones!$AA$167)&lt;PolicyEff),1,Milestones!$AC$167)&amp;";  ","")&amp;IF(AND(EDATE($D144,Milestones!$AA$168)&lt;=AsOfDate,EDATE($D144,Milestones!$AA$168)&gt;=SchemeStart,IF($X144=0,$AD144,IF(AND($Z144&lt;&gt;"",EDATE($D144,Milestones!$AA$168)&gt;=$Z144),$AC144,IF(AND($Y144&lt;&gt;"",EDATE($D144,Milestones!$AA$168)&gt;=$Y144),$AB144,$AA144)))=Milestones!$AB$168),UPPER(TEXT(EDATE($D144,Milestones!$AA$168),"dd mmm yy"))&amp;" "&amp;Milestones!$AB$168&amp;" "&amp;IF(AND(Milestones!$AB$168="FT",Milestones!$AA$168=FT_Y5,EDATE($D144,Milestones!$AA$168)&lt;PolicyEff),1,Milestones!$AC$168)&amp;";  ","")&amp;IF(AND(EDATE($D144,Milestones!$AA$169)&lt;=AsOfDate,EDATE($D144,Milestones!$AA$169)&gt;=SchemeStart,IF($X144=0,$AD144,IF(AND($Z144&lt;&gt;"",EDATE($D144,Milestones!$AA$169)&gt;=$Z144),$AC144,IF(AND($Y144&lt;&gt;"",EDATE($D144,Milestones!$AA$169)&gt;=$Y144),$AB144,$AA144)))=Milestones!$AB$169),UPPER(TEXT(EDATE($D144,Milestones!$AA$169),"dd mmm yy"))&amp;" "&amp;Milestones!$AB$169&amp;" "&amp;IF(AND(Milestones!$AB$169="FT",Milestones!$AA$169=FT_Y5,EDATE($D144,Milestones!$AA$169)&lt;PolicyEff),1,Milestones!$AC$169)&amp;";  ","")&amp;IF(AND(EDATE($D144,Milestones!$AA$170)&lt;=AsOfDate,EDATE($D144,Milestones!$AA$170)&gt;=SchemeStart,IF($X144=0,$AD144,IF(AND($Z144&lt;&gt;"",EDATE($D144,Milestones!$AA$170)&gt;=$Z144),$AC144,IF(AND($Y144&lt;&gt;"",EDATE($D144,Milestones!$AA$170)&gt;=$Y144),$AB144,$AA144)))=Milestones!$AB$170),UPPER(TEXT(EDATE($D144,Milestones!$AA$170),"dd mmm yy"))&amp;" "&amp;Milestones!$AB$170&amp;" "&amp;IF(AND(Milestones!$AB$170="FT",Milestones!$AA$170=FT_Y5,EDATE($D144,Milestones!$AA$170)&lt;PolicyEff),1,Milestones!$AC$170)&amp;";  ","")&amp;IF(AND(EDATE($D144,Milestones!$AA$171)&lt;=AsOfDate,EDATE($D144,Milestones!$AA$171)&gt;=SchemeStart,IF($X144=0,$AD144,IF(AND($Z144&lt;&gt;"",EDATE($D144,Milestones!$AA$171)&gt;=$Z144),$AC144,IF(AND($Y144&lt;&gt;"",EDATE($D144,Milestones!$AA$171)&gt;=$Y144),$AB144,$AA144)))=Milestones!$AB$171),UPPER(TEXT(EDATE($D144,Milestones!$AA$171),"dd mmm yy"))&amp;" "&amp;Milestones!$AB$171&amp;" "&amp;IF(AND(Milestones!$AB$171="FT",Milestones!$AA$171=FT_Y5,EDATE($D144,Milestones!$AA$171)&lt;PolicyEff),1,Milestones!$AC$171)&amp;";  ","")&amp;IF(AND(EDATE($D144,Milestones!$AA$172)&lt;=AsOfDate,EDATE($D144,Milestones!$AA$172)&gt;=SchemeStart,IF($X144=0,$AD144,IF(AND($Z144&lt;&gt;"",EDATE($D144,Milestones!$AA$172)&gt;=$Z144),$AC144,IF(AND($Y144&lt;&gt;"",EDATE($D144,Milestones!$AA$172)&gt;=$Y144),$AB144,$AA144)))=Milestones!$AB$172),UPPER(TEXT(EDATE($D144,Milestones!$AA$172),"dd mmm yy"))&amp;" "&amp;Milestones!$AB$172&amp;" "&amp;IF(AND(Milestones!$AB$172="FT",Milestones!$AA$172=FT_Y5,EDATE($D144,Milestones!$AA$172)&lt;PolicyEff),1,Milestones!$AC$172)&amp;";  ","")&amp;IF(AND(EDATE($D144,Milestones!$AA$173)&lt;=AsOfDate,EDATE($D144,Milestones!$AA$173)&gt;=SchemeStart,IF($X144=0,$AD144,IF(AND($Z144&lt;&gt;"",EDATE($D144,Milestones!$AA$173)&gt;=$Z144),$AC144,IF(AND($Y144&lt;&gt;"",EDATE($D144,Milestones!$AA$173)&gt;=$Y144),$AB144,$AA144)))=Milestones!$AB$173),UPPER(TEXT(EDATE($D144,Milestones!$AA$173),"dd mmm yy"))&amp;" "&amp;Milestones!$AB$173&amp;" "&amp;IF(AND(Milestones!$AB$173="FT",Milestones!$AA$173=FT_Y5,EDATE($D144,Milestones!$AA$173)&lt;PolicyEff),1,Milestones!$AC$173)&amp;";  ","")&amp;IF(AND(EDATE($D144,Milestones!$AA$174)&lt;=AsOfDate,EDATE($D144,Milestones!$AA$174)&gt;=SchemeStart,IF($X144=0,$AD144,IF(AND($Z144&lt;&gt;"",EDATE($D144,Milestones!$AA$174)&gt;=$Z144),$AC144,IF(AND($Y144&lt;&gt;"",EDATE($D144,Milestones!$AA$174)&gt;=$Y144),$AB144,$AA144)))=Milestones!$AB$174),UPPER(TEXT(EDATE($D144,Milestones!$AA$174),"dd mmm yy"))&amp;" "&amp;Milestones!$AB$174&amp;" "&amp;IF(AND(Milestones!$AB$174="FT",Milestones!$AA$174=FT_Y5,EDATE($D144,Milestones!$AA$174)&lt;PolicyEff),1,Milestones!$AC$174)&amp;";  ","")&amp;IF(AND(EDATE($D144,Milestones!$AA$175)&lt;=AsOfDate,EDATE($D144,Milestones!$AA$175)&gt;=SchemeStart,IF($X144=0,$AD144,IF(AND($Z144&lt;&gt;"",EDATE($D144,Milestones!$AA$175)&gt;=$Z144),$AC144,IF(AND($Y144&lt;&gt;"",EDATE($D144,Milestones!$AA$175)&gt;=$Y144),$AB144,$AA144)))=Milestones!$AB$175),UPPER(TEXT(EDATE($D144,Milestones!$AA$175),"dd mmm yy"))&amp;" "&amp;Milestones!$AB$175&amp;" "&amp;IF(AND(Milestones!$AB$175="FT",Milestones!$AA$175=FT_Y5,EDATE($D144,Milestones!$AA$175)&lt;PolicyEff),1,Milestones!$AC$175)&amp;";  ",""))</f>
        <v/>
      </c>
      <c r="V144" s="0" t="str">
        <f aca="false">IF(OR($A144="",$D144=""),"",IF(AND(EDATE($D144,Milestones!$AA$176)&lt;=AsOfDate,EDATE($D144,Milestones!$AA$176)&gt;=SchemeStart,IF($X144=0,$AD144,IF(AND($Z144&lt;&gt;"",EDATE($D144,Milestones!$AA$176)&gt;=$Z144),$AC144,IF(AND($Y144&lt;&gt;"",EDATE($D144,Milestones!$AA$176)&gt;=$Y144),$AB144,$AA144)))=Milestones!$AB$176),UPPER(TEXT(EDATE($D144,Milestones!$AA$176),"dd mmm yy"))&amp;" "&amp;Milestones!$AB$176&amp;" "&amp;IF(AND(Milestones!$AB$176="FT",Milestones!$AA$176=FT_Y5,EDATE($D144,Milestones!$AA$176)&lt;PolicyEff),1,Milestones!$AC$176)&amp;";  ","")&amp;IF(AND(EDATE($D144,Milestones!$AA$177)&lt;=AsOfDate,EDATE($D144,Milestones!$AA$177)&gt;=SchemeStart,IF($X144=0,$AD144,IF(AND($Z144&lt;&gt;"",EDATE($D144,Milestones!$AA$177)&gt;=$Z144),$AC144,IF(AND($Y144&lt;&gt;"",EDATE($D144,Milestones!$AA$177)&gt;=$Y144),$AB144,$AA144)))=Milestones!$AB$177),UPPER(TEXT(EDATE($D144,Milestones!$AA$177),"dd mmm yy"))&amp;" "&amp;Milestones!$AB$177&amp;" "&amp;IF(AND(Milestones!$AB$177="FT",Milestones!$AA$177=FT_Y5,EDATE($D144,Milestones!$AA$177)&lt;PolicyEff),1,Milestones!$AC$177)&amp;";  ","")&amp;IF(AND(EDATE($D144,Milestones!$AA$178)&lt;=AsOfDate,EDATE($D144,Milestones!$AA$178)&gt;=SchemeStart,IF($X144=0,$AD144,IF(AND($Z144&lt;&gt;"",EDATE($D144,Milestones!$AA$178)&gt;=$Z144),$AC144,IF(AND($Y144&lt;&gt;"",EDATE($D144,Milestones!$AA$178)&gt;=$Y144),$AB144,$AA144)))=Milestones!$AB$178),UPPER(TEXT(EDATE($D144,Milestones!$AA$178),"dd mmm yy"))&amp;" "&amp;Milestones!$AB$178&amp;" "&amp;IF(AND(Milestones!$AB$178="FT",Milestones!$AA$178=FT_Y5,EDATE($D144,Milestones!$AA$178)&lt;PolicyEff),1,Milestones!$AC$178)&amp;";  ","")&amp;IF(AND(EDATE($D144,Milestones!$AA$179)&lt;=AsOfDate,EDATE($D144,Milestones!$AA$179)&gt;=SchemeStart,IF($X144=0,$AD144,IF(AND($Z144&lt;&gt;"",EDATE($D144,Milestones!$AA$179)&gt;=$Z144),$AC144,IF(AND($Y144&lt;&gt;"",EDATE($D144,Milestones!$AA$179)&gt;=$Y144),$AB144,$AA144)))=Milestones!$AB$179),UPPER(TEXT(EDATE($D144,Milestones!$AA$179),"dd mmm yy"))&amp;" "&amp;Milestones!$AB$179&amp;" "&amp;IF(AND(Milestones!$AB$179="FT",Milestones!$AA$179=FT_Y5,EDATE($D144,Milestones!$AA$179)&lt;PolicyEff),1,Milestones!$AC$179)&amp;";  ","")&amp;IF(AND(EDATE($D144,Milestones!$AA$180)&lt;=AsOfDate,EDATE($D144,Milestones!$AA$180)&gt;=SchemeStart,IF($X144=0,$AD144,IF(AND($Z144&lt;&gt;"",EDATE($D144,Milestones!$AA$180)&gt;=$Z144),$AC144,IF(AND($Y144&lt;&gt;"",EDATE($D144,Milestones!$AA$180)&gt;=$Y144),$AB144,$AA144)))=Milestones!$AB$180),UPPER(TEXT(EDATE($D144,Milestones!$AA$180),"dd mmm yy"))&amp;" "&amp;Milestones!$AB$180&amp;" "&amp;IF(AND(Milestones!$AB$180="FT",Milestones!$AA$180=FT_Y5,EDATE($D144,Milestones!$AA$180)&lt;PolicyEff),1,Milestones!$AC$180)&amp;";  ","")&amp;IF(AND(EDATE($D144,Milestones!$AA$181)&lt;=AsOfDate,EDATE($D144,Milestones!$AA$181)&gt;=SchemeStart,IF($X144=0,$AD144,IF(AND($Z144&lt;&gt;"",EDATE($D144,Milestones!$AA$181)&gt;=$Z144),$AC144,IF(AND($Y144&lt;&gt;"",EDATE($D144,Milestones!$AA$181)&gt;=$Y144),$AB144,$AA144)))=Milestones!$AB$181),UPPER(TEXT(EDATE($D144,Milestones!$AA$181),"dd mmm yy"))&amp;" "&amp;Milestones!$AB$181&amp;" "&amp;IF(AND(Milestones!$AB$181="FT",Milestones!$AA$181=FT_Y5,EDATE($D144,Milestones!$AA$181)&lt;PolicyEff),1,Milestones!$AC$181)&amp;";  ","")&amp;IF(AND(EDATE($D144,Milestones!$AA$182)&lt;=AsOfDate,EDATE($D144,Milestones!$AA$182)&gt;=SchemeStart,IF($X144=0,$AD144,IF(AND($Z144&lt;&gt;"",EDATE($D144,Milestones!$AA$182)&gt;=$Z144),$AC144,IF(AND($Y144&lt;&gt;"",EDATE($D144,Milestones!$AA$182)&gt;=$Y144),$AB144,$AA144)))=Milestones!$AB$182),UPPER(TEXT(EDATE($D144,Milestones!$AA$182),"dd mmm yy"))&amp;" "&amp;Milestones!$AB$182&amp;" "&amp;IF(AND(Milestones!$AB$182="FT",Milestones!$AA$182=FT_Y5,EDATE($D144,Milestones!$AA$182)&lt;PolicyEff),1,Milestones!$AC$182)&amp;";  ","")&amp;IF(AND(EDATE($D144,Milestones!$AA$183)&lt;=AsOfDate,EDATE($D144,Milestones!$AA$183)&gt;=SchemeStart,IF($X144=0,$AD144,IF(AND($Z144&lt;&gt;"",EDATE($D144,Milestones!$AA$183)&gt;=$Z144),$AC144,IF(AND($Y144&lt;&gt;"",EDATE($D144,Milestones!$AA$183)&gt;=$Y144),$AB144,$AA144)))=Milestones!$AB$183),UPPER(TEXT(EDATE($D144,Milestones!$AA$183),"dd mmm yy"))&amp;" "&amp;Milestones!$AB$183&amp;" "&amp;IF(AND(Milestones!$AB$183="FT",Milestones!$AA$183=FT_Y5,EDATE($D144,Milestones!$AA$183)&lt;PolicyEff),1,Milestones!$AC$183)&amp;";  ","")&amp;IF(AND(EDATE($D144,Milestones!$AA$184)&lt;=AsOfDate,EDATE($D144,Milestones!$AA$184)&gt;=SchemeStart,IF($X144=0,$AD144,IF(AND($Z144&lt;&gt;"",EDATE($D144,Milestones!$AA$184)&gt;=$Z144),$AC144,IF(AND($Y144&lt;&gt;"",EDATE($D144,Milestones!$AA$184)&gt;=$Y144),$AB144,$AA144)))=Milestones!$AB$184),UPPER(TEXT(EDATE($D144,Milestones!$AA$184),"dd mmm yy"))&amp;" "&amp;Milestones!$AB$184&amp;" "&amp;IF(AND(Milestones!$AB$184="FT",Milestones!$AA$184=FT_Y5,EDATE($D144,Milestones!$AA$184)&lt;PolicyEff),1,Milestones!$AC$184)&amp;";  ","")&amp;IF(AND(EDATE($D144,Milestones!$AA$185)&lt;=AsOfDate,EDATE($D144,Milestones!$AA$185)&gt;=SchemeStart,IF($X144=0,$AD144,IF(AND($Z144&lt;&gt;"",EDATE($D144,Milestones!$AA$185)&gt;=$Z144),$AC144,IF(AND($Y144&lt;&gt;"",EDATE($D144,Milestones!$AA$185)&gt;=$Y144),$AB144,$AA144)))=Milestones!$AB$185),UPPER(TEXT(EDATE($D144,Milestones!$AA$185),"dd mmm yy"))&amp;" "&amp;Milestones!$AB$185&amp;" "&amp;IF(AND(Milestones!$AB$185="FT",Milestones!$AA$185=FT_Y5,EDATE($D144,Milestones!$AA$185)&lt;PolicyEff),1,Milestones!$AC$185)&amp;";  ","")&amp;IF(AND(EDATE($D144,Milestones!$AA$186)&lt;=AsOfDate,EDATE($D144,Milestones!$AA$186)&gt;=SchemeStart,IF($X144=0,$AD144,IF(AND($Z144&lt;&gt;"",EDATE($D144,Milestones!$AA$186)&gt;=$Z144),$AC144,IF(AND($Y144&lt;&gt;"",EDATE($D144,Milestones!$AA$186)&gt;=$Y144),$AB144,$AA144)))=Milestones!$AB$186),UPPER(TEXT(EDATE($D144,Milestones!$AA$186),"dd mmm yy"))&amp;" "&amp;Milestones!$AB$186&amp;" "&amp;IF(AND(Milestones!$AB$186="FT",Milestones!$AA$186=FT_Y5,EDATE($D144,Milestones!$AA$186)&lt;PolicyEff),1,Milestones!$AC$186)&amp;";  ","")&amp;IF(AND(EDATE($D144,Milestones!$AA$187)&lt;=AsOfDate,EDATE($D144,Milestones!$AA$187)&gt;=SchemeStart,IF($X144=0,$AD144,IF(AND($Z144&lt;&gt;"",EDATE($D144,Milestones!$AA$187)&gt;=$Z144),$AC144,IF(AND($Y144&lt;&gt;"",EDATE($D144,Milestones!$AA$187)&gt;=$Y144),$AB144,$AA144)))=Milestones!$AB$187),UPPER(TEXT(EDATE($D144,Milestones!$AA$187),"dd mmm yy"))&amp;" "&amp;Milestones!$AB$187&amp;" "&amp;IF(AND(Milestones!$AB$187="FT",Milestones!$AA$187=FT_Y5,EDATE($D144,Milestones!$AA$187)&lt;PolicyEff),1,Milestones!$AC$187)&amp;";  ",""))</f>
        <v/>
      </c>
      <c r="W144" s="0" t="str">
        <f aca="false">IF(OR($A144="",$D144=""),"",IF(AND(EDATE($D144,Milestones!$AA$188)&lt;=AsOfDate,EDATE($D144,Milestones!$AA$188)&gt;=SchemeStart,IF($X144=0,$AD144,IF(AND($Z144&lt;&gt;"",EDATE($D144,Milestones!$AA$188)&gt;=$Z144),$AC144,IF(AND($Y144&lt;&gt;"",EDATE($D144,Milestones!$AA$188)&gt;=$Y144),$AB144,$AA144)))=Milestones!$AB$188),UPPER(TEXT(EDATE($D144,Milestones!$AA$188),"dd mmm yy"))&amp;" "&amp;Milestones!$AB$188&amp;" "&amp;IF(AND(Milestones!$AB$188="FT",Milestones!$AA$188=FT_Y5,EDATE($D144,Milestones!$AA$188)&lt;PolicyEff),1,Milestones!$AC$188)&amp;";  ","")&amp;IF(AND(EDATE($D144,Milestones!$AA$189)&lt;=AsOfDate,EDATE($D144,Milestones!$AA$189)&gt;=SchemeStart,IF($X144=0,$AD144,IF(AND($Z144&lt;&gt;"",EDATE($D144,Milestones!$AA$189)&gt;=$Z144),$AC144,IF(AND($Y144&lt;&gt;"",EDATE($D144,Milestones!$AA$189)&gt;=$Y144),$AB144,$AA144)))=Milestones!$AB$189),UPPER(TEXT(EDATE($D144,Milestones!$AA$189),"dd mmm yy"))&amp;" "&amp;Milestones!$AB$189&amp;" "&amp;IF(AND(Milestones!$AB$189="FT",Milestones!$AA$189=FT_Y5,EDATE($D144,Milestones!$AA$189)&lt;PolicyEff),1,Milestones!$AC$189)&amp;";  ","")&amp;IF(AND(EDATE($D144,Milestones!$AA$190)&lt;=AsOfDate,EDATE($D144,Milestones!$AA$190)&gt;=SchemeStart,IF($X144=0,$AD144,IF(AND($Z144&lt;&gt;"",EDATE($D144,Milestones!$AA$190)&gt;=$Z144),$AC144,IF(AND($Y144&lt;&gt;"",EDATE($D144,Milestones!$AA$190)&gt;=$Y144),$AB144,$AA144)))=Milestones!$AB$190),UPPER(TEXT(EDATE($D144,Milestones!$AA$190),"dd mmm yy"))&amp;" "&amp;Milestones!$AB$190&amp;" "&amp;IF(AND(Milestones!$AB$190="FT",Milestones!$AA$190=FT_Y5,EDATE($D144,Milestones!$AA$190)&lt;PolicyEff),1,Milestones!$AC$190)&amp;";  ","")&amp;IF(AND(EDATE($D144,Milestones!$AA$191)&lt;=AsOfDate,EDATE($D144,Milestones!$AA$191)&gt;=SchemeStart,IF($X144=0,$AD144,IF(AND($Z144&lt;&gt;"",EDATE($D144,Milestones!$AA$191)&gt;=$Z144),$AC144,IF(AND($Y144&lt;&gt;"",EDATE($D144,Milestones!$AA$191)&gt;=$Y144),$AB144,$AA144)))=Milestones!$AB$191),UPPER(TEXT(EDATE($D144,Milestones!$AA$191),"dd mmm yy"))&amp;" "&amp;Milestones!$AB$191&amp;" "&amp;IF(AND(Milestones!$AB$191="FT",Milestones!$AA$191=FT_Y5,EDATE($D144,Milestones!$AA$191)&lt;PolicyEff),1,Milestones!$AC$191)&amp;";  ","")&amp;IF(AND(EDATE($D144,Milestones!$AA$192)&lt;=AsOfDate,EDATE($D144,Milestones!$AA$192)&gt;=SchemeStart,IF($X144=0,$AD144,IF(AND($Z144&lt;&gt;"",EDATE($D144,Milestones!$AA$192)&gt;=$Z144),$AC144,IF(AND($Y144&lt;&gt;"",EDATE($D144,Milestones!$AA$192)&gt;=$Y144),$AB144,$AA144)))=Milestones!$AB$192),UPPER(TEXT(EDATE($D144,Milestones!$AA$192),"dd mmm yy"))&amp;" "&amp;Milestones!$AB$192&amp;" "&amp;IF(AND(Milestones!$AB$192="FT",Milestones!$AA$192=FT_Y5,EDATE($D144,Milestones!$AA$192)&lt;PolicyEff),1,Milestones!$AC$192)&amp;";  ","")&amp;IF(AND(EDATE($D144,Milestones!$AA$193)&lt;=AsOfDate,EDATE($D144,Milestones!$AA$193)&gt;=SchemeStart,IF($X144=0,$AD144,IF(AND($Z144&lt;&gt;"",EDATE($D144,Milestones!$AA$193)&gt;=$Z144),$AC144,IF(AND($Y144&lt;&gt;"",EDATE($D144,Milestones!$AA$193)&gt;=$Y144),$AB144,$AA144)))=Milestones!$AB$193),UPPER(TEXT(EDATE($D144,Milestones!$AA$193),"dd mmm yy"))&amp;" "&amp;Milestones!$AB$193&amp;" "&amp;IF(AND(Milestones!$AB$193="FT",Milestones!$AA$193=FT_Y5,EDATE($D144,Milestones!$AA$193)&lt;PolicyEff),1,Milestones!$AC$193)&amp;";  ","")&amp;IF(AND(EDATE($D144,Milestones!$AA$194)&lt;=AsOfDate,EDATE($D144,Milestones!$AA$194)&gt;=SchemeStart,IF($X144=0,$AD144,IF(AND($Z144&lt;&gt;"",EDATE($D144,Milestones!$AA$194)&gt;=$Z144),$AC144,IF(AND($Y144&lt;&gt;"",EDATE($D144,Milestones!$AA$194)&gt;=$Y144),$AB144,$AA144)))=Milestones!$AB$194),UPPER(TEXT(EDATE($D144,Milestones!$AA$194),"dd mmm yy"))&amp;" "&amp;Milestones!$AB$194&amp;" "&amp;IF(AND(Milestones!$AB$194="FT",Milestones!$AA$194=FT_Y5,EDATE($D144,Milestones!$AA$194)&lt;PolicyEff),1,Milestones!$AC$194)&amp;";  ","")&amp;IF(AND(EDATE($D144,Milestones!$AA$195)&lt;=AsOfDate,EDATE($D144,Milestones!$AA$195)&gt;=SchemeStart,IF($X144=0,$AD144,IF(AND($Z144&lt;&gt;"",EDATE($D144,Milestones!$AA$195)&gt;=$Z144),$AC144,IF(AND($Y144&lt;&gt;"",EDATE($D144,Milestones!$AA$195)&gt;=$Y144),$AB144,$AA144)))=Milestones!$AB$195),UPPER(TEXT(EDATE($D144,Milestones!$AA$195),"dd mmm yy"))&amp;" "&amp;Milestones!$AB$195&amp;" "&amp;IF(AND(Milestones!$AB$195="FT",Milestones!$AA$195=FT_Y5,EDATE($D144,Milestones!$AA$195)&lt;PolicyEff),1,Milestones!$AC$195)&amp;";  ","")&amp;IF(AND(EDATE($D144,Milestones!$AA$196)&lt;=AsOfDate,EDATE($D144,Milestones!$AA$196)&gt;=SchemeStart,IF($X144=0,$AD144,IF(AND($Z144&lt;&gt;"",EDATE($D144,Milestones!$AA$196)&gt;=$Z144),$AC144,IF(AND($Y144&lt;&gt;"",EDATE($D144,Milestones!$AA$196)&gt;=$Y144),$AB144,$AA144)))=Milestones!$AB$196),UPPER(TEXT(EDATE($D144,Milestones!$AA$196),"dd mmm yy"))&amp;" "&amp;Milestones!$AB$196&amp;" "&amp;IF(AND(Milestones!$AB$196="FT",Milestones!$AA$196=FT_Y5,EDATE($D144,Milestones!$AA$196)&lt;PolicyEff),1,Milestones!$AC$196)&amp;";  ","")&amp;IF(AND(EDATE($D144,Milestones!$AA$197)&lt;=AsOfDate,EDATE($D144,Milestones!$AA$197)&gt;=SchemeStart,IF($X144=0,$AD144,IF(AND($Z144&lt;&gt;"",EDATE($D144,Milestones!$AA$197)&gt;=$Z144),$AC144,IF(AND($Y144&lt;&gt;"",EDATE($D144,Milestones!$AA$197)&gt;=$Y144),$AB144,$AA144)))=Milestones!$AB$197),UPPER(TEXT(EDATE($D144,Milestones!$AA$197),"dd mmm yy"))&amp;" "&amp;Milestones!$AB$197&amp;" "&amp;IF(AND(Milestones!$AB$197="FT",Milestones!$AA$197=FT_Y5,EDATE($D144,Milestones!$AA$197)&lt;PolicyEff),1,Milestones!$AC$197)&amp;";  ","")&amp;IF(AND(EDATE($D144,Milestones!$AA$198)&lt;=AsOfDate,EDATE($D144,Milestones!$AA$198)&gt;=SchemeStart,IF($X144=0,$AD144,IF(AND($Z144&lt;&gt;"",EDATE($D144,Milestones!$AA$198)&gt;=$Z144),$AC144,IF(AND($Y144&lt;&gt;"",EDATE($D144,Milestones!$AA$198)&gt;=$Y144),$AB144,$AA144)))=Milestones!$AB$198),UPPER(TEXT(EDATE($D144,Milestones!$AA$198),"dd mmm yy"))&amp;" "&amp;Milestones!$AB$198&amp;" "&amp;IF(AND(Milestones!$AB$198="FT",Milestones!$AA$198=FT_Y5,EDATE($D144,Milestones!$AA$198)&lt;PolicyEff),1,Milestones!$AC$198)&amp;";  ","")&amp;IF(AND(EDATE($D144,Milestones!$AA$199)&lt;=AsOfDate,EDATE($D144,Milestones!$AA$199)&gt;=SchemeStart,IF($X144=0,$AD144,IF(AND($Z144&lt;&gt;"",EDATE($D144,Milestones!$AA$199)&gt;=$Z144),$AC144,IF(AND($Y144&lt;&gt;"",EDATE($D144,Milestones!$AA$199)&gt;=$Y144),$AB144,$AA144)))=Milestones!$AB$199),UPPER(TEXT(EDATE($D144,Milestones!$AA$199),"dd mmm yy"))&amp;" "&amp;Milestones!$AB$199&amp;" "&amp;IF(AND(Milestones!$AB$199="FT",Milestones!$AA$199=FT_Y5,EDATE($D144,Milestones!$AA$199)&lt;PolicyEff),1,Milestones!$AC$199)&amp;";  ",""))</f>
        <v/>
      </c>
      <c r="X144" s="0" t="str">
        <f aca="false">IF(Staff!$A144="","",Staff!$AM144)</f>
        <v/>
      </c>
      <c r="Y144" s="0" t="str">
        <f aca="false">IF(Staff!$A144="","",Staff!$AO144)</f>
        <v/>
      </c>
      <c r="Z144" s="0" t="str">
        <f aca="false">IF(Staff!$A144="","",Staff!$AP144)</f>
        <v/>
      </c>
      <c r="AA144" s="0" t="str">
        <f aca="false">IF(Staff!$A144="","",Staff!$AT144)</f>
        <v/>
      </c>
      <c r="AB144" s="0" t="str">
        <f aca="false">IF(Staff!$A144="","",Staff!$AU144)</f>
        <v/>
      </c>
      <c r="AC144" s="0" t="str">
        <f aca="false">IF(Staff!$A144="","",Staff!$AV144)</f>
        <v/>
      </c>
      <c r="AD144" s="0" t="str">
        <f aca="false">IF(Staff!$A144="","",Staff!$AW144)</f>
        <v/>
      </c>
    </row>
    <row r="145" customFormat="false" ht="15" hidden="false" customHeight="false" outlineLevel="0" collapsed="false">
      <c r="A145" s="16" t="str">
        <f aca="false">IF(Staff!$A145="","",Staff!$A145)</f>
        <v/>
      </c>
      <c r="B145" s="16" t="str">
        <f aca="false">IF(Staff!$A145="","",Staff!$B145)</f>
        <v/>
      </c>
      <c r="C145" s="16" t="str">
        <f aca="false">IF(Staff!$A145="","",Staff!$C145)</f>
        <v/>
      </c>
      <c r="D145" s="14" t="str">
        <f aca="false">IF(Staff!$A145="","",Staff!$AL145)</f>
        <v/>
      </c>
      <c r="E145" s="16" t="str">
        <f aca="false">IF(Staff!$A145="","",Staff!$O145)</f>
        <v/>
      </c>
      <c r="F145" s="16" t="str">
        <f aca="false">IF(E145="","",E145*HoursPerDay)</f>
        <v/>
      </c>
      <c r="G145" s="16" t="str">
        <f aca="false">IF(Staff!$A145="","",Staff!$AE145)</f>
        <v/>
      </c>
      <c r="H145" s="28" t="str">
        <f aca="false">IF($A145="","",I145&amp;J145&amp;K145&amp;L145&amp;M145&amp;N145&amp;O145&amp;P145&amp;Q145&amp;R145&amp;S145&amp;T145&amp;U145&amp;V145&amp;W145)</f>
        <v/>
      </c>
      <c r="I145" s="0" t="str">
        <f aca="false">IF(OR($A145="",$D145=""),"",IF(AND(EDATE($D145,Milestones!$AA$20)&lt;=AsOfDate,EDATE($D145,Milestones!$AA$20)&gt;=SchemeStart,IF($X145=0,$AD145,IF(AND($Z145&lt;&gt;"",EDATE($D145,Milestones!$AA$20)&gt;=$Z145),$AC145,IF(AND($Y145&lt;&gt;"",EDATE($D145,Milestones!$AA$20)&gt;=$Y145),$AB145,$AA145)))=Milestones!$AB$20),UPPER(TEXT(EDATE($D145,Milestones!$AA$20),"dd mmm yy"))&amp;" "&amp;Milestones!$AB$20&amp;" "&amp;IF(AND(Milestones!$AB$20="FT",Milestones!$AA$20=FT_Y5,EDATE($D145,Milestones!$AA$20)&lt;PolicyEff),1,Milestones!$AC$20)&amp;";  ","")&amp;IF(AND(EDATE($D145,Milestones!$AA$21)&lt;=AsOfDate,EDATE($D145,Milestones!$AA$21)&gt;=SchemeStart,IF($X145=0,$AD145,IF(AND($Z145&lt;&gt;"",EDATE($D145,Milestones!$AA$21)&gt;=$Z145),$AC145,IF(AND($Y145&lt;&gt;"",EDATE($D145,Milestones!$AA$21)&gt;=$Y145),$AB145,$AA145)))=Milestones!$AB$21),UPPER(TEXT(EDATE($D145,Milestones!$AA$21),"dd mmm yy"))&amp;" "&amp;Milestones!$AB$21&amp;" "&amp;IF(AND(Milestones!$AB$21="FT",Milestones!$AA$21=FT_Y5,EDATE($D145,Milestones!$AA$21)&lt;PolicyEff),1,Milestones!$AC$21)&amp;";  ","")&amp;IF(AND(EDATE($D145,Milestones!$AA$22)&lt;=AsOfDate,EDATE($D145,Milestones!$AA$22)&gt;=SchemeStart,IF($X145=0,$AD145,IF(AND($Z145&lt;&gt;"",EDATE($D145,Milestones!$AA$22)&gt;=$Z145),$AC145,IF(AND($Y145&lt;&gt;"",EDATE($D145,Milestones!$AA$22)&gt;=$Y145),$AB145,$AA145)))=Milestones!$AB$22),UPPER(TEXT(EDATE($D145,Milestones!$AA$22),"dd mmm yy"))&amp;" "&amp;Milestones!$AB$22&amp;" "&amp;IF(AND(Milestones!$AB$22="FT",Milestones!$AA$22=FT_Y5,EDATE($D145,Milestones!$AA$22)&lt;PolicyEff),1,Milestones!$AC$22)&amp;";  ","")&amp;IF(AND(EDATE($D145,Milestones!$AA$23)&lt;=AsOfDate,EDATE($D145,Milestones!$AA$23)&gt;=SchemeStart,IF($X145=0,$AD145,IF(AND($Z145&lt;&gt;"",EDATE($D145,Milestones!$AA$23)&gt;=$Z145),$AC145,IF(AND($Y145&lt;&gt;"",EDATE($D145,Milestones!$AA$23)&gt;=$Y145),$AB145,$AA145)))=Milestones!$AB$23),UPPER(TEXT(EDATE($D145,Milestones!$AA$23),"dd mmm yy"))&amp;" "&amp;Milestones!$AB$23&amp;" "&amp;IF(AND(Milestones!$AB$23="FT",Milestones!$AA$23=FT_Y5,EDATE($D145,Milestones!$AA$23)&lt;PolicyEff),1,Milestones!$AC$23)&amp;";  ","")&amp;IF(AND(EDATE($D145,Milestones!$AA$24)&lt;=AsOfDate,EDATE($D145,Milestones!$AA$24)&gt;=SchemeStart,IF($X145=0,$AD145,IF(AND($Z145&lt;&gt;"",EDATE($D145,Milestones!$AA$24)&gt;=$Z145),$AC145,IF(AND($Y145&lt;&gt;"",EDATE($D145,Milestones!$AA$24)&gt;=$Y145),$AB145,$AA145)))=Milestones!$AB$24),UPPER(TEXT(EDATE($D145,Milestones!$AA$24),"dd mmm yy"))&amp;" "&amp;Milestones!$AB$24&amp;" "&amp;IF(AND(Milestones!$AB$24="FT",Milestones!$AA$24=FT_Y5,EDATE($D145,Milestones!$AA$24)&lt;PolicyEff),1,Milestones!$AC$24)&amp;";  ","")&amp;IF(AND(EDATE($D145,Milestones!$AA$25)&lt;=AsOfDate,EDATE($D145,Milestones!$AA$25)&gt;=SchemeStart,IF($X145=0,$AD145,IF(AND($Z145&lt;&gt;"",EDATE($D145,Milestones!$AA$25)&gt;=$Z145),$AC145,IF(AND($Y145&lt;&gt;"",EDATE($D145,Milestones!$AA$25)&gt;=$Y145),$AB145,$AA145)))=Milestones!$AB$25),UPPER(TEXT(EDATE($D145,Milestones!$AA$25),"dd mmm yy"))&amp;" "&amp;Milestones!$AB$25&amp;" "&amp;IF(AND(Milestones!$AB$25="FT",Milestones!$AA$25=FT_Y5,EDATE($D145,Milestones!$AA$25)&lt;PolicyEff),1,Milestones!$AC$25)&amp;";  ","")&amp;IF(AND(EDATE($D145,Milestones!$AA$26)&lt;=AsOfDate,EDATE($D145,Milestones!$AA$26)&gt;=SchemeStart,IF($X145=0,$AD145,IF(AND($Z145&lt;&gt;"",EDATE($D145,Milestones!$AA$26)&gt;=$Z145),$AC145,IF(AND($Y145&lt;&gt;"",EDATE($D145,Milestones!$AA$26)&gt;=$Y145),$AB145,$AA145)))=Milestones!$AB$26),UPPER(TEXT(EDATE($D145,Milestones!$AA$26),"dd mmm yy"))&amp;" "&amp;Milestones!$AB$26&amp;" "&amp;IF(AND(Milestones!$AB$26="FT",Milestones!$AA$26=FT_Y5,EDATE($D145,Milestones!$AA$26)&lt;PolicyEff),1,Milestones!$AC$26)&amp;";  ","")&amp;IF(AND(EDATE($D145,Milestones!$AA$27)&lt;=AsOfDate,EDATE($D145,Milestones!$AA$27)&gt;=SchemeStart,IF($X145=0,$AD145,IF(AND($Z145&lt;&gt;"",EDATE($D145,Milestones!$AA$27)&gt;=$Z145),$AC145,IF(AND($Y145&lt;&gt;"",EDATE($D145,Milestones!$AA$27)&gt;=$Y145),$AB145,$AA145)))=Milestones!$AB$27),UPPER(TEXT(EDATE($D145,Milestones!$AA$27),"dd mmm yy"))&amp;" "&amp;Milestones!$AB$27&amp;" "&amp;IF(AND(Milestones!$AB$27="FT",Milestones!$AA$27=FT_Y5,EDATE($D145,Milestones!$AA$27)&lt;PolicyEff),1,Milestones!$AC$27)&amp;";  ","")&amp;IF(AND(EDATE($D145,Milestones!$AA$28)&lt;=AsOfDate,EDATE($D145,Milestones!$AA$28)&gt;=SchemeStart,IF($X145=0,$AD145,IF(AND($Z145&lt;&gt;"",EDATE($D145,Milestones!$AA$28)&gt;=$Z145),$AC145,IF(AND($Y145&lt;&gt;"",EDATE($D145,Milestones!$AA$28)&gt;=$Y145),$AB145,$AA145)))=Milestones!$AB$28),UPPER(TEXT(EDATE($D145,Milestones!$AA$28),"dd mmm yy"))&amp;" "&amp;Milestones!$AB$28&amp;" "&amp;IF(AND(Milestones!$AB$28="FT",Milestones!$AA$28=FT_Y5,EDATE($D145,Milestones!$AA$28)&lt;PolicyEff),1,Milestones!$AC$28)&amp;";  ","")&amp;IF(AND(EDATE($D145,Milestones!$AA$29)&lt;=AsOfDate,EDATE($D145,Milestones!$AA$29)&gt;=SchemeStart,IF($X145=0,$AD145,IF(AND($Z145&lt;&gt;"",EDATE($D145,Milestones!$AA$29)&gt;=$Z145),$AC145,IF(AND($Y145&lt;&gt;"",EDATE($D145,Milestones!$AA$29)&gt;=$Y145),$AB145,$AA145)))=Milestones!$AB$29),UPPER(TEXT(EDATE($D145,Milestones!$AA$29),"dd mmm yy"))&amp;" "&amp;Milestones!$AB$29&amp;" "&amp;IF(AND(Milestones!$AB$29="FT",Milestones!$AA$29=FT_Y5,EDATE($D145,Milestones!$AA$29)&lt;PolicyEff),1,Milestones!$AC$29)&amp;";  ","")&amp;IF(AND(EDATE($D145,Milestones!$AA$30)&lt;=AsOfDate,EDATE($D145,Milestones!$AA$30)&gt;=SchemeStart,IF($X145=0,$AD145,IF(AND($Z145&lt;&gt;"",EDATE($D145,Milestones!$AA$30)&gt;=$Z145),$AC145,IF(AND($Y145&lt;&gt;"",EDATE($D145,Milestones!$AA$30)&gt;=$Y145),$AB145,$AA145)))=Milestones!$AB$30),UPPER(TEXT(EDATE($D145,Milestones!$AA$30),"dd mmm yy"))&amp;" "&amp;Milestones!$AB$30&amp;" "&amp;IF(AND(Milestones!$AB$30="FT",Milestones!$AA$30=FT_Y5,EDATE($D145,Milestones!$AA$30)&lt;PolicyEff),1,Milestones!$AC$30)&amp;";  ","")&amp;IF(AND(EDATE($D145,Milestones!$AA$31)&lt;=AsOfDate,EDATE($D145,Milestones!$AA$31)&gt;=SchemeStart,IF($X145=0,$AD145,IF(AND($Z145&lt;&gt;"",EDATE($D145,Milestones!$AA$31)&gt;=$Z145),$AC145,IF(AND($Y145&lt;&gt;"",EDATE($D145,Milestones!$AA$31)&gt;=$Y145),$AB145,$AA145)))=Milestones!$AB$31),UPPER(TEXT(EDATE($D145,Milestones!$AA$31),"dd mmm yy"))&amp;" "&amp;Milestones!$AB$31&amp;" "&amp;IF(AND(Milestones!$AB$31="FT",Milestones!$AA$31=FT_Y5,EDATE($D145,Milestones!$AA$31)&lt;PolicyEff),1,Milestones!$AC$31)&amp;";  ",""))</f>
        <v/>
      </c>
      <c r="J145" s="0" t="str">
        <f aca="false">IF(OR($A145="",$D145=""),"",IF(AND(EDATE($D145,Milestones!$AA$32)&lt;=AsOfDate,EDATE($D145,Milestones!$AA$32)&gt;=SchemeStart,IF($X145=0,$AD145,IF(AND($Z145&lt;&gt;"",EDATE($D145,Milestones!$AA$32)&gt;=$Z145),$AC145,IF(AND($Y145&lt;&gt;"",EDATE($D145,Milestones!$AA$32)&gt;=$Y145),$AB145,$AA145)))=Milestones!$AB$32),UPPER(TEXT(EDATE($D145,Milestones!$AA$32),"dd mmm yy"))&amp;" "&amp;Milestones!$AB$32&amp;" "&amp;IF(AND(Milestones!$AB$32="FT",Milestones!$AA$32=FT_Y5,EDATE($D145,Milestones!$AA$32)&lt;PolicyEff),1,Milestones!$AC$32)&amp;";  ","")&amp;IF(AND(EDATE($D145,Milestones!$AA$33)&lt;=AsOfDate,EDATE($D145,Milestones!$AA$33)&gt;=SchemeStart,IF($X145=0,$AD145,IF(AND($Z145&lt;&gt;"",EDATE($D145,Milestones!$AA$33)&gt;=$Z145),$AC145,IF(AND($Y145&lt;&gt;"",EDATE($D145,Milestones!$AA$33)&gt;=$Y145),$AB145,$AA145)))=Milestones!$AB$33),UPPER(TEXT(EDATE($D145,Milestones!$AA$33),"dd mmm yy"))&amp;" "&amp;Milestones!$AB$33&amp;" "&amp;IF(AND(Milestones!$AB$33="FT",Milestones!$AA$33=FT_Y5,EDATE($D145,Milestones!$AA$33)&lt;PolicyEff),1,Milestones!$AC$33)&amp;";  ","")&amp;IF(AND(EDATE($D145,Milestones!$AA$34)&lt;=AsOfDate,EDATE($D145,Milestones!$AA$34)&gt;=SchemeStart,IF($X145=0,$AD145,IF(AND($Z145&lt;&gt;"",EDATE($D145,Milestones!$AA$34)&gt;=$Z145),$AC145,IF(AND($Y145&lt;&gt;"",EDATE($D145,Milestones!$AA$34)&gt;=$Y145),$AB145,$AA145)))=Milestones!$AB$34),UPPER(TEXT(EDATE($D145,Milestones!$AA$34),"dd mmm yy"))&amp;" "&amp;Milestones!$AB$34&amp;" "&amp;IF(AND(Milestones!$AB$34="FT",Milestones!$AA$34=FT_Y5,EDATE($D145,Milestones!$AA$34)&lt;PolicyEff),1,Milestones!$AC$34)&amp;";  ","")&amp;IF(AND(EDATE($D145,Milestones!$AA$35)&lt;=AsOfDate,EDATE($D145,Milestones!$AA$35)&gt;=SchemeStart,IF($X145=0,$AD145,IF(AND($Z145&lt;&gt;"",EDATE($D145,Milestones!$AA$35)&gt;=$Z145),$AC145,IF(AND($Y145&lt;&gt;"",EDATE($D145,Milestones!$AA$35)&gt;=$Y145),$AB145,$AA145)))=Milestones!$AB$35),UPPER(TEXT(EDATE($D145,Milestones!$AA$35),"dd mmm yy"))&amp;" "&amp;Milestones!$AB$35&amp;" "&amp;IF(AND(Milestones!$AB$35="FT",Milestones!$AA$35=FT_Y5,EDATE($D145,Milestones!$AA$35)&lt;PolicyEff),1,Milestones!$AC$35)&amp;";  ","")&amp;IF(AND(EDATE($D145,Milestones!$AA$36)&lt;=AsOfDate,EDATE($D145,Milestones!$AA$36)&gt;=SchemeStart,IF($X145=0,$AD145,IF(AND($Z145&lt;&gt;"",EDATE($D145,Milestones!$AA$36)&gt;=$Z145),$AC145,IF(AND($Y145&lt;&gt;"",EDATE($D145,Milestones!$AA$36)&gt;=$Y145),$AB145,$AA145)))=Milestones!$AB$36),UPPER(TEXT(EDATE($D145,Milestones!$AA$36),"dd mmm yy"))&amp;" "&amp;Milestones!$AB$36&amp;" "&amp;IF(AND(Milestones!$AB$36="FT",Milestones!$AA$36=FT_Y5,EDATE($D145,Milestones!$AA$36)&lt;PolicyEff),1,Milestones!$AC$36)&amp;";  ","")&amp;IF(AND(EDATE($D145,Milestones!$AA$37)&lt;=AsOfDate,EDATE($D145,Milestones!$AA$37)&gt;=SchemeStart,IF($X145=0,$AD145,IF(AND($Z145&lt;&gt;"",EDATE($D145,Milestones!$AA$37)&gt;=$Z145),$AC145,IF(AND($Y145&lt;&gt;"",EDATE($D145,Milestones!$AA$37)&gt;=$Y145),$AB145,$AA145)))=Milestones!$AB$37),UPPER(TEXT(EDATE($D145,Milestones!$AA$37),"dd mmm yy"))&amp;" "&amp;Milestones!$AB$37&amp;" "&amp;IF(AND(Milestones!$AB$37="FT",Milestones!$AA$37=FT_Y5,EDATE($D145,Milestones!$AA$37)&lt;PolicyEff),1,Milestones!$AC$37)&amp;";  ","")&amp;IF(AND(EDATE($D145,Milestones!$AA$38)&lt;=AsOfDate,EDATE($D145,Milestones!$AA$38)&gt;=SchemeStart,IF($X145=0,$AD145,IF(AND($Z145&lt;&gt;"",EDATE($D145,Milestones!$AA$38)&gt;=$Z145),$AC145,IF(AND($Y145&lt;&gt;"",EDATE($D145,Milestones!$AA$38)&gt;=$Y145),$AB145,$AA145)))=Milestones!$AB$38),UPPER(TEXT(EDATE($D145,Milestones!$AA$38),"dd mmm yy"))&amp;" "&amp;Milestones!$AB$38&amp;" "&amp;IF(AND(Milestones!$AB$38="FT",Milestones!$AA$38=FT_Y5,EDATE($D145,Milestones!$AA$38)&lt;PolicyEff),1,Milestones!$AC$38)&amp;";  ","")&amp;IF(AND(EDATE($D145,Milestones!$AA$39)&lt;=AsOfDate,EDATE($D145,Milestones!$AA$39)&gt;=SchemeStart,IF($X145=0,$AD145,IF(AND($Z145&lt;&gt;"",EDATE($D145,Milestones!$AA$39)&gt;=$Z145),$AC145,IF(AND($Y145&lt;&gt;"",EDATE($D145,Milestones!$AA$39)&gt;=$Y145),$AB145,$AA145)))=Milestones!$AB$39),UPPER(TEXT(EDATE($D145,Milestones!$AA$39),"dd mmm yy"))&amp;" "&amp;Milestones!$AB$39&amp;" "&amp;IF(AND(Milestones!$AB$39="FT",Milestones!$AA$39=FT_Y5,EDATE($D145,Milestones!$AA$39)&lt;PolicyEff),1,Milestones!$AC$39)&amp;";  ","")&amp;IF(AND(EDATE($D145,Milestones!$AA$40)&lt;=AsOfDate,EDATE($D145,Milestones!$AA$40)&gt;=SchemeStart,IF($X145=0,$AD145,IF(AND($Z145&lt;&gt;"",EDATE($D145,Milestones!$AA$40)&gt;=$Z145),$AC145,IF(AND($Y145&lt;&gt;"",EDATE($D145,Milestones!$AA$40)&gt;=$Y145),$AB145,$AA145)))=Milestones!$AB$40),UPPER(TEXT(EDATE($D145,Milestones!$AA$40),"dd mmm yy"))&amp;" "&amp;Milestones!$AB$40&amp;" "&amp;IF(AND(Milestones!$AB$40="FT",Milestones!$AA$40=FT_Y5,EDATE($D145,Milestones!$AA$40)&lt;PolicyEff),1,Milestones!$AC$40)&amp;";  ","")&amp;IF(AND(EDATE($D145,Milestones!$AA$41)&lt;=AsOfDate,EDATE($D145,Milestones!$AA$41)&gt;=SchemeStart,IF($X145=0,$AD145,IF(AND($Z145&lt;&gt;"",EDATE($D145,Milestones!$AA$41)&gt;=$Z145),$AC145,IF(AND($Y145&lt;&gt;"",EDATE($D145,Milestones!$AA$41)&gt;=$Y145),$AB145,$AA145)))=Milestones!$AB$41),UPPER(TEXT(EDATE($D145,Milestones!$AA$41),"dd mmm yy"))&amp;" "&amp;Milestones!$AB$41&amp;" "&amp;IF(AND(Milestones!$AB$41="FT",Milestones!$AA$41=FT_Y5,EDATE($D145,Milestones!$AA$41)&lt;PolicyEff),1,Milestones!$AC$41)&amp;";  ","")&amp;IF(AND(EDATE($D145,Milestones!$AA$42)&lt;=AsOfDate,EDATE($D145,Milestones!$AA$42)&gt;=SchemeStart,IF($X145=0,$AD145,IF(AND($Z145&lt;&gt;"",EDATE($D145,Milestones!$AA$42)&gt;=$Z145),$AC145,IF(AND($Y145&lt;&gt;"",EDATE($D145,Milestones!$AA$42)&gt;=$Y145),$AB145,$AA145)))=Milestones!$AB$42),UPPER(TEXT(EDATE($D145,Milestones!$AA$42),"dd mmm yy"))&amp;" "&amp;Milestones!$AB$42&amp;" "&amp;IF(AND(Milestones!$AB$42="FT",Milestones!$AA$42=FT_Y5,EDATE($D145,Milestones!$AA$42)&lt;PolicyEff),1,Milestones!$AC$42)&amp;";  ","")&amp;IF(AND(EDATE($D145,Milestones!$AA$43)&lt;=AsOfDate,EDATE($D145,Milestones!$AA$43)&gt;=SchemeStart,IF($X145=0,$AD145,IF(AND($Z145&lt;&gt;"",EDATE($D145,Milestones!$AA$43)&gt;=$Z145),$AC145,IF(AND($Y145&lt;&gt;"",EDATE($D145,Milestones!$AA$43)&gt;=$Y145),$AB145,$AA145)))=Milestones!$AB$43),UPPER(TEXT(EDATE($D145,Milestones!$AA$43),"dd mmm yy"))&amp;" "&amp;Milestones!$AB$43&amp;" "&amp;IF(AND(Milestones!$AB$43="FT",Milestones!$AA$43=FT_Y5,EDATE($D145,Milestones!$AA$43)&lt;PolicyEff),1,Milestones!$AC$43)&amp;";  ",""))</f>
        <v/>
      </c>
      <c r="K145" s="0" t="str">
        <f aca="false">IF(OR($A145="",$D145=""),"",IF(AND(EDATE($D145,Milestones!$AA$44)&lt;=AsOfDate,EDATE($D145,Milestones!$AA$44)&gt;=SchemeStart,IF($X145=0,$AD145,IF(AND($Z145&lt;&gt;"",EDATE($D145,Milestones!$AA$44)&gt;=$Z145),$AC145,IF(AND($Y145&lt;&gt;"",EDATE($D145,Milestones!$AA$44)&gt;=$Y145),$AB145,$AA145)))=Milestones!$AB$44),UPPER(TEXT(EDATE($D145,Milestones!$AA$44),"dd mmm yy"))&amp;" "&amp;Milestones!$AB$44&amp;" "&amp;IF(AND(Milestones!$AB$44="FT",Milestones!$AA$44=FT_Y5,EDATE($D145,Milestones!$AA$44)&lt;PolicyEff),1,Milestones!$AC$44)&amp;";  ","")&amp;IF(AND(EDATE($D145,Milestones!$AA$45)&lt;=AsOfDate,EDATE($D145,Milestones!$AA$45)&gt;=SchemeStart,IF($X145=0,$AD145,IF(AND($Z145&lt;&gt;"",EDATE($D145,Milestones!$AA$45)&gt;=$Z145),$AC145,IF(AND($Y145&lt;&gt;"",EDATE($D145,Milestones!$AA$45)&gt;=$Y145),$AB145,$AA145)))=Milestones!$AB$45),UPPER(TEXT(EDATE($D145,Milestones!$AA$45),"dd mmm yy"))&amp;" "&amp;Milestones!$AB$45&amp;" "&amp;IF(AND(Milestones!$AB$45="FT",Milestones!$AA$45=FT_Y5,EDATE($D145,Milestones!$AA$45)&lt;PolicyEff),1,Milestones!$AC$45)&amp;";  ","")&amp;IF(AND(EDATE($D145,Milestones!$AA$46)&lt;=AsOfDate,EDATE($D145,Milestones!$AA$46)&gt;=SchemeStart,IF($X145=0,$AD145,IF(AND($Z145&lt;&gt;"",EDATE($D145,Milestones!$AA$46)&gt;=$Z145),$AC145,IF(AND($Y145&lt;&gt;"",EDATE($D145,Milestones!$AA$46)&gt;=$Y145),$AB145,$AA145)))=Milestones!$AB$46),UPPER(TEXT(EDATE($D145,Milestones!$AA$46),"dd mmm yy"))&amp;" "&amp;Milestones!$AB$46&amp;" "&amp;IF(AND(Milestones!$AB$46="FT",Milestones!$AA$46=FT_Y5,EDATE($D145,Milestones!$AA$46)&lt;PolicyEff),1,Milestones!$AC$46)&amp;";  ","")&amp;IF(AND(EDATE($D145,Milestones!$AA$47)&lt;=AsOfDate,EDATE($D145,Milestones!$AA$47)&gt;=SchemeStart,IF($X145=0,$AD145,IF(AND($Z145&lt;&gt;"",EDATE($D145,Milestones!$AA$47)&gt;=$Z145),$AC145,IF(AND($Y145&lt;&gt;"",EDATE($D145,Milestones!$AA$47)&gt;=$Y145),$AB145,$AA145)))=Milestones!$AB$47),UPPER(TEXT(EDATE($D145,Milestones!$AA$47),"dd mmm yy"))&amp;" "&amp;Milestones!$AB$47&amp;" "&amp;IF(AND(Milestones!$AB$47="FT",Milestones!$AA$47=FT_Y5,EDATE($D145,Milestones!$AA$47)&lt;PolicyEff),1,Milestones!$AC$47)&amp;";  ","")&amp;IF(AND(EDATE($D145,Milestones!$AA$48)&lt;=AsOfDate,EDATE($D145,Milestones!$AA$48)&gt;=SchemeStart,IF($X145=0,$AD145,IF(AND($Z145&lt;&gt;"",EDATE($D145,Milestones!$AA$48)&gt;=$Z145),$AC145,IF(AND($Y145&lt;&gt;"",EDATE($D145,Milestones!$AA$48)&gt;=$Y145),$AB145,$AA145)))=Milestones!$AB$48),UPPER(TEXT(EDATE($D145,Milestones!$AA$48),"dd mmm yy"))&amp;" "&amp;Milestones!$AB$48&amp;" "&amp;IF(AND(Milestones!$AB$48="FT",Milestones!$AA$48=FT_Y5,EDATE($D145,Milestones!$AA$48)&lt;PolicyEff),1,Milestones!$AC$48)&amp;";  ","")&amp;IF(AND(EDATE($D145,Milestones!$AA$49)&lt;=AsOfDate,EDATE($D145,Milestones!$AA$49)&gt;=SchemeStart,IF($X145=0,$AD145,IF(AND($Z145&lt;&gt;"",EDATE($D145,Milestones!$AA$49)&gt;=$Z145),$AC145,IF(AND($Y145&lt;&gt;"",EDATE($D145,Milestones!$AA$49)&gt;=$Y145),$AB145,$AA145)))=Milestones!$AB$49),UPPER(TEXT(EDATE($D145,Milestones!$AA$49),"dd mmm yy"))&amp;" "&amp;Milestones!$AB$49&amp;" "&amp;IF(AND(Milestones!$AB$49="FT",Milestones!$AA$49=FT_Y5,EDATE($D145,Milestones!$AA$49)&lt;PolicyEff),1,Milestones!$AC$49)&amp;";  ","")&amp;IF(AND(EDATE($D145,Milestones!$AA$50)&lt;=AsOfDate,EDATE($D145,Milestones!$AA$50)&gt;=SchemeStart,IF($X145=0,$AD145,IF(AND($Z145&lt;&gt;"",EDATE($D145,Milestones!$AA$50)&gt;=$Z145),$AC145,IF(AND($Y145&lt;&gt;"",EDATE($D145,Milestones!$AA$50)&gt;=$Y145),$AB145,$AA145)))=Milestones!$AB$50),UPPER(TEXT(EDATE($D145,Milestones!$AA$50),"dd mmm yy"))&amp;" "&amp;Milestones!$AB$50&amp;" "&amp;IF(AND(Milestones!$AB$50="FT",Milestones!$AA$50=FT_Y5,EDATE($D145,Milestones!$AA$50)&lt;PolicyEff),1,Milestones!$AC$50)&amp;";  ","")&amp;IF(AND(EDATE($D145,Milestones!$AA$51)&lt;=AsOfDate,EDATE($D145,Milestones!$AA$51)&gt;=SchemeStart,IF($X145=0,$AD145,IF(AND($Z145&lt;&gt;"",EDATE($D145,Milestones!$AA$51)&gt;=$Z145),$AC145,IF(AND($Y145&lt;&gt;"",EDATE($D145,Milestones!$AA$51)&gt;=$Y145),$AB145,$AA145)))=Milestones!$AB$51),UPPER(TEXT(EDATE($D145,Milestones!$AA$51),"dd mmm yy"))&amp;" "&amp;Milestones!$AB$51&amp;" "&amp;IF(AND(Milestones!$AB$51="FT",Milestones!$AA$51=FT_Y5,EDATE($D145,Milestones!$AA$51)&lt;PolicyEff),1,Milestones!$AC$51)&amp;";  ","")&amp;IF(AND(EDATE($D145,Milestones!$AA$52)&lt;=AsOfDate,EDATE($D145,Milestones!$AA$52)&gt;=SchemeStart,IF($X145=0,$AD145,IF(AND($Z145&lt;&gt;"",EDATE($D145,Milestones!$AA$52)&gt;=$Z145),$AC145,IF(AND($Y145&lt;&gt;"",EDATE($D145,Milestones!$AA$52)&gt;=$Y145),$AB145,$AA145)))=Milestones!$AB$52),UPPER(TEXT(EDATE($D145,Milestones!$AA$52),"dd mmm yy"))&amp;" "&amp;Milestones!$AB$52&amp;" "&amp;IF(AND(Milestones!$AB$52="FT",Milestones!$AA$52=FT_Y5,EDATE($D145,Milestones!$AA$52)&lt;PolicyEff),1,Milestones!$AC$52)&amp;";  ","")&amp;IF(AND(EDATE($D145,Milestones!$AA$53)&lt;=AsOfDate,EDATE($D145,Milestones!$AA$53)&gt;=SchemeStart,IF($X145=0,$AD145,IF(AND($Z145&lt;&gt;"",EDATE($D145,Milestones!$AA$53)&gt;=$Z145),$AC145,IF(AND($Y145&lt;&gt;"",EDATE($D145,Milestones!$AA$53)&gt;=$Y145),$AB145,$AA145)))=Milestones!$AB$53),UPPER(TEXT(EDATE($D145,Milestones!$AA$53),"dd mmm yy"))&amp;" "&amp;Milestones!$AB$53&amp;" "&amp;IF(AND(Milestones!$AB$53="FT",Milestones!$AA$53=FT_Y5,EDATE($D145,Milestones!$AA$53)&lt;PolicyEff),1,Milestones!$AC$53)&amp;";  ","")&amp;IF(AND(EDATE($D145,Milestones!$AA$54)&lt;=AsOfDate,EDATE($D145,Milestones!$AA$54)&gt;=SchemeStart,IF($X145=0,$AD145,IF(AND($Z145&lt;&gt;"",EDATE($D145,Milestones!$AA$54)&gt;=$Z145),$AC145,IF(AND($Y145&lt;&gt;"",EDATE($D145,Milestones!$AA$54)&gt;=$Y145),$AB145,$AA145)))=Milestones!$AB$54),UPPER(TEXT(EDATE($D145,Milestones!$AA$54),"dd mmm yy"))&amp;" "&amp;Milestones!$AB$54&amp;" "&amp;IF(AND(Milestones!$AB$54="FT",Milestones!$AA$54=FT_Y5,EDATE($D145,Milestones!$AA$54)&lt;PolicyEff),1,Milestones!$AC$54)&amp;";  ","")&amp;IF(AND(EDATE($D145,Milestones!$AA$55)&lt;=AsOfDate,EDATE($D145,Milestones!$AA$55)&gt;=SchemeStart,IF($X145=0,$AD145,IF(AND($Z145&lt;&gt;"",EDATE($D145,Milestones!$AA$55)&gt;=$Z145),$AC145,IF(AND($Y145&lt;&gt;"",EDATE($D145,Milestones!$AA$55)&gt;=$Y145),$AB145,$AA145)))=Milestones!$AB$55),UPPER(TEXT(EDATE($D145,Milestones!$AA$55),"dd mmm yy"))&amp;" "&amp;Milestones!$AB$55&amp;" "&amp;IF(AND(Milestones!$AB$55="FT",Milestones!$AA$55=FT_Y5,EDATE($D145,Milestones!$AA$55)&lt;PolicyEff),1,Milestones!$AC$55)&amp;";  ",""))</f>
        <v/>
      </c>
      <c r="L145" s="0" t="str">
        <f aca="false">IF(OR($A145="",$D145=""),"",IF(AND(EDATE($D145,Milestones!$AA$56)&lt;=AsOfDate,EDATE($D145,Milestones!$AA$56)&gt;=SchemeStart,IF($X145=0,$AD145,IF(AND($Z145&lt;&gt;"",EDATE($D145,Milestones!$AA$56)&gt;=$Z145),$AC145,IF(AND($Y145&lt;&gt;"",EDATE($D145,Milestones!$AA$56)&gt;=$Y145),$AB145,$AA145)))=Milestones!$AB$56),UPPER(TEXT(EDATE($D145,Milestones!$AA$56),"dd mmm yy"))&amp;" "&amp;Milestones!$AB$56&amp;" "&amp;IF(AND(Milestones!$AB$56="FT",Milestones!$AA$56=FT_Y5,EDATE($D145,Milestones!$AA$56)&lt;PolicyEff),1,Milestones!$AC$56)&amp;";  ","")&amp;IF(AND(EDATE($D145,Milestones!$AA$57)&lt;=AsOfDate,EDATE($D145,Milestones!$AA$57)&gt;=SchemeStart,IF($X145=0,$AD145,IF(AND($Z145&lt;&gt;"",EDATE($D145,Milestones!$AA$57)&gt;=$Z145),$AC145,IF(AND($Y145&lt;&gt;"",EDATE($D145,Milestones!$AA$57)&gt;=$Y145),$AB145,$AA145)))=Milestones!$AB$57),UPPER(TEXT(EDATE($D145,Milestones!$AA$57),"dd mmm yy"))&amp;" "&amp;Milestones!$AB$57&amp;" "&amp;IF(AND(Milestones!$AB$57="FT",Milestones!$AA$57=FT_Y5,EDATE($D145,Milestones!$AA$57)&lt;PolicyEff),1,Milestones!$AC$57)&amp;";  ","")&amp;IF(AND(EDATE($D145,Milestones!$AA$58)&lt;=AsOfDate,EDATE($D145,Milestones!$AA$58)&gt;=SchemeStart,IF($X145=0,$AD145,IF(AND($Z145&lt;&gt;"",EDATE($D145,Milestones!$AA$58)&gt;=$Z145),$AC145,IF(AND($Y145&lt;&gt;"",EDATE($D145,Milestones!$AA$58)&gt;=$Y145),$AB145,$AA145)))=Milestones!$AB$58),UPPER(TEXT(EDATE($D145,Milestones!$AA$58),"dd mmm yy"))&amp;" "&amp;Milestones!$AB$58&amp;" "&amp;IF(AND(Milestones!$AB$58="FT",Milestones!$AA$58=FT_Y5,EDATE($D145,Milestones!$AA$58)&lt;PolicyEff),1,Milestones!$AC$58)&amp;";  ","")&amp;IF(AND(EDATE($D145,Milestones!$AA$59)&lt;=AsOfDate,EDATE($D145,Milestones!$AA$59)&gt;=SchemeStart,IF($X145=0,$AD145,IF(AND($Z145&lt;&gt;"",EDATE($D145,Milestones!$AA$59)&gt;=$Z145),$AC145,IF(AND($Y145&lt;&gt;"",EDATE($D145,Milestones!$AA$59)&gt;=$Y145),$AB145,$AA145)))=Milestones!$AB$59),UPPER(TEXT(EDATE($D145,Milestones!$AA$59),"dd mmm yy"))&amp;" "&amp;Milestones!$AB$59&amp;" "&amp;IF(AND(Milestones!$AB$59="FT",Milestones!$AA$59=FT_Y5,EDATE($D145,Milestones!$AA$59)&lt;PolicyEff),1,Milestones!$AC$59)&amp;";  ","")&amp;IF(AND(EDATE($D145,Milestones!$AA$60)&lt;=AsOfDate,EDATE($D145,Milestones!$AA$60)&gt;=SchemeStart,IF($X145=0,$AD145,IF(AND($Z145&lt;&gt;"",EDATE($D145,Milestones!$AA$60)&gt;=$Z145),$AC145,IF(AND($Y145&lt;&gt;"",EDATE($D145,Milestones!$AA$60)&gt;=$Y145),$AB145,$AA145)))=Milestones!$AB$60),UPPER(TEXT(EDATE($D145,Milestones!$AA$60),"dd mmm yy"))&amp;" "&amp;Milestones!$AB$60&amp;" "&amp;IF(AND(Milestones!$AB$60="FT",Milestones!$AA$60=FT_Y5,EDATE($D145,Milestones!$AA$60)&lt;PolicyEff),1,Milestones!$AC$60)&amp;";  ","")&amp;IF(AND(EDATE($D145,Milestones!$AA$61)&lt;=AsOfDate,EDATE($D145,Milestones!$AA$61)&gt;=SchemeStart,IF($X145=0,$AD145,IF(AND($Z145&lt;&gt;"",EDATE($D145,Milestones!$AA$61)&gt;=$Z145),$AC145,IF(AND($Y145&lt;&gt;"",EDATE($D145,Milestones!$AA$61)&gt;=$Y145),$AB145,$AA145)))=Milestones!$AB$61),UPPER(TEXT(EDATE($D145,Milestones!$AA$61),"dd mmm yy"))&amp;" "&amp;Milestones!$AB$61&amp;" "&amp;IF(AND(Milestones!$AB$61="FT",Milestones!$AA$61=FT_Y5,EDATE($D145,Milestones!$AA$61)&lt;PolicyEff),1,Milestones!$AC$61)&amp;";  ","")&amp;IF(AND(EDATE($D145,Milestones!$AA$62)&lt;=AsOfDate,EDATE($D145,Milestones!$AA$62)&gt;=SchemeStart,IF($X145=0,$AD145,IF(AND($Z145&lt;&gt;"",EDATE($D145,Milestones!$AA$62)&gt;=$Z145),$AC145,IF(AND($Y145&lt;&gt;"",EDATE($D145,Milestones!$AA$62)&gt;=$Y145),$AB145,$AA145)))=Milestones!$AB$62),UPPER(TEXT(EDATE($D145,Milestones!$AA$62),"dd mmm yy"))&amp;" "&amp;Milestones!$AB$62&amp;" "&amp;IF(AND(Milestones!$AB$62="FT",Milestones!$AA$62=FT_Y5,EDATE($D145,Milestones!$AA$62)&lt;PolicyEff),1,Milestones!$AC$62)&amp;";  ","")&amp;IF(AND(EDATE($D145,Milestones!$AA$63)&lt;=AsOfDate,EDATE($D145,Milestones!$AA$63)&gt;=SchemeStart,IF($X145=0,$AD145,IF(AND($Z145&lt;&gt;"",EDATE($D145,Milestones!$AA$63)&gt;=$Z145),$AC145,IF(AND($Y145&lt;&gt;"",EDATE($D145,Milestones!$AA$63)&gt;=$Y145),$AB145,$AA145)))=Milestones!$AB$63),UPPER(TEXT(EDATE($D145,Milestones!$AA$63),"dd mmm yy"))&amp;" "&amp;Milestones!$AB$63&amp;" "&amp;IF(AND(Milestones!$AB$63="FT",Milestones!$AA$63=FT_Y5,EDATE($D145,Milestones!$AA$63)&lt;PolicyEff),1,Milestones!$AC$63)&amp;";  ","")&amp;IF(AND(EDATE($D145,Milestones!$AA$64)&lt;=AsOfDate,EDATE($D145,Milestones!$AA$64)&gt;=SchemeStart,IF($X145=0,$AD145,IF(AND($Z145&lt;&gt;"",EDATE($D145,Milestones!$AA$64)&gt;=$Z145),$AC145,IF(AND($Y145&lt;&gt;"",EDATE($D145,Milestones!$AA$64)&gt;=$Y145),$AB145,$AA145)))=Milestones!$AB$64),UPPER(TEXT(EDATE($D145,Milestones!$AA$64),"dd mmm yy"))&amp;" "&amp;Milestones!$AB$64&amp;" "&amp;IF(AND(Milestones!$AB$64="FT",Milestones!$AA$64=FT_Y5,EDATE($D145,Milestones!$AA$64)&lt;PolicyEff),1,Milestones!$AC$64)&amp;";  ","")&amp;IF(AND(EDATE($D145,Milestones!$AA$65)&lt;=AsOfDate,EDATE($D145,Milestones!$AA$65)&gt;=SchemeStart,IF($X145=0,$AD145,IF(AND($Z145&lt;&gt;"",EDATE($D145,Milestones!$AA$65)&gt;=$Z145),$AC145,IF(AND($Y145&lt;&gt;"",EDATE($D145,Milestones!$AA$65)&gt;=$Y145),$AB145,$AA145)))=Milestones!$AB$65),UPPER(TEXT(EDATE($D145,Milestones!$AA$65),"dd mmm yy"))&amp;" "&amp;Milestones!$AB$65&amp;" "&amp;IF(AND(Milestones!$AB$65="FT",Milestones!$AA$65=FT_Y5,EDATE($D145,Milestones!$AA$65)&lt;PolicyEff),1,Milestones!$AC$65)&amp;";  ","")&amp;IF(AND(EDATE($D145,Milestones!$AA$66)&lt;=AsOfDate,EDATE($D145,Milestones!$AA$66)&gt;=SchemeStart,IF($X145=0,$AD145,IF(AND($Z145&lt;&gt;"",EDATE($D145,Milestones!$AA$66)&gt;=$Z145),$AC145,IF(AND($Y145&lt;&gt;"",EDATE($D145,Milestones!$AA$66)&gt;=$Y145),$AB145,$AA145)))=Milestones!$AB$66),UPPER(TEXT(EDATE($D145,Milestones!$AA$66),"dd mmm yy"))&amp;" "&amp;Milestones!$AB$66&amp;" "&amp;IF(AND(Milestones!$AB$66="FT",Milestones!$AA$66=FT_Y5,EDATE($D145,Milestones!$AA$66)&lt;PolicyEff),1,Milestones!$AC$66)&amp;";  ","")&amp;IF(AND(EDATE($D145,Milestones!$AA$67)&lt;=AsOfDate,EDATE($D145,Milestones!$AA$67)&gt;=SchemeStart,IF($X145=0,$AD145,IF(AND($Z145&lt;&gt;"",EDATE($D145,Milestones!$AA$67)&gt;=$Z145),$AC145,IF(AND($Y145&lt;&gt;"",EDATE($D145,Milestones!$AA$67)&gt;=$Y145),$AB145,$AA145)))=Milestones!$AB$67),UPPER(TEXT(EDATE($D145,Milestones!$AA$67),"dd mmm yy"))&amp;" "&amp;Milestones!$AB$67&amp;" "&amp;IF(AND(Milestones!$AB$67="FT",Milestones!$AA$67=FT_Y5,EDATE($D145,Milestones!$AA$67)&lt;PolicyEff),1,Milestones!$AC$67)&amp;";  ",""))</f>
        <v/>
      </c>
      <c r="M145" s="0" t="str">
        <f aca="false">IF(OR($A145="",$D145=""),"",IF(AND(EDATE($D145,Milestones!$AA$68)&lt;=AsOfDate,EDATE($D145,Milestones!$AA$68)&gt;=SchemeStart,IF($X145=0,$AD145,IF(AND($Z145&lt;&gt;"",EDATE($D145,Milestones!$AA$68)&gt;=$Z145),$AC145,IF(AND($Y145&lt;&gt;"",EDATE($D145,Milestones!$AA$68)&gt;=$Y145),$AB145,$AA145)))=Milestones!$AB$68),UPPER(TEXT(EDATE($D145,Milestones!$AA$68),"dd mmm yy"))&amp;" "&amp;Milestones!$AB$68&amp;" "&amp;IF(AND(Milestones!$AB$68="FT",Milestones!$AA$68=FT_Y5,EDATE($D145,Milestones!$AA$68)&lt;PolicyEff),1,Milestones!$AC$68)&amp;";  ","")&amp;IF(AND(EDATE($D145,Milestones!$AA$69)&lt;=AsOfDate,EDATE($D145,Milestones!$AA$69)&gt;=SchemeStart,IF($X145=0,$AD145,IF(AND($Z145&lt;&gt;"",EDATE($D145,Milestones!$AA$69)&gt;=$Z145),$AC145,IF(AND($Y145&lt;&gt;"",EDATE($D145,Milestones!$AA$69)&gt;=$Y145),$AB145,$AA145)))=Milestones!$AB$69),UPPER(TEXT(EDATE($D145,Milestones!$AA$69),"dd mmm yy"))&amp;" "&amp;Milestones!$AB$69&amp;" "&amp;IF(AND(Milestones!$AB$69="FT",Milestones!$AA$69=FT_Y5,EDATE($D145,Milestones!$AA$69)&lt;PolicyEff),1,Milestones!$AC$69)&amp;";  ","")&amp;IF(AND(EDATE($D145,Milestones!$AA$70)&lt;=AsOfDate,EDATE($D145,Milestones!$AA$70)&gt;=SchemeStart,IF($X145=0,$AD145,IF(AND($Z145&lt;&gt;"",EDATE($D145,Milestones!$AA$70)&gt;=$Z145),$AC145,IF(AND($Y145&lt;&gt;"",EDATE($D145,Milestones!$AA$70)&gt;=$Y145),$AB145,$AA145)))=Milestones!$AB$70),UPPER(TEXT(EDATE($D145,Milestones!$AA$70),"dd mmm yy"))&amp;" "&amp;Milestones!$AB$70&amp;" "&amp;IF(AND(Milestones!$AB$70="FT",Milestones!$AA$70=FT_Y5,EDATE($D145,Milestones!$AA$70)&lt;PolicyEff),1,Milestones!$AC$70)&amp;";  ","")&amp;IF(AND(EDATE($D145,Milestones!$AA$71)&lt;=AsOfDate,EDATE($D145,Milestones!$AA$71)&gt;=SchemeStart,IF($X145=0,$AD145,IF(AND($Z145&lt;&gt;"",EDATE($D145,Milestones!$AA$71)&gt;=$Z145),$AC145,IF(AND($Y145&lt;&gt;"",EDATE($D145,Milestones!$AA$71)&gt;=$Y145),$AB145,$AA145)))=Milestones!$AB$71),UPPER(TEXT(EDATE($D145,Milestones!$AA$71),"dd mmm yy"))&amp;" "&amp;Milestones!$AB$71&amp;" "&amp;IF(AND(Milestones!$AB$71="FT",Milestones!$AA$71=FT_Y5,EDATE($D145,Milestones!$AA$71)&lt;PolicyEff),1,Milestones!$AC$71)&amp;";  ","")&amp;IF(AND(EDATE($D145,Milestones!$AA$72)&lt;=AsOfDate,EDATE($D145,Milestones!$AA$72)&gt;=SchemeStart,IF($X145=0,$AD145,IF(AND($Z145&lt;&gt;"",EDATE($D145,Milestones!$AA$72)&gt;=$Z145),$AC145,IF(AND($Y145&lt;&gt;"",EDATE($D145,Milestones!$AA$72)&gt;=$Y145),$AB145,$AA145)))=Milestones!$AB$72),UPPER(TEXT(EDATE($D145,Milestones!$AA$72),"dd mmm yy"))&amp;" "&amp;Milestones!$AB$72&amp;" "&amp;IF(AND(Milestones!$AB$72="FT",Milestones!$AA$72=FT_Y5,EDATE($D145,Milestones!$AA$72)&lt;PolicyEff),1,Milestones!$AC$72)&amp;";  ","")&amp;IF(AND(EDATE($D145,Milestones!$AA$73)&lt;=AsOfDate,EDATE($D145,Milestones!$AA$73)&gt;=SchemeStart,IF($X145=0,$AD145,IF(AND($Z145&lt;&gt;"",EDATE($D145,Milestones!$AA$73)&gt;=$Z145),$AC145,IF(AND($Y145&lt;&gt;"",EDATE($D145,Milestones!$AA$73)&gt;=$Y145),$AB145,$AA145)))=Milestones!$AB$73),UPPER(TEXT(EDATE($D145,Milestones!$AA$73),"dd mmm yy"))&amp;" "&amp;Milestones!$AB$73&amp;" "&amp;IF(AND(Milestones!$AB$73="FT",Milestones!$AA$73=FT_Y5,EDATE($D145,Milestones!$AA$73)&lt;PolicyEff),1,Milestones!$AC$73)&amp;";  ","")&amp;IF(AND(EDATE($D145,Milestones!$AA$74)&lt;=AsOfDate,EDATE($D145,Milestones!$AA$74)&gt;=SchemeStart,IF($X145=0,$AD145,IF(AND($Z145&lt;&gt;"",EDATE($D145,Milestones!$AA$74)&gt;=$Z145),$AC145,IF(AND($Y145&lt;&gt;"",EDATE($D145,Milestones!$AA$74)&gt;=$Y145),$AB145,$AA145)))=Milestones!$AB$74),UPPER(TEXT(EDATE($D145,Milestones!$AA$74),"dd mmm yy"))&amp;" "&amp;Milestones!$AB$74&amp;" "&amp;IF(AND(Milestones!$AB$74="FT",Milestones!$AA$74=FT_Y5,EDATE($D145,Milestones!$AA$74)&lt;PolicyEff),1,Milestones!$AC$74)&amp;";  ","")&amp;IF(AND(EDATE($D145,Milestones!$AA$75)&lt;=AsOfDate,EDATE($D145,Milestones!$AA$75)&gt;=SchemeStart,IF($X145=0,$AD145,IF(AND($Z145&lt;&gt;"",EDATE($D145,Milestones!$AA$75)&gt;=$Z145),$AC145,IF(AND($Y145&lt;&gt;"",EDATE($D145,Milestones!$AA$75)&gt;=$Y145),$AB145,$AA145)))=Milestones!$AB$75),UPPER(TEXT(EDATE($D145,Milestones!$AA$75),"dd mmm yy"))&amp;" "&amp;Milestones!$AB$75&amp;" "&amp;IF(AND(Milestones!$AB$75="FT",Milestones!$AA$75=FT_Y5,EDATE($D145,Milestones!$AA$75)&lt;PolicyEff),1,Milestones!$AC$75)&amp;";  ","")&amp;IF(AND(EDATE($D145,Milestones!$AA$76)&lt;=AsOfDate,EDATE($D145,Milestones!$AA$76)&gt;=SchemeStart,IF($X145=0,$AD145,IF(AND($Z145&lt;&gt;"",EDATE($D145,Milestones!$AA$76)&gt;=$Z145),$AC145,IF(AND($Y145&lt;&gt;"",EDATE($D145,Milestones!$AA$76)&gt;=$Y145),$AB145,$AA145)))=Milestones!$AB$76),UPPER(TEXT(EDATE($D145,Milestones!$AA$76),"dd mmm yy"))&amp;" "&amp;Milestones!$AB$76&amp;" "&amp;IF(AND(Milestones!$AB$76="FT",Milestones!$AA$76=FT_Y5,EDATE($D145,Milestones!$AA$76)&lt;PolicyEff),1,Milestones!$AC$76)&amp;";  ","")&amp;IF(AND(EDATE($D145,Milestones!$AA$77)&lt;=AsOfDate,EDATE($D145,Milestones!$AA$77)&gt;=SchemeStart,IF($X145=0,$AD145,IF(AND($Z145&lt;&gt;"",EDATE($D145,Milestones!$AA$77)&gt;=$Z145),$AC145,IF(AND($Y145&lt;&gt;"",EDATE($D145,Milestones!$AA$77)&gt;=$Y145),$AB145,$AA145)))=Milestones!$AB$77),UPPER(TEXT(EDATE($D145,Milestones!$AA$77),"dd mmm yy"))&amp;" "&amp;Milestones!$AB$77&amp;" "&amp;IF(AND(Milestones!$AB$77="FT",Milestones!$AA$77=FT_Y5,EDATE($D145,Milestones!$AA$77)&lt;PolicyEff),1,Milestones!$AC$77)&amp;";  ","")&amp;IF(AND(EDATE($D145,Milestones!$AA$78)&lt;=AsOfDate,EDATE($D145,Milestones!$AA$78)&gt;=SchemeStart,IF($X145=0,$AD145,IF(AND($Z145&lt;&gt;"",EDATE($D145,Milestones!$AA$78)&gt;=$Z145),$AC145,IF(AND($Y145&lt;&gt;"",EDATE($D145,Milestones!$AA$78)&gt;=$Y145),$AB145,$AA145)))=Milestones!$AB$78),UPPER(TEXT(EDATE($D145,Milestones!$AA$78),"dd mmm yy"))&amp;" "&amp;Milestones!$AB$78&amp;" "&amp;IF(AND(Milestones!$AB$78="FT",Milestones!$AA$78=FT_Y5,EDATE($D145,Milestones!$AA$78)&lt;PolicyEff),1,Milestones!$AC$78)&amp;";  ","")&amp;IF(AND(EDATE($D145,Milestones!$AA$79)&lt;=AsOfDate,EDATE($D145,Milestones!$AA$79)&gt;=SchemeStart,IF($X145=0,$AD145,IF(AND($Z145&lt;&gt;"",EDATE($D145,Milestones!$AA$79)&gt;=$Z145),$AC145,IF(AND($Y145&lt;&gt;"",EDATE($D145,Milestones!$AA$79)&gt;=$Y145),$AB145,$AA145)))=Milestones!$AB$79),UPPER(TEXT(EDATE($D145,Milestones!$AA$79),"dd mmm yy"))&amp;" "&amp;Milestones!$AB$79&amp;" "&amp;IF(AND(Milestones!$AB$79="FT",Milestones!$AA$79=FT_Y5,EDATE($D145,Milestones!$AA$79)&lt;PolicyEff),1,Milestones!$AC$79)&amp;";  ",""))</f>
        <v/>
      </c>
      <c r="N145" s="0" t="str">
        <f aca="false">IF(OR($A145="",$D145=""),"",IF(AND(EDATE($D145,Milestones!$AA$80)&lt;=AsOfDate,EDATE($D145,Milestones!$AA$80)&gt;=SchemeStart,IF($X145=0,$AD145,IF(AND($Z145&lt;&gt;"",EDATE($D145,Milestones!$AA$80)&gt;=$Z145),$AC145,IF(AND($Y145&lt;&gt;"",EDATE($D145,Milestones!$AA$80)&gt;=$Y145),$AB145,$AA145)))=Milestones!$AB$80),UPPER(TEXT(EDATE($D145,Milestones!$AA$80),"dd mmm yy"))&amp;" "&amp;Milestones!$AB$80&amp;" "&amp;IF(AND(Milestones!$AB$80="FT",Milestones!$AA$80=FT_Y5,EDATE($D145,Milestones!$AA$80)&lt;PolicyEff),1,Milestones!$AC$80)&amp;";  ","")&amp;IF(AND(EDATE($D145,Milestones!$AA$81)&lt;=AsOfDate,EDATE($D145,Milestones!$AA$81)&gt;=SchemeStart,IF($X145=0,$AD145,IF(AND($Z145&lt;&gt;"",EDATE($D145,Milestones!$AA$81)&gt;=$Z145),$AC145,IF(AND($Y145&lt;&gt;"",EDATE($D145,Milestones!$AA$81)&gt;=$Y145),$AB145,$AA145)))=Milestones!$AB$81),UPPER(TEXT(EDATE($D145,Milestones!$AA$81),"dd mmm yy"))&amp;" "&amp;Milestones!$AB$81&amp;" "&amp;IF(AND(Milestones!$AB$81="FT",Milestones!$AA$81=FT_Y5,EDATE($D145,Milestones!$AA$81)&lt;PolicyEff),1,Milestones!$AC$81)&amp;";  ","")&amp;IF(AND(EDATE($D145,Milestones!$AA$82)&lt;=AsOfDate,EDATE($D145,Milestones!$AA$82)&gt;=SchemeStart,IF($X145=0,$AD145,IF(AND($Z145&lt;&gt;"",EDATE($D145,Milestones!$AA$82)&gt;=$Z145),$AC145,IF(AND($Y145&lt;&gt;"",EDATE($D145,Milestones!$AA$82)&gt;=$Y145),$AB145,$AA145)))=Milestones!$AB$82),UPPER(TEXT(EDATE($D145,Milestones!$AA$82),"dd mmm yy"))&amp;" "&amp;Milestones!$AB$82&amp;" "&amp;IF(AND(Milestones!$AB$82="FT",Milestones!$AA$82=FT_Y5,EDATE($D145,Milestones!$AA$82)&lt;PolicyEff),1,Milestones!$AC$82)&amp;";  ","")&amp;IF(AND(EDATE($D145,Milestones!$AA$83)&lt;=AsOfDate,EDATE($D145,Milestones!$AA$83)&gt;=SchemeStart,IF($X145=0,$AD145,IF(AND($Z145&lt;&gt;"",EDATE($D145,Milestones!$AA$83)&gt;=$Z145),$AC145,IF(AND($Y145&lt;&gt;"",EDATE($D145,Milestones!$AA$83)&gt;=$Y145),$AB145,$AA145)))=Milestones!$AB$83),UPPER(TEXT(EDATE($D145,Milestones!$AA$83),"dd mmm yy"))&amp;" "&amp;Milestones!$AB$83&amp;" "&amp;IF(AND(Milestones!$AB$83="FT",Milestones!$AA$83=FT_Y5,EDATE($D145,Milestones!$AA$83)&lt;PolicyEff),1,Milestones!$AC$83)&amp;";  ","")&amp;IF(AND(EDATE($D145,Milestones!$AA$84)&lt;=AsOfDate,EDATE($D145,Milestones!$AA$84)&gt;=SchemeStart,IF($X145=0,$AD145,IF(AND($Z145&lt;&gt;"",EDATE($D145,Milestones!$AA$84)&gt;=$Z145),$AC145,IF(AND($Y145&lt;&gt;"",EDATE($D145,Milestones!$AA$84)&gt;=$Y145),$AB145,$AA145)))=Milestones!$AB$84),UPPER(TEXT(EDATE($D145,Milestones!$AA$84),"dd mmm yy"))&amp;" "&amp;Milestones!$AB$84&amp;" "&amp;IF(AND(Milestones!$AB$84="FT",Milestones!$AA$84=FT_Y5,EDATE($D145,Milestones!$AA$84)&lt;PolicyEff),1,Milestones!$AC$84)&amp;";  ","")&amp;IF(AND(EDATE($D145,Milestones!$AA$85)&lt;=AsOfDate,EDATE($D145,Milestones!$AA$85)&gt;=SchemeStart,IF($X145=0,$AD145,IF(AND($Z145&lt;&gt;"",EDATE($D145,Milestones!$AA$85)&gt;=$Z145),$AC145,IF(AND($Y145&lt;&gt;"",EDATE($D145,Milestones!$AA$85)&gt;=$Y145),$AB145,$AA145)))=Milestones!$AB$85),UPPER(TEXT(EDATE($D145,Milestones!$AA$85),"dd mmm yy"))&amp;" "&amp;Milestones!$AB$85&amp;" "&amp;IF(AND(Milestones!$AB$85="FT",Milestones!$AA$85=FT_Y5,EDATE($D145,Milestones!$AA$85)&lt;PolicyEff),1,Milestones!$AC$85)&amp;";  ","")&amp;IF(AND(EDATE($D145,Milestones!$AA$86)&lt;=AsOfDate,EDATE($D145,Milestones!$AA$86)&gt;=SchemeStart,IF($X145=0,$AD145,IF(AND($Z145&lt;&gt;"",EDATE($D145,Milestones!$AA$86)&gt;=$Z145),$AC145,IF(AND($Y145&lt;&gt;"",EDATE($D145,Milestones!$AA$86)&gt;=$Y145),$AB145,$AA145)))=Milestones!$AB$86),UPPER(TEXT(EDATE($D145,Milestones!$AA$86),"dd mmm yy"))&amp;" "&amp;Milestones!$AB$86&amp;" "&amp;IF(AND(Milestones!$AB$86="FT",Milestones!$AA$86=FT_Y5,EDATE($D145,Milestones!$AA$86)&lt;PolicyEff),1,Milestones!$AC$86)&amp;";  ","")&amp;IF(AND(EDATE($D145,Milestones!$AA$87)&lt;=AsOfDate,EDATE($D145,Milestones!$AA$87)&gt;=SchemeStart,IF($X145=0,$AD145,IF(AND($Z145&lt;&gt;"",EDATE($D145,Milestones!$AA$87)&gt;=$Z145),$AC145,IF(AND($Y145&lt;&gt;"",EDATE($D145,Milestones!$AA$87)&gt;=$Y145),$AB145,$AA145)))=Milestones!$AB$87),UPPER(TEXT(EDATE($D145,Milestones!$AA$87),"dd mmm yy"))&amp;" "&amp;Milestones!$AB$87&amp;" "&amp;IF(AND(Milestones!$AB$87="FT",Milestones!$AA$87=FT_Y5,EDATE($D145,Milestones!$AA$87)&lt;PolicyEff),1,Milestones!$AC$87)&amp;";  ","")&amp;IF(AND(EDATE($D145,Milestones!$AA$88)&lt;=AsOfDate,EDATE($D145,Milestones!$AA$88)&gt;=SchemeStart,IF($X145=0,$AD145,IF(AND($Z145&lt;&gt;"",EDATE($D145,Milestones!$AA$88)&gt;=$Z145),$AC145,IF(AND($Y145&lt;&gt;"",EDATE($D145,Milestones!$AA$88)&gt;=$Y145),$AB145,$AA145)))=Milestones!$AB$88),UPPER(TEXT(EDATE($D145,Milestones!$AA$88),"dd mmm yy"))&amp;" "&amp;Milestones!$AB$88&amp;" "&amp;IF(AND(Milestones!$AB$88="FT",Milestones!$AA$88=FT_Y5,EDATE($D145,Milestones!$AA$88)&lt;PolicyEff),1,Milestones!$AC$88)&amp;";  ","")&amp;IF(AND(EDATE($D145,Milestones!$AA$89)&lt;=AsOfDate,EDATE($D145,Milestones!$AA$89)&gt;=SchemeStart,IF($X145=0,$AD145,IF(AND($Z145&lt;&gt;"",EDATE($D145,Milestones!$AA$89)&gt;=$Z145),$AC145,IF(AND($Y145&lt;&gt;"",EDATE($D145,Milestones!$AA$89)&gt;=$Y145),$AB145,$AA145)))=Milestones!$AB$89),UPPER(TEXT(EDATE($D145,Milestones!$AA$89),"dd mmm yy"))&amp;" "&amp;Milestones!$AB$89&amp;" "&amp;IF(AND(Milestones!$AB$89="FT",Milestones!$AA$89=FT_Y5,EDATE($D145,Milestones!$AA$89)&lt;PolicyEff),1,Milestones!$AC$89)&amp;";  ","")&amp;IF(AND(EDATE($D145,Milestones!$AA$90)&lt;=AsOfDate,EDATE($D145,Milestones!$AA$90)&gt;=SchemeStart,IF($X145=0,$AD145,IF(AND($Z145&lt;&gt;"",EDATE($D145,Milestones!$AA$90)&gt;=$Z145),$AC145,IF(AND($Y145&lt;&gt;"",EDATE($D145,Milestones!$AA$90)&gt;=$Y145),$AB145,$AA145)))=Milestones!$AB$90),UPPER(TEXT(EDATE($D145,Milestones!$AA$90),"dd mmm yy"))&amp;" "&amp;Milestones!$AB$90&amp;" "&amp;IF(AND(Milestones!$AB$90="FT",Milestones!$AA$90=FT_Y5,EDATE($D145,Milestones!$AA$90)&lt;PolicyEff),1,Milestones!$AC$90)&amp;";  ","")&amp;IF(AND(EDATE($D145,Milestones!$AA$91)&lt;=AsOfDate,EDATE($D145,Milestones!$AA$91)&gt;=SchemeStart,IF($X145=0,$AD145,IF(AND($Z145&lt;&gt;"",EDATE($D145,Milestones!$AA$91)&gt;=$Z145),$AC145,IF(AND($Y145&lt;&gt;"",EDATE($D145,Milestones!$AA$91)&gt;=$Y145),$AB145,$AA145)))=Milestones!$AB$91),UPPER(TEXT(EDATE($D145,Milestones!$AA$91),"dd mmm yy"))&amp;" "&amp;Milestones!$AB$91&amp;" "&amp;IF(AND(Milestones!$AB$91="FT",Milestones!$AA$91=FT_Y5,EDATE($D145,Milestones!$AA$91)&lt;PolicyEff),1,Milestones!$AC$91)&amp;";  ",""))</f>
        <v/>
      </c>
      <c r="O145" s="0" t="str">
        <f aca="false">IF(OR($A145="",$D145=""),"",IF(AND(EDATE($D145,Milestones!$AA$92)&lt;=AsOfDate,EDATE($D145,Milestones!$AA$92)&gt;=SchemeStart,IF($X145=0,$AD145,IF(AND($Z145&lt;&gt;"",EDATE($D145,Milestones!$AA$92)&gt;=$Z145),$AC145,IF(AND($Y145&lt;&gt;"",EDATE($D145,Milestones!$AA$92)&gt;=$Y145),$AB145,$AA145)))=Milestones!$AB$92),UPPER(TEXT(EDATE($D145,Milestones!$AA$92),"dd mmm yy"))&amp;" "&amp;Milestones!$AB$92&amp;" "&amp;IF(AND(Milestones!$AB$92="FT",Milestones!$AA$92=FT_Y5,EDATE($D145,Milestones!$AA$92)&lt;PolicyEff),1,Milestones!$AC$92)&amp;";  ","")&amp;IF(AND(EDATE($D145,Milestones!$AA$93)&lt;=AsOfDate,EDATE($D145,Milestones!$AA$93)&gt;=SchemeStart,IF($X145=0,$AD145,IF(AND($Z145&lt;&gt;"",EDATE($D145,Milestones!$AA$93)&gt;=$Z145),$AC145,IF(AND($Y145&lt;&gt;"",EDATE($D145,Milestones!$AA$93)&gt;=$Y145),$AB145,$AA145)))=Milestones!$AB$93),UPPER(TEXT(EDATE($D145,Milestones!$AA$93),"dd mmm yy"))&amp;" "&amp;Milestones!$AB$93&amp;" "&amp;IF(AND(Milestones!$AB$93="FT",Milestones!$AA$93=FT_Y5,EDATE($D145,Milestones!$AA$93)&lt;PolicyEff),1,Milestones!$AC$93)&amp;";  ","")&amp;IF(AND(EDATE($D145,Milestones!$AA$94)&lt;=AsOfDate,EDATE($D145,Milestones!$AA$94)&gt;=SchemeStart,IF($X145=0,$AD145,IF(AND($Z145&lt;&gt;"",EDATE($D145,Milestones!$AA$94)&gt;=$Z145),$AC145,IF(AND($Y145&lt;&gt;"",EDATE($D145,Milestones!$AA$94)&gt;=$Y145),$AB145,$AA145)))=Milestones!$AB$94),UPPER(TEXT(EDATE($D145,Milestones!$AA$94),"dd mmm yy"))&amp;" "&amp;Milestones!$AB$94&amp;" "&amp;IF(AND(Milestones!$AB$94="FT",Milestones!$AA$94=FT_Y5,EDATE($D145,Milestones!$AA$94)&lt;PolicyEff),1,Milestones!$AC$94)&amp;";  ","")&amp;IF(AND(EDATE($D145,Milestones!$AA$95)&lt;=AsOfDate,EDATE($D145,Milestones!$AA$95)&gt;=SchemeStart,IF($X145=0,$AD145,IF(AND($Z145&lt;&gt;"",EDATE($D145,Milestones!$AA$95)&gt;=$Z145),$AC145,IF(AND($Y145&lt;&gt;"",EDATE($D145,Milestones!$AA$95)&gt;=$Y145),$AB145,$AA145)))=Milestones!$AB$95),UPPER(TEXT(EDATE($D145,Milestones!$AA$95),"dd mmm yy"))&amp;" "&amp;Milestones!$AB$95&amp;" "&amp;IF(AND(Milestones!$AB$95="FT",Milestones!$AA$95=FT_Y5,EDATE($D145,Milestones!$AA$95)&lt;PolicyEff),1,Milestones!$AC$95)&amp;";  ","")&amp;IF(AND(EDATE($D145,Milestones!$AA$96)&lt;=AsOfDate,EDATE($D145,Milestones!$AA$96)&gt;=SchemeStart,IF($X145=0,$AD145,IF(AND($Z145&lt;&gt;"",EDATE($D145,Milestones!$AA$96)&gt;=$Z145),$AC145,IF(AND($Y145&lt;&gt;"",EDATE($D145,Milestones!$AA$96)&gt;=$Y145),$AB145,$AA145)))=Milestones!$AB$96),UPPER(TEXT(EDATE($D145,Milestones!$AA$96),"dd mmm yy"))&amp;" "&amp;Milestones!$AB$96&amp;" "&amp;IF(AND(Milestones!$AB$96="FT",Milestones!$AA$96=FT_Y5,EDATE($D145,Milestones!$AA$96)&lt;PolicyEff),1,Milestones!$AC$96)&amp;";  ","")&amp;IF(AND(EDATE($D145,Milestones!$AA$97)&lt;=AsOfDate,EDATE($D145,Milestones!$AA$97)&gt;=SchemeStart,IF($X145=0,$AD145,IF(AND($Z145&lt;&gt;"",EDATE($D145,Milestones!$AA$97)&gt;=$Z145),$AC145,IF(AND($Y145&lt;&gt;"",EDATE($D145,Milestones!$AA$97)&gt;=$Y145),$AB145,$AA145)))=Milestones!$AB$97),UPPER(TEXT(EDATE($D145,Milestones!$AA$97),"dd mmm yy"))&amp;" "&amp;Milestones!$AB$97&amp;" "&amp;IF(AND(Milestones!$AB$97="FT",Milestones!$AA$97=FT_Y5,EDATE($D145,Milestones!$AA$97)&lt;PolicyEff),1,Milestones!$AC$97)&amp;";  ","")&amp;IF(AND(EDATE($D145,Milestones!$AA$98)&lt;=AsOfDate,EDATE($D145,Milestones!$AA$98)&gt;=SchemeStart,IF($X145=0,$AD145,IF(AND($Z145&lt;&gt;"",EDATE($D145,Milestones!$AA$98)&gt;=$Z145),$AC145,IF(AND($Y145&lt;&gt;"",EDATE($D145,Milestones!$AA$98)&gt;=$Y145),$AB145,$AA145)))=Milestones!$AB$98),UPPER(TEXT(EDATE($D145,Milestones!$AA$98),"dd mmm yy"))&amp;" "&amp;Milestones!$AB$98&amp;" "&amp;IF(AND(Milestones!$AB$98="FT",Milestones!$AA$98=FT_Y5,EDATE($D145,Milestones!$AA$98)&lt;PolicyEff),1,Milestones!$AC$98)&amp;";  ","")&amp;IF(AND(EDATE($D145,Milestones!$AA$99)&lt;=AsOfDate,EDATE($D145,Milestones!$AA$99)&gt;=SchemeStart,IF($X145=0,$AD145,IF(AND($Z145&lt;&gt;"",EDATE($D145,Milestones!$AA$99)&gt;=$Z145),$AC145,IF(AND($Y145&lt;&gt;"",EDATE($D145,Milestones!$AA$99)&gt;=$Y145),$AB145,$AA145)))=Milestones!$AB$99),UPPER(TEXT(EDATE($D145,Milestones!$AA$99),"dd mmm yy"))&amp;" "&amp;Milestones!$AB$99&amp;" "&amp;IF(AND(Milestones!$AB$99="FT",Milestones!$AA$99=FT_Y5,EDATE($D145,Milestones!$AA$99)&lt;PolicyEff),1,Milestones!$AC$99)&amp;";  ","")&amp;IF(AND(EDATE($D145,Milestones!$AA$100)&lt;=AsOfDate,EDATE($D145,Milestones!$AA$100)&gt;=SchemeStart,IF($X145=0,$AD145,IF(AND($Z145&lt;&gt;"",EDATE($D145,Milestones!$AA$100)&gt;=$Z145),$AC145,IF(AND($Y145&lt;&gt;"",EDATE($D145,Milestones!$AA$100)&gt;=$Y145),$AB145,$AA145)))=Milestones!$AB$100),UPPER(TEXT(EDATE($D145,Milestones!$AA$100),"dd mmm yy"))&amp;" "&amp;Milestones!$AB$100&amp;" "&amp;IF(AND(Milestones!$AB$100="FT",Milestones!$AA$100=FT_Y5,EDATE($D145,Milestones!$AA$100)&lt;PolicyEff),1,Milestones!$AC$100)&amp;";  ","")&amp;IF(AND(EDATE($D145,Milestones!$AA$101)&lt;=AsOfDate,EDATE($D145,Milestones!$AA$101)&gt;=SchemeStart,IF($X145=0,$AD145,IF(AND($Z145&lt;&gt;"",EDATE($D145,Milestones!$AA$101)&gt;=$Z145),$AC145,IF(AND($Y145&lt;&gt;"",EDATE($D145,Milestones!$AA$101)&gt;=$Y145),$AB145,$AA145)))=Milestones!$AB$101),UPPER(TEXT(EDATE($D145,Milestones!$AA$101),"dd mmm yy"))&amp;" "&amp;Milestones!$AB$101&amp;" "&amp;IF(AND(Milestones!$AB$101="FT",Milestones!$AA$101=FT_Y5,EDATE($D145,Milestones!$AA$101)&lt;PolicyEff),1,Milestones!$AC$101)&amp;";  ","")&amp;IF(AND(EDATE($D145,Milestones!$AA$102)&lt;=AsOfDate,EDATE($D145,Milestones!$AA$102)&gt;=SchemeStart,IF($X145=0,$AD145,IF(AND($Z145&lt;&gt;"",EDATE($D145,Milestones!$AA$102)&gt;=$Z145),$AC145,IF(AND($Y145&lt;&gt;"",EDATE($D145,Milestones!$AA$102)&gt;=$Y145),$AB145,$AA145)))=Milestones!$AB$102),UPPER(TEXT(EDATE($D145,Milestones!$AA$102),"dd mmm yy"))&amp;" "&amp;Milestones!$AB$102&amp;" "&amp;IF(AND(Milestones!$AB$102="FT",Milestones!$AA$102=FT_Y5,EDATE($D145,Milestones!$AA$102)&lt;PolicyEff),1,Milestones!$AC$102)&amp;";  ","")&amp;IF(AND(EDATE($D145,Milestones!$AA$103)&lt;=AsOfDate,EDATE($D145,Milestones!$AA$103)&gt;=SchemeStart,IF($X145=0,$AD145,IF(AND($Z145&lt;&gt;"",EDATE($D145,Milestones!$AA$103)&gt;=$Z145),$AC145,IF(AND($Y145&lt;&gt;"",EDATE($D145,Milestones!$AA$103)&gt;=$Y145),$AB145,$AA145)))=Milestones!$AB$103),UPPER(TEXT(EDATE($D145,Milestones!$AA$103),"dd mmm yy"))&amp;" "&amp;Milestones!$AB$103&amp;" "&amp;IF(AND(Milestones!$AB$103="FT",Milestones!$AA$103=FT_Y5,EDATE($D145,Milestones!$AA$103)&lt;PolicyEff),1,Milestones!$AC$103)&amp;";  ",""))</f>
        <v/>
      </c>
      <c r="P145" s="0" t="str">
        <f aca="false">IF(OR($A145="",$D145=""),"",IF(AND(EDATE($D145,Milestones!$AA$104)&lt;=AsOfDate,EDATE($D145,Milestones!$AA$104)&gt;=SchemeStart,IF($X145=0,$AD145,IF(AND($Z145&lt;&gt;"",EDATE($D145,Milestones!$AA$104)&gt;=$Z145),$AC145,IF(AND($Y145&lt;&gt;"",EDATE($D145,Milestones!$AA$104)&gt;=$Y145),$AB145,$AA145)))=Milestones!$AB$104),UPPER(TEXT(EDATE($D145,Milestones!$AA$104),"dd mmm yy"))&amp;" "&amp;Milestones!$AB$104&amp;" "&amp;IF(AND(Milestones!$AB$104="FT",Milestones!$AA$104=FT_Y5,EDATE($D145,Milestones!$AA$104)&lt;PolicyEff),1,Milestones!$AC$104)&amp;";  ","")&amp;IF(AND(EDATE($D145,Milestones!$AA$105)&lt;=AsOfDate,EDATE($D145,Milestones!$AA$105)&gt;=SchemeStart,IF($X145=0,$AD145,IF(AND($Z145&lt;&gt;"",EDATE($D145,Milestones!$AA$105)&gt;=$Z145),$AC145,IF(AND($Y145&lt;&gt;"",EDATE($D145,Milestones!$AA$105)&gt;=$Y145),$AB145,$AA145)))=Milestones!$AB$105),UPPER(TEXT(EDATE($D145,Milestones!$AA$105),"dd mmm yy"))&amp;" "&amp;Milestones!$AB$105&amp;" "&amp;IF(AND(Milestones!$AB$105="FT",Milestones!$AA$105=FT_Y5,EDATE($D145,Milestones!$AA$105)&lt;PolicyEff),1,Milestones!$AC$105)&amp;";  ","")&amp;IF(AND(EDATE($D145,Milestones!$AA$106)&lt;=AsOfDate,EDATE($D145,Milestones!$AA$106)&gt;=SchemeStart,IF($X145=0,$AD145,IF(AND($Z145&lt;&gt;"",EDATE($D145,Milestones!$AA$106)&gt;=$Z145),$AC145,IF(AND($Y145&lt;&gt;"",EDATE($D145,Milestones!$AA$106)&gt;=$Y145),$AB145,$AA145)))=Milestones!$AB$106),UPPER(TEXT(EDATE($D145,Milestones!$AA$106),"dd mmm yy"))&amp;" "&amp;Milestones!$AB$106&amp;" "&amp;IF(AND(Milestones!$AB$106="FT",Milestones!$AA$106=FT_Y5,EDATE($D145,Milestones!$AA$106)&lt;PolicyEff),1,Milestones!$AC$106)&amp;";  ","")&amp;IF(AND(EDATE($D145,Milestones!$AA$107)&lt;=AsOfDate,EDATE($D145,Milestones!$AA$107)&gt;=SchemeStart,IF($X145=0,$AD145,IF(AND($Z145&lt;&gt;"",EDATE($D145,Milestones!$AA$107)&gt;=$Z145),$AC145,IF(AND($Y145&lt;&gt;"",EDATE($D145,Milestones!$AA$107)&gt;=$Y145),$AB145,$AA145)))=Milestones!$AB$107),UPPER(TEXT(EDATE($D145,Milestones!$AA$107),"dd mmm yy"))&amp;" "&amp;Milestones!$AB$107&amp;" "&amp;IF(AND(Milestones!$AB$107="FT",Milestones!$AA$107=FT_Y5,EDATE($D145,Milestones!$AA$107)&lt;PolicyEff),1,Milestones!$AC$107)&amp;";  ","")&amp;IF(AND(EDATE($D145,Milestones!$AA$108)&lt;=AsOfDate,EDATE($D145,Milestones!$AA$108)&gt;=SchemeStart,IF($X145=0,$AD145,IF(AND($Z145&lt;&gt;"",EDATE($D145,Milestones!$AA$108)&gt;=$Z145),$AC145,IF(AND($Y145&lt;&gt;"",EDATE($D145,Milestones!$AA$108)&gt;=$Y145),$AB145,$AA145)))=Milestones!$AB$108),UPPER(TEXT(EDATE($D145,Milestones!$AA$108),"dd mmm yy"))&amp;" "&amp;Milestones!$AB$108&amp;" "&amp;IF(AND(Milestones!$AB$108="FT",Milestones!$AA$108=FT_Y5,EDATE($D145,Milestones!$AA$108)&lt;PolicyEff),1,Milestones!$AC$108)&amp;";  ","")&amp;IF(AND(EDATE($D145,Milestones!$AA$109)&lt;=AsOfDate,EDATE($D145,Milestones!$AA$109)&gt;=SchemeStart,IF($X145=0,$AD145,IF(AND($Z145&lt;&gt;"",EDATE($D145,Milestones!$AA$109)&gt;=$Z145),$AC145,IF(AND($Y145&lt;&gt;"",EDATE($D145,Milestones!$AA$109)&gt;=$Y145),$AB145,$AA145)))=Milestones!$AB$109),UPPER(TEXT(EDATE($D145,Milestones!$AA$109),"dd mmm yy"))&amp;" "&amp;Milestones!$AB$109&amp;" "&amp;IF(AND(Milestones!$AB$109="FT",Milestones!$AA$109=FT_Y5,EDATE($D145,Milestones!$AA$109)&lt;PolicyEff),1,Milestones!$AC$109)&amp;";  ","")&amp;IF(AND(EDATE($D145,Milestones!$AA$110)&lt;=AsOfDate,EDATE($D145,Milestones!$AA$110)&gt;=SchemeStart,IF($X145=0,$AD145,IF(AND($Z145&lt;&gt;"",EDATE($D145,Milestones!$AA$110)&gt;=$Z145),$AC145,IF(AND($Y145&lt;&gt;"",EDATE($D145,Milestones!$AA$110)&gt;=$Y145),$AB145,$AA145)))=Milestones!$AB$110),UPPER(TEXT(EDATE($D145,Milestones!$AA$110),"dd mmm yy"))&amp;" "&amp;Milestones!$AB$110&amp;" "&amp;IF(AND(Milestones!$AB$110="FT",Milestones!$AA$110=FT_Y5,EDATE($D145,Milestones!$AA$110)&lt;PolicyEff),1,Milestones!$AC$110)&amp;";  ","")&amp;IF(AND(EDATE($D145,Milestones!$AA$111)&lt;=AsOfDate,EDATE($D145,Milestones!$AA$111)&gt;=SchemeStart,IF($X145=0,$AD145,IF(AND($Z145&lt;&gt;"",EDATE($D145,Milestones!$AA$111)&gt;=$Z145),$AC145,IF(AND($Y145&lt;&gt;"",EDATE($D145,Milestones!$AA$111)&gt;=$Y145),$AB145,$AA145)))=Milestones!$AB$111),UPPER(TEXT(EDATE($D145,Milestones!$AA$111),"dd mmm yy"))&amp;" "&amp;Milestones!$AB$111&amp;" "&amp;IF(AND(Milestones!$AB$111="FT",Milestones!$AA$111=FT_Y5,EDATE($D145,Milestones!$AA$111)&lt;PolicyEff),1,Milestones!$AC$111)&amp;";  ","")&amp;IF(AND(EDATE($D145,Milestones!$AA$112)&lt;=AsOfDate,EDATE($D145,Milestones!$AA$112)&gt;=SchemeStart,IF($X145=0,$AD145,IF(AND($Z145&lt;&gt;"",EDATE($D145,Milestones!$AA$112)&gt;=$Z145),$AC145,IF(AND($Y145&lt;&gt;"",EDATE($D145,Milestones!$AA$112)&gt;=$Y145),$AB145,$AA145)))=Milestones!$AB$112),UPPER(TEXT(EDATE($D145,Milestones!$AA$112),"dd mmm yy"))&amp;" "&amp;Milestones!$AB$112&amp;" "&amp;IF(AND(Milestones!$AB$112="FT",Milestones!$AA$112=FT_Y5,EDATE($D145,Milestones!$AA$112)&lt;PolicyEff),1,Milestones!$AC$112)&amp;";  ","")&amp;IF(AND(EDATE($D145,Milestones!$AA$113)&lt;=AsOfDate,EDATE($D145,Milestones!$AA$113)&gt;=SchemeStart,IF($X145=0,$AD145,IF(AND($Z145&lt;&gt;"",EDATE($D145,Milestones!$AA$113)&gt;=$Z145),$AC145,IF(AND($Y145&lt;&gt;"",EDATE($D145,Milestones!$AA$113)&gt;=$Y145),$AB145,$AA145)))=Milestones!$AB$113),UPPER(TEXT(EDATE($D145,Milestones!$AA$113),"dd mmm yy"))&amp;" "&amp;Milestones!$AB$113&amp;" "&amp;IF(AND(Milestones!$AB$113="FT",Milestones!$AA$113=FT_Y5,EDATE($D145,Milestones!$AA$113)&lt;PolicyEff),1,Milestones!$AC$113)&amp;";  ","")&amp;IF(AND(EDATE($D145,Milestones!$AA$114)&lt;=AsOfDate,EDATE($D145,Milestones!$AA$114)&gt;=SchemeStart,IF($X145=0,$AD145,IF(AND($Z145&lt;&gt;"",EDATE($D145,Milestones!$AA$114)&gt;=$Z145),$AC145,IF(AND($Y145&lt;&gt;"",EDATE($D145,Milestones!$AA$114)&gt;=$Y145),$AB145,$AA145)))=Milestones!$AB$114),UPPER(TEXT(EDATE($D145,Milestones!$AA$114),"dd mmm yy"))&amp;" "&amp;Milestones!$AB$114&amp;" "&amp;IF(AND(Milestones!$AB$114="FT",Milestones!$AA$114=FT_Y5,EDATE($D145,Milestones!$AA$114)&lt;PolicyEff),1,Milestones!$AC$114)&amp;";  ","")&amp;IF(AND(EDATE($D145,Milestones!$AA$115)&lt;=AsOfDate,EDATE($D145,Milestones!$AA$115)&gt;=SchemeStart,IF($X145=0,$AD145,IF(AND($Z145&lt;&gt;"",EDATE($D145,Milestones!$AA$115)&gt;=$Z145),$AC145,IF(AND($Y145&lt;&gt;"",EDATE($D145,Milestones!$AA$115)&gt;=$Y145),$AB145,$AA145)))=Milestones!$AB$115),UPPER(TEXT(EDATE($D145,Milestones!$AA$115),"dd mmm yy"))&amp;" "&amp;Milestones!$AB$115&amp;" "&amp;IF(AND(Milestones!$AB$115="FT",Milestones!$AA$115=FT_Y5,EDATE($D145,Milestones!$AA$115)&lt;PolicyEff),1,Milestones!$AC$115)&amp;";  ",""))</f>
        <v/>
      </c>
      <c r="Q145" s="0" t="str">
        <f aca="false">IF(OR($A145="",$D145=""),"",IF(AND(EDATE($D145,Milestones!$AA$116)&lt;=AsOfDate,EDATE($D145,Milestones!$AA$116)&gt;=SchemeStart,IF($X145=0,$AD145,IF(AND($Z145&lt;&gt;"",EDATE($D145,Milestones!$AA$116)&gt;=$Z145),$AC145,IF(AND($Y145&lt;&gt;"",EDATE($D145,Milestones!$AA$116)&gt;=$Y145),$AB145,$AA145)))=Milestones!$AB$116),UPPER(TEXT(EDATE($D145,Milestones!$AA$116),"dd mmm yy"))&amp;" "&amp;Milestones!$AB$116&amp;" "&amp;IF(AND(Milestones!$AB$116="FT",Milestones!$AA$116=FT_Y5,EDATE($D145,Milestones!$AA$116)&lt;PolicyEff),1,Milestones!$AC$116)&amp;";  ","")&amp;IF(AND(EDATE($D145,Milestones!$AA$117)&lt;=AsOfDate,EDATE($D145,Milestones!$AA$117)&gt;=SchemeStart,IF($X145=0,$AD145,IF(AND($Z145&lt;&gt;"",EDATE($D145,Milestones!$AA$117)&gt;=$Z145),$AC145,IF(AND($Y145&lt;&gt;"",EDATE($D145,Milestones!$AA$117)&gt;=$Y145),$AB145,$AA145)))=Milestones!$AB$117),UPPER(TEXT(EDATE($D145,Milestones!$AA$117),"dd mmm yy"))&amp;" "&amp;Milestones!$AB$117&amp;" "&amp;IF(AND(Milestones!$AB$117="FT",Milestones!$AA$117=FT_Y5,EDATE($D145,Milestones!$AA$117)&lt;PolicyEff),1,Milestones!$AC$117)&amp;";  ","")&amp;IF(AND(EDATE($D145,Milestones!$AA$118)&lt;=AsOfDate,EDATE($D145,Milestones!$AA$118)&gt;=SchemeStart,IF($X145=0,$AD145,IF(AND($Z145&lt;&gt;"",EDATE($D145,Milestones!$AA$118)&gt;=$Z145),$AC145,IF(AND($Y145&lt;&gt;"",EDATE($D145,Milestones!$AA$118)&gt;=$Y145),$AB145,$AA145)))=Milestones!$AB$118),UPPER(TEXT(EDATE($D145,Milestones!$AA$118),"dd mmm yy"))&amp;" "&amp;Milestones!$AB$118&amp;" "&amp;IF(AND(Milestones!$AB$118="FT",Milestones!$AA$118=FT_Y5,EDATE($D145,Milestones!$AA$118)&lt;PolicyEff),1,Milestones!$AC$118)&amp;";  ","")&amp;IF(AND(EDATE($D145,Milestones!$AA$119)&lt;=AsOfDate,EDATE($D145,Milestones!$AA$119)&gt;=SchemeStart,IF($X145=0,$AD145,IF(AND($Z145&lt;&gt;"",EDATE($D145,Milestones!$AA$119)&gt;=$Z145),$AC145,IF(AND($Y145&lt;&gt;"",EDATE($D145,Milestones!$AA$119)&gt;=$Y145),$AB145,$AA145)))=Milestones!$AB$119),UPPER(TEXT(EDATE($D145,Milestones!$AA$119),"dd mmm yy"))&amp;" "&amp;Milestones!$AB$119&amp;" "&amp;IF(AND(Milestones!$AB$119="FT",Milestones!$AA$119=FT_Y5,EDATE($D145,Milestones!$AA$119)&lt;PolicyEff),1,Milestones!$AC$119)&amp;";  ","")&amp;IF(AND(EDATE($D145,Milestones!$AA$120)&lt;=AsOfDate,EDATE($D145,Milestones!$AA$120)&gt;=SchemeStart,IF($X145=0,$AD145,IF(AND($Z145&lt;&gt;"",EDATE($D145,Milestones!$AA$120)&gt;=$Z145),$AC145,IF(AND($Y145&lt;&gt;"",EDATE($D145,Milestones!$AA$120)&gt;=$Y145),$AB145,$AA145)))=Milestones!$AB$120),UPPER(TEXT(EDATE($D145,Milestones!$AA$120),"dd mmm yy"))&amp;" "&amp;Milestones!$AB$120&amp;" "&amp;IF(AND(Milestones!$AB$120="FT",Milestones!$AA$120=FT_Y5,EDATE($D145,Milestones!$AA$120)&lt;PolicyEff),1,Milestones!$AC$120)&amp;";  ","")&amp;IF(AND(EDATE($D145,Milestones!$AA$121)&lt;=AsOfDate,EDATE($D145,Milestones!$AA$121)&gt;=SchemeStart,IF($X145=0,$AD145,IF(AND($Z145&lt;&gt;"",EDATE($D145,Milestones!$AA$121)&gt;=$Z145),$AC145,IF(AND($Y145&lt;&gt;"",EDATE($D145,Milestones!$AA$121)&gt;=$Y145),$AB145,$AA145)))=Milestones!$AB$121),UPPER(TEXT(EDATE($D145,Milestones!$AA$121),"dd mmm yy"))&amp;" "&amp;Milestones!$AB$121&amp;" "&amp;IF(AND(Milestones!$AB$121="FT",Milestones!$AA$121=FT_Y5,EDATE($D145,Milestones!$AA$121)&lt;PolicyEff),1,Milestones!$AC$121)&amp;";  ","")&amp;IF(AND(EDATE($D145,Milestones!$AA$122)&lt;=AsOfDate,EDATE($D145,Milestones!$AA$122)&gt;=SchemeStart,IF($X145=0,$AD145,IF(AND($Z145&lt;&gt;"",EDATE($D145,Milestones!$AA$122)&gt;=$Z145),$AC145,IF(AND($Y145&lt;&gt;"",EDATE($D145,Milestones!$AA$122)&gt;=$Y145),$AB145,$AA145)))=Milestones!$AB$122),UPPER(TEXT(EDATE($D145,Milestones!$AA$122),"dd mmm yy"))&amp;" "&amp;Milestones!$AB$122&amp;" "&amp;IF(AND(Milestones!$AB$122="FT",Milestones!$AA$122=FT_Y5,EDATE($D145,Milestones!$AA$122)&lt;PolicyEff),1,Milestones!$AC$122)&amp;";  ","")&amp;IF(AND(EDATE($D145,Milestones!$AA$123)&lt;=AsOfDate,EDATE($D145,Milestones!$AA$123)&gt;=SchemeStart,IF($X145=0,$AD145,IF(AND($Z145&lt;&gt;"",EDATE($D145,Milestones!$AA$123)&gt;=$Z145),$AC145,IF(AND($Y145&lt;&gt;"",EDATE($D145,Milestones!$AA$123)&gt;=$Y145),$AB145,$AA145)))=Milestones!$AB$123),UPPER(TEXT(EDATE($D145,Milestones!$AA$123),"dd mmm yy"))&amp;" "&amp;Milestones!$AB$123&amp;" "&amp;IF(AND(Milestones!$AB$123="FT",Milestones!$AA$123=FT_Y5,EDATE($D145,Milestones!$AA$123)&lt;PolicyEff),1,Milestones!$AC$123)&amp;";  ","")&amp;IF(AND(EDATE($D145,Milestones!$AA$124)&lt;=AsOfDate,EDATE($D145,Milestones!$AA$124)&gt;=SchemeStart,IF($X145=0,$AD145,IF(AND($Z145&lt;&gt;"",EDATE($D145,Milestones!$AA$124)&gt;=$Z145),$AC145,IF(AND($Y145&lt;&gt;"",EDATE($D145,Milestones!$AA$124)&gt;=$Y145),$AB145,$AA145)))=Milestones!$AB$124),UPPER(TEXT(EDATE($D145,Milestones!$AA$124),"dd mmm yy"))&amp;" "&amp;Milestones!$AB$124&amp;" "&amp;IF(AND(Milestones!$AB$124="FT",Milestones!$AA$124=FT_Y5,EDATE($D145,Milestones!$AA$124)&lt;PolicyEff),1,Milestones!$AC$124)&amp;";  ","")&amp;IF(AND(EDATE($D145,Milestones!$AA$125)&lt;=AsOfDate,EDATE($D145,Milestones!$AA$125)&gt;=SchemeStart,IF($X145=0,$AD145,IF(AND($Z145&lt;&gt;"",EDATE($D145,Milestones!$AA$125)&gt;=$Z145),$AC145,IF(AND($Y145&lt;&gt;"",EDATE($D145,Milestones!$AA$125)&gt;=$Y145),$AB145,$AA145)))=Milestones!$AB$125),UPPER(TEXT(EDATE($D145,Milestones!$AA$125),"dd mmm yy"))&amp;" "&amp;Milestones!$AB$125&amp;" "&amp;IF(AND(Milestones!$AB$125="FT",Milestones!$AA$125=FT_Y5,EDATE($D145,Milestones!$AA$125)&lt;PolicyEff),1,Milestones!$AC$125)&amp;";  ","")&amp;IF(AND(EDATE($D145,Milestones!$AA$126)&lt;=AsOfDate,EDATE($D145,Milestones!$AA$126)&gt;=SchemeStart,IF($X145=0,$AD145,IF(AND($Z145&lt;&gt;"",EDATE($D145,Milestones!$AA$126)&gt;=$Z145),$AC145,IF(AND($Y145&lt;&gt;"",EDATE($D145,Milestones!$AA$126)&gt;=$Y145),$AB145,$AA145)))=Milestones!$AB$126),UPPER(TEXT(EDATE($D145,Milestones!$AA$126),"dd mmm yy"))&amp;" "&amp;Milestones!$AB$126&amp;" "&amp;IF(AND(Milestones!$AB$126="FT",Milestones!$AA$126=FT_Y5,EDATE($D145,Milestones!$AA$126)&lt;PolicyEff),1,Milestones!$AC$126)&amp;";  ","")&amp;IF(AND(EDATE($D145,Milestones!$AA$127)&lt;=AsOfDate,EDATE($D145,Milestones!$AA$127)&gt;=SchemeStart,IF($X145=0,$AD145,IF(AND($Z145&lt;&gt;"",EDATE($D145,Milestones!$AA$127)&gt;=$Z145),$AC145,IF(AND($Y145&lt;&gt;"",EDATE($D145,Milestones!$AA$127)&gt;=$Y145),$AB145,$AA145)))=Milestones!$AB$127),UPPER(TEXT(EDATE($D145,Milestones!$AA$127),"dd mmm yy"))&amp;" "&amp;Milestones!$AB$127&amp;" "&amp;IF(AND(Milestones!$AB$127="FT",Milestones!$AA$127=FT_Y5,EDATE($D145,Milestones!$AA$127)&lt;PolicyEff),1,Milestones!$AC$127)&amp;";  ",""))</f>
        <v/>
      </c>
      <c r="R145" s="0" t="str">
        <f aca="false">IF(OR($A145="",$D145=""),"",IF(AND(EDATE($D145,Milestones!$AA$128)&lt;=AsOfDate,EDATE($D145,Milestones!$AA$128)&gt;=SchemeStart,IF($X145=0,$AD145,IF(AND($Z145&lt;&gt;"",EDATE($D145,Milestones!$AA$128)&gt;=$Z145),$AC145,IF(AND($Y145&lt;&gt;"",EDATE($D145,Milestones!$AA$128)&gt;=$Y145),$AB145,$AA145)))=Milestones!$AB$128),UPPER(TEXT(EDATE($D145,Milestones!$AA$128),"dd mmm yy"))&amp;" "&amp;Milestones!$AB$128&amp;" "&amp;IF(AND(Milestones!$AB$128="FT",Milestones!$AA$128=FT_Y5,EDATE($D145,Milestones!$AA$128)&lt;PolicyEff),1,Milestones!$AC$128)&amp;";  ","")&amp;IF(AND(EDATE($D145,Milestones!$AA$129)&lt;=AsOfDate,EDATE($D145,Milestones!$AA$129)&gt;=SchemeStart,IF($X145=0,$AD145,IF(AND($Z145&lt;&gt;"",EDATE($D145,Milestones!$AA$129)&gt;=$Z145),$AC145,IF(AND($Y145&lt;&gt;"",EDATE($D145,Milestones!$AA$129)&gt;=$Y145),$AB145,$AA145)))=Milestones!$AB$129),UPPER(TEXT(EDATE($D145,Milestones!$AA$129),"dd mmm yy"))&amp;" "&amp;Milestones!$AB$129&amp;" "&amp;IF(AND(Milestones!$AB$129="FT",Milestones!$AA$129=FT_Y5,EDATE($D145,Milestones!$AA$129)&lt;PolicyEff),1,Milestones!$AC$129)&amp;";  ","")&amp;IF(AND(EDATE($D145,Milestones!$AA$130)&lt;=AsOfDate,EDATE($D145,Milestones!$AA$130)&gt;=SchemeStart,IF($X145=0,$AD145,IF(AND($Z145&lt;&gt;"",EDATE($D145,Milestones!$AA$130)&gt;=$Z145),$AC145,IF(AND($Y145&lt;&gt;"",EDATE($D145,Milestones!$AA$130)&gt;=$Y145),$AB145,$AA145)))=Milestones!$AB$130),UPPER(TEXT(EDATE($D145,Milestones!$AA$130),"dd mmm yy"))&amp;" "&amp;Milestones!$AB$130&amp;" "&amp;IF(AND(Milestones!$AB$130="FT",Milestones!$AA$130=FT_Y5,EDATE($D145,Milestones!$AA$130)&lt;PolicyEff),1,Milestones!$AC$130)&amp;";  ","")&amp;IF(AND(EDATE($D145,Milestones!$AA$131)&lt;=AsOfDate,EDATE($D145,Milestones!$AA$131)&gt;=SchemeStart,IF($X145=0,$AD145,IF(AND($Z145&lt;&gt;"",EDATE($D145,Milestones!$AA$131)&gt;=$Z145),$AC145,IF(AND($Y145&lt;&gt;"",EDATE($D145,Milestones!$AA$131)&gt;=$Y145),$AB145,$AA145)))=Milestones!$AB$131),UPPER(TEXT(EDATE($D145,Milestones!$AA$131),"dd mmm yy"))&amp;" "&amp;Milestones!$AB$131&amp;" "&amp;IF(AND(Milestones!$AB$131="FT",Milestones!$AA$131=FT_Y5,EDATE($D145,Milestones!$AA$131)&lt;PolicyEff),1,Milestones!$AC$131)&amp;";  ","")&amp;IF(AND(EDATE($D145,Milestones!$AA$132)&lt;=AsOfDate,EDATE($D145,Milestones!$AA$132)&gt;=SchemeStart,IF($X145=0,$AD145,IF(AND($Z145&lt;&gt;"",EDATE($D145,Milestones!$AA$132)&gt;=$Z145),$AC145,IF(AND($Y145&lt;&gt;"",EDATE($D145,Milestones!$AA$132)&gt;=$Y145),$AB145,$AA145)))=Milestones!$AB$132),UPPER(TEXT(EDATE($D145,Milestones!$AA$132),"dd mmm yy"))&amp;" "&amp;Milestones!$AB$132&amp;" "&amp;IF(AND(Milestones!$AB$132="FT",Milestones!$AA$132=FT_Y5,EDATE($D145,Milestones!$AA$132)&lt;PolicyEff),1,Milestones!$AC$132)&amp;";  ","")&amp;IF(AND(EDATE($D145,Milestones!$AA$133)&lt;=AsOfDate,EDATE($D145,Milestones!$AA$133)&gt;=SchemeStart,IF($X145=0,$AD145,IF(AND($Z145&lt;&gt;"",EDATE($D145,Milestones!$AA$133)&gt;=$Z145),$AC145,IF(AND($Y145&lt;&gt;"",EDATE($D145,Milestones!$AA$133)&gt;=$Y145),$AB145,$AA145)))=Milestones!$AB$133),UPPER(TEXT(EDATE($D145,Milestones!$AA$133),"dd mmm yy"))&amp;" "&amp;Milestones!$AB$133&amp;" "&amp;IF(AND(Milestones!$AB$133="FT",Milestones!$AA$133=FT_Y5,EDATE($D145,Milestones!$AA$133)&lt;PolicyEff),1,Milestones!$AC$133)&amp;";  ","")&amp;IF(AND(EDATE($D145,Milestones!$AA$134)&lt;=AsOfDate,EDATE($D145,Milestones!$AA$134)&gt;=SchemeStart,IF($X145=0,$AD145,IF(AND($Z145&lt;&gt;"",EDATE($D145,Milestones!$AA$134)&gt;=$Z145),$AC145,IF(AND($Y145&lt;&gt;"",EDATE($D145,Milestones!$AA$134)&gt;=$Y145),$AB145,$AA145)))=Milestones!$AB$134),UPPER(TEXT(EDATE($D145,Milestones!$AA$134),"dd mmm yy"))&amp;" "&amp;Milestones!$AB$134&amp;" "&amp;IF(AND(Milestones!$AB$134="FT",Milestones!$AA$134=FT_Y5,EDATE($D145,Milestones!$AA$134)&lt;PolicyEff),1,Milestones!$AC$134)&amp;";  ","")&amp;IF(AND(EDATE($D145,Milestones!$AA$135)&lt;=AsOfDate,EDATE($D145,Milestones!$AA$135)&gt;=SchemeStart,IF($X145=0,$AD145,IF(AND($Z145&lt;&gt;"",EDATE($D145,Milestones!$AA$135)&gt;=$Z145),$AC145,IF(AND($Y145&lt;&gt;"",EDATE($D145,Milestones!$AA$135)&gt;=$Y145),$AB145,$AA145)))=Milestones!$AB$135),UPPER(TEXT(EDATE($D145,Milestones!$AA$135),"dd mmm yy"))&amp;" "&amp;Milestones!$AB$135&amp;" "&amp;IF(AND(Milestones!$AB$135="FT",Milestones!$AA$135=FT_Y5,EDATE($D145,Milestones!$AA$135)&lt;PolicyEff),1,Milestones!$AC$135)&amp;";  ","")&amp;IF(AND(EDATE($D145,Milestones!$AA$136)&lt;=AsOfDate,EDATE($D145,Milestones!$AA$136)&gt;=SchemeStart,IF($X145=0,$AD145,IF(AND($Z145&lt;&gt;"",EDATE($D145,Milestones!$AA$136)&gt;=$Z145),$AC145,IF(AND($Y145&lt;&gt;"",EDATE($D145,Milestones!$AA$136)&gt;=$Y145),$AB145,$AA145)))=Milestones!$AB$136),UPPER(TEXT(EDATE($D145,Milestones!$AA$136),"dd mmm yy"))&amp;" "&amp;Milestones!$AB$136&amp;" "&amp;IF(AND(Milestones!$AB$136="FT",Milestones!$AA$136=FT_Y5,EDATE($D145,Milestones!$AA$136)&lt;PolicyEff),1,Milestones!$AC$136)&amp;";  ","")&amp;IF(AND(EDATE($D145,Milestones!$AA$137)&lt;=AsOfDate,EDATE($D145,Milestones!$AA$137)&gt;=SchemeStart,IF($X145=0,$AD145,IF(AND($Z145&lt;&gt;"",EDATE($D145,Milestones!$AA$137)&gt;=$Z145),$AC145,IF(AND($Y145&lt;&gt;"",EDATE($D145,Milestones!$AA$137)&gt;=$Y145),$AB145,$AA145)))=Milestones!$AB$137),UPPER(TEXT(EDATE($D145,Milestones!$AA$137),"dd mmm yy"))&amp;" "&amp;Milestones!$AB$137&amp;" "&amp;IF(AND(Milestones!$AB$137="FT",Milestones!$AA$137=FT_Y5,EDATE($D145,Milestones!$AA$137)&lt;PolicyEff),1,Milestones!$AC$137)&amp;";  ","")&amp;IF(AND(EDATE($D145,Milestones!$AA$138)&lt;=AsOfDate,EDATE($D145,Milestones!$AA$138)&gt;=SchemeStart,IF($X145=0,$AD145,IF(AND($Z145&lt;&gt;"",EDATE($D145,Milestones!$AA$138)&gt;=$Z145),$AC145,IF(AND($Y145&lt;&gt;"",EDATE($D145,Milestones!$AA$138)&gt;=$Y145),$AB145,$AA145)))=Milestones!$AB$138),UPPER(TEXT(EDATE($D145,Milestones!$AA$138),"dd mmm yy"))&amp;" "&amp;Milestones!$AB$138&amp;" "&amp;IF(AND(Milestones!$AB$138="FT",Milestones!$AA$138=FT_Y5,EDATE($D145,Milestones!$AA$138)&lt;PolicyEff),1,Milestones!$AC$138)&amp;";  ","")&amp;IF(AND(EDATE($D145,Milestones!$AA$139)&lt;=AsOfDate,EDATE($D145,Milestones!$AA$139)&gt;=SchemeStart,IF($X145=0,$AD145,IF(AND($Z145&lt;&gt;"",EDATE($D145,Milestones!$AA$139)&gt;=$Z145),$AC145,IF(AND($Y145&lt;&gt;"",EDATE($D145,Milestones!$AA$139)&gt;=$Y145),$AB145,$AA145)))=Milestones!$AB$139),UPPER(TEXT(EDATE($D145,Milestones!$AA$139),"dd mmm yy"))&amp;" "&amp;Milestones!$AB$139&amp;" "&amp;IF(AND(Milestones!$AB$139="FT",Milestones!$AA$139=FT_Y5,EDATE($D145,Milestones!$AA$139)&lt;PolicyEff),1,Milestones!$AC$139)&amp;";  ",""))</f>
        <v/>
      </c>
      <c r="S145" s="0" t="str">
        <f aca="false">IF(OR($A145="",$D145=""),"",IF(AND(EDATE($D145,Milestones!$AA$140)&lt;=AsOfDate,EDATE($D145,Milestones!$AA$140)&gt;=SchemeStart,IF($X145=0,$AD145,IF(AND($Z145&lt;&gt;"",EDATE($D145,Milestones!$AA$140)&gt;=$Z145),$AC145,IF(AND($Y145&lt;&gt;"",EDATE($D145,Milestones!$AA$140)&gt;=$Y145),$AB145,$AA145)))=Milestones!$AB$140),UPPER(TEXT(EDATE($D145,Milestones!$AA$140),"dd mmm yy"))&amp;" "&amp;Milestones!$AB$140&amp;" "&amp;IF(AND(Milestones!$AB$140="FT",Milestones!$AA$140=FT_Y5,EDATE($D145,Milestones!$AA$140)&lt;PolicyEff),1,Milestones!$AC$140)&amp;";  ","")&amp;IF(AND(EDATE($D145,Milestones!$AA$141)&lt;=AsOfDate,EDATE($D145,Milestones!$AA$141)&gt;=SchemeStart,IF($X145=0,$AD145,IF(AND($Z145&lt;&gt;"",EDATE($D145,Milestones!$AA$141)&gt;=$Z145),$AC145,IF(AND($Y145&lt;&gt;"",EDATE($D145,Milestones!$AA$141)&gt;=$Y145),$AB145,$AA145)))=Milestones!$AB$141),UPPER(TEXT(EDATE($D145,Milestones!$AA$141),"dd mmm yy"))&amp;" "&amp;Milestones!$AB$141&amp;" "&amp;IF(AND(Milestones!$AB$141="FT",Milestones!$AA$141=FT_Y5,EDATE($D145,Milestones!$AA$141)&lt;PolicyEff),1,Milestones!$AC$141)&amp;";  ","")&amp;IF(AND(EDATE($D145,Milestones!$AA$142)&lt;=AsOfDate,EDATE($D145,Milestones!$AA$142)&gt;=SchemeStart,IF($X145=0,$AD145,IF(AND($Z145&lt;&gt;"",EDATE($D145,Milestones!$AA$142)&gt;=$Z145),$AC145,IF(AND($Y145&lt;&gt;"",EDATE($D145,Milestones!$AA$142)&gt;=$Y145),$AB145,$AA145)))=Milestones!$AB$142),UPPER(TEXT(EDATE($D145,Milestones!$AA$142),"dd mmm yy"))&amp;" "&amp;Milestones!$AB$142&amp;" "&amp;IF(AND(Milestones!$AB$142="FT",Milestones!$AA$142=FT_Y5,EDATE($D145,Milestones!$AA$142)&lt;PolicyEff),1,Milestones!$AC$142)&amp;";  ","")&amp;IF(AND(EDATE($D145,Milestones!$AA$143)&lt;=AsOfDate,EDATE($D145,Milestones!$AA$143)&gt;=SchemeStart,IF($X145=0,$AD145,IF(AND($Z145&lt;&gt;"",EDATE($D145,Milestones!$AA$143)&gt;=$Z145),$AC145,IF(AND($Y145&lt;&gt;"",EDATE($D145,Milestones!$AA$143)&gt;=$Y145),$AB145,$AA145)))=Milestones!$AB$143),UPPER(TEXT(EDATE($D145,Milestones!$AA$143),"dd mmm yy"))&amp;" "&amp;Milestones!$AB$143&amp;" "&amp;IF(AND(Milestones!$AB$143="FT",Milestones!$AA$143=FT_Y5,EDATE($D145,Milestones!$AA$143)&lt;PolicyEff),1,Milestones!$AC$143)&amp;";  ","")&amp;IF(AND(EDATE($D145,Milestones!$AA$144)&lt;=AsOfDate,EDATE($D145,Milestones!$AA$144)&gt;=SchemeStart,IF($X145=0,$AD145,IF(AND($Z145&lt;&gt;"",EDATE($D145,Milestones!$AA$144)&gt;=$Z145),$AC145,IF(AND($Y145&lt;&gt;"",EDATE($D145,Milestones!$AA$144)&gt;=$Y145),$AB145,$AA145)))=Milestones!$AB$144),UPPER(TEXT(EDATE($D145,Milestones!$AA$144),"dd mmm yy"))&amp;" "&amp;Milestones!$AB$144&amp;" "&amp;IF(AND(Milestones!$AB$144="FT",Milestones!$AA$144=FT_Y5,EDATE($D145,Milestones!$AA$144)&lt;PolicyEff),1,Milestones!$AC$144)&amp;";  ","")&amp;IF(AND(EDATE($D145,Milestones!$AA$145)&lt;=AsOfDate,EDATE($D145,Milestones!$AA$145)&gt;=SchemeStart,IF($X145=0,$AD145,IF(AND($Z145&lt;&gt;"",EDATE($D145,Milestones!$AA$145)&gt;=$Z145),$AC145,IF(AND($Y145&lt;&gt;"",EDATE($D145,Milestones!$AA$145)&gt;=$Y145),$AB145,$AA145)))=Milestones!$AB$145),UPPER(TEXT(EDATE($D145,Milestones!$AA$145),"dd mmm yy"))&amp;" "&amp;Milestones!$AB$145&amp;" "&amp;IF(AND(Milestones!$AB$145="FT",Milestones!$AA$145=FT_Y5,EDATE($D145,Milestones!$AA$145)&lt;PolicyEff),1,Milestones!$AC$145)&amp;";  ","")&amp;IF(AND(EDATE($D145,Milestones!$AA$146)&lt;=AsOfDate,EDATE($D145,Milestones!$AA$146)&gt;=SchemeStart,IF($X145=0,$AD145,IF(AND($Z145&lt;&gt;"",EDATE($D145,Milestones!$AA$146)&gt;=$Z145),$AC145,IF(AND($Y145&lt;&gt;"",EDATE($D145,Milestones!$AA$146)&gt;=$Y145),$AB145,$AA145)))=Milestones!$AB$146),UPPER(TEXT(EDATE($D145,Milestones!$AA$146),"dd mmm yy"))&amp;" "&amp;Milestones!$AB$146&amp;" "&amp;IF(AND(Milestones!$AB$146="FT",Milestones!$AA$146=FT_Y5,EDATE($D145,Milestones!$AA$146)&lt;PolicyEff),1,Milestones!$AC$146)&amp;";  ","")&amp;IF(AND(EDATE($D145,Milestones!$AA$147)&lt;=AsOfDate,EDATE($D145,Milestones!$AA$147)&gt;=SchemeStart,IF($X145=0,$AD145,IF(AND($Z145&lt;&gt;"",EDATE($D145,Milestones!$AA$147)&gt;=$Z145),$AC145,IF(AND($Y145&lt;&gt;"",EDATE($D145,Milestones!$AA$147)&gt;=$Y145),$AB145,$AA145)))=Milestones!$AB$147),UPPER(TEXT(EDATE($D145,Milestones!$AA$147),"dd mmm yy"))&amp;" "&amp;Milestones!$AB$147&amp;" "&amp;IF(AND(Milestones!$AB$147="FT",Milestones!$AA$147=FT_Y5,EDATE($D145,Milestones!$AA$147)&lt;PolicyEff),1,Milestones!$AC$147)&amp;";  ","")&amp;IF(AND(EDATE($D145,Milestones!$AA$148)&lt;=AsOfDate,EDATE($D145,Milestones!$AA$148)&gt;=SchemeStart,IF($X145=0,$AD145,IF(AND($Z145&lt;&gt;"",EDATE($D145,Milestones!$AA$148)&gt;=$Z145),$AC145,IF(AND($Y145&lt;&gt;"",EDATE($D145,Milestones!$AA$148)&gt;=$Y145),$AB145,$AA145)))=Milestones!$AB$148),UPPER(TEXT(EDATE($D145,Milestones!$AA$148),"dd mmm yy"))&amp;" "&amp;Milestones!$AB$148&amp;" "&amp;IF(AND(Milestones!$AB$148="FT",Milestones!$AA$148=FT_Y5,EDATE($D145,Milestones!$AA$148)&lt;PolicyEff),1,Milestones!$AC$148)&amp;";  ","")&amp;IF(AND(EDATE($D145,Milestones!$AA$149)&lt;=AsOfDate,EDATE($D145,Milestones!$AA$149)&gt;=SchemeStart,IF($X145=0,$AD145,IF(AND($Z145&lt;&gt;"",EDATE($D145,Milestones!$AA$149)&gt;=$Z145),$AC145,IF(AND($Y145&lt;&gt;"",EDATE($D145,Milestones!$AA$149)&gt;=$Y145),$AB145,$AA145)))=Milestones!$AB$149),UPPER(TEXT(EDATE($D145,Milestones!$AA$149),"dd mmm yy"))&amp;" "&amp;Milestones!$AB$149&amp;" "&amp;IF(AND(Milestones!$AB$149="FT",Milestones!$AA$149=FT_Y5,EDATE($D145,Milestones!$AA$149)&lt;PolicyEff),1,Milestones!$AC$149)&amp;";  ","")&amp;IF(AND(EDATE($D145,Milestones!$AA$150)&lt;=AsOfDate,EDATE($D145,Milestones!$AA$150)&gt;=SchemeStart,IF($X145=0,$AD145,IF(AND($Z145&lt;&gt;"",EDATE($D145,Milestones!$AA$150)&gt;=$Z145),$AC145,IF(AND($Y145&lt;&gt;"",EDATE($D145,Milestones!$AA$150)&gt;=$Y145),$AB145,$AA145)))=Milestones!$AB$150),UPPER(TEXT(EDATE($D145,Milestones!$AA$150),"dd mmm yy"))&amp;" "&amp;Milestones!$AB$150&amp;" "&amp;IF(AND(Milestones!$AB$150="FT",Milestones!$AA$150=FT_Y5,EDATE($D145,Milestones!$AA$150)&lt;PolicyEff),1,Milestones!$AC$150)&amp;";  ","")&amp;IF(AND(EDATE($D145,Milestones!$AA$151)&lt;=AsOfDate,EDATE($D145,Milestones!$AA$151)&gt;=SchemeStart,IF($X145=0,$AD145,IF(AND($Z145&lt;&gt;"",EDATE($D145,Milestones!$AA$151)&gt;=$Z145),$AC145,IF(AND($Y145&lt;&gt;"",EDATE($D145,Milestones!$AA$151)&gt;=$Y145),$AB145,$AA145)))=Milestones!$AB$151),UPPER(TEXT(EDATE($D145,Milestones!$AA$151),"dd mmm yy"))&amp;" "&amp;Milestones!$AB$151&amp;" "&amp;IF(AND(Milestones!$AB$151="FT",Milestones!$AA$151=FT_Y5,EDATE($D145,Milestones!$AA$151)&lt;PolicyEff),1,Milestones!$AC$151)&amp;";  ",""))</f>
        <v/>
      </c>
      <c r="T145" s="0" t="str">
        <f aca="false">IF(OR($A145="",$D145=""),"",IF(AND(EDATE($D145,Milestones!$AA$152)&lt;=AsOfDate,EDATE($D145,Milestones!$AA$152)&gt;=SchemeStart,IF($X145=0,$AD145,IF(AND($Z145&lt;&gt;"",EDATE($D145,Milestones!$AA$152)&gt;=$Z145),$AC145,IF(AND($Y145&lt;&gt;"",EDATE($D145,Milestones!$AA$152)&gt;=$Y145),$AB145,$AA145)))=Milestones!$AB$152),UPPER(TEXT(EDATE($D145,Milestones!$AA$152),"dd mmm yy"))&amp;" "&amp;Milestones!$AB$152&amp;" "&amp;IF(AND(Milestones!$AB$152="FT",Milestones!$AA$152=FT_Y5,EDATE($D145,Milestones!$AA$152)&lt;PolicyEff),1,Milestones!$AC$152)&amp;";  ","")&amp;IF(AND(EDATE($D145,Milestones!$AA$153)&lt;=AsOfDate,EDATE($D145,Milestones!$AA$153)&gt;=SchemeStart,IF($X145=0,$AD145,IF(AND($Z145&lt;&gt;"",EDATE($D145,Milestones!$AA$153)&gt;=$Z145),$AC145,IF(AND($Y145&lt;&gt;"",EDATE($D145,Milestones!$AA$153)&gt;=$Y145),$AB145,$AA145)))=Milestones!$AB$153),UPPER(TEXT(EDATE($D145,Milestones!$AA$153),"dd mmm yy"))&amp;" "&amp;Milestones!$AB$153&amp;" "&amp;IF(AND(Milestones!$AB$153="FT",Milestones!$AA$153=FT_Y5,EDATE($D145,Milestones!$AA$153)&lt;PolicyEff),1,Milestones!$AC$153)&amp;";  ","")&amp;IF(AND(EDATE($D145,Milestones!$AA$154)&lt;=AsOfDate,EDATE($D145,Milestones!$AA$154)&gt;=SchemeStart,IF($X145=0,$AD145,IF(AND($Z145&lt;&gt;"",EDATE($D145,Milestones!$AA$154)&gt;=$Z145),$AC145,IF(AND($Y145&lt;&gt;"",EDATE($D145,Milestones!$AA$154)&gt;=$Y145),$AB145,$AA145)))=Milestones!$AB$154),UPPER(TEXT(EDATE($D145,Milestones!$AA$154),"dd mmm yy"))&amp;" "&amp;Milestones!$AB$154&amp;" "&amp;IF(AND(Milestones!$AB$154="FT",Milestones!$AA$154=FT_Y5,EDATE($D145,Milestones!$AA$154)&lt;PolicyEff),1,Milestones!$AC$154)&amp;";  ","")&amp;IF(AND(EDATE($D145,Milestones!$AA$155)&lt;=AsOfDate,EDATE($D145,Milestones!$AA$155)&gt;=SchemeStart,IF($X145=0,$AD145,IF(AND($Z145&lt;&gt;"",EDATE($D145,Milestones!$AA$155)&gt;=$Z145),$AC145,IF(AND($Y145&lt;&gt;"",EDATE($D145,Milestones!$AA$155)&gt;=$Y145),$AB145,$AA145)))=Milestones!$AB$155),UPPER(TEXT(EDATE($D145,Milestones!$AA$155),"dd mmm yy"))&amp;" "&amp;Milestones!$AB$155&amp;" "&amp;IF(AND(Milestones!$AB$155="FT",Milestones!$AA$155=FT_Y5,EDATE($D145,Milestones!$AA$155)&lt;PolicyEff),1,Milestones!$AC$155)&amp;";  ","")&amp;IF(AND(EDATE($D145,Milestones!$AA$156)&lt;=AsOfDate,EDATE($D145,Milestones!$AA$156)&gt;=SchemeStart,IF($X145=0,$AD145,IF(AND($Z145&lt;&gt;"",EDATE($D145,Milestones!$AA$156)&gt;=$Z145),$AC145,IF(AND($Y145&lt;&gt;"",EDATE($D145,Milestones!$AA$156)&gt;=$Y145),$AB145,$AA145)))=Milestones!$AB$156),UPPER(TEXT(EDATE($D145,Milestones!$AA$156),"dd mmm yy"))&amp;" "&amp;Milestones!$AB$156&amp;" "&amp;IF(AND(Milestones!$AB$156="FT",Milestones!$AA$156=FT_Y5,EDATE($D145,Milestones!$AA$156)&lt;PolicyEff),1,Milestones!$AC$156)&amp;";  ","")&amp;IF(AND(EDATE($D145,Milestones!$AA$157)&lt;=AsOfDate,EDATE($D145,Milestones!$AA$157)&gt;=SchemeStart,IF($X145=0,$AD145,IF(AND($Z145&lt;&gt;"",EDATE($D145,Milestones!$AA$157)&gt;=$Z145),$AC145,IF(AND($Y145&lt;&gt;"",EDATE($D145,Milestones!$AA$157)&gt;=$Y145),$AB145,$AA145)))=Milestones!$AB$157),UPPER(TEXT(EDATE($D145,Milestones!$AA$157),"dd mmm yy"))&amp;" "&amp;Milestones!$AB$157&amp;" "&amp;IF(AND(Milestones!$AB$157="FT",Milestones!$AA$157=FT_Y5,EDATE($D145,Milestones!$AA$157)&lt;PolicyEff),1,Milestones!$AC$157)&amp;";  ","")&amp;IF(AND(EDATE($D145,Milestones!$AA$158)&lt;=AsOfDate,EDATE($D145,Milestones!$AA$158)&gt;=SchemeStart,IF($X145=0,$AD145,IF(AND($Z145&lt;&gt;"",EDATE($D145,Milestones!$AA$158)&gt;=$Z145),$AC145,IF(AND($Y145&lt;&gt;"",EDATE($D145,Milestones!$AA$158)&gt;=$Y145),$AB145,$AA145)))=Milestones!$AB$158),UPPER(TEXT(EDATE($D145,Milestones!$AA$158),"dd mmm yy"))&amp;" "&amp;Milestones!$AB$158&amp;" "&amp;IF(AND(Milestones!$AB$158="FT",Milestones!$AA$158=FT_Y5,EDATE($D145,Milestones!$AA$158)&lt;PolicyEff),1,Milestones!$AC$158)&amp;";  ","")&amp;IF(AND(EDATE($D145,Milestones!$AA$159)&lt;=AsOfDate,EDATE($D145,Milestones!$AA$159)&gt;=SchemeStart,IF($X145=0,$AD145,IF(AND($Z145&lt;&gt;"",EDATE($D145,Milestones!$AA$159)&gt;=$Z145),$AC145,IF(AND($Y145&lt;&gt;"",EDATE($D145,Milestones!$AA$159)&gt;=$Y145),$AB145,$AA145)))=Milestones!$AB$159),UPPER(TEXT(EDATE($D145,Milestones!$AA$159),"dd mmm yy"))&amp;" "&amp;Milestones!$AB$159&amp;" "&amp;IF(AND(Milestones!$AB$159="FT",Milestones!$AA$159=FT_Y5,EDATE($D145,Milestones!$AA$159)&lt;PolicyEff),1,Milestones!$AC$159)&amp;";  ","")&amp;IF(AND(EDATE($D145,Milestones!$AA$160)&lt;=AsOfDate,EDATE($D145,Milestones!$AA$160)&gt;=SchemeStart,IF($X145=0,$AD145,IF(AND($Z145&lt;&gt;"",EDATE($D145,Milestones!$AA$160)&gt;=$Z145),$AC145,IF(AND($Y145&lt;&gt;"",EDATE($D145,Milestones!$AA$160)&gt;=$Y145),$AB145,$AA145)))=Milestones!$AB$160),UPPER(TEXT(EDATE($D145,Milestones!$AA$160),"dd mmm yy"))&amp;" "&amp;Milestones!$AB$160&amp;" "&amp;IF(AND(Milestones!$AB$160="FT",Milestones!$AA$160=FT_Y5,EDATE($D145,Milestones!$AA$160)&lt;PolicyEff),1,Milestones!$AC$160)&amp;";  ","")&amp;IF(AND(EDATE($D145,Milestones!$AA$161)&lt;=AsOfDate,EDATE($D145,Milestones!$AA$161)&gt;=SchemeStart,IF($X145=0,$AD145,IF(AND($Z145&lt;&gt;"",EDATE($D145,Milestones!$AA$161)&gt;=$Z145),$AC145,IF(AND($Y145&lt;&gt;"",EDATE($D145,Milestones!$AA$161)&gt;=$Y145),$AB145,$AA145)))=Milestones!$AB$161),UPPER(TEXT(EDATE($D145,Milestones!$AA$161),"dd mmm yy"))&amp;" "&amp;Milestones!$AB$161&amp;" "&amp;IF(AND(Milestones!$AB$161="FT",Milestones!$AA$161=FT_Y5,EDATE($D145,Milestones!$AA$161)&lt;PolicyEff),1,Milestones!$AC$161)&amp;";  ","")&amp;IF(AND(EDATE($D145,Milestones!$AA$162)&lt;=AsOfDate,EDATE($D145,Milestones!$AA$162)&gt;=SchemeStart,IF($X145=0,$AD145,IF(AND($Z145&lt;&gt;"",EDATE($D145,Milestones!$AA$162)&gt;=$Z145),$AC145,IF(AND($Y145&lt;&gt;"",EDATE($D145,Milestones!$AA$162)&gt;=$Y145),$AB145,$AA145)))=Milestones!$AB$162),UPPER(TEXT(EDATE($D145,Milestones!$AA$162),"dd mmm yy"))&amp;" "&amp;Milestones!$AB$162&amp;" "&amp;IF(AND(Milestones!$AB$162="FT",Milestones!$AA$162=FT_Y5,EDATE($D145,Milestones!$AA$162)&lt;PolicyEff),1,Milestones!$AC$162)&amp;";  ","")&amp;IF(AND(EDATE($D145,Milestones!$AA$163)&lt;=AsOfDate,EDATE($D145,Milestones!$AA$163)&gt;=SchemeStart,IF($X145=0,$AD145,IF(AND($Z145&lt;&gt;"",EDATE($D145,Milestones!$AA$163)&gt;=$Z145),$AC145,IF(AND($Y145&lt;&gt;"",EDATE($D145,Milestones!$AA$163)&gt;=$Y145),$AB145,$AA145)))=Milestones!$AB$163),UPPER(TEXT(EDATE($D145,Milestones!$AA$163),"dd mmm yy"))&amp;" "&amp;Milestones!$AB$163&amp;" "&amp;IF(AND(Milestones!$AB$163="FT",Milestones!$AA$163=FT_Y5,EDATE($D145,Milestones!$AA$163)&lt;PolicyEff),1,Milestones!$AC$163)&amp;";  ",""))</f>
        <v/>
      </c>
      <c r="U145" s="0" t="str">
        <f aca="false">IF(OR($A145="",$D145=""),"",IF(AND(EDATE($D145,Milestones!$AA$164)&lt;=AsOfDate,EDATE($D145,Milestones!$AA$164)&gt;=SchemeStart,IF($X145=0,$AD145,IF(AND($Z145&lt;&gt;"",EDATE($D145,Milestones!$AA$164)&gt;=$Z145),$AC145,IF(AND($Y145&lt;&gt;"",EDATE($D145,Milestones!$AA$164)&gt;=$Y145),$AB145,$AA145)))=Milestones!$AB$164),UPPER(TEXT(EDATE($D145,Milestones!$AA$164),"dd mmm yy"))&amp;" "&amp;Milestones!$AB$164&amp;" "&amp;IF(AND(Milestones!$AB$164="FT",Milestones!$AA$164=FT_Y5,EDATE($D145,Milestones!$AA$164)&lt;PolicyEff),1,Milestones!$AC$164)&amp;";  ","")&amp;IF(AND(EDATE($D145,Milestones!$AA$165)&lt;=AsOfDate,EDATE($D145,Milestones!$AA$165)&gt;=SchemeStart,IF($X145=0,$AD145,IF(AND($Z145&lt;&gt;"",EDATE($D145,Milestones!$AA$165)&gt;=$Z145),$AC145,IF(AND($Y145&lt;&gt;"",EDATE($D145,Milestones!$AA$165)&gt;=$Y145),$AB145,$AA145)))=Milestones!$AB$165),UPPER(TEXT(EDATE($D145,Milestones!$AA$165),"dd mmm yy"))&amp;" "&amp;Milestones!$AB$165&amp;" "&amp;IF(AND(Milestones!$AB$165="FT",Milestones!$AA$165=FT_Y5,EDATE($D145,Milestones!$AA$165)&lt;PolicyEff),1,Milestones!$AC$165)&amp;";  ","")&amp;IF(AND(EDATE($D145,Milestones!$AA$166)&lt;=AsOfDate,EDATE($D145,Milestones!$AA$166)&gt;=SchemeStart,IF($X145=0,$AD145,IF(AND($Z145&lt;&gt;"",EDATE($D145,Milestones!$AA$166)&gt;=$Z145),$AC145,IF(AND($Y145&lt;&gt;"",EDATE($D145,Milestones!$AA$166)&gt;=$Y145),$AB145,$AA145)))=Milestones!$AB$166),UPPER(TEXT(EDATE($D145,Milestones!$AA$166),"dd mmm yy"))&amp;" "&amp;Milestones!$AB$166&amp;" "&amp;IF(AND(Milestones!$AB$166="FT",Milestones!$AA$166=FT_Y5,EDATE($D145,Milestones!$AA$166)&lt;PolicyEff),1,Milestones!$AC$166)&amp;";  ","")&amp;IF(AND(EDATE($D145,Milestones!$AA$167)&lt;=AsOfDate,EDATE($D145,Milestones!$AA$167)&gt;=SchemeStart,IF($X145=0,$AD145,IF(AND($Z145&lt;&gt;"",EDATE($D145,Milestones!$AA$167)&gt;=$Z145),$AC145,IF(AND($Y145&lt;&gt;"",EDATE($D145,Milestones!$AA$167)&gt;=$Y145),$AB145,$AA145)))=Milestones!$AB$167),UPPER(TEXT(EDATE($D145,Milestones!$AA$167),"dd mmm yy"))&amp;" "&amp;Milestones!$AB$167&amp;" "&amp;IF(AND(Milestones!$AB$167="FT",Milestones!$AA$167=FT_Y5,EDATE($D145,Milestones!$AA$167)&lt;PolicyEff),1,Milestones!$AC$167)&amp;";  ","")&amp;IF(AND(EDATE($D145,Milestones!$AA$168)&lt;=AsOfDate,EDATE($D145,Milestones!$AA$168)&gt;=SchemeStart,IF($X145=0,$AD145,IF(AND($Z145&lt;&gt;"",EDATE($D145,Milestones!$AA$168)&gt;=$Z145),$AC145,IF(AND($Y145&lt;&gt;"",EDATE($D145,Milestones!$AA$168)&gt;=$Y145),$AB145,$AA145)))=Milestones!$AB$168),UPPER(TEXT(EDATE($D145,Milestones!$AA$168),"dd mmm yy"))&amp;" "&amp;Milestones!$AB$168&amp;" "&amp;IF(AND(Milestones!$AB$168="FT",Milestones!$AA$168=FT_Y5,EDATE($D145,Milestones!$AA$168)&lt;PolicyEff),1,Milestones!$AC$168)&amp;";  ","")&amp;IF(AND(EDATE($D145,Milestones!$AA$169)&lt;=AsOfDate,EDATE($D145,Milestones!$AA$169)&gt;=SchemeStart,IF($X145=0,$AD145,IF(AND($Z145&lt;&gt;"",EDATE($D145,Milestones!$AA$169)&gt;=$Z145),$AC145,IF(AND($Y145&lt;&gt;"",EDATE($D145,Milestones!$AA$169)&gt;=$Y145),$AB145,$AA145)))=Milestones!$AB$169),UPPER(TEXT(EDATE($D145,Milestones!$AA$169),"dd mmm yy"))&amp;" "&amp;Milestones!$AB$169&amp;" "&amp;IF(AND(Milestones!$AB$169="FT",Milestones!$AA$169=FT_Y5,EDATE($D145,Milestones!$AA$169)&lt;PolicyEff),1,Milestones!$AC$169)&amp;";  ","")&amp;IF(AND(EDATE($D145,Milestones!$AA$170)&lt;=AsOfDate,EDATE($D145,Milestones!$AA$170)&gt;=SchemeStart,IF($X145=0,$AD145,IF(AND($Z145&lt;&gt;"",EDATE($D145,Milestones!$AA$170)&gt;=$Z145),$AC145,IF(AND($Y145&lt;&gt;"",EDATE($D145,Milestones!$AA$170)&gt;=$Y145),$AB145,$AA145)))=Milestones!$AB$170),UPPER(TEXT(EDATE($D145,Milestones!$AA$170),"dd mmm yy"))&amp;" "&amp;Milestones!$AB$170&amp;" "&amp;IF(AND(Milestones!$AB$170="FT",Milestones!$AA$170=FT_Y5,EDATE($D145,Milestones!$AA$170)&lt;PolicyEff),1,Milestones!$AC$170)&amp;";  ","")&amp;IF(AND(EDATE($D145,Milestones!$AA$171)&lt;=AsOfDate,EDATE($D145,Milestones!$AA$171)&gt;=SchemeStart,IF($X145=0,$AD145,IF(AND($Z145&lt;&gt;"",EDATE($D145,Milestones!$AA$171)&gt;=$Z145),$AC145,IF(AND($Y145&lt;&gt;"",EDATE($D145,Milestones!$AA$171)&gt;=$Y145),$AB145,$AA145)))=Milestones!$AB$171),UPPER(TEXT(EDATE($D145,Milestones!$AA$171),"dd mmm yy"))&amp;" "&amp;Milestones!$AB$171&amp;" "&amp;IF(AND(Milestones!$AB$171="FT",Milestones!$AA$171=FT_Y5,EDATE($D145,Milestones!$AA$171)&lt;PolicyEff),1,Milestones!$AC$171)&amp;";  ","")&amp;IF(AND(EDATE($D145,Milestones!$AA$172)&lt;=AsOfDate,EDATE($D145,Milestones!$AA$172)&gt;=SchemeStart,IF($X145=0,$AD145,IF(AND($Z145&lt;&gt;"",EDATE($D145,Milestones!$AA$172)&gt;=$Z145),$AC145,IF(AND($Y145&lt;&gt;"",EDATE($D145,Milestones!$AA$172)&gt;=$Y145),$AB145,$AA145)))=Milestones!$AB$172),UPPER(TEXT(EDATE($D145,Milestones!$AA$172),"dd mmm yy"))&amp;" "&amp;Milestones!$AB$172&amp;" "&amp;IF(AND(Milestones!$AB$172="FT",Milestones!$AA$172=FT_Y5,EDATE($D145,Milestones!$AA$172)&lt;PolicyEff),1,Milestones!$AC$172)&amp;";  ","")&amp;IF(AND(EDATE($D145,Milestones!$AA$173)&lt;=AsOfDate,EDATE($D145,Milestones!$AA$173)&gt;=SchemeStart,IF($X145=0,$AD145,IF(AND($Z145&lt;&gt;"",EDATE($D145,Milestones!$AA$173)&gt;=$Z145),$AC145,IF(AND($Y145&lt;&gt;"",EDATE($D145,Milestones!$AA$173)&gt;=$Y145),$AB145,$AA145)))=Milestones!$AB$173),UPPER(TEXT(EDATE($D145,Milestones!$AA$173),"dd mmm yy"))&amp;" "&amp;Milestones!$AB$173&amp;" "&amp;IF(AND(Milestones!$AB$173="FT",Milestones!$AA$173=FT_Y5,EDATE($D145,Milestones!$AA$173)&lt;PolicyEff),1,Milestones!$AC$173)&amp;";  ","")&amp;IF(AND(EDATE($D145,Milestones!$AA$174)&lt;=AsOfDate,EDATE($D145,Milestones!$AA$174)&gt;=SchemeStart,IF($X145=0,$AD145,IF(AND($Z145&lt;&gt;"",EDATE($D145,Milestones!$AA$174)&gt;=$Z145),$AC145,IF(AND($Y145&lt;&gt;"",EDATE($D145,Milestones!$AA$174)&gt;=$Y145),$AB145,$AA145)))=Milestones!$AB$174),UPPER(TEXT(EDATE($D145,Milestones!$AA$174),"dd mmm yy"))&amp;" "&amp;Milestones!$AB$174&amp;" "&amp;IF(AND(Milestones!$AB$174="FT",Milestones!$AA$174=FT_Y5,EDATE($D145,Milestones!$AA$174)&lt;PolicyEff),1,Milestones!$AC$174)&amp;";  ","")&amp;IF(AND(EDATE($D145,Milestones!$AA$175)&lt;=AsOfDate,EDATE($D145,Milestones!$AA$175)&gt;=SchemeStart,IF($X145=0,$AD145,IF(AND($Z145&lt;&gt;"",EDATE($D145,Milestones!$AA$175)&gt;=$Z145),$AC145,IF(AND($Y145&lt;&gt;"",EDATE($D145,Milestones!$AA$175)&gt;=$Y145),$AB145,$AA145)))=Milestones!$AB$175),UPPER(TEXT(EDATE($D145,Milestones!$AA$175),"dd mmm yy"))&amp;" "&amp;Milestones!$AB$175&amp;" "&amp;IF(AND(Milestones!$AB$175="FT",Milestones!$AA$175=FT_Y5,EDATE($D145,Milestones!$AA$175)&lt;PolicyEff),1,Milestones!$AC$175)&amp;";  ",""))</f>
        <v/>
      </c>
      <c r="V145" s="0" t="str">
        <f aca="false">IF(OR($A145="",$D145=""),"",IF(AND(EDATE($D145,Milestones!$AA$176)&lt;=AsOfDate,EDATE($D145,Milestones!$AA$176)&gt;=SchemeStart,IF($X145=0,$AD145,IF(AND($Z145&lt;&gt;"",EDATE($D145,Milestones!$AA$176)&gt;=$Z145),$AC145,IF(AND($Y145&lt;&gt;"",EDATE($D145,Milestones!$AA$176)&gt;=$Y145),$AB145,$AA145)))=Milestones!$AB$176),UPPER(TEXT(EDATE($D145,Milestones!$AA$176),"dd mmm yy"))&amp;" "&amp;Milestones!$AB$176&amp;" "&amp;IF(AND(Milestones!$AB$176="FT",Milestones!$AA$176=FT_Y5,EDATE($D145,Milestones!$AA$176)&lt;PolicyEff),1,Milestones!$AC$176)&amp;";  ","")&amp;IF(AND(EDATE($D145,Milestones!$AA$177)&lt;=AsOfDate,EDATE($D145,Milestones!$AA$177)&gt;=SchemeStart,IF($X145=0,$AD145,IF(AND($Z145&lt;&gt;"",EDATE($D145,Milestones!$AA$177)&gt;=$Z145),$AC145,IF(AND($Y145&lt;&gt;"",EDATE($D145,Milestones!$AA$177)&gt;=$Y145),$AB145,$AA145)))=Milestones!$AB$177),UPPER(TEXT(EDATE($D145,Milestones!$AA$177),"dd mmm yy"))&amp;" "&amp;Milestones!$AB$177&amp;" "&amp;IF(AND(Milestones!$AB$177="FT",Milestones!$AA$177=FT_Y5,EDATE($D145,Milestones!$AA$177)&lt;PolicyEff),1,Milestones!$AC$177)&amp;";  ","")&amp;IF(AND(EDATE($D145,Milestones!$AA$178)&lt;=AsOfDate,EDATE($D145,Milestones!$AA$178)&gt;=SchemeStart,IF($X145=0,$AD145,IF(AND($Z145&lt;&gt;"",EDATE($D145,Milestones!$AA$178)&gt;=$Z145),$AC145,IF(AND($Y145&lt;&gt;"",EDATE($D145,Milestones!$AA$178)&gt;=$Y145),$AB145,$AA145)))=Milestones!$AB$178),UPPER(TEXT(EDATE($D145,Milestones!$AA$178),"dd mmm yy"))&amp;" "&amp;Milestones!$AB$178&amp;" "&amp;IF(AND(Milestones!$AB$178="FT",Milestones!$AA$178=FT_Y5,EDATE($D145,Milestones!$AA$178)&lt;PolicyEff),1,Milestones!$AC$178)&amp;";  ","")&amp;IF(AND(EDATE($D145,Milestones!$AA$179)&lt;=AsOfDate,EDATE($D145,Milestones!$AA$179)&gt;=SchemeStart,IF($X145=0,$AD145,IF(AND($Z145&lt;&gt;"",EDATE($D145,Milestones!$AA$179)&gt;=$Z145),$AC145,IF(AND($Y145&lt;&gt;"",EDATE($D145,Milestones!$AA$179)&gt;=$Y145),$AB145,$AA145)))=Milestones!$AB$179),UPPER(TEXT(EDATE($D145,Milestones!$AA$179),"dd mmm yy"))&amp;" "&amp;Milestones!$AB$179&amp;" "&amp;IF(AND(Milestones!$AB$179="FT",Milestones!$AA$179=FT_Y5,EDATE($D145,Milestones!$AA$179)&lt;PolicyEff),1,Milestones!$AC$179)&amp;";  ","")&amp;IF(AND(EDATE($D145,Milestones!$AA$180)&lt;=AsOfDate,EDATE($D145,Milestones!$AA$180)&gt;=SchemeStart,IF($X145=0,$AD145,IF(AND($Z145&lt;&gt;"",EDATE($D145,Milestones!$AA$180)&gt;=$Z145),$AC145,IF(AND($Y145&lt;&gt;"",EDATE($D145,Milestones!$AA$180)&gt;=$Y145),$AB145,$AA145)))=Milestones!$AB$180),UPPER(TEXT(EDATE($D145,Milestones!$AA$180),"dd mmm yy"))&amp;" "&amp;Milestones!$AB$180&amp;" "&amp;IF(AND(Milestones!$AB$180="FT",Milestones!$AA$180=FT_Y5,EDATE($D145,Milestones!$AA$180)&lt;PolicyEff),1,Milestones!$AC$180)&amp;";  ","")&amp;IF(AND(EDATE($D145,Milestones!$AA$181)&lt;=AsOfDate,EDATE($D145,Milestones!$AA$181)&gt;=SchemeStart,IF($X145=0,$AD145,IF(AND($Z145&lt;&gt;"",EDATE($D145,Milestones!$AA$181)&gt;=$Z145),$AC145,IF(AND($Y145&lt;&gt;"",EDATE($D145,Milestones!$AA$181)&gt;=$Y145),$AB145,$AA145)))=Milestones!$AB$181),UPPER(TEXT(EDATE($D145,Milestones!$AA$181),"dd mmm yy"))&amp;" "&amp;Milestones!$AB$181&amp;" "&amp;IF(AND(Milestones!$AB$181="FT",Milestones!$AA$181=FT_Y5,EDATE($D145,Milestones!$AA$181)&lt;PolicyEff),1,Milestones!$AC$181)&amp;";  ","")&amp;IF(AND(EDATE($D145,Milestones!$AA$182)&lt;=AsOfDate,EDATE($D145,Milestones!$AA$182)&gt;=SchemeStart,IF($X145=0,$AD145,IF(AND($Z145&lt;&gt;"",EDATE($D145,Milestones!$AA$182)&gt;=$Z145),$AC145,IF(AND($Y145&lt;&gt;"",EDATE($D145,Milestones!$AA$182)&gt;=$Y145),$AB145,$AA145)))=Milestones!$AB$182),UPPER(TEXT(EDATE($D145,Milestones!$AA$182),"dd mmm yy"))&amp;" "&amp;Milestones!$AB$182&amp;" "&amp;IF(AND(Milestones!$AB$182="FT",Milestones!$AA$182=FT_Y5,EDATE($D145,Milestones!$AA$182)&lt;PolicyEff),1,Milestones!$AC$182)&amp;";  ","")&amp;IF(AND(EDATE($D145,Milestones!$AA$183)&lt;=AsOfDate,EDATE($D145,Milestones!$AA$183)&gt;=SchemeStart,IF($X145=0,$AD145,IF(AND($Z145&lt;&gt;"",EDATE($D145,Milestones!$AA$183)&gt;=$Z145),$AC145,IF(AND($Y145&lt;&gt;"",EDATE($D145,Milestones!$AA$183)&gt;=$Y145),$AB145,$AA145)))=Milestones!$AB$183),UPPER(TEXT(EDATE($D145,Milestones!$AA$183),"dd mmm yy"))&amp;" "&amp;Milestones!$AB$183&amp;" "&amp;IF(AND(Milestones!$AB$183="FT",Milestones!$AA$183=FT_Y5,EDATE($D145,Milestones!$AA$183)&lt;PolicyEff),1,Milestones!$AC$183)&amp;";  ","")&amp;IF(AND(EDATE($D145,Milestones!$AA$184)&lt;=AsOfDate,EDATE($D145,Milestones!$AA$184)&gt;=SchemeStart,IF($X145=0,$AD145,IF(AND($Z145&lt;&gt;"",EDATE($D145,Milestones!$AA$184)&gt;=$Z145),$AC145,IF(AND($Y145&lt;&gt;"",EDATE($D145,Milestones!$AA$184)&gt;=$Y145),$AB145,$AA145)))=Milestones!$AB$184),UPPER(TEXT(EDATE($D145,Milestones!$AA$184),"dd mmm yy"))&amp;" "&amp;Milestones!$AB$184&amp;" "&amp;IF(AND(Milestones!$AB$184="FT",Milestones!$AA$184=FT_Y5,EDATE($D145,Milestones!$AA$184)&lt;PolicyEff),1,Milestones!$AC$184)&amp;";  ","")&amp;IF(AND(EDATE($D145,Milestones!$AA$185)&lt;=AsOfDate,EDATE($D145,Milestones!$AA$185)&gt;=SchemeStart,IF($X145=0,$AD145,IF(AND($Z145&lt;&gt;"",EDATE($D145,Milestones!$AA$185)&gt;=$Z145),$AC145,IF(AND($Y145&lt;&gt;"",EDATE($D145,Milestones!$AA$185)&gt;=$Y145),$AB145,$AA145)))=Milestones!$AB$185),UPPER(TEXT(EDATE($D145,Milestones!$AA$185),"dd mmm yy"))&amp;" "&amp;Milestones!$AB$185&amp;" "&amp;IF(AND(Milestones!$AB$185="FT",Milestones!$AA$185=FT_Y5,EDATE($D145,Milestones!$AA$185)&lt;PolicyEff),1,Milestones!$AC$185)&amp;";  ","")&amp;IF(AND(EDATE($D145,Milestones!$AA$186)&lt;=AsOfDate,EDATE($D145,Milestones!$AA$186)&gt;=SchemeStart,IF($X145=0,$AD145,IF(AND($Z145&lt;&gt;"",EDATE($D145,Milestones!$AA$186)&gt;=$Z145),$AC145,IF(AND($Y145&lt;&gt;"",EDATE($D145,Milestones!$AA$186)&gt;=$Y145),$AB145,$AA145)))=Milestones!$AB$186),UPPER(TEXT(EDATE($D145,Milestones!$AA$186),"dd mmm yy"))&amp;" "&amp;Milestones!$AB$186&amp;" "&amp;IF(AND(Milestones!$AB$186="FT",Milestones!$AA$186=FT_Y5,EDATE($D145,Milestones!$AA$186)&lt;PolicyEff),1,Milestones!$AC$186)&amp;";  ","")&amp;IF(AND(EDATE($D145,Milestones!$AA$187)&lt;=AsOfDate,EDATE($D145,Milestones!$AA$187)&gt;=SchemeStart,IF($X145=0,$AD145,IF(AND($Z145&lt;&gt;"",EDATE($D145,Milestones!$AA$187)&gt;=$Z145),$AC145,IF(AND($Y145&lt;&gt;"",EDATE($D145,Milestones!$AA$187)&gt;=$Y145),$AB145,$AA145)))=Milestones!$AB$187),UPPER(TEXT(EDATE($D145,Milestones!$AA$187),"dd mmm yy"))&amp;" "&amp;Milestones!$AB$187&amp;" "&amp;IF(AND(Milestones!$AB$187="FT",Milestones!$AA$187=FT_Y5,EDATE($D145,Milestones!$AA$187)&lt;PolicyEff),1,Milestones!$AC$187)&amp;";  ",""))</f>
        <v/>
      </c>
      <c r="W145" s="0" t="str">
        <f aca="false">IF(OR($A145="",$D145=""),"",IF(AND(EDATE($D145,Milestones!$AA$188)&lt;=AsOfDate,EDATE($D145,Milestones!$AA$188)&gt;=SchemeStart,IF($X145=0,$AD145,IF(AND($Z145&lt;&gt;"",EDATE($D145,Milestones!$AA$188)&gt;=$Z145),$AC145,IF(AND($Y145&lt;&gt;"",EDATE($D145,Milestones!$AA$188)&gt;=$Y145),$AB145,$AA145)))=Milestones!$AB$188),UPPER(TEXT(EDATE($D145,Milestones!$AA$188),"dd mmm yy"))&amp;" "&amp;Milestones!$AB$188&amp;" "&amp;IF(AND(Milestones!$AB$188="FT",Milestones!$AA$188=FT_Y5,EDATE($D145,Milestones!$AA$188)&lt;PolicyEff),1,Milestones!$AC$188)&amp;";  ","")&amp;IF(AND(EDATE($D145,Milestones!$AA$189)&lt;=AsOfDate,EDATE($D145,Milestones!$AA$189)&gt;=SchemeStart,IF($X145=0,$AD145,IF(AND($Z145&lt;&gt;"",EDATE($D145,Milestones!$AA$189)&gt;=$Z145),$AC145,IF(AND($Y145&lt;&gt;"",EDATE($D145,Milestones!$AA$189)&gt;=$Y145),$AB145,$AA145)))=Milestones!$AB$189),UPPER(TEXT(EDATE($D145,Milestones!$AA$189),"dd mmm yy"))&amp;" "&amp;Milestones!$AB$189&amp;" "&amp;IF(AND(Milestones!$AB$189="FT",Milestones!$AA$189=FT_Y5,EDATE($D145,Milestones!$AA$189)&lt;PolicyEff),1,Milestones!$AC$189)&amp;";  ","")&amp;IF(AND(EDATE($D145,Milestones!$AA$190)&lt;=AsOfDate,EDATE($D145,Milestones!$AA$190)&gt;=SchemeStart,IF($X145=0,$AD145,IF(AND($Z145&lt;&gt;"",EDATE($D145,Milestones!$AA$190)&gt;=$Z145),$AC145,IF(AND($Y145&lt;&gt;"",EDATE($D145,Milestones!$AA$190)&gt;=$Y145),$AB145,$AA145)))=Milestones!$AB$190),UPPER(TEXT(EDATE($D145,Milestones!$AA$190),"dd mmm yy"))&amp;" "&amp;Milestones!$AB$190&amp;" "&amp;IF(AND(Milestones!$AB$190="FT",Milestones!$AA$190=FT_Y5,EDATE($D145,Milestones!$AA$190)&lt;PolicyEff),1,Milestones!$AC$190)&amp;";  ","")&amp;IF(AND(EDATE($D145,Milestones!$AA$191)&lt;=AsOfDate,EDATE($D145,Milestones!$AA$191)&gt;=SchemeStart,IF($X145=0,$AD145,IF(AND($Z145&lt;&gt;"",EDATE($D145,Milestones!$AA$191)&gt;=$Z145),$AC145,IF(AND($Y145&lt;&gt;"",EDATE($D145,Milestones!$AA$191)&gt;=$Y145),$AB145,$AA145)))=Milestones!$AB$191),UPPER(TEXT(EDATE($D145,Milestones!$AA$191),"dd mmm yy"))&amp;" "&amp;Milestones!$AB$191&amp;" "&amp;IF(AND(Milestones!$AB$191="FT",Milestones!$AA$191=FT_Y5,EDATE($D145,Milestones!$AA$191)&lt;PolicyEff),1,Milestones!$AC$191)&amp;";  ","")&amp;IF(AND(EDATE($D145,Milestones!$AA$192)&lt;=AsOfDate,EDATE($D145,Milestones!$AA$192)&gt;=SchemeStart,IF($X145=0,$AD145,IF(AND($Z145&lt;&gt;"",EDATE($D145,Milestones!$AA$192)&gt;=$Z145),$AC145,IF(AND($Y145&lt;&gt;"",EDATE($D145,Milestones!$AA$192)&gt;=$Y145),$AB145,$AA145)))=Milestones!$AB$192),UPPER(TEXT(EDATE($D145,Milestones!$AA$192),"dd mmm yy"))&amp;" "&amp;Milestones!$AB$192&amp;" "&amp;IF(AND(Milestones!$AB$192="FT",Milestones!$AA$192=FT_Y5,EDATE($D145,Milestones!$AA$192)&lt;PolicyEff),1,Milestones!$AC$192)&amp;";  ","")&amp;IF(AND(EDATE($D145,Milestones!$AA$193)&lt;=AsOfDate,EDATE($D145,Milestones!$AA$193)&gt;=SchemeStart,IF($X145=0,$AD145,IF(AND($Z145&lt;&gt;"",EDATE($D145,Milestones!$AA$193)&gt;=$Z145),$AC145,IF(AND($Y145&lt;&gt;"",EDATE($D145,Milestones!$AA$193)&gt;=$Y145),$AB145,$AA145)))=Milestones!$AB$193),UPPER(TEXT(EDATE($D145,Milestones!$AA$193),"dd mmm yy"))&amp;" "&amp;Milestones!$AB$193&amp;" "&amp;IF(AND(Milestones!$AB$193="FT",Milestones!$AA$193=FT_Y5,EDATE($D145,Milestones!$AA$193)&lt;PolicyEff),1,Milestones!$AC$193)&amp;";  ","")&amp;IF(AND(EDATE($D145,Milestones!$AA$194)&lt;=AsOfDate,EDATE($D145,Milestones!$AA$194)&gt;=SchemeStart,IF($X145=0,$AD145,IF(AND($Z145&lt;&gt;"",EDATE($D145,Milestones!$AA$194)&gt;=$Z145),$AC145,IF(AND($Y145&lt;&gt;"",EDATE($D145,Milestones!$AA$194)&gt;=$Y145),$AB145,$AA145)))=Milestones!$AB$194),UPPER(TEXT(EDATE($D145,Milestones!$AA$194),"dd mmm yy"))&amp;" "&amp;Milestones!$AB$194&amp;" "&amp;IF(AND(Milestones!$AB$194="FT",Milestones!$AA$194=FT_Y5,EDATE($D145,Milestones!$AA$194)&lt;PolicyEff),1,Milestones!$AC$194)&amp;";  ","")&amp;IF(AND(EDATE($D145,Milestones!$AA$195)&lt;=AsOfDate,EDATE($D145,Milestones!$AA$195)&gt;=SchemeStart,IF($X145=0,$AD145,IF(AND($Z145&lt;&gt;"",EDATE($D145,Milestones!$AA$195)&gt;=$Z145),$AC145,IF(AND($Y145&lt;&gt;"",EDATE($D145,Milestones!$AA$195)&gt;=$Y145),$AB145,$AA145)))=Milestones!$AB$195),UPPER(TEXT(EDATE($D145,Milestones!$AA$195),"dd mmm yy"))&amp;" "&amp;Milestones!$AB$195&amp;" "&amp;IF(AND(Milestones!$AB$195="FT",Milestones!$AA$195=FT_Y5,EDATE($D145,Milestones!$AA$195)&lt;PolicyEff),1,Milestones!$AC$195)&amp;";  ","")&amp;IF(AND(EDATE($D145,Milestones!$AA$196)&lt;=AsOfDate,EDATE($D145,Milestones!$AA$196)&gt;=SchemeStart,IF($X145=0,$AD145,IF(AND($Z145&lt;&gt;"",EDATE($D145,Milestones!$AA$196)&gt;=$Z145),$AC145,IF(AND($Y145&lt;&gt;"",EDATE($D145,Milestones!$AA$196)&gt;=$Y145),$AB145,$AA145)))=Milestones!$AB$196),UPPER(TEXT(EDATE($D145,Milestones!$AA$196),"dd mmm yy"))&amp;" "&amp;Milestones!$AB$196&amp;" "&amp;IF(AND(Milestones!$AB$196="FT",Milestones!$AA$196=FT_Y5,EDATE($D145,Milestones!$AA$196)&lt;PolicyEff),1,Milestones!$AC$196)&amp;";  ","")&amp;IF(AND(EDATE($D145,Milestones!$AA$197)&lt;=AsOfDate,EDATE($D145,Milestones!$AA$197)&gt;=SchemeStart,IF($X145=0,$AD145,IF(AND($Z145&lt;&gt;"",EDATE($D145,Milestones!$AA$197)&gt;=$Z145),$AC145,IF(AND($Y145&lt;&gt;"",EDATE($D145,Milestones!$AA$197)&gt;=$Y145),$AB145,$AA145)))=Milestones!$AB$197),UPPER(TEXT(EDATE($D145,Milestones!$AA$197),"dd mmm yy"))&amp;" "&amp;Milestones!$AB$197&amp;" "&amp;IF(AND(Milestones!$AB$197="FT",Milestones!$AA$197=FT_Y5,EDATE($D145,Milestones!$AA$197)&lt;PolicyEff),1,Milestones!$AC$197)&amp;";  ","")&amp;IF(AND(EDATE($D145,Milestones!$AA$198)&lt;=AsOfDate,EDATE($D145,Milestones!$AA$198)&gt;=SchemeStart,IF($X145=0,$AD145,IF(AND($Z145&lt;&gt;"",EDATE($D145,Milestones!$AA$198)&gt;=$Z145),$AC145,IF(AND($Y145&lt;&gt;"",EDATE($D145,Milestones!$AA$198)&gt;=$Y145),$AB145,$AA145)))=Milestones!$AB$198),UPPER(TEXT(EDATE($D145,Milestones!$AA$198),"dd mmm yy"))&amp;" "&amp;Milestones!$AB$198&amp;" "&amp;IF(AND(Milestones!$AB$198="FT",Milestones!$AA$198=FT_Y5,EDATE($D145,Milestones!$AA$198)&lt;PolicyEff),1,Milestones!$AC$198)&amp;";  ","")&amp;IF(AND(EDATE($D145,Milestones!$AA$199)&lt;=AsOfDate,EDATE($D145,Milestones!$AA$199)&gt;=SchemeStart,IF($X145=0,$AD145,IF(AND($Z145&lt;&gt;"",EDATE($D145,Milestones!$AA$199)&gt;=$Z145),$AC145,IF(AND($Y145&lt;&gt;"",EDATE($D145,Milestones!$AA$199)&gt;=$Y145),$AB145,$AA145)))=Milestones!$AB$199),UPPER(TEXT(EDATE($D145,Milestones!$AA$199),"dd mmm yy"))&amp;" "&amp;Milestones!$AB$199&amp;" "&amp;IF(AND(Milestones!$AB$199="FT",Milestones!$AA$199=FT_Y5,EDATE($D145,Milestones!$AA$199)&lt;PolicyEff),1,Milestones!$AC$199)&amp;";  ",""))</f>
        <v/>
      </c>
      <c r="X145" s="0" t="str">
        <f aca="false">IF(Staff!$A145="","",Staff!$AM145)</f>
        <v/>
      </c>
      <c r="Y145" s="0" t="str">
        <f aca="false">IF(Staff!$A145="","",Staff!$AO145)</f>
        <v/>
      </c>
      <c r="Z145" s="0" t="str">
        <f aca="false">IF(Staff!$A145="","",Staff!$AP145)</f>
        <v/>
      </c>
      <c r="AA145" s="0" t="str">
        <f aca="false">IF(Staff!$A145="","",Staff!$AT145)</f>
        <v/>
      </c>
      <c r="AB145" s="0" t="str">
        <f aca="false">IF(Staff!$A145="","",Staff!$AU145)</f>
        <v/>
      </c>
      <c r="AC145" s="0" t="str">
        <f aca="false">IF(Staff!$A145="","",Staff!$AV145)</f>
        <v/>
      </c>
      <c r="AD145" s="0" t="str">
        <f aca="false">IF(Staff!$A145="","",Staff!$AW145)</f>
        <v/>
      </c>
    </row>
    <row r="146" customFormat="false" ht="15" hidden="false" customHeight="false" outlineLevel="0" collapsed="false">
      <c r="A146" s="16" t="str">
        <f aca="false">IF(Staff!$A146="","",Staff!$A146)</f>
        <v/>
      </c>
      <c r="B146" s="16" t="str">
        <f aca="false">IF(Staff!$A146="","",Staff!$B146)</f>
        <v/>
      </c>
      <c r="C146" s="16" t="str">
        <f aca="false">IF(Staff!$A146="","",Staff!$C146)</f>
        <v/>
      </c>
      <c r="D146" s="14" t="str">
        <f aca="false">IF(Staff!$A146="","",Staff!$AL146)</f>
        <v/>
      </c>
      <c r="E146" s="16" t="str">
        <f aca="false">IF(Staff!$A146="","",Staff!$O146)</f>
        <v/>
      </c>
      <c r="F146" s="16" t="str">
        <f aca="false">IF(E146="","",E146*HoursPerDay)</f>
        <v/>
      </c>
      <c r="G146" s="16" t="str">
        <f aca="false">IF(Staff!$A146="","",Staff!$AE146)</f>
        <v/>
      </c>
      <c r="H146" s="28" t="str">
        <f aca="false">IF($A146="","",I146&amp;J146&amp;K146&amp;L146&amp;M146&amp;N146&amp;O146&amp;P146&amp;Q146&amp;R146&amp;S146&amp;T146&amp;U146&amp;V146&amp;W146)</f>
        <v/>
      </c>
      <c r="I146" s="0" t="str">
        <f aca="false">IF(OR($A146="",$D146=""),"",IF(AND(EDATE($D146,Milestones!$AA$20)&lt;=AsOfDate,EDATE($D146,Milestones!$AA$20)&gt;=SchemeStart,IF($X146=0,$AD146,IF(AND($Z146&lt;&gt;"",EDATE($D146,Milestones!$AA$20)&gt;=$Z146),$AC146,IF(AND($Y146&lt;&gt;"",EDATE($D146,Milestones!$AA$20)&gt;=$Y146),$AB146,$AA146)))=Milestones!$AB$20),UPPER(TEXT(EDATE($D146,Milestones!$AA$20),"dd mmm yy"))&amp;" "&amp;Milestones!$AB$20&amp;" "&amp;IF(AND(Milestones!$AB$20="FT",Milestones!$AA$20=FT_Y5,EDATE($D146,Milestones!$AA$20)&lt;PolicyEff),1,Milestones!$AC$20)&amp;";  ","")&amp;IF(AND(EDATE($D146,Milestones!$AA$21)&lt;=AsOfDate,EDATE($D146,Milestones!$AA$21)&gt;=SchemeStart,IF($X146=0,$AD146,IF(AND($Z146&lt;&gt;"",EDATE($D146,Milestones!$AA$21)&gt;=$Z146),$AC146,IF(AND($Y146&lt;&gt;"",EDATE($D146,Milestones!$AA$21)&gt;=$Y146),$AB146,$AA146)))=Milestones!$AB$21),UPPER(TEXT(EDATE($D146,Milestones!$AA$21),"dd mmm yy"))&amp;" "&amp;Milestones!$AB$21&amp;" "&amp;IF(AND(Milestones!$AB$21="FT",Milestones!$AA$21=FT_Y5,EDATE($D146,Milestones!$AA$21)&lt;PolicyEff),1,Milestones!$AC$21)&amp;";  ","")&amp;IF(AND(EDATE($D146,Milestones!$AA$22)&lt;=AsOfDate,EDATE($D146,Milestones!$AA$22)&gt;=SchemeStart,IF($X146=0,$AD146,IF(AND($Z146&lt;&gt;"",EDATE($D146,Milestones!$AA$22)&gt;=$Z146),$AC146,IF(AND($Y146&lt;&gt;"",EDATE($D146,Milestones!$AA$22)&gt;=$Y146),$AB146,$AA146)))=Milestones!$AB$22),UPPER(TEXT(EDATE($D146,Milestones!$AA$22),"dd mmm yy"))&amp;" "&amp;Milestones!$AB$22&amp;" "&amp;IF(AND(Milestones!$AB$22="FT",Milestones!$AA$22=FT_Y5,EDATE($D146,Milestones!$AA$22)&lt;PolicyEff),1,Milestones!$AC$22)&amp;";  ","")&amp;IF(AND(EDATE($D146,Milestones!$AA$23)&lt;=AsOfDate,EDATE($D146,Milestones!$AA$23)&gt;=SchemeStart,IF($X146=0,$AD146,IF(AND($Z146&lt;&gt;"",EDATE($D146,Milestones!$AA$23)&gt;=$Z146),$AC146,IF(AND($Y146&lt;&gt;"",EDATE($D146,Milestones!$AA$23)&gt;=$Y146),$AB146,$AA146)))=Milestones!$AB$23),UPPER(TEXT(EDATE($D146,Milestones!$AA$23),"dd mmm yy"))&amp;" "&amp;Milestones!$AB$23&amp;" "&amp;IF(AND(Milestones!$AB$23="FT",Milestones!$AA$23=FT_Y5,EDATE($D146,Milestones!$AA$23)&lt;PolicyEff),1,Milestones!$AC$23)&amp;";  ","")&amp;IF(AND(EDATE($D146,Milestones!$AA$24)&lt;=AsOfDate,EDATE($D146,Milestones!$AA$24)&gt;=SchemeStart,IF($X146=0,$AD146,IF(AND($Z146&lt;&gt;"",EDATE($D146,Milestones!$AA$24)&gt;=$Z146),$AC146,IF(AND($Y146&lt;&gt;"",EDATE($D146,Milestones!$AA$24)&gt;=$Y146),$AB146,$AA146)))=Milestones!$AB$24),UPPER(TEXT(EDATE($D146,Milestones!$AA$24),"dd mmm yy"))&amp;" "&amp;Milestones!$AB$24&amp;" "&amp;IF(AND(Milestones!$AB$24="FT",Milestones!$AA$24=FT_Y5,EDATE($D146,Milestones!$AA$24)&lt;PolicyEff),1,Milestones!$AC$24)&amp;";  ","")&amp;IF(AND(EDATE($D146,Milestones!$AA$25)&lt;=AsOfDate,EDATE($D146,Milestones!$AA$25)&gt;=SchemeStart,IF($X146=0,$AD146,IF(AND($Z146&lt;&gt;"",EDATE($D146,Milestones!$AA$25)&gt;=$Z146),$AC146,IF(AND($Y146&lt;&gt;"",EDATE($D146,Milestones!$AA$25)&gt;=$Y146),$AB146,$AA146)))=Milestones!$AB$25),UPPER(TEXT(EDATE($D146,Milestones!$AA$25),"dd mmm yy"))&amp;" "&amp;Milestones!$AB$25&amp;" "&amp;IF(AND(Milestones!$AB$25="FT",Milestones!$AA$25=FT_Y5,EDATE($D146,Milestones!$AA$25)&lt;PolicyEff),1,Milestones!$AC$25)&amp;";  ","")&amp;IF(AND(EDATE($D146,Milestones!$AA$26)&lt;=AsOfDate,EDATE($D146,Milestones!$AA$26)&gt;=SchemeStart,IF($X146=0,$AD146,IF(AND($Z146&lt;&gt;"",EDATE($D146,Milestones!$AA$26)&gt;=$Z146),$AC146,IF(AND($Y146&lt;&gt;"",EDATE($D146,Milestones!$AA$26)&gt;=$Y146),$AB146,$AA146)))=Milestones!$AB$26),UPPER(TEXT(EDATE($D146,Milestones!$AA$26),"dd mmm yy"))&amp;" "&amp;Milestones!$AB$26&amp;" "&amp;IF(AND(Milestones!$AB$26="FT",Milestones!$AA$26=FT_Y5,EDATE($D146,Milestones!$AA$26)&lt;PolicyEff),1,Milestones!$AC$26)&amp;";  ","")&amp;IF(AND(EDATE($D146,Milestones!$AA$27)&lt;=AsOfDate,EDATE($D146,Milestones!$AA$27)&gt;=SchemeStart,IF($X146=0,$AD146,IF(AND($Z146&lt;&gt;"",EDATE($D146,Milestones!$AA$27)&gt;=$Z146),$AC146,IF(AND($Y146&lt;&gt;"",EDATE($D146,Milestones!$AA$27)&gt;=$Y146),$AB146,$AA146)))=Milestones!$AB$27),UPPER(TEXT(EDATE($D146,Milestones!$AA$27),"dd mmm yy"))&amp;" "&amp;Milestones!$AB$27&amp;" "&amp;IF(AND(Milestones!$AB$27="FT",Milestones!$AA$27=FT_Y5,EDATE($D146,Milestones!$AA$27)&lt;PolicyEff),1,Milestones!$AC$27)&amp;";  ","")&amp;IF(AND(EDATE($D146,Milestones!$AA$28)&lt;=AsOfDate,EDATE($D146,Milestones!$AA$28)&gt;=SchemeStart,IF($X146=0,$AD146,IF(AND($Z146&lt;&gt;"",EDATE($D146,Milestones!$AA$28)&gt;=$Z146),$AC146,IF(AND($Y146&lt;&gt;"",EDATE($D146,Milestones!$AA$28)&gt;=$Y146),$AB146,$AA146)))=Milestones!$AB$28),UPPER(TEXT(EDATE($D146,Milestones!$AA$28),"dd mmm yy"))&amp;" "&amp;Milestones!$AB$28&amp;" "&amp;IF(AND(Milestones!$AB$28="FT",Milestones!$AA$28=FT_Y5,EDATE($D146,Milestones!$AA$28)&lt;PolicyEff),1,Milestones!$AC$28)&amp;";  ","")&amp;IF(AND(EDATE($D146,Milestones!$AA$29)&lt;=AsOfDate,EDATE($D146,Milestones!$AA$29)&gt;=SchemeStart,IF($X146=0,$AD146,IF(AND($Z146&lt;&gt;"",EDATE($D146,Milestones!$AA$29)&gt;=$Z146),$AC146,IF(AND($Y146&lt;&gt;"",EDATE($D146,Milestones!$AA$29)&gt;=$Y146),$AB146,$AA146)))=Milestones!$AB$29),UPPER(TEXT(EDATE($D146,Milestones!$AA$29),"dd mmm yy"))&amp;" "&amp;Milestones!$AB$29&amp;" "&amp;IF(AND(Milestones!$AB$29="FT",Milestones!$AA$29=FT_Y5,EDATE($D146,Milestones!$AA$29)&lt;PolicyEff),1,Milestones!$AC$29)&amp;";  ","")&amp;IF(AND(EDATE($D146,Milestones!$AA$30)&lt;=AsOfDate,EDATE($D146,Milestones!$AA$30)&gt;=SchemeStart,IF($X146=0,$AD146,IF(AND($Z146&lt;&gt;"",EDATE($D146,Milestones!$AA$30)&gt;=$Z146),$AC146,IF(AND($Y146&lt;&gt;"",EDATE($D146,Milestones!$AA$30)&gt;=$Y146),$AB146,$AA146)))=Milestones!$AB$30),UPPER(TEXT(EDATE($D146,Milestones!$AA$30),"dd mmm yy"))&amp;" "&amp;Milestones!$AB$30&amp;" "&amp;IF(AND(Milestones!$AB$30="FT",Milestones!$AA$30=FT_Y5,EDATE($D146,Milestones!$AA$30)&lt;PolicyEff),1,Milestones!$AC$30)&amp;";  ","")&amp;IF(AND(EDATE($D146,Milestones!$AA$31)&lt;=AsOfDate,EDATE($D146,Milestones!$AA$31)&gt;=SchemeStart,IF($X146=0,$AD146,IF(AND($Z146&lt;&gt;"",EDATE($D146,Milestones!$AA$31)&gt;=$Z146),$AC146,IF(AND($Y146&lt;&gt;"",EDATE($D146,Milestones!$AA$31)&gt;=$Y146),$AB146,$AA146)))=Milestones!$AB$31),UPPER(TEXT(EDATE($D146,Milestones!$AA$31),"dd mmm yy"))&amp;" "&amp;Milestones!$AB$31&amp;" "&amp;IF(AND(Milestones!$AB$31="FT",Milestones!$AA$31=FT_Y5,EDATE($D146,Milestones!$AA$31)&lt;PolicyEff),1,Milestones!$AC$31)&amp;";  ",""))</f>
        <v/>
      </c>
      <c r="J146" s="0" t="str">
        <f aca="false">IF(OR($A146="",$D146=""),"",IF(AND(EDATE($D146,Milestones!$AA$32)&lt;=AsOfDate,EDATE($D146,Milestones!$AA$32)&gt;=SchemeStart,IF($X146=0,$AD146,IF(AND($Z146&lt;&gt;"",EDATE($D146,Milestones!$AA$32)&gt;=$Z146),$AC146,IF(AND($Y146&lt;&gt;"",EDATE($D146,Milestones!$AA$32)&gt;=$Y146),$AB146,$AA146)))=Milestones!$AB$32),UPPER(TEXT(EDATE($D146,Milestones!$AA$32),"dd mmm yy"))&amp;" "&amp;Milestones!$AB$32&amp;" "&amp;IF(AND(Milestones!$AB$32="FT",Milestones!$AA$32=FT_Y5,EDATE($D146,Milestones!$AA$32)&lt;PolicyEff),1,Milestones!$AC$32)&amp;";  ","")&amp;IF(AND(EDATE($D146,Milestones!$AA$33)&lt;=AsOfDate,EDATE($D146,Milestones!$AA$33)&gt;=SchemeStart,IF($X146=0,$AD146,IF(AND($Z146&lt;&gt;"",EDATE($D146,Milestones!$AA$33)&gt;=$Z146),$AC146,IF(AND($Y146&lt;&gt;"",EDATE($D146,Milestones!$AA$33)&gt;=$Y146),$AB146,$AA146)))=Milestones!$AB$33),UPPER(TEXT(EDATE($D146,Milestones!$AA$33),"dd mmm yy"))&amp;" "&amp;Milestones!$AB$33&amp;" "&amp;IF(AND(Milestones!$AB$33="FT",Milestones!$AA$33=FT_Y5,EDATE($D146,Milestones!$AA$33)&lt;PolicyEff),1,Milestones!$AC$33)&amp;";  ","")&amp;IF(AND(EDATE($D146,Milestones!$AA$34)&lt;=AsOfDate,EDATE($D146,Milestones!$AA$34)&gt;=SchemeStart,IF($X146=0,$AD146,IF(AND($Z146&lt;&gt;"",EDATE($D146,Milestones!$AA$34)&gt;=$Z146),$AC146,IF(AND($Y146&lt;&gt;"",EDATE($D146,Milestones!$AA$34)&gt;=$Y146),$AB146,$AA146)))=Milestones!$AB$34),UPPER(TEXT(EDATE($D146,Milestones!$AA$34),"dd mmm yy"))&amp;" "&amp;Milestones!$AB$34&amp;" "&amp;IF(AND(Milestones!$AB$34="FT",Milestones!$AA$34=FT_Y5,EDATE($D146,Milestones!$AA$34)&lt;PolicyEff),1,Milestones!$AC$34)&amp;";  ","")&amp;IF(AND(EDATE($D146,Milestones!$AA$35)&lt;=AsOfDate,EDATE($D146,Milestones!$AA$35)&gt;=SchemeStart,IF($X146=0,$AD146,IF(AND($Z146&lt;&gt;"",EDATE($D146,Milestones!$AA$35)&gt;=$Z146),$AC146,IF(AND($Y146&lt;&gt;"",EDATE($D146,Milestones!$AA$35)&gt;=$Y146),$AB146,$AA146)))=Milestones!$AB$35),UPPER(TEXT(EDATE($D146,Milestones!$AA$35),"dd mmm yy"))&amp;" "&amp;Milestones!$AB$35&amp;" "&amp;IF(AND(Milestones!$AB$35="FT",Milestones!$AA$35=FT_Y5,EDATE($D146,Milestones!$AA$35)&lt;PolicyEff),1,Milestones!$AC$35)&amp;";  ","")&amp;IF(AND(EDATE($D146,Milestones!$AA$36)&lt;=AsOfDate,EDATE($D146,Milestones!$AA$36)&gt;=SchemeStart,IF($X146=0,$AD146,IF(AND($Z146&lt;&gt;"",EDATE($D146,Milestones!$AA$36)&gt;=$Z146),$AC146,IF(AND($Y146&lt;&gt;"",EDATE($D146,Milestones!$AA$36)&gt;=$Y146),$AB146,$AA146)))=Milestones!$AB$36),UPPER(TEXT(EDATE($D146,Milestones!$AA$36),"dd mmm yy"))&amp;" "&amp;Milestones!$AB$36&amp;" "&amp;IF(AND(Milestones!$AB$36="FT",Milestones!$AA$36=FT_Y5,EDATE($D146,Milestones!$AA$36)&lt;PolicyEff),1,Milestones!$AC$36)&amp;";  ","")&amp;IF(AND(EDATE($D146,Milestones!$AA$37)&lt;=AsOfDate,EDATE($D146,Milestones!$AA$37)&gt;=SchemeStart,IF($X146=0,$AD146,IF(AND($Z146&lt;&gt;"",EDATE($D146,Milestones!$AA$37)&gt;=$Z146),$AC146,IF(AND($Y146&lt;&gt;"",EDATE($D146,Milestones!$AA$37)&gt;=$Y146),$AB146,$AA146)))=Milestones!$AB$37),UPPER(TEXT(EDATE($D146,Milestones!$AA$37),"dd mmm yy"))&amp;" "&amp;Milestones!$AB$37&amp;" "&amp;IF(AND(Milestones!$AB$37="FT",Milestones!$AA$37=FT_Y5,EDATE($D146,Milestones!$AA$37)&lt;PolicyEff),1,Milestones!$AC$37)&amp;";  ","")&amp;IF(AND(EDATE($D146,Milestones!$AA$38)&lt;=AsOfDate,EDATE($D146,Milestones!$AA$38)&gt;=SchemeStart,IF($X146=0,$AD146,IF(AND($Z146&lt;&gt;"",EDATE($D146,Milestones!$AA$38)&gt;=$Z146),$AC146,IF(AND($Y146&lt;&gt;"",EDATE($D146,Milestones!$AA$38)&gt;=$Y146),$AB146,$AA146)))=Milestones!$AB$38),UPPER(TEXT(EDATE($D146,Milestones!$AA$38),"dd mmm yy"))&amp;" "&amp;Milestones!$AB$38&amp;" "&amp;IF(AND(Milestones!$AB$38="FT",Milestones!$AA$38=FT_Y5,EDATE($D146,Milestones!$AA$38)&lt;PolicyEff),1,Milestones!$AC$38)&amp;";  ","")&amp;IF(AND(EDATE($D146,Milestones!$AA$39)&lt;=AsOfDate,EDATE($D146,Milestones!$AA$39)&gt;=SchemeStart,IF($X146=0,$AD146,IF(AND($Z146&lt;&gt;"",EDATE($D146,Milestones!$AA$39)&gt;=$Z146),$AC146,IF(AND($Y146&lt;&gt;"",EDATE($D146,Milestones!$AA$39)&gt;=$Y146),$AB146,$AA146)))=Milestones!$AB$39),UPPER(TEXT(EDATE($D146,Milestones!$AA$39),"dd mmm yy"))&amp;" "&amp;Milestones!$AB$39&amp;" "&amp;IF(AND(Milestones!$AB$39="FT",Milestones!$AA$39=FT_Y5,EDATE($D146,Milestones!$AA$39)&lt;PolicyEff),1,Milestones!$AC$39)&amp;";  ","")&amp;IF(AND(EDATE($D146,Milestones!$AA$40)&lt;=AsOfDate,EDATE($D146,Milestones!$AA$40)&gt;=SchemeStart,IF($X146=0,$AD146,IF(AND($Z146&lt;&gt;"",EDATE($D146,Milestones!$AA$40)&gt;=$Z146),$AC146,IF(AND($Y146&lt;&gt;"",EDATE($D146,Milestones!$AA$40)&gt;=$Y146),$AB146,$AA146)))=Milestones!$AB$40),UPPER(TEXT(EDATE($D146,Milestones!$AA$40),"dd mmm yy"))&amp;" "&amp;Milestones!$AB$40&amp;" "&amp;IF(AND(Milestones!$AB$40="FT",Milestones!$AA$40=FT_Y5,EDATE($D146,Milestones!$AA$40)&lt;PolicyEff),1,Milestones!$AC$40)&amp;";  ","")&amp;IF(AND(EDATE($D146,Milestones!$AA$41)&lt;=AsOfDate,EDATE($D146,Milestones!$AA$41)&gt;=SchemeStart,IF($X146=0,$AD146,IF(AND($Z146&lt;&gt;"",EDATE($D146,Milestones!$AA$41)&gt;=$Z146),$AC146,IF(AND($Y146&lt;&gt;"",EDATE($D146,Milestones!$AA$41)&gt;=$Y146),$AB146,$AA146)))=Milestones!$AB$41),UPPER(TEXT(EDATE($D146,Milestones!$AA$41),"dd mmm yy"))&amp;" "&amp;Milestones!$AB$41&amp;" "&amp;IF(AND(Milestones!$AB$41="FT",Milestones!$AA$41=FT_Y5,EDATE($D146,Milestones!$AA$41)&lt;PolicyEff),1,Milestones!$AC$41)&amp;";  ","")&amp;IF(AND(EDATE($D146,Milestones!$AA$42)&lt;=AsOfDate,EDATE($D146,Milestones!$AA$42)&gt;=SchemeStart,IF($X146=0,$AD146,IF(AND($Z146&lt;&gt;"",EDATE($D146,Milestones!$AA$42)&gt;=$Z146),$AC146,IF(AND($Y146&lt;&gt;"",EDATE($D146,Milestones!$AA$42)&gt;=$Y146),$AB146,$AA146)))=Milestones!$AB$42),UPPER(TEXT(EDATE($D146,Milestones!$AA$42),"dd mmm yy"))&amp;" "&amp;Milestones!$AB$42&amp;" "&amp;IF(AND(Milestones!$AB$42="FT",Milestones!$AA$42=FT_Y5,EDATE($D146,Milestones!$AA$42)&lt;PolicyEff),1,Milestones!$AC$42)&amp;";  ","")&amp;IF(AND(EDATE($D146,Milestones!$AA$43)&lt;=AsOfDate,EDATE($D146,Milestones!$AA$43)&gt;=SchemeStart,IF($X146=0,$AD146,IF(AND($Z146&lt;&gt;"",EDATE($D146,Milestones!$AA$43)&gt;=$Z146),$AC146,IF(AND($Y146&lt;&gt;"",EDATE($D146,Milestones!$AA$43)&gt;=$Y146),$AB146,$AA146)))=Milestones!$AB$43),UPPER(TEXT(EDATE($D146,Milestones!$AA$43),"dd mmm yy"))&amp;" "&amp;Milestones!$AB$43&amp;" "&amp;IF(AND(Milestones!$AB$43="FT",Milestones!$AA$43=FT_Y5,EDATE($D146,Milestones!$AA$43)&lt;PolicyEff),1,Milestones!$AC$43)&amp;";  ",""))</f>
        <v/>
      </c>
      <c r="K146" s="0" t="str">
        <f aca="false">IF(OR($A146="",$D146=""),"",IF(AND(EDATE($D146,Milestones!$AA$44)&lt;=AsOfDate,EDATE($D146,Milestones!$AA$44)&gt;=SchemeStart,IF($X146=0,$AD146,IF(AND($Z146&lt;&gt;"",EDATE($D146,Milestones!$AA$44)&gt;=$Z146),$AC146,IF(AND($Y146&lt;&gt;"",EDATE($D146,Milestones!$AA$44)&gt;=$Y146),$AB146,$AA146)))=Milestones!$AB$44),UPPER(TEXT(EDATE($D146,Milestones!$AA$44),"dd mmm yy"))&amp;" "&amp;Milestones!$AB$44&amp;" "&amp;IF(AND(Milestones!$AB$44="FT",Milestones!$AA$44=FT_Y5,EDATE($D146,Milestones!$AA$44)&lt;PolicyEff),1,Milestones!$AC$44)&amp;";  ","")&amp;IF(AND(EDATE($D146,Milestones!$AA$45)&lt;=AsOfDate,EDATE($D146,Milestones!$AA$45)&gt;=SchemeStart,IF($X146=0,$AD146,IF(AND($Z146&lt;&gt;"",EDATE($D146,Milestones!$AA$45)&gt;=$Z146),$AC146,IF(AND($Y146&lt;&gt;"",EDATE($D146,Milestones!$AA$45)&gt;=$Y146),$AB146,$AA146)))=Milestones!$AB$45),UPPER(TEXT(EDATE($D146,Milestones!$AA$45),"dd mmm yy"))&amp;" "&amp;Milestones!$AB$45&amp;" "&amp;IF(AND(Milestones!$AB$45="FT",Milestones!$AA$45=FT_Y5,EDATE($D146,Milestones!$AA$45)&lt;PolicyEff),1,Milestones!$AC$45)&amp;";  ","")&amp;IF(AND(EDATE($D146,Milestones!$AA$46)&lt;=AsOfDate,EDATE($D146,Milestones!$AA$46)&gt;=SchemeStart,IF($X146=0,$AD146,IF(AND($Z146&lt;&gt;"",EDATE($D146,Milestones!$AA$46)&gt;=$Z146),$AC146,IF(AND($Y146&lt;&gt;"",EDATE($D146,Milestones!$AA$46)&gt;=$Y146),$AB146,$AA146)))=Milestones!$AB$46),UPPER(TEXT(EDATE($D146,Milestones!$AA$46),"dd mmm yy"))&amp;" "&amp;Milestones!$AB$46&amp;" "&amp;IF(AND(Milestones!$AB$46="FT",Milestones!$AA$46=FT_Y5,EDATE($D146,Milestones!$AA$46)&lt;PolicyEff),1,Milestones!$AC$46)&amp;";  ","")&amp;IF(AND(EDATE($D146,Milestones!$AA$47)&lt;=AsOfDate,EDATE($D146,Milestones!$AA$47)&gt;=SchemeStart,IF($X146=0,$AD146,IF(AND($Z146&lt;&gt;"",EDATE($D146,Milestones!$AA$47)&gt;=$Z146),$AC146,IF(AND($Y146&lt;&gt;"",EDATE($D146,Milestones!$AA$47)&gt;=$Y146),$AB146,$AA146)))=Milestones!$AB$47),UPPER(TEXT(EDATE($D146,Milestones!$AA$47),"dd mmm yy"))&amp;" "&amp;Milestones!$AB$47&amp;" "&amp;IF(AND(Milestones!$AB$47="FT",Milestones!$AA$47=FT_Y5,EDATE($D146,Milestones!$AA$47)&lt;PolicyEff),1,Milestones!$AC$47)&amp;";  ","")&amp;IF(AND(EDATE($D146,Milestones!$AA$48)&lt;=AsOfDate,EDATE($D146,Milestones!$AA$48)&gt;=SchemeStart,IF($X146=0,$AD146,IF(AND($Z146&lt;&gt;"",EDATE($D146,Milestones!$AA$48)&gt;=$Z146),$AC146,IF(AND($Y146&lt;&gt;"",EDATE($D146,Milestones!$AA$48)&gt;=$Y146),$AB146,$AA146)))=Milestones!$AB$48),UPPER(TEXT(EDATE($D146,Milestones!$AA$48),"dd mmm yy"))&amp;" "&amp;Milestones!$AB$48&amp;" "&amp;IF(AND(Milestones!$AB$48="FT",Milestones!$AA$48=FT_Y5,EDATE($D146,Milestones!$AA$48)&lt;PolicyEff),1,Milestones!$AC$48)&amp;";  ","")&amp;IF(AND(EDATE($D146,Milestones!$AA$49)&lt;=AsOfDate,EDATE($D146,Milestones!$AA$49)&gt;=SchemeStart,IF($X146=0,$AD146,IF(AND($Z146&lt;&gt;"",EDATE($D146,Milestones!$AA$49)&gt;=$Z146),$AC146,IF(AND($Y146&lt;&gt;"",EDATE($D146,Milestones!$AA$49)&gt;=$Y146),$AB146,$AA146)))=Milestones!$AB$49),UPPER(TEXT(EDATE($D146,Milestones!$AA$49),"dd mmm yy"))&amp;" "&amp;Milestones!$AB$49&amp;" "&amp;IF(AND(Milestones!$AB$49="FT",Milestones!$AA$49=FT_Y5,EDATE($D146,Milestones!$AA$49)&lt;PolicyEff),1,Milestones!$AC$49)&amp;";  ","")&amp;IF(AND(EDATE($D146,Milestones!$AA$50)&lt;=AsOfDate,EDATE($D146,Milestones!$AA$50)&gt;=SchemeStart,IF($X146=0,$AD146,IF(AND($Z146&lt;&gt;"",EDATE($D146,Milestones!$AA$50)&gt;=$Z146),$AC146,IF(AND($Y146&lt;&gt;"",EDATE($D146,Milestones!$AA$50)&gt;=$Y146),$AB146,$AA146)))=Milestones!$AB$50),UPPER(TEXT(EDATE($D146,Milestones!$AA$50),"dd mmm yy"))&amp;" "&amp;Milestones!$AB$50&amp;" "&amp;IF(AND(Milestones!$AB$50="FT",Milestones!$AA$50=FT_Y5,EDATE($D146,Milestones!$AA$50)&lt;PolicyEff),1,Milestones!$AC$50)&amp;";  ","")&amp;IF(AND(EDATE($D146,Milestones!$AA$51)&lt;=AsOfDate,EDATE($D146,Milestones!$AA$51)&gt;=SchemeStart,IF($X146=0,$AD146,IF(AND($Z146&lt;&gt;"",EDATE($D146,Milestones!$AA$51)&gt;=$Z146),$AC146,IF(AND($Y146&lt;&gt;"",EDATE($D146,Milestones!$AA$51)&gt;=$Y146),$AB146,$AA146)))=Milestones!$AB$51),UPPER(TEXT(EDATE($D146,Milestones!$AA$51),"dd mmm yy"))&amp;" "&amp;Milestones!$AB$51&amp;" "&amp;IF(AND(Milestones!$AB$51="FT",Milestones!$AA$51=FT_Y5,EDATE($D146,Milestones!$AA$51)&lt;PolicyEff),1,Milestones!$AC$51)&amp;";  ","")&amp;IF(AND(EDATE($D146,Milestones!$AA$52)&lt;=AsOfDate,EDATE($D146,Milestones!$AA$52)&gt;=SchemeStart,IF($X146=0,$AD146,IF(AND($Z146&lt;&gt;"",EDATE($D146,Milestones!$AA$52)&gt;=$Z146),$AC146,IF(AND($Y146&lt;&gt;"",EDATE($D146,Milestones!$AA$52)&gt;=$Y146),$AB146,$AA146)))=Milestones!$AB$52),UPPER(TEXT(EDATE($D146,Milestones!$AA$52),"dd mmm yy"))&amp;" "&amp;Milestones!$AB$52&amp;" "&amp;IF(AND(Milestones!$AB$52="FT",Milestones!$AA$52=FT_Y5,EDATE($D146,Milestones!$AA$52)&lt;PolicyEff),1,Milestones!$AC$52)&amp;";  ","")&amp;IF(AND(EDATE($D146,Milestones!$AA$53)&lt;=AsOfDate,EDATE($D146,Milestones!$AA$53)&gt;=SchemeStart,IF($X146=0,$AD146,IF(AND($Z146&lt;&gt;"",EDATE($D146,Milestones!$AA$53)&gt;=$Z146),$AC146,IF(AND($Y146&lt;&gt;"",EDATE($D146,Milestones!$AA$53)&gt;=$Y146),$AB146,$AA146)))=Milestones!$AB$53),UPPER(TEXT(EDATE($D146,Milestones!$AA$53),"dd mmm yy"))&amp;" "&amp;Milestones!$AB$53&amp;" "&amp;IF(AND(Milestones!$AB$53="FT",Milestones!$AA$53=FT_Y5,EDATE($D146,Milestones!$AA$53)&lt;PolicyEff),1,Milestones!$AC$53)&amp;";  ","")&amp;IF(AND(EDATE($D146,Milestones!$AA$54)&lt;=AsOfDate,EDATE($D146,Milestones!$AA$54)&gt;=SchemeStart,IF($X146=0,$AD146,IF(AND($Z146&lt;&gt;"",EDATE($D146,Milestones!$AA$54)&gt;=$Z146),$AC146,IF(AND($Y146&lt;&gt;"",EDATE($D146,Milestones!$AA$54)&gt;=$Y146),$AB146,$AA146)))=Milestones!$AB$54),UPPER(TEXT(EDATE($D146,Milestones!$AA$54),"dd mmm yy"))&amp;" "&amp;Milestones!$AB$54&amp;" "&amp;IF(AND(Milestones!$AB$54="FT",Milestones!$AA$54=FT_Y5,EDATE($D146,Milestones!$AA$54)&lt;PolicyEff),1,Milestones!$AC$54)&amp;";  ","")&amp;IF(AND(EDATE($D146,Milestones!$AA$55)&lt;=AsOfDate,EDATE($D146,Milestones!$AA$55)&gt;=SchemeStart,IF($X146=0,$AD146,IF(AND($Z146&lt;&gt;"",EDATE($D146,Milestones!$AA$55)&gt;=$Z146),$AC146,IF(AND($Y146&lt;&gt;"",EDATE($D146,Milestones!$AA$55)&gt;=$Y146),$AB146,$AA146)))=Milestones!$AB$55),UPPER(TEXT(EDATE($D146,Milestones!$AA$55),"dd mmm yy"))&amp;" "&amp;Milestones!$AB$55&amp;" "&amp;IF(AND(Milestones!$AB$55="FT",Milestones!$AA$55=FT_Y5,EDATE($D146,Milestones!$AA$55)&lt;PolicyEff),1,Milestones!$AC$55)&amp;";  ",""))</f>
        <v/>
      </c>
      <c r="L146" s="0" t="str">
        <f aca="false">IF(OR($A146="",$D146=""),"",IF(AND(EDATE($D146,Milestones!$AA$56)&lt;=AsOfDate,EDATE($D146,Milestones!$AA$56)&gt;=SchemeStart,IF($X146=0,$AD146,IF(AND($Z146&lt;&gt;"",EDATE($D146,Milestones!$AA$56)&gt;=$Z146),$AC146,IF(AND($Y146&lt;&gt;"",EDATE($D146,Milestones!$AA$56)&gt;=$Y146),$AB146,$AA146)))=Milestones!$AB$56),UPPER(TEXT(EDATE($D146,Milestones!$AA$56),"dd mmm yy"))&amp;" "&amp;Milestones!$AB$56&amp;" "&amp;IF(AND(Milestones!$AB$56="FT",Milestones!$AA$56=FT_Y5,EDATE($D146,Milestones!$AA$56)&lt;PolicyEff),1,Milestones!$AC$56)&amp;";  ","")&amp;IF(AND(EDATE($D146,Milestones!$AA$57)&lt;=AsOfDate,EDATE($D146,Milestones!$AA$57)&gt;=SchemeStart,IF($X146=0,$AD146,IF(AND($Z146&lt;&gt;"",EDATE($D146,Milestones!$AA$57)&gt;=$Z146),$AC146,IF(AND($Y146&lt;&gt;"",EDATE($D146,Milestones!$AA$57)&gt;=$Y146),$AB146,$AA146)))=Milestones!$AB$57),UPPER(TEXT(EDATE($D146,Milestones!$AA$57),"dd mmm yy"))&amp;" "&amp;Milestones!$AB$57&amp;" "&amp;IF(AND(Milestones!$AB$57="FT",Milestones!$AA$57=FT_Y5,EDATE($D146,Milestones!$AA$57)&lt;PolicyEff),1,Milestones!$AC$57)&amp;";  ","")&amp;IF(AND(EDATE($D146,Milestones!$AA$58)&lt;=AsOfDate,EDATE($D146,Milestones!$AA$58)&gt;=SchemeStart,IF($X146=0,$AD146,IF(AND($Z146&lt;&gt;"",EDATE($D146,Milestones!$AA$58)&gt;=$Z146),$AC146,IF(AND($Y146&lt;&gt;"",EDATE($D146,Milestones!$AA$58)&gt;=$Y146),$AB146,$AA146)))=Milestones!$AB$58),UPPER(TEXT(EDATE($D146,Milestones!$AA$58),"dd mmm yy"))&amp;" "&amp;Milestones!$AB$58&amp;" "&amp;IF(AND(Milestones!$AB$58="FT",Milestones!$AA$58=FT_Y5,EDATE($D146,Milestones!$AA$58)&lt;PolicyEff),1,Milestones!$AC$58)&amp;";  ","")&amp;IF(AND(EDATE($D146,Milestones!$AA$59)&lt;=AsOfDate,EDATE($D146,Milestones!$AA$59)&gt;=SchemeStart,IF($X146=0,$AD146,IF(AND($Z146&lt;&gt;"",EDATE($D146,Milestones!$AA$59)&gt;=$Z146),$AC146,IF(AND($Y146&lt;&gt;"",EDATE($D146,Milestones!$AA$59)&gt;=$Y146),$AB146,$AA146)))=Milestones!$AB$59),UPPER(TEXT(EDATE($D146,Milestones!$AA$59),"dd mmm yy"))&amp;" "&amp;Milestones!$AB$59&amp;" "&amp;IF(AND(Milestones!$AB$59="FT",Milestones!$AA$59=FT_Y5,EDATE($D146,Milestones!$AA$59)&lt;PolicyEff),1,Milestones!$AC$59)&amp;";  ","")&amp;IF(AND(EDATE($D146,Milestones!$AA$60)&lt;=AsOfDate,EDATE($D146,Milestones!$AA$60)&gt;=SchemeStart,IF($X146=0,$AD146,IF(AND($Z146&lt;&gt;"",EDATE($D146,Milestones!$AA$60)&gt;=$Z146),$AC146,IF(AND($Y146&lt;&gt;"",EDATE($D146,Milestones!$AA$60)&gt;=$Y146),$AB146,$AA146)))=Milestones!$AB$60),UPPER(TEXT(EDATE($D146,Milestones!$AA$60),"dd mmm yy"))&amp;" "&amp;Milestones!$AB$60&amp;" "&amp;IF(AND(Milestones!$AB$60="FT",Milestones!$AA$60=FT_Y5,EDATE($D146,Milestones!$AA$60)&lt;PolicyEff),1,Milestones!$AC$60)&amp;";  ","")&amp;IF(AND(EDATE($D146,Milestones!$AA$61)&lt;=AsOfDate,EDATE($D146,Milestones!$AA$61)&gt;=SchemeStart,IF($X146=0,$AD146,IF(AND($Z146&lt;&gt;"",EDATE($D146,Milestones!$AA$61)&gt;=$Z146),$AC146,IF(AND($Y146&lt;&gt;"",EDATE($D146,Milestones!$AA$61)&gt;=$Y146),$AB146,$AA146)))=Milestones!$AB$61),UPPER(TEXT(EDATE($D146,Milestones!$AA$61),"dd mmm yy"))&amp;" "&amp;Milestones!$AB$61&amp;" "&amp;IF(AND(Milestones!$AB$61="FT",Milestones!$AA$61=FT_Y5,EDATE($D146,Milestones!$AA$61)&lt;PolicyEff),1,Milestones!$AC$61)&amp;";  ","")&amp;IF(AND(EDATE($D146,Milestones!$AA$62)&lt;=AsOfDate,EDATE($D146,Milestones!$AA$62)&gt;=SchemeStart,IF($X146=0,$AD146,IF(AND($Z146&lt;&gt;"",EDATE($D146,Milestones!$AA$62)&gt;=$Z146),$AC146,IF(AND($Y146&lt;&gt;"",EDATE($D146,Milestones!$AA$62)&gt;=$Y146),$AB146,$AA146)))=Milestones!$AB$62),UPPER(TEXT(EDATE($D146,Milestones!$AA$62),"dd mmm yy"))&amp;" "&amp;Milestones!$AB$62&amp;" "&amp;IF(AND(Milestones!$AB$62="FT",Milestones!$AA$62=FT_Y5,EDATE($D146,Milestones!$AA$62)&lt;PolicyEff),1,Milestones!$AC$62)&amp;";  ","")&amp;IF(AND(EDATE($D146,Milestones!$AA$63)&lt;=AsOfDate,EDATE($D146,Milestones!$AA$63)&gt;=SchemeStart,IF($X146=0,$AD146,IF(AND($Z146&lt;&gt;"",EDATE($D146,Milestones!$AA$63)&gt;=$Z146),$AC146,IF(AND($Y146&lt;&gt;"",EDATE($D146,Milestones!$AA$63)&gt;=$Y146),$AB146,$AA146)))=Milestones!$AB$63),UPPER(TEXT(EDATE($D146,Milestones!$AA$63),"dd mmm yy"))&amp;" "&amp;Milestones!$AB$63&amp;" "&amp;IF(AND(Milestones!$AB$63="FT",Milestones!$AA$63=FT_Y5,EDATE($D146,Milestones!$AA$63)&lt;PolicyEff),1,Milestones!$AC$63)&amp;";  ","")&amp;IF(AND(EDATE($D146,Milestones!$AA$64)&lt;=AsOfDate,EDATE($D146,Milestones!$AA$64)&gt;=SchemeStart,IF($X146=0,$AD146,IF(AND($Z146&lt;&gt;"",EDATE($D146,Milestones!$AA$64)&gt;=$Z146),$AC146,IF(AND($Y146&lt;&gt;"",EDATE($D146,Milestones!$AA$64)&gt;=$Y146),$AB146,$AA146)))=Milestones!$AB$64),UPPER(TEXT(EDATE($D146,Milestones!$AA$64),"dd mmm yy"))&amp;" "&amp;Milestones!$AB$64&amp;" "&amp;IF(AND(Milestones!$AB$64="FT",Milestones!$AA$64=FT_Y5,EDATE($D146,Milestones!$AA$64)&lt;PolicyEff),1,Milestones!$AC$64)&amp;";  ","")&amp;IF(AND(EDATE($D146,Milestones!$AA$65)&lt;=AsOfDate,EDATE($D146,Milestones!$AA$65)&gt;=SchemeStart,IF($X146=0,$AD146,IF(AND($Z146&lt;&gt;"",EDATE($D146,Milestones!$AA$65)&gt;=$Z146),$AC146,IF(AND($Y146&lt;&gt;"",EDATE($D146,Milestones!$AA$65)&gt;=$Y146),$AB146,$AA146)))=Milestones!$AB$65),UPPER(TEXT(EDATE($D146,Milestones!$AA$65),"dd mmm yy"))&amp;" "&amp;Milestones!$AB$65&amp;" "&amp;IF(AND(Milestones!$AB$65="FT",Milestones!$AA$65=FT_Y5,EDATE($D146,Milestones!$AA$65)&lt;PolicyEff),1,Milestones!$AC$65)&amp;";  ","")&amp;IF(AND(EDATE($D146,Milestones!$AA$66)&lt;=AsOfDate,EDATE($D146,Milestones!$AA$66)&gt;=SchemeStart,IF($X146=0,$AD146,IF(AND($Z146&lt;&gt;"",EDATE($D146,Milestones!$AA$66)&gt;=$Z146),$AC146,IF(AND($Y146&lt;&gt;"",EDATE($D146,Milestones!$AA$66)&gt;=$Y146),$AB146,$AA146)))=Milestones!$AB$66),UPPER(TEXT(EDATE($D146,Milestones!$AA$66),"dd mmm yy"))&amp;" "&amp;Milestones!$AB$66&amp;" "&amp;IF(AND(Milestones!$AB$66="FT",Milestones!$AA$66=FT_Y5,EDATE($D146,Milestones!$AA$66)&lt;PolicyEff),1,Milestones!$AC$66)&amp;";  ","")&amp;IF(AND(EDATE($D146,Milestones!$AA$67)&lt;=AsOfDate,EDATE($D146,Milestones!$AA$67)&gt;=SchemeStart,IF($X146=0,$AD146,IF(AND($Z146&lt;&gt;"",EDATE($D146,Milestones!$AA$67)&gt;=$Z146),$AC146,IF(AND($Y146&lt;&gt;"",EDATE($D146,Milestones!$AA$67)&gt;=$Y146),$AB146,$AA146)))=Milestones!$AB$67),UPPER(TEXT(EDATE($D146,Milestones!$AA$67),"dd mmm yy"))&amp;" "&amp;Milestones!$AB$67&amp;" "&amp;IF(AND(Milestones!$AB$67="FT",Milestones!$AA$67=FT_Y5,EDATE($D146,Milestones!$AA$67)&lt;PolicyEff),1,Milestones!$AC$67)&amp;";  ",""))</f>
        <v/>
      </c>
      <c r="M146" s="0" t="str">
        <f aca="false">IF(OR($A146="",$D146=""),"",IF(AND(EDATE($D146,Milestones!$AA$68)&lt;=AsOfDate,EDATE($D146,Milestones!$AA$68)&gt;=SchemeStart,IF($X146=0,$AD146,IF(AND($Z146&lt;&gt;"",EDATE($D146,Milestones!$AA$68)&gt;=$Z146),$AC146,IF(AND($Y146&lt;&gt;"",EDATE($D146,Milestones!$AA$68)&gt;=$Y146),$AB146,$AA146)))=Milestones!$AB$68),UPPER(TEXT(EDATE($D146,Milestones!$AA$68),"dd mmm yy"))&amp;" "&amp;Milestones!$AB$68&amp;" "&amp;IF(AND(Milestones!$AB$68="FT",Milestones!$AA$68=FT_Y5,EDATE($D146,Milestones!$AA$68)&lt;PolicyEff),1,Milestones!$AC$68)&amp;";  ","")&amp;IF(AND(EDATE($D146,Milestones!$AA$69)&lt;=AsOfDate,EDATE($D146,Milestones!$AA$69)&gt;=SchemeStart,IF($X146=0,$AD146,IF(AND($Z146&lt;&gt;"",EDATE($D146,Milestones!$AA$69)&gt;=$Z146),$AC146,IF(AND($Y146&lt;&gt;"",EDATE($D146,Milestones!$AA$69)&gt;=$Y146),$AB146,$AA146)))=Milestones!$AB$69),UPPER(TEXT(EDATE($D146,Milestones!$AA$69),"dd mmm yy"))&amp;" "&amp;Milestones!$AB$69&amp;" "&amp;IF(AND(Milestones!$AB$69="FT",Milestones!$AA$69=FT_Y5,EDATE($D146,Milestones!$AA$69)&lt;PolicyEff),1,Milestones!$AC$69)&amp;";  ","")&amp;IF(AND(EDATE($D146,Milestones!$AA$70)&lt;=AsOfDate,EDATE($D146,Milestones!$AA$70)&gt;=SchemeStart,IF($X146=0,$AD146,IF(AND($Z146&lt;&gt;"",EDATE($D146,Milestones!$AA$70)&gt;=$Z146),$AC146,IF(AND($Y146&lt;&gt;"",EDATE($D146,Milestones!$AA$70)&gt;=$Y146),$AB146,$AA146)))=Milestones!$AB$70),UPPER(TEXT(EDATE($D146,Milestones!$AA$70),"dd mmm yy"))&amp;" "&amp;Milestones!$AB$70&amp;" "&amp;IF(AND(Milestones!$AB$70="FT",Milestones!$AA$70=FT_Y5,EDATE($D146,Milestones!$AA$70)&lt;PolicyEff),1,Milestones!$AC$70)&amp;";  ","")&amp;IF(AND(EDATE($D146,Milestones!$AA$71)&lt;=AsOfDate,EDATE($D146,Milestones!$AA$71)&gt;=SchemeStart,IF($X146=0,$AD146,IF(AND($Z146&lt;&gt;"",EDATE($D146,Milestones!$AA$71)&gt;=$Z146),$AC146,IF(AND($Y146&lt;&gt;"",EDATE($D146,Milestones!$AA$71)&gt;=$Y146),$AB146,$AA146)))=Milestones!$AB$71),UPPER(TEXT(EDATE($D146,Milestones!$AA$71),"dd mmm yy"))&amp;" "&amp;Milestones!$AB$71&amp;" "&amp;IF(AND(Milestones!$AB$71="FT",Milestones!$AA$71=FT_Y5,EDATE($D146,Milestones!$AA$71)&lt;PolicyEff),1,Milestones!$AC$71)&amp;";  ","")&amp;IF(AND(EDATE($D146,Milestones!$AA$72)&lt;=AsOfDate,EDATE($D146,Milestones!$AA$72)&gt;=SchemeStart,IF($X146=0,$AD146,IF(AND($Z146&lt;&gt;"",EDATE($D146,Milestones!$AA$72)&gt;=$Z146),$AC146,IF(AND($Y146&lt;&gt;"",EDATE($D146,Milestones!$AA$72)&gt;=$Y146),$AB146,$AA146)))=Milestones!$AB$72),UPPER(TEXT(EDATE($D146,Milestones!$AA$72),"dd mmm yy"))&amp;" "&amp;Milestones!$AB$72&amp;" "&amp;IF(AND(Milestones!$AB$72="FT",Milestones!$AA$72=FT_Y5,EDATE($D146,Milestones!$AA$72)&lt;PolicyEff),1,Milestones!$AC$72)&amp;";  ","")&amp;IF(AND(EDATE($D146,Milestones!$AA$73)&lt;=AsOfDate,EDATE($D146,Milestones!$AA$73)&gt;=SchemeStart,IF($X146=0,$AD146,IF(AND($Z146&lt;&gt;"",EDATE($D146,Milestones!$AA$73)&gt;=$Z146),$AC146,IF(AND($Y146&lt;&gt;"",EDATE($D146,Milestones!$AA$73)&gt;=$Y146),$AB146,$AA146)))=Milestones!$AB$73),UPPER(TEXT(EDATE($D146,Milestones!$AA$73),"dd mmm yy"))&amp;" "&amp;Milestones!$AB$73&amp;" "&amp;IF(AND(Milestones!$AB$73="FT",Milestones!$AA$73=FT_Y5,EDATE($D146,Milestones!$AA$73)&lt;PolicyEff),1,Milestones!$AC$73)&amp;";  ","")&amp;IF(AND(EDATE($D146,Milestones!$AA$74)&lt;=AsOfDate,EDATE($D146,Milestones!$AA$74)&gt;=SchemeStart,IF($X146=0,$AD146,IF(AND($Z146&lt;&gt;"",EDATE($D146,Milestones!$AA$74)&gt;=$Z146),$AC146,IF(AND($Y146&lt;&gt;"",EDATE($D146,Milestones!$AA$74)&gt;=$Y146),$AB146,$AA146)))=Milestones!$AB$74),UPPER(TEXT(EDATE($D146,Milestones!$AA$74),"dd mmm yy"))&amp;" "&amp;Milestones!$AB$74&amp;" "&amp;IF(AND(Milestones!$AB$74="FT",Milestones!$AA$74=FT_Y5,EDATE($D146,Milestones!$AA$74)&lt;PolicyEff),1,Milestones!$AC$74)&amp;";  ","")&amp;IF(AND(EDATE($D146,Milestones!$AA$75)&lt;=AsOfDate,EDATE($D146,Milestones!$AA$75)&gt;=SchemeStart,IF($X146=0,$AD146,IF(AND($Z146&lt;&gt;"",EDATE($D146,Milestones!$AA$75)&gt;=$Z146),$AC146,IF(AND($Y146&lt;&gt;"",EDATE($D146,Milestones!$AA$75)&gt;=$Y146),$AB146,$AA146)))=Milestones!$AB$75),UPPER(TEXT(EDATE($D146,Milestones!$AA$75),"dd mmm yy"))&amp;" "&amp;Milestones!$AB$75&amp;" "&amp;IF(AND(Milestones!$AB$75="FT",Milestones!$AA$75=FT_Y5,EDATE($D146,Milestones!$AA$75)&lt;PolicyEff),1,Milestones!$AC$75)&amp;";  ","")&amp;IF(AND(EDATE($D146,Milestones!$AA$76)&lt;=AsOfDate,EDATE($D146,Milestones!$AA$76)&gt;=SchemeStart,IF($X146=0,$AD146,IF(AND($Z146&lt;&gt;"",EDATE($D146,Milestones!$AA$76)&gt;=$Z146),$AC146,IF(AND($Y146&lt;&gt;"",EDATE($D146,Milestones!$AA$76)&gt;=$Y146),$AB146,$AA146)))=Milestones!$AB$76),UPPER(TEXT(EDATE($D146,Milestones!$AA$76),"dd mmm yy"))&amp;" "&amp;Milestones!$AB$76&amp;" "&amp;IF(AND(Milestones!$AB$76="FT",Milestones!$AA$76=FT_Y5,EDATE($D146,Milestones!$AA$76)&lt;PolicyEff),1,Milestones!$AC$76)&amp;";  ","")&amp;IF(AND(EDATE($D146,Milestones!$AA$77)&lt;=AsOfDate,EDATE($D146,Milestones!$AA$77)&gt;=SchemeStart,IF($X146=0,$AD146,IF(AND($Z146&lt;&gt;"",EDATE($D146,Milestones!$AA$77)&gt;=$Z146),$AC146,IF(AND($Y146&lt;&gt;"",EDATE($D146,Milestones!$AA$77)&gt;=$Y146),$AB146,$AA146)))=Milestones!$AB$77),UPPER(TEXT(EDATE($D146,Milestones!$AA$77),"dd mmm yy"))&amp;" "&amp;Milestones!$AB$77&amp;" "&amp;IF(AND(Milestones!$AB$77="FT",Milestones!$AA$77=FT_Y5,EDATE($D146,Milestones!$AA$77)&lt;PolicyEff),1,Milestones!$AC$77)&amp;";  ","")&amp;IF(AND(EDATE($D146,Milestones!$AA$78)&lt;=AsOfDate,EDATE($D146,Milestones!$AA$78)&gt;=SchemeStart,IF($X146=0,$AD146,IF(AND($Z146&lt;&gt;"",EDATE($D146,Milestones!$AA$78)&gt;=$Z146),$AC146,IF(AND($Y146&lt;&gt;"",EDATE($D146,Milestones!$AA$78)&gt;=$Y146),$AB146,$AA146)))=Milestones!$AB$78),UPPER(TEXT(EDATE($D146,Milestones!$AA$78),"dd mmm yy"))&amp;" "&amp;Milestones!$AB$78&amp;" "&amp;IF(AND(Milestones!$AB$78="FT",Milestones!$AA$78=FT_Y5,EDATE($D146,Milestones!$AA$78)&lt;PolicyEff),1,Milestones!$AC$78)&amp;";  ","")&amp;IF(AND(EDATE($D146,Milestones!$AA$79)&lt;=AsOfDate,EDATE($D146,Milestones!$AA$79)&gt;=SchemeStart,IF($X146=0,$AD146,IF(AND($Z146&lt;&gt;"",EDATE($D146,Milestones!$AA$79)&gt;=$Z146),$AC146,IF(AND($Y146&lt;&gt;"",EDATE($D146,Milestones!$AA$79)&gt;=$Y146),$AB146,$AA146)))=Milestones!$AB$79),UPPER(TEXT(EDATE($D146,Milestones!$AA$79),"dd mmm yy"))&amp;" "&amp;Milestones!$AB$79&amp;" "&amp;IF(AND(Milestones!$AB$79="FT",Milestones!$AA$79=FT_Y5,EDATE($D146,Milestones!$AA$79)&lt;PolicyEff),1,Milestones!$AC$79)&amp;";  ",""))</f>
        <v/>
      </c>
      <c r="N146" s="0" t="str">
        <f aca="false">IF(OR($A146="",$D146=""),"",IF(AND(EDATE($D146,Milestones!$AA$80)&lt;=AsOfDate,EDATE($D146,Milestones!$AA$80)&gt;=SchemeStart,IF($X146=0,$AD146,IF(AND($Z146&lt;&gt;"",EDATE($D146,Milestones!$AA$80)&gt;=$Z146),$AC146,IF(AND($Y146&lt;&gt;"",EDATE($D146,Milestones!$AA$80)&gt;=$Y146),$AB146,$AA146)))=Milestones!$AB$80),UPPER(TEXT(EDATE($D146,Milestones!$AA$80),"dd mmm yy"))&amp;" "&amp;Milestones!$AB$80&amp;" "&amp;IF(AND(Milestones!$AB$80="FT",Milestones!$AA$80=FT_Y5,EDATE($D146,Milestones!$AA$80)&lt;PolicyEff),1,Milestones!$AC$80)&amp;";  ","")&amp;IF(AND(EDATE($D146,Milestones!$AA$81)&lt;=AsOfDate,EDATE($D146,Milestones!$AA$81)&gt;=SchemeStart,IF($X146=0,$AD146,IF(AND($Z146&lt;&gt;"",EDATE($D146,Milestones!$AA$81)&gt;=$Z146),$AC146,IF(AND($Y146&lt;&gt;"",EDATE($D146,Milestones!$AA$81)&gt;=$Y146),$AB146,$AA146)))=Milestones!$AB$81),UPPER(TEXT(EDATE($D146,Milestones!$AA$81),"dd mmm yy"))&amp;" "&amp;Milestones!$AB$81&amp;" "&amp;IF(AND(Milestones!$AB$81="FT",Milestones!$AA$81=FT_Y5,EDATE($D146,Milestones!$AA$81)&lt;PolicyEff),1,Milestones!$AC$81)&amp;";  ","")&amp;IF(AND(EDATE($D146,Milestones!$AA$82)&lt;=AsOfDate,EDATE($D146,Milestones!$AA$82)&gt;=SchemeStart,IF($X146=0,$AD146,IF(AND($Z146&lt;&gt;"",EDATE($D146,Milestones!$AA$82)&gt;=$Z146),$AC146,IF(AND($Y146&lt;&gt;"",EDATE($D146,Milestones!$AA$82)&gt;=$Y146),$AB146,$AA146)))=Milestones!$AB$82),UPPER(TEXT(EDATE($D146,Milestones!$AA$82),"dd mmm yy"))&amp;" "&amp;Milestones!$AB$82&amp;" "&amp;IF(AND(Milestones!$AB$82="FT",Milestones!$AA$82=FT_Y5,EDATE($D146,Milestones!$AA$82)&lt;PolicyEff),1,Milestones!$AC$82)&amp;";  ","")&amp;IF(AND(EDATE($D146,Milestones!$AA$83)&lt;=AsOfDate,EDATE($D146,Milestones!$AA$83)&gt;=SchemeStart,IF($X146=0,$AD146,IF(AND($Z146&lt;&gt;"",EDATE($D146,Milestones!$AA$83)&gt;=$Z146),$AC146,IF(AND($Y146&lt;&gt;"",EDATE($D146,Milestones!$AA$83)&gt;=$Y146),$AB146,$AA146)))=Milestones!$AB$83),UPPER(TEXT(EDATE($D146,Milestones!$AA$83),"dd mmm yy"))&amp;" "&amp;Milestones!$AB$83&amp;" "&amp;IF(AND(Milestones!$AB$83="FT",Milestones!$AA$83=FT_Y5,EDATE($D146,Milestones!$AA$83)&lt;PolicyEff),1,Milestones!$AC$83)&amp;";  ","")&amp;IF(AND(EDATE($D146,Milestones!$AA$84)&lt;=AsOfDate,EDATE($D146,Milestones!$AA$84)&gt;=SchemeStart,IF($X146=0,$AD146,IF(AND($Z146&lt;&gt;"",EDATE($D146,Milestones!$AA$84)&gt;=$Z146),$AC146,IF(AND($Y146&lt;&gt;"",EDATE($D146,Milestones!$AA$84)&gt;=$Y146),$AB146,$AA146)))=Milestones!$AB$84),UPPER(TEXT(EDATE($D146,Milestones!$AA$84),"dd mmm yy"))&amp;" "&amp;Milestones!$AB$84&amp;" "&amp;IF(AND(Milestones!$AB$84="FT",Milestones!$AA$84=FT_Y5,EDATE($D146,Milestones!$AA$84)&lt;PolicyEff),1,Milestones!$AC$84)&amp;";  ","")&amp;IF(AND(EDATE($D146,Milestones!$AA$85)&lt;=AsOfDate,EDATE($D146,Milestones!$AA$85)&gt;=SchemeStart,IF($X146=0,$AD146,IF(AND($Z146&lt;&gt;"",EDATE($D146,Milestones!$AA$85)&gt;=$Z146),$AC146,IF(AND($Y146&lt;&gt;"",EDATE($D146,Milestones!$AA$85)&gt;=$Y146),$AB146,$AA146)))=Milestones!$AB$85),UPPER(TEXT(EDATE($D146,Milestones!$AA$85),"dd mmm yy"))&amp;" "&amp;Milestones!$AB$85&amp;" "&amp;IF(AND(Milestones!$AB$85="FT",Milestones!$AA$85=FT_Y5,EDATE($D146,Milestones!$AA$85)&lt;PolicyEff),1,Milestones!$AC$85)&amp;";  ","")&amp;IF(AND(EDATE($D146,Milestones!$AA$86)&lt;=AsOfDate,EDATE($D146,Milestones!$AA$86)&gt;=SchemeStart,IF($X146=0,$AD146,IF(AND($Z146&lt;&gt;"",EDATE($D146,Milestones!$AA$86)&gt;=$Z146),$AC146,IF(AND($Y146&lt;&gt;"",EDATE($D146,Milestones!$AA$86)&gt;=$Y146),$AB146,$AA146)))=Milestones!$AB$86),UPPER(TEXT(EDATE($D146,Milestones!$AA$86),"dd mmm yy"))&amp;" "&amp;Milestones!$AB$86&amp;" "&amp;IF(AND(Milestones!$AB$86="FT",Milestones!$AA$86=FT_Y5,EDATE($D146,Milestones!$AA$86)&lt;PolicyEff),1,Milestones!$AC$86)&amp;";  ","")&amp;IF(AND(EDATE($D146,Milestones!$AA$87)&lt;=AsOfDate,EDATE($D146,Milestones!$AA$87)&gt;=SchemeStart,IF($X146=0,$AD146,IF(AND($Z146&lt;&gt;"",EDATE($D146,Milestones!$AA$87)&gt;=$Z146),$AC146,IF(AND($Y146&lt;&gt;"",EDATE($D146,Milestones!$AA$87)&gt;=$Y146),$AB146,$AA146)))=Milestones!$AB$87),UPPER(TEXT(EDATE($D146,Milestones!$AA$87),"dd mmm yy"))&amp;" "&amp;Milestones!$AB$87&amp;" "&amp;IF(AND(Milestones!$AB$87="FT",Milestones!$AA$87=FT_Y5,EDATE($D146,Milestones!$AA$87)&lt;PolicyEff),1,Milestones!$AC$87)&amp;";  ","")&amp;IF(AND(EDATE($D146,Milestones!$AA$88)&lt;=AsOfDate,EDATE($D146,Milestones!$AA$88)&gt;=SchemeStart,IF($X146=0,$AD146,IF(AND($Z146&lt;&gt;"",EDATE($D146,Milestones!$AA$88)&gt;=$Z146),$AC146,IF(AND($Y146&lt;&gt;"",EDATE($D146,Milestones!$AA$88)&gt;=$Y146),$AB146,$AA146)))=Milestones!$AB$88),UPPER(TEXT(EDATE($D146,Milestones!$AA$88),"dd mmm yy"))&amp;" "&amp;Milestones!$AB$88&amp;" "&amp;IF(AND(Milestones!$AB$88="FT",Milestones!$AA$88=FT_Y5,EDATE($D146,Milestones!$AA$88)&lt;PolicyEff),1,Milestones!$AC$88)&amp;";  ","")&amp;IF(AND(EDATE($D146,Milestones!$AA$89)&lt;=AsOfDate,EDATE($D146,Milestones!$AA$89)&gt;=SchemeStart,IF($X146=0,$AD146,IF(AND($Z146&lt;&gt;"",EDATE($D146,Milestones!$AA$89)&gt;=$Z146),$AC146,IF(AND($Y146&lt;&gt;"",EDATE($D146,Milestones!$AA$89)&gt;=$Y146),$AB146,$AA146)))=Milestones!$AB$89),UPPER(TEXT(EDATE($D146,Milestones!$AA$89),"dd mmm yy"))&amp;" "&amp;Milestones!$AB$89&amp;" "&amp;IF(AND(Milestones!$AB$89="FT",Milestones!$AA$89=FT_Y5,EDATE($D146,Milestones!$AA$89)&lt;PolicyEff),1,Milestones!$AC$89)&amp;";  ","")&amp;IF(AND(EDATE($D146,Milestones!$AA$90)&lt;=AsOfDate,EDATE($D146,Milestones!$AA$90)&gt;=SchemeStart,IF($X146=0,$AD146,IF(AND($Z146&lt;&gt;"",EDATE($D146,Milestones!$AA$90)&gt;=$Z146),$AC146,IF(AND($Y146&lt;&gt;"",EDATE($D146,Milestones!$AA$90)&gt;=$Y146),$AB146,$AA146)))=Milestones!$AB$90),UPPER(TEXT(EDATE($D146,Milestones!$AA$90),"dd mmm yy"))&amp;" "&amp;Milestones!$AB$90&amp;" "&amp;IF(AND(Milestones!$AB$90="FT",Milestones!$AA$90=FT_Y5,EDATE($D146,Milestones!$AA$90)&lt;PolicyEff),1,Milestones!$AC$90)&amp;";  ","")&amp;IF(AND(EDATE($D146,Milestones!$AA$91)&lt;=AsOfDate,EDATE($D146,Milestones!$AA$91)&gt;=SchemeStart,IF($X146=0,$AD146,IF(AND($Z146&lt;&gt;"",EDATE($D146,Milestones!$AA$91)&gt;=$Z146),$AC146,IF(AND($Y146&lt;&gt;"",EDATE($D146,Milestones!$AA$91)&gt;=$Y146),$AB146,$AA146)))=Milestones!$AB$91),UPPER(TEXT(EDATE($D146,Milestones!$AA$91),"dd mmm yy"))&amp;" "&amp;Milestones!$AB$91&amp;" "&amp;IF(AND(Milestones!$AB$91="FT",Milestones!$AA$91=FT_Y5,EDATE($D146,Milestones!$AA$91)&lt;PolicyEff),1,Milestones!$AC$91)&amp;";  ",""))</f>
        <v/>
      </c>
      <c r="O146" s="0" t="str">
        <f aca="false">IF(OR($A146="",$D146=""),"",IF(AND(EDATE($D146,Milestones!$AA$92)&lt;=AsOfDate,EDATE($D146,Milestones!$AA$92)&gt;=SchemeStart,IF($X146=0,$AD146,IF(AND($Z146&lt;&gt;"",EDATE($D146,Milestones!$AA$92)&gt;=$Z146),$AC146,IF(AND($Y146&lt;&gt;"",EDATE($D146,Milestones!$AA$92)&gt;=$Y146),$AB146,$AA146)))=Milestones!$AB$92),UPPER(TEXT(EDATE($D146,Milestones!$AA$92),"dd mmm yy"))&amp;" "&amp;Milestones!$AB$92&amp;" "&amp;IF(AND(Milestones!$AB$92="FT",Milestones!$AA$92=FT_Y5,EDATE($D146,Milestones!$AA$92)&lt;PolicyEff),1,Milestones!$AC$92)&amp;";  ","")&amp;IF(AND(EDATE($D146,Milestones!$AA$93)&lt;=AsOfDate,EDATE($D146,Milestones!$AA$93)&gt;=SchemeStart,IF($X146=0,$AD146,IF(AND($Z146&lt;&gt;"",EDATE($D146,Milestones!$AA$93)&gt;=$Z146),$AC146,IF(AND($Y146&lt;&gt;"",EDATE($D146,Milestones!$AA$93)&gt;=$Y146),$AB146,$AA146)))=Milestones!$AB$93),UPPER(TEXT(EDATE($D146,Milestones!$AA$93),"dd mmm yy"))&amp;" "&amp;Milestones!$AB$93&amp;" "&amp;IF(AND(Milestones!$AB$93="FT",Milestones!$AA$93=FT_Y5,EDATE($D146,Milestones!$AA$93)&lt;PolicyEff),1,Milestones!$AC$93)&amp;";  ","")&amp;IF(AND(EDATE($D146,Milestones!$AA$94)&lt;=AsOfDate,EDATE($D146,Milestones!$AA$94)&gt;=SchemeStart,IF($X146=0,$AD146,IF(AND($Z146&lt;&gt;"",EDATE($D146,Milestones!$AA$94)&gt;=$Z146),$AC146,IF(AND($Y146&lt;&gt;"",EDATE($D146,Milestones!$AA$94)&gt;=$Y146),$AB146,$AA146)))=Milestones!$AB$94),UPPER(TEXT(EDATE($D146,Milestones!$AA$94),"dd mmm yy"))&amp;" "&amp;Milestones!$AB$94&amp;" "&amp;IF(AND(Milestones!$AB$94="FT",Milestones!$AA$94=FT_Y5,EDATE($D146,Milestones!$AA$94)&lt;PolicyEff),1,Milestones!$AC$94)&amp;";  ","")&amp;IF(AND(EDATE($D146,Milestones!$AA$95)&lt;=AsOfDate,EDATE($D146,Milestones!$AA$95)&gt;=SchemeStart,IF($X146=0,$AD146,IF(AND($Z146&lt;&gt;"",EDATE($D146,Milestones!$AA$95)&gt;=$Z146),$AC146,IF(AND($Y146&lt;&gt;"",EDATE($D146,Milestones!$AA$95)&gt;=$Y146),$AB146,$AA146)))=Milestones!$AB$95),UPPER(TEXT(EDATE($D146,Milestones!$AA$95),"dd mmm yy"))&amp;" "&amp;Milestones!$AB$95&amp;" "&amp;IF(AND(Milestones!$AB$95="FT",Milestones!$AA$95=FT_Y5,EDATE($D146,Milestones!$AA$95)&lt;PolicyEff),1,Milestones!$AC$95)&amp;";  ","")&amp;IF(AND(EDATE($D146,Milestones!$AA$96)&lt;=AsOfDate,EDATE($D146,Milestones!$AA$96)&gt;=SchemeStart,IF($X146=0,$AD146,IF(AND($Z146&lt;&gt;"",EDATE($D146,Milestones!$AA$96)&gt;=$Z146),$AC146,IF(AND($Y146&lt;&gt;"",EDATE($D146,Milestones!$AA$96)&gt;=$Y146),$AB146,$AA146)))=Milestones!$AB$96),UPPER(TEXT(EDATE($D146,Milestones!$AA$96),"dd mmm yy"))&amp;" "&amp;Milestones!$AB$96&amp;" "&amp;IF(AND(Milestones!$AB$96="FT",Milestones!$AA$96=FT_Y5,EDATE($D146,Milestones!$AA$96)&lt;PolicyEff),1,Milestones!$AC$96)&amp;";  ","")&amp;IF(AND(EDATE($D146,Milestones!$AA$97)&lt;=AsOfDate,EDATE($D146,Milestones!$AA$97)&gt;=SchemeStart,IF($X146=0,$AD146,IF(AND($Z146&lt;&gt;"",EDATE($D146,Milestones!$AA$97)&gt;=$Z146),$AC146,IF(AND($Y146&lt;&gt;"",EDATE($D146,Milestones!$AA$97)&gt;=$Y146),$AB146,$AA146)))=Milestones!$AB$97),UPPER(TEXT(EDATE($D146,Milestones!$AA$97),"dd mmm yy"))&amp;" "&amp;Milestones!$AB$97&amp;" "&amp;IF(AND(Milestones!$AB$97="FT",Milestones!$AA$97=FT_Y5,EDATE($D146,Milestones!$AA$97)&lt;PolicyEff),1,Milestones!$AC$97)&amp;";  ","")&amp;IF(AND(EDATE($D146,Milestones!$AA$98)&lt;=AsOfDate,EDATE($D146,Milestones!$AA$98)&gt;=SchemeStart,IF($X146=0,$AD146,IF(AND($Z146&lt;&gt;"",EDATE($D146,Milestones!$AA$98)&gt;=$Z146),$AC146,IF(AND($Y146&lt;&gt;"",EDATE($D146,Milestones!$AA$98)&gt;=$Y146),$AB146,$AA146)))=Milestones!$AB$98),UPPER(TEXT(EDATE($D146,Milestones!$AA$98),"dd mmm yy"))&amp;" "&amp;Milestones!$AB$98&amp;" "&amp;IF(AND(Milestones!$AB$98="FT",Milestones!$AA$98=FT_Y5,EDATE($D146,Milestones!$AA$98)&lt;PolicyEff),1,Milestones!$AC$98)&amp;";  ","")&amp;IF(AND(EDATE($D146,Milestones!$AA$99)&lt;=AsOfDate,EDATE($D146,Milestones!$AA$99)&gt;=SchemeStart,IF($X146=0,$AD146,IF(AND($Z146&lt;&gt;"",EDATE($D146,Milestones!$AA$99)&gt;=$Z146),$AC146,IF(AND($Y146&lt;&gt;"",EDATE($D146,Milestones!$AA$99)&gt;=$Y146),$AB146,$AA146)))=Milestones!$AB$99),UPPER(TEXT(EDATE($D146,Milestones!$AA$99),"dd mmm yy"))&amp;" "&amp;Milestones!$AB$99&amp;" "&amp;IF(AND(Milestones!$AB$99="FT",Milestones!$AA$99=FT_Y5,EDATE($D146,Milestones!$AA$99)&lt;PolicyEff),1,Milestones!$AC$99)&amp;";  ","")&amp;IF(AND(EDATE($D146,Milestones!$AA$100)&lt;=AsOfDate,EDATE($D146,Milestones!$AA$100)&gt;=SchemeStart,IF($X146=0,$AD146,IF(AND($Z146&lt;&gt;"",EDATE($D146,Milestones!$AA$100)&gt;=$Z146),$AC146,IF(AND($Y146&lt;&gt;"",EDATE($D146,Milestones!$AA$100)&gt;=$Y146),$AB146,$AA146)))=Milestones!$AB$100),UPPER(TEXT(EDATE($D146,Milestones!$AA$100),"dd mmm yy"))&amp;" "&amp;Milestones!$AB$100&amp;" "&amp;IF(AND(Milestones!$AB$100="FT",Milestones!$AA$100=FT_Y5,EDATE($D146,Milestones!$AA$100)&lt;PolicyEff),1,Milestones!$AC$100)&amp;";  ","")&amp;IF(AND(EDATE($D146,Milestones!$AA$101)&lt;=AsOfDate,EDATE($D146,Milestones!$AA$101)&gt;=SchemeStart,IF($X146=0,$AD146,IF(AND($Z146&lt;&gt;"",EDATE($D146,Milestones!$AA$101)&gt;=$Z146),$AC146,IF(AND($Y146&lt;&gt;"",EDATE($D146,Milestones!$AA$101)&gt;=$Y146),$AB146,$AA146)))=Milestones!$AB$101),UPPER(TEXT(EDATE($D146,Milestones!$AA$101),"dd mmm yy"))&amp;" "&amp;Milestones!$AB$101&amp;" "&amp;IF(AND(Milestones!$AB$101="FT",Milestones!$AA$101=FT_Y5,EDATE($D146,Milestones!$AA$101)&lt;PolicyEff),1,Milestones!$AC$101)&amp;";  ","")&amp;IF(AND(EDATE($D146,Milestones!$AA$102)&lt;=AsOfDate,EDATE($D146,Milestones!$AA$102)&gt;=SchemeStart,IF($X146=0,$AD146,IF(AND($Z146&lt;&gt;"",EDATE($D146,Milestones!$AA$102)&gt;=$Z146),$AC146,IF(AND($Y146&lt;&gt;"",EDATE($D146,Milestones!$AA$102)&gt;=$Y146),$AB146,$AA146)))=Milestones!$AB$102),UPPER(TEXT(EDATE($D146,Milestones!$AA$102),"dd mmm yy"))&amp;" "&amp;Milestones!$AB$102&amp;" "&amp;IF(AND(Milestones!$AB$102="FT",Milestones!$AA$102=FT_Y5,EDATE($D146,Milestones!$AA$102)&lt;PolicyEff),1,Milestones!$AC$102)&amp;";  ","")&amp;IF(AND(EDATE($D146,Milestones!$AA$103)&lt;=AsOfDate,EDATE($D146,Milestones!$AA$103)&gt;=SchemeStart,IF($X146=0,$AD146,IF(AND($Z146&lt;&gt;"",EDATE($D146,Milestones!$AA$103)&gt;=$Z146),$AC146,IF(AND($Y146&lt;&gt;"",EDATE($D146,Milestones!$AA$103)&gt;=$Y146),$AB146,$AA146)))=Milestones!$AB$103),UPPER(TEXT(EDATE($D146,Milestones!$AA$103),"dd mmm yy"))&amp;" "&amp;Milestones!$AB$103&amp;" "&amp;IF(AND(Milestones!$AB$103="FT",Milestones!$AA$103=FT_Y5,EDATE($D146,Milestones!$AA$103)&lt;PolicyEff),1,Milestones!$AC$103)&amp;";  ",""))</f>
        <v/>
      </c>
      <c r="P146" s="0" t="str">
        <f aca="false">IF(OR($A146="",$D146=""),"",IF(AND(EDATE($D146,Milestones!$AA$104)&lt;=AsOfDate,EDATE($D146,Milestones!$AA$104)&gt;=SchemeStart,IF($X146=0,$AD146,IF(AND($Z146&lt;&gt;"",EDATE($D146,Milestones!$AA$104)&gt;=$Z146),$AC146,IF(AND($Y146&lt;&gt;"",EDATE($D146,Milestones!$AA$104)&gt;=$Y146),$AB146,$AA146)))=Milestones!$AB$104),UPPER(TEXT(EDATE($D146,Milestones!$AA$104),"dd mmm yy"))&amp;" "&amp;Milestones!$AB$104&amp;" "&amp;IF(AND(Milestones!$AB$104="FT",Milestones!$AA$104=FT_Y5,EDATE($D146,Milestones!$AA$104)&lt;PolicyEff),1,Milestones!$AC$104)&amp;";  ","")&amp;IF(AND(EDATE($D146,Milestones!$AA$105)&lt;=AsOfDate,EDATE($D146,Milestones!$AA$105)&gt;=SchemeStart,IF($X146=0,$AD146,IF(AND($Z146&lt;&gt;"",EDATE($D146,Milestones!$AA$105)&gt;=$Z146),$AC146,IF(AND($Y146&lt;&gt;"",EDATE($D146,Milestones!$AA$105)&gt;=$Y146),$AB146,$AA146)))=Milestones!$AB$105),UPPER(TEXT(EDATE($D146,Milestones!$AA$105),"dd mmm yy"))&amp;" "&amp;Milestones!$AB$105&amp;" "&amp;IF(AND(Milestones!$AB$105="FT",Milestones!$AA$105=FT_Y5,EDATE($D146,Milestones!$AA$105)&lt;PolicyEff),1,Milestones!$AC$105)&amp;";  ","")&amp;IF(AND(EDATE($D146,Milestones!$AA$106)&lt;=AsOfDate,EDATE($D146,Milestones!$AA$106)&gt;=SchemeStart,IF($X146=0,$AD146,IF(AND($Z146&lt;&gt;"",EDATE($D146,Milestones!$AA$106)&gt;=$Z146),$AC146,IF(AND($Y146&lt;&gt;"",EDATE($D146,Milestones!$AA$106)&gt;=$Y146),$AB146,$AA146)))=Milestones!$AB$106),UPPER(TEXT(EDATE($D146,Milestones!$AA$106),"dd mmm yy"))&amp;" "&amp;Milestones!$AB$106&amp;" "&amp;IF(AND(Milestones!$AB$106="FT",Milestones!$AA$106=FT_Y5,EDATE($D146,Milestones!$AA$106)&lt;PolicyEff),1,Milestones!$AC$106)&amp;";  ","")&amp;IF(AND(EDATE($D146,Milestones!$AA$107)&lt;=AsOfDate,EDATE($D146,Milestones!$AA$107)&gt;=SchemeStart,IF($X146=0,$AD146,IF(AND($Z146&lt;&gt;"",EDATE($D146,Milestones!$AA$107)&gt;=$Z146),$AC146,IF(AND($Y146&lt;&gt;"",EDATE($D146,Milestones!$AA$107)&gt;=$Y146),$AB146,$AA146)))=Milestones!$AB$107),UPPER(TEXT(EDATE($D146,Milestones!$AA$107),"dd mmm yy"))&amp;" "&amp;Milestones!$AB$107&amp;" "&amp;IF(AND(Milestones!$AB$107="FT",Milestones!$AA$107=FT_Y5,EDATE($D146,Milestones!$AA$107)&lt;PolicyEff),1,Milestones!$AC$107)&amp;";  ","")&amp;IF(AND(EDATE($D146,Milestones!$AA$108)&lt;=AsOfDate,EDATE($D146,Milestones!$AA$108)&gt;=SchemeStart,IF($X146=0,$AD146,IF(AND($Z146&lt;&gt;"",EDATE($D146,Milestones!$AA$108)&gt;=$Z146),$AC146,IF(AND($Y146&lt;&gt;"",EDATE($D146,Milestones!$AA$108)&gt;=$Y146),$AB146,$AA146)))=Milestones!$AB$108),UPPER(TEXT(EDATE($D146,Milestones!$AA$108),"dd mmm yy"))&amp;" "&amp;Milestones!$AB$108&amp;" "&amp;IF(AND(Milestones!$AB$108="FT",Milestones!$AA$108=FT_Y5,EDATE($D146,Milestones!$AA$108)&lt;PolicyEff),1,Milestones!$AC$108)&amp;";  ","")&amp;IF(AND(EDATE($D146,Milestones!$AA$109)&lt;=AsOfDate,EDATE($D146,Milestones!$AA$109)&gt;=SchemeStart,IF($X146=0,$AD146,IF(AND($Z146&lt;&gt;"",EDATE($D146,Milestones!$AA$109)&gt;=$Z146),$AC146,IF(AND($Y146&lt;&gt;"",EDATE($D146,Milestones!$AA$109)&gt;=$Y146),$AB146,$AA146)))=Milestones!$AB$109),UPPER(TEXT(EDATE($D146,Milestones!$AA$109),"dd mmm yy"))&amp;" "&amp;Milestones!$AB$109&amp;" "&amp;IF(AND(Milestones!$AB$109="FT",Milestones!$AA$109=FT_Y5,EDATE($D146,Milestones!$AA$109)&lt;PolicyEff),1,Milestones!$AC$109)&amp;";  ","")&amp;IF(AND(EDATE($D146,Milestones!$AA$110)&lt;=AsOfDate,EDATE($D146,Milestones!$AA$110)&gt;=SchemeStart,IF($X146=0,$AD146,IF(AND($Z146&lt;&gt;"",EDATE($D146,Milestones!$AA$110)&gt;=$Z146),$AC146,IF(AND($Y146&lt;&gt;"",EDATE($D146,Milestones!$AA$110)&gt;=$Y146),$AB146,$AA146)))=Milestones!$AB$110),UPPER(TEXT(EDATE($D146,Milestones!$AA$110),"dd mmm yy"))&amp;" "&amp;Milestones!$AB$110&amp;" "&amp;IF(AND(Milestones!$AB$110="FT",Milestones!$AA$110=FT_Y5,EDATE($D146,Milestones!$AA$110)&lt;PolicyEff),1,Milestones!$AC$110)&amp;";  ","")&amp;IF(AND(EDATE($D146,Milestones!$AA$111)&lt;=AsOfDate,EDATE($D146,Milestones!$AA$111)&gt;=SchemeStart,IF($X146=0,$AD146,IF(AND($Z146&lt;&gt;"",EDATE($D146,Milestones!$AA$111)&gt;=$Z146),$AC146,IF(AND($Y146&lt;&gt;"",EDATE($D146,Milestones!$AA$111)&gt;=$Y146),$AB146,$AA146)))=Milestones!$AB$111),UPPER(TEXT(EDATE($D146,Milestones!$AA$111),"dd mmm yy"))&amp;" "&amp;Milestones!$AB$111&amp;" "&amp;IF(AND(Milestones!$AB$111="FT",Milestones!$AA$111=FT_Y5,EDATE($D146,Milestones!$AA$111)&lt;PolicyEff),1,Milestones!$AC$111)&amp;";  ","")&amp;IF(AND(EDATE($D146,Milestones!$AA$112)&lt;=AsOfDate,EDATE($D146,Milestones!$AA$112)&gt;=SchemeStart,IF($X146=0,$AD146,IF(AND($Z146&lt;&gt;"",EDATE($D146,Milestones!$AA$112)&gt;=$Z146),$AC146,IF(AND($Y146&lt;&gt;"",EDATE($D146,Milestones!$AA$112)&gt;=$Y146),$AB146,$AA146)))=Milestones!$AB$112),UPPER(TEXT(EDATE($D146,Milestones!$AA$112),"dd mmm yy"))&amp;" "&amp;Milestones!$AB$112&amp;" "&amp;IF(AND(Milestones!$AB$112="FT",Milestones!$AA$112=FT_Y5,EDATE($D146,Milestones!$AA$112)&lt;PolicyEff),1,Milestones!$AC$112)&amp;";  ","")&amp;IF(AND(EDATE($D146,Milestones!$AA$113)&lt;=AsOfDate,EDATE($D146,Milestones!$AA$113)&gt;=SchemeStart,IF($X146=0,$AD146,IF(AND($Z146&lt;&gt;"",EDATE($D146,Milestones!$AA$113)&gt;=$Z146),$AC146,IF(AND($Y146&lt;&gt;"",EDATE($D146,Milestones!$AA$113)&gt;=$Y146),$AB146,$AA146)))=Milestones!$AB$113),UPPER(TEXT(EDATE($D146,Milestones!$AA$113),"dd mmm yy"))&amp;" "&amp;Milestones!$AB$113&amp;" "&amp;IF(AND(Milestones!$AB$113="FT",Milestones!$AA$113=FT_Y5,EDATE($D146,Milestones!$AA$113)&lt;PolicyEff),1,Milestones!$AC$113)&amp;";  ","")&amp;IF(AND(EDATE($D146,Milestones!$AA$114)&lt;=AsOfDate,EDATE($D146,Milestones!$AA$114)&gt;=SchemeStart,IF($X146=0,$AD146,IF(AND($Z146&lt;&gt;"",EDATE($D146,Milestones!$AA$114)&gt;=$Z146),$AC146,IF(AND($Y146&lt;&gt;"",EDATE($D146,Milestones!$AA$114)&gt;=$Y146),$AB146,$AA146)))=Milestones!$AB$114),UPPER(TEXT(EDATE($D146,Milestones!$AA$114),"dd mmm yy"))&amp;" "&amp;Milestones!$AB$114&amp;" "&amp;IF(AND(Milestones!$AB$114="FT",Milestones!$AA$114=FT_Y5,EDATE($D146,Milestones!$AA$114)&lt;PolicyEff),1,Milestones!$AC$114)&amp;";  ","")&amp;IF(AND(EDATE($D146,Milestones!$AA$115)&lt;=AsOfDate,EDATE($D146,Milestones!$AA$115)&gt;=SchemeStart,IF($X146=0,$AD146,IF(AND($Z146&lt;&gt;"",EDATE($D146,Milestones!$AA$115)&gt;=$Z146),$AC146,IF(AND($Y146&lt;&gt;"",EDATE($D146,Milestones!$AA$115)&gt;=$Y146),$AB146,$AA146)))=Milestones!$AB$115),UPPER(TEXT(EDATE($D146,Milestones!$AA$115),"dd mmm yy"))&amp;" "&amp;Milestones!$AB$115&amp;" "&amp;IF(AND(Milestones!$AB$115="FT",Milestones!$AA$115=FT_Y5,EDATE($D146,Milestones!$AA$115)&lt;PolicyEff),1,Milestones!$AC$115)&amp;";  ",""))</f>
        <v/>
      </c>
      <c r="Q146" s="0" t="str">
        <f aca="false">IF(OR($A146="",$D146=""),"",IF(AND(EDATE($D146,Milestones!$AA$116)&lt;=AsOfDate,EDATE($D146,Milestones!$AA$116)&gt;=SchemeStart,IF($X146=0,$AD146,IF(AND($Z146&lt;&gt;"",EDATE($D146,Milestones!$AA$116)&gt;=$Z146),$AC146,IF(AND($Y146&lt;&gt;"",EDATE($D146,Milestones!$AA$116)&gt;=$Y146),$AB146,$AA146)))=Milestones!$AB$116),UPPER(TEXT(EDATE($D146,Milestones!$AA$116),"dd mmm yy"))&amp;" "&amp;Milestones!$AB$116&amp;" "&amp;IF(AND(Milestones!$AB$116="FT",Milestones!$AA$116=FT_Y5,EDATE($D146,Milestones!$AA$116)&lt;PolicyEff),1,Milestones!$AC$116)&amp;";  ","")&amp;IF(AND(EDATE($D146,Milestones!$AA$117)&lt;=AsOfDate,EDATE($D146,Milestones!$AA$117)&gt;=SchemeStart,IF($X146=0,$AD146,IF(AND($Z146&lt;&gt;"",EDATE($D146,Milestones!$AA$117)&gt;=$Z146),$AC146,IF(AND($Y146&lt;&gt;"",EDATE($D146,Milestones!$AA$117)&gt;=$Y146),$AB146,$AA146)))=Milestones!$AB$117),UPPER(TEXT(EDATE($D146,Milestones!$AA$117),"dd mmm yy"))&amp;" "&amp;Milestones!$AB$117&amp;" "&amp;IF(AND(Milestones!$AB$117="FT",Milestones!$AA$117=FT_Y5,EDATE($D146,Milestones!$AA$117)&lt;PolicyEff),1,Milestones!$AC$117)&amp;";  ","")&amp;IF(AND(EDATE($D146,Milestones!$AA$118)&lt;=AsOfDate,EDATE($D146,Milestones!$AA$118)&gt;=SchemeStart,IF($X146=0,$AD146,IF(AND($Z146&lt;&gt;"",EDATE($D146,Milestones!$AA$118)&gt;=$Z146),$AC146,IF(AND($Y146&lt;&gt;"",EDATE($D146,Milestones!$AA$118)&gt;=$Y146),$AB146,$AA146)))=Milestones!$AB$118),UPPER(TEXT(EDATE($D146,Milestones!$AA$118),"dd mmm yy"))&amp;" "&amp;Milestones!$AB$118&amp;" "&amp;IF(AND(Milestones!$AB$118="FT",Milestones!$AA$118=FT_Y5,EDATE($D146,Milestones!$AA$118)&lt;PolicyEff),1,Milestones!$AC$118)&amp;";  ","")&amp;IF(AND(EDATE($D146,Milestones!$AA$119)&lt;=AsOfDate,EDATE($D146,Milestones!$AA$119)&gt;=SchemeStart,IF($X146=0,$AD146,IF(AND($Z146&lt;&gt;"",EDATE($D146,Milestones!$AA$119)&gt;=$Z146),$AC146,IF(AND($Y146&lt;&gt;"",EDATE($D146,Milestones!$AA$119)&gt;=$Y146),$AB146,$AA146)))=Milestones!$AB$119),UPPER(TEXT(EDATE($D146,Milestones!$AA$119),"dd mmm yy"))&amp;" "&amp;Milestones!$AB$119&amp;" "&amp;IF(AND(Milestones!$AB$119="FT",Milestones!$AA$119=FT_Y5,EDATE($D146,Milestones!$AA$119)&lt;PolicyEff),1,Milestones!$AC$119)&amp;";  ","")&amp;IF(AND(EDATE($D146,Milestones!$AA$120)&lt;=AsOfDate,EDATE($D146,Milestones!$AA$120)&gt;=SchemeStart,IF($X146=0,$AD146,IF(AND($Z146&lt;&gt;"",EDATE($D146,Milestones!$AA$120)&gt;=$Z146),$AC146,IF(AND($Y146&lt;&gt;"",EDATE($D146,Milestones!$AA$120)&gt;=$Y146),$AB146,$AA146)))=Milestones!$AB$120),UPPER(TEXT(EDATE($D146,Milestones!$AA$120),"dd mmm yy"))&amp;" "&amp;Milestones!$AB$120&amp;" "&amp;IF(AND(Milestones!$AB$120="FT",Milestones!$AA$120=FT_Y5,EDATE($D146,Milestones!$AA$120)&lt;PolicyEff),1,Milestones!$AC$120)&amp;";  ","")&amp;IF(AND(EDATE($D146,Milestones!$AA$121)&lt;=AsOfDate,EDATE($D146,Milestones!$AA$121)&gt;=SchemeStart,IF($X146=0,$AD146,IF(AND($Z146&lt;&gt;"",EDATE($D146,Milestones!$AA$121)&gt;=$Z146),$AC146,IF(AND($Y146&lt;&gt;"",EDATE($D146,Milestones!$AA$121)&gt;=$Y146),$AB146,$AA146)))=Milestones!$AB$121),UPPER(TEXT(EDATE($D146,Milestones!$AA$121),"dd mmm yy"))&amp;" "&amp;Milestones!$AB$121&amp;" "&amp;IF(AND(Milestones!$AB$121="FT",Milestones!$AA$121=FT_Y5,EDATE($D146,Milestones!$AA$121)&lt;PolicyEff),1,Milestones!$AC$121)&amp;";  ","")&amp;IF(AND(EDATE($D146,Milestones!$AA$122)&lt;=AsOfDate,EDATE($D146,Milestones!$AA$122)&gt;=SchemeStart,IF($X146=0,$AD146,IF(AND($Z146&lt;&gt;"",EDATE($D146,Milestones!$AA$122)&gt;=$Z146),$AC146,IF(AND($Y146&lt;&gt;"",EDATE($D146,Milestones!$AA$122)&gt;=$Y146),$AB146,$AA146)))=Milestones!$AB$122),UPPER(TEXT(EDATE($D146,Milestones!$AA$122),"dd mmm yy"))&amp;" "&amp;Milestones!$AB$122&amp;" "&amp;IF(AND(Milestones!$AB$122="FT",Milestones!$AA$122=FT_Y5,EDATE($D146,Milestones!$AA$122)&lt;PolicyEff),1,Milestones!$AC$122)&amp;";  ","")&amp;IF(AND(EDATE($D146,Milestones!$AA$123)&lt;=AsOfDate,EDATE($D146,Milestones!$AA$123)&gt;=SchemeStart,IF($X146=0,$AD146,IF(AND($Z146&lt;&gt;"",EDATE($D146,Milestones!$AA$123)&gt;=$Z146),$AC146,IF(AND($Y146&lt;&gt;"",EDATE($D146,Milestones!$AA$123)&gt;=$Y146),$AB146,$AA146)))=Milestones!$AB$123),UPPER(TEXT(EDATE($D146,Milestones!$AA$123),"dd mmm yy"))&amp;" "&amp;Milestones!$AB$123&amp;" "&amp;IF(AND(Milestones!$AB$123="FT",Milestones!$AA$123=FT_Y5,EDATE($D146,Milestones!$AA$123)&lt;PolicyEff),1,Milestones!$AC$123)&amp;";  ","")&amp;IF(AND(EDATE($D146,Milestones!$AA$124)&lt;=AsOfDate,EDATE($D146,Milestones!$AA$124)&gt;=SchemeStart,IF($X146=0,$AD146,IF(AND($Z146&lt;&gt;"",EDATE($D146,Milestones!$AA$124)&gt;=$Z146),$AC146,IF(AND($Y146&lt;&gt;"",EDATE($D146,Milestones!$AA$124)&gt;=$Y146),$AB146,$AA146)))=Milestones!$AB$124),UPPER(TEXT(EDATE($D146,Milestones!$AA$124),"dd mmm yy"))&amp;" "&amp;Milestones!$AB$124&amp;" "&amp;IF(AND(Milestones!$AB$124="FT",Milestones!$AA$124=FT_Y5,EDATE($D146,Milestones!$AA$124)&lt;PolicyEff),1,Milestones!$AC$124)&amp;";  ","")&amp;IF(AND(EDATE($D146,Milestones!$AA$125)&lt;=AsOfDate,EDATE($D146,Milestones!$AA$125)&gt;=SchemeStart,IF($X146=0,$AD146,IF(AND($Z146&lt;&gt;"",EDATE($D146,Milestones!$AA$125)&gt;=$Z146),$AC146,IF(AND($Y146&lt;&gt;"",EDATE($D146,Milestones!$AA$125)&gt;=$Y146),$AB146,$AA146)))=Milestones!$AB$125),UPPER(TEXT(EDATE($D146,Milestones!$AA$125),"dd mmm yy"))&amp;" "&amp;Milestones!$AB$125&amp;" "&amp;IF(AND(Milestones!$AB$125="FT",Milestones!$AA$125=FT_Y5,EDATE($D146,Milestones!$AA$125)&lt;PolicyEff),1,Milestones!$AC$125)&amp;";  ","")&amp;IF(AND(EDATE($D146,Milestones!$AA$126)&lt;=AsOfDate,EDATE($D146,Milestones!$AA$126)&gt;=SchemeStart,IF($X146=0,$AD146,IF(AND($Z146&lt;&gt;"",EDATE($D146,Milestones!$AA$126)&gt;=$Z146),$AC146,IF(AND($Y146&lt;&gt;"",EDATE($D146,Milestones!$AA$126)&gt;=$Y146),$AB146,$AA146)))=Milestones!$AB$126),UPPER(TEXT(EDATE($D146,Milestones!$AA$126),"dd mmm yy"))&amp;" "&amp;Milestones!$AB$126&amp;" "&amp;IF(AND(Milestones!$AB$126="FT",Milestones!$AA$126=FT_Y5,EDATE($D146,Milestones!$AA$126)&lt;PolicyEff),1,Milestones!$AC$126)&amp;";  ","")&amp;IF(AND(EDATE($D146,Milestones!$AA$127)&lt;=AsOfDate,EDATE($D146,Milestones!$AA$127)&gt;=SchemeStart,IF($X146=0,$AD146,IF(AND($Z146&lt;&gt;"",EDATE($D146,Milestones!$AA$127)&gt;=$Z146),$AC146,IF(AND($Y146&lt;&gt;"",EDATE($D146,Milestones!$AA$127)&gt;=$Y146),$AB146,$AA146)))=Milestones!$AB$127),UPPER(TEXT(EDATE($D146,Milestones!$AA$127),"dd mmm yy"))&amp;" "&amp;Milestones!$AB$127&amp;" "&amp;IF(AND(Milestones!$AB$127="FT",Milestones!$AA$127=FT_Y5,EDATE($D146,Milestones!$AA$127)&lt;PolicyEff),1,Milestones!$AC$127)&amp;";  ",""))</f>
        <v/>
      </c>
      <c r="R146" s="0" t="str">
        <f aca="false">IF(OR($A146="",$D146=""),"",IF(AND(EDATE($D146,Milestones!$AA$128)&lt;=AsOfDate,EDATE($D146,Milestones!$AA$128)&gt;=SchemeStart,IF($X146=0,$AD146,IF(AND($Z146&lt;&gt;"",EDATE($D146,Milestones!$AA$128)&gt;=$Z146),$AC146,IF(AND($Y146&lt;&gt;"",EDATE($D146,Milestones!$AA$128)&gt;=$Y146),$AB146,$AA146)))=Milestones!$AB$128),UPPER(TEXT(EDATE($D146,Milestones!$AA$128),"dd mmm yy"))&amp;" "&amp;Milestones!$AB$128&amp;" "&amp;IF(AND(Milestones!$AB$128="FT",Milestones!$AA$128=FT_Y5,EDATE($D146,Milestones!$AA$128)&lt;PolicyEff),1,Milestones!$AC$128)&amp;";  ","")&amp;IF(AND(EDATE($D146,Milestones!$AA$129)&lt;=AsOfDate,EDATE($D146,Milestones!$AA$129)&gt;=SchemeStart,IF($X146=0,$AD146,IF(AND($Z146&lt;&gt;"",EDATE($D146,Milestones!$AA$129)&gt;=$Z146),$AC146,IF(AND($Y146&lt;&gt;"",EDATE($D146,Milestones!$AA$129)&gt;=$Y146),$AB146,$AA146)))=Milestones!$AB$129),UPPER(TEXT(EDATE($D146,Milestones!$AA$129),"dd mmm yy"))&amp;" "&amp;Milestones!$AB$129&amp;" "&amp;IF(AND(Milestones!$AB$129="FT",Milestones!$AA$129=FT_Y5,EDATE($D146,Milestones!$AA$129)&lt;PolicyEff),1,Milestones!$AC$129)&amp;";  ","")&amp;IF(AND(EDATE($D146,Milestones!$AA$130)&lt;=AsOfDate,EDATE($D146,Milestones!$AA$130)&gt;=SchemeStart,IF($X146=0,$AD146,IF(AND($Z146&lt;&gt;"",EDATE($D146,Milestones!$AA$130)&gt;=$Z146),$AC146,IF(AND($Y146&lt;&gt;"",EDATE($D146,Milestones!$AA$130)&gt;=$Y146),$AB146,$AA146)))=Milestones!$AB$130),UPPER(TEXT(EDATE($D146,Milestones!$AA$130),"dd mmm yy"))&amp;" "&amp;Milestones!$AB$130&amp;" "&amp;IF(AND(Milestones!$AB$130="FT",Milestones!$AA$130=FT_Y5,EDATE($D146,Milestones!$AA$130)&lt;PolicyEff),1,Milestones!$AC$130)&amp;";  ","")&amp;IF(AND(EDATE($D146,Milestones!$AA$131)&lt;=AsOfDate,EDATE($D146,Milestones!$AA$131)&gt;=SchemeStart,IF($X146=0,$AD146,IF(AND($Z146&lt;&gt;"",EDATE($D146,Milestones!$AA$131)&gt;=$Z146),$AC146,IF(AND($Y146&lt;&gt;"",EDATE($D146,Milestones!$AA$131)&gt;=$Y146),$AB146,$AA146)))=Milestones!$AB$131),UPPER(TEXT(EDATE($D146,Milestones!$AA$131),"dd mmm yy"))&amp;" "&amp;Milestones!$AB$131&amp;" "&amp;IF(AND(Milestones!$AB$131="FT",Milestones!$AA$131=FT_Y5,EDATE($D146,Milestones!$AA$131)&lt;PolicyEff),1,Milestones!$AC$131)&amp;";  ","")&amp;IF(AND(EDATE($D146,Milestones!$AA$132)&lt;=AsOfDate,EDATE($D146,Milestones!$AA$132)&gt;=SchemeStart,IF($X146=0,$AD146,IF(AND($Z146&lt;&gt;"",EDATE($D146,Milestones!$AA$132)&gt;=$Z146),$AC146,IF(AND($Y146&lt;&gt;"",EDATE($D146,Milestones!$AA$132)&gt;=$Y146),$AB146,$AA146)))=Milestones!$AB$132),UPPER(TEXT(EDATE($D146,Milestones!$AA$132),"dd mmm yy"))&amp;" "&amp;Milestones!$AB$132&amp;" "&amp;IF(AND(Milestones!$AB$132="FT",Milestones!$AA$132=FT_Y5,EDATE($D146,Milestones!$AA$132)&lt;PolicyEff),1,Milestones!$AC$132)&amp;";  ","")&amp;IF(AND(EDATE($D146,Milestones!$AA$133)&lt;=AsOfDate,EDATE($D146,Milestones!$AA$133)&gt;=SchemeStart,IF($X146=0,$AD146,IF(AND($Z146&lt;&gt;"",EDATE($D146,Milestones!$AA$133)&gt;=$Z146),$AC146,IF(AND($Y146&lt;&gt;"",EDATE($D146,Milestones!$AA$133)&gt;=$Y146),$AB146,$AA146)))=Milestones!$AB$133),UPPER(TEXT(EDATE($D146,Milestones!$AA$133),"dd mmm yy"))&amp;" "&amp;Milestones!$AB$133&amp;" "&amp;IF(AND(Milestones!$AB$133="FT",Milestones!$AA$133=FT_Y5,EDATE($D146,Milestones!$AA$133)&lt;PolicyEff),1,Milestones!$AC$133)&amp;";  ","")&amp;IF(AND(EDATE($D146,Milestones!$AA$134)&lt;=AsOfDate,EDATE($D146,Milestones!$AA$134)&gt;=SchemeStart,IF($X146=0,$AD146,IF(AND($Z146&lt;&gt;"",EDATE($D146,Milestones!$AA$134)&gt;=$Z146),$AC146,IF(AND($Y146&lt;&gt;"",EDATE($D146,Milestones!$AA$134)&gt;=$Y146),$AB146,$AA146)))=Milestones!$AB$134),UPPER(TEXT(EDATE($D146,Milestones!$AA$134),"dd mmm yy"))&amp;" "&amp;Milestones!$AB$134&amp;" "&amp;IF(AND(Milestones!$AB$134="FT",Milestones!$AA$134=FT_Y5,EDATE($D146,Milestones!$AA$134)&lt;PolicyEff),1,Milestones!$AC$134)&amp;";  ","")&amp;IF(AND(EDATE($D146,Milestones!$AA$135)&lt;=AsOfDate,EDATE($D146,Milestones!$AA$135)&gt;=SchemeStart,IF($X146=0,$AD146,IF(AND($Z146&lt;&gt;"",EDATE($D146,Milestones!$AA$135)&gt;=$Z146),$AC146,IF(AND($Y146&lt;&gt;"",EDATE($D146,Milestones!$AA$135)&gt;=$Y146),$AB146,$AA146)))=Milestones!$AB$135),UPPER(TEXT(EDATE($D146,Milestones!$AA$135),"dd mmm yy"))&amp;" "&amp;Milestones!$AB$135&amp;" "&amp;IF(AND(Milestones!$AB$135="FT",Milestones!$AA$135=FT_Y5,EDATE($D146,Milestones!$AA$135)&lt;PolicyEff),1,Milestones!$AC$135)&amp;";  ","")&amp;IF(AND(EDATE($D146,Milestones!$AA$136)&lt;=AsOfDate,EDATE($D146,Milestones!$AA$136)&gt;=SchemeStart,IF($X146=0,$AD146,IF(AND($Z146&lt;&gt;"",EDATE($D146,Milestones!$AA$136)&gt;=$Z146),$AC146,IF(AND($Y146&lt;&gt;"",EDATE($D146,Milestones!$AA$136)&gt;=$Y146),$AB146,$AA146)))=Milestones!$AB$136),UPPER(TEXT(EDATE($D146,Milestones!$AA$136),"dd mmm yy"))&amp;" "&amp;Milestones!$AB$136&amp;" "&amp;IF(AND(Milestones!$AB$136="FT",Milestones!$AA$136=FT_Y5,EDATE($D146,Milestones!$AA$136)&lt;PolicyEff),1,Milestones!$AC$136)&amp;";  ","")&amp;IF(AND(EDATE($D146,Milestones!$AA$137)&lt;=AsOfDate,EDATE($D146,Milestones!$AA$137)&gt;=SchemeStart,IF($X146=0,$AD146,IF(AND($Z146&lt;&gt;"",EDATE($D146,Milestones!$AA$137)&gt;=$Z146),$AC146,IF(AND($Y146&lt;&gt;"",EDATE($D146,Milestones!$AA$137)&gt;=$Y146),$AB146,$AA146)))=Milestones!$AB$137),UPPER(TEXT(EDATE($D146,Milestones!$AA$137),"dd mmm yy"))&amp;" "&amp;Milestones!$AB$137&amp;" "&amp;IF(AND(Milestones!$AB$137="FT",Milestones!$AA$137=FT_Y5,EDATE($D146,Milestones!$AA$137)&lt;PolicyEff),1,Milestones!$AC$137)&amp;";  ","")&amp;IF(AND(EDATE($D146,Milestones!$AA$138)&lt;=AsOfDate,EDATE($D146,Milestones!$AA$138)&gt;=SchemeStart,IF($X146=0,$AD146,IF(AND($Z146&lt;&gt;"",EDATE($D146,Milestones!$AA$138)&gt;=$Z146),$AC146,IF(AND($Y146&lt;&gt;"",EDATE($D146,Milestones!$AA$138)&gt;=$Y146),$AB146,$AA146)))=Milestones!$AB$138),UPPER(TEXT(EDATE($D146,Milestones!$AA$138),"dd mmm yy"))&amp;" "&amp;Milestones!$AB$138&amp;" "&amp;IF(AND(Milestones!$AB$138="FT",Milestones!$AA$138=FT_Y5,EDATE($D146,Milestones!$AA$138)&lt;PolicyEff),1,Milestones!$AC$138)&amp;";  ","")&amp;IF(AND(EDATE($D146,Milestones!$AA$139)&lt;=AsOfDate,EDATE($D146,Milestones!$AA$139)&gt;=SchemeStart,IF($X146=0,$AD146,IF(AND($Z146&lt;&gt;"",EDATE($D146,Milestones!$AA$139)&gt;=$Z146),$AC146,IF(AND($Y146&lt;&gt;"",EDATE($D146,Milestones!$AA$139)&gt;=$Y146),$AB146,$AA146)))=Milestones!$AB$139),UPPER(TEXT(EDATE($D146,Milestones!$AA$139),"dd mmm yy"))&amp;" "&amp;Milestones!$AB$139&amp;" "&amp;IF(AND(Milestones!$AB$139="FT",Milestones!$AA$139=FT_Y5,EDATE($D146,Milestones!$AA$139)&lt;PolicyEff),1,Milestones!$AC$139)&amp;";  ",""))</f>
        <v/>
      </c>
      <c r="S146" s="0" t="str">
        <f aca="false">IF(OR($A146="",$D146=""),"",IF(AND(EDATE($D146,Milestones!$AA$140)&lt;=AsOfDate,EDATE($D146,Milestones!$AA$140)&gt;=SchemeStart,IF($X146=0,$AD146,IF(AND($Z146&lt;&gt;"",EDATE($D146,Milestones!$AA$140)&gt;=$Z146),$AC146,IF(AND($Y146&lt;&gt;"",EDATE($D146,Milestones!$AA$140)&gt;=$Y146),$AB146,$AA146)))=Milestones!$AB$140),UPPER(TEXT(EDATE($D146,Milestones!$AA$140),"dd mmm yy"))&amp;" "&amp;Milestones!$AB$140&amp;" "&amp;IF(AND(Milestones!$AB$140="FT",Milestones!$AA$140=FT_Y5,EDATE($D146,Milestones!$AA$140)&lt;PolicyEff),1,Milestones!$AC$140)&amp;";  ","")&amp;IF(AND(EDATE($D146,Milestones!$AA$141)&lt;=AsOfDate,EDATE($D146,Milestones!$AA$141)&gt;=SchemeStart,IF($X146=0,$AD146,IF(AND($Z146&lt;&gt;"",EDATE($D146,Milestones!$AA$141)&gt;=$Z146),$AC146,IF(AND($Y146&lt;&gt;"",EDATE($D146,Milestones!$AA$141)&gt;=$Y146),$AB146,$AA146)))=Milestones!$AB$141),UPPER(TEXT(EDATE($D146,Milestones!$AA$141),"dd mmm yy"))&amp;" "&amp;Milestones!$AB$141&amp;" "&amp;IF(AND(Milestones!$AB$141="FT",Milestones!$AA$141=FT_Y5,EDATE($D146,Milestones!$AA$141)&lt;PolicyEff),1,Milestones!$AC$141)&amp;";  ","")&amp;IF(AND(EDATE($D146,Milestones!$AA$142)&lt;=AsOfDate,EDATE($D146,Milestones!$AA$142)&gt;=SchemeStart,IF($X146=0,$AD146,IF(AND($Z146&lt;&gt;"",EDATE($D146,Milestones!$AA$142)&gt;=$Z146),$AC146,IF(AND($Y146&lt;&gt;"",EDATE($D146,Milestones!$AA$142)&gt;=$Y146),$AB146,$AA146)))=Milestones!$AB$142),UPPER(TEXT(EDATE($D146,Milestones!$AA$142),"dd mmm yy"))&amp;" "&amp;Milestones!$AB$142&amp;" "&amp;IF(AND(Milestones!$AB$142="FT",Milestones!$AA$142=FT_Y5,EDATE($D146,Milestones!$AA$142)&lt;PolicyEff),1,Milestones!$AC$142)&amp;";  ","")&amp;IF(AND(EDATE($D146,Milestones!$AA$143)&lt;=AsOfDate,EDATE($D146,Milestones!$AA$143)&gt;=SchemeStart,IF($X146=0,$AD146,IF(AND($Z146&lt;&gt;"",EDATE($D146,Milestones!$AA$143)&gt;=$Z146),$AC146,IF(AND($Y146&lt;&gt;"",EDATE($D146,Milestones!$AA$143)&gt;=$Y146),$AB146,$AA146)))=Milestones!$AB$143),UPPER(TEXT(EDATE($D146,Milestones!$AA$143),"dd mmm yy"))&amp;" "&amp;Milestones!$AB$143&amp;" "&amp;IF(AND(Milestones!$AB$143="FT",Milestones!$AA$143=FT_Y5,EDATE($D146,Milestones!$AA$143)&lt;PolicyEff),1,Milestones!$AC$143)&amp;";  ","")&amp;IF(AND(EDATE($D146,Milestones!$AA$144)&lt;=AsOfDate,EDATE($D146,Milestones!$AA$144)&gt;=SchemeStart,IF($X146=0,$AD146,IF(AND($Z146&lt;&gt;"",EDATE($D146,Milestones!$AA$144)&gt;=$Z146),$AC146,IF(AND($Y146&lt;&gt;"",EDATE($D146,Milestones!$AA$144)&gt;=$Y146),$AB146,$AA146)))=Milestones!$AB$144),UPPER(TEXT(EDATE($D146,Milestones!$AA$144),"dd mmm yy"))&amp;" "&amp;Milestones!$AB$144&amp;" "&amp;IF(AND(Milestones!$AB$144="FT",Milestones!$AA$144=FT_Y5,EDATE($D146,Milestones!$AA$144)&lt;PolicyEff),1,Milestones!$AC$144)&amp;";  ","")&amp;IF(AND(EDATE($D146,Milestones!$AA$145)&lt;=AsOfDate,EDATE($D146,Milestones!$AA$145)&gt;=SchemeStart,IF($X146=0,$AD146,IF(AND($Z146&lt;&gt;"",EDATE($D146,Milestones!$AA$145)&gt;=$Z146),$AC146,IF(AND($Y146&lt;&gt;"",EDATE($D146,Milestones!$AA$145)&gt;=$Y146),$AB146,$AA146)))=Milestones!$AB$145),UPPER(TEXT(EDATE($D146,Milestones!$AA$145),"dd mmm yy"))&amp;" "&amp;Milestones!$AB$145&amp;" "&amp;IF(AND(Milestones!$AB$145="FT",Milestones!$AA$145=FT_Y5,EDATE($D146,Milestones!$AA$145)&lt;PolicyEff),1,Milestones!$AC$145)&amp;";  ","")&amp;IF(AND(EDATE($D146,Milestones!$AA$146)&lt;=AsOfDate,EDATE($D146,Milestones!$AA$146)&gt;=SchemeStart,IF($X146=0,$AD146,IF(AND($Z146&lt;&gt;"",EDATE($D146,Milestones!$AA$146)&gt;=$Z146),$AC146,IF(AND($Y146&lt;&gt;"",EDATE($D146,Milestones!$AA$146)&gt;=$Y146),$AB146,$AA146)))=Milestones!$AB$146),UPPER(TEXT(EDATE($D146,Milestones!$AA$146),"dd mmm yy"))&amp;" "&amp;Milestones!$AB$146&amp;" "&amp;IF(AND(Milestones!$AB$146="FT",Milestones!$AA$146=FT_Y5,EDATE($D146,Milestones!$AA$146)&lt;PolicyEff),1,Milestones!$AC$146)&amp;";  ","")&amp;IF(AND(EDATE($D146,Milestones!$AA$147)&lt;=AsOfDate,EDATE($D146,Milestones!$AA$147)&gt;=SchemeStart,IF($X146=0,$AD146,IF(AND($Z146&lt;&gt;"",EDATE($D146,Milestones!$AA$147)&gt;=$Z146),$AC146,IF(AND($Y146&lt;&gt;"",EDATE($D146,Milestones!$AA$147)&gt;=$Y146),$AB146,$AA146)))=Milestones!$AB$147),UPPER(TEXT(EDATE($D146,Milestones!$AA$147),"dd mmm yy"))&amp;" "&amp;Milestones!$AB$147&amp;" "&amp;IF(AND(Milestones!$AB$147="FT",Milestones!$AA$147=FT_Y5,EDATE($D146,Milestones!$AA$147)&lt;PolicyEff),1,Milestones!$AC$147)&amp;";  ","")&amp;IF(AND(EDATE($D146,Milestones!$AA$148)&lt;=AsOfDate,EDATE($D146,Milestones!$AA$148)&gt;=SchemeStart,IF($X146=0,$AD146,IF(AND($Z146&lt;&gt;"",EDATE($D146,Milestones!$AA$148)&gt;=$Z146),$AC146,IF(AND($Y146&lt;&gt;"",EDATE($D146,Milestones!$AA$148)&gt;=$Y146),$AB146,$AA146)))=Milestones!$AB$148),UPPER(TEXT(EDATE($D146,Milestones!$AA$148),"dd mmm yy"))&amp;" "&amp;Milestones!$AB$148&amp;" "&amp;IF(AND(Milestones!$AB$148="FT",Milestones!$AA$148=FT_Y5,EDATE($D146,Milestones!$AA$148)&lt;PolicyEff),1,Milestones!$AC$148)&amp;";  ","")&amp;IF(AND(EDATE($D146,Milestones!$AA$149)&lt;=AsOfDate,EDATE($D146,Milestones!$AA$149)&gt;=SchemeStart,IF($X146=0,$AD146,IF(AND($Z146&lt;&gt;"",EDATE($D146,Milestones!$AA$149)&gt;=$Z146),$AC146,IF(AND($Y146&lt;&gt;"",EDATE($D146,Milestones!$AA$149)&gt;=$Y146),$AB146,$AA146)))=Milestones!$AB$149),UPPER(TEXT(EDATE($D146,Milestones!$AA$149),"dd mmm yy"))&amp;" "&amp;Milestones!$AB$149&amp;" "&amp;IF(AND(Milestones!$AB$149="FT",Milestones!$AA$149=FT_Y5,EDATE($D146,Milestones!$AA$149)&lt;PolicyEff),1,Milestones!$AC$149)&amp;";  ","")&amp;IF(AND(EDATE($D146,Milestones!$AA$150)&lt;=AsOfDate,EDATE($D146,Milestones!$AA$150)&gt;=SchemeStart,IF($X146=0,$AD146,IF(AND($Z146&lt;&gt;"",EDATE($D146,Milestones!$AA$150)&gt;=$Z146),$AC146,IF(AND($Y146&lt;&gt;"",EDATE($D146,Milestones!$AA$150)&gt;=$Y146),$AB146,$AA146)))=Milestones!$AB$150),UPPER(TEXT(EDATE($D146,Milestones!$AA$150),"dd mmm yy"))&amp;" "&amp;Milestones!$AB$150&amp;" "&amp;IF(AND(Milestones!$AB$150="FT",Milestones!$AA$150=FT_Y5,EDATE($D146,Milestones!$AA$150)&lt;PolicyEff),1,Milestones!$AC$150)&amp;";  ","")&amp;IF(AND(EDATE($D146,Milestones!$AA$151)&lt;=AsOfDate,EDATE($D146,Milestones!$AA$151)&gt;=SchemeStart,IF($X146=0,$AD146,IF(AND($Z146&lt;&gt;"",EDATE($D146,Milestones!$AA$151)&gt;=$Z146),$AC146,IF(AND($Y146&lt;&gt;"",EDATE($D146,Milestones!$AA$151)&gt;=$Y146),$AB146,$AA146)))=Milestones!$AB$151),UPPER(TEXT(EDATE($D146,Milestones!$AA$151),"dd mmm yy"))&amp;" "&amp;Milestones!$AB$151&amp;" "&amp;IF(AND(Milestones!$AB$151="FT",Milestones!$AA$151=FT_Y5,EDATE($D146,Milestones!$AA$151)&lt;PolicyEff),1,Milestones!$AC$151)&amp;";  ",""))</f>
        <v/>
      </c>
      <c r="T146" s="0" t="str">
        <f aca="false">IF(OR($A146="",$D146=""),"",IF(AND(EDATE($D146,Milestones!$AA$152)&lt;=AsOfDate,EDATE($D146,Milestones!$AA$152)&gt;=SchemeStart,IF($X146=0,$AD146,IF(AND($Z146&lt;&gt;"",EDATE($D146,Milestones!$AA$152)&gt;=$Z146),$AC146,IF(AND($Y146&lt;&gt;"",EDATE($D146,Milestones!$AA$152)&gt;=$Y146),$AB146,$AA146)))=Milestones!$AB$152),UPPER(TEXT(EDATE($D146,Milestones!$AA$152),"dd mmm yy"))&amp;" "&amp;Milestones!$AB$152&amp;" "&amp;IF(AND(Milestones!$AB$152="FT",Milestones!$AA$152=FT_Y5,EDATE($D146,Milestones!$AA$152)&lt;PolicyEff),1,Milestones!$AC$152)&amp;";  ","")&amp;IF(AND(EDATE($D146,Milestones!$AA$153)&lt;=AsOfDate,EDATE($D146,Milestones!$AA$153)&gt;=SchemeStart,IF($X146=0,$AD146,IF(AND($Z146&lt;&gt;"",EDATE($D146,Milestones!$AA$153)&gt;=$Z146),$AC146,IF(AND($Y146&lt;&gt;"",EDATE($D146,Milestones!$AA$153)&gt;=$Y146),$AB146,$AA146)))=Milestones!$AB$153),UPPER(TEXT(EDATE($D146,Milestones!$AA$153),"dd mmm yy"))&amp;" "&amp;Milestones!$AB$153&amp;" "&amp;IF(AND(Milestones!$AB$153="FT",Milestones!$AA$153=FT_Y5,EDATE($D146,Milestones!$AA$153)&lt;PolicyEff),1,Milestones!$AC$153)&amp;";  ","")&amp;IF(AND(EDATE($D146,Milestones!$AA$154)&lt;=AsOfDate,EDATE($D146,Milestones!$AA$154)&gt;=SchemeStart,IF($X146=0,$AD146,IF(AND($Z146&lt;&gt;"",EDATE($D146,Milestones!$AA$154)&gt;=$Z146),$AC146,IF(AND($Y146&lt;&gt;"",EDATE($D146,Milestones!$AA$154)&gt;=$Y146),$AB146,$AA146)))=Milestones!$AB$154),UPPER(TEXT(EDATE($D146,Milestones!$AA$154),"dd mmm yy"))&amp;" "&amp;Milestones!$AB$154&amp;" "&amp;IF(AND(Milestones!$AB$154="FT",Milestones!$AA$154=FT_Y5,EDATE($D146,Milestones!$AA$154)&lt;PolicyEff),1,Milestones!$AC$154)&amp;";  ","")&amp;IF(AND(EDATE($D146,Milestones!$AA$155)&lt;=AsOfDate,EDATE($D146,Milestones!$AA$155)&gt;=SchemeStart,IF($X146=0,$AD146,IF(AND($Z146&lt;&gt;"",EDATE($D146,Milestones!$AA$155)&gt;=$Z146),$AC146,IF(AND($Y146&lt;&gt;"",EDATE($D146,Milestones!$AA$155)&gt;=$Y146),$AB146,$AA146)))=Milestones!$AB$155),UPPER(TEXT(EDATE($D146,Milestones!$AA$155),"dd mmm yy"))&amp;" "&amp;Milestones!$AB$155&amp;" "&amp;IF(AND(Milestones!$AB$155="FT",Milestones!$AA$155=FT_Y5,EDATE($D146,Milestones!$AA$155)&lt;PolicyEff),1,Milestones!$AC$155)&amp;";  ","")&amp;IF(AND(EDATE($D146,Milestones!$AA$156)&lt;=AsOfDate,EDATE($D146,Milestones!$AA$156)&gt;=SchemeStart,IF($X146=0,$AD146,IF(AND($Z146&lt;&gt;"",EDATE($D146,Milestones!$AA$156)&gt;=$Z146),$AC146,IF(AND($Y146&lt;&gt;"",EDATE($D146,Milestones!$AA$156)&gt;=$Y146),$AB146,$AA146)))=Milestones!$AB$156),UPPER(TEXT(EDATE($D146,Milestones!$AA$156),"dd mmm yy"))&amp;" "&amp;Milestones!$AB$156&amp;" "&amp;IF(AND(Milestones!$AB$156="FT",Milestones!$AA$156=FT_Y5,EDATE($D146,Milestones!$AA$156)&lt;PolicyEff),1,Milestones!$AC$156)&amp;";  ","")&amp;IF(AND(EDATE($D146,Milestones!$AA$157)&lt;=AsOfDate,EDATE($D146,Milestones!$AA$157)&gt;=SchemeStart,IF($X146=0,$AD146,IF(AND($Z146&lt;&gt;"",EDATE($D146,Milestones!$AA$157)&gt;=$Z146),$AC146,IF(AND($Y146&lt;&gt;"",EDATE($D146,Milestones!$AA$157)&gt;=$Y146),$AB146,$AA146)))=Milestones!$AB$157),UPPER(TEXT(EDATE($D146,Milestones!$AA$157),"dd mmm yy"))&amp;" "&amp;Milestones!$AB$157&amp;" "&amp;IF(AND(Milestones!$AB$157="FT",Milestones!$AA$157=FT_Y5,EDATE($D146,Milestones!$AA$157)&lt;PolicyEff),1,Milestones!$AC$157)&amp;";  ","")&amp;IF(AND(EDATE($D146,Milestones!$AA$158)&lt;=AsOfDate,EDATE($D146,Milestones!$AA$158)&gt;=SchemeStart,IF($X146=0,$AD146,IF(AND($Z146&lt;&gt;"",EDATE($D146,Milestones!$AA$158)&gt;=$Z146),$AC146,IF(AND($Y146&lt;&gt;"",EDATE($D146,Milestones!$AA$158)&gt;=$Y146),$AB146,$AA146)))=Milestones!$AB$158),UPPER(TEXT(EDATE($D146,Milestones!$AA$158),"dd mmm yy"))&amp;" "&amp;Milestones!$AB$158&amp;" "&amp;IF(AND(Milestones!$AB$158="FT",Milestones!$AA$158=FT_Y5,EDATE($D146,Milestones!$AA$158)&lt;PolicyEff),1,Milestones!$AC$158)&amp;";  ","")&amp;IF(AND(EDATE($D146,Milestones!$AA$159)&lt;=AsOfDate,EDATE($D146,Milestones!$AA$159)&gt;=SchemeStart,IF($X146=0,$AD146,IF(AND($Z146&lt;&gt;"",EDATE($D146,Milestones!$AA$159)&gt;=$Z146),$AC146,IF(AND($Y146&lt;&gt;"",EDATE($D146,Milestones!$AA$159)&gt;=$Y146),$AB146,$AA146)))=Milestones!$AB$159),UPPER(TEXT(EDATE($D146,Milestones!$AA$159),"dd mmm yy"))&amp;" "&amp;Milestones!$AB$159&amp;" "&amp;IF(AND(Milestones!$AB$159="FT",Milestones!$AA$159=FT_Y5,EDATE($D146,Milestones!$AA$159)&lt;PolicyEff),1,Milestones!$AC$159)&amp;";  ","")&amp;IF(AND(EDATE($D146,Milestones!$AA$160)&lt;=AsOfDate,EDATE($D146,Milestones!$AA$160)&gt;=SchemeStart,IF($X146=0,$AD146,IF(AND($Z146&lt;&gt;"",EDATE($D146,Milestones!$AA$160)&gt;=$Z146),$AC146,IF(AND($Y146&lt;&gt;"",EDATE($D146,Milestones!$AA$160)&gt;=$Y146),$AB146,$AA146)))=Milestones!$AB$160),UPPER(TEXT(EDATE($D146,Milestones!$AA$160),"dd mmm yy"))&amp;" "&amp;Milestones!$AB$160&amp;" "&amp;IF(AND(Milestones!$AB$160="FT",Milestones!$AA$160=FT_Y5,EDATE($D146,Milestones!$AA$160)&lt;PolicyEff),1,Milestones!$AC$160)&amp;";  ","")&amp;IF(AND(EDATE($D146,Milestones!$AA$161)&lt;=AsOfDate,EDATE($D146,Milestones!$AA$161)&gt;=SchemeStart,IF($X146=0,$AD146,IF(AND($Z146&lt;&gt;"",EDATE($D146,Milestones!$AA$161)&gt;=$Z146),$AC146,IF(AND($Y146&lt;&gt;"",EDATE($D146,Milestones!$AA$161)&gt;=$Y146),$AB146,$AA146)))=Milestones!$AB$161),UPPER(TEXT(EDATE($D146,Milestones!$AA$161),"dd mmm yy"))&amp;" "&amp;Milestones!$AB$161&amp;" "&amp;IF(AND(Milestones!$AB$161="FT",Milestones!$AA$161=FT_Y5,EDATE($D146,Milestones!$AA$161)&lt;PolicyEff),1,Milestones!$AC$161)&amp;";  ","")&amp;IF(AND(EDATE($D146,Milestones!$AA$162)&lt;=AsOfDate,EDATE($D146,Milestones!$AA$162)&gt;=SchemeStart,IF($X146=0,$AD146,IF(AND($Z146&lt;&gt;"",EDATE($D146,Milestones!$AA$162)&gt;=$Z146),$AC146,IF(AND($Y146&lt;&gt;"",EDATE($D146,Milestones!$AA$162)&gt;=$Y146),$AB146,$AA146)))=Milestones!$AB$162),UPPER(TEXT(EDATE($D146,Milestones!$AA$162),"dd mmm yy"))&amp;" "&amp;Milestones!$AB$162&amp;" "&amp;IF(AND(Milestones!$AB$162="FT",Milestones!$AA$162=FT_Y5,EDATE($D146,Milestones!$AA$162)&lt;PolicyEff),1,Milestones!$AC$162)&amp;";  ","")&amp;IF(AND(EDATE($D146,Milestones!$AA$163)&lt;=AsOfDate,EDATE($D146,Milestones!$AA$163)&gt;=SchemeStart,IF($X146=0,$AD146,IF(AND($Z146&lt;&gt;"",EDATE($D146,Milestones!$AA$163)&gt;=$Z146),$AC146,IF(AND($Y146&lt;&gt;"",EDATE($D146,Milestones!$AA$163)&gt;=$Y146),$AB146,$AA146)))=Milestones!$AB$163),UPPER(TEXT(EDATE($D146,Milestones!$AA$163),"dd mmm yy"))&amp;" "&amp;Milestones!$AB$163&amp;" "&amp;IF(AND(Milestones!$AB$163="FT",Milestones!$AA$163=FT_Y5,EDATE($D146,Milestones!$AA$163)&lt;PolicyEff),1,Milestones!$AC$163)&amp;";  ",""))</f>
        <v/>
      </c>
      <c r="U146" s="0" t="str">
        <f aca="false">IF(OR($A146="",$D146=""),"",IF(AND(EDATE($D146,Milestones!$AA$164)&lt;=AsOfDate,EDATE($D146,Milestones!$AA$164)&gt;=SchemeStart,IF($X146=0,$AD146,IF(AND($Z146&lt;&gt;"",EDATE($D146,Milestones!$AA$164)&gt;=$Z146),$AC146,IF(AND($Y146&lt;&gt;"",EDATE($D146,Milestones!$AA$164)&gt;=$Y146),$AB146,$AA146)))=Milestones!$AB$164),UPPER(TEXT(EDATE($D146,Milestones!$AA$164),"dd mmm yy"))&amp;" "&amp;Milestones!$AB$164&amp;" "&amp;IF(AND(Milestones!$AB$164="FT",Milestones!$AA$164=FT_Y5,EDATE($D146,Milestones!$AA$164)&lt;PolicyEff),1,Milestones!$AC$164)&amp;";  ","")&amp;IF(AND(EDATE($D146,Milestones!$AA$165)&lt;=AsOfDate,EDATE($D146,Milestones!$AA$165)&gt;=SchemeStart,IF($X146=0,$AD146,IF(AND($Z146&lt;&gt;"",EDATE($D146,Milestones!$AA$165)&gt;=$Z146),$AC146,IF(AND($Y146&lt;&gt;"",EDATE($D146,Milestones!$AA$165)&gt;=$Y146),$AB146,$AA146)))=Milestones!$AB$165),UPPER(TEXT(EDATE($D146,Milestones!$AA$165),"dd mmm yy"))&amp;" "&amp;Milestones!$AB$165&amp;" "&amp;IF(AND(Milestones!$AB$165="FT",Milestones!$AA$165=FT_Y5,EDATE($D146,Milestones!$AA$165)&lt;PolicyEff),1,Milestones!$AC$165)&amp;";  ","")&amp;IF(AND(EDATE($D146,Milestones!$AA$166)&lt;=AsOfDate,EDATE($D146,Milestones!$AA$166)&gt;=SchemeStart,IF($X146=0,$AD146,IF(AND($Z146&lt;&gt;"",EDATE($D146,Milestones!$AA$166)&gt;=$Z146),$AC146,IF(AND($Y146&lt;&gt;"",EDATE($D146,Milestones!$AA$166)&gt;=$Y146),$AB146,$AA146)))=Milestones!$AB$166),UPPER(TEXT(EDATE($D146,Milestones!$AA$166),"dd mmm yy"))&amp;" "&amp;Milestones!$AB$166&amp;" "&amp;IF(AND(Milestones!$AB$166="FT",Milestones!$AA$166=FT_Y5,EDATE($D146,Milestones!$AA$166)&lt;PolicyEff),1,Milestones!$AC$166)&amp;";  ","")&amp;IF(AND(EDATE($D146,Milestones!$AA$167)&lt;=AsOfDate,EDATE($D146,Milestones!$AA$167)&gt;=SchemeStart,IF($X146=0,$AD146,IF(AND($Z146&lt;&gt;"",EDATE($D146,Milestones!$AA$167)&gt;=$Z146),$AC146,IF(AND($Y146&lt;&gt;"",EDATE($D146,Milestones!$AA$167)&gt;=$Y146),$AB146,$AA146)))=Milestones!$AB$167),UPPER(TEXT(EDATE($D146,Milestones!$AA$167),"dd mmm yy"))&amp;" "&amp;Milestones!$AB$167&amp;" "&amp;IF(AND(Milestones!$AB$167="FT",Milestones!$AA$167=FT_Y5,EDATE($D146,Milestones!$AA$167)&lt;PolicyEff),1,Milestones!$AC$167)&amp;";  ","")&amp;IF(AND(EDATE($D146,Milestones!$AA$168)&lt;=AsOfDate,EDATE($D146,Milestones!$AA$168)&gt;=SchemeStart,IF($X146=0,$AD146,IF(AND($Z146&lt;&gt;"",EDATE($D146,Milestones!$AA$168)&gt;=$Z146),$AC146,IF(AND($Y146&lt;&gt;"",EDATE($D146,Milestones!$AA$168)&gt;=$Y146),$AB146,$AA146)))=Milestones!$AB$168),UPPER(TEXT(EDATE($D146,Milestones!$AA$168),"dd mmm yy"))&amp;" "&amp;Milestones!$AB$168&amp;" "&amp;IF(AND(Milestones!$AB$168="FT",Milestones!$AA$168=FT_Y5,EDATE($D146,Milestones!$AA$168)&lt;PolicyEff),1,Milestones!$AC$168)&amp;";  ","")&amp;IF(AND(EDATE($D146,Milestones!$AA$169)&lt;=AsOfDate,EDATE($D146,Milestones!$AA$169)&gt;=SchemeStart,IF($X146=0,$AD146,IF(AND($Z146&lt;&gt;"",EDATE($D146,Milestones!$AA$169)&gt;=$Z146),$AC146,IF(AND($Y146&lt;&gt;"",EDATE($D146,Milestones!$AA$169)&gt;=$Y146),$AB146,$AA146)))=Milestones!$AB$169),UPPER(TEXT(EDATE($D146,Milestones!$AA$169),"dd mmm yy"))&amp;" "&amp;Milestones!$AB$169&amp;" "&amp;IF(AND(Milestones!$AB$169="FT",Milestones!$AA$169=FT_Y5,EDATE($D146,Milestones!$AA$169)&lt;PolicyEff),1,Milestones!$AC$169)&amp;";  ","")&amp;IF(AND(EDATE($D146,Milestones!$AA$170)&lt;=AsOfDate,EDATE($D146,Milestones!$AA$170)&gt;=SchemeStart,IF($X146=0,$AD146,IF(AND($Z146&lt;&gt;"",EDATE($D146,Milestones!$AA$170)&gt;=$Z146),$AC146,IF(AND($Y146&lt;&gt;"",EDATE($D146,Milestones!$AA$170)&gt;=$Y146),$AB146,$AA146)))=Milestones!$AB$170),UPPER(TEXT(EDATE($D146,Milestones!$AA$170),"dd mmm yy"))&amp;" "&amp;Milestones!$AB$170&amp;" "&amp;IF(AND(Milestones!$AB$170="FT",Milestones!$AA$170=FT_Y5,EDATE($D146,Milestones!$AA$170)&lt;PolicyEff),1,Milestones!$AC$170)&amp;";  ","")&amp;IF(AND(EDATE($D146,Milestones!$AA$171)&lt;=AsOfDate,EDATE($D146,Milestones!$AA$171)&gt;=SchemeStart,IF($X146=0,$AD146,IF(AND($Z146&lt;&gt;"",EDATE($D146,Milestones!$AA$171)&gt;=$Z146),$AC146,IF(AND($Y146&lt;&gt;"",EDATE($D146,Milestones!$AA$171)&gt;=$Y146),$AB146,$AA146)))=Milestones!$AB$171),UPPER(TEXT(EDATE($D146,Milestones!$AA$171),"dd mmm yy"))&amp;" "&amp;Milestones!$AB$171&amp;" "&amp;IF(AND(Milestones!$AB$171="FT",Milestones!$AA$171=FT_Y5,EDATE($D146,Milestones!$AA$171)&lt;PolicyEff),1,Milestones!$AC$171)&amp;";  ","")&amp;IF(AND(EDATE($D146,Milestones!$AA$172)&lt;=AsOfDate,EDATE($D146,Milestones!$AA$172)&gt;=SchemeStart,IF($X146=0,$AD146,IF(AND($Z146&lt;&gt;"",EDATE($D146,Milestones!$AA$172)&gt;=$Z146),$AC146,IF(AND($Y146&lt;&gt;"",EDATE($D146,Milestones!$AA$172)&gt;=$Y146),$AB146,$AA146)))=Milestones!$AB$172),UPPER(TEXT(EDATE($D146,Milestones!$AA$172),"dd mmm yy"))&amp;" "&amp;Milestones!$AB$172&amp;" "&amp;IF(AND(Milestones!$AB$172="FT",Milestones!$AA$172=FT_Y5,EDATE($D146,Milestones!$AA$172)&lt;PolicyEff),1,Milestones!$AC$172)&amp;";  ","")&amp;IF(AND(EDATE($D146,Milestones!$AA$173)&lt;=AsOfDate,EDATE($D146,Milestones!$AA$173)&gt;=SchemeStart,IF($X146=0,$AD146,IF(AND($Z146&lt;&gt;"",EDATE($D146,Milestones!$AA$173)&gt;=$Z146),$AC146,IF(AND($Y146&lt;&gt;"",EDATE($D146,Milestones!$AA$173)&gt;=$Y146),$AB146,$AA146)))=Milestones!$AB$173),UPPER(TEXT(EDATE($D146,Milestones!$AA$173),"dd mmm yy"))&amp;" "&amp;Milestones!$AB$173&amp;" "&amp;IF(AND(Milestones!$AB$173="FT",Milestones!$AA$173=FT_Y5,EDATE($D146,Milestones!$AA$173)&lt;PolicyEff),1,Milestones!$AC$173)&amp;";  ","")&amp;IF(AND(EDATE($D146,Milestones!$AA$174)&lt;=AsOfDate,EDATE($D146,Milestones!$AA$174)&gt;=SchemeStart,IF($X146=0,$AD146,IF(AND($Z146&lt;&gt;"",EDATE($D146,Milestones!$AA$174)&gt;=$Z146),$AC146,IF(AND($Y146&lt;&gt;"",EDATE($D146,Milestones!$AA$174)&gt;=$Y146),$AB146,$AA146)))=Milestones!$AB$174),UPPER(TEXT(EDATE($D146,Milestones!$AA$174),"dd mmm yy"))&amp;" "&amp;Milestones!$AB$174&amp;" "&amp;IF(AND(Milestones!$AB$174="FT",Milestones!$AA$174=FT_Y5,EDATE($D146,Milestones!$AA$174)&lt;PolicyEff),1,Milestones!$AC$174)&amp;";  ","")&amp;IF(AND(EDATE($D146,Milestones!$AA$175)&lt;=AsOfDate,EDATE($D146,Milestones!$AA$175)&gt;=SchemeStart,IF($X146=0,$AD146,IF(AND($Z146&lt;&gt;"",EDATE($D146,Milestones!$AA$175)&gt;=$Z146),$AC146,IF(AND($Y146&lt;&gt;"",EDATE($D146,Milestones!$AA$175)&gt;=$Y146),$AB146,$AA146)))=Milestones!$AB$175),UPPER(TEXT(EDATE($D146,Milestones!$AA$175),"dd mmm yy"))&amp;" "&amp;Milestones!$AB$175&amp;" "&amp;IF(AND(Milestones!$AB$175="FT",Milestones!$AA$175=FT_Y5,EDATE($D146,Milestones!$AA$175)&lt;PolicyEff),1,Milestones!$AC$175)&amp;";  ",""))</f>
        <v/>
      </c>
      <c r="V146" s="0" t="str">
        <f aca="false">IF(OR($A146="",$D146=""),"",IF(AND(EDATE($D146,Milestones!$AA$176)&lt;=AsOfDate,EDATE($D146,Milestones!$AA$176)&gt;=SchemeStart,IF($X146=0,$AD146,IF(AND($Z146&lt;&gt;"",EDATE($D146,Milestones!$AA$176)&gt;=$Z146),$AC146,IF(AND($Y146&lt;&gt;"",EDATE($D146,Milestones!$AA$176)&gt;=$Y146),$AB146,$AA146)))=Milestones!$AB$176),UPPER(TEXT(EDATE($D146,Milestones!$AA$176),"dd mmm yy"))&amp;" "&amp;Milestones!$AB$176&amp;" "&amp;IF(AND(Milestones!$AB$176="FT",Milestones!$AA$176=FT_Y5,EDATE($D146,Milestones!$AA$176)&lt;PolicyEff),1,Milestones!$AC$176)&amp;";  ","")&amp;IF(AND(EDATE($D146,Milestones!$AA$177)&lt;=AsOfDate,EDATE($D146,Milestones!$AA$177)&gt;=SchemeStart,IF($X146=0,$AD146,IF(AND($Z146&lt;&gt;"",EDATE($D146,Milestones!$AA$177)&gt;=$Z146),$AC146,IF(AND($Y146&lt;&gt;"",EDATE($D146,Milestones!$AA$177)&gt;=$Y146),$AB146,$AA146)))=Milestones!$AB$177),UPPER(TEXT(EDATE($D146,Milestones!$AA$177),"dd mmm yy"))&amp;" "&amp;Milestones!$AB$177&amp;" "&amp;IF(AND(Milestones!$AB$177="FT",Milestones!$AA$177=FT_Y5,EDATE($D146,Milestones!$AA$177)&lt;PolicyEff),1,Milestones!$AC$177)&amp;";  ","")&amp;IF(AND(EDATE($D146,Milestones!$AA$178)&lt;=AsOfDate,EDATE($D146,Milestones!$AA$178)&gt;=SchemeStart,IF($X146=0,$AD146,IF(AND($Z146&lt;&gt;"",EDATE($D146,Milestones!$AA$178)&gt;=$Z146),$AC146,IF(AND($Y146&lt;&gt;"",EDATE($D146,Milestones!$AA$178)&gt;=$Y146),$AB146,$AA146)))=Milestones!$AB$178),UPPER(TEXT(EDATE($D146,Milestones!$AA$178),"dd mmm yy"))&amp;" "&amp;Milestones!$AB$178&amp;" "&amp;IF(AND(Milestones!$AB$178="FT",Milestones!$AA$178=FT_Y5,EDATE($D146,Milestones!$AA$178)&lt;PolicyEff),1,Milestones!$AC$178)&amp;";  ","")&amp;IF(AND(EDATE($D146,Milestones!$AA$179)&lt;=AsOfDate,EDATE($D146,Milestones!$AA$179)&gt;=SchemeStart,IF($X146=0,$AD146,IF(AND($Z146&lt;&gt;"",EDATE($D146,Milestones!$AA$179)&gt;=$Z146),$AC146,IF(AND($Y146&lt;&gt;"",EDATE($D146,Milestones!$AA$179)&gt;=$Y146),$AB146,$AA146)))=Milestones!$AB$179),UPPER(TEXT(EDATE($D146,Milestones!$AA$179),"dd mmm yy"))&amp;" "&amp;Milestones!$AB$179&amp;" "&amp;IF(AND(Milestones!$AB$179="FT",Milestones!$AA$179=FT_Y5,EDATE($D146,Milestones!$AA$179)&lt;PolicyEff),1,Milestones!$AC$179)&amp;";  ","")&amp;IF(AND(EDATE($D146,Milestones!$AA$180)&lt;=AsOfDate,EDATE($D146,Milestones!$AA$180)&gt;=SchemeStart,IF($X146=0,$AD146,IF(AND($Z146&lt;&gt;"",EDATE($D146,Milestones!$AA$180)&gt;=$Z146),$AC146,IF(AND($Y146&lt;&gt;"",EDATE($D146,Milestones!$AA$180)&gt;=$Y146),$AB146,$AA146)))=Milestones!$AB$180),UPPER(TEXT(EDATE($D146,Milestones!$AA$180),"dd mmm yy"))&amp;" "&amp;Milestones!$AB$180&amp;" "&amp;IF(AND(Milestones!$AB$180="FT",Milestones!$AA$180=FT_Y5,EDATE($D146,Milestones!$AA$180)&lt;PolicyEff),1,Milestones!$AC$180)&amp;";  ","")&amp;IF(AND(EDATE($D146,Milestones!$AA$181)&lt;=AsOfDate,EDATE($D146,Milestones!$AA$181)&gt;=SchemeStart,IF($X146=0,$AD146,IF(AND($Z146&lt;&gt;"",EDATE($D146,Milestones!$AA$181)&gt;=$Z146),$AC146,IF(AND($Y146&lt;&gt;"",EDATE($D146,Milestones!$AA$181)&gt;=$Y146),$AB146,$AA146)))=Milestones!$AB$181),UPPER(TEXT(EDATE($D146,Milestones!$AA$181),"dd mmm yy"))&amp;" "&amp;Milestones!$AB$181&amp;" "&amp;IF(AND(Milestones!$AB$181="FT",Milestones!$AA$181=FT_Y5,EDATE($D146,Milestones!$AA$181)&lt;PolicyEff),1,Milestones!$AC$181)&amp;";  ","")&amp;IF(AND(EDATE($D146,Milestones!$AA$182)&lt;=AsOfDate,EDATE($D146,Milestones!$AA$182)&gt;=SchemeStart,IF($X146=0,$AD146,IF(AND($Z146&lt;&gt;"",EDATE($D146,Milestones!$AA$182)&gt;=$Z146),$AC146,IF(AND($Y146&lt;&gt;"",EDATE($D146,Milestones!$AA$182)&gt;=$Y146),$AB146,$AA146)))=Milestones!$AB$182),UPPER(TEXT(EDATE($D146,Milestones!$AA$182),"dd mmm yy"))&amp;" "&amp;Milestones!$AB$182&amp;" "&amp;IF(AND(Milestones!$AB$182="FT",Milestones!$AA$182=FT_Y5,EDATE($D146,Milestones!$AA$182)&lt;PolicyEff),1,Milestones!$AC$182)&amp;";  ","")&amp;IF(AND(EDATE($D146,Milestones!$AA$183)&lt;=AsOfDate,EDATE($D146,Milestones!$AA$183)&gt;=SchemeStart,IF($X146=0,$AD146,IF(AND($Z146&lt;&gt;"",EDATE($D146,Milestones!$AA$183)&gt;=$Z146),$AC146,IF(AND($Y146&lt;&gt;"",EDATE($D146,Milestones!$AA$183)&gt;=$Y146),$AB146,$AA146)))=Milestones!$AB$183),UPPER(TEXT(EDATE($D146,Milestones!$AA$183),"dd mmm yy"))&amp;" "&amp;Milestones!$AB$183&amp;" "&amp;IF(AND(Milestones!$AB$183="FT",Milestones!$AA$183=FT_Y5,EDATE($D146,Milestones!$AA$183)&lt;PolicyEff),1,Milestones!$AC$183)&amp;";  ","")&amp;IF(AND(EDATE($D146,Milestones!$AA$184)&lt;=AsOfDate,EDATE($D146,Milestones!$AA$184)&gt;=SchemeStart,IF($X146=0,$AD146,IF(AND($Z146&lt;&gt;"",EDATE($D146,Milestones!$AA$184)&gt;=$Z146),$AC146,IF(AND($Y146&lt;&gt;"",EDATE($D146,Milestones!$AA$184)&gt;=$Y146),$AB146,$AA146)))=Milestones!$AB$184),UPPER(TEXT(EDATE($D146,Milestones!$AA$184),"dd mmm yy"))&amp;" "&amp;Milestones!$AB$184&amp;" "&amp;IF(AND(Milestones!$AB$184="FT",Milestones!$AA$184=FT_Y5,EDATE($D146,Milestones!$AA$184)&lt;PolicyEff),1,Milestones!$AC$184)&amp;";  ","")&amp;IF(AND(EDATE($D146,Milestones!$AA$185)&lt;=AsOfDate,EDATE($D146,Milestones!$AA$185)&gt;=SchemeStart,IF($X146=0,$AD146,IF(AND($Z146&lt;&gt;"",EDATE($D146,Milestones!$AA$185)&gt;=$Z146),$AC146,IF(AND($Y146&lt;&gt;"",EDATE($D146,Milestones!$AA$185)&gt;=$Y146),$AB146,$AA146)))=Milestones!$AB$185),UPPER(TEXT(EDATE($D146,Milestones!$AA$185),"dd mmm yy"))&amp;" "&amp;Milestones!$AB$185&amp;" "&amp;IF(AND(Milestones!$AB$185="FT",Milestones!$AA$185=FT_Y5,EDATE($D146,Milestones!$AA$185)&lt;PolicyEff),1,Milestones!$AC$185)&amp;";  ","")&amp;IF(AND(EDATE($D146,Milestones!$AA$186)&lt;=AsOfDate,EDATE($D146,Milestones!$AA$186)&gt;=SchemeStart,IF($X146=0,$AD146,IF(AND($Z146&lt;&gt;"",EDATE($D146,Milestones!$AA$186)&gt;=$Z146),$AC146,IF(AND($Y146&lt;&gt;"",EDATE($D146,Milestones!$AA$186)&gt;=$Y146),$AB146,$AA146)))=Milestones!$AB$186),UPPER(TEXT(EDATE($D146,Milestones!$AA$186),"dd mmm yy"))&amp;" "&amp;Milestones!$AB$186&amp;" "&amp;IF(AND(Milestones!$AB$186="FT",Milestones!$AA$186=FT_Y5,EDATE($D146,Milestones!$AA$186)&lt;PolicyEff),1,Milestones!$AC$186)&amp;";  ","")&amp;IF(AND(EDATE($D146,Milestones!$AA$187)&lt;=AsOfDate,EDATE($D146,Milestones!$AA$187)&gt;=SchemeStart,IF($X146=0,$AD146,IF(AND($Z146&lt;&gt;"",EDATE($D146,Milestones!$AA$187)&gt;=$Z146),$AC146,IF(AND($Y146&lt;&gt;"",EDATE($D146,Milestones!$AA$187)&gt;=$Y146),$AB146,$AA146)))=Milestones!$AB$187),UPPER(TEXT(EDATE($D146,Milestones!$AA$187),"dd mmm yy"))&amp;" "&amp;Milestones!$AB$187&amp;" "&amp;IF(AND(Milestones!$AB$187="FT",Milestones!$AA$187=FT_Y5,EDATE($D146,Milestones!$AA$187)&lt;PolicyEff),1,Milestones!$AC$187)&amp;";  ",""))</f>
        <v/>
      </c>
      <c r="W146" s="0" t="str">
        <f aca="false">IF(OR($A146="",$D146=""),"",IF(AND(EDATE($D146,Milestones!$AA$188)&lt;=AsOfDate,EDATE($D146,Milestones!$AA$188)&gt;=SchemeStart,IF($X146=0,$AD146,IF(AND($Z146&lt;&gt;"",EDATE($D146,Milestones!$AA$188)&gt;=$Z146),$AC146,IF(AND($Y146&lt;&gt;"",EDATE($D146,Milestones!$AA$188)&gt;=$Y146),$AB146,$AA146)))=Milestones!$AB$188),UPPER(TEXT(EDATE($D146,Milestones!$AA$188),"dd mmm yy"))&amp;" "&amp;Milestones!$AB$188&amp;" "&amp;IF(AND(Milestones!$AB$188="FT",Milestones!$AA$188=FT_Y5,EDATE($D146,Milestones!$AA$188)&lt;PolicyEff),1,Milestones!$AC$188)&amp;";  ","")&amp;IF(AND(EDATE($D146,Milestones!$AA$189)&lt;=AsOfDate,EDATE($D146,Milestones!$AA$189)&gt;=SchemeStart,IF($X146=0,$AD146,IF(AND($Z146&lt;&gt;"",EDATE($D146,Milestones!$AA$189)&gt;=$Z146),$AC146,IF(AND($Y146&lt;&gt;"",EDATE($D146,Milestones!$AA$189)&gt;=$Y146),$AB146,$AA146)))=Milestones!$AB$189),UPPER(TEXT(EDATE($D146,Milestones!$AA$189),"dd mmm yy"))&amp;" "&amp;Milestones!$AB$189&amp;" "&amp;IF(AND(Milestones!$AB$189="FT",Milestones!$AA$189=FT_Y5,EDATE($D146,Milestones!$AA$189)&lt;PolicyEff),1,Milestones!$AC$189)&amp;";  ","")&amp;IF(AND(EDATE($D146,Milestones!$AA$190)&lt;=AsOfDate,EDATE($D146,Milestones!$AA$190)&gt;=SchemeStart,IF($X146=0,$AD146,IF(AND($Z146&lt;&gt;"",EDATE($D146,Milestones!$AA$190)&gt;=$Z146),$AC146,IF(AND($Y146&lt;&gt;"",EDATE($D146,Milestones!$AA$190)&gt;=$Y146),$AB146,$AA146)))=Milestones!$AB$190),UPPER(TEXT(EDATE($D146,Milestones!$AA$190),"dd mmm yy"))&amp;" "&amp;Milestones!$AB$190&amp;" "&amp;IF(AND(Milestones!$AB$190="FT",Milestones!$AA$190=FT_Y5,EDATE($D146,Milestones!$AA$190)&lt;PolicyEff),1,Milestones!$AC$190)&amp;";  ","")&amp;IF(AND(EDATE($D146,Milestones!$AA$191)&lt;=AsOfDate,EDATE($D146,Milestones!$AA$191)&gt;=SchemeStart,IF($X146=0,$AD146,IF(AND($Z146&lt;&gt;"",EDATE($D146,Milestones!$AA$191)&gt;=$Z146),$AC146,IF(AND($Y146&lt;&gt;"",EDATE($D146,Milestones!$AA$191)&gt;=$Y146),$AB146,$AA146)))=Milestones!$AB$191),UPPER(TEXT(EDATE($D146,Milestones!$AA$191),"dd mmm yy"))&amp;" "&amp;Milestones!$AB$191&amp;" "&amp;IF(AND(Milestones!$AB$191="FT",Milestones!$AA$191=FT_Y5,EDATE($D146,Milestones!$AA$191)&lt;PolicyEff),1,Milestones!$AC$191)&amp;";  ","")&amp;IF(AND(EDATE($D146,Milestones!$AA$192)&lt;=AsOfDate,EDATE($D146,Milestones!$AA$192)&gt;=SchemeStart,IF($X146=0,$AD146,IF(AND($Z146&lt;&gt;"",EDATE($D146,Milestones!$AA$192)&gt;=$Z146),$AC146,IF(AND($Y146&lt;&gt;"",EDATE($D146,Milestones!$AA$192)&gt;=$Y146),$AB146,$AA146)))=Milestones!$AB$192),UPPER(TEXT(EDATE($D146,Milestones!$AA$192),"dd mmm yy"))&amp;" "&amp;Milestones!$AB$192&amp;" "&amp;IF(AND(Milestones!$AB$192="FT",Milestones!$AA$192=FT_Y5,EDATE($D146,Milestones!$AA$192)&lt;PolicyEff),1,Milestones!$AC$192)&amp;";  ","")&amp;IF(AND(EDATE($D146,Milestones!$AA$193)&lt;=AsOfDate,EDATE($D146,Milestones!$AA$193)&gt;=SchemeStart,IF($X146=0,$AD146,IF(AND($Z146&lt;&gt;"",EDATE($D146,Milestones!$AA$193)&gt;=$Z146),$AC146,IF(AND($Y146&lt;&gt;"",EDATE($D146,Milestones!$AA$193)&gt;=$Y146),$AB146,$AA146)))=Milestones!$AB$193),UPPER(TEXT(EDATE($D146,Milestones!$AA$193),"dd mmm yy"))&amp;" "&amp;Milestones!$AB$193&amp;" "&amp;IF(AND(Milestones!$AB$193="FT",Milestones!$AA$193=FT_Y5,EDATE($D146,Milestones!$AA$193)&lt;PolicyEff),1,Milestones!$AC$193)&amp;";  ","")&amp;IF(AND(EDATE($D146,Milestones!$AA$194)&lt;=AsOfDate,EDATE($D146,Milestones!$AA$194)&gt;=SchemeStart,IF($X146=0,$AD146,IF(AND($Z146&lt;&gt;"",EDATE($D146,Milestones!$AA$194)&gt;=$Z146),$AC146,IF(AND($Y146&lt;&gt;"",EDATE($D146,Milestones!$AA$194)&gt;=$Y146),$AB146,$AA146)))=Milestones!$AB$194),UPPER(TEXT(EDATE($D146,Milestones!$AA$194),"dd mmm yy"))&amp;" "&amp;Milestones!$AB$194&amp;" "&amp;IF(AND(Milestones!$AB$194="FT",Milestones!$AA$194=FT_Y5,EDATE($D146,Milestones!$AA$194)&lt;PolicyEff),1,Milestones!$AC$194)&amp;";  ","")&amp;IF(AND(EDATE($D146,Milestones!$AA$195)&lt;=AsOfDate,EDATE($D146,Milestones!$AA$195)&gt;=SchemeStart,IF($X146=0,$AD146,IF(AND($Z146&lt;&gt;"",EDATE($D146,Milestones!$AA$195)&gt;=$Z146),$AC146,IF(AND($Y146&lt;&gt;"",EDATE($D146,Milestones!$AA$195)&gt;=$Y146),$AB146,$AA146)))=Milestones!$AB$195),UPPER(TEXT(EDATE($D146,Milestones!$AA$195),"dd mmm yy"))&amp;" "&amp;Milestones!$AB$195&amp;" "&amp;IF(AND(Milestones!$AB$195="FT",Milestones!$AA$195=FT_Y5,EDATE($D146,Milestones!$AA$195)&lt;PolicyEff),1,Milestones!$AC$195)&amp;";  ","")&amp;IF(AND(EDATE($D146,Milestones!$AA$196)&lt;=AsOfDate,EDATE($D146,Milestones!$AA$196)&gt;=SchemeStart,IF($X146=0,$AD146,IF(AND($Z146&lt;&gt;"",EDATE($D146,Milestones!$AA$196)&gt;=$Z146),$AC146,IF(AND($Y146&lt;&gt;"",EDATE($D146,Milestones!$AA$196)&gt;=$Y146),$AB146,$AA146)))=Milestones!$AB$196),UPPER(TEXT(EDATE($D146,Milestones!$AA$196),"dd mmm yy"))&amp;" "&amp;Milestones!$AB$196&amp;" "&amp;IF(AND(Milestones!$AB$196="FT",Milestones!$AA$196=FT_Y5,EDATE($D146,Milestones!$AA$196)&lt;PolicyEff),1,Milestones!$AC$196)&amp;";  ","")&amp;IF(AND(EDATE($D146,Milestones!$AA$197)&lt;=AsOfDate,EDATE($D146,Milestones!$AA$197)&gt;=SchemeStart,IF($X146=0,$AD146,IF(AND($Z146&lt;&gt;"",EDATE($D146,Milestones!$AA$197)&gt;=$Z146),$AC146,IF(AND($Y146&lt;&gt;"",EDATE($D146,Milestones!$AA$197)&gt;=$Y146),$AB146,$AA146)))=Milestones!$AB$197),UPPER(TEXT(EDATE($D146,Milestones!$AA$197),"dd mmm yy"))&amp;" "&amp;Milestones!$AB$197&amp;" "&amp;IF(AND(Milestones!$AB$197="FT",Milestones!$AA$197=FT_Y5,EDATE($D146,Milestones!$AA$197)&lt;PolicyEff),1,Milestones!$AC$197)&amp;";  ","")&amp;IF(AND(EDATE($D146,Milestones!$AA$198)&lt;=AsOfDate,EDATE($D146,Milestones!$AA$198)&gt;=SchemeStart,IF($X146=0,$AD146,IF(AND($Z146&lt;&gt;"",EDATE($D146,Milestones!$AA$198)&gt;=$Z146),$AC146,IF(AND($Y146&lt;&gt;"",EDATE($D146,Milestones!$AA$198)&gt;=$Y146),$AB146,$AA146)))=Milestones!$AB$198),UPPER(TEXT(EDATE($D146,Milestones!$AA$198),"dd mmm yy"))&amp;" "&amp;Milestones!$AB$198&amp;" "&amp;IF(AND(Milestones!$AB$198="FT",Milestones!$AA$198=FT_Y5,EDATE($D146,Milestones!$AA$198)&lt;PolicyEff),1,Milestones!$AC$198)&amp;";  ","")&amp;IF(AND(EDATE($D146,Milestones!$AA$199)&lt;=AsOfDate,EDATE($D146,Milestones!$AA$199)&gt;=SchemeStart,IF($X146=0,$AD146,IF(AND($Z146&lt;&gt;"",EDATE($D146,Milestones!$AA$199)&gt;=$Z146),$AC146,IF(AND($Y146&lt;&gt;"",EDATE($D146,Milestones!$AA$199)&gt;=$Y146),$AB146,$AA146)))=Milestones!$AB$199),UPPER(TEXT(EDATE($D146,Milestones!$AA$199),"dd mmm yy"))&amp;" "&amp;Milestones!$AB$199&amp;" "&amp;IF(AND(Milestones!$AB$199="FT",Milestones!$AA$199=FT_Y5,EDATE($D146,Milestones!$AA$199)&lt;PolicyEff),1,Milestones!$AC$199)&amp;";  ",""))</f>
        <v/>
      </c>
      <c r="X146" s="0" t="str">
        <f aca="false">IF(Staff!$A146="","",Staff!$AM146)</f>
        <v/>
      </c>
      <c r="Y146" s="0" t="str">
        <f aca="false">IF(Staff!$A146="","",Staff!$AO146)</f>
        <v/>
      </c>
      <c r="Z146" s="0" t="str">
        <f aca="false">IF(Staff!$A146="","",Staff!$AP146)</f>
        <v/>
      </c>
      <c r="AA146" s="0" t="str">
        <f aca="false">IF(Staff!$A146="","",Staff!$AT146)</f>
        <v/>
      </c>
      <c r="AB146" s="0" t="str">
        <f aca="false">IF(Staff!$A146="","",Staff!$AU146)</f>
        <v/>
      </c>
      <c r="AC146" s="0" t="str">
        <f aca="false">IF(Staff!$A146="","",Staff!$AV146)</f>
        <v/>
      </c>
      <c r="AD146" s="0" t="str">
        <f aca="false">IF(Staff!$A146="","",Staff!$AW146)</f>
        <v/>
      </c>
    </row>
    <row r="147" customFormat="false" ht="15" hidden="false" customHeight="false" outlineLevel="0" collapsed="false">
      <c r="A147" s="16" t="str">
        <f aca="false">IF(Staff!$A147="","",Staff!$A147)</f>
        <v/>
      </c>
      <c r="B147" s="16" t="str">
        <f aca="false">IF(Staff!$A147="","",Staff!$B147)</f>
        <v/>
      </c>
      <c r="C147" s="16" t="str">
        <f aca="false">IF(Staff!$A147="","",Staff!$C147)</f>
        <v/>
      </c>
      <c r="D147" s="14" t="str">
        <f aca="false">IF(Staff!$A147="","",Staff!$AL147)</f>
        <v/>
      </c>
      <c r="E147" s="16" t="str">
        <f aca="false">IF(Staff!$A147="","",Staff!$O147)</f>
        <v/>
      </c>
      <c r="F147" s="16" t="str">
        <f aca="false">IF(E147="","",E147*HoursPerDay)</f>
        <v/>
      </c>
      <c r="G147" s="16" t="str">
        <f aca="false">IF(Staff!$A147="","",Staff!$AE147)</f>
        <v/>
      </c>
      <c r="H147" s="28" t="str">
        <f aca="false">IF($A147="","",I147&amp;J147&amp;K147&amp;L147&amp;M147&amp;N147&amp;O147&amp;P147&amp;Q147&amp;R147&amp;S147&amp;T147&amp;U147&amp;V147&amp;W147)</f>
        <v/>
      </c>
      <c r="I147" s="0" t="str">
        <f aca="false">IF(OR($A147="",$D147=""),"",IF(AND(EDATE($D147,Milestones!$AA$20)&lt;=AsOfDate,EDATE($D147,Milestones!$AA$20)&gt;=SchemeStart,IF($X147=0,$AD147,IF(AND($Z147&lt;&gt;"",EDATE($D147,Milestones!$AA$20)&gt;=$Z147),$AC147,IF(AND($Y147&lt;&gt;"",EDATE($D147,Milestones!$AA$20)&gt;=$Y147),$AB147,$AA147)))=Milestones!$AB$20),UPPER(TEXT(EDATE($D147,Milestones!$AA$20),"dd mmm yy"))&amp;" "&amp;Milestones!$AB$20&amp;" "&amp;IF(AND(Milestones!$AB$20="FT",Milestones!$AA$20=FT_Y5,EDATE($D147,Milestones!$AA$20)&lt;PolicyEff),1,Milestones!$AC$20)&amp;";  ","")&amp;IF(AND(EDATE($D147,Milestones!$AA$21)&lt;=AsOfDate,EDATE($D147,Milestones!$AA$21)&gt;=SchemeStart,IF($X147=0,$AD147,IF(AND($Z147&lt;&gt;"",EDATE($D147,Milestones!$AA$21)&gt;=$Z147),$AC147,IF(AND($Y147&lt;&gt;"",EDATE($D147,Milestones!$AA$21)&gt;=$Y147),$AB147,$AA147)))=Milestones!$AB$21),UPPER(TEXT(EDATE($D147,Milestones!$AA$21),"dd mmm yy"))&amp;" "&amp;Milestones!$AB$21&amp;" "&amp;IF(AND(Milestones!$AB$21="FT",Milestones!$AA$21=FT_Y5,EDATE($D147,Milestones!$AA$21)&lt;PolicyEff),1,Milestones!$AC$21)&amp;";  ","")&amp;IF(AND(EDATE($D147,Milestones!$AA$22)&lt;=AsOfDate,EDATE($D147,Milestones!$AA$22)&gt;=SchemeStart,IF($X147=0,$AD147,IF(AND($Z147&lt;&gt;"",EDATE($D147,Milestones!$AA$22)&gt;=$Z147),$AC147,IF(AND($Y147&lt;&gt;"",EDATE($D147,Milestones!$AA$22)&gt;=$Y147),$AB147,$AA147)))=Milestones!$AB$22),UPPER(TEXT(EDATE($D147,Milestones!$AA$22),"dd mmm yy"))&amp;" "&amp;Milestones!$AB$22&amp;" "&amp;IF(AND(Milestones!$AB$22="FT",Milestones!$AA$22=FT_Y5,EDATE($D147,Milestones!$AA$22)&lt;PolicyEff),1,Milestones!$AC$22)&amp;";  ","")&amp;IF(AND(EDATE($D147,Milestones!$AA$23)&lt;=AsOfDate,EDATE($D147,Milestones!$AA$23)&gt;=SchemeStart,IF($X147=0,$AD147,IF(AND($Z147&lt;&gt;"",EDATE($D147,Milestones!$AA$23)&gt;=$Z147),$AC147,IF(AND($Y147&lt;&gt;"",EDATE($D147,Milestones!$AA$23)&gt;=$Y147),$AB147,$AA147)))=Milestones!$AB$23),UPPER(TEXT(EDATE($D147,Milestones!$AA$23),"dd mmm yy"))&amp;" "&amp;Milestones!$AB$23&amp;" "&amp;IF(AND(Milestones!$AB$23="FT",Milestones!$AA$23=FT_Y5,EDATE($D147,Milestones!$AA$23)&lt;PolicyEff),1,Milestones!$AC$23)&amp;";  ","")&amp;IF(AND(EDATE($D147,Milestones!$AA$24)&lt;=AsOfDate,EDATE($D147,Milestones!$AA$24)&gt;=SchemeStart,IF($X147=0,$AD147,IF(AND($Z147&lt;&gt;"",EDATE($D147,Milestones!$AA$24)&gt;=$Z147),$AC147,IF(AND($Y147&lt;&gt;"",EDATE($D147,Milestones!$AA$24)&gt;=$Y147),$AB147,$AA147)))=Milestones!$AB$24),UPPER(TEXT(EDATE($D147,Milestones!$AA$24),"dd mmm yy"))&amp;" "&amp;Milestones!$AB$24&amp;" "&amp;IF(AND(Milestones!$AB$24="FT",Milestones!$AA$24=FT_Y5,EDATE($D147,Milestones!$AA$24)&lt;PolicyEff),1,Milestones!$AC$24)&amp;";  ","")&amp;IF(AND(EDATE($D147,Milestones!$AA$25)&lt;=AsOfDate,EDATE($D147,Milestones!$AA$25)&gt;=SchemeStart,IF($X147=0,$AD147,IF(AND($Z147&lt;&gt;"",EDATE($D147,Milestones!$AA$25)&gt;=$Z147),$AC147,IF(AND($Y147&lt;&gt;"",EDATE($D147,Milestones!$AA$25)&gt;=$Y147),$AB147,$AA147)))=Milestones!$AB$25),UPPER(TEXT(EDATE($D147,Milestones!$AA$25),"dd mmm yy"))&amp;" "&amp;Milestones!$AB$25&amp;" "&amp;IF(AND(Milestones!$AB$25="FT",Milestones!$AA$25=FT_Y5,EDATE($D147,Milestones!$AA$25)&lt;PolicyEff),1,Milestones!$AC$25)&amp;";  ","")&amp;IF(AND(EDATE($D147,Milestones!$AA$26)&lt;=AsOfDate,EDATE($D147,Milestones!$AA$26)&gt;=SchemeStart,IF($X147=0,$AD147,IF(AND($Z147&lt;&gt;"",EDATE($D147,Milestones!$AA$26)&gt;=$Z147),$AC147,IF(AND($Y147&lt;&gt;"",EDATE($D147,Milestones!$AA$26)&gt;=$Y147),$AB147,$AA147)))=Milestones!$AB$26),UPPER(TEXT(EDATE($D147,Milestones!$AA$26),"dd mmm yy"))&amp;" "&amp;Milestones!$AB$26&amp;" "&amp;IF(AND(Milestones!$AB$26="FT",Milestones!$AA$26=FT_Y5,EDATE($D147,Milestones!$AA$26)&lt;PolicyEff),1,Milestones!$AC$26)&amp;";  ","")&amp;IF(AND(EDATE($D147,Milestones!$AA$27)&lt;=AsOfDate,EDATE($D147,Milestones!$AA$27)&gt;=SchemeStart,IF($X147=0,$AD147,IF(AND($Z147&lt;&gt;"",EDATE($D147,Milestones!$AA$27)&gt;=$Z147),$AC147,IF(AND($Y147&lt;&gt;"",EDATE($D147,Milestones!$AA$27)&gt;=$Y147),$AB147,$AA147)))=Milestones!$AB$27),UPPER(TEXT(EDATE($D147,Milestones!$AA$27),"dd mmm yy"))&amp;" "&amp;Milestones!$AB$27&amp;" "&amp;IF(AND(Milestones!$AB$27="FT",Milestones!$AA$27=FT_Y5,EDATE($D147,Milestones!$AA$27)&lt;PolicyEff),1,Milestones!$AC$27)&amp;";  ","")&amp;IF(AND(EDATE($D147,Milestones!$AA$28)&lt;=AsOfDate,EDATE($D147,Milestones!$AA$28)&gt;=SchemeStart,IF($X147=0,$AD147,IF(AND($Z147&lt;&gt;"",EDATE($D147,Milestones!$AA$28)&gt;=$Z147),$AC147,IF(AND($Y147&lt;&gt;"",EDATE($D147,Milestones!$AA$28)&gt;=$Y147),$AB147,$AA147)))=Milestones!$AB$28),UPPER(TEXT(EDATE($D147,Milestones!$AA$28),"dd mmm yy"))&amp;" "&amp;Milestones!$AB$28&amp;" "&amp;IF(AND(Milestones!$AB$28="FT",Milestones!$AA$28=FT_Y5,EDATE($D147,Milestones!$AA$28)&lt;PolicyEff),1,Milestones!$AC$28)&amp;";  ","")&amp;IF(AND(EDATE($D147,Milestones!$AA$29)&lt;=AsOfDate,EDATE($D147,Milestones!$AA$29)&gt;=SchemeStart,IF($X147=0,$AD147,IF(AND($Z147&lt;&gt;"",EDATE($D147,Milestones!$AA$29)&gt;=$Z147),$AC147,IF(AND($Y147&lt;&gt;"",EDATE($D147,Milestones!$AA$29)&gt;=$Y147),$AB147,$AA147)))=Milestones!$AB$29),UPPER(TEXT(EDATE($D147,Milestones!$AA$29),"dd mmm yy"))&amp;" "&amp;Milestones!$AB$29&amp;" "&amp;IF(AND(Milestones!$AB$29="FT",Milestones!$AA$29=FT_Y5,EDATE($D147,Milestones!$AA$29)&lt;PolicyEff),1,Milestones!$AC$29)&amp;";  ","")&amp;IF(AND(EDATE($D147,Milestones!$AA$30)&lt;=AsOfDate,EDATE($D147,Milestones!$AA$30)&gt;=SchemeStart,IF($X147=0,$AD147,IF(AND($Z147&lt;&gt;"",EDATE($D147,Milestones!$AA$30)&gt;=$Z147),$AC147,IF(AND($Y147&lt;&gt;"",EDATE($D147,Milestones!$AA$30)&gt;=$Y147),$AB147,$AA147)))=Milestones!$AB$30),UPPER(TEXT(EDATE($D147,Milestones!$AA$30),"dd mmm yy"))&amp;" "&amp;Milestones!$AB$30&amp;" "&amp;IF(AND(Milestones!$AB$30="FT",Milestones!$AA$30=FT_Y5,EDATE($D147,Milestones!$AA$30)&lt;PolicyEff),1,Milestones!$AC$30)&amp;";  ","")&amp;IF(AND(EDATE($D147,Milestones!$AA$31)&lt;=AsOfDate,EDATE($D147,Milestones!$AA$31)&gt;=SchemeStart,IF($X147=0,$AD147,IF(AND($Z147&lt;&gt;"",EDATE($D147,Milestones!$AA$31)&gt;=$Z147),$AC147,IF(AND($Y147&lt;&gt;"",EDATE($D147,Milestones!$AA$31)&gt;=$Y147),$AB147,$AA147)))=Milestones!$AB$31),UPPER(TEXT(EDATE($D147,Milestones!$AA$31),"dd mmm yy"))&amp;" "&amp;Milestones!$AB$31&amp;" "&amp;IF(AND(Milestones!$AB$31="FT",Milestones!$AA$31=FT_Y5,EDATE($D147,Milestones!$AA$31)&lt;PolicyEff),1,Milestones!$AC$31)&amp;";  ",""))</f>
        <v/>
      </c>
      <c r="J147" s="0" t="str">
        <f aca="false">IF(OR($A147="",$D147=""),"",IF(AND(EDATE($D147,Milestones!$AA$32)&lt;=AsOfDate,EDATE($D147,Milestones!$AA$32)&gt;=SchemeStart,IF($X147=0,$AD147,IF(AND($Z147&lt;&gt;"",EDATE($D147,Milestones!$AA$32)&gt;=$Z147),$AC147,IF(AND($Y147&lt;&gt;"",EDATE($D147,Milestones!$AA$32)&gt;=$Y147),$AB147,$AA147)))=Milestones!$AB$32),UPPER(TEXT(EDATE($D147,Milestones!$AA$32),"dd mmm yy"))&amp;" "&amp;Milestones!$AB$32&amp;" "&amp;IF(AND(Milestones!$AB$32="FT",Milestones!$AA$32=FT_Y5,EDATE($D147,Milestones!$AA$32)&lt;PolicyEff),1,Milestones!$AC$32)&amp;";  ","")&amp;IF(AND(EDATE($D147,Milestones!$AA$33)&lt;=AsOfDate,EDATE($D147,Milestones!$AA$33)&gt;=SchemeStart,IF($X147=0,$AD147,IF(AND($Z147&lt;&gt;"",EDATE($D147,Milestones!$AA$33)&gt;=$Z147),$AC147,IF(AND($Y147&lt;&gt;"",EDATE($D147,Milestones!$AA$33)&gt;=$Y147),$AB147,$AA147)))=Milestones!$AB$33),UPPER(TEXT(EDATE($D147,Milestones!$AA$33),"dd mmm yy"))&amp;" "&amp;Milestones!$AB$33&amp;" "&amp;IF(AND(Milestones!$AB$33="FT",Milestones!$AA$33=FT_Y5,EDATE($D147,Milestones!$AA$33)&lt;PolicyEff),1,Milestones!$AC$33)&amp;";  ","")&amp;IF(AND(EDATE($D147,Milestones!$AA$34)&lt;=AsOfDate,EDATE($D147,Milestones!$AA$34)&gt;=SchemeStart,IF($X147=0,$AD147,IF(AND($Z147&lt;&gt;"",EDATE($D147,Milestones!$AA$34)&gt;=$Z147),$AC147,IF(AND($Y147&lt;&gt;"",EDATE($D147,Milestones!$AA$34)&gt;=$Y147),$AB147,$AA147)))=Milestones!$AB$34),UPPER(TEXT(EDATE($D147,Milestones!$AA$34),"dd mmm yy"))&amp;" "&amp;Milestones!$AB$34&amp;" "&amp;IF(AND(Milestones!$AB$34="FT",Milestones!$AA$34=FT_Y5,EDATE($D147,Milestones!$AA$34)&lt;PolicyEff),1,Milestones!$AC$34)&amp;";  ","")&amp;IF(AND(EDATE($D147,Milestones!$AA$35)&lt;=AsOfDate,EDATE($D147,Milestones!$AA$35)&gt;=SchemeStart,IF($X147=0,$AD147,IF(AND($Z147&lt;&gt;"",EDATE($D147,Milestones!$AA$35)&gt;=$Z147),$AC147,IF(AND($Y147&lt;&gt;"",EDATE($D147,Milestones!$AA$35)&gt;=$Y147),$AB147,$AA147)))=Milestones!$AB$35),UPPER(TEXT(EDATE($D147,Milestones!$AA$35),"dd mmm yy"))&amp;" "&amp;Milestones!$AB$35&amp;" "&amp;IF(AND(Milestones!$AB$35="FT",Milestones!$AA$35=FT_Y5,EDATE($D147,Milestones!$AA$35)&lt;PolicyEff),1,Milestones!$AC$35)&amp;";  ","")&amp;IF(AND(EDATE($D147,Milestones!$AA$36)&lt;=AsOfDate,EDATE($D147,Milestones!$AA$36)&gt;=SchemeStart,IF($X147=0,$AD147,IF(AND($Z147&lt;&gt;"",EDATE($D147,Milestones!$AA$36)&gt;=$Z147),$AC147,IF(AND($Y147&lt;&gt;"",EDATE($D147,Milestones!$AA$36)&gt;=$Y147),$AB147,$AA147)))=Milestones!$AB$36),UPPER(TEXT(EDATE($D147,Milestones!$AA$36),"dd mmm yy"))&amp;" "&amp;Milestones!$AB$36&amp;" "&amp;IF(AND(Milestones!$AB$36="FT",Milestones!$AA$36=FT_Y5,EDATE($D147,Milestones!$AA$36)&lt;PolicyEff),1,Milestones!$AC$36)&amp;";  ","")&amp;IF(AND(EDATE($D147,Milestones!$AA$37)&lt;=AsOfDate,EDATE($D147,Milestones!$AA$37)&gt;=SchemeStart,IF($X147=0,$AD147,IF(AND($Z147&lt;&gt;"",EDATE($D147,Milestones!$AA$37)&gt;=$Z147),$AC147,IF(AND($Y147&lt;&gt;"",EDATE($D147,Milestones!$AA$37)&gt;=$Y147),$AB147,$AA147)))=Milestones!$AB$37),UPPER(TEXT(EDATE($D147,Milestones!$AA$37),"dd mmm yy"))&amp;" "&amp;Milestones!$AB$37&amp;" "&amp;IF(AND(Milestones!$AB$37="FT",Milestones!$AA$37=FT_Y5,EDATE($D147,Milestones!$AA$37)&lt;PolicyEff),1,Milestones!$AC$37)&amp;";  ","")&amp;IF(AND(EDATE($D147,Milestones!$AA$38)&lt;=AsOfDate,EDATE($D147,Milestones!$AA$38)&gt;=SchemeStart,IF($X147=0,$AD147,IF(AND($Z147&lt;&gt;"",EDATE($D147,Milestones!$AA$38)&gt;=$Z147),$AC147,IF(AND($Y147&lt;&gt;"",EDATE($D147,Milestones!$AA$38)&gt;=$Y147),$AB147,$AA147)))=Milestones!$AB$38),UPPER(TEXT(EDATE($D147,Milestones!$AA$38),"dd mmm yy"))&amp;" "&amp;Milestones!$AB$38&amp;" "&amp;IF(AND(Milestones!$AB$38="FT",Milestones!$AA$38=FT_Y5,EDATE($D147,Milestones!$AA$38)&lt;PolicyEff),1,Milestones!$AC$38)&amp;";  ","")&amp;IF(AND(EDATE($D147,Milestones!$AA$39)&lt;=AsOfDate,EDATE($D147,Milestones!$AA$39)&gt;=SchemeStart,IF($X147=0,$AD147,IF(AND($Z147&lt;&gt;"",EDATE($D147,Milestones!$AA$39)&gt;=$Z147),$AC147,IF(AND($Y147&lt;&gt;"",EDATE($D147,Milestones!$AA$39)&gt;=$Y147),$AB147,$AA147)))=Milestones!$AB$39),UPPER(TEXT(EDATE($D147,Milestones!$AA$39),"dd mmm yy"))&amp;" "&amp;Milestones!$AB$39&amp;" "&amp;IF(AND(Milestones!$AB$39="FT",Milestones!$AA$39=FT_Y5,EDATE($D147,Milestones!$AA$39)&lt;PolicyEff),1,Milestones!$AC$39)&amp;";  ","")&amp;IF(AND(EDATE($D147,Milestones!$AA$40)&lt;=AsOfDate,EDATE($D147,Milestones!$AA$40)&gt;=SchemeStart,IF($X147=0,$AD147,IF(AND($Z147&lt;&gt;"",EDATE($D147,Milestones!$AA$40)&gt;=$Z147),$AC147,IF(AND($Y147&lt;&gt;"",EDATE($D147,Milestones!$AA$40)&gt;=$Y147),$AB147,$AA147)))=Milestones!$AB$40),UPPER(TEXT(EDATE($D147,Milestones!$AA$40),"dd mmm yy"))&amp;" "&amp;Milestones!$AB$40&amp;" "&amp;IF(AND(Milestones!$AB$40="FT",Milestones!$AA$40=FT_Y5,EDATE($D147,Milestones!$AA$40)&lt;PolicyEff),1,Milestones!$AC$40)&amp;";  ","")&amp;IF(AND(EDATE($D147,Milestones!$AA$41)&lt;=AsOfDate,EDATE($D147,Milestones!$AA$41)&gt;=SchemeStart,IF($X147=0,$AD147,IF(AND($Z147&lt;&gt;"",EDATE($D147,Milestones!$AA$41)&gt;=$Z147),$AC147,IF(AND($Y147&lt;&gt;"",EDATE($D147,Milestones!$AA$41)&gt;=$Y147),$AB147,$AA147)))=Milestones!$AB$41),UPPER(TEXT(EDATE($D147,Milestones!$AA$41),"dd mmm yy"))&amp;" "&amp;Milestones!$AB$41&amp;" "&amp;IF(AND(Milestones!$AB$41="FT",Milestones!$AA$41=FT_Y5,EDATE($D147,Milestones!$AA$41)&lt;PolicyEff),1,Milestones!$AC$41)&amp;";  ","")&amp;IF(AND(EDATE($D147,Milestones!$AA$42)&lt;=AsOfDate,EDATE($D147,Milestones!$AA$42)&gt;=SchemeStart,IF($X147=0,$AD147,IF(AND($Z147&lt;&gt;"",EDATE($D147,Milestones!$AA$42)&gt;=$Z147),$AC147,IF(AND($Y147&lt;&gt;"",EDATE($D147,Milestones!$AA$42)&gt;=$Y147),$AB147,$AA147)))=Milestones!$AB$42),UPPER(TEXT(EDATE($D147,Milestones!$AA$42),"dd mmm yy"))&amp;" "&amp;Milestones!$AB$42&amp;" "&amp;IF(AND(Milestones!$AB$42="FT",Milestones!$AA$42=FT_Y5,EDATE($D147,Milestones!$AA$42)&lt;PolicyEff),1,Milestones!$AC$42)&amp;";  ","")&amp;IF(AND(EDATE($D147,Milestones!$AA$43)&lt;=AsOfDate,EDATE($D147,Milestones!$AA$43)&gt;=SchemeStart,IF($X147=0,$AD147,IF(AND($Z147&lt;&gt;"",EDATE($D147,Milestones!$AA$43)&gt;=$Z147),$AC147,IF(AND($Y147&lt;&gt;"",EDATE($D147,Milestones!$AA$43)&gt;=$Y147),$AB147,$AA147)))=Milestones!$AB$43),UPPER(TEXT(EDATE($D147,Milestones!$AA$43),"dd mmm yy"))&amp;" "&amp;Milestones!$AB$43&amp;" "&amp;IF(AND(Milestones!$AB$43="FT",Milestones!$AA$43=FT_Y5,EDATE($D147,Milestones!$AA$43)&lt;PolicyEff),1,Milestones!$AC$43)&amp;";  ",""))</f>
        <v/>
      </c>
      <c r="K147" s="0" t="str">
        <f aca="false">IF(OR($A147="",$D147=""),"",IF(AND(EDATE($D147,Milestones!$AA$44)&lt;=AsOfDate,EDATE($D147,Milestones!$AA$44)&gt;=SchemeStart,IF($X147=0,$AD147,IF(AND($Z147&lt;&gt;"",EDATE($D147,Milestones!$AA$44)&gt;=$Z147),$AC147,IF(AND($Y147&lt;&gt;"",EDATE($D147,Milestones!$AA$44)&gt;=$Y147),$AB147,$AA147)))=Milestones!$AB$44),UPPER(TEXT(EDATE($D147,Milestones!$AA$44),"dd mmm yy"))&amp;" "&amp;Milestones!$AB$44&amp;" "&amp;IF(AND(Milestones!$AB$44="FT",Milestones!$AA$44=FT_Y5,EDATE($D147,Milestones!$AA$44)&lt;PolicyEff),1,Milestones!$AC$44)&amp;";  ","")&amp;IF(AND(EDATE($D147,Milestones!$AA$45)&lt;=AsOfDate,EDATE($D147,Milestones!$AA$45)&gt;=SchemeStart,IF($X147=0,$AD147,IF(AND($Z147&lt;&gt;"",EDATE($D147,Milestones!$AA$45)&gt;=$Z147),$AC147,IF(AND($Y147&lt;&gt;"",EDATE($D147,Milestones!$AA$45)&gt;=$Y147),$AB147,$AA147)))=Milestones!$AB$45),UPPER(TEXT(EDATE($D147,Milestones!$AA$45),"dd mmm yy"))&amp;" "&amp;Milestones!$AB$45&amp;" "&amp;IF(AND(Milestones!$AB$45="FT",Milestones!$AA$45=FT_Y5,EDATE($D147,Milestones!$AA$45)&lt;PolicyEff),1,Milestones!$AC$45)&amp;";  ","")&amp;IF(AND(EDATE($D147,Milestones!$AA$46)&lt;=AsOfDate,EDATE($D147,Milestones!$AA$46)&gt;=SchemeStart,IF($X147=0,$AD147,IF(AND($Z147&lt;&gt;"",EDATE($D147,Milestones!$AA$46)&gt;=$Z147),$AC147,IF(AND($Y147&lt;&gt;"",EDATE($D147,Milestones!$AA$46)&gt;=$Y147),$AB147,$AA147)))=Milestones!$AB$46),UPPER(TEXT(EDATE($D147,Milestones!$AA$46),"dd mmm yy"))&amp;" "&amp;Milestones!$AB$46&amp;" "&amp;IF(AND(Milestones!$AB$46="FT",Milestones!$AA$46=FT_Y5,EDATE($D147,Milestones!$AA$46)&lt;PolicyEff),1,Milestones!$AC$46)&amp;";  ","")&amp;IF(AND(EDATE($D147,Milestones!$AA$47)&lt;=AsOfDate,EDATE($D147,Milestones!$AA$47)&gt;=SchemeStart,IF($X147=0,$AD147,IF(AND($Z147&lt;&gt;"",EDATE($D147,Milestones!$AA$47)&gt;=$Z147),$AC147,IF(AND($Y147&lt;&gt;"",EDATE($D147,Milestones!$AA$47)&gt;=$Y147),$AB147,$AA147)))=Milestones!$AB$47),UPPER(TEXT(EDATE($D147,Milestones!$AA$47),"dd mmm yy"))&amp;" "&amp;Milestones!$AB$47&amp;" "&amp;IF(AND(Milestones!$AB$47="FT",Milestones!$AA$47=FT_Y5,EDATE($D147,Milestones!$AA$47)&lt;PolicyEff),1,Milestones!$AC$47)&amp;";  ","")&amp;IF(AND(EDATE($D147,Milestones!$AA$48)&lt;=AsOfDate,EDATE($D147,Milestones!$AA$48)&gt;=SchemeStart,IF($X147=0,$AD147,IF(AND($Z147&lt;&gt;"",EDATE($D147,Milestones!$AA$48)&gt;=$Z147),$AC147,IF(AND($Y147&lt;&gt;"",EDATE($D147,Milestones!$AA$48)&gt;=$Y147),$AB147,$AA147)))=Milestones!$AB$48),UPPER(TEXT(EDATE($D147,Milestones!$AA$48),"dd mmm yy"))&amp;" "&amp;Milestones!$AB$48&amp;" "&amp;IF(AND(Milestones!$AB$48="FT",Milestones!$AA$48=FT_Y5,EDATE($D147,Milestones!$AA$48)&lt;PolicyEff),1,Milestones!$AC$48)&amp;";  ","")&amp;IF(AND(EDATE($D147,Milestones!$AA$49)&lt;=AsOfDate,EDATE($D147,Milestones!$AA$49)&gt;=SchemeStart,IF($X147=0,$AD147,IF(AND($Z147&lt;&gt;"",EDATE($D147,Milestones!$AA$49)&gt;=$Z147),$AC147,IF(AND($Y147&lt;&gt;"",EDATE($D147,Milestones!$AA$49)&gt;=$Y147),$AB147,$AA147)))=Milestones!$AB$49),UPPER(TEXT(EDATE($D147,Milestones!$AA$49),"dd mmm yy"))&amp;" "&amp;Milestones!$AB$49&amp;" "&amp;IF(AND(Milestones!$AB$49="FT",Milestones!$AA$49=FT_Y5,EDATE($D147,Milestones!$AA$49)&lt;PolicyEff),1,Milestones!$AC$49)&amp;";  ","")&amp;IF(AND(EDATE($D147,Milestones!$AA$50)&lt;=AsOfDate,EDATE($D147,Milestones!$AA$50)&gt;=SchemeStart,IF($X147=0,$AD147,IF(AND($Z147&lt;&gt;"",EDATE($D147,Milestones!$AA$50)&gt;=$Z147),$AC147,IF(AND($Y147&lt;&gt;"",EDATE($D147,Milestones!$AA$50)&gt;=$Y147),$AB147,$AA147)))=Milestones!$AB$50),UPPER(TEXT(EDATE($D147,Milestones!$AA$50),"dd mmm yy"))&amp;" "&amp;Milestones!$AB$50&amp;" "&amp;IF(AND(Milestones!$AB$50="FT",Milestones!$AA$50=FT_Y5,EDATE($D147,Milestones!$AA$50)&lt;PolicyEff),1,Milestones!$AC$50)&amp;";  ","")&amp;IF(AND(EDATE($D147,Milestones!$AA$51)&lt;=AsOfDate,EDATE($D147,Milestones!$AA$51)&gt;=SchemeStart,IF($X147=0,$AD147,IF(AND($Z147&lt;&gt;"",EDATE($D147,Milestones!$AA$51)&gt;=$Z147),$AC147,IF(AND($Y147&lt;&gt;"",EDATE($D147,Milestones!$AA$51)&gt;=$Y147),$AB147,$AA147)))=Milestones!$AB$51),UPPER(TEXT(EDATE($D147,Milestones!$AA$51),"dd mmm yy"))&amp;" "&amp;Milestones!$AB$51&amp;" "&amp;IF(AND(Milestones!$AB$51="FT",Milestones!$AA$51=FT_Y5,EDATE($D147,Milestones!$AA$51)&lt;PolicyEff),1,Milestones!$AC$51)&amp;";  ","")&amp;IF(AND(EDATE($D147,Milestones!$AA$52)&lt;=AsOfDate,EDATE($D147,Milestones!$AA$52)&gt;=SchemeStart,IF($X147=0,$AD147,IF(AND($Z147&lt;&gt;"",EDATE($D147,Milestones!$AA$52)&gt;=$Z147),$AC147,IF(AND($Y147&lt;&gt;"",EDATE($D147,Milestones!$AA$52)&gt;=$Y147),$AB147,$AA147)))=Milestones!$AB$52),UPPER(TEXT(EDATE($D147,Milestones!$AA$52),"dd mmm yy"))&amp;" "&amp;Milestones!$AB$52&amp;" "&amp;IF(AND(Milestones!$AB$52="FT",Milestones!$AA$52=FT_Y5,EDATE($D147,Milestones!$AA$52)&lt;PolicyEff),1,Milestones!$AC$52)&amp;";  ","")&amp;IF(AND(EDATE($D147,Milestones!$AA$53)&lt;=AsOfDate,EDATE($D147,Milestones!$AA$53)&gt;=SchemeStart,IF($X147=0,$AD147,IF(AND($Z147&lt;&gt;"",EDATE($D147,Milestones!$AA$53)&gt;=$Z147),$AC147,IF(AND($Y147&lt;&gt;"",EDATE($D147,Milestones!$AA$53)&gt;=$Y147),$AB147,$AA147)))=Milestones!$AB$53),UPPER(TEXT(EDATE($D147,Milestones!$AA$53),"dd mmm yy"))&amp;" "&amp;Milestones!$AB$53&amp;" "&amp;IF(AND(Milestones!$AB$53="FT",Milestones!$AA$53=FT_Y5,EDATE($D147,Milestones!$AA$53)&lt;PolicyEff),1,Milestones!$AC$53)&amp;";  ","")&amp;IF(AND(EDATE($D147,Milestones!$AA$54)&lt;=AsOfDate,EDATE($D147,Milestones!$AA$54)&gt;=SchemeStart,IF($X147=0,$AD147,IF(AND($Z147&lt;&gt;"",EDATE($D147,Milestones!$AA$54)&gt;=$Z147),$AC147,IF(AND($Y147&lt;&gt;"",EDATE($D147,Milestones!$AA$54)&gt;=$Y147),$AB147,$AA147)))=Milestones!$AB$54),UPPER(TEXT(EDATE($D147,Milestones!$AA$54),"dd mmm yy"))&amp;" "&amp;Milestones!$AB$54&amp;" "&amp;IF(AND(Milestones!$AB$54="FT",Milestones!$AA$54=FT_Y5,EDATE($D147,Milestones!$AA$54)&lt;PolicyEff),1,Milestones!$AC$54)&amp;";  ","")&amp;IF(AND(EDATE($D147,Milestones!$AA$55)&lt;=AsOfDate,EDATE($D147,Milestones!$AA$55)&gt;=SchemeStart,IF($X147=0,$AD147,IF(AND($Z147&lt;&gt;"",EDATE($D147,Milestones!$AA$55)&gt;=$Z147),$AC147,IF(AND($Y147&lt;&gt;"",EDATE($D147,Milestones!$AA$55)&gt;=$Y147),$AB147,$AA147)))=Milestones!$AB$55),UPPER(TEXT(EDATE($D147,Milestones!$AA$55),"dd mmm yy"))&amp;" "&amp;Milestones!$AB$55&amp;" "&amp;IF(AND(Milestones!$AB$55="FT",Milestones!$AA$55=FT_Y5,EDATE($D147,Milestones!$AA$55)&lt;PolicyEff),1,Milestones!$AC$55)&amp;";  ",""))</f>
        <v/>
      </c>
      <c r="L147" s="0" t="str">
        <f aca="false">IF(OR($A147="",$D147=""),"",IF(AND(EDATE($D147,Milestones!$AA$56)&lt;=AsOfDate,EDATE($D147,Milestones!$AA$56)&gt;=SchemeStart,IF($X147=0,$AD147,IF(AND($Z147&lt;&gt;"",EDATE($D147,Milestones!$AA$56)&gt;=$Z147),$AC147,IF(AND($Y147&lt;&gt;"",EDATE($D147,Milestones!$AA$56)&gt;=$Y147),$AB147,$AA147)))=Milestones!$AB$56),UPPER(TEXT(EDATE($D147,Milestones!$AA$56),"dd mmm yy"))&amp;" "&amp;Milestones!$AB$56&amp;" "&amp;IF(AND(Milestones!$AB$56="FT",Milestones!$AA$56=FT_Y5,EDATE($D147,Milestones!$AA$56)&lt;PolicyEff),1,Milestones!$AC$56)&amp;";  ","")&amp;IF(AND(EDATE($D147,Milestones!$AA$57)&lt;=AsOfDate,EDATE($D147,Milestones!$AA$57)&gt;=SchemeStart,IF($X147=0,$AD147,IF(AND($Z147&lt;&gt;"",EDATE($D147,Milestones!$AA$57)&gt;=$Z147),$AC147,IF(AND($Y147&lt;&gt;"",EDATE($D147,Milestones!$AA$57)&gt;=$Y147),$AB147,$AA147)))=Milestones!$AB$57),UPPER(TEXT(EDATE($D147,Milestones!$AA$57),"dd mmm yy"))&amp;" "&amp;Milestones!$AB$57&amp;" "&amp;IF(AND(Milestones!$AB$57="FT",Milestones!$AA$57=FT_Y5,EDATE($D147,Milestones!$AA$57)&lt;PolicyEff),1,Milestones!$AC$57)&amp;";  ","")&amp;IF(AND(EDATE($D147,Milestones!$AA$58)&lt;=AsOfDate,EDATE($D147,Milestones!$AA$58)&gt;=SchemeStart,IF($X147=0,$AD147,IF(AND($Z147&lt;&gt;"",EDATE($D147,Milestones!$AA$58)&gt;=$Z147),$AC147,IF(AND($Y147&lt;&gt;"",EDATE($D147,Milestones!$AA$58)&gt;=$Y147),$AB147,$AA147)))=Milestones!$AB$58),UPPER(TEXT(EDATE($D147,Milestones!$AA$58),"dd mmm yy"))&amp;" "&amp;Milestones!$AB$58&amp;" "&amp;IF(AND(Milestones!$AB$58="FT",Milestones!$AA$58=FT_Y5,EDATE($D147,Milestones!$AA$58)&lt;PolicyEff),1,Milestones!$AC$58)&amp;";  ","")&amp;IF(AND(EDATE($D147,Milestones!$AA$59)&lt;=AsOfDate,EDATE($D147,Milestones!$AA$59)&gt;=SchemeStart,IF($X147=0,$AD147,IF(AND($Z147&lt;&gt;"",EDATE($D147,Milestones!$AA$59)&gt;=$Z147),$AC147,IF(AND($Y147&lt;&gt;"",EDATE($D147,Milestones!$AA$59)&gt;=$Y147),$AB147,$AA147)))=Milestones!$AB$59),UPPER(TEXT(EDATE($D147,Milestones!$AA$59),"dd mmm yy"))&amp;" "&amp;Milestones!$AB$59&amp;" "&amp;IF(AND(Milestones!$AB$59="FT",Milestones!$AA$59=FT_Y5,EDATE($D147,Milestones!$AA$59)&lt;PolicyEff),1,Milestones!$AC$59)&amp;";  ","")&amp;IF(AND(EDATE($D147,Milestones!$AA$60)&lt;=AsOfDate,EDATE($D147,Milestones!$AA$60)&gt;=SchemeStart,IF($X147=0,$AD147,IF(AND($Z147&lt;&gt;"",EDATE($D147,Milestones!$AA$60)&gt;=$Z147),$AC147,IF(AND($Y147&lt;&gt;"",EDATE($D147,Milestones!$AA$60)&gt;=$Y147),$AB147,$AA147)))=Milestones!$AB$60),UPPER(TEXT(EDATE($D147,Milestones!$AA$60),"dd mmm yy"))&amp;" "&amp;Milestones!$AB$60&amp;" "&amp;IF(AND(Milestones!$AB$60="FT",Milestones!$AA$60=FT_Y5,EDATE($D147,Milestones!$AA$60)&lt;PolicyEff),1,Milestones!$AC$60)&amp;";  ","")&amp;IF(AND(EDATE($D147,Milestones!$AA$61)&lt;=AsOfDate,EDATE($D147,Milestones!$AA$61)&gt;=SchemeStart,IF($X147=0,$AD147,IF(AND($Z147&lt;&gt;"",EDATE($D147,Milestones!$AA$61)&gt;=$Z147),$AC147,IF(AND($Y147&lt;&gt;"",EDATE($D147,Milestones!$AA$61)&gt;=$Y147),$AB147,$AA147)))=Milestones!$AB$61),UPPER(TEXT(EDATE($D147,Milestones!$AA$61),"dd mmm yy"))&amp;" "&amp;Milestones!$AB$61&amp;" "&amp;IF(AND(Milestones!$AB$61="FT",Milestones!$AA$61=FT_Y5,EDATE($D147,Milestones!$AA$61)&lt;PolicyEff),1,Milestones!$AC$61)&amp;";  ","")&amp;IF(AND(EDATE($D147,Milestones!$AA$62)&lt;=AsOfDate,EDATE($D147,Milestones!$AA$62)&gt;=SchemeStart,IF($X147=0,$AD147,IF(AND($Z147&lt;&gt;"",EDATE($D147,Milestones!$AA$62)&gt;=$Z147),$AC147,IF(AND($Y147&lt;&gt;"",EDATE($D147,Milestones!$AA$62)&gt;=$Y147),$AB147,$AA147)))=Milestones!$AB$62),UPPER(TEXT(EDATE($D147,Milestones!$AA$62),"dd mmm yy"))&amp;" "&amp;Milestones!$AB$62&amp;" "&amp;IF(AND(Milestones!$AB$62="FT",Milestones!$AA$62=FT_Y5,EDATE($D147,Milestones!$AA$62)&lt;PolicyEff),1,Milestones!$AC$62)&amp;";  ","")&amp;IF(AND(EDATE($D147,Milestones!$AA$63)&lt;=AsOfDate,EDATE($D147,Milestones!$AA$63)&gt;=SchemeStart,IF($X147=0,$AD147,IF(AND($Z147&lt;&gt;"",EDATE($D147,Milestones!$AA$63)&gt;=$Z147),$AC147,IF(AND($Y147&lt;&gt;"",EDATE($D147,Milestones!$AA$63)&gt;=$Y147),$AB147,$AA147)))=Milestones!$AB$63),UPPER(TEXT(EDATE($D147,Milestones!$AA$63),"dd mmm yy"))&amp;" "&amp;Milestones!$AB$63&amp;" "&amp;IF(AND(Milestones!$AB$63="FT",Milestones!$AA$63=FT_Y5,EDATE($D147,Milestones!$AA$63)&lt;PolicyEff),1,Milestones!$AC$63)&amp;";  ","")&amp;IF(AND(EDATE($D147,Milestones!$AA$64)&lt;=AsOfDate,EDATE($D147,Milestones!$AA$64)&gt;=SchemeStart,IF($X147=0,$AD147,IF(AND($Z147&lt;&gt;"",EDATE($D147,Milestones!$AA$64)&gt;=$Z147),$AC147,IF(AND($Y147&lt;&gt;"",EDATE($D147,Milestones!$AA$64)&gt;=$Y147),$AB147,$AA147)))=Milestones!$AB$64),UPPER(TEXT(EDATE($D147,Milestones!$AA$64),"dd mmm yy"))&amp;" "&amp;Milestones!$AB$64&amp;" "&amp;IF(AND(Milestones!$AB$64="FT",Milestones!$AA$64=FT_Y5,EDATE($D147,Milestones!$AA$64)&lt;PolicyEff),1,Milestones!$AC$64)&amp;";  ","")&amp;IF(AND(EDATE($D147,Milestones!$AA$65)&lt;=AsOfDate,EDATE($D147,Milestones!$AA$65)&gt;=SchemeStart,IF($X147=0,$AD147,IF(AND($Z147&lt;&gt;"",EDATE($D147,Milestones!$AA$65)&gt;=$Z147),$AC147,IF(AND($Y147&lt;&gt;"",EDATE($D147,Milestones!$AA$65)&gt;=$Y147),$AB147,$AA147)))=Milestones!$AB$65),UPPER(TEXT(EDATE($D147,Milestones!$AA$65),"dd mmm yy"))&amp;" "&amp;Milestones!$AB$65&amp;" "&amp;IF(AND(Milestones!$AB$65="FT",Milestones!$AA$65=FT_Y5,EDATE($D147,Milestones!$AA$65)&lt;PolicyEff),1,Milestones!$AC$65)&amp;";  ","")&amp;IF(AND(EDATE($D147,Milestones!$AA$66)&lt;=AsOfDate,EDATE($D147,Milestones!$AA$66)&gt;=SchemeStart,IF($X147=0,$AD147,IF(AND($Z147&lt;&gt;"",EDATE($D147,Milestones!$AA$66)&gt;=$Z147),$AC147,IF(AND($Y147&lt;&gt;"",EDATE($D147,Milestones!$AA$66)&gt;=$Y147),$AB147,$AA147)))=Milestones!$AB$66),UPPER(TEXT(EDATE($D147,Milestones!$AA$66),"dd mmm yy"))&amp;" "&amp;Milestones!$AB$66&amp;" "&amp;IF(AND(Milestones!$AB$66="FT",Milestones!$AA$66=FT_Y5,EDATE($D147,Milestones!$AA$66)&lt;PolicyEff),1,Milestones!$AC$66)&amp;";  ","")&amp;IF(AND(EDATE($D147,Milestones!$AA$67)&lt;=AsOfDate,EDATE($D147,Milestones!$AA$67)&gt;=SchemeStart,IF($X147=0,$AD147,IF(AND($Z147&lt;&gt;"",EDATE($D147,Milestones!$AA$67)&gt;=$Z147),$AC147,IF(AND($Y147&lt;&gt;"",EDATE($D147,Milestones!$AA$67)&gt;=$Y147),$AB147,$AA147)))=Milestones!$AB$67),UPPER(TEXT(EDATE($D147,Milestones!$AA$67),"dd mmm yy"))&amp;" "&amp;Milestones!$AB$67&amp;" "&amp;IF(AND(Milestones!$AB$67="FT",Milestones!$AA$67=FT_Y5,EDATE($D147,Milestones!$AA$67)&lt;PolicyEff),1,Milestones!$AC$67)&amp;";  ",""))</f>
        <v/>
      </c>
      <c r="M147" s="0" t="str">
        <f aca="false">IF(OR($A147="",$D147=""),"",IF(AND(EDATE($D147,Milestones!$AA$68)&lt;=AsOfDate,EDATE($D147,Milestones!$AA$68)&gt;=SchemeStart,IF($X147=0,$AD147,IF(AND($Z147&lt;&gt;"",EDATE($D147,Milestones!$AA$68)&gt;=$Z147),$AC147,IF(AND($Y147&lt;&gt;"",EDATE($D147,Milestones!$AA$68)&gt;=$Y147),$AB147,$AA147)))=Milestones!$AB$68),UPPER(TEXT(EDATE($D147,Milestones!$AA$68),"dd mmm yy"))&amp;" "&amp;Milestones!$AB$68&amp;" "&amp;IF(AND(Milestones!$AB$68="FT",Milestones!$AA$68=FT_Y5,EDATE($D147,Milestones!$AA$68)&lt;PolicyEff),1,Milestones!$AC$68)&amp;";  ","")&amp;IF(AND(EDATE($D147,Milestones!$AA$69)&lt;=AsOfDate,EDATE($D147,Milestones!$AA$69)&gt;=SchemeStart,IF($X147=0,$AD147,IF(AND($Z147&lt;&gt;"",EDATE($D147,Milestones!$AA$69)&gt;=$Z147),$AC147,IF(AND($Y147&lt;&gt;"",EDATE($D147,Milestones!$AA$69)&gt;=$Y147),$AB147,$AA147)))=Milestones!$AB$69),UPPER(TEXT(EDATE($D147,Milestones!$AA$69),"dd mmm yy"))&amp;" "&amp;Milestones!$AB$69&amp;" "&amp;IF(AND(Milestones!$AB$69="FT",Milestones!$AA$69=FT_Y5,EDATE($D147,Milestones!$AA$69)&lt;PolicyEff),1,Milestones!$AC$69)&amp;";  ","")&amp;IF(AND(EDATE($D147,Milestones!$AA$70)&lt;=AsOfDate,EDATE($D147,Milestones!$AA$70)&gt;=SchemeStart,IF($X147=0,$AD147,IF(AND($Z147&lt;&gt;"",EDATE($D147,Milestones!$AA$70)&gt;=$Z147),$AC147,IF(AND($Y147&lt;&gt;"",EDATE($D147,Milestones!$AA$70)&gt;=$Y147),$AB147,$AA147)))=Milestones!$AB$70),UPPER(TEXT(EDATE($D147,Milestones!$AA$70),"dd mmm yy"))&amp;" "&amp;Milestones!$AB$70&amp;" "&amp;IF(AND(Milestones!$AB$70="FT",Milestones!$AA$70=FT_Y5,EDATE($D147,Milestones!$AA$70)&lt;PolicyEff),1,Milestones!$AC$70)&amp;";  ","")&amp;IF(AND(EDATE($D147,Milestones!$AA$71)&lt;=AsOfDate,EDATE($D147,Milestones!$AA$71)&gt;=SchemeStart,IF($X147=0,$AD147,IF(AND($Z147&lt;&gt;"",EDATE($D147,Milestones!$AA$71)&gt;=$Z147),$AC147,IF(AND($Y147&lt;&gt;"",EDATE($D147,Milestones!$AA$71)&gt;=$Y147),$AB147,$AA147)))=Milestones!$AB$71),UPPER(TEXT(EDATE($D147,Milestones!$AA$71),"dd mmm yy"))&amp;" "&amp;Milestones!$AB$71&amp;" "&amp;IF(AND(Milestones!$AB$71="FT",Milestones!$AA$71=FT_Y5,EDATE($D147,Milestones!$AA$71)&lt;PolicyEff),1,Milestones!$AC$71)&amp;";  ","")&amp;IF(AND(EDATE($D147,Milestones!$AA$72)&lt;=AsOfDate,EDATE($D147,Milestones!$AA$72)&gt;=SchemeStart,IF($X147=0,$AD147,IF(AND($Z147&lt;&gt;"",EDATE($D147,Milestones!$AA$72)&gt;=$Z147),$AC147,IF(AND($Y147&lt;&gt;"",EDATE($D147,Milestones!$AA$72)&gt;=$Y147),$AB147,$AA147)))=Milestones!$AB$72),UPPER(TEXT(EDATE($D147,Milestones!$AA$72),"dd mmm yy"))&amp;" "&amp;Milestones!$AB$72&amp;" "&amp;IF(AND(Milestones!$AB$72="FT",Milestones!$AA$72=FT_Y5,EDATE($D147,Milestones!$AA$72)&lt;PolicyEff),1,Milestones!$AC$72)&amp;";  ","")&amp;IF(AND(EDATE($D147,Milestones!$AA$73)&lt;=AsOfDate,EDATE($D147,Milestones!$AA$73)&gt;=SchemeStart,IF($X147=0,$AD147,IF(AND($Z147&lt;&gt;"",EDATE($D147,Milestones!$AA$73)&gt;=$Z147),$AC147,IF(AND($Y147&lt;&gt;"",EDATE($D147,Milestones!$AA$73)&gt;=$Y147),$AB147,$AA147)))=Milestones!$AB$73),UPPER(TEXT(EDATE($D147,Milestones!$AA$73),"dd mmm yy"))&amp;" "&amp;Milestones!$AB$73&amp;" "&amp;IF(AND(Milestones!$AB$73="FT",Milestones!$AA$73=FT_Y5,EDATE($D147,Milestones!$AA$73)&lt;PolicyEff),1,Milestones!$AC$73)&amp;";  ","")&amp;IF(AND(EDATE($D147,Milestones!$AA$74)&lt;=AsOfDate,EDATE($D147,Milestones!$AA$74)&gt;=SchemeStart,IF($X147=0,$AD147,IF(AND($Z147&lt;&gt;"",EDATE($D147,Milestones!$AA$74)&gt;=$Z147),$AC147,IF(AND($Y147&lt;&gt;"",EDATE($D147,Milestones!$AA$74)&gt;=$Y147),$AB147,$AA147)))=Milestones!$AB$74),UPPER(TEXT(EDATE($D147,Milestones!$AA$74),"dd mmm yy"))&amp;" "&amp;Milestones!$AB$74&amp;" "&amp;IF(AND(Milestones!$AB$74="FT",Milestones!$AA$74=FT_Y5,EDATE($D147,Milestones!$AA$74)&lt;PolicyEff),1,Milestones!$AC$74)&amp;";  ","")&amp;IF(AND(EDATE($D147,Milestones!$AA$75)&lt;=AsOfDate,EDATE($D147,Milestones!$AA$75)&gt;=SchemeStart,IF($X147=0,$AD147,IF(AND($Z147&lt;&gt;"",EDATE($D147,Milestones!$AA$75)&gt;=$Z147),$AC147,IF(AND($Y147&lt;&gt;"",EDATE($D147,Milestones!$AA$75)&gt;=$Y147),$AB147,$AA147)))=Milestones!$AB$75),UPPER(TEXT(EDATE($D147,Milestones!$AA$75),"dd mmm yy"))&amp;" "&amp;Milestones!$AB$75&amp;" "&amp;IF(AND(Milestones!$AB$75="FT",Milestones!$AA$75=FT_Y5,EDATE($D147,Milestones!$AA$75)&lt;PolicyEff),1,Milestones!$AC$75)&amp;";  ","")&amp;IF(AND(EDATE($D147,Milestones!$AA$76)&lt;=AsOfDate,EDATE($D147,Milestones!$AA$76)&gt;=SchemeStart,IF($X147=0,$AD147,IF(AND($Z147&lt;&gt;"",EDATE($D147,Milestones!$AA$76)&gt;=$Z147),$AC147,IF(AND($Y147&lt;&gt;"",EDATE($D147,Milestones!$AA$76)&gt;=$Y147),$AB147,$AA147)))=Milestones!$AB$76),UPPER(TEXT(EDATE($D147,Milestones!$AA$76),"dd mmm yy"))&amp;" "&amp;Milestones!$AB$76&amp;" "&amp;IF(AND(Milestones!$AB$76="FT",Milestones!$AA$76=FT_Y5,EDATE($D147,Milestones!$AA$76)&lt;PolicyEff),1,Milestones!$AC$76)&amp;";  ","")&amp;IF(AND(EDATE($D147,Milestones!$AA$77)&lt;=AsOfDate,EDATE($D147,Milestones!$AA$77)&gt;=SchemeStart,IF($X147=0,$AD147,IF(AND($Z147&lt;&gt;"",EDATE($D147,Milestones!$AA$77)&gt;=$Z147),$AC147,IF(AND($Y147&lt;&gt;"",EDATE($D147,Milestones!$AA$77)&gt;=$Y147),$AB147,$AA147)))=Milestones!$AB$77),UPPER(TEXT(EDATE($D147,Milestones!$AA$77),"dd mmm yy"))&amp;" "&amp;Milestones!$AB$77&amp;" "&amp;IF(AND(Milestones!$AB$77="FT",Milestones!$AA$77=FT_Y5,EDATE($D147,Milestones!$AA$77)&lt;PolicyEff),1,Milestones!$AC$77)&amp;";  ","")&amp;IF(AND(EDATE($D147,Milestones!$AA$78)&lt;=AsOfDate,EDATE($D147,Milestones!$AA$78)&gt;=SchemeStart,IF($X147=0,$AD147,IF(AND($Z147&lt;&gt;"",EDATE($D147,Milestones!$AA$78)&gt;=$Z147),$AC147,IF(AND($Y147&lt;&gt;"",EDATE($D147,Milestones!$AA$78)&gt;=$Y147),$AB147,$AA147)))=Milestones!$AB$78),UPPER(TEXT(EDATE($D147,Milestones!$AA$78),"dd mmm yy"))&amp;" "&amp;Milestones!$AB$78&amp;" "&amp;IF(AND(Milestones!$AB$78="FT",Milestones!$AA$78=FT_Y5,EDATE($D147,Milestones!$AA$78)&lt;PolicyEff),1,Milestones!$AC$78)&amp;";  ","")&amp;IF(AND(EDATE($D147,Milestones!$AA$79)&lt;=AsOfDate,EDATE($D147,Milestones!$AA$79)&gt;=SchemeStart,IF($X147=0,$AD147,IF(AND($Z147&lt;&gt;"",EDATE($D147,Milestones!$AA$79)&gt;=$Z147),$AC147,IF(AND($Y147&lt;&gt;"",EDATE($D147,Milestones!$AA$79)&gt;=$Y147),$AB147,$AA147)))=Milestones!$AB$79),UPPER(TEXT(EDATE($D147,Milestones!$AA$79),"dd mmm yy"))&amp;" "&amp;Milestones!$AB$79&amp;" "&amp;IF(AND(Milestones!$AB$79="FT",Milestones!$AA$79=FT_Y5,EDATE($D147,Milestones!$AA$79)&lt;PolicyEff),1,Milestones!$AC$79)&amp;";  ",""))</f>
        <v/>
      </c>
      <c r="N147" s="0" t="str">
        <f aca="false">IF(OR($A147="",$D147=""),"",IF(AND(EDATE($D147,Milestones!$AA$80)&lt;=AsOfDate,EDATE($D147,Milestones!$AA$80)&gt;=SchemeStart,IF($X147=0,$AD147,IF(AND($Z147&lt;&gt;"",EDATE($D147,Milestones!$AA$80)&gt;=$Z147),$AC147,IF(AND($Y147&lt;&gt;"",EDATE($D147,Milestones!$AA$80)&gt;=$Y147),$AB147,$AA147)))=Milestones!$AB$80),UPPER(TEXT(EDATE($D147,Milestones!$AA$80),"dd mmm yy"))&amp;" "&amp;Milestones!$AB$80&amp;" "&amp;IF(AND(Milestones!$AB$80="FT",Milestones!$AA$80=FT_Y5,EDATE($D147,Milestones!$AA$80)&lt;PolicyEff),1,Milestones!$AC$80)&amp;";  ","")&amp;IF(AND(EDATE($D147,Milestones!$AA$81)&lt;=AsOfDate,EDATE($D147,Milestones!$AA$81)&gt;=SchemeStart,IF($X147=0,$AD147,IF(AND($Z147&lt;&gt;"",EDATE($D147,Milestones!$AA$81)&gt;=$Z147),$AC147,IF(AND($Y147&lt;&gt;"",EDATE($D147,Milestones!$AA$81)&gt;=$Y147),$AB147,$AA147)))=Milestones!$AB$81),UPPER(TEXT(EDATE($D147,Milestones!$AA$81),"dd mmm yy"))&amp;" "&amp;Milestones!$AB$81&amp;" "&amp;IF(AND(Milestones!$AB$81="FT",Milestones!$AA$81=FT_Y5,EDATE($D147,Milestones!$AA$81)&lt;PolicyEff),1,Milestones!$AC$81)&amp;";  ","")&amp;IF(AND(EDATE($D147,Milestones!$AA$82)&lt;=AsOfDate,EDATE($D147,Milestones!$AA$82)&gt;=SchemeStart,IF($X147=0,$AD147,IF(AND($Z147&lt;&gt;"",EDATE($D147,Milestones!$AA$82)&gt;=$Z147),$AC147,IF(AND($Y147&lt;&gt;"",EDATE($D147,Milestones!$AA$82)&gt;=$Y147),$AB147,$AA147)))=Milestones!$AB$82),UPPER(TEXT(EDATE($D147,Milestones!$AA$82),"dd mmm yy"))&amp;" "&amp;Milestones!$AB$82&amp;" "&amp;IF(AND(Milestones!$AB$82="FT",Milestones!$AA$82=FT_Y5,EDATE($D147,Milestones!$AA$82)&lt;PolicyEff),1,Milestones!$AC$82)&amp;";  ","")&amp;IF(AND(EDATE($D147,Milestones!$AA$83)&lt;=AsOfDate,EDATE($D147,Milestones!$AA$83)&gt;=SchemeStart,IF($X147=0,$AD147,IF(AND($Z147&lt;&gt;"",EDATE($D147,Milestones!$AA$83)&gt;=$Z147),$AC147,IF(AND($Y147&lt;&gt;"",EDATE($D147,Milestones!$AA$83)&gt;=$Y147),$AB147,$AA147)))=Milestones!$AB$83),UPPER(TEXT(EDATE($D147,Milestones!$AA$83),"dd mmm yy"))&amp;" "&amp;Milestones!$AB$83&amp;" "&amp;IF(AND(Milestones!$AB$83="FT",Milestones!$AA$83=FT_Y5,EDATE($D147,Milestones!$AA$83)&lt;PolicyEff),1,Milestones!$AC$83)&amp;";  ","")&amp;IF(AND(EDATE($D147,Milestones!$AA$84)&lt;=AsOfDate,EDATE($D147,Milestones!$AA$84)&gt;=SchemeStart,IF($X147=0,$AD147,IF(AND($Z147&lt;&gt;"",EDATE($D147,Milestones!$AA$84)&gt;=$Z147),$AC147,IF(AND($Y147&lt;&gt;"",EDATE($D147,Milestones!$AA$84)&gt;=$Y147),$AB147,$AA147)))=Milestones!$AB$84),UPPER(TEXT(EDATE($D147,Milestones!$AA$84),"dd mmm yy"))&amp;" "&amp;Milestones!$AB$84&amp;" "&amp;IF(AND(Milestones!$AB$84="FT",Milestones!$AA$84=FT_Y5,EDATE($D147,Milestones!$AA$84)&lt;PolicyEff),1,Milestones!$AC$84)&amp;";  ","")&amp;IF(AND(EDATE($D147,Milestones!$AA$85)&lt;=AsOfDate,EDATE($D147,Milestones!$AA$85)&gt;=SchemeStart,IF($X147=0,$AD147,IF(AND($Z147&lt;&gt;"",EDATE($D147,Milestones!$AA$85)&gt;=$Z147),$AC147,IF(AND($Y147&lt;&gt;"",EDATE($D147,Milestones!$AA$85)&gt;=$Y147),$AB147,$AA147)))=Milestones!$AB$85),UPPER(TEXT(EDATE($D147,Milestones!$AA$85),"dd mmm yy"))&amp;" "&amp;Milestones!$AB$85&amp;" "&amp;IF(AND(Milestones!$AB$85="FT",Milestones!$AA$85=FT_Y5,EDATE($D147,Milestones!$AA$85)&lt;PolicyEff),1,Milestones!$AC$85)&amp;";  ","")&amp;IF(AND(EDATE($D147,Milestones!$AA$86)&lt;=AsOfDate,EDATE($D147,Milestones!$AA$86)&gt;=SchemeStart,IF($X147=0,$AD147,IF(AND($Z147&lt;&gt;"",EDATE($D147,Milestones!$AA$86)&gt;=$Z147),$AC147,IF(AND($Y147&lt;&gt;"",EDATE($D147,Milestones!$AA$86)&gt;=$Y147),$AB147,$AA147)))=Milestones!$AB$86),UPPER(TEXT(EDATE($D147,Milestones!$AA$86),"dd mmm yy"))&amp;" "&amp;Milestones!$AB$86&amp;" "&amp;IF(AND(Milestones!$AB$86="FT",Milestones!$AA$86=FT_Y5,EDATE($D147,Milestones!$AA$86)&lt;PolicyEff),1,Milestones!$AC$86)&amp;";  ","")&amp;IF(AND(EDATE($D147,Milestones!$AA$87)&lt;=AsOfDate,EDATE($D147,Milestones!$AA$87)&gt;=SchemeStart,IF($X147=0,$AD147,IF(AND($Z147&lt;&gt;"",EDATE($D147,Milestones!$AA$87)&gt;=$Z147),$AC147,IF(AND($Y147&lt;&gt;"",EDATE($D147,Milestones!$AA$87)&gt;=$Y147),$AB147,$AA147)))=Milestones!$AB$87),UPPER(TEXT(EDATE($D147,Milestones!$AA$87),"dd mmm yy"))&amp;" "&amp;Milestones!$AB$87&amp;" "&amp;IF(AND(Milestones!$AB$87="FT",Milestones!$AA$87=FT_Y5,EDATE($D147,Milestones!$AA$87)&lt;PolicyEff),1,Milestones!$AC$87)&amp;";  ","")&amp;IF(AND(EDATE($D147,Milestones!$AA$88)&lt;=AsOfDate,EDATE($D147,Milestones!$AA$88)&gt;=SchemeStart,IF($X147=0,$AD147,IF(AND($Z147&lt;&gt;"",EDATE($D147,Milestones!$AA$88)&gt;=$Z147),$AC147,IF(AND($Y147&lt;&gt;"",EDATE($D147,Milestones!$AA$88)&gt;=$Y147),$AB147,$AA147)))=Milestones!$AB$88),UPPER(TEXT(EDATE($D147,Milestones!$AA$88),"dd mmm yy"))&amp;" "&amp;Milestones!$AB$88&amp;" "&amp;IF(AND(Milestones!$AB$88="FT",Milestones!$AA$88=FT_Y5,EDATE($D147,Milestones!$AA$88)&lt;PolicyEff),1,Milestones!$AC$88)&amp;";  ","")&amp;IF(AND(EDATE($D147,Milestones!$AA$89)&lt;=AsOfDate,EDATE($D147,Milestones!$AA$89)&gt;=SchemeStart,IF($X147=0,$AD147,IF(AND($Z147&lt;&gt;"",EDATE($D147,Milestones!$AA$89)&gt;=$Z147),$AC147,IF(AND($Y147&lt;&gt;"",EDATE($D147,Milestones!$AA$89)&gt;=$Y147),$AB147,$AA147)))=Milestones!$AB$89),UPPER(TEXT(EDATE($D147,Milestones!$AA$89),"dd mmm yy"))&amp;" "&amp;Milestones!$AB$89&amp;" "&amp;IF(AND(Milestones!$AB$89="FT",Milestones!$AA$89=FT_Y5,EDATE($D147,Milestones!$AA$89)&lt;PolicyEff),1,Milestones!$AC$89)&amp;";  ","")&amp;IF(AND(EDATE($D147,Milestones!$AA$90)&lt;=AsOfDate,EDATE($D147,Milestones!$AA$90)&gt;=SchemeStart,IF($X147=0,$AD147,IF(AND($Z147&lt;&gt;"",EDATE($D147,Milestones!$AA$90)&gt;=$Z147),$AC147,IF(AND($Y147&lt;&gt;"",EDATE($D147,Milestones!$AA$90)&gt;=$Y147),$AB147,$AA147)))=Milestones!$AB$90),UPPER(TEXT(EDATE($D147,Milestones!$AA$90),"dd mmm yy"))&amp;" "&amp;Milestones!$AB$90&amp;" "&amp;IF(AND(Milestones!$AB$90="FT",Milestones!$AA$90=FT_Y5,EDATE($D147,Milestones!$AA$90)&lt;PolicyEff),1,Milestones!$AC$90)&amp;";  ","")&amp;IF(AND(EDATE($D147,Milestones!$AA$91)&lt;=AsOfDate,EDATE($D147,Milestones!$AA$91)&gt;=SchemeStart,IF($X147=0,$AD147,IF(AND($Z147&lt;&gt;"",EDATE($D147,Milestones!$AA$91)&gt;=$Z147),$AC147,IF(AND($Y147&lt;&gt;"",EDATE($D147,Milestones!$AA$91)&gt;=$Y147),$AB147,$AA147)))=Milestones!$AB$91),UPPER(TEXT(EDATE($D147,Milestones!$AA$91),"dd mmm yy"))&amp;" "&amp;Milestones!$AB$91&amp;" "&amp;IF(AND(Milestones!$AB$91="FT",Milestones!$AA$91=FT_Y5,EDATE($D147,Milestones!$AA$91)&lt;PolicyEff),1,Milestones!$AC$91)&amp;";  ",""))</f>
        <v/>
      </c>
      <c r="O147" s="0" t="str">
        <f aca="false">IF(OR($A147="",$D147=""),"",IF(AND(EDATE($D147,Milestones!$AA$92)&lt;=AsOfDate,EDATE($D147,Milestones!$AA$92)&gt;=SchemeStart,IF($X147=0,$AD147,IF(AND($Z147&lt;&gt;"",EDATE($D147,Milestones!$AA$92)&gt;=$Z147),$AC147,IF(AND($Y147&lt;&gt;"",EDATE($D147,Milestones!$AA$92)&gt;=$Y147),$AB147,$AA147)))=Milestones!$AB$92),UPPER(TEXT(EDATE($D147,Milestones!$AA$92),"dd mmm yy"))&amp;" "&amp;Milestones!$AB$92&amp;" "&amp;IF(AND(Milestones!$AB$92="FT",Milestones!$AA$92=FT_Y5,EDATE($D147,Milestones!$AA$92)&lt;PolicyEff),1,Milestones!$AC$92)&amp;";  ","")&amp;IF(AND(EDATE($D147,Milestones!$AA$93)&lt;=AsOfDate,EDATE($D147,Milestones!$AA$93)&gt;=SchemeStart,IF($X147=0,$AD147,IF(AND($Z147&lt;&gt;"",EDATE($D147,Milestones!$AA$93)&gt;=$Z147),$AC147,IF(AND($Y147&lt;&gt;"",EDATE($D147,Milestones!$AA$93)&gt;=$Y147),$AB147,$AA147)))=Milestones!$AB$93),UPPER(TEXT(EDATE($D147,Milestones!$AA$93),"dd mmm yy"))&amp;" "&amp;Milestones!$AB$93&amp;" "&amp;IF(AND(Milestones!$AB$93="FT",Milestones!$AA$93=FT_Y5,EDATE($D147,Milestones!$AA$93)&lt;PolicyEff),1,Milestones!$AC$93)&amp;";  ","")&amp;IF(AND(EDATE($D147,Milestones!$AA$94)&lt;=AsOfDate,EDATE($D147,Milestones!$AA$94)&gt;=SchemeStart,IF($X147=0,$AD147,IF(AND($Z147&lt;&gt;"",EDATE($D147,Milestones!$AA$94)&gt;=$Z147),$AC147,IF(AND($Y147&lt;&gt;"",EDATE($D147,Milestones!$AA$94)&gt;=$Y147),$AB147,$AA147)))=Milestones!$AB$94),UPPER(TEXT(EDATE($D147,Milestones!$AA$94),"dd mmm yy"))&amp;" "&amp;Milestones!$AB$94&amp;" "&amp;IF(AND(Milestones!$AB$94="FT",Milestones!$AA$94=FT_Y5,EDATE($D147,Milestones!$AA$94)&lt;PolicyEff),1,Milestones!$AC$94)&amp;";  ","")&amp;IF(AND(EDATE($D147,Milestones!$AA$95)&lt;=AsOfDate,EDATE($D147,Milestones!$AA$95)&gt;=SchemeStart,IF($X147=0,$AD147,IF(AND($Z147&lt;&gt;"",EDATE($D147,Milestones!$AA$95)&gt;=$Z147),$AC147,IF(AND($Y147&lt;&gt;"",EDATE($D147,Milestones!$AA$95)&gt;=$Y147),$AB147,$AA147)))=Milestones!$AB$95),UPPER(TEXT(EDATE($D147,Milestones!$AA$95),"dd mmm yy"))&amp;" "&amp;Milestones!$AB$95&amp;" "&amp;IF(AND(Milestones!$AB$95="FT",Milestones!$AA$95=FT_Y5,EDATE($D147,Milestones!$AA$95)&lt;PolicyEff),1,Milestones!$AC$95)&amp;";  ","")&amp;IF(AND(EDATE($D147,Milestones!$AA$96)&lt;=AsOfDate,EDATE($D147,Milestones!$AA$96)&gt;=SchemeStart,IF($X147=0,$AD147,IF(AND($Z147&lt;&gt;"",EDATE($D147,Milestones!$AA$96)&gt;=$Z147),$AC147,IF(AND($Y147&lt;&gt;"",EDATE($D147,Milestones!$AA$96)&gt;=$Y147),$AB147,$AA147)))=Milestones!$AB$96),UPPER(TEXT(EDATE($D147,Milestones!$AA$96),"dd mmm yy"))&amp;" "&amp;Milestones!$AB$96&amp;" "&amp;IF(AND(Milestones!$AB$96="FT",Milestones!$AA$96=FT_Y5,EDATE($D147,Milestones!$AA$96)&lt;PolicyEff),1,Milestones!$AC$96)&amp;";  ","")&amp;IF(AND(EDATE($D147,Milestones!$AA$97)&lt;=AsOfDate,EDATE($D147,Milestones!$AA$97)&gt;=SchemeStart,IF($X147=0,$AD147,IF(AND($Z147&lt;&gt;"",EDATE($D147,Milestones!$AA$97)&gt;=$Z147),$AC147,IF(AND($Y147&lt;&gt;"",EDATE($D147,Milestones!$AA$97)&gt;=$Y147),$AB147,$AA147)))=Milestones!$AB$97),UPPER(TEXT(EDATE($D147,Milestones!$AA$97),"dd mmm yy"))&amp;" "&amp;Milestones!$AB$97&amp;" "&amp;IF(AND(Milestones!$AB$97="FT",Milestones!$AA$97=FT_Y5,EDATE($D147,Milestones!$AA$97)&lt;PolicyEff),1,Milestones!$AC$97)&amp;";  ","")&amp;IF(AND(EDATE($D147,Milestones!$AA$98)&lt;=AsOfDate,EDATE($D147,Milestones!$AA$98)&gt;=SchemeStart,IF($X147=0,$AD147,IF(AND($Z147&lt;&gt;"",EDATE($D147,Milestones!$AA$98)&gt;=$Z147),$AC147,IF(AND($Y147&lt;&gt;"",EDATE($D147,Milestones!$AA$98)&gt;=$Y147),$AB147,$AA147)))=Milestones!$AB$98),UPPER(TEXT(EDATE($D147,Milestones!$AA$98),"dd mmm yy"))&amp;" "&amp;Milestones!$AB$98&amp;" "&amp;IF(AND(Milestones!$AB$98="FT",Milestones!$AA$98=FT_Y5,EDATE($D147,Milestones!$AA$98)&lt;PolicyEff),1,Milestones!$AC$98)&amp;";  ","")&amp;IF(AND(EDATE($D147,Milestones!$AA$99)&lt;=AsOfDate,EDATE($D147,Milestones!$AA$99)&gt;=SchemeStart,IF($X147=0,$AD147,IF(AND($Z147&lt;&gt;"",EDATE($D147,Milestones!$AA$99)&gt;=$Z147),$AC147,IF(AND($Y147&lt;&gt;"",EDATE($D147,Milestones!$AA$99)&gt;=$Y147),$AB147,$AA147)))=Milestones!$AB$99),UPPER(TEXT(EDATE($D147,Milestones!$AA$99),"dd mmm yy"))&amp;" "&amp;Milestones!$AB$99&amp;" "&amp;IF(AND(Milestones!$AB$99="FT",Milestones!$AA$99=FT_Y5,EDATE($D147,Milestones!$AA$99)&lt;PolicyEff),1,Milestones!$AC$99)&amp;";  ","")&amp;IF(AND(EDATE($D147,Milestones!$AA$100)&lt;=AsOfDate,EDATE($D147,Milestones!$AA$100)&gt;=SchemeStart,IF($X147=0,$AD147,IF(AND($Z147&lt;&gt;"",EDATE($D147,Milestones!$AA$100)&gt;=$Z147),$AC147,IF(AND($Y147&lt;&gt;"",EDATE($D147,Milestones!$AA$100)&gt;=$Y147),$AB147,$AA147)))=Milestones!$AB$100),UPPER(TEXT(EDATE($D147,Milestones!$AA$100),"dd mmm yy"))&amp;" "&amp;Milestones!$AB$100&amp;" "&amp;IF(AND(Milestones!$AB$100="FT",Milestones!$AA$100=FT_Y5,EDATE($D147,Milestones!$AA$100)&lt;PolicyEff),1,Milestones!$AC$100)&amp;";  ","")&amp;IF(AND(EDATE($D147,Milestones!$AA$101)&lt;=AsOfDate,EDATE($D147,Milestones!$AA$101)&gt;=SchemeStart,IF($X147=0,$AD147,IF(AND($Z147&lt;&gt;"",EDATE($D147,Milestones!$AA$101)&gt;=$Z147),$AC147,IF(AND($Y147&lt;&gt;"",EDATE($D147,Milestones!$AA$101)&gt;=$Y147),$AB147,$AA147)))=Milestones!$AB$101),UPPER(TEXT(EDATE($D147,Milestones!$AA$101),"dd mmm yy"))&amp;" "&amp;Milestones!$AB$101&amp;" "&amp;IF(AND(Milestones!$AB$101="FT",Milestones!$AA$101=FT_Y5,EDATE($D147,Milestones!$AA$101)&lt;PolicyEff),1,Milestones!$AC$101)&amp;";  ","")&amp;IF(AND(EDATE($D147,Milestones!$AA$102)&lt;=AsOfDate,EDATE($D147,Milestones!$AA$102)&gt;=SchemeStart,IF($X147=0,$AD147,IF(AND($Z147&lt;&gt;"",EDATE($D147,Milestones!$AA$102)&gt;=$Z147),$AC147,IF(AND($Y147&lt;&gt;"",EDATE($D147,Milestones!$AA$102)&gt;=$Y147),$AB147,$AA147)))=Milestones!$AB$102),UPPER(TEXT(EDATE($D147,Milestones!$AA$102),"dd mmm yy"))&amp;" "&amp;Milestones!$AB$102&amp;" "&amp;IF(AND(Milestones!$AB$102="FT",Milestones!$AA$102=FT_Y5,EDATE($D147,Milestones!$AA$102)&lt;PolicyEff),1,Milestones!$AC$102)&amp;";  ","")&amp;IF(AND(EDATE($D147,Milestones!$AA$103)&lt;=AsOfDate,EDATE($D147,Milestones!$AA$103)&gt;=SchemeStart,IF($X147=0,$AD147,IF(AND($Z147&lt;&gt;"",EDATE($D147,Milestones!$AA$103)&gt;=$Z147),$AC147,IF(AND($Y147&lt;&gt;"",EDATE($D147,Milestones!$AA$103)&gt;=$Y147),$AB147,$AA147)))=Milestones!$AB$103),UPPER(TEXT(EDATE($D147,Milestones!$AA$103),"dd mmm yy"))&amp;" "&amp;Milestones!$AB$103&amp;" "&amp;IF(AND(Milestones!$AB$103="FT",Milestones!$AA$103=FT_Y5,EDATE($D147,Milestones!$AA$103)&lt;PolicyEff),1,Milestones!$AC$103)&amp;";  ",""))</f>
        <v/>
      </c>
      <c r="P147" s="0" t="str">
        <f aca="false">IF(OR($A147="",$D147=""),"",IF(AND(EDATE($D147,Milestones!$AA$104)&lt;=AsOfDate,EDATE($D147,Milestones!$AA$104)&gt;=SchemeStart,IF($X147=0,$AD147,IF(AND($Z147&lt;&gt;"",EDATE($D147,Milestones!$AA$104)&gt;=$Z147),$AC147,IF(AND($Y147&lt;&gt;"",EDATE($D147,Milestones!$AA$104)&gt;=$Y147),$AB147,$AA147)))=Milestones!$AB$104),UPPER(TEXT(EDATE($D147,Milestones!$AA$104),"dd mmm yy"))&amp;" "&amp;Milestones!$AB$104&amp;" "&amp;IF(AND(Milestones!$AB$104="FT",Milestones!$AA$104=FT_Y5,EDATE($D147,Milestones!$AA$104)&lt;PolicyEff),1,Milestones!$AC$104)&amp;";  ","")&amp;IF(AND(EDATE($D147,Milestones!$AA$105)&lt;=AsOfDate,EDATE($D147,Milestones!$AA$105)&gt;=SchemeStart,IF($X147=0,$AD147,IF(AND($Z147&lt;&gt;"",EDATE($D147,Milestones!$AA$105)&gt;=$Z147),$AC147,IF(AND($Y147&lt;&gt;"",EDATE($D147,Milestones!$AA$105)&gt;=$Y147),$AB147,$AA147)))=Milestones!$AB$105),UPPER(TEXT(EDATE($D147,Milestones!$AA$105),"dd mmm yy"))&amp;" "&amp;Milestones!$AB$105&amp;" "&amp;IF(AND(Milestones!$AB$105="FT",Milestones!$AA$105=FT_Y5,EDATE($D147,Milestones!$AA$105)&lt;PolicyEff),1,Milestones!$AC$105)&amp;";  ","")&amp;IF(AND(EDATE($D147,Milestones!$AA$106)&lt;=AsOfDate,EDATE($D147,Milestones!$AA$106)&gt;=SchemeStart,IF($X147=0,$AD147,IF(AND($Z147&lt;&gt;"",EDATE($D147,Milestones!$AA$106)&gt;=$Z147),$AC147,IF(AND($Y147&lt;&gt;"",EDATE($D147,Milestones!$AA$106)&gt;=$Y147),$AB147,$AA147)))=Milestones!$AB$106),UPPER(TEXT(EDATE($D147,Milestones!$AA$106),"dd mmm yy"))&amp;" "&amp;Milestones!$AB$106&amp;" "&amp;IF(AND(Milestones!$AB$106="FT",Milestones!$AA$106=FT_Y5,EDATE($D147,Milestones!$AA$106)&lt;PolicyEff),1,Milestones!$AC$106)&amp;";  ","")&amp;IF(AND(EDATE($D147,Milestones!$AA$107)&lt;=AsOfDate,EDATE($D147,Milestones!$AA$107)&gt;=SchemeStart,IF($X147=0,$AD147,IF(AND($Z147&lt;&gt;"",EDATE($D147,Milestones!$AA$107)&gt;=$Z147),$AC147,IF(AND($Y147&lt;&gt;"",EDATE($D147,Milestones!$AA$107)&gt;=$Y147),$AB147,$AA147)))=Milestones!$AB$107),UPPER(TEXT(EDATE($D147,Milestones!$AA$107),"dd mmm yy"))&amp;" "&amp;Milestones!$AB$107&amp;" "&amp;IF(AND(Milestones!$AB$107="FT",Milestones!$AA$107=FT_Y5,EDATE($D147,Milestones!$AA$107)&lt;PolicyEff),1,Milestones!$AC$107)&amp;";  ","")&amp;IF(AND(EDATE($D147,Milestones!$AA$108)&lt;=AsOfDate,EDATE($D147,Milestones!$AA$108)&gt;=SchemeStart,IF($X147=0,$AD147,IF(AND($Z147&lt;&gt;"",EDATE($D147,Milestones!$AA$108)&gt;=$Z147),$AC147,IF(AND($Y147&lt;&gt;"",EDATE($D147,Milestones!$AA$108)&gt;=$Y147),$AB147,$AA147)))=Milestones!$AB$108),UPPER(TEXT(EDATE($D147,Milestones!$AA$108),"dd mmm yy"))&amp;" "&amp;Milestones!$AB$108&amp;" "&amp;IF(AND(Milestones!$AB$108="FT",Milestones!$AA$108=FT_Y5,EDATE($D147,Milestones!$AA$108)&lt;PolicyEff),1,Milestones!$AC$108)&amp;";  ","")&amp;IF(AND(EDATE($D147,Milestones!$AA$109)&lt;=AsOfDate,EDATE($D147,Milestones!$AA$109)&gt;=SchemeStart,IF($X147=0,$AD147,IF(AND($Z147&lt;&gt;"",EDATE($D147,Milestones!$AA$109)&gt;=$Z147),$AC147,IF(AND($Y147&lt;&gt;"",EDATE($D147,Milestones!$AA$109)&gt;=$Y147),$AB147,$AA147)))=Milestones!$AB$109),UPPER(TEXT(EDATE($D147,Milestones!$AA$109),"dd mmm yy"))&amp;" "&amp;Milestones!$AB$109&amp;" "&amp;IF(AND(Milestones!$AB$109="FT",Milestones!$AA$109=FT_Y5,EDATE($D147,Milestones!$AA$109)&lt;PolicyEff),1,Milestones!$AC$109)&amp;";  ","")&amp;IF(AND(EDATE($D147,Milestones!$AA$110)&lt;=AsOfDate,EDATE($D147,Milestones!$AA$110)&gt;=SchemeStart,IF($X147=0,$AD147,IF(AND($Z147&lt;&gt;"",EDATE($D147,Milestones!$AA$110)&gt;=$Z147),$AC147,IF(AND($Y147&lt;&gt;"",EDATE($D147,Milestones!$AA$110)&gt;=$Y147),$AB147,$AA147)))=Milestones!$AB$110),UPPER(TEXT(EDATE($D147,Milestones!$AA$110),"dd mmm yy"))&amp;" "&amp;Milestones!$AB$110&amp;" "&amp;IF(AND(Milestones!$AB$110="FT",Milestones!$AA$110=FT_Y5,EDATE($D147,Milestones!$AA$110)&lt;PolicyEff),1,Milestones!$AC$110)&amp;";  ","")&amp;IF(AND(EDATE($D147,Milestones!$AA$111)&lt;=AsOfDate,EDATE($D147,Milestones!$AA$111)&gt;=SchemeStart,IF($X147=0,$AD147,IF(AND($Z147&lt;&gt;"",EDATE($D147,Milestones!$AA$111)&gt;=$Z147),$AC147,IF(AND($Y147&lt;&gt;"",EDATE($D147,Milestones!$AA$111)&gt;=$Y147),$AB147,$AA147)))=Milestones!$AB$111),UPPER(TEXT(EDATE($D147,Milestones!$AA$111),"dd mmm yy"))&amp;" "&amp;Milestones!$AB$111&amp;" "&amp;IF(AND(Milestones!$AB$111="FT",Milestones!$AA$111=FT_Y5,EDATE($D147,Milestones!$AA$111)&lt;PolicyEff),1,Milestones!$AC$111)&amp;";  ","")&amp;IF(AND(EDATE($D147,Milestones!$AA$112)&lt;=AsOfDate,EDATE($D147,Milestones!$AA$112)&gt;=SchemeStart,IF($X147=0,$AD147,IF(AND($Z147&lt;&gt;"",EDATE($D147,Milestones!$AA$112)&gt;=$Z147),$AC147,IF(AND($Y147&lt;&gt;"",EDATE($D147,Milestones!$AA$112)&gt;=$Y147),$AB147,$AA147)))=Milestones!$AB$112),UPPER(TEXT(EDATE($D147,Milestones!$AA$112),"dd mmm yy"))&amp;" "&amp;Milestones!$AB$112&amp;" "&amp;IF(AND(Milestones!$AB$112="FT",Milestones!$AA$112=FT_Y5,EDATE($D147,Milestones!$AA$112)&lt;PolicyEff),1,Milestones!$AC$112)&amp;";  ","")&amp;IF(AND(EDATE($D147,Milestones!$AA$113)&lt;=AsOfDate,EDATE($D147,Milestones!$AA$113)&gt;=SchemeStart,IF($X147=0,$AD147,IF(AND($Z147&lt;&gt;"",EDATE($D147,Milestones!$AA$113)&gt;=$Z147),$AC147,IF(AND($Y147&lt;&gt;"",EDATE($D147,Milestones!$AA$113)&gt;=$Y147),$AB147,$AA147)))=Milestones!$AB$113),UPPER(TEXT(EDATE($D147,Milestones!$AA$113),"dd mmm yy"))&amp;" "&amp;Milestones!$AB$113&amp;" "&amp;IF(AND(Milestones!$AB$113="FT",Milestones!$AA$113=FT_Y5,EDATE($D147,Milestones!$AA$113)&lt;PolicyEff),1,Milestones!$AC$113)&amp;";  ","")&amp;IF(AND(EDATE($D147,Milestones!$AA$114)&lt;=AsOfDate,EDATE($D147,Milestones!$AA$114)&gt;=SchemeStart,IF($X147=0,$AD147,IF(AND($Z147&lt;&gt;"",EDATE($D147,Milestones!$AA$114)&gt;=$Z147),$AC147,IF(AND($Y147&lt;&gt;"",EDATE($D147,Milestones!$AA$114)&gt;=$Y147),$AB147,$AA147)))=Milestones!$AB$114),UPPER(TEXT(EDATE($D147,Milestones!$AA$114),"dd mmm yy"))&amp;" "&amp;Milestones!$AB$114&amp;" "&amp;IF(AND(Milestones!$AB$114="FT",Milestones!$AA$114=FT_Y5,EDATE($D147,Milestones!$AA$114)&lt;PolicyEff),1,Milestones!$AC$114)&amp;";  ","")&amp;IF(AND(EDATE($D147,Milestones!$AA$115)&lt;=AsOfDate,EDATE($D147,Milestones!$AA$115)&gt;=SchemeStart,IF($X147=0,$AD147,IF(AND($Z147&lt;&gt;"",EDATE($D147,Milestones!$AA$115)&gt;=$Z147),$AC147,IF(AND($Y147&lt;&gt;"",EDATE($D147,Milestones!$AA$115)&gt;=$Y147),$AB147,$AA147)))=Milestones!$AB$115),UPPER(TEXT(EDATE($D147,Milestones!$AA$115),"dd mmm yy"))&amp;" "&amp;Milestones!$AB$115&amp;" "&amp;IF(AND(Milestones!$AB$115="FT",Milestones!$AA$115=FT_Y5,EDATE($D147,Milestones!$AA$115)&lt;PolicyEff),1,Milestones!$AC$115)&amp;";  ",""))</f>
        <v/>
      </c>
      <c r="Q147" s="0" t="str">
        <f aca="false">IF(OR($A147="",$D147=""),"",IF(AND(EDATE($D147,Milestones!$AA$116)&lt;=AsOfDate,EDATE($D147,Milestones!$AA$116)&gt;=SchemeStart,IF($X147=0,$AD147,IF(AND($Z147&lt;&gt;"",EDATE($D147,Milestones!$AA$116)&gt;=$Z147),$AC147,IF(AND($Y147&lt;&gt;"",EDATE($D147,Milestones!$AA$116)&gt;=$Y147),$AB147,$AA147)))=Milestones!$AB$116),UPPER(TEXT(EDATE($D147,Milestones!$AA$116),"dd mmm yy"))&amp;" "&amp;Milestones!$AB$116&amp;" "&amp;IF(AND(Milestones!$AB$116="FT",Milestones!$AA$116=FT_Y5,EDATE($D147,Milestones!$AA$116)&lt;PolicyEff),1,Milestones!$AC$116)&amp;";  ","")&amp;IF(AND(EDATE($D147,Milestones!$AA$117)&lt;=AsOfDate,EDATE($D147,Milestones!$AA$117)&gt;=SchemeStart,IF($X147=0,$AD147,IF(AND($Z147&lt;&gt;"",EDATE($D147,Milestones!$AA$117)&gt;=$Z147),$AC147,IF(AND($Y147&lt;&gt;"",EDATE($D147,Milestones!$AA$117)&gt;=$Y147),$AB147,$AA147)))=Milestones!$AB$117),UPPER(TEXT(EDATE($D147,Milestones!$AA$117),"dd mmm yy"))&amp;" "&amp;Milestones!$AB$117&amp;" "&amp;IF(AND(Milestones!$AB$117="FT",Milestones!$AA$117=FT_Y5,EDATE($D147,Milestones!$AA$117)&lt;PolicyEff),1,Milestones!$AC$117)&amp;";  ","")&amp;IF(AND(EDATE($D147,Milestones!$AA$118)&lt;=AsOfDate,EDATE($D147,Milestones!$AA$118)&gt;=SchemeStart,IF($X147=0,$AD147,IF(AND($Z147&lt;&gt;"",EDATE($D147,Milestones!$AA$118)&gt;=$Z147),$AC147,IF(AND($Y147&lt;&gt;"",EDATE($D147,Milestones!$AA$118)&gt;=$Y147),$AB147,$AA147)))=Milestones!$AB$118),UPPER(TEXT(EDATE($D147,Milestones!$AA$118),"dd mmm yy"))&amp;" "&amp;Milestones!$AB$118&amp;" "&amp;IF(AND(Milestones!$AB$118="FT",Milestones!$AA$118=FT_Y5,EDATE($D147,Milestones!$AA$118)&lt;PolicyEff),1,Milestones!$AC$118)&amp;";  ","")&amp;IF(AND(EDATE($D147,Milestones!$AA$119)&lt;=AsOfDate,EDATE($D147,Milestones!$AA$119)&gt;=SchemeStart,IF($X147=0,$AD147,IF(AND($Z147&lt;&gt;"",EDATE($D147,Milestones!$AA$119)&gt;=$Z147),$AC147,IF(AND($Y147&lt;&gt;"",EDATE($D147,Milestones!$AA$119)&gt;=$Y147),$AB147,$AA147)))=Milestones!$AB$119),UPPER(TEXT(EDATE($D147,Milestones!$AA$119),"dd mmm yy"))&amp;" "&amp;Milestones!$AB$119&amp;" "&amp;IF(AND(Milestones!$AB$119="FT",Milestones!$AA$119=FT_Y5,EDATE($D147,Milestones!$AA$119)&lt;PolicyEff),1,Milestones!$AC$119)&amp;";  ","")&amp;IF(AND(EDATE($D147,Milestones!$AA$120)&lt;=AsOfDate,EDATE($D147,Milestones!$AA$120)&gt;=SchemeStart,IF($X147=0,$AD147,IF(AND($Z147&lt;&gt;"",EDATE($D147,Milestones!$AA$120)&gt;=$Z147),$AC147,IF(AND($Y147&lt;&gt;"",EDATE($D147,Milestones!$AA$120)&gt;=$Y147),$AB147,$AA147)))=Milestones!$AB$120),UPPER(TEXT(EDATE($D147,Milestones!$AA$120),"dd mmm yy"))&amp;" "&amp;Milestones!$AB$120&amp;" "&amp;IF(AND(Milestones!$AB$120="FT",Milestones!$AA$120=FT_Y5,EDATE($D147,Milestones!$AA$120)&lt;PolicyEff),1,Milestones!$AC$120)&amp;";  ","")&amp;IF(AND(EDATE($D147,Milestones!$AA$121)&lt;=AsOfDate,EDATE($D147,Milestones!$AA$121)&gt;=SchemeStart,IF($X147=0,$AD147,IF(AND($Z147&lt;&gt;"",EDATE($D147,Milestones!$AA$121)&gt;=$Z147),$AC147,IF(AND($Y147&lt;&gt;"",EDATE($D147,Milestones!$AA$121)&gt;=$Y147),$AB147,$AA147)))=Milestones!$AB$121),UPPER(TEXT(EDATE($D147,Milestones!$AA$121),"dd mmm yy"))&amp;" "&amp;Milestones!$AB$121&amp;" "&amp;IF(AND(Milestones!$AB$121="FT",Milestones!$AA$121=FT_Y5,EDATE($D147,Milestones!$AA$121)&lt;PolicyEff),1,Milestones!$AC$121)&amp;";  ","")&amp;IF(AND(EDATE($D147,Milestones!$AA$122)&lt;=AsOfDate,EDATE($D147,Milestones!$AA$122)&gt;=SchemeStart,IF($X147=0,$AD147,IF(AND($Z147&lt;&gt;"",EDATE($D147,Milestones!$AA$122)&gt;=$Z147),$AC147,IF(AND($Y147&lt;&gt;"",EDATE($D147,Milestones!$AA$122)&gt;=$Y147),$AB147,$AA147)))=Milestones!$AB$122),UPPER(TEXT(EDATE($D147,Milestones!$AA$122),"dd mmm yy"))&amp;" "&amp;Milestones!$AB$122&amp;" "&amp;IF(AND(Milestones!$AB$122="FT",Milestones!$AA$122=FT_Y5,EDATE($D147,Milestones!$AA$122)&lt;PolicyEff),1,Milestones!$AC$122)&amp;";  ","")&amp;IF(AND(EDATE($D147,Milestones!$AA$123)&lt;=AsOfDate,EDATE($D147,Milestones!$AA$123)&gt;=SchemeStart,IF($X147=0,$AD147,IF(AND($Z147&lt;&gt;"",EDATE($D147,Milestones!$AA$123)&gt;=$Z147),$AC147,IF(AND($Y147&lt;&gt;"",EDATE($D147,Milestones!$AA$123)&gt;=$Y147),$AB147,$AA147)))=Milestones!$AB$123),UPPER(TEXT(EDATE($D147,Milestones!$AA$123),"dd mmm yy"))&amp;" "&amp;Milestones!$AB$123&amp;" "&amp;IF(AND(Milestones!$AB$123="FT",Milestones!$AA$123=FT_Y5,EDATE($D147,Milestones!$AA$123)&lt;PolicyEff),1,Milestones!$AC$123)&amp;";  ","")&amp;IF(AND(EDATE($D147,Milestones!$AA$124)&lt;=AsOfDate,EDATE($D147,Milestones!$AA$124)&gt;=SchemeStart,IF($X147=0,$AD147,IF(AND($Z147&lt;&gt;"",EDATE($D147,Milestones!$AA$124)&gt;=$Z147),$AC147,IF(AND($Y147&lt;&gt;"",EDATE($D147,Milestones!$AA$124)&gt;=$Y147),$AB147,$AA147)))=Milestones!$AB$124),UPPER(TEXT(EDATE($D147,Milestones!$AA$124),"dd mmm yy"))&amp;" "&amp;Milestones!$AB$124&amp;" "&amp;IF(AND(Milestones!$AB$124="FT",Milestones!$AA$124=FT_Y5,EDATE($D147,Milestones!$AA$124)&lt;PolicyEff),1,Milestones!$AC$124)&amp;";  ","")&amp;IF(AND(EDATE($D147,Milestones!$AA$125)&lt;=AsOfDate,EDATE($D147,Milestones!$AA$125)&gt;=SchemeStart,IF($X147=0,$AD147,IF(AND($Z147&lt;&gt;"",EDATE($D147,Milestones!$AA$125)&gt;=$Z147),$AC147,IF(AND($Y147&lt;&gt;"",EDATE($D147,Milestones!$AA$125)&gt;=$Y147),$AB147,$AA147)))=Milestones!$AB$125),UPPER(TEXT(EDATE($D147,Milestones!$AA$125),"dd mmm yy"))&amp;" "&amp;Milestones!$AB$125&amp;" "&amp;IF(AND(Milestones!$AB$125="FT",Milestones!$AA$125=FT_Y5,EDATE($D147,Milestones!$AA$125)&lt;PolicyEff),1,Milestones!$AC$125)&amp;";  ","")&amp;IF(AND(EDATE($D147,Milestones!$AA$126)&lt;=AsOfDate,EDATE($D147,Milestones!$AA$126)&gt;=SchemeStart,IF($X147=0,$AD147,IF(AND($Z147&lt;&gt;"",EDATE($D147,Milestones!$AA$126)&gt;=$Z147),$AC147,IF(AND($Y147&lt;&gt;"",EDATE($D147,Milestones!$AA$126)&gt;=$Y147),$AB147,$AA147)))=Milestones!$AB$126),UPPER(TEXT(EDATE($D147,Milestones!$AA$126),"dd mmm yy"))&amp;" "&amp;Milestones!$AB$126&amp;" "&amp;IF(AND(Milestones!$AB$126="FT",Milestones!$AA$126=FT_Y5,EDATE($D147,Milestones!$AA$126)&lt;PolicyEff),1,Milestones!$AC$126)&amp;";  ","")&amp;IF(AND(EDATE($D147,Milestones!$AA$127)&lt;=AsOfDate,EDATE($D147,Milestones!$AA$127)&gt;=SchemeStart,IF($X147=0,$AD147,IF(AND($Z147&lt;&gt;"",EDATE($D147,Milestones!$AA$127)&gt;=$Z147),$AC147,IF(AND($Y147&lt;&gt;"",EDATE($D147,Milestones!$AA$127)&gt;=$Y147),$AB147,$AA147)))=Milestones!$AB$127),UPPER(TEXT(EDATE($D147,Milestones!$AA$127),"dd mmm yy"))&amp;" "&amp;Milestones!$AB$127&amp;" "&amp;IF(AND(Milestones!$AB$127="FT",Milestones!$AA$127=FT_Y5,EDATE($D147,Milestones!$AA$127)&lt;PolicyEff),1,Milestones!$AC$127)&amp;";  ",""))</f>
        <v/>
      </c>
      <c r="R147" s="0" t="str">
        <f aca="false">IF(OR($A147="",$D147=""),"",IF(AND(EDATE($D147,Milestones!$AA$128)&lt;=AsOfDate,EDATE($D147,Milestones!$AA$128)&gt;=SchemeStart,IF($X147=0,$AD147,IF(AND($Z147&lt;&gt;"",EDATE($D147,Milestones!$AA$128)&gt;=$Z147),$AC147,IF(AND($Y147&lt;&gt;"",EDATE($D147,Milestones!$AA$128)&gt;=$Y147),$AB147,$AA147)))=Milestones!$AB$128),UPPER(TEXT(EDATE($D147,Milestones!$AA$128),"dd mmm yy"))&amp;" "&amp;Milestones!$AB$128&amp;" "&amp;IF(AND(Milestones!$AB$128="FT",Milestones!$AA$128=FT_Y5,EDATE($D147,Milestones!$AA$128)&lt;PolicyEff),1,Milestones!$AC$128)&amp;";  ","")&amp;IF(AND(EDATE($D147,Milestones!$AA$129)&lt;=AsOfDate,EDATE($D147,Milestones!$AA$129)&gt;=SchemeStart,IF($X147=0,$AD147,IF(AND($Z147&lt;&gt;"",EDATE($D147,Milestones!$AA$129)&gt;=$Z147),$AC147,IF(AND($Y147&lt;&gt;"",EDATE($D147,Milestones!$AA$129)&gt;=$Y147),$AB147,$AA147)))=Milestones!$AB$129),UPPER(TEXT(EDATE($D147,Milestones!$AA$129),"dd mmm yy"))&amp;" "&amp;Milestones!$AB$129&amp;" "&amp;IF(AND(Milestones!$AB$129="FT",Milestones!$AA$129=FT_Y5,EDATE($D147,Milestones!$AA$129)&lt;PolicyEff),1,Milestones!$AC$129)&amp;";  ","")&amp;IF(AND(EDATE($D147,Milestones!$AA$130)&lt;=AsOfDate,EDATE($D147,Milestones!$AA$130)&gt;=SchemeStart,IF($X147=0,$AD147,IF(AND($Z147&lt;&gt;"",EDATE($D147,Milestones!$AA$130)&gt;=$Z147),$AC147,IF(AND($Y147&lt;&gt;"",EDATE($D147,Milestones!$AA$130)&gt;=$Y147),$AB147,$AA147)))=Milestones!$AB$130),UPPER(TEXT(EDATE($D147,Milestones!$AA$130),"dd mmm yy"))&amp;" "&amp;Milestones!$AB$130&amp;" "&amp;IF(AND(Milestones!$AB$130="FT",Milestones!$AA$130=FT_Y5,EDATE($D147,Milestones!$AA$130)&lt;PolicyEff),1,Milestones!$AC$130)&amp;";  ","")&amp;IF(AND(EDATE($D147,Milestones!$AA$131)&lt;=AsOfDate,EDATE($D147,Milestones!$AA$131)&gt;=SchemeStart,IF($X147=0,$AD147,IF(AND($Z147&lt;&gt;"",EDATE($D147,Milestones!$AA$131)&gt;=$Z147),$AC147,IF(AND($Y147&lt;&gt;"",EDATE($D147,Milestones!$AA$131)&gt;=$Y147),$AB147,$AA147)))=Milestones!$AB$131),UPPER(TEXT(EDATE($D147,Milestones!$AA$131),"dd mmm yy"))&amp;" "&amp;Milestones!$AB$131&amp;" "&amp;IF(AND(Milestones!$AB$131="FT",Milestones!$AA$131=FT_Y5,EDATE($D147,Milestones!$AA$131)&lt;PolicyEff),1,Milestones!$AC$131)&amp;";  ","")&amp;IF(AND(EDATE($D147,Milestones!$AA$132)&lt;=AsOfDate,EDATE($D147,Milestones!$AA$132)&gt;=SchemeStart,IF($X147=0,$AD147,IF(AND($Z147&lt;&gt;"",EDATE($D147,Milestones!$AA$132)&gt;=$Z147),$AC147,IF(AND($Y147&lt;&gt;"",EDATE($D147,Milestones!$AA$132)&gt;=$Y147),$AB147,$AA147)))=Milestones!$AB$132),UPPER(TEXT(EDATE($D147,Milestones!$AA$132),"dd mmm yy"))&amp;" "&amp;Milestones!$AB$132&amp;" "&amp;IF(AND(Milestones!$AB$132="FT",Milestones!$AA$132=FT_Y5,EDATE($D147,Milestones!$AA$132)&lt;PolicyEff),1,Milestones!$AC$132)&amp;";  ","")&amp;IF(AND(EDATE($D147,Milestones!$AA$133)&lt;=AsOfDate,EDATE($D147,Milestones!$AA$133)&gt;=SchemeStart,IF($X147=0,$AD147,IF(AND($Z147&lt;&gt;"",EDATE($D147,Milestones!$AA$133)&gt;=$Z147),$AC147,IF(AND($Y147&lt;&gt;"",EDATE($D147,Milestones!$AA$133)&gt;=$Y147),$AB147,$AA147)))=Milestones!$AB$133),UPPER(TEXT(EDATE($D147,Milestones!$AA$133),"dd mmm yy"))&amp;" "&amp;Milestones!$AB$133&amp;" "&amp;IF(AND(Milestones!$AB$133="FT",Milestones!$AA$133=FT_Y5,EDATE($D147,Milestones!$AA$133)&lt;PolicyEff),1,Milestones!$AC$133)&amp;";  ","")&amp;IF(AND(EDATE($D147,Milestones!$AA$134)&lt;=AsOfDate,EDATE($D147,Milestones!$AA$134)&gt;=SchemeStart,IF($X147=0,$AD147,IF(AND($Z147&lt;&gt;"",EDATE($D147,Milestones!$AA$134)&gt;=$Z147),$AC147,IF(AND($Y147&lt;&gt;"",EDATE($D147,Milestones!$AA$134)&gt;=$Y147),$AB147,$AA147)))=Milestones!$AB$134),UPPER(TEXT(EDATE($D147,Milestones!$AA$134),"dd mmm yy"))&amp;" "&amp;Milestones!$AB$134&amp;" "&amp;IF(AND(Milestones!$AB$134="FT",Milestones!$AA$134=FT_Y5,EDATE($D147,Milestones!$AA$134)&lt;PolicyEff),1,Milestones!$AC$134)&amp;";  ","")&amp;IF(AND(EDATE($D147,Milestones!$AA$135)&lt;=AsOfDate,EDATE($D147,Milestones!$AA$135)&gt;=SchemeStart,IF($X147=0,$AD147,IF(AND($Z147&lt;&gt;"",EDATE($D147,Milestones!$AA$135)&gt;=$Z147),$AC147,IF(AND($Y147&lt;&gt;"",EDATE($D147,Milestones!$AA$135)&gt;=$Y147),$AB147,$AA147)))=Milestones!$AB$135),UPPER(TEXT(EDATE($D147,Milestones!$AA$135),"dd mmm yy"))&amp;" "&amp;Milestones!$AB$135&amp;" "&amp;IF(AND(Milestones!$AB$135="FT",Milestones!$AA$135=FT_Y5,EDATE($D147,Milestones!$AA$135)&lt;PolicyEff),1,Milestones!$AC$135)&amp;";  ","")&amp;IF(AND(EDATE($D147,Milestones!$AA$136)&lt;=AsOfDate,EDATE($D147,Milestones!$AA$136)&gt;=SchemeStart,IF($X147=0,$AD147,IF(AND($Z147&lt;&gt;"",EDATE($D147,Milestones!$AA$136)&gt;=$Z147),$AC147,IF(AND($Y147&lt;&gt;"",EDATE($D147,Milestones!$AA$136)&gt;=$Y147),$AB147,$AA147)))=Milestones!$AB$136),UPPER(TEXT(EDATE($D147,Milestones!$AA$136),"dd mmm yy"))&amp;" "&amp;Milestones!$AB$136&amp;" "&amp;IF(AND(Milestones!$AB$136="FT",Milestones!$AA$136=FT_Y5,EDATE($D147,Milestones!$AA$136)&lt;PolicyEff),1,Milestones!$AC$136)&amp;";  ","")&amp;IF(AND(EDATE($D147,Milestones!$AA$137)&lt;=AsOfDate,EDATE($D147,Milestones!$AA$137)&gt;=SchemeStart,IF($X147=0,$AD147,IF(AND($Z147&lt;&gt;"",EDATE($D147,Milestones!$AA$137)&gt;=$Z147),$AC147,IF(AND($Y147&lt;&gt;"",EDATE($D147,Milestones!$AA$137)&gt;=$Y147),$AB147,$AA147)))=Milestones!$AB$137),UPPER(TEXT(EDATE($D147,Milestones!$AA$137),"dd mmm yy"))&amp;" "&amp;Milestones!$AB$137&amp;" "&amp;IF(AND(Milestones!$AB$137="FT",Milestones!$AA$137=FT_Y5,EDATE($D147,Milestones!$AA$137)&lt;PolicyEff),1,Milestones!$AC$137)&amp;";  ","")&amp;IF(AND(EDATE($D147,Milestones!$AA$138)&lt;=AsOfDate,EDATE($D147,Milestones!$AA$138)&gt;=SchemeStart,IF($X147=0,$AD147,IF(AND($Z147&lt;&gt;"",EDATE($D147,Milestones!$AA$138)&gt;=$Z147),$AC147,IF(AND($Y147&lt;&gt;"",EDATE($D147,Milestones!$AA$138)&gt;=$Y147),$AB147,$AA147)))=Milestones!$AB$138),UPPER(TEXT(EDATE($D147,Milestones!$AA$138),"dd mmm yy"))&amp;" "&amp;Milestones!$AB$138&amp;" "&amp;IF(AND(Milestones!$AB$138="FT",Milestones!$AA$138=FT_Y5,EDATE($D147,Milestones!$AA$138)&lt;PolicyEff),1,Milestones!$AC$138)&amp;";  ","")&amp;IF(AND(EDATE($D147,Milestones!$AA$139)&lt;=AsOfDate,EDATE($D147,Milestones!$AA$139)&gt;=SchemeStart,IF($X147=0,$AD147,IF(AND($Z147&lt;&gt;"",EDATE($D147,Milestones!$AA$139)&gt;=$Z147),$AC147,IF(AND($Y147&lt;&gt;"",EDATE($D147,Milestones!$AA$139)&gt;=$Y147),$AB147,$AA147)))=Milestones!$AB$139),UPPER(TEXT(EDATE($D147,Milestones!$AA$139),"dd mmm yy"))&amp;" "&amp;Milestones!$AB$139&amp;" "&amp;IF(AND(Milestones!$AB$139="FT",Milestones!$AA$139=FT_Y5,EDATE($D147,Milestones!$AA$139)&lt;PolicyEff),1,Milestones!$AC$139)&amp;";  ",""))</f>
        <v/>
      </c>
      <c r="S147" s="0" t="str">
        <f aca="false">IF(OR($A147="",$D147=""),"",IF(AND(EDATE($D147,Milestones!$AA$140)&lt;=AsOfDate,EDATE($D147,Milestones!$AA$140)&gt;=SchemeStart,IF($X147=0,$AD147,IF(AND($Z147&lt;&gt;"",EDATE($D147,Milestones!$AA$140)&gt;=$Z147),$AC147,IF(AND($Y147&lt;&gt;"",EDATE($D147,Milestones!$AA$140)&gt;=$Y147),$AB147,$AA147)))=Milestones!$AB$140),UPPER(TEXT(EDATE($D147,Milestones!$AA$140),"dd mmm yy"))&amp;" "&amp;Milestones!$AB$140&amp;" "&amp;IF(AND(Milestones!$AB$140="FT",Milestones!$AA$140=FT_Y5,EDATE($D147,Milestones!$AA$140)&lt;PolicyEff),1,Milestones!$AC$140)&amp;";  ","")&amp;IF(AND(EDATE($D147,Milestones!$AA$141)&lt;=AsOfDate,EDATE($D147,Milestones!$AA$141)&gt;=SchemeStart,IF($X147=0,$AD147,IF(AND($Z147&lt;&gt;"",EDATE($D147,Milestones!$AA$141)&gt;=$Z147),$AC147,IF(AND($Y147&lt;&gt;"",EDATE($D147,Milestones!$AA$141)&gt;=$Y147),$AB147,$AA147)))=Milestones!$AB$141),UPPER(TEXT(EDATE($D147,Milestones!$AA$141),"dd mmm yy"))&amp;" "&amp;Milestones!$AB$141&amp;" "&amp;IF(AND(Milestones!$AB$141="FT",Milestones!$AA$141=FT_Y5,EDATE($D147,Milestones!$AA$141)&lt;PolicyEff),1,Milestones!$AC$141)&amp;";  ","")&amp;IF(AND(EDATE($D147,Milestones!$AA$142)&lt;=AsOfDate,EDATE($D147,Milestones!$AA$142)&gt;=SchemeStart,IF($X147=0,$AD147,IF(AND($Z147&lt;&gt;"",EDATE($D147,Milestones!$AA$142)&gt;=$Z147),$AC147,IF(AND($Y147&lt;&gt;"",EDATE($D147,Milestones!$AA$142)&gt;=$Y147),$AB147,$AA147)))=Milestones!$AB$142),UPPER(TEXT(EDATE($D147,Milestones!$AA$142),"dd mmm yy"))&amp;" "&amp;Milestones!$AB$142&amp;" "&amp;IF(AND(Milestones!$AB$142="FT",Milestones!$AA$142=FT_Y5,EDATE($D147,Milestones!$AA$142)&lt;PolicyEff),1,Milestones!$AC$142)&amp;";  ","")&amp;IF(AND(EDATE($D147,Milestones!$AA$143)&lt;=AsOfDate,EDATE($D147,Milestones!$AA$143)&gt;=SchemeStart,IF($X147=0,$AD147,IF(AND($Z147&lt;&gt;"",EDATE($D147,Milestones!$AA$143)&gt;=$Z147),$AC147,IF(AND($Y147&lt;&gt;"",EDATE($D147,Milestones!$AA$143)&gt;=$Y147),$AB147,$AA147)))=Milestones!$AB$143),UPPER(TEXT(EDATE($D147,Milestones!$AA$143),"dd mmm yy"))&amp;" "&amp;Milestones!$AB$143&amp;" "&amp;IF(AND(Milestones!$AB$143="FT",Milestones!$AA$143=FT_Y5,EDATE($D147,Milestones!$AA$143)&lt;PolicyEff),1,Milestones!$AC$143)&amp;";  ","")&amp;IF(AND(EDATE($D147,Milestones!$AA$144)&lt;=AsOfDate,EDATE($D147,Milestones!$AA$144)&gt;=SchemeStart,IF($X147=0,$AD147,IF(AND($Z147&lt;&gt;"",EDATE($D147,Milestones!$AA$144)&gt;=$Z147),$AC147,IF(AND($Y147&lt;&gt;"",EDATE($D147,Milestones!$AA$144)&gt;=$Y147),$AB147,$AA147)))=Milestones!$AB$144),UPPER(TEXT(EDATE($D147,Milestones!$AA$144),"dd mmm yy"))&amp;" "&amp;Milestones!$AB$144&amp;" "&amp;IF(AND(Milestones!$AB$144="FT",Milestones!$AA$144=FT_Y5,EDATE($D147,Milestones!$AA$144)&lt;PolicyEff),1,Milestones!$AC$144)&amp;";  ","")&amp;IF(AND(EDATE($D147,Milestones!$AA$145)&lt;=AsOfDate,EDATE($D147,Milestones!$AA$145)&gt;=SchemeStart,IF($X147=0,$AD147,IF(AND($Z147&lt;&gt;"",EDATE($D147,Milestones!$AA$145)&gt;=$Z147),$AC147,IF(AND($Y147&lt;&gt;"",EDATE($D147,Milestones!$AA$145)&gt;=$Y147),$AB147,$AA147)))=Milestones!$AB$145),UPPER(TEXT(EDATE($D147,Milestones!$AA$145),"dd mmm yy"))&amp;" "&amp;Milestones!$AB$145&amp;" "&amp;IF(AND(Milestones!$AB$145="FT",Milestones!$AA$145=FT_Y5,EDATE($D147,Milestones!$AA$145)&lt;PolicyEff),1,Milestones!$AC$145)&amp;";  ","")&amp;IF(AND(EDATE($D147,Milestones!$AA$146)&lt;=AsOfDate,EDATE($D147,Milestones!$AA$146)&gt;=SchemeStart,IF($X147=0,$AD147,IF(AND($Z147&lt;&gt;"",EDATE($D147,Milestones!$AA$146)&gt;=$Z147),$AC147,IF(AND($Y147&lt;&gt;"",EDATE($D147,Milestones!$AA$146)&gt;=$Y147),$AB147,$AA147)))=Milestones!$AB$146),UPPER(TEXT(EDATE($D147,Milestones!$AA$146),"dd mmm yy"))&amp;" "&amp;Milestones!$AB$146&amp;" "&amp;IF(AND(Milestones!$AB$146="FT",Milestones!$AA$146=FT_Y5,EDATE($D147,Milestones!$AA$146)&lt;PolicyEff),1,Milestones!$AC$146)&amp;";  ","")&amp;IF(AND(EDATE($D147,Milestones!$AA$147)&lt;=AsOfDate,EDATE($D147,Milestones!$AA$147)&gt;=SchemeStart,IF($X147=0,$AD147,IF(AND($Z147&lt;&gt;"",EDATE($D147,Milestones!$AA$147)&gt;=$Z147),$AC147,IF(AND($Y147&lt;&gt;"",EDATE($D147,Milestones!$AA$147)&gt;=$Y147),$AB147,$AA147)))=Milestones!$AB$147),UPPER(TEXT(EDATE($D147,Milestones!$AA$147),"dd mmm yy"))&amp;" "&amp;Milestones!$AB$147&amp;" "&amp;IF(AND(Milestones!$AB$147="FT",Milestones!$AA$147=FT_Y5,EDATE($D147,Milestones!$AA$147)&lt;PolicyEff),1,Milestones!$AC$147)&amp;";  ","")&amp;IF(AND(EDATE($D147,Milestones!$AA$148)&lt;=AsOfDate,EDATE($D147,Milestones!$AA$148)&gt;=SchemeStart,IF($X147=0,$AD147,IF(AND($Z147&lt;&gt;"",EDATE($D147,Milestones!$AA$148)&gt;=$Z147),$AC147,IF(AND($Y147&lt;&gt;"",EDATE($D147,Milestones!$AA$148)&gt;=$Y147),$AB147,$AA147)))=Milestones!$AB$148),UPPER(TEXT(EDATE($D147,Milestones!$AA$148),"dd mmm yy"))&amp;" "&amp;Milestones!$AB$148&amp;" "&amp;IF(AND(Milestones!$AB$148="FT",Milestones!$AA$148=FT_Y5,EDATE($D147,Milestones!$AA$148)&lt;PolicyEff),1,Milestones!$AC$148)&amp;";  ","")&amp;IF(AND(EDATE($D147,Milestones!$AA$149)&lt;=AsOfDate,EDATE($D147,Milestones!$AA$149)&gt;=SchemeStart,IF($X147=0,$AD147,IF(AND($Z147&lt;&gt;"",EDATE($D147,Milestones!$AA$149)&gt;=$Z147),$AC147,IF(AND($Y147&lt;&gt;"",EDATE($D147,Milestones!$AA$149)&gt;=$Y147),$AB147,$AA147)))=Milestones!$AB$149),UPPER(TEXT(EDATE($D147,Milestones!$AA$149),"dd mmm yy"))&amp;" "&amp;Milestones!$AB$149&amp;" "&amp;IF(AND(Milestones!$AB$149="FT",Milestones!$AA$149=FT_Y5,EDATE($D147,Milestones!$AA$149)&lt;PolicyEff),1,Milestones!$AC$149)&amp;";  ","")&amp;IF(AND(EDATE($D147,Milestones!$AA$150)&lt;=AsOfDate,EDATE($D147,Milestones!$AA$150)&gt;=SchemeStart,IF($X147=0,$AD147,IF(AND($Z147&lt;&gt;"",EDATE($D147,Milestones!$AA$150)&gt;=$Z147),$AC147,IF(AND($Y147&lt;&gt;"",EDATE($D147,Milestones!$AA$150)&gt;=$Y147),$AB147,$AA147)))=Milestones!$AB$150),UPPER(TEXT(EDATE($D147,Milestones!$AA$150),"dd mmm yy"))&amp;" "&amp;Milestones!$AB$150&amp;" "&amp;IF(AND(Milestones!$AB$150="FT",Milestones!$AA$150=FT_Y5,EDATE($D147,Milestones!$AA$150)&lt;PolicyEff),1,Milestones!$AC$150)&amp;";  ","")&amp;IF(AND(EDATE($D147,Milestones!$AA$151)&lt;=AsOfDate,EDATE($D147,Milestones!$AA$151)&gt;=SchemeStart,IF($X147=0,$AD147,IF(AND($Z147&lt;&gt;"",EDATE($D147,Milestones!$AA$151)&gt;=$Z147),$AC147,IF(AND($Y147&lt;&gt;"",EDATE($D147,Milestones!$AA$151)&gt;=$Y147),$AB147,$AA147)))=Milestones!$AB$151),UPPER(TEXT(EDATE($D147,Milestones!$AA$151),"dd mmm yy"))&amp;" "&amp;Milestones!$AB$151&amp;" "&amp;IF(AND(Milestones!$AB$151="FT",Milestones!$AA$151=FT_Y5,EDATE($D147,Milestones!$AA$151)&lt;PolicyEff),1,Milestones!$AC$151)&amp;";  ",""))</f>
        <v/>
      </c>
      <c r="T147" s="0" t="str">
        <f aca="false">IF(OR($A147="",$D147=""),"",IF(AND(EDATE($D147,Milestones!$AA$152)&lt;=AsOfDate,EDATE($D147,Milestones!$AA$152)&gt;=SchemeStart,IF($X147=0,$AD147,IF(AND($Z147&lt;&gt;"",EDATE($D147,Milestones!$AA$152)&gt;=$Z147),$AC147,IF(AND($Y147&lt;&gt;"",EDATE($D147,Milestones!$AA$152)&gt;=$Y147),$AB147,$AA147)))=Milestones!$AB$152),UPPER(TEXT(EDATE($D147,Milestones!$AA$152),"dd mmm yy"))&amp;" "&amp;Milestones!$AB$152&amp;" "&amp;IF(AND(Milestones!$AB$152="FT",Milestones!$AA$152=FT_Y5,EDATE($D147,Milestones!$AA$152)&lt;PolicyEff),1,Milestones!$AC$152)&amp;";  ","")&amp;IF(AND(EDATE($D147,Milestones!$AA$153)&lt;=AsOfDate,EDATE($D147,Milestones!$AA$153)&gt;=SchemeStart,IF($X147=0,$AD147,IF(AND($Z147&lt;&gt;"",EDATE($D147,Milestones!$AA$153)&gt;=$Z147),$AC147,IF(AND($Y147&lt;&gt;"",EDATE($D147,Milestones!$AA$153)&gt;=$Y147),$AB147,$AA147)))=Milestones!$AB$153),UPPER(TEXT(EDATE($D147,Milestones!$AA$153),"dd mmm yy"))&amp;" "&amp;Milestones!$AB$153&amp;" "&amp;IF(AND(Milestones!$AB$153="FT",Milestones!$AA$153=FT_Y5,EDATE($D147,Milestones!$AA$153)&lt;PolicyEff),1,Milestones!$AC$153)&amp;";  ","")&amp;IF(AND(EDATE($D147,Milestones!$AA$154)&lt;=AsOfDate,EDATE($D147,Milestones!$AA$154)&gt;=SchemeStart,IF($X147=0,$AD147,IF(AND($Z147&lt;&gt;"",EDATE($D147,Milestones!$AA$154)&gt;=$Z147),$AC147,IF(AND($Y147&lt;&gt;"",EDATE($D147,Milestones!$AA$154)&gt;=$Y147),$AB147,$AA147)))=Milestones!$AB$154),UPPER(TEXT(EDATE($D147,Milestones!$AA$154),"dd mmm yy"))&amp;" "&amp;Milestones!$AB$154&amp;" "&amp;IF(AND(Milestones!$AB$154="FT",Milestones!$AA$154=FT_Y5,EDATE($D147,Milestones!$AA$154)&lt;PolicyEff),1,Milestones!$AC$154)&amp;";  ","")&amp;IF(AND(EDATE($D147,Milestones!$AA$155)&lt;=AsOfDate,EDATE($D147,Milestones!$AA$155)&gt;=SchemeStart,IF($X147=0,$AD147,IF(AND($Z147&lt;&gt;"",EDATE($D147,Milestones!$AA$155)&gt;=$Z147),$AC147,IF(AND($Y147&lt;&gt;"",EDATE($D147,Milestones!$AA$155)&gt;=$Y147),$AB147,$AA147)))=Milestones!$AB$155),UPPER(TEXT(EDATE($D147,Milestones!$AA$155),"dd mmm yy"))&amp;" "&amp;Milestones!$AB$155&amp;" "&amp;IF(AND(Milestones!$AB$155="FT",Milestones!$AA$155=FT_Y5,EDATE($D147,Milestones!$AA$155)&lt;PolicyEff),1,Milestones!$AC$155)&amp;";  ","")&amp;IF(AND(EDATE($D147,Milestones!$AA$156)&lt;=AsOfDate,EDATE($D147,Milestones!$AA$156)&gt;=SchemeStart,IF($X147=0,$AD147,IF(AND($Z147&lt;&gt;"",EDATE($D147,Milestones!$AA$156)&gt;=$Z147),$AC147,IF(AND($Y147&lt;&gt;"",EDATE($D147,Milestones!$AA$156)&gt;=$Y147),$AB147,$AA147)))=Milestones!$AB$156),UPPER(TEXT(EDATE($D147,Milestones!$AA$156),"dd mmm yy"))&amp;" "&amp;Milestones!$AB$156&amp;" "&amp;IF(AND(Milestones!$AB$156="FT",Milestones!$AA$156=FT_Y5,EDATE($D147,Milestones!$AA$156)&lt;PolicyEff),1,Milestones!$AC$156)&amp;";  ","")&amp;IF(AND(EDATE($D147,Milestones!$AA$157)&lt;=AsOfDate,EDATE($D147,Milestones!$AA$157)&gt;=SchemeStart,IF($X147=0,$AD147,IF(AND($Z147&lt;&gt;"",EDATE($D147,Milestones!$AA$157)&gt;=$Z147),$AC147,IF(AND($Y147&lt;&gt;"",EDATE($D147,Milestones!$AA$157)&gt;=$Y147),$AB147,$AA147)))=Milestones!$AB$157),UPPER(TEXT(EDATE($D147,Milestones!$AA$157),"dd mmm yy"))&amp;" "&amp;Milestones!$AB$157&amp;" "&amp;IF(AND(Milestones!$AB$157="FT",Milestones!$AA$157=FT_Y5,EDATE($D147,Milestones!$AA$157)&lt;PolicyEff),1,Milestones!$AC$157)&amp;";  ","")&amp;IF(AND(EDATE($D147,Milestones!$AA$158)&lt;=AsOfDate,EDATE($D147,Milestones!$AA$158)&gt;=SchemeStart,IF($X147=0,$AD147,IF(AND($Z147&lt;&gt;"",EDATE($D147,Milestones!$AA$158)&gt;=$Z147),$AC147,IF(AND($Y147&lt;&gt;"",EDATE($D147,Milestones!$AA$158)&gt;=$Y147),$AB147,$AA147)))=Milestones!$AB$158),UPPER(TEXT(EDATE($D147,Milestones!$AA$158),"dd mmm yy"))&amp;" "&amp;Milestones!$AB$158&amp;" "&amp;IF(AND(Milestones!$AB$158="FT",Milestones!$AA$158=FT_Y5,EDATE($D147,Milestones!$AA$158)&lt;PolicyEff),1,Milestones!$AC$158)&amp;";  ","")&amp;IF(AND(EDATE($D147,Milestones!$AA$159)&lt;=AsOfDate,EDATE($D147,Milestones!$AA$159)&gt;=SchemeStart,IF($X147=0,$AD147,IF(AND($Z147&lt;&gt;"",EDATE($D147,Milestones!$AA$159)&gt;=$Z147),$AC147,IF(AND($Y147&lt;&gt;"",EDATE($D147,Milestones!$AA$159)&gt;=$Y147),$AB147,$AA147)))=Milestones!$AB$159),UPPER(TEXT(EDATE($D147,Milestones!$AA$159),"dd mmm yy"))&amp;" "&amp;Milestones!$AB$159&amp;" "&amp;IF(AND(Milestones!$AB$159="FT",Milestones!$AA$159=FT_Y5,EDATE($D147,Milestones!$AA$159)&lt;PolicyEff),1,Milestones!$AC$159)&amp;";  ","")&amp;IF(AND(EDATE($D147,Milestones!$AA$160)&lt;=AsOfDate,EDATE($D147,Milestones!$AA$160)&gt;=SchemeStart,IF($X147=0,$AD147,IF(AND($Z147&lt;&gt;"",EDATE($D147,Milestones!$AA$160)&gt;=$Z147),$AC147,IF(AND($Y147&lt;&gt;"",EDATE($D147,Milestones!$AA$160)&gt;=$Y147),$AB147,$AA147)))=Milestones!$AB$160),UPPER(TEXT(EDATE($D147,Milestones!$AA$160),"dd mmm yy"))&amp;" "&amp;Milestones!$AB$160&amp;" "&amp;IF(AND(Milestones!$AB$160="FT",Milestones!$AA$160=FT_Y5,EDATE($D147,Milestones!$AA$160)&lt;PolicyEff),1,Milestones!$AC$160)&amp;";  ","")&amp;IF(AND(EDATE($D147,Milestones!$AA$161)&lt;=AsOfDate,EDATE($D147,Milestones!$AA$161)&gt;=SchemeStart,IF($X147=0,$AD147,IF(AND($Z147&lt;&gt;"",EDATE($D147,Milestones!$AA$161)&gt;=$Z147),$AC147,IF(AND($Y147&lt;&gt;"",EDATE($D147,Milestones!$AA$161)&gt;=$Y147),$AB147,$AA147)))=Milestones!$AB$161),UPPER(TEXT(EDATE($D147,Milestones!$AA$161),"dd mmm yy"))&amp;" "&amp;Milestones!$AB$161&amp;" "&amp;IF(AND(Milestones!$AB$161="FT",Milestones!$AA$161=FT_Y5,EDATE($D147,Milestones!$AA$161)&lt;PolicyEff),1,Milestones!$AC$161)&amp;";  ","")&amp;IF(AND(EDATE($D147,Milestones!$AA$162)&lt;=AsOfDate,EDATE($D147,Milestones!$AA$162)&gt;=SchemeStart,IF($X147=0,$AD147,IF(AND($Z147&lt;&gt;"",EDATE($D147,Milestones!$AA$162)&gt;=$Z147),$AC147,IF(AND($Y147&lt;&gt;"",EDATE($D147,Milestones!$AA$162)&gt;=$Y147),$AB147,$AA147)))=Milestones!$AB$162),UPPER(TEXT(EDATE($D147,Milestones!$AA$162),"dd mmm yy"))&amp;" "&amp;Milestones!$AB$162&amp;" "&amp;IF(AND(Milestones!$AB$162="FT",Milestones!$AA$162=FT_Y5,EDATE($D147,Milestones!$AA$162)&lt;PolicyEff),1,Milestones!$AC$162)&amp;";  ","")&amp;IF(AND(EDATE($D147,Milestones!$AA$163)&lt;=AsOfDate,EDATE($D147,Milestones!$AA$163)&gt;=SchemeStart,IF($X147=0,$AD147,IF(AND($Z147&lt;&gt;"",EDATE($D147,Milestones!$AA$163)&gt;=$Z147),$AC147,IF(AND($Y147&lt;&gt;"",EDATE($D147,Milestones!$AA$163)&gt;=$Y147),$AB147,$AA147)))=Milestones!$AB$163),UPPER(TEXT(EDATE($D147,Milestones!$AA$163),"dd mmm yy"))&amp;" "&amp;Milestones!$AB$163&amp;" "&amp;IF(AND(Milestones!$AB$163="FT",Milestones!$AA$163=FT_Y5,EDATE($D147,Milestones!$AA$163)&lt;PolicyEff),1,Milestones!$AC$163)&amp;";  ",""))</f>
        <v/>
      </c>
      <c r="U147" s="0" t="str">
        <f aca="false">IF(OR($A147="",$D147=""),"",IF(AND(EDATE($D147,Milestones!$AA$164)&lt;=AsOfDate,EDATE($D147,Milestones!$AA$164)&gt;=SchemeStart,IF($X147=0,$AD147,IF(AND($Z147&lt;&gt;"",EDATE($D147,Milestones!$AA$164)&gt;=$Z147),$AC147,IF(AND($Y147&lt;&gt;"",EDATE($D147,Milestones!$AA$164)&gt;=$Y147),$AB147,$AA147)))=Milestones!$AB$164),UPPER(TEXT(EDATE($D147,Milestones!$AA$164),"dd mmm yy"))&amp;" "&amp;Milestones!$AB$164&amp;" "&amp;IF(AND(Milestones!$AB$164="FT",Milestones!$AA$164=FT_Y5,EDATE($D147,Milestones!$AA$164)&lt;PolicyEff),1,Milestones!$AC$164)&amp;";  ","")&amp;IF(AND(EDATE($D147,Milestones!$AA$165)&lt;=AsOfDate,EDATE($D147,Milestones!$AA$165)&gt;=SchemeStart,IF($X147=0,$AD147,IF(AND($Z147&lt;&gt;"",EDATE($D147,Milestones!$AA$165)&gt;=$Z147),$AC147,IF(AND($Y147&lt;&gt;"",EDATE($D147,Milestones!$AA$165)&gt;=$Y147),$AB147,$AA147)))=Milestones!$AB$165),UPPER(TEXT(EDATE($D147,Milestones!$AA$165),"dd mmm yy"))&amp;" "&amp;Milestones!$AB$165&amp;" "&amp;IF(AND(Milestones!$AB$165="FT",Milestones!$AA$165=FT_Y5,EDATE($D147,Milestones!$AA$165)&lt;PolicyEff),1,Milestones!$AC$165)&amp;";  ","")&amp;IF(AND(EDATE($D147,Milestones!$AA$166)&lt;=AsOfDate,EDATE($D147,Milestones!$AA$166)&gt;=SchemeStart,IF($X147=0,$AD147,IF(AND($Z147&lt;&gt;"",EDATE($D147,Milestones!$AA$166)&gt;=$Z147),$AC147,IF(AND($Y147&lt;&gt;"",EDATE($D147,Milestones!$AA$166)&gt;=$Y147),$AB147,$AA147)))=Milestones!$AB$166),UPPER(TEXT(EDATE($D147,Milestones!$AA$166),"dd mmm yy"))&amp;" "&amp;Milestones!$AB$166&amp;" "&amp;IF(AND(Milestones!$AB$166="FT",Milestones!$AA$166=FT_Y5,EDATE($D147,Milestones!$AA$166)&lt;PolicyEff),1,Milestones!$AC$166)&amp;";  ","")&amp;IF(AND(EDATE($D147,Milestones!$AA$167)&lt;=AsOfDate,EDATE($D147,Milestones!$AA$167)&gt;=SchemeStart,IF($X147=0,$AD147,IF(AND($Z147&lt;&gt;"",EDATE($D147,Milestones!$AA$167)&gt;=$Z147),$AC147,IF(AND($Y147&lt;&gt;"",EDATE($D147,Milestones!$AA$167)&gt;=$Y147),$AB147,$AA147)))=Milestones!$AB$167),UPPER(TEXT(EDATE($D147,Milestones!$AA$167),"dd mmm yy"))&amp;" "&amp;Milestones!$AB$167&amp;" "&amp;IF(AND(Milestones!$AB$167="FT",Milestones!$AA$167=FT_Y5,EDATE($D147,Milestones!$AA$167)&lt;PolicyEff),1,Milestones!$AC$167)&amp;";  ","")&amp;IF(AND(EDATE($D147,Milestones!$AA$168)&lt;=AsOfDate,EDATE($D147,Milestones!$AA$168)&gt;=SchemeStart,IF($X147=0,$AD147,IF(AND($Z147&lt;&gt;"",EDATE($D147,Milestones!$AA$168)&gt;=$Z147),$AC147,IF(AND($Y147&lt;&gt;"",EDATE($D147,Milestones!$AA$168)&gt;=$Y147),$AB147,$AA147)))=Milestones!$AB$168),UPPER(TEXT(EDATE($D147,Milestones!$AA$168),"dd mmm yy"))&amp;" "&amp;Milestones!$AB$168&amp;" "&amp;IF(AND(Milestones!$AB$168="FT",Milestones!$AA$168=FT_Y5,EDATE($D147,Milestones!$AA$168)&lt;PolicyEff),1,Milestones!$AC$168)&amp;";  ","")&amp;IF(AND(EDATE($D147,Milestones!$AA$169)&lt;=AsOfDate,EDATE($D147,Milestones!$AA$169)&gt;=SchemeStart,IF($X147=0,$AD147,IF(AND($Z147&lt;&gt;"",EDATE($D147,Milestones!$AA$169)&gt;=$Z147),$AC147,IF(AND($Y147&lt;&gt;"",EDATE($D147,Milestones!$AA$169)&gt;=$Y147),$AB147,$AA147)))=Milestones!$AB$169),UPPER(TEXT(EDATE($D147,Milestones!$AA$169),"dd mmm yy"))&amp;" "&amp;Milestones!$AB$169&amp;" "&amp;IF(AND(Milestones!$AB$169="FT",Milestones!$AA$169=FT_Y5,EDATE($D147,Milestones!$AA$169)&lt;PolicyEff),1,Milestones!$AC$169)&amp;";  ","")&amp;IF(AND(EDATE($D147,Milestones!$AA$170)&lt;=AsOfDate,EDATE($D147,Milestones!$AA$170)&gt;=SchemeStart,IF($X147=0,$AD147,IF(AND($Z147&lt;&gt;"",EDATE($D147,Milestones!$AA$170)&gt;=$Z147),$AC147,IF(AND($Y147&lt;&gt;"",EDATE($D147,Milestones!$AA$170)&gt;=$Y147),$AB147,$AA147)))=Milestones!$AB$170),UPPER(TEXT(EDATE($D147,Milestones!$AA$170),"dd mmm yy"))&amp;" "&amp;Milestones!$AB$170&amp;" "&amp;IF(AND(Milestones!$AB$170="FT",Milestones!$AA$170=FT_Y5,EDATE($D147,Milestones!$AA$170)&lt;PolicyEff),1,Milestones!$AC$170)&amp;";  ","")&amp;IF(AND(EDATE($D147,Milestones!$AA$171)&lt;=AsOfDate,EDATE($D147,Milestones!$AA$171)&gt;=SchemeStart,IF($X147=0,$AD147,IF(AND($Z147&lt;&gt;"",EDATE($D147,Milestones!$AA$171)&gt;=$Z147),$AC147,IF(AND($Y147&lt;&gt;"",EDATE($D147,Milestones!$AA$171)&gt;=$Y147),$AB147,$AA147)))=Milestones!$AB$171),UPPER(TEXT(EDATE($D147,Milestones!$AA$171),"dd mmm yy"))&amp;" "&amp;Milestones!$AB$171&amp;" "&amp;IF(AND(Milestones!$AB$171="FT",Milestones!$AA$171=FT_Y5,EDATE($D147,Milestones!$AA$171)&lt;PolicyEff),1,Milestones!$AC$171)&amp;";  ","")&amp;IF(AND(EDATE($D147,Milestones!$AA$172)&lt;=AsOfDate,EDATE($D147,Milestones!$AA$172)&gt;=SchemeStart,IF($X147=0,$AD147,IF(AND($Z147&lt;&gt;"",EDATE($D147,Milestones!$AA$172)&gt;=$Z147),$AC147,IF(AND($Y147&lt;&gt;"",EDATE($D147,Milestones!$AA$172)&gt;=$Y147),$AB147,$AA147)))=Milestones!$AB$172),UPPER(TEXT(EDATE($D147,Milestones!$AA$172),"dd mmm yy"))&amp;" "&amp;Milestones!$AB$172&amp;" "&amp;IF(AND(Milestones!$AB$172="FT",Milestones!$AA$172=FT_Y5,EDATE($D147,Milestones!$AA$172)&lt;PolicyEff),1,Milestones!$AC$172)&amp;";  ","")&amp;IF(AND(EDATE($D147,Milestones!$AA$173)&lt;=AsOfDate,EDATE($D147,Milestones!$AA$173)&gt;=SchemeStart,IF($X147=0,$AD147,IF(AND($Z147&lt;&gt;"",EDATE($D147,Milestones!$AA$173)&gt;=$Z147),$AC147,IF(AND($Y147&lt;&gt;"",EDATE($D147,Milestones!$AA$173)&gt;=$Y147),$AB147,$AA147)))=Milestones!$AB$173),UPPER(TEXT(EDATE($D147,Milestones!$AA$173),"dd mmm yy"))&amp;" "&amp;Milestones!$AB$173&amp;" "&amp;IF(AND(Milestones!$AB$173="FT",Milestones!$AA$173=FT_Y5,EDATE($D147,Milestones!$AA$173)&lt;PolicyEff),1,Milestones!$AC$173)&amp;";  ","")&amp;IF(AND(EDATE($D147,Milestones!$AA$174)&lt;=AsOfDate,EDATE($D147,Milestones!$AA$174)&gt;=SchemeStart,IF($X147=0,$AD147,IF(AND($Z147&lt;&gt;"",EDATE($D147,Milestones!$AA$174)&gt;=$Z147),$AC147,IF(AND($Y147&lt;&gt;"",EDATE($D147,Milestones!$AA$174)&gt;=$Y147),$AB147,$AA147)))=Milestones!$AB$174),UPPER(TEXT(EDATE($D147,Milestones!$AA$174),"dd mmm yy"))&amp;" "&amp;Milestones!$AB$174&amp;" "&amp;IF(AND(Milestones!$AB$174="FT",Milestones!$AA$174=FT_Y5,EDATE($D147,Milestones!$AA$174)&lt;PolicyEff),1,Milestones!$AC$174)&amp;";  ","")&amp;IF(AND(EDATE($D147,Milestones!$AA$175)&lt;=AsOfDate,EDATE($D147,Milestones!$AA$175)&gt;=SchemeStart,IF($X147=0,$AD147,IF(AND($Z147&lt;&gt;"",EDATE($D147,Milestones!$AA$175)&gt;=$Z147),$AC147,IF(AND($Y147&lt;&gt;"",EDATE($D147,Milestones!$AA$175)&gt;=$Y147),$AB147,$AA147)))=Milestones!$AB$175),UPPER(TEXT(EDATE($D147,Milestones!$AA$175),"dd mmm yy"))&amp;" "&amp;Milestones!$AB$175&amp;" "&amp;IF(AND(Milestones!$AB$175="FT",Milestones!$AA$175=FT_Y5,EDATE($D147,Milestones!$AA$175)&lt;PolicyEff),1,Milestones!$AC$175)&amp;";  ",""))</f>
        <v/>
      </c>
      <c r="V147" s="0" t="str">
        <f aca="false">IF(OR($A147="",$D147=""),"",IF(AND(EDATE($D147,Milestones!$AA$176)&lt;=AsOfDate,EDATE($D147,Milestones!$AA$176)&gt;=SchemeStart,IF($X147=0,$AD147,IF(AND($Z147&lt;&gt;"",EDATE($D147,Milestones!$AA$176)&gt;=$Z147),$AC147,IF(AND($Y147&lt;&gt;"",EDATE($D147,Milestones!$AA$176)&gt;=$Y147),$AB147,$AA147)))=Milestones!$AB$176),UPPER(TEXT(EDATE($D147,Milestones!$AA$176),"dd mmm yy"))&amp;" "&amp;Milestones!$AB$176&amp;" "&amp;IF(AND(Milestones!$AB$176="FT",Milestones!$AA$176=FT_Y5,EDATE($D147,Milestones!$AA$176)&lt;PolicyEff),1,Milestones!$AC$176)&amp;";  ","")&amp;IF(AND(EDATE($D147,Milestones!$AA$177)&lt;=AsOfDate,EDATE($D147,Milestones!$AA$177)&gt;=SchemeStart,IF($X147=0,$AD147,IF(AND($Z147&lt;&gt;"",EDATE($D147,Milestones!$AA$177)&gt;=$Z147),$AC147,IF(AND($Y147&lt;&gt;"",EDATE($D147,Milestones!$AA$177)&gt;=$Y147),$AB147,$AA147)))=Milestones!$AB$177),UPPER(TEXT(EDATE($D147,Milestones!$AA$177),"dd mmm yy"))&amp;" "&amp;Milestones!$AB$177&amp;" "&amp;IF(AND(Milestones!$AB$177="FT",Milestones!$AA$177=FT_Y5,EDATE($D147,Milestones!$AA$177)&lt;PolicyEff),1,Milestones!$AC$177)&amp;";  ","")&amp;IF(AND(EDATE($D147,Milestones!$AA$178)&lt;=AsOfDate,EDATE($D147,Milestones!$AA$178)&gt;=SchemeStart,IF($X147=0,$AD147,IF(AND($Z147&lt;&gt;"",EDATE($D147,Milestones!$AA$178)&gt;=$Z147),$AC147,IF(AND($Y147&lt;&gt;"",EDATE($D147,Milestones!$AA$178)&gt;=$Y147),$AB147,$AA147)))=Milestones!$AB$178),UPPER(TEXT(EDATE($D147,Milestones!$AA$178),"dd mmm yy"))&amp;" "&amp;Milestones!$AB$178&amp;" "&amp;IF(AND(Milestones!$AB$178="FT",Milestones!$AA$178=FT_Y5,EDATE($D147,Milestones!$AA$178)&lt;PolicyEff),1,Milestones!$AC$178)&amp;";  ","")&amp;IF(AND(EDATE($D147,Milestones!$AA$179)&lt;=AsOfDate,EDATE($D147,Milestones!$AA$179)&gt;=SchemeStart,IF($X147=0,$AD147,IF(AND($Z147&lt;&gt;"",EDATE($D147,Milestones!$AA$179)&gt;=$Z147),$AC147,IF(AND($Y147&lt;&gt;"",EDATE($D147,Milestones!$AA$179)&gt;=$Y147),$AB147,$AA147)))=Milestones!$AB$179),UPPER(TEXT(EDATE($D147,Milestones!$AA$179),"dd mmm yy"))&amp;" "&amp;Milestones!$AB$179&amp;" "&amp;IF(AND(Milestones!$AB$179="FT",Milestones!$AA$179=FT_Y5,EDATE($D147,Milestones!$AA$179)&lt;PolicyEff),1,Milestones!$AC$179)&amp;";  ","")&amp;IF(AND(EDATE($D147,Milestones!$AA$180)&lt;=AsOfDate,EDATE($D147,Milestones!$AA$180)&gt;=SchemeStart,IF($X147=0,$AD147,IF(AND($Z147&lt;&gt;"",EDATE($D147,Milestones!$AA$180)&gt;=$Z147),$AC147,IF(AND($Y147&lt;&gt;"",EDATE($D147,Milestones!$AA$180)&gt;=$Y147),$AB147,$AA147)))=Milestones!$AB$180),UPPER(TEXT(EDATE($D147,Milestones!$AA$180),"dd mmm yy"))&amp;" "&amp;Milestones!$AB$180&amp;" "&amp;IF(AND(Milestones!$AB$180="FT",Milestones!$AA$180=FT_Y5,EDATE($D147,Milestones!$AA$180)&lt;PolicyEff),1,Milestones!$AC$180)&amp;";  ","")&amp;IF(AND(EDATE($D147,Milestones!$AA$181)&lt;=AsOfDate,EDATE($D147,Milestones!$AA$181)&gt;=SchemeStart,IF($X147=0,$AD147,IF(AND($Z147&lt;&gt;"",EDATE($D147,Milestones!$AA$181)&gt;=$Z147),$AC147,IF(AND($Y147&lt;&gt;"",EDATE($D147,Milestones!$AA$181)&gt;=$Y147),$AB147,$AA147)))=Milestones!$AB$181),UPPER(TEXT(EDATE($D147,Milestones!$AA$181),"dd mmm yy"))&amp;" "&amp;Milestones!$AB$181&amp;" "&amp;IF(AND(Milestones!$AB$181="FT",Milestones!$AA$181=FT_Y5,EDATE($D147,Milestones!$AA$181)&lt;PolicyEff),1,Milestones!$AC$181)&amp;";  ","")&amp;IF(AND(EDATE($D147,Milestones!$AA$182)&lt;=AsOfDate,EDATE($D147,Milestones!$AA$182)&gt;=SchemeStart,IF($X147=0,$AD147,IF(AND($Z147&lt;&gt;"",EDATE($D147,Milestones!$AA$182)&gt;=$Z147),$AC147,IF(AND($Y147&lt;&gt;"",EDATE($D147,Milestones!$AA$182)&gt;=$Y147),$AB147,$AA147)))=Milestones!$AB$182),UPPER(TEXT(EDATE($D147,Milestones!$AA$182),"dd mmm yy"))&amp;" "&amp;Milestones!$AB$182&amp;" "&amp;IF(AND(Milestones!$AB$182="FT",Milestones!$AA$182=FT_Y5,EDATE($D147,Milestones!$AA$182)&lt;PolicyEff),1,Milestones!$AC$182)&amp;";  ","")&amp;IF(AND(EDATE($D147,Milestones!$AA$183)&lt;=AsOfDate,EDATE($D147,Milestones!$AA$183)&gt;=SchemeStart,IF($X147=0,$AD147,IF(AND($Z147&lt;&gt;"",EDATE($D147,Milestones!$AA$183)&gt;=$Z147),$AC147,IF(AND($Y147&lt;&gt;"",EDATE($D147,Milestones!$AA$183)&gt;=$Y147),$AB147,$AA147)))=Milestones!$AB$183),UPPER(TEXT(EDATE($D147,Milestones!$AA$183),"dd mmm yy"))&amp;" "&amp;Milestones!$AB$183&amp;" "&amp;IF(AND(Milestones!$AB$183="FT",Milestones!$AA$183=FT_Y5,EDATE($D147,Milestones!$AA$183)&lt;PolicyEff),1,Milestones!$AC$183)&amp;";  ","")&amp;IF(AND(EDATE($D147,Milestones!$AA$184)&lt;=AsOfDate,EDATE($D147,Milestones!$AA$184)&gt;=SchemeStart,IF($X147=0,$AD147,IF(AND($Z147&lt;&gt;"",EDATE($D147,Milestones!$AA$184)&gt;=$Z147),$AC147,IF(AND($Y147&lt;&gt;"",EDATE($D147,Milestones!$AA$184)&gt;=$Y147),$AB147,$AA147)))=Milestones!$AB$184),UPPER(TEXT(EDATE($D147,Milestones!$AA$184),"dd mmm yy"))&amp;" "&amp;Milestones!$AB$184&amp;" "&amp;IF(AND(Milestones!$AB$184="FT",Milestones!$AA$184=FT_Y5,EDATE($D147,Milestones!$AA$184)&lt;PolicyEff),1,Milestones!$AC$184)&amp;";  ","")&amp;IF(AND(EDATE($D147,Milestones!$AA$185)&lt;=AsOfDate,EDATE($D147,Milestones!$AA$185)&gt;=SchemeStart,IF($X147=0,$AD147,IF(AND($Z147&lt;&gt;"",EDATE($D147,Milestones!$AA$185)&gt;=$Z147),$AC147,IF(AND($Y147&lt;&gt;"",EDATE($D147,Milestones!$AA$185)&gt;=$Y147),$AB147,$AA147)))=Milestones!$AB$185),UPPER(TEXT(EDATE($D147,Milestones!$AA$185),"dd mmm yy"))&amp;" "&amp;Milestones!$AB$185&amp;" "&amp;IF(AND(Milestones!$AB$185="FT",Milestones!$AA$185=FT_Y5,EDATE($D147,Milestones!$AA$185)&lt;PolicyEff),1,Milestones!$AC$185)&amp;";  ","")&amp;IF(AND(EDATE($D147,Milestones!$AA$186)&lt;=AsOfDate,EDATE($D147,Milestones!$AA$186)&gt;=SchemeStart,IF($X147=0,$AD147,IF(AND($Z147&lt;&gt;"",EDATE($D147,Milestones!$AA$186)&gt;=$Z147),$AC147,IF(AND($Y147&lt;&gt;"",EDATE($D147,Milestones!$AA$186)&gt;=$Y147),$AB147,$AA147)))=Milestones!$AB$186),UPPER(TEXT(EDATE($D147,Milestones!$AA$186),"dd mmm yy"))&amp;" "&amp;Milestones!$AB$186&amp;" "&amp;IF(AND(Milestones!$AB$186="FT",Milestones!$AA$186=FT_Y5,EDATE($D147,Milestones!$AA$186)&lt;PolicyEff),1,Milestones!$AC$186)&amp;";  ","")&amp;IF(AND(EDATE($D147,Milestones!$AA$187)&lt;=AsOfDate,EDATE($D147,Milestones!$AA$187)&gt;=SchemeStart,IF($X147=0,$AD147,IF(AND($Z147&lt;&gt;"",EDATE($D147,Milestones!$AA$187)&gt;=$Z147),$AC147,IF(AND($Y147&lt;&gt;"",EDATE($D147,Milestones!$AA$187)&gt;=$Y147),$AB147,$AA147)))=Milestones!$AB$187),UPPER(TEXT(EDATE($D147,Milestones!$AA$187),"dd mmm yy"))&amp;" "&amp;Milestones!$AB$187&amp;" "&amp;IF(AND(Milestones!$AB$187="FT",Milestones!$AA$187=FT_Y5,EDATE($D147,Milestones!$AA$187)&lt;PolicyEff),1,Milestones!$AC$187)&amp;";  ",""))</f>
        <v/>
      </c>
      <c r="W147" s="0" t="str">
        <f aca="false">IF(OR($A147="",$D147=""),"",IF(AND(EDATE($D147,Milestones!$AA$188)&lt;=AsOfDate,EDATE($D147,Milestones!$AA$188)&gt;=SchemeStart,IF($X147=0,$AD147,IF(AND($Z147&lt;&gt;"",EDATE($D147,Milestones!$AA$188)&gt;=$Z147),$AC147,IF(AND($Y147&lt;&gt;"",EDATE($D147,Milestones!$AA$188)&gt;=$Y147),$AB147,$AA147)))=Milestones!$AB$188),UPPER(TEXT(EDATE($D147,Milestones!$AA$188),"dd mmm yy"))&amp;" "&amp;Milestones!$AB$188&amp;" "&amp;IF(AND(Milestones!$AB$188="FT",Milestones!$AA$188=FT_Y5,EDATE($D147,Milestones!$AA$188)&lt;PolicyEff),1,Milestones!$AC$188)&amp;";  ","")&amp;IF(AND(EDATE($D147,Milestones!$AA$189)&lt;=AsOfDate,EDATE($D147,Milestones!$AA$189)&gt;=SchemeStart,IF($X147=0,$AD147,IF(AND($Z147&lt;&gt;"",EDATE($D147,Milestones!$AA$189)&gt;=$Z147),$AC147,IF(AND($Y147&lt;&gt;"",EDATE($D147,Milestones!$AA$189)&gt;=$Y147),$AB147,$AA147)))=Milestones!$AB$189),UPPER(TEXT(EDATE($D147,Milestones!$AA$189),"dd mmm yy"))&amp;" "&amp;Milestones!$AB$189&amp;" "&amp;IF(AND(Milestones!$AB$189="FT",Milestones!$AA$189=FT_Y5,EDATE($D147,Milestones!$AA$189)&lt;PolicyEff),1,Milestones!$AC$189)&amp;";  ","")&amp;IF(AND(EDATE($D147,Milestones!$AA$190)&lt;=AsOfDate,EDATE($D147,Milestones!$AA$190)&gt;=SchemeStart,IF($X147=0,$AD147,IF(AND($Z147&lt;&gt;"",EDATE($D147,Milestones!$AA$190)&gt;=$Z147),$AC147,IF(AND($Y147&lt;&gt;"",EDATE($D147,Milestones!$AA$190)&gt;=$Y147),$AB147,$AA147)))=Milestones!$AB$190),UPPER(TEXT(EDATE($D147,Milestones!$AA$190),"dd mmm yy"))&amp;" "&amp;Milestones!$AB$190&amp;" "&amp;IF(AND(Milestones!$AB$190="FT",Milestones!$AA$190=FT_Y5,EDATE($D147,Milestones!$AA$190)&lt;PolicyEff),1,Milestones!$AC$190)&amp;";  ","")&amp;IF(AND(EDATE($D147,Milestones!$AA$191)&lt;=AsOfDate,EDATE($D147,Milestones!$AA$191)&gt;=SchemeStart,IF($X147=0,$AD147,IF(AND($Z147&lt;&gt;"",EDATE($D147,Milestones!$AA$191)&gt;=$Z147),$AC147,IF(AND($Y147&lt;&gt;"",EDATE($D147,Milestones!$AA$191)&gt;=$Y147),$AB147,$AA147)))=Milestones!$AB$191),UPPER(TEXT(EDATE($D147,Milestones!$AA$191),"dd mmm yy"))&amp;" "&amp;Milestones!$AB$191&amp;" "&amp;IF(AND(Milestones!$AB$191="FT",Milestones!$AA$191=FT_Y5,EDATE($D147,Milestones!$AA$191)&lt;PolicyEff),1,Milestones!$AC$191)&amp;";  ","")&amp;IF(AND(EDATE($D147,Milestones!$AA$192)&lt;=AsOfDate,EDATE($D147,Milestones!$AA$192)&gt;=SchemeStart,IF($X147=0,$AD147,IF(AND($Z147&lt;&gt;"",EDATE($D147,Milestones!$AA$192)&gt;=$Z147),$AC147,IF(AND($Y147&lt;&gt;"",EDATE($D147,Milestones!$AA$192)&gt;=$Y147),$AB147,$AA147)))=Milestones!$AB$192),UPPER(TEXT(EDATE($D147,Milestones!$AA$192),"dd mmm yy"))&amp;" "&amp;Milestones!$AB$192&amp;" "&amp;IF(AND(Milestones!$AB$192="FT",Milestones!$AA$192=FT_Y5,EDATE($D147,Milestones!$AA$192)&lt;PolicyEff),1,Milestones!$AC$192)&amp;";  ","")&amp;IF(AND(EDATE($D147,Milestones!$AA$193)&lt;=AsOfDate,EDATE($D147,Milestones!$AA$193)&gt;=SchemeStart,IF($X147=0,$AD147,IF(AND($Z147&lt;&gt;"",EDATE($D147,Milestones!$AA$193)&gt;=$Z147),$AC147,IF(AND($Y147&lt;&gt;"",EDATE($D147,Milestones!$AA$193)&gt;=$Y147),$AB147,$AA147)))=Milestones!$AB$193),UPPER(TEXT(EDATE($D147,Milestones!$AA$193),"dd mmm yy"))&amp;" "&amp;Milestones!$AB$193&amp;" "&amp;IF(AND(Milestones!$AB$193="FT",Milestones!$AA$193=FT_Y5,EDATE($D147,Milestones!$AA$193)&lt;PolicyEff),1,Milestones!$AC$193)&amp;";  ","")&amp;IF(AND(EDATE($D147,Milestones!$AA$194)&lt;=AsOfDate,EDATE($D147,Milestones!$AA$194)&gt;=SchemeStart,IF($X147=0,$AD147,IF(AND($Z147&lt;&gt;"",EDATE($D147,Milestones!$AA$194)&gt;=$Z147),$AC147,IF(AND($Y147&lt;&gt;"",EDATE($D147,Milestones!$AA$194)&gt;=$Y147),$AB147,$AA147)))=Milestones!$AB$194),UPPER(TEXT(EDATE($D147,Milestones!$AA$194),"dd mmm yy"))&amp;" "&amp;Milestones!$AB$194&amp;" "&amp;IF(AND(Milestones!$AB$194="FT",Milestones!$AA$194=FT_Y5,EDATE($D147,Milestones!$AA$194)&lt;PolicyEff),1,Milestones!$AC$194)&amp;";  ","")&amp;IF(AND(EDATE($D147,Milestones!$AA$195)&lt;=AsOfDate,EDATE($D147,Milestones!$AA$195)&gt;=SchemeStart,IF($X147=0,$AD147,IF(AND($Z147&lt;&gt;"",EDATE($D147,Milestones!$AA$195)&gt;=$Z147),$AC147,IF(AND($Y147&lt;&gt;"",EDATE($D147,Milestones!$AA$195)&gt;=$Y147),$AB147,$AA147)))=Milestones!$AB$195),UPPER(TEXT(EDATE($D147,Milestones!$AA$195),"dd mmm yy"))&amp;" "&amp;Milestones!$AB$195&amp;" "&amp;IF(AND(Milestones!$AB$195="FT",Milestones!$AA$195=FT_Y5,EDATE($D147,Milestones!$AA$195)&lt;PolicyEff),1,Milestones!$AC$195)&amp;";  ","")&amp;IF(AND(EDATE($D147,Milestones!$AA$196)&lt;=AsOfDate,EDATE($D147,Milestones!$AA$196)&gt;=SchemeStart,IF($X147=0,$AD147,IF(AND($Z147&lt;&gt;"",EDATE($D147,Milestones!$AA$196)&gt;=$Z147),$AC147,IF(AND($Y147&lt;&gt;"",EDATE($D147,Milestones!$AA$196)&gt;=$Y147),$AB147,$AA147)))=Milestones!$AB$196),UPPER(TEXT(EDATE($D147,Milestones!$AA$196),"dd mmm yy"))&amp;" "&amp;Milestones!$AB$196&amp;" "&amp;IF(AND(Milestones!$AB$196="FT",Milestones!$AA$196=FT_Y5,EDATE($D147,Milestones!$AA$196)&lt;PolicyEff),1,Milestones!$AC$196)&amp;";  ","")&amp;IF(AND(EDATE($D147,Milestones!$AA$197)&lt;=AsOfDate,EDATE($D147,Milestones!$AA$197)&gt;=SchemeStart,IF($X147=0,$AD147,IF(AND($Z147&lt;&gt;"",EDATE($D147,Milestones!$AA$197)&gt;=$Z147),$AC147,IF(AND($Y147&lt;&gt;"",EDATE($D147,Milestones!$AA$197)&gt;=$Y147),$AB147,$AA147)))=Milestones!$AB$197),UPPER(TEXT(EDATE($D147,Milestones!$AA$197),"dd mmm yy"))&amp;" "&amp;Milestones!$AB$197&amp;" "&amp;IF(AND(Milestones!$AB$197="FT",Milestones!$AA$197=FT_Y5,EDATE($D147,Milestones!$AA$197)&lt;PolicyEff),1,Milestones!$AC$197)&amp;";  ","")&amp;IF(AND(EDATE($D147,Milestones!$AA$198)&lt;=AsOfDate,EDATE($D147,Milestones!$AA$198)&gt;=SchemeStart,IF($X147=0,$AD147,IF(AND($Z147&lt;&gt;"",EDATE($D147,Milestones!$AA$198)&gt;=$Z147),$AC147,IF(AND($Y147&lt;&gt;"",EDATE($D147,Milestones!$AA$198)&gt;=$Y147),$AB147,$AA147)))=Milestones!$AB$198),UPPER(TEXT(EDATE($D147,Milestones!$AA$198),"dd mmm yy"))&amp;" "&amp;Milestones!$AB$198&amp;" "&amp;IF(AND(Milestones!$AB$198="FT",Milestones!$AA$198=FT_Y5,EDATE($D147,Milestones!$AA$198)&lt;PolicyEff),1,Milestones!$AC$198)&amp;";  ","")&amp;IF(AND(EDATE($D147,Milestones!$AA$199)&lt;=AsOfDate,EDATE($D147,Milestones!$AA$199)&gt;=SchemeStart,IF($X147=0,$AD147,IF(AND($Z147&lt;&gt;"",EDATE($D147,Milestones!$AA$199)&gt;=$Z147),$AC147,IF(AND($Y147&lt;&gt;"",EDATE($D147,Milestones!$AA$199)&gt;=$Y147),$AB147,$AA147)))=Milestones!$AB$199),UPPER(TEXT(EDATE($D147,Milestones!$AA$199),"dd mmm yy"))&amp;" "&amp;Milestones!$AB$199&amp;" "&amp;IF(AND(Milestones!$AB$199="FT",Milestones!$AA$199=FT_Y5,EDATE($D147,Milestones!$AA$199)&lt;PolicyEff),1,Milestones!$AC$199)&amp;";  ",""))</f>
        <v/>
      </c>
      <c r="X147" s="0" t="str">
        <f aca="false">IF(Staff!$A147="","",Staff!$AM147)</f>
        <v/>
      </c>
      <c r="Y147" s="0" t="str">
        <f aca="false">IF(Staff!$A147="","",Staff!$AO147)</f>
        <v/>
      </c>
      <c r="Z147" s="0" t="str">
        <f aca="false">IF(Staff!$A147="","",Staff!$AP147)</f>
        <v/>
      </c>
      <c r="AA147" s="0" t="str">
        <f aca="false">IF(Staff!$A147="","",Staff!$AT147)</f>
        <v/>
      </c>
      <c r="AB147" s="0" t="str">
        <f aca="false">IF(Staff!$A147="","",Staff!$AU147)</f>
        <v/>
      </c>
      <c r="AC147" s="0" t="str">
        <f aca="false">IF(Staff!$A147="","",Staff!$AV147)</f>
        <v/>
      </c>
      <c r="AD147" s="0" t="str">
        <f aca="false">IF(Staff!$A147="","",Staff!$AW147)</f>
        <v/>
      </c>
    </row>
    <row r="148" customFormat="false" ht="15" hidden="false" customHeight="false" outlineLevel="0" collapsed="false">
      <c r="A148" s="16" t="str">
        <f aca="false">IF(Staff!$A148="","",Staff!$A148)</f>
        <v/>
      </c>
      <c r="B148" s="16" t="str">
        <f aca="false">IF(Staff!$A148="","",Staff!$B148)</f>
        <v/>
      </c>
      <c r="C148" s="16" t="str">
        <f aca="false">IF(Staff!$A148="","",Staff!$C148)</f>
        <v/>
      </c>
      <c r="D148" s="14" t="str">
        <f aca="false">IF(Staff!$A148="","",Staff!$AL148)</f>
        <v/>
      </c>
      <c r="E148" s="16" t="str">
        <f aca="false">IF(Staff!$A148="","",Staff!$O148)</f>
        <v/>
      </c>
      <c r="F148" s="16" t="str">
        <f aca="false">IF(E148="","",E148*HoursPerDay)</f>
        <v/>
      </c>
      <c r="G148" s="16" t="str">
        <f aca="false">IF(Staff!$A148="","",Staff!$AE148)</f>
        <v/>
      </c>
      <c r="H148" s="28" t="str">
        <f aca="false">IF($A148="","",I148&amp;J148&amp;K148&amp;L148&amp;M148&amp;N148&amp;O148&amp;P148&amp;Q148&amp;R148&amp;S148&amp;T148&amp;U148&amp;V148&amp;W148)</f>
        <v/>
      </c>
      <c r="I148" s="0" t="str">
        <f aca="false">IF(OR($A148="",$D148=""),"",IF(AND(EDATE($D148,Milestones!$AA$20)&lt;=AsOfDate,EDATE($D148,Milestones!$AA$20)&gt;=SchemeStart,IF($X148=0,$AD148,IF(AND($Z148&lt;&gt;"",EDATE($D148,Milestones!$AA$20)&gt;=$Z148),$AC148,IF(AND($Y148&lt;&gt;"",EDATE($D148,Milestones!$AA$20)&gt;=$Y148),$AB148,$AA148)))=Milestones!$AB$20),UPPER(TEXT(EDATE($D148,Milestones!$AA$20),"dd mmm yy"))&amp;" "&amp;Milestones!$AB$20&amp;" "&amp;IF(AND(Milestones!$AB$20="FT",Milestones!$AA$20=FT_Y5,EDATE($D148,Milestones!$AA$20)&lt;PolicyEff),1,Milestones!$AC$20)&amp;";  ","")&amp;IF(AND(EDATE($D148,Milestones!$AA$21)&lt;=AsOfDate,EDATE($D148,Milestones!$AA$21)&gt;=SchemeStart,IF($X148=0,$AD148,IF(AND($Z148&lt;&gt;"",EDATE($D148,Milestones!$AA$21)&gt;=$Z148),$AC148,IF(AND($Y148&lt;&gt;"",EDATE($D148,Milestones!$AA$21)&gt;=$Y148),$AB148,$AA148)))=Milestones!$AB$21),UPPER(TEXT(EDATE($D148,Milestones!$AA$21),"dd mmm yy"))&amp;" "&amp;Milestones!$AB$21&amp;" "&amp;IF(AND(Milestones!$AB$21="FT",Milestones!$AA$21=FT_Y5,EDATE($D148,Milestones!$AA$21)&lt;PolicyEff),1,Milestones!$AC$21)&amp;";  ","")&amp;IF(AND(EDATE($D148,Milestones!$AA$22)&lt;=AsOfDate,EDATE($D148,Milestones!$AA$22)&gt;=SchemeStart,IF($X148=0,$AD148,IF(AND($Z148&lt;&gt;"",EDATE($D148,Milestones!$AA$22)&gt;=$Z148),$AC148,IF(AND($Y148&lt;&gt;"",EDATE($D148,Milestones!$AA$22)&gt;=$Y148),$AB148,$AA148)))=Milestones!$AB$22),UPPER(TEXT(EDATE($D148,Milestones!$AA$22),"dd mmm yy"))&amp;" "&amp;Milestones!$AB$22&amp;" "&amp;IF(AND(Milestones!$AB$22="FT",Milestones!$AA$22=FT_Y5,EDATE($D148,Milestones!$AA$22)&lt;PolicyEff),1,Milestones!$AC$22)&amp;";  ","")&amp;IF(AND(EDATE($D148,Milestones!$AA$23)&lt;=AsOfDate,EDATE($D148,Milestones!$AA$23)&gt;=SchemeStart,IF($X148=0,$AD148,IF(AND($Z148&lt;&gt;"",EDATE($D148,Milestones!$AA$23)&gt;=$Z148),$AC148,IF(AND($Y148&lt;&gt;"",EDATE($D148,Milestones!$AA$23)&gt;=$Y148),$AB148,$AA148)))=Milestones!$AB$23),UPPER(TEXT(EDATE($D148,Milestones!$AA$23),"dd mmm yy"))&amp;" "&amp;Milestones!$AB$23&amp;" "&amp;IF(AND(Milestones!$AB$23="FT",Milestones!$AA$23=FT_Y5,EDATE($D148,Milestones!$AA$23)&lt;PolicyEff),1,Milestones!$AC$23)&amp;";  ","")&amp;IF(AND(EDATE($D148,Milestones!$AA$24)&lt;=AsOfDate,EDATE($D148,Milestones!$AA$24)&gt;=SchemeStart,IF($X148=0,$AD148,IF(AND($Z148&lt;&gt;"",EDATE($D148,Milestones!$AA$24)&gt;=$Z148),$AC148,IF(AND($Y148&lt;&gt;"",EDATE($D148,Milestones!$AA$24)&gt;=$Y148),$AB148,$AA148)))=Milestones!$AB$24),UPPER(TEXT(EDATE($D148,Milestones!$AA$24),"dd mmm yy"))&amp;" "&amp;Milestones!$AB$24&amp;" "&amp;IF(AND(Milestones!$AB$24="FT",Milestones!$AA$24=FT_Y5,EDATE($D148,Milestones!$AA$24)&lt;PolicyEff),1,Milestones!$AC$24)&amp;";  ","")&amp;IF(AND(EDATE($D148,Milestones!$AA$25)&lt;=AsOfDate,EDATE($D148,Milestones!$AA$25)&gt;=SchemeStart,IF($X148=0,$AD148,IF(AND($Z148&lt;&gt;"",EDATE($D148,Milestones!$AA$25)&gt;=$Z148),$AC148,IF(AND($Y148&lt;&gt;"",EDATE($D148,Milestones!$AA$25)&gt;=$Y148),$AB148,$AA148)))=Milestones!$AB$25),UPPER(TEXT(EDATE($D148,Milestones!$AA$25),"dd mmm yy"))&amp;" "&amp;Milestones!$AB$25&amp;" "&amp;IF(AND(Milestones!$AB$25="FT",Milestones!$AA$25=FT_Y5,EDATE($D148,Milestones!$AA$25)&lt;PolicyEff),1,Milestones!$AC$25)&amp;";  ","")&amp;IF(AND(EDATE($D148,Milestones!$AA$26)&lt;=AsOfDate,EDATE($D148,Milestones!$AA$26)&gt;=SchemeStart,IF($X148=0,$AD148,IF(AND($Z148&lt;&gt;"",EDATE($D148,Milestones!$AA$26)&gt;=$Z148),$AC148,IF(AND($Y148&lt;&gt;"",EDATE($D148,Milestones!$AA$26)&gt;=$Y148),$AB148,$AA148)))=Milestones!$AB$26),UPPER(TEXT(EDATE($D148,Milestones!$AA$26),"dd mmm yy"))&amp;" "&amp;Milestones!$AB$26&amp;" "&amp;IF(AND(Milestones!$AB$26="FT",Milestones!$AA$26=FT_Y5,EDATE($D148,Milestones!$AA$26)&lt;PolicyEff),1,Milestones!$AC$26)&amp;";  ","")&amp;IF(AND(EDATE($D148,Milestones!$AA$27)&lt;=AsOfDate,EDATE($D148,Milestones!$AA$27)&gt;=SchemeStart,IF($X148=0,$AD148,IF(AND($Z148&lt;&gt;"",EDATE($D148,Milestones!$AA$27)&gt;=$Z148),$AC148,IF(AND($Y148&lt;&gt;"",EDATE($D148,Milestones!$AA$27)&gt;=$Y148),$AB148,$AA148)))=Milestones!$AB$27),UPPER(TEXT(EDATE($D148,Milestones!$AA$27),"dd mmm yy"))&amp;" "&amp;Milestones!$AB$27&amp;" "&amp;IF(AND(Milestones!$AB$27="FT",Milestones!$AA$27=FT_Y5,EDATE($D148,Milestones!$AA$27)&lt;PolicyEff),1,Milestones!$AC$27)&amp;";  ","")&amp;IF(AND(EDATE($D148,Milestones!$AA$28)&lt;=AsOfDate,EDATE($D148,Milestones!$AA$28)&gt;=SchemeStart,IF($X148=0,$AD148,IF(AND($Z148&lt;&gt;"",EDATE($D148,Milestones!$AA$28)&gt;=$Z148),$AC148,IF(AND($Y148&lt;&gt;"",EDATE($D148,Milestones!$AA$28)&gt;=$Y148),$AB148,$AA148)))=Milestones!$AB$28),UPPER(TEXT(EDATE($D148,Milestones!$AA$28),"dd mmm yy"))&amp;" "&amp;Milestones!$AB$28&amp;" "&amp;IF(AND(Milestones!$AB$28="FT",Milestones!$AA$28=FT_Y5,EDATE($D148,Milestones!$AA$28)&lt;PolicyEff),1,Milestones!$AC$28)&amp;";  ","")&amp;IF(AND(EDATE($D148,Milestones!$AA$29)&lt;=AsOfDate,EDATE($D148,Milestones!$AA$29)&gt;=SchemeStart,IF($X148=0,$AD148,IF(AND($Z148&lt;&gt;"",EDATE($D148,Milestones!$AA$29)&gt;=$Z148),$AC148,IF(AND($Y148&lt;&gt;"",EDATE($D148,Milestones!$AA$29)&gt;=$Y148),$AB148,$AA148)))=Milestones!$AB$29),UPPER(TEXT(EDATE($D148,Milestones!$AA$29),"dd mmm yy"))&amp;" "&amp;Milestones!$AB$29&amp;" "&amp;IF(AND(Milestones!$AB$29="FT",Milestones!$AA$29=FT_Y5,EDATE($D148,Milestones!$AA$29)&lt;PolicyEff),1,Milestones!$AC$29)&amp;";  ","")&amp;IF(AND(EDATE($D148,Milestones!$AA$30)&lt;=AsOfDate,EDATE($D148,Milestones!$AA$30)&gt;=SchemeStart,IF($X148=0,$AD148,IF(AND($Z148&lt;&gt;"",EDATE($D148,Milestones!$AA$30)&gt;=$Z148),$AC148,IF(AND($Y148&lt;&gt;"",EDATE($D148,Milestones!$AA$30)&gt;=$Y148),$AB148,$AA148)))=Milestones!$AB$30),UPPER(TEXT(EDATE($D148,Milestones!$AA$30),"dd mmm yy"))&amp;" "&amp;Milestones!$AB$30&amp;" "&amp;IF(AND(Milestones!$AB$30="FT",Milestones!$AA$30=FT_Y5,EDATE($D148,Milestones!$AA$30)&lt;PolicyEff),1,Milestones!$AC$30)&amp;";  ","")&amp;IF(AND(EDATE($D148,Milestones!$AA$31)&lt;=AsOfDate,EDATE($D148,Milestones!$AA$31)&gt;=SchemeStart,IF($X148=0,$AD148,IF(AND($Z148&lt;&gt;"",EDATE($D148,Milestones!$AA$31)&gt;=$Z148),$AC148,IF(AND($Y148&lt;&gt;"",EDATE($D148,Milestones!$AA$31)&gt;=$Y148),$AB148,$AA148)))=Milestones!$AB$31),UPPER(TEXT(EDATE($D148,Milestones!$AA$31),"dd mmm yy"))&amp;" "&amp;Milestones!$AB$31&amp;" "&amp;IF(AND(Milestones!$AB$31="FT",Milestones!$AA$31=FT_Y5,EDATE($D148,Milestones!$AA$31)&lt;PolicyEff),1,Milestones!$AC$31)&amp;";  ",""))</f>
        <v/>
      </c>
      <c r="J148" s="0" t="str">
        <f aca="false">IF(OR($A148="",$D148=""),"",IF(AND(EDATE($D148,Milestones!$AA$32)&lt;=AsOfDate,EDATE($D148,Milestones!$AA$32)&gt;=SchemeStart,IF($X148=0,$AD148,IF(AND($Z148&lt;&gt;"",EDATE($D148,Milestones!$AA$32)&gt;=$Z148),$AC148,IF(AND($Y148&lt;&gt;"",EDATE($D148,Milestones!$AA$32)&gt;=$Y148),$AB148,$AA148)))=Milestones!$AB$32),UPPER(TEXT(EDATE($D148,Milestones!$AA$32),"dd mmm yy"))&amp;" "&amp;Milestones!$AB$32&amp;" "&amp;IF(AND(Milestones!$AB$32="FT",Milestones!$AA$32=FT_Y5,EDATE($D148,Milestones!$AA$32)&lt;PolicyEff),1,Milestones!$AC$32)&amp;";  ","")&amp;IF(AND(EDATE($D148,Milestones!$AA$33)&lt;=AsOfDate,EDATE($D148,Milestones!$AA$33)&gt;=SchemeStart,IF($X148=0,$AD148,IF(AND($Z148&lt;&gt;"",EDATE($D148,Milestones!$AA$33)&gt;=$Z148),$AC148,IF(AND($Y148&lt;&gt;"",EDATE($D148,Milestones!$AA$33)&gt;=$Y148),$AB148,$AA148)))=Milestones!$AB$33),UPPER(TEXT(EDATE($D148,Milestones!$AA$33),"dd mmm yy"))&amp;" "&amp;Milestones!$AB$33&amp;" "&amp;IF(AND(Milestones!$AB$33="FT",Milestones!$AA$33=FT_Y5,EDATE($D148,Milestones!$AA$33)&lt;PolicyEff),1,Milestones!$AC$33)&amp;";  ","")&amp;IF(AND(EDATE($D148,Milestones!$AA$34)&lt;=AsOfDate,EDATE($D148,Milestones!$AA$34)&gt;=SchemeStart,IF($X148=0,$AD148,IF(AND($Z148&lt;&gt;"",EDATE($D148,Milestones!$AA$34)&gt;=$Z148),$AC148,IF(AND($Y148&lt;&gt;"",EDATE($D148,Milestones!$AA$34)&gt;=$Y148),$AB148,$AA148)))=Milestones!$AB$34),UPPER(TEXT(EDATE($D148,Milestones!$AA$34),"dd mmm yy"))&amp;" "&amp;Milestones!$AB$34&amp;" "&amp;IF(AND(Milestones!$AB$34="FT",Milestones!$AA$34=FT_Y5,EDATE($D148,Milestones!$AA$34)&lt;PolicyEff),1,Milestones!$AC$34)&amp;";  ","")&amp;IF(AND(EDATE($D148,Milestones!$AA$35)&lt;=AsOfDate,EDATE($D148,Milestones!$AA$35)&gt;=SchemeStart,IF($X148=0,$AD148,IF(AND($Z148&lt;&gt;"",EDATE($D148,Milestones!$AA$35)&gt;=$Z148),$AC148,IF(AND($Y148&lt;&gt;"",EDATE($D148,Milestones!$AA$35)&gt;=$Y148),$AB148,$AA148)))=Milestones!$AB$35),UPPER(TEXT(EDATE($D148,Milestones!$AA$35),"dd mmm yy"))&amp;" "&amp;Milestones!$AB$35&amp;" "&amp;IF(AND(Milestones!$AB$35="FT",Milestones!$AA$35=FT_Y5,EDATE($D148,Milestones!$AA$35)&lt;PolicyEff),1,Milestones!$AC$35)&amp;";  ","")&amp;IF(AND(EDATE($D148,Milestones!$AA$36)&lt;=AsOfDate,EDATE($D148,Milestones!$AA$36)&gt;=SchemeStart,IF($X148=0,$AD148,IF(AND($Z148&lt;&gt;"",EDATE($D148,Milestones!$AA$36)&gt;=$Z148),$AC148,IF(AND($Y148&lt;&gt;"",EDATE($D148,Milestones!$AA$36)&gt;=$Y148),$AB148,$AA148)))=Milestones!$AB$36),UPPER(TEXT(EDATE($D148,Milestones!$AA$36),"dd mmm yy"))&amp;" "&amp;Milestones!$AB$36&amp;" "&amp;IF(AND(Milestones!$AB$36="FT",Milestones!$AA$36=FT_Y5,EDATE($D148,Milestones!$AA$36)&lt;PolicyEff),1,Milestones!$AC$36)&amp;";  ","")&amp;IF(AND(EDATE($D148,Milestones!$AA$37)&lt;=AsOfDate,EDATE($D148,Milestones!$AA$37)&gt;=SchemeStart,IF($X148=0,$AD148,IF(AND($Z148&lt;&gt;"",EDATE($D148,Milestones!$AA$37)&gt;=$Z148),$AC148,IF(AND($Y148&lt;&gt;"",EDATE($D148,Milestones!$AA$37)&gt;=$Y148),$AB148,$AA148)))=Milestones!$AB$37),UPPER(TEXT(EDATE($D148,Milestones!$AA$37),"dd mmm yy"))&amp;" "&amp;Milestones!$AB$37&amp;" "&amp;IF(AND(Milestones!$AB$37="FT",Milestones!$AA$37=FT_Y5,EDATE($D148,Milestones!$AA$37)&lt;PolicyEff),1,Milestones!$AC$37)&amp;";  ","")&amp;IF(AND(EDATE($D148,Milestones!$AA$38)&lt;=AsOfDate,EDATE($D148,Milestones!$AA$38)&gt;=SchemeStart,IF($X148=0,$AD148,IF(AND($Z148&lt;&gt;"",EDATE($D148,Milestones!$AA$38)&gt;=$Z148),$AC148,IF(AND($Y148&lt;&gt;"",EDATE($D148,Milestones!$AA$38)&gt;=$Y148),$AB148,$AA148)))=Milestones!$AB$38),UPPER(TEXT(EDATE($D148,Milestones!$AA$38),"dd mmm yy"))&amp;" "&amp;Milestones!$AB$38&amp;" "&amp;IF(AND(Milestones!$AB$38="FT",Milestones!$AA$38=FT_Y5,EDATE($D148,Milestones!$AA$38)&lt;PolicyEff),1,Milestones!$AC$38)&amp;";  ","")&amp;IF(AND(EDATE($D148,Milestones!$AA$39)&lt;=AsOfDate,EDATE($D148,Milestones!$AA$39)&gt;=SchemeStart,IF($X148=0,$AD148,IF(AND($Z148&lt;&gt;"",EDATE($D148,Milestones!$AA$39)&gt;=$Z148),$AC148,IF(AND($Y148&lt;&gt;"",EDATE($D148,Milestones!$AA$39)&gt;=$Y148),$AB148,$AA148)))=Milestones!$AB$39),UPPER(TEXT(EDATE($D148,Milestones!$AA$39),"dd mmm yy"))&amp;" "&amp;Milestones!$AB$39&amp;" "&amp;IF(AND(Milestones!$AB$39="FT",Milestones!$AA$39=FT_Y5,EDATE($D148,Milestones!$AA$39)&lt;PolicyEff),1,Milestones!$AC$39)&amp;";  ","")&amp;IF(AND(EDATE($D148,Milestones!$AA$40)&lt;=AsOfDate,EDATE($D148,Milestones!$AA$40)&gt;=SchemeStart,IF($X148=0,$AD148,IF(AND($Z148&lt;&gt;"",EDATE($D148,Milestones!$AA$40)&gt;=$Z148),$AC148,IF(AND($Y148&lt;&gt;"",EDATE($D148,Milestones!$AA$40)&gt;=$Y148),$AB148,$AA148)))=Milestones!$AB$40),UPPER(TEXT(EDATE($D148,Milestones!$AA$40),"dd mmm yy"))&amp;" "&amp;Milestones!$AB$40&amp;" "&amp;IF(AND(Milestones!$AB$40="FT",Milestones!$AA$40=FT_Y5,EDATE($D148,Milestones!$AA$40)&lt;PolicyEff),1,Milestones!$AC$40)&amp;";  ","")&amp;IF(AND(EDATE($D148,Milestones!$AA$41)&lt;=AsOfDate,EDATE($D148,Milestones!$AA$41)&gt;=SchemeStart,IF($X148=0,$AD148,IF(AND($Z148&lt;&gt;"",EDATE($D148,Milestones!$AA$41)&gt;=$Z148),$AC148,IF(AND($Y148&lt;&gt;"",EDATE($D148,Milestones!$AA$41)&gt;=$Y148),$AB148,$AA148)))=Milestones!$AB$41),UPPER(TEXT(EDATE($D148,Milestones!$AA$41),"dd mmm yy"))&amp;" "&amp;Milestones!$AB$41&amp;" "&amp;IF(AND(Milestones!$AB$41="FT",Milestones!$AA$41=FT_Y5,EDATE($D148,Milestones!$AA$41)&lt;PolicyEff),1,Milestones!$AC$41)&amp;";  ","")&amp;IF(AND(EDATE($D148,Milestones!$AA$42)&lt;=AsOfDate,EDATE($D148,Milestones!$AA$42)&gt;=SchemeStart,IF($X148=0,$AD148,IF(AND($Z148&lt;&gt;"",EDATE($D148,Milestones!$AA$42)&gt;=$Z148),$AC148,IF(AND($Y148&lt;&gt;"",EDATE($D148,Milestones!$AA$42)&gt;=$Y148),$AB148,$AA148)))=Milestones!$AB$42),UPPER(TEXT(EDATE($D148,Milestones!$AA$42),"dd mmm yy"))&amp;" "&amp;Milestones!$AB$42&amp;" "&amp;IF(AND(Milestones!$AB$42="FT",Milestones!$AA$42=FT_Y5,EDATE($D148,Milestones!$AA$42)&lt;PolicyEff),1,Milestones!$AC$42)&amp;";  ","")&amp;IF(AND(EDATE($D148,Milestones!$AA$43)&lt;=AsOfDate,EDATE($D148,Milestones!$AA$43)&gt;=SchemeStart,IF($X148=0,$AD148,IF(AND($Z148&lt;&gt;"",EDATE($D148,Milestones!$AA$43)&gt;=$Z148),$AC148,IF(AND($Y148&lt;&gt;"",EDATE($D148,Milestones!$AA$43)&gt;=$Y148),$AB148,$AA148)))=Milestones!$AB$43),UPPER(TEXT(EDATE($D148,Milestones!$AA$43),"dd mmm yy"))&amp;" "&amp;Milestones!$AB$43&amp;" "&amp;IF(AND(Milestones!$AB$43="FT",Milestones!$AA$43=FT_Y5,EDATE($D148,Milestones!$AA$43)&lt;PolicyEff),1,Milestones!$AC$43)&amp;";  ",""))</f>
        <v/>
      </c>
      <c r="K148" s="0" t="str">
        <f aca="false">IF(OR($A148="",$D148=""),"",IF(AND(EDATE($D148,Milestones!$AA$44)&lt;=AsOfDate,EDATE($D148,Milestones!$AA$44)&gt;=SchemeStart,IF($X148=0,$AD148,IF(AND($Z148&lt;&gt;"",EDATE($D148,Milestones!$AA$44)&gt;=$Z148),$AC148,IF(AND($Y148&lt;&gt;"",EDATE($D148,Milestones!$AA$44)&gt;=$Y148),$AB148,$AA148)))=Milestones!$AB$44),UPPER(TEXT(EDATE($D148,Milestones!$AA$44),"dd mmm yy"))&amp;" "&amp;Milestones!$AB$44&amp;" "&amp;IF(AND(Milestones!$AB$44="FT",Milestones!$AA$44=FT_Y5,EDATE($D148,Milestones!$AA$44)&lt;PolicyEff),1,Milestones!$AC$44)&amp;";  ","")&amp;IF(AND(EDATE($D148,Milestones!$AA$45)&lt;=AsOfDate,EDATE($D148,Milestones!$AA$45)&gt;=SchemeStart,IF($X148=0,$AD148,IF(AND($Z148&lt;&gt;"",EDATE($D148,Milestones!$AA$45)&gt;=$Z148),$AC148,IF(AND($Y148&lt;&gt;"",EDATE($D148,Milestones!$AA$45)&gt;=$Y148),$AB148,$AA148)))=Milestones!$AB$45),UPPER(TEXT(EDATE($D148,Milestones!$AA$45),"dd mmm yy"))&amp;" "&amp;Milestones!$AB$45&amp;" "&amp;IF(AND(Milestones!$AB$45="FT",Milestones!$AA$45=FT_Y5,EDATE($D148,Milestones!$AA$45)&lt;PolicyEff),1,Milestones!$AC$45)&amp;";  ","")&amp;IF(AND(EDATE($D148,Milestones!$AA$46)&lt;=AsOfDate,EDATE($D148,Milestones!$AA$46)&gt;=SchemeStart,IF($X148=0,$AD148,IF(AND($Z148&lt;&gt;"",EDATE($D148,Milestones!$AA$46)&gt;=$Z148),$AC148,IF(AND($Y148&lt;&gt;"",EDATE($D148,Milestones!$AA$46)&gt;=$Y148),$AB148,$AA148)))=Milestones!$AB$46),UPPER(TEXT(EDATE($D148,Milestones!$AA$46),"dd mmm yy"))&amp;" "&amp;Milestones!$AB$46&amp;" "&amp;IF(AND(Milestones!$AB$46="FT",Milestones!$AA$46=FT_Y5,EDATE($D148,Milestones!$AA$46)&lt;PolicyEff),1,Milestones!$AC$46)&amp;";  ","")&amp;IF(AND(EDATE($D148,Milestones!$AA$47)&lt;=AsOfDate,EDATE($D148,Milestones!$AA$47)&gt;=SchemeStart,IF($X148=0,$AD148,IF(AND($Z148&lt;&gt;"",EDATE($D148,Milestones!$AA$47)&gt;=$Z148),$AC148,IF(AND($Y148&lt;&gt;"",EDATE($D148,Milestones!$AA$47)&gt;=$Y148),$AB148,$AA148)))=Milestones!$AB$47),UPPER(TEXT(EDATE($D148,Milestones!$AA$47),"dd mmm yy"))&amp;" "&amp;Milestones!$AB$47&amp;" "&amp;IF(AND(Milestones!$AB$47="FT",Milestones!$AA$47=FT_Y5,EDATE($D148,Milestones!$AA$47)&lt;PolicyEff),1,Milestones!$AC$47)&amp;";  ","")&amp;IF(AND(EDATE($D148,Milestones!$AA$48)&lt;=AsOfDate,EDATE($D148,Milestones!$AA$48)&gt;=SchemeStart,IF($X148=0,$AD148,IF(AND($Z148&lt;&gt;"",EDATE($D148,Milestones!$AA$48)&gt;=$Z148),$AC148,IF(AND($Y148&lt;&gt;"",EDATE($D148,Milestones!$AA$48)&gt;=$Y148),$AB148,$AA148)))=Milestones!$AB$48),UPPER(TEXT(EDATE($D148,Milestones!$AA$48),"dd mmm yy"))&amp;" "&amp;Milestones!$AB$48&amp;" "&amp;IF(AND(Milestones!$AB$48="FT",Milestones!$AA$48=FT_Y5,EDATE($D148,Milestones!$AA$48)&lt;PolicyEff),1,Milestones!$AC$48)&amp;";  ","")&amp;IF(AND(EDATE($D148,Milestones!$AA$49)&lt;=AsOfDate,EDATE($D148,Milestones!$AA$49)&gt;=SchemeStart,IF($X148=0,$AD148,IF(AND($Z148&lt;&gt;"",EDATE($D148,Milestones!$AA$49)&gt;=$Z148),$AC148,IF(AND($Y148&lt;&gt;"",EDATE($D148,Milestones!$AA$49)&gt;=$Y148),$AB148,$AA148)))=Milestones!$AB$49),UPPER(TEXT(EDATE($D148,Milestones!$AA$49),"dd mmm yy"))&amp;" "&amp;Milestones!$AB$49&amp;" "&amp;IF(AND(Milestones!$AB$49="FT",Milestones!$AA$49=FT_Y5,EDATE($D148,Milestones!$AA$49)&lt;PolicyEff),1,Milestones!$AC$49)&amp;";  ","")&amp;IF(AND(EDATE($D148,Milestones!$AA$50)&lt;=AsOfDate,EDATE($D148,Milestones!$AA$50)&gt;=SchemeStart,IF($X148=0,$AD148,IF(AND($Z148&lt;&gt;"",EDATE($D148,Milestones!$AA$50)&gt;=$Z148),$AC148,IF(AND($Y148&lt;&gt;"",EDATE($D148,Milestones!$AA$50)&gt;=$Y148),$AB148,$AA148)))=Milestones!$AB$50),UPPER(TEXT(EDATE($D148,Milestones!$AA$50),"dd mmm yy"))&amp;" "&amp;Milestones!$AB$50&amp;" "&amp;IF(AND(Milestones!$AB$50="FT",Milestones!$AA$50=FT_Y5,EDATE($D148,Milestones!$AA$50)&lt;PolicyEff),1,Milestones!$AC$50)&amp;";  ","")&amp;IF(AND(EDATE($D148,Milestones!$AA$51)&lt;=AsOfDate,EDATE($D148,Milestones!$AA$51)&gt;=SchemeStart,IF($X148=0,$AD148,IF(AND($Z148&lt;&gt;"",EDATE($D148,Milestones!$AA$51)&gt;=$Z148),$AC148,IF(AND($Y148&lt;&gt;"",EDATE($D148,Milestones!$AA$51)&gt;=$Y148),$AB148,$AA148)))=Milestones!$AB$51),UPPER(TEXT(EDATE($D148,Milestones!$AA$51),"dd mmm yy"))&amp;" "&amp;Milestones!$AB$51&amp;" "&amp;IF(AND(Milestones!$AB$51="FT",Milestones!$AA$51=FT_Y5,EDATE($D148,Milestones!$AA$51)&lt;PolicyEff),1,Milestones!$AC$51)&amp;";  ","")&amp;IF(AND(EDATE($D148,Milestones!$AA$52)&lt;=AsOfDate,EDATE($D148,Milestones!$AA$52)&gt;=SchemeStart,IF($X148=0,$AD148,IF(AND($Z148&lt;&gt;"",EDATE($D148,Milestones!$AA$52)&gt;=$Z148),$AC148,IF(AND($Y148&lt;&gt;"",EDATE($D148,Milestones!$AA$52)&gt;=$Y148),$AB148,$AA148)))=Milestones!$AB$52),UPPER(TEXT(EDATE($D148,Milestones!$AA$52),"dd mmm yy"))&amp;" "&amp;Milestones!$AB$52&amp;" "&amp;IF(AND(Milestones!$AB$52="FT",Milestones!$AA$52=FT_Y5,EDATE($D148,Milestones!$AA$52)&lt;PolicyEff),1,Milestones!$AC$52)&amp;";  ","")&amp;IF(AND(EDATE($D148,Milestones!$AA$53)&lt;=AsOfDate,EDATE($D148,Milestones!$AA$53)&gt;=SchemeStart,IF($X148=0,$AD148,IF(AND($Z148&lt;&gt;"",EDATE($D148,Milestones!$AA$53)&gt;=$Z148),$AC148,IF(AND($Y148&lt;&gt;"",EDATE($D148,Milestones!$AA$53)&gt;=$Y148),$AB148,$AA148)))=Milestones!$AB$53),UPPER(TEXT(EDATE($D148,Milestones!$AA$53),"dd mmm yy"))&amp;" "&amp;Milestones!$AB$53&amp;" "&amp;IF(AND(Milestones!$AB$53="FT",Milestones!$AA$53=FT_Y5,EDATE($D148,Milestones!$AA$53)&lt;PolicyEff),1,Milestones!$AC$53)&amp;";  ","")&amp;IF(AND(EDATE($D148,Milestones!$AA$54)&lt;=AsOfDate,EDATE($D148,Milestones!$AA$54)&gt;=SchemeStart,IF($X148=0,$AD148,IF(AND($Z148&lt;&gt;"",EDATE($D148,Milestones!$AA$54)&gt;=$Z148),$AC148,IF(AND($Y148&lt;&gt;"",EDATE($D148,Milestones!$AA$54)&gt;=$Y148),$AB148,$AA148)))=Milestones!$AB$54),UPPER(TEXT(EDATE($D148,Milestones!$AA$54),"dd mmm yy"))&amp;" "&amp;Milestones!$AB$54&amp;" "&amp;IF(AND(Milestones!$AB$54="FT",Milestones!$AA$54=FT_Y5,EDATE($D148,Milestones!$AA$54)&lt;PolicyEff),1,Milestones!$AC$54)&amp;";  ","")&amp;IF(AND(EDATE($D148,Milestones!$AA$55)&lt;=AsOfDate,EDATE($D148,Milestones!$AA$55)&gt;=SchemeStart,IF($X148=0,$AD148,IF(AND($Z148&lt;&gt;"",EDATE($D148,Milestones!$AA$55)&gt;=$Z148),$AC148,IF(AND($Y148&lt;&gt;"",EDATE($D148,Milestones!$AA$55)&gt;=$Y148),$AB148,$AA148)))=Milestones!$AB$55),UPPER(TEXT(EDATE($D148,Milestones!$AA$55),"dd mmm yy"))&amp;" "&amp;Milestones!$AB$55&amp;" "&amp;IF(AND(Milestones!$AB$55="FT",Milestones!$AA$55=FT_Y5,EDATE($D148,Milestones!$AA$55)&lt;PolicyEff),1,Milestones!$AC$55)&amp;";  ",""))</f>
        <v/>
      </c>
      <c r="L148" s="0" t="str">
        <f aca="false">IF(OR($A148="",$D148=""),"",IF(AND(EDATE($D148,Milestones!$AA$56)&lt;=AsOfDate,EDATE($D148,Milestones!$AA$56)&gt;=SchemeStart,IF($X148=0,$AD148,IF(AND($Z148&lt;&gt;"",EDATE($D148,Milestones!$AA$56)&gt;=$Z148),$AC148,IF(AND($Y148&lt;&gt;"",EDATE($D148,Milestones!$AA$56)&gt;=$Y148),$AB148,$AA148)))=Milestones!$AB$56),UPPER(TEXT(EDATE($D148,Milestones!$AA$56),"dd mmm yy"))&amp;" "&amp;Milestones!$AB$56&amp;" "&amp;IF(AND(Milestones!$AB$56="FT",Milestones!$AA$56=FT_Y5,EDATE($D148,Milestones!$AA$56)&lt;PolicyEff),1,Milestones!$AC$56)&amp;";  ","")&amp;IF(AND(EDATE($D148,Milestones!$AA$57)&lt;=AsOfDate,EDATE($D148,Milestones!$AA$57)&gt;=SchemeStart,IF($X148=0,$AD148,IF(AND($Z148&lt;&gt;"",EDATE($D148,Milestones!$AA$57)&gt;=$Z148),$AC148,IF(AND($Y148&lt;&gt;"",EDATE($D148,Milestones!$AA$57)&gt;=$Y148),$AB148,$AA148)))=Milestones!$AB$57),UPPER(TEXT(EDATE($D148,Milestones!$AA$57),"dd mmm yy"))&amp;" "&amp;Milestones!$AB$57&amp;" "&amp;IF(AND(Milestones!$AB$57="FT",Milestones!$AA$57=FT_Y5,EDATE($D148,Milestones!$AA$57)&lt;PolicyEff),1,Milestones!$AC$57)&amp;";  ","")&amp;IF(AND(EDATE($D148,Milestones!$AA$58)&lt;=AsOfDate,EDATE($D148,Milestones!$AA$58)&gt;=SchemeStart,IF($X148=0,$AD148,IF(AND($Z148&lt;&gt;"",EDATE($D148,Milestones!$AA$58)&gt;=$Z148),$AC148,IF(AND($Y148&lt;&gt;"",EDATE($D148,Milestones!$AA$58)&gt;=$Y148),$AB148,$AA148)))=Milestones!$AB$58),UPPER(TEXT(EDATE($D148,Milestones!$AA$58),"dd mmm yy"))&amp;" "&amp;Milestones!$AB$58&amp;" "&amp;IF(AND(Milestones!$AB$58="FT",Milestones!$AA$58=FT_Y5,EDATE($D148,Milestones!$AA$58)&lt;PolicyEff),1,Milestones!$AC$58)&amp;";  ","")&amp;IF(AND(EDATE($D148,Milestones!$AA$59)&lt;=AsOfDate,EDATE($D148,Milestones!$AA$59)&gt;=SchemeStart,IF($X148=0,$AD148,IF(AND($Z148&lt;&gt;"",EDATE($D148,Milestones!$AA$59)&gt;=$Z148),$AC148,IF(AND($Y148&lt;&gt;"",EDATE($D148,Milestones!$AA$59)&gt;=$Y148),$AB148,$AA148)))=Milestones!$AB$59),UPPER(TEXT(EDATE($D148,Milestones!$AA$59),"dd mmm yy"))&amp;" "&amp;Milestones!$AB$59&amp;" "&amp;IF(AND(Milestones!$AB$59="FT",Milestones!$AA$59=FT_Y5,EDATE($D148,Milestones!$AA$59)&lt;PolicyEff),1,Milestones!$AC$59)&amp;";  ","")&amp;IF(AND(EDATE($D148,Milestones!$AA$60)&lt;=AsOfDate,EDATE($D148,Milestones!$AA$60)&gt;=SchemeStart,IF($X148=0,$AD148,IF(AND($Z148&lt;&gt;"",EDATE($D148,Milestones!$AA$60)&gt;=$Z148),$AC148,IF(AND($Y148&lt;&gt;"",EDATE($D148,Milestones!$AA$60)&gt;=$Y148),$AB148,$AA148)))=Milestones!$AB$60),UPPER(TEXT(EDATE($D148,Milestones!$AA$60),"dd mmm yy"))&amp;" "&amp;Milestones!$AB$60&amp;" "&amp;IF(AND(Milestones!$AB$60="FT",Milestones!$AA$60=FT_Y5,EDATE($D148,Milestones!$AA$60)&lt;PolicyEff),1,Milestones!$AC$60)&amp;";  ","")&amp;IF(AND(EDATE($D148,Milestones!$AA$61)&lt;=AsOfDate,EDATE($D148,Milestones!$AA$61)&gt;=SchemeStart,IF($X148=0,$AD148,IF(AND($Z148&lt;&gt;"",EDATE($D148,Milestones!$AA$61)&gt;=$Z148),$AC148,IF(AND($Y148&lt;&gt;"",EDATE($D148,Milestones!$AA$61)&gt;=$Y148),$AB148,$AA148)))=Milestones!$AB$61),UPPER(TEXT(EDATE($D148,Milestones!$AA$61),"dd mmm yy"))&amp;" "&amp;Milestones!$AB$61&amp;" "&amp;IF(AND(Milestones!$AB$61="FT",Milestones!$AA$61=FT_Y5,EDATE($D148,Milestones!$AA$61)&lt;PolicyEff),1,Milestones!$AC$61)&amp;";  ","")&amp;IF(AND(EDATE($D148,Milestones!$AA$62)&lt;=AsOfDate,EDATE($D148,Milestones!$AA$62)&gt;=SchemeStart,IF($X148=0,$AD148,IF(AND($Z148&lt;&gt;"",EDATE($D148,Milestones!$AA$62)&gt;=$Z148),$AC148,IF(AND($Y148&lt;&gt;"",EDATE($D148,Milestones!$AA$62)&gt;=$Y148),$AB148,$AA148)))=Milestones!$AB$62),UPPER(TEXT(EDATE($D148,Milestones!$AA$62),"dd mmm yy"))&amp;" "&amp;Milestones!$AB$62&amp;" "&amp;IF(AND(Milestones!$AB$62="FT",Milestones!$AA$62=FT_Y5,EDATE($D148,Milestones!$AA$62)&lt;PolicyEff),1,Milestones!$AC$62)&amp;";  ","")&amp;IF(AND(EDATE($D148,Milestones!$AA$63)&lt;=AsOfDate,EDATE($D148,Milestones!$AA$63)&gt;=SchemeStart,IF($X148=0,$AD148,IF(AND($Z148&lt;&gt;"",EDATE($D148,Milestones!$AA$63)&gt;=$Z148),$AC148,IF(AND($Y148&lt;&gt;"",EDATE($D148,Milestones!$AA$63)&gt;=$Y148),$AB148,$AA148)))=Milestones!$AB$63),UPPER(TEXT(EDATE($D148,Milestones!$AA$63),"dd mmm yy"))&amp;" "&amp;Milestones!$AB$63&amp;" "&amp;IF(AND(Milestones!$AB$63="FT",Milestones!$AA$63=FT_Y5,EDATE($D148,Milestones!$AA$63)&lt;PolicyEff),1,Milestones!$AC$63)&amp;";  ","")&amp;IF(AND(EDATE($D148,Milestones!$AA$64)&lt;=AsOfDate,EDATE($D148,Milestones!$AA$64)&gt;=SchemeStart,IF($X148=0,$AD148,IF(AND($Z148&lt;&gt;"",EDATE($D148,Milestones!$AA$64)&gt;=$Z148),$AC148,IF(AND($Y148&lt;&gt;"",EDATE($D148,Milestones!$AA$64)&gt;=$Y148),$AB148,$AA148)))=Milestones!$AB$64),UPPER(TEXT(EDATE($D148,Milestones!$AA$64),"dd mmm yy"))&amp;" "&amp;Milestones!$AB$64&amp;" "&amp;IF(AND(Milestones!$AB$64="FT",Milestones!$AA$64=FT_Y5,EDATE($D148,Milestones!$AA$64)&lt;PolicyEff),1,Milestones!$AC$64)&amp;";  ","")&amp;IF(AND(EDATE($D148,Milestones!$AA$65)&lt;=AsOfDate,EDATE($D148,Milestones!$AA$65)&gt;=SchemeStart,IF($X148=0,$AD148,IF(AND($Z148&lt;&gt;"",EDATE($D148,Milestones!$AA$65)&gt;=$Z148),$AC148,IF(AND($Y148&lt;&gt;"",EDATE($D148,Milestones!$AA$65)&gt;=$Y148),$AB148,$AA148)))=Milestones!$AB$65),UPPER(TEXT(EDATE($D148,Milestones!$AA$65),"dd mmm yy"))&amp;" "&amp;Milestones!$AB$65&amp;" "&amp;IF(AND(Milestones!$AB$65="FT",Milestones!$AA$65=FT_Y5,EDATE($D148,Milestones!$AA$65)&lt;PolicyEff),1,Milestones!$AC$65)&amp;";  ","")&amp;IF(AND(EDATE($D148,Milestones!$AA$66)&lt;=AsOfDate,EDATE($D148,Milestones!$AA$66)&gt;=SchemeStart,IF($X148=0,$AD148,IF(AND($Z148&lt;&gt;"",EDATE($D148,Milestones!$AA$66)&gt;=$Z148),$AC148,IF(AND($Y148&lt;&gt;"",EDATE($D148,Milestones!$AA$66)&gt;=$Y148),$AB148,$AA148)))=Milestones!$AB$66),UPPER(TEXT(EDATE($D148,Milestones!$AA$66),"dd mmm yy"))&amp;" "&amp;Milestones!$AB$66&amp;" "&amp;IF(AND(Milestones!$AB$66="FT",Milestones!$AA$66=FT_Y5,EDATE($D148,Milestones!$AA$66)&lt;PolicyEff),1,Milestones!$AC$66)&amp;";  ","")&amp;IF(AND(EDATE($D148,Milestones!$AA$67)&lt;=AsOfDate,EDATE($D148,Milestones!$AA$67)&gt;=SchemeStart,IF($X148=0,$AD148,IF(AND($Z148&lt;&gt;"",EDATE($D148,Milestones!$AA$67)&gt;=$Z148),$AC148,IF(AND($Y148&lt;&gt;"",EDATE($D148,Milestones!$AA$67)&gt;=$Y148),$AB148,$AA148)))=Milestones!$AB$67),UPPER(TEXT(EDATE($D148,Milestones!$AA$67),"dd mmm yy"))&amp;" "&amp;Milestones!$AB$67&amp;" "&amp;IF(AND(Milestones!$AB$67="FT",Milestones!$AA$67=FT_Y5,EDATE($D148,Milestones!$AA$67)&lt;PolicyEff),1,Milestones!$AC$67)&amp;";  ",""))</f>
        <v/>
      </c>
      <c r="M148" s="0" t="str">
        <f aca="false">IF(OR($A148="",$D148=""),"",IF(AND(EDATE($D148,Milestones!$AA$68)&lt;=AsOfDate,EDATE($D148,Milestones!$AA$68)&gt;=SchemeStart,IF($X148=0,$AD148,IF(AND($Z148&lt;&gt;"",EDATE($D148,Milestones!$AA$68)&gt;=$Z148),$AC148,IF(AND($Y148&lt;&gt;"",EDATE($D148,Milestones!$AA$68)&gt;=$Y148),$AB148,$AA148)))=Milestones!$AB$68),UPPER(TEXT(EDATE($D148,Milestones!$AA$68),"dd mmm yy"))&amp;" "&amp;Milestones!$AB$68&amp;" "&amp;IF(AND(Milestones!$AB$68="FT",Milestones!$AA$68=FT_Y5,EDATE($D148,Milestones!$AA$68)&lt;PolicyEff),1,Milestones!$AC$68)&amp;";  ","")&amp;IF(AND(EDATE($D148,Milestones!$AA$69)&lt;=AsOfDate,EDATE($D148,Milestones!$AA$69)&gt;=SchemeStart,IF($X148=0,$AD148,IF(AND($Z148&lt;&gt;"",EDATE($D148,Milestones!$AA$69)&gt;=$Z148),$AC148,IF(AND($Y148&lt;&gt;"",EDATE($D148,Milestones!$AA$69)&gt;=$Y148),$AB148,$AA148)))=Milestones!$AB$69),UPPER(TEXT(EDATE($D148,Milestones!$AA$69),"dd mmm yy"))&amp;" "&amp;Milestones!$AB$69&amp;" "&amp;IF(AND(Milestones!$AB$69="FT",Milestones!$AA$69=FT_Y5,EDATE($D148,Milestones!$AA$69)&lt;PolicyEff),1,Milestones!$AC$69)&amp;";  ","")&amp;IF(AND(EDATE($D148,Milestones!$AA$70)&lt;=AsOfDate,EDATE($D148,Milestones!$AA$70)&gt;=SchemeStart,IF($X148=0,$AD148,IF(AND($Z148&lt;&gt;"",EDATE($D148,Milestones!$AA$70)&gt;=$Z148),$AC148,IF(AND($Y148&lt;&gt;"",EDATE($D148,Milestones!$AA$70)&gt;=$Y148),$AB148,$AA148)))=Milestones!$AB$70),UPPER(TEXT(EDATE($D148,Milestones!$AA$70),"dd mmm yy"))&amp;" "&amp;Milestones!$AB$70&amp;" "&amp;IF(AND(Milestones!$AB$70="FT",Milestones!$AA$70=FT_Y5,EDATE($D148,Milestones!$AA$70)&lt;PolicyEff),1,Milestones!$AC$70)&amp;";  ","")&amp;IF(AND(EDATE($D148,Milestones!$AA$71)&lt;=AsOfDate,EDATE($D148,Milestones!$AA$71)&gt;=SchemeStart,IF($X148=0,$AD148,IF(AND($Z148&lt;&gt;"",EDATE($D148,Milestones!$AA$71)&gt;=$Z148),$AC148,IF(AND($Y148&lt;&gt;"",EDATE($D148,Milestones!$AA$71)&gt;=$Y148),$AB148,$AA148)))=Milestones!$AB$71),UPPER(TEXT(EDATE($D148,Milestones!$AA$71),"dd mmm yy"))&amp;" "&amp;Milestones!$AB$71&amp;" "&amp;IF(AND(Milestones!$AB$71="FT",Milestones!$AA$71=FT_Y5,EDATE($D148,Milestones!$AA$71)&lt;PolicyEff),1,Milestones!$AC$71)&amp;";  ","")&amp;IF(AND(EDATE($D148,Milestones!$AA$72)&lt;=AsOfDate,EDATE($D148,Milestones!$AA$72)&gt;=SchemeStart,IF($X148=0,$AD148,IF(AND($Z148&lt;&gt;"",EDATE($D148,Milestones!$AA$72)&gt;=$Z148),$AC148,IF(AND($Y148&lt;&gt;"",EDATE($D148,Milestones!$AA$72)&gt;=$Y148),$AB148,$AA148)))=Milestones!$AB$72),UPPER(TEXT(EDATE($D148,Milestones!$AA$72),"dd mmm yy"))&amp;" "&amp;Milestones!$AB$72&amp;" "&amp;IF(AND(Milestones!$AB$72="FT",Milestones!$AA$72=FT_Y5,EDATE($D148,Milestones!$AA$72)&lt;PolicyEff),1,Milestones!$AC$72)&amp;";  ","")&amp;IF(AND(EDATE($D148,Milestones!$AA$73)&lt;=AsOfDate,EDATE($D148,Milestones!$AA$73)&gt;=SchemeStart,IF($X148=0,$AD148,IF(AND($Z148&lt;&gt;"",EDATE($D148,Milestones!$AA$73)&gt;=$Z148),$AC148,IF(AND($Y148&lt;&gt;"",EDATE($D148,Milestones!$AA$73)&gt;=$Y148),$AB148,$AA148)))=Milestones!$AB$73),UPPER(TEXT(EDATE($D148,Milestones!$AA$73),"dd mmm yy"))&amp;" "&amp;Milestones!$AB$73&amp;" "&amp;IF(AND(Milestones!$AB$73="FT",Milestones!$AA$73=FT_Y5,EDATE($D148,Milestones!$AA$73)&lt;PolicyEff),1,Milestones!$AC$73)&amp;";  ","")&amp;IF(AND(EDATE($D148,Milestones!$AA$74)&lt;=AsOfDate,EDATE($D148,Milestones!$AA$74)&gt;=SchemeStart,IF($X148=0,$AD148,IF(AND($Z148&lt;&gt;"",EDATE($D148,Milestones!$AA$74)&gt;=$Z148),$AC148,IF(AND($Y148&lt;&gt;"",EDATE($D148,Milestones!$AA$74)&gt;=$Y148),$AB148,$AA148)))=Milestones!$AB$74),UPPER(TEXT(EDATE($D148,Milestones!$AA$74),"dd mmm yy"))&amp;" "&amp;Milestones!$AB$74&amp;" "&amp;IF(AND(Milestones!$AB$74="FT",Milestones!$AA$74=FT_Y5,EDATE($D148,Milestones!$AA$74)&lt;PolicyEff),1,Milestones!$AC$74)&amp;";  ","")&amp;IF(AND(EDATE($D148,Milestones!$AA$75)&lt;=AsOfDate,EDATE($D148,Milestones!$AA$75)&gt;=SchemeStart,IF($X148=0,$AD148,IF(AND($Z148&lt;&gt;"",EDATE($D148,Milestones!$AA$75)&gt;=$Z148),$AC148,IF(AND($Y148&lt;&gt;"",EDATE($D148,Milestones!$AA$75)&gt;=$Y148),$AB148,$AA148)))=Milestones!$AB$75),UPPER(TEXT(EDATE($D148,Milestones!$AA$75),"dd mmm yy"))&amp;" "&amp;Milestones!$AB$75&amp;" "&amp;IF(AND(Milestones!$AB$75="FT",Milestones!$AA$75=FT_Y5,EDATE($D148,Milestones!$AA$75)&lt;PolicyEff),1,Milestones!$AC$75)&amp;";  ","")&amp;IF(AND(EDATE($D148,Milestones!$AA$76)&lt;=AsOfDate,EDATE($D148,Milestones!$AA$76)&gt;=SchemeStart,IF($X148=0,$AD148,IF(AND($Z148&lt;&gt;"",EDATE($D148,Milestones!$AA$76)&gt;=$Z148),$AC148,IF(AND($Y148&lt;&gt;"",EDATE($D148,Milestones!$AA$76)&gt;=$Y148),$AB148,$AA148)))=Milestones!$AB$76),UPPER(TEXT(EDATE($D148,Milestones!$AA$76),"dd mmm yy"))&amp;" "&amp;Milestones!$AB$76&amp;" "&amp;IF(AND(Milestones!$AB$76="FT",Milestones!$AA$76=FT_Y5,EDATE($D148,Milestones!$AA$76)&lt;PolicyEff),1,Milestones!$AC$76)&amp;";  ","")&amp;IF(AND(EDATE($D148,Milestones!$AA$77)&lt;=AsOfDate,EDATE($D148,Milestones!$AA$77)&gt;=SchemeStart,IF($X148=0,$AD148,IF(AND($Z148&lt;&gt;"",EDATE($D148,Milestones!$AA$77)&gt;=$Z148),$AC148,IF(AND($Y148&lt;&gt;"",EDATE($D148,Milestones!$AA$77)&gt;=$Y148),$AB148,$AA148)))=Milestones!$AB$77),UPPER(TEXT(EDATE($D148,Milestones!$AA$77),"dd mmm yy"))&amp;" "&amp;Milestones!$AB$77&amp;" "&amp;IF(AND(Milestones!$AB$77="FT",Milestones!$AA$77=FT_Y5,EDATE($D148,Milestones!$AA$77)&lt;PolicyEff),1,Milestones!$AC$77)&amp;";  ","")&amp;IF(AND(EDATE($D148,Milestones!$AA$78)&lt;=AsOfDate,EDATE($D148,Milestones!$AA$78)&gt;=SchemeStart,IF($X148=0,$AD148,IF(AND($Z148&lt;&gt;"",EDATE($D148,Milestones!$AA$78)&gt;=$Z148),$AC148,IF(AND($Y148&lt;&gt;"",EDATE($D148,Milestones!$AA$78)&gt;=$Y148),$AB148,$AA148)))=Milestones!$AB$78),UPPER(TEXT(EDATE($D148,Milestones!$AA$78),"dd mmm yy"))&amp;" "&amp;Milestones!$AB$78&amp;" "&amp;IF(AND(Milestones!$AB$78="FT",Milestones!$AA$78=FT_Y5,EDATE($D148,Milestones!$AA$78)&lt;PolicyEff),1,Milestones!$AC$78)&amp;";  ","")&amp;IF(AND(EDATE($D148,Milestones!$AA$79)&lt;=AsOfDate,EDATE($D148,Milestones!$AA$79)&gt;=SchemeStart,IF($X148=0,$AD148,IF(AND($Z148&lt;&gt;"",EDATE($D148,Milestones!$AA$79)&gt;=$Z148),$AC148,IF(AND($Y148&lt;&gt;"",EDATE($D148,Milestones!$AA$79)&gt;=$Y148),$AB148,$AA148)))=Milestones!$AB$79),UPPER(TEXT(EDATE($D148,Milestones!$AA$79),"dd mmm yy"))&amp;" "&amp;Milestones!$AB$79&amp;" "&amp;IF(AND(Milestones!$AB$79="FT",Milestones!$AA$79=FT_Y5,EDATE($D148,Milestones!$AA$79)&lt;PolicyEff),1,Milestones!$AC$79)&amp;";  ",""))</f>
        <v/>
      </c>
      <c r="N148" s="0" t="str">
        <f aca="false">IF(OR($A148="",$D148=""),"",IF(AND(EDATE($D148,Milestones!$AA$80)&lt;=AsOfDate,EDATE($D148,Milestones!$AA$80)&gt;=SchemeStart,IF($X148=0,$AD148,IF(AND($Z148&lt;&gt;"",EDATE($D148,Milestones!$AA$80)&gt;=$Z148),$AC148,IF(AND($Y148&lt;&gt;"",EDATE($D148,Milestones!$AA$80)&gt;=$Y148),$AB148,$AA148)))=Milestones!$AB$80),UPPER(TEXT(EDATE($D148,Milestones!$AA$80),"dd mmm yy"))&amp;" "&amp;Milestones!$AB$80&amp;" "&amp;IF(AND(Milestones!$AB$80="FT",Milestones!$AA$80=FT_Y5,EDATE($D148,Milestones!$AA$80)&lt;PolicyEff),1,Milestones!$AC$80)&amp;";  ","")&amp;IF(AND(EDATE($D148,Milestones!$AA$81)&lt;=AsOfDate,EDATE($D148,Milestones!$AA$81)&gt;=SchemeStart,IF($X148=0,$AD148,IF(AND($Z148&lt;&gt;"",EDATE($D148,Milestones!$AA$81)&gt;=$Z148),$AC148,IF(AND($Y148&lt;&gt;"",EDATE($D148,Milestones!$AA$81)&gt;=$Y148),$AB148,$AA148)))=Milestones!$AB$81),UPPER(TEXT(EDATE($D148,Milestones!$AA$81),"dd mmm yy"))&amp;" "&amp;Milestones!$AB$81&amp;" "&amp;IF(AND(Milestones!$AB$81="FT",Milestones!$AA$81=FT_Y5,EDATE($D148,Milestones!$AA$81)&lt;PolicyEff),1,Milestones!$AC$81)&amp;";  ","")&amp;IF(AND(EDATE($D148,Milestones!$AA$82)&lt;=AsOfDate,EDATE($D148,Milestones!$AA$82)&gt;=SchemeStart,IF($X148=0,$AD148,IF(AND($Z148&lt;&gt;"",EDATE($D148,Milestones!$AA$82)&gt;=$Z148),$AC148,IF(AND($Y148&lt;&gt;"",EDATE($D148,Milestones!$AA$82)&gt;=$Y148),$AB148,$AA148)))=Milestones!$AB$82),UPPER(TEXT(EDATE($D148,Milestones!$AA$82),"dd mmm yy"))&amp;" "&amp;Milestones!$AB$82&amp;" "&amp;IF(AND(Milestones!$AB$82="FT",Milestones!$AA$82=FT_Y5,EDATE($D148,Milestones!$AA$82)&lt;PolicyEff),1,Milestones!$AC$82)&amp;";  ","")&amp;IF(AND(EDATE($D148,Milestones!$AA$83)&lt;=AsOfDate,EDATE($D148,Milestones!$AA$83)&gt;=SchemeStart,IF($X148=0,$AD148,IF(AND($Z148&lt;&gt;"",EDATE($D148,Milestones!$AA$83)&gt;=$Z148),$AC148,IF(AND($Y148&lt;&gt;"",EDATE($D148,Milestones!$AA$83)&gt;=$Y148),$AB148,$AA148)))=Milestones!$AB$83),UPPER(TEXT(EDATE($D148,Milestones!$AA$83),"dd mmm yy"))&amp;" "&amp;Milestones!$AB$83&amp;" "&amp;IF(AND(Milestones!$AB$83="FT",Milestones!$AA$83=FT_Y5,EDATE($D148,Milestones!$AA$83)&lt;PolicyEff),1,Milestones!$AC$83)&amp;";  ","")&amp;IF(AND(EDATE($D148,Milestones!$AA$84)&lt;=AsOfDate,EDATE($D148,Milestones!$AA$84)&gt;=SchemeStart,IF($X148=0,$AD148,IF(AND($Z148&lt;&gt;"",EDATE($D148,Milestones!$AA$84)&gt;=$Z148),$AC148,IF(AND($Y148&lt;&gt;"",EDATE($D148,Milestones!$AA$84)&gt;=$Y148),$AB148,$AA148)))=Milestones!$AB$84),UPPER(TEXT(EDATE($D148,Milestones!$AA$84),"dd mmm yy"))&amp;" "&amp;Milestones!$AB$84&amp;" "&amp;IF(AND(Milestones!$AB$84="FT",Milestones!$AA$84=FT_Y5,EDATE($D148,Milestones!$AA$84)&lt;PolicyEff),1,Milestones!$AC$84)&amp;";  ","")&amp;IF(AND(EDATE($D148,Milestones!$AA$85)&lt;=AsOfDate,EDATE($D148,Milestones!$AA$85)&gt;=SchemeStart,IF($X148=0,$AD148,IF(AND($Z148&lt;&gt;"",EDATE($D148,Milestones!$AA$85)&gt;=$Z148),$AC148,IF(AND($Y148&lt;&gt;"",EDATE($D148,Milestones!$AA$85)&gt;=$Y148),$AB148,$AA148)))=Milestones!$AB$85),UPPER(TEXT(EDATE($D148,Milestones!$AA$85),"dd mmm yy"))&amp;" "&amp;Milestones!$AB$85&amp;" "&amp;IF(AND(Milestones!$AB$85="FT",Milestones!$AA$85=FT_Y5,EDATE($D148,Milestones!$AA$85)&lt;PolicyEff),1,Milestones!$AC$85)&amp;";  ","")&amp;IF(AND(EDATE($D148,Milestones!$AA$86)&lt;=AsOfDate,EDATE($D148,Milestones!$AA$86)&gt;=SchemeStart,IF($X148=0,$AD148,IF(AND($Z148&lt;&gt;"",EDATE($D148,Milestones!$AA$86)&gt;=$Z148),$AC148,IF(AND($Y148&lt;&gt;"",EDATE($D148,Milestones!$AA$86)&gt;=$Y148),$AB148,$AA148)))=Milestones!$AB$86),UPPER(TEXT(EDATE($D148,Milestones!$AA$86),"dd mmm yy"))&amp;" "&amp;Milestones!$AB$86&amp;" "&amp;IF(AND(Milestones!$AB$86="FT",Milestones!$AA$86=FT_Y5,EDATE($D148,Milestones!$AA$86)&lt;PolicyEff),1,Milestones!$AC$86)&amp;";  ","")&amp;IF(AND(EDATE($D148,Milestones!$AA$87)&lt;=AsOfDate,EDATE($D148,Milestones!$AA$87)&gt;=SchemeStart,IF($X148=0,$AD148,IF(AND($Z148&lt;&gt;"",EDATE($D148,Milestones!$AA$87)&gt;=$Z148),$AC148,IF(AND($Y148&lt;&gt;"",EDATE($D148,Milestones!$AA$87)&gt;=$Y148),$AB148,$AA148)))=Milestones!$AB$87),UPPER(TEXT(EDATE($D148,Milestones!$AA$87),"dd mmm yy"))&amp;" "&amp;Milestones!$AB$87&amp;" "&amp;IF(AND(Milestones!$AB$87="FT",Milestones!$AA$87=FT_Y5,EDATE($D148,Milestones!$AA$87)&lt;PolicyEff),1,Milestones!$AC$87)&amp;";  ","")&amp;IF(AND(EDATE($D148,Milestones!$AA$88)&lt;=AsOfDate,EDATE($D148,Milestones!$AA$88)&gt;=SchemeStart,IF($X148=0,$AD148,IF(AND($Z148&lt;&gt;"",EDATE($D148,Milestones!$AA$88)&gt;=$Z148),$AC148,IF(AND($Y148&lt;&gt;"",EDATE($D148,Milestones!$AA$88)&gt;=$Y148),$AB148,$AA148)))=Milestones!$AB$88),UPPER(TEXT(EDATE($D148,Milestones!$AA$88),"dd mmm yy"))&amp;" "&amp;Milestones!$AB$88&amp;" "&amp;IF(AND(Milestones!$AB$88="FT",Milestones!$AA$88=FT_Y5,EDATE($D148,Milestones!$AA$88)&lt;PolicyEff),1,Milestones!$AC$88)&amp;";  ","")&amp;IF(AND(EDATE($D148,Milestones!$AA$89)&lt;=AsOfDate,EDATE($D148,Milestones!$AA$89)&gt;=SchemeStart,IF($X148=0,$AD148,IF(AND($Z148&lt;&gt;"",EDATE($D148,Milestones!$AA$89)&gt;=$Z148),$AC148,IF(AND($Y148&lt;&gt;"",EDATE($D148,Milestones!$AA$89)&gt;=$Y148),$AB148,$AA148)))=Milestones!$AB$89),UPPER(TEXT(EDATE($D148,Milestones!$AA$89),"dd mmm yy"))&amp;" "&amp;Milestones!$AB$89&amp;" "&amp;IF(AND(Milestones!$AB$89="FT",Milestones!$AA$89=FT_Y5,EDATE($D148,Milestones!$AA$89)&lt;PolicyEff),1,Milestones!$AC$89)&amp;";  ","")&amp;IF(AND(EDATE($D148,Milestones!$AA$90)&lt;=AsOfDate,EDATE($D148,Milestones!$AA$90)&gt;=SchemeStart,IF($X148=0,$AD148,IF(AND($Z148&lt;&gt;"",EDATE($D148,Milestones!$AA$90)&gt;=$Z148),$AC148,IF(AND($Y148&lt;&gt;"",EDATE($D148,Milestones!$AA$90)&gt;=$Y148),$AB148,$AA148)))=Milestones!$AB$90),UPPER(TEXT(EDATE($D148,Milestones!$AA$90),"dd mmm yy"))&amp;" "&amp;Milestones!$AB$90&amp;" "&amp;IF(AND(Milestones!$AB$90="FT",Milestones!$AA$90=FT_Y5,EDATE($D148,Milestones!$AA$90)&lt;PolicyEff),1,Milestones!$AC$90)&amp;";  ","")&amp;IF(AND(EDATE($D148,Milestones!$AA$91)&lt;=AsOfDate,EDATE($D148,Milestones!$AA$91)&gt;=SchemeStart,IF($X148=0,$AD148,IF(AND($Z148&lt;&gt;"",EDATE($D148,Milestones!$AA$91)&gt;=$Z148),$AC148,IF(AND($Y148&lt;&gt;"",EDATE($D148,Milestones!$AA$91)&gt;=$Y148),$AB148,$AA148)))=Milestones!$AB$91),UPPER(TEXT(EDATE($D148,Milestones!$AA$91),"dd mmm yy"))&amp;" "&amp;Milestones!$AB$91&amp;" "&amp;IF(AND(Milestones!$AB$91="FT",Milestones!$AA$91=FT_Y5,EDATE($D148,Milestones!$AA$91)&lt;PolicyEff),1,Milestones!$AC$91)&amp;";  ",""))</f>
        <v/>
      </c>
      <c r="O148" s="0" t="str">
        <f aca="false">IF(OR($A148="",$D148=""),"",IF(AND(EDATE($D148,Milestones!$AA$92)&lt;=AsOfDate,EDATE($D148,Milestones!$AA$92)&gt;=SchemeStart,IF($X148=0,$AD148,IF(AND($Z148&lt;&gt;"",EDATE($D148,Milestones!$AA$92)&gt;=$Z148),$AC148,IF(AND($Y148&lt;&gt;"",EDATE($D148,Milestones!$AA$92)&gt;=$Y148),$AB148,$AA148)))=Milestones!$AB$92),UPPER(TEXT(EDATE($D148,Milestones!$AA$92),"dd mmm yy"))&amp;" "&amp;Milestones!$AB$92&amp;" "&amp;IF(AND(Milestones!$AB$92="FT",Milestones!$AA$92=FT_Y5,EDATE($D148,Milestones!$AA$92)&lt;PolicyEff),1,Milestones!$AC$92)&amp;";  ","")&amp;IF(AND(EDATE($D148,Milestones!$AA$93)&lt;=AsOfDate,EDATE($D148,Milestones!$AA$93)&gt;=SchemeStart,IF($X148=0,$AD148,IF(AND($Z148&lt;&gt;"",EDATE($D148,Milestones!$AA$93)&gt;=$Z148),$AC148,IF(AND($Y148&lt;&gt;"",EDATE($D148,Milestones!$AA$93)&gt;=$Y148),$AB148,$AA148)))=Milestones!$AB$93),UPPER(TEXT(EDATE($D148,Milestones!$AA$93),"dd mmm yy"))&amp;" "&amp;Milestones!$AB$93&amp;" "&amp;IF(AND(Milestones!$AB$93="FT",Milestones!$AA$93=FT_Y5,EDATE($D148,Milestones!$AA$93)&lt;PolicyEff),1,Milestones!$AC$93)&amp;";  ","")&amp;IF(AND(EDATE($D148,Milestones!$AA$94)&lt;=AsOfDate,EDATE($D148,Milestones!$AA$94)&gt;=SchemeStart,IF($X148=0,$AD148,IF(AND($Z148&lt;&gt;"",EDATE($D148,Milestones!$AA$94)&gt;=$Z148),$AC148,IF(AND($Y148&lt;&gt;"",EDATE($D148,Milestones!$AA$94)&gt;=$Y148),$AB148,$AA148)))=Milestones!$AB$94),UPPER(TEXT(EDATE($D148,Milestones!$AA$94),"dd mmm yy"))&amp;" "&amp;Milestones!$AB$94&amp;" "&amp;IF(AND(Milestones!$AB$94="FT",Milestones!$AA$94=FT_Y5,EDATE($D148,Milestones!$AA$94)&lt;PolicyEff),1,Milestones!$AC$94)&amp;";  ","")&amp;IF(AND(EDATE($D148,Milestones!$AA$95)&lt;=AsOfDate,EDATE($D148,Milestones!$AA$95)&gt;=SchemeStart,IF($X148=0,$AD148,IF(AND($Z148&lt;&gt;"",EDATE($D148,Milestones!$AA$95)&gt;=$Z148),$AC148,IF(AND($Y148&lt;&gt;"",EDATE($D148,Milestones!$AA$95)&gt;=$Y148),$AB148,$AA148)))=Milestones!$AB$95),UPPER(TEXT(EDATE($D148,Milestones!$AA$95),"dd mmm yy"))&amp;" "&amp;Milestones!$AB$95&amp;" "&amp;IF(AND(Milestones!$AB$95="FT",Milestones!$AA$95=FT_Y5,EDATE($D148,Milestones!$AA$95)&lt;PolicyEff),1,Milestones!$AC$95)&amp;";  ","")&amp;IF(AND(EDATE($D148,Milestones!$AA$96)&lt;=AsOfDate,EDATE($D148,Milestones!$AA$96)&gt;=SchemeStart,IF($X148=0,$AD148,IF(AND($Z148&lt;&gt;"",EDATE($D148,Milestones!$AA$96)&gt;=$Z148),$AC148,IF(AND($Y148&lt;&gt;"",EDATE($D148,Milestones!$AA$96)&gt;=$Y148),$AB148,$AA148)))=Milestones!$AB$96),UPPER(TEXT(EDATE($D148,Milestones!$AA$96),"dd mmm yy"))&amp;" "&amp;Milestones!$AB$96&amp;" "&amp;IF(AND(Milestones!$AB$96="FT",Milestones!$AA$96=FT_Y5,EDATE($D148,Milestones!$AA$96)&lt;PolicyEff),1,Milestones!$AC$96)&amp;";  ","")&amp;IF(AND(EDATE($D148,Milestones!$AA$97)&lt;=AsOfDate,EDATE($D148,Milestones!$AA$97)&gt;=SchemeStart,IF($X148=0,$AD148,IF(AND($Z148&lt;&gt;"",EDATE($D148,Milestones!$AA$97)&gt;=$Z148),$AC148,IF(AND($Y148&lt;&gt;"",EDATE($D148,Milestones!$AA$97)&gt;=$Y148),$AB148,$AA148)))=Milestones!$AB$97),UPPER(TEXT(EDATE($D148,Milestones!$AA$97),"dd mmm yy"))&amp;" "&amp;Milestones!$AB$97&amp;" "&amp;IF(AND(Milestones!$AB$97="FT",Milestones!$AA$97=FT_Y5,EDATE($D148,Milestones!$AA$97)&lt;PolicyEff),1,Milestones!$AC$97)&amp;";  ","")&amp;IF(AND(EDATE($D148,Milestones!$AA$98)&lt;=AsOfDate,EDATE($D148,Milestones!$AA$98)&gt;=SchemeStart,IF($X148=0,$AD148,IF(AND($Z148&lt;&gt;"",EDATE($D148,Milestones!$AA$98)&gt;=$Z148),$AC148,IF(AND($Y148&lt;&gt;"",EDATE($D148,Milestones!$AA$98)&gt;=$Y148),$AB148,$AA148)))=Milestones!$AB$98),UPPER(TEXT(EDATE($D148,Milestones!$AA$98),"dd mmm yy"))&amp;" "&amp;Milestones!$AB$98&amp;" "&amp;IF(AND(Milestones!$AB$98="FT",Milestones!$AA$98=FT_Y5,EDATE($D148,Milestones!$AA$98)&lt;PolicyEff),1,Milestones!$AC$98)&amp;";  ","")&amp;IF(AND(EDATE($D148,Milestones!$AA$99)&lt;=AsOfDate,EDATE($D148,Milestones!$AA$99)&gt;=SchemeStart,IF($X148=0,$AD148,IF(AND($Z148&lt;&gt;"",EDATE($D148,Milestones!$AA$99)&gt;=$Z148),$AC148,IF(AND($Y148&lt;&gt;"",EDATE($D148,Milestones!$AA$99)&gt;=$Y148),$AB148,$AA148)))=Milestones!$AB$99),UPPER(TEXT(EDATE($D148,Milestones!$AA$99),"dd mmm yy"))&amp;" "&amp;Milestones!$AB$99&amp;" "&amp;IF(AND(Milestones!$AB$99="FT",Milestones!$AA$99=FT_Y5,EDATE($D148,Milestones!$AA$99)&lt;PolicyEff),1,Milestones!$AC$99)&amp;";  ","")&amp;IF(AND(EDATE($D148,Milestones!$AA$100)&lt;=AsOfDate,EDATE($D148,Milestones!$AA$100)&gt;=SchemeStart,IF($X148=0,$AD148,IF(AND($Z148&lt;&gt;"",EDATE($D148,Milestones!$AA$100)&gt;=$Z148),$AC148,IF(AND($Y148&lt;&gt;"",EDATE($D148,Milestones!$AA$100)&gt;=$Y148),$AB148,$AA148)))=Milestones!$AB$100),UPPER(TEXT(EDATE($D148,Milestones!$AA$100),"dd mmm yy"))&amp;" "&amp;Milestones!$AB$100&amp;" "&amp;IF(AND(Milestones!$AB$100="FT",Milestones!$AA$100=FT_Y5,EDATE($D148,Milestones!$AA$100)&lt;PolicyEff),1,Milestones!$AC$100)&amp;";  ","")&amp;IF(AND(EDATE($D148,Milestones!$AA$101)&lt;=AsOfDate,EDATE($D148,Milestones!$AA$101)&gt;=SchemeStart,IF($X148=0,$AD148,IF(AND($Z148&lt;&gt;"",EDATE($D148,Milestones!$AA$101)&gt;=$Z148),$AC148,IF(AND($Y148&lt;&gt;"",EDATE($D148,Milestones!$AA$101)&gt;=$Y148),$AB148,$AA148)))=Milestones!$AB$101),UPPER(TEXT(EDATE($D148,Milestones!$AA$101),"dd mmm yy"))&amp;" "&amp;Milestones!$AB$101&amp;" "&amp;IF(AND(Milestones!$AB$101="FT",Milestones!$AA$101=FT_Y5,EDATE($D148,Milestones!$AA$101)&lt;PolicyEff),1,Milestones!$AC$101)&amp;";  ","")&amp;IF(AND(EDATE($D148,Milestones!$AA$102)&lt;=AsOfDate,EDATE($D148,Milestones!$AA$102)&gt;=SchemeStart,IF($X148=0,$AD148,IF(AND($Z148&lt;&gt;"",EDATE($D148,Milestones!$AA$102)&gt;=$Z148),$AC148,IF(AND($Y148&lt;&gt;"",EDATE($D148,Milestones!$AA$102)&gt;=$Y148),$AB148,$AA148)))=Milestones!$AB$102),UPPER(TEXT(EDATE($D148,Milestones!$AA$102),"dd mmm yy"))&amp;" "&amp;Milestones!$AB$102&amp;" "&amp;IF(AND(Milestones!$AB$102="FT",Milestones!$AA$102=FT_Y5,EDATE($D148,Milestones!$AA$102)&lt;PolicyEff),1,Milestones!$AC$102)&amp;";  ","")&amp;IF(AND(EDATE($D148,Milestones!$AA$103)&lt;=AsOfDate,EDATE($D148,Milestones!$AA$103)&gt;=SchemeStart,IF($X148=0,$AD148,IF(AND($Z148&lt;&gt;"",EDATE($D148,Milestones!$AA$103)&gt;=$Z148),$AC148,IF(AND($Y148&lt;&gt;"",EDATE($D148,Milestones!$AA$103)&gt;=$Y148),$AB148,$AA148)))=Milestones!$AB$103),UPPER(TEXT(EDATE($D148,Milestones!$AA$103),"dd mmm yy"))&amp;" "&amp;Milestones!$AB$103&amp;" "&amp;IF(AND(Milestones!$AB$103="FT",Milestones!$AA$103=FT_Y5,EDATE($D148,Milestones!$AA$103)&lt;PolicyEff),1,Milestones!$AC$103)&amp;";  ",""))</f>
        <v/>
      </c>
      <c r="P148" s="0" t="str">
        <f aca="false">IF(OR($A148="",$D148=""),"",IF(AND(EDATE($D148,Milestones!$AA$104)&lt;=AsOfDate,EDATE($D148,Milestones!$AA$104)&gt;=SchemeStart,IF($X148=0,$AD148,IF(AND($Z148&lt;&gt;"",EDATE($D148,Milestones!$AA$104)&gt;=$Z148),$AC148,IF(AND($Y148&lt;&gt;"",EDATE($D148,Milestones!$AA$104)&gt;=$Y148),$AB148,$AA148)))=Milestones!$AB$104),UPPER(TEXT(EDATE($D148,Milestones!$AA$104),"dd mmm yy"))&amp;" "&amp;Milestones!$AB$104&amp;" "&amp;IF(AND(Milestones!$AB$104="FT",Milestones!$AA$104=FT_Y5,EDATE($D148,Milestones!$AA$104)&lt;PolicyEff),1,Milestones!$AC$104)&amp;";  ","")&amp;IF(AND(EDATE($D148,Milestones!$AA$105)&lt;=AsOfDate,EDATE($D148,Milestones!$AA$105)&gt;=SchemeStart,IF($X148=0,$AD148,IF(AND($Z148&lt;&gt;"",EDATE($D148,Milestones!$AA$105)&gt;=$Z148),$AC148,IF(AND($Y148&lt;&gt;"",EDATE($D148,Milestones!$AA$105)&gt;=$Y148),$AB148,$AA148)))=Milestones!$AB$105),UPPER(TEXT(EDATE($D148,Milestones!$AA$105),"dd mmm yy"))&amp;" "&amp;Milestones!$AB$105&amp;" "&amp;IF(AND(Milestones!$AB$105="FT",Milestones!$AA$105=FT_Y5,EDATE($D148,Milestones!$AA$105)&lt;PolicyEff),1,Milestones!$AC$105)&amp;";  ","")&amp;IF(AND(EDATE($D148,Milestones!$AA$106)&lt;=AsOfDate,EDATE($D148,Milestones!$AA$106)&gt;=SchemeStart,IF($X148=0,$AD148,IF(AND($Z148&lt;&gt;"",EDATE($D148,Milestones!$AA$106)&gt;=$Z148),$AC148,IF(AND($Y148&lt;&gt;"",EDATE($D148,Milestones!$AA$106)&gt;=$Y148),$AB148,$AA148)))=Milestones!$AB$106),UPPER(TEXT(EDATE($D148,Milestones!$AA$106),"dd mmm yy"))&amp;" "&amp;Milestones!$AB$106&amp;" "&amp;IF(AND(Milestones!$AB$106="FT",Milestones!$AA$106=FT_Y5,EDATE($D148,Milestones!$AA$106)&lt;PolicyEff),1,Milestones!$AC$106)&amp;";  ","")&amp;IF(AND(EDATE($D148,Milestones!$AA$107)&lt;=AsOfDate,EDATE($D148,Milestones!$AA$107)&gt;=SchemeStart,IF($X148=0,$AD148,IF(AND($Z148&lt;&gt;"",EDATE($D148,Milestones!$AA$107)&gt;=$Z148),$AC148,IF(AND($Y148&lt;&gt;"",EDATE($D148,Milestones!$AA$107)&gt;=$Y148),$AB148,$AA148)))=Milestones!$AB$107),UPPER(TEXT(EDATE($D148,Milestones!$AA$107),"dd mmm yy"))&amp;" "&amp;Milestones!$AB$107&amp;" "&amp;IF(AND(Milestones!$AB$107="FT",Milestones!$AA$107=FT_Y5,EDATE($D148,Milestones!$AA$107)&lt;PolicyEff),1,Milestones!$AC$107)&amp;";  ","")&amp;IF(AND(EDATE($D148,Milestones!$AA$108)&lt;=AsOfDate,EDATE($D148,Milestones!$AA$108)&gt;=SchemeStart,IF($X148=0,$AD148,IF(AND($Z148&lt;&gt;"",EDATE($D148,Milestones!$AA$108)&gt;=$Z148),$AC148,IF(AND($Y148&lt;&gt;"",EDATE($D148,Milestones!$AA$108)&gt;=$Y148),$AB148,$AA148)))=Milestones!$AB$108),UPPER(TEXT(EDATE($D148,Milestones!$AA$108),"dd mmm yy"))&amp;" "&amp;Milestones!$AB$108&amp;" "&amp;IF(AND(Milestones!$AB$108="FT",Milestones!$AA$108=FT_Y5,EDATE($D148,Milestones!$AA$108)&lt;PolicyEff),1,Milestones!$AC$108)&amp;";  ","")&amp;IF(AND(EDATE($D148,Milestones!$AA$109)&lt;=AsOfDate,EDATE($D148,Milestones!$AA$109)&gt;=SchemeStart,IF($X148=0,$AD148,IF(AND($Z148&lt;&gt;"",EDATE($D148,Milestones!$AA$109)&gt;=$Z148),$AC148,IF(AND($Y148&lt;&gt;"",EDATE($D148,Milestones!$AA$109)&gt;=$Y148),$AB148,$AA148)))=Milestones!$AB$109),UPPER(TEXT(EDATE($D148,Milestones!$AA$109),"dd mmm yy"))&amp;" "&amp;Milestones!$AB$109&amp;" "&amp;IF(AND(Milestones!$AB$109="FT",Milestones!$AA$109=FT_Y5,EDATE($D148,Milestones!$AA$109)&lt;PolicyEff),1,Milestones!$AC$109)&amp;";  ","")&amp;IF(AND(EDATE($D148,Milestones!$AA$110)&lt;=AsOfDate,EDATE($D148,Milestones!$AA$110)&gt;=SchemeStart,IF($X148=0,$AD148,IF(AND($Z148&lt;&gt;"",EDATE($D148,Milestones!$AA$110)&gt;=$Z148),$AC148,IF(AND($Y148&lt;&gt;"",EDATE($D148,Milestones!$AA$110)&gt;=$Y148),$AB148,$AA148)))=Milestones!$AB$110),UPPER(TEXT(EDATE($D148,Milestones!$AA$110),"dd mmm yy"))&amp;" "&amp;Milestones!$AB$110&amp;" "&amp;IF(AND(Milestones!$AB$110="FT",Milestones!$AA$110=FT_Y5,EDATE($D148,Milestones!$AA$110)&lt;PolicyEff),1,Milestones!$AC$110)&amp;";  ","")&amp;IF(AND(EDATE($D148,Milestones!$AA$111)&lt;=AsOfDate,EDATE($D148,Milestones!$AA$111)&gt;=SchemeStart,IF($X148=0,$AD148,IF(AND($Z148&lt;&gt;"",EDATE($D148,Milestones!$AA$111)&gt;=$Z148),$AC148,IF(AND($Y148&lt;&gt;"",EDATE($D148,Milestones!$AA$111)&gt;=$Y148),$AB148,$AA148)))=Milestones!$AB$111),UPPER(TEXT(EDATE($D148,Milestones!$AA$111),"dd mmm yy"))&amp;" "&amp;Milestones!$AB$111&amp;" "&amp;IF(AND(Milestones!$AB$111="FT",Milestones!$AA$111=FT_Y5,EDATE($D148,Milestones!$AA$111)&lt;PolicyEff),1,Milestones!$AC$111)&amp;";  ","")&amp;IF(AND(EDATE($D148,Milestones!$AA$112)&lt;=AsOfDate,EDATE($D148,Milestones!$AA$112)&gt;=SchemeStart,IF($X148=0,$AD148,IF(AND($Z148&lt;&gt;"",EDATE($D148,Milestones!$AA$112)&gt;=$Z148),$AC148,IF(AND($Y148&lt;&gt;"",EDATE($D148,Milestones!$AA$112)&gt;=$Y148),$AB148,$AA148)))=Milestones!$AB$112),UPPER(TEXT(EDATE($D148,Milestones!$AA$112),"dd mmm yy"))&amp;" "&amp;Milestones!$AB$112&amp;" "&amp;IF(AND(Milestones!$AB$112="FT",Milestones!$AA$112=FT_Y5,EDATE($D148,Milestones!$AA$112)&lt;PolicyEff),1,Milestones!$AC$112)&amp;";  ","")&amp;IF(AND(EDATE($D148,Milestones!$AA$113)&lt;=AsOfDate,EDATE($D148,Milestones!$AA$113)&gt;=SchemeStart,IF($X148=0,$AD148,IF(AND($Z148&lt;&gt;"",EDATE($D148,Milestones!$AA$113)&gt;=$Z148),$AC148,IF(AND($Y148&lt;&gt;"",EDATE($D148,Milestones!$AA$113)&gt;=$Y148),$AB148,$AA148)))=Milestones!$AB$113),UPPER(TEXT(EDATE($D148,Milestones!$AA$113),"dd mmm yy"))&amp;" "&amp;Milestones!$AB$113&amp;" "&amp;IF(AND(Milestones!$AB$113="FT",Milestones!$AA$113=FT_Y5,EDATE($D148,Milestones!$AA$113)&lt;PolicyEff),1,Milestones!$AC$113)&amp;";  ","")&amp;IF(AND(EDATE($D148,Milestones!$AA$114)&lt;=AsOfDate,EDATE($D148,Milestones!$AA$114)&gt;=SchemeStart,IF($X148=0,$AD148,IF(AND($Z148&lt;&gt;"",EDATE($D148,Milestones!$AA$114)&gt;=$Z148),$AC148,IF(AND($Y148&lt;&gt;"",EDATE($D148,Milestones!$AA$114)&gt;=$Y148),$AB148,$AA148)))=Milestones!$AB$114),UPPER(TEXT(EDATE($D148,Milestones!$AA$114),"dd mmm yy"))&amp;" "&amp;Milestones!$AB$114&amp;" "&amp;IF(AND(Milestones!$AB$114="FT",Milestones!$AA$114=FT_Y5,EDATE($D148,Milestones!$AA$114)&lt;PolicyEff),1,Milestones!$AC$114)&amp;";  ","")&amp;IF(AND(EDATE($D148,Milestones!$AA$115)&lt;=AsOfDate,EDATE($D148,Milestones!$AA$115)&gt;=SchemeStart,IF($X148=0,$AD148,IF(AND($Z148&lt;&gt;"",EDATE($D148,Milestones!$AA$115)&gt;=$Z148),$AC148,IF(AND($Y148&lt;&gt;"",EDATE($D148,Milestones!$AA$115)&gt;=$Y148),$AB148,$AA148)))=Milestones!$AB$115),UPPER(TEXT(EDATE($D148,Milestones!$AA$115),"dd mmm yy"))&amp;" "&amp;Milestones!$AB$115&amp;" "&amp;IF(AND(Milestones!$AB$115="FT",Milestones!$AA$115=FT_Y5,EDATE($D148,Milestones!$AA$115)&lt;PolicyEff),1,Milestones!$AC$115)&amp;";  ",""))</f>
        <v/>
      </c>
      <c r="Q148" s="0" t="str">
        <f aca="false">IF(OR($A148="",$D148=""),"",IF(AND(EDATE($D148,Milestones!$AA$116)&lt;=AsOfDate,EDATE($D148,Milestones!$AA$116)&gt;=SchemeStart,IF($X148=0,$AD148,IF(AND($Z148&lt;&gt;"",EDATE($D148,Milestones!$AA$116)&gt;=$Z148),$AC148,IF(AND($Y148&lt;&gt;"",EDATE($D148,Milestones!$AA$116)&gt;=$Y148),$AB148,$AA148)))=Milestones!$AB$116),UPPER(TEXT(EDATE($D148,Milestones!$AA$116),"dd mmm yy"))&amp;" "&amp;Milestones!$AB$116&amp;" "&amp;IF(AND(Milestones!$AB$116="FT",Milestones!$AA$116=FT_Y5,EDATE($D148,Milestones!$AA$116)&lt;PolicyEff),1,Milestones!$AC$116)&amp;";  ","")&amp;IF(AND(EDATE($D148,Milestones!$AA$117)&lt;=AsOfDate,EDATE($D148,Milestones!$AA$117)&gt;=SchemeStart,IF($X148=0,$AD148,IF(AND($Z148&lt;&gt;"",EDATE($D148,Milestones!$AA$117)&gt;=$Z148),$AC148,IF(AND($Y148&lt;&gt;"",EDATE($D148,Milestones!$AA$117)&gt;=$Y148),$AB148,$AA148)))=Milestones!$AB$117),UPPER(TEXT(EDATE($D148,Milestones!$AA$117),"dd mmm yy"))&amp;" "&amp;Milestones!$AB$117&amp;" "&amp;IF(AND(Milestones!$AB$117="FT",Milestones!$AA$117=FT_Y5,EDATE($D148,Milestones!$AA$117)&lt;PolicyEff),1,Milestones!$AC$117)&amp;";  ","")&amp;IF(AND(EDATE($D148,Milestones!$AA$118)&lt;=AsOfDate,EDATE($D148,Milestones!$AA$118)&gt;=SchemeStart,IF($X148=0,$AD148,IF(AND($Z148&lt;&gt;"",EDATE($D148,Milestones!$AA$118)&gt;=$Z148),$AC148,IF(AND($Y148&lt;&gt;"",EDATE($D148,Milestones!$AA$118)&gt;=$Y148),$AB148,$AA148)))=Milestones!$AB$118),UPPER(TEXT(EDATE($D148,Milestones!$AA$118),"dd mmm yy"))&amp;" "&amp;Milestones!$AB$118&amp;" "&amp;IF(AND(Milestones!$AB$118="FT",Milestones!$AA$118=FT_Y5,EDATE($D148,Milestones!$AA$118)&lt;PolicyEff),1,Milestones!$AC$118)&amp;";  ","")&amp;IF(AND(EDATE($D148,Milestones!$AA$119)&lt;=AsOfDate,EDATE($D148,Milestones!$AA$119)&gt;=SchemeStart,IF($X148=0,$AD148,IF(AND($Z148&lt;&gt;"",EDATE($D148,Milestones!$AA$119)&gt;=$Z148),$AC148,IF(AND($Y148&lt;&gt;"",EDATE($D148,Milestones!$AA$119)&gt;=$Y148),$AB148,$AA148)))=Milestones!$AB$119),UPPER(TEXT(EDATE($D148,Milestones!$AA$119),"dd mmm yy"))&amp;" "&amp;Milestones!$AB$119&amp;" "&amp;IF(AND(Milestones!$AB$119="FT",Milestones!$AA$119=FT_Y5,EDATE($D148,Milestones!$AA$119)&lt;PolicyEff),1,Milestones!$AC$119)&amp;";  ","")&amp;IF(AND(EDATE($D148,Milestones!$AA$120)&lt;=AsOfDate,EDATE($D148,Milestones!$AA$120)&gt;=SchemeStart,IF($X148=0,$AD148,IF(AND($Z148&lt;&gt;"",EDATE($D148,Milestones!$AA$120)&gt;=$Z148),$AC148,IF(AND($Y148&lt;&gt;"",EDATE($D148,Milestones!$AA$120)&gt;=$Y148),$AB148,$AA148)))=Milestones!$AB$120),UPPER(TEXT(EDATE($D148,Milestones!$AA$120),"dd mmm yy"))&amp;" "&amp;Milestones!$AB$120&amp;" "&amp;IF(AND(Milestones!$AB$120="FT",Milestones!$AA$120=FT_Y5,EDATE($D148,Milestones!$AA$120)&lt;PolicyEff),1,Milestones!$AC$120)&amp;";  ","")&amp;IF(AND(EDATE($D148,Milestones!$AA$121)&lt;=AsOfDate,EDATE($D148,Milestones!$AA$121)&gt;=SchemeStart,IF($X148=0,$AD148,IF(AND($Z148&lt;&gt;"",EDATE($D148,Milestones!$AA$121)&gt;=$Z148),$AC148,IF(AND($Y148&lt;&gt;"",EDATE($D148,Milestones!$AA$121)&gt;=$Y148),$AB148,$AA148)))=Milestones!$AB$121),UPPER(TEXT(EDATE($D148,Milestones!$AA$121),"dd mmm yy"))&amp;" "&amp;Milestones!$AB$121&amp;" "&amp;IF(AND(Milestones!$AB$121="FT",Milestones!$AA$121=FT_Y5,EDATE($D148,Milestones!$AA$121)&lt;PolicyEff),1,Milestones!$AC$121)&amp;";  ","")&amp;IF(AND(EDATE($D148,Milestones!$AA$122)&lt;=AsOfDate,EDATE($D148,Milestones!$AA$122)&gt;=SchemeStart,IF($X148=0,$AD148,IF(AND($Z148&lt;&gt;"",EDATE($D148,Milestones!$AA$122)&gt;=$Z148),$AC148,IF(AND($Y148&lt;&gt;"",EDATE($D148,Milestones!$AA$122)&gt;=$Y148),$AB148,$AA148)))=Milestones!$AB$122),UPPER(TEXT(EDATE($D148,Milestones!$AA$122),"dd mmm yy"))&amp;" "&amp;Milestones!$AB$122&amp;" "&amp;IF(AND(Milestones!$AB$122="FT",Milestones!$AA$122=FT_Y5,EDATE($D148,Milestones!$AA$122)&lt;PolicyEff),1,Milestones!$AC$122)&amp;";  ","")&amp;IF(AND(EDATE($D148,Milestones!$AA$123)&lt;=AsOfDate,EDATE($D148,Milestones!$AA$123)&gt;=SchemeStart,IF($X148=0,$AD148,IF(AND($Z148&lt;&gt;"",EDATE($D148,Milestones!$AA$123)&gt;=$Z148),$AC148,IF(AND($Y148&lt;&gt;"",EDATE($D148,Milestones!$AA$123)&gt;=$Y148),$AB148,$AA148)))=Milestones!$AB$123),UPPER(TEXT(EDATE($D148,Milestones!$AA$123),"dd mmm yy"))&amp;" "&amp;Milestones!$AB$123&amp;" "&amp;IF(AND(Milestones!$AB$123="FT",Milestones!$AA$123=FT_Y5,EDATE($D148,Milestones!$AA$123)&lt;PolicyEff),1,Milestones!$AC$123)&amp;";  ","")&amp;IF(AND(EDATE($D148,Milestones!$AA$124)&lt;=AsOfDate,EDATE($D148,Milestones!$AA$124)&gt;=SchemeStart,IF($X148=0,$AD148,IF(AND($Z148&lt;&gt;"",EDATE($D148,Milestones!$AA$124)&gt;=$Z148),$AC148,IF(AND($Y148&lt;&gt;"",EDATE($D148,Milestones!$AA$124)&gt;=$Y148),$AB148,$AA148)))=Milestones!$AB$124),UPPER(TEXT(EDATE($D148,Milestones!$AA$124),"dd mmm yy"))&amp;" "&amp;Milestones!$AB$124&amp;" "&amp;IF(AND(Milestones!$AB$124="FT",Milestones!$AA$124=FT_Y5,EDATE($D148,Milestones!$AA$124)&lt;PolicyEff),1,Milestones!$AC$124)&amp;";  ","")&amp;IF(AND(EDATE($D148,Milestones!$AA$125)&lt;=AsOfDate,EDATE($D148,Milestones!$AA$125)&gt;=SchemeStart,IF($X148=0,$AD148,IF(AND($Z148&lt;&gt;"",EDATE($D148,Milestones!$AA$125)&gt;=$Z148),$AC148,IF(AND($Y148&lt;&gt;"",EDATE($D148,Milestones!$AA$125)&gt;=$Y148),$AB148,$AA148)))=Milestones!$AB$125),UPPER(TEXT(EDATE($D148,Milestones!$AA$125),"dd mmm yy"))&amp;" "&amp;Milestones!$AB$125&amp;" "&amp;IF(AND(Milestones!$AB$125="FT",Milestones!$AA$125=FT_Y5,EDATE($D148,Milestones!$AA$125)&lt;PolicyEff),1,Milestones!$AC$125)&amp;";  ","")&amp;IF(AND(EDATE($D148,Milestones!$AA$126)&lt;=AsOfDate,EDATE($D148,Milestones!$AA$126)&gt;=SchemeStart,IF($X148=0,$AD148,IF(AND($Z148&lt;&gt;"",EDATE($D148,Milestones!$AA$126)&gt;=$Z148),$AC148,IF(AND($Y148&lt;&gt;"",EDATE($D148,Milestones!$AA$126)&gt;=$Y148),$AB148,$AA148)))=Milestones!$AB$126),UPPER(TEXT(EDATE($D148,Milestones!$AA$126),"dd mmm yy"))&amp;" "&amp;Milestones!$AB$126&amp;" "&amp;IF(AND(Milestones!$AB$126="FT",Milestones!$AA$126=FT_Y5,EDATE($D148,Milestones!$AA$126)&lt;PolicyEff),1,Milestones!$AC$126)&amp;";  ","")&amp;IF(AND(EDATE($D148,Milestones!$AA$127)&lt;=AsOfDate,EDATE($D148,Milestones!$AA$127)&gt;=SchemeStart,IF($X148=0,$AD148,IF(AND($Z148&lt;&gt;"",EDATE($D148,Milestones!$AA$127)&gt;=$Z148),$AC148,IF(AND($Y148&lt;&gt;"",EDATE($D148,Milestones!$AA$127)&gt;=$Y148),$AB148,$AA148)))=Milestones!$AB$127),UPPER(TEXT(EDATE($D148,Milestones!$AA$127),"dd mmm yy"))&amp;" "&amp;Milestones!$AB$127&amp;" "&amp;IF(AND(Milestones!$AB$127="FT",Milestones!$AA$127=FT_Y5,EDATE($D148,Milestones!$AA$127)&lt;PolicyEff),1,Milestones!$AC$127)&amp;";  ",""))</f>
        <v/>
      </c>
      <c r="R148" s="0" t="str">
        <f aca="false">IF(OR($A148="",$D148=""),"",IF(AND(EDATE($D148,Milestones!$AA$128)&lt;=AsOfDate,EDATE($D148,Milestones!$AA$128)&gt;=SchemeStart,IF($X148=0,$AD148,IF(AND($Z148&lt;&gt;"",EDATE($D148,Milestones!$AA$128)&gt;=$Z148),$AC148,IF(AND($Y148&lt;&gt;"",EDATE($D148,Milestones!$AA$128)&gt;=$Y148),$AB148,$AA148)))=Milestones!$AB$128),UPPER(TEXT(EDATE($D148,Milestones!$AA$128),"dd mmm yy"))&amp;" "&amp;Milestones!$AB$128&amp;" "&amp;IF(AND(Milestones!$AB$128="FT",Milestones!$AA$128=FT_Y5,EDATE($D148,Milestones!$AA$128)&lt;PolicyEff),1,Milestones!$AC$128)&amp;";  ","")&amp;IF(AND(EDATE($D148,Milestones!$AA$129)&lt;=AsOfDate,EDATE($D148,Milestones!$AA$129)&gt;=SchemeStart,IF($X148=0,$AD148,IF(AND($Z148&lt;&gt;"",EDATE($D148,Milestones!$AA$129)&gt;=$Z148),$AC148,IF(AND($Y148&lt;&gt;"",EDATE($D148,Milestones!$AA$129)&gt;=$Y148),$AB148,$AA148)))=Milestones!$AB$129),UPPER(TEXT(EDATE($D148,Milestones!$AA$129),"dd mmm yy"))&amp;" "&amp;Milestones!$AB$129&amp;" "&amp;IF(AND(Milestones!$AB$129="FT",Milestones!$AA$129=FT_Y5,EDATE($D148,Milestones!$AA$129)&lt;PolicyEff),1,Milestones!$AC$129)&amp;";  ","")&amp;IF(AND(EDATE($D148,Milestones!$AA$130)&lt;=AsOfDate,EDATE($D148,Milestones!$AA$130)&gt;=SchemeStart,IF($X148=0,$AD148,IF(AND($Z148&lt;&gt;"",EDATE($D148,Milestones!$AA$130)&gt;=$Z148),$AC148,IF(AND($Y148&lt;&gt;"",EDATE($D148,Milestones!$AA$130)&gt;=$Y148),$AB148,$AA148)))=Milestones!$AB$130),UPPER(TEXT(EDATE($D148,Milestones!$AA$130),"dd mmm yy"))&amp;" "&amp;Milestones!$AB$130&amp;" "&amp;IF(AND(Milestones!$AB$130="FT",Milestones!$AA$130=FT_Y5,EDATE($D148,Milestones!$AA$130)&lt;PolicyEff),1,Milestones!$AC$130)&amp;";  ","")&amp;IF(AND(EDATE($D148,Milestones!$AA$131)&lt;=AsOfDate,EDATE($D148,Milestones!$AA$131)&gt;=SchemeStart,IF($X148=0,$AD148,IF(AND($Z148&lt;&gt;"",EDATE($D148,Milestones!$AA$131)&gt;=$Z148),$AC148,IF(AND($Y148&lt;&gt;"",EDATE($D148,Milestones!$AA$131)&gt;=$Y148),$AB148,$AA148)))=Milestones!$AB$131),UPPER(TEXT(EDATE($D148,Milestones!$AA$131),"dd mmm yy"))&amp;" "&amp;Milestones!$AB$131&amp;" "&amp;IF(AND(Milestones!$AB$131="FT",Milestones!$AA$131=FT_Y5,EDATE($D148,Milestones!$AA$131)&lt;PolicyEff),1,Milestones!$AC$131)&amp;";  ","")&amp;IF(AND(EDATE($D148,Milestones!$AA$132)&lt;=AsOfDate,EDATE($D148,Milestones!$AA$132)&gt;=SchemeStart,IF($X148=0,$AD148,IF(AND($Z148&lt;&gt;"",EDATE($D148,Milestones!$AA$132)&gt;=$Z148),$AC148,IF(AND($Y148&lt;&gt;"",EDATE($D148,Milestones!$AA$132)&gt;=$Y148),$AB148,$AA148)))=Milestones!$AB$132),UPPER(TEXT(EDATE($D148,Milestones!$AA$132),"dd mmm yy"))&amp;" "&amp;Milestones!$AB$132&amp;" "&amp;IF(AND(Milestones!$AB$132="FT",Milestones!$AA$132=FT_Y5,EDATE($D148,Milestones!$AA$132)&lt;PolicyEff),1,Milestones!$AC$132)&amp;";  ","")&amp;IF(AND(EDATE($D148,Milestones!$AA$133)&lt;=AsOfDate,EDATE($D148,Milestones!$AA$133)&gt;=SchemeStart,IF($X148=0,$AD148,IF(AND($Z148&lt;&gt;"",EDATE($D148,Milestones!$AA$133)&gt;=$Z148),$AC148,IF(AND($Y148&lt;&gt;"",EDATE($D148,Milestones!$AA$133)&gt;=$Y148),$AB148,$AA148)))=Milestones!$AB$133),UPPER(TEXT(EDATE($D148,Milestones!$AA$133),"dd mmm yy"))&amp;" "&amp;Milestones!$AB$133&amp;" "&amp;IF(AND(Milestones!$AB$133="FT",Milestones!$AA$133=FT_Y5,EDATE($D148,Milestones!$AA$133)&lt;PolicyEff),1,Milestones!$AC$133)&amp;";  ","")&amp;IF(AND(EDATE($D148,Milestones!$AA$134)&lt;=AsOfDate,EDATE($D148,Milestones!$AA$134)&gt;=SchemeStart,IF($X148=0,$AD148,IF(AND($Z148&lt;&gt;"",EDATE($D148,Milestones!$AA$134)&gt;=$Z148),$AC148,IF(AND($Y148&lt;&gt;"",EDATE($D148,Milestones!$AA$134)&gt;=$Y148),$AB148,$AA148)))=Milestones!$AB$134),UPPER(TEXT(EDATE($D148,Milestones!$AA$134),"dd mmm yy"))&amp;" "&amp;Milestones!$AB$134&amp;" "&amp;IF(AND(Milestones!$AB$134="FT",Milestones!$AA$134=FT_Y5,EDATE($D148,Milestones!$AA$134)&lt;PolicyEff),1,Milestones!$AC$134)&amp;";  ","")&amp;IF(AND(EDATE($D148,Milestones!$AA$135)&lt;=AsOfDate,EDATE($D148,Milestones!$AA$135)&gt;=SchemeStart,IF($X148=0,$AD148,IF(AND($Z148&lt;&gt;"",EDATE($D148,Milestones!$AA$135)&gt;=$Z148),$AC148,IF(AND($Y148&lt;&gt;"",EDATE($D148,Milestones!$AA$135)&gt;=$Y148),$AB148,$AA148)))=Milestones!$AB$135),UPPER(TEXT(EDATE($D148,Milestones!$AA$135),"dd mmm yy"))&amp;" "&amp;Milestones!$AB$135&amp;" "&amp;IF(AND(Milestones!$AB$135="FT",Milestones!$AA$135=FT_Y5,EDATE($D148,Milestones!$AA$135)&lt;PolicyEff),1,Milestones!$AC$135)&amp;";  ","")&amp;IF(AND(EDATE($D148,Milestones!$AA$136)&lt;=AsOfDate,EDATE($D148,Milestones!$AA$136)&gt;=SchemeStart,IF($X148=0,$AD148,IF(AND($Z148&lt;&gt;"",EDATE($D148,Milestones!$AA$136)&gt;=$Z148),$AC148,IF(AND($Y148&lt;&gt;"",EDATE($D148,Milestones!$AA$136)&gt;=$Y148),$AB148,$AA148)))=Milestones!$AB$136),UPPER(TEXT(EDATE($D148,Milestones!$AA$136),"dd mmm yy"))&amp;" "&amp;Milestones!$AB$136&amp;" "&amp;IF(AND(Milestones!$AB$136="FT",Milestones!$AA$136=FT_Y5,EDATE($D148,Milestones!$AA$136)&lt;PolicyEff),1,Milestones!$AC$136)&amp;";  ","")&amp;IF(AND(EDATE($D148,Milestones!$AA$137)&lt;=AsOfDate,EDATE($D148,Milestones!$AA$137)&gt;=SchemeStart,IF($X148=0,$AD148,IF(AND($Z148&lt;&gt;"",EDATE($D148,Milestones!$AA$137)&gt;=$Z148),$AC148,IF(AND($Y148&lt;&gt;"",EDATE($D148,Milestones!$AA$137)&gt;=$Y148),$AB148,$AA148)))=Milestones!$AB$137),UPPER(TEXT(EDATE($D148,Milestones!$AA$137),"dd mmm yy"))&amp;" "&amp;Milestones!$AB$137&amp;" "&amp;IF(AND(Milestones!$AB$137="FT",Milestones!$AA$137=FT_Y5,EDATE($D148,Milestones!$AA$137)&lt;PolicyEff),1,Milestones!$AC$137)&amp;";  ","")&amp;IF(AND(EDATE($D148,Milestones!$AA$138)&lt;=AsOfDate,EDATE($D148,Milestones!$AA$138)&gt;=SchemeStart,IF($X148=0,$AD148,IF(AND($Z148&lt;&gt;"",EDATE($D148,Milestones!$AA$138)&gt;=$Z148),$AC148,IF(AND($Y148&lt;&gt;"",EDATE($D148,Milestones!$AA$138)&gt;=$Y148),$AB148,$AA148)))=Milestones!$AB$138),UPPER(TEXT(EDATE($D148,Milestones!$AA$138),"dd mmm yy"))&amp;" "&amp;Milestones!$AB$138&amp;" "&amp;IF(AND(Milestones!$AB$138="FT",Milestones!$AA$138=FT_Y5,EDATE($D148,Milestones!$AA$138)&lt;PolicyEff),1,Milestones!$AC$138)&amp;";  ","")&amp;IF(AND(EDATE($D148,Milestones!$AA$139)&lt;=AsOfDate,EDATE($D148,Milestones!$AA$139)&gt;=SchemeStart,IF($X148=0,$AD148,IF(AND($Z148&lt;&gt;"",EDATE($D148,Milestones!$AA$139)&gt;=$Z148),$AC148,IF(AND($Y148&lt;&gt;"",EDATE($D148,Milestones!$AA$139)&gt;=$Y148),$AB148,$AA148)))=Milestones!$AB$139),UPPER(TEXT(EDATE($D148,Milestones!$AA$139),"dd mmm yy"))&amp;" "&amp;Milestones!$AB$139&amp;" "&amp;IF(AND(Milestones!$AB$139="FT",Milestones!$AA$139=FT_Y5,EDATE($D148,Milestones!$AA$139)&lt;PolicyEff),1,Milestones!$AC$139)&amp;";  ",""))</f>
        <v/>
      </c>
      <c r="S148" s="0" t="str">
        <f aca="false">IF(OR($A148="",$D148=""),"",IF(AND(EDATE($D148,Milestones!$AA$140)&lt;=AsOfDate,EDATE($D148,Milestones!$AA$140)&gt;=SchemeStart,IF($X148=0,$AD148,IF(AND($Z148&lt;&gt;"",EDATE($D148,Milestones!$AA$140)&gt;=$Z148),$AC148,IF(AND($Y148&lt;&gt;"",EDATE($D148,Milestones!$AA$140)&gt;=$Y148),$AB148,$AA148)))=Milestones!$AB$140),UPPER(TEXT(EDATE($D148,Milestones!$AA$140),"dd mmm yy"))&amp;" "&amp;Milestones!$AB$140&amp;" "&amp;IF(AND(Milestones!$AB$140="FT",Milestones!$AA$140=FT_Y5,EDATE($D148,Milestones!$AA$140)&lt;PolicyEff),1,Milestones!$AC$140)&amp;";  ","")&amp;IF(AND(EDATE($D148,Milestones!$AA$141)&lt;=AsOfDate,EDATE($D148,Milestones!$AA$141)&gt;=SchemeStart,IF($X148=0,$AD148,IF(AND($Z148&lt;&gt;"",EDATE($D148,Milestones!$AA$141)&gt;=$Z148),$AC148,IF(AND($Y148&lt;&gt;"",EDATE($D148,Milestones!$AA$141)&gt;=$Y148),$AB148,$AA148)))=Milestones!$AB$141),UPPER(TEXT(EDATE($D148,Milestones!$AA$141),"dd mmm yy"))&amp;" "&amp;Milestones!$AB$141&amp;" "&amp;IF(AND(Milestones!$AB$141="FT",Milestones!$AA$141=FT_Y5,EDATE($D148,Milestones!$AA$141)&lt;PolicyEff),1,Milestones!$AC$141)&amp;";  ","")&amp;IF(AND(EDATE($D148,Milestones!$AA$142)&lt;=AsOfDate,EDATE($D148,Milestones!$AA$142)&gt;=SchemeStart,IF($X148=0,$AD148,IF(AND($Z148&lt;&gt;"",EDATE($D148,Milestones!$AA$142)&gt;=$Z148),$AC148,IF(AND($Y148&lt;&gt;"",EDATE($D148,Milestones!$AA$142)&gt;=$Y148),$AB148,$AA148)))=Milestones!$AB$142),UPPER(TEXT(EDATE($D148,Milestones!$AA$142),"dd mmm yy"))&amp;" "&amp;Milestones!$AB$142&amp;" "&amp;IF(AND(Milestones!$AB$142="FT",Milestones!$AA$142=FT_Y5,EDATE($D148,Milestones!$AA$142)&lt;PolicyEff),1,Milestones!$AC$142)&amp;";  ","")&amp;IF(AND(EDATE($D148,Milestones!$AA$143)&lt;=AsOfDate,EDATE($D148,Milestones!$AA$143)&gt;=SchemeStart,IF($X148=0,$AD148,IF(AND($Z148&lt;&gt;"",EDATE($D148,Milestones!$AA$143)&gt;=$Z148),$AC148,IF(AND($Y148&lt;&gt;"",EDATE($D148,Milestones!$AA$143)&gt;=$Y148),$AB148,$AA148)))=Milestones!$AB$143),UPPER(TEXT(EDATE($D148,Milestones!$AA$143),"dd mmm yy"))&amp;" "&amp;Milestones!$AB$143&amp;" "&amp;IF(AND(Milestones!$AB$143="FT",Milestones!$AA$143=FT_Y5,EDATE($D148,Milestones!$AA$143)&lt;PolicyEff),1,Milestones!$AC$143)&amp;";  ","")&amp;IF(AND(EDATE($D148,Milestones!$AA$144)&lt;=AsOfDate,EDATE($D148,Milestones!$AA$144)&gt;=SchemeStart,IF($X148=0,$AD148,IF(AND($Z148&lt;&gt;"",EDATE($D148,Milestones!$AA$144)&gt;=$Z148),$AC148,IF(AND($Y148&lt;&gt;"",EDATE($D148,Milestones!$AA$144)&gt;=$Y148),$AB148,$AA148)))=Milestones!$AB$144),UPPER(TEXT(EDATE($D148,Milestones!$AA$144),"dd mmm yy"))&amp;" "&amp;Milestones!$AB$144&amp;" "&amp;IF(AND(Milestones!$AB$144="FT",Milestones!$AA$144=FT_Y5,EDATE($D148,Milestones!$AA$144)&lt;PolicyEff),1,Milestones!$AC$144)&amp;";  ","")&amp;IF(AND(EDATE($D148,Milestones!$AA$145)&lt;=AsOfDate,EDATE($D148,Milestones!$AA$145)&gt;=SchemeStart,IF($X148=0,$AD148,IF(AND($Z148&lt;&gt;"",EDATE($D148,Milestones!$AA$145)&gt;=$Z148),$AC148,IF(AND($Y148&lt;&gt;"",EDATE($D148,Milestones!$AA$145)&gt;=$Y148),$AB148,$AA148)))=Milestones!$AB$145),UPPER(TEXT(EDATE($D148,Milestones!$AA$145),"dd mmm yy"))&amp;" "&amp;Milestones!$AB$145&amp;" "&amp;IF(AND(Milestones!$AB$145="FT",Milestones!$AA$145=FT_Y5,EDATE($D148,Milestones!$AA$145)&lt;PolicyEff),1,Milestones!$AC$145)&amp;";  ","")&amp;IF(AND(EDATE($D148,Milestones!$AA$146)&lt;=AsOfDate,EDATE($D148,Milestones!$AA$146)&gt;=SchemeStart,IF($X148=0,$AD148,IF(AND($Z148&lt;&gt;"",EDATE($D148,Milestones!$AA$146)&gt;=$Z148),$AC148,IF(AND($Y148&lt;&gt;"",EDATE($D148,Milestones!$AA$146)&gt;=$Y148),$AB148,$AA148)))=Milestones!$AB$146),UPPER(TEXT(EDATE($D148,Milestones!$AA$146),"dd mmm yy"))&amp;" "&amp;Milestones!$AB$146&amp;" "&amp;IF(AND(Milestones!$AB$146="FT",Milestones!$AA$146=FT_Y5,EDATE($D148,Milestones!$AA$146)&lt;PolicyEff),1,Milestones!$AC$146)&amp;";  ","")&amp;IF(AND(EDATE($D148,Milestones!$AA$147)&lt;=AsOfDate,EDATE($D148,Milestones!$AA$147)&gt;=SchemeStart,IF($X148=0,$AD148,IF(AND($Z148&lt;&gt;"",EDATE($D148,Milestones!$AA$147)&gt;=$Z148),$AC148,IF(AND($Y148&lt;&gt;"",EDATE($D148,Milestones!$AA$147)&gt;=$Y148),$AB148,$AA148)))=Milestones!$AB$147),UPPER(TEXT(EDATE($D148,Milestones!$AA$147),"dd mmm yy"))&amp;" "&amp;Milestones!$AB$147&amp;" "&amp;IF(AND(Milestones!$AB$147="FT",Milestones!$AA$147=FT_Y5,EDATE($D148,Milestones!$AA$147)&lt;PolicyEff),1,Milestones!$AC$147)&amp;";  ","")&amp;IF(AND(EDATE($D148,Milestones!$AA$148)&lt;=AsOfDate,EDATE($D148,Milestones!$AA$148)&gt;=SchemeStart,IF($X148=0,$AD148,IF(AND($Z148&lt;&gt;"",EDATE($D148,Milestones!$AA$148)&gt;=$Z148),$AC148,IF(AND($Y148&lt;&gt;"",EDATE($D148,Milestones!$AA$148)&gt;=$Y148),$AB148,$AA148)))=Milestones!$AB$148),UPPER(TEXT(EDATE($D148,Milestones!$AA$148),"dd mmm yy"))&amp;" "&amp;Milestones!$AB$148&amp;" "&amp;IF(AND(Milestones!$AB$148="FT",Milestones!$AA$148=FT_Y5,EDATE($D148,Milestones!$AA$148)&lt;PolicyEff),1,Milestones!$AC$148)&amp;";  ","")&amp;IF(AND(EDATE($D148,Milestones!$AA$149)&lt;=AsOfDate,EDATE($D148,Milestones!$AA$149)&gt;=SchemeStart,IF($X148=0,$AD148,IF(AND($Z148&lt;&gt;"",EDATE($D148,Milestones!$AA$149)&gt;=$Z148),$AC148,IF(AND($Y148&lt;&gt;"",EDATE($D148,Milestones!$AA$149)&gt;=$Y148),$AB148,$AA148)))=Milestones!$AB$149),UPPER(TEXT(EDATE($D148,Milestones!$AA$149),"dd mmm yy"))&amp;" "&amp;Milestones!$AB$149&amp;" "&amp;IF(AND(Milestones!$AB$149="FT",Milestones!$AA$149=FT_Y5,EDATE($D148,Milestones!$AA$149)&lt;PolicyEff),1,Milestones!$AC$149)&amp;";  ","")&amp;IF(AND(EDATE($D148,Milestones!$AA$150)&lt;=AsOfDate,EDATE($D148,Milestones!$AA$150)&gt;=SchemeStart,IF($X148=0,$AD148,IF(AND($Z148&lt;&gt;"",EDATE($D148,Milestones!$AA$150)&gt;=$Z148),$AC148,IF(AND($Y148&lt;&gt;"",EDATE($D148,Milestones!$AA$150)&gt;=$Y148),$AB148,$AA148)))=Milestones!$AB$150),UPPER(TEXT(EDATE($D148,Milestones!$AA$150),"dd mmm yy"))&amp;" "&amp;Milestones!$AB$150&amp;" "&amp;IF(AND(Milestones!$AB$150="FT",Milestones!$AA$150=FT_Y5,EDATE($D148,Milestones!$AA$150)&lt;PolicyEff),1,Milestones!$AC$150)&amp;";  ","")&amp;IF(AND(EDATE($D148,Milestones!$AA$151)&lt;=AsOfDate,EDATE($D148,Milestones!$AA$151)&gt;=SchemeStart,IF($X148=0,$AD148,IF(AND($Z148&lt;&gt;"",EDATE($D148,Milestones!$AA$151)&gt;=$Z148),$AC148,IF(AND($Y148&lt;&gt;"",EDATE($D148,Milestones!$AA$151)&gt;=$Y148),$AB148,$AA148)))=Milestones!$AB$151),UPPER(TEXT(EDATE($D148,Milestones!$AA$151),"dd mmm yy"))&amp;" "&amp;Milestones!$AB$151&amp;" "&amp;IF(AND(Milestones!$AB$151="FT",Milestones!$AA$151=FT_Y5,EDATE($D148,Milestones!$AA$151)&lt;PolicyEff),1,Milestones!$AC$151)&amp;";  ",""))</f>
        <v/>
      </c>
      <c r="T148" s="0" t="str">
        <f aca="false">IF(OR($A148="",$D148=""),"",IF(AND(EDATE($D148,Milestones!$AA$152)&lt;=AsOfDate,EDATE($D148,Milestones!$AA$152)&gt;=SchemeStart,IF($X148=0,$AD148,IF(AND($Z148&lt;&gt;"",EDATE($D148,Milestones!$AA$152)&gt;=$Z148),$AC148,IF(AND($Y148&lt;&gt;"",EDATE($D148,Milestones!$AA$152)&gt;=$Y148),$AB148,$AA148)))=Milestones!$AB$152),UPPER(TEXT(EDATE($D148,Milestones!$AA$152),"dd mmm yy"))&amp;" "&amp;Milestones!$AB$152&amp;" "&amp;IF(AND(Milestones!$AB$152="FT",Milestones!$AA$152=FT_Y5,EDATE($D148,Milestones!$AA$152)&lt;PolicyEff),1,Milestones!$AC$152)&amp;";  ","")&amp;IF(AND(EDATE($D148,Milestones!$AA$153)&lt;=AsOfDate,EDATE($D148,Milestones!$AA$153)&gt;=SchemeStart,IF($X148=0,$AD148,IF(AND($Z148&lt;&gt;"",EDATE($D148,Milestones!$AA$153)&gt;=$Z148),$AC148,IF(AND($Y148&lt;&gt;"",EDATE($D148,Milestones!$AA$153)&gt;=$Y148),$AB148,$AA148)))=Milestones!$AB$153),UPPER(TEXT(EDATE($D148,Milestones!$AA$153),"dd mmm yy"))&amp;" "&amp;Milestones!$AB$153&amp;" "&amp;IF(AND(Milestones!$AB$153="FT",Milestones!$AA$153=FT_Y5,EDATE($D148,Milestones!$AA$153)&lt;PolicyEff),1,Milestones!$AC$153)&amp;";  ","")&amp;IF(AND(EDATE($D148,Milestones!$AA$154)&lt;=AsOfDate,EDATE($D148,Milestones!$AA$154)&gt;=SchemeStart,IF($X148=0,$AD148,IF(AND($Z148&lt;&gt;"",EDATE($D148,Milestones!$AA$154)&gt;=$Z148),$AC148,IF(AND($Y148&lt;&gt;"",EDATE($D148,Milestones!$AA$154)&gt;=$Y148),$AB148,$AA148)))=Milestones!$AB$154),UPPER(TEXT(EDATE($D148,Milestones!$AA$154),"dd mmm yy"))&amp;" "&amp;Milestones!$AB$154&amp;" "&amp;IF(AND(Milestones!$AB$154="FT",Milestones!$AA$154=FT_Y5,EDATE($D148,Milestones!$AA$154)&lt;PolicyEff),1,Milestones!$AC$154)&amp;";  ","")&amp;IF(AND(EDATE($D148,Milestones!$AA$155)&lt;=AsOfDate,EDATE($D148,Milestones!$AA$155)&gt;=SchemeStart,IF($X148=0,$AD148,IF(AND($Z148&lt;&gt;"",EDATE($D148,Milestones!$AA$155)&gt;=$Z148),$AC148,IF(AND($Y148&lt;&gt;"",EDATE($D148,Milestones!$AA$155)&gt;=$Y148),$AB148,$AA148)))=Milestones!$AB$155),UPPER(TEXT(EDATE($D148,Milestones!$AA$155),"dd mmm yy"))&amp;" "&amp;Milestones!$AB$155&amp;" "&amp;IF(AND(Milestones!$AB$155="FT",Milestones!$AA$155=FT_Y5,EDATE($D148,Milestones!$AA$155)&lt;PolicyEff),1,Milestones!$AC$155)&amp;";  ","")&amp;IF(AND(EDATE($D148,Milestones!$AA$156)&lt;=AsOfDate,EDATE($D148,Milestones!$AA$156)&gt;=SchemeStart,IF($X148=0,$AD148,IF(AND($Z148&lt;&gt;"",EDATE($D148,Milestones!$AA$156)&gt;=$Z148),$AC148,IF(AND($Y148&lt;&gt;"",EDATE($D148,Milestones!$AA$156)&gt;=$Y148),$AB148,$AA148)))=Milestones!$AB$156),UPPER(TEXT(EDATE($D148,Milestones!$AA$156),"dd mmm yy"))&amp;" "&amp;Milestones!$AB$156&amp;" "&amp;IF(AND(Milestones!$AB$156="FT",Milestones!$AA$156=FT_Y5,EDATE($D148,Milestones!$AA$156)&lt;PolicyEff),1,Milestones!$AC$156)&amp;";  ","")&amp;IF(AND(EDATE($D148,Milestones!$AA$157)&lt;=AsOfDate,EDATE($D148,Milestones!$AA$157)&gt;=SchemeStart,IF($X148=0,$AD148,IF(AND($Z148&lt;&gt;"",EDATE($D148,Milestones!$AA$157)&gt;=$Z148),$AC148,IF(AND($Y148&lt;&gt;"",EDATE($D148,Milestones!$AA$157)&gt;=$Y148),$AB148,$AA148)))=Milestones!$AB$157),UPPER(TEXT(EDATE($D148,Milestones!$AA$157),"dd mmm yy"))&amp;" "&amp;Milestones!$AB$157&amp;" "&amp;IF(AND(Milestones!$AB$157="FT",Milestones!$AA$157=FT_Y5,EDATE($D148,Milestones!$AA$157)&lt;PolicyEff),1,Milestones!$AC$157)&amp;";  ","")&amp;IF(AND(EDATE($D148,Milestones!$AA$158)&lt;=AsOfDate,EDATE($D148,Milestones!$AA$158)&gt;=SchemeStart,IF($X148=0,$AD148,IF(AND($Z148&lt;&gt;"",EDATE($D148,Milestones!$AA$158)&gt;=$Z148),$AC148,IF(AND($Y148&lt;&gt;"",EDATE($D148,Milestones!$AA$158)&gt;=$Y148),$AB148,$AA148)))=Milestones!$AB$158),UPPER(TEXT(EDATE($D148,Milestones!$AA$158),"dd mmm yy"))&amp;" "&amp;Milestones!$AB$158&amp;" "&amp;IF(AND(Milestones!$AB$158="FT",Milestones!$AA$158=FT_Y5,EDATE($D148,Milestones!$AA$158)&lt;PolicyEff),1,Milestones!$AC$158)&amp;";  ","")&amp;IF(AND(EDATE($D148,Milestones!$AA$159)&lt;=AsOfDate,EDATE($D148,Milestones!$AA$159)&gt;=SchemeStart,IF($X148=0,$AD148,IF(AND($Z148&lt;&gt;"",EDATE($D148,Milestones!$AA$159)&gt;=$Z148),$AC148,IF(AND($Y148&lt;&gt;"",EDATE($D148,Milestones!$AA$159)&gt;=$Y148),$AB148,$AA148)))=Milestones!$AB$159),UPPER(TEXT(EDATE($D148,Milestones!$AA$159),"dd mmm yy"))&amp;" "&amp;Milestones!$AB$159&amp;" "&amp;IF(AND(Milestones!$AB$159="FT",Milestones!$AA$159=FT_Y5,EDATE($D148,Milestones!$AA$159)&lt;PolicyEff),1,Milestones!$AC$159)&amp;";  ","")&amp;IF(AND(EDATE($D148,Milestones!$AA$160)&lt;=AsOfDate,EDATE($D148,Milestones!$AA$160)&gt;=SchemeStart,IF($X148=0,$AD148,IF(AND($Z148&lt;&gt;"",EDATE($D148,Milestones!$AA$160)&gt;=$Z148),$AC148,IF(AND($Y148&lt;&gt;"",EDATE($D148,Milestones!$AA$160)&gt;=$Y148),$AB148,$AA148)))=Milestones!$AB$160),UPPER(TEXT(EDATE($D148,Milestones!$AA$160),"dd mmm yy"))&amp;" "&amp;Milestones!$AB$160&amp;" "&amp;IF(AND(Milestones!$AB$160="FT",Milestones!$AA$160=FT_Y5,EDATE($D148,Milestones!$AA$160)&lt;PolicyEff),1,Milestones!$AC$160)&amp;";  ","")&amp;IF(AND(EDATE($D148,Milestones!$AA$161)&lt;=AsOfDate,EDATE($D148,Milestones!$AA$161)&gt;=SchemeStart,IF($X148=0,$AD148,IF(AND($Z148&lt;&gt;"",EDATE($D148,Milestones!$AA$161)&gt;=$Z148),$AC148,IF(AND($Y148&lt;&gt;"",EDATE($D148,Milestones!$AA$161)&gt;=$Y148),$AB148,$AA148)))=Milestones!$AB$161),UPPER(TEXT(EDATE($D148,Milestones!$AA$161),"dd mmm yy"))&amp;" "&amp;Milestones!$AB$161&amp;" "&amp;IF(AND(Milestones!$AB$161="FT",Milestones!$AA$161=FT_Y5,EDATE($D148,Milestones!$AA$161)&lt;PolicyEff),1,Milestones!$AC$161)&amp;";  ","")&amp;IF(AND(EDATE($D148,Milestones!$AA$162)&lt;=AsOfDate,EDATE($D148,Milestones!$AA$162)&gt;=SchemeStart,IF($X148=0,$AD148,IF(AND($Z148&lt;&gt;"",EDATE($D148,Milestones!$AA$162)&gt;=$Z148),$AC148,IF(AND($Y148&lt;&gt;"",EDATE($D148,Milestones!$AA$162)&gt;=$Y148),$AB148,$AA148)))=Milestones!$AB$162),UPPER(TEXT(EDATE($D148,Milestones!$AA$162),"dd mmm yy"))&amp;" "&amp;Milestones!$AB$162&amp;" "&amp;IF(AND(Milestones!$AB$162="FT",Milestones!$AA$162=FT_Y5,EDATE($D148,Milestones!$AA$162)&lt;PolicyEff),1,Milestones!$AC$162)&amp;";  ","")&amp;IF(AND(EDATE($D148,Milestones!$AA$163)&lt;=AsOfDate,EDATE($D148,Milestones!$AA$163)&gt;=SchemeStart,IF($X148=0,$AD148,IF(AND($Z148&lt;&gt;"",EDATE($D148,Milestones!$AA$163)&gt;=$Z148),$AC148,IF(AND($Y148&lt;&gt;"",EDATE($D148,Milestones!$AA$163)&gt;=$Y148),$AB148,$AA148)))=Milestones!$AB$163),UPPER(TEXT(EDATE($D148,Milestones!$AA$163),"dd mmm yy"))&amp;" "&amp;Milestones!$AB$163&amp;" "&amp;IF(AND(Milestones!$AB$163="FT",Milestones!$AA$163=FT_Y5,EDATE($D148,Milestones!$AA$163)&lt;PolicyEff),1,Milestones!$AC$163)&amp;";  ",""))</f>
        <v/>
      </c>
      <c r="U148" s="0" t="str">
        <f aca="false">IF(OR($A148="",$D148=""),"",IF(AND(EDATE($D148,Milestones!$AA$164)&lt;=AsOfDate,EDATE($D148,Milestones!$AA$164)&gt;=SchemeStart,IF($X148=0,$AD148,IF(AND($Z148&lt;&gt;"",EDATE($D148,Milestones!$AA$164)&gt;=$Z148),$AC148,IF(AND($Y148&lt;&gt;"",EDATE($D148,Milestones!$AA$164)&gt;=$Y148),$AB148,$AA148)))=Milestones!$AB$164),UPPER(TEXT(EDATE($D148,Milestones!$AA$164),"dd mmm yy"))&amp;" "&amp;Milestones!$AB$164&amp;" "&amp;IF(AND(Milestones!$AB$164="FT",Milestones!$AA$164=FT_Y5,EDATE($D148,Milestones!$AA$164)&lt;PolicyEff),1,Milestones!$AC$164)&amp;";  ","")&amp;IF(AND(EDATE($D148,Milestones!$AA$165)&lt;=AsOfDate,EDATE($D148,Milestones!$AA$165)&gt;=SchemeStart,IF($X148=0,$AD148,IF(AND($Z148&lt;&gt;"",EDATE($D148,Milestones!$AA$165)&gt;=$Z148),$AC148,IF(AND($Y148&lt;&gt;"",EDATE($D148,Milestones!$AA$165)&gt;=$Y148),$AB148,$AA148)))=Milestones!$AB$165),UPPER(TEXT(EDATE($D148,Milestones!$AA$165),"dd mmm yy"))&amp;" "&amp;Milestones!$AB$165&amp;" "&amp;IF(AND(Milestones!$AB$165="FT",Milestones!$AA$165=FT_Y5,EDATE($D148,Milestones!$AA$165)&lt;PolicyEff),1,Milestones!$AC$165)&amp;";  ","")&amp;IF(AND(EDATE($D148,Milestones!$AA$166)&lt;=AsOfDate,EDATE($D148,Milestones!$AA$166)&gt;=SchemeStart,IF($X148=0,$AD148,IF(AND($Z148&lt;&gt;"",EDATE($D148,Milestones!$AA$166)&gt;=$Z148),$AC148,IF(AND($Y148&lt;&gt;"",EDATE($D148,Milestones!$AA$166)&gt;=$Y148),$AB148,$AA148)))=Milestones!$AB$166),UPPER(TEXT(EDATE($D148,Milestones!$AA$166),"dd mmm yy"))&amp;" "&amp;Milestones!$AB$166&amp;" "&amp;IF(AND(Milestones!$AB$166="FT",Milestones!$AA$166=FT_Y5,EDATE($D148,Milestones!$AA$166)&lt;PolicyEff),1,Milestones!$AC$166)&amp;";  ","")&amp;IF(AND(EDATE($D148,Milestones!$AA$167)&lt;=AsOfDate,EDATE($D148,Milestones!$AA$167)&gt;=SchemeStart,IF($X148=0,$AD148,IF(AND($Z148&lt;&gt;"",EDATE($D148,Milestones!$AA$167)&gt;=$Z148),$AC148,IF(AND($Y148&lt;&gt;"",EDATE($D148,Milestones!$AA$167)&gt;=$Y148),$AB148,$AA148)))=Milestones!$AB$167),UPPER(TEXT(EDATE($D148,Milestones!$AA$167),"dd mmm yy"))&amp;" "&amp;Milestones!$AB$167&amp;" "&amp;IF(AND(Milestones!$AB$167="FT",Milestones!$AA$167=FT_Y5,EDATE($D148,Milestones!$AA$167)&lt;PolicyEff),1,Milestones!$AC$167)&amp;";  ","")&amp;IF(AND(EDATE($D148,Milestones!$AA$168)&lt;=AsOfDate,EDATE($D148,Milestones!$AA$168)&gt;=SchemeStart,IF($X148=0,$AD148,IF(AND($Z148&lt;&gt;"",EDATE($D148,Milestones!$AA$168)&gt;=$Z148),$AC148,IF(AND($Y148&lt;&gt;"",EDATE($D148,Milestones!$AA$168)&gt;=$Y148),$AB148,$AA148)))=Milestones!$AB$168),UPPER(TEXT(EDATE($D148,Milestones!$AA$168),"dd mmm yy"))&amp;" "&amp;Milestones!$AB$168&amp;" "&amp;IF(AND(Milestones!$AB$168="FT",Milestones!$AA$168=FT_Y5,EDATE($D148,Milestones!$AA$168)&lt;PolicyEff),1,Milestones!$AC$168)&amp;";  ","")&amp;IF(AND(EDATE($D148,Milestones!$AA$169)&lt;=AsOfDate,EDATE($D148,Milestones!$AA$169)&gt;=SchemeStart,IF($X148=0,$AD148,IF(AND($Z148&lt;&gt;"",EDATE($D148,Milestones!$AA$169)&gt;=$Z148),$AC148,IF(AND($Y148&lt;&gt;"",EDATE($D148,Milestones!$AA$169)&gt;=$Y148),$AB148,$AA148)))=Milestones!$AB$169),UPPER(TEXT(EDATE($D148,Milestones!$AA$169),"dd mmm yy"))&amp;" "&amp;Milestones!$AB$169&amp;" "&amp;IF(AND(Milestones!$AB$169="FT",Milestones!$AA$169=FT_Y5,EDATE($D148,Milestones!$AA$169)&lt;PolicyEff),1,Milestones!$AC$169)&amp;";  ","")&amp;IF(AND(EDATE($D148,Milestones!$AA$170)&lt;=AsOfDate,EDATE($D148,Milestones!$AA$170)&gt;=SchemeStart,IF($X148=0,$AD148,IF(AND($Z148&lt;&gt;"",EDATE($D148,Milestones!$AA$170)&gt;=$Z148),$AC148,IF(AND($Y148&lt;&gt;"",EDATE($D148,Milestones!$AA$170)&gt;=$Y148),$AB148,$AA148)))=Milestones!$AB$170),UPPER(TEXT(EDATE($D148,Milestones!$AA$170),"dd mmm yy"))&amp;" "&amp;Milestones!$AB$170&amp;" "&amp;IF(AND(Milestones!$AB$170="FT",Milestones!$AA$170=FT_Y5,EDATE($D148,Milestones!$AA$170)&lt;PolicyEff),1,Milestones!$AC$170)&amp;";  ","")&amp;IF(AND(EDATE($D148,Milestones!$AA$171)&lt;=AsOfDate,EDATE($D148,Milestones!$AA$171)&gt;=SchemeStart,IF($X148=0,$AD148,IF(AND($Z148&lt;&gt;"",EDATE($D148,Milestones!$AA$171)&gt;=$Z148),$AC148,IF(AND($Y148&lt;&gt;"",EDATE($D148,Milestones!$AA$171)&gt;=$Y148),$AB148,$AA148)))=Milestones!$AB$171),UPPER(TEXT(EDATE($D148,Milestones!$AA$171),"dd mmm yy"))&amp;" "&amp;Milestones!$AB$171&amp;" "&amp;IF(AND(Milestones!$AB$171="FT",Milestones!$AA$171=FT_Y5,EDATE($D148,Milestones!$AA$171)&lt;PolicyEff),1,Milestones!$AC$171)&amp;";  ","")&amp;IF(AND(EDATE($D148,Milestones!$AA$172)&lt;=AsOfDate,EDATE($D148,Milestones!$AA$172)&gt;=SchemeStart,IF($X148=0,$AD148,IF(AND($Z148&lt;&gt;"",EDATE($D148,Milestones!$AA$172)&gt;=$Z148),$AC148,IF(AND($Y148&lt;&gt;"",EDATE($D148,Milestones!$AA$172)&gt;=$Y148),$AB148,$AA148)))=Milestones!$AB$172),UPPER(TEXT(EDATE($D148,Milestones!$AA$172),"dd mmm yy"))&amp;" "&amp;Milestones!$AB$172&amp;" "&amp;IF(AND(Milestones!$AB$172="FT",Milestones!$AA$172=FT_Y5,EDATE($D148,Milestones!$AA$172)&lt;PolicyEff),1,Milestones!$AC$172)&amp;";  ","")&amp;IF(AND(EDATE($D148,Milestones!$AA$173)&lt;=AsOfDate,EDATE($D148,Milestones!$AA$173)&gt;=SchemeStart,IF($X148=0,$AD148,IF(AND($Z148&lt;&gt;"",EDATE($D148,Milestones!$AA$173)&gt;=$Z148),$AC148,IF(AND($Y148&lt;&gt;"",EDATE($D148,Milestones!$AA$173)&gt;=$Y148),$AB148,$AA148)))=Milestones!$AB$173),UPPER(TEXT(EDATE($D148,Milestones!$AA$173),"dd mmm yy"))&amp;" "&amp;Milestones!$AB$173&amp;" "&amp;IF(AND(Milestones!$AB$173="FT",Milestones!$AA$173=FT_Y5,EDATE($D148,Milestones!$AA$173)&lt;PolicyEff),1,Milestones!$AC$173)&amp;";  ","")&amp;IF(AND(EDATE($D148,Milestones!$AA$174)&lt;=AsOfDate,EDATE($D148,Milestones!$AA$174)&gt;=SchemeStart,IF($X148=0,$AD148,IF(AND($Z148&lt;&gt;"",EDATE($D148,Milestones!$AA$174)&gt;=$Z148),$AC148,IF(AND($Y148&lt;&gt;"",EDATE($D148,Milestones!$AA$174)&gt;=$Y148),$AB148,$AA148)))=Milestones!$AB$174),UPPER(TEXT(EDATE($D148,Milestones!$AA$174),"dd mmm yy"))&amp;" "&amp;Milestones!$AB$174&amp;" "&amp;IF(AND(Milestones!$AB$174="FT",Milestones!$AA$174=FT_Y5,EDATE($D148,Milestones!$AA$174)&lt;PolicyEff),1,Milestones!$AC$174)&amp;";  ","")&amp;IF(AND(EDATE($D148,Milestones!$AA$175)&lt;=AsOfDate,EDATE($D148,Milestones!$AA$175)&gt;=SchemeStart,IF($X148=0,$AD148,IF(AND($Z148&lt;&gt;"",EDATE($D148,Milestones!$AA$175)&gt;=$Z148),$AC148,IF(AND($Y148&lt;&gt;"",EDATE($D148,Milestones!$AA$175)&gt;=$Y148),$AB148,$AA148)))=Milestones!$AB$175),UPPER(TEXT(EDATE($D148,Milestones!$AA$175),"dd mmm yy"))&amp;" "&amp;Milestones!$AB$175&amp;" "&amp;IF(AND(Milestones!$AB$175="FT",Milestones!$AA$175=FT_Y5,EDATE($D148,Milestones!$AA$175)&lt;PolicyEff),1,Milestones!$AC$175)&amp;";  ",""))</f>
        <v/>
      </c>
      <c r="V148" s="0" t="str">
        <f aca="false">IF(OR($A148="",$D148=""),"",IF(AND(EDATE($D148,Milestones!$AA$176)&lt;=AsOfDate,EDATE($D148,Milestones!$AA$176)&gt;=SchemeStart,IF($X148=0,$AD148,IF(AND($Z148&lt;&gt;"",EDATE($D148,Milestones!$AA$176)&gt;=$Z148),$AC148,IF(AND($Y148&lt;&gt;"",EDATE($D148,Milestones!$AA$176)&gt;=$Y148),$AB148,$AA148)))=Milestones!$AB$176),UPPER(TEXT(EDATE($D148,Milestones!$AA$176),"dd mmm yy"))&amp;" "&amp;Milestones!$AB$176&amp;" "&amp;IF(AND(Milestones!$AB$176="FT",Milestones!$AA$176=FT_Y5,EDATE($D148,Milestones!$AA$176)&lt;PolicyEff),1,Milestones!$AC$176)&amp;";  ","")&amp;IF(AND(EDATE($D148,Milestones!$AA$177)&lt;=AsOfDate,EDATE($D148,Milestones!$AA$177)&gt;=SchemeStart,IF($X148=0,$AD148,IF(AND($Z148&lt;&gt;"",EDATE($D148,Milestones!$AA$177)&gt;=$Z148),$AC148,IF(AND($Y148&lt;&gt;"",EDATE($D148,Milestones!$AA$177)&gt;=$Y148),$AB148,$AA148)))=Milestones!$AB$177),UPPER(TEXT(EDATE($D148,Milestones!$AA$177),"dd mmm yy"))&amp;" "&amp;Milestones!$AB$177&amp;" "&amp;IF(AND(Milestones!$AB$177="FT",Milestones!$AA$177=FT_Y5,EDATE($D148,Milestones!$AA$177)&lt;PolicyEff),1,Milestones!$AC$177)&amp;";  ","")&amp;IF(AND(EDATE($D148,Milestones!$AA$178)&lt;=AsOfDate,EDATE($D148,Milestones!$AA$178)&gt;=SchemeStart,IF($X148=0,$AD148,IF(AND($Z148&lt;&gt;"",EDATE($D148,Milestones!$AA$178)&gt;=$Z148),$AC148,IF(AND($Y148&lt;&gt;"",EDATE($D148,Milestones!$AA$178)&gt;=$Y148),$AB148,$AA148)))=Milestones!$AB$178),UPPER(TEXT(EDATE($D148,Milestones!$AA$178),"dd mmm yy"))&amp;" "&amp;Milestones!$AB$178&amp;" "&amp;IF(AND(Milestones!$AB$178="FT",Milestones!$AA$178=FT_Y5,EDATE($D148,Milestones!$AA$178)&lt;PolicyEff),1,Milestones!$AC$178)&amp;";  ","")&amp;IF(AND(EDATE($D148,Milestones!$AA$179)&lt;=AsOfDate,EDATE($D148,Milestones!$AA$179)&gt;=SchemeStart,IF($X148=0,$AD148,IF(AND($Z148&lt;&gt;"",EDATE($D148,Milestones!$AA$179)&gt;=$Z148),$AC148,IF(AND($Y148&lt;&gt;"",EDATE($D148,Milestones!$AA$179)&gt;=$Y148),$AB148,$AA148)))=Milestones!$AB$179),UPPER(TEXT(EDATE($D148,Milestones!$AA$179),"dd mmm yy"))&amp;" "&amp;Milestones!$AB$179&amp;" "&amp;IF(AND(Milestones!$AB$179="FT",Milestones!$AA$179=FT_Y5,EDATE($D148,Milestones!$AA$179)&lt;PolicyEff),1,Milestones!$AC$179)&amp;";  ","")&amp;IF(AND(EDATE($D148,Milestones!$AA$180)&lt;=AsOfDate,EDATE($D148,Milestones!$AA$180)&gt;=SchemeStart,IF($X148=0,$AD148,IF(AND($Z148&lt;&gt;"",EDATE($D148,Milestones!$AA$180)&gt;=$Z148),$AC148,IF(AND($Y148&lt;&gt;"",EDATE($D148,Milestones!$AA$180)&gt;=$Y148),$AB148,$AA148)))=Milestones!$AB$180),UPPER(TEXT(EDATE($D148,Milestones!$AA$180),"dd mmm yy"))&amp;" "&amp;Milestones!$AB$180&amp;" "&amp;IF(AND(Milestones!$AB$180="FT",Milestones!$AA$180=FT_Y5,EDATE($D148,Milestones!$AA$180)&lt;PolicyEff),1,Milestones!$AC$180)&amp;";  ","")&amp;IF(AND(EDATE($D148,Milestones!$AA$181)&lt;=AsOfDate,EDATE($D148,Milestones!$AA$181)&gt;=SchemeStart,IF($X148=0,$AD148,IF(AND($Z148&lt;&gt;"",EDATE($D148,Milestones!$AA$181)&gt;=$Z148),$AC148,IF(AND($Y148&lt;&gt;"",EDATE($D148,Milestones!$AA$181)&gt;=$Y148),$AB148,$AA148)))=Milestones!$AB$181),UPPER(TEXT(EDATE($D148,Milestones!$AA$181),"dd mmm yy"))&amp;" "&amp;Milestones!$AB$181&amp;" "&amp;IF(AND(Milestones!$AB$181="FT",Milestones!$AA$181=FT_Y5,EDATE($D148,Milestones!$AA$181)&lt;PolicyEff),1,Milestones!$AC$181)&amp;";  ","")&amp;IF(AND(EDATE($D148,Milestones!$AA$182)&lt;=AsOfDate,EDATE($D148,Milestones!$AA$182)&gt;=SchemeStart,IF($X148=0,$AD148,IF(AND($Z148&lt;&gt;"",EDATE($D148,Milestones!$AA$182)&gt;=$Z148),$AC148,IF(AND($Y148&lt;&gt;"",EDATE($D148,Milestones!$AA$182)&gt;=$Y148),$AB148,$AA148)))=Milestones!$AB$182),UPPER(TEXT(EDATE($D148,Milestones!$AA$182),"dd mmm yy"))&amp;" "&amp;Milestones!$AB$182&amp;" "&amp;IF(AND(Milestones!$AB$182="FT",Milestones!$AA$182=FT_Y5,EDATE($D148,Milestones!$AA$182)&lt;PolicyEff),1,Milestones!$AC$182)&amp;";  ","")&amp;IF(AND(EDATE($D148,Milestones!$AA$183)&lt;=AsOfDate,EDATE($D148,Milestones!$AA$183)&gt;=SchemeStart,IF($X148=0,$AD148,IF(AND($Z148&lt;&gt;"",EDATE($D148,Milestones!$AA$183)&gt;=$Z148),$AC148,IF(AND($Y148&lt;&gt;"",EDATE($D148,Milestones!$AA$183)&gt;=$Y148),$AB148,$AA148)))=Milestones!$AB$183),UPPER(TEXT(EDATE($D148,Milestones!$AA$183),"dd mmm yy"))&amp;" "&amp;Milestones!$AB$183&amp;" "&amp;IF(AND(Milestones!$AB$183="FT",Milestones!$AA$183=FT_Y5,EDATE($D148,Milestones!$AA$183)&lt;PolicyEff),1,Milestones!$AC$183)&amp;";  ","")&amp;IF(AND(EDATE($D148,Milestones!$AA$184)&lt;=AsOfDate,EDATE($D148,Milestones!$AA$184)&gt;=SchemeStart,IF($X148=0,$AD148,IF(AND($Z148&lt;&gt;"",EDATE($D148,Milestones!$AA$184)&gt;=$Z148),$AC148,IF(AND($Y148&lt;&gt;"",EDATE($D148,Milestones!$AA$184)&gt;=$Y148),$AB148,$AA148)))=Milestones!$AB$184),UPPER(TEXT(EDATE($D148,Milestones!$AA$184),"dd mmm yy"))&amp;" "&amp;Milestones!$AB$184&amp;" "&amp;IF(AND(Milestones!$AB$184="FT",Milestones!$AA$184=FT_Y5,EDATE($D148,Milestones!$AA$184)&lt;PolicyEff),1,Milestones!$AC$184)&amp;";  ","")&amp;IF(AND(EDATE($D148,Milestones!$AA$185)&lt;=AsOfDate,EDATE($D148,Milestones!$AA$185)&gt;=SchemeStart,IF($X148=0,$AD148,IF(AND($Z148&lt;&gt;"",EDATE($D148,Milestones!$AA$185)&gt;=$Z148),$AC148,IF(AND($Y148&lt;&gt;"",EDATE($D148,Milestones!$AA$185)&gt;=$Y148),$AB148,$AA148)))=Milestones!$AB$185),UPPER(TEXT(EDATE($D148,Milestones!$AA$185),"dd mmm yy"))&amp;" "&amp;Milestones!$AB$185&amp;" "&amp;IF(AND(Milestones!$AB$185="FT",Milestones!$AA$185=FT_Y5,EDATE($D148,Milestones!$AA$185)&lt;PolicyEff),1,Milestones!$AC$185)&amp;";  ","")&amp;IF(AND(EDATE($D148,Milestones!$AA$186)&lt;=AsOfDate,EDATE($D148,Milestones!$AA$186)&gt;=SchemeStart,IF($X148=0,$AD148,IF(AND($Z148&lt;&gt;"",EDATE($D148,Milestones!$AA$186)&gt;=$Z148),$AC148,IF(AND($Y148&lt;&gt;"",EDATE($D148,Milestones!$AA$186)&gt;=$Y148),$AB148,$AA148)))=Milestones!$AB$186),UPPER(TEXT(EDATE($D148,Milestones!$AA$186),"dd mmm yy"))&amp;" "&amp;Milestones!$AB$186&amp;" "&amp;IF(AND(Milestones!$AB$186="FT",Milestones!$AA$186=FT_Y5,EDATE($D148,Milestones!$AA$186)&lt;PolicyEff),1,Milestones!$AC$186)&amp;";  ","")&amp;IF(AND(EDATE($D148,Milestones!$AA$187)&lt;=AsOfDate,EDATE($D148,Milestones!$AA$187)&gt;=SchemeStart,IF($X148=0,$AD148,IF(AND($Z148&lt;&gt;"",EDATE($D148,Milestones!$AA$187)&gt;=$Z148),$AC148,IF(AND($Y148&lt;&gt;"",EDATE($D148,Milestones!$AA$187)&gt;=$Y148),$AB148,$AA148)))=Milestones!$AB$187),UPPER(TEXT(EDATE($D148,Milestones!$AA$187),"dd mmm yy"))&amp;" "&amp;Milestones!$AB$187&amp;" "&amp;IF(AND(Milestones!$AB$187="FT",Milestones!$AA$187=FT_Y5,EDATE($D148,Milestones!$AA$187)&lt;PolicyEff),1,Milestones!$AC$187)&amp;";  ",""))</f>
        <v/>
      </c>
      <c r="W148" s="0" t="str">
        <f aca="false">IF(OR($A148="",$D148=""),"",IF(AND(EDATE($D148,Milestones!$AA$188)&lt;=AsOfDate,EDATE($D148,Milestones!$AA$188)&gt;=SchemeStart,IF($X148=0,$AD148,IF(AND($Z148&lt;&gt;"",EDATE($D148,Milestones!$AA$188)&gt;=$Z148),$AC148,IF(AND($Y148&lt;&gt;"",EDATE($D148,Milestones!$AA$188)&gt;=$Y148),$AB148,$AA148)))=Milestones!$AB$188),UPPER(TEXT(EDATE($D148,Milestones!$AA$188),"dd mmm yy"))&amp;" "&amp;Milestones!$AB$188&amp;" "&amp;IF(AND(Milestones!$AB$188="FT",Milestones!$AA$188=FT_Y5,EDATE($D148,Milestones!$AA$188)&lt;PolicyEff),1,Milestones!$AC$188)&amp;";  ","")&amp;IF(AND(EDATE($D148,Milestones!$AA$189)&lt;=AsOfDate,EDATE($D148,Milestones!$AA$189)&gt;=SchemeStart,IF($X148=0,$AD148,IF(AND($Z148&lt;&gt;"",EDATE($D148,Milestones!$AA$189)&gt;=$Z148),$AC148,IF(AND($Y148&lt;&gt;"",EDATE($D148,Milestones!$AA$189)&gt;=$Y148),$AB148,$AA148)))=Milestones!$AB$189),UPPER(TEXT(EDATE($D148,Milestones!$AA$189),"dd mmm yy"))&amp;" "&amp;Milestones!$AB$189&amp;" "&amp;IF(AND(Milestones!$AB$189="FT",Milestones!$AA$189=FT_Y5,EDATE($D148,Milestones!$AA$189)&lt;PolicyEff),1,Milestones!$AC$189)&amp;";  ","")&amp;IF(AND(EDATE($D148,Milestones!$AA$190)&lt;=AsOfDate,EDATE($D148,Milestones!$AA$190)&gt;=SchemeStart,IF($X148=0,$AD148,IF(AND($Z148&lt;&gt;"",EDATE($D148,Milestones!$AA$190)&gt;=$Z148),$AC148,IF(AND($Y148&lt;&gt;"",EDATE($D148,Milestones!$AA$190)&gt;=$Y148),$AB148,$AA148)))=Milestones!$AB$190),UPPER(TEXT(EDATE($D148,Milestones!$AA$190),"dd mmm yy"))&amp;" "&amp;Milestones!$AB$190&amp;" "&amp;IF(AND(Milestones!$AB$190="FT",Milestones!$AA$190=FT_Y5,EDATE($D148,Milestones!$AA$190)&lt;PolicyEff),1,Milestones!$AC$190)&amp;";  ","")&amp;IF(AND(EDATE($D148,Milestones!$AA$191)&lt;=AsOfDate,EDATE($D148,Milestones!$AA$191)&gt;=SchemeStart,IF($X148=0,$AD148,IF(AND($Z148&lt;&gt;"",EDATE($D148,Milestones!$AA$191)&gt;=$Z148),$AC148,IF(AND($Y148&lt;&gt;"",EDATE($D148,Milestones!$AA$191)&gt;=$Y148),$AB148,$AA148)))=Milestones!$AB$191),UPPER(TEXT(EDATE($D148,Milestones!$AA$191),"dd mmm yy"))&amp;" "&amp;Milestones!$AB$191&amp;" "&amp;IF(AND(Milestones!$AB$191="FT",Milestones!$AA$191=FT_Y5,EDATE($D148,Milestones!$AA$191)&lt;PolicyEff),1,Milestones!$AC$191)&amp;";  ","")&amp;IF(AND(EDATE($D148,Milestones!$AA$192)&lt;=AsOfDate,EDATE($D148,Milestones!$AA$192)&gt;=SchemeStart,IF($X148=0,$AD148,IF(AND($Z148&lt;&gt;"",EDATE($D148,Milestones!$AA$192)&gt;=$Z148),$AC148,IF(AND($Y148&lt;&gt;"",EDATE($D148,Milestones!$AA$192)&gt;=$Y148),$AB148,$AA148)))=Milestones!$AB$192),UPPER(TEXT(EDATE($D148,Milestones!$AA$192),"dd mmm yy"))&amp;" "&amp;Milestones!$AB$192&amp;" "&amp;IF(AND(Milestones!$AB$192="FT",Milestones!$AA$192=FT_Y5,EDATE($D148,Milestones!$AA$192)&lt;PolicyEff),1,Milestones!$AC$192)&amp;";  ","")&amp;IF(AND(EDATE($D148,Milestones!$AA$193)&lt;=AsOfDate,EDATE($D148,Milestones!$AA$193)&gt;=SchemeStart,IF($X148=0,$AD148,IF(AND($Z148&lt;&gt;"",EDATE($D148,Milestones!$AA$193)&gt;=$Z148),$AC148,IF(AND($Y148&lt;&gt;"",EDATE($D148,Milestones!$AA$193)&gt;=$Y148),$AB148,$AA148)))=Milestones!$AB$193),UPPER(TEXT(EDATE($D148,Milestones!$AA$193),"dd mmm yy"))&amp;" "&amp;Milestones!$AB$193&amp;" "&amp;IF(AND(Milestones!$AB$193="FT",Milestones!$AA$193=FT_Y5,EDATE($D148,Milestones!$AA$193)&lt;PolicyEff),1,Milestones!$AC$193)&amp;";  ","")&amp;IF(AND(EDATE($D148,Milestones!$AA$194)&lt;=AsOfDate,EDATE($D148,Milestones!$AA$194)&gt;=SchemeStart,IF($X148=0,$AD148,IF(AND($Z148&lt;&gt;"",EDATE($D148,Milestones!$AA$194)&gt;=$Z148),$AC148,IF(AND($Y148&lt;&gt;"",EDATE($D148,Milestones!$AA$194)&gt;=$Y148),$AB148,$AA148)))=Milestones!$AB$194),UPPER(TEXT(EDATE($D148,Milestones!$AA$194),"dd mmm yy"))&amp;" "&amp;Milestones!$AB$194&amp;" "&amp;IF(AND(Milestones!$AB$194="FT",Milestones!$AA$194=FT_Y5,EDATE($D148,Milestones!$AA$194)&lt;PolicyEff),1,Milestones!$AC$194)&amp;";  ","")&amp;IF(AND(EDATE($D148,Milestones!$AA$195)&lt;=AsOfDate,EDATE($D148,Milestones!$AA$195)&gt;=SchemeStart,IF($X148=0,$AD148,IF(AND($Z148&lt;&gt;"",EDATE($D148,Milestones!$AA$195)&gt;=$Z148),$AC148,IF(AND($Y148&lt;&gt;"",EDATE($D148,Milestones!$AA$195)&gt;=$Y148),$AB148,$AA148)))=Milestones!$AB$195),UPPER(TEXT(EDATE($D148,Milestones!$AA$195),"dd mmm yy"))&amp;" "&amp;Milestones!$AB$195&amp;" "&amp;IF(AND(Milestones!$AB$195="FT",Milestones!$AA$195=FT_Y5,EDATE($D148,Milestones!$AA$195)&lt;PolicyEff),1,Milestones!$AC$195)&amp;";  ","")&amp;IF(AND(EDATE($D148,Milestones!$AA$196)&lt;=AsOfDate,EDATE($D148,Milestones!$AA$196)&gt;=SchemeStart,IF($X148=0,$AD148,IF(AND($Z148&lt;&gt;"",EDATE($D148,Milestones!$AA$196)&gt;=$Z148),$AC148,IF(AND($Y148&lt;&gt;"",EDATE($D148,Milestones!$AA$196)&gt;=$Y148),$AB148,$AA148)))=Milestones!$AB$196),UPPER(TEXT(EDATE($D148,Milestones!$AA$196),"dd mmm yy"))&amp;" "&amp;Milestones!$AB$196&amp;" "&amp;IF(AND(Milestones!$AB$196="FT",Milestones!$AA$196=FT_Y5,EDATE($D148,Milestones!$AA$196)&lt;PolicyEff),1,Milestones!$AC$196)&amp;";  ","")&amp;IF(AND(EDATE($D148,Milestones!$AA$197)&lt;=AsOfDate,EDATE($D148,Milestones!$AA$197)&gt;=SchemeStart,IF($X148=0,$AD148,IF(AND($Z148&lt;&gt;"",EDATE($D148,Milestones!$AA$197)&gt;=$Z148),$AC148,IF(AND($Y148&lt;&gt;"",EDATE($D148,Milestones!$AA$197)&gt;=$Y148),$AB148,$AA148)))=Milestones!$AB$197),UPPER(TEXT(EDATE($D148,Milestones!$AA$197),"dd mmm yy"))&amp;" "&amp;Milestones!$AB$197&amp;" "&amp;IF(AND(Milestones!$AB$197="FT",Milestones!$AA$197=FT_Y5,EDATE($D148,Milestones!$AA$197)&lt;PolicyEff),1,Milestones!$AC$197)&amp;";  ","")&amp;IF(AND(EDATE($D148,Milestones!$AA$198)&lt;=AsOfDate,EDATE($D148,Milestones!$AA$198)&gt;=SchemeStart,IF($X148=0,$AD148,IF(AND($Z148&lt;&gt;"",EDATE($D148,Milestones!$AA$198)&gt;=$Z148),$AC148,IF(AND($Y148&lt;&gt;"",EDATE($D148,Milestones!$AA$198)&gt;=$Y148),$AB148,$AA148)))=Milestones!$AB$198),UPPER(TEXT(EDATE($D148,Milestones!$AA$198),"dd mmm yy"))&amp;" "&amp;Milestones!$AB$198&amp;" "&amp;IF(AND(Milestones!$AB$198="FT",Milestones!$AA$198=FT_Y5,EDATE($D148,Milestones!$AA$198)&lt;PolicyEff),1,Milestones!$AC$198)&amp;";  ","")&amp;IF(AND(EDATE($D148,Milestones!$AA$199)&lt;=AsOfDate,EDATE($D148,Milestones!$AA$199)&gt;=SchemeStart,IF($X148=0,$AD148,IF(AND($Z148&lt;&gt;"",EDATE($D148,Milestones!$AA$199)&gt;=$Z148),$AC148,IF(AND($Y148&lt;&gt;"",EDATE($D148,Milestones!$AA$199)&gt;=$Y148),$AB148,$AA148)))=Milestones!$AB$199),UPPER(TEXT(EDATE($D148,Milestones!$AA$199),"dd mmm yy"))&amp;" "&amp;Milestones!$AB$199&amp;" "&amp;IF(AND(Milestones!$AB$199="FT",Milestones!$AA$199=FT_Y5,EDATE($D148,Milestones!$AA$199)&lt;PolicyEff),1,Milestones!$AC$199)&amp;";  ",""))</f>
        <v/>
      </c>
      <c r="X148" s="0" t="str">
        <f aca="false">IF(Staff!$A148="","",Staff!$AM148)</f>
        <v/>
      </c>
      <c r="Y148" s="0" t="str">
        <f aca="false">IF(Staff!$A148="","",Staff!$AO148)</f>
        <v/>
      </c>
      <c r="Z148" s="0" t="str">
        <f aca="false">IF(Staff!$A148="","",Staff!$AP148)</f>
        <v/>
      </c>
      <c r="AA148" s="0" t="str">
        <f aca="false">IF(Staff!$A148="","",Staff!$AT148)</f>
        <v/>
      </c>
      <c r="AB148" s="0" t="str">
        <f aca="false">IF(Staff!$A148="","",Staff!$AU148)</f>
        <v/>
      </c>
      <c r="AC148" s="0" t="str">
        <f aca="false">IF(Staff!$A148="","",Staff!$AV148)</f>
        <v/>
      </c>
      <c r="AD148" s="0" t="str">
        <f aca="false">IF(Staff!$A148="","",Staff!$AW148)</f>
        <v/>
      </c>
    </row>
    <row r="149" customFormat="false" ht="15" hidden="false" customHeight="false" outlineLevel="0" collapsed="false">
      <c r="A149" s="16" t="str">
        <f aca="false">IF(Staff!$A149="","",Staff!$A149)</f>
        <v/>
      </c>
      <c r="B149" s="16" t="str">
        <f aca="false">IF(Staff!$A149="","",Staff!$B149)</f>
        <v/>
      </c>
      <c r="C149" s="16" t="str">
        <f aca="false">IF(Staff!$A149="","",Staff!$C149)</f>
        <v/>
      </c>
      <c r="D149" s="14" t="str">
        <f aca="false">IF(Staff!$A149="","",Staff!$AL149)</f>
        <v/>
      </c>
      <c r="E149" s="16" t="str">
        <f aca="false">IF(Staff!$A149="","",Staff!$O149)</f>
        <v/>
      </c>
      <c r="F149" s="16" t="str">
        <f aca="false">IF(E149="","",E149*HoursPerDay)</f>
        <v/>
      </c>
      <c r="G149" s="16" t="str">
        <f aca="false">IF(Staff!$A149="","",Staff!$AE149)</f>
        <v/>
      </c>
      <c r="H149" s="28" t="str">
        <f aca="false">IF($A149="","",I149&amp;J149&amp;K149&amp;L149&amp;M149&amp;N149&amp;O149&amp;P149&amp;Q149&amp;R149&amp;S149&amp;T149&amp;U149&amp;V149&amp;W149)</f>
        <v/>
      </c>
      <c r="I149" s="0" t="str">
        <f aca="false">IF(OR($A149="",$D149=""),"",IF(AND(EDATE($D149,Milestones!$AA$20)&lt;=AsOfDate,EDATE($D149,Milestones!$AA$20)&gt;=SchemeStart,IF($X149=0,$AD149,IF(AND($Z149&lt;&gt;"",EDATE($D149,Milestones!$AA$20)&gt;=$Z149),$AC149,IF(AND($Y149&lt;&gt;"",EDATE($D149,Milestones!$AA$20)&gt;=$Y149),$AB149,$AA149)))=Milestones!$AB$20),UPPER(TEXT(EDATE($D149,Milestones!$AA$20),"dd mmm yy"))&amp;" "&amp;Milestones!$AB$20&amp;" "&amp;IF(AND(Milestones!$AB$20="FT",Milestones!$AA$20=FT_Y5,EDATE($D149,Milestones!$AA$20)&lt;PolicyEff),1,Milestones!$AC$20)&amp;";  ","")&amp;IF(AND(EDATE($D149,Milestones!$AA$21)&lt;=AsOfDate,EDATE($D149,Milestones!$AA$21)&gt;=SchemeStart,IF($X149=0,$AD149,IF(AND($Z149&lt;&gt;"",EDATE($D149,Milestones!$AA$21)&gt;=$Z149),$AC149,IF(AND($Y149&lt;&gt;"",EDATE($D149,Milestones!$AA$21)&gt;=$Y149),$AB149,$AA149)))=Milestones!$AB$21),UPPER(TEXT(EDATE($D149,Milestones!$AA$21),"dd mmm yy"))&amp;" "&amp;Milestones!$AB$21&amp;" "&amp;IF(AND(Milestones!$AB$21="FT",Milestones!$AA$21=FT_Y5,EDATE($D149,Milestones!$AA$21)&lt;PolicyEff),1,Milestones!$AC$21)&amp;";  ","")&amp;IF(AND(EDATE($D149,Milestones!$AA$22)&lt;=AsOfDate,EDATE($D149,Milestones!$AA$22)&gt;=SchemeStart,IF($X149=0,$AD149,IF(AND($Z149&lt;&gt;"",EDATE($D149,Milestones!$AA$22)&gt;=$Z149),$AC149,IF(AND($Y149&lt;&gt;"",EDATE($D149,Milestones!$AA$22)&gt;=$Y149),$AB149,$AA149)))=Milestones!$AB$22),UPPER(TEXT(EDATE($D149,Milestones!$AA$22),"dd mmm yy"))&amp;" "&amp;Milestones!$AB$22&amp;" "&amp;IF(AND(Milestones!$AB$22="FT",Milestones!$AA$22=FT_Y5,EDATE($D149,Milestones!$AA$22)&lt;PolicyEff),1,Milestones!$AC$22)&amp;";  ","")&amp;IF(AND(EDATE($D149,Milestones!$AA$23)&lt;=AsOfDate,EDATE($D149,Milestones!$AA$23)&gt;=SchemeStart,IF($X149=0,$AD149,IF(AND($Z149&lt;&gt;"",EDATE($D149,Milestones!$AA$23)&gt;=$Z149),$AC149,IF(AND($Y149&lt;&gt;"",EDATE($D149,Milestones!$AA$23)&gt;=$Y149),$AB149,$AA149)))=Milestones!$AB$23),UPPER(TEXT(EDATE($D149,Milestones!$AA$23),"dd mmm yy"))&amp;" "&amp;Milestones!$AB$23&amp;" "&amp;IF(AND(Milestones!$AB$23="FT",Milestones!$AA$23=FT_Y5,EDATE($D149,Milestones!$AA$23)&lt;PolicyEff),1,Milestones!$AC$23)&amp;";  ","")&amp;IF(AND(EDATE($D149,Milestones!$AA$24)&lt;=AsOfDate,EDATE($D149,Milestones!$AA$24)&gt;=SchemeStart,IF($X149=0,$AD149,IF(AND($Z149&lt;&gt;"",EDATE($D149,Milestones!$AA$24)&gt;=$Z149),$AC149,IF(AND($Y149&lt;&gt;"",EDATE($D149,Milestones!$AA$24)&gt;=$Y149),$AB149,$AA149)))=Milestones!$AB$24),UPPER(TEXT(EDATE($D149,Milestones!$AA$24),"dd mmm yy"))&amp;" "&amp;Milestones!$AB$24&amp;" "&amp;IF(AND(Milestones!$AB$24="FT",Milestones!$AA$24=FT_Y5,EDATE($D149,Milestones!$AA$24)&lt;PolicyEff),1,Milestones!$AC$24)&amp;";  ","")&amp;IF(AND(EDATE($D149,Milestones!$AA$25)&lt;=AsOfDate,EDATE($D149,Milestones!$AA$25)&gt;=SchemeStart,IF($X149=0,$AD149,IF(AND($Z149&lt;&gt;"",EDATE($D149,Milestones!$AA$25)&gt;=$Z149),$AC149,IF(AND($Y149&lt;&gt;"",EDATE($D149,Milestones!$AA$25)&gt;=$Y149),$AB149,$AA149)))=Milestones!$AB$25),UPPER(TEXT(EDATE($D149,Milestones!$AA$25),"dd mmm yy"))&amp;" "&amp;Milestones!$AB$25&amp;" "&amp;IF(AND(Milestones!$AB$25="FT",Milestones!$AA$25=FT_Y5,EDATE($D149,Milestones!$AA$25)&lt;PolicyEff),1,Milestones!$AC$25)&amp;";  ","")&amp;IF(AND(EDATE($D149,Milestones!$AA$26)&lt;=AsOfDate,EDATE($D149,Milestones!$AA$26)&gt;=SchemeStart,IF($X149=0,$AD149,IF(AND($Z149&lt;&gt;"",EDATE($D149,Milestones!$AA$26)&gt;=$Z149),$AC149,IF(AND($Y149&lt;&gt;"",EDATE($D149,Milestones!$AA$26)&gt;=$Y149),$AB149,$AA149)))=Milestones!$AB$26),UPPER(TEXT(EDATE($D149,Milestones!$AA$26),"dd mmm yy"))&amp;" "&amp;Milestones!$AB$26&amp;" "&amp;IF(AND(Milestones!$AB$26="FT",Milestones!$AA$26=FT_Y5,EDATE($D149,Milestones!$AA$26)&lt;PolicyEff),1,Milestones!$AC$26)&amp;";  ","")&amp;IF(AND(EDATE($D149,Milestones!$AA$27)&lt;=AsOfDate,EDATE($D149,Milestones!$AA$27)&gt;=SchemeStart,IF($X149=0,$AD149,IF(AND($Z149&lt;&gt;"",EDATE($D149,Milestones!$AA$27)&gt;=$Z149),$AC149,IF(AND($Y149&lt;&gt;"",EDATE($D149,Milestones!$AA$27)&gt;=$Y149),$AB149,$AA149)))=Milestones!$AB$27),UPPER(TEXT(EDATE($D149,Milestones!$AA$27),"dd mmm yy"))&amp;" "&amp;Milestones!$AB$27&amp;" "&amp;IF(AND(Milestones!$AB$27="FT",Milestones!$AA$27=FT_Y5,EDATE($D149,Milestones!$AA$27)&lt;PolicyEff),1,Milestones!$AC$27)&amp;";  ","")&amp;IF(AND(EDATE($D149,Milestones!$AA$28)&lt;=AsOfDate,EDATE($D149,Milestones!$AA$28)&gt;=SchemeStart,IF($X149=0,$AD149,IF(AND($Z149&lt;&gt;"",EDATE($D149,Milestones!$AA$28)&gt;=$Z149),$AC149,IF(AND($Y149&lt;&gt;"",EDATE($D149,Milestones!$AA$28)&gt;=$Y149),$AB149,$AA149)))=Milestones!$AB$28),UPPER(TEXT(EDATE($D149,Milestones!$AA$28),"dd mmm yy"))&amp;" "&amp;Milestones!$AB$28&amp;" "&amp;IF(AND(Milestones!$AB$28="FT",Milestones!$AA$28=FT_Y5,EDATE($D149,Milestones!$AA$28)&lt;PolicyEff),1,Milestones!$AC$28)&amp;";  ","")&amp;IF(AND(EDATE($D149,Milestones!$AA$29)&lt;=AsOfDate,EDATE($D149,Milestones!$AA$29)&gt;=SchemeStart,IF($X149=0,$AD149,IF(AND($Z149&lt;&gt;"",EDATE($D149,Milestones!$AA$29)&gt;=$Z149),$AC149,IF(AND($Y149&lt;&gt;"",EDATE($D149,Milestones!$AA$29)&gt;=$Y149),$AB149,$AA149)))=Milestones!$AB$29),UPPER(TEXT(EDATE($D149,Milestones!$AA$29),"dd mmm yy"))&amp;" "&amp;Milestones!$AB$29&amp;" "&amp;IF(AND(Milestones!$AB$29="FT",Milestones!$AA$29=FT_Y5,EDATE($D149,Milestones!$AA$29)&lt;PolicyEff),1,Milestones!$AC$29)&amp;";  ","")&amp;IF(AND(EDATE($D149,Milestones!$AA$30)&lt;=AsOfDate,EDATE($D149,Milestones!$AA$30)&gt;=SchemeStart,IF($X149=0,$AD149,IF(AND($Z149&lt;&gt;"",EDATE($D149,Milestones!$AA$30)&gt;=$Z149),$AC149,IF(AND($Y149&lt;&gt;"",EDATE($D149,Milestones!$AA$30)&gt;=$Y149),$AB149,$AA149)))=Milestones!$AB$30),UPPER(TEXT(EDATE($D149,Milestones!$AA$30),"dd mmm yy"))&amp;" "&amp;Milestones!$AB$30&amp;" "&amp;IF(AND(Milestones!$AB$30="FT",Milestones!$AA$30=FT_Y5,EDATE($D149,Milestones!$AA$30)&lt;PolicyEff),1,Milestones!$AC$30)&amp;";  ","")&amp;IF(AND(EDATE($D149,Milestones!$AA$31)&lt;=AsOfDate,EDATE($D149,Milestones!$AA$31)&gt;=SchemeStart,IF($X149=0,$AD149,IF(AND($Z149&lt;&gt;"",EDATE($D149,Milestones!$AA$31)&gt;=$Z149),$AC149,IF(AND($Y149&lt;&gt;"",EDATE($D149,Milestones!$AA$31)&gt;=$Y149),$AB149,$AA149)))=Milestones!$AB$31),UPPER(TEXT(EDATE($D149,Milestones!$AA$31),"dd mmm yy"))&amp;" "&amp;Milestones!$AB$31&amp;" "&amp;IF(AND(Milestones!$AB$31="FT",Milestones!$AA$31=FT_Y5,EDATE($D149,Milestones!$AA$31)&lt;PolicyEff),1,Milestones!$AC$31)&amp;";  ",""))</f>
        <v/>
      </c>
      <c r="J149" s="0" t="str">
        <f aca="false">IF(OR($A149="",$D149=""),"",IF(AND(EDATE($D149,Milestones!$AA$32)&lt;=AsOfDate,EDATE($D149,Milestones!$AA$32)&gt;=SchemeStart,IF($X149=0,$AD149,IF(AND($Z149&lt;&gt;"",EDATE($D149,Milestones!$AA$32)&gt;=$Z149),$AC149,IF(AND($Y149&lt;&gt;"",EDATE($D149,Milestones!$AA$32)&gt;=$Y149),$AB149,$AA149)))=Milestones!$AB$32),UPPER(TEXT(EDATE($D149,Milestones!$AA$32),"dd mmm yy"))&amp;" "&amp;Milestones!$AB$32&amp;" "&amp;IF(AND(Milestones!$AB$32="FT",Milestones!$AA$32=FT_Y5,EDATE($D149,Milestones!$AA$32)&lt;PolicyEff),1,Milestones!$AC$32)&amp;";  ","")&amp;IF(AND(EDATE($D149,Milestones!$AA$33)&lt;=AsOfDate,EDATE($D149,Milestones!$AA$33)&gt;=SchemeStart,IF($X149=0,$AD149,IF(AND($Z149&lt;&gt;"",EDATE($D149,Milestones!$AA$33)&gt;=$Z149),$AC149,IF(AND($Y149&lt;&gt;"",EDATE($D149,Milestones!$AA$33)&gt;=$Y149),$AB149,$AA149)))=Milestones!$AB$33),UPPER(TEXT(EDATE($D149,Milestones!$AA$33),"dd mmm yy"))&amp;" "&amp;Milestones!$AB$33&amp;" "&amp;IF(AND(Milestones!$AB$33="FT",Milestones!$AA$33=FT_Y5,EDATE($D149,Milestones!$AA$33)&lt;PolicyEff),1,Milestones!$AC$33)&amp;";  ","")&amp;IF(AND(EDATE($D149,Milestones!$AA$34)&lt;=AsOfDate,EDATE($D149,Milestones!$AA$34)&gt;=SchemeStart,IF($X149=0,$AD149,IF(AND($Z149&lt;&gt;"",EDATE($D149,Milestones!$AA$34)&gt;=$Z149),$AC149,IF(AND($Y149&lt;&gt;"",EDATE($D149,Milestones!$AA$34)&gt;=$Y149),$AB149,$AA149)))=Milestones!$AB$34),UPPER(TEXT(EDATE($D149,Milestones!$AA$34),"dd mmm yy"))&amp;" "&amp;Milestones!$AB$34&amp;" "&amp;IF(AND(Milestones!$AB$34="FT",Milestones!$AA$34=FT_Y5,EDATE($D149,Milestones!$AA$34)&lt;PolicyEff),1,Milestones!$AC$34)&amp;";  ","")&amp;IF(AND(EDATE($D149,Milestones!$AA$35)&lt;=AsOfDate,EDATE($D149,Milestones!$AA$35)&gt;=SchemeStart,IF($X149=0,$AD149,IF(AND($Z149&lt;&gt;"",EDATE($D149,Milestones!$AA$35)&gt;=$Z149),$AC149,IF(AND($Y149&lt;&gt;"",EDATE($D149,Milestones!$AA$35)&gt;=$Y149),$AB149,$AA149)))=Milestones!$AB$35),UPPER(TEXT(EDATE($D149,Milestones!$AA$35),"dd mmm yy"))&amp;" "&amp;Milestones!$AB$35&amp;" "&amp;IF(AND(Milestones!$AB$35="FT",Milestones!$AA$35=FT_Y5,EDATE($D149,Milestones!$AA$35)&lt;PolicyEff),1,Milestones!$AC$35)&amp;";  ","")&amp;IF(AND(EDATE($D149,Milestones!$AA$36)&lt;=AsOfDate,EDATE($D149,Milestones!$AA$36)&gt;=SchemeStart,IF($X149=0,$AD149,IF(AND($Z149&lt;&gt;"",EDATE($D149,Milestones!$AA$36)&gt;=$Z149),$AC149,IF(AND($Y149&lt;&gt;"",EDATE($D149,Milestones!$AA$36)&gt;=$Y149),$AB149,$AA149)))=Milestones!$AB$36),UPPER(TEXT(EDATE($D149,Milestones!$AA$36),"dd mmm yy"))&amp;" "&amp;Milestones!$AB$36&amp;" "&amp;IF(AND(Milestones!$AB$36="FT",Milestones!$AA$36=FT_Y5,EDATE($D149,Milestones!$AA$36)&lt;PolicyEff),1,Milestones!$AC$36)&amp;";  ","")&amp;IF(AND(EDATE($D149,Milestones!$AA$37)&lt;=AsOfDate,EDATE($D149,Milestones!$AA$37)&gt;=SchemeStart,IF($X149=0,$AD149,IF(AND($Z149&lt;&gt;"",EDATE($D149,Milestones!$AA$37)&gt;=$Z149),$AC149,IF(AND($Y149&lt;&gt;"",EDATE($D149,Milestones!$AA$37)&gt;=$Y149),$AB149,$AA149)))=Milestones!$AB$37),UPPER(TEXT(EDATE($D149,Milestones!$AA$37),"dd mmm yy"))&amp;" "&amp;Milestones!$AB$37&amp;" "&amp;IF(AND(Milestones!$AB$37="FT",Milestones!$AA$37=FT_Y5,EDATE($D149,Milestones!$AA$37)&lt;PolicyEff),1,Milestones!$AC$37)&amp;";  ","")&amp;IF(AND(EDATE($D149,Milestones!$AA$38)&lt;=AsOfDate,EDATE($D149,Milestones!$AA$38)&gt;=SchemeStart,IF($X149=0,$AD149,IF(AND($Z149&lt;&gt;"",EDATE($D149,Milestones!$AA$38)&gt;=$Z149),$AC149,IF(AND($Y149&lt;&gt;"",EDATE($D149,Milestones!$AA$38)&gt;=$Y149),$AB149,$AA149)))=Milestones!$AB$38),UPPER(TEXT(EDATE($D149,Milestones!$AA$38),"dd mmm yy"))&amp;" "&amp;Milestones!$AB$38&amp;" "&amp;IF(AND(Milestones!$AB$38="FT",Milestones!$AA$38=FT_Y5,EDATE($D149,Milestones!$AA$38)&lt;PolicyEff),1,Milestones!$AC$38)&amp;";  ","")&amp;IF(AND(EDATE($D149,Milestones!$AA$39)&lt;=AsOfDate,EDATE($D149,Milestones!$AA$39)&gt;=SchemeStart,IF($X149=0,$AD149,IF(AND($Z149&lt;&gt;"",EDATE($D149,Milestones!$AA$39)&gt;=$Z149),$AC149,IF(AND($Y149&lt;&gt;"",EDATE($D149,Milestones!$AA$39)&gt;=$Y149),$AB149,$AA149)))=Milestones!$AB$39),UPPER(TEXT(EDATE($D149,Milestones!$AA$39),"dd mmm yy"))&amp;" "&amp;Milestones!$AB$39&amp;" "&amp;IF(AND(Milestones!$AB$39="FT",Milestones!$AA$39=FT_Y5,EDATE($D149,Milestones!$AA$39)&lt;PolicyEff),1,Milestones!$AC$39)&amp;";  ","")&amp;IF(AND(EDATE($D149,Milestones!$AA$40)&lt;=AsOfDate,EDATE($D149,Milestones!$AA$40)&gt;=SchemeStart,IF($X149=0,$AD149,IF(AND($Z149&lt;&gt;"",EDATE($D149,Milestones!$AA$40)&gt;=$Z149),$AC149,IF(AND($Y149&lt;&gt;"",EDATE($D149,Milestones!$AA$40)&gt;=$Y149),$AB149,$AA149)))=Milestones!$AB$40),UPPER(TEXT(EDATE($D149,Milestones!$AA$40),"dd mmm yy"))&amp;" "&amp;Milestones!$AB$40&amp;" "&amp;IF(AND(Milestones!$AB$40="FT",Milestones!$AA$40=FT_Y5,EDATE($D149,Milestones!$AA$40)&lt;PolicyEff),1,Milestones!$AC$40)&amp;";  ","")&amp;IF(AND(EDATE($D149,Milestones!$AA$41)&lt;=AsOfDate,EDATE($D149,Milestones!$AA$41)&gt;=SchemeStart,IF($X149=0,$AD149,IF(AND($Z149&lt;&gt;"",EDATE($D149,Milestones!$AA$41)&gt;=$Z149),$AC149,IF(AND($Y149&lt;&gt;"",EDATE($D149,Milestones!$AA$41)&gt;=$Y149),$AB149,$AA149)))=Milestones!$AB$41),UPPER(TEXT(EDATE($D149,Milestones!$AA$41),"dd mmm yy"))&amp;" "&amp;Milestones!$AB$41&amp;" "&amp;IF(AND(Milestones!$AB$41="FT",Milestones!$AA$41=FT_Y5,EDATE($D149,Milestones!$AA$41)&lt;PolicyEff),1,Milestones!$AC$41)&amp;";  ","")&amp;IF(AND(EDATE($D149,Milestones!$AA$42)&lt;=AsOfDate,EDATE($D149,Milestones!$AA$42)&gt;=SchemeStart,IF($X149=0,$AD149,IF(AND($Z149&lt;&gt;"",EDATE($D149,Milestones!$AA$42)&gt;=$Z149),$AC149,IF(AND($Y149&lt;&gt;"",EDATE($D149,Milestones!$AA$42)&gt;=$Y149),$AB149,$AA149)))=Milestones!$AB$42),UPPER(TEXT(EDATE($D149,Milestones!$AA$42),"dd mmm yy"))&amp;" "&amp;Milestones!$AB$42&amp;" "&amp;IF(AND(Milestones!$AB$42="FT",Milestones!$AA$42=FT_Y5,EDATE($D149,Milestones!$AA$42)&lt;PolicyEff),1,Milestones!$AC$42)&amp;";  ","")&amp;IF(AND(EDATE($D149,Milestones!$AA$43)&lt;=AsOfDate,EDATE($D149,Milestones!$AA$43)&gt;=SchemeStart,IF($X149=0,$AD149,IF(AND($Z149&lt;&gt;"",EDATE($D149,Milestones!$AA$43)&gt;=$Z149),$AC149,IF(AND($Y149&lt;&gt;"",EDATE($D149,Milestones!$AA$43)&gt;=$Y149),$AB149,$AA149)))=Milestones!$AB$43),UPPER(TEXT(EDATE($D149,Milestones!$AA$43),"dd mmm yy"))&amp;" "&amp;Milestones!$AB$43&amp;" "&amp;IF(AND(Milestones!$AB$43="FT",Milestones!$AA$43=FT_Y5,EDATE($D149,Milestones!$AA$43)&lt;PolicyEff),1,Milestones!$AC$43)&amp;";  ",""))</f>
        <v/>
      </c>
      <c r="K149" s="0" t="str">
        <f aca="false">IF(OR($A149="",$D149=""),"",IF(AND(EDATE($D149,Milestones!$AA$44)&lt;=AsOfDate,EDATE($D149,Milestones!$AA$44)&gt;=SchemeStart,IF($X149=0,$AD149,IF(AND($Z149&lt;&gt;"",EDATE($D149,Milestones!$AA$44)&gt;=$Z149),$AC149,IF(AND($Y149&lt;&gt;"",EDATE($D149,Milestones!$AA$44)&gt;=$Y149),$AB149,$AA149)))=Milestones!$AB$44),UPPER(TEXT(EDATE($D149,Milestones!$AA$44),"dd mmm yy"))&amp;" "&amp;Milestones!$AB$44&amp;" "&amp;IF(AND(Milestones!$AB$44="FT",Milestones!$AA$44=FT_Y5,EDATE($D149,Milestones!$AA$44)&lt;PolicyEff),1,Milestones!$AC$44)&amp;";  ","")&amp;IF(AND(EDATE($D149,Milestones!$AA$45)&lt;=AsOfDate,EDATE($D149,Milestones!$AA$45)&gt;=SchemeStart,IF($X149=0,$AD149,IF(AND($Z149&lt;&gt;"",EDATE($D149,Milestones!$AA$45)&gt;=$Z149),$AC149,IF(AND($Y149&lt;&gt;"",EDATE($D149,Milestones!$AA$45)&gt;=$Y149),$AB149,$AA149)))=Milestones!$AB$45),UPPER(TEXT(EDATE($D149,Milestones!$AA$45),"dd mmm yy"))&amp;" "&amp;Milestones!$AB$45&amp;" "&amp;IF(AND(Milestones!$AB$45="FT",Milestones!$AA$45=FT_Y5,EDATE($D149,Milestones!$AA$45)&lt;PolicyEff),1,Milestones!$AC$45)&amp;";  ","")&amp;IF(AND(EDATE($D149,Milestones!$AA$46)&lt;=AsOfDate,EDATE($D149,Milestones!$AA$46)&gt;=SchemeStart,IF($X149=0,$AD149,IF(AND($Z149&lt;&gt;"",EDATE($D149,Milestones!$AA$46)&gt;=$Z149),$AC149,IF(AND($Y149&lt;&gt;"",EDATE($D149,Milestones!$AA$46)&gt;=$Y149),$AB149,$AA149)))=Milestones!$AB$46),UPPER(TEXT(EDATE($D149,Milestones!$AA$46),"dd mmm yy"))&amp;" "&amp;Milestones!$AB$46&amp;" "&amp;IF(AND(Milestones!$AB$46="FT",Milestones!$AA$46=FT_Y5,EDATE($D149,Milestones!$AA$46)&lt;PolicyEff),1,Milestones!$AC$46)&amp;";  ","")&amp;IF(AND(EDATE($D149,Milestones!$AA$47)&lt;=AsOfDate,EDATE($D149,Milestones!$AA$47)&gt;=SchemeStart,IF($X149=0,$AD149,IF(AND($Z149&lt;&gt;"",EDATE($D149,Milestones!$AA$47)&gt;=$Z149),$AC149,IF(AND($Y149&lt;&gt;"",EDATE($D149,Milestones!$AA$47)&gt;=$Y149),$AB149,$AA149)))=Milestones!$AB$47),UPPER(TEXT(EDATE($D149,Milestones!$AA$47),"dd mmm yy"))&amp;" "&amp;Milestones!$AB$47&amp;" "&amp;IF(AND(Milestones!$AB$47="FT",Milestones!$AA$47=FT_Y5,EDATE($D149,Milestones!$AA$47)&lt;PolicyEff),1,Milestones!$AC$47)&amp;";  ","")&amp;IF(AND(EDATE($D149,Milestones!$AA$48)&lt;=AsOfDate,EDATE($D149,Milestones!$AA$48)&gt;=SchemeStart,IF($X149=0,$AD149,IF(AND($Z149&lt;&gt;"",EDATE($D149,Milestones!$AA$48)&gt;=$Z149),$AC149,IF(AND($Y149&lt;&gt;"",EDATE($D149,Milestones!$AA$48)&gt;=$Y149),$AB149,$AA149)))=Milestones!$AB$48),UPPER(TEXT(EDATE($D149,Milestones!$AA$48),"dd mmm yy"))&amp;" "&amp;Milestones!$AB$48&amp;" "&amp;IF(AND(Milestones!$AB$48="FT",Milestones!$AA$48=FT_Y5,EDATE($D149,Milestones!$AA$48)&lt;PolicyEff),1,Milestones!$AC$48)&amp;";  ","")&amp;IF(AND(EDATE($D149,Milestones!$AA$49)&lt;=AsOfDate,EDATE($D149,Milestones!$AA$49)&gt;=SchemeStart,IF($X149=0,$AD149,IF(AND($Z149&lt;&gt;"",EDATE($D149,Milestones!$AA$49)&gt;=$Z149),$AC149,IF(AND($Y149&lt;&gt;"",EDATE($D149,Milestones!$AA$49)&gt;=$Y149),$AB149,$AA149)))=Milestones!$AB$49),UPPER(TEXT(EDATE($D149,Milestones!$AA$49),"dd mmm yy"))&amp;" "&amp;Milestones!$AB$49&amp;" "&amp;IF(AND(Milestones!$AB$49="FT",Milestones!$AA$49=FT_Y5,EDATE($D149,Milestones!$AA$49)&lt;PolicyEff),1,Milestones!$AC$49)&amp;";  ","")&amp;IF(AND(EDATE($D149,Milestones!$AA$50)&lt;=AsOfDate,EDATE($D149,Milestones!$AA$50)&gt;=SchemeStart,IF($X149=0,$AD149,IF(AND($Z149&lt;&gt;"",EDATE($D149,Milestones!$AA$50)&gt;=$Z149),$AC149,IF(AND($Y149&lt;&gt;"",EDATE($D149,Milestones!$AA$50)&gt;=$Y149),$AB149,$AA149)))=Milestones!$AB$50),UPPER(TEXT(EDATE($D149,Milestones!$AA$50),"dd mmm yy"))&amp;" "&amp;Milestones!$AB$50&amp;" "&amp;IF(AND(Milestones!$AB$50="FT",Milestones!$AA$50=FT_Y5,EDATE($D149,Milestones!$AA$50)&lt;PolicyEff),1,Milestones!$AC$50)&amp;";  ","")&amp;IF(AND(EDATE($D149,Milestones!$AA$51)&lt;=AsOfDate,EDATE($D149,Milestones!$AA$51)&gt;=SchemeStart,IF($X149=0,$AD149,IF(AND($Z149&lt;&gt;"",EDATE($D149,Milestones!$AA$51)&gt;=$Z149),$AC149,IF(AND($Y149&lt;&gt;"",EDATE($D149,Milestones!$AA$51)&gt;=$Y149),$AB149,$AA149)))=Milestones!$AB$51),UPPER(TEXT(EDATE($D149,Milestones!$AA$51),"dd mmm yy"))&amp;" "&amp;Milestones!$AB$51&amp;" "&amp;IF(AND(Milestones!$AB$51="FT",Milestones!$AA$51=FT_Y5,EDATE($D149,Milestones!$AA$51)&lt;PolicyEff),1,Milestones!$AC$51)&amp;";  ","")&amp;IF(AND(EDATE($D149,Milestones!$AA$52)&lt;=AsOfDate,EDATE($D149,Milestones!$AA$52)&gt;=SchemeStart,IF($X149=0,$AD149,IF(AND($Z149&lt;&gt;"",EDATE($D149,Milestones!$AA$52)&gt;=$Z149),$AC149,IF(AND($Y149&lt;&gt;"",EDATE($D149,Milestones!$AA$52)&gt;=$Y149),$AB149,$AA149)))=Milestones!$AB$52),UPPER(TEXT(EDATE($D149,Milestones!$AA$52),"dd mmm yy"))&amp;" "&amp;Milestones!$AB$52&amp;" "&amp;IF(AND(Milestones!$AB$52="FT",Milestones!$AA$52=FT_Y5,EDATE($D149,Milestones!$AA$52)&lt;PolicyEff),1,Milestones!$AC$52)&amp;";  ","")&amp;IF(AND(EDATE($D149,Milestones!$AA$53)&lt;=AsOfDate,EDATE($D149,Milestones!$AA$53)&gt;=SchemeStart,IF($X149=0,$AD149,IF(AND($Z149&lt;&gt;"",EDATE($D149,Milestones!$AA$53)&gt;=$Z149),$AC149,IF(AND($Y149&lt;&gt;"",EDATE($D149,Milestones!$AA$53)&gt;=$Y149),$AB149,$AA149)))=Milestones!$AB$53),UPPER(TEXT(EDATE($D149,Milestones!$AA$53),"dd mmm yy"))&amp;" "&amp;Milestones!$AB$53&amp;" "&amp;IF(AND(Milestones!$AB$53="FT",Milestones!$AA$53=FT_Y5,EDATE($D149,Milestones!$AA$53)&lt;PolicyEff),1,Milestones!$AC$53)&amp;";  ","")&amp;IF(AND(EDATE($D149,Milestones!$AA$54)&lt;=AsOfDate,EDATE($D149,Milestones!$AA$54)&gt;=SchemeStart,IF($X149=0,$AD149,IF(AND($Z149&lt;&gt;"",EDATE($D149,Milestones!$AA$54)&gt;=$Z149),$AC149,IF(AND($Y149&lt;&gt;"",EDATE($D149,Milestones!$AA$54)&gt;=$Y149),$AB149,$AA149)))=Milestones!$AB$54),UPPER(TEXT(EDATE($D149,Milestones!$AA$54),"dd mmm yy"))&amp;" "&amp;Milestones!$AB$54&amp;" "&amp;IF(AND(Milestones!$AB$54="FT",Milestones!$AA$54=FT_Y5,EDATE($D149,Milestones!$AA$54)&lt;PolicyEff),1,Milestones!$AC$54)&amp;";  ","")&amp;IF(AND(EDATE($D149,Milestones!$AA$55)&lt;=AsOfDate,EDATE($D149,Milestones!$AA$55)&gt;=SchemeStart,IF($X149=0,$AD149,IF(AND($Z149&lt;&gt;"",EDATE($D149,Milestones!$AA$55)&gt;=$Z149),$AC149,IF(AND($Y149&lt;&gt;"",EDATE($D149,Milestones!$AA$55)&gt;=$Y149),$AB149,$AA149)))=Milestones!$AB$55),UPPER(TEXT(EDATE($D149,Milestones!$AA$55),"dd mmm yy"))&amp;" "&amp;Milestones!$AB$55&amp;" "&amp;IF(AND(Milestones!$AB$55="FT",Milestones!$AA$55=FT_Y5,EDATE($D149,Milestones!$AA$55)&lt;PolicyEff),1,Milestones!$AC$55)&amp;";  ",""))</f>
        <v/>
      </c>
      <c r="L149" s="0" t="str">
        <f aca="false">IF(OR($A149="",$D149=""),"",IF(AND(EDATE($D149,Milestones!$AA$56)&lt;=AsOfDate,EDATE($D149,Milestones!$AA$56)&gt;=SchemeStart,IF($X149=0,$AD149,IF(AND($Z149&lt;&gt;"",EDATE($D149,Milestones!$AA$56)&gt;=$Z149),$AC149,IF(AND($Y149&lt;&gt;"",EDATE($D149,Milestones!$AA$56)&gt;=$Y149),$AB149,$AA149)))=Milestones!$AB$56),UPPER(TEXT(EDATE($D149,Milestones!$AA$56),"dd mmm yy"))&amp;" "&amp;Milestones!$AB$56&amp;" "&amp;IF(AND(Milestones!$AB$56="FT",Milestones!$AA$56=FT_Y5,EDATE($D149,Milestones!$AA$56)&lt;PolicyEff),1,Milestones!$AC$56)&amp;";  ","")&amp;IF(AND(EDATE($D149,Milestones!$AA$57)&lt;=AsOfDate,EDATE($D149,Milestones!$AA$57)&gt;=SchemeStart,IF($X149=0,$AD149,IF(AND($Z149&lt;&gt;"",EDATE($D149,Milestones!$AA$57)&gt;=$Z149),$AC149,IF(AND($Y149&lt;&gt;"",EDATE($D149,Milestones!$AA$57)&gt;=$Y149),$AB149,$AA149)))=Milestones!$AB$57),UPPER(TEXT(EDATE($D149,Milestones!$AA$57),"dd mmm yy"))&amp;" "&amp;Milestones!$AB$57&amp;" "&amp;IF(AND(Milestones!$AB$57="FT",Milestones!$AA$57=FT_Y5,EDATE($D149,Milestones!$AA$57)&lt;PolicyEff),1,Milestones!$AC$57)&amp;";  ","")&amp;IF(AND(EDATE($D149,Milestones!$AA$58)&lt;=AsOfDate,EDATE($D149,Milestones!$AA$58)&gt;=SchemeStart,IF($X149=0,$AD149,IF(AND($Z149&lt;&gt;"",EDATE($D149,Milestones!$AA$58)&gt;=$Z149),$AC149,IF(AND($Y149&lt;&gt;"",EDATE($D149,Milestones!$AA$58)&gt;=$Y149),$AB149,$AA149)))=Milestones!$AB$58),UPPER(TEXT(EDATE($D149,Milestones!$AA$58),"dd mmm yy"))&amp;" "&amp;Milestones!$AB$58&amp;" "&amp;IF(AND(Milestones!$AB$58="FT",Milestones!$AA$58=FT_Y5,EDATE($D149,Milestones!$AA$58)&lt;PolicyEff),1,Milestones!$AC$58)&amp;";  ","")&amp;IF(AND(EDATE($D149,Milestones!$AA$59)&lt;=AsOfDate,EDATE($D149,Milestones!$AA$59)&gt;=SchemeStart,IF($X149=0,$AD149,IF(AND($Z149&lt;&gt;"",EDATE($D149,Milestones!$AA$59)&gt;=$Z149),$AC149,IF(AND($Y149&lt;&gt;"",EDATE($D149,Milestones!$AA$59)&gt;=$Y149),$AB149,$AA149)))=Milestones!$AB$59),UPPER(TEXT(EDATE($D149,Milestones!$AA$59),"dd mmm yy"))&amp;" "&amp;Milestones!$AB$59&amp;" "&amp;IF(AND(Milestones!$AB$59="FT",Milestones!$AA$59=FT_Y5,EDATE($D149,Milestones!$AA$59)&lt;PolicyEff),1,Milestones!$AC$59)&amp;";  ","")&amp;IF(AND(EDATE($D149,Milestones!$AA$60)&lt;=AsOfDate,EDATE($D149,Milestones!$AA$60)&gt;=SchemeStart,IF($X149=0,$AD149,IF(AND($Z149&lt;&gt;"",EDATE($D149,Milestones!$AA$60)&gt;=$Z149),$AC149,IF(AND($Y149&lt;&gt;"",EDATE($D149,Milestones!$AA$60)&gt;=$Y149),$AB149,$AA149)))=Milestones!$AB$60),UPPER(TEXT(EDATE($D149,Milestones!$AA$60),"dd mmm yy"))&amp;" "&amp;Milestones!$AB$60&amp;" "&amp;IF(AND(Milestones!$AB$60="FT",Milestones!$AA$60=FT_Y5,EDATE($D149,Milestones!$AA$60)&lt;PolicyEff),1,Milestones!$AC$60)&amp;";  ","")&amp;IF(AND(EDATE($D149,Milestones!$AA$61)&lt;=AsOfDate,EDATE($D149,Milestones!$AA$61)&gt;=SchemeStart,IF($X149=0,$AD149,IF(AND($Z149&lt;&gt;"",EDATE($D149,Milestones!$AA$61)&gt;=$Z149),$AC149,IF(AND($Y149&lt;&gt;"",EDATE($D149,Milestones!$AA$61)&gt;=$Y149),$AB149,$AA149)))=Milestones!$AB$61),UPPER(TEXT(EDATE($D149,Milestones!$AA$61),"dd mmm yy"))&amp;" "&amp;Milestones!$AB$61&amp;" "&amp;IF(AND(Milestones!$AB$61="FT",Milestones!$AA$61=FT_Y5,EDATE($D149,Milestones!$AA$61)&lt;PolicyEff),1,Milestones!$AC$61)&amp;";  ","")&amp;IF(AND(EDATE($D149,Milestones!$AA$62)&lt;=AsOfDate,EDATE($D149,Milestones!$AA$62)&gt;=SchemeStart,IF($X149=0,$AD149,IF(AND($Z149&lt;&gt;"",EDATE($D149,Milestones!$AA$62)&gt;=$Z149),$AC149,IF(AND($Y149&lt;&gt;"",EDATE($D149,Milestones!$AA$62)&gt;=$Y149),$AB149,$AA149)))=Milestones!$AB$62),UPPER(TEXT(EDATE($D149,Milestones!$AA$62),"dd mmm yy"))&amp;" "&amp;Milestones!$AB$62&amp;" "&amp;IF(AND(Milestones!$AB$62="FT",Milestones!$AA$62=FT_Y5,EDATE($D149,Milestones!$AA$62)&lt;PolicyEff),1,Milestones!$AC$62)&amp;";  ","")&amp;IF(AND(EDATE($D149,Milestones!$AA$63)&lt;=AsOfDate,EDATE($D149,Milestones!$AA$63)&gt;=SchemeStart,IF($X149=0,$AD149,IF(AND($Z149&lt;&gt;"",EDATE($D149,Milestones!$AA$63)&gt;=$Z149),$AC149,IF(AND($Y149&lt;&gt;"",EDATE($D149,Milestones!$AA$63)&gt;=$Y149),$AB149,$AA149)))=Milestones!$AB$63),UPPER(TEXT(EDATE($D149,Milestones!$AA$63),"dd mmm yy"))&amp;" "&amp;Milestones!$AB$63&amp;" "&amp;IF(AND(Milestones!$AB$63="FT",Milestones!$AA$63=FT_Y5,EDATE($D149,Milestones!$AA$63)&lt;PolicyEff),1,Milestones!$AC$63)&amp;";  ","")&amp;IF(AND(EDATE($D149,Milestones!$AA$64)&lt;=AsOfDate,EDATE($D149,Milestones!$AA$64)&gt;=SchemeStart,IF($X149=0,$AD149,IF(AND($Z149&lt;&gt;"",EDATE($D149,Milestones!$AA$64)&gt;=$Z149),$AC149,IF(AND($Y149&lt;&gt;"",EDATE($D149,Milestones!$AA$64)&gt;=$Y149),$AB149,$AA149)))=Milestones!$AB$64),UPPER(TEXT(EDATE($D149,Milestones!$AA$64),"dd mmm yy"))&amp;" "&amp;Milestones!$AB$64&amp;" "&amp;IF(AND(Milestones!$AB$64="FT",Milestones!$AA$64=FT_Y5,EDATE($D149,Milestones!$AA$64)&lt;PolicyEff),1,Milestones!$AC$64)&amp;";  ","")&amp;IF(AND(EDATE($D149,Milestones!$AA$65)&lt;=AsOfDate,EDATE($D149,Milestones!$AA$65)&gt;=SchemeStart,IF($X149=0,$AD149,IF(AND($Z149&lt;&gt;"",EDATE($D149,Milestones!$AA$65)&gt;=$Z149),$AC149,IF(AND($Y149&lt;&gt;"",EDATE($D149,Milestones!$AA$65)&gt;=$Y149),$AB149,$AA149)))=Milestones!$AB$65),UPPER(TEXT(EDATE($D149,Milestones!$AA$65),"dd mmm yy"))&amp;" "&amp;Milestones!$AB$65&amp;" "&amp;IF(AND(Milestones!$AB$65="FT",Milestones!$AA$65=FT_Y5,EDATE($D149,Milestones!$AA$65)&lt;PolicyEff),1,Milestones!$AC$65)&amp;";  ","")&amp;IF(AND(EDATE($D149,Milestones!$AA$66)&lt;=AsOfDate,EDATE($D149,Milestones!$AA$66)&gt;=SchemeStart,IF($X149=0,$AD149,IF(AND($Z149&lt;&gt;"",EDATE($D149,Milestones!$AA$66)&gt;=$Z149),$AC149,IF(AND($Y149&lt;&gt;"",EDATE($D149,Milestones!$AA$66)&gt;=$Y149),$AB149,$AA149)))=Milestones!$AB$66),UPPER(TEXT(EDATE($D149,Milestones!$AA$66),"dd mmm yy"))&amp;" "&amp;Milestones!$AB$66&amp;" "&amp;IF(AND(Milestones!$AB$66="FT",Milestones!$AA$66=FT_Y5,EDATE($D149,Milestones!$AA$66)&lt;PolicyEff),1,Milestones!$AC$66)&amp;";  ","")&amp;IF(AND(EDATE($D149,Milestones!$AA$67)&lt;=AsOfDate,EDATE($D149,Milestones!$AA$67)&gt;=SchemeStart,IF($X149=0,$AD149,IF(AND($Z149&lt;&gt;"",EDATE($D149,Milestones!$AA$67)&gt;=$Z149),$AC149,IF(AND($Y149&lt;&gt;"",EDATE($D149,Milestones!$AA$67)&gt;=$Y149),$AB149,$AA149)))=Milestones!$AB$67),UPPER(TEXT(EDATE($D149,Milestones!$AA$67),"dd mmm yy"))&amp;" "&amp;Milestones!$AB$67&amp;" "&amp;IF(AND(Milestones!$AB$67="FT",Milestones!$AA$67=FT_Y5,EDATE($D149,Milestones!$AA$67)&lt;PolicyEff),1,Milestones!$AC$67)&amp;";  ",""))</f>
        <v/>
      </c>
      <c r="M149" s="0" t="str">
        <f aca="false">IF(OR($A149="",$D149=""),"",IF(AND(EDATE($D149,Milestones!$AA$68)&lt;=AsOfDate,EDATE($D149,Milestones!$AA$68)&gt;=SchemeStart,IF($X149=0,$AD149,IF(AND($Z149&lt;&gt;"",EDATE($D149,Milestones!$AA$68)&gt;=$Z149),$AC149,IF(AND($Y149&lt;&gt;"",EDATE($D149,Milestones!$AA$68)&gt;=$Y149),$AB149,$AA149)))=Milestones!$AB$68),UPPER(TEXT(EDATE($D149,Milestones!$AA$68),"dd mmm yy"))&amp;" "&amp;Milestones!$AB$68&amp;" "&amp;IF(AND(Milestones!$AB$68="FT",Milestones!$AA$68=FT_Y5,EDATE($D149,Milestones!$AA$68)&lt;PolicyEff),1,Milestones!$AC$68)&amp;";  ","")&amp;IF(AND(EDATE($D149,Milestones!$AA$69)&lt;=AsOfDate,EDATE($D149,Milestones!$AA$69)&gt;=SchemeStart,IF($X149=0,$AD149,IF(AND($Z149&lt;&gt;"",EDATE($D149,Milestones!$AA$69)&gt;=$Z149),$AC149,IF(AND($Y149&lt;&gt;"",EDATE($D149,Milestones!$AA$69)&gt;=$Y149),$AB149,$AA149)))=Milestones!$AB$69),UPPER(TEXT(EDATE($D149,Milestones!$AA$69),"dd mmm yy"))&amp;" "&amp;Milestones!$AB$69&amp;" "&amp;IF(AND(Milestones!$AB$69="FT",Milestones!$AA$69=FT_Y5,EDATE($D149,Milestones!$AA$69)&lt;PolicyEff),1,Milestones!$AC$69)&amp;";  ","")&amp;IF(AND(EDATE($D149,Milestones!$AA$70)&lt;=AsOfDate,EDATE($D149,Milestones!$AA$70)&gt;=SchemeStart,IF($X149=0,$AD149,IF(AND($Z149&lt;&gt;"",EDATE($D149,Milestones!$AA$70)&gt;=$Z149),$AC149,IF(AND($Y149&lt;&gt;"",EDATE($D149,Milestones!$AA$70)&gt;=$Y149),$AB149,$AA149)))=Milestones!$AB$70),UPPER(TEXT(EDATE($D149,Milestones!$AA$70),"dd mmm yy"))&amp;" "&amp;Milestones!$AB$70&amp;" "&amp;IF(AND(Milestones!$AB$70="FT",Milestones!$AA$70=FT_Y5,EDATE($D149,Milestones!$AA$70)&lt;PolicyEff),1,Milestones!$AC$70)&amp;";  ","")&amp;IF(AND(EDATE($D149,Milestones!$AA$71)&lt;=AsOfDate,EDATE($D149,Milestones!$AA$71)&gt;=SchemeStart,IF($X149=0,$AD149,IF(AND($Z149&lt;&gt;"",EDATE($D149,Milestones!$AA$71)&gt;=$Z149),$AC149,IF(AND($Y149&lt;&gt;"",EDATE($D149,Milestones!$AA$71)&gt;=$Y149),$AB149,$AA149)))=Milestones!$AB$71),UPPER(TEXT(EDATE($D149,Milestones!$AA$71),"dd mmm yy"))&amp;" "&amp;Milestones!$AB$71&amp;" "&amp;IF(AND(Milestones!$AB$71="FT",Milestones!$AA$71=FT_Y5,EDATE($D149,Milestones!$AA$71)&lt;PolicyEff),1,Milestones!$AC$71)&amp;";  ","")&amp;IF(AND(EDATE($D149,Milestones!$AA$72)&lt;=AsOfDate,EDATE($D149,Milestones!$AA$72)&gt;=SchemeStart,IF($X149=0,$AD149,IF(AND($Z149&lt;&gt;"",EDATE($D149,Milestones!$AA$72)&gt;=$Z149),$AC149,IF(AND($Y149&lt;&gt;"",EDATE($D149,Milestones!$AA$72)&gt;=$Y149),$AB149,$AA149)))=Milestones!$AB$72),UPPER(TEXT(EDATE($D149,Milestones!$AA$72),"dd mmm yy"))&amp;" "&amp;Milestones!$AB$72&amp;" "&amp;IF(AND(Milestones!$AB$72="FT",Milestones!$AA$72=FT_Y5,EDATE($D149,Milestones!$AA$72)&lt;PolicyEff),1,Milestones!$AC$72)&amp;";  ","")&amp;IF(AND(EDATE($D149,Milestones!$AA$73)&lt;=AsOfDate,EDATE($D149,Milestones!$AA$73)&gt;=SchemeStart,IF($X149=0,$AD149,IF(AND($Z149&lt;&gt;"",EDATE($D149,Milestones!$AA$73)&gt;=$Z149),$AC149,IF(AND($Y149&lt;&gt;"",EDATE($D149,Milestones!$AA$73)&gt;=$Y149),$AB149,$AA149)))=Milestones!$AB$73),UPPER(TEXT(EDATE($D149,Milestones!$AA$73),"dd mmm yy"))&amp;" "&amp;Milestones!$AB$73&amp;" "&amp;IF(AND(Milestones!$AB$73="FT",Milestones!$AA$73=FT_Y5,EDATE($D149,Milestones!$AA$73)&lt;PolicyEff),1,Milestones!$AC$73)&amp;";  ","")&amp;IF(AND(EDATE($D149,Milestones!$AA$74)&lt;=AsOfDate,EDATE($D149,Milestones!$AA$74)&gt;=SchemeStart,IF($X149=0,$AD149,IF(AND($Z149&lt;&gt;"",EDATE($D149,Milestones!$AA$74)&gt;=$Z149),$AC149,IF(AND($Y149&lt;&gt;"",EDATE($D149,Milestones!$AA$74)&gt;=$Y149),$AB149,$AA149)))=Milestones!$AB$74),UPPER(TEXT(EDATE($D149,Milestones!$AA$74),"dd mmm yy"))&amp;" "&amp;Milestones!$AB$74&amp;" "&amp;IF(AND(Milestones!$AB$74="FT",Milestones!$AA$74=FT_Y5,EDATE($D149,Milestones!$AA$74)&lt;PolicyEff),1,Milestones!$AC$74)&amp;";  ","")&amp;IF(AND(EDATE($D149,Milestones!$AA$75)&lt;=AsOfDate,EDATE($D149,Milestones!$AA$75)&gt;=SchemeStart,IF($X149=0,$AD149,IF(AND($Z149&lt;&gt;"",EDATE($D149,Milestones!$AA$75)&gt;=$Z149),$AC149,IF(AND($Y149&lt;&gt;"",EDATE($D149,Milestones!$AA$75)&gt;=$Y149),$AB149,$AA149)))=Milestones!$AB$75),UPPER(TEXT(EDATE($D149,Milestones!$AA$75),"dd mmm yy"))&amp;" "&amp;Milestones!$AB$75&amp;" "&amp;IF(AND(Milestones!$AB$75="FT",Milestones!$AA$75=FT_Y5,EDATE($D149,Milestones!$AA$75)&lt;PolicyEff),1,Milestones!$AC$75)&amp;";  ","")&amp;IF(AND(EDATE($D149,Milestones!$AA$76)&lt;=AsOfDate,EDATE($D149,Milestones!$AA$76)&gt;=SchemeStart,IF($X149=0,$AD149,IF(AND($Z149&lt;&gt;"",EDATE($D149,Milestones!$AA$76)&gt;=$Z149),$AC149,IF(AND($Y149&lt;&gt;"",EDATE($D149,Milestones!$AA$76)&gt;=$Y149),$AB149,$AA149)))=Milestones!$AB$76),UPPER(TEXT(EDATE($D149,Milestones!$AA$76),"dd mmm yy"))&amp;" "&amp;Milestones!$AB$76&amp;" "&amp;IF(AND(Milestones!$AB$76="FT",Milestones!$AA$76=FT_Y5,EDATE($D149,Milestones!$AA$76)&lt;PolicyEff),1,Milestones!$AC$76)&amp;";  ","")&amp;IF(AND(EDATE($D149,Milestones!$AA$77)&lt;=AsOfDate,EDATE($D149,Milestones!$AA$77)&gt;=SchemeStart,IF($X149=0,$AD149,IF(AND($Z149&lt;&gt;"",EDATE($D149,Milestones!$AA$77)&gt;=$Z149),$AC149,IF(AND($Y149&lt;&gt;"",EDATE($D149,Milestones!$AA$77)&gt;=$Y149),$AB149,$AA149)))=Milestones!$AB$77),UPPER(TEXT(EDATE($D149,Milestones!$AA$77),"dd mmm yy"))&amp;" "&amp;Milestones!$AB$77&amp;" "&amp;IF(AND(Milestones!$AB$77="FT",Milestones!$AA$77=FT_Y5,EDATE($D149,Milestones!$AA$77)&lt;PolicyEff),1,Milestones!$AC$77)&amp;";  ","")&amp;IF(AND(EDATE($D149,Milestones!$AA$78)&lt;=AsOfDate,EDATE($D149,Milestones!$AA$78)&gt;=SchemeStart,IF($X149=0,$AD149,IF(AND($Z149&lt;&gt;"",EDATE($D149,Milestones!$AA$78)&gt;=$Z149),$AC149,IF(AND($Y149&lt;&gt;"",EDATE($D149,Milestones!$AA$78)&gt;=$Y149),$AB149,$AA149)))=Milestones!$AB$78),UPPER(TEXT(EDATE($D149,Milestones!$AA$78),"dd mmm yy"))&amp;" "&amp;Milestones!$AB$78&amp;" "&amp;IF(AND(Milestones!$AB$78="FT",Milestones!$AA$78=FT_Y5,EDATE($D149,Milestones!$AA$78)&lt;PolicyEff),1,Milestones!$AC$78)&amp;";  ","")&amp;IF(AND(EDATE($D149,Milestones!$AA$79)&lt;=AsOfDate,EDATE($D149,Milestones!$AA$79)&gt;=SchemeStart,IF($X149=0,$AD149,IF(AND($Z149&lt;&gt;"",EDATE($D149,Milestones!$AA$79)&gt;=$Z149),$AC149,IF(AND($Y149&lt;&gt;"",EDATE($D149,Milestones!$AA$79)&gt;=$Y149),$AB149,$AA149)))=Milestones!$AB$79),UPPER(TEXT(EDATE($D149,Milestones!$AA$79),"dd mmm yy"))&amp;" "&amp;Milestones!$AB$79&amp;" "&amp;IF(AND(Milestones!$AB$79="FT",Milestones!$AA$79=FT_Y5,EDATE($D149,Milestones!$AA$79)&lt;PolicyEff),1,Milestones!$AC$79)&amp;";  ",""))</f>
        <v/>
      </c>
      <c r="N149" s="0" t="str">
        <f aca="false">IF(OR($A149="",$D149=""),"",IF(AND(EDATE($D149,Milestones!$AA$80)&lt;=AsOfDate,EDATE($D149,Milestones!$AA$80)&gt;=SchemeStart,IF($X149=0,$AD149,IF(AND($Z149&lt;&gt;"",EDATE($D149,Milestones!$AA$80)&gt;=$Z149),$AC149,IF(AND($Y149&lt;&gt;"",EDATE($D149,Milestones!$AA$80)&gt;=$Y149),$AB149,$AA149)))=Milestones!$AB$80),UPPER(TEXT(EDATE($D149,Milestones!$AA$80),"dd mmm yy"))&amp;" "&amp;Milestones!$AB$80&amp;" "&amp;IF(AND(Milestones!$AB$80="FT",Milestones!$AA$80=FT_Y5,EDATE($D149,Milestones!$AA$80)&lt;PolicyEff),1,Milestones!$AC$80)&amp;";  ","")&amp;IF(AND(EDATE($D149,Milestones!$AA$81)&lt;=AsOfDate,EDATE($D149,Milestones!$AA$81)&gt;=SchemeStart,IF($X149=0,$AD149,IF(AND($Z149&lt;&gt;"",EDATE($D149,Milestones!$AA$81)&gt;=$Z149),$AC149,IF(AND($Y149&lt;&gt;"",EDATE($D149,Milestones!$AA$81)&gt;=$Y149),$AB149,$AA149)))=Milestones!$AB$81),UPPER(TEXT(EDATE($D149,Milestones!$AA$81),"dd mmm yy"))&amp;" "&amp;Milestones!$AB$81&amp;" "&amp;IF(AND(Milestones!$AB$81="FT",Milestones!$AA$81=FT_Y5,EDATE($D149,Milestones!$AA$81)&lt;PolicyEff),1,Milestones!$AC$81)&amp;";  ","")&amp;IF(AND(EDATE($D149,Milestones!$AA$82)&lt;=AsOfDate,EDATE($D149,Milestones!$AA$82)&gt;=SchemeStart,IF($X149=0,$AD149,IF(AND($Z149&lt;&gt;"",EDATE($D149,Milestones!$AA$82)&gt;=$Z149),$AC149,IF(AND($Y149&lt;&gt;"",EDATE($D149,Milestones!$AA$82)&gt;=$Y149),$AB149,$AA149)))=Milestones!$AB$82),UPPER(TEXT(EDATE($D149,Milestones!$AA$82),"dd mmm yy"))&amp;" "&amp;Milestones!$AB$82&amp;" "&amp;IF(AND(Milestones!$AB$82="FT",Milestones!$AA$82=FT_Y5,EDATE($D149,Milestones!$AA$82)&lt;PolicyEff),1,Milestones!$AC$82)&amp;";  ","")&amp;IF(AND(EDATE($D149,Milestones!$AA$83)&lt;=AsOfDate,EDATE($D149,Milestones!$AA$83)&gt;=SchemeStart,IF($X149=0,$AD149,IF(AND($Z149&lt;&gt;"",EDATE($D149,Milestones!$AA$83)&gt;=$Z149),$AC149,IF(AND($Y149&lt;&gt;"",EDATE($D149,Milestones!$AA$83)&gt;=$Y149),$AB149,$AA149)))=Milestones!$AB$83),UPPER(TEXT(EDATE($D149,Milestones!$AA$83),"dd mmm yy"))&amp;" "&amp;Milestones!$AB$83&amp;" "&amp;IF(AND(Milestones!$AB$83="FT",Milestones!$AA$83=FT_Y5,EDATE($D149,Milestones!$AA$83)&lt;PolicyEff),1,Milestones!$AC$83)&amp;";  ","")&amp;IF(AND(EDATE($D149,Milestones!$AA$84)&lt;=AsOfDate,EDATE($D149,Milestones!$AA$84)&gt;=SchemeStart,IF($X149=0,$AD149,IF(AND($Z149&lt;&gt;"",EDATE($D149,Milestones!$AA$84)&gt;=$Z149),$AC149,IF(AND($Y149&lt;&gt;"",EDATE($D149,Milestones!$AA$84)&gt;=$Y149),$AB149,$AA149)))=Milestones!$AB$84),UPPER(TEXT(EDATE($D149,Milestones!$AA$84),"dd mmm yy"))&amp;" "&amp;Milestones!$AB$84&amp;" "&amp;IF(AND(Milestones!$AB$84="FT",Milestones!$AA$84=FT_Y5,EDATE($D149,Milestones!$AA$84)&lt;PolicyEff),1,Milestones!$AC$84)&amp;";  ","")&amp;IF(AND(EDATE($D149,Milestones!$AA$85)&lt;=AsOfDate,EDATE($D149,Milestones!$AA$85)&gt;=SchemeStart,IF($X149=0,$AD149,IF(AND($Z149&lt;&gt;"",EDATE($D149,Milestones!$AA$85)&gt;=$Z149),$AC149,IF(AND($Y149&lt;&gt;"",EDATE($D149,Milestones!$AA$85)&gt;=$Y149),$AB149,$AA149)))=Milestones!$AB$85),UPPER(TEXT(EDATE($D149,Milestones!$AA$85),"dd mmm yy"))&amp;" "&amp;Milestones!$AB$85&amp;" "&amp;IF(AND(Milestones!$AB$85="FT",Milestones!$AA$85=FT_Y5,EDATE($D149,Milestones!$AA$85)&lt;PolicyEff),1,Milestones!$AC$85)&amp;";  ","")&amp;IF(AND(EDATE($D149,Milestones!$AA$86)&lt;=AsOfDate,EDATE($D149,Milestones!$AA$86)&gt;=SchemeStart,IF($X149=0,$AD149,IF(AND($Z149&lt;&gt;"",EDATE($D149,Milestones!$AA$86)&gt;=$Z149),$AC149,IF(AND($Y149&lt;&gt;"",EDATE($D149,Milestones!$AA$86)&gt;=$Y149),$AB149,$AA149)))=Milestones!$AB$86),UPPER(TEXT(EDATE($D149,Milestones!$AA$86),"dd mmm yy"))&amp;" "&amp;Milestones!$AB$86&amp;" "&amp;IF(AND(Milestones!$AB$86="FT",Milestones!$AA$86=FT_Y5,EDATE($D149,Milestones!$AA$86)&lt;PolicyEff),1,Milestones!$AC$86)&amp;";  ","")&amp;IF(AND(EDATE($D149,Milestones!$AA$87)&lt;=AsOfDate,EDATE($D149,Milestones!$AA$87)&gt;=SchemeStart,IF($X149=0,$AD149,IF(AND($Z149&lt;&gt;"",EDATE($D149,Milestones!$AA$87)&gt;=$Z149),$AC149,IF(AND($Y149&lt;&gt;"",EDATE($D149,Milestones!$AA$87)&gt;=$Y149),$AB149,$AA149)))=Milestones!$AB$87),UPPER(TEXT(EDATE($D149,Milestones!$AA$87),"dd mmm yy"))&amp;" "&amp;Milestones!$AB$87&amp;" "&amp;IF(AND(Milestones!$AB$87="FT",Milestones!$AA$87=FT_Y5,EDATE($D149,Milestones!$AA$87)&lt;PolicyEff),1,Milestones!$AC$87)&amp;";  ","")&amp;IF(AND(EDATE($D149,Milestones!$AA$88)&lt;=AsOfDate,EDATE($D149,Milestones!$AA$88)&gt;=SchemeStart,IF($X149=0,$AD149,IF(AND($Z149&lt;&gt;"",EDATE($D149,Milestones!$AA$88)&gt;=$Z149),$AC149,IF(AND($Y149&lt;&gt;"",EDATE($D149,Milestones!$AA$88)&gt;=$Y149),$AB149,$AA149)))=Milestones!$AB$88),UPPER(TEXT(EDATE($D149,Milestones!$AA$88),"dd mmm yy"))&amp;" "&amp;Milestones!$AB$88&amp;" "&amp;IF(AND(Milestones!$AB$88="FT",Milestones!$AA$88=FT_Y5,EDATE($D149,Milestones!$AA$88)&lt;PolicyEff),1,Milestones!$AC$88)&amp;";  ","")&amp;IF(AND(EDATE($D149,Milestones!$AA$89)&lt;=AsOfDate,EDATE($D149,Milestones!$AA$89)&gt;=SchemeStart,IF($X149=0,$AD149,IF(AND($Z149&lt;&gt;"",EDATE($D149,Milestones!$AA$89)&gt;=$Z149),$AC149,IF(AND($Y149&lt;&gt;"",EDATE($D149,Milestones!$AA$89)&gt;=$Y149),$AB149,$AA149)))=Milestones!$AB$89),UPPER(TEXT(EDATE($D149,Milestones!$AA$89),"dd mmm yy"))&amp;" "&amp;Milestones!$AB$89&amp;" "&amp;IF(AND(Milestones!$AB$89="FT",Milestones!$AA$89=FT_Y5,EDATE($D149,Milestones!$AA$89)&lt;PolicyEff),1,Milestones!$AC$89)&amp;";  ","")&amp;IF(AND(EDATE($D149,Milestones!$AA$90)&lt;=AsOfDate,EDATE($D149,Milestones!$AA$90)&gt;=SchemeStart,IF($X149=0,$AD149,IF(AND($Z149&lt;&gt;"",EDATE($D149,Milestones!$AA$90)&gt;=$Z149),$AC149,IF(AND($Y149&lt;&gt;"",EDATE($D149,Milestones!$AA$90)&gt;=$Y149),$AB149,$AA149)))=Milestones!$AB$90),UPPER(TEXT(EDATE($D149,Milestones!$AA$90),"dd mmm yy"))&amp;" "&amp;Milestones!$AB$90&amp;" "&amp;IF(AND(Milestones!$AB$90="FT",Milestones!$AA$90=FT_Y5,EDATE($D149,Milestones!$AA$90)&lt;PolicyEff),1,Milestones!$AC$90)&amp;";  ","")&amp;IF(AND(EDATE($D149,Milestones!$AA$91)&lt;=AsOfDate,EDATE($D149,Milestones!$AA$91)&gt;=SchemeStart,IF($X149=0,$AD149,IF(AND($Z149&lt;&gt;"",EDATE($D149,Milestones!$AA$91)&gt;=$Z149),$AC149,IF(AND($Y149&lt;&gt;"",EDATE($D149,Milestones!$AA$91)&gt;=$Y149),$AB149,$AA149)))=Milestones!$AB$91),UPPER(TEXT(EDATE($D149,Milestones!$AA$91),"dd mmm yy"))&amp;" "&amp;Milestones!$AB$91&amp;" "&amp;IF(AND(Milestones!$AB$91="FT",Milestones!$AA$91=FT_Y5,EDATE($D149,Milestones!$AA$91)&lt;PolicyEff),1,Milestones!$AC$91)&amp;";  ",""))</f>
        <v/>
      </c>
      <c r="O149" s="0" t="str">
        <f aca="false">IF(OR($A149="",$D149=""),"",IF(AND(EDATE($D149,Milestones!$AA$92)&lt;=AsOfDate,EDATE($D149,Milestones!$AA$92)&gt;=SchemeStart,IF($X149=0,$AD149,IF(AND($Z149&lt;&gt;"",EDATE($D149,Milestones!$AA$92)&gt;=$Z149),$AC149,IF(AND($Y149&lt;&gt;"",EDATE($D149,Milestones!$AA$92)&gt;=$Y149),$AB149,$AA149)))=Milestones!$AB$92),UPPER(TEXT(EDATE($D149,Milestones!$AA$92),"dd mmm yy"))&amp;" "&amp;Milestones!$AB$92&amp;" "&amp;IF(AND(Milestones!$AB$92="FT",Milestones!$AA$92=FT_Y5,EDATE($D149,Milestones!$AA$92)&lt;PolicyEff),1,Milestones!$AC$92)&amp;";  ","")&amp;IF(AND(EDATE($D149,Milestones!$AA$93)&lt;=AsOfDate,EDATE($D149,Milestones!$AA$93)&gt;=SchemeStart,IF($X149=0,$AD149,IF(AND($Z149&lt;&gt;"",EDATE($D149,Milestones!$AA$93)&gt;=$Z149),$AC149,IF(AND($Y149&lt;&gt;"",EDATE($D149,Milestones!$AA$93)&gt;=$Y149),$AB149,$AA149)))=Milestones!$AB$93),UPPER(TEXT(EDATE($D149,Milestones!$AA$93),"dd mmm yy"))&amp;" "&amp;Milestones!$AB$93&amp;" "&amp;IF(AND(Milestones!$AB$93="FT",Milestones!$AA$93=FT_Y5,EDATE($D149,Milestones!$AA$93)&lt;PolicyEff),1,Milestones!$AC$93)&amp;";  ","")&amp;IF(AND(EDATE($D149,Milestones!$AA$94)&lt;=AsOfDate,EDATE($D149,Milestones!$AA$94)&gt;=SchemeStart,IF($X149=0,$AD149,IF(AND($Z149&lt;&gt;"",EDATE($D149,Milestones!$AA$94)&gt;=$Z149),$AC149,IF(AND($Y149&lt;&gt;"",EDATE($D149,Milestones!$AA$94)&gt;=$Y149),$AB149,$AA149)))=Milestones!$AB$94),UPPER(TEXT(EDATE($D149,Milestones!$AA$94),"dd mmm yy"))&amp;" "&amp;Milestones!$AB$94&amp;" "&amp;IF(AND(Milestones!$AB$94="FT",Milestones!$AA$94=FT_Y5,EDATE($D149,Milestones!$AA$94)&lt;PolicyEff),1,Milestones!$AC$94)&amp;";  ","")&amp;IF(AND(EDATE($D149,Milestones!$AA$95)&lt;=AsOfDate,EDATE($D149,Milestones!$AA$95)&gt;=SchemeStart,IF($X149=0,$AD149,IF(AND($Z149&lt;&gt;"",EDATE($D149,Milestones!$AA$95)&gt;=$Z149),$AC149,IF(AND($Y149&lt;&gt;"",EDATE($D149,Milestones!$AA$95)&gt;=$Y149),$AB149,$AA149)))=Milestones!$AB$95),UPPER(TEXT(EDATE($D149,Milestones!$AA$95),"dd mmm yy"))&amp;" "&amp;Milestones!$AB$95&amp;" "&amp;IF(AND(Milestones!$AB$95="FT",Milestones!$AA$95=FT_Y5,EDATE($D149,Milestones!$AA$95)&lt;PolicyEff),1,Milestones!$AC$95)&amp;";  ","")&amp;IF(AND(EDATE($D149,Milestones!$AA$96)&lt;=AsOfDate,EDATE($D149,Milestones!$AA$96)&gt;=SchemeStart,IF($X149=0,$AD149,IF(AND($Z149&lt;&gt;"",EDATE($D149,Milestones!$AA$96)&gt;=$Z149),$AC149,IF(AND($Y149&lt;&gt;"",EDATE($D149,Milestones!$AA$96)&gt;=$Y149),$AB149,$AA149)))=Milestones!$AB$96),UPPER(TEXT(EDATE($D149,Milestones!$AA$96),"dd mmm yy"))&amp;" "&amp;Milestones!$AB$96&amp;" "&amp;IF(AND(Milestones!$AB$96="FT",Milestones!$AA$96=FT_Y5,EDATE($D149,Milestones!$AA$96)&lt;PolicyEff),1,Milestones!$AC$96)&amp;";  ","")&amp;IF(AND(EDATE($D149,Milestones!$AA$97)&lt;=AsOfDate,EDATE($D149,Milestones!$AA$97)&gt;=SchemeStart,IF($X149=0,$AD149,IF(AND($Z149&lt;&gt;"",EDATE($D149,Milestones!$AA$97)&gt;=$Z149),$AC149,IF(AND($Y149&lt;&gt;"",EDATE($D149,Milestones!$AA$97)&gt;=$Y149),$AB149,$AA149)))=Milestones!$AB$97),UPPER(TEXT(EDATE($D149,Milestones!$AA$97),"dd mmm yy"))&amp;" "&amp;Milestones!$AB$97&amp;" "&amp;IF(AND(Milestones!$AB$97="FT",Milestones!$AA$97=FT_Y5,EDATE($D149,Milestones!$AA$97)&lt;PolicyEff),1,Milestones!$AC$97)&amp;";  ","")&amp;IF(AND(EDATE($D149,Milestones!$AA$98)&lt;=AsOfDate,EDATE($D149,Milestones!$AA$98)&gt;=SchemeStart,IF($X149=0,$AD149,IF(AND($Z149&lt;&gt;"",EDATE($D149,Milestones!$AA$98)&gt;=$Z149),$AC149,IF(AND($Y149&lt;&gt;"",EDATE($D149,Milestones!$AA$98)&gt;=$Y149),$AB149,$AA149)))=Milestones!$AB$98),UPPER(TEXT(EDATE($D149,Milestones!$AA$98),"dd mmm yy"))&amp;" "&amp;Milestones!$AB$98&amp;" "&amp;IF(AND(Milestones!$AB$98="FT",Milestones!$AA$98=FT_Y5,EDATE($D149,Milestones!$AA$98)&lt;PolicyEff),1,Milestones!$AC$98)&amp;";  ","")&amp;IF(AND(EDATE($D149,Milestones!$AA$99)&lt;=AsOfDate,EDATE($D149,Milestones!$AA$99)&gt;=SchemeStart,IF($X149=0,$AD149,IF(AND($Z149&lt;&gt;"",EDATE($D149,Milestones!$AA$99)&gt;=$Z149),$AC149,IF(AND($Y149&lt;&gt;"",EDATE($D149,Milestones!$AA$99)&gt;=$Y149),$AB149,$AA149)))=Milestones!$AB$99),UPPER(TEXT(EDATE($D149,Milestones!$AA$99),"dd mmm yy"))&amp;" "&amp;Milestones!$AB$99&amp;" "&amp;IF(AND(Milestones!$AB$99="FT",Milestones!$AA$99=FT_Y5,EDATE($D149,Milestones!$AA$99)&lt;PolicyEff),1,Milestones!$AC$99)&amp;";  ","")&amp;IF(AND(EDATE($D149,Milestones!$AA$100)&lt;=AsOfDate,EDATE($D149,Milestones!$AA$100)&gt;=SchemeStart,IF($X149=0,$AD149,IF(AND($Z149&lt;&gt;"",EDATE($D149,Milestones!$AA$100)&gt;=$Z149),$AC149,IF(AND($Y149&lt;&gt;"",EDATE($D149,Milestones!$AA$100)&gt;=$Y149),$AB149,$AA149)))=Milestones!$AB$100),UPPER(TEXT(EDATE($D149,Milestones!$AA$100),"dd mmm yy"))&amp;" "&amp;Milestones!$AB$100&amp;" "&amp;IF(AND(Milestones!$AB$100="FT",Milestones!$AA$100=FT_Y5,EDATE($D149,Milestones!$AA$100)&lt;PolicyEff),1,Milestones!$AC$100)&amp;";  ","")&amp;IF(AND(EDATE($D149,Milestones!$AA$101)&lt;=AsOfDate,EDATE($D149,Milestones!$AA$101)&gt;=SchemeStart,IF($X149=0,$AD149,IF(AND($Z149&lt;&gt;"",EDATE($D149,Milestones!$AA$101)&gt;=$Z149),$AC149,IF(AND($Y149&lt;&gt;"",EDATE($D149,Milestones!$AA$101)&gt;=$Y149),$AB149,$AA149)))=Milestones!$AB$101),UPPER(TEXT(EDATE($D149,Milestones!$AA$101),"dd mmm yy"))&amp;" "&amp;Milestones!$AB$101&amp;" "&amp;IF(AND(Milestones!$AB$101="FT",Milestones!$AA$101=FT_Y5,EDATE($D149,Milestones!$AA$101)&lt;PolicyEff),1,Milestones!$AC$101)&amp;";  ","")&amp;IF(AND(EDATE($D149,Milestones!$AA$102)&lt;=AsOfDate,EDATE($D149,Milestones!$AA$102)&gt;=SchemeStart,IF($X149=0,$AD149,IF(AND($Z149&lt;&gt;"",EDATE($D149,Milestones!$AA$102)&gt;=$Z149),$AC149,IF(AND($Y149&lt;&gt;"",EDATE($D149,Milestones!$AA$102)&gt;=$Y149),$AB149,$AA149)))=Milestones!$AB$102),UPPER(TEXT(EDATE($D149,Milestones!$AA$102),"dd mmm yy"))&amp;" "&amp;Milestones!$AB$102&amp;" "&amp;IF(AND(Milestones!$AB$102="FT",Milestones!$AA$102=FT_Y5,EDATE($D149,Milestones!$AA$102)&lt;PolicyEff),1,Milestones!$AC$102)&amp;";  ","")&amp;IF(AND(EDATE($D149,Milestones!$AA$103)&lt;=AsOfDate,EDATE($D149,Milestones!$AA$103)&gt;=SchemeStart,IF($X149=0,$AD149,IF(AND($Z149&lt;&gt;"",EDATE($D149,Milestones!$AA$103)&gt;=$Z149),$AC149,IF(AND($Y149&lt;&gt;"",EDATE($D149,Milestones!$AA$103)&gt;=$Y149),$AB149,$AA149)))=Milestones!$AB$103),UPPER(TEXT(EDATE($D149,Milestones!$AA$103),"dd mmm yy"))&amp;" "&amp;Milestones!$AB$103&amp;" "&amp;IF(AND(Milestones!$AB$103="FT",Milestones!$AA$103=FT_Y5,EDATE($D149,Milestones!$AA$103)&lt;PolicyEff),1,Milestones!$AC$103)&amp;";  ",""))</f>
        <v/>
      </c>
      <c r="P149" s="0" t="str">
        <f aca="false">IF(OR($A149="",$D149=""),"",IF(AND(EDATE($D149,Milestones!$AA$104)&lt;=AsOfDate,EDATE($D149,Milestones!$AA$104)&gt;=SchemeStart,IF($X149=0,$AD149,IF(AND($Z149&lt;&gt;"",EDATE($D149,Milestones!$AA$104)&gt;=$Z149),$AC149,IF(AND($Y149&lt;&gt;"",EDATE($D149,Milestones!$AA$104)&gt;=$Y149),$AB149,$AA149)))=Milestones!$AB$104),UPPER(TEXT(EDATE($D149,Milestones!$AA$104),"dd mmm yy"))&amp;" "&amp;Milestones!$AB$104&amp;" "&amp;IF(AND(Milestones!$AB$104="FT",Milestones!$AA$104=FT_Y5,EDATE($D149,Milestones!$AA$104)&lt;PolicyEff),1,Milestones!$AC$104)&amp;";  ","")&amp;IF(AND(EDATE($D149,Milestones!$AA$105)&lt;=AsOfDate,EDATE($D149,Milestones!$AA$105)&gt;=SchemeStart,IF($X149=0,$AD149,IF(AND($Z149&lt;&gt;"",EDATE($D149,Milestones!$AA$105)&gt;=$Z149),$AC149,IF(AND($Y149&lt;&gt;"",EDATE($D149,Milestones!$AA$105)&gt;=$Y149),$AB149,$AA149)))=Milestones!$AB$105),UPPER(TEXT(EDATE($D149,Milestones!$AA$105),"dd mmm yy"))&amp;" "&amp;Milestones!$AB$105&amp;" "&amp;IF(AND(Milestones!$AB$105="FT",Milestones!$AA$105=FT_Y5,EDATE($D149,Milestones!$AA$105)&lt;PolicyEff),1,Milestones!$AC$105)&amp;";  ","")&amp;IF(AND(EDATE($D149,Milestones!$AA$106)&lt;=AsOfDate,EDATE($D149,Milestones!$AA$106)&gt;=SchemeStart,IF($X149=0,$AD149,IF(AND($Z149&lt;&gt;"",EDATE($D149,Milestones!$AA$106)&gt;=$Z149),$AC149,IF(AND($Y149&lt;&gt;"",EDATE($D149,Milestones!$AA$106)&gt;=$Y149),$AB149,$AA149)))=Milestones!$AB$106),UPPER(TEXT(EDATE($D149,Milestones!$AA$106),"dd mmm yy"))&amp;" "&amp;Milestones!$AB$106&amp;" "&amp;IF(AND(Milestones!$AB$106="FT",Milestones!$AA$106=FT_Y5,EDATE($D149,Milestones!$AA$106)&lt;PolicyEff),1,Milestones!$AC$106)&amp;";  ","")&amp;IF(AND(EDATE($D149,Milestones!$AA$107)&lt;=AsOfDate,EDATE($D149,Milestones!$AA$107)&gt;=SchemeStart,IF($X149=0,$AD149,IF(AND($Z149&lt;&gt;"",EDATE($D149,Milestones!$AA$107)&gt;=$Z149),$AC149,IF(AND($Y149&lt;&gt;"",EDATE($D149,Milestones!$AA$107)&gt;=$Y149),$AB149,$AA149)))=Milestones!$AB$107),UPPER(TEXT(EDATE($D149,Milestones!$AA$107),"dd mmm yy"))&amp;" "&amp;Milestones!$AB$107&amp;" "&amp;IF(AND(Milestones!$AB$107="FT",Milestones!$AA$107=FT_Y5,EDATE($D149,Milestones!$AA$107)&lt;PolicyEff),1,Milestones!$AC$107)&amp;";  ","")&amp;IF(AND(EDATE($D149,Milestones!$AA$108)&lt;=AsOfDate,EDATE($D149,Milestones!$AA$108)&gt;=SchemeStart,IF($X149=0,$AD149,IF(AND($Z149&lt;&gt;"",EDATE($D149,Milestones!$AA$108)&gt;=$Z149),$AC149,IF(AND($Y149&lt;&gt;"",EDATE($D149,Milestones!$AA$108)&gt;=$Y149),$AB149,$AA149)))=Milestones!$AB$108),UPPER(TEXT(EDATE($D149,Milestones!$AA$108),"dd mmm yy"))&amp;" "&amp;Milestones!$AB$108&amp;" "&amp;IF(AND(Milestones!$AB$108="FT",Milestones!$AA$108=FT_Y5,EDATE($D149,Milestones!$AA$108)&lt;PolicyEff),1,Milestones!$AC$108)&amp;";  ","")&amp;IF(AND(EDATE($D149,Milestones!$AA$109)&lt;=AsOfDate,EDATE($D149,Milestones!$AA$109)&gt;=SchemeStart,IF($X149=0,$AD149,IF(AND($Z149&lt;&gt;"",EDATE($D149,Milestones!$AA$109)&gt;=$Z149),$AC149,IF(AND($Y149&lt;&gt;"",EDATE($D149,Milestones!$AA$109)&gt;=$Y149),$AB149,$AA149)))=Milestones!$AB$109),UPPER(TEXT(EDATE($D149,Milestones!$AA$109),"dd mmm yy"))&amp;" "&amp;Milestones!$AB$109&amp;" "&amp;IF(AND(Milestones!$AB$109="FT",Milestones!$AA$109=FT_Y5,EDATE($D149,Milestones!$AA$109)&lt;PolicyEff),1,Milestones!$AC$109)&amp;";  ","")&amp;IF(AND(EDATE($D149,Milestones!$AA$110)&lt;=AsOfDate,EDATE($D149,Milestones!$AA$110)&gt;=SchemeStart,IF($X149=0,$AD149,IF(AND($Z149&lt;&gt;"",EDATE($D149,Milestones!$AA$110)&gt;=$Z149),$AC149,IF(AND($Y149&lt;&gt;"",EDATE($D149,Milestones!$AA$110)&gt;=$Y149),$AB149,$AA149)))=Milestones!$AB$110),UPPER(TEXT(EDATE($D149,Milestones!$AA$110),"dd mmm yy"))&amp;" "&amp;Milestones!$AB$110&amp;" "&amp;IF(AND(Milestones!$AB$110="FT",Milestones!$AA$110=FT_Y5,EDATE($D149,Milestones!$AA$110)&lt;PolicyEff),1,Milestones!$AC$110)&amp;";  ","")&amp;IF(AND(EDATE($D149,Milestones!$AA$111)&lt;=AsOfDate,EDATE($D149,Milestones!$AA$111)&gt;=SchemeStart,IF($X149=0,$AD149,IF(AND($Z149&lt;&gt;"",EDATE($D149,Milestones!$AA$111)&gt;=$Z149),$AC149,IF(AND($Y149&lt;&gt;"",EDATE($D149,Milestones!$AA$111)&gt;=$Y149),$AB149,$AA149)))=Milestones!$AB$111),UPPER(TEXT(EDATE($D149,Milestones!$AA$111),"dd mmm yy"))&amp;" "&amp;Milestones!$AB$111&amp;" "&amp;IF(AND(Milestones!$AB$111="FT",Milestones!$AA$111=FT_Y5,EDATE($D149,Milestones!$AA$111)&lt;PolicyEff),1,Milestones!$AC$111)&amp;";  ","")&amp;IF(AND(EDATE($D149,Milestones!$AA$112)&lt;=AsOfDate,EDATE($D149,Milestones!$AA$112)&gt;=SchemeStart,IF($X149=0,$AD149,IF(AND($Z149&lt;&gt;"",EDATE($D149,Milestones!$AA$112)&gt;=$Z149),$AC149,IF(AND($Y149&lt;&gt;"",EDATE($D149,Milestones!$AA$112)&gt;=$Y149),$AB149,$AA149)))=Milestones!$AB$112),UPPER(TEXT(EDATE($D149,Milestones!$AA$112),"dd mmm yy"))&amp;" "&amp;Milestones!$AB$112&amp;" "&amp;IF(AND(Milestones!$AB$112="FT",Milestones!$AA$112=FT_Y5,EDATE($D149,Milestones!$AA$112)&lt;PolicyEff),1,Milestones!$AC$112)&amp;";  ","")&amp;IF(AND(EDATE($D149,Milestones!$AA$113)&lt;=AsOfDate,EDATE($D149,Milestones!$AA$113)&gt;=SchemeStart,IF($X149=0,$AD149,IF(AND($Z149&lt;&gt;"",EDATE($D149,Milestones!$AA$113)&gt;=$Z149),$AC149,IF(AND($Y149&lt;&gt;"",EDATE($D149,Milestones!$AA$113)&gt;=$Y149),$AB149,$AA149)))=Milestones!$AB$113),UPPER(TEXT(EDATE($D149,Milestones!$AA$113),"dd mmm yy"))&amp;" "&amp;Milestones!$AB$113&amp;" "&amp;IF(AND(Milestones!$AB$113="FT",Milestones!$AA$113=FT_Y5,EDATE($D149,Milestones!$AA$113)&lt;PolicyEff),1,Milestones!$AC$113)&amp;";  ","")&amp;IF(AND(EDATE($D149,Milestones!$AA$114)&lt;=AsOfDate,EDATE($D149,Milestones!$AA$114)&gt;=SchemeStart,IF($X149=0,$AD149,IF(AND($Z149&lt;&gt;"",EDATE($D149,Milestones!$AA$114)&gt;=$Z149),$AC149,IF(AND($Y149&lt;&gt;"",EDATE($D149,Milestones!$AA$114)&gt;=$Y149),$AB149,$AA149)))=Milestones!$AB$114),UPPER(TEXT(EDATE($D149,Milestones!$AA$114),"dd mmm yy"))&amp;" "&amp;Milestones!$AB$114&amp;" "&amp;IF(AND(Milestones!$AB$114="FT",Milestones!$AA$114=FT_Y5,EDATE($D149,Milestones!$AA$114)&lt;PolicyEff),1,Milestones!$AC$114)&amp;";  ","")&amp;IF(AND(EDATE($D149,Milestones!$AA$115)&lt;=AsOfDate,EDATE($D149,Milestones!$AA$115)&gt;=SchemeStart,IF($X149=0,$AD149,IF(AND($Z149&lt;&gt;"",EDATE($D149,Milestones!$AA$115)&gt;=$Z149),$AC149,IF(AND($Y149&lt;&gt;"",EDATE($D149,Milestones!$AA$115)&gt;=$Y149),$AB149,$AA149)))=Milestones!$AB$115),UPPER(TEXT(EDATE($D149,Milestones!$AA$115),"dd mmm yy"))&amp;" "&amp;Milestones!$AB$115&amp;" "&amp;IF(AND(Milestones!$AB$115="FT",Milestones!$AA$115=FT_Y5,EDATE($D149,Milestones!$AA$115)&lt;PolicyEff),1,Milestones!$AC$115)&amp;";  ",""))</f>
        <v/>
      </c>
      <c r="Q149" s="0" t="str">
        <f aca="false">IF(OR($A149="",$D149=""),"",IF(AND(EDATE($D149,Milestones!$AA$116)&lt;=AsOfDate,EDATE($D149,Milestones!$AA$116)&gt;=SchemeStart,IF($X149=0,$AD149,IF(AND($Z149&lt;&gt;"",EDATE($D149,Milestones!$AA$116)&gt;=$Z149),$AC149,IF(AND($Y149&lt;&gt;"",EDATE($D149,Milestones!$AA$116)&gt;=$Y149),$AB149,$AA149)))=Milestones!$AB$116),UPPER(TEXT(EDATE($D149,Milestones!$AA$116),"dd mmm yy"))&amp;" "&amp;Milestones!$AB$116&amp;" "&amp;IF(AND(Milestones!$AB$116="FT",Milestones!$AA$116=FT_Y5,EDATE($D149,Milestones!$AA$116)&lt;PolicyEff),1,Milestones!$AC$116)&amp;";  ","")&amp;IF(AND(EDATE($D149,Milestones!$AA$117)&lt;=AsOfDate,EDATE($D149,Milestones!$AA$117)&gt;=SchemeStart,IF($X149=0,$AD149,IF(AND($Z149&lt;&gt;"",EDATE($D149,Milestones!$AA$117)&gt;=$Z149),$AC149,IF(AND($Y149&lt;&gt;"",EDATE($D149,Milestones!$AA$117)&gt;=$Y149),$AB149,$AA149)))=Milestones!$AB$117),UPPER(TEXT(EDATE($D149,Milestones!$AA$117),"dd mmm yy"))&amp;" "&amp;Milestones!$AB$117&amp;" "&amp;IF(AND(Milestones!$AB$117="FT",Milestones!$AA$117=FT_Y5,EDATE($D149,Milestones!$AA$117)&lt;PolicyEff),1,Milestones!$AC$117)&amp;";  ","")&amp;IF(AND(EDATE($D149,Milestones!$AA$118)&lt;=AsOfDate,EDATE($D149,Milestones!$AA$118)&gt;=SchemeStart,IF($X149=0,$AD149,IF(AND($Z149&lt;&gt;"",EDATE($D149,Milestones!$AA$118)&gt;=$Z149),$AC149,IF(AND($Y149&lt;&gt;"",EDATE($D149,Milestones!$AA$118)&gt;=$Y149),$AB149,$AA149)))=Milestones!$AB$118),UPPER(TEXT(EDATE($D149,Milestones!$AA$118),"dd mmm yy"))&amp;" "&amp;Milestones!$AB$118&amp;" "&amp;IF(AND(Milestones!$AB$118="FT",Milestones!$AA$118=FT_Y5,EDATE($D149,Milestones!$AA$118)&lt;PolicyEff),1,Milestones!$AC$118)&amp;";  ","")&amp;IF(AND(EDATE($D149,Milestones!$AA$119)&lt;=AsOfDate,EDATE($D149,Milestones!$AA$119)&gt;=SchemeStart,IF($X149=0,$AD149,IF(AND($Z149&lt;&gt;"",EDATE($D149,Milestones!$AA$119)&gt;=$Z149),$AC149,IF(AND($Y149&lt;&gt;"",EDATE($D149,Milestones!$AA$119)&gt;=$Y149),$AB149,$AA149)))=Milestones!$AB$119),UPPER(TEXT(EDATE($D149,Milestones!$AA$119),"dd mmm yy"))&amp;" "&amp;Milestones!$AB$119&amp;" "&amp;IF(AND(Milestones!$AB$119="FT",Milestones!$AA$119=FT_Y5,EDATE($D149,Milestones!$AA$119)&lt;PolicyEff),1,Milestones!$AC$119)&amp;";  ","")&amp;IF(AND(EDATE($D149,Milestones!$AA$120)&lt;=AsOfDate,EDATE($D149,Milestones!$AA$120)&gt;=SchemeStart,IF($X149=0,$AD149,IF(AND($Z149&lt;&gt;"",EDATE($D149,Milestones!$AA$120)&gt;=$Z149),$AC149,IF(AND($Y149&lt;&gt;"",EDATE($D149,Milestones!$AA$120)&gt;=$Y149),$AB149,$AA149)))=Milestones!$AB$120),UPPER(TEXT(EDATE($D149,Milestones!$AA$120),"dd mmm yy"))&amp;" "&amp;Milestones!$AB$120&amp;" "&amp;IF(AND(Milestones!$AB$120="FT",Milestones!$AA$120=FT_Y5,EDATE($D149,Milestones!$AA$120)&lt;PolicyEff),1,Milestones!$AC$120)&amp;";  ","")&amp;IF(AND(EDATE($D149,Milestones!$AA$121)&lt;=AsOfDate,EDATE($D149,Milestones!$AA$121)&gt;=SchemeStart,IF($X149=0,$AD149,IF(AND($Z149&lt;&gt;"",EDATE($D149,Milestones!$AA$121)&gt;=$Z149),$AC149,IF(AND($Y149&lt;&gt;"",EDATE($D149,Milestones!$AA$121)&gt;=$Y149),$AB149,$AA149)))=Milestones!$AB$121),UPPER(TEXT(EDATE($D149,Milestones!$AA$121),"dd mmm yy"))&amp;" "&amp;Milestones!$AB$121&amp;" "&amp;IF(AND(Milestones!$AB$121="FT",Milestones!$AA$121=FT_Y5,EDATE($D149,Milestones!$AA$121)&lt;PolicyEff),1,Milestones!$AC$121)&amp;";  ","")&amp;IF(AND(EDATE($D149,Milestones!$AA$122)&lt;=AsOfDate,EDATE($D149,Milestones!$AA$122)&gt;=SchemeStart,IF($X149=0,$AD149,IF(AND($Z149&lt;&gt;"",EDATE($D149,Milestones!$AA$122)&gt;=$Z149),$AC149,IF(AND($Y149&lt;&gt;"",EDATE($D149,Milestones!$AA$122)&gt;=$Y149),$AB149,$AA149)))=Milestones!$AB$122),UPPER(TEXT(EDATE($D149,Milestones!$AA$122),"dd mmm yy"))&amp;" "&amp;Milestones!$AB$122&amp;" "&amp;IF(AND(Milestones!$AB$122="FT",Milestones!$AA$122=FT_Y5,EDATE($D149,Milestones!$AA$122)&lt;PolicyEff),1,Milestones!$AC$122)&amp;";  ","")&amp;IF(AND(EDATE($D149,Milestones!$AA$123)&lt;=AsOfDate,EDATE($D149,Milestones!$AA$123)&gt;=SchemeStart,IF($X149=0,$AD149,IF(AND($Z149&lt;&gt;"",EDATE($D149,Milestones!$AA$123)&gt;=$Z149),$AC149,IF(AND($Y149&lt;&gt;"",EDATE($D149,Milestones!$AA$123)&gt;=$Y149),$AB149,$AA149)))=Milestones!$AB$123),UPPER(TEXT(EDATE($D149,Milestones!$AA$123),"dd mmm yy"))&amp;" "&amp;Milestones!$AB$123&amp;" "&amp;IF(AND(Milestones!$AB$123="FT",Milestones!$AA$123=FT_Y5,EDATE($D149,Milestones!$AA$123)&lt;PolicyEff),1,Milestones!$AC$123)&amp;";  ","")&amp;IF(AND(EDATE($D149,Milestones!$AA$124)&lt;=AsOfDate,EDATE($D149,Milestones!$AA$124)&gt;=SchemeStart,IF($X149=0,$AD149,IF(AND($Z149&lt;&gt;"",EDATE($D149,Milestones!$AA$124)&gt;=$Z149),$AC149,IF(AND($Y149&lt;&gt;"",EDATE($D149,Milestones!$AA$124)&gt;=$Y149),$AB149,$AA149)))=Milestones!$AB$124),UPPER(TEXT(EDATE($D149,Milestones!$AA$124),"dd mmm yy"))&amp;" "&amp;Milestones!$AB$124&amp;" "&amp;IF(AND(Milestones!$AB$124="FT",Milestones!$AA$124=FT_Y5,EDATE($D149,Milestones!$AA$124)&lt;PolicyEff),1,Milestones!$AC$124)&amp;";  ","")&amp;IF(AND(EDATE($D149,Milestones!$AA$125)&lt;=AsOfDate,EDATE($D149,Milestones!$AA$125)&gt;=SchemeStart,IF($X149=0,$AD149,IF(AND($Z149&lt;&gt;"",EDATE($D149,Milestones!$AA$125)&gt;=$Z149),$AC149,IF(AND($Y149&lt;&gt;"",EDATE($D149,Milestones!$AA$125)&gt;=$Y149),$AB149,$AA149)))=Milestones!$AB$125),UPPER(TEXT(EDATE($D149,Milestones!$AA$125),"dd mmm yy"))&amp;" "&amp;Milestones!$AB$125&amp;" "&amp;IF(AND(Milestones!$AB$125="FT",Milestones!$AA$125=FT_Y5,EDATE($D149,Milestones!$AA$125)&lt;PolicyEff),1,Milestones!$AC$125)&amp;";  ","")&amp;IF(AND(EDATE($D149,Milestones!$AA$126)&lt;=AsOfDate,EDATE($D149,Milestones!$AA$126)&gt;=SchemeStart,IF($X149=0,$AD149,IF(AND($Z149&lt;&gt;"",EDATE($D149,Milestones!$AA$126)&gt;=$Z149),$AC149,IF(AND($Y149&lt;&gt;"",EDATE($D149,Milestones!$AA$126)&gt;=$Y149),$AB149,$AA149)))=Milestones!$AB$126),UPPER(TEXT(EDATE($D149,Milestones!$AA$126),"dd mmm yy"))&amp;" "&amp;Milestones!$AB$126&amp;" "&amp;IF(AND(Milestones!$AB$126="FT",Milestones!$AA$126=FT_Y5,EDATE($D149,Milestones!$AA$126)&lt;PolicyEff),1,Milestones!$AC$126)&amp;";  ","")&amp;IF(AND(EDATE($D149,Milestones!$AA$127)&lt;=AsOfDate,EDATE($D149,Milestones!$AA$127)&gt;=SchemeStart,IF($X149=0,$AD149,IF(AND($Z149&lt;&gt;"",EDATE($D149,Milestones!$AA$127)&gt;=$Z149),$AC149,IF(AND($Y149&lt;&gt;"",EDATE($D149,Milestones!$AA$127)&gt;=$Y149),$AB149,$AA149)))=Milestones!$AB$127),UPPER(TEXT(EDATE($D149,Milestones!$AA$127),"dd mmm yy"))&amp;" "&amp;Milestones!$AB$127&amp;" "&amp;IF(AND(Milestones!$AB$127="FT",Milestones!$AA$127=FT_Y5,EDATE($D149,Milestones!$AA$127)&lt;PolicyEff),1,Milestones!$AC$127)&amp;";  ",""))</f>
        <v/>
      </c>
      <c r="R149" s="0" t="str">
        <f aca="false">IF(OR($A149="",$D149=""),"",IF(AND(EDATE($D149,Milestones!$AA$128)&lt;=AsOfDate,EDATE($D149,Milestones!$AA$128)&gt;=SchemeStart,IF($X149=0,$AD149,IF(AND($Z149&lt;&gt;"",EDATE($D149,Milestones!$AA$128)&gt;=$Z149),$AC149,IF(AND($Y149&lt;&gt;"",EDATE($D149,Milestones!$AA$128)&gt;=$Y149),$AB149,$AA149)))=Milestones!$AB$128),UPPER(TEXT(EDATE($D149,Milestones!$AA$128),"dd mmm yy"))&amp;" "&amp;Milestones!$AB$128&amp;" "&amp;IF(AND(Milestones!$AB$128="FT",Milestones!$AA$128=FT_Y5,EDATE($D149,Milestones!$AA$128)&lt;PolicyEff),1,Milestones!$AC$128)&amp;";  ","")&amp;IF(AND(EDATE($D149,Milestones!$AA$129)&lt;=AsOfDate,EDATE($D149,Milestones!$AA$129)&gt;=SchemeStart,IF($X149=0,$AD149,IF(AND($Z149&lt;&gt;"",EDATE($D149,Milestones!$AA$129)&gt;=$Z149),$AC149,IF(AND($Y149&lt;&gt;"",EDATE($D149,Milestones!$AA$129)&gt;=$Y149),$AB149,$AA149)))=Milestones!$AB$129),UPPER(TEXT(EDATE($D149,Milestones!$AA$129),"dd mmm yy"))&amp;" "&amp;Milestones!$AB$129&amp;" "&amp;IF(AND(Milestones!$AB$129="FT",Milestones!$AA$129=FT_Y5,EDATE($D149,Milestones!$AA$129)&lt;PolicyEff),1,Milestones!$AC$129)&amp;";  ","")&amp;IF(AND(EDATE($D149,Milestones!$AA$130)&lt;=AsOfDate,EDATE($D149,Milestones!$AA$130)&gt;=SchemeStart,IF($X149=0,$AD149,IF(AND($Z149&lt;&gt;"",EDATE($D149,Milestones!$AA$130)&gt;=$Z149),$AC149,IF(AND($Y149&lt;&gt;"",EDATE($D149,Milestones!$AA$130)&gt;=$Y149),$AB149,$AA149)))=Milestones!$AB$130),UPPER(TEXT(EDATE($D149,Milestones!$AA$130),"dd mmm yy"))&amp;" "&amp;Milestones!$AB$130&amp;" "&amp;IF(AND(Milestones!$AB$130="FT",Milestones!$AA$130=FT_Y5,EDATE($D149,Milestones!$AA$130)&lt;PolicyEff),1,Milestones!$AC$130)&amp;";  ","")&amp;IF(AND(EDATE($D149,Milestones!$AA$131)&lt;=AsOfDate,EDATE($D149,Milestones!$AA$131)&gt;=SchemeStart,IF($X149=0,$AD149,IF(AND($Z149&lt;&gt;"",EDATE($D149,Milestones!$AA$131)&gt;=$Z149),$AC149,IF(AND($Y149&lt;&gt;"",EDATE($D149,Milestones!$AA$131)&gt;=$Y149),$AB149,$AA149)))=Milestones!$AB$131),UPPER(TEXT(EDATE($D149,Milestones!$AA$131),"dd mmm yy"))&amp;" "&amp;Milestones!$AB$131&amp;" "&amp;IF(AND(Milestones!$AB$131="FT",Milestones!$AA$131=FT_Y5,EDATE($D149,Milestones!$AA$131)&lt;PolicyEff),1,Milestones!$AC$131)&amp;";  ","")&amp;IF(AND(EDATE($D149,Milestones!$AA$132)&lt;=AsOfDate,EDATE($D149,Milestones!$AA$132)&gt;=SchemeStart,IF($X149=0,$AD149,IF(AND($Z149&lt;&gt;"",EDATE($D149,Milestones!$AA$132)&gt;=$Z149),$AC149,IF(AND($Y149&lt;&gt;"",EDATE($D149,Milestones!$AA$132)&gt;=$Y149),$AB149,$AA149)))=Milestones!$AB$132),UPPER(TEXT(EDATE($D149,Milestones!$AA$132),"dd mmm yy"))&amp;" "&amp;Milestones!$AB$132&amp;" "&amp;IF(AND(Milestones!$AB$132="FT",Milestones!$AA$132=FT_Y5,EDATE($D149,Milestones!$AA$132)&lt;PolicyEff),1,Milestones!$AC$132)&amp;";  ","")&amp;IF(AND(EDATE($D149,Milestones!$AA$133)&lt;=AsOfDate,EDATE($D149,Milestones!$AA$133)&gt;=SchemeStart,IF($X149=0,$AD149,IF(AND($Z149&lt;&gt;"",EDATE($D149,Milestones!$AA$133)&gt;=$Z149),$AC149,IF(AND($Y149&lt;&gt;"",EDATE($D149,Milestones!$AA$133)&gt;=$Y149),$AB149,$AA149)))=Milestones!$AB$133),UPPER(TEXT(EDATE($D149,Milestones!$AA$133),"dd mmm yy"))&amp;" "&amp;Milestones!$AB$133&amp;" "&amp;IF(AND(Milestones!$AB$133="FT",Milestones!$AA$133=FT_Y5,EDATE($D149,Milestones!$AA$133)&lt;PolicyEff),1,Milestones!$AC$133)&amp;";  ","")&amp;IF(AND(EDATE($D149,Milestones!$AA$134)&lt;=AsOfDate,EDATE($D149,Milestones!$AA$134)&gt;=SchemeStart,IF($X149=0,$AD149,IF(AND($Z149&lt;&gt;"",EDATE($D149,Milestones!$AA$134)&gt;=$Z149),$AC149,IF(AND($Y149&lt;&gt;"",EDATE($D149,Milestones!$AA$134)&gt;=$Y149),$AB149,$AA149)))=Milestones!$AB$134),UPPER(TEXT(EDATE($D149,Milestones!$AA$134),"dd mmm yy"))&amp;" "&amp;Milestones!$AB$134&amp;" "&amp;IF(AND(Milestones!$AB$134="FT",Milestones!$AA$134=FT_Y5,EDATE($D149,Milestones!$AA$134)&lt;PolicyEff),1,Milestones!$AC$134)&amp;";  ","")&amp;IF(AND(EDATE($D149,Milestones!$AA$135)&lt;=AsOfDate,EDATE($D149,Milestones!$AA$135)&gt;=SchemeStart,IF($X149=0,$AD149,IF(AND($Z149&lt;&gt;"",EDATE($D149,Milestones!$AA$135)&gt;=$Z149),$AC149,IF(AND($Y149&lt;&gt;"",EDATE($D149,Milestones!$AA$135)&gt;=$Y149),$AB149,$AA149)))=Milestones!$AB$135),UPPER(TEXT(EDATE($D149,Milestones!$AA$135),"dd mmm yy"))&amp;" "&amp;Milestones!$AB$135&amp;" "&amp;IF(AND(Milestones!$AB$135="FT",Milestones!$AA$135=FT_Y5,EDATE($D149,Milestones!$AA$135)&lt;PolicyEff),1,Milestones!$AC$135)&amp;";  ","")&amp;IF(AND(EDATE($D149,Milestones!$AA$136)&lt;=AsOfDate,EDATE($D149,Milestones!$AA$136)&gt;=SchemeStart,IF($X149=0,$AD149,IF(AND($Z149&lt;&gt;"",EDATE($D149,Milestones!$AA$136)&gt;=$Z149),$AC149,IF(AND($Y149&lt;&gt;"",EDATE($D149,Milestones!$AA$136)&gt;=$Y149),$AB149,$AA149)))=Milestones!$AB$136),UPPER(TEXT(EDATE($D149,Milestones!$AA$136),"dd mmm yy"))&amp;" "&amp;Milestones!$AB$136&amp;" "&amp;IF(AND(Milestones!$AB$136="FT",Milestones!$AA$136=FT_Y5,EDATE($D149,Milestones!$AA$136)&lt;PolicyEff),1,Milestones!$AC$136)&amp;";  ","")&amp;IF(AND(EDATE($D149,Milestones!$AA$137)&lt;=AsOfDate,EDATE($D149,Milestones!$AA$137)&gt;=SchemeStart,IF($X149=0,$AD149,IF(AND($Z149&lt;&gt;"",EDATE($D149,Milestones!$AA$137)&gt;=$Z149),$AC149,IF(AND($Y149&lt;&gt;"",EDATE($D149,Milestones!$AA$137)&gt;=$Y149),$AB149,$AA149)))=Milestones!$AB$137),UPPER(TEXT(EDATE($D149,Milestones!$AA$137),"dd mmm yy"))&amp;" "&amp;Milestones!$AB$137&amp;" "&amp;IF(AND(Milestones!$AB$137="FT",Milestones!$AA$137=FT_Y5,EDATE($D149,Milestones!$AA$137)&lt;PolicyEff),1,Milestones!$AC$137)&amp;";  ","")&amp;IF(AND(EDATE($D149,Milestones!$AA$138)&lt;=AsOfDate,EDATE($D149,Milestones!$AA$138)&gt;=SchemeStart,IF($X149=0,$AD149,IF(AND($Z149&lt;&gt;"",EDATE($D149,Milestones!$AA$138)&gt;=$Z149),$AC149,IF(AND($Y149&lt;&gt;"",EDATE($D149,Milestones!$AA$138)&gt;=$Y149),$AB149,$AA149)))=Milestones!$AB$138),UPPER(TEXT(EDATE($D149,Milestones!$AA$138),"dd mmm yy"))&amp;" "&amp;Milestones!$AB$138&amp;" "&amp;IF(AND(Milestones!$AB$138="FT",Milestones!$AA$138=FT_Y5,EDATE($D149,Milestones!$AA$138)&lt;PolicyEff),1,Milestones!$AC$138)&amp;";  ","")&amp;IF(AND(EDATE($D149,Milestones!$AA$139)&lt;=AsOfDate,EDATE($D149,Milestones!$AA$139)&gt;=SchemeStart,IF($X149=0,$AD149,IF(AND($Z149&lt;&gt;"",EDATE($D149,Milestones!$AA$139)&gt;=$Z149),$AC149,IF(AND($Y149&lt;&gt;"",EDATE($D149,Milestones!$AA$139)&gt;=$Y149),$AB149,$AA149)))=Milestones!$AB$139),UPPER(TEXT(EDATE($D149,Milestones!$AA$139),"dd mmm yy"))&amp;" "&amp;Milestones!$AB$139&amp;" "&amp;IF(AND(Milestones!$AB$139="FT",Milestones!$AA$139=FT_Y5,EDATE($D149,Milestones!$AA$139)&lt;PolicyEff),1,Milestones!$AC$139)&amp;";  ",""))</f>
        <v/>
      </c>
      <c r="S149" s="0" t="str">
        <f aca="false">IF(OR($A149="",$D149=""),"",IF(AND(EDATE($D149,Milestones!$AA$140)&lt;=AsOfDate,EDATE($D149,Milestones!$AA$140)&gt;=SchemeStart,IF($X149=0,$AD149,IF(AND($Z149&lt;&gt;"",EDATE($D149,Milestones!$AA$140)&gt;=$Z149),$AC149,IF(AND($Y149&lt;&gt;"",EDATE($D149,Milestones!$AA$140)&gt;=$Y149),$AB149,$AA149)))=Milestones!$AB$140),UPPER(TEXT(EDATE($D149,Milestones!$AA$140),"dd mmm yy"))&amp;" "&amp;Milestones!$AB$140&amp;" "&amp;IF(AND(Milestones!$AB$140="FT",Milestones!$AA$140=FT_Y5,EDATE($D149,Milestones!$AA$140)&lt;PolicyEff),1,Milestones!$AC$140)&amp;";  ","")&amp;IF(AND(EDATE($D149,Milestones!$AA$141)&lt;=AsOfDate,EDATE($D149,Milestones!$AA$141)&gt;=SchemeStart,IF($X149=0,$AD149,IF(AND($Z149&lt;&gt;"",EDATE($D149,Milestones!$AA$141)&gt;=$Z149),$AC149,IF(AND($Y149&lt;&gt;"",EDATE($D149,Milestones!$AA$141)&gt;=$Y149),$AB149,$AA149)))=Milestones!$AB$141),UPPER(TEXT(EDATE($D149,Milestones!$AA$141),"dd mmm yy"))&amp;" "&amp;Milestones!$AB$141&amp;" "&amp;IF(AND(Milestones!$AB$141="FT",Milestones!$AA$141=FT_Y5,EDATE($D149,Milestones!$AA$141)&lt;PolicyEff),1,Milestones!$AC$141)&amp;";  ","")&amp;IF(AND(EDATE($D149,Milestones!$AA$142)&lt;=AsOfDate,EDATE($D149,Milestones!$AA$142)&gt;=SchemeStart,IF($X149=0,$AD149,IF(AND($Z149&lt;&gt;"",EDATE($D149,Milestones!$AA$142)&gt;=$Z149),$AC149,IF(AND($Y149&lt;&gt;"",EDATE($D149,Milestones!$AA$142)&gt;=$Y149),$AB149,$AA149)))=Milestones!$AB$142),UPPER(TEXT(EDATE($D149,Milestones!$AA$142),"dd mmm yy"))&amp;" "&amp;Milestones!$AB$142&amp;" "&amp;IF(AND(Milestones!$AB$142="FT",Milestones!$AA$142=FT_Y5,EDATE($D149,Milestones!$AA$142)&lt;PolicyEff),1,Milestones!$AC$142)&amp;";  ","")&amp;IF(AND(EDATE($D149,Milestones!$AA$143)&lt;=AsOfDate,EDATE($D149,Milestones!$AA$143)&gt;=SchemeStart,IF($X149=0,$AD149,IF(AND($Z149&lt;&gt;"",EDATE($D149,Milestones!$AA$143)&gt;=$Z149),$AC149,IF(AND($Y149&lt;&gt;"",EDATE($D149,Milestones!$AA$143)&gt;=$Y149),$AB149,$AA149)))=Milestones!$AB$143),UPPER(TEXT(EDATE($D149,Milestones!$AA$143),"dd mmm yy"))&amp;" "&amp;Milestones!$AB$143&amp;" "&amp;IF(AND(Milestones!$AB$143="FT",Milestones!$AA$143=FT_Y5,EDATE($D149,Milestones!$AA$143)&lt;PolicyEff),1,Milestones!$AC$143)&amp;";  ","")&amp;IF(AND(EDATE($D149,Milestones!$AA$144)&lt;=AsOfDate,EDATE($D149,Milestones!$AA$144)&gt;=SchemeStart,IF($X149=0,$AD149,IF(AND($Z149&lt;&gt;"",EDATE($D149,Milestones!$AA$144)&gt;=$Z149),$AC149,IF(AND($Y149&lt;&gt;"",EDATE($D149,Milestones!$AA$144)&gt;=$Y149),$AB149,$AA149)))=Milestones!$AB$144),UPPER(TEXT(EDATE($D149,Milestones!$AA$144),"dd mmm yy"))&amp;" "&amp;Milestones!$AB$144&amp;" "&amp;IF(AND(Milestones!$AB$144="FT",Milestones!$AA$144=FT_Y5,EDATE($D149,Milestones!$AA$144)&lt;PolicyEff),1,Milestones!$AC$144)&amp;";  ","")&amp;IF(AND(EDATE($D149,Milestones!$AA$145)&lt;=AsOfDate,EDATE($D149,Milestones!$AA$145)&gt;=SchemeStart,IF($X149=0,$AD149,IF(AND($Z149&lt;&gt;"",EDATE($D149,Milestones!$AA$145)&gt;=$Z149),$AC149,IF(AND($Y149&lt;&gt;"",EDATE($D149,Milestones!$AA$145)&gt;=$Y149),$AB149,$AA149)))=Milestones!$AB$145),UPPER(TEXT(EDATE($D149,Milestones!$AA$145),"dd mmm yy"))&amp;" "&amp;Milestones!$AB$145&amp;" "&amp;IF(AND(Milestones!$AB$145="FT",Milestones!$AA$145=FT_Y5,EDATE($D149,Milestones!$AA$145)&lt;PolicyEff),1,Milestones!$AC$145)&amp;";  ","")&amp;IF(AND(EDATE($D149,Milestones!$AA$146)&lt;=AsOfDate,EDATE($D149,Milestones!$AA$146)&gt;=SchemeStart,IF($X149=0,$AD149,IF(AND($Z149&lt;&gt;"",EDATE($D149,Milestones!$AA$146)&gt;=$Z149),$AC149,IF(AND($Y149&lt;&gt;"",EDATE($D149,Milestones!$AA$146)&gt;=$Y149),$AB149,$AA149)))=Milestones!$AB$146),UPPER(TEXT(EDATE($D149,Milestones!$AA$146),"dd mmm yy"))&amp;" "&amp;Milestones!$AB$146&amp;" "&amp;IF(AND(Milestones!$AB$146="FT",Milestones!$AA$146=FT_Y5,EDATE($D149,Milestones!$AA$146)&lt;PolicyEff),1,Milestones!$AC$146)&amp;";  ","")&amp;IF(AND(EDATE($D149,Milestones!$AA$147)&lt;=AsOfDate,EDATE($D149,Milestones!$AA$147)&gt;=SchemeStart,IF($X149=0,$AD149,IF(AND($Z149&lt;&gt;"",EDATE($D149,Milestones!$AA$147)&gt;=$Z149),$AC149,IF(AND($Y149&lt;&gt;"",EDATE($D149,Milestones!$AA$147)&gt;=$Y149),$AB149,$AA149)))=Milestones!$AB$147),UPPER(TEXT(EDATE($D149,Milestones!$AA$147),"dd mmm yy"))&amp;" "&amp;Milestones!$AB$147&amp;" "&amp;IF(AND(Milestones!$AB$147="FT",Milestones!$AA$147=FT_Y5,EDATE($D149,Milestones!$AA$147)&lt;PolicyEff),1,Milestones!$AC$147)&amp;";  ","")&amp;IF(AND(EDATE($D149,Milestones!$AA$148)&lt;=AsOfDate,EDATE($D149,Milestones!$AA$148)&gt;=SchemeStart,IF($X149=0,$AD149,IF(AND($Z149&lt;&gt;"",EDATE($D149,Milestones!$AA$148)&gt;=$Z149),$AC149,IF(AND($Y149&lt;&gt;"",EDATE($D149,Milestones!$AA$148)&gt;=$Y149),$AB149,$AA149)))=Milestones!$AB$148),UPPER(TEXT(EDATE($D149,Milestones!$AA$148),"dd mmm yy"))&amp;" "&amp;Milestones!$AB$148&amp;" "&amp;IF(AND(Milestones!$AB$148="FT",Milestones!$AA$148=FT_Y5,EDATE($D149,Milestones!$AA$148)&lt;PolicyEff),1,Milestones!$AC$148)&amp;";  ","")&amp;IF(AND(EDATE($D149,Milestones!$AA$149)&lt;=AsOfDate,EDATE($D149,Milestones!$AA$149)&gt;=SchemeStart,IF($X149=0,$AD149,IF(AND($Z149&lt;&gt;"",EDATE($D149,Milestones!$AA$149)&gt;=$Z149),$AC149,IF(AND($Y149&lt;&gt;"",EDATE($D149,Milestones!$AA$149)&gt;=$Y149),$AB149,$AA149)))=Milestones!$AB$149),UPPER(TEXT(EDATE($D149,Milestones!$AA$149),"dd mmm yy"))&amp;" "&amp;Milestones!$AB$149&amp;" "&amp;IF(AND(Milestones!$AB$149="FT",Milestones!$AA$149=FT_Y5,EDATE($D149,Milestones!$AA$149)&lt;PolicyEff),1,Milestones!$AC$149)&amp;";  ","")&amp;IF(AND(EDATE($D149,Milestones!$AA$150)&lt;=AsOfDate,EDATE($D149,Milestones!$AA$150)&gt;=SchemeStart,IF($X149=0,$AD149,IF(AND($Z149&lt;&gt;"",EDATE($D149,Milestones!$AA$150)&gt;=$Z149),$AC149,IF(AND($Y149&lt;&gt;"",EDATE($D149,Milestones!$AA$150)&gt;=$Y149),$AB149,$AA149)))=Milestones!$AB$150),UPPER(TEXT(EDATE($D149,Milestones!$AA$150),"dd mmm yy"))&amp;" "&amp;Milestones!$AB$150&amp;" "&amp;IF(AND(Milestones!$AB$150="FT",Milestones!$AA$150=FT_Y5,EDATE($D149,Milestones!$AA$150)&lt;PolicyEff),1,Milestones!$AC$150)&amp;";  ","")&amp;IF(AND(EDATE($D149,Milestones!$AA$151)&lt;=AsOfDate,EDATE($D149,Milestones!$AA$151)&gt;=SchemeStart,IF($X149=0,$AD149,IF(AND($Z149&lt;&gt;"",EDATE($D149,Milestones!$AA$151)&gt;=$Z149),$AC149,IF(AND($Y149&lt;&gt;"",EDATE($D149,Milestones!$AA$151)&gt;=$Y149),$AB149,$AA149)))=Milestones!$AB$151),UPPER(TEXT(EDATE($D149,Milestones!$AA$151),"dd mmm yy"))&amp;" "&amp;Milestones!$AB$151&amp;" "&amp;IF(AND(Milestones!$AB$151="FT",Milestones!$AA$151=FT_Y5,EDATE($D149,Milestones!$AA$151)&lt;PolicyEff),1,Milestones!$AC$151)&amp;";  ",""))</f>
        <v/>
      </c>
      <c r="T149" s="0" t="str">
        <f aca="false">IF(OR($A149="",$D149=""),"",IF(AND(EDATE($D149,Milestones!$AA$152)&lt;=AsOfDate,EDATE($D149,Milestones!$AA$152)&gt;=SchemeStart,IF($X149=0,$AD149,IF(AND($Z149&lt;&gt;"",EDATE($D149,Milestones!$AA$152)&gt;=$Z149),$AC149,IF(AND($Y149&lt;&gt;"",EDATE($D149,Milestones!$AA$152)&gt;=$Y149),$AB149,$AA149)))=Milestones!$AB$152),UPPER(TEXT(EDATE($D149,Milestones!$AA$152),"dd mmm yy"))&amp;" "&amp;Milestones!$AB$152&amp;" "&amp;IF(AND(Milestones!$AB$152="FT",Milestones!$AA$152=FT_Y5,EDATE($D149,Milestones!$AA$152)&lt;PolicyEff),1,Milestones!$AC$152)&amp;";  ","")&amp;IF(AND(EDATE($D149,Milestones!$AA$153)&lt;=AsOfDate,EDATE($D149,Milestones!$AA$153)&gt;=SchemeStart,IF($X149=0,$AD149,IF(AND($Z149&lt;&gt;"",EDATE($D149,Milestones!$AA$153)&gt;=$Z149),$AC149,IF(AND($Y149&lt;&gt;"",EDATE($D149,Milestones!$AA$153)&gt;=$Y149),$AB149,$AA149)))=Milestones!$AB$153),UPPER(TEXT(EDATE($D149,Milestones!$AA$153),"dd mmm yy"))&amp;" "&amp;Milestones!$AB$153&amp;" "&amp;IF(AND(Milestones!$AB$153="FT",Milestones!$AA$153=FT_Y5,EDATE($D149,Milestones!$AA$153)&lt;PolicyEff),1,Milestones!$AC$153)&amp;";  ","")&amp;IF(AND(EDATE($D149,Milestones!$AA$154)&lt;=AsOfDate,EDATE($D149,Milestones!$AA$154)&gt;=SchemeStart,IF($X149=0,$AD149,IF(AND($Z149&lt;&gt;"",EDATE($D149,Milestones!$AA$154)&gt;=$Z149),$AC149,IF(AND($Y149&lt;&gt;"",EDATE($D149,Milestones!$AA$154)&gt;=$Y149),$AB149,$AA149)))=Milestones!$AB$154),UPPER(TEXT(EDATE($D149,Milestones!$AA$154),"dd mmm yy"))&amp;" "&amp;Milestones!$AB$154&amp;" "&amp;IF(AND(Milestones!$AB$154="FT",Milestones!$AA$154=FT_Y5,EDATE($D149,Milestones!$AA$154)&lt;PolicyEff),1,Milestones!$AC$154)&amp;";  ","")&amp;IF(AND(EDATE($D149,Milestones!$AA$155)&lt;=AsOfDate,EDATE($D149,Milestones!$AA$155)&gt;=SchemeStart,IF($X149=0,$AD149,IF(AND($Z149&lt;&gt;"",EDATE($D149,Milestones!$AA$155)&gt;=$Z149),$AC149,IF(AND($Y149&lt;&gt;"",EDATE($D149,Milestones!$AA$155)&gt;=$Y149),$AB149,$AA149)))=Milestones!$AB$155),UPPER(TEXT(EDATE($D149,Milestones!$AA$155),"dd mmm yy"))&amp;" "&amp;Milestones!$AB$155&amp;" "&amp;IF(AND(Milestones!$AB$155="FT",Milestones!$AA$155=FT_Y5,EDATE($D149,Milestones!$AA$155)&lt;PolicyEff),1,Milestones!$AC$155)&amp;";  ","")&amp;IF(AND(EDATE($D149,Milestones!$AA$156)&lt;=AsOfDate,EDATE($D149,Milestones!$AA$156)&gt;=SchemeStart,IF($X149=0,$AD149,IF(AND($Z149&lt;&gt;"",EDATE($D149,Milestones!$AA$156)&gt;=$Z149),$AC149,IF(AND($Y149&lt;&gt;"",EDATE($D149,Milestones!$AA$156)&gt;=$Y149),$AB149,$AA149)))=Milestones!$AB$156),UPPER(TEXT(EDATE($D149,Milestones!$AA$156),"dd mmm yy"))&amp;" "&amp;Milestones!$AB$156&amp;" "&amp;IF(AND(Milestones!$AB$156="FT",Milestones!$AA$156=FT_Y5,EDATE($D149,Milestones!$AA$156)&lt;PolicyEff),1,Milestones!$AC$156)&amp;";  ","")&amp;IF(AND(EDATE($D149,Milestones!$AA$157)&lt;=AsOfDate,EDATE($D149,Milestones!$AA$157)&gt;=SchemeStart,IF($X149=0,$AD149,IF(AND($Z149&lt;&gt;"",EDATE($D149,Milestones!$AA$157)&gt;=$Z149),$AC149,IF(AND($Y149&lt;&gt;"",EDATE($D149,Milestones!$AA$157)&gt;=$Y149),$AB149,$AA149)))=Milestones!$AB$157),UPPER(TEXT(EDATE($D149,Milestones!$AA$157),"dd mmm yy"))&amp;" "&amp;Milestones!$AB$157&amp;" "&amp;IF(AND(Milestones!$AB$157="FT",Milestones!$AA$157=FT_Y5,EDATE($D149,Milestones!$AA$157)&lt;PolicyEff),1,Milestones!$AC$157)&amp;";  ","")&amp;IF(AND(EDATE($D149,Milestones!$AA$158)&lt;=AsOfDate,EDATE($D149,Milestones!$AA$158)&gt;=SchemeStart,IF($X149=0,$AD149,IF(AND($Z149&lt;&gt;"",EDATE($D149,Milestones!$AA$158)&gt;=$Z149),$AC149,IF(AND($Y149&lt;&gt;"",EDATE($D149,Milestones!$AA$158)&gt;=$Y149),$AB149,$AA149)))=Milestones!$AB$158),UPPER(TEXT(EDATE($D149,Milestones!$AA$158),"dd mmm yy"))&amp;" "&amp;Milestones!$AB$158&amp;" "&amp;IF(AND(Milestones!$AB$158="FT",Milestones!$AA$158=FT_Y5,EDATE($D149,Milestones!$AA$158)&lt;PolicyEff),1,Milestones!$AC$158)&amp;";  ","")&amp;IF(AND(EDATE($D149,Milestones!$AA$159)&lt;=AsOfDate,EDATE($D149,Milestones!$AA$159)&gt;=SchemeStart,IF($X149=0,$AD149,IF(AND($Z149&lt;&gt;"",EDATE($D149,Milestones!$AA$159)&gt;=$Z149),$AC149,IF(AND($Y149&lt;&gt;"",EDATE($D149,Milestones!$AA$159)&gt;=$Y149),$AB149,$AA149)))=Milestones!$AB$159),UPPER(TEXT(EDATE($D149,Milestones!$AA$159),"dd mmm yy"))&amp;" "&amp;Milestones!$AB$159&amp;" "&amp;IF(AND(Milestones!$AB$159="FT",Milestones!$AA$159=FT_Y5,EDATE($D149,Milestones!$AA$159)&lt;PolicyEff),1,Milestones!$AC$159)&amp;";  ","")&amp;IF(AND(EDATE($D149,Milestones!$AA$160)&lt;=AsOfDate,EDATE($D149,Milestones!$AA$160)&gt;=SchemeStart,IF($X149=0,$AD149,IF(AND($Z149&lt;&gt;"",EDATE($D149,Milestones!$AA$160)&gt;=$Z149),$AC149,IF(AND($Y149&lt;&gt;"",EDATE($D149,Milestones!$AA$160)&gt;=$Y149),$AB149,$AA149)))=Milestones!$AB$160),UPPER(TEXT(EDATE($D149,Milestones!$AA$160),"dd mmm yy"))&amp;" "&amp;Milestones!$AB$160&amp;" "&amp;IF(AND(Milestones!$AB$160="FT",Milestones!$AA$160=FT_Y5,EDATE($D149,Milestones!$AA$160)&lt;PolicyEff),1,Milestones!$AC$160)&amp;";  ","")&amp;IF(AND(EDATE($D149,Milestones!$AA$161)&lt;=AsOfDate,EDATE($D149,Milestones!$AA$161)&gt;=SchemeStart,IF($X149=0,$AD149,IF(AND($Z149&lt;&gt;"",EDATE($D149,Milestones!$AA$161)&gt;=$Z149),$AC149,IF(AND($Y149&lt;&gt;"",EDATE($D149,Milestones!$AA$161)&gt;=$Y149),$AB149,$AA149)))=Milestones!$AB$161),UPPER(TEXT(EDATE($D149,Milestones!$AA$161),"dd mmm yy"))&amp;" "&amp;Milestones!$AB$161&amp;" "&amp;IF(AND(Milestones!$AB$161="FT",Milestones!$AA$161=FT_Y5,EDATE($D149,Milestones!$AA$161)&lt;PolicyEff),1,Milestones!$AC$161)&amp;";  ","")&amp;IF(AND(EDATE($D149,Milestones!$AA$162)&lt;=AsOfDate,EDATE($D149,Milestones!$AA$162)&gt;=SchemeStart,IF($X149=0,$AD149,IF(AND($Z149&lt;&gt;"",EDATE($D149,Milestones!$AA$162)&gt;=$Z149),$AC149,IF(AND($Y149&lt;&gt;"",EDATE($D149,Milestones!$AA$162)&gt;=$Y149),$AB149,$AA149)))=Milestones!$AB$162),UPPER(TEXT(EDATE($D149,Milestones!$AA$162),"dd mmm yy"))&amp;" "&amp;Milestones!$AB$162&amp;" "&amp;IF(AND(Milestones!$AB$162="FT",Milestones!$AA$162=FT_Y5,EDATE($D149,Milestones!$AA$162)&lt;PolicyEff),1,Milestones!$AC$162)&amp;";  ","")&amp;IF(AND(EDATE($D149,Milestones!$AA$163)&lt;=AsOfDate,EDATE($D149,Milestones!$AA$163)&gt;=SchemeStart,IF($X149=0,$AD149,IF(AND($Z149&lt;&gt;"",EDATE($D149,Milestones!$AA$163)&gt;=$Z149),$AC149,IF(AND($Y149&lt;&gt;"",EDATE($D149,Milestones!$AA$163)&gt;=$Y149),$AB149,$AA149)))=Milestones!$AB$163),UPPER(TEXT(EDATE($D149,Milestones!$AA$163),"dd mmm yy"))&amp;" "&amp;Milestones!$AB$163&amp;" "&amp;IF(AND(Milestones!$AB$163="FT",Milestones!$AA$163=FT_Y5,EDATE($D149,Milestones!$AA$163)&lt;PolicyEff),1,Milestones!$AC$163)&amp;";  ",""))</f>
        <v/>
      </c>
      <c r="U149" s="0" t="str">
        <f aca="false">IF(OR($A149="",$D149=""),"",IF(AND(EDATE($D149,Milestones!$AA$164)&lt;=AsOfDate,EDATE($D149,Milestones!$AA$164)&gt;=SchemeStart,IF($X149=0,$AD149,IF(AND($Z149&lt;&gt;"",EDATE($D149,Milestones!$AA$164)&gt;=$Z149),$AC149,IF(AND($Y149&lt;&gt;"",EDATE($D149,Milestones!$AA$164)&gt;=$Y149),$AB149,$AA149)))=Milestones!$AB$164),UPPER(TEXT(EDATE($D149,Milestones!$AA$164),"dd mmm yy"))&amp;" "&amp;Milestones!$AB$164&amp;" "&amp;IF(AND(Milestones!$AB$164="FT",Milestones!$AA$164=FT_Y5,EDATE($D149,Milestones!$AA$164)&lt;PolicyEff),1,Milestones!$AC$164)&amp;";  ","")&amp;IF(AND(EDATE($D149,Milestones!$AA$165)&lt;=AsOfDate,EDATE($D149,Milestones!$AA$165)&gt;=SchemeStart,IF($X149=0,$AD149,IF(AND($Z149&lt;&gt;"",EDATE($D149,Milestones!$AA$165)&gt;=$Z149),$AC149,IF(AND($Y149&lt;&gt;"",EDATE($D149,Milestones!$AA$165)&gt;=$Y149),$AB149,$AA149)))=Milestones!$AB$165),UPPER(TEXT(EDATE($D149,Milestones!$AA$165),"dd mmm yy"))&amp;" "&amp;Milestones!$AB$165&amp;" "&amp;IF(AND(Milestones!$AB$165="FT",Milestones!$AA$165=FT_Y5,EDATE($D149,Milestones!$AA$165)&lt;PolicyEff),1,Milestones!$AC$165)&amp;";  ","")&amp;IF(AND(EDATE($D149,Milestones!$AA$166)&lt;=AsOfDate,EDATE($D149,Milestones!$AA$166)&gt;=SchemeStart,IF($X149=0,$AD149,IF(AND($Z149&lt;&gt;"",EDATE($D149,Milestones!$AA$166)&gt;=$Z149),$AC149,IF(AND($Y149&lt;&gt;"",EDATE($D149,Milestones!$AA$166)&gt;=$Y149),$AB149,$AA149)))=Milestones!$AB$166),UPPER(TEXT(EDATE($D149,Milestones!$AA$166),"dd mmm yy"))&amp;" "&amp;Milestones!$AB$166&amp;" "&amp;IF(AND(Milestones!$AB$166="FT",Milestones!$AA$166=FT_Y5,EDATE($D149,Milestones!$AA$166)&lt;PolicyEff),1,Milestones!$AC$166)&amp;";  ","")&amp;IF(AND(EDATE($D149,Milestones!$AA$167)&lt;=AsOfDate,EDATE($D149,Milestones!$AA$167)&gt;=SchemeStart,IF($X149=0,$AD149,IF(AND($Z149&lt;&gt;"",EDATE($D149,Milestones!$AA$167)&gt;=$Z149),$AC149,IF(AND($Y149&lt;&gt;"",EDATE($D149,Milestones!$AA$167)&gt;=$Y149),$AB149,$AA149)))=Milestones!$AB$167),UPPER(TEXT(EDATE($D149,Milestones!$AA$167),"dd mmm yy"))&amp;" "&amp;Milestones!$AB$167&amp;" "&amp;IF(AND(Milestones!$AB$167="FT",Milestones!$AA$167=FT_Y5,EDATE($D149,Milestones!$AA$167)&lt;PolicyEff),1,Milestones!$AC$167)&amp;";  ","")&amp;IF(AND(EDATE($D149,Milestones!$AA$168)&lt;=AsOfDate,EDATE($D149,Milestones!$AA$168)&gt;=SchemeStart,IF($X149=0,$AD149,IF(AND($Z149&lt;&gt;"",EDATE($D149,Milestones!$AA$168)&gt;=$Z149),$AC149,IF(AND($Y149&lt;&gt;"",EDATE($D149,Milestones!$AA$168)&gt;=$Y149),$AB149,$AA149)))=Milestones!$AB$168),UPPER(TEXT(EDATE($D149,Milestones!$AA$168),"dd mmm yy"))&amp;" "&amp;Milestones!$AB$168&amp;" "&amp;IF(AND(Milestones!$AB$168="FT",Milestones!$AA$168=FT_Y5,EDATE($D149,Milestones!$AA$168)&lt;PolicyEff),1,Milestones!$AC$168)&amp;";  ","")&amp;IF(AND(EDATE($D149,Milestones!$AA$169)&lt;=AsOfDate,EDATE($D149,Milestones!$AA$169)&gt;=SchemeStart,IF($X149=0,$AD149,IF(AND($Z149&lt;&gt;"",EDATE($D149,Milestones!$AA$169)&gt;=$Z149),$AC149,IF(AND($Y149&lt;&gt;"",EDATE($D149,Milestones!$AA$169)&gt;=$Y149),$AB149,$AA149)))=Milestones!$AB$169),UPPER(TEXT(EDATE($D149,Milestones!$AA$169),"dd mmm yy"))&amp;" "&amp;Milestones!$AB$169&amp;" "&amp;IF(AND(Milestones!$AB$169="FT",Milestones!$AA$169=FT_Y5,EDATE($D149,Milestones!$AA$169)&lt;PolicyEff),1,Milestones!$AC$169)&amp;";  ","")&amp;IF(AND(EDATE($D149,Milestones!$AA$170)&lt;=AsOfDate,EDATE($D149,Milestones!$AA$170)&gt;=SchemeStart,IF($X149=0,$AD149,IF(AND($Z149&lt;&gt;"",EDATE($D149,Milestones!$AA$170)&gt;=$Z149),$AC149,IF(AND($Y149&lt;&gt;"",EDATE($D149,Milestones!$AA$170)&gt;=$Y149),$AB149,$AA149)))=Milestones!$AB$170),UPPER(TEXT(EDATE($D149,Milestones!$AA$170),"dd mmm yy"))&amp;" "&amp;Milestones!$AB$170&amp;" "&amp;IF(AND(Milestones!$AB$170="FT",Milestones!$AA$170=FT_Y5,EDATE($D149,Milestones!$AA$170)&lt;PolicyEff),1,Milestones!$AC$170)&amp;";  ","")&amp;IF(AND(EDATE($D149,Milestones!$AA$171)&lt;=AsOfDate,EDATE($D149,Milestones!$AA$171)&gt;=SchemeStart,IF($X149=0,$AD149,IF(AND($Z149&lt;&gt;"",EDATE($D149,Milestones!$AA$171)&gt;=$Z149),$AC149,IF(AND($Y149&lt;&gt;"",EDATE($D149,Milestones!$AA$171)&gt;=$Y149),$AB149,$AA149)))=Milestones!$AB$171),UPPER(TEXT(EDATE($D149,Milestones!$AA$171),"dd mmm yy"))&amp;" "&amp;Milestones!$AB$171&amp;" "&amp;IF(AND(Milestones!$AB$171="FT",Milestones!$AA$171=FT_Y5,EDATE($D149,Milestones!$AA$171)&lt;PolicyEff),1,Milestones!$AC$171)&amp;";  ","")&amp;IF(AND(EDATE($D149,Milestones!$AA$172)&lt;=AsOfDate,EDATE($D149,Milestones!$AA$172)&gt;=SchemeStart,IF($X149=0,$AD149,IF(AND($Z149&lt;&gt;"",EDATE($D149,Milestones!$AA$172)&gt;=$Z149),$AC149,IF(AND($Y149&lt;&gt;"",EDATE($D149,Milestones!$AA$172)&gt;=$Y149),$AB149,$AA149)))=Milestones!$AB$172),UPPER(TEXT(EDATE($D149,Milestones!$AA$172),"dd mmm yy"))&amp;" "&amp;Milestones!$AB$172&amp;" "&amp;IF(AND(Milestones!$AB$172="FT",Milestones!$AA$172=FT_Y5,EDATE($D149,Milestones!$AA$172)&lt;PolicyEff),1,Milestones!$AC$172)&amp;";  ","")&amp;IF(AND(EDATE($D149,Milestones!$AA$173)&lt;=AsOfDate,EDATE($D149,Milestones!$AA$173)&gt;=SchemeStart,IF($X149=0,$AD149,IF(AND($Z149&lt;&gt;"",EDATE($D149,Milestones!$AA$173)&gt;=$Z149),$AC149,IF(AND($Y149&lt;&gt;"",EDATE($D149,Milestones!$AA$173)&gt;=$Y149),$AB149,$AA149)))=Milestones!$AB$173),UPPER(TEXT(EDATE($D149,Milestones!$AA$173),"dd mmm yy"))&amp;" "&amp;Milestones!$AB$173&amp;" "&amp;IF(AND(Milestones!$AB$173="FT",Milestones!$AA$173=FT_Y5,EDATE($D149,Milestones!$AA$173)&lt;PolicyEff),1,Milestones!$AC$173)&amp;";  ","")&amp;IF(AND(EDATE($D149,Milestones!$AA$174)&lt;=AsOfDate,EDATE($D149,Milestones!$AA$174)&gt;=SchemeStart,IF($X149=0,$AD149,IF(AND($Z149&lt;&gt;"",EDATE($D149,Milestones!$AA$174)&gt;=$Z149),$AC149,IF(AND($Y149&lt;&gt;"",EDATE($D149,Milestones!$AA$174)&gt;=$Y149),$AB149,$AA149)))=Milestones!$AB$174),UPPER(TEXT(EDATE($D149,Milestones!$AA$174),"dd mmm yy"))&amp;" "&amp;Milestones!$AB$174&amp;" "&amp;IF(AND(Milestones!$AB$174="FT",Milestones!$AA$174=FT_Y5,EDATE($D149,Milestones!$AA$174)&lt;PolicyEff),1,Milestones!$AC$174)&amp;";  ","")&amp;IF(AND(EDATE($D149,Milestones!$AA$175)&lt;=AsOfDate,EDATE($D149,Milestones!$AA$175)&gt;=SchemeStart,IF($X149=0,$AD149,IF(AND($Z149&lt;&gt;"",EDATE($D149,Milestones!$AA$175)&gt;=$Z149),$AC149,IF(AND($Y149&lt;&gt;"",EDATE($D149,Milestones!$AA$175)&gt;=$Y149),$AB149,$AA149)))=Milestones!$AB$175),UPPER(TEXT(EDATE($D149,Milestones!$AA$175),"dd mmm yy"))&amp;" "&amp;Milestones!$AB$175&amp;" "&amp;IF(AND(Milestones!$AB$175="FT",Milestones!$AA$175=FT_Y5,EDATE($D149,Milestones!$AA$175)&lt;PolicyEff),1,Milestones!$AC$175)&amp;";  ",""))</f>
        <v/>
      </c>
      <c r="V149" s="0" t="str">
        <f aca="false">IF(OR($A149="",$D149=""),"",IF(AND(EDATE($D149,Milestones!$AA$176)&lt;=AsOfDate,EDATE($D149,Milestones!$AA$176)&gt;=SchemeStart,IF($X149=0,$AD149,IF(AND($Z149&lt;&gt;"",EDATE($D149,Milestones!$AA$176)&gt;=$Z149),$AC149,IF(AND($Y149&lt;&gt;"",EDATE($D149,Milestones!$AA$176)&gt;=$Y149),$AB149,$AA149)))=Milestones!$AB$176),UPPER(TEXT(EDATE($D149,Milestones!$AA$176),"dd mmm yy"))&amp;" "&amp;Milestones!$AB$176&amp;" "&amp;IF(AND(Milestones!$AB$176="FT",Milestones!$AA$176=FT_Y5,EDATE($D149,Milestones!$AA$176)&lt;PolicyEff),1,Milestones!$AC$176)&amp;";  ","")&amp;IF(AND(EDATE($D149,Milestones!$AA$177)&lt;=AsOfDate,EDATE($D149,Milestones!$AA$177)&gt;=SchemeStart,IF($X149=0,$AD149,IF(AND($Z149&lt;&gt;"",EDATE($D149,Milestones!$AA$177)&gt;=$Z149),$AC149,IF(AND($Y149&lt;&gt;"",EDATE($D149,Milestones!$AA$177)&gt;=$Y149),$AB149,$AA149)))=Milestones!$AB$177),UPPER(TEXT(EDATE($D149,Milestones!$AA$177),"dd mmm yy"))&amp;" "&amp;Milestones!$AB$177&amp;" "&amp;IF(AND(Milestones!$AB$177="FT",Milestones!$AA$177=FT_Y5,EDATE($D149,Milestones!$AA$177)&lt;PolicyEff),1,Milestones!$AC$177)&amp;";  ","")&amp;IF(AND(EDATE($D149,Milestones!$AA$178)&lt;=AsOfDate,EDATE($D149,Milestones!$AA$178)&gt;=SchemeStart,IF($X149=0,$AD149,IF(AND($Z149&lt;&gt;"",EDATE($D149,Milestones!$AA$178)&gt;=$Z149),$AC149,IF(AND($Y149&lt;&gt;"",EDATE($D149,Milestones!$AA$178)&gt;=$Y149),$AB149,$AA149)))=Milestones!$AB$178),UPPER(TEXT(EDATE($D149,Milestones!$AA$178),"dd mmm yy"))&amp;" "&amp;Milestones!$AB$178&amp;" "&amp;IF(AND(Milestones!$AB$178="FT",Milestones!$AA$178=FT_Y5,EDATE($D149,Milestones!$AA$178)&lt;PolicyEff),1,Milestones!$AC$178)&amp;";  ","")&amp;IF(AND(EDATE($D149,Milestones!$AA$179)&lt;=AsOfDate,EDATE($D149,Milestones!$AA$179)&gt;=SchemeStart,IF($X149=0,$AD149,IF(AND($Z149&lt;&gt;"",EDATE($D149,Milestones!$AA$179)&gt;=$Z149),$AC149,IF(AND($Y149&lt;&gt;"",EDATE($D149,Milestones!$AA$179)&gt;=$Y149),$AB149,$AA149)))=Milestones!$AB$179),UPPER(TEXT(EDATE($D149,Milestones!$AA$179),"dd mmm yy"))&amp;" "&amp;Milestones!$AB$179&amp;" "&amp;IF(AND(Milestones!$AB$179="FT",Milestones!$AA$179=FT_Y5,EDATE($D149,Milestones!$AA$179)&lt;PolicyEff),1,Milestones!$AC$179)&amp;";  ","")&amp;IF(AND(EDATE($D149,Milestones!$AA$180)&lt;=AsOfDate,EDATE($D149,Milestones!$AA$180)&gt;=SchemeStart,IF($X149=0,$AD149,IF(AND($Z149&lt;&gt;"",EDATE($D149,Milestones!$AA$180)&gt;=$Z149),$AC149,IF(AND($Y149&lt;&gt;"",EDATE($D149,Milestones!$AA$180)&gt;=$Y149),$AB149,$AA149)))=Milestones!$AB$180),UPPER(TEXT(EDATE($D149,Milestones!$AA$180),"dd mmm yy"))&amp;" "&amp;Milestones!$AB$180&amp;" "&amp;IF(AND(Milestones!$AB$180="FT",Milestones!$AA$180=FT_Y5,EDATE($D149,Milestones!$AA$180)&lt;PolicyEff),1,Milestones!$AC$180)&amp;";  ","")&amp;IF(AND(EDATE($D149,Milestones!$AA$181)&lt;=AsOfDate,EDATE($D149,Milestones!$AA$181)&gt;=SchemeStart,IF($X149=0,$AD149,IF(AND($Z149&lt;&gt;"",EDATE($D149,Milestones!$AA$181)&gt;=$Z149),$AC149,IF(AND($Y149&lt;&gt;"",EDATE($D149,Milestones!$AA$181)&gt;=$Y149),$AB149,$AA149)))=Milestones!$AB$181),UPPER(TEXT(EDATE($D149,Milestones!$AA$181),"dd mmm yy"))&amp;" "&amp;Milestones!$AB$181&amp;" "&amp;IF(AND(Milestones!$AB$181="FT",Milestones!$AA$181=FT_Y5,EDATE($D149,Milestones!$AA$181)&lt;PolicyEff),1,Milestones!$AC$181)&amp;";  ","")&amp;IF(AND(EDATE($D149,Milestones!$AA$182)&lt;=AsOfDate,EDATE($D149,Milestones!$AA$182)&gt;=SchemeStart,IF($X149=0,$AD149,IF(AND($Z149&lt;&gt;"",EDATE($D149,Milestones!$AA$182)&gt;=$Z149),$AC149,IF(AND($Y149&lt;&gt;"",EDATE($D149,Milestones!$AA$182)&gt;=$Y149),$AB149,$AA149)))=Milestones!$AB$182),UPPER(TEXT(EDATE($D149,Milestones!$AA$182),"dd mmm yy"))&amp;" "&amp;Milestones!$AB$182&amp;" "&amp;IF(AND(Milestones!$AB$182="FT",Milestones!$AA$182=FT_Y5,EDATE($D149,Milestones!$AA$182)&lt;PolicyEff),1,Milestones!$AC$182)&amp;";  ","")&amp;IF(AND(EDATE($D149,Milestones!$AA$183)&lt;=AsOfDate,EDATE($D149,Milestones!$AA$183)&gt;=SchemeStart,IF($X149=0,$AD149,IF(AND($Z149&lt;&gt;"",EDATE($D149,Milestones!$AA$183)&gt;=$Z149),$AC149,IF(AND($Y149&lt;&gt;"",EDATE($D149,Milestones!$AA$183)&gt;=$Y149),$AB149,$AA149)))=Milestones!$AB$183),UPPER(TEXT(EDATE($D149,Milestones!$AA$183),"dd mmm yy"))&amp;" "&amp;Milestones!$AB$183&amp;" "&amp;IF(AND(Milestones!$AB$183="FT",Milestones!$AA$183=FT_Y5,EDATE($D149,Milestones!$AA$183)&lt;PolicyEff),1,Milestones!$AC$183)&amp;";  ","")&amp;IF(AND(EDATE($D149,Milestones!$AA$184)&lt;=AsOfDate,EDATE($D149,Milestones!$AA$184)&gt;=SchemeStart,IF($X149=0,$AD149,IF(AND($Z149&lt;&gt;"",EDATE($D149,Milestones!$AA$184)&gt;=$Z149),$AC149,IF(AND($Y149&lt;&gt;"",EDATE($D149,Milestones!$AA$184)&gt;=$Y149),$AB149,$AA149)))=Milestones!$AB$184),UPPER(TEXT(EDATE($D149,Milestones!$AA$184),"dd mmm yy"))&amp;" "&amp;Milestones!$AB$184&amp;" "&amp;IF(AND(Milestones!$AB$184="FT",Milestones!$AA$184=FT_Y5,EDATE($D149,Milestones!$AA$184)&lt;PolicyEff),1,Milestones!$AC$184)&amp;";  ","")&amp;IF(AND(EDATE($D149,Milestones!$AA$185)&lt;=AsOfDate,EDATE($D149,Milestones!$AA$185)&gt;=SchemeStart,IF($X149=0,$AD149,IF(AND($Z149&lt;&gt;"",EDATE($D149,Milestones!$AA$185)&gt;=$Z149),$AC149,IF(AND($Y149&lt;&gt;"",EDATE($D149,Milestones!$AA$185)&gt;=$Y149),$AB149,$AA149)))=Milestones!$AB$185),UPPER(TEXT(EDATE($D149,Milestones!$AA$185),"dd mmm yy"))&amp;" "&amp;Milestones!$AB$185&amp;" "&amp;IF(AND(Milestones!$AB$185="FT",Milestones!$AA$185=FT_Y5,EDATE($D149,Milestones!$AA$185)&lt;PolicyEff),1,Milestones!$AC$185)&amp;";  ","")&amp;IF(AND(EDATE($D149,Milestones!$AA$186)&lt;=AsOfDate,EDATE($D149,Milestones!$AA$186)&gt;=SchemeStart,IF($X149=0,$AD149,IF(AND($Z149&lt;&gt;"",EDATE($D149,Milestones!$AA$186)&gt;=$Z149),$AC149,IF(AND($Y149&lt;&gt;"",EDATE($D149,Milestones!$AA$186)&gt;=$Y149),$AB149,$AA149)))=Milestones!$AB$186),UPPER(TEXT(EDATE($D149,Milestones!$AA$186),"dd mmm yy"))&amp;" "&amp;Milestones!$AB$186&amp;" "&amp;IF(AND(Milestones!$AB$186="FT",Milestones!$AA$186=FT_Y5,EDATE($D149,Milestones!$AA$186)&lt;PolicyEff),1,Milestones!$AC$186)&amp;";  ","")&amp;IF(AND(EDATE($D149,Milestones!$AA$187)&lt;=AsOfDate,EDATE($D149,Milestones!$AA$187)&gt;=SchemeStart,IF($X149=0,$AD149,IF(AND($Z149&lt;&gt;"",EDATE($D149,Milestones!$AA$187)&gt;=$Z149),$AC149,IF(AND($Y149&lt;&gt;"",EDATE($D149,Milestones!$AA$187)&gt;=$Y149),$AB149,$AA149)))=Milestones!$AB$187),UPPER(TEXT(EDATE($D149,Milestones!$AA$187),"dd mmm yy"))&amp;" "&amp;Milestones!$AB$187&amp;" "&amp;IF(AND(Milestones!$AB$187="FT",Milestones!$AA$187=FT_Y5,EDATE($D149,Milestones!$AA$187)&lt;PolicyEff),1,Milestones!$AC$187)&amp;";  ",""))</f>
        <v/>
      </c>
      <c r="W149" s="0" t="str">
        <f aca="false">IF(OR($A149="",$D149=""),"",IF(AND(EDATE($D149,Milestones!$AA$188)&lt;=AsOfDate,EDATE($D149,Milestones!$AA$188)&gt;=SchemeStart,IF($X149=0,$AD149,IF(AND($Z149&lt;&gt;"",EDATE($D149,Milestones!$AA$188)&gt;=$Z149),$AC149,IF(AND($Y149&lt;&gt;"",EDATE($D149,Milestones!$AA$188)&gt;=$Y149),$AB149,$AA149)))=Milestones!$AB$188),UPPER(TEXT(EDATE($D149,Milestones!$AA$188),"dd mmm yy"))&amp;" "&amp;Milestones!$AB$188&amp;" "&amp;IF(AND(Milestones!$AB$188="FT",Milestones!$AA$188=FT_Y5,EDATE($D149,Milestones!$AA$188)&lt;PolicyEff),1,Milestones!$AC$188)&amp;";  ","")&amp;IF(AND(EDATE($D149,Milestones!$AA$189)&lt;=AsOfDate,EDATE($D149,Milestones!$AA$189)&gt;=SchemeStart,IF($X149=0,$AD149,IF(AND($Z149&lt;&gt;"",EDATE($D149,Milestones!$AA$189)&gt;=$Z149),$AC149,IF(AND($Y149&lt;&gt;"",EDATE($D149,Milestones!$AA$189)&gt;=$Y149),$AB149,$AA149)))=Milestones!$AB$189),UPPER(TEXT(EDATE($D149,Milestones!$AA$189),"dd mmm yy"))&amp;" "&amp;Milestones!$AB$189&amp;" "&amp;IF(AND(Milestones!$AB$189="FT",Milestones!$AA$189=FT_Y5,EDATE($D149,Milestones!$AA$189)&lt;PolicyEff),1,Milestones!$AC$189)&amp;";  ","")&amp;IF(AND(EDATE($D149,Milestones!$AA$190)&lt;=AsOfDate,EDATE($D149,Milestones!$AA$190)&gt;=SchemeStart,IF($X149=0,$AD149,IF(AND($Z149&lt;&gt;"",EDATE($D149,Milestones!$AA$190)&gt;=$Z149),$AC149,IF(AND($Y149&lt;&gt;"",EDATE($D149,Milestones!$AA$190)&gt;=$Y149),$AB149,$AA149)))=Milestones!$AB$190),UPPER(TEXT(EDATE($D149,Milestones!$AA$190),"dd mmm yy"))&amp;" "&amp;Milestones!$AB$190&amp;" "&amp;IF(AND(Milestones!$AB$190="FT",Milestones!$AA$190=FT_Y5,EDATE($D149,Milestones!$AA$190)&lt;PolicyEff),1,Milestones!$AC$190)&amp;";  ","")&amp;IF(AND(EDATE($D149,Milestones!$AA$191)&lt;=AsOfDate,EDATE($D149,Milestones!$AA$191)&gt;=SchemeStart,IF($X149=0,$AD149,IF(AND($Z149&lt;&gt;"",EDATE($D149,Milestones!$AA$191)&gt;=$Z149),$AC149,IF(AND($Y149&lt;&gt;"",EDATE($D149,Milestones!$AA$191)&gt;=$Y149),$AB149,$AA149)))=Milestones!$AB$191),UPPER(TEXT(EDATE($D149,Milestones!$AA$191),"dd mmm yy"))&amp;" "&amp;Milestones!$AB$191&amp;" "&amp;IF(AND(Milestones!$AB$191="FT",Milestones!$AA$191=FT_Y5,EDATE($D149,Milestones!$AA$191)&lt;PolicyEff),1,Milestones!$AC$191)&amp;";  ","")&amp;IF(AND(EDATE($D149,Milestones!$AA$192)&lt;=AsOfDate,EDATE($D149,Milestones!$AA$192)&gt;=SchemeStart,IF($X149=0,$AD149,IF(AND($Z149&lt;&gt;"",EDATE($D149,Milestones!$AA$192)&gt;=$Z149),$AC149,IF(AND($Y149&lt;&gt;"",EDATE($D149,Milestones!$AA$192)&gt;=$Y149),$AB149,$AA149)))=Milestones!$AB$192),UPPER(TEXT(EDATE($D149,Milestones!$AA$192),"dd mmm yy"))&amp;" "&amp;Milestones!$AB$192&amp;" "&amp;IF(AND(Milestones!$AB$192="FT",Milestones!$AA$192=FT_Y5,EDATE($D149,Milestones!$AA$192)&lt;PolicyEff),1,Milestones!$AC$192)&amp;";  ","")&amp;IF(AND(EDATE($D149,Milestones!$AA$193)&lt;=AsOfDate,EDATE($D149,Milestones!$AA$193)&gt;=SchemeStart,IF($X149=0,$AD149,IF(AND($Z149&lt;&gt;"",EDATE($D149,Milestones!$AA$193)&gt;=$Z149),$AC149,IF(AND($Y149&lt;&gt;"",EDATE($D149,Milestones!$AA$193)&gt;=$Y149),$AB149,$AA149)))=Milestones!$AB$193),UPPER(TEXT(EDATE($D149,Milestones!$AA$193),"dd mmm yy"))&amp;" "&amp;Milestones!$AB$193&amp;" "&amp;IF(AND(Milestones!$AB$193="FT",Milestones!$AA$193=FT_Y5,EDATE($D149,Milestones!$AA$193)&lt;PolicyEff),1,Milestones!$AC$193)&amp;";  ","")&amp;IF(AND(EDATE($D149,Milestones!$AA$194)&lt;=AsOfDate,EDATE($D149,Milestones!$AA$194)&gt;=SchemeStart,IF($X149=0,$AD149,IF(AND($Z149&lt;&gt;"",EDATE($D149,Milestones!$AA$194)&gt;=$Z149),$AC149,IF(AND($Y149&lt;&gt;"",EDATE($D149,Milestones!$AA$194)&gt;=$Y149),$AB149,$AA149)))=Milestones!$AB$194),UPPER(TEXT(EDATE($D149,Milestones!$AA$194),"dd mmm yy"))&amp;" "&amp;Milestones!$AB$194&amp;" "&amp;IF(AND(Milestones!$AB$194="FT",Milestones!$AA$194=FT_Y5,EDATE($D149,Milestones!$AA$194)&lt;PolicyEff),1,Milestones!$AC$194)&amp;";  ","")&amp;IF(AND(EDATE($D149,Milestones!$AA$195)&lt;=AsOfDate,EDATE($D149,Milestones!$AA$195)&gt;=SchemeStart,IF($X149=0,$AD149,IF(AND($Z149&lt;&gt;"",EDATE($D149,Milestones!$AA$195)&gt;=$Z149),$AC149,IF(AND($Y149&lt;&gt;"",EDATE($D149,Milestones!$AA$195)&gt;=$Y149),$AB149,$AA149)))=Milestones!$AB$195),UPPER(TEXT(EDATE($D149,Milestones!$AA$195),"dd mmm yy"))&amp;" "&amp;Milestones!$AB$195&amp;" "&amp;IF(AND(Milestones!$AB$195="FT",Milestones!$AA$195=FT_Y5,EDATE($D149,Milestones!$AA$195)&lt;PolicyEff),1,Milestones!$AC$195)&amp;";  ","")&amp;IF(AND(EDATE($D149,Milestones!$AA$196)&lt;=AsOfDate,EDATE($D149,Milestones!$AA$196)&gt;=SchemeStart,IF($X149=0,$AD149,IF(AND($Z149&lt;&gt;"",EDATE($D149,Milestones!$AA$196)&gt;=$Z149),$AC149,IF(AND($Y149&lt;&gt;"",EDATE($D149,Milestones!$AA$196)&gt;=$Y149),$AB149,$AA149)))=Milestones!$AB$196),UPPER(TEXT(EDATE($D149,Milestones!$AA$196),"dd mmm yy"))&amp;" "&amp;Milestones!$AB$196&amp;" "&amp;IF(AND(Milestones!$AB$196="FT",Milestones!$AA$196=FT_Y5,EDATE($D149,Milestones!$AA$196)&lt;PolicyEff),1,Milestones!$AC$196)&amp;";  ","")&amp;IF(AND(EDATE($D149,Milestones!$AA$197)&lt;=AsOfDate,EDATE($D149,Milestones!$AA$197)&gt;=SchemeStart,IF($X149=0,$AD149,IF(AND($Z149&lt;&gt;"",EDATE($D149,Milestones!$AA$197)&gt;=$Z149),$AC149,IF(AND($Y149&lt;&gt;"",EDATE($D149,Milestones!$AA$197)&gt;=$Y149),$AB149,$AA149)))=Milestones!$AB$197),UPPER(TEXT(EDATE($D149,Milestones!$AA$197),"dd mmm yy"))&amp;" "&amp;Milestones!$AB$197&amp;" "&amp;IF(AND(Milestones!$AB$197="FT",Milestones!$AA$197=FT_Y5,EDATE($D149,Milestones!$AA$197)&lt;PolicyEff),1,Milestones!$AC$197)&amp;";  ","")&amp;IF(AND(EDATE($D149,Milestones!$AA$198)&lt;=AsOfDate,EDATE($D149,Milestones!$AA$198)&gt;=SchemeStart,IF($X149=0,$AD149,IF(AND($Z149&lt;&gt;"",EDATE($D149,Milestones!$AA$198)&gt;=$Z149),$AC149,IF(AND($Y149&lt;&gt;"",EDATE($D149,Milestones!$AA$198)&gt;=$Y149),$AB149,$AA149)))=Milestones!$AB$198),UPPER(TEXT(EDATE($D149,Milestones!$AA$198),"dd mmm yy"))&amp;" "&amp;Milestones!$AB$198&amp;" "&amp;IF(AND(Milestones!$AB$198="FT",Milestones!$AA$198=FT_Y5,EDATE($D149,Milestones!$AA$198)&lt;PolicyEff),1,Milestones!$AC$198)&amp;";  ","")&amp;IF(AND(EDATE($D149,Milestones!$AA$199)&lt;=AsOfDate,EDATE($D149,Milestones!$AA$199)&gt;=SchemeStart,IF($X149=0,$AD149,IF(AND($Z149&lt;&gt;"",EDATE($D149,Milestones!$AA$199)&gt;=$Z149),$AC149,IF(AND($Y149&lt;&gt;"",EDATE($D149,Milestones!$AA$199)&gt;=$Y149),$AB149,$AA149)))=Milestones!$AB$199),UPPER(TEXT(EDATE($D149,Milestones!$AA$199),"dd mmm yy"))&amp;" "&amp;Milestones!$AB$199&amp;" "&amp;IF(AND(Milestones!$AB$199="FT",Milestones!$AA$199=FT_Y5,EDATE($D149,Milestones!$AA$199)&lt;PolicyEff),1,Milestones!$AC$199)&amp;";  ",""))</f>
        <v/>
      </c>
      <c r="X149" s="0" t="str">
        <f aca="false">IF(Staff!$A149="","",Staff!$AM149)</f>
        <v/>
      </c>
      <c r="Y149" s="0" t="str">
        <f aca="false">IF(Staff!$A149="","",Staff!$AO149)</f>
        <v/>
      </c>
      <c r="Z149" s="0" t="str">
        <f aca="false">IF(Staff!$A149="","",Staff!$AP149)</f>
        <v/>
      </c>
      <c r="AA149" s="0" t="str">
        <f aca="false">IF(Staff!$A149="","",Staff!$AT149)</f>
        <v/>
      </c>
      <c r="AB149" s="0" t="str">
        <f aca="false">IF(Staff!$A149="","",Staff!$AU149)</f>
        <v/>
      </c>
      <c r="AC149" s="0" t="str">
        <f aca="false">IF(Staff!$A149="","",Staff!$AV149)</f>
        <v/>
      </c>
      <c r="AD149" s="0" t="str">
        <f aca="false">IF(Staff!$A149="","",Staff!$AW149)</f>
        <v/>
      </c>
    </row>
    <row r="150" customFormat="false" ht="15" hidden="false" customHeight="false" outlineLevel="0" collapsed="false">
      <c r="A150" s="16" t="str">
        <f aca="false">IF(Staff!$A150="","",Staff!$A150)</f>
        <v/>
      </c>
      <c r="B150" s="16" t="str">
        <f aca="false">IF(Staff!$A150="","",Staff!$B150)</f>
        <v/>
      </c>
      <c r="C150" s="16" t="str">
        <f aca="false">IF(Staff!$A150="","",Staff!$C150)</f>
        <v/>
      </c>
      <c r="D150" s="14" t="str">
        <f aca="false">IF(Staff!$A150="","",Staff!$AL150)</f>
        <v/>
      </c>
      <c r="E150" s="16" t="str">
        <f aca="false">IF(Staff!$A150="","",Staff!$O150)</f>
        <v/>
      </c>
      <c r="F150" s="16" t="str">
        <f aca="false">IF(E150="","",E150*HoursPerDay)</f>
        <v/>
      </c>
      <c r="G150" s="16" t="str">
        <f aca="false">IF(Staff!$A150="","",Staff!$AE150)</f>
        <v/>
      </c>
      <c r="H150" s="28" t="str">
        <f aca="false">IF($A150="","",I150&amp;J150&amp;K150&amp;L150&amp;M150&amp;N150&amp;O150&amp;P150&amp;Q150&amp;R150&amp;S150&amp;T150&amp;U150&amp;V150&amp;W150)</f>
        <v/>
      </c>
      <c r="I150" s="0" t="str">
        <f aca="false">IF(OR($A150="",$D150=""),"",IF(AND(EDATE($D150,Milestones!$AA$20)&lt;=AsOfDate,EDATE($D150,Milestones!$AA$20)&gt;=SchemeStart,IF($X150=0,$AD150,IF(AND($Z150&lt;&gt;"",EDATE($D150,Milestones!$AA$20)&gt;=$Z150),$AC150,IF(AND($Y150&lt;&gt;"",EDATE($D150,Milestones!$AA$20)&gt;=$Y150),$AB150,$AA150)))=Milestones!$AB$20),UPPER(TEXT(EDATE($D150,Milestones!$AA$20),"dd mmm yy"))&amp;" "&amp;Milestones!$AB$20&amp;" "&amp;IF(AND(Milestones!$AB$20="FT",Milestones!$AA$20=FT_Y5,EDATE($D150,Milestones!$AA$20)&lt;PolicyEff),1,Milestones!$AC$20)&amp;";  ","")&amp;IF(AND(EDATE($D150,Milestones!$AA$21)&lt;=AsOfDate,EDATE($D150,Milestones!$AA$21)&gt;=SchemeStart,IF($X150=0,$AD150,IF(AND($Z150&lt;&gt;"",EDATE($D150,Milestones!$AA$21)&gt;=$Z150),$AC150,IF(AND($Y150&lt;&gt;"",EDATE($D150,Milestones!$AA$21)&gt;=$Y150),$AB150,$AA150)))=Milestones!$AB$21),UPPER(TEXT(EDATE($D150,Milestones!$AA$21),"dd mmm yy"))&amp;" "&amp;Milestones!$AB$21&amp;" "&amp;IF(AND(Milestones!$AB$21="FT",Milestones!$AA$21=FT_Y5,EDATE($D150,Milestones!$AA$21)&lt;PolicyEff),1,Milestones!$AC$21)&amp;";  ","")&amp;IF(AND(EDATE($D150,Milestones!$AA$22)&lt;=AsOfDate,EDATE($D150,Milestones!$AA$22)&gt;=SchemeStart,IF($X150=0,$AD150,IF(AND($Z150&lt;&gt;"",EDATE($D150,Milestones!$AA$22)&gt;=$Z150),$AC150,IF(AND($Y150&lt;&gt;"",EDATE($D150,Milestones!$AA$22)&gt;=$Y150),$AB150,$AA150)))=Milestones!$AB$22),UPPER(TEXT(EDATE($D150,Milestones!$AA$22),"dd mmm yy"))&amp;" "&amp;Milestones!$AB$22&amp;" "&amp;IF(AND(Milestones!$AB$22="FT",Milestones!$AA$22=FT_Y5,EDATE($D150,Milestones!$AA$22)&lt;PolicyEff),1,Milestones!$AC$22)&amp;";  ","")&amp;IF(AND(EDATE($D150,Milestones!$AA$23)&lt;=AsOfDate,EDATE($D150,Milestones!$AA$23)&gt;=SchemeStart,IF($X150=0,$AD150,IF(AND($Z150&lt;&gt;"",EDATE($D150,Milestones!$AA$23)&gt;=$Z150),$AC150,IF(AND($Y150&lt;&gt;"",EDATE($D150,Milestones!$AA$23)&gt;=$Y150),$AB150,$AA150)))=Milestones!$AB$23),UPPER(TEXT(EDATE($D150,Milestones!$AA$23),"dd mmm yy"))&amp;" "&amp;Milestones!$AB$23&amp;" "&amp;IF(AND(Milestones!$AB$23="FT",Milestones!$AA$23=FT_Y5,EDATE($D150,Milestones!$AA$23)&lt;PolicyEff),1,Milestones!$AC$23)&amp;";  ","")&amp;IF(AND(EDATE($D150,Milestones!$AA$24)&lt;=AsOfDate,EDATE($D150,Milestones!$AA$24)&gt;=SchemeStart,IF($X150=0,$AD150,IF(AND($Z150&lt;&gt;"",EDATE($D150,Milestones!$AA$24)&gt;=$Z150),$AC150,IF(AND($Y150&lt;&gt;"",EDATE($D150,Milestones!$AA$24)&gt;=$Y150),$AB150,$AA150)))=Milestones!$AB$24),UPPER(TEXT(EDATE($D150,Milestones!$AA$24),"dd mmm yy"))&amp;" "&amp;Milestones!$AB$24&amp;" "&amp;IF(AND(Milestones!$AB$24="FT",Milestones!$AA$24=FT_Y5,EDATE($D150,Milestones!$AA$24)&lt;PolicyEff),1,Milestones!$AC$24)&amp;";  ","")&amp;IF(AND(EDATE($D150,Milestones!$AA$25)&lt;=AsOfDate,EDATE($D150,Milestones!$AA$25)&gt;=SchemeStart,IF($X150=0,$AD150,IF(AND($Z150&lt;&gt;"",EDATE($D150,Milestones!$AA$25)&gt;=$Z150),$AC150,IF(AND($Y150&lt;&gt;"",EDATE($D150,Milestones!$AA$25)&gt;=$Y150),$AB150,$AA150)))=Milestones!$AB$25),UPPER(TEXT(EDATE($D150,Milestones!$AA$25),"dd mmm yy"))&amp;" "&amp;Milestones!$AB$25&amp;" "&amp;IF(AND(Milestones!$AB$25="FT",Milestones!$AA$25=FT_Y5,EDATE($D150,Milestones!$AA$25)&lt;PolicyEff),1,Milestones!$AC$25)&amp;";  ","")&amp;IF(AND(EDATE($D150,Milestones!$AA$26)&lt;=AsOfDate,EDATE($D150,Milestones!$AA$26)&gt;=SchemeStart,IF($X150=0,$AD150,IF(AND($Z150&lt;&gt;"",EDATE($D150,Milestones!$AA$26)&gt;=$Z150),$AC150,IF(AND($Y150&lt;&gt;"",EDATE($D150,Milestones!$AA$26)&gt;=$Y150),$AB150,$AA150)))=Milestones!$AB$26),UPPER(TEXT(EDATE($D150,Milestones!$AA$26),"dd mmm yy"))&amp;" "&amp;Milestones!$AB$26&amp;" "&amp;IF(AND(Milestones!$AB$26="FT",Milestones!$AA$26=FT_Y5,EDATE($D150,Milestones!$AA$26)&lt;PolicyEff),1,Milestones!$AC$26)&amp;";  ","")&amp;IF(AND(EDATE($D150,Milestones!$AA$27)&lt;=AsOfDate,EDATE($D150,Milestones!$AA$27)&gt;=SchemeStart,IF($X150=0,$AD150,IF(AND($Z150&lt;&gt;"",EDATE($D150,Milestones!$AA$27)&gt;=$Z150),$AC150,IF(AND($Y150&lt;&gt;"",EDATE($D150,Milestones!$AA$27)&gt;=$Y150),$AB150,$AA150)))=Milestones!$AB$27),UPPER(TEXT(EDATE($D150,Milestones!$AA$27),"dd mmm yy"))&amp;" "&amp;Milestones!$AB$27&amp;" "&amp;IF(AND(Milestones!$AB$27="FT",Milestones!$AA$27=FT_Y5,EDATE($D150,Milestones!$AA$27)&lt;PolicyEff),1,Milestones!$AC$27)&amp;";  ","")&amp;IF(AND(EDATE($D150,Milestones!$AA$28)&lt;=AsOfDate,EDATE($D150,Milestones!$AA$28)&gt;=SchemeStart,IF($X150=0,$AD150,IF(AND($Z150&lt;&gt;"",EDATE($D150,Milestones!$AA$28)&gt;=$Z150),$AC150,IF(AND($Y150&lt;&gt;"",EDATE($D150,Milestones!$AA$28)&gt;=$Y150),$AB150,$AA150)))=Milestones!$AB$28),UPPER(TEXT(EDATE($D150,Milestones!$AA$28),"dd mmm yy"))&amp;" "&amp;Milestones!$AB$28&amp;" "&amp;IF(AND(Milestones!$AB$28="FT",Milestones!$AA$28=FT_Y5,EDATE($D150,Milestones!$AA$28)&lt;PolicyEff),1,Milestones!$AC$28)&amp;";  ","")&amp;IF(AND(EDATE($D150,Milestones!$AA$29)&lt;=AsOfDate,EDATE($D150,Milestones!$AA$29)&gt;=SchemeStart,IF($X150=0,$AD150,IF(AND($Z150&lt;&gt;"",EDATE($D150,Milestones!$AA$29)&gt;=$Z150),$AC150,IF(AND($Y150&lt;&gt;"",EDATE($D150,Milestones!$AA$29)&gt;=$Y150),$AB150,$AA150)))=Milestones!$AB$29),UPPER(TEXT(EDATE($D150,Milestones!$AA$29),"dd mmm yy"))&amp;" "&amp;Milestones!$AB$29&amp;" "&amp;IF(AND(Milestones!$AB$29="FT",Milestones!$AA$29=FT_Y5,EDATE($D150,Milestones!$AA$29)&lt;PolicyEff),1,Milestones!$AC$29)&amp;";  ","")&amp;IF(AND(EDATE($D150,Milestones!$AA$30)&lt;=AsOfDate,EDATE($D150,Milestones!$AA$30)&gt;=SchemeStart,IF($X150=0,$AD150,IF(AND($Z150&lt;&gt;"",EDATE($D150,Milestones!$AA$30)&gt;=$Z150),$AC150,IF(AND($Y150&lt;&gt;"",EDATE($D150,Milestones!$AA$30)&gt;=$Y150),$AB150,$AA150)))=Milestones!$AB$30),UPPER(TEXT(EDATE($D150,Milestones!$AA$30),"dd mmm yy"))&amp;" "&amp;Milestones!$AB$30&amp;" "&amp;IF(AND(Milestones!$AB$30="FT",Milestones!$AA$30=FT_Y5,EDATE($D150,Milestones!$AA$30)&lt;PolicyEff),1,Milestones!$AC$30)&amp;";  ","")&amp;IF(AND(EDATE($D150,Milestones!$AA$31)&lt;=AsOfDate,EDATE($D150,Milestones!$AA$31)&gt;=SchemeStart,IF($X150=0,$AD150,IF(AND($Z150&lt;&gt;"",EDATE($D150,Milestones!$AA$31)&gt;=$Z150),$AC150,IF(AND($Y150&lt;&gt;"",EDATE($D150,Milestones!$AA$31)&gt;=$Y150),$AB150,$AA150)))=Milestones!$AB$31),UPPER(TEXT(EDATE($D150,Milestones!$AA$31),"dd mmm yy"))&amp;" "&amp;Milestones!$AB$31&amp;" "&amp;IF(AND(Milestones!$AB$31="FT",Milestones!$AA$31=FT_Y5,EDATE($D150,Milestones!$AA$31)&lt;PolicyEff),1,Milestones!$AC$31)&amp;";  ",""))</f>
        <v/>
      </c>
      <c r="J150" s="0" t="str">
        <f aca="false">IF(OR($A150="",$D150=""),"",IF(AND(EDATE($D150,Milestones!$AA$32)&lt;=AsOfDate,EDATE($D150,Milestones!$AA$32)&gt;=SchemeStart,IF($X150=0,$AD150,IF(AND($Z150&lt;&gt;"",EDATE($D150,Milestones!$AA$32)&gt;=$Z150),$AC150,IF(AND($Y150&lt;&gt;"",EDATE($D150,Milestones!$AA$32)&gt;=$Y150),$AB150,$AA150)))=Milestones!$AB$32),UPPER(TEXT(EDATE($D150,Milestones!$AA$32),"dd mmm yy"))&amp;" "&amp;Milestones!$AB$32&amp;" "&amp;IF(AND(Milestones!$AB$32="FT",Milestones!$AA$32=FT_Y5,EDATE($D150,Milestones!$AA$32)&lt;PolicyEff),1,Milestones!$AC$32)&amp;";  ","")&amp;IF(AND(EDATE($D150,Milestones!$AA$33)&lt;=AsOfDate,EDATE($D150,Milestones!$AA$33)&gt;=SchemeStart,IF($X150=0,$AD150,IF(AND($Z150&lt;&gt;"",EDATE($D150,Milestones!$AA$33)&gt;=$Z150),$AC150,IF(AND($Y150&lt;&gt;"",EDATE($D150,Milestones!$AA$33)&gt;=$Y150),$AB150,$AA150)))=Milestones!$AB$33),UPPER(TEXT(EDATE($D150,Milestones!$AA$33),"dd mmm yy"))&amp;" "&amp;Milestones!$AB$33&amp;" "&amp;IF(AND(Milestones!$AB$33="FT",Milestones!$AA$33=FT_Y5,EDATE($D150,Milestones!$AA$33)&lt;PolicyEff),1,Milestones!$AC$33)&amp;";  ","")&amp;IF(AND(EDATE($D150,Milestones!$AA$34)&lt;=AsOfDate,EDATE($D150,Milestones!$AA$34)&gt;=SchemeStart,IF($X150=0,$AD150,IF(AND($Z150&lt;&gt;"",EDATE($D150,Milestones!$AA$34)&gt;=$Z150),$AC150,IF(AND($Y150&lt;&gt;"",EDATE($D150,Milestones!$AA$34)&gt;=$Y150),$AB150,$AA150)))=Milestones!$AB$34),UPPER(TEXT(EDATE($D150,Milestones!$AA$34),"dd mmm yy"))&amp;" "&amp;Milestones!$AB$34&amp;" "&amp;IF(AND(Milestones!$AB$34="FT",Milestones!$AA$34=FT_Y5,EDATE($D150,Milestones!$AA$34)&lt;PolicyEff),1,Milestones!$AC$34)&amp;";  ","")&amp;IF(AND(EDATE($D150,Milestones!$AA$35)&lt;=AsOfDate,EDATE($D150,Milestones!$AA$35)&gt;=SchemeStart,IF($X150=0,$AD150,IF(AND($Z150&lt;&gt;"",EDATE($D150,Milestones!$AA$35)&gt;=$Z150),$AC150,IF(AND($Y150&lt;&gt;"",EDATE($D150,Milestones!$AA$35)&gt;=$Y150),$AB150,$AA150)))=Milestones!$AB$35),UPPER(TEXT(EDATE($D150,Milestones!$AA$35),"dd mmm yy"))&amp;" "&amp;Milestones!$AB$35&amp;" "&amp;IF(AND(Milestones!$AB$35="FT",Milestones!$AA$35=FT_Y5,EDATE($D150,Milestones!$AA$35)&lt;PolicyEff),1,Milestones!$AC$35)&amp;";  ","")&amp;IF(AND(EDATE($D150,Milestones!$AA$36)&lt;=AsOfDate,EDATE($D150,Milestones!$AA$36)&gt;=SchemeStart,IF($X150=0,$AD150,IF(AND($Z150&lt;&gt;"",EDATE($D150,Milestones!$AA$36)&gt;=$Z150),$AC150,IF(AND($Y150&lt;&gt;"",EDATE($D150,Milestones!$AA$36)&gt;=$Y150),$AB150,$AA150)))=Milestones!$AB$36),UPPER(TEXT(EDATE($D150,Milestones!$AA$36),"dd mmm yy"))&amp;" "&amp;Milestones!$AB$36&amp;" "&amp;IF(AND(Milestones!$AB$36="FT",Milestones!$AA$36=FT_Y5,EDATE($D150,Milestones!$AA$36)&lt;PolicyEff),1,Milestones!$AC$36)&amp;";  ","")&amp;IF(AND(EDATE($D150,Milestones!$AA$37)&lt;=AsOfDate,EDATE($D150,Milestones!$AA$37)&gt;=SchemeStart,IF($X150=0,$AD150,IF(AND($Z150&lt;&gt;"",EDATE($D150,Milestones!$AA$37)&gt;=$Z150),$AC150,IF(AND($Y150&lt;&gt;"",EDATE($D150,Milestones!$AA$37)&gt;=$Y150),$AB150,$AA150)))=Milestones!$AB$37),UPPER(TEXT(EDATE($D150,Milestones!$AA$37),"dd mmm yy"))&amp;" "&amp;Milestones!$AB$37&amp;" "&amp;IF(AND(Milestones!$AB$37="FT",Milestones!$AA$37=FT_Y5,EDATE($D150,Milestones!$AA$37)&lt;PolicyEff),1,Milestones!$AC$37)&amp;";  ","")&amp;IF(AND(EDATE($D150,Milestones!$AA$38)&lt;=AsOfDate,EDATE($D150,Milestones!$AA$38)&gt;=SchemeStart,IF($X150=0,$AD150,IF(AND($Z150&lt;&gt;"",EDATE($D150,Milestones!$AA$38)&gt;=$Z150),$AC150,IF(AND($Y150&lt;&gt;"",EDATE($D150,Milestones!$AA$38)&gt;=$Y150),$AB150,$AA150)))=Milestones!$AB$38),UPPER(TEXT(EDATE($D150,Milestones!$AA$38),"dd mmm yy"))&amp;" "&amp;Milestones!$AB$38&amp;" "&amp;IF(AND(Milestones!$AB$38="FT",Milestones!$AA$38=FT_Y5,EDATE($D150,Milestones!$AA$38)&lt;PolicyEff),1,Milestones!$AC$38)&amp;";  ","")&amp;IF(AND(EDATE($D150,Milestones!$AA$39)&lt;=AsOfDate,EDATE($D150,Milestones!$AA$39)&gt;=SchemeStart,IF($X150=0,$AD150,IF(AND($Z150&lt;&gt;"",EDATE($D150,Milestones!$AA$39)&gt;=$Z150),$AC150,IF(AND($Y150&lt;&gt;"",EDATE($D150,Milestones!$AA$39)&gt;=$Y150),$AB150,$AA150)))=Milestones!$AB$39),UPPER(TEXT(EDATE($D150,Milestones!$AA$39),"dd mmm yy"))&amp;" "&amp;Milestones!$AB$39&amp;" "&amp;IF(AND(Milestones!$AB$39="FT",Milestones!$AA$39=FT_Y5,EDATE($D150,Milestones!$AA$39)&lt;PolicyEff),1,Milestones!$AC$39)&amp;";  ","")&amp;IF(AND(EDATE($D150,Milestones!$AA$40)&lt;=AsOfDate,EDATE($D150,Milestones!$AA$40)&gt;=SchemeStart,IF($X150=0,$AD150,IF(AND($Z150&lt;&gt;"",EDATE($D150,Milestones!$AA$40)&gt;=$Z150),$AC150,IF(AND($Y150&lt;&gt;"",EDATE($D150,Milestones!$AA$40)&gt;=$Y150),$AB150,$AA150)))=Milestones!$AB$40),UPPER(TEXT(EDATE($D150,Milestones!$AA$40),"dd mmm yy"))&amp;" "&amp;Milestones!$AB$40&amp;" "&amp;IF(AND(Milestones!$AB$40="FT",Milestones!$AA$40=FT_Y5,EDATE($D150,Milestones!$AA$40)&lt;PolicyEff),1,Milestones!$AC$40)&amp;";  ","")&amp;IF(AND(EDATE($D150,Milestones!$AA$41)&lt;=AsOfDate,EDATE($D150,Milestones!$AA$41)&gt;=SchemeStart,IF($X150=0,$AD150,IF(AND($Z150&lt;&gt;"",EDATE($D150,Milestones!$AA$41)&gt;=$Z150),$AC150,IF(AND($Y150&lt;&gt;"",EDATE($D150,Milestones!$AA$41)&gt;=$Y150),$AB150,$AA150)))=Milestones!$AB$41),UPPER(TEXT(EDATE($D150,Milestones!$AA$41),"dd mmm yy"))&amp;" "&amp;Milestones!$AB$41&amp;" "&amp;IF(AND(Milestones!$AB$41="FT",Milestones!$AA$41=FT_Y5,EDATE($D150,Milestones!$AA$41)&lt;PolicyEff),1,Milestones!$AC$41)&amp;";  ","")&amp;IF(AND(EDATE($D150,Milestones!$AA$42)&lt;=AsOfDate,EDATE($D150,Milestones!$AA$42)&gt;=SchemeStart,IF($X150=0,$AD150,IF(AND($Z150&lt;&gt;"",EDATE($D150,Milestones!$AA$42)&gt;=$Z150),$AC150,IF(AND($Y150&lt;&gt;"",EDATE($D150,Milestones!$AA$42)&gt;=$Y150),$AB150,$AA150)))=Milestones!$AB$42),UPPER(TEXT(EDATE($D150,Milestones!$AA$42),"dd mmm yy"))&amp;" "&amp;Milestones!$AB$42&amp;" "&amp;IF(AND(Milestones!$AB$42="FT",Milestones!$AA$42=FT_Y5,EDATE($D150,Milestones!$AA$42)&lt;PolicyEff),1,Milestones!$AC$42)&amp;";  ","")&amp;IF(AND(EDATE($D150,Milestones!$AA$43)&lt;=AsOfDate,EDATE($D150,Milestones!$AA$43)&gt;=SchemeStart,IF($X150=0,$AD150,IF(AND($Z150&lt;&gt;"",EDATE($D150,Milestones!$AA$43)&gt;=$Z150),$AC150,IF(AND($Y150&lt;&gt;"",EDATE($D150,Milestones!$AA$43)&gt;=$Y150),$AB150,$AA150)))=Milestones!$AB$43),UPPER(TEXT(EDATE($D150,Milestones!$AA$43),"dd mmm yy"))&amp;" "&amp;Milestones!$AB$43&amp;" "&amp;IF(AND(Milestones!$AB$43="FT",Milestones!$AA$43=FT_Y5,EDATE($D150,Milestones!$AA$43)&lt;PolicyEff),1,Milestones!$AC$43)&amp;";  ",""))</f>
        <v/>
      </c>
      <c r="K150" s="0" t="str">
        <f aca="false">IF(OR($A150="",$D150=""),"",IF(AND(EDATE($D150,Milestones!$AA$44)&lt;=AsOfDate,EDATE($D150,Milestones!$AA$44)&gt;=SchemeStart,IF($X150=0,$AD150,IF(AND($Z150&lt;&gt;"",EDATE($D150,Milestones!$AA$44)&gt;=$Z150),$AC150,IF(AND($Y150&lt;&gt;"",EDATE($D150,Milestones!$AA$44)&gt;=$Y150),$AB150,$AA150)))=Milestones!$AB$44),UPPER(TEXT(EDATE($D150,Milestones!$AA$44),"dd mmm yy"))&amp;" "&amp;Milestones!$AB$44&amp;" "&amp;IF(AND(Milestones!$AB$44="FT",Milestones!$AA$44=FT_Y5,EDATE($D150,Milestones!$AA$44)&lt;PolicyEff),1,Milestones!$AC$44)&amp;";  ","")&amp;IF(AND(EDATE($D150,Milestones!$AA$45)&lt;=AsOfDate,EDATE($D150,Milestones!$AA$45)&gt;=SchemeStart,IF($X150=0,$AD150,IF(AND($Z150&lt;&gt;"",EDATE($D150,Milestones!$AA$45)&gt;=$Z150),$AC150,IF(AND($Y150&lt;&gt;"",EDATE($D150,Milestones!$AA$45)&gt;=$Y150),$AB150,$AA150)))=Milestones!$AB$45),UPPER(TEXT(EDATE($D150,Milestones!$AA$45),"dd mmm yy"))&amp;" "&amp;Milestones!$AB$45&amp;" "&amp;IF(AND(Milestones!$AB$45="FT",Milestones!$AA$45=FT_Y5,EDATE($D150,Milestones!$AA$45)&lt;PolicyEff),1,Milestones!$AC$45)&amp;";  ","")&amp;IF(AND(EDATE($D150,Milestones!$AA$46)&lt;=AsOfDate,EDATE($D150,Milestones!$AA$46)&gt;=SchemeStart,IF($X150=0,$AD150,IF(AND($Z150&lt;&gt;"",EDATE($D150,Milestones!$AA$46)&gt;=$Z150),$AC150,IF(AND($Y150&lt;&gt;"",EDATE($D150,Milestones!$AA$46)&gt;=$Y150),$AB150,$AA150)))=Milestones!$AB$46),UPPER(TEXT(EDATE($D150,Milestones!$AA$46),"dd mmm yy"))&amp;" "&amp;Milestones!$AB$46&amp;" "&amp;IF(AND(Milestones!$AB$46="FT",Milestones!$AA$46=FT_Y5,EDATE($D150,Milestones!$AA$46)&lt;PolicyEff),1,Milestones!$AC$46)&amp;";  ","")&amp;IF(AND(EDATE($D150,Milestones!$AA$47)&lt;=AsOfDate,EDATE($D150,Milestones!$AA$47)&gt;=SchemeStart,IF($X150=0,$AD150,IF(AND($Z150&lt;&gt;"",EDATE($D150,Milestones!$AA$47)&gt;=$Z150),$AC150,IF(AND($Y150&lt;&gt;"",EDATE($D150,Milestones!$AA$47)&gt;=$Y150),$AB150,$AA150)))=Milestones!$AB$47),UPPER(TEXT(EDATE($D150,Milestones!$AA$47),"dd mmm yy"))&amp;" "&amp;Milestones!$AB$47&amp;" "&amp;IF(AND(Milestones!$AB$47="FT",Milestones!$AA$47=FT_Y5,EDATE($D150,Milestones!$AA$47)&lt;PolicyEff),1,Milestones!$AC$47)&amp;";  ","")&amp;IF(AND(EDATE($D150,Milestones!$AA$48)&lt;=AsOfDate,EDATE($D150,Milestones!$AA$48)&gt;=SchemeStart,IF($X150=0,$AD150,IF(AND($Z150&lt;&gt;"",EDATE($D150,Milestones!$AA$48)&gt;=$Z150),$AC150,IF(AND($Y150&lt;&gt;"",EDATE($D150,Milestones!$AA$48)&gt;=$Y150),$AB150,$AA150)))=Milestones!$AB$48),UPPER(TEXT(EDATE($D150,Milestones!$AA$48),"dd mmm yy"))&amp;" "&amp;Milestones!$AB$48&amp;" "&amp;IF(AND(Milestones!$AB$48="FT",Milestones!$AA$48=FT_Y5,EDATE($D150,Milestones!$AA$48)&lt;PolicyEff),1,Milestones!$AC$48)&amp;";  ","")&amp;IF(AND(EDATE($D150,Milestones!$AA$49)&lt;=AsOfDate,EDATE($D150,Milestones!$AA$49)&gt;=SchemeStart,IF($X150=0,$AD150,IF(AND($Z150&lt;&gt;"",EDATE($D150,Milestones!$AA$49)&gt;=$Z150),$AC150,IF(AND($Y150&lt;&gt;"",EDATE($D150,Milestones!$AA$49)&gt;=$Y150),$AB150,$AA150)))=Milestones!$AB$49),UPPER(TEXT(EDATE($D150,Milestones!$AA$49),"dd mmm yy"))&amp;" "&amp;Milestones!$AB$49&amp;" "&amp;IF(AND(Milestones!$AB$49="FT",Milestones!$AA$49=FT_Y5,EDATE($D150,Milestones!$AA$49)&lt;PolicyEff),1,Milestones!$AC$49)&amp;";  ","")&amp;IF(AND(EDATE($D150,Milestones!$AA$50)&lt;=AsOfDate,EDATE($D150,Milestones!$AA$50)&gt;=SchemeStart,IF($X150=0,$AD150,IF(AND($Z150&lt;&gt;"",EDATE($D150,Milestones!$AA$50)&gt;=$Z150),$AC150,IF(AND($Y150&lt;&gt;"",EDATE($D150,Milestones!$AA$50)&gt;=$Y150),$AB150,$AA150)))=Milestones!$AB$50),UPPER(TEXT(EDATE($D150,Milestones!$AA$50),"dd mmm yy"))&amp;" "&amp;Milestones!$AB$50&amp;" "&amp;IF(AND(Milestones!$AB$50="FT",Milestones!$AA$50=FT_Y5,EDATE($D150,Milestones!$AA$50)&lt;PolicyEff),1,Milestones!$AC$50)&amp;";  ","")&amp;IF(AND(EDATE($D150,Milestones!$AA$51)&lt;=AsOfDate,EDATE($D150,Milestones!$AA$51)&gt;=SchemeStart,IF($X150=0,$AD150,IF(AND($Z150&lt;&gt;"",EDATE($D150,Milestones!$AA$51)&gt;=$Z150),$AC150,IF(AND($Y150&lt;&gt;"",EDATE($D150,Milestones!$AA$51)&gt;=$Y150),$AB150,$AA150)))=Milestones!$AB$51),UPPER(TEXT(EDATE($D150,Milestones!$AA$51),"dd mmm yy"))&amp;" "&amp;Milestones!$AB$51&amp;" "&amp;IF(AND(Milestones!$AB$51="FT",Milestones!$AA$51=FT_Y5,EDATE($D150,Milestones!$AA$51)&lt;PolicyEff),1,Milestones!$AC$51)&amp;";  ","")&amp;IF(AND(EDATE($D150,Milestones!$AA$52)&lt;=AsOfDate,EDATE($D150,Milestones!$AA$52)&gt;=SchemeStart,IF($X150=0,$AD150,IF(AND($Z150&lt;&gt;"",EDATE($D150,Milestones!$AA$52)&gt;=$Z150),$AC150,IF(AND($Y150&lt;&gt;"",EDATE($D150,Milestones!$AA$52)&gt;=$Y150),$AB150,$AA150)))=Milestones!$AB$52),UPPER(TEXT(EDATE($D150,Milestones!$AA$52),"dd mmm yy"))&amp;" "&amp;Milestones!$AB$52&amp;" "&amp;IF(AND(Milestones!$AB$52="FT",Milestones!$AA$52=FT_Y5,EDATE($D150,Milestones!$AA$52)&lt;PolicyEff),1,Milestones!$AC$52)&amp;";  ","")&amp;IF(AND(EDATE($D150,Milestones!$AA$53)&lt;=AsOfDate,EDATE($D150,Milestones!$AA$53)&gt;=SchemeStart,IF($X150=0,$AD150,IF(AND($Z150&lt;&gt;"",EDATE($D150,Milestones!$AA$53)&gt;=$Z150),$AC150,IF(AND($Y150&lt;&gt;"",EDATE($D150,Milestones!$AA$53)&gt;=$Y150),$AB150,$AA150)))=Milestones!$AB$53),UPPER(TEXT(EDATE($D150,Milestones!$AA$53),"dd mmm yy"))&amp;" "&amp;Milestones!$AB$53&amp;" "&amp;IF(AND(Milestones!$AB$53="FT",Milestones!$AA$53=FT_Y5,EDATE($D150,Milestones!$AA$53)&lt;PolicyEff),1,Milestones!$AC$53)&amp;";  ","")&amp;IF(AND(EDATE($D150,Milestones!$AA$54)&lt;=AsOfDate,EDATE($D150,Milestones!$AA$54)&gt;=SchemeStart,IF($X150=0,$AD150,IF(AND($Z150&lt;&gt;"",EDATE($D150,Milestones!$AA$54)&gt;=$Z150),$AC150,IF(AND($Y150&lt;&gt;"",EDATE($D150,Milestones!$AA$54)&gt;=$Y150),$AB150,$AA150)))=Milestones!$AB$54),UPPER(TEXT(EDATE($D150,Milestones!$AA$54),"dd mmm yy"))&amp;" "&amp;Milestones!$AB$54&amp;" "&amp;IF(AND(Milestones!$AB$54="FT",Milestones!$AA$54=FT_Y5,EDATE($D150,Milestones!$AA$54)&lt;PolicyEff),1,Milestones!$AC$54)&amp;";  ","")&amp;IF(AND(EDATE($D150,Milestones!$AA$55)&lt;=AsOfDate,EDATE($D150,Milestones!$AA$55)&gt;=SchemeStart,IF($X150=0,$AD150,IF(AND($Z150&lt;&gt;"",EDATE($D150,Milestones!$AA$55)&gt;=$Z150),$AC150,IF(AND($Y150&lt;&gt;"",EDATE($D150,Milestones!$AA$55)&gt;=$Y150),$AB150,$AA150)))=Milestones!$AB$55),UPPER(TEXT(EDATE($D150,Milestones!$AA$55),"dd mmm yy"))&amp;" "&amp;Milestones!$AB$55&amp;" "&amp;IF(AND(Milestones!$AB$55="FT",Milestones!$AA$55=FT_Y5,EDATE($D150,Milestones!$AA$55)&lt;PolicyEff),1,Milestones!$AC$55)&amp;";  ",""))</f>
        <v/>
      </c>
      <c r="L150" s="0" t="str">
        <f aca="false">IF(OR($A150="",$D150=""),"",IF(AND(EDATE($D150,Milestones!$AA$56)&lt;=AsOfDate,EDATE($D150,Milestones!$AA$56)&gt;=SchemeStart,IF($X150=0,$AD150,IF(AND($Z150&lt;&gt;"",EDATE($D150,Milestones!$AA$56)&gt;=$Z150),$AC150,IF(AND($Y150&lt;&gt;"",EDATE($D150,Milestones!$AA$56)&gt;=$Y150),$AB150,$AA150)))=Milestones!$AB$56),UPPER(TEXT(EDATE($D150,Milestones!$AA$56),"dd mmm yy"))&amp;" "&amp;Milestones!$AB$56&amp;" "&amp;IF(AND(Milestones!$AB$56="FT",Milestones!$AA$56=FT_Y5,EDATE($D150,Milestones!$AA$56)&lt;PolicyEff),1,Milestones!$AC$56)&amp;";  ","")&amp;IF(AND(EDATE($D150,Milestones!$AA$57)&lt;=AsOfDate,EDATE($D150,Milestones!$AA$57)&gt;=SchemeStart,IF($X150=0,$AD150,IF(AND($Z150&lt;&gt;"",EDATE($D150,Milestones!$AA$57)&gt;=$Z150),$AC150,IF(AND($Y150&lt;&gt;"",EDATE($D150,Milestones!$AA$57)&gt;=$Y150),$AB150,$AA150)))=Milestones!$AB$57),UPPER(TEXT(EDATE($D150,Milestones!$AA$57),"dd mmm yy"))&amp;" "&amp;Milestones!$AB$57&amp;" "&amp;IF(AND(Milestones!$AB$57="FT",Milestones!$AA$57=FT_Y5,EDATE($D150,Milestones!$AA$57)&lt;PolicyEff),1,Milestones!$AC$57)&amp;";  ","")&amp;IF(AND(EDATE($D150,Milestones!$AA$58)&lt;=AsOfDate,EDATE($D150,Milestones!$AA$58)&gt;=SchemeStart,IF($X150=0,$AD150,IF(AND($Z150&lt;&gt;"",EDATE($D150,Milestones!$AA$58)&gt;=$Z150),$AC150,IF(AND($Y150&lt;&gt;"",EDATE($D150,Milestones!$AA$58)&gt;=$Y150),$AB150,$AA150)))=Milestones!$AB$58),UPPER(TEXT(EDATE($D150,Milestones!$AA$58),"dd mmm yy"))&amp;" "&amp;Milestones!$AB$58&amp;" "&amp;IF(AND(Milestones!$AB$58="FT",Milestones!$AA$58=FT_Y5,EDATE($D150,Milestones!$AA$58)&lt;PolicyEff),1,Milestones!$AC$58)&amp;";  ","")&amp;IF(AND(EDATE($D150,Milestones!$AA$59)&lt;=AsOfDate,EDATE($D150,Milestones!$AA$59)&gt;=SchemeStart,IF($X150=0,$AD150,IF(AND($Z150&lt;&gt;"",EDATE($D150,Milestones!$AA$59)&gt;=$Z150),$AC150,IF(AND($Y150&lt;&gt;"",EDATE($D150,Milestones!$AA$59)&gt;=$Y150),$AB150,$AA150)))=Milestones!$AB$59),UPPER(TEXT(EDATE($D150,Milestones!$AA$59),"dd mmm yy"))&amp;" "&amp;Milestones!$AB$59&amp;" "&amp;IF(AND(Milestones!$AB$59="FT",Milestones!$AA$59=FT_Y5,EDATE($D150,Milestones!$AA$59)&lt;PolicyEff),1,Milestones!$AC$59)&amp;";  ","")&amp;IF(AND(EDATE($D150,Milestones!$AA$60)&lt;=AsOfDate,EDATE($D150,Milestones!$AA$60)&gt;=SchemeStart,IF($X150=0,$AD150,IF(AND($Z150&lt;&gt;"",EDATE($D150,Milestones!$AA$60)&gt;=$Z150),$AC150,IF(AND($Y150&lt;&gt;"",EDATE($D150,Milestones!$AA$60)&gt;=$Y150),$AB150,$AA150)))=Milestones!$AB$60),UPPER(TEXT(EDATE($D150,Milestones!$AA$60),"dd mmm yy"))&amp;" "&amp;Milestones!$AB$60&amp;" "&amp;IF(AND(Milestones!$AB$60="FT",Milestones!$AA$60=FT_Y5,EDATE($D150,Milestones!$AA$60)&lt;PolicyEff),1,Milestones!$AC$60)&amp;";  ","")&amp;IF(AND(EDATE($D150,Milestones!$AA$61)&lt;=AsOfDate,EDATE($D150,Milestones!$AA$61)&gt;=SchemeStart,IF($X150=0,$AD150,IF(AND($Z150&lt;&gt;"",EDATE($D150,Milestones!$AA$61)&gt;=$Z150),$AC150,IF(AND($Y150&lt;&gt;"",EDATE($D150,Milestones!$AA$61)&gt;=$Y150),$AB150,$AA150)))=Milestones!$AB$61),UPPER(TEXT(EDATE($D150,Milestones!$AA$61),"dd mmm yy"))&amp;" "&amp;Milestones!$AB$61&amp;" "&amp;IF(AND(Milestones!$AB$61="FT",Milestones!$AA$61=FT_Y5,EDATE($D150,Milestones!$AA$61)&lt;PolicyEff),1,Milestones!$AC$61)&amp;";  ","")&amp;IF(AND(EDATE($D150,Milestones!$AA$62)&lt;=AsOfDate,EDATE($D150,Milestones!$AA$62)&gt;=SchemeStart,IF($X150=0,$AD150,IF(AND($Z150&lt;&gt;"",EDATE($D150,Milestones!$AA$62)&gt;=$Z150),$AC150,IF(AND($Y150&lt;&gt;"",EDATE($D150,Milestones!$AA$62)&gt;=$Y150),$AB150,$AA150)))=Milestones!$AB$62),UPPER(TEXT(EDATE($D150,Milestones!$AA$62),"dd mmm yy"))&amp;" "&amp;Milestones!$AB$62&amp;" "&amp;IF(AND(Milestones!$AB$62="FT",Milestones!$AA$62=FT_Y5,EDATE($D150,Milestones!$AA$62)&lt;PolicyEff),1,Milestones!$AC$62)&amp;";  ","")&amp;IF(AND(EDATE($D150,Milestones!$AA$63)&lt;=AsOfDate,EDATE($D150,Milestones!$AA$63)&gt;=SchemeStart,IF($X150=0,$AD150,IF(AND($Z150&lt;&gt;"",EDATE($D150,Milestones!$AA$63)&gt;=$Z150),$AC150,IF(AND($Y150&lt;&gt;"",EDATE($D150,Milestones!$AA$63)&gt;=$Y150),$AB150,$AA150)))=Milestones!$AB$63),UPPER(TEXT(EDATE($D150,Milestones!$AA$63),"dd mmm yy"))&amp;" "&amp;Milestones!$AB$63&amp;" "&amp;IF(AND(Milestones!$AB$63="FT",Milestones!$AA$63=FT_Y5,EDATE($D150,Milestones!$AA$63)&lt;PolicyEff),1,Milestones!$AC$63)&amp;";  ","")&amp;IF(AND(EDATE($D150,Milestones!$AA$64)&lt;=AsOfDate,EDATE($D150,Milestones!$AA$64)&gt;=SchemeStart,IF($X150=0,$AD150,IF(AND($Z150&lt;&gt;"",EDATE($D150,Milestones!$AA$64)&gt;=$Z150),$AC150,IF(AND($Y150&lt;&gt;"",EDATE($D150,Milestones!$AA$64)&gt;=$Y150),$AB150,$AA150)))=Milestones!$AB$64),UPPER(TEXT(EDATE($D150,Milestones!$AA$64),"dd mmm yy"))&amp;" "&amp;Milestones!$AB$64&amp;" "&amp;IF(AND(Milestones!$AB$64="FT",Milestones!$AA$64=FT_Y5,EDATE($D150,Milestones!$AA$64)&lt;PolicyEff),1,Milestones!$AC$64)&amp;";  ","")&amp;IF(AND(EDATE($D150,Milestones!$AA$65)&lt;=AsOfDate,EDATE($D150,Milestones!$AA$65)&gt;=SchemeStart,IF($X150=0,$AD150,IF(AND($Z150&lt;&gt;"",EDATE($D150,Milestones!$AA$65)&gt;=$Z150),$AC150,IF(AND($Y150&lt;&gt;"",EDATE($D150,Milestones!$AA$65)&gt;=$Y150),$AB150,$AA150)))=Milestones!$AB$65),UPPER(TEXT(EDATE($D150,Milestones!$AA$65),"dd mmm yy"))&amp;" "&amp;Milestones!$AB$65&amp;" "&amp;IF(AND(Milestones!$AB$65="FT",Milestones!$AA$65=FT_Y5,EDATE($D150,Milestones!$AA$65)&lt;PolicyEff),1,Milestones!$AC$65)&amp;";  ","")&amp;IF(AND(EDATE($D150,Milestones!$AA$66)&lt;=AsOfDate,EDATE($D150,Milestones!$AA$66)&gt;=SchemeStart,IF($X150=0,$AD150,IF(AND($Z150&lt;&gt;"",EDATE($D150,Milestones!$AA$66)&gt;=$Z150),$AC150,IF(AND($Y150&lt;&gt;"",EDATE($D150,Milestones!$AA$66)&gt;=$Y150),$AB150,$AA150)))=Milestones!$AB$66),UPPER(TEXT(EDATE($D150,Milestones!$AA$66),"dd mmm yy"))&amp;" "&amp;Milestones!$AB$66&amp;" "&amp;IF(AND(Milestones!$AB$66="FT",Milestones!$AA$66=FT_Y5,EDATE($D150,Milestones!$AA$66)&lt;PolicyEff),1,Milestones!$AC$66)&amp;";  ","")&amp;IF(AND(EDATE($D150,Milestones!$AA$67)&lt;=AsOfDate,EDATE($D150,Milestones!$AA$67)&gt;=SchemeStart,IF($X150=0,$AD150,IF(AND($Z150&lt;&gt;"",EDATE($D150,Milestones!$AA$67)&gt;=$Z150),$AC150,IF(AND($Y150&lt;&gt;"",EDATE($D150,Milestones!$AA$67)&gt;=$Y150),$AB150,$AA150)))=Milestones!$AB$67),UPPER(TEXT(EDATE($D150,Milestones!$AA$67),"dd mmm yy"))&amp;" "&amp;Milestones!$AB$67&amp;" "&amp;IF(AND(Milestones!$AB$67="FT",Milestones!$AA$67=FT_Y5,EDATE($D150,Milestones!$AA$67)&lt;PolicyEff),1,Milestones!$AC$67)&amp;";  ",""))</f>
        <v/>
      </c>
      <c r="M150" s="0" t="str">
        <f aca="false">IF(OR($A150="",$D150=""),"",IF(AND(EDATE($D150,Milestones!$AA$68)&lt;=AsOfDate,EDATE($D150,Milestones!$AA$68)&gt;=SchemeStart,IF($X150=0,$AD150,IF(AND($Z150&lt;&gt;"",EDATE($D150,Milestones!$AA$68)&gt;=$Z150),$AC150,IF(AND($Y150&lt;&gt;"",EDATE($D150,Milestones!$AA$68)&gt;=$Y150),$AB150,$AA150)))=Milestones!$AB$68),UPPER(TEXT(EDATE($D150,Milestones!$AA$68),"dd mmm yy"))&amp;" "&amp;Milestones!$AB$68&amp;" "&amp;IF(AND(Milestones!$AB$68="FT",Milestones!$AA$68=FT_Y5,EDATE($D150,Milestones!$AA$68)&lt;PolicyEff),1,Milestones!$AC$68)&amp;";  ","")&amp;IF(AND(EDATE($D150,Milestones!$AA$69)&lt;=AsOfDate,EDATE($D150,Milestones!$AA$69)&gt;=SchemeStart,IF($X150=0,$AD150,IF(AND($Z150&lt;&gt;"",EDATE($D150,Milestones!$AA$69)&gt;=$Z150),$AC150,IF(AND($Y150&lt;&gt;"",EDATE($D150,Milestones!$AA$69)&gt;=$Y150),$AB150,$AA150)))=Milestones!$AB$69),UPPER(TEXT(EDATE($D150,Milestones!$AA$69),"dd mmm yy"))&amp;" "&amp;Milestones!$AB$69&amp;" "&amp;IF(AND(Milestones!$AB$69="FT",Milestones!$AA$69=FT_Y5,EDATE($D150,Milestones!$AA$69)&lt;PolicyEff),1,Milestones!$AC$69)&amp;";  ","")&amp;IF(AND(EDATE($D150,Milestones!$AA$70)&lt;=AsOfDate,EDATE($D150,Milestones!$AA$70)&gt;=SchemeStart,IF($X150=0,$AD150,IF(AND($Z150&lt;&gt;"",EDATE($D150,Milestones!$AA$70)&gt;=$Z150),$AC150,IF(AND($Y150&lt;&gt;"",EDATE($D150,Milestones!$AA$70)&gt;=$Y150),$AB150,$AA150)))=Milestones!$AB$70),UPPER(TEXT(EDATE($D150,Milestones!$AA$70),"dd mmm yy"))&amp;" "&amp;Milestones!$AB$70&amp;" "&amp;IF(AND(Milestones!$AB$70="FT",Milestones!$AA$70=FT_Y5,EDATE($D150,Milestones!$AA$70)&lt;PolicyEff),1,Milestones!$AC$70)&amp;";  ","")&amp;IF(AND(EDATE($D150,Milestones!$AA$71)&lt;=AsOfDate,EDATE($D150,Milestones!$AA$71)&gt;=SchemeStart,IF($X150=0,$AD150,IF(AND($Z150&lt;&gt;"",EDATE($D150,Milestones!$AA$71)&gt;=$Z150),$AC150,IF(AND($Y150&lt;&gt;"",EDATE($D150,Milestones!$AA$71)&gt;=$Y150),$AB150,$AA150)))=Milestones!$AB$71),UPPER(TEXT(EDATE($D150,Milestones!$AA$71),"dd mmm yy"))&amp;" "&amp;Milestones!$AB$71&amp;" "&amp;IF(AND(Milestones!$AB$71="FT",Milestones!$AA$71=FT_Y5,EDATE($D150,Milestones!$AA$71)&lt;PolicyEff),1,Milestones!$AC$71)&amp;";  ","")&amp;IF(AND(EDATE($D150,Milestones!$AA$72)&lt;=AsOfDate,EDATE($D150,Milestones!$AA$72)&gt;=SchemeStart,IF($X150=0,$AD150,IF(AND($Z150&lt;&gt;"",EDATE($D150,Milestones!$AA$72)&gt;=$Z150),$AC150,IF(AND($Y150&lt;&gt;"",EDATE($D150,Milestones!$AA$72)&gt;=$Y150),$AB150,$AA150)))=Milestones!$AB$72),UPPER(TEXT(EDATE($D150,Milestones!$AA$72),"dd mmm yy"))&amp;" "&amp;Milestones!$AB$72&amp;" "&amp;IF(AND(Milestones!$AB$72="FT",Milestones!$AA$72=FT_Y5,EDATE($D150,Milestones!$AA$72)&lt;PolicyEff),1,Milestones!$AC$72)&amp;";  ","")&amp;IF(AND(EDATE($D150,Milestones!$AA$73)&lt;=AsOfDate,EDATE($D150,Milestones!$AA$73)&gt;=SchemeStart,IF($X150=0,$AD150,IF(AND($Z150&lt;&gt;"",EDATE($D150,Milestones!$AA$73)&gt;=$Z150),$AC150,IF(AND($Y150&lt;&gt;"",EDATE($D150,Milestones!$AA$73)&gt;=$Y150),$AB150,$AA150)))=Milestones!$AB$73),UPPER(TEXT(EDATE($D150,Milestones!$AA$73),"dd mmm yy"))&amp;" "&amp;Milestones!$AB$73&amp;" "&amp;IF(AND(Milestones!$AB$73="FT",Milestones!$AA$73=FT_Y5,EDATE($D150,Milestones!$AA$73)&lt;PolicyEff),1,Milestones!$AC$73)&amp;";  ","")&amp;IF(AND(EDATE($D150,Milestones!$AA$74)&lt;=AsOfDate,EDATE($D150,Milestones!$AA$74)&gt;=SchemeStart,IF($X150=0,$AD150,IF(AND($Z150&lt;&gt;"",EDATE($D150,Milestones!$AA$74)&gt;=$Z150),$AC150,IF(AND($Y150&lt;&gt;"",EDATE($D150,Milestones!$AA$74)&gt;=$Y150),$AB150,$AA150)))=Milestones!$AB$74),UPPER(TEXT(EDATE($D150,Milestones!$AA$74),"dd mmm yy"))&amp;" "&amp;Milestones!$AB$74&amp;" "&amp;IF(AND(Milestones!$AB$74="FT",Milestones!$AA$74=FT_Y5,EDATE($D150,Milestones!$AA$74)&lt;PolicyEff),1,Milestones!$AC$74)&amp;";  ","")&amp;IF(AND(EDATE($D150,Milestones!$AA$75)&lt;=AsOfDate,EDATE($D150,Milestones!$AA$75)&gt;=SchemeStart,IF($X150=0,$AD150,IF(AND($Z150&lt;&gt;"",EDATE($D150,Milestones!$AA$75)&gt;=$Z150),$AC150,IF(AND($Y150&lt;&gt;"",EDATE($D150,Milestones!$AA$75)&gt;=$Y150),$AB150,$AA150)))=Milestones!$AB$75),UPPER(TEXT(EDATE($D150,Milestones!$AA$75),"dd mmm yy"))&amp;" "&amp;Milestones!$AB$75&amp;" "&amp;IF(AND(Milestones!$AB$75="FT",Milestones!$AA$75=FT_Y5,EDATE($D150,Milestones!$AA$75)&lt;PolicyEff),1,Milestones!$AC$75)&amp;";  ","")&amp;IF(AND(EDATE($D150,Milestones!$AA$76)&lt;=AsOfDate,EDATE($D150,Milestones!$AA$76)&gt;=SchemeStart,IF($X150=0,$AD150,IF(AND($Z150&lt;&gt;"",EDATE($D150,Milestones!$AA$76)&gt;=$Z150),$AC150,IF(AND($Y150&lt;&gt;"",EDATE($D150,Milestones!$AA$76)&gt;=$Y150),$AB150,$AA150)))=Milestones!$AB$76),UPPER(TEXT(EDATE($D150,Milestones!$AA$76),"dd mmm yy"))&amp;" "&amp;Milestones!$AB$76&amp;" "&amp;IF(AND(Milestones!$AB$76="FT",Milestones!$AA$76=FT_Y5,EDATE($D150,Milestones!$AA$76)&lt;PolicyEff),1,Milestones!$AC$76)&amp;";  ","")&amp;IF(AND(EDATE($D150,Milestones!$AA$77)&lt;=AsOfDate,EDATE($D150,Milestones!$AA$77)&gt;=SchemeStart,IF($X150=0,$AD150,IF(AND($Z150&lt;&gt;"",EDATE($D150,Milestones!$AA$77)&gt;=$Z150),$AC150,IF(AND($Y150&lt;&gt;"",EDATE($D150,Milestones!$AA$77)&gt;=$Y150),$AB150,$AA150)))=Milestones!$AB$77),UPPER(TEXT(EDATE($D150,Milestones!$AA$77),"dd mmm yy"))&amp;" "&amp;Milestones!$AB$77&amp;" "&amp;IF(AND(Milestones!$AB$77="FT",Milestones!$AA$77=FT_Y5,EDATE($D150,Milestones!$AA$77)&lt;PolicyEff),1,Milestones!$AC$77)&amp;";  ","")&amp;IF(AND(EDATE($D150,Milestones!$AA$78)&lt;=AsOfDate,EDATE($D150,Milestones!$AA$78)&gt;=SchemeStart,IF($X150=0,$AD150,IF(AND($Z150&lt;&gt;"",EDATE($D150,Milestones!$AA$78)&gt;=$Z150),$AC150,IF(AND($Y150&lt;&gt;"",EDATE($D150,Milestones!$AA$78)&gt;=$Y150),$AB150,$AA150)))=Milestones!$AB$78),UPPER(TEXT(EDATE($D150,Milestones!$AA$78),"dd mmm yy"))&amp;" "&amp;Milestones!$AB$78&amp;" "&amp;IF(AND(Milestones!$AB$78="FT",Milestones!$AA$78=FT_Y5,EDATE($D150,Milestones!$AA$78)&lt;PolicyEff),1,Milestones!$AC$78)&amp;";  ","")&amp;IF(AND(EDATE($D150,Milestones!$AA$79)&lt;=AsOfDate,EDATE($D150,Milestones!$AA$79)&gt;=SchemeStart,IF($X150=0,$AD150,IF(AND($Z150&lt;&gt;"",EDATE($D150,Milestones!$AA$79)&gt;=$Z150),$AC150,IF(AND($Y150&lt;&gt;"",EDATE($D150,Milestones!$AA$79)&gt;=$Y150),$AB150,$AA150)))=Milestones!$AB$79),UPPER(TEXT(EDATE($D150,Milestones!$AA$79),"dd mmm yy"))&amp;" "&amp;Milestones!$AB$79&amp;" "&amp;IF(AND(Milestones!$AB$79="FT",Milestones!$AA$79=FT_Y5,EDATE($D150,Milestones!$AA$79)&lt;PolicyEff),1,Milestones!$AC$79)&amp;";  ",""))</f>
        <v/>
      </c>
      <c r="N150" s="0" t="str">
        <f aca="false">IF(OR($A150="",$D150=""),"",IF(AND(EDATE($D150,Milestones!$AA$80)&lt;=AsOfDate,EDATE($D150,Milestones!$AA$80)&gt;=SchemeStart,IF($X150=0,$AD150,IF(AND($Z150&lt;&gt;"",EDATE($D150,Milestones!$AA$80)&gt;=$Z150),$AC150,IF(AND($Y150&lt;&gt;"",EDATE($D150,Milestones!$AA$80)&gt;=$Y150),$AB150,$AA150)))=Milestones!$AB$80),UPPER(TEXT(EDATE($D150,Milestones!$AA$80),"dd mmm yy"))&amp;" "&amp;Milestones!$AB$80&amp;" "&amp;IF(AND(Milestones!$AB$80="FT",Milestones!$AA$80=FT_Y5,EDATE($D150,Milestones!$AA$80)&lt;PolicyEff),1,Milestones!$AC$80)&amp;";  ","")&amp;IF(AND(EDATE($D150,Milestones!$AA$81)&lt;=AsOfDate,EDATE($D150,Milestones!$AA$81)&gt;=SchemeStart,IF($X150=0,$AD150,IF(AND($Z150&lt;&gt;"",EDATE($D150,Milestones!$AA$81)&gt;=$Z150),$AC150,IF(AND($Y150&lt;&gt;"",EDATE($D150,Milestones!$AA$81)&gt;=$Y150),$AB150,$AA150)))=Milestones!$AB$81),UPPER(TEXT(EDATE($D150,Milestones!$AA$81),"dd mmm yy"))&amp;" "&amp;Milestones!$AB$81&amp;" "&amp;IF(AND(Milestones!$AB$81="FT",Milestones!$AA$81=FT_Y5,EDATE($D150,Milestones!$AA$81)&lt;PolicyEff),1,Milestones!$AC$81)&amp;";  ","")&amp;IF(AND(EDATE($D150,Milestones!$AA$82)&lt;=AsOfDate,EDATE($D150,Milestones!$AA$82)&gt;=SchemeStart,IF($X150=0,$AD150,IF(AND($Z150&lt;&gt;"",EDATE($D150,Milestones!$AA$82)&gt;=$Z150),$AC150,IF(AND($Y150&lt;&gt;"",EDATE($D150,Milestones!$AA$82)&gt;=$Y150),$AB150,$AA150)))=Milestones!$AB$82),UPPER(TEXT(EDATE($D150,Milestones!$AA$82),"dd mmm yy"))&amp;" "&amp;Milestones!$AB$82&amp;" "&amp;IF(AND(Milestones!$AB$82="FT",Milestones!$AA$82=FT_Y5,EDATE($D150,Milestones!$AA$82)&lt;PolicyEff),1,Milestones!$AC$82)&amp;";  ","")&amp;IF(AND(EDATE($D150,Milestones!$AA$83)&lt;=AsOfDate,EDATE($D150,Milestones!$AA$83)&gt;=SchemeStart,IF($X150=0,$AD150,IF(AND($Z150&lt;&gt;"",EDATE($D150,Milestones!$AA$83)&gt;=$Z150),$AC150,IF(AND($Y150&lt;&gt;"",EDATE($D150,Milestones!$AA$83)&gt;=$Y150),$AB150,$AA150)))=Milestones!$AB$83),UPPER(TEXT(EDATE($D150,Milestones!$AA$83),"dd mmm yy"))&amp;" "&amp;Milestones!$AB$83&amp;" "&amp;IF(AND(Milestones!$AB$83="FT",Milestones!$AA$83=FT_Y5,EDATE($D150,Milestones!$AA$83)&lt;PolicyEff),1,Milestones!$AC$83)&amp;";  ","")&amp;IF(AND(EDATE($D150,Milestones!$AA$84)&lt;=AsOfDate,EDATE($D150,Milestones!$AA$84)&gt;=SchemeStart,IF($X150=0,$AD150,IF(AND($Z150&lt;&gt;"",EDATE($D150,Milestones!$AA$84)&gt;=$Z150),$AC150,IF(AND($Y150&lt;&gt;"",EDATE($D150,Milestones!$AA$84)&gt;=$Y150),$AB150,$AA150)))=Milestones!$AB$84),UPPER(TEXT(EDATE($D150,Milestones!$AA$84),"dd mmm yy"))&amp;" "&amp;Milestones!$AB$84&amp;" "&amp;IF(AND(Milestones!$AB$84="FT",Milestones!$AA$84=FT_Y5,EDATE($D150,Milestones!$AA$84)&lt;PolicyEff),1,Milestones!$AC$84)&amp;";  ","")&amp;IF(AND(EDATE($D150,Milestones!$AA$85)&lt;=AsOfDate,EDATE($D150,Milestones!$AA$85)&gt;=SchemeStart,IF($X150=0,$AD150,IF(AND($Z150&lt;&gt;"",EDATE($D150,Milestones!$AA$85)&gt;=$Z150),$AC150,IF(AND($Y150&lt;&gt;"",EDATE($D150,Milestones!$AA$85)&gt;=$Y150),$AB150,$AA150)))=Milestones!$AB$85),UPPER(TEXT(EDATE($D150,Milestones!$AA$85),"dd mmm yy"))&amp;" "&amp;Milestones!$AB$85&amp;" "&amp;IF(AND(Milestones!$AB$85="FT",Milestones!$AA$85=FT_Y5,EDATE($D150,Milestones!$AA$85)&lt;PolicyEff),1,Milestones!$AC$85)&amp;";  ","")&amp;IF(AND(EDATE($D150,Milestones!$AA$86)&lt;=AsOfDate,EDATE($D150,Milestones!$AA$86)&gt;=SchemeStart,IF($X150=0,$AD150,IF(AND($Z150&lt;&gt;"",EDATE($D150,Milestones!$AA$86)&gt;=$Z150),$AC150,IF(AND($Y150&lt;&gt;"",EDATE($D150,Milestones!$AA$86)&gt;=$Y150),$AB150,$AA150)))=Milestones!$AB$86),UPPER(TEXT(EDATE($D150,Milestones!$AA$86),"dd mmm yy"))&amp;" "&amp;Milestones!$AB$86&amp;" "&amp;IF(AND(Milestones!$AB$86="FT",Milestones!$AA$86=FT_Y5,EDATE($D150,Milestones!$AA$86)&lt;PolicyEff),1,Milestones!$AC$86)&amp;";  ","")&amp;IF(AND(EDATE($D150,Milestones!$AA$87)&lt;=AsOfDate,EDATE($D150,Milestones!$AA$87)&gt;=SchemeStart,IF($X150=0,$AD150,IF(AND($Z150&lt;&gt;"",EDATE($D150,Milestones!$AA$87)&gt;=$Z150),$AC150,IF(AND($Y150&lt;&gt;"",EDATE($D150,Milestones!$AA$87)&gt;=$Y150),$AB150,$AA150)))=Milestones!$AB$87),UPPER(TEXT(EDATE($D150,Milestones!$AA$87),"dd mmm yy"))&amp;" "&amp;Milestones!$AB$87&amp;" "&amp;IF(AND(Milestones!$AB$87="FT",Milestones!$AA$87=FT_Y5,EDATE($D150,Milestones!$AA$87)&lt;PolicyEff),1,Milestones!$AC$87)&amp;";  ","")&amp;IF(AND(EDATE($D150,Milestones!$AA$88)&lt;=AsOfDate,EDATE($D150,Milestones!$AA$88)&gt;=SchemeStart,IF($X150=0,$AD150,IF(AND($Z150&lt;&gt;"",EDATE($D150,Milestones!$AA$88)&gt;=$Z150),$AC150,IF(AND($Y150&lt;&gt;"",EDATE($D150,Milestones!$AA$88)&gt;=$Y150),$AB150,$AA150)))=Milestones!$AB$88),UPPER(TEXT(EDATE($D150,Milestones!$AA$88),"dd mmm yy"))&amp;" "&amp;Milestones!$AB$88&amp;" "&amp;IF(AND(Milestones!$AB$88="FT",Milestones!$AA$88=FT_Y5,EDATE($D150,Milestones!$AA$88)&lt;PolicyEff),1,Milestones!$AC$88)&amp;";  ","")&amp;IF(AND(EDATE($D150,Milestones!$AA$89)&lt;=AsOfDate,EDATE($D150,Milestones!$AA$89)&gt;=SchemeStart,IF($X150=0,$AD150,IF(AND($Z150&lt;&gt;"",EDATE($D150,Milestones!$AA$89)&gt;=$Z150),$AC150,IF(AND($Y150&lt;&gt;"",EDATE($D150,Milestones!$AA$89)&gt;=$Y150),$AB150,$AA150)))=Milestones!$AB$89),UPPER(TEXT(EDATE($D150,Milestones!$AA$89),"dd mmm yy"))&amp;" "&amp;Milestones!$AB$89&amp;" "&amp;IF(AND(Milestones!$AB$89="FT",Milestones!$AA$89=FT_Y5,EDATE($D150,Milestones!$AA$89)&lt;PolicyEff),1,Milestones!$AC$89)&amp;";  ","")&amp;IF(AND(EDATE($D150,Milestones!$AA$90)&lt;=AsOfDate,EDATE($D150,Milestones!$AA$90)&gt;=SchemeStart,IF($X150=0,$AD150,IF(AND($Z150&lt;&gt;"",EDATE($D150,Milestones!$AA$90)&gt;=$Z150),$AC150,IF(AND($Y150&lt;&gt;"",EDATE($D150,Milestones!$AA$90)&gt;=$Y150),$AB150,$AA150)))=Milestones!$AB$90),UPPER(TEXT(EDATE($D150,Milestones!$AA$90),"dd mmm yy"))&amp;" "&amp;Milestones!$AB$90&amp;" "&amp;IF(AND(Milestones!$AB$90="FT",Milestones!$AA$90=FT_Y5,EDATE($D150,Milestones!$AA$90)&lt;PolicyEff),1,Milestones!$AC$90)&amp;";  ","")&amp;IF(AND(EDATE($D150,Milestones!$AA$91)&lt;=AsOfDate,EDATE($D150,Milestones!$AA$91)&gt;=SchemeStart,IF($X150=0,$AD150,IF(AND($Z150&lt;&gt;"",EDATE($D150,Milestones!$AA$91)&gt;=$Z150),$AC150,IF(AND($Y150&lt;&gt;"",EDATE($D150,Milestones!$AA$91)&gt;=$Y150),$AB150,$AA150)))=Milestones!$AB$91),UPPER(TEXT(EDATE($D150,Milestones!$AA$91),"dd mmm yy"))&amp;" "&amp;Milestones!$AB$91&amp;" "&amp;IF(AND(Milestones!$AB$91="FT",Milestones!$AA$91=FT_Y5,EDATE($D150,Milestones!$AA$91)&lt;PolicyEff),1,Milestones!$AC$91)&amp;";  ",""))</f>
        <v/>
      </c>
      <c r="O150" s="0" t="str">
        <f aca="false">IF(OR($A150="",$D150=""),"",IF(AND(EDATE($D150,Milestones!$AA$92)&lt;=AsOfDate,EDATE($D150,Milestones!$AA$92)&gt;=SchemeStart,IF($X150=0,$AD150,IF(AND($Z150&lt;&gt;"",EDATE($D150,Milestones!$AA$92)&gt;=$Z150),$AC150,IF(AND($Y150&lt;&gt;"",EDATE($D150,Milestones!$AA$92)&gt;=$Y150),$AB150,$AA150)))=Milestones!$AB$92),UPPER(TEXT(EDATE($D150,Milestones!$AA$92),"dd mmm yy"))&amp;" "&amp;Milestones!$AB$92&amp;" "&amp;IF(AND(Milestones!$AB$92="FT",Milestones!$AA$92=FT_Y5,EDATE($D150,Milestones!$AA$92)&lt;PolicyEff),1,Milestones!$AC$92)&amp;";  ","")&amp;IF(AND(EDATE($D150,Milestones!$AA$93)&lt;=AsOfDate,EDATE($D150,Milestones!$AA$93)&gt;=SchemeStart,IF($X150=0,$AD150,IF(AND($Z150&lt;&gt;"",EDATE($D150,Milestones!$AA$93)&gt;=$Z150),$AC150,IF(AND($Y150&lt;&gt;"",EDATE($D150,Milestones!$AA$93)&gt;=$Y150),$AB150,$AA150)))=Milestones!$AB$93),UPPER(TEXT(EDATE($D150,Milestones!$AA$93),"dd mmm yy"))&amp;" "&amp;Milestones!$AB$93&amp;" "&amp;IF(AND(Milestones!$AB$93="FT",Milestones!$AA$93=FT_Y5,EDATE($D150,Milestones!$AA$93)&lt;PolicyEff),1,Milestones!$AC$93)&amp;";  ","")&amp;IF(AND(EDATE($D150,Milestones!$AA$94)&lt;=AsOfDate,EDATE($D150,Milestones!$AA$94)&gt;=SchemeStart,IF($X150=0,$AD150,IF(AND($Z150&lt;&gt;"",EDATE($D150,Milestones!$AA$94)&gt;=$Z150),$AC150,IF(AND($Y150&lt;&gt;"",EDATE($D150,Milestones!$AA$94)&gt;=$Y150),$AB150,$AA150)))=Milestones!$AB$94),UPPER(TEXT(EDATE($D150,Milestones!$AA$94),"dd mmm yy"))&amp;" "&amp;Milestones!$AB$94&amp;" "&amp;IF(AND(Milestones!$AB$94="FT",Milestones!$AA$94=FT_Y5,EDATE($D150,Milestones!$AA$94)&lt;PolicyEff),1,Milestones!$AC$94)&amp;";  ","")&amp;IF(AND(EDATE($D150,Milestones!$AA$95)&lt;=AsOfDate,EDATE($D150,Milestones!$AA$95)&gt;=SchemeStart,IF($X150=0,$AD150,IF(AND($Z150&lt;&gt;"",EDATE($D150,Milestones!$AA$95)&gt;=$Z150),$AC150,IF(AND($Y150&lt;&gt;"",EDATE($D150,Milestones!$AA$95)&gt;=$Y150),$AB150,$AA150)))=Milestones!$AB$95),UPPER(TEXT(EDATE($D150,Milestones!$AA$95),"dd mmm yy"))&amp;" "&amp;Milestones!$AB$95&amp;" "&amp;IF(AND(Milestones!$AB$95="FT",Milestones!$AA$95=FT_Y5,EDATE($D150,Milestones!$AA$95)&lt;PolicyEff),1,Milestones!$AC$95)&amp;";  ","")&amp;IF(AND(EDATE($D150,Milestones!$AA$96)&lt;=AsOfDate,EDATE($D150,Milestones!$AA$96)&gt;=SchemeStart,IF($X150=0,$AD150,IF(AND($Z150&lt;&gt;"",EDATE($D150,Milestones!$AA$96)&gt;=$Z150),$AC150,IF(AND($Y150&lt;&gt;"",EDATE($D150,Milestones!$AA$96)&gt;=$Y150),$AB150,$AA150)))=Milestones!$AB$96),UPPER(TEXT(EDATE($D150,Milestones!$AA$96),"dd mmm yy"))&amp;" "&amp;Milestones!$AB$96&amp;" "&amp;IF(AND(Milestones!$AB$96="FT",Milestones!$AA$96=FT_Y5,EDATE($D150,Milestones!$AA$96)&lt;PolicyEff),1,Milestones!$AC$96)&amp;";  ","")&amp;IF(AND(EDATE($D150,Milestones!$AA$97)&lt;=AsOfDate,EDATE($D150,Milestones!$AA$97)&gt;=SchemeStart,IF($X150=0,$AD150,IF(AND($Z150&lt;&gt;"",EDATE($D150,Milestones!$AA$97)&gt;=$Z150),$AC150,IF(AND($Y150&lt;&gt;"",EDATE($D150,Milestones!$AA$97)&gt;=$Y150),$AB150,$AA150)))=Milestones!$AB$97),UPPER(TEXT(EDATE($D150,Milestones!$AA$97),"dd mmm yy"))&amp;" "&amp;Milestones!$AB$97&amp;" "&amp;IF(AND(Milestones!$AB$97="FT",Milestones!$AA$97=FT_Y5,EDATE($D150,Milestones!$AA$97)&lt;PolicyEff),1,Milestones!$AC$97)&amp;";  ","")&amp;IF(AND(EDATE($D150,Milestones!$AA$98)&lt;=AsOfDate,EDATE($D150,Milestones!$AA$98)&gt;=SchemeStart,IF($X150=0,$AD150,IF(AND($Z150&lt;&gt;"",EDATE($D150,Milestones!$AA$98)&gt;=$Z150),$AC150,IF(AND($Y150&lt;&gt;"",EDATE($D150,Milestones!$AA$98)&gt;=$Y150),$AB150,$AA150)))=Milestones!$AB$98),UPPER(TEXT(EDATE($D150,Milestones!$AA$98),"dd mmm yy"))&amp;" "&amp;Milestones!$AB$98&amp;" "&amp;IF(AND(Milestones!$AB$98="FT",Milestones!$AA$98=FT_Y5,EDATE($D150,Milestones!$AA$98)&lt;PolicyEff),1,Milestones!$AC$98)&amp;";  ","")&amp;IF(AND(EDATE($D150,Milestones!$AA$99)&lt;=AsOfDate,EDATE($D150,Milestones!$AA$99)&gt;=SchemeStart,IF($X150=0,$AD150,IF(AND($Z150&lt;&gt;"",EDATE($D150,Milestones!$AA$99)&gt;=$Z150),$AC150,IF(AND($Y150&lt;&gt;"",EDATE($D150,Milestones!$AA$99)&gt;=$Y150),$AB150,$AA150)))=Milestones!$AB$99),UPPER(TEXT(EDATE($D150,Milestones!$AA$99),"dd mmm yy"))&amp;" "&amp;Milestones!$AB$99&amp;" "&amp;IF(AND(Milestones!$AB$99="FT",Milestones!$AA$99=FT_Y5,EDATE($D150,Milestones!$AA$99)&lt;PolicyEff),1,Milestones!$AC$99)&amp;";  ","")&amp;IF(AND(EDATE($D150,Milestones!$AA$100)&lt;=AsOfDate,EDATE($D150,Milestones!$AA$100)&gt;=SchemeStart,IF($X150=0,$AD150,IF(AND($Z150&lt;&gt;"",EDATE($D150,Milestones!$AA$100)&gt;=$Z150),$AC150,IF(AND($Y150&lt;&gt;"",EDATE($D150,Milestones!$AA$100)&gt;=$Y150),$AB150,$AA150)))=Milestones!$AB$100),UPPER(TEXT(EDATE($D150,Milestones!$AA$100),"dd mmm yy"))&amp;" "&amp;Milestones!$AB$100&amp;" "&amp;IF(AND(Milestones!$AB$100="FT",Milestones!$AA$100=FT_Y5,EDATE($D150,Milestones!$AA$100)&lt;PolicyEff),1,Milestones!$AC$100)&amp;";  ","")&amp;IF(AND(EDATE($D150,Milestones!$AA$101)&lt;=AsOfDate,EDATE($D150,Milestones!$AA$101)&gt;=SchemeStart,IF($X150=0,$AD150,IF(AND($Z150&lt;&gt;"",EDATE($D150,Milestones!$AA$101)&gt;=$Z150),$AC150,IF(AND($Y150&lt;&gt;"",EDATE($D150,Milestones!$AA$101)&gt;=$Y150),$AB150,$AA150)))=Milestones!$AB$101),UPPER(TEXT(EDATE($D150,Milestones!$AA$101),"dd mmm yy"))&amp;" "&amp;Milestones!$AB$101&amp;" "&amp;IF(AND(Milestones!$AB$101="FT",Milestones!$AA$101=FT_Y5,EDATE($D150,Milestones!$AA$101)&lt;PolicyEff),1,Milestones!$AC$101)&amp;";  ","")&amp;IF(AND(EDATE($D150,Milestones!$AA$102)&lt;=AsOfDate,EDATE($D150,Milestones!$AA$102)&gt;=SchemeStart,IF($X150=0,$AD150,IF(AND($Z150&lt;&gt;"",EDATE($D150,Milestones!$AA$102)&gt;=$Z150),$AC150,IF(AND($Y150&lt;&gt;"",EDATE($D150,Milestones!$AA$102)&gt;=$Y150),$AB150,$AA150)))=Milestones!$AB$102),UPPER(TEXT(EDATE($D150,Milestones!$AA$102),"dd mmm yy"))&amp;" "&amp;Milestones!$AB$102&amp;" "&amp;IF(AND(Milestones!$AB$102="FT",Milestones!$AA$102=FT_Y5,EDATE($D150,Milestones!$AA$102)&lt;PolicyEff),1,Milestones!$AC$102)&amp;";  ","")&amp;IF(AND(EDATE($D150,Milestones!$AA$103)&lt;=AsOfDate,EDATE($D150,Milestones!$AA$103)&gt;=SchemeStart,IF($X150=0,$AD150,IF(AND($Z150&lt;&gt;"",EDATE($D150,Milestones!$AA$103)&gt;=$Z150),$AC150,IF(AND($Y150&lt;&gt;"",EDATE($D150,Milestones!$AA$103)&gt;=$Y150),$AB150,$AA150)))=Milestones!$AB$103),UPPER(TEXT(EDATE($D150,Milestones!$AA$103),"dd mmm yy"))&amp;" "&amp;Milestones!$AB$103&amp;" "&amp;IF(AND(Milestones!$AB$103="FT",Milestones!$AA$103=FT_Y5,EDATE($D150,Milestones!$AA$103)&lt;PolicyEff),1,Milestones!$AC$103)&amp;";  ",""))</f>
        <v/>
      </c>
      <c r="P150" s="0" t="str">
        <f aca="false">IF(OR($A150="",$D150=""),"",IF(AND(EDATE($D150,Milestones!$AA$104)&lt;=AsOfDate,EDATE($D150,Milestones!$AA$104)&gt;=SchemeStart,IF($X150=0,$AD150,IF(AND($Z150&lt;&gt;"",EDATE($D150,Milestones!$AA$104)&gt;=$Z150),$AC150,IF(AND($Y150&lt;&gt;"",EDATE($D150,Milestones!$AA$104)&gt;=$Y150),$AB150,$AA150)))=Milestones!$AB$104),UPPER(TEXT(EDATE($D150,Milestones!$AA$104),"dd mmm yy"))&amp;" "&amp;Milestones!$AB$104&amp;" "&amp;IF(AND(Milestones!$AB$104="FT",Milestones!$AA$104=FT_Y5,EDATE($D150,Milestones!$AA$104)&lt;PolicyEff),1,Milestones!$AC$104)&amp;";  ","")&amp;IF(AND(EDATE($D150,Milestones!$AA$105)&lt;=AsOfDate,EDATE($D150,Milestones!$AA$105)&gt;=SchemeStart,IF($X150=0,$AD150,IF(AND($Z150&lt;&gt;"",EDATE($D150,Milestones!$AA$105)&gt;=$Z150),$AC150,IF(AND($Y150&lt;&gt;"",EDATE($D150,Milestones!$AA$105)&gt;=$Y150),$AB150,$AA150)))=Milestones!$AB$105),UPPER(TEXT(EDATE($D150,Milestones!$AA$105),"dd mmm yy"))&amp;" "&amp;Milestones!$AB$105&amp;" "&amp;IF(AND(Milestones!$AB$105="FT",Milestones!$AA$105=FT_Y5,EDATE($D150,Milestones!$AA$105)&lt;PolicyEff),1,Milestones!$AC$105)&amp;";  ","")&amp;IF(AND(EDATE($D150,Milestones!$AA$106)&lt;=AsOfDate,EDATE($D150,Milestones!$AA$106)&gt;=SchemeStart,IF($X150=0,$AD150,IF(AND($Z150&lt;&gt;"",EDATE($D150,Milestones!$AA$106)&gt;=$Z150),$AC150,IF(AND($Y150&lt;&gt;"",EDATE($D150,Milestones!$AA$106)&gt;=$Y150),$AB150,$AA150)))=Milestones!$AB$106),UPPER(TEXT(EDATE($D150,Milestones!$AA$106),"dd mmm yy"))&amp;" "&amp;Milestones!$AB$106&amp;" "&amp;IF(AND(Milestones!$AB$106="FT",Milestones!$AA$106=FT_Y5,EDATE($D150,Milestones!$AA$106)&lt;PolicyEff),1,Milestones!$AC$106)&amp;";  ","")&amp;IF(AND(EDATE($D150,Milestones!$AA$107)&lt;=AsOfDate,EDATE($D150,Milestones!$AA$107)&gt;=SchemeStart,IF($X150=0,$AD150,IF(AND($Z150&lt;&gt;"",EDATE($D150,Milestones!$AA$107)&gt;=$Z150),$AC150,IF(AND($Y150&lt;&gt;"",EDATE($D150,Milestones!$AA$107)&gt;=$Y150),$AB150,$AA150)))=Milestones!$AB$107),UPPER(TEXT(EDATE($D150,Milestones!$AA$107),"dd mmm yy"))&amp;" "&amp;Milestones!$AB$107&amp;" "&amp;IF(AND(Milestones!$AB$107="FT",Milestones!$AA$107=FT_Y5,EDATE($D150,Milestones!$AA$107)&lt;PolicyEff),1,Milestones!$AC$107)&amp;";  ","")&amp;IF(AND(EDATE($D150,Milestones!$AA$108)&lt;=AsOfDate,EDATE($D150,Milestones!$AA$108)&gt;=SchemeStart,IF($X150=0,$AD150,IF(AND($Z150&lt;&gt;"",EDATE($D150,Milestones!$AA$108)&gt;=$Z150),$AC150,IF(AND($Y150&lt;&gt;"",EDATE($D150,Milestones!$AA$108)&gt;=$Y150),$AB150,$AA150)))=Milestones!$AB$108),UPPER(TEXT(EDATE($D150,Milestones!$AA$108),"dd mmm yy"))&amp;" "&amp;Milestones!$AB$108&amp;" "&amp;IF(AND(Milestones!$AB$108="FT",Milestones!$AA$108=FT_Y5,EDATE($D150,Milestones!$AA$108)&lt;PolicyEff),1,Milestones!$AC$108)&amp;";  ","")&amp;IF(AND(EDATE($D150,Milestones!$AA$109)&lt;=AsOfDate,EDATE($D150,Milestones!$AA$109)&gt;=SchemeStart,IF($X150=0,$AD150,IF(AND($Z150&lt;&gt;"",EDATE($D150,Milestones!$AA$109)&gt;=$Z150),$AC150,IF(AND($Y150&lt;&gt;"",EDATE($D150,Milestones!$AA$109)&gt;=$Y150),$AB150,$AA150)))=Milestones!$AB$109),UPPER(TEXT(EDATE($D150,Milestones!$AA$109),"dd mmm yy"))&amp;" "&amp;Milestones!$AB$109&amp;" "&amp;IF(AND(Milestones!$AB$109="FT",Milestones!$AA$109=FT_Y5,EDATE($D150,Milestones!$AA$109)&lt;PolicyEff),1,Milestones!$AC$109)&amp;";  ","")&amp;IF(AND(EDATE($D150,Milestones!$AA$110)&lt;=AsOfDate,EDATE($D150,Milestones!$AA$110)&gt;=SchemeStart,IF($X150=0,$AD150,IF(AND($Z150&lt;&gt;"",EDATE($D150,Milestones!$AA$110)&gt;=$Z150),$AC150,IF(AND($Y150&lt;&gt;"",EDATE($D150,Milestones!$AA$110)&gt;=$Y150),$AB150,$AA150)))=Milestones!$AB$110),UPPER(TEXT(EDATE($D150,Milestones!$AA$110),"dd mmm yy"))&amp;" "&amp;Milestones!$AB$110&amp;" "&amp;IF(AND(Milestones!$AB$110="FT",Milestones!$AA$110=FT_Y5,EDATE($D150,Milestones!$AA$110)&lt;PolicyEff),1,Milestones!$AC$110)&amp;";  ","")&amp;IF(AND(EDATE($D150,Milestones!$AA$111)&lt;=AsOfDate,EDATE($D150,Milestones!$AA$111)&gt;=SchemeStart,IF($X150=0,$AD150,IF(AND($Z150&lt;&gt;"",EDATE($D150,Milestones!$AA$111)&gt;=$Z150),$AC150,IF(AND($Y150&lt;&gt;"",EDATE($D150,Milestones!$AA$111)&gt;=$Y150),$AB150,$AA150)))=Milestones!$AB$111),UPPER(TEXT(EDATE($D150,Milestones!$AA$111),"dd mmm yy"))&amp;" "&amp;Milestones!$AB$111&amp;" "&amp;IF(AND(Milestones!$AB$111="FT",Milestones!$AA$111=FT_Y5,EDATE($D150,Milestones!$AA$111)&lt;PolicyEff),1,Milestones!$AC$111)&amp;";  ","")&amp;IF(AND(EDATE($D150,Milestones!$AA$112)&lt;=AsOfDate,EDATE($D150,Milestones!$AA$112)&gt;=SchemeStart,IF($X150=0,$AD150,IF(AND($Z150&lt;&gt;"",EDATE($D150,Milestones!$AA$112)&gt;=$Z150),$AC150,IF(AND($Y150&lt;&gt;"",EDATE($D150,Milestones!$AA$112)&gt;=$Y150),$AB150,$AA150)))=Milestones!$AB$112),UPPER(TEXT(EDATE($D150,Milestones!$AA$112),"dd mmm yy"))&amp;" "&amp;Milestones!$AB$112&amp;" "&amp;IF(AND(Milestones!$AB$112="FT",Milestones!$AA$112=FT_Y5,EDATE($D150,Milestones!$AA$112)&lt;PolicyEff),1,Milestones!$AC$112)&amp;";  ","")&amp;IF(AND(EDATE($D150,Milestones!$AA$113)&lt;=AsOfDate,EDATE($D150,Milestones!$AA$113)&gt;=SchemeStart,IF($X150=0,$AD150,IF(AND($Z150&lt;&gt;"",EDATE($D150,Milestones!$AA$113)&gt;=$Z150),$AC150,IF(AND($Y150&lt;&gt;"",EDATE($D150,Milestones!$AA$113)&gt;=$Y150),$AB150,$AA150)))=Milestones!$AB$113),UPPER(TEXT(EDATE($D150,Milestones!$AA$113),"dd mmm yy"))&amp;" "&amp;Milestones!$AB$113&amp;" "&amp;IF(AND(Milestones!$AB$113="FT",Milestones!$AA$113=FT_Y5,EDATE($D150,Milestones!$AA$113)&lt;PolicyEff),1,Milestones!$AC$113)&amp;";  ","")&amp;IF(AND(EDATE($D150,Milestones!$AA$114)&lt;=AsOfDate,EDATE($D150,Milestones!$AA$114)&gt;=SchemeStart,IF($X150=0,$AD150,IF(AND($Z150&lt;&gt;"",EDATE($D150,Milestones!$AA$114)&gt;=$Z150),$AC150,IF(AND($Y150&lt;&gt;"",EDATE($D150,Milestones!$AA$114)&gt;=$Y150),$AB150,$AA150)))=Milestones!$AB$114),UPPER(TEXT(EDATE($D150,Milestones!$AA$114),"dd mmm yy"))&amp;" "&amp;Milestones!$AB$114&amp;" "&amp;IF(AND(Milestones!$AB$114="FT",Milestones!$AA$114=FT_Y5,EDATE($D150,Milestones!$AA$114)&lt;PolicyEff),1,Milestones!$AC$114)&amp;";  ","")&amp;IF(AND(EDATE($D150,Milestones!$AA$115)&lt;=AsOfDate,EDATE($D150,Milestones!$AA$115)&gt;=SchemeStart,IF($X150=0,$AD150,IF(AND($Z150&lt;&gt;"",EDATE($D150,Milestones!$AA$115)&gt;=$Z150),$AC150,IF(AND($Y150&lt;&gt;"",EDATE($D150,Milestones!$AA$115)&gt;=$Y150),$AB150,$AA150)))=Milestones!$AB$115),UPPER(TEXT(EDATE($D150,Milestones!$AA$115),"dd mmm yy"))&amp;" "&amp;Milestones!$AB$115&amp;" "&amp;IF(AND(Milestones!$AB$115="FT",Milestones!$AA$115=FT_Y5,EDATE($D150,Milestones!$AA$115)&lt;PolicyEff),1,Milestones!$AC$115)&amp;";  ",""))</f>
        <v/>
      </c>
      <c r="Q150" s="0" t="str">
        <f aca="false">IF(OR($A150="",$D150=""),"",IF(AND(EDATE($D150,Milestones!$AA$116)&lt;=AsOfDate,EDATE($D150,Milestones!$AA$116)&gt;=SchemeStart,IF($X150=0,$AD150,IF(AND($Z150&lt;&gt;"",EDATE($D150,Milestones!$AA$116)&gt;=$Z150),$AC150,IF(AND($Y150&lt;&gt;"",EDATE($D150,Milestones!$AA$116)&gt;=$Y150),$AB150,$AA150)))=Milestones!$AB$116),UPPER(TEXT(EDATE($D150,Milestones!$AA$116),"dd mmm yy"))&amp;" "&amp;Milestones!$AB$116&amp;" "&amp;IF(AND(Milestones!$AB$116="FT",Milestones!$AA$116=FT_Y5,EDATE($D150,Milestones!$AA$116)&lt;PolicyEff),1,Milestones!$AC$116)&amp;";  ","")&amp;IF(AND(EDATE($D150,Milestones!$AA$117)&lt;=AsOfDate,EDATE($D150,Milestones!$AA$117)&gt;=SchemeStart,IF($X150=0,$AD150,IF(AND($Z150&lt;&gt;"",EDATE($D150,Milestones!$AA$117)&gt;=$Z150),$AC150,IF(AND($Y150&lt;&gt;"",EDATE($D150,Milestones!$AA$117)&gt;=$Y150),$AB150,$AA150)))=Milestones!$AB$117),UPPER(TEXT(EDATE($D150,Milestones!$AA$117),"dd mmm yy"))&amp;" "&amp;Milestones!$AB$117&amp;" "&amp;IF(AND(Milestones!$AB$117="FT",Milestones!$AA$117=FT_Y5,EDATE($D150,Milestones!$AA$117)&lt;PolicyEff),1,Milestones!$AC$117)&amp;";  ","")&amp;IF(AND(EDATE($D150,Milestones!$AA$118)&lt;=AsOfDate,EDATE($D150,Milestones!$AA$118)&gt;=SchemeStart,IF($X150=0,$AD150,IF(AND($Z150&lt;&gt;"",EDATE($D150,Milestones!$AA$118)&gt;=$Z150),$AC150,IF(AND($Y150&lt;&gt;"",EDATE($D150,Milestones!$AA$118)&gt;=$Y150),$AB150,$AA150)))=Milestones!$AB$118),UPPER(TEXT(EDATE($D150,Milestones!$AA$118),"dd mmm yy"))&amp;" "&amp;Milestones!$AB$118&amp;" "&amp;IF(AND(Milestones!$AB$118="FT",Milestones!$AA$118=FT_Y5,EDATE($D150,Milestones!$AA$118)&lt;PolicyEff),1,Milestones!$AC$118)&amp;";  ","")&amp;IF(AND(EDATE($D150,Milestones!$AA$119)&lt;=AsOfDate,EDATE($D150,Milestones!$AA$119)&gt;=SchemeStart,IF($X150=0,$AD150,IF(AND($Z150&lt;&gt;"",EDATE($D150,Milestones!$AA$119)&gt;=$Z150),$AC150,IF(AND($Y150&lt;&gt;"",EDATE($D150,Milestones!$AA$119)&gt;=$Y150),$AB150,$AA150)))=Milestones!$AB$119),UPPER(TEXT(EDATE($D150,Milestones!$AA$119),"dd mmm yy"))&amp;" "&amp;Milestones!$AB$119&amp;" "&amp;IF(AND(Milestones!$AB$119="FT",Milestones!$AA$119=FT_Y5,EDATE($D150,Milestones!$AA$119)&lt;PolicyEff),1,Milestones!$AC$119)&amp;";  ","")&amp;IF(AND(EDATE($D150,Milestones!$AA$120)&lt;=AsOfDate,EDATE($D150,Milestones!$AA$120)&gt;=SchemeStart,IF($X150=0,$AD150,IF(AND($Z150&lt;&gt;"",EDATE($D150,Milestones!$AA$120)&gt;=$Z150),$AC150,IF(AND($Y150&lt;&gt;"",EDATE($D150,Milestones!$AA$120)&gt;=$Y150),$AB150,$AA150)))=Milestones!$AB$120),UPPER(TEXT(EDATE($D150,Milestones!$AA$120),"dd mmm yy"))&amp;" "&amp;Milestones!$AB$120&amp;" "&amp;IF(AND(Milestones!$AB$120="FT",Milestones!$AA$120=FT_Y5,EDATE($D150,Milestones!$AA$120)&lt;PolicyEff),1,Milestones!$AC$120)&amp;";  ","")&amp;IF(AND(EDATE($D150,Milestones!$AA$121)&lt;=AsOfDate,EDATE($D150,Milestones!$AA$121)&gt;=SchemeStart,IF($X150=0,$AD150,IF(AND($Z150&lt;&gt;"",EDATE($D150,Milestones!$AA$121)&gt;=$Z150),$AC150,IF(AND($Y150&lt;&gt;"",EDATE($D150,Milestones!$AA$121)&gt;=$Y150),$AB150,$AA150)))=Milestones!$AB$121),UPPER(TEXT(EDATE($D150,Milestones!$AA$121),"dd mmm yy"))&amp;" "&amp;Milestones!$AB$121&amp;" "&amp;IF(AND(Milestones!$AB$121="FT",Milestones!$AA$121=FT_Y5,EDATE($D150,Milestones!$AA$121)&lt;PolicyEff),1,Milestones!$AC$121)&amp;";  ","")&amp;IF(AND(EDATE($D150,Milestones!$AA$122)&lt;=AsOfDate,EDATE($D150,Milestones!$AA$122)&gt;=SchemeStart,IF($X150=0,$AD150,IF(AND($Z150&lt;&gt;"",EDATE($D150,Milestones!$AA$122)&gt;=$Z150),$AC150,IF(AND($Y150&lt;&gt;"",EDATE($D150,Milestones!$AA$122)&gt;=$Y150),$AB150,$AA150)))=Milestones!$AB$122),UPPER(TEXT(EDATE($D150,Milestones!$AA$122),"dd mmm yy"))&amp;" "&amp;Milestones!$AB$122&amp;" "&amp;IF(AND(Milestones!$AB$122="FT",Milestones!$AA$122=FT_Y5,EDATE($D150,Milestones!$AA$122)&lt;PolicyEff),1,Milestones!$AC$122)&amp;";  ","")&amp;IF(AND(EDATE($D150,Milestones!$AA$123)&lt;=AsOfDate,EDATE($D150,Milestones!$AA$123)&gt;=SchemeStart,IF($X150=0,$AD150,IF(AND($Z150&lt;&gt;"",EDATE($D150,Milestones!$AA$123)&gt;=$Z150),$AC150,IF(AND($Y150&lt;&gt;"",EDATE($D150,Milestones!$AA$123)&gt;=$Y150),$AB150,$AA150)))=Milestones!$AB$123),UPPER(TEXT(EDATE($D150,Milestones!$AA$123),"dd mmm yy"))&amp;" "&amp;Milestones!$AB$123&amp;" "&amp;IF(AND(Milestones!$AB$123="FT",Milestones!$AA$123=FT_Y5,EDATE($D150,Milestones!$AA$123)&lt;PolicyEff),1,Milestones!$AC$123)&amp;";  ","")&amp;IF(AND(EDATE($D150,Milestones!$AA$124)&lt;=AsOfDate,EDATE($D150,Milestones!$AA$124)&gt;=SchemeStart,IF($X150=0,$AD150,IF(AND($Z150&lt;&gt;"",EDATE($D150,Milestones!$AA$124)&gt;=$Z150),$AC150,IF(AND($Y150&lt;&gt;"",EDATE($D150,Milestones!$AA$124)&gt;=$Y150),$AB150,$AA150)))=Milestones!$AB$124),UPPER(TEXT(EDATE($D150,Milestones!$AA$124),"dd mmm yy"))&amp;" "&amp;Milestones!$AB$124&amp;" "&amp;IF(AND(Milestones!$AB$124="FT",Milestones!$AA$124=FT_Y5,EDATE($D150,Milestones!$AA$124)&lt;PolicyEff),1,Milestones!$AC$124)&amp;";  ","")&amp;IF(AND(EDATE($D150,Milestones!$AA$125)&lt;=AsOfDate,EDATE($D150,Milestones!$AA$125)&gt;=SchemeStart,IF($X150=0,$AD150,IF(AND($Z150&lt;&gt;"",EDATE($D150,Milestones!$AA$125)&gt;=$Z150),$AC150,IF(AND($Y150&lt;&gt;"",EDATE($D150,Milestones!$AA$125)&gt;=$Y150),$AB150,$AA150)))=Milestones!$AB$125),UPPER(TEXT(EDATE($D150,Milestones!$AA$125),"dd mmm yy"))&amp;" "&amp;Milestones!$AB$125&amp;" "&amp;IF(AND(Milestones!$AB$125="FT",Milestones!$AA$125=FT_Y5,EDATE($D150,Milestones!$AA$125)&lt;PolicyEff),1,Milestones!$AC$125)&amp;";  ","")&amp;IF(AND(EDATE($D150,Milestones!$AA$126)&lt;=AsOfDate,EDATE($D150,Milestones!$AA$126)&gt;=SchemeStart,IF($X150=0,$AD150,IF(AND($Z150&lt;&gt;"",EDATE($D150,Milestones!$AA$126)&gt;=$Z150),$AC150,IF(AND($Y150&lt;&gt;"",EDATE($D150,Milestones!$AA$126)&gt;=$Y150),$AB150,$AA150)))=Milestones!$AB$126),UPPER(TEXT(EDATE($D150,Milestones!$AA$126),"dd mmm yy"))&amp;" "&amp;Milestones!$AB$126&amp;" "&amp;IF(AND(Milestones!$AB$126="FT",Milestones!$AA$126=FT_Y5,EDATE($D150,Milestones!$AA$126)&lt;PolicyEff),1,Milestones!$AC$126)&amp;";  ","")&amp;IF(AND(EDATE($D150,Milestones!$AA$127)&lt;=AsOfDate,EDATE($D150,Milestones!$AA$127)&gt;=SchemeStart,IF($X150=0,$AD150,IF(AND($Z150&lt;&gt;"",EDATE($D150,Milestones!$AA$127)&gt;=$Z150),$AC150,IF(AND($Y150&lt;&gt;"",EDATE($D150,Milestones!$AA$127)&gt;=$Y150),$AB150,$AA150)))=Milestones!$AB$127),UPPER(TEXT(EDATE($D150,Milestones!$AA$127),"dd mmm yy"))&amp;" "&amp;Milestones!$AB$127&amp;" "&amp;IF(AND(Milestones!$AB$127="FT",Milestones!$AA$127=FT_Y5,EDATE($D150,Milestones!$AA$127)&lt;PolicyEff),1,Milestones!$AC$127)&amp;";  ",""))</f>
        <v/>
      </c>
      <c r="R150" s="0" t="str">
        <f aca="false">IF(OR($A150="",$D150=""),"",IF(AND(EDATE($D150,Milestones!$AA$128)&lt;=AsOfDate,EDATE($D150,Milestones!$AA$128)&gt;=SchemeStart,IF($X150=0,$AD150,IF(AND($Z150&lt;&gt;"",EDATE($D150,Milestones!$AA$128)&gt;=$Z150),$AC150,IF(AND($Y150&lt;&gt;"",EDATE($D150,Milestones!$AA$128)&gt;=$Y150),$AB150,$AA150)))=Milestones!$AB$128),UPPER(TEXT(EDATE($D150,Milestones!$AA$128),"dd mmm yy"))&amp;" "&amp;Milestones!$AB$128&amp;" "&amp;IF(AND(Milestones!$AB$128="FT",Milestones!$AA$128=FT_Y5,EDATE($D150,Milestones!$AA$128)&lt;PolicyEff),1,Milestones!$AC$128)&amp;";  ","")&amp;IF(AND(EDATE($D150,Milestones!$AA$129)&lt;=AsOfDate,EDATE($D150,Milestones!$AA$129)&gt;=SchemeStart,IF($X150=0,$AD150,IF(AND($Z150&lt;&gt;"",EDATE($D150,Milestones!$AA$129)&gt;=$Z150),$AC150,IF(AND($Y150&lt;&gt;"",EDATE($D150,Milestones!$AA$129)&gt;=$Y150),$AB150,$AA150)))=Milestones!$AB$129),UPPER(TEXT(EDATE($D150,Milestones!$AA$129),"dd mmm yy"))&amp;" "&amp;Milestones!$AB$129&amp;" "&amp;IF(AND(Milestones!$AB$129="FT",Milestones!$AA$129=FT_Y5,EDATE($D150,Milestones!$AA$129)&lt;PolicyEff),1,Milestones!$AC$129)&amp;";  ","")&amp;IF(AND(EDATE($D150,Milestones!$AA$130)&lt;=AsOfDate,EDATE($D150,Milestones!$AA$130)&gt;=SchemeStart,IF($X150=0,$AD150,IF(AND($Z150&lt;&gt;"",EDATE($D150,Milestones!$AA$130)&gt;=$Z150),$AC150,IF(AND($Y150&lt;&gt;"",EDATE($D150,Milestones!$AA$130)&gt;=$Y150),$AB150,$AA150)))=Milestones!$AB$130),UPPER(TEXT(EDATE($D150,Milestones!$AA$130),"dd mmm yy"))&amp;" "&amp;Milestones!$AB$130&amp;" "&amp;IF(AND(Milestones!$AB$130="FT",Milestones!$AA$130=FT_Y5,EDATE($D150,Milestones!$AA$130)&lt;PolicyEff),1,Milestones!$AC$130)&amp;";  ","")&amp;IF(AND(EDATE($D150,Milestones!$AA$131)&lt;=AsOfDate,EDATE($D150,Milestones!$AA$131)&gt;=SchemeStart,IF($X150=0,$AD150,IF(AND($Z150&lt;&gt;"",EDATE($D150,Milestones!$AA$131)&gt;=$Z150),$AC150,IF(AND($Y150&lt;&gt;"",EDATE($D150,Milestones!$AA$131)&gt;=$Y150),$AB150,$AA150)))=Milestones!$AB$131),UPPER(TEXT(EDATE($D150,Milestones!$AA$131),"dd mmm yy"))&amp;" "&amp;Milestones!$AB$131&amp;" "&amp;IF(AND(Milestones!$AB$131="FT",Milestones!$AA$131=FT_Y5,EDATE($D150,Milestones!$AA$131)&lt;PolicyEff),1,Milestones!$AC$131)&amp;";  ","")&amp;IF(AND(EDATE($D150,Milestones!$AA$132)&lt;=AsOfDate,EDATE($D150,Milestones!$AA$132)&gt;=SchemeStart,IF($X150=0,$AD150,IF(AND($Z150&lt;&gt;"",EDATE($D150,Milestones!$AA$132)&gt;=$Z150),$AC150,IF(AND($Y150&lt;&gt;"",EDATE($D150,Milestones!$AA$132)&gt;=$Y150),$AB150,$AA150)))=Milestones!$AB$132),UPPER(TEXT(EDATE($D150,Milestones!$AA$132),"dd mmm yy"))&amp;" "&amp;Milestones!$AB$132&amp;" "&amp;IF(AND(Milestones!$AB$132="FT",Milestones!$AA$132=FT_Y5,EDATE($D150,Milestones!$AA$132)&lt;PolicyEff),1,Milestones!$AC$132)&amp;";  ","")&amp;IF(AND(EDATE($D150,Milestones!$AA$133)&lt;=AsOfDate,EDATE($D150,Milestones!$AA$133)&gt;=SchemeStart,IF($X150=0,$AD150,IF(AND($Z150&lt;&gt;"",EDATE($D150,Milestones!$AA$133)&gt;=$Z150),$AC150,IF(AND($Y150&lt;&gt;"",EDATE($D150,Milestones!$AA$133)&gt;=$Y150),$AB150,$AA150)))=Milestones!$AB$133),UPPER(TEXT(EDATE($D150,Milestones!$AA$133),"dd mmm yy"))&amp;" "&amp;Milestones!$AB$133&amp;" "&amp;IF(AND(Milestones!$AB$133="FT",Milestones!$AA$133=FT_Y5,EDATE($D150,Milestones!$AA$133)&lt;PolicyEff),1,Milestones!$AC$133)&amp;";  ","")&amp;IF(AND(EDATE($D150,Milestones!$AA$134)&lt;=AsOfDate,EDATE($D150,Milestones!$AA$134)&gt;=SchemeStart,IF($X150=0,$AD150,IF(AND($Z150&lt;&gt;"",EDATE($D150,Milestones!$AA$134)&gt;=$Z150),$AC150,IF(AND($Y150&lt;&gt;"",EDATE($D150,Milestones!$AA$134)&gt;=$Y150),$AB150,$AA150)))=Milestones!$AB$134),UPPER(TEXT(EDATE($D150,Milestones!$AA$134),"dd mmm yy"))&amp;" "&amp;Milestones!$AB$134&amp;" "&amp;IF(AND(Milestones!$AB$134="FT",Milestones!$AA$134=FT_Y5,EDATE($D150,Milestones!$AA$134)&lt;PolicyEff),1,Milestones!$AC$134)&amp;";  ","")&amp;IF(AND(EDATE($D150,Milestones!$AA$135)&lt;=AsOfDate,EDATE($D150,Milestones!$AA$135)&gt;=SchemeStart,IF($X150=0,$AD150,IF(AND($Z150&lt;&gt;"",EDATE($D150,Milestones!$AA$135)&gt;=$Z150),$AC150,IF(AND($Y150&lt;&gt;"",EDATE($D150,Milestones!$AA$135)&gt;=$Y150),$AB150,$AA150)))=Milestones!$AB$135),UPPER(TEXT(EDATE($D150,Milestones!$AA$135),"dd mmm yy"))&amp;" "&amp;Milestones!$AB$135&amp;" "&amp;IF(AND(Milestones!$AB$135="FT",Milestones!$AA$135=FT_Y5,EDATE($D150,Milestones!$AA$135)&lt;PolicyEff),1,Milestones!$AC$135)&amp;";  ","")&amp;IF(AND(EDATE($D150,Milestones!$AA$136)&lt;=AsOfDate,EDATE($D150,Milestones!$AA$136)&gt;=SchemeStart,IF($X150=0,$AD150,IF(AND($Z150&lt;&gt;"",EDATE($D150,Milestones!$AA$136)&gt;=$Z150),$AC150,IF(AND($Y150&lt;&gt;"",EDATE($D150,Milestones!$AA$136)&gt;=$Y150),$AB150,$AA150)))=Milestones!$AB$136),UPPER(TEXT(EDATE($D150,Milestones!$AA$136),"dd mmm yy"))&amp;" "&amp;Milestones!$AB$136&amp;" "&amp;IF(AND(Milestones!$AB$136="FT",Milestones!$AA$136=FT_Y5,EDATE($D150,Milestones!$AA$136)&lt;PolicyEff),1,Milestones!$AC$136)&amp;";  ","")&amp;IF(AND(EDATE($D150,Milestones!$AA$137)&lt;=AsOfDate,EDATE($D150,Milestones!$AA$137)&gt;=SchemeStart,IF($X150=0,$AD150,IF(AND($Z150&lt;&gt;"",EDATE($D150,Milestones!$AA$137)&gt;=$Z150),$AC150,IF(AND($Y150&lt;&gt;"",EDATE($D150,Milestones!$AA$137)&gt;=$Y150),$AB150,$AA150)))=Milestones!$AB$137),UPPER(TEXT(EDATE($D150,Milestones!$AA$137),"dd mmm yy"))&amp;" "&amp;Milestones!$AB$137&amp;" "&amp;IF(AND(Milestones!$AB$137="FT",Milestones!$AA$137=FT_Y5,EDATE($D150,Milestones!$AA$137)&lt;PolicyEff),1,Milestones!$AC$137)&amp;";  ","")&amp;IF(AND(EDATE($D150,Milestones!$AA$138)&lt;=AsOfDate,EDATE($D150,Milestones!$AA$138)&gt;=SchemeStart,IF($X150=0,$AD150,IF(AND($Z150&lt;&gt;"",EDATE($D150,Milestones!$AA$138)&gt;=$Z150),$AC150,IF(AND($Y150&lt;&gt;"",EDATE($D150,Milestones!$AA$138)&gt;=$Y150),$AB150,$AA150)))=Milestones!$AB$138),UPPER(TEXT(EDATE($D150,Milestones!$AA$138),"dd mmm yy"))&amp;" "&amp;Milestones!$AB$138&amp;" "&amp;IF(AND(Milestones!$AB$138="FT",Milestones!$AA$138=FT_Y5,EDATE($D150,Milestones!$AA$138)&lt;PolicyEff),1,Milestones!$AC$138)&amp;";  ","")&amp;IF(AND(EDATE($D150,Milestones!$AA$139)&lt;=AsOfDate,EDATE($D150,Milestones!$AA$139)&gt;=SchemeStart,IF($X150=0,$AD150,IF(AND($Z150&lt;&gt;"",EDATE($D150,Milestones!$AA$139)&gt;=$Z150),$AC150,IF(AND($Y150&lt;&gt;"",EDATE($D150,Milestones!$AA$139)&gt;=$Y150),$AB150,$AA150)))=Milestones!$AB$139),UPPER(TEXT(EDATE($D150,Milestones!$AA$139),"dd mmm yy"))&amp;" "&amp;Milestones!$AB$139&amp;" "&amp;IF(AND(Milestones!$AB$139="FT",Milestones!$AA$139=FT_Y5,EDATE($D150,Milestones!$AA$139)&lt;PolicyEff),1,Milestones!$AC$139)&amp;";  ",""))</f>
        <v/>
      </c>
      <c r="S150" s="0" t="str">
        <f aca="false">IF(OR($A150="",$D150=""),"",IF(AND(EDATE($D150,Milestones!$AA$140)&lt;=AsOfDate,EDATE($D150,Milestones!$AA$140)&gt;=SchemeStart,IF($X150=0,$AD150,IF(AND($Z150&lt;&gt;"",EDATE($D150,Milestones!$AA$140)&gt;=$Z150),$AC150,IF(AND($Y150&lt;&gt;"",EDATE($D150,Milestones!$AA$140)&gt;=$Y150),$AB150,$AA150)))=Milestones!$AB$140),UPPER(TEXT(EDATE($D150,Milestones!$AA$140),"dd mmm yy"))&amp;" "&amp;Milestones!$AB$140&amp;" "&amp;IF(AND(Milestones!$AB$140="FT",Milestones!$AA$140=FT_Y5,EDATE($D150,Milestones!$AA$140)&lt;PolicyEff),1,Milestones!$AC$140)&amp;";  ","")&amp;IF(AND(EDATE($D150,Milestones!$AA$141)&lt;=AsOfDate,EDATE($D150,Milestones!$AA$141)&gt;=SchemeStart,IF($X150=0,$AD150,IF(AND($Z150&lt;&gt;"",EDATE($D150,Milestones!$AA$141)&gt;=$Z150),$AC150,IF(AND($Y150&lt;&gt;"",EDATE($D150,Milestones!$AA$141)&gt;=$Y150),$AB150,$AA150)))=Milestones!$AB$141),UPPER(TEXT(EDATE($D150,Milestones!$AA$141),"dd mmm yy"))&amp;" "&amp;Milestones!$AB$141&amp;" "&amp;IF(AND(Milestones!$AB$141="FT",Milestones!$AA$141=FT_Y5,EDATE($D150,Milestones!$AA$141)&lt;PolicyEff),1,Milestones!$AC$141)&amp;";  ","")&amp;IF(AND(EDATE($D150,Milestones!$AA$142)&lt;=AsOfDate,EDATE($D150,Milestones!$AA$142)&gt;=SchemeStart,IF($X150=0,$AD150,IF(AND($Z150&lt;&gt;"",EDATE($D150,Milestones!$AA$142)&gt;=$Z150),$AC150,IF(AND($Y150&lt;&gt;"",EDATE($D150,Milestones!$AA$142)&gt;=$Y150),$AB150,$AA150)))=Milestones!$AB$142),UPPER(TEXT(EDATE($D150,Milestones!$AA$142),"dd mmm yy"))&amp;" "&amp;Milestones!$AB$142&amp;" "&amp;IF(AND(Milestones!$AB$142="FT",Milestones!$AA$142=FT_Y5,EDATE($D150,Milestones!$AA$142)&lt;PolicyEff),1,Milestones!$AC$142)&amp;";  ","")&amp;IF(AND(EDATE($D150,Milestones!$AA$143)&lt;=AsOfDate,EDATE($D150,Milestones!$AA$143)&gt;=SchemeStart,IF($X150=0,$AD150,IF(AND($Z150&lt;&gt;"",EDATE($D150,Milestones!$AA$143)&gt;=$Z150),$AC150,IF(AND($Y150&lt;&gt;"",EDATE($D150,Milestones!$AA$143)&gt;=$Y150),$AB150,$AA150)))=Milestones!$AB$143),UPPER(TEXT(EDATE($D150,Milestones!$AA$143),"dd mmm yy"))&amp;" "&amp;Milestones!$AB$143&amp;" "&amp;IF(AND(Milestones!$AB$143="FT",Milestones!$AA$143=FT_Y5,EDATE($D150,Milestones!$AA$143)&lt;PolicyEff),1,Milestones!$AC$143)&amp;";  ","")&amp;IF(AND(EDATE($D150,Milestones!$AA$144)&lt;=AsOfDate,EDATE($D150,Milestones!$AA$144)&gt;=SchemeStart,IF($X150=0,$AD150,IF(AND($Z150&lt;&gt;"",EDATE($D150,Milestones!$AA$144)&gt;=$Z150),$AC150,IF(AND($Y150&lt;&gt;"",EDATE($D150,Milestones!$AA$144)&gt;=$Y150),$AB150,$AA150)))=Milestones!$AB$144),UPPER(TEXT(EDATE($D150,Milestones!$AA$144),"dd mmm yy"))&amp;" "&amp;Milestones!$AB$144&amp;" "&amp;IF(AND(Milestones!$AB$144="FT",Milestones!$AA$144=FT_Y5,EDATE($D150,Milestones!$AA$144)&lt;PolicyEff),1,Milestones!$AC$144)&amp;";  ","")&amp;IF(AND(EDATE($D150,Milestones!$AA$145)&lt;=AsOfDate,EDATE($D150,Milestones!$AA$145)&gt;=SchemeStart,IF($X150=0,$AD150,IF(AND($Z150&lt;&gt;"",EDATE($D150,Milestones!$AA$145)&gt;=$Z150),$AC150,IF(AND($Y150&lt;&gt;"",EDATE($D150,Milestones!$AA$145)&gt;=$Y150),$AB150,$AA150)))=Milestones!$AB$145),UPPER(TEXT(EDATE($D150,Milestones!$AA$145),"dd mmm yy"))&amp;" "&amp;Milestones!$AB$145&amp;" "&amp;IF(AND(Milestones!$AB$145="FT",Milestones!$AA$145=FT_Y5,EDATE($D150,Milestones!$AA$145)&lt;PolicyEff),1,Milestones!$AC$145)&amp;";  ","")&amp;IF(AND(EDATE($D150,Milestones!$AA$146)&lt;=AsOfDate,EDATE($D150,Milestones!$AA$146)&gt;=SchemeStart,IF($X150=0,$AD150,IF(AND($Z150&lt;&gt;"",EDATE($D150,Milestones!$AA$146)&gt;=$Z150),$AC150,IF(AND($Y150&lt;&gt;"",EDATE($D150,Milestones!$AA$146)&gt;=$Y150),$AB150,$AA150)))=Milestones!$AB$146),UPPER(TEXT(EDATE($D150,Milestones!$AA$146),"dd mmm yy"))&amp;" "&amp;Milestones!$AB$146&amp;" "&amp;IF(AND(Milestones!$AB$146="FT",Milestones!$AA$146=FT_Y5,EDATE($D150,Milestones!$AA$146)&lt;PolicyEff),1,Milestones!$AC$146)&amp;";  ","")&amp;IF(AND(EDATE($D150,Milestones!$AA$147)&lt;=AsOfDate,EDATE($D150,Milestones!$AA$147)&gt;=SchemeStart,IF($X150=0,$AD150,IF(AND($Z150&lt;&gt;"",EDATE($D150,Milestones!$AA$147)&gt;=$Z150),$AC150,IF(AND($Y150&lt;&gt;"",EDATE($D150,Milestones!$AA$147)&gt;=$Y150),$AB150,$AA150)))=Milestones!$AB$147),UPPER(TEXT(EDATE($D150,Milestones!$AA$147),"dd mmm yy"))&amp;" "&amp;Milestones!$AB$147&amp;" "&amp;IF(AND(Milestones!$AB$147="FT",Milestones!$AA$147=FT_Y5,EDATE($D150,Milestones!$AA$147)&lt;PolicyEff),1,Milestones!$AC$147)&amp;";  ","")&amp;IF(AND(EDATE($D150,Milestones!$AA$148)&lt;=AsOfDate,EDATE($D150,Milestones!$AA$148)&gt;=SchemeStart,IF($X150=0,$AD150,IF(AND($Z150&lt;&gt;"",EDATE($D150,Milestones!$AA$148)&gt;=$Z150),$AC150,IF(AND($Y150&lt;&gt;"",EDATE($D150,Milestones!$AA$148)&gt;=$Y150),$AB150,$AA150)))=Milestones!$AB$148),UPPER(TEXT(EDATE($D150,Milestones!$AA$148),"dd mmm yy"))&amp;" "&amp;Milestones!$AB$148&amp;" "&amp;IF(AND(Milestones!$AB$148="FT",Milestones!$AA$148=FT_Y5,EDATE($D150,Milestones!$AA$148)&lt;PolicyEff),1,Milestones!$AC$148)&amp;";  ","")&amp;IF(AND(EDATE($D150,Milestones!$AA$149)&lt;=AsOfDate,EDATE($D150,Milestones!$AA$149)&gt;=SchemeStart,IF($X150=0,$AD150,IF(AND($Z150&lt;&gt;"",EDATE($D150,Milestones!$AA$149)&gt;=$Z150),$AC150,IF(AND($Y150&lt;&gt;"",EDATE($D150,Milestones!$AA$149)&gt;=$Y150),$AB150,$AA150)))=Milestones!$AB$149),UPPER(TEXT(EDATE($D150,Milestones!$AA$149),"dd mmm yy"))&amp;" "&amp;Milestones!$AB$149&amp;" "&amp;IF(AND(Milestones!$AB$149="FT",Milestones!$AA$149=FT_Y5,EDATE($D150,Milestones!$AA$149)&lt;PolicyEff),1,Milestones!$AC$149)&amp;";  ","")&amp;IF(AND(EDATE($D150,Milestones!$AA$150)&lt;=AsOfDate,EDATE($D150,Milestones!$AA$150)&gt;=SchemeStart,IF($X150=0,$AD150,IF(AND($Z150&lt;&gt;"",EDATE($D150,Milestones!$AA$150)&gt;=$Z150),$AC150,IF(AND($Y150&lt;&gt;"",EDATE($D150,Milestones!$AA$150)&gt;=$Y150),$AB150,$AA150)))=Milestones!$AB$150),UPPER(TEXT(EDATE($D150,Milestones!$AA$150),"dd mmm yy"))&amp;" "&amp;Milestones!$AB$150&amp;" "&amp;IF(AND(Milestones!$AB$150="FT",Milestones!$AA$150=FT_Y5,EDATE($D150,Milestones!$AA$150)&lt;PolicyEff),1,Milestones!$AC$150)&amp;";  ","")&amp;IF(AND(EDATE($D150,Milestones!$AA$151)&lt;=AsOfDate,EDATE($D150,Milestones!$AA$151)&gt;=SchemeStart,IF($X150=0,$AD150,IF(AND($Z150&lt;&gt;"",EDATE($D150,Milestones!$AA$151)&gt;=$Z150),$AC150,IF(AND($Y150&lt;&gt;"",EDATE($D150,Milestones!$AA$151)&gt;=$Y150),$AB150,$AA150)))=Milestones!$AB$151),UPPER(TEXT(EDATE($D150,Milestones!$AA$151),"dd mmm yy"))&amp;" "&amp;Milestones!$AB$151&amp;" "&amp;IF(AND(Milestones!$AB$151="FT",Milestones!$AA$151=FT_Y5,EDATE($D150,Milestones!$AA$151)&lt;PolicyEff),1,Milestones!$AC$151)&amp;";  ",""))</f>
        <v/>
      </c>
      <c r="T150" s="0" t="str">
        <f aca="false">IF(OR($A150="",$D150=""),"",IF(AND(EDATE($D150,Milestones!$AA$152)&lt;=AsOfDate,EDATE($D150,Milestones!$AA$152)&gt;=SchemeStart,IF($X150=0,$AD150,IF(AND($Z150&lt;&gt;"",EDATE($D150,Milestones!$AA$152)&gt;=$Z150),$AC150,IF(AND($Y150&lt;&gt;"",EDATE($D150,Milestones!$AA$152)&gt;=$Y150),$AB150,$AA150)))=Milestones!$AB$152),UPPER(TEXT(EDATE($D150,Milestones!$AA$152),"dd mmm yy"))&amp;" "&amp;Milestones!$AB$152&amp;" "&amp;IF(AND(Milestones!$AB$152="FT",Milestones!$AA$152=FT_Y5,EDATE($D150,Milestones!$AA$152)&lt;PolicyEff),1,Milestones!$AC$152)&amp;";  ","")&amp;IF(AND(EDATE($D150,Milestones!$AA$153)&lt;=AsOfDate,EDATE($D150,Milestones!$AA$153)&gt;=SchemeStart,IF($X150=0,$AD150,IF(AND($Z150&lt;&gt;"",EDATE($D150,Milestones!$AA$153)&gt;=$Z150),$AC150,IF(AND($Y150&lt;&gt;"",EDATE($D150,Milestones!$AA$153)&gt;=$Y150),$AB150,$AA150)))=Milestones!$AB$153),UPPER(TEXT(EDATE($D150,Milestones!$AA$153),"dd mmm yy"))&amp;" "&amp;Milestones!$AB$153&amp;" "&amp;IF(AND(Milestones!$AB$153="FT",Milestones!$AA$153=FT_Y5,EDATE($D150,Milestones!$AA$153)&lt;PolicyEff),1,Milestones!$AC$153)&amp;";  ","")&amp;IF(AND(EDATE($D150,Milestones!$AA$154)&lt;=AsOfDate,EDATE($D150,Milestones!$AA$154)&gt;=SchemeStart,IF($X150=0,$AD150,IF(AND($Z150&lt;&gt;"",EDATE($D150,Milestones!$AA$154)&gt;=$Z150),$AC150,IF(AND($Y150&lt;&gt;"",EDATE($D150,Milestones!$AA$154)&gt;=$Y150),$AB150,$AA150)))=Milestones!$AB$154),UPPER(TEXT(EDATE($D150,Milestones!$AA$154),"dd mmm yy"))&amp;" "&amp;Milestones!$AB$154&amp;" "&amp;IF(AND(Milestones!$AB$154="FT",Milestones!$AA$154=FT_Y5,EDATE($D150,Milestones!$AA$154)&lt;PolicyEff),1,Milestones!$AC$154)&amp;";  ","")&amp;IF(AND(EDATE($D150,Milestones!$AA$155)&lt;=AsOfDate,EDATE($D150,Milestones!$AA$155)&gt;=SchemeStart,IF($X150=0,$AD150,IF(AND($Z150&lt;&gt;"",EDATE($D150,Milestones!$AA$155)&gt;=$Z150),$AC150,IF(AND($Y150&lt;&gt;"",EDATE($D150,Milestones!$AA$155)&gt;=$Y150),$AB150,$AA150)))=Milestones!$AB$155),UPPER(TEXT(EDATE($D150,Milestones!$AA$155),"dd mmm yy"))&amp;" "&amp;Milestones!$AB$155&amp;" "&amp;IF(AND(Milestones!$AB$155="FT",Milestones!$AA$155=FT_Y5,EDATE($D150,Milestones!$AA$155)&lt;PolicyEff),1,Milestones!$AC$155)&amp;";  ","")&amp;IF(AND(EDATE($D150,Milestones!$AA$156)&lt;=AsOfDate,EDATE($D150,Milestones!$AA$156)&gt;=SchemeStart,IF($X150=0,$AD150,IF(AND($Z150&lt;&gt;"",EDATE($D150,Milestones!$AA$156)&gt;=$Z150),$AC150,IF(AND($Y150&lt;&gt;"",EDATE($D150,Milestones!$AA$156)&gt;=$Y150),$AB150,$AA150)))=Milestones!$AB$156),UPPER(TEXT(EDATE($D150,Milestones!$AA$156),"dd mmm yy"))&amp;" "&amp;Milestones!$AB$156&amp;" "&amp;IF(AND(Milestones!$AB$156="FT",Milestones!$AA$156=FT_Y5,EDATE($D150,Milestones!$AA$156)&lt;PolicyEff),1,Milestones!$AC$156)&amp;";  ","")&amp;IF(AND(EDATE($D150,Milestones!$AA$157)&lt;=AsOfDate,EDATE($D150,Milestones!$AA$157)&gt;=SchemeStart,IF($X150=0,$AD150,IF(AND($Z150&lt;&gt;"",EDATE($D150,Milestones!$AA$157)&gt;=$Z150),$AC150,IF(AND($Y150&lt;&gt;"",EDATE($D150,Milestones!$AA$157)&gt;=$Y150),$AB150,$AA150)))=Milestones!$AB$157),UPPER(TEXT(EDATE($D150,Milestones!$AA$157),"dd mmm yy"))&amp;" "&amp;Milestones!$AB$157&amp;" "&amp;IF(AND(Milestones!$AB$157="FT",Milestones!$AA$157=FT_Y5,EDATE($D150,Milestones!$AA$157)&lt;PolicyEff),1,Milestones!$AC$157)&amp;";  ","")&amp;IF(AND(EDATE($D150,Milestones!$AA$158)&lt;=AsOfDate,EDATE($D150,Milestones!$AA$158)&gt;=SchemeStart,IF($X150=0,$AD150,IF(AND($Z150&lt;&gt;"",EDATE($D150,Milestones!$AA$158)&gt;=$Z150),$AC150,IF(AND($Y150&lt;&gt;"",EDATE($D150,Milestones!$AA$158)&gt;=$Y150),$AB150,$AA150)))=Milestones!$AB$158),UPPER(TEXT(EDATE($D150,Milestones!$AA$158),"dd mmm yy"))&amp;" "&amp;Milestones!$AB$158&amp;" "&amp;IF(AND(Milestones!$AB$158="FT",Milestones!$AA$158=FT_Y5,EDATE($D150,Milestones!$AA$158)&lt;PolicyEff),1,Milestones!$AC$158)&amp;";  ","")&amp;IF(AND(EDATE($D150,Milestones!$AA$159)&lt;=AsOfDate,EDATE($D150,Milestones!$AA$159)&gt;=SchemeStart,IF($X150=0,$AD150,IF(AND($Z150&lt;&gt;"",EDATE($D150,Milestones!$AA$159)&gt;=$Z150),$AC150,IF(AND($Y150&lt;&gt;"",EDATE($D150,Milestones!$AA$159)&gt;=$Y150),$AB150,$AA150)))=Milestones!$AB$159),UPPER(TEXT(EDATE($D150,Milestones!$AA$159),"dd mmm yy"))&amp;" "&amp;Milestones!$AB$159&amp;" "&amp;IF(AND(Milestones!$AB$159="FT",Milestones!$AA$159=FT_Y5,EDATE($D150,Milestones!$AA$159)&lt;PolicyEff),1,Milestones!$AC$159)&amp;";  ","")&amp;IF(AND(EDATE($D150,Milestones!$AA$160)&lt;=AsOfDate,EDATE($D150,Milestones!$AA$160)&gt;=SchemeStart,IF($X150=0,$AD150,IF(AND($Z150&lt;&gt;"",EDATE($D150,Milestones!$AA$160)&gt;=$Z150),$AC150,IF(AND($Y150&lt;&gt;"",EDATE($D150,Milestones!$AA$160)&gt;=$Y150),$AB150,$AA150)))=Milestones!$AB$160),UPPER(TEXT(EDATE($D150,Milestones!$AA$160),"dd mmm yy"))&amp;" "&amp;Milestones!$AB$160&amp;" "&amp;IF(AND(Milestones!$AB$160="FT",Milestones!$AA$160=FT_Y5,EDATE($D150,Milestones!$AA$160)&lt;PolicyEff),1,Milestones!$AC$160)&amp;";  ","")&amp;IF(AND(EDATE($D150,Milestones!$AA$161)&lt;=AsOfDate,EDATE($D150,Milestones!$AA$161)&gt;=SchemeStart,IF($X150=0,$AD150,IF(AND($Z150&lt;&gt;"",EDATE($D150,Milestones!$AA$161)&gt;=$Z150),$AC150,IF(AND($Y150&lt;&gt;"",EDATE($D150,Milestones!$AA$161)&gt;=$Y150),$AB150,$AA150)))=Milestones!$AB$161),UPPER(TEXT(EDATE($D150,Milestones!$AA$161),"dd mmm yy"))&amp;" "&amp;Milestones!$AB$161&amp;" "&amp;IF(AND(Milestones!$AB$161="FT",Milestones!$AA$161=FT_Y5,EDATE($D150,Milestones!$AA$161)&lt;PolicyEff),1,Milestones!$AC$161)&amp;";  ","")&amp;IF(AND(EDATE($D150,Milestones!$AA$162)&lt;=AsOfDate,EDATE($D150,Milestones!$AA$162)&gt;=SchemeStart,IF($X150=0,$AD150,IF(AND($Z150&lt;&gt;"",EDATE($D150,Milestones!$AA$162)&gt;=$Z150),$AC150,IF(AND($Y150&lt;&gt;"",EDATE($D150,Milestones!$AA$162)&gt;=$Y150),$AB150,$AA150)))=Milestones!$AB$162),UPPER(TEXT(EDATE($D150,Milestones!$AA$162),"dd mmm yy"))&amp;" "&amp;Milestones!$AB$162&amp;" "&amp;IF(AND(Milestones!$AB$162="FT",Milestones!$AA$162=FT_Y5,EDATE($D150,Milestones!$AA$162)&lt;PolicyEff),1,Milestones!$AC$162)&amp;";  ","")&amp;IF(AND(EDATE($D150,Milestones!$AA$163)&lt;=AsOfDate,EDATE($D150,Milestones!$AA$163)&gt;=SchemeStart,IF($X150=0,$AD150,IF(AND($Z150&lt;&gt;"",EDATE($D150,Milestones!$AA$163)&gt;=$Z150),$AC150,IF(AND($Y150&lt;&gt;"",EDATE($D150,Milestones!$AA$163)&gt;=$Y150),$AB150,$AA150)))=Milestones!$AB$163),UPPER(TEXT(EDATE($D150,Milestones!$AA$163),"dd mmm yy"))&amp;" "&amp;Milestones!$AB$163&amp;" "&amp;IF(AND(Milestones!$AB$163="FT",Milestones!$AA$163=FT_Y5,EDATE($D150,Milestones!$AA$163)&lt;PolicyEff),1,Milestones!$AC$163)&amp;";  ",""))</f>
        <v/>
      </c>
      <c r="U150" s="0" t="str">
        <f aca="false">IF(OR($A150="",$D150=""),"",IF(AND(EDATE($D150,Milestones!$AA$164)&lt;=AsOfDate,EDATE($D150,Milestones!$AA$164)&gt;=SchemeStart,IF($X150=0,$AD150,IF(AND($Z150&lt;&gt;"",EDATE($D150,Milestones!$AA$164)&gt;=$Z150),$AC150,IF(AND($Y150&lt;&gt;"",EDATE($D150,Milestones!$AA$164)&gt;=$Y150),$AB150,$AA150)))=Milestones!$AB$164),UPPER(TEXT(EDATE($D150,Milestones!$AA$164),"dd mmm yy"))&amp;" "&amp;Milestones!$AB$164&amp;" "&amp;IF(AND(Milestones!$AB$164="FT",Milestones!$AA$164=FT_Y5,EDATE($D150,Milestones!$AA$164)&lt;PolicyEff),1,Milestones!$AC$164)&amp;";  ","")&amp;IF(AND(EDATE($D150,Milestones!$AA$165)&lt;=AsOfDate,EDATE($D150,Milestones!$AA$165)&gt;=SchemeStart,IF($X150=0,$AD150,IF(AND($Z150&lt;&gt;"",EDATE($D150,Milestones!$AA$165)&gt;=$Z150),$AC150,IF(AND($Y150&lt;&gt;"",EDATE($D150,Milestones!$AA$165)&gt;=$Y150),$AB150,$AA150)))=Milestones!$AB$165),UPPER(TEXT(EDATE($D150,Milestones!$AA$165),"dd mmm yy"))&amp;" "&amp;Milestones!$AB$165&amp;" "&amp;IF(AND(Milestones!$AB$165="FT",Milestones!$AA$165=FT_Y5,EDATE($D150,Milestones!$AA$165)&lt;PolicyEff),1,Milestones!$AC$165)&amp;";  ","")&amp;IF(AND(EDATE($D150,Milestones!$AA$166)&lt;=AsOfDate,EDATE($D150,Milestones!$AA$166)&gt;=SchemeStart,IF($X150=0,$AD150,IF(AND($Z150&lt;&gt;"",EDATE($D150,Milestones!$AA$166)&gt;=$Z150),$AC150,IF(AND($Y150&lt;&gt;"",EDATE($D150,Milestones!$AA$166)&gt;=$Y150),$AB150,$AA150)))=Milestones!$AB$166),UPPER(TEXT(EDATE($D150,Milestones!$AA$166),"dd mmm yy"))&amp;" "&amp;Milestones!$AB$166&amp;" "&amp;IF(AND(Milestones!$AB$166="FT",Milestones!$AA$166=FT_Y5,EDATE($D150,Milestones!$AA$166)&lt;PolicyEff),1,Milestones!$AC$166)&amp;";  ","")&amp;IF(AND(EDATE($D150,Milestones!$AA$167)&lt;=AsOfDate,EDATE($D150,Milestones!$AA$167)&gt;=SchemeStart,IF($X150=0,$AD150,IF(AND($Z150&lt;&gt;"",EDATE($D150,Milestones!$AA$167)&gt;=$Z150),$AC150,IF(AND($Y150&lt;&gt;"",EDATE($D150,Milestones!$AA$167)&gt;=$Y150),$AB150,$AA150)))=Milestones!$AB$167),UPPER(TEXT(EDATE($D150,Milestones!$AA$167),"dd mmm yy"))&amp;" "&amp;Milestones!$AB$167&amp;" "&amp;IF(AND(Milestones!$AB$167="FT",Milestones!$AA$167=FT_Y5,EDATE($D150,Milestones!$AA$167)&lt;PolicyEff),1,Milestones!$AC$167)&amp;";  ","")&amp;IF(AND(EDATE($D150,Milestones!$AA$168)&lt;=AsOfDate,EDATE($D150,Milestones!$AA$168)&gt;=SchemeStart,IF($X150=0,$AD150,IF(AND($Z150&lt;&gt;"",EDATE($D150,Milestones!$AA$168)&gt;=$Z150),$AC150,IF(AND($Y150&lt;&gt;"",EDATE($D150,Milestones!$AA$168)&gt;=$Y150),$AB150,$AA150)))=Milestones!$AB$168),UPPER(TEXT(EDATE($D150,Milestones!$AA$168),"dd mmm yy"))&amp;" "&amp;Milestones!$AB$168&amp;" "&amp;IF(AND(Milestones!$AB$168="FT",Milestones!$AA$168=FT_Y5,EDATE($D150,Milestones!$AA$168)&lt;PolicyEff),1,Milestones!$AC$168)&amp;";  ","")&amp;IF(AND(EDATE($D150,Milestones!$AA$169)&lt;=AsOfDate,EDATE($D150,Milestones!$AA$169)&gt;=SchemeStart,IF($X150=0,$AD150,IF(AND($Z150&lt;&gt;"",EDATE($D150,Milestones!$AA$169)&gt;=$Z150),$AC150,IF(AND($Y150&lt;&gt;"",EDATE($D150,Milestones!$AA$169)&gt;=$Y150),$AB150,$AA150)))=Milestones!$AB$169),UPPER(TEXT(EDATE($D150,Milestones!$AA$169),"dd mmm yy"))&amp;" "&amp;Milestones!$AB$169&amp;" "&amp;IF(AND(Milestones!$AB$169="FT",Milestones!$AA$169=FT_Y5,EDATE($D150,Milestones!$AA$169)&lt;PolicyEff),1,Milestones!$AC$169)&amp;";  ","")&amp;IF(AND(EDATE($D150,Milestones!$AA$170)&lt;=AsOfDate,EDATE($D150,Milestones!$AA$170)&gt;=SchemeStart,IF($X150=0,$AD150,IF(AND($Z150&lt;&gt;"",EDATE($D150,Milestones!$AA$170)&gt;=$Z150),$AC150,IF(AND($Y150&lt;&gt;"",EDATE($D150,Milestones!$AA$170)&gt;=$Y150),$AB150,$AA150)))=Milestones!$AB$170),UPPER(TEXT(EDATE($D150,Milestones!$AA$170),"dd mmm yy"))&amp;" "&amp;Milestones!$AB$170&amp;" "&amp;IF(AND(Milestones!$AB$170="FT",Milestones!$AA$170=FT_Y5,EDATE($D150,Milestones!$AA$170)&lt;PolicyEff),1,Milestones!$AC$170)&amp;";  ","")&amp;IF(AND(EDATE($D150,Milestones!$AA$171)&lt;=AsOfDate,EDATE($D150,Milestones!$AA$171)&gt;=SchemeStart,IF($X150=0,$AD150,IF(AND($Z150&lt;&gt;"",EDATE($D150,Milestones!$AA$171)&gt;=$Z150),$AC150,IF(AND($Y150&lt;&gt;"",EDATE($D150,Milestones!$AA$171)&gt;=$Y150),$AB150,$AA150)))=Milestones!$AB$171),UPPER(TEXT(EDATE($D150,Milestones!$AA$171),"dd mmm yy"))&amp;" "&amp;Milestones!$AB$171&amp;" "&amp;IF(AND(Milestones!$AB$171="FT",Milestones!$AA$171=FT_Y5,EDATE($D150,Milestones!$AA$171)&lt;PolicyEff),1,Milestones!$AC$171)&amp;";  ","")&amp;IF(AND(EDATE($D150,Milestones!$AA$172)&lt;=AsOfDate,EDATE($D150,Milestones!$AA$172)&gt;=SchemeStart,IF($X150=0,$AD150,IF(AND($Z150&lt;&gt;"",EDATE($D150,Milestones!$AA$172)&gt;=$Z150),$AC150,IF(AND($Y150&lt;&gt;"",EDATE($D150,Milestones!$AA$172)&gt;=$Y150),$AB150,$AA150)))=Milestones!$AB$172),UPPER(TEXT(EDATE($D150,Milestones!$AA$172),"dd mmm yy"))&amp;" "&amp;Milestones!$AB$172&amp;" "&amp;IF(AND(Milestones!$AB$172="FT",Milestones!$AA$172=FT_Y5,EDATE($D150,Milestones!$AA$172)&lt;PolicyEff),1,Milestones!$AC$172)&amp;";  ","")&amp;IF(AND(EDATE($D150,Milestones!$AA$173)&lt;=AsOfDate,EDATE($D150,Milestones!$AA$173)&gt;=SchemeStart,IF($X150=0,$AD150,IF(AND($Z150&lt;&gt;"",EDATE($D150,Milestones!$AA$173)&gt;=$Z150),$AC150,IF(AND($Y150&lt;&gt;"",EDATE($D150,Milestones!$AA$173)&gt;=$Y150),$AB150,$AA150)))=Milestones!$AB$173),UPPER(TEXT(EDATE($D150,Milestones!$AA$173),"dd mmm yy"))&amp;" "&amp;Milestones!$AB$173&amp;" "&amp;IF(AND(Milestones!$AB$173="FT",Milestones!$AA$173=FT_Y5,EDATE($D150,Milestones!$AA$173)&lt;PolicyEff),1,Milestones!$AC$173)&amp;";  ","")&amp;IF(AND(EDATE($D150,Milestones!$AA$174)&lt;=AsOfDate,EDATE($D150,Milestones!$AA$174)&gt;=SchemeStart,IF($X150=0,$AD150,IF(AND($Z150&lt;&gt;"",EDATE($D150,Milestones!$AA$174)&gt;=$Z150),$AC150,IF(AND($Y150&lt;&gt;"",EDATE($D150,Milestones!$AA$174)&gt;=$Y150),$AB150,$AA150)))=Milestones!$AB$174),UPPER(TEXT(EDATE($D150,Milestones!$AA$174),"dd mmm yy"))&amp;" "&amp;Milestones!$AB$174&amp;" "&amp;IF(AND(Milestones!$AB$174="FT",Milestones!$AA$174=FT_Y5,EDATE($D150,Milestones!$AA$174)&lt;PolicyEff),1,Milestones!$AC$174)&amp;";  ","")&amp;IF(AND(EDATE($D150,Milestones!$AA$175)&lt;=AsOfDate,EDATE($D150,Milestones!$AA$175)&gt;=SchemeStart,IF($X150=0,$AD150,IF(AND($Z150&lt;&gt;"",EDATE($D150,Milestones!$AA$175)&gt;=$Z150),$AC150,IF(AND($Y150&lt;&gt;"",EDATE($D150,Milestones!$AA$175)&gt;=$Y150),$AB150,$AA150)))=Milestones!$AB$175),UPPER(TEXT(EDATE($D150,Milestones!$AA$175),"dd mmm yy"))&amp;" "&amp;Milestones!$AB$175&amp;" "&amp;IF(AND(Milestones!$AB$175="FT",Milestones!$AA$175=FT_Y5,EDATE($D150,Milestones!$AA$175)&lt;PolicyEff),1,Milestones!$AC$175)&amp;";  ",""))</f>
        <v/>
      </c>
      <c r="V150" s="0" t="str">
        <f aca="false">IF(OR($A150="",$D150=""),"",IF(AND(EDATE($D150,Milestones!$AA$176)&lt;=AsOfDate,EDATE($D150,Milestones!$AA$176)&gt;=SchemeStart,IF($X150=0,$AD150,IF(AND($Z150&lt;&gt;"",EDATE($D150,Milestones!$AA$176)&gt;=$Z150),$AC150,IF(AND($Y150&lt;&gt;"",EDATE($D150,Milestones!$AA$176)&gt;=$Y150),$AB150,$AA150)))=Milestones!$AB$176),UPPER(TEXT(EDATE($D150,Milestones!$AA$176),"dd mmm yy"))&amp;" "&amp;Milestones!$AB$176&amp;" "&amp;IF(AND(Milestones!$AB$176="FT",Milestones!$AA$176=FT_Y5,EDATE($D150,Milestones!$AA$176)&lt;PolicyEff),1,Milestones!$AC$176)&amp;";  ","")&amp;IF(AND(EDATE($D150,Milestones!$AA$177)&lt;=AsOfDate,EDATE($D150,Milestones!$AA$177)&gt;=SchemeStart,IF($X150=0,$AD150,IF(AND($Z150&lt;&gt;"",EDATE($D150,Milestones!$AA$177)&gt;=$Z150),$AC150,IF(AND($Y150&lt;&gt;"",EDATE($D150,Milestones!$AA$177)&gt;=$Y150),$AB150,$AA150)))=Milestones!$AB$177),UPPER(TEXT(EDATE($D150,Milestones!$AA$177),"dd mmm yy"))&amp;" "&amp;Milestones!$AB$177&amp;" "&amp;IF(AND(Milestones!$AB$177="FT",Milestones!$AA$177=FT_Y5,EDATE($D150,Milestones!$AA$177)&lt;PolicyEff),1,Milestones!$AC$177)&amp;";  ","")&amp;IF(AND(EDATE($D150,Milestones!$AA$178)&lt;=AsOfDate,EDATE($D150,Milestones!$AA$178)&gt;=SchemeStart,IF($X150=0,$AD150,IF(AND($Z150&lt;&gt;"",EDATE($D150,Milestones!$AA$178)&gt;=$Z150),$AC150,IF(AND($Y150&lt;&gt;"",EDATE($D150,Milestones!$AA$178)&gt;=$Y150),$AB150,$AA150)))=Milestones!$AB$178),UPPER(TEXT(EDATE($D150,Milestones!$AA$178),"dd mmm yy"))&amp;" "&amp;Milestones!$AB$178&amp;" "&amp;IF(AND(Milestones!$AB$178="FT",Milestones!$AA$178=FT_Y5,EDATE($D150,Milestones!$AA$178)&lt;PolicyEff),1,Milestones!$AC$178)&amp;";  ","")&amp;IF(AND(EDATE($D150,Milestones!$AA$179)&lt;=AsOfDate,EDATE($D150,Milestones!$AA$179)&gt;=SchemeStart,IF($X150=0,$AD150,IF(AND($Z150&lt;&gt;"",EDATE($D150,Milestones!$AA$179)&gt;=$Z150),$AC150,IF(AND($Y150&lt;&gt;"",EDATE($D150,Milestones!$AA$179)&gt;=$Y150),$AB150,$AA150)))=Milestones!$AB$179),UPPER(TEXT(EDATE($D150,Milestones!$AA$179),"dd mmm yy"))&amp;" "&amp;Milestones!$AB$179&amp;" "&amp;IF(AND(Milestones!$AB$179="FT",Milestones!$AA$179=FT_Y5,EDATE($D150,Milestones!$AA$179)&lt;PolicyEff),1,Milestones!$AC$179)&amp;";  ","")&amp;IF(AND(EDATE($D150,Milestones!$AA$180)&lt;=AsOfDate,EDATE($D150,Milestones!$AA$180)&gt;=SchemeStart,IF($X150=0,$AD150,IF(AND($Z150&lt;&gt;"",EDATE($D150,Milestones!$AA$180)&gt;=$Z150),$AC150,IF(AND($Y150&lt;&gt;"",EDATE($D150,Milestones!$AA$180)&gt;=$Y150),$AB150,$AA150)))=Milestones!$AB$180),UPPER(TEXT(EDATE($D150,Milestones!$AA$180),"dd mmm yy"))&amp;" "&amp;Milestones!$AB$180&amp;" "&amp;IF(AND(Milestones!$AB$180="FT",Milestones!$AA$180=FT_Y5,EDATE($D150,Milestones!$AA$180)&lt;PolicyEff),1,Milestones!$AC$180)&amp;";  ","")&amp;IF(AND(EDATE($D150,Milestones!$AA$181)&lt;=AsOfDate,EDATE($D150,Milestones!$AA$181)&gt;=SchemeStart,IF($X150=0,$AD150,IF(AND($Z150&lt;&gt;"",EDATE($D150,Milestones!$AA$181)&gt;=$Z150),$AC150,IF(AND($Y150&lt;&gt;"",EDATE($D150,Milestones!$AA$181)&gt;=$Y150),$AB150,$AA150)))=Milestones!$AB$181),UPPER(TEXT(EDATE($D150,Milestones!$AA$181),"dd mmm yy"))&amp;" "&amp;Milestones!$AB$181&amp;" "&amp;IF(AND(Milestones!$AB$181="FT",Milestones!$AA$181=FT_Y5,EDATE($D150,Milestones!$AA$181)&lt;PolicyEff),1,Milestones!$AC$181)&amp;";  ","")&amp;IF(AND(EDATE($D150,Milestones!$AA$182)&lt;=AsOfDate,EDATE($D150,Milestones!$AA$182)&gt;=SchemeStart,IF($X150=0,$AD150,IF(AND($Z150&lt;&gt;"",EDATE($D150,Milestones!$AA$182)&gt;=$Z150),$AC150,IF(AND($Y150&lt;&gt;"",EDATE($D150,Milestones!$AA$182)&gt;=$Y150),$AB150,$AA150)))=Milestones!$AB$182),UPPER(TEXT(EDATE($D150,Milestones!$AA$182),"dd mmm yy"))&amp;" "&amp;Milestones!$AB$182&amp;" "&amp;IF(AND(Milestones!$AB$182="FT",Milestones!$AA$182=FT_Y5,EDATE($D150,Milestones!$AA$182)&lt;PolicyEff),1,Milestones!$AC$182)&amp;";  ","")&amp;IF(AND(EDATE($D150,Milestones!$AA$183)&lt;=AsOfDate,EDATE($D150,Milestones!$AA$183)&gt;=SchemeStart,IF($X150=0,$AD150,IF(AND($Z150&lt;&gt;"",EDATE($D150,Milestones!$AA$183)&gt;=$Z150),$AC150,IF(AND($Y150&lt;&gt;"",EDATE($D150,Milestones!$AA$183)&gt;=$Y150),$AB150,$AA150)))=Milestones!$AB$183),UPPER(TEXT(EDATE($D150,Milestones!$AA$183),"dd mmm yy"))&amp;" "&amp;Milestones!$AB$183&amp;" "&amp;IF(AND(Milestones!$AB$183="FT",Milestones!$AA$183=FT_Y5,EDATE($D150,Milestones!$AA$183)&lt;PolicyEff),1,Milestones!$AC$183)&amp;";  ","")&amp;IF(AND(EDATE($D150,Milestones!$AA$184)&lt;=AsOfDate,EDATE($D150,Milestones!$AA$184)&gt;=SchemeStart,IF($X150=0,$AD150,IF(AND($Z150&lt;&gt;"",EDATE($D150,Milestones!$AA$184)&gt;=$Z150),$AC150,IF(AND($Y150&lt;&gt;"",EDATE($D150,Milestones!$AA$184)&gt;=$Y150),$AB150,$AA150)))=Milestones!$AB$184),UPPER(TEXT(EDATE($D150,Milestones!$AA$184),"dd mmm yy"))&amp;" "&amp;Milestones!$AB$184&amp;" "&amp;IF(AND(Milestones!$AB$184="FT",Milestones!$AA$184=FT_Y5,EDATE($D150,Milestones!$AA$184)&lt;PolicyEff),1,Milestones!$AC$184)&amp;";  ","")&amp;IF(AND(EDATE($D150,Milestones!$AA$185)&lt;=AsOfDate,EDATE($D150,Milestones!$AA$185)&gt;=SchemeStart,IF($X150=0,$AD150,IF(AND($Z150&lt;&gt;"",EDATE($D150,Milestones!$AA$185)&gt;=$Z150),$AC150,IF(AND($Y150&lt;&gt;"",EDATE($D150,Milestones!$AA$185)&gt;=$Y150),$AB150,$AA150)))=Milestones!$AB$185),UPPER(TEXT(EDATE($D150,Milestones!$AA$185),"dd mmm yy"))&amp;" "&amp;Milestones!$AB$185&amp;" "&amp;IF(AND(Milestones!$AB$185="FT",Milestones!$AA$185=FT_Y5,EDATE($D150,Milestones!$AA$185)&lt;PolicyEff),1,Milestones!$AC$185)&amp;";  ","")&amp;IF(AND(EDATE($D150,Milestones!$AA$186)&lt;=AsOfDate,EDATE($D150,Milestones!$AA$186)&gt;=SchemeStart,IF($X150=0,$AD150,IF(AND($Z150&lt;&gt;"",EDATE($D150,Milestones!$AA$186)&gt;=$Z150),$AC150,IF(AND($Y150&lt;&gt;"",EDATE($D150,Milestones!$AA$186)&gt;=$Y150),$AB150,$AA150)))=Milestones!$AB$186),UPPER(TEXT(EDATE($D150,Milestones!$AA$186),"dd mmm yy"))&amp;" "&amp;Milestones!$AB$186&amp;" "&amp;IF(AND(Milestones!$AB$186="FT",Milestones!$AA$186=FT_Y5,EDATE($D150,Milestones!$AA$186)&lt;PolicyEff),1,Milestones!$AC$186)&amp;";  ","")&amp;IF(AND(EDATE($D150,Milestones!$AA$187)&lt;=AsOfDate,EDATE($D150,Milestones!$AA$187)&gt;=SchemeStart,IF($X150=0,$AD150,IF(AND($Z150&lt;&gt;"",EDATE($D150,Milestones!$AA$187)&gt;=$Z150),$AC150,IF(AND($Y150&lt;&gt;"",EDATE($D150,Milestones!$AA$187)&gt;=$Y150),$AB150,$AA150)))=Milestones!$AB$187),UPPER(TEXT(EDATE($D150,Milestones!$AA$187),"dd mmm yy"))&amp;" "&amp;Milestones!$AB$187&amp;" "&amp;IF(AND(Milestones!$AB$187="FT",Milestones!$AA$187=FT_Y5,EDATE($D150,Milestones!$AA$187)&lt;PolicyEff),1,Milestones!$AC$187)&amp;";  ",""))</f>
        <v/>
      </c>
      <c r="W150" s="0" t="str">
        <f aca="false">IF(OR($A150="",$D150=""),"",IF(AND(EDATE($D150,Milestones!$AA$188)&lt;=AsOfDate,EDATE($D150,Milestones!$AA$188)&gt;=SchemeStart,IF($X150=0,$AD150,IF(AND($Z150&lt;&gt;"",EDATE($D150,Milestones!$AA$188)&gt;=$Z150),$AC150,IF(AND($Y150&lt;&gt;"",EDATE($D150,Milestones!$AA$188)&gt;=$Y150),$AB150,$AA150)))=Milestones!$AB$188),UPPER(TEXT(EDATE($D150,Milestones!$AA$188),"dd mmm yy"))&amp;" "&amp;Milestones!$AB$188&amp;" "&amp;IF(AND(Milestones!$AB$188="FT",Milestones!$AA$188=FT_Y5,EDATE($D150,Milestones!$AA$188)&lt;PolicyEff),1,Milestones!$AC$188)&amp;";  ","")&amp;IF(AND(EDATE($D150,Milestones!$AA$189)&lt;=AsOfDate,EDATE($D150,Milestones!$AA$189)&gt;=SchemeStart,IF($X150=0,$AD150,IF(AND($Z150&lt;&gt;"",EDATE($D150,Milestones!$AA$189)&gt;=$Z150),$AC150,IF(AND($Y150&lt;&gt;"",EDATE($D150,Milestones!$AA$189)&gt;=$Y150),$AB150,$AA150)))=Milestones!$AB$189),UPPER(TEXT(EDATE($D150,Milestones!$AA$189),"dd mmm yy"))&amp;" "&amp;Milestones!$AB$189&amp;" "&amp;IF(AND(Milestones!$AB$189="FT",Milestones!$AA$189=FT_Y5,EDATE($D150,Milestones!$AA$189)&lt;PolicyEff),1,Milestones!$AC$189)&amp;";  ","")&amp;IF(AND(EDATE($D150,Milestones!$AA$190)&lt;=AsOfDate,EDATE($D150,Milestones!$AA$190)&gt;=SchemeStart,IF($X150=0,$AD150,IF(AND($Z150&lt;&gt;"",EDATE($D150,Milestones!$AA$190)&gt;=$Z150),$AC150,IF(AND($Y150&lt;&gt;"",EDATE($D150,Milestones!$AA$190)&gt;=$Y150),$AB150,$AA150)))=Milestones!$AB$190),UPPER(TEXT(EDATE($D150,Milestones!$AA$190),"dd mmm yy"))&amp;" "&amp;Milestones!$AB$190&amp;" "&amp;IF(AND(Milestones!$AB$190="FT",Milestones!$AA$190=FT_Y5,EDATE($D150,Milestones!$AA$190)&lt;PolicyEff),1,Milestones!$AC$190)&amp;";  ","")&amp;IF(AND(EDATE($D150,Milestones!$AA$191)&lt;=AsOfDate,EDATE($D150,Milestones!$AA$191)&gt;=SchemeStart,IF($X150=0,$AD150,IF(AND($Z150&lt;&gt;"",EDATE($D150,Milestones!$AA$191)&gt;=$Z150),$AC150,IF(AND($Y150&lt;&gt;"",EDATE($D150,Milestones!$AA$191)&gt;=$Y150),$AB150,$AA150)))=Milestones!$AB$191),UPPER(TEXT(EDATE($D150,Milestones!$AA$191),"dd mmm yy"))&amp;" "&amp;Milestones!$AB$191&amp;" "&amp;IF(AND(Milestones!$AB$191="FT",Milestones!$AA$191=FT_Y5,EDATE($D150,Milestones!$AA$191)&lt;PolicyEff),1,Milestones!$AC$191)&amp;";  ","")&amp;IF(AND(EDATE($D150,Milestones!$AA$192)&lt;=AsOfDate,EDATE($D150,Milestones!$AA$192)&gt;=SchemeStart,IF($X150=0,$AD150,IF(AND($Z150&lt;&gt;"",EDATE($D150,Milestones!$AA$192)&gt;=$Z150),$AC150,IF(AND($Y150&lt;&gt;"",EDATE($D150,Milestones!$AA$192)&gt;=$Y150),$AB150,$AA150)))=Milestones!$AB$192),UPPER(TEXT(EDATE($D150,Milestones!$AA$192),"dd mmm yy"))&amp;" "&amp;Milestones!$AB$192&amp;" "&amp;IF(AND(Milestones!$AB$192="FT",Milestones!$AA$192=FT_Y5,EDATE($D150,Milestones!$AA$192)&lt;PolicyEff),1,Milestones!$AC$192)&amp;";  ","")&amp;IF(AND(EDATE($D150,Milestones!$AA$193)&lt;=AsOfDate,EDATE($D150,Milestones!$AA$193)&gt;=SchemeStart,IF($X150=0,$AD150,IF(AND($Z150&lt;&gt;"",EDATE($D150,Milestones!$AA$193)&gt;=$Z150),$AC150,IF(AND($Y150&lt;&gt;"",EDATE($D150,Milestones!$AA$193)&gt;=$Y150),$AB150,$AA150)))=Milestones!$AB$193),UPPER(TEXT(EDATE($D150,Milestones!$AA$193),"dd mmm yy"))&amp;" "&amp;Milestones!$AB$193&amp;" "&amp;IF(AND(Milestones!$AB$193="FT",Milestones!$AA$193=FT_Y5,EDATE($D150,Milestones!$AA$193)&lt;PolicyEff),1,Milestones!$AC$193)&amp;";  ","")&amp;IF(AND(EDATE($D150,Milestones!$AA$194)&lt;=AsOfDate,EDATE($D150,Milestones!$AA$194)&gt;=SchemeStart,IF($X150=0,$AD150,IF(AND($Z150&lt;&gt;"",EDATE($D150,Milestones!$AA$194)&gt;=$Z150),$AC150,IF(AND($Y150&lt;&gt;"",EDATE($D150,Milestones!$AA$194)&gt;=$Y150),$AB150,$AA150)))=Milestones!$AB$194),UPPER(TEXT(EDATE($D150,Milestones!$AA$194),"dd mmm yy"))&amp;" "&amp;Milestones!$AB$194&amp;" "&amp;IF(AND(Milestones!$AB$194="FT",Milestones!$AA$194=FT_Y5,EDATE($D150,Milestones!$AA$194)&lt;PolicyEff),1,Milestones!$AC$194)&amp;";  ","")&amp;IF(AND(EDATE($D150,Milestones!$AA$195)&lt;=AsOfDate,EDATE($D150,Milestones!$AA$195)&gt;=SchemeStart,IF($X150=0,$AD150,IF(AND($Z150&lt;&gt;"",EDATE($D150,Milestones!$AA$195)&gt;=$Z150),$AC150,IF(AND($Y150&lt;&gt;"",EDATE($D150,Milestones!$AA$195)&gt;=$Y150),$AB150,$AA150)))=Milestones!$AB$195),UPPER(TEXT(EDATE($D150,Milestones!$AA$195),"dd mmm yy"))&amp;" "&amp;Milestones!$AB$195&amp;" "&amp;IF(AND(Milestones!$AB$195="FT",Milestones!$AA$195=FT_Y5,EDATE($D150,Milestones!$AA$195)&lt;PolicyEff),1,Milestones!$AC$195)&amp;";  ","")&amp;IF(AND(EDATE($D150,Milestones!$AA$196)&lt;=AsOfDate,EDATE($D150,Milestones!$AA$196)&gt;=SchemeStart,IF($X150=0,$AD150,IF(AND($Z150&lt;&gt;"",EDATE($D150,Milestones!$AA$196)&gt;=$Z150),$AC150,IF(AND($Y150&lt;&gt;"",EDATE($D150,Milestones!$AA$196)&gt;=$Y150),$AB150,$AA150)))=Milestones!$AB$196),UPPER(TEXT(EDATE($D150,Milestones!$AA$196),"dd mmm yy"))&amp;" "&amp;Milestones!$AB$196&amp;" "&amp;IF(AND(Milestones!$AB$196="FT",Milestones!$AA$196=FT_Y5,EDATE($D150,Milestones!$AA$196)&lt;PolicyEff),1,Milestones!$AC$196)&amp;";  ","")&amp;IF(AND(EDATE($D150,Milestones!$AA$197)&lt;=AsOfDate,EDATE($D150,Milestones!$AA$197)&gt;=SchemeStart,IF($X150=0,$AD150,IF(AND($Z150&lt;&gt;"",EDATE($D150,Milestones!$AA$197)&gt;=$Z150),$AC150,IF(AND($Y150&lt;&gt;"",EDATE($D150,Milestones!$AA$197)&gt;=$Y150),$AB150,$AA150)))=Milestones!$AB$197),UPPER(TEXT(EDATE($D150,Milestones!$AA$197),"dd mmm yy"))&amp;" "&amp;Milestones!$AB$197&amp;" "&amp;IF(AND(Milestones!$AB$197="FT",Milestones!$AA$197=FT_Y5,EDATE($D150,Milestones!$AA$197)&lt;PolicyEff),1,Milestones!$AC$197)&amp;";  ","")&amp;IF(AND(EDATE($D150,Milestones!$AA$198)&lt;=AsOfDate,EDATE($D150,Milestones!$AA$198)&gt;=SchemeStart,IF($X150=0,$AD150,IF(AND($Z150&lt;&gt;"",EDATE($D150,Milestones!$AA$198)&gt;=$Z150),$AC150,IF(AND($Y150&lt;&gt;"",EDATE($D150,Milestones!$AA$198)&gt;=$Y150),$AB150,$AA150)))=Milestones!$AB$198),UPPER(TEXT(EDATE($D150,Milestones!$AA$198),"dd mmm yy"))&amp;" "&amp;Milestones!$AB$198&amp;" "&amp;IF(AND(Milestones!$AB$198="FT",Milestones!$AA$198=FT_Y5,EDATE($D150,Milestones!$AA$198)&lt;PolicyEff),1,Milestones!$AC$198)&amp;";  ","")&amp;IF(AND(EDATE($D150,Milestones!$AA$199)&lt;=AsOfDate,EDATE($D150,Milestones!$AA$199)&gt;=SchemeStart,IF($X150=0,$AD150,IF(AND($Z150&lt;&gt;"",EDATE($D150,Milestones!$AA$199)&gt;=$Z150),$AC150,IF(AND($Y150&lt;&gt;"",EDATE($D150,Milestones!$AA$199)&gt;=$Y150),$AB150,$AA150)))=Milestones!$AB$199),UPPER(TEXT(EDATE($D150,Milestones!$AA$199),"dd mmm yy"))&amp;" "&amp;Milestones!$AB$199&amp;" "&amp;IF(AND(Milestones!$AB$199="FT",Milestones!$AA$199=FT_Y5,EDATE($D150,Milestones!$AA$199)&lt;PolicyEff),1,Milestones!$AC$199)&amp;";  ",""))</f>
        <v/>
      </c>
      <c r="X150" s="0" t="str">
        <f aca="false">IF(Staff!$A150="","",Staff!$AM150)</f>
        <v/>
      </c>
      <c r="Y150" s="0" t="str">
        <f aca="false">IF(Staff!$A150="","",Staff!$AO150)</f>
        <v/>
      </c>
      <c r="Z150" s="0" t="str">
        <f aca="false">IF(Staff!$A150="","",Staff!$AP150)</f>
        <v/>
      </c>
      <c r="AA150" s="0" t="str">
        <f aca="false">IF(Staff!$A150="","",Staff!$AT150)</f>
        <v/>
      </c>
      <c r="AB150" s="0" t="str">
        <f aca="false">IF(Staff!$A150="","",Staff!$AU150)</f>
        <v/>
      </c>
      <c r="AC150" s="0" t="str">
        <f aca="false">IF(Staff!$A150="","",Staff!$AV150)</f>
        <v/>
      </c>
      <c r="AD150" s="0" t="str">
        <f aca="false">IF(Staff!$A150="","",Staff!$AW150)</f>
        <v/>
      </c>
    </row>
    <row r="151" customFormat="false" ht="15" hidden="false" customHeight="false" outlineLevel="0" collapsed="false">
      <c r="A151" s="16" t="str">
        <f aca="false">IF(Staff!$A151="","",Staff!$A151)</f>
        <v/>
      </c>
      <c r="B151" s="16" t="str">
        <f aca="false">IF(Staff!$A151="","",Staff!$B151)</f>
        <v/>
      </c>
      <c r="C151" s="16" t="str">
        <f aca="false">IF(Staff!$A151="","",Staff!$C151)</f>
        <v/>
      </c>
      <c r="D151" s="14" t="str">
        <f aca="false">IF(Staff!$A151="","",Staff!$AL151)</f>
        <v/>
      </c>
      <c r="E151" s="16" t="str">
        <f aca="false">IF(Staff!$A151="","",Staff!$O151)</f>
        <v/>
      </c>
      <c r="F151" s="16" t="str">
        <f aca="false">IF(E151="","",E151*HoursPerDay)</f>
        <v/>
      </c>
      <c r="G151" s="16" t="str">
        <f aca="false">IF(Staff!$A151="","",Staff!$AE151)</f>
        <v/>
      </c>
      <c r="H151" s="28" t="str">
        <f aca="false">IF($A151="","",I151&amp;J151&amp;K151&amp;L151&amp;M151&amp;N151&amp;O151&amp;P151&amp;Q151&amp;R151&amp;S151&amp;T151&amp;U151&amp;V151&amp;W151)</f>
        <v/>
      </c>
      <c r="I151" s="0" t="str">
        <f aca="false">IF(OR($A151="",$D151=""),"",IF(AND(EDATE($D151,Milestones!$AA$20)&lt;=AsOfDate,EDATE($D151,Milestones!$AA$20)&gt;=SchemeStart,IF($X151=0,$AD151,IF(AND($Z151&lt;&gt;"",EDATE($D151,Milestones!$AA$20)&gt;=$Z151),$AC151,IF(AND($Y151&lt;&gt;"",EDATE($D151,Milestones!$AA$20)&gt;=$Y151),$AB151,$AA151)))=Milestones!$AB$20),UPPER(TEXT(EDATE($D151,Milestones!$AA$20),"dd mmm yy"))&amp;" "&amp;Milestones!$AB$20&amp;" "&amp;IF(AND(Milestones!$AB$20="FT",Milestones!$AA$20=FT_Y5,EDATE($D151,Milestones!$AA$20)&lt;PolicyEff),1,Milestones!$AC$20)&amp;";  ","")&amp;IF(AND(EDATE($D151,Milestones!$AA$21)&lt;=AsOfDate,EDATE($D151,Milestones!$AA$21)&gt;=SchemeStart,IF($X151=0,$AD151,IF(AND($Z151&lt;&gt;"",EDATE($D151,Milestones!$AA$21)&gt;=$Z151),$AC151,IF(AND($Y151&lt;&gt;"",EDATE($D151,Milestones!$AA$21)&gt;=$Y151),$AB151,$AA151)))=Milestones!$AB$21),UPPER(TEXT(EDATE($D151,Milestones!$AA$21),"dd mmm yy"))&amp;" "&amp;Milestones!$AB$21&amp;" "&amp;IF(AND(Milestones!$AB$21="FT",Milestones!$AA$21=FT_Y5,EDATE($D151,Milestones!$AA$21)&lt;PolicyEff),1,Milestones!$AC$21)&amp;";  ","")&amp;IF(AND(EDATE($D151,Milestones!$AA$22)&lt;=AsOfDate,EDATE($D151,Milestones!$AA$22)&gt;=SchemeStart,IF($X151=0,$AD151,IF(AND($Z151&lt;&gt;"",EDATE($D151,Milestones!$AA$22)&gt;=$Z151),$AC151,IF(AND($Y151&lt;&gt;"",EDATE($D151,Milestones!$AA$22)&gt;=$Y151),$AB151,$AA151)))=Milestones!$AB$22),UPPER(TEXT(EDATE($D151,Milestones!$AA$22),"dd mmm yy"))&amp;" "&amp;Milestones!$AB$22&amp;" "&amp;IF(AND(Milestones!$AB$22="FT",Milestones!$AA$22=FT_Y5,EDATE($D151,Milestones!$AA$22)&lt;PolicyEff),1,Milestones!$AC$22)&amp;";  ","")&amp;IF(AND(EDATE($D151,Milestones!$AA$23)&lt;=AsOfDate,EDATE($D151,Milestones!$AA$23)&gt;=SchemeStart,IF($X151=0,$AD151,IF(AND($Z151&lt;&gt;"",EDATE($D151,Milestones!$AA$23)&gt;=$Z151),$AC151,IF(AND($Y151&lt;&gt;"",EDATE($D151,Milestones!$AA$23)&gt;=$Y151),$AB151,$AA151)))=Milestones!$AB$23),UPPER(TEXT(EDATE($D151,Milestones!$AA$23),"dd mmm yy"))&amp;" "&amp;Milestones!$AB$23&amp;" "&amp;IF(AND(Milestones!$AB$23="FT",Milestones!$AA$23=FT_Y5,EDATE($D151,Milestones!$AA$23)&lt;PolicyEff),1,Milestones!$AC$23)&amp;";  ","")&amp;IF(AND(EDATE($D151,Milestones!$AA$24)&lt;=AsOfDate,EDATE($D151,Milestones!$AA$24)&gt;=SchemeStart,IF($X151=0,$AD151,IF(AND($Z151&lt;&gt;"",EDATE($D151,Milestones!$AA$24)&gt;=$Z151),$AC151,IF(AND($Y151&lt;&gt;"",EDATE($D151,Milestones!$AA$24)&gt;=$Y151),$AB151,$AA151)))=Milestones!$AB$24),UPPER(TEXT(EDATE($D151,Milestones!$AA$24),"dd mmm yy"))&amp;" "&amp;Milestones!$AB$24&amp;" "&amp;IF(AND(Milestones!$AB$24="FT",Milestones!$AA$24=FT_Y5,EDATE($D151,Milestones!$AA$24)&lt;PolicyEff),1,Milestones!$AC$24)&amp;";  ","")&amp;IF(AND(EDATE($D151,Milestones!$AA$25)&lt;=AsOfDate,EDATE($D151,Milestones!$AA$25)&gt;=SchemeStart,IF($X151=0,$AD151,IF(AND($Z151&lt;&gt;"",EDATE($D151,Milestones!$AA$25)&gt;=$Z151),$AC151,IF(AND($Y151&lt;&gt;"",EDATE($D151,Milestones!$AA$25)&gt;=$Y151),$AB151,$AA151)))=Milestones!$AB$25),UPPER(TEXT(EDATE($D151,Milestones!$AA$25),"dd mmm yy"))&amp;" "&amp;Milestones!$AB$25&amp;" "&amp;IF(AND(Milestones!$AB$25="FT",Milestones!$AA$25=FT_Y5,EDATE($D151,Milestones!$AA$25)&lt;PolicyEff),1,Milestones!$AC$25)&amp;";  ","")&amp;IF(AND(EDATE($D151,Milestones!$AA$26)&lt;=AsOfDate,EDATE($D151,Milestones!$AA$26)&gt;=SchemeStart,IF($X151=0,$AD151,IF(AND($Z151&lt;&gt;"",EDATE($D151,Milestones!$AA$26)&gt;=$Z151),$AC151,IF(AND($Y151&lt;&gt;"",EDATE($D151,Milestones!$AA$26)&gt;=$Y151),$AB151,$AA151)))=Milestones!$AB$26),UPPER(TEXT(EDATE($D151,Milestones!$AA$26),"dd mmm yy"))&amp;" "&amp;Milestones!$AB$26&amp;" "&amp;IF(AND(Milestones!$AB$26="FT",Milestones!$AA$26=FT_Y5,EDATE($D151,Milestones!$AA$26)&lt;PolicyEff),1,Milestones!$AC$26)&amp;";  ","")&amp;IF(AND(EDATE($D151,Milestones!$AA$27)&lt;=AsOfDate,EDATE($D151,Milestones!$AA$27)&gt;=SchemeStart,IF($X151=0,$AD151,IF(AND($Z151&lt;&gt;"",EDATE($D151,Milestones!$AA$27)&gt;=$Z151),$AC151,IF(AND($Y151&lt;&gt;"",EDATE($D151,Milestones!$AA$27)&gt;=$Y151),$AB151,$AA151)))=Milestones!$AB$27),UPPER(TEXT(EDATE($D151,Milestones!$AA$27),"dd mmm yy"))&amp;" "&amp;Milestones!$AB$27&amp;" "&amp;IF(AND(Milestones!$AB$27="FT",Milestones!$AA$27=FT_Y5,EDATE($D151,Milestones!$AA$27)&lt;PolicyEff),1,Milestones!$AC$27)&amp;";  ","")&amp;IF(AND(EDATE($D151,Milestones!$AA$28)&lt;=AsOfDate,EDATE($D151,Milestones!$AA$28)&gt;=SchemeStart,IF($X151=0,$AD151,IF(AND($Z151&lt;&gt;"",EDATE($D151,Milestones!$AA$28)&gt;=$Z151),$AC151,IF(AND($Y151&lt;&gt;"",EDATE($D151,Milestones!$AA$28)&gt;=$Y151),$AB151,$AA151)))=Milestones!$AB$28),UPPER(TEXT(EDATE($D151,Milestones!$AA$28),"dd mmm yy"))&amp;" "&amp;Milestones!$AB$28&amp;" "&amp;IF(AND(Milestones!$AB$28="FT",Milestones!$AA$28=FT_Y5,EDATE($D151,Milestones!$AA$28)&lt;PolicyEff),1,Milestones!$AC$28)&amp;";  ","")&amp;IF(AND(EDATE($D151,Milestones!$AA$29)&lt;=AsOfDate,EDATE($D151,Milestones!$AA$29)&gt;=SchemeStart,IF($X151=0,$AD151,IF(AND($Z151&lt;&gt;"",EDATE($D151,Milestones!$AA$29)&gt;=$Z151),$AC151,IF(AND($Y151&lt;&gt;"",EDATE($D151,Milestones!$AA$29)&gt;=$Y151),$AB151,$AA151)))=Milestones!$AB$29),UPPER(TEXT(EDATE($D151,Milestones!$AA$29),"dd mmm yy"))&amp;" "&amp;Milestones!$AB$29&amp;" "&amp;IF(AND(Milestones!$AB$29="FT",Milestones!$AA$29=FT_Y5,EDATE($D151,Milestones!$AA$29)&lt;PolicyEff),1,Milestones!$AC$29)&amp;";  ","")&amp;IF(AND(EDATE($D151,Milestones!$AA$30)&lt;=AsOfDate,EDATE($D151,Milestones!$AA$30)&gt;=SchemeStart,IF($X151=0,$AD151,IF(AND($Z151&lt;&gt;"",EDATE($D151,Milestones!$AA$30)&gt;=$Z151),$AC151,IF(AND($Y151&lt;&gt;"",EDATE($D151,Milestones!$AA$30)&gt;=$Y151),$AB151,$AA151)))=Milestones!$AB$30),UPPER(TEXT(EDATE($D151,Milestones!$AA$30),"dd mmm yy"))&amp;" "&amp;Milestones!$AB$30&amp;" "&amp;IF(AND(Milestones!$AB$30="FT",Milestones!$AA$30=FT_Y5,EDATE($D151,Milestones!$AA$30)&lt;PolicyEff),1,Milestones!$AC$30)&amp;";  ","")&amp;IF(AND(EDATE($D151,Milestones!$AA$31)&lt;=AsOfDate,EDATE($D151,Milestones!$AA$31)&gt;=SchemeStart,IF($X151=0,$AD151,IF(AND($Z151&lt;&gt;"",EDATE($D151,Milestones!$AA$31)&gt;=$Z151),$AC151,IF(AND($Y151&lt;&gt;"",EDATE($D151,Milestones!$AA$31)&gt;=$Y151),$AB151,$AA151)))=Milestones!$AB$31),UPPER(TEXT(EDATE($D151,Milestones!$AA$31),"dd mmm yy"))&amp;" "&amp;Milestones!$AB$31&amp;" "&amp;IF(AND(Milestones!$AB$31="FT",Milestones!$AA$31=FT_Y5,EDATE($D151,Milestones!$AA$31)&lt;PolicyEff),1,Milestones!$AC$31)&amp;";  ",""))</f>
        <v/>
      </c>
      <c r="J151" s="0" t="str">
        <f aca="false">IF(OR($A151="",$D151=""),"",IF(AND(EDATE($D151,Milestones!$AA$32)&lt;=AsOfDate,EDATE($D151,Milestones!$AA$32)&gt;=SchemeStart,IF($X151=0,$AD151,IF(AND($Z151&lt;&gt;"",EDATE($D151,Milestones!$AA$32)&gt;=$Z151),$AC151,IF(AND($Y151&lt;&gt;"",EDATE($D151,Milestones!$AA$32)&gt;=$Y151),$AB151,$AA151)))=Milestones!$AB$32),UPPER(TEXT(EDATE($D151,Milestones!$AA$32),"dd mmm yy"))&amp;" "&amp;Milestones!$AB$32&amp;" "&amp;IF(AND(Milestones!$AB$32="FT",Milestones!$AA$32=FT_Y5,EDATE($D151,Milestones!$AA$32)&lt;PolicyEff),1,Milestones!$AC$32)&amp;";  ","")&amp;IF(AND(EDATE($D151,Milestones!$AA$33)&lt;=AsOfDate,EDATE($D151,Milestones!$AA$33)&gt;=SchemeStart,IF($X151=0,$AD151,IF(AND($Z151&lt;&gt;"",EDATE($D151,Milestones!$AA$33)&gt;=$Z151),$AC151,IF(AND($Y151&lt;&gt;"",EDATE($D151,Milestones!$AA$33)&gt;=$Y151),$AB151,$AA151)))=Milestones!$AB$33),UPPER(TEXT(EDATE($D151,Milestones!$AA$33),"dd mmm yy"))&amp;" "&amp;Milestones!$AB$33&amp;" "&amp;IF(AND(Milestones!$AB$33="FT",Milestones!$AA$33=FT_Y5,EDATE($D151,Milestones!$AA$33)&lt;PolicyEff),1,Milestones!$AC$33)&amp;";  ","")&amp;IF(AND(EDATE($D151,Milestones!$AA$34)&lt;=AsOfDate,EDATE($D151,Milestones!$AA$34)&gt;=SchemeStart,IF($X151=0,$AD151,IF(AND($Z151&lt;&gt;"",EDATE($D151,Milestones!$AA$34)&gt;=$Z151),$AC151,IF(AND($Y151&lt;&gt;"",EDATE($D151,Milestones!$AA$34)&gt;=$Y151),$AB151,$AA151)))=Milestones!$AB$34),UPPER(TEXT(EDATE($D151,Milestones!$AA$34),"dd mmm yy"))&amp;" "&amp;Milestones!$AB$34&amp;" "&amp;IF(AND(Milestones!$AB$34="FT",Milestones!$AA$34=FT_Y5,EDATE($D151,Milestones!$AA$34)&lt;PolicyEff),1,Milestones!$AC$34)&amp;";  ","")&amp;IF(AND(EDATE($D151,Milestones!$AA$35)&lt;=AsOfDate,EDATE($D151,Milestones!$AA$35)&gt;=SchemeStart,IF($X151=0,$AD151,IF(AND($Z151&lt;&gt;"",EDATE($D151,Milestones!$AA$35)&gt;=$Z151),$AC151,IF(AND($Y151&lt;&gt;"",EDATE($D151,Milestones!$AA$35)&gt;=$Y151),$AB151,$AA151)))=Milestones!$AB$35),UPPER(TEXT(EDATE($D151,Milestones!$AA$35),"dd mmm yy"))&amp;" "&amp;Milestones!$AB$35&amp;" "&amp;IF(AND(Milestones!$AB$35="FT",Milestones!$AA$35=FT_Y5,EDATE($D151,Milestones!$AA$35)&lt;PolicyEff),1,Milestones!$AC$35)&amp;";  ","")&amp;IF(AND(EDATE($D151,Milestones!$AA$36)&lt;=AsOfDate,EDATE($D151,Milestones!$AA$36)&gt;=SchemeStart,IF($X151=0,$AD151,IF(AND($Z151&lt;&gt;"",EDATE($D151,Milestones!$AA$36)&gt;=$Z151),$AC151,IF(AND($Y151&lt;&gt;"",EDATE($D151,Milestones!$AA$36)&gt;=$Y151),$AB151,$AA151)))=Milestones!$AB$36),UPPER(TEXT(EDATE($D151,Milestones!$AA$36),"dd mmm yy"))&amp;" "&amp;Milestones!$AB$36&amp;" "&amp;IF(AND(Milestones!$AB$36="FT",Milestones!$AA$36=FT_Y5,EDATE($D151,Milestones!$AA$36)&lt;PolicyEff),1,Milestones!$AC$36)&amp;";  ","")&amp;IF(AND(EDATE($D151,Milestones!$AA$37)&lt;=AsOfDate,EDATE($D151,Milestones!$AA$37)&gt;=SchemeStart,IF($X151=0,$AD151,IF(AND($Z151&lt;&gt;"",EDATE($D151,Milestones!$AA$37)&gt;=$Z151),$AC151,IF(AND($Y151&lt;&gt;"",EDATE($D151,Milestones!$AA$37)&gt;=$Y151),$AB151,$AA151)))=Milestones!$AB$37),UPPER(TEXT(EDATE($D151,Milestones!$AA$37),"dd mmm yy"))&amp;" "&amp;Milestones!$AB$37&amp;" "&amp;IF(AND(Milestones!$AB$37="FT",Milestones!$AA$37=FT_Y5,EDATE($D151,Milestones!$AA$37)&lt;PolicyEff),1,Milestones!$AC$37)&amp;";  ","")&amp;IF(AND(EDATE($D151,Milestones!$AA$38)&lt;=AsOfDate,EDATE($D151,Milestones!$AA$38)&gt;=SchemeStart,IF($X151=0,$AD151,IF(AND($Z151&lt;&gt;"",EDATE($D151,Milestones!$AA$38)&gt;=$Z151),$AC151,IF(AND($Y151&lt;&gt;"",EDATE($D151,Milestones!$AA$38)&gt;=$Y151),$AB151,$AA151)))=Milestones!$AB$38),UPPER(TEXT(EDATE($D151,Milestones!$AA$38),"dd mmm yy"))&amp;" "&amp;Milestones!$AB$38&amp;" "&amp;IF(AND(Milestones!$AB$38="FT",Milestones!$AA$38=FT_Y5,EDATE($D151,Milestones!$AA$38)&lt;PolicyEff),1,Milestones!$AC$38)&amp;";  ","")&amp;IF(AND(EDATE($D151,Milestones!$AA$39)&lt;=AsOfDate,EDATE($D151,Milestones!$AA$39)&gt;=SchemeStart,IF($X151=0,$AD151,IF(AND($Z151&lt;&gt;"",EDATE($D151,Milestones!$AA$39)&gt;=$Z151),$AC151,IF(AND($Y151&lt;&gt;"",EDATE($D151,Milestones!$AA$39)&gt;=$Y151),$AB151,$AA151)))=Milestones!$AB$39),UPPER(TEXT(EDATE($D151,Milestones!$AA$39),"dd mmm yy"))&amp;" "&amp;Milestones!$AB$39&amp;" "&amp;IF(AND(Milestones!$AB$39="FT",Milestones!$AA$39=FT_Y5,EDATE($D151,Milestones!$AA$39)&lt;PolicyEff),1,Milestones!$AC$39)&amp;";  ","")&amp;IF(AND(EDATE($D151,Milestones!$AA$40)&lt;=AsOfDate,EDATE($D151,Milestones!$AA$40)&gt;=SchemeStart,IF($X151=0,$AD151,IF(AND($Z151&lt;&gt;"",EDATE($D151,Milestones!$AA$40)&gt;=$Z151),$AC151,IF(AND($Y151&lt;&gt;"",EDATE($D151,Milestones!$AA$40)&gt;=$Y151),$AB151,$AA151)))=Milestones!$AB$40),UPPER(TEXT(EDATE($D151,Milestones!$AA$40),"dd mmm yy"))&amp;" "&amp;Milestones!$AB$40&amp;" "&amp;IF(AND(Milestones!$AB$40="FT",Milestones!$AA$40=FT_Y5,EDATE($D151,Milestones!$AA$40)&lt;PolicyEff),1,Milestones!$AC$40)&amp;";  ","")&amp;IF(AND(EDATE($D151,Milestones!$AA$41)&lt;=AsOfDate,EDATE($D151,Milestones!$AA$41)&gt;=SchemeStart,IF($X151=0,$AD151,IF(AND($Z151&lt;&gt;"",EDATE($D151,Milestones!$AA$41)&gt;=$Z151),$AC151,IF(AND($Y151&lt;&gt;"",EDATE($D151,Milestones!$AA$41)&gt;=$Y151),$AB151,$AA151)))=Milestones!$AB$41),UPPER(TEXT(EDATE($D151,Milestones!$AA$41),"dd mmm yy"))&amp;" "&amp;Milestones!$AB$41&amp;" "&amp;IF(AND(Milestones!$AB$41="FT",Milestones!$AA$41=FT_Y5,EDATE($D151,Milestones!$AA$41)&lt;PolicyEff),1,Milestones!$AC$41)&amp;";  ","")&amp;IF(AND(EDATE($D151,Milestones!$AA$42)&lt;=AsOfDate,EDATE($D151,Milestones!$AA$42)&gt;=SchemeStart,IF($X151=0,$AD151,IF(AND($Z151&lt;&gt;"",EDATE($D151,Milestones!$AA$42)&gt;=$Z151),$AC151,IF(AND($Y151&lt;&gt;"",EDATE($D151,Milestones!$AA$42)&gt;=$Y151),$AB151,$AA151)))=Milestones!$AB$42),UPPER(TEXT(EDATE($D151,Milestones!$AA$42),"dd mmm yy"))&amp;" "&amp;Milestones!$AB$42&amp;" "&amp;IF(AND(Milestones!$AB$42="FT",Milestones!$AA$42=FT_Y5,EDATE($D151,Milestones!$AA$42)&lt;PolicyEff),1,Milestones!$AC$42)&amp;";  ","")&amp;IF(AND(EDATE($D151,Milestones!$AA$43)&lt;=AsOfDate,EDATE($D151,Milestones!$AA$43)&gt;=SchemeStart,IF($X151=0,$AD151,IF(AND($Z151&lt;&gt;"",EDATE($D151,Milestones!$AA$43)&gt;=$Z151),$AC151,IF(AND($Y151&lt;&gt;"",EDATE($D151,Milestones!$AA$43)&gt;=$Y151),$AB151,$AA151)))=Milestones!$AB$43),UPPER(TEXT(EDATE($D151,Milestones!$AA$43),"dd mmm yy"))&amp;" "&amp;Milestones!$AB$43&amp;" "&amp;IF(AND(Milestones!$AB$43="FT",Milestones!$AA$43=FT_Y5,EDATE($D151,Milestones!$AA$43)&lt;PolicyEff),1,Milestones!$AC$43)&amp;";  ",""))</f>
        <v/>
      </c>
      <c r="K151" s="0" t="str">
        <f aca="false">IF(OR($A151="",$D151=""),"",IF(AND(EDATE($D151,Milestones!$AA$44)&lt;=AsOfDate,EDATE($D151,Milestones!$AA$44)&gt;=SchemeStart,IF($X151=0,$AD151,IF(AND($Z151&lt;&gt;"",EDATE($D151,Milestones!$AA$44)&gt;=$Z151),$AC151,IF(AND($Y151&lt;&gt;"",EDATE($D151,Milestones!$AA$44)&gt;=$Y151),$AB151,$AA151)))=Milestones!$AB$44),UPPER(TEXT(EDATE($D151,Milestones!$AA$44),"dd mmm yy"))&amp;" "&amp;Milestones!$AB$44&amp;" "&amp;IF(AND(Milestones!$AB$44="FT",Milestones!$AA$44=FT_Y5,EDATE($D151,Milestones!$AA$44)&lt;PolicyEff),1,Milestones!$AC$44)&amp;";  ","")&amp;IF(AND(EDATE($D151,Milestones!$AA$45)&lt;=AsOfDate,EDATE($D151,Milestones!$AA$45)&gt;=SchemeStart,IF($X151=0,$AD151,IF(AND($Z151&lt;&gt;"",EDATE($D151,Milestones!$AA$45)&gt;=$Z151),$AC151,IF(AND($Y151&lt;&gt;"",EDATE($D151,Milestones!$AA$45)&gt;=$Y151),$AB151,$AA151)))=Milestones!$AB$45),UPPER(TEXT(EDATE($D151,Milestones!$AA$45),"dd mmm yy"))&amp;" "&amp;Milestones!$AB$45&amp;" "&amp;IF(AND(Milestones!$AB$45="FT",Milestones!$AA$45=FT_Y5,EDATE($D151,Milestones!$AA$45)&lt;PolicyEff),1,Milestones!$AC$45)&amp;";  ","")&amp;IF(AND(EDATE($D151,Milestones!$AA$46)&lt;=AsOfDate,EDATE($D151,Milestones!$AA$46)&gt;=SchemeStart,IF($X151=0,$AD151,IF(AND($Z151&lt;&gt;"",EDATE($D151,Milestones!$AA$46)&gt;=$Z151),$AC151,IF(AND($Y151&lt;&gt;"",EDATE($D151,Milestones!$AA$46)&gt;=$Y151),$AB151,$AA151)))=Milestones!$AB$46),UPPER(TEXT(EDATE($D151,Milestones!$AA$46),"dd mmm yy"))&amp;" "&amp;Milestones!$AB$46&amp;" "&amp;IF(AND(Milestones!$AB$46="FT",Milestones!$AA$46=FT_Y5,EDATE($D151,Milestones!$AA$46)&lt;PolicyEff),1,Milestones!$AC$46)&amp;";  ","")&amp;IF(AND(EDATE($D151,Milestones!$AA$47)&lt;=AsOfDate,EDATE($D151,Milestones!$AA$47)&gt;=SchemeStart,IF($X151=0,$AD151,IF(AND($Z151&lt;&gt;"",EDATE($D151,Milestones!$AA$47)&gt;=$Z151),$AC151,IF(AND($Y151&lt;&gt;"",EDATE($D151,Milestones!$AA$47)&gt;=$Y151),$AB151,$AA151)))=Milestones!$AB$47),UPPER(TEXT(EDATE($D151,Milestones!$AA$47),"dd mmm yy"))&amp;" "&amp;Milestones!$AB$47&amp;" "&amp;IF(AND(Milestones!$AB$47="FT",Milestones!$AA$47=FT_Y5,EDATE($D151,Milestones!$AA$47)&lt;PolicyEff),1,Milestones!$AC$47)&amp;";  ","")&amp;IF(AND(EDATE($D151,Milestones!$AA$48)&lt;=AsOfDate,EDATE($D151,Milestones!$AA$48)&gt;=SchemeStart,IF($X151=0,$AD151,IF(AND($Z151&lt;&gt;"",EDATE($D151,Milestones!$AA$48)&gt;=$Z151),$AC151,IF(AND($Y151&lt;&gt;"",EDATE($D151,Milestones!$AA$48)&gt;=$Y151),$AB151,$AA151)))=Milestones!$AB$48),UPPER(TEXT(EDATE($D151,Milestones!$AA$48),"dd mmm yy"))&amp;" "&amp;Milestones!$AB$48&amp;" "&amp;IF(AND(Milestones!$AB$48="FT",Milestones!$AA$48=FT_Y5,EDATE($D151,Milestones!$AA$48)&lt;PolicyEff),1,Milestones!$AC$48)&amp;";  ","")&amp;IF(AND(EDATE($D151,Milestones!$AA$49)&lt;=AsOfDate,EDATE($D151,Milestones!$AA$49)&gt;=SchemeStart,IF($X151=0,$AD151,IF(AND($Z151&lt;&gt;"",EDATE($D151,Milestones!$AA$49)&gt;=$Z151),$AC151,IF(AND($Y151&lt;&gt;"",EDATE($D151,Milestones!$AA$49)&gt;=$Y151),$AB151,$AA151)))=Milestones!$AB$49),UPPER(TEXT(EDATE($D151,Milestones!$AA$49),"dd mmm yy"))&amp;" "&amp;Milestones!$AB$49&amp;" "&amp;IF(AND(Milestones!$AB$49="FT",Milestones!$AA$49=FT_Y5,EDATE($D151,Milestones!$AA$49)&lt;PolicyEff),1,Milestones!$AC$49)&amp;";  ","")&amp;IF(AND(EDATE($D151,Milestones!$AA$50)&lt;=AsOfDate,EDATE($D151,Milestones!$AA$50)&gt;=SchemeStart,IF($X151=0,$AD151,IF(AND($Z151&lt;&gt;"",EDATE($D151,Milestones!$AA$50)&gt;=$Z151),$AC151,IF(AND($Y151&lt;&gt;"",EDATE($D151,Milestones!$AA$50)&gt;=$Y151),$AB151,$AA151)))=Milestones!$AB$50),UPPER(TEXT(EDATE($D151,Milestones!$AA$50),"dd mmm yy"))&amp;" "&amp;Milestones!$AB$50&amp;" "&amp;IF(AND(Milestones!$AB$50="FT",Milestones!$AA$50=FT_Y5,EDATE($D151,Milestones!$AA$50)&lt;PolicyEff),1,Milestones!$AC$50)&amp;";  ","")&amp;IF(AND(EDATE($D151,Milestones!$AA$51)&lt;=AsOfDate,EDATE($D151,Milestones!$AA$51)&gt;=SchemeStart,IF($X151=0,$AD151,IF(AND($Z151&lt;&gt;"",EDATE($D151,Milestones!$AA$51)&gt;=$Z151),$AC151,IF(AND($Y151&lt;&gt;"",EDATE($D151,Milestones!$AA$51)&gt;=$Y151),$AB151,$AA151)))=Milestones!$AB$51),UPPER(TEXT(EDATE($D151,Milestones!$AA$51),"dd mmm yy"))&amp;" "&amp;Milestones!$AB$51&amp;" "&amp;IF(AND(Milestones!$AB$51="FT",Milestones!$AA$51=FT_Y5,EDATE($D151,Milestones!$AA$51)&lt;PolicyEff),1,Milestones!$AC$51)&amp;";  ","")&amp;IF(AND(EDATE($D151,Milestones!$AA$52)&lt;=AsOfDate,EDATE($D151,Milestones!$AA$52)&gt;=SchemeStart,IF($X151=0,$AD151,IF(AND($Z151&lt;&gt;"",EDATE($D151,Milestones!$AA$52)&gt;=$Z151),$AC151,IF(AND($Y151&lt;&gt;"",EDATE($D151,Milestones!$AA$52)&gt;=$Y151),$AB151,$AA151)))=Milestones!$AB$52),UPPER(TEXT(EDATE($D151,Milestones!$AA$52),"dd mmm yy"))&amp;" "&amp;Milestones!$AB$52&amp;" "&amp;IF(AND(Milestones!$AB$52="FT",Milestones!$AA$52=FT_Y5,EDATE($D151,Milestones!$AA$52)&lt;PolicyEff),1,Milestones!$AC$52)&amp;";  ","")&amp;IF(AND(EDATE($D151,Milestones!$AA$53)&lt;=AsOfDate,EDATE($D151,Milestones!$AA$53)&gt;=SchemeStart,IF($X151=0,$AD151,IF(AND($Z151&lt;&gt;"",EDATE($D151,Milestones!$AA$53)&gt;=$Z151),$AC151,IF(AND($Y151&lt;&gt;"",EDATE($D151,Milestones!$AA$53)&gt;=$Y151),$AB151,$AA151)))=Milestones!$AB$53),UPPER(TEXT(EDATE($D151,Milestones!$AA$53),"dd mmm yy"))&amp;" "&amp;Milestones!$AB$53&amp;" "&amp;IF(AND(Milestones!$AB$53="FT",Milestones!$AA$53=FT_Y5,EDATE($D151,Milestones!$AA$53)&lt;PolicyEff),1,Milestones!$AC$53)&amp;";  ","")&amp;IF(AND(EDATE($D151,Milestones!$AA$54)&lt;=AsOfDate,EDATE($D151,Milestones!$AA$54)&gt;=SchemeStart,IF($X151=0,$AD151,IF(AND($Z151&lt;&gt;"",EDATE($D151,Milestones!$AA$54)&gt;=$Z151),$AC151,IF(AND($Y151&lt;&gt;"",EDATE($D151,Milestones!$AA$54)&gt;=$Y151),$AB151,$AA151)))=Milestones!$AB$54),UPPER(TEXT(EDATE($D151,Milestones!$AA$54),"dd mmm yy"))&amp;" "&amp;Milestones!$AB$54&amp;" "&amp;IF(AND(Milestones!$AB$54="FT",Milestones!$AA$54=FT_Y5,EDATE($D151,Milestones!$AA$54)&lt;PolicyEff),1,Milestones!$AC$54)&amp;";  ","")&amp;IF(AND(EDATE($D151,Milestones!$AA$55)&lt;=AsOfDate,EDATE($D151,Milestones!$AA$55)&gt;=SchemeStart,IF($X151=0,$AD151,IF(AND($Z151&lt;&gt;"",EDATE($D151,Milestones!$AA$55)&gt;=$Z151),$AC151,IF(AND($Y151&lt;&gt;"",EDATE($D151,Milestones!$AA$55)&gt;=$Y151),$AB151,$AA151)))=Milestones!$AB$55),UPPER(TEXT(EDATE($D151,Milestones!$AA$55),"dd mmm yy"))&amp;" "&amp;Milestones!$AB$55&amp;" "&amp;IF(AND(Milestones!$AB$55="FT",Milestones!$AA$55=FT_Y5,EDATE($D151,Milestones!$AA$55)&lt;PolicyEff),1,Milestones!$AC$55)&amp;";  ",""))</f>
        <v/>
      </c>
      <c r="L151" s="0" t="str">
        <f aca="false">IF(OR($A151="",$D151=""),"",IF(AND(EDATE($D151,Milestones!$AA$56)&lt;=AsOfDate,EDATE($D151,Milestones!$AA$56)&gt;=SchemeStart,IF($X151=0,$AD151,IF(AND($Z151&lt;&gt;"",EDATE($D151,Milestones!$AA$56)&gt;=$Z151),$AC151,IF(AND($Y151&lt;&gt;"",EDATE($D151,Milestones!$AA$56)&gt;=$Y151),$AB151,$AA151)))=Milestones!$AB$56),UPPER(TEXT(EDATE($D151,Milestones!$AA$56),"dd mmm yy"))&amp;" "&amp;Milestones!$AB$56&amp;" "&amp;IF(AND(Milestones!$AB$56="FT",Milestones!$AA$56=FT_Y5,EDATE($D151,Milestones!$AA$56)&lt;PolicyEff),1,Milestones!$AC$56)&amp;";  ","")&amp;IF(AND(EDATE($D151,Milestones!$AA$57)&lt;=AsOfDate,EDATE($D151,Milestones!$AA$57)&gt;=SchemeStart,IF($X151=0,$AD151,IF(AND($Z151&lt;&gt;"",EDATE($D151,Milestones!$AA$57)&gt;=$Z151),$AC151,IF(AND($Y151&lt;&gt;"",EDATE($D151,Milestones!$AA$57)&gt;=$Y151),$AB151,$AA151)))=Milestones!$AB$57),UPPER(TEXT(EDATE($D151,Milestones!$AA$57),"dd mmm yy"))&amp;" "&amp;Milestones!$AB$57&amp;" "&amp;IF(AND(Milestones!$AB$57="FT",Milestones!$AA$57=FT_Y5,EDATE($D151,Milestones!$AA$57)&lt;PolicyEff),1,Milestones!$AC$57)&amp;";  ","")&amp;IF(AND(EDATE($D151,Milestones!$AA$58)&lt;=AsOfDate,EDATE($D151,Milestones!$AA$58)&gt;=SchemeStart,IF($X151=0,$AD151,IF(AND($Z151&lt;&gt;"",EDATE($D151,Milestones!$AA$58)&gt;=$Z151),$AC151,IF(AND($Y151&lt;&gt;"",EDATE($D151,Milestones!$AA$58)&gt;=$Y151),$AB151,$AA151)))=Milestones!$AB$58),UPPER(TEXT(EDATE($D151,Milestones!$AA$58),"dd mmm yy"))&amp;" "&amp;Milestones!$AB$58&amp;" "&amp;IF(AND(Milestones!$AB$58="FT",Milestones!$AA$58=FT_Y5,EDATE($D151,Milestones!$AA$58)&lt;PolicyEff),1,Milestones!$AC$58)&amp;";  ","")&amp;IF(AND(EDATE($D151,Milestones!$AA$59)&lt;=AsOfDate,EDATE($D151,Milestones!$AA$59)&gt;=SchemeStart,IF($X151=0,$AD151,IF(AND($Z151&lt;&gt;"",EDATE($D151,Milestones!$AA$59)&gt;=$Z151),$AC151,IF(AND($Y151&lt;&gt;"",EDATE($D151,Milestones!$AA$59)&gt;=$Y151),$AB151,$AA151)))=Milestones!$AB$59),UPPER(TEXT(EDATE($D151,Milestones!$AA$59),"dd mmm yy"))&amp;" "&amp;Milestones!$AB$59&amp;" "&amp;IF(AND(Milestones!$AB$59="FT",Milestones!$AA$59=FT_Y5,EDATE($D151,Milestones!$AA$59)&lt;PolicyEff),1,Milestones!$AC$59)&amp;";  ","")&amp;IF(AND(EDATE($D151,Milestones!$AA$60)&lt;=AsOfDate,EDATE($D151,Milestones!$AA$60)&gt;=SchemeStart,IF($X151=0,$AD151,IF(AND($Z151&lt;&gt;"",EDATE($D151,Milestones!$AA$60)&gt;=$Z151),$AC151,IF(AND($Y151&lt;&gt;"",EDATE($D151,Milestones!$AA$60)&gt;=$Y151),$AB151,$AA151)))=Milestones!$AB$60),UPPER(TEXT(EDATE($D151,Milestones!$AA$60),"dd mmm yy"))&amp;" "&amp;Milestones!$AB$60&amp;" "&amp;IF(AND(Milestones!$AB$60="FT",Milestones!$AA$60=FT_Y5,EDATE($D151,Milestones!$AA$60)&lt;PolicyEff),1,Milestones!$AC$60)&amp;";  ","")&amp;IF(AND(EDATE($D151,Milestones!$AA$61)&lt;=AsOfDate,EDATE($D151,Milestones!$AA$61)&gt;=SchemeStart,IF($X151=0,$AD151,IF(AND($Z151&lt;&gt;"",EDATE($D151,Milestones!$AA$61)&gt;=$Z151),$AC151,IF(AND($Y151&lt;&gt;"",EDATE($D151,Milestones!$AA$61)&gt;=$Y151),$AB151,$AA151)))=Milestones!$AB$61),UPPER(TEXT(EDATE($D151,Milestones!$AA$61),"dd mmm yy"))&amp;" "&amp;Milestones!$AB$61&amp;" "&amp;IF(AND(Milestones!$AB$61="FT",Milestones!$AA$61=FT_Y5,EDATE($D151,Milestones!$AA$61)&lt;PolicyEff),1,Milestones!$AC$61)&amp;";  ","")&amp;IF(AND(EDATE($D151,Milestones!$AA$62)&lt;=AsOfDate,EDATE($D151,Milestones!$AA$62)&gt;=SchemeStart,IF($X151=0,$AD151,IF(AND($Z151&lt;&gt;"",EDATE($D151,Milestones!$AA$62)&gt;=$Z151),$AC151,IF(AND($Y151&lt;&gt;"",EDATE($D151,Milestones!$AA$62)&gt;=$Y151),$AB151,$AA151)))=Milestones!$AB$62),UPPER(TEXT(EDATE($D151,Milestones!$AA$62),"dd mmm yy"))&amp;" "&amp;Milestones!$AB$62&amp;" "&amp;IF(AND(Milestones!$AB$62="FT",Milestones!$AA$62=FT_Y5,EDATE($D151,Milestones!$AA$62)&lt;PolicyEff),1,Milestones!$AC$62)&amp;";  ","")&amp;IF(AND(EDATE($D151,Milestones!$AA$63)&lt;=AsOfDate,EDATE($D151,Milestones!$AA$63)&gt;=SchemeStart,IF($X151=0,$AD151,IF(AND($Z151&lt;&gt;"",EDATE($D151,Milestones!$AA$63)&gt;=$Z151),$AC151,IF(AND($Y151&lt;&gt;"",EDATE($D151,Milestones!$AA$63)&gt;=$Y151),$AB151,$AA151)))=Milestones!$AB$63),UPPER(TEXT(EDATE($D151,Milestones!$AA$63),"dd mmm yy"))&amp;" "&amp;Milestones!$AB$63&amp;" "&amp;IF(AND(Milestones!$AB$63="FT",Milestones!$AA$63=FT_Y5,EDATE($D151,Milestones!$AA$63)&lt;PolicyEff),1,Milestones!$AC$63)&amp;";  ","")&amp;IF(AND(EDATE($D151,Milestones!$AA$64)&lt;=AsOfDate,EDATE($D151,Milestones!$AA$64)&gt;=SchemeStart,IF($X151=0,$AD151,IF(AND($Z151&lt;&gt;"",EDATE($D151,Milestones!$AA$64)&gt;=$Z151),$AC151,IF(AND($Y151&lt;&gt;"",EDATE($D151,Milestones!$AA$64)&gt;=$Y151),$AB151,$AA151)))=Milestones!$AB$64),UPPER(TEXT(EDATE($D151,Milestones!$AA$64),"dd mmm yy"))&amp;" "&amp;Milestones!$AB$64&amp;" "&amp;IF(AND(Milestones!$AB$64="FT",Milestones!$AA$64=FT_Y5,EDATE($D151,Milestones!$AA$64)&lt;PolicyEff),1,Milestones!$AC$64)&amp;";  ","")&amp;IF(AND(EDATE($D151,Milestones!$AA$65)&lt;=AsOfDate,EDATE($D151,Milestones!$AA$65)&gt;=SchemeStart,IF($X151=0,$AD151,IF(AND($Z151&lt;&gt;"",EDATE($D151,Milestones!$AA$65)&gt;=$Z151),$AC151,IF(AND($Y151&lt;&gt;"",EDATE($D151,Milestones!$AA$65)&gt;=$Y151),$AB151,$AA151)))=Milestones!$AB$65),UPPER(TEXT(EDATE($D151,Milestones!$AA$65),"dd mmm yy"))&amp;" "&amp;Milestones!$AB$65&amp;" "&amp;IF(AND(Milestones!$AB$65="FT",Milestones!$AA$65=FT_Y5,EDATE($D151,Milestones!$AA$65)&lt;PolicyEff),1,Milestones!$AC$65)&amp;";  ","")&amp;IF(AND(EDATE($D151,Milestones!$AA$66)&lt;=AsOfDate,EDATE($D151,Milestones!$AA$66)&gt;=SchemeStart,IF($X151=0,$AD151,IF(AND($Z151&lt;&gt;"",EDATE($D151,Milestones!$AA$66)&gt;=$Z151),$AC151,IF(AND($Y151&lt;&gt;"",EDATE($D151,Milestones!$AA$66)&gt;=$Y151),$AB151,$AA151)))=Milestones!$AB$66),UPPER(TEXT(EDATE($D151,Milestones!$AA$66),"dd mmm yy"))&amp;" "&amp;Milestones!$AB$66&amp;" "&amp;IF(AND(Milestones!$AB$66="FT",Milestones!$AA$66=FT_Y5,EDATE($D151,Milestones!$AA$66)&lt;PolicyEff),1,Milestones!$AC$66)&amp;";  ","")&amp;IF(AND(EDATE($D151,Milestones!$AA$67)&lt;=AsOfDate,EDATE($D151,Milestones!$AA$67)&gt;=SchemeStart,IF($X151=0,$AD151,IF(AND($Z151&lt;&gt;"",EDATE($D151,Milestones!$AA$67)&gt;=$Z151),$AC151,IF(AND($Y151&lt;&gt;"",EDATE($D151,Milestones!$AA$67)&gt;=$Y151),$AB151,$AA151)))=Milestones!$AB$67),UPPER(TEXT(EDATE($D151,Milestones!$AA$67),"dd mmm yy"))&amp;" "&amp;Milestones!$AB$67&amp;" "&amp;IF(AND(Milestones!$AB$67="FT",Milestones!$AA$67=FT_Y5,EDATE($D151,Milestones!$AA$67)&lt;PolicyEff),1,Milestones!$AC$67)&amp;";  ",""))</f>
        <v/>
      </c>
      <c r="M151" s="0" t="str">
        <f aca="false">IF(OR($A151="",$D151=""),"",IF(AND(EDATE($D151,Milestones!$AA$68)&lt;=AsOfDate,EDATE($D151,Milestones!$AA$68)&gt;=SchemeStart,IF($X151=0,$AD151,IF(AND($Z151&lt;&gt;"",EDATE($D151,Milestones!$AA$68)&gt;=$Z151),$AC151,IF(AND($Y151&lt;&gt;"",EDATE($D151,Milestones!$AA$68)&gt;=$Y151),$AB151,$AA151)))=Milestones!$AB$68),UPPER(TEXT(EDATE($D151,Milestones!$AA$68),"dd mmm yy"))&amp;" "&amp;Milestones!$AB$68&amp;" "&amp;IF(AND(Milestones!$AB$68="FT",Milestones!$AA$68=FT_Y5,EDATE($D151,Milestones!$AA$68)&lt;PolicyEff),1,Milestones!$AC$68)&amp;";  ","")&amp;IF(AND(EDATE($D151,Milestones!$AA$69)&lt;=AsOfDate,EDATE($D151,Milestones!$AA$69)&gt;=SchemeStart,IF($X151=0,$AD151,IF(AND($Z151&lt;&gt;"",EDATE($D151,Milestones!$AA$69)&gt;=$Z151),$AC151,IF(AND($Y151&lt;&gt;"",EDATE($D151,Milestones!$AA$69)&gt;=$Y151),$AB151,$AA151)))=Milestones!$AB$69),UPPER(TEXT(EDATE($D151,Milestones!$AA$69),"dd mmm yy"))&amp;" "&amp;Milestones!$AB$69&amp;" "&amp;IF(AND(Milestones!$AB$69="FT",Milestones!$AA$69=FT_Y5,EDATE($D151,Milestones!$AA$69)&lt;PolicyEff),1,Milestones!$AC$69)&amp;";  ","")&amp;IF(AND(EDATE($D151,Milestones!$AA$70)&lt;=AsOfDate,EDATE($D151,Milestones!$AA$70)&gt;=SchemeStart,IF($X151=0,$AD151,IF(AND($Z151&lt;&gt;"",EDATE($D151,Milestones!$AA$70)&gt;=$Z151),$AC151,IF(AND($Y151&lt;&gt;"",EDATE($D151,Milestones!$AA$70)&gt;=$Y151),$AB151,$AA151)))=Milestones!$AB$70),UPPER(TEXT(EDATE($D151,Milestones!$AA$70),"dd mmm yy"))&amp;" "&amp;Milestones!$AB$70&amp;" "&amp;IF(AND(Milestones!$AB$70="FT",Milestones!$AA$70=FT_Y5,EDATE($D151,Milestones!$AA$70)&lt;PolicyEff),1,Milestones!$AC$70)&amp;";  ","")&amp;IF(AND(EDATE($D151,Milestones!$AA$71)&lt;=AsOfDate,EDATE($D151,Milestones!$AA$71)&gt;=SchemeStart,IF($X151=0,$AD151,IF(AND($Z151&lt;&gt;"",EDATE($D151,Milestones!$AA$71)&gt;=$Z151),$AC151,IF(AND($Y151&lt;&gt;"",EDATE($D151,Milestones!$AA$71)&gt;=$Y151),$AB151,$AA151)))=Milestones!$AB$71),UPPER(TEXT(EDATE($D151,Milestones!$AA$71),"dd mmm yy"))&amp;" "&amp;Milestones!$AB$71&amp;" "&amp;IF(AND(Milestones!$AB$71="FT",Milestones!$AA$71=FT_Y5,EDATE($D151,Milestones!$AA$71)&lt;PolicyEff),1,Milestones!$AC$71)&amp;";  ","")&amp;IF(AND(EDATE($D151,Milestones!$AA$72)&lt;=AsOfDate,EDATE($D151,Milestones!$AA$72)&gt;=SchemeStart,IF($X151=0,$AD151,IF(AND($Z151&lt;&gt;"",EDATE($D151,Milestones!$AA$72)&gt;=$Z151),$AC151,IF(AND($Y151&lt;&gt;"",EDATE($D151,Milestones!$AA$72)&gt;=$Y151),$AB151,$AA151)))=Milestones!$AB$72),UPPER(TEXT(EDATE($D151,Milestones!$AA$72),"dd mmm yy"))&amp;" "&amp;Milestones!$AB$72&amp;" "&amp;IF(AND(Milestones!$AB$72="FT",Milestones!$AA$72=FT_Y5,EDATE($D151,Milestones!$AA$72)&lt;PolicyEff),1,Milestones!$AC$72)&amp;";  ","")&amp;IF(AND(EDATE($D151,Milestones!$AA$73)&lt;=AsOfDate,EDATE($D151,Milestones!$AA$73)&gt;=SchemeStart,IF($X151=0,$AD151,IF(AND($Z151&lt;&gt;"",EDATE($D151,Milestones!$AA$73)&gt;=$Z151),$AC151,IF(AND($Y151&lt;&gt;"",EDATE($D151,Milestones!$AA$73)&gt;=$Y151),$AB151,$AA151)))=Milestones!$AB$73),UPPER(TEXT(EDATE($D151,Milestones!$AA$73),"dd mmm yy"))&amp;" "&amp;Milestones!$AB$73&amp;" "&amp;IF(AND(Milestones!$AB$73="FT",Milestones!$AA$73=FT_Y5,EDATE($D151,Milestones!$AA$73)&lt;PolicyEff),1,Milestones!$AC$73)&amp;";  ","")&amp;IF(AND(EDATE($D151,Milestones!$AA$74)&lt;=AsOfDate,EDATE($D151,Milestones!$AA$74)&gt;=SchemeStart,IF($X151=0,$AD151,IF(AND($Z151&lt;&gt;"",EDATE($D151,Milestones!$AA$74)&gt;=$Z151),$AC151,IF(AND($Y151&lt;&gt;"",EDATE($D151,Milestones!$AA$74)&gt;=$Y151),$AB151,$AA151)))=Milestones!$AB$74),UPPER(TEXT(EDATE($D151,Milestones!$AA$74),"dd mmm yy"))&amp;" "&amp;Milestones!$AB$74&amp;" "&amp;IF(AND(Milestones!$AB$74="FT",Milestones!$AA$74=FT_Y5,EDATE($D151,Milestones!$AA$74)&lt;PolicyEff),1,Milestones!$AC$74)&amp;";  ","")&amp;IF(AND(EDATE($D151,Milestones!$AA$75)&lt;=AsOfDate,EDATE($D151,Milestones!$AA$75)&gt;=SchemeStart,IF($X151=0,$AD151,IF(AND($Z151&lt;&gt;"",EDATE($D151,Milestones!$AA$75)&gt;=$Z151),$AC151,IF(AND($Y151&lt;&gt;"",EDATE($D151,Milestones!$AA$75)&gt;=$Y151),$AB151,$AA151)))=Milestones!$AB$75),UPPER(TEXT(EDATE($D151,Milestones!$AA$75),"dd mmm yy"))&amp;" "&amp;Milestones!$AB$75&amp;" "&amp;IF(AND(Milestones!$AB$75="FT",Milestones!$AA$75=FT_Y5,EDATE($D151,Milestones!$AA$75)&lt;PolicyEff),1,Milestones!$AC$75)&amp;";  ","")&amp;IF(AND(EDATE($D151,Milestones!$AA$76)&lt;=AsOfDate,EDATE($D151,Milestones!$AA$76)&gt;=SchemeStart,IF($X151=0,$AD151,IF(AND($Z151&lt;&gt;"",EDATE($D151,Milestones!$AA$76)&gt;=$Z151),$AC151,IF(AND($Y151&lt;&gt;"",EDATE($D151,Milestones!$AA$76)&gt;=$Y151),$AB151,$AA151)))=Milestones!$AB$76),UPPER(TEXT(EDATE($D151,Milestones!$AA$76),"dd mmm yy"))&amp;" "&amp;Milestones!$AB$76&amp;" "&amp;IF(AND(Milestones!$AB$76="FT",Milestones!$AA$76=FT_Y5,EDATE($D151,Milestones!$AA$76)&lt;PolicyEff),1,Milestones!$AC$76)&amp;";  ","")&amp;IF(AND(EDATE($D151,Milestones!$AA$77)&lt;=AsOfDate,EDATE($D151,Milestones!$AA$77)&gt;=SchemeStart,IF($X151=0,$AD151,IF(AND($Z151&lt;&gt;"",EDATE($D151,Milestones!$AA$77)&gt;=$Z151),$AC151,IF(AND($Y151&lt;&gt;"",EDATE($D151,Milestones!$AA$77)&gt;=$Y151),$AB151,$AA151)))=Milestones!$AB$77),UPPER(TEXT(EDATE($D151,Milestones!$AA$77),"dd mmm yy"))&amp;" "&amp;Milestones!$AB$77&amp;" "&amp;IF(AND(Milestones!$AB$77="FT",Milestones!$AA$77=FT_Y5,EDATE($D151,Milestones!$AA$77)&lt;PolicyEff),1,Milestones!$AC$77)&amp;";  ","")&amp;IF(AND(EDATE($D151,Milestones!$AA$78)&lt;=AsOfDate,EDATE($D151,Milestones!$AA$78)&gt;=SchemeStart,IF($X151=0,$AD151,IF(AND($Z151&lt;&gt;"",EDATE($D151,Milestones!$AA$78)&gt;=$Z151),$AC151,IF(AND($Y151&lt;&gt;"",EDATE($D151,Milestones!$AA$78)&gt;=$Y151),$AB151,$AA151)))=Milestones!$AB$78),UPPER(TEXT(EDATE($D151,Milestones!$AA$78),"dd mmm yy"))&amp;" "&amp;Milestones!$AB$78&amp;" "&amp;IF(AND(Milestones!$AB$78="FT",Milestones!$AA$78=FT_Y5,EDATE($D151,Milestones!$AA$78)&lt;PolicyEff),1,Milestones!$AC$78)&amp;";  ","")&amp;IF(AND(EDATE($D151,Milestones!$AA$79)&lt;=AsOfDate,EDATE($D151,Milestones!$AA$79)&gt;=SchemeStart,IF($X151=0,$AD151,IF(AND($Z151&lt;&gt;"",EDATE($D151,Milestones!$AA$79)&gt;=$Z151),$AC151,IF(AND($Y151&lt;&gt;"",EDATE($D151,Milestones!$AA$79)&gt;=$Y151),$AB151,$AA151)))=Milestones!$AB$79),UPPER(TEXT(EDATE($D151,Milestones!$AA$79),"dd mmm yy"))&amp;" "&amp;Milestones!$AB$79&amp;" "&amp;IF(AND(Milestones!$AB$79="FT",Milestones!$AA$79=FT_Y5,EDATE($D151,Milestones!$AA$79)&lt;PolicyEff),1,Milestones!$AC$79)&amp;";  ",""))</f>
        <v/>
      </c>
      <c r="N151" s="0" t="str">
        <f aca="false">IF(OR($A151="",$D151=""),"",IF(AND(EDATE($D151,Milestones!$AA$80)&lt;=AsOfDate,EDATE($D151,Milestones!$AA$80)&gt;=SchemeStart,IF($X151=0,$AD151,IF(AND($Z151&lt;&gt;"",EDATE($D151,Milestones!$AA$80)&gt;=$Z151),$AC151,IF(AND($Y151&lt;&gt;"",EDATE($D151,Milestones!$AA$80)&gt;=$Y151),$AB151,$AA151)))=Milestones!$AB$80),UPPER(TEXT(EDATE($D151,Milestones!$AA$80),"dd mmm yy"))&amp;" "&amp;Milestones!$AB$80&amp;" "&amp;IF(AND(Milestones!$AB$80="FT",Milestones!$AA$80=FT_Y5,EDATE($D151,Milestones!$AA$80)&lt;PolicyEff),1,Milestones!$AC$80)&amp;";  ","")&amp;IF(AND(EDATE($D151,Milestones!$AA$81)&lt;=AsOfDate,EDATE($D151,Milestones!$AA$81)&gt;=SchemeStart,IF($X151=0,$AD151,IF(AND($Z151&lt;&gt;"",EDATE($D151,Milestones!$AA$81)&gt;=$Z151),$AC151,IF(AND($Y151&lt;&gt;"",EDATE($D151,Milestones!$AA$81)&gt;=$Y151),$AB151,$AA151)))=Milestones!$AB$81),UPPER(TEXT(EDATE($D151,Milestones!$AA$81),"dd mmm yy"))&amp;" "&amp;Milestones!$AB$81&amp;" "&amp;IF(AND(Milestones!$AB$81="FT",Milestones!$AA$81=FT_Y5,EDATE($D151,Milestones!$AA$81)&lt;PolicyEff),1,Milestones!$AC$81)&amp;";  ","")&amp;IF(AND(EDATE($D151,Milestones!$AA$82)&lt;=AsOfDate,EDATE($D151,Milestones!$AA$82)&gt;=SchemeStart,IF($X151=0,$AD151,IF(AND($Z151&lt;&gt;"",EDATE($D151,Milestones!$AA$82)&gt;=$Z151),$AC151,IF(AND($Y151&lt;&gt;"",EDATE($D151,Milestones!$AA$82)&gt;=$Y151),$AB151,$AA151)))=Milestones!$AB$82),UPPER(TEXT(EDATE($D151,Milestones!$AA$82),"dd mmm yy"))&amp;" "&amp;Milestones!$AB$82&amp;" "&amp;IF(AND(Milestones!$AB$82="FT",Milestones!$AA$82=FT_Y5,EDATE($D151,Milestones!$AA$82)&lt;PolicyEff),1,Milestones!$AC$82)&amp;";  ","")&amp;IF(AND(EDATE($D151,Milestones!$AA$83)&lt;=AsOfDate,EDATE($D151,Milestones!$AA$83)&gt;=SchemeStart,IF($X151=0,$AD151,IF(AND($Z151&lt;&gt;"",EDATE($D151,Milestones!$AA$83)&gt;=$Z151),$AC151,IF(AND($Y151&lt;&gt;"",EDATE($D151,Milestones!$AA$83)&gt;=$Y151),$AB151,$AA151)))=Milestones!$AB$83),UPPER(TEXT(EDATE($D151,Milestones!$AA$83),"dd mmm yy"))&amp;" "&amp;Milestones!$AB$83&amp;" "&amp;IF(AND(Milestones!$AB$83="FT",Milestones!$AA$83=FT_Y5,EDATE($D151,Milestones!$AA$83)&lt;PolicyEff),1,Milestones!$AC$83)&amp;";  ","")&amp;IF(AND(EDATE($D151,Milestones!$AA$84)&lt;=AsOfDate,EDATE($D151,Milestones!$AA$84)&gt;=SchemeStart,IF($X151=0,$AD151,IF(AND($Z151&lt;&gt;"",EDATE($D151,Milestones!$AA$84)&gt;=$Z151),$AC151,IF(AND($Y151&lt;&gt;"",EDATE($D151,Milestones!$AA$84)&gt;=$Y151),$AB151,$AA151)))=Milestones!$AB$84),UPPER(TEXT(EDATE($D151,Milestones!$AA$84),"dd mmm yy"))&amp;" "&amp;Milestones!$AB$84&amp;" "&amp;IF(AND(Milestones!$AB$84="FT",Milestones!$AA$84=FT_Y5,EDATE($D151,Milestones!$AA$84)&lt;PolicyEff),1,Milestones!$AC$84)&amp;";  ","")&amp;IF(AND(EDATE($D151,Milestones!$AA$85)&lt;=AsOfDate,EDATE($D151,Milestones!$AA$85)&gt;=SchemeStart,IF($X151=0,$AD151,IF(AND($Z151&lt;&gt;"",EDATE($D151,Milestones!$AA$85)&gt;=$Z151),$AC151,IF(AND($Y151&lt;&gt;"",EDATE($D151,Milestones!$AA$85)&gt;=$Y151),$AB151,$AA151)))=Milestones!$AB$85),UPPER(TEXT(EDATE($D151,Milestones!$AA$85),"dd mmm yy"))&amp;" "&amp;Milestones!$AB$85&amp;" "&amp;IF(AND(Milestones!$AB$85="FT",Milestones!$AA$85=FT_Y5,EDATE($D151,Milestones!$AA$85)&lt;PolicyEff),1,Milestones!$AC$85)&amp;";  ","")&amp;IF(AND(EDATE($D151,Milestones!$AA$86)&lt;=AsOfDate,EDATE($D151,Milestones!$AA$86)&gt;=SchemeStart,IF($X151=0,$AD151,IF(AND($Z151&lt;&gt;"",EDATE($D151,Milestones!$AA$86)&gt;=$Z151),$AC151,IF(AND($Y151&lt;&gt;"",EDATE($D151,Milestones!$AA$86)&gt;=$Y151),$AB151,$AA151)))=Milestones!$AB$86),UPPER(TEXT(EDATE($D151,Milestones!$AA$86),"dd mmm yy"))&amp;" "&amp;Milestones!$AB$86&amp;" "&amp;IF(AND(Milestones!$AB$86="FT",Milestones!$AA$86=FT_Y5,EDATE($D151,Milestones!$AA$86)&lt;PolicyEff),1,Milestones!$AC$86)&amp;";  ","")&amp;IF(AND(EDATE($D151,Milestones!$AA$87)&lt;=AsOfDate,EDATE($D151,Milestones!$AA$87)&gt;=SchemeStart,IF($X151=0,$AD151,IF(AND($Z151&lt;&gt;"",EDATE($D151,Milestones!$AA$87)&gt;=$Z151),$AC151,IF(AND($Y151&lt;&gt;"",EDATE($D151,Milestones!$AA$87)&gt;=$Y151),$AB151,$AA151)))=Milestones!$AB$87),UPPER(TEXT(EDATE($D151,Milestones!$AA$87),"dd mmm yy"))&amp;" "&amp;Milestones!$AB$87&amp;" "&amp;IF(AND(Milestones!$AB$87="FT",Milestones!$AA$87=FT_Y5,EDATE($D151,Milestones!$AA$87)&lt;PolicyEff),1,Milestones!$AC$87)&amp;";  ","")&amp;IF(AND(EDATE($D151,Milestones!$AA$88)&lt;=AsOfDate,EDATE($D151,Milestones!$AA$88)&gt;=SchemeStart,IF($X151=0,$AD151,IF(AND($Z151&lt;&gt;"",EDATE($D151,Milestones!$AA$88)&gt;=$Z151),$AC151,IF(AND($Y151&lt;&gt;"",EDATE($D151,Milestones!$AA$88)&gt;=$Y151),$AB151,$AA151)))=Milestones!$AB$88),UPPER(TEXT(EDATE($D151,Milestones!$AA$88),"dd mmm yy"))&amp;" "&amp;Milestones!$AB$88&amp;" "&amp;IF(AND(Milestones!$AB$88="FT",Milestones!$AA$88=FT_Y5,EDATE($D151,Milestones!$AA$88)&lt;PolicyEff),1,Milestones!$AC$88)&amp;";  ","")&amp;IF(AND(EDATE($D151,Milestones!$AA$89)&lt;=AsOfDate,EDATE($D151,Milestones!$AA$89)&gt;=SchemeStart,IF($X151=0,$AD151,IF(AND($Z151&lt;&gt;"",EDATE($D151,Milestones!$AA$89)&gt;=$Z151),$AC151,IF(AND($Y151&lt;&gt;"",EDATE($D151,Milestones!$AA$89)&gt;=$Y151),$AB151,$AA151)))=Milestones!$AB$89),UPPER(TEXT(EDATE($D151,Milestones!$AA$89),"dd mmm yy"))&amp;" "&amp;Milestones!$AB$89&amp;" "&amp;IF(AND(Milestones!$AB$89="FT",Milestones!$AA$89=FT_Y5,EDATE($D151,Milestones!$AA$89)&lt;PolicyEff),1,Milestones!$AC$89)&amp;";  ","")&amp;IF(AND(EDATE($D151,Milestones!$AA$90)&lt;=AsOfDate,EDATE($D151,Milestones!$AA$90)&gt;=SchemeStart,IF($X151=0,$AD151,IF(AND($Z151&lt;&gt;"",EDATE($D151,Milestones!$AA$90)&gt;=$Z151),$AC151,IF(AND($Y151&lt;&gt;"",EDATE($D151,Milestones!$AA$90)&gt;=$Y151),$AB151,$AA151)))=Milestones!$AB$90),UPPER(TEXT(EDATE($D151,Milestones!$AA$90),"dd mmm yy"))&amp;" "&amp;Milestones!$AB$90&amp;" "&amp;IF(AND(Milestones!$AB$90="FT",Milestones!$AA$90=FT_Y5,EDATE($D151,Milestones!$AA$90)&lt;PolicyEff),1,Milestones!$AC$90)&amp;";  ","")&amp;IF(AND(EDATE($D151,Milestones!$AA$91)&lt;=AsOfDate,EDATE($D151,Milestones!$AA$91)&gt;=SchemeStart,IF($X151=0,$AD151,IF(AND($Z151&lt;&gt;"",EDATE($D151,Milestones!$AA$91)&gt;=$Z151),$AC151,IF(AND($Y151&lt;&gt;"",EDATE($D151,Milestones!$AA$91)&gt;=$Y151),$AB151,$AA151)))=Milestones!$AB$91),UPPER(TEXT(EDATE($D151,Milestones!$AA$91),"dd mmm yy"))&amp;" "&amp;Milestones!$AB$91&amp;" "&amp;IF(AND(Milestones!$AB$91="FT",Milestones!$AA$91=FT_Y5,EDATE($D151,Milestones!$AA$91)&lt;PolicyEff),1,Milestones!$AC$91)&amp;";  ",""))</f>
        <v/>
      </c>
      <c r="O151" s="0" t="str">
        <f aca="false">IF(OR($A151="",$D151=""),"",IF(AND(EDATE($D151,Milestones!$AA$92)&lt;=AsOfDate,EDATE($D151,Milestones!$AA$92)&gt;=SchemeStart,IF($X151=0,$AD151,IF(AND($Z151&lt;&gt;"",EDATE($D151,Milestones!$AA$92)&gt;=$Z151),$AC151,IF(AND($Y151&lt;&gt;"",EDATE($D151,Milestones!$AA$92)&gt;=$Y151),$AB151,$AA151)))=Milestones!$AB$92),UPPER(TEXT(EDATE($D151,Milestones!$AA$92),"dd mmm yy"))&amp;" "&amp;Milestones!$AB$92&amp;" "&amp;IF(AND(Milestones!$AB$92="FT",Milestones!$AA$92=FT_Y5,EDATE($D151,Milestones!$AA$92)&lt;PolicyEff),1,Milestones!$AC$92)&amp;";  ","")&amp;IF(AND(EDATE($D151,Milestones!$AA$93)&lt;=AsOfDate,EDATE($D151,Milestones!$AA$93)&gt;=SchemeStart,IF($X151=0,$AD151,IF(AND($Z151&lt;&gt;"",EDATE($D151,Milestones!$AA$93)&gt;=$Z151),$AC151,IF(AND($Y151&lt;&gt;"",EDATE($D151,Milestones!$AA$93)&gt;=$Y151),$AB151,$AA151)))=Milestones!$AB$93),UPPER(TEXT(EDATE($D151,Milestones!$AA$93),"dd mmm yy"))&amp;" "&amp;Milestones!$AB$93&amp;" "&amp;IF(AND(Milestones!$AB$93="FT",Milestones!$AA$93=FT_Y5,EDATE($D151,Milestones!$AA$93)&lt;PolicyEff),1,Milestones!$AC$93)&amp;";  ","")&amp;IF(AND(EDATE($D151,Milestones!$AA$94)&lt;=AsOfDate,EDATE($D151,Milestones!$AA$94)&gt;=SchemeStart,IF($X151=0,$AD151,IF(AND($Z151&lt;&gt;"",EDATE($D151,Milestones!$AA$94)&gt;=$Z151),$AC151,IF(AND($Y151&lt;&gt;"",EDATE($D151,Milestones!$AA$94)&gt;=$Y151),$AB151,$AA151)))=Milestones!$AB$94),UPPER(TEXT(EDATE($D151,Milestones!$AA$94),"dd mmm yy"))&amp;" "&amp;Milestones!$AB$94&amp;" "&amp;IF(AND(Milestones!$AB$94="FT",Milestones!$AA$94=FT_Y5,EDATE($D151,Milestones!$AA$94)&lt;PolicyEff),1,Milestones!$AC$94)&amp;";  ","")&amp;IF(AND(EDATE($D151,Milestones!$AA$95)&lt;=AsOfDate,EDATE($D151,Milestones!$AA$95)&gt;=SchemeStart,IF($X151=0,$AD151,IF(AND($Z151&lt;&gt;"",EDATE($D151,Milestones!$AA$95)&gt;=$Z151),$AC151,IF(AND($Y151&lt;&gt;"",EDATE($D151,Milestones!$AA$95)&gt;=$Y151),$AB151,$AA151)))=Milestones!$AB$95),UPPER(TEXT(EDATE($D151,Milestones!$AA$95),"dd mmm yy"))&amp;" "&amp;Milestones!$AB$95&amp;" "&amp;IF(AND(Milestones!$AB$95="FT",Milestones!$AA$95=FT_Y5,EDATE($D151,Milestones!$AA$95)&lt;PolicyEff),1,Milestones!$AC$95)&amp;";  ","")&amp;IF(AND(EDATE($D151,Milestones!$AA$96)&lt;=AsOfDate,EDATE($D151,Milestones!$AA$96)&gt;=SchemeStart,IF($X151=0,$AD151,IF(AND($Z151&lt;&gt;"",EDATE($D151,Milestones!$AA$96)&gt;=$Z151),$AC151,IF(AND($Y151&lt;&gt;"",EDATE($D151,Milestones!$AA$96)&gt;=$Y151),$AB151,$AA151)))=Milestones!$AB$96),UPPER(TEXT(EDATE($D151,Milestones!$AA$96),"dd mmm yy"))&amp;" "&amp;Milestones!$AB$96&amp;" "&amp;IF(AND(Milestones!$AB$96="FT",Milestones!$AA$96=FT_Y5,EDATE($D151,Milestones!$AA$96)&lt;PolicyEff),1,Milestones!$AC$96)&amp;";  ","")&amp;IF(AND(EDATE($D151,Milestones!$AA$97)&lt;=AsOfDate,EDATE($D151,Milestones!$AA$97)&gt;=SchemeStart,IF($X151=0,$AD151,IF(AND($Z151&lt;&gt;"",EDATE($D151,Milestones!$AA$97)&gt;=$Z151),$AC151,IF(AND($Y151&lt;&gt;"",EDATE($D151,Milestones!$AA$97)&gt;=$Y151),$AB151,$AA151)))=Milestones!$AB$97),UPPER(TEXT(EDATE($D151,Milestones!$AA$97),"dd mmm yy"))&amp;" "&amp;Milestones!$AB$97&amp;" "&amp;IF(AND(Milestones!$AB$97="FT",Milestones!$AA$97=FT_Y5,EDATE($D151,Milestones!$AA$97)&lt;PolicyEff),1,Milestones!$AC$97)&amp;";  ","")&amp;IF(AND(EDATE($D151,Milestones!$AA$98)&lt;=AsOfDate,EDATE($D151,Milestones!$AA$98)&gt;=SchemeStart,IF($X151=0,$AD151,IF(AND($Z151&lt;&gt;"",EDATE($D151,Milestones!$AA$98)&gt;=$Z151),$AC151,IF(AND($Y151&lt;&gt;"",EDATE($D151,Milestones!$AA$98)&gt;=$Y151),$AB151,$AA151)))=Milestones!$AB$98),UPPER(TEXT(EDATE($D151,Milestones!$AA$98),"dd mmm yy"))&amp;" "&amp;Milestones!$AB$98&amp;" "&amp;IF(AND(Milestones!$AB$98="FT",Milestones!$AA$98=FT_Y5,EDATE($D151,Milestones!$AA$98)&lt;PolicyEff),1,Milestones!$AC$98)&amp;";  ","")&amp;IF(AND(EDATE($D151,Milestones!$AA$99)&lt;=AsOfDate,EDATE($D151,Milestones!$AA$99)&gt;=SchemeStart,IF($X151=0,$AD151,IF(AND($Z151&lt;&gt;"",EDATE($D151,Milestones!$AA$99)&gt;=$Z151),$AC151,IF(AND($Y151&lt;&gt;"",EDATE($D151,Milestones!$AA$99)&gt;=$Y151),$AB151,$AA151)))=Milestones!$AB$99),UPPER(TEXT(EDATE($D151,Milestones!$AA$99),"dd mmm yy"))&amp;" "&amp;Milestones!$AB$99&amp;" "&amp;IF(AND(Milestones!$AB$99="FT",Milestones!$AA$99=FT_Y5,EDATE($D151,Milestones!$AA$99)&lt;PolicyEff),1,Milestones!$AC$99)&amp;";  ","")&amp;IF(AND(EDATE($D151,Milestones!$AA$100)&lt;=AsOfDate,EDATE($D151,Milestones!$AA$100)&gt;=SchemeStart,IF($X151=0,$AD151,IF(AND($Z151&lt;&gt;"",EDATE($D151,Milestones!$AA$100)&gt;=$Z151),$AC151,IF(AND($Y151&lt;&gt;"",EDATE($D151,Milestones!$AA$100)&gt;=$Y151),$AB151,$AA151)))=Milestones!$AB$100),UPPER(TEXT(EDATE($D151,Milestones!$AA$100),"dd mmm yy"))&amp;" "&amp;Milestones!$AB$100&amp;" "&amp;IF(AND(Milestones!$AB$100="FT",Milestones!$AA$100=FT_Y5,EDATE($D151,Milestones!$AA$100)&lt;PolicyEff),1,Milestones!$AC$100)&amp;";  ","")&amp;IF(AND(EDATE($D151,Milestones!$AA$101)&lt;=AsOfDate,EDATE($D151,Milestones!$AA$101)&gt;=SchemeStart,IF($X151=0,$AD151,IF(AND($Z151&lt;&gt;"",EDATE($D151,Milestones!$AA$101)&gt;=$Z151),$AC151,IF(AND($Y151&lt;&gt;"",EDATE($D151,Milestones!$AA$101)&gt;=$Y151),$AB151,$AA151)))=Milestones!$AB$101),UPPER(TEXT(EDATE($D151,Milestones!$AA$101),"dd mmm yy"))&amp;" "&amp;Milestones!$AB$101&amp;" "&amp;IF(AND(Milestones!$AB$101="FT",Milestones!$AA$101=FT_Y5,EDATE($D151,Milestones!$AA$101)&lt;PolicyEff),1,Milestones!$AC$101)&amp;";  ","")&amp;IF(AND(EDATE($D151,Milestones!$AA$102)&lt;=AsOfDate,EDATE($D151,Milestones!$AA$102)&gt;=SchemeStart,IF($X151=0,$AD151,IF(AND($Z151&lt;&gt;"",EDATE($D151,Milestones!$AA$102)&gt;=$Z151),$AC151,IF(AND($Y151&lt;&gt;"",EDATE($D151,Milestones!$AA$102)&gt;=$Y151),$AB151,$AA151)))=Milestones!$AB$102),UPPER(TEXT(EDATE($D151,Milestones!$AA$102),"dd mmm yy"))&amp;" "&amp;Milestones!$AB$102&amp;" "&amp;IF(AND(Milestones!$AB$102="FT",Milestones!$AA$102=FT_Y5,EDATE($D151,Milestones!$AA$102)&lt;PolicyEff),1,Milestones!$AC$102)&amp;";  ","")&amp;IF(AND(EDATE($D151,Milestones!$AA$103)&lt;=AsOfDate,EDATE($D151,Milestones!$AA$103)&gt;=SchemeStart,IF($X151=0,$AD151,IF(AND($Z151&lt;&gt;"",EDATE($D151,Milestones!$AA$103)&gt;=$Z151),$AC151,IF(AND($Y151&lt;&gt;"",EDATE($D151,Milestones!$AA$103)&gt;=$Y151),$AB151,$AA151)))=Milestones!$AB$103),UPPER(TEXT(EDATE($D151,Milestones!$AA$103),"dd mmm yy"))&amp;" "&amp;Milestones!$AB$103&amp;" "&amp;IF(AND(Milestones!$AB$103="FT",Milestones!$AA$103=FT_Y5,EDATE($D151,Milestones!$AA$103)&lt;PolicyEff),1,Milestones!$AC$103)&amp;";  ",""))</f>
        <v/>
      </c>
      <c r="P151" s="0" t="str">
        <f aca="false">IF(OR($A151="",$D151=""),"",IF(AND(EDATE($D151,Milestones!$AA$104)&lt;=AsOfDate,EDATE($D151,Milestones!$AA$104)&gt;=SchemeStart,IF($X151=0,$AD151,IF(AND($Z151&lt;&gt;"",EDATE($D151,Milestones!$AA$104)&gt;=$Z151),$AC151,IF(AND($Y151&lt;&gt;"",EDATE($D151,Milestones!$AA$104)&gt;=$Y151),$AB151,$AA151)))=Milestones!$AB$104),UPPER(TEXT(EDATE($D151,Milestones!$AA$104),"dd mmm yy"))&amp;" "&amp;Milestones!$AB$104&amp;" "&amp;IF(AND(Milestones!$AB$104="FT",Milestones!$AA$104=FT_Y5,EDATE($D151,Milestones!$AA$104)&lt;PolicyEff),1,Milestones!$AC$104)&amp;";  ","")&amp;IF(AND(EDATE($D151,Milestones!$AA$105)&lt;=AsOfDate,EDATE($D151,Milestones!$AA$105)&gt;=SchemeStart,IF($X151=0,$AD151,IF(AND($Z151&lt;&gt;"",EDATE($D151,Milestones!$AA$105)&gt;=$Z151),$AC151,IF(AND($Y151&lt;&gt;"",EDATE($D151,Milestones!$AA$105)&gt;=$Y151),$AB151,$AA151)))=Milestones!$AB$105),UPPER(TEXT(EDATE($D151,Milestones!$AA$105),"dd mmm yy"))&amp;" "&amp;Milestones!$AB$105&amp;" "&amp;IF(AND(Milestones!$AB$105="FT",Milestones!$AA$105=FT_Y5,EDATE($D151,Milestones!$AA$105)&lt;PolicyEff),1,Milestones!$AC$105)&amp;";  ","")&amp;IF(AND(EDATE($D151,Milestones!$AA$106)&lt;=AsOfDate,EDATE($D151,Milestones!$AA$106)&gt;=SchemeStart,IF($X151=0,$AD151,IF(AND($Z151&lt;&gt;"",EDATE($D151,Milestones!$AA$106)&gt;=$Z151),$AC151,IF(AND($Y151&lt;&gt;"",EDATE($D151,Milestones!$AA$106)&gt;=$Y151),$AB151,$AA151)))=Milestones!$AB$106),UPPER(TEXT(EDATE($D151,Milestones!$AA$106),"dd mmm yy"))&amp;" "&amp;Milestones!$AB$106&amp;" "&amp;IF(AND(Milestones!$AB$106="FT",Milestones!$AA$106=FT_Y5,EDATE($D151,Milestones!$AA$106)&lt;PolicyEff),1,Milestones!$AC$106)&amp;";  ","")&amp;IF(AND(EDATE($D151,Milestones!$AA$107)&lt;=AsOfDate,EDATE($D151,Milestones!$AA$107)&gt;=SchemeStart,IF($X151=0,$AD151,IF(AND($Z151&lt;&gt;"",EDATE($D151,Milestones!$AA$107)&gt;=$Z151),$AC151,IF(AND($Y151&lt;&gt;"",EDATE($D151,Milestones!$AA$107)&gt;=$Y151),$AB151,$AA151)))=Milestones!$AB$107),UPPER(TEXT(EDATE($D151,Milestones!$AA$107),"dd mmm yy"))&amp;" "&amp;Milestones!$AB$107&amp;" "&amp;IF(AND(Milestones!$AB$107="FT",Milestones!$AA$107=FT_Y5,EDATE($D151,Milestones!$AA$107)&lt;PolicyEff),1,Milestones!$AC$107)&amp;";  ","")&amp;IF(AND(EDATE($D151,Milestones!$AA$108)&lt;=AsOfDate,EDATE($D151,Milestones!$AA$108)&gt;=SchemeStart,IF($X151=0,$AD151,IF(AND($Z151&lt;&gt;"",EDATE($D151,Milestones!$AA$108)&gt;=$Z151),$AC151,IF(AND($Y151&lt;&gt;"",EDATE($D151,Milestones!$AA$108)&gt;=$Y151),$AB151,$AA151)))=Milestones!$AB$108),UPPER(TEXT(EDATE($D151,Milestones!$AA$108),"dd mmm yy"))&amp;" "&amp;Milestones!$AB$108&amp;" "&amp;IF(AND(Milestones!$AB$108="FT",Milestones!$AA$108=FT_Y5,EDATE($D151,Milestones!$AA$108)&lt;PolicyEff),1,Milestones!$AC$108)&amp;";  ","")&amp;IF(AND(EDATE($D151,Milestones!$AA$109)&lt;=AsOfDate,EDATE($D151,Milestones!$AA$109)&gt;=SchemeStart,IF($X151=0,$AD151,IF(AND($Z151&lt;&gt;"",EDATE($D151,Milestones!$AA$109)&gt;=$Z151),$AC151,IF(AND($Y151&lt;&gt;"",EDATE($D151,Milestones!$AA$109)&gt;=$Y151),$AB151,$AA151)))=Milestones!$AB$109),UPPER(TEXT(EDATE($D151,Milestones!$AA$109),"dd mmm yy"))&amp;" "&amp;Milestones!$AB$109&amp;" "&amp;IF(AND(Milestones!$AB$109="FT",Milestones!$AA$109=FT_Y5,EDATE($D151,Milestones!$AA$109)&lt;PolicyEff),1,Milestones!$AC$109)&amp;";  ","")&amp;IF(AND(EDATE($D151,Milestones!$AA$110)&lt;=AsOfDate,EDATE($D151,Milestones!$AA$110)&gt;=SchemeStart,IF($X151=0,$AD151,IF(AND($Z151&lt;&gt;"",EDATE($D151,Milestones!$AA$110)&gt;=$Z151),$AC151,IF(AND($Y151&lt;&gt;"",EDATE($D151,Milestones!$AA$110)&gt;=$Y151),$AB151,$AA151)))=Milestones!$AB$110),UPPER(TEXT(EDATE($D151,Milestones!$AA$110),"dd mmm yy"))&amp;" "&amp;Milestones!$AB$110&amp;" "&amp;IF(AND(Milestones!$AB$110="FT",Milestones!$AA$110=FT_Y5,EDATE($D151,Milestones!$AA$110)&lt;PolicyEff),1,Milestones!$AC$110)&amp;";  ","")&amp;IF(AND(EDATE($D151,Milestones!$AA$111)&lt;=AsOfDate,EDATE($D151,Milestones!$AA$111)&gt;=SchemeStart,IF($X151=0,$AD151,IF(AND($Z151&lt;&gt;"",EDATE($D151,Milestones!$AA$111)&gt;=$Z151),$AC151,IF(AND($Y151&lt;&gt;"",EDATE($D151,Milestones!$AA$111)&gt;=$Y151),$AB151,$AA151)))=Milestones!$AB$111),UPPER(TEXT(EDATE($D151,Milestones!$AA$111),"dd mmm yy"))&amp;" "&amp;Milestones!$AB$111&amp;" "&amp;IF(AND(Milestones!$AB$111="FT",Milestones!$AA$111=FT_Y5,EDATE($D151,Milestones!$AA$111)&lt;PolicyEff),1,Milestones!$AC$111)&amp;";  ","")&amp;IF(AND(EDATE($D151,Milestones!$AA$112)&lt;=AsOfDate,EDATE($D151,Milestones!$AA$112)&gt;=SchemeStart,IF($X151=0,$AD151,IF(AND($Z151&lt;&gt;"",EDATE($D151,Milestones!$AA$112)&gt;=$Z151),$AC151,IF(AND($Y151&lt;&gt;"",EDATE($D151,Milestones!$AA$112)&gt;=$Y151),$AB151,$AA151)))=Milestones!$AB$112),UPPER(TEXT(EDATE($D151,Milestones!$AA$112),"dd mmm yy"))&amp;" "&amp;Milestones!$AB$112&amp;" "&amp;IF(AND(Milestones!$AB$112="FT",Milestones!$AA$112=FT_Y5,EDATE($D151,Milestones!$AA$112)&lt;PolicyEff),1,Milestones!$AC$112)&amp;";  ","")&amp;IF(AND(EDATE($D151,Milestones!$AA$113)&lt;=AsOfDate,EDATE($D151,Milestones!$AA$113)&gt;=SchemeStart,IF($X151=0,$AD151,IF(AND($Z151&lt;&gt;"",EDATE($D151,Milestones!$AA$113)&gt;=$Z151),$AC151,IF(AND($Y151&lt;&gt;"",EDATE($D151,Milestones!$AA$113)&gt;=$Y151),$AB151,$AA151)))=Milestones!$AB$113),UPPER(TEXT(EDATE($D151,Milestones!$AA$113),"dd mmm yy"))&amp;" "&amp;Milestones!$AB$113&amp;" "&amp;IF(AND(Milestones!$AB$113="FT",Milestones!$AA$113=FT_Y5,EDATE($D151,Milestones!$AA$113)&lt;PolicyEff),1,Milestones!$AC$113)&amp;";  ","")&amp;IF(AND(EDATE($D151,Milestones!$AA$114)&lt;=AsOfDate,EDATE($D151,Milestones!$AA$114)&gt;=SchemeStart,IF($X151=0,$AD151,IF(AND($Z151&lt;&gt;"",EDATE($D151,Milestones!$AA$114)&gt;=$Z151),$AC151,IF(AND($Y151&lt;&gt;"",EDATE($D151,Milestones!$AA$114)&gt;=$Y151),$AB151,$AA151)))=Milestones!$AB$114),UPPER(TEXT(EDATE($D151,Milestones!$AA$114),"dd mmm yy"))&amp;" "&amp;Milestones!$AB$114&amp;" "&amp;IF(AND(Milestones!$AB$114="FT",Milestones!$AA$114=FT_Y5,EDATE($D151,Milestones!$AA$114)&lt;PolicyEff),1,Milestones!$AC$114)&amp;";  ","")&amp;IF(AND(EDATE($D151,Milestones!$AA$115)&lt;=AsOfDate,EDATE($D151,Milestones!$AA$115)&gt;=SchemeStart,IF($X151=0,$AD151,IF(AND($Z151&lt;&gt;"",EDATE($D151,Milestones!$AA$115)&gt;=$Z151),$AC151,IF(AND($Y151&lt;&gt;"",EDATE($D151,Milestones!$AA$115)&gt;=$Y151),$AB151,$AA151)))=Milestones!$AB$115),UPPER(TEXT(EDATE($D151,Milestones!$AA$115),"dd mmm yy"))&amp;" "&amp;Milestones!$AB$115&amp;" "&amp;IF(AND(Milestones!$AB$115="FT",Milestones!$AA$115=FT_Y5,EDATE($D151,Milestones!$AA$115)&lt;PolicyEff),1,Milestones!$AC$115)&amp;";  ",""))</f>
        <v/>
      </c>
      <c r="Q151" s="0" t="str">
        <f aca="false">IF(OR($A151="",$D151=""),"",IF(AND(EDATE($D151,Milestones!$AA$116)&lt;=AsOfDate,EDATE($D151,Milestones!$AA$116)&gt;=SchemeStart,IF($X151=0,$AD151,IF(AND($Z151&lt;&gt;"",EDATE($D151,Milestones!$AA$116)&gt;=$Z151),$AC151,IF(AND($Y151&lt;&gt;"",EDATE($D151,Milestones!$AA$116)&gt;=$Y151),$AB151,$AA151)))=Milestones!$AB$116),UPPER(TEXT(EDATE($D151,Milestones!$AA$116),"dd mmm yy"))&amp;" "&amp;Milestones!$AB$116&amp;" "&amp;IF(AND(Milestones!$AB$116="FT",Milestones!$AA$116=FT_Y5,EDATE($D151,Milestones!$AA$116)&lt;PolicyEff),1,Milestones!$AC$116)&amp;";  ","")&amp;IF(AND(EDATE($D151,Milestones!$AA$117)&lt;=AsOfDate,EDATE($D151,Milestones!$AA$117)&gt;=SchemeStart,IF($X151=0,$AD151,IF(AND($Z151&lt;&gt;"",EDATE($D151,Milestones!$AA$117)&gt;=$Z151),$AC151,IF(AND($Y151&lt;&gt;"",EDATE($D151,Milestones!$AA$117)&gt;=$Y151),$AB151,$AA151)))=Milestones!$AB$117),UPPER(TEXT(EDATE($D151,Milestones!$AA$117),"dd mmm yy"))&amp;" "&amp;Milestones!$AB$117&amp;" "&amp;IF(AND(Milestones!$AB$117="FT",Milestones!$AA$117=FT_Y5,EDATE($D151,Milestones!$AA$117)&lt;PolicyEff),1,Milestones!$AC$117)&amp;";  ","")&amp;IF(AND(EDATE($D151,Milestones!$AA$118)&lt;=AsOfDate,EDATE($D151,Milestones!$AA$118)&gt;=SchemeStart,IF($X151=0,$AD151,IF(AND($Z151&lt;&gt;"",EDATE($D151,Milestones!$AA$118)&gt;=$Z151),$AC151,IF(AND($Y151&lt;&gt;"",EDATE($D151,Milestones!$AA$118)&gt;=$Y151),$AB151,$AA151)))=Milestones!$AB$118),UPPER(TEXT(EDATE($D151,Milestones!$AA$118),"dd mmm yy"))&amp;" "&amp;Milestones!$AB$118&amp;" "&amp;IF(AND(Milestones!$AB$118="FT",Milestones!$AA$118=FT_Y5,EDATE($D151,Milestones!$AA$118)&lt;PolicyEff),1,Milestones!$AC$118)&amp;";  ","")&amp;IF(AND(EDATE($D151,Milestones!$AA$119)&lt;=AsOfDate,EDATE($D151,Milestones!$AA$119)&gt;=SchemeStart,IF($X151=0,$AD151,IF(AND($Z151&lt;&gt;"",EDATE($D151,Milestones!$AA$119)&gt;=$Z151),$AC151,IF(AND($Y151&lt;&gt;"",EDATE($D151,Milestones!$AA$119)&gt;=$Y151),$AB151,$AA151)))=Milestones!$AB$119),UPPER(TEXT(EDATE($D151,Milestones!$AA$119),"dd mmm yy"))&amp;" "&amp;Milestones!$AB$119&amp;" "&amp;IF(AND(Milestones!$AB$119="FT",Milestones!$AA$119=FT_Y5,EDATE($D151,Milestones!$AA$119)&lt;PolicyEff),1,Milestones!$AC$119)&amp;";  ","")&amp;IF(AND(EDATE($D151,Milestones!$AA$120)&lt;=AsOfDate,EDATE($D151,Milestones!$AA$120)&gt;=SchemeStart,IF($X151=0,$AD151,IF(AND($Z151&lt;&gt;"",EDATE($D151,Milestones!$AA$120)&gt;=$Z151),$AC151,IF(AND($Y151&lt;&gt;"",EDATE($D151,Milestones!$AA$120)&gt;=$Y151),$AB151,$AA151)))=Milestones!$AB$120),UPPER(TEXT(EDATE($D151,Milestones!$AA$120),"dd mmm yy"))&amp;" "&amp;Milestones!$AB$120&amp;" "&amp;IF(AND(Milestones!$AB$120="FT",Milestones!$AA$120=FT_Y5,EDATE($D151,Milestones!$AA$120)&lt;PolicyEff),1,Milestones!$AC$120)&amp;";  ","")&amp;IF(AND(EDATE($D151,Milestones!$AA$121)&lt;=AsOfDate,EDATE($D151,Milestones!$AA$121)&gt;=SchemeStart,IF($X151=0,$AD151,IF(AND($Z151&lt;&gt;"",EDATE($D151,Milestones!$AA$121)&gt;=$Z151),$AC151,IF(AND($Y151&lt;&gt;"",EDATE($D151,Milestones!$AA$121)&gt;=$Y151),$AB151,$AA151)))=Milestones!$AB$121),UPPER(TEXT(EDATE($D151,Milestones!$AA$121),"dd mmm yy"))&amp;" "&amp;Milestones!$AB$121&amp;" "&amp;IF(AND(Milestones!$AB$121="FT",Milestones!$AA$121=FT_Y5,EDATE($D151,Milestones!$AA$121)&lt;PolicyEff),1,Milestones!$AC$121)&amp;";  ","")&amp;IF(AND(EDATE($D151,Milestones!$AA$122)&lt;=AsOfDate,EDATE($D151,Milestones!$AA$122)&gt;=SchemeStart,IF($X151=0,$AD151,IF(AND($Z151&lt;&gt;"",EDATE($D151,Milestones!$AA$122)&gt;=$Z151),$AC151,IF(AND($Y151&lt;&gt;"",EDATE($D151,Milestones!$AA$122)&gt;=$Y151),$AB151,$AA151)))=Milestones!$AB$122),UPPER(TEXT(EDATE($D151,Milestones!$AA$122),"dd mmm yy"))&amp;" "&amp;Milestones!$AB$122&amp;" "&amp;IF(AND(Milestones!$AB$122="FT",Milestones!$AA$122=FT_Y5,EDATE($D151,Milestones!$AA$122)&lt;PolicyEff),1,Milestones!$AC$122)&amp;";  ","")&amp;IF(AND(EDATE($D151,Milestones!$AA$123)&lt;=AsOfDate,EDATE($D151,Milestones!$AA$123)&gt;=SchemeStart,IF($X151=0,$AD151,IF(AND($Z151&lt;&gt;"",EDATE($D151,Milestones!$AA$123)&gt;=$Z151),$AC151,IF(AND($Y151&lt;&gt;"",EDATE($D151,Milestones!$AA$123)&gt;=$Y151),$AB151,$AA151)))=Milestones!$AB$123),UPPER(TEXT(EDATE($D151,Milestones!$AA$123),"dd mmm yy"))&amp;" "&amp;Milestones!$AB$123&amp;" "&amp;IF(AND(Milestones!$AB$123="FT",Milestones!$AA$123=FT_Y5,EDATE($D151,Milestones!$AA$123)&lt;PolicyEff),1,Milestones!$AC$123)&amp;";  ","")&amp;IF(AND(EDATE($D151,Milestones!$AA$124)&lt;=AsOfDate,EDATE($D151,Milestones!$AA$124)&gt;=SchemeStart,IF($X151=0,$AD151,IF(AND($Z151&lt;&gt;"",EDATE($D151,Milestones!$AA$124)&gt;=$Z151),$AC151,IF(AND($Y151&lt;&gt;"",EDATE($D151,Milestones!$AA$124)&gt;=$Y151),$AB151,$AA151)))=Milestones!$AB$124),UPPER(TEXT(EDATE($D151,Milestones!$AA$124),"dd mmm yy"))&amp;" "&amp;Milestones!$AB$124&amp;" "&amp;IF(AND(Milestones!$AB$124="FT",Milestones!$AA$124=FT_Y5,EDATE($D151,Milestones!$AA$124)&lt;PolicyEff),1,Milestones!$AC$124)&amp;";  ","")&amp;IF(AND(EDATE($D151,Milestones!$AA$125)&lt;=AsOfDate,EDATE($D151,Milestones!$AA$125)&gt;=SchemeStart,IF($X151=0,$AD151,IF(AND($Z151&lt;&gt;"",EDATE($D151,Milestones!$AA$125)&gt;=$Z151),$AC151,IF(AND($Y151&lt;&gt;"",EDATE($D151,Milestones!$AA$125)&gt;=$Y151),$AB151,$AA151)))=Milestones!$AB$125),UPPER(TEXT(EDATE($D151,Milestones!$AA$125),"dd mmm yy"))&amp;" "&amp;Milestones!$AB$125&amp;" "&amp;IF(AND(Milestones!$AB$125="FT",Milestones!$AA$125=FT_Y5,EDATE($D151,Milestones!$AA$125)&lt;PolicyEff),1,Milestones!$AC$125)&amp;";  ","")&amp;IF(AND(EDATE($D151,Milestones!$AA$126)&lt;=AsOfDate,EDATE($D151,Milestones!$AA$126)&gt;=SchemeStart,IF($X151=0,$AD151,IF(AND($Z151&lt;&gt;"",EDATE($D151,Milestones!$AA$126)&gt;=$Z151),$AC151,IF(AND($Y151&lt;&gt;"",EDATE($D151,Milestones!$AA$126)&gt;=$Y151),$AB151,$AA151)))=Milestones!$AB$126),UPPER(TEXT(EDATE($D151,Milestones!$AA$126),"dd mmm yy"))&amp;" "&amp;Milestones!$AB$126&amp;" "&amp;IF(AND(Milestones!$AB$126="FT",Milestones!$AA$126=FT_Y5,EDATE($D151,Milestones!$AA$126)&lt;PolicyEff),1,Milestones!$AC$126)&amp;";  ","")&amp;IF(AND(EDATE($D151,Milestones!$AA$127)&lt;=AsOfDate,EDATE($D151,Milestones!$AA$127)&gt;=SchemeStart,IF($X151=0,$AD151,IF(AND($Z151&lt;&gt;"",EDATE($D151,Milestones!$AA$127)&gt;=$Z151),$AC151,IF(AND($Y151&lt;&gt;"",EDATE($D151,Milestones!$AA$127)&gt;=$Y151),$AB151,$AA151)))=Milestones!$AB$127),UPPER(TEXT(EDATE($D151,Milestones!$AA$127),"dd mmm yy"))&amp;" "&amp;Milestones!$AB$127&amp;" "&amp;IF(AND(Milestones!$AB$127="FT",Milestones!$AA$127=FT_Y5,EDATE($D151,Milestones!$AA$127)&lt;PolicyEff),1,Milestones!$AC$127)&amp;";  ",""))</f>
        <v/>
      </c>
      <c r="R151" s="0" t="str">
        <f aca="false">IF(OR($A151="",$D151=""),"",IF(AND(EDATE($D151,Milestones!$AA$128)&lt;=AsOfDate,EDATE($D151,Milestones!$AA$128)&gt;=SchemeStart,IF($X151=0,$AD151,IF(AND($Z151&lt;&gt;"",EDATE($D151,Milestones!$AA$128)&gt;=$Z151),$AC151,IF(AND($Y151&lt;&gt;"",EDATE($D151,Milestones!$AA$128)&gt;=$Y151),$AB151,$AA151)))=Milestones!$AB$128),UPPER(TEXT(EDATE($D151,Milestones!$AA$128),"dd mmm yy"))&amp;" "&amp;Milestones!$AB$128&amp;" "&amp;IF(AND(Milestones!$AB$128="FT",Milestones!$AA$128=FT_Y5,EDATE($D151,Milestones!$AA$128)&lt;PolicyEff),1,Milestones!$AC$128)&amp;";  ","")&amp;IF(AND(EDATE($D151,Milestones!$AA$129)&lt;=AsOfDate,EDATE($D151,Milestones!$AA$129)&gt;=SchemeStart,IF($X151=0,$AD151,IF(AND($Z151&lt;&gt;"",EDATE($D151,Milestones!$AA$129)&gt;=$Z151),$AC151,IF(AND($Y151&lt;&gt;"",EDATE($D151,Milestones!$AA$129)&gt;=$Y151),$AB151,$AA151)))=Milestones!$AB$129),UPPER(TEXT(EDATE($D151,Milestones!$AA$129),"dd mmm yy"))&amp;" "&amp;Milestones!$AB$129&amp;" "&amp;IF(AND(Milestones!$AB$129="FT",Milestones!$AA$129=FT_Y5,EDATE($D151,Milestones!$AA$129)&lt;PolicyEff),1,Milestones!$AC$129)&amp;";  ","")&amp;IF(AND(EDATE($D151,Milestones!$AA$130)&lt;=AsOfDate,EDATE($D151,Milestones!$AA$130)&gt;=SchemeStart,IF($X151=0,$AD151,IF(AND($Z151&lt;&gt;"",EDATE($D151,Milestones!$AA$130)&gt;=$Z151),$AC151,IF(AND($Y151&lt;&gt;"",EDATE($D151,Milestones!$AA$130)&gt;=$Y151),$AB151,$AA151)))=Milestones!$AB$130),UPPER(TEXT(EDATE($D151,Milestones!$AA$130),"dd mmm yy"))&amp;" "&amp;Milestones!$AB$130&amp;" "&amp;IF(AND(Milestones!$AB$130="FT",Milestones!$AA$130=FT_Y5,EDATE($D151,Milestones!$AA$130)&lt;PolicyEff),1,Milestones!$AC$130)&amp;";  ","")&amp;IF(AND(EDATE($D151,Milestones!$AA$131)&lt;=AsOfDate,EDATE($D151,Milestones!$AA$131)&gt;=SchemeStart,IF($X151=0,$AD151,IF(AND($Z151&lt;&gt;"",EDATE($D151,Milestones!$AA$131)&gt;=$Z151),$AC151,IF(AND($Y151&lt;&gt;"",EDATE($D151,Milestones!$AA$131)&gt;=$Y151),$AB151,$AA151)))=Milestones!$AB$131),UPPER(TEXT(EDATE($D151,Milestones!$AA$131),"dd mmm yy"))&amp;" "&amp;Milestones!$AB$131&amp;" "&amp;IF(AND(Milestones!$AB$131="FT",Milestones!$AA$131=FT_Y5,EDATE($D151,Milestones!$AA$131)&lt;PolicyEff),1,Milestones!$AC$131)&amp;";  ","")&amp;IF(AND(EDATE($D151,Milestones!$AA$132)&lt;=AsOfDate,EDATE($D151,Milestones!$AA$132)&gt;=SchemeStart,IF($X151=0,$AD151,IF(AND($Z151&lt;&gt;"",EDATE($D151,Milestones!$AA$132)&gt;=$Z151),$AC151,IF(AND($Y151&lt;&gt;"",EDATE($D151,Milestones!$AA$132)&gt;=$Y151),$AB151,$AA151)))=Milestones!$AB$132),UPPER(TEXT(EDATE($D151,Milestones!$AA$132),"dd mmm yy"))&amp;" "&amp;Milestones!$AB$132&amp;" "&amp;IF(AND(Milestones!$AB$132="FT",Milestones!$AA$132=FT_Y5,EDATE($D151,Milestones!$AA$132)&lt;PolicyEff),1,Milestones!$AC$132)&amp;";  ","")&amp;IF(AND(EDATE($D151,Milestones!$AA$133)&lt;=AsOfDate,EDATE($D151,Milestones!$AA$133)&gt;=SchemeStart,IF($X151=0,$AD151,IF(AND($Z151&lt;&gt;"",EDATE($D151,Milestones!$AA$133)&gt;=$Z151),$AC151,IF(AND($Y151&lt;&gt;"",EDATE($D151,Milestones!$AA$133)&gt;=$Y151),$AB151,$AA151)))=Milestones!$AB$133),UPPER(TEXT(EDATE($D151,Milestones!$AA$133),"dd mmm yy"))&amp;" "&amp;Milestones!$AB$133&amp;" "&amp;IF(AND(Milestones!$AB$133="FT",Milestones!$AA$133=FT_Y5,EDATE($D151,Milestones!$AA$133)&lt;PolicyEff),1,Milestones!$AC$133)&amp;";  ","")&amp;IF(AND(EDATE($D151,Milestones!$AA$134)&lt;=AsOfDate,EDATE($D151,Milestones!$AA$134)&gt;=SchemeStart,IF($X151=0,$AD151,IF(AND($Z151&lt;&gt;"",EDATE($D151,Milestones!$AA$134)&gt;=$Z151),$AC151,IF(AND($Y151&lt;&gt;"",EDATE($D151,Milestones!$AA$134)&gt;=$Y151),$AB151,$AA151)))=Milestones!$AB$134),UPPER(TEXT(EDATE($D151,Milestones!$AA$134),"dd mmm yy"))&amp;" "&amp;Milestones!$AB$134&amp;" "&amp;IF(AND(Milestones!$AB$134="FT",Milestones!$AA$134=FT_Y5,EDATE($D151,Milestones!$AA$134)&lt;PolicyEff),1,Milestones!$AC$134)&amp;";  ","")&amp;IF(AND(EDATE($D151,Milestones!$AA$135)&lt;=AsOfDate,EDATE($D151,Milestones!$AA$135)&gt;=SchemeStart,IF($X151=0,$AD151,IF(AND($Z151&lt;&gt;"",EDATE($D151,Milestones!$AA$135)&gt;=$Z151),$AC151,IF(AND($Y151&lt;&gt;"",EDATE($D151,Milestones!$AA$135)&gt;=$Y151),$AB151,$AA151)))=Milestones!$AB$135),UPPER(TEXT(EDATE($D151,Milestones!$AA$135),"dd mmm yy"))&amp;" "&amp;Milestones!$AB$135&amp;" "&amp;IF(AND(Milestones!$AB$135="FT",Milestones!$AA$135=FT_Y5,EDATE($D151,Milestones!$AA$135)&lt;PolicyEff),1,Milestones!$AC$135)&amp;";  ","")&amp;IF(AND(EDATE($D151,Milestones!$AA$136)&lt;=AsOfDate,EDATE($D151,Milestones!$AA$136)&gt;=SchemeStart,IF($X151=0,$AD151,IF(AND($Z151&lt;&gt;"",EDATE($D151,Milestones!$AA$136)&gt;=$Z151),$AC151,IF(AND($Y151&lt;&gt;"",EDATE($D151,Milestones!$AA$136)&gt;=$Y151),$AB151,$AA151)))=Milestones!$AB$136),UPPER(TEXT(EDATE($D151,Milestones!$AA$136),"dd mmm yy"))&amp;" "&amp;Milestones!$AB$136&amp;" "&amp;IF(AND(Milestones!$AB$136="FT",Milestones!$AA$136=FT_Y5,EDATE($D151,Milestones!$AA$136)&lt;PolicyEff),1,Milestones!$AC$136)&amp;";  ","")&amp;IF(AND(EDATE($D151,Milestones!$AA$137)&lt;=AsOfDate,EDATE($D151,Milestones!$AA$137)&gt;=SchemeStart,IF($X151=0,$AD151,IF(AND($Z151&lt;&gt;"",EDATE($D151,Milestones!$AA$137)&gt;=$Z151),$AC151,IF(AND($Y151&lt;&gt;"",EDATE($D151,Milestones!$AA$137)&gt;=$Y151),$AB151,$AA151)))=Milestones!$AB$137),UPPER(TEXT(EDATE($D151,Milestones!$AA$137),"dd mmm yy"))&amp;" "&amp;Milestones!$AB$137&amp;" "&amp;IF(AND(Milestones!$AB$137="FT",Milestones!$AA$137=FT_Y5,EDATE($D151,Milestones!$AA$137)&lt;PolicyEff),1,Milestones!$AC$137)&amp;";  ","")&amp;IF(AND(EDATE($D151,Milestones!$AA$138)&lt;=AsOfDate,EDATE($D151,Milestones!$AA$138)&gt;=SchemeStart,IF($X151=0,$AD151,IF(AND($Z151&lt;&gt;"",EDATE($D151,Milestones!$AA$138)&gt;=$Z151),$AC151,IF(AND($Y151&lt;&gt;"",EDATE($D151,Milestones!$AA$138)&gt;=$Y151),$AB151,$AA151)))=Milestones!$AB$138),UPPER(TEXT(EDATE($D151,Milestones!$AA$138),"dd mmm yy"))&amp;" "&amp;Milestones!$AB$138&amp;" "&amp;IF(AND(Milestones!$AB$138="FT",Milestones!$AA$138=FT_Y5,EDATE($D151,Milestones!$AA$138)&lt;PolicyEff),1,Milestones!$AC$138)&amp;";  ","")&amp;IF(AND(EDATE($D151,Milestones!$AA$139)&lt;=AsOfDate,EDATE($D151,Milestones!$AA$139)&gt;=SchemeStart,IF($X151=0,$AD151,IF(AND($Z151&lt;&gt;"",EDATE($D151,Milestones!$AA$139)&gt;=$Z151),$AC151,IF(AND($Y151&lt;&gt;"",EDATE($D151,Milestones!$AA$139)&gt;=$Y151),$AB151,$AA151)))=Milestones!$AB$139),UPPER(TEXT(EDATE($D151,Milestones!$AA$139),"dd mmm yy"))&amp;" "&amp;Milestones!$AB$139&amp;" "&amp;IF(AND(Milestones!$AB$139="FT",Milestones!$AA$139=FT_Y5,EDATE($D151,Milestones!$AA$139)&lt;PolicyEff),1,Milestones!$AC$139)&amp;";  ",""))</f>
        <v/>
      </c>
      <c r="S151" s="0" t="str">
        <f aca="false">IF(OR($A151="",$D151=""),"",IF(AND(EDATE($D151,Milestones!$AA$140)&lt;=AsOfDate,EDATE($D151,Milestones!$AA$140)&gt;=SchemeStart,IF($X151=0,$AD151,IF(AND($Z151&lt;&gt;"",EDATE($D151,Milestones!$AA$140)&gt;=$Z151),$AC151,IF(AND($Y151&lt;&gt;"",EDATE($D151,Milestones!$AA$140)&gt;=$Y151),$AB151,$AA151)))=Milestones!$AB$140),UPPER(TEXT(EDATE($D151,Milestones!$AA$140),"dd mmm yy"))&amp;" "&amp;Milestones!$AB$140&amp;" "&amp;IF(AND(Milestones!$AB$140="FT",Milestones!$AA$140=FT_Y5,EDATE($D151,Milestones!$AA$140)&lt;PolicyEff),1,Milestones!$AC$140)&amp;";  ","")&amp;IF(AND(EDATE($D151,Milestones!$AA$141)&lt;=AsOfDate,EDATE($D151,Milestones!$AA$141)&gt;=SchemeStart,IF($X151=0,$AD151,IF(AND($Z151&lt;&gt;"",EDATE($D151,Milestones!$AA$141)&gt;=$Z151),$AC151,IF(AND($Y151&lt;&gt;"",EDATE($D151,Milestones!$AA$141)&gt;=$Y151),$AB151,$AA151)))=Milestones!$AB$141),UPPER(TEXT(EDATE($D151,Milestones!$AA$141),"dd mmm yy"))&amp;" "&amp;Milestones!$AB$141&amp;" "&amp;IF(AND(Milestones!$AB$141="FT",Milestones!$AA$141=FT_Y5,EDATE($D151,Milestones!$AA$141)&lt;PolicyEff),1,Milestones!$AC$141)&amp;";  ","")&amp;IF(AND(EDATE($D151,Milestones!$AA$142)&lt;=AsOfDate,EDATE($D151,Milestones!$AA$142)&gt;=SchemeStart,IF($X151=0,$AD151,IF(AND($Z151&lt;&gt;"",EDATE($D151,Milestones!$AA$142)&gt;=$Z151),$AC151,IF(AND($Y151&lt;&gt;"",EDATE($D151,Milestones!$AA$142)&gt;=$Y151),$AB151,$AA151)))=Milestones!$AB$142),UPPER(TEXT(EDATE($D151,Milestones!$AA$142),"dd mmm yy"))&amp;" "&amp;Milestones!$AB$142&amp;" "&amp;IF(AND(Milestones!$AB$142="FT",Milestones!$AA$142=FT_Y5,EDATE($D151,Milestones!$AA$142)&lt;PolicyEff),1,Milestones!$AC$142)&amp;";  ","")&amp;IF(AND(EDATE($D151,Milestones!$AA$143)&lt;=AsOfDate,EDATE($D151,Milestones!$AA$143)&gt;=SchemeStart,IF($X151=0,$AD151,IF(AND($Z151&lt;&gt;"",EDATE($D151,Milestones!$AA$143)&gt;=$Z151),$AC151,IF(AND($Y151&lt;&gt;"",EDATE($D151,Milestones!$AA$143)&gt;=$Y151),$AB151,$AA151)))=Milestones!$AB$143),UPPER(TEXT(EDATE($D151,Milestones!$AA$143),"dd mmm yy"))&amp;" "&amp;Milestones!$AB$143&amp;" "&amp;IF(AND(Milestones!$AB$143="FT",Milestones!$AA$143=FT_Y5,EDATE($D151,Milestones!$AA$143)&lt;PolicyEff),1,Milestones!$AC$143)&amp;";  ","")&amp;IF(AND(EDATE($D151,Milestones!$AA$144)&lt;=AsOfDate,EDATE($D151,Milestones!$AA$144)&gt;=SchemeStart,IF($X151=0,$AD151,IF(AND($Z151&lt;&gt;"",EDATE($D151,Milestones!$AA$144)&gt;=$Z151),$AC151,IF(AND($Y151&lt;&gt;"",EDATE($D151,Milestones!$AA$144)&gt;=$Y151),$AB151,$AA151)))=Milestones!$AB$144),UPPER(TEXT(EDATE($D151,Milestones!$AA$144),"dd mmm yy"))&amp;" "&amp;Milestones!$AB$144&amp;" "&amp;IF(AND(Milestones!$AB$144="FT",Milestones!$AA$144=FT_Y5,EDATE($D151,Milestones!$AA$144)&lt;PolicyEff),1,Milestones!$AC$144)&amp;";  ","")&amp;IF(AND(EDATE($D151,Milestones!$AA$145)&lt;=AsOfDate,EDATE($D151,Milestones!$AA$145)&gt;=SchemeStart,IF($X151=0,$AD151,IF(AND($Z151&lt;&gt;"",EDATE($D151,Milestones!$AA$145)&gt;=$Z151),$AC151,IF(AND($Y151&lt;&gt;"",EDATE($D151,Milestones!$AA$145)&gt;=$Y151),$AB151,$AA151)))=Milestones!$AB$145),UPPER(TEXT(EDATE($D151,Milestones!$AA$145),"dd mmm yy"))&amp;" "&amp;Milestones!$AB$145&amp;" "&amp;IF(AND(Milestones!$AB$145="FT",Milestones!$AA$145=FT_Y5,EDATE($D151,Milestones!$AA$145)&lt;PolicyEff),1,Milestones!$AC$145)&amp;";  ","")&amp;IF(AND(EDATE($D151,Milestones!$AA$146)&lt;=AsOfDate,EDATE($D151,Milestones!$AA$146)&gt;=SchemeStart,IF($X151=0,$AD151,IF(AND($Z151&lt;&gt;"",EDATE($D151,Milestones!$AA$146)&gt;=$Z151),$AC151,IF(AND($Y151&lt;&gt;"",EDATE($D151,Milestones!$AA$146)&gt;=$Y151),$AB151,$AA151)))=Milestones!$AB$146),UPPER(TEXT(EDATE($D151,Milestones!$AA$146),"dd mmm yy"))&amp;" "&amp;Milestones!$AB$146&amp;" "&amp;IF(AND(Milestones!$AB$146="FT",Milestones!$AA$146=FT_Y5,EDATE($D151,Milestones!$AA$146)&lt;PolicyEff),1,Milestones!$AC$146)&amp;";  ","")&amp;IF(AND(EDATE($D151,Milestones!$AA$147)&lt;=AsOfDate,EDATE($D151,Milestones!$AA$147)&gt;=SchemeStart,IF($X151=0,$AD151,IF(AND($Z151&lt;&gt;"",EDATE($D151,Milestones!$AA$147)&gt;=$Z151),$AC151,IF(AND($Y151&lt;&gt;"",EDATE($D151,Milestones!$AA$147)&gt;=$Y151),$AB151,$AA151)))=Milestones!$AB$147),UPPER(TEXT(EDATE($D151,Milestones!$AA$147),"dd mmm yy"))&amp;" "&amp;Milestones!$AB$147&amp;" "&amp;IF(AND(Milestones!$AB$147="FT",Milestones!$AA$147=FT_Y5,EDATE($D151,Milestones!$AA$147)&lt;PolicyEff),1,Milestones!$AC$147)&amp;";  ","")&amp;IF(AND(EDATE($D151,Milestones!$AA$148)&lt;=AsOfDate,EDATE($D151,Milestones!$AA$148)&gt;=SchemeStart,IF($X151=0,$AD151,IF(AND($Z151&lt;&gt;"",EDATE($D151,Milestones!$AA$148)&gt;=$Z151),$AC151,IF(AND($Y151&lt;&gt;"",EDATE($D151,Milestones!$AA$148)&gt;=$Y151),$AB151,$AA151)))=Milestones!$AB$148),UPPER(TEXT(EDATE($D151,Milestones!$AA$148),"dd mmm yy"))&amp;" "&amp;Milestones!$AB$148&amp;" "&amp;IF(AND(Milestones!$AB$148="FT",Milestones!$AA$148=FT_Y5,EDATE($D151,Milestones!$AA$148)&lt;PolicyEff),1,Milestones!$AC$148)&amp;";  ","")&amp;IF(AND(EDATE($D151,Milestones!$AA$149)&lt;=AsOfDate,EDATE($D151,Milestones!$AA$149)&gt;=SchemeStart,IF($X151=0,$AD151,IF(AND($Z151&lt;&gt;"",EDATE($D151,Milestones!$AA$149)&gt;=$Z151),$AC151,IF(AND($Y151&lt;&gt;"",EDATE($D151,Milestones!$AA$149)&gt;=$Y151),$AB151,$AA151)))=Milestones!$AB$149),UPPER(TEXT(EDATE($D151,Milestones!$AA$149),"dd mmm yy"))&amp;" "&amp;Milestones!$AB$149&amp;" "&amp;IF(AND(Milestones!$AB$149="FT",Milestones!$AA$149=FT_Y5,EDATE($D151,Milestones!$AA$149)&lt;PolicyEff),1,Milestones!$AC$149)&amp;";  ","")&amp;IF(AND(EDATE($D151,Milestones!$AA$150)&lt;=AsOfDate,EDATE($D151,Milestones!$AA$150)&gt;=SchemeStart,IF($X151=0,$AD151,IF(AND($Z151&lt;&gt;"",EDATE($D151,Milestones!$AA$150)&gt;=$Z151),$AC151,IF(AND($Y151&lt;&gt;"",EDATE($D151,Milestones!$AA$150)&gt;=$Y151),$AB151,$AA151)))=Milestones!$AB$150),UPPER(TEXT(EDATE($D151,Milestones!$AA$150),"dd mmm yy"))&amp;" "&amp;Milestones!$AB$150&amp;" "&amp;IF(AND(Milestones!$AB$150="FT",Milestones!$AA$150=FT_Y5,EDATE($D151,Milestones!$AA$150)&lt;PolicyEff),1,Milestones!$AC$150)&amp;";  ","")&amp;IF(AND(EDATE($D151,Milestones!$AA$151)&lt;=AsOfDate,EDATE($D151,Milestones!$AA$151)&gt;=SchemeStart,IF($X151=0,$AD151,IF(AND($Z151&lt;&gt;"",EDATE($D151,Milestones!$AA$151)&gt;=$Z151),$AC151,IF(AND($Y151&lt;&gt;"",EDATE($D151,Milestones!$AA$151)&gt;=$Y151),$AB151,$AA151)))=Milestones!$AB$151),UPPER(TEXT(EDATE($D151,Milestones!$AA$151),"dd mmm yy"))&amp;" "&amp;Milestones!$AB$151&amp;" "&amp;IF(AND(Milestones!$AB$151="FT",Milestones!$AA$151=FT_Y5,EDATE($D151,Milestones!$AA$151)&lt;PolicyEff),1,Milestones!$AC$151)&amp;";  ",""))</f>
        <v/>
      </c>
      <c r="T151" s="0" t="str">
        <f aca="false">IF(OR($A151="",$D151=""),"",IF(AND(EDATE($D151,Milestones!$AA$152)&lt;=AsOfDate,EDATE($D151,Milestones!$AA$152)&gt;=SchemeStart,IF($X151=0,$AD151,IF(AND($Z151&lt;&gt;"",EDATE($D151,Milestones!$AA$152)&gt;=$Z151),$AC151,IF(AND($Y151&lt;&gt;"",EDATE($D151,Milestones!$AA$152)&gt;=$Y151),$AB151,$AA151)))=Milestones!$AB$152),UPPER(TEXT(EDATE($D151,Milestones!$AA$152),"dd mmm yy"))&amp;" "&amp;Milestones!$AB$152&amp;" "&amp;IF(AND(Milestones!$AB$152="FT",Milestones!$AA$152=FT_Y5,EDATE($D151,Milestones!$AA$152)&lt;PolicyEff),1,Milestones!$AC$152)&amp;";  ","")&amp;IF(AND(EDATE($D151,Milestones!$AA$153)&lt;=AsOfDate,EDATE($D151,Milestones!$AA$153)&gt;=SchemeStart,IF($X151=0,$AD151,IF(AND($Z151&lt;&gt;"",EDATE($D151,Milestones!$AA$153)&gt;=$Z151),$AC151,IF(AND($Y151&lt;&gt;"",EDATE($D151,Milestones!$AA$153)&gt;=$Y151),$AB151,$AA151)))=Milestones!$AB$153),UPPER(TEXT(EDATE($D151,Milestones!$AA$153),"dd mmm yy"))&amp;" "&amp;Milestones!$AB$153&amp;" "&amp;IF(AND(Milestones!$AB$153="FT",Milestones!$AA$153=FT_Y5,EDATE($D151,Milestones!$AA$153)&lt;PolicyEff),1,Milestones!$AC$153)&amp;";  ","")&amp;IF(AND(EDATE($D151,Milestones!$AA$154)&lt;=AsOfDate,EDATE($D151,Milestones!$AA$154)&gt;=SchemeStart,IF($X151=0,$AD151,IF(AND($Z151&lt;&gt;"",EDATE($D151,Milestones!$AA$154)&gt;=$Z151),$AC151,IF(AND($Y151&lt;&gt;"",EDATE($D151,Milestones!$AA$154)&gt;=$Y151),$AB151,$AA151)))=Milestones!$AB$154),UPPER(TEXT(EDATE($D151,Milestones!$AA$154),"dd mmm yy"))&amp;" "&amp;Milestones!$AB$154&amp;" "&amp;IF(AND(Milestones!$AB$154="FT",Milestones!$AA$154=FT_Y5,EDATE($D151,Milestones!$AA$154)&lt;PolicyEff),1,Milestones!$AC$154)&amp;";  ","")&amp;IF(AND(EDATE($D151,Milestones!$AA$155)&lt;=AsOfDate,EDATE($D151,Milestones!$AA$155)&gt;=SchemeStart,IF($X151=0,$AD151,IF(AND($Z151&lt;&gt;"",EDATE($D151,Milestones!$AA$155)&gt;=$Z151),$AC151,IF(AND($Y151&lt;&gt;"",EDATE($D151,Milestones!$AA$155)&gt;=$Y151),$AB151,$AA151)))=Milestones!$AB$155),UPPER(TEXT(EDATE($D151,Milestones!$AA$155),"dd mmm yy"))&amp;" "&amp;Milestones!$AB$155&amp;" "&amp;IF(AND(Milestones!$AB$155="FT",Milestones!$AA$155=FT_Y5,EDATE($D151,Milestones!$AA$155)&lt;PolicyEff),1,Milestones!$AC$155)&amp;";  ","")&amp;IF(AND(EDATE($D151,Milestones!$AA$156)&lt;=AsOfDate,EDATE($D151,Milestones!$AA$156)&gt;=SchemeStart,IF($X151=0,$AD151,IF(AND($Z151&lt;&gt;"",EDATE($D151,Milestones!$AA$156)&gt;=$Z151),$AC151,IF(AND($Y151&lt;&gt;"",EDATE($D151,Milestones!$AA$156)&gt;=$Y151),$AB151,$AA151)))=Milestones!$AB$156),UPPER(TEXT(EDATE($D151,Milestones!$AA$156),"dd mmm yy"))&amp;" "&amp;Milestones!$AB$156&amp;" "&amp;IF(AND(Milestones!$AB$156="FT",Milestones!$AA$156=FT_Y5,EDATE($D151,Milestones!$AA$156)&lt;PolicyEff),1,Milestones!$AC$156)&amp;";  ","")&amp;IF(AND(EDATE($D151,Milestones!$AA$157)&lt;=AsOfDate,EDATE($D151,Milestones!$AA$157)&gt;=SchemeStart,IF($X151=0,$AD151,IF(AND($Z151&lt;&gt;"",EDATE($D151,Milestones!$AA$157)&gt;=$Z151),$AC151,IF(AND($Y151&lt;&gt;"",EDATE($D151,Milestones!$AA$157)&gt;=$Y151),$AB151,$AA151)))=Milestones!$AB$157),UPPER(TEXT(EDATE($D151,Milestones!$AA$157),"dd mmm yy"))&amp;" "&amp;Milestones!$AB$157&amp;" "&amp;IF(AND(Milestones!$AB$157="FT",Milestones!$AA$157=FT_Y5,EDATE($D151,Milestones!$AA$157)&lt;PolicyEff),1,Milestones!$AC$157)&amp;";  ","")&amp;IF(AND(EDATE($D151,Milestones!$AA$158)&lt;=AsOfDate,EDATE($D151,Milestones!$AA$158)&gt;=SchemeStart,IF($X151=0,$AD151,IF(AND($Z151&lt;&gt;"",EDATE($D151,Milestones!$AA$158)&gt;=$Z151),$AC151,IF(AND($Y151&lt;&gt;"",EDATE($D151,Milestones!$AA$158)&gt;=$Y151),$AB151,$AA151)))=Milestones!$AB$158),UPPER(TEXT(EDATE($D151,Milestones!$AA$158),"dd mmm yy"))&amp;" "&amp;Milestones!$AB$158&amp;" "&amp;IF(AND(Milestones!$AB$158="FT",Milestones!$AA$158=FT_Y5,EDATE($D151,Milestones!$AA$158)&lt;PolicyEff),1,Milestones!$AC$158)&amp;";  ","")&amp;IF(AND(EDATE($D151,Milestones!$AA$159)&lt;=AsOfDate,EDATE($D151,Milestones!$AA$159)&gt;=SchemeStart,IF($X151=0,$AD151,IF(AND($Z151&lt;&gt;"",EDATE($D151,Milestones!$AA$159)&gt;=$Z151),$AC151,IF(AND($Y151&lt;&gt;"",EDATE($D151,Milestones!$AA$159)&gt;=$Y151),$AB151,$AA151)))=Milestones!$AB$159),UPPER(TEXT(EDATE($D151,Milestones!$AA$159),"dd mmm yy"))&amp;" "&amp;Milestones!$AB$159&amp;" "&amp;IF(AND(Milestones!$AB$159="FT",Milestones!$AA$159=FT_Y5,EDATE($D151,Milestones!$AA$159)&lt;PolicyEff),1,Milestones!$AC$159)&amp;";  ","")&amp;IF(AND(EDATE($D151,Milestones!$AA$160)&lt;=AsOfDate,EDATE($D151,Milestones!$AA$160)&gt;=SchemeStart,IF($X151=0,$AD151,IF(AND($Z151&lt;&gt;"",EDATE($D151,Milestones!$AA$160)&gt;=$Z151),$AC151,IF(AND($Y151&lt;&gt;"",EDATE($D151,Milestones!$AA$160)&gt;=$Y151),$AB151,$AA151)))=Milestones!$AB$160),UPPER(TEXT(EDATE($D151,Milestones!$AA$160),"dd mmm yy"))&amp;" "&amp;Milestones!$AB$160&amp;" "&amp;IF(AND(Milestones!$AB$160="FT",Milestones!$AA$160=FT_Y5,EDATE($D151,Milestones!$AA$160)&lt;PolicyEff),1,Milestones!$AC$160)&amp;";  ","")&amp;IF(AND(EDATE($D151,Milestones!$AA$161)&lt;=AsOfDate,EDATE($D151,Milestones!$AA$161)&gt;=SchemeStart,IF($X151=0,$AD151,IF(AND($Z151&lt;&gt;"",EDATE($D151,Milestones!$AA$161)&gt;=$Z151),$AC151,IF(AND($Y151&lt;&gt;"",EDATE($D151,Milestones!$AA$161)&gt;=$Y151),$AB151,$AA151)))=Milestones!$AB$161),UPPER(TEXT(EDATE($D151,Milestones!$AA$161),"dd mmm yy"))&amp;" "&amp;Milestones!$AB$161&amp;" "&amp;IF(AND(Milestones!$AB$161="FT",Milestones!$AA$161=FT_Y5,EDATE($D151,Milestones!$AA$161)&lt;PolicyEff),1,Milestones!$AC$161)&amp;";  ","")&amp;IF(AND(EDATE($D151,Milestones!$AA$162)&lt;=AsOfDate,EDATE($D151,Milestones!$AA$162)&gt;=SchemeStart,IF($X151=0,$AD151,IF(AND($Z151&lt;&gt;"",EDATE($D151,Milestones!$AA$162)&gt;=$Z151),$AC151,IF(AND($Y151&lt;&gt;"",EDATE($D151,Milestones!$AA$162)&gt;=$Y151),$AB151,$AA151)))=Milestones!$AB$162),UPPER(TEXT(EDATE($D151,Milestones!$AA$162),"dd mmm yy"))&amp;" "&amp;Milestones!$AB$162&amp;" "&amp;IF(AND(Milestones!$AB$162="FT",Milestones!$AA$162=FT_Y5,EDATE($D151,Milestones!$AA$162)&lt;PolicyEff),1,Milestones!$AC$162)&amp;";  ","")&amp;IF(AND(EDATE($D151,Milestones!$AA$163)&lt;=AsOfDate,EDATE($D151,Milestones!$AA$163)&gt;=SchemeStart,IF($X151=0,$AD151,IF(AND($Z151&lt;&gt;"",EDATE($D151,Milestones!$AA$163)&gt;=$Z151),$AC151,IF(AND($Y151&lt;&gt;"",EDATE($D151,Milestones!$AA$163)&gt;=$Y151),$AB151,$AA151)))=Milestones!$AB$163),UPPER(TEXT(EDATE($D151,Milestones!$AA$163),"dd mmm yy"))&amp;" "&amp;Milestones!$AB$163&amp;" "&amp;IF(AND(Milestones!$AB$163="FT",Milestones!$AA$163=FT_Y5,EDATE($D151,Milestones!$AA$163)&lt;PolicyEff),1,Milestones!$AC$163)&amp;";  ",""))</f>
        <v/>
      </c>
      <c r="U151" s="0" t="str">
        <f aca="false">IF(OR($A151="",$D151=""),"",IF(AND(EDATE($D151,Milestones!$AA$164)&lt;=AsOfDate,EDATE($D151,Milestones!$AA$164)&gt;=SchemeStart,IF($X151=0,$AD151,IF(AND($Z151&lt;&gt;"",EDATE($D151,Milestones!$AA$164)&gt;=$Z151),$AC151,IF(AND($Y151&lt;&gt;"",EDATE($D151,Milestones!$AA$164)&gt;=$Y151),$AB151,$AA151)))=Milestones!$AB$164),UPPER(TEXT(EDATE($D151,Milestones!$AA$164),"dd mmm yy"))&amp;" "&amp;Milestones!$AB$164&amp;" "&amp;IF(AND(Milestones!$AB$164="FT",Milestones!$AA$164=FT_Y5,EDATE($D151,Milestones!$AA$164)&lt;PolicyEff),1,Milestones!$AC$164)&amp;";  ","")&amp;IF(AND(EDATE($D151,Milestones!$AA$165)&lt;=AsOfDate,EDATE($D151,Milestones!$AA$165)&gt;=SchemeStart,IF($X151=0,$AD151,IF(AND($Z151&lt;&gt;"",EDATE($D151,Milestones!$AA$165)&gt;=$Z151),$AC151,IF(AND($Y151&lt;&gt;"",EDATE($D151,Milestones!$AA$165)&gt;=$Y151),$AB151,$AA151)))=Milestones!$AB$165),UPPER(TEXT(EDATE($D151,Milestones!$AA$165),"dd mmm yy"))&amp;" "&amp;Milestones!$AB$165&amp;" "&amp;IF(AND(Milestones!$AB$165="FT",Milestones!$AA$165=FT_Y5,EDATE($D151,Milestones!$AA$165)&lt;PolicyEff),1,Milestones!$AC$165)&amp;";  ","")&amp;IF(AND(EDATE($D151,Milestones!$AA$166)&lt;=AsOfDate,EDATE($D151,Milestones!$AA$166)&gt;=SchemeStart,IF($X151=0,$AD151,IF(AND($Z151&lt;&gt;"",EDATE($D151,Milestones!$AA$166)&gt;=$Z151),$AC151,IF(AND($Y151&lt;&gt;"",EDATE($D151,Milestones!$AA$166)&gt;=$Y151),$AB151,$AA151)))=Milestones!$AB$166),UPPER(TEXT(EDATE($D151,Milestones!$AA$166),"dd mmm yy"))&amp;" "&amp;Milestones!$AB$166&amp;" "&amp;IF(AND(Milestones!$AB$166="FT",Milestones!$AA$166=FT_Y5,EDATE($D151,Milestones!$AA$166)&lt;PolicyEff),1,Milestones!$AC$166)&amp;";  ","")&amp;IF(AND(EDATE($D151,Milestones!$AA$167)&lt;=AsOfDate,EDATE($D151,Milestones!$AA$167)&gt;=SchemeStart,IF($X151=0,$AD151,IF(AND($Z151&lt;&gt;"",EDATE($D151,Milestones!$AA$167)&gt;=$Z151),$AC151,IF(AND($Y151&lt;&gt;"",EDATE($D151,Milestones!$AA$167)&gt;=$Y151),$AB151,$AA151)))=Milestones!$AB$167),UPPER(TEXT(EDATE($D151,Milestones!$AA$167),"dd mmm yy"))&amp;" "&amp;Milestones!$AB$167&amp;" "&amp;IF(AND(Milestones!$AB$167="FT",Milestones!$AA$167=FT_Y5,EDATE($D151,Milestones!$AA$167)&lt;PolicyEff),1,Milestones!$AC$167)&amp;";  ","")&amp;IF(AND(EDATE($D151,Milestones!$AA$168)&lt;=AsOfDate,EDATE($D151,Milestones!$AA$168)&gt;=SchemeStart,IF($X151=0,$AD151,IF(AND($Z151&lt;&gt;"",EDATE($D151,Milestones!$AA$168)&gt;=$Z151),$AC151,IF(AND($Y151&lt;&gt;"",EDATE($D151,Milestones!$AA$168)&gt;=$Y151),$AB151,$AA151)))=Milestones!$AB$168),UPPER(TEXT(EDATE($D151,Milestones!$AA$168),"dd mmm yy"))&amp;" "&amp;Milestones!$AB$168&amp;" "&amp;IF(AND(Milestones!$AB$168="FT",Milestones!$AA$168=FT_Y5,EDATE($D151,Milestones!$AA$168)&lt;PolicyEff),1,Milestones!$AC$168)&amp;";  ","")&amp;IF(AND(EDATE($D151,Milestones!$AA$169)&lt;=AsOfDate,EDATE($D151,Milestones!$AA$169)&gt;=SchemeStart,IF($X151=0,$AD151,IF(AND($Z151&lt;&gt;"",EDATE($D151,Milestones!$AA$169)&gt;=$Z151),$AC151,IF(AND($Y151&lt;&gt;"",EDATE($D151,Milestones!$AA$169)&gt;=$Y151),$AB151,$AA151)))=Milestones!$AB$169),UPPER(TEXT(EDATE($D151,Milestones!$AA$169),"dd mmm yy"))&amp;" "&amp;Milestones!$AB$169&amp;" "&amp;IF(AND(Milestones!$AB$169="FT",Milestones!$AA$169=FT_Y5,EDATE($D151,Milestones!$AA$169)&lt;PolicyEff),1,Milestones!$AC$169)&amp;";  ","")&amp;IF(AND(EDATE($D151,Milestones!$AA$170)&lt;=AsOfDate,EDATE($D151,Milestones!$AA$170)&gt;=SchemeStart,IF($X151=0,$AD151,IF(AND($Z151&lt;&gt;"",EDATE($D151,Milestones!$AA$170)&gt;=$Z151),$AC151,IF(AND($Y151&lt;&gt;"",EDATE($D151,Milestones!$AA$170)&gt;=$Y151),$AB151,$AA151)))=Milestones!$AB$170),UPPER(TEXT(EDATE($D151,Milestones!$AA$170),"dd mmm yy"))&amp;" "&amp;Milestones!$AB$170&amp;" "&amp;IF(AND(Milestones!$AB$170="FT",Milestones!$AA$170=FT_Y5,EDATE($D151,Milestones!$AA$170)&lt;PolicyEff),1,Milestones!$AC$170)&amp;";  ","")&amp;IF(AND(EDATE($D151,Milestones!$AA$171)&lt;=AsOfDate,EDATE($D151,Milestones!$AA$171)&gt;=SchemeStart,IF($X151=0,$AD151,IF(AND($Z151&lt;&gt;"",EDATE($D151,Milestones!$AA$171)&gt;=$Z151),$AC151,IF(AND($Y151&lt;&gt;"",EDATE($D151,Milestones!$AA$171)&gt;=$Y151),$AB151,$AA151)))=Milestones!$AB$171),UPPER(TEXT(EDATE($D151,Milestones!$AA$171),"dd mmm yy"))&amp;" "&amp;Milestones!$AB$171&amp;" "&amp;IF(AND(Milestones!$AB$171="FT",Milestones!$AA$171=FT_Y5,EDATE($D151,Milestones!$AA$171)&lt;PolicyEff),1,Milestones!$AC$171)&amp;";  ","")&amp;IF(AND(EDATE($D151,Milestones!$AA$172)&lt;=AsOfDate,EDATE($D151,Milestones!$AA$172)&gt;=SchemeStart,IF($X151=0,$AD151,IF(AND($Z151&lt;&gt;"",EDATE($D151,Milestones!$AA$172)&gt;=$Z151),$AC151,IF(AND($Y151&lt;&gt;"",EDATE($D151,Milestones!$AA$172)&gt;=$Y151),$AB151,$AA151)))=Milestones!$AB$172),UPPER(TEXT(EDATE($D151,Milestones!$AA$172),"dd mmm yy"))&amp;" "&amp;Milestones!$AB$172&amp;" "&amp;IF(AND(Milestones!$AB$172="FT",Milestones!$AA$172=FT_Y5,EDATE($D151,Milestones!$AA$172)&lt;PolicyEff),1,Milestones!$AC$172)&amp;";  ","")&amp;IF(AND(EDATE($D151,Milestones!$AA$173)&lt;=AsOfDate,EDATE($D151,Milestones!$AA$173)&gt;=SchemeStart,IF($X151=0,$AD151,IF(AND($Z151&lt;&gt;"",EDATE($D151,Milestones!$AA$173)&gt;=$Z151),$AC151,IF(AND($Y151&lt;&gt;"",EDATE($D151,Milestones!$AA$173)&gt;=$Y151),$AB151,$AA151)))=Milestones!$AB$173),UPPER(TEXT(EDATE($D151,Milestones!$AA$173),"dd mmm yy"))&amp;" "&amp;Milestones!$AB$173&amp;" "&amp;IF(AND(Milestones!$AB$173="FT",Milestones!$AA$173=FT_Y5,EDATE($D151,Milestones!$AA$173)&lt;PolicyEff),1,Milestones!$AC$173)&amp;";  ","")&amp;IF(AND(EDATE($D151,Milestones!$AA$174)&lt;=AsOfDate,EDATE($D151,Milestones!$AA$174)&gt;=SchemeStart,IF($X151=0,$AD151,IF(AND($Z151&lt;&gt;"",EDATE($D151,Milestones!$AA$174)&gt;=$Z151),$AC151,IF(AND($Y151&lt;&gt;"",EDATE($D151,Milestones!$AA$174)&gt;=$Y151),$AB151,$AA151)))=Milestones!$AB$174),UPPER(TEXT(EDATE($D151,Milestones!$AA$174),"dd mmm yy"))&amp;" "&amp;Milestones!$AB$174&amp;" "&amp;IF(AND(Milestones!$AB$174="FT",Milestones!$AA$174=FT_Y5,EDATE($D151,Milestones!$AA$174)&lt;PolicyEff),1,Milestones!$AC$174)&amp;";  ","")&amp;IF(AND(EDATE($D151,Milestones!$AA$175)&lt;=AsOfDate,EDATE($D151,Milestones!$AA$175)&gt;=SchemeStart,IF($X151=0,$AD151,IF(AND($Z151&lt;&gt;"",EDATE($D151,Milestones!$AA$175)&gt;=$Z151),$AC151,IF(AND($Y151&lt;&gt;"",EDATE($D151,Milestones!$AA$175)&gt;=$Y151),$AB151,$AA151)))=Milestones!$AB$175),UPPER(TEXT(EDATE($D151,Milestones!$AA$175),"dd mmm yy"))&amp;" "&amp;Milestones!$AB$175&amp;" "&amp;IF(AND(Milestones!$AB$175="FT",Milestones!$AA$175=FT_Y5,EDATE($D151,Milestones!$AA$175)&lt;PolicyEff),1,Milestones!$AC$175)&amp;";  ",""))</f>
        <v/>
      </c>
      <c r="V151" s="0" t="str">
        <f aca="false">IF(OR($A151="",$D151=""),"",IF(AND(EDATE($D151,Milestones!$AA$176)&lt;=AsOfDate,EDATE($D151,Milestones!$AA$176)&gt;=SchemeStart,IF($X151=0,$AD151,IF(AND($Z151&lt;&gt;"",EDATE($D151,Milestones!$AA$176)&gt;=$Z151),$AC151,IF(AND($Y151&lt;&gt;"",EDATE($D151,Milestones!$AA$176)&gt;=$Y151),$AB151,$AA151)))=Milestones!$AB$176),UPPER(TEXT(EDATE($D151,Milestones!$AA$176),"dd mmm yy"))&amp;" "&amp;Milestones!$AB$176&amp;" "&amp;IF(AND(Milestones!$AB$176="FT",Milestones!$AA$176=FT_Y5,EDATE($D151,Milestones!$AA$176)&lt;PolicyEff),1,Milestones!$AC$176)&amp;";  ","")&amp;IF(AND(EDATE($D151,Milestones!$AA$177)&lt;=AsOfDate,EDATE($D151,Milestones!$AA$177)&gt;=SchemeStart,IF($X151=0,$AD151,IF(AND($Z151&lt;&gt;"",EDATE($D151,Milestones!$AA$177)&gt;=$Z151),$AC151,IF(AND($Y151&lt;&gt;"",EDATE($D151,Milestones!$AA$177)&gt;=$Y151),$AB151,$AA151)))=Milestones!$AB$177),UPPER(TEXT(EDATE($D151,Milestones!$AA$177),"dd mmm yy"))&amp;" "&amp;Milestones!$AB$177&amp;" "&amp;IF(AND(Milestones!$AB$177="FT",Milestones!$AA$177=FT_Y5,EDATE($D151,Milestones!$AA$177)&lt;PolicyEff),1,Milestones!$AC$177)&amp;";  ","")&amp;IF(AND(EDATE($D151,Milestones!$AA$178)&lt;=AsOfDate,EDATE($D151,Milestones!$AA$178)&gt;=SchemeStart,IF($X151=0,$AD151,IF(AND($Z151&lt;&gt;"",EDATE($D151,Milestones!$AA$178)&gt;=$Z151),$AC151,IF(AND($Y151&lt;&gt;"",EDATE($D151,Milestones!$AA$178)&gt;=$Y151),$AB151,$AA151)))=Milestones!$AB$178),UPPER(TEXT(EDATE($D151,Milestones!$AA$178),"dd mmm yy"))&amp;" "&amp;Milestones!$AB$178&amp;" "&amp;IF(AND(Milestones!$AB$178="FT",Milestones!$AA$178=FT_Y5,EDATE($D151,Milestones!$AA$178)&lt;PolicyEff),1,Milestones!$AC$178)&amp;";  ","")&amp;IF(AND(EDATE($D151,Milestones!$AA$179)&lt;=AsOfDate,EDATE($D151,Milestones!$AA$179)&gt;=SchemeStart,IF($X151=0,$AD151,IF(AND($Z151&lt;&gt;"",EDATE($D151,Milestones!$AA$179)&gt;=$Z151),$AC151,IF(AND($Y151&lt;&gt;"",EDATE($D151,Milestones!$AA$179)&gt;=$Y151),$AB151,$AA151)))=Milestones!$AB$179),UPPER(TEXT(EDATE($D151,Milestones!$AA$179),"dd mmm yy"))&amp;" "&amp;Milestones!$AB$179&amp;" "&amp;IF(AND(Milestones!$AB$179="FT",Milestones!$AA$179=FT_Y5,EDATE($D151,Milestones!$AA$179)&lt;PolicyEff),1,Milestones!$AC$179)&amp;";  ","")&amp;IF(AND(EDATE($D151,Milestones!$AA$180)&lt;=AsOfDate,EDATE($D151,Milestones!$AA$180)&gt;=SchemeStart,IF($X151=0,$AD151,IF(AND($Z151&lt;&gt;"",EDATE($D151,Milestones!$AA$180)&gt;=$Z151),$AC151,IF(AND($Y151&lt;&gt;"",EDATE($D151,Milestones!$AA$180)&gt;=$Y151),$AB151,$AA151)))=Milestones!$AB$180),UPPER(TEXT(EDATE($D151,Milestones!$AA$180),"dd mmm yy"))&amp;" "&amp;Milestones!$AB$180&amp;" "&amp;IF(AND(Milestones!$AB$180="FT",Milestones!$AA$180=FT_Y5,EDATE($D151,Milestones!$AA$180)&lt;PolicyEff),1,Milestones!$AC$180)&amp;";  ","")&amp;IF(AND(EDATE($D151,Milestones!$AA$181)&lt;=AsOfDate,EDATE($D151,Milestones!$AA$181)&gt;=SchemeStart,IF($X151=0,$AD151,IF(AND($Z151&lt;&gt;"",EDATE($D151,Milestones!$AA$181)&gt;=$Z151),$AC151,IF(AND($Y151&lt;&gt;"",EDATE($D151,Milestones!$AA$181)&gt;=$Y151),$AB151,$AA151)))=Milestones!$AB$181),UPPER(TEXT(EDATE($D151,Milestones!$AA$181),"dd mmm yy"))&amp;" "&amp;Milestones!$AB$181&amp;" "&amp;IF(AND(Milestones!$AB$181="FT",Milestones!$AA$181=FT_Y5,EDATE($D151,Milestones!$AA$181)&lt;PolicyEff),1,Milestones!$AC$181)&amp;";  ","")&amp;IF(AND(EDATE($D151,Milestones!$AA$182)&lt;=AsOfDate,EDATE($D151,Milestones!$AA$182)&gt;=SchemeStart,IF($X151=0,$AD151,IF(AND($Z151&lt;&gt;"",EDATE($D151,Milestones!$AA$182)&gt;=$Z151),$AC151,IF(AND($Y151&lt;&gt;"",EDATE($D151,Milestones!$AA$182)&gt;=$Y151),$AB151,$AA151)))=Milestones!$AB$182),UPPER(TEXT(EDATE($D151,Milestones!$AA$182),"dd mmm yy"))&amp;" "&amp;Milestones!$AB$182&amp;" "&amp;IF(AND(Milestones!$AB$182="FT",Milestones!$AA$182=FT_Y5,EDATE($D151,Milestones!$AA$182)&lt;PolicyEff),1,Milestones!$AC$182)&amp;";  ","")&amp;IF(AND(EDATE($D151,Milestones!$AA$183)&lt;=AsOfDate,EDATE($D151,Milestones!$AA$183)&gt;=SchemeStart,IF($X151=0,$AD151,IF(AND($Z151&lt;&gt;"",EDATE($D151,Milestones!$AA$183)&gt;=$Z151),$AC151,IF(AND($Y151&lt;&gt;"",EDATE($D151,Milestones!$AA$183)&gt;=$Y151),$AB151,$AA151)))=Milestones!$AB$183),UPPER(TEXT(EDATE($D151,Milestones!$AA$183),"dd mmm yy"))&amp;" "&amp;Milestones!$AB$183&amp;" "&amp;IF(AND(Milestones!$AB$183="FT",Milestones!$AA$183=FT_Y5,EDATE($D151,Milestones!$AA$183)&lt;PolicyEff),1,Milestones!$AC$183)&amp;";  ","")&amp;IF(AND(EDATE($D151,Milestones!$AA$184)&lt;=AsOfDate,EDATE($D151,Milestones!$AA$184)&gt;=SchemeStart,IF($X151=0,$AD151,IF(AND($Z151&lt;&gt;"",EDATE($D151,Milestones!$AA$184)&gt;=$Z151),$AC151,IF(AND($Y151&lt;&gt;"",EDATE($D151,Milestones!$AA$184)&gt;=$Y151),$AB151,$AA151)))=Milestones!$AB$184),UPPER(TEXT(EDATE($D151,Milestones!$AA$184),"dd mmm yy"))&amp;" "&amp;Milestones!$AB$184&amp;" "&amp;IF(AND(Milestones!$AB$184="FT",Milestones!$AA$184=FT_Y5,EDATE($D151,Milestones!$AA$184)&lt;PolicyEff),1,Milestones!$AC$184)&amp;";  ","")&amp;IF(AND(EDATE($D151,Milestones!$AA$185)&lt;=AsOfDate,EDATE($D151,Milestones!$AA$185)&gt;=SchemeStart,IF($X151=0,$AD151,IF(AND($Z151&lt;&gt;"",EDATE($D151,Milestones!$AA$185)&gt;=$Z151),$AC151,IF(AND($Y151&lt;&gt;"",EDATE($D151,Milestones!$AA$185)&gt;=$Y151),$AB151,$AA151)))=Milestones!$AB$185),UPPER(TEXT(EDATE($D151,Milestones!$AA$185),"dd mmm yy"))&amp;" "&amp;Milestones!$AB$185&amp;" "&amp;IF(AND(Milestones!$AB$185="FT",Milestones!$AA$185=FT_Y5,EDATE($D151,Milestones!$AA$185)&lt;PolicyEff),1,Milestones!$AC$185)&amp;";  ","")&amp;IF(AND(EDATE($D151,Milestones!$AA$186)&lt;=AsOfDate,EDATE($D151,Milestones!$AA$186)&gt;=SchemeStart,IF($X151=0,$AD151,IF(AND($Z151&lt;&gt;"",EDATE($D151,Milestones!$AA$186)&gt;=$Z151),$AC151,IF(AND($Y151&lt;&gt;"",EDATE($D151,Milestones!$AA$186)&gt;=$Y151),$AB151,$AA151)))=Milestones!$AB$186),UPPER(TEXT(EDATE($D151,Milestones!$AA$186),"dd mmm yy"))&amp;" "&amp;Milestones!$AB$186&amp;" "&amp;IF(AND(Milestones!$AB$186="FT",Milestones!$AA$186=FT_Y5,EDATE($D151,Milestones!$AA$186)&lt;PolicyEff),1,Milestones!$AC$186)&amp;";  ","")&amp;IF(AND(EDATE($D151,Milestones!$AA$187)&lt;=AsOfDate,EDATE($D151,Milestones!$AA$187)&gt;=SchemeStart,IF($X151=0,$AD151,IF(AND($Z151&lt;&gt;"",EDATE($D151,Milestones!$AA$187)&gt;=$Z151),$AC151,IF(AND($Y151&lt;&gt;"",EDATE($D151,Milestones!$AA$187)&gt;=$Y151),$AB151,$AA151)))=Milestones!$AB$187),UPPER(TEXT(EDATE($D151,Milestones!$AA$187),"dd mmm yy"))&amp;" "&amp;Milestones!$AB$187&amp;" "&amp;IF(AND(Milestones!$AB$187="FT",Milestones!$AA$187=FT_Y5,EDATE($D151,Milestones!$AA$187)&lt;PolicyEff),1,Milestones!$AC$187)&amp;";  ",""))</f>
        <v/>
      </c>
      <c r="W151" s="0" t="str">
        <f aca="false">IF(OR($A151="",$D151=""),"",IF(AND(EDATE($D151,Milestones!$AA$188)&lt;=AsOfDate,EDATE($D151,Milestones!$AA$188)&gt;=SchemeStart,IF($X151=0,$AD151,IF(AND($Z151&lt;&gt;"",EDATE($D151,Milestones!$AA$188)&gt;=$Z151),$AC151,IF(AND($Y151&lt;&gt;"",EDATE($D151,Milestones!$AA$188)&gt;=$Y151),$AB151,$AA151)))=Milestones!$AB$188),UPPER(TEXT(EDATE($D151,Milestones!$AA$188),"dd mmm yy"))&amp;" "&amp;Milestones!$AB$188&amp;" "&amp;IF(AND(Milestones!$AB$188="FT",Milestones!$AA$188=FT_Y5,EDATE($D151,Milestones!$AA$188)&lt;PolicyEff),1,Milestones!$AC$188)&amp;";  ","")&amp;IF(AND(EDATE($D151,Milestones!$AA$189)&lt;=AsOfDate,EDATE($D151,Milestones!$AA$189)&gt;=SchemeStart,IF($X151=0,$AD151,IF(AND($Z151&lt;&gt;"",EDATE($D151,Milestones!$AA$189)&gt;=$Z151),$AC151,IF(AND($Y151&lt;&gt;"",EDATE($D151,Milestones!$AA$189)&gt;=$Y151),$AB151,$AA151)))=Milestones!$AB$189),UPPER(TEXT(EDATE($D151,Milestones!$AA$189),"dd mmm yy"))&amp;" "&amp;Milestones!$AB$189&amp;" "&amp;IF(AND(Milestones!$AB$189="FT",Milestones!$AA$189=FT_Y5,EDATE($D151,Milestones!$AA$189)&lt;PolicyEff),1,Milestones!$AC$189)&amp;";  ","")&amp;IF(AND(EDATE($D151,Milestones!$AA$190)&lt;=AsOfDate,EDATE($D151,Milestones!$AA$190)&gt;=SchemeStart,IF($X151=0,$AD151,IF(AND($Z151&lt;&gt;"",EDATE($D151,Milestones!$AA$190)&gt;=$Z151),$AC151,IF(AND($Y151&lt;&gt;"",EDATE($D151,Milestones!$AA$190)&gt;=$Y151),$AB151,$AA151)))=Milestones!$AB$190),UPPER(TEXT(EDATE($D151,Milestones!$AA$190),"dd mmm yy"))&amp;" "&amp;Milestones!$AB$190&amp;" "&amp;IF(AND(Milestones!$AB$190="FT",Milestones!$AA$190=FT_Y5,EDATE($D151,Milestones!$AA$190)&lt;PolicyEff),1,Milestones!$AC$190)&amp;";  ","")&amp;IF(AND(EDATE($D151,Milestones!$AA$191)&lt;=AsOfDate,EDATE($D151,Milestones!$AA$191)&gt;=SchemeStart,IF($X151=0,$AD151,IF(AND($Z151&lt;&gt;"",EDATE($D151,Milestones!$AA$191)&gt;=$Z151),$AC151,IF(AND($Y151&lt;&gt;"",EDATE($D151,Milestones!$AA$191)&gt;=$Y151),$AB151,$AA151)))=Milestones!$AB$191),UPPER(TEXT(EDATE($D151,Milestones!$AA$191),"dd mmm yy"))&amp;" "&amp;Milestones!$AB$191&amp;" "&amp;IF(AND(Milestones!$AB$191="FT",Milestones!$AA$191=FT_Y5,EDATE($D151,Milestones!$AA$191)&lt;PolicyEff),1,Milestones!$AC$191)&amp;";  ","")&amp;IF(AND(EDATE($D151,Milestones!$AA$192)&lt;=AsOfDate,EDATE($D151,Milestones!$AA$192)&gt;=SchemeStart,IF($X151=0,$AD151,IF(AND($Z151&lt;&gt;"",EDATE($D151,Milestones!$AA$192)&gt;=$Z151),$AC151,IF(AND($Y151&lt;&gt;"",EDATE($D151,Milestones!$AA$192)&gt;=$Y151),$AB151,$AA151)))=Milestones!$AB$192),UPPER(TEXT(EDATE($D151,Milestones!$AA$192),"dd mmm yy"))&amp;" "&amp;Milestones!$AB$192&amp;" "&amp;IF(AND(Milestones!$AB$192="FT",Milestones!$AA$192=FT_Y5,EDATE($D151,Milestones!$AA$192)&lt;PolicyEff),1,Milestones!$AC$192)&amp;";  ","")&amp;IF(AND(EDATE($D151,Milestones!$AA$193)&lt;=AsOfDate,EDATE($D151,Milestones!$AA$193)&gt;=SchemeStart,IF($X151=0,$AD151,IF(AND($Z151&lt;&gt;"",EDATE($D151,Milestones!$AA$193)&gt;=$Z151),$AC151,IF(AND($Y151&lt;&gt;"",EDATE($D151,Milestones!$AA$193)&gt;=$Y151),$AB151,$AA151)))=Milestones!$AB$193),UPPER(TEXT(EDATE($D151,Milestones!$AA$193),"dd mmm yy"))&amp;" "&amp;Milestones!$AB$193&amp;" "&amp;IF(AND(Milestones!$AB$193="FT",Milestones!$AA$193=FT_Y5,EDATE($D151,Milestones!$AA$193)&lt;PolicyEff),1,Milestones!$AC$193)&amp;";  ","")&amp;IF(AND(EDATE($D151,Milestones!$AA$194)&lt;=AsOfDate,EDATE($D151,Milestones!$AA$194)&gt;=SchemeStart,IF($X151=0,$AD151,IF(AND($Z151&lt;&gt;"",EDATE($D151,Milestones!$AA$194)&gt;=$Z151),$AC151,IF(AND($Y151&lt;&gt;"",EDATE($D151,Milestones!$AA$194)&gt;=$Y151),$AB151,$AA151)))=Milestones!$AB$194),UPPER(TEXT(EDATE($D151,Milestones!$AA$194),"dd mmm yy"))&amp;" "&amp;Milestones!$AB$194&amp;" "&amp;IF(AND(Milestones!$AB$194="FT",Milestones!$AA$194=FT_Y5,EDATE($D151,Milestones!$AA$194)&lt;PolicyEff),1,Milestones!$AC$194)&amp;";  ","")&amp;IF(AND(EDATE($D151,Milestones!$AA$195)&lt;=AsOfDate,EDATE($D151,Milestones!$AA$195)&gt;=SchemeStart,IF($X151=0,$AD151,IF(AND($Z151&lt;&gt;"",EDATE($D151,Milestones!$AA$195)&gt;=$Z151),$AC151,IF(AND($Y151&lt;&gt;"",EDATE($D151,Milestones!$AA$195)&gt;=$Y151),$AB151,$AA151)))=Milestones!$AB$195),UPPER(TEXT(EDATE($D151,Milestones!$AA$195),"dd mmm yy"))&amp;" "&amp;Milestones!$AB$195&amp;" "&amp;IF(AND(Milestones!$AB$195="FT",Milestones!$AA$195=FT_Y5,EDATE($D151,Milestones!$AA$195)&lt;PolicyEff),1,Milestones!$AC$195)&amp;";  ","")&amp;IF(AND(EDATE($D151,Milestones!$AA$196)&lt;=AsOfDate,EDATE($D151,Milestones!$AA$196)&gt;=SchemeStart,IF($X151=0,$AD151,IF(AND($Z151&lt;&gt;"",EDATE($D151,Milestones!$AA$196)&gt;=$Z151),$AC151,IF(AND($Y151&lt;&gt;"",EDATE($D151,Milestones!$AA$196)&gt;=$Y151),$AB151,$AA151)))=Milestones!$AB$196),UPPER(TEXT(EDATE($D151,Milestones!$AA$196),"dd mmm yy"))&amp;" "&amp;Milestones!$AB$196&amp;" "&amp;IF(AND(Milestones!$AB$196="FT",Milestones!$AA$196=FT_Y5,EDATE($D151,Milestones!$AA$196)&lt;PolicyEff),1,Milestones!$AC$196)&amp;";  ","")&amp;IF(AND(EDATE($D151,Milestones!$AA$197)&lt;=AsOfDate,EDATE($D151,Milestones!$AA$197)&gt;=SchemeStart,IF($X151=0,$AD151,IF(AND($Z151&lt;&gt;"",EDATE($D151,Milestones!$AA$197)&gt;=$Z151),$AC151,IF(AND($Y151&lt;&gt;"",EDATE($D151,Milestones!$AA$197)&gt;=$Y151),$AB151,$AA151)))=Milestones!$AB$197),UPPER(TEXT(EDATE($D151,Milestones!$AA$197),"dd mmm yy"))&amp;" "&amp;Milestones!$AB$197&amp;" "&amp;IF(AND(Milestones!$AB$197="FT",Milestones!$AA$197=FT_Y5,EDATE($D151,Milestones!$AA$197)&lt;PolicyEff),1,Milestones!$AC$197)&amp;";  ","")&amp;IF(AND(EDATE($D151,Milestones!$AA$198)&lt;=AsOfDate,EDATE($D151,Milestones!$AA$198)&gt;=SchemeStart,IF($X151=0,$AD151,IF(AND($Z151&lt;&gt;"",EDATE($D151,Milestones!$AA$198)&gt;=$Z151),$AC151,IF(AND($Y151&lt;&gt;"",EDATE($D151,Milestones!$AA$198)&gt;=$Y151),$AB151,$AA151)))=Milestones!$AB$198),UPPER(TEXT(EDATE($D151,Milestones!$AA$198),"dd mmm yy"))&amp;" "&amp;Milestones!$AB$198&amp;" "&amp;IF(AND(Milestones!$AB$198="FT",Milestones!$AA$198=FT_Y5,EDATE($D151,Milestones!$AA$198)&lt;PolicyEff),1,Milestones!$AC$198)&amp;";  ","")&amp;IF(AND(EDATE($D151,Milestones!$AA$199)&lt;=AsOfDate,EDATE($D151,Milestones!$AA$199)&gt;=SchemeStart,IF($X151=0,$AD151,IF(AND($Z151&lt;&gt;"",EDATE($D151,Milestones!$AA$199)&gt;=$Z151),$AC151,IF(AND($Y151&lt;&gt;"",EDATE($D151,Milestones!$AA$199)&gt;=$Y151),$AB151,$AA151)))=Milestones!$AB$199),UPPER(TEXT(EDATE($D151,Milestones!$AA$199),"dd mmm yy"))&amp;" "&amp;Milestones!$AB$199&amp;" "&amp;IF(AND(Milestones!$AB$199="FT",Milestones!$AA$199=FT_Y5,EDATE($D151,Milestones!$AA$199)&lt;PolicyEff),1,Milestones!$AC$199)&amp;";  ",""))</f>
        <v/>
      </c>
      <c r="X151" s="0" t="str">
        <f aca="false">IF(Staff!$A151="","",Staff!$AM151)</f>
        <v/>
      </c>
      <c r="Y151" s="0" t="str">
        <f aca="false">IF(Staff!$A151="","",Staff!$AO151)</f>
        <v/>
      </c>
      <c r="Z151" s="0" t="str">
        <f aca="false">IF(Staff!$A151="","",Staff!$AP151)</f>
        <v/>
      </c>
      <c r="AA151" s="0" t="str">
        <f aca="false">IF(Staff!$A151="","",Staff!$AT151)</f>
        <v/>
      </c>
      <c r="AB151" s="0" t="str">
        <f aca="false">IF(Staff!$A151="","",Staff!$AU151)</f>
        <v/>
      </c>
      <c r="AC151" s="0" t="str">
        <f aca="false">IF(Staff!$A151="","",Staff!$AV151)</f>
        <v/>
      </c>
      <c r="AD151" s="0" t="str">
        <f aca="false">IF(Staff!$A151="","",Staff!$AW151)</f>
        <v/>
      </c>
    </row>
    <row r="152" customFormat="false" ht="15" hidden="false" customHeight="false" outlineLevel="0" collapsed="false">
      <c r="A152" s="16" t="str">
        <f aca="false">IF(Staff!$A152="","",Staff!$A152)</f>
        <v/>
      </c>
      <c r="B152" s="16" t="str">
        <f aca="false">IF(Staff!$A152="","",Staff!$B152)</f>
        <v/>
      </c>
      <c r="C152" s="16" t="str">
        <f aca="false">IF(Staff!$A152="","",Staff!$C152)</f>
        <v/>
      </c>
      <c r="D152" s="14" t="str">
        <f aca="false">IF(Staff!$A152="","",Staff!$AL152)</f>
        <v/>
      </c>
      <c r="E152" s="16" t="str">
        <f aca="false">IF(Staff!$A152="","",Staff!$O152)</f>
        <v/>
      </c>
      <c r="F152" s="16" t="str">
        <f aca="false">IF(E152="","",E152*HoursPerDay)</f>
        <v/>
      </c>
      <c r="G152" s="16" t="str">
        <f aca="false">IF(Staff!$A152="","",Staff!$AE152)</f>
        <v/>
      </c>
      <c r="H152" s="28" t="str">
        <f aca="false">IF($A152="","",I152&amp;J152&amp;K152&amp;L152&amp;M152&amp;N152&amp;O152&amp;P152&amp;Q152&amp;R152&amp;S152&amp;T152&amp;U152&amp;V152&amp;W152)</f>
        <v/>
      </c>
      <c r="I152" s="0" t="str">
        <f aca="false">IF(OR($A152="",$D152=""),"",IF(AND(EDATE($D152,Milestones!$AA$20)&lt;=AsOfDate,EDATE($D152,Milestones!$AA$20)&gt;=SchemeStart,IF($X152=0,$AD152,IF(AND($Z152&lt;&gt;"",EDATE($D152,Milestones!$AA$20)&gt;=$Z152),$AC152,IF(AND($Y152&lt;&gt;"",EDATE($D152,Milestones!$AA$20)&gt;=$Y152),$AB152,$AA152)))=Milestones!$AB$20),UPPER(TEXT(EDATE($D152,Milestones!$AA$20),"dd mmm yy"))&amp;" "&amp;Milestones!$AB$20&amp;" "&amp;IF(AND(Milestones!$AB$20="FT",Milestones!$AA$20=FT_Y5,EDATE($D152,Milestones!$AA$20)&lt;PolicyEff),1,Milestones!$AC$20)&amp;";  ","")&amp;IF(AND(EDATE($D152,Milestones!$AA$21)&lt;=AsOfDate,EDATE($D152,Milestones!$AA$21)&gt;=SchemeStart,IF($X152=0,$AD152,IF(AND($Z152&lt;&gt;"",EDATE($D152,Milestones!$AA$21)&gt;=$Z152),$AC152,IF(AND($Y152&lt;&gt;"",EDATE($D152,Milestones!$AA$21)&gt;=$Y152),$AB152,$AA152)))=Milestones!$AB$21),UPPER(TEXT(EDATE($D152,Milestones!$AA$21),"dd mmm yy"))&amp;" "&amp;Milestones!$AB$21&amp;" "&amp;IF(AND(Milestones!$AB$21="FT",Milestones!$AA$21=FT_Y5,EDATE($D152,Milestones!$AA$21)&lt;PolicyEff),1,Milestones!$AC$21)&amp;";  ","")&amp;IF(AND(EDATE($D152,Milestones!$AA$22)&lt;=AsOfDate,EDATE($D152,Milestones!$AA$22)&gt;=SchemeStart,IF($X152=0,$AD152,IF(AND($Z152&lt;&gt;"",EDATE($D152,Milestones!$AA$22)&gt;=$Z152),$AC152,IF(AND($Y152&lt;&gt;"",EDATE($D152,Milestones!$AA$22)&gt;=$Y152),$AB152,$AA152)))=Milestones!$AB$22),UPPER(TEXT(EDATE($D152,Milestones!$AA$22),"dd mmm yy"))&amp;" "&amp;Milestones!$AB$22&amp;" "&amp;IF(AND(Milestones!$AB$22="FT",Milestones!$AA$22=FT_Y5,EDATE($D152,Milestones!$AA$22)&lt;PolicyEff),1,Milestones!$AC$22)&amp;";  ","")&amp;IF(AND(EDATE($D152,Milestones!$AA$23)&lt;=AsOfDate,EDATE($D152,Milestones!$AA$23)&gt;=SchemeStart,IF($X152=0,$AD152,IF(AND($Z152&lt;&gt;"",EDATE($D152,Milestones!$AA$23)&gt;=$Z152),$AC152,IF(AND($Y152&lt;&gt;"",EDATE($D152,Milestones!$AA$23)&gt;=$Y152),$AB152,$AA152)))=Milestones!$AB$23),UPPER(TEXT(EDATE($D152,Milestones!$AA$23),"dd mmm yy"))&amp;" "&amp;Milestones!$AB$23&amp;" "&amp;IF(AND(Milestones!$AB$23="FT",Milestones!$AA$23=FT_Y5,EDATE($D152,Milestones!$AA$23)&lt;PolicyEff),1,Milestones!$AC$23)&amp;";  ","")&amp;IF(AND(EDATE($D152,Milestones!$AA$24)&lt;=AsOfDate,EDATE($D152,Milestones!$AA$24)&gt;=SchemeStart,IF($X152=0,$AD152,IF(AND($Z152&lt;&gt;"",EDATE($D152,Milestones!$AA$24)&gt;=$Z152),$AC152,IF(AND($Y152&lt;&gt;"",EDATE($D152,Milestones!$AA$24)&gt;=$Y152),$AB152,$AA152)))=Milestones!$AB$24),UPPER(TEXT(EDATE($D152,Milestones!$AA$24),"dd mmm yy"))&amp;" "&amp;Milestones!$AB$24&amp;" "&amp;IF(AND(Milestones!$AB$24="FT",Milestones!$AA$24=FT_Y5,EDATE($D152,Milestones!$AA$24)&lt;PolicyEff),1,Milestones!$AC$24)&amp;";  ","")&amp;IF(AND(EDATE($D152,Milestones!$AA$25)&lt;=AsOfDate,EDATE($D152,Milestones!$AA$25)&gt;=SchemeStart,IF($X152=0,$AD152,IF(AND($Z152&lt;&gt;"",EDATE($D152,Milestones!$AA$25)&gt;=$Z152),$AC152,IF(AND($Y152&lt;&gt;"",EDATE($D152,Milestones!$AA$25)&gt;=$Y152),$AB152,$AA152)))=Milestones!$AB$25),UPPER(TEXT(EDATE($D152,Milestones!$AA$25),"dd mmm yy"))&amp;" "&amp;Milestones!$AB$25&amp;" "&amp;IF(AND(Milestones!$AB$25="FT",Milestones!$AA$25=FT_Y5,EDATE($D152,Milestones!$AA$25)&lt;PolicyEff),1,Milestones!$AC$25)&amp;";  ","")&amp;IF(AND(EDATE($D152,Milestones!$AA$26)&lt;=AsOfDate,EDATE($D152,Milestones!$AA$26)&gt;=SchemeStart,IF($X152=0,$AD152,IF(AND($Z152&lt;&gt;"",EDATE($D152,Milestones!$AA$26)&gt;=$Z152),$AC152,IF(AND($Y152&lt;&gt;"",EDATE($D152,Milestones!$AA$26)&gt;=$Y152),$AB152,$AA152)))=Milestones!$AB$26),UPPER(TEXT(EDATE($D152,Milestones!$AA$26),"dd mmm yy"))&amp;" "&amp;Milestones!$AB$26&amp;" "&amp;IF(AND(Milestones!$AB$26="FT",Milestones!$AA$26=FT_Y5,EDATE($D152,Milestones!$AA$26)&lt;PolicyEff),1,Milestones!$AC$26)&amp;";  ","")&amp;IF(AND(EDATE($D152,Milestones!$AA$27)&lt;=AsOfDate,EDATE($D152,Milestones!$AA$27)&gt;=SchemeStart,IF($X152=0,$AD152,IF(AND($Z152&lt;&gt;"",EDATE($D152,Milestones!$AA$27)&gt;=$Z152),$AC152,IF(AND($Y152&lt;&gt;"",EDATE($D152,Milestones!$AA$27)&gt;=$Y152),$AB152,$AA152)))=Milestones!$AB$27),UPPER(TEXT(EDATE($D152,Milestones!$AA$27),"dd mmm yy"))&amp;" "&amp;Milestones!$AB$27&amp;" "&amp;IF(AND(Milestones!$AB$27="FT",Milestones!$AA$27=FT_Y5,EDATE($D152,Milestones!$AA$27)&lt;PolicyEff),1,Milestones!$AC$27)&amp;";  ","")&amp;IF(AND(EDATE($D152,Milestones!$AA$28)&lt;=AsOfDate,EDATE($D152,Milestones!$AA$28)&gt;=SchemeStart,IF($X152=0,$AD152,IF(AND($Z152&lt;&gt;"",EDATE($D152,Milestones!$AA$28)&gt;=$Z152),$AC152,IF(AND($Y152&lt;&gt;"",EDATE($D152,Milestones!$AA$28)&gt;=$Y152),$AB152,$AA152)))=Milestones!$AB$28),UPPER(TEXT(EDATE($D152,Milestones!$AA$28),"dd mmm yy"))&amp;" "&amp;Milestones!$AB$28&amp;" "&amp;IF(AND(Milestones!$AB$28="FT",Milestones!$AA$28=FT_Y5,EDATE($D152,Milestones!$AA$28)&lt;PolicyEff),1,Milestones!$AC$28)&amp;";  ","")&amp;IF(AND(EDATE($D152,Milestones!$AA$29)&lt;=AsOfDate,EDATE($D152,Milestones!$AA$29)&gt;=SchemeStart,IF($X152=0,$AD152,IF(AND($Z152&lt;&gt;"",EDATE($D152,Milestones!$AA$29)&gt;=$Z152),$AC152,IF(AND($Y152&lt;&gt;"",EDATE($D152,Milestones!$AA$29)&gt;=$Y152),$AB152,$AA152)))=Milestones!$AB$29),UPPER(TEXT(EDATE($D152,Milestones!$AA$29),"dd mmm yy"))&amp;" "&amp;Milestones!$AB$29&amp;" "&amp;IF(AND(Milestones!$AB$29="FT",Milestones!$AA$29=FT_Y5,EDATE($D152,Milestones!$AA$29)&lt;PolicyEff),1,Milestones!$AC$29)&amp;";  ","")&amp;IF(AND(EDATE($D152,Milestones!$AA$30)&lt;=AsOfDate,EDATE($D152,Milestones!$AA$30)&gt;=SchemeStart,IF($X152=0,$AD152,IF(AND($Z152&lt;&gt;"",EDATE($D152,Milestones!$AA$30)&gt;=$Z152),$AC152,IF(AND($Y152&lt;&gt;"",EDATE($D152,Milestones!$AA$30)&gt;=$Y152),$AB152,$AA152)))=Milestones!$AB$30),UPPER(TEXT(EDATE($D152,Milestones!$AA$30),"dd mmm yy"))&amp;" "&amp;Milestones!$AB$30&amp;" "&amp;IF(AND(Milestones!$AB$30="FT",Milestones!$AA$30=FT_Y5,EDATE($D152,Milestones!$AA$30)&lt;PolicyEff),1,Milestones!$AC$30)&amp;";  ","")&amp;IF(AND(EDATE($D152,Milestones!$AA$31)&lt;=AsOfDate,EDATE($D152,Milestones!$AA$31)&gt;=SchemeStart,IF($X152=0,$AD152,IF(AND($Z152&lt;&gt;"",EDATE($D152,Milestones!$AA$31)&gt;=$Z152),$AC152,IF(AND($Y152&lt;&gt;"",EDATE($D152,Milestones!$AA$31)&gt;=$Y152),$AB152,$AA152)))=Milestones!$AB$31),UPPER(TEXT(EDATE($D152,Milestones!$AA$31),"dd mmm yy"))&amp;" "&amp;Milestones!$AB$31&amp;" "&amp;IF(AND(Milestones!$AB$31="FT",Milestones!$AA$31=FT_Y5,EDATE($D152,Milestones!$AA$31)&lt;PolicyEff),1,Milestones!$AC$31)&amp;";  ",""))</f>
        <v/>
      </c>
      <c r="J152" s="0" t="str">
        <f aca="false">IF(OR($A152="",$D152=""),"",IF(AND(EDATE($D152,Milestones!$AA$32)&lt;=AsOfDate,EDATE($D152,Milestones!$AA$32)&gt;=SchemeStart,IF($X152=0,$AD152,IF(AND($Z152&lt;&gt;"",EDATE($D152,Milestones!$AA$32)&gt;=$Z152),$AC152,IF(AND($Y152&lt;&gt;"",EDATE($D152,Milestones!$AA$32)&gt;=$Y152),$AB152,$AA152)))=Milestones!$AB$32),UPPER(TEXT(EDATE($D152,Milestones!$AA$32),"dd mmm yy"))&amp;" "&amp;Milestones!$AB$32&amp;" "&amp;IF(AND(Milestones!$AB$32="FT",Milestones!$AA$32=FT_Y5,EDATE($D152,Milestones!$AA$32)&lt;PolicyEff),1,Milestones!$AC$32)&amp;";  ","")&amp;IF(AND(EDATE($D152,Milestones!$AA$33)&lt;=AsOfDate,EDATE($D152,Milestones!$AA$33)&gt;=SchemeStart,IF($X152=0,$AD152,IF(AND($Z152&lt;&gt;"",EDATE($D152,Milestones!$AA$33)&gt;=$Z152),$AC152,IF(AND($Y152&lt;&gt;"",EDATE($D152,Milestones!$AA$33)&gt;=$Y152),$AB152,$AA152)))=Milestones!$AB$33),UPPER(TEXT(EDATE($D152,Milestones!$AA$33),"dd mmm yy"))&amp;" "&amp;Milestones!$AB$33&amp;" "&amp;IF(AND(Milestones!$AB$33="FT",Milestones!$AA$33=FT_Y5,EDATE($D152,Milestones!$AA$33)&lt;PolicyEff),1,Milestones!$AC$33)&amp;";  ","")&amp;IF(AND(EDATE($D152,Milestones!$AA$34)&lt;=AsOfDate,EDATE($D152,Milestones!$AA$34)&gt;=SchemeStart,IF($X152=0,$AD152,IF(AND($Z152&lt;&gt;"",EDATE($D152,Milestones!$AA$34)&gt;=$Z152),$AC152,IF(AND($Y152&lt;&gt;"",EDATE($D152,Milestones!$AA$34)&gt;=$Y152),$AB152,$AA152)))=Milestones!$AB$34),UPPER(TEXT(EDATE($D152,Milestones!$AA$34),"dd mmm yy"))&amp;" "&amp;Milestones!$AB$34&amp;" "&amp;IF(AND(Milestones!$AB$34="FT",Milestones!$AA$34=FT_Y5,EDATE($D152,Milestones!$AA$34)&lt;PolicyEff),1,Milestones!$AC$34)&amp;";  ","")&amp;IF(AND(EDATE($D152,Milestones!$AA$35)&lt;=AsOfDate,EDATE($D152,Milestones!$AA$35)&gt;=SchemeStart,IF($X152=0,$AD152,IF(AND($Z152&lt;&gt;"",EDATE($D152,Milestones!$AA$35)&gt;=$Z152),$AC152,IF(AND($Y152&lt;&gt;"",EDATE($D152,Milestones!$AA$35)&gt;=$Y152),$AB152,$AA152)))=Milestones!$AB$35),UPPER(TEXT(EDATE($D152,Milestones!$AA$35),"dd mmm yy"))&amp;" "&amp;Milestones!$AB$35&amp;" "&amp;IF(AND(Milestones!$AB$35="FT",Milestones!$AA$35=FT_Y5,EDATE($D152,Milestones!$AA$35)&lt;PolicyEff),1,Milestones!$AC$35)&amp;";  ","")&amp;IF(AND(EDATE($D152,Milestones!$AA$36)&lt;=AsOfDate,EDATE($D152,Milestones!$AA$36)&gt;=SchemeStart,IF($X152=0,$AD152,IF(AND($Z152&lt;&gt;"",EDATE($D152,Milestones!$AA$36)&gt;=$Z152),$AC152,IF(AND($Y152&lt;&gt;"",EDATE($D152,Milestones!$AA$36)&gt;=$Y152),$AB152,$AA152)))=Milestones!$AB$36),UPPER(TEXT(EDATE($D152,Milestones!$AA$36),"dd mmm yy"))&amp;" "&amp;Milestones!$AB$36&amp;" "&amp;IF(AND(Milestones!$AB$36="FT",Milestones!$AA$36=FT_Y5,EDATE($D152,Milestones!$AA$36)&lt;PolicyEff),1,Milestones!$AC$36)&amp;";  ","")&amp;IF(AND(EDATE($D152,Milestones!$AA$37)&lt;=AsOfDate,EDATE($D152,Milestones!$AA$37)&gt;=SchemeStart,IF($X152=0,$AD152,IF(AND($Z152&lt;&gt;"",EDATE($D152,Milestones!$AA$37)&gt;=$Z152),$AC152,IF(AND($Y152&lt;&gt;"",EDATE($D152,Milestones!$AA$37)&gt;=$Y152),$AB152,$AA152)))=Milestones!$AB$37),UPPER(TEXT(EDATE($D152,Milestones!$AA$37),"dd mmm yy"))&amp;" "&amp;Milestones!$AB$37&amp;" "&amp;IF(AND(Milestones!$AB$37="FT",Milestones!$AA$37=FT_Y5,EDATE($D152,Milestones!$AA$37)&lt;PolicyEff),1,Milestones!$AC$37)&amp;";  ","")&amp;IF(AND(EDATE($D152,Milestones!$AA$38)&lt;=AsOfDate,EDATE($D152,Milestones!$AA$38)&gt;=SchemeStart,IF($X152=0,$AD152,IF(AND($Z152&lt;&gt;"",EDATE($D152,Milestones!$AA$38)&gt;=$Z152),$AC152,IF(AND($Y152&lt;&gt;"",EDATE($D152,Milestones!$AA$38)&gt;=$Y152),$AB152,$AA152)))=Milestones!$AB$38),UPPER(TEXT(EDATE($D152,Milestones!$AA$38),"dd mmm yy"))&amp;" "&amp;Milestones!$AB$38&amp;" "&amp;IF(AND(Milestones!$AB$38="FT",Milestones!$AA$38=FT_Y5,EDATE($D152,Milestones!$AA$38)&lt;PolicyEff),1,Milestones!$AC$38)&amp;";  ","")&amp;IF(AND(EDATE($D152,Milestones!$AA$39)&lt;=AsOfDate,EDATE($D152,Milestones!$AA$39)&gt;=SchemeStart,IF($X152=0,$AD152,IF(AND($Z152&lt;&gt;"",EDATE($D152,Milestones!$AA$39)&gt;=$Z152),$AC152,IF(AND($Y152&lt;&gt;"",EDATE($D152,Milestones!$AA$39)&gt;=$Y152),$AB152,$AA152)))=Milestones!$AB$39),UPPER(TEXT(EDATE($D152,Milestones!$AA$39),"dd mmm yy"))&amp;" "&amp;Milestones!$AB$39&amp;" "&amp;IF(AND(Milestones!$AB$39="FT",Milestones!$AA$39=FT_Y5,EDATE($D152,Milestones!$AA$39)&lt;PolicyEff),1,Milestones!$AC$39)&amp;";  ","")&amp;IF(AND(EDATE($D152,Milestones!$AA$40)&lt;=AsOfDate,EDATE($D152,Milestones!$AA$40)&gt;=SchemeStart,IF($X152=0,$AD152,IF(AND($Z152&lt;&gt;"",EDATE($D152,Milestones!$AA$40)&gt;=$Z152),$AC152,IF(AND($Y152&lt;&gt;"",EDATE($D152,Milestones!$AA$40)&gt;=$Y152),$AB152,$AA152)))=Milestones!$AB$40),UPPER(TEXT(EDATE($D152,Milestones!$AA$40),"dd mmm yy"))&amp;" "&amp;Milestones!$AB$40&amp;" "&amp;IF(AND(Milestones!$AB$40="FT",Milestones!$AA$40=FT_Y5,EDATE($D152,Milestones!$AA$40)&lt;PolicyEff),1,Milestones!$AC$40)&amp;";  ","")&amp;IF(AND(EDATE($D152,Milestones!$AA$41)&lt;=AsOfDate,EDATE($D152,Milestones!$AA$41)&gt;=SchemeStart,IF($X152=0,$AD152,IF(AND($Z152&lt;&gt;"",EDATE($D152,Milestones!$AA$41)&gt;=$Z152),$AC152,IF(AND($Y152&lt;&gt;"",EDATE($D152,Milestones!$AA$41)&gt;=$Y152),$AB152,$AA152)))=Milestones!$AB$41),UPPER(TEXT(EDATE($D152,Milestones!$AA$41),"dd mmm yy"))&amp;" "&amp;Milestones!$AB$41&amp;" "&amp;IF(AND(Milestones!$AB$41="FT",Milestones!$AA$41=FT_Y5,EDATE($D152,Milestones!$AA$41)&lt;PolicyEff),1,Milestones!$AC$41)&amp;";  ","")&amp;IF(AND(EDATE($D152,Milestones!$AA$42)&lt;=AsOfDate,EDATE($D152,Milestones!$AA$42)&gt;=SchemeStart,IF($X152=0,$AD152,IF(AND($Z152&lt;&gt;"",EDATE($D152,Milestones!$AA$42)&gt;=$Z152),$AC152,IF(AND($Y152&lt;&gt;"",EDATE($D152,Milestones!$AA$42)&gt;=$Y152),$AB152,$AA152)))=Milestones!$AB$42),UPPER(TEXT(EDATE($D152,Milestones!$AA$42),"dd mmm yy"))&amp;" "&amp;Milestones!$AB$42&amp;" "&amp;IF(AND(Milestones!$AB$42="FT",Milestones!$AA$42=FT_Y5,EDATE($D152,Milestones!$AA$42)&lt;PolicyEff),1,Milestones!$AC$42)&amp;";  ","")&amp;IF(AND(EDATE($D152,Milestones!$AA$43)&lt;=AsOfDate,EDATE($D152,Milestones!$AA$43)&gt;=SchemeStart,IF($X152=0,$AD152,IF(AND($Z152&lt;&gt;"",EDATE($D152,Milestones!$AA$43)&gt;=$Z152),$AC152,IF(AND($Y152&lt;&gt;"",EDATE($D152,Milestones!$AA$43)&gt;=$Y152),$AB152,$AA152)))=Milestones!$AB$43),UPPER(TEXT(EDATE($D152,Milestones!$AA$43),"dd mmm yy"))&amp;" "&amp;Milestones!$AB$43&amp;" "&amp;IF(AND(Milestones!$AB$43="FT",Milestones!$AA$43=FT_Y5,EDATE($D152,Milestones!$AA$43)&lt;PolicyEff),1,Milestones!$AC$43)&amp;";  ",""))</f>
        <v/>
      </c>
      <c r="K152" s="0" t="str">
        <f aca="false">IF(OR($A152="",$D152=""),"",IF(AND(EDATE($D152,Milestones!$AA$44)&lt;=AsOfDate,EDATE($D152,Milestones!$AA$44)&gt;=SchemeStart,IF($X152=0,$AD152,IF(AND($Z152&lt;&gt;"",EDATE($D152,Milestones!$AA$44)&gt;=$Z152),$AC152,IF(AND($Y152&lt;&gt;"",EDATE($D152,Milestones!$AA$44)&gt;=$Y152),$AB152,$AA152)))=Milestones!$AB$44),UPPER(TEXT(EDATE($D152,Milestones!$AA$44),"dd mmm yy"))&amp;" "&amp;Milestones!$AB$44&amp;" "&amp;IF(AND(Milestones!$AB$44="FT",Milestones!$AA$44=FT_Y5,EDATE($D152,Milestones!$AA$44)&lt;PolicyEff),1,Milestones!$AC$44)&amp;";  ","")&amp;IF(AND(EDATE($D152,Milestones!$AA$45)&lt;=AsOfDate,EDATE($D152,Milestones!$AA$45)&gt;=SchemeStart,IF($X152=0,$AD152,IF(AND($Z152&lt;&gt;"",EDATE($D152,Milestones!$AA$45)&gt;=$Z152),$AC152,IF(AND($Y152&lt;&gt;"",EDATE($D152,Milestones!$AA$45)&gt;=$Y152),$AB152,$AA152)))=Milestones!$AB$45),UPPER(TEXT(EDATE($D152,Milestones!$AA$45),"dd mmm yy"))&amp;" "&amp;Milestones!$AB$45&amp;" "&amp;IF(AND(Milestones!$AB$45="FT",Milestones!$AA$45=FT_Y5,EDATE($D152,Milestones!$AA$45)&lt;PolicyEff),1,Milestones!$AC$45)&amp;";  ","")&amp;IF(AND(EDATE($D152,Milestones!$AA$46)&lt;=AsOfDate,EDATE($D152,Milestones!$AA$46)&gt;=SchemeStart,IF($X152=0,$AD152,IF(AND($Z152&lt;&gt;"",EDATE($D152,Milestones!$AA$46)&gt;=$Z152),$AC152,IF(AND($Y152&lt;&gt;"",EDATE($D152,Milestones!$AA$46)&gt;=$Y152),$AB152,$AA152)))=Milestones!$AB$46),UPPER(TEXT(EDATE($D152,Milestones!$AA$46),"dd mmm yy"))&amp;" "&amp;Milestones!$AB$46&amp;" "&amp;IF(AND(Milestones!$AB$46="FT",Milestones!$AA$46=FT_Y5,EDATE($D152,Milestones!$AA$46)&lt;PolicyEff),1,Milestones!$AC$46)&amp;";  ","")&amp;IF(AND(EDATE($D152,Milestones!$AA$47)&lt;=AsOfDate,EDATE($D152,Milestones!$AA$47)&gt;=SchemeStart,IF($X152=0,$AD152,IF(AND($Z152&lt;&gt;"",EDATE($D152,Milestones!$AA$47)&gt;=$Z152),$AC152,IF(AND($Y152&lt;&gt;"",EDATE($D152,Milestones!$AA$47)&gt;=$Y152),$AB152,$AA152)))=Milestones!$AB$47),UPPER(TEXT(EDATE($D152,Milestones!$AA$47),"dd mmm yy"))&amp;" "&amp;Milestones!$AB$47&amp;" "&amp;IF(AND(Milestones!$AB$47="FT",Milestones!$AA$47=FT_Y5,EDATE($D152,Milestones!$AA$47)&lt;PolicyEff),1,Milestones!$AC$47)&amp;";  ","")&amp;IF(AND(EDATE($D152,Milestones!$AA$48)&lt;=AsOfDate,EDATE($D152,Milestones!$AA$48)&gt;=SchemeStart,IF($X152=0,$AD152,IF(AND($Z152&lt;&gt;"",EDATE($D152,Milestones!$AA$48)&gt;=$Z152),$AC152,IF(AND($Y152&lt;&gt;"",EDATE($D152,Milestones!$AA$48)&gt;=$Y152),$AB152,$AA152)))=Milestones!$AB$48),UPPER(TEXT(EDATE($D152,Milestones!$AA$48),"dd mmm yy"))&amp;" "&amp;Milestones!$AB$48&amp;" "&amp;IF(AND(Milestones!$AB$48="FT",Milestones!$AA$48=FT_Y5,EDATE($D152,Milestones!$AA$48)&lt;PolicyEff),1,Milestones!$AC$48)&amp;";  ","")&amp;IF(AND(EDATE($D152,Milestones!$AA$49)&lt;=AsOfDate,EDATE($D152,Milestones!$AA$49)&gt;=SchemeStart,IF($X152=0,$AD152,IF(AND($Z152&lt;&gt;"",EDATE($D152,Milestones!$AA$49)&gt;=$Z152),$AC152,IF(AND($Y152&lt;&gt;"",EDATE($D152,Milestones!$AA$49)&gt;=$Y152),$AB152,$AA152)))=Milestones!$AB$49),UPPER(TEXT(EDATE($D152,Milestones!$AA$49),"dd mmm yy"))&amp;" "&amp;Milestones!$AB$49&amp;" "&amp;IF(AND(Milestones!$AB$49="FT",Milestones!$AA$49=FT_Y5,EDATE($D152,Milestones!$AA$49)&lt;PolicyEff),1,Milestones!$AC$49)&amp;";  ","")&amp;IF(AND(EDATE($D152,Milestones!$AA$50)&lt;=AsOfDate,EDATE($D152,Milestones!$AA$50)&gt;=SchemeStart,IF($X152=0,$AD152,IF(AND($Z152&lt;&gt;"",EDATE($D152,Milestones!$AA$50)&gt;=$Z152),$AC152,IF(AND($Y152&lt;&gt;"",EDATE($D152,Milestones!$AA$50)&gt;=$Y152),$AB152,$AA152)))=Milestones!$AB$50),UPPER(TEXT(EDATE($D152,Milestones!$AA$50),"dd mmm yy"))&amp;" "&amp;Milestones!$AB$50&amp;" "&amp;IF(AND(Milestones!$AB$50="FT",Milestones!$AA$50=FT_Y5,EDATE($D152,Milestones!$AA$50)&lt;PolicyEff),1,Milestones!$AC$50)&amp;";  ","")&amp;IF(AND(EDATE($D152,Milestones!$AA$51)&lt;=AsOfDate,EDATE($D152,Milestones!$AA$51)&gt;=SchemeStart,IF($X152=0,$AD152,IF(AND($Z152&lt;&gt;"",EDATE($D152,Milestones!$AA$51)&gt;=$Z152),$AC152,IF(AND($Y152&lt;&gt;"",EDATE($D152,Milestones!$AA$51)&gt;=$Y152),$AB152,$AA152)))=Milestones!$AB$51),UPPER(TEXT(EDATE($D152,Milestones!$AA$51),"dd mmm yy"))&amp;" "&amp;Milestones!$AB$51&amp;" "&amp;IF(AND(Milestones!$AB$51="FT",Milestones!$AA$51=FT_Y5,EDATE($D152,Milestones!$AA$51)&lt;PolicyEff),1,Milestones!$AC$51)&amp;";  ","")&amp;IF(AND(EDATE($D152,Milestones!$AA$52)&lt;=AsOfDate,EDATE($D152,Milestones!$AA$52)&gt;=SchemeStart,IF($X152=0,$AD152,IF(AND($Z152&lt;&gt;"",EDATE($D152,Milestones!$AA$52)&gt;=$Z152),$AC152,IF(AND($Y152&lt;&gt;"",EDATE($D152,Milestones!$AA$52)&gt;=$Y152),$AB152,$AA152)))=Milestones!$AB$52),UPPER(TEXT(EDATE($D152,Milestones!$AA$52),"dd mmm yy"))&amp;" "&amp;Milestones!$AB$52&amp;" "&amp;IF(AND(Milestones!$AB$52="FT",Milestones!$AA$52=FT_Y5,EDATE($D152,Milestones!$AA$52)&lt;PolicyEff),1,Milestones!$AC$52)&amp;";  ","")&amp;IF(AND(EDATE($D152,Milestones!$AA$53)&lt;=AsOfDate,EDATE($D152,Milestones!$AA$53)&gt;=SchemeStart,IF($X152=0,$AD152,IF(AND($Z152&lt;&gt;"",EDATE($D152,Milestones!$AA$53)&gt;=$Z152),$AC152,IF(AND($Y152&lt;&gt;"",EDATE($D152,Milestones!$AA$53)&gt;=$Y152),$AB152,$AA152)))=Milestones!$AB$53),UPPER(TEXT(EDATE($D152,Milestones!$AA$53),"dd mmm yy"))&amp;" "&amp;Milestones!$AB$53&amp;" "&amp;IF(AND(Milestones!$AB$53="FT",Milestones!$AA$53=FT_Y5,EDATE($D152,Milestones!$AA$53)&lt;PolicyEff),1,Milestones!$AC$53)&amp;";  ","")&amp;IF(AND(EDATE($D152,Milestones!$AA$54)&lt;=AsOfDate,EDATE($D152,Milestones!$AA$54)&gt;=SchemeStart,IF($X152=0,$AD152,IF(AND($Z152&lt;&gt;"",EDATE($D152,Milestones!$AA$54)&gt;=$Z152),$AC152,IF(AND($Y152&lt;&gt;"",EDATE($D152,Milestones!$AA$54)&gt;=$Y152),$AB152,$AA152)))=Milestones!$AB$54),UPPER(TEXT(EDATE($D152,Milestones!$AA$54),"dd mmm yy"))&amp;" "&amp;Milestones!$AB$54&amp;" "&amp;IF(AND(Milestones!$AB$54="FT",Milestones!$AA$54=FT_Y5,EDATE($D152,Milestones!$AA$54)&lt;PolicyEff),1,Milestones!$AC$54)&amp;";  ","")&amp;IF(AND(EDATE($D152,Milestones!$AA$55)&lt;=AsOfDate,EDATE($D152,Milestones!$AA$55)&gt;=SchemeStart,IF($X152=0,$AD152,IF(AND($Z152&lt;&gt;"",EDATE($D152,Milestones!$AA$55)&gt;=$Z152),$AC152,IF(AND($Y152&lt;&gt;"",EDATE($D152,Milestones!$AA$55)&gt;=$Y152),$AB152,$AA152)))=Milestones!$AB$55),UPPER(TEXT(EDATE($D152,Milestones!$AA$55),"dd mmm yy"))&amp;" "&amp;Milestones!$AB$55&amp;" "&amp;IF(AND(Milestones!$AB$55="FT",Milestones!$AA$55=FT_Y5,EDATE($D152,Milestones!$AA$55)&lt;PolicyEff),1,Milestones!$AC$55)&amp;";  ",""))</f>
        <v/>
      </c>
      <c r="L152" s="0" t="str">
        <f aca="false">IF(OR($A152="",$D152=""),"",IF(AND(EDATE($D152,Milestones!$AA$56)&lt;=AsOfDate,EDATE($D152,Milestones!$AA$56)&gt;=SchemeStart,IF($X152=0,$AD152,IF(AND($Z152&lt;&gt;"",EDATE($D152,Milestones!$AA$56)&gt;=$Z152),$AC152,IF(AND($Y152&lt;&gt;"",EDATE($D152,Milestones!$AA$56)&gt;=$Y152),$AB152,$AA152)))=Milestones!$AB$56),UPPER(TEXT(EDATE($D152,Milestones!$AA$56),"dd mmm yy"))&amp;" "&amp;Milestones!$AB$56&amp;" "&amp;IF(AND(Milestones!$AB$56="FT",Milestones!$AA$56=FT_Y5,EDATE($D152,Milestones!$AA$56)&lt;PolicyEff),1,Milestones!$AC$56)&amp;";  ","")&amp;IF(AND(EDATE($D152,Milestones!$AA$57)&lt;=AsOfDate,EDATE($D152,Milestones!$AA$57)&gt;=SchemeStart,IF($X152=0,$AD152,IF(AND($Z152&lt;&gt;"",EDATE($D152,Milestones!$AA$57)&gt;=$Z152),$AC152,IF(AND($Y152&lt;&gt;"",EDATE($D152,Milestones!$AA$57)&gt;=$Y152),$AB152,$AA152)))=Milestones!$AB$57),UPPER(TEXT(EDATE($D152,Milestones!$AA$57),"dd mmm yy"))&amp;" "&amp;Milestones!$AB$57&amp;" "&amp;IF(AND(Milestones!$AB$57="FT",Milestones!$AA$57=FT_Y5,EDATE($D152,Milestones!$AA$57)&lt;PolicyEff),1,Milestones!$AC$57)&amp;";  ","")&amp;IF(AND(EDATE($D152,Milestones!$AA$58)&lt;=AsOfDate,EDATE($D152,Milestones!$AA$58)&gt;=SchemeStart,IF($X152=0,$AD152,IF(AND($Z152&lt;&gt;"",EDATE($D152,Milestones!$AA$58)&gt;=$Z152),$AC152,IF(AND($Y152&lt;&gt;"",EDATE($D152,Milestones!$AA$58)&gt;=$Y152),$AB152,$AA152)))=Milestones!$AB$58),UPPER(TEXT(EDATE($D152,Milestones!$AA$58),"dd mmm yy"))&amp;" "&amp;Milestones!$AB$58&amp;" "&amp;IF(AND(Milestones!$AB$58="FT",Milestones!$AA$58=FT_Y5,EDATE($D152,Milestones!$AA$58)&lt;PolicyEff),1,Milestones!$AC$58)&amp;";  ","")&amp;IF(AND(EDATE($D152,Milestones!$AA$59)&lt;=AsOfDate,EDATE($D152,Milestones!$AA$59)&gt;=SchemeStart,IF($X152=0,$AD152,IF(AND($Z152&lt;&gt;"",EDATE($D152,Milestones!$AA$59)&gt;=$Z152),$AC152,IF(AND($Y152&lt;&gt;"",EDATE($D152,Milestones!$AA$59)&gt;=$Y152),$AB152,$AA152)))=Milestones!$AB$59),UPPER(TEXT(EDATE($D152,Milestones!$AA$59),"dd mmm yy"))&amp;" "&amp;Milestones!$AB$59&amp;" "&amp;IF(AND(Milestones!$AB$59="FT",Milestones!$AA$59=FT_Y5,EDATE($D152,Milestones!$AA$59)&lt;PolicyEff),1,Milestones!$AC$59)&amp;";  ","")&amp;IF(AND(EDATE($D152,Milestones!$AA$60)&lt;=AsOfDate,EDATE($D152,Milestones!$AA$60)&gt;=SchemeStart,IF($X152=0,$AD152,IF(AND($Z152&lt;&gt;"",EDATE($D152,Milestones!$AA$60)&gt;=$Z152),$AC152,IF(AND($Y152&lt;&gt;"",EDATE($D152,Milestones!$AA$60)&gt;=$Y152),$AB152,$AA152)))=Milestones!$AB$60),UPPER(TEXT(EDATE($D152,Milestones!$AA$60),"dd mmm yy"))&amp;" "&amp;Milestones!$AB$60&amp;" "&amp;IF(AND(Milestones!$AB$60="FT",Milestones!$AA$60=FT_Y5,EDATE($D152,Milestones!$AA$60)&lt;PolicyEff),1,Milestones!$AC$60)&amp;";  ","")&amp;IF(AND(EDATE($D152,Milestones!$AA$61)&lt;=AsOfDate,EDATE($D152,Milestones!$AA$61)&gt;=SchemeStart,IF($X152=0,$AD152,IF(AND($Z152&lt;&gt;"",EDATE($D152,Milestones!$AA$61)&gt;=$Z152),$AC152,IF(AND($Y152&lt;&gt;"",EDATE($D152,Milestones!$AA$61)&gt;=$Y152),$AB152,$AA152)))=Milestones!$AB$61),UPPER(TEXT(EDATE($D152,Milestones!$AA$61),"dd mmm yy"))&amp;" "&amp;Milestones!$AB$61&amp;" "&amp;IF(AND(Milestones!$AB$61="FT",Milestones!$AA$61=FT_Y5,EDATE($D152,Milestones!$AA$61)&lt;PolicyEff),1,Milestones!$AC$61)&amp;";  ","")&amp;IF(AND(EDATE($D152,Milestones!$AA$62)&lt;=AsOfDate,EDATE($D152,Milestones!$AA$62)&gt;=SchemeStart,IF($X152=0,$AD152,IF(AND($Z152&lt;&gt;"",EDATE($D152,Milestones!$AA$62)&gt;=$Z152),$AC152,IF(AND($Y152&lt;&gt;"",EDATE($D152,Milestones!$AA$62)&gt;=$Y152),$AB152,$AA152)))=Milestones!$AB$62),UPPER(TEXT(EDATE($D152,Milestones!$AA$62),"dd mmm yy"))&amp;" "&amp;Milestones!$AB$62&amp;" "&amp;IF(AND(Milestones!$AB$62="FT",Milestones!$AA$62=FT_Y5,EDATE($D152,Milestones!$AA$62)&lt;PolicyEff),1,Milestones!$AC$62)&amp;";  ","")&amp;IF(AND(EDATE($D152,Milestones!$AA$63)&lt;=AsOfDate,EDATE($D152,Milestones!$AA$63)&gt;=SchemeStart,IF($X152=0,$AD152,IF(AND($Z152&lt;&gt;"",EDATE($D152,Milestones!$AA$63)&gt;=$Z152),$AC152,IF(AND($Y152&lt;&gt;"",EDATE($D152,Milestones!$AA$63)&gt;=$Y152),$AB152,$AA152)))=Milestones!$AB$63),UPPER(TEXT(EDATE($D152,Milestones!$AA$63),"dd mmm yy"))&amp;" "&amp;Milestones!$AB$63&amp;" "&amp;IF(AND(Milestones!$AB$63="FT",Milestones!$AA$63=FT_Y5,EDATE($D152,Milestones!$AA$63)&lt;PolicyEff),1,Milestones!$AC$63)&amp;";  ","")&amp;IF(AND(EDATE($D152,Milestones!$AA$64)&lt;=AsOfDate,EDATE($D152,Milestones!$AA$64)&gt;=SchemeStart,IF($X152=0,$AD152,IF(AND($Z152&lt;&gt;"",EDATE($D152,Milestones!$AA$64)&gt;=$Z152),$AC152,IF(AND($Y152&lt;&gt;"",EDATE($D152,Milestones!$AA$64)&gt;=$Y152),$AB152,$AA152)))=Milestones!$AB$64),UPPER(TEXT(EDATE($D152,Milestones!$AA$64),"dd mmm yy"))&amp;" "&amp;Milestones!$AB$64&amp;" "&amp;IF(AND(Milestones!$AB$64="FT",Milestones!$AA$64=FT_Y5,EDATE($D152,Milestones!$AA$64)&lt;PolicyEff),1,Milestones!$AC$64)&amp;";  ","")&amp;IF(AND(EDATE($D152,Milestones!$AA$65)&lt;=AsOfDate,EDATE($D152,Milestones!$AA$65)&gt;=SchemeStart,IF($X152=0,$AD152,IF(AND($Z152&lt;&gt;"",EDATE($D152,Milestones!$AA$65)&gt;=$Z152),$AC152,IF(AND($Y152&lt;&gt;"",EDATE($D152,Milestones!$AA$65)&gt;=$Y152),$AB152,$AA152)))=Milestones!$AB$65),UPPER(TEXT(EDATE($D152,Milestones!$AA$65),"dd mmm yy"))&amp;" "&amp;Milestones!$AB$65&amp;" "&amp;IF(AND(Milestones!$AB$65="FT",Milestones!$AA$65=FT_Y5,EDATE($D152,Milestones!$AA$65)&lt;PolicyEff),1,Milestones!$AC$65)&amp;";  ","")&amp;IF(AND(EDATE($D152,Milestones!$AA$66)&lt;=AsOfDate,EDATE($D152,Milestones!$AA$66)&gt;=SchemeStart,IF($X152=0,$AD152,IF(AND($Z152&lt;&gt;"",EDATE($D152,Milestones!$AA$66)&gt;=$Z152),$AC152,IF(AND($Y152&lt;&gt;"",EDATE($D152,Milestones!$AA$66)&gt;=$Y152),$AB152,$AA152)))=Milestones!$AB$66),UPPER(TEXT(EDATE($D152,Milestones!$AA$66),"dd mmm yy"))&amp;" "&amp;Milestones!$AB$66&amp;" "&amp;IF(AND(Milestones!$AB$66="FT",Milestones!$AA$66=FT_Y5,EDATE($D152,Milestones!$AA$66)&lt;PolicyEff),1,Milestones!$AC$66)&amp;";  ","")&amp;IF(AND(EDATE($D152,Milestones!$AA$67)&lt;=AsOfDate,EDATE($D152,Milestones!$AA$67)&gt;=SchemeStart,IF($X152=0,$AD152,IF(AND($Z152&lt;&gt;"",EDATE($D152,Milestones!$AA$67)&gt;=$Z152),$AC152,IF(AND($Y152&lt;&gt;"",EDATE($D152,Milestones!$AA$67)&gt;=$Y152),$AB152,$AA152)))=Milestones!$AB$67),UPPER(TEXT(EDATE($D152,Milestones!$AA$67),"dd mmm yy"))&amp;" "&amp;Milestones!$AB$67&amp;" "&amp;IF(AND(Milestones!$AB$67="FT",Milestones!$AA$67=FT_Y5,EDATE($D152,Milestones!$AA$67)&lt;PolicyEff),1,Milestones!$AC$67)&amp;";  ",""))</f>
        <v/>
      </c>
      <c r="M152" s="0" t="str">
        <f aca="false">IF(OR($A152="",$D152=""),"",IF(AND(EDATE($D152,Milestones!$AA$68)&lt;=AsOfDate,EDATE($D152,Milestones!$AA$68)&gt;=SchemeStart,IF($X152=0,$AD152,IF(AND($Z152&lt;&gt;"",EDATE($D152,Milestones!$AA$68)&gt;=$Z152),$AC152,IF(AND($Y152&lt;&gt;"",EDATE($D152,Milestones!$AA$68)&gt;=$Y152),$AB152,$AA152)))=Milestones!$AB$68),UPPER(TEXT(EDATE($D152,Milestones!$AA$68),"dd mmm yy"))&amp;" "&amp;Milestones!$AB$68&amp;" "&amp;IF(AND(Milestones!$AB$68="FT",Milestones!$AA$68=FT_Y5,EDATE($D152,Milestones!$AA$68)&lt;PolicyEff),1,Milestones!$AC$68)&amp;";  ","")&amp;IF(AND(EDATE($D152,Milestones!$AA$69)&lt;=AsOfDate,EDATE($D152,Milestones!$AA$69)&gt;=SchemeStart,IF($X152=0,$AD152,IF(AND($Z152&lt;&gt;"",EDATE($D152,Milestones!$AA$69)&gt;=$Z152),$AC152,IF(AND($Y152&lt;&gt;"",EDATE($D152,Milestones!$AA$69)&gt;=$Y152),$AB152,$AA152)))=Milestones!$AB$69),UPPER(TEXT(EDATE($D152,Milestones!$AA$69),"dd mmm yy"))&amp;" "&amp;Milestones!$AB$69&amp;" "&amp;IF(AND(Milestones!$AB$69="FT",Milestones!$AA$69=FT_Y5,EDATE($D152,Milestones!$AA$69)&lt;PolicyEff),1,Milestones!$AC$69)&amp;";  ","")&amp;IF(AND(EDATE($D152,Milestones!$AA$70)&lt;=AsOfDate,EDATE($D152,Milestones!$AA$70)&gt;=SchemeStart,IF($X152=0,$AD152,IF(AND($Z152&lt;&gt;"",EDATE($D152,Milestones!$AA$70)&gt;=$Z152),$AC152,IF(AND($Y152&lt;&gt;"",EDATE($D152,Milestones!$AA$70)&gt;=$Y152),$AB152,$AA152)))=Milestones!$AB$70),UPPER(TEXT(EDATE($D152,Milestones!$AA$70),"dd mmm yy"))&amp;" "&amp;Milestones!$AB$70&amp;" "&amp;IF(AND(Milestones!$AB$70="FT",Milestones!$AA$70=FT_Y5,EDATE($D152,Milestones!$AA$70)&lt;PolicyEff),1,Milestones!$AC$70)&amp;";  ","")&amp;IF(AND(EDATE($D152,Milestones!$AA$71)&lt;=AsOfDate,EDATE($D152,Milestones!$AA$71)&gt;=SchemeStart,IF($X152=0,$AD152,IF(AND($Z152&lt;&gt;"",EDATE($D152,Milestones!$AA$71)&gt;=$Z152),$AC152,IF(AND($Y152&lt;&gt;"",EDATE($D152,Milestones!$AA$71)&gt;=$Y152),$AB152,$AA152)))=Milestones!$AB$71),UPPER(TEXT(EDATE($D152,Milestones!$AA$71),"dd mmm yy"))&amp;" "&amp;Milestones!$AB$71&amp;" "&amp;IF(AND(Milestones!$AB$71="FT",Milestones!$AA$71=FT_Y5,EDATE($D152,Milestones!$AA$71)&lt;PolicyEff),1,Milestones!$AC$71)&amp;";  ","")&amp;IF(AND(EDATE($D152,Milestones!$AA$72)&lt;=AsOfDate,EDATE($D152,Milestones!$AA$72)&gt;=SchemeStart,IF($X152=0,$AD152,IF(AND($Z152&lt;&gt;"",EDATE($D152,Milestones!$AA$72)&gt;=$Z152),$AC152,IF(AND($Y152&lt;&gt;"",EDATE($D152,Milestones!$AA$72)&gt;=$Y152),$AB152,$AA152)))=Milestones!$AB$72),UPPER(TEXT(EDATE($D152,Milestones!$AA$72),"dd mmm yy"))&amp;" "&amp;Milestones!$AB$72&amp;" "&amp;IF(AND(Milestones!$AB$72="FT",Milestones!$AA$72=FT_Y5,EDATE($D152,Milestones!$AA$72)&lt;PolicyEff),1,Milestones!$AC$72)&amp;";  ","")&amp;IF(AND(EDATE($D152,Milestones!$AA$73)&lt;=AsOfDate,EDATE($D152,Milestones!$AA$73)&gt;=SchemeStart,IF($X152=0,$AD152,IF(AND($Z152&lt;&gt;"",EDATE($D152,Milestones!$AA$73)&gt;=$Z152),$AC152,IF(AND($Y152&lt;&gt;"",EDATE($D152,Milestones!$AA$73)&gt;=$Y152),$AB152,$AA152)))=Milestones!$AB$73),UPPER(TEXT(EDATE($D152,Milestones!$AA$73),"dd mmm yy"))&amp;" "&amp;Milestones!$AB$73&amp;" "&amp;IF(AND(Milestones!$AB$73="FT",Milestones!$AA$73=FT_Y5,EDATE($D152,Milestones!$AA$73)&lt;PolicyEff),1,Milestones!$AC$73)&amp;";  ","")&amp;IF(AND(EDATE($D152,Milestones!$AA$74)&lt;=AsOfDate,EDATE($D152,Milestones!$AA$74)&gt;=SchemeStart,IF($X152=0,$AD152,IF(AND($Z152&lt;&gt;"",EDATE($D152,Milestones!$AA$74)&gt;=$Z152),$AC152,IF(AND($Y152&lt;&gt;"",EDATE($D152,Milestones!$AA$74)&gt;=$Y152),$AB152,$AA152)))=Milestones!$AB$74),UPPER(TEXT(EDATE($D152,Milestones!$AA$74),"dd mmm yy"))&amp;" "&amp;Milestones!$AB$74&amp;" "&amp;IF(AND(Milestones!$AB$74="FT",Milestones!$AA$74=FT_Y5,EDATE($D152,Milestones!$AA$74)&lt;PolicyEff),1,Milestones!$AC$74)&amp;";  ","")&amp;IF(AND(EDATE($D152,Milestones!$AA$75)&lt;=AsOfDate,EDATE($D152,Milestones!$AA$75)&gt;=SchemeStart,IF($X152=0,$AD152,IF(AND($Z152&lt;&gt;"",EDATE($D152,Milestones!$AA$75)&gt;=$Z152),$AC152,IF(AND($Y152&lt;&gt;"",EDATE($D152,Milestones!$AA$75)&gt;=$Y152),$AB152,$AA152)))=Milestones!$AB$75),UPPER(TEXT(EDATE($D152,Milestones!$AA$75),"dd mmm yy"))&amp;" "&amp;Milestones!$AB$75&amp;" "&amp;IF(AND(Milestones!$AB$75="FT",Milestones!$AA$75=FT_Y5,EDATE($D152,Milestones!$AA$75)&lt;PolicyEff),1,Milestones!$AC$75)&amp;";  ","")&amp;IF(AND(EDATE($D152,Milestones!$AA$76)&lt;=AsOfDate,EDATE($D152,Milestones!$AA$76)&gt;=SchemeStart,IF($X152=0,$AD152,IF(AND($Z152&lt;&gt;"",EDATE($D152,Milestones!$AA$76)&gt;=$Z152),$AC152,IF(AND($Y152&lt;&gt;"",EDATE($D152,Milestones!$AA$76)&gt;=$Y152),$AB152,$AA152)))=Milestones!$AB$76),UPPER(TEXT(EDATE($D152,Milestones!$AA$76),"dd mmm yy"))&amp;" "&amp;Milestones!$AB$76&amp;" "&amp;IF(AND(Milestones!$AB$76="FT",Milestones!$AA$76=FT_Y5,EDATE($D152,Milestones!$AA$76)&lt;PolicyEff),1,Milestones!$AC$76)&amp;";  ","")&amp;IF(AND(EDATE($D152,Milestones!$AA$77)&lt;=AsOfDate,EDATE($D152,Milestones!$AA$77)&gt;=SchemeStart,IF($X152=0,$AD152,IF(AND($Z152&lt;&gt;"",EDATE($D152,Milestones!$AA$77)&gt;=$Z152),$AC152,IF(AND($Y152&lt;&gt;"",EDATE($D152,Milestones!$AA$77)&gt;=$Y152),$AB152,$AA152)))=Milestones!$AB$77),UPPER(TEXT(EDATE($D152,Milestones!$AA$77),"dd mmm yy"))&amp;" "&amp;Milestones!$AB$77&amp;" "&amp;IF(AND(Milestones!$AB$77="FT",Milestones!$AA$77=FT_Y5,EDATE($D152,Milestones!$AA$77)&lt;PolicyEff),1,Milestones!$AC$77)&amp;";  ","")&amp;IF(AND(EDATE($D152,Milestones!$AA$78)&lt;=AsOfDate,EDATE($D152,Milestones!$AA$78)&gt;=SchemeStart,IF($X152=0,$AD152,IF(AND($Z152&lt;&gt;"",EDATE($D152,Milestones!$AA$78)&gt;=$Z152),$AC152,IF(AND($Y152&lt;&gt;"",EDATE($D152,Milestones!$AA$78)&gt;=$Y152),$AB152,$AA152)))=Milestones!$AB$78),UPPER(TEXT(EDATE($D152,Milestones!$AA$78),"dd mmm yy"))&amp;" "&amp;Milestones!$AB$78&amp;" "&amp;IF(AND(Milestones!$AB$78="FT",Milestones!$AA$78=FT_Y5,EDATE($D152,Milestones!$AA$78)&lt;PolicyEff),1,Milestones!$AC$78)&amp;";  ","")&amp;IF(AND(EDATE($D152,Milestones!$AA$79)&lt;=AsOfDate,EDATE($D152,Milestones!$AA$79)&gt;=SchemeStart,IF($X152=0,$AD152,IF(AND($Z152&lt;&gt;"",EDATE($D152,Milestones!$AA$79)&gt;=$Z152),$AC152,IF(AND($Y152&lt;&gt;"",EDATE($D152,Milestones!$AA$79)&gt;=$Y152),$AB152,$AA152)))=Milestones!$AB$79),UPPER(TEXT(EDATE($D152,Milestones!$AA$79),"dd mmm yy"))&amp;" "&amp;Milestones!$AB$79&amp;" "&amp;IF(AND(Milestones!$AB$79="FT",Milestones!$AA$79=FT_Y5,EDATE($D152,Milestones!$AA$79)&lt;PolicyEff),1,Milestones!$AC$79)&amp;";  ",""))</f>
        <v/>
      </c>
      <c r="N152" s="0" t="str">
        <f aca="false">IF(OR($A152="",$D152=""),"",IF(AND(EDATE($D152,Milestones!$AA$80)&lt;=AsOfDate,EDATE($D152,Milestones!$AA$80)&gt;=SchemeStart,IF($X152=0,$AD152,IF(AND($Z152&lt;&gt;"",EDATE($D152,Milestones!$AA$80)&gt;=$Z152),$AC152,IF(AND($Y152&lt;&gt;"",EDATE($D152,Milestones!$AA$80)&gt;=$Y152),$AB152,$AA152)))=Milestones!$AB$80),UPPER(TEXT(EDATE($D152,Milestones!$AA$80),"dd mmm yy"))&amp;" "&amp;Milestones!$AB$80&amp;" "&amp;IF(AND(Milestones!$AB$80="FT",Milestones!$AA$80=FT_Y5,EDATE($D152,Milestones!$AA$80)&lt;PolicyEff),1,Milestones!$AC$80)&amp;";  ","")&amp;IF(AND(EDATE($D152,Milestones!$AA$81)&lt;=AsOfDate,EDATE($D152,Milestones!$AA$81)&gt;=SchemeStart,IF($X152=0,$AD152,IF(AND($Z152&lt;&gt;"",EDATE($D152,Milestones!$AA$81)&gt;=$Z152),$AC152,IF(AND($Y152&lt;&gt;"",EDATE($D152,Milestones!$AA$81)&gt;=$Y152),$AB152,$AA152)))=Milestones!$AB$81),UPPER(TEXT(EDATE($D152,Milestones!$AA$81),"dd mmm yy"))&amp;" "&amp;Milestones!$AB$81&amp;" "&amp;IF(AND(Milestones!$AB$81="FT",Milestones!$AA$81=FT_Y5,EDATE($D152,Milestones!$AA$81)&lt;PolicyEff),1,Milestones!$AC$81)&amp;";  ","")&amp;IF(AND(EDATE($D152,Milestones!$AA$82)&lt;=AsOfDate,EDATE($D152,Milestones!$AA$82)&gt;=SchemeStart,IF($X152=0,$AD152,IF(AND($Z152&lt;&gt;"",EDATE($D152,Milestones!$AA$82)&gt;=$Z152),$AC152,IF(AND($Y152&lt;&gt;"",EDATE($D152,Milestones!$AA$82)&gt;=$Y152),$AB152,$AA152)))=Milestones!$AB$82),UPPER(TEXT(EDATE($D152,Milestones!$AA$82),"dd mmm yy"))&amp;" "&amp;Milestones!$AB$82&amp;" "&amp;IF(AND(Milestones!$AB$82="FT",Milestones!$AA$82=FT_Y5,EDATE($D152,Milestones!$AA$82)&lt;PolicyEff),1,Milestones!$AC$82)&amp;";  ","")&amp;IF(AND(EDATE($D152,Milestones!$AA$83)&lt;=AsOfDate,EDATE($D152,Milestones!$AA$83)&gt;=SchemeStart,IF($X152=0,$AD152,IF(AND($Z152&lt;&gt;"",EDATE($D152,Milestones!$AA$83)&gt;=$Z152),$AC152,IF(AND($Y152&lt;&gt;"",EDATE($D152,Milestones!$AA$83)&gt;=$Y152),$AB152,$AA152)))=Milestones!$AB$83),UPPER(TEXT(EDATE($D152,Milestones!$AA$83),"dd mmm yy"))&amp;" "&amp;Milestones!$AB$83&amp;" "&amp;IF(AND(Milestones!$AB$83="FT",Milestones!$AA$83=FT_Y5,EDATE($D152,Milestones!$AA$83)&lt;PolicyEff),1,Milestones!$AC$83)&amp;";  ","")&amp;IF(AND(EDATE($D152,Milestones!$AA$84)&lt;=AsOfDate,EDATE($D152,Milestones!$AA$84)&gt;=SchemeStart,IF($X152=0,$AD152,IF(AND($Z152&lt;&gt;"",EDATE($D152,Milestones!$AA$84)&gt;=$Z152),$AC152,IF(AND($Y152&lt;&gt;"",EDATE($D152,Milestones!$AA$84)&gt;=$Y152),$AB152,$AA152)))=Milestones!$AB$84),UPPER(TEXT(EDATE($D152,Milestones!$AA$84),"dd mmm yy"))&amp;" "&amp;Milestones!$AB$84&amp;" "&amp;IF(AND(Milestones!$AB$84="FT",Milestones!$AA$84=FT_Y5,EDATE($D152,Milestones!$AA$84)&lt;PolicyEff),1,Milestones!$AC$84)&amp;";  ","")&amp;IF(AND(EDATE($D152,Milestones!$AA$85)&lt;=AsOfDate,EDATE($D152,Milestones!$AA$85)&gt;=SchemeStart,IF($X152=0,$AD152,IF(AND($Z152&lt;&gt;"",EDATE($D152,Milestones!$AA$85)&gt;=$Z152),$AC152,IF(AND($Y152&lt;&gt;"",EDATE($D152,Milestones!$AA$85)&gt;=$Y152),$AB152,$AA152)))=Milestones!$AB$85),UPPER(TEXT(EDATE($D152,Milestones!$AA$85),"dd mmm yy"))&amp;" "&amp;Milestones!$AB$85&amp;" "&amp;IF(AND(Milestones!$AB$85="FT",Milestones!$AA$85=FT_Y5,EDATE($D152,Milestones!$AA$85)&lt;PolicyEff),1,Milestones!$AC$85)&amp;";  ","")&amp;IF(AND(EDATE($D152,Milestones!$AA$86)&lt;=AsOfDate,EDATE($D152,Milestones!$AA$86)&gt;=SchemeStart,IF($X152=0,$AD152,IF(AND($Z152&lt;&gt;"",EDATE($D152,Milestones!$AA$86)&gt;=$Z152),$AC152,IF(AND($Y152&lt;&gt;"",EDATE($D152,Milestones!$AA$86)&gt;=$Y152),$AB152,$AA152)))=Milestones!$AB$86),UPPER(TEXT(EDATE($D152,Milestones!$AA$86),"dd mmm yy"))&amp;" "&amp;Milestones!$AB$86&amp;" "&amp;IF(AND(Milestones!$AB$86="FT",Milestones!$AA$86=FT_Y5,EDATE($D152,Milestones!$AA$86)&lt;PolicyEff),1,Milestones!$AC$86)&amp;";  ","")&amp;IF(AND(EDATE($D152,Milestones!$AA$87)&lt;=AsOfDate,EDATE($D152,Milestones!$AA$87)&gt;=SchemeStart,IF($X152=0,$AD152,IF(AND($Z152&lt;&gt;"",EDATE($D152,Milestones!$AA$87)&gt;=$Z152),$AC152,IF(AND($Y152&lt;&gt;"",EDATE($D152,Milestones!$AA$87)&gt;=$Y152),$AB152,$AA152)))=Milestones!$AB$87),UPPER(TEXT(EDATE($D152,Milestones!$AA$87),"dd mmm yy"))&amp;" "&amp;Milestones!$AB$87&amp;" "&amp;IF(AND(Milestones!$AB$87="FT",Milestones!$AA$87=FT_Y5,EDATE($D152,Milestones!$AA$87)&lt;PolicyEff),1,Milestones!$AC$87)&amp;";  ","")&amp;IF(AND(EDATE($D152,Milestones!$AA$88)&lt;=AsOfDate,EDATE($D152,Milestones!$AA$88)&gt;=SchemeStart,IF($X152=0,$AD152,IF(AND($Z152&lt;&gt;"",EDATE($D152,Milestones!$AA$88)&gt;=$Z152),$AC152,IF(AND($Y152&lt;&gt;"",EDATE($D152,Milestones!$AA$88)&gt;=$Y152),$AB152,$AA152)))=Milestones!$AB$88),UPPER(TEXT(EDATE($D152,Milestones!$AA$88),"dd mmm yy"))&amp;" "&amp;Milestones!$AB$88&amp;" "&amp;IF(AND(Milestones!$AB$88="FT",Milestones!$AA$88=FT_Y5,EDATE($D152,Milestones!$AA$88)&lt;PolicyEff),1,Milestones!$AC$88)&amp;";  ","")&amp;IF(AND(EDATE($D152,Milestones!$AA$89)&lt;=AsOfDate,EDATE($D152,Milestones!$AA$89)&gt;=SchemeStart,IF($X152=0,$AD152,IF(AND($Z152&lt;&gt;"",EDATE($D152,Milestones!$AA$89)&gt;=$Z152),$AC152,IF(AND($Y152&lt;&gt;"",EDATE($D152,Milestones!$AA$89)&gt;=$Y152),$AB152,$AA152)))=Milestones!$AB$89),UPPER(TEXT(EDATE($D152,Milestones!$AA$89),"dd mmm yy"))&amp;" "&amp;Milestones!$AB$89&amp;" "&amp;IF(AND(Milestones!$AB$89="FT",Milestones!$AA$89=FT_Y5,EDATE($D152,Milestones!$AA$89)&lt;PolicyEff),1,Milestones!$AC$89)&amp;";  ","")&amp;IF(AND(EDATE($D152,Milestones!$AA$90)&lt;=AsOfDate,EDATE($D152,Milestones!$AA$90)&gt;=SchemeStart,IF($X152=0,$AD152,IF(AND($Z152&lt;&gt;"",EDATE($D152,Milestones!$AA$90)&gt;=$Z152),$AC152,IF(AND($Y152&lt;&gt;"",EDATE($D152,Milestones!$AA$90)&gt;=$Y152),$AB152,$AA152)))=Milestones!$AB$90),UPPER(TEXT(EDATE($D152,Milestones!$AA$90),"dd mmm yy"))&amp;" "&amp;Milestones!$AB$90&amp;" "&amp;IF(AND(Milestones!$AB$90="FT",Milestones!$AA$90=FT_Y5,EDATE($D152,Milestones!$AA$90)&lt;PolicyEff),1,Milestones!$AC$90)&amp;";  ","")&amp;IF(AND(EDATE($D152,Milestones!$AA$91)&lt;=AsOfDate,EDATE($D152,Milestones!$AA$91)&gt;=SchemeStart,IF($X152=0,$AD152,IF(AND($Z152&lt;&gt;"",EDATE($D152,Milestones!$AA$91)&gt;=$Z152),$AC152,IF(AND($Y152&lt;&gt;"",EDATE($D152,Milestones!$AA$91)&gt;=$Y152),$AB152,$AA152)))=Milestones!$AB$91),UPPER(TEXT(EDATE($D152,Milestones!$AA$91),"dd mmm yy"))&amp;" "&amp;Milestones!$AB$91&amp;" "&amp;IF(AND(Milestones!$AB$91="FT",Milestones!$AA$91=FT_Y5,EDATE($D152,Milestones!$AA$91)&lt;PolicyEff),1,Milestones!$AC$91)&amp;";  ",""))</f>
        <v/>
      </c>
      <c r="O152" s="0" t="str">
        <f aca="false">IF(OR($A152="",$D152=""),"",IF(AND(EDATE($D152,Milestones!$AA$92)&lt;=AsOfDate,EDATE($D152,Milestones!$AA$92)&gt;=SchemeStart,IF($X152=0,$AD152,IF(AND($Z152&lt;&gt;"",EDATE($D152,Milestones!$AA$92)&gt;=$Z152),$AC152,IF(AND($Y152&lt;&gt;"",EDATE($D152,Milestones!$AA$92)&gt;=$Y152),$AB152,$AA152)))=Milestones!$AB$92),UPPER(TEXT(EDATE($D152,Milestones!$AA$92),"dd mmm yy"))&amp;" "&amp;Milestones!$AB$92&amp;" "&amp;IF(AND(Milestones!$AB$92="FT",Milestones!$AA$92=FT_Y5,EDATE($D152,Milestones!$AA$92)&lt;PolicyEff),1,Milestones!$AC$92)&amp;";  ","")&amp;IF(AND(EDATE($D152,Milestones!$AA$93)&lt;=AsOfDate,EDATE($D152,Milestones!$AA$93)&gt;=SchemeStart,IF($X152=0,$AD152,IF(AND($Z152&lt;&gt;"",EDATE($D152,Milestones!$AA$93)&gt;=$Z152),$AC152,IF(AND($Y152&lt;&gt;"",EDATE($D152,Milestones!$AA$93)&gt;=$Y152),$AB152,$AA152)))=Milestones!$AB$93),UPPER(TEXT(EDATE($D152,Milestones!$AA$93),"dd mmm yy"))&amp;" "&amp;Milestones!$AB$93&amp;" "&amp;IF(AND(Milestones!$AB$93="FT",Milestones!$AA$93=FT_Y5,EDATE($D152,Milestones!$AA$93)&lt;PolicyEff),1,Milestones!$AC$93)&amp;";  ","")&amp;IF(AND(EDATE($D152,Milestones!$AA$94)&lt;=AsOfDate,EDATE($D152,Milestones!$AA$94)&gt;=SchemeStart,IF($X152=0,$AD152,IF(AND($Z152&lt;&gt;"",EDATE($D152,Milestones!$AA$94)&gt;=$Z152),$AC152,IF(AND($Y152&lt;&gt;"",EDATE($D152,Milestones!$AA$94)&gt;=$Y152),$AB152,$AA152)))=Milestones!$AB$94),UPPER(TEXT(EDATE($D152,Milestones!$AA$94),"dd mmm yy"))&amp;" "&amp;Milestones!$AB$94&amp;" "&amp;IF(AND(Milestones!$AB$94="FT",Milestones!$AA$94=FT_Y5,EDATE($D152,Milestones!$AA$94)&lt;PolicyEff),1,Milestones!$AC$94)&amp;";  ","")&amp;IF(AND(EDATE($D152,Milestones!$AA$95)&lt;=AsOfDate,EDATE($D152,Milestones!$AA$95)&gt;=SchemeStart,IF($X152=0,$AD152,IF(AND($Z152&lt;&gt;"",EDATE($D152,Milestones!$AA$95)&gt;=$Z152),$AC152,IF(AND($Y152&lt;&gt;"",EDATE($D152,Milestones!$AA$95)&gt;=$Y152),$AB152,$AA152)))=Milestones!$AB$95),UPPER(TEXT(EDATE($D152,Milestones!$AA$95),"dd mmm yy"))&amp;" "&amp;Milestones!$AB$95&amp;" "&amp;IF(AND(Milestones!$AB$95="FT",Milestones!$AA$95=FT_Y5,EDATE($D152,Milestones!$AA$95)&lt;PolicyEff),1,Milestones!$AC$95)&amp;";  ","")&amp;IF(AND(EDATE($D152,Milestones!$AA$96)&lt;=AsOfDate,EDATE($D152,Milestones!$AA$96)&gt;=SchemeStart,IF($X152=0,$AD152,IF(AND($Z152&lt;&gt;"",EDATE($D152,Milestones!$AA$96)&gt;=$Z152),$AC152,IF(AND($Y152&lt;&gt;"",EDATE($D152,Milestones!$AA$96)&gt;=$Y152),$AB152,$AA152)))=Milestones!$AB$96),UPPER(TEXT(EDATE($D152,Milestones!$AA$96),"dd mmm yy"))&amp;" "&amp;Milestones!$AB$96&amp;" "&amp;IF(AND(Milestones!$AB$96="FT",Milestones!$AA$96=FT_Y5,EDATE($D152,Milestones!$AA$96)&lt;PolicyEff),1,Milestones!$AC$96)&amp;";  ","")&amp;IF(AND(EDATE($D152,Milestones!$AA$97)&lt;=AsOfDate,EDATE($D152,Milestones!$AA$97)&gt;=SchemeStart,IF($X152=0,$AD152,IF(AND($Z152&lt;&gt;"",EDATE($D152,Milestones!$AA$97)&gt;=$Z152),$AC152,IF(AND($Y152&lt;&gt;"",EDATE($D152,Milestones!$AA$97)&gt;=$Y152),$AB152,$AA152)))=Milestones!$AB$97),UPPER(TEXT(EDATE($D152,Milestones!$AA$97),"dd mmm yy"))&amp;" "&amp;Milestones!$AB$97&amp;" "&amp;IF(AND(Milestones!$AB$97="FT",Milestones!$AA$97=FT_Y5,EDATE($D152,Milestones!$AA$97)&lt;PolicyEff),1,Milestones!$AC$97)&amp;";  ","")&amp;IF(AND(EDATE($D152,Milestones!$AA$98)&lt;=AsOfDate,EDATE($D152,Milestones!$AA$98)&gt;=SchemeStart,IF($X152=0,$AD152,IF(AND($Z152&lt;&gt;"",EDATE($D152,Milestones!$AA$98)&gt;=$Z152),$AC152,IF(AND($Y152&lt;&gt;"",EDATE($D152,Milestones!$AA$98)&gt;=$Y152),$AB152,$AA152)))=Milestones!$AB$98),UPPER(TEXT(EDATE($D152,Milestones!$AA$98),"dd mmm yy"))&amp;" "&amp;Milestones!$AB$98&amp;" "&amp;IF(AND(Milestones!$AB$98="FT",Milestones!$AA$98=FT_Y5,EDATE($D152,Milestones!$AA$98)&lt;PolicyEff),1,Milestones!$AC$98)&amp;";  ","")&amp;IF(AND(EDATE($D152,Milestones!$AA$99)&lt;=AsOfDate,EDATE($D152,Milestones!$AA$99)&gt;=SchemeStart,IF($X152=0,$AD152,IF(AND($Z152&lt;&gt;"",EDATE($D152,Milestones!$AA$99)&gt;=$Z152),$AC152,IF(AND($Y152&lt;&gt;"",EDATE($D152,Milestones!$AA$99)&gt;=$Y152),$AB152,$AA152)))=Milestones!$AB$99),UPPER(TEXT(EDATE($D152,Milestones!$AA$99),"dd mmm yy"))&amp;" "&amp;Milestones!$AB$99&amp;" "&amp;IF(AND(Milestones!$AB$99="FT",Milestones!$AA$99=FT_Y5,EDATE($D152,Milestones!$AA$99)&lt;PolicyEff),1,Milestones!$AC$99)&amp;";  ","")&amp;IF(AND(EDATE($D152,Milestones!$AA$100)&lt;=AsOfDate,EDATE($D152,Milestones!$AA$100)&gt;=SchemeStart,IF($X152=0,$AD152,IF(AND($Z152&lt;&gt;"",EDATE($D152,Milestones!$AA$100)&gt;=$Z152),$AC152,IF(AND($Y152&lt;&gt;"",EDATE($D152,Milestones!$AA$100)&gt;=$Y152),$AB152,$AA152)))=Milestones!$AB$100),UPPER(TEXT(EDATE($D152,Milestones!$AA$100),"dd mmm yy"))&amp;" "&amp;Milestones!$AB$100&amp;" "&amp;IF(AND(Milestones!$AB$100="FT",Milestones!$AA$100=FT_Y5,EDATE($D152,Milestones!$AA$100)&lt;PolicyEff),1,Milestones!$AC$100)&amp;";  ","")&amp;IF(AND(EDATE($D152,Milestones!$AA$101)&lt;=AsOfDate,EDATE($D152,Milestones!$AA$101)&gt;=SchemeStart,IF($X152=0,$AD152,IF(AND($Z152&lt;&gt;"",EDATE($D152,Milestones!$AA$101)&gt;=$Z152),$AC152,IF(AND($Y152&lt;&gt;"",EDATE($D152,Milestones!$AA$101)&gt;=$Y152),$AB152,$AA152)))=Milestones!$AB$101),UPPER(TEXT(EDATE($D152,Milestones!$AA$101),"dd mmm yy"))&amp;" "&amp;Milestones!$AB$101&amp;" "&amp;IF(AND(Milestones!$AB$101="FT",Milestones!$AA$101=FT_Y5,EDATE($D152,Milestones!$AA$101)&lt;PolicyEff),1,Milestones!$AC$101)&amp;";  ","")&amp;IF(AND(EDATE($D152,Milestones!$AA$102)&lt;=AsOfDate,EDATE($D152,Milestones!$AA$102)&gt;=SchemeStart,IF($X152=0,$AD152,IF(AND($Z152&lt;&gt;"",EDATE($D152,Milestones!$AA$102)&gt;=$Z152),$AC152,IF(AND($Y152&lt;&gt;"",EDATE($D152,Milestones!$AA$102)&gt;=$Y152),$AB152,$AA152)))=Milestones!$AB$102),UPPER(TEXT(EDATE($D152,Milestones!$AA$102),"dd mmm yy"))&amp;" "&amp;Milestones!$AB$102&amp;" "&amp;IF(AND(Milestones!$AB$102="FT",Milestones!$AA$102=FT_Y5,EDATE($D152,Milestones!$AA$102)&lt;PolicyEff),1,Milestones!$AC$102)&amp;";  ","")&amp;IF(AND(EDATE($D152,Milestones!$AA$103)&lt;=AsOfDate,EDATE($D152,Milestones!$AA$103)&gt;=SchemeStart,IF($X152=0,$AD152,IF(AND($Z152&lt;&gt;"",EDATE($D152,Milestones!$AA$103)&gt;=$Z152),$AC152,IF(AND($Y152&lt;&gt;"",EDATE($D152,Milestones!$AA$103)&gt;=$Y152),$AB152,$AA152)))=Milestones!$AB$103),UPPER(TEXT(EDATE($D152,Milestones!$AA$103),"dd mmm yy"))&amp;" "&amp;Milestones!$AB$103&amp;" "&amp;IF(AND(Milestones!$AB$103="FT",Milestones!$AA$103=FT_Y5,EDATE($D152,Milestones!$AA$103)&lt;PolicyEff),1,Milestones!$AC$103)&amp;";  ",""))</f>
        <v/>
      </c>
      <c r="P152" s="0" t="str">
        <f aca="false">IF(OR($A152="",$D152=""),"",IF(AND(EDATE($D152,Milestones!$AA$104)&lt;=AsOfDate,EDATE($D152,Milestones!$AA$104)&gt;=SchemeStart,IF($X152=0,$AD152,IF(AND($Z152&lt;&gt;"",EDATE($D152,Milestones!$AA$104)&gt;=$Z152),$AC152,IF(AND($Y152&lt;&gt;"",EDATE($D152,Milestones!$AA$104)&gt;=$Y152),$AB152,$AA152)))=Milestones!$AB$104),UPPER(TEXT(EDATE($D152,Milestones!$AA$104),"dd mmm yy"))&amp;" "&amp;Milestones!$AB$104&amp;" "&amp;IF(AND(Milestones!$AB$104="FT",Milestones!$AA$104=FT_Y5,EDATE($D152,Milestones!$AA$104)&lt;PolicyEff),1,Milestones!$AC$104)&amp;";  ","")&amp;IF(AND(EDATE($D152,Milestones!$AA$105)&lt;=AsOfDate,EDATE($D152,Milestones!$AA$105)&gt;=SchemeStart,IF($X152=0,$AD152,IF(AND($Z152&lt;&gt;"",EDATE($D152,Milestones!$AA$105)&gt;=$Z152),$AC152,IF(AND($Y152&lt;&gt;"",EDATE($D152,Milestones!$AA$105)&gt;=$Y152),$AB152,$AA152)))=Milestones!$AB$105),UPPER(TEXT(EDATE($D152,Milestones!$AA$105),"dd mmm yy"))&amp;" "&amp;Milestones!$AB$105&amp;" "&amp;IF(AND(Milestones!$AB$105="FT",Milestones!$AA$105=FT_Y5,EDATE($D152,Milestones!$AA$105)&lt;PolicyEff),1,Milestones!$AC$105)&amp;";  ","")&amp;IF(AND(EDATE($D152,Milestones!$AA$106)&lt;=AsOfDate,EDATE($D152,Milestones!$AA$106)&gt;=SchemeStart,IF($X152=0,$AD152,IF(AND($Z152&lt;&gt;"",EDATE($D152,Milestones!$AA$106)&gt;=$Z152),$AC152,IF(AND($Y152&lt;&gt;"",EDATE($D152,Milestones!$AA$106)&gt;=$Y152),$AB152,$AA152)))=Milestones!$AB$106),UPPER(TEXT(EDATE($D152,Milestones!$AA$106),"dd mmm yy"))&amp;" "&amp;Milestones!$AB$106&amp;" "&amp;IF(AND(Milestones!$AB$106="FT",Milestones!$AA$106=FT_Y5,EDATE($D152,Milestones!$AA$106)&lt;PolicyEff),1,Milestones!$AC$106)&amp;";  ","")&amp;IF(AND(EDATE($D152,Milestones!$AA$107)&lt;=AsOfDate,EDATE($D152,Milestones!$AA$107)&gt;=SchemeStart,IF($X152=0,$AD152,IF(AND($Z152&lt;&gt;"",EDATE($D152,Milestones!$AA$107)&gt;=$Z152),$AC152,IF(AND($Y152&lt;&gt;"",EDATE($D152,Milestones!$AA$107)&gt;=$Y152),$AB152,$AA152)))=Milestones!$AB$107),UPPER(TEXT(EDATE($D152,Milestones!$AA$107),"dd mmm yy"))&amp;" "&amp;Milestones!$AB$107&amp;" "&amp;IF(AND(Milestones!$AB$107="FT",Milestones!$AA$107=FT_Y5,EDATE($D152,Milestones!$AA$107)&lt;PolicyEff),1,Milestones!$AC$107)&amp;";  ","")&amp;IF(AND(EDATE($D152,Milestones!$AA$108)&lt;=AsOfDate,EDATE($D152,Milestones!$AA$108)&gt;=SchemeStart,IF($X152=0,$AD152,IF(AND($Z152&lt;&gt;"",EDATE($D152,Milestones!$AA$108)&gt;=$Z152),$AC152,IF(AND($Y152&lt;&gt;"",EDATE($D152,Milestones!$AA$108)&gt;=$Y152),$AB152,$AA152)))=Milestones!$AB$108),UPPER(TEXT(EDATE($D152,Milestones!$AA$108),"dd mmm yy"))&amp;" "&amp;Milestones!$AB$108&amp;" "&amp;IF(AND(Milestones!$AB$108="FT",Milestones!$AA$108=FT_Y5,EDATE($D152,Milestones!$AA$108)&lt;PolicyEff),1,Milestones!$AC$108)&amp;";  ","")&amp;IF(AND(EDATE($D152,Milestones!$AA$109)&lt;=AsOfDate,EDATE($D152,Milestones!$AA$109)&gt;=SchemeStart,IF($X152=0,$AD152,IF(AND($Z152&lt;&gt;"",EDATE($D152,Milestones!$AA$109)&gt;=$Z152),$AC152,IF(AND($Y152&lt;&gt;"",EDATE($D152,Milestones!$AA$109)&gt;=$Y152),$AB152,$AA152)))=Milestones!$AB$109),UPPER(TEXT(EDATE($D152,Milestones!$AA$109),"dd mmm yy"))&amp;" "&amp;Milestones!$AB$109&amp;" "&amp;IF(AND(Milestones!$AB$109="FT",Milestones!$AA$109=FT_Y5,EDATE($D152,Milestones!$AA$109)&lt;PolicyEff),1,Milestones!$AC$109)&amp;";  ","")&amp;IF(AND(EDATE($D152,Milestones!$AA$110)&lt;=AsOfDate,EDATE($D152,Milestones!$AA$110)&gt;=SchemeStart,IF($X152=0,$AD152,IF(AND($Z152&lt;&gt;"",EDATE($D152,Milestones!$AA$110)&gt;=$Z152),$AC152,IF(AND($Y152&lt;&gt;"",EDATE($D152,Milestones!$AA$110)&gt;=$Y152),$AB152,$AA152)))=Milestones!$AB$110),UPPER(TEXT(EDATE($D152,Milestones!$AA$110),"dd mmm yy"))&amp;" "&amp;Milestones!$AB$110&amp;" "&amp;IF(AND(Milestones!$AB$110="FT",Milestones!$AA$110=FT_Y5,EDATE($D152,Milestones!$AA$110)&lt;PolicyEff),1,Milestones!$AC$110)&amp;";  ","")&amp;IF(AND(EDATE($D152,Milestones!$AA$111)&lt;=AsOfDate,EDATE($D152,Milestones!$AA$111)&gt;=SchemeStart,IF($X152=0,$AD152,IF(AND($Z152&lt;&gt;"",EDATE($D152,Milestones!$AA$111)&gt;=$Z152),$AC152,IF(AND($Y152&lt;&gt;"",EDATE($D152,Milestones!$AA$111)&gt;=$Y152),$AB152,$AA152)))=Milestones!$AB$111),UPPER(TEXT(EDATE($D152,Milestones!$AA$111),"dd mmm yy"))&amp;" "&amp;Milestones!$AB$111&amp;" "&amp;IF(AND(Milestones!$AB$111="FT",Milestones!$AA$111=FT_Y5,EDATE($D152,Milestones!$AA$111)&lt;PolicyEff),1,Milestones!$AC$111)&amp;";  ","")&amp;IF(AND(EDATE($D152,Milestones!$AA$112)&lt;=AsOfDate,EDATE($D152,Milestones!$AA$112)&gt;=SchemeStart,IF($X152=0,$AD152,IF(AND($Z152&lt;&gt;"",EDATE($D152,Milestones!$AA$112)&gt;=$Z152),$AC152,IF(AND($Y152&lt;&gt;"",EDATE($D152,Milestones!$AA$112)&gt;=$Y152),$AB152,$AA152)))=Milestones!$AB$112),UPPER(TEXT(EDATE($D152,Milestones!$AA$112),"dd mmm yy"))&amp;" "&amp;Milestones!$AB$112&amp;" "&amp;IF(AND(Milestones!$AB$112="FT",Milestones!$AA$112=FT_Y5,EDATE($D152,Milestones!$AA$112)&lt;PolicyEff),1,Milestones!$AC$112)&amp;";  ","")&amp;IF(AND(EDATE($D152,Milestones!$AA$113)&lt;=AsOfDate,EDATE($D152,Milestones!$AA$113)&gt;=SchemeStart,IF($X152=0,$AD152,IF(AND($Z152&lt;&gt;"",EDATE($D152,Milestones!$AA$113)&gt;=$Z152),$AC152,IF(AND($Y152&lt;&gt;"",EDATE($D152,Milestones!$AA$113)&gt;=$Y152),$AB152,$AA152)))=Milestones!$AB$113),UPPER(TEXT(EDATE($D152,Milestones!$AA$113),"dd mmm yy"))&amp;" "&amp;Milestones!$AB$113&amp;" "&amp;IF(AND(Milestones!$AB$113="FT",Milestones!$AA$113=FT_Y5,EDATE($D152,Milestones!$AA$113)&lt;PolicyEff),1,Milestones!$AC$113)&amp;";  ","")&amp;IF(AND(EDATE($D152,Milestones!$AA$114)&lt;=AsOfDate,EDATE($D152,Milestones!$AA$114)&gt;=SchemeStart,IF($X152=0,$AD152,IF(AND($Z152&lt;&gt;"",EDATE($D152,Milestones!$AA$114)&gt;=$Z152),$AC152,IF(AND($Y152&lt;&gt;"",EDATE($D152,Milestones!$AA$114)&gt;=$Y152),$AB152,$AA152)))=Milestones!$AB$114),UPPER(TEXT(EDATE($D152,Milestones!$AA$114),"dd mmm yy"))&amp;" "&amp;Milestones!$AB$114&amp;" "&amp;IF(AND(Milestones!$AB$114="FT",Milestones!$AA$114=FT_Y5,EDATE($D152,Milestones!$AA$114)&lt;PolicyEff),1,Milestones!$AC$114)&amp;";  ","")&amp;IF(AND(EDATE($D152,Milestones!$AA$115)&lt;=AsOfDate,EDATE($D152,Milestones!$AA$115)&gt;=SchemeStart,IF($X152=0,$AD152,IF(AND($Z152&lt;&gt;"",EDATE($D152,Milestones!$AA$115)&gt;=$Z152),$AC152,IF(AND($Y152&lt;&gt;"",EDATE($D152,Milestones!$AA$115)&gt;=$Y152),$AB152,$AA152)))=Milestones!$AB$115),UPPER(TEXT(EDATE($D152,Milestones!$AA$115),"dd mmm yy"))&amp;" "&amp;Milestones!$AB$115&amp;" "&amp;IF(AND(Milestones!$AB$115="FT",Milestones!$AA$115=FT_Y5,EDATE($D152,Milestones!$AA$115)&lt;PolicyEff),1,Milestones!$AC$115)&amp;";  ",""))</f>
        <v/>
      </c>
      <c r="Q152" s="0" t="str">
        <f aca="false">IF(OR($A152="",$D152=""),"",IF(AND(EDATE($D152,Milestones!$AA$116)&lt;=AsOfDate,EDATE($D152,Milestones!$AA$116)&gt;=SchemeStart,IF($X152=0,$AD152,IF(AND($Z152&lt;&gt;"",EDATE($D152,Milestones!$AA$116)&gt;=$Z152),$AC152,IF(AND($Y152&lt;&gt;"",EDATE($D152,Milestones!$AA$116)&gt;=$Y152),$AB152,$AA152)))=Milestones!$AB$116),UPPER(TEXT(EDATE($D152,Milestones!$AA$116),"dd mmm yy"))&amp;" "&amp;Milestones!$AB$116&amp;" "&amp;IF(AND(Milestones!$AB$116="FT",Milestones!$AA$116=FT_Y5,EDATE($D152,Milestones!$AA$116)&lt;PolicyEff),1,Milestones!$AC$116)&amp;";  ","")&amp;IF(AND(EDATE($D152,Milestones!$AA$117)&lt;=AsOfDate,EDATE($D152,Milestones!$AA$117)&gt;=SchemeStart,IF($X152=0,$AD152,IF(AND($Z152&lt;&gt;"",EDATE($D152,Milestones!$AA$117)&gt;=$Z152),$AC152,IF(AND($Y152&lt;&gt;"",EDATE($D152,Milestones!$AA$117)&gt;=$Y152),$AB152,$AA152)))=Milestones!$AB$117),UPPER(TEXT(EDATE($D152,Milestones!$AA$117),"dd mmm yy"))&amp;" "&amp;Milestones!$AB$117&amp;" "&amp;IF(AND(Milestones!$AB$117="FT",Milestones!$AA$117=FT_Y5,EDATE($D152,Milestones!$AA$117)&lt;PolicyEff),1,Milestones!$AC$117)&amp;";  ","")&amp;IF(AND(EDATE($D152,Milestones!$AA$118)&lt;=AsOfDate,EDATE($D152,Milestones!$AA$118)&gt;=SchemeStart,IF($X152=0,$AD152,IF(AND($Z152&lt;&gt;"",EDATE($D152,Milestones!$AA$118)&gt;=$Z152),$AC152,IF(AND($Y152&lt;&gt;"",EDATE($D152,Milestones!$AA$118)&gt;=$Y152),$AB152,$AA152)))=Milestones!$AB$118),UPPER(TEXT(EDATE($D152,Milestones!$AA$118),"dd mmm yy"))&amp;" "&amp;Milestones!$AB$118&amp;" "&amp;IF(AND(Milestones!$AB$118="FT",Milestones!$AA$118=FT_Y5,EDATE($D152,Milestones!$AA$118)&lt;PolicyEff),1,Milestones!$AC$118)&amp;";  ","")&amp;IF(AND(EDATE($D152,Milestones!$AA$119)&lt;=AsOfDate,EDATE($D152,Milestones!$AA$119)&gt;=SchemeStart,IF($X152=0,$AD152,IF(AND($Z152&lt;&gt;"",EDATE($D152,Milestones!$AA$119)&gt;=$Z152),$AC152,IF(AND($Y152&lt;&gt;"",EDATE($D152,Milestones!$AA$119)&gt;=$Y152),$AB152,$AA152)))=Milestones!$AB$119),UPPER(TEXT(EDATE($D152,Milestones!$AA$119),"dd mmm yy"))&amp;" "&amp;Milestones!$AB$119&amp;" "&amp;IF(AND(Milestones!$AB$119="FT",Milestones!$AA$119=FT_Y5,EDATE($D152,Milestones!$AA$119)&lt;PolicyEff),1,Milestones!$AC$119)&amp;";  ","")&amp;IF(AND(EDATE($D152,Milestones!$AA$120)&lt;=AsOfDate,EDATE($D152,Milestones!$AA$120)&gt;=SchemeStart,IF($X152=0,$AD152,IF(AND($Z152&lt;&gt;"",EDATE($D152,Milestones!$AA$120)&gt;=$Z152),$AC152,IF(AND($Y152&lt;&gt;"",EDATE($D152,Milestones!$AA$120)&gt;=$Y152),$AB152,$AA152)))=Milestones!$AB$120),UPPER(TEXT(EDATE($D152,Milestones!$AA$120),"dd mmm yy"))&amp;" "&amp;Milestones!$AB$120&amp;" "&amp;IF(AND(Milestones!$AB$120="FT",Milestones!$AA$120=FT_Y5,EDATE($D152,Milestones!$AA$120)&lt;PolicyEff),1,Milestones!$AC$120)&amp;";  ","")&amp;IF(AND(EDATE($D152,Milestones!$AA$121)&lt;=AsOfDate,EDATE($D152,Milestones!$AA$121)&gt;=SchemeStart,IF($X152=0,$AD152,IF(AND($Z152&lt;&gt;"",EDATE($D152,Milestones!$AA$121)&gt;=$Z152),$AC152,IF(AND($Y152&lt;&gt;"",EDATE($D152,Milestones!$AA$121)&gt;=$Y152),$AB152,$AA152)))=Milestones!$AB$121),UPPER(TEXT(EDATE($D152,Milestones!$AA$121),"dd mmm yy"))&amp;" "&amp;Milestones!$AB$121&amp;" "&amp;IF(AND(Milestones!$AB$121="FT",Milestones!$AA$121=FT_Y5,EDATE($D152,Milestones!$AA$121)&lt;PolicyEff),1,Milestones!$AC$121)&amp;";  ","")&amp;IF(AND(EDATE($D152,Milestones!$AA$122)&lt;=AsOfDate,EDATE($D152,Milestones!$AA$122)&gt;=SchemeStart,IF($X152=0,$AD152,IF(AND($Z152&lt;&gt;"",EDATE($D152,Milestones!$AA$122)&gt;=$Z152),$AC152,IF(AND($Y152&lt;&gt;"",EDATE($D152,Milestones!$AA$122)&gt;=$Y152),$AB152,$AA152)))=Milestones!$AB$122),UPPER(TEXT(EDATE($D152,Milestones!$AA$122),"dd mmm yy"))&amp;" "&amp;Milestones!$AB$122&amp;" "&amp;IF(AND(Milestones!$AB$122="FT",Milestones!$AA$122=FT_Y5,EDATE($D152,Milestones!$AA$122)&lt;PolicyEff),1,Milestones!$AC$122)&amp;";  ","")&amp;IF(AND(EDATE($D152,Milestones!$AA$123)&lt;=AsOfDate,EDATE($D152,Milestones!$AA$123)&gt;=SchemeStart,IF($X152=0,$AD152,IF(AND($Z152&lt;&gt;"",EDATE($D152,Milestones!$AA$123)&gt;=$Z152),$AC152,IF(AND($Y152&lt;&gt;"",EDATE($D152,Milestones!$AA$123)&gt;=$Y152),$AB152,$AA152)))=Milestones!$AB$123),UPPER(TEXT(EDATE($D152,Milestones!$AA$123),"dd mmm yy"))&amp;" "&amp;Milestones!$AB$123&amp;" "&amp;IF(AND(Milestones!$AB$123="FT",Milestones!$AA$123=FT_Y5,EDATE($D152,Milestones!$AA$123)&lt;PolicyEff),1,Milestones!$AC$123)&amp;";  ","")&amp;IF(AND(EDATE($D152,Milestones!$AA$124)&lt;=AsOfDate,EDATE($D152,Milestones!$AA$124)&gt;=SchemeStart,IF($X152=0,$AD152,IF(AND($Z152&lt;&gt;"",EDATE($D152,Milestones!$AA$124)&gt;=$Z152),$AC152,IF(AND($Y152&lt;&gt;"",EDATE($D152,Milestones!$AA$124)&gt;=$Y152),$AB152,$AA152)))=Milestones!$AB$124),UPPER(TEXT(EDATE($D152,Milestones!$AA$124),"dd mmm yy"))&amp;" "&amp;Milestones!$AB$124&amp;" "&amp;IF(AND(Milestones!$AB$124="FT",Milestones!$AA$124=FT_Y5,EDATE($D152,Milestones!$AA$124)&lt;PolicyEff),1,Milestones!$AC$124)&amp;";  ","")&amp;IF(AND(EDATE($D152,Milestones!$AA$125)&lt;=AsOfDate,EDATE($D152,Milestones!$AA$125)&gt;=SchemeStart,IF($X152=0,$AD152,IF(AND($Z152&lt;&gt;"",EDATE($D152,Milestones!$AA$125)&gt;=$Z152),$AC152,IF(AND($Y152&lt;&gt;"",EDATE($D152,Milestones!$AA$125)&gt;=$Y152),$AB152,$AA152)))=Milestones!$AB$125),UPPER(TEXT(EDATE($D152,Milestones!$AA$125),"dd mmm yy"))&amp;" "&amp;Milestones!$AB$125&amp;" "&amp;IF(AND(Milestones!$AB$125="FT",Milestones!$AA$125=FT_Y5,EDATE($D152,Milestones!$AA$125)&lt;PolicyEff),1,Milestones!$AC$125)&amp;";  ","")&amp;IF(AND(EDATE($D152,Milestones!$AA$126)&lt;=AsOfDate,EDATE($D152,Milestones!$AA$126)&gt;=SchemeStart,IF($X152=0,$AD152,IF(AND($Z152&lt;&gt;"",EDATE($D152,Milestones!$AA$126)&gt;=$Z152),$AC152,IF(AND($Y152&lt;&gt;"",EDATE($D152,Milestones!$AA$126)&gt;=$Y152),$AB152,$AA152)))=Milestones!$AB$126),UPPER(TEXT(EDATE($D152,Milestones!$AA$126),"dd mmm yy"))&amp;" "&amp;Milestones!$AB$126&amp;" "&amp;IF(AND(Milestones!$AB$126="FT",Milestones!$AA$126=FT_Y5,EDATE($D152,Milestones!$AA$126)&lt;PolicyEff),1,Milestones!$AC$126)&amp;";  ","")&amp;IF(AND(EDATE($D152,Milestones!$AA$127)&lt;=AsOfDate,EDATE($D152,Milestones!$AA$127)&gt;=SchemeStart,IF($X152=0,$AD152,IF(AND($Z152&lt;&gt;"",EDATE($D152,Milestones!$AA$127)&gt;=$Z152),$AC152,IF(AND($Y152&lt;&gt;"",EDATE($D152,Milestones!$AA$127)&gt;=$Y152),$AB152,$AA152)))=Milestones!$AB$127),UPPER(TEXT(EDATE($D152,Milestones!$AA$127),"dd mmm yy"))&amp;" "&amp;Milestones!$AB$127&amp;" "&amp;IF(AND(Milestones!$AB$127="FT",Milestones!$AA$127=FT_Y5,EDATE($D152,Milestones!$AA$127)&lt;PolicyEff),1,Milestones!$AC$127)&amp;";  ",""))</f>
        <v/>
      </c>
      <c r="R152" s="0" t="str">
        <f aca="false">IF(OR($A152="",$D152=""),"",IF(AND(EDATE($D152,Milestones!$AA$128)&lt;=AsOfDate,EDATE($D152,Milestones!$AA$128)&gt;=SchemeStart,IF($X152=0,$AD152,IF(AND($Z152&lt;&gt;"",EDATE($D152,Milestones!$AA$128)&gt;=$Z152),$AC152,IF(AND($Y152&lt;&gt;"",EDATE($D152,Milestones!$AA$128)&gt;=$Y152),$AB152,$AA152)))=Milestones!$AB$128),UPPER(TEXT(EDATE($D152,Milestones!$AA$128),"dd mmm yy"))&amp;" "&amp;Milestones!$AB$128&amp;" "&amp;IF(AND(Milestones!$AB$128="FT",Milestones!$AA$128=FT_Y5,EDATE($D152,Milestones!$AA$128)&lt;PolicyEff),1,Milestones!$AC$128)&amp;";  ","")&amp;IF(AND(EDATE($D152,Milestones!$AA$129)&lt;=AsOfDate,EDATE($D152,Milestones!$AA$129)&gt;=SchemeStart,IF($X152=0,$AD152,IF(AND($Z152&lt;&gt;"",EDATE($D152,Milestones!$AA$129)&gt;=$Z152),$AC152,IF(AND($Y152&lt;&gt;"",EDATE($D152,Milestones!$AA$129)&gt;=$Y152),$AB152,$AA152)))=Milestones!$AB$129),UPPER(TEXT(EDATE($D152,Milestones!$AA$129),"dd mmm yy"))&amp;" "&amp;Milestones!$AB$129&amp;" "&amp;IF(AND(Milestones!$AB$129="FT",Milestones!$AA$129=FT_Y5,EDATE($D152,Milestones!$AA$129)&lt;PolicyEff),1,Milestones!$AC$129)&amp;";  ","")&amp;IF(AND(EDATE($D152,Milestones!$AA$130)&lt;=AsOfDate,EDATE($D152,Milestones!$AA$130)&gt;=SchemeStart,IF($X152=0,$AD152,IF(AND($Z152&lt;&gt;"",EDATE($D152,Milestones!$AA$130)&gt;=$Z152),$AC152,IF(AND($Y152&lt;&gt;"",EDATE($D152,Milestones!$AA$130)&gt;=$Y152),$AB152,$AA152)))=Milestones!$AB$130),UPPER(TEXT(EDATE($D152,Milestones!$AA$130),"dd mmm yy"))&amp;" "&amp;Milestones!$AB$130&amp;" "&amp;IF(AND(Milestones!$AB$130="FT",Milestones!$AA$130=FT_Y5,EDATE($D152,Milestones!$AA$130)&lt;PolicyEff),1,Milestones!$AC$130)&amp;";  ","")&amp;IF(AND(EDATE($D152,Milestones!$AA$131)&lt;=AsOfDate,EDATE($D152,Milestones!$AA$131)&gt;=SchemeStart,IF($X152=0,$AD152,IF(AND($Z152&lt;&gt;"",EDATE($D152,Milestones!$AA$131)&gt;=$Z152),$AC152,IF(AND($Y152&lt;&gt;"",EDATE($D152,Milestones!$AA$131)&gt;=$Y152),$AB152,$AA152)))=Milestones!$AB$131),UPPER(TEXT(EDATE($D152,Milestones!$AA$131),"dd mmm yy"))&amp;" "&amp;Milestones!$AB$131&amp;" "&amp;IF(AND(Milestones!$AB$131="FT",Milestones!$AA$131=FT_Y5,EDATE($D152,Milestones!$AA$131)&lt;PolicyEff),1,Milestones!$AC$131)&amp;";  ","")&amp;IF(AND(EDATE($D152,Milestones!$AA$132)&lt;=AsOfDate,EDATE($D152,Milestones!$AA$132)&gt;=SchemeStart,IF($X152=0,$AD152,IF(AND($Z152&lt;&gt;"",EDATE($D152,Milestones!$AA$132)&gt;=$Z152),$AC152,IF(AND($Y152&lt;&gt;"",EDATE($D152,Milestones!$AA$132)&gt;=$Y152),$AB152,$AA152)))=Milestones!$AB$132),UPPER(TEXT(EDATE($D152,Milestones!$AA$132),"dd mmm yy"))&amp;" "&amp;Milestones!$AB$132&amp;" "&amp;IF(AND(Milestones!$AB$132="FT",Milestones!$AA$132=FT_Y5,EDATE($D152,Milestones!$AA$132)&lt;PolicyEff),1,Milestones!$AC$132)&amp;";  ","")&amp;IF(AND(EDATE($D152,Milestones!$AA$133)&lt;=AsOfDate,EDATE($D152,Milestones!$AA$133)&gt;=SchemeStart,IF($X152=0,$AD152,IF(AND($Z152&lt;&gt;"",EDATE($D152,Milestones!$AA$133)&gt;=$Z152),$AC152,IF(AND($Y152&lt;&gt;"",EDATE($D152,Milestones!$AA$133)&gt;=$Y152),$AB152,$AA152)))=Milestones!$AB$133),UPPER(TEXT(EDATE($D152,Milestones!$AA$133),"dd mmm yy"))&amp;" "&amp;Milestones!$AB$133&amp;" "&amp;IF(AND(Milestones!$AB$133="FT",Milestones!$AA$133=FT_Y5,EDATE($D152,Milestones!$AA$133)&lt;PolicyEff),1,Milestones!$AC$133)&amp;";  ","")&amp;IF(AND(EDATE($D152,Milestones!$AA$134)&lt;=AsOfDate,EDATE($D152,Milestones!$AA$134)&gt;=SchemeStart,IF($X152=0,$AD152,IF(AND($Z152&lt;&gt;"",EDATE($D152,Milestones!$AA$134)&gt;=$Z152),$AC152,IF(AND($Y152&lt;&gt;"",EDATE($D152,Milestones!$AA$134)&gt;=$Y152),$AB152,$AA152)))=Milestones!$AB$134),UPPER(TEXT(EDATE($D152,Milestones!$AA$134),"dd mmm yy"))&amp;" "&amp;Milestones!$AB$134&amp;" "&amp;IF(AND(Milestones!$AB$134="FT",Milestones!$AA$134=FT_Y5,EDATE($D152,Milestones!$AA$134)&lt;PolicyEff),1,Milestones!$AC$134)&amp;";  ","")&amp;IF(AND(EDATE($D152,Milestones!$AA$135)&lt;=AsOfDate,EDATE($D152,Milestones!$AA$135)&gt;=SchemeStart,IF($X152=0,$AD152,IF(AND($Z152&lt;&gt;"",EDATE($D152,Milestones!$AA$135)&gt;=$Z152),$AC152,IF(AND($Y152&lt;&gt;"",EDATE($D152,Milestones!$AA$135)&gt;=$Y152),$AB152,$AA152)))=Milestones!$AB$135),UPPER(TEXT(EDATE($D152,Milestones!$AA$135),"dd mmm yy"))&amp;" "&amp;Milestones!$AB$135&amp;" "&amp;IF(AND(Milestones!$AB$135="FT",Milestones!$AA$135=FT_Y5,EDATE($D152,Milestones!$AA$135)&lt;PolicyEff),1,Milestones!$AC$135)&amp;";  ","")&amp;IF(AND(EDATE($D152,Milestones!$AA$136)&lt;=AsOfDate,EDATE($D152,Milestones!$AA$136)&gt;=SchemeStart,IF($X152=0,$AD152,IF(AND($Z152&lt;&gt;"",EDATE($D152,Milestones!$AA$136)&gt;=$Z152),$AC152,IF(AND($Y152&lt;&gt;"",EDATE($D152,Milestones!$AA$136)&gt;=$Y152),$AB152,$AA152)))=Milestones!$AB$136),UPPER(TEXT(EDATE($D152,Milestones!$AA$136),"dd mmm yy"))&amp;" "&amp;Milestones!$AB$136&amp;" "&amp;IF(AND(Milestones!$AB$136="FT",Milestones!$AA$136=FT_Y5,EDATE($D152,Milestones!$AA$136)&lt;PolicyEff),1,Milestones!$AC$136)&amp;";  ","")&amp;IF(AND(EDATE($D152,Milestones!$AA$137)&lt;=AsOfDate,EDATE($D152,Milestones!$AA$137)&gt;=SchemeStart,IF($X152=0,$AD152,IF(AND($Z152&lt;&gt;"",EDATE($D152,Milestones!$AA$137)&gt;=$Z152),$AC152,IF(AND($Y152&lt;&gt;"",EDATE($D152,Milestones!$AA$137)&gt;=$Y152),$AB152,$AA152)))=Milestones!$AB$137),UPPER(TEXT(EDATE($D152,Milestones!$AA$137),"dd mmm yy"))&amp;" "&amp;Milestones!$AB$137&amp;" "&amp;IF(AND(Milestones!$AB$137="FT",Milestones!$AA$137=FT_Y5,EDATE($D152,Milestones!$AA$137)&lt;PolicyEff),1,Milestones!$AC$137)&amp;";  ","")&amp;IF(AND(EDATE($D152,Milestones!$AA$138)&lt;=AsOfDate,EDATE($D152,Milestones!$AA$138)&gt;=SchemeStart,IF($X152=0,$AD152,IF(AND($Z152&lt;&gt;"",EDATE($D152,Milestones!$AA$138)&gt;=$Z152),$AC152,IF(AND($Y152&lt;&gt;"",EDATE($D152,Milestones!$AA$138)&gt;=$Y152),$AB152,$AA152)))=Milestones!$AB$138),UPPER(TEXT(EDATE($D152,Milestones!$AA$138),"dd mmm yy"))&amp;" "&amp;Milestones!$AB$138&amp;" "&amp;IF(AND(Milestones!$AB$138="FT",Milestones!$AA$138=FT_Y5,EDATE($D152,Milestones!$AA$138)&lt;PolicyEff),1,Milestones!$AC$138)&amp;";  ","")&amp;IF(AND(EDATE($D152,Milestones!$AA$139)&lt;=AsOfDate,EDATE($D152,Milestones!$AA$139)&gt;=SchemeStart,IF($X152=0,$AD152,IF(AND($Z152&lt;&gt;"",EDATE($D152,Milestones!$AA$139)&gt;=$Z152),$AC152,IF(AND($Y152&lt;&gt;"",EDATE($D152,Milestones!$AA$139)&gt;=$Y152),$AB152,$AA152)))=Milestones!$AB$139),UPPER(TEXT(EDATE($D152,Milestones!$AA$139),"dd mmm yy"))&amp;" "&amp;Milestones!$AB$139&amp;" "&amp;IF(AND(Milestones!$AB$139="FT",Milestones!$AA$139=FT_Y5,EDATE($D152,Milestones!$AA$139)&lt;PolicyEff),1,Milestones!$AC$139)&amp;";  ",""))</f>
        <v/>
      </c>
      <c r="S152" s="0" t="str">
        <f aca="false">IF(OR($A152="",$D152=""),"",IF(AND(EDATE($D152,Milestones!$AA$140)&lt;=AsOfDate,EDATE($D152,Milestones!$AA$140)&gt;=SchemeStart,IF($X152=0,$AD152,IF(AND($Z152&lt;&gt;"",EDATE($D152,Milestones!$AA$140)&gt;=$Z152),$AC152,IF(AND($Y152&lt;&gt;"",EDATE($D152,Milestones!$AA$140)&gt;=$Y152),$AB152,$AA152)))=Milestones!$AB$140),UPPER(TEXT(EDATE($D152,Milestones!$AA$140),"dd mmm yy"))&amp;" "&amp;Milestones!$AB$140&amp;" "&amp;IF(AND(Milestones!$AB$140="FT",Milestones!$AA$140=FT_Y5,EDATE($D152,Milestones!$AA$140)&lt;PolicyEff),1,Milestones!$AC$140)&amp;";  ","")&amp;IF(AND(EDATE($D152,Milestones!$AA$141)&lt;=AsOfDate,EDATE($D152,Milestones!$AA$141)&gt;=SchemeStart,IF($X152=0,$AD152,IF(AND($Z152&lt;&gt;"",EDATE($D152,Milestones!$AA$141)&gt;=$Z152),$AC152,IF(AND($Y152&lt;&gt;"",EDATE($D152,Milestones!$AA$141)&gt;=$Y152),$AB152,$AA152)))=Milestones!$AB$141),UPPER(TEXT(EDATE($D152,Milestones!$AA$141),"dd mmm yy"))&amp;" "&amp;Milestones!$AB$141&amp;" "&amp;IF(AND(Milestones!$AB$141="FT",Milestones!$AA$141=FT_Y5,EDATE($D152,Milestones!$AA$141)&lt;PolicyEff),1,Milestones!$AC$141)&amp;";  ","")&amp;IF(AND(EDATE($D152,Milestones!$AA$142)&lt;=AsOfDate,EDATE($D152,Milestones!$AA$142)&gt;=SchemeStart,IF($X152=0,$AD152,IF(AND($Z152&lt;&gt;"",EDATE($D152,Milestones!$AA$142)&gt;=$Z152),$AC152,IF(AND($Y152&lt;&gt;"",EDATE($D152,Milestones!$AA$142)&gt;=$Y152),$AB152,$AA152)))=Milestones!$AB$142),UPPER(TEXT(EDATE($D152,Milestones!$AA$142),"dd mmm yy"))&amp;" "&amp;Milestones!$AB$142&amp;" "&amp;IF(AND(Milestones!$AB$142="FT",Milestones!$AA$142=FT_Y5,EDATE($D152,Milestones!$AA$142)&lt;PolicyEff),1,Milestones!$AC$142)&amp;";  ","")&amp;IF(AND(EDATE($D152,Milestones!$AA$143)&lt;=AsOfDate,EDATE($D152,Milestones!$AA$143)&gt;=SchemeStart,IF($X152=0,$AD152,IF(AND($Z152&lt;&gt;"",EDATE($D152,Milestones!$AA$143)&gt;=$Z152),$AC152,IF(AND($Y152&lt;&gt;"",EDATE($D152,Milestones!$AA$143)&gt;=$Y152),$AB152,$AA152)))=Milestones!$AB$143),UPPER(TEXT(EDATE($D152,Milestones!$AA$143),"dd mmm yy"))&amp;" "&amp;Milestones!$AB$143&amp;" "&amp;IF(AND(Milestones!$AB$143="FT",Milestones!$AA$143=FT_Y5,EDATE($D152,Milestones!$AA$143)&lt;PolicyEff),1,Milestones!$AC$143)&amp;";  ","")&amp;IF(AND(EDATE($D152,Milestones!$AA$144)&lt;=AsOfDate,EDATE($D152,Milestones!$AA$144)&gt;=SchemeStart,IF($X152=0,$AD152,IF(AND($Z152&lt;&gt;"",EDATE($D152,Milestones!$AA$144)&gt;=$Z152),$AC152,IF(AND($Y152&lt;&gt;"",EDATE($D152,Milestones!$AA$144)&gt;=$Y152),$AB152,$AA152)))=Milestones!$AB$144),UPPER(TEXT(EDATE($D152,Milestones!$AA$144),"dd mmm yy"))&amp;" "&amp;Milestones!$AB$144&amp;" "&amp;IF(AND(Milestones!$AB$144="FT",Milestones!$AA$144=FT_Y5,EDATE($D152,Milestones!$AA$144)&lt;PolicyEff),1,Milestones!$AC$144)&amp;";  ","")&amp;IF(AND(EDATE($D152,Milestones!$AA$145)&lt;=AsOfDate,EDATE($D152,Milestones!$AA$145)&gt;=SchemeStart,IF($X152=0,$AD152,IF(AND($Z152&lt;&gt;"",EDATE($D152,Milestones!$AA$145)&gt;=$Z152),$AC152,IF(AND($Y152&lt;&gt;"",EDATE($D152,Milestones!$AA$145)&gt;=$Y152),$AB152,$AA152)))=Milestones!$AB$145),UPPER(TEXT(EDATE($D152,Milestones!$AA$145),"dd mmm yy"))&amp;" "&amp;Milestones!$AB$145&amp;" "&amp;IF(AND(Milestones!$AB$145="FT",Milestones!$AA$145=FT_Y5,EDATE($D152,Milestones!$AA$145)&lt;PolicyEff),1,Milestones!$AC$145)&amp;";  ","")&amp;IF(AND(EDATE($D152,Milestones!$AA$146)&lt;=AsOfDate,EDATE($D152,Milestones!$AA$146)&gt;=SchemeStart,IF($X152=0,$AD152,IF(AND($Z152&lt;&gt;"",EDATE($D152,Milestones!$AA$146)&gt;=$Z152),$AC152,IF(AND($Y152&lt;&gt;"",EDATE($D152,Milestones!$AA$146)&gt;=$Y152),$AB152,$AA152)))=Milestones!$AB$146),UPPER(TEXT(EDATE($D152,Milestones!$AA$146),"dd mmm yy"))&amp;" "&amp;Milestones!$AB$146&amp;" "&amp;IF(AND(Milestones!$AB$146="FT",Milestones!$AA$146=FT_Y5,EDATE($D152,Milestones!$AA$146)&lt;PolicyEff),1,Milestones!$AC$146)&amp;";  ","")&amp;IF(AND(EDATE($D152,Milestones!$AA$147)&lt;=AsOfDate,EDATE($D152,Milestones!$AA$147)&gt;=SchemeStart,IF($X152=0,$AD152,IF(AND($Z152&lt;&gt;"",EDATE($D152,Milestones!$AA$147)&gt;=$Z152),$AC152,IF(AND($Y152&lt;&gt;"",EDATE($D152,Milestones!$AA$147)&gt;=$Y152),$AB152,$AA152)))=Milestones!$AB$147),UPPER(TEXT(EDATE($D152,Milestones!$AA$147),"dd mmm yy"))&amp;" "&amp;Milestones!$AB$147&amp;" "&amp;IF(AND(Milestones!$AB$147="FT",Milestones!$AA$147=FT_Y5,EDATE($D152,Milestones!$AA$147)&lt;PolicyEff),1,Milestones!$AC$147)&amp;";  ","")&amp;IF(AND(EDATE($D152,Milestones!$AA$148)&lt;=AsOfDate,EDATE($D152,Milestones!$AA$148)&gt;=SchemeStart,IF($X152=0,$AD152,IF(AND($Z152&lt;&gt;"",EDATE($D152,Milestones!$AA$148)&gt;=$Z152),$AC152,IF(AND($Y152&lt;&gt;"",EDATE($D152,Milestones!$AA$148)&gt;=$Y152),$AB152,$AA152)))=Milestones!$AB$148),UPPER(TEXT(EDATE($D152,Milestones!$AA$148),"dd mmm yy"))&amp;" "&amp;Milestones!$AB$148&amp;" "&amp;IF(AND(Milestones!$AB$148="FT",Milestones!$AA$148=FT_Y5,EDATE($D152,Milestones!$AA$148)&lt;PolicyEff),1,Milestones!$AC$148)&amp;";  ","")&amp;IF(AND(EDATE($D152,Milestones!$AA$149)&lt;=AsOfDate,EDATE($D152,Milestones!$AA$149)&gt;=SchemeStart,IF($X152=0,$AD152,IF(AND($Z152&lt;&gt;"",EDATE($D152,Milestones!$AA$149)&gt;=$Z152),$AC152,IF(AND($Y152&lt;&gt;"",EDATE($D152,Milestones!$AA$149)&gt;=$Y152),$AB152,$AA152)))=Milestones!$AB$149),UPPER(TEXT(EDATE($D152,Milestones!$AA$149),"dd mmm yy"))&amp;" "&amp;Milestones!$AB$149&amp;" "&amp;IF(AND(Milestones!$AB$149="FT",Milestones!$AA$149=FT_Y5,EDATE($D152,Milestones!$AA$149)&lt;PolicyEff),1,Milestones!$AC$149)&amp;";  ","")&amp;IF(AND(EDATE($D152,Milestones!$AA$150)&lt;=AsOfDate,EDATE($D152,Milestones!$AA$150)&gt;=SchemeStart,IF($X152=0,$AD152,IF(AND($Z152&lt;&gt;"",EDATE($D152,Milestones!$AA$150)&gt;=$Z152),$AC152,IF(AND($Y152&lt;&gt;"",EDATE($D152,Milestones!$AA$150)&gt;=$Y152),$AB152,$AA152)))=Milestones!$AB$150),UPPER(TEXT(EDATE($D152,Milestones!$AA$150),"dd mmm yy"))&amp;" "&amp;Milestones!$AB$150&amp;" "&amp;IF(AND(Milestones!$AB$150="FT",Milestones!$AA$150=FT_Y5,EDATE($D152,Milestones!$AA$150)&lt;PolicyEff),1,Milestones!$AC$150)&amp;";  ","")&amp;IF(AND(EDATE($D152,Milestones!$AA$151)&lt;=AsOfDate,EDATE($D152,Milestones!$AA$151)&gt;=SchemeStart,IF($X152=0,$AD152,IF(AND($Z152&lt;&gt;"",EDATE($D152,Milestones!$AA$151)&gt;=$Z152),$AC152,IF(AND($Y152&lt;&gt;"",EDATE($D152,Milestones!$AA$151)&gt;=$Y152),$AB152,$AA152)))=Milestones!$AB$151),UPPER(TEXT(EDATE($D152,Milestones!$AA$151),"dd mmm yy"))&amp;" "&amp;Milestones!$AB$151&amp;" "&amp;IF(AND(Milestones!$AB$151="FT",Milestones!$AA$151=FT_Y5,EDATE($D152,Milestones!$AA$151)&lt;PolicyEff),1,Milestones!$AC$151)&amp;";  ",""))</f>
        <v/>
      </c>
      <c r="T152" s="0" t="str">
        <f aca="false">IF(OR($A152="",$D152=""),"",IF(AND(EDATE($D152,Milestones!$AA$152)&lt;=AsOfDate,EDATE($D152,Milestones!$AA$152)&gt;=SchemeStart,IF($X152=0,$AD152,IF(AND($Z152&lt;&gt;"",EDATE($D152,Milestones!$AA$152)&gt;=$Z152),$AC152,IF(AND($Y152&lt;&gt;"",EDATE($D152,Milestones!$AA$152)&gt;=$Y152),$AB152,$AA152)))=Milestones!$AB$152),UPPER(TEXT(EDATE($D152,Milestones!$AA$152),"dd mmm yy"))&amp;" "&amp;Milestones!$AB$152&amp;" "&amp;IF(AND(Milestones!$AB$152="FT",Milestones!$AA$152=FT_Y5,EDATE($D152,Milestones!$AA$152)&lt;PolicyEff),1,Milestones!$AC$152)&amp;";  ","")&amp;IF(AND(EDATE($D152,Milestones!$AA$153)&lt;=AsOfDate,EDATE($D152,Milestones!$AA$153)&gt;=SchemeStart,IF($X152=0,$AD152,IF(AND($Z152&lt;&gt;"",EDATE($D152,Milestones!$AA$153)&gt;=$Z152),$AC152,IF(AND($Y152&lt;&gt;"",EDATE($D152,Milestones!$AA$153)&gt;=$Y152),$AB152,$AA152)))=Milestones!$AB$153),UPPER(TEXT(EDATE($D152,Milestones!$AA$153),"dd mmm yy"))&amp;" "&amp;Milestones!$AB$153&amp;" "&amp;IF(AND(Milestones!$AB$153="FT",Milestones!$AA$153=FT_Y5,EDATE($D152,Milestones!$AA$153)&lt;PolicyEff),1,Milestones!$AC$153)&amp;";  ","")&amp;IF(AND(EDATE($D152,Milestones!$AA$154)&lt;=AsOfDate,EDATE($D152,Milestones!$AA$154)&gt;=SchemeStart,IF($X152=0,$AD152,IF(AND($Z152&lt;&gt;"",EDATE($D152,Milestones!$AA$154)&gt;=$Z152),$AC152,IF(AND($Y152&lt;&gt;"",EDATE($D152,Milestones!$AA$154)&gt;=$Y152),$AB152,$AA152)))=Milestones!$AB$154),UPPER(TEXT(EDATE($D152,Milestones!$AA$154),"dd mmm yy"))&amp;" "&amp;Milestones!$AB$154&amp;" "&amp;IF(AND(Milestones!$AB$154="FT",Milestones!$AA$154=FT_Y5,EDATE($D152,Milestones!$AA$154)&lt;PolicyEff),1,Milestones!$AC$154)&amp;";  ","")&amp;IF(AND(EDATE($D152,Milestones!$AA$155)&lt;=AsOfDate,EDATE($D152,Milestones!$AA$155)&gt;=SchemeStart,IF($X152=0,$AD152,IF(AND($Z152&lt;&gt;"",EDATE($D152,Milestones!$AA$155)&gt;=$Z152),$AC152,IF(AND($Y152&lt;&gt;"",EDATE($D152,Milestones!$AA$155)&gt;=$Y152),$AB152,$AA152)))=Milestones!$AB$155),UPPER(TEXT(EDATE($D152,Milestones!$AA$155),"dd mmm yy"))&amp;" "&amp;Milestones!$AB$155&amp;" "&amp;IF(AND(Milestones!$AB$155="FT",Milestones!$AA$155=FT_Y5,EDATE($D152,Milestones!$AA$155)&lt;PolicyEff),1,Milestones!$AC$155)&amp;";  ","")&amp;IF(AND(EDATE($D152,Milestones!$AA$156)&lt;=AsOfDate,EDATE($D152,Milestones!$AA$156)&gt;=SchemeStart,IF($X152=0,$AD152,IF(AND($Z152&lt;&gt;"",EDATE($D152,Milestones!$AA$156)&gt;=$Z152),$AC152,IF(AND($Y152&lt;&gt;"",EDATE($D152,Milestones!$AA$156)&gt;=$Y152),$AB152,$AA152)))=Milestones!$AB$156),UPPER(TEXT(EDATE($D152,Milestones!$AA$156),"dd mmm yy"))&amp;" "&amp;Milestones!$AB$156&amp;" "&amp;IF(AND(Milestones!$AB$156="FT",Milestones!$AA$156=FT_Y5,EDATE($D152,Milestones!$AA$156)&lt;PolicyEff),1,Milestones!$AC$156)&amp;";  ","")&amp;IF(AND(EDATE($D152,Milestones!$AA$157)&lt;=AsOfDate,EDATE($D152,Milestones!$AA$157)&gt;=SchemeStart,IF($X152=0,$AD152,IF(AND($Z152&lt;&gt;"",EDATE($D152,Milestones!$AA$157)&gt;=$Z152),$AC152,IF(AND($Y152&lt;&gt;"",EDATE($D152,Milestones!$AA$157)&gt;=$Y152),$AB152,$AA152)))=Milestones!$AB$157),UPPER(TEXT(EDATE($D152,Milestones!$AA$157),"dd mmm yy"))&amp;" "&amp;Milestones!$AB$157&amp;" "&amp;IF(AND(Milestones!$AB$157="FT",Milestones!$AA$157=FT_Y5,EDATE($D152,Milestones!$AA$157)&lt;PolicyEff),1,Milestones!$AC$157)&amp;";  ","")&amp;IF(AND(EDATE($D152,Milestones!$AA$158)&lt;=AsOfDate,EDATE($D152,Milestones!$AA$158)&gt;=SchemeStart,IF($X152=0,$AD152,IF(AND($Z152&lt;&gt;"",EDATE($D152,Milestones!$AA$158)&gt;=$Z152),$AC152,IF(AND($Y152&lt;&gt;"",EDATE($D152,Milestones!$AA$158)&gt;=$Y152),$AB152,$AA152)))=Milestones!$AB$158),UPPER(TEXT(EDATE($D152,Milestones!$AA$158),"dd mmm yy"))&amp;" "&amp;Milestones!$AB$158&amp;" "&amp;IF(AND(Milestones!$AB$158="FT",Milestones!$AA$158=FT_Y5,EDATE($D152,Milestones!$AA$158)&lt;PolicyEff),1,Milestones!$AC$158)&amp;";  ","")&amp;IF(AND(EDATE($D152,Milestones!$AA$159)&lt;=AsOfDate,EDATE($D152,Milestones!$AA$159)&gt;=SchemeStart,IF($X152=0,$AD152,IF(AND($Z152&lt;&gt;"",EDATE($D152,Milestones!$AA$159)&gt;=$Z152),$AC152,IF(AND($Y152&lt;&gt;"",EDATE($D152,Milestones!$AA$159)&gt;=$Y152),$AB152,$AA152)))=Milestones!$AB$159),UPPER(TEXT(EDATE($D152,Milestones!$AA$159),"dd mmm yy"))&amp;" "&amp;Milestones!$AB$159&amp;" "&amp;IF(AND(Milestones!$AB$159="FT",Milestones!$AA$159=FT_Y5,EDATE($D152,Milestones!$AA$159)&lt;PolicyEff),1,Milestones!$AC$159)&amp;";  ","")&amp;IF(AND(EDATE($D152,Milestones!$AA$160)&lt;=AsOfDate,EDATE($D152,Milestones!$AA$160)&gt;=SchemeStart,IF($X152=0,$AD152,IF(AND($Z152&lt;&gt;"",EDATE($D152,Milestones!$AA$160)&gt;=$Z152),$AC152,IF(AND($Y152&lt;&gt;"",EDATE($D152,Milestones!$AA$160)&gt;=$Y152),$AB152,$AA152)))=Milestones!$AB$160),UPPER(TEXT(EDATE($D152,Milestones!$AA$160),"dd mmm yy"))&amp;" "&amp;Milestones!$AB$160&amp;" "&amp;IF(AND(Milestones!$AB$160="FT",Milestones!$AA$160=FT_Y5,EDATE($D152,Milestones!$AA$160)&lt;PolicyEff),1,Milestones!$AC$160)&amp;";  ","")&amp;IF(AND(EDATE($D152,Milestones!$AA$161)&lt;=AsOfDate,EDATE($D152,Milestones!$AA$161)&gt;=SchemeStart,IF($X152=0,$AD152,IF(AND($Z152&lt;&gt;"",EDATE($D152,Milestones!$AA$161)&gt;=$Z152),$AC152,IF(AND($Y152&lt;&gt;"",EDATE($D152,Milestones!$AA$161)&gt;=$Y152),$AB152,$AA152)))=Milestones!$AB$161),UPPER(TEXT(EDATE($D152,Milestones!$AA$161),"dd mmm yy"))&amp;" "&amp;Milestones!$AB$161&amp;" "&amp;IF(AND(Milestones!$AB$161="FT",Milestones!$AA$161=FT_Y5,EDATE($D152,Milestones!$AA$161)&lt;PolicyEff),1,Milestones!$AC$161)&amp;";  ","")&amp;IF(AND(EDATE($D152,Milestones!$AA$162)&lt;=AsOfDate,EDATE($D152,Milestones!$AA$162)&gt;=SchemeStart,IF($X152=0,$AD152,IF(AND($Z152&lt;&gt;"",EDATE($D152,Milestones!$AA$162)&gt;=$Z152),$AC152,IF(AND($Y152&lt;&gt;"",EDATE($D152,Milestones!$AA$162)&gt;=$Y152),$AB152,$AA152)))=Milestones!$AB$162),UPPER(TEXT(EDATE($D152,Milestones!$AA$162),"dd mmm yy"))&amp;" "&amp;Milestones!$AB$162&amp;" "&amp;IF(AND(Milestones!$AB$162="FT",Milestones!$AA$162=FT_Y5,EDATE($D152,Milestones!$AA$162)&lt;PolicyEff),1,Milestones!$AC$162)&amp;";  ","")&amp;IF(AND(EDATE($D152,Milestones!$AA$163)&lt;=AsOfDate,EDATE($D152,Milestones!$AA$163)&gt;=SchemeStart,IF($X152=0,$AD152,IF(AND($Z152&lt;&gt;"",EDATE($D152,Milestones!$AA$163)&gt;=$Z152),$AC152,IF(AND($Y152&lt;&gt;"",EDATE($D152,Milestones!$AA$163)&gt;=$Y152),$AB152,$AA152)))=Milestones!$AB$163),UPPER(TEXT(EDATE($D152,Milestones!$AA$163),"dd mmm yy"))&amp;" "&amp;Milestones!$AB$163&amp;" "&amp;IF(AND(Milestones!$AB$163="FT",Milestones!$AA$163=FT_Y5,EDATE($D152,Milestones!$AA$163)&lt;PolicyEff),1,Milestones!$AC$163)&amp;";  ",""))</f>
        <v/>
      </c>
      <c r="U152" s="0" t="str">
        <f aca="false">IF(OR($A152="",$D152=""),"",IF(AND(EDATE($D152,Milestones!$AA$164)&lt;=AsOfDate,EDATE($D152,Milestones!$AA$164)&gt;=SchemeStart,IF($X152=0,$AD152,IF(AND($Z152&lt;&gt;"",EDATE($D152,Milestones!$AA$164)&gt;=$Z152),$AC152,IF(AND($Y152&lt;&gt;"",EDATE($D152,Milestones!$AA$164)&gt;=$Y152),$AB152,$AA152)))=Milestones!$AB$164),UPPER(TEXT(EDATE($D152,Milestones!$AA$164),"dd mmm yy"))&amp;" "&amp;Milestones!$AB$164&amp;" "&amp;IF(AND(Milestones!$AB$164="FT",Milestones!$AA$164=FT_Y5,EDATE($D152,Milestones!$AA$164)&lt;PolicyEff),1,Milestones!$AC$164)&amp;";  ","")&amp;IF(AND(EDATE($D152,Milestones!$AA$165)&lt;=AsOfDate,EDATE($D152,Milestones!$AA$165)&gt;=SchemeStart,IF($X152=0,$AD152,IF(AND($Z152&lt;&gt;"",EDATE($D152,Milestones!$AA$165)&gt;=$Z152),$AC152,IF(AND($Y152&lt;&gt;"",EDATE($D152,Milestones!$AA$165)&gt;=$Y152),$AB152,$AA152)))=Milestones!$AB$165),UPPER(TEXT(EDATE($D152,Milestones!$AA$165),"dd mmm yy"))&amp;" "&amp;Milestones!$AB$165&amp;" "&amp;IF(AND(Milestones!$AB$165="FT",Milestones!$AA$165=FT_Y5,EDATE($D152,Milestones!$AA$165)&lt;PolicyEff),1,Milestones!$AC$165)&amp;";  ","")&amp;IF(AND(EDATE($D152,Milestones!$AA$166)&lt;=AsOfDate,EDATE($D152,Milestones!$AA$166)&gt;=SchemeStart,IF($X152=0,$AD152,IF(AND($Z152&lt;&gt;"",EDATE($D152,Milestones!$AA$166)&gt;=$Z152),$AC152,IF(AND($Y152&lt;&gt;"",EDATE($D152,Milestones!$AA$166)&gt;=$Y152),$AB152,$AA152)))=Milestones!$AB$166),UPPER(TEXT(EDATE($D152,Milestones!$AA$166),"dd mmm yy"))&amp;" "&amp;Milestones!$AB$166&amp;" "&amp;IF(AND(Milestones!$AB$166="FT",Milestones!$AA$166=FT_Y5,EDATE($D152,Milestones!$AA$166)&lt;PolicyEff),1,Milestones!$AC$166)&amp;";  ","")&amp;IF(AND(EDATE($D152,Milestones!$AA$167)&lt;=AsOfDate,EDATE($D152,Milestones!$AA$167)&gt;=SchemeStart,IF($X152=0,$AD152,IF(AND($Z152&lt;&gt;"",EDATE($D152,Milestones!$AA$167)&gt;=$Z152),$AC152,IF(AND($Y152&lt;&gt;"",EDATE($D152,Milestones!$AA$167)&gt;=$Y152),$AB152,$AA152)))=Milestones!$AB$167),UPPER(TEXT(EDATE($D152,Milestones!$AA$167),"dd mmm yy"))&amp;" "&amp;Milestones!$AB$167&amp;" "&amp;IF(AND(Milestones!$AB$167="FT",Milestones!$AA$167=FT_Y5,EDATE($D152,Milestones!$AA$167)&lt;PolicyEff),1,Milestones!$AC$167)&amp;";  ","")&amp;IF(AND(EDATE($D152,Milestones!$AA$168)&lt;=AsOfDate,EDATE($D152,Milestones!$AA$168)&gt;=SchemeStart,IF($X152=0,$AD152,IF(AND($Z152&lt;&gt;"",EDATE($D152,Milestones!$AA$168)&gt;=$Z152),$AC152,IF(AND($Y152&lt;&gt;"",EDATE($D152,Milestones!$AA$168)&gt;=$Y152),$AB152,$AA152)))=Milestones!$AB$168),UPPER(TEXT(EDATE($D152,Milestones!$AA$168),"dd mmm yy"))&amp;" "&amp;Milestones!$AB$168&amp;" "&amp;IF(AND(Milestones!$AB$168="FT",Milestones!$AA$168=FT_Y5,EDATE($D152,Milestones!$AA$168)&lt;PolicyEff),1,Milestones!$AC$168)&amp;";  ","")&amp;IF(AND(EDATE($D152,Milestones!$AA$169)&lt;=AsOfDate,EDATE($D152,Milestones!$AA$169)&gt;=SchemeStart,IF($X152=0,$AD152,IF(AND($Z152&lt;&gt;"",EDATE($D152,Milestones!$AA$169)&gt;=$Z152),$AC152,IF(AND($Y152&lt;&gt;"",EDATE($D152,Milestones!$AA$169)&gt;=$Y152),$AB152,$AA152)))=Milestones!$AB$169),UPPER(TEXT(EDATE($D152,Milestones!$AA$169),"dd mmm yy"))&amp;" "&amp;Milestones!$AB$169&amp;" "&amp;IF(AND(Milestones!$AB$169="FT",Milestones!$AA$169=FT_Y5,EDATE($D152,Milestones!$AA$169)&lt;PolicyEff),1,Milestones!$AC$169)&amp;";  ","")&amp;IF(AND(EDATE($D152,Milestones!$AA$170)&lt;=AsOfDate,EDATE($D152,Milestones!$AA$170)&gt;=SchemeStart,IF($X152=0,$AD152,IF(AND($Z152&lt;&gt;"",EDATE($D152,Milestones!$AA$170)&gt;=$Z152),$AC152,IF(AND($Y152&lt;&gt;"",EDATE($D152,Milestones!$AA$170)&gt;=$Y152),$AB152,$AA152)))=Milestones!$AB$170),UPPER(TEXT(EDATE($D152,Milestones!$AA$170),"dd mmm yy"))&amp;" "&amp;Milestones!$AB$170&amp;" "&amp;IF(AND(Milestones!$AB$170="FT",Milestones!$AA$170=FT_Y5,EDATE($D152,Milestones!$AA$170)&lt;PolicyEff),1,Milestones!$AC$170)&amp;";  ","")&amp;IF(AND(EDATE($D152,Milestones!$AA$171)&lt;=AsOfDate,EDATE($D152,Milestones!$AA$171)&gt;=SchemeStart,IF($X152=0,$AD152,IF(AND($Z152&lt;&gt;"",EDATE($D152,Milestones!$AA$171)&gt;=$Z152),$AC152,IF(AND($Y152&lt;&gt;"",EDATE($D152,Milestones!$AA$171)&gt;=$Y152),$AB152,$AA152)))=Milestones!$AB$171),UPPER(TEXT(EDATE($D152,Milestones!$AA$171),"dd mmm yy"))&amp;" "&amp;Milestones!$AB$171&amp;" "&amp;IF(AND(Milestones!$AB$171="FT",Milestones!$AA$171=FT_Y5,EDATE($D152,Milestones!$AA$171)&lt;PolicyEff),1,Milestones!$AC$171)&amp;";  ","")&amp;IF(AND(EDATE($D152,Milestones!$AA$172)&lt;=AsOfDate,EDATE($D152,Milestones!$AA$172)&gt;=SchemeStart,IF($X152=0,$AD152,IF(AND($Z152&lt;&gt;"",EDATE($D152,Milestones!$AA$172)&gt;=$Z152),$AC152,IF(AND($Y152&lt;&gt;"",EDATE($D152,Milestones!$AA$172)&gt;=$Y152),$AB152,$AA152)))=Milestones!$AB$172),UPPER(TEXT(EDATE($D152,Milestones!$AA$172),"dd mmm yy"))&amp;" "&amp;Milestones!$AB$172&amp;" "&amp;IF(AND(Milestones!$AB$172="FT",Milestones!$AA$172=FT_Y5,EDATE($D152,Milestones!$AA$172)&lt;PolicyEff),1,Milestones!$AC$172)&amp;";  ","")&amp;IF(AND(EDATE($D152,Milestones!$AA$173)&lt;=AsOfDate,EDATE($D152,Milestones!$AA$173)&gt;=SchemeStart,IF($X152=0,$AD152,IF(AND($Z152&lt;&gt;"",EDATE($D152,Milestones!$AA$173)&gt;=$Z152),$AC152,IF(AND($Y152&lt;&gt;"",EDATE($D152,Milestones!$AA$173)&gt;=$Y152),$AB152,$AA152)))=Milestones!$AB$173),UPPER(TEXT(EDATE($D152,Milestones!$AA$173),"dd mmm yy"))&amp;" "&amp;Milestones!$AB$173&amp;" "&amp;IF(AND(Milestones!$AB$173="FT",Milestones!$AA$173=FT_Y5,EDATE($D152,Milestones!$AA$173)&lt;PolicyEff),1,Milestones!$AC$173)&amp;";  ","")&amp;IF(AND(EDATE($D152,Milestones!$AA$174)&lt;=AsOfDate,EDATE($D152,Milestones!$AA$174)&gt;=SchemeStart,IF($X152=0,$AD152,IF(AND($Z152&lt;&gt;"",EDATE($D152,Milestones!$AA$174)&gt;=$Z152),$AC152,IF(AND($Y152&lt;&gt;"",EDATE($D152,Milestones!$AA$174)&gt;=$Y152),$AB152,$AA152)))=Milestones!$AB$174),UPPER(TEXT(EDATE($D152,Milestones!$AA$174),"dd mmm yy"))&amp;" "&amp;Milestones!$AB$174&amp;" "&amp;IF(AND(Milestones!$AB$174="FT",Milestones!$AA$174=FT_Y5,EDATE($D152,Milestones!$AA$174)&lt;PolicyEff),1,Milestones!$AC$174)&amp;";  ","")&amp;IF(AND(EDATE($D152,Milestones!$AA$175)&lt;=AsOfDate,EDATE($D152,Milestones!$AA$175)&gt;=SchemeStart,IF($X152=0,$AD152,IF(AND($Z152&lt;&gt;"",EDATE($D152,Milestones!$AA$175)&gt;=$Z152),$AC152,IF(AND($Y152&lt;&gt;"",EDATE($D152,Milestones!$AA$175)&gt;=$Y152),$AB152,$AA152)))=Milestones!$AB$175),UPPER(TEXT(EDATE($D152,Milestones!$AA$175),"dd mmm yy"))&amp;" "&amp;Milestones!$AB$175&amp;" "&amp;IF(AND(Milestones!$AB$175="FT",Milestones!$AA$175=FT_Y5,EDATE($D152,Milestones!$AA$175)&lt;PolicyEff),1,Milestones!$AC$175)&amp;";  ",""))</f>
        <v/>
      </c>
      <c r="V152" s="0" t="str">
        <f aca="false">IF(OR($A152="",$D152=""),"",IF(AND(EDATE($D152,Milestones!$AA$176)&lt;=AsOfDate,EDATE($D152,Milestones!$AA$176)&gt;=SchemeStart,IF($X152=0,$AD152,IF(AND($Z152&lt;&gt;"",EDATE($D152,Milestones!$AA$176)&gt;=$Z152),$AC152,IF(AND($Y152&lt;&gt;"",EDATE($D152,Milestones!$AA$176)&gt;=$Y152),$AB152,$AA152)))=Milestones!$AB$176),UPPER(TEXT(EDATE($D152,Milestones!$AA$176),"dd mmm yy"))&amp;" "&amp;Milestones!$AB$176&amp;" "&amp;IF(AND(Milestones!$AB$176="FT",Milestones!$AA$176=FT_Y5,EDATE($D152,Milestones!$AA$176)&lt;PolicyEff),1,Milestones!$AC$176)&amp;";  ","")&amp;IF(AND(EDATE($D152,Milestones!$AA$177)&lt;=AsOfDate,EDATE($D152,Milestones!$AA$177)&gt;=SchemeStart,IF($X152=0,$AD152,IF(AND($Z152&lt;&gt;"",EDATE($D152,Milestones!$AA$177)&gt;=$Z152),$AC152,IF(AND($Y152&lt;&gt;"",EDATE($D152,Milestones!$AA$177)&gt;=$Y152),$AB152,$AA152)))=Milestones!$AB$177),UPPER(TEXT(EDATE($D152,Milestones!$AA$177),"dd mmm yy"))&amp;" "&amp;Milestones!$AB$177&amp;" "&amp;IF(AND(Milestones!$AB$177="FT",Milestones!$AA$177=FT_Y5,EDATE($D152,Milestones!$AA$177)&lt;PolicyEff),1,Milestones!$AC$177)&amp;";  ","")&amp;IF(AND(EDATE($D152,Milestones!$AA$178)&lt;=AsOfDate,EDATE($D152,Milestones!$AA$178)&gt;=SchemeStart,IF($X152=0,$AD152,IF(AND($Z152&lt;&gt;"",EDATE($D152,Milestones!$AA$178)&gt;=$Z152),$AC152,IF(AND($Y152&lt;&gt;"",EDATE($D152,Milestones!$AA$178)&gt;=$Y152),$AB152,$AA152)))=Milestones!$AB$178),UPPER(TEXT(EDATE($D152,Milestones!$AA$178),"dd mmm yy"))&amp;" "&amp;Milestones!$AB$178&amp;" "&amp;IF(AND(Milestones!$AB$178="FT",Milestones!$AA$178=FT_Y5,EDATE($D152,Milestones!$AA$178)&lt;PolicyEff),1,Milestones!$AC$178)&amp;";  ","")&amp;IF(AND(EDATE($D152,Milestones!$AA$179)&lt;=AsOfDate,EDATE($D152,Milestones!$AA$179)&gt;=SchemeStart,IF($X152=0,$AD152,IF(AND($Z152&lt;&gt;"",EDATE($D152,Milestones!$AA$179)&gt;=$Z152),$AC152,IF(AND($Y152&lt;&gt;"",EDATE($D152,Milestones!$AA$179)&gt;=$Y152),$AB152,$AA152)))=Milestones!$AB$179),UPPER(TEXT(EDATE($D152,Milestones!$AA$179),"dd mmm yy"))&amp;" "&amp;Milestones!$AB$179&amp;" "&amp;IF(AND(Milestones!$AB$179="FT",Milestones!$AA$179=FT_Y5,EDATE($D152,Milestones!$AA$179)&lt;PolicyEff),1,Milestones!$AC$179)&amp;";  ","")&amp;IF(AND(EDATE($D152,Milestones!$AA$180)&lt;=AsOfDate,EDATE($D152,Milestones!$AA$180)&gt;=SchemeStart,IF($X152=0,$AD152,IF(AND($Z152&lt;&gt;"",EDATE($D152,Milestones!$AA$180)&gt;=$Z152),$AC152,IF(AND($Y152&lt;&gt;"",EDATE($D152,Milestones!$AA$180)&gt;=$Y152),$AB152,$AA152)))=Milestones!$AB$180),UPPER(TEXT(EDATE($D152,Milestones!$AA$180),"dd mmm yy"))&amp;" "&amp;Milestones!$AB$180&amp;" "&amp;IF(AND(Milestones!$AB$180="FT",Milestones!$AA$180=FT_Y5,EDATE($D152,Milestones!$AA$180)&lt;PolicyEff),1,Milestones!$AC$180)&amp;";  ","")&amp;IF(AND(EDATE($D152,Milestones!$AA$181)&lt;=AsOfDate,EDATE($D152,Milestones!$AA$181)&gt;=SchemeStart,IF($X152=0,$AD152,IF(AND($Z152&lt;&gt;"",EDATE($D152,Milestones!$AA$181)&gt;=$Z152),$AC152,IF(AND($Y152&lt;&gt;"",EDATE($D152,Milestones!$AA$181)&gt;=$Y152),$AB152,$AA152)))=Milestones!$AB$181),UPPER(TEXT(EDATE($D152,Milestones!$AA$181),"dd mmm yy"))&amp;" "&amp;Milestones!$AB$181&amp;" "&amp;IF(AND(Milestones!$AB$181="FT",Milestones!$AA$181=FT_Y5,EDATE($D152,Milestones!$AA$181)&lt;PolicyEff),1,Milestones!$AC$181)&amp;";  ","")&amp;IF(AND(EDATE($D152,Milestones!$AA$182)&lt;=AsOfDate,EDATE($D152,Milestones!$AA$182)&gt;=SchemeStart,IF($X152=0,$AD152,IF(AND($Z152&lt;&gt;"",EDATE($D152,Milestones!$AA$182)&gt;=$Z152),$AC152,IF(AND($Y152&lt;&gt;"",EDATE($D152,Milestones!$AA$182)&gt;=$Y152),$AB152,$AA152)))=Milestones!$AB$182),UPPER(TEXT(EDATE($D152,Milestones!$AA$182),"dd mmm yy"))&amp;" "&amp;Milestones!$AB$182&amp;" "&amp;IF(AND(Milestones!$AB$182="FT",Milestones!$AA$182=FT_Y5,EDATE($D152,Milestones!$AA$182)&lt;PolicyEff),1,Milestones!$AC$182)&amp;";  ","")&amp;IF(AND(EDATE($D152,Milestones!$AA$183)&lt;=AsOfDate,EDATE($D152,Milestones!$AA$183)&gt;=SchemeStart,IF($X152=0,$AD152,IF(AND($Z152&lt;&gt;"",EDATE($D152,Milestones!$AA$183)&gt;=$Z152),$AC152,IF(AND($Y152&lt;&gt;"",EDATE($D152,Milestones!$AA$183)&gt;=$Y152),$AB152,$AA152)))=Milestones!$AB$183),UPPER(TEXT(EDATE($D152,Milestones!$AA$183),"dd mmm yy"))&amp;" "&amp;Milestones!$AB$183&amp;" "&amp;IF(AND(Milestones!$AB$183="FT",Milestones!$AA$183=FT_Y5,EDATE($D152,Milestones!$AA$183)&lt;PolicyEff),1,Milestones!$AC$183)&amp;";  ","")&amp;IF(AND(EDATE($D152,Milestones!$AA$184)&lt;=AsOfDate,EDATE($D152,Milestones!$AA$184)&gt;=SchemeStart,IF($X152=0,$AD152,IF(AND($Z152&lt;&gt;"",EDATE($D152,Milestones!$AA$184)&gt;=$Z152),$AC152,IF(AND($Y152&lt;&gt;"",EDATE($D152,Milestones!$AA$184)&gt;=$Y152),$AB152,$AA152)))=Milestones!$AB$184),UPPER(TEXT(EDATE($D152,Milestones!$AA$184),"dd mmm yy"))&amp;" "&amp;Milestones!$AB$184&amp;" "&amp;IF(AND(Milestones!$AB$184="FT",Milestones!$AA$184=FT_Y5,EDATE($D152,Milestones!$AA$184)&lt;PolicyEff),1,Milestones!$AC$184)&amp;";  ","")&amp;IF(AND(EDATE($D152,Milestones!$AA$185)&lt;=AsOfDate,EDATE($D152,Milestones!$AA$185)&gt;=SchemeStart,IF($X152=0,$AD152,IF(AND($Z152&lt;&gt;"",EDATE($D152,Milestones!$AA$185)&gt;=$Z152),$AC152,IF(AND($Y152&lt;&gt;"",EDATE($D152,Milestones!$AA$185)&gt;=$Y152),$AB152,$AA152)))=Milestones!$AB$185),UPPER(TEXT(EDATE($D152,Milestones!$AA$185),"dd mmm yy"))&amp;" "&amp;Milestones!$AB$185&amp;" "&amp;IF(AND(Milestones!$AB$185="FT",Milestones!$AA$185=FT_Y5,EDATE($D152,Milestones!$AA$185)&lt;PolicyEff),1,Milestones!$AC$185)&amp;";  ","")&amp;IF(AND(EDATE($D152,Milestones!$AA$186)&lt;=AsOfDate,EDATE($D152,Milestones!$AA$186)&gt;=SchemeStart,IF($X152=0,$AD152,IF(AND($Z152&lt;&gt;"",EDATE($D152,Milestones!$AA$186)&gt;=$Z152),$AC152,IF(AND($Y152&lt;&gt;"",EDATE($D152,Milestones!$AA$186)&gt;=$Y152),$AB152,$AA152)))=Milestones!$AB$186),UPPER(TEXT(EDATE($D152,Milestones!$AA$186),"dd mmm yy"))&amp;" "&amp;Milestones!$AB$186&amp;" "&amp;IF(AND(Milestones!$AB$186="FT",Milestones!$AA$186=FT_Y5,EDATE($D152,Milestones!$AA$186)&lt;PolicyEff),1,Milestones!$AC$186)&amp;";  ","")&amp;IF(AND(EDATE($D152,Milestones!$AA$187)&lt;=AsOfDate,EDATE($D152,Milestones!$AA$187)&gt;=SchemeStart,IF($X152=0,$AD152,IF(AND($Z152&lt;&gt;"",EDATE($D152,Milestones!$AA$187)&gt;=$Z152),$AC152,IF(AND($Y152&lt;&gt;"",EDATE($D152,Milestones!$AA$187)&gt;=$Y152),$AB152,$AA152)))=Milestones!$AB$187),UPPER(TEXT(EDATE($D152,Milestones!$AA$187),"dd mmm yy"))&amp;" "&amp;Milestones!$AB$187&amp;" "&amp;IF(AND(Milestones!$AB$187="FT",Milestones!$AA$187=FT_Y5,EDATE($D152,Milestones!$AA$187)&lt;PolicyEff),1,Milestones!$AC$187)&amp;";  ",""))</f>
        <v/>
      </c>
      <c r="W152" s="0" t="str">
        <f aca="false">IF(OR($A152="",$D152=""),"",IF(AND(EDATE($D152,Milestones!$AA$188)&lt;=AsOfDate,EDATE($D152,Milestones!$AA$188)&gt;=SchemeStart,IF($X152=0,$AD152,IF(AND($Z152&lt;&gt;"",EDATE($D152,Milestones!$AA$188)&gt;=$Z152),$AC152,IF(AND($Y152&lt;&gt;"",EDATE($D152,Milestones!$AA$188)&gt;=$Y152),$AB152,$AA152)))=Milestones!$AB$188),UPPER(TEXT(EDATE($D152,Milestones!$AA$188),"dd mmm yy"))&amp;" "&amp;Milestones!$AB$188&amp;" "&amp;IF(AND(Milestones!$AB$188="FT",Milestones!$AA$188=FT_Y5,EDATE($D152,Milestones!$AA$188)&lt;PolicyEff),1,Milestones!$AC$188)&amp;";  ","")&amp;IF(AND(EDATE($D152,Milestones!$AA$189)&lt;=AsOfDate,EDATE($D152,Milestones!$AA$189)&gt;=SchemeStart,IF($X152=0,$AD152,IF(AND($Z152&lt;&gt;"",EDATE($D152,Milestones!$AA$189)&gt;=$Z152),$AC152,IF(AND($Y152&lt;&gt;"",EDATE($D152,Milestones!$AA$189)&gt;=$Y152),$AB152,$AA152)))=Milestones!$AB$189),UPPER(TEXT(EDATE($D152,Milestones!$AA$189),"dd mmm yy"))&amp;" "&amp;Milestones!$AB$189&amp;" "&amp;IF(AND(Milestones!$AB$189="FT",Milestones!$AA$189=FT_Y5,EDATE($D152,Milestones!$AA$189)&lt;PolicyEff),1,Milestones!$AC$189)&amp;";  ","")&amp;IF(AND(EDATE($D152,Milestones!$AA$190)&lt;=AsOfDate,EDATE($D152,Milestones!$AA$190)&gt;=SchemeStart,IF($X152=0,$AD152,IF(AND($Z152&lt;&gt;"",EDATE($D152,Milestones!$AA$190)&gt;=$Z152),$AC152,IF(AND($Y152&lt;&gt;"",EDATE($D152,Milestones!$AA$190)&gt;=$Y152),$AB152,$AA152)))=Milestones!$AB$190),UPPER(TEXT(EDATE($D152,Milestones!$AA$190),"dd mmm yy"))&amp;" "&amp;Milestones!$AB$190&amp;" "&amp;IF(AND(Milestones!$AB$190="FT",Milestones!$AA$190=FT_Y5,EDATE($D152,Milestones!$AA$190)&lt;PolicyEff),1,Milestones!$AC$190)&amp;";  ","")&amp;IF(AND(EDATE($D152,Milestones!$AA$191)&lt;=AsOfDate,EDATE($D152,Milestones!$AA$191)&gt;=SchemeStart,IF($X152=0,$AD152,IF(AND($Z152&lt;&gt;"",EDATE($D152,Milestones!$AA$191)&gt;=$Z152),$AC152,IF(AND($Y152&lt;&gt;"",EDATE($D152,Milestones!$AA$191)&gt;=$Y152),$AB152,$AA152)))=Milestones!$AB$191),UPPER(TEXT(EDATE($D152,Milestones!$AA$191),"dd mmm yy"))&amp;" "&amp;Milestones!$AB$191&amp;" "&amp;IF(AND(Milestones!$AB$191="FT",Milestones!$AA$191=FT_Y5,EDATE($D152,Milestones!$AA$191)&lt;PolicyEff),1,Milestones!$AC$191)&amp;";  ","")&amp;IF(AND(EDATE($D152,Milestones!$AA$192)&lt;=AsOfDate,EDATE($D152,Milestones!$AA$192)&gt;=SchemeStart,IF($X152=0,$AD152,IF(AND($Z152&lt;&gt;"",EDATE($D152,Milestones!$AA$192)&gt;=$Z152),$AC152,IF(AND($Y152&lt;&gt;"",EDATE($D152,Milestones!$AA$192)&gt;=$Y152),$AB152,$AA152)))=Milestones!$AB$192),UPPER(TEXT(EDATE($D152,Milestones!$AA$192),"dd mmm yy"))&amp;" "&amp;Milestones!$AB$192&amp;" "&amp;IF(AND(Milestones!$AB$192="FT",Milestones!$AA$192=FT_Y5,EDATE($D152,Milestones!$AA$192)&lt;PolicyEff),1,Milestones!$AC$192)&amp;";  ","")&amp;IF(AND(EDATE($D152,Milestones!$AA$193)&lt;=AsOfDate,EDATE($D152,Milestones!$AA$193)&gt;=SchemeStart,IF($X152=0,$AD152,IF(AND($Z152&lt;&gt;"",EDATE($D152,Milestones!$AA$193)&gt;=$Z152),$AC152,IF(AND($Y152&lt;&gt;"",EDATE($D152,Milestones!$AA$193)&gt;=$Y152),$AB152,$AA152)))=Milestones!$AB$193),UPPER(TEXT(EDATE($D152,Milestones!$AA$193),"dd mmm yy"))&amp;" "&amp;Milestones!$AB$193&amp;" "&amp;IF(AND(Milestones!$AB$193="FT",Milestones!$AA$193=FT_Y5,EDATE($D152,Milestones!$AA$193)&lt;PolicyEff),1,Milestones!$AC$193)&amp;";  ","")&amp;IF(AND(EDATE($D152,Milestones!$AA$194)&lt;=AsOfDate,EDATE($D152,Milestones!$AA$194)&gt;=SchemeStart,IF($X152=0,$AD152,IF(AND($Z152&lt;&gt;"",EDATE($D152,Milestones!$AA$194)&gt;=$Z152),$AC152,IF(AND($Y152&lt;&gt;"",EDATE($D152,Milestones!$AA$194)&gt;=$Y152),$AB152,$AA152)))=Milestones!$AB$194),UPPER(TEXT(EDATE($D152,Milestones!$AA$194),"dd mmm yy"))&amp;" "&amp;Milestones!$AB$194&amp;" "&amp;IF(AND(Milestones!$AB$194="FT",Milestones!$AA$194=FT_Y5,EDATE($D152,Milestones!$AA$194)&lt;PolicyEff),1,Milestones!$AC$194)&amp;";  ","")&amp;IF(AND(EDATE($D152,Milestones!$AA$195)&lt;=AsOfDate,EDATE($D152,Milestones!$AA$195)&gt;=SchemeStart,IF($X152=0,$AD152,IF(AND($Z152&lt;&gt;"",EDATE($D152,Milestones!$AA$195)&gt;=$Z152),$AC152,IF(AND($Y152&lt;&gt;"",EDATE($D152,Milestones!$AA$195)&gt;=$Y152),$AB152,$AA152)))=Milestones!$AB$195),UPPER(TEXT(EDATE($D152,Milestones!$AA$195),"dd mmm yy"))&amp;" "&amp;Milestones!$AB$195&amp;" "&amp;IF(AND(Milestones!$AB$195="FT",Milestones!$AA$195=FT_Y5,EDATE($D152,Milestones!$AA$195)&lt;PolicyEff),1,Milestones!$AC$195)&amp;";  ","")&amp;IF(AND(EDATE($D152,Milestones!$AA$196)&lt;=AsOfDate,EDATE($D152,Milestones!$AA$196)&gt;=SchemeStart,IF($X152=0,$AD152,IF(AND($Z152&lt;&gt;"",EDATE($D152,Milestones!$AA$196)&gt;=$Z152),$AC152,IF(AND($Y152&lt;&gt;"",EDATE($D152,Milestones!$AA$196)&gt;=$Y152),$AB152,$AA152)))=Milestones!$AB$196),UPPER(TEXT(EDATE($D152,Milestones!$AA$196),"dd mmm yy"))&amp;" "&amp;Milestones!$AB$196&amp;" "&amp;IF(AND(Milestones!$AB$196="FT",Milestones!$AA$196=FT_Y5,EDATE($D152,Milestones!$AA$196)&lt;PolicyEff),1,Milestones!$AC$196)&amp;";  ","")&amp;IF(AND(EDATE($D152,Milestones!$AA$197)&lt;=AsOfDate,EDATE($D152,Milestones!$AA$197)&gt;=SchemeStart,IF($X152=0,$AD152,IF(AND($Z152&lt;&gt;"",EDATE($D152,Milestones!$AA$197)&gt;=$Z152),$AC152,IF(AND($Y152&lt;&gt;"",EDATE($D152,Milestones!$AA$197)&gt;=$Y152),$AB152,$AA152)))=Milestones!$AB$197),UPPER(TEXT(EDATE($D152,Milestones!$AA$197),"dd mmm yy"))&amp;" "&amp;Milestones!$AB$197&amp;" "&amp;IF(AND(Milestones!$AB$197="FT",Milestones!$AA$197=FT_Y5,EDATE($D152,Milestones!$AA$197)&lt;PolicyEff),1,Milestones!$AC$197)&amp;";  ","")&amp;IF(AND(EDATE($D152,Milestones!$AA$198)&lt;=AsOfDate,EDATE($D152,Milestones!$AA$198)&gt;=SchemeStart,IF($X152=0,$AD152,IF(AND($Z152&lt;&gt;"",EDATE($D152,Milestones!$AA$198)&gt;=$Z152),$AC152,IF(AND($Y152&lt;&gt;"",EDATE($D152,Milestones!$AA$198)&gt;=$Y152),$AB152,$AA152)))=Milestones!$AB$198),UPPER(TEXT(EDATE($D152,Milestones!$AA$198),"dd mmm yy"))&amp;" "&amp;Milestones!$AB$198&amp;" "&amp;IF(AND(Milestones!$AB$198="FT",Milestones!$AA$198=FT_Y5,EDATE($D152,Milestones!$AA$198)&lt;PolicyEff),1,Milestones!$AC$198)&amp;";  ","")&amp;IF(AND(EDATE($D152,Milestones!$AA$199)&lt;=AsOfDate,EDATE($D152,Milestones!$AA$199)&gt;=SchemeStart,IF($X152=0,$AD152,IF(AND($Z152&lt;&gt;"",EDATE($D152,Milestones!$AA$199)&gt;=$Z152),$AC152,IF(AND($Y152&lt;&gt;"",EDATE($D152,Milestones!$AA$199)&gt;=$Y152),$AB152,$AA152)))=Milestones!$AB$199),UPPER(TEXT(EDATE($D152,Milestones!$AA$199),"dd mmm yy"))&amp;" "&amp;Milestones!$AB$199&amp;" "&amp;IF(AND(Milestones!$AB$199="FT",Milestones!$AA$199=FT_Y5,EDATE($D152,Milestones!$AA$199)&lt;PolicyEff),1,Milestones!$AC$199)&amp;";  ",""))</f>
        <v/>
      </c>
      <c r="X152" s="0" t="str">
        <f aca="false">IF(Staff!$A152="","",Staff!$AM152)</f>
        <v/>
      </c>
      <c r="Y152" s="0" t="str">
        <f aca="false">IF(Staff!$A152="","",Staff!$AO152)</f>
        <v/>
      </c>
      <c r="Z152" s="0" t="str">
        <f aca="false">IF(Staff!$A152="","",Staff!$AP152)</f>
        <v/>
      </c>
      <c r="AA152" s="0" t="str">
        <f aca="false">IF(Staff!$A152="","",Staff!$AT152)</f>
        <v/>
      </c>
      <c r="AB152" s="0" t="str">
        <f aca="false">IF(Staff!$A152="","",Staff!$AU152)</f>
        <v/>
      </c>
      <c r="AC152" s="0" t="str">
        <f aca="false">IF(Staff!$A152="","",Staff!$AV152)</f>
        <v/>
      </c>
      <c r="AD152" s="0" t="str">
        <f aca="false">IF(Staff!$A152="","",Staff!$AW152)</f>
        <v/>
      </c>
    </row>
    <row r="153" customFormat="false" ht="15" hidden="false" customHeight="false" outlineLevel="0" collapsed="false">
      <c r="A153" s="16" t="str">
        <f aca="false">IF(Staff!$A153="","",Staff!$A153)</f>
        <v/>
      </c>
      <c r="B153" s="16" t="str">
        <f aca="false">IF(Staff!$A153="","",Staff!$B153)</f>
        <v/>
      </c>
      <c r="C153" s="16" t="str">
        <f aca="false">IF(Staff!$A153="","",Staff!$C153)</f>
        <v/>
      </c>
      <c r="D153" s="14" t="str">
        <f aca="false">IF(Staff!$A153="","",Staff!$AL153)</f>
        <v/>
      </c>
      <c r="E153" s="16" t="str">
        <f aca="false">IF(Staff!$A153="","",Staff!$O153)</f>
        <v/>
      </c>
      <c r="F153" s="16" t="str">
        <f aca="false">IF(E153="","",E153*HoursPerDay)</f>
        <v/>
      </c>
      <c r="G153" s="16" t="str">
        <f aca="false">IF(Staff!$A153="","",Staff!$AE153)</f>
        <v/>
      </c>
      <c r="H153" s="28" t="str">
        <f aca="false">IF($A153="","",I153&amp;J153&amp;K153&amp;L153&amp;M153&amp;N153&amp;O153&amp;P153&amp;Q153&amp;R153&amp;S153&amp;T153&amp;U153&amp;V153&amp;W153)</f>
        <v/>
      </c>
      <c r="I153" s="0" t="str">
        <f aca="false">IF(OR($A153="",$D153=""),"",IF(AND(EDATE($D153,Milestones!$AA$20)&lt;=AsOfDate,EDATE($D153,Milestones!$AA$20)&gt;=SchemeStart,IF($X153=0,$AD153,IF(AND($Z153&lt;&gt;"",EDATE($D153,Milestones!$AA$20)&gt;=$Z153),$AC153,IF(AND($Y153&lt;&gt;"",EDATE($D153,Milestones!$AA$20)&gt;=$Y153),$AB153,$AA153)))=Milestones!$AB$20),UPPER(TEXT(EDATE($D153,Milestones!$AA$20),"dd mmm yy"))&amp;" "&amp;Milestones!$AB$20&amp;" "&amp;IF(AND(Milestones!$AB$20="FT",Milestones!$AA$20=FT_Y5,EDATE($D153,Milestones!$AA$20)&lt;PolicyEff),1,Milestones!$AC$20)&amp;";  ","")&amp;IF(AND(EDATE($D153,Milestones!$AA$21)&lt;=AsOfDate,EDATE($D153,Milestones!$AA$21)&gt;=SchemeStart,IF($X153=0,$AD153,IF(AND($Z153&lt;&gt;"",EDATE($D153,Milestones!$AA$21)&gt;=$Z153),$AC153,IF(AND($Y153&lt;&gt;"",EDATE($D153,Milestones!$AA$21)&gt;=$Y153),$AB153,$AA153)))=Milestones!$AB$21),UPPER(TEXT(EDATE($D153,Milestones!$AA$21),"dd mmm yy"))&amp;" "&amp;Milestones!$AB$21&amp;" "&amp;IF(AND(Milestones!$AB$21="FT",Milestones!$AA$21=FT_Y5,EDATE($D153,Milestones!$AA$21)&lt;PolicyEff),1,Milestones!$AC$21)&amp;";  ","")&amp;IF(AND(EDATE($D153,Milestones!$AA$22)&lt;=AsOfDate,EDATE($D153,Milestones!$AA$22)&gt;=SchemeStart,IF($X153=0,$AD153,IF(AND($Z153&lt;&gt;"",EDATE($D153,Milestones!$AA$22)&gt;=$Z153),$AC153,IF(AND($Y153&lt;&gt;"",EDATE($D153,Milestones!$AA$22)&gt;=$Y153),$AB153,$AA153)))=Milestones!$AB$22),UPPER(TEXT(EDATE($D153,Milestones!$AA$22),"dd mmm yy"))&amp;" "&amp;Milestones!$AB$22&amp;" "&amp;IF(AND(Milestones!$AB$22="FT",Milestones!$AA$22=FT_Y5,EDATE($D153,Milestones!$AA$22)&lt;PolicyEff),1,Milestones!$AC$22)&amp;";  ","")&amp;IF(AND(EDATE($D153,Milestones!$AA$23)&lt;=AsOfDate,EDATE($D153,Milestones!$AA$23)&gt;=SchemeStart,IF($X153=0,$AD153,IF(AND($Z153&lt;&gt;"",EDATE($D153,Milestones!$AA$23)&gt;=$Z153),$AC153,IF(AND($Y153&lt;&gt;"",EDATE($D153,Milestones!$AA$23)&gt;=$Y153),$AB153,$AA153)))=Milestones!$AB$23),UPPER(TEXT(EDATE($D153,Milestones!$AA$23),"dd mmm yy"))&amp;" "&amp;Milestones!$AB$23&amp;" "&amp;IF(AND(Milestones!$AB$23="FT",Milestones!$AA$23=FT_Y5,EDATE($D153,Milestones!$AA$23)&lt;PolicyEff),1,Milestones!$AC$23)&amp;";  ","")&amp;IF(AND(EDATE($D153,Milestones!$AA$24)&lt;=AsOfDate,EDATE($D153,Milestones!$AA$24)&gt;=SchemeStart,IF($X153=0,$AD153,IF(AND($Z153&lt;&gt;"",EDATE($D153,Milestones!$AA$24)&gt;=$Z153),$AC153,IF(AND($Y153&lt;&gt;"",EDATE($D153,Milestones!$AA$24)&gt;=$Y153),$AB153,$AA153)))=Milestones!$AB$24),UPPER(TEXT(EDATE($D153,Milestones!$AA$24),"dd mmm yy"))&amp;" "&amp;Milestones!$AB$24&amp;" "&amp;IF(AND(Milestones!$AB$24="FT",Milestones!$AA$24=FT_Y5,EDATE($D153,Milestones!$AA$24)&lt;PolicyEff),1,Milestones!$AC$24)&amp;";  ","")&amp;IF(AND(EDATE($D153,Milestones!$AA$25)&lt;=AsOfDate,EDATE($D153,Milestones!$AA$25)&gt;=SchemeStart,IF($X153=0,$AD153,IF(AND($Z153&lt;&gt;"",EDATE($D153,Milestones!$AA$25)&gt;=$Z153),$AC153,IF(AND($Y153&lt;&gt;"",EDATE($D153,Milestones!$AA$25)&gt;=$Y153),$AB153,$AA153)))=Milestones!$AB$25),UPPER(TEXT(EDATE($D153,Milestones!$AA$25),"dd mmm yy"))&amp;" "&amp;Milestones!$AB$25&amp;" "&amp;IF(AND(Milestones!$AB$25="FT",Milestones!$AA$25=FT_Y5,EDATE($D153,Milestones!$AA$25)&lt;PolicyEff),1,Milestones!$AC$25)&amp;";  ","")&amp;IF(AND(EDATE($D153,Milestones!$AA$26)&lt;=AsOfDate,EDATE($D153,Milestones!$AA$26)&gt;=SchemeStart,IF($X153=0,$AD153,IF(AND($Z153&lt;&gt;"",EDATE($D153,Milestones!$AA$26)&gt;=$Z153),$AC153,IF(AND($Y153&lt;&gt;"",EDATE($D153,Milestones!$AA$26)&gt;=$Y153),$AB153,$AA153)))=Milestones!$AB$26),UPPER(TEXT(EDATE($D153,Milestones!$AA$26),"dd mmm yy"))&amp;" "&amp;Milestones!$AB$26&amp;" "&amp;IF(AND(Milestones!$AB$26="FT",Milestones!$AA$26=FT_Y5,EDATE($D153,Milestones!$AA$26)&lt;PolicyEff),1,Milestones!$AC$26)&amp;";  ","")&amp;IF(AND(EDATE($D153,Milestones!$AA$27)&lt;=AsOfDate,EDATE($D153,Milestones!$AA$27)&gt;=SchemeStart,IF($X153=0,$AD153,IF(AND($Z153&lt;&gt;"",EDATE($D153,Milestones!$AA$27)&gt;=$Z153),$AC153,IF(AND($Y153&lt;&gt;"",EDATE($D153,Milestones!$AA$27)&gt;=$Y153),$AB153,$AA153)))=Milestones!$AB$27),UPPER(TEXT(EDATE($D153,Milestones!$AA$27),"dd mmm yy"))&amp;" "&amp;Milestones!$AB$27&amp;" "&amp;IF(AND(Milestones!$AB$27="FT",Milestones!$AA$27=FT_Y5,EDATE($D153,Milestones!$AA$27)&lt;PolicyEff),1,Milestones!$AC$27)&amp;";  ","")&amp;IF(AND(EDATE($D153,Milestones!$AA$28)&lt;=AsOfDate,EDATE($D153,Milestones!$AA$28)&gt;=SchemeStart,IF($X153=0,$AD153,IF(AND($Z153&lt;&gt;"",EDATE($D153,Milestones!$AA$28)&gt;=$Z153),$AC153,IF(AND($Y153&lt;&gt;"",EDATE($D153,Milestones!$AA$28)&gt;=$Y153),$AB153,$AA153)))=Milestones!$AB$28),UPPER(TEXT(EDATE($D153,Milestones!$AA$28),"dd mmm yy"))&amp;" "&amp;Milestones!$AB$28&amp;" "&amp;IF(AND(Milestones!$AB$28="FT",Milestones!$AA$28=FT_Y5,EDATE($D153,Milestones!$AA$28)&lt;PolicyEff),1,Milestones!$AC$28)&amp;";  ","")&amp;IF(AND(EDATE($D153,Milestones!$AA$29)&lt;=AsOfDate,EDATE($D153,Milestones!$AA$29)&gt;=SchemeStart,IF($X153=0,$AD153,IF(AND($Z153&lt;&gt;"",EDATE($D153,Milestones!$AA$29)&gt;=$Z153),$AC153,IF(AND($Y153&lt;&gt;"",EDATE($D153,Milestones!$AA$29)&gt;=$Y153),$AB153,$AA153)))=Milestones!$AB$29),UPPER(TEXT(EDATE($D153,Milestones!$AA$29),"dd mmm yy"))&amp;" "&amp;Milestones!$AB$29&amp;" "&amp;IF(AND(Milestones!$AB$29="FT",Milestones!$AA$29=FT_Y5,EDATE($D153,Milestones!$AA$29)&lt;PolicyEff),1,Milestones!$AC$29)&amp;";  ","")&amp;IF(AND(EDATE($D153,Milestones!$AA$30)&lt;=AsOfDate,EDATE($D153,Milestones!$AA$30)&gt;=SchemeStart,IF($X153=0,$AD153,IF(AND($Z153&lt;&gt;"",EDATE($D153,Milestones!$AA$30)&gt;=$Z153),$AC153,IF(AND($Y153&lt;&gt;"",EDATE($D153,Milestones!$AA$30)&gt;=$Y153),$AB153,$AA153)))=Milestones!$AB$30),UPPER(TEXT(EDATE($D153,Milestones!$AA$30),"dd mmm yy"))&amp;" "&amp;Milestones!$AB$30&amp;" "&amp;IF(AND(Milestones!$AB$30="FT",Milestones!$AA$30=FT_Y5,EDATE($D153,Milestones!$AA$30)&lt;PolicyEff),1,Milestones!$AC$30)&amp;";  ","")&amp;IF(AND(EDATE($D153,Milestones!$AA$31)&lt;=AsOfDate,EDATE($D153,Milestones!$AA$31)&gt;=SchemeStart,IF($X153=0,$AD153,IF(AND($Z153&lt;&gt;"",EDATE($D153,Milestones!$AA$31)&gt;=$Z153),$AC153,IF(AND($Y153&lt;&gt;"",EDATE($D153,Milestones!$AA$31)&gt;=$Y153),$AB153,$AA153)))=Milestones!$AB$31),UPPER(TEXT(EDATE($D153,Milestones!$AA$31),"dd mmm yy"))&amp;" "&amp;Milestones!$AB$31&amp;" "&amp;IF(AND(Milestones!$AB$31="FT",Milestones!$AA$31=FT_Y5,EDATE($D153,Milestones!$AA$31)&lt;PolicyEff),1,Milestones!$AC$31)&amp;";  ",""))</f>
        <v/>
      </c>
      <c r="J153" s="0" t="str">
        <f aca="false">IF(OR($A153="",$D153=""),"",IF(AND(EDATE($D153,Milestones!$AA$32)&lt;=AsOfDate,EDATE($D153,Milestones!$AA$32)&gt;=SchemeStart,IF($X153=0,$AD153,IF(AND($Z153&lt;&gt;"",EDATE($D153,Milestones!$AA$32)&gt;=$Z153),$AC153,IF(AND($Y153&lt;&gt;"",EDATE($D153,Milestones!$AA$32)&gt;=$Y153),$AB153,$AA153)))=Milestones!$AB$32),UPPER(TEXT(EDATE($D153,Milestones!$AA$32),"dd mmm yy"))&amp;" "&amp;Milestones!$AB$32&amp;" "&amp;IF(AND(Milestones!$AB$32="FT",Milestones!$AA$32=FT_Y5,EDATE($D153,Milestones!$AA$32)&lt;PolicyEff),1,Milestones!$AC$32)&amp;";  ","")&amp;IF(AND(EDATE($D153,Milestones!$AA$33)&lt;=AsOfDate,EDATE($D153,Milestones!$AA$33)&gt;=SchemeStart,IF($X153=0,$AD153,IF(AND($Z153&lt;&gt;"",EDATE($D153,Milestones!$AA$33)&gt;=$Z153),$AC153,IF(AND($Y153&lt;&gt;"",EDATE($D153,Milestones!$AA$33)&gt;=$Y153),$AB153,$AA153)))=Milestones!$AB$33),UPPER(TEXT(EDATE($D153,Milestones!$AA$33),"dd mmm yy"))&amp;" "&amp;Milestones!$AB$33&amp;" "&amp;IF(AND(Milestones!$AB$33="FT",Milestones!$AA$33=FT_Y5,EDATE($D153,Milestones!$AA$33)&lt;PolicyEff),1,Milestones!$AC$33)&amp;";  ","")&amp;IF(AND(EDATE($D153,Milestones!$AA$34)&lt;=AsOfDate,EDATE($D153,Milestones!$AA$34)&gt;=SchemeStart,IF($X153=0,$AD153,IF(AND($Z153&lt;&gt;"",EDATE($D153,Milestones!$AA$34)&gt;=$Z153),$AC153,IF(AND($Y153&lt;&gt;"",EDATE($D153,Milestones!$AA$34)&gt;=$Y153),$AB153,$AA153)))=Milestones!$AB$34),UPPER(TEXT(EDATE($D153,Milestones!$AA$34),"dd mmm yy"))&amp;" "&amp;Milestones!$AB$34&amp;" "&amp;IF(AND(Milestones!$AB$34="FT",Milestones!$AA$34=FT_Y5,EDATE($D153,Milestones!$AA$34)&lt;PolicyEff),1,Milestones!$AC$34)&amp;";  ","")&amp;IF(AND(EDATE($D153,Milestones!$AA$35)&lt;=AsOfDate,EDATE($D153,Milestones!$AA$35)&gt;=SchemeStart,IF($X153=0,$AD153,IF(AND($Z153&lt;&gt;"",EDATE($D153,Milestones!$AA$35)&gt;=$Z153),$AC153,IF(AND($Y153&lt;&gt;"",EDATE($D153,Milestones!$AA$35)&gt;=$Y153),$AB153,$AA153)))=Milestones!$AB$35),UPPER(TEXT(EDATE($D153,Milestones!$AA$35),"dd mmm yy"))&amp;" "&amp;Milestones!$AB$35&amp;" "&amp;IF(AND(Milestones!$AB$35="FT",Milestones!$AA$35=FT_Y5,EDATE($D153,Milestones!$AA$35)&lt;PolicyEff),1,Milestones!$AC$35)&amp;";  ","")&amp;IF(AND(EDATE($D153,Milestones!$AA$36)&lt;=AsOfDate,EDATE($D153,Milestones!$AA$36)&gt;=SchemeStart,IF($X153=0,$AD153,IF(AND($Z153&lt;&gt;"",EDATE($D153,Milestones!$AA$36)&gt;=$Z153),$AC153,IF(AND($Y153&lt;&gt;"",EDATE($D153,Milestones!$AA$36)&gt;=$Y153),$AB153,$AA153)))=Milestones!$AB$36),UPPER(TEXT(EDATE($D153,Milestones!$AA$36),"dd mmm yy"))&amp;" "&amp;Milestones!$AB$36&amp;" "&amp;IF(AND(Milestones!$AB$36="FT",Milestones!$AA$36=FT_Y5,EDATE($D153,Milestones!$AA$36)&lt;PolicyEff),1,Milestones!$AC$36)&amp;";  ","")&amp;IF(AND(EDATE($D153,Milestones!$AA$37)&lt;=AsOfDate,EDATE($D153,Milestones!$AA$37)&gt;=SchemeStart,IF($X153=0,$AD153,IF(AND($Z153&lt;&gt;"",EDATE($D153,Milestones!$AA$37)&gt;=$Z153),$AC153,IF(AND($Y153&lt;&gt;"",EDATE($D153,Milestones!$AA$37)&gt;=$Y153),$AB153,$AA153)))=Milestones!$AB$37),UPPER(TEXT(EDATE($D153,Milestones!$AA$37),"dd mmm yy"))&amp;" "&amp;Milestones!$AB$37&amp;" "&amp;IF(AND(Milestones!$AB$37="FT",Milestones!$AA$37=FT_Y5,EDATE($D153,Milestones!$AA$37)&lt;PolicyEff),1,Milestones!$AC$37)&amp;";  ","")&amp;IF(AND(EDATE($D153,Milestones!$AA$38)&lt;=AsOfDate,EDATE($D153,Milestones!$AA$38)&gt;=SchemeStart,IF($X153=0,$AD153,IF(AND($Z153&lt;&gt;"",EDATE($D153,Milestones!$AA$38)&gt;=$Z153),$AC153,IF(AND($Y153&lt;&gt;"",EDATE($D153,Milestones!$AA$38)&gt;=$Y153),$AB153,$AA153)))=Milestones!$AB$38),UPPER(TEXT(EDATE($D153,Milestones!$AA$38),"dd mmm yy"))&amp;" "&amp;Milestones!$AB$38&amp;" "&amp;IF(AND(Milestones!$AB$38="FT",Milestones!$AA$38=FT_Y5,EDATE($D153,Milestones!$AA$38)&lt;PolicyEff),1,Milestones!$AC$38)&amp;";  ","")&amp;IF(AND(EDATE($D153,Milestones!$AA$39)&lt;=AsOfDate,EDATE($D153,Milestones!$AA$39)&gt;=SchemeStart,IF($X153=0,$AD153,IF(AND($Z153&lt;&gt;"",EDATE($D153,Milestones!$AA$39)&gt;=$Z153),$AC153,IF(AND($Y153&lt;&gt;"",EDATE($D153,Milestones!$AA$39)&gt;=$Y153),$AB153,$AA153)))=Milestones!$AB$39),UPPER(TEXT(EDATE($D153,Milestones!$AA$39),"dd mmm yy"))&amp;" "&amp;Milestones!$AB$39&amp;" "&amp;IF(AND(Milestones!$AB$39="FT",Milestones!$AA$39=FT_Y5,EDATE($D153,Milestones!$AA$39)&lt;PolicyEff),1,Milestones!$AC$39)&amp;";  ","")&amp;IF(AND(EDATE($D153,Milestones!$AA$40)&lt;=AsOfDate,EDATE($D153,Milestones!$AA$40)&gt;=SchemeStart,IF($X153=0,$AD153,IF(AND($Z153&lt;&gt;"",EDATE($D153,Milestones!$AA$40)&gt;=$Z153),$AC153,IF(AND($Y153&lt;&gt;"",EDATE($D153,Milestones!$AA$40)&gt;=$Y153),$AB153,$AA153)))=Milestones!$AB$40),UPPER(TEXT(EDATE($D153,Milestones!$AA$40),"dd mmm yy"))&amp;" "&amp;Milestones!$AB$40&amp;" "&amp;IF(AND(Milestones!$AB$40="FT",Milestones!$AA$40=FT_Y5,EDATE($D153,Milestones!$AA$40)&lt;PolicyEff),1,Milestones!$AC$40)&amp;";  ","")&amp;IF(AND(EDATE($D153,Milestones!$AA$41)&lt;=AsOfDate,EDATE($D153,Milestones!$AA$41)&gt;=SchemeStart,IF($X153=0,$AD153,IF(AND($Z153&lt;&gt;"",EDATE($D153,Milestones!$AA$41)&gt;=$Z153),$AC153,IF(AND($Y153&lt;&gt;"",EDATE($D153,Milestones!$AA$41)&gt;=$Y153),$AB153,$AA153)))=Milestones!$AB$41),UPPER(TEXT(EDATE($D153,Milestones!$AA$41),"dd mmm yy"))&amp;" "&amp;Milestones!$AB$41&amp;" "&amp;IF(AND(Milestones!$AB$41="FT",Milestones!$AA$41=FT_Y5,EDATE($D153,Milestones!$AA$41)&lt;PolicyEff),1,Milestones!$AC$41)&amp;";  ","")&amp;IF(AND(EDATE($D153,Milestones!$AA$42)&lt;=AsOfDate,EDATE($D153,Milestones!$AA$42)&gt;=SchemeStart,IF($X153=0,$AD153,IF(AND($Z153&lt;&gt;"",EDATE($D153,Milestones!$AA$42)&gt;=$Z153),$AC153,IF(AND($Y153&lt;&gt;"",EDATE($D153,Milestones!$AA$42)&gt;=$Y153),$AB153,$AA153)))=Milestones!$AB$42),UPPER(TEXT(EDATE($D153,Milestones!$AA$42),"dd mmm yy"))&amp;" "&amp;Milestones!$AB$42&amp;" "&amp;IF(AND(Milestones!$AB$42="FT",Milestones!$AA$42=FT_Y5,EDATE($D153,Milestones!$AA$42)&lt;PolicyEff),1,Milestones!$AC$42)&amp;";  ","")&amp;IF(AND(EDATE($D153,Milestones!$AA$43)&lt;=AsOfDate,EDATE($D153,Milestones!$AA$43)&gt;=SchemeStart,IF($X153=0,$AD153,IF(AND($Z153&lt;&gt;"",EDATE($D153,Milestones!$AA$43)&gt;=$Z153),$AC153,IF(AND($Y153&lt;&gt;"",EDATE($D153,Milestones!$AA$43)&gt;=$Y153),$AB153,$AA153)))=Milestones!$AB$43),UPPER(TEXT(EDATE($D153,Milestones!$AA$43),"dd mmm yy"))&amp;" "&amp;Milestones!$AB$43&amp;" "&amp;IF(AND(Milestones!$AB$43="FT",Milestones!$AA$43=FT_Y5,EDATE($D153,Milestones!$AA$43)&lt;PolicyEff),1,Milestones!$AC$43)&amp;";  ",""))</f>
        <v/>
      </c>
      <c r="K153" s="0" t="str">
        <f aca="false">IF(OR($A153="",$D153=""),"",IF(AND(EDATE($D153,Milestones!$AA$44)&lt;=AsOfDate,EDATE($D153,Milestones!$AA$44)&gt;=SchemeStart,IF($X153=0,$AD153,IF(AND($Z153&lt;&gt;"",EDATE($D153,Milestones!$AA$44)&gt;=$Z153),$AC153,IF(AND($Y153&lt;&gt;"",EDATE($D153,Milestones!$AA$44)&gt;=$Y153),$AB153,$AA153)))=Milestones!$AB$44),UPPER(TEXT(EDATE($D153,Milestones!$AA$44),"dd mmm yy"))&amp;" "&amp;Milestones!$AB$44&amp;" "&amp;IF(AND(Milestones!$AB$44="FT",Milestones!$AA$44=FT_Y5,EDATE($D153,Milestones!$AA$44)&lt;PolicyEff),1,Milestones!$AC$44)&amp;";  ","")&amp;IF(AND(EDATE($D153,Milestones!$AA$45)&lt;=AsOfDate,EDATE($D153,Milestones!$AA$45)&gt;=SchemeStart,IF($X153=0,$AD153,IF(AND($Z153&lt;&gt;"",EDATE($D153,Milestones!$AA$45)&gt;=$Z153),$AC153,IF(AND($Y153&lt;&gt;"",EDATE($D153,Milestones!$AA$45)&gt;=$Y153),$AB153,$AA153)))=Milestones!$AB$45),UPPER(TEXT(EDATE($D153,Milestones!$AA$45),"dd mmm yy"))&amp;" "&amp;Milestones!$AB$45&amp;" "&amp;IF(AND(Milestones!$AB$45="FT",Milestones!$AA$45=FT_Y5,EDATE($D153,Milestones!$AA$45)&lt;PolicyEff),1,Milestones!$AC$45)&amp;";  ","")&amp;IF(AND(EDATE($D153,Milestones!$AA$46)&lt;=AsOfDate,EDATE($D153,Milestones!$AA$46)&gt;=SchemeStart,IF($X153=0,$AD153,IF(AND($Z153&lt;&gt;"",EDATE($D153,Milestones!$AA$46)&gt;=$Z153),$AC153,IF(AND($Y153&lt;&gt;"",EDATE($D153,Milestones!$AA$46)&gt;=$Y153),$AB153,$AA153)))=Milestones!$AB$46),UPPER(TEXT(EDATE($D153,Milestones!$AA$46),"dd mmm yy"))&amp;" "&amp;Milestones!$AB$46&amp;" "&amp;IF(AND(Milestones!$AB$46="FT",Milestones!$AA$46=FT_Y5,EDATE($D153,Milestones!$AA$46)&lt;PolicyEff),1,Milestones!$AC$46)&amp;";  ","")&amp;IF(AND(EDATE($D153,Milestones!$AA$47)&lt;=AsOfDate,EDATE($D153,Milestones!$AA$47)&gt;=SchemeStart,IF($X153=0,$AD153,IF(AND($Z153&lt;&gt;"",EDATE($D153,Milestones!$AA$47)&gt;=$Z153),$AC153,IF(AND($Y153&lt;&gt;"",EDATE($D153,Milestones!$AA$47)&gt;=$Y153),$AB153,$AA153)))=Milestones!$AB$47),UPPER(TEXT(EDATE($D153,Milestones!$AA$47),"dd mmm yy"))&amp;" "&amp;Milestones!$AB$47&amp;" "&amp;IF(AND(Milestones!$AB$47="FT",Milestones!$AA$47=FT_Y5,EDATE($D153,Milestones!$AA$47)&lt;PolicyEff),1,Milestones!$AC$47)&amp;";  ","")&amp;IF(AND(EDATE($D153,Milestones!$AA$48)&lt;=AsOfDate,EDATE($D153,Milestones!$AA$48)&gt;=SchemeStart,IF($X153=0,$AD153,IF(AND($Z153&lt;&gt;"",EDATE($D153,Milestones!$AA$48)&gt;=$Z153),$AC153,IF(AND($Y153&lt;&gt;"",EDATE($D153,Milestones!$AA$48)&gt;=$Y153),$AB153,$AA153)))=Milestones!$AB$48),UPPER(TEXT(EDATE($D153,Milestones!$AA$48),"dd mmm yy"))&amp;" "&amp;Milestones!$AB$48&amp;" "&amp;IF(AND(Milestones!$AB$48="FT",Milestones!$AA$48=FT_Y5,EDATE($D153,Milestones!$AA$48)&lt;PolicyEff),1,Milestones!$AC$48)&amp;";  ","")&amp;IF(AND(EDATE($D153,Milestones!$AA$49)&lt;=AsOfDate,EDATE($D153,Milestones!$AA$49)&gt;=SchemeStart,IF($X153=0,$AD153,IF(AND($Z153&lt;&gt;"",EDATE($D153,Milestones!$AA$49)&gt;=$Z153),$AC153,IF(AND($Y153&lt;&gt;"",EDATE($D153,Milestones!$AA$49)&gt;=$Y153),$AB153,$AA153)))=Milestones!$AB$49),UPPER(TEXT(EDATE($D153,Milestones!$AA$49),"dd mmm yy"))&amp;" "&amp;Milestones!$AB$49&amp;" "&amp;IF(AND(Milestones!$AB$49="FT",Milestones!$AA$49=FT_Y5,EDATE($D153,Milestones!$AA$49)&lt;PolicyEff),1,Milestones!$AC$49)&amp;";  ","")&amp;IF(AND(EDATE($D153,Milestones!$AA$50)&lt;=AsOfDate,EDATE($D153,Milestones!$AA$50)&gt;=SchemeStart,IF($X153=0,$AD153,IF(AND($Z153&lt;&gt;"",EDATE($D153,Milestones!$AA$50)&gt;=$Z153),$AC153,IF(AND($Y153&lt;&gt;"",EDATE($D153,Milestones!$AA$50)&gt;=$Y153),$AB153,$AA153)))=Milestones!$AB$50),UPPER(TEXT(EDATE($D153,Milestones!$AA$50),"dd mmm yy"))&amp;" "&amp;Milestones!$AB$50&amp;" "&amp;IF(AND(Milestones!$AB$50="FT",Milestones!$AA$50=FT_Y5,EDATE($D153,Milestones!$AA$50)&lt;PolicyEff),1,Milestones!$AC$50)&amp;";  ","")&amp;IF(AND(EDATE($D153,Milestones!$AA$51)&lt;=AsOfDate,EDATE($D153,Milestones!$AA$51)&gt;=SchemeStart,IF($X153=0,$AD153,IF(AND($Z153&lt;&gt;"",EDATE($D153,Milestones!$AA$51)&gt;=$Z153),$AC153,IF(AND($Y153&lt;&gt;"",EDATE($D153,Milestones!$AA$51)&gt;=$Y153),$AB153,$AA153)))=Milestones!$AB$51),UPPER(TEXT(EDATE($D153,Milestones!$AA$51),"dd mmm yy"))&amp;" "&amp;Milestones!$AB$51&amp;" "&amp;IF(AND(Milestones!$AB$51="FT",Milestones!$AA$51=FT_Y5,EDATE($D153,Milestones!$AA$51)&lt;PolicyEff),1,Milestones!$AC$51)&amp;";  ","")&amp;IF(AND(EDATE($D153,Milestones!$AA$52)&lt;=AsOfDate,EDATE($D153,Milestones!$AA$52)&gt;=SchemeStart,IF($X153=0,$AD153,IF(AND($Z153&lt;&gt;"",EDATE($D153,Milestones!$AA$52)&gt;=$Z153),$AC153,IF(AND($Y153&lt;&gt;"",EDATE($D153,Milestones!$AA$52)&gt;=$Y153),$AB153,$AA153)))=Milestones!$AB$52),UPPER(TEXT(EDATE($D153,Milestones!$AA$52),"dd mmm yy"))&amp;" "&amp;Milestones!$AB$52&amp;" "&amp;IF(AND(Milestones!$AB$52="FT",Milestones!$AA$52=FT_Y5,EDATE($D153,Milestones!$AA$52)&lt;PolicyEff),1,Milestones!$AC$52)&amp;";  ","")&amp;IF(AND(EDATE($D153,Milestones!$AA$53)&lt;=AsOfDate,EDATE($D153,Milestones!$AA$53)&gt;=SchemeStart,IF($X153=0,$AD153,IF(AND($Z153&lt;&gt;"",EDATE($D153,Milestones!$AA$53)&gt;=$Z153),$AC153,IF(AND($Y153&lt;&gt;"",EDATE($D153,Milestones!$AA$53)&gt;=$Y153),$AB153,$AA153)))=Milestones!$AB$53),UPPER(TEXT(EDATE($D153,Milestones!$AA$53),"dd mmm yy"))&amp;" "&amp;Milestones!$AB$53&amp;" "&amp;IF(AND(Milestones!$AB$53="FT",Milestones!$AA$53=FT_Y5,EDATE($D153,Milestones!$AA$53)&lt;PolicyEff),1,Milestones!$AC$53)&amp;";  ","")&amp;IF(AND(EDATE($D153,Milestones!$AA$54)&lt;=AsOfDate,EDATE($D153,Milestones!$AA$54)&gt;=SchemeStart,IF($X153=0,$AD153,IF(AND($Z153&lt;&gt;"",EDATE($D153,Milestones!$AA$54)&gt;=$Z153),$AC153,IF(AND($Y153&lt;&gt;"",EDATE($D153,Milestones!$AA$54)&gt;=$Y153),$AB153,$AA153)))=Milestones!$AB$54),UPPER(TEXT(EDATE($D153,Milestones!$AA$54),"dd mmm yy"))&amp;" "&amp;Milestones!$AB$54&amp;" "&amp;IF(AND(Milestones!$AB$54="FT",Milestones!$AA$54=FT_Y5,EDATE($D153,Milestones!$AA$54)&lt;PolicyEff),1,Milestones!$AC$54)&amp;";  ","")&amp;IF(AND(EDATE($D153,Milestones!$AA$55)&lt;=AsOfDate,EDATE($D153,Milestones!$AA$55)&gt;=SchemeStart,IF($X153=0,$AD153,IF(AND($Z153&lt;&gt;"",EDATE($D153,Milestones!$AA$55)&gt;=$Z153),$AC153,IF(AND($Y153&lt;&gt;"",EDATE($D153,Milestones!$AA$55)&gt;=$Y153),$AB153,$AA153)))=Milestones!$AB$55),UPPER(TEXT(EDATE($D153,Milestones!$AA$55),"dd mmm yy"))&amp;" "&amp;Milestones!$AB$55&amp;" "&amp;IF(AND(Milestones!$AB$55="FT",Milestones!$AA$55=FT_Y5,EDATE($D153,Milestones!$AA$55)&lt;PolicyEff),1,Milestones!$AC$55)&amp;";  ",""))</f>
        <v/>
      </c>
      <c r="L153" s="0" t="str">
        <f aca="false">IF(OR($A153="",$D153=""),"",IF(AND(EDATE($D153,Milestones!$AA$56)&lt;=AsOfDate,EDATE($D153,Milestones!$AA$56)&gt;=SchemeStart,IF($X153=0,$AD153,IF(AND($Z153&lt;&gt;"",EDATE($D153,Milestones!$AA$56)&gt;=$Z153),$AC153,IF(AND($Y153&lt;&gt;"",EDATE($D153,Milestones!$AA$56)&gt;=$Y153),$AB153,$AA153)))=Milestones!$AB$56),UPPER(TEXT(EDATE($D153,Milestones!$AA$56),"dd mmm yy"))&amp;" "&amp;Milestones!$AB$56&amp;" "&amp;IF(AND(Milestones!$AB$56="FT",Milestones!$AA$56=FT_Y5,EDATE($D153,Milestones!$AA$56)&lt;PolicyEff),1,Milestones!$AC$56)&amp;";  ","")&amp;IF(AND(EDATE($D153,Milestones!$AA$57)&lt;=AsOfDate,EDATE($D153,Milestones!$AA$57)&gt;=SchemeStart,IF($X153=0,$AD153,IF(AND($Z153&lt;&gt;"",EDATE($D153,Milestones!$AA$57)&gt;=$Z153),$AC153,IF(AND($Y153&lt;&gt;"",EDATE($D153,Milestones!$AA$57)&gt;=$Y153),$AB153,$AA153)))=Milestones!$AB$57),UPPER(TEXT(EDATE($D153,Milestones!$AA$57),"dd mmm yy"))&amp;" "&amp;Milestones!$AB$57&amp;" "&amp;IF(AND(Milestones!$AB$57="FT",Milestones!$AA$57=FT_Y5,EDATE($D153,Milestones!$AA$57)&lt;PolicyEff),1,Milestones!$AC$57)&amp;";  ","")&amp;IF(AND(EDATE($D153,Milestones!$AA$58)&lt;=AsOfDate,EDATE($D153,Milestones!$AA$58)&gt;=SchemeStart,IF($X153=0,$AD153,IF(AND($Z153&lt;&gt;"",EDATE($D153,Milestones!$AA$58)&gt;=$Z153),$AC153,IF(AND($Y153&lt;&gt;"",EDATE($D153,Milestones!$AA$58)&gt;=$Y153),$AB153,$AA153)))=Milestones!$AB$58),UPPER(TEXT(EDATE($D153,Milestones!$AA$58),"dd mmm yy"))&amp;" "&amp;Milestones!$AB$58&amp;" "&amp;IF(AND(Milestones!$AB$58="FT",Milestones!$AA$58=FT_Y5,EDATE($D153,Milestones!$AA$58)&lt;PolicyEff),1,Milestones!$AC$58)&amp;";  ","")&amp;IF(AND(EDATE($D153,Milestones!$AA$59)&lt;=AsOfDate,EDATE($D153,Milestones!$AA$59)&gt;=SchemeStart,IF($X153=0,$AD153,IF(AND($Z153&lt;&gt;"",EDATE($D153,Milestones!$AA$59)&gt;=$Z153),$AC153,IF(AND($Y153&lt;&gt;"",EDATE($D153,Milestones!$AA$59)&gt;=$Y153),$AB153,$AA153)))=Milestones!$AB$59),UPPER(TEXT(EDATE($D153,Milestones!$AA$59),"dd mmm yy"))&amp;" "&amp;Milestones!$AB$59&amp;" "&amp;IF(AND(Milestones!$AB$59="FT",Milestones!$AA$59=FT_Y5,EDATE($D153,Milestones!$AA$59)&lt;PolicyEff),1,Milestones!$AC$59)&amp;";  ","")&amp;IF(AND(EDATE($D153,Milestones!$AA$60)&lt;=AsOfDate,EDATE($D153,Milestones!$AA$60)&gt;=SchemeStart,IF($X153=0,$AD153,IF(AND($Z153&lt;&gt;"",EDATE($D153,Milestones!$AA$60)&gt;=$Z153),$AC153,IF(AND($Y153&lt;&gt;"",EDATE($D153,Milestones!$AA$60)&gt;=$Y153),$AB153,$AA153)))=Milestones!$AB$60),UPPER(TEXT(EDATE($D153,Milestones!$AA$60),"dd mmm yy"))&amp;" "&amp;Milestones!$AB$60&amp;" "&amp;IF(AND(Milestones!$AB$60="FT",Milestones!$AA$60=FT_Y5,EDATE($D153,Milestones!$AA$60)&lt;PolicyEff),1,Milestones!$AC$60)&amp;";  ","")&amp;IF(AND(EDATE($D153,Milestones!$AA$61)&lt;=AsOfDate,EDATE($D153,Milestones!$AA$61)&gt;=SchemeStart,IF($X153=0,$AD153,IF(AND($Z153&lt;&gt;"",EDATE($D153,Milestones!$AA$61)&gt;=$Z153),$AC153,IF(AND($Y153&lt;&gt;"",EDATE($D153,Milestones!$AA$61)&gt;=$Y153),$AB153,$AA153)))=Milestones!$AB$61),UPPER(TEXT(EDATE($D153,Milestones!$AA$61),"dd mmm yy"))&amp;" "&amp;Milestones!$AB$61&amp;" "&amp;IF(AND(Milestones!$AB$61="FT",Milestones!$AA$61=FT_Y5,EDATE($D153,Milestones!$AA$61)&lt;PolicyEff),1,Milestones!$AC$61)&amp;";  ","")&amp;IF(AND(EDATE($D153,Milestones!$AA$62)&lt;=AsOfDate,EDATE($D153,Milestones!$AA$62)&gt;=SchemeStart,IF($X153=0,$AD153,IF(AND($Z153&lt;&gt;"",EDATE($D153,Milestones!$AA$62)&gt;=$Z153),$AC153,IF(AND($Y153&lt;&gt;"",EDATE($D153,Milestones!$AA$62)&gt;=$Y153),$AB153,$AA153)))=Milestones!$AB$62),UPPER(TEXT(EDATE($D153,Milestones!$AA$62),"dd mmm yy"))&amp;" "&amp;Milestones!$AB$62&amp;" "&amp;IF(AND(Milestones!$AB$62="FT",Milestones!$AA$62=FT_Y5,EDATE($D153,Milestones!$AA$62)&lt;PolicyEff),1,Milestones!$AC$62)&amp;";  ","")&amp;IF(AND(EDATE($D153,Milestones!$AA$63)&lt;=AsOfDate,EDATE($D153,Milestones!$AA$63)&gt;=SchemeStart,IF($X153=0,$AD153,IF(AND($Z153&lt;&gt;"",EDATE($D153,Milestones!$AA$63)&gt;=$Z153),$AC153,IF(AND($Y153&lt;&gt;"",EDATE($D153,Milestones!$AA$63)&gt;=$Y153),$AB153,$AA153)))=Milestones!$AB$63),UPPER(TEXT(EDATE($D153,Milestones!$AA$63),"dd mmm yy"))&amp;" "&amp;Milestones!$AB$63&amp;" "&amp;IF(AND(Milestones!$AB$63="FT",Milestones!$AA$63=FT_Y5,EDATE($D153,Milestones!$AA$63)&lt;PolicyEff),1,Milestones!$AC$63)&amp;";  ","")&amp;IF(AND(EDATE($D153,Milestones!$AA$64)&lt;=AsOfDate,EDATE($D153,Milestones!$AA$64)&gt;=SchemeStart,IF($X153=0,$AD153,IF(AND($Z153&lt;&gt;"",EDATE($D153,Milestones!$AA$64)&gt;=$Z153),$AC153,IF(AND($Y153&lt;&gt;"",EDATE($D153,Milestones!$AA$64)&gt;=$Y153),$AB153,$AA153)))=Milestones!$AB$64),UPPER(TEXT(EDATE($D153,Milestones!$AA$64),"dd mmm yy"))&amp;" "&amp;Milestones!$AB$64&amp;" "&amp;IF(AND(Milestones!$AB$64="FT",Milestones!$AA$64=FT_Y5,EDATE($D153,Milestones!$AA$64)&lt;PolicyEff),1,Milestones!$AC$64)&amp;";  ","")&amp;IF(AND(EDATE($D153,Milestones!$AA$65)&lt;=AsOfDate,EDATE($D153,Milestones!$AA$65)&gt;=SchemeStart,IF($X153=0,$AD153,IF(AND($Z153&lt;&gt;"",EDATE($D153,Milestones!$AA$65)&gt;=$Z153),$AC153,IF(AND($Y153&lt;&gt;"",EDATE($D153,Milestones!$AA$65)&gt;=$Y153),$AB153,$AA153)))=Milestones!$AB$65),UPPER(TEXT(EDATE($D153,Milestones!$AA$65),"dd mmm yy"))&amp;" "&amp;Milestones!$AB$65&amp;" "&amp;IF(AND(Milestones!$AB$65="FT",Milestones!$AA$65=FT_Y5,EDATE($D153,Milestones!$AA$65)&lt;PolicyEff),1,Milestones!$AC$65)&amp;";  ","")&amp;IF(AND(EDATE($D153,Milestones!$AA$66)&lt;=AsOfDate,EDATE($D153,Milestones!$AA$66)&gt;=SchemeStart,IF($X153=0,$AD153,IF(AND($Z153&lt;&gt;"",EDATE($D153,Milestones!$AA$66)&gt;=$Z153),$AC153,IF(AND($Y153&lt;&gt;"",EDATE($D153,Milestones!$AA$66)&gt;=$Y153),$AB153,$AA153)))=Milestones!$AB$66),UPPER(TEXT(EDATE($D153,Milestones!$AA$66),"dd mmm yy"))&amp;" "&amp;Milestones!$AB$66&amp;" "&amp;IF(AND(Milestones!$AB$66="FT",Milestones!$AA$66=FT_Y5,EDATE($D153,Milestones!$AA$66)&lt;PolicyEff),1,Milestones!$AC$66)&amp;";  ","")&amp;IF(AND(EDATE($D153,Milestones!$AA$67)&lt;=AsOfDate,EDATE($D153,Milestones!$AA$67)&gt;=SchemeStart,IF($X153=0,$AD153,IF(AND($Z153&lt;&gt;"",EDATE($D153,Milestones!$AA$67)&gt;=$Z153),$AC153,IF(AND($Y153&lt;&gt;"",EDATE($D153,Milestones!$AA$67)&gt;=$Y153),$AB153,$AA153)))=Milestones!$AB$67),UPPER(TEXT(EDATE($D153,Milestones!$AA$67),"dd mmm yy"))&amp;" "&amp;Milestones!$AB$67&amp;" "&amp;IF(AND(Milestones!$AB$67="FT",Milestones!$AA$67=FT_Y5,EDATE($D153,Milestones!$AA$67)&lt;PolicyEff),1,Milestones!$AC$67)&amp;";  ",""))</f>
        <v/>
      </c>
      <c r="M153" s="0" t="str">
        <f aca="false">IF(OR($A153="",$D153=""),"",IF(AND(EDATE($D153,Milestones!$AA$68)&lt;=AsOfDate,EDATE($D153,Milestones!$AA$68)&gt;=SchemeStart,IF($X153=0,$AD153,IF(AND($Z153&lt;&gt;"",EDATE($D153,Milestones!$AA$68)&gt;=$Z153),$AC153,IF(AND($Y153&lt;&gt;"",EDATE($D153,Milestones!$AA$68)&gt;=$Y153),$AB153,$AA153)))=Milestones!$AB$68),UPPER(TEXT(EDATE($D153,Milestones!$AA$68),"dd mmm yy"))&amp;" "&amp;Milestones!$AB$68&amp;" "&amp;IF(AND(Milestones!$AB$68="FT",Milestones!$AA$68=FT_Y5,EDATE($D153,Milestones!$AA$68)&lt;PolicyEff),1,Milestones!$AC$68)&amp;";  ","")&amp;IF(AND(EDATE($D153,Milestones!$AA$69)&lt;=AsOfDate,EDATE($D153,Milestones!$AA$69)&gt;=SchemeStart,IF($X153=0,$AD153,IF(AND($Z153&lt;&gt;"",EDATE($D153,Milestones!$AA$69)&gt;=$Z153),$AC153,IF(AND($Y153&lt;&gt;"",EDATE($D153,Milestones!$AA$69)&gt;=$Y153),$AB153,$AA153)))=Milestones!$AB$69),UPPER(TEXT(EDATE($D153,Milestones!$AA$69),"dd mmm yy"))&amp;" "&amp;Milestones!$AB$69&amp;" "&amp;IF(AND(Milestones!$AB$69="FT",Milestones!$AA$69=FT_Y5,EDATE($D153,Milestones!$AA$69)&lt;PolicyEff),1,Milestones!$AC$69)&amp;";  ","")&amp;IF(AND(EDATE($D153,Milestones!$AA$70)&lt;=AsOfDate,EDATE($D153,Milestones!$AA$70)&gt;=SchemeStart,IF($X153=0,$AD153,IF(AND($Z153&lt;&gt;"",EDATE($D153,Milestones!$AA$70)&gt;=$Z153),$AC153,IF(AND($Y153&lt;&gt;"",EDATE($D153,Milestones!$AA$70)&gt;=$Y153),$AB153,$AA153)))=Milestones!$AB$70),UPPER(TEXT(EDATE($D153,Milestones!$AA$70),"dd mmm yy"))&amp;" "&amp;Milestones!$AB$70&amp;" "&amp;IF(AND(Milestones!$AB$70="FT",Milestones!$AA$70=FT_Y5,EDATE($D153,Milestones!$AA$70)&lt;PolicyEff),1,Milestones!$AC$70)&amp;";  ","")&amp;IF(AND(EDATE($D153,Milestones!$AA$71)&lt;=AsOfDate,EDATE($D153,Milestones!$AA$71)&gt;=SchemeStart,IF($X153=0,$AD153,IF(AND($Z153&lt;&gt;"",EDATE($D153,Milestones!$AA$71)&gt;=$Z153),$AC153,IF(AND($Y153&lt;&gt;"",EDATE($D153,Milestones!$AA$71)&gt;=$Y153),$AB153,$AA153)))=Milestones!$AB$71),UPPER(TEXT(EDATE($D153,Milestones!$AA$71),"dd mmm yy"))&amp;" "&amp;Milestones!$AB$71&amp;" "&amp;IF(AND(Milestones!$AB$71="FT",Milestones!$AA$71=FT_Y5,EDATE($D153,Milestones!$AA$71)&lt;PolicyEff),1,Milestones!$AC$71)&amp;";  ","")&amp;IF(AND(EDATE($D153,Milestones!$AA$72)&lt;=AsOfDate,EDATE($D153,Milestones!$AA$72)&gt;=SchemeStart,IF($X153=0,$AD153,IF(AND($Z153&lt;&gt;"",EDATE($D153,Milestones!$AA$72)&gt;=$Z153),$AC153,IF(AND($Y153&lt;&gt;"",EDATE($D153,Milestones!$AA$72)&gt;=$Y153),$AB153,$AA153)))=Milestones!$AB$72),UPPER(TEXT(EDATE($D153,Milestones!$AA$72),"dd mmm yy"))&amp;" "&amp;Milestones!$AB$72&amp;" "&amp;IF(AND(Milestones!$AB$72="FT",Milestones!$AA$72=FT_Y5,EDATE($D153,Milestones!$AA$72)&lt;PolicyEff),1,Milestones!$AC$72)&amp;";  ","")&amp;IF(AND(EDATE($D153,Milestones!$AA$73)&lt;=AsOfDate,EDATE($D153,Milestones!$AA$73)&gt;=SchemeStart,IF($X153=0,$AD153,IF(AND($Z153&lt;&gt;"",EDATE($D153,Milestones!$AA$73)&gt;=$Z153),$AC153,IF(AND($Y153&lt;&gt;"",EDATE($D153,Milestones!$AA$73)&gt;=$Y153),$AB153,$AA153)))=Milestones!$AB$73),UPPER(TEXT(EDATE($D153,Milestones!$AA$73),"dd mmm yy"))&amp;" "&amp;Milestones!$AB$73&amp;" "&amp;IF(AND(Milestones!$AB$73="FT",Milestones!$AA$73=FT_Y5,EDATE($D153,Milestones!$AA$73)&lt;PolicyEff),1,Milestones!$AC$73)&amp;";  ","")&amp;IF(AND(EDATE($D153,Milestones!$AA$74)&lt;=AsOfDate,EDATE($D153,Milestones!$AA$74)&gt;=SchemeStart,IF($X153=0,$AD153,IF(AND($Z153&lt;&gt;"",EDATE($D153,Milestones!$AA$74)&gt;=$Z153),$AC153,IF(AND($Y153&lt;&gt;"",EDATE($D153,Milestones!$AA$74)&gt;=$Y153),$AB153,$AA153)))=Milestones!$AB$74),UPPER(TEXT(EDATE($D153,Milestones!$AA$74),"dd mmm yy"))&amp;" "&amp;Milestones!$AB$74&amp;" "&amp;IF(AND(Milestones!$AB$74="FT",Milestones!$AA$74=FT_Y5,EDATE($D153,Milestones!$AA$74)&lt;PolicyEff),1,Milestones!$AC$74)&amp;";  ","")&amp;IF(AND(EDATE($D153,Milestones!$AA$75)&lt;=AsOfDate,EDATE($D153,Milestones!$AA$75)&gt;=SchemeStart,IF($X153=0,$AD153,IF(AND($Z153&lt;&gt;"",EDATE($D153,Milestones!$AA$75)&gt;=$Z153),$AC153,IF(AND($Y153&lt;&gt;"",EDATE($D153,Milestones!$AA$75)&gt;=$Y153),$AB153,$AA153)))=Milestones!$AB$75),UPPER(TEXT(EDATE($D153,Milestones!$AA$75),"dd mmm yy"))&amp;" "&amp;Milestones!$AB$75&amp;" "&amp;IF(AND(Milestones!$AB$75="FT",Milestones!$AA$75=FT_Y5,EDATE($D153,Milestones!$AA$75)&lt;PolicyEff),1,Milestones!$AC$75)&amp;";  ","")&amp;IF(AND(EDATE($D153,Milestones!$AA$76)&lt;=AsOfDate,EDATE($D153,Milestones!$AA$76)&gt;=SchemeStart,IF($X153=0,$AD153,IF(AND($Z153&lt;&gt;"",EDATE($D153,Milestones!$AA$76)&gt;=$Z153),$AC153,IF(AND($Y153&lt;&gt;"",EDATE($D153,Milestones!$AA$76)&gt;=$Y153),$AB153,$AA153)))=Milestones!$AB$76),UPPER(TEXT(EDATE($D153,Milestones!$AA$76),"dd mmm yy"))&amp;" "&amp;Milestones!$AB$76&amp;" "&amp;IF(AND(Milestones!$AB$76="FT",Milestones!$AA$76=FT_Y5,EDATE($D153,Milestones!$AA$76)&lt;PolicyEff),1,Milestones!$AC$76)&amp;";  ","")&amp;IF(AND(EDATE($D153,Milestones!$AA$77)&lt;=AsOfDate,EDATE($D153,Milestones!$AA$77)&gt;=SchemeStart,IF($X153=0,$AD153,IF(AND($Z153&lt;&gt;"",EDATE($D153,Milestones!$AA$77)&gt;=$Z153),$AC153,IF(AND($Y153&lt;&gt;"",EDATE($D153,Milestones!$AA$77)&gt;=$Y153),$AB153,$AA153)))=Milestones!$AB$77),UPPER(TEXT(EDATE($D153,Milestones!$AA$77),"dd mmm yy"))&amp;" "&amp;Milestones!$AB$77&amp;" "&amp;IF(AND(Milestones!$AB$77="FT",Milestones!$AA$77=FT_Y5,EDATE($D153,Milestones!$AA$77)&lt;PolicyEff),1,Milestones!$AC$77)&amp;";  ","")&amp;IF(AND(EDATE($D153,Milestones!$AA$78)&lt;=AsOfDate,EDATE($D153,Milestones!$AA$78)&gt;=SchemeStart,IF($X153=0,$AD153,IF(AND($Z153&lt;&gt;"",EDATE($D153,Milestones!$AA$78)&gt;=$Z153),$AC153,IF(AND($Y153&lt;&gt;"",EDATE($D153,Milestones!$AA$78)&gt;=$Y153),$AB153,$AA153)))=Milestones!$AB$78),UPPER(TEXT(EDATE($D153,Milestones!$AA$78),"dd mmm yy"))&amp;" "&amp;Milestones!$AB$78&amp;" "&amp;IF(AND(Milestones!$AB$78="FT",Milestones!$AA$78=FT_Y5,EDATE($D153,Milestones!$AA$78)&lt;PolicyEff),1,Milestones!$AC$78)&amp;";  ","")&amp;IF(AND(EDATE($D153,Milestones!$AA$79)&lt;=AsOfDate,EDATE($D153,Milestones!$AA$79)&gt;=SchemeStart,IF($X153=0,$AD153,IF(AND($Z153&lt;&gt;"",EDATE($D153,Milestones!$AA$79)&gt;=$Z153),$AC153,IF(AND($Y153&lt;&gt;"",EDATE($D153,Milestones!$AA$79)&gt;=$Y153),$AB153,$AA153)))=Milestones!$AB$79),UPPER(TEXT(EDATE($D153,Milestones!$AA$79),"dd mmm yy"))&amp;" "&amp;Milestones!$AB$79&amp;" "&amp;IF(AND(Milestones!$AB$79="FT",Milestones!$AA$79=FT_Y5,EDATE($D153,Milestones!$AA$79)&lt;PolicyEff),1,Milestones!$AC$79)&amp;";  ",""))</f>
        <v/>
      </c>
      <c r="N153" s="0" t="str">
        <f aca="false">IF(OR($A153="",$D153=""),"",IF(AND(EDATE($D153,Milestones!$AA$80)&lt;=AsOfDate,EDATE($D153,Milestones!$AA$80)&gt;=SchemeStart,IF($X153=0,$AD153,IF(AND($Z153&lt;&gt;"",EDATE($D153,Milestones!$AA$80)&gt;=$Z153),$AC153,IF(AND($Y153&lt;&gt;"",EDATE($D153,Milestones!$AA$80)&gt;=$Y153),$AB153,$AA153)))=Milestones!$AB$80),UPPER(TEXT(EDATE($D153,Milestones!$AA$80),"dd mmm yy"))&amp;" "&amp;Milestones!$AB$80&amp;" "&amp;IF(AND(Milestones!$AB$80="FT",Milestones!$AA$80=FT_Y5,EDATE($D153,Milestones!$AA$80)&lt;PolicyEff),1,Milestones!$AC$80)&amp;";  ","")&amp;IF(AND(EDATE($D153,Milestones!$AA$81)&lt;=AsOfDate,EDATE($D153,Milestones!$AA$81)&gt;=SchemeStart,IF($X153=0,$AD153,IF(AND($Z153&lt;&gt;"",EDATE($D153,Milestones!$AA$81)&gt;=$Z153),$AC153,IF(AND($Y153&lt;&gt;"",EDATE($D153,Milestones!$AA$81)&gt;=$Y153),$AB153,$AA153)))=Milestones!$AB$81),UPPER(TEXT(EDATE($D153,Milestones!$AA$81),"dd mmm yy"))&amp;" "&amp;Milestones!$AB$81&amp;" "&amp;IF(AND(Milestones!$AB$81="FT",Milestones!$AA$81=FT_Y5,EDATE($D153,Milestones!$AA$81)&lt;PolicyEff),1,Milestones!$AC$81)&amp;";  ","")&amp;IF(AND(EDATE($D153,Milestones!$AA$82)&lt;=AsOfDate,EDATE($D153,Milestones!$AA$82)&gt;=SchemeStart,IF($X153=0,$AD153,IF(AND($Z153&lt;&gt;"",EDATE($D153,Milestones!$AA$82)&gt;=$Z153),$AC153,IF(AND($Y153&lt;&gt;"",EDATE($D153,Milestones!$AA$82)&gt;=$Y153),$AB153,$AA153)))=Milestones!$AB$82),UPPER(TEXT(EDATE($D153,Milestones!$AA$82),"dd mmm yy"))&amp;" "&amp;Milestones!$AB$82&amp;" "&amp;IF(AND(Milestones!$AB$82="FT",Milestones!$AA$82=FT_Y5,EDATE($D153,Milestones!$AA$82)&lt;PolicyEff),1,Milestones!$AC$82)&amp;";  ","")&amp;IF(AND(EDATE($D153,Milestones!$AA$83)&lt;=AsOfDate,EDATE($D153,Milestones!$AA$83)&gt;=SchemeStart,IF($X153=0,$AD153,IF(AND($Z153&lt;&gt;"",EDATE($D153,Milestones!$AA$83)&gt;=$Z153),$AC153,IF(AND($Y153&lt;&gt;"",EDATE($D153,Milestones!$AA$83)&gt;=$Y153),$AB153,$AA153)))=Milestones!$AB$83),UPPER(TEXT(EDATE($D153,Milestones!$AA$83),"dd mmm yy"))&amp;" "&amp;Milestones!$AB$83&amp;" "&amp;IF(AND(Milestones!$AB$83="FT",Milestones!$AA$83=FT_Y5,EDATE($D153,Milestones!$AA$83)&lt;PolicyEff),1,Milestones!$AC$83)&amp;";  ","")&amp;IF(AND(EDATE($D153,Milestones!$AA$84)&lt;=AsOfDate,EDATE($D153,Milestones!$AA$84)&gt;=SchemeStart,IF($X153=0,$AD153,IF(AND($Z153&lt;&gt;"",EDATE($D153,Milestones!$AA$84)&gt;=$Z153),$AC153,IF(AND($Y153&lt;&gt;"",EDATE($D153,Milestones!$AA$84)&gt;=$Y153),$AB153,$AA153)))=Milestones!$AB$84),UPPER(TEXT(EDATE($D153,Milestones!$AA$84),"dd mmm yy"))&amp;" "&amp;Milestones!$AB$84&amp;" "&amp;IF(AND(Milestones!$AB$84="FT",Milestones!$AA$84=FT_Y5,EDATE($D153,Milestones!$AA$84)&lt;PolicyEff),1,Milestones!$AC$84)&amp;";  ","")&amp;IF(AND(EDATE($D153,Milestones!$AA$85)&lt;=AsOfDate,EDATE($D153,Milestones!$AA$85)&gt;=SchemeStart,IF($X153=0,$AD153,IF(AND($Z153&lt;&gt;"",EDATE($D153,Milestones!$AA$85)&gt;=$Z153),$AC153,IF(AND($Y153&lt;&gt;"",EDATE($D153,Milestones!$AA$85)&gt;=$Y153),$AB153,$AA153)))=Milestones!$AB$85),UPPER(TEXT(EDATE($D153,Milestones!$AA$85),"dd mmm yy"))&amp;" "&amp;Milestones!$AB$85&amp;" "&amp;IF(AND(Milestones!$AB$85="FT",Milestones!$AA$85=FT_Y5,EDATE($D153,Milestones!$AA$85)&lt;PolicyEff),1,Milestones!$AC$85)&amp;";  ","")&amp;IF(AND(EDATE($D153,Milestones!$AA$86)&lt;=AsOfDate,EDATE($D153,Milestones!$AA$86)&gt;=SchemeStart,IF($X153=0,$AD153,IF(AND($Z153&lt;&gt;"",EDATE($D153,Milestones!$AA$86)&gt;=$Z153),$AC153,IF(AND($Y153&lt;&gt;"",EDATE($D153,Milestones!$AA$86)&gt;=$Y153),$AB153,$AA153)))=Milestones!$AB$86),UPPER(TEXT(EDATE($D153,Milestones!$AA$86),"dd mmm yy"))&amp;" "&amp;Milestones!$AB$86&amp;" "&amp;IF(AND(Milestones!$AB$86="FT",Milestones!$AA$86=FT_Y5,EDATE($D153,Milestones!$AA$86)&lt;PolicyEff),1,Milestones!$AC$86)&amp;";  ","")&amp;IF(AND(EDATE($D153,Milestones!$AA$87)&lt;=AsOfDate,EDATE($D153,Milestones!$AA$87)&gt;=SchemeStart,IF($X153=0,$AD153,IF(AND($Z153&lt;&gt;"",EDATE($D153,Milestones!$AA$87)&gt;=$Z153),$AC153,IF(AND($Y153&lt;&gt;"",EDATE($D153,Milestones!$AA$87)&gt;=$Y153),$AB153,$AA153)))=Milestones!$AB$87),UPPER(TEXT(EDATE($D153,Milestones!$AA$87),"dd mmm yy"))&amp;" "&amp;Milestones!$AB$87&amp;" "&amp;IF(AND(Milestones!$AB$87="FT",Milestones!$AA$87=FT_Y5,EDATE($D153,Milestones!$AA$87)&lt;PolicyEff),1,Milestones!$AC$87)&amp;";  ","")&amp;IF(AND(EDATE($D153,Milestones!$AA$88)&lt;=AsOfDate,EDATE($D153,Milestones!$AA$88)&gt;=SchemeStart,IF($X153=0,$AD153,IF(AND($Z153&lt;&gt;"",EDATE($D153,Milestones!$AA$88)&gt;=$Z153),$AC153,IF(AND($Y153&lt;&gt;"",EDATE($D153,Milestones!$AA$88)&gt;=$Y153),$AB153,$AA153)))=Milestones!$AB$88),UPPER(TEXT(EDATE($D153,Milestones!$AA$88),"dd mmm yy"))&amp;" "&amp;Milestones!$AB$88&amp;" "&amp;IF(AND(Milestones!$AB$88="FT",Milestones!$AA$88=FT_Y5,EDATE($D153,Milestones!$AA$88)&lt;PolicyEff),1,Milestones!$AC$88)&amp;";  ","")&amp;IF(AND(EDATE($D153,Milestones!$AA$89)&lt;=AsOfDate,EDATE($D153,Milestones!$AA$89)&gt;=SchemeStart,IF($X153=0,$AD153,IF(AND($Z153&lt;&gt;"",EDATE($D153,Milestones!$AA$89)&gt;=$Z153),$AC153,IF(AND($Y153&lt;&gt;"",EDATE($D153,Milestones!$AA$89)&gt;=$Y153),$AB153,$AA153)))=Milestones!$AB$89),UPPER(TEXT(EDATE($D153,Milestones!$AA$89),"dd mmm yy"))&amp;" "&amp;Milestones!$AB$89&amp;" "&amp;IF(AND(Milestones!$AB$89="FT",Milestones!$AA$89=FT_Y5,EDATE($D153,Milestones!$AA$89)&lt;PolicyEff),1,Milestones!$AC$89)&amp;";  ","")&amp;IF(AND(EDATE($D153,Milestones!$AA$90)&lt;=AsOfDate,EDATE($D153,Milestones!$AA$90)&gt;=SchemeStart,IF($X153=0,$AD153,IF(AND($Z153&lt;&gt;"",EDATE($D153,Milestones!$AA$90)&gt;=$Z153),$AC153,IF(AND($Y153&lt;&gt;"",EDATE($D153,Milestones!$AA$90)&gt;=$Y153),$AB153,$AA153)))=Milestones!$AB$90),UPPER(TEXT(EDATE($D153,Milestones!$AA$90),"dd mmm yy"))&amp;" "&amp;Milestones!$AB$90&amp;" "&amp;IF(AND(Milestones!$AB$90="FT",Milestones!$AA$90=FT_Y5,EDATE($D153,Milestones!$AA$90)&lt;PolicyEff),1,Milestones!$AC$90)&amp;";  ","")&amp;IF(AND(EDATE($D153,Milestones!$AA$91)&lt;=AsOfDate,EDATE($D153,Milestones!$AA$91)&gt;=SchemeStart,IF($X153=0,$AD153,IF(AND($Z153&lt;&gt;"",EDATE($D153,Milestones!$AA$91)&gt;=$Z153),$AC153,IF(AND($Y153&lt;&gt;"",EDATE($D153,Milestones!$AA$91)&gt;=$Y153),$AB153,$AA153)))=Milestones!$AB$91),UPPER(TEXT(EDATE($D153,Milestones!$AA$91),"dd mmm yy"))&amp;" "&amp;Milestones!$AB$91&amp;" "&amp;IF(AND(Milestones!$AB$91="FT",Milestones!$AA$91=FT_Y5,EDATE($D153,Milestones!$AA$91)&lt;PolicyEff),1,Milestones!$AC$91)&amp;";  ",""))</f>
        <v/>
      </c>
      <c r="O153" s="0" t="str">
        <f aca="false">IF(OR($A153="",$D153=""),"",IF(AND(EDATE($D153,Milestones!$AA$92)&lt;=AsOfDate,EDATE($D153,Milestones!$AA$92)&gt;=SchemeStart,IF($X153=0,$AD153,IF(AND($Z153&lt;&gt;"",EDATE($D153,Milestones!$AA$92)&gt;=$Z153),$AC153,IF(AND($Y153&lt;&gt;"",EDATE($D153,Milestones!$AA$92)&gt;=$Y153),$AB153,$AA153)))=Milestones!$AB$92),UPPER(TEXT(EDATE($D153,Milestones!$AA$92),"dd mmm yy"))&amp;" "&amp;Milestones!$AB$92&amp;" "&amp;IF(AND(Milestones!$AB$92="FT",Milestones!$AA$92=FT_Y5,EDATE($D153,Milestones!$AA$92)&lt;PolicyEff),1,Milestones!$AC$92)&amp;";  ","")&amp;IF(AND(EDATE($D153,Milestones!$AA$93)&lt;=AsOfDate,EDATE($D153,Milestones!$AA$93)&gt;=SchemeStart,IF($X153=0,$AD153,IF(AND($Z153&lt;&gt;"",EDATE($D153,Milestones!$AA$93)&gt;=$Z153),$AC153,IF(AND($Y153&lt;&gt;"",EDATE($D153,Milestones!$AA$93)&gt;=$Y153),$AB153,$AA153)))=Milestones!$AB$93),UPPER(TEXT(EDATE($D153,Milestones!$AA$93),"dd mmm yy"))&amp;" "&amp;Milestones!$AB$93&amp;" "&amp;IF(AND(Milestones!$AB$93="FT",Milestones!$AA$93=FT_Y5,EDATE($D153,Milestones!$AA$93)&lt;PolicyEff),1,Milestones!$AC$93)&amp;";  ","")&amp;IF(AND(EDATE($D153,Milestones!$AA$94)&lt;=AsOfDate,EDATE($D153,Milestones!$AA$94)&gt;=SchemeStart,IF($X153=0,$AD153,IF(AND($Z153&lt;&gt;"",EDATE($D153,Milestones!$AA$94)&gt;=$Z153),$AC153,IF(AND($Y153&lt;&gt;"",EDATE($D153,Milestones!$AA$94)&gt;=$Y153),$AB153,$AA153)))=Milestones!$AB$94),UPPER(TEXT(EDATE($D153,Milestones!$AA$94),"dd mmm yy"))&amp;" "&amp;Milestones!$AB$94&amp;" "&amp;IF(AND(Milestones!$AB$94="FT",Milestones!$AA$94=FT_Y5,EDATE($D153,Milestones!$AA$94)&lt;PolicyEff),1,Milestones!$AC$94)&amp;";  ","")&amp;IF(AND(EDATE($D153,Milestones!$AA$95)&lt;=AsOfDate,EDATE($D153,Milestones!$AA$95)&gt;=SchemeStart,IF($X153=0,$AD153,IF(AND($Z153&lt;&gt;"",EDATE($D153,Milestones!$AA$95)&gt;=$Z153),$AC153,IF(AND($Y153&lt;&gt;"",EDATE($D153,Milestones!$AA$95)&gt;=$Y153),$AB153,$AA153)))=Milestones!$AB$95),UPPER(TEXT(EDATE($D153,Milestones!$AA$95),"dd mmm yy"))&amp;" "&amp;Milestones!$AB$95&amp;" "&amp;IF(AND(Milestones!$AB$95="FT",Milestones!$AA$95=FT_Y5,EDATE($D153,Milestones!$AA$95)&lt;PolicyEff),1,Milestones!$AC$95)&amp;";  ","")&amp;IF(AND(EDATE($D153,Milestones!$AA$96)&lt;=AsOfDate,EDATE($D153,Milestones!$AA$96)&gt;=SchemeStart,IF($X153=0,$AD153,IF(AND($Z153&lt;&gt;"",EDATE($D153,Milestones!$AA$96)&gt;=$Z153),$AC153,IF(AND($Y153&lt;&gt;"",EDATE($D153,Milestones!$AA$96)&gt;=$Y153),$AB153,$AA153)))=Milestones!$AB$96),UPPER(TEXT(EDATE($D153,Milestones!$AA$96),"dd mmm yy"))&amp;" "&amp;Milestones!$AB$96&amp;" "&amp;IF(AND(Milestones!$AB$96="FT",Milestones!$AA$96=FT_Y5,EDATE($D153,Milestones!$AA$96)&lt;PolicyEff),1,Milestones!$AC$96)&amp;";  ","")&amp;IF(AND(EDATE($D153,Milestones!$AA$97)&lt;=AsOfDate,EDATE($D153,Milestones!$AA$97)&gt;=SchemeStart,IF($X153=0,$AD153,IF(AND($Z153&lt;&gt;"",EDATE($D153,Milestones!$AA$97)&gt;=$Z153),$AC153,IF(AND($Y153&lt;&gt;"",EDATE($D153,Milestones!$AA$97)&gt;=$Y153),$AB153,$AA153)))=Milestones!$AB$97),UPPER(TEXT(EDATE($D153,Milestones!$AA$97),"dd mmm yy"))&amp;" "&amp;Milestones!$AB$97&amp;" "&amp;IF(AND(Milestones!$AB$97="FT",Milestones!$AA$97=FT_Y5,EDATE($D153,Milestones!$AA$97)&lt;PolicyEff),1,Milestones!$AC$97)&amp;";  ","")&amp;IF(AND(EDATE($D153,Milestones!$AA$98)&lt;=AsOfDate,EDATE($D153,Milestones!$AA$98)&gt;=SchemeStart,IF($X153=0,$AD153,IF(AND($Z153&lt;&gt;"",EDATE($D153,Milestones!$AA$98)&gt;=$Z153),$AC153,IF(AND($Y153&lt;&gt;"",EDATE($D153,Milestones!$AA$98)&gt;=$Y153),$AB153,$AA153)))=Milestones!$AB$98),UPPER(TEXT(EDATE($D153,Milestones!$AA$98),"dd mmm yy"))&amp;" "&amp;Milestones!$AB$98&amp;" "&amp;IF(AND(Milestones!$AB$98="FT",Milestones!$AA$98=FT_Y5,EDATE($D153,Milestones!$AA$98)&lt;PolicyEff),1,Milestones!$AC$98)&amp;";  ","")&amp;IF(AND(EDATE($D153,Milestones!$AA$99)&lt;=AsOfDate,EDATE($D153,Milestones!$AA$99)&gt;=SchemeStart,IF($X153=0,$AD153,IF(AND($Z153&lt;&gt;"",EDATE($D153,Milestones!$AA$99)&gt;=$Z153),$AC153,IF(AND($Y153&lt;&gt;"",EDATE($D153,Milestones!$AA$99)&gt;=$Y153),$AB153,$AA153)))=Milestones!$AB$99),UPPER(TEXT(EDATE($D153,Milestones!$AA$99),"dd mmm yy"))&amp;" "&amp;Milestones!$AB$99&amp;" "&amp;IF(AND(Milestones!$AB$99="FT",Milestones!$AA$99=FT_Y5,EDATE($D153,Milestones!$AA$99)&lt;PolicyEff),1,Milestones!$AC$99)&amp;";  ","")&amp;IF(AND(EDATE($D153,Milestones!$AA$100)&lt;=AsOfDate,EDATE($D153,Milestones!$AA$100)&gt;=SchemeStart,IF($X153=0,$AD153,IF(AND($Z153&lt;&gt;"",EDATE($D153,Milestones!$AA$100)&gt;=$Z153),$AC153,IF(AND($Y153&lt;&gt;"",EDATE($D153,Milestones!$AA$100)&gt;=$Y153),$AB153,$AA153)))=Milestones!$AB$100),UPPER(TEXT(EDATE($D153,Milestones!$AA$100),"dd mmm yy"))&amp;" "&amp;Milestones!$AB$100&amp;" "&amp;IF(AND(Milestones!$AB$100="FT",Milestones!$AA$100=FT_Y5,EDATE($D153,Milestones!$AA$100)&lt;PolicyEff),1,Milestones!$AC$100)&amp;";  ","")&amp;IF(AND(EDATE($D153,Milestones!$AA$101)&lt;=AsOfDate,EDATE($D153,Milestones!$AA$101)&gt;=SchemeStart,IF($X153=0,$AD153,IF(AND($Z153&lt;&gt;"",EDATE($D153,Milestones!$AA$101)&gt;=$Z153),$AC153,IF(AND($Y153&lt;&gt;"",EDATE($D153,Milestones!$AA$101)&gt;=$Y153),$AB153,$AA153)))=Milestones!$AB$101),UPPER(TEXT(EDATE($D153,Milestones!$AA$101),"dd mmm yy"))&amp;" "&amp;Milestones!$AB$101&amp;" "&amp;IF(AND(Milestones!$AB$101="FT",Milestones!$AA$101=FT_Y5,EDATE($D153,Milestones!$AA$101)&lt;PolicyEff),1,Milestones!$AC$101)&amp;";  ","")&amp;IF(AND(EDATE($D153,Milestones!$AA$102)&lt;=AsOfDate,EDATE($D153,Milestones!$AA$102)&gt;=SchemeStart,IF($X153=0,$AD153,IF(AND($Z153&lt;&gt;"",EDATE($D153,Milestones!$AA$102)&gt;=$Z153),$AC153,IF(AND($Y153&lt;&gt;"",EDATE($D153,Milestones!$AA$102)&gt;=$Y153),$AB153,$AA153)))=Milestones!$AB$102),UPPER(TEXT(EDATE($D153,Milestones!$AA$102),"dd mmm yy"))&amp;" "&amp;Milestones!$AB$102&amp;" "&amp;IF(AND(Milestones!$AB$102="FT",Milestones!$AA$102=FT_Y5,EDATE($D153,Milestones!$AA$102)&lt;PolicyEff),1,Milestones!$AC$102)&amp;";  ","")&amp;IF(AND(EDATE($D153,Milestones!$AA$103)&lt;=AsOfDate,EDATE($D153,Milestones!$AA$103)&gt;=SchemeStart,IF($X153=0,$AD153,IF(AND($Z153&lt;&gt;"",EDATE($D153,Milestones!$AA$103)&gt;=$Z153),$AC153,IF(AND($Y153&lt;&gt;"",EDATE($D153,Milestones!$AA$103)&gt;=$Y153),$AB153,$AA153)))=Milestones!$AB$103),UPPER(TEXT(EDATE($D153,Milestones!$AA$103),"dd mmm yy"))&amp;" "&amp;Milestones!$AB$103&amp;" "&amp;IF(AND(Milestones!$AB$103="FT",Milestones!$AA$103=FT_Y5,EDATE($D153,Milestones!$AA$103)&lt;PolicyEff),1,Milestones!$AC$103)&amp;";  ",""))</f>
        <v/>
      </c>
      <c r="P153" s="0" t="str">
        <f aca="false">IF(OR($A153="",$D153=""),"",IF(AND(EDATE($D153,Milestones!$AA$104)&lt;=AsOfDate,EDATE($D153,Milestones!$AA$104)&gt;=SchemeStart,IF($X153=0,$AD153,IF(AND($Z153&lt;&gt;"",EDATE($D153,Milestones!$AA$104)&gt;=$Z153),$AC153,IF(AND($Y153&lt;&gt;"",EDATE($D153,Milestones!$AA$104)&gt;=$Y153),$AB153,$AA153)))=Milestones!$AB$104),UPPER(TEXT(EDATE($D153,Milestones!$AA$104),"dd mmm yy"))&amp;" "&amp;Milestones!$AB$104&amp;" "&amp;IF(AND(Milestones!$AB$104="FT",Milestones!$AA$104=FT_Y5,EDATE($D153,Milestones!$AA$104)&lt;PolicyEff),1,Milestones!$AC$104)&amp;";  ","")&amp;IF(AND(EDATE($D153,Milestones!$AA$105)&lt;=AsOfDate,EDATE($D153,Milestones!$AA$105)&gt;=SchemeStart,IF($X153=0,$AD153,IF(AND($Z153&lt;&gt;"",EDATE($D153,Milestones!$AA$105)&gt;=$Z153),$AC153,IF(AND($Y153&lt;&gt;"",EDATE($D153,Milestones!$AA$105)&gt;=$Y153),$AB153,$AA153)))=Milestones!$AB$105),UPPER(TEXT(EDATE($D153,Milestones!$AA$105),"dd mmm yy"))&amp;" "&amp;Milestones!$AB$105&amp;" "&amp;IF(AND(Milestones!$AB$105="FT",Milestones!$AA$105=FT_Y5,EDATE($D153,Milestones!$AA$105)&lt;PolicyEff),1,Milestones!$AC$105)&amp;";  ","")&amp;IF(AND(EDATE($D153,Milestones!$AA$106)&lt;=AsOfDate,EDATE($D153,Milestones!$AA$106)&gt;=SchemeStart,IF($X153=0,$AD153,IF(AND($Z153&lt;&gt;"",EDATE($D153,Milestones!$AA$106)&gt;=$Z153),$AC153,IF(AND($Y153&lt;&gt;"",EDATE($D153,Milestones!$AA$106)&gt;=$Y153),$AB153,$AA153)))=Milestones!$AB$106),UPPER(TEXT(EDATE($D153,Milestones!$AA$106),"dd mmm yy"))&amp;" "&amp;Milestones!$AB$106&amp;" "&amp;IF(AND(Milestones!$AB$106="FT",Milestones!$AA$106=FT_Y5,EDATE($D153,Milestones!$AA$106)&lt;PolicyEff),1,Milestones!$AC$106)&amp;";  ","")&amp;IF(AND(EDATE($D153,Milestones!$AA$107)&lt;=AsOfDate,EDATE($D153,Milestones!$AA$107)&gt;=SchemeStart,IF($X153=0,$AD153,IF(AND($Z153&lt;&gt;"",EDATE($D153,Milestones!$AA$107)&gt;=$Z153),$AC153,IF(AND($Y153&lt;&gt;"",EDATE($D153,Milestones!$AA$107)&gt;=$Y153),$AB153,$AA153)))=Milestones!$AB$107),UPPER(TEXT(EDATE($D153,Milestones!$AA$107),"dd mmm yy"))&amp;" "&amp;Milestones!$AB$107&amp;" "&amp;IF(AND(Milestones!$AB$107="FT",Milestones!$AA$107=FT_Y5,EDATE($D153,Milestones!$AA$107)&lt;PolicyEff),1,Milestones!$AC$107)&amp;";  ","")&amp;IF(AND(EDATE($D153,Milestones!$AA$108)&lt;=AsOfDate,EDATE($D153,Milestones!$AA$108)&gt;=SchemeStart,IF($X153=0,$AD153,IF(AND($Z153&lt;&gt;"",EDATE($D153,Milestones!$AA$108)&gt;=$Z153),$AC153,IF(AND($Y153&lt;&gt;"",EDATE($D153,Milestones!$AA$108)&gt;=$Y153),$AB153,$AA153)))=Milestones!$AB$108),UPPER(TEXT(EDATE($D153,Milestones!$AA$108),"dd mmm yy"))&amp;" "&amp;Milestones!$AB$108&amp;" "&amp;IF(AND(Milestones!$AB$108="FT",Milestones!$AA$108=FT_Y5,EDATE($D153,Milestones!$AA$108)&lt;PolicyEff),1,Milestones!$AC$108)&amp;";  ","")&amp;IF(AND(EDATE($D153,Milestones!$AA$109)&lt;=AsOfDate,EDATE($D153,Milestones!$AA$109)&gt;=SchemeStart,IF($X153=0,$AD153,IF(AND($Z153&lt;&gt;"",EDATE($D153,Milestones!$AA$109)&gt;=$Z153),$AC153,IF(AND($Y153&lt;&gt;"",EDATE($D153,Milestones!$AA$109)&gt;=$Y153),$AB153,$AA153)))=Milestones!$AB$109),UPPER(TEXT(EDATE($D153,Milestones!$AA$109),"dd mmm yy"))&amp;" "&amp;Milestones!$AB$109&amp;" "&amp;IF(AND(Milestones!$AB$109="FT",Milestones!$AA$109=FT_Y5,EDATE($D153,Milestones!$AA$109)&lt;PolicyEff),1,Milestones!$AC$109)&amp;";  ","")&amp;IF(AND(EDATE($D153,Milestones!$AA$110)&lt;=AsOfDate,EDATE($D153,Milestones!$AA$110)&gt;=SchemeStart,IF($X153=0,$AD153,IF(AND($Z153&lt;&gt;"",EDATE($D153,Milestones!$AA$110)&gt;=$Z153),$AC153,IF(AND($Y153&lt;&gt;"",EDATE($D153,Milestones!$AA$110)&gt;=$Y153),$AB153,$AA153)))=Milestones!$AB$110),UPPER(TEXT(EDATE($D153,Milestones!$AA$110),"dd mmm yy"))&amp;" "&amp;Milestones!$AB$110&amp;" "&amp;IF(AND(Milestones!$AB$110="FT",Milestones!$AA$110=FT_Y5,EDATE($D153,Milestones!$AA$110)&lt;PolicyEff),1,Milestones!$AC$110)&amp;";  ","")&amp;IF(AND(EDATE($D153,Milestones!$AA$111)&lt;=AsOfDate,EDATE($D153,Milestones!$AA$111)&gt;=SchemeStart,IF($X153=0,$AD153,IF(AND($Z153&lt;&gt;"",EDATE($D153,Milestones!$AA$111)&gt;=$Z153),$AC153,IF(AND($Y153&lt;&gt;"",EDATE($D153,Milestones!$AA$111)&gt;=$Y153),$AB153,$AA153)))=Milestones!$AB$111),UPPER(TEXT(EDATE($D153,Milestones!$AA$111),"dd mmm yy"))&amp;" "&amp;Milestones!$AB$111&amp;" "&amp;IF(AND(Milestones!$AB$111="FT",Milestones!$AA$111=FT_Y5,EDATE($D153,Milestones!$AA$111)&lt;PolicyEff),1,Milestones!$AC$111)&amp;";  ","")&amp;IF(AND(EDATE($D153,Milestones!$AA$112)&lt;=AsOfDate,EDATE($D153,Milestones!$AA$112)&gt;=SchemeStart,IF($X153=0,$AD153,IF(AND($Z153&lt;&gt;"",EDATE($D153,Milestones!$AA$112)&gt;=$Z153),$AC153,IF(AND($Y153&lt;&gt;"",EDATE($D153,Milestones!$AA$112)&gt;=$Y153),$AB153,$AA153)))=Milestones!$AB$112),UPPER(TEXT(EDATE($D153,Milestones!$AA$112),"dd mmm yy"))&amp;" "&amp;Milestones!$AB$112&amp;" "&amp;IF(AND(Milestones!$AB$112="FT",Milestones!$AA$112=FT_Y5,EDATE($D153,Milestones!$AA$112)&lt;PolicyEff),1,Milestones!$AC$112)&amp;";  ","")&amp;IF(AND(EDATE($D153,Milestones!$AA$113)&lt;=AsOfDate,EDATE($D153,Milestones!$AA$113)&gt;=SchemeStart,IF($X153=0,$AD153,IF(AND($Z153&lt;&gt;"",EDATE($D153,Milestones!$AA$113)&gt;=$Z153),$AC153,IF(AND($Y153&lt;&gt;"",EDATE($D153,Milestones!$AA$113)&gt;=$Y153),$AB153,$AA153)))=Milestones!$AB$113),UPPER(TEXT(EDATE($D153,Milestones!$AA$113),"dd mmm yy"))&amp;" "&amp;Milestones!$AB$113&amp;" "&amp;IF(AND(Milestones!$AB$113="FT",Milestones!$AA$113=FT_Y5,EDATE($D153,Milestones!$AA$113)&lt;PolicyEff),1,Milestones!$AC$113)&amp;";  ","")&amp;IF(AND(EDATE($D153,Milestones!$AA$114)&lt;=AsOfDate,EDATE($D153,Milestones!$AA$114)&gt;=SchemeStart,IF($X153=0,$AD153,IF(AND($Z153&lt;&gt;"",EDATE($D153,Milestones!$AA$114)&gt;=$Z153),$AC153,IF(AND($Y153&lt;&gt;"",EDATE($D153,Milestones!$AA$114)&gt;=$Y153),$AB153,$AA153)))=Milestones!$AB$114),UPPER(TEXT(EDATE($D153,Milestones!$AA$114),"dd mmm yy"))&amp;" "&amp;Milestones!$AB$114&amp;" "&amp;IF(AND(Milestones!$AB$114="FT",Milestones!$AA$114=FT_Y5,EDATE($D153,Milestones!$AA$114)&lt;PolicyEff),1,Milestones!$AC$114)&amp;";  ","")&amp;IF(AND(EDATE($D153,Milestones!$AA$115)&lt;=AsOfDate,EDATE($D153,Milestones!$AA$115)&gt;=SchemeStart,IF($X153=0,$AD153,IF(AND($Z153&lt;&gt;"",EDATE($D153,Milestones!$AA$115)&gt;=$Z153),$AC153,IF(AND($Y153&lt;&gt;"",EDATE($D153,Milestones!$AA$115)&gt;=$Y153),$AB153,$AA153)))=Milestones!$AB$115),UPPER(TEXT(EDATE($D153,Milestones!$AA$115),"dd mmm yy"))&amp;" "&amp;Milestones!$AB$115&amp;" "&amp;IF(AND(Milestones!$AB$115="FT",Milestones!$AA$115=FT_Y5,EDATE($D153,Milestones!$AA$115)&lt;PolicyEff),1,Milestones!$AC$115)&amp;";  ",""))</f>
        <v/>
      </c>
      <c r="Q153" s="0" t="str">
        <f aca="false">IF(OR($A153="",$D153=""),"",IF(AND(EDATE($D153,Milestones!$AA$116)&lt;=AsOfDate,EDATE($D153,Milestones!$AA$116)&gt;=SchemeStart,IF($X153=0,$AD153,IF(AND($Z153&lt;&gt;"",EDATE($D153,Milestones!$AA$116)&gt;=$Z153),$AC153,IF(AND($Y153&lt;&gt;"",EDATE($D153,Milestones!$AA$116)&gt;=$Y153),$AB153,$AA153)))=Milestones!$AB$116),UPPER(TEXT(EDATE($D153,Milestones!$AA$116),"dd mmm yy"))&amp;" "&amp;Milestones!$AB$116&amp;" "&amp;IF(AND(Milestones!$AB$116="FT",Milestones!$AA$116=FT_Y5,EDATE($D153,Milestones!$AA$116)&lt;PolicyEff),1,Milestones!$AC$116)&amp;";  ","")&amp;IF(AND(EDATE($D153,Milestones!$AA$117)&lt;=AsOfDate,EDATE($D153,Milestones!$AA$117)&gt;=SchemeStart,IF($X153=0,$AD153,IF(AND($Z153&lt;&gt;"",EDATE($D153,Milestones!$AA$117)&gt;=$Z153),$AC153,IF(AND($Y153&lt;&gt;"",EDATE($D153,Milestones!$AA$117)&gt;=$Y153),$AB153,$AA153)))=Milestones!$AB$117),UPPER(TEXT(EDATE($D153,Milestones!$AA$117),"dd mmm yy"))&amp;" "&amp;Milestones!$AB$117&amp;" "&amp;IF(AND(Milestones!$AB$117="FT",Milestones!$AA$117=FT_Y5,EDATE($D153,Milestones!$AA$117)&lt;PolicyEff),1,Milestones!$AC$117)&amp;";  ","")&amp;IF(AND(EDATE($D153,Milestones!$AA$118)&lt;=AsOfDate,EDATE($D153,Milestones!$AA$118)&gt;=SchemeStart,IF($X153=0,$AD153,IF(AND($Z153&lt;&gt;"",EDATE($D153,Milestones!$AA$118)&gt;=$Z153),$AC153,IF(AND($Y153&lt;&gt;"",EDATE($D153,Milestones!$AA$118)&gt;=$Y153),$AB153,$AA153)))=Milestones!$AB$118),UPPER(TEXT(EDATE($D153,Milestones!$AA$118),"dd mmm yy"))&amp;" "&amp;Milestones!$AB$118&amp;" "&amp;IF(AND(Milestones!$AB$118="FT",Milestones!$AA$118=FT_Y5,EDATE($D153,Milestones!$AA$118)&lt;PolicyEff),1,Milestones!$AC$118)&amp;";  ","")&amp;IF(AND(EDATE($D153,Milestones!$AA$119)&lt;=AsOfDate,EDATE($D153,Milestones!$AA$119)&gt;=SchemeStart,IF($X153=0,$AD153,IF(AND($Z153&lt;&gt;"",EDATE($D153,Milestones!$AA$119)&gt;=$Z153),$AC153,IF(AND($Y153&lt;&gt;"",EDATE($D153,Milestones!$AA$119)&gt;=$Y153),$AB153,$AA153)))=Milestones!$AB$119),UPPER(TEXT(EDATE($D153,Milestones!$AA$119),"dd mmm yy"))&amp;" "&amp;Milestones!$AB$119&amp;" "&amp;IF(AND(Milestones!$AB$119="FT",Milestones!$AA$119=FT_Y5,EDATE($D153,Milestones!$AA$119)&lt;PolicyEff),1,Milestones!$AC$119)&amp;";  ","")&amp;IF(AND(EDATE($D153,Milestones!$AA$120)&lt;=AsOfDate,EDATE($D153,Milestones!$AA$120)&gt;=SchemeStart,IF($X153=0,$AD153,IF(AND($Z153&lt;&gt;"",EDATE($D153,Milestones!$AA$120)&gt;=$Z153),$AC153,IF(AND($Y153&lt;&gt;"",EDATE($D153,Milestones!$AA$120)&gt;=$Y153),$AB153,$AA153)))=Milestones!$AB$120),UPPER(TEXT(EDATE($D153,Milestones!$AA$120),"dd mmm yy"))&amp;" "&amp;Milestones!$AB$120&amp;" "&amp;IF(AND(Milestones!$AB$120="FT",Milestones!$AA$120=FT_Y5,EDATE($D153,Milestones!$AA$120)&lt;PolicyEff),1,Milestones!$AC$120)&amp;";  ","")&amp;IF(AND(EDATE($D153,Milestones!$AA$121)&lt;=AsOfDate,EDATE($D153,Milestones!$AA$121)&gt;=SchemeStart,IF($X153=0,$AD153,IF(AND($Z153&lt;&gt;"",EDATE($D153,Milestones!$AA$121)&gt;=$Z153),$AC153,IF(AND($Y153&lt;&gt;"",EDATE($D153,Milestones!$AA$121)&gt;=$Y153),$AB153,$AA153)))=Milestones!$AB$121),UPPER(TEXT(EDATE($D153,Milestones!$AA$121),"dd mmm yy"))&amp;" "&amp;Milestones!$AB$121&amp;" "&amp;IF(AND(Milestones!$AB$121="FT",Milestones!$AA$121=FT_Y5,EDATE($D153,Milestones!$AA$121)&lt;PolicyEff),1,Milestones!$AC$121)&amp;";  ","")&amp;IF(AND(EDATE($D153,Milestones!$AA$122)&lt;=AsOfDate,EDATE($D153,Milestones!$AA$122)&gt;=SchemeStart,IF($X153=0,$AD153,IF(AND($Z153&lt;&gt;"",EDATE($D153,Milestones!$AA$122)&gt;=$Z153),$AC153,IF(AND($Y153&lt;&gt;"",EDATE($D153,Milestones!$AA$122)&gt;=$Y153),$AB153,$AA153)))=Milestones!$AB$122),UPPER(TEXT(EDATE($D153,Milestones!$AA$122),"dd mmm yy"))&amp;" "&amp;Milestones!$AB$122&amp;" "&amp;IF(AND(Milestones!$AB$122="FT",Milestones!$AA$122=FT_Y5,EDATE($D153,Milestones!$AA$122)&lt;PolicyEff),1,Milestones!$AC$122)&amp;";  ","")&amp;IF(AND(EDATE($D153,Milestones!$AA$123)&lt;=AsOfDate,EDATE($D153,Milestones!$AA$123)&gt;=SchemeStart,IF($X153=0,$AD153,IF(AND($Z153&lt;&gt;"",EDATE($D153,Milestones!$AA$123)&gt;=$Z153),$AC153,IF(AND($Y153&lt;&gt;"",EDATE($D153,Milestones!$AA$123)&gt;=$Y153),$AB153,$AA153)))=Milestones!$AB$123),UPPER(TEXT(EDATE($D153,Milestones!$AA$123),"dd mmm yy"))&amp;" "&amp;Milestones!$AB$123&amp;" "&amp;IF(AND(Milestones!$AB$123="FT",Milestones!$AA$123=FT_Y5,EDATE($D153,Milestones!$AA$123)&lt;PolicyEff),1,Milestones!$AC$123)&amp;";  ","")&amp;IF(AND(EDATE($D153,Milestones!$AA$124)&lt;=AsOfDate,EDATE($D153,Milestones!$AA$124)&gt;=SchemeStart,IF($X153=0,$AD153,IF(AND($Z153&lt;&gt;"",EDATE($D153,Milestones!$AA$124)&gt;=$Z153),$AC153,IF(AND($Y153&lt;&gt;"",EDATE($D153,Milestones!$AA$124)&gt;=$Y153),$AB153,$AA153)))=Milestones!$AB$124),UPPER(TEXT(EDATE($D153,Milestones!$AA$124),"dd mmm yy"))&amp;" "&amp;Milestones!$AB$124&amp;" "&amp;IF(AND(Milestones!$AB$124="FT",Milestones!$AA$124=FT_Y5,EDATE($D153,Milestones!$AA$124)&lt;PolicyEff),1,Milestones!$AC$124)&amp;";  ","")&amp;IF(AND(EDATE($D153,Milestones!$AA$125)&lt;=AsOfDate,EDATE($D153,Milestones!$AA$125)&gt;=SchemeStart,IF($X153=0,$AD153,IF(AND($Z153&lt;&gt;"",EDATE($D153,Milestones!$AA$125)&gt;=$Z153),$AC153,IF(AND($Y153&lt;&gt;"",EDATE($D153,Milestones!$AA$125)&gt;=$Y153),$AB153,$AA153)))=Milestones!$AB$125),UPPER(TEXT(EDATE($D153,Milestones!$AA$125),"dd mmm yy"))&amp;" "&amp;Milestones!$AB$125&amp;" "&amp;IF(AND(Milestones!$AB$125="FT",Milestones!$AA$125=FT_Y5,EDATE($D153,Milestones!$AA$125)&lt;PolicyEff),1,Milestones!$AC$125)&amp;";  ","")&amp;IF(AND(EDATE($D153,Milestones!$AA$126)&lt;=AsOfDate,EDATE($D153,Milestones!$AA$126)&gt;=SchemeStart,IF($X153=0,$AD153,IF(AND($Z153&lt;&gt;"",EDATE($D153,Milestones!$AA$126)&gt;=$Z153),$AC153,IF(AND($Y153&lt;&gt;"",EDATE($D153,Milestones!$AA$126)&gt;=$Y153),$AB153,$AA153)))=Milestones!$AB$126),UPPER(TEXT(EDATE($D153,Milestones!$AA$126),"dd mmm yy"))&amp;" "&amp;Milestones!$AB$126&amp;" "&amp;IF(AND(Milestones!$AB$126="FT",Milestones!$AA$126=FT_Y5,EDATE($D153,Milestones!$AA$126)&lt;PolicyEff),1,Milestones!$AC$126)&amp;";  ","")&amp;IF(AND(EDATE($D153,Milestones!$AA$127)&lt;=AsOfDate,EDATE($D153,Milestones!$AA$127)&gt;=SchemeStart,IF($X153=0,$AD153,IF(AND($Z153&lt;&gt;"",EDATE($D153,Milestones!$AA$127)&gt;=$Z153),$AC153,IF(AND($Y153&lt;&gt;"",EDATE($D153,Milestones!$AA$127)&gt;=$Y153),$AB153,$AA153)))=Milestones!$AB$127),UPPER(TEXT(EDATE($D153,Milestones!$AA$127),"dd mmm yy"))&amp;" "&amp;Milestones!$AB$127&amp;" "&amp;IF(AND(Milestones!$AB$127="FT",Milestones!$AA$127=FT_Y5,EDATE($D153,Milestones!$AA$127)&lt;PolicyEff),1,Milestones!$AC$127)&amp;";  ",""))</f>
        <v/>
      </c>
      <c r="R153" s="0" t="str">
        <f aca="false">IF(OR($A153="",$D153=""),"",IF(AND(EDATE($D153,Milestones!$AA$128)&lt;=AsOfDate,EDATE($D153,Milestones!$AA$128)&gt;=SchemeStart,IF($X153=0,$AD153,IF(AND($Z153&lt;&gt;"",EDATE($D153,Milestones!$AA$128)&gt;=$Z153),$AC153,IF(AND($Y153&lt;&gt;"",EDATE($D153,Milestones!$AA$128)&gt;=$Y153),$AB153,$AA153)))=Milestones!$AB$128),UPPER(TEXT(EDATE($D153,Milestones!$AA$128),"dd mmm yy"))&amp;" "&amp;Milestones!$AB$128&amp;" "&amp;IF(AND(Milestones!$AB$128="FT",Milestones!$AA$128=FT_Y5,EDATE($D153,Milestones!$AA$128)&lt;PolicyEff),1,Milestones!$AC$128)&amp;";  ","")&amp;IF(AND(EDATE($D153,Milestones!$AA$129)&lt;=AsOfDate,EDATE($D153,Milestones!$AA$129)&gt;=SchemeStart,IF($X153=0,$AD153,IF(AND($Z153&lt;&gt;"",EDATE($D153,Milestones!$AA$129)&gt;=$Z153),$AC153,IF(AND($Y153&lt;&gt;"",EDATE($D153,Milestones!$AA$129)&gt;=$Y153),$AB153,$AA153)))=Milestones!$AB$129),UPPER(TEXT(EDATE($D153,Milestones!$AA$129),"dd mmm yy"))&amp;" "&amp;Milestones!$AB$129&amp;" "&amp;IF(AND(Milestones!$AB$129="FT",Milestones!$AA$129=FT_Y5,EDATE($D153,Milestones!$AA$129)&lt;PolicyEff),1,Milestones!$AC$129)&amp;";  ","")&amp;IF(AND(EDATE($D153,Milestones!$AA$130)&lt;=AsOfDate,EDATE($D153,Milestones!$AA$130)&gt;=SchemeStart,IF($X153=0,$AD153,IF(AND($Z153&lt;&gt;"",EDATE($D153,Milestones!$AA$130)&gt;=$Z153),$AC153,IF(AND($Y153&lt;&gt;"",EDATE($D153,Milestones!$AA$130)&gt;=$Y153),$AB153,$AA153)))=Milestones!$AB$130),UPPER(TEXT(EDATE($D153,Milestones!$AA$130),"dd mmm yy"))&amp;" "&amp;Milestones!$AB$130&amp;" "&amp;IF(AND(Milestones!$AB$130="FT",Milestones!$AA$130=FT_Y5,EDATE($D153,Milestones!$AA$130)&lt;PolicyEff),1,Milestones!$AC$130)&amp;";  ","")&amp;IF(AND(EDATE($D153,Milestones!$AA$131)&lt;=AsOfDate,EDATE($D153,Milestones!$AA$131)&gt;=SchemeStart,IF($X153=0,$AD153,IF(AND($Z153&lt;&gt;"",EDATE($D153,Milestones!$AA$131)&gt;=$Z153),$AC153,IF(AND($Y153&lt;&gt;"",EDATE($D153,Milestones!$AA$131)&gt;=$Y153),$AB153,$AA153)))=Milestones!$AB$131),UPPER(TEXT(EDATE($D153,Milestones!$AA$131),"dd mmm yy"))&amp;" "&amp;Milestones!$AB$131&amp;" "&amp;IF(AND(Milestones!$AB$131="FT",Milestones!$AA$131=FT_Y5,EDATE($D153,Milestones!$AA$131)&lt;PolicyEff),1,Milestones!$AC$131)&amp;";  ","")&amp;IF(AND(EDATE($D153,Milestones!$AA$132)&lt;=AsOfDate,EDATE($D153,Milestones!$AA$132)&gt;=SchemeStart,IF($X153=0,$AD153,IF(AND($Z153&lt;&gt;"",EDATE($D153,Milestones!$AA$132)&gt;=$Z153),$AC153,IF(AND($Y153&lt;&gt;"",EDATE($D153,Milestones!$AA$132)&gt;=$Y153),$AB153,$AA153)))=Milestones!$AB$132),UPPER(TEXT(EDATE($D153,Milestones!$AA$132),"dd mmm yy"))&amp;" "&amp;Milestones!$AB$132&amp;" "&amp;IF(AND(Milestones!$AB$132="FT",Milestones!$AA$132=FT_Y5,EDATE($D153,Milestones!$AA$132)&lt;PolicyEff),1,Milestones!$AC$132)&amp;";  ","")&amp;IF(AND(EDATE($D153,Milestones!$AA$133)&lt;=AsOfDate,EDATE($D153,Milestones!$AA$133)&gt;=SchemeStart,IF($X153=0,$AD153,IF(AND($Z153&lt;&gt;"",EDATE($D153,Milestones!$AA$133)&gt;=$Z153),$AC153,IF(AND($Y153&lt;&gt;"",EDATE($D153,Milestones!$AA$133)&gt;=$Y153),$AB153,$AA153)))=Milestones!$AB$133),UPPER(TEXT(EDATE($D153,Milestones!$AA$133),"dd mmm yy"))&amp;" "&amp;Milestones!$AB$133&amp;" "&amp;IF(AND(Milestones!$AB$133="FT",Milestones!$AA$133=FT_Y5,EDATE($D153,Milestones!$AA$133)&lt;PolicyEff),1,Milestones!$AC$133)&amp;";  ","")&amp;IF(AND(EDATE($D153,Milestones!$AA$134)&lt;=AsOfDate,EDATE($D153,Milestones!$AA$134)&gt;=SchemeStart,IF($X153=0,$AD153,IF(AND($Z153&lt;&gt;"",EDATE($D153,Milestones!$AA$134)&gt;=$Z153),$AC153,IF(AND($Y153&lt;&gt;"",EDATE($D153,Milestones!$AA$134)&gt;=$Y153),$AB153,$AA153)))=Milestones!$AB$134),UPPER(TEXT(EDATE($D153,Milestones!$AA$134),"dd mmm yy"))&amp;" "&amp;Milestones!$AB$134&amp;" "&amp;IF(AND(Milestones!$AB$134="FT",Milestones!$AA$134=FT_Y5,EDATE($D153,Milestones!$AA$134)&lt;PolicyEff),1,Milestones!$AC$134)&amp;";  ","")&amp;IF(AND(EDATE($D153,Milestones!$AA$135)&lt;=AsOfDate,EDATE($D153,Milestones!$AA$135)&gt;=SchemeStart,IF($X153=0,$AD153,IF(AND($Z153&lt;&gt;"",EDATE($D153,Milestones!$AA$135)&gt;=$Z153),$AC153,IF(AND($Y153&lt;&gt;"",EDATE($D153,Milestones!$AA$135)&gt;=$Y153),$AB153,$AA153)))=Milestones!$AB$135),UPPER(TEXT(EDATE($D153,Milestones!$AA$135),"dd mmm yy"))&amp;" "&amp;Milestones!$AB$135&amp;" "&amp;IF(AND(Milestones!$AB$135="FT",Milestones!$AA$135=FT_Y5,EDATE($D153,Milestones!$AA$135)&lt;PolicyEff),1,Milestones!$AC$135)&amp;";  ","")&amp;IF(AND(EDATE($D153,Milestones!$AA$136)&lt;=AsOfDate,EDATE($D153,Milestones!$AA$136)&gt;=SchemeStart,IF($X153=0,$AD153,IF(AND($Z153&lt;&gt;"",EDATE($D153,Milestones!$AA$136)&gt;=$Z153),$AC153,IF(AND($Y153&lt;&gt;"",EDATE($D153,Milestones!$AA$136)&gt;=$Y153),$AB153,$AA153)))=Milestones!$AB$136),UPPER(TEXT(EDATE($D153,Milestones!$AA$136),"dd mmm yy"))&amp;" "&amp;Milestones!$AB$136&amp;" "&amp;IF(AND(Milestones!$AB$136="FT",Milestones!$AA$136=FT_Y5,EDATE($D153,Milestones!$AA$136)&lt;PolicyEff),1,Milestones!$AC$136)&amp;";  ","")&amp;IF(AND(EDATE($D153,Milestones!$AA$137)&lt;=AsOfDate,EDATE($D153,Milestones!$AA$137)&gt;=SchemeStart,IF($X153=0,$AD153,IF(AND($Z153&lt;&gt;"",EDATE($D153,Milestones!$AA$137)&gt;=$Z153),$AC153,IF(AND($Y153&lt;&gt;"",EDATE($D153,Milestones!$AA$137)&gt;=$Y153),$AB153,$AA153)))=Milestones!$AB$137),UPPER(TEXT(EDATE($D153,Milestones!$AA$137),"dd mmm yy"))&amp;" "&amp;Milestones!$AB$137&amp;" "&amp;IF(AND(Milestones!$AB$137="FT",Milestones!$AA$137=FT_Y5,EDATE($D153,Milestones!$AA$137)&lt;PolicyEff),1,Milestones!$AC$137)&amp;";  ","")&amp;IF(AND(EDATE($D153,Milestones!$AA$138)&lt;=AsOfDate,EDATE($D153,Milestones!$AA$138)&gt;=SchemeStart,IF($X153=0,$AD153,IF(AND($Z153&lt;&gt;"",EDATE($D153,Milestones!$AA$138)&gt;=$Z153),$AC153,IF(AND($Y153&lt;&gt;"",EDATE($D153,Milestones!$AA$138)&gt;=$Y153),$AB153,$AA153)))=Milestones!$AB$138),UPPER(TEXT(EDATE($D153,Milestones!$AA$138),"dd mmm yy"))&amp;" "&amp;Milestones!$AB$138&amp;" "&amp;IF(AND(Milestones!$AB$138="FT",Milestones!$AA$138=FT_Y5,EDATE($D153,Milestones!$AA$138)&lt;PolicyEff),1,Milestones!$AC$138)&amp;";  ","")&amp;IF(AND(EDATE($D153,Milestones!$AA$139)&lt;=AsOfDate,EDATE($D153,Milestones!$AA$139)&gt;=SchemeStart,IF($X153=0,$AD153,IF(AND($Z153&lt;&gt;"",EDATE($D153,Milestones!$AA$139)&gt;=$Z153),$AC153,IF(AND($Y153&lt;&gt;"",EDATE($D153,Milestones!$AA$139)&gt;=$Y153),$AB153,$AA153)))=Milestones!$AB$139),UPPER(TEXT(EDATE($D153,Milestones!$AA$139),"dd mmm yy"))&amp;" "&amp;Milestones!$AB$139&amp;" "&amp;IF(AND(Milestones!$AB$139="FT",Milestones!$AA$139=FT_Y5,EDATE($D153,Milestones!$AA$139)&lt;PolicyEff),1,Milestones!$AC$139)&amp;";  ",""))</f>
        <v/>
      </c>
      <c r="S153" s="0" t="str">
        <f aca="false">IF(OR($A153="",$D153=""),"",IF(AND(EDATE($D153,Milestones!$AA$140)&lt;=AsOfDate,EDATE($D153,Milestones!$AA$140)&gt;=SchemeStart,IF($X153=0,$AD153,IF(AND($Z153&lt;&gt;"",EDATE($D153,Milestones!$AA$140)&gt;=$Z153),$AC153,IF(AND($Y153&lt;&gt;"",EDATE($D153,Milestones!$AA$140)&gt;=$Y153),$AB153,$AA153)))=Milestones!$AB$140),UPPER(TEXT(EDATE($D153,Milestones!$AA$140),"dd mmm yy"))&amp;" "&amp;Milestones!$AB$140&amp;" "&amp;IF(AND(Milestones!$AB$140="FT",Milestones!$AA$140=FT_Y5,EDATE($D153,Milestones!$AA$140)&lt;PolicyEff),1,Milestones!$AC$140)&amp;";  ","")&amp;IF(AND(EDATE($D153,Milestones!$AA$141)&lt;=AsOfDate,EDATE($D153,Milestones!$AA$141)&gt;=SchemeStart,IF($X153=0,$AD153,IF(AND($Z153&lt;&gt;"",EDATE($D153,Milestones!$AA$141)&gt;=$Z153),$AC153,IF(AND($Y153&lt;&gt;"",EDATE($D153,Milestones!$AA$141)&gt;=$Y153),$AB153,$AA153)))=Milestones!$AB$141),UPPER(TEXT(EDATE($D153,Milestones!$AA$141),"dd mmm yy"))&amp;" "&amp;Milestones!$AB$141&amp;" "&amp;IF(AND(Milestones!$AB$141="FT",Milestones!$AA$141=FT_Y5,EDATE($D153,Milestones!$AA$141)&lt;PolicyEff),1,Milestones!$AC$141)&amp;";  ","")&amp;IF(AND(EDATE($D153,Milestones!$AA$142)&lt;=AsOfDate,EDATE($D153,Milestones!$AA$142)&gt;=SchemeStart,IF($X153=0,$AD153,IF(AND($Z153&lt;&gt;"",EDATE($D153,Milestones!$AA$142)&gt;=$Z153),$AC153,IF(AND($Y153&lt;&gt;"",EDATE($D153,Milestones!$AA$142)&gt;=$Y153),$AB153,$AA153)))=Milestones!$AB$142),UPPER(TEXT(EDATE($D153,Milestones!$AA$142),"dd mmm yy"))&amp;" "&amp;Milestones!$AB$142&amp;" "&amp;IF(AND(Milestones!$AB$142="FT",Milestones!$AA$142=FT_Y5,EDATE($D153,Milestones!$AA$142)&lt;PolicyEff),1,Milestones!$AC$142)&amp;";  ","")&amp;IF(AND(EDATE($D153,Milestones!$AA$143)&lt;=AsOfDate,EDATE($D153,Milestones!$AA$143)&gt;=SchemeStart,IF($X153=0,$AD153,IF(AND($Z153&lt;&gt;"",EDATE($D153,Milestones!$AA$143)&gt;=$Z153),$AC153,IF(AND($Y153&lt;&gt;"",EDATE($D153,Milestones!$AA$143)&gt;=$Y153),$AB153,$AA153)))=Milestones!$AB$143),UPPER(TEXT(EDATE($D153,Milestones!$AA$143),"dd mmm yy"))&amp;" "&amp;Milestones!$AB$143&amp;" "&amp;IF(AND(Milestones!$AB$143="FT",Milestones!$AA$143=FT_Y5,EDATE($D153,Milestones!$AA$143)&lt;PolicyEff),1,Milestones!$AC$143)&amp;";  ","")&amp;IF(AND(EDATE($D153,Milestones!$AA$144)&lt;=AsOfDate,EDATE($D153,Milestones!$AA$144)&gt;=SchemeStart,IF($X153=0,$AD153,IF(AND($Z153&lt;&gt;"",EDATE($D153,Milestones!$AA$144)&gt;=$Z153),$AC153,IF(AND($Y153&lt;&gt;"",EDATE($D153,Milestones!$AA$144)&gt;=$Y153),$AB153,$AA153)))=Milestones!$AB$144),UPPER(TEXT(EDATE($D153,Milestones!$AA$144),"dd mmm yy"))&amp;" "&amp;Milestones!$AB$144&amp;" "&amp;IF(AND(Milestones!$AB$144="FT",Milestones!$AA$144=FT_Y5,EDATE($D153,Milestones!$AA$144)&lt;PolicyEff),1,Milestones!$AC$144)&amp;";  ","")&amp;IF(AND(EDATE($D153,Milestones!$AA$145)&lt;=AsOfDate,EDATE($D153,Milestones!$AA$145)&gt;=SchemeStart,IF($X153=0,$AD153,IF(AND($Z153&lt;&gt;"",EDATE($D153,Milestones!$AA$145)&gt;=$Z153),$AC153,IF(AND($Y153&lt;&gt;"",EDATE($D153,Milestones!$AA$145)&gt;=$Y153),$AB153,$AA153)))=Milestones!$AB$145),UPPER(TEXT(EDATE($D153,Milestones!$AA$145),"dd mmm yy"))&amp;" "&amp;Milestones!$AB$145&amp;" "&amp;IF(AND(Milestones!$AB$145="FT",Milestones!$AA$145=FT_Y5,EDATE($D153,Milestones!$AA$145)&lt;PolicyEff),1,Milestones!$AC$145)&amp;";  ","")&amp;IF(AND(EDATE($D153,Milestones!$AA$146)&lt;=AsOfDate,EDATE($D153,Milestones!$AA$146)&gt;=SchemeStart,IF($X153=0,$AD153,IF(AND($Z153&lt;&gt;"",EDATE($D153,Milestones!$AA$146)&gt;=$Z153),$AC153,IF(AND($Y153&lt;&gt;"",EDATE($D153,Milestones!$AA$146)&gt;=$Y153),$AB153,$AA153)))=Milestones!$AB$146),UPPER(TEXT(EDATE($D153,Milestones!$AA$146),"dd mmm yy"))&amp;" "&amp;Milestones!$AB$146&amp;" "&amp;IF(AND(Milestones!$AB$146="FT",Milestones!$AA$146=FT_Y5,EDATE($D153,Milestones!$AA$146)&lt;PolicyEff),1,Milestones!$AC$146)&amp;";  ","")&amp;IF(AND(EDATE($D153,Milestones!$AA$147)&lt;=AsOfDate,EDATE($D153,Milestones!$AA$147)&gt;=SchemeStart,IF($X153=0,$AD153,IF(AND($Z153&lt;&gt;"",EDATE($D153,Milestones!$AA$147)&gt;=$Z153),$AC153,IF(AND($Y153&lt;&gt;"",EDATE($D153,Milestones!$AA$147)&gt;=$Y153),$AB153,$AA153)))=Milestones!$AB$147),UPPER(TEXT(EDATE($D153,Milestones!$AA$147),"dd mmm yy"))&amp;" "&amp;Milestones!$AB$147&amp;" "&amp;IF(AND(Milestones!$AB$147="FT",Milestones!$AA$147=FT_Y5,EDATE($D153,Milestones!$AA$147)&lt;PolicyEff),1,Milestones!$AC$147)&amp;";  ","")&amp;IF(AND(EDATE($D153,Milestones!$AA$148)&lt;=AsOfDate,EDATE($D153,Milestones!$AA$148)&gt;=SchemeStart,IF($X153=0,$AD153,IF(AND($Z153&lt;&gt;"",EDATE($D153,Milestones!$AA$148)&gt;=$Z153),$AC153,IF(AND($Y153&lt;&gt;"",EDATE($D153,Milestones!$AA$148)&gt;=$Y153),$AB153,$AA153)))=Milestones!$AB$148),UPPER(TEXT(EDATE($D153,Milestones!$AA$148),"dd mmm yy"))&amp;" "&amp;Milestones!$AB$148&amp;" "&amp;IF(AND(Milestones!$AB$148="FT",Milestones!$AA$148=FT_Y5,EDATE($D153,Milestones!$AA$148)&lt;PolicyEff),1,Milestones!$AC$148)&amp;";  ","")&amp;IF(AND(EDATE($D153,Milestones!$AA$149)&lt;=AsOfDate,EDATE($D153,Milestones!$AA$149)&gt;=SchemeStart,IF($X153=0,$AD153,IF(AND($Z153&lt;&gt;"",EDATE($D153,Milestones!$AA$149)&gt;=$Z153),$AC153,IF(AND($Y153&lt;&gt;"",EDATE($D153,Milestones!$AA$149)&gt;=$Y153),$AB153,$AA153)))=Milestones!$AB$149),UPPER(TEXT(EDATE($D153,Milestones!$AA$149),"dd mmm yy"))&amp;" "&amp;Milestones!$AB$149&amp;" "&amp;IF(AND(Milestones!$AB$149="FT",Milestones!$AA$149=FT_Y5,EDATE($D153,Milestones!$AA$149)&lt;PolicyEff),1,Milestones!$AC$149)&amp;";  ","")&amp;IF(AND(EDATE($D153,Milestones!$AA$150)&lt;=AsOfDate,EDATE($D153,Milestones!$AA$150)&gt;=SchemeStart,IF($X153=0,$AD153,IF(AND($Z153&lt;&gt;"",EDATE($D153,Milestones!$AA$150)&gt;=$Z153),$AC153,IF(AND($Y153&lt;&gt;"",EDATE($D153,Milestones!$AA$150)&gt;=$Y153),$AB153,$AA153)))=Milestones!$AB$150),UPPER(TEXT(EDATE($D153,Milestones!$AA$150),"dd mmm yy"))&amp;" "&amp;Milestones!$AB$150&amp;" "&amp;IF(AND(Milestones!$AB$150="FT",Milestones!$AA$150=FT_Y5,EDATE($D153,Milestones!$AA$150)&lt;PolicyEff),1,Milestones!$AC$150)&amp;";  ","")&amp;IF(AND(EDATE($D153,Milestones!$AA$151)&lt;=AsOfDate,EDATE($D153,Milestones!$AA$151)&gt;=SchemeStart,IF($X153=0,$AD153,IF(AND($Z153&lt;&gt;"",EDATE($D153,Milestones!$AA$151)&gt;=$Z153),$AC153,IF(AND($Y153&lt;&gt;"",EDATE($D153,Milestones!$AA$151)&gt;=$Y153),$AB153,$AA153)))=Milestones!$AB$151),UPPER(TEXT(EDATE($D153,Milestones!$AA$151),"dd mmm yy"))&amp;" "&amp;Milestones!$AB$151&amp;" "&amp;IF(AND(Milestones!$AB$151="FT",Milestones!$AA$151=FT_Y5,EDATE($D153,Milestones!$AA$151)&lt;PolicyEff),1,Milestones!$AC$151)&amp;";  ",""))</f>
        <v/>
      </c>
      <c r="T153" s="0" t="str">
        <f aca="false">IF(OR($A153="",$D153=""),"",IF(AND(EDATE($D153,Milestones!$AA$152)&lt;=AsOfDate,EDATE($D153,Milestones!$AA$152)&gt;=SchemeStart,IF($X153=0,$AD153,IF(AND($Z153&lt;&gt;"",EDATE($D153,Milestones!$AA$152)&gt;=$Z153),$AC153,IF(AND($Y153&lt;&gt;"",EDATE($D153,Milestones!$AA$152)&gt;=$Y153),$AB153,$AA153)))=Milestones!$AB$152),UPPER(TEXT(EDATE($D153,Milestones!$AA$152),"dd mmm yy"))&amp;" "&amp;Milestones!$AB$152&amp;" "&amp;IF(AND(Milestones!$AB$152="FT",Milestones!$AA$152=FT_Y5,EDATE($D153,Milestones!$AA$152)&lt;PolicyEff),1,Milestones!$AC$152)&amp;";  ","")&amp;IF(AND(EDATE($D153,Milestones!$AA$153)&lt;=AsOfDate,EDATE($D153,Milestones!$AA$153)&gt;=SchemeStart,IF($X153=0,$AD153,IF(AND($Z153&lt;&gt;"",EDATE($D153,Milestones!$AA$153)&gt;=$Z153),$AC153,IF(AND($Y153&lt;&gt;"",EDATE($D153,Milestones!$AA$153)&gt;=$Y153),$AB153,$AA153)))=Milestones!$AB$153),UPPER(TEXT(EDATE($D153,Milestones!$AA$153),"dd mmm yy"))&amp;" "&amp;Milestones!$AB$153&amp;" "&amp;IF(AND(Milestones!$AB$153="FT",Milestones!$AA$153=FT_Y5,EDATE($D153,Milestones!$AA$153)&lt;PolicyEff),1,Milestones!$AC$153)&amp;";  ","")&amp;IF(AND(EDATE($D153,Milestones!$AA$154)&lt;=AsOfDate,EDATE($D153,Milestones!$AA$154)&gt;=SchemeStart,IF($X153=0,$AD153,IF(AND($Z153&lt;&gt;"",EDATE($D153,Milestones!$AA$154)&gt;=$Z153),$AC153,IF(AND($Y153&lt;&gt;"",EDATE($D153,Milestones!$AA$154)&gt;=$Y153),$AB153,$AA153)))=Milestones!$AB$154),UPPER(TEXT(EDATE($D153,Milestones!$AA$154),"dd mmm yy"))&amp;" "&amp;Milestones!$AB$154&amp;" "&amp;IF(AND(Milestones!$AB$154="FT",Milestones!$AA$154=FT_Y5,EDATE($D153,Milestones!$AA$154)&lt;PolicyEff),1,Milestones!$AC$154)&amp;";  ","")&amp;IF(AND(EDATE($D153,Milestones!$AA$155)&lt;=AsOfDate,EDATE($D153,Milestones!$AA$155)&gt;=SchemeStart,IF($X153=0,$AD153,IF(AND($Z153&lt;&gt;"",EDATE($D153,Milestones!$AA$155)&gt;=$Z153),$AC153,IF(AND($Y153&lt;&gt;"",EDATE($D153,Milestones!$AA$155)&gt;=$Y153),$AB153,$AA153)))=Milestones!$AB$155),UPPER(TEXT(EDATE($D153,Milestones!$AA$155),"dd mmm yy"))&amp;" "&amp;Milestones!$AB$155&amp;" "&amp;IF(AND(Milestones!$AB$155="FT",Milestones!$AA$155=FT_Y5,EDATE($D153,Milestones!$AA$155)&lt;PolicyEff),1,Milestones!$AC$155)&amp;";  ","")&amp;IF(AND(EDATE($D153,Milestones!$AA$156)&lt;=AsOfDate,EDATE($D153,Milestones!$AA$156)&gt;=SchemeStart,IF($X153=0,$AD153,IF(AND($Z153&lt;&gt;"",EDATE($D153,Milestones!$AA$156)&gt;=$Z153),$AC153,IF(AND($Y153&lt;&gt;"",EDATE($D153,Milestones!$AA$156)&gt;=$Y153),$AB153,$AA153)))=Milestones!$AB$156),UPPER(TEXT(EDATE($D153,Milestones!$AA$156),"dd mmm yy"))&amp;" "&amp;Milestones!$AB$156&amp;" "&amp;IF(AND(Milestones!$AB$156="FT",Milestones!$AA$156=FT_Y5,EDATE($D153,Milestones!$AA$156)&lt;PolicyEff),1,Milestones!$AC$156)&amp;";  ","")&amp;IF(AND(EDATE($D153,Milestones!$AA$157)&lt;=AsOfDate,EDATE($D153,Milestones!$AA$157)&gt;=SchemeStart,IF($X153=0,$AD153,IF(AND($Z153&lt;&gt;"",EDATE($D153,Milestones!$AA$157)&gt;=$Z153),$AC153,IF(AND($Y153&lt;&gt;"",EDATE($D153,Milestones!$AA$157)&gt;=$Y153),$AB153,$AA153)))=Milestones!$AB$157),UPPER(TEXT(EDATE($D153,Milestones!$AA$157),"dd mmm yy"))&amp;" "&amp;Milestones!$AB$157&amp;" "&amp;IF(AND(Milestones!$AB$157="FT",Milestones!$AA$157=FT_Y5,EDATE($D153,Milestones!$AA$157)&lt;PolicyEff),1,Milestones!$AC$157)&amp;";  ","")&amp;IF(AND(EDATE($D153,Milestones!$AA$158)&lt;=AsOfDate,EDATE($D153,Milestones!$AA$158)&gt;=SchemeStart,IF($X153=0,$AD153,IF(AND($Z153&lt;&gt;"",EDATE($D153,Milestones!$AA$158)&gt;=$Z153),$AC153,IF(AND($Y153&lt;&gt;"",EDATE($D153,Milestones!$AA$158)&gt;=$Y153),$AB153,$AA153)))=Milestones!$AB$158),UPPER(TEXT(EDATE($D153,Milestones!$AA$158),"dd mmm yy"))&amp;" "&amp;Milestones!$AB$158&amp;" "&amp;IF(AND(Milestones!$AB$158="FT",Milestones!$AA$158=FT_Y5,EDATE($D153,Milestones!$AA$158)&lt;PolicyEff),1,Milestones!$AC$158)&amp;";  ","")&amp;IF(AND(EDATE($D153,Milestones!$AA$159)&lt;=AsOfDate,EDATE($D153,Milestones!$AA$159)&gt;=SchemeStart,IF($X153=0,$AD153,IF(AND($Z153&lt;&gt;"",EDATE($D153,Milestones!$AA$159)&gt;=$Z153),$AC153,IF(AND($Y153&lt;&gt;"",EDATE($D153,Milestones!$AA$159)&gt;=$Y153),$AB153,$AA153)))=Milestones!$AB$159),UPPER(TEXT(EDATE($D153,Milestones!$AA$159),"dd mmm yy"))&amp;" "&amp;Milestones!$AB$159&amp;" "&amp;IF(AND(Milestones!$AB$159="FT",Milestones!$AA$159=FT_Y5,EDATE($D153,Milestones!$AA$159)&lt;PolicyEff),1,Milestones!$AC$159)&amp;";  ","")&amp;IF(AND(EDATE($D153,Milestones!$AA$160)&lt;=AsOfDate,EDATE($D153,Milestones!$AA$160)&gt;=SchemeStart,IF($X153=0,$AD153,IF(AND($Z153&lt;&gt;"",EDATE($D153,Milestones!$AA$160)&gt;=$Z153),$AC153,IF(AND($Y153&lt;&gt;"",EDATE($D153,Milestones!$AA$160)&gt;=$Y153),$AB153,$AA153)))=Milestones!$AB$160),UPPER(TEXT(EDATE($D153,Milestones!$AA$160),"dd mmm yy"))&amp;" "&amp;Milestones!$AB$160&amp;" "&amp;IF(AND(Milestones!$AB$160="FT",Milestones!$AA$160=FT_Y5,EDATE($D153,Milestones!$AA$160)&lt;PolicyEff),1,Milestones!$AC$160)&amp;";  ","")&amp;IF(AND(EDATE($D153,Milestones!$AA$161)&lt;=AsOfDate,EDATE($D153,Milestones!$AA$161)&gt;=SchemeStart,IF($X153=0,$AD153,IF(AND($Z153&lt;&gt;"",EDATE($D153,Milestones!$AA$161)&gt;=$Z153),$AC153,IF(AND($Y153&lt;&gt;"",EDATE($D153,Milestones!$AA$161)&gt;=$Y153),$AB153,$AA153)))=Milestones!$AB$161),UPPER(TEXT(EDATE($D153,Milestones!$AA$161),"dd mmm yy"))&amp;" "&amp;Milestones!$AB$161&amp;" "&amp;IF(AND(Milestones!$AB$161="FT",Milestones!$AA$161=FT_Y5,EDATE($D153,Milestones!$AA$161)&lt;PolicyEff),1,Milestones!$AC$161)&amp;";  ","")&amp;IF(AND(EDATE($D153,Milestones!$AA$162)&lt;=AsOfDate,EDATE($D153,Milestones!$AA$162)&gt;=SchemeStart,IF($X153=0,$AD153,IF(AND($Z153&lt;&gt;"",EDATE($D153,Milestones!$AA$162)&gt;=$Z153),$AC153,IF(AND($Y153&lt;&gt;"",EDATE($D153,Milestones!$AA$162)&gt;=$Y153),$AB153,$AA153)))=Milestones!$AB$162),UPPER(TEXT(EDATE($D153,Milestones!$AA$162),"dd mmm yy"))&amp;" "&amp;Milestones!$AB$162&amp;" "&amp;IF(AND(Milestones!$AB$162="FT",Milestones!$AA$162=FT_Y5,EDATE($D153,Milestones!$AA$162)&lt;PolicyEff),1,Milestones!$AC$162)&amp;";  ","")&amp;IF(AND(EDATE($D153,Milestones!$AA$163)&lt;=AsOfDate,EDATE($D153,Milestones!$AA$163)&gt;=SchemeStart,IF($X153=0,$AD153,IF(AND($Z153&lt;&gt;"",EDATE($D153,Milestones!$AA$163)&gt;=$Z153),$AC153,IF(AND($Y153&lt;&gt;"",EDATE($D153,Milestones!$AA$163)&gt;=$Y153),$AB153,$AA153)))=Milestones!$AB$163),UPPER(TEXT(EDATE($D153,Milestones!$AA$163),"dd mmm yy"))&amp;" "&amp;Milestones!$AB$163&amp;" "&amp;IF(AND(Milestones!$AB$163="FT",Milestones!$AA$163=FT_Y5,EDATE($D153,Milestones!$AA$163)&lt;PolicyEff),1,Milestones!$AC$163)&amp;";  ",""))</f>
        <v/>
      </c>
      <c r="U153" s="0" t="str">
        <f aca="false">IF(OR($A153="",$D153=""),"",IF(AND(EDATE($D153,Milestones!$AA$164)&lt;=AsOfDate,EDATE($D153,Milestones!$AA$164)&gt;=SchemeStart,IF($X153=0,$AD153,IF(AND($Z153&lt;&gt;"",EDATE($D153,Milestones!$AA$164)&gt;=$Z153),$AC153,IF(AND($Y153&lt;&gt;"",EDATE($D153,Milestones!$AA$164)&gt;=$Y153),$AB153,$AA153)))=Milestones!$AB$164),UPPER(TEXT(EDATE($D153,Milestones!$AA$164),"dd mmm yy"))&amp;" "&amp;Milestones!$AB$164&amp;" "&amp;IF(AND(Milestones!$AB$164="FT",Milestones!$AA$164=FT_Y5,EDATE($D153,Milestones!$AA$164)&lt;PolicyEff),1,Milestones!$AC$164)&amp;";  ","")&amp;IF(AND(EDATE($D153,Milestones!$AA$165)&lt;=AsOfDate,EDATE($D153,Milestones!$AA$165)&gt;=SchemeStart,IF($X153=0,$AD153,IF(AND($Z153&lt;&gt;"",EDATE($D153,Milestones!$AA$165)&gt;=$Z153),$AC153,IF(AND($Y153&lt;&gt;"",EDATE($D153,Milestones!$AA$165)&gt;=$Y153),$AB153,$AA153)))=Milestones!$AB$165),UPPER(TEXT(EDATE($D153,Milestones!$AA$165),"dd mmm yy"))&amp;" "&amp;Milestones!$AB$165&amp;" "&amp;IF(AND(Milestones!$AB$165="FT",Milestones!$AA$165=FT_Y5,EDATE($D153,Milestones!$AA$165)&lt;PolicyEff),1,Milestones!$AC$165)&amp;";  ","")&amp;IF(AND(EDATE($D153,Milestones!$AA$166)&lt;=AsOfDate,EDATE($D153,Milestones!$AA$166)&gt;=SchemeStart,IF($X153=0,$AD153,IF(AND($Z153&lt;&gt;"",EDATE($D153,Milestones!$AA$166)&gt;=$Z153),$AC153,IF(AND($Y153&lt;&gt;"",EDATE($D153,Milestones!$AA$166)&gt;=$Y153),$AB153,$AA153)))=Milestones!$AB$166),UPPER(TEXT(EDATE($D153,Milestones!$AA$166),"dd mmm yy"))&amp;" "&amp;Milestones!$AB$166&amp;" "&amp;IF(AND(Milestones!$AB$166="FT",Milestones!$AA$166=FT_Y5,EDATE($D153,Milestones!$AA$166)&lt;PolicyEff),1,Milestones!$AC$166)&amp;";  ","")&amp;IF(AND(EDATE($D153,Milestones!$AA$167)&lt;=AsOfDate,EDATE($D153,Milestones!$AA$167)&gt;=SchemeStart,IF($X153=0,$AD153,IF(AND($Z153&lt;&gt;"",EDATE($D153,Milestones!$AA$167)&gt;=$Z153),$AC153,IF(AND($Y153&lt;&gt;"",EDATE($D153,Milestones!$AA$167)&gt;=$Y153),$AB153,$AA153)))=Milestones!$AB$167),UPPER(TEXT(EDATE($D153,Milestones!$AA$167),"dd mmm yy"))&amp;" "&amp;Milestones!$AB$167&amp;" "&amp;IF(AND(Milestones!$AB$167="FT",Milestones!$AA$167=FT_Y5,EDATE($D153,Milestones!$AA$167)&lt;PolicyEff),1,Milestones!$AC$167)&amp;";  ","")&amp;IF(AND(EDATE($D153,Milestones!$AA$168)&lt;=AsOfDate,EDATE($D153,Milestones!$AA$168)&gt;=SchemeStart,IF($X153=0,$AD153,IF(AND($Z153&lt;&gt;"",EDATE($D153,Milestones!$AA$168)&gt;=$Z153),$AC153,IF(AND($Y153&lt;&gt;"",EDATE($D153,Milestones!$AA$168)&gt;=$Y153),$AB153,$AA153)))=Milestones!$AB$168),UPPER(TEXT(EDATE($D153,Milestones!$AA$168),"dd mmm yy"))&amp;" "&amp;Milestones!$AB$168&amp;" "&amp;IF(AND(Milestones!$AB$168="FT",Milestones!$AA$168=FT_Y5,EDATE($D153,Milestones!$AA$168)&lt;PolicyEff),1,Milestones!$AC$168)&amp;";  ","")&amp;IF(AND(EDATE($D153,Milestones!$AA$169)&lt;=AsOfDate,EDATE($D153,Milestones!$AA$169)&gt;=SchemeStart,IF($X153=0,$AD153,IF(AND($Z153&lt;&gt;"",EDATE($D153,Milestones!$AA$169)&gt;=$Z153),$AC153,IF(AND($Y153&lt;&gt;"",EDATE($D153,Milestones!$AA$169)&gt;=$Y153),$AB153,$AA153)))=Milestones!$AB$169),UPPER(TEXT(EDATE($D153,Milestones!$AA$169),"dd mmm yy"))&amp;" "&amp;Milestones!$AB$169&amp;" "&amp;IF(AND(Milestones!$AB$169="FT",Milestones!$AA$169=FT_Y5,EDATE($D153,Milestones!$AA$169)&lt;PolicyEff),1,Milestones!$AC$169)&amp;";  ","")&amp;IF(AND(EDATE($D153,Milestones!$AA$170)&lt;=AsOfDate,EDATE($D153,Milestones!$AA$170)&gt;=SchemeStart,IF($X153=0,$AD153,IF(AND($Z153&lt;&gt;"",EDATE($D153,Milestones!$AA$170)&gt;=$Z153),$AC153,IF(AND($Y153&lt;&gt;"",EDATE($D153,Milestones!$AA$170)&gt;=$Y153),$AB153,$AA153)))=Milestones!$AB$170),UPPER(TEXT(EDATE($D153,Milestones!$AA$170),"dd mmm yy"))&amp;" "&amp;Milestones!$AB$170&amp;" "&amp;IF(AND(Milestones!$AB$170="FT",Milestones!$AA$170=FT_Y5,EDATE($D153,Milestones!$AA$170)&lt;PolicyEff),1,Milestones!$AC$170)&amp;";  ","")&amp;IF(AND(EDATE($D153,Milestones!$AA$171)&lt;=AsOfDate,EDATE($D153,Milestones!$AA$171)&gt;=SchemeStart,IF($X153=0,$AD153,IF(AND($Z153&lt;&gt;"",EDATE($D153,Milestones!$AA$171)&gt;=$Z153),$AC153,IF(AND($Y153&lt;&gt;"",EDATE($D153,Milestones!$AA$171)&gt;=$Y153),$AB153,$AA153)))=Milestones!$AB$171),UPPER(TEXT(EDATE($D153,Milestones!$AA$171),"dd mmm yy"))&amp;" "&amp;Milestones!$AB$171&amp;" "&amp;IF(AND(Milestones!$AB$171="FT",Milestones!$AA$171=FT_Y5,EDATE($D153,Milestones!$AA$171)&lt;PolicyEff),1,Milestones!$AC$171)&amp;";  ","")&amp;IF(AND(EDATE($D153,Milestones!$AA$172)&lt;=AsOfDate,EDATE($D153,Milestones!$AA$172)&gt;=SchemeStart,IF($X153=0,$AD153,IF(AND($Z153&lt;&gt;"",EDATE($D153,Milestones!$AA$172)&gt;=$Z153),$AC153,IF(AND($Y153&lt;&gt;"",EDATE($D153,Milestones!$AA$172)&gt;=$Y153),$AB153,$AA153)))=Milestones!$AB$172),UPPER(TEXT(EDATE($D153,Milestones!$AA$172),"dd mmm yy"))&amp;" "&amp;Milestones!$AB$172&amp;" "&amp;IF(AND(Milestones!$AB$172="FT",Milestones!$AA$172=FT_Y5,EDATE($D153,Milestones!$AA$172)&lt;PolicyEff),1,Milestones!$AC$172)&amp;";  ","")&amp;IF(AND(EDATE($D153,Milestones!$AA$173)&lt;=AsOfDate,EDATE($D153,Milestones!$AA$173)&gt;=SchemeStart,IF($X153=0,$AD153,IF(AND($Z153&lt;&gt;"",EDATE($D153,Milestones!$AA$173)&gt;=$Z153),$AC153,IF(AND($Y153&lt;&gt;"",EDATE($D153,Milestones!$AA$173)&gt;=$Y153),$AB153,$AA153)))=Milestones!$AB$173),UPPER(TEXT(EDATE($D153,Milestones!$AA$173),"dd mmm yy"))&amp;" "&amp;Milestones!$AB$173&amp;" "&amp;IF(AND(Milestones!$AB$173="FT",Milestones!$AA$173=FT_Y5,EDATE($D153,Milestones!$AA$173)&lt;PolicyEff),1,Milestones!$AC$173)&amp;";  ","")&amp;IF(AND(EDATE($D153,Milestones!$AA$174)&lt;=AsOfDate,EDATE($D153,Milestones!$AA$174)&gt;=SchemeStart,IF($X153=0,$AD153,IF(AND($Z153&lt;&gt;"",EDATE($D153,Milestones!$AA$174)&gt;=$Z153),$AC153,IF(AND($Y153&lt;&gt;"",EDATE($D153,Milestones!$AA$174)&gt;=$Y153),$AB153,$AA153)))=Milestones!$AB$174),UPPER(TEXT(EDATE($D153,Milestones!$AA$174),"dd mmm yy"))&amp;" "&amp;Milestones!$AB$174&amp;" "&amp;IF(AND(Milestones!$AB$174="FT",Milestones!$AA$174=FT_Y5,EDATE($D153,Milestones!$AA$174)&lt;PolicyEff),1,Milestones!$AC$174)&amp;";  ","")&amp;IF(AND(EDATE($D153,Milestones!$AA$175)&lt;=AsOfDate,EDATE($D153,Milestones!$AA$175)&gt;=SchemeStart,IF($X153=0,$AD153,IF(AND($Z153&lt;&gt;"",EDATE($D153,Milestones!$AA$175)&gt;=$Z153),$AC153,IF(AND($Y153&lt;&gt;"",EDATE($D153,Milestones!$AA$175)&gt;=$Y153),$AB153,$AA153)))=Milestones!$AB$175),UPPER(TEXT(EDATE($D153,Milestones!$AA$175),"dd mmm yy"))&amp;" "&amp;Milestones!$AB$175&amp;" "&amp;IF(AND(Milestones!$AB$175="FT",Milestones!$AA$175=FT_Y5,EDATE($D153,Milestones!$AA$175)&lt;PolicyEff),1,Milestones!$AC$175)&amp;";  ",""))</f>
        <v/>
      </c>
      <c r="V153" s="0" t="str">
        <f aca="false">IF(OR($A153="",$D153=""),"",IF(AND(EDATE($D153,Milestones!$AA$176)&lt;=AsOfDate,EDATE($D153,Milestones!$AA$176)&gt;=SchemeStart,IF($X153=0,$AD153,IF(AND($Z153&lt;&gt;"",EDATE($D153,Milestones!$AA$176)&gt;=$Z153),$AC153,IF(AND($Y153&lt;&gt;"",EDATE($D153,Milestones!$AA$176)&gt;=$Y153),$AB153,$AA153)))=Milestones!$AB$176),UPPER(TEXT(EDATE($D153,Milestones!$AA$176),"dd mmm yy"))&amp;" "&amp;Milestones!$AB$176&amp;" "&amp;IF(AND(Milestones!$AB$176="FT",Milestones!$AA$176=FT_Y5,EDATE($D153,Milestones!$AA$176)&lt;PolicyEff),1,Milestones!$AC$176)&amp;";  ","")&amp;IF(AND(EDATE($D153,Milestones!$AA$177)&lt;=AsOfDate,EDATE($D153,Milestones!$AA$177)&gt;=SchemeStart,IF($X153=0,$AD153,IF(AND($Z153&lt;&gt;"",EDATE($D153,Milestones!$AA$177)&gt;=$Z153),$AC153,IF(AND($Y153&lt;&gt;"",EDATE($D153,Milestones!$AA$177)&gt;=$Y153),$AB153,$AA153)))=Milestones!$AB$177),UPPER(TEXT(EDATE($D153,Milestones!$AA$177),"dd mmm yy"))&amp;" "&amp;Milestones!$AB$177&amp;" "&amp;IF(AND(Milestones!$AB$177="FT",Milestones!$AA$177=FT_Y5,EDATE($D153,Milestones!$AA$177)&lt;PolicyEff),1,Milestones!$AC$177)&amp;";  ","")&amp;IF(AND(EDATE($D153,Milestones!$AA$178)&lt;=AsOfDate,EDATE($D153,Milestones!$AA$178)&gt;=SchemeStart,IF($X153=0,$AD153,IF(AND($Z153&lt;&gt;"",EDATE($D153,Milestones!$AA$178)&gt;=$Z153),$AC153,IF(AND($Y153&lt;&gt;"",EDATE($D153,Milestones!$AA$178)&gt;=$Y153),$AB153,$AA153)))=Milestones!$AB$178),UPPER(TEXT(EDATE($D153,Milestones!$AA$178),"dd mmm yy"))&amp;" "&amp;Milestones!$AB$178&amp;" "&amp;IF(AND(Milestones!$AB$178="FT",Milestones!$AA$178=FT_Y5,EDATE($D153,Milestones!$AA$178)&lt;PolicyEff),1,Milestones!$AC$178)&amp;";  ","")&amp;IF(AND(EDATE($D153,Milestones!$AA$179)&lt;=AsOfDate,EDATE($D153,Milestones!$AA$179)&gt;=SchemeStart,IF($X153=0,$AD153,IF(AND($Z153&lt;&gt;"",EDATE($D153,Milestones!$AA$179)&gt;=$Z153),$AC153,IF(AND($Y153&lt;&gt;"",EDATE($D153,Milestones!$AA$179)&gt;=$Y153),$AB153,$AA153)))=Milestones!$AB$179),UPPER(TEXT(EDATE($D153,Milestones!$AA$179),"dd mmm yy"))&amp;" "&amp;Milestones!$AB$179&amp;" "&amp;IF(AND(Milestones!$AB$179="FT",Milestones!$AA$179=FT_Y5,EDATE($D153,Milestones!$AA$179)&lt;PolicyEff),1,Milestones!$AC$179)&amp;";  ","")&amp;IF(AND(EDATE($D153,Milestones!$AA$180)&lt;=AsOfDate,EDATE($D153,Milestones!$AA$180)&gt;=SchemeStart,IF($X153=0,$AD153,IF(AND($Z153&lt;&gt;"",EDATE($D153,Milestones!$AA$180)&gt;=$Z153),$AC153,IF(AND($Y153&lt;&gt;"",EDATE($D153,Milestones!$AA$180)&gt;=$Y153),$AB153,$AA153)))=Milestones!$AB$180),UPPER(TEXT(EDATE($D153,Milestones!$AA$180),"dd mmm yy"))&amp;" "&amp;Milestones!$AB$180&amp;" "&amp;IF(AND(Milestones!$AB$180="FT",Milestones!$AA$180=FT_Y5,EDATE($D153,Milestones!$AA$180)&lt;PolicyEff),1,Milestones!$AC$180)&amp;";  ","")&amp;IF(AND(EDATE($D153,Milestones!$AA$181)&lt;=AsOfDate,EDATE($D153,Milestones!$AA$181)&gt;=SchemeStart,IF($X153=0,$AD153,IF(AND($Z153&lt;&gt;"",EDATE($D153,Milestones!$AA$181)&gt;=$Z153),$AC153,IF(AND($Y153&lt;&gt;"",EDATE($D153,Milestones!$AA$181)&gt;=$Y153),$AB153,$AA153)))=Milestones!$AB$181),UPPER(TEXT(EDATE($D153,Milestones!$AA$181),"dd mmm yy"))&amp;" "&amp;Milestones!$AB$181&amp;" "&amp;IF(AND(Milestones!$AB$181="FT",Milestones!$AA$181=FT_Y5,EDATE($D153,Milestones!$AA$181)&lt;PolicyEff),1,Milestones!$AC$181)&amp;";  ","")&amp;IF(AND(EDATE($D153,Milestones!$AA$182)&lt;=AsOfDate,EDATE($D153,Milestones!$AA$182)&gt;=SchemeStart,IF($X153=0,$AD153,IF(AND($Z153&lt;&gt;"",EDATE($D153,Milestones!$AA$182)&gt;=$Z153),$AC153,IF(AND($Y153&lt;&gt;"",EDATE($D153,Milestones!$AA$182)&gt;=$Y153),$AB153,$AA153)))=Milestones!$AB$182),UPPER(TEXT(EDATE($D153,Milestones!$AA$182),"dd mmm yy"))&amp;" "&amp;Milestones!$AB$182&amp;" "&amp;IF(AND(Milestones!$AB$182="FT",Milestones!$AA$182=FT_Y5,EDATE($D153,Milestones!$AA$182)&lt;PolicyEff),1,Milestones!$AC$182)&amp;";  ","")&amp;IF(AND(EDATE($D153,Milestones!$AA$183)&lt;=AsOfDate,EDATE($D153,Milestones!$AA$183)&gt;=SchemeStart,IF($X153=0,$AD153,IF(AND($Z153&lt;&gt;"",EDATE($D153,Milestones!$AA$183)&gt;=$Z153),$AC153,IF(AND($Y153&lt;&gt;"",EDATE($D153,Milestones!$AA$183)&gt;=$Y153),$AB153,$AA153)))=Milestones!$AB$183),UPPER(TEXT(EDATE($D153,Milestones!$AA$183),"dd mmm yy"))&amp;" "&amp;Milestones!$AB$183&amp;" "&amp;IF(AND(Milestones!$AB$183="FT",Milestones!$AA$183=FT_Y5,EDATE($D153,Milestones!$AA$183)&lt;PolicyEff),1,Milestones!$AC$183)&amp;";  ","")&amp;IF(AND(EDATE($D153,Milestones!$AA$184)&lt;=AsOfDate,EDATE($D153,Milestones!$AA$184)&gt;=SchemeStart,IF($X153=0,$AD153,IF(AND($Z153&lt;&gt;"",EDATE($D153,Milestones!$AA$184)&gt;=$Z153),$AC153,IF(AND($Y153&lt;&gt;"",EDATE($D153,Milestones!$AA$184)&gt;=$Y153),$AB153,$AA153)))=Milestones!$AB$184),UPPER(TEXT(EDATE($D153,Milestones!$AA$184),"dd mmm yy"))&amp;" "&amp;Milestones!$AB$184&amp;" "&amp;IF(AND(Milestones!$AB$184="FT",Milestones!$AA$184=FT_Y5,EDATE($D153,Milestones!$AA$184)&lt;PolicyEff),1,Milestones!$AC$184)&amp;";  ","")&amp;IF(AND(EDATE($D153,Milestones!$AA$185)&lt;=AsOfDate,EDATE($D153,Milestones!$AA$185)&gt;=SchemeStart,IF($X153=0,$AD153,IF(AND($Z153&lt;&gt;"",EDATE($D153,Milestones!$AA$185)&gt;=$Z153),$AC153,IF(AND($Y153&lt;&gt;"",EDATE($D153,Milestones!$AA$185)&gt;=$Y153),$AB153,$AA153)))=Milestones!$AB$185),UPPER(TEXT(EDATE($D153,Milestones!$AA$185),"dd mmm yy"))&amp;" "&amp;Milestones!$AB$185&amp;" "&amp;IF(AND(Milestones!$AB$185="FT",Milestones!$AA$185=FT_Y5,EDATE($D153,Milestones!$AA$185)&lt;PolicyEff),1,Milestones!$AC$185)&amp;";  ","")&amp;IF(AND(EDATE($D153,Milestones!$AA$186)&lt;=AsOfDate,EDATE($D153,Milestones!$AA$186)&gt;=SchemeStart,IF($X153=0,$AD153,IF(AND($Z153&lt;&gt;"",EDATE($D153,Milestones!$AA$186)&gt;=$Z153),$AC153,IF(AND($Y153&lt;&gt;"",EDATE($D153,Milestones!$AA$186)&gt;=$Y153),$AB153,$AA153)))=Milestones!$AB$186),UPPER(TEXT(EDATE($D153,Milestones!$AA$186),"dd mmm yy"))&amp;" "&amp;Milestones!$AB$186&amp;" "&amp;IF(AND(Milestones!$AB$186="FT",Milestones!$AA$186=FT_Y5,EDATE($D153,Milestones!$AA$186)&lt;PolicyEff),1,Milestones!$AC$186)&amp;";  ","")&amp;IF(AND(EDATE($D153,Milestones!$AA$187)&lt;=AsOfDate,EDATE($D153,Milestones!$AA$187)&gt;=SchemeStart,IF($X153=0,$AD153,IF(AND($Z153&lt;&gt;"",EDATE($D153,Milestones!$AA$187)&gt;=$Z153),$AC153,IF(AND($Y153&lt;&gt;"",EDATE($D153,Milestones!$AA$187)&gt;=$Y153),$AB153,$AA153)))=Milestones!$AB$187),UPPER(TEXT(EDATE($D153,Milestones!$AA$187),"dd mmm yy"))&amp;" "&amp;Milestones!$AB$187&amp;" "&amp;IF(AND(Milestones!$AB$187="FT",Milestones!$AA$187=FT_Y5,EDATE($D153,Milestones!$AA$187)&lt;PolicyEff),1,Milestones!$AC$187)&amp;";  ",""))</f>
        <v/>
      </c>
      <c r="W153" s="0" t="str">
        <f aca="false">IF(OR($A153="",$D153=""),"",IF(AND(EDATE($D153,Milestones!$AA$188)&lt;=AsOfDate,EDATE($D153,Milestones!$AA$188)&gt;=SchemeStart,IF($X153=0,$AD153,IF(AND($Z153&lt;&gt;"",EDATE($D153,Milestones!$AA$188)&gt;=$Z153),$AC153,IF(AND($Y153&lt;&gt;"",EDATE($D153,Milestones!$AA$188)&gt;=$Y153),$AB153,$AA153)))=Milestones!$AB$188),UPPER(TEXT(EDATE($D153,Milestones!$AA$188),"dd mmm yy"))&amp;" "&amp;Milestones!$AB$188&amp;" "&amp;IF(AND(Milestones!$AB$188="FT",Milestones!$AA$188=FT_Y5,EDATE($D153,Milestones!$AA$188)&lt;PolicyEff),1,Milestones!$AC$188)&amp;";  ","")&amp;IF(AND(EDATE($D153,Milestones!$AA$189)&lt;=AsOfDate,EDATE($D153,Milestones!$AA$189)&gt;=SchemeStart,IF($X153=0,$AD153,IF(AND($Z153&lt;&gt;"",EDATE($D153,Milestones!$AA$189)&gt;=$Z153),$AC153,IF(AND($Y153&lt;&gt;"",EDATE($D153,Milestones!$AA$189)&gt;=$Y153),$AB153,$AA153)))=Milestones!$AB$189),UPPER(TEXT(EDATE($D153,Milestones!$AA$189),"dd mmm yy"))&amp;" "&amp;Milestones!$AB$189&amp;" "&amp;IF(AND(Milestones!$AB$189="FT",Milestones!$AA$189=FT_Y5,EDATE($D153,Milestones!$AA$189)&lt;PolicyEff),1,Milestones!$AC$189)&amp;";  ","")&amp;IF(AND(EDATE($D153,Milestones!$AA$190)&lt;=AsOfDate,EDATE($D153,Milestones!$AA$190)&gt;=SchemeStart,IF($X153=0,$AD153,IF(AND($Z153&lt;&gt;"",EDATE($D153,Milestones!$AA$190)&gt;=$Z153),$AC153,IF(AND($Y153&lt;&gt;"",EDATE($D153,Milestones!$AA$190)&gt;=$Y153),$AB153,$AA153)))=Milestones!$AB$190),UPPER(TEXT(EDATE($D153,Milestones!$AA$190),"dd mmm yy"))&amp;" "&amp;Milestones!$AB$190&amp;" "&amp;IF(AND(Milestones!$AB$190="FT",Milestones!$AA$190=FT_Y5,EDATE($D153,Milestones!$AA$190)&lt;PolicyEff),1,Milestones!$AC$190)&amp;";  ","")&amp;IF(AND(EDATE($D153,Milestones!$AA$191)&lt;=AsOfDate,EDATE($D153,Milestones!$AA$191)&gt;=SchemeStart,IF($X153=0,$AD153,IF(AND($Z153&lt;&gt;"",EDATE($D153,Milestones!$AA$191)&gt;=$Z153),$AC153,IF(AND($Y153&lt;&gt;"",EDATE($D153,Milestones!$AA$191)&gt;=$Y153),$AB153,$AA153)))=Milestones!$AB$191),UPPER(TEXT(EDATE($D153,Milestones!$AA$191),"dd mmm yy"))&amp;" "&amp;Milestones!$AB$191&amp;" "&amp;IF(AND(Milestones!$AB$191="FT",Milestones!$AA$191=FT_Y5,EDATE($D153,Milestones!$AA$191)&lt;PolicyEff),1,Milestones!$AC$191)&amp;";  ","")&amp;IF(AND(EDATE($D153,Milestones!$AA$192)&lt;=AsOfDate,EDATE($D153,Milestones!$AA$192)&gt;=SchemeStart,IF($X153=0,$AD153,IF(AND($Z153&lt;&gt;"",EDATE($D153,Milestones!$AA$192)&gt;=$Z153),$AC153,IF(AND($Y153&lt;&gt;"",EDATE($D153,Milestones!$AA$192)&gt;=$Y153),$AB153,$AA153)))=Milestones!$AB$192),UPPER(TEXT(EDATE($D153,Milestones!$AA$192),"dd mmm yy"))&amp;" "&amp;Milestones!$AB$192&amp;" "&amp;IF(AND(Milestones!$AB$192="FT",Milestones!$AA$192=FT_Y5,EDATE($D153,Milestones!$AA$192)&lt;PolicyEff),1,Milestones!$AC$192)&amp;";  ","")&amp;IF(AND(EDATE($D153,Milestones!$AA$193)&lt;=AsOfDate,EDATE($D153,Milestones!$AA$193)&gt;=SchemeStart,IF($X153=0,$AD153,IF(AND($Z153&lt;&gt;"",EDATE($D153,Milestones!$AA$193)&gt;=$Z153),$AC153,IF(AND($Y153&lt;&gt;"",EDATE($D153,Milestones!$AA$193)&gt;=$Y153),$AB153,$AA153)))=Milestones!$AB$193),UPPER(TEXT(EDATE($D153,Milestones!$AA$193),"dd mmm yy"))&amp;" "&amp;Milestones!$AB$193&amp;" "&amp;IF(AND(Milestones!$AB$193="FT",Milestones!$AA$193=FT_Y5,EDATE($D153,Milestones!$AA$193)&lt;PolicyEff),1,Milestones!$AC$193)&amp;";  ","")&amp;IF(AND(EDATE($D153,Milestones!$AA$194)&lt;=AsOfDate,EDATE($D153,Milestones!$AA$194)&gt;=SchemeStart,IF($X153=0,$AD153,IF(AND($Z153&lt;&gt;"",EDATE($D153,Milestones!$AA$194)&gt;=$Z153),$AC153,IF(AND($Y153&lt;&gt;"",EDATE($D153,Milestones!$AA$194)&gt;=$Y153),$AB153,$AA153)))=Milestones!$AB$194),UPPER(TEXT(EDATE($D153,Milestones!$AA$194),"dd mmm yy"))&amp;" "&amp;Milestones!$AB$194&amp;" "&amp;IF(AND(Milestones!$AB$194="FT",Milestones!$AA$194=FT_Y5,EDATE($D153,Milestones!$AA$194)&lt;PolicyEff),1,Milestones!$AC$194)&amp;";  ","")&amp;IF(AND(EDATE($D153,Milestones!$AA$195)&lt;=AsOfDate,EDATE($D153,Milestones!$AA$195)&gt;=SchemeStart,IF($X153=0,$AD153,IF(AND($Z153&lt;&gt;"",EDATE($D153,Milestones!$AA$195)&gt;=$Z153),$AC153,IF(AND($Y153&lt;&gt;"",EDATE($D153,Milestones!$AA$195)&gt;=$Y153),$AB153,$AA153)))=Milestones!$AB$195),UPPER(TEXT(EDATE($D153,Milestones!$AA$195),"dd mmm yy"))&amp;" "&amp;Milestones!$AB$195&amp;" "&amp;IF(AND(Milestones!$AB$195="FT",Milestones!$AA$195=FT_Y5,EDATE($D153,Milestones!$AA$195)&lt;PolicyEff),1,Milestones!$AC$195)&amp;";  ","")&amp;IF(AND(EDATE($D153,Milestones!$AA$196)&lt;=AsOfDate,EDATE($D153,Milestones!$AA$196)&gt;=SchemeStart,IF($X153=0,$AD153,IF(AND($Z153&lt;&gt;"",EDATE($D153,Milestones!$AA$196)&gt;=$Z153),$AC153,IF(AND($Y153&lt;&gt;"",EDATE($D153,Milestones!$AA$196)&gt;=$Y153),$AB153,$AA153)))=Milestones!$AB$196),UPPER(TEXT(EDATE($D153,Milestones!$AA$196),"dd mmm yy"))&amp;" "&amp;Milestones!$AB$196&amp;" "&amp;IF(AND(Milestones!$AB$196="FT",Milestones!$AA$196=FT_Y5,EDATE($D153,Milestones!$AA$196)&lt;PolicyEff),1,Milestones!$AC$196)&amp;";  ","")&amp;IF(AND(EDATE($D153,Milestones!$AA$197)&lt;=AsOfDate,EDATE($D153,Milestones!$AA$197)&gt;=SchemeStart,IF($X153=0,$AD153,IF(AND($Z153&lt;&gt;"",EDATE($D153,Milestones!$AA$197)&gt;=$Z153),$AC153,IF(AND($Y153&lt;&gt;"",EDATE($D153,Milestones!$AA$197)&gt;=$Y153),$AB153,$AA153)))=Milestones!$AB$197),UPPER(TEXT(EDATE($D153,Milestones!$AA$197),"dd mmm yy"))&amp;" "&amp;Milestones!$AB$197&amp;" "&amp;IF(AND(Milestones!$AB$197="FT",Milestones!$AA$197=FT_Y5,EDATE($D153,Milestones!$AA$197)&lt;PolicyEff),1,Milestones!$AC$197)&amp;";  ","")&amp;IF(AND(EDATE($D153,Milestones!$AA$198)&lt;=AsOfDate,EDATE($D153,Milestones!$AA$198)&gt;=SchemeStart,IF($X153=0,$AD153,IF(AND($Z153&lt;&gt;"",EDATE($D153,Milestones!$AA$198)&gt;=$Z153),$AC153,IF(AND($Y153&lt;&gt;"",EDATE($D153,Milestones!$AA$198)&gt;=$Y153),$AB153,$AA153)))=Milestones!$AB$198),UPPER(TEXT(EDATE($D153,Milestones!$AA$198),"dd mmm yy"))&amp;" "&amp;Milestones!$AB$198&amp;" "&amp;IF(AND(Milestones!$AB$198="FT",Milestones!$AA$198=FT_Y5,EDATE($D153,Milestones!$AA$198)&lt;PolicyEff),1,Milestones!$AC$198)&amp;";  ","")&amp;IF(AND(EDATE($D153,Milestones!$AA$199)&lt;=AsOfDate,EDATE($D153,Milestones!$AA$199)&gt;=SchemeStart,IF($X153=0,$AD153,IF(AND($Z153&lt;&gt;"",EDATE($D153,Milestones!$AA$199)&gt;=$Z153),$AC153,IF(AND($Y153&lt;&gt;"",EDATE($D153,Milestones!$AA$199)&gt;=$Y153),$AB153,$AA153)))=Milestones!$AB$199),UPPER(TEXT(EDATE($D153,Milestones!$AA$199),"dd mmm yy"))&amp;" "&amp;Milestones!$AB$199&amp;" "&amp;IF(AND(Milestones!$AB$199="FT",Milestones!$AA$199=FT_Y5,EDATE($D153,Milestones!$AA$199)&lt;PolicyEff),1,Milestones!$AC$199)&amp;";  ",""))</f>
        <v/>
      </c>
      <c r="X153" s="0" t="str">
        <f aca="false">IF(Staff!$A153="","",Staff!$AM153)</f>
        <v/>
      </c>
      <c r="Y153" s="0" t="str">
        <f aca="false">IF(Staff!$A153="","",Staff!$AO153)</f>
        <v/>
      </c>
      <c r="Z153" s="0" t="str">
        <f aca="false">IF(Staff!$A153="","",Staff!$AP153)</f>
        <v/>
      </c>
      <c r="AA153" s="0" t="str">
        <f aca="false">IF(Staff!$A153="","",Staff!$AT153)</f>
        <v/>
      </c>
      <c r="AB153" s="0" t="str">
        <f aca="false">IF(Staff!$A153="","",Staff!$AU153)</f>
        <v/>
      </c>
      <c r="AC153" s="0" t="str">
        <f aca="false">IF(Staff!$A153="","",Staff!$AV153)</f>
        <v/>
      </c>
      <c r="AD153" s="0" t="str">
        <f aca="false">IF(Staff!$A153="","",Staff!$AW153)</f>
        <v/>
      </c>
    </row>
    <row r="154" customFormat="false" ht="15" hidden="false" customHeight="false" outlineLevel="0" collapsed="false">
      <c r="A154" s="16" t="str">
        <f aca="false">IF(Staff!$A154="","",Staff!$A154)</f>
        <v/>
      </c>
      <c r="B154" s="16" t="str">
        <f aca="false">IF(Staff!$A154="","",Staff!$B154)</f>
        <v/>
      </c>
      <c r="C154" s="16" t="str">
        <f aca="false">IF(Staff!$A154="","",Staff!$C154)</f>
        <v/>
      </c>
      <c r="D154" s="14" t="str">
        <f aca="false">IF(Staff!$A154="","",Staff!$AL154)</f>
        <v/>
      </c>
      <c r="E154" s="16" t="str">
        <f aca="false">IF(Staff!$A154="","",Staff!$O154)</f>
        <v/>
      </c>
      <c r="F154" s="16" t="str">
        <f aca="false">IF(E154="","",E154*HoursPerDay)</f>
        <v/>
      </c>
      <c r="G154" s="16" t="str">
        <f aca="false">IF(Staff!$A154="","",Staff!$AE154)</f>
        <v/>
      </c>
      <c r="H154" s="28" t="str">
        <f aca="false">IF($A154="","",I154&amp;J154&amp;K154&amp;L154&amp;M154&amp;N154&amp;O154&amp;P154&amp;Q154&amp;R154&amp;S154&amp;T154&amp;U154&amp;V154&amp;W154)</f>
        <v/>
      </c>
      <c r="I154" s="0" t="str">
        <f aca="false">IF(OR($A154="",$D154=""),"",IF(AND(EDATE($D154,Milestones!$AA$20)&lt;=AsOfDate,EDATE($D154,Milestones!$AA$20)&gt;=SchemeStart,IF($X154=0,$AD154,IF(AND($Z154&lt;&gt;"",EDATE($D154,Milestones!$AA$20)&gt;=$Z154),$AC154,IF(AND($Y154&lt;&gt;"",EDATE($D154,Milestones!$AA$20)&gt;=$Y154),$AB154,$AA154)))=Milestones!$AB$20),UPPER(TEXT(EDATE($D154,Milestones!$AA$20),"dd mmm yy"))&amp;" "&amp;Milestones!$AB$20&amp;" "&amp;IF(AND(Milestones!$AB$20="FT",Milestones!$AA$20=FT_Y5,EDATE($D154,Milestones!$AA$20)&lt;PolicyEff),1,Milestones!$AC$20)&amp;";  ","")&amp;IF(AND(EDATE($D154,Milestones!$AA$21)&lt;=AsOfDate,EDATE($D154,Milestones!$AA$21)&gt;=SchemeStart,IF($X154=0,$AD154,IF(AND($Z154&lt;&gt;"",EDATE($D154,Milestones!$AA$21)&gt;=$Z154),$AC154,IF(AND($Y154&lt;&gt;"",EDATE($D154,Milestones!$AA$21)&gt;=$Y154),$AB154,$AA154)))=Milestones!$AB$21),UPPER(TEXT(EDATE($D154,Milestones!$AA$21),"dd mmm yy"))&amp;" "&amp;Milestones!$AB$21&amp;" "&amp;IF(AND(Milestones!$AB$21="FT",Milestones!$AA$21=FT_Y5,EDATE($D154,Milestones!$AA$21)&lt;PolicyEff),1,Milestones!$AC$21)&amp;";  ","")&amp;IF(AND(EDATE($D154,Milestones!$AA$22)&lt;=AsOfDate,EDATE($D154,Milestones!$AA$22)&gt;=SchemeStart,IF($X154=0,$AD154,IF(AND($Z154&lt;&gt;"",EDATE($D154,Milestones!$AA$22)&gt;=$Z154),$AC154,IF(AND($Y154&lt;&gt;"",EDATE($D154,Milestones!$AA$22)&gt;=$Y154),$AB154,$AA154)))=Milestones!$AB$22),UPPER(TEXT(EDATE($D154,Milestones!$AA$22),"dd mmm yy"))&amp;" "&amp;Milestones!$AB$22&amp;" "&amp;IF(AND(Milestones!$AB$22="FT",Milestones!$AA$22=FT_Y5,EDATE($D154,Milestones!$AA$22)&lt;PolicyEff),1,Milestones!$AC$22)&amp;";  ","")&amp;IF(AND(EDATE($D154,Milestones!$AA$23)&lt;=AsOfDate,EDATE($D154,Milestones!$AA$23)&gt;=SchemeStart,IF($X154=0,$AD154,IF(AND($Z154&lt;&gt;"",EDATE($D154,Milestones!$AA$23)&gt;=$Z154),$AC154,IF(AND($Y154&lt;&gt;"",EDATE($D154,Milestones!$AA$23)&gt;=$Y154),$AB154,$AA154)))=Milestones!$AB$23),UPPER(TEXT(EDATE($D154,Milestones!$AA$23),"dd mmm yy"))&amp;" "&amp;Milestones!$AB$23&amp;" "&amp;IF(AND(Milestones!$AB$23="FT",Milestones!$AA$23=FT_Y5,EDATE($D154,Milestones!$AA$23)&lt;PolicyEff),1,Milestones!$AC$23)&amp;";  ","")&amp;IF(AND(EDATE($D154,Milestones!$AA$24)&lt;=AsOfDate,EDATE($D154,Milestones!$AA$24)&gt;=SchemeStart,IF($X154=0,$AD154,IF(AND($Z154&lt;&gt;"",EDATE($D154,Milestones!$AA$24)&gt;=$Z154),$AC154,IF(AND($Y154&lt;&gt;"",EDATE($D154,Milestones!$AA$24)&gt;=$Y154),$AB154,$AA154)))=Milestones!$AB$24),UPPER(TEXT(EDATE($D154,Milestones!$AA$24),"dd mmm yy"))&amp;" "&amp;Milestones!$AB$24&amp;" "&amp;IF(AND(Milestones!$AB$24="FT",Milestones!$AA$24=FT_Y5,EDATE($D154,Milestones!$AA$24)&lt;PolicyEff),1,Milestones!$AC$24)&amp;";  ","")&amp;IF(AND(EDATE($D154,Milestones!$AA$25)&lt;=AsOfDate,EDATE($D154,Milestones!$AA$25)&gt;=SchemeStart,IF($X154=0,$AD154,IF(AND($Z154&lt;&gt;"",EDATE($D154,Milestones!$AA$25)&gt;=$Z154),$AC154,IF(AND($Y154&lt;&gt;"",EDATE($D154,Milestones!$AA$25)&gt;=$Y154),$AB154,$AA154)))=Milestones!$AB$25),UPPER(TEXT(EDATE($D154,Milestones!$AA$25),"dd mmm yy"))&amp;" "&amp;Milestones!$AB$25&amp;" "&amp;IF(AND(Milestones!$AB$25="FT",Milestones!$AA$25=FT_Y5,EDATE($D154,Milestones!$AA$25)&lt;PolicyEff),1,Milestones!$AC$25)&amp;";  ","")&amp;IF(AND(EDATE($D154,Milestones!$AA$26)&lt;=AsOfDate,EDATE($D154,Milestones!$AA$26)&gt;=SchemeStart,IF($X154=0,$AD154,IF(AND($Z154&lt;&gt;"",EDATE($D154,Milestones!$AA$26)&gt;=$Z154),$AC154,IF(AND($Y154&lt;&gt;"",EDATE($D154,Milestones!$AA$26)&gt;=$Y154),$AB154,$AA154)))=Milestones!$AB$26),UPPER(TEXT(EDATE($D154,Milestones!$AA$26),"dd mmm yy"))&amp;" "&amp;Milestones!$AB$26&amp;" "&amp;IF(AND(Milestones!$AB$26="FT",Milestones!$AA$26=FT_Y5,EDATE($D154,Milestones!$AA$26)&lt;PolicyEff),1,Milestones!$AC$26)&amp;";  ","")&amp;IF(AND(EDATE($D154,Milestones!$AA$27)&lt;=AsOfDate,EDATE($D154,Milestones!$AA$27)&gt;=SchemeStart,IF($X154=0,$AD154,IF(AND($Z154&lt;&gt;"",EDATE($D154,Milestones!$AA$27)&gt;=$Z154),$AC154,IF(AND($Y154&lt;&gt;"",EDATE($D154,Milestones!$AA$27)&gt;=$Y154),$AB154,$AA154)))=Milestones!$AB$27),UPPER(TEXT(EDATE($D154,Milestones!$AA$27),"dd mmm yy"))&amp;" "&amp;Milestones!$AB$27&amp;" "&amp;IF(AND(Milestones!$AB$27="FT",Milestones!$AA$27=FT_Y5,EDATE($D154,Milestones!$AA$27)&lt;PolicyEff),1,Milestones!$AC$27)&amp;";  ","")&amp;IF(AND(EDATE($D154,Milestones!$AA$28)&lt;=AsOfDate,EDATE($D154,Milestones!$AA$28)&gt;=SchemeStart,IF($X154=0,$AD154,IF(AND($Z154&lt;&gt;"",EDATE($D154,Milestones!$AA$28)&gt;=$Z154),$AC154,IF(AND($Y154&lt;&gt;"",EDATE($D154,Milestones!$AA$28)&gt;=$Y154),$AB154,$AA154)))=Milestones!$AB$28),UPPER(TEXT(EDATE($D154,Milestones!$AA$28),"dd mmm yy"))&amp;" "&amp;Milestones!$AB$28&amp;" "&amp;IF(AND(Milestones!$AB$28="FT",Milestones!$AA$28=FT_Y5,EDATE($D154,Milestones!$AA$28)&lt;PolicyEff),1,Milestones!$AC$28)&amp;";  ","")&amp;IF(AND(EDATE($D154,Milestones!$AA$29)&lt;=AsOfDate,EDATE($D154,Milestones!$AA$29)&gt;=SchemeStart,IF($X154=0,$AD154,IF(AND($Z154&lt;&gt;"",EDATE($D154,Milestones!$AA$29)&gt;=$Z154),$AC154,IF(AND($Y154&lt;&gt;"",EDATE($D154,Milestones!$AA$29)&gt;=$Y154),$AB154,$AA154)))=Milestones!$AB$29),UPPER(TEXT(EDATE($D154,Milestones!$AA$29),"dd mmm yy"))&amp;" "&amp;Milestones!$AB$29&amp;" "&amp;IF(AND(Milestones!$AB$29="FT",Milestones!$AA$29=FT_Y5,EDATE($D154,Milestones!$AA$29)&lt;PolicyEff),1,Milestones!$AC$29)&amp;";  ","")&amp;IF(AND(EDATE($D154,Milestones!$AA$30)&lt;=AsOfDate,EDATE($D154,Milestones!$AA$30)&gt;=SchemeStart,IF($X154=0,$AD154,IF(AND($Z154&lt;&gt;"",EDATE($D154,Milestones!$AA$30)&gt;=$Z154),$AC154,IF(AND($Y154&lt;&gt;"",EDATE($D154,Milestones!$AA$30)&gt;=$Y154),$AB154,$AA154)))=Milestones!$AB$30),UPPER(TEXT(EDATE($D154,Milestones!$AA$30),"dd mmm yy"))&amp;" "&amp;Milestones!$AB$30&amp;" "&amp;IF(AND(Milestones!$AB$30="FT",Milestones!$AA$30=FT_Y5,EDATE($D154,Milestones!$AA$30)&lt;PolicyEff),1,Milestones!$AC$30)&amp;";  ","")&amp;IF(AND(EDATE($D154,Milestones!$AA$31)&lt;=AsOfDate,EDATE($D154,Milestones!$AA$31)&gt;=SchemeStart,IF($X154=0,$AD154,IF(AND($Z154&lt;&gt;"",EDATE($D154,Milestones!$AA$31)&gt;=$Z154),$AC154,IF(AND($Y154&lt;&gt;"",EDATE($D154,Milestones!$AA$31)&gt;=$Y154),$AB154,$AA154)))=Milestones!$AB$31),UPPER(TEXT(EDATE($D154,Milestones!$AA$31),"dd mmm yy"))&amp;" "&amp;Milestones!$AB$31&amp;" "&amp;IF(AND(Milestones!$AB$31="FT",Milestones!$AA$31=FT_Y5,EDATE($D154,Milestones!$AA$31)&lt;PolicyEff),1,Milestones!$AC$31)&amp;";  ",""))</f>
        <v/>
      </c>
      <c r="J154" s="0" t="str">
        <f aca="false">IF(OR($A154="",$D154=""),"",IF(AND(EDATE($D154,Milestones!$AA$32)&lt;=AsOfDate,EDATE($D154,Milestones!$AA$32)&gt;=SchemeStart,IF($X154=0,$AD154,IF(AND($Z154&lt;&gt;"",EDATE($D154,Milestones!$AA$32)&gt;=$Z154),$AC154,IF(AND($Y154&lt;&gt;"",EDATE($D154,Milestones!$AA$32)&gt;=$Y154),$AB154,$AA154)))=Milestones!$AB$32),UPPER(TEXT(EDATE($D154,Milestones!$AA$32),"dd mmm yy"))&amp;" "&amp;Milestones!$AB$32&amp;" "&amp;IF(AND(Milestones!$AB$32="FT",Milestones!$AA$32=FT_Y5,EDATE($D154,Milestones!$AA$32)&lt;PolicyEff),1,Milestones!$AC$32)&amp;";  ","")&amp;IF(AND(EDATE($D154,Milestones!$AA$33)&lt;=AsOfDate,EDATE($D154,Milestones!$AA$33)&gt;=SchemeStart,IF($X154=0,$AD154,IF(AND($Z154&lt;&gt;"",EDATE($D154,Milestones!$AA$33)&gt;=$Z154),$AC154,IF(AND($Y154&lt;&gt;"",EDATE($D154,Milestones!$AA$33)&gt;=$Y154),$AB154,$AA154)))=Milestones!$AB$33),UPPER(TEXT(EDATE($D154,Milestones!$AA$33),"dd mmm yy"))&amp;" "&amp;Milestones!$AB$33&amp;" "&amp;IF(AND(Milestones!$AB$33="FT",Milestones!$AA$33=FT_Y5,EDATE($D154,Milestones!$AA$33)&lt;PolicyEff),1,Milestones!$AC$33)&amp;";  ","")&amp;IF(AND(EDATE($D154,Milestones!$AA$34)&lt;=AsOfDate,EDATE($D154,Milestones!$AA$34)&gt;=SchemeStart,IF($X154=0,$AD154,IF(AND($Z154&lt;&gt;"",EDATE($D154,Milestones!$AA$34)&gt;=$Z154),$AC154,IF(AND($Y154&lt;&gt;"",EDATE($D154,Milestones!$AA$34)&gt;=$Y154),$AB154,$AA154)))=Milestones!$AB$34),UPPER(TEXT(EDATE($D154,Milestones!$AA$34),"dd mmm yy"))&amp;" "&amp;Milestones!$AB$34&amp;" "&amp;IF(AND(Milestones!$AB$34="FT",Milestones!$AA$34=FT_Y5,EDATE($D154,Milestones!$AA$34)&lt;PolicyEff),1,Milestones!$AC$34)&amp;";  ","")&amp;IF(AND(EDATE($D154,Milestones!$AA$35)&lt;=AsOfDate,EDATE($D154,Milestones!$AA$35)&gt;=SchemeStart,IF($X154=0,$AD154,IF(AND($Z154&lt;&gt;"",EDATE($D154,Milestones!$AA$35)&gt;=$Z154),$AC154,IF(AND($Y154&lt;&gt;"",EDATE($D154,Milestones!$AA$35)&gt;=$Y154),$AB154,$AA154)))=Milestones!$AB$35),UPPER(TEXT(EDATE($D154,Milestones!$AA$35),"dd mmm yy"))&amp;" "&amp;Milestones!$AB$35&amp;" "&amp;IF(AND(Milestones!$AB$35="FT",Milestones!$AA$35=FT_Y5,EDATE($D154,Milestones!$AA$35)&lt;PolicyEff),1,Milestones!$AC$35)&amp;";  ","")&amp;IF(AND(EDATE($D154,Milestones!$AA$36)&lt;=AsOfDate,EDATE($D154,Milestones!$AA$36)&gt;=SchemeStart,IF($X154=0,$AD154,IF(AND($Z154&lt;&gt;"",EDATE($D154,Milestones!$AA$36)&gt;=$Z154),$AC154,IF(AND($Y154&lt;&gt;"",EDATE($D154,Milestones!$AA$36)&gt;=$Y154),$AB154,$AA154)))=Milestones!$AB$36),UPPER(TEXT(EDATE($D154,Milestones!$AA$36),"dd mmm yy"))&amp;" "&amp;Milestones!$AB$36&amp;" "&amp;IF(AND(Milestones!$AB$36="FT",Milestones!$AA$36=FT_Y5,EDATE($D154,Milestones!$AA$36)&lt;PolicyEff),1,Milestones!$AC$36)&amp;";  ","")&amp;IF(AND(EDATE($D154,Milestones!$AA$37)&lt;=AsOfDate,EDATE($D154,Milestones!$AA$37)&gt;=SchemeStart,IF($X154=0,$AD154,IF(AND($Z154&lt;&gt;"",EDATE($D154,Milestones!$AA$37)&gt;=$Z154),$AC154,IF(AND($Y154&lt;&gt;"",EDATE($D154,Milestones!$AA$37)&gt;=$Y154),$AB154,$AA154)))=Milestones!$AB$37),UPPER(TEXT(EDATE($D154,Milestones!$AA$37),"dd mmm yy"))&amp;" "&amp;Milestones!$AB$37&amp;" "&amp;IF(AND(Milestones!$AB$37="FT",Milestones!$AA$37=FT_Y5,EDATE($D154,Milestones!$AA$37)&lt;PolicyEff),1,Milestones!$AC$37)&amp;";  ","")&amp;IF(AND(EDATE($D154,Milestones!$AA$38)&lt;=AsOfDate,EDATE($D154,Milestones!$AA$38)&gt;=SchemeStart,IF($X154=0,$AD154,IF(AND($Z154&lt;&gt;"",EDATE($D154,Milestones!$AA$38)&gt;=$Z154),$AC154,IF(AND($Y154&lt;&gt;"",EDATE($D154,Milestones!$AA$38)&gt;=$Y154),$AB154,$AA154)))=Milestones!$AB$38),UPPER(TEXT(EDATE($D154,Milestones!$AA$38),"dd mmm yy"))&amp;" "&amp;Milestones!$AB$38&amp;" "&amp;IF(AND(Milestones!$AB$38="FT",Milestones!$AA$38=FT_Y5,EDATE($D154,Milestones!$AA$38)&lt;PolicyEff),1,Milestones!$AC$38)&amp;";  ","")&amp;IF(AND(EDATE($D154,Milestones!$AA$39)&lt;=AsOfDate,EDATE($D154,Milestones!$AA$39)&gt;=SchemeStart,IF($X154=0,$AD154,IF(AND($Z154&lt;&gt;"",EDATE($D154,Milestones!$AA$39)&gt;=$Z154),$AC154,IF(AND($Y154&lt;&gt;"",EDATE($D154,Milestones!$AA$39)&gt;=$Y154),$AB154,$AA154)))=Milestones!$AB$39),UPPER(TEXT(EDATE($D154,Milestones!$AA$39),"dd mmm yy"))&amp;" "&amp;Milestones!$AB$39&amp;" "&amp;IF(AND(Milestones!$AB$39="FT",Milestones!$AA$39=FT_Y5,EDATE($D154,Milestones!$AA$39)&lt;PolicyEff),1,Milestones!$AC$39)&amp;";  ","")&amp;IF(AND(EDATE($D154,Milestones!$AA$40)&lt;=AsOfDate,EDATE($D154,Milestones!$AA$40)&gt;=SchemeStart,IF($X154=0,$AD154,IF(AND($Z154&lt;&gt;"",EDATE($D154,Milestones!$AA$40)&gt;=$Z154),$AC154,IF(AND($Y154&lt;&gt;"",EDATE($D154,Milestones!$AA$40)&gt;=$Y154),$AB154,$AA154)))=Milestones!$AB$40),UPPER(TEXT(EDATE($D154,Milestones!$AA$40),"dd mmm yy"))&amp;" "&amp;Milestones!$AB$40&amp;" "&amp;IF(AND(Milestones!$AB$40="FT",Milestones!$AA$40=FT_Y5,EDATE($D154,Milestones!$AA$40)&lt;PolicyEff),1,Milestones!$AC$40)&amp;";  ","")&amp;IF(AND(EDATE($D154,Milestones!$AA$41)&lt;=AsOfDate,EDATE($D154,Milestones!$AA$41)&gt;=SchemeStart,IF($X154=0,$AD154,IF(AND($Z154&lt;&gt;"",EDATE($D154,Milestones!$AA$41)&gt;=$Z154),$AC154,IF(AND($Y154&lt;&gt;"",EDATE($D154,Milestones!$AA$41)&gt;=$Y154),$AB154,$AA154)))=Milestones!$AB$41),UPPER(TEXT(EDATE($D154,Milestones!$AA$41),"dd mmm yy"))&amp;" "&amp;Milestones!$AB$41&amp;" "&amp;IF(AND(Milestones!$AB$41="FT",Milestones!$AA$41=FT_Y5,EDATE($D154,Milestones!$AA$41)&lt;PolicyEff),1,Milestones!$AC$41)&amp;";  ","")&amp;IF(AND(EDATE($D154,Milestones!$AA$42)&lt;=AsOfDate,EDATE($D154,Milestones!$AA$42)&gt;=SchemeStart,IF($X154=0,$AD154,IF(AND($Z154&lt;&gt;"",EDATE($D154,Milestones!$AA$42)&gt;=$Z154),$AC154,IF(AND($Y154&lt;&gt;"",EDATE($D154,Milestones!$AA$42)&gt;=$Y154),$AB154,$AA154)))=Milestones!$AB$42),UPPER(TEXT(EDATE($D154,Milestones!$AA$42),"dd mmm yy"))&amp;" "&amp;Milestones!$AB$42&amp;" "&amp;IF(AND(Milestones!$AB$42="FT",Milestones!$AA$42=FT_Y5,EDATE($D154,Milestones!$AA$42)&lt;PolicyEff),1,Milestones!$AC$42)&amp;";  ","")&amp;IF(AND(EDATE($D154,Milestones!$AA$43)&lt;=AsOfDate,EDATE($D154,Milestones!$AA$43)&gt;=SchemeStart,IF($X154=0,$AD154,IF(AND($Z154&lt;&gt;"",EDATE($D154,Milestones!$AA$43)&gt;=$Z154),$AC154,IF(AND($Y154&lt;&gt;"",EDATE($D154,Milestones!$AA$43)&gt;=$Y154),$AB154,$AA154)))=Milestones!$AB$43),UPPER(TEXT(EDATE($D154,Milestones!$AA$43),"dd mmm yy"))&amp;" "&amp;Milestones!$AB$43&amp;" "&amp;IF(AND(Milestones!$AB$43="FT",Milestones!$AA$43=FT_Y5,EDATE($D154,Milestones!$AA$43)&lt;PolicyEff),1,Milestones!$AC$43)&amp;";  ",""))</f>
        <v/>
      </c>
      <c r="K154" s="0" t="str">
        <f aca="false">IF(OR($A154="",$D154=""),"",IF(AND(EDATE($D154,Milestones!$AA$44)&lt;=AsOfDate,EDATE($D154,Milestones!$AA$44)&gt;=SchemeStart,IF($X154=0,$AD154,IF(AND($Z154&lt;&gt;"",EDATE($D154,Milestones!$AA$44)&gt;=$Z154),$AC154,IF(AND($Y154&lt;&gt;"",EDATE($D154,Milestones!$AA$44)&gt;=$Y154),$AB154,$AA154)))=Milestones!$AB$44),UPPER(TEXT(EDATE($D154,Milestones!$AA$44),"dd mmm yy"))&amp;" "&amp;Milestones!$AB$44&amp;" "&amp;IF(AND(Milestones!$AB$44="FT",Milestones!$AA$44=FT_Y5,EDATE($D154,Milestones!$AA$44)&lt;PolicyEff),1,Milestones!$AC$44)&amp;";  ","")&amp;IF(AND(EDATE($D154,Milestones!$AA$45)&lt;=AsOfDate,EDATE($D154,Milestones!$AA$45)&gt;=SchemeStart,IF($X154=0,$AD154,IF(AND($Z154&lt;&gt;"",EDATE($D154,Milestones!$AA$45)&gt;=$Z154),$AC154,IF(AND($Y154&lt;&gt;"",EDATE($D154,Milestones!$AA$45)&gt;=$Y154),$AB154,$AA154)))=Milestones!$AB$45),UPPER(TEXT(EDATE($D154,Milestones!$AA$45),"dd mmm yy"))&amp;" "&amp;Milestones!$AB$45&amp;" "&amp;IF(AND(Milestones!$AB$45="FT",Milestones!$AA$45=FT_Y5,EDATE($D154,Milestones!$AA$45)&lt;PolicyEff),1,Milestones!$AC$45)&amp;";  ","")&amp;IF(AND(EDATE($D154,Milestones!$AA$46)&lt;=AsOfDate,EDATE($D154,Milestones!$AA$46)&gt;=SchemeStart,IF($X154=0,$AD154,IF(AND($Z154&lt;&gt;"",EDATE($D154,Milestones!$AA$46)&gt;=$Z154),$AC154,IF(AND($Y154&lt;&gt;"",EDATE($D154,Milestones!$AA$46)&gt;=$Y154),$AB154,$AA154)))=Milestones!$AB$46),UPPER(TEXT(EDATE($D154,Milestones!$AA$46),"dd mmm yy"))&amp;" "&amp;Milestones!$AB$46&amp;" "&amp;IF(AND(Milestones!$AB$46="FT",Milestones!$AA$46=FT_Y5,EDATE($D154,Milestones!$AA$46)&lt;PolicyEff),1,Milestones!$AC$46)&amp;";  ","")&amp;IF(AND(EDATE($D154,Milestones!$AA$47)&lt;=AsOfDate,EDATE($D154,Milestones!$AA$47)&gt;=SchemeStart,IF($X154=0,$AD154,IF(AND($Z154&lt;&gt;"",EDATE($D154,Milestones!$AA$47)&gt;=$Z154),$AC154,IF(AND($Y154&lt;&gt;"",EDATE($D154,Milestones!$AA$47)&gt;=$Y154),$AB154,$AA154)))=Milestones!$AB$47),UPPER(TEXT(EDATE($D154,Milestones!$AA$47),"dd mmm yy"))&amp;" "&amp;Milestones!$AB$47&amp;" "&amp;IF(AND(Milestones!$AB$47="FT",Milestones!$AA$47=FT_Y5,EDATE($D154,Milestones!$AA$47)&lt;PolicyEff),1,Milestones!$AC$47)&amp;";  ","")&amp;IF(AND(EDATE($D154,Milestones!$AA$48)&lt;=AsOfDate,EDATE($D154,Milestones!$AA$48)&gt;=SchemeStart,IF($X154=0,$AD154,IF(AND($Z154&lt;&gt;"",EDATE($D154,Milestones!$AA$48)&gt;=$Z154),$AC154,IF(AND($Y154&lt;&gt;"",EDATE($D154,Milestones!$AA$48)&gt;=$Y154),$AB154,$AA154)))=Milestones!$AB$48),UPPER(TEXT(EDATE($D154,Milestones!$AA$48),"dd mmm yy"))&amp;" "&amp;Milestones!$AB$48&amp;" "&amp;IF(AND(Milestones!$AB$48="FT",Milestones!$AA$48=FT_Y5,EDATE($D154,Milestones!$AA$48)&lt;PolicyEff),1,Milestones!$AC$48)&amp;";  ","")&amp;IF(AND(EDATE($D154,Milestones!$AA$49)&lt;=AsOfDate,EDATE($D154,Milestones!$AA$49)&gt;=SchemeStart,IF($X154=0,$AD154,IF(AND($Z154&lt;&gt;"",EDATE($D154,Milestones!$AA$49)&gt;=$Z154),$AC154,IF(AND($Y154&lt;&gt;"",EDATE($D154,Milestones!$AA$49)&gt;=$Y154),$AB154,$AA154)))=Milestones!$AB$49),UPPER(TEXT(EDATE($D154,Milestones!$AA$49),"dd mmm yy"))&amp;" "&amp;Milestones!$AB$49&amp;" "&amp;IF(AND(Milestones!$AB$49="FT",Milestones!$AA$49=FT_Y5,EDATE($D154,Milestones!$AA$49)&lt;PolicyEff),1,Milestones!$AC$49)&amp;";  ","")&amp;IF(AND(EDATE($D154,Milestones!$AA$50)&lt;=AsOfDate,EDATE($D154,Milestones!$AA$50)&gt;=SchemeStart,IF($X154=0,$AD154,IF(AND($Z154&lt;&gt;"",EDATE($D154,Milestones!$AA$50)&gt;=$Z154),$AC154,IF(AND($Y154&lt;&gt;"",EDATE($D154,Milestones!$AA$50)&gt;=$Y154),$AB154,$AA154)))=Milestones!$AB$50),UPPER(TEXT(EDATE($D154,Milestones!$AA$50),"dd mmm yy"))&amp;" "&amp;Milestones!$AB$50&amp;" "&amp;IF(AND(Milestones!$AB$50="FT",Milestones!$AA$50=FT_Y5,EDATE($D154,Milestones!$AA$50)&lt;PolicyEff),1,Milestones!$AC$50)&amp;";  ","")&amp;IF(AND(EDATE($D154,Milestones!$AA$51)&lt;=AsOfDate,EDATE($D154,Milestones!$AA$51)&gt;=SchemeStart,IF($X154=0,$AD154,IF(AND($Z154&lt;&gt;"",EDATE($D154,Milestones!$AA$51)&gt;=$Z154),$AC154,IF(AND($Y154&lt;&gt;"",EDATE($D154,Milestones!$AA$51)&gt;=$Y154),$AB154,$AA154)))=Milestones!$AB$51),UPPER(TEXT(EDATE($D154,Milestones!$AA$51),"dd mmm yy"))&amp;" "&amp;Milestones!$AB$51&amp;" "&amp;IF(AND(Milestones!$AB$51="FT",Milestones!$AA$51=FT_Y5,EDATE($D154,Milestones!$AA$51)&lt;PolicyEff),1,Milestones!$AC$51)&amp;";  ","")&amp;IF(AND(EDATE($D154,Milestones!$AA$52)&lt;=AsOfDate,EDATE($D154,Milestones!$AA$52)&gt;=SchemeStart,IF($X154=0,$AD154,IF(AND($Z154&lt;&gt;"",EDATE($D154,Milestones!$AA$52)&gt;=$Z154),$AC154,IF(AND($Y154&lt;&gt;"",EDATE($D154,Milestones!$AA$52)&gt;=$Y154),$AB154,$AA154)))=Milestones!$AB$52),UPPER(TEXT(EDATE($D154,Milestones!$AA$52),"dd mmm yy"))&amp;" "&amp;Milestones!$AB$52&amp;" "&amp;IF(AND(Milestones!$AB$52="FT",Milestones!$AA$52=FT_Y5,EDATE($D154,Milestones!$AA$52)&lt;PolicyEff),1,Milestones!$AC$52)&amp;";  ","")&amp;IF(AND(EDATE($D154,Milestones!$AA$53)&lt;=AsOfDate,EDATE($D154,Milestones!$AA$53)&gt;=SchemeStart,IF($X154=0,$AD154,IF(AND($Z154&lt;&gt;"",EDATE($D154,Milestones!$AA$53)&gt;=$Z154),$AC154,IF(AND($Y154&lt;&gt;"",EDATE($D154,Milestones!$AA$53)&gt;=$Y154),$AB154,$AA154)))=Milestones!$AB$53),UPPER(TEXT(EDATE($D154,Milestones!$AA$53),"dd mmm yy"))&amp;" "&amp;Milestones!$AB$53&amp;" "&amp;IF(AND(Milestones!$AB$53="FT",Milestones!$AA$53=FT_Y5,EDATE($D154,Milestones!$AA$53)&lt;PolicyEff),1,Milestones!$AC$53)&amp;";  ","")&amp;IF(AND(EDATE($D154,Milestones!$AA$54)&lt;=AsOfDate,EDATE($D154,Milestones!$AA$54)&gt;=SchemeStart,IF($X154=0,$AD154,IF(AND($Z154&lt;&gt;"",EDATE($D154,Milestones!$AA$54)&gt;=$Z154),$AC154,IF(AND($Y154&lt;&gt;"",EDATE($D154,Milestones!$AA$54)&gt;=$Y154),$AB154,$AA154)))=Milestones!$AB$54),UPPER(TEXT(EDATE($D154,Milestones!$AA$54),"dd mmm yy"))&amp;" "&amp;Milestones!$AB$54&amp;" "&amp;IF(AND(Milestones!$AB$54="FT",Milestones!$AA$54=FT_Y5,EDATE($D154,Milestones!$AA$54)&lt;PolicyEff),1,Milestones!$AC$54)&amp;";  ","")&amp;IF(AND(EDATE($D154,Milestones!$AA$55)&lt;=AsOfDate,EDATE($D154,Milestones!$AA$55)&gt;=SchemeStart,IF($X154=0,$AD154,IF(AND($Z154&lt;&gt;"",EDATE($D154,Milestones!$AA$55)&gt;=$Z154),$AC154,IF(AND($Y154&lt;&gt;"",EDATE($D154,Milestones!$AA$55)&gt;=$Y154),$AB154,$AA154)))=Milestones!$AB$55),UPPER(TEXT(EDATE($D154,Milestones!$AA$55),"dd mmm yy"))&amp;" "&amp;Milestones!$AB$55&amp;" "&amp;IF(AND(Milestones!$AB$55="FT",Milestones!$AA$55=FT_Y5,EDATE($D154,Milestones!$AA$55)&lt;PolicyEff),1,Milestones!$AC$55)&amp;";  ",""))</f>
        <v/>
      </c>
      <c r="L154" s="0" t="str">
        <f aca="false">IF(OR($A154="",$D154=""),"",IF(AND(EDATE($D154,Milestones!$AA$56)&lt;=AsOfDate,EDATE($D154,Milestones!$AA$56)&gt;=SchemeStart,IF($X154=0,$AD154,IF(AND($Z154&lt;&gt;"",EDATE($D154,Milestones!$AA$56)&gt;=$Z154),$AC154,IF(AND($Y154&lt;&gt;"",EDATE($D154,Milestones!$AA$56)&gt;=$Y154),$AB154,$AA154)))=Milestones!$AB$56),UPPER(TEXT(EDATE($D154,Milestones!$AA$56),"dd mmm yy"))&amp;" "&amp;Milestones!$AB$56&amp;" "&amp;IF(AND(Milestones!$AB$56="FT",Milestones!$AA$56=FT_Y5,EDATE($D154,Milestones!$AA$56)&lt;PolicyEff),1,Milestones!$AC$56)&amp;";  ","")&amp;IF(AND(EDATE($D154,Milestones!$AA$57)&lt;=AsOfDate,EDATE($D154,Milestones!$AA$57)&gt;=SchemeStart,IF($X154=0,$AD154,IF(AND($Z154&lt;&gt;"",EDATE($D154,Milestones!$AA$57)&gt;=$Z154),$AC154,IF(AND($Y154&lt;&gt;"",EDATE($D154,Milestones!$AA$57)&gt;=$Y154),$AB154,$AA154)))=Milestones!$AB$57),UPPER(TEXT(EDATE($D154,Milestones!$AA$57),"dd mmm yy"))&amp;" "&amp;Milestones!$AB$57&amp;" "&amp;IF(AND(Milestones!$AB$57="FT",Milestones!$AA$57=FT_Y5,EDATE($D154,Milestones!$AA$57)&lt;PolicyEff),1,Milestones!$AC$57)&amp;";  ","")&amp;IF(AND(EDATE($D154,Milestones!$AA$58)&lt;=AsOfDate,EDATE($D154,Milestones!$AA$58)&gt;=SchemeStart,IF($X154=0,$AD154,IF(AND($Z154&lt;&gt;"",EDATE($D154,Milestones!$AA$58)&gt;=$Z154),$AC154,IF(AND($Y154&lt;&gt;"",EDATE($D154,Milestones!$AA$58)&gt;=$Y154),$AB154,$AA154)))=Milestones!$AB$58),UPPER(TEXT(EDATE($D154,Milestones!$AA$58),"dd mmm yy"))&amp;" "&amp;Milestones!$AB$58&amp;" "&amp;IF(AND(Milestones!$AB$58="FT",Milestones!$AA$58=FT_Y5,EDATE($D154,Milestones!$AA$58)&lt;PolicyEff),1,Milestones!$AC$58)&amp;";  ","")&amp;IF(AND(EDATE($D154,Milestones!$AA$59)&lt;=AsOfDate,EDATE($D154,Milestones!$AA$59)&gt;=SchemeStart,IF($X154=0,$AD154,IF(AND($Z154&lt;&gt;"",EDATE($D154,Milestones!$AA$59)&gt;=$Z154),$AC154,IF(AND($Y154&lt;&gt;"",EDATE($D154,Milestones!$AA$59)&gt;=$Y154),$AB154,$AA154)))=Milestones!$AB$59),UPPER(TEXT(EDATE($D154,Milestones!$AA$59),"dd mmm yy"))&amp;" "&amp;Milestones!$AB$59&amp;" "&amp;IF(AND(Milestones!$AB$59="FT",Milestones!$AA$59=FT_Y5,EDATE($D154,Milestones!$AA$59)&lt;PolicyEff),1,Milestones!$AC$59)&amp;";  ","")&amp;IF(AND(EDATE($D154,Milestones!$AA$60)&lt;=AsOfDate,EDATE($D154,Milestones!$AA$60)&gt;=SchemeStart,IF($X154=0,$AD154,IF(AND($Z154&lt;&gt;"",EDATE($D154,Milestones!$AA$60)&gt;=$Z154),$AC154,IF(AND($Y154&lt;&gt;"",EDATE($D154,Milestones!$AA$60)&gt;=$Y154),$AB154,$AA154)))=Milestones!$AB$60),UPPER(TEXT(EDATE($D154,Milestones!$AA$60),"dd mmm yy"))&amp;" "&amp;Milestones!$AB$60&amp;" "&amp;IF(AND(Milestones!$AB$60="FT",Milestones!$AA$60=FT_Y5,EDATE($D154,Milestones!$AA$60)&lt;PolicyEff),1,Milestones!$AC$60)&amp;";  ","")&amp;IF(AND(EDATE($D154,Milestones!$AA$61)&lt;=AsOfDate,EDATE($D154,Milestones!$AA$61)&gt;=SchemeStart,IF($X154=0,$AD154,IF(AND($Z154&lt;&gt;"",EDATE($D154,Milestones!$AA$61)&gt;=$Z154),$AC154,IF(AND($Y154&lt;&gt;"",EDATE($D154,Milestones!$AA$61)&gt;=$Y154),$AB154,$AA154)))=Milestones!$AB$61),UPPER(TEXT(EDATE($D154,Milestones!$AA$61),"dd mmm yy"))&amp;" "&amp;Milestones!$AB$61&amp;" "&amp;IF(AND(Milestones!$AB$61="FT",Milestones!$AA$61=FT_Y5,EDATE($D154,Milestones!$AA$61)&lt;PolicyEff),1,Milestones!$AC$61)&amp;";  ","")&amp;IF(AND(EDATE($D154,Milestones!$AA$62)&lt;=AsOfDate,EDATE($D154,Milestones!$AA$62)&gt;=SchemeStart,IF($X154=0,$AD154,IF(AND($Z154&lt;&gt;"",EDATE($D154,Milestones!$AA$62)&gt;=$Z154),$AC154,IF(AND($Y154&lt;&gt;"",EDATE($D154,Milestones!$AA$62)&gt;=$Y154),$AB154,$AA154)))=Milestones!$AB$62),UPPER(TEXT(EDATE($D154,Milestones!$AA$62),"dd mmm yy"))&amp;" "&amp;Milestones!$AB$62&amp;" "&amp;IF(AND(Milestones!$AB$62="FT",Milestones!$AA$62=FT_Y5,EDATE($D154,Milestones!$AA$62)&lt;PolicyEff),1,Milestones!$AC$62)&amp;";  ","")&amp;IF(AND(EDATE($D154,Milestones!$AA$63)&lt;=AsOfDate,EDATE($D154,Milestones!$AA$63)&gt;=SchemeStart,IF($X154=0,$AD154,IF(AND($Z154&lt;&gt;"",EDATE($D154,Milestones!$AA$63)&gt;=$Z154),$AC154,IF(AND($Y154&lt;&gt;"",EDATE($D154,Milestones!$AA$63)&gt;=$Y154),$AB154,$AA154)))=Milestones!$AB$63),UPPER(TEXT(EDATE($D154,Milestones!$AA$63),"dd mmm yy"))&amp;" "&amp;Milestones!$AB$63&amp;" "&amp;IF(AND(Milestones!$AB$63="FT",Milestones!$AA$63=FT_Y5,EDATE($D154,Milestones!$AA$63)&lt;PolicyEff),1,Milestones!$AC$63)&amp;";  ","")&amp;IF(AND(EDATE($D154,Milestones!$AA$64)&lt;=AsOfDate,EDATE($D154,Milestones!$AA$64)&gt;=SchemeStart,IF($X154=0,$AD154,IF(AND($Z154&lt;&gt;"",EDATE($D154,Milestones!$AA$64)&gt;=$Z154),$AC154,IF(AND($Y154&lt;&gt;"",EDATE($D154,Milestones!$AA$64)&gt;=$Y154),$AB154,$AA154)))=Milestones!$AB$64),UPPER(TEXT(EDATE($D154,Milestones!$AA$64),"dd mmm yy"))&amp;" "&amp;Milestones!$AB$64&amp;" "&amp;IF(AND(Milestones!$AB$64="FT",Milestones!$AA$64=FT_Y5,EDATE($D154,Milestones!$AA$64)&lt;PolicyEff),1,Milestones!$AC$64)&amp;";  ","")&amp;IF(AND(EDATE($D154,Milestones!$AA$65)&lt;=AsOfDate,EDATE($D154,Milestones!$AA$65)&gt;=SchemeStart,IF($X154=0,$AD154,IF(AND($Z154&lt;&gt;"",EDATE($D154,Milestones!$AA$65)&gt;=$Z154),$AC154,IF(AND($Y154&lt;&gt;"",EDATE($D154,Milestones!$AA$65)&gt;=$Y154),$AB154,$AA154)))=Milestones!$AB$65),UPPER(TEXT(EDATE($D154,Milestones!$AA$65),"dd mmm yy"))&amp;" "&amp;Milestones!$AB$65&amp;" "&amp;IF(AND(Milestones!$AB$65="FT",Milestones!$AA$65=FT_Y5,EDATE($D154,Milestones!$AA$65)&lt;PolicyEff),1,Milestones!$AC$65)&amp;";  ","")&amp;IF(AND(EDATE($D154,Milestones!$AA$66)&lt;=AsOfDate,EDATE($D154,Milestones!$AA$66)&gt;=SchemeStart,IF($X154=0,$AD154,IF(AND($Z154&lt;&gt;"",EDATE($D154,Milestones!$AA$66)&gt;=$Z154),$AC154,IF(AND($Y154&lt;&gt;"",EDATE($D154,Milestones!$AA$66)&gt;=$Y154),$AB154,$AA154)))=Milestones!$AB$66),UPPER(TEXT(EDATE($D154,Milestones!$AA$66),"dd mmm yy"))&amp;" "&amp;Milestones!$AB$66&amp;" "&amp;IF(AND(Milestones!$AB$66="FT",Milestones!$AA$66=FT_Y5,EDATE($D154,Milestones!$AA$66)&lt;PolicyEff),1,Milestones!$AC$66)&amp;";  ","")&amp;IF(AND(EDATE($D154,Milestones!$AA$67)&lt;=AsOfDate,EDATE($D154,Milestones!$AA$67)&gt;=SchemeStart,IF($X154=0,$AD154,IF(AND($Z154&lt;&gt;"",EDATE($D154,Milestones!$AA$67)&gt;=$Z154),$AC154,IF(AND($Y154&lt;&gt;"",EDATE($D154,Milestones!$AA$67)&gt;=$Y154),$AB154,$AA154)))=Milestones!$AB$67),UPPER(TEXT(EDATE($D154,Milestones!$AA$67),"dd mmm yy"))&amp;" "&amp;Milestones!$AB$67&amp;" "&amp;IF(AND(Milestones!$AB$67="FT",Milestones!$AA$67=FT_Y5,EDATE($D154,Milestones!$AA$67)&lt;PolicyEff),1,Milestones!$AC$67)&amp;";  ",""))</f>
        <v/>
      </c>
      <c r="M154" s="0" t="str">
        <f aca="false">IF(OR($A154="",$D154=""),"",IF(AND(EDATE($D154,Milestones!$AA$68)&lt;=AsOfDate,EDATE($D154,Milestones!$AA$68)&gt;=SchemeStart,IF($X154=0,$AD154,IF(AND($Z154&lt;&gt;"",EDATE($D154,Milestones!$AA$68)&gt;=$Z154),$AC154,IF(AND($Y154&lt;&gt;"",EDATE($D154,Milestones!$AA$68)&gt;=$Y154),$AB154,$AA154)))=Milestones!$AB$68),UPPER(TEXT(EDATE($D154,Milestones!$AA$68),"dd mmm yy"))&amp;" "&amp;Milestones!$AB$68&amp;" "&amp;IF(AND(Milestones!$AB$68="FT",Milestones!$AA$68=FT_Y5,EDATE($D154,Milestones!$AA$68)&lt;PolicyEff),1,Milestones!$AC$68)&amp;";  ","")&amp;IF(AND(EDATE($D154,Milestones!$AA$69)&lt;=AsOfDate,EDATE($D154,Milestones!$AA$69)&gt;=SchemeStart,IF($X154=0,$AD154,IF(AND($Z154&lt;&gt;"",EDATE($D154,Milestones!$AA$69)&gt;=$Z154),$AC154,IF(AND($Y154&lt;&gt;"",EDATE($D154,Milestones!$AA$69)&gt;=$Y154),$AB154,$AA154)))=Milestones!$AB$69),UPPER(TEXT(EDATE($D154,Milestones!$AA$69),"dd mmm yy"))&amp;" "&amp;Milestones!$AB$69&amp;" "&amp;IF(AND(Milestones!$AB$69="FT",Milestones!$AA$69=FT_Y5,EDATE($D154,Milestones!$AA$69)&lt;PolicyEff),1,Milestones!$AC$69)&amp;";  ","")&amp;IF(AND(EDATE($D154,Milestones!$AA$70)&lt;=AsOfDate,EDATE($D154,Milestones!$AA$70)&gt;=SchemeStart,IF($X154=0,$AD154,IF(AND($Z154&lt;&gt;"",EDATE($D154,Milestones!$AA$70)&gt;=$Z154),$AC154,IF(AND($Y154&lt;&gt;"",EDATE($D154,Milestones!$AA$70)&gt;=$Y154),$AB154,$AA154)))=Milestones!$AB$70),UPPER(TEXT(EDATE($D154,Milestones!$AA$70),"dd mmm yy"))&amp;" "&amp;Milestones!$AB$70&amp;" "&amp;IF(AND(Milestones!$AB$70="FT",Milestones!$AA$70=FT_Y5,EDATE($D154,Milestones!$AA$70)&lt;PolicyEff),1,Milestones!$AC$70)&amp;";  ","")&amp;IF(AND(EDATE($D154,Milestones!$AA$71)&lt;=AsOfDate,EDATE($D154,Milestones!$AA$71)&gt;=SchemeStart,IF($X154=0,$AD154,IF(AND($Z154&lt;&gt;"",EDATE($D154,Milestones!$AA$71)&gt;=$Z154),$AC154,IF(AND($Y154&lt;&gt;"",EDATE($D154,Milestones!$AA$71)&gt;=$Y154),$AB154,$AA154)))=Milestones!$AB$71),UPPER(TEXT(EDATE($D154,Milestones!$AA$71),"dd mmm yy"))&amp;" "&amp;Milestones!$AB$71&amp;" "&amp;IF(AND(Milestones!$AB$71="FT",Milestones!$AA$71=FT_Y5,EDATE($D154,Milestones!$AA$71)&lt;PolicyEff),1,Milestones!$AC$71)&amp;";  ","")&amp;IF(AND(EDATE($D154,Milestones!$AA$72)&lt;=AsOfDate,EDATE($D154,Milestones!$AA$72)&gt;=SchemeStart,IF($X154=0,$AD154,IF(AND($Z154&lt;&gt;"",EDATE($D154,Milestones!$AA$72)&gt;=$Z154),$AC154,IF(AND($Y154&lt;&gt;"",EDATE($D154,Milestones!$AA$72)&gt;=$Y154),$AB154,$AA154)))=Milestones!$AB$72),UPPER(TEXT(EDATE($D154,Milestones!$AA$72),"dd mmm yy"))&amp;" "&amp;Milestones!$AB$72&amp;" "&amp;IF(AND(Milestones!$AB$72="FT",Milestones!$AA$72=FT_Y5,EDATE($D154,Milestones!$AA$72)&lt;PolicyEff),1,Milestones!$AC$72)&amp;";  ","")&amp;IF(AND(EDATE($D154,Milestones!$AA$73)&lt;=AsOfDate,EDATE($D154,Milestones!$AA$73)&gt;=SchemeStart,IF($X154=0,$AD154,IF(AND($Z154&lt;&gt;"",EDATE($D154,Milestones!$AA$73)&gt;=$Z154),$AC154,IF(AND($Y154&lt;&gt;"",EDATE($D154,Milestones!$AA$73)&gt;=$Y154),$AB154,$AA154)))=Milestones!$AB$73),UPPER(TEXT(EDATE($D154,Milestones!$AA$73),"dd mmm yy"))&amp;" "&amp;Milestones!$AB$73&amp;" "&amp;IF(AND(Milestones!$AB$73="FT",Milestones!$AA$73=FT_Y5,EDATE($D154,Milestones!$AA$73)&lt;PolicyEff),1,Milestones!$AC$73)&amp;";  ","")&amp;IF(AND(EDATE($D154,Milestones!$AA$74)&lt;=AsOfDate,EDATE($D154,Milestones!$AA$74)&gt;=SchemeStart,IF($X154=0,$AD154,IF(AND($Z154&lt;&gt;"",EDATE($D154,Milestones!$AA$74)&gt;=$Z154),$AC154,IF(AND($Y154&lt;&gt;"",EDATE($D154,Milestones!$AA$74)&gt;=$Y154),$AB154,$AA154)))=Milestones!$AB$74),UPPER(TEXT(EDATE($D154,Milestones!$AA$74),"dd mmm yy"))&amp;" "&amp;Milestones!$AB$74&amp;" "&amp;IF(AND(Milestones!$AB$74="FT",Milestones!$AA$74=FT_Y5,EDATE($D154,Milestones!$AA$74)&lt;PolicyEff),1,Milestones!$AC$74)&amp;";  ","")&amp;IF(AND(EDATE($D154,Milestones!$AA$75)&lt;=AsOfDate,EDATE($D154,Milestones!$AA$75)&gt;=SchemeStart,IF($X154=0,$AD154,IF(AND($Z154&lt;&gt;"",EDATE($D154,Milestones!$AA$75)&gt;=$Z154),$AC154,IF(AND($Y154&lt;&gt;"",EDATE($D154,Milestones!$AA$75)&gt;=$Y154),$AB154,$AA154)))=Milestones!$AB$75),UPPER(TEXT(EDATE($D154,Milestones!$AA$75),"dd mmm yy"))&amp;" "&amp;Milestones!$AB$75&amp;" "&amp;IF(AND(Milestones!$AB$75="FT",Milestones!$AA$75=FT_Y5,EDATE($D154,Milestones!$AA$75)&lt;PolicyEff),1,Milestones!$AC$75)&amp;";  ","")&amp;IF(AND(EDATE($D154,Milestones!$AA$76)&lt;=AsOfDate,EDATE($D154,Milestones!$AA$76)&gt;=SchemeStart,IF($X154=0,$AD154,IF(AND($Z154&lt;&gt;"",EDATE($D154,Milestones!$AA$76)&gt;=$Z154),$AC154,IF(AND($Y154&lt;&gt;"",EDATE($D154,Milestones!$AA$76)&gt;=$Y154),$AB154,$AA154)))=Milestones!$AB$76),UPPER(TEXT(EDATE($D154,Milestones!$AA$76),"dd mmm yy"))&amp;" "&amp;Milestones!$AB$76&amp;" "&amp;IF(AND(Milestones!$AB$76="FT",Milestones!$AA$76=FT_Y5,EDATE($D154,Milestones!$AA$76)&lt;PolicyEff),1,Milestones!$AC$76)&amp;";  ","")&amp;IF(AND(EDATE($D154,Milestones!$AA$77)&lt;=AsOfDate,EDATE($D154,Milestones!$AA$77)&gt;=SchemeStart,IF($X154=0,$AD154,IF(AND($Z154&lt;&gt;"",EDATE($D154,Milestones!$AA$77)&gt;=$Z154),$AC154,IF(AND($Y154&lt;&gt;"",EDATE($D154,Milestones!$AA$77)&gt;=$Y154),$AB154,$AA154)))=Milestones!$AB$77),UPPER(TEXT(EDATE($D154,Milestones!$AA$77),"dd mmm yy"))&amp;" "&amp;Milestones!$AB$77&amp;" "&amp;IF(AND(Milestones!$AB$77="FT",Milestones!$AA$77=FT_Y5,EDATE($D154,Milestones!$AA$77)&lt;PolicyEff),1,Milestones!$AC$77)&amp;";  ","")&amp;IF(AND(EDATE($D154,Milestones!$AA$78)&lt;=AsOfDate,EDATE($D154,Milestones!$AA$78)&gt;=SchemeStart,IF($X154=0,$AD154,IF(AND($Z154&lt;&gt;"",EDATE($D154,Milestones!$AA$78)&gt;=$Z154),$AC154,IF(AND($Y154&lt;&gt;"",EDATE($D154,Milestones!$AA$78)&gt;=$Y154),$AB154,$AA154)))=Milestones!$AB$78),UPPER(TEXT(EDATE($D154,Milestones!$AA$78),"dd mmm yy"))&amp;" "&amp;Milestones!$AB$78&amp;" "&amp;IF(AND(Milestones!$AB$78="FT",Milestones!$AA$78=FT_Y5,EDATE($D154,Milestones!$AA$78)&lt;PolicyEff),1,Milestones!$AC$78)&amp;";  ","")&amp;IF(AND(EDATE($D154,Milestones!$AA$79)&lt;=AsOfDate,EDATE($D154,Milestones!$AA$79)&gt;=SchemeStart,IF($X154=0,$AD154,IF(AND($Z154&lt;&gt;"",EDATE($D154,Milestones!$AA$79)&gt;=$Z154),$AC154,IF(AND($Y154&lt;&gt;"",EDATE($D154,Milestones!$AA$79)&gt;=$Y154),$AB154,$AA154)))=Milestones!$AB$79),UPPER(TEXT(EDATE($D154,Milestones!$AA$79),"dd mmm yy"))&amp;" "&amp;Milestones!$AB$79&amp;" "&amp;IF(AND(Milestones!$AB$79="FT",Milestones!$AA$79=FT_Y5,EDATE($D154,Milestones!$AA$79)&lt;PolicyEff),1,Milestones!$AC$79)&amp;";  ",""))</f>
        <v/>
      </c>
      <c r="N154" s="0" t="str">
        <f aca="false">IF(OR($A154="",$D154=""),"",IF(AND(EDATE($D154,Milestones!$AA$80)&lt;=AsOfDate,EDATE($D154,Milestones!$AA$80)&gt;=SchemeStart,IF($X154=0,$AD154,IF(AND($Z154&lt;&gt;"",EDATE($D154,Milestones!$AA$80)&gt;=$Z154),$AC154,IF(AND($Y154&lt;&gt;"",EDATE($D154,Milestones!$AA$80)&gt;=$Y154),$AB154,$AA154)))=Milestones!$AB$80),UPPER(TEXT(EDATE($D154,Milestones!$AA$80),"dd mmm yy"))&amp;" "&amp;Milestones!$AB$80&amp;" "&amp;IF(AND(Milestones!$AB$80="FT",Milestones!$AA$80=FT_Y5,EDATE($D154,Milestones!$AA$80)&lt;PolicyEff),1,Milestones!$AC$80)&amp;";  ","")&amp;IF(AND(EDATE($D154,Milestones!$AA$81)&lt;=AsOfDate,EDATE($D154,Milestones!$AA$81)&gt;=SchemeStart,IF($X154=0,$AD154,IF(AND($Z154&lt;&gt;"",EDATE($D154,Milestones!$AA$81)&gt;=$Z154),$AC154,IF(AND($Y154&lt;&gt;"",EDATE($D154,Milestones!$AA$81)&gt;=$Y154),$AB154,$AA154)))=Milestones!$AB$81),UPPER(TEXT(EDATE($D154,Milestones!$AA$81),"dd mmm yy"))&amp;" "&amp;Milestones!$AB$81&amp;" "&amp;IF(AND(Milestones!$AB$81="FT",Milestones!$AA$81=FT_Y5,EDATE($D154,Milestones!$AA$81)&lt;PolicyEff),1,Milestones!$AC$81)&amp;";  ","")&amp;IF(AND(EDATE($D154,Milestones!$AA$82)&lt;=AsOfDate,EDATE($D154,Milestones!$AA$82)&gt;=SchemeStart,IF($X154=0,$AD154,IF(AND($Z154&lt;&gt;"",EDATE($D154,Milestones!$AA$82)&gt;=$Z154),$AC154,IF(AND($Y154&lt;&gt;"",EDATE($D154,Milestones!$AA$82)&gt;=$Y154),$AB154,$AA154)))=Milestones!$AB$82),UPPER(TEXT(EDATE($D154,Milestones!$AA$82),"dd mmm yy"))&amp;" "&amp;Milestones!$AB$82&amp;" "&amp;IF(AND(Milestones!$AB$82="FT",Milestones!$AA$82=FT_Y5,EDATE($D154,Milestones!$AA$82)&lt;PolicyEff),1,Milestones!$AC$82)&amp;";  ","")&amp;IF(AND(EDATE($D154,Milestones!$AA$83)&lt;=AsOfDate,EDATE($D154,Milestones!$AA$83)&gt;=SchemeStart,IF($X154=0,$AD154,IF(AND($Z154&lt;&gt;"",EDATE($D154,Milestones!$AA$83)&gt;=$Z154),$AC154,IF(AND($Y154&lt;&gt;"",EDATE($D154,Milestones!$AA$83)&gt;=$Y154),$AB154,$AA154)))=Milestones!$AB$83),UPPER(TEXT(EDATE($D154,Milestones!$AA$83),"dd mmm yy"))&amp;" "&amp;Milestones!$AB$83&amp;" "&amp;IF(AND(Milestones!$AB$83="FT",Milestones!$AA$83=FT_Y5,EDATE($D154,Milestones!$AA$83)&lt;PolicyEff),1,Milestones!$AC$83)&amp;";  ","")&amp;IF(AND(EDATE($D154,Milestones!$AA$84)&lt;=AsOfDate,EDATE($D154,Milestones!$AA$84)&gt;=SchemeStart,IF($X154=0,$AD154,IF(AND($Z154&lt;&gt;"",EDATE($D154,Milestones!$AA$84)&gt;=$Z154),$AC154,IF(AND($Y154&lt;&gt;"",EDATE($D154,Milestones!$AA$84)&gt;=$Y154),$AB154,$AA154)))=Milestones!$AB$84),UPPER(TEXT(EDATE($D154,Milestones!$AA$84),"dd mmm yy"))&amp;" "&amp;Milestones!$AB$84&amp;" "&amp;IF(AND(Milestones!$AB$84="FT",Milestones!$AA$84=FT_Y5,EDATE($D154,Milestones!$AA$84)&lt;PolicyEff),1,Milestones!$AC$84)&amp;";  ","")&amp;IF(AND(EDATE($D154,Milestones!$AA$85)&lt;=AsOfDate,EDATE($D154,Milestones!$AA$85)&gt;=SchemeStart,IF($X154=0,$AD154,IF(AND($Z154&lt;&gt;"",EDATE($D154,Milestones!$AA$85)&gt;=$Z154),$AC154,IF(AND($Y154&lt;&gt;"",EDATE($D154,Milestones!$AA$85)&gt;=$Y154),$AB154,$AA154)))=Milestones!$AB$85),UPPER(TEXT(EDATE($D154,Milestones!$AA$85),"dd mmm yy"))&amp;" "&amp;Milestones!$AB$85&amp;" "&amp;IF(AND(Milestones!$AB$85="FT",Milestones!$AA$85=FT_Y5,EDATE($D154,Milestones!$AA$85)&lt;PolicyEff),1,Milestones!$AC$85)&amp;";  ","")&amp;IF(AND(EDATE($D154,Milestones!$AA$86)&lt;=AsOfDate,EDATE($D154,Milestones!$AA$86)&gt;=SchemeStart,IF($X154=0,$AD154,IF(AND($Z154&lt;&gt;"",EDATE($D154,Milestones!$AA$86)&gt;=$Z154),$AC154,IF(AND($Y154&lt;&gt;"",EDATE($D154,Milestones!$AA$86)&gt;=$Y154),$AB154,$AA154)))=Milestones!$AB$86),UPPER(TEXT(EDATE($D154,Milestones!$AA$86),"dd mmm yy"))&amp;" "&amp;Milestones!$AB$86&amp;" "&amp;IF(AND(Milestones!$AB$86="FT",Milestones!$AA$86=FT_Y5,EDATE($D154,Milestones!$AA$86)&lt;PolicyEff),1,Milestones!$AC$86)&amp;";  ","")&amp;IF(AND(EDATE($D154,Milestones!$AA$87)&lt;=AsOfDate,EDATE($D154,Milestones!$AA$87)&gt;=SchemeStart,IF($X154=0,$AD154,IF(AND($Z154&lt;&gt;"",EDATE($D154,Milestones!$AA$87)&gt;=$Z154),$AC154,IF(AND($Y154&lt;&gt;"",EDATE($D154,Milestones!$AA$87)&gt;=$Y154),$AB154,$AA154)))=Milestones!$AB$87),UPPER(TEXT(EDATE($D154,Milestones!$AA$87),"dd mmm yy"))&amp;" "&amp;Milestones!$AB$87&amp;" "&amp;IF(AND(Milestones!$AB$87="FT",Milestones!$AA$87=FT_Y5,EDATE($D154,Milestones!$AA$87)&lt;PolicyEff),1,Milestones!$AC$87)&amp;";  ","")&amp;IF(AND(EDATE($D154,Milestones!$AA$88)&lt;=AsOfDate,EDATE($D154,Milestones!$AA$88)&gt;=SchemeStart,IF($X154=0,$AD154,IF(AND($Z154&lt;&gt;"",EDATE($D154,Milestones!$AA$88)&gt;=$Z154),$AC154,IF(AND($Y154&lt;&gt;"",EDATE($D154,Milestones!$AA$88)&gt;=$Y154),$AB154,$AA154)))=Milestones!$AB$88),UPPER(TEXT(EDATE($D154,Milestones!$AA$88),"dd mmm yy"))&amp;" "&amp;Milestones!$AB$88&amp;" "&amp;IF(AND(Milestones!$AB$88="FT",Milestones!$AA$88=FT_Y5,EDATE($D154,Milestones!$AA$88)&lt;PolicyEff),1,Milestones!$AC$88)&amp;";  ","")&amp;IF(AND(EDATE($D154,Milestones!$AA$89)&lt;=AsOfDate,EDATE($D154,Milestones!$AA$89)&gt;=SchemeStart,IF($X154=0,$AD154,IF(AND($Z154&lt;&gt;"",EDATE($D154,Milestones!$AA$89)&gt;=$Z154),$AC154,IF(AND($Y154&lt;&gt;"",EDATE($D154,Milestones!$AA$89)&gt;=$Y154),$AB154,$AA154)))=Milestones!$AB$89),UPPER(TEXT(EDATE($D154,Milestones!$AA$89),"dd mmm yy"))&amp;" "&amp;Milestones!$AB$89&amp;" "&amp;IF(AND(Milestones!$AB$89="FT",Milestones!$AA$89=FT_Y5,EDATE($D154,Milestones!$AA$89)&lt;PolicyEff),1,Milestones!$AC$89)&amp;";  ","")&amp;IF(AND(EDATE($D154,Milestones!$AA$90)&lt;=AsOfDate,EDATE($D154,Milestones!$AA$90)&gt;=SchemeStart,IF($X154=0,$AD154,IF(AND($Z154&lt;&gt;"",EDATE($D154,Milestones!$AA$90)&gt;=$Z154),$AC154,IF(AND($Y154&lt;&gt;"",EDATE($D154,Milestones!$AA$90)&gt;=$Y154),$AB154,$AA154)))=Milestones!$AB$90),UPPER(TEXT(EDATE($D154,Milestones!$AA$90),"dd mmm yy"))&amp;" "&amp;Milestones!$AB$90&amp;" "&amp;IF(AND(Milestones!$AB$90="FT",Milestones!$AA$90=FT_Y5,EDATE($D154,Milestones!$AA$90)&lt;PolicyEff),1,Milestones!$AC$90)&amp;";  ","")&amp;IF(AND(EDATE($D154,Milestones!$AA$91)&lt;=AsOfDate,EDATE($D154,Milestones!$AA$91)&gt;=SchemeStart,IF($X154=0,$AD154,IF(AND($Z154&lt;&gt;"",EDATE($D154,Milestones!$AA$91)&gt;=$Z154),$AC154,IF(AND($Y154&lt;&gt;"",EDATE($D154,Milestones!$AA$91)&gt;=$Y154),$AB154,$AA154)))=Milestones!$AB$91),UPPER(TEXT(EDATE($D154,Milestones!$AA$91),"dd mmm yy"))&amp;" "&amp;Milestones!$AB$91&amp;" "&amp;IF(AND(Milestones!$AB$91="FT",Milestones!$AA$91=FT_Y5,EDATE($D154,Milestones!$AA$91)&lt;PolicyEff),1,Milestones!$AC$91)&amp;";  ",""))</f>
        <v/>
      </c>
      <c r="O154" s="0" t="str">
        <f aca="false">IF(OR($A154="",$D154=""),"",IF(AND(EDATE($D154,Milestones!$AA$92)&lt;=AsOfDate,EDATE($D154,Milestones!$AA$92)&gt;=SchemeStart,IF($X154=0,$AD154,IF(AND($Z154&lt;&gt;"",EDATE($D154,Milestones!$AA$92)&gt;=$Z154),$AC154,IF(AND($Y154&lt;&gt;"",EDATE($D154,Milestones!$AA$92)&gt;=$Y154),$AB154,$AA154)))=Milestones!$AB$92),UPPER(TEXT(EDATE($D154,Milestones!$AA$92),"dd mmm yy"))&amp;" "&amp;Milestones!$AB$92&amp;" "&amp;IF(AND(Milestones!$AB$92="FT",Milestones!$AA$92=FT_Y5,EDATE($D154,Milestones!$AA$92)&lt;PolicyEff),1,Milestones!$AC$92)&amp;";  ","")&amp;IF(AND(EDATE($D154,Milestones!$AA$93)&lt;=AsOfDate,EDATE($D154,Milestones!$AA$93)&gt;=SchemeStart,IF($X154=0,$AD154,IF(AND($Z154&lt;&gt;"",EDATE($D154,Milestones!$AA$93)&gt;=$Z154),$AC154,IF(AND($Y154&lt;&gt;"",EDATE($D154,Milestones!$AA$93)&gt;=$Y154),$AB154,$AA154)))=Milestones!$AB$93),UPPER(TEXT(EDATE($D154,Milestones!$AA$93),"dd mmm yy"))&amp;" "&amp;Milestones!$AB$93&amp;" "&amp;IF(AND(Milestones!$AB$93="FT",Milestones!$AA$93=FT_Y5,EDATE($D154,Milestones!$AA$93)&lt;PolicyEff),1,Milestones!$AC$93)&amp;";  ","")&amp;IF(AND(EDATE($D154,Milestones!$AA$94)&lt;=AsOfDate,EDATE($D154,Milestones!$AA$94)&gt;=SchemeStart,IF($X154=0,$AD154,IF(AND($Z154&lt;&gt;"",EDATE($D154,Milestones!$AA$94)&gt;=$Z154),$AC154,IF(AND($Y154&lt;&gt;"",EDATE($D154,Milestones!$AA$94)&gt;=$Y154),$AB154,$AA154)))=Milestones!$AB$94),UPPER(TEXT(EDATE($D154,Milestones!$AA$94),"dd mmm yy"))&amp;" "&amp;Milestones!$AB$94&amp;" "&amp;IF(AND(Milestones!$AB$94="FT",Milestones!$AA$94=FT_Y5,EDATE($D154,Milestones!$AA$94)&lt;PolicyEff),1,Milestones!$AC$94)&amp;";  ","")&amp;IF(AND(EDATE($D154,Milestones!$AA$95)&lt;=AsOfDate,EDATE($D154,Milestones!$AA$95)&gt;=SchemeStart,IF($X154=0,$AD154,IF(AND($Z154&lt;&gt;"",EDATE($D154,Milestones!$AA$95)&gt;=$Z154),$AC154,IF(AND($Y154&lt;&gt;"",EDATE($D154,Milestones!$AA$95)&gt;=$Y154),$AB154,$AA154)))=Milestones!$AB$95),UPPER(TEXT(EDATE($D154,Milestones!$AA$95),"dd mmm yy"))&amp;" "&amp;Milestones!$AB$95&amp;" "&amp;IF(AND(Milestones!$AB$95="FT",Milestones!$AA$95=FT_Y5,EDATE($D154,Milestones!$AA$95)&lt;PolicyEff),1,Milestones!$AC$95)&amp;";  ","")&amp;IF(AND(EDATE($D154,Milestones!$AA$96)&lt;=AsOfDate,EDATE($D154,Milestones!$AA$96)&gt;=SchemeStart,IF($X154=0,$AD154,IF(AND($Z154&lt;&gt;"",EDATE($D154,Milestones!$AA$96)&gt;=$Z154),$AC154,IF(AND($Y154&lt;&gt;"",EDATE($D154,Milestones!$AA$96)&gt;=$Y154),$AB154,$AA154)))=Milestones!$AB$96),UPPER(TEXT(EDATE($D154,Milestones!$AA$96),"dd mmm yy"))&amp;" "&amp;Milestones!$AB$96&amp;" "&amp;IF(AND(Milestones!$AB$96="FT",Milestones!$AA$96=FT_Y5,EDATE($D154,Milestones!$AA$96)&lt;PolicyEff),1,Milestones!$AC$96)&amp;";  ","")&amp;IF(AND(EDATE($D154,Milestones!$AA$97)&lt;=AsOfDate,EDATE($D154,Milestones!$AA$97)&gt;=SchemeStart,IF($X154=0,$AD154,IF(AND($Z154&lt;&gt;"",EDATE($D154,Milestones!$AA$97)&gt;=$Z154),$AC154,IF(AND($Y154&lt;&gt;"",EDATE($D154,Milestones!$AA$97)&gt;=$Y154),$AB154,$AA154)))=Milestones!$AB$97),UPPER(TEXT(EDATE($D154,Milestones!$AA$97),"dd mmm yy"))&amp;" "&amp;Milestones!$AB$97&amp;" "&amp;IF(AND(Milestones!$AB$97="FT",Milestones!$AA$97=FT_Y5,EDATE($D154,Milestones!$AA$97)&lt;PolicyEff),1,Milestones!$AC$97)&amp;";  ","")&amp;IF(AND(EDATE($D154,Milestones!$AA$98)&lt;=AsOfDate,EDATE($D154,Milestones!$AA$98)&gt;=SchemeStart,IF($X154=0,$AD154,IF(AND($Z154&lt;&gt;"",EDATE($D154,Milestones!$AA$98)&gt;=$Z154),$AC154,IF(AND($Y154&lt;&gt;"",EDATE($D154,Milestones!$AA$98)&gt;=$Y154),$AB154,$AA154)))=Milestones!$AB$98),UPPER(TEXT(EDATE($D154,Milestones!$AA$98),"dd mmm yy"))&amp;" "&amp;Milestones!$AB$98&amp;" "&amp;IF(AND(Milestones!$AB$98="FT",Milestones!$AA$98=FT_Y5,EDATE($D154,Milestones!$AA$98)&lt;PolicyEff),1,Milestones!$AC$98)&amp;";  ","")&amp;IF(AND(EDATE($D154,Milestones!$AA$99)&lt;=AsOfDate,EDATE($D154,Milestones!$AA$99)&gt;=SchemeStart,IF($X154=0,$AD154,IF(AND($Z154&lt;&gt;"",EDATE($D154,Milestones!$AA$99)&gt;=$Z154),$AC154,IF(AND($Y154&lt;&gt;"",EDATE($D154,Milestones!$AA$99)&gt;=$Y154),$AB154,$AA154)))=Milestones!$AB$99),UPPER(TEXT(EDATE($D154,Milestones!$AA$99),"dd mmm yy"))&amp;" "&amp;Milestones!$AB$99&amp;" "&amp;IF(AND(Milestones!$AB$99="FT",Milestones!$AA$99=FT_Y5,EDATE($D154,Milestones!$AA$99)&lt;PolicyEff),1,Milestones!$AC$99)&amp;";  ","")&amp;IF(AND(EDATE($D154,Milestones!$AA$100)&lt;=AsOfDate,EDATE($D154,Milestones!$AA$100)&gt;=SchemeStart,IF($X154=0,$AD154,IF(AND($Z154&lt;&gt;"",EDATE($D154,Milestones!$AA$100)&gt;=$Z154),$AC154,IF(AND($Y154&lt;&gt;"",EDATE($D154,Milestones!$AA$100)&gt;=$Y154),$AB154,$AA154)))=Milestones!$AB$100),UPPER(TEXT(EDATE($D154,Milestones!$AA$100),"dd mmm yy"))&amp;" "&amp;Milestones!$AB$100&amp;" "&amp;IF(AND(Milestones!$AB$100="FT",Milestones!$AA$100=FT_Y5,EDATE($D154,Milestones!$AA$100)&lt;PolicyEff),1,Milestones!$AC$100)&amp;";  ","")&amp;IF(AND(EDATE($D154,Milestones!$AA$101)&lt;=AsOfDate,EDATE($D154,Milestones!$AA$101)&gt;=SchemeStart,IF($X154=0,$AD154,IF(AND($Z154&lt;&gt;"",EDATE($D154,Milestones!$AA$101)&gt;=$Z154),$AC154,IF(AND($Y154&lt;&gt;"",EDATE($D154,Milestones!$AA$101)&gt;=$Y154),$AB154,$AA154)))=Milestones!$AB$101),UPPER(TEXT(EDATE($D154,Milestones!$AA$101),"dd mmm yy"))&amp;" "&amp;Milestones!$AB$101&amp;" "&amp;IF(AND(Milestones!$AB$101="FT",Milestones!$AA$101=FT_Y5,EDATE($D154,Milestones!$AA$101)&lt;PolicyEff),1,Milestones!$AC$101)&amp;";  ","")&amp;IF(AND(EDATE($D154,Milestones!$AA$102)&lt;=AsOfDate,EDATE($D154,Milestones!$AA$102)&gt;=SchemeStart,IF($X154=0,$AD154,IF(AND($Z154&lt;&gt;"",EDATE($D154,Milestones!$AA$102)&gt;=$Z154),$AC154,IF(AND($Y154&lt;&gt;"",EDATE($D154,Milestones!$AA$102)&gt;=$Y154),$AB154,$AA154)))=Milestones!$AB$102),UPPER(TEXT(EDATE($D154,Milestones!$AA$102),"dd mmm yy"))&amp;" "&amp;Milestones!$AB$102&amp;" "&amp;IF(AND(Milestones!$AB$102="FT",Milestones!$AA$102=FT_Y5,EDATE($D154,Milestones!$AA$102)&lt;PolicyEff),1,Milestones!$AC$102)&amp;";  ","")&amp;IF(AND(EDATE($D154,Milestones!$AA$103)&lt;=AsOfDate,EDATE($D154,Milestones!$AA$103)&gt;=SchemeStart,IF($X154=0,$AD154,IF(AND($Z154&lt;&gt;"",EDATE($D154,Milestones!$AA$103)&gt;=$Z154),$AC154,IF(AND($Y154&lt;&gt;"",EDATE($D154,Milestones!$AA$103)&gt;=$Y154),$AB154,$AA154)))=Milestones!$AB$103),UPPER(TEXT(EDATE($D154,Milestones!$AA$103),"dd mmm yy"))&amp;" "&amp;Milestones!$AB$103&amp;" "&amp;IF(AND(Milestones!$AB$103="FT",Milestones!$AA$103=FT_Y5,EDATE($D154,Milestones!$AA$103)&lt;PolicyEff),1,Milestones!$AC$103)&amp;";  ",""))</f>
        <v/>
      </c>
      <c r="P154" s="0" t="str">
        <f aca="false">IF(OR($A154="",$D154=""),"",IF(AND(EDATE($D154,Milestones!$AA$104)&lt;=AsOfDate,EDATE($D154,Milestones!$AA$104)&gt;=SchemeStart,IF($X154=0,$AD154,IF(AND($Z154&lt;&gt;"",EDATE($D154,Milestones!$AA$104)&gt;=$Z154),$AC154,IF(AND($Y154&lt;&gt;"",EDATE($D154,Milestones!$AA$104)&gt;=$Y154),$AB154,$AA154)))=Milestones!$AB$104),UPPER(TEXT(EDATE($D154,Milestones!$AA$104),"dd mmm yy"))&amp;" "&amp;Milestones!$AB$104&amp;" "&amp;IF(AND(Milestones!$AB$104="FT",Milestones!$AA$104=FT_Y5,EDATE($D154,Milestones!$AA$104)&lt;PolicyEff),1,Milestones!$AC$104)&amp;";  ","")&amp;IF(AND(EDATE($D154,Milestones!$AA$105)&lt;=AsOfDate,EDATE($D154,Milestones!$AA$105)&gt;=SchemeStart,IF($X154=0,$AD154,IF(AND($Z154&lt;&gt;"",EDATE($D154,Milestones!$AA$105)&gt;=$Z154),$AC154,IF(AND($Y154&lt;&gt;"",EDATE($D154,Milestones!$AA$105)&gt;=$Y154),$AB154,$AA154)))=Milestones!$AB$105),UPPER(TEXT(EDATE($D154,Milestones!$AA$105),"dd mmm yy"))&amp;" "&amp;Milestones!$AB$105&amp;" "&amp;IF(AND(Milestones!$AB$105="FT",Milestones!$AA$105=FT_Y5,EDATE($D154,Milestones!$AA$105)&lt;PolicyEff),1,Milestones!$AC$105)&amp;";  ","")&amp;IF(AND(EDATE($D154,Milestones!$AA$106)&lt;=AsOfDate,EDATE($D154,Milestones!$AA$106)&gt;=SchemeStart,IF($X154=0,$AD154,IF(AND($Z154&lt;&gt;"",EDATE($D154,Milestones!$AA$106)&gt;=$Z154),$AC154,IF(AND($Y154&lt;&gt;"",EDATE($D154,Milestones!$AA$106)&gt;=$Y154),$AB154,$AA154)))=Milestones!$AB$106),UPPER(TEXT(EDATE($D154,Milestones!$AA$106),"dd mmm yy"))&amp;" "&amp;Milestones!$AB$106&amp;" "&amp;IF(AND(Milestones!$AB$106="FT",Milestones!$AA$106=FT_Y5,EDATE($D154,Milestones!$AA$106)&lt;PolicyEff),1,Milestones!$AC$106)&amp;";  ","")&amp;IF(AND(EDATE($D154,Milestones!$AA$107)&lt;=AsOfDate,EDATE($D154,Milestones!$AA$107)&gt;=SchemeStart,IF($X154=0,$AD154,IF(AND($Z154&lt;&gt;"",EDATE($D154,Milestones!$AA$107)&gt;=$Z154),$AC154,IF(AND($Y154&lt;&gt;"",EDATE($D154,Milestones!$AA$107)&gt;=$Y154),$AB154,$AA154)))=Milestones!$AB$107),UPPER(TEXT(EDATE($D154,Milestones!$AA$107),"dd mmm yy"))&amp;" "&amp;Milestones!$AB$107&amp;" "&amp;IF(AND(Milestones!$AB$107="FT",Milestones!$AA$107=FT_Y5,EDATE($D154,Milestones!$AA$107)&lt;PolicyEff),1,Milestones!$AC$107)&amp;";  ","")&amp;IF(AND(EDATE($D154,Milestones!$AA$108)&lt;=AsOfDate,EDATE($D154,Milestones!$AA$108)&gt;=SchemeStart,IF($X154=0,$AD154,IF(AND($Z154&lt;&gt;"",EDATE($D154,Milestones!$AA$108)&gt;=$Z154),$AC154,IF(AND($Y154&lt;&gt;"",EDATE($D154,Milestones!$AA$108)&gt;=$Y154),$AB154,$AA154)))=Milestones!$AB$108),UPPER(TEXT(EDATE($D154,Milestones!$AA$108),"dd mmm yy"))&amp;" "&amp;Milestones!$AB$108&amp;" "&amp;IF(AND(Milestones!$AB$108="FT",Milestones!$AA$108=FT_Y5,EDATE($D154,Milestones!$AA$108)&lt;PolicyEff),1,Milestones!$AC$108)&amp;";  ","")&amp;IF(AND(EDATE($D154,Milestones!$AA$109)&lt;=AsOfDate,EDATE($D154,Milestones!$AA$109)&gt;=SchemeStart,IF($X154=0,$AD154,IF(AND($Z154&lt;&gt;"",EDATE($D154,Milestones!$AA$109)&gt;=$Z154),$AC154,IF(AND($Y154&lt;&gt;"",EDATE($D154,Milestones!$AA$109)&gt;=$Y154),$AB154,$AA154)))=Milestones!$AB$109),UPPER(TEXT(EDATE($D154,Milestones!$AA$109),"dd mmm yy"))&amp;" "&amp;Milestones!$AB$109&amp;" "&amp;IF(AND(Milestones!$AB$109="FT",Milestones!$AA$109=FT_Y5,EDATE($D154,Milestones!$AA$109)&lt;PolicyEff),1,Milestones!$AC$109)&amp;";  ","")&amp;IF(AND(EDATE($D154,Milestones!$AA$110)&lt;=AsOfDate,EDATE($D154,Milestones!$AA$110)&gt;=SchemeStart,IF($X154=0,$AD154,IF(AND($Z154&lt;&gt;"",EDATE($D154,Milestones!$AA$110)&gt;=$Z154),$AC154,IF(AND($Y154&lt;&gt;"",EDATE($D154,Milestones!$AA$110)&gt;=$Y154),$AB154,$AA154)))=Milestones!$AB$110),UPPER(TEXT(EDATE($D154,Milestones!$AA$110),"dd mmm yy"))&amp;" "&amp;Milestones!$AB$110&amp;" "&amp;IF(AND(Milestones!$AB$110="FT",Milestones!$AA$110=FT_Y5,EDATE($D154,Milestones!$AA$110)&lt;PolicyEff),1,Milestones!$AC$110)&amp;";  ","")&amp;IF(AND(EDATE($D154,Milestones!$AA$111)&lt;=AsOfDate,EDATE($D154,Milestones!$AA$111)&gt;=SchemeStart,IF($X154=0,$AD154,IF(AND($Z154&lt;&gt;"",EDATE($D154,Milestones!$AA$111)&gt;=$Z154),$AC154,IF(AND($Y154&lt;&gt;"",EDATE($D154,Milestones!$AA$111)&gt;=$Y154),$AB154,$AA154)))=Milestones!$AB$111),UPPER(TEXT(EDATE($D154,Milestones!$AA$111),"dd mmm yy"))&amp;" "&amp;Milestones!$AB$111&amp;" "&amp;IF(AND(Milestones!$AB$111="FT",Milestones!$AA$111=FT_Y5,EDATE($D154,Milestones!$AA$111)&lt;PolicyEff),1,Milestones!$AC$111)&amp;";  ","")&amp;IF(AND(EDATE($D154,Milestones!$AA$112)&lt;=AsOfDate,EDATE($D154,Milestones!$AA$112)&gt;=SchemeStart,IF($X154=0,$AD154,IF(AND($Z154&lt;&gt;"",EDATE($D154,Milestones!$AA$112)&gt;=$Z154),$AC154,IF(AND($Y154&lt;&gt;"",EDATE($D154,Milestones!$AA$112)&gt;=$Y154),$AB154,$AA154)))=Milestones!$AB$112),UPPER(TEXT(EDATE($D154,Milestones!$AA$112),"dd mmm yy"))&amp;" "&amp;Milestones!$AB$112&amp;" "&amp;IF(AND(Milestones!$AB$112="FT",Milestones!$AA$112=FT_Y5,EDATE($D154,Milestones!$AA$112)&lt;PolicyEff),1,Milestones!$AC$112)&amp;";  ","")&amp;IF(AND(EDATE($D154,Milestones!$AA$113)&lt;=AsOfDate,EDATE($D154,Milestones!$AA$113)&gt;=SchemeStart,IF($X154=0,$AD154,IF(AND($Z154&lt;&gt;"",EDATE($D154,Milestones!$AA$113)&gt;=$Z154),$AC154,IF(AND($Y154&lt;&gt;"",EDATE($D154,Milestones!$AA$113)&gt;=$Y154),$AB154,$AA154)))=Milestones!$AB$113),UPPER(TEXT(EDATE($D154,Milestones!$AA$113),"dd mmm yy"))&amp;" "&amp;Milestones!$AB$113&amp;" "&amp;IF(AND(Milestones!$AB$113="FT",Milestones!$AA$113=FT_Y5,EDATE($D154,Milestones!$AA$113)&lt;PolicyEff),1,Milestones!$AC$113)&amp;";  ","")&amp;IF(AND(EDATE($D154,Milestones!$AA$114)&lt;=AsOfDate,EDATE($D154,Milestones!$AA$114)&gt;=SchemeStart,IF($X154=0,$AD154,IF(AND($Z154&lt;&gt;"",EDATE($D154,Milestones!$AA$114)&gt;=$Z154),$AC154,IF(AND($Y154&lt;&gt;"",EDATE($D154,Milestones!$AA$114)&gt;=$Y154),$AB154,$AA154)))=Milestones!$AB$114),UPPER(TEXT(EDATE($D154,Milestones!$AA$114),"dd mmm yy"))&amp;" "&amp;Milestones!$AB$114&amp;" "&amp;IF(AND(Milestones!$AB$114="FT",Milestones!$AA$114=FT_Y5,EDATE($D154,Milestones!$AA$114)&lt;PolicyEff),1,Milestones!$AC$114)&amp;";  ","")&amp;IF(AND(EDATE($D154,Milestones!$AA$115)&lt;=AsOfDate,EDATE($D154,Milestones!$AA$115)&gt;=SchemeStart,IF($X154=0,$AD154,IF(AND($Z154&lt;&gt;"",EDATE($D154,Milestones!$AA$115)&gt;=$Z154),$AC154,IF(AND($Y154&lt;&gt;"",EDATE($D154,Milestones!$AA$115)&gt;=$Y154),$AB154,$AA154)))=Milestones!$AB$115),UPPER(TEXT(EDATE($D154,Milestones!$AA$115),"dd mmm yy"))&amp;" "&amp;Milestones!$AB$115&amp;" "&amp;IF(AND(Milestones!$AB$115="FT",Milestones!$AA$115=FT_Y5,EDATE($D154,Milestones!$AA$115)&lt;PolicyEff),1,Milestones!$AC$115)&amp;";  ",""))</f>
        <v/>
      </c>
      <c r="Q154" s="0" t="str">
        <f aca="false">IF(OR($A154="",$D154=""),"",IF(AND(EDATE($D154,Milestones!$AA$116)&lt;=AsOfDate,EDATE($D154,Milestones!$AA$116)&gt;=SchemeStart,IF($X154=0,$AD154,IF(AND($Z154&lt;&gt;"",EDATE($D154,Milestones!$AA$116)&gt;=$Z154),$AC154,IF(AND($Y154&lt;&gt;"",EDATE($D154,Milestones!$AA$116)&gt;=$Y154),$AB154,$AA154)))=Milestones!$AB$116),UPPER(TEXT(EDATE($D154,Milestones!$AA$116),"dd mmm yy"))&amp;" "&amp;Milestones!$AB$116&amp;" "&amp;IF(AND(Milestones!$AB$116="FT",Milestones!$AA$116=FT_Y5,EDATE($D154,Milestones!$AA$116)&lt;PolicyEff),1,Milestones!$AC$116)&amp;";  ","")&amp;IF(AND(EDATE($D154,Milestones!$AA$117)&lt;=AsOfDate,EDATE($D154,Milestones!$AA$117)&gt;=SchemeStart,IF($X154=0,$AD154,IF(AND($Z154&lt;&gt;"",EDATE($D154,Milestones!$AA$117)&gt;=$Z154),$AC154,IF(AND($Y154&lt;&gt;"",EDATE($D154,Milestones!$AA$117)&gt;=$Y154),$AB154,$AA154)))=Milestones!$AB$117),UPPER(TEXT(EDATE($D154,Milestones!$AA$117),"dd mmm yy"))&amp;" "&amp;Milestones!$AB$117&amp;" "&amp;IF(AND(Milestones!$AB$117="FT",Milestones!$AA$117=FT_Y5,EDATE($D154,Milestones!$AA$117)&lt;PolicyEff),1,Milestones!$AC$117)&amp;";  ","")&amp;IF(AND(EDATE($D154,Milestones!$AA$118)&lt;=AsOfDate,EDATE($D154,Milestones!$AA$118)&gt;=SchemeStart,IF($X154=0,$AD154,IF(AND($Z154&lt;&gt;"",EDATE($D154,Milestones!$AA$118)&gt;=$Z154),$AC154,IF(AND($Y154&lt;&gt;"",EDATE($D154,Milestones!$AA$118)&gt;=$Y154),$AB154,$AA154)))=Milestones!$AB$118),UPPER(TEXT(EDATE($D154,Milestones!$AA$118),"dd mmm yy"))&amp;" "&amp;Milestones!$AB$118&amp;" "&amp;IF(AND(Milestones!$AB$118="FT",Milestones!$AA$118=FT_Y5,EDATE($D154,Milestones!$AA$118)&lt;PolicyEff),1,Milestones!$AC$118)&amp;";  ","")&amp;IF(AND(EDATE($D154,Milestones!$AA$119)&lt;=AsOfDate,EDATE($D154,Milestones!$AA$119)&gt;=SchemeStart,IF($X154=0,$AD154,IF(AND($Z154&lt;&gt;"",EDATE($D154,Milestones!$AA$119)&gt;=$Z154),$AC154,IF(AND($Y154&lt;&gt;"",EDATE($D154,Milestones!$AA$119)&gt;=$Y154),$AB154,$AA154)))=Milestones!$AB$119),UPPER(TEXT(EDATE($D154,Milestones!$AA$119),"dd mmm yy"))&amp;" "&amp;Milestones!$AB$119&amp;" "&amp;IF(AND(Milestones!$AB$119="FT",Milestones!$AA$119=FT_Y5,EDATE($D154,Milestones!$AA$119)&lt;PolicyEff),1,Milestones!$AC$119)&amp;";  ","")&amp;IF(AND(EDATE($D154,Milestones!$AA$120)&lt;=AsOfDate,EDATE($D154,Milestones!$AA$120)&gt;=SchemeStart,IF($X154=0,$AD154,IF(AND($Z154&lt;&gt;"",EDATE($D154,Milestones!$AA$120)&gt;=$Z154),$AC154,IF(AND($Y154&lt;&gt;"",EDATE($D154,Milestones!$AA$120)&gt;=$Y154),$AB154,$AA154)))=Milestones!$AB$120),UPPER(TEXT(EDATE($D154,Milestones!$AA$120),"dd mmm yy"))&amp;" "&amp;Milestones!$AB$120&amp;" "&amp;IF(AND(Milestones!$AB$120="FT",Milestones!$AA$120=FT_Y5,EDATE($D154,Milestones!$AA$120)&lt;PolicyEff),1,Milestones!$AC$120)&amp;";  ","")&amp;IF(AND(EDATE($D154,Milestones!$AA$121)&lt;=AsOfDate,EDATE($D154,Milestones!$AA$121)&gt;=SchemeStart,IF($X154=0,$AD154,IF(AND($Z154&lt;&gt;"",EDATE($D154,Milestones!$AA$121)&gt;=$Z154),$AC154,IF(AND($Y154&lt;&gt;"",EDATE($D154,Milestones!$AA$121)&gt;=$Y154),$AB154,$AA154)))=Milestones!$AB$121),UPPER(TEXT(EDATE($D154,Milestones!$AA$121),"dd mmm yy"))&amp;" "&amp;Milestones!$AB$121&amp;" "&amp;IF(AND(Milestones!$AB$121="FT",Milestones!$AA$121=FT_Y5,EDATE($D154,Milestones!$AA$121)&lt;PolicyEff),1,Milestones!$AC$121)&amp;";  ","")&amp;IF(AND(EDATE($D154,Milestones!$AA$122)&lt;=AsOfDate,EDATE($D154,Milestones!$AA$122)&gt;=SchemeStart,IF($X154=0,$AD154,IF(AND($Z154&lt;&gt;"",EDATE($D154,Milestones!$AA$122)&gt;=$Z154),$AC154,IF(AND($Y154&lt;&gt;"",EDATE($D154,Milestones!$AA$122)&gt;=$Y154),$AB154,$AA154)))=Milestones!$AB$122),UPPER(TEXT(EDATE($D154,Milestones!$AA$122),"dd mmm yy"))&amp;" "&amp;Milestones!$AB$122&amp;" "&amp;IF(AND(Milestones!$AB$122="FT",Milestones!$AA$122=FT_Y5,EDATE($D154,Milestones!$AA$122)&lt;PolicyEff),1,Milestones!$AC$122)&amp;";  ","")&amp;IF(AND(EDATE($D154,Milestones!$AA$123)&lt;=AsOfDate,EDATE($D154,Milestones!$AA$123)&gt;=SchemeStart,IF($X154=0,$AD154,IF(AND($Z154&lt;&gt;"",EDATE($D154,Milestones!$AA$123)&gt;=$Z154),$AC154,IF(AND($Y154&lt;&gt;"",EDATE($D154,Milestones!$AA$123)&gt;=$Y154),$AB154,$AA154)))=Milestones!$AB$123),UPPER(TEXT(EDATE($D154,Milestones!$AA$123),"dd mmm yy"))&amp;" "&amp;Milestones!$AB$123&amp;" "&amp;IF(AND(Milestones!$AB$123="FT",Milestones!$AA$123=FT_Y5,EDATE($D154,Milestones!$AA$123)&lt;PolicyEff),1,Milestones!$AC$123)&amp;";  ","")&amp;IF(AND(EDATE($D154,Milestones!$AA$124)&lt;=AsOfDate,EDATE($D154,Milestones!$AA$124)&gt;=SchemeStart,IF($X154=0,$AD154,IF(AND($Z154&lt;&gt;"",EDATE($D154,Milestones!$AA$124)&gt;=$Z154),$AC154,IF(AND($Y154&lt;&gt;"",EDATE($D154,Milestones!$AA$124)&gt;=$Y154),$AB154,$AA154)))=Milestones!$AB$124),UPPER(TEXT(EDATE($D154,Milestones!$AA$124),"dd mmm yy"))&amp;" "&amp;Milestones!$AB$124&amp;" "&amp;IF(AND(Milestones!$AB$124="FT",Milestones!$AA$124=FT_Y5,EDATE($D154,Milestones!$AA$124)&lt;PolicyEff),1,Milestones!$AC$124)&amp;";  ","")&amp;IF(AND(EDATE($D154,Milestones!$AA$125)&lt;=AsOfDate,EDATE($D154,Milestones!$AA$125)&gt;=SchemeStart,IF($X154=0,$AD154,IF(AND($Z154&lt;&gt;"",EDATE($D154,Milestones!$AA$125)&gt;=$Z154),$AC154,IF(AND($Y154&lt;&gt;"",EDATE($D154,Milestones!$AA$125)&gt;=$Y154),$AB154,$AA154)))=Milestones!$AB$125),UPPER(TEXT(EDATE($D154,Milestones!$AA$125),"dd mmm yy"))&amp;" "&amp;Milestones!$AB$125&amp;" "&amp;IF(AND(Milestones!$AB$125="FT",Milestones!$AA$125=FT_Y5,EDATE($D154,Milestones!$AA$125)&lt;PolicyEff),1,Milestones!$AC$125)&amp;";  ","")&amp;IF(AND(EDATE($D154,Milestones!$AA$126)&lt;=AsOfDate,EDATE($D154,Milestones!$AA$126)&gt;=SchemeStart,IF($X154=0,$AD154,IF(AND($Z154&lt;&gt;"",EDATE($D154,Milestones!$AA$126)&gt;=$Z154),$AC154,IF(AND($Y154&lt;&gt;"",EDATE($D154,Milestones!$AA$126)&gt;=$Y154),$AB154,$AA154)))=Milestones!$AB$126),UPPER(TEXT(EDATE($D154,Milestones!$AA$126),"dd mmm yy"))&amp;" "&amp;Milestones!$AB$126&amp;" "&amp;IF(AND(Milestones!$AB$126="FT",Milestones!$AA$126=FT_Y5,EDATE($D154,Milestones!$AA$126)&lt;PolicyEff),1,Milestones!$AC$126)&amp;";  ","")&amp;IF(AND(EDATE($D154,Milestones!$AA$127)&lt;=AsOfDate,EDATE($D154,Milestones!$AA$127)&gt;=SchemeStart,IF($X154=0,$AD154,IF(AND($Z154&lt;&gt;"",EDATE($D154,Milestones!$AA$127)&gt;=$Z154),$AC154,IF(AND($Y154&lt;&gt;"",EDATE($D154,Milestones!$AA$127)&gt;=$Y154),$AB154,$AA154)))=Milestones!$AB$127),UPPER(TEXT(EDATE($D154,Milestones!$AA$127),"dd mmm yy"))&amp;" "&amp;Milestones!$AB$127&amp;" "&amp;IF(AND(Milestones!$AB$127="FT",Milestones!$AA$127=FT_Y5,EDATE($D154,Milestones!$AA$127)&lt;PolicyEff),1,Milestones!$AC$127)&amp;";  ",""))</f>
        <v/>
      </c>
      <c r="R154" s="0" t="str">
        <f aca="false">IF(OR($A154="",$D154=""),"",IF(AND(EDATE($D154,Milestones!$AA$128)&lt;=AsOfDate,EDATE($D154,Milestones!$AA$128)&gt;=SchemeStart,IF($X154=0,$AD154,IF(AND($Z154&lt;&gt;"",EDATE($D154,Milestones!$AA$128)&gt;=$Z154),$AC154,IF(AND($Y154&lt;&gt;"",EDATE($D154,Milestones!$AA$128)&gt;=$Y154),$AB154,$AA154)))=Milestones!$AB$128),UPPER(TEXT(EDATE($D154,Milestones!$AA$128),"dd mmm yy"))&amp;" "&amp;Milestones!$AB$128&amp;" "&amp;IF(AND(Milestones!$AB$128="FT",Milestones!$AA$128=FT_Y5,EDATE($D154,Milestones!$AA$128)&lt;PolicyEff),1,Milestones!$AC$128)&amp;";  ","")&amp;IF(AND(EDATE($D154,Milestones!$AA$129)&lt;=AsOfDate,EDATE($D154,Milestones!$AA$129)&gt;=SchemeStart,IF($X154=0,$AD154,IF(AND($Z154&lt;&gt;"",EDATE($D154,Milestones!$AA$129)&gt;=$Z154),$AC154,IF(AND($Y154&lt;&gt;"",EDATE($D154,Milestones!$AA$129)&gt;=$Y154),$AB154,$AA154)))=Milestones!$AB$129),UPPER(TEXT(EDATE($D154,Milestones!$AA$129),"dd mmm yy"))&amp;" "&amp;Milestones!$AB$129&amp;" "&amp;IF(AND(Milestones!$AB$129="FT",Milestones!$AA$129=FT_Y5,EDATE($D154,Milestones!$AA$129)&lt;PolicyEff),1,Milestones!$AC$129)&amp;";  ","")&amp;IF(AND(EDATE($D154,Milestones!$AA$130)&lt;=AsOfDate,EDATE($D154,Milestones!$AA$130)&gt;=SchemeStart,IF($X154=0,$AD154,IF(AND($Z154&lt;&gt;"",EDATE($D154,Milestones!$AA$130)&gt;=$Z154),$AC154,IF(AND($Y154&lt;&gt;"",EDATE($D154,Milestones!$AA$130)&gt;=$Y154),$AB154,$AA154)))=Milestones!$AB$130),UPPER(TEXT(EDATE($D154,Milestones!$AA$130),"dd mmm yy"))&amp;" "&amp;Milestones!$AB$130&amp;" "&amp;IF(AND(Milestones!$AB$130="FT",Milestones!$AA$130=FT_Y5,EDATE($D154,Milestones!$AA$130)&lt;PolicyEff),1,Milestones!$AC$130)&amp;";  ","")&amp;IF(AND(EDATE($D154,Milestones!$AA$131)&lt;=AsOfDate,EDATE($D154,Milestones!$AA$131)&gt;=SchemeStart,IF($X154=0,$AD154,IF(AND($Z154&lt;&gt;"",EDATE($D154,Milestones!$AA$131)&gt;=$Z154),$AC154,IF(AND($Y154&lt;&gt;"",EDATE($D154,Milestones!$AA$131)&gt;=$Y154),$AB154,$AA154)))=Milestones!$AB$131),UPPER(TEXT(EDATE($D154,Milestones!$AA$131),"dd mmm yy"))&amp;" "&amp;Milestones!$AB$131&amp;" "&amp;IF(AND(Milestones!$AB$131="FT",Milestones!$AA$131=FT_Y5,EDATE($D154,Milestones!$AA$131)&lt;PolicyEff),1,Milestones!$AC$131)&amp;";  ","")&amp;IF(AND(EDATE($D154,Milestones!$AA$132)&lt;=AsOfDate,EDATE($D154,Milestones!$AA$132)&gt;=SchemeStart,IF($X154=0,$AD154,IF(AND($Z154&lt;&gt;"",EDATE($D154,Milestones!$AA$132)&gt;=$Z154),$AC154,IF(AND($Y154&lt;&gt;"",EDATE($D154,Milestones!$AA$132)&gt;=$Y154),$AB154,$AA154)))=Milestones!$AB$132),UPPER(TEXT(EDATE($D154,Milestones!$AA$132),"dd mmm yy"))&amp;" "&amp;Milestones!$AB$132&amp;" "&amp;IF(AND(Milestones!$AB$132="FT",Milestones!$AA$132=FT_Y5,EDATE($D154,Milestones!$AA$132)&lt;PolicyEff),1,Milestones!$AC$132)&amp;";  ","")&amp;IF(AND(EDATE($D154,Milestones!$AA$133)&lt;=AsOfDate,EDATE($D154,Milestones!$AA$133)&gt;=SchemeStart,IF($X154=0,$AD154,IF(AND($Z154&lt;&gt;"",EDATE($D154,Milestones!$AA$133)&gt;=$Z154),$AC154,IF(AND($Y154&lt;&gt;"",EDATE($D154,Milestones!$AA$133)&gt;=$Y154),$AB154,$AA154)))=Milestones!$AB$133),UPPER(TEXT(EDATE($D154,Milestones!$AA$133),"dd mmm yy"))&amp;" "&amp;Milestones!$AB$133&amp;" "&amp;IF(AND(Milestones!$AB$133="FT",Milestones!$AA$133=FT_Y5,EDATE($D154,Milestones!$AA$133)&lt;PolicyEff),1,Milestones!$AC$133)&amp;";  ","")&amp;IF(AND(EDATE($D154,Milestones!$AA$134)&lt;=AsOfDate,EDATE($D154,Milestones!$AA$134)&gt;=SchemeStart,IF($X154=0,$AD154,IF(AND($Z154&lt;&gt;"",EDATE($D154,Milestones!$AA$134)&gt;=$Z154),$AC154,IF(AND($Y154&lt;&gt;"",EDATE($D154,Milestones!$AA$134)&gt;=$Y154),$AB154,$AA154)))=Milestones!$AB$134),UPPER(TEXT(EDATE($D154,Milestones!$AA$134),"dd mmm yy"))&amp;" "&amp;Milestones!$AB$134&amp;" "&amp;IF(AND(Milestones!$AB$134="FT",Milestones!$AA$134=FT_Y5,EDATE($D154,Milestones!$AA$134)&lt;PolicyEff),1,Milestones!$AC$134)&amp;";  ","")&amp;IF(AND(EDATE($D154,Milestones!$AA$135)&lt;=AsOfDate,EDATE($D154,Milestones!$AA$135)&gt;=SchemeStart,IF($X154=0,$AD154,IF(AND($Z154&lt;&gt;"",EDATE($D154,Milestones!$AA$135)&gt;=$Z154),$AC154,IF(AND($Y154&lt;&gt;"",EDATE($D154,Milestones!$AA$135)&gt;=$Y154),$AB154,$AA154)))=Milestones!$AB$135),UPPER(TEXT(EDATE($D154,Milestones!$AA$135),"dd mmm yy"))&amp;" "&amp;Milestones!$AB$135&amp;" "&amp;IF(AND(Milestones!$AB$135="FT",Milestones!$AA$135=FT_Y5,EDATE($D154,Milestones!$AA$135)&lt;PolicyEff),1,Milestones!$AC$135)&amp;";  ","")&amp;IF(AND(EDATE($D154,Milestones!$AA$136)&lt;=AsOfDate,EDATE($D154,Milestones!$AA$136)&gt;=SchemeStart,IF($X154=0,$AD154,IF(AND($Z154&lt;&gt;"",EDATE($D154,Milestones!$AA$136)&gt;=$Z154),$AC154,IF(AND($Y154&lt;&gt;"",EDATE($D154,Milestones!$AA$136)&gt;=$Y154),$AB154,$AA154)))=Milestones!$AB$136),UPPER(TEXT(EDATE($D154,Milestones!$AA$136),"dd mmm yy"))&amp;" "&amp;Milestones!$AB$136&amp;" "&amp;IF(AND(Milestones!$AB$136="FT",Milestones!$AA$136=FT_Y5,EDATE($D154,Milestones!$AA$136)&lt;PolicyEff),1,Milestones!$AC$136)&amp;";  ","")&amp;IF(AND(EDATE($D154,Milestones!$AA$137)&lt;=AsOfDate,EDATE($D154,Milestones!$AA$137)&gt;=SchemeStart,IF($X154=0,$AD154,IF(AND($Z154&lt;&gt;"",EDATE($D154,Milestones!$AA$137)&gt;=$Z154),$AC154,IF(AND($Y154&lt;&gt;"",EDATE($D154,Milestones!$AA$137)&gt;=$Y154),$AB154,$AA154)))=Milestones!$AB$137),UPPER(TEXT(EDATE($D154,Milestones!$AA$137),"dd mmm yy"))&amp;" "&amp;Milestones!$AB$137&amp;" "&amp;IF(AND(Milestones!$AB$137="FT",Milestones!$AA$137=FT_Y5,EDATE($D154,Milestones!$AA$137)&lt;PolicyEff),1,Milestones!$AC$137)&amp;";  ","")&amp;IF(AND(EDATE($D154,Milestones!$AA$138)&lt;=AsOfDate,EDATE($D154,Milestones!$AA$138)&gt;=SchemeStart,IF($X154=0,$AD154,IF(AND($Z154&lt;&gt;"",EDATE($D154,Milestones!$AA$138)&gt;=$Z154),$AC154,IF(AND($Y154&lt;&gt;"",EDATE($D154,Milestones!$AA$138)&gt;=$Y154),$AB154,$AA154)))=Milestones!$AB$138),UPPER(TEXT(EDATE($D154,Milestones!$AA$138),"dd mmm yy"))&amp;" "&amp;Milestones!$AB$138&amp;" "&amp;IF(AND(Milestones!$AB$138="FT",Milestones!$AA$138=FT_Y5,EDATE($D154,Milestones!$AA$138)&lt;PolicyEff),1,Milestones!$AC$138)&amp;";  ","")&amp;IF(AND(EDATE($D154,Milestones!$AA$139)&lt;=AsOfDate,EDATE($D154,Milestones!$AA$139)&gt;=SchemeStart,IF($X154=0,$AD154,IF(AND($Z154&lt;&gt;"",EDATE($D154,Milestones!$AA$139)&gt;=$Z154),$AC154,IF(AND($Y154&lt;&gt;"",EDATE($D154,Milestones!$AA$139)&gt;=$Y154),$AB154,$AA154)))=Milestones!$AB$139),UPPER(TEXT(EDATE($D154,Milestones!$AA$139),"dd mmm yy"))&amp;" "&amp;Milestones!$AB$139&amp;" "&amp;IF(AND(Milestones!$AB$139="FT",Milestones!$AA$139=FT_Y5,EDATE($D154,Milestones!$AA$139)&lt;PolicyEff),1,Milestones!$AC$139)&amp;";  ",""))</f>
        <v/>
      </c>
      <c r="S154" s="0" t="str">
        <f aca="false">IF(OR($A154="",$D154=""),"",IF(AND(EDATE($D154,Milestones!$AA$140)&lt;=AsOfDate,EDATE($D154,Milestones!$AA$140)&gt;=SchemeStart,IF($X154=0,$AD154,IF(AND($Z154&lt;&gt;"",EDATE($D154,Milestones!$AA$140)&gt;=$Z154),$AC154,IF(AND($Y154&lt;&gt;"",EDATE($D154,Milestones!$AA$140)&gt;=$Y154),$AB154,$AA154)))=Milestones!$AB$140),UPPER(TEXT(EDATE($D154,Milestones!$AA$140),"dd mmm yy"))&amp;" "&amp;Milestones!$AB$140&amp;" "&amp;IF(AND(Milestones!$AB$140="FT",Milestones!$AA$140=FT_Y5,EDATE($D154,Milestones!$AA$140)&lt;PolicyEff),1,Milestones!$AC$140)&amp;";  ","")&amp;IF(AND(EDATE($D154,Milestones!$AA$141)&lt;=AsOfDate,EDATE($D154,Milestones!$AA$141)&gt;=SchemeStart,IF($X154=0,$AD154,IF(AND($Z154&lt;&gt;"",EDATE($D154,Milestones!$AA$141)&gt;=$Z154),$AC154,IF(AND($Y154&lt;&gt;"",EDATE($D154,Milestones!$AA$141)&gt;=$Y154),$AB154,$AA154)))=Milestones!$AB$141),UPPER(TEXT(EDATE($D154,Milestones!$AA$141),"dd mmm yy"))&amp;" "&amp;Milestones!$AB$141&amp;" "&amp;IF(AND(Milestones!$AB$141="FT",Milestones!$AA$141=FT_Y5,EDATE($D154,Milestones!$AA$141)&lt;PolicyEff),1,Milestones!$AC$141)&amp;";  ","")&amp;IF(AND(EDATE($D154,Milestones!$AA$142)&lt;=AsOfDate,EDATE($D154,Milestones!$AA$142)&gt;=SchemeStart,IF($X154=0,$AD154,IF(AND($Z154&lt;&gt;"",EDATE($D154,Milestones!$AA$142)&gt;=$Z154),$AC154,IF(AND($Y154&lt;&gt;"",EDATE($D154,Milestones!$AA$142)&gt;=$Y154),$AB154,$AA154)))=Milestones!$AB$142),UPPER(TEXT(EDATE($D154,Milestones!$AA$142),"dd mmm yy"))&amp;" "&amp;Milestones!$AB$142&amp;" "&amp;IF(AND(Milestones!$AB$142="FT",Milestones!$AA$142=FT_Y5,EDATE($D154,Milestones!$AA$142)&lt;PolicyEff),1,Milestones!$AC$142)&amp;";  ","")&amp;IF(AND(EDATE($D154,Milestones!$AA$143)&lt;=AsOfDate,EDATE($D154,Milestones!$AA$143)&gt;=SchemeStart,IF($X154=0,$AD154,IF(AND($Z154&lt;&gt;"",EDATE($D154,Milestones!$AA$143)&gt;=$Z154),$AC154,IF(AND($Y154&lt;&gt;"",EDATE($D154,Milestones!$AA$143)&gt;=$Y154),$AB154,$AA154)))=Milestones!$AB$143),UPPER(TEXT(EDATE($D154,Milestones!$AA$143),"dd mmm yy"))&amp;" "&amp;Milestones!$AB$143&amp;" "&amp;IF(AND(Milestones!$AB$143="FT",Milestones!$AA$143=FT_Y5,EDATE($D154,Milestones!$AA$143)&lt;PolicyEff),1,Milestones!$AC$143)&amp;";  ","")&amp;IF(AND(EDATE($D154,Milestones!$AA$144)&lt;=AsOfDate,EDATE($D154,Milestones!$AA$144)&gt;=SchemeStart,IF($X154=0,$AD154,IF(AND($Z154&lt;&gt;"",EDATE($D154,Milestones!$AA$144)&gt;=$Z154),$AC154,IF(AND($Y154&lt;&gt;"",EDATE($D154,Milestones!$AA$144)&gt;=$Y154),$AB154,$AA154)))=Milestones!$AB$144),UPPER(TEXT(EDATE($D154,Milestones!$AA$144),"dd mmm yy"))&amp;" "&amp;Milestones!$AB$144&amp;" "&amp;IF(AND(Milestones!$AB$144="FT",Milestones!$AA$144=FT_Y5,EDATE($D154,Milestones!$AA$144)&lt;PolicyEff),1,Milestones!$AC$144)&amp;";  ","")&amp;IF(AND(EDATE($D154,Milestones!$AA$145)&lt;=AsOfDate,EDATE($D154,Milestones!$AA$145)&gt;=SchemeStart,IF($X154=0,$AD154,IF(AND($Z154&lt;&gt;"",EDATE($D154,Milestones!$AA$145)&gt;=$Z154),$AC154,IF(AND($Y154&lt;&gt;"",EDATE($D154,Milestones!$AA$145)&gt;=$Y154),$AB154,$AA154)))=Milestones!$AB$145),UPPER(TEXT(EDATE($D154,Milestones!$AA$145),"dd mmm yy"))&amp;" "&amp;Milestones!$AB$145&amp;" "&amp;IF(AND(Milestones!$AB$145="FT",Milestones!$AA$145=FT_Y5,EDATE($D154,Milestones!$AA$145)&lt;PolicyEff),1,Milestones!$AC$145)&amp;";  ","")&amp;IF(AND(EDATE($D154,Milestones!$AA$146)&lt;=AsOfDate,EDATE($D154,Milestones!$AA$146)&gt;=SchemeStart,IF($X154=0,$AD154,IF(AND($Z154&lt;&gt;"",EDATE($D154,Milestones!$AA$146)&gt;=$Z154),$AC154,IF(AND($Y154&lt;&gt;"",EDATE($D154,Milestones!$AA$146)&gt;=$Y154),$AB154,$AA154)))=Milestones!$AB$146),UPPER(TEXT(EDATE($D154,Milestones!$AA$146),"dd mmm yy"))&amp;" "&amp;Milestones!$AB$146&amp;" "&amp;IF(AND(Milestones!$AB$146="FT",Milestones!$AA$146=FT_Y5,EDATE($D154,Milestones!$AA$146)&lt;PolicyEff),1,Milestones!$AC$146)&amp;";  ","")&amp;IF(AND(EDATE($D154,Milestones!$AA$147)&lt;=AsOfDate,EDATE($D154,Milestones!$AA$147)&gt;=SchemeStart,IF($X154=0,$AD154,IF(AND($Z154&lt;&gt;"",EDATE($D154,Milestones!$AA$147)&gt;=$Z154),$AC154,IF(AND($Y154&lt;&gt;"",EDATE($D154,Milestones!$AA$147)&gt;=$Y154),$AB154,$AA154)))=Milestones!$AB$147),UPPER(TEXT(EDATE($D154,Milestones!$AA$147),"dd mmm yy"))&amp;" "&amp;Milestones!$AB$147&amp;" "&amp;IF(AND(Milestones!$AB$147="FT",Milestones!$AA$147=FT_Y5,EDATE($D154,Milestones!$AA$147)&lt;PolicyEff),1,Milestones!$AC$147)&amp;";  ","")&amp;IF(AND(EDATE($D154,Milestones!$AA$148)&lt;=AsOfDate,EDATE($D154,Milestones!$AA$148)&gt;=SchemeStart,IF($X154=0,$AD154,IF(AND($Z154&lt;&gt;"",EDATE($D154,Milestones!$AA$148)&gt;=$Z154),$AC154,IF(AND($Y154&lt;&gt;"",EDATE($D154,Milestones!$AA$148)&gt;=$Y154),$AB154,$AA154)))=Milestones!$AB$148),UPPER(TEXT(EDATE($D154,Milestones!$AA$148),"dd mmm yy"))&amp;" "&amp;Milestones!$AB$148&amp;" "&amp;IF(AND(Milestones!$AB$148="FT",Milestones!$AA$148=FT_Y5,EDATE($D154,Milestones!$AA$148)&lt;PolicyEff),1,Milestones!$AC$148)&amp;";  ","")&amp;IF(AND(EDATE($D154,Milestones!$AA$149)&lt;=AsOfDate,EDATE($D154,Milestones!$AA$149)&gt;=SchemeStart,IF($X154=0,$AD154,IF(AND($Z154&lt;&gt;"",EDATE($D154,Milestones!$AA$149)&gt;=$Z154),$AC154,IF(AND($Y154&lt;&gt;"",EDATE($D154,Milestones!$AA$149)&gt;=$Y154),$AB154,$AA154)))=Milestones!$AB$149),UPPER(TEXT(EDATE($D154,Milestones!$AA$149),"dd mmm yy"))&amp;" "&amp;Milestones!$AB$149&amp;" "&amp;IF(AND(Milestones!$AB$149="FT",Milestones!$AA$149=FT_Y5,EDATE($D154,Milestones!$AA$149)&lt;PolicyEff),1,Milestones!$AC$149)&amp;";  ","")&amp;IF(AND(EDATE($D154,Milestones!$AA$150)&lt;=AsOfDate,EDATE($D154,Milestones!$AA$150)&gt;=SchemeStart,IF($X154=0,$AD154,IF(AND($Z154&lt;&gt;"",EDATE($D154,Milestones!$AA$150)&gt;=$Z154),$AC154,IF(AND($Y154&lt;&gt;"",EDATE($D154,Milestones!$AA$150)&gt;=$Y154),$AB154,$AA154)))=Milestones!$AB$150),UPPER(TEXT(EDATE($D154,Milestones!$AA$150),"dd mmm yy"))&amp;" "&amp;Milestones!$AB$150&amp;" "&amp;IF(AND(Milestones!$AB$150="FT",Milestones!$AA$150=FT_Y5,EDATE($D154,Milestones!$AA$150)&lt;PolicyEff),1,Milestones!$AC$150)&amp;";  ","")&amp;IF(AND(EDATE($D154,Milestones!$AA$151)&lt;=AsOfDate,EDATE($D154,Milestones!$AA$151)&gt;=SchemeStart,IF($X154=0,$AD154,IF(AND($Z154&lt;&gt;"",EDATE($D154,Milestones!$AA$151)&gt;=$Z154),$AC154,IF(AND($Y154&lt;&gt;"",EDATE($D154,Milestones!$AA$151)&gt;=$Y154),$AB154,$AA154)))=Milestones!$AB$151),UPPER(TEXT(EDATE($D154,Milestones!$AA$151),"dd mmm yy"))&amp;" "&amp;Milestones!$AB$151&amp;" "&amp;IF(AND(Milestones!$AB$151="FT",Milestones!$AA$151=FT_Y5,EDATE($D154,Milestones!$AA$151)&lt;PolicyEff),1,Milestones!$AC$151)&amp;";  ",""))</f>
        <v/>
      </c>
      <c r="T154" s="0" t="str">
        <f aca="false">IF(OR($A154="",$D154=""),"",IF(AND(EDATE($D154,Milestones!$AA$152)&lt;=AsOfDate,EDATE($D154,Milestones!$AA$152)&gt;=SchemeStart,IF($X154=0,$AD154,IF(AND($Z154&lt;&gt;"",EDATE($D154,Milestones!$AA$152)&gt;=$Z154),$AC154,IF(AND($Y154&lt;&gt;"",EDATE($D154,Milestones!$AA$152)&gt;=$Y154),$AB154,$AA154)))=Milestones!$AB$152),UPPER(TEXT(EDATE($D154,Milestones!$AA$152),"dd mmm yy"))&amp;" "&amp;Milestones!$AB$152&amp;" "&amp;IF(AND(Milestones!$AB$152="FT",Milestones!$AA$152=FT_Y5,EDATE($D154,Milestones!$AA$152)&lt;PolicyEff),1,Milestones!$AC$152)&amp;";  ","")&amp;IF(AND(EDATE($D154,Milestones!$AA$153)&lt;=AsOfDate,EDATE($D154,Milestones!$AA$153)&gt;=SchemeStart,IF($X154=0,$AD154,IF(AND($Z154&lt;&gt;"",EDATE($D154,Milestones!$AA$153)&gt;=$Z154),$AC154,IF(AND($Y154&lt;&gt;"",EDATE($D154,Milestones!$AA$153)&gt;=$Y154),$AB154,$AA154)))=Milestones!$AB$153),UPPER(TEXT(EDATE($D154,Milestones!$AA$153),"dd mmm yy"))&amp;" "&amp;Milestones!$AB$153&amp;" "&amp;IF(AND(Milestones!$AB$153="FT",Milestones!$AA$153=FT_Y5,EDATE($D154,Milestones!$AA$153)&lt;PolicyEff),1,Milestones!$AC$153)&amp;";  ","")&amp;IF(AND(EDATE($D154,Milestones!$AA$154)&lt;=AsOfDate,EDATE($D154,Milestones!$AA$154)&gt;=SchemeStart,IF($X154=0,$AD154,IF(AND($Z154&lt;&gt;"",EDATE($D154,Milestones!$AA$154)&gt;=$Z154),$AC154,IF(AND($Y154&lt;&gt;"",EDATE($D154,Milestones!$AA$154)&gt;=$Y154),$AB154,$AA154)))=Milestones!$AB$154),UPPER(TEXT(EDATE($D154,Milestones!$AA$154),"dd mmm yy"))&amp;" "&amp;Milestones!$AB$154&amp;" "&amp;IF(AND(Milestones!$AB$154="FT",Milestones!$AA$154=FT_Y5,EDATE($D154,Milestones!$AA$154)&lt;PolicyEff),1,Milestones!$AC$154)&amp;";  ","")&amp;IF(AND(EDATE($D154,Milestones!$AA$155)&lt;=AsOfDate,EDATE($D154,Milestones!$AA$155)&gt;=SchemeStart,IF($X154=0,$AD154,IF(AND($Z154&lt;&gt;"",EDATE($D154,Milestones!$AA$155)&gt;=$Z154),$AC154,IF(AND($Y154&lt;&gt;"",EDATE($D154,Milestones!$AA$155)&gt;=$Y154),$AB154,$AA154)))=Milestones!$AB$155),UPPER(TEXT(EDATE($D154,Milestones!$AA$155),"dd mmm yy"))&amp;" "&amp;Milestones!$AB$155&amp;" "&amp;IF(AND(Milestones!$AB$155="FT",Milestones!$AA$155=FT_Y5,EDATE($D154,Milestones!$AA$155)&lt;PolicyEff),1,Milestones!$AC$155)&amp;";  ","")&amp;IF(AND(EDATE($D154,Milestones!$AA$156)&lt;=AsOfDate,EDATE($D154,Milestones!$AA$156)&gt;=SchemeStart,IF($X154=0,$AD154,IF(AND($Z154&lt;&gt;"",EDATE($D154,Milestones!$AA$156)&gt;=$Z154),$AC154,IF(AND($Y154&lt;&gt;"",EDATE($D154,Milestones!$AA$156)&gt;=$Y154),$AB154,$AA154)))=Milestones!$AB$156),UPPER(TEXT(EDATE($D154,Milestones!$AA$156),"dd mmm yy"))&amp;" "&amp;Milestones!$AB$156&amp;" "&amp;IF(AND(Milestones!$AB$156="FT",Milestones!$AA$156=FT_Y5,EDATE($D154,Milestones!$AA$156)&lt;PolicyEff),1,Milestones!$AC$156)&amp;";  ","")&amp;IF(AND(EDATE($D154,Milestones!$AA$157)&lt;=AsOfDate,EDATE($D154,Milestones!$AA$157)&gt;=SchemeStart,IF($X154=0,$AD154,IF(AND($Z154&lt;&gt;"",EDATE($D154,Milestones!$AA$157)&gt;=$Z154),$AC154,IF(AND($Y154&lt;&gt;"",EDATE($D154,Milestones!$AA$157)&gt;=$Y154),$AB154,$AA154)))=Milestones!$AB$157),UPPER(TEXT(EDATE($D154,Milestones!$AA$157),"dd mmm yy"))&amp;" "&amp;Milestones!$AB$157&amp;" "&amp;IF(AND(Milestones!$AB$157="FT",Milestones!$AA$157=FT_Y5,EDATE($D154,Milestones!$AA$157)&lt;PolicyEff),1,Milestones!$AC$157)&amp;";  ","")&amp;IF(AND(EDATE($D154,Milestones!$AA$158)&lt;=AsOfDate,EDATE($D154,Milestones!$AA$158)&gt;=SchemeStart,IF($X154=0,$AD154,IF(AND($Z154&lt;&gt;"",EDATE($D154,Milestones!$AA$158)&gt;=$Z154),$AC154,IF(AND($Y154&lt;&gt;"",EDATE($D154,Milestones!$AA$158)&gt;=$Y154),$AB154,$AA154)))=Milestones!$AB$158),UPPER(TEXT(EDATE($D154,Milestones!$AA$158),"dd mmm yy"))&amp;" "&amp;Milestones!$AB$158&amp;" "&amp;IF(AND(Milestones!$AB$158="FT",Milestones!$AA$158=FT_Y5,EDATE($D154,Milestones!$AA$158)&lt;PolicyEff),1,Milestones!$AC$158)&amp;";  ","")&amp;IF(AND(EDATE($D154,Milestones!$AA$159)&lt;=AsOfDate,EDATE($D154,Milestones!$AA$159)&gt;=SchemeStart,IF($X154=0,$AD154,IF(AND($Z154&lt;&gt;"",EDATE($D154,Milestones!$AA$159)&gt;=$Z154),$AC154,IF(AND($Y154&lt;&gt;"",EDATE($D154,Milestones!$AA$159)&gt;=$Y154),$AB154,$AA154)))=Milestones!$AB$159),UPPER(TEXT(EDATE($D154,Milestones!$AA$159),"dd mmm yy"))&amp;" "&amp;Milestones!$AB$159&amp;" "&amp;IF(AND(Milestones!$AB$159="FT",Milestones!$AA$159=FT_Y5,EDATE($D154,Milestones!$AA$159)&lt;PolicyEff),1,Milestones!$AC$159)&amp;";  ","")&amp;IF(AND(EDATE($D154,Milestones!$AA$160)&lt;=AsOfDate,EDATE($D154,Milestones!$AA$160)&gt;=SchemeStart,IF($X154=0,$AD154,IF(AND($Z154&lt;&gt;"",EDATE($D154,Milestones!$AA$160)&gt;=$Z154),$AC154,IF(AND($Y154&lt;&gt;"",EDATE($D154,Milestones!$AA$160)&gt;=$Y154),$AB154,$AA154)))=Milestones!$AB$160),UPPER(TEXT(EDATE($D154,Milestones!$AA$160),"dd mmm yy"))&amp;" "&amp;Milestones!$AB$160&amp;" "&amp;IF(AND(Milestones!$AB$160="FT",Milestones!$AA$160=FT_Y5,EDATE($D154,Milestones!$AA$160)&lt;PolicyEff),1,Milestones!$AC$160)&amp;";  ","")&amp;IF(AND(EDATE($D154,Milestones!$AA$161)&lt;=AsOfDate,EDATE($D154,Milestones!$AA$161)&gt;=SchemeStart,IF($X154=0,$AD154,IF(AND($Z154&lt;&gt;"",EDATE($D154,Milestones!$AA$161)&gt;=$Z154),$AC154,IF(AND($Y154&lt;&gt;"",EDATE($D154,Milestones!$AA$161)&gt;=$Y154),$AB154,$AA154)))=Milestones!$AB$161),UPPER(TEXT(EDATE($D154,Milestones!$AA$161),"dd mmm yy"))&amp;" "&amp;Milestones!$AB$161&amp;" "&amp;IF(AND(Milestones!$AB$161="FT",Milestones!$AA$161=FT_Y5,EDATE($D154,Milestones!$AA$161)&lt;PolicyEff),1,Milestones!$AC$161)&amp;";  ","")&amp;IF(AND(EDATE($D154,Milestones!$AA$162)&lt;=AsOfDate,EDATE($D154,Milestones!$AA$162)&gt;=SchemeStart,IF($X154=0,$AD154,IF(AND($Z154&lt;&gt;"",EDATE($D154,Milestones!$AA$162)&gt;=$Z154),$AC154,IF(AND($Y154&lt;&gt;"",EDATE($D154,Milestones!$AA$162)&gt;=$Y154),$AB154,$AA154)))=Milestones!$AB$162),UPPER(TEXT(EDATE($D154,Milestones!$AA$162),"dd mmm yy"))&amp;" "&amp;Milestones!$AB$162&amp;" "&amp;IF(AND(Milestones!$AB$162="FT",Milestones!$AA$162=FT_Y5,EDATE($D154,Milestones!$AA$162)&lt;PolicyEff),1,Milestones!$AC$162)&amp;";  ","")&amp;IF(AND(EDATE($D154,Milestones!$AA$163)&lt;=AsOfDate,EDATE($D154,Milestones!$AA$163)&gt;=SchemeStart,IF($X154=0,$AD154,IF(AND($Z154&lt;&gt;"",EDATE($D154,Milestones!$AA$163)&gt;=$Z154),$AC154,IF(AND($Y154&lt;&gt;"",EDATE($D154,Milestones!$AA$163)&gt;=$Y154),$AB154,$AA154)))=Milestones!$AB$163),UPPER(TEXT(EDATE($D154,Milestones!$AA$163),"dd mmm yy"))&amp;" "&amp;Milestones!$AB$163&amp;" "&amp;IF(AND(Milestones!$AB$163="FT",Milestones!$AA$163=FT_Y5,EDATE($D154,Milestones!$AA$163)&lt;PolicyEff),1,Milestones!$AC$163)&amp;";  ",""))</f>
        <v/>
      </c>
      <c r="U154" s="0" t="str">
        <f aca="false">IF(OR($A154="",$D154=""),"",IF(AND(EDATE($D154,Milestones!$AA$164)&lt;=AsOfDate,EDATE($D154,Milestones!$AA$164)&gt;=SchemeStart,IF($X154=0,$AD154,IF(AND($Z154&lt;&gt;"",EDATE($D154,Milestones!$AA$164)&gt;=$Z154),$AC154,IF(AND($Y154&lt;&gt;"",EDATE($D154,Milestones!$AA$164)&gt;=$Y154),$AB154,$AA154)))=Milestones!$AB$164),UPPER(TEXT(EDATE($D154,Milestones!$AA$164),"dd mmm yy"))&amp;" "&amp;Milestones!$AB$164&amp;" "&amp;IF(AND(Milestones!$AB$164="FT",Milestones!$AA$164=FT_Y5,EDATE($D154,Milestones!$AA$164)&lt;PolicyEff),1,Milestones!$AC$164)&amp;";  ","")&amp;IF(AND(EDATE($D154,Milestones!$AA$165)&lt;=AsOfDate,EDATE($D154,Milestones!$AA$165)&gt;=SchemeStart,IF($X154=0,$AD154,IF(AND($Z154&lt;&gt;"",EDATE($D154,Milestones!$AA$165)&gt;=$Z154),$AC154,IF(AND($Y154&lt;&gt;"",EDATE($D154,Milestones!$AA$165)&gt;=$Y154),$AB154,$AA154)))=Milestones!$AB$165),UPPER(TEXT(EDATE($D154,Milestones!$AA$165),"dd mmm yy"))&amp;" "&amp;Milestones!$AB$165&amp;" "&amp;IF(AND(Milestones!$AB$165="FT",Milestones!$AA$165=FT_Y5,EDATE($D154,Milestones!$AA$165)&lt;PolicyEff),1,Milestones!$AC$165)&amp;";  ","")&amp;IF(AND(EDATE($D154,Milestones!$AA$166)&lt;=AsOfDate,EDATE($D154,Milestones!$AA$166)&gt;=SchemeStart,IF($X154=0,$AD154,IF(AND($Z154&lt;&gt;"",EDATE($D154,Milestones!$AA$166)&gt;=$Z154),$AC154,IF(AND($Y154&lt;&gt;"",EDATE($D154,Milestones!$AA$166)&gt;=$Y154),$AB154,$AA154)))=Milestones!$AB$166),UPPER(TEXT(EDATE($D154,Milestones!$AA$166),"dd mmm yy"))&amp;" "&amp;Milestones!$AB$166&amp;" "&amp;IF(AND(Milestones!$AB$166="FT",Milestones!$AA$166=FT_Y5,EDATE($D154,Milestones!$AA$166)&lt;PolicyEff),1,Milestones!$AC$166)&amp;";  ","")&amp;IF(AND(EDATE($D154,Milestones!$AA$167)&lt;=AsOfDate,EDATE($D154,Milestones!$AA$167)&gt;=SchemeStart,IF($X154=0,$AD154,IF(AND($Z154&lt;&gt;"",EDATE($D154,Milestones!$AA$167)&gt;=$Z154),$AC154,IF(AND($Y154&lt;&gt;"",EDATE($D154,Milestones!$AA$167)&gt;=$Y154),$AB154,$AA154)))=Milestones!$AB$167),UPPER(TEXT(EDATE($D154,Milestones!$AA$167),"dd mmm yy"))&amp;" "&amp;Milestones!$AB$167&amp;" "&amp;IF(AND(Milestones!$AB$167="FT",Milestones!$AA$167=FT_Y5,EDATE($D154,Milestones!$AA$167)&lt;PolicyEff),1,Milestones!$AC$167)&amp;";  ","")&amp;IF(AND(EDATE($D154,Milestones!$AA$168)&lt;=AsOfDate,EDATE($D154,Milestones!$AA$168)&gt;=SchemeStart,IF($X154=0,$AD154,IF(AND($Z154&lt;&gt;"",EDATE($D154,Milestones!$AA$168)&gt;=$Z154),$AC154,IF(AND($Y154&lt;&gt;"",EDATE($D154,Milestones!$AA$168)&gt;=$Y154),$AB154,$AA154)))=Milestones!$AB$168),UPPER(TEXT(EDATE($D154,Milestones!$AA$168),"dd mmm yy"))&amp;" "&amp;Milestones!$AB$168&amp;" "&amp;IF(AND(Milestones!$AB$168="FT",Milestones!$AA$168=FT_Y5,EDATE($D154,Milestones!$AA$168)&lt;PolicyEff),1,Milestones!$AC$168)&amp;";  ","")&amp;IF(AND(EDATE($D154,Milestones!$AA$169)&lt;=AsOfDate,EDATE($D154,Milestones!$AA$169)&gt;=SchemeStart,IF($X154=0,$AD154,IF(AND($Z154&lt;&gt;"",EDATE($D154,Milestones!$AA$169)&gt;=$Z154),$AC154,IF(AND($Y154&lt;&gt;"",EDATE($D154,Milestones!$AA$169)&gt;=$Y154),$AB154,$AA154)))=Milestones!$AB$169),UPPER(TEXT(EDATE($D154,Milestones!$AA$169),"dd mmm yy"))&amp;" "&amp;Milestones!$AB$169&amp;" "&amp;IF(AND(Milestones!$AB$169="FT",Milestones!$AA$169=FT_Y5,EDATE($D154,Milestones!$AA$169)&lt;PolicyEff),1,Milestones!$AC$169)&amp;";  ","")&amp;IF(AND(EDATE($D154,Milestones!$AA$170)&lt;=AsOfDate,EDATE($D154,Milestones!$AA$170)&gt;=SchemeStart,IF($X154=0,$AD154,IF(AND($Z154&lt;&gt;"",EDATE($D154,Milestones!$AA$170)&gt;=$Z154),$AC154,IF(AND($Y154&lt;&gt;"",EDATE($D154,Milestones!$AA$170)&gt;=$Y154),$AB154,$AA154)))=Milestones!$AB$170),UPPER(TEXT(EDATE($D154,Milestones!$AA$170),"dd mmm yy"))&amp;" "&amp;Milestones!$AB$170&amp;" "&amp;IF(AND(Milestones!$AB$170="FT",Milestones!$AA$170=FT_Y5,EDATE($D154,Milestones!$AA$170)&lt;PolicyEff),1,Milestones!$AC$170)&amp;";  ","")&amp;IF(AND(EDATE($D154,Milestones!$AA$171)&lt;=AsOfDate,EDATE($D154,Milestones!$AA$171)&gt;=SchemeStart,IF($X154=0,$AD154,IF(AND($Z154&lt;&gt;"",EDATE($D154,Milestones!$AA$171)&gt;=$Z154),$AC154,IF(AND($Y154&lt;&gt;"",EDATE($D154,Milestones!$AA$171)&gt;=$Y154),$AB154,$AA154)))=Milestones!$AB$171),UPPER(TEXT(EDATE($D154,Milestones!$AA$171),"dd mmm yy"))&amp;" "&amp;Milestones!$AB$171&amp;" "&amp;IF(AND(Milestones!$AB$171="FT",Milestones!$AA$171=FT_Y5,EDATE($D154,Milestones!$AA$171)&lt;PolicyEff),1,Milestones!$AC$171)&amp;";  ","")&amp;IF(AND(EDATE($D154,Milestones!$AA$172)&lt;=AsOfDate,EDATE($D154,Milestones!$AA$172)&gt;=SchemeStart,IF($X154=0,$AD154,IF(AND($Z154&lt;&gt;"",EDATE($D154,Milestones!$AA$172)&gt;=$Z154),$AC154,IF(AND($Y154&lt;&gt;"",EDATE($D154,Milestones!$AA$172)&gt;=$Y154),$AB154,$AA154)))=Milestones!$AB$172),UPPER(TEXT(EDATE($D154,Milestones!$AA$172),"dd mmm yy"))&amp;" "&amp;Milestones!$AB$172&amp;" "&amp;IF(AND(Milestones!$AB$172="FT",Milestones!$AA$172=FT_Y5,EDATE($D154,Milestones!$AA$172)&lt;PolicyEff),1,Milestones!$AC$172)&amp;";  ","")&amp;IF(AND(EDATE($D154,Milestones!$AA$173)&lt;=AsOfDate,EDATE($D154,Milestones!$AA$173)&gt;=SchemeStart,IF($X154=0,$AD154,IF(AND($Z154&lt;&gt;"",EDATE($D154,Milestones!$AA$173)&gt;=$Z154),$AC154,IF(AND($Y154&lt;&gt;"",EDATE($D154,Milestones!$AA$173)&gt;=$Y154),$AB154,$AA154)))=Milestones!$AB$173),UPPER(TEXT(EDATE($D154,Milestones!$AA$173),"dd mmm yy"))&amp;" "&amp;Milestones!$AB$173&amp;" "&amp;IF(AND(Milestones!$AB$173="FT",Milestones!$AA$173=FT_Y5,EDATE($D154,Milestones!$AA$173)&lt;PolicyEff),1,Milestones!$AC$173)&amp;";  ","")&amp;IF(AND(EDATE($D154,Milestones!$AA$174)&lt;=AsOfDate,EDATE($D154,Milestones!$AA$174)&gt;=SchemeStart,IF($X154=0,$AD154,IF(AND($Z154&lt;&gt;"",EDATE($D154,Milestones!$AA$174)&gt;=$Z154),$AC154,IF(AND($Y154&lt;&gt;"",EDATE($D154,Milestones!$AA$174)&gt;=$Y154),$AB154,$AA154)))=Milestones!$AB$174),UPPER(TEXT(EDATE($D154,Milestones!$AA$174),"dd mmm yy"))&amp;" "&amp;Milestones!$AB$174&amp;" "&amp;IF(AND(Milestones!$AB$174="FT",Milestones!$AA$174=FT_Y5,EDATE($D154,Milestones!$AA$174)&lt;PolicyEff),1,Milestones!$AC$174)&amp;";  ","")&amp;IF(AND(EDATE($D154,Milestones!$AA$175)&lt;=AsOfDate,EDATE($D154,Milestones!$AA$175)&gt;=SchemeStart,IF($X154=0,$AD154,IF(AND($Z154&lt;&gt;"",EDATE($D154,Milestones!$AA$175)&gt;=$Z154),$AC154,IF(AND($Y154&lt;&gt;"",EDATE($D154,Milestones!$AA$175)&gt;=$Y154),$AB154,$AA154)))=Milestones!$AB$175),UPPER(TEXT(EDATE($D154,Milestones!$AA$175),"dd mmm yy"))&amp;" "&amp;Milestones!$AB$175&amp;" "&amp;IF(AND(Milestones!$AB$175="FT",Milestones!$AA$175=FT_Y5,EDATE($D154,Milestones!$AA$175)&lt;PolicyEff),1,Milestones!$AC$175)&amp;";  ",""))</f>
        <v/>
      </c>
      <c r="V154" s="0" t="str">
        <f aca="false">IF(OR($A154="",$D154=""),"",IF(AND(EDATE($D154,Milestones!$AA$176)&lt;=AsOfDate,EDATE($D154,Milestones!$AA$176)&gt;=SchemeStart,IF($X154=0,$AD154,IF(AND($Z154&lt;&gt;"",EDATE($D154,Milestones!$AA$176)&gt;=$Z154),$AC154,IF(AND($Y154&lt;&gt;"",EDATE($D154,Milestones!$AA$176)&gt;=$Y154),$AB154,$AA154)))=Milestones!$AB$176),UPPER(TEXT(EDATE($D154,Milestones!$AA$176),"dd mmm yy"))&amp;" "&amp;Milestones!$AB$176&amp;" "&amp;IF(AND(Milestones!$AB$176="FT",Milestones!$AA$176=FT_Y5,EDATE($D154,Milestones!$AA$176)&lt;PolicyEff),1,Milestones!$AC$176)&amp;";  ","")&amp;IF(AND(EDATE($D154,Milestones!$AA$177)&lt;=AsOfDate,EDATE($D154,Milestones!$AA$177)&gt;=SchemeStart,IF($X154=0,$AD154,IF(AND($Z154&lt;&gt;"",EDATE($D154,Milestones!$AA$177)&gt;=$Z154),$AC154,IF(AND($Y154&lt;&gt;"",EDATE($D154,Milestones!$AA$177)&gt;=$Y154),$AB154,$AA154)))=Milestones!$AB$177),UPPER(TEXT(EDATE($D154,Milestones!$AA$177),"dd mmm yy"))&amp;" "&amp;Milestones!$AB$177&amp;" "&amp;IF(AND(Milestones!$AB$177="FT",Milestones!$AA$177=FT_Y5,EDATE($D154,Milestones!$AA$177)&lt;PolicyEff),1,Milestones!$AC$177)&amp;";  ","")&amp;IF(AND(EDATE($D154,Milestones!$AA$178)&lt;=AsOfDate,EDATE($D154,Milestones!$AA$178)&gt;=SchemeStart,IF($X154=0,$AD154,IF(AND($Z154&lt;&gt;"",EDATE($D154,Milestones!$AA$178)&gt;=$Z154),$AC154,IF(AND($Y154&lt;&gt;"",EDATE($D154,Milestones!$AA$178)&gt;=$Y154),$AB154,$AA154)))=Milestones!$AB$178),UPPER(TEXT(EDATE($D154,Milestones!$AA$178),"dd mmm yy"))&amp;" "&amp;Milestones!$AB$178&amp;" "&amp;IF(AND(Milestones!$AB$178="FT",Milestones!$AA$178=FT_Y5,EDATE($D154,Milestones!$AA$178)&lt;PolicyEff),1,Milestones!$AC$178)&amp;";  ","")&amp;IF(AND(EDATE($D154,Milestones!$AA$179)&lt;=AsOfDate,EDATE($D154,Milestones!$AA$179)&gt;=SchemeStart,IF($X154=0,$AD154,IF(AND($Z154&lt;&gt;"",EDATE($D154,Milestones!$AA$179)&gt;=$Z154),$AC154,IF(AND($Y154&lt;&gt;"",EDATE($D154,Milestones!$AA$179)&gt;=$Y154),$AB154,$AA154)))=Milestones!$AB$179),UPPER(TEXT(EDATE($D154,Milestones!$AA$179),"dd mmm yy"))&amp;" "&amp;Milestones!$AB$179&amp;" "&amp;IF(AND(Milestones!$AB$179="FT",Milestones!$AA$179=FT_Y5,EDATE($D154,Milestones!$AA$179)&lt;PolicyEff),1,Milestones!$AC$179)&amp;";  ","")&amp;IF(AND(EDATE($D154,Milestones!$AA$180)&lt;=AsOfDate,EDATE($D154,Milestones!$AA$180)&gt;=SchemeStart,IF($X154=0,$AD154,IF(AND($Z154&lt;&gt;"",EDATE($D154,Milestones!$AA$180)&gt;=$Z154),$AC154,IF(AND($Y154&lt;&gt;"",EDATE($D154,Milestones!$AA$180)&gt;=$Y154),$AB154,$AA154)))=Milestones!$AB$180),UPPER(TEXT(EDATE($D154,Milestones!$AA$180),"dd mmm yy"))&amp;" "&amp;Milestones!$AB$180&amp;" "&amp;IF(AND(Milestones!$AB$180="FT",Milestones!$AA$180=FT_Y5,EDATE($D154,Milestones!$AA$180)&lt;PolicyEff),1,Milestones!$AC$180)&amp;";  ","")&amp;IF(AND(EDATE($D154,Milestones!$AA$181)&lt;=AsOfDate,EDATE($D154,Milestones!$AA$181)&gt;=SchemeStart,IF($X154=0,$AD154,IF(AND($Z154&lt;&gt;"",EDATE($D154,Milestones!$AA$181)&gt;=$Z154),$AC154,IF(AND($Y154&lt;&gt;"",EDATE($D154,Milestones!$AA$181)&gt;=$Y154),$AB154,$AA154)))=Milestones!$AB$181),UPPER(TEXT(EDATE($D154,Milestones!$AA$181),"dd mmm yy"))&amp;" "&amp;Milestones!$AB$181&amp;" "&amp;IF(AND(Milestones!$AB$181="FT",Milestones!$AA$181=FT_Y5,EDATE($D154,Milestones!$AA$181)&lt;PolicyEff),1,Milestones!$AC$181)&amp;";  ","")&amp;IF(AND(EDATE($D154,Milestones!$AA$182)&lt;=AsOfDate,EDATE($D154,Milestones!$AA$182)&gt;=SchemeStart,IF($X154=0,$AD154,IF(AND($Z154&lt;&gt;"",EDATE($D154,Milestones!$AA$182)&gt;=$Z154),$AC154,IF(AND($Y154&lt;&gt;"",EDATE($D154,Milestones!$AA$182)&gt;=$Y154),$AB154,$AA154)))=Milestones!$AB$182),UPPER(TEXT(EDATE($D154,Milestones!$AA$182),"dd mmm yy"))&amp;" "&amp;Milestones!$AB$182&amp;" "&amp;IF(AND(Milestones!$AB$182="FT",Milestones!$AA$182=FT_Y5,EDATE($D154,Milestones!$AA$182)&lt;PolicyEff),1,Milestones!$AC$182)&amp;";  ","")&amp;IF(AND(EDATE($D154,Milestones!$AA$183)&lt;=AsOfDate,EDATE($D154,Milestones!$AA$183)&gt;=SchemeStart,IF($X154=0,$AD154,IF(AND($Z154&lt;&gt;"",EDATE($D154,Milestones!$AA$183)&gt;=$Z154),$AC154,IF(AND($Y154&lt;&gt;"",EDATE($D154,Milestones!$AA$183)&gt;=$Y154),$AB154,$AA154)))=Milestones!$AB$183),UPPER(TEXT(EDATE($D154,Milestones!$AA$183),"dd mmm yy"))&amp;" "&amp;Milestones!$AB$183&amp;" "&amp;IF(AND(Milestones!$AB$183="FT",Milestones!$AA$183=FT_Y5,EDATE($D154,Milestones!$AA$183)&lt;PolicyEff),1,Milestones!$AC$183)&amp;";  ","")&amp;IF(AND(EDATE($D154,Milestones!$AA$184)&lt;=AsOfDate,EDATE($D154,Milestones!$AA$184)&gt;=SchemeStart,IF($X154=0,$AD154,IF(AND($Z154&lt;&gt;"",EDATE($D154,Milestones!$AA$184)&gt;=$Z154),$AC154,IF(AND($Y154&lt;&gt;"",EDATE($D154,Milestones!$AA$184)&gt;=$Y154),$AB154,$AA154)))=Milestones!$AB$184),UPPER(TEXT(EDATE($D154,Milestones!$AA$184),"dd mmm yy"))&amp;" "&amp;Milestones!$AB$184&amp;" "&amp;IF(AND(Milestones!$AB$184="FT",Milestones!$AA$184=FT_Y5,EDATE($D154,Milestones!$AA$184)&lt;PolicyEff),1,Milestones!$AC$184)&amp;";  ","")&amp;IF(AND(EDATE($D154,Milestones!$AA$185)&lt;=AsOfDate,EDATE($D154,Milestones!$AA$185)&gt;=SchemeStart,IF($X154=0,$AD154,IF(AND($Z154&lt;&gt;"",EDATE($D154,Milestones!$AA$185)&gt;=$Z154),$AC154,IF(AND($Y154&lt;&gt;"",EDATE($D154,Milestones!$AA$185)&gt;=$Y154),$AB154,$AA154)))=Milestones!$AB$185),UPPER(TEXT(EDATE($D154,Milestones!$AA$185),"dd mmm yy"))&amp;" "&amp;Milestones!$AB$185&amp;" "&amp;IF(AND(Milestones!$AB$185="FT",Milestones!$AA$185=FT_Y5,EDATE($D154,Milestones!$AA$185)&lt;PolicyEff),1,Milestones!$AC$185)&amp;";  ","")&amp;IF(AND(EDATE($D154,Milestones!$AA$186)&lt;=AsOfDate,EDATE($D154,Milestones!$AA$186)&gt;=SchemeStart,IF($X154=0,$AD154,IF(AND($Z154&lt;&gt;"",EDATE($D154,Milestones!$AA$186)&gt;=$Z154),$AC154,IF(AND($Y154&lt;&gt;"",EDATE($D154,Milestones!$AA$186)&gt;=$Y154),$AB154,$AA154)))=Milestones!$AB$186),UPPER(TEXT(EDATE($D154,Milestones!$AA$186),"dd mmm yy"))&amp;" "&amp;Milestones!$AB$186&amp;" "&amp;IF(AND(Milestones!$AB$186="FT",Milestones!$AA$186=FT_Y5,EDATE($D154,Milestones!$AA$186)&lt;PolicyEff),1,Milestones!$AC$186)&amp;";  ","")&amp;IF(AND(EDATE($D154,Milestones!$AA$187)&lt;=AsOfDate,EDATE($D154,Milestones!$AA$187)&gt;=SchemeStart,IF($X154=0,$AD154,IF(AND($Z154&lt;&gt;"",EDATE($D154,Milestones!$AA$187)&gt;=$Z154),$AC154,IF(AND($Y154&lt;&gt;"",EDATE($D154,Milestones!$AA$187)&gt;=$Y154),$AB154,$AA154)))=Milestones!$AB$187),UPPER(TEXT(EDATE($D154,Milestones!$AA$187),"dd mmm yy"))&amp;" "&amp;Milestones!$AB$187&amp;" "&amp;IF(AND(Milestones!$AB$187="FT",Milestones!$AA$187=FT_Y5,EDATE($D154,Milestones!$AA$187)&lt;PolicyEff),1,Milestones!$AC$187)&amp;";  ",""))</f>
        <v/>
      </c>
      <c r="W154" s="0" t="str">
        <f aca="false">IF(OR($A154="",$D154=""),"",IF(AND(EDATE($D154,Milestones!$AA$188)&lt;=AsOfDate,EDATE($D154,Milestones!$AA$188)&gt;=SchemeStart,IF($X154=0,$AD154,IF(AND($Z154&lt;&gt;"",EDATE($D154,Milestones!$AA$188)&gt;=$Z154),$AC154,IF(AND($Y154&lt;&gt;"",EDATE($D154,Milestones!$AA$188)&gt;=$Y154),$AB154,$AA154)))=Milestones!$AB$188),UPPER(TEXT(EDATE($D154,Milestones!$AA$188),"dd mmm yy"))&amp;" "&amp;Milestones!$AB$188&amp;" "&amp;IF(AND(Milestones!$AB$188="FT",Milestones!$AA$188=FT_Y5,EDATE($D154,Milestones!$AA$188)&lt;PolicyEff),1,Milestones!$AC$188)&amp;";  ","")&amp;IF(AND(EDATE($D154,Milestones!$AA$189)&lt;=AsOfDate,EDATE($D154,Milestones!$AA$189)&gt;=SchemeStart,IF($X154=0,$AD154,IF(AND($Z154&lt;&gt;"",EDATE($D154,Milestones!$AA$189)&gt;=$Z154),$AC154,IF(AND($Y154&lt;&gt;"",EDATE($D154,Milestones!$AA$189)&gt;=$Y154),$AB154,$AA154)))=Milestones!$AB$189),UPPER(TEXT(EDATE($D154,Milestones!$AA$189),"dd mmm yy"))&amp;" "&amp;Milestones!$AB$189&amp;" "&amp;IF(AND(Milestones!$AB$189="FT",Milestones!$AA$189=FT_Y5,EDATE($D154,Milestones!$AA$189)&lt;PolicyEff),1,Milestones!$AC$189)&amp;";  ","")&amp;IF(AND(EDATE($D154,Milestones!$AA$190)&lt;=AsOfDate,EDATE($D154,Milestones!$AA$190)&gt;=SchemeStart,IF($X154=0,$AD154,IF(AND($Z154&lt;&gt;"",EDATE($D154,Milestones!$AA$190)&gt;=$Z154),$AC154,IF(AND($Y154&lt;&gt;"",EDATE($D154,Milestones!$AA$190)&gt;=$Y154),$AB154,$AA154)))=Milestones!$AB$190),UPPER(TEXT(EDATE($D154,Milestones!$AA$190),"dd mmm yy"))&amp;" "&amp;Milestones!$AB$190&amp;" "&amp;IF(AND(Milestones!$AB$190="FT",Milestones!$AA$190=FT_Y5,EDATE($D154,Milestones!$AA$190)&lt;PolicyEff),1,Milestones!$AC$190)&amp;";  ","")&amp;IF(AND(EDATE($D154,Milestones!$AA$191)&lt;=AsOfDate,EDATE($D154,Milestones!$AA$191)&gt;=SchemeStart,IF($X154=0,$AD154,IF(AND($Z154&lt;&gt;"",EDATE($D154,Milestones!$AA$191)&gt;=$Z154),$AC154,IF(AND($Y154&lt;&gt;"",EDATE($D154,Milestones!$AA$191)&gt;=$Y154),$AB154,$AA154)))=Milestones!$AB$191),UPPER(TEXT(EDATE($D154,Milestones!$AA$191),"dd mmm yy"))&amp;" "&amp;Milestones!$AB$191&amp;" "&amp;IF(AND(Milestones!$AB$191="FT",Milestones!$AA$191=FT_Y5,EDATE($D154,Milestones!$AA$191)&lt;PolicyEff),1,Milestones!$AC$191)&amp;";  ","")&amp;IF(AND(EDATE($D154,Milestones!$AA$192)&lt;=AsOfDate,EDATE($D154,Milestones!$AA$192)&gt;=SchemeStart,IF($X154=0,$AD154,IF(AND($Z154&lt;&gt;"",EDATE($D154,Milestones!$AA$192)&gt;=$Z154),$AC154,IF(AND($Y154&lt;&gt;"",EDATE($D154,Milestones!$AA$192)&gt;=$Y154),$AB154,$AA154)))=Milestones!$AB$192),UPPER(TEXT(EDATE($D154,Milestones!$AA$192),"dd mmm yy"))&amp;" "&amp;Milestones!$AB$192&amp;" "&amp;IF(AND(Milestones!$AB$192="FT",Milestones!$AA$192=FT_Y5,EDATE($D154,Milestones!$AA$192)&lt;PolicyEff),1,Milestones!$AC$192)&amp;";  ","")&amp;IF(AND(EDATE($D154,Milestones!$AA$193)&lt;=AsOfDate,EDATE($D154,Milestones!$AA$193)&gt;=SchemeStart,IF($X154=0,$AD154,IF(AND($Z154&lt;&gt;"",EDATE($D154,Milestones!$AA$193)&gt;=$Z154),$AC154,IF(AND($Y154&lt;&gt;"",EDATE($D154,Milestones!$AA$193)&gt;=$Y154),$AB154,$AA154)))=Milestones!$AB$193),UPPER(TEXT(EDATE($D154,Milestones!$AA$193),"dd mmm yy"))&amp;" "&amp;Milestones!$AB$193&amp;" "&amp;IF(AND(Milestones!$AB$193="FT",Milestones!$AA$193=FT_Y5,EDATE($D154,Milestones!$AA$193)&lt;PolicyEff),1,Milestones!$AC$193)&amp;";  ","")&amp;IF(AND(EDATE($D154,Milestones!$AA$194)&lt;=AsOfDate,EDATE($D154,Milestones!$AA$194)&gt;=SchemeStart,IF($X154=0,$AD154,IF(AND($Z154&lt;&gt;"",EDATE($D154,Milestones!$AA$194)&gt;=$Z154),$AC154,IF(AND($Y154&lt;&gt;"",EDATE($D154,Milestones!$AA$194)&gt;=$Y154),$AB154,$AA154)))=Milestones!$AB$194),UPPER(TEXT(EDATE($D154,Milestones!$AA$194),"dd mmm yy"))&amp;" "&amp;Milestones!$AB$194&amp;" "&amp;IF(AND(Milestones!$AB$194="FT",Milestones!$AA$194=FT_Y5,EDATE($D154,Milestones!$AA$194)&lt;PolicyEff),1,Milestones!$AC$194)&amp;";  ","")&amp;IF(AND(EDATE($D154,Milestones!$AA$195)&lt;=AsOfDate,EDATE($D154,Milestones!$AA$195)&gt;=SchemeStart,IF($X154=0,$AD154,IF(AND($Z154&lt;&gt;"",EDATE($D154,Milestones!$AA$195)&gt;=$Z154),$AC154,IF(AND($Y154&lt;&gt;"",EDATE($D154,Milestones!$AA$195)&gt;=$Y154),$AB154,$AA154)))=Milestones!$AB$195),UPPER(TEXT(EDATE($D154,Milestones!$AA$195),"dd mmm yy"))&amp;" "&amp;Milestones!$AB$195&amp;" "&amp;IF(AND(Milestones!$AB$195="FT",Milestones!$AA$195=FT_Y5,EDATE($D154,Milestones!$AA$195)&lt;PolicyEff),1,Milestones!$AC$195)&amp;";  ","")&amp;IF(AND(EDATE($D154,Milestones!$AA$196)&lt;=AsOfDate,EDATE($D154,Milestones!$AA$196)&gt;=SchemeStart,IF($X154=0,$AD154,IF(AND($Z154&lt;&gt;"",EDATE($D154,Milestones!$AA$196)&gt;=$Z154),$AC154,IF(AND($Y154&lt;&gt;"",EDATE($D154,Milestones!$AA$196)&gt;=$Y154),$AB154,$AA154)))=Milestones!$AB$196),UPPER(TEXT(EDATE($D154,Milestones!$AA$196),"dd mmm yy"))&amp;" "&amp;Milestones!$AB$196&amp;" "&amp;IF(AND(Milestones!$AB$196="FT",Milestones!$AA$196=FT_Y5,EDATE($D154,Milestones!$AA$196)&lt;PolicyEff),1,Milestones!$AC$196)&amp;";  ","")&amp;IF(AND(EDATE($D154,Milestones!$AA$197)&lt;=AsOfDate,EDATE($D154,Milestones!$AA$197)&gt;=SchemeStart,IF($X154=0,$AD154,IF(AND($Z154&lt;&gt;"",EDATE($D154,Milestones!$AA$197)&gt;=$Z154),$AC154,IF(AND($Y154&lt;&gt;"",EDATE($D154,Milestones!$AA$197)&gt;=$Y154),$AB154,$AA154)))=Milestones!$AB$197),UPPER(TEXT(EDATE($D154,Milestones!$AA$197),"dd mmm yy"))&amp;" "&amp;Milestones!$AB$197&amp;" "&amp;IF(AND(Milestones!$AB$197="FT",Milestones!$AA$197=FT_Y5,EDATE($D154,Milestones!$AA$197)&lt;PolicyEff),1,Milestones!$AC$197)&amp;";  ","")&amp;IF(AND(EDATE($D154,Milestones!$AA$198)&lt;=AsOfDate,EDATE($D154,Milestones!$AA$198)&gt;=SchemeStart,IF($X154=0,$AD154,IF(AND($Z154&lt;&gt;"",EDATE($D154,Milestones!$AA$198)&gt;=$Z154),$AC154,IF(AND($Y154&lt;&gt;"",EDATE($D154,Milestones!$AA$198)&gt;=$Y154),$AB154,$AA154)))=Milestones!$AB$198),UPPER(TEXT(EDATE($D154,Milestones!$AA$198),"dd mmm yy"))&amp;" "&amp;Milestones!$AB$198&amp;" "&amp;IF(AND(Milestones!$AB$198="FT",Milestones!$AA$198=FT_Y5,EDATE($D154,Milestones!$AA$198)&lt;PolicyEff),1,Milestones!$AC$198)&amp;";  ","")&amp;IF(AND(EDATE($D154,Milestones!$AA$199)&lt;=AsOfDate,EDATE($D154,Milestones!$AA$199)&gt;=SchemeStart,IF($X154=0,$AD154,IF(AND($Z154&lt;&gt;"",EDATE($D154,Milestones!$AA$199)&gt;=$Z154),$AC154,IF(AND($Y154&lt;&gt;"",EDATE($D154,Milestones!$AA$199)&gt;=$Y154),$AB154,$AA154)))=Milestones!$AB$199),UPPER(TEXT(EDATE($D154,Milestones!$AA$199),"dd mmm yy"))&amp;" "&amp;Milestones!$AB$199&amp;" "&amp;IF(AND(Milestones!$AB$199="FT",Milestones!$AA$199=FT_Y5,EDATE($D154,Milestones!$AA$199)&lt;PolicyEff),1,Milestones!$AC$199)&amp;";  ",""))</f>
        <v/>
      </c>
      <c r="X154" s="0" t="str">
        <f aca="false">IF(Staff!$A154="","",Staff!$AM154)</f>
        <v/>
      </c>
      <c r="Y154" s="0" t="str">
        <f aca="false">IF(Staff!$A154="","",Staff!$AO154)</f>
        <v/>
      </c>
      <c r="Z154" s="0" t="str">
        <f aca="false">IF(Staff!$A154="","",Staff!$AP154)</f>
        <v/>
      </c>
      <c r="AA154" s="0" t="str">
        <f aca="false">IF(Staff!$A154="","",Staff!$AT154)</f>
        <v/>
      </c>
      <c r="AB154" s="0" t="str">
        <f aca="false">IF(Staff!$A154="","",Staff!$AU154)</f>
        <v/>
      </c>
      <c r="AC154" s="0" t="str">
        <f aca="false">IF(Staff!$A154="","",Staff!$AV154)</f>
        <v/>
      </c>
      <c r="AD154" s="0" t="str">
        <f aca="false">IF(Staff!$A154="","",Staff!$AW154)</f>
        <v/>
      </c>
    </row>
  </sheetData>
  <autoFilter ref="A4:H1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S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1" min="2" style="0" width="11"/>
    <col collapsed="false" customWidth="true" hidden="false" outlineLevel="0" max="43" min="24" style="0" width="10"/>
    <col collapsed="false" customWidth="true" hidden="false" outlineLevel="0" max="65" min="46" style="0" width="10"/>
    <col collapsed="false" customWidth="true" hidden="true" outlineLevel="0" max="71" min="70" style="0" width="13"/>
  </cols>
  <sheetData>
    <row r="1" customFormat="false" ht="17.35" hidden="false" customHeight="false" outlineLevel="0" collapsed="false">
      <c r="A1" s="1" t="s">
        <v>160</v>
      </c>
    </row>
    <row r="2" customFormat="false" ht="15" hidden="false" customHeight="false" outlineLevel="0" collapsed="false">
      <c r="A2" s="4" t="s">
        <v>161</v>
      </c>
    </row>
    <row r="3" customFormat="false" ht="15" hidden="false" customHeight="false" outlineLevel="0" collapsed="false">
      <c r="A3" s="5" t="s">
        <v>162</v>
      </c>
      <c r="B3" s="29" t="n">
        <f aca="false">EOMONTH(AsOfDate,0)</f>
        <v>46295</v>
      </c>
      <c r="C3" s="4" t="s">
        <v>163</v>
      </c>
    </row>
    <row r="4" customFormat="false" ht="15" hidden="false" customHeight="false" outlineLevel="0" collapsed="false">
      <c r="A4" s="5" t="s">
        <v>164</v>
      </c>
      <c r="B4" s="30" t="str">
        <f aca="false">IF(B7="","",SUMIFS(B8:B207,$BS8:$BS207,"&lt;="&amp;$B$3))</f>
        <v/>
      </c>
      <c r="C4" s="30" t="str">
        <f aca="false">IF(C7="","",SUMIFS(C8:C207,$BS8:$BS207,"&lt;="&amp;$B$3))</f>
        <v/>
      </c>
      <c r="D4" s="30" t="str">
        <f aca="false">IF(D7="","",SUMIFS(D8:D207,$BS8:$BS207,"&lt;="&amp;$B$3))</f>
        <v/>
      </c>
      <c r="E4" s="30" t="str">
        <f aca="false">IF(E7="","",SUMIFS(E8:E207,$BS8:$BS207,"&lt;="&amp;$B$3))</f>
        <v/>
      </c>
      <c r="F4" s="30" t="str">
        <f aca="false">IF(F7="","",SUMIFS(F8:F207,$BS8:$BS207,"&lt;="&amp;$B$3))</f>
        <v/>
      </c>
      <c r="G4" s="30" t="str">
        <f aca="false">IF(G7="","",SUMIFS(G8:G207,$BS8:$BS207,"&lt;="&amp;$B$3))</f>
        <v/>
      </c>
      <c r="H4" s="30" t="str">
        <f aca="false">IF(H7="","",SUMIFS(H8:H207,$BS8:$BS207,"&lt;="&amp;$B$3))</f>
        <v/>
      </c>
      <c r="I4" s="30" t="str">
        <f aca="false">IF(I7="","",SUMIFS(I8:I207,$BS8:$BS207,"&lt;="&amp;$B$3))</f>
        <v/>
      </c>
      <c r="J4" s="30" t="str">
        <f aca="false">IF(J7="","",SUMIFS(J8:J207,$BS8:$BS207,"&lt;="&amp;$B$3))</f>
        <v/>
      </c>
      <c r="K4" s="30" t="str">
        <f aca="false">IF(K7="","",SUMIFS(K8:K207,$BS8:$BS207,"&lt;="&amp;$B$3))</f>
        <v/>
      </c>
      <c r="L4" s="30" t="str">
        <f aca="false">IF(L7="","",SUMIFS(L8:L207,$BS8:$BS207,"&lt;="&amp;$B$3))</f>
        <v/>
      </c>
      <c r="M4" s="30" t="str">
        <f aca="false">IF(M7="","",SUMIFS(M8:M207,$BS8:$BS207,"&lt;="&amp;$B$3))</f>
        <v/>
      </c>
      <c r="N4" s="30" t="str">
        <f aca="false">IF(N7="","",SUMIFS(N8:N207,$BS8:$BS207,"&lt;="&amp;$B$3))</f>
        <v/>
      </c>
      <c r="O4" s="30" t="str">
        <f aca="false">IF(O7="","",SUMIFS(O8:O207,$BS8:$BS207,"&lt;="&amp;$B$3))</f>
        <v/>
      </c>
      <c r="P4" s="30" t="str">
        <f aca="false">IF(P7="","",SUMIFS(P8:P207,$BS8:$BS207,"&lt;="&amp;$B$3))</f>
        <v/>
      </c>
      <c r="Q4" s="30" t="str">
        <f aca="false">IF(Q7="","",SUMIFS(Q8:Q207,$BS8:$BS207,"&lt;="&amp;$B$3))</f>
        <v/>
      </c>
      <c r="R4" s="30" t="str">
        <f aca="false">IF(R7="","",SUMIFS(R8:R207,$BS8:$BS207,"&lt;="&amp;$B$3))</f>
        <v/>
      </c>
      <c r="S4" s="30" t="str">
        <f aca="false">IF(S7="","",SUMIFS(S8:S207,$BS8:$BS207,"&lt;="&amp;$B$3))</f>
        <v/>
      </c>
      <c r="T4" s="30" t="str">
        <f aca="false">IF(T7="","",SUMIFS(T8:T207,$BS8:$BS207,"&lt;="&amp;$B$3))</f>
        <v/>
      </c>
      <c r="U4" s="30" t="str">
        <f aca="false">IF(U7="","",SUMIFS(U8:U207,$BS8:$BS207,"&lt;="&amp;$B$3))</f>
        <v/>
      </c>
    </row>
    <row r="5" customFormat="false" ht="15" hidden="false" customHeight="false" outlineLevel="0" collapsed="false">
      <c r="A5" s="5" t="s">
        <v>165</v>
      </c>
      <c r="B5" s="30" t="str">
        <f aca="false">IF(B7="","",IF('Tally Helper'!$B$3&lt;&gt;TRUE(),"not on Staff",SUMIFS(X8:X207,$BS8:$BS207,"&lt;="&amp;$B$3)))</f>
        <v/>
      </c>
      <c r="C5" s="30" t="str">
        <f aca="false">IF(C7="","",IF('Tally Helper'!$B$6&lt;&gt;TRUE(),"not on Staff",SUMIFS(Y8:Y207,$BS8:$BS207,"&lt;="&amp;$B$3)))</f>
        <v/>
      </c>
      <c r="D5" s="30" t="str">
        <f aca="false">IF(D7="","",IF('Tally Helper'!$B$9&lt;&gt;TRUE(),"not on Staff",SUMIFS(Z8:Z207,$BS8:$BS207,"&lt;="&amp;$B$3)))</f>
        <v/>
      </c>
      <c r="E5" s="30" t="str">
        <f aca="false">IF(E7="","",IF('Tally Helper'!$B$12&lt;&gt;TRUE(),"not on Staff",SUMIFS(AA8:AA207,$BS8:$BS207,"&lt;="&amp;$B$3)))</f>
        <v/>
      </c>
      <c r="F5" s="30" t="str">
        <f aca="false">IF(F7="","",IF('Tally Helper'!$B$15&lt;&gt;TRUE(),"not on Staff",SUMIFS(AB8:AB207,$BS8:$BS207,"&lt;="&amp;$B$3)))</f>
        <v/>
      </c>
      <c r="G5" s="30" t="str">
        <f aca="false">IF(G7="","",IF('Tally Helper'!$B$18&lt;&gt;TRUE(),"not on Staff",SUMIFS(AC8:AC207,$BS8:$BS207,"&lt;="&amp;$B$3)))</f>
        <v/>
      </c>
      <c r="H5" s="30" t="str">
        <f aca="false">IF(H7="","",IF('Tally Helper'!$B$21&lt;&gt;TRUE(),"not on Staff",SUMIFS(AD8:AD207,$BS8:$BS207,"&lt;="&amp;$B$3)))</f>
        <v/>
      </c>
      <c r="I5" s="30" t="str">
        <f aca="false">IF(I7="","",IF('Tally Helper'!$B$24&lt;&gt;TRUE(),"not on Staff",SUMIFS(AE8:AE207,$BS8:$BS207,"&lt;="&amp;$B$3)))</f>
        <v/>
      </c>
      <c r="J5" s="30" t="str">
        <f aca="false">IF(J7="","",IF('Tally Helper'!$B$27&lt;&gt;TRUE(),"not on Staff",SUMIFS(AF8:AF207,$BS8:$BS207,"&lt;="&amp;$B$3)))</f>
        <v/>
      </c>
      <c r="K5" s="30" t="str">
        <f aca="false">IF(K7="","",IF('Tally Helper'!$B$30&lt;&gt;TRUE(),"not on Staff",SUMIFS(AG8:AG207,$BS8:$BS207,"&lt;="&amp;$B$3)))</f>
        <v/>
      </c>
      <c r="L5" s="30" t="str">
        <f aca="false">IF(L7="","",IF('Tally Helper'!$B$33&lt;&gt;TRUE(),"not on Staff",SUMIFS(AH8:AH207,$BS8:$BS207,"&lt;="&amp;$B$3)))</f>
        <v/>
      </c>
      <c r="M5" s="30" t="str">
        <f aca="false">IF(M7="","",IF('Tally Helper'!$B$36&lt;&gt;TRUE(),"not on Staff",SUMIFS(AI8:AI207,$BS8:$BS207,"&lt;="&amp;$B$3)))</f>
        <v/>
      </c>
      <c r="N5" s="30" t="str">
        <f aca="false">IF(N7="","",IF('Tally Helper'!$B$39&lt;&gt;TRUE(),"not on Staff",SUMIFS(AJ8:AJ207,$BS8:$BS207,"&lt;="&amp;$B$3)))</f>
        <v/>
      </c>
      <c r="O5" s="30" t="str">
        <f aca="false">IF(O7="","",IF('Tally Helper'!$B$42&lt;&gt;TRUE(),"not on Staff",SUMIFS(AK8:AK207,$BS8:$BS207,"&lt;="&amp;$B$3)))</f>
        <v/>
      </c>
      <c r="P5" s="30" t="str">
        <f aca="false">IF(P7="","",IF('Tally Helper'!$B$45&lt;&gt;TRUE(),"not on Staff",SUMIFS(AL8:AL207,$BS8:$BS207,"&lt;="&amp;$B$3)))</f>
        <v/>
      </c>
      <c r="Q5" s="30" t="str">
        <f aca="false">IF(Q7="","",IF('Tally Helper'!$B$48&lt;&gt;TRUE(),"not on Staff",SUMIFS(AM8:AM207,$BS8:$BS207,"&lt;="&amp;$B$3)))</f>
        <v/>
      </c>
      <c r="R5" s="30" t="str">
        <f aca="false">IF(R7="","",IF('Tally Helper'!$B$51&lt;&gt;TRUE(),"not on Staff",SUMIFS(AN8:AN207,$BS8:$BS207,"&lt;="&amp;$B$3)))</f>
        <v/>
      </c>
      <c r="S5" s="30" t="str">
        <f aca="false">IF(S7="","",IF('Tally Helper'!$B$54&lt;&gt;TRUE(),"not on Staff",SUMIFS(AO8:AO207,$BS8:$BS207,"&lt;="&amp;$B$3)))</f>
        <v/>
      </c>
      <c r="T5" s="30" t="str">
        <f aca="false">IF(T7="","",IF('Tally Helper'!$B$57&lt;&gt;TRUE(),"not on Staff",SUMIFS(AP8:AP207,$BS8:$BS207,"&lt;="&amp;$B$3)))</f>
        <v/>
      </c>
      <c r="U5" s="30" t="str">
        <f aca="false">IF(U7="","",IF('Tally Helper'!$B$60&lt;&gt;TRUE(),"not on Staff",SUMIFS(AQ8:AQ207,$BS8:$BS207,"&lt;="&amp;$B$3)))</f>
        <v/>
      </c>
    </row>
    <row r="6" customFormat="false" ht="15" hidden="false" customHeight="false" outlineLevel="0" collapsed="false">
      <c r="A6" s="5" t="s">
        <v>166</v>
      </c>
      <c r="B6" s="30" t="str">
        <f aca="false">IF(OR(B5="",NOT(ISNUMBER(B5))),"",B5-N(B4))</f>
        <v/>
      </c>
      <c r="C6" s="30" t="str">
        <f aca="false">IF(OR(C5="",NOT(ISNUMBER(C5))),"",C5-N(C4))</f>
        <v/>
      </c>
      <c r="D6" s="30" t="str">
        <f aca="false">IF(OR(D5="",NOT(ISNUMBER(D5))),"",D5-N(D4))</f>
        <v/>
      </c>
      <c r="E6" s="30" t="str">
        <f aca="false">IF(OR(E5="",NOT(ISNUMBER(E5))),"",E5-N(E4))</f>
        <v/>
      </c>
      <c r="F6" s="30" t="str">
        <f aca="false">IF(OR(F5="",NOT(ISNUMBER(F5))),"",F5-N(F4))</f>
        <v/>
      </c>
      <c r="G6" s="30" t="str">
        <f aca="false">IF(OR(G5="",NOT(ISNUMBER(G5))),"",G5-N(G4))</f>
        <v/>
      </c>
      <c r="H6" s="30" t="str">
        <f aca="false">IF(OR(H5="",NOT(ISNUMBER(H5))),"",H5-N(H4))</f>
        <v/>
      </c>
      <c r="I6" s="30" t="str">
        <f aca="false">IF(OR(I5="",NOT(ISNUMBER(I5))),"",I5-N(I4))</f>
        <v/>
      </c>
      <c r="J6" s="30" t="str">
        <f aca="false">IF(OR(J5="",NOT(ISNUMBER(J5))),"",J5-N(J4))</f>
        <v/>
      </c>
      <c r="K6" s="30" t="str">
        <f aca="false">IF(OR(K5="",NOT(ISNUMBER(K5))),"",K5-N(K4))</f>
        <v/>
      </c>
      <c r="L6" s="30" t="str">
        <f aca="false">IF(OR(L5="",NOT(ISNUMBER(L5))),"",L5-N(L4))</f>
        <v/>
      </c>
      <c r="M6" s="30" t="str">
        <f aca="false">IF(OR(M5="",NOT(ISNUMBER(M5))),"",M5-N(M4))</f>
        <v/>
      </c>
      <c r="N6" s="30" t="str">
        <f aca="false">IF(OR(N5="",NOT(ISNUMBER(N5))),"",N5-N(N4))</f>
        <v/>
      </c>
      <c r="O6" s="30" t="str">
        <f aca="false">IF(OR(O5="",NOT(ISNUMBER(O5))),"",O5-N(O4))</f>
        <v/>
      </c>
      <c r="P6" s="30" t="str">
        <f aca="false">IF(OR(P5="",NOT(ISNUMBER(P5))),"",P5-N(P4))</f>
        <v/>
      </c>
      <c r="Q6" s="30" t="str">
        <f aca="false">IF(OR(Q5="",NOT(ISNUMBER(Q5))),"",Q5-N(Q4))</f>
        <v/>
      </c>
      <c r="R6" s="30" t="str">
        <f aca="false">IF(OR(R5="",NOT(ISNUMBER(R5))),"",R5-N(R4))</f>
        <v/>
      </c>
      <c r="S6" s="30" t="str">
        <f aca="false">IF(OR(S5="",NOT(ISNUMBER(S5))),"",S5-N(S4))</f>
        <v/>
      </c>
      <c r="T6" s="30" t="str">
        <f aca="false">IF(OR(T5="",NOT(ISNUMBER(T5))),"",T5-N(T4))</f>
        <v/>
      </c>
      <c r="U6" s="30" t="str">
        <f aca="false">IF(OR(U5="",NOT(ISNUMBER(U5))),"",U5-N(U4))</f>
        <v/>
      </c>
    </row>
    <row r="7" customFormat="false" ht="15" hidden="false" customHeight="false" outlineLevel="0" collapsed="false">
      <c r="A7" s="31" t="s">
        <v>167</v>
      </c>
      <c r="B7" s="32"/>
      <c r="C7" s="32"/>
      <c r="D7" s="32"/>
      <c r="E7" s="32"/>
      <c r="F7" s="32"/>
      <c r="G7" s="32"/>
      <c r="H7" s="32"/>
      <c r="I7" s="32"/>
      <c r="J7" s="32"/>
      <c r="K7" s="32"/>
      <c r="L7" s="32"/>
      <c r="M7" s="32"/>
      <c r="N7" s="32"/>
      <c r="O7" s="32"/>
      <c r="P7" s="32"/>
      <c r="Q7" s="32"/>
      <c r="R7" s="32"/>
      <c r="S7" s="32"/>
      <c r="T7" s="32"/>
      <c r="U7" s="32"/>
      <c r="W7" s="5" t="s">
        <v>168</v>
      </c>
      <c r="X7" s="8" t="str">
        <f aca="false">IF(B7="","",B7)</f>
        <v/>
      </c>
      <c r="Y7" s="8" t="str">
        <f aca="false">IF(C7="","",C7)</f>
        <v/>
      </c>
      <c r="Z7" s="8" t="str">
        <f aca="false">IF(D7="","",D7)</f>
        <v/>
      </c>
      <c r="AA7" s="8" t="str">
        <f aca="false">IF(E7="","",E7)</f>
        <v/>
      </c>
      <c r="AB7" s="8" t="str">
        <f aca="false">IF(F7="","",F7)</f>
        <v/>
      </c>
      <c r="AC7" s="8" t="str">
        <f aca="false">IF(G7="","",G7)</f>
        <v/>
      </c>
      <c r="AD7" s="8" t="str">
        <f aca="false">IF(H7="","",H7)</f>
        <v/>
      </c>
      <c r="AE7" s="8" t="str">
        <f aca="false">IF(I7="","",I7)</f>
        <v/>
      </c>
      <c r="AF7" s="8" t="str">
        <f aca="false">IF(J7="","",J7)</f>
        <v/>
      </c>
      <c r="AG7" s="8" t="str">
        <f aca="false">IF(K7="","",K7)</f>
        <v/>
      </c>
      <c r="AH7" s="8" t="str">
        <f aca="false">IF(L7="","",L7)</f>
        <v/>
      </c>
      <c r="AI7" s="8" t="str">
        <f aca="false">IF(M7="","",M7)</f>
        <v/>
      </c>
      <c r="AJ7" s="8" t="str">
        <f aca="false">IF(N7="","",N7)</f>
        <v/>
      </c>
      <c r="AK7" s="8" t="str">
        <f aca="false">IF(O7="","",O7)</f>
        <v/>
      </c>
      <c r="AL7" s="8" t="str">
        <f aca="false">IF(P7="","",P7)</f>
        <v/>
      </c>
      <c r="AM7" s="8" t="str">
        <f aca="false">IF(Q7="","",Q7)</f>
        <v/>
      </c>
      <c r="AN7" s="8" t="str">
        <f aca="false">IF(R7="","",R7)</f>
        <v/>
      </c>
      <c r="AO7" s="8" t="str">
        <f aca="false">IF(S7="","",S7)</f>
        <v/>
      </c>
      <c r="AP7" s="8" t="str">
        <f aca="false">IF(T7="","",T7)</f>
        <v/>
      </c>
      <c r="AQ7" s="8" t="str">
        <f aca="false">IF(U7="","",U7)</f>
        <v/>
      </c>
      <c r="AS7" s="5" t="s">
        <v>169</v>
      </c>
      <c r="AT7" s="8" t="str">
        <f aca="false">IF(B7="","",B7)</f>
        <v/>
      </c>
      <c r="AU7" s="8" t="str">
        <f aca="false">IF(C7="","",C7)</f>
        <v/>
      </c>
      <c r="AV7" s="8" t="str">
        <f aca="false">IF(D7="","",D7)</f>
        <v/>
      </c>
      <c r="AW7" s="8" t="str">
        <f aca="false">IF(E7="","",E7)</f>
        <v/>
      </c>
      <c r="AX7" s="8" t="str">
        <f aca="false">IF(F7="","",F7)</f>
        <v/>
      </c>
      <c r="AY7" s="8" t="str">
        <f aca="false">IF(G7="","",G7)</f>
        <v/>
      </c>
      <c r="AZ7" s="8" t="str">
        <f aca="false">IF(H7="","",H7)</f>
        <v/>
      </c>
      <c r="BA7" s="8" t="str">
        <f aca="false">IF(I7="","",I7)</f>
        <v/>
      </c>
      <c r="BB7" s="8" t="str">
        <f aca="false">IF(J7="","",J7)</f>
        <v/>
      </c>
      <c r="BC7" s="8" t="str">
        <f aca="false">IF(K7="","",K7)</f>
        <v/>
      </c>
      <c r="BD7" s="8" t="str">
        <f aca="false">IF(L7="","",L7)</f>
        <v/>
      </c>
      <c r="BE7" s="8" t="str">
        <f aca="false">IF(M7="","",M7)</f>
        <v/>
      </c>
      <c r="BF7" s="8" t="str">
        <f aca="false">IF(N7="","",N7)</f>
        <v/>
      </c>
      <c r="BG7" s="8" t="str">
        <f aca="false">IF(O7="","",O7)</f>
        <v/>
      </c>
      <c r="BH7" s="8" t="str">
        <f aca="false">IF(P7="","",P7)</f>
        <v/>
      </c>
      <c r="BI7" s="8" t="str">
        <f aca="false">IF(Q7="","",Q7)</f>
        <v/>
      </c>
      <c r="BJ7" s="8" t="str">
        <f aca="false">IF(R7="","",R7)</f>
        <v/>
      </c>
      <c r="BK7" s="8" t="str">
        <f aca="false">IF(S7="","",S7)</f>
        <v/>
      </c>
      <c r="BL7" s="8" t="str">
        <f aca="false">IF(T7="","",T7)</f>
        <v/>
      </c>
      <c r="BM7" s="8" t="str">
        <f aca="false">IF(U7="","",U7)</f>
        <v/>
      </c>
      <c r="BR7" s="33" t="s">
        <v>170</v>
      </c>
      <c r="BS7" s="33" t="s">
        <v>171</v>
      </c>
    </row>
    <row r="8" customFormat="false" ht="15" hidden="false" customHeight="false" outlineLevel="0" collapsed="false">
      <c r="B8" s="21"/>
      <c r="C8" s="21"/>
      <c r="D8" s="21"/>
      <c r="E8" s="21"/>
      <c r="F8" s="21"/>
      <c r="G8" s="21"/>
      <c r="H8" s="21"/>
      <c r="I8" s="21"/>
      <c r="J8" s="21"/>
      <c r="K8" s="21"/>
      <c r="L8" s="21"/>
      <c r="M8" s="21"/>
      <c r="N8" s="21"/>
      <c r="O8" s="21"/>
      <c r="P8" s="21"/>
      <c r="Q8" s="21"/>
      <c r="R8" s="21"/>
      <c r="S8" s="21"/>
      <c r="T8" s="21"/>
      <c r="U8" s="21"/>
      <c r="X8" s="17" t="str">
        <f aca="false">IF(OR(B$7="",$BR8=""),"",IF('Tally Helper'!$B$3&lt;&gt;TRUE(),"not on Staff",SUMIFS('Tally Helper'!$L$5:$GI$5,'Tally Helper'!$L$3:$GI$3,"&gt;="&amp;$BR8,'Tally Helper'!$L$3:$GI$3,"&lt;="&amp;$BS8)))</f>
        <v/>
      </c>
      <c r="Y8" s="17" t="str">
        <f aca="false">IF(OR(C$7="",$BR8=""),"",IF('Tally Helper'!$B$6&lt;&gt;TRUE(),"not on Staff",SUMIFS('Tally Helper'!$L$8:$GI$8,'Tally Helper'!$L$6:$GI$6,"&gt;="&amp;$BR8,'Tally Helper'!$L$6:$GI$6,"&lt;="&amp;$BS8)))</f>
        <v/>
      </c>
      <c r="Z8" s="17" t="str">
        <f aca="false">IF(OR(D$7="",$BR8=""),"",IF('Tally Helper'!$B$9&lt;&gt;TRUE(),"not on Staff",SUMIFS('Tally Helper'!$L$11:$GI$11,'Tally Helper'!$L$9:$GI$9,"&gt;="&amp;$BR8,'Tally Helper'!$L$9:$GI$9,"&lt;="&amp;$BS8)))</f>
        <v/>
      </c>
      <c r="AA8" s="17" t="str">
        <f aca="false">IF(OR(E$7="",$BR8=""),"",IF('Tally Helper'!$B$12&lt;&gt;TRUE(),"not on Staff",SUMIFS('Tally Helper'!$L$14:$GI$14,'Tally Helper'!$L$12:$GI$12,"&gt;="&amp;$BR8,'Tally Helper'!$L$12:$GI$12,"&lt;="&amp;$BS8)))</f>
        <v/>
      </c>
      <c r="AB8" s="17" t="str">
        <f aca="false">IF(OR(F$7="",$BR8=""),"",IF('Tally Helper'!$B$15&lt;&gt;TRUE(),"not on Staff",SUMIFS('Tally Helper'!$L$17:$GI$17,'Tally Helper'!$L$15:$GI$15,"&gt;="&amp;$BR8,'Tally Helper'!$L$15:$GI$15,"&lt;="&amp;$BS8)))</f>
        <v/>
      </c>
      <c r="AC8" s="17" t="str">
        <f aca="false">IF(OR(G$7="",$BR8=""),"",IF('Tally Helper'!$B$18&lt;&gt;TRUE(),"not on Staff",SUMIFS('Tally Helper'!$L$20:$GI$20,'Tally Helper'!$L$18:$GI$18,"&gt;="&amp;$BR8,'Tally Helper'!$L$18:$GI$18,"&lt;="&amp;$BS8)))</f>
        <v/>
      </c>
      <c r="AD8" s="17" t="str">
        <f aca="false">IF(OR(H$7="",$BR8=""),"",IF('Tally Helper'!$B$21&lt;&gt;TRUE(),"not on Staff",SUMIFS('Tally Helper'!$L$23:$GI$23,'Tally Helper'!$L$21:$GI$21,"&gt;="&amp;$BR8,'Tally Helper'!$L$21:$GI$21,"&lt;="&amp;$BS8)))</f>
        <v/>
      </c>
      <c r="AE8" s="17" t="str">
        <f aca="false">IF(OR(I$7="",$BR8=""),"",IF('Tally Helper'!$B$24&lt;&gt;TRUE(),"not on Staff",SUMIFS('Tally Helper'!$L$26:$GI$26,'Tally Helper'!$L$24:$GI$24,"&gt;="&amp;$BR8,'Tally Helper'!$L$24:$GI$24,"&lt;="&amp;$BS8)))</f>
        <v/>
      </c>
      <c r="AF8" s="17" t="str">
        <f aca="false">IF(OR(J$7="",$BR8=""),"",IF('Tally Helper'!$B$27&lt;&gt;TRUE(),"not on Staff",SUMIFS('Tally Helper'!$L$29:$GI$29,'Tally Helper'!$L$27:$GI$27,"&gt;="&amp;$BR8,'Tally Helper'!$L$27:$GI$27,"&lt;="&amp;$BS8)))</f>
        <v/>
      </c>
      <c r="AG8" s="17" t="str">
        <f aca="false">IF(OR(K$7="",$BR8=""),"",IF('Tally Helper'!$B$30&lt;&gt;TRUE(),"not on Staff",SUMIFS('Tally Helper'!$L$32:$GI$32,'Tally Helper'!$L$30:$GI$30,"&gt;="&amp;$BR8,'Tally Helper'!$L$30:$GI$30,"&lt;="&amp;$BS8)))</f>
        <v/>
      </c>
      <c r="AH8" s="17" t="str">
        <f aca="false">IF(OR(L$7="",$BR8=""),"",IF('Tally Helper'!$B$33&lt;&gt;TRUE(),"not on Staff",SUMIFS('Tally Helper'!$L$35:$GI$35,'Tally Helper'!$L$33:$GI$33,"&gt;="&amp;$BR8,'Tally Helper'!$L$33:$GI$33,"&lt;="&amp;$BS8)))</f>
        <v/>
      </c>
      <c r="AI8" s="17" t="str">
        <f aca="false">IF(OR(M$7="",$BR8=""),"",IF('Tally Helper'!$B$36&lt;&gt;TRUE(),"not on Staff",SUMIFS('Tally Helper'!$L$38:$GI$38,'Tally Helper'!$L$36:$GI$36,"&gt;="&amp;$BR8,'Tally Helper'!$L$36:$GI$36,"&lt;="&amp;$BS8)))</f>
        <v/>
      </c>
      <c r="AJ8" s="17" t="str">
        <f aca="false">IF(OR(N$7="",$BR8=""),"",IF('Tally Helper'!$B$39&lt;&gt;TRUE(),"not on Staff",SUMIFS('Tally Helper'!$L$41:$GI$41,'Tally Helper'!$L$39:$GI$39,"&gt;="&amp;$BR8,'Tally Helper'!$L$39:$GI$39,"&lt;="&amp;$BS8)))</f>
        <v/>
      </c>
      <c r="AK8" s="17" t="str">
        <f aca="false">IF(OR(O$7="",$BR8=""),"",IF('Tally Helper'!$B$42&lt;&gt;TRUE(),"not on Staff",SUMIFS('Tally Helper'!$L$44:$GI$44,'Tally Helper'!$L$42:$GI$42,"&gt;="&amp;$BR8,'Tally Helper'!$L$42:$GI$42,"&lt;="&amp;$BS8)))</f>
        <v/>
      </c>
      <c r="AL8" s="17" t="str">
        <f aca="false">IF(OR(P$7="",$BR8=""),"",IF('Tally Helper'!$B$45&lt;&gt;TRUE(),"not on Staff",SUMIFS('Tally Helper'!$L$47:$GI$47,'Tally Helper'!$L$45:$GI$45,"&gt;="&amp;$BR8,'Tally Helper'!$L$45:$GI$45,"&lt;="&amp;$BS8)))</f>
        <v/>
      </c>
      <c r="AM8" s="17" t="str">
        <f aca="false">IF(OR(Q$7="",$BR8=""),"",IF('Tally Helper'!$B$48&lt;&gt;TRUE(),"not on Staff",SUMIFS('Tally Helper'!$L$50:$GI$50,'Tally Helper'!$L$48:$GI$48,"&gt;="&amp;$BR8,'Tally Helper'!$L$48:$GI$48,"&lt;="&amp;$BS8)))</f>
        <v/>
      </c>
      <c r="AN8" s="17" t="str">
        <f aca="false">IF(OR(R$7="",$BR8=""),"",IF('Tally Helper'!$B$51&lt;&gt;TRUE(),"not on Staff",SUMIFS('Tally Helper'!$L$53:$GI$53,'Tally Helper'!$L$51:$GI$51,"&gt;="&amp;$BR8,'Tally Helper'!$L$51:$GI$51,"&lt;="&amp;$BS8)))</f>
        <v/>
      </c>
      <c r="AO8" s="17" t="str">
        <f aca="false">IF(OR(S$7="",$BR8=""),"",IF('Tally Helper'!$B$54&lt;&gt;TRUE(),"not on Staff",SUMIFS('Tally Helper'!$L$56:$GI$56,'Tally Helper'!$L$54:$GI$54,"&gt;="&amp;$BR8,'Tally Helper'!$L$54:$GI$54,"&lt;="&amp;$BS8)))</f>
        <v/>
      </c>
      <c r="AP8" s="17" t="str">
        <f aca="false">IF(OR(T$7="",$BR8=""),"",IF('Tally Helper'!$B$57&lt;&gt;TRUE(),"not on Staff",SUMIFS('Tally Helper'!$L$59:$GI$59,'Tally Helper'!$L$57:$GI$57,"&gt;="&amp;$BR8,'Tally Helper'!$L$57:$GI$57,"&lt;="&amp;$BS8)))</f>
        <v/>
      </c>
      <c r="AQ8" s="17" t="str">
        <f aca="false">IF(OR(U$7="",$BR8=""),"",IF('Tally Helper'!$B$60&lt;&gt;TRUE(),"not on Staff",SUMIFS('Tally Helper'!$L$62:$GI$62,'Tally Helper'!$L$60:$GI$60,"&gt;="&amp;$BR8,'Tally Helper'!$L$60:$GI$60,"&lt;="&amp;$BS8)))</f>
        <v/>
      </c>
      <c r="AT8" s="17" t="str">
        <f aca="false">IF(OR(X8="",NOT(ISNUMBER(X8))),"",X8-N(B8))</f>
        <v/>
      </c>
      <c r="AU8" s="17" t="str">
        <f aca="false">IF(OR(Y8="",NOT(ISNUMBER(Y8))),"",Y8-N(C8))</f>
        <v/>
      </c>
      <c r="AV8" s="17" t="str">
        <f aca="false">IF(OR(Z8="",NOT(ISNUMBER(Z8))),"",Z8-N(D8))</f>
        <v/>
      </c>
      <c r="AW8" s="17" t="str">
        <f aca="false">IF(OR(AA8="",NOT(ISNUMBER(AA8))),"",AA8-N(E8))</f>
        <v/>
      </c>
      <c r="AX8" s="17" t="str">
        <f aca="false">IF(OR(AB8="",NOT(ISNUMBER(AB8))),"",AB8-N(F8))</f>
        <v/>
      </c>
      <c r="AY8" s="17" t="str">
        <f aca="false">IF(OR(AC8="",NOT(ISNUMBER(AC8))),"",AC8-N(G8))</f>
        <v/>
      </c>
      <c r="AZ8" s="17" t="str">
        <f aca="false">IF(OR(AD8="",NOT(ISNUMBER(AD8))),"",AD8-N(H8))</f>
        <v/>
      </c>
      <c r="BA8" s="17" t="str">
        <f aca="false">IF(OR(AE8="",NOT(ISNUMBER(AE8))),"",AE8-N(I8))</f>
        <v/>
      </c>
      <c r="BB8" s="17" t="str">
        <f aca="false">IF(OR(AF8="",NOT(ISNUMBER(AF8))),"",AF8-N(J8))</f>
        <v/>
      </c>
      <c r="BC8" s="17" t="str">
        <f aca="false">IF(OR(AG8="",NOT(ISNUMBER(AG8))),"",AG8-N(K8))</f>
        <v/>
      </c>
      <c r="BD8" s="17" t="str">
        <f aca="false">IF(OR(AH8="",NOT(ISNUMBER(AH8))),"",AH8-N(L8))</f>
        <v/>
      </c>
      <c r="BE8" s="17" t="str">
        <f aca="false">IF(OR(AI8="",NOT(ISNUMBER(AI8))),"",AI8-N(M8))</f>
        <v/>
      </c>
      <c r="BF8" s="17" t="str">
        <f aca="false">IF(OR(AJ8="",NOT(ISNUMBER(AJ8))),"",AJ8-N(N8))</f>
        <v/>
      </c>
      <c r="BG8" s="17" t="str">
        <f aca="false">IF(OR(AK8="",NOT(ISNUMBER(AK8))),"",AK8-N(O8))</f>
        <v/>
      </c>
      <c r="BH8" s="17" t="str">
        <f aca="false">IF(OR(AL8="",NOT(ISNUMBER(AL8))),"",AL8-N(P8))</f>
        <v/>
      </c>
      <c r="BI8" s="17" t="str">
        <f aca="false">IF(OR(AM8="",NOT(ISNUMBER(AM8))),"",AM8-N(Q8))</f>
        <v/>
      </c>
      <c r="BJ8" s="17" t="str">
        <f aca="false">IF(OR(AN8="",NOT(ISNUMBER(AN8))),"",AN8-N(R8))</f>
        <v/>
      </c>
      <c r="BK8" s="17" t="str">
        <f aca="false">IF(OR(AO8="",NOT(ISNUMBER(AO8))),"",AO8-N(S8))</f>
        <v/>
      </c>
      <c r="BL8" s="17" t="str">
        <f aca="false">IF(OR(AP8="",NOT(ISNUMBER(AP8))),"",AP8-N(T8))</f>
        <v/>
      </c>
      <c r="BM8" s="17" t="str">
        <f aca="false">IF(OR(AQ8="",NOT(ISNUMBER(AQ8))),"",AQ8-N(U8))</f>
        <v/>
      </c>
      <c r="BR8" s="20" t="str">
        <f aca="false">IF($A8="","",IF(ISNUMBER($A8),DATE(YEAR($A8),MONTH($A8),1),IFERROR(DATE(2000+VALUE(RIGHT(TRIM($A8),2)),MATCH(UPPER(LEFT(TRIM($A8),3)),{"JAN","FEB","MAR","APR","MAY","JUN","JUL","AUG","SEP","OCT","NOV","DEC"},0),1),"")))</f>
        <v/>
      </c>
      <c r="BS8" s="20" t="str">
        <f aca="false">IF(BR8="","",EOMONTH(BR8,0))</f>
        <v/>
      </c>
    </row>
    <row r="9" customFormat="false" ht="15" hidden="false" customHeight="false" outlineLevel="0" collapsed="false">
      <c r="B9" s="21"/>
      <c r="C9" s="21"/>
      <c r="D9" s="21"/>
      <c r="E9" s="21"/>
      <c r="F9" s="21"/>
      <c r="G9" s="21"/>
      <c r="H9" s="21"/>
      <c r="I9" s="21"/>
      <c r="J9" s="21"/>
      <c r="K9" s="21"/>
      <c r="L9" s="21"/>
      <c r="M9" s="21"/>
      <c r="N9" s="21"/>
      <c r="O9" s="21"/>
      <c r="P9" s="21"/>
      <c r="Q9" s="21"/>
      <c r="R9" s="21"/>
      <c r="S9" s="21"/>
      <c r="T9" s="21"/>
      <c r="U9" s="21"/>
      <c r="X9" s="17" t="str">
        <f aca="false">IF(OR(B$7="",$BR9=""),"",IF('Tally Helper'!$B$3&lt;&gt;TRUE(),"not on Staff",SUMIFS('Tally Helper'!$L$5:$GI$5,'Tally Helper'!$L$3:$GI$3,"&gt;="&amp;$BR9,'Tally Helper'!$L$3:$GI$3,"&lt;="&amp;$BS9)))</f>
        <v/>
      </c>
      <c r="Y9" s="17" t="str">
        <f aca="false">IF(OR(C$7="",$BR9=""),"",IF('Tally Helper'!$B$6&lt;&gt;TRUE(),"not on Staff",SUMIFS('Tally Helper'!$L$8:$GI$8,'Tally Helper'!$L$6:$GI$6,"&gt;="&amp;$BR9,'Tally Helper'!$L$6:$GI$6,"&lt;="&amp;$BS9)))</f>
        <v/>
      </c>
      <c r="Z9" s="17" t="str">
        <f aca="false">IF(OR(D$7="",$BR9=""),"",IF('Tally Helper'!$B$9&lt;&gt;TRUE(),"not on Staff",SUMIFS('Tally Helper'!$L$11:$GI$11,'Tally Helper'!$L$9:$GI$9,"&gt;="&amp;$BR9,'Tally Helper'!$L$9:$GI$9,"&lt;="&amp;$BS9)))</f>
        <v/>
      </c>
      <c r="AA9" s="17" t="str">
        <f aca="false">IF(OR(E$7="",$BR9=""),"",IF('Tally Helper'!$B$12&lt;&gt;TRUE(),"not on Staff",SUMIFS('Tally Helper'!$L$14:$GI$14,'Tally Helper'!$L$12:$GI$12,"&gt;="&amp;$BR9,'Tally Helper'!$L$12:$GI$12,"&lt;="&amp;$BS9)))</f>
        <v/>
      </c>
      <c r="AB9" s="17" t="str">
        <f aca="false">IF(OR(F$7="",$BR9=""),"",IF('Tally Helper'!$B$15&lt;&gt;TRUE(),"not on Staff",SUMIFS('Tally Helper'!$L$17:$GI$17,'Tally Helper'!$L$15:$GI$15,"&gt;="&amp;$BR9,'Tally Helper'!$L$15:$GI$15,"&lt;="&amp;$BS9)))</f>
        <v/>
      </c>
      <c r="AC9" s="17" t="str">
        <f aca="false">IF(OR(G$7="",$BR9=""),"",IF('Tally Helper'!$B$18&lt;&gt;TRUE(),"not on Staff",SUMIFS('Tally Helper'!$L$20:$GI$20,'Tally Helper'!$L$18:$GI$18,"&gt;="&amp;$BR9,'Tally Helper'!$L$18:$GI$18,"&lt;="&amp;$BS9)))</f>
        <v/>
      </c>
      <c r="AD9" s="17" t="str">
        <f aca="false">IF(OR(H$7="",$BR9=""),"",IF('Tally Helper'!$B$21&lt;&gt;TRUE(),"not on Staff",SUMIFS('Tally Helper'!$L$23:$GI$23,'Tally Helper'!$L$21:$GI$21,"&gt;="&amp;$BR9,'Tally Helper'!$L$21:$GI$21,"&lt;="&amp;$BS9)))</f>
        <v/>
      </c>
      <c r="AE9" s="17" t="str">
        <f aca="false">IF(OR(I$7="",$BR9=""),"",IF('Tally Helper'!$B$24&lt;&gt;TRUE(),"not on Staff",SUMIFS('Tally Helper'!$L$26:$GI$26,'Tally Helper'!$L$24:$GI$24,"&gt;="&amp;$BR9,'Tally Helper'!$L$24:$GI$24,"&lt;="&amp;$BS9)))</f>
        <v/>
      </c>
      <c r="AF9" s="17" t="str">
        <f aca="false">IF(OR(J$7="",$BR9=""),"",IF('Tally Helper'!$B$27&lt;&gt;TRUE(),"not on Staff",SUMIFS('Tally Helper'!$L$29:$GI$29,'Tally Helper'!$L$27:$GI$27,"&gt;="&amp;$BR9,'Tally Helper'!$L$27:$GI$27,"&lt;="&amp;$BS9)))</f>
        <v/>
      </c>
      <c r="AG9" s="17" t="str">
        <f aca="false">IF(OR(K$7="",$BR9=""),"",IF('Tally Helper'!$B$30&lt;&gt;TRUE(),"not on Staff",SUMIFS('Tally Helper'!$L$32:$GI$32,'Tally Helper'!$L$30:$GI$30,"&gt;="&amp;$BR9,'Tally Helper'!$L$30:$GI$30,"&lt;="&amp;$BS9)))</f>
        <v/>
      </c>
      <c r="AH9" s="17" t="str">
        <f aca="false">IF(OR(L$7="",$BR9=""),"",IF('Tally Helper'!$B$33&lt;&gt;TRUE(),"not on Staff",SUMIFS('Tally Helper'!$L$35:$GI$35,'Tally Helper'!$L$33:$GI$33,"&gt;="&amp;$BR9,'Tally Helper'!$L$33:$GI$33,"&lt;="&amp;$BS9)))</f>
        <v/>
      </c>
      <c r="AI9" s="17" t="str">
        <f aca="false">IF(OR(M$7="",$BR9=""),"",IF('Tally Helper'!$B$36&lt;&gt;TRUE(),"not on Staff",SUMIFS('Tally Helper'!$L$38:$GI$38,'Tally Helper'!$L$36:$GI$36,"&gt;="&amp;$BR9,'Tally Helper'!$L$36:$GI$36,"&lt;="&amp;$BS9)))</f>
        <v/>
      </c>
      <c r="AJ9" s="17" t="str">
        <f aca="false">IF(OR(N$7="",$BR9=""),"",IF('Tally Helper'!$B$39&lt;&gt;TRUE(),"not on Staff",SUMIFS('Tally Helper'!$L$41:$GI$41,'Tally Helper'!$L$39:$GI$39,"&gt;="&amp;$BR9,'Tally Helper'!$L$39:$GI$39,"&lt;="&amp;$BS9)))</f>
        <v/>
      </c>
      <c r="AK9" s="17" t="str">
        <f aca="false">IF(OR(O$7="",$BR9=""),"",IF('Tally Helper'!$B$42&lt;&gt;TRUE(),"not on Staff",SUMIFS('Tally Helper'!$L$44:$GI$44,'Tally Helper'!$L$42:$GI$42,"&gt;="&amp;$BR9,'Tally Helper'!$L$42:$GI$42,"&lt;="&amp;$BS9)))</f>
        <v/>
      </c>
      <c r="AL9" s="17" t="str">
        <f aca="false">IF(OR(P$7="",$BR9=""),"",IF('Tally Helper'!$B$45&lt;&gt;TRUE(),"not on Staff",SUMIFS('Tally Helper'!$L$47:$GI$47,'Tally Helper'!$L$45:$GI$45,"&gt;="&amp;$BR9,'Tally Helper'!$L$45:$GI$45,"&lt;="&amp;$BS9)))</f>
        <v/>
      </c>
      <c r="AM9" s="17" t="str">
        <f aca="false">IF(OR(Q$7="",$BR9=""),"",IF('Tally Helper'!$B$48&lt;&gt;TRUE(),"not on Staff",SUMIFS('Tally Helper'!$L$50:$GI$50,'Tally Helper'!$L$48:$GI$48,"&gt;="&amp;$BR9,'Tally Helper'!$L$48:$GI$48,"&lt;="&amp;$BS9)))</f>
        <v/>
      </c>
      <c r="AN9" s="17" t="str">
        <f aca="false">IF(OR(R$7="",$BR9=""),"",IF('Tally Helper'!$B$51&lt;&gt;TRUE(),"not on Staff",SUMIFS('Tally Helper'!$L$53:$GI$53,'Tally Helper'!$L$51:$GI$51,"&gt;="&amp;$BR9,'Tally Helper'!$L$51:$GI$51,"&lt;="&amp;$BS9)))</f>
        <v/>
      </c>
      <c r="AO9" s="17" t="str">
        <f aca="false">IF(OR(S$7="",$BR9=""),"",IF('Tally Helper'!$B$54&lt;&gt;TRUE(),"not on Staff",SUMIFS('Tally Helper'!$L$56:$GI$56,'Tally Helper'!$L$54:$GI$54,"&gt;="&amp;$BR9,'Tally Helper'!$L$54:$GI$54,"&lt;="&amp;$BS9)))</f>
        <v/>
      </c>
      <c r="AP9" s="17" t="str">
        <f aca="false">IF(OR(T$7="",$BR9=""),"",IF('Tally Helper'!$B$57&lt;&gt;TRUE(),"not on Staff",SUMIFS('Tally Helper'!$L$59:$GI$59,'Tally Helper'!$L$57:$GI$57,"&gt;="&amp;$BR9,'Tally Helper'!$L$57:$GI$57,"&lt;="&amp;$BS9)))</f>
        <v/>
      </c>
      <c r="AQ9" s="17" t="str">
        <f aca="false">IF(OR(U$7="",$BR9=""),"",IF('Tally Helper'!$B$60&lt;&gt;TRUE(),"not on Staff",SUMIFS('Tally Helper'!$L$62:$GI$62,'Tally Helper'!$L$60:$GI$60,"&gt;="&amp;$BR9,'Tally Helper'!$L$60:$GI$60,"&lt;="&amp;$BS9)))</f>
        <v/>
      </c>
      <c r="AT9" s="17" t="str">
        <f aca="false">IF(OR(X9="",NOT(ISNUMBER(X9))),"",X9-N(B9))</f>
        <v/>
      </c>
      <c r="AU9" s="17" t="str">
        <f aca="false">IF(OR(Y9="",NOT(ISNUMBER(Y9))),"",Y9-N(C9))</f>
        <v/>
      </c>
      <c r="AV9" s="17" t="str">
        <f aca="false">IF(OR(Z9="",NOT(ISNUMBER(Z9))),"",Z9-N(D9))</f>
        <v/>
      </c>
      <c r="AW9" s="17" t="str">
        <f aca="false">IF(OR(AA9="",NOT(ISNUMBER(AA9))),"",AA9-N(E9))</f>
        <v/>
      </c>
      <c r="AX9" s="17" t="str">
        <f aca="false">IF(OR(AB9="",NOT(ISNUMBER(AB9))),"",AB9-N(F9))</f>
        <v/>
      </c>
      <c r="AY9" s="17" t="str">
        <f aca="false">IF(OR(AC9="",NOT(ISNUMBER(AC9))),"",AC9-N(G9))</f>
        <v/>
      </c>
      <c r="AZ9" s="17" t="str">
        <f aca="false">IF(OR(AD9="",NOT(ISNUMBER(AD9))),"",AD9-N(H9))</f>
        <v/>
      </c>
      <c r="BA9" s="17" t="str">
        <f aca="false">IF(OR(AE9="",NOT(ISNUMBER(AE9))),"",AE9-N(I9))</f>
        <v/>
      </c>
      <c r="BB9" s="17" t="str">
        <f aca="false">IF(OR(AF9="",NOT(ISNUMBER(AF9))),"",AF9-N(J9))</f>
        <v/>
      </c>
      <c r="BC9" s="17" t="str">
        <f aca="false">IF(OR(AG9="",NOT(ISNUMBER(AG9))),"",AG9-N(K9))</f>
        <v/>
      </c>
      <c r="BD9" s="17" t="str">
        <f aca="false">IF(OR(AH9="",NOT(ISNUMBER(AH9))),"",AH9-N(L9))</f>
        <v/>
      </c>
      <c r="BE9" s="17" t="str">
        <f aca="false">IF(OR(AI9="",NOT(ISNUMBER(AI9))),"",AI9-N(M9))</f>
        <v/>
      </c>
      <c r="BF9" s="17" t="str">
        <f aca="false">IF(OR(AJ9="",NOT(ISNUMBER(AJ9))),"",AJ9-N(N9))</f>
        <v/>
      </c>
      <c r="BG9" s="17" t="str">
        <f aca="false">IF(OR(AK9="",NOT(ISNUMBER(AK9))),"",AK9-N(O9))</f>
        <v/>
      </c>
      <c r="BH9" s="17" t="str">
        <f aca="false">IF(OR(AL9="",NOT(ISNUMBER(AL9))),"",AL9-N(P9))</f>
        <v/>
      </c>
      <c r="BI9" s="17" t="str">
        <f aca="false">IF(OR(AM9="",NOT(ISNUMBER(AM9))),"",AM9-N(Q9))</f>
        <v/>
      </c>
      <c r="BJ9" s="17" t="str">
        <f aca="false">IF(OR(AN9="",NOT(ISNUMBER(AN9))),"",AN9-N(R9))</f>
        <v/>
      </c>
      <c r="BK9" s="17" t="str">
        <f aca="false">IF(OR(AO9="",NOT(ISNUMBER(AO9))),"",AO9-N(S9))</f>
        <v/>
      </c>
      <c r="BL9" s="17" t="str">
        <f aca="false">IF(OR(AP9="",NOT(ISNUMBER(AP9))),"",AP9-N(T9))</f>
        <v/>
      </c>
      <c r="BM9" s="17" t="str">
        <f aca="false">IF(OR(AQ9="",NOT(ISNUMBER(AQ9))),"",AQ9-N(U9))</f>
        <v/>
      </c>
      <c r="BR9" s="20" t="str">
        <f aca="false">IF($A9="","",IF(ISNUMBER($A9),DATE(YEAR($A9),MONTH($A9),1),IFERROR(DATE(2000+VALUE(RIGHT(TRIM($A9),2)),MATCH(UPPER(LEFT(TRIM($A9),3)),{"JAN","FEB","MAR","APR","MAY","JUN","JUL","AUG","SEP","OCT","NOV","DEC"},0),1),"")))</f>
        <v/>
      </c>
      <c r="BS9" s="20" t="str">
        <f aca="false">IF(BR9="","",EOMONTH(BR9,0))</f>
        <v/>
      </c>
    </row>
    <row r="10" customFormat="false" ht="15" hidden="false" customHeight="false" outlineLevel="0" collapsed="false">
      <c r="B10" s="21"/>
      <c r="C10" s="21"/>
      <c r="D10" s="21"/>
      <c r="E10" s="21"/>
      <c r="F10" s="21"/>
      <c r="G10" s="21"/>
      <c r="H10" s="21"/>
      <c r="I10" s="21"/>
      <c r="J10" s="21"/>
      <c r="K10" s="21"/>
      <c r="L10" s="21"/>
      <c r="M10" s="21"/>
      <c r="N10" s="21"/>
      <c r="O10" s="21"/>
      <c r="P10" s="21"/>
      <c r="Q10" s="21"/>
      <c r="R10" s="21"/>
      <c r="S10" s="21"/>
      <c r="T10" s="21"/>
      <c r="U10" s="21"/>
      <c r="X10" s="17" t="str">
        <f aca="false">IF(OR(B$7="",$BR10=""),"",IF('Tally Helper'!$B$3&lt;&gt;TRUE(),"not on Staff",SUMIFS('Tally Helper'!$L$5:$GI$5,'Tally Helper'!$L$3:$GI$3,"&gt;="&amp;$BR10,'Tally Helper'!$L$3:$GI$3,"&lt;="&amp;$BS10)))</f>
        <v/>
      </c>
      <c r="Y10" s="17" t="str">
        <f aca="false">IF(OR(C$7="",$BR10=""),"",IF('Tally Helper'!$B$6&lt;&gt;TRUE(),"not on Staff",SUMIFS('Tally Helper'!$L$8:$GI$8,'Tally Helper'!$L$6:$GI$6,"&gt;="&amp;$BR10,'Tally Helper'!$L$6:$GI$6,"&lt;="&amp;$BS10)))</f>
        <v/>
      </c>
      <c r="Z10" s="17" t="str">
        <f aca="false">IF(OR(D$7="",$BR10=""),"",IF('Tally Helper'!$B$9&lt;&gt;TRUE(),"not on Staff",SUMIFS('Tally Helper'!$L$11:$GI$11,'Tally Helper'!$L$9:$GI$9,"&gt;="&amp;$BR10,'Tally Helper'!$L$9:$GI$9,"&lt;="&amp;$BS10)))</f>
        <v/>
      </c>
      <c r="AA10" s="17" t="str">
        <f aca="false">IF(OR(E$7="",$BR10=""),"",IF('Tally Helper'!$B$12&lt;&gt;TRUE(),"not on Staff",SUMIFS('Tally Helper'!$L$14:$GI$14,'Tally Helper'!$L$12:$GI$12,"&gt;="&amp;$BR10,'Tally Helper'!$L$12:$GI$12,"&lt;="&amp;$BS10)))</f>
        <v/>
      </c>
      <c r="AB10" s="17" t="str">
        <f aca="false">IF(OR(F$7="",$BR10=""),"",IF('Tally Helper'!$B$15&lt;&gt;TRUE(),"not on Staff",SUMIFS('Tally Helper'!$L$17:$GI$17,'Tally Helper'!$L$15:$GI$15,"&gt;="&amp;$BR10,'Tally Helper'!$L$15:$GI$15,"&lt;="&amp;$BS10)))</f>
        <v/>
      </c>
      <c r="AC10" s="17" t="str">
        <f aca="false">IF(OR(G$7="",$BR10=""),"",IF('Tally Helper'!$B$18&lt;&gt;TRUE(),"not on Staff",SUMIFS('Tally Helper'!$L$20:$GI$20,'Tally Helper'!$L$18:$GI$18,"&gt;="&amp;$BR10,'Tally Helper'!$L$18:$GI$18,"&lt;="&amp;$BS10)))</f>
        <v/>
      </c>
      <c r="AD10" s="17" t="str">
        <f aca="false">IF(OR(H$7="",$BR10=""),"",IF('Tally Helper'!$B$21&lt;&gt;TRUE(),"not on Staff",SUMIFS('Tally Helper'!$L$23:$GI$23,'Tally Helper'!$L$21:$GI$21,"&gt;="&amp;$BR10,'Tally Helper'!$L$21:$GI$21,"&lt;="&amp;$BS10)))</f>
        <v/>
      </c>
      <c r="AE10" s="17" t="str">
        <f aca="false">IF(OR(I$7="",$BR10=""),"",IF('Tally Helper'!$B$24&lt;&gt;TRUE(),"not on Staff",SUMIFS('Tally Helper'!$L$26:$GI$26,'Tally Helper'!$L$24:$GI$24,"&gt;="&amp;$BR10,'Tally Helper'!$L$24:$GI$24,"&lt;="&amp;$BS10)))</f>
        <v/>
      </c>
      <c r="AF10" s="17" t="str">
        <f aca="false">IF(OR(J$7="",$BR10=""),"",IF('Tally Helper'!$B$27&lt;&gt;TRUE(),"not on Staff",SUMIFS('Tally Helper'!$L$29:$GI$29,'Tally Helper'!$L$27:$GI$27,"&gt;="&amp;$BR10,'Tally Helper'!$L$27:$GI$27,"&lt;="&amp;$BS10)))</f>
        <v/>
      </c>
      <c r="AG10" s="17" t="str">
        <f aca="false">IF(OR(K$7="",$BR10=""),"",IF('Tally Helper'!$B$30&lt;&gt;TRUE(),"not on Staff",SUMIFS('Tally Helper'!$L$32:$GI$32,'Tally Helper'!$L$30:$GI$30,"&gt;="&amp;$BR10,'Tally Helper'!$L$30:$GI$30,"&lt;="&amp;$BS10)))</f>
        <v/>
      </c>
      <c r="AH10" s="17" t="str">
        <f aca="false">IF(OR(L$7="",$BR10=""),"",IF('Tally Helper'!$B$33&lt;&gt;TRUE(),"not on Staff",SUMIFS('Tally Helper'!$L$35:$GI$35,'Tally Helper'!$L$33:$GI$33,"&gt;="&amp;$BR10,'Tally Helper'!$L$33:$GI$33,"&lt;="&amp;$BS10)))</f>
        <v/>
      </c>
      <c r="AI10" s="17" t="str">
        <f aca="false">IF(OR(M$7="",$BR10=""),"",IF('Tally Helper'!$B$36&lt;&gt;TRUE(),"not on Staff",SUMIFS('Tally Helper'!$L$38:$GI$38,'Tally Helper'!$L$36:$GI$36,"&gt;="&amp;$BR10,'Tally Helper'!$L$36:$GI$36,"&lt;="&amp;$BS10)))</f>
        <v/>
      </c>
      <c r="AJ10" s="17" t="str">
        <f aca="false">IF(OR(N$7="",$BR10=""),"",IF('Tally Helper'!$B$39&lt;&gt;TRUE(),"not on Staff",SUMIFS('Tally Helper'!$L$41:$GI$41,'Tally Helper'!$L$39:$GI$39,"&gt;="&amp;$BR10,'Tally Helper'!$L$39:$GI$39,"&lt;="&amp;$BS10)))</f>
        <v/>
      </c>
      <c r="AK10" s="17" t="str">
        <f aca="false">IF(OR(O$7="",$BR10=""),"",IF('Tally Helper'!$B$42&lt;&gt;TRUE(),"not on Staff",SUMIFS('Tally Helper'!$L$44:$GI$44,'Tally Helper'!$L$42:$GI$42,"&gt;="&amp;$BR10,'Tally Helper'!$L$42:$GI$42,"&lt;="&amp;$BS10)))</f>
        <v/>
      </c>
      <c r="AL10" s="17" t="str">
        <f aca="false">IF(OR(P$7="",$BR10=""),"",IF('Tally Helper'!$B$45&lt;&gt;TRUE(),"not on Staff",SUMIFS('Tally Helper'!$L$47:$GI$47,'Tally Helper'!$L$45:$GI$45,"&gt;="&amp;$BR10,'Tally Helper'!$L$45:$GI$45,"&lt;="&amp;$BS10)))</f>
        <v/>
      </c>
      <c r="AM10" s="17" t="str">
        <f aca="false">IF(OR(Q$7="",$BR10=""),"",IF('Tally Helper'!$B$48&lt;&gt;TRUE(),"not on Staff",SUMIFS('Tally Helper'!$L$50:$GI$50,'Tally Helper'!$L$48:$GI$48,"&gt;="&amp;$BR10,'Tally Helper'!$L$48:$GI$48,"&lt;="&amp;$BS10)))</f>
        <v/>
      </c>
      <c r="AN10" s="17" t="str">
        <f aca="false">IF(OR(R$7="",$BR10=""),"",IF('Tally Helper'!$B$51&lt;&gt;TRUE(),"not on Staff",SUMIFS('Tally Helper'!$L$53:$GI$53,'Tally Helper'!$L$51:$GI$51,"&gt;="&amp;$BR10,'Tally Helper'!$L$51:$GI$51,"&lt;="&amp;$BS10)))</f>
        <v/>
      </c>
      <c r="AO10" s="17" t="str">
        <f aca="false">IF(OR(S$7="",$BR10=""),"",IF('Tally Helper'!$B$54&lt;&gt;TRUE(),"not on Staff",SUMIFS('Tally Helper'!$L$56:$GI$56,'Tally Helper'!$L$54:$GI$54,"&gt;="&amp;$BR10,'Tally Helper'!$L$54:$GI$54,"&lt;="&amp;$BS10)))</f>
        <v/>
      </c>
      <c r="AP10" s="17" t="str">
        <f aca="false">IF(OR(T$7="",$BR10=""),"",IF('Tally Helper'!$B$57&lt;&gt;TRUE(),"not on Staff",SUMIFS('Tally Helper'!$L$59:$GI$59,'Tally Helper'!$L$57:$GI$57,"&gt;="&amp;$BR10,'Tally Helper'!$L$57:$GI$57,"&lt;="&amp;$BS10)))</f>
        <v/>
      </c>
      <c r="AQ10" s="17" t="str">
        <f aca="false">IF(OR(U$7="",$BR10=""),"",IF('Tally Helper'!$B$60&lt;&gt;TRUE(),"not on Staff",SUMIFS('Tally Helper'!$L$62:$GI$62,'Tally Helper'!$L$60:$GI$60,"&gt;="&amp;$BR10,'Tally Helper'!$L$60:$GI$60,"&lt;="&amp;$BS10)))</f>
        <v/>
      </c>
      <c r="AT10" s="17" t="str">
        <f aca="false">IF(OR(X10="",NOT(ISNUMBER(X10))),"",X10-N(B10))</f>
        <v/>
      </c>
      <c r="AU10" s="17" t="str">
        <f aca="false">IF(OR(Y10="",NOT(ISNUMBER(Y10))),"",Y10-N(C10))</f>
        <v/>
      </c>
      <c r="AV10" s="17" t="str">
        <f aca="false">IF(OR(Z10="",NOT(ISNUMBER(Z10))),"",Z10-N(D10))</f>
        <v/>
      </c>
      <c r="AW10" s="17" t="str">
        <f aca="false">IF(OR(AA10="",NOT(ISNUMBER(AA10))),"",AA10-N(E10))</f>
        <v/>
      </c>
      <c r="AX10" s="17" t="str">
        <f aca="false">IF(OR(AB10="",NOT(ISNUMBER(AB10))),"",AB10-N(F10))</f>
        <v/>
      </c>
      <c r="AY10" s="17" t="str">
        <f aca="false">IF(OR(AC10="",NOT(ISNUMBER(AC10))),"",AC10-N(G10))</f>
        <v/>
      </c>
      <c r="AZ10" s="17" t="str">
        <f aca="false">IF(OR(AD10="",NOT(ISNUMBER(AD10))),"",AD10-N(H10))</f>
        <v/>
      </c>
      <c r="BA10" s="17" t="str">
        <f aca="false">IF(OR(AE10="",NOT(ISNUMBER(AE10))),"",AE10-N(I10))</f>
        <v/>
      </c>
      <c r="BB10" s="17" t="str">
        <f aca="false">IF(OR(AF10="",NOT(ISNUMBER(AF10))),"",AF10-N(J10))</f>
        <v/>
      </c>
      <c r="BC10" s="17" t="str">
        <f aca="false">IF(OR(AG10="",NOT(ISNUMBER(AG10))),"",AG10-N(K10))</f>
        <v/>
      </c>
      <c r="BD10" s="17" t="str">
        <f aca="false">IF(OR(AH10="",NOT(ISNUMBER(AH10))),"",AH10-N(L10))</f>
        <v/>
      </c>
      <c r="BE10" s="17" t="str">
        <f aca="false">IF(OR(AI10="",NOT(ISNUMBER(AI10))),"",AI10-N(M10))</f>
        <v/>
      </c>
      <c r="BF10" s="17" t="str">
        <f aca="false">IF(OR(AJ10="",NOT(ISNUMBER(AJ10))),"",AJ10-N(N10))</f>
        <v/>
      </c>
      <c r="BG10" s="17" t="str">
        <f aca="false">IF(OR(AK10="",NOT(ISNUMBER(AK10))),"",AK10-N(O10))</f>
        <v/>
      </c>
      <c r="BH10" s="17" t="str">
        <f aca="false">IF(OR(AL10="",NOT(ISNUMBER(AL10))),"",AL10-N(P10))</f>
        <v/>
      </c>
      <c r="BI10" s="17" t="str">
        <f aca="false">IF(OR(AM10="",NOT(ISNUMBER(AM10))),"",AM10-N(Q10))</f>
        <v/>
      </c>
      <c r="BJ10" s="17" t="str">
        <f aca="false">IF(OR(AN10="",NOT(ISNUMBER(AN10))),"",AN10-N(R10))</f>
        <v/>
      </c>
      <c r="BK10" s="17" t="str">
        <f aca="false">IF(OR(AO10="",NOT(ISNUMBER(AO10))),"",AO10-N(S10))</f>
        <v/>
      </c>
      <c r="BL10" s="17" t="str">
        <f aca="false">IF(OR(AP10="",NOT(ISNUMBER(AP10))),"",AP10-N(T10))</f>
        <v/>
      </c>
      <c r="BM10" s="17" t="str">
        <f aca="false">IF(OR(AQ10="",NOT(ISNUMBER(AQ10))),"",AQ10-N(U10))</f>
        <v/>
      </c>
      <c r="BR10" s="20" t="str">
        <f aca="false">IF($A10="","",IF(ISNUMBER($A10),DATE(YEAR($A10),MONTH($A10),1),IFERROR(DATE(2000+VALUE(RIGHT(TRIM($A10),2)),MATCH(UPPER(LEFT(TRIM($A10),3)),{"JAN","FEB","MAR","APR","MAY","JUN","JUL","AUG","SEP","OCT","NOV","DEC"},0),1),"")))</f>
        <v/>
      </c>
      <c r="BS10" s="20" t="str">
        <f aca="false">IF(BR10="","",EOMONTH(BR10,0))</f>
        <v/>
      </c>
    </row>
    <row r="11" customFormat="false" ht="15" hidden="false" customHeight="false" outlineLevel="0" collapsed="false">
      <c r="B11" s="21"/>
      <c r="C11" s="21"/>
      <c r="D11" s="21"/>
      <c r="E11" s="21"/>
      <c r="F11" s="21"/>
      <c r="G11" s="21"/>
      <c r="H11" s="21"/>
      <c r="I11" s="21"/>
      <c r="J11" s="21"/>
      <c r="K11" s="21"/>
      <c r="L11" s="21"/>
      <c r="M11" s="21"/>
      <c r="N11" s="21"/>
      <c r="O11" s="21"/>
      <c r="P11" s="21"/>
      <c r="Q11" s="21"/>
      <c r="R11" s="21"/>
      <c r="S11" s="21"/>
      <c r="T11" s="21"/>
      <c r="U11" s="21"/>
      <c r="X11" s="17" t="str">
        <f aca="false">IF(OR(B$7="",$BR11=""),"",IF('Tally Helper'!$B$3&lt;&gt;TRUE(),"not on Staff",SUMIFS('Tally Helper'!$L$5:$GI$5,'Tally Helper'!$L$3:$GI$3,"&gt;="&amp;$BR11,'Tally Helper'!$L$3:$GI$3,"&lt;="&amp;$BS11)))</f>
        <v/>
      </c>
      <c r="Y11" s="17" t="str">
        <f aca="false">IF(OR(C$7="",$BR11=""),"",IF('Tally Helper'!$B$6&lt;&gt;TRUE(),"not on Staff",SUMIFS('Tally Helper'!$L$8:$GI$8,'Tally Helper'!$L$6:$GI$6,"&gt;="&amp;$BR11,'Tally Helper'!$L$6:$GI$6,"&lt;="&amp;$BS11)))</f>
        <v/>
      </c>
      <c r="Z11" s="17" t="str">
        <f aca="false">IF(OR(D$7="",$BR11=""),"",IF('Tally Helper'!$B$9&lt;&gt;TRUE(),"not on Staff",SUMIFS('Tally Helper'!$L$11:$GI$11,'Tally Helper'!$L$9:$GI$9,"&gt;="&amp;$BR11,'Tally Helper'!$L$9:$GI$9,"&lt;="&amp;$BS11)))</f>
        <v/>
      </c>
      <c r="AA11" s="17" t="str">
        <f aca="false">IF(OR(E$7="",$BR11=""),"",IF('Tally Helper'!$B$12&lt;&gt;TRUE(),"not on Staff",SUMIFS('Tally Helper'!$L$14:$GI$14,'Tally Helper'!$L$12:$GI$12,"&gt;="&amp;$BR11,'Tally Helper'!$L$12:$GI$12,"&lt;="&amp;$BS11)))</f>
        <v/>
      </c>
      <c r="AB11" s="17" t="str">
        <f aca="false">IF(OR(F$7="",$BR11=""),"",IF('Tally Helper'!$B$15&lt;&gt;TRUE(),"not on Staff",SUMIFS('Tally Helper'!$L$17:$GI$17,'Tally Helper'!$L$15:$GI$15,"&gt;="&amp;$BR11,'Tally Helper'!$L$15:$GI$15,"&lt;="&amp;$BS11)))</f>
        <v/>
      </c>
      <c r="AC11" s="17" t="str">
        <f aca="false">IF(OR(G$7="",$BR11=""),"",IF('Tally Helper'!$B$18&lt;&gt;TRUE(),"not on Staff",SUMIFS('Tally Helper'!$L$20:$GI$20,'Tally Helper'!$L$18:$GI$18,"&gt;="&amp;$BR11,'Tally Helper'!$L$18:$GI$18,"&lt;="&amp;$BS11)))</f>
        <v/>
      </c>
      <c r="AD11" s="17" t="str">
        <f aca="false">IF(OR(H$7="",$BR11=""),"",IF('Tally Helper'!$B$21&lt;&gt;TRUE(),"not on Staff",SUMIFS('Tally Helper'!$L$23:$GI$23,'Tally Helper'!$L$21:$GI$21,"&gt;="&amp;$BR11,'Tally Helper'!$L$21:$GI$21,"&lt;="&amp;$BS11)))</f>
        <v/>
      </c>
      <c r="AE11" s="17" t="str">
        <f aca="false">IF(OR(I$7="",$BR11=""),"",IF('Tally Helper'!$B$24&lt;&gt;TRUE(),"not on Staff",SUMIFS('Tally Helper'!$L$26:$GI$26,'Tally Helper'!$L$24:$GI$24,"&gt;="&amp;$BR11,'Tally Helper'!$L$24:$GI$24,"&lt;="&amp;$BS11)))</f>
        <v/>
      </c>
      <c r="AF11" s="17" t="str">
        <f aca="false">IF(OR(J$7="",$BR11=""),"",IF('Tally Helper'!$B$27&lt;&gt;TRUE(),"not on Staff",SUMIFS('Tally Helper'!$L$29:$GI$29,'Tally Helper'!$L$27:$GI$27,"&gt;="&amp;$BR11,'Tally Helper'!$L$27:$GI$27,"&lt;="&amp;$BS11)))</f>
        <v/>
      </c>
      <c r="AG11" s="17" t="str">
        <f aca="false">IF(OR(K$7="",$BR11=""),"",IF('Tally Helper'!$B$30&lt;&gt;TRUE(),"not on Staff",SUMIFS('Tally Helper'!$L$32:$GI$32,'Tally Helper'!$L$30:$GI$30,"&gt;="&amp;$BR11,'Tally Helper'!$L$30:$GI$30,"&lt;="&amp;$BS11)))</f>
        <v/>
      </c>
      <c r="AH11" s="17" t="str">
        <f aca="false">IF(OR(L$7="",$BR11=""),"",IF('Tally Helper'!$B$33&lt;&gt;TRUE(),"not on Staff",SUMIFS('Tally Helper'!$L$35:$GI$35,'Tally Helper'!$L$33:$GI$33,"&gt;="&amp;$BR11,'Tally Helper'!$L$33:$GI$33,"&lt;="&amp;$BS11)))</f>
        <v/>
      </c>
      <c r="AI11" s="17" t="str">
        <f aca="false">IF(OR(M$7="",$BR11=""),"",IF('Tally Helper'!$B$36&lt;&gt;TRUE(),"not on Staff",SUMIFS('Tally Helper'!$L$38:$GI$38,'Tally Helper'!$L$36:$GI$36,"&gt;="&amp;$BR11,'Tally Helper'!$L$36:$GI$36,"&lt;="&amp;$BS11)))</f>
        <v/>
      </c>
      <c r="AJ11" s="17" t="str">
        <f aca="false">IF(OR(N$7="",$BR11=""),"",IF('Tally Helper'!$B$39&lt;&gt;TRUE(),"not on Staff",SUMIFS('Tally Helper'!$L$41:$GI$41,'Tally Helper'!$L$39:$GI$39,"&gt;="&amp;$BR11,'Tally Helper'!$L$39:$GI$39,"&lt;="&amp;$BS11)))</f>
        <v/>
      </c>
      <c r="AK11" s="17" t="str">
        <f aca="false">IF(OR(O$7="",$BR11=""),"",IF('Tally Helper'!$B$42&lt;&gt;TRUE(),"not on Staff",SUMIFS('Tally Helper'!$L$44:$GI$44,'Tally Helper'!$L$42:$GI$42,"&gt;="&amp;$BR11,'Tally Helper'!$L$42:$GI$42,"&lt;="&amp;$BS11)))</f>
        <v/>
      </c>
      <c r="AL11" s="17" t="str">
        <f aca="false">IF(OR(P$7="",$BR11=""),"",IF('Tally Helper'!$B$45&lt;&gt;TRUE(),"not on Staff",SUMIFS('Tally Helper'!$L$47:$GI$47,'Tally Helper'!$L$45:$GI$45,"&gt;="&amp;$BR11,'Tally Helper'!$L$45:$GI$45,"&lt;="&amp;$BS11)))</f>
        <v/>
      </c>
      <c r="AM11" s="17" t="str">
        <f aca="false">IF(OR(Q$7="",$BR11=""),"",IF('Tally Helper'!$B$48&lt;&gt;TRUE(),"not on Staff",SUMIFS('Tally Helper'!$L$50:$GI$50,'Tally Helper'!$L$48:$GI$48,"&gt;="&amp;$BR11,'Tally Helper'!$L$48:$GI$48,"&lt;="&amp;$BS11)))</f>
        <v/>
      </c>
      <c r="AN11" s="17" t="str">
        <f aca="false">IF(OR(R$7="",$BR11=""),"",IF('Tally Helper'!$B$51&lt;&gt;TRUE(),"not on Staff",SUMIFS('Tally Helper'!$L$53:$GI$53,'Tally Helper'!$L$51:$GI$51,"&gt;="&amp;$BR11,'Tally Helper'!$L$51:$GI$51,"&lt;="&amp;$BS11)))</f>
        <v/>
      </c>
      <c r="AO11" s="17" t="str">
        <f aca="false">IF(OR(S$7="",$BR11=""),"",IF('Tally Helper'!$B$54&lt;&gt;TRUE(),"not on Staff",SUMIFS('Tally Helper'!$L$56:$GI$56,'Tally Helper'!$L$54:$GI$54,"&gt;="&amp;$BR11,'Tally Helper'!$L$54:$GI$54,"&lt;="&amp;$BS11)))</f>
        <v/>
      </c>
      <c r="AP11" s="17" t="str">
        <f aca="false">IF(OR(T$7="",$BR11=""),"",IF('Tally Helper'!$B$57&lt;&gt;TRUE(),"not on Staff",SUMIFS('Tally Helper'!$L$59:$GI$59,'Tally Helper'!$L$57:$GI$57,"&gt;="&amp;$BR11,'Tally Helper'!$L$57:$GI$57,"&lt;="&amp;$BS11)))</f>
        <v/>
      </c>
      <c r="AQ11" s="17" t="str">
        <f aca="false">IF(OR(U$7="",$BR11=""),"",IF('Tally Helper'!$B$60&lt;&gt;TRUE(),"not on Staff",SUMIFS('Tally Helper'!$L$62:$GI$62,'Tally Helper'!$L$60:$GI$60,"&gt;="&amp;$BR11,'Tally Helper'!$L$60:$GI$60,"&lt;="&amp;$BS11)))</f>
        <v/>
      </c>
      <c r="AT11" s="17" t="str">
        <f aca="false">IF(OR(X11="",NOT(ISNUMBER(X11))),"",X11-N(B11))</f>
        <v/>
      </c>
      <c r="AU11" s="17" t="str">
        <f aca="false">IF(OR(Y11="",NOT(ISNUMBER(Y11))),"",Y11-N(C11))</f>
        <v/>
      </c>
      <c r="AV11" s="17" t="str">
        <f aca="false">IF(OR(Z11="",NOT(ISNUMBER(Z11))),"",Z11-N(D11))</f>
        <v/>
      </c>
      <c r="AW11" s="17" t="str">
        <f aca="false">IF(OR(AA11="",NOT(ISNUMBER(AA11))),"",AA11-N(E11))</f>
        <v/>
      </c>
      <c r="AX11" s="17" t="str">
        <f aca="false">IF(OR(AB11="",NOT(ISNUMBER(AB11))),"",AB11-N(F11))</f>
        <v/>
      </c>
      <c r="AY11" s="17" t="str">
        <f aca="false">IF(OR(AC11="",NOT(ISNUMBER(AC11))),"",AC11-N(G11))</f>
        <v/>
      </c>
      <c r="AZ11" s="17" t="str">
        <f aca="false">IF(OR(AD11="",NOT(ISNUMBER(AD11))),"",AD11-N(H11))</f>
        <v/>
      </c>
      <c r="BA11" s="17" t="str">
        <f aca="false">IF(OR(AE11="",NOT(ISNUMBER(AE11))),"",AE11-N(I11))</f>
        <v/>
      </c>
      <c r="BB11" s="17" t="str">
        <f aca="false">IF(OR(AF11="",NOT(ISNUMBER(AF11))),"",AF11-N(J11))</f>
        <v/>
      </c>
      <c r="BC11" s="17" t="str">
        <f aca="false">IF(OR(AG11="",NOT(ISNUMBER(AG11))),"",AG11-N(K11))</f>
        <v/>
      </c>
      <c r="BD11" s="17" t="str">
        <f aca="false">IF(OR(AH11="",NOT(ISNUMBER(AH11))),"",AH11-N(L11))</f>
        <v/>
      </c>
      <c r="BE11" s="17" t="str">
        <f aca="false">IF(OR(AI11="",NOT(ISNUMBER(AI11))),"",AI11-N(M11))</f>
        <v/>
      </c>
      <c r="BF11" s="17" t="str">
        <f aca="false">IF(OR(AJ11="",NOT(ISNUMBER(AJ11))),"",AJ11-N(N11))</f>
        <v/>
      </c>
      <c r="BG11" s="17" t="str">
        <f aca="false">IF(OR(AK11="",NOT(ISNUMBER(AK11))),"",AK11-N(O11))</f>
        <v/>
      </c>
      <c r="BH11" s="17" t="str">
        <f aca="false">IF(OR(AL11="",NOT(ISNUMBER(AL11))),"",AL11-N(P11))</f>
        <v/>
      </c>
      <c r="BI11" s="17" t="str">
        <f aca="false">IF(OR(AM11="",NOT(ISNUMBER(AM11))),"",AM11-N(Q11))</f>
        <v/>
      </c>
      <c r="BJ11" s="17" t="str">
        <f aca="false">IF(OR(AN11="",NOT(ISNUMBER(AN11))),"",AN11-N(R11))</f>
        <v/>
      </c>
      <c r="BK11" s="17" t="str">
        <f aca="false">IF(OR(AO11="",NOT(ISNUMBER(AO11))),"",AO11-N(S11))</f>
        <v/>
      </c>
      <c r="BL11" s="17" t="str">
        <f aca="false">IF(OR(AP11="",NOT(ISNUMBER(AP11))),"",AP11-N(T11))</f>
        <v/>
      </c>
      <c r="BM11" s="17" t="str">
        <f aca="false">IF(OR(AQ11="",NOT(ISNUMBER(AQ11))),"",AQ11-N(U11))</f>
        <v/>
      </c>
      <c r="BR11" s="20" t="str">
        <f aca="false">IF($A11="","",IF(ISNUMBER($A11),DATE(YEAR($A11),MONTH($A11),1),IFERROR(DATE(2000+VALUE(RIGHT(TRIM($A11),2)),MATCH(UPPER(LEFT(TRIM($A11),3)),{"JAN","FEB","MAR","APR","MAY","JUN","JUL","AUG","SEP","OCT","NOV","DEC"},0),1),"")))</f>
        <v/>
      </c>
      <c r="BS11" s="20" t="str">
        <f aca="false">IF(BR11="","",EOMONTH(BR11,0))</f>
        <v/>
      </c>
    </row>
    <row r="12" customFormat="false" ht="15" hidden="false" customHeight="false" outlineLevel="0" collapsed="false">
      <c r="B12" s="21"/>
      <c r="C12" s="21"/>
      <c r="D12" s="21"/>
      <c r="E12" s="21"/>
      <c r="F12" s="21"/>
      <c r="G12" s="21"/>
      <c r="H12" s="21"/>
      <c r="I12" s="21"/>
      <c r="J12" s="21"/>
      <c r="K12" s="21"/>
      <c r="L12" s="21"/>
      <c r="M12" s="21"/>
      <c r="N12" s="21"/>
      <c r="O12" s="21"/>
      <c r="P12" s="21"/>
      <c r="Q12" s="21"/>
      <c r="R12" s="21"/>
      <c r="S12" s="21"/>
      <c r="T12" s="21"/>
      <c r="U12" s="21"/>
      <c r="X12" s="17" t="str">
        <f aca="false">IF(OR(B$7="",$BR12=""),"",IF('Tally Helper'!$B$3&lt;&gt;TRUE(),"not on Staff",SUMIFS('Tally Helper'!$L$5:$GI$5,'Tally Helper'!$L$3:$GI$3,"&gt;="&amp;$BR12,'Tally Helper'!$L$3:$GI$3,"&lt;="&amp;$BS12)))</f>
        <v/>
      </c>
      <c r="Y12" s="17" t="str">
        <f aca="false">IF(OR(C$7="",$BR12=""),"",IF('Tally Helper'!$B$6&lt;&gt;TRUE(),"not on Staff",SUMIFS('Tally Helper'!$L$8:$GI$8,'Tally Helper'!$L$6:$GI$6,"&gt;="&amp;$BR12,'Tally Helper'!$L$6:$GI$6,"&lt;="&amp;$BS12)))</f>
        <v/>
      </c>
      <c r="Z12" s="17" t="str">
        <f aca="false">IF(OR(D$7="",$BR12=""),"",IF('Tally Helper'!$B$9&lt;&gt;TRUE(),"not on Staff",SUMIFS('Tally Helper'!$L$11:$GI$11,'Tally Helper'!$L$9:$GI$9,"&gt;="&amp;$BR12,'Tally Helper'!$L$9:$GI$9,"&lt;="&amp;$BS12)))</f>
        <v/>
      </c>
      <c r="AA12" s="17" t="str">
        <f aca="false">IF(OR(E$7="",$BR12=""),"",IF('Tally Helper'!$B$12&lt;&gt;TRUE(),"not on Staff",SUMIFS('Tally Helper'!$L$14:$GI$14,'Tally Helper'!$L$12:$GI$12,"&gt;="&amp;$BR12,'Tally Helper'!$L$12:$GI$12,"&lt;="&amp;$BS12)))</f>
        <v/>
      </c>
      <c r="AB12" s="17" t="str">
        <f aca="false">IF(OR(F$7="",$BR12=""),"",IF('Tally Helper'!$B$15&lt;&gt;TRUE(),"not on Staff",SUMIFS('Tally Helper'!$L$17:$GI$17,'Tally Helper'!$L$15:$GI$15,"&gt;="&amp;$BR12,'Tally Helper'!$L$15:$GI$15,"&lt;="&amp;$BS12)))</f>
        <v/>
      </c>
      <c r="AC12" s="17" t="str">
        <f aca="false">IF(OR(G$7="",$BR12=""),"",IF('Tally Helper'!$B$18&lt;&gt;TRUE(),"not on Staff",SUMIFS('Tally Helper'!$L$20:$GI$20,'Tally Helper'!$L$18:$GI$18,"&gt;="&amp;$BR12,'Tally Helper'!$L$18:$GI$18,"&lt;="&amp;$BS12)))</f>
        <v/>
      </c>
      <c r="AD12" s="17" t="str">
        <f aca="false">IF(OR(H$7="",$BR12=""),"",IF('Tally Helper'!$B$21&lt;&gt;TRUE(),"not on Staff",SUMIFS('Tally Helper'!$L$23:$GI$23,'Tally Helper'!$L$21:$GI$21,"&gt;="&amp;$BR12,'Tally Helper'!$L$21:$GI$21,"&lt;="&amp;$BS12)))</f>
        <v/>
      </c>
      <c r="AE12" s="17" t="str">
        <f aca="false">IF(OR(I$7="",$BR12=""),"",IF('Tally Helper'!$B$24&lt;&gt;TRUE(),"not on Staff",SUMIFS('Tally Helper'!$L$26:$GI$26,'Tally Helper'!$L$24:$GI$24,"&gt;="&amp;$BR12,'Tally Helper'!$L$24:$GI$24,"&lt;="&amp;$BS12)))</f>
        <v/>
      </c>
      <c r="AF12" s="17" t="str">
        <f aca="false">IF(OR(J$7="",$BR12=""),"",IF('Tally Helper'!$B$27&lt;&gt;TRUE(),"not on Staff",SUMIFS('Tally Helper'!$L$29:$GI$29,'Tally Helper'!$L$27:$GI$27,"&gt;="&amp;$BR12,'Tally Helper'!$L$27:$GI$27,"&lt;="&amp;$BS12)))</f>
        <v/>
      </c>
      <c r="AG12" s="17" t="str">
        <f aca="false">IF(OR(K$7="",$BR12=""),"",IF('Tally Helper'!$B$30&lt;&gt;TRUE(),"not on Staff",SUMIFS('Tally Helper'!$L$32:$GI$32,'Tally Helper'!$L$30:$GI$30,"&gt;="&amp;$BR12,'Tally Helper'!$L$30:$GI$30,"&lt;="&amp;$BS12)))</f>
        <v/>
      </c>
      <c r="AH12" s="17" t="str">
        <f aca="false">IF(OR(L$7="",$BR12=""),"",IF('Tally Helper'!$B$33&lt;&gt;TRUE(),"not on Staff",SUMIFS('Tally Helper'!$L$35:$GI$35,'Tally Helper'!$L$33:$GI$33,"&gt;="&amp;$BR12,'Tally Helper'!$L$33:$GI$33,"&lt;="&amp;$BS12)))</f>
        <v/>
      </c>
      <c r="AI12" s="17" t="str">
        <f aca="false">IF(OR(M$7="",$BR12=""),"",IF('Tally Helper'!$B$36&lt;&gt;TRUE(),"not on Staff",SUMIFS('Tally Helper'!$L$38:$GI$38,'Tally Helper'!$L$36:$GI$36,"&gt;="&amp;$BR12,'Tally Helper'!$L$36:$GI$36,"&lt;="&amp;$BS12)))</f>
        <v/>
      </c>
      <c r="AJ12" s="17" t="str">
        <f aca="false">IF(OR(N$7="",$BR12=""),"",IF('Tally Helper'!$B$39&lt;&gt;TRUE(),"not on Staff",SUMIFS('Tally Helper'!$L$41:$GI$41,'Tally Helper'!$L$39:$GI$39,"&gt;="&amp;$BR12,'Tally Helper'!$L$39:$GI$39,"&lt;="&amp;$BS12)))</f>
        <v/>
      </c>
      <c r="AK12" s="17" t="str">
        <f aca="false">IF(OR(O$7="",$BR12=""),"",IF('Tally Helper'!$B$42&lt;&gt;TRUE(),"not on Staff",SUMIFS('Tally Helper'!$L$44:$GI$44,'Tally Helper'!$L$42:$GI$42,"&gt;="&amp;$BR12,'Tally Helper'!$L$42:$GI$42,"&lt;="&amp;$BS12)))</f>
        <v/>
      </c>
      <c r="AL12" s="17" t="str">
        <f aca="false">IF(OR(P$7="",$BR12=""),"",IF('Tally Helper'!$B$45&lt;&gt;TRUE(),"not on Staff",SUMIFS('Tally Helper'!$L$47:$GI$47,'Tally Helper'!$L$45:$GI$45,"&gt;="&amp;$BR12,'Tally Helper'!$L$45:$GI$45,"&lt;="&amp;$BS12)))</f>
        <v/>
      </c>
      <c r="AM12" s="17" t="str">
        <f aca="false">IF(OR(Q$7="",$BR12=""),"",IF('Tally Helper'!$B$48&lt;&gt;TRUE(),"not on Staff",SUMIFS('Tally Helper'!$L$50:$GI$50,'Tally Helper'!$L$48:$GI$48,"&gt;="&amp;$BR12,'Tally Helper'!$L$48:$GI$48,"&lt;="&amp;$BS12)))</f>
        <v/>
      </c>
      <c r="AN12" s="17" t="str">
        <f aca="false">IF(OR(R$7="",$BR12=""),"",IF('Tally Helper'!$B$51&lt;&gt;TRUE(),"not on Staff",SUMIFS('Tally Helper'!$L$53:$GI$53,'Tally Helper'!$L$51:$GI$51,"&gt;="&amp;$BR12,'Tally Helper'!$L$51:$GI$51,"&lt;="&amp;$BS12)))</f>
        <v/>
      </c>
      <c r="AO12" s="17" t="str">
        <f aca="false">IF(OR(S$7="",$BR12=""),"",IF('Tally Helper'!$B$54&lt;&gt;TRUE(),"not on Staff",SUMIFS('Tally Helper'!$L$56:$GI$56,'Tally Helper'!$L$54:$GI$54,"&gt;="&amp;$BR12,'Tally Helper'!$L$54:$GI$54,"&lt;="&amp;$BS12)))</f>
        <v/>
      </c>
      <c r="AP12" s="17" t="str">
        <f aca="false">IF(OR(T$7="",$BR12=""),"",IF('Tally Helper'!$B$57&lt;&gt;TRUE(),"not on Staff",SUMIFS('Tally Helper'!$L$59:$GI$59,'Tally Helper'!$L$57:$GI$57,"&gt;="&amp;$BR12,'Tally Helper'!$L$57:$GI$57,"&lt;="&amp;$BS12)))</f>
        <v/>
      </c>
      <c r="AQ12" s="17" t="str">
        <f aca="false">IF(OR(U$7="",$BR12=""),"",IF('Tally Helper'!$B$60&lt;&gt;TRUE(),"not on Staff",SUMIFS('Tally Helper'!$L$62:$GI$62,'Tally Helper'!$L$60:$GI$60,"&gt;="&amp;$BR12,'Tally Helper'!$L$60:$GI$60,"&lt;="&amp;$BS12)))</f>
        <v/>
      </c>
      <c r="AT12" s="17" t="str">
        <f aca="false">IF(OR(X12="",NOT(ISNUMBER(X12))),"",X12-N(B12))</f>
        <v/>
      </c>
      <c r="AU12" s="17" t="str">
        <f aca="false">IF(OR(Y12="",NOT(ISNUMBER(Y12))),"",Y12-N(C12))</f>
        <v/>
      </c>
      <c r="AV12" s="17" t="str">
        <f aca="false">IF(OR(Z12="",NOT(ISNUMBER(Z12))),"",Z12-N(D12))</f>
        <v/>
      </c>
      <c r="AW12" s="17" t="str">
        <f aca="false">IF(OR(AA12="",NOT(ISNUMBER(AA12))),"",AA12-N(E12))</f>
        <v/>
      </c>
      <c r="AX12" s="17" t="str">
        <f aca="false">IF(OR(AB12="",NOT(ISNUMBER(AB12))),"",AB12-N(F12))</f>
        <v/>
      </c>
      <c r="AY12" s="17" t="str">
        <f aca="false">IF(OR(AC12="",NOT(ISNUMBER(AC12))),"",AC12-N(G12))</f>
        <v/>
      </c>
      <c r="AZ12" s="17" t="str">
        <f aca="false">IF(OR(AD12="",NOT(ISNUMBER(AD12))),"",AD12-N(H12))</f>
        <v/>
      </c>
      <c r="BA12" s="17" t="str">
        <f aca="false">IF(OR(AE12="",NOT(ISNUMBER(AE12))),"",AE12-N(I12))</f>
        <v/>
      </c>
      <c r="BB12" s="17" t="str">
        <f aca="false">IF(OR(AF12="",NOT(ISNUMBER(AF12))),"",AF12-N(J12))</f>
        <v/>
      </c>
      <c r="BC12" s="17" t="str">
        <f aca="false">IF(OR(AG12="",NOT(ISNUMBER(AG12))),"",AG12-N(K12))</f>
        <v/>
      </c>
      <c r="BD12" s="17" t="str">
        <f aca="false">IF(OR(AH12="",NOT(ISNUMBER(AH12))),"",AH12-N(L12))</f>
        <v/>
      </c>
      <c r="BE12" s="17" t="str">
        <f aca="false">IF(OR(AI12="",NOT(ISNUMBER(AI12))),"",AI12-N(M12))</f>
        <v/>
      </c>
      <c r="BF12" s="17" t="str">
        <f aca="false">IF(OR(AJ12="",NOT(ISNUMBER(AJ12))),"",AJ12-N(N12))</f>
        <v/>
      </c>
      <c r="BG12" s="17" t="str">
        <f aca="false">IF(OR(AK12="",NOT(ISNUMBER(AK12))),"",AK12-N(O12))</f>
        <v/>
      </c>
      <c r="BH12" s="17" t="str">
        <f aca="false">IF(OR(AL12="",NOT(ISNUMBER(AL12))),"",AL12-N(P12))</f>
        <v/>
      </c>
      <c r="BI12" s="17" t="str">
        <f aca="false">IF(OR(AM12="",NOT(ISNUMBER(AM12))),"",AM12-N(Q12))</f>
        <v/>
      </c>
      <c r="BJ12" s="17" t="str">
        <f aca="false">IF(OR(AN12="",NOT(ISNUMBER(AN12))),"",AN12-N(R12))</f>
        <v/>
      </c>
      <c r="BK12" s="17" t="str">
        <f aca="false">IF(OR(AO12="",NOT(ISNUMBER(AO12))),"",AO12-N(S12))</f>
        <v/>
      </c>
      <c r="BL12" s="17" t="str">
        <f aca="false">IF(OR(AP12="",NOT(ISNUMBER(AP12))),"",AP12-N(T12))</f>
        <v/>
      </c>
      <c r="BM12" s="17" t="str">
        <f aca="false">IF(OR(AQ12="",NOT(ISNUMBER(AQ12))),"",AQ12-N(U12))</f>
        <v/>
      </c>
      <c r="BR12" s="20" t="str">
        <f aca="false">IF($A12="","",IF(ISNUMBER($A12),DATE(YEAR($A12),MONTH($A12),1),IFERROR(DATE(2000+VALUE(RIGHT(TRIM($A12),2)),MATCH(UPPER(LEFT(TRIM($A12),3)),{"JAN","FEB","MAR","APR","MAY","JUN","JUL","AUG","SEP","OCT","NOV","DEC"},0),1),"")))</f>
        <v/>
      </c>
      <c r="BS12" s="20" t="str">
        <f aca="false">IF(BR12="","",EOMONTH(BR12,0))</f>
        <v/>
      </c>
    </row>
    <row r="13" customFormat="false" ht="15" hidden="false" customHeight="false" outlineLevel="0" collapsed="false">
      <c r="B13" s="21"/>
      <c r="C13" s="21"/>
      <c r="D13" s="21"/>
      <c r="E13" s="21"/>
      <c r="F13" s="21"/>
      <c r="G13" s="21"/>
      <c r="H13" s="21"/>
      <c r="I13" s="21"/>
      <c r="J13" s="21"/>
      <c r="K13" s="21"/>
      <c r="L13" s="21"/>
      <c r="M13" s="21"/>
      <c r="N13" s="21"/>
      <c r="O13" s="21"/>
      <c r="P13" s="21"/>
      <c r="Q13" s="21"/>
      <c r="R13" s="21"/>
      <c r="S13" s="21"/>
      <c r="T13" s="21"/>
      <c r="U13" s="21"/>
      <c r="X13" s="17" t="str">
        <f aca="false">IF(OR(B$7="",$BR13=""),"",IF('Tally Helper'!$B$3&lt;&gt;TRUE(),"not on Staff",SUMIFS('Tally Helper'!$L$5:$GI$5,'Tally Helper'!$L$3:$GI$3,"&gt;="&amp;$BR13,'Tally Helper'!$L$3:$GI$3,"&lt;="&amp;$BS13)))</f>
        <v/>
      </c>
      <c r="Y13" s="17" t="str">
        <f aca="false">IF(OR(C$7="",$BR13=""),"",IF('Tally Helper'!$B$6&lt;&gt;TRUE(),"not on Staff",SUMIFS('Tally Helper'!$L$8:$GI$8,'Tally Helper'!$L$6:$GI$6,"&gt;="&amp;$BR13,'Tally Helper'!$L$6:$GI$6,"&lt;="&amp;$BS13)))</f>
        <v/>
      </c>
      <c r="Z13" s="17" t="str">
        <f aca="false">IF(OR(D$7="",$BR13=""),"",IF('Tally Helper'!$B$9&lt;&gt;TRUE(),"not on Staff",SUMIFS('Tally Helper'!$L$11:$GI$11,'Tally Helper'!$L$9:$GI$9,"&gt;="&amp;$BR13,'Tally Helper'!$L$9:$GI$9,"&lt;="&amp;$BS13)))</f>
        <v/>
      </c>
      <c r="AA13" s="17" t="str">
        <f aca="false">IF(OR(E$7="",$BR13=""),"",IF('Tally Helper'!$B$12&lt;&gt;TRUE(),"not on Staff",SUMIFS('Tally Helper'!$L$14:$GI$14,'Tally Helper'!$L$12:$GI$12,"&gt;="&amp;$BR13,'Tally Helper'!$L$12:$GI$12,"&lt;="&amp;$BS13)))</f>
        <v/>
      </c>
      <c r="AB13" s="17" t="str">
        <f aca="false">IF(OR(F$7="",$BR13=""),"",IF('Tally Helper'!$B$15&lt;&gt;TRUE(),"not on Staff",SUMIFS('Tally Helper'!$L$17:$GI$17,'Tally Helper'!$L$15:$GI$15,"&gt;="&amp;$BR13,'Tally Helper'!$L$15:$GI$15,"&lt;="&amp;$BS13)))</f>
        <v/>
      </c>
      <c r="AC13" s="17" t="str">
        <f aca="false">IF(OR(G$7="",$BR13=""),"",IF('Tally Helper'!$B$18&lt;&gt;TRUE(),"not on Staff",SUMIFS('Tally Helper'!$L$20:$GI$20,'Tally Helper'!$L$18:$GI$18,"&gt;="&amp;$BR13,'Tally Helper'!$L$18:$GI$18,"&lt;="&amp;$BS13)))</f>
        <v/>
      </c>
      <c r="AD13" s="17" t="str">
        <f aca="false">IF(OR(H$7="",$BR13=""),"",IF('Tally Helper'!$B$21&lt;&gt;TRUE(),"not on Staff",SUMIFS('Tally Helper'!$L$23:$GI$23,'Tally Helper'!$L$21:$GI$21,"&gt;="&amp;$BR13,'Tally Helper'!$L$21:$GI$21,"&lt;="&amp;$BS13)))</f>
        <v/>
      </c>
      <c r="AE13" s="17" t="str">
        <f aca="false">IF(OR(I$7="",$BR13=""),"",IF('Tally Helper'!$B$24&lt;&gt;TRUE(),"not on Staff",SUMIFS('Tally Helper'!$L$26:$GI$26,'Tally Helper'!$L$24:$GI$24,"&gt;="&amp;$BR13,'Tally Helper'!$L$24:$GI$24,"&lt;="&amp;$BS13)))</f>
        <v/>
      </c>
      <c r="AF13" s="17" t="str">
        <f aca="false">IF(OR(J$7="",$BR13=""),"",IF('Tally Helper'!$B$27&lt;&gt;TRUE(),"not on Staff",SUMIFS('Tally Helper'!$L$29:$GI$29,'Tally Helper'!$L$27:$GI$27,"&gt;="&amp;$BR13,'Tally Helper'!$L$27:$GI$27,"&lt;="&amp;$BS13)))</f>
        <v/>
      </c>
      <c r="AG13" s="17" t="str">
        <f aca="false">IF(OR(K$7="",$BR13=""),"",IF('Tally Helper'!$B$30&lt;&gt;TRUE(),"not on Staff",SUMIFS('Tally Helper'!$L$32:$GI$32,'Tally Helper'!$L$30:$GI$30,"&gt;="&amp;$BR13,'Tally Helper'!$L$30:$GI$30,"&lt;="&amp;$BS13)))</f>
        <v/>
      </c>
      <c r="AH13" s="17" t="str">
        <f aca="false">IF(OR(L$7="",$BR13=""),"",IF('Tally Helper'!$B$33&lt;&gt;TRUE(),"not on Staff",SUMIFS('Tally Helper'!$L$35:$GI$35,'Tally Helper'!$L$33:$GI$33,"&gt;="&amp;$BR13,'Tally Helper'!$L$33:$GI$33,"&lt;="&amp;$BS13)))</f>
        <v/>
      </c>
      <c r="AI13" s="17" t="str">
        <f aca="false">IF(OR(M$7="",$BR13=""),"",IF('Tally Helper'!$B$36&lt;&gt;TRUE(),"not on Staff",SUMIFS('Tally Helper'!$L$38:$GI$38,'Tally Helper'!$L$36:$GI$36,"&gt;="&amp;$BR13,'Tally Helper'!$L$36:$GI$36,"&lt;="&amp;$BS13)))</f>
        <v/>
      </c>
      <c r="AJ13" s="17" t="str">
        <f aca="false">IF(OR(N$7="",$BR13=""),"",IF('Tally Helper'!$B$39&lt;&gt;TRUE(),"not on Staff",SUMIFS('Tally Helper'!$L$41:$GI$41,'Tally Helper'!$L$39:$GI$39,"&gt;="&amp;$BR13,'Tally Helper'!$L$39:$GI$39,"&lt;="&amp;$BS13)))</f>
        <v/>
      </c>
      <c r="AK13" s="17" t="str">
        <f aca="false">IF(OR(O$7="",$BR13=""),"",IF('Tally Helper'!$B$42&lt;&gt;TRUE(),"not on Staff",SUMIFS('Tally Helper'!$L$44:$GI$44,'Tally Helper'!$L$42:$GI$42,"&gt;="&amp;$BR13,'Tally Helper'!$L$42:$GI$42,"&lt;="&amp;$BS13)))</f>
        <v/>
      </c>
      <c r="AL13" s="17" t="str">
        <f aca="false">IF(OR(P$7="",$BR13=""),"",IF('Tally Helper'!$B$45&lt;&gt;TRUE(),"not on Staff",SUMIFS('Tally Helper'!$L$47:$GI$47,'Tally Helper'!$L$45:$GI$45,"&gt;="&amp;$BR13,'Tally Helper'!$L$45:$GI$45,"&lt;="&amp;$BS13)))</f>
        <v/>
      </c>
      <c r="AM13" s="17" t="str">
        <f aca="false">IF(OR(Q$7="",$BR13=""),"",IF('Tally Helper'!$B$48&lt;&gt;TRUE(),"not on Staff",SUMIFS('Tally Helper'!$L$50:$GI$50,'Tally Helper'!$L$48:$GI$48,"&gt;="&amp;$BR13,'Tally Helper'!$L$48:$GI$48,"&lt;="&amp;$BS13)))</f>
        <v/>
      </c>
      <c r="AN13" s="17" t="str">
        <f aca="false">IF(OR(R$7="",$BR13=""),"",IF('Tally Helper'!$B$51&lt;&gt;TRUE(),"not on Staff",SUMIFS('Tally Helper'!$L$53:$GI$53,'Tally Helper'!$L$51:$GI$51,"&gt;="&amp;$BR13,'Tally Helper'!$L$51:$GI$51,"&lt;="&amp;$BS13)))</f>
        <v/>
      </c>
      <c r="AO13" s="17" t="str">
        <f aca="false">IF(OR(S$7="",$BR13=""),"",IF('Tally Helper'!$B$54&lt;&gt;TRUE(),"not on Staff",SUMIFS('Tally Helper'!$L$56:$GI$56,'Tally Helper'!$L$54:$GI$54,"&gt;="&amp;$BR13,'Tally Helper'!$L$54:$GI$54,"&lt;="&amp;$BS13)))</f>
        <v/>
      </c>
      <c r="AP13" s="17" t="str">
        <f aca="false">IF(OR(T$7="",$BR13=""),"",IF('Tally Helper'!$B$57&lt;&gt;TRUE(),"not on Staff",SUMIFS('Tally Helper'!$L$59:$GI$59,'Tally Helper'!$L$57:$GI$57,"&gt;="&amp;$BR13,'Tally Helper'!$L$57:$GI$57,"&lt;="&amp;$BS13)))</f>
        <v/>
      </c>
      <c r="AQ13" s="17" t="str">
        <f aca="false">IF(OR(U$7="",$BR13=""),"",IF('Tally Helper'!$B$60&lt;&gt;TRUE(),"not on Staff",SUMIFS('Tally Helper'!$L$62:$GI$62,'Tally Helper'!$L$60:$GI$60,"&gt;="&amp;$BR13,'Tally Helper'!$L$60:$GI$60,"&lt;="&amp;$BS13)))</f>
        <v/>
      </c>
      <c r="AT13" s="17" t="str">
        <f aca="false">IF(OR(X13="",NOT(ISNUMBER(X13))),"",X13-N(B13))</f>
        <v/>
      </c>
      <c r="AU13" s="17" t="str">
        <f aca="false">IF(OR(Y13="",NOT(ISNUMBER(Y13))),"",Y13-N(C13))</f>
        <v/>
      </c>
      <c r="AV13" s="17" t="str">
        <f aca="false">IF(OR(Z13="",NOT(ISNUMBER(Z13))),"",Z13-N(D13))</f>
        <v/>
      </c>
      <c r="AW13" s="17" t="str">
        <f aca="false">IF(OR(AA13="",NOT(ISNUMBER(AA13))),"",AA13-N(E13))</f>
        <v/>
      </c>
      <c r="AX13" s="17" t="str">
        <f aca="false">IF(OR(AB13="",NOT(ISNUMBER(AB13))),"",AB13-N(F13))</f>
        <v/>
      </c>
      <c r="AY13" s="17" t="str">
        <f aca="false">IF(OR(AC13="",NOT(ISNUMBER(AC13))),"",AC13-N(G13))</f>
        <v/>
      </c>
      <c r="AZ13" s="17" t="str">
        <f aca="false">IF(OR(AD13="",NOT(ISNUMBER(AD13))),"",AD13-N(H13))</f>
        <v/>
      </c>
      <c r="BA13" s="17" t="str">
        <f aca="false">IF(OR(AE13="",NOT(ISNUMBER(AE13))),"",AE13-N(I13))</f>
        <v/>
      </c>
      <c r="BB13" s="17" t="str">
        <f aca="false">IF(OR(AF13="",NOT(ISNUMBER(AF13))),"",AF13-N(J13))</f>
        <v/>
      </c>
      <c r="BC13" s="17" t="str">
        <f aca="false">IF(OR(AG13="",NOT(ISNUMBER(AG13))),"",AG13-N(K13))</f>
        <v/>
      </c>
      <c r="BD13" s="17" t="str">
        <f aca="false">IF(OR(AH13="",NOT(ISNUMBER(AH13))),"",AH13-N(L13))</f>
        <v/>
      </c>
      <c r="BE13" s="17" t="str">
        <f aca="false">IF(OR(AI13="",NOT(ISNUMBER(AI13))),"",AI13-N(M13))</f>
        <v/>
      </c>
      <c r="BF13" s="17" t="str">
        <f aca="false">IF(OR(AJ13="",NOT(ISNUMBER(AJ13))),"",AJ13-N(N13))</f>
        <v/>
      </c>
      <c r="BG13" s="17" t="str">
        <f aca="false">IF(OR(AK13="",NOT(ISNUMBER(AK13))),"",AK13-N(O13))</f>
        <v/>
      </c>
      <c r="BH13" s="17" t="str">
        <f aca="false">IF(OR(AL13="",NOT(ISNUMBER(AL13))),"",AL13-N(P13))</f>
        <v/>
      </c>
      <c r="BI13" s="17" t="str">
        <f aca="false">IF(OR(AM13="",NOT(ISNUMBER(AM13))),"",AM13-N(Q13))</f>
        <v/>
      </c>
      <c r="BJ13" s="17" t="str">
        <f aca="false">IF(OR(AN13="",NOT(ISNUMBER(AN13))),"",AN13-N(R13))</f>
        <v/>
      </c>
      <c r="BK13" s="17" t="str">
        <f aca="false">IF(OR(AO13="",NOT(ISNUMBER(AO13))),"",AO13-N(S13))</f>
        <v/>
      </c>
      <c r="BL13" s="17" t="str">
        <f aca="false">IF(OR(AP13="",NOT(ISNUMBER(AP13))),"",AP13-N(T13))</f>
        <v/>
      </c>
      <c r="BM13" s="17" t="str">
        <f aca="false">IF(OR(AQ13="",NOT(ISNUMBER(AQ13))),"",AQ13-N(U13))</f>
        <v/>
      </c>
      <c r="BR13" s="20" t="str">
        <f aca="false">IF($A13="","",IF(ISNUMBER($A13),DATE(YEAR($A13),MONTH($A13),1),IFERROR(DATE(2000+VALUE(RIGHT(TRIM($A13),2)),MATCH(UPPER(LEFT(TRIM($A13),3)),{"JAN","FEB","MAR","APR","MAY","JUN","JUL","AUG","SEP","OCT","NOV","DEC"},0),1),"")))</f>
        <v/>
      </c>
      <c r="BS13" s="20" t="str">
        <f aca="false">IF(BR13="","",EOMONTH(BR13,0))</f>
        <v/>
      </c>
    </row>
    <row r="14" customFormat="false" ht="15" hidden="false" customHeight="false" outlineLevel="0" collapsed="false">
      <c r="B14" s="21"/>
      <c r="C14" s="21"/>
      <c r="D14" s="21"/>
      <c r="E14" s="21"/>
      <c r="F14" s="21"/>
      <c r="G14" s="21"/>
      <c r="H14" s="21"/>
      <c r="I14" s="21"/>
      <c r="J14" s="21"/>
      <c r="K14" s="21"/>
      <c r="L14" s="21"/>
      <c r="M14" s="21"/>
      <c r="N14" s="21"/>
      <c r="O14" s="21"/>
      <c r="P14" s="21"/>
      <c r="Q14" s="21"/>
      <c r="R14" s="21"/>
      <c r="S14" s="21"/>
      <c r="T14" s="21"/>
      <c r="U14" s="21"/>
      <c r="X14" s="17" t="str">
        <f aca="false">IF(OR(B$7="",$BR14=""),"",IF('Tally Helper'!$B$3&lt;&gt;TRUE(),"not on Staff",SUMIFS('Tally Helper'!$L$5:$GI$5,'Tally Helper'!$L$3:$GI$3,"&gt;="&amp;$BR14,'Tally Helper'!$L$3:$GI$3,"&lt;="&amp;$BS14)))</f>
        <v/>
      </c>
      <c r="Y14" s="17" t="str">
        <f aca="false">IF(OR(C$7="",$BR14=""),"",IF('Tally Helper'!$B$6&lt;&gt;TRUE(),"not on Staff",SUMIFS('Tally Helper'!$L$8:$GI$8,'Tally Helper'!$L$6:$GI$6,"&gt;="&amp;$BR14,'Tally Helper'!$L$6:$GI$6,"&lt;="&amp;$BS14)))</f>
        <v/>
      </c>
      <c r="Z14" s="17" t="str">
        <f aca="false">IF(OR(D$7="",$BR14=""),"",IF('Tally Helper'!$B$9&lt;&gt;TRUE(),"not on Staff",SUMIFS('Tally Helper'!$L$11:$GI$11,'Tally Helper'!$L$9:$GI$9,"&gt;="&amp;$BR14,'Tally Helper'!$L$9:$GI$9,"&lt;="&amp;$BS14)))</f>
        <v/>
      </c>
      <c r="AA14" s="17" t="str">
        <f aca="false">IF(OR(E$7="",$BR14=""),"",IF('Tally Helper'!$B$12&lt;&gt;TRUE(),"not on Staff",SUMIFS('Tally Helper'!$L$14:$GI$14,'Tally Helper'!$L$12:$GI$12,"&gt;="&amp;$BR14,'Tally Helper'!$L$12:$GI$12,"&lt;="&amp;$BS14)))</f>
        <v/>
      </c>
      <c r="AB14" s="17" t="str">
        <f aca="false">IF(OR(F$7="",$BR14=""),"",IF('Tally Helper'!$B$15&lt;&gt;TRUE(),"not on Staff",SUMIFS('Tally Helper'!$L$17:$GI$17,'Tally Helper'!$L$15:$GI$15,"&gt;="&amp;$BR14,'Tally Helper'!$L$15:$GI$15,"&lt;="&amp;$BS14)))</f>
        <v/>
      </c>
      <c r="AC14" s="17" t="str">
        <f aca="false">IF(OR(G$7="",$BR14=""),"",IF('Tally Helper'!$B$18&lt;&gt;TRUE(),"not on Staff",SUMIFS('Tally Helper'!$L$20:$GI$20,'Tally Helper'!$L$18:$GI$18,"&gt;="&amp;$BR14,'Tally Helper'!$L$18:$GI$18,"&lt;="&amp;$BS14)))</f>
        <v/>
      </c>
      <c r="AD14" s="17" t="str">
        <f aca="false">IF(OR(H$7="",$BR14=""),"",IF('Tally Helper'!$B$21&lt;&gt;TRUE(),"not on Staff",SUMIFS('Tally Helper'!$L$23:$GI$23,'Tally Helper'!$L$21:$GI$21,"&gt;="&amp;$BR14,'Tally Helper'!$L$21:$GI$21,"&lt;="&amp;$BS14)))</f>
        <v/>
      </c>
      <c r="AE14" s="17" t="str">
        <f aca="false">IF(OR(I$7="",$BR14=""),"",IF('Tally Helper'!$B$24&lt;&gt;TRUE(),"not on Staff",SUMIFS('Tally Helper'!$L$26:$GI$26,'Tally Helper'!$L$24:$GI$24,"&gt;="&amp;$BR14,'Tally Helper'!$L$24:$GI$24,"&lt;="&amp;$BS14)))</f>
        <v/>
      </c>
      <c r="AF14" s="17" t="str">
        <f aca="false">IF(OR(J$7="",$BR14=""),"",IF('Tally Helper'!$B$27&lt;&gt;TRUE(),"not on Staff",SUMIFS('Tally Helper'!$L$29:$GI$29,'Tally Helper'!$L$27:$GI$27,"&gt;="&amp;$BR14,'Tally Helper'!$L$27:$GI$27,"&lt;="&amp;$BS14)))</f>
        <v/>
      </c>
      <c r="AG14" s="17" t="str">
        <f aca="false">IF(OR(K$7="",$BR14=""),"",IF('Tally Helper'!$B$30&lt;&gt;TRUE(),"not on Staff",SUMIFS('Tally Helper'!$L$32:$GI$32,'Tally Helper'!$L$30:$GI$30,"&gt;="&amp;$BR14,'Tally Helper'!$L$30:$GI$30,"&lt;="&amp;$BS14)))</f>
        <v/>
      </c>
      <c r="AH14" s="17" t="str">
        <f aca="false">IF(OR(L$7="",$BR14=""),"",IF('Tally Helper'!$B$33&lt;&gt;TRUE(),"not on Staff",SUMIFS('Tally Helper'!$L$35:$GI$35,'Tally Helper'!$L$33:$GI$33,"&gt;="&amp;$BR14,'Tally Helper'!$L$33:$GI$33,"&lt;="&amp;$BS14)))</f>
        <v/>
      </c>
      <c r="AI14" s="17" t="str">
        <f aca="false">IF(OR(M$7="",$BR14=""),"",IF('Tally Helper'!$B$36&lt;&gt;TRUE(),"not on Staff",SUMIFS('Tally Helper'!$L$38:$GI$38,'Tally Helper'!$L$36:$GI$36,"&gt;="&amp;$BR14,'Tally Helper'!$L$36:$GI$36,"&lt;="&amp;$BS14)))</f>
        <v/>
      </c>
      <c r="AJ14" s="17" t="str">
        <f aca="false">IF(OR(N$7="",$BR14=""),"",IF('Tally Helper'!$B$39&lt;&gt;TRUE(),"not on Staff",SUMIFS('Tally Helper'!$L$41:$GI$41,'Tally Helper'!$L$39:$GI$39,"&gt;="&amp;$BR14,'Tally Helper'!$L$39:$GI$39,"&lt;="&amp;$BS14)))</f>
        <v/>
      </c>
      <c r="AK14" s="17" t="str">
        <f aca="false">IF(OR(O$7="",$BR14=""),"",IF('Tally Helper'!$B$42&lt;&gt;TRUE(),"not on Staff",SUMIFS('Tally Helper'!$L$44:$GI$44,'Tally Helper'!$L$42:$GI$42,"&gt;="&amp;$BR14,'Tally Helper'!$L$42:$GI$42,"&lt;="&amp;$BS14)))</f>
        <v/>
      </c>
      <c r="AL14" s="17" t="str">
        <f aca="false">IF(OR(P$7="",$BR14=""),"",IF('Tally Helper'!$B$45&lt;&gt;TRUE(),"not on Staff",SUMIFS('Tally Helper'!$L$47:$GI$47,'Tally Helper'!$L$45:$GI$45,"&gt;="&amp;$BR14,'Tally Helper'!$L$45:$GI$45,"&lt;="&amp;$BS14)))</f>
        <v/>
      </c>
      <c r="AM14" s="17" t="str">
        <f aca="false">IF(OR(Q$7="",$BR14=""),"",IF('Tally Helper'!$B$48&lt;&gt;TRUE(),"not on Staff",SUMIFS('Tally Helper'!$L$50:$GI$50,'Tally Helper'!$L$48:$GI$48,"&gt;="&amp;$BR14,'Tally Helper'!$L$48:$GI$48,"&lt;="&amp;$BS14)))</f>
        <v/>
      </c>
      <c r="AN14" s="17" t="str">
        <f aca="false">IF(OR(R$7="",$BR14=""),"",IF('Tally Helper'!$B$51&lt;&gt;TRUE(),"not on Staff",SUMIFS('Tally Helper'!$L$53:$GI$53,'Tally Helper'!$L$51:$GI$51,"&gt;="&amp;$BR14,'Tally Helper'!$L$51:$GI$51,"&lt;="&amp;$BS14)))</f>
        <v/>
      </c>
      <c r="AO14" s="17" t="str">
        <f aca="false">IF(OR(S$7="",$BR14=""),"",IF('Tally Helper'!$B$54&lt;&gt;TRUE(),"not on Staff",SUMIFS('Tally Helper'!$L$56:$GI$56,'Tally Helper'!$L$54:$GI$54,"&gt;="&amp;$BR14,'Tally Helper'!$L$54:$GI$54,"&lt;="&amp;$BS14)))</f>
        <v/>
      </c>
      <c r="AP14" s="17" t="str">
        <f aca="false">IF(OR(T$7="",$BR14=""),"",IF('Tally Helper'!$B$57&lt;&gt;TRUE(),"not on Staff",SUMIFS('Tally Helper'!$L$59:$GI$59,'Tally Helper'!$L$57:$GI$57,"&gt;="&amp;$BR14,'Tally Helper'!$L$57:$GI$57,"&lt;="&amp;$BS14)))</f>
        <v/>
      </c>
      <c r="AQ14" s="17" t="str">
        <f aca="false">IF(OR(U$7="",$BR14=""),"",IF('Tally Helper'!$B$60&lt;&gt;TRUE(),"not on Staff",SUMIFS('Tally Helper'!$L$62:$GI$62,'Tally Helper'!$L$60:$GI$60,"&gt;="&amp;$BR14,'Tally Helper'!$L$60:$GI$60,"&lt;="&amp;$BS14)))</f>
        <v/>
      </c>
      <c r="AT14" s="17" t="str">
        <f aca="false">IF(OR(X14="",NOT(ISNUMBER(X14))),"",X14-N(B14))</f>
        <v/>
      </c>
      <c r="AU14" s="17" t="str">
        <f aca="false">IF(OR(Y14="",NOT(ISNUMBER(Y14))),"",Y14-N(C14))</f>
        <v/>
      </c>
      <c r="AV14" s="17" t="str">
        <f aca="false">IF(OR(Z14="",NOT(ISNUMBER(Z14))),"",Z14-N(D14))</f>
        <v/>
      </c>
      <c r="AW14" s="17" t="str">
        <f aca="false">IF(OR(AA14="",NOT(ISNUMBER(AA14))),"",AA14-N(E14))</f>
        <v/>
      </c>
      <c r="AX14" s="17" t="str">
        <f aca="false">IF(OR(AB14="",NOT(ISNUMBER(AB14))),"",AB14-N(F14))</f>
        <v/>
      </c>
      <c r="AY14" s="17" t="str">
        <f aca="false">IF(OR(AC14="",NOT(ISNUMBER(AC14))),"",AC14-N(G14))</f>
        <v/>
      </c>
      <c r="AZ14" s="17" t="str">
        <f aca="false">IF(OR(AD14="",NOT(ISNUMBER(AD14))),"",AD14-N(H14))</f>
        <v/>
      </c>
      <c r="BA14" s="17" t="str">
        <f aca="false">IF(OR(AE14="",NOT(ISNUMBER(AE14))),"",AE14-N(I14))</f>
        <v/>
      </c>
      <c r="BB14" s="17" t="str">
        <f aca="false">IF(OR(AF14="",NOT(ISNUMBER(AF14))),"",AF14-N(J14))</f>
        <v/>
      </c>
      <c r="BC14" s="17" t="str">
        <f aca="false">IF(OR(AG14="",NOT(ISNUMBER(AG14))),"",AG14-N(K14))</f>
        <v/>
      </c>
      <c r="BD14" s="17" t="str">
        <f aca="false">IF(OR(AH14="",NOT(ISNUMBER(AH14))),"",AH14-N(L14))</f>
        <v/>
      </c>
      <c r="BE14" s="17" t="str">
        <f aca="false">IF(OR(AI14="",NOT(ISNUMBER(AI14))),"",AI14-N(M14))</f>
        <v/>
      </c>
      <c r="BF14" s="17" t="str">
        <f aca="false">IF(OR(AJ14="",NOT(ISNUMBER(AJ14))),"",AJ14-N(N14))</f>
        <v/>
      </c>
      <c r="BG14" s="17" t="str">
        <f aca="false">IF(OR(AK14="",NOT(ISNUMBER(AK14))),"",AK14-N(O14))</f>
        <v/>
      </c>
      <c r="BH14" s="17" t="str">
        <f aca="false">IF(OR(AL14="",NOT(ISNUMBER(AL14))),"",AL14-N(P14))</f>
        <v/>
      </c>
      <c r="BI14" s="17" t="str">
        <f aca="false">IF(OR(AM14="",NOT(ISNUMBER(AM14))),"",AM14-N(Q14))</f>
        <v/>
      </c>
      <c r="BJ14" s="17" t="str">
        <f aca="false">IF(OR(AN14="",NOT(ISNUMBER(AN14))),"",AN14-N(R14))</f>
        <v/>
      </c>
      <c r="BK14" s="17" t="str">
        <f aca="false">IF(OR(AO14="",NOT(ISNUMBER(AO14))),"",AO14-N(S14))</f>
        <v/>
      </c>
      <c r="BL14" s="17" t="str">
        <f aca="false">IF(OR(AP14="",NOT(ISNUMBER(AP14))),"",AP14-N(T14))</f>
        <v/>
      </c>
      <c r="BM14" s="17" t="str">
        <f aca="false">IF(OR(AQ14="",NOT(ISNUMBER(AQ14))),"",AQ14-N(U14))</f>
        <v/>
      </c>
      <c r="BR14" s="20" t="str">
        <f aca="false">IF($A14="","",IF(ISNUMBER($A14),DATE(YEAR($A14),MONTH($A14),1),IFERROR(DATE(2000+VALUE(RIGHT(TRIM($A14),2)),MATCH(UPPER(LEFT(TRIM($A14),3)),{"JAN","FEB","MAR","APR","MAY","JUN","JUL","AUG","SEP","OCT","NOV","DEC"},0),1),"")))</f>
        <v/>
      </c>
      <c r="BS14" s="20" t="str">
        <f aca="false">IF(BR14="","",EOMONTH(BR14,0))</f>
        <v/>
      </c>
    </row>
    <row r="15" customFormat="false" ht="15" hidden="false" customHeight="false" outlineLevel="0" collapsed="false">
      <c r="B15" s="21"/>
      <c r="C15" s="21"/>
      <c r="D15" s="21"/>
      <c r="E15" s="21"/>
      <c r="F15" s="21"/>
      <c r="G15" s="21"/>
      <c r="H15" s="21"/>
      <c r="I15" s="21"/>
      <c r="J15" s="21"/>
      <c r="K15" s="21"/>
      <c r="L15" s="21"/>
      <c r="M15" s="21"/>
      <c r="N15" s="21"/>
      <c r="O15" s="21"/>
      <c r="P15" s="21"/>
      <c r="Q15" s="21"/>
      <c r="R15" s="21"/>
      <c r="S15" s="21"/>
      <c r="T15" s="21"/>
      <c r="U15" s="21"/>
      <c r="X15" s="17" t="str">
        <f aca="false">IF(OR(B$7="",$BR15=""),"",IF('Tally Helper'!$B$3&lt;&gt;TRUE(),"not on Staff",SUMIFS('Tally Helper'!$L$5:$GI$5,'Tally Helper'!$L$3:$GI$3,"&gt;="&amp;$BR15,'Tally Helper'!$L$3:$GI$3,"&lt;="&amp;$BS15)))</f>
        <v/>
      </c>
      <c r="Y15" s="17" t="str">
        <f aca="false">IF(OR(C$7="",$BR15=""),"",IF('Tally Helper'!$B$6&lt;&gt;TRUE(),"not on Staff",SUMIFS('Tally Helper'!$L$8:$GI$8,'Tally Helper'!$L$6:$GI$6,"&gt;="&amp;$BR15,'Tally Helper'!$L$6:$GI$6,"&lt;="&amp;$BS15)))</f>
        <v/>
      </c>
      <c r="Z15" s="17" t="str">
        <f aca="false">IF(OR(D$7="",$BR15=""),"",IF('Tally Helper'!$B$9&lt;&gt;TRUE(),"not on Staff",SUMIFS('Tally Helper'!$L$11:$GI$11,'Tally Helper'!$L$9:$GI$9,"&gt;="&amp;$BR15,'Tally Helper'!$L$9:$GI$9,"&lt;="&amp;$BS15)))</f>
        <v/>
      </c>
      <c r="AA15" s="17" t="str">
        <f aca="false">IF(OR(E$7="",$BR15=""),"",IF('Tally Helper'!$B$12&lt;&gt;TRUE(),"not on Staff",SUMIFS('Tally Helper'!$L$14:$GI$14,'Tally Helper'!$L$12:$GI$12,"&gt;="&amp;$BR15,'Tally Helper'!$L$12:$GI$12,"&lt;="&amp;$BS15)))</f>
        <v/>
      </c>
      <c r="AB15" s="17" t="str">
        <f aca="false">IF(OR(F$7="",$BR15=""),"",IF('Tally Helper'!$B$15&lt;&gt;TRUE(),"not on Staff",SUMIFS('Tally Helper'!$L$17:$GI$17,'Tally Helper'!$L$15:$GI$15,"&gt;="&amp;$BR15,'Tally Helper'!$L$15:$GI$15,"&lt;="&amp;$BS15)))</f>
        <v/>
      </c>
      <c r="AC15" s="17" t="str">
        <f aca="false">IF(OR(G$7="",$BR15=""),"",IF('Tally Helper'!$B$18&lt;&gt;TRUE(),"not on Staff",SUMIFS('Tally Helper'!$L$20:$GI$20,'Tally Helper'!$L$18:$GI$18,"&gt;="&amp;$BR15,'Tally Helper'!$L$18:$GI$18,"&lt;="&amp;$BS15)))</f>
        <v/>
      </c>
      <c r="AD15" s="17" t="str">
        <f aca="false">IF(OR(H$7="",$BR15=""),"",IF('Tally Helper'!$B$21&lt;&gt;TRUE(),"not on Staff",SUMIFS('Tally Helper'!$L$23:$GI$23,'Tally Helper'!$L$21:$GI$21,"&gt;="&amp;$BR15,'Tally Helper'!$L$21:$GI$21,"&lt;="&amp;$BS15)))</f>
        <v/>
      </c>
      <c r="AE15" s="17" t="str">
        <f aca="false">IF(OR(I$7="",$BR15=""),"",IF('Tally Helper'!$B$24&lt;&gt;TRUE(),"not on Staff",SUMIFS('Tally Helper'!$L$26:$GI$26,'Tally Helper'!$L$24:$GI$24,"&gt;="&amp;$BR15,'Tally Helper'!$L$24:$GI$24,"&lt;="&amp;$BS15)))</f>
        <v/>
      </c>
      <c r="AF15" s="17" t="str">
        <f aca="false">IF(OR(J$7="",$BR15=""),"",IF('Tally Helper'!$B$27&lt;&gt;TRUE(),"not on Staff",SUMIFS('Tally Helper'!$L$29:$GI$29,'Tally Helper'!$L$27:$GI$27,"&gt;="&amp;$BR15,'Tally Helper'!$L$27:$GI$27,"&lt;="&amp;$BS15)))</f>
        <v/>
      </c>
      <c r="AG15" s="17" t="str">
        <f aca="false">IF(OR(K$7="",$BR15=""),"",IF('Tally Helper'!$B$30&lt;&gt;TRUE(),"not on Staff",SUMIFS('Tally Helper'!$L$32:$GI$32,'Tally Helper'!$L$30:$GI$30,"&gt;="&amp;$BR15,'Tally Helper'!$L$30:$GI$30,"&lt;="&amp;$BS15)))</f>
        <v/>
      </c>
      <c r="AH15" s="17" t="str">
        <f aca="false">IF(OR(L$7="",$BR15=""),"",IF('Tally Helper'!$B$33&lt;&gt;TRUE(),"not on Staff",SUMIFS('Tally Helper'!$L$35:$GI$35,'Tally Helper'!$L$33:$GI$33,"&gt;="&amp;$BR15,'Tally Helper'!$L$33:$GI$33,"&lt;="&amp;$BS15)))</f>
        <v/>
      </c>
      <c r="AI15" s="17" t="str">
        <f aca="false">IF(OR(M$7="",$BR15=""),"",IF('Tally Helper'!$B$36&lt;&gt;TRUE(),"not on Staff",SUMIFS('Tally Helper'!$L$38:$GI$38,'Tally Helper'!$L$36:$GI$36,"&gt;="&amp;$BR15,'Tally Helper'!$L$36:$GI$36,"&lt;="&amp;$BS15)))</f>
        <v/>
      </c>
      <c r="AJ15" s="17" t="str">
        <f aca="false">IF(OR(N$7="",$BR15=""),"",IF('Tally Helper'!$B$39&lt;&gt;TRUE(),"not on Staff",SUMIFS('Tally Helper'!$L$41:$GI$41,'Tally Helper'!$L$39:$GI$39,"&gt;="&amp;$BR15,'Tally Helper'!$L$39:$GI$39,"&lt;="&amp;$BS15)))</f>
        <v/>
      </c>
      <c r="AK15" s="17" t="str">
        <f aca="false">IF(OR(O$7="",$BR15=""),"",IF('Tally Helper'!$B$42&lt;&gt;TRUE(),"not on Staff",SUMIFS('Tally Helper'!$L$44:$GI$44,'Tally Helper'!$L$42:$GI$42,"&gt;="&amp;$BR15,'Tally Helper'!$L$42:$GI$42,"&lt;="&amp;$BS15)))</f>
        <v/>
      </c>
      <c r="AL15" s="17" t="str">
        <f aca="false">IF(OR(P$7="",$BR15=""),"",IF('Tally Helper'!$B$45&lt;&gt;TRUE(),"not on Staff",SUMIFS('Tally Helper'!$L$47:$GI$47,'Tally Helper'!$L$45:$GI$45,"&gt;="&amp;$BR15,'Tally Helper'!$L$45:$GI$45,"&lt;="&amp;$BS15)))</f>
        <v/>
      </c>
      <c r="AM15" s="17" t="str">
        <f aca="false">IF(OR(Q$7="",$BR15=""),"",IF('Tally Helper'!$B$48&lt;&gt;TRUE(),"not on Staff",SUMIFS('Tally Helper'!$L$50:$GI$50,'Tally Helper'!$L$48:$GI$48,"&gt;="&amp;$BR15,'Tally Helper'!$L$48:$GI$48,"&lt;="&amp;$BS15)))</f>
        <v/>
      </c>
      <c r="AN15" s="17" t="str">
        <f aca="false">IF(OR(R$7="",$BR15=""),"",IF('Tally Helper'!$B$51&lt;&gt;TRUE(),"not on Staff",SUMIFS('Tally Helper'!$L$53:$GI$53,'Tally Helper'!$L$51:$GI$51,"&gt;="&amp;$BR15,'Tally Helper'!$L$51:$GI$51,"&lt;="&amp;$BS15)))</f>
        <v/>
      </c>
      <c r="AO15" s="17" t="str">
        <f aca="false">IF(OR(S$7="",$BR15=""),"",IF('Tally Helper'!$B$54&lt;&gt;TRUE(),"not on Staff",SUMIFS('Tally Helper'!$L$56:$GI$56,'Tally Helper'!$L$54:$GI$54,"&gt;="&amp;$BR15,'Tally Helper'!$L$54:$GI$54,"&lt;="&amp;$BS15)))</f>
        <v/>
      </c>
      <c r="AP15" s="17" t="str">
        <f aca="false">IF(OR(T$7="",$BR15=""),"",IF('Tally Helper'!$B$57&lt;&gt;TRUE(),"not on Staff",SUMIFS('Tally Helper'!$L$59:$GI$59,'Tally Helper'!$L$57:$GI$57,"&gt;="&amp;$BR15,'Tally Helper'!$L$57:$GI$57,"&lt;="&amp;$BS15)))</f>
        <v/>
      </c>
      <c r="AQ15" s="17" t="str">
        <f aca="false">IF(OR(U$7="",$BR15=""),"",IF('Tally Helper'!$B$60&lt;&gt;TRUE(),"not on Staff",SUMIFS('Tally Helper'!$L$62:$GI$62,'Tally Helper'!$L$60:$GI$60,"&gt;="&amp;$BR15,'Tally Helper'!$L$60:$GI$60,"&lt;="&amp;$BS15)))</f>
        <v/>
      </c>
      <c r="AT15" s="17" t="str">
        <f aca="false">IF(OR(X15="",NOT(ISNUMBER(X15))),"",X15-N(B15))</f>
        <v/>
      </c>
      <c r="AU15" s="17" t="str">
        <f aca="false">IF(OR(Y15="",NOT(ISNUMBER(Y15))),"",Y15-N(C15))</f>
        <v/>
      </c>
      <c r="AV15" s="17" t="str">
        <f aca="false">IF(OR(Z15="",NOT(ISNUMBER(Z15))),"",Z15-N(D15))</f>
        <v/>
      </c>
      <c r="AW15" s="17" t="str">
        <f aca="false">IF(OR(AA15="",NOT(ISNUMBER(AA15))),"",AA15-N(E15))</f>
        <v/>
      </c>
      <c r="AX15" s="17" t="str">
        <f aca="false">IF(OR(AB15="",NOT(ISNUMBER(AB15))),"",AB15-N(F15))</f>
        <v/>
      </c>
      <c r="AY15" s="17" t="str">
        <f aca="false">IF(OR(AC15="",NOT(ISNUMBER(AC15))),"",AC15-N(G15))</f>
        <v/>
      </c>
      <c r="AZ15" s="17" t="str">
        <f aca="false">IF(OR(AD15="",NOT(ISNUMBER(AD15))),"",AD15-N(H15))</f>
        <v/>
      </c>
      <c r="BA15" s="17" t="str">
        <f aca="false">IF(OR(AE15="",NOT(ISNUMBER(AE15))),"",AE15-N(I15))</f>
        <v/>
      </c>
      <c r="BB15" s="17" t="str">
        <f aca="false">IF(OR(AF15="",NOT(ISNUMBER(AF15))),"",AF15-N(J15))</f>
        <v/>
      </c>
      <c r="BC15" s="17" t="str">
        <f aca="false">IF(OR(AG15="",NOT(ISNUMBER(AG15))),"",AG15-N(K15))</f>
        <v/>
      </c>
      <c r="BD15" s="17" t="str">
        <f aca="false">IF(OR(AH15="",NOT(ISNUMBER(AH15))),"",AH15-N(L15))</f>
        <v/>
      </c>
      <c r="BE15" s="17" t="str">
        <f aca="false">IF(OR(AI15="",NOT(ISNUMBER(AI15))),"",AI15-N(M15))</f>
        <v/>
      </c>
      <c r="BF15" s="17" t="str">
        <f aca="false">IF(OR(AJ15="",NOT(ISNUMBER(AJ15))),"",AJ15-N(N15))</f>
        <v/>
      </c>
      <c r="BG15" s="17" t="str">
        <f aca="false">IF(OR(AK15="",NOT(ISNUMBER(AK15))),"",AK15-N(O15))</f>
        <v/>
      </c>
      <c r="BH15" s="17" t="str">
        <f aca="false">IF(OR(AL15="",NOT(ISNUMBER(AL15))),"",AL15-N(P15))</f>
        <v/>
      </c>
      <c r="BI15" s="17" t="str">
        <f aca="false">IF(OR(AM15="",NOT(ISNUMBER(AM15))),"",AM15-N(Q15))</f>
        <v/>
      </c>
      <c r="BJ15" s="17" t="str">
        <f aca="false">IF(OR(AN15="",NOT(ISNUMBER(AN15))),"",AN15-N(R15))</f>
        <v/>
      </c>
      <c r="BK15" s="17" t="str">
        <f aca="false">IF(OR(AO15="",NOT(ISNUMBER(AO15))),"",AO15-N(S15))</f>
        <v/>
      </c>
      <c r="BL15" s="17" t="str">
        <f aca="false">IF(OR(AP15="",NOT(ISNUMBER(AP15))),"",AP15-N(T15))</f>
        <v/>
      </c>
      <c r="BM15" s="17" t="str">
        <f aca="false">IF(OR(AQ15="",NOT(ISNUMBER(AQ15))),"",AQ15-N(U15))</f>
        <v/>
      </c>
      <c r="BR15" s="20" t="str">
        <f aca="false">IF($A15="","",IF(ISNUMBER($A15),DATE(YEAR($A15),MONTH($A15),1),IFERROR(DATE(2000+VALUE(RIGHT(TRIM($A15),2)),MATCH(UPPER(LEFT(TRIM($A15),3)),{"JAN","FEB","MAR","APR","MAY","JUN","JUL","AUG","SEP","OCT","NOV","DEC"},0),1),"")))</f>
        <v/>
      </c>
      <c r="BS15" s="20" t="str">
        <f aca="false">IF(BR15="","",EOMONTH(BR15,0))</f>
        <v/>
      </c>
    </row>
    <row r="16" customFormat="false" ht="15" hidden="false" customHeight="false" outlineLevel="0" collapsed="false">
      <c r="B16" s="21"/>
      <c r="C16" s="21"/>
      <c r="D16" s="21"/>
      <c r="E16" s="21"/>
      <c r="F16" s="21"/>
      <c r="G16" s="21"/>
      <c r="H16" s="21"/>
      <c r="I16" s="21"/>
      <c r="J16" s="21"/>
      <c r="K16" s="21"/>
      <c r="L16" s="21"/>
      <c r="M16" s="21"/>
      <c r="N16" s="21"/>
      <c r="O16" s="21"/>
      <c r="P16" s="21"/>
      <c r="Q16" s="21"/>
      <c r="R16" s="21"/>
      <c r="S16" s="21"/>
      <c r="T16" s="21"/>
      <c r="U16" s="21"/>
      <c r="X16" s="17" t="str">
        <f aca="false">IF(OR(B$7="",$BR16=""),"",IF('Tally Helper'!$B$3&lt;&gt;TRUE(),"not on Staff",SUMIFS('Tally Helper'!$L$5:$GI$5,'Tally Helper'!$L$3:$GI$3,"&gt;="&amp;$BR16,'Tally Helper'!$L$3:$GI$3,"&lt;="&amp;$BS16)))</f>
        <v/>
      </c>
      <c r="Y16" s="17" t="str">
        <f aca="false">IF(OR(C$7="",$BR16=""),"",IF('Tally Helper'!$B$6&lt;&gt;TRUE(),"not on Staff",SUMIFS('Tally Helper'!$L$8:$GI$8,'Tally Helper'!$L$6:$GI$6,"&gt;="&amp;$BR16,'Tally Helper'!$L$6:$GI$6,"&lt;="&amp;$BS16)))</f>
        <v/>
      </c>
      <c r="Z16" s="17" t="str">
        <f aca="false">IF(OR(D$7="",$BR16=""),"",IF('Tally Helper'!$B$9&lt;&gt;TRUE(),"not on Staff",SUMIFS('Tally Helper'!$L$11:$GI$11,'Tally Helper'!$L$9:$GI$9,"&gt;="&amp;$BR16,'Tally Helper'!$L$9:$GI$9,"&lt;="&amp;$BS16)))</f>
        <v/>
      </c>
      <c r="AA16" s="17" t="str">
        <f aca="false">IF(OR(E$7="",$BR16=""),"",IF('Tally Helper'!$B$12&lt;&gt;TRUE(),"not on Staff",SUMIFS('Tally Helper'!$L$14:$GI$14,'Tally Helper'!$L$12:$GI$12,"&gt;="&amp;$BR16,'Tally Helper'!$L$12:$GI$12,"&lt;="&amp;$BS16)))</f>
        <v/>
      </c>
      <c r="AB16" s="17" t="str">
        <f aca="false">IF(OR(F$7="",$BR16=""),"",IF('Tally Helper'!$B$15&lt;&gt;TRUE(),"not on Staff",SUMIFS('Tally Helper'!$L$17:$GI$17,'Tally Helper'!$L$15:$GI$15,"&gt;="&amp;$BR16,'Tally Helper'!$L$15:$GI$15,"&lt;="&amp;$BS16)))</f>
        <v/>
      </c>
      <c r="AC16" s="17" t="str">
        <f aca="false">IF(OR(G$7="",$BR16=""),"",IF('Tally Helper'!$B$18&lt;&gt;TRUE(),"not on Staff",SUMIFS('Tally Helper'!$L$20:$GI$20,'Tally Helper'!$L$18:$GI$18,"&gt;="&amp;$BR16,'Tally Helper'!$L$18:$GI$18,"&lt;="&amp;$BS16)))</f>
        <v/>
      </c>
      <c r="AD16" s="17" t="str">
        <f aca="false">IF(OR(H$7="",$BR16=""),"",IF('Tally Helper'!$B$21&lt;&gt;TRUE(),"not on Staff",SUMIFS('Tally Helper'!$L$23:$GI$23,'Tally Helper'!$L$21:$GI$21,"&gt;="&amp;$BR16,'Tally Helper'!$L$21:$GI$21,"&lt;="&amp;$BS16)))</f>
        <v/>
      </c>
      <c r="AE16" s="17" t="str">
        <f aca="false">IF(OR(I$7="",$BR16=""),"",IF('Tally Helper'!$B$24&lt;&gt;TRUE(),"not on Staff",SUMIFS('Tally Helper'!$L$26:$GI$26,'Tally Helper'!$L$24:$GI$24,"&gt;="&amp;$BR16,'Tally Helper'!$L$24:$GI$24,"&lt;="&amp;$BS16)))</f>
        <v/>
      </c>
      <c r="AF16" s="17" t="str">
        <f aca="false">IF(OR(J$7="",$BR16=""),"",IF('Tally Helper'!$B$27&lt;&gt;TRUE(),"not on Staff",SUMIFS('Tally Helper'!$L$29:$GI$29,'Tally Helper'!$L$27:$GI$27,"&gt;="&amp;$BR16,'Tally Helper'!$L$27:$GI$27,"&lt;="&amp;$BS16)))</f>
        <v/>
      </c>
      <c r="AG16" s="17" t="str">
        <f aca="false">IF(OR(K$7="",$BR16=""),"",IF('Tally Helper'!$B$30&lt;&gt;TRUE(),"not on Staff",SUMIFS('Tally Helper'!$L$32:$GI$32,'Tally Helper'!$L$30:$GI$30,"&gt;="&amp;$BR16,'Tally Helper'!$L$30:$GI$30,"&lt;="&amp;$BS16)))</f>
        <v/>
      </c>
      <c r="AH16" s="17" t="str">
        <f aca="false">IF(OR(L$7="",$BR16=""),"",IF('Tally Helper'!$B$33&lt;&gt;TRUE(),"not on Staff",SUMIFS('Tally Helper'!$L$35:$GI$35,'Tally Helper'!$L$33:$GI$33,"&gt;="&amp;$BR16,'Tally Helper'!$L$33:$GI$33,"&lt;="&amp;$BS16)))</f>
        <v/>
      </c>
      <c r="AI16" s="17" t="str">
        <f aca="false">IF(OR(M$7="",$BR16=""),"",IF('Tally Helper'!$B$36&lt;&gt;TRUE(),"not on Staff",SUMIFS('Tally Helper'!$L$38:$GI$38,'Tally Helper'!$L$36:$GI$36,"&gt;="&amp;$BR16,'Tally Helper'!$L$36:$GI$36,"&lt;="&amp;$BS16)))</f>
        <v/>
      </c>
      <c r="AJ16" s="17" t="str">
        <f aca="false">IF(OR(N$7="",$BR16=""),"",IF('Tally Helper'!$B$39&lt;&gt;TRUE(),"not on Staff",SUMIFS('Tally Helper'!$L$41:$GI$41,'Tally Helper'!$L$39:$GI$39,"&gt;="&amp;$BR16,'Tally Helper'!$L$39:$GI$39,"&lt;="&amp;$BS16)))</f>
        <v/>
      </c>
      <c r="AK16" s="17" t="str">
        <f aca="false">IF(OR(O$7="",$BR16=""),"",IF('Tally Helper'!$B$42&lt;&gt;TRUE(),"not on Staff",SUMIFS('Tally Helper'!$L$44:$GI$44,'Tally Helper'!$L$42:$GI$42,"&gt;="&amp;$BR16,'Tally Helper'!$L$42:$GI$42,"&lt;="&amp;$BS16)))</f>
        <v/>
      </c>
      <c r="AL16" s="17" t="str">
        <f aca="false">IF(OR(P$7="",$BR16=""),"",IF('Tally Helper'!$B$45&lt;&gt;TRUE(),"not on Staff",SUMIFS('Tally Helper'!$L$47:$GI$47,'Tally Helper'!$L$45:$GI$45,"&gt;="&amp;$BR16,'Tally Helper'!$L$45:$GI$45,"&lt;="&amp;$BS16)))</f>
        <v/>
      </c>
      <c r="AM16" s="17" t="str">
        <f aca="false">IF(OR(Q$7="",$BR16=""),"",IF('Tally Helper'!$B$48&lt;&gt;TRUE(),"not on Staff",SUMIFS('Tally Helper'!$L$50:$GI$50,'Tally Helper'!$L$48:$GI$48,"&gt;="&amp;$BR16,'Tally Helper'!$L$48:$GI$48,"&lt;="&amp;$BS16)))</f>
        <v/>
      </c>
      <c r="AN16" s="17" t="str">
        <f aca="false">IF(OR(R$7="",$BR16=""),"",IF('Tally Helper'!$B$51&lt;&gt;TRUE(),"not on Staff",SUMIFS('Tally Helper'!$L$53:$GI$53,'Tally Helper'!$L$51:$GI$51,"&gt;="&amp;$BR16,'Tally Helper'!$L$51:$GI$51,"&lt;="&amp;$BS16)))</f>
        <v/>
      </c>
      <c r="AO16" s="17" t="str">
        <f aca="false">IF(OR(S$7="",$BR16=""),"",IF('Tally Helper'!$B$54&lt;&gt;TRUE(),"not on Staff",SUMIFS('Tally Helper'!$L$56:$GI$56,'Tally Helper'!$L$54:$GI$54,"&gt;="&amp;$BR16,'Tally Helper'!$L$54:$GI$54,"&lt;="&amp;$BS16)))</f>
        <v/>
      </c>
      <c r="AP16" s="17" t="str">
        <f aca="false">IF(OR(T$7="",$BR16=""),"",IF('Tally Helper'!$B$57&lt;&gt;TRUE(),"not on Staff",SUMIFS('Tally Helper'!$L$59:$GI$59,'Tally Helper'!$L$57:$GI$57,"&gt;="&amp;$BR16,'Tally Helper'!$L$57:$GI$57,"&lt;="&amp;$BS16)))</f>
        <v/>
      </c>
      <c r="AQ16" s="17" t="str">
        <f aca="false">IF(OR(U$7="",$BR16=""),"",IF('Tally Helper'!$B$60&lt;&gt;TRUE(),"not on Staff",SUMIFS('Tally Helper'!$L$62:$GI$62,'Tally Helper'!$L$60:$GI$60,"&gt;="&amp;$BR16,'Tally Helper'!$L$60:$GI$60,"&lt;="&amp;$BS16)))</f>
        <v/>
      </c>
      <c r="AT16" s="17" t="str">
        <f aca="false">IF(OR(X16="",NOT(ISNUMBER(X16))),"",X16-N(B16))</f>
        <v/>
      </c>
      <c r="AU16" s="17" t="str">
        <f aca="false">IF(OR(Y16="",NOT(ISNUMBER(Y16))),"",Y16-N(C16))</f>
        <v/>
      </c>
      <c r="AV16" s="17" t="str">
        <f aca="false">IF(OR(Z16="",NOT(ISNUMBER(Z16))),"",Z16-N(D16))</f>
        <v/>
      </c>
      <c r="AW16" s="17" t="str">
        <f aca="false">IF(OR(AA16="",NOT(ISNUMBER(AA16))),"",AA16-N(E16))</f>
        <v/>
      </c>
      <c r="AX16" s="17" t="str">
        <f aca="false">IF(OR(AB16="",NOT(ISNUMBER(AB16))),"",AB16-N(F16))</f>
        <v/>
      </c>
      <c r="AY16" s="17" t="str">
        <f aca="false">IF(OR(AC16="",NOT(ISNUMBER(AC16))),"",AC16-N(G16))</f>
        <v/>
      </c>
      <c r="AZ16" s="17" t="str">
        <f aca="false">IF(OR(AD16="",NOT(ISNUMBER(AD16))),"",AD16-N(H16))</f>
        <v/>
      </c>
      <c r="BA16" s="17" t="str">
        <f aca="false">IF(OR(AE16="",NOT(ISNUMBER(AE16))),"",AE16-N(I16))</f>
        <v/>
      </c>
      <c r="BB16" s="17" t="str">
        <f aca="false">IF(OR(AF16="",NOT(ISNUMBER(AF16))),"",AF16-N(J16))</f>
        <v/>
      </c>
      <c r="BC16" s="17" t="str">
        <f aca="false">IF(OR(AG16="",NOT(ISNUMBER(AG16))),"",AG16-N(K16))</f>
        <v/>
      </c>
      <c r="BD16" s="17" t="str">
        <f aca="false">IF(OR(AH16="",NOT(ISNUMBER(AH16))),"",AH16-N(L16))</f>
        <v/>
      </c>
      <c r="BE16" s="17" t="str">
        <f aca="false">IF(OR(AI16="",NOT(ISNUMBER(AI16))),"",AI16-N(M16))</f>
        <v/>
      </c>
      <c r="BF16" s="17" t="str">
        <f aca="false">IF(OR(AJ16="",NOT(ISNUMBER(AJ16))),"",AJ16-N(N16))</f>
        <v/>
      </c>
      <c r="BG16" s="17" t="str">
        <f aca="false">IF(OR(AK16="",NOT(ISNUMBER(AK16))),"",AK16-N(O16))</f>
        <v/>
      </c>
      <c r="BH16" s="17" t="str">
        <f aca="false">IF(OR(AL16="",NOT(ISNUMBER(AL16))),"",AL16-N(P16))</f>
        <v/>
      </c>
      <c r="BI16" s="17" t="str">
        <f aca="false">IF(OR(AM16="",NOT(ISNUMBER(AM16))),"",AM16-N(Q16))</f>
        <v/>
      </c>
      <c r="BJ16" s="17" t="str">
        <f aca="false">IF(OR(AN16="",NOT(ISNUMBER(AN16))),"",AN16-N(R16))</f>
        <v/>
      </c>
      <c r="BK16" s="17" t="str">
        <f aca="false">IF(OR(AO16="",NOT(ISNUMBER(AO16))),"",AO16-N(S16))</f>
        <v/>
      </c>
      <c r="BL16" s="17" t="str">
        <f aca="false">IF(OR(AP16="",NOT(ISNUMBER(AP16))),"",AP16-N(T16))</f>
        <v/>
      </c>
      <c r="BM16" s="17" t="str">
        <f aca="false">IF(OR(AQ16="",NOT(ISNUMBER(AQ16))),"",AQ16-N(U16))</f>
        <v/>
      </c>
      <c r="BR16" s="20" t="str">
        <f aca="false">IF($A16="","",IF(ISNUMBER($A16),DATE(YEAR($A16),MONTH($A16),1),IFERROR(DATE(2000+VALUE(RIGHT(TRIM($A16),2)),MATCH(UPPER(LEFT(TRIM($A16),3)),{"JAN","FEB","MAR","APR","MAY","JUN","JUL","AUG","SEP","OCT","NOV","DEC"},0),1),"")))</f>
        <v/>
      </c>
      <c r="BS16" s="20" t="str">
        <f aca="false">IF(BR16="","",EOMONTH(BR16,0))</f>
        <v/>
      </c>
    </row>
    <row r="17" customFormat="false" ht="15" hidden="false" customHeight="false" outlineLevel="0" collapsed="false">
      <c r="B17" s="21"/>
      <c r="C17" s="21"/>
      <c r="D17" s="21"/>
      <c r="E17" s="21"/>
      <c r="F17" s="21"/>
      <c r="G17" s="21"/>
      <c r="H17" s="21"/>
      <c r="I17" s="21"/>
      <c r="J17" s="21"/>
      <c r="K17" s="21"/>
      <c r="L17" s="21"/>
      <c r="M17" s="21"/>
      <c r="N17" s="21"/>
      <c r="O17" s="21"/>
      <c r="P17" s="21"/>
      <c r="Q17" s="21"/>
      <c r="R17" s="21"/>
      <c r="S17" s="21"/>
      <c r="T17" s="21"/>
      <c r="U17" s="21"/>
      <c r="X17" s="17" t="str">
        <f aca="false">IF(OR(B$7="",$BR17=""),"",IF('Tally Helper'!$B$3&lt;&gt;TRUE(),"not on Staff",SUMIFS('Tally Helper'!$L$5:$GI$5,'Tally Helper'!$L$3:$GI$3,"&gt;="&amp;$BR17,'Tally Helper'!$L$3:$GI$3,"&lt;="&amp;$BS17)))</f>
        <v/>
      </c>
      <c r="Y17" s="17" t="str">
        <f aca="false">IF(OR(C$7="",$BR17=""),"",IF('Tally Helper'!$B$6&lt;&gt;TRUE(),"not on Staff",SUMIFS('Tally Helper'!$L$8:$GI$8,'Tally Helper'!$L$6:$GI$6,"&gt;="&amp;$BR17,'Tally Helper'!$L$6:$GI$6,"&lt;="&amp;$BS17)))</f>
        <v/>
      </c>
      <c r="Z17" s="17" t="str">
        <f aca="false">IF(OR(D$7="",$BR17=""),"",IF('Tally Helper'!$B$9&lt;&gt;TRUE(),"not on Staff",SUMIFS('Tally Helper'!$L$11:$GI$11,'Tally Helper'!$L$9:$GI$9,"&gt;="&amp;$BR17,'Tally Helper'!$L$9:$GI$9,"&lt;="&amp;$BS17)))</f>
        <v/>
      </c>
      <c r="AA17" s="17" t="str">
        <f aca="false">IF(OR(E$7="",$BR17=""),"",IF('Tally Helper'!$B$12&lt;&gt;TRUE(),"not on Staff",SUMIFS('Tally Helper'!$L$14:$GI$14,'Tally Helper'!$L$12:$GI$12,"&gt;="&amp;$BR17,'Tally Helper'!$L$12:$GI$12,"&lt;="&amp;$BS17)))</f>
        <v/>
      </c>
      <c r="AB17" s="17" t="str">
        <f aca="false">IF(OR(F$7="",$BR17=""),"",IF('Tally Helper'!$B$15&lt;&gt;TRUE(),"not on Staff",SUMIFS('Tally Helper'!$L$17:$GI$17,'Tally Helper'!$L$15:$GI$15,"&gt;="&amp;$BR17,'Tally Helper'!$L$15:$GI$15,"&lt;="&amp;$BS17)))</f>
        <v/>
      </c>
      <c r="AC17" s="17" t="str">
        <f aca="false">IF(OR(G$7="",$BR17=""),"",IF('Tally Helper'!$B$18&lt;&gt;TRUE(),"not on Staff",SUMIFS('Tally Helper'!$L$20:$GI$20,'Tally Helper'!$L$18:$GI$18,"&gt;="&amp;$BR17,'Tally Helper'!$L$18:$GI$18,"&lt;="&amp;$BS17)))</f>
        <v/>
      </c>
      <c r="AD17" s="17" t="str">
        <f aca="false">IF(OR(H$7="",$BR17=""),"",IF('Tally Helper'!$B$21&lt;&gt;TRUE(),"not on Staff",SUMIFS('Tally Helper'!$L$23:$GI$23,'Tally Helper'!$L$21:$GI$21,"&gt;="&amp;$BR17,'Tally Helper'!$L$21:$GI$21,"&lt;="&amp;$BS17)))</f>
        <v/>
      </c>
      <c r="AE17" s="17" t="str">
        <f aca="false">IF(OR(I$7="",$BR17=""),"",IF('Tally Helper'!$B$24&lt;&gt;TRUE(),"not on Staff",SUMIFS('Tally Helper'!$L$26:$GI$26,'Tally Helper'!$L$24:$GI$24,"&gt;="&amp;$BR17,'Tally Helper'!$L$24:$GI$24,"&lt;="&amp;$BS17)))</f>
        <v/>
      </c>
      <c r="AF17" s="17" t="str">
        <f aca="false">IF(OR(J$7="",$BR17=""),"",IF('Tally Helper'!$B$27&lt;&gt;TRUE(),"not on Staff",SUMIFS('Tally Helper'!$L$29:$GI$29,'Tally Helper'!$L$27:$GI$27,"&gt;="&amp;$BR17,'Tally Helper'!$L$27:$GI$27,"&lt;="&amp;$BS17)))</f>
        <v/>
      </c>
      <c r="AG17" s="17" t="str">
        <f aca="false">IF(OR(K$7="",$BR17=""),"",IF('Tally Helper'!$B$30&lt;&gt;TRUE(),"not on Staff",SUMIFS('Tally Helper'!$L$32:$GI$32,'Tally Helper'!$L$30:$GI$30,"&gt;="&amp;$BR17,'Tally Helper'!$L$30:$GI$30,"&lt;="&amp;$BS17)))</f>
        <v/>
      </c>
      <c r="AH17" s="17" t="str">
        <f aca="false">IF(OR(L$7="",$BR17=""),"",IF('Tally Helper'!$B$33&lt;&gt;TRUE(),"not on Staff",SUMIFS('Tally Helper'!$L$35:$GI$35,'Tally Helper'!$L$33:$GI$33,"&gt;="&amp;$BR17,'Tally Helper'!$L$33:$GI$33,"&lt;="&amp;$BS17)))</f>
        <v/>
      </c>
      <c r="AI17" s="17" t="str">
        <f aca="false">IF(OR(M$7="",$BR17=""),"",IF('Tally Helper'!$B$36&lt;&gt;TRUE(),"not on Staff",SUMIFS('Tally Helper'!$L$38:$GI$38,'Tally Helper'!$L$36:$GI$36,"&gt;="&amp;$BR17,'Tally Helper'!$L$36:$GI$36,"&lt;="&amp;$BS17)))</f>
        <v/>
      </c>
      <c r="AJ17" s="17" t="str">
        <f aca="false">IF(OR(N$7="",$BR17=""),"",IF('Tally Helper'!$B$39&lt;&gt;TRUE(),"not on Staff",SUMIFS('Tally Helper'!$L$41:$GI$41,'Tally Helper'!$L$39:$GI$39,"&gt;="&amp;$BR17,'Tally Helper'!$L$39:$GI$39,"&lt;="&amp;$BS17)))</f>
        <v/>
      </c>
      <c r="AK17" s="17" t="str">
        <f aca="false">IF(OR(O$7="",$BR17=""),"",IF('Tally Helper'!$B$42&lt;&gt;TRUE(),"not on Staff",SUMIFS('Tally Helper'!$L$44:$GI$44,'Tally Helper'!$L$42:$GI$42,"&gt;="&amp;$BR17,'Tally Helper'!$L$42:$GI$42,"&lt;="&amp;$BS17)))</f>
        <v/>
      </c>
      <c r="AL17" s="17" t="str">
        <f aca="false">IF(OR(P$7="",$BR17=""),"",IF('Tally Helper'!$B$45&lt;&gt;TRUE(),"not on Staff",SUMIFS('Tally Helper'!$L$47:$GI$47,'Tally Helper'!$L$45:$GI$45,"&gt;="&amp;$BR17,'Tally Helper'!$L$45:$GI$45,"&lt;="&amp;$BS17)))</f>
        <v/>
      </c>
      <c r="AM17" s="17" t="str">
        <f aca="false">IF(OR(Q$7="",$BR17=""),"",IF('Tally Helper'!$B$48&lt;&gt;TRUE(),"not on Staff",SUMIFS('Tally Helper'!$L$50:$GI$50,'Tally Helper'!$L$48:$GI$48,"&gt;="&amp;$BR17,'Tally Helper'!$L$48:$GI$48,"&lt;="&amp;$BS17)))</f>
        <v/>
      </c>
      <c r="AN17" s="17" t="str">
        <f aca="false">IF(OR(R$7="",$BR17=""),"",IF('Tally Helper'!$B$51&lt;&gt;TRUE(),"not on Staff",SUMIFS('Tally Helper'!$L$53:$GI$53,'Tally Helper'!$L$51:$GI$51,"&gt;="&amp;$BR17,'Tally Helper'!$L$51:$GI$51,"&lt;="&amp;$BS17)))</f>
        <v/>
      </c>
      <c r="AO17" s="17" t="str">
        <f aca="false">IF(OR(S$7="",$BR17=""),"",IF('Tally Helper'!$B$54&lt;&gt;TRUE(),"not on Staff",SUMIFS('Tally Helper'!$L$56:$GI$56,'Tally Helper'!$L$54:$GI$54,"&gt;="&amp;$BR17,'Tally Helper'!$L$54:$GI$54,"&lt;="&amp;$BS17)))</f>
        <v/>
      </c>
      <c r="AP17" s="17" t="str">
        <f aca="false">IF(OR(T$7="",$BR17=""),"",IF('Tally Helper'!$B$57&lt;&gt;TRUE(),"not on Staff",SUMIFS('Tally Helper'!$L$59:$GI$59,'Tally Helper'!$L$57:$GI$57,"&gt;="&amp;$BR17,'Tally Helper'!$L$57:$GI$57,"&lt;="&amp;$BS17)))</f>
        <v/>
      </c>
      <c r="AQ17" s="17" t="str">
        <f aca="false">IF(OR(U$7="",$BR17=""),"",IF('Tally Helper'!$B$60&lt;&gt;TRUE(),"not on Staff",SUMIFS('Tally Helper'!$L$62:$GI$62,'Tally Helper'!$L$60:$GI$60,"&gt;="&amp;$BR17,'Tally Helper'!$L$60:$GI$60,"&lt;="&amp;$BS17)))</f>
        <v/>
      </c>
      <c r="AT17" s="17" t="str">
        <f aca="false">IF(OR(X17="",NOT(ISNUMBER(X17))),"",X17-N(B17))</f>
        <v/>
      </c>
      <c r="AU17" s="17" t="str">
        <f aca="false">IF(OR(Y17="",NOT(ISNUMBER(Y17))),"",Y17-N(C17))</f>
        <v/>
      </c>
      <c r="AV17" s="17" t="str">
        <f aca="false">IF(OR(Z17="",NOT(ISNUMBER(Z17))),"",Z17-N(D17))</f>
        <v/>
      </c>
      <c r="AW17" s="17" t="str">
        <f aca="false">IF(OR(AA17="",NOT(ISNUMBER(AA17))),"",AA17-N(E17))</f>
        <v/>
      </c>
      <c r="AX17" s="17" t="str">
        <f aca="false">IF(OR(AB17="",NOT(ISNUMBER(AB17))),"",AB17-N(F17))</f>
        <v/>
      </c>
      <c r="AY17" s="17" t="str">
        <f aca="false">IF(OR(AC17="",NOT(ISNUMBER(AC17))),"",AC17-N(G17))</f>
        <v/>
      </c>
      <c r="AZ17" s="17" t="str">
        <f aca="false">IF(OR(AD17="",NOT(ISNUMBER(AD17))),"",AD17-N(H17))</f>
        <v/>
      </c>
      <c r="BA17" s="17" t="str">
        <f aca="false">IF(OR(AE17="",NOT(ISNUMBER(AE17))),"",AE17-N(I17))</f>
        <v/>
      </c>
      <c r="BB17" s="17" t="str">
        <f aca="false">IF(OR(AF17="",NOT(ISNUMBER(AF17))),"",AF17-N(J17))</f>
        <v/>
      </c>
      <c r="BC17" s="17" t="str">
        <f aca="false">IF(OR(AG17="",NOT(ISNUMBER(AG17))),"",AG17-N(K17))</f>
        <v/>
      </c>
      <c r="BD17" s="17" t="str">
        <f aca="false">IF(OR(AH17="",NOT(ISNUMBER(AH17))),"",AH17-N(L17))</f>
        <v/>
      </c>
      <c r="BE17" s="17" t="str">
        <f aca="false">IF(OR(AI17="",NOT(ISNUMBER(AI17))),"",AI17-N(M17))</f>
        <v/>
      </c>
      <c r="BF17" s="17" t="str">
        <f aca="false">IF(OR(AJ17="",NOT(ISNUMBER(AJ17))),"",AJ17-N(N17))</f>
        <v/>
      </c>
      <c r="BG17" s="17" t="str">
        <f aca="false">IF(OR(AK17="",NOT(ISNUMBER(AK17))),"",AK17-N(O17))</f>
        <v/>
      </c>
      <c r="BH17" s="17" t="str">
        <f aca="false">IF(OR(AL17="",NOT(ISNUMBER(AL17))),"",AL17-N(P17))</f>
        <v/>
      </c>
      <c r="BI17" s="17" t="str">
        <f aca="false">IF(OR(AM17="",NOT(ISNUMBER(AM17))),"",AM17-N(Q17))</f>
        <v/>
      </c>
      <c r="BJ17" s="17" t="str">
        <f aca="false">IF(OR(AN17="",NOT(ISNUMBER(AN17))),"",AN17-N(R17))</f>
        <v/>
      </c>
      <c r="BK17" s="17" t="str">
        <f aca="false">IF(OR(AO17="",NOT(ISNUMBER(AO17))),"",AO17-N(S17))</f>
        <v/>
      </c>
      <c r="BL17" s="17" t="str">
        <f aca="false">IF(OR(AP17="",NOT(ISNUMBER(AP17))),"",AP17-N(T17))</f>
        <v/>
      </c>
      <c r="BM17" s="17" t="str">
        <f aca="false">IF(OR(AQ17="",NOT(ISNUMBER(AQ17))),"",AQ17-N(U17))</f>
        <v/>
      </c>
      <c r="BR17" s="20" t="str">
        <f aca="false">IF($A17="","",IF(ISNUMBER($A17),DATE(YEAR($A17),MONTH($A17),1),IFERROR(DATE(2000+VALUE(RIGHT(TRIM($A17),2)),MATCH(UPPER(LEFT(TRIM($A17),3)),{"JAN","FEB","MAR","APR","MAY","JUN","JUL","AUG","SEP","OCT","NOV","DEC"},0),1),"")))</f>
        <v/>
      </c>
      <c r="BS17" s="20" t="str">
        <f aca="false">IF(BR17="","",EOMONTH(BR17,0))</f>
        <v/>
      </c>
    </row>
    <row r="18" customFormat="false" ht="15" hidden="false" customHeight="false" outlineLevel="0" collapsed="false">
      <c r="B18" s="21"/>
      <c r="C18" s="21"/>
      <c r="D18" s="21"/>
      <c r="E18" s="21"/>
      <c r="F18" s="21"/>
      <c r="G18" s="21"/>
      <c r="H18" s="21"/>
      <c r="I18" s="21"/>
      <c r="J18" s="21"/>
      <c r="K18" s="21"/>
      <c r="L18" s="21"/>
      <c r="M18" s="21"/>
      <c r="N18" s="21"/>
      <c r="O18" s="21"/>
      <c r="P18" s="21"/>
      <c r="Q18" s="21"/>
      <c r="R18" s="21"/>
      <c r="S18" s="21"/>
      <c r="T18" s="21"/>
      <c r="U18" s="21"/>
      <c r="X18" s="17" t="str">
        <f aca="false">IF(OR(B$7="",$BR18=""),"",IF('Tally Helper'!$B$3&lt;&gt;TRUE(),"not on Staff",SUMIFS('Tally Helper'!$L$5:$GI$5,'Tally Helper'!$L$3:$GI$3,"&gt;="&amp;$BR18,'Tally Helper'!$L$3:$GI$3,"&lt;="&amp;$BS18)))</f>
        <v/>
      </c>
      <c r="Y18" s="17" t="str">
        <f aca="false">IF(OR(C$7="",$BR18=""),"",IF('Tally Helper'!$B$6&lt;&gt;TRUE(),"not on Staff",SUMIFS('Tally Helper'!$L$8:$GI$8,'Tally Helper'!$L$6:$GI$6,"&gt;="&amp;$BR18,'Tally Helper'!$L$6:$GI$6,"&lt;="&amp;$BS18)))</f>
        <v/>
      </c>
      <c r="Z18" s="17" t="str">
        <f aca="false">IF(OR(D$7="",$BR18=""),"",IF('Tally Helper'!$B$9&lt;&gt;TRUE(),"not on Staff",SUMIFS('Tally Helper'!$L$11:$GI$11,'Tally Helper'!$L$9:$GI$9,"&gt;="&amp;$BR18,'Tally Helper'!$L$9:$GI$9,"&lt;="&amp;$BS18)))</f>
        <v/>
      </c>
      <c r="AA18" s="17" t="str">
        <f aca="false">IF(OR(E$7="",$BR18=""),"",IF('Tally Helper'!$B$12&lt;&gt;TRUE(),"not on Staff",SUMIFS('Tally Helper'!$L$14:$GI$14,'Tally Helper'!$L$12:$GI$12,"&gt;="&amp;$BR18,'Tally Helper'!$L$12:$GI$12,"&lt;="&amp;$BS18)))</f>
        <v/>
      </c>
      <c r="AB18" s="17" t="str">
        <f aca="false">IF(OR(F$7="",$BR18=""),"",IF('Tally Helper'!$B$15&lt;&gt;TRUE(),"not on Staff",SUMIFS('Tally Helper'!$L$17:$GI$17,'Tally Helper'!$L$15:$GI$15,"&gt;="&amp;$BR18,'Tally Helper'!$L$15:$GI$15,"&lt;="&amp;$BS18)))</f>
        <v/>
      </c>
      <c r="AC18" s="17" t="str">
        <f aca="false">IF(OR(G$7="",$BR18=""),"",IF('Tally Helper'!$B$18&lt;&gt;TRUE(),"not on Staff",SUMIFS('Tally Helper'!$L$20:$GI$20,'Tally Helper'!$L$18:$GI$18,"&gt;="&amp;$BR18,'Tally Helper'!$L$18:$GI$18,"&lt;="&amp;$BS18)))</f>
        <v/>
      </c>
      <c r="AD18" s="17" t="str">
        <f aca="false">IF(OR(H$7="",$BR18=""),"",IF('Tally Helper'!$B$21&lt;&gt;TRUE(),"not on Staff",SUMIFS('Tally Helper'!$L$23:$GI$23,'Tally Helper'!$L$21:$GI$21,"&gt;="&amp;$BR18,'Tally Helper'!$L$21:$GI$21,"&lt;="&amp;$BS18)))</f>
        <v/>
      </c>
      <c r="AE18" s="17" t="str">
        <f aca="false">IF(OR(I$7="",$BR18=""),"",IF('Tally Helper'!$B$24&lt;&gt;TRUE(),"not on Staff",SUMIFS('Tally Helper'!$L$26:$GI$26,'Tally Helper'!$L$24:$GI$24,"&gt;="&amp;$BR18,'Tally Helper'!$L$24:$GI$24,"&lt;="&amp;$BS18)))</f>
        <v/>
      </c>
      <c r="AF18" s="17" t="str">
        <f aca="false">IF(OR(J$7="",$BR18=""),"",IF('Tally Helper'!$B$27&lt;&gt;TRUE(),"not on Staff",SUMIFS('Tally Helper'!$L$29:$GI$29,'Tally Helper'!$L$27:$GI$27,"&gt;="&amp;$BR18,'Tally Helper'!$L$27:$GI$27,"&lt;="&amp;$BS18)))</f>
        <v/>
      </c>
      <c r="AG18" s="17" t="str">
        <f aca="false">IF(OR(K$7="",$BR18=""),"",IF('Tally Helper'!$B$30&lt;&gt;TRUE(),"not on Staff",SUMIFS('Tally Helper'!$L$32:$GI$32,'Tally Helper'!$L$30:$GI$30,"&gt;="&amp;$BR18,'Tally Helper'!$L$30:$GI$30,"&lt;="&amp;$BS18)))</f>
        <v/>
      </c>
      <c r="AH18" s="17" t="str">
        <f aca="false">IF(OR(L$7="",$BR18=""),"",IF('Tally Helper'!$B$33&lt;&gt;TRUE(),"not on Staff",SUMIFS('Tally Helper'!$L$35:$GI$35,'Tally Helper'!$L$33:$GI$33,"&gt;="&amp;$BR18,'Tally Helper'!$L$33:$GI$33,"&lt;="&amp;$BS18)))</f>
        <v/>
      </c>
      <c r="AI18" s="17" t="str">
        <f aca="false">IF(OR(M$7="",$BR18=""),"",IF('Tally Helper'!$B$36&lt;&gt;TRUE(),"not on Staff",SUMIFS('Tally Helper'!$L$38:$GI$38,'Tally Helper'!$L$36:$GI$36,"&gt;="&amp;$BR18,'Tally Helper'!$L$36:$GI$36,"&lt;="&amp;$BS18)))</f>
        <v/>
      </c>
      <c r="AJ18" s="17" t="str">
        <f aca="false">IF(OR(N$7="",$BR18=""),"",IF('Tally Helper'!$B$39&lt;&gt;TRUE(),"not on Staff",SUMIFS('Tally Helper'!$L$41:$GI$41,'Tally Helper'!$L$39:$GI$39,"&gt;="&amp;$BR18,'Tally Helper'!$L$39:$GI$39,"&lt;="&amp;$BS18)))</f>
        <v/>
      </c>
      <c r="AK18" s="17" t="str">
        <f aca="false">IF(OR(O$7="",$BR18=""),"",IF('Tally Helper'!$B$42&lt;&gt;TRUE(),"not on Staff",SUMIFS('Tally Helper'!$L$44:$GI$44,'Tally Helper'!$L$42:$GI$42,"&gt;="&amp;$BR18,'Tally Helper'!$L$42:$GI$42,"&lt;="&amp;$BS18)))</f>
        <v/>
      </c>
      <c r="AL18" s="17" t="str">
        <f aca="false">IF(OR(P$7="",$BR18=""),"",IF('Tally Helper'!$B$45&lt;&gt;TRUE(),"not on Staff",SUMIFS('Tally Helper'!$L$47:$GI$47,'Tally Helper'!$L$45:$GI$45,"&gt;="&amp;$BR18,'Tally Helper'!$L$45:$GI$45,"&lt;="&amp;$BS18)))</f>
        <v/>
      </c>
      <c r="AM18" s="17" t="str">
        <f aca="false">IF(OR(Q$7="",$BR18=""),"",IF('Tally Helper'!$B$48&lt;&gt;TRUE(),"not on Staff",SUMIFS('Tally Helper'!$L$50:$GI$50,'Tally Helper'!$L$48:$GI$48,"&gt;="&amp;$BR18,'Tally Helper'!$L$48:$GI$48,"&lt;="&amp;$BS18)))</f>
        <v/>
      </c>
      <c r="AN18" s="17" t="str">
        <f aca="false">IF(OR(R$7="",$BR18=""),"",IF('Tally Helper'!$B$51&lt;&gt;TRUE(),"not on Staff",SUMIFS('Tally Helper'!$L$53:$GI$53,'Tally Helper'!$L$51:$GI$51,"&gt;="&amp;$BR18,'Tally Helper'!$L$51:$GI$51,"&lt;="&amp;$BS18)))</f>
        <v/>
      </c>
      <c r="AO18" s="17" t="str">
        <f aca="false">IF(OR(S$7="",$BR18=""),"",IF('Tally Helper'!$B$54&lt;&gt;TRUE(),"not on Staff",SUMIFS('Tally Helper'!$L$56:$GI$56,'Tally Helper'!$L$54:$GI$54,"&gt;="&amp;$BR18,'Tally Helper'!$L$54:$GI$54,"&lt;="&amp;$BS18)))</f>
        <v/>
      </c>
      <c r="AP18" s="17" t="str">
        <f aca="false">IF(OR(T$7="",$BR18=""),"",IF('Tally Helper'!$B$57&lt;&gt;TRUE(),"not on Staff",SUMIFS('Tally Helper'!$L$59:$GI$59,'Tally Helper'!$L$57:$GI$57,"&gt;="&amp;$BR18,'Tally Helper'!$L$57:$GI$57,"&lt;="&amp;$BS18)))</f>
        <v/>
      </c>
      <c r="AQ18" s="17" t="str">
        <f aca="false">IF(OR(U$7="",$BR18=""),"",IF('Tally Helper'!$B$60&lt;&gt;TRUE(),"not on Staff",SUMIFS('Tally Helper'!$L$62:$GI$62,'Tally Helper'!$L$60:$GI$60,"&gt;="&amp;$BR18,'Tally Helper'!$L$60:$GI$60,"&lt;="&amp;$BS18)))</f>
        <v/>
      </c>
      <c r="AT18" s="17" t="str">
        <f aca="false">IF(OR(X18="",NOT(ISNUMBER(X18))),"",X18-N(B18))</f>
        <v/>
      </c>
      <c r="AU18" s="17" t="str">
        <f aca="false">IF(OR(Y18="",NOT(ISNUMBER(Y18))),"",Y18-N(C18))</f>
        <v/>
      </c>
      <c r="AV18" s="17" t="str">
        <f aca="false">IF(OR(Z18="",NOT(ISNUMBER(Z18))),"",Z18-N(D18))</f>
        <v/>
      </c>
      <c r="AW18" s="17" t="str">
        <f aca="false">IF(OR(AA18="",NOT(ISNUMBER(AA18))),"",AA18-N(E18))</f>
        <v/>
      </c>
      <c r="AX18" s="17" t="str">
        <f aca="false">IF(OR(AB18="",NOT(ISNUMBER(AB18))),"",AB18-N(F18))</f>
        <v/>
      </c>
      <c r="AY18" s="17" t="str">
        <f aca="false">IF(OR(AC18="",NOT(ISNUMBER(AC18))),"",AC18-N(G18))</f>
        <v/>
      </c>
      <c r="AZ18" s="17" t="str">
        <f aca="false">IF(OR(AD18="",NOT(ISNUMBER(AD18))),"",AD18-N(H18))</f>
        <v/>
      </c>
      <c r="BA18" s="17" t="str">
        <f aca="false">IF(OR(AE18="",NOT(ISNUMBER(AE18))),"",AE18-N(I18))</f>
        <v/>
      </c>
      <c r="BB18" s="17" t="str">
        <f aca="false">IF(OR(AF18="",NOT(ISNUMBER(AF18))),"",AF18-N(J18))</f>
        <v/>
      </c>
      <c r="BC18" s="17" t="str">
        <f aca="false">IF(OR(AG18="",NOT(ISNUMBER(AG18))),"",AG18-N(K18))</f>
        <v/>
      </c>
      <c r="BD18" s="17" t="str">
        <f aca="false">IF(OR(AH18="",NOT(ISNUMBER(AH18))),"",AH18-N(L18))</f>
        <v/>
      </c>
      <c r="BE18" s="17" t="str">
        <f aca="false">IF(OR(AI18="",NOT(ISNUMBER(AI18))),"",AI18-N(M18))</f>
        <v/>
      </c>
      <c r="BF18" s="17" t="str">
        <f aca="false">IF(OR(AJ18="",NOT(ISNUMBER(AJ18))),"",AJ18-N(N18))</f>
        <v/>
      </c>
      <c r="BG18" s="17" t="str">
        <f aca="false">IF(OR(AK18="",NOT(ISNUMBER(AK18))),"",AK18-N(O18))</f>
        <v/>
      </c>
      <c r="BH18" s="17" t="str">
        <f aca="false">IF(OR(AL18="",NOT(ISNUMBER(AL18))),"",AL18-N(P18))</f>
        <v/>
      </c>
      <c r="BI18" s="17" t="str">
        <f aca="false">IF(OR(AM18="",NOT(ISNUMBER(AM18))),"",AM18-N(Q18))</f>
        <v/>
      </c>
      <c r="BJ18" s="17" t="str">
        <f aca="false">IF(OR(AN18="",NOT(ISNUMBER(AN18))),"",AN18-N(R18))</f>
        <v/>
      </c>
      <c r="BK18" s="17" t="str">
        <f aca="false">IF(OR(AO18="",NOT(ISNUMBER(AO18))),"",AO18-N(S18))</f>
        <v/>
      </c>
      <c r="BL18" s="17" t="str">
        <f aca="false">IF(OR(AP18="",NOT(ISNUMBER(AP18))),"",AP18-N(T18))</f>
        <v/>
      </c>
      <c r="BM18" s="17" t="str">
        <f aca="false">IF(OR(AQ18="",NOT(ISNUMBER(AQ18))),"",AQ18-N(U18))</f>
        <v/>
      </c>
      <c r="BR18" s="20" t="str">
        <f aca="false">IF($A18="","",IF(ISNUMBER($A18),DATE(YEAR($A18),MONTH($A18),1),IFERROR(DATE(2000+VALUE(RIGHT(TRIM($A18),2)),MATCH(UPPER(LEFT(TRIM($A18),3)),{"JAN","FEB","MAR","APR","MAY","JUN","JUL","AUG","SEP","OCT","NOV","DEC"},0),1),"")))</f>
        <v/>
      </c>
      <c r="BS18" s="20" t="str">
        <f aca="false">IF(BR18="","",EOMONTH(BR18,0))</f>
        <v/>
      </c>
    </row>
    <row r="19" customFormat="false" ht="15" hidden="false" customHeight="false" outlineLevel="0" collapsed="false">
      <c r="B19" s="21"/>
      <c r="C19" s="21"/>
      <c r="D19" s="21"/>
      <c r="E19" s="21"/>
      <c r="F19" s="21"/>
      <c r="G19" s="21"/>
      <c r="H19" s="21"/>
      <c r="I19" s="21"/>
      <c r="J19" s="21"/>
      <c r="K19" s="21"/>
      <c r="L19" s="21"/>
      <c r="M19" s="21"/>
      <c r="N19" s="21"/>
      <c r="O19" s="21"/>
      <c r="P19" s="21"/>
      <c r="Q19" s="21"/>
      <c r="R19" s="21"/>
      <c r="S19" s="21"/>
      <c r="T19" s="21"/>
      <c r="U19" s="21"/>
      <c r="X19" s="17" t="str">
        <f aca="false">IF(OR(B$7="",$BR19=""),"",IF('Tally Helper'!$B$3&lt;&gt;TRUE(),"not on Staff",SUMIFS('Tally Helper'!$L$5:$GI$5,'Tally Helper'!$L$3:$GI$3,"&gt;="&amp;$BR19,'Tally Helper'!$L$3:$GI$3,"&lt;="&amp;$BS19)))</f>
        <v/>
      </c>
      <c r="Y19" s="17" t="str">
        <f aca="false">IF(OR(C$7="",$BR19=""),"",IF('Tally Helper'!$B$6&lt;&gt;TRUE(),"not on Staff",SUMIFS('Tally Helper'!$L$8:$GI$8,'Tally Helper'!$L$6:$GI$6,"&gt;="&amp;$BR19,'Tally Helper'!$L$6:$GI$6,"&lt;="&amp;$BS19)))</f>
        <v/>
      </c>
      <c r="Z19" s="17" t="str">
        <f aca="false">IF(OR(D$7="",$BR19=""),"",IF('Tally Helper'!$B$9&lt;&gt;TRUE(),"not on Staff",SUMIFS('Tally Helper'!$L$11:$GI$11,'Tally Helper'!$L$9:$GI$9,"&gt;="&amp;$BR19,'Tally Helper'!$L$9:$GI$9,"&lt;="&amp;$BS19)))</f>
        <v/>
      </c>
      <c r="AA19" s="17" t="str">
        <f aca="false">IF(OR(E$7="",$BR19=""),"",IF('Tally Helper'!$B$12&lt;&gt;TRUE(),"not on Staff",SUMIFS('Tally Helper'!$L$14:$GI$14,'Tally Helper'!$L$12:$GI$12,"&gt;="&amp;$BR19,'Tally Helper'!$L$12:$GI$12,"&lt;="&amp;$BS19)))</f>
        <v/>
      </c>
      <c r="AB19" s="17" t="str">
        <f aca="false">IF(OR(F$7="",$BR19=""),"",IF('Tally Helper'!$B$15&lt;&gt;TRUE(),"not on Staff",SUMIFS('Tally Helper'!$L$17:$GI$17,'Tally Helper'!$L$15:$GI$15,"&gt;="&amp;$BR19,'Tally Helper'!$L$15:$GI$15,"&lt;="&amp;$BS19)))</f>
        <v/>
      </c>
      <c r="AC19" s="17" t="str">
        <f aca="false">IF(OR(G$7="",$BR19=""),"",IF('Tally Helper'!$B$18&lt;&gt;TRUE(),"not on Staff",SUMIFS('Tally Helper'!$L$20:$GI$20,'Tally Helper'!$L$18:$GI$18,"&gt;="&amp;$BR19,'Tally Helper'!$L$18:$GI$18,"&lt;="&amp;$BS19)))</f>
        <v/>
      </c>
      <c r="AD19" s="17" t="str">
        <f aca="false">IF(OR(H$7="",$BR19=""),"",IF('Tally Helper'!$B$21&lt;&gt;TRUE(),"not on Staff",SUMIFS('Tally Helper'!$L$23:$GI$23,'Tally Helper'!$L$21:$GI$21,"&gt;="&amp;$BR19,'Tally Helper'!$L$21:$GI$21,"&lt;="&amp;$BS19)))</f>
        <v/>
      </c>
      <c r="AE19" s="17" t="str">
        <f aca="false">IF(OR(I$7="",$BR19=""),"",IF('Tally Helper'!$B$24&lt;&gt;TRUE(),"not on Staff",SUMIFS('Tally Helper'!$L$26:$GI$26,'Tally Helper'!$L$24:$GI$24,"&gt;="&amp;$BR19,'Tally Helper'!$L$24:$GI$24,"&lt;="&amp;$BS19)))</f>
        <v/>
      </c>
      <c r="AF19" s="17" t="str">
        <f aca="false">IF(OR(J$7="",$BR19=""),"",IF('Tally Helper'!$B$27&lt;&gt;TRUE(),"not on Staff",SUMIFS('Tally Helper'!$L$29:$GI$29,'Tally Helper'!$L$27:$GI$27,"&gt;="&amp;$BR19,'Tally Helper'!$L$27:$GI$27,"&lt;="&amp;$BS19)))</f>
        <v/>
      </c>
      <c r="AG19" s="17" t="str">
        <f aca="false">IF(OR(K$7="",$BR19=""),"",IF('Tally Helper'!$B$30&lt;&gt;TRUE(),"not on Staff",SUMIFS('Tally Helper'!$L$32:$GI$32,'Tally Helper'!$L$30:$GI$30,"&gt;="&amp;$BR19,'Tally Helper'!$L$30:$GI$30,"&lt;="&amp;$BS19)))</f>
        <v/>
      </c>
      <c r="AH19" s="17" t="str">
        <f aca="false">IF(OR(L$7="",$BR19=""),"",IF('Tally Helper'!$B$33&lt;&gt;TRUE(),"not on Staff",SUMIFS('Tally Helper'!$L$35:$GI$35,'Tally Helper'!$L$33:$GI$33,"&gt;="&amp;$BR19,'Tally Helper'!$L$33:$GI$33,"&lt;="&amp;$BS19)))</f>
        <v/>
      </c>
      <c r="AI19" s="17" t="str">
        <f aca="false">IF(OR(M$7="",$BR19=""),"",IF('Tally Helper'!$B$36&lt;&gt;TRUE(),"not on Staff",SUMIFS('Tally Helper'!$L$38:$GI$38,'Tally Helper'!$L$36:$GI$36,"&gt;="&amp;$BR19,'Tally Helper'!$L$36:$GI$36,"&lt;="&amp;$BS19)))</f>
        <v/>
      </c>
      <c r="AJ19" s="17" t="str">
        <f aca="false">IF(OR(N$7="",$BR19=""),"",IF('Tally Helper'!$B$39&lt;&gt;TRUE(),"not on Staff",SUMIFS('Tally Helper'!$L$41:$GI$41,'Tally Helper'!$L$39:$GI$39,"&gt;="&amp;$BR19,'Tally Helper'!$L$39:$GI$39,"&lt;="&amp;$BS19)))</f>
        <v/>
      </c>
      <c r="AK19" s="17" t="str">
        <f aca="false">IF(OR(O$7="",$BR19=""),"",IF('Tally Helper'!$B$42&lt;&gt;TRUE(),"not on Staff",SUMIFS('Tally Helper'!$L$44:$GI$44,'Tally Helper'!$L$42:$GI$42,"&gt;="&amp;$BR19,'Tally Helper'!$L$42:$GI$42,"&lt;="&amp;$BS19)))</f>
        <v/>
      </c>
      <c r="AL19" s="17" t="str">
        <f aca="false">IF(OR(P$7="",$BR19=""),"",IF('Tally Helper'!$B$45&lt;&gt;TRUE(),"not on Staff",SUMIFS('Tally Helper'!$L$47:$GI$47,'Tally Helper'!$L$45:$GI$45,"&gt;="&amp;$BR19,'Tally Helper'!$L$45:$GI$45,"&lt;="&amp;$BS19)))</f>
        <v/>
      </c>
      <c r="AM19" s="17" t="str">
        <f aca="false">IF(OR(Q$7="",$BR19=""),"",IF('Tally Helper'!$B$48&lt;&gt;TRUE(),"not on Staff",SUMIFS('Tally Helper'!$L$50:$GI$50,'Tally Helper'!$L$48:$GI$48,"&gt;="&amp;$BR19,'Tally Helper'!$L$48:$GI$48,"&lt;="&amp;$BS19)))</f>
        <v/>
      </c>
      <c r="AN19" s="17" t="str">
        <f aca="false">IF(OR(R$7="",$BR19=""),"",IF('Tally Helper'!$B$51&lt;&gt;TRUE(),"not on Staff",SUMIFS('Tally Helper'!$L$53:$GI$53,'Tally Helper'!$L$51:$GI$51,"&gt;="&amp;$BR19,'Tally Helper'!$L$51:$GI$51,"&lt;="&amp;$BS19)))</f>
        <v/>
      </c>
      <c r="AO19" s="17" t="str">
        <f aca="false">IF(OR(S$7="",$BR19=""),"",IF('Tally Helper'!$B$54&lt;&gt;TRUE(),"not on Staff",SUMIFS('Tally Helper'!$L$56:$GI$56,'Tally Helper'!$L$54:$GI$54,"&gt;="&amp;$BR19,'Tally Helper'!$L$54:$GI$54,"&lt;="&amp;$BS19)))</f>
        <v/>
      </c>
      <c r="AP19" s="17" t="str">
        <f aca="false">IF(OR(T$7="",$BR19=""),"",IF('Tally Helper'!$B$57&lt;&gt;TRUE(),"not on Staff",SUMIFS('Tally Helper'!$L$59:$GI$59,'Tally Helper'!$L$57:$GI$57,"&gt;="&amp;$BR19,'Tally Helper'!$L$57:$GI$57,"&lt;="&amp;$BS19)))</f>
        <v/>
      </c>
      <c r="AQ19" s="17" t="str">
        <f aca="false">IF(OR(U$7="",$BR19=""),"",IF('Tally Helper'!$B$60&lt;&gt;TRUE(),"not on Staff",SUMIFS('Tally Helper'!$L$62:$GI$62,'Tally Helper'!$L$60:$GI$60,"&gt;="&amp;$BR19,'Tally Helper'!$L$60:$GI$60,"&lt;="&amp;$BS19)))</f>
        <v/>
      </c>
      <c r="AT19" s="17" t="str">
        <f aca="false">IF(OR(X19="",NOT(ISNUMBER(X19))),"",X19-N(B19))</f>
        <v/>
      </c>
      <c r="AU19" s="17" t="str">
        <f aca="false">IF(OR(Y19="",NOT(ISNUMBER(Y19))),"",Y19-N(C19))</f>
        <v/>
      </c>
      <c r="AV19" s="17" t="str">
        <f aca="false">IF(OR(Z19="",NOT(ISNUMBER(Z19))),"",Z19-N(D19))</f>
        <v/>
      </c>
      <c r="AW19" s="17" t="str">
        <f aca="false">IF(OR(AA19="",NOT(ISNUMBER(AA19))),"",AA19-N(E19))</f>
        <v/>
      </c>
      <c r="AX19" s="17" t="str">
        <f aca="false">IF(OR(AB19="",NOT(ISNUMBER(AB19))),"",AB19-N(F19))</f>
        <v/>
      </c>
      <c r="AY19" s="17" t="str">
        <f aca="false">IF(OR(AC19="",NOT(ISNUMBER(AC19))),"",AC19-N(G19))</f>
        <v/>
      </c>
      <c r="AZ19" s="17" t="str">
        <f aca="false">IF(OR(AD19="",NOT(ISNUMBER(AD19))),"",AD19-N(H19))</f>
        <v/>
      </c>
      <c r="BA19" s="17" t="str">
        <f aca="false">IF(OR(AE19="",NOT(ISNUMBER(AE19))),"",AE19-N(I19))</f>
        <v/>
      </c>
      <c r="BB19" s="17" t="str">
        <f aca="false">IF(OR(AF19="",NOT(ISNUMBER(AF19))),"",AF19-N(J19))</f>
        <v/>
      </c>
      <c r="BC19" s="17" t="str">
        <f aca="false">IF(OR(AG19="",NOT(ISNUMBER(AG19))),"",AG19-N(K19))</f>
        <v/>
      </c>
      <c r="BD19" s="17" t="str">
        <f aca="false">IF(OR(AH19="",NOT(ISNUMBER(AH19))),"",AH19-N(L19))</f>
        <v/>
      </c>
      <c r="BE19" s="17" t="str">
        <f aca="false">IF(OR(AI19="",NOT(ISNUMBER(AI19))),"",AI19-N(M19))</f>
        <v/>
      </c>
      <c r="BF19" s="17" t="str">
        <f aca="false">IF(OR(AJ19="",NOT(ISNUMBER(AJ19))),"",AJ19-N(N19))</f>
        <v/>
      </c>
      <c r="BG19" s="17" t="str">
        <f aca="false">IF(OR(AK19="",NOT(ISNUMBER(AK19))),"",AK19-N(O19))</f>
        <v/>
      </c>
      <c r="BH19" s="17" t="str">
        <f aca="false">IF(OR(AL19="",NOT(ISNUMBER(AL19))),"",AL19-N(P19))</f>
        <v/>
      </c>
      <c r="BI19" s="17" t="str">
        <f aca="false">IF(OR(AM19="",NOT(ISNUMBER(AM19))),"",AM19-N(Q19))</f>
        <v/>
      </c>
      <c r="BJ19" s="17" t="str">
        <f aca="false">IF(OR(AN19="",NOT(ISNUMBER(AN19))),"",AN19-N(R19))</f>
        <v/>
      </c>
      <c r="BK19" s="17" t="str">
        <f aca="false">IF(OR(AO19="",NOT(ISNUMBER(AO19))),"",AO19-N(S19))</f>
        <v/>
      </c>
      <c r="BL19" s="17" t="str">
        <f aca="false">IF(OR(AP19="",NOT(ISNUMBER(AP19))),"",AP19-N(T19))</f>
        <v/>
      </c>
      <c r="BM19" s="17" t="str">
        <f aca="false">IF(OR(AQ19="",NOT(ISNUMBER(AQ19))),"",AQ19-N(U19))</f>
        <v/>
      </c>
      <c r="BR19" s="20" t="str">
        <f aca="false">IF($A19="","",IF(ISNUMBER($A19),DATE(YEAR($A19),MONTH($A19),1),IFERROR(DATE(2000+VALUE(RIGHT(TRIM($A19),2)),MATCH(UPPER(LEFT(TRIM($A19),3)),{"JAN","FEB","MAR","APR","MAY","JUN","JUL","AUG","SEP","OCT","NOV","DEC"},0),1),"")))</f>
        <v/>
      </c>
      <c r="BS19" s="20" t="str">
        <f aca="false">IF(BR19="","",EOMONTH(BR19,0))</f>
        <v/>
      </c>
    </row>
    <row r="20" customFormat="false" ht="15" hidden="false" customHeight="false" outlineLevel="0" collapsed="false">
      <c r="B20" s="21"/>
      <c r="C20" s="21"/>
      <c r="D20" s="21"/>
      <c r="E20" s="21"/>
      <c r="F20" s="21"/>
      <c r="G20" s="21"/>
      <c r="H20" s="21"/>
      <c r="I20" s="21"/>
      <c r="J20" s="21"/>
      <c r="K20" s="21"/>
      <c r="L20" s="21"/>
      <c r="M20" s="21"/>
      <c r="N20" s="21"/>
      <c r="O20" s="21"/>
      <c r="P20" s="21"/>
      <c r="Q20" s="21"/>
      <c r="R20" s="21"/>
      <c r="S20" s="21"/>
      <c r="T20" s="21"/>
      <c r="U20" s="21"/>
      <c r="X20" s="17" t="str">
        <f aca="false">IF(OR(B$7="",$BR20=""),"",IF('Tally Helper'!$B$3&lt;&gt;TRUE(),"not on Staff",SUMIFS('Tally Helper'!$L$5:$GI$5,'Tally Helper'!$L$3:$GI$3,"&gt;="&amp;$BR20,'Tally Helper'!$L$3:$GI$3,"&lt;="&amp;$BS20)))</f>
        <v/>
      </c>
      <c r="Y20" s="17" t="str">
        <f aca="false">IF(OR(C$7="",$BR20=""),"",IF('Tally Helper'!$B$6&lt;&gt;TRUE(),"not on Staff",SUMIFS('Tally Helper'!$L$8:$GI$8,'Tally Helper'!$L$6:$GI$6,"&gt;="&amp;$BR20,'Tally Helper'!$L$6:$GI$6,"&lt;="&amp;$BS20)))</f>
        <v/>
      </c>
      <c r="Z20" s="17" t="str">
        <f aca="false">IF(OR(D$7="",$BR20=""),"",IF('Tally Helper'!$B$9&lt;&gt;TRUE(),"not on Staff",SUMIFS('Tally Helper'!$L$11:$GI$11,'Tally Helper'!$L$9:$GI$9,"&gt;="&amp;$BR20,'Tally Helper'!$L$9:$GI$9,"&lt;="&amp;$BS20)))</f>
        <v/>
      </c>
      <c r="AA20" s="17" t="str">
        <f aca="false">IF(OR(E$7="",$BR20=""),"",IF('Tally Helper'!$B$12&lt;&gt;TRUE(),"not on Staff",SUMIFS('Tally Helper'!$L$14:$GI$14,'Tally Helper'!$L$12:$GI$12,"&gt;="&amp;$BR20,'Tally Helper'!$L$12:$GI$12,"&lt;="&amp;$BS20)))</f>
        <v/>
      </c>
      <c r="AB20" s="17" t="str">
        <f aca="false">IF(OR(F$7="",$BR20=""),"",IF('Tally Helper'!$B$15&lt;&gt;TRUE(),"not on Staff",SUMIFS('Tally Helper'!$L$17:$GI$17,'Tally Helper'!$L$15:$GI$15,"&gt;="&amp;$BR20,'Tally Helper'!$L$15:$GI$15,"&lt;="&amp;$BS20)))</f>
        <v/>
      </c>
      <c r="AC20" s="17" t="str">
        <f aca="false">IF(OR(G$7="",$BR20=""),"",IF('Tally Helper'!$B$18&lt;&gt;TRUE(),"not on Staff",SUMIFS('Tally Helper'!$L$20:$GI$20,'Tally Helper'!$L$18:$GI$18,"&gt;="&amp;$BR20,'Tally Helper'!$L$18:$GI$18,"&lt;="&amp;$BS20)))</f>
        <v/>
      </c>
      <c r="AD20" s="17" t="str">
        <f aca="false">IF(OR(H$7="",$BR20=""),"",IF('Tally Helper'!$B$21&lt;&gt;TRUE(),"not on Staff",SUMIFS('Tally Helper'!$L$23:$GI$23,'Tally Helper'!$L$21:$GI$21,"&gt;="&amp;$BR20,'Tally Helper'!$L$21:$GI$21,"&lt;="&amp;$BS20)))</f>
        <v/>
      </c>
      <c r="AE20" s="17" t="str">
        <f aca="false">IF(OR(I$7="",$BR20=""),"",IF('Tally Helper'!$B$24&lt;&gt;TRUE(),"not on Staff",SUMIFS('Tally Helper'!$L$26:$GI$26,'Tally Helper'!$L$24:$GI$24,"&gt;="&amp;$BR20,'Tally Helper'!$L$24:$GI$24,"&lt;="&amp;$BS20)))</f>
        <v/>
      </c>
      <c r="AF20" s="17" t="str">
        <f aca="false">IF(OR(J$7="",$BR20=""),"",IF('Tally Helper'!$B$27&lt;&gt;TRUE(),"not on Staff",SUMIFS('Tally Helper'!$L$29:$GI$29,'Tally Helper'!$L$27:$GI$27,"&gt;="&amp;$BR20,'Tally Helper'!$L$27:$GI$27,"&lt;="&amp;$BS20)))</f>
        <v/>
      </c>
      <c r="AG20" s="17" t="str">
        <f aca="false">IF(OR(K$7="",$BR20=""),"",IF('Tally Helper'!$B$30&lt;&gt;TRUE(),"not on Staff",SUMIFS('Tally Helper'!$L$32:$GI$32,'Tally Helper'!$L$30:$GI$30,"&gt;="&amp;$BR20,'Tally Helper'!$L$30:$GI$30,"&lt;="&amp;$BS20)))</f>
        <v/>
      </c>
      <c r="AH20" s="17" t="str">
        <f aca="false">IF(OR(L$7="",$BR20=""),"",IF('Tally Helper'!$B$33&lt;&gt;TRUE(),"not on Staff",SUMIFS('Tally Helper'!$L$35:$GI$35,'Tally Helper'!$L$33:$GI$33,"&gt;="&amp;$BR20,'Tally Helper'!$L$33:$GI$33,"&lt;="&amp;$BS20)))</f>
        <v/>
      </c>
      <c r="AI20" s="17" t="str">
        <f aca="false">IF(OR(M$7="",$BR20=""),"",IF('Tally Helper'!$B$36&lt;&gt;TRUE(),"not on Staff",SUMIFS('Tally Helper'!$L$38:$GI$38,'Tally Helper'!$L$36:$GI$36,"&gt;="&amp;$BR20,'Tally Helper'!$L$36:$GI$36,"&lt;="&amp;$BS20)))</f>
        <v/>
      </c>
      <c r="AJ20" s="17" t="str">
        <f aca="false">IF(OR(N$7="",$BR20=""),"",IF('Tally Helper'!$B$39&lt;&gt;TRUE(),"not on Staff",SUMIFS('Tally Helper'!$L$41:$GI$41,'Tally Helper'!$L$39:$GI$39,"&gt;="&amp;$BR20,'Tally Helper'!$L$39:$GI$39,"&lt;="&amp;$BS20)))</f>
        <v/>
      </c>
      <c r="AK20" s="17" t="str">
        <f aca="false">IF(OR(O$7="",$BR20=""),"",IF('Tally Helper'!$B$42&lt;&gt;TRUE(),"not on Staff",SUMIFS('Tally Helper'!$L$44:$GI$44,'Tally Helper'!$L$42:$GI$42,"&gt;="&amp;$BR20,'Tally Helper'!$L$42:$GI$42,"&lt;="&amp;$BS20)))</f>
        <v/>
      </c>
      <c r="AL20" s="17" t="str">
        <f aca="false">IF(OR(P$7="",$BR20=""),"",IF('Tally Helper'!$B$45&lt;&gt;TRUE(),"not on Staff",SUMIFS('Tally Helper'!$L$47:$GI$47,'Tally Helper'!$L$45:$GI$45,"&gt;="&amp;$BR20,'Tally Helper'!$L$45:$GI$45,"&lt;="&amp;$BS20)))</f>
        <v/>
      </c>
      <c r="AM20" s="17" t="str">
        <f aca="false">IF(OR(Q$7="",$BR20=""),"",IF('Tally Helper'!$B$48&lt;&gt;TRUE(),"not on Staff",SUMIFS('Tally Helper'!$L$50:$GI$50,'Tally Helper'!$L$48:$GI$48,"&gt;="&amp;$BR20,'Tally Helper'!$L$48:$GI$48,"&lt;="&amp;$BS20)))</f>
        <v/>
      </c>
      <c r="AN20" s="17" t="str">
        <f aca="false">IF(OR(R$7="",$BR20=""),"",IF('Tally Helper'!$B$51&lt;&gt;TRUE(),"not on Staff",SUMIFS('Tally Helper'!$L$53:$GI$53,'Tally Helper'!$L$51:$GI$51,"&gt;="&amp;$BR20,'Tally Helper'!$L$51:$GI$51,"&lt;="&amp;$BS20)))</f>
        <v/>
      </c>
      <c r="AO20" s="17" t="str">
        <f aca="false">IF(OR(S$7="",$BR20=""),"",IF('Tally Helper'!$B$54&lt;&gt;TRUE(),"not on Staff",SUMIFS('Tally Helper'!$L$56:$GI$56,'Tally Helper'!$L$54:$GI$54,"&gt;="&amp;$BR20,'Tally Helper'!$L$54:$GI$54,"&lt;="&amp;$BS20)))</f>
        <v/>
      </c>
      <c r="AP20" s="17" t="str">
        <f aca="false">IF(OR(T$7="",$BR20=""),"",IF('Tally Helper'!$B$57&lt;&gt;TRUE(),"not on Staff",SUMIFS('Tally Helper'!$L$59:$GI$59,'Tally Helper'!$L$57:$GI$57,"&gt;="&amp;$BR20,'Tally Helper'!$L$57:$GI$57,"&lt;="&amp;$BS20)))</f>
        <v/>
      </c>
      <c r="AQ20" s="17" t="str">
        <f aca="false">IF(OR(U$7="",$BR20=""),"",IF('Tally Helper'!$B$60&lt;&gt;TRUE(),"not on Staff",SUMIFS('Tally Helper'!$L$62:$GI$62,'Tally Helper'!$L$60:$GI$60,"&gt;="&amp;$BR20,'Tally Helper'!$L$60:$GI$60,"&lt;="&amp;$BS20)))</f>
        <v/>
      </c>
      <c r="AT20" s="17" t="str">
        <f aca="false">IF(OR(X20="",NOT(ISNUMBER(X20))),"",X20-N(B20))</f>
        <v/>
      </c>
      <c r="AU20" s="17" t="str">
        <f aca="false">IF(OR(Y20="",NOT(ISNUMBER(Y20))),"",Y20-N(C20))</f>
        <v/>
      </c>
      <c r="AV20" s="17" t="str">
        <f aca="false">IF(OR(Z20="",NOT(ISNUMBER(Z20))),"",Z20-N(D20))</f>
        <v/>
      </c>
      <c r="AW20" s="17" t="str">
        <f aca="false">IF(OR(AA20="",NOT(ISNUMBER(AA20))),"",AA20-N(E20))</f>
        <v/>
      </c>
      <c r="AX20" s="17" t="str">
        <f aca="false">IF(OR(AB20="",NOT(ISNUMBER(AB20))),"",AB20-N(F20))</f>
        <v/>
      </c>
      <c r="AY20" s="17" t="str">
        <f aca="false">IF(OR(AC20="",NOT(ISNUMBER(AC20))),"",AC20-N(G20))</f>
        <v/>
      </c>
      <c r="AZ20" s="17" t="str">
        <f aca="false">IF(OR(AD20="",NOT(ISNUMBER(AD20))),"",AD20-N(H20))</f>
        <v/>
      </c>
      <c r="BA20" s="17" t="str">
        <f aca="false">IF(OR(AE20="",NOT(ISNUMBER(AE20))),"",AE20-N(I20))</f>
        <v/>
      </c>
      <c r="BB20" s="17" t="str">
        <f aca="false">IF(OR(AF20="",NOT(ISNUMBER(AF20))),"",AF20-N(J20))</f>
        <v/>
      </c>
      <c r="BC20" s="17" t="str">
        <f aca="false">IF(OR(AG20="",NOT(ISNUMBER(AG20))),"",AG20-N(K20))</f>
        <v/>
      </c>
      <c r="BD20" s="17" t="str">
        <f aca="false">IF(OR(AH20="",NOT(ISNUMBER(AH20))),"",AH20-N(L20))</f>
        <v/>
      </c>
      <c r="BE20" s="17" t="str">
        <f aca="false">IF(OR(AI20="",NOT(ISNUMBER(AI20))),"",AI20-N(M20))</f>
        <v/>
      </c>
      <c r="BF20" s="17" t="str">
        <f aca="false">IF(OR(AJ20="",NOT(ISNUMBER(AJ20))),"",AJ20-N(N20))</f>
        <v/>
      </c>
      <c r="BG20" s="17" t="str">
        <f aca="false">IF(OR(AK20="",NOT(ISNUMBER(AK20))),"",AK20-N(O20))</f>
        <v/>
      </c>
      <c r="BH20" s="17" t="str">
        <f aca="false">IF(OR(AL20="",NOT(ISNUMBER(AL20))),"",AL20-N(P20))</f>
        <v/>
      </c>
      <c r="BI20" s="17" t="str">
        <f aca="false">IF(OR(AM20="",NOT(ISNUMBER(AM20))),"",AM20-N(Q20))</f>
        <v/>
      </c>
      <c r="BJ20" s="17" t="str">
        <f aca="false">IF(OR(AN20="",NOT(ISNUMBER(AN20))),"",AN20-N(R20))</f>
        <v/>
      </c>
      <c r="BK20" s="17" t="str">
        <f aca="false">IF(OR(AO20="",NOT(ISNUMBER(AO20))),"",AO20-N(S20))</f>
        <v/>
      </c>
      <c r="BL20" s="17" t="str">
        <f aca="false">IF(OR(AP20="",NOT(ISNUMBER(AP20))),"",AP20-N(T20))</f>
        <v/>
      </c>
      <c r="BM20" s="17" t="str">
        <f aca="false">IF(OR(AQ20="",NOT(ISNUMBER(AQ20))),"",AQ20-N(U20))</f>
        <v/>
      </c>
      <c r="BR20" s="20" t="str">
        <f aca="false">IF($A20="","",IF(ISNUMBER($A20),DATE(YEAR($A20),MONTH($A20),1),IFERROR(DATE(2000+VALUE(RIGHT(TRIM($A20),2)),MATCH(UPPER(LEFT(TRIM($A20),3)),{"JAN","FEB","MAR","APR","MAY","JUN","JUL","AUG","SEP","OCT","NOV","DEC"},0),1),"")))</f>
        <v/>
      </c>
      <c r="BS20" s="20" t="str">
        <f aca="false">IF(BR20="","",EOMONTH(BR20,0))</f>
        <v/>
      </c>
    </row>
    <row r="21" customFormat="false" ht="15" hidden="false" customHeight="false" outlineLevel="0" collapsed="false">
      <c r="B21" s="21"/>
      <c r="C21" s="21"/>
      <c r="D21" s="21"/>
      <c r="E21" s="21"/>
      <c r="F21" s="21"/>
      <c r="G21" s="21"/>
      <c r="H21" s="21"/>
      <c r="I21" s="21"/>
      <c r="J21" s="21"/>
      <c r="K21" s="21"/>
      <c r="L21" s="21"/>
      <c r="M21" s="21"/>
      <c r="N21" s="21"/>
      <c r="O21" s="21"/>
      <c r="P21" s="21"/>
      <c r="Q21" s="21"/>
      <c r="R21" s="21"/>
      <c r="S21" s="21"/>
      <c r="T21" s="21"/>
      <c r="U21" s="21"/>
      <c r="X21" s="17" t="str">
        <f aca="false">IF(OR(B$7="",$BR21=""),"",IF('Tally Helper'!$B$3&lt;&gt;TRUE(),"not on Staff",SUMIFS('Tally Helper'!$L$5:$GI$5,'Tally Helper'!$L$3:$GI$3,"&gt;="&amp;$BR21,'Tally Helper'!$L$3:$GI$3,"&lt;="&amp;$BS21)))</f>
        <v/>
      </c>
      <c r="Y21" s="17" t="str">
        <f aca="false">IF(OR(C$7="",$BR21=""),"",IF('Tally Helper'!$B$6&lt;&gt;TRUE(),"not on Staff",SUMIFS('Tally Helper'!$L$8:$GI$8,'Tally Helper'!$L$6:$GI$6,"&gt;="&amp;$BR21,'Tally Helper'!$L$6:$GI$6,"&lt;="&amp;$BS21)))</f>
        <v/>
      </c>
      <c r="Z21" s="17" t="str">
        <f aca="false">IF(OR(D$7="",$BR21=""),"",IF('Tally Helper'!$B$9&lt;&gt;TRUE(),"not on Staff",SUMIFS('Tally Helper'!$L$11:$GI$11,'Tally Helper'!$L$9:$GI$9,"&gt;="&amp;$BR21,'Tally Helper'!$L$9:$GI$9,"&lt;="&amp;$BS21)))</f>
        <v/>
      </c>
      <c r="AA21" s="17" t="str">
        <f aca="false">IF(OR(E$7="",$BR21=""),"",IF('Tally Helper'!$B$12&lt;&gt;TRUE(),"not on Staff",SUMIFS('Tally Helper'!$L$14:$GI$14,'Tally Helper'!$L$12:$GI$12,"&gt;="&amp;$BR21,'Tally Helper'!$L$12:$GI$12,"&lt;="&amp;$BS21)))</f>
        <v/>
      </c>
      <c r="AB21" s="17" t="str">
        <f aca="false">IF(OR(F$7="",$BR21=""),"",IF('Tally Helper'!$B$15&lt;&gt;TRUE(),"not on Staff",SUMIFS('Tally Helper'!$L$17:$GI$17,'Tally Helper'!$L$15:$GI$15,"&gt;="&amp;$BR21,'Tally Helper'!$L$15:$GI$15,"&lt;="&amp;$BS21)))</f>
        <v/>
      </c>
      <c r="AC21" s="17" t="str">
        <f aca="false">IF(OR(G$7="",$BR21=""),"",IF('Tally Helper'!$B$18&lt;&gt;TRUE(),"not on Staff",SUMIFS('Tally Helper'!$L$20:$GI$20,'Tally Helper'!$L$18:$GI$18,"&gt;="&amp;$BR21,'Tally Helper'!$L$18:$GI$18,"&lt;="&amp;$BS21)))</f>
        <v/>
      </c>
      <c r="AD21" s="17" t="str">
        <f aca="false">IF(OR(H$7="",$BR21=""),"",IF('Tally Helper'!$B$21&lt;&gt;TRUE(),"not on Staff",SUMIFS('Tally Helper'!$L$23:$GI$23,'Tally Helper'!$L$21:$GI$21,"&gt;="&amp;$BR21,'Tally Helper'!$L$21:$GI$21,"&lt;="&amp;$BS21)))</f>
        <v/>
      </c>
      <c r="AE21" s="17" t="str">
        <f aca="false">IF(OR(I$7="",$BR21=""),"",IF('Tally Helper'!$B$24&lt;&gt;TRUE(),"not on Staff",SUMIFS('Tally Helper'!$L$26:$GI$26,'Tally Helper'!$L$24:$GI$24,"&gt;="&amp;$BR21,'Tally Helper'!$L$24:$GI$24,"&lt;="&amp;$BS21)))</f>
        <v/>
      </c>
      <c r="AF21" s="17" t="str">
        <f aca="false">IF(OR(J$7="",$BR21=""),"",IF('Tally Helper'!$B$27&lt;&gt;TRUE(),"not on Staff",SUMIFS('Tally Helper'!$L$29:$GI$29,'Tally Helper'!$L$27:$GI$27,"&gt;="&amp;$BR21,'Tally Helper'!$L$27:$GI$27,"&lt;="&amp;$BS21)))</f>
        <v/>
      </c>
      <c r="AG21" s="17" t="str">
        <f aca="false">IF(OR(K$7="",$BR21=""),"",IF('Tally Helper'!$B$30&lt;&gt;TRUE(),"not on Staff",SUMIFS('Tally Helper'!$L$32:$GI$32,'Tally Helper'!$L$30:$GI$30,"&gt;="&amp;$BR21,'Tally Helper'!$L$30:$GI$30,"&lt;="&amp;$BS21)))</f>
        <v/>
      </c>
      <c r="AH21" s="17" t="str">
        <f aca="false">IF(OR(L$7="",$BR21=""),"",IF('Tally Helper'!$B$33&lt;&gt;TRUE(),"not on Staff",SUMIFS('Tally Helper'!$L$35:$GI$35,'Tally Helper'!$L$33:$GI$33,"&gt;="&amp;$BR21,'Tally Helper'!$L$33:$GI$33,"&lt;="&amp;$BS21)))</f>
        <v/>
      </c>
      <c r="AI21" s="17" t="str">
        <f aca="false">IF(OR(M$7="",$BR21=""),"",IF('Tally Helper'!$B$36&lt;&gt;TRUE(),"not on Staff",SUMIFS('Tally Helper'!$L$38:$GI$38,'Tally Helper'!$L$36:$GI$36,"&gt;="&amp;$BR21,'Tally Helper'!$L$36:$GI$36,"&lt;="&amp;$BS21)))</f>
        <v/>
      </c>
      <c r="AJ21" s="17" t="str">
        <f aca="false">IF(OR(N$7="",$BR21=""),"",IF('Tally Helper'!$B$39&lt;&gt;TRUE(),"not on Staff",SUMIFS('Tally Helper'!$L$41:$GI$41,'Tally Helper'!$L$39:$GI$39,"&gt;="&amp;$BR21,'Tally Helper'!$L$39:$GI$39,"&lt;="&amp;$BS21)))</f>
        <v/>
      </c>
      <c r="AK21" s="17" t="str">
        <f aca="false">IF(OR(O$7="",$BR21=""),"",IF('Tally Helper'!$B$42&lt;&gt;TRUE(),"not on Staff",SUMIFS('Tally Helper'!$L$44:$GI$44,'Tally Helper'!$L$42:$GI$42,"&gt;="&amp;$BR21,'Tally Helper'!$L$42:$GI$42,"&lt;="&amp;$BS21)))</f>
        <v/>
      </c>
      <c r="AL21" s="17" t="str">
        <f aca="false">IF(OR(P$7="",$BR21=""),"",IF('Tally Helper'!$B$45&lt;&gt;TRUE(),"not on Staff",SUMIFS('Tally Helper'!$L$47:$GI$47,'Tally Helper'!$L$45:$GI$45,"&gt;="&amp;$BR21,'Tally Helper'!$L$45:$GI$45,"&lt;="&amp;$BS21)))</f>
        <v/>
      </c>
      <c r="AM21" s="17" t="str">
        <f aca="false">IF(OR(Q$7="",$BR21=""),"",IF('Tally Helper'!$B$48&lt;&gt;TRUE(),"not on Staff",SUMIFS('Tally Helper'!$L$50:$GI$50,'Tally Helper'!$L$48:$GI$48,"&gt;="&amp;$BR21,'Tally Helper'!$L$48:$GI$48,"&lt;="&amp;$BS21)))</f>
        <v/>
      </c>
      <c r="AN21" s="17" t="str">
        <f aca="false">IF(OR(R$7="",$BR21=""),"",IF('Tally Helper'!$B$51&lt;&gt;TRUE(),"not on Staff",SUMIFS('Tally Helper'!$L$53:$GI$53,'Tally Helper'!$L$51:$GI$51,"&gt;="&amp;$BR21,'Tally Helper'!$L$51:$GI$51,"&lt;="&amp;$BS21)))</f>
        <v/>
      </c>
      <c r="AO21" s="17" t="str">
        <f aca="false">IF(OR(S$7="",$BR21=""),"",IF('Tally Helper'!$B$54&lt;&gt;TRUE(),"not on Staff",SUMIFS('Tally Helper'!$L$56:$GI$56,'Tally Helper'!$L$54:$GI$54,"&gt;="&amp;$BR21,'Tally Helper'!$L$54:$GI$54,"&lt;="&amp;$BS21)))</f>
        <v/>
      </c>
      <c r="AP21" s="17" t="str">
        <f aca="false">IF(OR(T$7="",$BR21=""),"",IF('Tally Helper'!$B$57&lt;&gt;TRUE(),"not on Staff",SUMIFS('Tally Helper'!$L$59:$GI$59,'Tally Helper'!$L$57:$GI$57,"&gt;="&amp;$BR21,'Tally Helper'!$L$57:$GI$57,"&lt;="&amp;$BS21)))</f>
        <v/>
      </c>
      <c r="AQ21" s="17" t="str">
        <f aca="false">IF(OR(U$7="",$BR21=""),"",IF('Tally Helper'!$B$60&lt;&gt;TRUE(),"not on Staff",SUMIFS('Tally Helper'!$L$62:$GI$62,'Tally Helper'!$L$60:$GI$60,"&gt;="&amp;$BR21,'Tally Helper'!$L$60:$GI$60,"&lt;="&amp;$BS21)))</f>
        <v/>
      </c>
      <c r="AT21" s="17" t="str">
        <f aca="false">IF(OR(X21="",NOT(ISNUMBER(X21))),"",X21-N(B21))</f>
        <v/>
      </c>
      <c r="AU21" s="17" t="str">
        <f aca="false">IF(OR(Y21="",NOT(ISNUMBER(Y21))),"",Y21-N(C21))</f>
        <v/>
      </c>
      <c r="AV21" s="17" t="str">
        <f aca="false">IF(OR(Z21="",NOT(ISNUMBER(Z21))),"",Z21-N(D21))</f>
        <v/>
      </c>
      <c r="AW21" s="17" t="str">
        <f aca="false">IF(OR(AA21="",NOT(ISNUMBER(AA21))),"",AA21-N(E21))</f>
        <v/>
      </c>
      <c r="AX21" s="17" t="str">
        <f aca="false">IF(OR(AB21="",NOT(ISNUMBER(AB21))),"",AB21-N(F21))</f>
        <v/>
      </c>
      <c r="AY21" s="17" t="str">
        <f aca="false">IF(OR(AC21="",NOT(ISNUMBER(AC21))),"",AC21-N(G21))</f>
        <v/>
      </c>
      <c r="AZ21" s="17" t="str">
        <f aca="false">IF(OR(AD21="",NOT(ISNUMBER(AD21))),"",AD21-N(H21))</f>
        <v/>
      </c>
      <c r="BA21" s="17" t="str">
        <f aca="false">IF(OR(AE21="",NOT(ISNUMBER(AE21))),"",AE21-N(I21))</f>
        <v/>
      </c>
      <c r="BB21" s="17" t="str">
        <f aca="false">IF(OR(AF21="",NOT(ISNUMBER(AF21))),"",AF21-N(J21))</f>
        <v/>
      </c>
      <c r="BC21" s="17" t="str">
        <f aca="false">IF(OR(AG21="",NOT(ISNUMBER(AG21))),"",AG21-N(K21))</f>
        <v/>
      </c>
      <c r="BD21" s="17" t="str">
        <f aca="false">IF(OR(AH21="",NOT(ISNUMBER(AH21))),"",AH21-N(L21))</f>
        <v/>
      </c>
      <c r="BE21" s="17" t="str">
        <f aca="false">IF(OR(AI21="",NOT(ISNUMBER(AI21))),"",AI21-N(M21))</f>
        <v/>
      </c>
      <c r="BF21" s="17" t="str">
        <f aca="false">IF(OR(AJ21="",NOT(ISNUMBER(AJ21))),"",AJ21-N(N21))</f>
        <v/>
      </c>
      <c r="BG21" s="17" t="str">
        <f aca="false">IF(OR(AK21="",NOT(ISNUMBER(AK21))),"",AK21-N(O21))</f>
        <v/>
      </c>
      <c r="BH21" s="17" t="str">
        <f aca="false">IF(OR(AL21="",NOT(ISNUMBER(AL21))),"",AL21-N(P21))</f>
        <v/>
      </c>
      <c r="BI21" s="17" t="str">
        <f aca="false">IF(OR(AM21="",NOT(ISNUMBER(AM21))),"",AM21-N(Q21))</f>
        <v/>
      </c>
      <c r="BJ21" s="17" t="str">
        <f aca="false">IF(OR(AN21="",NOT(ISNUMBER(AN21))),"",AN21-N(R21))</f>
        <v/>
      </c>
      <c r="BK21" s="17" t="str">
        <f aca="false">IF(OR(AO21="",NOT(ISNUMBER(AO21))),"",AO21-N(S21))</f>
        <v/>
      </c>
      <c r="BL21" s="17" t="str">
        <f aca="false">IF(OR(AP21="",NOT(ISNUMBER(AP21))),"",AP21-N(T21))</f>
        <v/>
      </c>
      <c r="BM21" s="17" t="str">
        <f aca="false">IF(OR(AQ21="",NOT(ISNUMBER(AQ21))),"",AQ21-N(U21))</f>
        <v/>
      </c>
      <c r="BR21" s="20" t="str">
        <f aca="false">IF($A21="","",IF(ISNUMBER($A21),DATE(YEAR($A21),MONTH($A21),1),IFERROR(DATE(2000+VALUE(RIGHT(TRIM($A21),2)),MATCH(UPPER(LEFT(TRIM($A21),3)),{"JAN","FEB","MAR","APR","MAY","JUN","JUL","AUG","SEP","OCT","NOV","DEC"},0),1),"")))</f>
        <v/>
      </c>
      <c r="BS21" s="20" t="str">
        <f aca="false">IF(BR21="","",EOMONTH(BR21,0))</f>
        <v/>
      </c>
    </row>
    <row r="22" customFormat="false" ht="15" hidden="false" customHeight="false" outlineLevel="0" collapsed="false">
      <c r="B22" s="21"/>
      <c r="C22" s="21"/>
      <c r="D22" s="21"/>
      <c r="E22" s="21"/>
      <c r="F22" s="21"/>
      <c r="G22" s="21"/>
      <c r="H22" s="21"/>
      <c r="I22" s="21"/>
      <c r="J22" s="21"/>
      <c r="K22" s="21"/>
      <c r="L22" s="21"/>
      <c r="M22" s="21"/>
      <c r="N22" s="21"/>
      <c r="O22" s="21"/>
      <c r="P22" s="21"/>
      <c r="Q22" s="21"/>
      <c r="R22" s="21"/>
      <c r="S22" s="21"/>
      <c r="T22" s="21"/>
      <c r="U22" s="21"/>
      <c r="X22" s="17" t="str">
        <f aca="false">IF(OR(B$7="",$BR22=""),"",IF('Tally Helper'!$B$3&lt;&gt;TRUE(),"not on Staff",SUMIFS('Tally Helper'!$L$5:$GI$5,'Tally Helper'!$L$3:$GI$3,"&gt;="&amp;$BR22,'Tally Helper'!$L$3:$GI$3,"&lt;="&amp;$BS22)))</f>
        <v/>
      </c>
      <c r="Y22" s="17" t="str">
        <f aca="false">IF(OR(C$7="",$BR22=""),"",IF('Tally Helper'!$B$6&lt;&gt;TRUE(),"not on Staff",SUMIFS('Tally Helper'!$L$8:$GI$8,'Tally Helper'!$L$6:$GI$6,"&gt;="&amp;$BR22,'Tally Helper'!$L$6:$GI$6,"&lt;="&amp;$BS22)))</f>
        <v/>
      </c>
      <c r="Z22" s="17" t="str">
        <f aca="false">IF(OR(D$7="",$BR22=""),"",IF('Tally Helper'!$B$9&lt;&gt;TRUE(),"not on Staff",SUMIFS('Tally Helper'!$L$11:$GI$11,'Tally Helper'!$L$9:$GI$9,"&gt;="&amp;$BR22,'Tally Helper'!$L$9:$GI$9,"&lt;="&amp;$BS22)))</f>
        <v/>
      </c>
      <c r="AA22" s="17" t="str">
        <f aca="false">IF(OR(E$7="",$BR22=""),"",IF('Tally Helper'!$B$12&lt;&gt;TRUE(),"not on Staff",SUMIFS('Tally Helper'!$L$14:$GI$14,'Tally Helper'!$L$12:$GI$12,"&gt;="&amp;$BR22,'Tally Helper'!$L$12:$GI$12,"&lt;="&amp;$BS22)))</f>
        <v/>
      </c>
      <c r="AB22" s="17" t="str">
        <f aca="false">IF(OR(F$7="",$BR22=""),"",IF('Tally Helper'!$B$15&lt;&gt;TRUE(),"not on Staff",SUMIFS('Tally Helper'!$L$17:$GI$17,'Tally Helper'!$L$15:$GI$15,"&gt;="&amp;$BR22,'Tally Helper'!$L$15:$GI$15,"&lt;="&amp;$BS22)))</f>
        <v/>
      </c>
      <c r="AC22" s="17" t="str">
        <f aca="false">IF(OR(G$7="",$BR22=""),"",IF('Tally Helper'!$B$18&lt;&gt;TRUE(),"not on Staff",SUMIFS('Tally Helper'!$L$20:$GI$20,'Tally Helper'!$L$18:$GI$18,"&gt;="&amp;$BR22,'Tally Helper'!$L$18:$GI$18,"&lt;="&amp;$BS22)))</f>
        <v/>
      </c>
      <c r="AD22" s="17" t="str">
        <f aca="false">IF(OR(H$7="",$BR22=""),"",IF('Tally Helper'!$B$21&lt;&gt;TRUE(),"not on Staff",SUMIFS('Tally Helper'!$L$23:$GI$23,'Tally Helper'!$L$21:$GI$21,"&gt;="&amp;$BR22,'Tally Helper'!$L$21:$GI$21,"&lt;="&amp;$BS22)))</f>
        <v/>
      </c>
      <c r="AE22" s="17" t="str">
        <f aca="false">IF(OR(I$7="",$BR22=""),"",IF('Tally Helper'!$B$24&lt;&gt;TRUE(),"not on Staff",SUMIFS('Tally Helper'!$L$26:$GI$26,'Tally Helper'!$L$24:$GI$24,"&gt;="&amp;$BR22,'Tally Helper'!$L$24:$GI$24,"&lt;="&amp;$BS22)))</f>
        <v/>
      </c>
      <c r="AF22" s="17" t="str">
        <f aca="false">IF(OR(J$7="",$BR22=""),"",IF('Tally Helper'!$B$27&lt;&gt;TRUE(),"not on Staff",SUMIFS('Tally Helper'!$L$29:$GI$29,'Tally Helper'!$L$27:$GI$27,"&gt;="&amp;$BR22,'Tally Helper'!$L$27:$GI$27,"&lt;="&amp;$BS22)))</f>
        <v/>
      </c>
      <c r="AG22" s="17" t="str">
        <f aca="false">IF(OR(K$7="",$BR22=""),"",IF('Tally Helper'!$B$30&lt;&gt;TRUE(),"not on Staff",SUMIFS('Tally Helper'!$L$32:$GI$32,'Tally Helper'!$L$30:$GI$30,"&gt;="&amp;$BR22,'Tally Helper'!$L$30:$GI$30,"&lt;="&amp;$BS22)))</f>
        <v/>
      </c>
      <c r="AH22" s="17" t="str">
        <f aca="false">IF(OR(L$7="",$BR22=""),"",IF('Tally Helper'!$B$33&lt;&gt;TRUE(),"not on Staff",SUMIFS('Tally Helper'!$L$35:$GI$35,'Tally Helper'!$L$33:$GI$33,"&gt;="&amp;$BR22,'Tally Helper'!$L$33:$GI$33,"&lt;="&amp;$BS22)))</f>
        <v/>
      </c>
      <c r="AI22" s="17" t="str">
        <f aca="false">IF(OR(M$7="",$BR22=""),"",IF('Tally Helper'!$B$36&lt;&gt;TRUE(),"not on Staff",SUMIFS('Tally Helper'!$L$38:$GI$38,'Tally Helper'!$L$36:$GI$36,"&gt;="&amp;$BR22,'Tally Helper'!$L$36:$GI$36,"&lt;="&amp;$BS22)))</f>
        <v/>
      </c>
      <c r="AJ22" s="17" t="str">
        <f aca="false">IF(OR(N$7="",$BR22=""),"",IF('Tally Helper'!$B$39&lt;&gt;TRUE(),"not on Staff",SUMIFS('Tally Helper'!$L$41:$GI$41,'Tally Helper'!$L$39:$GI$39,"&gt;="&amp;$BR22,'Tally Helper'!$L$39:$GI$39,"&lt;="&amp;$BS22)))</f>
        <v/>
      </c>
      <c r="AK22" s="17" t="str">
        <f aca="false">IF(OR(O$7="",$BR22=""),"",IF('Tally Helper'!$B$42&lt;&gt;TRUE(),"not on Staff",SUMIFS('Tally Helper'!$L$44:$GI$44,'Tally Helper'!$L$42:$GI$42,"&gt;="&amp;$BR22,'Tally Helper'!$L$42:$GI$42,"&lt;="&amp;$BS22)))</f>
        <v/>
      </c>
      <c r="AL22" s="17" t="str">
        <f aca="false">IF(OR(P$7="",$BR22=""),"",IF('Tally Helper'!$B$45&lt;&gt;TRUE(),"not on Staff",SUMIFS('Tally Helper'!$L$47:$GI$47,'Tally Helper'!$L$45:$GI$45,"&gt;="&amp;$BR22,'Tally Helper'!$L$45:$GI$45,"&lt;="&amp;$BS22)))</f>
        <v/>
      </c>
      <c r="AM22" s="17" t="str">
        <f aca="false">IF(OR(Q$7="",$BR22=""),"",IF('Tally Helper'!$B$48&lt;&gt;TRUE(),"not on Staff",SUMIFS('Tally Helper'!$L$50:$GI$50,'Tally Helper'!$L$48:$GI$48,"&gt;="&amp;$BR22,'Tally Helper'!$L$48:$GI$48,"&lt;="&amp;$BS22)))</f>
        <v/>
      </c>
      <c r="AN22" s="17" t="str">
        <f aca="false">IF(OR(R$7="",$BR22=""),"",IF('Tally Helper'!$B$51&lt;&gt;TRUE(),"not on Staff",SUMIFS('Tally Helper'!$L$53:$GI$53,'Tally Helper'!$L$51:$GI$51,"&gt;="&amp;$BR22,'Tally Helper'!$L$51:$GI$51,"&lt;="&amp;$BS22)))</f>
        <v/>
      </c>
      <c r="AO22" s="17" t="str">
        <f aca="false">IF(OR(S$7="",$BR22=""),"",IF('Tally Helper'!$B$54&lt;&gt;TRUE(),"not on Staff",SUMIFS('Tally Helper'!$L$56:$GI$56,'Tally Helper'!$L$54:$GI$54,"&gt;="&amp;$BR22,'Tally Helper'!$L$54:$GI$54,"&lt;="&amp;$BS22)))</f>
        <v/>
      </c>
      <c r="AP22" s="17" t="str">
        <f aca="false">IF(OR(T$7="",$BR22=""),"",IF('Tally Helper'!$B$57&lt;&gt;TRUE(),"not on Staff",SUMIFS('Tally Helper'!$L$59:$GI$59,'Tally Helper'!$L$57:$GI$57,"&gt;="&amp;$BR22,'Tally Helper'!$L$57:$GI$57,"&lt;="&amp;$BS22)))</f>
        <v/>
      </c>
      <c r="AQ22" s="17" t="str">
        <f aca="false">IF(OR(U$7="",$BR22=""),"",IF('Tally Helper'!$B$60&lt;&gt;TRUE(),"not on Staff",SUMIFS('Tally Helper'!$L$62:$GI$62,'Tally Helper'!$L$60:$GI$60,"&gt;="&amp;$BR22,'Tally Helper'!$L$60:$GI$60,"&lt;="&amp;$BS22)))</f>
        <v/>
      </c>
      <c r="AT22" s="17" t="str">
        <f aca="false">IF(OR(X22="",NOT(ISNUMBER(X22))),"",X22-N(B22))</f>
        <v/>
      </c>
      <c r="AU22" s="17" t="str">
        <f aca="false">IF(OR(Y22="",NOT(ISNUMBER(Y22))),"",Y22-N(C22))</f>
        <v/>
      </c>
      <c r="AV22" s="17" t="str">
        <f aca="false">IF(OR(Z22="",NOT(ISNUMBER(Z22))),"",Z22-N(D22))</f>
        <v/>
      </c>
      <c r="AW22" s="17" t="str">
        <f aca="false">IF(OR(AA22="",NOT(ISNUMBER(AA22))),"",AA22-N(E22))</f>
        <v/>
      </c>
      <c r="AX22" s="17" t="str">
        <f aca="false">IF(OR(AB22="",NOT(ISNUMBER(AB22))),"",AB22-N(F22))</f>
        <v/>
      </c>
      <c r="AY22" s="17" t="str">
        <f aca="false">IF(OR(AC22="",NOT(ISNUMBER(AC22))),"",AC22-N(G22))</f>
        <v/>
      </c>
      <c r="AZ22" s="17" t="str">
        <f aca="false">IF(OR(AD22="",NOT(ISNUMBER(AD22))),"",AD22-N(H22))</f>
        <v/>
      </c>
      <c r="BA22" s="17" t="str">
        <f aca="false">IF(OR(AE22="",NOT(ISNUMBER(AE22))),"",AE22-N(I22))</f>
        <v/>
      </c>
      <c r="BB22" s="17" t="str">
        <f aca="false">IF(OR(AF22="",NOT(ISNUMBER(AF22))),"",AF22-N(J22))</f>
        <v/>
      </c>
      <c r="BC22" s="17" t="str">
        <f aca="false">IF(OR(AG22="",NOT(ISNUMBER(AG22))),"",AG22-N(K22))</f>
        <v/>
      </c>
      <c r="BD22" s="17" t="str">
        <f aca="false">IF(OR(AH22="",NOT(ISNUMBER(AH22))),"",AH22-N(L22))</f>
        <v/>
      </c>
      <c r="BE22" s="17" t="str">
        <f aca="false">IF(OR(AI22="",NOT(ISNUMBER(AI22))),"",AI22-N(M22))</f>
        <v/>
      </c>
      <c r="BF22" s="17" t="str">
        <f aca="false">IF(OR(AJ22="",NOT(ISNUMBER(AJ22))),"",AJ22-N(N22))</f>
        <v/>
      </c>
      <c r="BG22" s="17" t="str">
        <f aca="false">IF(OR(AK22="",NOT(ISNUMBER(AK22))),"",AK22-N(O22))</f>
        <v/>
      </c>
      <c r="BH22" s="17" t="str">
        <f aca="false">IF(OR(AL22="",NOT(ISNUMBER(AL22))),"",AL22-N(P22))</f>
        <v/>
      </c>
      <c r="BI22" s="17" t="str">
        <f aca="false">IF(OR(AM22="",NOT(ISNUMBER(AM22))),"",AM22-N(Q22))</f>
        <v/>
      </c>
      <c r="BJ22" s="17" t="str">
        <f aca="false">IF(OR(AN22="",NOT(ISNUMBER(AN22))),"",AN22-N(R22))</f>
        <v/>
      </c>
      <c r="BK22" s="17" t="str">
        <f aca="false">IF(OR(AO22="",NOT(ISNUMBER(AO22))),"",AO22-N(S22))</f>
        <v/>
      </c>
      <c r="BL22" s="17" t="str">
        <f aca="false">IF(OR(AP22="",NOT(ISNUMBER(AP22))),"",AP22-N(T22))</f>
        <v/>
      </c>
      <c r="BM22" s="17" t="str">
        <f aca="false">IF(OR(AQ22="",NOT(ISNUMBER(AQ22))),"",AQ22-N(U22))</f>
        <v/>
      </c>
      <c r="BR22" s="20" t="str">
        <f aca="false">IF($A22="","",IF(ISNUMBER($A22),DATE(YEAR($A22),MONTH($A22),1),IFERROR(DATE(2000+VALUE(RIGHT(TRIM($A22),2)),MATCH(UPPER(LEFT(TRIM($A22),3)),{"JAN","FEB","MAR","APR","MAY","JUN","JUL","AUG","SEP","OCT","NOV","DEC"},0),1),"")))</f>
        <v/>
      </c>
      <c r="BS22" s="20" t="str">
        <f aca="false">IF(BR22="","",EOMONTH(BR22,0))</f>
        <v/>
      </c>
    </row>
    <row r="23" customFormat="false" ht="15" hidden="false" customHeight="false" outlineLevel="0" collapsed="false">
      <c r="B23" s="21"/>
      <c r="C23" s="21"/>
      <c r="D23" s="21"/>
      <c r="E23" s="21"/>
      <c r="F23" s="21"/>
      <c r="G23" s="21"/>
      <c r="H23" s="21"/>
      <c r="I23" s="21"/>
      <c r="J23" s="21"/>
      <c r="K23" s="21"/>
      <c r="L23" s="21"/>
      <c r="M23" s="21"/>
      <c r="N23" s="21"/>
      <c r="O23" s="21"/>
      <c r="P23" s="21"/>
      <c r="Q23" s="21"/>
      <c r="R23" s="21"/>
      <c r="S23" s="21"/>
      <c r="T23" s="21"/>
      <c r="U23" s="21"/>
      <c r="X23" s="17" t="str">
        <f aca="false">IF(OR(B$7="",$BR23=""),"",IF('Tally Helper'!$B$3&lt;&gt;TRUE(),"not on Staff",SUMIFS('Tally Helper'!$L$5:$GI$5,'Tally Helper'!$L$3:$GI$3,"&gt;="&amp;$BR23,'Tally Helper'!$L$3:$GI$3,"&lt;="&amp;$BS23)))</f>
        <v/>
      </c>
      <c r="Y23" s="17" t="str">
        <f aca="false">IF(OR(C$7="",$BR23=""),"",IF('Tally Helper'!$B$6&lt;&gt;TRUE(),"not on Staff",SUMIFS('Tally Helper'!$L$8:$GI$8,'Tally Helper'!$L$6:$GI$6,"&gt;="&amp;$BR23,'Tally Helper'!$L$6:$GI$6,"&lt;="&amp;$BS23)))</f>
        <v/>
      </c>
      <c r="Z23" s="17" t="str">
        <f aca="false">IF(OR(D$7="",$BR23=""),"",IF('Tally Helper'!$B$9&lt;&gt;TRUE(),"not on Staff",SUMIFS('Tally Helper'!$L$11:$GI$11,'Tally Helper'!$L$9:$GI$9,"&gt;="&amp;$BR23,'Tally Helper'!$L$9:$GI$9,"&lt;="&amp;$BS23)))</f>
        <v/>
      </c>
      <c r="AA23" s="17" t="str">
        <f aca="false">IF(OR(E$7="",$BR23=""),"",IF('Tally Helper'!$B$12&lt;&gt;TRUE(),"not on Staff",SUMIFS('Tally Helper'!$L$14:$GI$14,'Tally Helper'!$L$12:$GI$12,"&gt;="&amp;$BR23,'Tally Helper'!$L$12:$GI$12,"&lt;="&amp;$BS23)))</f>
        <v/>
      </c>
      <c r="AB23" s="17" t="str">
        <f aca="false">IF(OR(F$7="",$BR23=""),"",IF('Tally Helper'!$B$15&lt;&gt;TRUE(),"not on Staff",SUMIFS('Tally Helper'!$L$17:$GI$17,'Tally Helper'!$L$15:$GI$15,"&gt;="&amp;$BR23,'Tally Helper'!$L$15:$GI$15,"&lt;="&amp;$BS23)))</f>
        <v/>
      </c>
      <c r="AC23" s="17" t="str">
        <f aca="false">IF(OR(G$7="",$BR23=""),"",IF('Tally Helper'!$B$18&lt;&gt;TRUE(),"not on Staff",SUMIFS('Tally Helper'!$L$20:$GI$20,'Tally Helper'!$L$18:$GI$18,"&gt;="&amp;$BR23,'Tally Helper'!$L$18:$GI$18,"&lt;="&amp;$BS23)))</f>
        <v/>
      </c>
      <c r="AD23" s="17" t="str">
        <f aca="false">IF(OR(H$7="",$BR23=""),"",IF('Tally Helper'!$B$21&lt;&gt;TRUE(),"not on Staff",SUMIFS('Tally Helper'!$L$23:$GI$23,'Tally Helper'!$L$21:$GI$21,"&gt;="&amp;$BR23,'Tally Helper'!$L$21:$GI$21,"&lt;="&amp;$BS23)))</f>
        <v/>
      </c>
      <c r="AE23" s="17" t="str">
        <f aca="false">IF(OR(I$7="",$BR23=""),"",IF('Tally Helper'!$B$24&lt;&gt;TRUE(),"not on Staff",SUMIFS('Tally Helper'!$L$26:$GI$26,'Tally Helper'!$L$24:$GI$24,"&gt;="&amp;$BR23,'Tally Helper'!$L$24:$GI$24,"&lt;="&amp;$BS23)))</f>
        <v/>
      </c>
      <c r="AF23" s="17" t="str">
        <f aca="false">IF(OR(J$7="",$BR23=""),"",IF('Tally Helper'!$B$27&lt;&gt;TRUE(),"not on Staff",SUMIFS('Tally Helper'!$L$29:$GI$29,'Tally Helper'!$L$27:$GI$27,"&gt;="&amp;$BR23,'Tally Helper'!$L$27:$GI$27,"&lt;="&amp;$BS23)))</f>
        <v/>
      </c>
      <c r="AG23" s="17" t="str">
        <f aca="false">IF(OR(K$7="",$BR23=""),"",IF('Tally Helper'!$B$30&lt;&gt;TRUE(),"not on Staff",SUMIFS('Tally Helper'!$L$32:$GI$32,'Tally Helper'!$L$30:$GI$30,"&gt;="&amp;$BR23,'Tally Helper'!$L$30:$GI$30,"&lt;="&amp;$BS23)))</f>
        <v/>
      </c>
      <c r="AH23" s="17" t="str">
        <f aca="false">IF(OR(L$7="",$BR23=""),"",IF('Tally Helper'!$B$33&lt;&gt;TRUE(),"not on Staff",SUMIFS('Tally Helper'!$L$35:$GI$35,'Tally Helper'!$L$33:$GI$33,"&gt;="&amp;$BR23,'Tally Helper'!$L$33:$GI$33,"&lt;="&amp;$BS23)))</f>
        <v/>
      </c>
      <c r="AI23" s="17" t="str">
        <f aca="false">IF(OR(M$7="",$BR23=""),"",IF('Tally Helper'!$B$36&lt;&gt;TRUE(),"not on Staff",SUMIFS('Tally Helper'!$L$38:$GI$38,'Tally Helper'!$L$36:$GI$36,"&gt;="&amp;$BR23,'Tally Helper'!$L$36:$GI$36,"&lt;="&amp;$BS23)))</f>
        <v/>
      </c>
      <c r="AJ23" s="17" t="str">
        <f aca="false">IF(OR(N$7="",$BR23=""),"",IF('Tally Helper'!$B$39&lt;&gt;TRUE(),"not on Staff",SUMIFS('Tally Helper'!$L$41:$GI$41,'Tally Helper'!$L$39:$GI$39,"&gt;="&amp;$BR23,'Tally Helper'!$L$39:$GI$39,"&lt;="&amp;$BS23)))</f>
        <v/>
      </c>
      <c r="AK23" s="17" t="str">
        <f aca="false">IF(OR(O$7="",$BR23=""),"",IF('Tally Helper'!$B$42&lt;&gt;TRUE(),"not on Staff",SUMIFS('Tally Helper'!$L$44:$GI$44,'Tally Helper'!$L$42:$GI$42,"&gt;="&amp;$BR23,'Tally Helper'!$L$42:$GI$42,"&lt;="&amp;$BS23)))</f>
        <v/>
      </c>
      <c r="AL23" s="17" t="str">
        <f aca="false">IF(OR(P$7="",$BR23=""),"",IF('Tally Helper'!$B$45&lt;&gt;TRUE(),"not on Staff",SUMIFS('Tally Helper'!$L$47:$GI$47,'Tally Helper'!$L$45:$GI$45,"&gt;="&amp;$BR23,'Tally Helper'!$L$45:$GI$45,"&lt;="&amp;$BS23)))</f>
        <v/>
      </c>
      <c r="AM23" s="17" t="str">
        <f aca="false">IF(OR(Q$7="",$BR23=""),"",IF('Tally Helper'!$B$48&lt;&gt;TRUE(),"not on Staff",SUMIFS('Tally Helper'!$L$50:$GI$50,'Tally Helper'!$L$48:$GI$48,"&gt;="&amp;$BR23,'Tally Helper'!$L$48:$GI$48,"&lt;="&amp;$BS23)))</f>
        <v/>
      </c>
      <c r="AN23" s="17" t="str">
        <f aca="false">IF(OR(R$7="",$BR23=""),"",IF('Tally Helper'!$B$51&lt;&gt;TRUE(),"not on Staff",SUMIFS('Tally Helper'!$L$53:$GI$53,'Tally Helper'!$L$51:$GI$51,"&gt;="&amp;$BR23,'Tally Helper'!$L$51:$GI$51,"&lt;="&amp;$BS23)))</f>
        <v/>
      </c>
      <c r="AO23" s="17" t="str">
        <f aca="false">IF(OR(S$7="",$BR23=""),"",IF('Tally Helper'!$B$54&lt;&gt;TRUE(),"not on Staff",SUMIFS('Tally Helper'!$L$56:$GI$56,'Tally Helper'!$L$54:$GI$54,"&gt;="&amp;$BR23,'Tally Helper'!$L$54:$GI$54,"&lt;="&amp;$BS23)))</f>
        <v/>
      </c>
      <c r="AP23" s="17" t="str">
        <f aca="false">IF(OR(T$7="",$BR23=""),"",IF('Tally Helper'!$B$57&lt;&gt;TRUE(),"not on Staff",SUMIFS('Tally Helper'!$L$59:$GI$59,'Tally Helper'!$L$57:$GI$57,"&gt;="&amp;$BR23,'Tally Helper'!$L$57:$GI$57,"&lt;="&amp;$BS23)))</f>
        <v/>
      </c>
      <c r="AQ23" s="17" t="str">
        <f aca="false">IF(OR(U$7="",$BR23=""),"",IF('Tally Helper'!$B$60&lt;&gt;TRUE(),"not on Staff",SUMIFS('Tally Helper'!$L$62:$GI$62,'Tally Helper'!$L$60:$GI$60,"&gt;="&amp;$BR23,'Tally Helper'!$L$60:$GI$60,"&lt;="&amp;$BS23)))</f>
        <v/>
      </c>
      <c r="AT23" s="17" t="str">
        <f aca="false">IF(OR(X23="",NOT(ISNUMBER(X23))),"",X23-N(B23))</f>
        <v/>
      </c>
      <c r="AU23" s="17" t="str">
        <f aca="false">IF(OR(Y23="",NOT(ISNUMBER(Y23))),"",Y23-N(C23))</f>
        <v/>
      </c>
      <c r="AV23" s="17" t="str">
        <f aca="false">IF(OR(Z23="",NOT(ISNUMBER(Z23))),"",Z23-N(D23))</f>
        <v/>
      </c>
      <c r="AW23" s="17" t="str">
        <f aca="false">IF(OR(AA23="",NOT(ISNUMBER(AA23))),"",AA23-N(E23))</f>
        <v/>
      </c>
      <c r="AX23" s="17" t="str">
        <f aca="false">IF(OR(AB23="",NOT(ISNUMBER(AB23))),"",AB23-N(F23))</f>
        <v/>
      </c>
      <c r="AY23" s="17" t="str">
        <f aca="false">IF(OR(AC23="",NOT(ISNUMBER(AC23))),"",AC23-N(G23))</f>
        <v/>
      </c>
      <c r="AZ23" s="17" t="str">
        <f aca="false">IF(OR(AD23="",NOT(ISNUMBER(AD23))),"",AD23-N(H23))</f>
        <v/>
      </c>
      <c r="BA23" s="17" t="str">
        <f aca="false">IF(OR(AE23="",NOT(ISNUMBER(AE23))),"",AE23-N(I23))</f>
        <v/>
      </c>
      <c r="BB23" s="17" t="str">
        <f aca="false">IF(OR(AF23="",NOT(ISNUMBER(AF23))),"",AF23-N(J23))</f>
        <v/>
      </c>
      <c r="BC23" s="17" t="str">
        <f aca="false">IF(OR(AG23="",NOT(ISNUMBER(AG23))),"",AG23-N(K23))</f>
        <v/>
      </c>
      <c r="BD23" s="17" t="str">
        <f aca="false">IF(OR(AH23="",NOT(ISNUMBER(AH23))),"",AH23-N(L23))</f>
        <v/>
      </c>
      <c r="BE23" s="17" t="str">
        <f aca="false">IF(OR(AI23="",NOT(ISNUMBER(AI23))),"",AI23-N(M23))</f>
        <v/>
      </c>
      <c r="BF23" s="17" t="str">
        <f aca="false">IF(OR(AJ23="",NOT(ISNUMBER(AJ23))),"",AJ23-N(N23))</f>
        <v/>
      </c>
      <c r="BG23" s="17" t="str">
        <f aca="false">IF(OR(AK23="",NOT(ISNUMBER(AK23))),"",AK23-N(O23))</f>
        <v/>
      </c>
      <c r="BH23" s="17" t="str">
        <f aca="false">IF(OR(AL23="",NOT(ISNUMBER(AL23))),"",AL23-N(P23))</f>
        <v/>
      </c>
      <c r="BI23" s="17" t="str">
        <f aca="false">IF(OR(AM23="",NOT(ISNUMBER(AM23))),"",AM23-N(Q23))</f>
        <v/>
      </c>
      <c r="BJ23" s="17" t="str">
        <f aca="false">IF(OR(AN23="",NOT(ISNUMBER(AN23))),"",AN23-N(R23))</f>
        <v/>
      </c>
      <c r="BK23" s="17" t="str">
        <f aca="false">IF(OR(AO23="",NOT(ISNUMBER(AO23))),"",AO23-N(S23))</f>
        <v/>
      </c>
      <c r="BL23" s="17" t="str">
        <f aca="false">IF(OR(AP23="",NOT(ISNUMBER(AP23))),"",AP23-N(T23))</f>
        <v/>
      </c>
      <c r="BM23" s="17" t="str">
        <f aca="false">IF(OR(AQ23="",NOT(ISNUMBER(AQ23))),"",AQ23-N(U23))</f>
        <v/>
      </c>
      <c r="BR23" s="20" t="str">
        <f aca="false">IF($A23="","",IF(ISNUMBER($A23),DATE(YEAR($A23),MONTH($A23),1),IFERROR(DATE(2000+VALUE(RIGHT(TRIM($A23),2)),MATCH(UPPER(LEFT(TRIM($A23),3)),{"JAN","FEB","MAR","APR","MAY","JUN","JUL","AUG","SEP","OCT","NOV","DEC"},0),1),"")))</f>
        <v/>
      </c>
      <c r="BS23" s="20" t="str">
        <f aca="false">IF(BR23="","",EOMONTH(BR23,0))</f>
        <v/>
      </c>
    </row>
    <row r="24" customFormat="false" ht="15" hidden="false" customHeight="false" outlineLevel="0" collapsed="false">
      <c r="B24" s="21"/>
      <c r="C24" s="21"/>
      <c r="D24" s="21"/>
      <c r="E24" s="21"/>
      <c r="F24" s="21"/>
      <c r="G24" s="21"/>
      <c r="H24" s="21"/>
      <c r="I24" s="21"/>
      <c r="J24" s="21"/>
      <c r="K24" s="21"/>
      <c r="L24" s="21"/>
      <c r="M24" s="21"/>
      <c r="N24" s="21"/>
      <c r="O24" s="21"/>
      <c r="P24" s="21"/>
      <c r="Q24" s="21"/>
      <c r="R24" s="21"/>
      <c r="S24" s="21"/>
      <c r="T24" s="21"/>
      <c r="U24" s="21"/>
      <c r="X24" s="17" t="str">
        <f aca="false">IF(OR(B$7="",$BR24=""),"",IF('Tally Helper'!$B$3&lt;&gt;TRUE(),"not on Staff",SUMIFS('Tally Helper'!$L$5:$GI$5,'Tally Helper'!$L$3:$GI$3,"&gt;="&amp;$BR24,'Tally Helper'!$L$3:$GI$3,"&lt;="&amp;$BS24)))</f>
        <v/>
      </c>
      <c r="Y24" s="17" t="str">
        <f aca="false">IF(OR(C$7="",$BR24=""),"",IF('Tally Helper'!$B$6&lt;&gt;TRUE(),"not on Staff",SUMIFS('Tally Helper'!$L$8:$GI$8,'Tally Helper'!$L$6:$GI$6,"&gt;="&amp;$BR24,'Tally Helper'!$L$6:$GI$6,"&lt;="&amp;$BS24)))</f>
        <v/>
      </c>
      <c r="Z24" s="17" t="str">
        <f aca="false">IF(OR(D$7="",$BR24=""),"",IF('Tally Helper'!$B$9&lt;&gt;TRUE(),"not on Staff",SUMIFS('Tally Helper'!$L$11:$GI$11,'Tally Helper'!$L$9:$GI$9,"&gt;="&amp;$BR24,'Tally Helper'!$L$9:$GI$9,"&lt;="&amp;$BS24)))</f>
        <v/>
      </c>
      <c r="AA24" s="17" t="str">
        <f aca="false">IF(OR(E$7="",$BR24=""),"",IF('Tally Helper'!$B$12&lt;&gt;TRUE(),"not on Staff",SUMIFS('Tally Helper'!$L$14:$GI$14,'Tally Helper'!$L$12:$GI$12,"&gt;="&amp;$BR24,'Tally Helper'!$L$12:$GI$12,"&lt;="&amp;$BS24)))</f>
        <v/>
      </c>
      <c r="AB24" s="17" t="str">
        <f aca="false">IF(OR(F$7="",$BR24=""),"",IF('Tally Helper'!$B$15&lt;&gt;TRUE(),"not on Staff",SUMIFS('Tally Helper'!$L$17:$GI$17,'Tally Helper'!$L$15:$GI$15,"&gt;="&amp;$BR24,'Tally Helper'!$L$15:$GI$15,"&lt;="&amp;$BS24)))</f>
        <v/>
      </c>
      <c r="AC24" s="17" t="str">
        <f aca="false">IF(OR(G$7="",$BR24=""),"",IF('Tally Helper'!$B$18&lt;&gt;TRUE(),"not on Staff",SUMIFS('Tally Helper'!$L$20:$GI$20,'Tally Helper'!$L$18:$GI$18,"&gt;="&amp;$BR24,'Tally Helper'!$L$18:$GI$18,"&lt;="&amp;$BS24)))</f>
        <v/>
      </c>
      <c r="AD24" s="17" t="str">
        <f aca="false">IF(OR(H$7="",$BR24=""),"",IF('Tally Helper'!$B$21&lt;&gt;TRUE(),"not on Staff",SUMIFS('Tally Helper'!$L$23:$GI$23,'Tally Helper'!$L$21:$GI$21,"&gt;="&amp;$BR24,'Tally Helper'!$L$21:$GI$21,"&lt;="&amp;$BS24)))</f>
        <v/>
      </c>
      <c r="AE24" s="17" t="str">
        <f aca="false">IF(OR(I$7="",$BR24=""),"",IF('Tally Helper'!$B$24&lt;&gt;TRUE(),"not on Staff",SUMIFS('Tally Helper'!$L$26:$GI$26,'Tally Helper'!$L$24:$GI$24,"&gt;="&amp;$BR24,'Tally Helper'!$L$24:$GI$24,"&lt;="&amp;$BS24)))</f>
        <v/>
      </c>
      <c r="AF24" s="17" t="str">
        <f aca="false">IF(OR(J$7="",$BR24=""),"",IF('Tally Helper'!$B$27&lt;&gt;TRUE(),"not on Staff",SUMIFS('Tally Helper'!$L$29:$GI$29,'Tally Helper'!$L$27:$GI$27,"&gt;="&amp;$BR24,'Tally Helper'!$L$27:$GI$27,"&lt;="&amp;$BS24)))</f>
        <v/>
      </c>
      <c r="AG24" s="17" t="str">
        <f aca="false">IF(OR(K$7="",$BR24=""),"",IF('Tally Helper'!$B$30&lt;&gt;TRUE(),"not on Staff",SUMIFS('Tally Helper'!$L$32:$GI$32,'Tally Helper'!$L$30:$GI$30,"&gt;="&amp;$BR24,'Tally Helper'!$L$30:$GI$30,"&lt;="&amp;$BS24)))</f>
        <v/>
      </c>
      <c r="AH24" s="17" t="str">
        <f aca="false">IF(OR(L$7="",$BR24=""),"",IF('Tally Helper'!$B$33&lt;&gt;TRUE(),"not on Staff",SUMIFS('Tally Helper'!$L$35:$GI$35,'Tally Helper'!$L$33:$GI$33,"&gt;="&amp;$BR24,'Tally Helper'!$L$33:$GI$33,"&lt;="&amp;$BS24)))</f>
        <v/>
      </c>
      <c r="AI24" s="17" t="str">
        <f aca="false">IF(OR(M$7="",$BR24=""),"",IF('Tally Helper'!$B$36&lt;&gt;TRUE(),"not on Staff",SUMIFS('Tally Helper'!$L$38:$GI$38,'Tally Helper'!$L$36:$GI$36,"&gt;="&amp;$BR24,'Tally Helper'!$L$36:$GI$36,"&lt;="&amp;$BS24)))</f>
        <v/>
      </c>
      <c r="AJ24" s="17" t="str">
        <f aca="false">IF(OR(N$7="",$BR24=""),"",IF('Tally Helper'!$B$39&lt;&gt;TRUE(),"not on Staff",SUMIFS('Tally Helper'!$L$41:$GI$41,'Tally Helper'!$L$39:$GI$39,"&gt;="&amp;$BR24,'Tally Helper'!$L$39:$GI$39,"&lt;="&amp;$BS24)))</f>
        <v/>
      </c>
      <c r="AK24" s="17" t="str">
        <f aca="false">IF(OR(O$7="",$BR24=""),"",IF('Tally Helper'!$B$42&lt;&gt;TRUE(),"not on Staff",SUMIFS('Tally Helper'!$L$44:$GI$44,'Tally Helper'!$L$42:$GI$42,"&gt;="&amp;$BR24,'Tally Helper'!$L$42:$GI$42,"&lt;="&amp;$BS24)))</f>
        <v/>
      </c>
      <c r="AL24" s="17" t="str">
        <f aca="false">IF(OR(P$7="",$BR24=""),"",IF('Tally Helper'!$B$45&lt;&gt;TRUE(),"not on Staff",SUMIFS('Tally Helper'!$L$47:$GI$47,'Tally Helper'!$L$45:$GI$45,"&gt;="&amp;$BR24,'Tally Helper'!$L$45:$GI$45,"&lt;="&amp;$BS24)))</f>
        <v/>
      </c>
      <c r="AM24" s="17" t="str">
        <f aca="false">IF(OR(Q$7="",$BR24=""),"",IF('Tally Helper'!$B$48&lt;&gt;TRUE(),"not on Staff",SUMIFS('Tally Helper'!$L$50:$GI$50,'Tally Helper'!$L$48:$GI$48,"&gt;="&amp;$BR24,'Tally Helper'!$L$48:$GI$48,"&lt;="&amp;$BS24)))</f>
        <v/>
      </c>
      <c r="AN24" s="17" t="str">
        <f aca="false">IF(OR(R$7="",$BR24=""),"",IF('Tally Helper'!$B$51&lt;&gt;TRUE(),"not on Staff",SUMIFS('Tally Helper'!$L$53:$GI$53,'Tally Helper'!$L$51:$GI$51,"&gt;="&amp;$BR24,'Tally Helper'!$L$51:$GI$51,"&lt;="&amp;$BS24)))</f>
        <v/>
      </c>
      <c r="AO24" s="17" t="str">
        <f aca="false">IF(OR(S$7="",$BR24=""),"",IF('Tally Helper'!$B$54&lt;&gt;TRUE(),"not on Staff",SUMIFS('Tally Helper'!$L$56:$GI$56,'Tally Helper'!$L$54:$GI$54,"&gt;="&amp;$BR24,'Tally Helper'!$L$54:$GI$54,"&lt;="&amp;$BS24)))</f>
        <v/>
      </c>
      <c r="AP24" s="17" t="str">
        <f aca="false">IF(OR(T$7="",$BR24=""),"",IF('Tally Helper'!$B$57&lt;&gt;TRUE(),"not on Staff",SUMIFS('Tally Helper'!$L$59:$GI$59,'Tally Helper'!$L$57:$GI$57,"&gt;="&amp;$BR24,'Tally Helper'!$L$57:$GI$57,"&lt;="&amp;$BS24)))</f>
        <v/>
      </c>
      <c r="AQ24" s="17" t="str">
        <f aca="false">IF(OR(U$7="",$BR24=""),"",IF('Tally Helper'!$B$60&lt;&gt;TRUE(),"not on Staff",SUMIFS('Tally Helper'!$L$62:$GI$62,'Tally Helper'!$L$60:$GI$60,"&gt;="&amp;$BR24,'Tally Helper'!$L$60:$GI$60,"&lt;="&amp;$BS24)))</f>
        <v/>
      </c>
      <c r="AT24" s="17" t="str">
        <f aca="false">IF(OR(X24="",NOT(ISNUMBER(X24))),"",X24-N(B24))</f>
        <v/>
      </c>
      <c r="AU24" s="17" t="str">
        <f aca="false">IF(OR(Y24="",NOT(ISNUMBER(Y24))),"",Y24-N(C24))</f>
        <v/>
      </c>
      <c r="AV24" s="17" t="str">
        <f aca="false">IF(OR(Z24="",NOT(ISNUMBER(Z24))),"",Z24-N(D24))</f>
        <v/>
      </c>
      <c r="AW24" s="17" t="str">
        <f aca="false">IF(OR(AA24="",NOT(ISNUMBER(AA24))),"",AA24-N(E24))</f>
        <v/>
      </c>
      <c r="AX24" s="17" t="str">
        <f aca="false">IF(OR(AB24="",NOT(ISNUMBER(AB24))),"",AB24-N(F24))</f>
        <v/>
      </c>
      <c r="AY24" s="17" t="str">
        <f aca="false">IF(OR(AC24="",NOT(ISNUMBER(AC24))),"",AC24-N(G24))</f>
        <v/>
      </c>
      <c r="AZ24" s="17" t="str">
        <f aca="false">IF(OR(AD24="",NOT(ISNUMBER(AD24))),"",AD24-N(H24))</f>
        <v/>
      </c>
      <c r="BA24" s="17" t="str">
        <f aca="false">IF(OR(AE24="",NOT(ISNUMBER(AE24))),"",AE24-N(I24))</f>
        <v/>
      </c>
      <c r="BB24" s="17" t="str">
        <f aca="false">IF(OR(AF24="",NOT(ISNUMBER(AF24))),"",AF24-N(J24))</f>
        <v/>
      </c>
      <c r="BC24" s="17" t="str">
        <f aca="false">IF(OR(AG24="",NOT(ISNUMBER(AG24))),"",AG24-N(K24))</f>
        <v/>
      </c>
      <c r="BD24" s="17" t="str">
        <f aca="false">IF(OR(AH24="",NOT(ISNUMBER(AH24))),"",AH24-N(L24))</f>
        <v/>
      </c>
      <c r="BE24" s="17" t="str">
        <f aca="false">IF(OR(AI24="",NOT(ISNUMBER(AI24))),"",AI24-N(M24))</f>
        <v/>
      </c>
      <c r="BF24" s="17" t="str">
        <f aca="false">IF(OR(AJ24="",NOT(ISNUMBER(AJ24))),"",AJ24-N(N24))</f>
        <v/>
      </c>
      <c r="BG24" s="17" t="str">
        <f aca="false">IF(OR(AK24="",NOT(ISNUMBER(AK24))),"",AK24-N(O24))</f>
        <v/>
      </c>
      <c r="BH24" s="17" t="str">
        <f aca="false">IF(OR(AL24="",NOT(ISNUMBER(AL24))),"",AL24-N(P24))</f>
        <v/>
      </c>
      <c r="BI24" s="17" t="str">
        <f aca="false">IF(OR(AM24="",NOT(ISNUMBER(AM24))),"",AM24-N(Q24))</f>
        <v/>
      </c>
      <c r="BJ24" s="17" t="str">
        <f aca="false">IF(OR(AN24="",NOT(ISNUMBER(AN24))),"",AN24-N(R24))</f>
        <v/>
      </c>
      <c r="BK24" s="17" t="str">
        <f aca="false">IF(OR(AO24="",NOT(ISNUMBER(AO24))),"",AO24-N(S24))</f>
        <v/>
      </c>
      <c r="BL24" s="17" t="str">
        <f aca="false">IF(OR(AP24="",NOT(ISNUMBER(AP24))),"",AP24-N(T24))</f>
        <v/>
      </c>
      <c r="BM24" s="17" t="str">
        <f aca="false">IF(OR(AQ24="",NOT(ISNUMBER(AQ24))),"",AQ24-N(U24))</f>
        <v/>
      </c>
      <c r="BR24" s="20" t="str">
        <f aca="false">IF($A24="","",IF(ISNUMBER($A24),DATE(YEAR($A24),MONTH($A24),1),IFERROR(DATE(2000+VALUE(RIGHT(TRIM($A24),2)),MATCH(UPPER(LEFT(TRIM($A24),3)),{"JAN","FEB","MAR","APR","MAY","JUN","JUL","AUG","SEP","OCT","NOV","DEC"},0),1),"")))</f>
        <v/>
      </c>
      <c r="BS24" s="20" t="str">
        <f aca="false">IF(BR24="","",EOMONTH(BR24,0))</f>
        <v/>
      </c>
    </row>
    <row r="25" customFormat="false" ht="15" hidden="false" customHeight="false" outlineLevel="0" collapsed="false">
      <c r="B25" s="21"/>
      <c r="C25" s="21"/>
      <c r="D25" s="21"/>
      <c r="E25" s="21"/>
      <c r="F25" s="21"/>
      <c r="G25" s="21"/>
      <c r="H25" s="21"/>
      <c r="I25" s="21"/>
      <c r="J25" s="21"/>
      <c r="K25" s="21"/>
      <c r="L25" s="21"/>
      <c r="M25" s="21"/>
      <c r="N25" s="21"/>
      <c r="O25" s="21"/>
      <c r="P25" s="21"/>
      <c r="Q25" s="21"/>
      <c r="R25" s="21"/>
      <c r="S25" s="21"/>
      <c r="T25" s="21"/>
      <c r="U25" s="21"/>
      <c r="X25" s="17" t="str">
        <f aca="false">IF(OR(B$7="",$BR25=""),"",IF('Tally Helper'!$B$3&lt;&gt;TRUE(),"not on Staff",SUMIFS('Tally Helper'!$L$5:$GI$5,'Tally Helper'!$L$3:$GI$3,"&gt;="&amp;$BR25,'Tally Helper'!$L$3:$GI$3,"&lt;="&amp;$BS25)))</f>
        <v/>
      </c>
      <c r="Y25" s="17" t="str">
        <f aca="false">IF(OR(C$7="",$BR25=""),"",IF('Tally Helper'!$B$6&lt;&gt;TRUE(),"not on Staff",SUMIFS('Tally Helper'!$L$8:$GI$8,'Tally Helper'!$L$6:$GI$6,"&gt;="&amp;$BR25,'Tally Helper'!$L$6:$GI$6,"&lt;="&amp;$BS25)))</f>
        <v/>
      </c>
      <c r="Z25" s="17" t="str">
        <f aca="false">IF(OR(D$7="",$BR25=""),"",IF('Tally Helper'!$B$9&lt;&gt;TRUE(),"not on Staff",SUMIFS('Tally Helper'!$L$11:$GI$11,'Tally Helper'!$L$9:$GI$9,"&gt;="&amp;$BR25,'Tally Helper'!$L$9:$GI$9,"&lt;="&amp;$BS25)))</f>
        <v/>
      </c>
      <c r="AA25" s="17" t="str">
        <f aca="false">IF(OR(E$7="",$BR25=""),"",IF('Tally Helper'!$B$12&lt;&gt;TRUE(),"not on Staff",SUMIFS('Tally Helper'!$L$14:$GI$14,'Tally Helper'!$L$12:$GI$12,"&gt;="&amp;$BR25,'Tally Helper'!$L$12:$GI$12,"&lt;="&amp;$BS25)))</f>
        <v/>
      </c>
      <c r="AB25" s="17" t="str">
        <f aca="false">IF(OR(F$7="",$BR25=""),"",IF('Tally Helper'!$B$15&lt;&gt;TRUE(),"not on Staff",SUMIFS('Tally Helper'!$L$17:$GI$17,'Tally Helper'!$L$15:$GI$15,"&gt;="&amp;$BR25,'Tally Helper'!$L$15:$GI$15,"&lt;="&amp;$BS25)))</f>
        <v/>
      </c>
      <c r="AC25" s="17" t="str">
        <f aca="false">IF(OR(G$7="",$BR25=""),"",IF('Tally Helper'!$B$18&lt;&gt;TRUE(),"not on Staff",SUMIFS('Tally Helper'!$L$20:$GI$20,'Tally Helper'!$L$18:$GI$18,"&gt;="&amp;$BR25,'Tally Helper'!$L$18:$GI$18,"&lt;="&amp;$BS25)))</f>
        <v/>
      </c>
      <c r="AD25" s="17" t="str">
        <f aca="false">IF(OR(H$7="",$BR25=""),"",IF('Tally Helper'!$B$21&lt;&gt;TRUE(),"not on Staff",SUMIFS('Tally Helper'!$L$23:$GI$23,'Tally Helper'!$L$21:$GI$21,"&gt;="&amp;$BR25,'Tally Helper'!$L$21:$GI$21,"&lt;="&amp;$BS25)))</f>
        <v/>
      </c>
      <c r="AE25" s="17" t="str">
        <f aca="false">IF(OR(I$7="",$BR25=""),"",IF('Tally Helper'!$B$24&lt;&gt;TRUE(),"not on Staff",SUMIFS('Tally Helper'!$L$26:$GI$26,'Tally Helper'!$L$24:$GI$24,"&gt;="&amp;$BR25,'Tally Helper'!$L$24:$GI$24,"&lt;="&amp;$BS25)))</f>
        <v/>
      </c>
      <c r="AF25" s="17" t="str">
        <f aca="false">IF(OR(J$7="",$BR25=""),"",IF('Tally Helper'!$B$27&lt;&gt;TRUE(),"not on Staff",SUMIFS('Tally Helper'!$L$29:$GI$29,'Tally Helper'!$L$27:$GI$27,"&gt;="&amp;$BR25,'Tally Helper'!$L$27:$GI$27,"&lt;="&amp;$BS25)))</f>
        <v/>
      </c>
      <c r="AG25" s="17" t="str">
        <f aca="false">IF(OR(K$7="",$BR25=""),"",IF('Tally Helper'!$B$30&lt;&gt;TRUE(),"not on Staff",SUMIFS('Tally Helper'!$L$32:$GI$32,'Tally Helper'!$L$30:$GI$30,"&gt;="&amp;$BR25,'Tally Helper'!$L$30:$GI$30,"&lt;="&amp;$BS25)))</f>
        <v/>
      </c>
      <c r="AH25" s="17" t="str">
        <f aca="false">IF(OR(L$7="",$BR25=""),"",IF('Tally Helper'!$B$33&lt;&gt;TRUE(),"not on Staff",SUMIFS('Tally Helper'!$L$35:$GI$35,'Tally Helper'!$L$33:$GI$33,"&gt;="&amp;$BR25,'Tally Helper'!$L$33:$GI$33,"&lt;="&amp;$BS25)))</f>
        <v/>
      </c>
      <c r="AI25" s="17" t="str">
        <f aca="false">IF(OR(M$7="",$BR25=""),"",IF('Tally Helper'!$B$36&lt;&gt;TRUE(),"not on Staff",SUMIFS('Tally Helper'!$L$38:$GI$38,'Tally Helper'!$L$36:$GI$36,"&gt;="&amp;$BR25,'Tally Helper'!$L$36:$GI$36,"&lt;="&amp;$BS25)))</f>
        <v/>
      </c>
      <c r="AJ25" s="17" t="str">
        <f aca="false">IF(OR(N$7="",$BR25=""),"",IF('Tally Helper'!$B$39&lt;&gt;TRUE(),"not on Staff",SUMIFS('Tally Helper'!$L$41:$GI$41,'Tally Helper'!$L$39:$GI$39,"&gt;="&amp;$BR25,'Tally Helper'!$L$39:$GI$39,"&lt;="&amp;$BS25)))</f>
        <v/>
      </c>
      <c r="AK25" s="17" t="str">
        <f aca="false">IF(OR(O$7="",$BR25=""),"",IF('Tally Helper'!$B$42&lt;&gt;TRUE(),"not on Staff",SUMIFS('Tally Helper'!$L$44:$GI$44,'Tally Helper'!$L$42:$GI$42,"&gt;="&amp;$BR25,'Tally Helper'!$L$42:$GI$42,"&lt;="&amp;$BS25)))</f>
        <v/>
      </c>
      <c r="AL25" s="17" t="str">
        <f aca="false">IF(OR(P$7="",$BR25=""),"",IF('Tally Helper'!$B$45&lt;&gt;TRUE(),"not on Staff",SUMIFS('Tally Helper'!$L$47:$GI$47,'Tally Helper'!$L$45:$GI$45,"&gt;="&amp;$BR25,'Tally Helper'!$L$45:$GI$45,"&lt;="&amp;$BS25)))</f>
        <v/>
      </c>
      <c r="AM25" s="17" t="str">
        <f aca="false">IF(OR(Q$7="",$BR25=""),"",IF('Tally Helper'!$B$48&lt;&gt;TRUE(),"not on Staff",SUMIFS('Tally Helper'!$L$50:$GI$50,'Tally Helper'!$L$48:$GI$48,"&gt;="&amp;$BR25,'Tally Helper'!$L$48:$GI$48,"&lt;="&amp;$BS25)))</f>
        <v/>
      </c>
      <c r="AN25" s="17" t="str">
        <f aca="false">IF(OR(R$7="",$BR25=""),"",IF('Tally Helper'!$B$51&lt;&gt;TRUE(),"not on Staff",SUMIFS('Tally Helper'!$L$53:$GI$53,'Tally Helper'!$L$51:$GI$51,"&gt;="&amp;$BR25,'Tally Helper'!$L$51:$GI$51,"&lt;="&amp;$BS25)))</f>
        <v/>
      </c>
      <c r="AO25" s="17" t="str">
        <f aca="false">IF(OR(S$7="",$BR25=""),"",IF('Tally Helper'!$B$54&lt;&gt;TRUE(),"not on Staff",SUMIFS('Tally Helper'!$L$56:$GI$56,'Tally Helper'!$L$54:$GI$54,"&gt;="&amp;$BR25,'Tally Helper'!$L$54:$GI$54,"&lt;="&amp;$BS25)))</f>
        <v/>
      </c>
      <c r="AP25" s="17" t="str">
        <f aca="false">IF(OR(T$7="",$BR25=""),"",IF('Tally Helper'!$B$57&lt;&gt;TRUE(),"not on Staff",SUMIFS('Tally Helper'!$L$59:$GI$59,'Tally Helper'!$L$57:$GI$57,"&gt;="&amp;$BR25,'Tally Helper'!$L$57:$GI$57,"&lt;="&amp;$BS25)))</f>
        <v/>
      </c>
      <c r="AQ25" s="17" t="str">
        <f aca="false">IF(OR(U$7="",$BR25=""),"",IF('Tally Helper'!$B$60&lt;&gt;TRUE(),"not on Staff",SUMIFS('Tally Helper'!$L$62:$GI$62,'Tally Helper'!$L$60:$GI$60,"&gt;="&amp;$BR25,'Tally Helper'!$L$60:$GI$60,"&lt;="&amp;$BS25)))</f>
        <v/>
      </c>
      <c r="AT25" s="17" t="str">
        <f aca="false">IF(OR(X25="",NOT(ISNUMBER(X25))),"",X25-N(B25))</f>
        <v/>
      </c>
      <c r="AU25" s="17" t="str">
        <f aca="false">IF(OR(Y25="",NOT(ISNUMBER(Y25))),"",Y25-N(C25))</f>
        <v/>
      </c>
      <c r="AV25" s="17" t="str">
        <f aca="false">IF(OR(Z25="",NOT(ISNUMBER(Z25))),"",Z25-N(D25))</f>
        <v/>
      </c>
      <c r="AW25" s="17" t="str">
        <f aca="false">IF(OR(AA25="",NOT(ISNUMBER(AA25))),"",AA25-N(E25))</f>
        <v/>
      </c>
      <c r="AX25" s="17" t="str">
        <f aca="false">IF(OR(AB25="",NOT(ISNUMBER(AB25))),"",AB25-N(F25))</f>
        <v/>
      </c>
      <c r="AY25" s="17" t="str">
        <f aca="false">IF(OR(AC25="",NOT(ISNUMBER(AC25))),"",AC25-N(G25))</f>
        <v/>
      </c>
      <c r="AZ25" s="17" t="str">
        <f aca="false">IF(OR(AD25="",NOT(ISNUMBER(AD25))),"",AD25-N(H25))</f>
        <v/>
      </c>
      <c r="BA25" s="17" t="str">
        <f aca="false">IF(OR(AE25="",NOT(ISNUMBER(AE25))),"",AE25-N(I25))</f>
        <v/>
      </c>
      <c r="BB25" s="17" t="str">
        <f aca="false">IF(OR(AF25="",NOT(ISNUMBER(AF25))),"",AF25-N(J25))</f>
        <v/>
      </c>
      <c r="BC25" s="17" t="str">
        <f aca="false">IF(OR(AG25="",NOT(ISNUMBER(AG25))),"",AG25-N(K25))</f>
        <v/>
      </c>
      <c r="BD25" s="17" t="str">
        <f aca="false">IF(OR(AH25="",NOT(ISNUMBER(AH25))),"",AH25-N(L25))</f>
        <v/>
      </c>
      <c r="BE25" s="17" t="str">
        <f aca="false">IF(OR(AI25="",NOT(ISNUMBER(AI25))),"",AI25-N(M25))</f>
        <v/>
      </c>
      <c r="BF25" s="17" t="str">
        <f aca="false">IF(OR(AJ25="",NOT(ISNUMBER(AJ25))),"",AJ25-N(N25))</f>
        <v/>
      </c>
      <c r="BG25" s="17" t="str">
        <f aca="false">IF(OR(AK25="",NOT(ISNUMBER(AK25))),"",AK25-N(O25))</f>
        <v/>
      </c>
      <c r="BH25" s="17" t="str">
        <f aca="false">IF(OR(AL25="",NOT(ISNUMBER(AL25))),"",AL25-N(P25))</f>
        <v/>
      </c>
      <c r="BI25" s="17" t="str">
        <f aca="false">IF(OR(AM25="",NOT(ISNUMBER(AM25))),"",AM25-N(Q25))</f>
        <v/>
      </c>
      <c r="BJ25" s="17" t="str">
        <f aca="false">IF(OR(AN25="",NOT(ISNUMBER(AN25))),"",AN25-N(R25))</f>
        <v/>
      </c>
      <c r="BK25" s="17" t="str">
        <f aca="false">IF(OR(AO25="",NOT(ISNUMBER(AO25))),"",AO25-N(S25))</f>
        <v/>
      </c>
      <c r="BL25" s="17" t="str">
        <f aca="false">IF(OR(AP25="",NOT(ISNUMBER(AP25))),"",AP25-N(T25))</f>
        <v/>
      </c>
      <c r="BM25" s="17" t="str">
        <f aca="false">IF(OR(AQ25="",NOT(ISNUMBER(AQ25))),"",AQ25-N(U25))</f>
        <v/>
      </c>
      <c r="BR25" s="20" t="str">
        <f aca="false">IF($A25="","",IF(ISNUMBER($A25),DATE(YEAR($A25),MONTH($A25),1),IFERROR(DATE(2000+VALUE(RIGHT(TRIM($A25),2)),MATCH(UPPER(LEFT(TRIM($A25),3)),{"JAN","FEB","MAR","APR","MAY","JUN","JUL","AUG","SEP","OCT","NOV","DEC"},0),1),"")))</f>
        <v/>
      </c>
      <c r="BS25" s="20" t="str">
        <f aca="false">IF(BR25="","",EOMONTH(BR25,0))</f>
        <v/>
      </c>
    </row>
    <row r="26" customFormat="false" ht="15" hidden="false" customHeight="false" outlineLevel="0" collapsed="false">
      <c r="B26" s="21"/>
      <c r="C26" s="21"/>
      <c r="D26" s="21"/>
      <c r="E26" s="21"/>
      <c r="F26" s="21"/>
      <c r="G26" s="21"/>
      <c r="H26" s="21"/>
      <c r="I26" s="21"/>
      <c r="J26" s="21"/>
      <c r="K26" s="21"/>
      <c r="L26" s="21"/>
      <c r="M26" s="21"/>
      <c r="N26" s="21"/>
      <c r="O26" s="21"/>
      <c r="P26" s="21"/>
      <c r="Q26" s="21"/>
      <c r="R26" s="21"/>
      <c r="S26" s="21"/>
      <c r="T26" s="21"/>
      <c r="U26" s="21"/>
      <c r="X26" s="17" t="str">
        <f aca="false">IF(OR(B$7="",$BR26=""),"",IF('Tally Helper'!$B$3&lt;&gt;TRUE(),"not on Staff",SUMIFS('Tally Helper'!$L$5:$GI$5,'Tally Helper'!$L$3:$GI$3,"&gt;="&amp;$BR26,'Tally Helper'!$L$3:$GI$3,"&lt;="&amp;$BS26)))</f>
        <v/>
      </c>
      <c r="Y26" s="17" t="str">
        <f aca="false">IF(OR(C$7="",$BR26=""),"",IF('Tally Helper'!$B$6&lt;&gt;TRUE(),"not on Staff",SUMIFS('Tally Helper'!$L$8:$GI$8,'Tally Helper'!$L$6:$GI$6,"&gt;="&amp;$BR26,'Tally Helper'!$L$6:$GI$6,"&lt;="&amp;$BS26)))</f>
        <v/>
      </c>
      <c r="Z26" s="17" t="str">
        <f aca="false">IF(OR(D$7="",$BR26=""),"",IF('Tally Helper'!$B$9&lt;&gt;TRUE(),"not on Staff",SUMIFS('Tally Helper'!$L$11:$GI$11,'Tally Helper'!$L$9:$GI$9,"&gt;="&amp;$BR26,'Tally Helper'!$L$9:$GI$9,"&lt;="&amp;$BS26)))</f>
        <v/>
      </c>
      <c r="AA26" s="17" t="str">
        <f aca="false">IF(OR(E$7="",$BR26=""),"",IF('Tally Helper'!$B$12&lt;&gt;TRUE(),"not on Staff",SUMIFS('Tally Helper'!$L$14:$GI$14,'Tally Helper'!$L$12:$GI$12,"&gt;="&amp;$BR26,'Tally Helper'!$L$12:$GI$12,"&lt;="&amp;$BS26)))</f>
        <v/>
      </c>
      <c r="AB26" s="17" t="str">
        <f aca="false">IF(OR(F$7="",$BR26=""),"",IF('Tally Helper'!$B$15&lt;&gt;TRUE(),"not on Staff",SUMIFS('Tally Helper'!$L$17:$GI$17,'Tally Helper'!$L$15:$GI$15,"&gt;="&amp;$BR26,'Tally Helper'!$L$15:$GI$15,"&lt;="&amp;$BS26)))</f>
        <v/>
      </c>
      <c r="AC26" s="17" t="str">
        <f aca="false">IF(OR(G$7="",$BR26=""),"",IF('Tally Helper'!$B$18&lt;&gt;TRUE(),"not on Staff",SUMIFS('Tally Helper'!$L$20:$GI$20,'Tally Helper'!$L$18:$GI$18,"&gt;="&amp;$BR26,'Tally Helper'!$L$18:$GI$18,"&lt;="&amp;$BS26)))</f>
        <v/>
      </c>
      <c r="AD26" s="17" t="str">
        <f aca="false">IF(OR(H$7="",$BR26=""),"",IF('Tally Helper'!$B$21&lt;&gt;TRUE(),"not on Staff",SUMIFS('Tally Helper'!$L$23:$GI$23,'Tally Helper'!$L$21:$GI$21,"&gt;="&amp;$BR26,'Tally Helper'!$L$21:$GI$21,"&lt;="&amp;$BS26)))</f>
        <v/>
      </c>
      <c r="AE26" s="17" t="str">
        <f aca="false">IF(OR(I$7="",$BR26=""),"",IF('Tally Helper'!$B$24&lt;&gt;TRUE(),"not on Staff",SUMIFS('Tally Helper'!$L$26:$GI$26,'Tally Helper'!$L$24:$GI$24,"&gt;="&amp;$BR26,'Tally Helper'!$L$24:$GI$24,"&lt;="&amp;$BS26)))</f>
        <v/>
      </c>
      <c r="AF26" s="17" t="str">
        <f aca="false">IF(OR(J$7="",$BR26=""),"",IF('Tally Helper'!$B$27&lt;&gt;TRUE(),"not on Staff",SUMIFS('Tally Helper'!$L$29:$GI$29,'Tally Helper'!$L$27:$GI$27,"&gt;="&amp;$BR26,'Tally Helper'!$L$27:$GI$27,"&lt;="&amp;$BS26)))</f>
        <v/>
      </c>
      <c r="AG26" s="17" t="str">
        <f aca="false">IF(OR(K$7="",$BR26=""),"",IF('Tally Helper'!$B$30&lt;&gt;TRUE(),"not on Staff",SUMIFS('Tally Helper'!$L$32:$GI$32,'Tally Helper'!$L$30:$GI$30,"&gt;="&amp;$BR26,'Tally Helper'!$L$30:$GI$30,"&lt;="&amp;$BS26)))</f>
        <v/>
      </c>
      <c r="AH26" s="17" t="str">
        <f aca="false">IF(OR(L$7="",$BR26=""),"",IF('Tally Helper'!$B$33&lt;&gt;TRUE(),"not on Staff",SUMIFS('Tally Helper'!$L$35:$GI$35,'Tally Helper'!$L$33:$GI$33,"&gt;="&amp;$BR26,'Tally Helper'!$L$33:$GI$33,"&lt;="&amp;$BS26)))</f>
        <v/>
      </c>
      <c r="AI26" s="17" t="str">
        <f aca="false">IF(OR(M$7="",$BR26=""),"",IF('Tally Helper'!$B$36&lt;&gt;TRUE(),"not on Staff",SUMIFS('Tally Helper'!$L$38:$GI$38,'Tally Helper'!$L$36:$GI$36,"&gt;="&amp;$BR26,'Tally Helper'!$L$36:$GI$36,"&lt;="&amp;$BS26)))</f>
        <v/>
      </c>
      <c r="AJ26" s="17" t="str">
        <f aca="false">IF(OR(N$7="",$BR26=""),"",IF('Tally Helper'!$B$39&lt;&gt;TRUE(),"not on Staff",SUMIFS('Tally Helper'!$L$41:$GI$41,'Tally Helper'!$L$39:$GI$39,"&gt;="&amp;$BR26,'Tally Helper'!$L$39:$GI$39,"&lt;="&amp;$BS26)))</f>
        <v/>
      </c>
      <c r="AK26" s="17" t="str">
        <f aca="false">IF(OR(O$7="",$BR26=""),"",IF('Tally Helper'!$B$42&lt;&gt;TRUE(),"not on Staff",SUMIFS('Tally Helper'!$L$44:$GI$44,'Tally Helper'!$L$42:$GI$42,"&gt;="&amp;$BR26,'Tally Helper'!$L$42:$GI$42,"&lt;="&amp;$BS26)))</f>
        <v/>
      </c>
      <c r="AL26" s="17" t="str">
        <f aca="false">IF(OR(P$7="",$BR26=""),"",IF('Tally Helper'!$B$45&lt;&gt;TRUE(),"not on Staff",SUMIFS('Tally Helper'!$L$47:$GI$47,'Tally Helper'!$L$45:$GI$45,"&gt;="&amp;$BR26,'Tally Helper'!$L$45:$GI$45,"&lt;="&amp;$BS26)))</f>
        <v/>
      </c>
      <c r="AM26" s="17" t="str">
        <f aca="false">IF(OR(Q$7="",$BR26=""),"",IF('Tally Helper'!$B$48&lt;&gt;TRUE(),"not on Staff",SUMIFS('Tally Helper'!$L$50:$GI$50,'Tally Helper'!$L$48:$GI$48,"&gt;="&amp;$BR26,'Tally Helper'!$L$48:$GI$48,"&lt;="&amp;$BS26)))</f>
        <v/>
      </c>
      <c r="AN26" s="17" t="str">
        <f aca="false">IF(OR(R$7="",$BR26=""),"",IF('Tally Helper'!$B$51&lt;&gt;TRUE(),"not on Staff",SUMIFS('Tally Helper'!$L$53:$GI$53,'Tally Helper'!$L$51:$GI$51,"&gt;="&amp;$BR26,'Tally Helper'!$L$51:$GI$51,"&lt;="&amp;$BS26)))</f>
        <v/>
      </c>
      <c r="AO26" s="17" t="str">
        <f aca="false">IF(OR(S$7="",$BR26=""),"",IF('Tally Helper'!$B$54&lt;&gt;TRUE(),"not on Staff",SUMIFS('Tally Helper'!$L$56:$GI$56,'Tally Helper'!$L$54:$GI$54,"&gt;="&amp;$BR26,'Tally Helper'!$L$54:$GI$54,"&lt;="&amp;$BS26)))</f>
        <v/>
      </c>
      <c r="AP26" s="17" t="str">
        <f aca="false">IF(OR(T$7="",$BR26=""),"",IF('Tally Helper'!$B$57&lt;&gt;TRUE(),"not on Staff",SUMIFS('Tally Helper'!$L$59:$GI$59,'Tally Helper'!$L$57:$GI$57,"&gt;="&amp;$BR26,'Tally Helper'!$L$57:$GI$57,"&lt;="&amp;$BS26)))</f>
        <v/>
      </c>
      <c r="AQ26" s="17" t="str">
        <f aca="false">IF(OR(U$7="",$BR26=""),"",IF('Tally Helper'!$B$60&lt;&gt;TRUE(),"not on Staff",SUMIFS('Tally Helper'!$L$62:$GI$62,'Tally Helper'!$L$60:$GI$60,"&gt;="&amp;$BR26,'Tally Helper'!$L$60:$GI$60,"&lt;="&amp;$BS26)))</f>
        <v/>
      </c>
      <c r="AT26" s="17" t="str">
        <f aca="false">IF(OR(X26="",NOT(ISNUMBER(X26))),"",X26-N(B26))</f>
        <v/>
      </c>
      <c r="AU26" s="17" t="str">
        <f aca="false">IF(OR(Y26="",NOT(ISNUMBER(Y26))),"",Y26-N(C26))</f>
        <v/>
      </c>
      <c r="AV26" s="17" t="str">
        <f aca="false">IF(OR(Z26="",NOT(ISNUMBER(Z26))),"",Z26-N(D26))</f>
        <v/>
      </c>
      <c r="AW26" s="17" t="str">
        <f aca="false">IF(OR(AA26="",NOT(ISNUMBER(AA26))),"",AA26-N(E26))</f>
        <v/>
      </c>
      <c r="AX26" s="17" t="str">
        <f aca="false">IF(OR(AB26="",NOT(ISNUMBER(AB26))),"",AB26-N(F26))</f>
        <v/>
      </c>
      <c r="AY26" s="17" t="str">
        <f aca="false">IF(OR(AC26="",NOT(ISNUMBER(AC26))),"",AC26-N(G26))</f>
        <v/>
      </c>
      <c r="AZ26" s="17" t="str">
        <f aca="false">IF(OR(AD26="",NOT(ISNUMBER(AD26))),"",AD26-N(H26))</f>
        <v/>
      </c>
      <c r="BA26" s="17" t="str">
        <f aca="false">IF(OR(AE26="",NOT(ISNUMBER(AE26))),"",AE26-N(I26))</f>
        <v/>
      </c>
      <c r="BB26" s="17" t="str">
        <f aca="false">IF(OR(AF26="",NOT(ISNUMBER(AF26))),"",AF26-N(J26))</f>
        <v/>
      </c>
      <c r="BC26" s="17" t="str">
        <f aca="false">IF(OR(AG26="",NOT(ISNUMBER(AG26))),"",AG26-N(K26))</f>
        <v/>
      </c>
      <c r="BD26" s="17" t="str">
        <f aca="false">IF(OR(AH26="",NOT(ISNUMBER(AH26))),"",AH26-N(L26))</f>
        <v/>
      </c>
      <c r="BE26" s="17" t="str">
        <f aca="false">IF(OR(AI26="",NOT(ISNUMBER(AI26))),"",AI26-N(M26))</f>
        <v/>
      </c>
      <c r="BF26" s="17" t="str">
        <f aca="false">IF(OR(AJ26="",NOT(ISNUMBER(AJ26))),"",AJ26-N(N26))</f>
        <v/>
      </c>
      <c r="BG26" s="17" t="str">
        <f aca="false">IF(OR(AK26="",NOT(ISNUMBER(AK26))),"",AK26-N(O26))</f>
        <v/>
      </c>
      <c r="BH26" s="17" t="str">
        <f aca="false">IF(OR(AL26="",NOT(ISNUMBER(AL26))),"",AL26-N(P26))</f>
        <v/>
      </c>
      <c r="BI26" s="17" t="str">
        <f aca="false">IF(OR(AM26="",NOT(ISNUMBER(AM26))),"",AM26-N(Q26))</f>
        <v/>
      </c>
      <c r="BJ26" s="17" t="str">
        <f aca="false">IF(OR(AN26="",NOT(ISNUMBER(AN26))),"",AN26-N(R26))</f>
        <v/>
      </c>
      <c r="BK26" s="17" t="str">
        <f aca="false">IF(OR(AO26="",NOT(ISNUMBER(AO26))),"",AO26-N(S26))</f>
        <v/>
      </c>
      <c r="BL26" s="17" t="str">
        <f aca="false">IF(OR(AP26="",NOT(ISNUMBER(AP26))),"",AP26-N(T26))</f>
        <v/>
      </c>
      <c r="BM26" s="17" t="str">
        <f aca="false">IF(OR(AQ26="",NOT(ISNUMBER(AQ26))),"",AQ26-N(U26))</f>
        <v/>
      </c>
      <c r="BR26" s="20" t="str">
        <f aca="false">IF($A26="","",IF(ISNUMBER($A26),DATE(YEAR($A26),MONTH($A26),1),IFERROR(DATE(2000+VALUE(RIGHT(TRIM($A26),2)),MATCH(UPPER(LEFT(TRIM($A26),3)),{"JAN","FEB","MAR","APR","MAY","JUN","JUL","AUG","SEP","OCT","NOV","DEC"},0),1),"")))</f>
        <v/>
      </c>
      <c r="BS26" s="20" t="str">
        <f aca="false">IF(BR26="","",EOMONTH(BR26,0))</f>
        <v/>
      </c>
    </row>
    <row r="27" customFormat="false" ht="15" hidden="false" customHeight="false" outlineLevel="0" collapsed="false">
      <c r="B27" s="21"/>
      <c r="C27" s="21"/>
      <c r="D27" s="21"/>
      <c r="E27" s="21"/>
      <c r="F27" s="21"/>
      <c r="G27" s="21"/>
      <c r="H27" s="21"/>
      <c r="I27" s="21"/>
      <c r="J27" s="21"/>
      <c r="K27" s="21"/>
      <c r="L27" s="21"/>
      <c r="M27" s="21"/>
      <c r="N27" s="21"/>
      <c r="O27" s="21"/>
      <c r="P27" s="21"/>
      <c r="Q27" s="21"/>
      <c r="R27" s="21"/>
      <c r="S27" s="21"/>
      <c r="T27" s="21"/>
      <c r="U27" s="21"/>
      <c r="X27" s="17" t="str">
        <f aca="false">IF(OR(B$7="",$BR27=""),"",IF('Tally Helper'!$B$3&lt;&gt;TRUE(),"not on Staff",SUMIFS('Tally Helper'!$L$5:$GI$5,'Tally Helper'!$L$3:$GI$3,"&gt;="&amp;$BR27,'Tally Helper'!$L$3:$GI$3,"&lt;="&amp;$BS27)))</f>
        <v/>
      </c>
      <c r="Y27" s="17" t="str">
        <f aca="false">IF(OR(C$7="",$BR27=""),"",IF('Tally Helper'!$B$6&lt;&gt;TRUE(),"not on Staff",SUMIFS('Tally Helper'!$L$8:$GI$8,'Tally Helper'!$L$6:$GI$6,"&gt;="&amp;$BR27,'Tally Helper'!$L$6:$GI$6,"&lt;="&amp;$BS27)))</f>
        <v/>
      </c>
      <c r="Z27" s="17" t="str">
        <f aca="false">IF(OR(D$7="",$BR27=""),"",IF('Tally Helper'!$B$9&lt;&gt;TRUE(),"not on Staff",SUMIFS('Tally Helper'!$L$11:$GI$11,'Tally Helper'!$L$9:$GI$9,"&gt;="&amp;$BR27,'Tally Helper'!$L$9:$GI$9,"&lt;="&amp;$BS27)))</f>
        <v/>
      </c>
      <c r="AA27" s="17" t="str">
        <f aca="false">IF(OR(E$7="",$BR27=""),"",IF('Tally Helper'!$B$12&lt;&gt;TRUE(),"not on Staff",SUMIFS('Tally Helper'!$L$14:$GI$14,'Tally Helper'!$L$12:$GI$12,"&gt;="&amp;$BR27,'Tally Helper'!$L$12:$GI$12,"&lt;="&amp;$BS27)))</f>
        <v/>
      </c>
      <c r="AB27" s="17" t="str">
        <f aca="false">IF(OR(F$7="",$BR27=""),"",IF('Tally Helper'!$B$15&lt;&gt;TRUE(),"not on Staff",SUMIFS('Tally Helper'!$L$17:$GI$17,'Tally Helper'!$L$15:$GI$15,"&gt;="&amp;$BR27,'Tally Helper'!$L$15:$GI$15,"&lt;="&amp;$BS27)))</f>
        <v/>
      </c>
      <c r="AC27" s="17" t="str">
        <f aca="false">IF(OR(G$7="",$BR27=""),"",IF('Tally Helper'!$B$18&lt;&gt;TRUE(),"not on Staff",SUMIFS('Tally Helper'!$L$20:$GI$20,'Tally Helper'!$L$18:$GI$18,"&gt;="&amp;$BR27,'Tally Helper'!$L$18:$GI$18,"&lt;="&amp;$BS27)))</f>
        <v/>
      </c>
      <c r="AD27" s="17" t="str">
        <f aca="false">IF(OR(H$7="",$BR27=""),"",IF('Tally Helper'!$B$21&lt;&gt;TRUE(),"not on Staff",SUMIFS('Tally Helper'!$L$23:$GI$23,'Tally Helper'!$L$21:$GI$21,"&gt;="&amp;$BR27,'Tally Helper'!$L$21:$GI$21,"&lt;="&amp;$BS27)))</f>
        <v/>
      </c>
      <c r="AE27" s="17" t="str">
        <f aca="false">IF(OR(I$7="",$BR27=""),"",IF('Tally Helper'!$B$24&lt;&gt;TRUE(),"not on Staff",SUMIFS('Tally Helper'!$L$26:$GI$26,'Tally Helper'!$L$24:$GI$24,"&gt;="&amp;$BR27,'Tally Helper'!$L$24:$GI$24,"&lt;="&amp;$BS27)))</f>
        <v/>
      </c>
      <c r="AF27" s="17" t="str">
        <f aca="false">IF(OR(J$7="",$BR27=""),"",IF('Tally Helper'!$B$27&lt;&gt;TRUE(),"not on Staff",SUMIFS('Tally Helper'!$L$29:$GI$29,'Tally Helper'!$L$27:$GI$27,"&gt;="&amp;$BR27,'Tally Helper'!$L$27:$GI$27,"&lt;="&amp;$BS27)))</f>
        <v/>
      </c>
      <c r="AG27" s="17" t="str">
        <f aca="false">IF(OR(K$7="",$BR27=""),"",IF('Tally Helper'!$B$30&lt;&gt;TRUE(),"not on Staff",SUMIFS('Tally Helper'!$L$32:$GI$32,'Tally Helper'!$L$30:$GI$30,"&gt;="&amp;$BR27,'Tally Helper'!$L$30:$GI$30,"&lt;="&amp;$BS27)))</f>
        <v/>
      </c>
      <c r="AH27" s="17" t="str">
        <f aca="false">IF(OR(L$7="",$BR27=""),"",IF('Tally Helper'!$B$33&lt;&gt;TRUE(),"not on Staff",SUMIFS('Tally Helper'!$L$35:$GI$35,'Tally Helper'!$L$33:$GI$33,"&gt;="&amp;$BR27,'Tally Helper'!$L$33:$GI$33,"&lt;="&amp;$BS27)))</f>
        <v/>
      </c>
      <c r="AI27" s="17" t="str">
        <f aca="false">IF(OR(M$7="",$BR27=""),"",IF('Tally Helper'!$B$36&lt;&gt;TRUE(),"not on Staff",SUMIFS('Tally Helper'!$L$38:$GI$38,'Tally Helper'!$L$36:$GI$36,"&gt;="&amp;$BR27,'Tally Helper'!$L$36:$GI$36,"&lt;="&amp;$BS27)))</f>
        <v/>
      </c>
      <c r="AJ27" s="17" t="str">
        <f aca="false">IF(OR(N$7="",$BR27=""),"",IF('Tally Helper'!$B$39&lt;&gt;TRUE(),"not on Staff",SUMIFS('Tally Helper'!$L$41:$GI$41,'Tally Helper'!$L$39:$GI$39,"&gt;="&amp;$BR27,'Tally Helper'!$L$39:$GI$39,"&lt;="&amp;$BS27)))</f>
        <v/>
      </c>
      <c r="AK27" s="17" t="str">
        <f aca="false">IF(OR(O$7="",$BR27=""),"",IF('Tally Helper'!$B$42&lt;&gt;TRUE(),"not on Staff",SUMIFS('Tally Helper'!$L$44:$GI$44,'Tally Helper'!$L$42:$GI$42,"&gt;="&amp;$BR27,'Tally Helper'!$L$42:$GI$42,"&lt;="&amp;$BS27)))</f>
        <v/>
      </c>
      <c r="AL27" s="17" t="str">
        <f aca="false">IF(OR(P$7="",$BR27=""),"",IF('Tally Helper'!$B$45&lt;&gt;TRUE(),"not on Staff",SUMIFS('Tally Helper'!$L$47:$GI$47,'Tally Helper'!$L$45:$GI$45,"&gt;="&amp;$BR27,'Tally Helper'!$L$45:$GI$45,"&lt;="&amp;$BS27)))</f>
        <v/>
      </c>
      <c r="AM27" s="17" t="str">
        <f aca="false">IF(OR(Q$7="",$BR27=""),"",IF('Tally Helper'!$B$48&lt;&gt;TRUE(),"not on Staff",SUMIFS('Tally Helper'!$L$50:$GI$50,'Tally Helper'!$L$48:$GI$48,"&gt;="&amp;$BR27,'Tally Helper'!$L$48:$GI$48,"&lt;="&amp;$BS27)))</f>
        <v/>
      </c>
      <c r="AN27" s="17" t="str">
        <f aca="false">IF(OR(R$7="",$BR27=""),"",IF('Tally Helper'!$B$51&lt;&gt;TRUE(),"not on Staff",SUMIFS('Tally Helper'!$L$53:$GI$53,'Tally Helper'!$L$51:$GI$51,"&gt;="&amp;$BR27,'Tally Helper'!$L$51:$GI$51,"&lt;="&amp;$BS27)))</f>
        <v/>
      </c>
      <c r="AO27" s="17" t="str">
        <f aca="false">IF(OR(S$7="",$BR27=""),"",IF('Tally Helper'!$B$54&lt;&gt;TRUE(),"not on Staff",SUMIFS('Tally Helper'!$L$56:$GI$56,'Tally Helper'!$L$54:$GI$54,"&gt;="&amp;$BR27,'Tally Helper'!$L$54:$GI$54,"&lt;="&amp;$BS27)))</f>
        <v/>
      </c>
      <c r="AP27" s="17" t="str">
        <f aca="false">IF(OR(T$7="",$BR27=""),"",IF('Tally Helper'!$B$57&lt;&gt;TRUE(),"not on Staff",SUMIFS('Tally Helper'!$L$59:$GI$59,'Tally Helper'!$L$57:$GI$57,"&gt;="&amp;$BR27,'Tally Helper'!$L$57:$GI$57,"&lt;="&amp;$BS27)))</f>
        <v/>
      </c>
      <c r="AQ27" s="17" t="str">
        <f aca="false">IF(OR(U$7="",$BR27=""),"",IF('Tally Helper'!$B$60&lt;&gt;TRUE(),"not on Staff",SUMIFS('Tally Helper'!$L$62:$GI$62,'Tally Helper'!$L$60:$GI$60,"&gt;="&amp;$BR27,'Tally Helper'!$L$60:$GI$60,"&lt;="&amp;$BS27)))</f>
        <v/>
      </c>
      <c r="AT27" s="17" t="str">
        <f aca="false">IF(OR(X27="",NOT(ISNUMBER(X27))),"",X27-N(B27))</f>
        <v/>
      </c>
      <c r="AU27" s="17" t="str">
        <f aca="false">IF(OR(Y27="",NOT(ISNUMBER(Y27))),"",Y27-N(C27))</f>
        <v/>
      </c>
      <c r="AV27" s="17" t="str">
        <f aca="false">IF(OR(Z27="",NOT(ISNUMBER(Z27))),"",Z27-N(D27))</f>
        <v/>
      </c>
      <c r="AW27" s="17" t="str">
        <f aca="false">IF(OR(AA27="",NOT(ISNUMBER(AA27))),"",AA27-N(E27))</f>
        <v/>
      </c>
      <c r="AX27" s="17" t="str">
        <f aca="false">IF(OR(AB27="",NOT(ISNUMBER(AB27))),"",AB27-N(F27))</f>
        <v/>
      </c>
      <c r="AY27" s="17" t="str">
        <f aca="false">IF(OR(AC27="",NOT(ISNUMBER(AC27))),"",AC27-N(G27))</f>
        <v/>
      </c>
      <c r="AZ27" s="17" t="str">
        <f aca="false">IF(OR(AD27="",NOT(ISNUMBER(AD27))),"",AD27-N(H27))</f>
        <v/>
      </c>
      <c r="BA27" s="17" t="str">
        <f aca="false">IF(OR(AE27="",NOT(ISNUMBER(AE27))),"",AE27-N(I27))</f>
        <v/>
      </c>
      <c r="BB27" s="17" t="str">
        <f aca="false">IF(OR(AF27="",NOT(ISNUMBER(AF27))),"",AF27-N(J27))</f>
        <v/>
      </c>
      <c r="BC27" s="17" t="str">
        <f aca="false">IF(OR(AG27="",NOT(ISNUMBER(AG27))),"",AG27-N(K27))</f>
        <v/>
      </c>
      <c r="BD27" s="17" t="str">
        <f aca="false">IF(OR(AH27="",NOT(ISNUMBER(AH27))),"",AH27-N(L27))</f>
        <v/>
      </c>
      <c r="BE27" s="17" t="str">
        <f aca="false">IF(OR(AI27="",NOT(ISNUMBER(AI27))),"",AI27-N(M27))</f>
        <v/>
      </c>
      <c r="BF27" s="17" t="str">
        <f aca="false">IF(OR(AJ27="",NOT(ISNUMBER(AJ27))),"",AJ27-N(N27))</f>
        <v/>
      </c>
      <c r="BG27" s="17" t="str">
        <f aca="false">IF(OR(AK27="",NOT(ISNUMBER(AK27))),"",AK27-N(O27))</f>
        <v/>
      </c>
      <c r="BH27" s="17" t="str">
        <f aca="false">IF(OR(AL27="",NOT(ISNUMBER(AL27))),"",AL27-N(P27))</f>
        <v/>
      </c>
      <c r="BI27" s="17" t="str">
        <f aca="false">IF(OR(AM27="",NOT(ISNUMBER(AM27))),"",AM27-N(Q27))</f>
        <v/>
      </c>
      <c r="BJ27" s="17" t="str">
        <f aca="false">IF(OR(AN27="",NOT(ISNUMBER(AN27))),"",AN27-N(R27))</f>
        <v/>
      </c>
      <c r="BK27" s="17" t="str">
        <f aca="false">IF(OR(AO27="",NOT(ISNUMBER(AO27))),"",AO27-N(S27))</f>
        <v/>
      </c>
      <c r="BL27" s="17" t="str">
        <f aca="false">IF(OR(AP27="",NOT(ISNUMBER(AP27))),"",AP27-N(T27))</f>
        <v/>
      </c>
      <c r="BM27" s="17" t="str">
        <f aca="false">IF(OR(AQ27="",NOT(ISNUMBER(AQ27))),"",AQ27-N(U27))</f>
        <v/>
      </c>
      <c r="BR27" s="20" t="str">
        <f aca="false">IF($A27="","",IF(ISNUMBER($A27),DATE(YEAR($A27),MONTH($A27),1),IFERROR(DATE(2000+VALUE(RIGHT(TRIM($A27),2)),MATCH(UPPER(LEFT(TRIM($A27),3)),{"JAN","FEB","MAR","APR","MAY","JUN","JUL","AUG","SEP","OCT","NOV","DEC"},0),1),"")))</f>
        <v/>
      </c>
      <c r="BS27" s="20" t="str">
        <f aca="false">IF(BR27="","",EOMONTH(BR27,0))</f>
        <v/>
      </c>
    </row>
    <row r="28" customFormat="false" ht="15" hidden="false" customHeight="false" outlineLevel="0" collapsed="false">
      <c r="B28" s="21"/>
      <c r="C28" s="21"/>
      <c r="D28" s="21"/>
      <c r="E28" s="21"/>
      <c r="F28" s="21"/>
      <c r="G28" s="21"/>
      <c r="H28" s="21"/>
      <c r="I28" s="21"/>
      <c r="J28" s="21"/>
      <c r="K28" s="21"/>
      <c r="L28" s="21"/>
      <c r="M28" s="21"/>
      <c r="N28" s="21"/>
      <c r="O28" s="21"/>
      <c r="P28" s="21"/>
      <c r="Q28" s="21"/>
      <c r="R28" s="21"/>
      <c r="S28" s="21"/>
      <c r="T28" s="21"/>
      <c r="U28" s="21"/>
      <c r="X28" s="17" t="str">
        <f aca="false">IF(OR(B$7="",$BR28=""),"",IF('Tally Helper'!$B$3&lt;&gt;TRUE(),"not on Staff",SUMIFS('Tally Helper'!$L$5:$GI$5,'Tally Helper'!$L$3:$GI$3,"&gt;="&amp;$BR28,'Tally Helper'!$L$3:$GI$3,"&lt;="&amp;$BS28)))</f>
        <v/>
      </c>
      <c r="Y28" s="17" t="str">
        <f aca="false">IF(OR(C$7="",$BR28=""),"",IF('Tally Helper'!$B$6&lt;&gt;TRUE(),"not on Staff",SUMIFS('Tally Helper'!$L$8:$GI$8,'Tally Helper'!$L$6:$GI$6,"&gt;="&amp;$BR28,'Tally Helper'!$L$6:$GI$6,"&lt;="&amp;$BS28)))</f>
        <v/>
      </c>
      <c r="Z28" s="17" t="str">
        <f aca="false">IF(OR(D$7="",$BR28=""),"",IF('Tally Helper'!$B$9&lt;&gt;TRUE(),"not on Staff",SUMIFS('Tally Helper'!$L$11:$GI$11,'Tally Helper'!$L$9:$GI$9,"&gt;="&amp;$BR28,'Tally Helper'!$L$9:$GI$9,"&lt;="&amp;$BS28)))</f>
        <v/>
      </c>
      <c r="AA28" s="17" t="str">
        <f aca="false">IF(OR(E$7="",$BR28=""),"",IF('Tally Helper'!$B$12&lt;&gt;TRUE(),"not on Staff",SUMIFS('Tally Helper'!$L$14:$GI$14,'Tally Helper'!$L$12:$GI$12,"&gt;="&amp;$BR28,'Tally Helper'!$L$12:$GI$12,"&lt;="&amp;$BS28)))</f>
        <v/>
      </c>
      <c r="AB28" s="17" t="str">
        <f aca="false">IF(OR(F$7="",$BR28=""),"",IF('Tally Helper'!$B$15&lt;&gt;TRUE(),"not on Staff",SUMIFS('Tally Helper'!$L$17:$GI$17,'Tally Helper'!$L$15:$GI$15,"&gt;="&amp;$BR28,'Tally Helper'!$L$15:$GI$15,"&lt;="&amp;$BS28)))</f>
        <v/>
      </c>
      <c r="AC28" s="17" t="str">
        <f aca="false">IF(OR(G$7="",$BR28=""),"",IF('Tally Helper'!$B$18&lt;&gt;TRUE(),"not on Staff",SUMIFS('Tally Helper'!$L$20:$GI$20,'Tally Helper'!$L$18:$GI$18,"&gt;="&amp;$BR28,'Tally Helper'!$L$18:$GI$18,"&lt;="&amp;$BS28)))</f>
        <v/>
      </c>
      <c r="AD28" s="17" t="str">
        <f aca="false">IF(OR(H$7="",$BR28=""),"",IF('Tally Helper'!$B$21&lt;&gt;TRUE(),"not on Staff",SUMIFS('Tally Helper'!$L$23:$GI$23,'Tally Helper'!$L$21:$GI$21,"&gt;="&amp;$BR28,'Tally Helper'!$L$21:$GI$21,"&lt;="&amp;$BS28)))</f>
        <v/>
      </c>
      <c r="AE28" s="17" t="str">
        <f aca="false">IF(OR(I$7="",$BR28=""),"",IF('Tally Helper'!$B$24&lt;&gt;TRUE(),"not on Staff",SUMIFS('Tally Helper'!$L$26:$GI$26,'Tally Helper'!$L$24:$GI$24,"&gt;="&amp;$BR28,'Tally Helper'!$L$24:$GI$24,"&lt;="&amp;$BS28)))</f>
        <v/>
      </c>
      <c r="AF28" s="17" t="str">
        <f aca="false">IF(OR(J$7="",$BR28=""),"",IF('Tally Helper'!$B$27&lt;&gt;TRUE(),"not on Staff",SUMIFS('Tally Helper'!$L$29:$GI$29,'Tally Helper'!$L$27:$GI$27,"&gt;="&amp;$BR28,'Tally Helper'!$L$27:$GI$27,"&lt;="&amp;$BS28)))</f>
        <v/>
      </c>
      <c r="AG28" s="17" t="str">
        <f aca="false">IF(OR(K$7="",$BR28=""),"",IF('Tally Helper'!$B$30&lt;&gt;TRUE(),"not on Staff",SUMIFS('Tally Helper'!$L$32:$GI$32,'Tally Helper'!$L$30:$GI$30,"&gt;="&amp;$BR28,'Tally Helper'!$L$30:$GI$30,"&lt;="&amp;$BS28)))</f>
        <v/>
      </c>
      <c r="AH28" s="17" t="str">
        <f aca="false">IF(OR(L$7="",$BR28=""),"",IF('Tally Helper'!$B$33&lt;&gt;TRUE(),"not on Staff",SUMIFS('Tally Helper'!$L$35:$GI$35,'Tally Helper'!$L$33:$GI$33,"&gt;="&amp;$BR28,'Tally Helper'!$L$33:$GI$33,"&lt;="&amp;$BS28)))</f>
        <v/>
      </c>
      <c r="AI28" s="17" t="str">
        <f aca="false">IF(OR(M$7="",$BR28=""),"",IF('Tally Helper'!$B$36&lt;&gt;TRUE(),"not on Staff",SUMIFS('Tally Helper'!$L$38:$GI$38,'Tally Helper'!$L$36:$GI$36,"&gt;="&amp;$BR28,'Tally Helper'!$L$36:$GI$36,"&lt;="&amp;$BS28)))</f>
        <v/>
      </c>
      <c r="AJ28" s="17" t="str">
        <f aca="false">IF(OR(N$7="",$BR28=""),"",IF('Tally Helper'!$B$39&lt;&gt;TRUE(),"not on Staff",SUMIFS('Tally Helper'!$L$41:$GI$41,'Tally Helper'!$L$39:$GI$39,"&gt;="&amp;$BR28,'Tally Helper'!$L$39:$GI$39,"&lt;="&amp;$BS28)))</f>
        <v/>
      </c>
      <c r="AK28" s="17" t="str">
        <f aca="false">IF(OR(O$7="",$BR28=""),"",IF('Tally Helper'!$B$42&lt;&gt;TRUE(),"not on Staff",SUMIFS('Tally Helper'!$L$44:$GI$44,'Tally Helper'!$L$42:$GI$42,"&gt;="&amp;$BR28,'Tally Helper'!$L$42:$GI$42,"&lt;="&amp;$BS28)))</f>
        <v/>
      </c>
      <c r="AL28" s="17" t="str">
        <f aca="false">IF(OR(P$7="",$BR28=""),"",IF('Tally Helper'!$B$45&lt;&gt;TRUE(),"not on Staff",SUMIFS('Tally Helper'!$L$47:$GI$47,'Tally Helper'!$L$45:$GI$45,"&gt;="&amp;$BR28,'Tally Helper'!$L$45:$GI$45,"&lt;="&amp;$BS28)))</f>
        <v/>
      </c>
      <c r="AM28" s="17" t="str">
        <f aca="false">IF(OR(Q$7="",$BR28=""),"",IF('Tally Helper'!$B$48&lt;&gt;TRUE(),"not on Staff",SUMIFS('Tally Helper'!$L$50:$GI$50,'Tally Helper'!$L$48:$GI$48,"&gt;="&amp;$BR28,'Tally Helper'!$L$48:$GI$48,"&lt;="&amp;$BS28)))</f>
        <v/>
      </c>
      <c r="AN28" s="17" t="str">
        <f aca="false">IF(OR(R$7="",$BR28=""),"",IF('Tally Helper'!$B$51&lt;&gt;TRUE(),"not on Staff",SUMIFS('Tally Helper'!$L$53:$GI$53,'Tally Helper'!$L$51:$GI$51,"&gt;="&amp;$BR28,'Tally Helper'!$L$51:$GI$51,"&lt;="&amp;$BS28)))</f>
        <v/>
      </c>
      <c r="AO28" s="17" t="str">
        <f aca="false">IF(OR(S$7="",$BR28=""),"",IF('Tally Helper'!$B$54&lt;&gt;TRUE(),"not on Staff",SUMIFS('Tally Helper'!$L$56:$GI$56,'Tally Helper'!$L$54:$GI$54,"&gt;="&amp;$BR28,'Tally Helper'!$L$54:$GI$54,"&lt;="&amp;$BS28)))</f>
        <v/>
      </c>
      <c r="AP28" s="17" t="str">
        <f aca="false">IF(OR(T$7="",$BR28=""),"",IF('Tally Helper'!$B$57&lt;&gt;TRUE(),"not on Staff",SUMIFS('Tally Helper'!$L$59:$GI$59,'Tally Helper'!$L$57:$GI$57,"&gt;="&amp;$BR28,'Tally Helper'!$L$57:$GI$57,"&lt;="&amp;$BS28)))</f>
        <v/>
      </c>
      <c r="AQ28" s="17" t="str">
        <f aca="false">IF(OR(U$7="",$BR28=""),"",IF('Tally Helper'!$B$60&lt;&gt;TRUE(),"not on Staff",SUMIFS('Tally Helper'!$L$62:$GI$62,'Tally Helper'!$L$60:$GI$60,"&gt;="&amp;$BR28,'Tally Helper'!$L$60:$GI$60,"&lt;="&amp;$BS28)))</f>
        <v/>
      </c>
      <c r="AT28" s="17" t="str">
        <f aca="false">IF(OR(X28="",NOT(ISNUMBER(X28))),"",X28-N(B28))</f>
        <v/>
      </c>
      <c r="AU28" s="17" t="str">
        <f aca="false">IF(OR(Y28="",NOT(ISNUMBER(Y28))),"",Y28-N(C28))</f>
        <v/>
      </c>
      <c r="AV28" s="17" t="str">
        <f aca="false">IF(OR(Z28="",NOT(ISNUMBER(Z28))),"",Z28-N(D28))</f>
        <v/>
      </c>
      <c r="AW28" s="17" t="str">
        <f aca="false">IF(OR(AA28="",NOT(ISNUMBER(AA28))),"",AA28-N(E28))</f>
        <v/>
      </c>
      <c r="AX28" s="17" t="str">
        <f aca="false">IF(OR(AB28="",NOT(ISNUMBER(AB28))),"",AB28-N(F28))</f>
        <v/>
      </c>
      <c r="AY28" s="17" t="str">
        <f aca="false">IF(OR(AC28="",NOT(ISNUMBER(AC28))),"",AC28-N(G28))</f>
        <v/>
      </c>
      <c r="AZ28" s="17" t="str">
        <f aca="false">IF(OR(AD28="",NOT(ISNUMBER(AD28))),"",AD28-N(H28))</f>
        <v/>
      </c>
      <c r="BA28" s="17" t="str">
        <f aca="false">IF(OR(AE28="",NOT(ISNUMBER(AE28))),"",AE28-N(I28))</f>
        <v/>
      </c>
      <c r="BB28" s="17" t="str">
        <f aca="false">IF(OR(AF28="",NOT(ISNUMBER(AF28))),"",AF28-N(J28))</f>
        <v/>
      </c>
      <c r="BC28" s="17" t="str">
        <f aca="false">IF(OR(AG28="",NOT(ISNUMBER(AG28))),"",AG28-N(K28))</f>
        <v/>
      </c>
      <c r="BD28" s="17" t="str">
        <f aca="false">IF(OR(AH28="",NOT(ISNUMBER(AH28))),"",AH28-N(L28))</f>
        <v/>
      </c>
      <c r="BE28" s="17" t="str">
        <f aca="false">IF(OR(AI28="",NOT(ISNUMBER(AI28))),"",AI28-N(M28))</f>
        <v/>
      </c>
      <c r="BF28" s="17" t="str">
        <f aca="false">IF(OR(AJ28="",NOT(ISNUMBER(AJ28))),"",AJ28-N(N28))</f>
        <v/>
      </c>
      <c r="BG28" s="17" t="str">
        <f aca="false">IF(OR(AK28="",NOT(ISNUMBER(AK28))),"",AK28-N(O28))</f>
        <v/>
      </c>
      <c r="BH28" s="17" t="str">
        <f aca="false">IF(OR(AL28="",NOT(ISNUMBER(AL28))),"",AL28-N(P28))</f>
        <v/>
      </c>
      <c r="BI28" s="17" t="str">
        <f aca="false">IF(OR(AM28="",NOT(ISNUMBER(AM28))),"",AM28-N(Q28))</f>
        <v/>
      </c>
      <c r="BJ28" s="17" t="str">
        <f aca="false">IF(OR(AN28="",NOT(ISNUMBER(AN28))),"",AN28-N(R28))</f>
        <v/>
      </c>
      <c r="BK28" s="17" t="str">
        <f aca="false">IF(OR(AO28="",NOT(ISNUMBER(AO28))),"",AO28-N(S28))</f>
        <v/>
      </c>
      <c r="BL28" s="17" t="str">
        <f aca="false">IF(OR(AP28="",NOT(ISNUMBER(AP28))),"",AP28-N(T28))</f>
        <v/>
      </c>
      <c r="BM28" s="17" t="str">
        <f aca="false">IF(OR(AQ28="",NOT(ISNUMBER(AQ28))),"",AQ28-N(U28))</f>
        <v/>
      </c>
      <c r="BR28" s="20" t="str">
        <f aca="false">IF($A28="","",IF(ISNUMBER($A28),DATE(YEAR($A28),MONTH($A28),1),IFERROR(DATE(2000+VALUE(RIGHT(TRIM($A28),2)),MATCH(UPPER(LEFT(TRIM($A28),3)),{"JAN","FEB","MAR","APR","MAY","JUN","JUL","AUG","SEP","OCT","NOV","DEC"},0),1),"")))</f>
        <v/>
      </c>
      <c r="BS28" s="20" t="str">
        <f aca="false">IF(BR28="","",EOMONTH(BR28,0))</f>
        <v/>
      </c>
    </row>
    <row r="29" customFormat="false" ht="15" hidden="false" customHeight="false" outlineLevel="0" collapsed="false">
      <c r="B29" s="21"/>
      <c r="C29" s="21"/>
      <c r="D29" s="21"/>
      <c r="E29" s="21"/>
      <c r="F29" s="21"/>
      <c r="G29" s="21"/>
      <c r="H29" s="21"/>
      <c r="I29" s="21"/>
      <c r="J29" s="21"/>
      <c r="K29" s="21"/>
      <c r="L29" s="21"/>
      <c r="M29" s="21"/>
      <c r="N29" s="21"/>
      <c r="O29" s="21"/>
      <c r="P29" s="21"/>
      <c r="Q29" s="21"/>
      <c r="R29" s="21"/>
      <c r="S29" s="21"/>
      <c r="T29" s="21"/>
      <c r="U29" s="21"/>
      <c r="X29" s="17" t="str">
        <f aca="false">IF(OR(B$7="",$BR29=""),"",IF('Tally Helper'!$B$3&lt;&gt;TRUE(),"not on Staff",SUMIFS('Tally Helper'!$L$5:$GI$5,'Tally Helper'!$L$3:$GI$3,"&gt;="&amp;$BR29,'Tally Helper'!$L$3:$GI$3,"&lt;="&amp;$BS29)))</f>
        <v/>
      </c>
      <c r="Y29" s="17" t="str">
        <f aca="false">IF(OR(C$7="",$BR29=""),"",IF('Tally Helper'!$B$6&lt;&gt;TRUE(),"not on Staff",SUMIFS('Tally Helper'!$L$8:$GI$8,'Tally Helper'!$L$6:$GI$6,"&gt;="&amp;$BR29,'Tally Helper'!$L$6:$GI$6,"&lt;="&amp;$BS29)))</f>
        <v/>
      </c>
      <c r="Z29" s="17" t="str">
        <f aca="false">IF(OR(D$7="",$BR29=""),"",IF('Tally Helper'!$B$9&lt;&gt;TRUE(),"not on Staff",SUMIFS('Tally Helper'!$L$11:$GI$11,'Tally Helper'!$L$9:$GI$9,"&gt;="&amp;$BR29,'Tally Helper'!$L$9:$GI$9,"&lt;="&amp;$BS29)))</f>
        <v/>
      </c>
      <c r="AA29" s="17" t="str">
        <f aca="false">IF(OR(E$7="",$BR29=""),"",IF('Tally Helper'!$B$12&lt;&gt;TRUE(),"not on Staff",SUMIFS('Tally Helper'!$L$14:$GI$14,'Tally Helper'!$L$12:$GI$12,"&gt;="&amp;$BR29,'Tally Helper'!$L$12:$GI$12,"&lt;="&amp;$BS29)))</f>
        <v/>
      </c>
      <c r="AB29" s="17" t="str">
        <f aca="false">IF(OR(F$7="",$BR29=""),"",IF('Tally Helper'!$B$15&lt;&gt;TRUE(),"not on Staff",SUMIFS('Tally Helper'!$L$17:$GI$17,'Tally Helper'!$L$15:$GI$15,"&gt;="&amp;$BR29,'Tally Helper'!$L$15:$GI$15,"&lt;="&amp;$BS29)))</f>
        <v/>
      </c>
      <c r="AC29" s="17" t="str">
        <f aca="false">IF(OR(G$7="",$BR29=""),"",IF('Tally Helper'!$B$18&lt;&gt;TRUE(),"not on Staff",SUMIFS('Tally Helper'!$L$20:$GI$20,'Tally Helper'!$L$18:$GI$18,"&gt;="&amp;$BR29,'Tally Helper'!$L$18:$GI$18,"&lt;="&amp;$BS29)))</f>
        <v/>
      </c>
      <c r="AD29" s="17" t="str">
        <f aca="false">IF(OR(H$7="",$BR29=""),"",IF('Tally Helper'!$B$21&lt;&gt;TRUE(),"not on Staff",SUMIFS('Tally Helper'!$L$23:$GI$23,'Tally Helper'!$L$21:$GI$21,"&gt;="&amp;$BR29,'Tally Helper'!$L$21:$GI$21,"&lt;="&amp;$BS29)))</f>
        <v/>
      </c>
      <c r="AE29" s="17" t="str">
        <f aca="false">IF(OR(I$7="",$BR29=""),"",IF('Tally Helper'!$B$24&lt;&gt;TRUE(),"not on Staff",SUMIFS('Tally Helper'!$L$26:$GI$26,'Tally Helper'!$L$24:$GI$24,"&gt;="&amp;$BR29,'Tally Helper'!$L$24:$GI$24,"&lt;="&amp;$BS29)))</f>
        <v/>
      </c>
      <c r="AF29" s="17" t="str">
        <f aca="false">IF(OR(J$7="",$BR29=""),"",IF('Tally Helper'!$B$27&lt;&gt;TRUE(),"not on Staff",SUMIFS('Tally Helper'!$L$29:$GI$29,'Tally Helper'!$L$27:$GI$27,"&gt;="&amp;$BR29,'Tally Helper'!$L$27:$GI$27,"&lt;="&amp;$BS29)))</f>
        <v/>
      </c>
      <c r="AG29" s="17" t="str">
        <f aca="false">IF(OR(K$7="",$BR29=""),"",IF('Tally Helper'!$B$30&lt;&gt;TRUE(),"not on Staff",SUMIFS('Tally Helper'!$L$32:$GI$32,'Tally Helper'!$L$30:$GI$30,"&gt;="&amp;$BR29,'Tally Helper'!$L$30:$GI$30,"&lt;="&amp;$BS29)))</f>
        <v/>
      </c>
      <c r="AH29" s="17" t="str">
        <f aca="false">IF(OR(L$7="",$BR29=""),"",IF('Tally Helper'!$B$33&lt;&gt;TRUE(),"not on Staff",SUMIFS('Tally Helper'!$L$35:$GI$35,'Tally Helper'!$L$33:$GI$33,"&gt;="&amp;$BR29,'Tally Helper'!$L$33:$GI$33,"&lt;="&amp;$BS29)))</f>
        <v/>
      </c>
      <c r="AI29" s="17" t="str">
        <f aca="false">IF(OR(M$7="",$BR29=""),"",IF('Tally Helper'!$B$36&lt;&gt;TRUE(),"not on Staff",SUMIFS('Tally Helper'!$L$38:$GI$38,'Tally Helper'!$L$36:$GI$36,"&gt;="&amp;$BR29,'Tally Helper'!$L$36:$GI$36,"&lt;="&amp;$BS29)))</f>
        <v/>
      </c>
      <c r="AJ29" s="17" t="str">
        <f aca="false">IF(OR(N$7="",$BR29=""),"",IF('Tally Helper'!$B$39&lt;&gt;TRUE(),"not on Staff",SUMIFS('Tally Helper'!$L$41:$GI$41,'Tally Helper'!$L$39:$GI$39,"&gt;="&amp;$BR29,'Tally Helper'!$L$39:$GI$39,"&lt;="&amp;$BS29)))</f>
        <v/>
      </c>
      <c r="AK29" s="17" t="str">
        <f aca="false">IF(OR(O$7="",$BR29=""),"",IF('Tally Helper'!$B$42&lt;&gt;TRUE(),"not on Staff",SUMIFS('Tally Helper'!$L$44:$GI$44,'Tally Helper'!$L$42:$GI$42,"&gt;="&amp;$BR29,'Tally Helper'!$L$42:$GI$42,"&lt;="&amp;$BS29)))</f>
        <v/>
      </c>
      <c r="AL29" s="17" t="str">
        <f aca="false">IF(OR(P$7="",$BR29=""),"",IF('Tally Helper'!$B$45&lt;&gt;TRUE(),"not on Staff",SUMIFS('Tally Helper'!$L$47:$GI$47,'Tally Helper'!$L$45:$GI$45,"&gt;="&amp;$BR29,'Tally Helper'!$L$45:$GI$45,"&lt;="&amp;$BS29)))</f>
        <v/>
      </c>
      <c r="AM29" s="17" t="str">
        <f aca="false">IF(OR(Q$7="",$BR29=""),"",IF('Tally Helper'!$B$48&lt;&gt;TRUE(),"not on Staff",SUMIFS('Tally Helper'!$L$50:$GI$50,'Tally Helper'!$L$48:$GI$48,"&gt;="&amp;$BR29,'Tally Helper'!$L$48:$GI$48,"&lt;="&amp;$BS29)))</f>
        <v/>
      </c>
      <c r="AN29" s="17" t="str">
        <f aca="false">IF(OR(R$7="",$BR29=""),"",IF('Tally Helper'!$B$51&lt;&gt;TRUE(),"not on Staff",SUMIFS('Tally Helper'!$L$53:$GI$53,'Tally Helper'!$L$51:$GI$51,"&gt;="&amp;$BR29,'Tally Helper'!$L$51:$GI$51,"&lt;="&amp;$BS29)))</f>
        <v/>
      </c>
      <c r="AO29" s="17" t="str">
        <f aca="false">IF(OR(S$7="",$BR29=""),"",IF('Tally Helper'!$B$54&lt;&gt;TRUE(),"not on Staff",SUMIFS('Tally Helper'!$L$56:$GI$56,'Tally Helper'!$L$54:$GI$54,"&gt;="&amp;$BR29,'Tally Helper'!$L$54:$GI$54,"&lt;="&amp;$BS29)))</f>
        <v/>
      </c>
      <c r="AP29" s="17" t="str">
        <f aca="false">IF(OR(T$7="",$BR29=""),"",IF('Tally Helper'!$B$57&lt;&gt;TRUE(),"not on Staff",SUMIFS('Tally Helper'!$L$59:$GI$59,'Tally Helper'!$L$57:$GI$57,"&gt;="&amp;$BR29,'Tally Helper'!$L$57:$GI$57,"&lt;="&amp;$BS29)))</f>
        <v/>
      </c>
      <c r="AQ29" s="17" t="str">
        <f aca="false">IF(OR(U$7="",$BR29=""),"",IF('Tally Helper'!$B$60&lt;&gt;TRUE(),"not on Staff",SUMIFS('Tally Helper'!$L$62:$GI$62,'Tally Helper'!$L$60:$GI$60,"&gt;="&amp;$BR29,'Tally Helper'!$L$60:$GI$60,"&lt;="&amp;$BS29)))</f>
        <v/>
      </c>
      <c r="AT29" s="17" t="str">
        <f aca="false">IF(OR(X29="",NOT(ISNUMBER(X29))),"",X29-N(B29))</f>
        <v/>
      </c>
      <c r="AU29" s="17" t="str">
        <f aca="false">IF(OR(Y29="",NOT(ISNUMBER(Y29))),"",Y29-N(C29))</f>
        <v/>
      </c>
      <c r="AV29" s="17" t="str">
        <f aca="false">IF(OR(Z29="",NOT(ISNUMBER(Z29))),"",Z29-N(D29))</f>
        <v/>
      </c>
      <c r="AW29" s="17" t="str">
        <f aca="false">IF(OR(AA29="",NOT(ISNUMBER(AA29))),"",AA29-N(E29))</f>
        <v/>
      </c>
      <c r="AX29" s="17" t="str">
        <f aca="false">IF(OR(AB29="",NOT(ISNUMBER(AB29))),"",AB29-N(F29))</f>
        <v/>
      </c>
      <c r="AY29" s="17" t="str">
        <f aca="false">IF(OR(AC29="",NOT(ISNUMBER(AC29))),"",AC29-N(G29))</f>
        <v/>
      </c>
      <c r="AZ29" s="17" t="str">
        <f aca="false">IF(OR(AD29="",NOT(ISNUMBER(AD29))),"",AD29-N(H29))</f>
        <v/>
      </c>
      <c r="BA29" s="17" t="str">
        <f aca="false">IF(OR(AE29="",NOT(ISNUMBER(AE29))),"",AE29-N(I29))</f>
        <v/>
      </c>
      <c r="BB29" s="17" t="str">
        <f aca="false">IF(OR(AF29="",NOT(ISNUMBER(AF29))),"",AF29-N(J29))</f>
        <v/>
      </c>
      <c r="BC29" s="17" t="str">
        <f aca="false">IF(OR(AG29="",NOT(ISNUMBER(AG29))),"",AG29-N(K29))</f>
        <v/>
      </c>
      <c r="BD29" s="17" t="str">
        <f aca="false">IF(OR(AH29="",NOT(ISNUMBER(AH29))),"",AH29-N(L29))</f>
        <v/>
      </c>
      <c r="BE29" s="17" t="str">
        <f aca="false">IF(OR(AI29="",NOT(ISNUMBER(AI29))),"",AI29-N(M29))</f>
        <v/>
      </c>
      <c r="BF29" s="17" t="str">
        <f aca="false">IF(OR(AJ29="",NOT(ISNUMBER(AJ29))),"",AJ29-N(N29))</f>
        <v/>
      </c>
      <c r="BG29" s="17" t="str">
        <f aca="false">IF(OR(AK29="",NOT(ISNUMBER(AK29))),"",AK29-N(O29))</f>
        <v/>
      </c>
      <c r="BH29" s="17" t="str">
        <f aca="false">IF(OR(AL29="",NOT(ISNUMBER(AL29))),"",AL29-N(P29))</f>
        <v/>
      </c>
      <c r="BI29" s="17" t="str">
        <f aca="false">IF(OR(AM29="",NOT(ISNUMBER(AM29))),"",AM29-N(Q29))</f>
        <v/>
      </c>
      <c r="BJ29" s="17" t="str">
        <f aca="false">IF(OR(AN29="",NOT(ISNUMBER(AN29))),"",AN29-N(R29))</f>
        <v/>
      </c>
      <c r="BK29" s="17" t="str">
        <f aca="false">IF(OR(AO29="",NOT(ISNUMBER(AO29))),"",AO29-N(S29))</f>
        <v/>
      </c>
      <c r="BL29" s="17" t="str">
        <f aca="false">IF(OR(AP29="",NOT(ISNUMBER(AP29))),"",AP29-N(T29))</f>
        <v/>
      </c>
      <c r="BM29" s="17" t="str">
        <f aca="false">IF(OR(AQ29="",NOT(ISNUMBER(AQ29))),"",AQ29-N(U29))</f>
        <v/>
      </c>
      <c r="BR29" s="20" t="str">
        <f aca="false">IF($A29="","",IF(ISNUMBER($A29),DATE(YEAR($A29),MONTH($A29),1),IFERROR(DATE(2000+VALUE(RIGHT(TRIM($A29),2)),MATCH(UPPER(LEFT(TRIM($A29),3)),{"JAN","FEB","MAR","APR","MAY","JUN","JUL","AUG","SEP","OCT","NOV","DEC"},0),1),"")))</f>
        <v/>
      </c>
      <c r="BS29" s="20" t="str">
        <f aca="false">IF(BR29="","",EOMONTH(BR29,0))</f>
        <v/>
      </c>
    </row>
    <row r="30" customFormat="false" ht="15" hidden="false" customHeight="false" outlineLevel="0" collapsed="false">
      <c r="B30" s="21"/>
      <c r="C30" s="21"/>
      <c r="D30" s="21"/>
      <c r="E30" s="21"/>
      <c r="F30" s="21"/>
      <c r="G30" s="21"/>
      <c r="H30" s="21"/>
      <c r="I30" s="21"/>
      <c r="J30" s="21"/>
      <c r="K30" s="21"/>
      <c r="L30" s="21"/>
      <c r="M30" s="21"/>
      <c r="N30" s="21"/>
      <c r="O30" s="21"/>
      <c r="P30" s="21"/>
      <c r="Q30" s="21"/>
      <c r="R30" s="21"/>
      <c r="S30" s="21"/>
      <c r="T30" s="21"/>
      <c r="U30" s="21"/>
      <c r="X30" s="17" t="str">
        <f aca="false">IF(OR(B$7="",$BR30=""),"",IF('Tally Helper'!$B$3&lt;&gt;TRUE(),"not on Staff",SUMIFS('Tally Helper'!$L$5:$GI$5,'Tally Helper'!$L$3:$GI$3,"&gt;="&amp;$BR30,'Tally Helper'!$L$3:$GI$3,"&lt;="&amp;$BS30)))</f>
        <v/>
      </c>
      <c r="Y30" s="17" t="str">
        <f aca="false">IF(OR(C$7="",$BR30=""),"",IF('Tally Helper'!$B$6&lt;&gt;TRUE(),"not on Staff",SUMIFS('Tally Helper'!$L$8:$GI$8,'Tally Helper'!$L$6:$GI$6,"&gt;="&amp;$BR30,'Tally Helper'!$L$6:$GI$6,"&lt;="&amp;$BS30)))</f>
        <v/>
      </c>
      <c r="Z30" s="17" t="str">
        <f aca="false">IF(OR(D$7="",$BR30=""),"",IF('Tally Helper'!$B$9&lt;&gt;TRUE(),"not on Staff",SUMIFS('Tally Helper'!$L$11:$GI$11,'Tally Helper'!$L$9:$GI$9,"&gt;="&amp;$BR30,'Tally Helper'!$L$9:$GI$9,"&lt;="&amp;$BS30)))</f>
        <v/>
      </c>
      <c r="AA30" s="17" t="str">
        <f aca="false">IF(OR(E$7="",$BR30=""),"",IF('Tally Helper'!$B$12&lt;&gt;TRUE(),"not on Staff",SUMIFS('Tally Helper'!$L$14:$GI$14,'Tally Helper'!$L$12:$GI$12,"&gt;="&amp;$BR30,'Tally Helper'!$L$12:$GI$12,"&lt;="&amp;$BS30)))</f>
        <v/>
      </c>
      <c r="AB30" s="17" t="str">
        <f aca="false">IF(OR(F$7="",$BR30=""),"",IF('Tally Helper'!$B$15&lt;&gt;TRUE(),"not on Staff",SUMIFS('Tally Helper'!$L$17:$GI$17,'Tally Helper'!$L$15:$GI$15,"&gt;="&amp;$BR30,'Tally Helper'!$L$15:$GI$15,"&lt;="&amp;$BS30)))</f>
        <v/>
      </c>
      <c r="AC30" s="17" t="str">
        <f aca="false">IF(OR(G$7="",$BR30=""),"",IF('Tally Helper'!$B$18&lt;&gt;TRUE(),"not on Staff",SUMIFS('Tally Helper'!$L$20:$GI$20,'Tally Helper'!$L$18:$GI$18,"&gt;="&amp;$BR30,'Tally Helper'!$L$18:$GI$18,"&lt;="&amp;$BS30)))</f>
        <v/>
      </c>
      <c r="AD30" s="17" t="str">
        <f aca="false">IF(OR(H$7="",$BR30=""),"",IF('Tally Helper'!$B$21&lt;&gt;TRUE(),"not on Staff",SUMIFS('Tally Helper'!$L$23:$GI$23,'Tally Helper'!$L$21:$GI$21,"&gt;="&amp;$BR30,'Tally Helper'!$L$21:$GI$21,"&lt;="&amp;$BS30)))</f>
        <v/>
      </c>
      <c r="AE30" s="17" t="str">
        <f aca="false">IF(OR(I$7="",$BR30=""),"",IF('Tally Helper'!$B$24&lt;&gt;TRUE(),"not on Staff",SUMIFS('Tally Helper'!$L$26:$GI$26,'Tally Helper'!$L$24:$GI$24,"&gt;="&amp;$BR30,'Tally Helper'!$L$24:$GI$24,"&lt;="&amp;$BS30)))</f>
        <v/>
      </c>
      <c r="AF30" s="17" t="str">
        <f aca="false">IF(OR(J$7="",$BR30=""),"",IF('Tally Helper'!$B$27&lt;&gt;TRUE(),"not on Staff",SUMIFS('Tally Helper'!$L$29:$GI$29,'Tally Helper'!$L$27:$GI$27,"&gt;="&amp;$BR30,'Tally Helper'!$L$27:$GI$27,"&lt;="&amp;$BS30)))</f>
        <v/>
      </c>
      <c r="AG30" s="17" t="str">
        <f aca="false">IF(OR(K$7="",$BR30=""),"",IF('Tally Helper'!$B$30&lt;&gt;TRUE(),"not on Staff",SUMIFS('Tally Helper'!$L$32:$GI$32,'Tally Helper'!$L$30:$GI$30,"&gt;="&amp;$BR30,'Tally Helper'!$L$30:$GI$30,"&lt;="&amp;$BS30)))</f>
        <v/>
      </c>
      <c r="AH30" s="17" t="str">
        <f aca="false">IF(OR(L$7="",$BR30=""),"",IF('Tally Helper'!$B$33&lt;&gt;TRUE(),"not on Staff",SUMIFS('Tally Helper'!$L$35:$GI$35,'Tally Helper'!$L$33:$GI$33,"&gt;="&amp;$BR30,'Tally Helper'!$L$33:$GI$33,"&lt;="&amp;$BS30)))</f>
        <v/>
      </c>
      <c r="AI30" s="17" t="str">
        <f aca="false">IF(OR(M$7="",$BR30=""),"",IF('Tally Helper'!$B$36&lt;&gt;TRUE(),"not on Staff",SUMIFS('Tally Helper'!$L$38:$GI$38,'Tally Helper'!$L$36:$GI$36,"&gt;="&amp;$BR30,'Tally Helper'!$L$36:$GI$36,"&lt;="&amp;$BS30)))</f>
        <v/>
      </c>
      <c r="AJ30" s="17" t="str">
        <f aca="false">IF(OR(N$7="",$BR30=""),"",IF('Tally Helper'!$B$39&lt;&gt;TRUE(),"not on Staff",SUMIFS('Tally Helper'!$L$41:$GI$41,'Tally Helper'!$L$39:$GI$39,"&gt;="&amp;$BR30,'Tally Helper'!$L$39:$GI$39,"&lt;="&amp;$BS30)))</f>
        <v/>
      </c>
      <c r="AK30" s="17" t="str">
        <f aca="false">IF(OR(O$7="",$BR30=""),"",IF('Tally Helper'!$B$42&lt;&gt;TRUE(),"not on Staff",SUMIFS('Tally Helper'!$L$44:$GI$44,'Tally Helper'!$L$42:$GI$42,"&gt;="&amp;$BR30,'Tally Helper'!$L$42:$GI$42,"&lt;="&amp;$BS30)))</f>
        <v/>
      </c>
      <c r="AL30" s="17" t="str">
        <f aca="false">IF(OR(P$7="",$BR30=""),"",IF('Tally Helper'!$B$45&lt;&gt;TRUE(),"not on Staff",SUMIFS('Tally Helper'!$L$47:$GI$47,'Tally Helper'!$L$45:$GI$45,"&gt;="&amp;$BR30,'Tally Helper'!$L$45:$GI$45,"&lt;="&amp;$BS30)))</f>
        <v/>
      </c>
      <c r="AM30" s="17" t="str">
        <f aca="false">IF(OR(Q$7="",$BR30=""),"",IF('Tally Helper'!$B$48&lt;&gt;TRUE(),"not on Staff",SUMIFS('Tally Helper'!$L$50:$GI$50,'Tally Helper'!$L$48:$GI$48,"&gt;="&amp;$BR30,'Tally Helper'!$L$48:$GI$48,"&lt;="&amp;$BS30)))</f>
        <v/>
      </c>
      <c r="AN30" s="17" t="str">
        <f aca="false">IF(OR(R$7="",$BR30=""),"",IF('Tally Helper'!$B$51&lt;&gt;TRUE(),"not on Staff",SUMIFS('Tally Helper'!$L$53:$GI$53,'Tally Helper'!$L$51:$GI$51,"&gt;="&amp;$BR30,'Tally Helper'!$L$51:$GI$51,"&lt;="&amp;$BS30)))</f>
        <v/>
      </c>
      <c r="AO30" s="17" t="str">
        <f aca="false">IF(OR(S$7="",$BR30=""),"",IF('Tally Helper'!$B$54&lt;&gt;TRUE(),"not on Staff",SUMIFS('Tally Helper'!$L$56:$GI$56,'Tally Helper'!$L$54:$GI$54,"&gt;="&amp;$BR30,'Tally Helper'!$L$54:$GI$54,"&lt;="&amp;$BS30)))</f>
        <v/>
      </c>
      <c r="AP30" s="17" t="str">
        <f aca="false">IF(OR(T$7="",$BR30=""),"",IF('Tally Helper'!$B$57&lt;&gt;TRUE(),"not on Staff",SUMIFS('Tally Helper'!$L$59:$GI$59,'Tally Helper'!$L$57:$GI$57,"&gt;="&amp;$BR30,'Tally Helper'!$L$57:$GI$57,"&lt;="&amp;$BS30)))</f>
        <v/>
      </c>
      <c r="AQ30" s="17" t="str">
        <f aca="false">IF(OR(U$7="",$BR30=""),"",IF('Tally Helper'!$B$60&lt;&gt;TRUE(),"not on Staff",SUMIFS('Tally Helper'!$L$62:$GI$62,'Tally Helper'!$L$60:$GI$60,"&gt;="&amp;$BR30,'Tally Helper'!$L$60:$GI$60,"&lt;="&amp;$BS30)))</f>
        <v/>
      </c>
      <c r="AT30" s="17" t="str">
        <f aca="false">IF(OR(X30="",NOT(ISNUMBER(X30))),"",X30-N(B30))</f>
        <v/>
      </c>
      <c r="AU30" s="17" t="str">
        <f aca="false">IF(OR(Y30="",NOT(ISNUMBER(Y30))),"",Y30-N(C30))</f>
        <v/>
      </c>
      <c r="AV30" s="17" t="str">
        <f aca="false">IF(OR(Z30="",NOT(ISNUMBER(Z30))),"",Z30-N(D30))</f>
        <v/>
      </c>
      <c r="AW30" s="17" t="str">
        <f aca="false">IF(OR(AA30="",NOT(ISNUMBER(AA30))),"",AA30-N(E30))</f>
        <v/>
      </c>
      <c r="AX30" s="17" t="str">
        <f aca="false">IF(OR(AB30="",NOT(ISNUMBER(AB30))),"",AB30-N(F30))</f>
        <v/>
      </c>
      <c r="AY30" s="17" t="str">
        <f aca="false">IF(OR(AC30="",NOT(ISNUMBER(AC30))),"",AC30-N(G30))</f>
        <v/>
      </c>
      <c r="AZ30" s="17" t="str">
        <f aca="false">IF(OR(AD30="",NOT(ISNUMBER(AD30))),"",AD30-N(H30))</f>
        <v/>
      </c>
      <c r="BA30" s="17" t="str">
        <f aca="false">IF(OR(AE30="",NOT(ISNUMBER(AE30))),"",AE30-N(I30))</f>
        <v/>
      </c>
      <c r="BB30" s="17" t="str">
        <f aca="false">IF(OR(AF30="",NOT(ISNUMBER(AF30))),"",AF30-N(J30))</f>
        <v/>
      </c>
      <c r="BC30" s="17" t="str">
        <f aca="false">IF(OR(AG30="",NOT(ISNUMBER(AG30))),"",AG30-N(K30))</f>
        <v/>
      </c>
      <c r="BD30" s="17" t="str">
        <f aca="false">IF(OR(AH30="",NOT(ISNUMBER(AH30))),"",AH30-N(L30))</f>
        <v/>
      </c>
      <c r="BE30" s="17" t="str">
        <f aca="false">IF(OR(AI30="",NOT(ISNUMBER(AI30))),"",AI30-N(M30))</f>
        <v/>
      </c>
      <c r="BF30" s="17" t="str">
        <f aca="false">IF(OR(AJ30="",NOT(ISNUMBER(AJ30))),"",AJ30-N(N30))</f>
        <v/>
      </c>
      <c r="BG30" s="17" t="str">
        <f aca="false">IF(OR(AK30="",NOT(ISNUMBER(AK30))),"",AK30-N(O30))</f>
        <v/>
      </c>
      <c r="BH30" s="17" t="str">
        <f aca="false">IF(OR(AL30="",NOT(ISNUMBER(AL30))),"",AL30-N(P30))</f>
        <v/>
      </c>
      <c r="BI30" s="17" t="str">
        <f aca="false">IF(OR(AM30="",NOT(ISNUMBER(AM30))),"",AM30-N(Q30))</f>
        <v/>
      </c>
      <c r="BJ30" s="17" t="str">
        <f aca="false">IF(OR(AN30="",NOT(ISNUMBER(AN30))),"",AN30-N(R30))</f>
        <v/>
      </c>
      <c r="BK30" s="17" t="str">
        <f aca="false">IF(OR(AO30="",NOT(ISNUMBER(AO30))),"",AO30-N(S30))</f>
        <v/>
      </c>
      <c r="BL30" s="17" t="str">
        <f aca="false">IF(OR(AP30="",NOT(ISNUMBER(AP30))),"",AP30-N(T30))</f>
        <v/>
      </c>
      <c r="BM30" s="17" t="str">
        <f aca="false">IF(OR(AQ30="",NOT(ISNUMBER(AQ30))),"",AQ30-N(U30))</f>
        <v/>
      </c>
      <c r="BR30" s="20" t="str">
        <f aca="false">IF($A30="","",IF(ISNUMBER($A30),DATE(YEAR($A30),MONTH($A30),1),IFERROR(DATE(2000+VALUE(RIGHT(TRIM($A30),2)),MATCH(UPPER(LEFT(TRIM($A30),3)),{"JAN","FEB","MAR","APR","MAY","JUN","JUL","AUG","SEP","OCT","NOV","DEC"},0),1),"")))</f>
        <v/>
      </c>
      <c r="BS30" s="20" t="str">
        <f aca="false">IF(BR30="","",EOMONTH(BR30,0))</f>
        <v/>
      </c>
    </row>
    <row r="31" customFormat="false" ht="15" hidden="false" customHeight="false" outlineLevel="0" collapsed="false">
      <c r="B31" s="21"/>
      <c r="C31" s="21"/>
      <c r="D31" s="21"/>
      <c r="E31" s="21"/>
      <c r="F31" s="21"/>
      <c r="G31" s="21"/>
      <c r="H31" s="21"/>
      <c r="I31" s="21"/>
      <c r="J31" s="21"/>
      <c r="K31" s="21"/>
      <c r="L31" s="21"/>
      <c r="M31" s="21"/>
      <c r="N31" s="21"/>
      <c r="O31" s="21"/>
      <c r="P31" s="21"/>
      <c r="Q31" s="21"/>
      <c r="R31" s="21"/>
      <c r="S31" s="21"/>
      <c r="T31" s="21"/>
      <c r="U31" s="21"/>
      <c r="X31" s="17" t="str">
        <f aca="false">IF(OR(B$7="",$BR31=""),"",IF('Tally Helper'!$B$3&lt;&gt;TRUE(),"not on Staff",SUMIFS('Tally Helper'!$L$5:$GI$5,'Tally Helper'!$L$3:$GI$3,"&gt;="&amp;$BR31,'Tally Helper'!$L$3:$GI$3,"&lt;="&amp;$BS31)))</f>
        <v/>
      </c>
      <c r="Y31" s="17" t="str">
        <f aca="false">IF(OR(C$7="",$BR31=""),"",IF('Tally Helper'!$B$6&lt;&gt;TRUE(),"not on Staff",SUMIFS('Tally Helper'!$L$8:$GI$8,'Tally Helper'!$L$6:$GI$6,"&gt;="&amp;$BR31,'Tally Helper'!$L$6:$GI$6,"&lt;="&amp;$BS31)))</f>
        <v/>
      </c>
      <c r="Z31" s="17" t="str">
        <f aca="false">IF(OR(D$7="",$BR31=""),"",IF('Tally Helper'!$B$9&lt;&gt;TRUE(),"not on Staff",SUMIFS('Tally Helper'!$L$11:$GI$11,'Tally Helper'!$L$9:$GI$9,"&gt;="&amp;$BR31,'Tally Helper'!$L$9:$GI$9,"&lt;="&amp;$BS31)))</f>
        <v/>
      </c>
      <c r="AA31" s="17" t="str">
        <f aca="false">IF(OR(E$7="",$BR31=""),"",IF('Tally Helper'!$B$12&lt;&gt;TRUE(),"not on Staff",SUMIFS('Tally Helper'!$L$14:$GI$14,'Tally Helper'!$L$12:$GI$12,"&gt;="&amp;$BR31,'Tally Helper'!$L$12:$GI$12,"&lt;="&amp;$BS31)))</f>
        <v/>
      </c>
      <c r="AB31" s="17" t="str">
        <f aca="false">IF(OR(F$7="",$BR31=""),"",IF('Tally Helper'!$B$15&lt;&gt;TRUE(),"not on Staff",SUMIFS('Tally Helper'!$L$17:$GI$17,'Tally Helper'!$L$15:$GI$15,"&gt;="&amp;$BR31,'Tally Helper'!$L$15:$GI$15,"&lt;="&amp;$BS31)))</f>
        <v/>
      </c>
      <c r="AC31" s="17" t="str">
        <f aca="false">IF(OR(G$7="",$BR31=""),"",IF('Tally Helper'!$B$18&lt;&gt;TRUE(),"not on Staff",SUMIFS('Tally Helper'!$L$20:$GI$20,'Tally Helper'!$L$18:$GI$18,"&gt;="&amp;$BR31,'Tally Helper'!$L$18:$GI$18,"&lt;="&amp;$BS31)))</f>
        <v/>
      </c>
      <c r="AD31" s="17" t="str">
        <f aca="false">IF(OR(H$7="",$BR31=""),"",IF('Tally Helper'!$B$21&lt;&gt;TRUE(),"not on Staff",SUMIFS('Tally Helper'!$L$23:$GI$23,'Tally Helper'!$L$21:$GI$21,"&gt;="&amp;$BR31,'Tally Helper'!$L$21:$GI$21,"&lt;="&amp;$BS31)))</f>
        <v/>
      </c>
      <c r="AE31" s="17" t="str">
        <f aca="false">IF(OR(I$7="",$BR31=""),"",IF('Tally Helper'!$B$24&lt;&gt;TRUE(),"not on Staff",SUMIFS('Tally Helper'!$L$26:$GI$26,'Tally Helper'!$L$24:$GI$24,"&gt;="&amp;$BR31,'Tally Helper'!$L$24:$GI$24,"&lt;="&amp;$BS31)))</f>
        <v/>
      </c>
      <c r="AF31" s="17" t="str">
        <f aca="false">IF(OR(J$7="",$BR31=""),"",IF('Tally Helper'!$B$27&lt;&gt;TRUE(),"not on Staff",SUMIFS('Tally Helper'!$L$29:$GI$29,'Tally Helper'!$L$27:$GI$27,"&gt;="&amp;$BR31,'Tally Helper'!$L$27:$GI$27,"&lt;="&amp;$BS31)))</f>
        <v/>
      </c>
      <c r="AG31" s="17" t="str">
        <f aca="false">IF(OR(K$7="",$BR31=""),"",IF('Tally Helper'!$B$30&lt;&gt;TRUE(),"not on Staff",SUMIFS('Tally Helper'!$L$32:$GI$32,'Tally Helper'!$L$30:$GI$30,"&gt;="&amp;$BR31,'Tally Helper'!$L$30:$GI$30,"&lt;="&amp;$BS31)))</f>
        <v/>
      </c>
      <c r="AH31" s="17" t="str">
        <f aca="false">IF(OR(L$7="",$BR31=""),"",IF('Tally Helper'!$B$33&lt;&gt;TRUE(),"not on Staff",SUMIFS('Tally Helper'!$L$35:$GI$35,'Tally Helper'!$L$33:$GI$33,"&gt;="&amp;$BR31,'Tally Helper'!$L$33:$GI$33,"&lt;="&amp;$BS31)))</f>
        <v/>
      </c>
      <c r="AI31" s="17" t="str">
        <f aca="false">IF(OR(M$7="",$BR31=""),"",IF('Tally Helper'!$B$36&lt;&gt;TRUE(),"not on Staff",SUMIFS('Tally Helper'!$L$38:$GI$38,'Tally Helper'!$L$36:$GI$36,"&gt;="&amp;$BR31,'Tally Helper'!$L$36:$GI$36,"&lt;="&amp;$BS31)))</f>
        <v/>
      </c>
      <c r="AJ31" s="17" t="str">
        <f aca="false">IF(OR(N$7="",$BR31=""),"",IF('Tally Helper'!$B$39&lt;&gt;TRUE(),"not on Staff",SUMIFS('Tally Helper'!$L$41:$GI$41,'Tally Helper'!$L$39:$GI$39,"&gt;="&amp;$BR31,'Tally Helper'!$L$39:$GI$39,"&lt;="&amp;$BS31)))</f>
        <v/>
      </c>
      <c r="AK31" s="17" t="str">
        <f aca="false">IF(OR(O$7="",$BR31=""),"",IF('Tally Helper'!$B$42&lt;&gt;TRUE(),"not on Staff",SUMIFS('Tally Helper'!$L$44:$GI$44,'Tally Helper'!$L$42:$GI$42,"&gt;="&amp;$BR31,'Tally Helper'!$L$42:$GI$42,"&lt;="&amp;$BS31)))</f>
        <v/>
      </c>
      <c r="AL31" s="17" t="str">
        <f aca="false">IF(OR(P$7="",$BR31=""),"",IF('Tally Helper'!$B$45&lt;&gt;TRUE(),"not on Staff",SUMIFS('Tally Helper'!$L$47:$GI$47,'Tally Helper'!$L$45:$GI$45,"&gt;="&amp;$BR31,'Tally Helper'!$L$45:$GI$45,"&lt;="&amp;$BS31)))</f>
        <v/>
      </c>
      <c r="AM31" s="17" t="str">
        <f aca="false">IF(OR(Q$7="",$BR31=""),"",IF('Tally Helper'!$B$48&lt;&gt;TRUE(),"not on Staff",SUMIFS('Tally Helper'!$L$50:$GI$50,'Tally Helper'!$L$48:$GI$48,"&gt;="&amp;$BR31,'Tally Helper'!$L$48:$GI$48,"&lt;="&amp;$BS31)))</f>
        <v/>
      </c>
      <c r="AN31" s="17" t="str">
        <f aca="false">IF(OR(R$7="",$BR31=""),"",IF('Tally Helper'!$B$51&lt;&gt;TRUE(),"not on Staff",SUMIFS('Tally Helper'!$L$53:$GI$53,'Tally Helper'!$L$51:$GI$51,"&gt;="&amp;$BR31,'Tally Helper'!$L$51:$GI$51,"&lt;="&amp;$BS31)))</f>
        <v/>
      </c>
      <c r="AO31" s="17" t="str">
        <f aca="false">IF(OR(S$7="",$BR31=""),"",IF('Tally Helper'!$B$54&lt;&gt;TRUE(),"not on Staff",SUMIFS('Tally Helper'!$L$56:$GI$56,'Tally Helper'!$L$54:$GI$54,"&gt;="&amp;$BR31,'Tally Helper'!$L$54:$GI$54,"&lt;="&amp;$BS31)))</f>
        <v/>
      </c>
      <c r="AP31" s="17" t="str">
        <f aca="false">IF(OR(T$7="",$BR31=""),"",IF('Tally Helper'!$B$57&lt;&gt;TRUE(),"not on Staff",SUMIFS('Tally Helper'!$L$59:$GI$59,'Tally Helper'!$L$57:$GI$57,"&gt;="&amp;$BR31,'Tally Helper'!$L$57:$GI$57,"&lt;="&amp;$BS31)))</f>
        <v/>
      </c>
      <c r="AQ31" s="17" t="str">
        <f aca="false">IF(OR(U$7="",$BR31=""),"",IF('Tally Helper'!$B$60&lt;&gt;TRUE(),"not on Staff",SUMIFS('Tally Helper'!$L$62:$GI$62,'Tally Helper'!$L$60:$GI$60,"&gt;="&amp;$BR31,'Tally Helper'!$L$60:$GI$60,"&lt;="&amp;$BS31)))</f>
        <v/>
      </c>
      <c r="AT31" s="17" t="str">
        <f aca="false">IF(OR(X31="",NOT(ISNUMBER(X31))),"",X31-N(B31))</f>
        <v/>
      </c>
      <c r="AU31" s="17" t="str">
        <f aca="false">IF(OR(Y31="",NOT(ISNUMBER(Y31))),"",Y31-N(C31))</f>
        <v/>
      </c>
      <c r="AV31" s="17" t="str">
        <f aca="false">IF(OR(Z31="",NOT(ISNUMBER(Z31))),"",Z31-N(D31))</f>
        <v/>
      </c>
      <c r="AW31" s="17" t="str">
        <f aca="false">IF(OR(AA31="",NOT(ISNUMBER(AA31))),"",AA31-N(E31))</f>
        <v/>
      </c>
      <c r="AX31" s="17" t="str">
        <f aca="false">IF(OR(AB31="",NOT(ISNUMBER(AB31))),"",AB31-N(F31))</f>
        <v/>
      </c>
      <c r="AY31" s="17" t="str">
        <f aca="false">IF(OR(AC31="",NOT(ISNUMBER(AC31))),"",AC31-N(G31))</f>
        <v/>
      </c>
      <c r="AZ31" s="17" t="str">
        <f aca="false">IF(OR(AD31="",NOT(ISNUMBER(AD31))),"",AD31-N(H31))</f>
        <v/>
      </c>
      <c r="BA31" s="17" t="str">
        <f aca="false">IF(OR(AE31="",NOT(ISNUMBER(AE31))),"",AE31-N(I31))</f>
        <v/>
      </c>
      <c r="BB31" s="17" t="str">
        <f aca="false">IF(OR(AF31="",NOT(ISNUMBER(AF31))),"",AF31-N(J31))</f>
        <v/>
      </c>
      <c r="BC31" s="17" t="str">
        <f aca="false">IF(OR(AG31="",NOT(ISNUMBER(AG31))),"",AG31-N(K31))</f>
        <v/>
      </c>
      <c r="BD31" s="17" t="str">
        <f aca="false">IF(OR(AH31="",NOT(ISNUMBER(AH31))),"",AH31-N(L31))</f>
        <v/>
      </c>
      <c r="BE31" s="17" t="str">
        <f aca="false">IF(OR(AI31="",NOT(ISNUMBER(AI31))),"",AI31-N(M31))</f>
        <v/>
      </c>
      <c r="BF31" s="17" t="str">
        <f aca="false">IF(OR(AJ31="",NOT(ISNUMBER(AJ31))),"",AJ31-N(N31))</f>
        <v/>
      </c>
      <c r="BG31" s="17" t="str">
        <f aca="false">IF(OR(AK31="",NOT(ISNUMBER(AK31))),"",AK31-N(O31))</f>
        <v/>
      </c>
      <c r="BH31" s="17" t="str">
        <f aca="false">IF(OR(AL31="",NOT(ISNUMBER(AL31))),"",AL31-N(P31))</f>
        <v/>
      </c>
      <c r="BI31" s="17" t="str">
        <f aca="false">IF(OR(AM31="",NOT(ISNUMBER(AM31))),"",AM31-N(Q31))</f>
        <v/>
      </c>
      <c r="BJ31" s="17" t="str">
        <f aca="false">IF(OR(AN31="",NOT(ISNUMBER(AN31))),"",AN31-N(R31))</f>
        <v/>
      </c>
      <c r="BK31" s="17" t="str">
        <f aca="false">IF(OR(AO31="",NOT(ISNUMBER(AO31))),"",AO31-N(S31))</f>
        <v/>
      </c>
      <c r="BL31" s="17" t="str">
        <f aca="false">IF(OR(AP31="",NOT(ISNUMBER(AP31))),"",AP31-N(T31))</f>
        <v/>
      </c>
      <c r="BM31" s="17" t="str">
        <f aca="false">IF(OR(AQ31="",NOT(ISNUMBER(AQ31))),"",AQ31-N(U31))</f>
        <v/>
      </c>
      <c r="BR31" s="20" t="str">
        <f aca="false">IF($A31="","",IF(ISNUMBER($A31),DATE(YEAR($A31),MONTH($A31),1),IFERROR(DATE(2000+VALUE(RIGHT(TRIM($A31),2)),MATCH(UPPER(LEFT(TRIM($A31),3)),{"JAN","FEB","MAR","APR","MAY","JUN","JUL","AUG","SEP","OCT","NOV","DEC"},0),1),"")))</f>
        <v/>
      </c>
      <c r="BS31" s="20" t="str">
        <f aca="false">IF(BR31="","",EOMONTH(BR31,0))</f>
        <v/>
      </c>
    </row>
    <row r="32" customFormat="false" ht="15" hidden="false" customHeight="false" outlineLevel="0" collapsed="false">
      <c r="B32" s="21"/>
      <c r="C32" s="21"/>
      <c r="D32" s="21"/>
      <c r="E32" s="21"/>
      <c r="F32" s="21"/>
      <c r="G32" s="21"/>
      <c r="H32" s="21"/>
      <c r="I32" s="21"/>
      <c r="J32" s="21"/>
      <c r="K32" s="21"/>
      <c r="L32" s="21"/>
      <c r="M32" s="21"/>
      <c r="N32" s="21"/>
      <c r="O32" s="21"/>
      <c r="P32" s="21"/>
      <c r="Q32" s="21"/>
      <c r="R32" s="21"/>
      <c r="S32" s="21"/>
      <c r="T32" s="21"/>
      <c r="U32" s="21"/>
      <c r="X32" s="17" t="str">
        <f aca="false">IF(OR(B$7="",$BR32=""),"",IF('Tally Helper'!$B$3&lt;&gt;TRUE(),"not on Staff",SUMIFS('Tally Helper'!$L$5:$GI$5,'Tally Helper'!$L$3:$GI$3,"&gt;="&amp;$BR32,'Tally Helper'!$L$3:$GI$3,"&lt;="&amp;$BS32)))</f>
        <v/>
      </c>
      <c r="Y32" s="17" t="str">
        <f aca="false">IF(OR(C$7="",$BR32=""),"",IF('Tally Helper'!$B$6&lt;&gt;TRUE(),"not on Staff",SUMIFS('Tally Helper'!$L$8:$GI$8,'Tally Helper'!$L$6:$GI$6,"&gt;="&amp;$BR32,'Tally Helper'!$L$6:$GI$6,"&lt;="&amp;$BS32)))</f>
        <v/>
      </c>
      <c r="Z32" s="17" t="str">
        <f aca="false">IF(OR(D$7="",$BR32=""),"",IF('Tally Helper'!$B$9&lt;&gt;TRUE(),"not on Staff",SUMIFS('Tally Helper'!$L$11:$GI$11,'Tally Helper'!$L$9:$GI$9,"&gt;="&amp;$BR32,'Tally Helper'!$L$9:$GI$9,"&lt;="&amp;$BS32)))</f>
        <v/>
      </c>
      <c r="AA32" s="17" t="str">
        <f aca="false">IF(OR(E$7="",$BR32=""),"",IF('Tally Helper'!$B$12&lt;&gt;TRUE(),"not on Staff",SUMIFS('Tally Helper'!$L$14:$GI$14,'Tally Helper'!$L$12:$GI$12,"&gt;="&amp;$BR32,'Tally Helper'!$L$12:$GI$12,"&lt;="&amp;$BS32)))</f>
        <v/>
      </c>
      <c r="AB32" s="17" t="str">
        <f aca="false">IF(OR(F$7="",$BR32=""),"",IF('Tally Helper'!$B$15&lt;&gt;TRUE(),"not on Staff",SUMIFS('Tally Helper'!$L$17:$GI$17,'Tally Helper'!$L$15:$GI$15,"&gt;="&amp;$BR32,'Tally Helper'!$L$15:$GI$15,"&lt;="&amp;$BS32)))</f>
        <v/>
      </c>
      <c r="AC32" s="17" t="str">
        <f aca="false">IF(OR(G$7="",$BR32=""),"",IF('Tally Helper'!$B$18&lt;&gt;TRUE(),"not on Staff",SUMIFS('Tally Helper'!$L$20:$GI$20,'Tally Helper'!$L$18:$GI$18,"&gt;="&amp;$BR32,'Tally Helper'!$L$18:$GI$18,"&lt;="&amp;$BS32)))</f>
        <v/>
      </c>
      <c r="AD32" s="17" t="str">
        <f aca="false">IF(OR(H$7="",$BR32=""),"",IF('Tally Helper'!$B$21&lt;&gt;TRUE(),"not on Staff",SUMIFS('Tally Helper'!$L$23:$GI$23,'Tally Helper'!$L$21:$GI$21,"&gt;="&amp;$BR32,'Tally Helper'!$L$21:$GI$21,"&lt;="&amp;$BS32)))</f>
        <v/>
      </c>
      <c r="AE32" s="17" t="str">
        <f aca="false">IF(OR(I$7="",$BR32=""),"",IF('Tally Helper'!$B$24&lt;&gt;TRUE(),"not on Staff",SUMIFS('Tally Helper'!$L$26:$GI$26,'Tally Helper'!$L$24:$GI$24,"&gt;="&amp;$BR32,'Tally Helper'!$L$24:$GI$24,"&lt;="&amp;$BS32)))</f>
        <v/>
      </c>
      <c r="AF32" s="17" t="str">
        <f aca="false">IF(OR(J$7="",$BR32=""),"",IF('Tally Helper'!$B$27&lt;&gt;TRUE(),"not on Staff",SUMIFS('Tally Helper'!$L$29:$GI$29,'Tally Helper'!$L$27:$GI$27,"&gt;="&amp;$BR32,'Tally Helper'!$L$27:$GI$27,"&lt;="&amp;$BS32)))</f>
        <v/>
      </c>
      <c r="AG32" s="17" t="str">
        <f aca="false">IF(OR(K$7="",$BR32=""),"",IF('Tally Helper'!$B$30&lt;&gt;TRUE(),"not on Staff",SUMIFS('Tally Helper'!$L$32:$GI$32,'Tally Helper'!$L$30:$GI$30,"&gt;="&amp;$BR32,'Tally Helper'!$L$30:$GI$30,"&lt;="&amp;$BS32)))</f>
        <v/>
      </c>
      <c r="AH32" s="17" t="str">
        <f aca="false">IF(OR(L$7="",$BR32=""),"",IF('Tally Helper'!$B$33&lt;&gt;TRUE(),"not on Staff",SUMIFS('Tally Helper'!$L$35:$GI$35,'Tally Helper'!$L$33:$GI$33,"&gt;="&amp;$BR32,'Tally Helper'!$L$33:$GI$33,"&lt;="&amp;$BS32)))</f>
        <v/>
      </c>
      <c r="AI32" s="17" t="str">
        <f aca="false">IF(OR(M$7="",$BR32=""),"",IF('Tally Helper'!$B$36&lt;&gt;TRUE(),"not on Staff",SUMIFS('Tally Helper'!$L$38:$GI$38,'Tally Helper'!$L$36:$GI$36,"&gt;="&amp;$BR32,'Tally Helper'!$L$36:$GI$36,"&lt;="&amp;$BS32)))</f>
        <v/>
      </c>
      <c r="AJ32" s="17" t="str">
        <f aca="false">IF(OR(N$7="",$BR32=""),"",IF('Tally Helper'!$B$39&lt;&gt;TRUE(),"not on Staff",SUMIFS('Tally Helper'!$L$41:$GI$41,'Tally Helper'!$L$39:$GI$39,"&gt;="&amp;$BR32,'Tally Helper'!$L$39:$GI$39,"&lt;="&amp;$BS32)))</f>
        <v/>
      </c>
      <c r="AK32" s="17" t="str">
        <f aca="false">IF(OR(O$7="",$BR32=""),"",IF('Tally Helper'!$B$42&lt;&gt;TRUE(),"not on Staff",SUMIFS('Tally Helper'!$L$44:$GI$44,'Tally Helper'!$L$42:$GI$42,"&gt;="&amp;$BR32,'Tally Helper'!$L$42:$GI$42,"&lt;="&amp;$BS32)))</f>
        <v/>
      </c>
      <c r="AL32" s="17" t="str">
        <f aca="false">IF(OR(P$7="",$BR32=""),"",IF('Tally Helper'!$B$45&lt;&gt;TRUE(),"not on Staff",SUMIFS('Tally Helper'!$L$47:$GI$47,'Tally Helper'!$L$45:$GI$45,"&gt;="&amp;$BR32,'Tally Helper'!$L$45:$GI$45,"&lt;="&amp;$BS32)))</f>
        <v/>
      </c>
      <c r="AM32" s="17" t="str">
        <f aca="false">IF(OR(Q$7="",$BR32=""),"",IF('Tally Helper'!$B$48&lt;&gt;TRUE(),"not on Staff",SUMIFS('Tally Helper'!$L$50:$GI$50,'Tally Helper'!$L$48:$GI$48,"&gt;="&amp;$BR32,'Tally Helper'!$L$48:$GI$48,"&lt;="&amp;$BS32)))</f>
        <v/>
      </c>
      <c r="AN32" s="17" t="str">
        <f aca="false">IF(OR(R$7="",$BR32=""),"",IF('Tally Helper'!$B$51&lt;&gt;TRUE(),"not on Staff",SUMIFS('Tally Helper'!$L$53:$GI$53,'Tally Helper'!$L$51:$GI$51,"&gt;="&amp;$BR32,'Tally Helper'!$L$51:$GI$51,"&lt;="&amp;$BS32)))</f>
        <v/>
      </c>
      <c r="AO32" s="17" t="str">
        <f aca="false">IF(OR(S$7="",$BR32=""),"",IF('Tally Helper'!$B$54&lt;&gt;TRUE(),"not on Staff",SUMIFS('Tally Helper'!$L$56:$GI$56,'Tally Helper'!$L$54:$GI$54,"&gt;="&amp;$BR32,'Tally Helper'!$L$54:$GI$54,"&lt;="&amp;$BS32)))</f>
        <v/>
      </c>
      <c r="AP32" s="17" t="str">
        <f aca="false">IF(OR(T$7="",$BR32=""),"",IF('Tally Helper'!$B$57&lt;&gt;TRUE(),"not on Staff",SUMIFS('Tally Helper'!$L$59:$GI$59,'Tally Helper'!$L$57:$GI$57,"&gt;="&amp;$BR32,'Tally Helper'!$L$57:$GI$57,"&lt;="&amp;$BS32)))</f>
        <v/>
      </c>
      <c r="AQ32" s="17" t="str">
        <f aca="false">IF(OR(U$7="",$BR32=""),"",IF('Tally Helper'!$B$60&lt;&gt;TRUE(),"not on Staff",SUMIFS('Tally Helper'!$L$62:$GI$62,'Tally Helper'!$L$60:$GI$60,"&gt;="&amp;$BR32,'Tally Helper'!$L$60:$GI$60,"&lt;="&amp;$BS32)))</f>
        <v/>
      </c>
      <c r="AT32" s="17" t="str">
        <f aca="false">IF(OR(X32="",NOT(ISNUMBER(X32))),"",X32-N(B32))</f>
        <v/>
      </c>
      <c r="AU32" s="17" t="str">
        <f aca="false">IF(OR(Y32="",NOT(ISNUMBER(Y32))),"",Y32-N(C32))</f>
        <v/>
      </c>
      <c r="AV32" s="17" t="str">
        <f aca="false">IF(OR(Z32="",NOT(ISNUMBER(Z32))),"",Z32-N(D32))</f>
        <v/>
      </c>
      <c r="AW32" s="17" t="str">
        <f aca="false">IF(OR(AA32="",NOT(ISNUMBER(AA32))),"",AA32-N(E32))</f>
        <v/>
      </c>
      <c r="AX32" s="17" t="str">
        <f aca="false">IF(OR(AB32="",NOT(ISNUMBER(AB32))),"",AB32-N(F32))</f>
        <v/>
      </c>
      <c r="AY32" s="17" t="str">
        <f aca="false">IF(OR(AC32="",NOT(ISNUMBER(AC32))),"",AC32-N(G32))</f>
        <v/>
      </c>
      <c r="AZ32" s="17" t="str">
        <f aca="false">IF(OR(AD32="",NOT(ISNUMBER(AD32))),"",AD32-N(H32))</f>
        <v/>
      </c>
      <c r="BA32" s="17" t="str">
        <f aca="false">IF(OR(AE32="",NOT(ISNUMBER(AE32))),"",AE32-N(I32))</f>
        <v/>
      </c>
      <c r="BB32" s="17" t="str">
        <f aca="false">IF(OR(AF32="",NOT(ISNUMBER(AF32))),"",AF32-N(J32))</f>
        <v/>
      </c>
      <c r="BC32" s="17" t="str">
        <f aca="false">IF(OR(AG32="",NOT(ISNUMBER(AG32))),"",AG32-N(K32))</f>
        <v/>
      </c>
      <c r="BD32" s="17" t="str">
        <f aca="false">IF(OR(AH32="",NOT(ISNUMBER(AH32))),"",AH32-N(L32))</f>
        <v/>
      </c>
      <c r="BE32" s="17" t="str">
        <f aca="false">IF(OR(AI32="",NOT(ISNUMBER(AI32))),"",AI32-N(M32))</f>
        <v/>
      </c>
      <c r="BF32" s="17" t="str">
        <f aca="false">IF(OR(AJ32="",NOT(ISNUMBER(AJ32))),"",AJ32-N(N32))</f>
        <v/>
      </c>
      <c r="BG32" s="17" t="str">
        <f aca="false">IF(OR(AK32="",NOT(ISNUMBER(AK32))),"",AK32-N(O32))</f>
        <v/>
      </c>
      <c r="BH32" s="17" t="str">
        <f aca="false">IF(OR(AL32="",NOT(ISNUMBER(AL32))),"",AL32-N(P32))</f>
        <v/>
      </c>
      <c r="BI32" s="17" t="str">
        <f aca="false">IF(OR(AM32="",NOT(ISNUMBER(AM32))),"",AM32-N(Q32))</f>
        <v/>
      </c>
      <c r="BJ32" s="17" t="str">
        <f aca="false">IF(OR(AN32="",NOT(ISNUMBER(AN32))),"",AN32-N(R32))</f>
        <v/>
      </c>
      <c r="BK32" s="17" t="str">
        <f aca="false">IF(OR(AO32="",NOT(ISNUMBER(AO32))),"",AO32-N(S32))</f>
        <v/>
      </c>
      <c r="BL32" s="17" t="str">
        <f aca="false">IF(OR(AP32="",NOT(ISNUMBER(AP32))),"",AP32-N(T32))</f>
        <v/>
      </c>
      <c r="BM32" s="17" t="str">
        <f aca="false">IF(OR(AQ32="",NOT(ISNUMBER(AQ32))),"",AQ32-N(U32))</f>
        <v/>
      </c>
      <c r="BR32" s="20" t="str">
        <f aca="false">IF($A32="","",IF(ISNUMBER($A32),DATE(YEAR($A32),MONTH($A32),1),IFERROR(DATE(2000+VALUE(RIGHT(TRIM($A32),2)),MATCH(UPPER(LEFT(TRIM($A32),3)),{"JAN","FEB","MAR","APR","MAY","JUN","JUL","AUG","SEP","OCT","NOV","DEC"},0),1),"")))</f>
        <v/>
      </c>
      <c r="BS32" s="20" t="str">
        <f aca="false">IF(BR32="","",EOMONTH(BR32,0))</f>
        <v/>
      </c>
    </row>
    <row r="33" customFormat="false" ht="15" hidden="false" customHeight="false" outlineLevel="0" collapsed="false">
      <c r="B33" s="21"/>
      <c r="C33" s="21"/>
      <c r="D33" s="21"/>
      <c r="E33" s="21"/>
      <c r="F33" s="21"/>
      <c r="G33" s="21"/>
      <c r="H33" s="21"/>
      <c r="I33" s="21"/>
      <c r="J33" s="21"/>
      <c r="K33" s="21"/>
      <c r="L33" s="21"/>
      <c r="M33" s="21"/>
      <c r="N33" s="21"/>
      <c r="O33" s="21"/>
      <c r="P33" s="21"/>
      <c r="Q33" s="21"/>
      <c r="R33" s="21"/>
      <c r="S33" s="21"/>
      <c r="T33" s="21"/>
      <c r="U33" s="21"/>
      <c r="X33" s="17" t="str">
        <f aca="false">IF(OR(B$7="",$BR33=""),"",IF('Tally Helper'!$B$3&lt;&gt;TRUE(),"not on Staff",SUMIFS('Tally Helper'!$L$5:$GI$5,'Tally Helper'!$L$3:$GI$3,"&gt;="&amp;$BR33,'Tally Helper'!$L$3:$GI$3,"&lt;="&amp;$BS33)))</f>
        <v/>
      </c>
      <c r="Y33" s="17" t="str">
        <f aca="false">IF(OR(C$7="",$BR33=""),"",IF('Tally Helper'!$B$6&lt;&gt;TRUE(),"not on Staff",SUMIFS('Tally Helper'!$L$8:$GI$8,'Tally Helper'!$L$6:$GI$6,"&gt;="&amp;$BR33,'Tally Helper'!$L$6:$GI$6,"&lt;="&amp;$BS33)))</f>
        <v/>
      </c>
      <c r="Z33" s="17" t="str">
        <f aca="false">IF(OR(D$7="",$BR33=""),"",IF('Tally Helper'!$B$9&lt;&gt;TRUE(),"not on Staff",SUMIFS('Tally Helper'!$L$11:$GI$11,'Tally Helper'!$L$9:$GI$9,"&gt;="&amp;$BR33,'Tally Helper'!$L$9:$GI$9,"&lt;="&amp;$BS33)))</f>
        <v/>
      </c>
      <c r="AA33" s="17" t="str">
        <f aca="false">IF(OR(E$7="",$BR33=""),"",IF('Tally Helper'!$B$12&lt;&gt;TRUE(),"not on Staff",SUMIFS('Tally Helper'!$L$14:$GI$14,'Tally Helper'!$L$12:$GI$12,"&gt;="&amp;$BR33,'Tally Helper'!$L$12:$GI$12,"&lt;="&amp;$BS33)))</f>
        <v/>
      </c>
      <c r="AB33" s="17" t="str">
        <f aca="false">IF(OR(F$7="",$BR33=""),"",IF('Tally Helper'!$B$15&lt;&gt;TRUE(),"not on Staff",SUMIFS('Tally Helper'!$L$17:$GI$17,'Tally Helper'!$L$15:$GI$15,"&gt;="&amp;$BR33,'Tally Helper'!$L$15:$GI$15,"&lt;="&amp;$BS33)))</f>
        <v/>
      </c>
      <c r="AC33" s="17" t="str">
        <f aca="false">IF(OR(G$7="",$BR33=""),"",IF('Tally Helper'!$B$18&lt;&gt;TRUE(),"not on Staff",SUMIFS('Tally Helper'!$L$20:$GI$20,'Tally Helper'!$L$18:$GI$18,"&gt;="&amp;$BR33,'Tally Helper'!$L$18:$GI$18,"&lt;="&amp;$BS33)))</f>
        <v/>
      </c>
      <c r="AD33" s="17" t="str">
        <f aca="false">IF(OR(H$7="",$BR33=""),"",IF('Tally Helper'!$B$21&lt;&gt;TRUE(),"not on Staff",SUMIFS('Tally Helper'!$L$23:$GI$23,'Tally Helper'!$L$21:$GI$21,"&gt;="&amp;$BR33,'Tally Helper'!$L$21:$GI$21,"&lt;="&amp;$BS33)))</f>
        <v/>
      </c>
      <c r="AE33" s="17" t="str">
        <f aca="false">IF(OR(I$7="",$BR33=""),"",IF('Tally Helper'!$B$24&lt;&gt;TRUE(),"not on Staff",SUMIFS('Tally Helper'!$L$26:$GI$26,'Tally Helper'!$L$24:$GI$24,"&gt;="&amp;$BR33,'Tally Helper'!$L$24:$GI$24,"&lt;="&amp;$BS33)))</f>
        <v/>
      </c>
      <c r="AF33" s="17" t="str">
        <f aca="false">IF(OR(J$7="",$BR33=""),"",IF('Tally Helper'!$B$27&lt;&gt;TRUE(),"not on Staff",SUMIFS('Tally Helper'!$L$29:$GI$29,'Tally Helper'!$L$27:$GI$27,"&gt;="&amp;$BR33,'Tally Helper'!$L$27:$GI$27,"&lt;="&amp;$BS33)))</f>
        <v/>
      </c>
      <c r="AG33" s="17" t="str">
        <f aca="false">IF(OR(K$7="",$BR33=""),"",IF('Tally Helper'!$B$30&lt;&gt;TRUE(),"not on Staff",SUMIFS('Tally Helper'!$L$32:$GI$32,'Tally Helper'!$L$30:$GI$30,"&gt;="&amp;$BR33,'Tally Helper'!$L$30:$GI$30,"&lt;="&amp;$BS33)))</f>
        <v/>
      </c>
      <c r="AH33" s="17" t="str">
        <f aca="false">IF(OR(L$7="",$BR33=""),"",IF('Tally Helper'!$B$33&lt;&gt;TRUE(),"not on Staff",SUMIFS('Tally Helper'!$L$35:$GI$35,'Tally Helper'!$L$33:$GI$33,"&gt;="&amp;$BR33,'Tally Helper'!$L$33:$GI$33,"&lt;="&amp;$BS33)))</f>
        <v/>
      </c>
      <c r="AI33" s="17" t="str">
        <f aca="false">IF(OR(M$7="",$BR33=""),"",IF('Tally Helper'!$B$36&lt;&gt;TRUE(),"not on Staff",SUMIFS('Tally Helper'!$L$38:$GI$38,'Tally Helper'!$L$36:$GI$36,"&gt;="&amp;$BR33,'Tally Helper'!$L$36:$GI$36,"&lt;="&amp;$BS33)))</f>
        <v/>
      </c>
      <c r="AJ33" s="17" t="str">
        <f aca="false">IF(OR(N$7="",$BR33=""),"",IF('Tally Helper'!$B$39&lt;&gt;TRUE(),"not on Staff",SUMIFS('Tally Helper'!$L$41:$GI$41,'Tally Helper'!$L$39:$GI$39,"&gt;="&amp;$BR33,'Tally Helper'!$L$39:$GI$39,"&lt;="&amp;$BS33)))</f>
        <v/>
      </c>
      <c r="AK33" s="17" t="str">
        <f aca="false">IF(OR(O$7="",$BR33=""),"",IF('Tally Helper'!$B$42&lt;&gt;TRUE(),"not on Staff",SUMIFS('Tally Helper'!$L$44:$GI$44,'Tally Helper'!$L$42:$GI$42,"&gt;="&amp;$BR33,'Tally Helper'!$L$42:$GI$42,"&lt;="&amp;$BS33)))</f>
        <v/>
      </c>
      <c r="AL33" s="17" t="str">
        <f aca="false">IF(OR(P$7="",$BR33=""),"",IF('Tally Helper'!$B$45&lt;&gt;TRUE(),"not on Staff",SUMIFS('Tally Helper'!$L$47:$GI$47,'Tally Helper'!$L$45:$GI$45,"&gt;="&amp;$BR33,'Tally Helper'!$L$45:$GI$45,"&lt;="&amp;$BS33)))</f>
        <v/>
      </c>
      <c r="AM33" s="17" t="str">
        <f aca="false">IF(OR(Q$7="",$BR33=""),"",IF('Tally Helper'!$B$48&lt;&gt;TRUE(),"not on Staff",SUMIFS('Tally Helper'!$L$50:$GI$50,'Tally Helper'!$L$48:$GI$48,"&gt;="&amp;$BR33,'Tally Helper'!$L$48:$GI$48,"&lt;="&amp;$BS33)))</f>
        <v/>
      </c>
      <c r="AN33" s="17" t="str">
        <f aca="false">IF(OR(R$7="",$BR33=""),"",IF('Tally Helper'!$B$51&lt;&gt;TRUE(),"not on Staff",SUMIFS('Tally Helper'!$L$53:$GI$53,'Tally Helper'!$L$51:$GI$51,"&gt;="&amp;$BR33,'Tally Helper'!$L$51:$GI$51,"&lt;="&amp;$BS33)))</f>
        <v/>
      </c>
      <c r="AO33" s="17" t="str">
        <f aca="false">IF(OR(S$7="",$BR33=""),"",IF('Tally Helper'!$B$54&lt;&gt;TRUE(),"not on Staff",SUMIFS('Tally Helper'!$L$56:$GI$56,'Tally Helper'!$L$54:$GI$54,"&gt;="&amp;$BR33,'Tally Helper'!$L$54:$GI$54,"&lt;="&amp;$BS33)))</f>
        <v/>
      </c>
      <c r="AP33" s="17" t="str">
        <f aca="false">IF(OR(T$7="",$BR33=""),"",IF('Tally Helper'!$B$57&lt;&gt;TRUE(),"not on Staff",SUMIFS('Tally Helper'!$L$59:$GI$59,'Tally Helper'!$L$57:$GI$57,"&gt;="&amp;$BR33,'Tally Helper'!$L$57:$GI$57,"&lt;="&amp;$BS33)))</f>
        <v/>
      </c>
      <c r="AQ33" s="17" t="str">
        <f aca="false">IF(OR(U$7="",$BR33=""),"",IF('Tally Helper'!$B$60&lt;&gt;TRUE(),"not on Staff",SUMIFS('Tally Helper'!$L$62:$GI$62,'Tally Helper'!$L$60:$GI$60,"&gt;="&amp;$BR33,'Tally Helper'!$L$60:$GI$60,"&lt;="&amp;$BS33)))</f>
        <v/>
      </c>
      <c r="AT33" s="17" t="str">
        <f aca="false">IF(OR(X33="",NOT(ISNUMBER(X33))),"",X33-N(B33))</f>
        <v/>
      </c>
      <c r="AU33" s="17" t="str">
        <f aca="false">IF(OR(Y33="",NOT(ISNUMBER(Y33))),"",Y33-N(C33))</f>
        <v/>
      </c>
      <c r="AV33" s="17" t="str">
        <f aca="false">IF(OR(Z33="",NOT(ISNUMBER(Z33))),"",Z33-N(D33))</f>
        <v/>
      </c>
      <c r="AW33" s="17" t="str">
        <f aca="false">IF(OR(AA33="",NOT(ISNUMBER(AA33))),"",AA33-N(E33))</f>
        <v/>
      </c>
      <c r="AX33" s="17" t="str">
        <f aca="false">IF(OR(AB33="",NOT(ISNUMBER(AB33))),"",AB33-N(F33))</f>
        <v/>
      </c>
      <c r="AY33" s="17" t="str">
        <f aca="false">IF(OR(AC33="",NOT(ISNUMBER(AC33))),"",AC33-N(G33))</f>
        <v/>
      </c>
      <c r="AZ33" s="17" t="str">
        <f aca="false">IF(OR(AD33="",NOT(ISNUMBER(AD33))),"",AD33-N(H33))</f>
        <v/>
      </c>
      <c r="BA33" s="17" t="str">
        <f aca="false">IF(OR(AE33="",NOT(ISNUMBER(AE33))),"",AE33-N(I33))</f>
        <v/>
      </c>
      <c r="BB33" s="17" t="str">
        <f aca="false">IF(OR(AF33="",NOT(ISNUMBER(AF33))),"",AF33-N(J33))</f>
        <v/>
      </c>
      <c r="BC33" s="17" t="str">
        <f aca="false">IF(OR(AG33="",NOT(ISNUMBER(AG33))),"",AG33-N(K33))</f>
        <v/>
      </c>
      <c r="BD33" s="17" t="str">
        <f aca="false">IF(OR(AH33="",NOT(ISNUMBER(AH33))),"",AH33-N(L33))</f>
        <v/>
      </c>
      <c r="BE33" s="17" t="str">
        <f aca="false">IF(OR(AI33="",NOT(ISNUMBER(AI33))),"",AI33-N(M33))</f>
        <v/>
      </c>
      <c r="BF33" s="17" t="str">
        <f aca="false">IF(OR(AJ33="",NOT(ISNUMBER(AJ33))),"",AJ33-N(N33))</f>
        <v/>
      </c>
      <c r="BG33" s="17" t="str">
        <f aca="false">IF(OR(AK33="",NOT(ISNUMBER(AK33))),"",AK33-N(O33))</f>
        <v/>
      </c>
      <c r="BH33" s="17" t="str">
        <f aca="false">IF(OR(AL33="",NOT(ISNUMBER(AL33))),"",AL33-N(P33))</f>
        <v/>
      </c>
      <c r="BI33" s="17" t="str">
        <f aca="false">IF(OR(AM33="",NOT(ISNUMBER(AM33))),"",AM33-N(Q33))</f>
        <v/>
      </c>
      <c r="BJ33" s="17" t="str">
        <f aca="false">IF(OR(AN33="",NOT(ISNUMBER(AN33))),"",AN33-N(R33))</f>
        <v/>
      </c>
      <c r="BK33" s="17" t="str">
        <f aca="false">IF(OR(AO33="",NOT(ISNUMBER(AO33))),"",AO33-N(S33))</f>
        <v/>
      </c>
      <c r="BL33" s="17" t="str">
        <f aca="false">IF(OR(AP33="",NOT(ISNUMBER(AP33))),"",AP33-N(T33))</f>
        <v/>
      </c>
      <c r="BM33" s="17" t="str">
        <f aca="false">IF(OR(AQ33="",NOT(ISNUMBER(AQ33))),"",AQ33-N(U33))</f>
        <v/>
      </c>
      <c r="BR33" s="20" t="str">
        <f aca="false">IF($A33="","",IF(ISNUMBER($A33),DATE(YEAR($A33),MONTH($A33),1),IFERROR(DATE(2000+VALUE(RIGHT(TRIM($A33),2)),MATCH(UPPER(LEFT(TRIM($A33),3)),{"JAN","FEB","MAR","APR","MAY","JUN","JUL","AUG","SEP","OCT","NOV","DEC"},0),1),"")))</f>
        <v/>
      </c>
      <c r="BS33" s="20" t="str">
        <f aca="false">IF(BR33="","",EOMONTH(BR33,0))</f>
        <v/>
      </c>
    </row>
    <row r="34" customFormat="false" ht="15" hidden="false" customHeight="false" outlineLevel="0" collapsed="false">
      <c r="B34" s="21"/>
      <c r="C34" s="21"/>
      <c r="D34" s="21"/>
      <c r="E34" s="21"/>
      <c r="F34" s="21"/>
      <c r="G34" s="21"/>
      <c r="H34" s="21"/>
      <c r="I34" s="21"/>
      <c r="J34" s="21"/>
      <c r="K34" s="21"/>
      <c r="L34" s="21"/>
      <c r="M34" s="21"/>
      <c r="N34" s="21"/>
      <c r="O34" s="21"/>
      <c r="P34" s="21"/>
      <c r="Q34" s="21"/>
      <c r="R34" s="21"/>
      <c r="S34" s="21"/>
      <c r="T34" s="21"/>
      <c r="U34" s="21"/>
      <c r="X34" s="17" t="str">
        <f aca="false">IF(OR(B$7="",$BR34=""),"",IF('Tally Helper'!$B$3&lt;&gt;TRUE(),"not on Staff",SUMIFS('Tally Helper'!$L$5:$GI$5,'Tally Helper'!$L$3:$GI$3,"&gt;="&amp;$BR34,'Tally Helper'!$L$3:$GI$3,"&lt;="&amp;$BS34)))</f>
        <v/>
      </c>
      <c r="Y34" s="17" t="str">
        <f aca="false">IF(OR(C$7="",$BR34=""),"",IF('Tally Helper'!$B$6&lt;&gt;TRUE(),"not on Staff",SUMIFS('Tally Helper'!$L$8:$GI$8,'Tally Helper'!$L$6:$GI$6,"&gt;="&amp;$BR34,'Tally Helper'!$L$6:$GI$6,"&lt;="&amp;$BS34)))</f>
        <v/>
      </c>
      <c r="Z34" s="17" t="str">
        <f aca="false">IF(OR(D$7="",$BR34=""),"",IF('Tally Helper'!$B$9&lt;&gt;TRUE(),"not on Staff",SUMIFS('Tally Helper'!$L$11:$GI$11,'Tally Helper'!$L$9:$GI$9,"&gt;="&amp;$BR34,'Tally Helper'!$L$9:$GI$9,"&lt;="&amp;$BS34)))</f>
        <v/>
      </c>
      <c r="AA34" s="17" t="str">
        <f aca="false">IF(OR(E$7="",$BR34=""),"",IF('Tally Helper'!$B$12&lt;&gt;TRUE(),"not on Staff",SUMIFS('Tally Helper'!$L$14:$GI$14,'Tally Helper'!$L$12:$GI$12,"&gt;="&amp;$BR34,'Tally Helper'!$L$12:$GI$12,"&lt;="&amp;$BS34)))</f>
        <v/>
      </c>
      <c r="AB34" s="17" t="str">
        <f aca="false">IF(OR(F$7="",$BR34=""),"",IF('Tally Helper'!$B$15&lt;&gt;TRUE(),"not on Staff",SUMIFS('Tally Helper'!$L$17:$GI$17,'Tally Helper'!$L$15:$GI$15,"&gt;="&amp;$BR34,'Tally Helper'!$L$15:$GI$15,"&lt;="&amp;$BS34)))</f>
        <v/>
      </c>
      <c r="AC34" s="17" t="str">
        <f aca="false">IF(OR(G$7="",$BR34=""),"",IF('Tally Helper'!$B$18&lt;&gt;TRUE(),"not on Staff",SUMIFS('Tally Helper'!$L$20:$GI$20,'Tally Helper'!$L$18:$GI$18,"&gt;="&amp;$BR34,'Tally Helper'!$L$18:$GI$18,"&lt;="&amp;$BS34)))</f>
        <v/>
      </c>
      <c r="AD34" s="17" t="str">
        <f aca="false">IF(OR(H$7="",$BR34=""),"",IF('Tally Helper'!$B$21&lt;&gt;TRUE(),"not on Staff",SUMIFS('Tally Helper'!$L$23:$GI$23,'Tally Helper'!$L$21:$GI$21,"&gt;="&amp;$BR34,'Tally Helper'!$L$21:$GI$21,"&lt;="&amp;$BS34)))</f>
        <v/>
      </c>
      <c r="AE34" s="17" t="str">
        <f aca="false">IF(OR(I$7="",$BR34=""),"",IF('Tally Helper'!$B$24&lt;&gt;TRUE(),"not on Staff",SUMIFS('Tally Helper'!$L$26:$GI$26,'Tally Helper'!$L$24:$GI$24,"&gt;="&amp;$BR34,'Tally Helper'!$L$24:$GI$24,"&lt;="&amp;$BS34)))</f>
        <v/>
      </c>
      <c r="AF34" s="17" t="str">
        <f aca="false">IF(OR(J$7="",$BR34=""),"",IF('Tally Helper'!$B$27&lt;&gt;TRUE(),"not on Staff",SUMIFS('Tally Helper'!$L$29:$GI$29,'Tally Helper'!$L$27:$GI$27,"&gt;="&amp;$BR34,'Tally Helper'!$L$27:$GI$27,"&lt;="&amp;$BS34)))</f>
        <v/>
      </c>
      <c r="AG34" s="17" t="str">
        <f aca="false">IF(OR(K$7="",$BR34=""),"",IF('Tally Helper'!$B$30&lt;&gt;TRUE(),"not on Staff",SUMIFS('Tally Helper'!$L$32:$GI$32,'Tally Helper'!$L$30:$GI$30,"&gt;="&amp;$BR34,'Tally Helper'!$L$30:$GI$30,"&lt;="&amp;$BS34)))</f>
        <v/>
      </c>
      <c r="AH34" s="17" t="str">
        <f aca="false">IF(OR(L$7="",$BR34=""),"",IF('Tally Helper'!$B$33&lt;&gt;TRUE(),"not on Staff",SUMIFS('Tally Helper'!$L$35:$GI$35,'Tally Helper'!$L$33:$GI$33,"&gt;="&amp;$BR34,'Tally Helper'!$L$33:$GI$33,"&lt;="&amp;$BS34)))</f>
        <v/>
      </c>
      <c r="AI34" s="17" t="str">
        <f aca="false">IF(OR(M$7="",$BR34=""),"",IF('Tally Helper'!$B$36&lt;&gt;TRUE(),"not on Staff",SUMIFS('Tally Helper'!$L$38:$GI$38,'Tally Helper'!$L$36:$GI$36,"&gt;="&amp;$BR34,'Tally Helper'!$L$36:$GI$36,"&lt;="&amp;$BS34)))</f>
        <v/>
      </c>
      <c r="AJ34" s="17" t="str">
        <f aca="false">IF(OR(N$7="",$BR34=""),"",IF('Tally Helper'!$B$39&lt;&gt;TRUE(),"not on Staff",SUMIFS('Tally Helper'!$L$41:$GI$41,'Tally Helper'!$L$39:$GI$39,"&gt;="&amp;$BR34,'Tally Helper'!$L$39:$GI$39,"&lt;="&amp;$BS34)))</f>
        <v/>
      </c>
      <c r="AK34" s="17" t="str">
        <f aca="false">IF(OR(O$7="",$BR34=""),"",IF('Tally Helper'!$B$42&lt;&gt;TRUE(),"not on Staff",SUMIFS('Tally Helper'!$L$44:$GI$44,'Tally Helper'!$L$42:$GI$42,"&gt;="&amp;$BR34,'Tally Helper'!$L$42:$GI$42,"&lt;="&amp;$BS34)))</f>
        <v/>
      </c>
      <c r="AL34" s="17" t="str">
        <f aca="false">IF(OR(P$7="",$BR34=""),"",IF('Tally Helper'!$B$45&lt;&gt;TRUE(),"not on Staff",SUMIFS('Tally Helper'!$L$47:$GI$47,'Tally Helper'!$L$45:$GI$45,"&gt;="&amp;$BR34,'Tally Helper'!$L$45:$GI$45,"&lt;="&amp;$BS34)))</f>
        <v/>
      </c>
      <c r="AM34" s="17" t="str">
        <f aca="false">IF(OR(Q$7="",$BR34=""),"",IF('Tally Helper'!$B$48&lt;&gt;TRUE(),"not on Staff",SUMIFS('Tally Helper'!$L$50:$GI$50,'Tally Helper'!$L$48:$GI$48,"&gt;="&amp;$BR34,'Tally Helper'!$L$48:$GI$48,"&lt;="&amp;$BS34)))</f>
        <v/>
      </c>
      <c r="AN34" s="17" t="str">
        <f aca="false">IF(OR(R$7="",$BR34=""),"",IF('Tally Helper'!$B$51&lt;&gt;TRUE(),"not on Staff",SUMIFS('Tally Helper'!$L$53:$GI$53,'Tally Helper'!$L$51:$GI$51,"&gt;="&amp;$BR34,'Tally Helper'!$L$51:$GI$51,"&lt;="&amp;$BS34)))</f>
        <v/>
      </c>
      <c r="AO34" s="17" t="str">
        <f aca="false">IF(OR(S$7="",$BR34=""),"",IF('Tally Helper'!$B$54&lt;&gt;TRUE(),"not on Staff",SUMIFS('Tally Helper'!$L$56:$GI$56,'Tally Helper'!$L$54:$GI$54,"&gt;="&amp;$BR34,'Tally Helper'!$L$54:$GI$54,"&lt;="&amp;$BS34)))</f>
        <v/>
      </c>
      <c r="AP34" s="17" t="str">
        <f aca="false">IF(OR(T$7="",$BR34=""),"",IF('Tally Helper'!$B$57&lt;&gt;TRUE(),"not on Staff",SUMIFS('Tally Helper'!$L$59:$GI$59,'Tally Helper'!$L$57:$GI$57,"&gt;="&amp;$BR34,'Tally Helper'!$L$57:$GI$57,"&lt;="&amp;$BS34)))</f>
        <v/>
      </c>
      <c r="AQ34" s="17" t="str">
        <f aca="false">IF(OR(U$7="",$BR34=""),"",IF('Tally Helper'!$B$60&lt;&gt;TRUE(),"not on Staff",SUMIFS('Tally Helper'!$L$62:$GI$62,'Tally Helper'!$L$60:$GI$60,"&gt;="&amp;$BR34,'Tally Helper'!$L$60:$GI$60,"&lt;="&amp;$BS34)))</f>
        <v/>
      </c>
      <c r="AT34" s="17" t="str">
        <f aca="false">IF(OR(X34="",NOT(ISNUMBER(X34))),"",X34-N(B34))</f>
        <v/>
      </c>
      <c r="AU34" s="17" t="str">
        <f aca="false">IF(OR(Y34="",NOT(ISNUMBER(Y34))),"",Y34-N(C34))</f>
        <v/>
      </c>
      <c r="AV34" s="17" t="str">
        <f aca="false">IF(OR(Z34="",NOT(ISNUMBER(Z34))),"",Z34-N(D34))</f>
        <v/>
      </c>
      <c r="AW34" s="17" t="str">
        <f aca="false">IF(OR(AA34="",NOT(ISNUMBER(AA34))),"",AA34-N(E34))</f>
        <v/>
      </c>
      <c r="AX34" s="17" t="str">
        <f aca="false">IF(OR(AB34="",NOT(ISNUMBER(AB34))),"",AB34-N(F34))</f>
        <v/>
      </c>
      <c r="AY34" s="17" t="str">
        <f aca="false">IF(OR(AC34="",NOT(ISNUMBER(AC34))),"",AC34-N(G34))</f>
        <v/>
      </c>
      <c r="AZ34" s="17" t="str">
        <f aca="false">IF(OR(AD34="",NOT(ISNUMBER(AD34))),"",AD34-N(H34))</f>
        <v/>
      </c>
      <c r="BA34" s="17" t="str">
        <f aca="false">IF(OR(AE34="",NOT(ISNUMBER(AE34))),"",AE34-N(I34))</f>
        <v/>
      </c>
      <c r="BB34" s="17" t="str">
        <f aca="false">IF(OR(AF34="",NOT(ISNUMBER(AF34))),"",AF34-N(J34))</f>
        <v/>
      </c>
      <c r="BC34" s="17" t="str">
        <f aca="false">IF(OR(AG34="",NOT(ISNUMBER(AG34))),"",AG34-N(K34))</f>
        <v/>
      </c>
      <c r="BD34" s="17" t="str">
        <f aca="false">IF(OR(AH34="",NOT(ISNUMBER(AH34))),"",AH34-N(L34))</f>
        <v/>
      </c>
      <c r="BE34" s="17" t="str">
        <f aca="false">IF(OR(AI34="",NOT(ISNUMBER(AI34))),"",AI34-N(M34))</f>
        <v/>
      </c>
      <c r="BF34" s="17" t="str">
        <f aca="false">IF(OR(AJ34="",NOT(ISNUMBER(AJ34))),"",AJ34-N(N34))</f>
        <v/>
      </c>
      <c r="BG34" s="17" t="str">
        <f aca="false">IF(OR(AK34="",NOT(ISNUMBER(AK34))),"",AK34-N(O34))</f>
        <v/>
      </c>
      <c r="BH34" s="17" t="str">
        <f aca="false">IF(OR(AL34="",NOT(ISNUMBER(AL34))),"",AL34-N(P34))</f>
        <v/>
      </c>
      <c r="BI34" s="17" t="str">
        <f aca="false">IF(OR(AM34="",NOT(ISNUMBER(AM34))),"",AM34-N(Q34))</f>
        <v/>
      </c>
      <c r="BJ34" s="17" t="str">
        <f aca="false">IF(OR(AN34="",NOT(ISNUMBER(AN34))),"",AN34-N(R34))</f>
        <v/>
      </c>
      <c r="BK34" s="17" t="str">
        <f aca="false">IF(OR(AO34="",NOT(ISNUMBER(AO34))),"",AO34-N(S34))</f>
        <v/>
      </c>
      <c r="BL34" s="17" t="str">
        <f aca="false">IF(OR(AP34="",NOT(ISNUMBER(AP34))),"",AP34-N(T34))</f>
        <v/>
      </c>
      <c r="BM34" s="17" t="str">
        <f aca="false">IF(OR(AQ34="",NOT(ISNUMBER(AQ34))),"",AQ34-N(U34))</f>
        <v/>
      </c>
      <c r="BR34" s="20" t="str">
        <f aca="false">IF($A34="","",IF(ISNUMBER($A34),DATE(YEAR($A34),MONTH($A34),1),IFERROR(DATE(2000+VALUE(RIGHT(TRIM($A34),2)),MATCH(UPPER(LEFT(TRIM($A34),3)),{"JAN","FEB","MAR","APR","MAY","JUN","JUL","AUG","SEP","OCT","NOV","DEC"},0),1),"")))</f>
        <v/>
      </c>
      <c r="BS34" s="20" t="str">
        <f aca="false">IF(BR34="","",EOMONTH(BR34,0))</f>
        <v/>
      </c>
    </row>
    <row r="35" customFormat="false" ht="15" hidden="false" customHeight="false" outlineLevel="0" collapsed="false">
      <c r="B35" s="21"/>
      <c r="C35" s="21"/>
      <c r="D35" s="21"/>
      <c r="E35" s="21"/>
      <c r="F35" s="21"/>
      <c r="G35" s="21"/>
      <c r="H35" s="21"/>
      <c r="I35" s="21"/>
      <c r="J35" s="21"/>
      <c r="K35" s="21"/>
      <c r="L35" s="21"/>
      <c r="M35" s="21"/>
      <c r="N35" s="21"/>
      <c r="O35" s="21"/>
      <c r="P35" s="21"/>
      <c r="Q35" s="21"/>
      <c r="R35" s="21"/>
      <c r="S35" s="21"/>
      <c r="T35" s="21"/>
      <c r="U35" s="21"/>
      <c r="X35" s="17" t="str">
        <f aca="false">IF(OR(B$7="",$BR35=""),"",IF('Tally Helper'!$B$3&lt;&gt;TRUE(),"not on Staff",SUMIFS('Tally Helper'!$L$5:$GI$5,'Tally Helper'!$L$3:$GI$3,"&gt;="&amp;$BR35,'Tally Helper'!$L$3:$GI$3,"&lt;="&amp;$BS35)))</f>
        <v/>
      </c>
      <c r="Y35" s="17" t="str">
        <f aca="false">IF(OR(C$7="",$BR35=""),"",IF('Tally Helper'!$B$6&lt;&gt;TRUE(),"not on Staff",SUMIFS('Tally Helper'!$L$8:$GI$8,'Tally Helper'!$L$6:$GI$6,"&gt;="&amp;$BR35,'Tally Helper'!$L$6:$GI$6,"&lt;="&amp;$BS35)))</f>
        <v/>
      </c>
      <c r="Z35" s="17" t="str">
        <f aca="false">IF(OR(D$7="",$BR35=""),"",IF('Tally Helper'!$B$9&lt;&gt;TRUE(),"not on Staff",SUMIFS('Tally Helper'!$L$11:$GI$11,'Tally Helper'!$L$9:$GI$9,"&gt;="&amp;$BR35,'Tally Helper'!$L$9:$GI$9,"&lt;="&amp;$BS35)))</f>
        <v/>
      </c>
      <c r="AA35" s="17" t="str">
        <f aca="false">IF(OR(E$7="",$BR35=""),"",IF('Tally Helper'!$B$12&lt;&gt;TRUE(),"not on Staff",SUMIFS('Tally Helper'!$L$14:$GI$14,'Tally Helper'!$L$12:$GI$12,"&gt;="&amp;$BR35,'Tally Helper'!$L$12:$GI$12,"&lt;="&amp;$BS35)))</f>
        <v/>
      </c>
      <c r="AB35" s="17" t="str">
        <f aca="false">IF(OR(F$7="",$BR35=""),"",IF('Tally Helper'!$B$15&lt;&gt;TRUE(),"not on Staff",SUMIFS('Tally Helper'!$L$17:$GI$17,'Tally Helper'!$L$15:$GI$15,"&gt;="&amp;$BR35,'Tally Helper'!$L$15:$GI$15,"&lt;="&amp;$BS35)))</f>
        <v/>
      </c>
      <c r="AC35" s="17" t="str">
        <f aca="false">IF(OR(G$7="",$BR35=""),"",IF('Tally Helper'!$B$18&lt;&gt;TRUE(),"not on Staff",SUMIFS('Tally Helper'!$L$20:$GI$20,'Tally Helper'!$L$18:$GI$18,"&gt;="&amp;$BR35,'Tally Helper'!$L$18:$GI$18,"&lt;="&amp;$BS35)))</f>
        <v/>
      </c>
      <c r="AD35" s="17" t="str">
        <f aca="false">IF(OR(H$7="",$BR35=""),"",IF('Tally Helper'!$B$21&lt;&gt;TRUE(),"not on Staff",SUMIFS('Tally Helper'!$L$23:$GI$23,'Tally Helper'!$L$21:$GI$21,"&gt;="&amp;$BR35,'Tally Helper'!$L$21:$GI$21,"&lt;="&amp;$BS35)))</f>
        <v/>
      </c>
      <c r="AE35" s="17" t="str">
        <f aca="false">IF(OR(I$7="",$BR35=""),"",IF('Tally Helper'!$B$24&lt;&gt;TRUE(),"not on Staff",SUMIFS('Tally Helper'!$L$26:$GI$26,'Tally Helper'!$L$24:$GI$24,"&gt;="&amp;$BR35,'Tally Helper'!$L$24:$GI$24,"&lt;="&amp;$BS35)))</f>
        <v/>
      </c>
      <c r="AF35" s="17" t="str">
        <f aca="false">IF(OR(J$7="",$BR35=""),"",IF('Tally Helper'!$B$27&lt;&gt;TRUE(),"not on Staff",SUMIFS('Tally Helper'!$L$29:$GI$29,'Tally Helper'!$L$27:$GI$27,"&gt;="&amp;$BR35,'Tally Helper'!$L$27:$GI$27,"&lt;="&amp;$BS35)))</f>
        <v/>
      </c>
      <c r="AG35" s="17" t="str">
        <f aca="false">IF(OR(K$7="",$BR35=""),"",IF('Tally Helper'!$B$30&lt;&gt;TRUE(),"not on Staff",SUMIFS('Tally Helper'!$L$32:$GI$32,'Tally Helper'!$L$30:$GI$30,"&gt;="&amp;$BR35,'Tally Helper'!$L$30:$GI$30,"&lt;="&amp;$BS35)))</f>
        <v/>
      </c>
      <c r="AH35" s="17" t="str">
        <f aca="false">IF(OR(L$7="",$BR35=""),"",IF('Tally Helper'!$B$33&lt;&gt;TRUE(),"not on Staff",SUMIFS('Tally Helper'!$L$35:$GI$35,'Tally Helper'!$L$33:$GI$33,"&gt;="&amp;$BR35,'Tally Helper'!$L$33:$GI$33,"&lt;="&amp;$BS35)))</f>
        <v/>
      </c>
      <c r="AI35" s="17" t="str">
        <f aca="false">IF(OR(M$7="",$BR35=""),"",IF('Tally Helper'!$B$36&lt;&gt;TRUE(),"not on Staff",SUMIFS('Tally Helper'!$L$38:$GI$38,'Tally Helper'!$L$36:$GI$36,"&gt;="&amp;$BR35,'Tally Helper'!$L$36:$GI$36,"&lt;="&amp;$BS35)))</f>
        <v/>
      </c>
      <c r="AJ35" s="17" t="str">
        <f aca="false">IF(OR(N$7="",$BR35=""),"",IF('Tally Helper'!$B$39&lt;&gt;TRUE(),"not on Staff",SUMIFS('Tally Helper'!$L$41:$GI$41,'Tally Helper'!$L$39:$GI$39,"&gt;="&amp;$BR35,'Tally Helper'!$L$39:$GI$39,"&lt;="&amp;$BS35)))</f>
        <v/>
      </c>
      <c r="AK35" s="17" t="str">
        <f aca="false">IF(OR(O$7="",$BR35=""),"",IF('Tally Helper'!$B$42&lt;&gt;TRUE(),"not on Staff",SUMIFS('Tally Helper'!$L$44:$GI$44,'Tally Helper'!$L$42:$GI$42,"&gt;="&amp;$BR35,'Tally Helper'!$L$42:$GI$42,"&lt;="&amp;$BS35)))</f>
        <v/>
      </c>
      <c r="AL35" s="17" t="str">
        <f aca="false">IF(OR(P$7="",$BR35=""),"",IF('Tally Helper'!$B$45&lt;&gt;TRUE(),"not on Staff",SUMIFS('Tally Helper'!$L$47:$GI$47,'Tally Helper'!$L$45:$GI$45,"&gt;="&amp;$BR35,'Tally Helper'!$L$45:$GI$45,"&lt;="&amp;$BS35)))</f>
        <v/>
      </c>
      <c r="AM35" s="17" t="str">
        <f aca="false">IF(OR(Q$7="",$BR35=""),"",IF('Tally Helper'!$B$48&lt;&gt;TRUE(),"not on Staff",SUMIFS('Tally Helper'!$L$50:$GI$50,'Tally Helper'!$L$48:$GI$48,"&gt;="&amp;$BR35,'Tally Helper'!$L$48:$GI$48,"&lt;="&amp;$BS35)))</f>
        <v/>
      </c>
      <c r="AN35" s="17" t="str">
        <f aca="false">IF(OR(R$7="",$BR35=""),"",IF('Tally Helper'!$B$51&lt;&gt;TRUE(),"not on Staff",SUMIFS('Tally Helper'!$L$53:$GI$53,'Tally Helper'!$L$51:$GI$51,"&gt;="&amp;$BR35,'Tally Helper'!$L$51:$GI$51,"&lt;="&amp;$BS35)))</f>
        <v/>
      </c>
      <c r="AO35" s="17" t="str">
        <f aca="false">IF(OR(S$7="",$BR35=""),"",IF('Tally Helper'!$B$54&lt;&gt;TRUE(),"not on Staff",SUMIFS('Tally Helper'!$L$56:$GI$56,'Tally Helper'!$L$54:$GI$54,"&gt;="&amp;$BR35,'Tally Helper'!$L$54:$GI$54,"&lt;="&amp;$BS35)))</f>
        <v/>
      </c>
      <c r="AP35" s="17" t="str">
        <f aca="false">IF(OR(T$7="",$BR35=""),"",IF('Tally Helper'!$B$57&lt;&gt;TRUE(),"not on Staff",SUMIFS('Tally Helper'!$L$59:$GI$59,'Tally Helper'!$L$57:$GI$57,"&gt;="&amp;$BR35,'Tally Helper'!$L$57:$GI$57,"&lt;="&amp;$BS35)))</f>
        <v/>
      </c>
      <c r="AQ35" s="17" t="str">
        <f aca="false">IF(OR(U$7="",$BR35=""),"",IF('Tally Helper'!$B$60&lt;&gt;TRUE(),"not on Staff",SUMIFS('Tally Helper'!$L$62:$GI$62,'Tally Helper'!$L$60:$GI$60,"&gt;="&amp;$BR35,'Tally Helper'!$L$60:$GI$60,"&lt;="&amp;$BS35)))</f>
        <v/>
      </c>
      <c r="AT35" s="17" t="str">
        <f aca="false">IF(OR(X35="",NOT(ISNUMBER(X35))),"",X35-N(B35))</f>
        <v/>
      </c>
      <c r="AU35" s="17" t="str">
        <f aca="false">IF(OR(Y35="",NOT(ISNUMBER(Y35))),"",Y35-N(C35))</f>
        <v/>
      </c>
      <c r="AV35" s="17" t="str">
        <f aca="false">IF(OR(Z35="",NOT(ISNUMBER(Z35))),"",Z35-N(D35))</f>
        <v/>
      </c>
      <c r="AW35" s="17" t="str">
        <f aca="false">IF(OR(AA35="",NOT(ISNUMBER(AA35))),"",AA35-N(E35))</f>
        <v/>
      </c>
      <c r="AX35" s="17" t="str">
        <f aca="false">IF(OR(AB35="",NOT(ISNUMBER(AB35))),"",AB35-N(F35))</f>
        <v/>
      </c>
      <c r="AY35" s="17" t="str">
        <f aca="false">IF(OR(AC35="",NOT(ISNUMBER(AC35))),"",AC35-N(G35))</f>
        <v/>
      </c>
      <c r="AZ35" s="17" t="str">
        <f aca="false">IF(OR(AD35="",NOT(ISNUMBER(AD35))),"",AD35-N(H35))</f>
        <v/>
      </c>
      <c r="BA35" s="17" t="str">
        <f aca="false">IF(OR(AE35="",NOT(ISNUMBER(AE35))),"",AE35-N(I35))</f>
        <v/>
      </c>
      <c r="BB35" s="17" t="str">
        <f aca="false">IF(OR(AF35="",NOT(ISNUMBER(AF35))),"",AF35-N(J35))</f>
        <v/>
      </c>
      <c r="BC35" s="17" t="str">
        <f aca="false">IF(OR(AG35="",NOT(ISNUMBER(AG35))),"",AG35-N(K35))</f>
        <v/>
      </c>
      <c r="BD35" s="17" t="str">
        <f aca="false">IF(OR(AH35="",NOT(ISNUMBER(AH35))),"",AH35-N(L35))</f>
        <v/>
      </c>
      <c r="BE35" s="17" t="str">
        <f aca="false">IF(OR(AI35="",NOT(ISNUMBER(AI35))),"",AI35-N(M35))</f>
        <v/>
      </c>
      <c r="BF35" s="17" t="str">
        <f aca="false">IF(OR(AJ35="",NOT(ISNUMBER(AJ35))),"",AJ35-N(N35))</f>
        <v/>
      </c>
      <c r="BG35" s="17" t="str">
        <f aca="false">IF(OR(AK35="",NOT(ISNUMBER(AK35))),"",AK35-N(O35))</f>
        <v/>
      </c>
      <c r="BH35" s="17" t="str">
        <f aca="false">IF(OR(AL35="",NOT(ISNUMBER(AL35))),"",AL35-N(P35))</f>
        <v/>
      </c>
      <c r="BI35" s="17" t="str">
        <f aca="false">IF(OR(AM35="",NOT(ISNUMBER(AM35))),"",AM35-N(Q35))</f>
        <v/>
      </c>
      <c r="BJ35" s="17" t="str">
        <f aca="false">IF(OR(AN35="",NOT(ISNUMBER(AN35))),"",AN35-N(R35))</f>
        <v/>
      </c>
      <c r="BK35" s="17" t="str">
        <f aca="false">IF(OR(AO35="",NOT(ISNUMBER(AO35))),"",AO35-N(S35))</f>
        <v/>
      </c>
      <c r="BL35" s="17" t="str">
        <f aca="false">IF(OR(AP35="",NOT(ISNUMBER(AP35))),"",AP35-N(T35))</f>
        <v/>
      </c>
      <c r="BM35" s="17" t="str">
        <f aca="false">IF(OR(AQ35="",NOT(ISNUMBER(AQ35))),"",AQ35-N(U35))</f>
        <v/>
      </c>
      <c r="BR35" s="20" t="str">
        <f aca="false">IF($A35="","",IF(ISNUMBER($A35),DATE(YEAR($A35),MONTH($A35),1),IFERROR(DATE(2000+VALUE(RIGHT(TRIM($A35),2)),MATCH(UPPER(LEFT(TRIM($A35),3)),{"JAN","FEB","MAR","APR","MAY","JUN","JUL","AUG","SEP","OCT","NOV","DEC"},0),1),"")))</f>
        <v/>
      </c>
      <c r="BS35" s="20" t="str">
        <f aca="false">IF(BR35="","",EOMONTH(BR35,0))</f>
        <v/>
      </c>
    </row>
    <row r="36" customFormat="false" ht="15" hidden="false" customHeight="false" outlineLevel="0" collapsed="false">
      <c r="B36" s="21"/>
      <c r="C36" s="21"/>
      <c r="D36" s="21"/>
      <c r="E36" s="21"/>
      <c r="F36" s="21"/>
      <c r="G36" s="21"/>
      <c r="H36" s="21"/>
      <c r="I36" s="21"/>
      <c r="J36" s="21"/>
      <c r="K36" s="21"/>
      <c r="L36" s="21"/>
      <c r="M36" s="21"/>
      <c r="N36" s="21"/>
      <c r="O36" s="21"/>
      <c r="P36" s="21"/>
      <c r="Q36" s="21"/>
      <c r="R36" s="21"/>
      <c r="S36" s="21"/>
      <c r="T36" s="21"/>
      <c r="U36" s="21"/>
      <c r="X36" s="17" t="str">
        <f aca="false">IF(OR(B$7="",$BR36=""),"",IF('Tally Helper'!$B$3&lt;&gt;TRUE(),"not on Staff",SUMIFS('Tally Helper'!$L$5:$GI$5,'Tally Helper'!$L$3:$GI$3,"&gt;="&amp;$BR36,'Tally Helper'!$L$3:$GI$3,"&lt;="&amp;$BS36)))</f>
        <v/>
      </c>
      <c r="Y36" s="17" t="str">
        <f aca="false">IF(OR(C$7="",$BR36=""),"",IF('Tally Helper'!$B$6&lt;&gt;TRUE(),"not on Staff",SUMIFS('Tally Helper'!$L$8:$GI$8,'Tally Helper'!$L$6:$GI$6,"&gt;="&amp;$BR36,'Tally Helper'!$L$6:$GI$6,"&lt;="&amp;$BS36)))</f>
        <v/>
      </c>
      <c r="Z36" s="17" t="str">
        <f aca="false">IF(OR(D$7="",$BR36=""),"",IF('Tally Helper'!$B$9&lt;&gt;TRUE(),"not on Staff",SUMIFS('Tally Helper'!$L$11:$GI$11,'Tally Helper'!$L$9:$GI$9,"&gt;="&amp;$BR36,'Tally Helper'!$L$9:$GI$9,"&lt;="&amp;$BS36)))</f>
        <v/>
      </c>
      <c r="AA36" s="17" t="str">
        <f aca="false">IF(OR(E$7="",$BR36=""),"",IF('Tally Helper'!$B$12&lt;&gt;TRUE(),"not on Staff",SUMIFS('Tally Helper'!$L$14:$GI$14,'Tally Helper'!$L$12:$GI$12,"&gt;="&amp;$BR36,'Tally Helper'!$L$12:$GI$12,"&lt;="&amp;$BS36)))</f>
        <v/>
      </c>
      <c r="AB36" s="17" t="str">
        <f aca="false">IF(OR(F$7="",$BR36=""),"",IF('Tally Helper'!$B$15&lt;&gt;TRUE(),"not on Staff",SUMIFS('Tally Helper'!$L$17:$GI$17,'Tally Helper'!$L$15:$GI$15,"&gt;="&amp;$BR36,'Tally Helper'!$L$15:$GI$15,"&lt;="&amp;$BS36)))</f>
        <v/>
      </c>
      <c r="AC36" s="17" t="str">
        <f aca="false">IF(OR(G$7="",$BR36=""),"",IF('Tally Helper'!$B$18&lt;&gt;TRUE(),"not on Staff",SUMIFS('Tally Helper'!$L$20:$GI$20,'Tally Helper'!$L$18:$GI$18,"&gt;="&amp;$BR36,'Tally Helper'!$L$18:$GI$18,"&lt;="&amp;$BS36)))</f>
        <v/>
      </c>
      <c r="AD36" s="17" t="str">
        <f aca="false">IF(OR(H$7="",$BR36=""),"",IF('Tally Helper'!$B$21&lt;&gt;TRUE(),"not on Staff",SUMIFS('Tally Helper'!$L$23:$GI$23,'Tally Helper'!$L$21:$GI$21,"&gt;="&amp;$BR36,'Tally Helper'!$L$21:$GI$21,"&lt;="&amp;$BS36)))</f>
        <v/>
      </c>
      <c r="AE36" s="17" t="str">
        <f aca="false">IF(OR(I$7="",$BR36=""),"",IF('Tally Helper'!$B$24&lt;&gt;TRUE(),"not on Staff",SUMIFS('Tally Helper'!$L$26:$GI$26,'Tally Helper'!$L$24:$GI$24,"&gt;="&amp;$BR36,'Tally Helper'!$L$24:$GI$24,"&lt;="&amp;$BS36)))</f>
        <v/>
      </c>
      <c r="AF36" s="17" t="str">
        <f aca="false">IF(OR(J$7="",$BR36=""),"",IF('Tally Helper'!$B$27&lt;&gt;TRUE(),"not on Staff",SUMIFS('Tally Helper'!$L$29:$GI$29,'Tally Helper'!$L$27:$GI$27,"&gt;="&amp;$BR36,'Tally Helper'!$L$27:$GI$27,"&lt;="&amp;$BS36)))</f>
        <v/>
      </c>
      <c r="AG36" s="17" t="str">
        <f aca="false">IF(OR(K$7="",$BR36=""),"",IF('Tally Helper'!$B$30&lt;&gt;TRUE(),"not on Staff",SUMIFS('Tally Helper'!$L$32:$GI$32,'Tally Helper'!$L$30:$GI$30,"&gt;="&amp;$BR36,'Tally Helper'!$L$30:$GI$30,"&lt;="&amp;$BS36)))</f>
        <v/>
      </c>
      <c r="AH36" s="17" t="str">
        <f aca="false">IF(OR(L$7="",$BR36=""),"",IF('Tally Helper'!$B$33&lt;&gt;TRUE(),"not on Staff",SUMIFS('Tally Helper'!$L$35:$GI$35,'Tally Helper'!$L$33:$GI$33,"&gt;="&amp;$BR36,'Tally Helper'!$L$33:$GI$33,"&lt;="&amp;$BS36)))</f>
        <v/>
      </c>
      <c r="AI36" s="17" t="str">
        <f aca="false">IF(OR(M$7="",$BR36=""),"",IF('Tally Helper'!$B$36&lt;&gt;TRUE(),"not on Staff",SUMIFS('Tally Helper'!$L$38:$GI$38,'Tally Helper'!$L$36:$GI$36,"&gt;="&amp;$BR36,'Tally Helper'!$L$36:$GI$36,"&lt;="&amp;$BS36)))</f>
        <v/>
      </c>
      <c r="AJ36" s="17" t="str">
        <f aca="false">IF(OR(N$7="",$BR36=""),"",IF('Tally Helper'!$B$39&lt;&gt;TRUE(),"not on Staff",SUMIFS('Tally Helper'!$L$41:$GI$41,'Tally Helper'!$L$39:$GI$39,"&gt;="&amp;$BR36,'Tally Helper'!$L$39:$GI$39,"&lt;="&amp;$BS36)))</f>
        <v/>
      </c>
      <c r="AK36" s="17" t="str">
        <f aca="false">IF(OR(O$7="",$BR36=""),"",IF('Tally Helper'!$B$42&lt;&gt;TRUE(),"not on Staff",SUMIFS('Tally Helper'!$L$44:$GI$44,'Tally Helper'!$L$42:$GI$42,"&gt;="&amp;$BR36,'Tally Helper'!$L$42:$GI$42,"&lt;="&amp;$BS36)))</f>
        <v/>
      </c>
      <c r="AL36" s="17" t="str">
        <f aca="false">IF(OR(P$7="",$BR36=""),"",IF('Tally Helper'!$B$45&lt;&gt;TRUE(),"not on Staff",SUMIFS('Tally Helper'!$L$47:$GI$47,'Tally Helper'!$L$45:$GI$45,"&gt;="&amp;$BR36,'Tally Helper'!$L$45:$GI$45,"&lt;="&amp;$BS36)))</f>
        <v/>
      </c>
      <c r="AM36" s="17" t="str">
        <f aca="false">IF(OR(Q$7="",$BR36=""),"",IF('Tally Helper'!$B$48&lt;&gt;TRUE(),"not on Staff",SUMIFS('Tally Helper'!$L$50:$GI$50,'Tally Helper'!$L$48:$GI$48,"&gt;="&amp;$BR36,'Tally Helper'!$L$48:$GI$48,"&lt;="&amp;$BS36)))</f>
        <v/>
      </c>
      <c r="AN36" s="17" t="str">
        <f aca="false">IF(OR(R$7="",$BR36=""),"",IF('Tally Helper'!$B$51&lt;&gt;TRUE(),"not on Staff",SUMIFS('Tally Helper'!$L$53:$GI$53,'Tally Helper'!$L$51:$GI$51,"&gt;="&amp;$BR36,'Tally Helper'!$L$51:$GI$51,"&lt;="&amp;$BS36)))</f>
        <v/>
      </c>
      <c r="AO36" s="17" t="str">
        <f aca="false">IF(OR(S$7="",$BR36=""),"",IF('Tally Helper'!$B$54&lt;&gt;TRUE(),"not on Staff",SUMIFS('Tally Helper'!$L$56:$GI$56,'Tally Helper'!$L$54:$GI$54,"&gt;="&amp;$BR36,'Tally Helper'!$L$54:$GI$54,"&lt;="&amp;$BS36)))</f>
        <v/>
      </c>
      <c r="AP36" s="17" t="str">
        <f aca="false">IF(OR(T$7="",$BR36=""),"",IF('Tally Helper'!$B$57&lt;&gt;TRUE(),"not on Staff",SUMIFS('Tally Helper'!$L$59:$GI$59,'Tally Helper'!$L$57:$GI$57,"&gt;="&amp;$BR36,'Tally Helper'!$L$57:$GI$57,"&lt;="&amp;$BS36)))</f>
        <v/>
      </c>
      <c r="AQ36" s="17" t="str">
        <f aca="false">IF(OR(U$7="",$BR36=""),"",IF('Tally Helper'!$B$60&lt;&gt;TRUE(),"not on Staff",SUMIFS('Tally Helper'!$L$62:$GI$62,'Tally Helper'!$L$60:$GI$60,"&gt;="&amp;$BR36,'Tally Helper'!$L$60:$GI$60,"&lt;="&amp;$BS36)))</f>
        <v/>
      </c>
      <c r="AT36" s="17" t="str">
        <f aca="false">IF(OR(X36="",NOT(ISNUMBER(X36))),"",X36-N(B36))</f>
        <v/>
      </c>
      <c r="AU36" s="17" t="str">
        <f aca="false">IF(OR(Y36="",NOT(ISNUMBER(Y36))),"",Y36-N(C36))</f>
        <v/>
      </c>
      <c r="AV36" s="17" t="str">
        <f aca="false">IF(OR(Z36="",NOT(ISNUMBER(Z36))),"",Z36-N(D36))</f>
        <v/>
      </c>
      <c r="AW36" s="17" t="str">
        <f aca="false">IF(OR(AA36="",NOT(ISNUMBER(AA36))),"",AA36-N(E36))</f>
        <v/>
      </c>
      <c r="AX36" s="17" t="str">
        <f aca="false">IF(OR(AB36="",NOT(ISNUMBER(AB36))),"",AB36-N(F36))</f>
        <v/>
      </c>
      <c r="AY36" s="17" t="str">
        <f aca="false">IF(OR(AC36="",NOT(ISNUMBER(AC36))),"",AC36-N(G36))</f>
        <v/>
      </c>
      <c r="AZ36" s="17" t="str">
        <f aca="false">IF(OR(AD36="",NOT(ISNUMBER(AD36))),"",AD36-N(H36))</f>
        <v/>
      </c>
      <c r="BA36" s="17" t="str">
        <f aca="false">IF(OR(AE36="",NOT(ISNUMBER(AE36))),"",AE36-N(I36))</f>
        <v/>
      </c>
      <c r="BB36" s="17" t="str">
        <f aca="false">IF(OR(AF36="",NOT(ISNUMBER(AF36))),"",AF36-N(J36))</f>
        <v/>
      </c>
      <c r="BC36" s="17" t="str">
        <f aca="false">IF(OR(AG36="",NOT(ISNUMBER(AG36))),"",AG36-N(K36))</f>
        <v/>
      </c>
      <c r="BD36" s="17" t="str">
        <f aca="false">IF(OR(AH36="",NOT(ISNUMBER(AH36))),"",AH36-N(L36))</f>
        <v/>
      </c>
      <c r="BE36" s="17" t="str">
        <f aca="false">IF(OR(AI36="",NOT(ISNUMBER(AI36))),"",AI36-N(M36))</f>
        <v/>
      </c>
      <c r="BF36" s="17" t="str">
        <f aca="false">IF(OR(AJ36="",NOT(ISNUMBER(AJ36))),"",AJ36-N(N36))</f>
        <v/>
      </c>
      <c r="BG36" s="17" t="str">
        <f aca="false">IF(OR(AK36="",NOT(ISNUMBER(AK36))),"",AK36-N(O36))</f>
        <v/>
      </c>
      <c r="BH36" s="17" t="str">
        <f aca="false">IF(OR(AL36="",NOT(ISNUMBER(AL36))),"",AL36-N(P36))</f>
        <v/>
      </c>
      <c r="BI36" s="17" t="str">
        <f aca="false">IF(OR(AM36="",NOT(ISNUMBER(AM36))),"",AM36-N(Q36))</f>
        <v/>
      </c>
      <c r="BJ36" s="17" t="str">
        <f aca="false">IF(OR(AN36="",NOT(ISNUMBER(AN36))),"",AN36-N(R36))</f>
        <v/>
      </c>
      <c r="BK36" s="17" t="str">
        <f aca="false">IF(OR(AO36="",NOT(ISNUMBER(AO36))),"",AO36-N(S36))</f>
        <v/>
      </c>
      <c r="BL36" s="17" t="str">
        <f aca="false">IF(OR(AP36="",NOT(ISNUMBER(AP36))),"",AP36-N(T36))</f>
        <v/>
      </c>
      <c r="BM36" s="17" t="str">
        <f aca="false">IF(OR(AQ36="",NOT(ISNUMBER(AQ36))),"",AQ36-N(U36))</f>
        <v/>
      </c>
      <c r="BR36" s="20" t="str">
        <f aca="false">IF($A36="","",IF(ISNUMBER($A36),DATE(YEAR($A36),MONTH($A36),1),IFERROR(DATE(2000+VALUE(RIGHT(TRIM($A36),2)),MATCH(UPPER(LEFT(TRIM($A36),3)),{"JAN","FEB","MAR","APR","MAY","JUN","JUL","AUG","SEP","OCT","NOV","DEC"},0),1),"")))</f>
        <v/>
      </c>
      <c r="BS36" s="20" t="str">
        <f aca="false">IF(BR36="","",EOMONTH(BR36,0))</f>
        <v/>
      </c>
    </row>
    <row r="37" customFormat="false" ht="15" hidden="false" customHeight="false" outlineLevel="0" collapsed="false">
      <c r="B37" s="21"/>
      <c r="C37" s="21"/>
      <c r="D37" s="21"/>
      <c r="E37" s="21"/>
      <c r="F37" s="21"/>
      <c r="G37" s="21"/>
      <c r="H37" s="21"/>
      <c r="I37" s="21"/>
      <c r="J37" s="21"/>
      <c r="K37" s="21"/>
      <c r="L37" s="21"/>
      <c r="M37" s="21"/>
      <c r="N37" s="21"/>
      <c r="O37" s="21"/>
      <c r="P37" s="21"/>
      <c r="Q37" s="21"/>
      <c r="R37" s="21"/>
      <c r="S37" s="21"/>
      <c r="T37" s="21"/>
      <c r="U37" s="21"/>
      <c r="X37" s="17" t="str">
        <f aca="false">IF(OR(B$7="",$BR37=""),"",IF('Tally Helper'!$B$3&lt;&gt;TRUE(),"not on Staff",SUMIFS('Tally Helper'!$L$5:$GI$5,'Tally Helper'!$L$3:$GI$3,"&gt;="&amp;$BR37,'Tally Helper'!$L$3:$GI$3,"&lt;="&amp;$BS37)))</f>
        <v/>
      </c>
      <c r="Y37" s="17" t="str">
        <f aca="false">IF(OR(C$7="",$BR37=""),"",IF('Tally Helper'!$B$6&lt;&gt;TRUE(),"not on Staff",SUMIFS('Tally Helper'!$L$8:$GI$8,'Tally Helper'!$L$6:$GI$6,"&gt;="&amp;$BR37,'Tally Helper'!$L$6:$GI$6,"&lt;="&amp;$BS37)))</f>
        <v/>
      </c>
      <c r="Z37" s="17" t="str">
        <f aca="false">IF(OR(D$7="",$BR37=""),"",IF('Tally Helper'!$B$9&lt;&gt;TRUE(),"not on Staff",SUMIFS('Tally Helper'!$L$11:$GI$11,'Tally Helper'!$L$9:$GI$9,"&gt;="&amp;$BR37,'Tally Helper'!$L$9:$GI$9,"&lt;="&amp;$BS37)))</f>
        <v/>
      </c>
      <c r="AA37" s="17" t="str">
        <f aca="false">IF(OR(E$7="",$BR37=""),"",IF('Tally Helper'!$B$12&lt;&gt;TRUE(),"not on Staff",SUMIFS('Tally Helper'!$L$14:$GI$14,'Tally Helper'!$L$12:$GI$12,"&gt;="&amp;$BR37,'Tally Helper'!$L$12:$GI$12,"&lt;="&amp;$BS37)))</f>
        <v/>
      </c>
      <c r="AB37" s="17" t="str">
        <f aca="false">IF(OR(F$7="",$BR37=""),"",IF('Tally Helper'!$B$15&lt;&gt;TRUE(),"not on Staff",SUMIFS('Tally Helper'!$L$17:$GI$17,'Tally Helper'!$L$15:$GI$15,"&gt;="&amp;$BR37,'Tally Helper'!$L$15:$GI$15,"&lt;="&amp;$BS37)))</f>
        <v/>
      </c>
      <c r="AC37" s="17" t="str">
        <f aca="false">IF(OR(G$7="",$BR37=""),"",IF('Tally Helper'!$B$18&lt;&gt;TRUE(),"not on Staff",SUMIFS('Tally Helper'!$L$20:$GI$20,'Tally Helper'!$L$18:$GI$18,"&gt;="&amp;$BR37,'Tally Helper'!$L$18:$GI$18,"&lt;="&amp;$BS37)))</f>
        <v/>
      </c>
      <c r="AD37" s="17" t="str">
        <f aca="false">IF(OR(H$7="",$BR37=""),"",IF('Tally Helper'!$B$21&lt;&gt;TRUE(),"not on Staff",SUMIFS('Tally Helper'!$L$23:$GI$23,'Tally Helper'!$L$21:$GI$21,"&gt;="&amp;$BR37,'Tally Helper'!$L$21:$GI$21,"&lt;="&amp;$BS37)))</f>
        <v/>
      </c>
      <c r="AE37" s="17" t="str">
        <f aca="false">IF(OR(I$7="",$BR37=""),"",IF('Tally Helper'!$B$24&lt;&gt;TRUE(),"not on Staff",SUMIFS('Tally Helper'!$L$26:$GI$26,'Tally Helper'!$L$24:$GI$24,"&gt;="&amp;$BR37,'Tally Helper'!$L$24:$GI$24,"&lt;="&amp;$BS37)))</f>
        <v/>
      </c>
      <c r="AF37" s="17" t="str">
        <f aca="false">IF(OR(J$7="",$BR37=""),"",IF('Tally Helper'!$B$27&lt;&gt;TRUE(),"not on Staff",SUMIFS('Tally Helper'!$L$29:$GI$29,'Tally Helper'!$L$27:$GI$27,"&gt;="&amp;$BR37,'Tally Helper'!$L$27:$GI$27,"&lt;="&amp;$BS37)))</f>
        <v/>
      </c>
      <c r="AG37" s="17" t="str">
        <f aca="false">IF(OR(K$7="",$BR37=""),"",IF('Tally Helper'!$B$30&lt;&gt;TRUE(),"not on Staff",SUMIFS('Tally Helper'!$L$32:$GI$32,'Tally Helper'!$L$30:$GI$30,"&gt;="&amp;$BR37,'Tally Helper'!$L$30:$GI$30,"&lt;="&amp;$BS37)))</f>
        <v/>
      </c>
      <c r="AH37" s="17" t="str">
        <f aca="false">IF(OR(L$7="",$BR37=""),"",IF('Tally Helper'!$B$33&lt;&gt;TRUE(),"not on Staff",SUMIFS('Tally Helper'!$L$35:$GI$35,'Tally Helper'!$L$33:$GI$33,"&gt;="&amp;$BR37,'Tally Helper'!$L$33:$GI$33,"&lt;="&amp;$BS37)))</f>
        <v/>
      </c>
      <c r="AI37" s="17" t="str">
        <f aca="false">IF(OR(M$7="",$BR37=""),"",IF('Tally Helper'!$B$36&lt;&gt;TRUE(),"not on Staff",SUMIFS('Tally Helper'!$L$38:$GI$38,'Tally Helper'!$L$36:$GI$36,"&gt;="&amp;$BR37,'Tally Helper'!$L$36:$GI$36,"&lt;="&amp;$BS37)))</f>
        <v/>
      </c>
      <c r="AJ37" s="17" t="str">
        <f aca="false">IF(OR(N$7="",$BR37=""),"",IF('Tally Helper'!$B$39&lt;&gt;TRUE(),"not on Staff",SUMIFS('Tally Helper'!$L$41:$GI$41,'Tally Helper'!$L$39:$GI$39,"&gt;="&amp;$BR37,'Tally Helper'!$L$39:$GI$39,"&lt;="&amp;$BS37)))</f>
        <v/>
      </c>
      <c r="AK37" s="17" t="str">
        <f aca="false">IF(OR(O$7="",$BR37=""),"",IF('Tally Helper'!$B$42&lt;&gt;TRUE(),"not on Staff",SUMIFS('Tally Helper'!$L$44:$GI$44,'Tally Helper'!$L$42:$GI$42,"&gt;="&amp;$BR37,'Tally Helper'!$L$42:$GI$42,"&lt;="&amp;$BS37)))</f>
        <v/>
      </c>
      <c r="AL37" s="17" t="str">
        <f aca="false">IF(OR(P$7="",$BR37=""),"",IF('Tally Helper'!$B$45&lt;&gt;TRUE(),"not on Staff",SUMIFS('Tally Helper'!$L$47:$GI$47,'Tally Helper'!$L$45:$GI$45,"&gt;="&amp;$BR37,'Tally Helper'!$L$45:$GI$45,"&lt;="&amp;$BS37)))</f>
        <v/>
      </c>
      <c r="AM37" s="17" t="str">
        <f aca="false">IF(OR(Q$7="",$BR37=""),"",IF('Tally Helper'!$B$48&lt;&gt;TRUE(),"not on Staff",SUMIFS('Tally Helper'!$L$50:$GI$50,'Tally Helper'!$L$48:$GI$48,"&gt;="&amp;$BR37,'Tally Helper'!$L$48:$GI$48,"&lt;="&amp;$BS37)))</f>
        <v/>
      </c>
      <c r="AN37" s="17" t="str">
        <f aca="false">IF(OR(R$7="",$BR37=""),"",IF('Tally Helper'!$B$51&lt;&gt;TRUE(),"not on Staff",SUMIFS('Tally Helper'!$L$53:$GI$53,'Tally Helper'!$L$51:$GI$51,"&gt;="&amp;$BR37,'Tally Helper'!$L$51:$GI$51,"&lt;="&amp;$BS37)))</f>
        <v/>
      </c>
      <c r="AO37" s="17" t="str">
        <f aca="false">IF(OR(S$7="",$BR37=""),"",IF('Tally Helper'!$B$54&lt;&gt;TRUE(),"not on Staff",SUMIFS('Tally Helper'!$L$56:$GI$56,'Tally Helper'!$L$54:$GI$54,"&gt;="&amp;$BR37,'Tally Helper'!$L$54:$GI$54,"&lt;="&amp;$BS37)))</f>
        <v/>
      </c>
      <c r="AP37" s="17" t="str">
        <f aca="false">IF(OR(T$7="",$BR37=""),"",IF('Tally Helper'!$B$57&lt;&gt;TRUE(),"not on Staff",SUMIFS('Tally Helper'!$L$59:$GI$59,'Tally Helper'!$L$57:$GI$57,"&gt;="&amp;$BR37,'Tally Helper'!$L$57:$GI$57,"&lt;="&amp;$BS37)))</f>
        <v/>
      </c>
      <c r="AQ37" s="17" t="str">
        <f aca="false">IF(OR(U$7="",$BR37=""),"",IF('Tally Helper'!$B$60&lt;&gt;TRUE(),"not on Staff",SUMIFS('Tally Helper'!$L$62:$GI$62,'Tally Helper'!$L$60:$GI$60,"&gt;="&amp;$BR37,'Tally Helper'!$L$60:$GI$60,"&lt;="&amp;$BS37)))</f>
        <v/>
      </c>
      <c r="AT37" s="17" t="str">
        <f aca="false">IF(OR(X37="",NOT(ISNUMBER(X37))),"",X37-N(B37))</f>
        <v/>
      </c>
      <c r="AU37" s="17" t="str">
        <f aca="false">IF(OR(Y37="",NOT(ISNUMBER(Y37))),"",Y37-N(C37))</f>
        <v/>
      </c>
      <c r="AV37" s="17" t="str">
        <f aca="false">IF(OR(Z37="",NOT(ISNUMBER(Z37))),"",Z37-N(D37))</f>
        <v/>
      </c>
      <c r="AW37" s="17" t="str">
        <f aca="false">IF(OR(AA37="",NOT(ISNUMBER(AA37))),"",AA37-N(E37))</f>
        <v/>
      </c>
      <c r="AX37" s="17" t="str">
        <f aca="false">IF(OR(AB37="",NOT(ISNUMBER(AB37))),"",AB37-N(F37))</f>
        <v/>
      </c>
      <c r="AY37" s="17" t="str">
        <f aca="false">IF(OR(AC37="",NOT(ISNUMBER(AC37))),"",AC37-N(G37))</f>
        <v/>
      </c>
      <c r="AZ37" s="17" t="str">
        <f aca="false">IF(OR(AD37="",NOT(ISNUMBER(AD37))),"",AD37-N(H37))</f>
        <v/>
      </c>
      <c r="BA37" s="17" t="str">
        <f aca="false">IF(OR(AE37="",NOT(ISNUMBER(AE37))),"",AE37-N(I37))</f>
        <v/>
      </c>
      <c r="BB37" s="17" t="str">
        <f aca="false">IF(OR(AF37="",NOT(ISNUMBER(AF37))),"",AF37-N(J37))</f>
        <v/>
      </c>
      <c r="BC37" s="17" t="str">
        <f aca="false">IF(OR(AG37="",NOT(ISNUMBER(AG37))),"",AG37-N(K37))</f>
        <v/>
      </c>
      <c r="BD37" s="17" t="str">
        <f aca="false">IF(OR(AH37="",NOT(ISNUMBER(AH37))),"",AH37-N(L37))</f>
        <v/>
      </c>
      <c r="BE37" s="17" t="str">
        <f aca="false">IF(OR(AI37="",NOT(ISNUMBER(AI37))),"",AI37-N(M37))</f>
        <v/>
      </c>
      <c r="BF37" s="17" t="str">
        <f aca="false">IF(OR(AJ37="",NOT(ISNUMBER(AJ37))),"",AJ37-N(N37))</f>
        <v/>
      </c>
      <c r="BG37" s="17" t="str">
        <f aca="false">IF(OR(AK37="",NOT(ISNUMBER(AK37))),"",AK37-N(O37))</f>
        <v/>
      </c>
      <c r="BH37" s="17" t="str">
        <f aca="false">IF(OR(AL37="",NOT(ISNUMBER(AL37))),"",AL37-N(P37))</f>
        <v/>
      </c>
      <c r="BI37" s="17" t="str">
        <f aca="false">IF(OR(AM37="",NOT(ISNUMBER(AM37))),"",AM37-N(Q37))</f>
        <v/>
      </c>
      <c r="BJ37" s="17" t="str">
        <f aca="false">IF(OR(AN37="",NOT(ISNUMBER(AN37))),"",AN37-N(R37))</f>
        <v/>
      </c>
      <c r="BK37" s="17" t="str">
        <f aca="false">IF(OR(AO37="",NOT(ISNUMBER(AO37))),"",AO37-N(S37))</f>
        <v/>
      </c>
      <c r="BL37" s="17" t="str">
        <f aca="false">IF(OR(AP37="",NOT(ISNUMBER(AP37))),"",AP37-N(T37))</f>
        <v/>
      </c>
      <c r="BM37" s="17" t="str">
        <f aca="false">IF(OR(AQ37="",NOT(ISNUMBER(AQ37))),"",AQ37-N(U37))</f>
        <v/>
      </c>
      <c r="BR37" s="20" t="str">
        <f aca="false">IF($A37="","",IF(ISNUMBER($A37),DATE(YEAR($A37),MONTH($A37),1),IFERROR(DATE(2000+VALUE(RIGHT(TRIM($A37),2)),MATCH(UPPER(LEFT(TRIM($A37),3)),{"JAN","FEB","MAR","APR","MAY","JUN","JUL","AUG","SEP","OCT","NOV","DEC"},0),1),"")))</f>
        <v/>
      </c>
      <c r="BS37" s="20" t="str">
        <f aca="false">IF(BR37="","",EOMONTH(BR37,0))</f>
        <v/>
      </c>
    </row>
    <row r="38" customFormat="false" ht="15" hidden="false" customHeight="false" outlineLevel="0" collapsed="false">
      <c r="B38" s="21"/>
      <c r="C38" s="21"/>
      <c r="D38" s="21"/>
      <c r="E38" s="21"/>
      <c r="F38" s="21"/>
      <c r="G38" s="21"/>
      <c r="H38" s="21"/>
      <c r="I38" s="21"/>
      <c r="J38" s="21"/>
      <c r="K38" s="21"/>
      <c r="L38" s="21"/>
      <c r="M38" s="21"/>
      <c r="N38" s="21"/>
      <c r="O38" s="21"/>
      <c r="P38" s="21"/>
      <c r="Q38" s="21"/>
      <c r="R38" s="21"/>
      <c r="S38" s="21"/>
      <c r="T38" s="21"/>
      <c r="U38" s="21"/>
      <c r="X38" s="17" t="str">
        <f aca="false">IF(OR(B$7="",$BR38=""),"",IF('Tally Helper'!$B$3&lt;&gt;TRUE(),"not on Staff",SUMIFS('Tally Helper'!$L$5:$GI$5,'Tally Helper'!$L$3:$GI$3,"&gt;="&amp;$BR38,'Tally Helper'!$L$3:$GI$3,"&lt;="&amp;$BS38)))</f>
        <v/>
      </c>
      <c r="Y38" s="17" t="str">
        <f aca="false">IF(OR(C$7="",$BR38=""),"",IF('Tally Helper'!$B$6&lt;&gt;TRUE(),"not on Staff",SUMIFS('Tally Helper'!$L$8:$GI$8,'Tally Helper'!$L$6:$GI$6,"&gt;="&amp;$BR38,'Tally Helper'!$L$6:$GI$6,"&lt;="&amp;$BS38)))</f>
        <v/>
      </c>
      <c r="Z38" s="17" t="str">
        <f aca="false">IF(OR(D$7="",$BR38=""),"",IF('Tally Helper'!$B$9&lt;&gt;TRUE(),"not on Staff",SUMIFS('Tally Helper'!$L$11:$GI$11,'Tally Helper'!$L$9:$GI$9,"&gt;="&amp;$BR38,'Tally Helper'!$L$9:$GI$9,"&lt;="&amp;$BS38)))</f>
        <v/>
      </c>
      <c r="AA38" s="17" t="str">
        <f aca="false">IF(OR(E$7="",$BR38=""),"",IF('Tally Helper'!$B$12&lt;&gt;TRUE(),"not on Staff",SUMIFS('Tally Helper'!$L$14:$GI$14,'Tally Helper'!$L$12:$GI$12,"&gt;="&amp;$BR38,'Tally Helper'!$L$12:$GI$12,"&lt;="&amp;$BS38)))</f>
        <v/>
      </c>
      <c r="AB38" s="17" t="str">
        <f aca="false">IF(OR(F$7="",$BR38=""),"",IF('Tally Helper'!$B$15&lt;&gt;TRUE(),"not on Staff",SUMIFS('Tally Helper'!$L$17:$GI$17,'Tally Helper'!$L$15:$GI$15,"&gt;="&amp;$BR38,'Tally Helper'!$L$15:$GI$15,"&lt;="&amp;$BS38)))</f>
        <v/>
      </c>
      <c r="AC38" s="17" t="str">
        <f aca="false">IF(OR(G$7="",$BR38=""),"",IF('Tally Helper'!$B$18&lt;&gt;TRUE(),"not on Staff",SUMIFS('Tally Helper'!$L$20:$GI$20,'Tally Helper'!$L$18:$GI$18,"&gt;="&amp;$BR38,'Tally Helper'!$L$18:$GI$18,"&lt;="&amp;$BS38)))</f>
        <v/>
      </c>
      <c r="AD38" s="17" t="str">
        <f aca="false">IF(OR(H$7="",$BR38=""),"",IF('Tally Helper'!$B$21&lt;&gt;TRUE(),"not on Staff",SUMIFS('Tally Helper'!$L$23:$GI$23,'Tally Helper'!$L$21:$GI$21,"&gt;="&amp;$BR38,'Tally Helper'!$L$21:$GI$21,"&lt;="&amp;$BS38)))</f>
        <v/>
      </c>
      <c r="AE38" s="17" t="str">
        <f aca="false">IF(OR(I$7="",$BR38=""),"",IF('Tally Helper'!$B$24&lt;&gt;TRUE(),"not on Staff",SUMIFS('Tally Helper'!$L$26:$GI$26,'Tally Helper'!$L$24:$GI$24,"&gt;="&amp;$BR38,'Tally Helper'!$L$24:$GI$24,"&lt;="&amp;$BS38)))</f>
        <v/>
      </c>
      <c r="AF38" s="17" t="str">
        <f aca="false">IF(OR(J$7="",$BR38=""),"",IF('Tally Helper'!$B$27&lt;&gt;TRUE(),"not on Staff",SUMIFS('Tally Helper'!$L$29:$GI$29,'Tally Helper'!$L$27:$GI$27,"&gt;="&amp;$BR38,'Tally Helper'!$L$27:$GI$27,"&lt;="&amp;$BS38)))</f>
        <v/>
      </c>
      <c r="AG38" s="17" t="str">
        <f aca="false">IF(OR(K$7="",$BR38=""),"",IF('Tally Helper'!$B$30&lt;&gt;TRUE(),"not on Staff",SUMIFS('Tally Helper'!$L$32:$GI$32,'Tally Helper'!$L$30:$GI$30,"&gt;="&amp;$BR38,'Tally Helper'!$L$30:$GI$30,"&lt;="&amp;$BS38)))</f>
        <v/>
      </c>
      <c r="AH38" s="17" t="str">
        <f aca="false">IF(OR(L$7="",$BR38=""),"",IF('Tally Helper'!$B$33&lt;&gt;TRUE(),"not on Staff",SUMIFS('Tally Helper'!$L$35:$GI$35,'Tally Helper'!$L$33:$GI$33,"&gt;="&amp;$BR38,'Tally Helper'!$L$33:$GI$33,"&lt;="&amp;$BS38)))</f>
        <v/>
      </c>
      <c r="AI38" s="17" t="str">
        <f aca="false">IF(OR(M$7="",$BR38=""),"",IF('Tally Helper'!$B$36&lt;&gt;TRUE(),"not on Staff",SUMIFS('Tally Helper'!$L$38:$GI$38,'Tally Helper'!$L$36:$GI$36,"&gt;="&amp;$BR38,'Tally Helper'!$L$36:$GI$36,"&lt;="&amp;$BS38)))</f>
        <v/>
      </c>
      <c r="AJ38" s="17" t="str">
        <f aca="false">IF(OR(N$7="",$BR38=""),"",IF('Tally Helper'!$B$39&lt;&gt;TRUE(),"not on Staff",SUMIFS('Tally Helper'!$L$41:$GI$41,'Tally Helper'!$L$39:$GI$39,"&gt;="&amp;$BR38,'Tally Helper'!$L$39:$GI$39,"&lt;="&amp;$BS38)))</f>
        <v/>
      </c>
      <c r="AK38" s="17" t="str">
        <f aca="false">IF(OR(O$7="",$BR38=""),"",IF('Tally Helper'!$B$42&lt;&gt;TRUE(),"not on Staff",SUMIFS('Tally Helper'!$L$44:$GI$44,'Tally Helper'!$L$42:$GI$42,"&gt;="&amp;$BR38,'Tally Helper'!$L$42:$GI$42,"&lt;="&amp;$BS38)))</f>
        <v/>
      </c>
      <c r="AL38" s="17" t="str">
        <f aca="false">IF(OR(P$7="",$BR38=""),"",IF('Tally Helper'!$B$45&lt;&gt;TRUE(),"not on Staff",SUMIFS('Tally Helper'!$L$47:$GI$47,'Tally Helper'!$L$45:$GI$45,"&gt;="&amp;$BR38,'Tally Helper'!$L$45:$GI$45,"&lt;="&amp;$BS38)))</f>
        <v/>
      </c>
      <c r="AM38" s="17" t="str">
        <f aca="false">IF(OR(Q$7="",$BR38=""),"",IF('Tally Helper'!$B$48&lt;&gt;TRUE(),"not on Staff",SUMIFS('Tally Helper'!$L$50:$GI$50,'Tally Helper'!$L$48:$GI$48,"&gt;="&amp;$BR38,'Tally Helper'!$L$48:$GI$48,"&lt;="&amp;$BS38)))</f>
        <v/>
      </c>
      <c r="AN38" s="17" t="str">
        <f aca="false">IF(OR(R$7="",$BR38=""),"",IF('Tally Helper'!$B$51&lt;&gt;TRUE(),"not on Staff",SUMIFS('Tally Helper'!$L$53:$GI$53,'Tally Helper'!$L$51:$GI$51,"&gt;="&amp;$BR38,'Tally Helper'!$L$51:$GI$51,"&lt;="&amp;$BS38)))</f>
        <v/>
      </c>
      <c r="AO38" s="17" t="str">
        <f aca="false">IF(OR(S$7="",$BR38=""),"",IF('Tally Helper'!$B$54&lt;&gt;TRUE(),"not on Staff",SUMIFS('Tally Helper'!$L$56:$GI$56,'Tally Helper'!$L$54:$GI$54,"&gt;="&amp;$BR38,'Tally Helper'!$L$54:$GI$54,"&lt;="&amp;$BS38)))</f>
        <v/>
      </c>
      <c r="AP38" s="17" t="str">
        <f aca="false">IF(OR(T$7="",$BR38=""),"",IF('Tally Helper'!$B$57&lt;&gt;TRUE(),"not on Staff",SUMIFS('Tally Helper'!$L$59:$GI$59,'Tally Helper'!$L$57:$GI$57,"&gt;="&amp;$BR38,'Tally Helper'!$L$57:$GI$57,"&lt;="&amp;$BS38)))</f>
        <v/>
      </c>
      <c r="AQ38" s="17" t="str">
        <f aca="false">IF(OR(U$7="",$BR38=""),"",IF('Tally Helper'!$B$60&lt;&gt;TRUE(),"not on Staff",SUMIFS('Tally Helper'!$L$62:$GI$62,'Tally Helper'!$L$60:$GI$60,"&gt;="&amp;$BR38,'Tally Helper'!$L$60:$GI$60,"&lt;="&amp;$BS38)))</f>
        <v/>
      </c>
      <c r="AT38" s="17" t="str">
        <f aca="false">IF(OR(X38="",NOT(ISNUMBER(X38))),"",X38-N(B38))</f>
        <v/>
      </c>
      <c r="AU38" s="17" t="str">
        <f aca="false">IF(OR(Y38="",NOT(ISNUMBER(Y38))),"",Y38-N(C38))</f>
        <v/>
      </c>
      <c r="AV38" s="17" t="str">
        <f aca="false">IF(OR(Z38="",NOT(ISNUMBER(Z38))),"",Z38-N(D38))</f>
        <v/>
      </c>
      <c r="AW38" s="17" t="str">
        <f aca="false">IF(OR(AA38="",NOT(ISNUMBER(AA38))),"",AA38-N(E38))</f>
        <v/>
      </c>
      <c r="AX38" s="17" t="str">
        <f aca="false">IF(OR(AB38="",NOT(ISNUMBER(AB38))),"",AB38-N(F38))</f>
        <v/>
      </c>
      <c r="AY38" s="17" t="str">
        <f aca="false">IF(OR(AC38="",NOT(ISNUMBER(AC38))),"",AC38-N(G38))</f>
        <v/>
      </c>
      <c r="AZ38" s="17" t="str">
        <f aca="false">IF(OR(AD38="",NOT(ISNUMBER(AD38))),"",AD38-N(H38))</f>
        <v/>
      </c>
      <c r="BA38" s="17" t="str">
        <f aca="false">IF(OR(AE38="",NOT(ISNUMBER(AE38))),"",AE38-N(I38))</f>
        <v/>
      </c>
      <c r="BB38" s="17" t="str">
        <f aca="false">IF(OR(AF38="",NOT(ISNUMBER(AF38))),"",AF38-N(J38))</f>
        <v/>
      </c>
      <c r="BC38" s="17" t="str">
        <f aca="false">IF(OR(AG38="",NOT(ISNUMBER(AG38))),"",AG38-N(K38))</f>
        <v/>
      </c>
      <c r="BD38" s="17" t="str">
        <f aca="false">IF(OR(AH38="",NOT(ISNUMBER(AH38))),"",AH38-N(L38))</f>
        <v/>
      </c>
      <c r="BE38" s="17" t="str">
        <f aca="false">IF(OR(AI38="",NOT(ISNUMBER(AI38))),"",AI38-N(M38))</f>
        <v/>
      </c>
      <c r="BF38" s="17" t="str">
        <f aca="false">IF(OR(AJ38="",NOT(ISNUMBER(AJ38))),"",AJ38-N(N38))</f>
        <v/>
      </c>
      <c r="BG38" s="17" t="str">
        <f aca="false">IF(OR(AK38="",NOT(ISNUMBER(AK38))),"",AK38-N(O38))</f>
        <v/>
      </c>
      <c r="BH38" s="17" t="str">
        <f aca="false">IF(OR(AL38="",NOT(ISNUMBER(AL38))),"",AL38-N(P38))</f>
        <v/>
      </c>
      <c r="BI38" s="17" t="str">
        <f aca="false">IF(OR(AM38="",NOT(ISNUMBER(AM38))),"",AM38-N(Q38))</f>
        <v/>
      </c>
      <c r="BJ38" s="17" t="str">
        <f aca="false">IF(OR(AN38="",NOT(ISNUMBER(AN38))),"",AN38-N(R38))</f>
        <v/>
      </c>
      <c r="BK38" s="17" t="str">
        <f aca="false">IF(OR(AO38="",NOT(ISNUMBER(AO38))),"",AO38-N(S38))</f>
        <v/>
      </c>
      <c r="BL38" s="17" t="str">
        <f aca="false">IF(OR(AP38="",NOT(ISNUMBER(AP38))),"",AP38-N(T38))</f>
        <v/>
      </c>
      <c r="BM38" s="17" t="str">
        <f aca="false">IF(OR(AQ38="",NOT(ISNUMBER(AQ38))),"",AQ38-N(U38))</f>
        <v/>
      </c>
      <c r="BR38" s="20" t="str">
        <f aca="false">IF($A38="","",IF(ISNUMBER($A38),DATE(YEAR($A38),MONTH($A38),1),IFERROR(DATE(2000+VALUE(RIGHT(TRIM($A38),2)),MATCH(UPPER(LEFT(TRIM($A38),3)),{"JAN","FEB","MAR","APR","MAY","JUN","JUL","AUG","SEP","OCT","NOV","DEC"},0),1),"")))</f>
        <v/>
      </c>
      <c r="BS38" s="20" t="str">
        <f aca="false">IF(BR38="","",EOMONTH(BR38,0))</f>
        <v/>
      </c>
    </row>
    <row r="39" customFormat="false" ht="15" hidden="false" customHeight="false" outlineLevel="0" collapsed="false">
      <c r="B39" s="21"/>
      <c r="C39" s="21"/>
      <c r="D39" s="21"/>
      <c r="E39" s="21"/>
      <c r="F39" s="21"/>
      <c r="G39" s="21"/>
      <c r="H39" s="21"/>
      <c r="I39" s="21"/>
      <c r="J39" s="21"/>
      <c r="K39" s="21"/>
      <c r="L39" s="21"/>
      <c r="M39" s="21"/>
      <c r="N39" s="21"/>
      <c r="O39" s="21"/>
      <c r="P39" s="21"/>
      <c r="Q39" s="21"/>
      <c r="R39" s="21"/>
      <c r="S39" s="21"/>
      <c r="T39" s="21"/>
      <c r="U39" s="21"/>
      <c r="X39" s="17" t="str">
        <f aca="false">IF(OR(B$7="",$BR39=""),"",IF('Tally Helper'!$B$3&lt;&gt;TRUE(),"not on Staff",SUMIFS('Tally Helper'!$L$5:$GI$5,'Tally Helper'!$L$3:$GI$3,"&gt;="&amp;$BR39,'Tally Helper'!$L$3:$GI$3,"&lt;="&amp;$BS39)))</f>
        <v/>
      </c>
      <c r="Y39" s="17" t="str">
        <f aca="false">IF(OR(C$7="",$BR39=""),"",IF('Tally Helper'!$B$6&lt;&gt;TRUE(),"not on Staff",SUMIFS('Tally Helper'!$L$8:$GI$8,'Tally Helper'!$L$6:$GI$6,"&gt;="&amp;$BR39,'Tally Helper'!$L$6:$GI$6,"&lt;="&amp;$BS39)))</f>
        <v/>
      </c>
      <c r="Z39" s="17" t="str">
        <f aca="false">IF(OR(D$7="",$BR39=""),"",IF('Tally Helper'!$B$9&lt;&gt;TRUE(),"not on Staff",SUMIFS('Tally Helper'!$L$11:$GI$11,'Tally Helper'!$L$9:$GI$9,"&gt;="&amp;$BR39,'Tally Helper'!$L$9:$GI$9,"&lt;="&amp;$BS39)))</f>
        <v/>
      </c>
      <c r="AA39" s="17" t="str">
        <f aca="false">IF(OR(E$7="",$BR39=""),"",IF('Tally Helper'!$B$12&lt;&gt;TRUE(),"not on Staff",SUMIFS('Tally Helper'!$L$14:$GI$14,'Tally Helper'!$L$12:$GI$12,"&gt;="&amp;$BR39,'Tally Helper'!$L$12:$GI$12,"&lt;="&amp;$BS39)))</f>
        <v/>
      </c>
      <c r="AB39" s="17" t="str">
        <f aca="false">IF(OR(F$7="",$BR39=""),"",IF('Tally Helper'!$B$15&lt;&gt;TRUE(),"not on Staff",SUMIFS('Tally Helper'!$L$17:$GI$17,'Tally Helper'!$L$15:$GI$15,"&gt;="&amp;$BR39,'Tally Helper'!$L$15:$GI$15,"&lt;="&amp;$BS39)))</f>
        <v/>
      </c>
      <c r="AC39" s="17" t="str">
        <f aca="false">IF(OR(G$7="",$BR39=""),"",IF('Tally Helper'!$B$18&lt;&gt;TRUE(),"not on Staff",SUMIFS('Tally Helper'!$L$20:$GI$20,'Tally Helper'!$L$18:$GI$18,"&gt;="&amp;$BR39,'Tally Helper'!$L$18:$GI$18,"&lt;="&amp;$BS39)))</f>
        <v/>
      </c>
      <c r="AD39" s="17" t="str">
        <f aca="false">IF(OR(H$7="",$BR39=""),"",IF('Tally Helper'!$B$21&lt;&gt;TRUE(),"not on Staff",SUMIFS('Tally Helper'!$L$23:$GI$23,'Tally Helper'!$L$21:$GI$21,"&gt;="&amp;$BR39,'Tally Helper'!$L$21:$GI$21,"&lt;="&amp;$BS39)))</f>
        <v/>
      </c>
      <c r="AE39" s="17" t="str">
        <f aca="false">IF(OR(I$7="",$BR39=""),"",IF('Tally Helper'!$B$24&lt;&gt;TRUE(),"not on Staff",SUMIFS('Tally Helper'!$L$26:$GI$26,'Tally Helper'!$L$24:$GI$24,"&gt;="&amp;$BR39,'Tally Helper'!$L$24:$GI$24,"&lt;="&amp;$BS39)))</f>
        <v/>
      </c>
      <c r="AF39" s="17" t="str">
        <f aca="false">IF(OR(J$7="",$BR39=""),"",IF('Tally Helper'!$B$27&lt;&gt;TRUE(),"not on Staff",SUMIFS('Tally Helper'!$L$29:$GI$29,'Tally Helper'!$L$27:$GI$27,"&gt;="&amp;$BR39,'Tally Helper'!$L$27:$GI$27,"&lt;="&amp;$BS39)))</f>
        <v/>
      </c>
      <c r="AG39" s="17" t="str">
        <f aca="false">IF(OR(K$7="",$BR39=""),"",IF('Tally Helper'!$B$30&lt;&gt;TRUE(),"not on Staff",SUMIFS('Tally Helper'!$L$32:$GI$32,'Tally Helper'!$L$30:$GI$30,"&gt;="&amp;$BR39,'Tally Helper'!$L$30:$GI$30,"&lt;="&amp;$BS39)))</f>
        <v/>
      </c>
      <c r="AH39" s="17" t="str">
        <f aca="false">IF(OR(L$7="",$BR39=""),"",IF('Tally Helper'!$B$33&lt;&gt;TRUE(),"not on Staff",SUMIFS('Tally Helper'!$L$35:$GI$35,'Tally Helper'!$L$33:$GI$33,"&gt;="&amp;$BR39,'Tally Helper'!$L$33:$GI$33,"&lt;="&amp;$BS39)))</f>
        <v/>
      </c>
      <c r="AI39" s="17" t="str">
        <f aca="false">IF(OR(M$7="",$BR39=""),"",IF('Tally Helper'!$B$36&lt;&gt;TRUE(),"not on Staff",SUMIFS('Tally Helper'!$L$38:$GI$38,'Tally Helper'!$L$36:$GI$36,"&gt;="&amp;$BR39,'Tally Helper'!$L$36:$GI$36,"&lt;="&amp;$BS39)))</f>
        <v/>
      </c>
      <c r="AJ39" s="17" t="str">
        <f aca="false">IF(OR(N$7="",$BR39=""),"",IF('Tally Helper'!$B$39&lt;&gt;TRUE(),"not on Staff",SUMIFS('Tally Helper'!$L$41:$GI$41,'Tally Helper'!$L$39:$GI$39,"&gt;="&amp;$BR39,'Tally Helper'!$L$39:$GI$39,"&lt;="&amp;$BS39)))</f>
        <v/>
      </c>
      <c r="AK39" s="17" t="str">
        <f aca="false">IF(OR(O$7="",$BR39=""),"",IF('Tally Helper'!$B$42&lt;&gt;TRUE(),"not on Staff",SUMIFS('Tally Helper'!$L$44:$GI$44,'Tally Helper'!$L$42:$GI$42,"&gt;="&amp;$BR39,'Tally Helper'!$L$42:$GI$42,"&lt;="&amp;$BS39)))</f>
        <v/>
      </c>
      <c r="AL39" s="17" t="str">
        <f aca="false">IF(OR(P$7="",$BR39=""),"",IF('Tally Helper'!$B$45&lt;&gt;TRUE(),"not on Staff",SUMIFS('Tally Helper'!$L$47:$GI$47,'Tally Helper'!$L$45:$GI$45,"&gt;="&amp;$BR39,'Tally Helper'!$L$45:$GI$45,"&lt;="&amp;$BS39)))</f>
        <v/>
      </c>
      <c r="AM39" s="17" t="str">
        <f aca="false">IF(OR(Q$7="",$BR39=""),"",IF('Tally Helper'!$B$48&lt;&gt;TRUE(),"not on Staff",SUMIFS('Tally Helper'!$L$50:$GI$50,'Tally Helper'!$L$48:$GI$48,"&gt;="&amp;$BR39,'Tally Helper'!$L$48:$GI$48,"&lt;="&amp;$BS39)))</f>
        <v/>
      </c>
      <c r="AN39" s="17" t="str">
        <f aca="false">IF(OR(R$7="",$BR39=""),"",IF('Tally Helper'!$B$51&lt;&gt;TRUE(),"not on Staff",SUMIFS('Tally Helper'!$L$53:$GI$53,'Tally Helper'!$L$51:$GI$51,"&gt;="&amp;$BR39,'Tally Helper'!$L$51:$GI$51,"&lt;="&amp;$BS39)))</f>
        <v/>
      </c>
      <c r="AO39" s="17" t="str">
        <f aca="false">IF(OR(S$7="",$BR39=""),"",IF('Tally Helper'!$B$54&lt;&gt;TRUE(),"not on Staff",SUMIFS('Tally Helper'!$L$56:$GI$56,'Tally Helper'!$L$54:$GI$54,"&gt;="&amp;$BR39,'Tally Helper'!$L$54:$GI$54,"&lt;="&amp;$BS39)))</f>
        <v/>
      </c>
      <c r="AP39" s="17" t="str">
        <f aca="false">IF(OR(T$7="",$BR39=""),"",IF('Tally Helper'!$B$57&lt;&gt;TRUE(),"not on Staff",SUMIFS('Tally Helper'!$L$59:$GI$59,'Tally Helper'!$L$57:$GI$57,"&gt;="&amp;$BR39,'Tally Helper'!$L$57:$GI$57,"&lt;="&amp;$BS39)))</f>
        <v/>
      </c>
      <c r="AQ39" s="17" t="str">
        <f aca="false">IF(OR(U$7="",$BR39=""),"",IF('Tally Helper'!$B$60&lt;&gt;TRUE(),"not on Staff",SUMIFS('Tally Helper'!$L$62:$GI$62,'Tally Helper'!$L$60:$GI$60,"&gt;="&amp;$BR39,'Tally Helper'!$L$60:$GI$60,"&lt;="&amp;$BS39)))</f>
        <v/>
      </c>
      <c r="AT39" s="17" t="str">
        <f aca="false">IF(OR(X39="",NOT(ISNUMBER(X39))),"",X39-N(B39))</f>
        <v/>
      </c>
      <c r="AU39" s="17" t="str">
        <f aca="false">IF(OR(Y39="",NOT(ISNUMBER(Y39))),"",Y39-N(C39))</f>
        <v/>
      </c>
      <c r="AV39" s="17" t="str">
        <f aca="false">IF(OR(Z39="",NOT(ISNUMBER(Z39))),"",Z39-N(D39))</f>
        <v/>
      </c>
      <c r="AW39" s="17" t="str">
        <f aca="false">IF(OR(AA39="",NOT(ISNUMBER(AA39))),"",AA39-N(E39))</f>
        <v/>
      </c>
      <c r="AX39" s="17" t="str">
        <f aca="false">IF(OR(AB39="",NOT(ISNUMBER(AB39))),"",AB39-N(F39))</f>
        <v/>
      </c>
      <c r="AY39" s="17" t="str">
        <f aca="false">IF(OR(AC39="",NOT(ISNUMBER(AC39))),"",AC39-N(G39))</f>
        <v/>
      </c>
      <c r="AZ39" s="17" t="str">
        <f aca="false">IF(OR(AD39="",NOT(ISNUMBER(AD39))),"",AD39-N(H39))</f>
        <v/>
      </c>
      <c r="BA39" s="17" t="str">
        <f aca="false">IF(OR(AE39="",NOT(ISNUMBER(AE39))),"",AE39-N(I39))</f>
        <v/>
      </c>
      <c r="BB39" s="17" t="str">
        <f aca="false">IF(OR(AF39="",NOT(ISNUMBER(AF39))),"",AF39-N(J39))</f>
        <v/>
      </c>
      <c r="BC39" s="17" t="str">
        <f aca="false">IF(OR(AG39="",NOT(ISNUMBER(AG39))),"",AG39-N(K39))</f>
        <v/>
      </c>
      <c r="BD39" s="17" t="str">
        <f aca="false">IF(OR(AH39="",NOT(ISNUMBER(AH39))),"",AH39-N(L39))</f>
        <v/>
      </c>
      <c r="BE39" s="17" t="str">
        <f aca="false">IF(OR(AI39="",NOT(ISNUMBER(AI39))),"",AI39-N(M39))</f>
        <v/>
      </c>
      <c r="BF39" s="17" t="str">
        <f aca="false">IF(OR(AJ39="",NOT(ISNUMBER(AJ39))),"",AJ39-N(N39))</f>
        <v/>
      </c>
      <c r="BG39" s="17" t="str">
        <f aca="false">IF(OR(AK39="",NOT(ISNUMBER(AK39))),"",AK39-N(O39))</f>
        <v/>
      </c>
      <c r="BH39" s="17" t="str">
        <f aca="false">IF(OR(AL39="",NOT(ISNUMBER(AL39))),"",AL39-N(P39))</f>
        <v/>
      </c>
      <c r="BI39" s="17" t="str">
        <f aca="false">IF(OR(AM39="",NOT(ISNUMBER(AM39))),"",AM39-N(Q39))</f>
        <v/>
      </c>
      <c r="BJ39" s="17" t="str">
        <f aca="false">IF(OR(AN39="",NOT(ISNUMBER(AN39))),"",AN39-N(R39))</f>
        <v/>
      </c>
      <c r="BK39" s="17" t="str">
        <f aca="false">IF(OR(AO39="",NOT(ISNUMBER(AO39))),"",AO39-N(S39))</f>
        <v/>
      </c>
      <c r="BL39" s="17" t="str">
        <f aca="false">IF(OR(AP39="",NOT(ISNUMBER(AP39))),"",AP39-N(T39))</f>
        <v/>
      </c>
      <c r="BM39" s="17" t="str">
        <f aca="false">IF(OR(AQ39="",NOT(ISNUMBER(AQ39))),"",AQ39-N(U39))</f>
        <v/>
      </c>
      <c r="BR39" s="20" t="str">
        <f aca="false">IF($A39="","",IF(ISNUMBER($A39),DATE(YEAR($A39),MONTH($A39),1),IFERROR(DATE(2000+VALUE(RIGHT(TRIM($A39),2)),MATCH(UPPER(LEFT(TRIM($A39),3)),{"JAN","FEB","MAR","APR","MAY","JUN","JUL","AUG","SEP","OCT","NOV","DEC"},0),1),"")))</f>
        <v/>
      </c>
      <c r="BS39" s="20" t="str">
        <f aca="false">IF(BR39="","",EOMONTH(BR39,0))</f>
        <v/>
      </c>
    </row>
    <row r="40" customFormat="false" ht="15" hidden="false" customHeight="false" outlineLevel="0" collapsed="false">
      <c r="B40" s="21"/>
      <c r="C40" s="21"/>
      <c r="D40" s="21"/>
      <c r="E40" s="21"/>
      <c r="F40" s="21"/>
      <c r="G40" s="21"/>
      <c r="H40" s="21"/>
      <c r="I40" s="21"/>
      <c r="J40" s="21"/>
      <c r="K40" s="21"/>
      <c r="L40" s="21"/>
      <c r="M40" s="21"/>
      <c r="N40" s="21"/>
      <c r="O40" s="21"/>
      <c r="P40" s="21"/>
      <c r="Q40" s="21"/>
      <c r="R40" s="21"/>
      <c r="S40" s="21"/>
      <c r="T40" s="21"/>
      <c r="U40" s="21"/>
      <c r="X40" s="17" t="str">
        <f aca="false">IF(OR(B$7="",$BR40=""),"",IF('Tally Helper'!$B$3&lt;&gt;TRUE(),"not on Staff",SUMIFS('Tally Helper'!$L$5:$GI$5,'Tally Helper'!$L$3:$GI$3,"&gt;="&amp;$BR40,'Tally Helper'!$L$3:$GI$3,"&lt;="&amp;$BS40)))</f>
        <v/>
      </c>
      <c r="Y40" s="17" t="str">
        <f aca="false">IF(OR(C$7="",$BR40=""),"",IF('Tally Helper'!$B$6&lt;&gt;TRUE(),"not on Staff",SUMIFS('Tally Helper'!$L$8:$GI$8,'Tally Helper'!$L$6:$GI$6,"&gt;="&amp;$BR40,'Tally Helper'!$L$6:$GI$6,"&lt;="&amp;$BS40)))</f>
        <v/>
      </c>
      <c r="Z40" s="17" t="str">
        <f aca="false">IF(OR(D$7="",$BR40=""),"",IF('Tally Helper'!$B$9&lt;&gt;TRUE(),"not on Staff",SUMIFS('Tally Helper'!$L$11:$GI$11,'Tally Helper'!$L$9:$GI$9,"&gt;="&amp;$BR40,'Tally Helper'!$L$9:$GI$9,"&lt;="&amp;$BS40)))</f>
        <v/>
      </c>
      <c r="AA40" s="17" t="str">
        <f aca="false">IF(OR(E$7="",$BR40=""),"",IF('Tally Helper'!$B$12&lt;&gt;TRUE(),"not on Staff",SUMIFS('Tally Helper'!$L$14:$GI$14,'Tally Helper'!$L$12:$GI$12,"&gt;="&amp;$BR40,'Tally Helper'!$L$12:$GI$12,"&lt;="&amp;$BS40)))</f>
        <v/>
      </c>
      <c r="AB40" s="17" t="str">
        <f aca="false">IF(OR(F$7="",$BR40=""),"",IF('Tally Helper'!$B$15&lt;&gt;TRUE(),"not on Staff",SUMIFS('Tally Helper'!$L$17:$GI$17,'Tally Helper'!$L$15:$GI$15,"&gt;="&amp;$BR40,'Tally Helper'!$L$15:$GI$15,"&lt;="&amp;$BS40)))</f>
        <v/>
      </c>
      <c r="AC40" s="17" t="str">
        <f aca="false">IF(OR(G$7="",$BR40=""),"",IF('Tally Helper'!$B$18&lt;&gt;TRUE(),"not on Staff",SUMIFS('Tally Helper'!$L$20:$GI$20,'Tally Helper'!$L$18:$GI$18,"&gt;="&amp;$BR40,'Tally Helper'!$L$18:$GI$18,"&lt;="&amp;$BS40)))</f>
        <v/>
      </c>
      <c r="AD40" s="17" t="str">
        <f aca="false">IF(OR(H$7="",$BR40=""),"",IF('Tally Helper'!$B$21&lt;&gt;TRUE(),"not on Staff",SUMIFS('Tally Helper'!$L$23:$GI$23,'Tally Helper'!$L$21:$GI$21,"&gt;="&amp;$BR40,'Tally Helper'!$L$21:$GI$21,"&lt;="&amp;$BS40)))</f>
        <v/>
      </c>
      <c r="AE40" s="17" t="str">
        <f aca="false">IF(OR(I$7="",$BR40=""),"",IF('Tally Helper'!$B$24&lt;&gt;TRUE(),"not on Staff",SUMIFS('Tally Helper'!$L$26:$GI$26,'Tally Helper'!$L$24:$GI$24,"&gt;="&amp;$BR40,'Tally Helper'!$L$24:$GI$24,"&lt;="&amp;$BS40)))</f>
        <v/>
      </c>
      <c r="AF40" s="17" t="str">
        <f aca="false">IF(OR(J$7="",$BR40=""),"",IF('Tally Helper'!$B$27&lt;&gt;TRUE(),"not on Staff",SUMIFS('Tally Helper'!$L$29:$GI$29,'Tally Helper'!$L$27:$GI$27,"&gt;="&amp;$BR40,'Tally Helper'!$L$27:$GI$27,"&lt;="&amp;$BS40)))</f>
        <v/>
      </c>
      <c r="AG40" s="17" t="str">
        <f aca="false">IF(OR(K$7="",$BR40=""),"",IF('Tally Helper'!$B$30&lt;&gt;TRUE(),"not on Staff",SUMIFS('Tally Helper'!$L$32:$GI$32,'Tally Helper'!$L$30:$GI$30,"&gt;="&amp;$BR40,'Tally Helper'!$L$30:$GI$30,"&lt;="&amp;$BS40)))</f>
        <v/>
      </c>
      <c r="AH40" s="17" t="str">
        <f aca="false">IF(OR(L$7="",$BR40=""),"",IF('Tally Helper'!$B$33&lt;&gt;TRUE(),"not on Staff",SUMIFS('Tally Helper'!$L$35:$GI$35,'Tally Helper'!$L$33:$GI$33,"&gt;="&amp;$BR40,'Tally Helper'!$L$33:$GI$33,"&lt;="&amp;$BS40)))</f>
        <v/>
      </c>
      <c r="AI40" s="17" t="str">
        <f aca="false">IF(OR(M$7="",$BR40=""),"",IF('Tally Helper'!$B$36&lt;&gt;TRUE(),"not on Staff",SUMIFS('Tally Helper'!$L$38:$GI$38,'Tally Helper'!$L$36:$GI$36,"&gt;="&amp;$BR40,'Tally Helper'!$L$36:$GI$36,"&lt;="&amp;$BS40)))</f>
        <v/>
      </c>
      <c r="AJ40" s="17" t="str">
        <f aca="false">IF(OR(N$7="",$BR40=""),"",IF('Tally Helper'!$B$39&lt;&gt;TRUE(),"not on Staff",SUMIFS('Tally Helper'!$L$41:$GI$41,'Tally Helper'!$L$39:$GI$39,"&gt;="&amp;$BR40,'Tally Helper'!$L$39:$GI$39,"&lt;="&amp;$BS40)))</f>
        <v/>
      </c>
      <c r="AK40" s="17" t="str">
        <f aca="false">IF(OR(O$7="",$BR40=""),"",IF('Tally Helper'!$B$42&lt;&gt;TRUE(),"not on Staff",SUMIFS('Tally Helper'!$L$44:$GI$44,'Tally Helper'!$L$42:$GI$42,"&gt;="&amp;$BR40,'Tally Helper'!$L$42:$GI$42,"&lt;="&amp;$BS40)))</f>
        <v/>
      </c>
      <c r="AL40" s="17" t="str">
        <f aca="false">IF(OR(P$7="",$BR40=""),"",IF('Tally Helper'!$B$45&lt;&gt;TRUE(),"not on Staff",SUMIFS('Tally Helper'!$L$47:$GI$47,'Tally Helper'!$L$45:$GI$45,"&gt;="&amp;$BR40,'Tally Helper'!$L$45:$GI$45,"&lt;="&amp;$BS40)))</f>
        <v/>
      </c>
      <c r="AM40" s="17" t="str">
        <f aca="false">IF(OR(Q$7="",$BR40=""),"",IF('Tally Helper'!$B$48&lt;&gt;TRUE(),"not on Staff",SUMIFS('Tally Helper'!$L$50:$GI$50,'Tally Helper'!$L$48:$GI$48,"&gt;="&amp;$BR40,'Tally Helper'!$L$48:$GI$48,"&lt;="&amp;$BS40)))</f>
        <v/>
      </c>
      <c r="AN40" s="17" t="str">
        <f aca="false">IF(OR(R$7="",$BR40=""),"",IF('Tally Helper'!$B$51&lt;&gt;TRUE(),"not on Staff",SUMIFS('Tally Helper'!$L$53:$GI$53,'Tally Helper'!$L$51:$GI$51,"&gt;="&amp;$BR40,'Tally Helper'!$L$51:$GI$51,"&lt;="&amp;$BS40)))</f>
        <v/>
      </c>
      <c r="AO40" s="17" t="str">
        <f aca="false">IF(OR(S$7="",$BR40=""),"",IF('Tally Helper'!$B$54&lt;&gt;TRUE(),"not on Staff",SUMIFS('Tally Helper'!$L$56:$GI$56,'Tally Helper'!$L$54:$GI$54,"&gt;="&amp;$BR40,'Tally Helper'!$L$54:$GI$54,"&lt;="&amp;$BS40)))</f>
        <v/>
      </c>
      <c r="AP40" s="17" t="str">
        <f aca="false">IF(OR(T$7="",$BR40=""),"",IF('Tally Helper'!$B$57&lt;&gt;TRUE(),"not on Staff",SUMIFS('Tally Helper'!$L$59:$GI$59,'Tally Helper'!$L$57:$GI$57,"&gt;="&amp;$BR40,'Tally Helper'!$L$57:$GI$57,"&lt;="&amp;$BS40)))</f>
        <v/>
      </c>
      <c r="AQ40" s="17" t="str">
        <f aca="false">IF(OR(U$7="",$BR40=""),"",IF('Tally Helper'!$B$60&lt;&gt;TRUE(),"not on Staff",SUMIFS('Tally Helper'!$L$62:$GI$62,'Tally Helper'!$L$60:$GI$60,"&gt;="&amp;$BR40,'Tally Helper'!$L$60:$GI$60,"&lt;="&amp;$BS40)))</f>
        <v/>
      </c>
      <c r="AT40" s="17" t="str">
        <f aca="false">IF(OR(X40="",NOT(ISNUMBER(X40))),"",X40-N(B40))</f>
        <v/>
      </c>
      <c r="AU40" s="17" t="str">
        <f aca="false">IF(OR(Y40="",NOT(ISNUMBER(Y40))),"",Y40-N(C40))</f>
        <v/>
      </c>
      <c r="AV40" s="17" t="str">
        <f aca="false">IF(OR(Z40="",NOT(ISNUMBER(Z40))),"",Z40-N(D40))</f>
        <v/>
      </c>
      <c r="AW40" s="17" t="str">
        <f aca="false">IF(OR(AA40="",NOT(ISNUMBER(AA40))),"",AA40-N(E40))</f>
        <v/>
      </c>
      <c r="AX40" s="17" t="str">
        <f aca="false">IF(OR(AB40="",NOT(ISNUMBER(AB40))),"",AB40-N(F40))</f>
        <v/>
      </c>
      <c r="AY40" s="17" t="str">
        <f aca="false">IF(OR(AC40="",NOT(ISNUMBER(AC40))),"",AC40-N(G40))</f>
        <v/>
      </c>
      <c r="AZ40" s="17" t="str">
        <f aca="false">IF(OR(AD40="",NOT(ISNUMBER(AD40))),"",AD40-N(H40))</f>
        <v/>
      </c>
      <c r="BA40" s="17" t="str">
        <f aca="false">IF(OR(AE40="",NOT(ISNUMBER(AE40))),"",AE40-N(I40))</f>
        <v/>
      </c>
      <c r="BB40" s="17" t="str">
        <f aca="false">IF(OR(AF40="",NOT(ISNUMBER(AF40))),"",AF40-N(J40))</f>
        <v/>
      </c>
      <c r="BC40" s="17" t="str">
        <f aca="false">IF(OR(AG40="",NOT(ISNUMBER(AG40))),"",AG40-N(K40))</f>
        <v/>
      </c>
      <c r="BD40" s="17" t="str">
        <f aca="false">IF(OR(AH40="",NOT(ISNUMBER(AH40))),"",AH40-N(L40))</f>
        <v/>
      </c>
      <c r="BE40" s="17" t="str">
        <f aca="false">IF(OR(AI40="",NOT(ISNUMBER(AI40))),"",AI40-N(M40))</f>
        <v/>
      </c>
      <c r="BF40" s="17" t="str">
        <f aca="false">IF(OR(AJ40="",NOT(ISNUMBER(AJ40))),"",AJ40-N(N40))</f>
        <v/>
      </c>
      <c r="BG40" s="17" t="str">
        <f aca="false">IF(OR(AK40="",NOT(ISNUMBER(AK40))),"",AK40-N(O40))</f>
        <v/>
      </c>
      <c r="BH40" s="17" t="str">
        <f aca="false">IF(OR(AL40="",NOT(ISNUMBER(AL40))),"",AL40-N(P40))</f>
        <v/>
      </c>
      <c r="BI40" s="17" t="str">
        <f aca="false">IF(OR(AM40="",NOT(ISNUMBER(AM40))),"",AM40-N(Q40))</f>
        <v/>
      </c>
      <c r="BJ40" s="17" t="str">
        <f aca="false">IF(OR(AN40="",NOT(ISNUMBER(AN40))),"",AN40-N(R40))</f>
        <v/>
      </c>
      <c r="BK40" s="17" t="str">
        <f aca="false">IF(OR(AO40="",NOT(ISNUMBER(AO40))),"",AO40-N(S40))</f>
        <v/>
      </c>
      <c r="BL40" s="17" t="str">
        <f aca="false">IF(OR(AP40="",NOT(ISNUMBER(AP40))),"",AP40-N(T40))</f>
        <v/>
      </c>
      <c r="BM40" s="17" t="str">
        <f aca="false">IF(OR(AQ40="",NOT(ISNUMBER(AQ40))),"",AQ40-N(U40))</f>
        <v/>
      </c>
      <c r="BR40" s="20" t="str">
        <f aca="false">IF($A40="","",IF(ISNUMBER($A40),DATE(YEAR($A40),MONTH($A40),1),IFERROR(DATE(2000+VALUE(RIGHT(TRIM($A40),2)),MATCH(UPPER(LEFT(TRIM($A40),3)),{"JAN","FEB","MAR","APR","MAY","JUN","JUL","AUG","SEP","OCT","NOV","DEC"},0),1),"")))</f>
        <v/>
      </c>
      <c r="BS40" s="20" t="str">
        <f aca="false">IF(BR40="","",EOMONTH(BR40,0))</f>
        <v/>
      </c>
    </row>
    <row r="41" customFormat="false" ht="15" hidden="false" customHeight="false" outlineLevel="0" collapsed="false">
      <c r="B41" s="21"/>
      <c r="C41" s="21"/>
      <c r="D41" s="21"/>
      <c r="E41" s="21"/>
      <c r="F41" s="21"/>
      <c r="G41" s="21"/>
      <c r="H41" s="21"/>
      <c r="I41" s="21"/>
      <c r="J41" s="21"/>
      <c r="K41" s="21"/>
      <c r="L41" s="21"/>
      <c r="M41" s="21"/>
      <c r="N41" s="21"/>
      <c r="O41" s="21"/>
      <c r="P41" s="21"/>
      <c r="Q41" s="21"/>
      <c r="R41" s="21"/>
      <c r="S41" s="21"/>
      <c r="T41" s="21"/>
      <c r="U41" s="21"/>
      <c r="X41" s="17" t="str">
        <f aca="false">IF(OR(B$7="",$BR41=""),"",IF('Tally Helper'!$B$3&lt;&gt;TRUE(),"not on Staff",SUMIFS('Tally Helper'!$L$5:$GI$5,'Tally Helper'!$L$3:$GI$3,"&gt;="&amp;$BR41,'Tally Helper'!$L$3:$GI$3,"&lt;="&amp;$BS41)))</f>
        <v/>
      </c>
      <c r="Y41" s="17" t="str">
        <f aca="false">IF(OR(C$7="",$BR41=""),"",IF('Tally Helper'!$B$6&lt;&gt;TRUE(),"not on Staff",SUMIFS('Tally Helper'!$L$8:$GI$8,'Tally Helper'!$L$6:$GI$6,"&gt;="&amp;$BR41,'Tally Helper'!$L$6:$GI$6,"&lt;="&amp;$BS41)))</f>
        <v/>
      </c>
      <c r="Z41" s="17" t="str">
        <f aca="false">IF(OR(D$7="",$BR41=""),"",IF('Tally Helper'!$B$9&lt;&gt;TRUE(),"not on Staff",SUMIFS('Tally Helper'!$L$11:$GI$11,'Tally Helper'!$L$9:$GI$9,"&gt;="&amp;$BR41,'Tally Helper'!$L$9:$GI$9,"&lt;="&amp;$BS41)))</f>
        <v/>
      </c>
      <c r="AA41" s="17" t="str">
        <f aca="false">IF(OR(E$7="",$BR41=""),"",IF('Tally Helper'!$B$12&lt;&gt;TRUE(),"not on Staff",SUMIFS('Tally Helper'!$L$14:$GI$14,'Tally Helper'!$L$12:$GI$12,"&gt;="&amp;$BR41,'Tally Helper'!$L$12:$GI$12,"&lt;="&amp;$BS41)))</f>
        <v/>
      </c>
      <c r="AB41" s="17" t="str">
        <f aca="false">IF(OR(F$7="",$BR41=""),"",IF('Tally Helper'!$B$15&lt;&gt;TRUE(),"not on Staff",SUMIFS('Tally Helper'!$L$17:$GI$17,'Tally Helper'!$L$15:$GI$15,"&gt;="&amp;$BR41,'Tally Helper'!$L$15:$GI$15,"&lt;="&amp;$BS41)))</f>
        <v/>
      </c>
      <c r="AC41" s="17" t="str">
        <f aca="false">IF(OR(G$7="",$BR41=""),"",IF('Tally Helper'!$B$18&lt;&gt;TRUE(),"not on Staff",SUMIFS('Tally Helper'!$L$20:$GI$20,'Tally Helper'!$L$18:$GI$18,"&gt;="&amp;$BR41,'Tally Helper'!$L$18:$GI$18,"&lt;="&amp;$BS41)))</f>
        <v/>
      </c>
      <c r="AD41" s="17" t="str">
        <f aca="false">IF(OR(H$7="",$BR41=""),"",IF('Tally Helper'!$B$21&lt;&gt;TRUE(),"not on Staff",SUMIFS('Tally Helper'!$L$23:$GI$23,'Tally Helper'!$L$21:$GI$21,"&gt;="&amp;$BR41,'Tally Helper'!$L$21:$GI$21,"&lt;="&amp;$BS41)))</f>
        <v/>
      </c>
      <c r="AE41" s="17" t="str">
        <f aca="false">IF(OR(I$7="",$BR41=""),"",IF('Tally Helper'!$B$24&lt;&gt;TRUE(),"not on Staff",SUMIFS('Tally Helper'!$L$26:$GI$26,'Tally Helper'!$L$24:$GI$24,"&gt;="&amp;$BR41,'Tally Helper'!$L$24:$GI$24,"&lt;="&amp;$BS41)))</f>
        <v/>
      </c>
      <c r="AF41" s="17" t="str">
        <f aca="false">IF(OR(J$7="",$BR41=""),"",IF('Tally Helper'!$B$27&lt;&gt;TRUE(),"not on Staff",SUMIFS('Tally Helper'!$L$29:$GI$29,'Tally Helper'!$L$27:$GI$27,"&gt;="&amp;$BR41,'Tally Helper'!$L$27:$GI$27,"&lt;="&amp;$BS41)))</f>
        <v/>
      </c>
      <c r="AG41" s="17" t="str">
        <f aca="false">IF(OR(K$7="",$BR41=""),"",IF('Tally Helper'!$B$30&lt;&gt;TRUE(),"not on Staff",SUMIFS('Tally Helper'!$L$32:$GI$32,'Tally Helper'!$L$30:$GI$30,"&gt;="&amp;$BR41,'Tally Helper'!$L$30:$GI$30,"&lt;="&amp;$BS41)))</f>
        <v/>
      </c>
      <c r="AH41" s="17" t="str">
        <f aca="false">IF(OR(L$7="",$BR41=""),"",IF('Tally Helper'!$B$33&lt;&gt;TRUE(),"not on Staff",SUMIFS('Tally Helper'!$L$35:$GI$35,'Tally Helper'!$L$33:$GI$33,"&gt;="&amp;$BR41,'Tally Helper'!$L$33:$GI$33,"&lt;="&amp;$BS41)))</f>
        <v/>
      </c>
      <c r="AI41" s="17" t="str">
        <f aca="false">IF(OR(M$7="",$BR41=""),"",IF('Tally Helper'!$B$36&lt;&gt;TRUE(),"not on Staff",SUMIFS('Tally Helper'!$L$38:$GI$38,'Tally Helper'!$L$36:$GI$36,"&gt;="&amp;$BR41,'Tally Helper'!$L$36:$GI$36,"&lt;="&amp;$BS41)))</f>
        <v/>
      </c>
      <c r="AJ41" s="17" t="str">
        <f aca="false">IF(OR(N$7="",$BR41=""),"",IF('Tally Helper'!$B$39&lt;&gt;TRUE(),"not on Staff",SUMIFS('Tally Helper'!$L$41:$GI$41,'Tally Helper'!$L$39:$GI$39,"&gt;="&amp;$BR41,'Tally Helper'!$L$39:$GI$39,"&lt;="&amp;$BS41)))</f>
        <v/>
      </c>
      <c r="AK41" s="17" t="str">
        <f aca="false">IF(OR(O$7="",$BR41=""),"",IF('Tally Helper'!$B$42&lt;&gt;TRUE(),"not on Staff",SUMIFS('Tally Helper'!$L$44:$GI$44,'Tally Helper'!$L$42:$GI$42,"&gt;="&amp;$BR41,'Tally Helper'!$L$42:$GI$42,"&lt;="&amp;$BS41)))</f>
        <v/>
      </c>
      <c r="AL41" s="17" t="str">
        <f aca="false">IF(OR(P$7="",$BR41=""),"",IF('Tally Helper'!$B$45&lt;&gt;TRUE(),"not on Staff",SUMIFS('Tally Helper'!$L$47:$GI$47,'Tally Helper'!$L$45:$GI$45,"&gt;="&amp;$BR41,'Tally Helper'!$L$45:$GI$45,"&lt;="&amp;$BS41)))</f>
        <v/>
      </c>
      <c r="AM41" s="17" t="str">
        <f aca="false">IF(OR(Q$7="",$BR41=""),"",IF('Tally Helper'!$B$48&lt;&gt;TRUE(),"not on Staff",SUMIFS('Tally Helper'!$L$50:$GI$50,'Tally Helper'!$L$48:$GI$48,"&gt;="&amp;$BR41,'Tally Helper'!$L$48:$GI$48,"&lt;="&amp;$BS41)))</f>
        <v/>
      </c>
      <c r="AN41" s="17" t="str">
        <f aca="false">IF(OR(R$7="",$BR41=""),"",IF('Tally Helper'!$B$51&lt;&gt;TRUE(),"not on Staff",SUMIFS('Tally Helper'!$L$53:$GI$53,'Tally Helper'!$L$51:$GI$51,"&gt;="&amp;$BR41,'Tally Helper'!$L$51:$GI$51,"&lt;="&amp;$BS41)))</f>
        <v/>
      </c>
      <c r="AO41" s="17" t="str">
        <f aca="false">IF(OR(S$7="",$BR41=""),"",IF('Tally Helper'!$B$54&lt;&gt;TRUE(),"not on Staff",SUMIFS('Tally Helper'!$L$56:$GI$56,'Tally Helper'!$L$54:$GI$54,"&gt;="&amp;$BR41,'Tally Helper'!$L$54:$GI$54,"&lt;="&amp;$BS41)))</f>
        <v/>
      </c>
      <c r="AP41" s="17" t="str">
        <f aca="false">IF(OR(T$7="",$BR41=""),"",IF('Tally Helper'!$B$57&lt;&gt;TRUE(),"not on Staff",SUMIFS('Tally Helper'!$L$59:$GI$59,'Tally Helper'!$L$57:$GI$57,"&gt;="&amp;$BR41,'Tally Helper'!$L$57:$GI$57,"&lt;="&amp;$BS41)))</f>
        <v/>
      </c>
      <c r="AQ41" s="17" t="str">
        <f aca="false">IF(OR(U$7="",$BR41=""),"",IF('Tally Helper'!$B$60&lt;&gt;TRUE(),"not on Staff",SUMIFS('Tally Helper'!$L$62:$GI$62,'Tally Helper'!$L$60:$GI$60,"&gt;="&amp;$BR41,'Tally Helper'!$L$60:$GI$60,"&lt;="&amp;$BS41)))</f>
        <v/>
      </c>
      <c r="AT41" s="17" t="str">
        <f aca="false">IF(OR(X41="",NOT(ISNUMBER(X41))),"",X41-N(B41))</f>
        <v/>
      </c>
      <c r="AU41" s="17" t="str">
        <f aca="false">IF(OR(Y41="",NOT(ISNUMBER(Y41))),"",Y41-N(C41))</f>
        <v/>
      </c>
      <c r="AV41" s="17" t="str">
        <f aca="false">IF(OR(Z41="",NOT(ISNUMBER(Z41))),"",Z41-N(D41))</f>
        <v/>
      </c>
      <c r="AW41" s="17" t="str">
        <f aca="false">IF(OR(AA41="",NOT(ISNUMBER(AA41))),"",AA41-N(E41))</f>
        <v/>
      </c>
      <c r="AX41" s="17" t="str">
        <f aca="false">IF(OR(AB41="",NOT(ISNUMBER(AB41))),"",AB41-N(F41))</f>
        <v/>
      </c>
      <c r="AY41" s="17" t="str">
        <f aca="false">IF(OR(AC41="",NOT(ISNUMBER(AC41))),"",AC41-N(G41))</f>
        <v/>
      </c>
      <c r="AZ41" s="17" t="str">
        <f aca="false">IF(OR(AD41="",NOT(ISNUMBER(AD41))),"",AD41-N(H41))</f>
        <v/>
      </c>
      <c r="BA41" s="17" t="str">
        <f aca="false">IF(OR(AE41="",NOT(ISNUMBER(AE41))),"",AE41-N(I41))</f>
        <v/>
      </c>
      <c r="BB41" s="17" t="str">
        <f aca="false">IF(OR(AF41="",NOT(ISNUMBER(AF41))),"",AF41-N(J41))</f>
        <v/>
      </c>
      <c r="BC41" s="17" t="str">
        <f aca="false">IF(OR(AG41="",NOT(ISNUMBER(AG41))),"",AG41-N(K41))</f>
        <v/>
      </c>
      <c r="BD41" s="17" t="str">
        <f aca="false">IF(OR(AH41="",NOT(ISNUMBER(AH41))),"",AH41-N(L41))</f>
        <v/>
      </c>
      <c r="BE41" s="17" t="str">
        <f aca="false">IF(OR(AI41="",NOT(ISNUMBER(AI41))),"",AI41-N(M41))</f>
        <v/>
      </c>
      <c r="BF41" s="17" t="str">
        <f aca="false">IF(OR(AJ41="",NOT(ISNUMBER(AJ41))),"",AJ41-N(N41))</f>
        <v/>
      </c>
      <c r="BG41" s="17" t="str">
        <f aca="false">IF(OR(AK41="",NOT(ISNUMBER(AK41))),"",AK41-N(O41))</f>
        <v/>
      </c>
      <c r="BH41" s="17" t="str">
        <f aca="false">IF(OR(AL41="",NOT(ISNUMBER(AL41))),"",AL41-N(P41))</f>
        <v/>
      </c>
      <c r="BI41" s="17" t="str">
        <f aca="false">IF(OR(AM41="",NOT(ISNUMBER(AM41))),"",AM41-N(Q41))</f>
        <v/>
      </c>
      <c r="BJ41" s="17" t="str">
        <f aca="false">IF(OR(AN41="",NOT(ISNUMBER(AN41))),"",AN41-N(R41))</f>
        <v/>
      </c>
      <c r="BK41" s="17" t="str">
        <f aca="false">IF(OR(AO41="",NOT(ISNUMBER(AO41))),"",AO41-N(S41))</f>
        <v/>
      </c>
      <c r="BL41" s="17" t="str">
        <f aca="false">IF(OR(AP41="",NOT(ISNUMBER(AP41))),"",AP41-N(T41))</f>
        <v/>
      </c>
      <c r="BM41" s="17" t="str">
        <f aca="false">IF(OR(AQ41="",NOT(ISNUMBER(AQ41))),"",AQ41-N(U41))</f>
        <v/>
      </c>
      <c r="BR41" s="20" t="str">
        <f aca="false">IF($A41="","",IF(ISNUMBER($A41),DATE(YEAR($A41),MONTH($A41),1),IFERROR(DATE(2000+VALUE(RIGHT(TRIM($A41),2)),MATCH(UPPER(LEFT(TRIM($A41),3)),{"JAN","FEB","MAR","APR","MAY","JUN","JUL","AUG","SEP","OCT","NOV","DEC"},0),1),"")))</f>
        <v/>
      </c>
      <c r="BS41" s="20" t="str">
        <f aca="false">IF(BR41="","",EOMONTH(BR41,0))</f>
        <v/>
      </c>
    </row>
    <row r="42" customFormat="false" ht="15" hidden="false" customHeight="false" outlineLevel="0" collapsed="false">
      <c r="B42" s="21"/>
      <c r="C42" s="21"/>
      <c r="D42" s="21"/>
      <c r="E42" s="21"/>
      <c r="F42" s="21"/>
      <c r="G42" s="21"/>
      <c r="H42" s="21"/>
      <c r="I42" s="21"/>
      <c r="J42" s="21"/>
      <c r="K42" s="21"/>
      <c r="L42" s="21"/>
      <c r="M42" s="21"/>
      <c r="N42" s="21"/>
      <c r="O42" s="21"/>
      <c r="P42" s="21"/>
      <c r="Q42" s="21"/>
      <c r="R42" s="21"/>
      <c r="S42" s="21"/>
      <c r="T42" s="21"/>
      <c r="U42" s="21"/>
      <c r="X42" s="17" t="str">
        <f aca="false">IF(OR(B$7="",$BR42=""),"",IF('Tally Helper'!$B$3&lt;&gt;TRUE(),"not on Staff",SUMIFS('Tally Helper'!$L$5:$GI$5,'Tally Helper'!$L$3:$GI$3,"&gt;="&amp;$BR42,'Tally Helper'!$L$3:$GI$3,"&lt;="&amp;$BS42)))</f>
        <v/>
      </c>
      <c r="Y42" s="17" t="str">
        <f aca="false">IF(OR(C$7="",$BR42=""),"",IF('Tally Helper'!$B$6&lt;&gt;TRUE(),"not on Staff",SUMIFS('Tally Helper'!$L$8:$GI$8,'Tally Helper'!$L$6:$GI$6,"&gt;="&amp;$BR42,'Tally Helper'!$L$6:$GI$6,"&lt;="&amp;$BS42)))</f>
        <v/>
      </c>
      <c r="Z42" s="17" t="str">
        <f aca="false">IF(OR(D$7="",$BR42=""),"",IF('Tally Helper'!$B$9&lt;&gt;TRUE(),"not on Staff",SUMIFS('Tally Helper'!$L$11:$GI$11,'Tally Helper'!$L$9:$GI$9,"&gt;="&amp;$BR42,'Tally Helper'!$L$9:$GI$9,"&lt;="&amp;$BS42)))</f>
        <v/>
      </c>
      <c r="AA42" s="17" t="str">
        <f aca="false">IF(OR(E$7="",$BR42=""),"",IF('Tally Helper'!$B$12&lt;&gt;TRUE(),"not on Staff",SUMIFS('Tally Helper'!$L$14:$GI$14,'Tally Helper'!$L$12:$GI$12,"&gt;="&amp;$BR42,'Tally Helper'!$L$12:$GI$12,"&lt;="&amp;$BS42)))</f>
        <v/>
      </c>
      <c r="AB42" s="17" t="str">
        <f aca="false">IF(OR(F$7="",$BR42=""),"",IF('Tally Helper'!$B$15&lt;&gt;TRUE(),"not on Staff",SUMIFS('Tally Helper'!$L$17:$GI$17,'Tally Helper'!$L$15:$GI$15,"&gt;="&amp;$BR42,'Tally Helper'!$L$15:$GI$15,"&lt;="&amp;$BS42)))</f>
        <v/>
      </c>
      <c r="AC42" s="17" t="str">
        <f aca="false">IF(OR(G$7="",$BR42=""),"",IF('Tally Helper'!$B$18&lt;&gt;TRUE(),"not on Staff",SUMIFS('Tally Helper'!$L$20:$GI$20,'Tally Helper'!$L$18:$GI$18,"&gt;="&amp;$BR42,'Tally Helper'!$L$18:$GI$18,"&lt;="&amp;$BS42)))</f>
        <v/>
      </c>
      <c r="AD42" s="17" t="str">
        <f aca="false">IF(OR(H$7="",$BR42=""),"",IF('Tally Helper'!$B$21&lt;&gt;TRUE(),"not on Staff",SUMIFS('Tally Helper'!$L$23:$GI$23,'Tally Helper'!$L$21:$GI$21,"&gt;="&amp;$BR42,'Tally Helper'!$L$21:$GI$21,"&lt;="&amp;$BS42)))</f>
        <v/>
      </c>
      <c r="AE42" s="17" t="str">
        <f aca="false">IF(OR(I$7="",$BR42=""),"",IF('Tally Helper'!$B$24&lt;&gt;TRUE(),"not on Staff",SUMIFS('Tally Helper'!$L$26:$GI$26,'Tally Helper'!$L$24:$GI$24,"&gt;="&amp;$BR42,'Tally Helper'!$L$24:$GI$24,"&lt;="&amp;$BS42)))</f>
        <v/>
      </c>
      <c r="AF42" s="17" t="str">
        <f aca="false">IF(OR(J$7="",$BR42=""),"",IF('Tally Helper'!$B$27&lt;&gt;TRUE(),"not on Staff",SUMIFS('Tally Helper'!$L$29:$GI$29,'Tally Helper'!$L$27:$GI$27,"&gt;="&amp;$BR42,'Tally Helper'!$L$27:$GI$27,"&lt;="&amp;$BS42)))</f>
        <v/>
      </c>
      <c r="AG42" s="17" t="str">
        <f aca="false">IF(OR(K$7="",$BR42=""),"",IF('Tally Helper'!$B$30&lt;&gt;TRUE(),"not on Staff",SUMIFS('Tally Helper'!$L$32:$GI$32,'Tally Helper'!$L$30:$GI$30,"&gt;="&amp;$BR42,'Tally Helper'!$L$30:$GI$30,"&lt;="&amp;$BS42)))</f>
        <v/>
      </c>
      <c r="AH42" s="17" t="str">
        <f aca="false">IF(OR(L$7="",$BR42=""),"",IF('Tally Helper'!$B$33&lt;&gt;TRUE(),"not on Staff",SUMIFS('Tally Helper'!$L$35:$GI$35,'Tally Helper'!$L$33:$GI$33,"&gt;="&amp;$BR42,'Tally Helper'!$L$33:$GI$33,"&lt;="&amp;$BS42)))</f>
        <v/>
      </c>
      <c r="AI42" s="17" t="str">
        <f aca="false">IF(OR(M$7="",$BR42=""),"",IF('Tally Helper'!$B$36&lt;&gt;TRUE(),"not on Staff",SUMIFS('Tally Helper'!$L$38:$GI$38,'Tally Helper'!$L$36:$GI$36,"&gt;="&amp;$BR42,'Tally Helper'!$L$36:$GI$36,"&lt;="&amp;$BS42)))</f>
        <v/>
      </c>
      <c r="AJ42" s="17" t="str">
        <f aca="false">IF(OR(N$7="",$BR42=""),"",IF('Tally Helper'!$B$39&lt;&gt;TRUE(),"not on Staff",SUMIFS('Tally Helper'!$L$41:$GI$41,'Tally Helper'!$L$39:$GI$39,"&gt;="&amp;$BR42,'Tally Helper'!$L$39:$GI$39,"&lt;="&amp;$BS42)))</f>
        <v/>
      </c>
      <c r="AK42" s="17" t="str">
        <f aca="false">IF(OR(O$7="",$BR42=""),"",IF('Tally Helper'!$B$42&lt;&gt;TRUE(),"not on Staff",SUMIFS('Tally Helper'!$L$44:$GI$44,'Tally Helper'!$L$42:$GI$42,"&gt;="&amp;$BR42,'Tally Helper'!$L$42:$GI$42,"&lt;="&amp;$BS42)))</f>
        <v/>
      </c>
      <c r="AL42" s="17" t="str">
        <f aca="false">IF(OR(P$7="",$BR42=""),"",IF('Tally Helper'!$B$45&lt;&gt;TRUE(),"not on Staff",SUMIFS('Tally Helper'!$L$47:$GI$47,'Tally Helper'!$L$45:$GI$45,"&gt;="&amp;$BR42,'Tally Helper'!$L$45:$GI$45,"&lt;="&amp;$BS42)))</f>
        <v/>
      </c>
      <c r="AM42" s="17" t="str">
        <f aca="false">IF(OR(Q$7="",$BR42=""),"",IF('Tally Helper'!$B$48&lt;&gt;TRUE(),"not on Staff",SUMIFS('Tally Helper'!$L$50:$GI$50,'Tally Helper'!$L$48:$GI$48,"&gt;="&amp;$BR42,'Tally Helper'!$L$48:$GI$48,"&lt;="&amp;$BS42)))</f>
        <v/>
      </c>
      <c r="AN42" s="17" t="str">
        <f aca="false">IF(OR(R$7="",$BR42=""),"",IF('Tally Helper'!$B$51&lt;&gt;TRUE(),"not on Staff",SUMIFS('Tally Helper'!$L$53:$GI$53,'Tally Helper'!$L$51:$GI$51,"&gt;="&amp;$BR42,'Tally Helper'!$L$51:$GI$51,"&lt;="&amp;$BS42)))</f>
        <v/>
      </c>
      <c r="AO42" s="17" t="str">
        <f aca="false">IF(OR(S$7="",$BR42=""),"",IF('Tally Helper'!$B$54&lt;&gt;TRUE(),"not on Staff",SUMIFS('Tally Helper'!$L$56:$GI$56,'Tally Helper'!$L$54:$GI$54,"&gt;="&amp;$BR42,'Tally Helper'!$L$54:$GI$54,"&lt;="&amp;$BS42)))</f>
        <v/>
      </c>
      <c r="AP42" s="17" t="str">
        <f aca="false">IF(OR(T$7="",$BR42=""),"",IF('Tally Helper'!$B$57&lt;&gt;TRUE(),"not on Staff",SUMIFS('Tally Helper'!$L$59:$GI$59,'Tally Helper'!$L$57:$GI$57,"&gt;="&amp;$BR42,'Tally Helper'!$L$57:$GI$57,"&lt;="&amp;$BS42)))</f>
        <v/>
      </c>
      <c r="AQ42" s="17" t="str">
        <f aca="false">IF(OR(U$7="",$BR42=""),"",IF('Tally Helper'!$B$60&lt;&gt;TRUE(),"not on Staff",SUMIFS('Tally Helper'!$L$62:$GI$62,'Tally Helper'!$L$60:$GI$60,"&gt;="&amp;$BR42,'Tally Helper'!$L$60:$GI$60,"&lt;="&amp;$BS42)))</f>
        <v/>
      </c>
      <c r="AT42" s="17" t="str">
        <f aca="false">IF(OR(X42="",NOT(ISNUMBER(X42))),"",X42-N(B42))</f>
        <v/>
      </c>
      <c r="AU42" s="17" t="str">
        <f aca="false">IF(OR(Y42="",NOT(ISNUMBER(Y42))),"",Y42-N(C42))</f>
        <v/>
      </c>
      <c r="AV42" s="17" t="str">
        <f aca="false">IF(OR(Z42="",NOT(ISNUMBER(Z42))),"",Z42-N(D42))</f>
        <v/>
      </c>
      <c r="AW42" s="17" t="str">
        <f aca="false">IF(OR(AA42="",NOT(ISNUMBER(AA42))),"",AA42-N(E42))</f>
        <v/>
      </c>
      <c r="AX42" s="17" t="str">
        <f aca="false">IF(OR(AB42="",NOT(ISNUMBER(AB42))),"",AB42-N(F42))</f>
        <v/>
      </c>
      <c r="AY42" s="17" t="str">
        <f aca="false">IF(OR(AC42="",NOT(ISNUMBER(AC42))),"",AC42-N(G42))</f>
        <v/>
      </c>
      <c r="AZ42" s="17" t="str">
        <f aca="false">IF(OR(AD42="",NOT(ISNUMBER(AD42))),"",AD42-N(H42))</f>
        <v/>
      </c>
      <c r="BA42" s="17" t="str">
        <f aca="false">IF(OR(AE42="",NOT(ISNUMBER(AE42))),"",AE42-N(I42))</f>
        <v/>
      </c>
      <c r="BB42" s="17" t="str">
        <f aca="false">IF(OR(AF42="",NOT(ISNUMBER(AF42))),"",AF42-N(J42))</f>
        <v/>
      </c>
      <c r="BC42" s="17" t="str">
        <f aca="false">IF(OR(AG42="",NOT(ISNUMBER(AG42))),"",AG42-N(K42))</f>
        <v/>
      </c>
      <c r="BD42" s="17" t="str">
        <f aca="false">IF(OR(AH42="",NOT(ISNUMBER(AH42))),"",AH42-N(L42))</f>
        <v/>
      </c>
      <c r="BE42" s="17" t="str">
        <f aca="false">IF(OR(AI42="",NOT(ISNUMBER(AI42))),"",AI42-N(M42))</f>
        <v/>
      </c>
      <c r="BF42" s="17" t="str">
        <f aca="false">IF(OR(AJ42="",NOT(ISNUMBER(AJ42))),"",AJ42-N(N42))</f>
        <v/>
      </c>
      <c r="BG42" s="17" t="str">
        <f aca="false">IF(OR(AK42="",NOT(ISNUMBER(AK42))),"",AK42-N(O42))</f>
        <v/>
      </c>
      <c r="BH42" s="17" t="str">
        <f aca="false">IF(OR(AL42="",NOT(ISNUMBER(AL42))),"",AL42-N(P42))</f>
        <v/>
      </c>
      <c r="BI42" s="17" t="str">
        <f aca="false">IF(OR(AM42="",NOT(ISNUMBER(AM42))),"",AM42-N(Q42))</f>
        <v/>
      </c>
      <c r="BJ42" s="17" t="str">
        <f aca="false">IF(OR(AN42="",NOT(ISNUMBER(AN42))),"",AN42-N(R42))</f>
        <v/>
      </c>
      <c r="BK42" s="17" t="str">
        <f aca="false">IF(OR(AO42="",NOT(ISNUMBER(AO42))),"",AO42-N(S42))</f>
        <v/>
      </c>
      <c r="BL42" s="17" t="str">
        <f aca="false">IF(OR(AP42="",NOT(ISNUMBER(AP42))),"",AP42-N(T42))</f>
        <v/>
      </c>
      <c r="BM42" s="17" t="str">
        <f aca="false">IF(OR(AQ42="",NOT(ISNUMBER(AQ42))),"",AQ42-N(U42))</f>
        <v/>
      </c>
      <c r="BR42" s="20" t="str">
        <f aca="false">IF($A42="","",IF(ISNUMBER($A42),DATE(YEAR($A42),MONTH($A42),1),IFERROR(DATE(2000+VALUE(RIGHT(TRIM($A42),2)),MATCH(UPPER(LEFT(TRIM($A42),3)),{"JAN","FEB","MAR","APR","MAY","JUN","JUL","AUG","SEP","OCT","NOV","DEC"},0),1),"")))</f>
        <v/>
      </c>
      <c r="BS42" s="20" t="str">
        <f aca="false">IF(BR42="","",EOMONTH(BR42,0))</f>
        <v/>
      </c>
    </row>
    <row r="43" customFormat="false" ht="15" hidden="false" customHeight="false" outlineLevel="0" collapsed="false">
      <c r="B43" s="21"/>
      <c r="C43" s="21"/>
      <c r="D43" s="21"/>
      <c r="E43" s="21"/>
      <c r="F43" s="21"/>
      <c r="G43" s="21"/>
      <c r="H43" s="21"/>
      <c r="I43" s="21"/>
      <c r="J43" s="21"/>
      <c r="K43" s="21"/>
      <c r="L43" s="21"/>
      <c r="M43" s="21"/>
      <c r="N43" s="21"/>
      <c r="O43" s="21"/>
      <c r="P43" s="21"/>
      <c r="Q43" s="21"/>
      <c r="R43" s="21"/>
      <c r="S43" s="21"/>
      <c r="T43" s="21"/>
      <c r="U43" s="21"/>
      <c r="X43" s="17" t="str">
        <f aca="false">IF(OR(B$7="",$BR43=""),"",IF('Tally Helper'!$B$3&lt;&gt;TRUE(),"not on Staff",SUMIFS('Tally Helper'!$L$5:$GI$5,'Tally Helper'!$L$3:$GI$3,"&gt;="&amp;$BR43,'Tally Helper'!$L$3:$GI$3,"&lt;="&amp;$BS43)))</f>
        <v/>
      </c>
      <c r="Y43" s="17" t="str">
        <f aca="false">IF(OR(C$7="",$BR43=""),"",IF('Tally Helper'!$B$6&lt;&gt;TRUE(),"not on Staff",SUMIFS('Tally Helper'!$L$8:$GI$8,'Tally Helper'!$L$6:$GI$6,"&gt;="&amp;$BR43,'Tally Helper'!$L$6:$GI$6,"&lt;="&amp;$BS43)))</f>
        <v/>
      </c>
      <c r="Z43" s="17" t="str">
        <f aca="false">IF(OR(D$7="",$BR43=""),"",IF('Tally Helper'!$B$9&lt;&gt;TRUE(),"not on Staff",SUMIFS('Tally Helper'!$L$11:$GI$11,'Tally Helper'!$L$9:$GI$9,"&gt;="&amp;$BR43,'Tally Helper'!$L$9:$GI$9,"&lt;="&amp;$BS43)))</f>
        <v/>
      </c>
      <c r="AA43" s="17" t="str">
        <f aca="false">IF(OR(E$7="",$BR43=""),"",IF('Tally Helper'!$B$12&lt;&gt;TRUE(),"not on Staff",SUMIFS('Tally Helper'!$L$14:$GI$14,'Tally Helper'!$L$12:$GI$12,"&gt;="&amp;$BR43,'Tally Helper'!$L$12:$GI$12,"&lt;="&amp;$BS43)))</f>
        <v/>
      </c>
      <c r="AB43" s="17" t="str">
        <f aca="false">IF(OR(F$7="",$BR43=""),"",IF('Tally Helper'!$B$15&lt;&gt;TRUE(),"not on Staff",SUMIFS('Tally Helper'!$L$17:$GI$17,'Tally Helper'!$L$15:$GI$15,"&gt;="&amp;$BR43,'Tally Helper'!$L$15:$GI$15,"&lt;="&amp;$BS43)))</f>
        <v/>
      </c>
      <c r="AC43" s="17" t="str">
        <f aca="false">IF(OR(G$7="",$BR43=""),"",IF('Tally Helper'!$B$18&lt;&gt;TRUE(),"not on Staff",SUMIFS('Tally Helper'!$L$20:$GI$20,'Tally Helper'!$L$18:$GI$18,"&gt;="&amp;$BR43,'Tally Helper'!$L$18:$GI$18,"&lt;="&amp;$BS43)))</f>
        <v/>
      </c>
      <c r="AD43" s="17" t="str">
        <f aca="false">IF(OR(H$7="",$BR43=""),"",IF('Tally Helper'!$B$21&lt;&gt;TRUE(),"not on Staff",SUMIFS('Tally Helper'!$L$23:$GI$23,'Tally Helper'!$L$21:$GI$21,"&gt;="&amp;$BR43,'Tally Helper'!$L$21:$GI$21,"&lt;="&amp;$BS43)))</f>
        <v/>
      </c>
      <c r="AE43" s="17" t="str">
        <f aca="false">IF(OR(I$7="",$BR43=""),"",IF('Tally Helper'!$B$24&lt;&gt;TRUE(),"not on Staff",SUMIFS('Tally Helper'!$L$26:$GI$26,'Tally Helper'!$L$24:$GI$24,"&gt;="&amp;$BR43,'Tally Helper'!$L$24:$GI$24,"&lt;="&amp;$BS43)))</f>
        <v/>
      </c>
      <c r="AF43" s="17" t="str">
        <f aca="false">IF(OR(J$7="",$BR43=""),"",IF('Tally Helper'!$B$27&lt;&gt;TRUE(),"not on Staff",SUMIFS('Tally Helper'!$L$29:$GI$29,'Tally Helper'!$L$27:$GI$27,"&gt;="&amp;$BR43,'Tally Helper'!$L$27:$GI$27,"&lt;="&amp;$BS43)))</f>
        <v/>
      </c>
      <c r="AG43" s="17" t="str">
        <f aca="false">IF(OR(K$7="",$BR43=""),"",IF('Tally Helper'!$B$30&lt;&gt;TRUE(),"not on Staff",SUMIFS('Tally Helper'!$L$32:$GI$32,'Tally Helper'!$L$30:$GI$30,"&gt;="&amp;$BR43,'Tally Helper'!$L$30:$GI$30,"&lt;="&amp;$BS43)))</f>
        <v/>
      </c>
      <c r="AH43" s="17" t="str">
        <f aca="false">IF(OR(L$7="",$BR43=""),"",IF('Tally Helper'!$B$33&lt;&gt;TRUE(),"not on Staff",SUMIFS('Tally Helper'!$L$35:$GI$35,'Tally Helper'!$L$33:$GI$33,"&gt;="&amp;$BR43,'Tally Helper'!$L$33:$GI$33,"&lt;="&amp;$BS43)))</f>
        <v/>
      </c>
      <c r="AI43" s="17" t="str">
        <f aca="false">IF(OR(M$7="",$BR43=""),"",IF('Tally Helper'!$B$36&lt;&gt;TRUE(),"not on Staff",SUMIFS('Tally Helper'!$L$38:$GI$38,'Tally Helper'!$L$36:$GI$36,"&gt;="&amp;$BR43,'Tally Helper'!$L$36:$GI$36,"&lt;="&amp;$BS43)))</f>
        <v/>
      </c>
      <c r="AJ43" s="17" t="str">
        <f aca="false">IF(OR(N$7="",$BR43=""),"",IF('Tally Helper'!$B$39&lt;&gt;TRUE(),"not on Staff",SUMIFS('Tally Helper'!$L$41:$GI$41,'Tally Helper'!$L$39:$GI$39,"&gt;="&amp;$BR43,'Tally Helper'!$L$39:$GI$39,"&lt;="&amp;$BS43)))</f>
        <v/>
      </c>
      <c r="AK43" s="17" t="str">
        <f aca="false">IF(OR(O$7="",$BR43=""),"",IF('Tally Helper'!$B$42&lt;&gt;TRUE(),"not on Staff",SUMIFS('Tally Helper'!$L$44:$GI$44,'Tally Helper'!$L$42:$GI$42,"&gt;="&amp;$BR43,'Tally Helper'!$L$42:$GI$42,"&lt;="&amp;$BS43)))</f>
        <v/>
      </c>
      <c r="AL43" s="17" t="str">
        <f aca="false">IF(OR(P$7="",$BR43=""),"",IF('Tally Helper'!$B$45&lt;&gt;TRUE(),"not on Staff",SUMIFS('Tally Helper'!$L$47:$GI$47,'Tally Helper'!$L$45:$GI$45,"&gt;="&amp;$BR43,'Tally Helper'!$L$45:$GI$45,"&lt;="&amp;$BS43)))</f>
        <v/>
      </c>
      <c r="AM43" s="17" t="str">
        <f aca="false">IF(OR(Q$7="",$BR43=""),"",IF('Tally Helper'!$B$48&lt;&gt;TRUE(),"not on Staff",SUMIFS('Tally Helper'!$L$50:$GI$50,'Tally Helper'!$L$48:$GI$48,"&gt;="&amp;$BR43,'Tally Helper'!$L$48:$GI$48,"&lt;="&amp;$BS43)))</f>
        <v/>
      </c>
      <c r="AN43" s="17" t="str">
        <f aca="false">IF(OR(R$7="",$BR43=""),"",IF('Tally Helper'!$B$51&lt;&gt;TRUE(),"not on Staff",SUMIFS('Tally Helper'!$L$53:$GI$53,'Tally Helper'!$L$51:$GI$51,"&gt;="&amp;$BR43,'Tally Helper'!$L$51:$GI$51,"&lt;="&amp;$BS43)))</f>
        <v/>
      </c>
      <c r="AO43" s="17" t="str">
        <f aca="false">IF(OR(S$7="",$BR43=""),"",IF('Tally Helper'!$B$54&lt;&gt;TRUE(),"not on Staff",SUMIFS('Tally Helper'!$L$56:$GI$56,'Tally Helper'!$L$54:$GI$54,"&gt;="&amp;$BR43,'Tally Helper'!$L$54:$GI$54,"&lt;="&amp;$BS43)))</f>
        <v/>
      </c>
      <c r="AP43" s="17" t="str">
        <f aca="false">IF(OR(T$7="",$BR43=""),"",IF('Tally Helper'!$B$57&lt;&gt;TRUE(),"not on Staff",SUMIFS('Tally Helper'!$L$59:$GI$59,'Tally Helper'!$L$57:$GI$57,"&gt;="&amp;$BR43,'Tally Helper'!$L$57:$GI$57,"&lt;="&amp;$BS43)))</f>
        <v/>
      </c>
      <c r="AQ43" s="17" t="str">
        <f aca="false">IF(OR(U$7="",$BR43=""),"",IF('Tally Helper'!$B$60&lt;&gt;TRUE(),"not on Staff",SUMIFS('Tally Helper'!$L$62:$GI$62,'Tally Helper'!$L$60:$GI$60,"&gt;="&amp;$BR43,'Tally Helper'!$L$60:$GI$60,"&lt;="&amp;$BS43)))</f>
        <v/>
      </c>
      <c r="AT43" s="17" t="str">
        <f aca="false">IF(OR(X43="",NOT(ISNUMBER(X43))),"",X43-N(B43))</f>
        <v/>
      </c>
      <c r="AU43" s="17" t="str">
        <f aca="false">IF(OR(Y43="",NOT(ISNUMBER(Y43))),"",Y43-N(C43))</f>
        <v/>
      </c>
      <c r="AV43" s="17" t="str">
        <f aca="false">IF(OR(Z43="",NOT(ISNUMBER(Z43))),"",Z43-N(D43))</f>
        <v/>
      </c>
      <c r="AW43" s="17" t="str">
        <f aca="false">IF(OR(AA43="",NOT(ISNUMBER(AA43))),"",AA43-N(E43))</f>
        <v/>
      </c>
      <c r="AX43" s="17" t="str">
        <f aca="false">IF(OR(AB43="",NOT(ISNUMBER(AB43))),"",AB43-N(F43))</f>
        <v/>
      </c>
      <c r="AY43" s="17" t="str">
        <f aca="false">IF(OR(AC43="",NOT(ISNUMBER(AC43))),"",AC43-N(G43))</f>
        <v/>
      </c>
      <c r="AZ43" s="17" t="str">
        <f aca="false">IF(OR(AD43="",NOT(ISNUMBER(AD43))),"",AD43-N(H43))</f>
        <v/>
      </c>
      <c r="BA43" s="17" t="str">
        <f aca="false">IF(OR(AE43="",NOT(ISNUMBER(AE43))),"",AE43-N(I43))</f>
        <v/>
      </c>
      <c r="BB43" s="17" t="str">
        <f aca="false">IF(OR(AF43="",NOT(ISNUMBER(AF43))),"",AF43-N(J43))</f>
        <v/>
      </c>
      <c r="BC43" s="17" t="str">
        <f aca="false">IF(OR(AG43="",NOT(ISNUMBER(AG43))),"",AG43-N(K43))</f>
        <v/>
      </c>
      <c r="BD43" s="17" t="str">
        <f aca="false">IF(OR(AH43="",NOT(ISNUMBER(AH43))),"",AH43-N(L43))</f>
        <v/>
      </c>
      <c r="BE43" s="17" t="str">
        <f aca="false">IF(OR(AI43="",NOT(ISNUMBER(AI43))),"",AI43-N(M43))</f>
        <v/>
      </c>
      <c r="BF43" s="17" t="str">
        <f aca="false">IF(OR(AJ43="",NOT(ISNUMBER(AJ43))),"",AJ43-N(N43))</f>
        <v/>
      </c>
      <c r="BG43" s="17" t="str">
        <f aca="false">IF(OR(AK43="",NOT(ISNUMBER(AK43))),"",AK43-N(O43))</f>
        <v/>
      </c>
      <c r="BH43" s="17" t="str">
        <f aca="false">IF(OR(AL43="",NOT(ISNUMBER(AL43))),"",AL43-N(P43))</f>
        <v/>
      </c>
      <c r="BI43" s="17" t="str">
        <f aca="false">IF(OR(AM43="",NOT(ISNUMBER(AM43))),"",AM43-N(Q43))</f>
        <v/>
      </c>
      <c r="BJ43" s="17" t="str">
        <f aca="false">IF(OR(AN43="",NOT(ISNUMBER(AN43))),"",AN43-N(R43))</f>
        <v/>
      </c>
      <c r="BK43" s="17" t="str">
        <f aca="false">IF(OR(AO43="",NOT(ISNUMBER(AO43))),"",AO43-N(S43))</f>
        <v/>
      </c>
      <c r="BL43" s="17" t="str">
        <f aca="false">IF(OR(AP43="",NOT(ISNUMBER(AP43))),"",AP43-N(T43))</f>
        <v/>
      </c>
      <c r="BM43" s="17" t="str">
        <f aca="false">IF(OR(AQ43="",NOT(ISNUMBER(AQ43))),"",AQ43-N(U43))</f>
        <v/>
      </c>
      <c r="BR43" s="20" t="str">
        <f aca="false">IF($A43="","",IF(ISNUMBER($A43),DATE(YEAR($A43),MONTH($A43),1),IFERROR(DATE(2000+VALUE(RIGHT(TRIM($A43),2)),MATCH(UPPER(LEFT(TRIM($A43),3)),{"JAN","FEB","MAR","APR","MAY","JUN","JUL","AUG","SEP","OCT","NOV","DEC"},0),1),"")))</f>
        <v/>
      </c>
      <c r="BS43" s="20" t="str">
        <f aca="false">IF(BR43="","",EOMONTH(BR43,0))</f>
        <v/>
      </c>
    </row>
    <row r="44" customFormat="false" ht="15" hidden="false" customHeight="false" outlineLevel="0" collapsed="false">
      <c r="B44" s="21"/>
      <c r="C44" s="21"/>
      <c r="D44" s="21"/>
      <c r="E44" s="21"/>
      <c r="F44" s="21"/>
      <c r="G44" s="21"/>
      <c r="H44" s="21"/>
      <c r="I44" s="21"/>
      <c r="J44" s="21"/>
      <c r="K44" s="21"/>
      <c r="L44" s="21"/>
      <c r="M44" s="21"/>
      <c r="N44" s="21"/>
      <c r="O44" s="21"/>
      <c r="P44" s="21"/>
      <c r="Q44" s="21"/>
      <c r="R44" s="21"/>
      <c r="S44" s="21"/>
      <c r="T44" s="21"/>
      <c r="U44" s="21"/>
      <c r="X44" s="17" t="str">
        <f aca="false">IF(OR(B$7="",$BR44=""),"",IF('Tally Helper'!$B$3&lt;&gt;TRUE(),"not on Staff",SUMIFS('Tally Helper'!$L$5:$GI$5,'Tally Helper'!$L$3:$GI$3,"&gt;="&amp;$BR44,'Tally Helper'!$L$3:$GI$3,"&lt;="&amp;$BS44)))</f>
        <v/>
      </c>
      <c r="Y44" s="17" t="str">
        <f aca="false">IF(OR(C$7="",$BR44=""),"",IF('Tally Helper'!$B$6&lt;&gt;TRUE(),"not on Staff",SUMIFS('Tally Helper'!$L$8:$GI$8,'Tally Helper'!$L$6:$GI$6,"&gt;="&amp;$BR44,'Tally Helper'!$L$6:$GI$6,"&lt;="&amp;$BS44)))</f>
        <v/>
      </c>
      <c r="Z44" s="17" t="str">
        <f aca="false">IF(OR(D$7="",$BR44=""),"",IF('Tally Helper'!$B$9&lt;&gt;TRUE(),"not on Staff",SUMIFS('Tally Helper'!$L$11:$GI$11,'Tally Helper'!$L$9:$GI$9,"&gt;="&amp;$BR44,'Tally Helper'!$L$9:$GI$9,"&lt;="&amp;$BS44)))</f>
        <v/>
      </c>
      <c r="AA44" s="17" t="str">
        <f aca="false">IF(OR(E$7="",$BR44=""),"",IF('Tally Helper'!$B$12&lt;&gt;TRUE(),"not on Staff",SUMIFS('Tally Helper'!$L$14:$GI$14,'Tally Helper'!$L$12:$GI$12,"&gt;="&amp;$BR44,'Tally Helper'!$L$12:$GI$12,"&lt;="&amp;$BS44)))</f>
        <v/>
      </c>
      <c r="AB44" s="17" t="str">
        <f aca="false">IF(OR(F$7="",$BR44=""),"",IF('Tally Helper'!$B$15&lt;&gt;TRUE(),"not on Staff",SUMIFS('Tally Helper'!$L$17:$GI$17,'Tally Helper'!$L$15:$GI$15,"&gt;="&amp;$BR44,'Tally Helper'!$L$15:$GI$15,"&lt;="&amp;$BS44)))</f>
        <v/>
      </c>
      <c r="AC44" s="17" t="str">
        <f aca="false">IF(OR(G$7="",$BR44=""),"",IF('Tally Helper'!$B$18&lt;&gt;TRUE(),"not on Staff",SUMIFS('Tally Helper'!$L$20:$GI$20,'Tally Helper'!$L$18:$GI$18,"&gt;="&amp;$BR44,'Tally Helper'!$L$18:$GI$18,"&lt;="&amp;$BS44)))</f>
        <v/>
      </c>
      <c r="AD44" s="17" t="str">
        <f aca="false">IF(OR(H$7="",$BR44=""),"",IF('Tally Helper'!$B$21&lt;&gt;TRUE(),"not on Staff",SUMIFS('Tally Helper'!$L$23:$GI$23,'Tally Helper'!$L$21:$GI$21,"&gt;="&amp;$BR44,'Tally Helper'!$L$21:$GI$21,"&lt;="&amp;$BS44)))</f>
        <v/>
      </c>
      <c r="AE44" s="17" t="str">
        <f aca="false">IF(OR(I$7="",$BR44=""),"",IF('Tally Helper'!$B$24&lt;&gt;TRUE(),"not on Staff",SUMIFS('Tally Helper'!$L$26:$GI$26,'Tally Helper'!$L$24:$GI$24,"&gt;="&amp;$BR44,'Tally Helper'!$L$24:$GI$24,"&lt;="&amp;$BS44)))</f>
        <v/>
      </c>
      <c r="AF44" s="17" t="str">
        <f aca="false">IF(OR(J$7="",$BR44=""),"",IF('Tally Helper'!$B$27&lt;&gt;TRUE(),"not on Staff",SUMIFS('Tally Helper'!$L$29:$GI$29,'Tally Helper'!$L$27:$GI$27,"&gt;="&amp;$BR44,'Tally Helper'!$L$27:$GI$27,"&lt;="&amp;$BS44)))</f>
        <v/>
      </c>
      <c r="AG44" s="17" t="str">
        <f aca="false">IF(OR(K$7="",$BR44=""),"",IF('Tally Helper'!$B$30&lt;&gt;TRUE(),"not on Staff",SUMIFS('Tally Helper'!$L$32:$GI$32,'Tally Helper'!$L$30:$GI$30,"&gt;="&amp;$BR44,'Tally Helper'!$L$30:$GI$30,"&lt;="&amp;$BS44)))</f>
        <v/>
      </c>
      <c r="AH44" s="17" t="str">
        <f aca="false">IF(OR(L$7="",$BR44=""),"",IF('Tally Helper'!$B$33&lt;&gt;TRUE(),"not on Staff",SUMIFS('Tally Helper'!$L$35:$GI$35,'Tally Helper'!$L$33:$GI$33,"&gt;="&amp;$BR44,'Tally Helper'!$L$33:$GI$33,"&lt;="&amp;$BS44)))</f>
        <v/>
      </c>
      <c r="AI44" s="17" t="str">
        <f aca="false">IF(OR(M$7="",$BR44=""),"",IF('Tally Helper'!$B$36&lt;&gt;TRUE(),"not on Staff",SUMIFS('Tally Helper'!$L$38:$GI$38,'Tally Helper'!$L$36:$GI$36,"&gt;="&amp;$BR44,'Tally Helper'!$L$36:$GI$36,"&lt;="&amp;$BS44)))</f>
        <v/>
      </c>
      <c r="AJ44" s="17" t="str">
        <f aca="false">IF(OR(N$7="",$BR44=""),"",IF('Tally Helper'!$B$39&lt;&gt;TRUE(),"not on Staff",SUMIFS('Tally Helper'!$L$41:$GI$41,'Tally Helper'!$L$39:$GI$39,"&gt;="&amp;$BR44,'Tally Helper'!$L$39:$GI$39,"&lt;="&amp;$BS44)))</f>
        <v/>
      </c>
      <c r="AK44" s="17" t="str">
        <f aca="false">IF(OR(O$7="",$BR44=""),"",IF('Tally Helper'!$B$42&lt;&gt;TRUE(),"not on Staff",SUMIFS('Tally Helper'!$L$44:$GI$44,'Tally Helper'!$L$42:$GI$42,"&gt;="&amp;$BR44,'Tally Helper'!$L$42:$GI$42,"&lt;="&amp;$BS44)))</f>
        <v/>
      </c>
      <c r="AL44" s="17" t="str">
        <f aca="false">IF(OR(P$7="",$BR44=""),"",IF('Tally Helper'!$B$45&lt;&gt;TRUE(),"not on Staff",SUMIFS('Tally Helper'!$L$47:$GI$47,'Tally Helper'!$L$45:$GI$45,"&gt;="&amp;$BR44,'Tally Helper'!$L$45:$GI$45,"&lt;="&amp;$BS44)))</f>
        <v/>
      </c>
      <c r="AM44" s="17" t="str">
        <f aca="false">IF(OR(Q$7="",$BR44=""),"",IF('Tally Helper'!$B$48&lt;&gt;TRUE(),"not on Staff",SUMIFS('Tally Helper'!$L$50:$GI$50,'Tally Helper'!$L$48:$GI$48,"&gt;="&amp;$BR44,'Tally Helper'!$L$48:$GI$48,"&lt;="&amp;$BS44)))</f>
        <v/>
      </c>
      <c r="AN44" s="17" t="str">
        <f aca="false">IF(OR(R$7="",$BR44=""),"",IF('Tally Helper'!$B$51&lt;&gt;TRUE(),"not on Staff",SUMIFS('Tally Helper'!$L$53:$GI$53,'Tally Helper'!$L$51:$GI$51,"&gt;="&amp;$BR44,'Tally Helper'!$L$51:$GI$51,"&lt;="&amp;$BS44)))</f>
        <v/>
      </c>
      <c r="AO44" s="17" t="str">
        <f aca="false">IF(OR(S$7="",$BR44=""),"",IF('Tally Helper'!$B$54&lt;&gt;TRUE(),"not on Staff",SUMIFS('Tally Helper'!$L$56:$GI$56,'Tally Helper'!$L$54:$GI$54,"&gt;="&amp;$BR44,'Tally Helper'!$L$54:$GI$54,"&lt;="&amp;$BS44)))</f>
        <v/>
      </c>
      <c r="AP44" s="17" t="str">
        <f aca="false">IF(OR(T$7="",$BR44=""),"",IF('Tally Helper'!$B$57&lt;&gt;TRUE(),"not on Staff",SUMIFS('Tally Helper'!$L$59:$GI$59,'Tally Helper'!$L$57:$GI$57,"&gt;="&amp;$BR44,'Tally Helper'!$L$57:$GI$57,"&lt;="&amp;$BS44)))</f>
        <v/>
      </c>
      <c r="AQ44" s="17" t="str">
        <f aca="false">IF(OR(U$7="",$BR44=""),"",IF('Tally Helper'!$B$60&lt;&gt;TRUE(),"not on Staff",SUMIFS('Tally Helper'!$L$62:$GI$62,'Tally Helper'!$L$60:$GI$60,"&gt;="&amp;$BR44,'Tally Helper'!$L$60:$GI$60,"&lt;="&amp;$BS44)))</f>
        <v/>
      </c>
      <c r="AT44" s="17" t="str">
        <f aca="false">IF(OR(X44="",NOT(ISNUMBER(X44))),"",X44-N(B44))</f>
        <v/>
      </c>
      <c r="AU44" s="17" t="str">
        <f aca="false">IF(OR(Y44="",NOT(ISNUMBER(Y44))),"",Y44-N(C44))</f>
        <v/>
      </c>
      <c r="AV44" s="17" t="str">
        <f aca="false">IF(OR(Z44="",NOT(ISNUMBER(Z44))),"",Z44-N(D44))</f>
        <v/>
      </c>
      <c r="AW44" s="17" t="str">
        <f aca="false">IF(OR(AA44="",NOT(ISNUMBER(AA44))),"",AA44-N(E44))</f>
        <v/>
      </c>
      <c r="AX44" s="17" t="str">
        <f aca="false">IF(OR(AB44="",NOT(ISNUMBER(AB44))),"",AB44-N(F44))</f>
        <v/>
      </c>
      <c r="AY44" s="17" t="str">
        <f aca="false">IF(OR(AC44="",NOT(ISNUMBER(AC44))),"",AC44-N(G44))</f>
        <v/>
      </c>
      <c r="AZ44" s="17" t="str">
        <f aca="false">IF(OR(AD44="",NOT(ISNUMBER(AD44))),"",AD44-N(H44))</f>
        <v/>
      </c>
      <c r="BA44" s="17" t="str">
        <f aca="false">IF(OR(AE44="",NOT(ISNUMBER(AE44))),"",AE44-N(I44))</f>
        <v/>
      </c>
      <c r="BB44" s="17" t="str">
        <f aca="false">IF(OR(AF44="",NOT(ISNUMBER(AF44))),"",AF44-N(J44))</f>
        <v/>
      </c>
      <c r="BC44" s="17" t="str">
        <f aca="false">IF(OR(AG44="",NOT(ISNUMBER(AG44))),"",AG44-N(K44))</f>
        <v/>
      </c>
      <c r="BD44" s="17" t="str">
        <f aca="false">IF(OR(AH44="",NOT(ISNUMBER(AH44))),"",AH44-N(L44))</f>
        <v/>
      </c>
      <c r="BE44" s="17" t="str">
        <f aca="false">IF(OR(AI44="",NOT(ISNUMBER(AI44))),"",AI44-N(M44))</f>
        <v/>
      </c>
      <c r="BF44" s="17" t="str">
        <f aca="false">IF(OR(AJ44="",NOT(ISNUMBER(AJ44))),"",AJ44-N(N44))</f>
        <v/>
      </c>
      <c r="BG44" s="17" t="str">
        <f aca="false">IF(OR(AK44="",NOT(ISNUMBER(AK44))),"",AK44-N(O44))</f>
        <v/>
      </c>
      <c r="BH44" s="17" t="str">
        <f aca="false">IF(OR(AL44="",NOT(ISNUMBER(AL44))),"",AL44-N(P44))</f>
        <v/>
      </c>
      <c r="BI44" s="17" t="str">
        <f aca="false">IF(OR(AM44="",NOT(ISNUMBER(AM44))),"",AM44-N(Q44))</f>
        <v/>
      </c>
      <c r="BJ44" s="17" t="str">
        <f aca="false">IF(OR(AN44="",NOT(ISNUMBER(AN44))),"",AN44-N(R44))</f>
        <v/>
      </c>
      <c r="BK44" s="17" t="str">
        <f aca="false">IF(OR(AO44="",NOT(ISNUMBER(AO44))),"",AO44-N(S44))</f>
        <v/>
      </c>
      <c r="BL44" s="17" t="str">
        <f aca="false">IF(OR(AP44="",NOT(ISNUMBER(AP44))),"",AP44-N(T44))</f>
        <v/>
      </c>
      <c r="BM44" s="17" t="str">
        <f aca="false">IF(OR(AQ44="",NOT(ISNUMBER(AQ44))),"",AQ44-N(U44))</f>
        <v/>
      </c>
      <c r="BR44" s="20" t="str">
        <f aca="false">IF($A44="","",IF(ISNUMBER($A44),DATE(YEAR($A44),MONTH($A44),1),IFERROR(DATE(2000+VALUE(RIGHT(TRIM($A44),2)),MATCH(UPPER(LEFT(TRIM($A44),3)),{"JAN","FEB","MAR","APR","MAY","JUN","JUL","AUG","SEP","OCT","NOV","DEC"},0),1),"")))</f>
        <v/>
      </c>
      <c r="BS44" s="20" t="str">
        <f aca="false">IF(BR44="","",EOMONTH(BR44,0))</f>
        <v/>
      </c>
    </row>
    <row r="45" customFormat="false" ht="15" hidden="false" customHeight="false" outlineLevel="0" collapsed="false">
      <c r="B45" s="21"/>
      <c r="C45" s="21"/>
      <c r="D45" s="21"/>
      <c r="E45" s="21"/>
      <c r="F45" s="21"/>
      <c r="G45" s="21"/>
      <c r="H45" s="21"/>
      <c r="I45" s="21"/>
      <c r="J45" s="21"/>
      <c r="K45" s="21"/>
      <c r="L45" s="21"/>
      <c r="M45" s="21"/>
      <c r="N45" s="21"/>
      <c r="O45" s="21"/>
      <c r="P45" s="21"/>
      <c r="Q45" s="21"/>
      <c r="R45" s="21"/>
      <c r="S45" s="21"/>
      <c r="T45" s="21"/>
      <c r="U45" s="21"/>
      <c r="X45" s="17" t="str">
        <f aca="false">IF(OR(B$7="",$BR45=""),"",IF('Tally Helper'!$B$3&lt;&gt;TRUE(),"not on Staff",SUMIFS('Tally Helper'!$L$5:$GI$5,'Tally Helper'!$L$3:$GI$3,"&gt;="&amp;$BR45,'Tally Helper'!$L$3:$GI$3,"&lt;="&amp;$BS45)))</f>
        <v/>
      </c>
      <c r="Y45" s="17" t="str">
        <f aca="false">IF(OR(C$7="",$BR45=""),"",IF('Tally Helper'!$B$6&lt;&gt;TRUE(),"not on Staff",SUMIFS('Tally Helper'!$L$8:$GI$8,'Tally Helper'!$L$6:$GI$6,"&gt;="&amp;$BR45,'Tally Helper'!$L$6:$GI$6,"&lt;="&amp;$BS45)))</f>
        <v/>
      </c>
      <c r="Z45" s="17" t="str">
        <f aca="false">IF(OR(D$7="",$BR45=""),"",IF('Tally Helper'!$B$9&lt;&gt;TRUE(),"not on Staff",SUMIFS('Tally Helper'!$L$11:$GI$11,'Tally Helper'!$L$9:$GI$9,"&gt;="&amp;$BR45,'Tally Helper'!$L$9:$GI$9,"&lt;="&amp;$BS45)))</f>
        <v/>
      </c>
      <c r="AA45" s="17" t="str">
        <f aca="false">IF(OR(E$7="",$BR45=""),"",IF('Tally Helper'!$B$12&lt;&gt;TRUE(),"not on Staff",SUMIFS('Tally Helper'!$L$14:$GI$14,'Tally Helper'!$L$12:$GI$12,"&gt;="&amp;$BR45,'Tally Helper'!$L$12:$GI$12,"&lt;="&amp;$BS45)))</f>
        <v/>
      </c>
      <c r="AB45" s="17" t="str">
        <f aca="false">IF(OR(F$7="",$BR45=""),"",IF('Tally Helper'!$B$15&lt;&gt;TRUE(),"not on Staff",SUMIFS('Tally Helper'!$L$17:$GI$17,'Tally Helper'!$L$15:$GI$15,"&gt;="&amp;$BR45,'Tally Helper'!$L$15:$GI$15,"&lt;="&amp;$BS45)))</f>
        <v/>
      </c>
      <c r="AC45" s="17" t="str">
        <f aca="false">IF(OR(G$7="",$BR45=""),"",IF('Tally Helper'!$B$18&lt;&gt;TRUE(),"not on Staff",SUMIFS('Tally Helper'!$L$20:$GI$20,'Tally Helper'!$L$18:$GI$18,"&gt;="&amp;$BR45,'Tally Helper'!$L$18:$GI$18,"&lt;="&amp;$BS45)))</f>
        <v/>
      </c>
      <c r="AD45" s="17" t="str">
        <f aca="false">IF(OR(H$7="",$BR45=""),"",IF('Tally Helper'!$B$21&lt;&gt;TRUE(),"not on Staff",SUMIFS('Tally Helper'!$L$23:$GI$23,'Tally Helper'!$L$21:$GI$21,"&gt;="&amp;$BR45,'Tally Helper'!$L$21:$GI$21,"&lt;="&amp;$BS45)))</f>
        <v/>
      </c>
      <c r="AE45" s="17" t="str">
        <f aca="false">IF(OR(I$7="",$BR45=""),"",IF('Tally Helper'!$B$24&lt;&gt;TRUE(),"not on Staff",SUMIFS('Tally Helper'!$L$26:$GI$26,'Tally Helper'!$L$24:$GI$24,"&gt;="&amp;$BR45,'Tally Helper'!$L$24:$GI$24,"&lt;="&amp;$BS45)))</f>
        <v/>
      </c>
      <c r="AF45" s="17" t="str">
        <f aca="false">IF(OR(J$7="",$BR45=""),"",IF('Tally Helper'!$B$27&lt;&gt;TRUE(),"not on Staff",SUMIFS('Tally Helper'!$L$29:$GI$29,'Tally Helper'!$L$27:$GI$27,"&gt;="&amp;$BR45,'Tally Helper'!$L$27:$GI$27,"&lt;="&amp;$BS45)))</f>
        <v/>
      </c>
      <c r="AG45" s="17" t="str">
        <f aca="false">IF(OR(K$7="",$BR45=""),"",IF('Tally Helper'!$B$30&lt;&gt;TRUE(),"not on Staff",SUMIFS('Tally Helper'!$L$32:$GI$32,'Tally Helper'!$L$30:$GI$30,"&gt;="&amp;$BR45,'Tally Helper'!$L$30:$GI$30,"&lt;="&amp;$BS45)))</f>
        <v/>
      </c>
      <c r="AH45" s="17" t="str">
        <f aca="false">IF(OR(L$7="",$BR45=""),"",IF('Tally Helper'!$B$33&lt;&gt;TRUE(),"not on Staff",SUMIFS('Tally Helper'!$L$35:$GI$35,'Tally Helper'!$L$33:$GI$33,"&gt;="&amp;$BR45,'Tally Helper'!$L$33:$GI$33,"&lt;="&amp;$BS45)))</f>
        <v/>
      </c>
      <c r="AI45" s="17" t="str">
        <f aca="false">IF(OR(M$7="",$BR45=""),"",IF('Tally Helper'!$B$36&lt;&gt;TRUE(),"not on Staff",SUMIFS('Tally Helper'!$L$38:$GI$38,'Tally Helper'!$L$36:$GI$36,"&gt;="&amp;$BR45,'Tally Helper'!$L$36:$GI$36,"&lt;="&amp;$BS45)))</f>
        <v/>
      </c>
      <c r="AJ45" s="17" t="str">
        <f aca="false">IF(OR(N$7="",$BR45=""),"",IF('Tally Helper'!$B$39&lt;&gt;TRUE(),"not on Staff",SUMIFS('Tally Helper'!$L$41:$GI$41,'Tally Helper'!$L$39:$GI$39,"&gt;="&amp;$BR45,'Tally Helper'!$L$39:$GI$39,"&lt;="&amp;$BS45)))</f>
        <v/>
      </c>
      <c r="AK45" s="17" t="str">
        <f aca="false">IF(OR(O$7="",$BR45=""),"",IF('Tally Helper'!$B$42&lt;&gt;TRUE(),"not on Staff",SUMIFS('Tally Helper'!$L$44:$GI$44,'Tally Helper'!$L$42:$GI$42,"&gt;="&amp;$BR45,'Tally Helper'!$L$42:$GI$42,"&lt;="&amp;$BS45)))</f>
        <v/>
      </c>
      <c r="AL45" s="17" t="str">
        <f aca="false">IF(OR(P$7="",$BR45=""),"",IF('Tally Helper'!$B$45&lt;&gt;TRUE(),"not on Staff",SUMIFS('Tally Helper'!$L$47:$GI$47,'Tally Helper'!$L$45:$GI$45,"&gt;="&amp;$BR45,'Tally Helper'!$L$45:$GI$45,"&lt;="&amp;$BS45)))</f>
        <v/>
      </c>
      <c r="AM45" s="17" t="str">
        <f aca="false">IF(OR(Q$7="",$BR45=""),"",IF('Tally Helper'!$B$48&lt;&gt;TRUE(),"not on Staff",SUMIFS('Tally Helper'!$L$50:$GI$50,'Tally Helper'!$L$48:$GI$48,"&gt;="&amp;$BR45,'Tally Helper'!$L$48:$GI$48,"&lt;="&amp;$BS45)))</f>
        <v/>
      </c>
      <c r="AN45" s="17" t="str">
        <f aca="false">IF(OR(R$7="",$BR45=""),"",IF('Tally Helper'!$B$51&lt;&gt;TRUE(),"not on Staff",SUMIFS('Tally Helper'!$L$53:$GI$53,'Tally Helper'!$L$51:$GI$51,"&gt;="&amp;$BR45,'Tally Helper'!$L$51:$GI$51,"&lt;="&amp;$BS45)))</f>
        <v/>
      </c>
      <c r="AO45" s="17" t="str">
        <f aca="false">IF(OR(S$7="",$BR45=""),"",IF('Tally Helper'!$B$54&lt;&gt;TRUE(),"not on Staff",SUMIFS('Tally Helper'!$L$56:$GI$56,'Tally Helper'!$L$54:$GI$54,"&gt;="&amp;$BR45,'Tally Helper'!$L$54:$GI$54,"&lt;="&amp;$BS45)))</f>
        <v/>
      </c>
      <c r="AP45" s="17" t="str">
        <f aca="false">IF(OR(T$7="",$BR45=""),"",IF('Tally Helper'!$B$57&lt;&gt;TRUE(),"not on Staff",SUMIFS('Tally Helper'!$L$59:$GI$59,'Tally Helper'!$L$57:$GI$57,"&gt;="&amp;$BR45,'Tally Helper'!$L$57:$GI$57,"&lt;="&amp;$BS45)))</f>
        <v/>
      </c>
      <c r="AQ45" s="17" t="str">
        <f aca="false">IF(OR(U$7="",$BR45=""),"",IF('Tally Helper'!$B$60&lt;&gt;TRUE(),"not on Staff",SUMIFS('Tally Helper'!$L$62:$GI$62,'Tally Helper'!$L$60:$GI$60,"&gt;="&amp;$BR45,'Tally Helper'!$L$60:$GI$60,"&lt;="&amp;$BS45)))</f>
        <v/>
      </c>
      <c r="AT45" s="17" t="str">
        <f aca="false">IF(OR(X45="",NOT(ISNUMBER(X45))),"",X45-N(B45))</f>
        <v/>
      </c>
      <c r="AU45" s="17" t="str">
        <f aca="false">IF(OR(Y45="",NOT(ISNUMBER(Y45))),"",Y45-N(C45))</f>
        <v/>
      </c>
      <c r="AV45" s="17" t="str">
        <f aca="false">IF(OR(Z45="",NOT(ISNUMBER(Z45))),"",Z45-N(D45))</f>
        <v/>
      </c>
      <c r="AW45" s="17" t="str">
        <f aca="false">IF(OR(AA45="",NOT(ISNUMBER(AA45))),"",AA45-N(E45))</f>
        <v/>
      </c>
      <c r="AX45" s="17" t="str">
        <f aca="false">IF(OR(AB45="",NOT(ISNUMBER(AB45))),"",AB45-N(F45))</f>
        <v/>
      </c>
      <c r="AY45" s="17" t="str">
        <f aca="false">IF(OR(AC45="",NOT(ISNUMBER(AC45))),"",AC45-N(G45))</f>
        <v/>
      </c>
      <c r="AZ45" s="17" t="str">
        <f aca="false">IF(OR(AD45="",NOT(ISNUMBER(AD45))),"",AD45-N(H45))</f>
        <v/>
      </c>
      <c r="BA45" s="17" t="str">
        <f aca="false">IF(OR(AE45="",NOT(ISNUMBER(AE45))),"",AE45-N(I45))</f>
        <v/>
      </c>
      <c r="BB45" s="17" t="str">
        <f aca="false">IF(OR(AF45="",NOT(ISNUMBER(AF45))),"",AF45-N(J45))</f>
        <v/>
      </c>
      <c r="BC45" s="17" t="str">
        <f aca="false">IF(OR(AG45="",NOT(ISNUMBER(AG45))),"",AG45-N(K45))</f>
        <v/>
      </c>
      <c r="BD45" s="17" t="str">
        <f aca="false">IF(OR(AH45="",NOT(ISNUMBER(AH45))),"",AH45-N(L45))</f>
        <v/>
      </c>
      <c r="BE45" s="17" t="str">
        <f aca="false">IF(OR(AI45="",NOT(ISNUMBER(AI45))),"",AI45-N(M45))</f>
        <v/>
      </c>
      <c r="BF45" s="17" t="str">
        <f aca="false">IF(OR(AJ45="",NOT(ISNUMBER(AJ45))),"",AJ45-N(N45))</f>
        <v/>
      </c>
      <c r="BG45" s="17" t="str">
        <f aca="false">IF(OR(AK45="",NOT(ISNUMBER(AK45))),"",AK45-N(O45))</f>
        <v/>
      </c>
      <c r="BH45" s="17" t="str">
        <f aca="false">IF(OR(AL45="",NOT(ISNUMBER(AL45))),"",AL45-N(P45))</f>
        <v/>
      </c>
      <c r="BI45" s="17" t="str">
        <f aca="false">IF(OR(AM45="",NOT(ISNUMBER(AM45))),"",AM45-N(Q45))</f>
        <v/>
      </c>
      <c r="BJ45" s="17" t="str">
        <f aca="false">IF(OR(AN45="",NOT(ISNUMBER(AN45))),"",AN45-N(R45))</f>
        <v/>
      </c>
      <c r="BK45" s="17" t="str">
        <f aca="false">IF(OR(AO45="",NOT(ISNUMBER(AO45))),"",AO45-N(S45))</f>
        <v/>
      </c>
      <c r="BL45" s="17" t="str">
        <f aca="false">IF(OR(AP45="",NOT(ISNUMBER(AP45))),"",AP45-N(T45))</f>
        <v/>
      </c>
      <c r="BM45" s="17" t="str">
        <f aca="false">IF(OR(AQ45="",NOT(ISNUMBER(AQ45))),"",AQ45-N(U45))</f>
        <v/>
      </c>
      <c r="BR45" s="20" t="str">
        <f aca="false">IF($A45="","",IF(ISNUMBER($A45),DATE(YEAR($A45),MONTH($A45),1),IFERROR(DATE(2000+VALUE(RIGHT(TRIM($A45),2)),MATCH(UPPER(LEFT(TRIM($A45),3)),{"JAN","FEB","MAR","APR","MAY","JUN","JUL","AUG","SEP","OCT","NOV","DEC"},0),1),"")))</f>
        <v/>
      </c>
      <c r="BS45" s="20" t="str">
        <f aca="false">IF(BR45="","",EOMONTH(BR45,0))</f>
        <v/>
      </c>
    </row>
    <row r="46" customFormat="false" ht="15" hidden="false" customHeight="false" outlineLevel="0" collapsed="false">
      <c r="B46" s="21"/>
      <c r="C46" s="21"/>
      <c r="D46" s="21"/>
      <c r="E46" s="21"/>
      <c r="F46" s="21"/>
      <c r="G46" s="21"/>
      <c r="H46" s="21"/>
      <c r="I46" s="21"/>
      <c r="J46" s="21"/>
      <c r="K46" s="21"/>
      <c r="L46" s="21"/>
      <c r="M46" s="21"/>
      <c r="N46" s="21"/>
      <c r="O46" s="21"/>
      <c r="P46" s="21"/>
      <c r="Q46" s="21"/>
      <c r="R46" s="21"/>
      <c r="S46" s="21"/>
      <c r="T46" s="21"/>
      <c r="U46" s="21"/>
      <c r="X46" s="17" t="str">
        <f aca="false">IF(OR(B$7="",$BR46=""),"",IF('Tally Helper'!$B$3&lt;&gt;TRUE(),"not on Staff",SUMIFS('Tally Helper'!$L$5:$GI$5,'Tally Helper'!$L$3:$GI$3,"&gt;="&amp;$BR46,'Tally Helper'!$L$3:$GI$3,"&lt;="&amp;$BS46)))</f>
        <v/>
      </c>
      <c r="Y46" s="17" t="str">
        <f aca="false">IF(OR(C$7="",$BR46=""),"",IF('Tally Helper'!$B$6&lt;&gt;TRUE(),"not on Staff",SUMIFS('Tally Helper'!$L$8:$GI$8,'Tally Helper'!$L$6:$GI$6,"&gt;="&amp;$BR46,'Tally Helper'!$L$6:$GI$6,"&lt;="&amp;$BS46)))</f>
        <v/>
      </c>
      <c r="Z46" s="17" t="str">
        <f aca="false">IF(OR(D$7="",$BR46=""),"",IF('Tally Helper'!$B$9&lt;&gt;TRUE(),"not on Staff",SUMIFS('Tally Helper'!$L$11:$GI$11,'Tally Helper'!$L$9:$GI$9,"&gt;="&amp;$BR46,'Tally Helper'!$L$9:$GI$9,"&lt;="&amp;$BS46)))</f>
        <v/>
      </c>
      <c r="AA46" s="17" t="str">
        <f aca="false">IF(OR(E$7="",$BR46=""),"",IF('Tally Helper'!$B$12&lt;&gt;TRUE(),"not on Staff",SUMIFS('Tally Helper'!$L$14:$GI$14,'Tally Helper'!$L$12:$GI$12,"&gt;="&amp;$BR46,'Tally Helper'!$L$12:$GI$12,"&lt;="&amp;$BS46)))</f>
        <v/>
      </c>
      <c r="AB46" s="17" t="str">
        <f aca="false">IF(OR(F$7="",$BR46=""),"",IF('Tally Helper'!$B$15&lt;&gt;TRUE(),"not on Staff",SUMIFS('Tally Helper'!$L$17:$GI$17,'Tally Helper'!$L$15:$GI$15,"&gt;="&amp;$BR46,'Tally Helper'!$L$15:$GI$15,"&lt;="&amp;$BS46)))</f>
        <v/>
      </c>
      <c r="AC46" s="17" t="str">
        <f aca="false">IF(OR(G$7="",$BR46=""),"",IF('Tally Helper'!$B$18&lt;&gt;TRUE(),"not on Staff",SUMIFS('Tally Helper'!$L$20:$GI$20,'Tally Helper'!$L$18:$GI$18,"&gt;="&amp;$BR46,'Tally Helper'!$L$18:$GI$18,"&lt;="&amp;$BS46)))</f>
        <v/>
      </c>
      <c r="AD46" s="17" t="str">
        <f aca="false">IF(OR(H$7="",$BR46=""),"",IF('Tally Helper'!$B$21&lt;&gt;TRUE(),"not on Staff",SUMIFS('Tally Helper'!$L$23:$GI$23,'Tally Helper'!$L$21:$GI$21,"&gt;="&amp;$BR46,'Tally Helper'!$L$21:$GI$21,"&lt;="&amp;$BS46)))</f>
        <v/>
      </c>
      <c r="AE46" s="17" t="str">
        <f aca="false">IF(OR(I$7="",$BR46=""),"",IF('Tally Helper'!$B$24&lt;&gt;TRUE(),"not on Staff",SUMIFS('Tally Helper'!$L$26:$GI$26,'Tally Helper'!$L$24:$GI$24,"&gt;="&amp;$BR46,'Tally Helper'!$L$24:$GI$24,"&lt;="&amp;$BS46)))</f>
        <v/>
      </c>
      <c r="AF46" s="17" t="str">
        <f aca="false">IF(OR(J$7="",$BR46=""),"",IF('Tally Helper'!$B$27&lt;&gt;TRUE(),"not on Staff",SUMIFS('Tally Helper'!$L$29:$GI$29,'Tally Helper'!$L$27:$GI$27,"&gt;="&amp;$BR46,'Tally Helper'!$L$27:$GI$27,"&lt;="&amp;$BS46)))</f>
        <v/>
      </c>
      <c r="AG46" s="17" t="str">
        <f aca="false">IF(OR(K$7="",$BR46=""),"",IF('Tally Helper'!$B$30&lt;&gt;TRUE(),"not on Staff",SUMIFS('Tally Helper'!$L$32:$GI$32,'Tally Helper'!$L$30:$GI$30,"&gt;="&amp;$BR46,'Tally Helper'!$L$30:$GI$30,"&lt;="&amp;$BS46)))</f>
        <v/>
      </c>
      <c r="AH46" s="17" t="str">
        <f aca="false">IF(OR(L$7="",$BR46=""),"",IF('Tally Helper'!$B$33&lt;&gt;TRUE(),"not on Staff",SUMIFS('Tally Helper'!$L$35:$GI$35,'Tally Helper'!$L$33:$GI$33,"&gt;="&amp;$BR46,'Tally Helper'!$L$33:$GI$33,"&lt;="&amp;$BS46)))</f>
        <v/>
      </c>
      <c r="AI46" s="17" t="str">
        <f aca="false">IF(OR(M$7="",$BR46=""),"",IF('Tally Helper'!$B$36&lt;&gt;TRUE(),"not on Staff",SUMIFS('Tally Helper'!$L$38:$GI$38,'Tally Helper'!$L$36:$GI$36,"&gt;="&amp;$BR46,'Tally Helper'!$L$36:$GI$36,"&lt;="&amp;$BS46)))</f>
        <v/>
      </c>
      <c r="AJ46" s="17" t="str">
        <f aca="false">IF(OR(N$7="",$BR46=""),"",IF('Tally Helper'!$B$39&lt;&gt;TRUE(),"not on Staff",SUMIFS('Tally Helper'!$L$41:$GI$41,'Tally Helper'!$L$39:$GI$39,"&gt;="&amp;$BR46,'Tally Helper'!$L$39:$GI$39,"&lt;="&amp;$BS46)))</f>
        <v/>
      </c>
      <c r="AK46" s="17" t="str">
        <f aca="false">IF(OR(O$7="",$BR46=""),"",IF('Tally Helper'!$B$42&lt;&gt;TRUE(),"not on Staff",SUMIFS('Tally Helper'!$L$44:$GI$44,'Tally Helper'!$L$42:$GI$42,"&gt;="&amp;$BR46,'Tally Helper'!$L$42:$GI$42,"&lt;="&amp;$BS46)))</f>
        <v/>
      </c>
      <c r="AL46" s="17" t="str">
        <f aca="false">IF(OR(P$7="",$BR46=""),"",IF('Tally Helper'!$B$45&lt;&gt;TRUE(),"not on Staff",SUMIFS('Tally Helper'!$L$47:$GI$47,'Tally Helper'!$L$45:$GI$45,"&gt;="&amp;$BR46,'Tally Helper'!$L$45:$GI$45,"&lt;="&amp;$BS46)))</f>
        <v/>
      </c>
      <c r="AM46" s="17" t="str">
        <f aca="false">IF(OR(Q$7="",$BR46=""),"",IF('Tally Helper'!$B$48&lt;&gt;TRUE(),"not on Staff",SUMIFS('Tally Helper'!$L$50:$GI$50,'Tally Helper'!$L$48:$GI$48,"&gt;="&amp;$BR46,'Tally Helper'!$L$48:$GI$48,"&lt;="&amp;$BS46)))</f>
        <v/>
      </c>
      <c r="AN46" s="17" t="str">
        <f aca="false">IF(OR(R$7="",$BR46=""),"",IF('Tally Helper'!$B$51&lt;&gt;TRUE(),"not on Staff",SUMIFS('Tally Helper'!$L$53:$GI$53,'Tally Helper'!$L$51:$GI$51,"&gt;="&amp;$BR46,'Tally Helper'!$L$51:$GI$51,"&lt;="&amp;$BS46)))</f>
        <v/>
      </c>
      <c r="AO46" s="17" t="str">
        <f aca="false">IF(OR(S$7="",$BR46=""),"",IF('Tally Helper'!$B$54&lt;&gt;TRUE(),"not on Staff",SUMIFS('Tally Helper'!$L$56:$GI$56,'Tally Helper'!$L$54:$GI$54,"&gt;="&amp;$BR46,'Tally Helper'!$L$54:$GI$54,"&lt;="&amp;$BS46)))</f>
        <v/>
      </c>
      <c r="AP46" s="17" t="str">
        <f aca="false">IF(OR(T$7="",$BR46=""),"",IF('Tally Helper'!$B$57&lt;&gt;TRUE(),"not on Staff",SUMIFS('Tally Helper'!$L$59:$GI$59,'Tally Helper'!$L$57:$GI$57,"&gt;="&amp;$BR46,'Tally Helper'!$L$57:$GI$57,"&lt;="&amp;$BS46)))</f>
        <v/>
      </c>
      <c r="AQ46" s="17" t="str">
        <f aca="false">IF(OR(U$7="",$BR46=""),"",IF('Tally Helper'!$B$60&lt;&gt;TRUE(),"not on Staff",SUMIFS('Tally Helper'!$L$62:$GI$62,'Tally Helper'!$L$60:$GI$60,"&gt;="&amp;$BR46,'Tally Helper'!$L$60:$GI$60,"&lt;="&amp;$BS46)))</f>
        <v/>
      </c>
      <c r="AT46" s="17" t="str">
        <f aca="false">IF(OR(X46="",NOT(ISNUMBER(X46))),"",X46-N(B46))</f>
        <v/>
      </c>
      <c r="AU46" s="17" t="str">
        <f aca="false">IF(OR(Y46="",NOT(ISNUMBER(Y46))),"",Y46-N(C46))</f>
        <v/>
      </c>
      <c r="AV46" s="17" t="str">
        <f aca="false">IF(OR(Z46="",NOT(ISNUMBER(Z46))),"",Z46-N(D46))</f>
        <v/>
      </c>
      <c r="AW46" s="17" t="str">
        <f aca="false">IF(OR(AA46="",NOT(ISNUMBER(AA46))),"",AA46-N(E46))</f>
        <v/>
      </c>
      <c r="AX46" s="17" t="str">
        <f aca="false">IF(OR(AB46="",NOT(ISNUMBER(AB46))),"",AB46-N(F46))</f>
        <v/>
      </c>
      <c r="AY46" s="17" t="str">
        <f aca="false">IF(OR(AC46="",NOT(ISNUMBER(AC46))),"",AC46-N(G46))</f>
        <v/>
      </c>
      <c r="AZ46" s="17" t="str">
        <f aca="false">IF(OR(AD46="",NOT(ISNUMBER(AD46))),"",AD46-N(H46))</f>
        <v/>
      </c>
      <c r="BA46" s="17" t="str">
        <f aca="false">IF(OR(AE46="",NOT(ISNUMBER(AE46))),"",AE46-N(I46))</f>
        <v/>
      </c>
      <c r="BB46" s="17" t="str">
        <f aca="false">IF(OR(AF46="",NOT(ISNUMBER(AF46))),"",AF46-N(J46))</f>
        <v/>
      </c>
      <c r="BC46" s="17" t="str">
        <f aca="false">IF(OR(AG46="",NOT(ISNUMBER(AG46))),"",AG46-N(K46))</f>
        <v/>
      </c>
      <c r="BD46" s="17" t="str">
        <f aca="false">IF(OR(AH46="",NOT(ISNUMBER(AH46))),"",AH46-N(L46))</f>
        <v/>
      </c>
      <c r="BE46" s="17" t="str">
        <f aca="false">IF(OR(AI46="",NOT(ISNUMBER(AI46))),"",AI46-N(M46))</f>
        <v/>
      </c>
      <c r="BF46" s="17" t="str">
        <f aca="false">IF(OR(AJ46="",NOT(ISNUMBER(AJ46))),"",AJ46-N(N46))</f>
        <v/>
      </c>
      <c r="BG46" s="17" t="str">
        <f aca="false">IF(OR(AK46="",NOT(ISNUMBER(AK46))),"",AK46-N(O46))</f>
        <v/>
      </c>
      <c r="BH46" s="17" t="str">
        <f aca="false">IF(OR(AL46="",NOT(ISNUMBER(AL46))),"",AL46-N(P46))</f>
        <v/>
      </c>
      <c r="BI46" s="17" t="str">
        <f aca="false">IF(OR(AM46="",NOT(ISNUMBER(AM46))),"",AM46-N(Q46))</f>
        <v/>
      </c>
      <c r="BJ46" s="17" t="str">
        <f aca="false">IF(OR(AN46="",NOT(ISNUMBER(AN46))),"",AN46-N(R46))</f>
        <v/>
      </c>
      <c r="BK46" s="17" t="str">
        <f aca="false">IF(OR(AO46="",NOT(ISNUMBER(AO46))),"",AO46-N(S46))</f>
        <v/>
      </c>
      <c r="BL46" s="17" t="str">
        <f aca="false">IF(OR(AP46="",NOT(ISNUMBER(AP46))),"",AP46-N(T46))</f>
        <v/>
      </c>
      <c r="BM46" s="17" t="str">
        <f aca="false">IF(OR(AQ46="",NOT(ISNUMBER(AQ46))),"",AQ46-N(U46))</f>
        <v/>
      </c>
      <c r="BR46" s="20" t="str">
        <f aca="false">IF($A46="","",IF(ISNUMBER($A46),DATE(YEAR($A46),MONTH($A46),1),IFERROR(DATE(2000+VALUE(RIGHT(TRIM($A46),2)),MATCH(UPPER(LEFT(TRIM($A46),3)),{"JAN","FEB","MAR","APR","MAY","JUN","JUL","AUG","SEP","OCT","NOV","DEC"},0),1),"")))</f>
        <v/>
      </c>
      <c r="BS46" s="20" t="str">
        <f aca="false">IF(BR46="","",EOMONTH(BR46,0))</f>
        <v/>
      </c>
    </row>
    <row r="47" customFormat="false" ht="15" hidden="false" customHeight="false" outlineLevel="0" collapsed="false">
      <c r="B47" s="21"/>
      <c r="C47" s="21"/>
      <c r="D47" s="21"/>
      <c r="E47" s="21"/>
      <c r="F47" s="21"/>
      <c r="G47" s="21"/>
      <c r="H47" s="21"/>
      <c r="I47" s="21"/>
      <c r="J47" s="21"/>
      <c r="K47" s="21"/>
      <c r="L47" s="21"/>
      <c r="M47" s="21"/>
      <c r="N47" s="21"/>
      <c r="O47" s="21"/>
      <c r="P47" s="21"/>
      <c r="Q47" s="21"/>
      <c r="R47" s="21"/>
      <c r="S47" s="21"/>
      <c r="T47" s="21"/>
      <c r="U47" s="21"/>
      <c r="X47" s="17" t="str">
        <f aca="false">IF(OR(B$7="",$BR47=""),"",IF('Tally Helper'!$B$3&lt;&gt;TRUE(),"not on Staff",SUMIFS('Tally Helper'!$L$5:$GI$5,'Tally Helper'!$L$3:$GI$3,"&gt;="&amp;$BR47,'Tally Helper'!$L$3:$GI$3,"&lt;="&amp;$BS47)))</f>
        <v/>
      </c>
      <c r="Y47" s="17" t="str">
        <f aca="false">IF(OR(C$7="",$BR47=""),"",IF('Tally Helper'!$B$6&lt;&gt;TRUE(),"not on Staff",SUMIFS('Tally Helper'!$L$8:$GI$8,'Tally Helper'!$L$6:$GI$6,"&gt;="&amp;$BR47,'Tally Helper'!$L$6:$GI$6,"&lt;="&amp;$BS47)))</f>
        <v/>
      </c>
      <c r="Z47" s="17" t="str">
        <f aca="false">IF(OR(D$7="",$BR47=""),"",IF('Tally Helper'!$B$9&lt;&gt;TRUE(),"not on Staff",SUMIFS('Tally Helper'!$L$11:$GI$11,'Tally Helper'!$L$9:$GI$9,"&gt;="&amp;$BR47,'Tally Helper'!$L$9:$GI$9,"&lt;="&amp;$BS47)))</f>
        <v/>
      </c>
      <c r="AA47" s="17" t="str">
        <f aca="false">IF(OR(E$7="",$BR47=""),"",IF('Tally Helper'!$B$12&lt;&gt;TRUE(),"not on Staff",SUMIFS('Tally Helper'!$L$14:$GI$14,'Tally Helper'!$L$12:$GI$12,"&gt;="&amp;$BR47,'Tally Helper'!$L$12:$GI$12,"&lt;="&amp;$BS47)))</f>
        <v/>
      </c>
      <c r="AB47" s="17" t="str">
        <f aca="false">IF(OR(F$7="",$BR47=""),"",IF('Tally Helper'!$B$15&lt;&gt;TRUE(),"not on Staff",SUMIFS('Tally Helper'!$L$17:$GI$17,'Tally Helper'!$L$15:$GI$15,"&gt;="&amp;$BR47,'Tally Helper'!$L$15:$GI$15,"&lt;="&amp;$BS47)))</f>
        <v/>
      </c>
      <c r="AC47" s="17" t="str">
        <f aca="false">IF(OR(G$7="",$BR47=""),"",IF('Tally Helper'!$B$18&lt;&gt;TRUE(),"not on Staff",SUMIFS('Tally Helper'!$L$20:$GI$20,'Tally Helper'!$L$18:$GI$18,"&gt;="&amp;$BR47,'Tally Helper'!$L$18:$GI$18,"&lt;="&amp;$BS47)))</f>
        <v/>
      </c>
      <c r="AD47" s="17" t="str">
        <f aca="false">IF(OR(H$7="",$BR47=""),"",IF('Tally Helper'!$B$21&lt;&gt;TRUE(),"not on Staff",SUMIFS('Tally Helper'!$L$23:$GI$23,'Tally Helper'!$L$21:$GI$21,"&gt;="&amp;$BR47,'Tally Helper'!$L$21:$GI$21,"&lt;="&amp;$BS47)))</f>
        <v/>
      </c>
      <c r="AE47" s="17" t="str">
        <f aca="false">IF(OR(I$7="",$BR47=""),"",IF('Tally Helper'!$B$24&lt;&gt;TRUE(),"not on Staff",SUMIFS('Tally Helper'!$L$26:$GI$26,'Tally Helper'!$L$24:$GI$24,"&gt;="&amp;$BR47,'Tally Helper'!$L$24:$GI$24,"&lt;="&amp;$BS47)))</f>
        <v/>
      </c>
      <c r="AF47" s="17" t="str">
        <f aca="false">IF(OR(J$7="",$BR47=""),"",IF('Tally Helper'!$B$27&lt;&gt;TRUE(),"not on Staff",SUMIFS('Tally Helper'!$L$29:$GI$29,'Tally Helper'!$L$27:$GI$27,"&gt;="&amp;$BR47,'Tally Helper'!$L$27:$GI$27,"&lt;="&amp;$BS47)))</f>
        <v/>
      </c>
      <c r="AG47" s="17" t="str">
        <f aca="false">IF(OR(K$7="",$BR47=""),"",IF('Tally Helper'!$B$30&lt;&gt;TRUE(),"not on Staff",SUMIFS('Tally Helper'!$L$32:$GI$32,'Tally Helper'!$L$30:$GI$30,"&gt;="&amp;$BR47,'Tally Helper'!$L$30:$GI$30,"&lt;="&amp;$BS47)))</f>
        <v/>
      </c>
      <c r="AH47" s="17" t="str">
        <f aca="false">IF(OR(L$7="",$BR47=""),"",IF('Tally Helper'!$B$33&lt;&gt;TRUE(),"not on Staff",SUMIFS('Tally Helper'!$L$35:$GI$35,'Tally Helper'!$L$33:$GI$33,"&gt;="&amp;$BR47,'Tally Helper'!$L$33:$GI$33,"&lt;="&amp;$BS47)))</f>
        <v/>
      </c>
      <c r="AI47" s="17" t="str">
        <f aca="false">IF(OR(M$7="",$BR47=""),"",IF('Tally Helper'!$B$36&lt;&gt;TRUE(),"not on Staff",SUMIFS('Tally Helper'!$L$38:$GI$38,'Tally Helper'!$L$36:$GI$36,"&gt;="&amp;$BR47,'Tally Helper'!$L$36:$GI$36,"&lt;="&amp;$BS47)))</f>
        <v/>
      </c>
      <c r="AJ47" s="17" t="str">
        <f aca="false">IF(OR(N$7="",$BR47=""),"",IF('Tally Helper'!$B$39&lt;&gt;TRUE(),"not on Staff",SUMIFS('Tally Helper'!$L$41:$GI$41,'Tally Helper'!$L$39:$GI$39,"&gt;="&amp;$BR47,'Tally Helper'!$L$39:$GI$39,"&lt;="&amp;$BS47)))</f>
        <v/>
      </c>
      <c r="AK47" s="17" t="str">
        <f aca="false">IF(OR(O$7="",$BR47=""),"",IF('Tally Helper'!$B$42&lt;&gt;TRUE(),"not on Staff",SUMIFS('Tally Helper'!$L$44:$GI$44,'Tally Helper'!$L$42:$GI$42,"&gt;="&amp;$BR47,'Tally Helper'!$L$42:$GI$42,"&lt;="&amp;$BS47)))</f>
        <v/>
      </c>
      <c r="AL47" s="17" t="str">
        <f aca="false">IF(OR(P$7="",$BR47=""),"",IF('Tally Helper'!$B$45&lt;&gt;TRUE(),"not on Staff",SUMIFS('Tally Helper'!$L$47:$GI$47,'Tally Helper'!$L$45:$GI$45,"&gt;="&amp;$BR47,'Tally Helper'!$L$45:$GI$45,"&lt;="&amp;$BS47)))</f>
        <v/>
      </c>
      <c r="AM47" s="17" t="str">
        <f aca="false">IF(OR(Q$7="",$BR47=""),"",IF('Tally Helper'!$B$48&lt;&gt;TRUE(),"not on Staff",SUMIFS('Tally Helper'!$L$50:$GI$50,'Tally Helper'!$L$48:$GI$48,"&gt;="&amp;$BR47,'Tally Helper'!$L$48:$GI$48,"&lt;="&amp;$BS47)))</f>
        <v/>
      </c>
      <c r="AN47" s="17" t="str">
        <f aca="false">IF(OR(R$7="",$BR47=""),"",IF('Tally Helper'!$B$51&lt;&gt;TRUE(),"not on Staff",SUMIFS('Tally Helper'!$L$53:$GI$53,'Tally Helper'!$L$51:$GI$51,"&gt;="&amp;$BR47,'Tally Helper'!$L$51:$GI$51,"&lt;="&amp;$BS47)))</f>
        <v/>
      </c>
      <c r="AO47" s="17" t="str">
        <f aca="false">IF(OR(S$7="",$BR47=""),"",IF('Tally Helper'!$B$54&lt;&gt;TRUE(),"not on Staff",SUMIFS('Tally Helper'!$L$56:$GI$56,'Tally Helper'!$L$54:$GI$54,"&gt;="&amp;$BR47,'Tally Helper'!$L$54:$GI$54,"&lt;="&amp;$BS47)))</f>
        <v/>
      </c>
      <c r="AP47" s="17" t="str">
        <f aca="false">IF(OR(T$7="",$BR47=""),"",IF('Tally Helper'!$B$57&lt;&gt;TRUE(),"not on Staff",SUMIFS('Tally Helper'!$L$59:$GI$59,'Tally Helper'!$L$57:$GI$57,"&gt;="&amp;$BR47,'Tally Helper'!$L$57:$GI$57,"&lt;="&amp;$BS47)))</f>
        <v/>
      </c>
      <c r="AQ47" s="17" t="str">
        <f aca="false">IF(OR(U$7="",$BR47=""),"",IF('Tally Helper'!$B$60&lt;&gt;TRUE(),"not on Staff",SUMIFS('Tally Helper'!$L$62:$GI$62,'Tally Helper'!$L$60:$GI$60,"&gt;="&amp;$BR47,'Tally Helper'!$L$60:$GI$60,"&lt;="&amp;$BS47)))</f>
        <v/>
      </c>
      <c r="AT47" s="17" t="str">
        <f aca="false">IF(OR(X47="",NOT(ISNUMBER(X47))),"",X47-N(B47))</f>
        <v/>
      </c>
      <c r="AU47" s="17" t="str">
        <f aca="false">IF(OR(Y47="",NOT(ISNUMBER(Y47))),"",Y47-N(C47))</f>
        <v/>
      </c>
      <c r="AV47" s="17" t="str">
        <f aca="false">IF(OR(Z47="",NOT(ISNUMBER(Z47))),"",Z47-N(D47))</f>
        <v/>
      </c>
      <c r="AW47" s="17" t="str">
        <f aca="false">IF(OR(AA47="",NOT(ISNUMBER(AA47))),"",AA47-N(E47))</f>
        <v/>
      </c>
      <c r="AX47" s="17" t="str">
        <f aca="false">IF(OR(AB47="",NOT(ISNUMBER(AB47))),"",AB47-N(F47))</f>
        <v/>
      </c>
      <c r="AY47" s="17" t="str">
        <f aca="false">IF(OR(AC47="",NOT(ISNUMBER(AC47))),"",AC47-N(G47))</f>
        <v/>
      </c>
      <c r="AZ47" s="17" t="str">
        <f aca="false">IF(OR(AD47="",NOT(ISNUMBER(AD47))),"",AD47-N(H47))</f>
        <v/>
      </c>
      <c r="BA47" s="17" t="str">
        <f aca="false">IF(OR(AE47="",NOT(ISNUMBER(AE47))),"",AE47-N(I47))</f>
        <v/>
      </c>
      <c r="BB47" s="17" t="str">
        <f aca="false">IF(OR(AF47="",NOT(ISNUMBER(AF47))),"",AF47-N(J47))</f>
        <v/>
      </c>
      <c r="BC47" s="17" t="str">
        <f aca="false">IF(OR(AG47="",NOT(ISNUMBER(AG47))),"",AG47-N(K47))</f>
        <v/>
      </c>
      <c r="BD47" s="17" t="str">
        <f aca="false">IF(OR(AH47="",NOT(ISNUMBER(AH47))),"",AH47-N(L47))</f>
        <v/>
      </c>
      <c r="BE47" s="17" t="str">
        <f aca="false">IF(OR(AI47="",NOT(ISNUMBER(AI47))),"",AI47-N(M47))</f>
        <v/>
      </c>
      <c r="BF47" s="17" t="str">
        <f aca="false">IF(OR(AJ47="",NOT(ISNUMBER(AJ47))),"",AJ47-N(N47))</f>
        <v/>
      </c>
      <c r="BG47" s="17" t="str">
        <f aca="false">IF(OR(AK47="",NOT(ISNUMBER(AK47))),"",AK47-N(O47))</f>
        <v/>
      </c>
      <c r="BH47" s="17" t="str">
        <f aca="false">IF(OR(AL47="",NOT(ISNUMBER(AL47))),"",AL47-N(P47))</f>
        <v/>
      </c>
      <c r="BI47" s="17" t="str">
        <f aca="false">IF(OR(AM47="",NOT(ISNUMBER(AM47))),"",AM47-N(Q47))</f>
        <v/>
      </c>
      <c r="BJ47" s="17" t="str">
        <f aca="false">IF(OR(AN47="",NOT(ISNUMBER(AN47))),"",AN47-N(R47))</f>
        <v/>
      </c>
      <c r="BK47" s="17" t="str">
        <f aca="false">IF(OR(AO47="",NOT(ISNUMBER(AO47))),"",AO47-N(S47))</f>
        <v/>
      </c>
      <c r="BL47" s="17" t="str">
        <f aca="false">IF(OR(AP47="",NOT(ISNUMBER(AP47))),"",AP47-N(T47))</f>
        <v/>
      </c>
      <c r="BM47" s="17" t="str">
        <f aca="false">IF(OR(AQ47="",NOT(ISNUMBER(AQ47))),"",AQ47-N(U47))</f>
        <v/>
      </c>
      <c r="BR47" s="20" t="str">
        <f aca="false">IF($A47="","",IF(ISNUMBER($A47),DATE(YEAR($A47),MONTH($A47),1),IFERROR(DATE(2000+VALUE(RIGHT(TRIM($A47),2)),MATCH(UPPER(LEFT(TRIM($A47),3)),{"JAN","FEB","MAR","APR","MAY","JUN","JUL","AUG","SEP","OCT","NOV","DEC"},0),1),"")))</f>
        <v/>
      </c>
      <c r="BS47" s="20" t="str">
        <f aca="false">IF(BR47="","",EOMONTH(BR47,0))</f>
        <v/>
      </c>
    </row>
    <row r="48" customFormat="false" ht="15" hidden="false" customHeight="false" outlineLevel="0" collapsed="false">
      <c r="B48" s="21"/>
      <c r="C48" s="21"/>
      <c r="D48" s="21"/>
      <c r="E48" s="21"/>
      <c r="F48" s="21"/>
      <c r="G48" s="21"/>
      <c r="H48" s="21"/>
      <c r="I48" s="21"/>
      <c r="J48" s="21"/>
      <c r="K48" s="21"/>
      <c r="L48" s="21"/>
      <c r="M48" s="21"/>
      <c r="N48" s="21"/>
      <c r="O48" s="21"/>
      <c r="P48" s="21"/>
      <c r="Q48" s="21"/>
      <c r="R48" s="21"/>
      <c r="S48" s="21"/>
      <c r="T48" s="21"/>
      <c r="U48" s="21"/>
      <c r="X48" s="17" t="str">
        <f aca="false">IF(OR(B$7="",$BR48=""),"",IF('Tally Helper'!$B$3&lt;&gt;TRUE(),"not on Staff",SUMIFS('Tally Helper'!$L$5:$GI$5,'Tally Helper'!$L$3:$GI$3,"&gt;="&amp;$BR48,'Tally Helper'!$L$3:$GI$3,"&lt;="&amp;$BS48)))</f>
        <v/>
      </c>
      <c r="Y48" s="17" t="str">
        <f aca="false">IF(OR(C$7="",$BR48=""),"",IF('Tally Helper'!$B$6&lt;&gt;TRUE(),"not on Staff",SUMIFS('Tally Helper'!$L$8:$GI$8,'Tally Helper'!$L$6:$GI$6,"&gt;="&amp;$BR48,'Tally Helper'!$L$6:$GI$6,"&lt;="&amp;$BS48)))</f>
        <v/>
      </c>
      <c r="Z48" s="17" t="str">
        <f aca="false">IF(OR(D$7="",$BR48=""),"",IF('Tally Helper'!$B$9&lt;&gt;TRUE(),"not on Staff",SUMIFS('Tally Helper'!$L$11:$GI$11,'Tally Helper'!$L$9:$GI$9,"&gt;="&amp;$BR48,'Tally Helper'!$L$9:$GI$9,"&lt;="&amp;$BS48)))</f>
        <v/>
      </c>
      <c r="AA48" s="17" t="str">
        <f aca="false">IF(OR(E$7="",$BR48=""),"",IF('Tally Helper'!$B$12&lt;&gt;TRUE(),"not on Staff",SUMIFS('Tally Helper'!$L$14:$GI$14,'Tally Helper'!$L$12:$GI$12,"&gt;="&amp;$BR48,'Tally Helper'!$L$12:$GI$12,"&lt;="&amp;$BS48)))</f>
        <v/>
      </c>
      <c r="AB48" s="17" t="str">
        <f aca="false">IF(OR(F$7="",$BR48=""),"",IF('Tally Helper'!$B$15&lt;&gt;TRUE(),"not on Staff",SUMIFS('Tally Helper'!$L$17:$GI$17,'Tally Helper'!$L$15:$GI$15,"&gt;="&amp;$BR48,'Tally Helper'!$L$15:$GI$15,"&lt;="&amp;$BS48)))</f>
        <v/>
      </c>
      <c r="AC48" s="17" t="str">
        <f aca="false">IF(OR(G$7="",$BR48=""),"",IF('Tally Helper'!$B$18&lt;&gt;TRUE(),"not on Staff",SUMIFS('Tally Helper'!$L$20:$GI$20,'Tally Helper'!$L$18:$GI$18,"&gt;="&amp;$BR48,'Tally Helper'!$L$18:$GI$18,"&lt;="&amp;$BS48)))</f>
        <v/>
      </c>
      <c r="AD48" s="17" t="str">
        <f aca="false">IF(OR(H$7="",$BR48=""),"",IF('Tally Helper'!$B$21&lt;&gt;TRUE(),"not on Staff",SUMIFS('Tally Helper'!$L$23:$GI$23,'Tally Helper'!$L$21:$GI$21,"&gt;="&amp;$BR48,'Tally Helper'!$L$21:$GI$21,"&lt;="&amp;$BS48)))</f>
        <v/>
      </c>
      <c r="AE48" s="17" t="str">
        <f aca="false">IF(OR(I$7="",$BR48=""),"",IF('Tally Helper'!$B$24&lt;&gt;TRUE(),"not on Staff",SUMIFS('Tally Helper'!$L$26:$GI$26,'Tally Helper'!$L$24:$GI$24,"&gt;="&amp;$BR48,'Tally Helper'!$L$24:$GI$24,"&lt;="&amp;$BS48)))</f>
        <v/>
      </c>
      <c r="AF48" s="17" t="str">
        <f aca="false">IF(OR(J$7="",$BR48=""),"",IF('Tally Helper'!$B$27&lt;&gt;TRUE(),"not on Staff",SUMIFS('Tally Helper'!$L$29:$GI$29,'Tally Helper'!$L$27:$GI$27,"&gt;="&amp;$BR48,'Tally Helper'!$L$27:$GI$27,"&lt;="&amp;$BS48)))</f>
        <v/>
      </c>
      <c r="AG48" s="17" t="str">
        <f aca="false">IF(OR(K$7="",$BR48=""),"",IF('Tally Helper'!$B$30&lt;&gt;TRUE(),"not on Staff",SUMIFS('Tally Helper'!$L$32:$GI$32,'Tally Helper'!$L$30:$GI$30,"&gt;="&amp;$BR48,'Tally Helper'!$L$30:$GI$30,"&lt;="&amp;$BS48)))</f>
        <v/>
      </c>
      <c r="AH48" s="17" t="str">
        <f aca="false">IF(OR(L$7="",$BR48=""),"",IF('Tally Helper'!$B$33&lt;&gt;TRUE(),"not on Staff",SUMIFS('Tally Helper'!$L$35:$GI$35,'Tally Helper'!$L$33:$GI$33,"&gt;="&amp;$BR48,'Tally Helper'!$L$33:$GI$33,"&lt;="&amp;$BS48)))</f>
        <v/>
      </c>
      <c r="AI48" s="17" t="str">
        <f aca="false">IF(OR(M$7="",$BR48=""),"",IF('Tally Helper'!$B$36&lt;&gt;TRUE(),"not on Staff",SUMIFS('Tally Helper'!$L$38:$GI$38,'Tally Helper'!$L$36:$GI$36,"&gt;="&amp;$BR48,'Tally Helper'!$L$36:$GI$36,"&lt;="&amp;$BS48)))</f>
        <v/>
      </c>
      <c r="AJ48" s="17" t="str">
        <f aca="false">IF(OR(N$7="",$BR48=""),"",IF('Tally Helper'!$B$39&lt;&gt;TRUE(),"not on Staff",SUMIFS('Tally Helper'!$L$41:$GI$41,'Tally Helper'!$L$39:$GI$39,"&gt;="&amp;$BR48,'Tally Helper'!$L$39:$GI$39,"&lt;="&amp;$BS48)))</f>
        <v/>
      </c>
      <c r="AK48" s="17" t="str">
        <f aca="false">IF(OR(O$7="",$BR48=""),"",IF('Tally Helper'!$B$42&lt;&gt;TRUE(),"not on Staff",SUMIFS('Tally Helper'!$L$44:$GI$44,'Tally Helper'!$L$42:$GI$42,"&gt;="&amp;$BR48,'Tally Helper'!$L$42:$GI$42,"&lt;="&amp;$BS48)))</f>
        <v/>
      </c>
      <c r="AL48" s="17" t="str">
        <f aca="false">IF(OR(P$7="",$BR48=""),"",IF('Tally Helper'!$B$45&lt;&gt;TRUE(),"not on Staff",SUMIFS('Tally Helper'!$L$47:$GI$47,'Tally Helper'!$L$45:$GI$45,"&gt;="&amp;$BR48,'Tally Helper'!$L$45:$GI$45,"&lt;="&amp;$BS48)))</f>
        <v/>
      </c>
      <c r="AM48" s="17" t="str">
        <f aca="false">IF(OR(Q$7="",$BR48=""),"",IF('Tally Helper'!$B$48&lt;&gt;TRUE(),"not on Staff",SUMIFS('Tally Helper'!$L$50:$GI$50,'Tally Helper'!$L$48:$GI$48,"&gt;="&amp;$BR48,'Tally Helper'!$L$48:$GI$48,"&lt;="&amp;$BS48)))</f>
        <v/>
      </c>
      <c r="AN48" s="17" t="str">
        <f aca="false">IF(OR(R$7="",$BR48=""),"",IF('Tally Helper'!$B$51&lt;&gt;TRUE(),"not on Staff",SUMIFS('Tally Helper'!$L$53:$GI$53,'Tally Helper'!$L$51:$GI$51,"&gt;="&amp;$BR48,'Tally Helper'!$L$51:$GI$51,"&lt;="&amp;$BS48)))</f>
        <v/>
      </c>
      <c r="AO48" s="17" t="str">
        <f aca="false">IF(OR(S$7="",$BR48=""),"",IF('Tally Helper'!$B$54&lt;&gt;TRUE(),"not on Staff",SUMIFS('Tally Helper'!$L$56:$GI$56,'Tally Helper'!$L$54:$GI$54,"&gt;="&amp;$BR48,'Tally Helper'!$L$54:$GI$54,"&lt;="&amp;$BS48)))</f>
        <v/>
      </c>
      <c r="AP48" s="17" t="str">
        <f aca="false">IF(OR(T$7="",$BR48=""),"",IF('Tally Helper'!$B$57&lt;&gt;TRUE(),"not on Staff",SUMIFS('Tally Helper'!$L$59:$GI$59,'Tally Helper'!$L$57:$GI$57,"&gt;="&amp;$BR48,'Tally Helper'!$L$57:$GI$57,"&lt;="&amp;$BS48)))</f>
        <v/>
      </c>
      <c r="AQ48" s="17" t="str">
        <f aca="false">IF(OR(U$7="",$BR48=""),"",IF('Tally Helper'!$B$60&lt;&gt;TRUE(),"not on Staff",SUMIFS('Tally Helper'!$L$62:$GI$62,'Tally Helper'!$L$60:$GI$60,"&gt;="&amp;$BR48,'Tally Helper'!$L$60:$GI$60,"&lt;="&amp;$BS48)))</f>
        <v/>
      </c>
      <c r="AT48" s="17" t="str">
        <f aca="false">IF(OR(X48="",NOT(ISNUMBER(X48))),"",X48-N(B48))</f>
        <v/>
      </c>
      <c r="AU48" s="17" t="str">
        <f aca="false">IF(OR(Y48="",NOT(ISNUMBER(Y48))),"",Y48-N(C48))</f>
        <v/>
      </c>
      <c r="AV48" s="17" t="str">
        <f aca="false">IF(OR(Z48="",NOT(ISNUMBER(Z48))),"",Z48-N(D48))</f>
        <v/>
      </c>
      <c r="AW48" s="17" t="str">
        <f aca="false">IF(OR(AA48="",NOT(ISNUMBER(AA48))),"",AA48-N(E48))</f>
        <v/>
      </c>
      <c r="AX48" s="17" t="str">
        <f aca="false">IF(OR(AB48="",NOT(ISNUMBER(AB48))),"",AB48-N(F48))</f>
        <v/>
      </c>
      <c r="AY48" s="17" t="str">
        <f aca="false">IF(OR(AC48="",NOT(ISNUMBER(AC48))),"",AC48-N(G48))</f>
        <v/>
      </c>
      <c r="AZ48" s="17" t="str">
        <f aca="false">IF(OR(AD48="",NOT(ISNUMBER(AD48))),"",AD48-N(H48))</f>
        <v/>
      </c>
      <c r="BA48" s="17" t="str">
        <f aca="false">IF(OR(AE48="",NOT(ISNUMBER(AE48))),"",AE48-N(I48))</f>
        <v/>
      </c>
      <c r="BB48" s="17" t="str">
        <f aca="false">IF(OR(AF48="",NOT(ISNUMBER(AF48))),"",AF48-N(J48))</f>
        <v/>
      </c>
      <c r="BC48" s="17" t="str">
        <f aca="false">IF(OR(AG48="",NOT(ISNUMBER(AG48))),"",AG48-N(K48))</f>
        <v/>
      </c>
      <c r="BD48" s="17" t="str">
        <f aca="false">IF(OR(AH48="",NOT(ISNUMBER(AH48))),"",AH48-N(L48))</f>
        <v/>
      </c>
      <c r="BE48" s="17" t="str">
        <f aca="false">IF(OR(AI48="",NOT(ISNUMBER(AI48))),"",AI48-N(M48))</f>
        <v/>
      </c>
      <c r="BF48" s="17" t="str">
        <f aca="false">IF(OR(AJ48="",NOT(ISNUMBER(AJ48))),"",AJ48-N(N48))</f>
        <v/>
      </c>
      <c r="BG48" s="17" t="str">
        <f aca="false">IF(OR(AK48="",NOT(ISNUMBER(AK48))),"",AK48-N(O48))</f>
        <v/>
      </c>
      <c r="BH48" s="17" t="str">
        <f aca="false">IF(OR(AL48="",NOT(ISNUMBER(AL48))),"",AL48-N(P48))</f>
        <v/>
      </c>
      <c r="BI48" s="17" t="str">
        <f aca="false">IF(OR(AM48="",NOT(ISNUMBER(AM48))),"",AM48-N(Q48))</f>
        <v/>
      </c>
      <c r="BJ48" s="17" t="str">
        <f aca="false">IF(OR(AN48="",NOT(ISNUMBER(AN48))),"",AN48-N(R48))</f>
        <v/>
      </c>
      <c r="BK48" s="17" t="str">
        <f aca="false">IF(OR(AO48="",NOT(ISNUMBER(AO48))),"",AO48-N(S48))</f>
        <v/>
      </c>
      <c r="BL48" s="17" t="str">
        <f aca="false">IF(OR(AP48="",NOT(ISNUMBER(AP48))),"",AP48-N(T48))</f>
        <v/>
      </c>
      <c r="BM48" s="17" t="str">
        <f aca="false">IF(OR(AQ48="",NOT(ISNUMBER(AQ48))),"",AQ48-N(U48))</f>
        <v/>
      </c>
      <c r="BR48" s="20" t="str">
        <f aca="false">IF($A48="","",IF(ISNUMBER($A48),DATE(YEAR($A48),MONTH($A48),1),IFERROR(DATE(2000+VALUE(RIGHT(TRIM($A48),2)),MATCH(UPPER(LEFT(TRIM($A48),3)),{"JAN","FEB","MAR","APR","MAY","JUN","JUL","AUG","SEP","OCT","NOV","DEC"},0),1),"")))</f>
        <v/>
      </c>
      <c r="BS48" s="20" t="str">
        <f aca="false">IF(BR48="","",EOMONTH(BR48,0))</f>
        <v/>
      </c>
    </row>
    <row r="49" customFormat="false" ht="15" hidden="false" customHeight="false" outlineLevel="0" collapsed="false">
      <c r="B49" s="21"/>
      <c r="C49" s="21"/>
      <c r="D49" s="21"/>
      <c r="E49" s="21"/>
      <c r="F49" s="21"/>
      <c r="G49" s="21"/>
      <c r="H49" s="21"/>
      <c r="I49" s="21"/>
      <c r="J49" s="21"/>
      <c r="K49" s="21"/>
      <c r="L49" s="21"/>
      <c r="M49" s="21"/>
      <c r="N49" s="21"/>
      <c r="O49" s="21"/>
      <c r="P49" s="21"/>
      <c r="Q49" s="21"/>
      <c r="R49" s="21"/>
      <c r="S49" s="21"/>
      <c r="T49" s="21"/>
      <c r="U49" s="21"/>
      <c r="X49" s="17" t="str">
        <f aca="false">IF(OR(B$7="",$BR49=""),"",IF('Tally Helper'!$B$3&lt;&gt;TRUE(),"not on Staff",SUMIFS('Tally Helper'!$L$5:$GI$5,'Tally Helper'!$L$3:$GI$3,"&gt;="&amp;$BR49,'Tally Helper'!$L$3:$GI$3,"&lt;="&amp;$BS49)))</f>
        <v/>
      </c>
      <c r="Y49" s="17" t="str">
        <f aca="false">IF(OR(C$7="",$BR49=""),"",IF('Tally Helper'!$B$6&lt;&gt;TRUE(),"not on Staff",SUMIFS('Tally Helper'!$L$8:$GI$8,'Tally Helper'!$L$6:$GI$6,"&gt;="&amp;$BR49,'Tally Helper'!$L$6:$GI$6,"&lt;="&amp;$BS49)))</f>
        <v/>
      </c>
      <c r="Z49" s="17" t="str">
        <f aca="false">IF(OR(D$7="",$BR49=""),"",IF('Tally Helper'!$B$9&lt;&gt;TRUE(),"not on Staff",SUMIFS('Tally Helper'!$L$11:$GI$11,'Tally Helper'!$L$9:$GI$9,"&gt;="&amp;$BR49,'Tally Helper'!$L$9:$GI$9,"&lt;="&amp;$BS49)))</f>
        <v/>
      </c>
      <c r="AA49" s="17" t="str">
        <f aca="false">IF(OR(E$7="",$BR49=""),"",IF('Tally Helper'!$B$12&lt;&gt;TRUE(),"not on Staff",SUMIFS('Tally Helper'!$L$14:$GI$14,'Tally Helper'!$L$12:$GI$12,"&gt;="&amp;$BR49,'Tally Helper'!$L$12:$GI$12,"&lt;="&amp;$BS49)))</f>
        <v/>
      </c>
      <c r="AB49" s="17" t="str">
        <f aca="false">IF(OR(F$7="",$BR49=""),"",IF('Tally Helper'!$B$15&lt;&gt;TRUE(),"not on Staff",SUMIFS('Tally Helper'!$L$17:$GI$17,'Tally Helper'!$L$15:$GI$15,"&gt;="&amp;$BR49,'Tally Helper'!$L$15:$GI$15,"&lt;="&amp;$BS49)))</f>
        <v/>
      </c>
      <c r="AC49" s="17" t="str">
        <f aca="false">IF(OR(G$7="",$BR49=""),"",IF('Tally Helper'!$B$18&lt;&gt;TRUE(),"not on Staff",SUMIFS('Tally Helper'!$L$20:$GI$20,'Tally Helper'!$L$18:$GI$18,"&gt;="&amp;$BR49,'Tally Helper'!$L$18:$GI$18,"&lt;="&amp;$BS49)))</f>
        <v/>
      </c>
      <c r="AD49" s="17" t="str">
        <f aca="false">IF(OR(H$7="",$BR49=""),"",IF('Tally Helper'!$B$21&lt;&gt;TRUE(),"not on Staff",SUMIFS('Tally Helper'!$L$23:$GI$23,'Tally Helper'!$L$21:$GI$21,"&gt;="&amp;$BR49,'Tally Helper'!$L$21:$GI$21,"&lt;="&amp;$BS49)))</f>
        <v/>
      </c>
      <c r="AE49" s="17" t="str">
        <f aca="false">IF(OR(I$7="",$BR49=""),"",IF('Tally Helper'!$B$24&lt;&gt;TRUE(),"not on Staff",SUMIFS('Tally Helper'!$L$26:$GI$26,'Tally Helper'!$L$24:$GI$24,"&gt;="&amp;$BR49,'Tally Helper'!$L$24:$GI$24,"&lt;="&amp;$BS49)))</f>
        <v/>
      </c>
      <c r="AF49" s="17" t="str">
        <f aca="false">IF(OR(J$7="",$BR49=""),"",IF('Tally Helper'!$B$27&lt;&gt;TRUE(),"not on Staff",SUMIFS('Tally Helper'!$L$29:$GI$29,'Tally Helper'!$L$27:$GI$27,"&gt;="&amp;$BR49,'Tally Helper'!$L$27:$GI$27,"&lt;="&amp;$BS49)))</f>
        <v/>
      </c>
      <c r="AG49" s="17" t="str">
        <f aca="false">IF(OR(K$7="",$BR49=""),"",IF('Tally Helper'!$B$30&lt;&gt;TRUE(),"not on Staff",SUMIFS('Tally Helper'!$L$32:$GI$32,'Tally Helper'!$L$30:$GI$30,"&gt;="&amp;$BR49,'Tally Helper'!$L$30:$GI$30,"&lt;="&amp;$BS49)))</f>
        <v/>
      </c>
      <c r="AH49" s="17" t="str">
        <f aca="false">IF(OR(L$7="",$BR49=""),"",IF('Tally Helper'!$B$33&lt;&gt;TRUE(),"not on Staff",SUMIFS('Tally Helper'!$L$35:$GI$35,'Tally Helper'!$L$33:$GI$33,"&gt;="&amp;$BR49,'Tally Helper'!$L$33:$GI$33,"&lt;="&amp;$BS49)))</f>
        <v/>
      </c>
      <c r="AI49" s="17" t="str">
        <f aca="false">IF(OR(M$7="",$BR49=""),"",IF('Tally Helper'!$B$36&lt;&gt;TRUE(),"not on Staff",SUMIFS('Tally Helper'!$L$38:$GI$38,'Tally Helper'!$L$36:$GI$36,"&gt;="&amp;$BR49,'Tally Helper'!$L$36:$GI$36,"&lt;="&amp;$BS49)))</f>
        <v/>
      </c>
      <c r="AJ49" s="17" t="str">
        <f aca="false">IF(OR(N$7="",$BR49=""),"",IF('Tally Helper'!$B$39&lt;&gt;TRUE(),"not on Staff",SUMIFS('Tally Helper'!$L$41:$GI$41,'Tally Helper'!$L$39:$GI$39,"&gt;="&amp;$BR49,'Tally Helper'!$L$39:$GI$39,"&lt;="&amp;$BS49)))</f>
        <v/>
      </c>
      <c r="AK49" s="17" t="str">
        <f aca="false">IF(OR(O$7="",$BR49=""),"",IF('Tally Helper'!$B$42&lt;&gt;TRUE(),"not on Staff",SUMIFS('Tally Helper'!$L$44:$GI$44,'Tally Helper'!$L$42:$GI$42,"&gt;="&amp;$BR49,'Tally Helper'!$L$42:$GI$42,"&lt;="&amp;$BS49)))</f>
        <v/>
      </c>
      <c r="AL49" s="17" t="str">
        <f aca="false">IF(OR(P$7="",$BR49=""),"",IF('Tally Helper'!$B$45&lt;&gt;TRUE(),"not on Staff",SUMIFS('Tally Helper'!$L$47:$GI$47,'Tally Helper'!$L$45:$GI$45,"&gt;="&amp;$BR49,'Tally Helper'!$L$45:$GI$45,"&lt;="&amp;$BS49)))</f>
        <v/>
      </c>
      <c r="AM49" s="17" t="str">
        <f aca="false">IF(OR(Q$7="",$BR49=""),"",IF('Tally Helper'!$B$48&lt;&gt;TRUE(),"not on Staff",SUMIFS('Tally Helper'!$L$50:$GI$50,'Tally Helper'!$L$48:$GI$48,"&gt;="&amp;$BR49,'Tally Helper'!$L$48:$GI$48,"&lt;="&amp;$BS49)))</f>
        <v/>
      </c>
      <c r="AN49" s="17" t="str">
        <f aca="false">IF(OR(R$7="",$BR49=""),"",IF('Tally Helper'!$B$51&lt;&gt;TRUE(),"not on Staff",SUMIFS('Tally Helper'!$L$53:$GI$53,'Tally Helper'!$L$51:$GI$51,"&gt;="&amp;$BR49,'Tally Helper'!$L$51:$GI$51,"&lt;="&amp;$BS49)))</f>
        <v/>
      </c>
      <c r="AO49" s="17" t="str">
        <f aca="false">IF(OR(S$7="",$BR49=""),"",IF('Tally Helper'!$B$54&lt;&gt;TRUE(),"not on Staff",SUMIFS('Tally Helper'!$L$56:$GI$56,'Tally Helper'!$L$54:$GI$54,"&gt;="&amp;$BR49,'Tally Helper'!$L$54:$GI$54,"&lt;="&amp;$BS49)))</f>
        <v/>
      </c>
      <c r="AP49" s="17" t="str">
        <f aca="false">IF(OR(T$7="",$BR49=""),"",IF('Tally Helper'!$B$57&lt;&gt;TRUE(),"not on Staff",SUMIFS('Tally Helper'!$L$59:$GI$59,'Tally Helper'!$L$57:$GI$57,"&gt;="&amp;$BR49,'Tally Helper'!$L$57:$GI$57,"&lt;="&amp;$BS49)))</f>
        <v/>
      </c>
      <c r="AQ49" s="17" t="str">
        <f aca="false">IF(OR(U$7="",$BR49=""),"",IF('Tally Helper'!$B$60&lt;&gt;TRUE(),"not on Staff",SUMIFS('Tally Helper'!$L$62:$GI$62,'Tally Helper'!$L$60:$GI$60,"&gt;="&amp;$BR49,'Tally Helper'!$L$60:$GI$60,"&lt;="&amp;$BS49)))</f>
        <v/>
      </c>
      <c r="AT49" s="17" t="str">
        <f aca="false">IF(OR(X49="",NOT(ISNUMBER(X49))),"",X49-N(B49))</f>
        <v/>
      </c>
      <c r="AU49" s="17" t="str">
        <f aca="false">IF(OR(Y49="",NOT(ISNUMBER(Y49))),"",Y49-N(C49))</f>
        <v/>
      </c>
      <c r="AV49" s="17" t="str">
        <f aca="false">IF(OR(Z49="",NOT(ISNUMBER(Z49))),"",Z49-N(D49))</f>
        <v/>
      </c>
      <c r="AW49" s="17" t="str">
        <f aca="false">IF(OR(AA49="",NOT(ISNUMBER(AA49))),"",AA49-N(E49))</f>
        <v/>
      </c>
      <c r="AX49" s="17" t="str">
        <f aca="false">IF(OR(AB49="",NOT(ISNUMBER(AB49))),"",AB49-N(F49))</f>
        <v/>
      </c>
      <c r="AY49" s="17" t="str">
        <f aca="false">IF(OR(AC49="",NOT(ISNUMBER(AC49))),"",AC49-N(G49))</f>
        <v/>
      </c>
      <c r="AZ49" s="17" t="str">
        <f aca="false">IF(OR(AD49="",NOT(ISNUMBER(AD49))),"",AD49-N(H49))</f>
        <v/>
      </c>
      <c r="BA49" s="17" t="str">
        <f aca="false">IF(OR(AE49="",NOT(ISNUMBER(AE49))),"",AE49-N(I49))</f>
        <v/>
      </c>
      <c r="BB49" s="17" t="str">
        <f aca="false">IF(OR(AF49="",NOT(ISNUMBER(AF49))),"",AF49-N(J49))</f>
        <v/>
      </c>
      <c r="BC49" s="17" t="str">
        <f aca="false">IF(OR(AG49="",NOT(ISNUMBER(AG49))),"",AG49-N(K49))</f>
        <v/>
      </c>
      <c r="BD49" s="17" t="str">
        <f aca="false">IF(OR(AH49="",NOT(ISNUMBER(AH49))),"",AH49-N(L49))</f>
        <v/>
      </c>
      <c r="BE49" s="17" t="str">
        <f aca="false">IF(OR(AI49="",NOT(ISNUMBER(AI49))),"",AI49-N(M49))</f>
        <v/>
      </c>
      <c r="BF49" s="17" t="str">
        <f aca="false">IF(OR(AJ49="",NOT(ISNUMBER(AJ49))),"",AJ49-N(N49))</f>
        <v/>
      </c>
      <c r="BG49" s="17" t="str">
        <f aca="false">IF(OR(AK49="",NOT(ISNUMBER(AK49))),"",AK49-N(O49))</f>
        <v/>
      </c>
      <c r="BH49" s="17" t="str">
        <f aca="false">IF(OR(AL49="",NOT(ISNUMBER(AL49))),"",AL49-N(P49))</f>
        <v/>
      </c>
      <c r="BI49" s="17" t="str">
        <f aca="false">IF(OR(AM49="",NOT(ISNUMBER(AM49))),"",AM49-N(Q49))</f>
        <v/>
      </c>
      <c r="BJ49" s="17" t="str">
        <f aca="false">IF(OR(AN49="",NOT(ISNUMBER(AN49))),"",AN49-N(R49))</f>
        <v/>
      </c>
      <c r="BK49" s="17" t="str">
        <f aca="false">IF(OR(AO49="",NOT(ISNUMBER(AO49))),"",AO49-N(S49))</f>
        <v/>
      </c>
      <c r="BL49" s="17" t="str">
        <f aca="false">IF(OR(AP49="",NOT(ISNUMBER(AP49))),"",AP49-N(T49))</f>
        <v/>
      </c>
      <c r="BM49" s="17" t="str">
        <f aca="false">IF(OR(AQ49="",NOT(ISNUMBER(AQ49))),"",AQ49-N(U49))</f>
        <v/>
      </c>
      <c r="BR49" s="20" t="str">
        <f aca="false">IF($A49="","",IF(ISNUMBER($A49),DATE(YEAR($A49),MONTH($A49),1),IFERROR(DATE(2000+VALUE(RIGHT(TRIM($A49),2)),MATCH(UPPER(LEFT(TRIM($A49),3)),{"JAN","FEB","MAR","APR","MAY","JUN","JUL","AUG","SEP","OCT","NOV","DEC"},0),1),"")))</f>
        <v/>
      </c>
      <c r="BS49" s="20" t="str">
        <f aca="false">IF(BR49="","",EOMONTH(BR49,0))</f>
        <v/>
      </c>
    </row>
    <row r="50" customFormat="false" ht="15" hidden="false" customHeight="false" outlineLevel="0" collapsed="false">
      <c r="B50" s="21"/>
      <c r="C50" s="21"/>
      <c r="D50" s="21"/>
      <c r="E50" s="21"/>
      <c r="F50" s="21"/>
      <c r="G50" s="21"/>
      <c r="H50" s="21"/>
      <c r="I50" s="21"/>
      <c r="J50" s="21"/>
      <c r="K50" s="21"/>
      <c r="L50" s="21"/>
      <c r="M50" s="21"/>
      <c r="N50" s="21"/>
      <c r="O50" s="21"/>
      <c r="P50" s="21"/>
      <c r="Q50" s="21"/>
      <c r="R50" s="21"/>
      <c r="S50" s="21"/>
      <c r="T50" s="21"/>
      <c r="U50" s="21"/>
      <c r="X50" s="17" t="str">
        <f aca="false">IF(OR(B$7="",$BR50=""),"",IF('Tally Helper'!$B$3&lt;&gt;TRUE(),"not on Staff",SUMIFS('Tally Helper'!$L$5:$GI$5,'Tally Helper'!$L$3:$GI$3,"&gt;="&amp;$BR50,'Tally Helper'!$L$3:$GI$3,"&lt;="&amp;$BS50)))</f>
        <v/>
      </c>
      <c r="Y50" s="17" t="str">
        <f aca="false">IF(OR(C$7="",$BR50=""),"",IF('Tally Helper'!$B$6&lt;&gt;TRUE(),"not on Staff",SUMIFS('Tally Helper'!$L$8:$GI$8,'Tally Helper'!$L$6:$GI$6,"&gt;="&amp;$BR50,'Tally Helper'!$L$6:$GI$6,"&lt;="&amp;$BS50)))</f>
        <v/>
      </c>
      <c r="Z50" s="17" t="str">
        <f aca="false">IF(OR(D$7="",$BR50=""),"",IF('Tally Helper'!$B$9&lt;&gt;TRUE(),"not on Staff",SUMIFS('Tally Helper'!$L$11:$GI$11,'Tally Helper'!$L$9:$GI$9,"&gt;="&amp;$BR50,'Tally Helper'!$L$9:$GI$9,"&lt;="&amp;$BS50)))</f>
        <v/>
      </c>
      <c r="AA50" s="17" t="str">
        <f aca="false">IF(OR(E$7="",$BR50=""),"",IF('Tally Helper'!$B$12&lt;&gt;TRUE(),"not on Staff",SUMIFS('Tally Helper'!$L$14:$GI$14,'Tally Helper'!$L$12:$GI$12,"&gt;="&amp;$BR50,'Tally Helper'!$L$12:$GI$12,"&lt;="&amp;$BS50)))</f>
        <v/>
      </c>
      <c r="AB50" s="17" t="str">
        <f aca="false">IF(OR(F$7="",$BR50=""),"",IF('Tally Helper'!$B$15&lt;&gt;TRUE(),"not on Staff",SUMIFS('Tally Helper'!$L$17:$GI$17,'Tally Helper'!$L$15:$GI$15,"&gt;="&amp;$BR50,'Tally Helper'!$L$15:$GI$15,"&lt;="&amp;$BS50)))</f>
        <v/>
      </c>
      <c r="AC50" s="17" t="str">
        <f aca="false">IF(OR(G$7="",$BR50=""),"",IF('Tally Helper'!$B$18&lt;&gt;TRUE(),"not on Staff",SUMIFS('Tally Helper'!$L$20:$GI$20,'Tally Helper'!$L$18:$GI$18,"&gt;="&amp;$BR50,'Tally Helper'!$L$18:$GI$18,"&lt;="&amp;$BS50)))</f>
        <v/>
      </c>
      <c r="AD50" s="17" t="str">
        <f aca="false">IF(OR(H$7="",$BR50=""),"",IF('Tally Helper'!$B$21&lt;&gt;TRUE(),"not on Staff",SUMIFS('Tally Helper'!$L$23:$GI$23,'Tally Helper'!$L$21:$GI$21,"&gt;="&amp;$BR50,'Tally Helper'!$L$21:$GI$21,"&lt;="&amp;$BS50)))</f>
        <v/>
      </c>
      <c r="AE50" s="17" t="str">
        <f aca="false">IF(OR(I$7="",$BR50=""),"",IF('Tally Helper'!$B$24&lt;&gt;TRUE(),"not on Staff",SUMIFS('Tally Helper'!$L$26:$GI$26,'Tally Helper'!$L$24:$GI$24,"&gt;="&amp;$BR50,'Tally Helper'!$L$24:$GI$24,"&lt;="&amp;$BS50)))</f>
        <v/>
      </c>
      <c r="AF50" s="17" t="str">
        <f aca="false">IF(OR(J$7="",$BR50=""),"",IF('Tally Helper'!$B$27&lt;&gt;TRUE(),"not on Staff",SUMIFS('Tally Helper'!$L$29:$GI$29,'Tally Helper'!$L$27:$GI$27,"&gt;="&amp;$BR50,'Tally Helper'!$L$27:$GI$27,"&lt;="&amp;$BS50)))</f>
        <v/>
      </c>
      <c r="AG50" s="17" t="str">
        <f aca="false">IF(OR(K$7="",$BR50=""),"",IF('Tally Helper'!$B$30&lt;&gt;TRUE(),"not on Staff",SUMIFS('Tally Helper'!$L$32:$GI$32,'Tally Helper'!$L$30:$GI$30,"&gt;="&amp;$BR50,'Tally Helper'!$L$30:$GI$30,"&lt;="&amp;$BS50)))</f>
        <v/>
      </c>
      <c r="AH50" s="17" t="str">
        <f aca="false">IF(OR(L$7="",$BR50=""),"",IF('Tally Helper'!$B$33&lt;&gt;TRUE(),"not on Staff",SUMIFS('Tally Helper'!$L$35:$GI$35,'Tally Helper'!$L$33:$GI$33,"&gt;="&amp;$BR50,'Tally Helper'!$L$33:$GI$33,"&lt;="&amp;$BS50)))</f>
        <v/>
      </c>
      <c r="AI50" s="17" t="str">
        <f aca="false">IF(OR(M$7="",$BR50=""),"",IF('Tally Helper'!$B$36&lt;&gt;TRUE(),"not on Staff",SUMIFS('Tally Helper'!$L$38:$GI$38,'Tally Helper'!$L$36:$GI$36,"&gt;="&amp;$BR50,'Tally Helper'!$L$36:$GI$36,"&lt;="&amp;$BS50)))</f>
        <v/>
      </c>
      <c r="AJ50" s="17" t="str">
        <f aca="false">IF(OR(N$7="",$BR50=""),"",IF('Tally Helper'!$B$39&lt;&gt;TRUE(),"not on Staff",SUMIFS('Tally Helper'!$L$41:$GI$41,'Tally Helper'!$L$39:$GI$39,"&gt;="&amp;$BR50,'Tally Helper'!$L$39:$GI$39,"&lt;="&amp;$BS50)))</f>
        <v/>
      </c>
      <c r="AK50" s="17" t="str">
        <f aca="false">IF(OR(O$7="",$BR50=""),"",IF('Tally Helper'!$B$42&lt;&gt;TRUE(),"not on Staff",SUMIFS('Tally Helper'!$L$44:$GI$44,'Tally Helper'!$L$42:$GI$42,"&gt;="&amp;$BR50,'Tally Helper'!$L$42:$GI$42,"&lt;="&amp;$BS50)))</f>
        <v/>
      </c>
      <c r="AL50" s="17" t="str">
        <f aca="false">IF(OR(P$7="",$BR50=""),"",IF('Tally Helper'!$B$45&lt;&gt;TRUE(),"not on Staff",SUMIFS('Tally Helper'!$L$47:$GI$47,'Tally Helper'!$L$45:$GI$45,"&gt;="&amp;$BR50,'Tally Helper'!$L$45:$GI$45,"&lt;="&amp;$BS50)))</f>
        <v/>
      </c>
      <c r="AM50" s="17" t="str">
        <f aca="false">IF(OR(Q$7="",$BR50=""),"",IF('Tally Helper'!$B$48&lt;&gt;TRUE(),"not on Staff",SUMIFS('Tally Helper'!$L$50:$GI$50,'Tally Helper'!$L$48:$GI$48,"&gt;="&amp;$BR50,'Tally Helper'!$L$48:$GI$48,"&lt;="&amp;$BS50)))</f>
        <v/>
      </c>
      <c r="AN50" s="17" t="str">
        <f aca="false">IF(OR(R$7="",$BR50=""),"",IF('Tally Helper'!$B$51&lt;&gt;TRUE(),"not on Staff",SUMIFS('Tally Helper'!$L$53:$GI$53,'Tally Helper'!$L$51:$GI$51,"&gt;="&amp;$BR50,'Tally Helper'!$L$51:$GI$51,"&lt;="&amp;$BS50)))</f>
        <v/>
      </c>
      <c r="AO50" s="17" t="str">
        <f aca="false">IF(OR(S$7="",$BR50=""),"",IF('Tally Helper'!$B$54&lt;&gt;TRUE(),"not on Staff",SUMIFS('Tally Helper'!$L$56:$GI$56,'Tally Helper'!$L$54:$GI$54,"&gt;="&amp;$BR50,'Tally Helper'!$L$54:$GI$54,"&lt;="&amp;$BS50)))</f>
        <v/>
      </c>
      <c r="AP50" s="17" t="str">
        <f aca="false">IF(OR(T$7="",$BR50=""),"",IF('Tally Helper'!$B$57&lt;&gt;TRUE(),"not on Staff",SUMIFS('Tally Helper'!$L$59:$GI$59,'Tally Helper'!$L$57:$GI$57,"&gt;="&amp;$BR50,'Tally Helper'!$L$57:$GI$57,"&lt;="&amp;$BS50)))</f>
        <v/>
      </c>
      <c r="AQ50" s="17" t="str">
        <f aca="false">IF(OR(U$7="",$BR50=""),"",IF('Tally Helper'!$B$60&lt;&gt;TRUE(),"not on Staff",SUMIFS('Tally Helper'!$L$62:$GI$62,'Tally Helper'!$L$60:$GI$60,"&gt;="&amp;$BR50,'Tally Helper'!$L$60:$GI$60,"&lt;="&amp;$BS50)))</f>
        <v/>
      </c>
      <c r="AT50" s="17" t="str">
        <f aca="false">IF(OR(X50="",NOT(ISNUMBER(X50))),"",X50-N(B50))</f>
        <v/>
      </c>
      <c r="AU50" s="17" t="str">
        <f aca="false">IF(OR(Y50="",NOT(ISNUMBER(Y50))),"",Y50-N(C50))</f>
        <v/>
      </c>
      <c r="AV50" s="17" t="str">
        <f aca="false">IF(OR(Z50="",NOT(ISNUMBER(Z50))),"",Z50-N(D50))</f>
        <v/>
      </c>
      <c r="AW50" s="17" t="str">
        <f aca="false">IF(OR(AA50="",NOT(ISNUMBER(AA50))),"",AA50-N(E50))</f>
        <v/>
      </c>
      <c r="AX50" s="17" t="str">
        <f aca="false">IF(OR(AB50="",NOT(ISNUMBER(AB50))),"",AB50-N(F50))</f>
        <v/>
      </c>
      <c r="AY50" s="17" t="str">
        <f aca="false">IF(OR(AC50="",NOT(ISNUMBER(AC50))),"",AC50-N(G50))</f>
        <v/>
      </c>
      <c r="AZ50" s="17" t="str">
        <f aca="false">IF(OR(AD50="",NOT(ISNUMBER(AD50))),"",AD50-N(H50))</f>
        <v/>
      </c>
      <c r="BA50" s="17" t="str">
        <f aca="false">IF(OR(AE50="",NOT(ISNUMBER(AE50))),"",AE50-N(I50))</f>
        <v/>
      </c>
      <c r="BB50" s="17" t="str">
        <f aca="false">IF(OR(AF50="",NOT(ISNUMBER(AF50))),"",AF50-N(J50))</f>
        <v/>
      </c>
      <c r="BC50" s="17" t="str">
        <f aca="false">IF(OR(AG50="",NOT(ISNUMBER(AG50))),"",AG50-N(K50))</f>
        <v/>
      </c>
      <c r="BD50" s="17" t="str">
        <f aca="false">IF(OR(AH50="",NOT(ISNUMBER(AH50))),"",AH50-N(L50))</f>
        <v/>
      </c>
      <c r="BE50" s="17" t="str">
        <f aca="false">IF(OR(AI50="",NOT(ISNUMBER(AI50))),"",AI50-N(M50))</f>
        <v/>
      </c>
      <c r="BF50" s="17" t="str">
        <f aca="false">IF(OR(AJ50="",NOT(ISNUMBER(AJ50))),"",AJ50-N(N50))</f>
        <v/>
      </c>
      <c r="BG50" s="17" t="str">
        <f aca="false">IF(OR(AK50="",NOT(ISNUMBER(AK50))),"",AK50-N(O50))</f>
        <v/>
      </c>
      <c r="BH50" s="17" t="str">
        <f aca="false">IF(OR(AL50="",NOT(ISNUMBER(AL50))),"",AL50-N(P50))</f>
        <v/>
      </c>
      <c r="BI50" s="17" t="str">
        <f aca="false">IF(OR(AM50="",NOT(ISNUMBER(AM50))),"",AM50-N(Q50))</f>
        <v/>
      </c>
      <c r="BJ50" s="17" t="str">
        <f aca="false">IF(OR(AN50="",NOT(ISNUMBER(AN50))),"",AN50-N(R50))</f>
        <v/>
      </c>
      <c r="BK50" s="17" t="str">
        <f aca="false">IF(OR(AO50="",NOT(ISNUMBER(AO50))),"",AO50-N(S50))</f>
        <v/>
      </c>
      <c r="BL50" s="17" t="str">
        <f aca="false">IF(OR(AP50="",NOT(ISNUMBER(AP50))),"",AP50-N(T50))</f>
        <v/>
      </c>
      <c r="BM50" s="17" t="str">
        <f aca="false">IF(OR(AQ50="",NOT(ISNUMBER(AQ50))),"",AQ50-N(U50))</f>
        <v/>
      </c>
      <c r="BR50" s="20" t="str">
        <f aca="false">IF($A50="","",IF(ISNUMBER($A50),DATE(YEAR($A50),MONTH($A50),1),IFERROR(DATE(2000+VALUE(RIGHT(TRIM($A50),2)),MATCH(UPPER(LEFT(TRIM($A50),3)),{"JAN","FEB","MAR","APR","MAY","JUN","JUL","AUG","SEP","OCT","NOV","DEC"},0),1),"")))</f>
        <v/>
      </c>
      <c r="BS50" s="20" t="str">
        <f aca="false">IF(BR50="","",EOMONTH(BR50,0))</f>
        <v/>
      </c>
    </row>
    <row r="51" customFormat="false" ht="15" hidden="false" customHeight="false" outlineLevel="0" collapsed="false">
      <c r="B51" s="21"/>
      <c r="C51" s="21"/>
      <c r="D51" s="21"/>
      <c r="E51" s="21"/>
      <c r="F51" s="21"/>
      <c r="G51" s="21"/>
      <c r="H51" s="21"/>
      <c r="I51" s="21"/>
      <c r="J51" s="21"/>
      <c r="K51" s="21"/>
      <c r="L51" s="21"/>
      <c r="M51" s="21"/>
      <c r="N51" s="21"/>
      <c r="O51" s="21"/>
      <c r="P51" s="21"/>
      <c r="Q51" s="21"/>
      <c r="R51" s="21"/>
      <c r="S51" s="21"/>
      <c r="T51" s="21"/>
      <c r="U51" s="21"/>
      <c r="X51" s="17" t="str">
        <f aca="false">IF(OR(B$7="",$BR51=""),"",IF('Tally Helper'!$B$3&lt;&gt;TRUE(),"not on Staff",SUMIFS('Tally Helper'!$L$5:$GI$5,'Tally Helper'!$L$3:$GI$3,"&gt;="&amp;$BR51,'Tally Helper'!$L$3:$GI$3,"&lt;="&amp;$BS51)))</f>
        <v/>
      </c>
      <c r="Y51" s="17" t="str">
        <f aca="false">IF(OR(C$7="",$BR51=""),"",IF('Tally Helper'!$B$6&lt;&gt;TRUE(),"not on Staff",SUMIFS('Tally Helper'!$L$8:$GI$8,'Tally Helper'!$L$6:$GI$6,"&gt;="&amp;$BR51,'Tally Helper'!$L$6:$GI$6,"&lt;="&amp;$BS51)))</f>
        <v/>
      </c>
      <c r="Z51" s="17" t="str">
        <f aca="false">IF(OR(D$7="",$BR51=""),"",IF('Tally Helper'!$B$9&lt;&gt;TRUE(),"not on Staff",SUMIFS('Tally Helper'!$L$11:$GI$11,'Tally Helper'!$L$9:$GI$9,"&gt;="&amp;$BR51,'Tally Helper'!$L$9:$GI$9,"&lt;="&amp;$BS51)))</f>
        <v/>
      </c>
      <c r="AA51" s="17" t="str">
        <f aca="false">IF(OR(E$7="",$BR51=""),"",IF('Tally Helper'!$B$12&lt;&gt;TRUE(),"not on Staff",SUMIFS('Tally Helper'!$L$14:$GI$14,'Tally Helper'!$L$12:$GI$12,"&gt;="&amp;$BR51,'Tally Helper'!$L$12:$GI$12,"&lt;="&amp;$BS51)))</f>
        <v/>
      </c>
      <c r="AB51" s="17" t="str">
        <f aca="false">IF(OR(F$7="",$BR51=""),"",IF('Tally Helper'!$B$15&lt;&gt;TRUE(),"not on Staff",SUMIFS('Tally Helper'!$L$17:$GI$17,'Tally Helper'!$L$15:$GI$15,"&gt;="&amp;$BR51,'Tally Helper'!$L$15:$GI$15,"&lt;="&amp;$BS51)))</f>
        <v/>
      </c>
      <c r="AC51" s="17" t="str">
        <f aca="false">IF(OR(G$7="",$BR51=""),"",IF('Tally Helper'!$B$18&lt;&gt;TRUE(),"not on Staff",SUMIFS('Tally Helper'!$L$20:$GI$20,'Tally Helper'!$L$18:$GI$18,"&gt;="&amp;$BR51,'Tally Helper'!$L$18:$GI$18,"&lt;="&amp;$BS51)))</f>
        <v/>
      </c>
      <c r="AD51" s="17" t="str">
        <f aca="false">IF(OR(H$7="",$BR51=""),"",IF('Tally Helper'!$B$21&lt;&gt;TRUE(),"not on Staff",SUMIFS('Tally Helper'!$L$23:$GI$23,'Tally Helper'!$L$21:$GI$21,"&gt;="&amp;$BR51,'Tally Helper'!$L$21:$GI$21,"&lt;="&amp;$BS51)))</f>
        <v/>
      </c>
      <c r="AE51" s="17" t="str">
        <f aca="false">IF(OR(I$7="",$BR51=""),"",IF('Tally Helper'!$B$24&lt;&gt;TRUE(),"not on Staff",SUMIFS('Tally Helper'!$L$26:$GI$26,'Tally Helper'!$L$24:$GI$24,"&gt;="&amp;$BR51,'Tally Helper'!$L$24:$GI$24,"&lt;="&amp;$BS51)))</f>
        <v/>
      </c>
      <c r="AF51" s="17" t="str">
        <f aca="false">IF(OR(J$7="",$BR51=""),"",IF('Tally Helper'!$B$27&lt;&gt;TRUE(),"not on Staff",SUMIFS('Tally Helper'!$L$29:$GI$29,'Tally Helper'!$L$27:$GI$27,"&gt;="&amp;$BR51,'Tally Helper'!$L$27:$GI$27,"&lt;="&amp;$BS51)))</f>
        <v/>
      </c>
      <c r="AG51" s="17" t="str">
        <f aca="false">IF(OR(K$7="",$BR51=""),"",IF('Tally Helper'!$B$30&lt;&gt;TRUE(),"not on Staff",SUMIFS('Tally Helper'!$L$32:$GI$32,'Tally Helper'!$L$30:$GI$30,"&gt;="&amp;$BR51,'Tally Helper'!$L$30:$GI$30,"&lt;="&amp;$BS51)))</f>
        <v/>
      </c>
      <c r="AH51" s="17" t="str">
        <f aca="false">IF(OR(L$7="",$BR51=""),"",IF('Tally Helper'!$B$33&lt;&gt;TRUE(),"not on Staff",SUMIFS('Tally Helper'!$L$35:$GI$35,'Tally Helper'!$L$33:$GI$33,"&gt;="&amp;$BR51,'Tally Helper'!$L$33:$GI$33,"&lt;="&amp;$BS51)))</f>
        <v/>
      </c>
      <c r="AI51" s="17" t="str">
        <f aca="false">IF(OR(M$7="",$BR51=""),"",IF('Tally Helper'!$B$36&lt;&gt;TRUE(),"not on Staff",SUMIFS('Tally Helper'!$L$38:$GI$38,'Tally Helper'!$L$36:$GI$36,"&gt;="&amp;$BR51,'Tally Helper'!$L$36:$GI$36,"&lt;="&amp;$BS51)))</f>
        <v/>
      </c>
      <c r="AJ51" s="17" t="str">
        <f aca="false">IF(OR(N$7="",$BR51=""),"",IF('Tally Helper'!$B$39&lt;&gt;TRUE(),"not on Staff",SUMIFS('Tally Helper'!$L$41:$GI$41,'Tally Helper'!$L$39:$GI$39,"&gt;="&amp;$BR51,'Tally Helper'!$L$39:$GI$39,"&lt;="&amp;$BS51)))</f>
        <v/>
      </c>
      <c r="AK51" s="17" t="str">
        <f aca="false">IF(OR(O$7="",$BR51=""),"",IF('Tally Helper'!$B$42&lt;&gt;TRUE(),"not on Staff",SUMIFS('Tally Helper'!$L$44:$GI$44,'Tally Helper'!$L$42:$GI$42,"&gt;="&amp;$BR51,'Tally Helper'!$L$42:$GI$42,"&lt;="&amp;$BS51)))</f>
        <v/>
      </c>
      <c r="AL51" s="17" t="str">
        <f aca="false">IF(OR(P$7="",$BR51=""),"",IF('Tally Helper'!$B$45&lt;&gt;TRUE(),"not on Staff",SUMIFS('Tally Helper'!$L$47:$GI$47,'Tally Helper'!$L$45:$GI$45,"&gt;="&amp;$BR51,'Tally Helper'!$L$45:$GI$45,"&lt;="&amp;$BS51)))</f>
        <v/>
      </c>
      <c r="AM51" s="17" t="str">
        <f aca="false">IF(OR(Q$7="",$BR51=""),"",IF('Tally Helper'!$B$48&lt;&gt;TRUE(),"not on Staff",SUMIFS('Tally Helper'!$L$50:$GI$50,'Tally Helper'!$L$48:$GI$48,"&gt;="&amp;$BR51,'Tally Helper'!$L$48:$GI$48,"&lt;="&amp;$BS51)))</f>
        <v/>
      </c>
      <c r="AN51" s="17" t="str">
        <f aca="false">IF(OR(R$7="",$BR51=""),"",IF('Tally Helper'!$B$51&lt;&gt;TRUE(),"not on Staff",SUMIFS('Tally Helper'!$L$53:$GI$53,'Tally Helper'!$L$51:$GI$51,"&gt;="&amp;$BR51,'Tally Helper'!$L$51:$GI$51,"&lt;="&amp;$BS51)))</f>
        <v/>
      </c>
      <c r="AO51" s="17" t="str">
        <f aca="false">IF(OR(S$7="",$BR51=""),"",IF('Tally Helper'!$B$54&lt;&gt;TRUE(),"not on Staff",SUMIFS('Tally Helper'!$L$56:$GI$56,'Tally Helper'!$L$54:$GI$54,"&gt;="&amp;$BR51,'Tally Helper'!$L$54:$GI$54,"&lt;="&amp;$BS51)))</f>
        <v/>
      </c>
      <c r="AP51" s="17" t="str">
        <f aca="false">IF(OR(T$7="",$BR51=""),"",IF('Tally Helper'!$B$57&lt;&gt;TRUE(),"not on Staff",SUMIFS('Tally Helper'!$L$59:$GI$59,'Tally Helper'!$L$57:$GI$57,"&gt;="&amp;$BR51,'Tally Helper'!$L$57:$GI$57,"&lt;="&amp;$BS51)))</f>
        <v/>
      </c>
      <c r="AQ51" s="17" t="str">
        <f aca="false">IF(OR(U$7="",$BR51=""),"",IF('Tally Helper'!$B$60&lt;&gt;TRUE(),"not on Staff",SUMIFS('Tally Helper'!$L$62:$GI$62,'Tally Helper'!$L$60:$GI$60,"&gt;="&amp;$BR51,'Tally Helper'!$L$60:$GI$60,"&lt;="&amp;$BS51)))</f>
        <v/>
      </c>
      <c r="AT51" s="17" t="str">
        <f aca="false">IF(OR(X51="",NOT(ISNUMBER(X51))),"",X51-N(B51))</f>
        <v/>
      </c>
      <c r="AU51" s="17" t="str">
        <f aca="false">IF(OR(Y51="",NOT(ISNUMBER(Y51))),"",Y51-N(C51))</f>
        <v/>
      </c>
      <c r="AV51" s="17" t="str">
        <f aca="false">IF(OR(Z51="",NOT(ISNUMBER(Z51))),"",Z51-N(D51))</f>
        <v/>
      </c>
      <c r="AW51" s="17" t="str">
        <f aca="false">IF(OR(AA51="",NOT(ISNUMBER(AA51))),"",AA51-N(E51))</f>
        <v/>
      </c>
      <c r="AX51" s="17" t="str">
        <f aca="false">IF(OR(AB51="",NOT(ISNUMBER(AB51))),"",AB51-N(F51))</f>
        <v/>
      </c>
      <c r="AY51" s="17" t="str">
        <f aca="false">IF(OR(AC51="",NOT(ISNUMBER(AC51))),"",AC51-N(G51))</f>
        <v/>
      </c>
      <c r="AZ51" s="17" t="str">
        <f aca="false">IF(OR(AD51="",NOT(ISNUMBER(AD51))),"",AD51-N(H51))</f>
        <v/>
      </c>
      <c r="BA51" s="17" t="str">
        <f aca="false">IF(OR(AE51="",NOT(ISNUMBER(AE51))),"",AE51-N(I51))</f>
        <v/>
      </c>
      <c r="BB51" s="17" t="str">
        <f aca="false">IF(OR(AF51="",NOT(ISNUMBER(AF51))),"",AF51-N(J51))</f>
        <v/>
      </c>
      <c r="BC51" s="17" t="str">
        <f aca="false">IF(OR(AG51="",NOT(ISNUMBER(AG51))),"",AG51-N(K51))</f>
        <v/>
      </c>
      <c r="BD51" s="17" t="str">
        <f aca="false">IF(OR(AH51="",NOT(ISNUMBER(AH51))),"",AH51-N(L51))</f>
        <v/>
      </c>
      <c r="BE51" s="17" t="str">
        <f aca="false">IF(OR(AI51="",NOT(ISNUMBER(AI51))),"",AI51-N(M51))</f>
        <v/>
      </c>
      <c r="BF51" s="17" t="str">
        <f aca="false">IF(OR(AJ51="",NOT(ISNUMBER(AJ51))),"",AJ51-N(N51))</f>
        <v/>
      </c>
      <c r="BG51" s="17" t="str">
        <f aca="false">IF(OR(AK51="",NOT(ISNUMBER(AK51))),"",AK51-N(O51))</f>
        <v/>
      </c>
      <c r="BH51" s="17" t="str">
        <f aca="false">IF(OR(AL51="",NOT(ISNUMBER(AL51))),"",AL51-N(P51))</f>
        <v/>
      </c>
      <c r="BI51" s="17" t="str">
        <f aca="false">IF(OR(AM51="",NOT(ISNUMBER(AM51))),"",AM51-N(Q51))</f>
        <v/>
      </c>
      <c r="BJ51" s="17" t="str">
        <f aca="false">IF(OR(AN51="",NOT(ISNUMBER(AN51))),"",AN51-N(R51))</f>
        <v/>
      </c>
      <c r="BK51" s="17" t="str">
        <f aca="false">IF(OR(AO51="",NOT(ISNUMBER(AO51))),"",AO51-N(S51))</f>
        <v/>
      </c>
      <c r="BL51" s="17" t="str">
        <f aca="false">IF(OR(AP51="",NOT(ISNUMBER(AP51))),"",AP51-N(T51))</f>
        <v/>
      </c>
      <c r="BM51" s="17" t="str">
        <f aca="false">IF(OR(AQ51="",NOT(ISNUMBER(AQ51))),"",AQ51-N(U51))</f>
        <v/>
      </c>
      <c r="BR51" s="20" t="str">
        <f aca="false">IF($A51="","",IF(ISNUMBER($A51),DATE(YEAR($A51),MONTH($A51),1),IFERROR(DATE(2000+VALUE(RIGHT(TRIM($A51),2)),MATCH(UPPER(LEFT(TRIM($A51),3)),{"JAN","FEB","MAR","APR","MAY","JUN","JUL","AUG","SEP","OCT","NOV","DEC"},0),1),"")))</f>
        <v/>
      </c>
      <c r="BS51" s="20" t="str">
        <f aca="false">IF(BR51="","",EOMONTH(BR51,0))</f>
        <v/>
      </c>
    </row>
    <row r="52" customFormat="false" ht="15" hidden="false" customHeight="false" outlineLevel="0" collapsed="false">
      <c r="B52" s="21"/>
      <c r="C52" s="21"/>
      <c r="D52" s="21"/>
      <c r="E52" s="21"/>
      <c r="F52" s="21"/>
      <c r="G52" s="21"/>
      <c r="H52" s="21"/>
      <c r="I52" s="21"/>
      <c r="J52" s="21"/>
      <c r="K52" s="21"/>
      <c r="L52" s="21"/>
      <c r="M52" s="21"/>
      <c r="N52" s="21"/>
      <c r="O52" s="21"/>
      <c r="P52" s="21"/>
      <c r="Q52" s="21"/>
      <c r="R52" s="21"/>
      <c r="S52" s="21"/>
      <c r="T52" s="21"/>
      <c r="U52" s="21"/>
      <c r="X52" s="17" t="str">
        <f aca="false">IF(OR(B$7="",$BR52=""),"",IF('Tally Helper'!$B$3&lt;&gt;TRUE(),"not on Staff",SUMIFS('Tally Helper'!$L$5:$GI$5,'Tally Helper'!$L$3:$GI$3,"&gt;="&amp;$BR52,'Tally Helper'!$L$3:$GI$3,"&lt;="&amp;$BS52)))</f>
        <v/>
      </c>
      <c r="Y52" s="17" t="str">
        <f aca="false">IF(OR(C$7="",$BR52=""),"",IF('Tally Helper'!$B$6&lt;&gt;TRUE(),"not on Staff",SUMIFS('Tally Helper'!$L$8:$GI$8,'Tally Helper'!$L$6:$GI$6,"&gt;="&amp;$BR52,'Tally Helper'!$L$6:$GI$6,"&lt;="&amp;$BS52)))</f>
        <v/>
      </c>
      <c r="Z52" s="17" t="str">
        <f aca="false">IF(OR(D$7="",$BR52=""),"",IF('Tally Helper'!$B$9&lt;&gt;TRUE(),"not on Staff",SUMIFS('Tally Helper'!$L$11:$GI$11,'Tally Helper'!$L$9:$GI$9,"&gt;="&amp;$BR52,'Tally Helper'!$L$9:$GI$9,"&lt;="&amp;$BS52)))</f>
        <v/>
      </c>
      <c r="AA52" s="17" t="str">
        <f aca="false">IF(OR(E$7="",$BR52=""),"",IF('Tally Helper'!$B$12&lt;&gt;TRUE(),"not on Staff",SUMIFS('Tally Helper'!$L$14:$GI$14,'Tally Helper'!$L$12:$GI$12,"&gt;="&amp;$BR52,'Tally Helper'!$L$12:$GI$12,"&lt;="&amp;$BS52)))</f>
        <v/>
      </c>
      <c r="AB52" s="17" t="str">
        <f aca="false">IF(OR(F$7="",$BR52=""),"",IF('Tally Helper'!$B$15&lt;&gt;TRUE(),"not on Staff",SUMIFS('Tally Helper'!$L$17:$GI$17,'Tally Helper'!$L$15:$GI$15,"&gt;="&amp;$BR52,'Tally Helper'!$L$15:$GI$15,"&lt;="&amp;$BS52)))</f>
        <v/>
      </c>
      <c r="AC52" s="17" t="str">
        <f aca="false">IF(OR(G$7="",$BR52=""),"",IF('Tally Helper'!$B$18&lt;&gt;TRUE(),"not on Staff",SUMIFS('Tally Helper'!$L$20:$GI$20,'Tally Helper'!$L$18:$GI$18,"&gt;="&amp;$BR52,'Tally Helper'!$L$18:$GI$18,"&lt;="&amp;$BS52)))</f>
        <v/>
      </c>
      <c r="AD52" s="17" t="str">
        <f aca="false">IF(OR(H$7="",$BR52=""),"",IF('Tally Helper'!$B$21&lt;&gt;TRUE(),"not on Staff",SUMIFS('Tally Helper'!$L$23:$GI$23,'Tally Helper'!$L$21:$GI$21,"&gt;="&amp;$BR52,'Tally Helper'!$L$21:$GI$21,"&lt;="&amp;$BS52)))</f>
        <v/>
      </c>
      <c r="AE52" s="17" t="str">
        <f aca="false">IF(OR(I$7="",$BR52=""),"",IF('Tally Helper'!$B$24&lt;&gt;TRUE(),"not on Staff",SUMIFS('Tally Helper'!$L$26:$GI$26,'Tally Helper'!$L$24:$GI$24,"&gt;="&amp;$BR52,'Tally Helper'!$L$24:$GI$24,"&lt;="&amp;$BS52)))</f>
        <v/>
      </c>
      <c r="AF52" s="17" t="str">
        <f aca="false">IF(OR(J$7="",$BR52=""),"",IF('Tally Helper'!$B$27&lt;&gt;TRUE(),"not on Staff",SUMIFS('Tally Helper'!$L$29:$GI$29,'Tally Helper'!$L$27:$GI$27,"&gt;="&amp;$BR52,'Tally Helper'!$L$27:$GI$27,"&lt;="&amp;$BS52)))</f>
        <v/>
      </c>
      <c r="AG52" s="17" t="str">
        <f aca="false">IF(OR(K$7="",$BR52=""),"",IF('Tally Helper'!$B$30&lt;&gt;TRUE(),"not on Staff",SUMIFS('Tally Helper'!$L$32:$GI$32,'Tally Helper'!$L$30:$GI$30,"&gt;="&amp;$BR52,'Tally Helper'!$L$30:$GI$30,"&lt;="&amp;$BS52)))</f>
        <v/>
      </c>
      <c r="AH52" s="17" t="str">
        <f aca="false">IF(OR(L$7="",$BR52=""),"",IF('Tally Helper'!$B$33&lt;&gt;TRUE(),"not on Staff",SUMIFS('Tally Helper'!$L$35:$GI$35,'Tally Helper'!$L$33:$GI$33,"&gt;="&amp;$BR52,'Tally Helper'!$L$33:$GI$33,"&lt;="&amp;$BS52)))</f>
        <v/>
      </c>
      <c r="AI52" s="17" t="str">
        <f aca="false">IF(OR(M$7="",$BR52=""),"",IF('Tally Helper'!$B$36&lt;&gt;TRUE(),"not on Staff",SUMIFS('Tally Helper'!$L$38:$GI$38,'Tally Helper'!$L$36:$GI$36,"&gt;="&amp;$BR52,'Tally Helper'!$L$36:$GI$36,"&lt;="&amp;$BS52)))</f>
        <v/>
      </c>
      <c r="AJ52" s="17" t="str">
        <f aca="false">IF(OR(N$7="",$BR52=""),"",IF('Tally Helper'!$B$39&lt;&gt;TRUE(),"not on Staff",SUMIFS('Tally Helper'!$L$41:$GI$41,'Tally Helper'!$L$39:$GI$39,"&gt;="&amp;$BR52,'Tally Helper'!$L$39:$GI$39,"&lt;="&amp;$BS52)))</f>
        <v/>
      </c>
      <c r="AK52" s="17" t="str">
        <f aca="false">IF(OR(O$7="",$BR52=""),"",IF('Tally Helper'!$B$42&lt;&gt;TRUE(),"not on Staff",SUMIFS('Tally Helper'!$L$44:$GI$44,'Tally Helper'!$L$42:$GI$42,"&gt;="&amp;$BR52,'Tally Helper'!$L$42:$GI$42,"&lt;="&amp;$BS52)))</f>
        <v/>
      </c>
      <c r="AL52" s="17" t="str">
        <f aca="false">IF(OR(P$7="",$BR52=""),"",IF('Tally Helper'!$B$45&lt;&gt;TRUE(),"not on Staff",SUMIFS('Tally Helper'!$L$47:$GI$47,'Tally Helper'!$L$45:$GI$45,"&gt;="&amp;$BR52,'Tally Helper'!$L$45:$GI$45,"&lt;="&amp;$BS52)))</f>
        <v/>
      </c>
      <c r="AM52" s="17" t="str">
        <f aca="false">IF(OR(Q$7="",$BR52=""),"",IF('Tally Helper'!$B$48&lt;&gt;TRUE(),"not on Staff",SUMIFS('Tally Helper'!$L$50:$GI$50,'Tally Helper'!$L$48:$GI$48,"&gt;="&amp;$BR52,'Tally Helper'!$L$48:$GI$48,"&lt;="&amp;$BS52)))</f>
        <v/>
      </c>
      <c r="AN52" s="17" t="str">
        <f aca="false">IF(OR(R$7="",$BR52=""),"",IF('Tally Helper'!$B$51&lt;&gt;TRUE(),"not on Staff",SUMIFS('Tally Helper'!$L$53:$GI$53,'Tally Helper'!$L$51:$GI$51,"&gt;="&amp;$BR52,'Tally Helper'!$L$51:$GI$51,"&lt;="&amp;$BS52)))</f>
        <v/>
      </c>
      <c r="AO52" s="17" t="str">
        <f aca="false">IF(OR(S$7="",$BR52=""),"",IF('Tally Helper'!$B$54&lt;&gt;TRUE(),"not on Staff",SUMIFS('Tally Helper'!$L$56:$GI$56,'Tally Helper'!$L$54:$GI$54,"&gt;="&amp;$BR52,'Tally Helper'!$L$54:$GI$54,"&lt;="&amp;$BS52)))</f>
        <v/>
      </c>
      <c r="AP52" s="17" t="str">
        <f aca="false">IF(OR(T$7="",$BR52=""),"",IF('Tally Helper'!$B$57&lt;&gt;TRUE(),"not on Staff",SUMIFS('Tally Helper'!$L$59:$GI$59,'Tally Helper'!$L$57:$GI$57,"&gt;="&amp;$BR52,'Tally Helper'!$L$57:$GI$57,"&lt;="&amp;$BS52)))</f>
        <v/>
      </c>
      <c r="AQ52" s="17" t="str">
        <f aca="false">IF(OR(U$7="",$BR52=""),"",IF('Tally Helper'!$B$60&lt;&gt;TRUE(),"not on Staff",SUMIFS('Tally Helper'!$L$62:$GI$62,'Tally Helper'!$L$60:$GI$60,"&gt;="&amp;$BR52,'Tally Helper'!$L$60:$GI$60,"&lt;="&amp;$BS52)))</f>
        <v/>
      </c>
      <c r="AT52" s="17" t="str">
        <f aca="false">IF(OR(X52="",NOT(ISNUMBER(X52))),"",X52-N(B52))</f>
        <v/>
      </c>
      <c r="AU52" s="17" t="str">
        <f aca="false">IF(OR(Y52="",NOT(ISNUMBER(Y52))),"",Y52-N(C52))</f>
        <v/>
      </c>
      <c r="AV52" s="17" t="str">
        <f aca="false">IF(OR(Z52="",NOT(ISNUMBER(Z52))),"",Z52-N(D52))</f>
        <v/>
      </c>
      <c r="AW52" s="17" t="str">
        <f aca="false">IF(OR(AA52="",NOT(ISNUMBER(AA52))),"",AA52-N(E52))</f>
        <v/>
      </c>
      <c r="AX52" s="17" t="str">
        <f aca="false">IF(OR(AB52="",NOT(ISNUMBER(AB52))),"",AB52-N(F52))</f>
        <v/>
      </c>
      <c r="AY52" s="17" t="str">
        <f aca="false">IF(OR(AC52="",NOT(ISNUMBER(AC52))),"",AC52-N(G52))</f>
        <v/>
      </c>
      <c r="AZ52" s="17" t="str">
        <f aca="false">IF(OR(AD52="",NOT(ISNUMBER(AD52))),"",AD52-N(H52))</f>
        <v/>
      </c>
      <c r="BA52" s="17" t="str">
        <f aca="false">IF(OR(AE52="",NOT(ISNUMBER(AE52))),"",AE52-N(I52))</f>
        <v/>
      </c>
      <c r="BB52" s="17" t="str">
        <f aca="false">IF(OR(AF52="",NOT(ISNUMBER(AF52))),"",AF52-N(J52))</f>
        <v/>
      </c>
      <c r="BC52" s="17" t="str">
        <f aca="false">IF(OR(AG52="",NOT(ISNUMBER(AG52))),"",AG52-N(K52))</f>
        <v/>
      </c>
      <c r="BD52" s="17" t="str">
        <f aca="false">IF(OR(AH52="",NOT(ISNUMBER(AH52))),"",AH52-N(L52))</f>
        <v/>
      </c>
      <c r="BE52" s="17" t="str">
        <f aca="false">IF(OR(AI52="",NOT(ISNUMBER(AI52))),"",AI52-N(M52))</f>
        <v/>
      </c>
      <c r="BF52" s="17" t="str">
        <f aca="false">IF(OR(AJ52="",NOT(ISNUMBER(AJ52))),"",AJ52-N(N52))</f>
        <v/>
      </c>
      <c r="BG52" s="17" t="str">
        <f aca="false">IF(OR(AK52="",NOT(ISNUMBER(AK52))),"",AK52-N(O52))</f>
        <v/>
      </c>
      <c r="BH52" s="17" t="str">
        <f aca="false">IF(OR(AL52="",NOT(ISNUMBER(AL52))),"",AL52-N(P52))</f>
        <v/>
      </c>
      <c r="BI52" s="17" t="str">
        <f aca="false">IF(OR(AM52="",NOT(ISNUMBER(AM52))),"",AM52-N(Q52))</f>
        <v/>
      </c>
      <c r="BJ52" s="17" t="str">
        <f aca="false">IF(OR(AN52="",NOT(ISNUMBER(AN52))),"",AN52-N(R52))</f>
        <v/>
      </c>
      <c r="BK52" s="17" t="str">
        <f aca="false">IF(OR(AO52="",NOT(ISNUMBER(AO52))),"",AO52-N(S52))</f>
        <v/>
      </c>
      <c r="BL52" s="17" t="str">
        <f aca="false">IF(OR(AP52="",NOT(ISNUMBER(AP52))),"",AP52-N(T52))</f>
        <v/>
      </c>
      <c r="BM52" s="17" t="str">
        <f aca="false">IF(OR(AQ52="",NOT(ISNUMBER(AQ52))),"",AQ52-N(U52))</f>
        <v/>
      </c>
      <c r="BR52" s="20" t="str">
        <f aca="false">IF($A52="","",IF(ISNUMBER($A52),DATE(YEAR($A52),MONTH($A52),1),IFERROR(DATE(2000+VALUE(RIGHT(TRIM($A52),2)),MATCH(UPPER(LEFT(TRIM($A52),3)),{"JAN","FEB","MAR","APR","MAY","JUN","JUL","AUG","SEP","OCT","NOV","DEC"},0),1),"")))</f>
        <v/>
      </c>
      <c r="BS52" s="20" t="str">
        <f aca="false">IF(BR52="","",EOMONTH(BR52,0))</f>
        <v/>
      </c>
    </row>
    <row r="53" customFormat="false" ht="15" hidden="false" customHeight="false" outlineLevel="0" collapsed="false">
      <c r="B53" s="21"/>
      <c r="C53" s="21"/>
      <c r="D53" s="21"/>
      <c r="E53" s="21"/>
      <c r="F53" s="21"/>
      <c r="G53" s="21"/>
      <c r="H53" s="21"/>
      <c r="I53" s="21"/>
      <c r="J53" s="21"/>
      <c r="K53" s="21"/>
      <c r="L53" s="21"/>
      <c r="M53" s="21"/>
      <c r="N53" s="21"/>
      <c r="O53" s="21"/>
      <c r="P53" s="21"/>
      <c r="Q53" s="21"/>
      <c r="R53" s="21"/>
      <c r="S53" s="21"/>
      <c r="T53" s="21"/>
      <c r="U53" s="21"/>
      <c r="X53" s="17" t="str">
        <f aca="false">IF(OR(B$7="",$BR53=""),"",IF('Tally Helper'!$B$3&lt;&gt;TRUE(),"not on Staff",SUMIFS('Tally Helper'!$L$5:$GI$5,'Tally Helper'!$L$3:$GI$3,"&gt;="&amp;$BR53,'Tally Helper'!$L$3:$GI$3,"&lt;="&amp;$BS53)))</f>
        <v/>
      </c>
      <c r="Y53" s="17" t="str">
        <f aca="false">IF(OR(C$7="",$BR53=""),"",IF('Tally Helper'!$B$6&lt;&gt;TRUE(),"not on Staff",SUMIFS('Tally Helper'!$L$8:$GI$8,'Tally Helper'!$L$6:$GI$6,"&gt;="&amp;$BR53,'Tally Helper'!$L$6:$GI$6,"&lt;="&amp;$BS53)))</f>
        <v/>
      </c>
      <c r="Z53" s="17" t="str">
        <f aca="false">IF(OR(D$7="",$BR53=""),"",IF('Tally Helper'!$B$9&lt;&gt;TRUE(),"not on Staff",SUMIFS('Tally Helper'!$L$11:$GI$11,'Tally Helper'!$L$9:$GI$9,"&gt;="&amp;$BR53,'Tally Helper'!$L$9:$GI$9,"&lt;="&amp;$BS53)))</f>
        <v/>
      </c>
      <c r="AA53" s="17" t="str">
        <f aca="false">IF(OR(E$7="",$BR53=""),"",IF('Tally Helper'!$B$12&lt;&gt;TRUE(),"not on Staff",SUMIFS('Tally Helper'!$L$14:$GI$14,'Tally Helper'!$L$12:$GI$12,"&gt;="&amp;$BR53,'Tally Helper'!$L$12:$GI$12,"&lt;="&amp;$BS53)))</f>
        <v/>
      </c>
      <c r="AB53" s="17" t="str">
        <f aca="false">IF(OR(F$7="",$BR53=""),"",IF('Tally Helper'!$B$15&lt;&gt;TRUE(),"not on Staff",SUMIFS('Tally Helper'!$L$17:$GI$17,'Tally Helper'!$L$15:$GI$15,"&gt;="&amp;$BR53,'Tally Helper'!$L$15:$GI$15,"&lt;="&amp;$BS53)))</f>
        <v/>
      </c>
      <c r="AC53" s="17" t="str">
        <f aca="false">IF(OR(G$7="",$BR53=""),"",IF('Tally Helper'!$B$18&lt;&gt;TRUE(),"not on Staff",SUMIFS('Tally Helper'!$L$20:$GI$20,'Tally Helper'!$L$18:$GI$18,"&gt;="&amp;$BR53,'Tally Helper'!$L$18:$GI$18,"&lt;="&amp;$BS53)))</f>
        <v/>
      </c>
      <c r="AD53" s="17" t="str">
        <f aca="false">IF(OR(H$7="",$BR53=""),"",IF('Tally Helper'!$B$21&lt;&gt;TRUE(),"not on Staff",SUMIFS('Tally Helper'!$L$23:$GI$23,'Tally Helper'!$L$21:$GI$21,"&gt;="&amp;$BR53,'Tally Helper'!$L$21:$GI$21,"&lt;="&amp;$BS53)))</f>
        <v/>
      </c>
      <c r="AE53" s="17" t="str">
        <f aca="false">IF(OR(I$7="",$BR53=""),"",IF('Tally Helper'!$B$24&lt;&gt;TRUE(),"not on Staff",SUMIFS('Tally Helper'!$L$26:$GI$26,'Tally Helper'!$L$24:$GI$24,"&gt;="&amp;$BR53,'Tally Helper'!$L$24:$GI$24,"&lt;="&amp;$BS53)))</f>
        <v/>
      </c>
      <c r="AF53" s="17" t="str">
        <f aca="false">IF(OR(J$7="",$BR53=""),"",IF('Tally Helper'!$B$27&lt;&gt;TRUE(),"not on Staff",SUMIFS('Tally Helper'!$L$29:$GI$29,'Tally Helper'!$L$27:$GI$27,"&gt;="&amp;$BR53,'Tally Helper'!$L$27:$GI$27,"&lt;="&amp;$BS53)))</f>
        <v/>
      </c>
      <c r="AG53" s="17" t="str">
        <f aca="false">IF(OR(K$7="",$BR53=""),"",IF('Tally Helper'!$B$30&lt;&gt;TRUE(),"not on Staff",SUMIFS('Tally Helper'!$L$32:$GI$32,'Tally Helper'!$L$30:$GI$30,"&gt;="&amp;$BR53,'Tally Helper'!$L$30:$GI$30,"&lt;="&amp;$BS53)))</f>
        <v/>
      </c>
      <c r="AH53" s="17" t="str">
        <f aca="false">IF(OR(L$7="",$BR53=""),"",IF('Tally Helper'!$B$33&lt;&gt;TRUE(),"not on Staff",SUMIFS('Tally Helper'!$L$35:$GI$35,'Tally Helper'!$L$33:$GI$33,"&gt;="&amp;$BR53,'Tally Helper'!$L$33:$GI$33,"&lt;="&amp;$BS53)))</f>
        <v/>
      </c>
      <c r="AI53" s="17" t="str">
        <f aca="false">IF(OR(M$7="",$BR53=""),"",IF('Tally Helper'!$B$36&lt;&gt;TRUE(),"not on Staff",SUMIFS('Tally Helper'!$L$38:$GI$38,'Tally Helper'!$L$36:$GI$36,"&gt;="&amp;$BR53,'Tally Helper'!$L$36:$GI$36,"&lt;="&amp;$BS53)))</f>
        <v/>
      </c>
      <c r="AJ53" s="17" t="str">
        <f aca="false">IF(OR(N$7="",$BR53=""),"",IF('Tally Helper'!$B$39&lt;&gt;TRUE(),"not on Staff",SUMIFS('Tally Helper'!$L$41:$GI$41,'Tally Helper'!$L$39:$GI$39,"&gt;="&amp;$BR53,'Tally Helper'!$L$39:$GI$39,"&lt;="&amp;$BS53)))</f>
        <v/>
      </c>
      <c r="AK53" s="17" t="str">
        <f aca="false">IF(OR(O$7="",$BR53=""),"",IF('Tally Helper'!$B$42&lt;&gt;TRUE(),"not on Staff",SUMIFS('Tally Helper'!$L$44:$GI$44,'Tally Helper'!$L$42:$GI$42,"&gt;="&amp;$BR53,'Tally Helper'!$L$42:$GI$42,"&lt;="&amp;$BS53)))</f>
        <v/>
      </c>
      <c r="AL53" s="17" t="str">
        <f aca="false">IF(OR(P$7="",$BR53=""),"",IF('Tally Helper'!$B$45&lt;&gt;TRUE(),"not on Staff",SUMIFS('Tally Helper'!$L$47:$GI$47,'Tally Helper'!$L$45:$GI$45,"&gt;="&amp;$BR53,'Tally Helper'!$L$45:$GI$45,"&lt;="&amp;$BS53)))</f>
        <v/>
      </c>
      <c r="AM53" s="17" t="str">
        <f aca="false">IF(OR(Q$7="",$BR53=""),"",IF('Tally Helper'!$B$48&lt;&gt;TRUE(),"not on Staff",SUMIFS('Tally Helper'!$L$50:$GI$50,'Tally Helper'!$L$48:$GI$48,"&gt;="&amp;$BR53,'Tally Helper'!$L$48:$GI$48,"&lt;="&amp;$BS53)))</f>
        <v/>
      </c>
      <c r="AN53" s="17" t="str">
        <f aca="false">IF(OR(R$7="",$BR53=""),"",IF('Tally Helper'!$B$51&lt;&gt;TRUE(),"not on Staff",SUMIFS('Tally Helper'!$L$53:$GI$53,'Tally Helper'!$L$51:$GI$51,"&gt;="&amp;$BR53,'Tally Helper'!$L$51:$GI$51,"&lt;="&amp;$BS53)))</f>
        <v/>
      </c>
      <c r="AO53" s="17" t="str">
        <f aca="false">IF(OR(S$7="",$BR53=""),"",IF('Tally Helper'!$B$54&lt;&gt;TRUE(),"not on Staff",SUMIFS('Tally Helper'!$L$56:$GI$56,'Tally Helper'!$L$54:$GI$54,"&gt;="&amp;$BR53,'Tally Helper'!$L$54:$GI$54,"&lt;="&amp;$BS53)))</f>
        <v/>
      </c>
      <c r="AP53" s="17" t="str">
        <f aca="false">IF(OR(T$7="",$BR53=""),"",IF('Tally Helper'!$B$57&lt;&gt;TRUE(),"not on Staff",SUMIFS('Tally Helper'!$L$59:$GI$59,'Tally Helper'!$L$57:$GI$57,"&gt;="&amp;$BR53,'Tally Helper'!$L$57:$GI$57,"&lt;="&amp;$BS53)))</f>
        <v/>
      </c>
      <c r="AQ53" s="17" t="str">
        <f aca="false">IF(OR(U$7="",$BR53=""),"",IF('Tally Helper'!$B$60&lt;&gt;TRUE(),"not on Staff",SUMIFS('Tally Helper'!$L$62:$GI$62,'Tally Helper'!$L$60:$GI$60,"&gt;="&amp;$BR53,'Tally Helper'!$L$60:$GI$60,"&lt;="&amp;$BS53)))</f>
        <v/>
      </c>
      <c r="AT53" s="17" t="str">
        <f aca="false">IF(OR(X53="",NOT(ISNUMBER(X53))),"",X53-N(B53))</f>
        <v/>
      </c>
      <c r="AU53" s="17" t="str">
        <f aca="false">IF(OR(Y53="",NOT(ISNUMBER(Y53))),"",Y53-N(C53))</f>
        <v/>
      </c>
      <c r="AV53" s="17" t="str">
        <f aca="false">IF(OR(Z53="",NOT(ISNUMBER(Z53))),"",Z53-N(D53))</f>
        <v/>
      </c>
      <c r="AW53" s="17" t="str">
        <f aca="false">IF(OR(AA53="",NOT(ISNUMBER(AA53))),"",AA53-N(E53))</f>
        <v/>
      </c>
      <c r="AX53" s="17" t="str">
        <f aca="false">IF(OR(AB53="",NOT(ISNUMBER(AB53))),"",AB53-N(F53))</f>
        <v/>
      </c>
      <c r="AY53" s="17" t="str">
        <f aca="false">IF(OR(AC53="",NOT(ISNUMBER(AC53))),"",AC53-N(G53))</f>
        <v/>
      </c>
      <c r="AZ53" s="17" t="str">
        <f aca="false">IF(OR(AD53="",NOT(ISNUMBER(AD53))),"",AD53-N(H53))</f>
        <v/>
      </c>
      <c r="BA53" s="17" t="str">
        <f aca="false">IF(OR(AE53="",NOT(ISNUMBER(AE53))),"",AE53-N(I53))</f>
        <v/>
      </c>
      <c r="BB53" s="17" t="str">
        <f aca="false">IF(OR(AF53="",NOT(ISNUMBER(AF53))),"",AF53-N(J53))</f>
        <v/>
      </c>
      <c r="BC53" s="17" t="str">
        <f aca="false">IF(OR(AG53="",NOT(ISNUMBER(AG53))),"",AG53-N(K53))</f>
        <v/>
      </c>
      <c r="BD53" s="17" t="str">
        <f aca="false">IF(OR(AH53="",NOT(ISNUMBER(AH53))),"",AH53-N(L53))</f>
        <v/>
      </c>
      <c r="BE53" s="17" t="str">
        <f aca="false">IF(OR(AI53="",NOT(ISNUMBER(AI53))),"",AI53-N(M53))</f>
        <v/>
      </c>
      <c r="BF53" s="17" t="str">
        <f aca="false">IF(OR(AJ53="",NOT(ISNUMBER(AJ53))),"",AJ53-N(N53))</f>
        <v/>
      </c>
      <c r="BG53" s="17" t="str">
        <f aca="false">IF(OR(AK53="",NOT(ISNUMBER(AK53))),"",AK53-N(O53))</f>
        <v/>
      </c>
      <c r="BH53" s="17" t="str">
        <f aca="false">IF(OR(AL53="",NOT(ISNUMBER(AL53))),"",AL53-N(P53))</f>
        <v/>
      </c>
      <c r="BI53" s="17" t="str">
        <f aca="false">IF(OR(AM53="",NOT(ISNUMBER(AM53))),"",AM53-N(Q53))</f>
        <v/>
      </c>
      <c r="BJ53" s="17" t="str">
        <f aca="false">IF(OR(AN53="",NOT(ISNUMBER(AN53))),"",AN53-N(R53))</f>
        <v/>
      </c>
      <c r="BK53" s="17" t="str">
        <f aca="false">IF(OR(AO53="",NOT(ISNUMBER(AO53))),"",AO53-N(S53))</f>
        <v/>
      </c>
      <c r="BL53" s="17" t="str">
        <f aca="false">IF(OR(AP53="",NOT(ISNUMBER(AP53))),"",AP53-N(T53))</f>
        <v/>
      </c>
      <c r="BM53" s="17" t="str">
        <f aca="false">IF(OR(AQ53="",NOT(ISNUMBER(AQ53))),"",AQ53-N(U53))</f>
        <v/>
      </c>
      <c r="BR53" s="20" t="str">
        <f aca="false">IF($A53="","",IF(ISNUMBER($A53),DATE(YEAR($A53),MONTH($A53),1),IFERROR(DATE(2000+VALUE(RIGHT(TRIM($A53),2)),MATCH(UPPER(LEFT(TRIM($A53),3)),{"JAN","FEB","MAR","APR","MAY","JUN","JUL","AUG","SEP","OCT","NOV","DEC"},0),1),"")))</f>
        <v/>
      </c>
      <c r="BS53" s="20" t="str">
        <f aca="false">IF(BR53="","",EOMONTH(BR53,0))</f>
        <v/>
      </c>
    </row>
    <row r="54" customFormat="false" ht="15" hidden="false" customHeight="false" outlineLevel="0" collapsed="false">
      <c r="B54" s="21"/>
      <c r="C54" s="21"/>
      <c r="D54" s="21"/>
      <c r="E54" s="21"/>
      <c r="F54" s="21"/>
      <c r="G54" s="21"/>
      <c r="H54" s="21"/>
      <c r="I54" s="21"/>
      <c r="J54" s="21"/>
      <c r="K54" s="21"/>
      <c r="L54" s="21"/>
      <c r="M54" s="21"/>
      <c r="N54" s="21"/>
      <c r="O54" s="21"/>
      <c r="P54" s="21"/>
      <c r="Q54" s="21"/>
      <c r="R54" s="21"/>
      <c r="S54" s="21"/>
      <c r="T54" s="21"/>
      <c r="U54" s="21"/>
      <c r="X54" s="17" t="str">
        <f aca="false">IF(OR(B$7="",$BR54=""),"",IF('Tally Helper'!$B$3&lt;&gt;TRUE(),"not on Staff",SUMIFS('Tally Helper'!$L$5:$GI$5,'Tally Helper'!$L$3:$GI$3,"&gt;="&amp;$BR54,'Tally Helper'!$L$3:$GI$3,"&lt;="&amp;$BS54)))</f>
        <v/>
      </c>
      <c r="Y54" s="17" t="str">
        <f aca="false">IF(OR(C$7="",$BR54=""),"",IF('Tally Helper'!$B$6&lt;&gt;TRUE(),"not on Staff",SUMIFS('Tally Helper'!$L$8:$GI$8,'Tally Helper'!$L$6:$GI$6,"&gt;="&amp;$BR54,'Tally Helper'!$L$6:$GI$6,"&lt;="&amp;$BS54)))</f>
        <v/>
      </c>
      <c r="Z54" s="17" t="str">
        <f aca="false">IF(OR(D$7="",$BR54=""),"",IF('Tally Helper'!$B$9&lt;&gt;TRUE(),"not on Staff",SUMIFS('Tally Helper'!$L$11:$GI$11,'Tally Helper'!$L$9:$GI$9,"&gt;="&amp;$BR54,'Tally Helper'!$L$9:$GI$9,"&lt;="&amp;$BS54)))</f>
        <v/>
      </c>
      <c r="AA54" s="17" t="str">
        <f aca="false">IF(OR(E$7="",$BR54=""),"",IF('Tally Helper'!$B$12&lt;&gt;TRUE(),"not on Staff",SUMIFS('Tally Helper'!$L$14:$GI$14,'Tally Helper'!$L$12:$GI$12,"&gt;="&amp;$BR54,'Tally Helper'!$L$12:$GI$12,"&lt;="&amp;$BS54)))</f>
        <v/>
      </c>
      <c r="AB54" s="17" t="str">
        <f aca="false">IF(OR(F$7="",$BR54=""),"",IF('Tally Helper'!$B$15&lt;&gt;TRUE(),"not on Staff",SUMIFS('Tally Helper'!$L$17:$GI$17,'Tally Helper'!$L$15:$GI$15,"&gt;="&amp;$BR54,'Tally Helper'!$L$15:$GI$15,"&lt;="&amp;$BS54)))</f>
        <v/>
      </c>
      <c r="AC54" s="17" t="str">
        <f aca="false">IF(OR(G$7="",$BR54=""),"",IF('Tally Helper'!$B$18&lt;&gt;TRUE(),"not on Staff",SUMIFS('Tally Helper'!$L$20:$GI$20,'Tally Helper'!$L$18:$GI$18,"&gt;="&amp;$BR54,'Tally Helper'!$L$18:$GI$18,"&lt;="&amp;$BS54)))</f>
        <v/>
      </c>
      <c r="AD54" s="17" t="str">
        <f aca="false">IF(OR(H$7="",$BR54=""),"",IF('Tally Helper'!$B$21&lt;&gt;TRUE(),"not on Staff",SUMIFS('Tally Helper'!$L$23:$GI$23,'Tally Helper'!$L$21:$GI$21,"&gt;="&amp;$BR54,'Tally Helper'!$L$21:$GI$21,"&lt;="&amp;$BS54)))</f>
        <v/>
      </c>
      <c r="AE54" s="17" t="str">
        <f aca="false">IF(OR(I$7="",$BR54=""),"",IF('Tally Helper'!$B$24&lt;&gt;TRUE(),"not on Staff",SUMIFS('Tally Helper'!$L$26:$GI$26,'Tally Helper'!$L$24:$GI$24,"&gt;="&amp;$BR54,'Tally Helper'!$L$24:$GI$24,"&lt;="&amp;$BS54)))</f>
        <v/>
      </c>
      <c r="AF54" s="17" t="str">
        <f aca="false">IF(OR(J$7="",$BR54=""),"",IF('Tally Helper'!$B$27&lt;&gt;TRUE(),"not on Staff",SUMIFS('Tally Helper'!$L$29:$GI$29,'Tally Helper'!$L$27:$GI$27,"&gt;="&amp;$BR54,'Tally Helper'!$L$27:$GI$27,"&lt;="&amp;$BS54)))</f>
        <v/>
      </c>
      <c r="AG54" s="17" t="str">
        <f aca="false">IF(OR(K$7="",$BR54=""),"",IF('Tally Helper'!$B$30&lt;&gt;TRUE(),"not on Staff",SUMIFS('Tally Helper'!$L$32:$GI$32,'Tally Helper'!$L$30:$GI$30,"&gt;="&amp;$BR54,'Tally Helper'!$L$30:$GI$30,"&lt;="&amp;$BS54)))</f>
        <v/>
      </c>
      <c r="AH54" s="17" t="str">
        <f aca="false">IF(OR(L$7="",$BR54=""),"",IF('Tally Helper'!$B$33&lt;&gt;TRUE(),"not on Staff",SUMIFS('Tally Helper'!$L$35:$GI$35,'Tally Helper'!$L$33:$GI$33,"&gt;="&amp;$BR54,'Tally Helper'!$L$33:$GI$33,"&lt;="&amp;$BS54)))</f>
        <v/>
      </c>
      <c r="AI54" s="17" t="str">
        <f aca="false">IF(OR(M$7="",$BR54=""),"",IF('Tally Helper'!$B$36&lt;&gt;TRUE(),"not on Staff",SUMIFS('Tally Helper'!$L$38:$GI$38,'Tally Helper'!$L$36:$GI$36,"&gt;="&amp;$BR54,'Tally Helper'!$L$36:$GI$36,"&lt;="&amp;$BS54)))</f>
        <v/>
      </c>
      <c r="AJ54" s="17" t="str">
        <f aca="false">IF(OR(N$7="",$BR54=""),"",IF('Tally Helper'!$B$39&lt;&gt;TRUE(),"not on Staff",SUMIFS('Tally Helper'!$L$41:$GI$41,'Tally Helper'!$L$39:$GI$39,"&gt;="&amp;$BR54,'Tally Helper'!$L$39:$GI$39,"&lt;="&amp;$BS54)))</f>
        <v/>
      </c>
      <c r="AK54" s="17" t="str">
        <f aca="false">IF(OR(O$7="",$BR54=""),"",IF('Tally Helper'!$B$42&lt;&gt;TRUE(),"not on Staff",SUMIFS('Tally Helper'!$L$44:$GI$44,'Tally Helper'!$L$42:$GI$42,"&gt;="&amp;$BR54,'Tally Helper'!$L$42:$GI$42,"&lt;="&amp;$BS54)))</f>
        <v/>
      </c>
      <c r="AL54" s="17" t="str">
        <f aca="false">IF(OR(P$7="",$BR54=""),"",IF('Tally Helper'!$B$45&lt;&gt;TRUE(),"not on Staff",SUMIFS('Tally Helper'!$L$47:$GI$47,'Tally Helper'!$L$45:$GI$45,"&gt;="&amp;$BR54,'Tally Helper'!$L$45:$GI$45,"&lt;="&amp;$BS54)))</f>
        <v/>
      </c>
      <c r="AM54" s="17" t="str">
        <f aca="false">IF(OR(Q$7="",$BR54=""),"",IF('Tally Helper'!$B$48&lt;&gt;TRUE(),"not on Staff",SUMIFS('Tally Helper'!$L$50:$GI$50,'Tally Helper'!$L$48:$GI$48,"&gt;="&amp;$BR54,'Tally Helper'!$L$48:$GI$48,"&lt;="&amp;$BS54)))</f>
        <v/>
      </c>
      <c r="AN54" s="17" t="str">
        <f aca="false">IF(OR(R$7="",$BR54=""),"",IF('Tally Helper'!$B$51&lt;&gt;TRUE(),"not on Staff",SUMIFS('Tally Helper'!$L$53:$GI$53,'Tally Helper'!$L$51:$GI$51,"&gt;="&amp;$BR54,'Tally Helper'!$L$51:$GI$51,"&lt;="&amp;$BS54)))</f>
        <v/>
      </c>
      <c r="AO54" s="17" t="str">
        <f aca="false">IF(OR(S$7="",$BR54=""),"",IF('Tally Helper'!$B$54&lt;&gt;TRUE(),"not on Staff",SUMIFS('Tally Helper'!$L$56:$GI$56,'Tally Helper'!$L$54:$GI$54,"&gt;="&amp;$BR54,'Tally Helper'!$L$54:$GI$54,"&lt;="&amp;$BS54)))</f>
        <v/>
      </c>
      <c r="AP54" s="17" t="str">
        <f aca="false">IF(OR(T$7="",$BR54=""),"",IF('Tally Helper'!$B$57&lt;&gt;TRUE(),"not on Staff",SUMIFS('Tally Helper'!$L$59:$GI$59,'Tally Helper'!$L$57:$GI$57,"&gt;="&amp;$BR54,'Tally Helper'!$L$57:$GI$57,"&lt;="&amp;$BS54)))</f>
        <v/>
      </c>
      <c r="AQ54" s="17" t="str">
        <f aca="false">IF(OR(U$7="",$BR54=""),"",IF('Tally Helper'!$B$60&lt;&gt;TRUE(),"not on Staff",SUMIFS('Tally Helper'!$L$62:$GI$62,'Tally Helper'!$L$60:$GI$60,"&gt;="&amp;$BR54,'Tally Helper'!$L$60:$GI$60,"&lt;="&amp;$BS54)))</f>
        <v/>
      </c>
      <c r="AT54" s="17" t="str">
        <f aca="false">IF(OR(X54="",NOT(ISNUMBER(X54))),"",X54-N(B54))</f>
        <v/>
      </c>
      <c r="AU54" s="17" t="str">
        <f aca="false">IF(OR(Y54="",NOT(ISNUMBER(Y54))),"",Y54-N(C54))</f>
        <v/>
      </c>
      <c r="AV54" s="17" t="str">
        <f aca="false">IF(OR(Z54="",NOT(ISNUMBER(Z54))),"",Z54-N(D54))</f>
        <v/>
      </c>
      <c r="AW54" s="17" t="str">
        <f aca="false">IF(OR(AA54="",NOT(ISNUMBER(AA54))),"",AA54-N(E54))</f>
        <v/>
      </c>
      <c r="AX54" s="17" t="str">
        <f aca="false">IF(OR(AB54="",NOT(ISNUMBER(AB54))),"",AB54-N(F54))</f>
        <v/>
      </c>
      <c r="AY54" s="17" t="str">
        <f aca="false">IF(OR(AC54="",NOT(ISNUMBER(AC54))),"",AC54-N(G54))</f>
        <v/>
      </c>
      <c r="AZ54" s="17" t="str">
        <f aca="false">IF(OR(AD54="",NOT(ISNUMBER(AD54))),"",AD54-N(H54))</f>
        <v/>
      </c>
      <c r="BA54" s="17" t="str">
        <f aca="false">IF(OR(AE54="",NOT(ISNUMBER(AE54))),"",AE54-N(I54))</f>
        <v/>
      </c>
      <c r="BB54" s="17" t="str">
        <f aca="false">IF(OR(AF54="",NOT(ISNUMBER(AF54))),"",AF54-N(J54))</f>
        <v/>
      </c>
      <c r="BC54" s="17" t="str">
        <f aca="false">IF(OR(AG54="",NOT(ISNUMBER(AG54))),"",AG54-N(K54))</f>
        <v/>
      </c>
      <c r="BD54" s="17" t="str">
        <f aca="false">IF(OR(AH54="",NOT(ISNUMBER(AH54))),"",AH54-N(L54))</f>
        <v/>
      </c>
      <c r="BE54" s="17" t="str">
        <f aca="false">IF(OR(AI54="",NOT(ISNUMBER(AI54))),"",AI54-N(M54))</f>
        <v/>
      </c>
      <c r="BF54" s="17" t="str">
        <f aca="false">IF(OR(AJ54="",NOT(ISNUMBER(AJ54))),"",AJ54-N(N54))</f>
        <v/>
      </c>
      <c r="BG54" s="17" t="str">
        <f aca="false">IF(OR(AK54="",NOT(ISNUMBER(AK54))),"",AK54-N(O54))</f>
        <v/>
      </c>
      <c r="BH54" s="17" t="str">
        <f aca="false">IF(OR(AL54="",NOT(ISNUMBER(AL54))),"",AL54-N(P54))</f>
        <v/>
      </c>
      <c r="BI54" s="17" t="str">
        <f aca="false">IF(OR(AM54="",NOT(ISNUMBER(AM54))),"",AM54-N(Q54))</f>
        <v/>
      </c>
      <c r="BJ54" s="17" t="str">
        <f aca="false">IF(OR(AN54="",NOT(ISNUMBER(AN54))),"",AN54-N(R54))</f>
        <v/>
      </c>
      <c r="BK54" s="17" t="str">
        <f aca="false">IF(OR(AO54="",NOT(ISNUMBER(AO54))),"",AO54-N(S54))</f>
        <v/>
      </c>
      <c r="BL54" s="17" t="str">
        <f aca="false">IF(OR(AP54="",NOT(ISNUMBER(AP54))),"",AP54-N(T54))</f>
        <v/>
      </c>
      <c r="BM54" s="17" t="str">
        <f aca="false">IF(OR(AQ54="",NOT(ISNUMBER(AQ54))),"",AQ54-N(U54))</f>
        <v/>
      </c>
      <c r="BR54" s="20" t="str">
        <f aca="false">IF($A54="","",IF(ISNUMBER($A54),DATE(YEAR($A54),MONTH($A54),1),IFERROR(DATE(2000+VALUE(RIGHT(TRIM($A54),2)),MATCH(UPPER(LEFT(TRIM($A54),3)),{"JAN","FEB","MAR","APR","MAY","JUN","JUL","AUG","SEP","OCT","NOV","DEC"},0),1),"")))</f>
        <v/>
      </c>
      <c r="BS54" s="20" t="str">
        <f aca="false">IF(BR54="","",EOMONTH(BR54,0))</f>
        <v/>
      </c>
    </row>
    <row r="55" customFormat="false" ht="15" hidden="false" customHeight="false" outlineLevel="0" collapsed="false">
      <c r="B55" s="21"/>
      <c r="C55" s="21"/>
      <c r="D55" s="21"/>
      <c r="E55" s="21"/>
      <c r="F55" s="21"/>
      <c r="G55" s="21"/>
      <c r="H55" s="21"/>
      <c r="I55" s="21"/>
      <c r="J55" s="21"/>
      <c r="K55" s="21"/>
      <c r="L55" s="21"/>
      <c r="M55" s="21"/>
      <c r="N55" s="21"/>
      <c r="O55" s="21"/>
      <c r="P55" s="21"/>
      <c r="Q55" s="21"/>
      <c r="R55" s="21"/>
      <c r="S55" s="21"/>
      <c r="T55" s="21"/>
      <c r="U55" s="21"/>
      <c r="X55" s="17" t="str">
        <f aca="false">IF(OR(B$7="",$BR55=""),"",IF('Tally Helper'!$B$3&lt;&gt;TRUE(),"not on Staff",SUMIFS('Tally Helper'!$L$5:$GI$5,'Tally Helper'!$L$3:$GI$3,"&gt;="&amp;$BR55,'Tally Helper'!$L$3:$GI$3,"&lt;="&amp;$BS55)))</f>
        <v/>
      </c>
      <c r="Y55" s="17" t="str">
        <f aca="false">IF(OR(C$7="",$BR55=""),"",IF('Tally Helper'!$B$6&lt;&gt;TRUE(),"not on Staff",SUMIFS('Tally Helper'!$L$8:$GI$8,'Tally Helper'!$L$6:$GI$6,"&gt;="&amp;$BR55,'Tally Helper'!$L$6:$GI$6,"&lt;="&amp;$BS55)))</f>
        <v/>
      </c>
      <c r="Z55" s="17" t="str">
        <f aca="false">IF(OR(D$7="",$BR55=""),"",IF('Tally Helper'!$B$9&lt;&gt;TRUE(),"not on Staff",SUMIFS('Tally Helper'!$L$11:$GI$11,'Tally Helper'!$L$9:$GI$9,"&gt;="&amp;$BR55,'Tally Helper'!$L$9:$GI$9,"&lt;="&amp;$BS55)))</f>
        <v/>
      </c>
      <c r="AA55" s="17" t="str">
        <f aca="false">IF(OR(E$7="",$BR55=""),"",IF('Tally Helper'!$B$12&lt;&gt;TRUE(),"not on Staff",SUMIFS('Tally Helper'!$L$14:$GI$14,'Tally Helper'!$L$12:$GI$12,"&gt;="&amp;$BR55,'Tally Helper'!$L$12:$GI$12,"&lt;="&amp;$BS55)))</f>
        <v/>
      </c>
      <c r="AB55" s="17" t="str">
        <f aca="false">IF(OR(F$7="",$BR55=""),"",IF('Tally Helper'!$B$15&lt;&gt;TRUE(),"not on Staff",SUMIFS('Tally Helper'!$L$17:$GI$17,'Tally Helper'!$L$15:$GI$15,"&gt;="&amp;$BR55,'Tally Helper'!$L$15:$GI$15,"&lt;="&amp;$BS55)))</f>
        <v/>
      </c>
      <c r="AC55" s="17" t="str">
        <f aca="false">IF(OR(G$7="",$BR55=""),"",IF('Tally Helper'!$B$18&lt;&gt;TRUE(),"not on Staff",SUMIFS('Tally Helper'!$L$20:$GI$20,'Tally Helper'!$L$18:$GI$18,"&gt;="&amp;$BR55,'Tally Helper'!$L$18:$GI$18,"&lt;="&amp;$BS55)))</f>
        <v/>
      </c>
      <c r="AD55" s="17" t="str">
        <f aca="false">IF(OR(H$7="",$BR55=""),"",IF('Tally Helper'!$B$21&lt;&gt;TRUE(),"not on Staff",SUMIFS('Tally Helper'!$L$23:$GI$23,'Tally Helper'!$L$21:$GI$21,"&gt;="&amp;$BR55,'Tally Helper'!$L$21:$GI$21,"&lt;="&amp;$BS55)))</f>
        <v/>
      </c>
      <c r="AE55" s="17" t="str">
        <f aca="false">IF(OR(I$7="",$BR55=""),"",IF('Tally Helper'!$B$24&lt;&gt;TRUE(),"not on Staff",SUMIFS('Tally Helper'!$L$26:$GI$26,'Tally Helper'!$L$24:$GI$24,"&gt;="&amp;$BR55,'Tally Helper'!$L$24:$GI$24,"&lt;="&amp;$BS55)))</f>
        <v/>
      </c>
      <c r="AF55" s="17" t="str">
        <f aca="false">IF(OR(J$7="",$BR55=""),"",IF('Tally Helper'!$B$27&lt;&gt;TRUE(),"not on Staff",SUMIFS('Tally Helper'!$L$29:$GI$29,'Tally Helper'!$L$27:$GI$27,"&gt;="&amp;$BR55,'Tally Helper'!$L$27:$GI$27,"&lt;="&amp;$BS55)))</f>
        <v/>
      </c>
      <c r="AG55" s="17" t="str">
        <f aca="false">IF(OR(K$7="",$BR55=""),"",IF('Tally Helper'!$B$30&lt;&gt;TRUE(),"not on Staff",SUMIFS('Tally Helper'!$L$32:$GI$32,'Tally Helper'!$L$30:$GI$30,"&gt;="&amp;$BR55,'Tally Helper'!$L$30:$GI$30,"&lt;="&amp;$BS55)))</f>
        <v/>
      </c>
      <c r="AH55" s="17" t="str">
        <f aca="false">IF(OR(L$7="",$BR55=""),"",IF('Tally Helper'!$B$33&lt;&gt;TRUE(),"not on Staff",SUMIFS('Tally Helper'!$L$35:$GI$35,'Tally Helper'!$L$33:$GI$33,"&gt;="&amp;$BR55,'Tally Helper'!$L$33:$GI$33,"&lt;="&amp;$BS55)))</f>
        <v/>
      </c>
      <c r="AI55" s="17" t="str">
        <f aca="false">IF(OR(M$7="",$BR55=""),"",IF('Tally Helper'!$B$36&lt;&gt;TRUE(),"not on Staff",SUMIFS('Tally Helper'!$L$38:$GI$38,'Tally Helper'!$L$36:$GI$36,"&gt;="&amp;$BR55,'Tally Helper'!$L$36:$GI$36,"&lt;="&amp;$BS55)))</f>
        <v/>
      </c>
      <c r="AJ55" s="17" t="str">
        <f aca="false">IF(OR(N$7="",$BR55=""),"",IF('Tally Helper'!$B$39&lt;&gt;TRUE(),"not on Staff",SUMIFS('Tally Helper'!$L$41:$GI$41,'Tally Helper'!$L$39:$GI$39,"&gt;="&amp;$BR55,'Tally Helper'!$L$39:$GI$39,"&lt;="&amp;$BS55)))</f>
        <v/>
      </c>
      <c r="AK55" s="17" t="str">
        <f aca="false">IF(OR(O$7="",$BR55=""),"",IF('Tally Helper'!$B$42&lt;&gt;TRUE(),"not on Staff",SUMIFS('Tally Helper'!$L$44:$GI$44,'Tally Helper'!$L$42:$GI$42,"&gt;="&amp;$BR55,'Tally Helper'!$L$42:$GI$42,"&lt;="&amp;$BS55)))</f>
        <v/>
      </c>
      <c r="AL55" s="17" t="str">
        <f aca="false">IF(OR(P$7="",$BR55=""),"",IF('Tally Helper'!$B$45&lt;&gt;TRUE(),"not on Staff",SUMIFS('Tally Helper'!$L$47:$GI$47,'Tally Helper'!$L$45:$GI$45,"&gt;="&amp;$BR55,'Tally Helper'!$L$45:$GI$45,"&lt;="&amp;$BS55)))</f>
        <v/>
      </c>
      <c r="AM55" s="17" t="str">
        <f aca="false">IF(OR(Q$7="",$BR55=""),"",IF('Tally Helper'!$B$48&lt;&gt;TRUE(),"not on Staff",SUMIFS('Tally Helper'!$L$50:$GI$50,'Tally Helper'!$L$48:$GI$48,"&gt;="&amp;$BR55,'Tally Helper'!$L$48:$GI$48,"&lt;="&amp;$BS55)))</f>
        <v/>
      </c>
      <c r="AN55" s="17" t="str">
        <f aca="false">IF(OR(R$7="",$BR55=""),"",IF('Tally Helper'!$B$51&lt;&gt;TRUE(),"not on Staff",SUMIFS('Tally Helper'!$L$53:$GI$53,'Tally Helper'!$L$51:$GI$51,"&gt;="&amp;$BR55,'Tally Helper'!$L$51:$GI$51,"&lt;="&amp;$BS55)))</f>
        <v/>
      </c>
      <c r="AO55" s="17" t="str">
        <f aca="false">IF(OR(S$7="",$BR55=""),"",IF('Tally Helper'!$B$54&lt;&gt;TRUE(),"not on Staff",SUMIFS('Tally Helper'!$L$56:$GI$56,'Tally Helper'!$L$54:$GI$54,"&gt;="&amp;$BR55,'Tally Helper'!$L$54:$GI$54,"&lt;="&amp;$BS55)))</f>
        <v/>
      </c>
      <c r="AP55" s="17" t="str">
        <f aca="false">IF(OR(T$7="",$BR55=""),"",IF('Tally Helper'!$B$57&lt;&gt;TRUE(),"not on Staff",SUMIFS('Tally Helper'!$L$59:$GI$59,'Tally Helper'!$L$57:$GI$57,"&gt;="&amp;$BR55,'Tally Helper'!$L$57:$GI$57,"&lt;="&amp;$BS55)))</f>
        <v/>
      </c>
      <c r="AQ55" s="17" t="str">
        <f aca="false">IF(OR(U$7="",$BR55=""),"",IF('Tally Helper'!$B$60&lt;&gt;TRUE(),"not on Staff",SUMIFS('Tally Helper'!$L$62:$GI$62,'Tally Helper'!$L$60:$GI$60,"&gt;="&amp;$BR55,'Tally Helper'!$L$60:$GI$60,"&lt;="&amp;$BS55)))</f>
        <v/>
      </c>
      <c r="AT55" s="17" t="str">
        <f aca="false">IF(OR(X55="",NOT(ISNUMBER(X55))),"",X55-N(B55))</f>
        <v/>
      </c>
      <c r="AU55" s="17" t="str">
        <f aca="false">IF(OR(Y55="",NOT(ISNUMBER(Y55))),"",Y55-N(C55))</f>
        <v/>
      </c>
      <c r="AV55" s="17" t="str">
        <f aca="false">IF(OR(Z55="",NOT(ISNUMBER(Z55))),"",Z55-N(D55))</f>
        <v/>
      </c>
      <c r="AW55" s="17" t="str">
        <f aca="false">IF(OR(AA55="",NOT(ISNUMBER(AA55))),"",AA55-N(E55))</f>
        <v/>
      </c>
      <c r="AX55" s="17" t="str">
        <f aca="false">IF(OR(AB55="",NOT(ISNUMBER(AB55))),"",AB55-N(F55))</f>
        <v/>
      </c>
      <c r="AY55" s="17" t="str">
        <f aca="false">IF(OR(AC55="",NOT(ISNUMBER(AC55))),"",AC55-N(G55))</f>
        <v/>
      </c>
      <c r="AZ55" s="17" t="str">
        <f aca="false">IF(OR(AD55="",NOT(ISNUMBER(AD55))),"",AD55-N(H55))</f>
        <v/>
      </c>
      <c r="BA55" s="17" t="str">
        <f aca="false">IF(OR(AE55="",NOT(ISNUMBER(AE55))),"",AE55-N(I55))</f>
        <v/>
      </c>
      <c r="BB55" s="17" t="str">
        <f aca="false">IF(OR(AF55="",NOT(ISNUMBER(AF55))),"",AF55-N(J55))</f>
        <v/>
      </c>
      <c r="BC55" s="17" t="str">
        <f aca="false">IF(OR(AG55="",NOT(ISNUMBER(AG55))),"",AG55-N(K55))</f>
        <v/>
      </c>
      <c r="BD55" s="17" t="str">
        <f aca="false">IF(OR(AH55="",NOT(ISNUMBER(AH55))),"",AH55-N(L55))</f>
        <v/>
      </c>
      <c r="BE55" s="17" t="str">
        <f aca="false">IF(OR(AI55="",NOT(ISNUMBER(AI55))),"",AI55-N(M55))</f>
        <v/>
      </c>
      <c r="BF55" s="17" t="str">
        <f aca="false">IF(OR(AJ55="",NOT(ISNUMBER(AJ55))),"",AJ55-N(N55))</f>
        <v/>
      </c>
      <c r="BG55" s="17" t="str">
        <f aca="false">IF(OR(AK55="",NOT(ISNUMBER(AK55))),"",AK55-N(O55))</f>
        <v/>
      </c>
      <c r="BH55" s="17" t="str">
        <f aca="false">IF(OR(AL55="",NOT(ISNUMBER(AL55))),"",AL55-N(P55))</f>
        <v/>
      </c>
      <c r="BI55" s="17" t="str">
        <f aca="false">IF(OR(AM55="",NOT(ISNUMBER(AM55))),"",AM55-N(Q55))</f>
        <v/>
      </c>
      <c r="BJ55" s="17" t="str">
        <f aca="false">IF(OR(AN55="",NOT(ISNUMBER(AN55))),"",AN55-N(R55))</f>
        <v/>
      </c>
      <c r="BK55" s="17" t="str">
        <f aca="false">IF(OR(AO55="",NOT(ISNUMBER(AO55))),"",AO55-N(S55))</f>
        <v/>
      </c>
      <c r="BL55" s="17" t="str">
        <f aca="false">IF(OR(AP55="",NOT(ISNUMBER(AP55))),"",AP55-N(T55))</f>
        <v/>
      </c>
      <c r="BM55" s="17" t="str">
        <f aca="false">IF(OR(AQ55="",NOT(ISNUMBER(AQ55))),"",AQ55-N(U55))</f>
        <v/>
      </c>
      <c r="BR55" s="20" t="str">
        <f aca="false">IF($A55="","",IF(ISNUMBER($A55),DATE(YEAR($A55),MONTH($A55),1),IFERROR(DATE(2000+VALUE(RIGHT(TRIM($A55),2)),MATCH(UPPER(LEFT(TRIM($A55),3)),{"JAN","FEB","MAR","APR","MAY","JUN","JUL","AUG","SEP","OCT","NOV","DEC"},0),1),"")))</f>
        <v/>
      </c>
      <c r="BS55" s="20" t="str">
        <f aca="false">IF(BR55="","",EOMONTH(BR55,0))</f>
        <v/>
      </c>
    </row>
    <row r="56" customFormat="false" ht="15" hidden="false" customHeight="false" outlineLevel="0" collapsed="false">
      <c r="B56" s="21"/>
      <c r="C56" s="21"/>
      <c r="D56" s="21"/>
      <c r="E56" s="21"/>
      <c r="F56" s="21"/>
      <c r="G56" s="21"/>
      <c r="H56" s="21"/>
      <c r="I56" s="21"/>
      <c r="J56" s="21"/>
      <c r="K56" s="21"/>
      <c r="L56" s="21"/>
      <c r="M56" s="21"/>
      <c r="N56" s="21"/>
      <c r="O56" s="21"/>
      <c r="P56" s="21"/>
      <c r="Q56" s="21"/>
      <c r="R56" s="21"/>
      <c r="S56" s="21"/>
      <c r="T56" s="21"/>
      <c r="U56" s="21"/>
      <c r="X56" s="17" t="str">
        <f aca="false">IF(OR(B$7="",$BR56=""),"",IF('Tally Helper'!$B$3&lt;&gt;TRUE(),"not on Staff",SUMIFS('Tally Helper'!$L$5:$GI$5,'Tally Helper'!$L$3:$GI$3,"&gt;="&amp;$BR56,'Tally Helper'!$L$3:$GI$3,"&lt;="&amp;$BS56)))</f>
        <v/>
      </c>
      <c r="Y56" s="17" t="str">
        <f aca="false">IF(OR(C$7="",$BR56=""),"",IF('Tally Helper'!$B$6&lt;&gt;TRUE(),"not on Staff",SUMIFS('Tally Helper'!$L$8:$GI$8,'Tally Helper'!$L$6:$GI$6,"&gt;="&amp;$BR56,'Tally Helper'!$L$6:$GI$6,"&lt;="&amp;$BS56)))</f>
        <v/>
      </c>
      <c r="Z56" s="17" t="str">
        <f aca="false">IF(OR(D$7="",$BR56=""),"",IF('Tally Helper'!$B$9&lt;&gt;TRUE(),"not on Staff",SUMIFS('Tally Helper'!$L$11:$GI$11,'Tally Helper'!$L$9:$GI$9,"&gt;="&amp;$BR56,'Tally Helper'!$L$9:$GI$9,"&lt;="&amp;$BS56)))</f>
        <v/>
      </c>
      <c r="AA56" s="17" t="str">
        <f aca="false">IF(OR(E$7="",$BR56=""),"",IF('Tally Helper'!$B$12&lt;&gt;TRUE(),"not on Staff",SUMIFS('Tally Helper'!$L$14:$GI$14,'Tally Helper'!$L$12:$GI$12,"&gt;="&amp;$BR56,'Tally Helper'!$L$12:$GI$12,"&lt;="&amp;$BS56)))</f>
        <v/>
      </c>
      <c r="AB56" s="17" t="str">
        <f aca="false">IF(OR(F$7="",$BR56=""),"",IF('Tally Helper'!$B$15&lt;&gt;TRUE(),"not on Staff",SUMIFS('Tally Helper'!$L$17:$GI$17,'Tally Helper'!$L$15:$GI$15,"&gt;="&amp;$BR56,'Tally Helper'!$L$15:$GI$15,"&lt;="&amp;$BS56)))</f>
        <v/>
      </c>
      <c r="AC56" s="17" t="str">
        <f aca="false">IF(OR(G$7="",$BR56=""),"",IF('Tally Helper'!$B$18&lt;&gt;TRUE(),"not on Staff",SUMIFS('Tally Helper'!$L$20:$GI$20,'Tally Helper'!$L$18:$GI$18,"&gt;="&amp;$BR56,'Tally Helper'!$L$18:$GI$18,"&lt;="&amp;$BS56)))</f>
        <v/>
      </c>
      <c r="AD56" s="17" t="str">
        <f aca="false">IF(OR(H$7="",$BR56=""),"",IF('Tally Helper'!$B$21&lt;&gt;TRUE(),"not on Staff",SUMIFS('Tally Helper'!$L$23:$GI$23,'Tally Helper'!$L$21:$GI$21,"&gt;="&amp;$BR56,'Tally Helper'!$L$21:$GI$21,"&lt;="&amp;$BS56)))</f>
        <v/>
      </c>
      <c r="AE56" s="17" t="str">
        <f aca="false">IF(OR(I$7="",$BR56=""),"",IF('Tally Helper'!$B$24&lt;&gt;TRUE(),"not on Staff",SUMIFS('Tally Helper'!$L$26:$GI$26,'Tally Helper'!$L$24:$GI$24,"&gt;="&amp;$BR56,'Tally Helper'!$L$24:$GI$24,"&lt;="&amp;$BS56)))</f>
        <v/>
      </c>
      <c r="AF56" s="17" t="str">
        <f aca="false">IF(OR(J$7="",$BR56=""),"",IF('Tally Helper'!$B$27&lt;&gt;TRUE(),"not on Staff",SUMIFS('Tally Helper'!$L$29:$GI$29,'Tally Helper'!$L$27:$GI$27,"&gt;="&amp;$BR56,'Tally Helper'!$L$27:$GI$27,"&lt;="&amp;$BS56)))</f>
        <v/>
      </c>
      <c r="AG56" s="17" t="str">
        <f aca="false">IF(OR(K$7="",$BR56=""),"",IF('Tally Helper'!$B$30&lt;&gt;TRUE(),"not on Staff",SUMIFS('Tally Helper'!$L$32:$GI$32,'Tally Helper'!$L$30:$GI$30,"&gt;="&amp;$BR56,'Tally Helper'!$L$30:$GI$30,"&lt;="&amp;$BS56)))</f>
        <v/>
      </c>
      <c r="AH56" s="17" t="str">
        <f aca="false">IF(OR(L$7="",$BR56=""),"",IF('Tally Helper'!$B$33&lt;&gt;TRUE(),"not on Staff",SUMIFS('Tally Helper'!$L$35:$GI$35,'Tally Helper'!$L$33:$GI$33,"&gt;="&amp;$BR56,'Tally Helper'!$L$33:$GI$33,"&lt;="&amp;$BS56)))</f>
        <v/>
      </c>
      <c r="AI56" s="17" t="str">
        <f aca="false">IF(OR(M$7="",$BR56=""),"",IF('Tally Helper'!$B$36&lt;&gt;TRUE(),"not on Staff",SUMIFS('Tally Helper'!$L$38:$GI$38,'Tally Helper'!$L$36:$GI$36,"&gt;="&amp;$BR56,'Tally Helper'!$L$36:$GI$36,"&lt;="&amp;$BS56)))</f>
        <v/>
      </c>
      <c r="AJ56" s="17" t="str">
        <f aca="false">IF(OR(N$7="",$BR56=""),"",IF('Tally Helper'!$B$39&lt;&gt;TRUE(),"not on Staff",SUMIFS('Tally Helper'!$L$41:$GI$41,'Tally Helper'!$L$39:$GI$39,"&gt;="&amp;$BR56,'Tally Helper'!$L$39:$GI$39,"&lt;="&amp;$BS56)))</f>
        <v/>
      </c>
      <c r="AK56" s="17" t="str">
        <f aca="false">IF(OR(O$7="",$BR56=""),"",IF('Tally Helper'!$B$42&lt;&gt;TRUE(),"not on Staff",SUMIFS('Tally Helper'!$L$44:$GI$44,'Tally Helper'!$L$42:$GI$42,"&gt;="&amp;$BR56,'Tally Helper'!$L$42:$GI$42,"&lt;="&amp;$BS56)))</f>
        <v/>
      </c>
      <c r="AL56" s="17" t="str">
        <f aca="false">IF(OR(P$7="",$BR56=""),"",IF('Tally Helper'!$B$45&lt;&gt;TRUE(),"not on Staff",SUMIFS('Tally Helper'!$L$47:$GI$47,'Tally Helper'!$L$45:$GI$45,"&gt;="&amp;$BR56,'Tally Helper'!$L$45:$GI$45,"&lt;="&amp;$BS56)))</f>
        <v/>
      </c>
      <c r="AM56" s="17" t="str">
        <f aca="false">IF(OR(Q$7="",$BR56=""),"",IF('Tally Helper'!$B$48&lt;&gt;TRUE(),"not on Staff",SUMIFS('Tally Helper'!$L$50:$GI$50,'Tally Helper'!$L$48:$GI$48,"&gt;="&amp;$BR56,'Tally Helper'!$L$48:$GI$48,"&lt;="&amp;$BS56)))</f>
        <v/>
      </c>
      <c r="AN56" s="17" t="str">
        <f aca="false">IF(OR(R$7="",$BR56=""),"",IF('Tally Helper'!$B$51&lt;&gt;TRUE(),"not on Staff",SUMIFS('Tally Helper'!$L$53:$GI$53,'Tally Helper'!$L$51:$GI$51,"&gt;="&amp;$BR56,'Tally Helper'!$L$51:$GI$51,"&lt;="&amp;$BS56)))</f>
        <v/>
      </c>
      <c r="AO56" s="17" t="str">
        <f aca="false">IF(OR(S$7="",$BR56=""),"",IF('Tally Helper'!$B$54&lt;&gt;TRUE(),"not on Staff",SUMIFS('Tally Helper'!$L$56:$GI$56,'Tally Helper'!$L$54:$GI$54,"&gt;="&amp;$BR56,'Tally Helper'!$L$54:$GI$54,"&lt;="&amp;$BS56)))</f>
        <v/>
      </c>
      <c r="AP56" s="17" t="str">
        <f aca="false">IF(OR(T$7="",$BR56=""),"",IF('Tally Helper'!$B$57&lt;&gt;TRUE(),"not on Staff",SUMIFS('Tally Helper'!$L$59:$GI$59,'Tally Helper'!$L$57:$GI$57,"&gt;="&amp;$BR56,'Tally Helper'!$L$57:$GI$57,"&lt;="&amp;$BS56)))</f>
        <v/>
      </c>
      <c r="AQ56" s="17" t="str">
        <f aca="false">IF(OR(U$7="",$BR56=""),"",IF('Tally Helper'!$B$60&lt;&gt;TRUE(),"not on Staff",SUMIFS('Tally Helper'!$L$62:$GI$62,'Tally Helper'!$L$60:$GI$60,"&gt;="&amp;$BR56,'Tally Helper'!$L$60:$GI$60,"&lt;="&amp;$BS56)))</f>
        <v/>
      </c>
      <c r="AT56" s="17" t="str">
        <f aca="false">IF(OR(X56="",NOT(ISNUMBER(X56))),"",X56-N(B56))</f>
        <v/>
      </c>
      <c r="AU56" s="17" t="str">
        <f aca="false">IF(OR(Y56="",NOT(ISNUMBER(Y56))),"",Y56-N(C56))</f>
        <v/>
      </c>
      <c r="AV56" s="17" t="str">
        <f aca="false">IF(OR(Z56="",NOT(ISNUMBER(Z56))),"",Z56-N(D56))</f>
        <v/>
      </c>
      <c r="AW56" s="17" t="str">
        <f aca="false">IF(OR(AA56="",NOT(ISNUMBER(AA56))),"",AA56-N(E56))</f>
        <v/>
      </c>
      <c r="AX56" s="17" t="str">
        <f aca="false">IF(OR(AB56="",NOT(ISNUMBER(AB56))),"",AB56-N(F56))</f>
        <v/>
      </c>
      <c r="AY56" s="17" t="str">
        <f aca="false">IF(OR(AC56="",NOT(ISNUMBER(AC56))),"",AC56-N(G56))</f>
        <v/>
      </c>
      <c r="AZ56" s="17" t="str">
        <f aca="false">IF(OR(AD56="",NOT(ISNUMBER(AD56))),"",AD56-N(H56))</f>
        <v/>
      </c>
      <c r="BA56" s="17" t="str">
        <f aca="false">IF(OR(AE56="",NOT(ISNUMBER(AE56))),"",AE56-N(I56))</f>
        <v/>
      </c>
      <c r="BB56" s="17" t="str">
        <f aca="false">IF(OR(AF56="",NOT(ISNUMBER(AF56))),"",AF56-N(J56))</f>
        <v/>
      </c>
      <c r="BC56" s="17" t="str">
        <f aca="false">IF(OR(AG56="",NOT(ISNUMBER(AG56))),"",AG56-N(K56))</f>
        <v/>
      </c>
      <c r="BD56" s="17" t="str">
        <f aca="false">IF(OR(AH56="",NOT(ISNUMBER(AH56))),"",AH56-N(L56))</f>
        <v/>
      </c>
      <c r="BE56" s="17" t="str">
        <f aca="false">IF(OR(AI56="",NOT(ISNUMBER(AI56))),"",AI56-N(M56))</f>
        <v/>
      </c>
      <c r="BF56" s="17" t="str">
        <f aca="false">IF(OR(AJ56="",NOT(ISNUMBER(AJ56))),"",AJ56-N(N56))</f>
        <v/>
      </c>
      <c r="BG56" s="17" t="str">
        <f aca="false">IF(OR(AK56="",NOT(ISNUMBER(AK56))),"",AK56-N(O56))</f>
        <v/>
      </c>
      <c r="BH56" s="17" t="str">
        <f aca="false">IF(OR(AL56="",NOT(ISNUMBER(AL56))),"",AL56-N(P56))</f>
        <v/>
      </c>
      <c r="BI56" s="17" t="str">
        <f aca="false">IF(OR(AM56="",NOT(ISNUMBER(AM56))),"",AM56-N(Q56))</f>
        <v/>
      </c>
      <c r="BJ56" s="17" t="str">
        <f aca="false">IF(OR(AN56="",NOT(ISNUMBER(AN56))),"",AN56-N(R56))</f>
        <v/>
      </c>
      <c r="BK56" s="17" t="str">
        <f aca="false">IF(OR(AO56="",NOT(ISNUMBER(AO56))),"",AO56-N(S56))</f>
        <v/>
      </c>
      <c r="BL56" s="17" t="str">
        <f aca="false">IF(OR(AP56="",NOT(ISNUMBER(AP56))),"",AP56-N(T56))</f>
        <v/>
      </c>
      <c r="BM56" s="17" t="str">
        <f aca="false">IF(OR(AQ56="",NOT(ISNUMBER(AQ56))),"",AQ56-N(U56))</f>
        <v/>
      </c>
      <c r="BR56" s="20" t="str">
        <f aca="false">IF($A56="","",IF(ISNUMBER($A56),DATE(YEAR($A56),MONTH($A56),1),IFERROR(DATE(2000+VALUE(RIGHT(TRIM($A56),2)),MATCH(UPPER(LEFT(TRIM($A56),3)),{"JAN","FEB","MAR","APR","MAY","JUN","JUL","AUG","SEP","OCT","NOV","DEC"},0),1),"")))</f>
        <v/>
      </c>
      <c r="BS56" s="20" t="str">
        <f aca="false">IF(BR56="","",EOMONTH(BR56,0))</f>
        <v/>
      </c>
    </row>
    <row r="57" customFormat="false" ht="15" hidden="false" customHeight="false" outlineLevel="0" collapsed="false">
      <c r="B57" s="21"/>
      <c r="C57" s="21"/>
      <c r="D57" s="21"/>
      <c r="E57" s="21"/>
      <c r="F57" s="21"/>
      <c r="G57" s="21"/>
      <c r="H57" s="21"/>
      <c r="I57" s="21"/>
      <c r="J57" s="21"/>
      <c r="K57" s="21"/>
      <c r="L57" s="21"/>
      <c r="M57" s="21"/>
      <c r="N57" s="21"/>
      <c r="O57" s="21"/>
      <c r="P57" s="21"/>
      <c r="Q57" s="21"/>
      <c r="R57" s="21"/>
      <c r="S57" s="21"/>
      <c r="T57" s="21"/>
      <c r="U57" s="21"/>
      <c r="X57" s="17" t="str">
        <f aca="false">IF(OR(B$7="",$BR57=""),"",IF('Tally Helper'!$B$3&lt;&gt;TRUE(),"not on Staff",SUMIFS('Tally Helper'!$L$5:$GI$5,'Tally Helper'!$L$3:$GI$3,"&gt;="&amp;$BR57,'Tally Helper'!$L$3:$GI$3,"&lt;="&amp;$BS57)))</f>
        <v/>
      </c>
      <c r="Y57" s="17" t="str">
        <f aca="false">IF(OR(C$7="",$BR57=""),"",IF('Tally Helper'!$B$6&lt;&gt;TRUE(),"not on Staff",SUMIFS('Tally Helper'!$L$8:$GI$8,'Tally Helper'!$L$6:$GI$6,"&gt;="&amp;$BR57,'Tally Helper'!$L$6:$GI$6,"&lt;="&amp;$BS57)))</f>
        <v/>
      </c>
      <c r="Z57" s="17" t="str">
        <f aca="false">IF(OR(D$7="",$BR57=""),"",IF('Tally Helper'!$B$9&lt;&gt;TRUE(),"not on Staff",SUMIFS('Tally Helper'!$L$11:$GI$11,'Tally Helper'!$L$9:$GI$9,"&gt;="&amp;$BR57,'Tally Helper'!$L$9:$GI$9,"&lt;="&amp;$BS57)))</f>
        <v/>
      </c>
      <c r="AA57" s="17" t="str">
        <f aca="false">IF(OR(E$7="",$BR57=""),"",IF('Tally Helper'!$B$12&lt;&gt;TRUE(),"not on Staff",SUMIFS('Tally Helper'!$L$14:$GI$14,'Tally Helper'!$L$12:$GI$12,"&gt;="&amp;$BR57,'Tally Helper'!$L$12:$GI$12,"&lt;="&amp;$BS57)))</f>
        <v/>
      </c>
      <c r="AB57" s="17" t="str">
        <f aca="false">IF(OR(F$7="",$BR57=""),"",IF('Tally Helper'!$B$15&lt;&gt;TRUE(),"not on Staff",SUMIFS('Tally Helper'!$L$17:$GI$17,'Tally Helper'!$L$15:$GI$15,"&gt;="&amp;$BR57,'Tally Helper'!$L$15:$GI$15,"&lt;="&amp;$BS57)))</f>
        <v/>
      </c>
      <c r="AC57" s="17" t="str">
        <f aca="false">IF(OR(G$7="",$BR57=""),"",IF('Tally Helper'!$B$18&lt;&gt;TRUE(),"not on Staff",SUMIFS('Tally Helper'!$L$20:$GI$20,'Tally Helper'!$L$18:$GI$18,"&gt;="&amp;$BR57,'Tally Helper'!$L$18:$GI$18,"&lt;="&amp;$BS57)))</f>
        <v/>
      </c>
      <c r="AD57" s="17" t="str">
        <f aca="false">IF(OR(H$7="",$BR57=""),"",IF('Tally Helper'!$B$21&lt;&gt;TRUE(),"not on Staff",SUMIFS('Tally Helper'!$L$23:$GI$23,'Tally Helper'!$L$21:$GI$21,"&gt;="&amp;$BR57,'Tally Helper'!$L$21:$GI$21,"&lt;="&amp;$BS57)))</f>
        <v/>
      </c>
      <c r="AE57" s="17" t="str">
        <f aca="false">IF(OR(I$7="",$BR57=""),"",IF('Tally Helper'!$B$24&lt;&gt;TRUE(),"not on Staff",SUMIFS('Tally Helper'!$L$26:$GI$26,'Tally Helper'!$L$24:$GI$24,"&gt;="&amp;$BR57,'Tally Helper'!$L$24:$GI$24,"&lt;="&amp;$BS57)))</f>
        <v/>
      </c>
      <c r="AF57" s="17" t="str">
        <f aca="false">IF(OR(J$7="",$BR57=""),"",IF('Tally Helper'!$B$27&lt;&gt;TRUE(),"not on Staff",SUMIFS('Tally Helper'!$L$29:$GI$29,'Tally Helper'!$L$27:$GI$27,"&gt;="&amp;$BR57,'Tally Helper'!$L$27:$GI$27,"&lt;="&amp;$BS57)))</f>
        <v/>
      </c>
      <c r="AG57" s="17" t="str">
        <f aca="false">IF(OR(K$7="",$BR57=""),"",IF('Tally Helper'!$B$30&lt;&gt;TRUE(),"not on Staff",SUMIFS('Tally Helper'!$L$32:$GI$32,'Tally Helper'!$L$30:$GI$30,"&gt;="&amp;$BR57,'Tally Helper'!$L$30:$GI$30,"&lt;="&amp;$BS57)))</f>
        <v/>
      </c>
      <c r="AH57" s="17" t="str">
        <f aca="false">IF(OR(L$7="",$BR57=""),"",IF('Tally Helper'!$B$33&lt;&gt;TRUE(),"not on Staff",SUMIFS('Tally Helper'!$L$35:$GI$35,'Tally Helper'!$L$33:$GI$33,"&gt;="&amp;$BR57,'Tally Helper'!$L$33:$GI$33,"&lt;="&amp;$BS57)))</f>
        <v/>
      </c>
      <c r="AI57" s="17" t="str">
        <f aca="false">IF(OR(M$7="",$BR57=""),"",IF('Tally Helper'!$B$36&lt;&gt;TRUE(),"not on Staff",SUMIFS('Tally Helper'!$L$38:$GI$38,'Tally Helper'!$L$36:$GI$36,"&gt;="&amp;$BR57,'Tally Helper'!$L$36:$GI$36,"&lt;="&amp;$BS57)))</f>
        <v/>
      </c>
      <c r="AJ57" s="17" t="str">
        <f aca="false">IF(OR(N$7="",$BR57=""),"",IF('Tally Helper'!$B$39&lt;&gt;TRUE(),"not on Staff",SUMIFS('Tally Helper'!$L$41:$GI$41,'Tally Helper'!$L$39:$GI$39,"&gt;="&amp;$BR57,'Tally Helper'!$L$39:$GI$39,"&lt;="&amp;$BS57)))</f>
        <v/>
      </c>
      <c r="AK57" s="17" t="str">
        <f aca="false">IF(OR(O$7="",$BR57=""),"",IF('Tally Helper'!$B$42&lt;&gt;TRUE(),"not on Staff",SUMIFS('Tally Helper'!$L$44:$GI$44,'Tally Helper'!$L$42:$GI$42,"&gt;="&amp;$BR57,'Tally Helper'!$L$42:$GI$42,"&lt;="&amp;$BS57)))</f>
        <v/>
      </c>
      <c r="AL57" s="17" t="str">
        <f aca="false">IF(OR(P$7="",$BR57=""),"",IF('Tally Helper'!$B$45&lt;&gt;TRUE(),"not on Staff",SUMIFS('Tally Helper'!$L$47:$GI$47,'Tally Helper'!$L$45:$GI$45,"&gt;="&amp;$BR57,'Tally Helper'!$L$45:$GI$45,"&lt;="&amp;$BS57)))</f>
        <v/>
      </c>
      <c r="AM57" s="17" t="str">
        <f aca="false">IF(OR(Q$7="",$BR57=""),"",IF('Tally Helper'!$B$48&lt;&gt;TRUE(),"not on Staff",SUMIFS('Tally Helper'!$L$50:$GI$50,'Tally Helper'!$L$48:$GI$48,"&gt;="&amp;$BR57,'Tally Helper'!$L$48:$GI$48,"&lt;="&amp;$BS57)))</f>
        <v/>
      </c>
      <c r="AN57" s="17" t="str">
        <f aca="false">IF(OR(R$7="",$BR57=""),"",IF('Tally Helper'!$B$51&lt;&gt;TRUE(),"not on Staff",SUMIFS('Tally Helper'!$L$53:$GI$53,'Tally Helper'!$L$51:$GI$51,"&gt;="&amp;$BR57,'Tally Helper'!$L$51:$GI$51,"&lt;="&amp;$BS57)))</f>
        <v/>
      </c>
      <c r="AO57" s="17" t="str">
        <f aca="false">IF(OR(S$7="",$BR57=""),"",IF('Tally Helper'!$B$54&lt;&gt;TRUE(),"not on Staff",SUMIFS('Tally Helper'!$L$56:$GI$56,'Tally Helper'!$L$54:$GI$54,"&gt;="&amp;$BR57,'Tally Helper'!$L$54:$GI$54,"&lt;="&amp;$BS57)))</f>
        <v/>
      </c>
      <c r="AP57" s="17" t="str">
        <f aca="false">IF(OR(T$7="",$BR57=""),"",IF('Tally Helper'!$B$57&lt;&gt;TRUE(),"not on Staff",SUMIFS('Tally Helper'!$L$59:$GI$59,'Tally Helper'!$L$57:$GI$57,"&gt;="&amp;$BR57,'Tally Helper'!$L$57:$GI$57,"&lt;="&amp;$BS57)))</f>
        <v/>
      </c>
      <c r="AQ57" s="17" t="str">
        <f aca="false">IF(OR(U$7="",$BR57=""),"",IF('Tally Helper'!$B$60&lt;&gt;TRUE(),"not on Staff",SUMIFS('Tally Helper'!$L$62:$GI$62,'Tally Helper'!$L$60:$GI$60,"&gt;="&amp;$BR57,'Tally Helper'!$L$60:$GI$60,"&lt;="&amp;$BS57)))</f>
        <v/>
      </c>
      <c r="AT57" s="17" t="str">
        <f aca="false">IF(OR(X57="",NOT(ISNUMBER(X57))),"",X57-N(B57))</f>
        <v/>
      </c>
      <c r="AU57" s="17" t="str">
        <f aca="false">IF(OR(Y57="",NOT(ISNUMBER(Y57))),"",Y57-N(C57))</f>
        <v/>
      </c>
      <c r="AV57" s="17" t="str">
        <f aca="false">IF(OR(Z57="",NOT(ISNUMBER(Z57))),"",Z57-N(D57))</f>
        <v/>
      </c>
      <c r="AW57" s="17" t="str">
        <f aca="false">IF(OR(AA57="",NOT(ISNUMBER(AA57))),"",AA57-N(E57))</f>
        <v/>
      </c>
      <c r="AX57" s="17" t="str">
        <f aca="false">IF(OR(AB57="",NOT(ISNUMBER(AB57))),"",AB57-N(F57))</f>
        <v/>
      </c>
      <c r="AY57" s="17" t="str">
        <f aca="false">IF(OR(AC57="",NOT(ISNUMBER(AC57))),"",AC57-N(G57))</f>
        <v/>
      </c>
      <c r="AZ57" s="17" t="str">
        <f aca="false">IF(OR(AD57="",NOT(ISNUMBER(AD57))),"",AD57-N(H57))</f>
        <v/>
      </c>
      <c r="BA57" s="17" t="str">
        <f aca="false">IF(OR(AE57="",NOT(ISNUMBER(AE57))),"",AE57-N(I57))</f>
        <v/>
      </c>
      <c r="BB57" s="17" t="str">
        <f aca="false">IF(OR(AF57="",NOT(ISNUMBER(AF57))),"",AF57-N(J57))</f>
        <v/>
      </c>
      <c r="BC57" s="17" t="str">
        <f aca="false">IF(OR(AG57="",NOT(ISNUMBER(AG57))),"",AG57-N(K57))</f>
        <v/>
      </c>
      <c r="BD57" s="17" t="str">
        <f aca="false">IF(OR(AH57="",NOT(ISNUMBER(AH57))),"",AH57-N(L57))</f>
        <v/>
      </c>
      <c r="BE57" s="17" t="str">
        <f aca="false">IF(OR(AI57="",NOT(ISNUMBER(AI57))),"",AI57-N(M57))</f>
        <v/>
      </c>
      <c r="BF57" s="17" t="str">
        <f aca="false">IF(OR(AJ57="",NOT(ISNUMBER(AJ57))),"",AJ57-N(N57))</f>
        <v/>
      </c>
      <c r="BG57" s="17" t="str">
        <f aca="false">IF(OR(AK57="",NOT(ISNUMBER(AK57))),"",AK57-N(O57))</f>
        <v/>
      </c>
      <c r="BH57" s="17" t="str">
        <f aca="false">IF(OR(AL57="",NOT(ISNUMBER(AL57))),"",AL57-N(P57))</f>
        <v/>
      </c>
      <c r="BI57" s="17" t="str">
        <f aca="false">IF(OR(AM57="",NOT(ISNUMBER(AM57))),"",AM57-N(Q57))</f>
        <v/>
      </c>
      <c r="BJ57" s="17" t="str">
        <f aca="false">IF(OR(AN57="",NOT(ISNUMBER(AN57))),"",AN57-N(R57))</f>
        <v/>
      </c>
      <c r="BK57" s="17" t="str">
        <f aca="false">IF(OR(AO57="",NOT(ISNUMBER(AO57))),"",AO57-N(S57))</f>
        <v/>
      </c>
      <c r="BL57" s="17" t="str">
        <f aca="false">IF(OR(AP57="",NOT(ISNUMBER(AP57))),"",AP57-N(T57))</f>
        <v/>
      </c>
      <c r="BM57" s="17" t="str">
        <f aca="false">IF(OR(AQ57="",NOT(ISNUMBER(AQ57))),"",AQ57-N(U57))</f>
        <v/>
      </c>
      <c r="BR57" s="20" t="str">
        <f aca="false">IF($A57="","",IF(ISNUMBER($A57),DATE(YEAR($A57),MONTH($A57),1),IFERROR(DATE(2000+VALUE(RIGHT(TRIM($A57),2)),MATCH(UPPER(LEFT(TRIM($A57),3)),{"JAN","FEB","MAR","APR","MAY","JUN","JUL","AUG","SEP","OCT","NOV","DEC"},0),1),"")))</f>
        <v/>
      </c>
      <c r="BS57" s="20" t="str">
        <f aca="false">IF(BR57="","",EOMONTH(BR57,0))</f>
        <v/>
      </c>
    </row>
    <row r="58" customFormat="false" ht="15" hidden="false" customHeight="false" outlineLevel="0" collapsed="false">
      <c r="B58" s="21"/>
      <c r="C58" s="21"/>
      <c r="D58" s="21"/>
      <c r="E58" s="21"/>
      <c r="F58" s="21"/>
      <c r="G58" s="21"/>
      <c r="H58" s="21"/>
      <c r="I58" s="21"/>
      <c r="J58" s="21"/>
      <c r="K58" s="21"/>
      <c r="L58" s="21"/>
      <c r="M58" s="21"/>
      <c r="N58" s="21"/>
      <c r="O58" s="21"/>
      <c r="P58" s="21"/>
      <c r="Q58" s="21"/>
      <c r="R58" s="21"/>
      <c r="S58" s="21"/>
      <c r="T58" s="21"/>
      <c r="U58" s="21"/>
      <c r="X58" s="17" t="str">
        <f aca="false">IF(OR(B$7="",$BR58=""),"",IF('Tally Helper'!$B$3&lt;&gt;TRUE(),"not on Staff",SUMIFS('Tally Helper'!$L$5:$GI$5,'Tally Helper'!$L$3:$GI$3,"&gt;="&amp;$BR58,'Tally Helper'!$L$3:$GI$3,"&lt;="&amp;$BS58)))</f>
        <v/>
      </c>
      <c r="Y58" s="17" t="str">
        <f aca="false">IF(OR(C$7="",$BR58=""),"",IF('Tally Helper'!$B$6&lt;&gt;TRUE(),"not on Staff",SUMIFS('Tally Helper'!$L$8:$GI$8,'Tally Helper'!$L$6:$GI$6,"&gt;="&amp;$BR58,'Tally Helper'!$L$6:$GI$6,"&lt;="&amp;$BS58)))</f>
        <v/>
      </c>
      <c r="Z58" s="17" t="str">
        <f aca="false">IF(OR(D$7="",$BR58=""),"",IF('Tally Helper'!$B$9&lt;&gt;TRUE(),"not on Staff",SUMIFS('Tally Helper'!$L$11:$GI$11,'Tally Helper'!$L$9:$GI$9,"&gt;="&amp;$BR58,'Tally Helper'!$L$9:$GI$9,"&lt;="&amp;$BS58)))</f>
        <v/>
      </c>
      <c r="AA58" s="17" t="str">
        <f aca="false">IF(OR(E$7="",$BR58=""),"",IF('Tally Helper'!$B$12&lt;&gt;TRUE(),"not on Staff",SUMIFS('Tally Helper'!$L$14:$GI$14,'Tally Helper'!$L$12:$GI$12,"&gt;="&amp;$BR58,'Tally Helper'!$L$12:$GI$12,"&lt;="&amp;$BS58)))</f>
        <v/>
      </c>
      <c r="AB58" s="17" t="str">
        <f aca="false">IF(OR(F$7="",$BR58=""),"",IF('Tally Helper'!$B$15&lt;&gt;TRUE(),"not on Staff",SUMIFS('Tally Helper'!$L$17:$GI$17,'Tally Helper'!$L$15:$GI$15,"&gt;="&amp;$BR58,'Tally Helper'!$L$15:$GI$15,"&lt;="&amp;$BS58)))</f>
        <v/>
      </c>
      <c r="AC58" s="17" t="str">
        <f aca="false">IF(OR(G$7="",$BR58=""),"",IF('Tally Helper'!$B$18&lt;&gt;TRUE(),"not on Staff",SUMIFS('Tally Helper'!$L$20:$GI$20,'Tally Helper'!$L$18:$GI$18,"&gt;="&amp;$BR58,'Tally Helper'!$L$18:$GI$18,"&lt;="&amp;$BS58)))</f>
        <v/>
      </c>
      <c r="AD58" s="17" t="str">
        <f aca="false">IF(OR(H$7="",$BR58=""),"",IF('Tally Helper'!$B$21&lt;&gt;TRUE(),"not on Staff",SUMIFS('Tally Helper'!$L$23:$GI$23,'Tally Helper'!$L$21:$GI$21,"&gt;="&amp;$BR58,'Tally Helper'!$L$21:$GI$21,"&lt;="&amp;$BS58)))</f>
        <v/>
      </c>
      <c r="AE58" s="17" t="str">
        <f aca="false">IF(OR(I$7="",$BR58=""),"",IF('Tally Helper'!$B$24&lt;&gt;TRUE(),"not on Staff",SUMIFS('Tally Helper'!$L$26:$GI$26,'Tally Helper'!$L$24:$GI$24,"&gt;="&amp;$BR58,'Tally Helper'!$L$24:$GI$24,"&lt;="&amp;$BS58)))</f>
        <v/>
      </c>
      <c r="AF58" s="17" t="str">
        <f aca="false">IF(OR(J$7="",$BR58=""),"",IF('Tally Helper'!$B$27&lt;&gt;TRUE(),"not on Staff",SUMIFS('Tally Helper'!$L$29:$GI$29,'Tally Helper'!$L$27:$GI$27,"&gt;="&amp;$BR58,'Tally Helper'!$L$27:$GI$27,"&lt;="&amp;$BS58)))</f>
        <v/>
      </c>
      <c r="AG58" s="17" t="str">
        <f aca="false">IF(OR(K$7="",$BR58=""),"",IF('Tally Helper'!$B$30&lt;&gt;TRUE(),"not on Staff",SUMIFS('Tally Helper'!$L$32:$GI$32,'Tally Helper'!$L$30:$GI$30,"&gt;="&amp;$BR58,'Tally Helper'!$L$30:$GI$30,"&lt;="&amp;$BS58)))</f>
        <v/>
      </c>
      <c r="AH58" s="17" t="str">
        <f aca="false">IF(OR(L$7="",$BR58=""),"",IF('Tally Helper'!$B$33&lt;&gt;TRUE(),"not on Staff",SUMIFS('Tally Helper'!$L$35:$GI$35,'Tally Helper'!$L$33:$GI$33,"&gt;="&amp;$BR58,'Tally Helper'!$L$33:$GI$33,"&lt;="&amp;$BS58)))</f>
        <v/>
      </c>
      <c r="AI58" s="17" t="str">
        <f aca="false">IF(OR(M$7="",$BR58=""),"",IF('Tally Helper'!$B$36&lt;&gt;TRUE(),"not on Staff",SUMIFS('Tally Helper'!$L$38:$GI$38,'Tally Helper'!$L$36:$GI$36,"&gt;="&amp;$BR58,'Tally Helper'!$L$36:$GI$36,"&lt;="&amp;$BS58)))</f>
        <v/>
      </c>
      <c r="AJ58" s="17" t="str">
        <f aca="false">IF(OR(N$7="",$BR58=""),"",IF('Tally Helper'!$B$39&lt;&gt;TRUE(),"not on Staff",SUMIFS('Tally Helper'!$L$41:$GI$41,'Tally Helper'!$L$39:$GI$39,"&gt;="&amp;$BR58,'Tally Helper'!$L$39:$GI$39,"&lt;="&amp;$BS58)))</f>
        <v/>
      </c>
      <c r="AK58" s="17" t="str">
        <f aca="false">IF(OR(O$7="",$BR58=""),"",IF('Tally Helper'!$B$42&lt;&gt;TRUE(),"not on Staff",SUMIFS('Tally Helper'!$L$44:$GI$44,'Tally Helper'!$L$42:$GI$42,"&gt;="&amp;$BR58,'Tally Helper'!$L$42:$GI$42,"&lt;="&amp;$BS58)))</f>
        <v/>
      </c>
      <c r="AL58" s="17" t="str">
        <f aca="false">IF(OR(P$7="",$BR58=""),"",IF('Tally Helper'!$B$45&lt;&gt;TRUE(),"not on Staff",SUMIFS('Tally Helper'!$L$47:$GI$47,'Tally Helper'!$L$45:$GI$45,"&gt;="&amp;$BR58,'Tally Helper'!$L$45:$GI$45,"&lt;="&amp;$BS58)))</f>
        <v/>
      </c>
      <c r="AM58" s="17" t="str">
        <f aca="false">IF(OR(Q$7="",$BR58=""),"",IF('Tally Helper'!$B$48&lt;&gt;TRUE(),"not on Staff",SUMIFS('Tally Helper'!$L$50:$GI$50,'Tally Helper'!$L$48:$GI$48,"&gt;="&amp;$BR58,'Tally Helper'!$L$48:$GI$48,"&lt;="&amp;$BS58)))</f>
        <v/>
      </c>
      <c r="AN58" s="17" t="str">
        <f aca="false">IF(OR(R$7="",$BR58=""),"",IF('Tally Helper'!$B$51&lt;&gt;TRUE(),"not on Staff",SUMIFS('Tally Helper'!$L$53:$GI$53,'Tally Helper'!$L$51:$GI$51,"&gt;="&amp;$BR58,'Tally Helper'!$L$51:$GI$51,"&lt;="&amp;$BS58)))</f>
        <v/>
      </c>
      <c r="AO58" s="17" t="str">
        <f aca="false">IF(OR(S$7="",$BR58=""),"",IF('Tally Helper'!$B$54&lt;&gt;TRUE(),"not on Staff",SUMIFS('Tally Helper'!$L$56:$GI$56,'Tally Helper'!$L$54:$GI$54,"&gt;="&amp;$BR58,'Tally Helper'!$L$54:$GI$54,"&lt;="&amp;$BS58)))</f>
        <v/>
      </c>
      <c r="AP58" s="17" t="str">
        <f aca="false">IF(OR(T$7="",$BR58=""),"",IF('Tally Helper'!$B$57&lt;&gt;TRUE(),"not on Staff",SUMIFS('Tally Helper'!$L$59:$GI$59,'Tally Helper'!$L$57:$GI$57,"&gt;="&amp;$BR58,'Tally Helper'!$L$57:$GI$57,"&lt;="&amp;$BS58)))</f>
        <v/>
      </c>
      <c r="AQ58" s="17" t="str">
        <f aca="false">IF(OR(U$7="",$BR58=""),"",IF('Tally Helper'!$B$60&lt;&gt;TRUE(),"not on Staff",SUMIFS('Tally Helper'!$L$62:$GI$62,'Tally Helper'!$L$60:$GI$60,"&gt;="&amp;$BR58,'Tally Helper'!$L$60:$GI$60,"&lt;="&amp;$BS58)))</f>
        <v/>
      </c>
      <c r="AT58" s="17" t="str">
        <f aca="false">IF(OR(X58="",NOT(ISNUMBER(X58))),"",X58-N(B58))</f>
        <v/>
      </c>
      <c r="AU58" s="17" t="str">
        <f aca="false">IF(OR(Y58="",NOT(ISNUMBER(Y58))),"",Y58-N(C58))</f>
        <v/>
      </c>
      <c r="AV58" s="17" t="str">
        <f aca="false">IF(OR(Z58="",NOT(ISNUMBER(Z58))),"",Z58-N(D58))</f>
        <v/>
      </c>
      <c r="AW58" s="17" t="str">
        <f aca="false">IF(OR(AA58="",NOT(ISNUMBER(AA58))),"",AA58-N(E58))</f>
        <v/>
      </c>
      <c r="AX58" s="17" t="str">
        <f aca="false">IF(OR(AB58="",NOT(ISNUMBER(AB58))),"",AB58-N(F58))</f>
        <v/>
      </c>
      <c r="AY58" s="17" t="str">
        <f aca="false">IF(OR(AC58="",NOT(ISNUMBER(AC58))),"",AC58-N(G58))</f>
        <v/>
      </c>
      <c r="AZ58" s="17" t="str">
        <f aca="false">IF(OR(AD58="",NOT(ISNUMBER(AD58))),"",AD58-N(H58))</f>
        <v/>
      </c>
      <c r="BA58" s="17" t="str">
        <f aca="false">IF(OR(AE58="",NOT(ISNUMBER(AE58))),"",AE58-N(I58))</f>
        <v/>
      </c>
      <c r="BB58" s="17" t="str">
        <f aca="false">IF(OR(AF58="",NOT(ISNUMBER(AF58))),"",AF58-N(J58))</f>
        <v/>
      </c>
      <c r="BC58" s="17" t="str">
        <f aca="false">IF(OR(AG58="",NOT(ISNUMBER(AG58))),"",AG58-N(K58))</f>
        <v/>
      </c>
      <c r="BD58" s="17" t="str">
        <f aca="false">IF(OR(AH58="",NOT(ISNUMBER(AH58))),"",AH58-N(L58))</f>
        <v/>
      </c>
      <c r="BE58" s="17" t="str">
        <f aca="false">IF(OR(AI58="",NOT(ISNUMBER(AI58))),"",AI58-N(M58))</f>
        <v/>
      </c>
      <c r="BF58" s="17" t="str">
        <f aca="false">IF(OR(AJ58="",NOT(ISNUMBER(AJ58))),"",AJ58-N(N58))</f>
        <v/>
      </c>
      <c r="BG58" s="17" t="str">
        <f aca="false">IF(OR(AK58="",NOT(ISNUMBER(AK58))),"",AK58-N(O58))</f>
        <v/>
      </c>
      <c r="BH58" s="17" t="str">
        <f aca="false">IF(OR(AL58="",NOT(ISNUMBER(AL58))),"",AL58-N(P58))</f>
        <v/>
      </c>
      <c r="BI58" s="17" t="str">
        <f aca="false">IF(OR(AM58="",NOT(ISNUMBER(AM58))),"",AM58-N(Q58))</f>
        <v/>
      </c>
      <c r="BJ58" s="17" t="str">
        <f aca="false">IF(OR(AN58="",NOT(ISNUMBER(AN58))),"",AN58-N(R58))</f>
        <v/>
      </c>
      <c r="BK58" s="17" t="str">
        <f aca="false">IF(OR(AO58="",NOT(ISNUMBER(AO58))),"",AO58-N(S58))</f>
        <v/>
      </c>
      <c r="BL58" s="17" t="str">
        <f aca="false">IF(OR(AP58="",NOT(ISNUMBER(AP58))),"",AP58-N(T58))</f>
        <v/>
      </c>
      <c r="BM58" s="17" t="str">
        <f aca="false">IF(OR(AQ58="",NOT(ISNUMBER(AQ58))),"",AQ58-N(U58))</f>
        <v/>
      </c>
      <c r="BR58" s="20" t="str">
        <f aca="false">IF($A58="","",IF(ISNUMBER($A58),DATE(YEAR($A58),MONTH($A58),1),IFERROR(DATE(2000+VALUE(RIGHT(TRIM($A58),2)),MATCH(UPPER(LEFT(TRIM($A58),3)),{"JAN","FEB","MAR","APR","MAY","JUN","JUL","AUG","SEP","OCT","NOV","DEC"},0),1),"")))</f>
        <v/>
      </c>
      <c r="BS58" s="20" t="str">
        <f aca="false">IF(BR58="","",EOMONTH(BR58,0))</f>
        <v/>
      </c>
    </row>
    <row r="59" customFormat="false" ht="15" hidden="false" customHeight="false" outlineLevel="0" collapsed="false">
      <c r="B59" s="21"/>
      <c r="C59" s="21"/>
      <c r="D59" s="21"/>
      <c r="E59" s="21"/>
      <c r="F59" s="21"/>
      <c r="G59" s="21"/>
      <c r="H59" s="21"/>
      <c r="I59" s="21"/>
      <c r="J59" s="21"/>
      <c r="K59" s="21"/>
      <c r="L59" s="21"/>
      <c r="M59" s="21"/>
      <c r="N59" s="21"/>
      <c r="O59" s="21"/>
      <c r="P59" s="21"/>
      <c r="Q59" s="21"/>
      <c r="R59" s="21"/>
      <c r="S59" s="21"/>
      <c r="T59" s="21"/>
      <c r="U59" s="21"/>
      <c r="X59" s="17" t="str">
        <f aca="false">IF(OR(B$7="",$BR59=""),"",IF('Tally Helper'!$B$3&lt;&gt;TRUE(),"not on Staff",SUMIFS('Tally Helper'!$L$5:$GI$5,'Tally Helper'!$L$3:$GI$3,"&gt;="&amp;$BR59,'Tally Helper'!$L$3:$GI$3,"&lt;="&amp;$BS59)))</f>
        <v/>
      </c>
      <c r="Y59" s="17" t="str">
        <f aca="false">IF(OR(C$7="",$BR59=""),"",IF('Tally Helper'!$B$6&lt;&gt;TRUE(),"not on Staff",SUMIFS('Tally Helper'!$L$8:$GI$8,'Tally Helper'!$L$6:$GI$6,"&gt;="&amp;$BR59,'Tally Helper'!$L$6:$GI$6,"&lt;="&amp;$BS59)))</f>
        <v/>
      </c>
      <c r="Z59" s="17" t="str">
        <f aca="false">IF(OR(D$7="",$BR59=""),"",IF('Tally Helper'!$B$9&lt;&gt;TRUE(),"not on Staff",SUMIFS('Tally Helper'!$L$11:$GI$11,'Tally Helper'!$L$9:$GI$9,"&gt;="&amp;$BR59,'Tally Helper'!$L$9:$GI$9,"&lt;="&amp;$BS59)))</f>
        <v/>
      </c>
      <c r="AA59" s="17" t="str">
        <f aca="false">IF(OR(E$7="",$BR59=""),"",IF('Tally Helper'!$B$12&lt;&gt;TRUE(),"not on Staff",SUMIFS('Tally Helper'!$L$14:$GI$14,'Tally Helper'!$L$12:$GI$12,"&gt;="&amp;$BR59,'Tally Helper'!$L$12:$GI$12,"&lt;="&amp;$BS59)))</f>
        <v/>
      </c>
      <c r="AB59" s="17" t="str">
        <f aca="false">IF(OR(F$7="",$BR59=""),"",IF('Tally Helper'!$B$15&lt;&gt;TRUE(),"not on Staff",SUMIFS('Tally Helper'!$L$17:$GI$17,'Tally Helper'!$L$15:$GI$15,"&gt;="&amp;$BR59,'Tally Helper'!$L$15:$GI$15,"&lt;="&amp;$BS59)))</f>
        <v/>
      </c>
      <c r="AC59" s="17" t="str">
        <f aca="false">IF(OR(G$7="",$BR59=""),"",IF('Tally Helper'!$B$18&lt;&gt;TRUE(),"not on Staff",SUMIFS('Tally Helper'!$L$20:$GI$20,'Tally Helper'!$L$18:$GI$18,"&gt;="&amp;$BR59,'Tally Helper'!$L$18:$GI$18,"&lt;="&amp;$BS59)))</f>
        <v/>
      </c>
      <c r="AD59" s="17" t="str">
        <f aca="false">IF(OR(H$7="",$BR59=""),"",IF('Tally Helper'!$B$21&lt;&gt;TRUE(),"not on Staff",SUMIFS('Tally Helper'!$L$23:$GI$23,'Tally Helper'!$L$21:$GI$21,"&gt;="&amp;$BR59,'Tally Helper'!$L$21:$GI$21,"&lt;="&amp;$BS59)))</f>
        <v/>
      </c>
      <c r="AE59" s="17" t="str">
        <f aca="false">IF(OR(I$7="",$BR59=""),"",IF('Tally Helper'!$B$24&lt;&gt;TRUE(),"not on Staff",SUMIFS('Tally Helper'!$L$26:$GI$26,'Tally Helper'!$L$24:$GI$24,"&gt;="&amp;$BR59,'Tally Helper'!$L$24:$GI$24,"&lt;="&amp;$BS59)))</f>
        <v/>
      </c>
      <c r="AF59" s="17" t="str">
        <f aca="false">IF(OR(J$7="",$BR59=""),"",IF('Tally Helper'!$B$27&lt;&gt;TRUE(),"not on Staff",SUMIFS('Tally Helper'!$L$29:$GI$29,'Tally Helper'!$L$27:$GI$27,"&gt;="&amp;$BR59,'Tally Helper'!$L$27:$GI$27,"&lt;="&amp;$BS59)))</f>
        <v/>
      </c>
      <c r="AG59" s="17" t="str">
        <f aca="false">IF(OR(K$7="",$BR59=""),"",IF('Tally Helper'!$B$30&lt;&gt;TRUE(),"not on Staff",SUMIFS('Tally Helper'!$L$32:$GI$32,'Tally Helper'!$L$30:$GI$30,"&gt;="&amp;$BR59,'Tally Helper'!$L$30:$GI$30,"&lt;="&amp;$BS59)))</f>
        <v/>
      </c>
      <c r="AH59" s="17" t="str">
        <f aca="false">IF(OR(L$7="",$BR59=""),"",IF('Tally Helper'!$B$33&lt;&gt;TRUE(),"not on Staff",SUMIFS('Tally Helper'!$L$35:$GI$35,'Tally Helper'!$L$33:$GI$33,"&gt;="&amp;$BR59,'Tally Helper'!$L$33:$GI$33,"&lt;="&amp;$BS59)))</f>
        <v/>
      </c>
      <c r="AI59" s="17" t="str">
        <f aca="false">IF(OR(M$7="",$BR59=""),"",IF('Tally Helper'!$B$36&lt;&gt;TRUE(),"not on Staff",SUMIFS('Tally Helper'!$L$38:$GI$38,'Tally Helper'!$L$36:$GI$36,"&gt;="&amp;$BR59,'Tally Helper'!$L$36:$GI$36,"&lt;="&amp;$BS59)))</f>
        <v/>
      </c>
      <c r="AJ59" s="17" t="str">
        <f aca="false">IF(OR(N$7="",$BR59=""),"",IF('Tally Helper'!$B$39&lt;&gt;TRUE(),"not on Staff",SUMIFS('Tally Helper'!$L$41:$GI$41,'Tally Helper'!$L$39:$GI$39,"&gt;="&amp;$BR59,'Tally Helper'!$L$39:$GI$39,"&lt;="&amp;$BS59)))</f>
        <v/>
      </c>
      <c r="AK59" s="17" t="str">
        <f aca="false">IF(OR(O$7="",$BR59=""),"",IF('Tally Helper'!$B$42&lt;&gt;TRUE(),"not on Staff",SUMIFS('Tally Helper'!$L$44:$GI$44,'Tally Helper'!$L$42:$GI$42,"&gt;="&amp;$BR59,'Tally Helper'!$L$42:$GI$42,"&lt;="&amp;$BS59)))</f>
        <v/>
      </c>
      <c r="AL59" s="17" t="str">
        <f aca="false">IF(OR(P$7="",$BR59=""),"",IF('Tally Helper'!$B$45&lt;&gt;TRUE(),"not on Staff",SUMIFS('Tally Helper'!$L$47:$GI$47,'Tally Helper'!$L$45:$GI$45,"&gt;="&amp;$BR59,'Tally Helper'!$L$45:$GI$45,"&lt;="&amp;$BS59)))</f>
        <v/>
      </c>
      <c r="AM59" s="17" t="str">
        <f aca="false">IF(OR(Q$7="",$BR59=""),"",IF('Tally Helper'!$B$48&lt;&gt;TRUE(),"not on Staff",SUMIFS('Tally Helper'!$L$50:$GI$50,'Tally Helper'!$L$48:$GI$48,"&gt;="&amp;$BR59,'Tally Helper'!$L$48:$GI$48,"&lt;="&amp;$BS59)))</f>
        <v/>
      </c>
      <c r="AN59" s="17" t="str">
        <f aca="false">IF(OR(R$7="",$BR59=""),"",IF('Tally Helper'!$B$51&lt;&gt;TRUE(),"not on Staff",SUMIFS('Tally Helper'!$L$53:$GI$53,'Tally Helper'!$L$51:$GI$51,"&gt;="&amp;$BR59,'Tally Helper'!$L$51:$GI$51,"&lt;="&amp;$BS59)))</f>
        <v/>
      </c>
      <c r="AO59" s="17" t="str">
        <f aca="false">IF(OR(S$7="",$BR59=""),"",IF('Tally Helper'!$B$54&lt;&gt;TRUE(),"not on Staff",SUMIFS('Tally Helper'!$L$56:$GI$56,'Tally Helper'!$L$54:$GI$54,"&gt;="&amp;$BR59,'Tally Helper'!$L$54:$GI$54,"&lt;="&amp;$BS59)))</f>
        <v/>
      </c>
      <c r="AP59" s="17" t="str">
        <f aca="false">IF(OR(T$7="",$BR59=""),"",IF('Tally Helper'!$B$57&lt;&gt;TRUE(),"not on Staff",SUMIFS('Tally Helper'!$L$59:$GI$59,'Tally Helper'!$L$57:$GI$57,"&gt;="&amp;$BR59,'Tally Helper'!$L$57:$GI$57,"&lt;="&amp;$BS59)))</f>
        <v/>
      </c>
      <c r="AQ59" s="17" t="str">
        <f aca="false">IF(OR(U$7="",$BR59=""),"",IF('Tally Helper'!$B$60&lt;&gt;TRUE(),"not on Staff",SUMIFS('Tally Helper'!$L$62:$GI$62,'Tally Helper'!$L$60:$GI$60,"&gt;="&amp;$BR59,'Tally Helper'!$L$60:$GI$60,"&lt;="&amp;$BS59)))</f>
        <v/>
      </c>
      <c r="AT59" s="17" t="str">
        <f aca="false">IF(OR(X59="",NOT(ISNUMBER(X59))),"",X59-N(B59))</f>
        <v/>
      </c>
      <c r="AU59" s="17" t="str">
        <f aca="false">IF(OR(Y59="",NOT(ISNUMBER(Y59))),"",Y59-N(C59))</f>
        <v/>
      </c>
      <c r="AV59" s="17" t="str">
        <f aca="false">IF(OR(Z59="",NOT(ISNUMBER(Z59))),"",Z59-N(D59))</f>
        <v/>
      </c>
      <c r="AW59" s="17" t="str">
        <f aca="false">IF(OR(AA59="",NOT(ISNUMBER(AA59))),"",AA59-N(E59))</f>
        <v/>
      </c>
      <c r="AX59" s="17" t="str">
        <f aca="false">IF(OR(AB59="",NOT(ISNUMBER(AB59))),"",AB59-N(F59))</f>
        <v/>
      </c>
      <c r="AY59" s="17" t="str">
        <f aca="false">IF(OR(AC59="",NOT(ISNUMBER(AC59))),"",AC59-N(G59))</f>
        <v/>
      </c>
      <c r="AZ59" s="17" t="str">
        <f aca="false">IF(OR(AD59="",NOT(ISNUMBER(AD59))),"",AD59-N(H59))</f>
        <v/>
      </c>
      <c r="BA59" s="17" t="str">
        <f aca="false">IF(OR(AE59="",NOT(ISNUMBER(AE59))),"",AE59-N(I59))</f>
        <v/>
      </c>
      <c r="BB59" s="17" t="str">
        <f aca="false">IF(OR(AF59="",NOT(ISNUMBER(AF59))),"",AF59-N(J59))</f>
        <v/>
      </c>
      <c r="BC59" s="17" t="str">
        <f aca="false">IF(OR(AG59="",NOT(ISNUMBER(AG59))),"",AG59-N(K59))</f>
        <v/>
      </c>
      <c r="BD59" s="17" t="str">
        <f aca="false">IF(OR(AH59="",NOT(ISNUMBER(AH59))),"",AH59-N(L59))</f>
        <v/>
      </c>
      <c r="BE59" s="17" t="str">
        <f aca="false">IF(OR(AI59="",NOT(ISNUMBER(AI59))),"",AI59-N(M59))</f>
        <v/>
      </c>
      <c r="BF59" s="17" t="str">
        <f aca="false">IF(OR(AJ59="",NOT(ISNUMBER(AJ59))),"",AJ59-N(N59))</f>
        <v/>
      </c>
      <c r="BG59" s="17" t="str">
        <f aca="false">IF(OR(AK59="",NOT(ISNUMBER(AK59))),"",AK59-N(O59))</f>
        <v/>
      </c>
      <c r="BH59" s="17" t="str">
        <f aca="false">IF(OR(AL59="",NOT(ISNUMBER(AL59))),"",AL59-N(P59))</f>
        <v/>
      </c>
      <c r="BI59" s="17" t="str">
        <f aca="false">IF(OR(AM59="",NOT(ISNUMBER(AM59))),"",AM59-N(Q59))</f>
        <v/>
      </c>
      <c r="BJ59" s="17" t="str">
        <f aca="false">IF(OR(AN59="",NOT(ISNUMBER(AN59))),"",AN59-N(R59))</f>
        <v/>
      </c>
      <c r="BK59" s="17" t="str">
        <f aca="false">IF(OR(AO59="",NOT(ISNUMBER(AO59))),"",AO59-N(S59))</f>
        <v/>
      </c>
      <c r="BL59" s="17" t="str">
        <f aca="false">IF(OR(AP59="",NOT(ISNUMBER(AP59))),"",AP59-N(T59))</f>
        <v/>
      </c>
      <c r="BM59" s="17" t="str">
        <f aca="false">IF(OR(AQ59="",NOT(ISNUMBER(AQ59))),"",AQ59-N(U59))</f>
        <v/>
      </c>
      <c r="BR59" s="20" t="str">
        <f aca="false">IF($A59="","",IF(ISNUMBER($A59),DATE(YEAR($A59),MONTH($A59),1),IFERROR(DATE(2000+VALUE(RIGHT(TRIM($A59),2)),MATCH(UPPER(LEFT(TRIM($A59),3)),{"JAN","FEB","MAR","APR","MAY","JUN","JUL","AUG","SEP","OCT","NOV","DEC"},0),1),"")))</f>
        <v/>
      </c>
      <c r="BS59" s="20" t="str">
        <f aca="false">IF(BR59="","",EOMONTH(BR59,0))</f>
        <v/>
      </c>
    </row>
    <row r="60" customFormat="false" ht="15" hidden="false" customHeight="false" outlineLevel="0" collapsed="false">
      <c r="B60" s="21"/>
      <c r="C60" s="21"/>
      <c r="D60" s="21"/>
      <c r="E60" s="21"/>
      <c r="F60" s="21"/>
      <c r="G60" s="21"/>
      <c r="H60" s="21"/>
      <c r="I60" s="21"/>
      <c r="J60" s="21"/>
      <c r="K60" s="21"/>
      <c r="L60" s="21"/>
      <c r="M60" s="21"/>
      <c r="N60" s="21"/>
      <c r="O60" s="21"/>
      <c r="P60" s="21"/>
      <c r="Q60" s="21"/>
      <c r="R60" s="21"/>
      <c r="S60" s="21"/>
      <c r="T60" s="21"/>
      <c r="U60" s="21"/>
      <c r="X60" s="17" t="str">
        <f aca="false">IF(OR(B$7="",$BR60=""),"",IF('Tally Helper'!$B$3&lt;&gt;TRUE(),"not on Staff",SUMIFS('Tally Helper'!$L$5:$GI$5,'Tally Helper'!$L$3:$GI$3,"&gt;="&amp;$BR60,'Tally Helper'!$L$3:$GI$3,"&lt;="&amp;$BS60)))</f>
        <v/>
      </c>
      <c r="Y60" s="17" t="str">
        <f aca="false">IF(OR(C$7="",$BR60=""),"",IF('Tally Helper'!$B$6&lt;&gt;TRUE(),"not on Staff",SUMIFS('Tally Helper'!$L$8:$GI$8,'Tally Helper'!$L$6:$GI$6,"&gt;="&amp;$BR60,'Tally Helper'!$L$6:$GI$6,"&lt;="&amp;$BS60)))</f>
        <v/>
      </c>
      <c r="Z60" s="17" t="str">
        <f aca="false">IF(OR(D$7="",$BR60=""),"",IF('Tally Helper'!$B$9&lt;&gt;TRUE(),"not on Staff",SUMIFS('Tally Helper'!$L$11:$GI$11,'Tally Helper'!$L$9:$GI$9,"&gt;="&amp;$BR60,'Tally Helper'!$L$9:$GI$9,"&lt;="&amp;$BS60)))</f>
        <v/>
      </c>
      <c r="AA60" s="17" t="str">
        <f aca="false">IF(OR(E$7="",$BR60=""),"",IF('Tally Helper'!$B$12&lt;&gt;TRUE(),"not on Staff",SUMIFS('Tally Helper'!$L$14:$GI$14,'Tally Helper'!$L$12:$GI$12,"&gt;="&amp;$BR60,'Tally Helper'!$L$12:$GI$12,"&lt;="&amp;$BS60)))</f>
        <v/>
      </c>
      <c r="AB60" s="17" t="str">
        <f aca="false">IF(OR(F$7="",$BR60=""),"",IF('Tally Helper'!$B$15&lt;&gt;TRUE(),"not on Staff",SUMIFS('Tally Helper'!$L$17:$GI$17,'Tally Helper'!$L$15:$GI$15,"&gt;="&amp;$BR60,'Tally Helper'!$L$15:$GI$15,"&lt;="&amp;$BS60)))</f>
        <v/>
      </c>
      <c r="AC60" s="17" t="str">
        <f aca="false">IF(OR(G$7="",$BR60=""),"",IF('Tally Helper'!$B$18&lt;&gt;TRUE(),"not on Staff",SUMIFS('Tally Helper'!$L$20:$GI$20,'Tally Helper'!$L$18:$GI$18,"&gt;="&amp;$BR60,'Tally Helper'!$L$18:$GI$18,"&lt;="&amp;$BS60)))</f>
        <v/>
      </c>
      <c r="AD60" s="17" t="str">
        <f aca="false">IF(OR(H$7="",$BR60=""),"",IF('Tally Helper'!$B$21&lt;&gt;TRUE(),"not on Staff",SUMIFS('Tally Helper'!$L$23:$GI$23,'Tally Helper'!$L$21:$GI$21,"&gt;="&amp;$BR60,'Tally Helper'!$L$21:$GI$21,"&lt;="&amp;$BS60)))</f>
        <v/>
      </c>
      <c r="AE60" s="17" t="str">
        <f aca="false">IF(OR(I$7="",$BR60=""),"",IF('Tally Helper'!$B$24&lt;&gt;TRUE(),"not on Staff",SUMIFS('Tally Helper'!$L$26:$GI$26,'Tally Helper'!$L$24:$GI$24,"&gt;="&amp;$BR60,'Tally Helper'!$L$24:$GI$24,"&lt;="&amp;$BS60)))</f>
        <v/>
      </c>
      <c r="AF60" s="17" t="str">
        <f aca="false">IF(OR(J$7="",$BR60=""),"",IF('Tally Helper'!$B$27&lt;&gt;TRUE(),"not on Staff",SUMIFS('Tally Helper'!$L$29:$GI$29,'Tally Helper'!$L$27:$GI$27,"&gt;="&amp;$BR60,'Tally Helper'!$L$27:$GI$27,"&lt;="&amp;$BS60)))</f>
        <v/>
      </c>
      <c r="AG60" s="17" t="str">
        <f aca="false">IF(OR(K$7="",$BR60=""),"",IF('Tally Helper'!$B$30&lt;&gt;TRUE(),"not on Staff",SUMIFS('Tally Helper'!$L$32:$GI$32,'Tally Helper'!$L$30:$GI$30,"&gt;="&amp;$BR60,'Tally Helper'!$L$30:$GI$30,"&lt;="&amp;$BS60)))</f>
        <v/>
      </c>
      <c r="AH60" s="17" t="str">
        <f aca="false">IF(OR(L$7="",$BR60=""),"",IF('Tally Helper'!$B$33&lt;&gt;TRUE(),"not on Staff",SUMIFS('Tally Helper'!$L$35:$GI$35,'Tally Helper'!$L$33:$GI$33,"&gt;="&amp;$BR60,'Tally Helper'!$L$33:$GI$33,"&lt;="&amp;$BS60)))</f>
        <v/>
      </c>
      <c r="AI60" s="17" t="str">
        <f aca="false">IF(OR(M$7="",$BR60=""),"",IF('Tally Helper'!$B$36&lt;&gt;TRUE(),"not on Staff",SUMIFS('Tally Helper'!$L$38:$GI$38,'Tally Helper'!$L$36:$GI$36,"&gt;="&amp;$BR60,'Tally Helper'!$L$36:$GI$36,"&lt;="&amp;$BS60)))</f>
        <v/>
      </c>
      <c r="AJ60" s="17" t="str">
        <f aca="false">IF(OR(N$7="",$BR60=""),"",IF('Tally Helper'!$B$39&lt;&gt;TRUE(),"not on Staff",SUMIFS('Tally Helper'!$L$41:$GI$41,'Tally Helper'!$L$39:$GI$39,"&gt;="&amp;$BR60,'Tally Helper'!$L$39:$GI$39,"&lt;="&amp;$BS60)))</f>
        <v/>
      </c>
      <c r="AK60" s="17" t="str">
        <f aca="false">IF(OR(O$7="",$BR60=""),"",IF('Tally Helper'!$B$42&lt;&gt;TRUE(),"not on Staff",SUMIFS('Tally Helper'!$L$44:$GI$44,'Tally Helper'!$L$42:$GI$42,"&gt;="&amp;$BR60,'Tally Helper'!$L$42:$GI$42,"&lt;="&amp;$BS60)))</f>
        <v/>
      </c>
      <c r="AL60" s="17" t="str">
        <f aca="false">IF(OR(P$7="",$BR60=""),"",IF('Tally Helper'!$B$45&lt;&gt;TRUE(),"not on Staff",SUMIFS('Tally Helper'!$L$47:$GI$47,'Tally Helper'!$L$45:$GI$45,"&gt;="&amp;$BR60,'Tally Helper'!$L$45:$GI$45,"&lt;="&amp;$BS60)))</f>
        <v/>
      </c>
      <c r="AM60" s="17" t="str">
        <f aca="false">IF(OR(Q$7="",$BR60=""),"",IF('Tally Helper'!$B$48&lt;&gt;TRUE(),"not on Staff",SUMIFS('Tally Helper'!$L$50:$GI$50,'Tally Helper'!$L$48:$GI$48,"&gt;="&amp;$BR60,'Tally Helper'!$L$48:$GI$48,"&lt;="&amp;$BS60)))</f>
        <v/>
      </c>
      <c r="AN60" s="17" t="str">
        <f aca="false">IF(OR(R$7="",$BR60=""),"",IF('Tally Helper'!$B$51&lt;&gt;TRUE(),"not on Staff",SUMIFS('Tally Helper'!$L$53:$GI$53,'Tally Helper'!$L$51:$GI$51,"&gt;="&amp;$BR60,'Tally Helper'!$L$51:$GI$51,"&lt;="&amp;$BS60)))</f>
        <v/>
      </c>
      <c r="AO60" s="17" t="str">
        <f aca="false">IF(OR(S$7="",$BR60=""),"",IF('Tally Helper'!$B$54&lt;&gt;TRUE(),"not on Staff",SUMIFS('Tally Helper'!$L$56:$GI$56,'Tally Helper'!$L$54:$GI$54,"&gt;="&amp;$BR60,'Tally Helper'!$L$54:$GI$54,"&lt;="&amp;$BS60)))</f>
        <v/>
      </c>
      <c r="AP60" s="17" t="str">
        <f aca="false">IF(OR(T$7="",$BR60=""),"",IF('Tally Helper'!$B$57&lt;&gt;TRUE(),"not on Staff",SUMIFS('Tally Helper'!$L$59:$GI$59,'Tally Helper'!$L$57:$GI$57,"&gt;="&amp;$BR60,'Tally Helper'!$L$57:$GI$57,"&lt;="&amp;$BS60)))</f>
        <v/>
      </c>
      <c r="AQ60" s="17" t="str">
        <f aca="false">IF(OR(U$7="",$BR60=""),"",IF('Tally Helper'!$B$60&lt;&gt;TRUE(),"not on Staff",SUMIFS('Tally Helper'!$L$62:$GI$62,'Tally Helper'!$L$60:$GI$60,"&gt;="&amp;$BR60,'Tally Helper'!$L$60:$GI$60,"&lt;="&amp;$BS60)))</f>
        <v/>
      </c>
      <c r="AT60" s="17" t="str">
        <f aca="false">IF(OR(X60="",NOT(ISNUMBER(X60))),"",X60-N(B60))</f>
        <v/>
      </c>
      <c r="AU60" s="17" t="str">
        <f aca="false">IF(OR(Y60="",NOT(ISNUMBER(Y60))),"",Y60-N(C60))</f>
        <v/>
      </c>
      <c r="AV60" s="17" t="str">
        <f aca="false">IF(OR(Z60="",NOT(ISNUMBER(Z60))),"",Z60-N(D60))</f>
        <v/>
      </c>
      <c r="AW60" s="17" t="str">
        <f aca="false">IF(OR(AA60="",NOT(ISNUMBER(AA60))),"",AA60-N(E60))</f>
        <v/>
      </c>
      <c r="AX60" s="17" t="str">
        <f aca="false">IF(OR(AB60="",NOT(ISNUMBER(AB60))),"",AB60-N(F60))</f>
        <v/>
      </c>
      <c r="AY60" s="17" t="str">
        <f aca="false">IF(OR(AC60="",NOT(ISNUMBER(AC60))),"",AC60-N(G60))</f>
        <v/>
      </c>
      <c r="AZ60" s="17" t="str">
        <f aca="false">IF(OR(AD60="",NOT(ISNUMBER(AD60))),"",AD60-N(H60))</f>
        <v/>
      </c>
      <c r="BA60" s="17" t="str">
        <f aca="false">IF(OR(AE60="",NOT(ISNUMBER(AE60))),"",AE60-N(I60))</f>
        <v/>
      </c>
      <c r="BB60" s="17" t="str">
        <f aca="false">IF(OR(AF60="",NOT(ISNUMBER(AF60))),"",AF60-N(J60))</f>
        <v/>
      </c>
      <c r="BC60" s="17" t="str">
        <f aca="false">IF(OR(AG60="",NOT(ISNUMBER(AG60))),"",AG60-N(K60))</f>
        <v/>
      </c>
      <c r="BD60" s="17" t="str">
        <f aca="false">IF(OR(AH60="",NOT(ISNUMBER(AH60))),"",AH60-N(L60))</f>
        <v/>
      </c>
      <c r="BE60" s="17" t="str">
        <f aca="false">IF(OR(AI60="",NOT(ISNUMBER(AI60))),"",AI60-N(M60))</f>
        <v/>
      </c>
      <c r="BF60" s="17" t="str">
        <f aca="false">IF(OR(AJ60="",NOT(ISNUMBER(AJ60))),"",AJ60-N(N60))</f>
        <v/>
      </c>
      <c r="BG60" s="17" t="str">
        <f aca="false">IF(OR(AK60="",NOT(ISNUMBER(AK60))),"",AK60-N(O60))</f>
        <v/>
      </c>
      <c r="BH60" s="17" t="str">
        <f aca="false">IF(OR(AL60="",NOT(ISNUMBER(AL60))),"",AL60-N(P60))</f>
        <v/>
      </c>
      <c r="BI60" s="17" t="str">
        <f aca="false">IF(OR(AM60="",NOT(ISNUMBER(AM60))),"",AM60-N(Q60))</f>
        <v/>
      </c>
      <c r="BJ60" s="17" t="str">
        <f aca="false">IF(OR(AN60="",NOT(ISNUMBER(AN60))),"",AN60-N(R60))</f>
        <v/>
      </c>
      <c r="BK60" s="17" t="str">
        <f aca="false">IF(OR(AO60="",NOT(ISNUMBER(AO60))),"",AO60-N(S60))</f>
        <v/>
      </c>
      <c r="BL60" s="17" t="str">
        <f aca="false">IF(OR(AP60="",NOT(ISNUMBER(AP60))),"",AP60-N(T60))</f>
        <v/>
      </c>
      <c r="BM60" s="17" t="str">
        <f aca="false">IF(OR(AQ60="",NOT(ISNUMBER(AQ60))),"",AQ60-N(U60))</f>
        <v/>
      </c>
      <c r="BR60" s="20" t="str">
        <f aca="false">IF($A60="","",IF(ISNUMBER($A60),DATE(YEAR($A60),MONTH($A60),1),IFERROR(DATE(2000+VALUE(RIGHT(TRIM($A60),2)),MATCH(UPPER(LEFT(TRIM($A60),3)),{"JAN","FEB","MAR","APR","MAY","JUN","JUL","AUG","SEP","OCT","NOV","DEC"},0),1),"")))</f>
        <v/>
      </c>
      <c r="BS60" s="20" t="str">
        <f aca="false">IF(BR60="","",EOMONTH(BR60,0))</f>
        <v/>
      </c>
    </row>
    <row r="61" customFormat="false" ht="15" hidden="false" customHeight="false" outlineLevel="0" collapsed="false">
      <c r="B61" s="21"/>
      <c r="C61" s="21"/>
      <c r="D61" s="21"/>
      <c r="E61" s="21"/>
      <c r="F61" s="21"/>
      <c r="G61" s="21"/>
      <c r="H61" s="21"/>
      <c r="I61" s="21"/>
      <c r="J61" s="21"/>
      <c r="K61" s="21"/>
      <c r="L61" s="21"/>
      <c r="M61" s="21"/>
      <c r="N61" s="21"/>
      <c r="O61" s="21"/>
      <c r="P61" s="21"/>
      <c r="Q61" s="21"/>
      <c r="R61" s="21"/>
      <c r="S61" s="21"/>
      <c r="T61" s="21"/>
      <c r="U61" s="21"/>
      <c r="X61" s="17" t="str">
        <f aca="false">IF(OR(B$7="",$BR61=""),"",IF('Tally Helper'!$B$3&lt;&gt;TRUE(),"not on Staff",SUMIFS('Tally Helper'!$L$5:$GI$5,'Tally Helper'!$L$3:$GI$3,"&gt;="&amp;$BR61,'Tally Helper'!$L$3:$GI$3,"&lt;="&amp;$BS61)))</f>
        <v/>
      </c>
      <c r="Y61" s="17" t="str">
        <f aca="false">IF(OR(C$7="",$BR61=""),"",IF('Tally Helper'!$B$6&lt;&gt;TRUE(),"not on Staff",SUMIFS('Tally Helper'!$L$8:$GI$8,'Tally Helper'!$L$6:$GI$6,"&gt;="&amp;$BR61,'Tally Helper'!$L$6:$GI$6,"&lt;="&amp;$BS61)))</f>
        <v/>
      </c>
      <c r="Z61" s="17" t="str">
        <f aca="false">IF(OR(D$7="",$BR61=""),"",IF('Tally Helper'!$B$9&lt;&gt;TRUE(),"not on Staff",SUMIFS('Tally Helper'!$L$11:$GI$11,'Tally Helper'!$L$9:$GI$9,"&gt;="&amp;$BR61,'Tally Helper'!$L$9:$GI$9,"&lt;="&amp;$BS61)))</f>
        <v/>
      </c>
      <c r="AA61" s="17" t="str">
        <f aca="false">IF(OR(E$7="",$BR61=""),"",IF('Tally Helper'!$B$12&lt;&gt;TRUE(),"not on Staff",SUMIFS('Tally Helper'!$L$14:$GI$14,'Tally Helper'!$L$12:$GI$12,"&gt;="&amp;$BR61,'Tally Helper'!$L$12:$GI$12,"&lt;="&amp;$BS61)))</f>
        <v/>
      </c>
      <c r="AB61" s="17" t="str">
        <f aca="false">IF(OR(F$7="",$BR61=""),"",IF('Tally Helper'!$B$15&lt;&gt;TRUE(),"not on Staff",SUMIFS('Tally Helper'!$L$17:$GI$17,'Tally Helper'!$L$15:$GI$15,"&gt;="&amp;$BR61,'Tally Helper'!$L$15:$GI$15,"&lt;="&amp;$BS61)))</f>
        <v/>
      </c>
      <c r="AC61" s="17" t="str">
        <f aca="false">IF(OR(G$7="",$BR61=""),"",IF('Tally Helper'!$B$18&lt;&gt;TRUE(),"not on Staff",SUMIFS('Tally Helper'!$L$20:$GI$20,'Tally Helper'!$L$18:$GI$18,"&gt;="&amp;$BR61,'Tally Helper'!$L$18:$GI$18,"&lt;="&amp;$BS61)))</f>
        <v/>
      </c>
      <c r="AD61" s="17" t="str">
        <f aca="false">IF(OR(H$7="",$BR61=""),"",IF('Tally Helper'!$B$21&lt;&gt;TRUE(),"not on Staff",SUMIFS('Tally Helper'!$L$23:$GI$23,'Tally Helper'!$L$21:$GI$21,"&gt;="&amp;$BR61,'Tally Helper'!$L$21:$GI$21,"&lt;="&amp;$BS61)))</f>
        <v/>
      </c>
      <c r="AE61" s="17" t="str">
        <f aca="false">IF(OR(I$7="",$BR61=""),"",IF('Tally Helper'!$B$24&lt;&gt;TRUE(),"not on Staff",SUMIFS('Tally Helper'!$L$26:$GI$26,'Tally Helper'!$L$24:$GI$24,"&gt;="&amp;$BR61,'Tally Helper'!$L$24:$GI$24,"&lt;="&amp;$BS61)))</f>
        <v/>
      </c>
      <c r="AF61" s="17" t="str">
        <f aca="false">IF(OR(J$7="",$BR61=""),"",IF('Tally Helper'!$B$27&lt;&gt;TRUE(),"not on Staff",SUMIFS('Tally Helper'!$L$29:$GI$29,'Tally Helper'!$L$27:$GI$27,"&gt;="&amp;$BR61,'Tally Helper'!$L$27:$GI$27,"&lt;="&amp;$BS61)))</f>
        <v/>
      </c>
      <c r="AG61" s="17" t="str">
        <f aca="false">IF(OR(K$7="",$BR61=""),"",IF('Tally Helper'!$B$30&lt;&gt;TRUE(),"not on Staff",SUMIFS('Tally Helper'!$L$32:$GI$32,'Tally Helper'!$L$30:$GI$30,"&gt;="&amp;$BR61,'Tally Helper'!$L$30:$GI$30,"&lt;="&amp;$BS61)))</f>
        <v/>
      </c>
      <c r="AH61" s="17" t="str">
        <f aca="false">IF(OR(L$7="",$BR61=""),"",IF('Tally Helper'!$B$33&lt;&gt;TRUE(),"not on Staff",SUMIFS('Tally Helper'!$L$35:$GI$35,'Tally Helper'!$L$33:$GI$33,"&gt;="&amp;$BR61,'Tally Helper'!$L$33:$GI$33,"&lt;="&amp;$BS61)))</f>
        <v/>
      </c>
      <c r="AI61" s="17" t="str">
        <f aca="false">IF(OR(M$7="",$BR61=""),"",IF('Tally Helper'!$B$36&lt;&gt;TRUE(),"not on Staff",SUMIFS('Tally Helper'!$L$38:$GI$38,'Tally Helper'!$L$36:$GI$36,"&gt;="&amp;$BR61,'Tally Helper'!$L$36:$GI$36,"&lt;="&amp;$BS61)))</f>
        <v/>
      </c>
      <c r="AJ61" s="17" t="str">
        <f aca="false">IF(OR(N$7="",$BR61=""),"",IF('Tally Helper'!$B$39&lt;&gt;TRUE(),"not on Staff",SUMIFS('Tally Helper'!$L$41:$GI$41,'Tally Helper'!$L$39:$GI$39,"&gt;="&amp;$BR61,'Tally Helper'!$L$39:$GI$39,"&lt;="&amp;$BS61)))</f>
        <v/>
      </c>
      <c r="AK61" s="17" t="str">
        <f aca="false">IF(OR(O$7="",$BR61=""),"",IF('Tally Helper'!$B$42&lt;&gt;TRUE(),"not on Staff",SUMIFS('Tally Helper'!$L$44:$GI$44,'Tally Helper'!$L$42:$GI$42,"&gt;="&amp;$BR61,'Tally Helper'!$L$42:$GI$42,"&lt;="&amp;$BS61)))</f>
        <v/>
      </c>
      <c r="AL61" s="17" t="str">
        <f aca="false">IF(OR(P$7="",$BR61=""),"",IF('Tally Helper'!$B$45&lt;&gt;TRUE(),"not on Staff",SUMIFS('Tally Helper'!$L$47:$GI$47,'Tally Helper'!$L$45:$GI$45,"&gt;="&amp;$BR61,'Tally Helper'!$L$45:$GI$45,"&lt;="&amp;$BS61)))</f>
        <v/>
      </c>
      <c r="AM61" s="17" t="str">
        <f aca="false">IF(OR(Q$7="",$BR61=""),"",IF('Tally Helper'!$B$48&lt;&gt;TRUE(),"not on Staff",SUMIFS('Tally Helper'!$L$50:$GI$50,'Tally Helper'!$L$48:$GI$48,"&gt;="&amp;$BR61,'Tally Helper'!$L$48:$GI$48,"&lt;="&amp;$BS61)))</f>
        <v/>
      </c>
      <c r="AN61" s="17" t="str">
        <f aca="false">IF(OR(R$7="",$BR61=""),"",IF('Tally Helper'!$B$51&lt;&gt;TRUE(),"not on Staff",SUMIFS('Tally Helper'!$L$53:$GI$53,'Tally Helper'!$L$51:$GI$51,"&gt;="&amp;$BR61,'Tally Helper'!$L$51:$GI$51,"&lt;="&amp;$BS61)))</f>
        <v/>
      </c>
      <c r="AO61" s="17" t="str">
        <f aca="false">IF(OR(S$7="",$BR61=""),"",IF('Tally Helper'!$B$54&lt;&gt;TRUE(),"not on Staff",SUMIFS('Tally Helper'!$L$56:$GI$56,'Tally Helper'!$L$54:$GI$54,"&gt;="&amp;$BR61,'Tally Helper'!$L$54:$GI$54,"&lt;="&amp;$BS61)))</f>
        <v/>
      </c>
      <c r="AP61" s="17" t="str">
        <f aca="false">IF(OR(T$7="",$BR61=""),"",IF('Tally Helper'!$B$57&lt;&gt;TRUE(),"not on Staff",SUMIFS('Tally Helper'!$L$59:$GI$59,'Tally Helper'!$L$57:$GI$57,"&gt;="&amp;$BR61,'Tally Helper'!$L$57:$GI$57,"&lt;="&amp;$BS61)))</f>
        <v/>
      </c>
      <c r="AQ61" s="17" t="str">
        <f aca="false">IF(OR(U$7="",$BR61=""),"",IF('Tally Helper'!$B$60&lt;&gt;TRUE(),"not on Staff",SUMIFS('Tally Helper'!$L$62:$GI$62,'Tally Helper'!$L$60:$GI$60,"&gt;="&amp;$BR61,'Tally Helper'!$L$60:$GI$60,"&lt;="&amp;$BS61)))</f>
        <v/>
      </c>
      <c r="AT61" s="17" t="str">
        <f aca="false">IF(OR(X61="",NOT(ISNUMBER(X61))),"",X61-N(B61))</f>
        <v/>
      </c>
      <c r="AU61" s="17" t="str">
        <f aca="false">IF(OR(Y61="",NOT(ISNUMBER(Y61))),"",Y61-N(C61))</f>
        <v/>
      </c>
      <c r="AV61" s="17" t="str">
        <f aca="false">IF(OR(Z61="",NOT(ISNUMBER(Z61))),"",Z61-N(D61))</f>
        <v/>
      </c>
      <c r="AW61" s="17" t="str">
        <f aca="false">IF(OR(AA61="",NOT(ISNUMBER(AA61))),"",AA61-N(E61))</f>
        <v/>
      </c>
      <c r="AX61" s="17" t="str">
        <f aca="false">IF(OR(AB61="",NOT(ISNUMBER(AB61))),"",AB61-N(F61))</f>
        <v/>
      </c>
      <c r="AY61" s="17" t="str">
        <f aca="false">IF(OR(AC61="",NOT(ISNUMBER(AC61))),"",AC61-N(G61))</f>
        <v/>
      </c>
      <c r="AZ61" s="17" t="str">
        <f aca="false">IF(OR(AD61="",NOT(ISNUMBER(AD61))),"",AD61-N(H61))</f>
        <v/>
      </c>
      <c r="BA61" s="17" t="str">
        <f aca="false">IF(OR(AE61="",NOT(ISNUMBER(AE61))),"",AE61-N(I61))</f>
        <v/>
      </c>
      <c r="BB61" s="17" t="str">
        <f aca="false">IF(OR(AF61="",NOT(ISNUMBER(AF61))),"",AF61-N(J61))</f>
        <v/>
      </c>
      <c r="BC61" s="17" t="str">
        <f aca="false">IF(OR(AG61="",NOT(ISNUMBER(AG61))),"",AG61-N(K61))</f>
        <v/>
      </c>
      <c r="BD61" s="17" t="str">
        <f aca="false">IF(OR(AH61="",NOT(ISNUMBER(AH61))),"",AH61-N(L61))</f>
        <v/>
      </c>
      <c r="BE61" s="17" t="str">
        <f aca="false">IF(OR(AI61="",NOT(ISNUMBER(AI61))),"",AI61-N(M61))</f>
        <v/>
      </c>
      <c r="BF61" s="17" t="str">
        <f aca="false">IF(OR(AJ61="",NOT(ISNUMBER(AJ61))),"",AJ61-N(N61))</f>
        <v/>
      </c>
      <c r="BG61" s="17" t="str">
        <f aca="false">IF(OR(AK61="",NOT(ISNUMBER(AK61))),"",AK61-N(O61))</f>
        <v/>
      </c>
      <c r="BH61" s="17" t="str">
        <f aca="false">IF(OR(AL61="",NOT(ISNUMBER(AL61))),"",AL61-N(P61))</f>
        <v/>
      </c>
      <c r="BI61" s="17" t="str">
        <f aca="false">IF(OR(AM61="",NOT(ISNUMBER(AM61))),"",AM61-N(Q61))</f>
        <v/>
      </c>
      <c r="BJ61" s="17" t="str">
        <f aca="false">IF(OR(AN61="",NOT(ISNUMBER(AN61))),"",AN61-N(R61))</f>
        <v/>
      </c>
      <c r="BK61" s="17" t="str">
        <f aca="false">IF(OR(AO61="",NOT(ISNUMBER(AO61))),"",AO61-N(S61))</f>
        <v/>
      </c>
      <c r="BL61" s="17" t="str">
        <f aca="false">IF(OR(AP61="",NOT(ISNUMBER(AP61))),"",AP61-N(T61))</f>
        <v/>
      </c>
      <c r="BM61" s="17" t="str">
        <f aca="false">IF(OR(AQ61="",NOT(ISNUMBER(AQ61))),"",AQ61-N(U61))</f>
        <v/>
      </c>
      <c r="BR61" s="20" t="str">
        <f aca="false">IF($A61="","",IF(ISNUMBER($A61),DATE(YEAR($A61),MONTH($A61),1),IFERROR(DATE(2000+VALUE(RIGHT(TRIM($A61),2)),MATCH(UPPER(LEFT(TRIM($A61),3)),{"JAN","FEB","MAR","APR","MAY","JUN","JUL","AUG","SEP","OCT","NOV","DEC"},0),1),"")))</f>
        <v/>
      </c>
      <c r="BS61" s="20" t="str">
        <f aca="false">IF(BR61="","",EOMONTH(BR61,0))</f>
        <v/>
      </c>
    </row>
    <row r="62" customFormat="false" ht="15" hidden="false" customHeight="false" outlineLevel="0" collapsed="false">
      <c r="B62" s="21"/>
      <c r="C62" s="21"/>
      <c r="D62" s="21"/>
      <c r="E62" s="21"/>
      <c r="F62" s="21"/>
      <c r="G62" s="21"/>
      <c r="H62" s="21"/>
      <c r="I62" s="21"/>
      <c r="J62" s="21"/>
      <c r="K62" s="21"/>
      <c r="L62" s="21"/>
      <c r="M62" s="21"/>
      <c r="N62" s="21"/>
      <c r="O62" s="21"/>
      <c r="P62" s="21"/>
      <c r="Q62" s="21"/>
      <c r="R62" s="21"/>
      <c r="S62" s="21"/>
      <c r="T62" s="21"/>
      <c r="U62" s="21"/>
      <c r="X62" s="17" t="str">
        <f aca="false">IF(OR(B$7="",$BR62=""),"",IF('Tally Helper'!$B$3&lt;&gt;TRUE(),"not on Staff",SUMIFS('Tally Helper'!$L$5:$GI$5,'Tally Helper'!$L$3:$GI$3,"&gt;="&amp;$BR62,'Tally Helper'!$L$3:$GI$3,"&lt;="&amp;$BS62)))</f>
        <v/>
      </c>
      <c r="Y62" s="17" t="str">
        <f aca="false">IF(OR(C$7="",$BR62=""),"",IF('Tally Helper'!$B$6&lt;&gt;TRUE(),"not on Staff",SUMIFS('Tally Helper'!$L$8:$GI$8,'Tally Helper'!$L$6:$GI$6,"&gt;="&amp;$BR62,'Tally Helper'!$L$6:$GI$6,"&lt;="&amp;$BS62)))</f>
        <v/>
      </c>
      <c r="Z62" s="17" t="str">
        <f aca="false">IF(OR(D$7="",$BR62=""),"",IF('Tally Helper'!$B$9&lt;&gt;TRUE(),"not on Staff",SUMIFS('Tally Helper'!$L$11:$GI$11,'Tally Helper'!$L$9:$GI$9,"&gt;="&amp;$BR62,'Tally Helper'!$L$9:$GI$9,"&lt;="&amp;$BS62)))</f>
        <v/>
      </c>
      <c r="AA62" s="17" t="str">
        <f aca="false">IF(OR(E$7="",$BR62=""),"",IF('Tally Helper'!$B$12&lt;&gt;TRUE(),"not on Staff",SUMIFS('Tally Helper'!$L$14:$GI$14,'Tally Helper'!$L$12:$GI$12,"&gt;="&amp;$BR62,'Tally Helper'!$L$12:$GI$12,"&lt;="&amp;$BS62)))</f>
        <v/>
      </c>
      <c r="AB62" s="17" t="str">
        <f aca="false">IF(OR(F$7="",$BR62=""),"",IF('Tally Helper'!$B$15&lt;&gt;TRUE(),"not on Staff",SUMIFS('Tally Helper'!$L$17:$GI$17,'Tally Helper'!$L$15:$GI$15,"&gt;="&amp;$BR62,'Tally Helper'!$L$15:$GI$15,"&lt;="&amp;$BS62)))</f>
        <v/>
      </c>
      <c r="AC62" s="17" t="str">
        <f aca="false">IF(OR(G$7="",$BR62=""),"",IF('Tally Helper'!$B$18&lt;&gt;TRUE(),"not on Staff",SUMIFS('Tally Helper'!$L$20:$GI$20,'Tally Helper'!$L$18:$GI$18,"&gt;="&amp;$BR62,'Tally Helper'!$L$18:$GI$18,"&lt;="&amp;$BS62)))</f>
        <v/>
      </c>
      <c r="AD62" s="17" t="str">
        <f aca="false">IF(OR(H$7="",$BR62=""),"",IF('Tally Helper'!$B$21&lt;&gt;TRUE(),"not on Staff",SUMIFS('Tally Helper'!$L$23:$GI$23,'Tally Helper'!$L$21:$GI$21,"&gt;="&amp;$BR62,'Tally Helper'!$L$21:$GI$21,"&lt;="&amp;$BS62)))</f>
        <v/>
      </c>
      <c r="AE62" s="17" t="str">
        <f aca="false">IF(OR(I$7="",$BR62=""),"",IF('Tally Helper'!$B$24&lt;&gt;TRUE(),"not on Staff",SUMIFS('Tally Helper'!$L$26:$GI$26,'Tally Helper'!$L$24:$GI$24,"&gt;="&amp;$BR62,'Tally Helper'!$L$24:$GI$24,"&lt;="&amp;$BS62)))</f>
        <v/>
      </c>
      <c r="AF62" s="17" t="str">
        <f aca="false">IF(OR(J$7="",$BR62=""),"",IF('Tally Helper'!$B$27&lt;&gt;TRUE(),"not on Staff",SUMIFS('Tally Helper'!$L$29:$GI$29,'Tally Helper'!$L$27:$GI$27,"&gt;="&amp;$BR62,'Tally Helper'!$L$27:$GI$27,"&lt;="&amp;$BS62)))</f>
        <v/>
      </c>
      <c r="AG62" s="17" t="str">
        <f aca="false">IF(OR(K$7="",$BR62=""),"",IF('Tally Helper'!$B$30&lt;&gt;TRUE(),"not on Staff",SUMIFS('Tally Helper'!$L$32:$GI$32,'Tally Helper'!$L$30:$GI$30,"&gt;="&amp;$BR62,'Tally Helper'!$L$30:$GI$30,"&lt;="&amp;$BS62)))</f>
        <v/>
      </c>
      <c r="AH62" s="17" t="str">
        <f aca="false">IF(OR(L$7="",$BR62=""),"",IF('Tally Helper'!$B$33&lt;&gt;TRUE(),"not on Staff",SUMIFS('Tally Helper'!$L$35:$GI$35,'Tally Helper'!$L$33:$GI$33,"&gt;="&amp;$BR62,'Tally Helper'!$L$33:$GI$33,"&lt;="&amp;$BS62)))</f>
        <v/>
      </c>
      <c r="AI62" s="17" t="str">
        <f aca="false">IF(OR(M$7="",$BR62=""),"",IF('Tally Helper'!$B$36&lt;&gt;TRUE(),"not on Staff",SUMIFS('Tally Helper'!$L$38:$GI$38,'Tally Helper'!$L$36:$GI$36,"&gt;="&amp;$BR62,'Tally Helper'!$L$36:$GI$36,"&lt;="&amp;$BS62)))</f>
        <v/>
      </c>
      <c r="AJ62" s="17" t="str">
        <f aca="false">IF(OR(N$7="",$BR62=""),"",IF('Tally Helper'!$B$39&lt;&gt;TRUE(),"not on Staff",SUMIFS('Tally Helper'!$L$41:$GI$41,'Tally Helper'!$L$39:$GI$39,"&gt;="&amp;$BR62,'Tally Helper'!$L$39:$GI$39,"&lt;="&amp;$BS62)))</f>
        <v/>
      </c>
      <c r="AK62" s="17" t="str">
        <f aca="false">IF(OR(O$7="",$BR62=""),"",IF('Tally Helper'!$B$42&lt;&gt;TRUE(),"not on Staff",SUMIFS('Tally Helper'!$L$44:$GI$44,'Tally Helper'!$L$42:$GI$42,"&gt;="&amp;$BR62,'Tally Helper'!$L$42:$GI$42,"&lt;="&amp;$BS62)))</f>
        <v/>
      </c>
      <c r="AL62" s="17" t="str">
        <f aca="false">IF(OR(P$7="",$BR62=""),"",IF('Tally Helper'!$B$45&lt;&gt;TRUE(),"not on Staff",SUMIFS('Tally Helper'!$L$47:$GI$47,'Tally Helper'!$L$45:$GI$45,"&gt;="&amp;$BR62,'Tally Helper'!$L$45:$GI$45,"&lt;="&amp;$BS62)))</f>
        <v/>
      </c>
      <c r="AM62" s="17" t="str">
        <f aca="false">IF(OR(Q$7="",$BR62=""),"",IF('Tally Helper'!$B$48&lt;&gt;TRUE(),"not on Staff",SUMIFS('Tally Helper'!$L$50:$GI$50,'Tally Helper'!$L$48:$GI$48,"&gt;="&amp;$BR62,'Tally Helper'!$L$48:$GI$48,"&lt;="&amp;$BS62)))</f>
        <v/>
      </c>
      <c r="AN62" s="17" t="str">
        <f aca="false">IF(OR(R$7="",$BR62=""),"",IF('Tally Helper'!$B$51&lt;&gt;TRUE(),"not on Staff",SUMIFS('Tally Helper'!$L$53:$GI$53,'Tally Helper'!$L$51:$GI$51,"&gt;="&amp;$BR62,'Tally Helper'!$L$51:$GI$51,"&lt;="&amp;$BS62)))</f>
        <v/>
      </c>
      <c r="AO62" s="17" t="str">
        <f aca="false">IF(OR(S$7="",$BR62=""),"",IF('Tally Helper'!$B$54&lt;&gt;TRUE(),"not on Staff",SUMIFS('Tally Helper'!$L$56:$GI$56,'Tally Helper'!$L$54:$GI$54,"&gt;="&amp;$BR62,'Tally Helper'!$L$54:$GI$54,"&lt;="&amp;$BS62)))</f>
        <v/>
      </c>
      <c r="AP62" s="17" t="str">
        <f aca="false">IF(OR(T$7="",$BR62=""),"",IF('Tally Helper'!$B$57&lt;&gt;TRUE(),"not on Staff",SUMIFS('Tally Helper'!$L$59:$GI$59,'Tally Helper'!$L$57:$GI$57,"&gt;="&amp;$BR62,'Tally Helper'!$L$57:$GI$57,"&lt;="&amp;$BS62)))</f>
        <v/>
      </c>
      <c r="AQ62" s="17" t="str">
        <f aca="false">IF(OR(U$7="",$BR62=""),"",IF('Tally Helper'!$B$60&lt;&gt;TRUE(),"not on Staff",SUMIFS('Tally Helper'!$L$62:$GI$62,'Tally Helper'!$L$60:$GI$60,"&gt;="&amp;$BR62,'Tally Helper'!$L$60:$GI$60,"&lt;="&amp;$BS62)))</f>
        <v/>
      </c>
      <c r="AT62" s="17" t="str">
        <f aca="false">IF(OR(X62="",NOT(ISNUMBER(X62))),"",X62-N(B62))</f>
        <v/>
      </c>
      <c r="AU62" s="17" t="str">
        <f aca="false">IF(OR(Y62="",NOT(ISNUMBER(Y62))),"",Y62-N(C62))</f>
        <v/>
      </c>
      <c r="AV62" s="17" t="str">
        <f aca="false">IF(OR(Z62="",NOT(ISNUMBER(Z62))),"",Z62-N(D62))</f>
        <v/>
      </c>
      <c r="AW62" s="17" t="str">
        <f aca="false">IF(OR(AA62="",NOT(ISNUMBER(AA62))),"",AA62-N(E62))</f>
        <v/>
      </c>
      <c r="AX62" s="17" t="str">
        <f aca="false">IF(OR(AB62="",NOT(ISNUMBER(AB62))),"",AB62-N(F62))</f>
        <v/>
      </c>
      <c r="AY62" s="17" t="str">
        <f aca="false">IF(OR(AC62="",NOT(ISNUMBER(AC62))),"",AC62-N(G62))</f>
        <v/>
      </c>
      <c r="AZ62" s="17" t="str">
        <f aca="false">IF(OR(AD62="",NOT(ISNUMBER(AD62))),"",AD62-N(H62))</f>
        <v/>
      </c>
      <c r="BA62" s="17" t="str">
        <f aca="false">IF(OR(AE62="",NOT(ISNUMBER(AE62))),"",AE62-N(I62))</f>
        <v/>
      </c>
      <c r="BB62" s="17" t="str">
        <f aca="false">IF(OR(AF62="",NOT(ISNUMBER(AF62))),"",AF62-N(J62))</f>
        <v/>
      </c>
      <c r="BC62" s="17" t="str">
        <f aca="false">IF(OR(AG62="",NOT(ISNUMBER(AG62))),"",AG62-N(K62))</f>
        <v/>
      </c>
      <c r="BD62" s="17" t="str">
        <f aca="false">IF(OR(AH62="",NOT(ISNUMBER(AH62))),"",AH62-N(L62))</f>
        <v/>
      </c>
      <c r="BE62" s="17" t="str">
        <f aca="false">IF(OR(AI62="",NOT(ISNUMBER(AI62))),"",AI62-N(M62))</f>
        <v/>
      </c>
      <c r="BF62" s="17" t="str">
        <f aca="false">IF(OR(AJ62="",NOT(ISNUMBER(AJ62))),"",AJ62-N(N62))</f>
        <v/>
      </c>
      <c r="BG62" s="17" t="str">
        <f aca="false">IF(OR(AK62="",NOT(ISNUMBER(AK62))),"",AK62-N(O62))</f>
        <v/>
      </c>
      <c r="BH62" s="17" t="str">
        <f aca="false">IF(OR(AL62="",NOT(ISNUMBER(AL62))),"",AL62-N(P62))</f>
        <v/>
      </c>
      <c r="BI62" s="17" t="str">
        <f aca="false">IF(OR(AM62="",NOT(ISNUMBER(AM62))),"",AM62-N(Q62))</f>
        <v/>
      </c>
      <c r="BJ62" s="17" t="str">
        <f aca="false">IF(OR(AN62="",NOT(ISNUMBER(AN62))),"",AN62-N(R62))</f>
        <v/>
      </c>
      <c r="BK62" s="17" t="str">
        <f aca="false">IF(OR(AO62="",NOT(ISNUMBER(AO62))),"",AO62-N(S62))</f>
        <v/>
      </c>
      <c r="BL62" s="17" t="str">
        <f aca="false">IF(OR(AP62="",NOT(ISNUMBER(AP62))),"",AP62-N(T62))</f>
        <v/>
      </c>
      <c r="BM62" s="17" t="str">
        <f aca="false">IF(OR(AQ62="",NOT(ISNUMBER(AQ62))),"",AQ62-N(U62))</f>
        <v/>
      </c>
      <c r="BR62" s="20" t="str">
        <f aca="false">IF($A62="","",IF(ISNUMBER($A62),DATE(YEAR($A62),MONTH($A62),1),IFERROR(DATE(2000+VALUE(RIGHT(TRIM($A62),2)),MATCH(UPPER(LEFT(TRIM($A62),3)),{"JAN","FEB","MAR","APR","MAY","JUN","JUL","AUG","SEP","OCT","NOV","DEC"},0),1),"")))</f>
        <v/>
      </c>
      <c r="BS62" s="20" t="str">
        <f aca="false">IF(BR62="","",EOMONTH(BR62,0))</f>
        <v/>
      </c>
    </row>
    <row r="63" customFormat="false" ht="15" hidden="false" customHeight="false" outlineLevel="0" collapsed="false">
      <c r="B63" s="21"/>
      <c r="C63" s="21"/>
      <c r="D63" s="21"/>
      <c r="E63" s="21"/>
      <c r="F63" s="21"/>
      <c r="G63" s="21"/>
      <c r="H63" s="21"/>
      <c r="I63" s="21"/>
      <c r="J63" s="21"/>
      <c r="K63" s="21"/>
      <c r="L63" s="21"/>
      <c r="M63" s="21"/>
      <c r="N63" s="21"/>
      <c r="O63" s="21"/>
      <c r="P63" s="21"/>
      <c r="Q63" s="21"/>
      <c r="R63" s="21"/>
      <c r="S63" s="21"/>
      <c r="T63" s="21"/>
      <c r="U63" s="21"/>
      <c r="X63" s="17" t="str">
        <f aca="false">IF(OR(B$7="",$BR63=""),"",IF('Tally Helper'!$B$3&lt;&gt;TRUE(),"not on Staff",SUMIFS('Tally Helper'!$L$5:$GI$5,'Tally Helper'!$L$3:$GI$3,"&gt;="&amp;$BR63,'Tally Helper'!$L$3:$GI$3,"&lt;="&amp;$BS63)))</f>
        <v/>
      </c>
      <c r="Y63" s="17" t="str">
        <f aca="false">IF(OR(C$7="",$BR63=""),"",IF('Tally Helper'!$B$6&lt;&gt;TRUE(),"not on Staff",SUMIFS('Tally Helper'!$L$8:$GI$8,'Tally Helper'!$L$6:$GI$6,"&gt;="&amp;$BR63,'Tally Helper'!$L$6:$GI$6,"&lt;="&amp;$BS63)))</f>
        <v/>
      </c>
      <c r="Z63" s="17" t="str">
        <f aca="false">IF(OR(D$7="",$BR63=""),"",IF('Tally Helper'!$B$9&lt;&gt;TRUE(),"not on Staff",SUMIFS('Tally Helper'!$L$11:$GI$11,'Tally Helper'!$L$9:$GI$9,"&gt;="&amp;$BR63,'Tally Helper'!$L$9:$GI$9,"&lt;="&amp;$BS63)))</f>
        <v/>
      </c>
      <c r="AA63" s="17" t="str">
        <f aca="false">IF(OR(E$7="",$BR63=""),"",IF('Tally Helper'!$B$12&lt;&gt;TRUE(),"not on Staff",SUMIFS('Tally Helper'!$L$14:$GI$14,'Tally Helper'!$L$12:$GI$12,"&gt;="&amp;$BR63,'Tally Helper'!$L$12:$GI$12,"&lt;="&amp;$BS63)))</f>
        <v/>
      </c>
      <c r="AB63" s="17" t="str">
        <f aca="false">IF(OR(F$7="",$BR63=""),"",IF('Tally Helper'!$B$15&lt;&gt;TRUE(),"not on Staff",SUMIFS('Tally Helper'!$L$17:$GI$17,'Tally Helper'!$L$15:$GI$15,"&gt;="&amp;$BR63,'Tally Helper'!$L$15:$GI$15,"&lt;="&amp;$BS63)))</f>
        <v/>
      </c>
      <c r="AC63" s="17" t="str">
        <f aca="false">IF(OR(G$7="",$BR63=""),"",IF('Tally Helper'!$B$18&lt;&gt;TRUE(),"not on Staff",SUMIFS('Tally Helper'!$L$20:$GI$20,'Tally Helper'!$L$18:$GI$18,"&gt;="&amp;$BR63,'Tally Helper'!$L$18:$GI$18,"&lt;="&amp;$BS63)))</f>
        <v/>
      </c>
      <c r="AD63" s="17" t="str">
        <f aca="false">IF(OR(H$7="",$BR63=""),"",IF('Tally Helper'!$B$21&lt;&gt;TRUE(),"not on Staff",SUMIFS('Tally Helper'!$L$23:$GI$23,'Tally Helper'!$L$21:$GI$21,"&gt;="&amp;$BR63,'Tally Helper'!$L$21:$GI$21,"&lt;="&amp;$BS63)))</f>
        <v/>
      </c>
      <c r="AE63" s="17" t="str">
        <f aca="false">IF(OR(I$7="",$BR63=""),"",IF('Tally Helper'!$B$24&lt;&gt;TRUE(),"not on Staff",SUMIFS('Tally Helper'!$L$26:$GI$26,'Tally Helper'!$L$24:$GI$24,"&gt;="&amp;$BR63,'Tally Helper'!$L$24:$GI$24,"&lt;="&amp;$BS63)))</f>
        <v/>
      </c>
      <c r="AF63" s="17" t="str">
        <f aca="false">IF(OR(J$7="",$BR63=""),"",IF('Tally Helper'!$B$27&lt;&gt;TRUE(),"not on Staff",SUMIFS('Tally Helper'!$L$29:$GI$29,'Tally Helper'!$L$27:$GI$27,"&gt;="&amp;$BR63,'Tally Helper'!$L$27:$GI$27,"&lt;="&amp;$BS63)))</f>
        <v/>
      </c>
      <c r="AG63" s="17" t="str">
        <f aca="false">IF(OR(K$7="",$BR63=""),"",IF('Tally Helper'!$B$30&lt;&gt;TRUE(),"not on Staff",SUMIFS('Tally Helper'!$L$32:$GI$32,'Tally Helper'!$L$30:$GI$30,"&gt;="&amp;$BR63,'Tally Helper'!$L$30:$GI$30,"&lt;="&amp;$BS63)))</f>
        <v/>
      </c>
      <c r="AH63" s="17" t="str">
        <f aca="false">IF(OR(L$7="",$BR63=""),"",IF('Tally Helper'!$B$33&lt;&gt;TRUE(),"not on Staff",SUMIFS('Tally Helper'!$L$35:$GI$35,'Tally Helper'!$L$33:$GI$33,"&gt;="&amp;$BR63,'Tally Helper'!$L$33:$GI$33,"&lt;="&amp;$BS63)))</f>
        <v/>
      </c>
      <c r="AI63" s="17" t="str">
        <f aca="false">IF(OR(M$7="",$BR63=""),"",IF('Tally Helper'!$B$36&lt;&gt;TRUE(),"not on Staff",SUMIFS('Tally Helper'!$L$38:$GI$38,'Tally Helper'!$L$36:$GI$36,"&gt;="&amp;$BR63,'Tally Helper'!$L$36:$GI$36,"&lt;="&amp;$BS63)))</f>
        <v/>
      </c>
      <c r="AJ63" s="17" t="str">
        <f aca="false">IF(OR(N$7="",$BR63=""),"",IF('Tally Helper'!$B$39&lt;&gt;TRUE(),"not on Staff",SUMIFS('Tally Helper'!$L$41:$GI$41,'Tally Helper'!$L$39:$GI$39,"&gt;="&amp;$BR63,'Tally Helper'!$L$39:$GI$39,"&lt;="&amp;$BS63)))</f>
        <v/>
      </c>
      <c r="AK63" s="17" t="str">
        <f aca="false">IF(OR(O$7="",$BR63=""),"",IF('Tally Helper'!$B$42&lt;&gt;TRUE(),"not on Staff",SUMIFS('Tally Helper'!$L$44:$GI$44,'Tally Helper'!$L$42:$GI$42,"&gt;="&amp;$BR63,'Tally Helper'!$L$42:$GI$42,"&lt;="&amp;$BS63)))</f>
        <v/>
      </c>
      <c r="AL63" s="17" t="str">
        <f aca="false">IF(OR(P$7="",$BR63=""),"",IF('Tally Helper'!$B$45&lt;&gt;TRUE(),"not on Staff",SUMIFS('Tally Helper'!$L$47:$GI$47,'Tally Helper'!$L$45:$GI$45,"&gt;="&amp;$BR63,'Tally Helper'!$L$45:$GI$45,"&lt;="&amp;$BS63)))</f>
        <v/>
      </c>
      <c r="AM63" s="17" t="str">
        <f aca="false">IF(OR(Q$7="",$BR63=""),"",IF('Tally Helper'!$B$48&lt;&gt;TRUE(),"not on Staff",SUMIFS('Tally Helper'!$L$50:$GI$50,'Tally Helper'!$L$48:$GI$48,"&gt;="&amp;$BR63,'Tally Helper'!$L$48:$GI$48,"&lt;="&amp;$BS63)))</f>
        <v/>
      </c>
      <c r="AN63" s="17" t="str">
        <f aca="false">IF(OR(R$7="",$BR63=""),"",IF('Tally Helper'!$B$51&lt;&gt;TRUE(),"not on Staff",SUMIFS('Tally Helper'!$L$53:$GI$53,'Tally Helper'!$L$51:$GI$51,"&gt;="&amp;$BR63,'Tally Helper'!$L$51:$GI$51,"&lt;="&amp;$BS63)))</f>
        <v/>
      </c>
      <c r="AO63" s="17" t="str">
        <f aca="false">IF(OR(S$7="",$BR63=""),"",IF('Tally Helper'!$B$54&lt;&gt;TRUE(),"not on Staff",SUMIFS('Tally Helper'!$L$56:$GI$56,'Tally Helper'!$L$54:$GI$54,"&gt;="&amp;$BR63,'Tally Helper'!$L$54:$GI$54,"&lt;="&amp;$BS63)))</f>
        <v/>
      </c>
      <c r="AP63" s="17" t="str">
        <f aca="false">IF(OR(T$7="",$BR63=""),"",IF('Tally Helper'!$B$57&lt;&gt;TRUE(),"not on Staff",SUMIFS('Tally Helper'!$L$59:$GI$59,'Tally Helper'!$L$57:$GI$57,"&gt;="&amp;$BR63,'Tally Helper'!$L$57:$GI$57,"&lt;="&amp;$BS63)))</f>
        <v/>
      </c>
      <c r="AQ63" s="17" t="str">
        <f aca="false">IF(OR(U$7="",$BR63=""),"",IF('Tally Helper'!$B$60&lt;&gt;TRUE(),"not on Staff",SUMIFS('Tally Helper'!$L$62:$GI$62,'Tally Helper'!$L$60:$GI$60,"&gt;="&amp;$BR63,'Tally Helper'!$L$60:$GI$60,"&lt;="&amp;$BS63)))</f>
        <v/>
      </c>
      <c r="AT63" s="17" t="str">
        <f aca="false">IF(OR(X63="",NOT(ISNUMBER(X63))),"",X63-N(B63))</f>
        <v/>
      </c>
      <c r="AU63" s="17" t="str">
        <f aca="false">IF(OR(Y63="",NOT(ISNUMBER(Y63))),"",Y63-N(C63))</f>
        <v/>
      </c>
      <c r="AV63" s="17" t="str">
        <f aca="false">IF(OR(Z63="",NOT(ISNUMBER(Z63))),"",Z63-N(D63))</f>
        <v/>
      </c>
      <c r="AW63" s="17" t="str">
        <f aca="false">IF(OR(AA63="",NOT(ISNUMBER(AA63))),"",AA63-N(E63))</f>
        <v/>
      </c>
      <c r="AX63" s="17" t="str">
        <f aca="false">IF(OR(AB63="",NOT(ISNUMBER(AB63))),"",AB63-N(F63))</f>
        <v/>
      </c>
      <c r="AY63" s="17" t="str">
        <f aca="false">IF(OR(AC63="",NOT(ISNUMBER(AC63))),"",AC63-N(G63))</f>
        <v/>
      </c>
      <c r="AZ63" s="17" t="str">
        <f aca="false">IF(OR(AD63="",NOT(ISNUMBER(AD63))),"",AD63-N(H63))</f>
        <v/>
      </c>
      <c r="BA63" s="17" t="str">
        <f aca="false">IF(OR(AE63="",NOT(ISNUMBER(AE63))),"",AE63-N(I63))</f>
        <v/>
      </c>
      <c r="BB63" s="17" t="str">
        <f aca="false">IF(OR(AF63="",NOT(ISNUMBER(AF63))),"",AF63-N(J63))</f>
        <v/>
      </c>
      <c r="BC63" s="17" t="str">
        <f aca="false">IF(OR(AG63="",NOT(ISNUMBER(AG63))),"",AG63-N(K63))</f>
        <v/>
      </c>
      <c r="BD63" s="17" t="str">
        <f aca="false">IF(OR(AH63="",NOT(ISNUMBER(AH63))),"",AH63-N(L63))</f>
        <v/>
      </c>
      <c r="BE63" s="17" t="str">
        <f aca="false">IF(OR(AI63="",NOT(ISNUMBER(AI63))),"",AI63-N(M63))</f>
        <v/>
      </c>
      <c r="BF63" s="17" t="str">
        <f aca="false">IF(OR(AJ63="",NOT(ISNUMBER(AJ63))),"",AJ63-N(N63))</f>
        <v/>
      </c>
      <c r="BG63" s="17" t="str">
        <f aca="false">IF(OR(AK63="",NOT(ISNUMBER(AK63))),"",AK63-N(O63))</f>
        <v/>
      </c>
      <c r="BH63" s="17" t="str">
        <f aca="false">IF(OR(AL63="",NOT(ISNUMBER(AL63))),"",AL63-N(P63))</f>
        <v/>
      </c>
      <c r="BI63" s="17" t="str">
        <f aca="false">IF(OR(AM63="",NOT(ISNUMBER(AM63))),"",AM63-N(Q63))</f>
        <v/>
      </c>
      <c r="BJ63" s="17" t="str">
        <f aca="false">IF(OR(AN63="",NOT(ISNUMBER(AN63))),"",AN63-N(R63))</f>
        <v/>
      </c>
      <c r="BK63" s="17" t="str">
        <f aca="false">IF(OR(AO63="",NOT(ISNUMBER(AO63))),"",AO63-N(S63))</f>
        <v/>
      </c>
      <c r="BL63" s="17" t="str">
        <f aca="false">IF(OR(AP63="",NOT(ISNUMBER(AP63))),"",AP63-N(T63))</f>
        <v/>
      </c>
      <c r="BM63" s="17" t="str">
        <f aca="false">IF(OR(AQ63="",NOT(ISNUMBER(AQ63))),"",AQ63-N(U63))</f>
        <v/>
      </c>
      <c r="BR63" s="20" t="str">
        <f aca="false">IF($A63="","",IF(ISNUMBER($A63),DATE(YEAR($A63),MONTH($A63),1),IFERROR(DATE(2000+VALUE(RIGHT(TRIM($A63),2)),MATCH(UPPER(LEFT(TRIM($A63),3)),{"JAN","FEB","MAR","APR","MAY","JUN","JUL","AUG","SEP","OCT","NOV","DEC"},0),1),"")))</f>
        <v/>
      </c>
      <c r="BS63" s="20" t="str">
        <f aca="false">IF(BR63="","",EOMONTH(BR63,0))</f>
        <v/>
      </c>
    </row>
    <row r="64" customFormat="false" ht="15" hidden="false" customHeight="false" outlineLevel="0" collapsed="false">
      <c r="B64" s="21"/>
      <c r="C64" s="21"/>
      <c r="D64" s="21"/>
      <c r="E64" s="21"/>
      <c r="F64" s="21"/>
      <c r="G64" s="21"/>
      <c r="H64" s="21"/>
      <c r="I64" s="21"/>
      <c r="J64" s="21"/>
      <c r="K64" s="21"/>
      <c r="L64" s="21"/>
      <c r="M64" s="21"/>
      <c r="N64" s="21"/>
      <c r="O64" s="21"/>
      <c r="P64" s="21"/>
      <c r="Q64" s="21"/>
      <c r="R64" s="21"/>
      <c r="S64" s="21"/>
      <c r="T64" s="21"/>
      <c r="U64" s="21"/>
      <c r="X64" s="17" t="str">
        <f aca="false">IF(OR(B$7="",$BR64=""),"",IF('Tally Helper'!$B$3&lt;&gt;TRUE(),"not on Staff",SUMIFS('Tally Helper'!$L$5:$GI$5,'Tally Helper'!$L$3:$GI$3,"&gt;="&amp;$BR64,'Tally Helper'!$L$3:$GI$3,"&lt;="&amp;$BS64)))</f>
        <v/>
      </c>
      <c r="Y64" s="17" t="str">
        <f aca="false">IF(OR(C$7="",$BR64=""),"",IF('Tally Helper'!$B$6&lt;&gt;TRUE(),"not on Staff",SUMIFS('Tally Helper'!$L$8:$GI$8,'Tally Helper'!$L$6:$GI$6,"&gt;="&amp;$BR64,'Tally Helper'!$L$6:$GI$6,"&lt;="&amp;$BS64)))</f>
        <v/>
      </c>
      <c r="Z64" s="17" t="str">
        <f aca="false">IF(OR(D$7="",$BR64=""),"",IF('Tally Helper'!$B$9&lt;&gt;TRUE(),"not on Staff",SUMIFS('Tally Helper'!$L$11:$GI$11,'Tally Helper'!$L$9:$GI$9,"&gt;="&amp;$BR64,'Tally Helper'!$L$9:$GI$9,"&lt;="&amp;$BS64)))</f>
        <v/>
      </c>
      <c r="AA64" s="17" t="str">
        <f aca="false">IF(OR(E$7="",$BR64=""),"",IF('Tally Helper'!$B$12&lt;&gt;TRUE(),"not on Staff",SUMIFS('Tally Helper'!$L$14:$GI$14,'Tally Helper'!$L$12:$GI$12,"&gt;="&amp;$BR64,'Tally Helper'!$L$12:$GI$12,"&lt;="&amp;$BS64)))</f>
        <v/>
      </c>
      <c r="AB64" s="17" t="str">
        <f aca="false">IF(OR(F$7="",$BR64=""),"",IF('Tally Helper'!$B$15&lt;&gt;TRUE(),"not on Staff",SUMIFS('Tally Helper'!$L$17:$GI$17,'Tally Helper'!$L$15:$GI$15,"&gt;="&amp;$BR64,'Tally Helper'!$L$15:$GI$15,"&lt;="&amp;$BS64)))</f>
        <v/>
      </c>
      <c r="AC64" s="17" t="str">
        <f aca="false">IF(OR(G$7="",$BR64=""),"",IF('Tally Helper'!$B$18&lt;&gt;TRUE(),"not on Staff",SUMIFS('Tally Helper'!$L$20:$GI$20,'Tally Helper'!$L$18:$GI$18,"&gt;="&amp;$BR64,'Tally Helper'!$L$18:$GI$18,"&lt;="&amp;$BS64)))</f>
        <v/>
      </c>
      <c r="AD64" s="17" t="str">
        <f aca="false">IF(OR(H$7="",$BR64=""),"",IF('Tally Helper'!$B$21&lt;&gt;TRUE(),"not on Staff",SUMIFS('Tally Helper'!$L$23:$GI$23,'Tally Helper'!$L$21:$GI$21,"&gt;="&amp;$BR64,'Tally Helper'!$L$21:$GI$21,"&lt;="&amp;$BS64)))</f>
        <v/>
      </c>
      <c r="AE64" s="17" t="str">
        <f aca="false">IF(OR(I$7="",$BR64=""),"",IF('Tally Helper'!$B$24&lt;&gt;TRUE(),"not on Staff",SUMIFS('Tally Helper'!$L$26:$GI$26,'Tally Helper'!$L$24:$GI$24,"&gt;="&amp;$BR64,'Tally Helper'!$L$24:$GI$24,"&lt;="&amp;$BS64)))</f>
        <v/>
      </c>
      <c r="AF64" s="17" t="str">
        <f aca="false">IF(OR(J$7="",$BR64=""),"",IF('Tally Helper'!$B$27&lt;&gt;TRUE(),"not on Staff",SUMIFS('Tally Helper'!$L$29:$GI$29,'Tally Helper'!$L$27:$GI$27,"&gt;="&amp;$BR64,'Tally Helper'!$L$27:$GI$27,"&lt;="&amp;$BS64)))</f>
        <v/>
      </c>
      <c r="AG64" s="17" t="str">
        <f aca="false">IF(OR(K$7="",$BR64=""),"",IF('Tally Helper'!$B$30&lt;&gt;TRUE(),"not on Staff",SUMIFS('Tally Helper'!$L$32:$GI$32,'Tally Helper'!$L$30:$GI$30,"&gt;="&amp;$BR64,'Tally Helper'!$L$30:$GI$30,"&lt;="&amp;$BS64)))</f>
        <v/>
      </c>
      <c r="AH64" s="17" t="str">
        <f aca="false">IF(OR(L$7="",$BR64=""),"",IF('Tally Helper'!$B$33&lt;&gt;TRUE(),"not on Staff",SUMIFS('Tally Helper'!$L$35:$GI$35,'Tally Helper'!$L$33:$GI$33,"&gt;="&amp;$BR64,'Tally Helper'!$L$33:$GI$33,"&lt;="&amp;$BS64)))</f>
        <v/>
      </c>
      <c r="AI64" s="17" t="str">
        <f aca="false">IF(OR(M$7="",$BR64=""),"",IF('Tally Helper'!$B$36&lt;&gt;TRUE(),"not on Staff",SUMIFS('Tally Helper'!$L$38:$GI$38,'Tally Helper'!$L$36:$GI$36,"&gt;="&amp;$BR64,'Tally Helper'!$L$36:$GI$36,"&lt;="&amp;$BS64)))</f>
        <v/>
      </c>
      <c r="AJ64" s="17" t="str">
        <f aca="false">IF(OR(N$7="",$BR64=""),"",IF('Tally Helper'!$B$39&lt;&gt;TRUE(),"not on Staff",SUMIFS('Tally Helper'!$L$41:$GI$41,'Tally Helper'!$L$39:$GI$39,"&gt;="&amp;$BR64,'Tally Helper'!$L$39:$GI$39,"&lt;="&amp;$BS64)))</f>
        <v/>
      </c>
      <c r="AK64" s="17" t="str">
        <f aca="false">IF(OR(O$7="",$BR64=""),"",IF('Tally Helper'!$B$42&lt;&gt;TRUE(),"not on Staff",SUMIFS('Tally Helper'!$L$44:$GI$44,'Tally Helper'!$L$42:$GI$42,"&gt;="&amp;$BR64,'Tally Helper'!$L$42:$GI$42,"&lt;="&amp;$BS64)))</f>
        <v/>
      </c>
      <c r="AL64" s="17" t="str">
        <f aca="false">IF(OR(P$7="",$BR64=""),"",IF('Tally Helper'!$B$45&lt;&gt;TRUE(),"not on Staff",SUMIFS('Tally Helper'!$L$47:$GI$47,'Tally Helper'!$L$45:$GI$45,"&gt;="&amp;$BR64,'Tally Helper'!$L$45:$GI$45,"&lt;="&amp;$BS64)))</f>
        <v/>
      </c>
      <c r="AM64" s="17" t="str">
        <f aca="false">IF(OR(Q$7="",$BR64=""),"",IF('Tally Helper'!$B$48&lt;&gt;TRUE(),"not on Staff",SUMIFS('Tally Helper'!$L$50:$GI$50,'Tally Helper'!$L$48:$GI$48,"&gt;="&amp;$BR64,'Tally Helper'!$L$48:$GI$48,"&lt;="&amp;$BS64)))</f>
        <v/>
      </c>
      <c r="AN64" s="17" t="str">
        <f aca="false">IF(OR(R$7="",$BR64=""),"",IF('Tally Helper'!$B$51&lt;&gt;TRUE(),"not on Staff",SUMIFS('Tally Helper'!$L$53:$GI$53,'Tally Helper'!$L$51:$GI$51,"&gt;="&amp;$BR64,'Tally Helper'!$L$51:$GI$51,"&lt;="&amp;$BS64)))</f>
        <v/>
      </c>
      <c r="AO64" s="17" t="str">
        <f aca="false">IF(OR(S$7="",$BR64=""),"",IF('Tally Helper'!$B$54&lt;&gt;TRUE(),"not on Staff",SUMIFS('Tally Helper'!$L$56:$GI$56,'Tally Helper'!$L$54:$GI$54,"&gt;="&amp;$BR64,'Tally Helper'!$L$54:$GI$54,"&lt;="&amp;$BS64)))</f>
        <v/>
      </c>
      <c r="AP64" s="17" t="str">
        <f aca="false">IF(OR(T$7="",$BR64=""),"",IF('Tally Helper'!$B$57&lt;&gt;TRUE(),"not on Staff",SUMIFS('Tally Helper'!$L$59:$GI$59,'Tally Helper'!$L$57:$GI$57,"&gt;="&amp;$BR64,'Tally Helper'!$L$57:$GI$57,"&lt;="&amp;$BS64)))</f>
        <v/>
      </c>
      <c r="AQ64" s="17" t="str">
        <f aca="false">IF(OR(U$7="",$BR64=""),"",IF('Tally Helper'!$B$60&lt;&gt;TRUE(),"not on Staff",SUMIFS('Tally Helper'!$L$62:$GI$62,'Tally Helper'!$L$60:$GI$60,"&gt;="&amp;$BR64,'Tally Helper'!$L$60:$GI$60,"&lt;="&amp;$BS64)))</f>
        <v/>
      </c>
      <c r="AT64" s="17" t="str">
        <f aca="false">IF(OR(X64="",NOT(ISNUMBER(X64))),"",X64-N(B64))</f>
        <v/>
      </c>
      <c r="AU64" s="17" t="str">
        <f aca="false">IF(OR(Y64="",NOT(ISNUMBER(Y64))),"",Y64-N(C64))</f>
        <v/>
      </c>
      <c r="AV64" s="17" t="str">
        <f aca="false">IF(OR(Z64="",NOT(ISNUMBER(Z64))),"",Z64-N(D64))</f>
        <v/>
      </c>
      <c r="AW64" s="17" t="str">
        <f aca="false">IF(OR(AA64="",NOT(ISNUMBER(AA64))),"",AA64-N(E64))</f>
        <v/>
      </c>
      <c r="AX64" s="17" t="str">
        <f aca="false">IF(OR(AB64="",NOT(ISNUMBER(AB64))),"",AB64-N(F64))</f>
        <v/>
      </c>
      <c r="AY64" s="17" t="str">
        <f aca="false">IF(OR(AC64="",NOT(ISNUMBER(AC64))),"",AC64-N(G64))</f>
        <v/>
      </c>
      <c r="AZ64" s="17" t="str">
        <f aca="false">IF(OR(AD64="",NOT(ISNUMBER(AD64))),"",AD64-N(H64))</f>
        <v/>
      </c>
      <c r="BA64" s="17" t="str">
        <f aca="false">IF(OR(AE64="",NOT(ISNUMBER(AE64))),"",AE64-N(I64))</f>
        <v/>
      </c>
      <c r="BB64" s="17" t="str">
        <f aca="false">IF(OR(AF64="",NOT(ISNUMBER(AF64))),"",AF64-N(J64))</f>
        <v/>
      </c>
      <c r="BC64" s="17" t="str">
        <f aca="false">IF(OR(AG64="",NOT(ISNUMBER(AG64))),"",AG64-N(K64))</f>
        <v/>
      </c>
      <c r="BD64" s="17" t="str">
        <f aca="false">IF(OR(AH64="",NOT(ISNUMBER(AH64))),"",AH64-N(L64))</f>
        <v/>
      </c>
      <c r="BE64" s="17" t="str">
        <f aca="false">IF(OR(AI64="",NOT(ISNUMBER(AI64))),"",AI64-N(M64))</f>
        <v/>
      </c>
      <c r="BF64" s="17" t="str">
        <f aca="false">IF(OR(AJ64="",NOT(ISNUMBER(AJ64))),"",AJ64-N(N64))</f>
        <v/>
      </c>
      <c r="BG64" s="17" t="str">
        <f aca="false">IF(OR(AK64="",NOT(ISNUMBER(AK64))),"",AK64-N(O64))</f>
        <v/>
      </c>
      <c r="BH64" s="17" t="str">
        <f aca="false">IF(OR(AL64="",NOT(ISNUMBER(AL64))),"",AL64-N(P64))</f>
        <v/>
      </c>
      <c r="BI64" s="17" t="str">
        <f aca="false">IF(OR(AM64="",NOT(ISNUMBER(AM64))),"",AM64-N(Q64))</f>
        <v/>
      </c>
      <c r="BJ64" s="17" t="str">
        <f aca="false">IF(OR(AN64="",NOT(ISNUMBER(AN64))),"",AN64-N(R64))</f>
        <v/>
      </c>
      <c r="BK64" s="17" t="str">
        <f aca="false">IF(OR(AO64="",NOT(ISNUMBER(AO64))),"",AO64-N(S64))</f>
        <v/>
      </c>
      <c r="BL64" s="17" t="str">
        <f aca="false">IF(OR(AP64="",NOT(ISNUMBER(AP64))),"",AP64-N(T64))</f>
        <v/>
      </c>
      <c r="BM64" s="17" t="str">
        <f aca="false">IF(OR(AQ64="",NOT(ISNUMBER(AQ64))),"",AQ64-N(U64))</f>
        <v/>
      </c>
      <c r="BR64" s="20" t="str">
        <f aca="false">IF($A64="","",IF(ISNUMBER($A64),DATE(YEAR($A64),MONTH($A64),1),IFERROR(DATE(2000+VALUE(RIGHT(TRIM($A64),2)),MATCH(UPPER(LEFT(TRIM($A64),3)),{"JAN","FEB","MAR","APR","MAY","JUN","JUL","AUG","SEP","OCT","NOV","DEC"},0),1),"")))</f>
        <v/>
      </c>
      <c r="BS64" s="20" t="str">
        <f aca="false">IF(BR64="","",EOMONTH(BR64,0))</f>
        <v/>
      </c>
    </row>
    <row r="65" customFormat="false" ht="15" hidden="false" customHeight="false" outlineLevel="0" collapsed="false">
      <c r="B65" s="21"/>
      <c r="C65" s="21"/>
      <c r="D65" s="21"/>
      <c r="E65" s="21"/>
      <c r="F65" s="21"/>
      <c r="G65" s="21"/>
      <c r="H65" s="21"/>
      <c r="I65" s="21"/>
      <c r="J65" s="21"/>
      <c r="K65" s="21"/>
      <c r="L65" s="21"/>
      <c r="M65" s="21"/>
      <c r="N65" s="21"/>
      <c r="O65" s="21"/>
      <c r="P65" s="21"/>
      <c r="Q65" s="21"/>
      <c r="R65" s="21"/>
      <c r="S65" s="21"/>
      <c r="T65" s="21"/>
      <c r="U65" s="21"/>
      <c r="X65" s="17" t="str">
        <f aca="false">IF(OR(B$7="",$BR65=""),"",IF('Tally Helper'!$B$3&lt;&gt;TRUE(),"not on Staff",SUMIFS('Tally Helper'!$L$5:$GI$5,'Tally Helper'!$L$3:$GI$3,"&gt;="&amp;$BR65,'Tally Helper'!$L$3:$GI$3,"&lt;="&amp;$BS65)))</f>
        <v/>
      </c>
      <c r="Y65" s="17" t="str">
        <f aca="false">IF(OR(C$7="",$BR65=""),"",IF('Tally Helper'!$B$6&lt;&gt;TRUE(),"not on Staff",SUMIFS('Tally Helper'!$L$8:$GI$8,'Tally Helper'!$L$6:$GI$6,"&gt;="&amp;$BR65,'Tally Helper'!$L$6:$GI$6,"&lt;="&amp;$BS65)))</f>
        <v/>
      </c>
      <c r="Z65" s="17" t="str">
        <f aca="false">IF(OR(D$7="",$BR65=""),"",IF('Tally Helper'!$B$9&lt;&gt;TRUE(),"not on Staff",SUMIFS('Tally Helper'!$L$11:$GI$11,'Tally Helper'!$L$9:$GI$9,"&gt;="&amp;$BR65,'Tally Helper'!$L$9:$GI$9,"&lt;="&amp;$BS65)))</f>
        <v/>
      </c>
      <c r="AA65" s="17" t="str">
        <f aca="false">IF(OR(E$7="",$BR65=""),"",IF('Tally Helper'!$B$12&lt;&gt;TRUE(),"not on Staff",SUMIFS('Tally Helper'!$L$14:$GI$14,'Tally Helper'!$L$12:$GI$12,"&gt;="&amp;$BR65,'Tally Helper'!$L$12:$GI$12,"&lt;="&amp;$BS65)))</f>
        <v/>
      </c>
      <c r="AB65" s="17" t="str">
        <f aca="false">IF(OR(F$7="",$BR65=""),"",IF('Tally Helper'!$B$15&lt;&gt;TRUE(),"not on Staff",SUMIFS('Tally Helper'!$L$17:$GI$17,'Tally Helper'!$L$15:$GI$15,"&gt;="&amp;$BR65,'Tally Helper'!$L$15:$GI$15,"&lt;="&amp;$BS65)))</f>
        <v/>
      </c>
      <c r="AC65" s="17" t="str">
        <f aca="false">IF(OR(G$7="",$BR65=""),"",IF('Tally Helper'!$B$18&lt;&gt;TRUE(),"not on Staff",SUMIFS('Tally Helper'!$L$20:$GI$20,'Tally Helper'!$L$18:$GI$18,"&gt;="&amp;$BR65,'Tally Helper'!$L$18:$GI$18,"&lt;="&amp;$BS65)))</f>
        <v/>
      </c>
      <c r="AD65" s="17" t="str">
        <f aca="false">IF(OR(H$7="",$BR65=""),"",IF('Tally Helper'!$B$21&lt;&gt;TRUE(),"not on Staff",SUMIFS('Tally Helper'!$L$23:$GI$23,'Tally Helper'!$L$21:$GI$21,"&gt;="&amp;$BR65,'Tally Helper'!$L$21:$GI$21,"&lt;="&amp;$BS65)))</f>
        <v/>
      </c>
      <c r="AE65" s="17" t="str">
        <f aca="false">IF(OR(I$7="",$BR65=""),"",IF('Tally Helper'!$B$24&lt;&gt;TRUE(),"not on Staff",SUMIFS('Tally Helper'!$L$26:$GI$26,'Tally Helper'!$L$24:$GI$24,"&gt;="&amp;$BR65,'Tally Helper'!$L$24:$GI$24,"&lt;="&amp;$BS65)))</f>
        <v/>
      </c>
      <c r="AF65" s="17" t="str">
        <f aca="false">IF(OR(J$7="",$BR65=""),"",IF('Tally Helper'!$B$27&lt;&gt;TRUE(),"not on Staff",SUMIFS('Tally Helper'!$L$29:$GI$29,'Tally Helper'!$L$27:$GI$27,"&gt;="&amp;$BR65,'Tally Helper'!$L$27:$GI$27,"&lt;="&amp;$BS65)))</f>
        <v/>
      </c>
      <c r="AG65" s="17" t="str">
        <f aca="false">IF(OR(K$7="",$BR65=""),"",IF('Tally Helper'!$B$30&lt;&gt;TRUE(),"not on Staff",SUMIFS('Tally Helper'!$L$32:$GI$32,'Tally Helper'!$L$30:$GI$30,"&gt;="&amp;$BR65,'Tally Helper'!$L$30:$GI$30,"&lt;="&amp;$BS65)))</f>
        <v/>
      </c>
      <c r="AH65" s="17" t="str">
        <f aca="false">IF(OR(L$7="",$BR65=""),"",IF('Tally Helper'!$B$33&lt;&gt;TRUE(),"not on Staff",SUMIFS('Tally Helper'!$L$35:$GI$35,'Tally Helper'!$L$33:$GI$33,"&gt;="&amp;$BR65,'Tally Helper'!$L$33:$GI$33,"&lt;="&amp;$BS65)))</f>
        <v/>
      </c>
      <c r="AI65" s="17" t="str">
        <f aca="false">IF(OR(M$7="",$BR65=""),"",IF('Tally Helper'!$B$36&lt;&gt;TRUE(),"not on Staff",SUMIFS('Tally Helper'!$L$38:$GI$38,'Tally Helper'!$L$36:$GI$36,"&gt;="&amp;$BR65,'Tally Helper'!$L$36:$GI$36,"&lt;="&amp;$BS65)))</f>
        <v/>
      </c>
      <c r="AJ65" s="17" t="str">
        <f aca="false">IF(OR(N$7="",$BR65=""),"",IF('Tally Helper'!$B$39&lt;&gt;TRUE(),"not on Staff",SUMIFS('Tally Helper'!$L$41:$GI$41,'Tally Helper'!$L$39:$GI$39,"&gt;="&amp;$BR65,'Tally Helper'!$L$39:$GI$39,"&lt;="&amp;$BS65)))</f>
        <v/>
      </c>
      <c r="AK65" s="17" t="str">
        <f aca="false">IF(OR(O$7="",$BR65=""),"",IF('Tally Helper'!$B$42&lt;&gt;TRUE(),"not on Staff",SUMIFS('Tally Helper'!$L$44:$GI$44,'Tally Helper'!$L$42:$GI$42,"&gt;="&amp;$BR65,'Tally Helper'!$L$42:$GI$42,"&lt;="&amp;$BS65)))</f>
        <v/>
      </c>
      <c r="AL65" s="17" t="str">
        <f aca="false">IF(OR(P$7="",$BR65=""),"",IF('Tally Helper'!$B$45&lt;&gt;TRUE(),"not on Staff",SUMIFS('Tally Helper'!$L$47:$GI$47,'Tally Helper'!$L$45:$GI$45,"&gt;="&amp;$BR65,'Tally Helper'!$L$45:$GI$45,"&lt;="&amp;$BS65)))</f>
        <v/>
      </c>
      <c r="AM65" s="17" t="str">
        <f aca="false">IF(OR(Q$7="",$BR65=""),"",IF('Tally Helper'!$B$48&lt;&gt;TRUE(),"not on Staff",SUMIFS('Tally Helper'!$L$50:$GI$50,'Tally Helper'!$L$48:$GI$48,"&gt;="&amp;$BR65,'Tally Helper'!$L$48:$GI$48,"&lt;="&amp;$BS65)))</f>
        <v/>
      </c>
      <c r="AN65" s="17" t="str">
        <f aca="false">IF(OR(R$7="",$BR65=""),"",IF('Tally Helper'!$B$51&lt;&gt;TRUE(),"not on Staff",SUMIFS('Tally Helper'!$L$53:$GI$53,'Tally Helper'!$L$51:$GI$51,"&gt;="&amp;$BR65,'Tally Helper'!$L$51:$GI$51,"&lt;="&amp;$BS65)))</f>
        <v/>
      </c>
      <c r="AO65" s="17" t="str">
        <f aca="false">IF(OR(S$7="",$BR65=""),"",IF('Tally Helper'!$B$54&lt;&gt;TRUE(),"not on Staff",SUMIFS('Tally Helper'!$L$56:$GI$56,'Tally Helper'!$L$54:$GI$54,"&gt;="&amp;$BR65,'Tally Helper'!$L$54:$GI$54,"&lt;="&amp;$BS65)))</f>
        <v/>
      </c>
      <c r="AP65" s="17" t="str">
        <f aca="false">IF(OR(T$7="",$BR65=""),"",IF('Tally Helper'!$B$57&lt;&gt;TRUE(),"not on Staff",SUMIFS('Tally Helper'!$L$59:$GI$59,'Tally Helper'!$L$57:$GI$57,"&gt;="&amp;$BR65,'Tally Helper'!$L$57:$GI$57,"&lt;="&amp;$BS65)))</f>
        <v/>
      </c>
      <c r="AQ65" s="17" t="str">
        <f aca="false">IF(OR(U$7="",$BR65=""),"",IF('Tally Helper'!$B$60&lt;&gt;TRUE(),"not on Staff",SUMIFS('Tally Helper'!$L$62:$GI$62,'Tally Helper'!$L$60:$GI$60,"&gt;="&amp;$BR65,'Tally Helper'!$L$60:$GI$60,"&lt;="&amp;$BS65)))</f>
        <v/>
      </c>
      <c r="AT65" s="17" t="str">
        <f aca="false">IF(OR(X65="",NOT(ISNUMBER(X65))),"",X65-N(B65))</f>
        <v/>
      </c>
      <c r="AU65" s="17" t="str">
        <f aca="false">IF(OR(Y65="",NOT(ISNUMBER(Y65))),"",Y65-N(C65))</f>
        <v/>
      </c>
      <c r="AV65" s="17" t="str">
        <f aca="false">IF(OR(Z65="",NOT(ISNUMBER(Z65))),"",Z65-N(D65))</f>
        <v/>
      </c>
      <c r="AW65" s="17" t="str">
        <f aca="false">IF(OR(AA65="",NOT(ISNUMBER(AA65))),"",AA65-N(E65))</f>
        <v/>
      </c>
      <c r="AX65" s="17" t="str">
        <f aca="false">IF(OR(AB65="",NOT(ISNUMBER(AB65))),"",AB65-N(F65))</f>
        <v/>
      </c>
      <c r="AY65" s="17" t="str">
        <f aca="false">IF(OR(AC65="",NOT(ISNUMBER(AC65))),"",AC65-N(G65))</f>
        <v/>
      </c>
      <c r="AZ65" s="17" t="str">
        <f aca="false">IF(OR(AD65="",NOT(ISNUMBER(AD65))),"",AD65-N(H65))</f>
        <v/>
      </c>
      <c r="BA65" s="17" t="str">
        <f aca="false">IF(OR(AE65="",NOT(ISNUMBER(AE65))),"",AE65-N(I65))</f>
        <v/>
      </c>
      <c r="BB65" s="17" t="str">
        <f aca="false">IF(OR(AF65="",NOT(ISNUMBER(AF65))),"",AF65-N(J65))</f>
        <v/>
      </c>
      <c r="BC65" s="17" t="str">
        <f aca="false">IF(OR(AG65="",NOT(ISNUMBER(AG65))),"",AG65-N(K65))</f>
        <v/>
      </c>
      <c r="BD65" s="17" t="str">
        <f aca="false">IF(OR(AH65="",NOT(ISNUMBER(AH65))),"",AH65-N(L65))</f>
        <v/>
      </c>
      <c r="BE65" s="17" t="str">
        <f aca="false">IF(OR(AI65="",NOT(ISNUMBER(AI65))),"",AI65-N(M65))</f>
        <v/>
      </c>
      <c r="BF65" s="17" t="str">
        <f aca="false">IF(OR(AJ65="",NOT(ISNUMBER(AJ65))),"",AJ65-N(N65))</f>
        <v/>
      </c>
      <c r="BG65" s="17" t="str">
        <f aca="false">IF(OR(AK65="",NOT(ISNUMBER(AK65))),"",AK65-N(O65))</f>
        <v/>
      </c>
      <c r="BH65" s="17" t="str">
        <f aca="false">IF(OR(AL65="",NOT(ISNUMBER(AL65))),"",AL65-N(P65))</f>
        <v/>
      </c>
      <c r="BI65" s="17" t="str">
        <f aca="false">IF(OR(AM65="",NOT(ISNUMBER(AM65))),"",AM65-N(Q65))</f>
        <v/>
      </c>
      <c r="BJ65" s="17" t="str">
        <f aca="false">IF(OR(AN65="",NOT(ISNUMBER(AN65))),"",AN65-N(R65))</f>
        <v/>
      </c>
      <c r="BK65" s="17" t="str">
        <f aca="false">IF(OR(AO65="",NOT(ISNUMBER(AO65))),"",AO65-N(S65))</f>
        <v/>
      </c>
      <c r="BL65" s="17" t="str">
        <f aca="false">IF(OR(AP65="",NOT(ISNUMBER(AP65))),"",AP65-N(T65))</f>
        <v/>
      </c>
      <c r="BM65" s="17" t="str">
        <f aca="false">IF(OR(AQ65="",NOT(ISNUMBER(AQ65))),"",AQ65-N(U65))</f>
        <v/>
      </c>
      <c r="BR65" s="20" t="str">
        <f aca="false">IF($A65="","",IF(ISNUMBER($A65),DATE(YEAR($A65),MONTH($A65),1),IFERROR(DATE(2000+VALUE(RIGHT(TRIM($A65),2)),MATCH(UPPER(LEFT(TRIM($A65),3)),{"JAN","FEB","MAR","APR","MAY","JUN","JUL","AUG","SEP","OCT","NOV","DEC"},0),1),"")))</f>
        <v/>
      </c>
      <c r="BS65" s="20" t="str">
        <f aca="false">IF(BR65="","",EOMONTH(BR65,0))</f>
        <v/>
      </c>
    </row>
    <row r="66" customFormat="false" ht="15" hidden="false" customHeight="false" outlineLevel="0" collapsed="false">
      <c r="B66" s="21"/>
      <c r="C66" s="21"/>
      <c r="D66" s="21"/>
      <c r="E66" s="21"/>
      <c r="F66" s="21"/>
      <c r="G66" s="21"/>
      <c r="H66" s="21"/>
      <c r="I66" s="21"/>
      <c r="J66" s="21"/>
      <c r="K66" s="21"/>
      <c r="L66" s="21"/>
      <c r="M66" s="21"/>
      <c r="N66" s="21"/>
      <c r="O66" s="21"/>
      <c r="P66" s="21"/>
      <c r="Q66" s="21"/>
      <c r="R66" s="21"/>
      <c r="S66" s="21"/>
      <c r="T66" s="21"/>
      <c r="U66" s="21"/>
      <c r="X66" s="17" t="str">
        <f aca="false">IF(OR(B$7="",$BR66=""),"",IF('Tally Helper'!$B$3&lt;&gt;TRUE(),"not on Staff",SUMIFS('Tally Helper'!$L$5:$GI$5,'Tally Helper'!$L$3:$GI$3,"&gt;="&amp;$BR66,'Tally Helper'!$L$3:$GI$3,"&lt;="&amp;$BS66)))</f>
        <v/>
      </c>
      <c r="Y66" s="17" t="str">
        <f aca="false">IF(OR(C$7="",$BR66=""),"",IF('Tally Helper'!$B$6&lt;&gt;TRUE(),"not on Staff",SUMIFS('Tally Helper'!$L$8:$GI$8,'Tally Helper'!$L$6:$GI$6,"&gt;="&amp;$BR66,'Tally Helper'!$L$6:$GI$6,"&lt;="&amp;$BS66)))</f>
        <v/>
      </c>
      <c r="Z66" s="17" t="str">
        <f aca="false">IF(OR(D$7="",$BR66=""),"",IF('Tally Helper'!$B$9&lt;&gt;TRUE(),"not on Staff",SUMIFS('Tally Helper'!$L$11:$GI$11,'Tally Helper'!$L$9:$GI$9,"&gt;="&amp;$BR66,'Tally Helper'!$L$9:$GI$9,"&lt;="&amp;$BS66)))</f>
        <v/>
      </c>
      <c r="AA66" s="17" t="str">
        <f aca="false">IF(OR(E$7="",$BR66=""),"",IF('Tally Helper'!$B$12&lt;&gt;TRUE(),"not on Staff",SUMIFS('Tally Helper'!$L$14:$GI$14,'Tally Helper'!$L$12:$GI$12,"&gt;="&amp;$BR66,'Tally Helper'!$L$12:$GI$12,"&lt;="&amp;$BS66)))</f>
        <v/>
      </c>
      <c r="AB66" s="17" t="str">
        <f aca="false">IF(OR(F$7="",$BR66=""),"",IF('Tally Helper'!$B$15&lt;&gt;TRUE(),"not on Staff",SUMIFS('Tally Helper'!$L$17:$GI$17,'Tally Helper'!$L$15:$GI$15,"&gt;="&amp;$BR66,'Tally Helper'!$L$15:$GI$15,"&lt;="&amp;$BS66)))</f>
        <v/>
      </c>
      <c r="AC66" s="17" t="str">
        <f aca="false">IF(OR(G$7="",$BR66=""),"",IF('Tally Helper'!$B$18&lt;&gt;TRUE(),"not on Staff",SUMIFS('Tally Helper'!$L$20:$GI$20,'Tally Helper'!$L$18:$GI$18,"&gt;="&amp;$BR66,'Tally Helper'!$L$18:$GI$18,"&lt;="&amp;$BS66)))</f>
        <v/>
      </c>
      <c r="AD66" s="17" t="str">
        <f aca="false">IF(OR(H$7="",$BR66=""),"",IF('Tally Helper'!$B$21&lt;&gt;TRUE(),"not on Staff",SUMIFS('Tally Helper'!$L$23:$GI$23,'Tally Helper'!$L$21:$GI$21,"&gt;="&amp;$BR66,'Tally Helper'!$L$21:$GI$21,"&lt;="&amp;$BS66)))</f>
        <v/>
      </c>
      <c r="AE66" s="17" t="str">
        <f aca="false">IF(OR(I$7="",$BR66=""),"",IF('Tally Helper'!$B$24&lt;&gt;TRUE(),"not on Staff",SUMIFS('Tally Helper'!$L$26:$GI$26,'Tally Helper'!$L$24:$GI$24,"&gt;="&amp;$BR66,'Tally Helper'!$L$24:$GI$24,"&lt;="&amp;$BS66)))</f>
        <v/>
      </c>
      <c r="AF66" s="17" t="str">
        <f aca="false">IF(OR(J$7="",$BR66=""),"",IF('Tally Helper'!$B$27&lt;&gt;TRUE(),"not on Staff",SUMIFS('Tally Helper'!$L$29:$GI$29,'Tally Helper'!$L$27:$GI$27,"&gt;="&amp;$BR66,'Tally Helper'!$L$27:$GI$27,"&lt;="&amp;$BS66)))</f>
        <v/>
      </c>
      <c r="AG66" s="17" t="str">
        <f aca="false">IF(OR(K$7="",$BR66=""),"",IF('Tally Helper'!$B$30&lt;&gt;TRUE(),"not on Staff",SUMIFS('Tally Helper'!$L$32:$GI$32,'Tally Helper'!$L$30:$GI$30,"&gt;="&amp;$BR66,'Tally Helper'!$L$30:$GI$30,"&lt;="&amp;$BS66)))</f>
        <v/>
      </c>
      <c r="AH66" s="17" t="str">
        <f aca="false">IF(OR(L$7="",$BR66=""),"",IF('Tally Helper'!$B$33&lt;&gt;TRUE(),"not on Staff",SUMIFS('Tally Helper'!$L$35:$GI$35,'Tally Helper'!$L$33:$GI$33,"&gt;="&amp;$BR66,'Tally Helper'!$L$33:$GI$33,"&lt;="&amp;$BS66)))</f>
        <v/>
      </c>
      <c r="AI66" s="17" t="str">
        <f aca="false">IF(OR(M$7="",$BR66=""),"",IF('Tally Helper'!$B$36&lt;&gt;TRUE(),"not on Staff",SUMIFS('Tally Helper'!$L$38:$GI$38,'Tally Helper'!$L$36:$GI$36,"&gt;="&amp;$BR66,'Tally Helper'!$L$36:$GI$36,"&lt;="&amp;$BS66)))</f>
        <v/>
      </c>
      <c r="AJ66" s="17" t="str">
        <f aca="false">IF(OR(N$7="",$BR66=""),"",IF('Tally Helper'!$B$39&lt;&gt;TRUE(),"not on Staff",SUMIFS('Tally Helper'!$L$41:$GI$41,'Tally Helper'!$L$39:$GI$39,"&gt;="&amp;$BR66,'Tally Helper'!$L$39:$GI$39,"&lt;="&amp;$BS66)))</f>
        <v/>
      </c>
      <c r="AK66" s="17" t="str">
        <f aca="false">IF(OR(O$7="",$BR66=""),"",IF('Tally Helper'!$B$42&lt;&gt;TRUE(),"not on Staff",SUMIFS('Tally Helper'!$L$44:$GI$44,'Tally Helper'!$L$42:$GI$42,"&gt;="&amp;$BR66,'Tally Helper'!$L$42:$GI$42,"&lt;="&amp;$BS66)))</f>
        <v/>
      </c>
      <c r="AL66" s="17" t="str">
        <f aca="false">IF(OR(P$7="",$BR66=""),"",IF('Tally Helper'!$B$45&lt;&gt;TRUE(),"not on Staff",SUMIFS('Tally Helper'!$L$47:$GI$47,'Tally Helper'!$L$45:$GI$45,"&gt;="&amp;$BR66,'Tally Helper'!$L$45:$GI$45,"&lt;="&amp;$BS66)))</f>
        <v/>
      </c>
      <c r="AM66" s="17" t="str">
        <f aca="false">IF(OR(Q$7="",$BR66=""),"",IF('Tally Helper'!$B$48&lt;&gt;TRUE(),"not on Staff",SUMIFS('Tally Helper'!$L$50:$GI$50,'Tally Helper'!$L$48:$GI$48,"&gt;="&amp;$BR66,'Tally Helper'!$L$48:$GI$48,"&lt;="&amp;$BS66)))</f>
        <v/>
      </c>
      <c r="AN66" s="17" t="str">
        <f aca="false">IF(OR(R$7="",$BR66=""),"",IF('Tally Helper'!$B$51&lt;&gt;TRUE(),"not on Staff",SUMIFS('Tally Helper'!$L$53:$GI$53,'Tally Helper'!$L$51:$GI$51,"&gt;="&amp;$BR66,'Tally Helper'!$L$51:$GI$51,"&lt;="&amp;$BS66)))</f>
        <v/>
      </c>
      <c r="AO66" s="17" t="str">
        <f aca="false">IF(OR(S$7="",$BR66=""),"",IF('Tally Helper'!$B$54&lt;&gt;TRUE(),"not on Staff",SUMIFS('Tally Helper'!$L$56:$GI$56,'Tally Helper'!$L$54:$GI$54,"&gt;="&amp;$BR66,'Tally Helper'!$L$54:$GI$54,"&lt;="&amp;$BS66)))</f>
        <v/>
      </c>
      <c r="AP66" s="17" t="str">
        <f aca="false">IF(OR(T$7="",$BR66=""),"",IF('Tally Helper'!$B$57&lt;&gt;TRUE(),"not on Staff",SUMIFS('Tally Helper'!$L$59:$GI$59,'Tally Helper'!$L$57:$GI$57,"&gt;="&amp;$BR66,'Tally Helper'!$L$57:$GI$57,"&lt;="&amp;$BS66)))</f>
        <v/>
      </c>
      <c r="AQ66" s="17" t="str">
        <f aca="false">IF(OR(U$7="",$BR66=""),"",IF('Tally Helper'!$B$60&lt;&gt;TRUE(),"not on Staff",SUMIFS('Tally Helper'!$L$62:$GI$62,'Tally Helper'!$L$60:$GI$60,"&gt;="&amp;$BR66,'Tally Helper'!$L$60:$GI$60,"&lt;="&amp;$BS66)))</f>
        <v/>
      </c>
      <c r="AT66" s="17" t="str">
        <f aca="false">IF(OR(X66="",NOT(ISNUMBER(X66))),"",X66-N(B66))</f>
        <v/>
      </c>
      <c r="AU66" s="17" t="str">
        <f aca="false">IF(OR(Y66="",NOT(ISNUMBER(Y66))),"",Y66-N(C66))</f>
        <v/>
      </c>
      <c r="AV66" s="17" t="str">
        <f aca="false">IF(OR(Z66="",NOT(ISNUMBER(Z66))),"",Z66-N(D66))</f>
        <v/>
      </c>
      <c r="AW66" s="17" t="str">
        <f aca="false">IF(OR(AA66="",NOT(ISNUMBER(AA66))),"",AA66-N(E66))</f>
        <v/>
      </c>
      <c r="AX66" s="17" t="str">
        <f aca="false">IF(OR(AB66="",NOT(ISNUMBER(AB66))),"",AB66-N(F66))</f>
        <v/>
      </c>
      <c r="AY66" s="17" t="str">
        <f aca="false">IF(OR(AC66="",NOT(ISNUMBER(AC66))),"",AC66-N(G66))</f>
        <v/>
      </c>
      <c r="AZ66" s="17" t="str">
        <f aca="false">IF(OR(AD66="",NOT(ISNUMBER(AD66))),"",AD66-N(H66))</f>
        <v/>
      </c>
      <c r="BA66" s="17" t="str">
        <f aca="false">IF(OR(AE66="",NOT(ISNUMBER(AE66))),"",AE66-N(I66))</f>
        <v/>
      </c>
      <c r="BB66" s="17" t="str">
        <f aca="false">IF(OR(AF66="",NOT(ISNUMBER(AF66))),"",AF66-N(J66))</f>
        <v/>
      </c>
      <c r="BC66" s="17" t="str">
        <f aca="false">IF(OR(AG66="",NOT(ISNUMBER(AG66))),"",AG66-N(K66))</f>
        <v/>
      </c>
      <c r="BD66" s="17" t="str">
        <f aca="false">IF(OR(AH66="",NOT(ISNUMBER(AH66))),"",AH66-N(L66))</f>
        <v/>
      </c>
      <c r="BE66" s="17" t="str">
        <f aca="false">IF(OR(AI66="",NOT(ISNUMBER(AI66))),"",AI66-N(M66))</f>
        <v/>
      </c>
      <c r="BF66" s="17" t="str">
        <f aca="false">IF(OR(AJ66="",NOT(ISNUMBER(AJ66))),"",AJ66-N(N66))</f>
        <v/>
      </c>
      <c r="BG66" s="17" t="str">
        <f aca="false">IF(OR(AK66="",NOT(ISNUMBER(AK66))),"",AK66-N(O66))</f>
        <v/>
      </c>
      <c r="BH66" s="17" t="str">
        <f aca="false">IF(OR(AL66="",NOT(ISNUMBER(AL66))),"",AL66-N(P66))</f>
        <v/>
      </c>
      <c r="BI66" s="17" t="str">
        <f aca="false">IF(OR(AM66="",NOT(ISNUMBER(AM66))),"",AM66-N(Q66))</f>
        <v/>
      </c>
      <c r="BJ66" s="17" t="str">
        <f aca="false">IF(OR(AN66="",NOT(ISNUMBER(AN66))),"",AN66-N(R66))</f>
        <v/>
      </c>
      <c r="BK66" s="17" t="str">
        <f aca="false">IF(OR(AO66="",NOT(ISNUMBER(AO66))),"",AO66-N(S66))</f>
        <v/>
      </c>
      <c r="BL66" s="17" t="str">
        <f aca="false">IF(OR(AP66="",NOT(ISNUMBER(AP66))),"",AP66-N(T66))</f>
        <v/>
      </c>
      <c r="BM66" s="17" t="str">
        <f aca="false">IF(OR(AQ66="",NOT(ISNUMBER(AQ66))),"",AQ66-N(U66))</f>
        <v/>
      </c>
      <c r="BR66" s="20" t="str">
        <f aca="false">IF($A66="","",IF(ISNUMBER($A66),DATE(YEAR($A66),MONTH($A66),1),IFERROR(DATE(2000+VALUE(RIGHT(TRIM($A66),2)),MATCH(UPPER(LEFT(TRIM($A66),3)),{"JAN","FEB","MAR","APR","MAY","JUN","JUL","AUG","SEP","OCT","NOV","DEC"},0),1),"")))</f>
        <v/>
      </c>
      <c r="BS66" s="20" t="str">
        <f aca="false">IF(BR66="","",EOMONTH(BR66,0))</f>
        <v/>
      </c>
    </row>
    <row r="67" customFormat="false" ht="15" hidden="false" customHeight="false" outlineLevel="0" collapsed="false">
      <c r="B67" s="21"/>
      <c r="C67" s="21"/>
      <c r="D67" s="21"/>
      <c r="E67" s="21"/>
      <c r="F67" s="21"/>
      <c r="G67" s="21"/>
      <c r="H67" s="21"/>
      <c r="I67" s="21"/>
      <c r="J67" s="21"/>
      <c r="K67" s="21"/>
      <c r="L67" s="21"/>
      <c r="M67" s="21"/>
      <c r="N67" s="21"/>
      <c r="O67" s="21"/>
      <c r="P67" s="21"/>
      <c r="Q67" s="21"/>
      <c r="R67" s="21"/>
      <c r="S67" s="21"/>
      <c r="T67" s="21"/>
      <c r="U67" s="21"/>
      <c r="X67" s="17" t="str">
        <f aca="false">IF(OR(B$7="",$BR67=""),"",IF('Tally Helper'!$B$3&lt;&gt;TRUE(),"not on Staff",SUMIFS('Tally Helper'!$L$5:$GI$5,'Tally Helper'!$L$3:$GI$3,"&gt;="&amp;$BR67,'Tally Helper'!$L$3:$GI$3,"&lt;="&amp;$BS67)))</f>
        <v/>
      </c>
      <c r="Y67" s="17" t="str">
        <f aca="false">IF(OR(C$7="",$BR67=""),"",IF('Tally Helper'!$B$6&lt;&gt;TRUE(),"not on Staff",SUMIFS('Tally Helper'!$L$8:$GI$8,'Tally Helper'!$L$6:$GI$6,"&gt;="&amp;$BR67,'Tally Helper'!$L$6:$GI$6,"&lt;="&amp;$BS67)))</f>
        <v/>
      </c>
      <c r="Z67" s="17" t="str">
        <f aca="false">IF(OR(D$7="",$BR67=""),"",IF('Tally Helper'!$B$9&lt;&gt;TRUE(),"not on Staff",SUMIFS('Tally Helper'!$L$11:$GI$11,'Tally Helper'!$L$9:$GI$9,"&gt;="&amp;$BR67,'Tally Helper'!$L$9:$GI$9,"&lt;="&amp;$BS67)))</f>
        <v/>
      </c>
      <c r="AA67" s="17" t="str">
        <f aca="false">IF(OR(E$7="",$BR67=""),"",IF('Tally Helper'!$B$12&lt;&gt;TRUE(),"not on Staff",SUMIFS('Tally Helper'!$L$14:$GI$14,'Tally Helper'!$L$12:$GI$12,"&gt;="&amp;$BR67,'Tally Helper'!$L$12:$GI$12,"&lt;="&amp;$BS67)))</f>
        <v/>
      </c>
      <c r="AB67" s="17" t="str">
        <f aca="false">IF(OR(F$7="",$BR67=""),"",IF('Tally Helper'!$B$15&lt;&gt;TRUE(),"not on Staff",SUMIFS('Tally Helper'!$L$17:$GI$17,'Tally Helper'!$L$15:$GI$15,"&gt;="&amp;$BR67,'Tally Helper'!$L$15:$GI$15,"&lt;="&amp;$BS67)))</f>
        <v/>
      </c>
      <c r="AC67" s="17" t="str">
        <f aca="false">IF(OR(G$7="",$BR67=""),"",IF('Tally Helper'!$B$18&lt;&gt;TRUE(),"not on Staff",SUMIFS('Tally Helper'!$L$20:$GI$20,'Tally Helper'!$L$18:$GI$18,"&gt;="&amp;$BR67,'Tally Helper'!$L$18:$GI$18,"&lt;="&amp;$BS67)))</f>
        <v/>
      </c>
      <c r="AD67" s="17" t="str">
        <f aca="false">IF(OR(H$7="",$BR67=""),"",IF('Tally Helper'!$B$21&lt;&gt;TRUE(),"not on Staff",SUMIFS('Tally Helper'!$L$23:$GI$23,'Tally Helper'!$L$21:$GI$21,"&gt;="&amp;$BR67,'Tally Helper'!$L$21:$GI$21,"&lt;="&amp;$BS67)))</f>
        <v/>
      </c>
      <c r="AE67" s="17" t="str">
        <f aca="false">IF(OR(I$7="",$BR67=""),"",IF('Tally Helper'!$B$24&lt;&gt;TRUE(),"not on Staff",SUMIFS('Tally Helper'!$L$26:$GI$26,'Tally Helper'!$L$24:$GI$24,"&gt;="&amp;$BR67,'Tally Helper'!$L$24:$GI$24,"&lt;="&amp;$BS67)))</f>
        <v/>
      </c>
      <c r="AF67" s="17" t="str">
        <f aca="false">IF(OR(J$7="",$BR67=""),"",IF('Tally Helper'!$B$27&lt;&gt;TRUE(),"not on Staff",SUMIFS('Tally Helper'!$L$29:$GI$29,'Tally Helper'!$L$27:$GI$27,"&gt;="&amp;$BR67,'Tally Helper'!$L$27:$GI$27,"&lt;="&amp;$BS67)))</f>
        <v/>
      </c>
      <c r="AG67" s="17" t="str">
        <f aca="false">IF(OR(K$7="",$BR67=""),"",IF('Tally Helper'!$B$30&lt;&gt;TRUE(),"not on Staff",SUMIFS('Tally Helper'!$L$32:$GI$32,'Tally Helper'!$L$30:$GI$30,"&gt;="&amp;$BR67,'Tally Helper'!$L$30:$GI$30,"&lt;="&amp;$BS67)))</f>
        <v/>
      </c>
      <c r="AH67" s="17" t="str">
        <f aca="false">IF(OR(L$7="",$BR67=""),"",IF('Tally Helper'!$B$33&lt;&gt;TRUE(),"not on Staff",SUMIFS('Tally Helper'!$L$35:$GI$35,'Tally Helper'!$L$33:$GI$33,"&gt;="&amp;$BR67,'Tally Helper'!$L$33:$GI$33,"&lt;="&amp;$BS67)))</f>
        <v/>
      </c>
      <c r="AI67" s="17" t="str">
        <f aca="false">IF(OR(M$7="",$BR67=""),"",IF('Tally Helper'!$B$36&lt;&gt;TRUE(),"not on Staff",SUMIFS('Tally Helper'!$L$38:$GI$38,'Tally Helper'!$L$36:$GI$36,"&gt;="&amp;$BR67,'Tally Helper'!$L$36:$GI$36,"&lt;="&amp;$BS67)))</f>
        <v/>
      </c>
      <c r="AJ67" s="17" t="str">
        <f aca="false">IF(OR(N$7="",$BR67=""),"",IF('Tally Helper'!$B$39&lt;&gt;TRUE(),"not on Staff",SUMIFS('Tally Helper'!$L$41:$GI$41,'Tally Helper'!$L$39:$GI$39,"&gt;="&amp;$BR67,'Tally Helper'!$L$39:$GI$39,"&lt;="&amp;$BS67)))</f>
        <v/>
      </c>
      <c r="AK67" s="17" t="str">
        <f aca="false">IF(OR(O$7="",$BR67=""),"",IF('Tally Helper'!$B$42&lt;&gt;TRUE(),"not on Staff",SUMIFS('Tally Helper'!$L$44:$GI$44,'Tally Helper'!$L$42:$GI$42,"&gt;="&amp;$BR67,'Tally Helper'!$L$42:$GI$42,"&lt;="&amp;$BS67)))</f>
        <v/>
      </c>
      <c r="AL67" s="17" t="str">
        <f aca="false">IF(OR(P$7="",$BR67=""),"",IF('Tally Helper'!$B$45&lt;&gt;TRUE(),"not on Staff",SUMIFS('Tally Helper'!$L$47:$GI$47,'Tally Helper'!$L$45:$GI$45,"&gt;="&amp;$BR67,'Tally Helper'!$L$45:$GI$45,"&lt;="&amp;$BS67)))</f>
        <v/>
      </c>
      <c r="AM67" s="17" t="str">
        <f aca="false">IF(OR(Q$7="",$BR67=""),"",IF('Tally Helper'!$B$48&lt;&gt;TRUE(),"not on Staff",SUMIFS('Tally Helper'!$L$50:$GI$50,'Tally Helper'!$L$48:$GI$48,"&gt;="&amp;$BR67,'Tally Helper'!$L$48:$GI$48,"&lt;="&amp;$BS67)))</f>
        <v/>
      </c>
      <c r="AN67" s="17" t="str">
        <f aca="false">IF(OR(R$7="",$BR67=""),"",IF('Tally Helper'!$B$51&lt;&gt;TRUE(),"not on Staff",SUMIFS('Tally Helper'!$L$53:$GI$53,'Tally Helper'!$L$51:$GI$51,"&gt;="&amp;$BR67,'Tally Helper'!$L$51:$GI$51,"&lt;="&amp;$BS67)))</f>
        <v/>
      </c>
      <c r="AO67" s="17" t="str">
        <f aca="false">IF(OR(S$7="",$BR67=""),"",IF('Tally Helper'!$B$54&lt;&gt;TRUE(),"not on Staff",SUMIFS('Tally Helper'!$L$56:$GI$56,'Tally Helper'!$L$54:$GI$54,"&gt;="&amp;$BR67,'Tally Helper'!$L$54:$GI$54,"&lt;="&amp;$BS67)))</f>
        <v/>
      </c>
      <c r="AP67" s="17" t="str">
        <f aca="false">IF(OR(T$7="",$BR67=""),"",IF('Tally Helper'!$B$57&lt;&gt;TRUE(),"not on Staff",SUMIFS('Tally Helper'!$L$59:$GI$59,'Tally Helper'!$L$57:$GI$57,"&gt;="&amp;$BR67,'Tally Helper'!$L$57:$GI$57,"&lt;="&amp;$BS67)))</f>
        <v/>
      </c>
      <c r="AQ67" s="17" t="str">
        <f aca="false">IF(OR(U$7="",$BR67=""),"",IF('Tally Helper'!$B$60&lt;&gt;TRUE(),"not on Staff",SUMIFS('Tally Helper'!$L$62:$GI$62,'Tally Helper'!$L$60:$GI$60,"&gt;="&amp;$BR67,'Tally Helper'!$L$60:$GI$60,"&lt;="&amp;$BS67)))</f>
        <v/>
      </c>
      <c r="AT67" s="17" t="str">
        <f aca="false">IF(OR(X67="",NOT(ISNUMBER(X67))),"",X67-N(B67))</f>
        <v/>
      </c>
      <c r="AU67" s="17" t="str">
        <f aca="false">IF(OR(Y67="",NOT(ISNUMBER(Y67))),"",Y67-N(C67))</f>
        <v/>
      </c>
      <c r="AV67" s="17" t="str">
        <f aca="false">IF(OR(Z67="",NOT(ISNUMBER(Z67))),"",Z67-N(D67))</f>
        <v/>
      </c>
      <c r="AW67" s="17" t="str">
        <f aca="false">IF(OR(AA67="",NOT(ISNUMBER(AA67))),"",AA67-N(E67))</f>
        <v/>
      </c>
      <c r="AX67" s="17" t="str">
        <f aca="false">IF(OR(AB67="",NOT(ISNUMBER(AB67))),"",AB67-N(F67))</f>
        <v/>
      </c>
      <c r="AY67" s="17" t="str">
        <f aca="false">IF(OR(AC67="",NOT(ISNUMBER(AC67))),"",AC67-N(G67))</f>
        <v/>
      </c>
      <c r="AZ67" s="17" t="str">
        <f aca="false">IF(OR(AD67="",NOT(ISNUMBER(AD67))),"",AD67-N(H67))</f>
        <v/>
      </c>
      <c r="BA67" s="17" t="str">
        <f aca="false">IF(OR(AE67="",NOT(ISNUMBER(AE67))),"",AE67-N(I67))</f>
        <v/>
      </c>
      <c r="BB67" s="17" t="str">
        <f aca="false">IF(OR(AF67="",NOT(ISNUMBER(AF67))),"",AF67-N(J67))</f>
        <v/>
      </c>
      <c r="BC67" s="17" t="str">
        <f aca="false">IF(OR(AG67="",NOT(ISNUMBER(AG67))),"",AG67-N(K67))</f>
        <v/>
      </c>
      <c r="BD67" s="17" t="str">
        <f aca="false">IF(OR(AH67="",NOT(ISNUMBER(AH67))),"",AH67-N(L67))</f>
        <v/>
      </c>
      <c r="BE67" s="17" t="str">
        <f aca="false">IF(OR(AI67="",NOT(ISNUMBER(AI67))),"",AI67-N(M67))</f>
        <v/>
      </c>
      <c r="BF67" s="17" t="str">
        <f aca="false">IF(OR(AJ67="",NOT(ISNUMBER(AJ67))),"",AJ67-N(N67))</f>
        <v/>
      </c>
      <c r="BG67" s="17" t="str">
        <f aca="false">IF(OR(AK67="",NOT(ISNUMBER(AK67))),"",AK67-N(O67))</f>
        <v/>
      </c>
      <c r="BH67" s="17" t="str">
        <f aca="false">IF(OR(AL67="",NOT(ISNUMBER(AL67))),"",AL67-N(P67))</f>
        <v/>
      </c>
      <c r="BI67" s="17" t="str">
        <f aca="false">IF(OR(AM67="",NOT(ISNUMBER(AM67))),"",AM67-N(Q67))</f>
        <v/>
      </c>
      <c r="BJ67" s="17" t="str">
        <f aca="false">IF(OR(AN67="",NOT(ISNUMBER(AN67))),"",AN67-N(R67))</f>
        <v/>
      </c>
      <c r="BK67" s="17" t="str">
        <f aca="false">IF(OR(AO67="",NOT(ISNUMBER(AO67))),"",AO67-N(S67))</f>
        <v/>
      </c>
      <c r="BL67" s="17" t="str">
        <f aca="false">IF(OR(AP67="",NOT(ISNUMBER(AP67))),"",AP67-N(T67))</f>
        <v/>
      </c>
      <c r="BM67" s="17" t="str">
        <f aca="false">IF(OR(AQ67="",NOT(ISNUMBER(AQ67))),"",AQ67-N(U67))</f>
        <v/>
      </c>
      <c r="BR67" s="20" t="str">
        <f aca="false">IF($A67="","",IF(ISNUMBER($A67),DATE(YEAR($A67),MONTH($A67),1),IFERROR(DATE(2000+VALUE(RIGHT(TRIM($A67),2)),MATCH(UPPER(LEFT(TRIM($A67),3)),{"JAN","FEB","MAR","APR","MAY","JUN","JUL","AUG","SEP","OCT","NOV","DEC"},0),1),"")))</f>
        <v/>
      </c>
      <c r="BS67" s="20" t="str">
        <f aca="false">IF(BR67="","",EOMONTH(BR67,0))</f>
        <v/>
      </c>
    </row>
    <row r="68" customFormat="false" ht="15" hidden="false" customHeight="false" outlineLevel="0" collapsed="false">
      <c r="B68" s="21"/>
      <c r="C68" s="21"/>
      <c r="D68" s="21"/>
      <c r="E68" s="21"/>
      <c r="F68" s="21"/>
      <c r="G68" s="21"/>
      <c r="H68" s="21"/>
      <c r="I68" s="21"/>
      <c r="J68" s="21"/>
      <c r="K68" s="21"/>
      <c r="L68" s="21"/>
      <c r="M68" s="21"/>
      <c r="N68" s="21"/>
      <c r="O68" s="21"/>
      <c r="P68" s="21"/>
      <c r="Q68" s="21"/>
      <c r="R68" s="21"/>
      <c r="S68" s="21"/>
      <c r="T68" s="21"/>
      <c r="U68" s="21"/>
      <c r="X68" s="17" t="str">
        <f aca="false">IF(OR(B$7="",$BR68=""),"",IF('Tally Helper'!$B$3&lt;&gt;TRUE(),"not on Staff",SUMIFS('Tally Helper'!$L$5:$GI$5,'Tally Helper'!$L$3:$GI$3,"&gt;="&amp;$BR68,'Tally Helper'!$L$3:$GI$3,"&lt;="&amp;$BS68)))</f>
        <v/>
      </c>
      <c r="Y68" s="17" t="str">
        <f aca="false">IF(OR(C$7="",$BR68=""),"",IF('Tally Helper'!$B$6&lt;&gt;TRUE(),"not on Staff",SUMIFS('Tally Helper'!$L$8:$GI$8,'Tally Helper'!$L$6:$GI$6,"&gt;="&amp;$BR68,'Tally Helper'!$L$6:$GI$6,"&lt;="&amp;$BS68)))</f>
        <v/>
      </c>
      <c r="Z68" s="17" t="str">
        <f aca="false">IF(OR(D$7="",$BR68=""),"",IF('Tally Helper'!$B$9&lt;&gt;TRUE(),"not on Staff",SUMIFS('Tally Helper'!$L$11:$GI$11,'Tally Helper'!$L$9:$GI$9,"&gt;="&amp;$BR68,'Tally Helper'!$L$9:$GI$9,"&lt;="&amp;$BS68)))</f>
        <v/>
      </c>
      <c r="AA68" s="17" t="str">
        <f aca="false">IF(OR(E$7="",$BR68=""),"",IF('Tally Helper'!$B$12&lt;&gt;TRUE(),"not on Staff",SUMIFS('Tally Helper'!$L$14:$GI$14,'Tally Helper'!$L$12:$GI$12,"&gt;="&amp;$BR68,'Tally Helper'!$L$12:$GI$12,"&lt;="&amp;$BS68)))</f>
        <v/>
      </c>
      <c r="AB68" s="17" t="str">
        <f aca="false">IF(OR(F$7="",$BR68=""),"",IF('Tally Helper'!$B$15&lt;&gt;TRUE(),"not on Staff",SUMIFS('Tally Helper'!$L$17:$GI$17,'Tally Helper'!$L$15:$GI$15,"&gt;="&amp;$BR68,'Tally Helper'!$L$15:$GI$15,"&lt;="&amp;$BS68)))</f>
        <v/>
      </c>
      <c r="AC68" s="17" t="str">
        <f aca="false">IF(OR(G$7="",$BR68=""),"",IF('Tally Helper'!$B$18&lt;&gt;TRUE(),"not on Staff",SUMIFS('Tally Helper'!$L$20:$GI$20,'Tally Helper'!$L$18:$GI$18,"&gt;="&amp;$BR68,'Tally Helper'!$L$18:$GI$18,"&lt;="&amp;$BS68)))</f>
        <v/>
      </c>
      <c r="AD68" s="17" t="str">
        <f aca="false">IF(OR(H$7="",$BR68=""),"",IF('Tally Helper'!$B$21&lt;&gt;TRUE(),"not on Staff",SUMIFS('Tally Helper'!$L$23:$GI$23,'Tally Helper'!$L$21:$GI$21,"&gt;="&amp;$BR68,'Tally Helper'!$L$21:$GI$21,"&lt;="&amp;$BS68)))</f>
        <v/>
      </c>
      <c r="AE68" s="17" t="str">
        <f aca="false">IF(OR(I$7="",$BR68=""),"",IF('Tally Helper'!$B$24&lt;&gt;TRUE(),"not on Staff",SUMIFS('Tally Helper'!$L$26:$GI$26,'Tally Helper'!$L$24:$GI$24,"&gt;="&amp;$BR68,'Tally Helper'!$L$24:$GI$24,"&lt;="&amp;$BS68)))</f>
        <v/>
      </c>
      <c r="AF68" s="17" t="str">
        <f aca="false">IF(OR(J$7="",$BR68=""),"",IF('Tally Helper'!$B$27&lt;&gt;TRUE(),"not on Staff",SUMIFS('Tally Helper'!$L$29:$GI$29,'Tally Helper'!$L$27:$GI$27,"&gt;="&amp;$BR68,'Tally Helper'!$L$27:$GI$27,"&lt;="&amp;$BS68)))</f>
        <v/>
      </c>
      <c r="AG68" s="17" t="str">
        <f aca="false">IF(OR(K$7="",$BR68=""),"",IF('Tally Helper'!$B$30&lt;&gt;TRUE(),"not on Staff",SUMIFS('Tally Helper'!$L$32:$GI$32,'Tally Helper'!$L$30:$GI$30,"&gt;="&amp;$BR68,'Tally Helper'!$L$30:$GI$30,"&lt;="&amp;$BS68)))</f>
        <v/>
      </c>
      <c r="AH68" s="17" t="str">
        <f aca="false">IF(OR(L$7="",$BR68=""),"",IF('Tally Helper'!$B$33&lt;&gt;TRUE(),"not on Staff",SUMIFS('Tally Helper'!$L$35:$GI$35,'Tally Helper'!$L$33:$GI$33,"&gt;="&amp;$BR68,'Tally Helper'!$L$33:$GI$33,"&lt;="&amp;$BS68)))</f>
        <v/>
      </c>
      <c r="AI68" s="17" t="str">
        <f aca="false">IF(OR(M$7="",$BR68=""),"",IF('Tally Helper'!$B$36&lt;&gt;TRUE(),"not on Staff",SUMIFS('Tally Helper'!$L$38:$GI$38,'Tally Helper'!$L$36:$GI$36,"&gt;="&amp;$BR68,'Tally Helper'!$L$36:$GI$36,"&lt;="&amp;$BS68)))</f>
        <v/>
      </c>
      <c r="AJ68" s="17" t="str">
        <f aca="false">IF(OR(N$7="",$BR68=""),"",IF('Tally Helper'!$B$39&lt;&gt;TRUE(),"not on Staff",SUMIFS('Tally Helper'!$L$41:$GI$41,'Tally Helper'!$L$39:$GI$39,"&gt;="&amp;$BR68,'Tally Helper'!$L$39:$GI$39,"&lt;="&amp;$BS68)))</f>
        <v/>
      </c>
      <c r="AK68" s="17" t="str">
        <f aca="false">IF(OR(O$7="",$BR68=""),"",IF('Tally Helper'!$B$42&lt;&gt;TRUE(),"not on Staff",SUMIFS('Tally Helper'!$L$44:$GI$44,'Tally Helper'!$L$42:$GI$42,"&gt;="&amp;$BR68,'Tally Helper'!$L$42:$GI$42,"&lt;="&amp;$BS68)))</f>
        <v/>
      </c>
      <c r="AL68" s="17" t="str">
        <f aca="false">IF(OR(P$7="",$BR68=""),"",IF('Tally Helper'!$B$45&lt;&gt;TRUE(),"not on Staff",SUMIFS('Tally Helper'!$L$47:$GI$47,'Tally Helper'!$L$45:$GI$45,"&gt;="&amp;$BR68,'Tally Helper'!$L$45:$GI$45,"&lt;="&amp;$BS68)))</f>
        <v/>
      </c>
      <c r="AM68" s="17" t="str">
        <f aca="false">IF(OR(Q$7="",$BR68=""),"",IF('Tally Helper'!$B$48&lt;&gt;TRUE(),"not on Staff",SUMIFS('Tally Helper'!$L$50:$GI$50,'Tally Helper'!$L$48:$GI$48,"&gt;="&amp;$BR68,'Tally Helper'!$L$48:$GI$48,"&lt;="&amp;$BS68)))</f>
        <v/>
      </c>
      <c r="AN68" s="17" t="str">
        <f aca="false">IF(OR(R$7="",$BR68=""),"",IF('Tally Helper'!$B$51&lt;&gt;TRUE(),"not on Staff",SUMIFS('Tally Helper'!$L$53:$GI$53,'Tally Helper'!$L$51:$GI$51,"&gt;="&amp;$BR68,'Tally Helper'!$L$51:$GI$51,"&lt;="&amp;$BS68)))</f>
        <v/>
      </c>
      <c r="AO68" s="17" t="str">
        <f aca="false">IF(OR(S$7="",$BR68=""),"",IF('Tally Helper'!$B$54&lt;&gt;TRUE(),"not on Staff",SUMIFS('Tally Helper'!$L$56:$GI$56,'Tally Helper'!$L$54:$GI$54,"&gt;="&amp;$BR68,'Tally Helper'!$L$54:$GI$54,"&lt;="&amp;$BS68)))</f>
        <v/>
      </c>
      <c r="AP68" s="17" t="str">
        <f aca="false">IF(OR(T$7="",$BR68=""),"",IF('Tally Helper'!$B$57&lt;&gt;TRUE(),"not on Staff",SUMIFS('Tally Helper'!$L$59:$GI$59,'Tally Helper'!$L$57:$GI$57,"&gt;="&amp;$BR68,'Tally Helper'!$L$57:$GI$57,"&lt;="&amp;$BS68)))</f>
        <v/>
      </c>
      <c r="AQ68" s="17" t="str">
        <f aca="false">IF(OR(U$7="",$BR68=""),"",IF('Tally Helper'!$B$60&lt;&gt;TRUE(),"not on Staff",SUMIFS('Tally Helper'!$L$62:$GI$62,'Tally Helper'!$L$60:$GI$60,"&gt;="&amp;$BR68,'Tally Helper'!$L$60:$GI$60,"&lt;="&amp;$BS68)))</f>
        <v/>
      </c>
      <c r="AT68" s="17" t="str">
        <f aca="false">IF(OR(X68="",NOT(ISNUMBER(X68))),"",X68-N(B68))</f>
        <v/>
      </c>
      <c r="AU68" s="17" t="str">
        <f aca="false">IF(OR(Y68="",NOT(ISNUMBER(Y68))),"",Y68-N(C68))</f>
        <v/>
      </c>
      <c r="AV68" s="17" t="str">
        <f aca="false">IF(OR(Z68="",NOT(ISNUMBER(Z68))),"",Z68-N(D68))</f>
        <v/>
      </c>
      <c r="AW68" s="17" t="str">
        <f aca="false">IF(OR(AA68="",NOT(ISNUMBER(AA68))),"",AA68-N(E68))</f>
        <v/>
      </c>
      <c r="AX68" s="17" t="str">
        <f aca="false">IF(OR(AB68="",NOT(ISNUMBER(AB68))),"",AB68-N(F68))</f>
        <v/>
      </c>
      <c r="AY68" s="17" t="str">
        <f aca="false">IF(OR(AC68="",NOT(ISNUMBER(AC68))),"",AC68-N(G68))</f>
        <v/>
      </c>
      <c r="AZ68" s="17" t="str">
        <f aca="false">IF(OR(AD68="",NOT(ISNUMBER(AD68))),"",AD68-N(H68))</f>
        <v/>
      </c>
      <c r="BA68" s="17" t="str">
        <f aca="false">IF(OR(AE68="",NOT(ISNUMBER(AE68))),"",AE68-N(I68))</f>
        <v/>
      </c>
      <c r="BB68" s="17" t="str">
        <f aca="false">IF(OR(AF68="",NOT(ISNUMBER(AF68))),"",AF68-N(J68))</f>
        <v/>
      </c>
      <c r="BC68" s="17" t="str">
        <f aca="false">IF(OR(AG68="",NOT(ISNUMBER(AG68))),"",AG68-N(K68))</f>
        <v/>
      </c>
      <c r="BD68" s="17" t="str">
        <f aca="false">IF(OR(AH68="",NOT(ISNUMBER(AH68))),"",AH68-N(L68))</f>
        <v/>
      </c>
      <c r="BE68" s="17" t="str">
        <f aca="false">IF(OR(AI68="",NOT(ISNUMBER(AI68))),"",AI68-N(M68))</f>
        <v/>
      </c>
      <c r="BF68" s="17" t="str">
        <f aca="false">IF(OR(AJ68="",NOT(ISNUMBER(AJ68))),"",AJ68-N(N68))</f>
        <v/>
      </c>
      <c r="BG68" s="17" t="str">
        <f aca="false">IF(OR(AK68="",NOT(ISNUMBER(AK68))),"",AK68-N(O68))</f>
        <v/>
      </c>
      <c r="BH68" s="17" t="str">
        <f aca="false">IF(OR(AL68="",NOT(ISNUMBER(AL68))),"",AL68-N(P68))</f>
        <v/>
      </c>
      <c r="BI68" s="17" t="str">
        <f aca="false">IF(OR(AM68="",NOT(ISNUMBER(AM68))),"",AM68-N(Q68))</f>
        <v/>
      </c>
      <c r="BJ68" s="17" t="str">
        <f aca="false">IF(OR(AN68="",NOT(ISNUMBER(AN68))),"",AN68-N(R68))</f>
        <v/>
      </c>
      <c r="BK68" s="17" t="str">
        <f aca="false">IF(OR(AO68="",NOT(ISNUMBER(AO68))),"",AO68-N(S68))</f>
        <v/>
      </c>
      <c r="BL68" s="17" t="str">
        <f aca="false">IF(OR(AP68="",NOT(ISNUMBER(AP68))),"",AP68-N(T68))</f>
        <v/>
      </c>
      <c r="BM68" s="17" t="str">
        <f aca="false">IF(OR(AQ68="",NOT(ISNUMBER(AQ68))),"",AQ68-N(U68))</f>
        <v/>
      </c>
      <c r="BR68" s="20" t="str">
        <f aca="false">IF($A68="","",IF(ISNUMBER($A68),DATE(YEAR($A68),MONTH($A68),1),IFERROR(DATE(2000+VALUE(RIGHT(TRIM($A68),2)),MATCH(UPPER(LEFT(TRIM($A68),3)),{"JAN","FEB","MAR","APR","MAY","JUN","JUL","AUG","SEP","OCT","NOV","DEC"},0),1),"")))</f>
        <v/>
      </c>
      <c r="BS68" s="20" t="str">
        <f aca="false">IF(BR68="","",EOMONTH(BR68,0))</f>
        <v/>
      </c>
    </row>
    <row r="69" customFormat="false" ht="15" hidden="false" customHeight="false" outlineLevel="0" collapsed="false">
      <c r="B69" s="21"/>
      <c r="C69" s="21"/>
      <c r="D69" s="21"/>
      <c r="E69" s="21"/>
      <c r="F69" s="21"/>
      <c r="G69" s="21"/>
      <c r="H69" s="21"/>
      <c r="I69" s="21"/>
      <c r="J69" s="21"/>
      <c r="K69" s="21"/>
      <c r="L69" s="21"/>
      <c r="M69" s="21"/>
      <c r="N69" s="21"/>
      <c r="O69" s="21"/>
      <c r="P69" s="21"/>
      <c r="Q69" s="21"/>
      <c r="R69" s="21"/>
      <c r="S69" s="21"/>
      <c r="T69" s="21"/>
      <c r="U69" s="21"/>
      <c r="X69" s="17" t="str">
        <f aca="false">IF(OR(B$7="",$BR69=""),"",IF('Tally Helper'!$B$3&lt;&gt;TRUE(),"not on Staff",SUMIFS('Tally Helper'!$L$5:$GI$5,'Tally Helper'!$L$3:$GI$3,"&gt;="&amp;$BR69,'Tally Helper'!$L$3:$GI$3,"&lt;="&amp;$BS69)))</f>
        <v/>
      </c>
      <c r="Y69" s="17" t="str">
        <f aca="false">IF(OR(C$7="",$BR69=""),"",IF('Tally Helper'!$B$6&lt;&gt;TRUE(),"not on Staff",SUMIFS('Tally Helper'!$L$8:$GI$8,'Tally Helper'!$L$6:$GI$6,"&gt;="&amp;$BR69,'Tally Helper'!$L$6:$GI$6,"&lt;="&amp;$BS69)))</f>
        <v/>
      </c>
      <c r="Z69" s="17" t="str">
        <f aca="false">IF(OR(D$7="",$BR69=""),"",IF('Tally Helper'!$B$9&lt;&gt;TRUE(),"not on Staff",SUMIFS('Tally Helper'!$L$11:$GI$11,'Tally Helper'!$L$9:$GI$9,"&gt;="&amp;$BR69,'Tally Helper'!$L$9:$GI$9,"&lt;="&amp;$BS69)))</f>
        <v/>
      </c>
      <c r="AA69" s="17" t="str">
        <f aca="false">IF(OR(E$7="",$BR69=""),"",IF('Tally Helper'!$B$12&lt;&gt;TRUE(),"not on Staff",SUMIFS('Tally Helper'!$L$14:$GI$14,'Tally Helper'!$L$12:$GI$12,"&gt;="&amp;$BR69,'Tally Helper'!$L$12:$GI$12,"&lt;="&amp;$BS69)))</f>
        <v/>
      </c>
      <c r="AB69" s="17" t="str">
        <f aca="false">IF(OR(F$7="",$BR69=""),"",IF('Tally Helper'!$B$15&lt;&gt;TRUE(),"not on Staff",SUMIFS('Tally Helper'!$L$17:$GI$17,'Tally Helper'!$L$15:$GI$15,"&gt;="&amp;$BR69,'Tally Helper'!$L$15:$GI$15,"&lt;="&amp;$BS69)))</f>
        <v/>
      </c>
      <c r="AC69" s="17" t="str">
        <f aca="false">IF(OR(G$7="",$BR69=""),"",IF('Tally Helper'!$B$18&lt;&gt;TRUE(),"not on Staff",SUMIFS('Tally Helper'!$L$20:$GI$20,'Tally Helper'!$L$18:$GI$18,"&gt;="&amp;$BR69,'Tally Helper'!$L$18:$GI$18,"&lt;="&amp;$BS69)))</f>
        <v/>
      </c>
      <c r="AD69" s="17" t="str">
        <f aca="false">IF(OR(H$7="",$BR69=""),"",IF('Tally Helper'!$B$21&lt;&gt;TRUE(),"not on Staff",SUMIFS('Tally Helper'!$L$23:$GI$23,'Tally Helper'!$L$21:$GI$21,"&gt;="&amp;$BR69,'Tally Helper'!$L$21:$GI$21,"&lt;="&amp;$BS69)))</f>
        <v/>
      </c>
      <c r="AE69" s="17" t="str">
        <f aca="false">IF(OR(I$7="",$BR69=""),"",IF('Tally Helper'!$B$24&lt;&gt;TRUE(),"not on Staff",SUMIFS('Tally Helper'!$L$26:$GI$26,'Tally Helper'!$L$24:$GI$24,"&gt;="&amp;$BR69,'Tally Helper'!$L$24:$GI$24,"&lt;="&amp;$BS69)))</f>
        <v/>
      </c>
      <c r="AF69" s="17" t="str">
        <f aca="false">IF(OR(J$7="",$BR69=""),"",IF('Tally Helper'!$B$27&lt;&gt;TRUE(),"not on Staff",SUMIFS('Tally Helper'!$L$29:$GI$29,'Tally Helper'!$L$27:$GI$27,"&gt;="&amp;$BR69,'Tally Helper'!$L$27:$GI$27,"&lt;="&amp;$BS69)))</f>
        <v/>
      </c>
      <c r="AG69" s="17" t="str">
        <f aca="false">IF(OR(K$7="",$BR69=""),"",IF('Tally Helper'!$B$30&lt;&gt;TRUE(),"not on Staff",SUMIFS('Tally Helper'!$L$32:$GI$32,'Tally Helper'!$L$30:$GI$30,"&gt;="&amp;$BR69,'Tally Helper'!$L$30:$GI$30,"&lt;="&amp;$BS69)))</f>
        <v/>
      </c>
      <c r="AH69" s="17" t="str">
        <f aca="false">IF(OR(L$7="",$BR69=""),"",IF('Tally Helper'!$B$33&lt;&gt;TRUE(),"not on Staff",SUMIFS('Tally Helper'!$L$35:$GI$35,'Tally Helper'!$L$33:$GI$33,"&gt;="&amp;$BR69,'Tally Helper'!$L$33:$GI$33,"&lt;="&amp;$BS69)))</f>
        <v/>
      </c>
      <c r="AI69" s="17" t="str">
        <f aca="false">IF(OR(M$7="",$BR69=""),"",IF('Tally Helper'!$B$36&lt;&gt;TRUE(),"not on Staff",SUMIFS('Tally Helper'!$L$38:$GI$38,'Tally Helper'!$L$36:$GI$36,"&gt;="&amp;$BR69,'Tally Helper'!$L$36:$GI$36,"&lt;="&amp;$BS69)))</f>
        <v/>
      </c>
      <c r="AJ69" s="17" t="str">
        <f aca="false">IF(OR(N$7="",$BR69=""),"",IF('Tally Helper'!$B$39&lt;&gt;TRUE(),"not on Staff",SUMIFS('Tally Helper'!$L$41:$GI$41,'Tally Helper'!$L$39:$GI$39,"&gt;="&amp;$BR69,'Tally Helper'!$L$39:$GI$39,"&lt;="&amp;$BS69)))</f>
        <v/>
      </c>
      <c r="AK69" s="17" t="str">
        <f aca="false">IF(OR(O$7="",$BR69=""),"",IF('Tally Helper'!$B$42&lt;&gt;TRUE(),"not on Staff",SUMIFS('Tally Helper'!$L$44:$GI$44,'Tally Helper'!$L$42:$GI$42,"&gt;="&amp;$BR69,'Tally Helper'!$L$42:$GI$42,"&lt;="&amp;$BS69)))</f>
        <v/>
      </c>
      <c r="AL69" s="17" t="str">
        <f aca="false">IF(OR(P$7="",$BR69=""),"",IF('Tally Helper'!$B$45&lt;&gt;TRUE(),"not on Staff",SUMIFS('Tally Helper'!$L$47:$GI$47,'Tally Helper'!$L$45:$GI$45,"&gt;="&amp;$BR69,'Tally Helper'!$L$45:$GI$45,"&lt;="&amp;$BS69)))</f>
        <v/>
      </c>
      <c r="AM69" s="17" t="str">
        <f aca="false">IF(OR(Q$7="",$BR69=""),"",IF('Tally Helper'!$B$48&lt;&gt;TRUE(),"not on Staff",SUMIFS('Tally Helper'!$L$50:$GI$50,'Tally Helper'!$L$48:$GI$48,"&gt;="&amp;$BR69,'Tally Helper'!$L$48:$GI$48,"&lt;="&amp;$BS69)))</f>
        <v/>
      </c>
      <c r="AN69" s="17" t="str">
        <f aca="false">IF(OR(R$7="",$BR69=""),"",IF('Tally Helper'!$B$51&lt;&gt;TRUE(),"not on Staff",SUMIFS('Tally Helper'!$L$53:$GI$53,'Tally Helper'!$L$51:$GI$51,"&gt;="&amp;$BR69,'Tally Helper'!$L$51:$GI$51,"&lt;="&amp;$BS69)))</f>
        <v/>
      </c>
      <c r="AO69" s="17" t="str">
        <f aca="false">IF(OR(S$7="",$BR69=""),"",IF('Tally Helper'!$B$54&lt;&gt;TRUE(),"not on Staff",SUMIFS('Tally Helper'!$L$56:$GI$56,'Tally Helper'!$L$54:$GI$54,"&gt;="&amp;$BR69,'Tally Helper'!$L$54:$GI$54,"&lt;="&amp;$BS69)))</f>
        <v/>
      </c>
      <c r="AP69" s="17" t="str">
        <f aca="false">IF(OR(T$7="",$BR69=""),"",IF('Tally Helper'!$B$57&lt;&gt;TRUE(),"not on Staff",SUMIFS('Tally Helper'!$L$59:$GI$59,'Tally Helper'!$L$57:$GI$57,"&gt;="&amp;$BR69,'Tally Helper'!$L$57:$GI$57,"&lt;="&amp;$BS69)))</f>
        <v/>
      </c>
      <c r="AQ69" s="17" t="str">
        <f aca="false">IF(OR(U$7="",$BR69=""),"",IF('Tally Helper'!$B$60&lt;&gt;TRUE(),"not on Staff",SUMIFS('Tally Helper'!$L$62:$GI$62,'Tally Helper'!$L$60:$GI$60,"&gt;="&amp;$BR69,'Tally Helper'!$L$60:$GI$60,"&lt;="&amp;$BS69)))</f>
        <v/>
      </c>
      <c r="AT69" s="17" t="str">
        <f aca="false">IF(OR(X69="",NOT(ISNUMBER(X69))),"",X69-N(B69))</f>
        <v/>
      </c>
      <c r="AU69" s="17" t="str">
        <f aca="false">IF(OR(Y69="",NOT(ISNUMBER(Y69))),"",Y69-N(C69))</f>
        <v/>
      </c>
      <c r="AV69" s="17" t="str">
        <f aca="false">IF(OR(Z69="",NOT(ISNUMBER(Z69))),"",Z69-N(D69))</f>
        <v/>
      </c>
      <c r="AW69" s="17" t="str">
        <f aca="false">IF(OR(AA69="",NOT(ISNUMBER(AA69))),"",AA69-N(E69))</f>
        <v/>
      </c>
      <c r="AX69" s="17" t="str">
        <f aca="false">IF(OR(AB69="",NOT(ISNUMBER(AB69))),"",AB69-N(F69))</f>
        <v/>
      </c>
      <c r="AY69" s="17" t="str">
        <f aca="false">IF(OR(AC69="",NOT(ISNUMBER(AC69))),"",AC69-N(G69))</f>
        <v/>
      </c>
      <c r="AZ69" s="17" t="str">
        <f aca="false">IF(OR(AD69="",NOT(ISNUMBER(AD69))),"",AD69-N(H69))</f>
        <v/>
      </c>
      <c r="BA69" s="17" t="str">
        <f aca="false">IF(OR(AE69="",NOT(ISNUMBER(AE69))),"",AE69-N(I69))</f>
        <v/>
      </c>
      <c r="BB69" s="17" t="str">
        <f aca="false">IF(OR(AF69="",NOT(ISNUMBER(AF69))),"",AF69-N(J69))</f>
        <v/>
      </c>
      <c r="BC69" s="17" t="str">
        <f aca="false">IF(OR(AG69="",NOT(ISNUMBER(AG69))),"",AG69-N(K69))</f>
        <v/>
      </c>
      <c r="BD69" s="17" t="str">
        <f aca="false">IF(OR(AH69="",NOT(ISNUMBER(AH69))),"",AH69-N(L69))</f>
        <v/>
      </c>
      <c r="BE69" s="17" t="str">
        <f aca="false">IF(OR(AI69="",NOT(ISNUMBER(AI69))),"",AI69-N(M69))</f>
        <v/>
      </c>
      <c r="BF69" s="17" t="str">
        <f aca="false">IF(OR(AJ69="",NOT(ISNUMBER(AJ69))),"",AJ69-N(N69))</f>
        <v/>
      </c>
      <c r="BG69" s="17" t="str">
        <f aca="false">IF(OR(AK69="",NOT(ISNUMBER(AK69))),"",AK69-N(O69))</f>
        <v/>
      </c>
      <c r="BH69" s="17" t="str">
        <f aca="false">IF(OR(AL69="",NOT(ISNUMBER(AL69))),"",AL69-N(P69))</f>
        <v/>
      </c>
      <c r="BI69" s="17" t="str">
        <f aca="false">IF(OR(AM69="",NOT(ISNUMBER(AM69))),"",AM69-N(Q69))</f>
        <v/>
      </c>
      <c r="BJ69" s="17" t="str">
        <f aca="false">IF(OR(AN69="",NOT(ISNUMBER(AN69))),"",AN69-N(R69))</f>
        <v/>
      </c>
      <c r="BK69" s="17" t="str">
        <f aca="false">IF(OR(AO69="",NOT(ISNUMBER(AO69))),"",AO69-N(S69))</f>
        <v/>
      </c>
      <c r="BL69" s="17" t="str">
        <f aca="false">IF(OR(AP69="",NOT(ISNUMBER(AP69))),"",AP69-N(T69))</f>
        <v/>
      </c>
      <c r="BM69" s="17" t="str">
        <f aca="false">IF(OR(AQ69="",NOT(ISNUMBER(AQ69))),"",AQ69-N(U69))</f>
        <v/>
      </c>
      <c r="BR69" s="20" t="str">
        <f aca="false">IF($A69="","",IF(ISNUMBER($A69),DATE(YEAR($A69),MONTH($A69),1),IFERROR(DATE(2000+VALUE(RIGHT(TRIM($A69),2)),MATCH(UPPER(LEFT(TRIM($A69),3)),{"JAN","FEB","MAR","APR","MAY","JUN","JUL","AUG","SEP","OCT","NOV","DEC"},0),1),"")))</f>
        <v/>
      </c>
      <c r="BS69" s="20" t="str">
        <f aca="false">IF(BR69="","",EOMONTH(BR69,0))</f>
        <v/>
      </c>
    </row>
    <row r="70" customFormat="false" ht="15" hidden="false" customHeight="false" outlineLevel="0" collapsed="false">
      <c r="B70" s="21"/>
      <c r="C70" s="21"/>
      <c r="D70" s="21"/>
      <c r="E70" s="21"/>
      <c r="F70" s="21"/>
      <c r="G70" s="21"/>
      <c r="H70" s="21"/>
      <c r="I70" s="21"/>
      <c r="J70" s="21"/>
      <c r="K70" s="21"/>
      <c r="L70" s="21"/>
      <c r="M70" s="21"/>
      <c r="N70" s="21"/>
      <c r="O70" s="21"/>
      <c r="P70" s="21"/>
      <c r="Q70" s="21"/>
      <c r="R70" s="21"/>
      <c r="S70" s="21"/>
      <c r="T70" s="21"/>
      <c r="U70" s="21"/>
      <c r="X70" s="17" t="str">
        <f aca="false">IF(OR(B$7="",$BR70=""),"",IF('Tally Helper'!$B$3&lt;&gt;TRUE(),"not on Staff",SUMIFS('Tally Helper'!$L$5:$GI$5,'Tally Helper'!$L$3:$GI$3,"&gt;="&amp;$BR70,'Tally Helper'!$L$3:$GI$3,"&lt;="&amp;$BS70)))</f>
        <v/>
      </c>
      <c r="Y70" s="17" t="str">
        <f aca="false">IF(OR(C$7="",$BR70=""),"",IF('Tally Helper'!$B$6&lt;&gt;TRUE(),"not on Staff",SUMIFS('Tally Helper'!$L$8:$GI$8,'Tally Helper'!$L$6:$GI$6,"&gt;="&amp;$BR70,'Tally Helper'!$L$6:$GI$6,"&lt;="&amp;$BS70)))</f>
        <v/>
      </c>
      <c r="Z70" s="17" t="str">
        <f aca="false">IF(OR(D$7="",$BR70=""),"",IF('Tally Helper'!$B$9&lt;&gt;TRUE(),"not on Staff",SUMIFS('Tally Helper'!$L$11:$GI$11,'Tally Helper'!$L$9:$GI$9,"&gt;="&amp;$BR70,'Tally Helper'!$L$9:$GI$9,"&lt;="&amp;$BS70)))</f>
        <v/>
      </c>
      <c r="AA70" s="17" t="str">
        <f aca="false">IF(OR(E$7="",$BR70=""),"",IF('Tally Helper'!$B$12&lt;&gt;TRUE(),"not on Staff",SUMIFS('Tally Helper'!$L$14:$GI$14,'Tally Helper'!$L$12:$GI$12,"&gt;="&amp;$BR70,'Tally Helper'!$L$12:$GI$12,"&lt;="&amp;$BS70)))</f>
        <v/>
      </c>
      <c r="AB70" s="17" t="str">
        <f aca="false">IF(OR(F$7="",$BR70=""),"",IF('Tally Helper'!$B$15&lt;&gt;TRUE(),"not on Staff",SUMIFS('Tally Helper'!$L$17:$GI$17,'Tally Helper'!$L$15:$GI$15,"&gt;="&amp;$BR70,'Tally Helper'!$L$15:$GI$15,"&lt;="&amp;$BS70)))</f>
        <v/>
      </c>
      <c r="AC70" s="17" t="str">
        <f aca="false">IF(OR(G$7="",$BR70=""),"",IF('Tally Helper'!$B$18&lt;&gt;TRUE(),"not on Staff",SUMIFS('Tally Helper'!$L$20:$GI$20,'Tally Helper'!$L$18:$GI$18,"&gt;="&amp;$BR70,'Tally Helper'!$L$18:$GI$18,"&lt;="&amp;$BS70)))</f>
        <v/>
      </c>
      <c r="AD70" s="17" t="str">
        <f aca="false">IF(OR(H$7="",$BR70=""),"",IF('Tally Helper'!$B$21&lt;&gt;TRUE(),"not on Staff",SUMIFS('Tally Helper'!$L$23:$GI$23,'Tally Helper'!$L$21:$GI$21,"&gt;="&amp;$BR70,'Tally Helper'!$L$21:$GI$21,"&lt;="&amp;$BS70)))</f>
        <v/>
      </c>
      <c r="AE70" s="17" t="str">
        <f aca="false">IF(OR(I$7="",$BR70=""),"",IF('Tally Helper'!$B$24&lt;&gt;TRUE(),"not on Staff",SUMIFS('Tally Helper'!$L$26:$GI$26,'Tally Helper'!$L$24:$GI$24,"&gt;="&amp;$BR70,'Tally Helper'!$L$24:$GI$24,"&lt;="&amp;$BS70)))</f>
        <v/>
      </c>
      <c r="AF70" s="17" t="str">
        <f aca="false">IF(OR(J$7="",$BR70=""),"",IF('Tally Helper'!$B$27&lt;&gt;TRUE(),"not on Staff",SUMIFS('Tally Helper'!$L$29:$GI$29,'Tally Helper'!$L$27:$GI$27,"&gt;="&amp;$BR70,'Tally Helper'!$L$27:$GI$27,"&lt;="&amp;$BS70)))</f>
        <v/>
      </c>
      <c r="AG70" s="17" t="str">
        <f aca="false">IF(OR(K$7="",$BR70=""),"",IF('Tally Helper'!$B$30&lt;&gt;TRUE(),"not on Staff",SUMIFS('Tally Helper'!$L$32:$GI$32,'Tally Helper'!$L$30:$GI$30,"&gt;="&amp;$BR70,'Tally Helper'!$L$30:$GI$30,"&lt;="&amp;$BS70)))</f>
        <v/>
      </c>
      <c r="AH70" s="17" t="str">
        <f aca="false">IF(OR(L$7="",$BR70=""),"",IF('Tally Helper'!$B$33&lt;&gt;TRUE(),"not on Staff",SUMIFS('Tally Helper'!$L$35:$GI$35,'Tally Helper'!$L$33:$GI$33,"&gt;="&amp;$BR70,'Tally Helper'!$L$33:$GI$33,"&lt;="&amp;$BS70)))</f>
        <v/>
      </c>
      <c r="AI70" s="17" t="str">
        <f aca="false">IF(OR(M$7="",$BR70=""),"",IF('Tally Helper'!$B$36&lt;&gt;TRUE(),"not on Staff",SUMIFS('Tally Helper'!$L$38:$GI$38,'Tally Helper'!$L$36:$GI$36,"&gt;="&amp;$BR70,'Tally Helper'!$L$36:$GI$36,"&lt;="&amp;$BS70)))</f>
        <v/>
      </c>
      <c r="AJ70" s="17" t="str">
        <f aca="false">IF(OR(N$7="",$BR70=""),"",IF('Tally Helper'!$B$39&lt;&gt;TRUE(),"not on Staff",SUMIFS('Tally Helper'!$L$41:$GI$41,'Tally Helper'!$L$39:$GI$39,"&gt;="&amp;$BR70,'Tally Helper'!$L$39:$GI$39,"&lt;="&amp;$BS70)))</f>
        <v/>
      </c>
      <c r="AK70" s="17" t="str">
        <f aca="false">IF(OR(O$7="",$BR70=""),"",IF('Tally Helper'!$B$42&lt;&gt;TRUE(),"not on Staff",SUMIFS('Tally Helper'!$L$44:$GI$44,'Tally Helper'!$L$42:$GI$42,"&gt;="&amp;$BR70,'Tally Helper'!$L$42:$GI$42,"&lt;="&amp;$BS70)))</f>
        <v/>
      </c>
      <c r="AL70" s="17" t="str">
        <f aca="false">IF(OR(P$7="",$BR70=""),"",IF('Tally Helper'!$B$45&lt;&gt;TRUE(),"not on Staff",SUMIFS('Tally Helper'!$L$47:$GI$47,'Tally Helper'!$L$45:$GI$45,"&gt;="&amp;$BR70,'Tally Helper'!$L$45:$GI$45,"&lt;="&amp;$BS70)))</f>
        <v/>
      </c>
      <c r="AM70" s="17" t="str">
        <f aca="false">IF(OR(Q$7="",$BR70=""),"",IF('Tally Helper'!$B$48&lt;&gt;TRUE(),"not on Staff",SUMIFS('Tally Helper'!$L$50:$GI$50,'Tally Helper'!$L$48:$GI$48,"&gt;="&amp;$BR70,'Tally Helper'!$L$48:$GI$48,"&lt;="&amp;$BS70)))</f>
        <v/>
      </c>
      <c r="AN70" s="17" t="str">
        <f aca="false">IF(OR(R$7="",$BR70=""),"",IF('Tally Helper'!$B$51&lt;&gt;TRUE(),"not on Staff",SUMIFS('Tally Helper'!$L$53:$GI$53,'Tally Helper'!$L$51:$GI$51,"&gt;="&amp;$BR70,'Tally Helper'!$L$51:$GI$51,"&lt;="&amp;$BS70)))</f>
        <v/>
      </c>
      <c r="AO70" s="17" t="str">
        <f aca="false">IF(OR(S$7="",$BR70=""),"",IF('Tally Helper'!$B$54&lt;&gt;TRUE(),"not on Staff",SUMIFS('Tally Helper'!$L$56:$GI$56,'Tally Helper'!$L$54:$GI$54,"&gt;="&amp;$BR70,'Tally Helper'!$L$54:$GI$54,"&lt;="&amp;$BS70)))</f>
        <v/>
      </c>
      <c r="AP70" s="17" t="str">
        <f aca="false">IF(OR(T$7="",$BR70=""),"",IF('Tally Helper'!$B$57&lt;&gt;TRUE(),"not on Staff",SUMIFS('Tally Helper'!$L$59:$GI$59,'Tally Helper'!$L$57:$GI$57,"&gt;="&amp;$BR70,'Tally Helper'!$L$57:$GI$57,"&lt;="&amp;$BS70)))</f>
        <v/>
      </c>
      <c r="AQ70" s="17" t="str">
        <f aca="false">IF(OR(U$7="",$BR70=""),"",IF('Tally Helper'!$B$60&lt;&gt;TRUE(),"not on Staff",SUMIFS('Tally Helper'!$L$62:$GI$62,'Tally Helper'!$L$60:$GI$60,"&gt;="&amp;$BR70,'Tally Helper'!$L$60:$GI$60,"&lt;="&amp;$BS70)))</f>
        <v/>
      </c>
      <c r="AT70" s="17" t="str">
        <f aca="false">IF(OR(X70="",NOT(ISNUMBER(X70))),"",X70-N(B70))</f>
        <v/>
      </c>
      <c r="AU70" s="17" t="str">
        <f aca="false">IF(OR(Y70="",NOT(ISNUMBER(Y70))),"",Y70-N(C70))</f>
        <v/>
      </c>
      <c r="AV70" s="17" t="str">
        <f aca="false">IF(OR(Z70="",NOT(ISNUMBER(Z70))),"",Z70-N(D70))</f>
        <v/>
      </c>
      <c r="AW70" s="17" t="str">
        <f aca="false">IF(OR(AA70="",NOT(ISNUMBER(AA70))),"",AA70-N(E70))</f>
        <v/>
      </c>
      <c r="AX70" s="17" t="str">
        <f aca="false">IF(OR(AB70="",NOT(ISNUMBER(AB70))),"",AB70-N(F70))</f>
        <v/>
      </c>
      <c r="AY70" s="17" t="str">
        <f aca="false">IF(OR(AC70="",NOT(ISNUMBER(AC70))),"",AC70-N(G70))</f>
        <v/>
      </c>
      <c r="AZ70" s="17" t="str">
        <f aca="false">IF(OR(AD70="",NOT(ISNUMBER(AD70))),"",AD70-N(H70))</f>
        <v/>
      </c>
      <c r="BA70" s="17" t="str">
        <f aca="false">IF(OR(AE70="",NOT(ISNUMBER(AE70))),"",AE70-N(I70))</f>
        <v/>
      </c>
      <c r="BB70" s="17" t="str">
        <f aca="false">IF(OR(AF70="",NOT(ISNUMBER(AF70))),"",AF70-N(J70))</f>
        <v/>
      </c>
      <c r="BC70" s="17" t="str">
        <f aca="false">IF(OR(AG70="",NOT(ISNUMBER(AG70))),"",AG70-N(K70))</f>
        <v/>
      </c>
      <c r="BD70" s="17" t="str">
        <f aca="false">IF(OR(AH70="",NOT(ISNUMBER(AH70))),"",AH70-N(L70))</f>
        <v/>
      </c>
      <c r="BE70" s="17" t="str">
        <f aca="false">IF(OR(AI70="",NOT(ISNUMBER(AI70))),"",AI70-N(M70))</f>
        <v/>
      </c>
      <c r="BF70" s="17" t="str">
        <f aca="false">IF(OR(AJ70="",NOT(ISNUMBER(AJ70))),"",AJ70-N(N70))</f>
        <v/>
      </c>
      <c r="BG70" s="17" t="str">
        <f aca="false">IF(OR(AK70="",NOT(ISNUMBER(AK70))),"",AK70-N(O70))</f>
        <v/>
      </c>
      <c r="BH70" s="17" t="str">
        <f aca="false">IF(OR(AL70="",NOT(ISNUMBER(AL70))),"",AL70-N(P70))</f>
        <v/>
      </c>
      <c r="BI70" s="17" t="str">
        <f aca="false">IF(OR(AM70="",NOT(ISNUMBER(AM70))),"",AM70-N(Q70))</f>
        <v/>
      </c>
      <c r="BJ70" s="17" t="str">
        <f aca="false">IF(OR(AN70="",NOT(ISNUMBER(AN70))),"",AN70-N(R70))</f>
        <v/>
      </c>
      <c r="BK70" s="17" t="str">
        <f aca="false">IF(OR(AO70="",NOT(ISNUMBER(AO70))),"",AO70-N(S70))</f>
        <v/>
      </c>
      <c r="BL70" s="17" t="str">
        <f aca="false">IF(OR(AP70="",NOT(ISNUMBER(AP70))),"",AP70-N(T70))</f>
        <v/>
      </c>
      <c r="BM70" s="17" t="str">
        <f aca="false">IF(OR(AQ70="",NOT(ISNUMBER(AQ70))),"",AQ70-N(U70))</f>
        <v/>
      </c>
      <c r="BR70" s="20" t="str">
        <f aca="false">IF($A70="","",IF(ISNUMBER($A70),DATE(YEAR($A70),MONTH($A70),1),IFERROR(DATE(2000+VALUE(RIGHT(TRIM($A70),2)),MATCH(UPPER(LEFT(TRIM($A70),3)),{"JAN","FEB","MAR","APR","MAY","JUN","JUL","AUG","SEP","OCT","NOV","DEC"},0),1),"")))</f>
        <v/>
      </c>
      <c r="BS70" s="20" t="str">
        <f aca="false">IF(BR70="","",EOMONTH(BR70,0))</f>
        <v/>
      </c>
    </row>
    <row r="71" customFormat="false" ht="15" hidden="false" customHeight="false" outlineLevel="0" collapsed="false">
      <c r="B71" s="21"/>
      <c r="C71" s="21"/>
      <c r="D71" s="21"/>
      <c r="E71" s="21"/>
      <c r="F71" s="21"/>
      <c r="G71" s="21"/>
      <c r="H71" s="21"/>
      <c r="I71" s="21"/>
      <c r="J71" s="21"/>
      <c r="K71" s="21"/>
      <c r="L71" s="21"/>
      <c r="M71" s="21"/>
      <c r="N71" s="21"/>
      <c r="O71" s="21"/>
      <c r="P71" s="21"/>
      <c r="Q71" s="21"/>
      <c r="R71" s="21"/>
      <c r="S71" s="21"/>
      <c r="T71" s="21"/>
      <c r="U71" s="21"/>
      <c r="X71" s="17" t="str">
        <f aca="false">IF(OR(B$7="",$BR71=""),"",IF('Tally Helper'!$B$3&lt;&gt;TRUE(),"not on Staff",SUMIFS('Tally Helper'!$L$5:$GI$5,'Tally Helper'!$L$3:$GI$3,"&gt;="&amp;$BR71,'Tally Helper'!$L$3:$GI$3,"&lt;="&amp;$BS71)))</f>
        <v/>
      </c>
      <c r="Y71" s="17" t="str">
        <f aca="false">IF(OR(C$7="",$BR71=""),"",IF('Tally Helper'!$B$6&lt;&gt;TRUE(),"not on Staff",SUMIFS('Tally Helper'!$L$8:$GI$8,'Tally Helper'!$L$6:$GI$6,"&gt;="&amp;$BR71,'Tally Helper'!$L$6:$GI$6,"&lt;="&amp;$BS71)))</f>
        <v/>
      </c>
      <c r="Z71" s="17" t="str">
        <f aca="false">IF(OR(D$7="",$BR71=""),"",IF('Tally Helper'!$B$9&lt;&gt;TRUE(),"not on Staff",SUMIFS('Tally Helper'!$L$11:$GI$11,'Tally Helper'!$L$9:$GI$9,"&gt;="&amp;$BR71,'Tally Helper'!$L$9:$GI$9,"&lt;="&amp;$BS71)))</f>
        <v/>
      </c>
      <c r="AA71" s="17" t="str">
        <f aca="false">IF(OR(E$7="",$BR71=""),"",IF('Tally Helper'!$B$12&lt;&gt;TRUE(),"not on Staff",SUMIFS('Tally Helper'!$L$14:$GI$14,'Tally Helper'!$L$12:$GI$12,"&gt;="&amp;$BR71,'Tally Helper'!$L$12:$GI$12,"&lt;="&amp;$BS71)))</f>
        <v/>
      </c>
      <c r="AB71" s="17" t="str">
        <f aca="false">IF(OR(F$7="",$BR71=""),"",IF('Tally Helper'!$B$15&lt;&gt;TRUE(),"not on Staff",SUMIFS('Tally Helper'!$L$17:$GI$17,'Tally Helper'!$L$15:$GI$15,"&gt;="&amp;$BR71,'Tally Helper'!$L$15:$GI$15,"&lt;="&amp;$BS71)))</f>
        <v/>
      </c>
      <c r="AC71" s="17" t="str">
        <f aca="false">IF(OR(G$7="",$BR71=""),"",IF('Tally Helper'!$B$18&lt;&gt;TRUE(),"not on Staff",SUMIFS('Tally Helper'!$L$20:$GI$20,'Tally Helper'!$L$18:$GI$18,"&gt;="&amp;$BR71,'Tally Helper'!$L$18:$GI$18,"&lt;="&amp;$BS71)))</f>
        <v/>
      </c>
      <c r="AD71" s="17" t="str">
        <f aca="false">IF(OR(H$7="",$BR71=""),"",IF('Tally Helper'!$B$21&lt;&gt;TRUE(),"not on Staff",SUMIFS('Tally Helper'!$L$23:$GI$23,'Tally Helper'!$L$21:$GI$21,"&gt;="&amp;$BR71,'Tally Helper'!$L$21:$GI$21,"&lt;="&amp;$BS71)))</f>
        <v/>
      </c>
      <c r="AE71" s="17" t="str">
        <f aca="false">IF(OR(I$7="",$BR71=""),"",IF('Tally Helper'!$B$24&lt;&gt;TRUE(),"not on Staff",SUMIFS('Tally Helper'!$L$26:$GI$26,'Tally Helper'!$L$24:$GI$24,"&gt;="&amp;$BR71,'Tally Helper'!$L$24:$GI$24,"&lt;="&amp;$BS71)))</f>
        <v/>
      </c>
      <c r="AF71" s="17" t="str">
        <f aca="false">IF(OR(J$7="",$BR71=""),"",IF('Tally Helper'!$B$27&lt;&gt;TRUE(),"not on Staff",SUMIFS('Tally Helper'!$L$29:$GI$29,'Tally Helper'!$L$27:$GI$27,"&gt;="&amp;$BR71,'Tally Helper'!$L$27:$GI$27,"&lt;="&amp;$BS71)))</f>
        <v/>
      </c>
      <c r="AG71" s="17" t="str">
        <f aca="false">IF(OR(K$7="",$BR71=""),"",IF('Tally Helper'!$B$30&lt;&gt;TRUE(),"not on Staff",SUMIFS('Tally Helper'!$L$32:$GI$32,'Tally Helper'!$L$30:$GI$30,"&gt;="&amp;$BR71,'Tally Helper'!$L$30:$GI$30,"&lt;="&amp;$BS71)))</f>
        <v/>
      </c>
      <c r="AH71" s="17" t="str">
        <f aca="false">IF(OR(L$7="",$BR71=""),"",IF('Tally Helper'!$B$33&lt;&gt;TRUE(),"not on Staff",SUMIFS('Tally Helper'!$L$35:$GI$35,'Tally Helper'!$L$33:$GI$33,"&gt;="&amp;$BR71,'Tally Helper'!$L$33:$GI$33,"&lt;="&amp;$BS71)))</f>
        <v/>
      </c>
      <c r="AI71" s="17" t="str">
        <f aca="false">IF(OR(M$7="",$BR71=""),"",IF('Tally Helper'!$B$36&lt;&gt;TRUE(),"not on Staff",SUMIFS('Tally Helper'!$L$38:$GI$38,'Tally Helper'!$L$36:$GI$36,"&gt;="&amp;$BR71,'Tally Helper'!$L$36:$GI$36,"&lt;="&amp;$BS71)))</f>
        <v/>
      </c>
      <c r="AJ71" s="17" t="str">
        <f aca="false">IF(OR(N$7="",$BR71=""),"",IF('Tally Helper'!$B$39&lt;&gt;TRUE(),"not on Staff",SUMIFS('Tally Helper'!$L$41:$GI$41,'Tally Helper'!$L$39:$GI$39,"&gt;="&amp;$BR71,'Tally Helper'!$L$39:$GI$39,"&lt;="&amp;$BS71)))</f>
        <v/>
      </c>
      <c r="AK71" s="17" t="str">
        <f aca="false">IF(OR(O$7="",$BR71=""),"",IF('Tally Helper'!$B$42&lt;&gt;TRUE(),"not on Staff",SUMIFS('Tally Helper'!$L$44:$GI$44,'Tally Helper'!$L$42:$GI$42,"&gt;="&amp;$BR71,'Tally Helper'!$L$42:$GI$42,"&lt;="&amp;$BS71)))</f>
        <v/>
      </c>
      <c r="AL71" s="17" t="str">
        <f aca="false">IF(OR(P$7="",$BR71=""),"",IF('Tally Helper'!$B$45&lt;&gt;TRUE(),"not on Staff",SUMIFS('Tally Helper'!$L$47:$GI$47,'Tally Helper'!$L$45:$GI$45,"&gt;="&amp;$BR71,'Tally Helper'!$L$45:$GI$45,"&lt;="&amp;$BS71)))</f>
        <v/>
      </c>
      <c r="AM71" s="17" t="str">
        <f aca="false">IF(OR(Q$7="",$BR71=""),"",IF('Tally Helper'!$B$48&lt;&gt;TRUE(),"not on Staff",SUMIFS('Tally Helper'!$L$50:$GI$50,'Tally Helper'!$L$48:$GI$48,"&gt;="&amp;$BR71,'Tally Helper'!$L$48:$GI$48,"&lt;="&amp;$BS71)))</f>
        <v/>
      </c>
      <c r="AN71" s="17" t="str">
        <f aca="false">IF(OR(R$7="",$BR71=""),"",IF('Tally Helper'!$B$51&lt;&gt;TRUE(),"not on Staff",SUMIFS('Tally Helper'!$L$53:$GI$53,'Tally Helper'!$L$51:$GI$51,"&gt;="&amp;$BR71,'Tally Helper'!$L$51:$GI$51,"&lt;="&amp;$BS71)))</f>
        <v/>
      </c>
      <c r="AO71" s="17" t="str">
        <f aca="false">IF(OR(S$7="",$BR71=""),"",IF('Tally Helper'!$B$54&lt;&gt;TRUE(),"not on Staff",SUMIFS('Tally Helper'!$L$56:$GI$56,'Tally Helper'!$L$54:$GI$54,"&gt;="&amp;$BR71,'Tally Helper'!$L$54:$GI$54,"&lt;="&amp;$BS71)))</f>
        <v/>
      </c>
      <c r="AP71" s="17" t="str">
        <f aca="false">IF(OR(T$7="",$BR71=""),"",IF('Tally Helper'!$B$57&lt;&gt;TRUE(),"not on Staff",SUMIFS('Tally Helper'!$L$59:$GI$59,'Tally Helper'!$L$57:$GI$57,"&gt;="&amp;$BR71,'Tally Helper'!$L$57:$GI$57,"&lt;="&amp;$BS71)))</f>
        <v/>
      </c>
      <c r="AQ71" s="17" t="str">
        <f aca="false">IF(OR(U$7="",$BR71=""),"",IF('Tally Helper'!$B$60&lt;&gt;TRUE(),"not on Staff",SUMIFS('Tally Helper'!$L$62:$GI$62,'Tally Helper'!$L$60:$GI$60,"&gt;="&amp;$BR71,'Tally Helper'!$L$60:$GI$60,"&lt;="&amp;$BS71)))</f>
        <v/>
      </c>
      <c r="AT71" s="17" t="str">
        <f aca="false">IF(OR(X71="",NOT(ISNUMBER(X71))),"",X71-N(B71))</f>
        <v/>
      </c>
      <c r="AU71" s="17" t="str">
        <f aca="false">IF(OR(Y71="",NOT(ISNUMBER(Y71))),"",Y71-N(C71))</f>
        <v/>
      </c>
      <c r="AV71" s="17" t="str">
        <f aca="false">IF(OR(Z71="",NOT(ISNUMBER(Z71))),"",Z71-N(D71))</f>
        <v/>
      </c>
      <c r="AW71" s="17" t="str">
        <f aca="false">IF(OR(AA71="",NOT(ISNUMBER(AA71))),"",AA71-N(E71))</f>
        <v/>
      </c>
      <c r="AX71" s="17" t="str">
        <f aca="false">IF(OR(AB71="",NOT(ISNUMBER(AB71))),"",AB71-N(F71))</f>
        <v/>
      </c>
      <c r="AY71" s="17" t="str">
        <f aca="false">IF(OR(AC71="",NOT(ISNUMBER(AC71))),"",AC71-N(G71))</f>
        <v/>
      </c>
      <c r="AZ71" s="17" t="str">
        <f aca="false">IF(OR(AD71="",NOT(ISNUMBER(AD71))),"",AD71-N(H71))</f>
        <v/>
      </c>
      <c r="BA71" s="17" t="str">
        <f aca="false">IF(OR(AE71="",NOT(ISNUMBER(AE71))),"",AE71-N(I71))</f>
        <v/>
      </c>
      <c r="BB71" s="17" t="str">
        <f aca="false">IF(OR(AF71="",NOT(ISNUMBER(AF71))),"",AF71-N(J71))</f>
        <v/>
      </c>
      <c r="BC71" s="17" t="str">
        <f aca="false">IF(OR(AG71="",NOT(ISNUMBER(AG71))),"",AG71-N(K71))</f>
        <v/>
      </c>
      <c r="BD71" s="17" t="str">
        <f aca="false">IF(OR(AH71="",NOT(ISNUMBER(AH71))),"",AH71-N(L71))</f>
        <v/>
      </c>
      <c r="BE71" s="17" t="str">
        <f aca="false">IF(OR(AI71="",NOT(ISNUMBER(AI71))),"",AI71-N(M71))</f>
        <v/>
      </c>
      <c r="BF71" s="17" t="str">
        <f aca="false">IF(OR(AJ71="",NOT(ISNUMBER(AJ71))),"",AJ71-N(N71))</f>
        <v/>
      </c>
      <c r="BG71" s="17" t="str">
        <f aca="false">IF(OR(AK71="",NOT(ISNUMBER(AK71))),"",AK71-N(O71))</f>
        <v/>
      </c>
      <c r="BH71" s="17" t="str">
        <f aca="false">IF(OR(AL71="",NOT(ISNUMBER(AL71))),"",AL71-N(P71))</f>
        <v/>
      </c>
      <c r="BI71" s="17" t="str">
        <f aca="false">IF(OR(AM71="",NOT(ISNUMBER(AM71))),"",AM71-N(Q71))</f>
        <v/>
      </c>
      <c r="BJ71" s="17" t="str">
        <f aca="false">IF(OR(AN71="",NOT(ISNUMBER(AN71))),"",AN71-N(R71))</f>
        <v/>
      </c>
      <c r="BK71" s="17" t="str">
        <f aca="false">IF(OR(AO71="",NOT(ISNUMBER(AO71))),"",AO71-N(S71))</f>
        <v/>
      </c>
      <c r="BL71" s="17" t="str">
        <f aca="false">IF(OR(AP71="",NOT(ISNUMBER(AP71))),"",AP71-N(T71))</f>
        <v/>
      </c>
      <c r="BM71" s="17" t="str">
        <f aca="false">IF(OR(AQ71="",NOT(ISNUMBER(AQ71))),"",AQ71-N(U71))</f>
        <v/>
      </c>
      <c r="BR71" s="20" t="str">
        <f aca="false">IF($A71="","",IF(ISNUMBER($A71),DATE(YEAR($A71),MONTH($A71),1),IFERROR(DATE(2000+VALUE(RIGHT(TRIM($A71),2)),MATCH(UPPER(LEFT(TRIM($A71),3)),{"JAN","FEB","MAR","APR","MAY","JUN","JUL","AUG","SEP","OCT","NOV","DEC"},0),1),"")))</f>
        <v/>
      </c>
      <c r="BS71" s="20" t="str">
        <f aca="false">IF(BR71="","",EOMONTH(BR71,0))</f>
        <v/>
      </c>
    </row>
    <row r="72" customFormat="false" ht="15" hidden="false" customHeight="false" outlineLevel="0" collapsed="false">
      <c r="B72" s="21"/>
      <c r="C72" s="21"/>
      <c r="D72" s="21"/>
      <c r="E72" s="21"/>
      <c r="F72" s="21"/>
      <c r="G72" s="21"/>
      <c r="H72" s="21"/>
      <c r="I72" s="21"/>
      <c r="J72" s="21"/>
      <c r="K72" s="21"/>
      <c r="L72" s="21"/>
      <c r="M72" s="21"/>
      <c r="N72" s="21"/>
      <c r="O72" s="21"/>
      <c r="P72" s="21"/>
      <c r="Q72" s="21"/>
      <c r="R72" s="21"/>
      <c r="S72" s="21"/>
      <c r="T72" s="21"/>
      <c r="U72" s="21"/>
      <c r="X72" s="17" t="str">
        <f aca="false">IF(OR(B$7="",$BR72=""),"",IF('Tally Helper'!$B$3&lt;&gt;TRUE(),"not on Staff",SUMIFS('Tally Helper'!$L$5:$GI$5,'Tally Helper'!$L$3:$GI$3,"&gt;="&amp;$BR72,'Tally Helper'!$L$3:$GI$3,"&lt;="&amp;$BS72)))</f>
        <v/>
      </c>
      <c r="Y72" s="17" t="str">
        <f aca="false">IF(OR(C$7="",$BR72=""),"",IF('Tally Helper'!$B$6&lt;&gt;TRUE(),"not on Staff",SUMIFS('Tally Helper'!$L$8:$GI$8,'Tally Helper'!$L$6:$GI$6,"&gt;="&amp;$BR72,'Tally Helper'!$L$6:$GI$6,"&lt;="&amp;$BS72)))</f>
        <v/>
      </c>
      <c r="Z72" s="17" t="str">
        <f aca="false">IF(OR(D$7="",$BR72=""),"",IF('Tally Helper'!$B$9&lt;&gt;TRUE(),"not on Staff",SUMIFS('Tally Helper'!$L$11:$GI$11,'Tally Helper'!$L$9:$GI$9,"&gt;="&amp;$BR72,'Tally Helper'!$L$9:$GI$9,"&lt;="&amp;$BS72)))</f>
        <v/>
      </c>
      <c r="AA72" s="17" t="str">
        <f aca="false">IF(OR(E$7="",$BR72=""),"",IF('Tally Helper'!$B$12&lt;&gt;TRUE(),"not on Staff",SUMIFS('Tally Helper'!$L$14:$GI$14,'Tally Helper'!$L$12:$GI$12,"&gt;="&amp;$BR72,'Tally Helper'!$L$12:$GI$12,"&lt;="&amp;$BS72)))</f>
        <v/>
      </c>
      <c r="AB72" s="17" t="str">
        <f aca="false">IF(OR(F$7="",$BR72=""),"",IF('Tally Helper'!$B$15&lt;&gt;TRUE(),"not on Staff",SUMIFS('Tally Helper'!$L$17:$GI$17,'Tally Helper'!$L$15:$GI$15,"&gt;="&amp;$BR72,'Tally Helper'!$L$15:$GI$15,"&lt;="&amp;$BS72)))</f>
        <v/>
      </c>
      <c r="AC72" s="17" t="str">
        <f aca="false">IF(OR(G$7="",$BR72=""),"",IF('Tally Helper'!$B$18&lt;&gt;TRUE(),"not on Staff",SUMIFS('Tally Helper'!$L$20:$GI$20,'Tally Helper'!$L$18:$GI$18,"&gt;="&amp;$BR72,'Tally Helper'!$L$18:$GI$18,"&lt;="&amp;$BS72)))</f>
        <v/>
      </c>
      <c r="AD72" s="17" t="str">
        <f aca="false">IF(OR(H$7="",$BR72=""),"",IF('Tally Helper'!$B$21&lt;&gt;TRUE(),"not on Staff",SUMIFS('Tally Helper'!$L$23:$GI$23,'Tally Helper'!$L$21:$GI$21,"&gt;="&amp;$BR72,'Tally Helper'!$L$21:$GI$21,"&lt;="&amp;$BS72)))</f>
        <v/>
      </c>
      <c r="AE72" s="17" t="str">
        <f aca="false">IF(OR(I$7="",$BR72=""),"",IF('Tally Helper'!$B$24&lt;&gt;TRUE(),"not on Staff",SUMIFS('Tally Helper'!$L$26:$GI$26,'Tally Helper'!$L$24:$GI$24,"&gt;="&amp;$BR72,'Tally Helper'!$L$24:$GI$24,"&lt;="&amp;$BS72)))</f>
        <v/>
      </c>
      <c r="AF72" s="17" t="str">
        <f aca="false">IF(OR(J$7="",$BR72=""),"",IF('Tally Helper'!$B$27&lt;&gt;TRUE(),"not on Staff",SUMIFS('Tally Helper'!$L$29:$GI$29,'Tally Helper'!$L$27:$GI$27,"&gt;="&amp;$BR72,'Tally Helper'!$L$27:$GI$27,"&lt;="&amp;$BS72)))</f>
        <v/>
      </c>
      <c r="AG72" s="17" t="str">
        <f aca="false">IF(OR(K$7="",$BR72=""),"",IF('Tally Helper'!$B$30&lt;&gt;TRUE(),"not on Staff",SUMIFS('Tally Helper'!$L$32:$GI$32,'Tally Helper'!$L$30:$GI$30,"&gt;="&amp;$BR72,'Tally Helper'!$L$30:$GI$30,"&lt;="&amp;$BS72)))</f>
        <v/>
      </c>
      <c r="AH72" s="17" t="str">
        <f aca="false">IF(OR(L$7="",$BR72=""),"",IF('Tally Helper'!$B$33&lt;&gt;TRUE(),"not on Staff",SUMIFS('Tally Helper'!$L$35:$GI$35,'Tally Helper'!$L$33:$GI$33,"&gt;="&amp;$BR72,'Tally Helper'!$L$33:$GI$33,"&lt;="&amp;$BS72)))</f>
        <v/>
      </c>
      <c r="AI72" s="17" t="str">
        <f aca="false">IF(OR(M$7="",$BR72=""),"",IF('Tally Helper'!$B$36&lt;&gt;TRUE(),"not on Staff",SUMIFS('Tally Helper'!$L$38:$GI$38,'Tally Helper'!$L$36:$GI$36,"&gt;="&amp;$BR72,'Tally Helper'!$L$36:$GI$36,"&lt;="&amp;$BS72)))</f>
        <v/>
      </c>
      <c r="AJ72" s="17" t="str">
        <f aca="false">IF(OR(N$7="",$BR72=""),"",IF('Tally Helper'!$B$39&lt;&gt;TRUE(),"not on Staff",SUMIFS('Tally Helper'!$L$41:$GI$41,'Tally Helper'!$L$39:$GI$39,"&gt;="&amp;$BR72,'Tally Helper'!$L$39:$GI$39,"&lt;="&amp;$BS72)))</f>
        <v/>
      </c>
      <c r="AK72" s="17" t="str">
        <f aca="false">IF(OR(O$7="",$BR72=""),"",IF('Tally Helper'!$B$42&lt;&gt;TRUE(),"not on Staff",SUMIFS('Tally Helper'!$L$44:$GI$44,'Tally Helper'!$L$42:$GI$42,"&gt;="&amp;$BR72,'Tally Helper'!$L$42:$GI$42,"&lt;="&amp;$BS72)))</f>
        <v/>
      </c>
      <c r="AL72" s="17" t="str">
        <f aca="false">IF(OR(P$7="",$BR72=""),"",IF('Tally Helper'!$B$45&lt;&gt;TRUE(),"not on Staff",SUMIFS('Tally Helper'!$L$47:$GI$47,'Tally Helper'!$L$45:$GI$45,"&gt;="&amp;$BR72,'Tally Helper'!$L$45:$GI$45,"&lt;="&amp;$BS72)))</f>
        <v/>
      </c>
      <c r="AM72" s="17" t="str">
        <f aca="false">IF(OR(Q$7="",$BR72=""),"",IF('Tally Helper'!$B$48&lt;&gt;TRUE(),"not on Staff",SUMIFS('Tally Helper'!$L$50:$GI$50,'Tally Helper'!$L$48:$GI$48,"&gt;="&amp;$BR72,'Tally Helper'!$L$48:$GI$48,"&lt;="&amp;$BS72)))</f>
        <v/>
      </c>
      <c r="AN72" s="17" t="str">
        <f aca="false">IF(OR(R$7="",$BR72=""),"",IF('Tally Helper'!$B$51&lt;&gt;TRUE(),"not on Staff",SUMIFS('Tally Helper'!$L$53:$GI$53,'Tally Helper'!$L$51:$GI$51,"&gt;="&amp;$BR72,'Tally Helper'!$L$51:$GI$51,"&lt;="&amp;$BS72)))</f>
        <v/>
      </c>
      <c r="AO72" s="17" t="str">
        <f aca="false">IF(OR(S$7="",$BR72=""),"",IF('Tally Helper'!$B$54&lt;&gt;TRUE(),"not on Staff",SUMIFS('Tally Helper'!$L$56:$GI$56,'Tally Helper'!$L$54:$GI$54,"&gt;="&amp;$BR72,'Tally Helper'!$L$54:$GI$54,"&lt;="&amp;$BS72)))</f>
        <v/>
      </c>
      <c r="AP72" s="17" t="str">
        <f aca="false">IF(OR(T$7="",$BR72=""),"",IF('Tally Helper'!$B$57&lt;&gt;TRUE(),"not on Staff",SUMIFS('Tally Helper'!$L$59:$GI$59,'Tally Helper'!$L$57:$GI$57,"&gt;="&amp;$BR72,'Tally Helper'!$L$57:$GI$57,"&lt;="&amp;$BS72)))</f>
        <v/>
      </c>
      <c r="AQ72" s="17" t="str">
        <f aca="false">IF(OR(U$7="",$BR72=""),"",IF('Tally Helper'!$B$60&lt;&gt;TRUE(),"not on Staff",SUMIFS('Tally Helper'!$L$62:$GI$62,'Tally Helper'!$L$60:$GI$60,"&gt;="&amp;$BR72,'Tally Helper'!$L$60:$GI$60,"&lt;="&amp;$BS72)))</f>
        <v/>
      </c>
      <c r="AT72" s="17" t="str">
        <f aca="false">IF(OR(X72="",NOT(ISNUMBER(X72))),"",X72-N(B72))</f>
        <v/>
      </c>
      <c r="AU72" s="17" t="str">
        <f aca="false">IF(OR(Y72="",NOT(ISNUMBER(Y72))),"",Y72-N(C72))</f>
        <v/>
      </c>
      <c r="AV72" s="17" t="str">
        <f aca="false">IF(OR(Z72="",NOT(ISNUMBER(Z72))),"",Z72-N(D72))</f>
        <v/>
      </c>
      <c r="AW72" s="17" t="str">
        <f aca="false">IF(OR(AA72="",NOT(ISNUMBER(AA72))),"",AA72-N(E72))</f>
        <v/>
      </c>
      <c r="AX72" s="17" t="str">
        <f aca="false">IF(OR(AB72="",NOT(ISNUMBER(AB72))),"",AB72-N(F72))</f>
        <v/>
      </c>
      <c r="AY72" s="17" t="str">
        <f aca="false">IF(OR(AC72="",NOT(ISNUMBER(AC72))),"",AC72-N(G72))</f>
        <v/>
      </c>
      <c r="AZ72" s="17" t="str">
        <f aca="false">IF(OR(AD72="",NOT(ISNUMBER(AD72))),"",AD72-N(H72))</f>
        <v/>
      </c>
      <c r="BA72" s="17" t="str">
        <f aca="false">IF(OR(AE72="",NOT(ISNUMBER(AE72))),"",AE72-N(I72))</f>
        <v/>
      </c>
      <c r="BB72" s="17" t="str">
        <f aca="false">IF(OR(AF72="",NOT(ISNUMBER(AF72))),"",AF72-N(J72))</f>
        <v/>
      </c>
      <c r="BC72" s="17" t="str">
        <f aca="false">IF(OR(AG72="",NOT(ISNUMBER(AG72))),"",AG72-N(K72))</f>
        <v/>
      </c>
      <c r="BD72" s="17" t="str">
        <f aca="false">IF(OR(AH72="",NOT(ISNUMBER(AH72))),"",AH72-N(L72))</f>
        <v/>
      </c>
      <c r="BE72" s="17" t="str">
        <f aca="false">IF(OR(AI72="",NOT(ISNUMBER(AI72))),"",AI72-N(M72))</f>
        <v/>
      </c>
      <c r="BF72" s="17" t="str">
        <f aca="false">IF(OR(AJ72="",NOT(ISNUMBER(AJ72))),"",AJ72-N(N72))</f>
        <v/>
      </c>
      <c r="BG72" s="17" t="str">
        <f aca="false">IF(OR(AK72="",NOT(ISNUMBER(AK72))),"",AK72-N(O72))</f>
        <v/>
      </c>
      <c r="BH72" s="17" t="str">
        <f aca="false">IF(OR(AL72="",NOT(ISNUMBER(AL72))),"",AL72-N(P72))</f>
        <v/>
      </c>
      <c r="BI72" s="17" t="str">
        <f aca="false">IF(OR(AM72="",NOT(ISNUMBER(AM72))),"",AM72-N(Q72))</f>
        <v/>
      </c>
      <c r="BJ72" s="17" t="str">
        <f aca="false">IF(OR(AN72="",NOT(ISNUMBER(AN72))),"",AN72-N(R72))</f>
        <v/>
      </c>
      <c r="BK72" s="17" t="str">
        <f aca="false">IF(OR(AO72="",NOT(ISNUMBER(AO72))),"",AO72-N(S72))</f>
        <v/>
      </c>
      <c r="BL72" s="17" t="str">
        <f aca="false">IF(OR(AP72="",NOT(ISNUMBER(AP72))),"",AP72-N(T72))</f>
        <v/>
      </c>
      <c r="BM72" s="17" t="str">
        <f aca="false">IF(OR(AQ72="",NOT(ISNUMBER(AQ72))),"",AQ72-N(U72))</f>
        <v/>
      </c>
      <c r="BR72" s="20" t="str">
        <f aca="false">IF($A72="","",IF(ISNUMBER($A72),DATE(YEAR($A72),MONTH($A72),1),IFERROR(DATE(2000+VALUE(RIGHT(TRIM($A72),2)),MATCH(UPPER(LEFT(TRIM($A72),3)),{"JAN","FEB","MAR","APR","MAY","JUN","JUL","AUG","SEP","OCT","NOV","DEC"},0),1),"")))</f>
        <v/>
      </c>
      <c r="BS72" s="20" t="str">
        <f aca="false">IF(BR72="","",EOMONTH(BR72,0))</f>
        <v/>
      </c>
    </row>
    <row r="73" customFormat="false" ht="15" hidden="false" customHeight="false" outlineLevel="0" collapsed="false">
      <c r="B73" s="21"/>
      <c r="C73" s="21"/>
      <c r="D73" s="21"/>
      <c r="E73" s="21"/>
      <c r="F73" s="21"/>
      <c r="G73" s="21"/>
      <c r="H73" s="21"/>
      <c r="I73" s="21"/>
      <c r="J73" s="21"/>
      <c r="K73" s="21"/>
      <c r="L73" s="21"/>
      <c r="M73" s="21"/>
      <c r="N73" s="21"/>
      <c r="O73" s="21"/>
      <c r="P73" s="21"/>
      <c r="Q73" s="21"/>
      <c r="R73" s="21"/>
      <c r="S73" s="21"/>
      <c r="T73" s="21"/>
      <c r="U73" s="21"/>
      <c r="X73" s="17" t="str">
        <f aca="false">IF(OR(B$7="",$BR73=""),"",IF('Tally Helper'!$B$3&lt;&gt;TRUE(),"not on Staff",SUMIFS('Tally Helper'!$L$5:$GI$5,'Tally Helper'!$L$3:$GI$3,"&gt;="&amp;$BR73,'Tally Helper'!$L$3:$GI$3,"&lt;="&amp;$BS73)))</f>
        <v/>
      </c>
      <c r="Y73" s="17" t="str">
        <f aca="false">IF(OR(C$7="",$BR73=""),"",IF('Tally Helper'!$B$6&lt;&gt;TRUE(),"not on Staff",SUMIFS('Tally Helper'!$L$8:$GI$8,'Tally Helper'!$L$6:$GI$6,"&gt;="&amp;$BR73,'Tally Helper'!$L$6:$GI$6,"&lt;="&amp;$BS73)))</f>
        <v/>
      </c>
      <c r="Z73" s="17" t="str">
        <f aca="false">IF(OR(D$7="",$BR73=""),"",IF('Tally Helper'!$B$9&lt;&gt;TRUE(),"not on Staff",SUMIFS('Tally Helper'!$L$11:$GI$11,'Tally Helper'!$L$9:$GI$9,"&gt;="&amp;$BR73,'Tally Helper'!$L$9:$GI$9,"&lt;="&amp;$BS73)))</f>
        <v/>
      </c>
      <c r="AA73" s="17" t="str">
        <f aca="false">IF(OR(E$7="",$BR73=""),"",IF('Tally Helper'!$B$12&lt;&gt;TRUE(),"not on Staff",SUMIFS('Tally Helper'!$L$14:$GI$14,'Tally Helper'!$L$12:$GI$12,"&gt;="&amp;$BR73,'Tally Helper'!$L$12:$GI$12,"&lt;="&amp;$BS73)))</f>
        <v/>
      </c>
      <c r="AB73" s="17" t="str">
        <f aca="false">IF(OR(F$7="",$BR73=""),"",IF('Tally Helper'!$B$15&lt;&gt;TRUE(),"not on Staff",SUMIFS('Tally Helper'!$L$17:$GI$17,'Tally Helper'!$L$15:$GI$15,"&gt;="&amp;$BR73,'Tally Helper'!$L$15:$GI$15,"&lt;="&amp;$BS73)))</f>
        <v/>
      </c>
      <c r="AC73" s="17" t="str">
        <f aca="false">IF(OR(G$7="",$BR73=""),"",IF('Tally Helper'!$B$18&lt;&gt;TRUE(),"not on Staff",SUMIFS('Tally Helper'!$L$20:$GI$20,'Tally Helper'!$L$18:$GI$18,"&gt;="&amp;$BR73,'Tally Helper'!$L$18:$GI$18,"&lt;="&amp;$BS73)))</f>
        <v/>
      </c>
      <c r="AD73" s="17" t="str">
        <f aca="false">IF(OR(H$7="",$BR73=""),"",IF('Tally Helper'!$B$21&lt;&gt;TRUE(),"not on Staff",SUMIFS('Tally Helper'!$L$23:$GI$23,'Tally Helper'!$L$21:$GI$21,"&gt;="&amp;$BR73,'Tally Helper'!$L$21:$GI$21,"&lt;="&amp;$BS73)))</f>
        <v/>
      </c>
      <c r="AE73" s="17" t="str">
        <f aca="false">IF(OR(I$7="",$BR73=""),"",IF('Tally Helper'!$B$24&lt;&gt;TRUE(),"not on Staff",SUMIFS('Tally Helper'!$L$26:$GI$26,'Tally Helper'!$L$24:$GI$24,"&gt;="&amp;$BR73,'Tally Helper'!$L$24:$GI$24,"&lt;="&amp;$BS73)))</f>
        <v/>
      </c>
      <c r="AF73" s="17" t="str">
        <f aca="false">IF(OR(J$7="",$BR73=""),"",IF('Tally Helper'!$B$27&lt;&gt;TRUE(),"not on Staff",SUMIFS('Tally Helper'!$L$29:$GI$29,'Tally Helper'!$L$27:$GI$27,"&gt;="&amp;$BR73,'Tally Helper'!$L$27:$GI$27,"&lt;="&amp;$BS73)))</f>
        <v/>
      </c>
      <c r="AG73" s="17" t="str">
        <f aca="false">IF(OR(K$7="",$BR73=""),"",IF('Tally Helper'!$B$30&lt;&gt;TRUE(),"not on Staff",SUMIFS('Tally Helper'!$L$32:$GI$32,'Tally Helper'!$L$30:$GI$30,"&gt;="&amp;$BR73,'Tally Helper'!$L$30:$GI$30,"&lt;="&amp;$BS73)))</f>
        <v/>
      </c>
      <c r="AH73" s="17" t="str">
        <f aca="false">IF(OR(L$7="",$BR73=""),"",IF('Tally Helper'!$B$33&lt;&gt;TRUE(),"not on Staff",SUMIFS('Tally Helper'!$L$35:$GI$35,'Tally Helper'!$L$33:$GI$33,"&gt;="&amp;$BR73,'Tally Helper'!$L$33:$GI$33,"&lt;="&amp;$BS73)))</f>
        <v/>
      </c>
      <c r="AI73" s="17" t="str">
        <f aca="false">IF(OR(M$7="",$BR73=""),"",IF('Tally Helper'!$B$36&lt;&gt;TRUE(),"not on Staff",SUMIFS('Tally Helper'!$L$38:$GI$38,'Tally Helper'!$L$36:$GI$36,"&gt;="&amp;$BR73,'Tally Helper'!$L$36:$GI$36,"&lt;="&amp;$BS73)))</f>
        <v/>
      </c>
      <c r="AJ73" s="17" t="str">
        <f aca="false">IF(OR(N$7="",$BR73=""),"",IF('Tally Helper'!$B$39&lt;&gt;TRUE(),"not on Staff",SUMIFS('Tally Helper'!$L$41:$GI$41,'Tally Helper'!$L$39:$GI$39,"&gt;="&amp;$BR73,'Tally Helper'!$L$39:$GI$39,"&lt;="&amp;$BS73)))</f>
        <v/>
      </c>
      <c r="AK73" s="17" t="str">
        <f aca="false">IF(OR(O$7="",$BR73=""),"",IF('Tally Helper'!$B$42&lt;&gt;TRUE(),"not on Staff",SUMIFS('Tally Helper'!$L$44:$GI$44,'Tally Helper'!$L$42:$GI$42,"&gt;="&amp;$BR73,'Tally Helper'!$L$42:$GI$42,"&lt;="&amp;$BS73)))</f>
        <v/>
      </c>
      <c r="AL73" s="17" t="str">
        <f aca="false">IF(OR(P$7="",$BR73=""),"",IF('Tally Helper'!$B$45&lt;&gt;TRUE(),"not on Staff",SUMIFS('Tally Helper'!$L$47:$GI$47,'Tally Helper'!$L$45:$GI$45,"&gt;="&amp;$BR73,'Tally Helper'!$L$45:$GI$45,"&lt;="&amp;$BS73)))</f>
        <v/>
      </c>
      <c r="AM73" s="17" t="str">
        <f aca="false">IF(OR(Q$7="",$BR73=""),"",IF('Tally Helper'!$B$48&lt;&gt;TRUE(),"not on Staff",SUMIFS('Tally Helper'!$L$50:$GI$50,'Tally Helper'!$L$48:$GI$48,"&gt;="&amp;$BR73,'Tally Helper'!$L$48:$GI$48,"&lt;="&amp;$BS73)))</f>
        <v/>
      </c>
      <c r="AN73" s="17" t="str">
        <f aca="false">IF(OR(R$7="",$BR73=""),"",IF('Tally Helper'!$B$51&lt;&gt;TRUE(),"not on Staff",SUMIFS('Tally Helper'!$L$53:$GI$53,'Tally Helper'!$L$51:$GI$51,"&gt;="&amp;$BR73,'Tally Helper'!$L$51:$GI$51,"&lt;="&amp;$BS73)))</f>
        <v/>
      </c>
      <c r="AO73" s="17" t="str">
        <f aca="false">IF(OR(S$7="",$BR73=""),"",IF('Tally Helper'!$B$54&lt;&gt;TRUE(),"not on Staff",SUMIFS('Tally Helper'!$L$56:$GI$56,'Tally Helper'!$L$54:$GI$54,"&gt;="&amp;$BR73,'Tally Helper'!$L$54:$GI$54,"&lt;="&amp;$BS73)))</f>
        <v/>
      </c>
      <c r="AP73" s="17" t="str">
        <f aca="false">IF(OR(T$7="",$BR73=""),"",IF('Tally Helper'!$B$57&lt;&gt;TRUE(),"not on Staff",SUMIFS('Tally Helper'!$L$59:$GI$59,'Tally Helper'!$L$57:$GI$57,"&gt;="&amp;$BR73,'Tally Helper'!$L$57:$GI$57,"&lt;="&amp;$BS73)))</f>
        <v/>
      </c>
      <c r="AQ73" s="17" t="str">
        <f aca="false">IF(OR(U$7="",$BR73=""),"",IF('Tally Helper'!$B$60&lt;&gt;TRUE(),"not on Staff",SUMIFS('Tally Helper'!$L$62:$GI$62,'Tally Helper'!$L$60:$GI$60,"&gt;="&amp;$BR73,'Tally Helper'!$L$60:$GI$60,"&lt;="&amp;$BS73)))</f>
        <v/>
      </c>
      <c r="AT73" s="17" t="str">
        <f aca="false">IF(OR(X73="",NOT(ISNUMBER(X73))),"",X73-N(B73))</f>
        <v/>
      </c>
      <c r="AU73" s="17" t="str">
        <f aca="false">IF(OR(Y73="",NOT(ISNUMBER(Y73))),"",Y73-N(C73))</f>
        <v/>
      </c>
      <c r="AV73" s="17" t="str">
        <f aca="false">IF(OR(Z73="",NOT(ISNUMBER(Z73))),"",Z73-N(D73))</f>
        <v/>
      </c>
      <c r="AW73" s="17" t="str">
        <f aca="false">IF(OR(AA73="",NOT(ISNUMBER(AA73))),"",AA73-N(E73))</f>
        <v/>
      </c>
      <c r="AX73" s="17" t="str">
        <f aca="false">IF(OR(AB73="",NOT(ISNUMBER(AB73))),"",AB73-N(F73))</f>
        <v/>
      </c>
      <c r="AY73" s="17" t="str">
        <f aca="false">IF(OR(AC73="",NOT(ISNUMBER(AC73))),"",AC73-N(G73))</f>
        <v/>
      </c>
      <c r="AZ73" s="17" t="str">
        <f aca="false">IF(OR(AD73="",NOT(ISNUMBER(AD73))),"",AD73-N(H73))</f>
        <v/>
      </c>
      <c r="BA73" s="17" t="str">
        <f aca="false">IF(OR(AE73="",NOT(ISNUMBER(AE73))),"",AE73-N(I73))</f>
        <v/>
      </c>
      <c r="BB73" s="17" t="str">
        <f aca="false">IF(OR(AF73="",NOT(ISNUMBER(AF73))),"",AF73-N(J73))</f>
        <v/>
      </c>
      <c r="BC73" s="17" t="str">
        <f aca="false">IF(OR(AG73="",NOT(ISNUMBER(AG73))),"",AG73-N(K73))</f>
        <v/>
      </c>
      <c r="BD73" s="17" t="str">
        <f aca="false">IF(OR(AH73="",NOT(ISNUMBER(AH73))),"",AH73-N(L73))</f>
        <v/>
      </c>
      <c r="BE73" s="17" t="str">
        <f aca="false">IF(OR(AI73="",NOT(ISNUMBER(AI73))),"",AI73-N(M73))</f>
        <v/>
      </c>
      <c r="BF73" s="17" t="str">
        <f aca="false">IF(OR(AJ73="",NOT(ISNUMBER(AJ73))),"",AJ73-N(N73))</f>
        <v/>
      </c>
      <c r="BG73" s="17" t="str">
        <f aca="false">IF(OR(AK73="",NOT(ISNUMBER(AK73))),"",AK73-N(O73))</f>
        <v/>
      </c>
      <c r="BH73" s="17" t="str">
        <f aca="false">IF(OR(AL73="",NOT(ISNUMBER(AL73))),"",AL73-N(P73))</f>
        <v/>
      </c>
      <c r="BI73" s="17" t="str">
        <f aca="false">IF(OR(AM73="",NOT(ISNUMBER(AM73))),"",AM73-N(Q73))</f>
        <v/>
      </c>
      <c r="BJ73" s="17" t="str">
        <f aca="false">IF(OR(AN73="",NOT(ISNUMBER(AN73))),"",AN73-N(R73))</f>
        <v/>
      </c>
      <c r="BK73" s="17" t="str">
        <f aca="false">IF(OR(AO73="",NOT(ISNUMBER(AO73))),"",AO73-N(S73))</f>
        <v/>
      </c>
      <c r="BL73" s="17" t="str">
        <f aca="false">IF(OR(AP73="",NOT(ISNUMBER(AP73))),"",AP73-N(T73))</f>
        <v/>
      </c>
      <c r="BM73" s="17" t="str">
        <f aca="false">IF(OR(AQ73="",NOT(ISNUMBER(AQ73))),"",AQ73-N(U73))</f>
        <v/>
      </c>
      <c r="BR73" s="20" t="str">
        <f aca="false">IF($A73="","",IF(ISNUMBER($A73),DATE(YEAR($A73),MONTH($A73),1),IFERROR(DATE(2000+VALUE(RIGHT(TRIM($A73),2)),MATCH(UPPER(LEFT(TRIM($A73),3)),{"JAN","FEB","MAR","APR","MAY","JUN","JUL","AUG","SEP","OCT","NOV","DEC"},0),1),"")))</f>
        <v/>
      </c>
      <c r="BS73" s="20" t="str">
        <f aca="false">IF(BR73="","",EOMONTH(BR73,0))</f>
        <v/>
      </c>
    </row>
    <row r="74" customFormat="false" ht="15" hidden="false" customHeight="false" outlineLevel="0" collapsed="false">
      <c r="B74" s="21"/>
      <c r="C74" s="21"/>
      <c r="D74" s="21"/>
      <c r="E74" s="21"/>
      <c r="F74" s="21"/>
      <c r="G74" s="21"/>
      <c r="H74" s="21"/>
      <c r="I74" s="21"/>
      <c r="J74" s="21"/>
      <c r="K74" s="21"/>
      <c r="L74" s="21"/>
      <c r="M74" s="21"/>
      <c r="N74" s="21"/>
      <c r="O74" s="21"/>
      <c r="P74" s="21"/>
      <c r="Q74" s="21"/>
      <c r="R74" s="21"/>
      <c r="S74" s="21"/>
      <c r="T74" s="21"/>
      <c r="U74" s="21"/>
      <c r="X74" s="17" t="str">
        <f aca="false">IF(OR(B$7="",$BR74=""),"",IF('Tally Helper'!$B$3&lt;&gt;TRUE(),"not on Staff",SUMIFS('Tally Helper'!$L$5:$GI$5,'Tally Helper'!$L$3:$GI$3,"&gt;="&amp;$BR74,'Tally Helper'!$L$3:$GI$3,"&lt;="&amp;$BS74)))</f>
        <v/>
      </c>
      <c r="Y74" s="17" t="str">
        <f aca="false">IF(OR(C$7="",$BR74=""),"",IF('Tally Helper'!$B$6&lt;&gt;TRUE(),"not on Staff",SUMIFS('Tally Helper'!$L$8:$GI$8,'Tally Helper'!$L$6:$GI$6,"&gt;="&amp;$BR74,'Tally Helper'!$L$6:$GI$6,"&lt;="&amp;$BS74)))</f>
        <v/>
      </c>
      <c r="Z74" s="17" t="str">
        <f aca="false">IF(OR(D$7="",$BR74=""),"",IF('Tally Helper'!$B$9&lt;&gt;TRUE(),"not on Staff",SUMIFS('Tally Helper'!$L$11:$GI$11,'Tally Helper'!$L$9:$GI$9,"&gt;="&amp;$BR74,'Tally Helper'!$L$9:$GI$9,"&lt;="&amp;$BS74)))</f>
        <v/>
      </c>
      <c r="AA74" s="17" t="str">
        <f aca="false">IF(OR(E$7="",$BR74=""),"",IF('Tally Helper'!$B$12&lt;&gt;TRUE(),"not on Staff",SUMIFS('Tally Helper'!$L$14:$GI$14,'Tally Helper'!$L$12:$GI$12,"&gt;="&amp;$BR74,'Tally Helper'!$L$12:$GI$12,"&lt;="&amp;$BS74)))</f>
        <v/>
      </c>
      <c r="AB74" s="17" t="str">
        <f aca="false">IF(OR(F$7="",$BR74=""),"",IF('Tally Helper'!$B$15&lt;&gt;TRUE(),"not on Staff",SUMIFS('Tally Helper'!$L$17:$GI$17,'Tally Helper'!$L$15:$GI$15,"&gt;="&amp;$BR74,'Tally Helper'!$L$15:$GI$15,"&lt;="&amp;$BS74)))</f>
        <v/>
      </c>
      <c r="AC74" s="17" t="str">
        <f aca="false">IF(OR(G$7="",$BR74=""),"",IF('Tally Helper'!$B$18&lt;&gt;TRUE(),"not on Staff",SUMIFS('Tally Helper'!$L$20:$GI$20,'Tally Helper'!$L$18:$GI$18,"&gt;="&amp;$BR74,'Tally Helper'!$L$18:$GI$18,"&lt;="&amp;$BS74)))</f>
        <v/>
      </c>
      <c r="AD74" s="17" t="str">
        <f aca="false">IF(OR(H$7="",$BR74=""),"",IF('Tally Helper'!$B$21&lt;&gt;TRUE(),"not on Staff",SUMIFS('Tally Helper'!$L$23:$GI$23,'Tally Helper'!$L$21:$GI$21,"&gt;="&amp;$BR74,'Tally Helper'!$L$21:$GI$21,"&lt;="&amp;$BS74)))</f>
        <v/>
      </c>
      <c r="AE74" s="17" t="str">
        <f aca="false">IF(OR(I$7="",$BR74=""),"",IF('Tally Helper'!$B$24&lt;&gt;TRUE(),"not on Staff",SUMIFS('Tally Helper'!$L$26:$GI$26,'Tally Helper'!$L$24:$GI$24,"&gt;="&amp;$BR74,'Tally Helper'!$L$24:$GI$24,"&lt;="&amp;$BS74)))</f>
        <v/>
      </c>
      <c r="AF74" s="17" t="str">
        <f aca="false">IF(OR(J$7="",$BR74=""),"",IF('Tally Helper'!$B$27&lt;&gt;TRUE(),"not on Staff",SUMIFS('Tally Helper'!$L$29:$GI$29,'Tally Helper'!$L$27:$GI$27,"&gt;="&amp;$BR74,'Tally Helper'!$L$27:$GI$27,"&lt;="&amp;$BS74)))</f>
        <v/>
      </c>
      <c r="AG74" s="17" t="str">
        <f aca="false">IF(OR(K$7="",$BR74=""),"",IF('Tally Helper'!$B$30&lt;&gt;TRUE(),"not on Staff",SUMIFS('Tally Helper'!$L$32:$GI$32,'Tally Helper'!$L$30:$GI$30,"&gt;="&amp;$BR74,'Tally Helper'!$L$30:$GI$30,"&lt;="&amp;$BS74)))</f>
        <v/>
      </c>
      <c r="AH74" s="17" t="str">
        <f aca="false">IF(OR(L$7="",$BR74=""),"",IF('Tally Helper'!$B$33&lt;&gt;TRUE(),"not on Staff",SUMIFS('Tally Helper'!$L$35:$GI$35,'Tally Helper'!$L$33:$GI$33,"&gt;="&amp;$BR74,'Tally Helper'!$L$33:$GI$33,"&lt;="&amp;$BS74)))</f>
        <v/>
      </c>
      <c r="AI74" s="17" t="str">
        <f aca="false">IF(OR(M$7="",$BR74=""),"",IF('Tally Helper'!$B$36&lt;&gt;TRUE(),"not on Staff",SUMIFS('Tally Helper'!$L$38:$GI$38,'Tally Helper'!$L$36:$GI$36,"&gt;="&amp;$BR74,'Tally Helper'!$L$36:$GI$36,"&lt;="&amp;$BS74)))</f>
        <v/>
      </c>
      <c r="AJ74" s="17" t="str">
        <f aca="false">IF(OR(N$7="",$BR74=""),"",IF('Tally Helper'!$B$39&lt;&gt;TRUE(),"not on Staff",SUMIFS('Tally Helper'!$L$41:$GI$41,'Tally Helper'!$L$39:$GI$39,"&gt;="&amp;$BR74,'Tally Helper'!$L$39:$GI$39,"&lt;="&amp;$BS74)))</f>
        <v/>
      </c>
      <c r="AK74" s="17" t="str">
        <f aca="false">IF(OR(O$7="",$BR74=""),"",IF('Tally Helper'!$B$42&lt;&gt;TRUE(),"not on Staff",SUMIFS('Tally Helper'!$L$44:$GI$44,'Tally Helper'!$L$42:$GI$42,"&gt;="&amp;$BR74,'Tally Helper'!$L$42:$GI$42,"&lt;="&amp;$BS74)))</f>
        <v/>
      </c>
      <c r="AL74" s="17" t="str">
        <f aca="false">IF(OR(P$7="",$BR74=""),"",IF('Tally Helper'!$B$45&lt;&gt;TRUE(),"not on Staff",SUMIFS('Tally Helper'!$L$47:$GI$47,'Tally Helper'!$L$45:$GI$45,"&gt;="&amp;$BR74,'Tally Helper'!$L$45:$GI$45,"&lt;="&amp;$BS74)))</f>
        <v/>
      </c>
      <c r="AM74" s="17" t="str">
        <f aca="false">IF(OR(Q$7="",$BR74=""),"",IF('Tally Helper'!$B$48&lt;&gt;TRUE(),"not on Staff",SUMIFS('Tally Helper'!$L$50:$GI$50,'Tally Helper'!$L$48:$GI$48,"&gt;="&amp;$BR74,'Tally Helper'!$L$48:$GI$48,"&lt;="&amp;$BS74)))</f>
        <v/>
      </c>
      <c r="AN74" s="17" t="str">
        <f aca="false">IF(OR(R$7="",$BR74=""),"",IF('Tally Helper'!$B$51&lt;&gt;TRUE(),"not on Staff",SUMIFS('Tally Helper'!$L$53:$GI$53,'Tally Helper'!$L$51:$GI$51,"&gt;="&amp;$BR74,'Tally Helper'!$L$51:$GI$51,"&lt;="&amp;$BS74)))</f>
        <v/>
      </c>
      <c r="AO74" s="17" t="str">
        <f aca="false">IF(OR(S$7="",$BR74=""),"",IF('Tally Helper'!$B$54&lt;&gt;TRUE(),"not on Staff",SUMIFS('Tally Helper'!$L$56:$GI$56,'Tally Helper'!$L$54:$GI$54,"&gt;="&amp;$BR74,'Tally Helper'!$L$54:$GI$54,"&lt;="&amp;$BS74)))</f>
        <v/>
      </c>
      <c r="AP74" s="17" t="str">
        <f aca="false">IF(OR(T$7="",$BR74=""),"",IF('Tally Helper'!$B$57&lt;&gt;TRUE(),"not on Staff",SUMIFS('Tally Helper'!$L$59:$GI$59,'Tally Helper'!$L$57:$GI$57,"&gt;="&amp;$BR74,'Tally Helper'!$L$57:$GI$57,"&lt;="&amp;$BS74)))</f>
        <v/>
      </c>
      <c r="AQ74" s="17" t="str">
        <f aca="false">IF(OR(U$7="",$BR74=""),"",IF('Tally Helper'!$B$60&lt;&gt;TRUE(),"not on Staff",SUMIFS('Tally Helper'!$L$62:$GI$62,'Tally Helper'!$L$60:$GI$60,"&gt;="&amp;$BR74,'Tally Helper'!$L$60:$GI$60,"&lt;="&amp;$BS74)))</f>
        <v/>
      </c>
      <c r="AT74" s="17" t="str">
        <f aca="false">IF(OR(X74="",NOT(ISNUMBER(X74))),"",X74-N(B74))</f>
        <v/>
      </c>
      <c r="AU74" s="17" t="str">
        <f aca="false">IF(OR(Y74="",NOT(ISNUMBER(Y74))),"",Y74-N(C74))</f>
        <v/>
      </c>
      <c r="AV74" s="17" t="str">
        <f aca="false">IF(OR(Z74="",NOT(ISNUMBER(Z74))),"",Z74-N(D74))</f>
        <v/>
      </c>
      <c r="AW74" s="17" t="str">
        <f aca="false">IF(OR(AA74="",NOT(ISNUMBER(AA74))),"",AA74-N(E74))</f>
        <v/>
      </c>
      <c r="AX74" s="17" t="str">
        <f aca="false">IF(OR(AB74="",NOT(ISNUMBER(AB74))),"",AB74-N(F74))</f>
        <v/>
      </c>
      <c r="AY74" s="17" t="str">
        <f aca="false">IF(OR(AC74="",NOT(ISNUMBER(AC74))),"",AC74-N(G74))</f>
        <v/>
      </c>
      <c r="AZ74" s="17" t="str">
        <f aca="false">IF(OR(AD74="",NOT(ISNUMBER(AD74))),"",AD74-N(H74))</f>
        <v/>
      </c>
      <c r="BA74" s="17" t="str">
        <f aca="false">IF(OR(AE74="",NOT(ISNUMBER(AE74))),"",AE74-N(I74))</f>
        <v/>
      </c>
      <c r="BB74" s="17" t="str">
        <f aca="false">IF(OR(AF74="",NOT(ISNUMBER(AF74))),"",AF74-N(J74))</f>
        <v/>
      </c>
      <c r="BC74" s="17" t="str">
        <f aca="false">IF(OR(AG74="",NOT(ISNUMBER(AG74))),"",AG74-N(K74))</f>
        <v/>
      </c>
      <c r="BD74" s="17" t="str">
        <f aca="false">IF(OR(AH74="",NOT(ISNUMBER(AH74))),"",AH74-N(L74))</f>
        <v/>
      </c>
      <c r="BE74" s="17" t="str">
        <f aca="false">IF(OR(AI74="",NOT(ISNUMBER(AI74))),"",AI74-N(M74))</f>
        <v/>
      </c>
      <c r="BF74" s="17" t="str">
        <f aca="false">IF(OR(AJ74="",NOT(ISNUMBER(AJ74))),"",AJ74-N(N74))</f>
        <v/>
      </c>
      <c r="BG74" s="17" t="str">
        <f aca="false">IF(OR(AK74="",NOT(ISNUMBER(AK74))),"",AK74-N(O74))</f>
        <v/>
      </c>
      <c r="BH74" s="17" t="str">
        <f aca="false">IF(OR(AL74="",NOT(ISNUMBER(AL74))),"",AL74-N(P74))</f>
        <v/>
      </c>
      <c r="BI74" s="17" t="str">
        <f aca="false">IF(OR(AM74="",NOT(ISNUMBER(AM74))),"",AM74-N(Q74))</f>
        <v/>
      </c>
      <c r="BJ74" s="17" t="str">
        <f aca="false">IF(OR(AN74="",NOT(ISNUMBER(AN74))),"",AN74-N(R74))</f>
        <v/>
      </c>
      <c r="BK74" s="17" t="str">
        <f aca="false">IF(OR(AO74="",NOT(ISNUMBER(AO74))),"",AO74-N(S74))</f>
        <v/>
      </c>
      <c r="BL74" s="17" t="str">
        <f aca="false">IF(OR(AP74="",NOT(ISNUMBER(AP74))),"",AP74-N(T74))</f>
        <v/>
      </c>
      <c r="BM74" s="17" t="str">
        <f aca="false">IF(OR(AQ74="",NOT(ISNUMBER(AQ74))),"",AQ74-N(U74))</f>
        <v/>
      </c>
      <c r="BR74" s="20" t="str">
        <f aca="false">IF($A74="","",IF(ISNUMBER($A74),DATE(YEAR($A74),MONTH($A74),1),IFERROR(DATE(2000+VALUE(RIGHT(TRIM($A74),2)),MATCH(UPPER(LEFT(TRIM($A74),3)),{"JAN","FEB","MAR","APR","MAY","JUN","JUL","AUG","SEP","OCT","NOV","DEC"},0),1),"")))</f>
        <v/>
      </c>
      <c r="BS74" s="20" t="str">
        <f aca="false">IF(BR74="","",EOMONTH(BR74,0))</f>
        <v/>
      </c>
    </row>
    <row r="75" customFormat="false" ht="15" hidden="false" customHeight="false" outlineLevel="0" collapsed="false">
      <c r="B75" s="21"/>
      <c r="C75" s="21"/>
      <c r="D75" s="21"/>
      <c r="E75" s="21"/>
      <c r="F75" s="21"/>
      <c r="G75" s="21"/>
      <c r="H75" s="21"/>
      <c r="I75" s="21"/>
      <c r="J75" s="21"/>
      <c r="K75" s="21"/>
      <c r="L75" s="21"/>
      <c r="M75" s="21"/>
      <c r="N75" s="21"/>
      <c r="O75" s="21"/>
      <c r="P75" s="21"/>
      <c r="Q75" s="21"/>
      <c r="R75" s="21"/>
      <c r="S75" s="21"/>
      <c r="T75" s="21"/>
      <c r="U75" s="21"/>
      <c r="X75" s="17" t="str">
        <f aca="false">IF(OR(B$7="",$BR75=""),"",IF('Tally Helper'!$B$3&lt;&gt;TRUE(),"not on Staff",SUMIFS('Tally Helper'!$L$5:$GI$5,'Tally Helper'!$L$3:$GI$3,"&gt;="&amp;$BR75,'Tally Helper'!$L$3:$GI$3,"&lt;="&amp;$BS75)))</f>
        <v/>
      </c>
      <c r="Y75" s="17" t="str">
        <f aca="false">IF(OR(C$7="",$BR75=""),"",IF('Tally Helper'!$B$6&lt;&gt;TRUE(),"not on Staff",SUMIFS('Tally Helper'!$L$8:$GI$8,'Tally Helper'!$L$6:$GI$6,"&gt;="&amp;$BR75,'Tally Helper'!$L$6:$GI$6,"&lt;="&amp;$BS75)))</f>
        <v/>
      </c>
      <c r="Z75" s="17" t="str">
        <f aca="false">IF(OR(D$7="",$BR75=""),"",IF('Tally Helper'!$B$9&lt;&gt;TRUE(),"not on Staff",SUMIFS('Tally Helper'!$L$11:$GI$11,'Tally Helper'!$L$9:$GI$9,"&gt;="&amp;$BR75,'Tally Helper'!$L$9:$GI$9,"&lt;="&amp;$BS75)))</f>
        <v/>
      </c>
      <c r="AA75" s="17" t="str">
        <f aca="false">IF(OR(E$7="",$BR75=""),"",IF('Tally Helper'!$B$12&lt;&gt;TRUE(),"not on Staff",SUMIFS('Tally Helper'!$L$14:$GI$14,'Tally Helper'!$L$12:$GI$12,"&gt;="&amp;$BR75,'Tally Helper'!$L$12:$GI$12,"&lt;="&amp;$BS75)))</f>
        <v/>
      </c>
      <c r="AB75" s="17" t="str">
        <f aca="false">IF(OR(F$7="",$BR75=""),"",IF('Tally Helper'!$B$15&lt;&gt;TRUE(),"not on Staff",SUMIFS('Tally Helper'!$L$17:$GI$17,'Tally Helper'!$L$15:$GI$15,"&gt;="&amp;$BR75,'Tally Helper'!$L$15:$GI$15,"&lt;="&amp;$BS75)))</f>
        <v/>
      </c>
      <c r="AC75" s="17" t="str">
        <f aca="false">IF(OR(G$7="",$BR75=""),"",IF('Tally Helper'!$B$18&lt;&gt;TRUE(),"not on Staff",SUMIFS('Tally Helper'!$L$20:$GI$20,'Tally Helper'!$L$18:$GI$18,"&gt;="&amp;$BR75,'Tally Helper'!$L$18:$GI$18,"&lt;="&amp;$BS75)))</f>
        <v/>
      </c>
      <c r="AD75" s="17" t="str">
        <f aca="false">IF(OR(H$7="",$BR75=""),"",IF('Tally Helper'!$B$21&lt;&gt;TRUE(),"not on Staff",SUMIFS('Tally Helper'!$L$23:$GI$23,'Tally Helper'!$L$21:$GI$21,"&gt;="&amp;$BR75,'Tally Helper'!$L$21:$GI$21,"&lt;="&amp;$BS75)))</f>
        <v/>
      </c>
      <c r="AE75" s="17" t="str">
        <f aca="false">IF(OR(I$7="",$BR75=""),"",IF('Tally Helper'!$B$24&lt;&gt;TRUE(),"not on Staff",SUMIFS('Tally Helper'!$L$26:$GI$26,'Tally Helper'!$L$24:$GI$24,"&gt;="&amp;$BR75,'Tally Helper'!$L$24:$GI$24,"&lt;="&amp;$BS75)))</f>
        <v/>
      </c>
      <c r="AF75" s="17" t="str">
        <f aca="false">IF(OR(J$7="",$BR75=""),"",IF('Tally Helper'!$B$27&lt;&gt;TRUE(),"not on Staff",SUMIFS('Tally Helper'!$L$29:$GI$29,'Tally Helper'!$L$27:$GI$27,"&gt;="&amp;$BR75,'Tally Helper'!$L$27:$GI$27,"&lt;="&amp;$BS75)))</f>
        <v/>
      </c>
      <c r="AG75" s="17" t="str">
        <f aca="false">IF(OR(K$7="",$BR75=""),"",IF('Tally Helper'!$B$30&lt;&gt;TRUE(),"not on Staff",SUMIFS('Tally Helper'!$L$32:$GI$32,'Tally Helper'!$L$30:$GI$30,"&gt;="&amp;$BR75,'Tally Helper'!$L$30:$GI$30,"&lt;="&amp;$BS75)))</f>
        <v/>
      </c>
      <c r="AH75" s="17" t="str">
        <f aca="false">IF(OR(L$7="",$BR75=""),"",IF('Tally Helper'!$B$33&lt;&gt;TRUE(),"not on Staff",SUMIFS('Tally Helper'!$L$35:$GI$35,'Tally Helper'!$L$33:$GI$33,"&gt;="&amp;$BR75,'Tally Helper'!$L$33:$GI$33,"&lt;="&amp;$BS75)))</f>
        <v/>
      </c>
      <c r="AI75" s="17" t="str">
        <f aca="false">IF(OR(M$7="",$BR75=""),"",IF('Tally Helper'!$B$36&lt;&gt;TRUE(),"not on Staff",SUMIFS('Tally Helper'!$L$38:$GI$38,'Tally Helper'!$L$36:$GI$36,"&gt;="&amp;$BR75,'Tally Helper'!$L$36:$GI$36,"&lt;="&amp;$BS75)))</f>
        <v/>
      </c>
      <c r="AJ75" s="17" t="str">
        <f aca="false">IF(OR(N$7="",$BR75=""),"",IF('Tally Helper'!$B$39&lt;&gt;TRUE(),"not on Staff",SUMIFS('Tally Helper'!$L$41:$GI$41,'Tally Helper'!$L$39:$GI$39,"&gt;="&amp;$BR75,'Tally Helper'!$L$39:$GI$39,"&lt;="&amp;$BS75)))</f>
        <v/>
      </c>
      <c r="AK75" s="17" t="str">
        <f aca="false">IF(OR(O$7="",$BR75=""),"",IF('Tally Helper'!$B$42&lt;&gt;TRUE(),"not on Staff",SUMIFS('Tally Helper'!$L$44:$GI$44,'Tally Helper'!$L$42:$GI$42,"&gt;="&amp;$BR75,'Tally Helper'!$L$42:$GI$42,"&lt;="&amp;$BS75)))</f>
        <v/>
      </c>
      <c r="AL75" s="17" t="str">
        <f aca="false">IF(OR(P$7="",$BR75=""),"",IF('Tally Helper'!$B$45&lt;&gt;TRUE(),"not on Staff",SUMIFS('Tally Helper'!$L$47:$GI$47,'Tally Helper'!$L$45:$GI$45,"&gt;="&amp;$BR75,'Tally Helper'!$L$45:$GI$45,"&lt;="&amp;$BS75)))</f>
        <v/>
      </c>
      <c r="AM75" s="17" t="str">
        <f aca="false">IF(OR(Q$7="",$BR75=""),"",IF('Tally Helper'!$B$48&lt;&gt;TRUE(),"not on Staff",SUMIFS('Tally Helper'!$L$50:$GI$50,'Tally Helper'!$L$48:$GI$48,"&gt;="&amp;$BR75,'Tally Helper'!$L$48:$GI$48,"&lt;="&amp;$BS75)))</f>
        <v/>
      </c>
      <c r="AN75" s="17" t="str">
        <f aca="false">IF(OR(R$7="",$BR75=""),"",IF('Tally Helper'!$B$51&lt;&gt;TRUE(),"not on Staff",SUMIFS('Tally Helper'!$L$53:$GI$53,'Tally Helper'!$L$51:$GI$51,"&gt;="&amp;$BR75,'Tally Helper'!$L$51:$GI$51,"&lt;="&amp;$BS75)))</f>
        <v/>
      </c>
      <c r="AO75" s="17" t="str">
        <f aca="false">IF(OR(S$7="",$BR75=""),"",IF('Tally Helper'!$B$54&lt;&gt;TRUE(),"not on Staff",SUMIFS('Tally Helper'!$L$56:$GI$56,'Tally Helper'!$L$54:$GI$54,"&gt;="&amp;$BR75,'Tally Helper'!$L$54:$GI$54,"&lt;="&amp;$BS75)))</f>
        <v/>
      </c>
      <c r="AP75" s="17" t="str">
        <f aca="false">IF(OR(T$7="",$BR75=""),"",IF('Tally Helper'!$B$57&lt;&gt;TRUE(),"not on Staff",SUMIFS('Tally Helper'!$L$59:$GI$59,'Tally Helper'!$L$57:$GI$57,"&gt;="&amp;$BR75,'Tally Helper'!$L$57:$GI$57,"&lt;="&amp;$BS75)))</f>
        <v/>
      </c>
      <c r="AQ75" s="17" t="str">
        <f aca="false">IF(OR(U$7="",$BR75=""),"",IF('Tally Helper'!$B$60&lt;&gt;TRUE(),"not on Staff",SUMIFS('Tally Helper'!$L$62:$GI$62,'Tally Helper'!$L$60:$GI$60,"&gt;="&amp;$BR75,'Tally Helper'!$L$60:$GI$60,"&lt;="&amp;$BS75)))</f>
        <v/>
      </c>
      <c r="AT75" s="17" t="str">
        <f aca="false">IF(OR(X75="",NOT(ISNUMBER(X75))),"",X75-N(B75))</f>
        <v/>
      </c>
      <c r="AU75" s="17" t="str">
        <f aca="false">IF(OR(Y75="",NOT(ISNUMBER(Y75))),"",Y75-N(C75))</f>
        <v/>
      </c>
      <c r="AV75" s="17" t="str">
        <f aca="false">IF(OR(Z75="",NOT(ISNUMBER(Z75))),"",Z75-N(D75))</f>
        <v/>
      </c>
      <c r="AW75" s="17" t="str">
        <f aca="false">IF(OR(AA75="",NOT(ISNUMBER(AA75))),"",AA75-N(E75))</f>
        <v/>
      </c>
      <c r="AX75" s="17" t="str">
        <f aca="false">IF(OR(AB75="",NOT(ISNUMBER(AB75))),"",AB75-N(F75))</f>
        <v/>
      </c>
      <c r="AY75" s="17" t="str">
        <f aca="false">IF(OR(AC75="",NOT(ISNUMBER(AC75))),"",AC75-N(G75))</f>
        <v/>
      </c>
      <c r="AZ75" s="17" t="str">
        <f aca="false">IF(OR(AD75="",NOT(ISNUMBER(AD75))),"",AD75-N(H75))</f>
        <v/>
      </c>
      <c r="BA75" s="17" t="str">
        <f aca="false">IF(OR(AE75="",NOT(ISNUMBER(AE75))),"",AE75-N(I75))</f>
        <v/>
      </c>
      <c r="BB75" s="17" t="str">
        <f aca="false">IF(OR(AF75="",NOT(ISNUMBER(AF75))),"",AF75-N(J75))</f>
        <v/>
      </c>
      <c r="BC75" s="17" t="str">
        <f aca="false">IF(OR(AG75="",NOT(ISNUMBER(AG75))),"",AG75-N(K75))</f>
        <v/>
      </c>
      <c r="BD75" s="17" t="str">
        <f aca="false">IF(OR(AH75="",NOT(ISNUMBER(AH75))),"",AH75-N(L75))</f>
        <v/>
      </c>
      <c r="BE75" s="17" t="str">
        <f aca="false">IF(OR(AI75="",NOT(ISNUMBER(AI75))),"",AI75-N(M75))</f>
        <v/>
      </c>
      <c r="BF75" s="17" t="str">
        <f aca="false">IF(OR(AJ75="",NOT(ISNUMBER(AJ75))),"",AJ75-N(N75))</f>
        <v/>
      </c>
      <c r="BG75" s="17" t="str">
        <f aca="false">IF(OR(AK75="",NOT(ISNUMBER(AK75))),"",AK75-N(O75))</f>
        <v/>
      </c>
      <c r="BH75" s="17" t="str">
        <f aca="false">IF(OR(AL75="",NOT(ISNUMBER(AL75))),"",AL75-N(P75))</f>
        <v/>
      </c>
      <c r="BI75" s="17" t="str">
        <f aca="false">IF(OR(AM75="",NOT(ISNUMBER(AM75))),"",AM75-N(Q75))</f>
        <v/>
      </c>
      <c r="BJ75" s="17" t="str">
        <f aca="false">IF(OR(AN75="",NOT(ISNUMBER(AN75))),"",AN75-N(R75))</f>
        <v/>
      </c>
      <c r="BK75" s="17" t="str">
        <f aca="false">IF(OR(AO75="",NOT(ISNUMBER(AO75))),"",AO75-N(S75))</f>
        <v/>
      </c>
      <c r="BL75" s="17" t="str">
        <f aca="false">IF(OR(AP75="",NOT(ISNUMBER(AP75))),"",AP75-N(T75))</f>
        <v/>
      </c>
      <c r="BM75" s="17" t="str">
        <f aca="false">IF(OR(AQ75="",NOT(ISNUMBER(AQ75))),"",AQ75-N(U75))</f>
        <v/>
      </c>
      <c r="BR75" s="20" t="str">
        <f aca="false">IF($A75="","",IF(ISNUMBER($A75),DATE(YEAR($A75),MONTH($A75),1),IFERROR(DATE(2000+VALUE(RIGHT(TRIM($A75),2)),MATCH(UPPER(LEFT(TRIM($A75),3)),{"JAN","FEB","MAR","APR","MAY","JUN","JUL","AUG","SEP","OCT","NOV","DEC"},0),1),"")))</f>
        <v/>
      </c>
      <c r="BS75" s="20" t="str">
        <f aca="false">IF(BR75="","",EOMONTH(BR75,0))</f>
        <v/>
      </c>
    </row>
    <row r="76" customFormat="false" ht="15" hidden="false" customHeight="false" outlineLevel="0" collapsed="false">
      <c r="B76" s="21"/>
      <c r="C76" s="21"/>
      <c r="D76" s="21"/>
      <c r="E76" s="21"/>
      <c r="F76" s="21"/>
      <c r="G76" s="21"/>
      <c r="H76" s="21"/>
      <c r="I76" s="21"/>
      <c r="J76" s="21"/>
      <c r="K76" s="21"/>
      <c r="L76" s="21"/>
      <c r="M76" s="21"/>
      <c r="N76" s="21"/>
      <c r="O76" s="21"/>
      <c r="P76" s="21"/>
      <c r="Q76" s="21"/>
      <c r="R76" s="21"/>
      <c r="S76" s="21"/>
      <c r="T76" s="21"/>
      <c r="U76" s="21"/>
      <c r="X76" s="17" t="str">
        <f aca="false">IF(OR(B$7="",$BR76=""),"",IF('Tally Helper'!$B$3&lt;&gt;TRUE(),"not on Staff",SUMIFS('Tally Helper'!$L$5:$GI$5,'Tally Helper'!$L$3:$GI$3,"&gt;="&amp;$BR76,'Tally Helper'!$L$3:$GI$3,"&lt;="&amp;$BS76)))</f>
        <v/>
      </c>
      <c r="Y76" s="17" t="str">
        <f aca="false">IF(OR(C$7="",$BR76=""),"",IF('Tally Helper'!$B$6&lt;&gt;TRUE(),"not on Staff",SUMIFS('Tally Helper'!$L$8:$GI$8,'Tally Helper'!$L$6:$GI$6,"&gt;="&amp;$BR76,'Tally Helper'!$L$6:$GI$6,"&lt;="&amp;$BS76)))</f>
        <v/>
      </c>
      <c r="Z76" s="17" t="str">
        <f aca="false">IF(OR(D$7="",$BR76=""),"",IF('Tally Helper'!$B$9&lt;&gt;TRUE(),"not on Staff",SUMIFS('Tally Helper'!$L$11:$GI$11,'Tally Helper'!$L$9:$GI$9,"&gt;="&amp;$BR76,'Tally Helper'!$L$9:$GI$9,"&lt;="&amp;$BS76)))</f>
        <v/>
      </c>
      <c r="AA76" s="17" t="str">
        <f aca="false">IF(OR(E$7="",$BR76=""),"",IF('Tally Helper'!$B$12&lt;&gt;TRUE(),"not on Staff",SUMIFS('Tally Helper'!$L$14:$GI$14,'Tally Helper'!$L$12:$GI$12,"&gt;="&amp;$BR76,'Tally Helper'!$L$12:$GI$12,"&lt;="&amp;$BS76)))</f>
        <v/>
      </c>
      <c r="AB76" s="17" t="str">
        <f aca="false">IF(OR(F$7="",$BR76=""),"",IF('Tally Helper'!$B$15&lt;&gt;TRUE(),"not on Staff",SUMIFS('Tally Helper'!$L$17:$GI$17,'Tally Helper'!$L$15:$GI$15,"&gt;="&amp;$BR76,'Tally Helper'!$L$15:$GI$15,"&lt;="&amp;$BS76)))</f>
        <v/>
      </c>
      <c r="AC76" s="17" t="str">
        <f aca="false">IF(OR(G$7="",$BR76=""),"",IF('Tally Helper'!$B$18&lt;&gt;TRUE(),"not on Staff",SUMIFS('Tally Helper'!$L$20:$GI$20,'Tally Helper'!$L$18:$GI$18,"&gt;="&amp;$BR76,'Tally Helper'!$L$18:$GI$18,"&lt;="&amp;$BS76)))</f>
        <v/>
      </c>
      <c r="AD76" s="17" t="str">
        <f aca="false">IF(OR(H$7="",$BR76=""),"",IF('Tally Helper'!$B$21&lt;&gt;TRUE(),"not on Staff",SUMIFS('Tally Helper'!$L$23:$GI$23,'Tally Helper'!$L$21:$GI$21,"&gt;="&amp;$BR76,'Tally Helper'!$L$21:$GI$21,"&lt;="&amp;$BS76)))</f>
        <v/>
      </c>
      <c r="AE76" s="17" t="str">
        <f aca="false">IF(OR(I$7="",$BR76=""),"",IF('Tally Helper'!$B$24&lt;&gt;TRUE(),"not on Staff",SUMIFS('Tally Helper'!$L$26:$GI$26,'Tally Helper'!$L$24:$GI$24,"&gt;="&amp;$BR76,'Tally Helper'!$L$24:$GI$24,"&lt;="&amp;$BS76)))</f>
        <v/>
      </c>
      <c r="AF76" s="17" t="str">
        <f aca="false">IF(OR(J$7="",$BR76=""),"",IF('Tally Helper'!$B$27&lt;&gt;TRUE(),"not on Staff",SUMIFS('Tally Helper'!$L$29:$GI$29,'Tally Helper'!$L$27:$GI$27,"&gt;="&amp;$BR76,'Tally Helper'!$L$27:$GI$27,"&lt;="&amp;$BS76)))</f>
        <v/>
      </c>
      <c r="AG76" s="17" t="str">
        <f aca="false">IF(OR(K$7="",$BR76=""),"",IF('Tally Helper'!$B$30&lt;&gt;TRUE(),"not on Staff",SUMIFS('Tally Helper'!$L$32:$GI$32,'Tally Helper'!$L$30:$GI$30,"&gt;="&amp;$BR76,'Tally Helper'!$L$30:$GI$30,"&lt;="&amp;$BS76)))</f>
        <v/>
      </c>
      <c r="AH76" s="17" t="str">
        <f aca="false">IF(OR(L$7="",$BR76=""),"",IF('Tally Helper'!$B$33&lt;&gt;TRUE(),"not on Staff",SUMIFS('Tally Helper'!$L$35:$GI$35,'Tally Helper'!$L$33:$GI$33,"&gt;="&amp;$BR76,'Tally Helper'!$L$33:$GI$33,"&lt;="&amp;$BS76)))</f>
        <v/>
      </c>
      <c r="AI76" s="17" t="str">
        <f aca="false">IF(OR(M$7="",$BR76=""),"",IF('Tally Helper'!$B$36&lt;&gt;TRUE(),"not on Staff",SUMIFS('Tally Helper'!$L$38:$GI$38,'Tally Helper'!$L$36:$GI$36,"&gt;="&amp;$BR76,'Tally Helper'!$L$36:$GI$36,"&lt;="&amp;$BS76)))</f>
        <v/>
      </c>
      <c r="AJ76" s="17" t="str">
        <f aca="false">IF(OR(N$7="",$BR76=""),"",IF('Tally Helper'!$B$39&lt;&gt;TRUE(),"not on Staff",SUMIFS('Tally Helper'!$L$41:$GI$41,'Tally Helper'!$L$39:$GI$39,"&gt;="&amp;$BR76,'Tally Helper'!$L$39:$GI$39,"&lt;="&amp;$BS76)))</f>
        <v/>
      </c>
      <c r="AK76" s="17" t="str">
        <f aca="false">IF(OR(O$7="",$BR76=""),"",IF('Tally Helper'!$B$42&lt;&gt;TRUE(),"not on Staff",SUMIFS('Tally Helper'!$L$44:$GI$44,'Tally Helper'!$L$42:$GI$42,"&gt;="&amp;$BR76,'Tally Helper'!$L$42:$GI$42,"&lt;="&amp;$BS76)))</f>
        <v/>
      </c>
      <c r="AL76" s="17" t="str">
        <f aca="false">IF(OR(P$7="",$BR76=""),"",IF('Tally Helper'!$B$45&lt;&gt;TRUE(),"not on Staff",SUMIFS('Tally Helper'!$L$47:$GI$47,'Tally Helper'!$L$45:$GI$45,"&gt;="&amp;$BR76,'Tally Helper'!$L$45:$GI$45,"&lt;="&amp;$BS76)))</f>
        <v/>
      </c>
      <c r="AM76" s="17" t="str">
        <f aca="false">IF(OR(Q$7="",$BR76=""),"",IF('Tally Helper'!$B$48&lt;&gt;TRUE(),"not on Staff",SUMIFS('Tally Helper'!$L$50:$GI$50,'Tally Helper'!$L$48:$GI$48,"&gt;="&amp;$BR76,'Tally Helper'!$L$48:$GI$48,"&lt;="&amp;$BS76)))</f>
        <v/>
      </c>
      <c r="AN76" s="17" t="str">
        <f aca="false">IF(OR(R$7="",$BR76=""),"",IF('Tally Helper'!$B$51&lt;&gt;TRUE(),"not on Staff",SUMIFS('Tally Helper'!$L$53:$GI$53,'Tally Helper'!$L$51:$GI$51,"&gt;="&amp;$BR76,'Tally Helper'!$L$51:$GI$51,"&lt;="&amp;$BS76)))</f>
        <v/>
      </c>
      <c r="AO76" s="17" t="str">
        <f aca="false">IF(OR(S$7="",$BR76=""),"",IF('Tally Helper'!$B$54&lt;&gt;TRUE(),"not on Staff",SUMIFS('Tally Helper'!$L$56:$GI$56,'Tally Helper'!$L$54:$GI$54,"&gt;="&amp;$BR76,'Tally Helper'!$L$54:$GI$54,"&lt;="&amp;$BS76)))</f>
        <v/>
      </c>
      <c r="AP76" s="17" t="str">
        <f aca="false">IF(OR(T$7="",$BR76=""),"",IF('Tally Helper'!$B$57&lt;&gt;TRUE(),"not on Staff",SUMIFS('Tally Helper'!$L$59:$GI$59,'Tally Helper'!$L$57:$GI$57,"&gt;="&amp;$BR76,'Tally Helper'!$L$57:$GI$57,"&lt;="&amp;$BS76)))</f>
        <v/>
      </c>
      <c r="AQ76" s="17" t="str">
        <f aca="false">IF(OR(U$7="",$BR76=""),"",IF('Tally Helper'!$B$60&lt;&gt;TRUE(),"not on Staff",SUMIFS('Tally Helper'!$L$62:$GI$62,'Tally Helper'!$L$60:$GI$60,"&gt;="&amp;$BR76,'Tally Helper'!$L$60:$GI$60,"&lt;="&amp;$BS76)))</f>
        <v/>
      </c>
      <c r="AT76" s="17" t="str">
        <f aca="false">IF(OR(X76="",NOT(ISNUMBER(X76))),"",X76-N(B76))</f>
        <v/>
      </c>
      <c r="AU76" s="17" t="str">
        <f aca="false">IF(OR(Y76="",NOT(ISNUMBER(Y76))),"",Y76-N(C76))</f>
        <v/>
      </c>
      <c r="AV76" s="17" t="str">
        <f aca="false">IF(OR(Z76="",NOT(ISNUMBER(Z76))),"",Z76-N(D76))</f>
        <v/>
      </c>
      <c r="AW76" s="17" t="str">
        <f aca="false">IF(OR(AA76="",NOT(ISNUMBER(AA76))),"",AA76-N(E76))</f>
        <v/>
      </c>
      <c r="AX76" s="17" t="str">
        <f aca="false">IF(OR(AB76="",NOT(ISNUMBER(AB76))),"",AB76-N(F76))</f>
        <v/>
      </c>
      <c r="AY76" s="17" t="str">
        <f aca="false">IF(OR(AC76="",NOT(ISNUMBER(AC76))),"",AC76-N(G76))</f>
        <v/>
      </c>
      <c r="AZ76" s="17" t="str">
        <f aca="false">IF(OR(AD76="",NOT(ISNUMBER(AD76))),"",AD76-N(H76))</f>
        <v/>
      </c>
      <c r="BA76" s="17" t="str">
        <f aca="false">IF(OR(AE76="",NOT(ISNUMBER(AE76))),"",AE76-N(I76))</f>
        <v/>
      </c>
      <c r="BB76" s="17" t="str">
        <f aca="false">IF(OR(AF76="",NOT(ISNUMBER(AF76))),"",AF76-N(J76))</f>
        <v/>
      </c>
      <c r="BC76" s="17" t="str">
        <f aca="false">IF(OR(AG76="",NOT(ISNUMBER(AG76))),"",AG76-N(K76))</f>
        <v/>
      </c>
      <c r="BD76" s="17" t="str">
        <f aca="false">IF(OR(AH76="",NOT(ISNUMBER(AH76))),"",AH76-N(L76))</f>
        <v/>
      </c>
      <c r="BE76" s="17" t="str">
        <f aca="false">IF(OR(AI76="",NOT(ISNUMBER(AI76))),"",AI76-N(M76))</f>
        <v/>
      </c>
      <c r="BF76" s="17" t="str">
        <f aca="false">IF(OR(AJ76="",NOT(ISNUMBER(AJ76))),"",AJ76-N(N76))</f>
        <v/>
      </c>
      <c r="BG76" s="17" t="str">
        <f aca="false">IF(OR(AK76="",NOT(ISNUMBER(AK76))),"",AK76-N(O76))</f>
        <v/>
      </c>
      <c r="BH76" s="17" t="str">
        <f aca="false">IF(OR(AL76="",NOT(ISNUMBER(AL76))),"",AL76-N(P76))</f>
        <v/>
      </c>
      <c r="BI76" s="17" t="str">
        <f aca="false">IF(OR(AM76="",NOT(ISNUMBER(AM76))),"",AM76-N(Q76))</f>
        <v/>
      </c>
      <c r="BJ76" s="17" t="str">
        <f aca="false">IF(OR(AN76="",NOT(ISNUMBER(AN76))),"",AN76-N(R76))</f>
        <v/>
      </c>
      <c r="BK76" s="17" t="str">
        <f aca="false">IF(OR(AO76="",NOT(ISNUMBER(AO76))),"",AO76-N(S76))</f>
        <v/>
      </c>
      <c r="BL76" s="17" t="str">
        <f aca="false">IF(OR(AP76="",NOT(ISNUMBER(AP76))),"",AP76-N(T76))</f>
        <v/>
      </c>
      <c r="BM76" s="17" t="str">
        <f aca="false">IF(OR(AQ76="",NOT(ISNUMBER(AQ76))),"",AQ76-N(U76))</f>
        <v/>
      </c>
      <c r="BR76" s="20" t="str">
        <f aca="false">IF($A76="","",IF(ISNUMBER($A76),DATE(YEAR($A76),MONTH($A76),1),IFERROR(DATE(2000+VALUE(RIGHT(TRIM($A76),2)),MATCH(UPPER(LEFT(TRIM($A76),3)),{"JAN","FEB","MAR","APR","MAY","JUN","JUL","AUG","SEP","OCT","NOV","DEC"},0),1),"")))</f>
        <v/>
      </c>
      <c r="BS76" s="20" t="str">
        <f aca="false">IF(BR76="","",EOMONTH(BR76,0))</f>
        <v/>
      </c>
    </row>
    <row r="77" customFormat="false" ht="15" hidden="false" customHeight="false" outlineLevel="0" collapsed="false">
      <c r="B77" s="21"/>
      <c r="C77" s="21"/>
      <c r="D77" s="21"/>
      <c r="E77" s="21"/>
      <c r="F77" s="21"/>
      <c r="G77" s="21"/>
      <c r="H77" s="21"/>
      <c r="I77" s="21"/>
      <c r="J77" s="21"/>
      <c r="K77" s="21"/>
      <c r="L77" s="21"/>
      <c r="M77" s="21"/>
      <c r="N77" s="21"/>
      <c r="O77" s="21"/>
      <c r="P77" s="21"/>
      <c r="Q77" s="21"/>
      <c r="R77" s="21"/>
      <c r="S77" s="21"/>
      <c r="T77" s="21"/>
      <c r="U77" s="21"/>
      <c r="X77" s="17" t="str">
        <f aca="false">IF(OR(B$7="",$BR77=""),"",IF('Tally Helper'!$B$3&lt;&gt;TRUE(),"not on Staff",SUMIFS('Tally Helper'!$L$5:$GI$5,'Tally Helper'!$L$3:$GI$3,"&gt;="&amp;$BR77,'Tally Helper'!$L$3:$GI$3,"&lt;="&amp;$BS77)))</f>
        <v/>
      </c>
      <c r="Y77" s="17" t="str">
        <f aca="false">IF(OR(C$7="",$BR77=""),"",IF('Tally Helper'!$B$6&lt;&gt;TRUE(),"not on Staff",SUMIFS('Tally Helper'!$L$8:$GI$8,'Tally Helper'!$L$6:$GI$6,"&gt;="&amp;$BR77,'Tally Helper'!$L$6:$GI$6,"&lt;="&amp;$BS77)))</f>
        <v/>
      </c>
      <c r="Z77" s="17" t="str">
        <f aca="false">IF(OR(D$7="",$BR77=""),"",IF('Tally Helper'!$B$9&lt;&gt;TRUE(),"not on Staff",SUMIFS('Tally Helper'!$L$11:$GI$11,'Tally Helper'!$L$9:$GI$9,"&gt;="&amp;$BR77,'Tally Helper'!$L$9:$GI$9,"&lt;="&amp;$BS77)))</f>
        <v/>
      </c>
      <c r="AA77" s="17" t="str">
        <f aca="false">IF(OR(E$7="",$BR77=""),"",IF('Tally Helper'!$B$12&lt;&gt;TRUE(),"not on Staff",SUMIFS('Tally Helper'!$L$14:$GI$14,'Tally Helper'!$L$12:$GI$12,"&gt;="&amp;$BR77,'Tally Helper'!$L$12:$GI$12,"&lt;="&amp;$BS77)))</f>
        <v/>
      </c>
      <c r="AB77" s="17" t="str">
        <f aca="false">IF(OR(F$7="",$BR77=""),"",IF('Tally Helper'!$B$15&lt;&gt;TRUE(),"not on Staff",SUMIFS('Tally Helper'!$L$17:$GI$17,'Tally Helper'!$L$15:$GI$15,"&gt;="&amp;$BR77,'Tally Helper'!$L$15:$GI$15,"&lt;="&amp;$BS77)))</f>
        <v/>
      </c>
      <c r="AC77" s="17" t="str">
        <f aca="false">IF(OR(G$7="",$BR77=""),"",IF('Tally Helper'!$B$18&lt;&gt;TRUE(),"not on Staff",SUMIFS('Tally Helper'!$L$20:$GI$20,'Tally Helper'!$L$18:$GI$18,"&gt;="&amp;$BR77,'Tally Helper'!$L$18:$GI$18,"&lt;="&amp;$BS77)))</f>
        <v/>
      </c>
      <c r="AD77" s="17" t="str">
        <f aca="false">IF(OR(H$7="",$BR77=""),"",IF('Tally Helper'!$B$21&lt;&gt;TRUE(),"not on Staff",SUMIFS('Tally Helper'!$L$23:$GI$23,'Tally Helper'!$L$21:$GI$21,"&gt;="&amp;$BR77,'Tally Helper'!$L$21:$GI$21,"&lt;="&amp;$BS77)))</f>
        <v/>
      </c>
      <c r="AE77" s="17" t="str">
        <f aca="false">IF(OR(I$7="",$BR77=""),"",IF('Tally Helper'!$B$24&lt;&gt;TRUE(),"not on Staff",SUMIFS('Tally Helper'!$L$26:$GI$26,'Tally Helper'!$L$24:$GI$24,"&gt;="&amp;$BR77,'Tally Helper'!$L$24:$GI$24,"&lt;="&amp;$BS77)))</f>
        <v/>
      </c>
      <c r="AF77" s="17" t="str">
        <f aca="false">IF(OR(J$7="",$BR77=""),"",IF('Tally Helper'!$B$27&lt;&gt;TRUE(),"not on Staff",SUMIFS('Tally Helper'!$L$29:$GI$29,'Tally Helper'!$L$27:$GI$27,"&gt;="&amp;$BR77,'Tally Helper'!$L$27:$GI$27,"&lt;="&amp;$BS77)))</f>
        <v/>
      </c>
      <c r="AG77" s="17" t="str">
        <f aca="false">IF(OR(K$7="",$BR77=""),"",IF('Tally Helper'!$B$30&lt;&gt;TRUE(),"not on Staff",SUMIFS('Tally Helper'!$L$32:$GI$32,'Tally Helper'!$L$30:$GI$30,"&gt;="&amp;$BR77,'Tally Helper'!$L$30:$GI$30,"&lt;="&amp;$BS77)))</f>
        <v/>
      </c>
      <c r="AH77" s="17" t="str">
        <f aca="false">IF(OR(L$7="",$BR77=""),"",IF('Tally Helper'!$B$33&lt;&gt;TRUE(),"not on Staff",SUMIFS('Tally Helper'!$L$35:$GI$35,'Tally Helper'!$L$33:$GI$33,"&gt;="&amp;$BR77,'Tally Helper'!$L$33:$GI$33,"&lt;="&amp;$BS77)))</f>
        <v/>
      </c>
      <c r="AI77" s="17" t="str">
        <f aca="false">IF(OR(M$7="",$BR77=""),"",IF('Tally Helper'!$B$36&lt;&gt;TRUE(),"not on Staff",SUMIFS('Tally Helper'!$L$38:$GI$38,'Tally Helper'!$L$36:$GI$36,"&gt;="&amp;$BR77,'Tally Helper'!$L$36:$GI$36,"&lt;="&amp;$BS77)))</f>
        <v/>
      </c>
      <c r="AJ77" s="17" t="str">
        <f aca="false">IF(OR(N$7="",$BR77=""),"",IF('Tally Helper'!$B$39&lt;&gt;TRUE(),"not on Staff",SUMIFS('Tally Helper'!$L$41:$GI$41,'Tally Helper'!$L$39:$GI$39,"&gt;="&amp;$BR77,'Tally Helper'!$L$39:$GI$39,"&lt;="&amp;$BS77)))</f>
        <v/>
      </c>
      <c r="AK77" s="17" t="str">
        <f aca="false">IF(OR(O$7="",$BR77=""),"",IF('Tally Helper'!$B$42&lt;&gt;TRUE(),"not on Staff",SUMIFS('Tally Helper'!$L$44:$GI$44,'Tally Helper'!$L$42:$GI$42,"&gt;="&amp;$BR77,'Tally Helper'!$L$42:$GI$42,"&lt;="&amp;$BS77)))</f>
        <v/>
      </c>
      <c r="AL77" s="17" t="str">
        <f aca="false">IF(OR(P$7="",$BR77=""),"",IF('Tally Helper'!$B$45&lt;&gt;TRUE(),"not on Staff",SUMIFS('Tally Helper'!$L$47:$GI$47,'Tally Helper'!$L$45:$GI$45,"&gt;="&amp;$BR77,'Tally Helper'!$L$45:$GI$45,"&lt;="&amp;$BS77)))</f>
        <v/>
      </c>
      <c r="AM77" s="17" t="str">
        <f aca="false">IF(OR(Q$7="",$BR77=""),"",IF('Tally Helper'!$B$48&lt;&gt;TRUE(),"not on Staff",SUMIFS('Tally Helper'!$L$50:$GI$50,'Tally Helper'!$L$48:$GI$48,"&gt;="&amp;$BR77,'Tally Helper'!$L$48:$GI$48,"&lt;="&amp;$BS77)))</f>
        <v/>
      </c>
      <c r="AN77" s="17" t="str">
        <f aca="false">IF(OR(R$7="",$BR77=""),"",IF('Tally Helper'!$B$51&lt;&gt;TRUE(),"not on Staff",SUMIFS('Tally Helper'!$L$53:$GI$53,'Tally Helper'!$L$51:$GI$51,"&gt;="&amp;$BR77,'Tally Helper'!$L$51:$GI$51,"&lt;="&amp;$BS77)))</f>
        <v/>
      </c>
      <c r="AO77" s="17" t="str">
        <f aca="false">IF(OR(S$7="",$BR77=""),"",IF('Tally Helper'!$B$54&lt;&gt;TRUE(),"not on Staff",SUMIFS('Tally Helper'!$L$56:$GI$56,'Tally Helper'!$L$54:$GI$54,"&gt;="&amp;$BR77,'Tally Helper'!$L$54:$GI$54,"&lt;="&amp;$BS77)))</f>
        <v/>
      </c>
      <c r="AP77" s="17" t="str">
        <f aca="false">IF(OR(T$7="",$BR77=""),"",IF('Tally Helper'!$B$57&lt;&gt;TRUE(),"not on Staff",SUMIFS('Tally Helper'!$L$59:$GI$59,'Tally Helper'!$L$57:$GI$57,"&gt;="&amp;$BR77,'Tally Helper'!$L$57:$GI$57,"&lt;="&amp;$BS77)))</f>
        <v/>
      </c>
      <c r="AQ77" s="17" t="str">
        <f aca="false">IF(OR(U$7="",$BR77=""),"",IF('Tally Helper'!$B$60&lt;&gt;TRUE(),"not on Staff",SUMIFS('Tally Helper'!$L$62:$GI$62,'Tally Helper'!$L$60:$GI$60,"&gt;="&amp;$BR77,'Tally Helper'!$L$60:$GI$60,"&lt;="&amp;$BS77)))</f>
        <v/>
      </c>
      <c r="AT77" s="17" t="str">
        <f aca="false">IF(OR(X77="",NOT(ISNUMBER(X77))),"",X77-N(B77))</f>
        <v/>
      </c>
      <c r="AU77" s="17" t="str">
        <f aca="false">IF(OR(Y77="",NOT(ISNUMBER(Y77))),"",Y77-N(C77))</f>
        <v/>
      </c>
      <c r="AV77" s="17" t="str">
        <f aca="false">IF(OR(Z77="",NOT(ISNUMBER(Z77))),"",Z77-N(D77))</f>
        <v/>
      </c>
      <c r="AW77" s="17" t="str">
        <f aca="false">IF(OR(AA77="",NOT(ISNUMBER(AA77))),"",AA77-N(E77))</f>
        <v/>
      </c>
      <c r="AX77" s="17" t="str">
        <f aca="false">IF(OR(AB77="",NOT(ISNUMBER(AB77))),"",AB77-N(F77))</f>
        <v/>
      </c>
      <c r="AY77" s="17" t="str">
        <f aca="false">IF(OR(AC77="",NOT(ISNUMBER(AC77))),"",AC77-N(G77))</f>
        <v/>
      </c>
      <c r="AZ77" s="17" t="str">
        <f aca="false">IF(OR(AD77="",NOT(ISNUMBER(AD77))),"",AD77-N(H77))</f>
        <v/>
      </c>
      <c r="BA77" s="17" t="str">
        <f aca="false">IF(OR(AE77="",NOT(ISNUMBER(AE77))),"",AE77-N(I77))</f>
        <v/>
      </c>
      <c r="BB77" s="17" t="str">
        <f aca="false">IF(OR(AF77="",NOT(ISNUMBER(AF77))),"",AF77-N(J77))</f>
        <v/>
      </c>
      <c r="BC77" s="17" t="str">
        <f aca="false">IF(OR(AG77="",NOT(ISNUMBER(AG77))),"",AG77-N(K77))</f>
        <v/>
      </c>
      <c r="BD77" s="17" t="str">
        <f aca="false">IF(OR(AH77="",NOT(ISNUMBER(AH77))),"",AH77-N(L77))</f>
        <v/>
      </c>
      <c r="BE77" s="17" t="str">
        <f aca="false">IF(OR(AI77="",NOT(ISNUMBER(AI77))),"",AI77-N(M77))</f>
        <v/>
      </c>
      <c r="BF77" s="17" t="str">
        <f aca="false">IF(OR(AJ77="",NOT(ISNUMBER(AJ77))),"",AJ77-N(N77))</f>
        <v/>
      </c>
      <c r="BG77" s="17" t="str">
        <f aca="false">IF(OR(AK77="",NOT(ISNUMBER(AK77))),"",AK77-N(O77))</f>
        <v/>
      </c>
      <c r="BH77" s="17" t="str">
        <f aca="false">IF(OR(AL77="",NOT(ISNUMBER(AL77))),"",AL77-N(P77))</f>
        <v/>
      </c>
      <c r="BI77" s="17" t="str">
        <f aca="false">IF(OR(AM77="",NOT(ISNUMBER(AM77))),"",AM77-N(Q77))</f>
        <v/>
      </c>
      <c r="BJ77" s="17" t="str">
        <f aca="false">IF(OR(AN77="",NOT(ISNUMBER(AN77))),"",AN77-N(R77))</f>
        <v/>
      </c>
      <c r="BK77" s="17" t="str">
        <f aca="false">IF(OR(AO77="",NOT(ISNUMBER(AO77))),"",AO77-N(S77))</f>
        <v/>
      </c>
      <c r="BL77" s="17" t="str">
        <f aca="false">IF(OR(AP77="",NOT(ISNUMBER(AP77))),"",AP77-N(T77))</f>
        <v/>
      </c>
      <c r="BM77" s="17" t="str">
        <f aca="false">IF(OR(AQ77="",NOT(ISNUMBER(AQ77))),"",AQ77-N(U77))</f>
        <v/>
      </c>
      <c r="BR77" s="20" t="str">
        <f aca="false">IF($A77="","",IF(ISNUMBER($A77),DATE(YEAR($A77),MONTH($A77),1),IFERROR(DATE(2000+VALUE(RIGHT(TRIM($A77),2)),MATCH(UPPER(LEFT(TRIM($A77),3)),{"JAN","FEB","MAR","APR","MAY","JUN","JUL","AUG","SEP","OCT","NOV","DEC"},0),1),"")))</f>
        <v/>
      </c>
      <c r="BS77" s="20" t="str">
        <f aca="false">IF(BR77="","",EOMONTH(BR77,0))</f>
        <v/>
      </c>
    </row>
    <row r="78" customFormat="false" ht="15" hidden="false" customHeight="false" outlineLevel="0" collapsed="false">
      <c r="B78" s="21"/>
      <c r="C78" s="21"/>
      <c r="D78" s="21"/>
      <c r="E78" s="21"/>
      <c r="F78" s="21"/>
      <c r="G78" s="21"/>
      <c r="H78" s="21"/>
      <c r="I78" s="21"/>
      <c r="J78" s="21"/>
      <c r="K78" s="21"/>
      <c r="L78" s="21"/>
      <c r="M78" s="21"/>
      <c r="N78" s="21"/>
      <c r="O78" s="21"/>
      <c r="P78" s="21"/>
      <c r="Q78" s="21"/>
      <c r="R78" s="21"/>
      <c r="S78" s="21"/>
      <c r="T78" s="21"/>
      <c r="U78" s="21"/>
      <c r="X78" s="17" t="str">
        <f aca="false">IF(OR(B$7="",$BR78=""),"",IF('Tally Helper'!$B$3&lt;&gt;TRUE(),"not on Staff",SUMIFS('Tally Helper'!$L$5:$GI$5,'Tally Helper'!$L$3:$GI$3,"&gt;="&amp;$BR78,'Tally Helper'!$L$3:$GI$3,"&lt;="&amp;$BS78)))</f>
        <v/>
      </c>
      <c r="Y78" s="17" t="str">
        <f aca="false">IF(OR(C$7="",$BR78=""),"",IF('Tally Helper'!$B$6&lt;&gt;TRUE(),"not on Staff",SUMIFS('Tally Helper'!$L$8:$GI$8,'Tally Helper'!$L$6:$GI$6,"&gt;="&amp;$BR78,'Tally Helper'!$L$6:$GI$6,"&lt;="&amp;$BS78)))</f>
        <v/>
      </c>
      <c r="Z78" s="17" t="str">
        <f aca="false">IF(OR(D$7="",$BR78=""),"",IF('Tally Helper'!$B$9&lt;&gt;TRUE(),"not on Staff",SUMIFS('Tally Helper'!$L$11:$GI$11,'Tally Helper'!$L$9:$GI$9,"&gt;="&amp;$BR78,'Tally Helper'!$L$9:$GI$9,"&lt;="&amp;$BS78)))</f>
        <v/>
      </c>
      <c r="AA78" s="17" t="str">
        <f aca="false">IF(OR(E$7="",$BR78=""),"",IF('Tally Helper'!$B$12&lt;&gt;TRUE(),"not on Staff",SUMIFS('Tally Helper'!$L$14:$GI$14,'Tally Helper'!$L$12:$GI$12,"&gt;="&amp;$BR78,'Tally Helper'!$L$12:$GI$12,"&lt;="&amp;$BS78)))</f>
        <v/>
      </c>
      <c r="AB78" s="17" t="str">
        <f aca="false">IF(OR(F$7="",$BR78=""),"",IF('Tally Helper'!$B$15&lt;&gt;TRUE(),"not on Staff",SUMIFS('Tally Helper'!$L$17:$GI$17,'Tally Helper'!$L$15:$GI$15,"&gt;="&amp;$BR78,'Tally Helper'!$L$15:$GI$15,"&lt;="&amp;$BS78)))</f>
        <v/>
      </c>
      <c r="AC78" s="17" t="str">
        <f aca="false">IF(OR(G$7="",$BR78=""),"",IF('Tally Helper'!$B$18&lt;&gt;TRUE(),"not on Staff",SUMIFS('Tally Helper'!$L$20:$GI$20,'Tally Helper'!$L$18:$GI$18,"&gt;="&amp;$BR78,'Tally Helper'!$L$18:$GI$18,"&lt;="&amp;$BS78)))</f>
        <v/>
      </c>
      <c r="AD78" s="17" t="str">
        <f aca="false">IF(OR(H$7="",$BR78=""),"",IF('Tally Helper'!$B$21&lt;&gt;TRUE(),"not on Staff",SUMIFS('Tally Helper'!$L$23:$GI$23,'Tally Helper'!$L$21:$GI$21,"&gt;="&amp;$BR78,'Tally Helper'!$L$21:$GI$21,"&lt;="&amp;$BS78)))</f>
        <v/>
      </c>
      <c r="AE78" s="17" t="str">
        <f aca="false">IF(OR(I$7="",$BR78=""),"",IF('Tally Helper'!$B$24&lt;&gt;TRUE(),"not on Staff",SUMIFS('Tally Helper'!$L$26:$GI$26,'Tally Helper'!$L$24:$GI$24,"&gt;="&amp;$BR78,'Tally Helper'!$L$24:$GI$24,"&lt;="&amp;$BS78)))</f>
        <v/>
      </c>
      <c r="AF78" s="17" t="str">
        <f aca="false">IF(OR(J$7="",$BR78=""),"",IF('Tally Helper'!$B$27&lt;&gt;TRUE(),"not on Staff",SUMIFS('Tally Helper'!$L$29:$GI$29,'Tally Helper'!$L$27:$GI$27,"&gt;="&amp;$BR78,'Tally Helper'!$L$27:$GI$27,"&lt;="&amp;$BS78)))</f>
        <v/>
      </c>
      <c r="AG78" s="17" t="str">
        <f aca="false">IF(OR(K$7="",$BR78=""),"",IF('Tally Helper'!$B$30&lt;&gt;TRUE(),"not on Staff",SUMIFS('Tally Helper'!$L$32:$GI$32,'Tally Helper'!$L$30:$GI$30,"&gt;="&amp;$BR78,'Tally Helper'!$L$30:$GI$30,"&lt;="&amp;$BS78)))</f>
        <v/>
      </c>
      <c r="AH78" s="17" t="str">
        <f aca="false">IF(OR(L$7="",$BR78=""),"",IF('Tally Helper'!$B$33&lt;&gt;TRUE(),"not on Staff",SUMIFS('Tally Helper'!$L$35:$GI$35,'Tally Helper'!$L$33:$GI$33,"&gt;="&amp;$BR78,'Tally Helper'!$L$33:$GI$33,"&lt;="&amp;$BS78)))</f>
        <v/>
      </c>
      <c r="AI78" s="17" t="str">
        <f aca="false">IF(OR(M$7="",$BR78=""),"",IF('Tally Helper'!$B$36&lt;&gt;TRUE(),"not on Staff",SUMIFS('Tally Helper'!$L$38:$GI$38,'Tally Helper'!$L$36:$GI$36,"&gt;="&amp;$BR78,'Tally Helper'!$L$36:$GI$36,"&lt;="&amp;$BS78)))</f>
        <v/>
      </c>
      <c r="AJ78" s="17" t="str">
        <f aca="false">IF(OR(N$7="",$BR78=""),"",IF('Tally Helper'!$B$39&lt;&gt;TRUE(),"not on Staff",SUMIFS('Tally Helper'!$L$41:$GI$41,'Tally Helper'!$L$39:$GI$39,"&gt;="&amp;$BR78,'Tally Helper'!$L$39:$GI$39,"&lt;="&amp;$BS78)))</f>
        <v/>
      </c>
      <c r="AK78" s="17" t="str">
        <f aca="false">IF(OR(O$7="",$BR78=""),"",IF('Tally Helper'!$B$42&lt;&gt;TRUE(),"not on Staff",SUMIFS('Tally Helper'!$L$44:$GI$44,'Tally Helper'!$L$42:$GI$42,"&gt;="&amp;$BR78,'Tally Helper'!$L$42:$GI$42,"&lt;="&amp;$BS78)))</f>
        <v/>
      </c>
      <c r="AL78" s="17" t="str">
        <f aca="false">IF(OR(P$7="",$BR78=""),"",IF('Tally Helper'!$B$45&lt;&gt;TRUE(),"not on Staff",SUMIFS('Tally Helper'!$L$47:$GI$47,'Tally Helper'!$L$45:$GI$45,"&gt;="&amp;$BR78,'Tally Helper'!$L$45:$GI$45,"&lt;="&amp;$BS78)))</f>
        <v/>
      </c>
      <c r="AM78" s="17" t="str">
        <f aca="false">IF(OR(Q$7="",$BR78=""),"",IF('Tally Helper'!$B$48&lt;&gt;TRUE(),"not on Staff",SUMIFS('Tally Helper'!$L$50:$GI$50,'Tally Helper'!$L$48:$GI$48,"&gt;="&amp;$BR78,'Tally Helper'!$L$48:$GI$48,"&lt;="&amp;$BS78)))</f>
        <v/>
      </c>
      <c r="AN78" s="17" t="str">
        <f aca="false">IF(OR(R$7="",$BR78=""),"",IF('Tally Helper'!$B$51&lt;&gt;TRUE(),"not on Staff",SUMIFS('Tally Helper'!$L$53:$GI$53,'Tally Helper'!$L$51:$GI$51,"&gt;="&amp;$BR78,'Tally Helper'!$L$51:$GI$51,"&lt;="&amp;$BS78)))</f>
        <v/>
      </c>
      <c r="AO78" s="17" t="str">
        <f aca="false">IF(OR(S$7="",$BR78=""),"",IF('Tally Helper'!$B$54&lt;&gt;TRUE(),"not on Staff",SUMIFS('Tally Helper'!$L$56:$GI$56,'Tally Helper'!$L$54:$GI$54,"&gt;="&amp;$BR78,'Tally Helper'!$L$54:$GI$54,"&lt;="&amp;$BS78)))</f>
        <v/>
      </c>
      <c r="AP78" s="17" t="str">
        <f aca="false">IF(OR(T$7="",$BR78=""),"",IF('Tally Helper'!$B$57&lt;&gt;TRUE(),"not on Staff",SUMIFS('Tally Helper'!$L$59:$GI$59,'Tally Helper'!$L$57:$GI$57,"&gt;="&amp;$BR78,'Tally Helper'!$L$57:$GI$57,"&lt;="&amp;$BS78)))</f>
        <v/>
      </c>
      <c r="AQ78" s="17" t="str">
        <f aca="false">IF(OR(U$7="",$BR78=""),"",IF('Tally Helper'!$B$60&lt;&gt;TRUE(),"not on Staff",SUMIFS('Tally Helper'!$L$62:$GI$62,'Tally Helper'!$L$60:$GI$60,"&gt;="&amp;$BR78,'Tally Helper'!$L$60:$GI$60,"&lt;="&amp;$BS78)))</f>
        <v/>
      </c>
      <c r="AT78" s="17" t="str">
        <f aca="false">IF(OR(X78="",NOT(ISNUMBER(X78))),"",X78-N(B78))</f>
        <v/>
      </c>
      <c r="AU78" s="17" t="str">
        <f aca="false">IF(OR(Y78="",NOT(ISNUMBER(Y78))),"",Y78-N(C78))</f>
        <v/>
      </c>
      <c r="AV78" s="17" t="str">
        <f aca="false">IF(OR(Z78="",NOT(ISNUMBER(Z78))),"",Z78-N(D78))</f>
        <v/>
      </c>
      <c r="AW78" s="17" t="str">
        <f aca="false">IF(OR(AA78="",NOT(ISNUMBER(AA78))),"",AA78-N(E78))</f>
        <v/>
      </c>
      <c r="AX78" s="17" t="str">
        <f aca="false">IF(OR(AB78="",NOT(ISNUMBER(AB78))),"",AB78-N(F78))</f>
        <v/>
      </c>
      <c r="AY78" s="17" t="str">
        <f aca="false">IF(OR(AC78="",NOT(ISNUMBER(AC78))),"",AC78-N(G78))</f>
        <v/>
      </c>
      <c r="AZ78" s="17" t="str">
        <f aca="false">IF(OR(AD78="",NOT(ISNUMBER(AD78))),"",AD78-N(H78))</f>
        <v/>
      </c>
      <c r="BA78" s="17" t="str">
        <f aca="false">IF(OR(AE78="",NOT(ISNUMBER(AE78))),"",AE78-N(I78))</f>
        <v/>
      </c>
      <c r="BB78" s="17" t="str">
        <f aca="false">IF(OR(AF78="",NOT(ISNUMBER(AF78))),"",AF78-N(J78))</f>
        <v/>
      </c>
      <c r="BC78" s="17" t="str">
        <f aca="false">IF(OR(AG78="",NOT(ISNUMBER(AG78))),"",AG78-N(K78))</f>
        <v/>
      </c>
      <c r="BD78" s="17" t="str">
        <f aca="false">IF(OR(AH78="",NOT(ISNUMBER(AH78))),"",AH78-N(L78))</f>
        <v/>
      </c>
      <c r="BE78" s="17" t="str">
        <f aca="false">IF(OR(AI78="",NOT(ISNUMBER(AI78))),"",AI78-N(M78))</f>
        <v/>
      </c>
      <c r="BF78" s="17" t="str">
        <f aca="false">IF(OR(AJ78="",NOT(ISNUMBER(AJ78))),"",AJ78-N(N78))</f>
        <v/>
      </c>
      <c r="BG78" s="17" t="str">
        <f aca="false">IF(OR(AK78="",NOT(ISNUMBER(AK78))),"",AK78-N(O78))</f>
        <v/>
      </c>
      <c r="BH78" s="17" t="str">
        <f aca="false">IF(OR(AL78="",NOT(ISNUMBER(AL78))),"",AL78-N(P78))</f>
        <v/>
      </c>
      <c r="BI78" s="17" t="str">
        <f aca="false">IF(OR(AM78="",NOT(ISNUMBER(AM78))),"",AM78-N(Q78))</f>
        <v/>
      </c>
      <c r="BJ78" s="17" t="str">
        <f aca="false">IF(OR(AN78="",NOT(ISNUMBER(AN78))),"",AN78-N(R78))</f>
        <v/>
      </c>
      <c r="BK78" s="17" t="str">
        <f aca="false">IF(OR(AO78="",NOT(ISNUMBER(AO78))),"",AO78-N(S78))</f>
        <v/>
      </c>
      <c r="BL78" s="17" t="str">
        <f aca="false">IF(OR(AP78="",NOT(ISNUMBER(AP78))),"",AP78-N(T78))</f>
        <v/>
      </c>
      <c r="BM78" s="17" t="str">
        <f aca="false">IF(OR(AQ78="",NOT(ISNUMBER(AQ78))),"",AQ78-N(U78))</f>
        <v/>
      </c>
      <c r="BR78" s="20" t="str">
        <f aca="false">IF($A78="","",IF(ISNUMBER($A78),DATE(YEAR($A78),MONTH($A78),1),IFERROR(DATE(2000+VALUE(RIGHT(TRIM($A78),2)),MATCH(UPPER(LEFT(TRIM($A78),3)),{"JAN","FEB","MAR","APR","MAY","JUN","JUL","AUG","SEP","OCT","NOV","DEC"},0),1),"")))</f>
        <v/>
      </c>
      <c r="BS78" s="20" t="str">
        <f aca="false">IF(BR78="","",EOMONTH(BR78,0))</f>
        <v/>
      </c>
    </row>
    <row r="79" customFormat="false" ht="15" hidden="false" customHeight="false" outlineLevel="0" collapsed="false">
      <c r="B79" s="21"/>
      <c r="C79" s="21"/>
      <c r="D79" s="21"/>
      <c r="E79" s="21"/>
      <c r="F79" s="21"/>
      <c r="G79" s="21"/>
      <c r="H79" s="21"/>
      <c r="I79" s="21"/>
      <c r="J79" s="21"/>
      <c r="K79" s="21"/>
      <c r="L79" s="21"/>
      <c r="M79" s="21"/>
      <c r="N79" s="21"/>
      <c r="O79" s="21"/>
      <c r="P79" s="21"/>
      <c r="Q79" s="21"/>
      <c r="R79" s="21"/>
      <c r="S79" s="21"/>
      <c r="T79" s="21"/>
      <c r="U79" s="21"/>
      <c r="X79" s="17" t="str">
        <f aca="false">IF(OR(B$7="",$BR79=""),"",IF('Tally Helper'!$B$3&lt;&gt;TRUE(),"not on Staff",SUMIFS('Tally Helper'!$L$5:$GI$5,'Tally Helper'!$L$3:$GI$3,"&gt;="&amp;$BR79,'Tally Helper'!$L$3:$GI$3,"&lt;="&amp;$BS79)))</f>
        <v/>
      </c>
      <c r="Y79" s="17" t="str">
        <f aca="false">IF(OR(C$7="",$BR79=""),"",IF('Tally Helper'!$B$6&lt;&gt;TRUE(),"not on Staff",SUMIFS('Tally Helper'!$L$8:$GI$8,'Tally Helper'!$L$6:$GI$6,"&gt;="&amp;$BR79,'Tally Helper'!$L$6:$GI$6,"&lt;="&amp;$BS79)))</f>
        <v/>
      </c>
      <c r="Z79" s="17" t="str">
        <f aca="false">IF(OR(D$7="",$BR79=""),"",IF('Tally Helper'!$B$9&lt;&gt;TRUE(),"not on Staff",SUMIFS('Tally Helper'!$L$11:$GI$11,'Tally Helper'!$L$9:$GI$9,"&gt;="&amp;$BR79,'Tally Helper'!$L$9:$GI$9,"&lt;="&amp;$BS79)))</f>
        <v/>
      </c>
      <c r="AA79" s="17" t="str">
        <f aca="false">IF(OR(E$7="",$BR79=""),"",IF('Tally Helper'!$B$12&lt;&gt;TRUE(),"not on Staff",SUMIFS('Tally Helper'!$L$14:$GI$14,'Tally Helper'!$L$12:$GI$12,"&gt;="&amp;$BR79,'Tally Helper'!$L$12:$GI$12,"&lt;="&amp;$BS79)))</f>
        <v/>
      </c>
      <c r="AB79" s="17" t="str">
        <f aca="false">IF(OR(F$7="",$BR79=""),"",IF('Tally Helper'!$B$15&lt;&gt;TRUE(),"not on Staff",SUMIFS('Tally Helper'!$L$17:$GI$17,'Tally Helper'!$L$15:$GI$15,"&gt;="&amp;$BR79,'Tally Helper'!$L$15:$GI$15,"&lt;="&amp;$BS79)))</f>
        <v/>
      </c>
      <c r="AC79" s="17" t="str">
        <f aca="false">IF(OR(G$7="",$BR79=""),"",IF('Tally Helper'!$B$18&lt;&gt;TRUE(),"not on Staff",SUMIFS('Tally Helper'!$L$20:$GI$20,'Tally Helper'!$L$18:$GI$18,"&gt;="&amp;$BR79,'Tally Helper'!$L$18:$GI$18,"&lt;="&amp;$BS79)))</f>
        <v/>
      </c>
      <c r="AD79" s="17" t="str">
        <f aca="false">IF(OR(H$7="",$BR79=""),"",IF('Tally Helper'!$B$21&lt;&gt;TRUE(),"not on Staff",SUMIFS('Tally Helper'!$L$23:$GI$23,'Tally Helper'!$L$21:$GI$21,"&gt;="&amp;$BR79,'Tally Helper'!$L$21:$GI$21,"&lt;="&amp;$BS79)))</f>
        <v/>
      </c>
      <c r="AE79" s="17" t="str">
        <f aca="false">IF(OR(I$7="",$BR79=""),"",IF('Tally Helper'!$B$24&lt;&gt;TRUE(),"not on Staff",SUMIFS('Tally Helper'!$L$26:$GI$26,'Tally Helper'!$L$24:$GI$24,"&gt;="&amp;$BR79,'Tally Helper'!$L$24:$GI$24,"&lt;="&amp;$BS79)))</f>
        <v/>
      </c>
      <c r="AF79" s="17" t="str">
        <f aca="false">IF(OR(J$7="",$BR79=""),"",IF('Tally Helper'!$B$27&lt;&gt;TRUE(),"not on Staff",SUMIFS('Tally Helper'!$L$29:$GI$29,'Tally Helper'!$L$27:$GI$27,"&gt;="&amp;$BR79,'Tally Helper'!$L$27:$GI$27,"&lt;="&amp;$BS79)))</f>
        <v/>
      </c>
      <c r="AG79" s="17" t="str">
        <f aca="false">IF(OR(K$7="",$BR79=""),"",IF('Tally Helper'!$B$30&lt;&gt;TRUE(),"not on Staff",SUMIFS('Tally Helper'!$L$32:$GI$32,'Tally Helper'!$L$30:$GI$30,"&gt;="&amp;$BR79,'Tally Helper'!$L$30:$GI$30,"&lt;="&amp;$BS79)))</f>
        <v/>
      </c>
      <c r="AH79" s="17" t="str">
        <f aca="false">IF(OR(L$7="",$BR79=""),"",IF('Tally Helper'!$B$33&lt;&gt;TRUE(),"not on Staff",SUMIFS('Tally Helper'!$L$35:$GI$35,'Tally Helper'!$L$33:$GI$33,"&gt;="&amp;$BR79,'Tally Helper'!$L$33:$GI$33,"&lt;="&amp;$BS79)))</f>
        <v/>
      </c>
      <c r="AI79" s="17" t="str">
        <f aca="false">IF(OR(M$7="",$BR79=""),"",IF('Tally Helper'!$B$36&lt;&gt;TRUE(),"not on Staff",SUMIFS('Tally Helper'!$L$38:$GI$38,'Tally Helper'!$L$36:$GI$36,"&gt;="&amp;$BR79,'Tally Helper'!$L$36:$GI$36,"&lt;="&amp;$BS79)))</f>
        <v/>
      </c>
      <c r="AJ79" s="17" t="str">
        <f aca="false">IF(OR(N$7="",$BR79=""),"",IF('Tally Helper'!$B$39&lt;&gt;TRUE(),"not on Staff",SUMIFS('Tally Helper'!$L$41:$GI$41,'Tally Helper'!$L$39:$GI$39,"&gt;="&amp;$BR79,'Tally Helper'!$L$39:$GI$39,"&lt;="&amp;$BS79)))</f>
        <v/>
      </c>
      <c r="AK79" s="17" t="str">
        <f aca="false">IF(OR(O$7="",$BR79=""),"",IF('Tally Helper'!$B$42&lt;&gt;TRUE(),"not on Staff",SUMIFS('Tally Helper'!$L$44:$GI$44,'Tally Helper'!$L$42:$GI$42,"&gt;="&amp;$BR79,'Tally Helper'!$L$42:$GI$42,"&lt;="&amp;$BS79)))</f>
        <v/>
      </c>
      <c r="AL79" s="17" t="str">
        <f aca="false">IF(OR(P$7="",$BR79=""),"",IF('Tally Helper'!$B$45&lt;&gt;TRUE(),"not on Staff",SUMIFS('Tally Helper'!$L$47:$GI$47,'Tally Helper'!$L$45:$GI$45,"&gt;="&amp;$BR79,'Tally Helper'!$L$45:$GI$45,"&lt;="&amp;$BS79)))</f>
        <v/>
      </c>
      <c r="AM79" s="17" t="str">
        <f aca="false">IF(OR(Q$7="",$BR79=""),"",IF('Tally Helper'!$B$48&lt;&gt;TRUE(),"not on Staff",SUMIFS('Tally Helper'!$L$50:$GI$50,'Tally Helper'!$L$48:$GI$48,"&gt;="&amp;$BR79,'Tally Helper'!$L$48:$GI$48,"&lt;="&amp;$BS79)))</f>
        <v/>
      </c>
      <c r="AN79" s="17" t="str">
        <f aca="false">IF(OR(R$7="",$BR79=""),"",IF('Tally Helper'!$B$51&lt;&gt;TRUE(),"not on Staff",SUMIFS('Tally Helper'!$L$53:$GI$53,'Tally Helper'!$L$51:$GI$51,"&gt;="&amp;$BR79,'Tally Helper'!$L$51:$GI$51,"&lt;="&amp;$BS79)))</f>
        <v/>
      </c>
      <c r="AO79" s="17" t="str">
        <f aca="false">IF(OR(S$7="",$BR79=""),"",IF('Tally Helper'!$B$54&lt;&gt;TRUE(),"not on Staff",SUMIFS('Tally Helper'!$L$56:$GI$56,'Tally Helper'!$L$54:$GI$54,"&gt;="&amp;$BR79,'Tally Helper'!$L$54:$GI$54,"&lt;="&amp;$BS79)))</f>
        <v/>
      </c>
      <c r="AP79" s="17" t="str">
        <f aca="false">IF(OR(T$7="",$BR79=""),"",IF('Tally Helper'!$B$57&lt;&gt;TRUE(),"not on Staff",SUMIFS('Tally Helper'!$L$59:$GI$59,'Tally Helper'!$L$57:$GI$57,"&gt;="&amp;$BR79,'Tally Helper'!$L$57:$GI$57,"&lt;="&amp;$BS79)))</f>
        <v/>
      </c>
      <c r="AQ79" s="17" t="str">
        <f aca="false">IF(OR(U$7="",$BR79=""),"",IF('Tally Helper'!$B$60&lt;&gt;TRUE(),"not on Staff",SUMIFS('Tally Helper'!$L$62:$GI$62,'Tally Helper'!$L$60:$GI$60,"&gt;="&amp;$BR79,'Tally Helper'!$L$60:$GI$60,"&lt;="&amp;$BS79)))</f>
        <v/>
      </c>
      <c r="AT79" s="17" t="str">
        <f aca="false">IF(OR(X79="",NOT(ISNUMBER(X79))),"",X79-N(B79))</f>
        <v/>
      </c>
      <c r="AU79" s="17" t="str">
        <f aca="false">IF(OR(Y79="",NOT(ISNUMBER(Y79))),"",Y79-N(C79))</f>
        <v/>
      </c>
      <c r="AV79" s="17" t="str">
        <f aca="false">IF(OR(Z79="",NOT(ISNUMBER(Z79))),"",Z79-N(D79))</f>
        <v/>
      </c>
      <c r="AW79" s="17" t="str">
        <f aca="false">IF(OR(AA79="",NOT(ISNUMBER(AA79))),"",AA79-N(E79))</f>
        <v/>
      </c>
      <c r="AX79" s="17" t="str">
        <f aca="false">IF(OR(AB79="",NOT(ISNUMBER(AB79))),"",AB79-N(F79))</f>
        <v/>
      </c>
      <c r="AY79" s="17" t="str">
        <f aca="false">IF(OR(AC79="",NOT(ISNUMBER(AC79))),"",AC79-N(G79))</f>
        <v/>
      </c>
      <c r="AZ79" s="17" t="str">
        <f aca="false">IF(OR(AD79="",NOT(ISNUMBER(AD79))),"",AD79-N(H79))</f>
        <v/>
      </c>
      <c r="BA79" s="17" t="str">
        <f aca="false">IF(OR(AE79="",NOT(ISNUMBER(AE79))),"",AE79-N(I79))</f>
        <v/>
      </c>
      <c r="BB79" s="17" t="str">
        <f aca="false">IF(OR(AF79="",NOT(ISNUMBER(AF79))),"",AF79-N(J79))</f>
        <v/>
      </c>
      <c r="BC79" s="17" t="str">
        <f aca="false">IF(OR(AG79="",NOT(ISNUMBER(AG79))),"",AG79-N(K79))</f>
        <v/>
      </c>
      <c r="BD79" s="17" t="str">
        <f aca="false">IF(OR(AH79="",NOT(ISNUMBER(AH79))),"",AH79-N(L79))</f>
        <v/>
      </c>
      <c r="BE79" s="17" t="str">
        <f aca="false">IF(OR(AI79="",NOT(ISNUMBER(AI79))),"",AI79-N(M79))</f>
        <v/>
      </c>
      <c r="BF79" s="17" t="str">
        <f aca="false">IF(OR(AJ79="",NOT(ISNUMBER(AJ79))),"",AJ79-N(N79))</f>
        <v/>
      </c>
      <c r="BG79" s="17" t="str">
        <f aca="false">IF(OR(AK79="",NOT(ISNUMBER(AK79))),"",AK79-N(O79))</f>
        <v/>
      </c>
      <c r="BH79" s="17" t="str">
        <f aca="false">IF(OR(AL79="",NOT(ISNUMBER(AL79))),"",AL79-N(P79))</f>
        <v/>
      </c>
      <c r="BI79" s="17" t="str">
        <f aca="false">IF(OR(AM79="",NOT(ISNUMBER(AM79))),"",AM79-N(Q79))</f>
        <v/>
      </c>
      <c r="BJ79" s="17" t="str">
        <f aca="false">IF(OR(AN79="",NOT(ISNUMBER(AN79))),"",AN79-N(R79))</f>
        <v/>
      </c>
      <c r="BK79" s="17" t="str">
        <f aca="false">IF(OR(AO79="",NOT(ISNUMBER(AO79))),"",AO79-N(S79))</f>
        <v/>
      </c>
      <c r="BL79" s="17" t="str">
        <f aca="false">IF(OR(AP79="",NOT(ISNUMBER(AP79))),"",AP79-N(T79))</f>
        <v/>
      </c>
      <c r="BM79" s="17" t="str">
        <f aca="false">IF(OR(AQ79="",NOT(ISNUMBER(AQ79))),"",AQ79-N(U79))</f>
        <v/>
      </c>
      <c r="BR79" s="20" t="str">
        <f aca="false">IF($A79="","",IF(ISNUMBER($A79),DATE(YEAR($A79),MONTH($A79),1),IFERROR(DATE(2000+VALUE(RIGHT(TRIM($A79),2)),MATCH(UPPER(LEFT(TRIM($A79),3)),{"JAN","FEB","MAR","APR","MAY","JUN","JUL","AUG","SEP","OCT","NOV","DEC"},0),1),"")))</f>
        <v/>
      </c>
      <c r="BS79" s="20" t="str">
        <f aca="false">IF(BR79="","",EOMONTH(BR79,0))</f>
        <v/>
      </c>
    </row>
    <row r="80" customFormat="false" ht="15" hidden="false" customHeight="false" outlineLevel="0" collapsed="false">
      <c r="B80" s="21"/>
      <c r="C80" s="21"/>
      <c r="D80" s="21"/>
      <c r="E80" s="21"/>
      <c r="F80" s="21"/>
      <c r="G80" s="21"/>
      <c r="H80" s="21"/>
      <c r="I80" s="21"/>
      <c r="J80" s="21"/>
      <c r="K80" s="21"/>
      <c r="L80" s="21"/>
      <c r="M80" s="21"/>
      <c r="N80" s="21"/>
      <c r="O80" s="21"/>
      <c r="P80" s="21"/>
      <c r="Q80" s="21"/>
      <c r="R80" s="21"/>
      <c r="S80" s="21"/>
      <c r="T80" s="21"/>
      <c r="U80" s="21"/>
      <c r="X80" s="17" t="str">
        <f aca="false">IF(OR(B$7="",$BR80=""),"",IF('Tally Helper'!$B$3&lt;&gt;TRUE(),"not on Staff",SUMIFS('Tally Helper'!$L$5:$GI$5,'Tally Helper'!$L$3:$GI$3,"&gt;="&amp;$BR80,'Tally Helper'!$L$3:$GI$3,"&lt;="&amp;$BS80)))</f>
        <v/>
      </c>
      <c r="Y80" s="17" t="str">
        <f aca="false">IF(OR(C$7="",$BR80=""),"",IF('Tally Helper'!$B$6&lt;&gt;TRUE(),"not on Staff",SUMIFS('Tally Helper'!$L$8:$GI$8,'Tally Helper'!$L$6:$GI$6,"&gt;="&amp;$BR80,'Tally Helper'!$L$6:$GI$6,"&lt;="&amp;$BS80)))</f>
        <v/>
      </c>
      <c r="Z80" s="17" t="str">
        <f aca="false">IF(OR(D$7="",$BR80=""),"",IF('Tally Helper'!$B$9&lt;&gt;TRUE(),"not on Staff",SUMIFS('Tally Helper'!$L$11:$GI$11,'Tally Helper'!$L$9:$GI$9,"&gt;="&amp;$BR80,'Tally Helper'!$L$9:$GI$9,"&lt;="&amp;$BS80)))</f>
        <v/>
      </c>
      <c r="AA80" s="17" t="str">
        <f aca="false">IF(OR(E$7="",$BR80=""),"",IF('Tally Helper'!$B$12&lt;&gt;TRUE(),"not on Staff",SUMIFS('Tally Helper'!$L$14:$GI$14,'Tally Helper'!$L$12:$GI$12,"&gt;="&amp;$BR80,'Tally Helper'!$L$12:$GI$12,"&lt;="&amp;$BS80)))</f>
        <v/>
      </c>
      <c r="AB80" s="17" t="str">
        <f aca="false">IF(OR(F$7="",$BR80=""),"",IF('Tally Helper'!$B$15&lt;&gt;TRUE(),"not on Staff",SUMIFS('Tally Helper'!$L$17:$GI$17,'Tally Helper'!$L$15:$GI$15,"&gt;="&amp;$BR80,'Tally Helper'!$L$15:$GI$15,"&lt;="&amp;$BS80)))</f>
        <v/>
      </c>
      <c r="AC80" s="17" t="str">
        <f aca="false">IF(OR(G$7="",$BR80=""),"",IF('Tally Helper'!$B$18&lt;&gt;TRUE(),"not on Staff",SUMIFS('Tally Helper'!$L$20:$GI$20,'Tally Helper'!$L$18:$GI$18,"&gt;="&amp;$BR80,'Tally Helper'!$L$18:$GI$18,"&lt;="&amp;$BS80)))</f>
        <v/>
      </c>
      <c r="AD80" s="17" t="str">
        <f aca="false">IF(OR(H$7="",$BR80=""),"",IF('Tally Helper'!$B$21&lt;&gt;TRUE(),"not on Staff",SUMIFS('Tally Helper'!$L$23:$GI$23,'Tally Helper'!$L$21:$GI$21,"&gt;="&amp;$BR80,'Tally Helper'!$L$21:$GI$21,"&lt;="&amp;$BS80)))</f>
        <v/>
      </c>
      <c r="AE80" s="17" t="str">
        <f aca="false">IF(OR(I$7="",$BR80=""),"",IF('Tally Helper'!$B$24&lt;&gt;TRUE(),"not on Staff",SUMIFS('Tally Helper'!$L$26:$GI$26,'Tally Helper'!$L$24:$GI$24,"&gt;="&amp;$BR80,'Tally Helper'!$L$24:$GI$24,"&lt;="&amp;$BS80)))</f>
        <v/>
      </c>
      <c r="AF80" s="17" t="str">
        <f aca="false">IF(OR(J$7="",$BR80=""),"",IF('Tally Helper'!$B$27&lt;&gt;TRUE(),"not on Staff",SUMIFS('Tally Helper'!$L$29:$GI$29,'Tally Helper'!$L$27:$GI$27,"&gt;="&amp;$BR80,'Tally Helper'!$L$27:$GI$27,"&lt;="&amp;$BS80)))</f>
        <v/>
      </c>
      <c r="AG80" s="17" t="str">
        <f aca="false">IF(OR(K$7="",$BR80=""),"",IF('Tally Helper'!$B$30&lt;&gt;TRUE(),"not on Staff",SUMIFS('Tally Helper'!$L$32:$GI$32,'Tally Helper'!$L$30:$GI$30,"&gt;="&amp;$BR80,'Tally Helper'!$L$30:$GI$30,"&lt;="&amp;$BS80)))</f>
        <v/>
      </c>
      <c r="AH80" s="17" t="str">
        <f aca="false">IF(OR(L$7="",$BR80=""),"",IF('Tally Helper'!$B$33&lt;&gt;TRUE(),"not on Staff",SUMIFS('Tally Helper'!$L$35:$GI$35,'Tally Helper'!$L$33:$GI$33,"&gt;="&amp;$BR80,'Tally Helper'!$L$33:$GI$33,"&lt;="&amp;$BS80)))</f>
        <v/>
      </c>
      <c r="AI80" s="17" t="str">
        <f aca="false">IF(OR(M$7="",$BR80=""),"",IF('Tally Helper'!$B$36&lt;&gt;TRUE(),"not on Staff",SUMIFS('Tally Helper'!$L$38:$GI$38,'Tally Helper'!$L$36:$GI$36,"&gt;="&amp;$BR80,'Tally Helper'!$L$36:$GI$36,"&lt;="&amp;$BS80)))</f>
        <v/>
      </c>
      <c r="AJ80" s="17" t="str">
        <f aca="false">IF(OR(N$7="",$BR80=""),"",IF('Tally Helper'!$B$39&lt;&gt;TRUE(),"not on Staff",SUMIFS('Tally Helper'!$L$41:$GI$41,'Tally Helper'!$L$39:$GI$39,"&gt;="&amp;$BR80,'Tally Helper'!$L$39:$GI$39,"&lt;="&amp;$BS80)))</f>
        <v/>
      </c>
      <c r="AK80" s="17" t="str">
        <f aca="false">IF(OR(O$7="",$BR80=""),"",IF('Tally Helper'!$B$42&lt;&gt;TRUE(),"not on Staff",SUMIFS('Tally Helper'!$L$44:$GI$44,'Tally Helper'!$L$42:$GI$42,"&gt;="&amp;$BR80,'Tally Helper'!$L$42:$GI$42,"&lt;="&amp;$BS80)))</f>
        <v/>
      </c>
      <c r="AL80" s="17" t="str">
        <f aca="false">IF(OR(P$7="",$BR80=""),"",IF('Tally Helper'!$B$45&lt;&gt;TRUE(),"not on Staff",SUMIFS('Tally Helper'!$L$47:$GI$47,'Tally Helper'!$L$45:$GI$45,"&gt;="&amp;$BR80,'Tally Helper'!$L$45:$GI$45,"&lt;="&amp;$BS80)))</f>
        <v/>
      </c>
      <c r="AM80" s="17" t="str">
        <f aca="false">IF(OR(Q$7="",$BR80=""),"",IF('Tally Helper'!$B$48&lt;&gt;TRUE(),"not on Staff",SUMIFS('Tally Helper'!$L$50:$GI$50,'Tally Helper'!$L$48:$GI$48,"&gt;="&amp;$BR80,'Tally Helper'!$L$48:$GI$48,"&lt;="&amp;$BS80)))</f>
        <v/>
      </c>
      <c r="AN80" s="17" t="str">
        <f aca="false">IF(OR(R$7="",$BR80=""),"",IF('Tally Helper'!$B$51&lt;&gt;TRUE(),"not on Staff",SUMIFS('Tally Helper'!$L$53:$GI$53,'Tally Helper'!$L$51:$GI$51,"&gt;="&amp;$BR80,'Tally Helper'!$L$51:$GI$51,"&lt;="&amp;$BS80)))</f>
        <v/>
      </c>
      <c r="AO80" s="17" t="str">
        <f aca="false">IF(OR(S$7="",$BR80=""),"",IF('Tally Helper'!$B$54&lt;&gt;TRUE(),"not on Staff",SUMIFS('Tally Helper'!$L$56:$GI$56,'Tally Helper'!$L$54:$GI$54,"&gt;="&amp;$BR80,'Tally Helper'!$L$54:$GI$54,"&lt;="&amp;$BS80)))</f>
        <v/>
      </c>
      <c r="AP80" s="17" t="str">
        <f aca="false">IF(OR(T$7="",$BR80=""),"",IF('Tally Helper'!$B$57&lt;&gt;TRUE(),"not on Staff",SUMIFS('Tally Helper'!$L$59:$GI$59,'Tally Helper'!$L$57:$GI$57,"&gt;="&amp;$BR80,'Tally Helper'!$L$57:$GI$57,"&lt;="&amp;$BS80)))</f>
        <v/>
      </c>
      <c r="AQ80" s="17" t="str">
        <f aca="false">IF(OR(U$7="",$BR80=""),"",IF('Tally Helper'!$B$60&lt;&gt;TRUE(),"not on Staff",SUMIFS('Tally Helper'!$L$62:$GI$62,'Tally Helper'!$L$60:$GI$60,"&gt;="&amp;$BR80,'Tally Helper'!$L$60:$GI$60,"&lt;="&amp;$BS80)))</f>
        <v/>
      </c>
      <c r="AT80" s="17" t="str">
        <f aca="false">IF(OR(X80="",NOT(ISNUMBER(X80))),"",X80-N(B80))</f>
        <v/>
      </c>
      <c r="AU80" s="17" t="str">
        <f aca="false">IF(OR(Y80="",NOT(ISNUMBER(Y80))),"",Y80-N(C80))</f>
        <v/>
      </c>
      <c r="AV80" s="17" t="str">
        <f aca="false">IF(OR(Z80="",NOT(ISNUMBER(Z80))),"",Z80-N(D80))</f>
        <v/>
      </c>
      <c r="AW80" s="17" t="str">
        <f aca="false">IF(OR(AA80="",NOT(ISNUMBER(AA80))),"",AA80-N(E80))</f>
        <v/>
      </c>
      <c r="AX80" s="17" t="str">
        <f aca="false">IF(OR(AB80="",NOT(ISNUMBER(AB80))),"",AB80-N(F80))</f>
        <v/>
      </c>
      <c r="AY80" s="17" t="str">
        <f aca="false">IF(OR(AC80="",NOT(ISNUMBER(AC80))),"",AC80-N(G80))</f>
        <v/>
      </c>
      <c r="AZ80" s="17" t="str">
        <f aca="false">IF(OR(AD80="",NOT(ISNUMBER(AD80))),"",AD80-N(H80))</f>
        <v/>
      </c>
      <c r="BA80" s="17" t="str">
        <f aca="false">IF(OR(AE80="",NOT(ISNUMBER(AE80))),"",AE80-N(I80))</f>
        <v/>
      </c>
      <c r="BB80" s="17" t="str">
        <f aca="false">IF(OR(AF80="",NOT(ISNUMBER(AF80))),"",AF80-N(J80))</f>
        <v/>
      </c>
      <c r="BC80" s="17" t="str">
        <f aca="false">IF(OR(AG80="",NOT(ISNUMBER(AG80))),"",AG80-N(K80))</f>
        <v/>
      </c>
      <c r="BD80" s="17" t="str">
        <f aca="false">IF(OR(AH80="",NOT(ISNUMBER(AH80))),"",AH80-N(L80))</f>
        <v/>
      </c>
      <c r="BE80" s="17" t="str">
        <f aca="false">IF(OR(AI80="",NOT(ISNUMBER(AI80))),"",AI80-N(M80))</f>
        <v/>
      </c>
      <c r="BF80" s="17" t="str">
        <f aca="false">IF(OR(AJ80="",NOT(ISNUMBER(AJ80))),"",AJ80-N(N80))</f>
        <v/>
      </c>
      <c r="BG80" s="17" t="str">
        <f aca="false">IF(OR(AK80="",NOT(ISNUMBER(AK80))),"",AK80-N(O80))</f>
        <v/>
      </c>
      <c r="BH80" s="17" t="str">
        <f aca="false">IF(OR(AL80="",NOT(ISNUMBER(AL80))),"",AL80-N(P80))</f>
        <v/>
      </c>
      <c r="BI80" s="17" t="str">
        <f aca="false">IF(OR(AM80="",NOT(ISNUMBER(AM80))),"",AM80-N(Q80))</f>
        <v/>
      </c>
      <c r="BJ80" s="17" t="str">
        <f aca="false">IF(OR(AN80="",NOT(ISNUMBER(AN80))),"",AN80-N(R80))</f>
        <v/>
      </c>
      <c r="BK80" s="17" t="str">
        <f aca="false">IF(OR(AO80="",NOT(ISNUMBER(AO80))),"",AO80-N(S80))</f>
        <v/>
      </c>
      <c r="BL80" s="17" t="str">
        <f aca="false">IF(OR(AP80="",NOT(ISNUMBER(AP80))),"",AP80-N(T80))</f>
        <v/>
      </c>
      <c r="BM80" s="17" t="str">
        <f aca="false">IF(OR(AQ80="",NOT(ISNUMBER(AQ80))),"",AQ80-N(U80))</f>
        <v/>
      </c>
      <c r="BR80" s="20" t="str">
        <f aca="false">IF($A80="","",IF(ISNUMBER($A80),DATE(YEAR($A80),MONTH($A80),1),IFERROR(DATE(2000+VALUE(RIGHT(TRIM($A80),2)),MATCH(UPPER(LEFT(TRIM($A80),3)),{"JAN","FEB","MAR","APR","MAY","JUN","JUL","AUG","SEP","OCT","NOV","DEC"},0),1),"")))</f>
        <v/>
      </c>
      <c r="BS80" s="20" t="str">
        <f aca="false">IF(BR80="","",EOMONTH(BR80,0))</f>
        <v/>
      </c>
    </row>
    <row r="81" customFormat="false" ht="15" hidden="false" customHeight="false" outlineLevel="0" collapsed="false">
      <c r="B81" s="21"/>
      <c r="C81" s="21"/>
      <c r="D81" s="21"/>
      <c r="E81" s="21"/>
      <c r="F81" s="21"/>
      <c r="G81" s="21"/>
      <c r="H81" s="21"/>
      <c r="I81" s="21"/>
      <c r="J81" s="21"/>
      <c r="K81" s="21"/>
      <c r="L81" s="21"/>
      <c r="M81" s="21"/>
      <c r="N81" s="21"/>
      <c r="O81" s="21"/>
      <c r="P81" s="21"/>
      <c r="Q81" s="21"/>
      <c r="R81" s="21"/>
      <c r="S81" s="21"/>
      <c r="T81" s="21"/>
      <c r="U81" s="21"/>
      <c r="X81" s="17" t="str">
        <f aca="false">IF(OR(B$7="",$BR81=""),"",IF('Tally Helper'!$B$3&lt;&gt;TRUE(),"not on Staff",SUMIFS('Tally Helper'!$L$5:$GI$5,'Tally Helper'!$L$3:$GI$3,"&gt;="&amp;$BR81,'Tally Helper'!$L$3:$GI$3,"&lt;="&amp;$BS81)))</f>
        <v/>
      </c>
      <c r="Y81" s="17" t="str">
        <f aca="false">IF(OR(C$7="",$BR81=""),"",IF('Tally Helper'!$B$6&lt;&gt;TRUE(),"not on Staff",SUMIFS('Tally Helper'!$L$8:$GI$8,'Tally Helper'!$L$6:$GI$6,"&gt;="&amp;$BR81,'Tally Helper'!$L$6:$GI$6,"&lt;="&amp;$BS81)))</f>
        <v/>
      </c>
      <c r="Z81" s="17" t="str">
        <f aca="false">IF(OR(D$7="",$BR81=""),"",IF('Tally Helper'!$B$9&lt;&gt;TRUE(),"not on Staff",SUMIFS('Tally Helper'!$L$11:$GI$11,'Tally Helper'!$L$9:$GI$9,"&gt;="&amp;$BR81,'Tally Helper'!$L$9:$GI$9,"&lt;="&amp;$BS81)))</f>
        <v/>
      </c>
      <c r="AA81" s="17" t="str">
        <f aca="false">IF(OR(E$7="",$BR81=""),"",IF('Tally Helper'!$B$12&lt;&gt;TRUE(),"not on Staff",SUMIFS('Tally Helper'!$L$14:$GI$14,'Tally Helper'!$L$12:$GI$12,"&gt;="&amp;$BR81,'Tally Helper'!$L$12:$GI$12,"&lt;="&amp;$BS81)))</f>
        <v/>
      </c>
      <c r="AB81" s="17" t="str">
        <f aca="false">IF(OR(F$7="",$BR81=""),"",IF('Tally Helper'!$B$15&lt;&gt;TRUE(),"not on Staff",SUMIFS('Tally Helper'!$L$17:$GI$17,'Tally Helper'!$L$15:$GI$15,"&gt;="&amp;$BR81,'Tally Helper'!$L$15:$GI$15,"&lt;="&amp;$BS81)))</f>
        <v/>
      </c>
      <c r="AC81" s="17" t="str">
        <f aca="false">IF(OR(G$7="",$BR81=""),"",IF('Tally Helper'!$B$18&lt;&gt;TRUE(),"not on Staff",SUMIFS('Tally Helper'!$L$20:$GI$20,'Tally Helper'!$L$18:$GI$18,"&gt;="&amp;$BR81,'Tally Helper'!$L$18:$GI$18,"&lt;="&amp;$BS81)))</f>
        <v/>
      </c>
      <c r="AD81" s="17" t="str">
        <f aca="false">IF(OR(H$7="",$BR81=""),"",IF('Tally Helper'!$B$21&lt;&gt;TRUE(),"not on Staff",SUMIFS('Tally Helper'!$L$23:$GI$23,'Tally Helper'!$L$21:$GI$21,"&gt;="&amp;$BR81,'Tally Helper'!$L$21:$GI$21,"&lt;="&amp;$BS81)))</f>
        <v/>
      </c>
      <c r="AE81" s="17" t="str">
        <f aca="false">IF(OR(I$7="",$BR81=""),"",IF('Tally Helper'!$B$24&lt;&gt;TRUE(),"not on Staff",SUMIFS('Tally Helper'!$L$26:$GI$26,'Tally Helper'!$L$24:$GI$24,"&gt;="&amp;$BR81,'Tally Helper'!$L$24:$GI$24,"&lt;="&amp;$BS81)))</f>
        <v/>
      </c>
      <c r="AF81" s="17" t="str">
        <f aca="false">IF(OR(J$7="",$BR81=""),"",IF('Tally Helper'!$B$27&lt;&gt;TRUE(),"not on Staff",SUMIFS('Tally Helper'!$L$29:$GI$29,'Tally Helper'!$L$27:$GI$27,"&gt;="&amp;$BR81,'Tally Helper'!$L$27:$GI$27,"&lt;="&amp;$BS81)))</f>
        <v/>
      </c>
      <c r="AG81" s="17" t="str">
        <f aca="false">IF(OR(K$7="",$BR81=""),"",IF('Tally Helper'!$B$30&lt;&gt;TRUE(),"not on Staff",SUMIFS('Tally Helper'!$L$32:$GI$32,'Tally Helper'!$L$30:$GI$30,"&gt;="&amp;$BR81,'Tally Helper'!$L$30:$GI$30,"&lt;="&amp;$BS81)))</f>
        <v/>
      </c>
      <c r="AH81" s="17" t="str">
        <f aca="false">IF(OR(L$7="",$BR81=""),"",IF('Tally Helper'!$B$33&lt;&gt;TRUE(),"not on Staff",SUMIFS('Tally Helper'!$L$35:$GI$35,'Tally Helper'!$L$33:$GI$33,"&gt;="&amp;$BR81,'Tally Helper'!$L$33:$GI$33,"&lt;="&amp;$BS81)))</f>
        <v/>
      </c>
      <c r="AI81" s="17" t="str">
        <f aca="false">IF(OR(M$7="",$BR81=""),"",IF('Tally Helper'!$B$36&lt;&gt;TRUE(),"not on Staff",SUMIFS('Tally Helper'!$L$38:$GI$38,'Tally Helper'!$L$36:$GI$36,"&gt;="&amp;$BR81,'Tally Helper'!$L$36:$GI$36,"&lt;="&amp;$BS81)))</f>
        <v/>
      </c>
      <c r="AJ81" s="17" t="str">
        <f aca="false">IF(OR(N$7="",$BR81=""),"",IF('Tally Helper'!$B$39&lt;&gt;TRUE(),"not on Staff",SUMIFS('Tally Helper'!$L$41:$GI$41,'Tally Helper'!$L$39:$GI$39,"&gt;="&amp;$BR81,'Tally Helper'!$L$39:$GI$39,"&lt;="&amp;$BS81)))</f>
        <v/>
      </c>
      <c r="AK81" s="17" t="str">
        <f aca="false">IF(OR(O$7="",$BR81=""),"",IF('Tally Helper'!$B$42&lt;&gt;TRUE(),"not on Staff",SUMIFS('Tally Helper'!$L$44:$GI$44,'Tally Helper'!$L$42:$GI$42,"&gt;="&amp;$BR81,'Tally Helper'!$L$42:$GI$42,"&lt;="&amp;$BS81)))</f>
        <v/>
      </c>
      <c r="AL81" s="17" t="str">
        <f aca="false">IF(OR(P$7="",$BR81=""),"",IF('Tally Helper'!$B$45&lt;&gt;TRUE(),"not on Staff",SUMIFS('Tally Helper'!$L$47:$GI$47,'Tally Helper'!$L$45:$GI$45,"&gt;="&amp;$BR81,'Tally Helper'!$L$45:$GI$45,"&lt;="&amp;$BS81)))</f>
        <v/>
      </c>
      <c r="AM81" s="17" t="str">
        <f aca="false">IF(OR(Q$7="",$BR81=""),"",IF('Tally Helper'!$B$48&lt;&gt;TRUE(),"not on Staff",SUMIFS('Tally Helper'!$L$50:$GI$50,'Tally Helper'!$L$48:$GI$48,"&gt;="&amp;$BR81,'Tally Helper'!$L$48:$GI$48,"&lt;="&amp;$BS81)))</f>
        <v/>
      </c>
      <c r="AN81" s="17" t="str">
        <f aca="false">IF(OR(R$7="",$BR81=""),"",IF('Tally Helper'!$B$51&lt;&gt;TRUE(),"not on Staff",SUMIFS('Tally Helper'!$L$53:$GI$53,'Tally Helper'!$L$51:$GI$51,"&gt;="&amp;$BR81,'Tally Helper'!$L$51:$GI$51,"&lt;="&amp;$BS81)))</f>
        <v/>
      </c>
      <c r="AO81" s="17" t="str">
        <f aca="false">IF(OR(S$7="",$BR81=""),"",IF('Tally Helper'!$B$54&lt;&gt;TRUE(),"not on Staff",SUMIFS('Tally Helper'!$L$56:$GI$56,'Tally Helper'!$L$54:$GI$54,"&gt;="&amp;$BR81,'Tally Helper'!$L$54:$GI$54,"&lt;="&amp;$BS81)))</f>
        <v/>
      </c>
      <c r="AP81" s="17" t="str">
        <f aca="false">IF(OR(T$7="",$BR81=""),"",IF('Tally Helper'!$B$57&lt;&gt;TRUE(),"not on Staff",SUMIFS('Tally Helper'!$L$59:$GI$59,'Tally Helper'!$L$57:$GI$57,"&gt;="&amp;$BR81,'Tally Helper'!$L$57:$GI$57,"&lt;="&amp;$BS81)))</f>
        <v/>
      </c>
      <c r="AQ81" s="17" t="str">
        <f aca="false">IF(OR(U$7="",$BR81=""),"",IF('Tally Helper'!$B$60&lt;&gt;TRUE(),"not on Staff",SUMIFS('Tally Helper'!$L$62:$GI$62,'Tally Helper'!$L$60:$GI$60,"&gt;="&amp;$BR81,'Tally Helper'!$L$60:$GI$60,"&lt;="&amp;$BS81)))</f>
        <v/>
      </c>
      <c r="AT81" s="17" t="str">
        <f aca="false">IF(OR(X81="",NOT(ISNUMBER(X81))),"",X81-N(B81))</f>
        <v/>
      </c>
      <c r="AU81" s="17" t="str">
        <f aca="false">IF(OR(Y81="",NOT(ISNUMBER(Y81))),"",Y81-N(C81))</f>
        <v/>
      </c>
      <c r="AV81" s="17" t="str">
        <f aca="false">IF(OR(Z81="",NOT(ISNUMBER(Z81))),"",Z81-N(D81))</f>
        <v/>
      </c>
      <c r="AW81" s="17" t="str">
        <f aca="false">IF(OR(AA81="",NOT(ISNUMBER(AA81))),"",AA81-N(E81))</f>
        <v/>
      </c>
      <c r="AX81" s="17" t="str">
        <f aca="false">IF(OR(AB81="",NOT(ISNUMBER(AB81))),"",AB81-N(F81))</f>
        <v/>
      </c>
      <c r="AY81" s="17" t="str">
        <f aca="false">IF(OR(AC81="",NOT(ISNUMBER(AC81))),"",AC81-N(G81))</f>
        <v/>
      </c>
      <c r="AZ81" s="17" t="str">
        <f aca="false">IF(OR(AD81="",NOT(ISNUMBER(AD81))),"",AD81-N(H81))</f>
        <v/>
      </c>
      <c r="BA81" s="17" t="str">
        <f aca="false">IF(OR(AE81="",NOT(ISNUMBER(AE81))),"",AE81-N(I81))</f>
        <v/>
      </c>
      <c r="BB81" s="17" t="str">
        <f aca="false">IF(OR(AF81="",NOT(ISNUMBER(AF81))),"",AF81-N(J81))</f>
        <v/>
      </c>
      <c r="BC81" s="17" t="str">
        <f aca="false">IF(OR(AG81="",NOT(ISNUMBER(AG81))),"",AG81-N(K81))</f>
        <v/>
      </c>
      <c r="BD81" s="17" t="str">
        <f aca="false">IF(OR(AH81="",NOT(ISNUMBER(AH81))),"",AH81-N(L81))</f>
        <v/>
      </c>
      <c r="BE81" s="17" t="str">
        <f aca="false">IF(OR(AI81="",NOT(ISNUMBER(AI81))),"",AI81-N(M81))</f>
        <v/>
      </c>
      <c r="BF81" s="17" t="str">
        <f aca="false">IF(OR(AJ81="",NOT(ISNUMBER(AJ81))),"",AJ81-N(N81))</f>
        <v/>
      </c>
      <c r="BG81" s="17" t="str">
        <f aca="false">IF(OR(AK81="",NOT(ISNUMBER(AK81))),"",AK81-N(O81))</f>
        <v/>
      </c>
      <c r="BH81" s="17" t="str">
        <f aca="false">IF(OR(AL81="",NOT(ISNUMBER(AL81))),"",AL81-N(P81))</f>
        <v/>
      </c>
      <c r="BI81" s="17" t="str">
        <f aca="false">IF(OR(AM81="",NOT(ISNUMBER(AM81))),"",AM81-N(Q81))</f>
        <v/>
      </c>
      <c r="BJ81" s="17" t="str">
        <f aca="false">IF(OR(AN81="",NOT(ISNUMBER(AN81))),"",AN81-N(R81))</f>
        <v/>
      </c>
      <c r="BK81" s="17" t="str">
        <f aca="false">IF(OR(AO81="",NOT(ISNUMBER(AO81))),"",AO81-N(S81))</f>
        <v/>
      </c>
      <c r="BL81" s="17" t="str">
        <f aca="false">IF(OR(AP81="",NOT(ISNUMBER(AP81))),"",AP81-N(T81))</f>
        <v/>
      </c>
      <c r="BM81" s="17" t="str">
        <f aca="false">IF(OR(AQ81="",NOT(ISNUMBER(AQ81))),"",AQ81-N(U81))</f>
        <v/>
      </c>
      <c r="BR81" s="20" t="str">
        <f aca="false">IF($A81="","",IF(ISNUMBER($A81),DATE(YEAR($A81),MONTH($A81),1),IFERROR(DATE(2000+VALUE(RIGHT(TRIM($A81),2)),MATCH(UPPER(LEFT(TRIM($A81),3)),{"JAN","FEB","MAR","APR","MAY","JUN","JUL","AUG","SEP","OCT","NOV","DEC"},0),1),"")))</f>
        <v/>
      </c>
      <c r="BS81" s="20" t="str">
        <f aca="false">IF(BR81="","",EOMONTH(BR81,0))</f>
        <v/>
      </c>
    </row>
    <row r="82" customFormat="false" ht="15" hidden="false" customHeight="false" outlineLevel="0" collapsed="false">
      <c r="B82" s="21"/>
      <c r="C82" s="21"/>
      <c r="D82" s="21"/>
      <c r="E82" s="21"/>
      <c r="F82" s="21"/>
      <c r="G82" s="21"/>
      <c r="H82" s="21"/>
      <c r="I82" s="21"/>
      <c r="J82" s="21"/>
      <c r="K82" s="21"/>
      <c r="L82" s="21"/>
      <c r="M82" s="21"/>
      <c r="N82" s="21"/>
      <c r="O82" s="21"/>
      <c r="P82" s="21"/>
      <c r="Q82" s="21"/>
      <c r="R82" s="21"/>
      <c r="S82" s="21"/>
      <c r="T82" s="21"/>
      <c r="U82" s="21"/>
      <c r="X82" s="17" t="str">
        <f aca="false">IF(OR(B$7="",$BR82=""),"",IF('Tally Helper'!$B$3&lt;&gt;TRUE(),"not on Staff",SUMIFS('Tally Helper'!$L$5:$GI$5,'Tally Helper'!$L$3:$GI$3,"&gt;="&amp;$BR82,'Tally Helper'!$L$3:$GI$3,"&lt;="&amp;$BS82)))</f>
        <v/>
      </c>
      <c r="Y82" s="17" t="str">
        <f aca="false">IF(OR(C$7="",$BR82=""),"",IF('Tally Helper'!$B$6&lt;&gt;TRUE(),"not on Staff",SUMIFS('Tally Helper'!$L$8:$GI$8,'Tally Helper'!$L$6:$GI$6,"&gt;="&amp;$BR82,'Tally Helper'!$L$6:$GI$6,"&lt;="&amp;$BS82)))</f>
        <v/>
      </c>
      <c r="Z82" s="17" t="str">
        <f aca="false">IF(OR(D$7="",$BR82=""),"",IF('Tally Helper'!$B$9&lt;&gt;TRUE(),"not on Staff",SUMIFS('Tally Helper'!$L$11:$GI$11,'Tally Helper'!$L$9:$GI$9,"&gt;="&amp;$BR82,'Tally Helper'!$L$9:$GI$9,"&lt;="&amp;$BS82)))</f>
        <v/>
      </c>
      <c r="AA82" s="17" t="str">
        <f aca="false">IF(OR(E$7="",$BR82=""),"",IF('Tally Helper'!$B$12&lt;&gt;TRUE(),"not on Staff",SUMIFS('Tally Helper'!$L$14:$GI$14,'Tally Helper'!$L$12:$GI$12,"&gt;="&amp;$BR82,'Tally Helper'!$L$12:$GI$12,"&lt;="&amp;$BS82)))</f>
        <v/>
      </c>
      <c r="AB82" s="17" t="str">
        <f aca="false">IF(OR(F$7="",$BR82=""),"",IF('Tally Helper'!$B$15&lt;&gt;TRUE(),"not on Staff",SUMIFS('Tally Helper'!$L$17:$GI$17,'Tally Helper'!$L$15:$GI$15,"&gt;="&amp;$BR82,'Tally Helper'!$L$15:$GI$15,"&lt;="&amp;$BS82)))</f>
        <v/>
      </c>
      <c r="AC82" s="17" t="str">
        <f aca="false">IF(OR(G$7="",$BR82=""),"",IF('Tally Helper'!$B$18&lt;&gt;TRUE(),"not on Staff",SUMIFS('Tally Helper'!$L$20:$GI$20,'Tally Helper'!$L$18:$GI$18,"&gt;="&amp;$BR82,'Tally Helper'!$L$18:$GI$18,"&lt;="&amp;$BS82)))</f>
        <v/>
      </c>
      <c r="AD82" s="17" t="str">
        <f aca="false">IF(OR(H$7="",$BR82=""),"",IF('Tally Helper'!$B$21&lt;&gt;TRUE(),"not on Staff",SUMIFS('Tally Helper'!$L$23:$GI$23,'Tally Helper'!$L$21:$GI$21,"&gt;="&amp;$BR82,'Tally Helper'!$L$21:$GI$21,"&lt;="&amp;$BS82)))</f>
        <v/>
      </c>
      <c r="AE82" s="17" t="str">
        <f aca="false">IF(OR(I$7="",$BR82=""),"",IF('Tally Helper'!$B$24&lt;&gt;TRUE(),"not on Staff",SUMIFS('Tally Helper'!$L$26:$GI$26,'Tally Helper'!$L$24:$GI$24,"&gt;="&amp;$BR82,'Tally Helper'!$L$24:$GI$24,"&lt;="&amp;$BS82)))</f>
        <v/>
      </c>
      <c r="AF82" s="17" t="str">
        <f aca="false">IF(OR(J$7="",$BR82=""),"",IF('Tally Helper'!$B$27&lt;&gt;TRUE(),"not on Staff",SUMIFS('Tally Helper'!$L$29:$GI$29,'Tally Helper'!$L$27:$GI$27,"&gt;="&amp;$BR82,'Tally Helper'!$L$27:$GI$27,"&lt;="&amp;$BS82)))</f>
        <v/>
      </c>
      <c r="AG82" s="17" t="str">
        <f aca="false">IF(OR(K$7="",$BR82=""),"",IF('Tally Helper'!$B$30&lt;&gt;TRUE(),"not on Staff",SUMIFS('Tally Helper'!$L$32:$GI$32,'Tally Helper'!$L$30:$GI$30,"&gt;="&amp;$BR82,'Tally Helper'!$L$30:$GI$30,"&lt;="&amp;$BS82)))</f>
        <v/>
      </c>
      <c r="AH82" s="17" t="str">
        <f aca="false">IF(OR(L$7="",$BR82=""),"",IF('Tally Helper'!$B$33&lt;&gt;TRUE(),"not on Staff",SUMIFS('Tally Helper'!$L$35:$GI$35,'Tally Helper'!$L$33:$GI$33,"&gt;="&amp;$BR82,'Tally Helper'!$L$33:$GI$33,"&lt;="&amp;$BS82)))</f>
        <v/>
      </c>
      <c r="AI82" s="17" t="str">
        <f aca="false">IF(OR(M$7="",$BR82=""),"",IF('Tally Helper'!$B$36&lt;&gt;TRUE(),"not on Staff",SUMIFS('Tally Helper'!$L$38:$GI$38,'Tally Helper'!$L$36:$GI$36,"&gt;="&amp;$BR82,'Tally Helper'!$L$36:$GI$36,"&lt;="&amp;$BS82)))</f>
        <v/>
      </c>
      <c r="AJ82" s="17" t="str">
        <f aca="false">IF(OR(N$7="",$BR82=""),"",IF('Tally Helper'!$B$39&lt;&gt;TRUE(),"not on Staff",SUMIFS('Tally Helper'!$L$41:$GI$41,'Tally Helper'!$L$39:$GI$39,"&gt;="&amp;$BR82,'Tally Helper'!$L$39:$GI$39,"&lt;="&amp;$BS82)))</f>
        <v/>
      </c>
      <c r="AK82" s="17" t="str">
        <f aca="false">IF(OR(O$7="",$BR82=""),"",IF('Tally Helper'!$B$42&lt;&gt;TRUE(),"not on Staff",SUMIFS('Tally Helper'!$L$44:$GI$44,'Tally Helper'!$L$42:$GI$42,"&gt;="&amp;$BR82,'Tally Helper'!$L$42:$GI$42,"&lt;="&amp;$BS82)))</f>
        <v/>
      </c>
      <c r="AL82" s="17" t="str">
        <f aca="false">IF(OR(P$7="",$BR82=""),"",IF('Tally Helper'!$B$45&lt;&gt;TRUE(),"not on Staff",SUMIFS('Tally Helper'!$L$47:$GI$47,'Tally Helper'!$L$45:$GI$45,"&gt;="&amp;$BR82,'Tally Helper'!$L$45:$GI$45,"&lt;="&amp;$BS82)))</f>
        <v/>
      </c>
      <c r="AM82" s="17" t="str">
        <f aca="false">IF(OR(Q$7="",$BR82=""),"",IF('Tally Helper'!$B$48&lt;&gt;TRUE(),"not on Staff",SUMIFS('Tally Helper'!$L$50:$GI$50,'Tally Helper'!$L$48:$GI$48,"&gt;="&amp;$BR82,'Tally Helper'!$L$48:$GI$48,"&lt;="&amp;$BS82)))</f>
        <v/>
      </c>
      <c r="AN82" s="17" t="str">
        <f aca="false">IF(OR(R$7="",$BR82=""),"",IF('Tally Helper'!$B$51&lt;&gt;TRUE(),"not on Staff",SUMIFS('Tally Helper'!$L$53:$GI$53,'Tally Helper'!$L$51:$GI$51,"&gt;="&amp;$BR82,'Tally Helper'!$L$51:$GI$51,"&lt;="&amp;$BS82)))</f>
        <v/>
      </c>
      <c r="AO82" s="17" t="str">
        <f aca="false">IF(OR(S$7="",$BR82=""),"",IF('Tally Helper'!$B$54&lt;&gt;TRUE(),"not on Staff",SUMIFS('Tally Helper'!$L$56:$GI$56,'Tally Helper'!$L$54:$GI$54,"&gt;="&amp;$BR82,'Tally Helper'!$L$54:$GI$54,"&lt;="&amp;$BS82)))</f>
        <v/>
      </c>
      <c r="AP82" s="17" t="str">
        <f aca="false">IF(OR(T$7="",$BR82=""),"",IF('Tally Helper'!$B$57&lt;&gt;TRUE(),"not on Staff",SUMIFS('Tally Helper'!$L$59:$GI$59,'Tally Helper'!$L$57:$GI$57,"&gt;="&amp;$BR82,'Tally Helper'!$L$57:$GI$57,"&lt;="&amp;$BS82)))</f>
        <v/>
      </c>
      <c r="AQ82" s="17" t="str">
        <f aca="false">IF(OR(U$7="",$BR82=""),"",IF('Tally Helper'!$B$60&lt;&gt;TRUE(),"not on Staff",SUMIFS('Tally Helper'!$L$62:$GI$62,'Tally Helper'!$L$60:$GI$60,"&gt;="&amp;$BR82,'Tally Helper'!$L$60:$GI$60,"&lt;="&amp;$BS82)))</f>
        <v/>
      </c>
      <c r="AT82" s="17" t="str">
        <f aca="false">IF(OR(X82="",NOT(ISNUMBER(X82))),"",X82-N(B82))</f>
        <v/>
      </c>
      <c r="AU82" s="17" t="str">
        <f aca="false">IF(OR(Y82="",NOT(ISNUMBER(Y82))),"",Y82-N(C82))</f>
        <v/>
      </c>
      <c r="AV82" s="17" t="str">
        <f aca="false">IF(OR(Z82="",NOT(ISNUMBER(Z82))),"",Z82-N(D82))</f>
        <v/>
      </c>
      <c r="AW82" s="17" t="str">
        <f aca="false">IF(OR(AA82="",NOT(ISNUMBER(AA82))),"",AA82-N(E82))</f>
        <v/>
      </c>
      <c r="AX82" s="17" t="str">
        <f aca="false">IF(OR(AB82="",NOT(ISNUMBER(AB82))),"",AB82-N(F82))</f>
        <v/>
      </c>
      <c r="AY82" s="17" t="str">
        <f aca="false">IF(OR(AC82="",NOT(ISNUMBER(AC82))),"",AC82-N(G82))</f>
        <v/>
      </c>
      <c r="AZ82" s="17" t="str">
        <f aca="false">IF(OR(AD82="",NOT(ISNUMBER(AD82))),"",AD82-N(H82))</f>
        <v/>
      </c>
      <c r="BA82" s="17" t="str">
        <f aca="false">IF(OR(AE82="",NOT(ISNUMBER(AE82))),"",AE82-N(I82))</f>
        <v/>
      </c>
      <c r="BB82" s="17" t="str">
        <f aca="false">IF(OR(AF82="",NOT(ISNUMBER(AF82))),"",AF82-N(J82))</f>
        <v/>
      </c>
      <c r="BC82" s="17" t="str">
        <f aca="false">IF(OR(AG82="",NOT(ISNUMBER(AG82))),"",AG82-N(K82))</f>
        <v/>
      </c>
      <c r="BD82" s="17" t="str">
        <f aca="false">IF(OR(AH82="",NOT(ISNUMBER(AH82))),"",AH82-N(L82))</f>
        <v/>
      </c>
      <c r="BE82" s="17" t="str">
        <f aca="false">IF(OR(AI82="",NOT(ISNUMBER(AI82))),"",AI82-N(M82))</f>
        <v/>
      </c>
      <c r="BF82" s="17" t="str">
        <f aca="false">IF(OR(AJ82="",NOT(ISNUMBER(AJ82))),"",AJ82-N(N82))</f>
        <v/>
      </c>
      <c r="BG82" s="17" t="str">
        <f aca="false">IF(OR(AK82="",NOT(ISNUMBER(AK82))),"",AK82-N(O82))</f>
        <v/>
      </c>
      <c r="BH82" s="17" t="str">
        <f aca="false">IF(OR(AL82="",NOT(ISNUMBER(AL82))),"",AL82-N(P82))</f>
        <v/>
      </c>
      <c r="BI82" s="17" t="str">
        <f aca="false">IF(OR(AM82="",NOT(ISNUMBER(AM82))),"",AM82-N(Q82))</f>
        <v/>
      </c>
      <c r="BJ82" s="17" t="str">
        <f aca="false">IF(OR(AN82="",NOT(ISNUMBER(AN82))),"",AN82-N(R82))</f>
        <v/>
      </c>
      <c r="BK82" s="17" t="str">
        <f aca="false">IF(OR(AO82="",NOT(ISNUMBER(AO82))),"",AO82-N(S82))</f>
        <v/>
      </c>
      <c r="BL82" s="17" t="str">
        <f aca="false">IF(OR(AP82="",NOT(ISNUMBER(AP82))),"",AP82-N(T82))</f>
        <v/>
      </c>
      <c r="BM82" s="17" t="str">
        <f aca="false">IF(OR(AQ82="",NOT(ISNUMBER(AQ82))),"",AQ82-N(U82))</f>
        <v/>
      </c>
      <c r="BR82" s="20" t="str">
        <f aca="false">IF($A82="","",IF(ISNUMBER($A82),DATE(YEAR($A82),MONTH($A82),1),IFERROR(DATE(2000+VALUE(RIGHT(TRIM($A82),2)),MATCH(UPPER(LEFT(TRIM($A82),3)),{"JAN","FEB","MAR","APR","MAY","JUN","JUL","AUG","SEP","OCT","NOV","DEC"},0),1),"")))</f>
        <v/>
      </c>
      <c r="BS82" s="20" t="str">
        <f aca="false">IF(BR82="","",EOMONTH(BR82,0))</f>
        <v/>
      </c>
    </row>
    <row r="83" customFormat="false" ht="15" hidden="false" customHeight="false" outlineLevel="0" collapsed="false">
      <c r="B83" s="21"/>
      <c r="C83" s="21"/>
      <c r="D83" s="21"/>
      <c r="E83" s="21"/>
      <c r="F83" s="21"/>
      <c r="G83" s="21"/>
      <c r="H83" s="21"/>
      <c r="I83" s="21"/>
      <c r="J83" s="21"/>
      <c r="K83" s="21"/>
      <c r="L83" s="21"/>
      <c r="M83" s="21"/>
      <c r="N83" s="21"/>
      <c r="O83" s="21"/>
      <c r="P83" s="21"/>
      <c r="Q83" s="21"/>
      <c r="R83" s="21"/>
      <c r="S83" s="21"/>
      <c r="T83" s="21"/>
      <c r="U83" s="21"/>
      <c r="X83" s="17" t="str">
        <f aca="false">IF(OR(B$7="",$BR83=""),"",IF('Tally Helper'!$B$3&lt;&gt;TRUE(),"not on Staff",SUMIFS('Tally Helper'!$L$5:$GI$5,'Tally Helper'!$L$3:$GI$3,"&gt;="&amp;$BR83,'Tally Helper'!$L$3:$GI$3,"&lt;="&amp;$BS83)))</f>
        <v/>
      </c>
      <c r="Y83" s="17" t="str">
        <f aca="false">IF(OR(C$7="",$BR83=""),"",IF('Tally Helper'!$B$6&lt;&gt;TRUE(),"not on Staff",SUMIFS('Tally Helper'!$L$8:$GI$8,'Tally Helper'!$L$6:$GI$6,"&gt;="&amp;$BR83,'Tally Helper'!$L$6:$GI$6,"&lt;="&amp;$BS83)))</f>
        <v/>
      </c>
      <c r="Z83" s="17" t="str">
        <f aca="false">IF(OR(D$7="",$BR83=""),"",IF('Tally Helper'!$B$9&lt;&gt;TRUE(),"not on Staff",SUMIFS('Tally Helper'!$L$11:$GI$11,'Tally Helper'!$L$9:$GI$9,"&gt;="&amp;$BR83,'Tally Helper'!$L$9:$GI$9,"&lt;="&amp;$BS83)))</f>
        <v/>
      </c>
      <c r="AA83" s="17" t="str">
        <f aca="false">IF(OR(E$7="",$BR83=""),"",IF('Tally Helper'!$B$12&lt;&gt;TRUE(),"not on Staff",SUMIFS('Tally Helper'!$L$14:$GI$14,'Tally Helper'!$L$12:$GI$12,"&gt;="&amp;$BR83,'Tally Helper'!$L$12:$GI$12,"&lt;="&amp;$BS83)))</f>
        <v/>
      </c>
      <c r="AB83" s="17" t="str">
        <f aca="false">IF(OR(F$7="",$BR83=""),"",IF('Tally Helper'!$B$15&lt;&gt;TRUE(),"not on Staff",SUMIFS('Tally Helper'!$L$17:$GI$17,'Tally Helper'!$L$15:$GI$15,"&gt;="&amp;$BR83,'Tally Helper'!$L$15:$GI$15,"&lt;="&amp;$BS83)))</f>
        <v/>
      </c>
      <c r="AC83" s="17" t="str">
        <f aca="false">IF(OR(G$7="",$BR83=""),"",IF('Tally Helper'!$B$18&lt;&gt;TRUE(),"not on Staff",SUMIFS('Tally Helper'!$L$20:$GI$20,'Tally Helper'!$L$18:$GI$18,"&gt;="&amp;$BR83,'Tally Helper'!$L$18:$GI$18,"&lt;="&amp;$BS83)))</f>
        <v/>
      </c>
      <c r="AD83" s="17" t="str">
        <f aca="false">IF(OR(H$7="",$BR83=""),"",IF('Tally Helper'!$B$21&lt;&gt;TRUE(),"not on Staff",SUMIFS('Tally Helper'!$L$23:$GI$23,'Tally Helper'!$L$21:$GI$21,"&gt;="&amp;$BR83,'Tally Helper'!$L$21:$GI$21,"&lt;="&amp;$BS83)))</f>
        <v/>
      </c>
      <c r="AE83" s="17" t="str">
        <f aca="false">IF(OR(I$7="",$BR83=""),"",IF('Tally Helper'!$B$24&lt;&gt;TRUE(),"not on Staff",SUMIFS('Tally Helper'!$L$26:$GI$26,'Tally Helper'!$L$24:$GI$24,"&gt;="&amp;$BR83,'Tally Helper'!$L$24:$GI$24,"&lt;="&amp;$BS83)))</f>
        <v/>
      </c>
      <c r="AF83" s="17" t="str">
        <f aca="false">IF(OR(J$7="",$BR83=""),"",IF('Tally Helper'!$B$27&lt;&gt;TRUE(),"not on Staff",SUMIFS('Tally Helper'!$L$29:$GI$29,'Tally Helper'!$L$27:$GI$27,"&gt;="&amp;$BR83,'Tally Helper'!$L$27:$GI$27,"&lt;="&amp;$BS83)))</f>
        <v/>
      </c>
      <c r="AG83" s="17" t="str">
        <f aca="false">IF(OR(K$7="",$BR83=""),"",IF('Tally Helper'!$B$30&lt;&gt;TRUE(),"not on Staff",SUMIFS('Tally Helper'!$L$32:$GI$32,'Tally Helper'!$L$30:$GI$30,"&gt;="&amp;$BR83,'Tally Helper'!$L$30:$GI$30,"&lt;="&amp;$BS83)))</f>
        <v/>
      </c>
      <c r="AH83" s="17" t="str">
        <f aca="false">IF(OR(L$7="",$BR83=""),"",IF('Tally Helper'!$B$33&lt;&gt;TRUE(),"not on Staff",SUMIFS('Tally Helper'!$L$35:$GI$35,'Tally Helper'!$L$33:$GI$33,"&gt;="&amp;$BR83,'Tally Helper'!$L$33:$GI$33,"&lt;="&amp;$BS83)))</f>
        <v/>
      </c>
      <c r="AI83" s="17" t="str">
        <f aca="false">IF(OR(M$7="",$BR83=""),"",IF('Tally Helper'!$B$36&lt;&gt;TRUE(),"not on Staff",SUMIFS('Tally Helper'!$L$38:$GI$38,'Tally Helper'!$L$36:$GI$36,"&gt;="&amp;$BR83,'Tally Helper'!$L$36:$GI$36,"&lt;="&amp;$BS83)))</f>
        <v/>
      </c>
      <c r="AJ83" s="17" t="str">
        <f aca="false">IF(OR(N$7="",$BR83=""),"",IF('Tally Helper'!$B$39&lt;&gt;TRUE(),"not on Staff",SUMIFS('Tally Helper'!$L$41:$GI$41,'Tally Helper'!$L$39:$GI$39,"&gt;="&amp;$BR83,'Tally Helper'!$L$39:$GI$39,"&lt;="&amp;$BS83)))</f>
        <v/>
      </c>
      <c r="AK83" s="17" t="str">
        <f aca="false">IF(OR(O$7="",$BR83=""),"",IF('Tally Helper'!$B$42&lt;&gt;TRUE(),"not on Staff",SUMIFS('Tally Helper'!$L$44:$GI$44,'Tally Helper'!$L$42:$GI$42,"&gt;="&amp;$BR83,'Tally Helper'!$L$42:$GI$42,"&lt;="&amp;$BS83)))</f>
        <v/>
      </c>
      <c r="AL83" s="17" t="str">
        <f aca="false">IF(OR(P$7="",$BR83=""),"",IF('Tally Helper'!$B$45&lt;&gt;TRUE(),"not on Staff",SUMIFS('Tally Helper'!$L$47:$GI$47,'Tally Helper'!$L$45:$GI$45,"&gt;="&amp;$BR83,'Tally Helper'!$L$45:$GI$45,"&lt;="&amp;$BS83)))</f>
        <v/>
      </c>
      <c r="AM83" s="17" t="str">
        <f aca="false">IF(OR(Q$7="",$BR83=""),"",IF('Tally Helper'!$B$48&lt;&gt;TRUE(),"not on Staff",SUMIFS('Tally Helper'!$L$50:$GI$50,'Tally Helper'!$L$48:$GI$48,"&gt;="&amp;$BR83,'Tally Helper'!$L$48:$GI$48,"&lt;="&amp;$BS83)))</f>
        <v/>
      </c>
      <c r="AN83" s="17" t="str">
        <f aca="false">IF(OR(R$7="",$BR83=""),"",IF('Tally Helper'!$B$51&lt;&gt;TRUE(),"not on Staff",SUMIFS('Tally Helper'!$L$53:$GI$53,'Tally Helper'!$L$51:$GI$51,"&gt;="&amp;$BR83,'Tally Helper'!$L$51:$GI$51,"&lt;="&amp;$BS83)))</f>
        <v/>
      </c>
      <c r="AO83" s="17" t="str">
        <f aca="false">IF(OR(S$7="",$BR83=""),"",IF('Tally Helper'!$B$54&lt;&gt;TRUE(),"not on Staff",SUMIFS('Tally Helper'!$L$56:$GI$56,'Tally Helper'!$L$54:$GI$54,"&gt;="&amp;$BR83,'Tally Helper'!$L$54:$GI$54,"&lt;="&amp;$BS83)))</f>
        <v/>
      </c>
      <c r="AP83" s="17" t="str">
        <f aca="false">IF(OR(T$7="",$BR83=""),"",IF('Tally Helper'!$B$57&lt;&gt;TRUE(),"not on Staff",SUMIFS('Tally Helper'!$L$59:$GI$59,'Tally Helper'!$L$57:$GI$57,"&gt;="&amp;$BR83,'Tally Helper'!$L$57:$GI$57,"&lt;="&amp;$BS83)))</f>
        <v/>
      </c>
      <c r="AQ83" s="17" t="str">
        <f aca="false">IF(OR(U$7="",$BR83=""),"",IF('Tally Helper'!$B$60&lt;&gt;TRUE(),"not on Staff",SUMIFS('Tally Helper'!$L$62:$GI$62,'Tally Helper'!$L$60:$GI$60,"&gt;="&amp;$BR83,'Tally Helper'!$L$60:$GI$60,"&lt;="&amp;$BS83)))</f>
        <v/>
      </c>
      <c r="AT83" s="17" t="str">
        <f aca="false">IF(OR(X83="",NOT(ISNUMBER(X83))),"",X83-N(B83))</f>
        <v/>
      </c>
      <c r="AU83" s="17" t="str">
        <f aca="false">IF(OR(Y83="",NOT(ISNUMBER(Y83))),"",Y83-N(C83))</f>
        <v/>
      </c>
      <c r="AV83" s="17" t="str">
        <f aca="false">IF(OR(Z83="",NOT(ISNUMBER(Z83))),"",Z83-N(D83))</f>
        <v/>
      </c>
      <c r="AW83" s="17" t="str">
        <f aca="false">IF(OR(AA83="",NOT(ISNUMBER(AA83))),"",AA83-N(E83))</f>
        <v/>
      </c>
      <c r="AX83" s="17" t="str">
        <f aca="false">IF(OR(AB83="",NOT(ISNUMBER(AB83))),"",AB83-N(F83))</f>
        <v/>
      </c>
      <c r="AY83" s="17" t="str">
        <f aca="false">IF(OR(AC83="",NOT(ISNUMBER(AC83))),"",AC83-N(G83))</f>
        <v/>
      </c>
      <c r="AZ83" s="17" t="str">
        <f aca="false">IF(OR(AD83="",NOT(ISNUMBER(AD83))),"",AD83-N(H83))</f>
        <v/>
      </c>
      <c r="BA83" s="17" t="str">
        <f aca="false">IF(OR(AE83="",NOT(ISNUMBER(AE83))),"",AE83-N(I83))</f>
        <v/>
      </c>
      <c r="BB83" s="17" t="str">
        <f aca="false">IF(OR(AF83="",NOT(ISNUMBER(AF83))),"",AF83-N(J83))</f>
        <v/>
      </c>
      <c r="BC83" s="17" t="str">
        <f aca="false">IF(OR(AG83="",NOT(ISNUMBER(AG83))),"",AG83-N(K83))</f>
        <v/>
      </c>
      <c r="BD83" s="17" t="str">
        <f aca="false">IF(OR(AH83="",NOT(ISNUMBER(AH83))),"",AH83-N(L83))</f>
        <v/>
      </c>
      <c r="BE83" s="17" t="str">
        <f aca="false">IF(OR(AI83="",NOT(ISNUMBER(AI83))),"",AI83-N(M83))</f>
        <v/>
      </c>
      <c r="BF83" s="17" t="str">
        <f aca="false">IF(OR(AJ83="",NOT(ISNUMBER(AJ83))),"",AJ83-N(N83))</f>
        <v/>
      </c>
      <c r="BG83" s="17" t="str">
        <f aca="false">IF(OR(AK83="",NOT(ISNUMBER(AK83))),"",AK83-N(O83))</f>
        <v/>
      </c>
      <c r="BH83" s="17" t="str">
        <f aca="false">IF(OR(AL83="",NOT(ISNUMBER(AL83))),"",AL83-N(P83))</f>
        <v/>
      </c>
      <c r="BI83" s="17" t="str">
        <f aca="false">IF(OR(AM83="",NOT(ISNUMBER(AM83))),"",AM83-N(Q83))</f>
        <v/>
      </c>
      <c r="BJ83" s="17" t="str">
        <f aca="false">IF(OR(AN83="",NOT(ISNUMBER(AN83))),"",AN83-N(R83))</f>
        <v/>
      </c>
      <c r="BK83" s="17" t="str">
        <f aca="false">IF(OR(AO83="",NOT(ISNUMBER(AO83))),"",AO83-N(S83))</f>
        <v/>
      </c>
      <c r="BL83" s="17" t="str">
        <f aca="false">IF(OR(AP83="",NOT(ISNUMBER(AP83))),"",AP83-N(T83))</f>
        <v/>
      </c>
      <c r="BM83" s="17" t="str">
        <f aca="false">IF(OR(AQ83="",NOT(ISNUMBER(AQ83))),"",AQ83-N(U83))</f>
        <v/>
      </c>
      <c r="BR83" s="20" t="str">
        <f aca="false">IF($A83="","",IF(ISNUMBER($A83),DATE(YEAR($A83),MONTH($A83),1),IFERROR(DATE(2000+VALUE(RIGHT(TRIM($A83),2)),MATCH(UPPER(LEFT(TRIM($A83),3)),{"JAN","FEB","MAR","APR","MAY","JUN","JUL","AUG","SEP","OCT","NOV","DEC"},0),1),"")))</f>
        <v/>
      </c>
      <c r="BS83" s="20" t="str">
        <f aca="false">IF(BR83="","",EOMONTH(BR83,0))</f>
        <v/>
      </c>
    </row>
    <row r="84" customFormat="false" ht="15" hidden="false" customHeight="false" outlineLevel="0" collapsed="false">
      <c r="B84" s="21"/>
      <c r="C84" s="21"/>
      <c r="D84" s="21"/>
      <c r="E84" s="21"/>
      <c r="F84" s="21"/>
      <c r="G84" s="21"/>
      <c r="H84" s="21"/>
      <c r="I84" s="21"/>
      <c r="J84" s="21"/>
      <c r="K84" s="21"/>
      <c r="L84" s="21"/>
      <c r="M84" s="21"/>
      <c r="N84" s="21"/>
      <c r="O84" s="21"/>
      <c r="P84" s="21"/>
      <c r="Q84" s="21"/>
      <c r="R84" s="21"/>
      <c r="S84" s="21"/>
      <c r="T84" s="21"/>
      <c r="U84" s="21"/>
      <c r="X84" s="17" t="str">
        <f aca="false">IF(OR(B$7="",$BR84=""),"",IF('Tally Helper'!$B$3&lt;&gt;TRUE(),"not on Staff",SUMIFS('Tally Helper'!$L$5:$GI$5,'Tally Helper'!$L$3:$GI$3,"&gt;="&amp;$BR84,'Tally Helper'!$L$3:$GI$3,"&lt;="&amp;$BS84)))</f>
        <v/>
      </c>
      <c r="Y84" s="17" t="str">
        <f aca="false">IF(OR(C$7="",$BR84=""),"",IF('Tally Helper'!$B$6&lt;&gt;TRUE(),"not on Staff",SUMIFS('Tally Helper'!$L$8:$GI$8,'Tally Helper'!$L$6:$GI$6,"&gt;="&amp;$BR84,'Tally Helper'!$L$6:$GI$6,"&lt;="&amp;$BS84)))</f>
        <v/>
      </c>
      <c r="Z84" s="17" t="str">
        <f aca="false">IF(OR(D$7="",$BR84=""),"",IF('Tally Helper'!$B$9&lt;&gt;TRUE(),"not on Staff",SUMIFS('Tally Helper'!$L$11:$GI$11,'Tally Helper'!$L$9:$GI$9,"&gt;="&amp;$BR84,'Tally Helper'!$L$9:$GI$9,"&lt;="&amp;$BS84)))</f>
        <v/>
      </c>
      <c r="AA84" s="17" t="str">
        <f aca="false">IF(OR(E$7="",$BR84=""),"",IF('Tally Helper'!$B$12&lt;&gt;TRUE(),"not on Staff",SUMIFS('Tally Helper'!$L$14:$GI$14,'Tally Helper'!$L$12:$GI$12,"&gt;="&amp;$BR84,'Tally Helper'!$L$12:$GI$12,"&lt;="&amp;$BS84)))</f>
        <v/>
      </c>
      <c r="AB84" s="17" t="str">
        <f aca="false">IF(OR(F$7="",$BR84=""),"",IF('Tally Helper'!$B$15&lt;&gt;TRUE(),"not on Staff",SUMIFS('Tally Helper'!$L$17:$GI$17,'Tally Helper'!$L$15:$GI$15,"&gt;="&amp;$BR84,'Tally Helper'!$L$15:$GI$15,"&lt;="&amp;$BS84)))</f>
        <v/>
      </c>
      <c r="AC84" s="17" t="str">
        <f aca="false">IF(OR(G$7="",$BR84=""),"",IF('Tally Helper'!$B$18&lt;&gt;TRUE(),"not on Staff",SUMIFS('Tally Helper'!$L$20:$GI$20,'Tally Helper'!$L$18:$GI$18,"&gt;="&amp;$BR84,'Tally Helper'!$L$18:$GI$18,"&lt;="&amp;$BS84)))</f>
        <v/>
      </c>
      <c r="AD84" s="17" t="str">
        <f aca="false">IF(OR(H$7="",$BR84=""),"",IF('Tally Helper'!$B$21&lt;&gt;TRUE(),"not on Staff",SUMIFS('Tally Helper'!$L$23:$GI$23,'Tally Helper'!$L$21:$GI$21,"&gt;="&amp;$BR84,'Tally Helper'!$L$21:$GI$21,"&lt;="&amp;$BS84)))</f>
        <v/>
      </c>
      <c r="AE84" s="17" t="str">
        <f aca="false">IF(OR(I$7="",$BR84=""),"",IF('Tally Helper'!$B$24&lt;&gt;TRUE(),"not on Staff",SUMIFS('Tally Helper'!$L$26:$GI$26,'Tally Helper'!$L$24:$GI$24,"&gt;="&amp;$BR84,'Tally Helper'!$L$24:$GI$24,"&lt;="&amp;$BS84)))</f>
        <v/>
      </c>
      <c r="AF84" s="17" t="str">
        <f aca="false">IF(OR(J$7="",$BR84=""),"",IF('Tally Helper'!$B$27&lt;&gt;TRUE(),"not on Staff",SUMIFS('Tally Helper'!$L$29:$GI$29,'Tally Helper'!$L$27:$GI$27,"&gt;="&amp;$BR84,'Tally Helper'!$L$27:$GI$27,"&lt;="&amp;$BS84)))</f>
        <v/>
      </c>
      <c r="AG84" s="17" t="str">
        <f aca="false">IF(OR(K$7="",$BR84=""),"",IF('Tally Helper'!$B$30&lt;&gt;TRUE(),"not on Staff",SUMIFS('Tally Helper'!$L$32:$GI$32,'Tally Helper'!$L$30:$GI$30,"&gt;="&amp;$BR84,'Tally Helper'!$L$30:$GI$30,"&lt;="&amp;$BS84)))</f>
        <v/>
      </c>
      <c r="AH84" s="17" t="str">
        <f aca="false">IF(OR(L$7="",$BR84=""),"",IF('Tally Helper'!$B$33&lt;&gt;TRUE(),"not on Staff",SUMIFS('Tally Helper'!$L$35:$GI$35,'Tally Helper'!$L$33:$GI$33,"&gt;="&amp;$BR84,'Tally Helper'!$L$33:$GI$33,"&lt;="&amp;$BS84)))</f>
        <v/>
      </c>
      <c r="AI84" s="17" t="str">
        <f aca="false">IF(OR(M$7="",$BR84=""),"",IF('Tally Helper'!$B$36&lt;&gt;TRUE(),"not on Staff",SUMIFS('Tally Helper'!$L$38:$GI$38,'Tally Helper'!$L$36:$GI$36,"&gt;="&amp;$BR84,'Tally Helper'!$L$36:$GI$36,"&lt;="&amp;$BS84)))</f>
        <v/>
      </c>
      <c r="AJ84" s="17" t="str">
        <f aca="false">IF(OR(N$7="",$BR84=""),"",IF('Tally Helper'!$B$39&lt;&gt;TRUE(),"not on Staff",SUMIFS('Tally Helper'!$L$41:$GI$41,'Tally Helper'!$L$39:$GI$39,"&gt;="&amp;$BR84,'Tally Helper'!$L$39:$GI$39,"&lt;="&amp;$BS84)))</f>
        <v/>
      </c>
      <c r="AK84" s="17" t="str">
        <f aca="false">IF(OR(O$7="",$BR84=""),"",IF('Tally Helper'!$B$42&lt;&gt;TRUE(),"not on Staff",SUMIFS('Tally Helper'!$L$44:$GI$44,'Tally Helper'!$L$42:$GI$42,"&gt;="&amp;$BR84,'Tally Helper'!$L$42:$GI$42,"&lt;="&amp;$BS84)))</f>
        <v/>
      </c>
      <c r="AL84" s="17" t="str">
        <f aca="false">IF(OR(P$7="",$BR84=""),"",IF('Tally Helper'!$B$45&lt;&gt;TRUE(),"not on Staff",SUMIFS('Tally Helper'!$L$47:$GI$47,'Tally Helper'!$L$45:$GI$45,"&gt;="&amp;$BR84,'Tally Helper'!$L$45:$GI$45,"&lt;="&amp;$BS84)))</f>
        <v/>
      </c>
      <c r="AM84" s="17" t="str">
        <f aca="false">IF(OR(Q$7="",$BR84=""),"",IF('Tally Helper'!$B$48&lt;&gt;TRUE(),"not on Staff",SUMIFS('Tally Helper'!$L$50:$GI$50,'Tally Helper'!$L$48:$GI$48,"&gt;="&amp;$BR84,'Tally Helper'!$L$48:$GI$48,"&lt;="&amp;$BS84)))</f>
        <v/>
      </c>
      <c r="AN84" s="17" t="str">
        <f aca="false">IF(OR(R$7="",$BR84=""),"",IF('Tally Helper'!$B$51&lt;&gt;TRUE(),"not on Staff",SUMIFS('Tally Helper'!$L$53:$GI$53,'Tally Helper'!$L$51:$GI$51,"&gt;="&amp;$BR84,'Tally Helper'!$L$51:$GI$51,"&lt;="&amp;$BS84)))</f>
        <v/>
      </c>
      <c r="AO84" s="17" t="str">
        <f aca="false">IF(OR(S$7="",$BR84=""),"",IF('Tally Helper'!$B$54&lt;&gt;TRUE(),"not on Staff",SUMIFS('Tally Helper'!$L$56:$GI$56,'Tally Helper'!$L$54:$GI$54,"&gt;="&amp;$BR84,'Tally Helper'!$L$54:$GI$54,"&lt;="&amp;$BS84)))</f>
        <v/>
      </c>
      <c r="AP84" s="17" t="str">
        <f aca="false">IF(OR(T$7="",$BR84=""),"",IF('Tally Helper'!$B$57&lt;&gt;TRUE(),"not on Staff",SUMIFS('Tally Helper'!$L$59:$GI$59,'Tally Helper'!$L$57:$GI$57,"&gt;="&amp;$BR84,'Tally Helper'!$L$57:$GI$57,"&lt;="&amp;$BS84)))</f>
        <v/>
      </c>
      <c r="AQ84" s="17" t="str">
        <f aca="false">IF(OR(U$7="",$BR84=""),"",IF('Tally Helper'!$B$60&lt;&gt;TRUE(),"not on Staff",SUMIFS('Tally Helper'!$L$62:$GI$62,'Tally Helper'!$L$60:$GI$60,"&gt;="&amp;$BR84,'Tally Helper'!$L$60:$GI$60,"&lt;="&amp;$BS84)))</f>
        <v/>
      </c>
      <c r="AT84" s="17" t="str">
        <f aca="false">IF(OR(X84="",NOT(ISNUMBER(X84))),"",X84-N(B84))</f>
        <v/>
      </c>
      <c r="AU84" s="17" t="str">
        <f aca="false">IF(OR(Y84="",NOT(ISNUMBER(Y84))),"",Y84-N(C84))</f>
        <v/>
      </c>
      <c r="AV84" s="17" t="str">
        <f aca="false">IF(OR(Z84="",NOT(ISNUMBER(Z84))),"",Z84-N(D84))</f>
        <v/>
      </c>
      <c r="AW84" s="17" t="str">
        <f aca="false">IF(OR(AA84="",NOT(ISNUMBER(AA84))),"",AA84-N(E84))</f>
        <v/>
      </c>
      <c r="AX84" s="17" t="str">
        <f aca="false">IF(OR(AB84="",NOT(ISNUMBER(AB84))),"",AB84-N(F84))</f>
        <v/>
      </c>
      <c r="AY84" s="17" t="str">
        <f aca="false">IF(OR(AC84="",NOT(ISNUMBER(AC84))),"",AC84-N(G84))</f>
        <v/>
      </c>
      <c r="AZ84" s="17" t="str">
        <f aca="false">IF(OR(AD84="",NOT(ISNUMBER(AD84))),"",AD84-N(H84))</f>
        <v/>
      </c>
      <c r="BA84" s="17" t="str">
        <f aca="false">IF(OR(AE84="",NOT(ISNUMBER(AE84))),"",AE84-N(I84))</f>
        <v/>
      </c>
      <c r="BB84" s="17" t="str">
        <f aca="false">IF(OR(AF84="",NOT(ISNUMBER(AF84))),"",AF84-N(J84))</f>
        <v/>
      </c>
      <c r="BC84" s="17" t="str">
        <f aca="false">IF(OR(AG84="",NOT(ISNUMBER(AG84))),"",AG84-N(K84))</f>
        <v/>
      </c>
      <c r="BD84" s="17" t="str">
        <f aca="false">IF(OR(AH84="",NOT(ISNUMBER(AH84))),"",AH84-N(L84))</f>
        <v/>
      </c>
      <c r="BE84" s="17" t="str">
        <f aca="false">IF(OR(AI84="",NOT(ISNUMBER(AI84))),"",AI84-N(M84))</f>
        <v/>
      </c>
      <c r="BF84" s="17" t="str">
        <f aca="false">IF(OR(AJ84="",NOT(ISNUMBER(AJ84))),"",AJ84-N(N84))</f>
        <v/>
      </c>
      <c r="BG84" s="17" t="str">
        <f aca="false">IF(OR(AK84="",NOT(ISNUMBER(AK84))),"",AK84-N(O84))</f>
        <v/>
      </c>
      <c r="BH84" s="17" t="str">
        <f aca="false">IF(OR(AL84="",NOT(ISNUMBER(AL84))),"",AL84-N(P84))</f>
        <v/>
      </c>
      <c r="BI84" s="17" t="str">
        <f aca="false">IF(OR(AM84="",NOT(ISNUMBER(AM84))),"",AM84-N(Q84))</f>
        <v/>
      </c>
      <c r="BJ84" s="17" t="str">
        <f aca="false">IF(OR(AN84="",NOT(ISNUMBER(AN84))),"",AN84-N(R84))</f>
        <v/>
      </c>
      <c r="BK84" s="17" t="str">
        <f aca="false">IF(OR(AO84="",NOT(ISNUMBER(AO84))),"",AO84-N(S84))</f>
        <v/>
      </c>
      <c r="BL84" s="17" t="str">
        <f aca="false">IF(OR(AP84="",NOT(ISNUMBER(AP84))),"",AP84-N(T84))</f>
        <v/>
      </c>
      <c r="BM84" s="17" t="str">
        <f aca="false">IF(OR(AQ84="",NOT(ISNUMBER(AQ84))),"",AQ84-N(U84))</f>
        <v/>
      </c>
      <c r="BR84" s="20" t="str">
        <f aca="false">IF($A84="","",IF(ISNUMBER($A84),DATE(YEAR($A84),MONTH($A84),1),IFERROR(DATE(2000+VALUE(RIGHT(TRIM($A84),2)),MATCH(UPPER(LEFT(TRIM($A84),3)),{"JAN","FEB","MAR","APR","MAY","JUN","JUL","AUG","SEP","OCT","NOV","DEC"},0),1),"")))</f>
        <v/>
      </c>
      <c r="BS84" s="20" t="str">
        <f aca="false">IF(BR84="","",EOMONTH(BR84,0))</f>
        <v/>
      </c>
    </row>
    <row r="85" customFormat="false" ht="15" hidden="false" customHeight="false" outlineLevel="0" collapsed="false">
      <c r="B85" s="21"/>
      <c r="C85" s="21"/>
      <c r="D85" s="21"/>
      <c r="E85" s="21"/>
      <c r="F85" s="21"/>
      <c r="G85" s="21"/>
      <c r="H85" s="21"/>
      <c r="I85" s="21"/>
      <c r="J85" s="21"/>
      <c r="K85" s="21"/>
      <c r="L85" s="21"/>
      <c r="M85" s="21"/>
      <c r="N85" s="21"/>
      <c r="O85" s="21"/>
      <c r="P85" s="21"/>
      <c r="Q85" s="21"/>
      <c r="R85" s="21"/>
      <c r="S85" s="21"/>
      <c r="T85" s="21"/>
      <c r="U85" s="21"/>
      <c r="X85" s="17" t="str">
        <f aca="false">IF(OR(B$7="",$BR85=""),"",IF('Tally Helper'!$B$3&lt;&gt;TRUE(),"not on Staff",SUMIFS('Tally Helper'!$L$5:$GI$5,'Tally Helper'!$L$3:$GI$3,"&gt;="&amp;$BR85,'Tally Helper'!$L$3:$GI$3,"&lt;="&amp;$BS85)))</f>
        <v/>
      </c>
      <c r="Y85" s="17" t="str">
        <f aca="false">IF(OR(C$7="",$BR85=""),"",IF('Tally Helper'!$B$6&lt;&gt;TRUE(),"not on Staff",SUMIFS('Tally Helper'!$L$8:$GI$8,'Tally Helper'!$L$6:$GI$6,"&gt;="&amp;$BR85,'Tally Helper'!$L$6:$GI$6,"&lt;="&amp;$BS85)))</f>
        <v/>
      </c>
      <c r="Z85" s="17" t="str">
        <f aca="false">IF(OR(D$7="",$BR85=""),"",IF('Tally Helper'!$B$9&lt;&gt;TRUE(),"not on Staff",SUMIFS('Tally Helper'!$L$11:$GI$11,'Tally Helper'!$L$9:$GI$9,"&gt;="&amp;$BR85,'Tally Helper'!$L$9:$GI$9,"&lt;="&amp;$BS85)))</f>
        <v/>
      </c>
      <c r="AA85" s="17" t="str">
        <f aca="false">IF(OR(E$7="",$BR85=""),"",IF('Tally Helper'!$B$12&lt;&gt;TRUE(),"not on Staff",SUMIFS('Tally Helper'!$L$14:$GI$14,'Tally Helper'!$L$12:$GI$12,"&gt;="&amp;$BR85,'Tally Helper'!$L$12:$GI$12,"&lt;="&amp;$BS85)))</f>
        <v/>
      </c>
      <c r="AB85" s="17" t="str">
        <f aca="false">IF(OR(F$7="",$BR85=""),"",IF('Tally Helper'!$B$15&lt;&gt;TRUE(),"not on Staff",SUMIFS('Tally Helper'!$L$17:$GI$17,'Tally Helper'!$L$15:$GI$15,"&gt;="&amp;$BR85,'Tally Helper'!$L$15:$GI$15,"&lt;="&amp;$BS85)))</f>
        <v/>
      </c>
      <c r="AC85" s="17" t="str">
        <f aca="false">IF(OR(G$7="",$BR85=""),"",IF('Tally Helper'!$B$18&lt;&gt;TRUE(),"not on Staff",SUMIFS('Tally Helper'!$L$20:$GI$20,'Tally Helper'!$L$18:$GI$18,"&gt;="&amp;$BR85,'Tally Helper'!$L$18:$GI$18,"&lt;="&amp;$BS85)))</f>
        <v/>
      </c>
      <c r="AD85" s="17" t="str">
        <f aca="false">IF(OR(H$7="",$BR85=""),"",IF('Tally Helper'!$B$21&lt;&gt;TRUE(),"not on Staff",SUMIFS('Tally Helper'!$L$23:$GI$23,'Tally Helper'!$L$21:$GI$21,"&gt;="&amp;$BR85,'Tally Helper'!$L$21:$GI$21,"&lt;="&amp;$BS85)))</f>
        <v/>
      </c>
      <c r="AE85" s="17" t="str">
        <f aca="false">IF(OR(I$7="",$BR85=""),"",IF('Tally Helper'!$B$24&lt;&gt;TRUE(),"not on Staff",SUMIFS('Tally Helper'!$L$26:$GI$26,'Tally Helper'!$L$24:$GI$24,"&gt;="&amp;$BR85,'Tally Helper'!$L$24:$GI$24,"&lt;="&amp;$BS85)))</f>
        <v/>
      </c>
      <c r="AF85" s="17" t="str">
        <f aca="false">IF(OR(J$7="",$BR85=""),"",IF('Tally Helper'!$B$27&lt;&gt;TRUE(),"not on Staff",SUMIFS('Tally Helper'!$L$29:$GI$29,'Tally Helper'!$L$27:$GI$27,"&gt;="&amp;$BR85,'Tally Helper'!$L$27:$GI$27,"&lt;="&amp;$BS85)))</f>
        <v/>
      </c>
      <c r="AG85" s="17" t="str">
        <f aca="false">IF(OR(K$7="",$BR85=""),"",IF('Tally Helper'!$B$30&lt;&gt;TRUE(),"not on Staff",SUMIFS('Tally Helper'!$L$32:$GI$32,'Tally Helper'!$L$30:$GI$30,"&gt;="&amp;$BR85,'Tally Helper'!$L$30:$GI$30,"&lt;="&amp;$BS85)))</f>
        <v/>
      </c>
      <c r="AH85" s="17" t="str">
        <f aca="false">IF(OR(L$7="",$BR85=""),"",IF('Tally Helper'!$B$33&lt;&gt;TRUE(),"not on Staff",SUMIFS('Tally Helper'!$L$35:$GI$35,'Tally Helper'!$L$33:$GI$33,"&gt;="&amp;$BR85,'Tally Helper'!$L$33:$GI$33,"&lt;="&amp;$BS85)))</f>
        <v/>
      </c>
      <c r="AI85" s="17" t="str">
        <f aca="false">IF(OR(M$7="",$BR85=""),"",IF('Tally Helper'!$B$36&lt;&gt;TRUE(),"not on Staff",SUMIFS('Tally Helper'!$L$38:$GI$38,'Tally Helper'!$L$36:$GI$36,"&gt;="&amp;$BR85,'Tally Helper'!$L$36:$GI$36,"&lt;="&amp;$BS85)))</f>
        <v/>
      </c>
      <c r="AJ85" s="17" t="str">
        <f aca="false">IF(OR(N$7="",$BR85=""),"",IF('Tally Helper'!$B$39&lt;&gt;TRUE(),"not on Staff",SUMIFS('Tally Helper'!$L$41:$GI$41,'Tally Helper'!$L$39:$GI$39,"&gt;="&amp;$BR85,'Tally Helper'!$L$39:$GI$39,"&lt;="&amp;$BS85)))</f>
        <v/>
      </c>
      <c r="AK85" s="17" t="str">
        <f aca="false">IF(OR(O$7="",$BR85=""),"",IF('Tally Helper'!$B$42&lt;&gt;TRUE(),"not on Staff",SUMIFS('Tally Helper'!$L$44:$GI$44,'Tally Helper'!$L$42:$GI$42,"&gt;="&amp;$BR85,'Tally Helper'!$L$42:$GI$42,"&lt;="&amp;$BS85)))</f>
        <v/>
      </c>
      <c r="AL85" s="17" t="str">
        <f aca="false">IF(OR(P$7="",$BR85=""),"",IF('Tally Helper'!$B$45&lt;&gt;TRUE(),"not on Staff",SUMIFS('Tally Helper'!$L$47:$GI$47,'Tally Helper'!$L$45:$GI$45,"&gt;="&amp;$BR85,'Tally Helper'!$L$45:$GI$45,"&lt;="&amp;$BS85)))</f>
        <v/>
      </c>
      <c r="AM85" s="17" t="str">
        <f aca="false">IF(OR(Q$7="",$BR85=""),"",IF('Tally Helper'!$B$48&lt;&gt;TRUE(),"not on Staff",SUMIFS('Tally Helper'!$L$50:$GI$50,'Tally Helper'!$L$48:$GI$48,"&gt;="&amp;$BR85,'Tally Helper'!$L$48:$GI$48,"&lt;="&amp;$BS85)))</f>
        <v/>
      </c>
      <c r="AN85" s="17" t="str">
        <f aca="false">IF(OR(R$7="",$BR85=""),"",IF('Tally Helper'!$B$51&lt;&gt;TRUE(),"not on Staff",SUMIFS('Tally Helper'!$L$53:$GI$53,'Tally Helper'!$L$51:$GI$51,"&gt;="&amp;$BR85,'Tally Helper'!$L$51:$GI$51,"&lt;="&amp;$BS85)))</f>
        <v/>
      </c>
      <c r="AO85" s="17" t="str">
        <f aca="false">IF(OR(S$7="",$BR85=""),"",IF('Tally Helper'!$B$54&lt;&gt;TRUE(),"not on Staff",SUMIFS('Tally Helper'!$L$56:$GI$56,'Tally Helper'!$L$54:$GI$54,"&gt;="&amp;$BR85,'Tally Helper'!$L$54:$GI$54,"&lt;="&amp;$BS85)))</f>
        <v/>
      </c>
      <c r="AP85" s="17" t="str">
        <f aca="false">IF(OR(T$7="",$BR85=""),"",IF('Tally Helper'!$B$57&lt;&gt;TRUE(),"not on Staff",SUMIFS('Tally Helper'!$L$59:$GI$59,'Tally Helper'!$L$57:$GI$57,"&gt;="&amp;$BR85,'Tally Helper'!$L$57:$GI$57,"&lt;="&amp;$BS85)))</f>
        <v/>
      </c>
      <c r="AQ85" s="17" t="str">
        <f aca="false">IF(OR(U$7="",$BR85=""),"",IF('Tally Helper'!$B$60&lt;&gt;TRUE(),"not on Staff",SUMIFS('Tally Helper'!$L$62:$GI$62,'Tally Helper'!$L$60:$GI$60,"&gt;="&amp;$BR85,'Tally Helper'!$L$60:$GI$60,"&lt;="&amp;$BS85)))</f>
        <v/>
      </c>
      <c r="AT85" s="17" t="str">
        <f aca="false">IF(OR(X85="",NOT(ISNUMBER(X85))),"",X85-N(B85))</f>
        <v/>
      </c>
      <c r="AU85" s="17" t="str">
        <f aca="false">IF(OR(Y85="",NOT(ISNUMBER(Y85))),"",Y85-N(C85))</f>
        <v/>
      </c>
      <c r="AV85" s="17" t="str">
        <f aca="false">IF(OR(Z85="",NOT(ISNUMBER(Z85))),"",Z85-N(D85))</f>
        <v/>
      </c>
      <c r="AW85" s="17" t="str">
        <f aca="false">IF(OR(AA85="",NOT(ISNUMBER(AA85))),"",AA85-N(E85))</f>
        <v/>
      </c>
      <c r="AX85" s="17" t="str">
        <f aca="false">IF(OR(AB85="",NOT(ISNUMBER(AB85))),"",AB85-N(F85))</f>
        <v/>
      </c>
      <c r="AY85" s="17" t="str">
        <f aca="false">IF(OR(AC85="",NOT(ISNUMBER(AC85))),"",AC85-N(G85))</f>
        <v/>
      </c>
      <c r="AZ85" s="17" t="str">
        <f aca="false">IF(OR(AD85="",NOT(ISNUMBER(AD85))),"",AD85-N(H85))</f>
        <v/>
      </c>
      <c r="BA85" s="17" t="str">
        <f aca="false">IF(OR(AE85="",NOT(ISNUMBER(AE85))),"",AE85-N(I85))</f>
        <v/>
      </c>
      <c r="BB85" s="17" t="str">
        <f aca="false">IF(OR(AF85="",NOT(ISNUMBER(AF85))),"",AF85-N(J85))</f>
        <v/>
      </c>
      <c r="BC85" s="17" t="str">
        <f aca="false">IF(OR(AG85="",NOT(ISNUMBER(AG85))),"",AG85-N(K85))</f>
        <v/>
      </c>
      <c r="BD85" s="17" t="str">
        <f aca="false">IF(OR(AH85="",NOT(ISNUMBER(AH85))),"",AH85-N(L85))</f>
        <v/>
      </c>
      <c r="BE85" s="17" t="str">
        <f aca="false">IF(OR(AI85="",NOT(ISNUMBER(AI85))),"",AI85-N(M85))</f>
        <v/>
      </c>
      <c r="BF85" s="17" t="str">
        <f aca="false">IF(OR(AJ85="",NOT(ISNUMBER(AJ85))),"",AJ85-N(N85))</f>
        <v/>
      </c>
      <c r="BG85" s="17" t="str">
        <f aca="false">IF(OR(AK85="",NOT(ISNUMBER(AK85))),"",AK85-N(O85))</f>
        <v/>
      </c>
      <c r="BH85" s="17" t="str">
        <f aca="false">IF(OR(AL85="",NOT(ISNUMBER(AL85))),"",AL85-N(P85))</f>
        <v/>
      </c>
      <c r="BI85" s="17" t="str">
        <f aca="false">IF(OR(AM85="",NOT(ISNUMBER(AM85))),"",AM85-N(Q85))</f>
        <v/>
      </c>
      <c r="BJ85" s="17" t="str">
        <f aca="false">IF(OR(AN85="",NOT(ISNUMBER(AN85))),"",AN85-N(R85))</f>
        <v/>
      </c>
      <c r="BK85" s="17" t="str">
        <f aca="false">IF(OR(AO85="",NOT(ISNUMBER(AO85))),"",AO85-N(S85))</f>
        <v/>
      </c>
      <c r="BL85" s="17" t="str">
        <f aca="false">IF(OR(AP85="",NOT(ISNUMBER(AP85))),"",AP85-N(T85))</f>
        <v/>
      </c>
      <c r="BM85" s="17" t="str">
        <f aca="false">IF(OR(AQ85="",NOT(ISNUMBER(AQ85))),"",AQ85-N(U85))</f>
        <v/>
      </c>
      <c r="BR85" s="20" t="str">
        <f aca="false">IF($A85="","",IF(ISNUMBER($A85),DATE(YEAR($A85),MONTH($A85),1),IFERROR(DATE(2000+VALUE(RIGHT(TRIM($A85),2)),MATCH(UPPER(LEFT(TRIM($A85),3)),{"JAN","FEB","MAR","APR","MAY","JUN","JUL","AUG","SEP","OCT","NOV","DEC"},0),1),"")))</f>
        <v/>
      </c>
      <c r="BS85" s="20" t="str">
        <f aca="false">IF(BR85="","",EOMONTH(BR85,0))</f>
        <v/>
      </c>
    </row>
    <row r="86" customFormat="false" ht="15" hidden="false" customHeight="false" outlineLevel="0" collapsed="false">
      <c r="B86" s="21"/>
      <c r="C86" s="21"/>
      <c r="D86" s="21"/>
      <c r="E86" s="21"/>
      <c r="F86" s="21"/>
      <c r="G86" s="21"/>
      <c r="H86" s="21"/>
      <c r="I86" s="21"/>
      <c r="J86" s="21"/>
      <c r="K86" s="21"/>
      <c r="L86" s="21"/>
      <c r="M86" s="21"/>
      <c r="N86" s="21"/>
      <c r="O86" s="21"/>
      <c r="P86" s="21"/>
      <c r="Q86" s="21"/>
      <c r="R86" s="21"/>
      <c r="S86" s="21"/>
      <c r="T86" s="21"/>
      <c r="U86" s="21"/>
      <c r="X86" s="17" t="str">
        <f aca="false">IF(OR(B$7="",$BR86=""),"",IF('Tally Helper'!$B$3&lt;&gt;TRUE(),"not on Staff",SUMIFS('Tally Helper'!$L$5:$GI$5,'Tally Helper'!$L$3:$GI$3,"&gt;="&amp;$BR86,'Tally Helper'!$L$3:$GI$3,"&lt;="&amp;$BS86)))</f>
        <v/>
      </c>
      <c r="Y86" s="17" t="str">
        <f aca="false">IF(OR(C$7="",$BR86=""),"",IF('Tally Helper'!$B$6&lt;&gt;TRUE(),"not on Staff",SUMIFS('Tally Helper'!$L$8:$GI$8,'Tally Helper'!$L$6:$GI$6,"&gt;="&amp;$BR86,'Tally Helper'!$L$6:$GI$6,"&lt;="&amp;$BS86)))</f>
        <v/>
      </c>
      <c r="Z86" s="17" t="str">
        <f aca="false">IF(OR(D$7="",$BR86=""),"",IF('Tally Helper'!$B$9&lt;&gt;TRUE(),"not on Staff",SUMIFS('Tally Helper'!$L$11:$GI$11,'Tally Helper'!$L$9:$GI$9,"&gt;="&amp;$BR86,'Tally Helper'!$L$9:$GI$9,"&lt;="&amp;$BS86)))</f>
        <v/>
      </c>
      <c r="AA86" s="17" t="str">
        <f aca="false">IF(OR(E$7="",$BR86=""),"",IF('Tally Helper'!$B$12&lt;&gt;TRUE(),"not on Staff",SUMIFS('Tally Helper'!$L$14:$GI$14,'Tally Helper'!$L$12:$GI$12,"&gt;="&amp;$BR86,'Tally Helper'!$L$12:$GI$12,"&lt;="&amp;$BS86)))</f>
        <v/>
      </c>
      <c r="AB86" s="17" t="str">
        <f aca="false">IF(OR(F$7="",$BR86=""),"",IF('Tally Helper'!$B$15&lt;&gt;TRUE(),"not on Staff",SUMIFS('Tally Helper'!$L$17:$GI$17,'Tally Helper'!$L$15:$GI$15,"&gt;="&amp;$BR86,'Tally Helper'!$L$15:$GI$15,"&lt;="&amp;$BS86)))</f>
        <v/>
      </c>
      <c r="AC86" s="17" t="str">
        <f aca="false">IF(OR(G$7="",$BR86=""),"",IF('Tally Helper'!$B$18&lt;&gt;TRUE(),"not on Staff",SUMIFS('Tally Helper'!$L$20:$GI$20,'Tally Helper'!$L$18:$GI$18,"&gt;="&amp;$BR86,'Tally Helper'!$L$18:$GI$18,"&lt;="&amp;$BS86)))</f>
        <v/>
      </c>
      <c r="AD86" s="17" t="str">
        <f aca="false">IF(OR(H$7="",$BR86=""),"",IF('Tally Helper'!$B$21&lt;&gt;TRUE(),"not on Staff",SUMIFS('Tally Helper'!$L$23:$GI$23,'Tally Helper'!$L$21:$GI$21,"&gt;="&amp;$BR86,'Tally Helper'!$L$21:$GI$21,"&lt;="&amp;$BS86)))</f>
        <v/>
      </c>
      <c r="AE86" s="17" t="str">
        <f aca="false">IF(OR(I$7="",$BR86=""),"",IF('Tally Helper'!$B$24&lt;&gt;TRUE(),"not on Staff",SUMIFS('Tally Helper'!$L$26:$GI$26,'Tally Helper'!$L$24:$GI$24,"&gt;="&amp;$BR86,'Tally Helper'!$L$24:$GI$24,"&lt;="&amp;$BS86)))</f>
        <v/>
      </c>
      <c r="AF86" s="17" t="str">
        <f aca="false">IF(OR(J$7="",$BR86=""),"",IF('Tally Helper'!$B$27&lt;&gt;TRUE(),"not on Staff",SUMIFS('Tally Helper'!$L$29:$GI$29,'Tally Helper'!$L$27:$GI$27,"&gt;="&amp;$BR86,'Tally Helper'!$L$27:$GI$27,"&lt;="&amp;$BS86)))</f>
        <v/>
      </c>
      <c r="AG86" s="17" t="str">
        <f aca="false">IF(OR(K$7="",$BR86=""),"",IF('Tally Helper'!$B$30&lt;&gt;TRUE(),"not on Staff",SUMIFS('Tally Helper'!$L$32:$GI$32,'Tally Helper'!$L$30:$GI$30,"&gt;="&amp;$BR86,'Tally Helper'!$L$30:$GI$30,"&lt;="&amp;$BS86)))</f>
        <v/>
      </c>
      <c r="AH86" s="17" t="str">
        <f aca="false">IF(OR(L$7="",$BR86=""),"",IF('Tally Helper'!$B$33&lt;&gt;TRUE(),"not on Staff",SUMIFS('Tally Helper'!$L$35:$GI$35,'Tally Helper'!$L$33:$GI$33,"&gt;="&amp;$BR86,'Tally Helper'!$L$33:$GI$33,"&lt;="&amp;$BS86)))</f>
        <v/>
      </c>
      <c r="AI86" s="17" t="str">
        <f aca="false">IF(OR(M$7="",$BR86=""),"",IF('Tally Helper'!$B$36&lt;&gt;TRUE(),"not on Staff",SUMIFS('Tally Helper'!$L$38:$GI$38,'Tally Helper'!$L$36:$GI$36,"&gt;="&amp;$BR86,'Tally Helper'!$L$36:$GI$36,"&lt;="&amp;$BS86)))</f>
        <v/>
      </c>
      <c r="AJ86" s="17" t="str">
        <f aca="false">IF(OR(N$7="",$BR86=""),"",IF('Tally Helper'!$B$39&lt;&gt;TRUE(),"not on Staff",SUMIFS('Tally Helper'!$L$41:$GI$41,'Tally Helper'!$L$39:$GI$39,"&gt;="&amp;$BR86,'Tally Helper'!$L$39:$GI$39,"&lt;="&amp;$BS86)))</f>
        <v/>
      </c>
      <c r="AK86" s="17" t="str">
        <f aca="false">IF(OR(O$7="",$BR86=""),"",IF('Tally Helper'!$B$42&lt;&gt;TRUE(),"not on Staff",SUMIFS('Tally Helper'!$L$44:$GI$44,'Tally Helper'!$L$42:$GI$42,"&gt;="&amp;$BR86,'Tally Helper'!$L$42:$GI$42,"&lt;="&amp;$BS86)))</f>
        <v/>
      </c>
      <c r="AL86" s="17" t="str">
        <f aca="false">IF(OR(P$7="",$BR86=""),"",IF('Tally Helper'!$B$45&lt;&gt;TRUE(),"not on Staff",SUMIFS('Tally Helper'!$L$47:$GI$47,'Tally Helper'!$L$45:$GI$45,"&gt;="&amp;$BR86,'Tally Helper'!$L$45:$GI$45,"&lt;="&amp;$BS86)))</f>
        <v/>
      </c>
      <c r="AM86" s="17" t="str">
        <f aca="false">IF(OR(Q$7="",$BR86=""),"",IF('Tally Helper'!$B$48&lt;&gt;TRUE(),"not on Staff",SUMIFS('Tally Helper'!$L$50:$GI$50,'Tally Helper'!$L$48:$GI$48,"&gt;="&amp;$BR86,'Tally Helper'!$L$48:$GI$48,"&lt;="&amp;$BS86)))</f>
        <v/>
      </c>
      <c r="AN86" s="17" t="str">
        <f aca="false">IF(OR(R$7="",$BR86=""),"",IF('Tally Helper'!$B$51&lt;&gt;TRUE(),"not on Staff",SUMIFS('Tally Helper'!$L$53:$GI$53,'Tally Helper'!$L$51:$GI$51,"&gt;="&amp;$BR86,'Tally Helper'!$L$51:$GI$51,"&lt;="&amp;$BS86)))</f>
        <v/>
      </c>
      <c r="AO86" s="17" t="str">
        <f aca="false">IF(OR(S$7="",$BR86=""),"",IF('Tally Helper'!$B$54&lt;&gt;TRUE(),"not on Staff",SUMIFS('Tally Helper'!$L$56:$GI$56,'Tally Helper'!$L$54:$GI$54,"&gt;="&amp;$BR86,'Tally Helper'!$L$54:$GI$54,"&lt;="&amp;$BS86)))</f>
        <v/>
      </c>
      <c r="AP86" s="17" t="str">
        <f aca="false">IF(OR(T$7="",$BR86=""),"",IF('Tally Helper'!$B$57&lt;&gt;TRUE(),"not on Staff",SUMIFS('Tally Helper'!$L$59:$GI$59,'Tally Helper'!$L$57:$GI$57,"&gt;="&amp;$BR86,'Tally Helper'!$L$57:$GI$57,"&lt;="&amp;$BS86)))</f>
        <v/>
      </c>
      <c r="AQ86" s="17" t="str">
        <f aca="false">IF(OR(U$7="",$BR86=""),"",IF('Tally Helper'!$B$60&lt;&gt;TRUE(),"not on Staff",SUMIFS('Tally Helper'!$L$62:$GI$62,'Tally Helper'!$L$60:$GI$60,"&gt;="&amp;$BR86,'Tally Helper'!$L$60:$GI$60,"&lt;="&amp;$BS86)))</f>
        <v/>
      </c>
      <c r="AT86" s="17" t="str">
        <f aca="false">IF(OR(X86="",NOT(ISNUMBER(X86))),"",X86-N(B86))</f>
        <v/>
      </c>
      <c r="AU86" s="17" t="str">
        <f aca="false">IF(OR(Y86="",NOT(ISNUMBER(Y86))),"",Y86-N(C86))</f>
        <v/>
      </c>
      <c r="AV86" s="17" t="str">
        <f aca="false">IF(OR(Z86="",NOT(ISNUMBER(Z86))),"",Z86-N(D86))</f>
        <v/>
      </c>
      <c r="AW86" s="17" t="str">
        <f aca="false">IF(OR(AA86="",NOT(ISNUMBER(AA86))),"",AA86-N(E86))</f>
        <v/>
      </c>
      <c r="AX86" s="17" t="str">
        <f aca="false">IF(OR(AB86="",NOT(ISNUMBER(AB86))),"",AB86-N(F86))</f>
        <v/>
      </c>
      <c r="AY86" s="17" t="str">
        <f aca="false">IF(OR(AC86="",NOT(ISNUMBER(AC86))),"",AC86-N(G86))</f>
        <v/>
      </c>
      <c r="AZ86" s="17" t="str">
        <f aca="false">IF(OR(AD86="",NOT(ISNUMBER(AD86))),"",AD86-N(H86))</f>
        <v/>
      </c>
      <c r="BA86" s="17" t="str">
        <f aca="false">IF(OR(AE86="",NOT(ISNUMBER(AE86))),"",AE86-N(I86))</f>
        <v/>
      </c>
      <c r="BB86" s="17" t="str">
        <f aca="false">IF(OR(AF86="",NOT(ISNUMBER(AF86))),"",AF86-N(J86))</f>
        <v/>
      </c>
      <c r="BC86" s="17" t="str">
        <f aca="false">IF(OR(AG86="",NOT(ISNUMBER(AG86))),"",AG86-N(K86))</f>
        <v/>
      </c>
      <c r="BD86" s="17" t="str">
        <f aca="false">IF(OR(AH86="",NOT(ISNUMBER(AH86))),"",AH86-N(L86))</f>
        <v/>
      </c>
      <c r="BE86" s="17" t="str">
        <f aca="false">IF(OR(AI86="",NOT(ISNUMBER(AI86))),"",AI86-N(M86))</f>
        <v/>
      </c>
      <c r="BF86" s="17" t="str">
        <f aca="false">IF(OR(AJ86="",NOT(ISNUMBER(AJ86))),"",AJ86-N(N86))</f>
        <v/>
      </c>
      <c r="BG86" s="17" t="str">
        <f aca="false">IF(OR(AK86="",NOT(ISNUMBER(AK86))),"",AK86-N(O86))</f>
        <v/>
      </c>
      <c r="BH86" s="17" t="str">
        <f aca="false">IF(OR(AL86="",NOT(ISNUMBER(AL86))),"",AL86-N(P86))</f>
        <v/>
      </c>
      <c r="BI86" s="17" t="str">
        <f aca="false">IF(OR(AM86="",NOT(ISNUMBER(AM86))),"",AM86-N(Q86))</f>
        <v/>
      </c>
      <c r="BJ86" s="17" t="str">
        <f aca="false">IF(OR(AN86="",NOT(ISNUMBER(AN86))),"",AN86-N(R86))</f>
        <v/>
      </c>
      <c r="BK86" s="17" t="str">
        <f aca="false">IF(OR(AO86="",NOT(ISNUMBER(AO86))),"",AO86-N(S86))</f>
        <v/>
      </c>
      <c r="BL86" s="17" t="str">
        <f aca="false">IF(OR(AP86="",NOT(ISNUMBER(AP86))),"",AP86-N(T86))</f>
        <v/>
      </c>
      <c r="BM86" s="17" t="str">
        <f aca="false">IF(OR(AQ86="",NOT(ISNUMBER(AQ86))),"",AQ86-N(U86))</f>
        <v/>
      </c>
      <c r="BR86" s="20" t="str">
        <f aca="false">IF($A86="","",IF(ISNUMBER($A86),DATE(YEAR($A86),MONTH($A86),1),IFERROR(DATE(2000+VALUE(RIGHT(TRIM($A86),2)),MATCH(UPPER(LEFT(TRIM($A86),3)),{"JAN","FEB","MAR","APR","MAY","JUN","JUL","AUG","SEP","OCT","NOV","DEC"},0),1),"")))</f>
        <v/>
      </c>
      <c r="BS86" s="20" t="str">
        <f aca="false">IF(BR86="","",EOMONTH(BR86,0))</f>
        <v/>
      </c>
    </row>
    <row r="87" customFormat="false" ht="15" hidden="false" customHeight="false" outlineLevel="0" collapsed="false">
      <c r="B87" s="21"/>
      <c r="C87" s="21"/>
      <c r="D87" s="21"/>
      <c r="E87" s="21"/>
      <c r="F87" s="21"/>
      <c r="G87" s="21"/>
      <c r="H87" s="21"/>
      <c r="I87" s="21"/>
      <c r="J87" s="21"/>
      <c r="K87" s="21"/>
      <c r="L87" s="21"/>
      <c r="M87" s="21"/>
      <c r="N87" s="21"/>
      <c r="O87" s="21"/>
      <c r="P87" s="21"/>
      <c r="Q87" s="21"/>
      <c r="R87" s="21"/>
      <c r="S87" s="21"/>
      <c r="T87" s="21"/>
      <c r="U87" s="21"/>
      <c r="X87" s="17" t="str">
        <f aca="false">IF(OR(B$7="",$BR87=""),"",IF('Tally Helper'!$B$3&lt;&gt;TRUE(),"not on Staff",SUMIFS('Tally Helper'!$L$5:$GI$5,'Tally Helper'!$L$3:$GI$3,"&gt;="&amp;$BR87,'Tally Helper'!$L$3:$GI$3,"&lt;="&amp;$BS87)))</f>
        <v/>
      </c>
      <c r="Y87" s="17" t="str">
        <f aca="false">IF(OR(C$7="",$BR87=""),"",IF('Tally Helper'!$B$6&lt;&gt;TRUE(),"not on Staff",SUMIFS('Tally Helper'!$L$8:$GI$8,'Tally Helper'!$L$6:$GI$6,"&gt;="&amp;$BR87,'Tally Helper'!$L$6:$GI$6,"&lt;="&amp;$BS87)))</f>
        <v/>
      </c>
      <c r="Z87" s="17" t="str">
        <f aca="false">IF(OR(D$7="",$BR87=""),"",IF('Tally Helper'!$B$9&lt;&gt;TRUE(),"not on Staff",SUMIFS('Tally Helper'!$L$11:$GI$11,'Tally Helper'!$L$9:$GI$9,"&gt;="&amp;$BR87,'Tally Helper'!$L$9:$GI$9,"&lt;="&amp;$BS87)))</f>
        <v/>
      </c>
      <c r="AA87" s="17" t="str">
        <f aca="false">IF(OR(E$7="",$BR87=""),"",IF('Tally Helper'!$B$12&lt;&gt;TRUE(),"not on Staff",SUMIFS('Tally Helper'!$L$14:$GI$14,'Tally Helper'!$L$12:$GI$12,"&gt;="&amp;$BR87,'Tally Helper'!$L$12:$GI$12,"&lt;="&amp;$BS87)))</f>
        <v/>
      </c>
      <c r="AB87" s="17" t="str">
        <f aca="false">IF(OR(F$7="",$BR87=""),"",IF('Tally Helper'!$B$15&lt;&gt;TRUE(),"not on Staff",SUMIFS('Tally Helper'!$L$17:$GI$17,'Tally Helper'!$L$15:$GI$15,"&gt;="&amp;$BR87,'Tally Helper'!$L$15:$GI$15,"&lt;="&amp;$BS87)))</f>
        <v/>
      </c>
      <c r="AC87" s="17" t="str">
        <f aca="false">IF(OR(G$7="",$BR87=""),"",IF('Tally Helper'!$B$18&lt;&gt;TRUE(),"not on Staff",SUMIFS('Tally Helper'!$L$20:$GI$20,'Tally Helper'!$L$18:$GI$18,"&gt;="&amp;$BR87,'Tally Helper'!$L$18:$GI$18,"&lt;="&amp;$BS87)))</f>
        <v/>
      </c>
      <c r="AD87" s="17" t="str">
        <f aca="false">IF(OR(H$7="",$BR87=""),"",IF('Tally Helper'!$B$21&lt;&gt;TRUE(),"not on Staff",SUMIFS('Tally Helper'!$L$23:$GI$23,'Tally Helper'!$L$21:$GI$21,"&gt;="&amp;$BR87,'Tally Helper'!$L$21:$GI$21,"&lt;="&amp;$BS87)))</f>
        <v/>
      </c>
      <c r="AE87" s="17" t="str">
        <f aca="false">IF(OR(I$7="",$BR87=""),"",IF('Tally Helper'!$B$24&lt;&gt;TRUE(),"not on Staff",SUMIFS('Tally Helper'!$L$26:$GI$26,'Tally Helper'!$L$24:$GI$24,"&gt;="&amp;$BR87,'Tally Helper'!$L$24:$GI$24,"&lt;="&amp;$BS87)))</f>
        <v/>
      </c>
      <c r="AF87" s="17" t="str">
        <f aca="false">IF(OR(J$7="",$BR87=""),"",IF('Tally Helper'!$B$27&lt;&gt;TRUE(),"not on Staff",SUMIFS('Tally Helper'!$L$29:$GI$29,'Tally Helper'!$L$27:$GI$27,"&gt;="&amp;$BR87,'Tally Helper'!$L$27:$GI$27,"&lt;="&amp;$BS87)))</f>
        <v/>
      </c>
      <c r="AG87" s="17" t="str">
        <f aca="false">IF(OR(K$7="",$BR87=""),"",IF('Tally Helper'!$B$30&lt;&gt;TRUE(),"not on Staff",SUMIFS('Tally Helper'!$L$32:$GI$32,'Tally Helper'!$L$30:$GI$30,"&gt;="&amp;$BR87,'Tally Helper'!$L$30:$GI$30,"&lt;="&amp;$BS87)))</f>
        <v/>
      </c>
      <c r="AH87" s="17" t="str">
        <f aca="false">IF(OR(L$7="",$BR87=""),"",IF('Tally Helper'!$B$33&lt;&gt;TRUE(),"not on Staff",SUMIFS('Tally Helper'!$L$35:$GI$35,'Tally Helper'!$L$33:$GI$33,"&gt;="&amp;$BR87,'Tally Helper'!$L$33:$GI$33,"&lt;="&amp;$BS87)))</f>
        <v/>
      </c>
      <c r="AI87" s="17" t="str">
        <f aca="false">IF(OR(M$7="",$BR87=""),"",IF('Tally Helper'!$B$36&lt;&gt;TRUE(),"not on Staff",SUMIFS('Tally Helper'!$L$38:$GI$38,'Tally Helper'!$L$36:$GI$36,"&gt;="&amp;$BR87,'Tally Helper'!$L$36:$GI$36,"&lt;="&amp;$BS87)))</f>
        <v/>
      </c>
      <c r="AJ87" s="17" t="str">
        <f aca="false">IF(OR(N$7="",$BR87=""),"",IF('Tally Helper'!$B$39&lt;&gt;TRUE(),"not on Staff",SUMIFS('Tally Helper'!$L$41:$GI$41,'Tally Helper'!$L$39:$GI$39,"&gt;="&amp;$BR87,'Tally Helper'!$L$39:$GI$39,"&lt;="&amp;$BS87)))</f>
        <v/>
      </c>
      <c r="AK87" s="17" t="str">
        <f aca="false">IF(OR(O$7="",$BR87=""),"",IF('Tally Helper'!$B$42&lt;&gt;TRUE(),"not on Staff",SUMIFS('Tally Helper'!$L$44:$GI$44,'Tally Helper'!$L$42:$GI$42,"&gt;="&amp;$BR87,'Tally Helper'!$L$42:$GI$42,"&lt;="&amp;$BS87)))</f>
        <v/>
      </c>
      <c r="AL87" s="17" t="str">
        <f aca="false">IF(OR(P$7="",$BR87=""),"",IF('Tally Helper'!$B$45&lt;&gt;TRUE(),"not on Staff",SUMIFS('Tally Helper'!$L$47:$GI$47,'Tally Helper'!$L$45:$GI$45,"&gt;="&amp;$BR87,'Tally Helper'!$L$45:$GI$45,"&lt;="&amp;$BS87)))</f>
        <v/>
      </c>
      <c r="AM87" s="17" t="str">
        <f aca="false">IF(OR(Q$7="",$BR87=""),"",IF('Tally Helper'!$B$48&lt;&gt;TRUE(),"not on Staff",SUMIFS('Tally Helper'!$L$50:$GI$50,'Tally Helper'!$L$48:$GI$48,"&gt;="&amp;$BR87,'Tally Helper'!$L$48:$GI$48,"&lt;="&amp;$BS87)))</f>
        <v/>
      </c>
      <c r="AN87" s="17" t="str">
        <f aca="false">IF(OR(R$7="",$BR87=""),"",IF('Tally Helper'!$B$51&lt;&gt;TRUE(),"not on Staff",SUMIFS('Tally Helper'!$L$53:$GI$53,'Tally Helper'!$L$51:$GI$51,"&gt;="&amp;$BR87,'Tally Helper'!$L$51:$GI$51,"&lt;="&amp;$BS87)))</f>
        <v/>
      </c>
      <c r="AO87" s="17" t="str">
        <f aca="false">IF(OR(S$7="",$BR87=""),"",IF('Tally Helper'!$B$54&lt;&gt;TRUE(),"not on Staff",SUMIFS('Tally Helper'!$L$56:$GI$56,'Tally Helper'!$L$54:$GI$54,"&gt;="&amp;$BR87,'Tally Helper'!$L$54:$GI$54,"&lt;="&amp;$BS87)))</f>
        <v/>
      </c>
      <c r="AP87" s="17" t="str">
        <f aca="false">IF(OR(T$7="",$BR87=""),"",IF('Tally Helper'!$B$57&lt;&gt;TRUE(),"not on Staff",SUMIFS('Tally Helper'!$L$59:$GI$59,'Tally Helper'!$L$57:$GI$57,"&gt;="&amp;$BR87,'Tally Helper'!$L$57:$GI$57,"&lt;="&amp;$BS87)))</f>
        <v/>
      </c>
      <c r="AQ87" s="17" t="str">
        <f aca="false">IF(OR(U$7="",$BR87=""),"",IF('Tally Helper'!$B$60&lt;&gt;TRUE(),"not on Staff",SUMIFS('Tally Helper'!$L$62:$GI$62,'Tally Helper'!$L$60:$GI$60,"&gt;="&amp;$BR87,'Tally Helper'!$L$60:$GI$60,"&lt;="&amp;$BS87)))</f>
        <v/>
      </c>
      <c r="AT87" s="17" t="str">
        <f aca="false">IF(OR(X87="",NOT(ISNUMBER(X87))),"",X87-N(B87))</f>
        <v/>
      </c>
      <c r="AU87" s="17" t="str">
        <f aca="false">IF(OR(Y87="",NOT(ISNUMBER(Y87))),"",Y87-N(C87))</f>
        <v/>
      </c>
      <c r="AV87" s="17" t="str">
        <f aca="false">IF(OR(Z87="",NOT(ISNUMBER(Z87))),"",Z87-N(D87))</f>
        <v/>
      </c>
      <c r="AW87" s="17" t="str">
        <f aca="false">IF(OR(AA87="",NOT(ISNUMBER(AA87))),"",AA87-N(E87))</f>
        <v/>
      </c>
      <c r="AX87" s="17" t="str">
        <f aca="false">IF(OR(AB87="",NOT(ISNUMBER(AB87))),"",AB87-N(F87))</f>
        <v/>
      </c>
      <c r="AY87" s="17" t="str">
        <f aca="false">IF(OR(AC87="",NOT(ISNUMBER(AC87))),"",AC87-N(G87))</f>
        <v/>
      </c>
      <c r="AZ87" s="17" t="str">
        <f aca="false">IF(OR(AD87="",NOT(ISNUMBER(AD87))),"",AD87-N(H87))</f>
        <v/>
      </c>
      <c r="BA87" s="17" t="str">
        <f aca="false">IF(OR(AE87="",NOT(ISNUMBER(AE87))),"",AE87-N(I87))</f>
        <v/>
      </c>
      <c r="BB87" s="17" t="str">
        <f aca="false">IF(OR(AF87="",NOT(ISNUMBER(AF87))),"",AF87-N(J87))</f>
        <v/>
      </c>
      <c r="BC87" s="17" t="str">
        <f aca="false">IF(OR(AG87="",NOT(ISNUMBER(AG87))),"",AG87-N(K87))</f>
        <v/>
      </c>
      <c r="BD87" s="17" t="str">
        <f aca="false">IF(OR(AH87="",NOT(ISNUMBER(AH87))),"",AH87-N(L87))</f>
        <v/>
      </c>
      <c r="BE87" s="17" t="str">
        <f aca="false">IF(OR(AI87="",NOT(ISNUMBER(AI87))),"",AI87-N(M87))</f>
        <v/>
      </c>
      <c r="BF87" s="17" t="str">
        <f aca="false">IF(OR(AJ87="",NOT(ISNUMBER(AJ87))),"",AJ87-N(N87))</f>
        <v/>
      </c>
      <c r="BG87" s="17" t="str">
        <f aca="false">IF(OR(AK87="",NOT(ISNUMBER(AK87))),"",AK87-N(O87))</f>
        <v/>
      </c>
      <c r="BH87" s="17" t="str">
        <f aca="false">IF(OR(AL87="",NOT(ISNUMBER(AL87))),"",AL87-N(P87))</f>
        <v/>
      </c>
      <c r="BI87" s="17" t="str">
        <f aca="false">IF(OR(AM87="",NOT(ISNUMBER(AM87))),"",AM87-N(Q87))</f>
        <v/>
      </c>
      <c r="BJ87" s="17" t="str">
        <f aca="false">IF(OR(AN87="",NOT(ISNUMBER(AN87))),"",AN87-N(R87))</f>
        <v/>
      </c>
      <c r="BK87" s="17" t="str">
        <f aca="false">IF(OR(AO87="",NOT(ISNUMBER(AO87))),"",AO87-N(S87))</f>
        <v/>
      </c>
      <c r="BL87" s="17" t="str">
        <f aca="false">IF(OR(AP87="",NOT(ISNUMBER(AP87))),"",AP87-N(T87))</f>
        <v/>
      </c>
      <c r="BM87" s="17" t="str">
        <f aca="false">IF(OR(AQ87="",NOT(ISNUMBER(AQ87))),"",AQ87-N(U87))</f>
        <v/>
      </c>
      <c r="BR87" s="20" t="str">
        <f aca="false">IF($A87="","",IF(ISNUMBER($A87),DATE(YEAR($A87),MONTH($A87),1),IFERROR(DATE(2000+VALUE(RIGHT(TRIM($A87),2)),MATCH(UPPER(LEFT(TRIM($A87),3)),{"JAN","FEB","MAR","APR","MAY","JUN","JUL","AUG","SEP","OCT","NOV","DEC"},0),1),"")))</f>
        <v/>
      </c>
      <c r="BS87" s="20" t="str">
        <f aca="false">IF(BR87="","",EOMONTH(BR87,0))</f>
        <v/>
      </c>
    </row>
    <row r="88" customFormat="false" ht="15" hidden="false" customHeight="false" outlineLevel="0" collapsed="false">
      <c r="B88" s="21"/>
      <c r="C88" s="21"/>
      <c r="D88" s="21"/>
      <c r="E88" s="21"/>
      <c r="F88" s="21"/>
      <c r="G88" s="21"/>
      <c r="H88" s="21"/>
      <c r="I88" s="21"/>
      <c r="J88" s="21"/>
      <c r="K88" s="21"/>
      <c r="L88" s="21"/>
      <c r="M88" s="21"/>
      <c r="N88" s="21"/>
      <c r="O88" s="21"/>
      <c r="P88" s="21"/>
      <c r="Q88" s="21"/>
      <c r="R88" s="21"/>
      <c r="S88" s="21"/>
      <c r="T88" s="21"/>
      <c r="U88" s="21"/>
      <c r="X88" s="17" t="str">
        <f aca="false">IF(OR(B$7="",$BR88=""),"",IF('Tally Helper'!$B$3&lt;&gt;TRUE(),"not on Staff",SUMIFS('Tally Helper'!$L$5:$GI$5,'Tally Helper'!$L$3:$GI$3,"&gt;="&amp;$BR88,'Tally Helper'!$L$3:$GI$3,"&lt;="&amp;$BS88)))</f>
        <v/>
      </c>
      <c r="Y88" s="17" t="str">
        <f aca="false">IF(OR(C$7="",$BR88=""),"",IF('Tally Helper'!$B$6&lt;&gt;TRUE(),"not on Staff",SUMIFS('Tally Helper'!$L$8:$GI$8,'Tally Helper'!$L$6:$GI$6,"&gt;="&amp;$BR88,'Tally Helper'!$L$6:$GI$6,"&lt;="&amp;$BS88)))</f>
        <v/>
      </c>
      <c r="Z88" s="17" t="str">
        <f aca="false">IF(OR(D$7="",$BR88=""),"",IF('Tally Helper'!$B$9&lt;&gt;TRUE(),"not on Staff",SUMIFS('Tally Helper'!$L$11:$GI$11,'Tally Helper'!$L$9:$GI$9,"&gt;="&amp;$BR88,'Tally Helper'!$L$9:$GI$9,"&lt;="&amp;$BS88)))</f>
        <v/>
      </c>
      <c r="AA88" s="17" t="str">
        <f aca="false">IF(OR(E$7="",$BR88=""),"",IF('Tally Helper'!$B$12&lt;&gt;TRUE(),"not on Staff",SUMIFS('Tally Helper'!$L$14:$GI$14,'Tally Helper'!$L$12:$GI$12,"&gt;="&amp;$BR88,'Tally Helper'!$L$12:$GI$12,"&lt;="&amp;$BS88)))</f>
        <v/>
      </c>
      <c r="AB88" s="17" t="str">
        <f aca="false">IF(OR(F$7="",$BR88=""),"",IF('Tally Helper'!$B$15&lt;&gt;TRUE(),"not on Staff",SUMIFS('Tally Helper'!$L$17:$GI$17,'Tally Helper'!$L$15:$GI$15,"&gt;="&amp;$BR88,'Tally Helper'!$L$15:$GI$15,"&lt;="&amp;$BS88)))</f>
        <v/>
      </c>
      <c r="AC88" s="17" t="str">
        <f aca="false">IF(OR(G$7="",$BR88=""),"",IF('Tally Helper'!$B$18&lt;&gt;TRUE(),"not on Staff",SUMIFS('Tally Helper'!$L$20:$GI$20,'Tally Helper'!$L$18:$GI$18,"&gt;="&amp;$BR88,'Tally Helper'!$L$18:$GI$18,"&lt;="&amp;$BS88)))</f>
        <v/>
      </c>
      <c r="AD88" s="17" t="str">
        <f aca="false">IF(OR(H$7="",$BR88=""),"",IF('Tally Helper'!$B$21&lt;&gt;TRUE(),"not on Staff",SUMIFS('Tally Helper'!$L$23:$GI$23,'Tally Helper'!$L$21:$GI$21,"&gt;="&amp;$BR88,'Tally Helper'!$L$21:$GI$21,"&lt;="&amp;$BS88)))</f>
        <v/>
      </c>
      <c r="AE88" s="17" t="str">
        <f aca="false">IF(OR(I$7="",$BR88=""),"",IF('Tally Helper'!$B$24&lt;&gt;TRUE(),"not on Staff",SUMIFS('Tally Helper'!$L$26:$GI$26,'Tally Helper'!$L$24:$GI$24,"&gt;="&amp;$BR88,'Tally Helper'!$L$24:$GI$24,"&lt;="&amp;$BS88)))</f>
        <v/>
      </c>
      <c r="AF88" s="17" t="str">
        <f aca="false">IF(OR(J$7="",$BR88=""),"",IF('Tally Helper'!$B$27&lt;&gt;TRUE(),"not on Staff",SUMIFS('Tally Helper'!$L$29:$GI$29,'Tally Helper'!$L$27:$GI$27,"&gt;="&amp;$BR88,'Tally Helper'!$L$27:$GI$27,"&lt;="&amp;$BS88)))</f>
        <v/>
      </c>
      <c r="AG88" s="17" t="str">
        <f aca="false">IF(OR(K$7="",$BR88=""),"",IF('Tally Helper'!$B$30&lt;&gt;TRUE(),"not on Staff",SUMIFS('Tally Helper'!$L$32:$GI$32,'Tally Helper'!$L$30:$GI$30,"&gt;="&amp;$BR88,'Tally Helper'!$L$30:$GI$30,"&lt;="&amp;$BS88)))</f>
        <v/>
      </c>
      <c r="AH88" s="17" t="str">
        <f aca="false">IF(OR(L$7="",$BR88=""),"",IF('Tally Helper'!$B$33&lt;&gt;TRUE(),"not on Staff",SUMIFS('Tally Helper'!$L$35:$GI$35,'Tally Helper'!$L$33:$GI$33,"&gt;="&amp;$BR88,'Tally Helper'!$L$33:$GI$33,"&lt;="&amp;$BS88)))</f>
        <v/>
      </c>
      <c r="AI88" s="17" t="str">
        <f aca="false">IF(OR(M$7="",$BR88=""),"",IF('Tally Helper'!$B$36&lt;&gt;TRUE(),"not on Staff",SUMIFS('Tally Helper'!$L$38:$GI$38,'Tally Helper'!$L$36:$GI$36,"&gt;="&amp;$BR88,'Tally Helper'!$L$36:$GI$36,"&lt;="&amp;$BS88)))</f>
        <v/>
      </c>
      <c r="AJ88" s="17" t="str">
        <f aca="false">IF(OR(N$7="",$BR88=""),"",IF('Tally Helper'!$B$39&lt;&gt;TRUE(),"not on Staff",SUMIFS('Tally Helper'!$L$41:$GI$41,'Tally Helper'!$L$39:$GI$39,"&gt;="&amp;$BR88,'Tally Helper'!$L$39:$GI$39,"&lt;="&amp;$BS88)))</f>
        <v/>
      </c>
      <c r="AK88" s="17" t="str">
        <f aca="false">IF(OR(O$7="",$BR88=""),"",IF('Tally Helper'!$B$42&lt;&gt;TRUE(),"not on Staff",SUMIFS('Tally Helper'!$L$44:$GI$44,'Tally Helper'!$L$42:$GI$42,"&gt;="&amp;$BR88,'Tally Helper'!$L$42:$GI$42,"&lt;="&amp;$BS88)))</f>
        <v/>
      </c>
      <c r="AL88" s="17" t="str">
        <f aca="false">IF(OR(P$7="",$BR88=""),"",IF('Tally Helper'!$B$45&lt;&gt;TRUE(),"not on Staff",SUMIFS('Tally Helper'!$L$47:$GI$47,'Tally Helper'!$L$45:$GI$45,"&gt;="&amp;$BR88,'Tally Helper'!$L$45:$GI$45,"&lt;="&amp;$BS88)))</f>
        <v/>
      </c>
      <c r="AM88" s="17" t="str">
        <f aca="false">IF(OR(Q$7="",$BR88=""),"",IF('Tally Helper'!$B$48&lt;&gt;TRUE(),"not on Staff",SUMIFS('Tally Helper'!$L$50:$GI$50,'Tally Helper'!$L$48:$GI$48,"&gt;="&amp;$BR88,'Tally Helper'!$L$48:$GI$48,"&lt;="&amp;$BS88)))</f>
        <v/>
      </c>
      <c r="AN88" s="17" t="str">
        <f aca="false">IF(OR(R$7="",$BR88=""),"",IF('Tally Helper'!$B$51&lt;&gt;TRUE(),"not on Staff",SUMIFS('Tally Helper'!$L$53:$GI$53,'Tally Helper'!$L$51:$GI$51,"&gt;="&amp;$BR88,'Tally Helper'!$L$51:$GI$51,"&lt;="&amp;$BS88)))</f>
        <v/>
      </c>
      <c r="AO88" s="17" t="str">
        <f aca="false">IF(OR(S$7="",$BR88=""),"",IF('Tally Helper'!$B$54&lt;&gt;TRUE(),"not on Staff",SUMIFS('Tally Helper'!$L$56:$GI$56,'Tally Helper'!$L$54:$GI$54,"&gt;="&amp;$BR88,'Tally Helper'!$L$54:$GI$54,"&lt;="&amp;$BS88)))</f>
        <v/>
      </c>
      <c r="AP88" s="17" t="str">
        <f aca="false">IF(OR(T$7="",$BR88=""),"",IF('Tally Helper'!$B$57&lt;&gt;TRUE(),"not on Staff",SUMIFS('Tally Helper'!$L$59:$GI$59,'Tally Helper'!$L$57:$GI$57,"&gt;="&amp;$BR88,'Tally Helper'!$L$57:$GI$57,"&lt;="&amp;$BS88)))</f>
        <v/>
      </c>
      <c r="AQ88" s="17" t="str">
        <f aca="false">IF(OR(U$7="",$BR88=""),"",IF('Tally Helper'!$B$60&lt;&gt;TRUE(),"not on Staff",SUMIFS('Tally Helper'!$L$62:$GI$62,'Tally Helper'!$L$60:$GI$60,"&gt;="&amp;$BR88,'Tally Helper'!$L$60:$GI$60,"&lt;="&amp;$BS88)))</f>
        <v/>
      </c>
      <c r="AT88" s="17" t="str">
        <f aca="false">IF(OR(X88="",NOT(ISNUMBER(X88))),"",X88-N(B88))</f>
        <v/>
      </c>
      <c r="AU88" s="17" t="str">
        <f aca="false">IF(OR(Y88="",NOT(ISNUMBER(Y88))),"",Y88-N(C88))</f>
        <v/>
      </c>
      <c r="AV88" s="17" t="str">
        <f aca="false">IF(OR(Z88="",NOT(ISNUMBER(Z88))),"",Z88-N(D88))</f>
        <v/>
      </c>
      <c r="AW88" s="17" t="str">
        <f aca="false">IF(OR(AA88="",NOT(ISNUMBER(AA88))),"",AA88-N(E88))</f>
        <v/>
      </c>
      <c r="AX88" s="17" t="str">
        <f aca="false">IF(OR(AB88="",NOT(ISNUMBER(AB88))),"",AB88-N(F88))</f>
        <v/>
      </c>
      <c r="AY88" s="17" t="str">
        <f aca="false">IF(OR(AC88="",NOT(ISNUMBER(AC88))),"",AC88-N(G88))</f>
        <v/>
      </c>
      <c r="AZ88" s="17" t="str">
        <f aca="false">IF(OR(AD88="",NOT(ISNUMBER(AD88))),"",AD88-N(H88))</f>
        <v/>
      </c>
      <c r="BA88" s="17" t="str">
        <f aca="false">IF(OR(AE88="",NOT(ISNUMBER(AE88))),"",AE88-N(I88))</f>
        <v/>
      </c>
      <c r="BB88" s="17" t="str">
        <f aca="false">IF(OR(AF88="",NOT(ISNUMBER(AF88))),"",AF88-N(J88))</f>
        <v/>
      </c>
      <c r="BC88" s="17" t="str">
        <f aca="false">IF(OR(AG88="",NOT(ISNUMBER(AG88))),"",AG88-N(K88))</f>
        <v/>
      </c>
      <c r="BD88" s="17" t="str">
        <f aca="false">IF(OR(AH88="",NOT(ISNUMBER(AH88))),"",AH88-N(L88))</f>
        <v/>
      </c>
      <c r="BE88" s="17" t="str">
        <f aca="false">IF(OR(AI88="",NOT(ISNUMBER(AI88))),"",AI88-N(M88))</f>
        <v/>
      </c>
      <c r="BF88" s="17" t="str">
        <f aca="false">IF(OR(AJ88="",NOT(ISNUMBER(AJ88))),"",AJ88-N(N88))</f>
        <v/>
      </c>
      <c r="BG88" s="17" t="str">
        <f aca="false">IF(OR(AK88="",NOT(ISNUMBER(AK88))),"",AK88-N(O88))</f>
        <v/>
      </c>
      <c r="BH88" s="17" t="str">
        <f aca="false">IF(OR(AL88="",NOT(ISNUMBER(AL88))),"",AL88-N(P88))</f>
        <v/>
      </c>
      <c r="BI88" s="17" t="str">
        <f aca="false">IF(OR(AM88="",NOT(ISNUMBER(AM88))),"",AM88-N(Q88))</f>
        <v/>
      </c>
      <c r="BJ88" s="17" t="str">
        <f aca="false">IF(OR(AN88="",NOT(ISNUMBER(AN88))),"",AN88-N(R88))</f>
        <v/>
      </c>
      <c r="BK88" s="17" t="str">
        <f aca="false">IF(OR(AO88="",NOT(ISNUMBER(AO88))),"",AO88-N(S88))</f>
        <v/>
      </c>
      <c r="BL88" s="17" t="str">
        <f aca="false">IF(OR(AP88="",NOT(ISNUMBER(AP88))),"",AP88-N(T88))</f>
        <v/>
      </c>
      <c r="BM88" s="17" t="str">
        <f aca="false">IF(OR(AQ88="",NOT(ISNUMBER(AQ88))),"",AQ88-N(U88))</f>
        <v/>
      </c>
      <c r="BR88" s="20" t="str">
        <f aca="false">IF($A88="","",IF(ISNUMBER($A88),DATE(YEAR($A88),MONTH($A88),1),IFERROR(DATE(2000+VALUE(RIGHT(TRIM($A88),2)),MATCH(UPPER(LEFT(TRIM($A88),3)),{"JAN","FEB","MAR","APR","MAY","JUN","JUL","AUG","SEP","OCT","NOV","DEC"},0),1),"")))</f>
        <v/>
      </c>
      <c r="BS88" s="20" t="str">
        <f aca="false">IF(BR88="","",EOMONTH(BR88,0))</f>
        <v/>
      </c>
    </row>
    <row r="89" customFormat="false" ht="15" hidden="false" customHeight="false" outlineLevel="0" collapsed="false">
      <c r="B89" s="21"/>
      <c r="C89" s="21"/>
      <c r="D89" s="21"/>
      <c r="E89" s="21"/>
      <c r="F89" s="21"/>
      <c r="G89" s="21"/>
      <c r="H89" s="21"/>
      <c r="I89" s="21"/>
      <c r="J89" s="21"/>
      <c r="K89" s="21"/>
      <c r="L89" s="21"/>
      <c r="M89" s="21"/>
      <c r="N89" s="21"/>
      <c r="O89" s="21"/>
      <c r="P89" s="21"/>
      <c r="Q89" s="21"/>
      <c r="R89" s="21"/>
      <c r="S89" s="21"/>
      <c r="T89" s="21"/>
      <c r="U89" s="21"/>
      <c r="X89" s="17" t="str">
        <f aca="false">IF(OR(B$7="",$BR89=""),"",IF('Tally Helper'!$B$3&lt;&gt;TRUE(),"not on Staff",SUMIFS('Tally Helper'!$L$5:$GI$5,'Tally Helper'!$L$3:$GI$3,"&gt;="&amp;$BR89,'Tally Helper'!$L$3:$GI$3,"&lt;="&amp;$BS89)))</f>
        <v/>
      </c>
      <c r="Y89" s="17" t="str">
        <f aca="false">IF(OR(C$7="",$BR89=""),"",IF('Tally Helper'!$B$6&lt;&gt;TRUE(),"not on Staff",SUMIFS('Tally Helper'!$L$8:$GI$8,'Tally Helper'!$L$6:$GI$6,"&gt;="&amp;$BR89,'Tally Helper'!$L$6:$GI$6,"&lt;="&amp;$BS89)))</f>
        <v/>
      </c>
      <c r="Z89" s="17" t="str">
        <f aca="false">IF(OR(D$7="",$BR89=""),"",IF('Tally Helper'!$B$9&lt;&gt;TRUE(),"not on Staff",SUMIFS('Tally Helper'!$L$11:$GI$11,'Tally Helper'!$L$9:$GI$9,"&gt;="&amp;$BR89,'Tally Helper'!$L$9:$GI$9,"&lt;="&amp;$BS89)))</f>
        <v/>
      </c>
      <c r="AA89" s="17" t="str">
        <f aca="false">IF(OR(E$7="",$BR89=""),"",IF('Tally Helper'!$B$12&lt;&gt;TRUE(),"not on Staff",SUMIFS('Tally Helper'!$L$14:$GI$14,'Tally Helper'!$L$12:$GI$12,"&gt;="&amp;$BR89,'Tally Helper'!$L$12:$GI$12,"&lt;="&amp;$BS89)))</f>
        <v/>
      </c>
      <c r="AB89" s="17" t="str">
        <f aca="false">IF(OR(F$7="",$BR89=""),"",IF('Tally Helper'!$B$15&lt;&gt;TRUE(),"not on Staff",SUMIFS('Tally Helper'!$L$17:$GI$17,'Tally Helper'!$L$15:$GI$15,"&gt;="&amp;$BR89,'Tally Helper'!$L$15:$GI$15,"&lt;="&amp;$BS89)))</f>
        <v/>
      </c>
      <c r="AC89" s="17" t="str">
        <f aca="false">IF(OR(G$7="",$BR89=""),"",IF('Tally Helper'!$B$18&lt;&gt;TRUE(),"not on Staff",SUMIFS('Tally Helper'!$L$20:$GI$20,'Tally Helper'!$L$18:$GI$18,"&gt;="&amp;$BR89,'Tally Helper'!$L$18:$GI$18,"&lt;="&amp;$BS89)))</f>
        <v/>
      </c>
      <c r="AD89" s="17" t="str">
        <f aca="false">IF(OR(H$7="",$BR89=""),"",IF('Tally Helper'!$B$21&lt;&gt;TRUE(),"not on Staff",SUMIFS('Tally Helper'!$L$23:$GI$23,'Tally Helper'!$L$21:$GI$21,"&gt;="&amp;$BR89,'Tally Helper'!$L$21:$GI$21,"&lt;="&amp;$BS89)))</f>
        <v/>
      </c>
      <c r="AE89" s="17" t="str">
        <f aca="false">IF(OR(I$7="",$BR89=""),"",IF('Tally Helper'!$B$24&lt;&gt;TRUE(),"not on Staff",SUMIFS('Tally Helper'!$L$26:$GI$26,'Tally Helper'!$L$24:$GI$24,"&gt;="&amp;$BR89,'Tally Helper'!$L$24:$GI$24,"&lt;="&amp;$BS89)))</f>
        <v/>
      </c>
      <c r="AF89" s="17" t="str">
        <f aca="false">IF(OR(J$7="",$BR89=""),"",IF('Tally Helper'!$B$27&lt;&gt;TRUE(),"not on Staff",SUMIFS('Tally Helper'!$L$29:$GI$29,'Tally Helper'!$L$27:$GI$27,"&gt;="&amp;$BR89,'Tally Helper'!$L$27:$GI$27,"&lt;="&amp;$BS89)))</f>
        <v/>
      </c>
      <c r="AG89" s="17" t="str">
        <f aca="false">IF(OR(K$7="",$BR89=""),"",IF('Tally Helper'!$B$30&lt;&gt;TRUE(),"not on Staff",SUMIFS('Tally Helper'!$L$32:$GI$32,'Tally Helper'!$L$30:$GI$30,"&gt;="&amp;$BR89,'Tally Helper'!$L$30:$GI$30,"&lt;="&amp;$BS89)))</f>
        <v/>
      </c>
      <c r="AH89" s="17" t="str">
        <f aca="false">IF(OR(L$7="",$BR89=""),"",IF('Tally Helper'!$B$33&lt;&gt;TRUE(),"not on Staff",SUMIFS('Tally Helper'!$L$35:$GI$35,'Tally Helper'!$L$33:$GI$33,"&gt;="&amp;$BR89,'Tally Helper'!$L$33:$GI$33,"&lt;="&amp;$BS89)))</f>
        <v/>
      </c>
      <c r="AI89" s="17" t="str">
        <f aca="false">IF(OR(M$7="",$BR89=""),"",IF('Tally Helper'!$B$36&lt;&gt;TRUE(),"not on Staff",SUMIFS('Tally Helper'!$L$38:$GI$38,'Tally Helper'!$L$36:$GI$36,"&gt;="&amp;$BR89,'Tally Helper'!$L$36:$GI$36,"&lt;="&amp;$BS89)))</f>
        <v/>
      </c>
      <c r="AJ89" s="17" t="str">
        <f aca="false">IF(OR(N$7="",$BR89=""),"",IF('Tally Helper'!$B$39&lt;&gt;TRUE(),"not on Staff",SUMIFS('Tally Helper'!$L$41:$GI$41,'Tally Helper'!$L$39:$GI$39,"&gt;="&amp;$BR89,'Tally Helper'!$L$39:$GI$39,"&lt;="&amp;$BS89)))</f>
        <v/>
      </c>
      <c r="AK89" s="17" t="str">
        <f aca="false">IF(OR(O$7="",$BR89=""),"",IF('Tally Helper'!$B$42&lt;&gt;TRUE(),"not on Staff",SUMIFS('Tally Helper'!$L$44:$GI$44,'Tally Helper'!$L$42:$GI$42,"&gt;="&amp;$BR89,'Tally Helper'!$L$42:$GI$42,"&lt;="&amp;$BS89)))</f>
        <v/>
      </c>
      <c r="AL89" s="17" t="str">
        <f aca="false">IF(OR(P$7="",$BR89=""),"",IF('Tally Helper'!$B$45&lt;&gt;TRUE(),"not on Staff",SUMIFS('Tally Helper'!$L$47:$GI$47,'Tally Helper'!$L$45:$GI$45,"&gt;="&amp;$BR89,'Tally Helper'!$L$45:$GI$45,"&lt;="&amp;$BS89)))</f>
        <v/>
      </c>
      <c r="AM89" s="17" t="str">
        <f aca="false">IF(OR(Q$7="",$BR89=""),"",IF('Tally Helper'!$B$48&lt;&gt;TRUE(),"not on Staff",SUMIFS('Tally Helper'!$L$50:$GI$50,'Tally Helper'!$L$48:$GI$48,"&gt;="&amp;$BR89,'Tally Helper'!$L$48:$GI$48,"&lt;="&amp;$BS89)))</f>
        <v/>
      </c>
      <c r="AN89" s="17" t="str">
        <f aca="false">IF(OR(R$7="",$BR89=""),"",IF('Tally Helper'!$B$51&lt;&gt;TRUE(),"not on Staff",SUMIFS('Tally Helper'!$L$53:$GI$53,'Tally Helper'!$L$51:$GI$51,"&gt;="&amp;$BR89,'Tally Helper'!$L$51:$GI$51,"&lt;="&amp;$BS89)))</f>
        <v/>
      </c>
      <c r="AO89" s="17" t="str">
        <f aca="false">IF(OR(S$7="",$BR89=""),"",IF('Tally Helper'!$B$54&lt;&gt;TRUE(),"not on Staff",SUMIFS('Tally Helper'!$L$56:$GI$56,'Tally Helper'!$L$54:$GI$54,"&gt;="&amp;$BR89,'Tally Helper'!$L$54:$GI$54,"&lt;="&amp;$BS89)))</f>
        <v/>
      </c>
      <c r="AP89" s="17" t="str">
        <f aca="false">IF(OR(T$7="",$BR89=""),"",IF('Tally Helper'!$B$57&lt;&gt;TRUE(),"not on Staff",SUMIFS('Tally Helper'!$L$59:$GI$59,'Tally Helper'!$L$57:$GI$57,"&gt;="&amp;$BR89,'Tally Helper'!$L$57:$GI$57,"&lt;="&amp;$BS89)))</f>
        <v/>
      </c>
      <c r="AQ89" s="17" t="str">
        <f aca="false">IF(OR(U$7="",$BR89=""),"",IF('Tally Helper'!$B$60&lt;&gt;TRUE(),"not on Staff",SUMIFS('Tally Helper'!$L$62:$GI$62,'Tally Helper'!$L$60:$GI$60,"&gt;="&amp;$BR89,'Tally Helper'!$L$60:$GI$60,"&lt;="&amp;$BS89)))</f>
        <v/>
      </c>
      <c r="AT89" s="17" t="str">
        <f aca="false">IF(OR(X89="",NOT(ISNUMBER(X89))),"",X89-N(B89))</f>
        <v/>
      </c>
      <c r="AU89" s="17" t="str">
        <f aca="false">IF(OR(Y89="",NOT(ISNUMBER(Y89))),"",Y89-N(C89))</f>
        <v/>
      </c>
      <c r="AV89" s="17" t="str">
        <f aca="false">IF(OR(Z89="",NOT(ISNUMBER(Z89))),"",Z89-N(D89))</f>
        <v/>
      </c>
      <c r="AW89" s="17" t="str">
        <f aca="false">IF(OR(AA89="",NOT(ISNUMBER(AA89))),"",AA89-N(E89))</f>
        <v/>
      </c>
      <c r="AX89" s="17" t="str">
        <f aca="false">IF(OR(AB89="",NOT(ISNUMBER(AB89))),"",AB89-N(F89))</f>
        <v/>
      </c>
      <c r="AY89" s="17" t="str">
        <f aca="false">IF(OR(AC89="",NOT(ISNUMBER(AC89))),"",AC89-N(G89))</f>
        <v/>
      </c>
      <c r="AZ89" s="17" t="str">
        <f aca="false">IF(OR(AD89="",NOT(ISNUMBER(AD89))),"",AD89-N(H89))</f>
        <v/>
      </c>
      <c r="BA89" s="17" t="str">
        <f aca="false">IF(OR(AE89="",NOT(ISNUMBER(AE89))),"",AE89-N(I89))</f>
        <v/>
      </c>
      <c r="BB89" s="17" t="str">
        <f aca="false">IF(OR(AF89="",NOT(ISNUMBER(AF89))),"",AF89-N(J89))</f>
        <v/>
      </c>
      <c r="BC89" s="17" t="str">
        <f aca="false">IF(OR(AG89="",NOT(ISNUMBER(AG89))),"",AG89-N(K89))</f>
        <v/>
      </c>
      <c r="BD89" s="17" t="str">
        <f aca="false">IF(OR(AH89="",NOT(ISNUMBER(AH89))),"",AH89-N(L89))</f>
        <v/>
      </c>
      <c r="BE89" s="17" t="str">
        <f aca="false">IF(OR(AI89="",NOT(ISNUMBER(AI89))),"",AI89-N(M89))</f>
        <v/>
      </c>
      <c r="BF89" s="17" t="str">
        <f aca="false">IF(OR(AJ89="",NOT(ISNUMBER(AJ89))),"",AJ89-N(N89))</f>
        <v/>
      </c>
      <c r="BG89" s="17" t="str">
        <f aca="false">IF(OR(AK89="",NOT(ISNUMBER(AK89))),"",AK89-N(O89))</f>
        <v/>
      </c>
      <c r="BH89" s="17" t="str">
        <f aca="false">IF(OR(AL89="",NOT(ISNUMBER(AL89))),"",AL89-N(P89))</f>
        <v/>
      </c>
      <c r="BI89" s="17" t="str">
        <f aca="false">IF(OR(AM89="",NOT(ISNUMBER(AM89))),"",AM89-N(Q89))</f>
        <v/>
      </c>
      <c r="BJ89" s="17" t="str">
        <f aca="false">IF(OR(AN89="",NOT(ISNUMBER(AN89))),"",AN89-N(R89))</f>
        <v/>
      </c>
      <c r="BK89" s="17" t="str">
        <f aca="false">IF(OR(AO89="",NOT(ISNUMBER(AO89))),"",AO89-N(S89))</f>
        <v/>
      </c>
      <c r="BL89" s="17" t="str">
        <f aca="false">IF(OR(AP89="",NOT(ISNUMBER(AP89))),"",AP89-N(T89))</f>
        <v/>
      </c>
      <c r="BM89" s="17" t="str">
        <f aca="false">IF(OR(AQ89="",NOT(ISNUMBER(AQ89))),"",AQ89-N(U89))</f>
        <v/>
      </c>
      <c r="BR89" s="20" t="str">
        <f aca="false">IF($A89="","",IF(ISNUMBER($A89),DATE(YEAR($A89),MONTH($A89),1),IFERROR(DATE(2000+VALUE(RIGHT(TRIM($A89),2)),MATCH(UPPER(LEFT(TRIM($A89),3)),{"JAN","FEB","MAR","APR","MAY","JUN","JUL","AUG","SEP","OCT","NOV","DEC"},0),1),"")))</f>
        <v/>
      </c>
      <c r="BS89" s="20" t="str">
        <f aca="false">IF(BR89="","",EOMONTH(BR89,0))</f>
        <v/>
      </c>
    </row>
    <row r="90" customFormat="false" ht="15" hidden="false" customHeight="false" outlineLevel="0" collapsed="false">
      <c r="B90" s="21"/>
      <c r="C90" s="21"/>
      <c r="D90" s="21"/>
      <c r="E90" s="21"/>
      <c r="F90" s="21"/>
      <c r="G90" s="21"/>
      <c r="H90" s="21"/>
      <c r="I90" s="21"/>
      <c r="J90" s="21"/>
      <c r="K90" s="21"/>
      <c r="L90" s="21"/>
      <c r="M90" s="21"/>
      <c r="N90" s="21"/>
      <c r="O90" s="21"/>
      <c r="P90" s="21"/>
      <c r="Q90" s="21"/>
      <c r="R90" s="21"/>
      <c r="S90" s="21"/>
      <c r="T90" s="21"/>
      <c r="U90" s="21"/>
      <c r="X90" s="17" t="str">
        <f aca="false">IF(OR(B$7="",$BR90=""),"",IF('Tally Helper'!$B$3&lt;&gt;TRUE(),"not on Staff",SUMIFS('Tally Helper'!$L$5:$GI$5,'Tally Helper'!$L$3:$GI$3,"&gt;="&amp;$BR90,'Tally Helper'!$L$3:$GI$3,"&lt;="&amp;$BS90)))</f>
        <v/>
      </c>
      <c r="Y90" s="17" t="str">
        <f aca="false">IF(OR(C$7="",$BR90=""),"",IF('Tally Helper'!$B$6&lt;&gt;TRUE(),"not on Staff",SUMIFS('Tally Helper'!$L$8:$GI$8,'Tally Helper'!$L$6:$GI$6,"&gt;="&amp;$BR90,'Tally Helper'!$L$6:$GI$6,"&lt;="&amp;$BS90)))</f>
        <v/>
      </c>
      <c r="Z90" s="17" t="str">
        <f aca="false">IF(OR(D$7="",$BR90=""),"",IF('Tally Helper'!$B$9&lt;&gt;TRUE(),"not on Staff",SUMIFS('Tally Helper'!$L$11:$GI$11,'Tally Helper'!$L$9:$GI$9,"&gt;="&amp;$BR90,'Tally Helper'!$L$9:$GI$9,"&lt;="&amp;$BS90)))</f>
        <v/>
      </c>
      <c r="AA90" s="17" t="str">
        <f aca="false">IF(OR(E$7="",$BR90=""),"",IF('Tally Helper'!$B$12&lt;&gt;TRUE(),"not on Staff",SUMIFS('Tally Helper'!$L$14:$GI$14,'Tally Helper'!$L$12:$GI$12,"&gt;="&amp;$BR90,'Tally Helper'!$L$12:$GI$12,"&lt;="&amp;$BS90)))</f>
        <v/>
      </c>
      <c r="AB90" s="17" t="str">
        <f aca="false">IF(OR(F$7="",$BR90=""),"",IF('Tally Helper'!$B$15&lt;&gt;TRUE(),"not on Staff",SUMIFS('Tally Helper'!$L$17:$GI$17,'Tally Helper'!$L$15:$GI$15,"&gt;="&amp;$BR90,'Tally Helper'!$L$15:$GI$15,"&lt;="&amp;$BS90)))</f>
        <v/>
      </c>
      <c r="AC90" s="17" t="str">
        <f aca="false">IF(OR(G$7="",$BR90=""),"",IF('Tally Helper'!$B$18&lt;&gt;TRUE(),"not on Staff",SUMIFS('Tally Helper'!$L$20:$GI$20,'Tally Helper'!$L$18:$GI$18,"&gt;="&amp;$BR90,'Tally Helper'!$L$18:$GI$18,"&lt;="&amp;$BS90)))</f>
        <v/>
      </c>
      <c r="AD90" s="17" t="str">
        <f aca="false">IF(OR(H$7="",$BR90=""),"",IF('Tally Helper'!$B$21&lt;&gt;TRUE(),"not on Staff",SUMIFS('Tally Helper'!$L$23:$GI$23,'Tally Helper'!$L$21:$GI$21,"&gt;="&amp;$BR90,'Tally Helper'!$L$21:$GI$21,"&lt;="&amp;$BS90)))</f>
        <v/>
      </c>
      <c r="AE90" s="17" t="str">
        <f aca="false">IF(OR(I$7="",$BR90=""),"",IF('Tally Helper'!$B$24&lt;&gt;TRUE(),"not on Staff",SUMIFS('Tally Helper'!$L$26:$GI$26,'Tally Helper'!$L$24:$GI$24,"&gt;="&amp;$BR90,'Tally Helper'!$L$24:$GI$24,"&lt;="&amp;$BS90)))</f>
        <v/>
      </c>
      <c r="AF90" s="17" t="str">
        <f aca="false">IF(OR(J$7="",$BR90=""),"",IF('Tally Helper'!$B$27&lt;&gt;TRUE(),"not on Staff",SUMIFS('Tally Helper'!$L$29:$GI$29,'Tally Helper'!$L$27:$GI$27,"&gt;="&amp;$BR90,'Tally Helper'!$L$27:$GI$27,"&lt;="&amp;$BS90)))</f>
        <v/>
      </c>
      <c r="AG90" s="17" t="str">
        <f aca="false">IF(OR(K$7="",$BR90=""),"",IF('Tally Helper'!$B$30&lt;&gt;TRUE(),"not on Staff",SUMIFS('Tally Helper'!$L$32:$GI$32,'Tally Helper'!$L$30:$GI$30,"&gt;="&amp;$BR90,'Tally Helper'!$L$30:$GI$30,"&lt;="&amp;$BS90)))</f>
        <v/>
      </c>
      <c r="AH90" s="17" t="str">
        <f aca="false">IF(OR(L$7="",$BR90=""),"",IF('Tally Helper'!$B$33&lt;&gt;TRUE(),"not on Staff",SUMIFS('Tally Helper'!$L$35:$GI$35,'Tally Helper'!$L$33:$GI$33,"&gt;="&amp;$BR90,'Tally Helper'!$L$33:$GI$33,"&lt;="&amp;$BS90)))</f>
        <v/>
      </c>
      <c r="AI90" s="17" t="str">
        <f aca="false">IF(OR(M$7="",$BR90=""),"",IF('Tally Helper'!$B$36&lt;&gt;TRUE(),"not on Staff",SUMIFS('Tally Helper'!$L$38:$GI$38,'Tally Helper'!$L$36:$GI$36,"&gt;="&amp;$BR90,'Tally Helper'!$L$36:$GI$36,"&lt;="&amp;$BS90)))</f>
        <v/>
      </c>
      <c r="AJ90" s="17" t="str">
        <f aca="false">IF(OR(N$7="",$BR90=""),"",IF('Tally Helper'!$B$39&lt;&gt;TRUE(),"not on Staff",SUMIFS('Tally Helper'!$L$41:$GI$41,'Tally Helper'!$L$39:$GI$39,"&gt;="&amp;$BR90,'Tally Helper'!$L$39:$GI$39,"&lt;="&amp;$BS90)))</f>
        <v/>
      </c>
      <c r="AK90" s="17" t="str">
        <f aca="false">IF(OR(O$7="",$BR90=""),"",IF('Tally Helper'!$B$42&lt;&gt;TRUE(),"not on Staff",SUMIFS('Tally Helper'!$L$44:$GI$44,'Tally Helper'!$L$42:$GI$42,"&gt;="&amp;$BR90,'Tally Helper'!$L$42:$GI$42,"&lt;="&amp;$BS90)))</f>
        <v/>
      </c>
      <c r="AL90" s="17" t="str">
        <f aca="false">IF(OR(P$7="",$BR90=""),"",IF('Tally Helper'!$B$45&lt;&gt;TRUE(),"not on Staff",SUMIFS('Tally Helper'!$L$47:$GI$47,'Tally Helper'!$L$45:$GI$45,"&gt;="&amp;$BR90,'Tally Helper'!$L$45:$GI$45,"&lt;="&amp;$BS90)))</f>
        <v/>
      </c>
      <c r="AM90" s="17" t="str">
        <f aca="false">IF(OR(Q$7="",$BR90=""),"",IF('Tally Helper'!$B$48&lt;&gt;TRUE(),"not on Staff",SUMIFS('Tally Helper'!$L$50:$GI$50,'Tally Helper'!$L$48:$GI$48,"&gt;="&amp;$BR90,'Tally Helper'!$L$48:$GI$48,"&lt;="&amp;$BS90)))</f>
        <v/>
      </c>
      <c r="AN90" s="17" t="str">
        <f aca="false">IF(OR(R$7="",$BR90=""),"",IF('Tally Helper'!$B$51&lt;&gt;TRUE(),"not on Staff",SUMIFS('Tally Helper'!$L$53:$GI$53,'Tally Helper'!$L$51:$GI$51,"&gt;="&amp;$BR90,'Tally Helper'!$L$51:$GI$51,"&lt;="&amp;$BS90)))</f>
        <v/>
      </c>
      <c r="AO90" s="17" t="str">
        <f aca="false">IF(OR(S$7="",$BR90=""),"",IF('Tally Helper'!$B$54&lt;&gt;TRUE(),"not on Staff",SUMIFS('Tally Helper'!$L$56:$GI$56,'Tally Helper'!$L$54:$GI$54,"&gt;="&amp;$BR90,'Tally Helper'!$L$54:$GI$54,"&lt;="&amp;$BS90)))</f>
        <v/>
      </c>
      <c r="AP90" s="17" t="str">
        <f aca="false">IF(OR(T$7="",$BR90=""),"",IF('Tally Helper'!$B$57&lt;&gt;TRUE(),"not on Staff",SUMIFS('Tally Helper'!$L$59:$GI$59,'Tally Helper'!$L$57:$GI$57,"&gt;="&amp;$BR90,'Tally Helper'!$L$57:$GI$57,"&lt;="&amp;$BS90)))</f>
        <v/>
      </c>
      <c r="AQ90" s="17" t="str">
        <f aca="false">IF(OR(U$7="",$BR90=""),"",IF('Tally Helper'!$B$60&lt;&gt;TRUE(),"not on Staff",SUMIFS('Tally Helper'!$L$62:$GI$62,'Tally Helper'!$L$60:$GI$60,"&gt;="&amp;$BR90,'Tally Helper'!$L$60:$GI$60,"&lt;="&amp;$BS90)))</f>
        <v/>
      </c>
      <c r="AT90" s="17" t="str">
        <f aca="false">IF(OR(X90="",NOT(ISNUMBER(X90))),"",X90-N(B90))</f>
        <v/>
      </c>
      <c r="AU90" s="17" t="str">
        <f aca="false">IF(OR(Y90="",NOT(ISNUMBER(Y90))),"",Y90-N(C90))</f>
        <v/>
      </c>
      <c r="AV90" s="17" t="str">
        <f aca="false">IF(OR(Z90="",NOT(ISNUMBER(Z90))),"",Z90-N(D90))</f>
        <v/>
      </c>
      <c r="AW90" s="17" t="str">
        <f aca="false">IF(OR(AA90="",NOT(ISNUMBER(AA90))),"",AA90-N(E90))</f>
        <v/>
      </c>
      <c r="AX90" s="17" t="str">
        <f aca="false">IF(OR(AB90="",NOT(ISNUMBER(AB90))),"",AB90-N(F90))</f>
        <v/>
      </c>
      <c r="AY90" s="17" t="str">
        <f aca="false">IF(OR(AC90="",NOT(ISNUMBER(AC90))),"",AC90-N(G90))</f>
        <v/>
      </c>
      <c r="AZ90" s="17" t="str">
        <f aca="false">IF(OR(AD90="",NOT(ISNUMBER(AD90))),"",AD90-N(H90))</f>
        <v/>
      </c>
      <c r="BA90" s="17" t="str">
        <f aca="false">IF(OR(AE90="",NOT(ISNUMBER(AE90))),"",AE90-N(I90))</f>
        <v/>
      </c>
      <c r="BB90" s="17" t="str">
        <f aca="false">IF(OR(AF90="",NOT(ISNUMBER(AF90))),"",AF90-N(J90))</f>
        <v/>
      </c>
      <c r="BC90" s="17" t="str">
        <f aca="false">IF(OR(AG90="",NOT(ISNUMBER(AG90))),"",AG90-N(K90))</f>
        <v/>
      </c>
      <c r="BD90" s="17" t="str">
        <f aca="false">IF(OR(AH90="",NOT(ISNUMBER(AH90))),"",AH90-N(L90))</f>
        <v/>
      </c>
      <c r="BE90" s="17" t="str">
        <f aca="false">IF(OR(AI90="",NOT(ISNUMBER(AI90))),"",AI90-N(M90))</f>
        <v/>
      </c>
      <c r="BF90" s="17" t="str">
        <f aca="false">IF(OR(AJ90="",NOT(ISNUMBER(AJ90))),"",AJ90-N(N90))</f>
        <v/>
      </c>
      <c r="BG90" s="17" t="str">
        <f aca="false">IF(OR(AK90="",NOT(ISNUMBER(AK90))),"",AK90-N(O90))</f>
        <v/>
      </c>
      <c r="BH90" s="17" t="str">
        <f aca="false">IF(OR(AL90="",NOT(ISNUMBER(AL90))),"",AL90-N(P90))</f>
        <v/>
      </c>
      <c r="BI90" s="17" t="str">
        <f aca="false">IF(OR(AM90="",NOT(ISNUMBER(AM90))),"",AM90-N(Q90))</f>
        <v/>
      </c>
      <c r="BJ90" s="17" t="str">
        <f aca="false">IF(OR(AN90="",NOT(ISNUMBER(AN90))),"",AN90-N(R90))</f>
        <v/>
      </c>
      <c r="BK90" s="17" t="str">
        <f aca="false">IF(OR(AO90="",NOT(ISNUMBER(AO90))),"",AO90-N(S90))</f>
        <v/>
      </c>
      <c r="BL90" s="17" t="str">
        <f aca="false">IF(OR(AP90="",NOT(ISNUMBER(AP90))),"",AP90-N(T90))</f>
        <v/>
      </c>
      <c r="BM90" s="17" t="str">
        <f aca="false">IF(OR(AQ90="",NOT(ISNUMBER(AQ90))),"",AQ90-N(U90))</f>
        <v/>
      </c>
      <c r="BR90" s="20" t="str">
        <f aca="false">IF($A90="","",IF(ISNUMBER($A90),DATE(YEAR($A90),MONTH($A90),1),IFERROR(DATE(2000+VALUE(RIGHT(TRIM($A90),2)),MATCH(UPPER(LEFT(TRIM($A90),3)),{"JAN","FEB","MAR","APR","MAY","JUN","JUL","AUG","SEP","OCT","NOV","DEC"},0),1),"")))</f>
        <v/>
      </c>
      <c r="BS90" s="20" t="str">
        <f aca="false">IF(BR90="","",EOMONTH(BR90,0))</f>
        <v/>
      </c>
    </row>
    <row r="91" customFormat="false" ht="15" hidden="false" customHeight="false" outlineLevel="0" collapsed="false">
      <c r="B91" s="21"/>
      <c r="C91" s="21"/>
      <c r="D91" s="21"/>
      <c r="E91" s="21"/>
      <c r="F91" s="21"/>
      <c r="G91" s="21"/>
      <c r="H91" s="21"/>
      <c r="I91" s="21"/>
      <c r="J91" s="21"/>
      <c r="K91" s="21"/>
      <c r="L91" s="21"/>
      <c r="M91" s="21"/>
      <c r="N91" s="21"/>
      <c r="O91" s="21"/>
      <c r="P91" s="21"/>
      <c r="Q91" s="21"/>
      <c r="R91" s="21"/>
      <c r="S91" s="21"/>
      <c r="T91" s="21"/>
      <c r="U91" s="21"/>
      <c r="X91" s="17" t="str">
        <f aca="false">IF(OR(B$7="",$BR91=""),"",IF('Tally Helper'!$B$3&lt;&gt;TRUE(),"not on Staff",SUMIFS('Tally Helper'!$L$5:$GI$5,'Tally Helper'!$L$3:$GI$3,"&gt;="&amp;$BR91,'Tally Helper'!$L$3:$GI$3,"&lt;="&amp;$BS91)))</f>
        <v/>
      </c>
      <c r="Y91" s="17" t="str">
        <f aca="false">IF(OR(C$7="",$BR91=""),"",IF('Tally Helper'!$B$6&lt;&gt;TRUE(),"not on Staff",SUMIFS('Tally Helper'!$L$8:$GI$8,'Tally Helper'!$L$6:$GI$6,"&gt;="&amp;$BR91,'Tally Helper'!$L$6:$GI$6,"&lt;="&amp;$BS91)))</f>
        <v/>
      </c>
      <c r="Z91" s="17" t="str">
        <f aca="false">IF(OR(D$7="",$BR91=""),"",IF('Tally Helper'!$B$9&lt;&gt;TRUE(),"not on Staff",SUMIFS('Tally Helper'!$L$11:$GI$11,'Tally Helper'!$L$9:$GI$9,"&gt;="&amp;$BR91,'Tally Helper'!$L$9:$GI$9,"&lt;="&amp;$BS91)))</f>
        <v/>
      </c>
      <c r="AA91" s="17" t="str">
        <f aca="false">IF(OR(E$7="",$BR91=""),"",IF('Tally Helper'!$B$12&lt;&gt;TRUE(),"not on Staff",SUMIFS('Tally Helper'!$L$14:$GI$14,'Tally Helper'!$L$12:$GI$12,"&gt;="&amp;$BR91,'Tally Helper'!$L$12:$GI$12,"&lt;="&amp;$BS91)))</f>
        <v/>
      </c>
      <c r="AB91" s="17" t="str">
        <f aca="false">IF(OR(F$7="",$BR91=""),"",IF('Tally Helper'!$B$15&lt;&gt;TRUE(),"not on Staff",SUMIFS('Tally Helper'!$L$17:$GI$17,'Tally Helper'!$L$15:$GI$15,"&gt;="&amp;$BR91,'Tally Helper'!$L$15:$GI$15,"&lt;="&amp;$BS91)))</f>
        <v/>
      </c>
      <c r="AC91" s="17" t="str">
        <f aca="false">IF(OR(G$7="",$BR91=""),"",IF('Tally Helper'!$B$18&lt;&gt;TRUE(),"not on Staff",SUMIFS('Tally Helper'!$L$20:$GI$20,'Tally Helper'!$L$18:$GI$18,"&gt;="&amp;$BR91,'Tally Helper'!$L$18:$GI$18,"&lt;="&amp;$BS91)))</f>
        <v/>
      </c>
      <c r="AD91" s="17" t="str">
        <f aca="false">IF(OR(H$7="",$BR91=""),"",IF('Tally Helper'!$B$21&lt;&gt;TRUE(),"not on Staff",SUMIFS('Tally Helper'!$L$23:$GI$23,'Tally Helper'!$L$21:$GI$21,"&gt;="&amp;$BR91,'Tally Helper'!$L$21:$GI$21,"&lt;="&amp;$BS91)))</f>
        <v/>
      </c>
      <c r="AE91" s="17" t="str">
        <f aca="false">IF(OR(I$7="",$BR91=""),"",IF('Tally Helper'!$B$24&lt;&gt;TRUE(),"not on Staff",SUMIFS('Tally Helper'!$L$26:$GI$26,'Tally Helper'!$L$24:$GI$24,"&gt;="&amp;$BR91,'Tally Helper'!$L$24:$GI$24,"&lt;="&amp;$BS91)))</f>
        <v/>
      </c>
      <c r="AF91" s="17" t="str">
        <f aca="false">IF(OR(J$7="",$BR91=""),"",IF('Tally Helper'!$B$27&lt;&gt;TRUE(),"not on Staff",SUMIFS('Tally Helper'!$L$29:$GI$29,'Tally Helper'!$L$27:$GI$27,"&gt;="&amp;$BR91,'Tally Helper'!$L$27:$GI$27,"&lt;="&amp;$BS91)))</f>
        <v/>
      </c>
      <c r="AG91" s="17" t="str">
        <f aca="false">IF(OR(K$7="",$BR91=""),"",IF('Tally Helper'!$B$30&lt;&gt;TRUE(),"not on Staff",SUMIFS('Tally Helper'!$L$32:$GI$32,'Tally Helper'!$L$30:$GI$30,"&gt;="&amp;$BR91,'Tally Helper'!$L$30:$GI$30,"&lt;="&amp;$BS91)))</f>
        <v/>
      </c>
      <c r="AH91" s="17" t="str">
        <f aca="false">IF(OR(L$7="",$BR91=""),"",IF('Tally Helper'!$B$33&lt;&gt;TRUE(),"not on Staff",SUMIFS('Tally Helper'!$L$35:$GI$35,'Tally Helper'!$L$33:$GI$33,"&gt;="&amp;$BR91,'Tally Helper'!$L$33:$GI$33,"&lt;="&amp;$BS91)))</f>
        <v/>
      </c>
      <c r="AI91" s="17" t="str">
        <f aca="false">IF(OR(M$7="",$BR91=""),"",IF('Tally Helper'!$B$36&lt;&gt;TRUE(),"not on Staff",SUMIFS('Tally Helper'!$L$38:$GI$38,'Tally Helper'!$L$36:$GI$36,"&gt;="&amp;$BR91,'Tally Helper'!$L$36:$GI$36,"&lt;="&amp;$BS91)))</f>
        <v/>
      </c>
      <c r="AJ91" s="17" t="str">
        <f aca="false">IF(OR(N$7="",$BR91=""),"",IF('Tally Helper'!$B$39&lt;&gt;TRUE(),"not on Staff",SUMIFS('Tally Helper'!$L$41:$GI$41,'Tally Helper'!$L$39:$GI$39,"&gt;="&amp;$BR91,'Tally Helper'!$L$39:$GI$39,"&lt;="&amp;$BS91)))</f>
        <v/>
      </c>
      <c r="AK91" s="17" t="str">
        <f aca="false">IF(OR(O$7="",$BR91=""),"",IF('Tally Helper'!$B$42&lt;&gt;TRUE(),"not on Staff",SUMIFS('Tally Helper'!$L$44:$GI$44,'Tally Helper'!$L$42:$GI$42,"&gt;="&amp;$BR91,'Tally Helper'!$L$42:$GI$42,"&lt;="&amp;$BS91)))</f>
        <v/>
      </c>
      <c r="AL91" s="17" t="str">
        <f aca="false">IF(OR(P$7="",$BR91=""),"",IF('Tally Helper'!$B$45&lt;&gt;TRUE(),"not on Staff",SUMIFS('Tally Helper'!$L$47:$GI$47,'Tally Helper'!$L$45:$GI$45,"&gt;="&amp;$BR91,'Tally Helper'!$L$45:$GI$45,"&lt;="&amp;$BS91)))</f>
        <v/>
      </c>
      <c r="AM91" s="17" t="str">
        <f aca="false">IF(OR(Q$7="",$BR91=""),"",IF('Tally Helper'!$B$48&lt;&gt;TRUE(),"not on Staff",SUMIFS('Tally Helper'!$L$50:$GI$50,'Tally Helper'!$L$48:$GI$48,"&gt;="&amp;$BR91,'Tally Helper'!$L$48:$GI$48,"&lt;="&amp;$BS91)))</f>
        <v/>
      </c>
      <c r="AN91" s="17" t="str">
        <f aca="false">IF(OR(R$7="",$BR91=""),"",IF('Tally Helper'!$B$51&lt;&gt;TRUE(),"not on Staff",SUMIFS('Tally Helper'!$L$53:$GI$53,'Tally Helper'!$L$51:$GI$51,"&gt;="&amp;$BR91,'Tally Helper'!$L$51:$GI$51,"&lt;="&amp;$BS91)))</f>
        <v/>
      </c>
      <c r="AO91" s="17" t="str">
        <f aca="false">IF(OR(S$7="",$BR91=""),"",IF('Tally Helper'!$B$54&lt;&gt;TRUE(),"not on Staff",SUMIFS('Tally Helper'!$L$56:$GI$56,'Tally Helper'!$L$54:$GI$54,"&gt;="&amp;$BR91,'Tally Helper'!$L$54:$GI$54,"&lt;="&amp;$BS91)))</f>
        <v/>
      </c>
      <c r="AP91" s="17" t="str">
        <f aca="false">IF(OR(T$7="",$BR91=""),"",IF('Tally Helper'!$B$57&lt;&gt;TRUE(),"not on Staff",SUMIFS('Tally Helper'!$L$59:$GI$59,'Tally Helper'!$L$57:$GI$57,"&gt;="&amp;$BR91,'Tally Helper'!$L$57:$GI$57,"&lt;="&amp;$BS91)))</f>
        <v/>
      </c>
      <c r="AQ91" s="17" t="str">
        <f aca="false">IF(OR(U$7="",$BR91=""),"",IF('Tally Helper'!$B$60&lt;&gt;TRUE(),"not on Staff",SUMIFS('Tally Helper'!$L$62:$GI$62,'Tally Helper'!$L$60:$GI$60,"&gt;="&amp;$BR91,'Tally Helper'!$L$60:$GI$60,"&lt;="&amp;$BS91)))</f>
        <v/>
      </c>
      <c r="AT91" s="17" t="str">
        <f aca="false">IF(OR(X91="",NOT(ISNUMBER(X91))),"",X91-N(B91))</f>
        <v/>
      </c>
      <c r="AU91" s="17" t="str">
        <f aca="false">IF(OR(Y91="",NOT(ISNUMBER(Y91))),"",Y91-N(C91))</f>
        <v/>
      </c>
      <c r="AV91" s="17" t="str">
        <f aca="false">IF(OR(Z91="",NOT(ISNUMBER(Z91))),"",Z91-N(D91))</f>
        <v/>
      </c>
      <c r="AW91" s="17" t="str">
        <f aca="false">IF(OR(AA91="",NOT(ISNUMBER(AA91))),"",AA91-N(E91))</f>
        <v/>
      </c>
      <c r="AX91" s="17" t="str">
        <f aca="false">IF(OR(AB91="",NOT(ISNUMBER(AB91))),"",AB91-N(F91))</f>
        <v/>
      </c>
      <c r="AY91" s="17" t="str">
        <f aca="false">IF(OR(AC91="",NOT(ISNUMBER(AC91))),"",AC91-N(G91))</f>
        <v/>
      </c>
      <c r="AZ91" s="17" t="str">
        <f aca="false">IF(OR(AD91="",NOT(ISNUMBER(AD91))),"",AD91-N(H91))</f>
        <v/>
      </c>
      <c r="BA91" s="17" t="str">
        <f aca="false">IF(OR(AE91="",NOT(ISNUMBER(AE91))),"",AE91-N(I91))</f>
        <v/>
      </c>
      <c r="BB91" s="17" t="str">
        <f aca="false">IF(OR(AF91="",NOT(ISNUMBER(AF91))),"",AF91-N(J91))</f>
        <v/>
      </c>
      <c r="BC91" s="17" t="str">
        <f aca="false">IF(OR(AG91="",NOT(ISNUMBER(AG91))),"",AG91-N(K91))</f>
        <v/>
      </c>
      <c r="BD91" s="17" t="str">
        <f aca="false">IF(OR(AH91="",NOT(ISNUMBER(AH91))),"",AH91-N(L91))</f>
        <v/>
      </c>
      <c r="BE91" s="17" t="str">
        <f aca="false">IF(OR(AI91="",NOT(ISNUMBER(AI91))),"",AI91-N(M91))</f>
        <v/>
      </c>
      <c r="BF91" s="17" t="str">
        <f aca="false">IF(OR(AJ91="",NOT(ISNUMBER(AJ91))),"",AJ91-N(N91))</f>
        <v/>
      </c>
      <c r="BG91" s="17" t="str">
        <f aca="false">IF(OR(AK91="",NOT(ISNUMBER(AK91))),"",AK91-N(O91))</f>
        <v/>
      </c>
      <c r="BH91" s="17" t="str">
        <f aca="false">IF(OR(AL91="",NOT(ISNUMBER(AL91))),"",AL91-N(P91))</f>
        <v/>
      </c>
      <c r="BI91" s="17" t="str">
        <f aca="false">IF(OR(AM91="",NOT(ISNUMBER(AM91))),"",AM91-N(Q91))</f>
        <v/>
      </c>
      <c r="BJ91" s="17" t="str">
        <f aca="false">IF(OR(AN91="",NOT(ISNUMBER(AN91))),"",AN91-N(R91))</f>
        <v/>
      </c>
      <c r="BK91" s="17" t="str">
        <f aca="false">IF(OR(AO91="",NOT(ISNUMBER(AO91))),"",AO91-N(S91))</f>
        <v/>
      </c>
      <c r="BL91" s="17" t="str">
        <f aca="false">IF(OR(AP91="",NOT(ISNUMBER(AP91))),"",AP91-N(T91))</f>
        <v/>
      </c>
      <c r="BM91" s="17" t="str">
        <f aca="false">IF(OR(AQ91="",NOT(ISNUMBER(AQ91))),"",AQ91-N(U91))</f>
        <v/>
      </c>
      <c r="BR91" s="20" t="str">
        <f aca="false">IF($A91="","",IF(ISNUMBER($A91),DATE(YEAR($A91),MONTH($A91),1),IFERROR(DATE(2000+VALUE(RIGHT(TRIM($A91),2)),MATCH(UPPER(LEFT(TRIM($A91),3)),{"JAN","FEB","MAR","APR","MAY","JUN","JUL","AUG","SEP","OCT","NOV","DEC"},0),1),"")))</f>
        <v/>
      </c>
      <c r="BS91" s="20" t="str">
        <f aca="false">IF(BR91="","",EOMONTH(BR91,0))</f>
        <v/>
      </c>
    </row>
    <row r="92" customFormat="false" ht="15" hidden="false" customHeight="false" outlineLevel="0" collapsed="false">
      <c r="B92" s="21"/>
      <c r="C92" s="21"/>
      <c r="D92" s="21"/>
      <c r="E92" s="21"/>
      <c r="F92" s="21"/>
      <c r="G92" s="21"/>
      <c r="H92" s="21"/>
      <c r="I92" s="21"/>
      <c r="J92" s="21"/>
      <c r="K92" s="21"/>
      <c r="L92" s="21"/>
      <c r="M92" s="21"/>
      <c r="N92" s="21"/>
      <c r="O92" s="21"/>
      <c r="P92" s="21"/>
      <c r="Q92" s="21"/>
      <c r="R92" s="21"/>
      <c r="S92" s="21"/>
      <c r="T92" s="21"/>
      <c r="U92" s="21"/>
      <c r="X92" s="17" t="str">
        <f aca="false">IF(OR(B$7="",$BR92=""),"",IF('Tally Helper'!$B$3&lt;&gt;TRUE(),"not on Staff",SUMIFS('Tally Helper'!$L$5:$GI$5,'Tally Helper'!$L$3:$GI$3,"&gt;="&amp;$BR92,'Tally Helper'!$L$3:$GI$3,"&lt;="&amp;$BS92)))</f>
        <v/>
      </c>
      <c r="Y92" s="17" t="str">
        <f aca="false">IF(OR(C$7="",$BR92=""),"",IF('Tally Helper'!$B$6&lt;&gt;TRUE(),"not on Staff",SUMIFS('Tally Helper'!$L$8:$GI$8,'Tally Helper'!$L$6:$GI$6,"&gt;="&amp;$BR92,'Tally Helper'!$L$6:$GI$6,"&lt;="&amp;$BS92)))</f>
        <v/>
      </c>
      <c r="Z92" s="17" t="str">
        <f aca="false">IF(OR(D$7="",$BR92=""),"",IF('Tally Helper'!$B$9&lt;&gt;TRUE(),"not on Staff",SUMIFS('Tally Helper'!$L$11:$GI$11,'Tally Helper'!$L$9:$GI$9,"&gt;="&amp;$BR92,'Tally Helper'!$L$9:$GI$9,"&lt;="&amp;$BS92)))</f>
        <v/>
      </c>
      <c r="AA92" s="17" t="str">
        <f aca="false">IF(OR(E$7="",$BR92=""),"",IF('Tally Helper'!$B$12&lt;&gt;TRUE(),"not on Staff",SUMIFS('Tally Helper'!$L$14:$GI$14,'Tally Helper'!$L$12:$GI$12,"&gt;="&amp;$BR92,'Tally Helper'!$L$12:$GI$12,"&lt;="&amp;$BS92)))</f>
        <v/>
      </c>
      <c r="AB92" s="17" t="str">
        <f aca="false">IF(OR(F$7="",$BR92=""),"",IF('Tally Helper'!$B$15&lt;&gt;TRUE(),"not on Staff",SUMIFS('Tally Helper'!$L$17:$GI$17,'Tally Helper'!$L$15:$GI$15,"&gt;="&amp;$BR92,'Tally Helper'!$L$15:$GI$15,"&lt;="&amp;$BS92)))</f>
        <v/>
      </c>
      <c r="AC92" s="17" t="str">
        <f aca="false">IF(OR(G$7="",$BR92=""),"",IF('Tally Helper'!$B$18&lt;&gt;TRUE(),"not on Staff",SUMIFS('Tally Helper'!$L$20:$GI$20,'Tally Helper'!$L$18:$GI$18,"&gt;="&amp;$BR92,'Tally Helper'!$L$18:$GI$18,"&lt;="&amp;$BS92)))</f>
        <v/>
      </c>
      <c r="AD92" s="17" t="str">
        <f aca="false">IF(OR(H$7="",$BR92=""),"",IF('Tally Helper'!$B$21&lt;&gt;TRUE(),"not on Staff",SUMIFS('Tally Helper'!$L$23:$GI$23,'Tally Helper'!$L$21:$GI$21,"&gt;="&amp;$BR92,'Tally Helper'!$L$21:$GI$21,"&lt;="&amp;$BS92)))</f>
        <v/>
      </c>
      <c r="AE92" s="17" t="str">
        <f aca="false">IF(OR(I$7="",$BR92=""),"",IF('Tally Helper'!$B$24&lt;&gt;TRUE(),"not on Staff",SUMIFS('Tally Helper'!$L$26:$GI$26,'Tally Helper'!$L$24:$GI$24,"&gt;="&amp;$BR92,'Tally Helper'!$L$24:$GI$24,"&lt;="&amp;$BS92)))</f>
        <v/>
      </c>
      <c r="AF92" s="17" t="str">
        <f aca="false">IF(OR(J$7="",$BR92=""),"",IF('Tally Helper'!$B$27&lt;&gt;TRUE(),"not on Staff",SUMIFS('Tally Helper'!$L$29:$GI$29,'Tally Helper'!$L$27:$GI$27,"&gt;="&amp;$BR92,'Tally Helper'!$L$27:$GI$27,"&lt;="&amp;$BS92)))</f>
        <v/>
      </c>
      <c r="AG92" s="17" t="str">
        <f aca="false">IF(OR(K$7="",$BR92=""),"",IF('Tally Helper'!$B$30&lt;&gt;TRUE(),"not on Staff",SUMIFS('Tally Helper'!$L$32:$GI$32,'Tally Helper'!$L$30:$GI$30,"&gt;="&amp;$BR92,'Tally Helper'!$L$30:$GI$30,"&lt;="&amp;$BS92)))</f>
        <v/>
      </c>
      <c r="AH92" s="17" t="str">
        <f aca="false">IF(OR(L$7="",$BR92=""),"",IF('Tally Helper'!$B$33&lt;&gt;TRUE(),"not on Staff",SUMIFS('Tally Helper'!$L$35:$GI$35,'Tally Helper'!$L$33:$GI$33,"&gt;="&amp;$BR92,'Tally Helper'!$L$33:$GI$33,"&lt;="&amp;$BS92)))</f>
        <v/>
      </c>
      <c r="AI92" s="17" t="str">
        <f aca="false">IF(OR(M$7="",$BR92=""),"",IF('Tally Helper'!$B$36&lt;&gt;TRUE(),"not on Staff",SUMIFS('Tally Helper'!$L$38:$GI$38,'Tally Helper'!$L$36:$GI$36,"&gt;="&amp;$BR92,'Tally Helper'!$L$36:$GI$36,"&lt;="&amp;$BS92)))</f>
        <v/>
      </c>
      <c r="AJ92" s="17" t="str">
        <f aca="false">IF(OR(N$7="",$BR92=""),"",IF('Tally Helper'!$B$39&lt;&gt;TRUE(),"not on Staff",SUMIFS('Tally Helper'!$L$41:$GI$41,'Tally Helper'!$L$39:$GI$39,"&gt;="&amp;$BR92,'Tally Helper'!$L$39:$GI$39,"&lt;="&amp;$BS92)))</f>
        <v/>
      </c>
      <c r="AK92" s="17" t="str">
        <f aca="false">IF(OR(O$7="",$BR92=""),"",IF('Tally Helper'!$B$42&lt;&gt;TRUE(),"not on Staff",SUMIFS('Tally Helper'!$L$44:$GI$44,'Tally Helper'!$L$42:$GI$42,"&gt;="&amp;$BR92,'Tally Helper'!$L$42:$GI$42,"&lt;="&amp;$BS92)))</f>
        <v/>
      </c>
      <c r="AL92" s="17" t="str">
        <f aca="false">IF(OR(P$7="",$BR92=""),"",IF('Tally Helper'!$B$45&lt;&gt;TRUE(),"not on Staff",SUMIFS('Tally Helper'!$L$47:$GI$47,'Tally Helper'!$L$45:$GI$45,"&gt;="&amp;$BR92,'Tally Helper'!$L$45:$GI$45,"&lt;="&amp;$BS92)))</f>
        <v/>
      </c>
      <c r="AM92" s="17" t="str">
        <f aca="false">IF(OR(Q$7="",$BR92=""),"",IF('Tally Helper'!$B$48&lt;&gt;TRUE(),"not on Staff",SUMIFS('Tally Helper'!$L$50:$GI$50,'Tally Helper'!$L$48:$GI$48,"&gt;="&amp;$BR92,'Tally Helper'!$L$48:$GI$48,"&lt;="&amp;$BS92)))</f>
        <v/>
      </c>
      <c r="AN92" s="17" t="str">
        <f aca="false">IF(OR(R$7="",$BR92=""),"",IF('Tally Helper'!$B$51&lt;&gt;TRUE(),"not on Staff",SUMIFS('Tally Helper'!$L$53:$GI$53,'Tally Helper'!$L$51:$GI$51,"&gt;="&amp;$BR92,'Tally Helper'!$L$51:$GI$51,"&lt;="&amp;$BS92)))</f>
        <v/>
      </c>
      <c r="AO92" s="17" t="str">
        <f aca="false">IF(OR(S$7="",$BR92=""),"",IF('Tally Helper'!$B$54&lt;&gt;TRUE(),"not on Staff",SUMIFS('Tally Helper'!$L$56:$GI$56,'Tally Helper'!$L$54:$GI$54,"&gt;="&amp;$BR92,'Tally Helper'!$L$54:$GI$54,"&lt;="&amp;$BS92)))</f>
        <v/>
      </c>
      <c r="AP92" s="17" t="str">
        <f aca="false">IF(OR(T$7="",$BR92=""),"",IF('Tally Helper'!$B$57&lt;&gt;TRUE(),"not on Staff",SUMIFS('Tally Helper'!$L$59:$GI$59,'Tally Helper'!$L$57:$GI$57,"&gt;="&amp;$BR92,'Tally Helper'!$L$57:$GI$57,"&lt;="&amp;$BS92)))</f>
        <v/>
      </c>
      <c r="AQ92" s="17" t="str">
        <f aca="false">IF(OR(U$7="",$BR92=""),"",IF('Tally Helper'!$B$60&lt;&gt;TRUE(),"not on Staff",SUMIFS('Tally Helper'!$L$62:$GI$62,'Tally Helper'!$L$60:$GI$60,"&gt;="&amp;$BR92,'Tally Helper'!$L$60:$GI$60,"&lt;="&amp;$BS92)))</f>
        <v/>
      </c>
      <c r="AT92" s="17" t="str">
        <f aca="false">IF(OR(X92="",NOT(ISNUMBER(X92))),"",X92-N(B92))</f>
        <v/>
      </c>
      <c r="AU92" s="17" t="str">
        <f aca="false">IF(OR(Y92="",NOT(ISNUMBER(Y92))),"",Y92-N(C92))</f>
        <v/>
      </c>
      <c r="AV92" s="17" t="str">
        <f aca="false">IF(OR(Z92="",NOT(ISNUMBER(Z92))),"",Z92-N(D92))</f>
        <v/>
      </c>
      <c r="AW92" s="17" t="str">
        <f aca="false">IF(OR(AA92="",NOT(ISNUMBER(AA92))),"",AA92-N(E92))</f>
        <v/>
      </c>
      <c r="AX92" s="17" t="str">
        <f aca="false">IF(OR(AB92="",NOT(ISNUMBER(AB92))),"",AB92-N(F92))</f>
        <v/>
      </c>
      <c r="AY92" s="17" t="str">
        <f aca="false">IF(OR(AC92="",NOT(ISNUMBER(AC92))),"",AC92-N(G92))</f>
        <v/>
      </c>
      <c r="AZ92" s="17" t="str">
        <f aca="false">IF(OR(AD92="",NOT(ISNUMBER(AD92))),"",AD92-N(H92))</f>
        <v/>
      </c>
      <c r="BA92" s="17" t="str">
        <f aca="false">IF(OR(AE92="",NOT(ISNUMBER(AE92))),"",AE92-N(I92))</f>
        <v/>
      </c>
      <c r="BB92" s="17" t="str">
        <f aca="false">IF(OR(AF92="",NOT(ISNUMBER(AF92))),"",AF92-N(J92))</f>
        <v/>
      </c>
      <c r="BC92" s="17" t="str">
        <f aca="false">IF(OR(AG92="",NOT(ISNUMBER(AG92))),"",AG92-N(K92))</f>
        <v/>
      </c>
      <c r="BD92" s="17" t="str">
        <f aca="false">IF(OR(AH92="",NOT(ISNUMBER(AH92))),"",AH92-N(L92))</f>
        <v/>
      </c>
      <c r="BE92" s="17" t="str">
        <f aca="false">IF(OR(AI92="",NOT(ISNUMBER(AI92))),"",AI92-N(M92))</f>
        <v/>
      </c>
      <c r="BF92" s="17" t="str">
        <f aca="false">IF(OR(AJ92="",NOT(ISNUMBER(AJ92))),"",AJ92-N(N92))</f>
        <v/>
      </c>
      <c r="BG92" s="17" t="str">
        <f aca="false">IF(OR(AK92="",NOT(ISNUMBER(AK92))),"",AK92-N(O92))</f>
        <v/>
      </c>
      <c r="BH92" s="17" t="str">
        <f aca="false">IF(OR(AL92="",NOT(ISNUMBER(AL92))),"",AL92-N(P92))</f>
        <v/>
      </c>
      <c r="BI92" s="17" t="str">
        <f aca="false">IF(OR(AM92="",NOT(ISNUMBER(AM92))),"",AM92-N(Q92))</f>
        <v/>
      </c>
      <c r="BJ92" s="17" t="str">
        <f aca="false">IF(OR(AN92="",NOT(ISNUMBER(AN92))),"",AN92-N(R92))</f>
        <v/>
      </c>
      <c r="BK92" s="17" t="str">
        <f aca="false">IF(OR(AO92="",NOT(ISNUMBER(AO92))),"",AO92-N(S92))</f>
        <v/>
      </c>
      <c r="BL92" s="17" t="str">
        <f aca="false">IF(OR(AP92="",NOT(ISNUMBER(AP92))),"",AP92-N(T92))</f>
        <v/>
      </c>
      <c r="BM92" s="17" t="str">
        <f aca="false">IF(OR(AQ92="",NOT(ISNUMBER(AQ92))),"",AQ92-N(U92))</f>
        <v/>
      </c>
      <c r="BR92" s="20" t="str">
        <f aca="false">IF($A92="","",IF(ISNUMBER($A92),DATE(YEAR($A92),MONTH($A92),1),IFERROR(DATE(2000+VALUE(RIGHT(TRIM($A92),2)),MATCH(UPPER(LEFT(TRIM($A92),3)),{"JAN","FEB","MAR","APR","MAY","JUN","JUL","AUG","SEP","OCT","NOV","DEC"},0),1),"")))</f>
        <v/>
      </c>
      <c r="BS92" s="20" t="str">
        <f aca="false">IF(BR92="","",EOMONTH(BR92,0))</f>
        <v/>
      </c>
    </row>
    <row r="93" customFormat="false" ht="15" hidden="false" customHeight="false" outlineLevel="0" collapsed="false">
      <c r="B93" s="21"/>
      <c r="C93" s="21"/>
      <c r="D93" s="21"/>
      <c r="E93" s="21"/>
      <c r="F93" s="21"/>
      <c r="G93" s="21"/>
      <c r="H93" s="21"/>
      <c r="I93" s="21"/>
      <c r="J93" s="21"/>
      <c r="K93" s="21"/>
      <c r="L93" s="21"/>
      <c r="M93" s="21"/>
      <c r="N93" s="21"/>
      <c r="O93" s="21"/>
      <c r="P93" s="21"/>
      <c r="Q93" s="21"/>
      <c r="R93" s="21"/>
      <c r="S93" s="21"/>
      <c r="T93" s="21"/>
      <c r="U93" s="21"/>
      <c r="X93" s="17" t="str">
        <f aca="false">IF(OR(B$7="",$BR93=""),"",IF('Tally Helper'!$B$3&lt;&gt;TRUE(),"not on Staff",SUMIFS('Tally Helper'!$L$5:$GI$5,'Tally Helper'!$L$3:$GI$3,"&gt;="&amp;$BR93,'Tally Helper'!$L$3:$GI$3,"&lt;="&amp;$BS93)))</f>
        <v/>
      </c>
      <c r="Y93" s="17" t="str">
        <f aca="false">IF(OR(C$7="",$BR93=""),"",IF('Tally Helper'!$B$6&lt;&gt;TRUE(),"not on Staff",SUMIFS('Tally Helper'!$L$8:$GI$8,'Tally Helper'!$L$6:$GI$6,"&gt;="&amp;$BR93,'Tally Helper'!$L$6:$GI$6,"&lt;="&amp;$BS93)))</f>
        <v/>
      </c>
      <c r="Z93" s="17" t="str">
        <f aca="false">IF(OR(D$7="",$BR93=""),"",IF('Tally Helper'!$B$9&lt;&gt;TRUE(),"not on Staff",SUMIFS('Tally Helper'!$L$11:$GI$11,'Tally Helper'!$L$9:$GI$9,"&gt;="&amp;$BR93,'Tally Helper'!$L$9:$GI$9,"&lt;="&amp;$BS93)))</f>
        <v/>
      </c>
      <c r="AA93" s="17" t="str">
        <f aca="false">IF(OR(E$7="",$BR93=""),"",IF('Tally Helper'!$B$12&lt;&gt;TRUE(),"not on Staff",SUMIFS('Tally Helper'!$L$14:$GI$14,'Tally Helper'!$L$12:$GI$12,"&gt;="&amp;$BR93,'Tally Helper'!$L$12:$GI$12,"&lt;="&amp;$BS93)))</f>
        <v/>
      </c>
      <c r="AB93" s="17" t="str">
        <f aca="false">IF(OR(F$7="",$BR93=""),"",IF('Tally Helper'!$B$15&lt;&gt;TRUE(),"not on Staff",SUMIFS('Tally Helper'!$L$17:$GI$17,'Tally Helper'!$L$15:$GI$15,"&gt;="&amp;$BR93,'Tally Helper'!$L$15:$GI$15,"&lt;="&amp;$BS93)))</f>
        <v/>
      </c>
      <c r="AC93" s="17" t="str">
        <f aca="false">IF(OR(G$7="",$BR93=""),"",IF('Tally Helper'!$B$18&lt;&gt;TRUE(),"not on Staff",SUMIFS('Tally Helper'!$L$20:$GI$20,'Tally Helper'!$L$18:$GI$18,"&gt;="&amp;$BR93,'Tally Helper'!$L$18:$GI$18,"&lt;="&amp;$BS93)))</f>
        <v/>
      </c>
      <c r="AD93" s="17" t="str">
        <f aca="false">IF(OR(H$7="",$BR93=""),"",IF('Tally Helper'!$B$21&lt;&gt;TRUE(),"not on Staff",SUMIFS('Tally Helper'!$L$23:$GI$23,'Tally Helper'!$L$21:$GI$21,"&gt;="&amp;$BR93,'Tally Helper'!$L$21:$GI$21,"&lt;="&amp;$BS93)))</f>
        <v/>
      </c>
      <c r="AE93" s="17" t="str">
        <f aca="false">IF(OR(I$7="",$BR93=""),"",IF('Tally Helper'!$B$24&lt;&gt;TRUE(),"not on Staff",SUMIFS('Tally Helper'!$L$26:$GI$26,'Tally Helper'!$L$24:$GI$24,"&gt;="&amp;$BR93,'Tally Helper'!$L$24:$GI$24,"&lt;="&amp;$BS93)))</f>
        <v/>
      </c>
      <c r="AF93" s="17" t="str">
        <f aca="false">IF(OR(J$7="",$BR93=""),"",IF('Tally Helper'!$B$27&lt;&gt;TRUE(),"not on Staff",SUMIFS('Tally Helper'!$L$29:$GI$29,'Tally Helper'!$L$27:$GI$27,"&gt;="&amp;$BR93,'Tally Helper'!$L$27:$GI$27,"&lt;="&amp;$BS93)))</f>
        <v/>
      </c>
      <c r="AG93" s="17" t="str">
        <f aca="false">IF(OR(K$7="",$BR93=""),"",IF('Tally Helper'!$B$30&lt;&gt;TRUE(),"not on Staff",SUMIFS('Tally Helper'!$L$32:$GI$32,'Tally Helper'!$L$30:$GI$30,"&gt;="&amp;$BR93,'Tally Helper'!$L$30:$GI$30,"&lt;="&amp;$BS93)))</f>
        <v/>
      </c>
      <c r="AH93" s="17" t="str">
        <f aca="false">IF(OR(L$7="",$BR93=""),"",IF('Tally Helper'!$B$33&lt;&gt;TRUE(),"not on Staff",SUMIFS('Tally Helper'!$L$35:$GI$35,'Tally Helper'!$L$33:$GI$33,"&gt;="&amp;$BR93,'Tally Helper'!$L$33:$GI$33,"&lt;="&amp;$BS93)))</f>
        <v/>
      </c>
      <c r="AI93" s="17" t="str">
        <f aca="false">IF(OR(M$7="",$BR93=""),"",IF('Tally Helper'!$B$36&lt;&gt;TRUE(),"not on Staff",SUMIFS('Tally Helper'!$L$38:$GI$38,'Tally Helper'!$L$36:$GI$36,"&gt;="&amp;$BR93,'Tally Helper'!$L$36:$GI$36,"&lt;="&amp;$BS93)))</f>
        <v/>
      </c>
      <c r="AJ93" s="17" t="str">
        <f aca="false">IF(OR(N$7="",$BR93=""),"",IF('Tally Helper'!$B$39&lt;&gt;TRUE(),"not on Staff",SUMIFS('Tally Helper'!$L$41:$GI$41,'Tally Helper'!$L$39:$GI$39,"&gt;="&amp;$BR93,'Tally Helper'!$L$39:$GI$39,"&lt;="&amp;$BS93)))</f>
        <v/>
      </c>
      <c r="AK93" s="17" t="str">
        <f aca="false">IF(OR(O$7="",$BR93=""),"",IF('Tally Helper'!$B$42&lt;&gt;TRUE(),"not on Staff",SUMIFS('Tally Helper'!$L$44:$GI$44,'Tally Helper'!$L$42:$GI$42,"&gt;="&amp;$BR93,'Tally Helper'!$L$42:$GI$42,"&lt;="&amp;$BS93)))</f>
        <v/>
      </c>
      <c r="AL93" s="17" t="str">
        <f aca="false">IF(OR(P$7="",$BR93=""),"",IF('Tally Helper'!$B$45&lt;&gt;TRUE(),"not on Staff",SUMIFS('Tally Helper'!$L$47:$GI$47,'Tally Helper'!$L$45:$GI$45,"&gt;="&amp;$BR93,'Tally Helper'!$L$45:$GI$45,"&lt;="&amp;$BS93)))</f>
        <v/>
      </c>
      <c r="AM93" s="17" t="str">
        <f aca="false">IF(OR(Q$7="",$BR93=""),"",IF('Tally Helper'!$B$48&lt;&gt;TRUE(),"not on Staff",SUMIFS('Tally Helper'!$L$50:$GI$50,'Tally Helper'!$L$48:$GI$48,"&gt;="&amp;$BR93,'Tally Helper'!$L$48:$GI$48,"&lt;="&amp;$BS93)))</f>
        <v/>
      </c>
      <c r="AN93" s="17" t="str">
        <f aca="false">IF(OR(R$7="",$BR93=""),"",IF('Tally Helper'!$B$51&lt;&gt;TRUE(),"not on Staff",SUMIFS('Tally Helper'!$L$53:$GI$53,'Tally Helper'!$L$51:$GI$51,"&gt;="&amp;$BR93,'Tally Helper'!$L$51:$GI$51,"&lt;="&amp;$BS93)))</f>
        <v/>
      </c>
      <c r="AO93" s="17" t="str">
        <f aca="false">IF(OR(S$7="",$BR93=""),"",IF('Tally Helper'!$B$54&lt;&gt;TRUE(),"not on Staff",SUMIFS('Tally Helper'!$L$56:$GI$56,'Tally Helper'!$L$54:$GI$54,"&gt;="&amp;$BR93,'Tally Helper'!$L$54:$GI$54,"&lt;="&amp;$BS93)))</f>
        <v/>
      </c>
      <c r="AP93" s="17" t="str">
        <f aca="false">IF(OR(T$7="",$BR93=""),"",IF('Tally Helper'!$B$57&lt;&gt;TRUE(),"not on Staff",SUMIFS('Tally Helper'!$L$59:$GI$59,'Tally Helper'!$L$57:$GI$57,"&gt;="&amp;$BR93,'Tally Helper'!$L$57:$GI$57,"&lt;="&amp;$BS93)))</f>
        <v/>
      </c>
      <c r="AQ93" s="17" t="str">
        <f aca="false">IF(OR(U$7="",$BR93=""),"",IF('Tally Helper'!$B$60&lt;&gt;TRUE(),"not on Staff",SUMIFS('Tally Helper'!$L$62:$GI$62,'Tally Helper'!$L$60:$GI$60,"&gt;="&amp;$BR93,'Tally Helper'!$L$60:$GI$60,"&lt;="&amp;$BS93)))</f>
        <v/>
      </c>
      <c r="AT93" s="17" t="str">
        <f aca="false">IF(OR(X93="",NOT(ISNUMBER(X93))),"",X93-N(B93))</f>
        <v/>
      </c>
      <c r="AU93" s="17" t="str">
        <f aca="false">IF(OR(Y93="",NOT(ISNUMBER(Y93))),"",Y93-N(C93))</f>
        <v/>
      </c>
      <c r="AV93" s="17" t="str">
        <f aca="false">IF(OR(Z93="",NOT(ISNUMBER(Z93))),"",Z93-N(D93))</f>
        <v/>
      </c>
      <c r="AW93" s="17" t="str">
        <f aca="false">IF(OR(AA93="",NOT(ISNUMBER(AA93))),"",AA93-N(E93))</f>
        <v/>
      </c>
      <c r="AX93" s="17" t="str">
        <f aca="false">IF(OR(AB93="",NOT(ISNUMBER(AB93))),"",AB93-N(F93))</f>
        <v/>
      </c>
      <c r="AY93" s="17" t="str">
        <f aca="false">IF(OR(AC93="",NOT(ISNUMBER(AC93))),"",AC93-N(G93))</f>
        <v/>
      </c>
      <c r="AZ93" s="17" t="str">
        <f aca="false">IF(OR(AD93="",NOT(ISNUMBER(AD93))),"",AD93-N(H93))</f>
        <v/>
      </c>
      <c r="BA93" s="17" t="str">
        <f aca="false">IF(OR(AE93="",NOT(ISNUMBER(AE93))),"",AE93-N(I93))</f>
        <v/>
      </c>
      <c r="BB93" s="17" t="str">
        <f aca="false">IF(OR(AF93="",NOT(ISNUMBER(AF93))),"",AF93-N(J93))</f>
        <v/>
      </c>
      <c r="BC93" s="17" t="str">
        <f aca="false">IF(OR(AG93="",NOT(ISNUMBER(AG93))),"",AG93-N(K93))</f>
        <v/>
      </c>
      <c r="BD93" s="17" t="str">
        <f aca="false">IF(OR(AH93="",NOT(ISNUMBER(AH93))),"",AH93-N(L93))</f>
        <v/>
      </c>
      <c r="BE93" s="17" t="str">
        <f aca="false">IF(OR(AI93="",NOT(ISNUMBER(AI93))),"",AI93-N(M93))</f>
        <v/>
      </c>
      <c r="BF93" s="17" t="str">
        <f aca="false">IF(OR(AJ93="",NOT(ISNUMBER(AJ93))),"",AJ93-N(N93))</f>
        <v/>
      </c>
      <c r="BG93" s="17" t="str">
        <f aca="false">IF(OR(AK93="",NOT(ISNUMBER(AK93))),"",AK93-N(O93))</f>
        <v/>
      </c>
      <c r="BH93" s="17" t="str">
        <f aca="false">IF(OR(AL93="",NOT(ISNUMBER(AL93))),"",AL93-N(P93))</f>
        <v/>
      </c>
      <c r="BI93" s="17" t="str">
        <f aca="false">IF(OR(AM93="",NOT(ISNUMBER(AM93))),"",AM93-N(Q93))</f>
        <v/>
      </c>
      <c r="BJ93" s="17" t="str">
        <f aca="false">IF(OR(AN93="",NOT(ISNUMBER(AN93))),"",AN93-N(R93))</f>
        <v/>
      </c>
      <c r="BK93" s="17" t="str">
        <f aca="false">IF(OR(AO93="",NOT(ISNUMBER(AO93))),"",AO93-N(S93))</f>
        <v/>
      </c>
      <c r="BL93" s="17" t="str">
        <f aca="false">IF(OR(AP93="",NOT(ISNUMBER(AP93))),"",AP93-N(T93))</f>
        <v/>
      </c>
      <c r="BM93" s="17" t="str">
        <f aca="false">IF(OR(AQ93="",NOT(ISNUMBER(AQ93))),"",AQ93-N(U93))</f>
        <v/>
      </c>
      <c r="BR93" s="20" t="str">
        <f aca="false">IF($A93="","",IF(ISNUMBER($A93),DATE(YEAR($A93),MONTH($A93),1),IFERROR(DATE(2000+VALUE(RIGHT(TRIM($A93),2)),MATCH(UPPER(LEFT(TRIM($A93),3)),{"JAN","FEB","MAR","APR","MAY","JUN","JUL","AUG","SEP","OCT","NOV","DEC"},0),1),"")))</f>
        <v/>
      </c>
      <c r="BS93" s="20" t="str">
        <f aca="false">IF(BR93="","",EOMONTH(BR93,0))</f>
        <v/>
      </c>
    </row>
    <row r="94" customFormat="false" ht="15" hidden="false" customHeight="false" outlineLevel="0" collapsed="false">
      <c r="B94" s="21"/>
      <c r="C94" s="21"/>
      <c r="D94" s="21"/>
      <c r="E94" s="21"/>
      <c r="F94" s="21"/>
      <c r="G94" s="21"/>
      <c r="H94" s="21"/>
      <c r="I94" s="21"/>
      <c r="J94" s="21"/>
      <c r="K94" s="21"/>
      <c r="L94" s="21"/>
      <c r="M94" s="21"/>
      <c r="N94" s="21"/>
      <c r="O94" s="21"/>
      <c r="P94" s="21"/>
      <c r="Q94" s="21"/>
      <c r="R94" s="21"/>
      <c r="S94" s="21"/>
      <c r="T94" s="21"/>
      <c r="U94" s="21"/>
      <c r="X94" s="17" t="str">
        <f aca="false">IF(OR(B$7="",$BR94=""),"",IF('Tally Helper'!$B$3&lt;&gt;TRUE(),"not on Staff",SUMIFS('Tally Helper'!$L$5:$GI$5,'Tally Helper'!$L$3:$GI$3,"&gt;="&amp;$BR94,'Tally Helper'!$L$3:$GI$3,"&lt;="&amp;$BS94)))</f>
        <v/>
      </c>
      <c r="Y94" s="17" t="str">
        <f aca="false">IF(OR(C$7="",$BR94=""),"",IF('Tally Helper'!$B$6&lt;&gt;TRUE(),"not on Staff",SUMIFS('Tally Helper'!$L$8:$GI$8,'Tally Helper'!$L$6:$GI$6,"&gt;="&amp;$BR94,'Tally Helper'!$L$6:$GI$6,"&lt;="&amp;$BS94)))</f>
        <v/>
      </c>
      <c r="Z94" s="17" t="str">
        <f aca="false">IF(OR(D$7="",$BR94=""),"",IF('Tally Helper'!$B$9&lt;&gt;TRUE(),"not on Staff",SUMIFS('Tally Helper'!$L$11:$GI$11,'Tally Helper'!$L$9:$GI$9,"&gt;="&amp;$BR94,'Tally Helper'!$L$9:$GI$9,"&lt;="&amp;$BS94)))</f>
        <v/>
      </c>
      <c r="AA94" s="17" t="str">
        <f aca="false">IF(OR(E$7="",$BR94=""),"",IF('Tally Helper'!$B$12&lt;&gt;TRUE(),"not on Staff",SUMIFS('Tally Helper'!$L$14:$GI$14,'Tally Helper'!$L$12:$GI$12,"&gt;="&amp;$BR94,'Tally Helper'!$L$12:$GI$12,"&lt;="&amp;$BS94)))</f>
        <v/>
      </c>
      <c r="AB94" s="17" t="str">
        <f aca="false">IF(OR(F$7="",$BR94=""),"",IF('Tally Helper'!$B$15&lt;&gt;TRUE(),"not on Staff",SUMIFS('Tally Helper'!$L$17:$GI$17,'Tally Helper'!$L$15:$GI$15,"&gt;="&amp;$BR94,'Tally Helper'!$L$15:$GI$15,"&lt;="&amp;$BS94)))</f>
        <v/>
      </c>
      <c r="AC94" s="17" t="str">
        <f aca="false">IF(OR(G$7="",$BR94=""),"",IF('Tally Helper'!$B$18&lt;&gt;TRUE(),"not on Staff",SUMIFS('Tally Helper'!$L$20:$GI$20,'Tally Helper'!$L$18:$GI$18,"&gt;="&amp;$BR94,'Tally Helper'!$L$18:$GI$18,"&lt;="&amp;$BS94)))</f>
        <v/>
      </c>
      <c r="AD94" s="17" t="str">
        <f aca="false">IF(OR(H$7="",$BR94=""),"",IF('Tally Helper'!$B$21&lt;&gt;TRUE(),"not on Staff",SUMIFS('Tally Helper'!$L$23:$GI$23,'Tally Helper'!$L$21:$GI$21,"&gt;="&amp;$BR94,'Tally Helper'!$L$21:$GI$21,"&lt;="&amp;$BS94)))</f>
        <v/>
      </c>
      <c r="AE94" s="17" t="str">
        <f aca="false">IF(OR(I$7="",$BR94=""),"",IF('Tally Helper'!$B$24&lt;&gt;TRUE(),"not on Staff",SUMIFS('Tally Helper'!$L$26:$GI$26,'Tally Helper'!$L$24:$GI$24,"&gt;="&amp;$BR94,'Tally Helper'!$L$24:$GI$24,"&lt;="&amp;$BS94)))</f>
        <v/>
      </c>
      <c r="AF94" s="17" t="str">
        <f aca="false">IF(OR(J$7="",$BR94=""),"",IF('Tally Helper'!$B$27&lt;&gt;TRUE(),"not on Staff",SUMIFS('Tally Helper'!$L$29:$GI$29,'Tally Helper'!$L$27:$GI$27,"&gt;="&amp;$BR94,'Tally Helper'!$L$27:$GI$27,"&lt;="&amp;$BS94)))</f>
        <v/>
      </c>
      <c r="AG94" s="17" t="str">
        <f aca="false">IF(OR(K$7="",$BR94=""),"",IF('Tally Helper'!$B$30&lt;&gt;TRUE(),"not on Staff",SUMIFS('Tally Helper'!$L$32:$GI$32,'Tally Helper'!$L$30:$GI$30,"&gt;="&amp;$BR94,'Tally Helper'!$L$30:$GI$30,"&lt;="&amp;$BS94)))</f>
        <v/>
      </c>
      <c r="AH94" s="17" t="str">
        <f aca="false">IF(OR(L$7="",$BR94=""),"",IF('Tally Helper'!$B$33&lt;&gt;TRUE(),"not on Staff",SUMIFS('Tally Helper'!$L$35:$GI$35,'Tally Helper'!$L$33:$GI$33,"&gt;="&amp;$BR94,'Tally Helper'!$L$33:$GI$33,"&lt;="&amp;$BS94)))</f>
        <v/>
      </c>
      <c r="AI94" s="17" t="str">
        <f aca="false">IF(OR(M$7="",$BR94=""),"",IF('Tally Helper'!$B$36&lt;&gt;TRUE(),"not on Staff",SUMIFS('Tally Helper'!$L$38:$GI$38,'Tally Helper'!$L$36:$GI$36,"&gt;="&amp;$BR94,'Tally Helper'!$L$36:$GI$36,"&lt;="&amp;$BS94)))</f>
        <v/>
      </c>
      <c r="AJ94" s="17" t="str">
        <f aca="false">IF(OR(N$7="",$BR94=""),"",IF('Tally Helper'!$B$39&lt;&gt;TRUE(),"not on Staff",SUMIFS('Tally Helper'!$L$41:$GI$41,'Tally Helper'!$L$39:$GI$39,"&gt;="&amp;$BR94,'Tally Helper'!$L$39:$GI$39,"&lt;="&amp;$BS94)))</f>
        <v/>
      </c>
      <c r="AK94" s="17" t="str">
        <f aca="false">IF(OR(O$7="",$BR94=""),"",IF('Tally Helper'!$B$42&lt;&gt;TRUE(),"not on Staff",SUMIFS('Tally Helper'!$L$44:$GI$44,'Tally Helper'!$L$42:$GI$42,"&gt;="&amp;$BR94,'Tally Helper'!$L$42:$GI$42,"&lt;="&amp;$BS94)))</f>
        <v/>
      </c>
      <c r="AL94" s="17" t="str">
        <f aca="false">IF(OR(P$7="",$BR94=""),"",IF('Tally Helper'!$B$45&lt;&gt;TRUE(),"not on Staff",SUMIFS('Tally Helper'!$L$47:$GI$47,'Tally Helper'!$L$45:$GI$45,"&gt;="&amp;$BR94,'Tally Helper'!$L$45:$GI$45,"&lt;="&amp;$BS94)))</f>
        <v/>
      </c>
      <c r="AM94" s="17" t="str">
        <f aca="false">IF(OR(Q$7="",$BR94=""),"",IF('Tally Helper'!$B$48&lt;&gt;TRUE(),"not on Staff",SUMIFS('Tally Helper'!$L$50:$GI$50,'Tally Helper'!$L$48:$GI$48,"&gt;="&amp;$BR94,'Tally Helper'!$L$48:$GI$48,"&lt;="&amp;$BS94)))</f>
        <v/>
      </c>
      <c r="AN94" s="17" t="str">
        <f aca="false">IF(OR(R$7="",$BR94=""),"",IF('Tally Helper'!$B$51&lt;&gt;TRUE(),"not on Staff",SUMIFS('Tally Helper'!$L$53:$GI$53,'Tally Helper'!$L$51:$GI$51,"&gt;="&amp;$BR94,'Tally Helper'!$L$51:$GI$51,"&lt;="&amp;$BS94)))</f>
        <v/>
      </c>
      <c r="AO94" s="17" t="str">
        <f aca="false">IF(OR(S$7="",$BR94=""),"",IF('Tally Helper'!$B$54&lt;&gt;TRUE(),"not on Staff",SUMIFS('Tally Helper'!$L$56:$GI$56,'Tally Helper'!$L$54:$GI$54,"&gt;="&amp;$BR94,'Tally Helper'!$L$54:$GI$54,"&lt;="&amp;$BS94)))</f>
        <v/>
      </c>
      <c r="AP94" s="17" t="str">
        <f aca="false">IF(OR(T$7="",$BR94=""),"",IF('Tally Helper'!$B$57&lt;&gt;TRUE(),"not on Staff",SUMIFS('Tally Helper'!$L$59:$GI$59,'Tally Helper'!$L$57:$GI$57,"&gt;="&amp;$BR94,'Tally Helper'!$L$57:$GI$57,"&lt;="&amp;$BS94)))</f>
        <v/>
      </c>
      <c r="AQ94" s="17" t="str">
        <f aca="false">IF(OR(U$7="",$BR94=""),"",IF('Tally Helper'!$B$60&lt;&gt;TRUE(),"not on Staff",SUMIFS('Tally Helper'!$L$62:$GI$62,'Tally Helper'!$L$60:$GI$60,"&gt;="&amp;$BR94,'Tally Helper'!$L$60:$GI$60,"&lt;="&amp;$BS94)))</f>
        <v/>
      </c>
      <c r="AT94" s="17" t="str">
        <f aca="false">IF(OR(X94="",NOT(ISNUMBER(X94))),"",X94-N(B94))</f>
        <v/>
      </c>
      <c r="AU94" s="17" t="str">
        <f aca="false">IF(OR(Y94="",NOT(ISNUMBER(Y94))),"",Y94-N(C94))</f>
        <v/>
      </c>
      <c r="AV94" s="17" t="str">
        <f aca="false">IF(OR(Z94="",NOT(ISNUMBER(Z94))),"",Z94-N(D94))</f>
        <v/>
      </c>
      <c r="AW94" s="17" t="str">
        <f aca="false">IF(OR(AA94="",NOT(ISNUMBER(AA94))),"",AA94-N(E94))</f>
        <v/>
      </c>
      <c r="AX94" s="17" t="str">
        <f aca="false">IF(OR(AB94="",NOT(ISNUMBER(AB94))),"",AB94-N(F94))</f>
        <v/>
      </c>
      <c r="AY94" s="17" t="str">
        <f aca="false">IF(OR(AC94="",NOT(ISNUMBER(AC94))),"",AC94-N(G94))</f>
        <v/>
      </c>
      <c r="AZ94" s="17" t="str">
        <f aca="false">IF(OR(AD94="",NOT(ISNUMBER(AD94))),"",AD94-N(H94))</f>
        <v/>
      </c>
      <c r="BA94" s="17" t="str">
        <f aca="false">IF(OR(AE94="",NOT(ISNUMBER(AE94))),"",AE94-N(I94))</f>
        <v/>
      </c>
      <c r="BB94" s="17" t="str">
        <f aca="false">IF(OR(AF94="",NOT(ISNUMBER(AF94))),"",AF94-N(J94))</f>
        <v/>
      </c>
      <c r="BC94" s="17" t="str">
        <f aca="false">IF(OR(AG94="",NOT(ISNUMBER(AG94))),"",AG94-N(K94))</f>
        <v/>
      </c>
      <c r="BD94" s="17" t="str">
        <f aca="false">IF(OR(AH94="",NOT(ISNUMBER(AH94))),"",AH94-N(L94))</f>
        <v/>
      </c>
      <c r="BE94" s="17" t="str">
        <f aca="false">IF(OR(AI94="",NOT(ISNUMBER(AI94))),"",AI94-N(M94))</f>
        <v/>
      </c>
      <c r="BF94" s="17" t="str">
        <f aca="false">IF(OR(AJ94="",NOT(ISNUMBER(AJ94))),"",AJ94-N(N94))</f>
        <v/>
      </c>
      <c r="BG94" s="17" t="str">
        <f aca="false">IF(OR(AK94="",NOT(ISNUMBER(AK94))),"",AK94-N(O94))</f>
        <v/>
      </c>
      <c r="BH94" s="17" t="str">
        <f aca="false">IF(OR(AL94="",NOT(ISNUMBER(AL94))),"",AL94-N(P94))</f>
        <v/>
      </c>
      <c r="BI94" s="17" t="str">
        <f aca="false">IF(OR(AM94="",NOT(ISNUMBER(AM94))),"",AM94-N(Q94))</f>
        <v/>
      </c>
      <c r="BJ94" s="17" t="str">
        <f aca="false">IF(OR(AN94="",NOT(ISNUMBER(AN94))),"",AN94-N(R94))</f>
        <v/>
      </c>
      <c r="BK94" s="17" t="str">
        <f aca="false">IF(OR(AO94="",NOT(ISNUMBER(AO94))),"",AO94-N(S94))</f>
        <v/>
      </c>
      <c r="BL94" s="17" t="str">
        <f aca="false">IF(OR(AP94="",NOT(ISNUMBER(AP94))),"",AP94-N(T94))</f>
        <v/>
      </c>
      <c r="BM94" s="17" t="str">
        <f aca="false">IF(OR(AQ94="",NOT(ISNUMBER(AQ94))),"",AQ94-N(U94))</f>
        <v/>
      </c>
      <c r="BR94" s="20" t="str">
        <f aca="false">IF($A94="","",IF(ISNUMBER($A94),DATE(YEAR($A94),MONTH($A94),1),IFERROR(DATE(2000+VALUE(RIGHT(TRIM($A94),2)),MATCH(UPPER(LEFT(TRIM($A94),3)),{"JAN","FEB","MAR","APR","MAY","JUN","JUL","AUG","SEP","OCT","NOV","DEC"},0),1),"")))</f>
        <v/>
      </c>
      <c r="BS94" s="20" t="str">
        <f aca="false">IF(BR94="","",EOMONTH(BR94,0))</f>
        <v/>
      </c>
    </row>
    <row r="95" customFormat="false" ht="15" hidden="false" customHeight="false" outlineLevel="0" collapsed="false">
      <c r="B95" s="21"/>
      <c r="C95" s="21"/>
      <c r="D95" s="21"/>
      <c r="E95" s="21"/>
      <c r="F95" s="21"/>
      <c r="G95" s="21"/>
      <c r="H95" s="21"/>
      <c r="I95" s="21"/>
      <c r="J95" s="21"/>
      <c r="K95" s="21"/>
      <c r="L95" s="21"/>
      <c r="M95" s="21"/>
      <c r="N95" s="21"/>
      <c r="O95" s="21"/>
      <c r="P95" s="21"/>
      <c r="Q95" s="21"/>
      <c r="R95" s="21"/>
      <c r="S95" s="21"/>
      <c r="T95" s="21"/>
      <c r="U95" s="21"/>
      <c r="X95" s="17" t="str">
        <f aca="false">IF(OR(B$7="",$BR95=""),"",IF('Tally Helper'!$B$3&lt;&gt;TRUE(),"not on Staff",SUMIFS('Tally Helper'!$L$5:$GI$5,'Tally Helper'!$L$3:$GI$3,"&gt;="&amp;$BR95,'Tally Helper'!$L$3:$GI$3,"&lt;="&amp;$BS95)))</f>
        <v/>
      </c>
      <c r="Y95" s="17" t="str">
        <f aca="false">IF(OR(C$7="",$BR95=""),"",IF('Tally Helper'!$B$6&lt;&gt;TRUE(),"not on Staff",SUMIFS('Tally Helper'!$L$8:$GI$8,'Tally Helper'!$L$6:$GI$6,"&gt;="&amp;$BR95,'Tally Helper'!$L$6:$GI$6,"&lt;="&amp;$BS95)))</f>
        <v/>
      </c>
      <c r="Z95" s="17" t="str">
        <f aca="false">IF(OR(D$7="",$BR95=""),"",IF('Tally Helper'!$B$9&lt;&gt;TRUE(),"not on Staff",SUMIFS('Tally Helper'!$L$11:$GI$11,'Tally Helper'!$L$9:$GI$9,"&gt;="&amp;$BR95,'Tally Helper'!$L$9:$GI$9,"&lt;="&amp;$BS95)))</f>
        <v/>
      </c>
      <c r="AA95" s="17" t="str">
        <f aca="false">IF(OR(E$7="",$BR95=""),"",IF('Tally Helper'!$B$12&lt;&gt;TRUE(),"not on Staff",SUMIFS('Tally Helper'!$L$14:$GI$14,'Tally Helper'!$L$12:$GI$12,"&gt;="&amp;$BR95,'Tally Helper'!$L$12:$GI$12,"&lt;="&amp;$BS95)))</f>
        <v/>
      </c>
      <c r="AB95" s="17" t="str">
        <f aca="false">IF(OR(F$7="",$BR95=""),"",IF('Tally Helper'!$B$15&lt;&gt;TRUE(),"not on Staff",SUMIFS('Tally Helper'!$L$17:$GI$17,'Tally Helper'!$L$15:$GI$15,"&gt;="&amp;$BR95,'Tally Helper'!$L$15:$GI$15,"&lt;="&amp;$BS95)))</f>
        <v/>
      </c>
      <c r="AC95" s="17" t="str">
        <f aca="false">IF(OR(G$7="",$BR95=""),"",IF('Tally Helper'!$B$18&lt;&gt;TRUE(),"not on Staff",SUMIFS('Tally Helper'!$L$20:$GI$20,'Tally Helper'!$L$18:$GI$18,"&gt;="&amp;$BR95,'Tally Helper'!$L$18:$GI$18,"&lt;="&amp;$BS95)))</f>
        <v/>
      </c>
      <c r="AD95" s="17" t="str">
        <f aca="false">IF(OR(H$7="",$BR95=""),"",IF('Tally Helper'!$B$21&lt;&gt;TRUE(),"not on Staff",SUMIFS('Tally Helper'!$L$23:$GI$23,'Tally Helper'!$L$21:$GI$21,"&gt;="&amp;$BR95,'Tally Helper'!$L$21:$GI$21,"&lt;="&amp;$BS95)))</f>
        <v/>
      </c>
      <c r="AE95" s="17" t="str">
        <f aca="false">IF(OR(I$7="",$BR95=""),"",IF('Tally Helper'!$B$24&lt;&gt;TRUE(),"not on Staff",SUMIFS('Tally Helper'!$L$26:$GI$26,'Tally Helper'!$L$24:$GI$24,"&gt;="&amp;$BR95,'Tally Helper'!$L$24:$GI$24,"&lt;="&amp;$BS95)))</f>
        <v/>
      </c>
      <c r="AF95" s="17" t="str">
        <f aca="false">IF(OR(J$7="",$BR95=""),"",IF('Tally Helper'!$B$27&lt;&gt;TRUE(),"not on Staff",SUMIFS('Tally Helper'!$L$29:$GI$29,'Tally Helper'!$L$27:$GI$27,"&gt;="&amp;$BR95,'Tally Helper'!$L$27:$GI$27,"&lt;="&amp;$BS95)))</f>
        <v/>
      </c>
      <c r="AG95" s="17" t="str">
        <f aca="false">IF(OR(K$7="",$BR95=""),"",IF('Tally Helper'!$B$30&lt;&gt;TRUE(),"not on Staff",SUMIFS('Tally Helper'!$L$32:$GI$32,'Tally Helper'!$L$30:$GI$30,"&gt;="&amp;$BR95,'Tally Helper'!$L$30:$GI$30,"&lt;="&amp;$BS95)))</f>
        <v/>
      </c>
      <c r="AH95" s="17" t="str">
        <f aca="false">IF(OR(L$7="",$BR95=""),"",IF('Tally Helper'!$B$33&lt;&gt;TRUE(),"not on Staff",SUMIFS('Tally Helper'!$L$35:$GI$35,'Tally Helper'!$L$33:$GI$33,"&gt;="&amp;$BR95,'Tally Helper'!$L$33:$GI$33,"&lt;="&amp;$BS95)))</f>
        <v/>
      </c>
      <c r="AI95" s="17" t="str">
        <f aca="false">IF(OR(M$7="",$BR95=""),"",IF('Tally Helper'!$B$36&lt;&gt;TRUE(),"not on Staff",SUMIFS('Tally Helper'!$L$38:$GI$38,'Tally Helper'!$L$36:$GI$36,"&gt;="&amp;$BR95,'Tally Helper'!$L$36:$GI$36,"&lt;="&amp;$BS95)))</f>
        <v/>
      </c>
      <c r="AJ95" s="17" t="str">
        <f aca="false">IF(OR(N$7="",$BR95=""),"",IF('Tally Helper'!$B$39&lt;&gt;TRUE(),"not on Staff",SUMIFS('Tally Helper'!$L$41:$GI$41,'Tally Helper'!$L$39:$GI$39,"&gt;="&amp;$BR95,'Tally Helper'!$L$39:$GI$39,"&lt;="&amp;$BS95)))</f>
        <v/>
      </c>
      <c r="AK95" s="17" t="str">
        <f aca="false">IF(OR(O$7="",$BR95=""),"",IF('Tally Helper'!$B$42&lt;&gt;TRUE(),"not on Staff",SUMIFS('Tally Helper'!$L$44:$GI$44,'Tally Helper'!$L$42:$GI$42,"&gt;="&amp;$BR95,'Tally Helper'!$L$42:$GI$42,"&lt;="&amp;$BS95)))</f>
        <v/>
      </c>
      <c r="AL95" s="17" t="str">
        <f aca="false">IF(OR(P$7="",$BR95=""),"",IF('Tally Helper'!$B$45&lt;&gt;TRUE(),"not on Staff",SUMIFS('Tally Helper'!$L$47:$GI$47,'Tally Helper'!$L$45:$GI$45,"&gt;="&amp;$BR95,'Tally Helper'!$L$45:$GI$45,"&lt;="&amp;$BS95)))</f>
        <v/>
      </c>
      <c r="AM95" s="17" t="str">
        <f aca="false">IF(OR(Q$7="",$BR95=""),"",IF('Tally Helper'!$B$48&lt;&gt;TRUE(),"not on Staff",SUMIFS('Tally Helper'!$L$50:$GI$50,'Tally Helper'!$L$48:$GI$48,"&gt;="&amp;$BR95,'Tally Helper'!$L$48:$GI$48,"&lt;="&amp;$BS95)))</f>
        <v/>
      </c>
      <c r="AN95" s="17" t="str">
        <f aca="false">IF(OR(R$7="",$BR95=""),"",IF('Tally Helper'!$B$51&lt;&gt;TRUE(),"not on Staff",SUMIFS('Tally Helper'!$L$53:$GI$53,'Tally Helper'!$L$51:$GI$51,"&gt;="&amp;$BR95,'Tally Helper'!$L$51:$GI$51,"&lt;="&amp;$BS95)))</f>
        <v/>
      </c>
      <c r="AO95" s="17" t="str">
        <f aca="false">IF(OR(S$7="",$BR95=""),"",IF('Tally Helper'!$B$54&lt;&gt;TRUE(),"not on Staff",SUMIFS('Tally Helper'!$L$56:$GI$56,'Tally Helper'!$L$54:$GI$54,"&gt;="&amp;$BR95,'Tally Helper'!$L$54:$GI$54,"&lt;="&amp;$BS95)))</f>
        <v/>
      </c>
      <c r="AP95" s="17" t="str">
        <f aca="false">IF(OR(T$7="",$BR95=""),"",IF('Tally Helper'!$B$57&lt;&gt;TRUE(),"not on Staff",SUMIFS('Tally Helper'!$L$59:$GI$59,'Tally Helper'!$L$57:$GI$57,"&gt;="&amp;$BR95,'Tally Helper'!$L$57:$GI$57,"&lt;="&amp;$BS95)))</f>
        <v/>
      </c>
      <c r="AQ95" s="17" t="str">
        <f aca="false">IF(OR(U$7="",$BR95=""),"",IF('Tally Helper'!$B$60&lt;&gt;TRUE(),"not on Staff",SUMIFS('Tally Helper'!$L$62:$GI$62,'Tally Helper'!$L$60:$GI$60,"&gt;="&amp;$BR95,'Tally Helper'!$L$60:$GI$60,"&lt;="&amp;$BS95)))</f>
        <v/>
      </c>
      <c r="AT95" s="17" t="str">
        <f aca="false">IF(OR(X95="",NOT(ISNUMBER(X95))),"",X95-N(B95))</f>
        <v/>
      </c>
      <c r="AU95" s="17" t="str">
        <f aca="false">IF(OR(Y95="",NOT(ISNUMBER(Y95))),"",Y95-N(C95))</f>
        <v/>
      </c>
      <c r="AV95" s="17" t="str">
        <f aca="false">IF(OR(Z95="",NOT(ISNUMBER(Z95))),"",Z95-N(D95))</f>
        <v/>
      </c>
      <c r="AW95" s="17" t="str">
        <f aca="false">IF(OR(AA95="",NOT(ISNUMBER(AA95))),"",AA95-N(E95))</f>
        <v/>
      </c>
      <c r="AX95" s="17" t="str">
        <f aca="false">IF(OR(AB95="",NOT(ISNUMBER(AB95))),"",AB95-N(F95))</f>
        <v/>
      </c>
      <c r="AY95" s="17" t="str">
        <f aca="false">IF(OR(AC95="",NOT(ISNUMBER(AC95))),"",AC95-N(G95))</f>
        <v/>
      </c>
      <c r="AZ95" s="17" t="str">
        <f aca="false">IF(OR(AD95="",NOT(ISNUMBER(AD95))),"",AD95-N(H95))</f>
        <v/>
      </c>
      <c r="BA95" s="17" t="str">
        <f aca="false">IF(OR(AE95="",NOT(ISNUMBER(AE95))),"",AE95-N(I95))</f>
        <v/>
      </c>
      <c r="BB95" s="17" t="str">
        <f aca="false">IF(OR(AF95="",NOT(ISNUMBER(AF95))),"",AF95-N(J95))</f>
        <v/>
      </c>
      <c r="BC95" s="17" t="str">
        <f aca="false">IF(OR(AG95="",NOT(ISNUMBER(AG95))),"",AG95-N(K95))</f>
        <v/>
      </c>
      <c r="BD95" s="17" t="str">
        <f aca="false">IF(OR(AH95="",NOT(ISNUMBER(AH95))),"",AH95-N(L95))</f>
        <v/>
      </c>
      <c r="BE95" s="17" t="str">
        <f aca="false">IF(OR(AI95="",NOT(ISNUMBER(AI95))),"",AI95-N(M95))</f>
        <v/>
      </c>
      <c r="BF95" s="17" t="str">
        <f aca="false">IF(OR(AJ95="",NOT(ISNUMBER(AJ95))),"",AJ95-N(N95))</f>
        <v/>
      </c>
      <c r="BG95" s="17" t="str">
        <f aca="false">IF(OR(AK95="",NOT(ISNUMBER(AK95))),"",AK95-N(O95))</f>
        <v/>
      </c>
      <c r="BH95" s="17" t="str">
        <f aca="false">IF(OR(AL95="",NOT(ISNUMBER(AL95))),"",AL95-N(P95))</f>
        <v/>
      </c>
      <c r="BI95" s="17" t="str">
        <f aca="false">IF(OR(AM95="",NOT(ISNUMBER(AM95))),"",AM95-N(Q95))</f>
        <v/>
      </c>
      <c r="BJ95" s="17" t="str">
        <f aca="false">IF(OR(AN95="",NOT(ISNUMBER(AN95))),"",AN95-N(R95))</f>
        <v/>
      </c>
      <c r="BK95" s="17" t="str">
        <f aca="false">IF(OR(AO95="",NOT(ISNUMBER(AO95))),"",AO95-N(S95))</f>
        <v/>
      </c>
      <c r="BL95" s="17" t="str">
        <f aca="false">IF(OR(AP95="",NOT(ISNUMBER(AP95))),"",AP95-N(T95))</f>
        <v/>
      </c>
      <c r="BM95" s="17" t="str">
        <f aca="false">IF(OR(AQ95="",NOT(ISNUMBER(AQ95))),"",AQ95-N(U95))</f>
        <v/>
      </c>
      <c r="BR95" s="20" t="str">
        <f aca="false">IF($A95="","",IF(ISNUMBER($A95),DATE(YEAR($A95),MONTH($A95),1),IFERROR(DATE(2000+VALUE(RIGHT(TRIM($A95),2)),MATCH(UPPER(LEFT(TRIM($A95),3)),{"JAN","FEB","MAR","APR","MAY","JUN","JUL","AUG","SEP","OCT","NOV","DEC"},0),1),"")))</f>
        <v/>
      </c>
      <c r="BS95" s="20" t="str">
        <f aca="false">IF(BR95="","",EOMONTH(BR95,0))</f>
        <v/>
      </c>
    </row>
    <row r="96" customFormat="false" ht="15" hidden="false" customHeight="false" outlineLevel="0" collapsed="false">
      <c r="B96" s="21"/>
      <c r="C96" s="21"/>
      <c r="D96" s="21"/>
      <c r="E96" s="21"/>
      <c r="F96" s="21"/>
      <c r="G96" s="21"/>
      <c r="H96" s="21"/>
      <c r="I96" s="21"/>
      <c r="J96" s="21"/>
      <c r="K96" s="21"/>
      <c r="L96" s="21"/>
      <c r="M96" s="21"/>
      <c r="N96" s="21"/>
      <c r="O96" s="21"/>
      <c r="P96" s="21"/>
      <c r="Q96" s="21"/>
      <c r="R96" s="21"/>
      <c r="S96" s="21"/>
      <c r="T96" s="21"/>
      <c r="U96" s="21"/>
      <c r="X96" s="17" t="str">
        <f aca="false">IF(OR(B$7="",$BR96=""),"",IF('Tally Helper'!$B$3&lt;&gt;TRUE(),"not on Staff",SUMIFS('Tally Helper'!$L$5:$GI$5,'Tally Helper'!$L$3:$GI$3,"&gt;="&amp;$BR96,'Tally Helper'!$L$3:$GI$3,"&lt;="&amp;$BS96)))</f>
        <v/>
      </c>
      <c r="Y96" s="17" t="str">
        <f aca="false">IF(OR(C$7="",$BR96=""),"",IF('Tally Helper'!$B$6&lt;&gt;TRUE(),"not on Staff",SUMIFS('Tally Helper'!$L$8:$GI$8,'Tally Helper'!$L$6:$GI$6,"&gt;="&amp;$BR96,'Tally Helper'!$L$6:$GI$6,"&lt;="&amp;$BS96)))</f>
        <v/>
      </c>
      <c r="Z96" s="17" t="str">
        <f aca="false">IF(OR(D$7="",$BR96=""),"",IF('Tally Helper'!$B$9&lt;&gt;TRUE(),"not on Staff",SUMIFS('Tally Helper'!$L$11:$GI$11,'Tally Helper'!$L$9:$GI$9,"&gt;="&amp;$BR96,'Tally Helper'!$L$9:$GI$9,"&lt;="&amp;$BS96)))</f>
        <v/>
      </c>
      <c r="AA96" s="17" t="str">
        <f aca="false">IF(OR(E$7="",$BR96=""),"",IF('Tally Helper'!$B$12&lt;&gt;TRUE(),"not on Staff",SUMIFS('Tally Helper'!$L$14:$GI$14,'Tally Helper'!$L$12:$GI$12,"&gt;="&amp;$BR96,'Tally Helper'!$L$12:$GI$12,"&lt;="&amp;$BS96)))</f>
        <v/>
      </c>
      <c r="AB96" s="17" t="str">
        <f aca="false">IF(OR(F$7="",$BR96=""),"",IF('Tally Helper'!$B$15&lt;&gt;TRUE(),"not on Staff",SUMIFS('Tally Helper'!$L$17:$GI$17,'Tally Helper'!$L$15:$GI$15,"&gt;="&amp;$BR96,'Tally Helper'!$L$15:$GI$15,"&lt;="&amp;$BS96)))</f>
        <v/>
      </c>
      <c r="AC96" s="17" t="str">
        <f aca="false">IF(OR(G$7="",$BR96=""),"",IF('Tally Helper'!$B$18&lt;&gt;TRUE(),"not on Staff",SUMIFS('Tally Helper'!$L$20:$GI$20,'Tally Helper'!$L$18:$GI$18,"&gt;="&amp;$BR96,'Tally Helper'!$L$18:$GI$18,"&lt;="&amp;$BS96)))</f>
        <v/>
      </c>
      <c r="AD96" s="17" t="str">
        <f aca="false">IF(OR(H$7="",$BR96=""),"",IF('Tally Helper'!$B$21&lt;&gt;TRUE(),"not on Staff",SUMIFS('Tally Helper'!$L$23:$GI$23,'Tally Helper'!$L$21:$GI$21,"&gt;="&amp;$BR96,'Tally Helper'!$L$21:$GI$21,"&lt;="&amp;$BS96)))</f>
        <v/>
      </c>
      <c r="AE96" s="17" t="str">
        <f aca="false">IF(OR(I$7="",$BR96=""),"",IF('Tally Helper'!$B$24&lt;&gt;TRUE(),"not on Staff",SUMIFS('Tally Helper'!$L$26:$GI$26,'Tally Helper'!$L$24:$GI$24,"&gt;="&amp;$BR96,'Tally Helper'!$L$24:$GI$24,"&lt;="&amp;$BS96)))</f>
        <v/>
      </c>
      <c r="AF96" s="17" t="str">
        <f aca="false">IF(OR(J$7="",$BR96=""),"",IF('Tally Helper'!$B$27&lt;&gt;TRUE(),"not on Staff",SUMIFS('Tally Helper'!$L$29:$GI$29,'Tally Helper'!$L$27:$GI$27,"&gt;="&amp;$BR96,'Tally Helper'!$L$27:$GI$27,"&lt;="&amp;$BS96)))</f>
        <v/>
      </c>
      <c r="AG96" s="17" t="str">
        <f aca="false">IF(OR(K$7="",$BR96=""),"",IF('Tally Helper'!$B$30&lt;&gt;TRUE(),"not on Staff",SUMIFS('Tally Helper'!$L$32:$GI$32,'Tally Helper'!$L$30:$GI$30,"&gt;="&amp;$BR96,'Tally Helper'!$L$30:$GI$30,"&lt;="&amp;$BS96)))</f>
        <v/>
      </c>
      <c r="AH96" s="17" t="str">
        <f aca="false">IF(OR(L$7="",$BR96=""),"",IF('Tally Helper'!$B$33&lt;&gt;TRUE(),"not on Staff",SUMIFS('Tally Helper'!$L$35:$GI$35,'Tally Helper'!$L$33:$GI$33,"&gt;="&amp;$BR96,'Tally Helper'!$L$33:$GI$33,"&lt;="&amp;$BS96)))</f>
        <v/>
      </c>
      <c r="AI96" s="17" t="str">
        <f aca="false">IF(OR(M$7="",$BR96=""),"",IF('Tally Helper'!$B$36&lt;&gt;TRUE(),"not on Staff",SUMIFS('Tally Helper'!$L$38:$GI$38,'Tally Helper'!$L$36:$GI$36,"&gt;="&amp;$BR96,'Tally Helper'!$L$36:$GI$36,"&lt;="&amp;$BS96)))</f>
        <v/>
      </c>
      <c r="AJ96" s="17" t="str">
        <f aca="false">IF(OR(N$7="",$BR96=""),"",IF('Tally Helper'!$B$39&lt;&gt;TRUE(),"not on Staff",SUMIFS('Tally Helper'!$L$41:$GI$41,'Tally Helper'!$L$39:$GI$39,"&gt;="&amp;$BR96,'Tally Helper'!$L$39:$GI$39,"&lt;="&amp;$BS96)))</f>
        <v/>
      </c>
      <c r="AK96" s="17" t="str">
        <f aca="false">IF(OR(O$7="",$BR96=""),"",IF('Tally Helper'!$B$42&lt;&gt;TRUE(),"not on Staff",SUMIFS('Tally Helper'!$L$44:$GI$44,'Tally Helper'!$L$42:$GI$42,"&gt;="&amp;$BR96,'Tally Helper'!$L$42:$GI$42,"&lt;="&amp;$BS96)))</f>
        <v/>
      </c>
      <c r="AL96" s="17" t="str">
        <f aca="false">IF(OR(P$7="",$BR96=""),"",IF('Tally Helper'!$B$45&lt;&gt;TRUE(),"not on Staff",SUMIFS('Tally Helper'!$L$47:$GI$47,'Tally Helper'!$L$45:$GI$45,"&gt;="&amp;$BR96,'Tally Helper'!$L$45:$GI$45,"&lt;="&amp;$BS96)))</f>
        <v/>
      </c>
      <c r="AM96" s="17" t="str">
        <f aca="false">IF(OR(Q$7="",$BR96=""),"",IF('Tally Helper'!$B$48&lt;&gt;TRUE(),"not on Staff",SUMIFS('Tally Helper'!$L$50:$GI$50,'Tally Helper'!$L$48:$GI$48,"&gt;="&amp;$BR96,'Tally Helper'!$L$48:$GI$48,"&lt;="&amp;$BS96)))</f>
        <v/>
      </c>
      <c r="AN96" s="17" t="str">
        <f aca="false">IF(OR(R$7="",$BR96=""),"",IF('Tally Helper'!$B$51&lt;&gt;TRUE(),"not on Staff",SUMIFS('Tally Helper'!$L$53:$GI$53,'Tally Helper'!$L$51:$GI$51,"&gt;="&amp;$BR96,'Tally Helper'!$L$51:$GI$51,"&lt;="&amp;$BS96)))</f>
        <v/>
      </c>
      <c r="AO96" s="17" t="str">
        <f aca="false">IF(OR(S$7="",$BR96=""),"",IF('Tally Helper'!$B$54&lt;&gt;TRUE(),"not on Staff",SUMIFS('Tally Helper'!$L$56:$GI$56,'Tally Helper'!$L$54:$GI$54,"&gt;="&amp;$BR96,'Tally Helper'!$L$54:$GI$54,"&lt;="&amp;$BS96)))</f>
        <v/>
      </c>
      <c r="AP96" s="17" t="str">
        <f aca="false">IF(OR(T$7="",$BR96=""),"",IF('Tally Helper'!$B$57&lt;&gt;TRUE(),"not on Staff",SUMIFS('Tally Helper'!$L$59:$GI$59,'Tally Helper'!$L$57:$GI$57,"&gt;="&amp;$BR96,'Tally Helper'!$L$57:$GI$57,"&lt;="&amp;$BS96)))</f>
        <v/>
      </c>
      <c r="AQ96" s="17" t="str">
        <f aca="false">IF(OR(U$7="",$BR96=""),"",IF('Tally Helper'!$B$60&lt;&gt;TRUE(),"not on Staff",SUMIFS('Tally Helper'!$L$62:$GI$62,'Tally Helper'!$L$60:$GI$60,"&gt;="&amp;$BR96,'Tally Helper'!$L$60:$GI$60,"&lt;="&amp;$BS96)))</f>
        <v/>
      </c>
      <c r="AT96" s="17" t="str">
        <f aca="false">IF(OR(X96="",NOT(ISNUMBER(X96))),"",X96-N(B96))</f>
        <v/>
      </c>
      <c r="AU96" s="17" t="str">
        <f aca="false">IF(OR(Y96="",NOT(ISNUMBER(Y96))),"",Y96-N(C96))</f>
        <v/>
      </c>
      <c r="AV96" s="17" t="str">
        <f aca="false">IF(OR(Z96="",NOT(ISNUMBER(Z96))),"",Z96-N(D96))</f>
        <v/>
      </c>
      <c r="AW96" s="17" t="str">
        <f aca="false">IF(OR(AA96="",NOT(ISNUMBER(AA96))),"",AA96-N(E96))</f>
        <v/>
      </c>
      <c r="AX96" s="17" t="str">
        <f aca="false">IF(OR(AB96="",NOT(ISNUMBER(AB96))),"",AB96-N(F96))</f>
        <v/>
      </c>
      <c r="AY96" s="17" t="str">
        <f aca="false">IF(OR(AC96="",NOT(ISNUMBER(AC96))),"",AC96-N(G96))</f>
        <v/>
      </c>
      <c r="AZ96" s="17" t="str">
        <f aca="false">IF(OR(AD96="",NOT(ISNUMBER(AD96))),"",AD96-N(H96))</f>
        <v/>
      </c>
      <c r="BA96" s="17" t="str">
        <f aca="false">IF(OR(AE96="",NOT(ISNUMBER(AE96))),"",AE96-N(I96))</f>
        <v/>
      </c>
      <c r="BB96" s="17" t="str">
        <f aca="false">IF(OR(AF96="",NOT(ISNUMBER(AF96))),"",AF96-N(J96))</f>
        <v/>
      </c>
      <c r="BC96" s="17" t="str">
        <f aca="false">IF(OR(AG96="",NOT(ISNUMBER(AG96))),"",AG96-N(K96))</f>
        <v/>
      </c>
      <c r="BD96" s="17" t="str">
        <f aca="false">IF(OR(AH96="",NOT(ISNUMBER(AH96))),"",AH96-N(L96))</f>
        <v/>
      </c>
      <c r="BE96" s="17" t="str">
        <f aca="false">IF(OR(AI96="",NOT(ISNUMBER(AI96))),"",AI96-N(M96))</f>
        <v/>
      </c>
      <c r="BF96" s="17" t="str">
        <f aca="false">IF(OR(AJ96="",NOT(ISNUMBER(AJ96))),"",AJ96-N(N96))</f>
        <v/>
      </c>
      <c r="BG96" s="17" t="str">
        <f aca="false">IF(OR(AK96="",NOT(ISNUMBER(AK96))),"",AK96-N(O96))</f>
        <v/>
      </c>
      <c r="BH96" s="17" t="str">
        <f aca="false">IF(OR(AL96="",NOT(ISNUMBER(AL96))),"",AL96-N(P96))</f>
        <v/>
      </c>
      <c r="BI96" s="17" t="str">
        <f aca="false">IF(OR(AM96="",NOT(ISNUMBER(AM96))),"",AM96-N(Q96))</f>
        <v/>
      </c>
      <c r="BJ96" s="17" t="str">
        <f aca="false">IF(OR(AN96="",NOT(ISNUMBER(AN96))),"",AN96-N(R96))</f>
        <v/>
      </c>
      <c r="BK96" s="17" t="str">
        <f aca="false">IF(OR(AO96="",NOT(ISNUMBER(AO96))),"",AO96-N(S96))</f>
        <v/>
      </c>
      <c r="BL96" s="17" t="str">
        <f aca="false">IF(OR(AP96="",NOT(ISNUMBER(AP96))),"",AP96-N(T96))</f>
        <v/>
      </c>
      <c r="BM96" s="17" t="str">
        <f aca="false">IF(OR(AQ96="",NOT(ISNUMBER(AQ96))),"",AQ96-N(U96))</f>
        <v/>
      </c>
      <c r="BR96" s="20" t="str">
        <f aca="false">IF($A96="","",IF(ISNUMBER($A96),DATE(YEAR($A96),MONTH($A96),1),IFERROR(DATE(2000+VALUE(RIGHT(TRIM($A96),2)),MATCH(UPPER(LEFT(TRIM($A96),3)),{"JAN","FEB","MAR","APR","MAY","JUN","JUL","AUG","SEP","OCT","NOV","DEC"},0),1),"")))</f>
        <v/>
      </c>
      <c r="BS96" s="20" t="str">
        <f aca="false">IF(BR96="","",EOMONTH(BR96,0))</f>
        <v/>
      </c>
    </row>
    <row r="97" customFormat="false" ht="15" hidden="false" customHeight="false" outlineLevel="0" collapsed="false">
      <c r="B97" s="21"/>
      <c r="C97" s="21"/>
      <c r="D97" s="21"/>
      <c r="E97" s="21"/>
      <c r="F97" s="21"/>
      <c r="G97" s="21"/>
      <c r="H97" s="21"/>
      <c r="I97" s="21"/>
      <c r="J97" s="21"/>
      <c r="K97" s="21"/>
      <c r="L97" s="21"/>
      <c r="M97" s="21"/>
      <c r="N97" s="21"/>
      <c r="O97" s="21"/>
      <c r="P97" s="21"/>
      <c r="Q97" s="21"/>
      <c r="R97" s="21"/>
      <c r="S97" s="21"/>
      <c r="T97" s="21"/>
      <c r="U97" s="21"/>
      <c r="X97" s="17" t="str">
        <f aca="false">IF(OR(B$7="",$BR97=""),"",IF('Tally Helper'!$B$3&lt;&gt;TRUE(),"not on Staff",SUMIFS('Tally Helper'!$L$5:$GI$5,'Tally Helper'!$L$3:$GI$3,"&gt;="&amp;$BR97,'Tally Helper'!$L$3:$GI$3,"&lt;="&amp;$BS97)))</f>
        <v/>
      </c>
      <c r="Y97" s="17" t="str">
        <f aca="false">IF(OR(C$7="",$BR97=""),"",IF('Tally Helper'!$B$6&lt;&gt;TRUE(),"not on Staff",SUMIFS('Tally Helper'!$L$8:$GI$8,'Tally Helper'!$L$6:$GI$6,"&gt;="&amp;$BR97,'Tally Helper'!$L$6:$GI$6,"&lt;="&amp;$BS97)))</f>
        <v/>
      </c>
      <c r="Z97" s="17" t="str">
        <f aca="false">IF(OR(D$7="",$BR97=""),"",IF('Tally Helper'!$B$9&lt;&gt;TRUE(),"not on Staff",SUMIFS('Tally Helper'!$L$11:$GI$11,'Tally Helper'!$L$9:$GI$9,"&gt;="&amp;$BR97,'Tally Helper'!$L$9:$GI$9,"&lt;="&amp;$BS97)))</f>
        <v/>
      </c>
      <c r="AA97" s="17" t="str">
        <f aca="false">IF(OR(E$7="",$BR97=""),"",IF('Tally Helper'!$B$12&lt;&gt;TRUE(),"not on Staff",SUMIFS('Tally Helper'!$L$14:$GI$14,'Tally Helper'!$L$12:$GI$12,"&gt;="&amp;$BR97,'Tally Helper'!$L$12:$GI$12,"&lt;="&amp;$BS97)))</f>
        <v/>
      </c>
      <c r="AB97" s="17" t="str">
        <f aca="false">IF(OR(F$7="",$BR97=""),"",IF('Tally Helper'!$B$15&lt;&gt;TRUE(),"not on Staff",SUMIFS('Tally Helper'!$L$17:$GI$17,'Tally Helper'!$L$15:$GI$15,"&gt;="&amp;$BR97,'Tally Helper'!$L$15:$GI$15,"&lt;="&amp;$BS97)))</f>
        <v/>
      </c>
      <c r="AC97" s="17" t="str">
        <f aca="false">IF(OR(G$7="",$BR97=""),"",IF('Tally Helper'!$B$18&lt;&gt;TRUE(),"not on Staff",SUMIFS('Tally Helper'!$L$20:$GI$20,'Tally Helper'!$L$18:$GI$18,"&gt;="&amp;$BR97,'Tally Helper'!$L$18:$GI$18,"&lt;="&amp;$BS97)))</f>
        <v/>
      </c>
      <c r="AD97" s="17" t="str">
        <f aca="false">IF(OR(H$7="",$BR97=""),"",IF('Tally Helper'!$B$21&lt;&gt;TRUE(),"not on Staff",SUMIFS('Tally Helper'!$L$23:$GI$23,'Tally Helper'!$L$21:$GI$21,"&gt;="&amp;$BR97,'Tally Helper'!$L$21:$GI$21,"&lt;="&amp;$BS97)))</f>
        <v/>
      </c>
      <c r="AE97" s="17" t="str">
        <f aca="false">IF(OR(I$7="",$BR97=""),"",IF('Tally Helper'!$B$24&lt;&gt;TRUE(),"not on Staff",SUMIFS('Tally Helper'!$L$26:$GI$26,'Tally Helper'!$L$24:$GI$24,"&gt;="&amp;$BR97,'Tally Helper'!$L$24:$GI$24,"&lt;="&amp;$BS97)))</f>
        <v/>
      </c>
      <c r="AF97" s="17" t="str">
        <f aca="false">IF(OR(J$7="",$BR97=""),"",IF('Tally Helper'!$B$27&lt;&gt;TRUE(),"not on Staff",SUMIFS('Tally Helper'!$L$29:$GI$29,'Tally Helper'!$L$27:$GI$27,"&gt;="&amp;$BR97,'Tally Helper'!$L$27:$GI$27,"&lt;="&amp;$BS97)))</f>
        <v/>
      </c>
      <c r="AG97" s="17" t="str">
        <f aca="false">IF(OR(K$7="",$BR97=""),"",IF('Tally Helper'!$B$30&lt;&gt;TRUE(),"not on Staff",SUMIFS('Tally Helper'!$L$32:$GI$32,'Tally Helper'!$L$30:$GI$30,"&gt;="&amp;$BR97,'Tally Helper'!$L$30:$GI$30,"&lt;="&amp;$BS97)))</f>
        <v/>
      </c>
      <c r="AH97" s="17" t="str">
        <f aca="false">IF(OR(L$7="",$BR97=""),"",IF('Tally Helper'!$B$33&lt;&gt;TRUE(),"not on Staff",SUMIFS('Tally Helper'!$L$35:$GI$35,'Tally Helper'!$L$33:$GI$33,"&gt;="&amp;$BR97,'Tally Helper'!$L$33:$GI$33,"&lt;="&amp;$BS97)))</f>
        <v/>
      </c>
      <c r="AI97" s="17" t="str">
        <f aca="false">IF(OR(M$7="",$BR97=""),"",IF('Tally Helper'!$B$36&lt;&gt;TRUE(),"not on Staff",SUMIFS('Tally Helper'!$L$38:$GI$38,'Tally Helper'!$L$36:$GI$36,"&gt;="&amp;$BR97,'Tally Helper'!$L$36:$GI$36,"&lt;="&amp;$BS97)))</f>
        <v/>
      </c>
      <c r="AJ97" s="17" t="str">
        <f aca="false">IF(OR(N$7="",$BR97=""),"",IF('Tally Helper'!$B$39&lt;&gt;TRUE(),"not on Staff",SUMIFS('Tally Helper'!$L$41:$GI$41,'Tally Helper'!$L$39:$GI$39,"&gt;="&amp;$BR97,'Tally Helper'!$L$39:$GI$39,"&lt;="&amp;$BS97)))</f>
        <v/>
      </c>
      <c r="AK97" s="17" t="str">
        <f aca="false">IF(OR(O$7="",$BR97=""),"",IF('Tally Helper'!$B$42&lt;&gt;TRUE(),"not on Staff",SUMIFS('Tally Helper'!$L$44:$GI$44,'Tally Helper'!$L$42:$GI$42,"&gt;="&amp;$BR97,'Tally Helper'!$L$42:$GI$42,"&lt;="&amp;$BS97)))</f>
        <v/>
      </c>
      <c r="AL97" s="17" t="str">
        <f aca="false">IF(OR(P$7="",$BR97=""),"",IF('Tally Helper'!$B$45&lt;&gt;TRUE(),"not on Staff",SUMIFS('Tally Helper'!$L$47:$GI$47,'Tally Helper'!$L$45:$GI$45,"&gt;="&amp;$BR97,'Tally Helper'!$L$45:$GI$45,"&lt;="&amp;$BS97)))</f>
        <v/>
      </c>
      <c r="AM97" s="17" t="str">
        <f aca="false">IF(OR(Q$7="",$BR97=""),"",IF('Tally Helper'!$B$48&lt;&gt;TRUE(),"not on Staff",SUMIFS('Tally Helper'!$L$50:$GI$50,'Tally Helper'!$L$48:$GI$48,"&gt;="&amp;$BR97,'Tally Helper'!$L$48:$GI$48,"&lt;="&amp;$BS97)))</f>
        <v/>
      </c>
      <c r="AN97" s="17" t="str">
        <f aca="false">IF(OR(R$7="",$BR97=""),"",IF('Tally Helper'!$B$51&lt;&gt;TRUE(),"not on Staff",SUMIFS('Tally Helper'!$L$53:$GI$53,'Tally Helper'!$L$51:$GI$51,"&gt;="&amp;$BR97,'Tally Helper'!$L$51:$GI$51,"&lt;="&amp;$BS97)))</f>
        <v/>
      </c>
      <c r="AO97" s="17" t="str">
        <f aca="false">IF(OR(S$7="",$BR97=""),"",IF('Tally Helper'!$B$54&lt;&gt;TRUE(),"not on Staff",SUMIFS('Tally Helper'!$L$56:$GI$56,'Tally Helper'!$L$54:$GI$54,"&gt;="&amp;$BR97,'Tally Helper'!$L$54:$GI$54,"&lt;="&amp;$BS97)))</f>
        <v/>
      </c>
      <c r="AP97" s="17" t="str">
        <f aca="false">IF(OR(T$7="",$BR97=""),"",IF('Tally Helper'!$B$57&lt;&gt;TRUE(),"not on Staff",SUMIFS('Tally Helper'!$L$59:$GI$59,'Tally Helper'!$L$57:$GI$57,"&gt;="&amp;$BR97,'Tally Helper'!$L$57:$GI$57,"&lt;="&amp;$BS97)))</f>
        <v/>
      </c>
      <c r="AQ97" s="17" t="str">
        <f aca="false">IF(OR(U$7="",$BR97=""),"",IF('Tally Helper'!$B$60&lt;&gt;TRUE(),"not on Staff",SUMIFS('Tally Helper'!$L$62:$GI$62,'Tally Helper'!$L$60:$GI$60,"&gt;="&amp;$BR97,'Tally Helper'!$L$60:$GI$60,"&lt;="&amp;$BS97)))</f>
        <v/>
      </c>
      <c r="AT97" s="17" t="str">
        <f aca="false">IF(OR(X97="",NOT(ISNUMBER(X97))),"",X97-N(B97))</f>
        <v/>
      </c>
      <c r="AU97" s="17" t="str">
        <f aca="false">IF(OR(Y97="",NOT(ISNUMBER(Y97))),"",Y97-N(C97))</f>
        <v/>
      </c>
      <c r="AV97" s="17" t="str">
        <f aca="false">IF(OR(Z97="",NOT(ISNUMBER(Z97))),"",Z97-N(D97))</f>
        <v/>
      </c>
      <c r="AW97" s="17" t="str">
        <f aca="false">IF(OR(AA97="",NOT(ISNUMBER(AA97))),"",AA97-N(E97))</f>
        <v/>
      </c>
      <c r="AX97" s="17" t="str">
        <f aca="false">IF(OR(AB97="",NOT(ISNUMBER(AB97))),"",AB97-N(F97))</f>
        <v/>
      </c>
      <c r="AY97" s="17" t="str">
        <f aca="false">IF(OR(AC97="",NOT(ISNUMBER(AC97))),"",AC97-N(G97))</f>
        <v/>
      </c>
      <c r="AZ97" s="17" t="str">
        <f aca="false">IF(OR(AD97="",NOT(ISNUMBER(AD97))),"",AD97-N(H97))</f>
        <v/>
      </c>
      <c r="BA97" s="17" t="str">
        <f aca="false">IF(OR(AE97="",NOT(ISNUMBER(AE97))),"",AE97-N(I97))</f>
        <v/>
      </c>
      <c r="BB97" s="17" t="str">
        <f aca="false">IF(OR(AF97="",NOT(ISNUMBER(AF97))),"",AF97-N(J97))</f>
        <v/>
      </c>
      <c r="BC97" s="17" t="str">
        <f aca="false">IF(OR(AG97="",NOT(ISNUMBER(AG97))),"",AG97-N(K97))</f>
        <v/>
      </c>
      <c r="BD97" s="17" t="str">
        <f aca="false">IF(OR(AH97="",NOT(ISNUMBER(AH97))),"",AH97-N(L97))</f>
        <v/>
      </c>
      <c r="BE97" s="17" t="str">
        <f aca="false">IF(OR(AI97="",NOT(ISNUMBER(AI97))),"",AI97-N(M97))</f>
        <v/>
      </c>
      <c r="BF97" s="17" t="str">
        <f aca="false">IF(OR(AJ97="",NOT(ISNUMBER(AJ97))),"",AJ97-N(N97))</f>
        <v/>
      </c>
      <c r="BG97" s="17" t="str">
        <f aca="false">IF(OR(AK97="",NOT(ISNUMBER(AK97))),"",AK97-N(O97))</f>
        <v/>
      </c>
      <c r="BH97" s="17" t="str">
        <f aca="false">IF(OR(AL97="",NOT(ISNUMBER(AL97))),"",AL97-N(P97))</f>
        <v/>
      </c>
      <c r="BI97" s="17" t="str">
        <f aca="false">IF(OR(AM97="",NOT(ISNUMBER(AM97))),"",AM97-N(Q97))</f>
        <v/>
      </c>
      <c r="BJ97" s="17" t="str">
        <f aca="false">IF(OR(AN97="",NOT(ISNUMBER(AN97))),"",AN97-N(R97))</f>
        <v/>
      </c>
      <c r="BK97" s="17" t="str">
        <f aca="false">IF(OR(AO97="",NOT(ISNUMBER(AO97))),"",AO97-N(S97))</f>
        <v/>
      </c>
      <c r="BL97" s="17" t="str">
        <f aca="false">IF(OR(AP97="",NOT(ISNUMBER(AP97))),"",AP97-N(T97))</f>
        <v/>
      </c>
      <c r="BM97" s="17" t="str">
        <f aca="false">IF(OR(AQ97="",NOT(ISNUMBER(AQ97))),"",AQ97-N(U97))</f>
        <v/>
      </c>
      <c r="BR97" s="20" t="str">
        <f aca="false">IF($A97="","",IF(ISNUMBER($A97),DATE(YEAR($A97),MONTH($A97),1),IFERROR(DATE(2000+VALUE(RIGHT(TRIM($A97),2)),MATCH(UPPER(LEFT(TRIM($A97),3)),{"JAN","FEB","MAR","APR","MAY","JUN","JUL","AUG","SEP","OCT","NOV","DEC"},0),1),"")))</f>
        <v/>
      </c>
      <c r="BS97" s="20" t="str">
        <f aca="false">IF(BR97="","",EOMONTH(BR97,0))</f>
        <v/>
      </c>
    </row>
    <row r="98" customFormat="false" ht="15" hidden="false" customHeight="false" outlineLevel="0" collapsed="false">
      <c r="B98" s="21"/>
      <c r="C98" s="21"/>
      <c r="D98" s="21"/>
      <c r="E98" s="21"/>
      <c r="F98" s="21"/>
      <c r="G98" s="21"/>
      <c r="H98" s="21"/>
      <c r="I98" s="21"/>
      <c r="J98" s="21"/>
      <c r="K98" s="21"/>
      <c r="L98" s="21"/>
      <c r="M98" s="21"/>
      <c r="N98" s="21"/>
      <c r="O98" s="21"/>
      <c r="P98" s="21"/>
      <c r="Q98" s="21"/>
      <c r="R98" s="21"/>
      <c r="S98" s="21"/>
      <c r="T98" s="21"/>
      <c r="U98" s="21"/>
      <c r="X98" s="17" t="str">
        <f aca="false">IF(OR(B$7="",$BR98=""),"",IF('Tally Helper'!$B$3&lt;&gt;TRUE(),"not on Staff",SUMIFS('Tally Helper'!$L$5:$GI$5,'Tally Helper'!$L$3:$GI$3,"&gt;="&amp;$BR98,'Tally Helper'!$L$3:$GI$3,"&lt;="&amp;$BS98)))</f>
        <v/>
      </c>
      <c r="Y98" s="17" t="str">
        <f aca="false">IF(OR(C$7="",$BR98=""),"",IF('Tally Helper'!$B$6&lt;&gt;TRUE(),"not on Staff",SUMIFS('Tally Helper'!$L$8:$GI$8,'Tally Helper'!$L$6:$GI$6,"&gt;="&amp;$BR98,'Tally Helper'!$L$6:$GI$6,"&lt;="&amp;$BS98)))</f>
        <v/>
      </c>
      <c r="Z98" s="17" t="str">
        <f aca="false">IF(OR(D$7="",$BR98=""),"",IF('Tally Helper'!$B$9&lt;&gt;TRUE(),"not on Staff",SUMIFS('Tally Helper'!$L$11:$GI$11,'Tally Helper'!$L$9:$GI$9,"&gt;="&amp;$BR98,'Tally Helper'!$L$9:$GI$9,"&lt;="&amp;$BS98)))</f>
        <v/>
      </c>
      <c r="AA98" s="17" t="str">
        <f aca="false">IF(OR(E$7="",$BR98=""),"",IF('Tally Helper'!$B$12&lt;&gt;TRUE(),"not on Staff",SUMIFS('Tally Helper'!$L$14:$GI$14,'Tally Helper'!$L$12:$GI$12,"&gt;="&amp;$BR98,'Tally Helper'!$L$12:$GI$12,"&lt;="&amp;$BS98)))</f>
        <v/>
      </c>
      <c r="AB98" s="17" t="str">
        <f aca="false">IF(OR(F$7="",$BR98=""),"",IF('Tally Helper'!$B$15&lt;&gt;TRUE(),"not on Staff",SUMIFS('Tally Helper'!$L$17:$GI$17,'Tally Helper'!$L$15:$GI$15,"&gt;="&amp;$BR98,'Tally Helper'!$L$15:$GI$15,"&lt;="&amp;$BS98)))</f>
        <v/>
      </c>
      <c r="AC98" s="17" t="str">
        <f aca="false">IF(OR(G$7="",$BR98=""),"",IF('Tally Helper'!$B$18&lt;&gt;TRUE(),"not on Staff",SUMIFS('Tally Helper'!$L$20:$GI$20,'Tally Helper'!$L$18:$GI$18,"&gt;="&amp;$BR98,'Tally Helper'!$L$18:$GI$18,"&lt;="&amp;$BS98)))</f>
        <v/>
      </c>
      <c r="AD98" s="17" t="str">
        <f aca="false">IF(OR(H$7="",$BR98=""),"",IF('Tally Helper'!$B$21&lt;&gt;TRUE(),"not on Staff",SUMIFS('Tally Helper'!$L$23:$GI$23,'Tally Helper'!$L$21:$GI$21,"&gt;="&amp;$BR98,'Tally Helper'!$L$21:$GI$21,"&lt;="&amp;$BS98)))</f>
        <v/>
      </c>
      <c r="AE98" s="17" t="str">
        <f aca="false">IF(OR(I$7="",$BR98=""),"",IF('Tally Helper'!$B$24&lt;&gt;TRUE(),"not on Staff",SUMIFS('Tally Helper'!$L$26:$GI$26,'Tally Helper'!$L$24:$GI$24,"&gt;="&amp;$BR98,'Tally Helper'!$L$24:$GI$24,"&lt;="&amp;$BS98)))</f>
        <v/>
      </c>
      <c r="AF98" s="17" t="str">
        <f aca="false">IF(OR(J$7="",$BR98=""),"",IF('Tally Helper'!$B$27&lt;&gt;TRUE(),"not on Staff",SUMIFS('Tally Helper'!$L$29:$GI$29,'Tally Helper'!$L$27:$GI$27,"&gt;="&amp;$BR98,'Tally Helper'!$L$27:$GI$27,"&lt;="&amp;$BS98)))</f>
        <v/>
      </c>
      <c r="AG98" s="17" t="str">
        <f aca="false">IF(OR(K$7="",$BR98=""),"",IF('Tally Helper'!$B$30&lt;&gt;TRUE(),"not on Staff",SUMIFS('Tally Helper'!$L$32:$GI$32,'Tally Helper'!$L$30:$GI$30,"&gt;="&amp;$BR98,'Tally Helper'!$L$30:$GI$30,"&lt;="&amp;$BS98)))</f>
        <v/>
      </c>
      <c r="AH98" s="17" t="str">
        <f aca="false">IF(OR(L$7="",$BR98=""),"",IF('Tally Helper'!$B$33&lt;&gt;TRUE(),"not on Staff",SUMIFS('Tally Helper'!$L$35:$GI$35,'Tally Helper'!$L$33:$GI$33,"&gt;="&amp;$BR98,'Tally Helper'!$L$33:$GI$33,"&lt;="&amp;$BS98)))</f>
        <v/>
      </c>
      <c r="AI98" s="17" t="str">
        <f aca="false">IF(OR(M$7="",$BR98=""),"",IF('Tally Helper'!$B$36&lt;&gt;TRUE(),"not on Staff",SUMIFS('Tally Helper'!$L$38:$GI$38,'Tally Helper'!$L$36:$GI$36,"&gt;="&amp;$BR98,'Tally Helper'!$L$36:$GI$36,"&lt;="&amp;$BS98)))</f>
        <v/>
      </c>
      <c r="AJ98" s="17" t="str">
        <f aca="false">IF(OR(N$7="",$BR98=""),"",IF('Tally Helper'!$B$39&lt;&gt;TRUE(),"not on Staff",SUMIFS('Tally Helper'!$L$41:$GI$41,'Tally Helper'!$L$39:$GI$39,"&gt;="&amp;$BR98,'Tally Helper'!$L$39:$GI$39,"&lt;="&amp;$BS98)))</f>
        <v/>
      </c>
      <c r="AK98" s="17" t="str">
        <f aca="false">IF(OR(O$7="",$BR98=""),"",IF('Tally Helper'!$B$42&lt;&gt;TRUE(),"not on Staff",SUMIFS('Tally Helper'!$L$44:$GI$44,'Tally Helper'!$L$42:$GI$42,"&gt;="&amp;$BR98,'Tally Helper'!$L$42:$GI$42,"&lt;="&amp;$BS98)))</f>
        <v/>
      </c>
      <c r="AL98" s="17" t="str">
        <f aca="false">IF(OR(P$7="",$BR98=""),"",IF('Tally Helper'!$B$45&lt;&gt;TRUE(),"not on Staff",SUMIFS('Tally Helper'!$L$47:$GI$47,'Tally Helper'!$L$45:$GI$45,"&gt;="&amp;$BR98,'Tally Helper'!$L$45:$GI$45,"&lt;="&amp;$BS98)))</f>
        <v/>
      </c>
      <c r="AM98" s="17" t="str">
        <f aca="false">IF(OR(Q$7="",$BR98=""),"",IF('Tally Helper'!$B$48&lt;&gt;TRUE(),"not on Staff",SUMIFS('Tally Helper'!$L$50:$GI$50,'Tally Helper'!$L$48:$GI$48,"&gt;="&amp;$BR98,'Tally Helper'!$L$48:$GI$48,"&lt;="&amp;$BS98)))</f>
        <v/>
      </c>
      <c r="AN98" s="17" t="str">
        <f aca="false">IF(OR(R$7="",$BR98=""),"",IF('Tally Helper'!$B$51&lt;&gt;TRUE(),"not on Staff",SUMIFS('Tally Helper'!$L$53:$GI$53,'Tally Helper'!$L$51:$GI$51,"&gt;="&amp;$BR98,'Tally Helper'!$L$51:$GI$51,"&lt;="&amp;$BS98)))</f>
        <v/>
      </c>
      <c r="AO98" s="17" t="str">
        <f aca="false">IF(OR(S$7="",$BR98=""),"",IF('Tally Helper'!$B$54&lt;&gt;TRUE(),"not on Staff",SUMIFS('Tally Helper'!$L$56:$GI$56,'Tally Helper'!$L$54:$GI$54,"&gt;="&amp;$BR98,'Tally Helper'!$L$54:$GI$54,"&lt;="&amp;$BS98)))</f>
        <v/>
      </c>
      <c r="AP98" s="17" t="str">
        <f aca="false">IF(OR(T$7="",$BR98=""),"",IF('Tally Helper'!$B$57&lt;&gt;TRUE(),"not on Staff",SUMIFS('Tally Helper'!$L$59:$GI$59,'Tally Helper'!$L$57:$GI$57,"&gt;="&amp;$BR98,'Tally Helper'!$L$57:$GI$57,"&lt;="&amp;$BS98)))</f>
        <v/>
      </c>
      <c r="AQ98" s="17" t="str">
        <f aca="false">IF(OR(U$7="",$BR98=""),"",IF('Tally Helper'!$B$60&lt;&gt;TRUE(),"not on Staff",SUMIFS('Tally Helper'!$L$62:$GI$62,'Tally Helper'!$L$60:$GI$60,"&gt;="&amp;$BR98,'Tally Helper'!$L$60:$GI$60,"&lt;="&amp;$BS98)))</f>
        <v/>
      </c>
      <c r="AT98" s="17" t="str">
        <f aca="false">IF(OR(X98="",NOT(ISNUMBER(X98))),"",X98-N(B98))</f>
        <v/>
      </c>
      <c r="AU98" s="17" t="str">
        <f aca="false">IF(OR(Y98="",NOT(ISNUMBER(Y98))),"",Y98-N(C98))</f>
        <v/>
      </c>
      <c r="AV98" s="17" t="str">
        <f aca="false">IF(OR(Z98="",NOT(ISNUMBER(Z98))),"",Z98-N(D98))</f>
        <v/>
      </c>
      <c r="AW98" s="17" t="str">
        <f aca="false">IF(OR(AA98="",NOT(ISNUMBER(AA98))),"",AA98-N(E98))</f>
        <v/>
      </c>
      <c r="AX98" s="17" t="str">
        <f aca="false">IF(OR(AB98="",NOT(ISNUMBER(AB98))),"",AB98-N(F98))</f>
        <v/>
      </c>
      <c r="AY98" s="17" t="str">
        <f aca="false">IF(OR(AC98="",NOT(ISNUMBER(AC98))),"",AC98-N(G98))</f>
        <v/>
      </c>
      <c r="AZ98" s="17" t="str">
        <f aca="false">IF(OR(AD98="",NOT(ISNUMBER(AD98))),"",AD98-N(H98))</f>
        <v/>
      </c>
      <c r="BA98" s="17" t="str">
        <f aca="false">IF(OR(AE98="",NOT(ISNUMBER(AE98))),"",AE98-N(I98))</f>
        <v/>
      </c>
      <c r="BB98" s="17" t="str">
        <f aca="false">IF(OR(AF98="",NOT(ISNUMBER(AF98))),"",AF98-N(J98))</f>
        <v/>
      </c>
      <c r="BC98" s="17" t="str">
        <f aca="false">IF(OR(AG98="",NOT(ISNUMBER(AG98))),"",AG98-N(K98))</f>
        <v/>
      </c>
      <c r="BD98" s="17" t="str">
        <f aca="false">IF(OR(AH98="",NOT(ISNUMBER(AH98))),"",AH98-N(L98))</f>
        <v/>
      </c>
      <c r="BE98" s="17" t="str">
        <f aca="false">IF(OR(AI98="",NOT(ISNUMBER(AI98))),"",AI98-N(M98))</f>
        <v/>
      </c>
      <c r="BF98" s="17" t="str">
        <f aca="false">IF(OR(AJ98="",NOT(ISNUMBER(AJ98))),"",AJ98-N(N98))</f>
        <v/>
      </c>
      <c r="BG98" s="17" t="str">
        <f aca="false">IF(OR(AK98="",NOT(ISNUMBER(AK98))),"",AK98-N(O98))</f>
        <v/>
      </c>
      <c r="BH98" s="17" t="str">
        <f aca="false">IF(OR(AL98="",NOT(ISNUMBER(AL98))),"",AL98-N(P98))</f>
        <v/>
      </c>
      <c r="BI98" s="17" t="str">
        <f aca="false">IF(OR(AM98="",NOT(ISNUMBER(AM98))),"",AM98-N(Q98))</f>
        <v/>
      </c>
      <c r="BJ98" s="17" t="str">
        <f aca="false">IF(OR(AN98="",NOT(ISNUMBER(AN98))),"",AN98-N(R98))</f>
        <v/>
      </c>
      <c r="BK98" s="17" t="str">
        <f aca="false">IF(OR(AO98="",NOT(ISNUMBER(AO98))),"",AO98-N(S98))</f>
        <v/>
      </c>
      <c r="BL98" s="17" t="str">
        <f aca="false">IF(OR(AP98="",NOT(ISNUMBER(AP98))),"",AP98-N(T98))</f>
        <v/>
      </c>
      <c r="BM98" s="17" t="str">
        <f aca="false">IF(OR(AQ98="",NOT(ISNUMBER(AQ98))),"",AQ98-N(U98))</f>
        <v/>
      </c>
      <c r="BR98" s="20" t="str">
        <f aca="false">IF($A98="","",IF(ISNUMBER($A98),DATE(YEAR($A98),MONTH($A98),1),IFERROR(DATE(2000+VALUE(RIGHT(TRIM($A98),2)),MATCH(UPPER(LEFT(TRIM($A98),3)),{"JAN","FEB","MAR","APR","MAY","JUN","JUL","AUG","SEP","OCT","NOV","DEC"},0),1),"")))</f>
        <v/>
      </c>
      <c r="BS98" s="20" t="str">
        <f aca="false">IF(BR98="","",EOMONTH(BR98,0))</f>
        <v/>
      </c>
    </row>
    <row r="99" customFormat="false" ht="15" hidden="false" customHeight="false" outlineLevel="0" collapsed="false">
      <c r="B99" s="21"/>
      <c r="C99" s="21"/>
      <c r="D99" s="21"/>
      <c r="E99" s="21"/>
      <c r="F99" s="21"/>
      <c r="G99" s="21"/>
      <c r="H99" s="21"/>
      <c r="I99" s="21"/>
      <c r="J99" s="21"/>
      <c r="K99" s="21"/>
      <c r="L99" s="21"/>
      <c r="M99" s="21"/>
      <c r="N99" s="21"/>
      <c r="O99" s="21"/>
      <c r="P99" s="21"/>
      <c r="Q99" s="21"/>
      <c r="R99" s="21"/>
      <c r="S99" s="21"/>
      <c r="T99" s="21"/>
      <c r="U99" s="21"/>
      <c r="X99" s="17" t="str">
        <f aca="false">IF(OR(B$7="",$BR99=""),"",IF('Tally Helper'!$B$3&lt;&gt;TRUE(),"not on Staff",SUMIFS('Tally Helper'!$L$5:$GI$5,'Tally Helper'!$L$3:$GI$3,"&gt;="&amp;$BR99,'Tally Helper'!$L$3:$GI$3,"&lt;="&amp;$BS99)))</f>
        <v/>
      </c>
      <c r="Y99" s="17" t="str">
        <f aca="false">IF(OR(C$7="",$BR99=""),"",IF('Tally Helper'!$B$6&lt;&gt;TRUE(),"not on Staff",SUMIFS('Tally Helper'!$L$8:$GI$8,'Tally Helper'!$L$6:$GI$6,"&gt;="&amp;$BR99,'Tally Helper'!$L$6:$GI$6,"&lt;="&amp;$BS99)))</f>
        <v/>
      </c>
      <c r="Z99" s="17" t="str">
        <f aca="false">IF(OR(D$7="",$BR99=""),"",IF('Tally Helper'!$B$9&lt;&gt;TRUE(),"not on Staff",SUMIFS('Tally Helper'!$L$11:$GI$11,'Tally Helper'!$L$9:$GI$9,"&gt;="&amp;$BR99,'Tally Helper'!$L$9:$GI$9,"&lt;="&amp;$BS99)))</f>
        <v/>
      </c>
      <c r="AA99" s="17" t="str">
        <f aca="false">IF(OR(E$7="",$BR99=""),"",IF('Tally Helper'!$B$12&lt;&gt;TRUE(),"not on Staff",SUMIFS('Tally Helper'!$L$14:$GI$14,'Tally Helper'!$L$12:$GI$12,"&gt;="&amp;$BR99,'Tally Helper'!$L$12:$GI$12,"&lt;="&amp;$BS99)))</f>
        <v/>
      </c>
      <c r="AB99" s="17" t="str">
        <f aca="false">IF(OR(F$7="",$BR99=""),"",IF('Tally Helper'!$B$15&lt;&gt;TRUE(),"not on Staff",SUMIFS('Tally Helper'!$L$17:$GI$17,'Tally Helper'!$L$15:$GI$15,"&gt;="&amp;$BR99,'Tally Helper'!$L$15:$GI$15,"&lt;="&amp;$BS99)))</f>
        <v/>
      </c>
      <c r="AC99" s="17" t="str">
        <f aca="false">IF(OR(G$7="",$BR99=""),"",IF('Tally Helper'!$B$18&lt;&gt;TRUE(),"not on Staff",SUMIFS('Tally Helper'!$L$20:$GI$20,'Tally Helper'!$L$18:$GI$18,"&gt;="&amp;$BR99,'Tally Helper'!$L$18:$GI$18,"&lt;="&amp;$BS99)))</f>
        <v/>
      </c>
      <c r="AD99" s="17" t="str">
        <f aca="false">IF(OR(H$7="",$BR99=""),"",IF('Tally Helper'!$B$21&lt;&gt;TRUE(),"not on Staff",SUMIFS('Tally Helper'!$L$23:$GI$23,'Tally Helper'!$L$21:$GI$21,"&gt;="&amp;$BR99,'Tally Helper'!$L$21:$GI$21,"&lt;="&amp;$BS99)))</f>
        <v/>
      </c>
      <c r="AE99" s="17" t="str">
        <f aca="false">IF(OR(I$7="",$BR99=""),"",IF('Tally Helper'!$B$24&lt;&gt;TRUE(),"not on Staff",SUMIFS('Tally Helper'!$L$26:$GI$26,'Tally Helper'!$L$24:$GI$24,"&gt;="&amp;$BR99,'Tally Helper'!$L$24:$GI$24,"&lt;="&amp;$BS99)))</f>
        <v/>
      </c>
      <c r="AF99" s="17" t="str">
        <f aca="false">IF(OR(J$7="",$BR99=""),"",IF('Tally Helper'!$B$27&lt;&gt;TRUE(),"not on Staff",SUMIFS('Tally Helper'!$L$29:$GI$29,'Tally Helper'!$L$27:$GI$27,"&gt;="&amp;$BR99,'Tally Helper'!$L$27:$GI$27,"&lt;="&amp;$BS99)))</f>
        <v/>
      </c>
      <c r="AG99" s="17" t="str">
        <f aca="false">IF(OR(K$7="",$BR99=""),"",IF('Tally Helper'!$B$30&lt;&gt;TRUE(),"not on Staff",SUMIFS('Tally Helper'!$L$32:$GI$32,'Tally Helper'!$L$30:$GI$30,"&gt;="&amp;$BR99,'Tally Helper'!$L$30:$GI$30,"&lt;="&amp;$BS99)))</f>
        <v/>
      </c>
      <c r="AH99" s="17" t="str">
        <f aca="false">IF(OR(L$7="",$BR99=""),"",IF('Tally Helper'!$B$33&lt;&gt;TRUE(),"not on Staff",SUMIFS('Tally Helper'!$L$35:$GI$35,'Tally Helper'!$L$33:$GI$33,"&gt;="&amp;$BR99,'Tally Helper'!$L$33:$GI$33,"&lt;="&amp;$BS99)))</f>
        <v/>
      </c>
      <c r="AI99" s="17" t="str">
        <f aca="false">IF(OR(M$7="",$BR99=""),"",IF('Tally Helper'!$B$36&lt;&gt;TRUE(),"not on Staff",SUMIFS('Tally Helper'!$L$38:$GI$38,'Tally Helper'!$L$36:$GI$36,"&gt;="&amp;$BR99,'Tally Helper'!$L$36:$GI$36,"&lt;="&amp;$BS99)))</f>
        <v/>
      </c>
      <c r="AJ99" s="17" t="str">
        <f aca="false">IF(OR(N$7="",$BR99=""),"",IF('Tally Helper'!$B$39&lt;&gt;TRUE(),"not on Staff",SUMIFS('Tally Helper'!$L$41:$GI$41,'Tally Helper'!$L$39:$GI$39,"&gt;="&amp;$BR99,'Tally Helper'!$L$39:$GI$39,"&lt;="&amp;$BS99)))</f>
        <v/>
      </c>
      <c r="AK99" s="17" t="str">
        <f aca="false">IF(OR(O$7="",$BR99=""),"",IF('Tally Helper'!$B$42&lt;&gt;TRUE(),"not on Staff",SUMIFS('Tally Helper'!$L$44:$GI$44,'Tally Helper'!$L$42:$GI$42,"&gt;="&amp;$BR99,'Tally Helper'!$L$42:$GI$42,"&lt;="&amp;$BS99)))</f>
        <v/>
      </c>
      <c r="AL99" s="17" t="str">
        <f aca="false">IF(OR(P$7="",$BR99=""),"",IF('Tally Helper'!$B$45&lt;&gt;TRUE(),"not on Staff",SUMIFS('Tally Helper'!$L$47:$GI$47,'Tally Helper'!$L$45:$GI$45,"&gt;="&amp;$BR99,'Tally Helper'!$L$45:$GI$45,"&lt;="&amp;$BS99)))</f>
        <v/>
      </c>
      <c r="AM99" s="17" t="str">
        <f aca="false">IF(OR(Q$7="",$BR99=""),"",IF('Tally Helper'!$B$48&lt;&gt;TRUE(),"not on Staff",SUMIFS('Tally Helper'!$L$50:$GI$50,'Tally Helper'!$L$48:$GI$48,"&gt;="&amp;$BR99,'Tally Helper'!$L$48:$GI$48,"&lt;="&amp;$BS99)))</f>
        <v/>
      </c>
      <c r="AN99" s="17" t="str">
        <f aca="false">IF(OR(R$7="",$BR99=""),"",IF('Tally Helper'!$B$51&lt;&gt;TRUE(),"not on Staff",SUMIFS('Tally Helper'!$L$53:$GI$53,'Tally Helper'!$L$51:$GI$51,"&gt;="&amp;$BR99,'Tally Helper'!$L$51:$GI$51,"&lt;="&amp;$BS99)))</f>
        <v/>
      </c>
      <c r="AO99" s="17" t="str">
        <f aca="false">IF(OR(S$7="",$BR99=""),"",IF('Tally Helper'!$B$54&lt;&gt;TRUE(),"not on Staff",SUMIFS('Tally Helper'!$L$56:$GI$56,'Tally Helper'!$L$54:$GI$54,"&gt;="&amp;$BR99,'Tally Helper'!$L$54:$GI$54,"&lt;="&amp;$BS99)))</f>
        <v/>
      </c>
      <c r="AP99" s="17" t="str">
        <f aca="false">IF(OR(T$7="",$BR99=""),"",IF('Tally Helper'!$B$57&lt;&gt;TRUE(),"not on Staff",SUMIFS('Tally Helper'!$L$59:$GI$59,'Tally Helper'!$L$57:$GI$57,"&gt;="&amp;$BR99,'Tally Helper'!$L$57:$GI$57,"&lt;="&amp;$BS99)))</f>
        <v/>
      </c>
      <c r="AQ99" s="17" t="str">
        <f aca="false">IF(OR(U$7="",$BR99=""),"",IF('Tally Helper'!$B$60&lt;&gt;TRUE(),"not on Staff",SUMIFS('Tally Helper'!$L$62:$GI$62,'Tally Helper'!$L$60:$GI$60,"&gt;="&amp;$BR99,'Tally Helper'!$L$60:$GI$60,"&lt;="&amp;$BS99)))</f>
        <v/>
      </c>
      <c r="AT99" s="17" t="str">
        <f aca="false">IF(OR(X99="",NOT(ISNUMBER(X99))),"",X99-N(B99))</f>
        <v/>
      </c>
      <c r="AU99" s="17" t="str">
        <f aca="false">IF(OR(Y99="",NOT(ISNUMBER(Y99))),"",Y99-N(C99))</f>
        <v/>
      </c>
      <c r="AV99" s="17" t="str">
        <f aca="false">IF(OR(Z99="",NOT(ISNUMBER(Z99))),"",Z99-N(D99))</f>
        <v/>
      </c>
      <c r="AW99" s="17" t="str">
        <f aca="false">IF(OR(AA99="",NOT(ISNUMBER(AA99))),"",AA99-N(E99))</f>
        <v/>
      </c>
      <c r="AX99" s="17" t="str">
        <f aca="false">IF(OR(AB99="",NOT(ISNUMBER(AB99))),"",AB99-N(F99))</f>
        <v/>
      </c>
      <c r="AY99" s="17" t="str">
        <f aca="false">IF(OR(AC99="",NOT(ISNUMBER(AC99))),"",AC99-N(G99))</f>
        <v/>
      </c>
      <c r="AZ99" s="17" t="str">
        <f aca="false">IF(OR(AD99="",NOT(ISNUMBER(AD99))),"",AD99-N(H99))</f>
        <v/>
      </c>
      <c r="BA99" s="17" t="str">
        <f aca="false">IF(OR(AE99="",NOT(ISNUMBER(AE99))),"",AE99-N(I99))</f>
        <v/>
      </c>
      <c r="BB99" s="17" t="str">
        <f aca="false">IF(OR(AF99="",NOT(ISNUMBER(AF99))),"",AF99-N(J99))</f>
        <v/>
      </c>
      <c r="BC99" s="17" t="str">
        <f aca="false">IF(OR(AG99="",NOT(ISNUMBER(AG99))),"",AG99-N(K99))</f>
        <v/>
      </c>
      <c r="BD99" s="17" t="str">
        <f aca="false">IF(OR(AH99="",NOT(ISNUMBER(AH99))),"",AH99-N(L99))</f>
        <v/>
      </c>
      <c r="BE99" s="17" t="str">
        <f aca="false">IF(OR(AI99="",NOT(ISNUMBER(AI99))),"",AI99-N(M99))</f>
        <v/>
      </c>
      <c r="BF99" s="17" t="str">
        <f aca="false">IF(OR(AJ99="",NOT(ISNUMBER(AJ99))),"",AJ99-N(N99))</f>
        <v/>
      </c>
      <c r="BG99" s="17" t="str">
        <f aca="false">IF(OR(AK99="",NOT(ISNUMBER(AK99))),"",AK99-N(O99))</f>
        <v/>
      </c>
      <c r="BH99" s="17" t="str">
        <f aca="false">IF(OR(AL99="",NOT(ISNUMBER(AL99))),"",AL99-N(P99))</f>
        <v/>
      </c>
      <c r="BI99" s="17" t="str">
        <f aca="false">IF(OR(AM99="",NOT(ISNUMBER(AM99))),"",AM99-N(Q99))</f>
        <v/>
      </c>
      <c r="BJ99" s="17" t="str">
        <f aca="false">IF(OR(AN99="",NOT(ISNUMBER(AN99))),"",AN99-N(R99))</f>
        <v/>
      </c>
      <c r="BK99" s="17" t="str">
        <f aca="false">IF(OR(AO99="",NOT(ISNUMBER(AO99))),"",AO99-N(S99))</f>
        <v/>
      </c>
      <c r="BL99" s="17" t="str">
        <f aca="false">IF(OR(AP99="",NOT(ISNUMBER(AP99))),"",AP99-N(T99))</f>
        <v/>
      </c>
      <c r="BM99" s="17" t="str">
        <f aca="false">IF(OR(AQ99="",NOT(ISNUMBER(AQ99))),"",AQ99-N(U99))</f>
        <v/>
      </c>
      <c r="BR99" s="20" t="str">
        <f aca="false">IF($A99="","",IF(ISNUMBER($A99),DATE(YEAR($A99),MONTH($A99),1),IFERROR(DATE(2000+VALUE(RIGHT(TRIM($A99),2)),MATCH(UPPER(LEFT(TRIM($A99),3)),{"JAN","FEB","MAR","APR","MAY","JUN","JUL","AUG","SEP","OCT","NOV","DEC"},0),1),"")))</f>
        <v/>
      </c>
      <c r="BS99" s="20" t="str">
        <f aca="false">IF(BR99="","",EOMONTH(BR99,0))</f>
        <v/>
      </c>
    </row>
    <row r="100" customFormat="false" ht="15" hidden="false" customHeight="false" outlineLevel="0" collapsed="false">
      <c r="B100" s="21"/>
      <c r="C100" s="21"/>
      <c r="D100" s="21"/>
      <c r="E100" s="21"/>
      <c r="F100" s="21"/>
      <c r="G100" s="21"/>
      <c r="H100" s="21"/>
      <c r="I100" s="21"/>
      <c r="J100" s="21"/>
      <c r="K100" s="21"/>
      <c r="L100" s="21"/>
      <c r="M100" s="21"/>
      <c r="N100" s="21"/>
      <c r="O100" s="21"/>
      <c r="P100" s="21"/>
      <c r="Q100" s="21"/>
      <c r="R100" s="21"/>
      <c r="S100" s="21"/>
      <c r="T100" s="21"/>
      <c r="U100" s="21"/>
      <c r="X100" s="17" t="str">
        <f aca="false">IF(OR(B$7="",$BR100=""),"",IF('Tally Helper'!$B$3&lt;&gt;TRUE(),"not on Staff",SUMIFS('Tally Helper'!$L$5:$GI$5,'Tally Helper'!$L$3:$GI$3,"&gt;="&amp;$BR100,'Tally Helper'!$L$3:$GI$3,"&lt;="&amp;$BS100)))</f>
        <v/>
      </c>
      <c r="Y100" s="17" t="str">
        <f aca="false">IF(OR(C$7="",$BR100=""),"",IF('Tally Helper'!$B$6&lt;&gt;TRUE(),"not on Staff",SUMIFS('Tally Helper'!$L$8:$GI$8,'Tally Helper'!$L$6:$GI$6,"&gt;="&amp;$BR100,'Tally Helper'!$L$6:$GI$6,"&lt;="&amp;$BS100)))</f>
        <v/>
      </c>
      <c r="Z100" s="17" t="str">
        <f aca="false">IF(OR(D$7="",$BR100=""),"",IF('Tally Helper'!$B$9&lt;&gt;TRUE(),"not on Staff",SUMIFS('Tally Helper'!$L$11:$GI$11,'Tally Helper'!$L$9:$GI$9,"&gt;="&amp;$BR100,'Tally Helper'!$L$9:$GI$9,"&lt;="&amp;$BS100)))</f>
        <v/>
      </c>
      <c r="AA100" s="17" t="str">
        <f aca="false">IF(OR(E$7="",$BR100=""),"",IF('Tally Helper'!$B$12&lt;&gt;TRUE(),"not on Staff",SUMIFS('Tally Helper'!$L$14:$GI$14,'Tally Helper'!$L$12:$GI$12,"&gt;="&amp;$BR100,'Tally Helper'!$L$12:$GI$12,"&lt;="&amp;$BS100)))</f>
        <v/>
      </c>
      <c r="AB100" s="17" t="str">
        <f aca="false">IF(OR(F$7="",$BR100=""),"",IF('Tally Helper'!$B$15&lt;&gt;TRUE(),"not on Staff",SUMIFS('Tally Helper'!$L$17:$GI$17,'Tally Helper'!$L$15:$GI$15,"&gt;="&amp;$BR100,'Tally Helper'!$L$15:$GI$15,"&lt;="&amp;$BS100)))</f>
        <v/>
      </c>
      <c r="AC100" s="17" t="str">
        <f aca="false">IF(OR(G$7="",$BR100=""),"",IF('Tally Helper'!$B$18&lt;&gt;TRUE(),"not on Staff",SUMIFS('Tally Helper'!$L$20:$GI$20,'Tally Helper'!$L$18:$GI$18,"&gt;="&amp;$BR100,'Tally Helper'!$L$18:$GI$18,"&lt;="&amp;$BS100)))</f>
        <v/>
      </c>
      <c r="AD100" s="17" t="str">
        <f aca="false">IF(OR(H$7="",$BR100=""),"",IF('Tally Helper'!$B$21&lt;&gt;TRUE(),"not on Staff",SUMIFS('Tally Helper'!$L$23:$GI$23,'Tally Helper'!$L$21:$GI$21,"&gt;="&amp;$BR100,'Tally Helper'!$L$21:$GI$21,"&lt;="&amp;$BS100)))</f>
        <v/>
      </c>
      <c r="AE100" s="17" t="str">
        <f aca="false">IF(OR(I$7="",$BR100=""),"",IF('Tally Helper'!$B$24&lt;&gt;TRUE(),"not on Staff",SUMIFS('Tally Helper'!$L$26:$GI$26,'Tally Helper'!$L$24:$GI$24,"&gt;="&amp;$BR100,'Tally Helper'!$L$24:$GI$24,"&lt;="&amp;$BS100)))</f>
        <v/>
      </c>
      <c r="AF100" s="17" t="str">
        <f aca="false">IF(OR(J$7="",$BR100=""),"",IF('Tally Helper'!$B$27&lt;&gt;TRUE(),"not on Staff",SUMIFS('Tally Helper'!$L$29:$GI$29,'Tally Helper'!$L$27:$GI$27,"&gt;="&amp;$BR100,'Tally Helper'!$L$27:$GI$27,"&lt;="&amp;$BS100)))</f>
        <v/>
      </c>
      <c r="AG100" s="17" t="str">
        <f aca="false">IF(OR(K$7="",$BR100=""),"",IF('Tally Helper'!$B$30&lt;&gt;TRUE(),"not on Staff",SUMIFS('Tally Helper'!$L$32:$GI$32,'Tally Helper'!$L$30:$GI$30,"&gt;="&amp;$BR100,'Tally Helper'!$L$30:$GI$30,"&lt;="&amp;$BS100)))</f>
        <v/>
      </c>
      <c r="AH100" s="17" t="str">
        <f aca="false">IF(OR(L$7="",$BR100=""),"",IF('Tally Helper'!$B$33&lt;&gt;TRUE(),"not on Staff",SUMIFS('Tally Helper'!$L$35:$GI$35,'Tally Helper'!$L$33:$GI$33,"&gt;="&amp;$BR100,'Tally Helper'!$L$33:$GI$33,"&lt;="&amp;$BS100)))</f>
        <v/>
      </c>
      <c r="AI100" s="17" t="str">
        <f aca="false">IF(OR(M$7="",$BR100=""),"",IF('Tally Helper'!$B$36&lt;&gt;TRUE(),"not on Staff",SUMIFS('Tally Helper'!$L$38:$GI$38,'Tally Helper'!$L$36:$GI$36,"&gt;="&amp;$BR100,'Tally Helper'!$L$36:$GI$36,"&lt;="&amp;$BS100)))</f>
        <v/>
      </c>
      <c r="AJ100" s="17" t="str">
        <f aca="false">IF(OR(N$7="",$BR100=""),"",IF('Tally Helper'!$B$39&lt;&gt;TRUE(),"not on Staff",SUMIFS('Tally Helper'!$L$41:$GI$41,'Tally Helper'!$L$39:$GI$39,"&gt;="&amp;$BR100,'Tally Helper'!$L$39:$GI$39,"&lt;="&amp;$BS100)))</f>
        <v/>
      </c>
      <c r="AK100" s="17" t="str">
        <f aca="false">IF(OR(O$7="",$BR100=""),"",IF('Tally Helper'!$B$42&lt;&gt;TRUE(),"not on Staff",SUMIFS('Tally Helper'!$L$44:$GI$44,'Tally Helper'!$L$42:$GI$42,"&gt;="&amp;$BR100,'Tally Helper'!$L$42:$GI$42,"&lt;="&amp;$BS100)))</f>
        <v/>
      </c>
      <c r="AL100" s="17" t="str">
        <f aca="false">IF(OR(P$7="",$BR100=""),"",IF('Tally Helper'!$B$45&lt;&gt;TRUE(),"not on Staff",SUMIFS('Tally Helper'!$L$47:$GI$47,'Tally Helper'!$L$45:$GI$45,"&gt;="&amp;$BR100,'Tally Helper'!$L$45:$GI$45,"&lt;="&amp;$BS100)))</f>
        <v/>
      </c>
      <c r="AM100" s="17" t="str">
        <f aca="false">IF(OR(Q$7="",$BR100=""),"",IF('Tally Helper'!$B$48&lt;&gt;TRUE(),"not on Staff",SUMIFS('Tally Helper'!$L$50:$GI$50,'Tally Helper'!$L$48:$GI$48,"&gt;="&amp;$BR100,'Tally Helper'!$L$48:$GI$48,"&lt;="&amp;$BS100)))</f>
        <v/>
      </c>
      <c r="AN100" s="17" t="str">
        <f aca="false">IF(OR(R$7="",$BR100=""),"",IF('Tally Helper'!$B$51&lt;&gt;TRUE(),"not on Staff",SUMIFS('Tally Helper'!$L$53:$GI$53,'Tally Helper'!$L$51:$GI$51,"&gt;="&amp;$BR100,'Tally Helper'!$L$51:$GI$51,"&lt;="&amp;$BS100)))</f>
        <v/>
      </c>
      <c r="AO100" s="17" t="str">
        <f aca="false">IF(OR(S$7="",$BR100=""),"",IF('Tally Helper'!$B$54&lt;&gt;TRUE(),"not on Staff",SUMIFS('Tally Helper'!$L$56:$GI$56,'Tally Helper'!$L$54:$GI$54,"&gt;="&amp;$BR100,'Tally Helper'!$L$54:$GI$54,"&lt;="&amp;$BS100)))</f>
        <v/>
      </c>
      <c r="AP100" s="17" t="str">
        <f aca="false">IF(OR(T$7="",$BR100=""),"",IF('Tally Helper'!$B$57&lt;&gt;TRUE(),"not on Staff",SUMIFS('Tally Helper'!$L$59:$GI$59,'Tally Helper'!$L$57:$GI$57,"&gt;="&amp;$BR100,'Tally Helper'!$L$57:$GI$57,"&lt;="&amp;$BS100)))</f>
        <v/>
      </c>
      <c r="AQ100" s="17" t="str">
        <f aca="false">IF(OR(U$7="",$BR100=""),"",IF('Tally Helper'!$B$60&lt;&gt;TRUE(),"not on Staff",SUMIFS('Tally Helper'!$L$62:$GI$62,'Tally Helper'!$L$60:$GI$60,"&gt;="&amp;$BR100,'Tally Helper'!$L$60:$GI$60,"&lt;="&amp;$BS100)))</f>
        <v/>
      </c>
      <c r="AT100" s="17" t="str">
        <f aca="false">IF(OR(X100="",NOT(ISNUMBER(X100))),"",X100-N(B100))</f>
        <v/>
      </c>
      <c r="AU100" s="17" t="str">
        <f aca="false">IF(OR(Y100="",NOT(ISNUMBER(Y100))),"",Y100-N(C100))</f>
        <v/>
      </c>
      <c r="AV100" s="17" t="str">
        <f aca="false">IF(OR(Z100="",NOT(ISNUMBER(Z100))),"",Z100-N(D100))</f>
        <v/>
      </c>
      <c r="AW100" s="17" t="str">
        <f aca="false">IF(OR(AA100="",NOT(ISNUMBER(AA100))),"",AA100-N(E100))</f>
        <v/>
      </c>
      <c r="AX100" s="17" t="str">
        <f aca="false">IF(OR(AB100="",NOT(ISNUMBER(AB100))),"",AB100-N(F100))</f>
        <v/>
      </c>
      <c r="AY100" s="17" t="str">
        <f aca="false">IF(OR(AC100="",NOT(ISNUMBER(AC100))),"",AC100-N(G100))</f>
        <v/>
      </c>
      <c r="AZ100" s="17" t="str">
        <f aca="false">IF(OR(AD100="",NOT(ISNUMBER(AD100))),"",AD100-N(H100))</f>
        <v/>
      </c>
      <c r="BA100" s="17" t="str">
        <f aca="false">IF(OR(AE100="",NOT(ISNUMBER(AE100))),"",AE100-N(I100))</f>
        <v/>
      </c>
      <c r="BB100" s="17" t="str">
        <f aca="false">IF(OR(AF100="",NOT(ISNUMBER(AF100))),"",AF100-N(J100))</f>
        <v/>
      </c>
      <c r="BC100" s="17" t="str">
        <f aca="false">IF(OR(AG100="",NOT(ISNUMBER(AG100))),"",AG100-N(K100))</f>
        <v/>
      </c>
      <c r="BD100" s="17" t="str">
        <f aca="false">IF(OR(AH100="",NOT(ISNUMBER(AH100))),"",AH100-N(L100))</f>
        <v/>
      </c>
      <c r="BE100" s="17" t="str">
        <f aca="false">IF(OR(AI100="",NOT(ISNUMBER(AI100))),"",AI100-N(M100))</f>
        <v/>
      </c>
      <c r="BF100" s="17" t="str">
        <f aca="false">IF(OR(AJ100="",NOT(ISNUMBER(AJ100))),"",AJ100-N(N100))</f>
        <v/>
      </c>
      <c r="BG100" s="17" t="str">
        <f aca="false">IF(OR(AK100="",NOT(ISNUMBER(AK100))),"",AK100-N(O100))</f>
        <v/>
      </c>
      <c r="BH100" s="17" t="str">
        <f aca="false">IF(OR(AL100="",NOT(ISNUMBER(AL100))),"",AL100-N(P100))</f>
        <v/>
      </c>
      <c r="BI100" s="17" t="str">
        <f aca="false">IF(OR(AM100="",NOT(ISNUMBER(AM100))),"",AM100-N(Q100))</f>
        <v/>
      </c>
      <c r="BJ100" s="17" t="str">
        <f aca="false">IF(OR(AN100="",NOT(ISNUMBER(AN100))),"",AN100-N(R100))</f>
        <v/>
      </c>
      <c r="BK100" s="17" t="str">
        <f aca="false">IF(OR(AO100="",NOT(ISNUMBER(AO100))),"",AO100-N(S100))</f>
        <v/>
      </c>
      <c r="BL100" s="17" t="str">
        <f aca="false">IF(OR(AP100="",NOT(ISNUMBER(AP100))),"",AP100-N(T100))</f>
        <v/>
      </c>
      <c r="BM100" s="17" t="str">
        <f aca="false">IF(OR(AQ100="",NOT(ISNUMBER(AQ100))),"",AQ100-N(U100))</f>
        <v/>
      </c>
      <c r="BR100" s="20" t="str">
        <f aca="false">IF($A100="","",IF(ISNUMBER($A100),DATE(YEAR($A100),MONTH($A100),1),IFERROR(DATE(2000+VALUE(RIGHT(TRIM($A100),2)),MATCH(UPPER(LEFT(TRIM($A100),3)),{"JAN","FEB","MAR","APR","MAY","JUN","JUL","AUG","SEP","OCT","NOV","DEC"},0),1),"")))</f>
        <v/>
      </c>
      <c r="BS100" s="20" t="str">
        <f aca="false">IF(BR100="","",EOMONTH(BR100,0))</f>
        <v/>
      </c>
    </row>
    <row r="101" customFormat="false" ht="15" hidden="false" customHeight="false" outlineLevel="0" collapsed="false">
      <c r="B101" s="21"/>
      <c r="C101" s="21"/>
      <c r="D101" s="21"/>
      <c r="E101" s="21"/>
      <c r="F101" s="21"/>
      <c r="G101" s="21"/>
      <c r="H101" s="21"/>
      <c r="I101" s="21"/>
      <c r="J101" s="21"/>
      <c r="K101" s="21"/>
      <c r="L101" s="21"/>
      <c r="M101" s="21"/>
      <c r="N101" s="21"/>
      <c r="O101" s="21"/>
      <c r="P101" s="21"/>
      <c r="Q101" s="21"/>
      <c r="R101" s="21"/>
      <c r="S101" s="21"/>
      <c r="T101" s="21"/>
      <c r="U101" s="21"/>
      <c r="X101" s="17" t="str">
        <f aca="false">IF(OR(B$7="",$BR101=""),"",IF('Tally Helper'!$B$3&lt;&gt;TRUE(),"not on Staff",SUMIFS('Tally Helper'!$L$5:$GI$5,'Tally Helper'!$L$3:$GI$3,"&gt;="&amp;$BR101,'Tally Helper'!$L$3:$GI$3,"&lt;="&amp;$BS101)))</f>
        <v/>
      </c>
      <c r="Y101" s="17" t="str">
        <f aca="false">IF(OR(C$7="",$BR101=""),"",IF('Tally Helper'!$B$6&lt;&gt;TRUE(),"not on Staff",SUMIFS('Tally Helper'!$L$8:$GI$8,'Tally Helper'!$L$6:$GI$6,"&gt;="&amp;$BR101,'Tally Helper'!$L$6:$GI$6,"&lt;="&amp;$BS101)))</f>
        <v/>
      </c>
      <c r="Z101" s="17" t="str">
        <f aca="false">IF(OR(D$7="",$BR101=""),"",IF('Tally Helper'!$B$9&lt;&gt;TRUE(),"not on Staff",SUMIFS('Tally Helper'!$L$11:$GI$11,'Tally Helper'!$L$9:$GI$9,"&gt;="&amp;$BR101,'Tally Helper'!$L$9:$GI$9,"&lt;="&amp;$BS101)))</f>
        <v/>
      </c>
      <c r="AA101" s="17" t="str">
        <f aca="false">IF(OR(E$7="",$BR101=""),"",IF('Tally Helper'!$B$12&lt;&gt;TRUE(),"not on Staff",SUMIFS('Tally Helper'!$L$14:$GI$14,'Tally Helper'!$L$12:$GI$12,"&gt;="&amp;$BR101,'Tally Helper'!$L$12:$GI$12,"&lt;="&amp;$BS101)))</f>
        <v/>
      </c>
      <c r="AB101" s="17" t="str">
        <f aca="false">IF(OR(F$7="",$BR101=""),"",IF('Tally Helper'!$B$15&lt;&gt;TRUE(),"not on Staff",SUMIFS('Tally Helper'!$L$17:$GI$17,'Tally Helper'!$L$15:$GI$15,"&gt;="&amp;$BR101,'Tally Helper'!$L$15:$GI$15,"&lt;="&amp;$BS101)))</f>
        <v/>
      </c>
      <c r="AC101" s="17" t="str">
        <f aca="false">IF(OR(G$7="",$BR101=""),"",IF('Tally Helper'!$B$18&lt;&gt;TRUE(),"not on Staff",SUMIFS('Tally Helper'!$L$20:$GI$20,'Tally Helper'!$L$18:$GI$18,"&gt;="&amp;$BR101,'Tally Helper'!$L$18:$GI$18,"&lt;="&amp;$BS101)))</f>
        <v/>
      </c>
      <c r="AD101" s="17" t="str">
        <f aca="false">IF(OR(H$7="",$BR101=""),"",IF('Tally Helper'!$B$21&lt;&gt;TRUE(),"not on Staff",SUMIFS('Tally Helper'!$L$23:$GI$23,'Tally Helper'!$L$21:$GI$21,"&gt;="&amp;$BR101,'Tally Helper'!$L$21:$GI$21,"&lt;="&amp;$BS101)))</f>
        <v/>
      </c>
      <c r="AE101" s="17" t="str">
        <f aca="false">IF(OR(I$7="",$BR101=""),"",IF('Tally Helper'!$B$24&lt;&gt;TRUE(),"not on Staff",SUMIFS('Tally Helper'!$L$26:$GI$26,'Tally Helper'!$L$24:$GI$24,"&gt;="&amp;$BR101,'Tally Helper'!$L$24:$GI$24,"&lt;="&amp;$BS101)))</f>
        <v/>
      </c>
      <c r="AF101" s="17" t="str">
        <f aca="false">IF(OR(J$7="",$BR101=""),"",IF('Tally Helper'!$B$27&lt;&gt;TRUE(),"not on Staff",SUMIFS('Tally Helper'!$L$29:$GI$29,'Tally Helper'!$L$27:$GI$27,"&gt;="&amp;$BR101,'Tally Helper'!$L$27:$GI$27,"&lt;="&amp;$BS101)))</f>
        <v/>
      </c>
      <c r="AG101" s="17" t="str">
        <f aca="false">IF(OR(K$7="",$BR101=""),"",IF('Tally Helper'!$B$30&lt;&gt;TRUE(),"not on Staff",SUMIFS('Tally Helper'!$L$32:$GI$32,'Tally Helper'!$L$30:$GI$30,"&gt;="&amp;$BR101,'Tally Helper'!$L$30:$GI$30,"&lt;="&amp;$BS101)))</f>
        <v/>
      </c>
      <c r="AH101" s="17" t="str">
        <f aca="false">IF(OR(L$7="",$BR101=""),"",IF('Tally Helper'!$B$33&lt;&gt;TRUE(),"not on Staff",SUMIFS('Tally Helper'!$L$35:$GI$35,'Tally Helper'!$L$33:$GI$33,"&gt;="&amp;$BR101,'Tally Helper'!$L$33:$GI$33,"&lt;="&amp;$BS101)))</f>
        <v/>
      </c>
      <c r="AI101" s="17" t="str">
        <f aca="false">IF(OR(M$7="",$BR101=""),"",IF('Tally Helper'!$B$36&lt;&gt;TRUE(),"not on Staff",SUMIFS('Tally Helper'!$L$38:$GI$38,'Tally Helper'!$L$36:$GI$36,"&gt;="&amp;$BR101,'Tally Helper'!$L$36:$GI$36,"&lt;="&amp;$BS101)))</f>
        <v/>
      </c>
      <c r="AJ101" s="17" t="str">
        <f aca="false">IF(OR(N$7="",$BR101=""),"",IF('Tally Helper'!$B$39&lt;&gt;TRUE(),"not on Staff",SUMIFS('Tally Helper'!$L$41:$GI$41,'Tally Helper'!$L$39:$GI$39,"&gt;="&amp;$BR101,'Tally Helper'!$L$39:$GI$39,"&lt;="&amp;$BS101)))</f>
        <v/>
      </c>
      <c r="AK101" s="17" t="str">
        <f aca="false">IF(OR(O$7="",$BR101=""),"",IF('Tally Helper'!$B$42&lt;&gt;TRUE(),"not on Staff",SUMIFS('Tally Helper'!$L$44:$GI$44,'Tally Helper'!$L$42:$GI$42,"&gt;="&amp;$BR101,'Tally Helper'!$L$42:$GI$42,"&lt;="&amp;$BS101)))</f>
        <v/>
      </c>
      <c r="AL101" s="17" t="str">
        <f aca="false">IF(OR(P$7="",$BR101=""),"",IF('Tally Helper'!$B$45&lt;&gt;TRUE(),"not on Staff",SUMIFS('Tally Helper'!$L$47:$GI$47,'Tally Helper'!$L$45:$GI$45,"&gt;="&amp;$BR101,'Tally Helper'!$L$45:$GI$45,"&lt;="&amp;$BS101)))</f>
        <v/>
      </c>
      <c r="AM101" s="17" t="str">
        <f aca="false">IF(OR(Q$7="",$BR101=""),"",IF('Tally Helper'!$B$48&lt;&gt;TRUE(),"not on Staff",SUMIFS('Tally Helper'!$L$50:$GI$50,'Tally Helper'!$L$48:$GI$48,"&gt;="&amp;$BR101,'Tally Helper'!$L$48:$GI$48,"&lt;="&amp;$BS101)))</f>
        <v/>
      </c>
      <c r="AN101" s="17" t="str">
        <f aca="false">IF(OR(R$7="",$BR101=""),"",IF('Tally Helper'!$B$51&lt;&gt;TRUE(),"not on Staff",SUMIFS('Tally Helper'!$L$53:$GI$53,'Tally Helper'!$L$51:$GI$51,"&gt;="&amp;$BR101,'Tally Helper'!$L$51:$GI$51,"&lt;="&amp;$BS101)))</f>
        <v/>
      </c>
      <c r="AO101" s="17" t="str">
        <f aca="false">IF(OR(S$7="",$BR101=""),"",IF('Tally Helper'!$B$54&lt;&gt;TRUE(),"not on Staff",SUMIFS('Tally Helper'!$L$56:$GI$56,'Tally Helper'!$L$54:$GI$54,"&gt;="&amp;$BR101,'Tally Helper'!$L$54:$GI$54,"&lt;="&amp;$BS101)))</f>
        <v/>
      </c>
      <c r="AP101" s="17" t="str">
        <f aca="false">IF(OR(T$7="",$BR101=""),"",IF('Tally Helper'!$B$57&lt;&gt;TRUE(),"not on Staff",SUMIFS('Tally Helper'!$L$59:$GI$59,'Tally Helper'!$L$57:$GI$57,"&gt;="&amp;$BR101,'Tally Helper'!$L$57:$GI$57,"&lt;="&amp;$BS101)))</f>
        <v/>
      </c>
      <c r="AQ101" s="17" t="str">
        <f aca="false">IF(OR(U$7="",$BR101=""),"",IF('Tally Helper'!$B$60&lt;&gt;TRUE(),"not on Staff",SUMIFS('Tally Helper'!$L$62:$GI$62,'Tally Helper'!$L$60:$GI$60,"&gt;="&amp;$BR101,'Tally Helper'!$L$60:$GI$60,"&lt;="&amp;$BS101)))</f>
        <v/>
      </c>
      <c r="AT101" s="17" t="str">
        <f aca="false">IF(OR(X101="",NOT(ISNUMBER(X101))),"",X101-N(B101))</f>
        <v/>
      </c>
      <c r="AU101" s="17" t="str">
        <f aca="false">IF(OR(Y101="",NOT(ISNUMBER(Y101))),"",Y101-N(C101))</f>
        <v/>
      </c>
      <c r="AV101" s="17" t="str">
        <f aca="false">IF(OR(Z101="",NOT(ISNUMBER(Z101))),"",Z101-N(D101))</f>
        <v/>
      </c>
      <c r="AW101" s="17" t="str">
        <f aca="false">IF(OR(AA101="",NOT(ISNUMBER(AA101))),"",AA101-N(E101))</f>
        <v/>
      </c>
      <c r="AX101" s="17" t="str">
        <f aca="false">IF(OR(AB101="",NOT(ISNUMBER(AB101))),"",AB101-N(F101))</f>
        <v/>
      </c>
      <c r="AY101" s="17" t="str">
        <f aca="false">IF(OR(AC101="",NOT(ISNUMBER(AC101))),"",AC101-N(G101))</f>
        <v/>
      </c>
      <c r="AZ101" s="17" t="str">
        <f aca="false">IF(OR(AD101="",NOT(ISNUMBER(AD101))),"",AD101-N(H101))</f>
        <v/>
      </c>
      <c r="BA101" s="17" t="str">
        <f aca="false">IF(OR(AE101="",NOT(ISNUMBER(AE101))),"",AE101-N(I101))</f>
        <v/>
      </c>
      <c r="BB101" s="17" t="str">
        <f aca="false">IF(OR(AF101="",NOT(ISNUMBER(AF101))),"",AF101-N(J101))</f>
        <v/>
      </c>
      <c r="BC101" s="17" t="str">
        <f aca="false">IF(OR(AG101="",NOT(ISNUMBER(AG101))),"",AG101-N(K101))</f>
        <v/>
      </c>
      <c r="BD101" s="17" t="str">
        <f aca="false">IF(OR(AH101="",NOT(ISNUMBER(AH101))),"",AH101-N(L101))</f>
        <v/>
      </c>
      <c r="BE101" s="17" t="str">
        <f aca="false">IF(OR(AI101="",NOT(ISNUMBER(AI101))),"",AI101-N(M101))</f>
        <v/>
      </c>
      <c r="BF101" s="17" t="str">
        <f aca="false">IF(OR(AJ101="",NOT(ISNUMBER(AJ101))),"",AJ101-N(N101))</f>
        <v/>
      </c>
      <c r="BG101" s="17" t="str">
        <f aca="false">IF(OR(AK101="",NOT(ISNUMBER(AK101))),"",AK101-N(O101))</f>
        <v/>
      </c>
      <c r="BH101" s="17" t="str">
        <f aca="false">IF(OR(AL101="",NOT(ISNUMBER(AL101))),"",AL101-N(P101))</f>
        <v/>
      </c>
      <c r="BI101" s="17" t="str">
        <f aca="false">IF(OR(AM101="",NOT(ISNUMBER(AM101))),"",AM101-N(Q101))</f>
        <v/>
      </c>
      <c r="BJ101" s="17" t="str">
        <f aca="false">IF(OR(AN101="",NOT(ISNUMBER(AN101))),"",AN101-N(R101))</f>
        <v/>
      </c>
      <c r="BK101" s="17" t="str">
        <f aca="false">IF(OR(AO101="",NOT(ISNUMBER(AO101))),"",AO101-N(S101))</f>
        <v/>
      </c>
      <c r="BL101" s="17" t="str">
        <f aca="false">IF(OR(AP101="",NOT(ISNUMBER(AP101))),"",AP101-N(T101))</f>
        <v/>
      </c>
      <c r="BM101" s="17" t="str">
        <f aca="false">IF(OR(AQ101="",NOT(ISNUMBER(AQ101))),"",AQ101-N(U101))</f>
        <v/>
      </c>
      <c r="BR101" s="20" t="str">
        <f aca="false">IF($A101="","",IF(ISNUMBER($A101),DATE(YEAR($A101),MONTH($A101),1),IFERROR(DATE(2000+VALUE(RIGHT(TRIM($A101),2)),MATCH(UPPER(LEFT(TRIM($A101),3)),{"JAN","FEB","MAR","APR","MAY","JUN","JUL","AUG","SEP","OCT","NOV","DEC"},0),1),"")))</f>
        <v/>
      </c>
      <c r="BS101" s="20" t="str">
        <f aca="false">IF(BR101="","",EOMONTH(BR101,0))</f>
        <v/>
      </c>
    </row>
    <row r="102" customFormat="false" ht="15" hidden="false" customHeight="false" outlineLevel="0" collapsed="false">
      <c r="B102" s="21"/>
      <c r="C102" s="21"/>
      <c r="D102" s="21"/>
      <c r="E102" s="21"/>
      <c r="F102" s="21"/>
      <c r="G102" s="21"/>
      <c r="H102" s="21"/>
      <c r="I102" s="21"/>
      <c r="J102" s="21"/>
      <c r="K102" s="21"/>
      <c r="L102" s="21"/>
      <c r="M102" s="21"/>
      <c r="N102" s="21"/>
      <c r="O102" s="21"/>
      <c r="P102" s="21"/>
      <c r="Q102" s="21"/>
      <c r="R102" s="21"/>
      <c r="S102" s="21"/>
      <c r="T102" s="21"/>
      <c r="U102" s="21"/>
      <c r="X102" s="17" t="str">
        <f aca="false">IF(OR(B$7="",$BR102=""),"",IF('Tally Helper'!$B$3&lt;&gt;TRUE(),"not on Staff",SUMIFS('Tally Helper'!$L$5:$GI$5,'Tally Helper'!$L$3:$GI$3,"&gt;="&amp;$BR102,'Tally Helper'!$L$3:$GI$3,"&lt;="&amp;$BS102)))</f>
        <v/>
      </c>
      <c r="Y102" s="17" t="str">
        <f aca="false">IF(OR(C$7="",$BR102=""),"",IF('Tally Helper'!$B$6&lt;&gt;TRUE(),"not on Staff",SUMIFS('Tally Helper'!$L$8:$GI$8,'Tally Helper'!$L$6:$GI$6,"&gt;="&amp;$BR102,'Tally Helper'!$L$6:$GI$6,"&lt;="&amp;$BS102)))</f>
        <v/>
      </c>
      <c r="Z102" s="17" t="str">
        <f aca="false">IF(OR(D$7="",$BR102=""),"",IF('Tally Helper'!$B$9&lt;&gt;TRUE(),"not on Staff",SUMIFS('Tally Helper'!$L$11:$GI$11,'Tally Helper'!$L$9:$GI$9,"&gt;="&amp;$BR102,'Tally Helper'!$L$9:$GI$9,"&lt;="&amp;$BS102)))</f>
        <v/>
      </c>
      <c r="AA102" s="17" t="str">
        <f aca="false">IF(OR(E$7="",$BR102=""),"",IF('Tally Helper'!$B$12&lt;&gt;TRUE(),"not on Staff",SUMIFS('Tally Helper'!$L$14:$GI$14,'Tally Helper'!$L$12:$GI$12,"&gt;="&amp;$BR102,'Tally Helper'!$L$12:$GI$12,"&lt;="&amp;$BS102)))</f>
        <v/>
      </c>
      <c r="AB102" s="17" t="str">
        <f aca="false">IF(OR(F$7="",$BR102=""),"",IF('Tally Helper'!$B$15&lt;&gt;TRUE(),"not on Staff",SUMIFS('Tally Helper'!$L$17:$GI$17,'Tally Helper'!$L$15:$GI$15,"&gt;="&amp;$BR102,'Tally Helper'!$L$15:$GI$15,"&lt;="&amp;$BS102)))</f>
        <v/>
      </c>
      <c r="AC102" s="17" t="str">
        <f aca="false">IF(OR(G$7="",$BR102=""),"",IF('Tally Helper'!$B$18&lt;&gt;TRUE(),"not on Staff",SUMIFS('Tally Helper'!$L$20:$GI$20,'Tally Helper'!$L$18:$GI$18,"&gt;="&amp;$BR102,'Tally Helper'!$L$18:$GI$18,"&lt;="&amp;$BS102)))</f>
        <v/>
      </c>
      <c r="AD102" s="17" t="str">
        <f aca="false">IF(OR(H$7="",$BR102=""),"",IF('Tally Helper'!$B$21&lt;&gt;TRUE(),"not on Staff",SUMIFS('Tally Helper'!$L$23:$GI$23,'Tally Helper'!$L$21:$GI$21,"&gt;="&amp;$BR102,'Tally Helper'!$L$21:$GI$21,"&lt;="&amp;$BS102)))</f>
        <v/>
      </c>
      <c r="AE102" s="17" t="str">
        <f aca="false">IF(OR(I$7="",$BR102=""),"",IF('Tally Helper'!$B$24&lt;&gt;TRUE(),"not on Staff",SUMIFS('Tally Helper'!$L$26:$GI$26,'Tally Helper'!$L$24:$GI$24,"&gt;="&amp;$BR102,'Tally Helper'!$L$24:$GI$24,"&lt;="&amp;$BS102)))</f>
        <v/>
      </c>
      <c r="AF102" s="17" t="str">
        <f aca="false">IF(OR(J$7="",$BR102=""),"",IF('Tally Helper'!$B$27&lt;&gt;TRUE(),"not on Staff",SUMIFS('Tally Helper'!$L$29:$GI$29,'Tally Helper'!$L$27:$GI$27,"&gt;="&amp;$BR102,'Tally Helper'!$L$27:$GI$27,"&lt;="&amp;$BS102)))</f>
        <v/>
      </c>
      <c r="AG102" s="17" t="str">
        <f aca="false">IF(OR(K$7="",$BR102=""),"",IF('Tally Helper'!$B$30&lt;&gt;TRUE(),"not on Staff",SUMIFS('Tally Helper'!$L$32:$GI$32,'Tally Helper'!$L$30:$GI$30,"&gt;="&amp;$BR102,'Tally Helper'!$L$30:$GI$30,"&lt;="&amp;$BS102)))</f>
        <v/>
      </c>
      <c r="AH102" s="17" t="str">
        <f aca="false">IF(OR(L$7="",$BR102=""),"",IF('Tally Helper'!$B$33&lt;&gt;TRUE(),"not on Staff",SUMIFS('Tally Helper'!$L$35:$GI$35,'Tally Helper'!$L$33:$GI$33,"&gt;="&amp;$BR102,'Tally Helper'!$L$33:$GI$33,"&lt;="&amp;$BS102)))</f>
        <v/>
      </c>
      <c r="AI102" s="17" t="str">
        <f aca="false">IF(OR(M$7="",$BR102=""),"",IF('Tally Helper'!$B$36&lt;&gt;TRUE(),"not on Staff",SUMIFS('Tally Helper'!$L$38:$GI$38,'Tally Helper'!$L$36:$GI$36,"&gt;="&amp;$BR102,'Tally Helper'!$L$36:$GI$36,"&lt;="&amp;$BS102)))</f>
        <v/>
      </c>
      <c r="AJ102" s="17" t="str">
        <f aca="false">IF(OR(N$7="",$BR102=""),"",IF('Tally Helper'!$B$39&lt;&gt;TRUE(),"not on Staff",SUMIFS('Tally Helper'!$L$41:$GI$41,'Tally Helper'!$L$39:$GI$39,"&gt;="&amp;$BR102,'Tally Helper'!$L$39:$GI$39,"&lt;="&amp;$BS102)))</f>
        <v/>
      </c>
      <c r="AK102" s="17" t="str">
        <f aca="false">IF(OR(O$7="",$BR102=""),"",IF('Tally Helper'!$B$42&lt;&gt;TRUE(),"not on Staff",SUMIFS('Tally Helper'!$L$44:$GI$44,'Tally Helper'!$L$42:$GI$42,"&gt;="&amp;$BR102,'Tally Helper'!$L$42:$GI$42,"&lt;="&amp;$BS102)))</f>
        <v/>
      </c>
      <c r="AL102" s="17" t="str">
        <f aca="false">IF(OR(P$7="",$BR102=""),"",IF('Tally Helper'!$B$45&lt;&gt;TRUE(),"not on Staff",SUMIFS('Tally Helper'!$L$47:$GI$47,'Tally Helper'!$L$45:$GI$45,"&gt;="&amp;$BR102,'Tally Helper'!$L$45:$GI$45,"&lt;="&amp;$BS102)))</f>
        <v/>
      </c>
      <c r="AM102" s="17" t="str">
        <f aca="false">IF(OR(Q$7="",$BR102=""),"",IF('Tally Helper'!$B$48&lt;&gt;TRUE(),"not on Staff",SUMIFS('Tally Helper'!$L$50:$GI$50,'Tally Helper'!$L$48:$GI$48,"&gt;="&amp;$BR102,'Tally Helper'!$L$48:$GI$48,"&lt;="&amp;$BS102)))</f>
        <v/>
      </c>
      <c r="AN102" s="17" t="str">
        <f aca="false">IF(OR(R$7="",$BR102=""),"",IF('Tally Helper'!$B$51&lt;&gt;TRUE(),"not on Staff",SUMIFS('Tally Helper'!$L$53:$GI$53,'Tally Helper'!$L$51:$GI$51,"&gt;="&amp;$BR102,'Tally Helper'!$L$51:$GI$51,"&lt;="&amp;$BS102)))</f>
        <v/>
      </c>
      <c r="AO102" s="17" t="str">
        <f aca="false">IF(OR(S$7="",$BR102=""),"",IF('Tally Helper'!$B$54&lt;&gt;TRUE(),"not on Staff",SUMIFS('Tally Helper'!$L$56:$GI$56,'Tally Helper'!$L$54:$GI$54,"&gt;="&amp;$BR102,'Tally Helper'!$L$54:$GI$54,"&lt;="&amp;$BS102)))</f>
        <v/>
      </c>
      <c r="AP102" s="17" t="str">
        <f aca="false">IF(OR(T$7="",$BR102=""),"",IF('Tally Helper'!$B$57&lt;&gt;TRUE(),"not on Staff",SUMIFS('Tally Helper'!$L$59:$GI$59,'Tally Helper'!$L$57:$GI$57,"&gt;="&amp;$BR102,'Tally Helper'!$L$57:$GI$57,"&lt;="&amp;$BS102)))</f>
        <v/>
      </c>
      <c r="AQ102" s="17" t="str">
        <f aca="false">IF(OR(U$7="",$BR102=""),"",IF('Tally Helper'!$B$60&lt;&gt;TRUE(),"not on Staff",SUMIFS('Tally Helper'!$L$62:$GI$62,'Tally Helper'!$L$60:$GI$60,"&gt;="&amp;$BR102,'Tally Helper'!$L$60:$GI$60,"&lt;="&amp;$BS102)))</f>
        <v/>
      </c>
      <c r="AT102" s="17" t="str">
        <f aca="false">IF(OR(X102="",NOT(ISNUMBER(X102))),"",X102-N(B102))</f>
        <v/>
      </c>
      <c r="AU102" s="17" t="str">
        <f aca="false">IF(OR(Y102="",NOT(ISNUMBER(Y102))),"",Y102-N(C102))</f>
        <v/>
      </c>
      <c r="AV102" s="17" t="str">
        <f aca="false">IF(OR(Z102="",NOT(ISNUMBER(Z102))),"",Z102-N(D102))</f>
        <v/>
      </c>
      <c r="AW102" s="17" t="str">
        <f aca="false">IF(OR(AA102="",NOT(ISNUMBER(AA102))),"",AA102-N(E102))</f>
        <v/>
      </c>
      <c r="AX102" s="17" t="str">
        <f aca="false">IF(OR(AB102="",NOT(ISNUMBER(AB102))),"",AB102-N(F102))</f>
        <v/>
      </c>
      <c r="AY102" s="17" t="str">
        <f aca="false">IF(OR(AC102="",NOT(ISNUMBER(AC102))),"",AC102-N(G102))</f>
        <v/>
      </c>
      <c r="AZ102" s="17" t="str">
        <f aca="false">IF(OR(AD102="",NOT(ISNUMBER(AD102))),"",AD102-N(H102))</f>
        <v/>
      </c>
      <c r="BA102" s="17" t="str">
        <f aca="false">IF(OR(AE102="",NOT(ISNUMBER(AE102))),"",AE102-N(I102))</f>
        <v/>
      </c>
      <c r="BB102" s="17" t="str">
        <f aca="false">IF(OR(AF102="",NOT(ISNUMBER(AF102))),"",AF102-N(J102))</f>
        <v/>
      </c>
      <c r="BC102" s="17" t="str">
        <f aca="false">IF(OR(AG102="",NOT(ISNUMBER(AG102))),"",AG102-N(K102))</f>
        <v/>
      </c>
      <c r="BD102" s="17" t="str">
        <f aca="false">IF(OR(AH102="",NOT(ISNUMBER(AH102))),"",AH102-N(L102))</f>
        <v/>
      </c>
      <c r="BE102" s="17" t="str">
        <f aca="false">IF(OR(AI102="",NOT(ISNUMBER(AI102))),"",AI102-N(M102))</f>
        <v/>
      </c>
      <c r="BF102" s="17" t="str">
        <f aca="false">IF(OR(AJ102="",NOT(ISNUMBER(AJ102))),"",AJ102-N(N102))</f>
        <v/>
      </c>
      <c r="BG102" s="17" t="str">
        <f aca="false">IF(OR(AK102="",NOT(ISNUMBER(AK102))),"",AK102-N(O102))</f>
        <v/>
      </c>
      <c r="BH102" s="17" t="str">
        <f aca="false">IF(OR(AL102="",NOT(ISNUMBER(AL102))),"",AL102-N(P102))</f>
        <v/>
      </c>
      <c r="BI102" s="17" t="str">
        <f aca="false">IF(OR(AM102="",NOT(ISNUMBER(AM102))),"",AM102-N(Q102))</f>
        <v/>
      </c>
      <c r="BJ102" s="17" t="str">
        <f aca="false">IF(OR(AN102="",NOT(ISNUMBER(AN102))),"",AN102-N(R102))</f>
        <v/>
      </c>
      <c r="BK102" s="17" t="str">
        <f aca="false">IF(OR(AO102="",NOT(ISNUMBER(AO102))),"",AO102-N(S102))</f>
        <v/>
      </c>
      <c r="BL102" s="17" t="str">
        <f aca="false">IF(OR(AP102="",NOT(ISNUMBER(AP102))),"",AP102-N(T102))</f>
        <v/>
      </c>
      <c r="BM102" s="17" t="str">
        <f aca="false">IF(OR(AQ102="",NOT(ISNUMBER(AQ102))),"",AQ102-N(U102))</f>
        <v/>
      </c>
      <c r="BR102" s="20" t="str">
        <f aca="false">IF($A102="","",IF(ISNUMBER($A102),DATE(YEAR($A102),MONTH($A102),1),IFERROR(DATE(2000+VALUE(RIGHT(TRIM($A102),2)),MATCH(UPPER(LEFT(TRIM($A102),3)),{"JAN","FEB","MAR","APR","MAY","JUN","JUL","AUG","SEP","OCT","NOV","DEC"},0),1),"")))</f>
        <v/>
      </c>
      <c r="BS102" s="20" t="str">
        <f aca="false">IF(BR102="","",EOMONTH(BR102,0))</f>
        <v/>
      </c>
    </row>
    <row r="103" customFormat="false" ht="15" hidden="false" customHeight="false" outlineLevel="0" collapsed="false">
      <c r="B103" s="21"/>
      <c r="C103" s="21"/>
      <c r="D103" s="21"/>
      <c r="E103" s="21"/>
      <c r="F103" s="21"/>
      <c r="G103" s="21"/>
      <c r="H103" s="21"/>
      <c r="I103" s="21"/>
      <c r="J103" s="21"/>
      <c r="K103" s="21"/>
      <c r="L103" s="21"/>
      <c r="M103" s="21"/>
      <c r="N103" s="21"/>
      <c r="O103" s="21"/>
      <c r="P103" s="21"/>
      <c r="Q103" s="21"/>
      <c r="R103" s="21"/>
      <c r="S103" s="21"/>
      <c r="T103" s="21"/>
      <c r="U103" s="21"/>
      <c r="X103" s="17" t="str">
        <f aca="false">IF(OR(B$7="",$BR103=""),"",IF('Tally Helper'!$B$3&lt;&gt;TRUE(),"not on Staff",SUMIFS('Tally Helper'!$L$5:$GI$5,'Tally Helper'!$L$3:$GI$3,"&gt;="&amp;$BR103,'Tally Helper'!$L$3:$GI$3,"&lt;="&amp;$BS103)))</f>
        <v/>
      </c>
      <c r="Y103" s="17" t="str">
        <f aca="false">IF(OR(C$7="",$BR103=""),"",IF('Tally Helper'!$B$6&lt;&gt;TRUE(),"not on Staff",SUMIFS('Tally Helper'!$L$8:$GI$8,'Tally Helper'!$L$6:$GI$6,"&gt;="&amp;$BR103,'Tally Helper'!$L$6:$GI$6,"&lt;="&amp;$BS103)))</f>
        <v/>
      </c>
      <c r="Z103" s="17" t="str">
        <f aca="false">IF(OR(D$7="",$BR103=""),"",IF('Tally Helper'!$B$9&lt;&gt;TRUE(),"not on Staff",SUMIFS('Tally Helper'!$L$11:$GI$11,'Tally Helper'!$L$9:$GI$9,"&gt;="&amp;$BR103,'Tally Helper'!$L$9:$GI$9,"&lt;="&amp;$BS103)))</f>
        <v/>
      </c>
      <c r="AA103" s="17" t="str">
        <f aca="false">IF(OR(E$7="",$BR103=""),"",IF('Tally Helper'!$B$12&lt;&gt;TRUE(),"not on Staff",SUMIFS('Tally Helper'!$L$14:$GI$14,'Tally Helper'!$L$12:$GI$12,"&gt;="&amp;$BR103,'Tally Helper'!$L$12:$GI$12,"&lt;="&amp;$BS103)))</f>
        <v/>
      </c>
      <c r="AB103" s="17" t="str">
        <f aca="false">IF(OR(F$7="",$BR103=""),"",IF('Tally Helper'!$B$15&lt;&gt;TRUE(),"not on Staff",SUMIFS('Tally Helper'!$L$17:$GI$17,'Tally Helper'!$L$15:$GI$15,"&gt;="&amp;$BR103,'Tally Helper'!$L$15:$GI$15,"&lt;="&amp;$BS103)))</f>
        <v/>
      </c>
      <c r="AC103" s="17" t="str">
        <f aca="false">IF(OR(G$7="",$BR103=""),"",IF('Tally Helper'!$B$18&lt;&gt;TRUE(),"not on Staff",SUMIFS('Tally Helper'!$L$20:$GI$20,'Tally Helper'!$L$18:$GI$18,"&gt;="&amp;$BR103,'Tally Helper'!$L$18:$GI$18,"&lt;="&amp;$BS103)))</f>
        <v/>
      </c>
      <c r="AD103" s="17" t="str">
        <f aca="false">IF(OR(H$7="",$BR103=""),"",IF('Tally Helper'!$B$21&lt;&gt;TRUE(),"not on Staff",SUMIFS('Tally Helper'!$L$23:$GI$23,'Tally Helper'!$L$21:$GI$21,"&gt;="&amp;$BR103,'Tally Helper'!$L$21:$GI$21,"&lt;="&amp;$BS103)))</f>
        <v/>
      </c>
      <c r="AE103" s="17" t="str">
        <f aca="false">IF(OR(I$7="",$BR103=""),"",IF('Tally Helper'!$B$24&lt;&gt;TRUE(),"not on Staff",SUMIFS('Tally Helper'!$L$26:$GI$26,'Tally Helper'!$L$24:$GI$24,"&gt;="&amp;$BR103,'Tally Helper'!$L$24:$GI$24,"&lt;="&amp;$BS103)))</f>
        <v/>
      </c>
      <c r="AF103" s="17" t="str">
        <f aca="false">IF(OR(J$7="",$BR103=""),"",IF('Tally Helper'!$B$27&lt;&gt;TRUE(),"not on Staff",SUMIFS('Tally Helper'!$L$29:$GI$29,'Tally Helper'!$L$27:$GI$27,"&gt;="&amp;$BR103,'Tally Helper'!$L$27:$GI$27,"&lt;="&amp;$BS103)))</f>
        <v/>
      </c>
      <c r="AG103" s="17" t="str">
        <f aca="false">IF(OR(K$7="",$BR103=""),"",IF('Tally Helper'!$B$30&lt;&gt;TRUE(),"not on Staff",SUMIFS('Tally Helper'!$L$32:$GI$32,'Tally Helper'!$L$30:$GI$30,"&gt;="&amp;$BR103,'Tally Helper'!$L$30:$GI$30,"&lt;="&amp;$BS103)))</f>
        <v/>
      </c>
      <c r="AH103" s="17" t="str">
        <f aca="false">IF(OR(L$7="",$BR103=""),"",IF('Tally Helper'!$B$33&lt;&gt;TRUE(),"not on Staff",SUMIFS('Tally Helper'!$L$35:$GI$35,'Tally Helper'!$L$33:$GI$33,"&gt;="&amp;$BR103,'Tally Helper'!$L$33:$GI$33,"&lt;="&amp;$BS103)))</f>
        <v/>
      </c>
      <c r="AI103" s="17" t="str">
        <f aca="false">IF(OR(M$7="",$BR103=""),"",IF('Tally Helper'!$B$36&lt;&gt;TRUE(),"not on Staff",SUMIFS('Tally Helper'!$L$38:$GI$38,'Tally Helper'!$L$36:$GI$36,"&gt;="&amp;$BR103,'Tally Helper'!$L$36:$GI$36,"&lt;="&amp;$BS103)))</f>
        <v/>
      </c>
      <c r="AJ103" s="17" t="str">
        <f aca="false">IF(OR(N$7="",$BR103=""),"",IF('Tally Helper'!$B$39&lt;&gt;TRUE(),"not on Staff",SUMIFS('Tally Helper'!$L$41:$GI$41,'Tally Helper'!$L$39:$GI$39,"&gt;="&amp;$BR103,'Tally Helper'!$L$39:$GI$39,"&lt;="&amp;$BS103)))</f>
        <v/>
      </c>
      <c r="AK103" s="17" t="str">
        <f aca="false">IF(OR(O$7="",$BR103=""),"",IF('Tally Helper'!$B$42&lt;&gt;TRUE(),"not on Staff",SUMIFS('Tally Helper'!$L$44:$GI$44,'Tally Helper'!$L$42:$GI$42,"&gt;="&amp;$BR103,'Tally Helper'!$L$42:$GI$42,"&lt;="&amp;$BS103)))</f>
        <v/>
      </c>
      <c r="AL103" s="17" t="str">
        <f aca="false">IF(OR(P$7="",$BR103=""),"",IF('Tally Helper'!$B$45&lt;&gt;TRUE(),"not on Staff",SUMIFS('Tally Helper'!$L$47:$GI$47,'Tally Helper'!$L$45:$GI$45,"&gt;="&amp;$BR103,'Tally Helper'!$L$45:$GI$45,"&lt;="&amp;$BS103)))</f>
        <v/>
      </c>
      <c r="AM103" s="17" t="str">
        <f aca="false">IF(OR(Q$7="",$BR103=""),"",IF('Tally Helper'!$B$48&lt;&gt;TRUE(),"not on Staff",SUMIFS('Tally Helper'!$L$50:$GI$50,'Tally Helper'!$L$48:$GI$48,"&gt;="&amp;$BR103,'Tally Helper'!$L$48:$GI$48,"&lt;="&amp;$BS103)))</f>
        <v/>
      </c>
      <c r="AN103" s="17" t="str">
        <f aca="false">IF(OR(R$7="",$BR103=""),"",IF('Tally Helper'!$B$51&lt;&gt;TRUE(),"not on Staff",SUMIFS('Tally Helper'!$L$53:$GI$53,'Tally Helper'!$L$51:$GI$51,"&gt;="&amp;$BR103,'Tally Helper'!$L$51:$GI$51,"&lt;="&amp;$BS103)))</f>
        <v/>
      </c>
      <c r="AO103" s="17" t="str">
        <f aca="false">IF(OR(S$7="",$BR103=""),"",IF('Tally Helper'!$B$54&lt;&gt;TRUE(),"not on Staff",SUMIFS('Tally Helper'!$L$56:$GI$56,'Tally Helper'!$L$54:$GI$54,"&gt;="&amp;$BR103,'Tally Helper'!$L$54:$GI$54,"&lt;="&amp;$BS103)))</f>
        <v/>
      </c>
      <c r="AP103" s="17" t="str">
        <f aca="false">IF(OR(T$7="",$BR103=""),"",IF('Tally Helper'!$B$57&lt;&gt;TRUE(),"not on Staff",SUMIFS('Tally Helper'!$L$59:$GI$59,'Tally Helper'!$L$57:$GI$57,"&gt;="&amp;$BR103,'Tally Helper'!$L$57:$GI$57,"&lt;="&amp;$BS103)))</f>
        <v/>
      </c>
      <c r="AQ103" s="17" t="str">
        <f aca="false">IF(OR(U$7="",$BR103=""),"",IF('Tally Helper'!$B$60&lt;&gt;TRUE(),"not on Staff",SUMIFS('Tally Helper'!$L$62:$GI$62,'Tally Helper'!$L$60:$GI$60,"&gt;="&amp;$BR103,'Tally Helper'!$L$60:$GI$60,"&lt;="&amp;$BS103)))</f>
        <v/>
      </c>
      <c r="AT103" s="17" t="str">
        <f aca="false">IF(OR(X103="",NOT(ISNUMBER(X103))),"",X103-N(B103))</f>
        <v/>
      </c>
      <c r="AU103" s="17" t="str">
        <f aca="false">IF(OR(Y103="",NOT(ISNUMBER(Y103))),"",Y103-N(C103))</f>
        <v/>
      </c>
      <c r="AV103" s="17" t="str">
        <f aca="false">IF(OR(Z103="",NOT(ISNUMBER(Z103))),"",Z103-N(D103))</f>
        <v/>
      </c>
      <c r="AW103" s="17" t="str">
        <f aca="false">IF(OR(AA103="",NOT(ISNUMBER(AA103))),"",AA103-N(E103))</f>
        <v/>
      </c>
      <c r="AX103" s="17" t="str">
        <f aca="false">IF(OR(AB103="",NOT(ISNUMBER(AB103))),"",AB103-N(F103))</f>
        <v/>
      </c>
      <c r="AY103" s="17" t="str">
        <f aca="false">IF(OR(AC103="",NOT(ISNUMBER(AC103))),"",AC103-N(G103))</f>
        <v/>
      </c>
      <c r="AZ103" s="17" t="str">
        <f aca="false">IF(OR(AD103="",NOT(ISNUMBER(AD103))),"",AD103-N(H103))</f>
        <v/>
      </c>
      <c r="BA103" s="17" t="str">
        <f aca="false">IF(OR(AE103="",NOT(ISNUMBER(AE103))),"",AE103-N(I103))</f>
        <v/>
      </c>
      <c r="BB103" s="17" t="str">
        <f aca="false">IF(OR(AF103="",NOT(ISNUMBER(AF103))),"",AF103-N(J103))</f>
        <v/>
      </c>
      <c r="BC103" s="17" t="str">
        <f aca="false">IF(OR(AG103="",NOT(ISNUMBER(AG103))),"",AG103-N(K103))</f>
        <v/>
      </c>
      <c r="BD103" s="17" t="str">
        <f aca="false">IF(OR(AH103="",NOT(ISNUMBER(AH103))),"",AH103-N(L103))</f>
        <v/>
      </c>
      <c r="BE103" s="17" t="str">
        <f aca="false">IF(OR(AI103="",NOT(ISNUMBER(AI103))),"",AI103-N(M103))</f>
        <v/>
      </c>
      <c r="BF103" s="17" t="str">
        <f aca="false">IF(OR(AJ103="",NOT(ISNUMBER(AJ103))),"",AJ103-N(N103))</f>
        <v/>
      </c>
      <c r="BG103" s="17" t="str">
        <f aca="false">IF(OR(AK103="",NOT(ISNUMBER(AK103))),"",AK103-N(O103))</f>
        <v/>
      </c>
      <c r="BH103" s="17" t="str">
        <f aca="false">IF(OR(AL103="",NOT(ISNUMBER(AL103))),"",AL103-N(P103))</f>
        <v/>
      </c>
      <c r="BI103" s="17" t="str">
        <f aca="false">IF(OR(AM103="",NOT(ISNUMBER(AM103))),"",AM103-N(Q103))</f>
        <v/>
      </c>
      <c r="BJ103" s="17" t="str">
        <f aca="false">IF(OR(AN103="",NOT(ISNUMBER(AN103))),"",AN103-N(R103))</f>
        <v/>
      </c>
      <c r="BK103" s="17" t="str">
        <f aca="false">IF(OR(AO103="",NOT(ISNUMBER(AO103))),"",AO103-N(S103))</f>
        <v/>
      </c>
      <c r="BL103" s="17" t="str">
        <f aca="false">IF(OR(AP103="",NOT(ISNUMBER(AP103))),"",AP103-N(T103))</f>
        <v/>
      </c>
      <c r="BM103" s="17" t="str">
        <f aca="false">IF(OR(AQ103="",NOT(ISNUMBER(AQ103))),"",AQ103-N(U103))</f>
        <v/>
      </c>
      <c r="BR103" s="20" t="str">
        <f aca="false">IF($A103="","",IF(ISNUMBER($A103),DATE(YEAR($A103),MONTH($A103),1),IFERROR(DATE(2000+VALUE(RIGHT(TRIM($A103),2)),MATCH(UPPER(LEFT(TRIM($A103),3)),{"JAN","FEB","MAR","APR","MAY","JUN","JUL","AUG","SEP","OCT","NOV","DEC"},0),1),"")))</f>
        <v/>
      </c>
      <c r="BS103" s="20" t="str">
        <f aca="false">IF(BR103="","",EOMONTH(BR103,0))</f>
        <v/>
      </c>
    </row>
    <row r="104" customFormat="false" ht="15" hidden="false" customHeight="false" outlineLevel="0" collapsed="false">
      <c r="B104" s="21"/>
      <c r="C104" s="21"/>
      <c r="D104" s="21"/>
      <c r="E104" s="21"/>
      <c r="F104" s="21"/>
      <c r="G104" s="21"/>
      <c r="H104" s="21"/>
      <c r="I104" s="21"/>
      <c r="J104" s="21"/>
      <c r="K104" s="21"/>
      <c r="L104" s="21"/>
      <c r="M104" s="21"/>
      <c r="N104" s="21"/>
      <c r="O104" s="21"/>
      <c r="P104" s="21"/>
      <c r="Q104" s="21"/>
      <c r="R104" s="21"/>
      <c r="S104" s="21"/>
      <c r="T104" s="21"/>
      <c r="U104" s="21"/>
      <c r="X104" s="17" t="str">
        <f aca="false">IF(OR(B$7="",$BR104=""),"",IF('Tally Helper'!$B$3&lt;&gt;TRUE(),"not on Staff",SUMIFS('Tally Helper'!$L$5:$GI$5,'Tally Helper'!$L$3:$GI$3,"&gt;="&amp;$BR104,'Tally Helper'!$L$3:$GI$3,"&lt;="&amp;$BS104)))</f>
        <v/>
      </c>
      <c r="Y104" s="17" t="str">
        <f aca="false">IF(OR(C$7="",$BR104=""),"",IF('Tally Helper'!$B$6&lt;&gt;TRUE(),"not on Staff",SUMIFS('Tally Helper'!$L$8:$GI$8,'Tally Helper'!$L$6:$GI$6,"&gt;="&amp;$BR104,'Tally Helper'!$L$6:$GI$6,"&lt;="&amp;$BS104)))</f>
        <v/>
      </c>
      <c r="Z104" s="17" t="str">
        <f aca="false">IF(OR(D$7="",$BR104=""),"",IF('Tally Helper'!$B$9&lt;&gt;TRUE(),"not on Staff",SUMIFS('Tally Helper'!$L$11:$GI$11,'Tally Helper'!$L$9:$GI$9,"&gt;="&amp;$BR104,'Tally Helper'!$L$9:$GI$9,"&lt;="&amp;$BS104)))</f>
        <v/>
      </c>
      <c r="AA104" s="17" t="str">
        <f aca="false">IF(OR(E$7="",$BR104=""),"",IF('Tally Helper'!$B$12&lt;&gt;TRUE(),"not on Staff",SUMIFS('Tally Helper'!$L$14:$GI$14,'Tally Helper'!$L$12:$GI$12,"&gt;="&amp;$BR104,'Tally Helper'!$L$12:$GI$12,"&lt;="&amp;$BS104)))</f>
        <v/>
      </c>
      <c r="AB104" s="17" t="str">
        <f aca="false">IF(OR(F$7="",$BR104=""),"",IF('Tally Helper'!$B$15&lt;&gt;TRUE(),"not on Staff",SUMIFS('Tally Helper'!$L$17:$GI$17,'Tally Helper'!$L$15:$GI$15,"&gt;="&amp;$BR104,'Tally Helper'!$L$15:$GI$15,"&lt;="&amp;$BS104)))</f>
        <v/>
      </c>
      <c r="AC104" s="17" t="str">
        <f aca="false">IF(OR(G$7="",$BR104=""),"",IF('Tally Helper'!$B$18&lt;&gt;TRUE(),"not on Staff",SUMIFS('Tally Helper'!$L$20:$GI$20,'Tally Helper'!$L$18:$GI$18,"&gt;="&amp;$BR104,'Tally Helper'!$L$18:$GI$18,"&lt;="&amp;$BS104)))</f>
        <v/>
      </c>
      <c r="AD104" s="17" t="str">
        <f aca="false">IF(OR(H$7="",$BR104=""),"",IF('Tally Helper'!$B$21&lt;&gt;TRUE(),"not on Staff",SUMIFS('Tally Helper'!$L$23:$GI$23,'Tally Helper'!$L$21:$GI$21,"&gt;="&amp;$BR104,'Tally Helper'!$L$21:$GI$21,"&lt;="&amp;$BS104)))</f>
        <v/>
      </c>
      <c r="AE104" s="17" t="str">
        <f aca="false">IF(OR(I$7="",$BR104=""),"",IF('Tally Helper'!$B$24&lt;&gt;TRUE(),"not on Staff",SUMIFS('Tally Helper'!$L$26:$GI$26,'Tally Helper'!$L$24:$GI$24,"&gt;="&amp;$BR104,'Tally Helper'!$L$24:$GI$24,"&lt;="&amp;$BS104)))</f>
        <v/>
      </c>
      <c r="AF104" s="17" t="str">
        <f aca="false">IF(OR(J$7="",$BR104=""),"",IF('Tally Helper'!$B$27&lt;&gt;TRUE(),"not on Staff",SUMIFS('Tally Helper'!$L$29:$GI$29,'Tally Helper'!$L$27:$GI$27,"&gt;="&amp;$BR104,'Tally Helper'!$L$27:$GI$27,"&lt;="&amp;$BS104)))</f>
        <v/>
      </c>
      <c r="AG104" s="17" t="str">
        <f aca="false">IF(OR(K$7="",$BR104=""),"",IF('Tally Helper'!$B$30&lt;&gt;TRUE(),"not on Staff",SUMIFS('Tally Helper'!$L$32:$GI$32,'Tally Helper'!$L$30:$GI$30,"&gt;="&amp;$BR104,'Tally Helper'!$L$30:$GI$30,"&lt;="&amp;$BS104)))</f>
        <v/>
      </c>
      <c r="AH104" s="17" t="str">
        <f aca="false">IF(OR(L$7="",$BR104=""),"",IF('Tally Helper'!$B$33&lt;&gt;TRUE(),"not on Staff",SUMIFS('Tally Helper'!$L$35:$GI$35,'Tally Helper'!$L$33:$GI$33,"&gt;="&amp;$BR104,'Tally Helper'!$L$33:$GI$33,"&lt;="&amp;$BS104)))</f>
        <v/>
      </c>
      <c r="AI104" s="17" t="str">
        <f aca="false">IF(OR(M$7="",$BR104=""),"",IF('Tally Helper'!$B$36&lt;&gt;TRUE(),"not on Staff",SUMIFS('Tally Helper'!$L$38:$GI$38,'Tally Helper'!$L$36:$GI$36,"&gt;="&amp;$BR104,'Tally Helper'!$L$36:$GI$36,"&lt;="&amp;$BS104)))</f>
        <v/>
      </c>
      <c r="AJ104" s="17" t="str">
        <f aca="false">IF(OR(N$7="",$BR104=""),"",IF('Tally Helper'!$B$39&lt;&gt;TRUE(),"not on Staff",SUMIFS('Tally Helper'!$L$41:$GI$41,'Tally Helper'!$L$39:$GI$39,"&gt;="&amp;$BR104,'Tally Helper'!$L$39:$GI$39,"&lt;="&amp;$BS104)))</f>
        <v/>
      </c>
      <c r="AK104" s="17" t="str">
        <f aca="false">IF(OR(O$7="",$BR104=""),"",IF('Tally Helper'!$B$42&lt;&gt;TRUE(),"not on Staff",SUMIFS('Tally Helper'!$L$44:$GI$44,'Tally Helper'!$L$42:$GI$42,"&gt;="&amp;$BR104,'Tally Helper'!$L$42:$GI$42,"&lt;="&amp;$BS104)))</f>
        <v/>
      </c>
      <c r="AL104" s="17" t="str">
        <f aca="false">IF(OR(P$7="",$BR104=""),"",IF('Tally Helper'!$B$45&lt;&gt;TRUE(),"not on Staff",SUMIFS('Tally Helper'!$L$47:$GI$47,'Tally Helper'!$L$45:$GI$45,"&gt;="&amp;$BR104,'Tally Helper'!$L$45:$GI$45,"&lt;="&amp;$BS104)))</f>
        <v/>
      </c>
      <c r="AM104" s="17" t="str">
        <f aca="false">IF(OR(Q$7="",$BR104=""),"",IF('Tally Helper'!$B$48&lt;&gt;TRUE(),"not on Staff",SUMIFS('Tally Helper'!$L$50:$GI$50,'Tally Helper'!$L$48:$GI$48,"&gt;="&amp;$BR104,'Tally Helper'!$L$48:$GI$48,"&lt;="&amp;$BS104)))</f>
        <v/>
      </c>
      <c r="AN104" s="17" t="str">
        <f aca="false">IF(OR(R$7="",$BR104=""),"",IF('Tally Helper'!$B$51&lt;&gt;TRUE(),"not on Staff",SUMIFS('Tally Helper'!$L$53:$GI$53,'Tally Helper'!$L$51:$GI$51,"&gt;="&amp;$BR104,'Tally Helper'!$L$51:$GI$51,"&lt;="&amp;$BS104)))</f>
        <v/>
      </c>
      <c r="AO104" s="17" t="str">
        <f aca="false">IF(OR(S$7="",$BR104=""),"",IF('Tally Helper'!$B$54&lt;&gt;TRUE(),"not on Staff",SUMIFS('Tally Helper'!$L$56:$GI$56,'Tally Helper'!$L$54:$GI$54,"&gt;="&amp;$BR104,'Tally Helper'!$L$54:$GI$54,"&lt;="&amp;$BS104)))</f>
        <v/>
      </c>
      <c r="AP104" s="17" t="str">
        <f aca="false">IF(OR(T$7="",$BR104=""),"",IF('Tally Helper'!$B$57&lt;&gt;TRUE(),"not on Staff",SUMIFS('Tally Helper'!$L$59:$GI$59,'Tally Helper'!$L$57:$GI$57,"&gt;="&amp;$BR104,'Tally Helper'!$L$57:$GI$57,"&lt;="&amp;$BS104)))</f>
        <v/>
      </c>
      <c r="AQ104" s="17" t="str">
        <f aca="false">IF(OR(U$7="",$BR104=""),"",IF('Tally Helper'!$B$60&lt;&gt;TRUE(),"not on Staff",SUMIFS('Tally Helper'!$L$62:$GI$62,'Tally Helper'!$L$60:$GI$60,"&gt;="&amp;$BR104,'Tally Helper'!$L$60:$GI$60,"&lt;="&amp;$BS104)))</f>
        <v/>
      </c>
      <c r="AT104" s="17" t="str">
        <f aca="false">IF(OR(X104="",NOT(ISNUMBER(X104))),"",X104-N(B104))</f>
        <v/>
      </c>
      <c r="AU104" s="17" t="str">
        <f aca="false">IF(OR(Y104="",NOT(ISNUMBER(Y104))),"",Y104-N(C104))</f>
        <v/>
      </c>
      <c r="AV104" s="17" t="str">
        <f aca="false">IF(OR(Z104="",NOT(ISNUMBER(Z104))),"",Z104-N(D104))</f>
        <v/>
      </c>
      <c r="AW104" s="17" t="str">
        <f aca="false">IF(OR(AA104="",NOT(ISNUMBER(AA104))),"",AA104-N(E104))</f>
        <v/>
      </c>
      <c r="AX104" s="17" t="str">
        <f aca="false">IF(OR(AB104="",NOT(ISNUMBER(AB104))),"",AB104-N(F104))</f>
        <v/>
      </c>
      <c r="AY104" s="17" t="str">
        <f aca="false">IF(OR(AC104="",NOT(ISNUMBER(AC104))),"",AC104-N(G104))</f>
        <v/>
      </c>
      <c r="AZ104" s="17" t="str">
        <f aca="false">IF(OR(AD104="",NOT(ISNUMBER(AD104))),"",AD104-N(H104))</f>
        <v/>
      </c>
      <c r="BA104" s="17" t="str">
        <f aca="false">IF(OR(AE104="",NOT(ISNUMBER(AE104))),"",AE104-N(I104))</f>
        <v/>
      </c>
      <c r="BB104" s="17" t="str">
        <f aca="false">IF(OR(AF104="",NOT(ISNUMBER(AF104))),"",AF104-N(J104))</f>
        <v/>
      </c>
      <c r="BC104" s="17" t="str">
        <f aca="false">IF(OR(AG104="",NOT(ISNUMBER(AG104))),"",AG104-N(K104))</f>
        <v/>
      </c>
      <c r="BD104" s="17" t="str">
        <f aca="false">IF(OR(AH104="",NOT(ISNUMBER(AH104))),"",AH104-N(L104))</f>
        <v/>
      </c>
      <c r="BE104" s="17" t="str">
        <f aca="false">IF(OR(AI104="",NOT(ISNUMBER(AI104))),"",AI104-N(M104))</f>
        <v/>
      </c>
      <c r="BF104" s="17" t="str">
        <f aca="false">IF(OR(AJ104="",NOT(ISNUMBER(AJ104))),"",AJ104-N(N104))</f>
        <v/>
      </c>
      <c r="BG104" s="17" t="str">
        <f aca="false">IF(OR(AK104="",NOT(ISNUMBER(AK104))),"",AK104-N(O104))</f>
        <v/>
      </c>
      <c r="BH104" s="17" t="str">
        <f aca="false">IF(OR(AL104="",NOT(ISNUMBER(AL104))),"",AL104-N(P104))</f>
        <v/>
      </c>
      <c r="BI104" s="17" t="str">
        <f aca="false">IF(OR(AM104="",NOT(ISNUMBER(AM104))),"",AM104-N(Q104))</f>
        <v/>
      </c>
      <c r="BJ104" s="17" t="str">
        <f aca="false">IF(OR(AN104="",NOT(ISNUMBER(AN104))),"",AN104-N(R104))</f>
        <v/>
      </c>
      <c r="BK104" s="17" t="str">
        <f aca="false">IF(OR(AO104="",NOT(ISNUMBER(AO104))),"",AO104-N(S104))</f>
        <v/>
      </c>
      <c r="BL104" s="17" t="str">
        <f aca="false">IF(OR(AP104="",NOT(ISNUMBER(AP104))),"",AP104-N(T104))</f>
        <v/>
      </c>
      <c r="BM104" s="17" t="str">
        <f aca="false">IF(OR(AQ104="",NOT(ISNUMBER(AQ104))),"",AQ104-N(U104))</f>
        <v/>
      </c>
      <c r="BR104" s="20" t="str">
        <f aca="false">IF($A104="","",IF(ISNUMBER($A104),DATE(YEAR($A104),MONTH($A104),1),IFERROR(DATE(2000+VALUE(RIGHT(TRIM($A104),2)),MATCH(UPPER(LEFT(TRIM($A104),3)),{"JAN","FEB","MAR","APR","MAY","JUN","JUL","AUG","SEP","OCT","NOV","DEC"},0),1),"")))</f>
        <v/>
      </c>
      <c r="BS104" s="20" t="str">
        <f aca="false">IF(BR104="","",EOMONTH(BR104,0))</f>
        <v/>
      </c>
    </row>
    <row r="105" customFormat="false" ht="15" hidden="false" customHeight="false" outlineLevel="0" collapsed="false">
      <c r="B105" s="21"/>
      <c r="C105" s="21"/>
      <c r="D105" s="21"/>
      <c r="E105" s="21"/>
      <c r="F105" s="21"/>
      <c r="G105" s="21"/>
      <c r="H105" s="21"/>
      <c r="I105" s="21"/>
      <c r="J105" s="21"/>
      <c r="K105" s="21"/>
      <c r="L105" s="21"/>
      <c r="M105" s="21"/>
      <c r="N105" s="21"/>
      <c r="O105" s="21"/>
      <c r="P105" s="21"/>
      <c r="Q105" s="21"/>
      <c r="R105" s="21"/>
      <c r="S105" s="21"/>
      <c r="T105" s="21"/>
      <c r="U105" s="21"/>
      <c r="X105" s="17" t="str">
        <f aca="false">IF(OR(B$7="",$BR105=""),"",IF('Tally Helper'!$B$3&lt;&gt;TRUE(),"not on Staff",SUMIFS('Tally Helper'!$L$5:$GI$5,'Tally Helper'!$L$3:$GI$3,"&gt;="&amp;$BR105,'Tally Helper'!$L$3:$GI$3,"&lt;="&amp;$BS105)))</f>
        <v/>
      </c>
      <c r="Y105" s="17" t="str">
        <f aca="false">IF(OR(C$7="",$BR105=""),"",IF('Tally Helper'!$B$6&lt;&gt;TRUE(),"not on Staff",SUMIFS('Tally Helper'!$L$8:$GI$8,'Tally Helper'!$L$6:$GI$6,"&gt;="&amp;$BR105,'Tally Helper'!$L$6:$GI$6,"&lt;="&amp;$BS105)))</f>
        <v/>
      </c>
      <c r="Z105" s="17" t="str">
        <f aca="false">IF(OR(D$7="",$BR105=""),"",IF('Tally Helper'!$B$9&lt;&gt;TRUE(),"not on Staff",SUMIFS('Tally Helper'!$L$11:$GI$11,'Tally Helper'!$L$9:$GI$9,"&gt;="&amp;$BR105,'Tally Helper'!$L$9:$GI$9,"&lt;="&amp;$BS105)))</f>
        <v/>
      </c>
      <c r="AA105" s="17" t="str">
        <f aca="false">IF(OR(E$7="",$BR105=""),"",IF('Tally Helper'!$B$12&lt;&gt;TRUE(),"not on Staff",SUMIFS('Tally Helper'!$L$14:$GI$14,'Tally Helper'!$L$12:$GI$12,"&gt;="&amp;$BR105,'Tally Helper'!$L$12:$GI$12,"&lt;="&amp;$BS105)))</f>
        <v/>
      </c>
      <c r="AB105" s="17" t="str">
        <f aca="false">IF(OR(F$7="",$BR105=""),"",IF('Tally Helper'!$B$15&lt;&gt;TRUE(),"not on Staff",SUMIFS('Tally Helper'!$L$17:$GI$17,'Tally Helper'!$L$15:$GI$15,"&gt;="&amp;$BR105,'Tally Helper'!$L$15:$GI$15,"&lt;="&amp;$BS105)))</f>
        <v/>
      </c>
      <c r="AC105" s="17" t="str">
        <f aca="false">IF(OR(G$7="",$BR105=""),"",IF('Tally Helper'!$B$18&lt;&gt;TRUE(),"not on Staff",SUMIFS('Tally Helper'!$L$20:$GI$20,'Tally Helper'!$L$18:$GI$18,"&gt;="&amp;$BR105,'Tally Helper'!$L$18:$GI$18,"&lt;="&amp;$BS105)))</f>
        <v/>
      </c>
      <c r="AD105" s="17" t="str">
        <f aca="false">IF(OR(H$7="",$BR105=""),"",IF('Tally Helper'!$B$21&lt;&gt;TRUE(),"not on Staff",SUMIFS('Tally Helper'!$L$23:$GI$23,'Tally Helper'!$L$21:$GI$21,"&gt;="&amp;$BR105,'Tally Helper'!$L$21:$GI$21,"&lt;="&amp;$BS105)))</f>
        <v/>
      </c>
      <c r="AE105" s="17" t="str">
        <f aca="false">IF(OR(I$7="",$BR105=""),"",IF('Tally Helper'!$B$24&lt;&gt;TRUE(),"not on Staff",SUMIFS('Tally Helper'!$L$26:$GI$26,'Tally Helper'!$L$24:$GI$24,"&gt;="&amp;$BR105,'Tally Helper'!$L$24:$GI$24,"&lt;="&amp;$BS105)))</f>
        <v/>
      </c>
      <c r="AF105" s="17" t="str">
        <f aca="false">IF(OR(J$7="",$BR105=""),"",IF('Tally Helper'!$B$27&lt;&gt;TRUE(),"not on Staff",SUMIFS('Tally Helper'!$L$29:$GI$29,'Tally Helper'!$L$27:$GI$27,"&gt;="&amp;$BR105,'Tally Helper'!$L$27:$GI$27,"&lt;="&amp;$BS105)))</f>
        <v/>
      </c>
      <c r="AG105" s="17" t="str">
        <f aca="false">IF(OR(K$7="",$BR105=""),"",IF('Tally Helper'!$B$30&lt;&gt;TRUE(),"not on Staff",SUMIFS('Tally Helper'!$L$32:$GI$32,'Tally Helper'!$L$30:$GI$30,"&gt;="&amp;$BR105,'Tally Helper'!$L$30:$GI$30,"&lt;="&amp;$BS105)))</f>
        <v/>
      </c>
      <c r="AH105" s="17" t="str">
        <f aca="false">IF(OR(L$7="",$BR105=""),"",IF('Tally Helper'!$B$33&lt;&gt;TRUE(),"not on Staff",SUMIFS('Tally Helper'!$L$35:$GI$35,'Tally Helper'!$L$33:$GI$33,"&gt;="&amp;$BR105,'Tally Helper'!$L$33:$GI$33,"&lt;="&amp;$BS105)))</f>
        <v/>
      </c>
      <c r="AI105" s="17" t="str">
        <f aca="false">IF(OR(M$7="",$BR105=""),"",IF('Tally Helper'!$B$36&lt;&gt;TRUE(),"not on Staff",SUMIFS('Tally Helper'!$L$38:$GI$38,'Tally Helper'!$L$36:$GI$36,"&gt;="&amp;$BR105,'Tally Helper'!$L$36:$GI$36,"&lt;="&amp;$BS105)))</f>
        <v/>
      </c>
      <c r="AJ105" s="17" t="str">
        <f aca="false">IF(OR(N$7="",$BR105=""),"",IF('Tally Helper'!$B$39&lt;&gt;TRUE(),"not on Staff",SUMIFS('Tally Helper'!$L$41:$GI$41,'Tally Helper'!$L$39:$GI$39,"&gt;="&amp;$BR105,'Tally Helper'!$L$39:$GI$39,"&lt;="&amp;$BS105)))</f>
        <v/>
      </c>
      <c r="AK105" s="17" t="str">
        <f aca="false">IF(OR(O$7="",$BR105=""),"",IF('Tally Helper'!$B$42&lt;&gt;TRUE(),"not on Staff",SUMIFS('Tally Helper'!$L$44:$GI$44,'Tally Helper'!$L$42:$GI$42,"&gt;="&amp;$BR105,'Tally Helper'!$L$42:$GI$42,"&lt;="&amp;$BS105)))</f>
        <v/>
      </c>
      <c r="AL105" s="17" t="str">
        <f aca="false">IF(OR(P$7="",$BR105=""),"",IF('Tally Helper'!$B$45&lt;&gt;TRUE(),"not on Staff",SUMIFS('Tally Helper'!$L$47:$GI$47,'Tally Helper'!$L$45:$GI$45,"&gt;="&amp;$BR105,'Tally Helper'!$L$45:$GI$45,"&lt;="&amp;$BS105)))</f>
        <v/>
      </c>
      <c r="AM105" s="17" t="str">
        <f aca="false">IF(OR(Q$7="",$BR105=""),"",IF('Tally Helper'!$B$48&lt;&gt;TRUE(),"not on Staff",SUMIFS('Tally Helper'!$L$50:$GI$50,'Tally Helper'!$L$48:$GI$48,"&gt;="&amp;$BR105,'Tally Helper'!$L$48:$GI$48,"&lt;="&amp;$BS105)))</f>
        <v/>
      </c>
      <c r="AN105" s="17" t="str">
        <f aca="false">IF(OR(R$7="",$BR105=""),"",IF('Tally Helper'!$B$51&lt;&gt;TRUE(),"not on Staff",SUMIFS('Tally Helper'!$L$53:$GI$53,'Tally Helper'!$L$51:$GI$51,"&gt;="&amp;$BR105,'Tally Helper'!$L$51:$GI$51,"&lt;="&amp;$BS105)))</f>
        <v/>
      </c>
      <c r="AO105" s="17" t="str">
        <f aca="false">IF(OR(S$7="",$BR105=""),"",IF('Tally Helper'!$B$54&lt;&gt;TRUE(),"not on Staff",SUMIFS('Tally Helper'!$L$56:$GI$56,'Tally Helper'!$L$54:$GI$54,"&gt;="&amp;$BR105,'Tally Helper'!$L$54:$GI$54,"&lt;="&amp;$BS105)))</f>
        <v/>
      </c>
      <c r="AP105" s="17" t="str">
        <f aca="false">IF(OR(T$7="",$BR105=""),"",IF('Tally Helper'!$B$57&lt;&gt;TRUE(),"not on Staff",SUMIFS('Tally Helper'!$L$59:$GI$59,'Tally Helper'!$L$57:$GI$57,"&gt;="&amp;$BR105,'Tally Helper'!$L$57:$GI$57,"&lt;="&amp;$BS105)))</f>
        <v/>
      </c>
      <c r="AQ105" s="17" t="str">
        <f aca="false">IF(OR(U$7="",$BR105=""),"",IF('Tally Helper'!$B$60&lt;&gt;TRUE(),"not on Staff",SUMIFS('Tally Helper'!$L$62:$GI$62,'Tally Helper'!$L$60:$GI$60,"&gt;="&amp;$BR105,'Tally Helper'!$L$60:$GI$60,"&lt;="&amp;$BS105)))</f>
        <v/>
      </c>
      <c r="AT105" s="17" t="str">
        <f aca="false">IF(OR(X105="",NOT(ISNUMBER(X105))),"",X105-N(B105))</f>
        <v/>
      </c>
      <c r="AU105" s="17" t="str">
        <f aca="false">IF(OR(Y105="",NOT(ISNUMBER(Y105))),"",Y105-N(C105))</f>
        <v/>
      </c>
      <c r="AV105" s="17" t="str">
        <f aca="false">IF(OR(Z105="",NOT(ISNUMBER(Z105))),"",Z105-N(D105))</f>
        <v/>
      </c>
      <c r="AW105" s="17" t="str">
        <f aca="false">IF(OR(AA105="",NOT(ISNUMBER(AA105))),"",AA105-N(E105))</f>
        <v/>
      </c>
      <c r="AX105" s="17" t="str">
        <f aca="false">IF(OR(AB105="",NOT(ISNUMBER(AB105))),"",AB105-N(F105))</f>
        <v/>
      </c>
      <c r="AY105" s="17" t="str">
        <f aca="false">IF(OR(AC105="",NOT(ISNUMBER(AC105))),"",AC105-N(G105))</f>
        <v/>
      </c>
      <c r="AZ105" s="17" t="str">
        <f aca="false">IF(OR(AD105="",NOT(ISNUMBER(AD105))),"",AD105-N(H105))</f>
        <v/>
      </c>
      <c r="BA105" s="17" t="str">
        <f aca="false">IF(OR(AE105="",NOT(ISNUMBER(AE105))),"",AE105-N(I105))</f>
        <v/>
      </c>
      <c r="BB105" s="17" t="str">
        <f aca="false">IF(OR(AF105="",NOT(ISNUMBER(AF105))),"",AF105-N(J105))</f>
        <v/>
      </c>
      <c r="BC105" s="17" t="str">
        <f aca="false">IF(OR(AG105="",NOT(ISNUMBER(AG105))),"",AG105-N(K105))</f>
        <v/>
      </c>
      <c r="BD105" s="17" t="str">
        <f aca="false">IF(OR(AH105="",NOT(ISNUMBER(AH105))),"",AH105-N(L105))</f>
        <v/>
      </c>
      <c r="BE105" s="17" t="str">
        <f aca="false">IF(OR(AI105="",NOT(ISNUMBER(AI105))),"",AI105-N(M105))</f>
        <v/>
      </c>
      <c r="BF105" s="17" t="str">
        <f aca="false">IF(OR(AJ105="",NOT(ISNUMBER(AJ105))),"",AJ105-N(N105))</f>
        <v/>
      </c>
      <c r="BG105" s="17" t="str">
        <f aca="false">IF(OR(AK105="",NOT(ISNUMBER(AK105))),"",AK105-N(O105))</f>
        <v/>
      </c>
      <c r="BH105" s="17" t="str">
        <f aca="false">IF(OR(AL105="",NOT(ISNUMBER(AL105))),"",AL105-N(P105))</f>
        <v/>
      </c>
      <c r="BI105" s="17" t="str">
        <f aca="false">IF(OR(AM105="",NOT(ISNUMBER(AM105))),"",AM105-N(Q105))</f>
        <v/>
      </c>
      <c r="BJ105" s="17" t="str">
        <f aca="false">IF(OR(AN105="",NOT(ISNUMBER(AN105))),"",AN105-N(R105))</f>
        <v/>
      </c>
      <c r="BK105" s="17" t="str">
        <f aca="false">IF(OR(AO105="",NOT(ISNUMBER(AO105))),"",AO105-N(S105))</f>
        <v/>
      </c>
      <c r="BL105" s="17" t="str">
        <f aca="false">IF(OR(AP105="",NOT(ISNUMBER(AP105))),"",AP105-N(T105))</f>
        <v/>
      </c>
      <c r="BM105" s="17" t="str">
        <f aca="false">IF(OR(AQ105="",NOT(ISNUMBER(AQ105))),"",AQ105-N(U105))</f>
        <v/>
      </c>
      <c r="BR105" s="20" t="str">
        <f aca="false">IF($A105="","",IF(ISNUMBER($A105),DATE(YEAR($A105),MONTH($A105),1),IFERROR(DATE(2000+VALUE(RIGHT(TRIM($A105),2)),MATCH(UPPER(LEFT(TRIM($A105),3)),{"JAN","FEB","MAR","APR","MAY","JUN","JUL","AUG","SEP","OCT","NOV","DEC"},0),1),"")))</f>
        <v/>
      </c>
      <c r="BS105" s="20" t="str">
        <f aca="false">IF(BR105="","",EOMONTH(BR105,0))</f>
        <v/>
      </c>
    </row>
    <row r="106" customFormat="false" ht="15" hidden="false" customHeight="false" outlineLevel="0" collapsed="false">
      <c r="B106" s="21"/>
      <c r="C106" s="21"/>
      <c r="D106" s="21"/>
      <c r="E106" s="21"/>
      <c r="F106" s="21"/>
      <c r="G106" s="21"/>
      <c r="H106" s="21"/>
      <c r="I106" s="21"/>
      <c r="J106" s="21"/>
      <c r="K106" s="21"/>
      <c r="L106" s="21"/>
      <c r="M106" s="21"/>
      <c r="N106" s="21"/>
      <c r="O106" s="21"/>
      <c r="P106" s="21"/>
      <c r="Q106" s="21"/>
      <c r="R106" s="21"/>
      <c r="S106" s="21"/>
      <c r="T106" s="21"/>
      <c r="U106" s="21"/>
      <c r="X106" s="17" t="str">
        <f aca="false">IF(OR(B$7="",$BR106=""),"",IF('Tally Helper'!$B$3&lt;&gt;TRUE(),"not on Staff",SUMIFS('Tally Helper'!$L$5:$GI$5,'Tally Helper'!$L$3:$GI$3,"&gt;="&amp;$BR106,'Tally Helper'!$L$3:$GI$3,"&lt;="&amp;$BS106)))</f>
        <v/>
      </c>
      <c r="Y106" s="17" t="str">
        <f aca="false">IF(OR(C$7="",$BR106=""),"",IF('Tally Helper'!$B$6&lt;&gt;TRUE(),"not on Staff",SUMIFS('Tally Helper'!$L$8:$GI$8,'Tally Helper'!$L$6:$GI$6,"&gt;="&amp;$BR106,'Tally Helper'!$L$6:$GI$6,"&lt;="&amp;$BS106)))</f>
        <v/>
      </c>
      <c r="Z106" s="17" t="str">
        <f aca="false">IF(OR(D$7="",$BR106=""),"",IF('Tally Helper'!$B$9&lt;&gt;TRUE(),"not on Staff",SUMIFS('Tally Helper'!$L$11:$GI$11,'Tally Helper'!$L$9:$GI$9,"&gt;="&amp;$BR106,'Tally Helper'!$L$9:$GI$9,"&lt;="&amp;$BS106)))</f>
        <v/>
      </c>
      <c r="AA106" s="17" t="str">
        <f aca="false">IF(OR(E$7="",$BR106=""),"",IF('Tally Helper'!$B$12&lt;&gt;TRUE(),"not on Staff",SUMIFS('Tally Helper'!$L$14:$GI$14,'Tally Helper'!$L$12:$GI$12,"&gt;="&amp;$BR106,'Tally Helper'!$L$12:$GI$12,"&lt;="&amp;$BS106)))</f>
        <v/>
      </c>
      <c r="AB106" s="17" t="str">
        <f aca="false">IF(OR(F$7="",$BR106=""),"",IF('Tally Helper'!$B$15&lt;&gt;TRUE(),"not on Staff",SUMIFS('Tally Helper'!$L$17:$GI$17,'Tally Helper'!$L$15:$GI$15,"&gt;="&amp;$BR106,'Tally Helper'!$L$15:$GI$15,"&lt;="&amp;$BS106)))</f>
        <v/>
      </c>
      <c r="AC106" s="17" t="str">
        <f aca="false">IF(OR(G$7="",$BR106=""),"",IF('Tally Helper'!$B$18&lt;&gt;TRUE(),"not on Staff",SUMIFS('Tally Helper'!$L$20:$GI$20,'Tally Helper'!$L$18:$GI$18,"&gt;="&amp;$BR106,'Tally Helper'!$L$18:$GI$18,"&lt;="&amp;$BS106)))</f>
        <v/>
      </c>
      <c r="AD106" s="17" t="str">
        <f aca="false">IF(OR(H$7="",$BR106=""),"",IF('Tally Helper'!$B$21&lt;&gt;TRUE(),"not on Staff",SUMIFS('Tally Helper'!$L$23:$GI$23,'Tally Helper'!$L$21:$GI$21,"&gt;="&amp;$BR106,'Tally Helper'!$L$21:$GI$21,"&lt;="&amp;$BS106)))</f>
        <v/>
      </c>
      <c r="AE106" s="17" t="str">
        <f aca="false">IF(OR(I$7="",$BR106=""),"",IF('Tally Helper'!$B$24&lt;&gt;TRUE(),"not on Staff",SUMIFS('Tally Helper'!$L$26:$GI$26,'Tally Helper'!$L$24:$GI$24,"&gt;="&amp;$BR106,'Tally Helper'!$L$24:$GI$24,"&lt;="&amp;$BS106)))</f>
        <v/>
      </c>
      <c r="AF106" s="17" t="str">
        <f aca="false">IF(OR(J$7="",$BR106=""),"",IF('Tally Helper'!$B$27&lt;&gt;TRUE(),"not on Staff",SUMIFS('Tally Helper'!$L$29:$GI$29,'Tally Helper'!$L$27:$GI$27,"&gt;="&amp;$BR106,'Tally Helper'!$L$27:$GI$27,"&lt;="&amp;$BS106)))</f>
        <v/>
      </c>
      <c r="AG106" s="17" t="str">
        <f aca="false">IF(OR(K$7="",$BR106=""),"",IF('Tally Helper'!$B$30&lt;&gt;TRUE(),"not on Staff",SUMIFS('Tally Helper'!$L$32:$GI$32,'Tally Helper'!$L$30:$GI$30,"&gt;="&amp;$BR106,'Tally Helper'!$L$30:$GI$30,"&lt;="&amp;$BS106)))</f>
        <v/>
      </c>
      <c r="AH106" s="17" t="str">
        <f aca="false">IF(OR(L$7="",$BR106=""),"",IF('Tally Helper'!$B$33&lt;&gt;TRUE(),"not on Staff",SUMIFS('Tally Helper'!$L$35:$GI$35,'Tally Helper'!$L$33:$GI$33,"&gt;="&amp;$BR106,'Tally Helper'!$L$33:$GI$33,"&lt;="&amp;$BS106)))</f>
        <v/>
      </c>
      <c r="AI106" s="17" t="str">
        <f aca="false">IF(OR(M$7="",$BR106=""),"",IF('Tally Helper'!$B$36&lt;&gt;TRUE(),"not on Staff",SUMIFS('Tally Helper'!$L$38:$GI$38,'Tally Helper'!$L$36:$GI$36,"&gt;="&amp;$BR106,'Tally Helper'!$L$36:$GI$36,"&lt;="&amp;$BS106)))</f>
        <v/>
      </c>
      <c r="AJ106" s="17" t="str">
        <f aca="false">IF(OR(N$7="",$BR106=""),"",IF('Tally Helper'!$B$39&lt;&gt;TRUE(),"not on Staff",SUMIFS('Tally Helper'!$L$41:$GI$41,'Tally Helper'!$L$39:$GI$39,"&gt;="&amp;$BR106,'Tally Helper'!$L$39:$GI$39,"&lt;="&amp;$BS106)))</f>
        <v/>
      </c>
      <c r="AK106" s="17" t="str">
        <f aca="false">IF(OR(O$7="",$BR106=""),"",IF('Tally Helper'!$B$42&lt;&gt;TRUE(),"not on Staff",SUMIFS('Tally Helper'!$L$44:$GI$44,'Tally Helper'!$L$42:$GI$42,"&gt;="&amp;$BR106,'Tally Helper'!$L$42:$GI$42,"&lt;="&amp;$BS106)))</f>
        <v/>
      </c>
      <c r="AL106" s="17" t="str">
        <f aca="false">IF(OR(P$7="",$BR106=""),"",IF('Tally Helper'!$B$45&lt;&gt;TRUE(),"not on Staff",SUMIFS('Tally Helper'!$L$47:$GI$47,'Tally Helper'!$L$45:$GI$45,"&gt;="&amp;$BR106,'Tally Helper'!$L$45:$GI$45,"&lt;="&amp;$BS106)))</f>
        <v/>
      </c>
      <c r="AM106" s="17" t="str">
        <f aca="false">IF(OR(Q$7="",$BR106=""),"",IF('Tally Helper'!$B$48&lt;&gt;TRUE(),"not on Staff",SUMIFS('Tally Helper'!$L$50:$GI$50,'Tally Helper'!$L$48:$GI$48,"&gt;="&amp;$BR106,'Tally Helper'!$L$48:$GI$48,"&lt;="&amp;$BS106)))</f>
        <v/>
      </c>
      <c r="AN106" s="17" t="str">
        <f aca="false">IF(OR(R$7="",$BR106=""),"",IF('Tally Helper'!$B$51&lt;&gt;TRUE(),"not on Staff",SUMIFS('Tally Helper'!$L$53:$GI$53,'Tally Helper'!$L$51:$GI$51,"&gt;="&amp;$BR106,'Tally Helper'!$L$51:$GI$51,"&lt;="&amp;$BS106)))</f>
        <v/>
      </c>
      <c r="AO106" s="17" t="str">
        <f aca="false">IF(OR(S$7="",$BR106=""),"",IF('Tally Helper'!$B$54&lt;&gt;TRUE(),"not on Staff",SUMIFS('Tally Helper'!$L$56:$GI$56,'Tally Helper'!$L$54:$GI$54,"&gt;="&amp;$BR106,'Tally Helper'!$L$54:$GI$54,"&lt;="&amp;$BS106)))</f>
        <v/>
      </c>
      <c r="AP106" s="17" t="str">
        <f aca="false">IF(OR(T$7="",$BR106=""),"",IF('Tally Helper'!$B$57&lt;&gt;TRUE(),"not on Staff",SUMIFS('Tally Helper'!$L$59:$GI$59,'Tally Helper'!$L$57:$GI$57,"&gt;="&amp;$BR106,'Tally Helper'!$L$57:$GI$57,"&lt;="&amp;$BS106)))</f>
        <v/>
      </c>
      <c r="AQ106" s="17" t="str">
        <f aca="false">IF(OR(U$7="",$BR106=""),"",IF('Tally Helper'!$B$60&lt;&gt;TRUE(),"not on Staff",SUMIFS('Tally Helper'!$L$62:$GI$62,'Tally Helper'!$L$60:$GI$60,"&gt;="&amp;$BR106,'Tally Helper'!$L$60:$GI$60,"&lt;="&amp;$BS106)))</f>
        <v/>
      </c>
      <c r="AT106" s="17" t="str">
        <f aca="false">IF(OR(X106="",NOT(ISNUMBER(X106))),"",X106-N(B106))</f>
        <v/>
      </c>
      <c r="AU106" s="17" t="str">
        <f aca="false">IF(OR(Y106="",NOT(ISNUMBER(Y106))),"",Y106-N(C106))</f>
        <v/>
      </c>
      <c r="AV106" s="17" t="str">
        <f aca="false">IF(OR(Z106="",NOT(ISNUMBER(Z106))),"",Z106-N(D106))</f>
        <v/>
      </c>
      <c r="AW106" s="17" t="str">
        <f aca="false">IF(OR(AA106="",NOT(ISNUMBER(AA106))),"",AA106-N(E106))</f>
        <v/>
      </c>
      <c r="AX106" s="17" t="str">
        <f aca="false">IF(OR(AB106="",NOT(ISNUMBER(AB106))),"",AB106-N(F106))</f>
        <v/>
      </c>
      <c r="AY106" s="17" t="str">
        <f aca="false">IF(OR(AC106="",NOT(ISNUMBER(AC106))),"",AC106-N(G106))</f>
        <v/>
      </c>
      <c r="AZ106" s="17" t="str">
        <f aca="false">IF(OR(AD106="",NOT(ISNUMBER(AD106))),"",AD106-N(H106))</f>
        <v/>
      </c>
      <c r="BA106" s="17" t="str">
        <f aca="false">IF(OR(AE106="",NOT(ISNUMBER(AE106))),"",AE106-N(I106))</f>
        <v/>
      </c>
      <c r="BB106" s="17" t="str">
        <f aca="false">IF(OR(AF106="",NOT(ISNUMBER(AF106))),"",AF106-N(J106))</f>
        <v/>
      </c>
      <c r="BC106" s="17" t="str">
        <f aca="false">IF(OR(AG106="",NOT(ISNUMBER(AG106))),"",AG106-N(K106))</f>
        <v/>
      </c>
      <c r="BD106" s="17" t="str">
        <f aca="false">IF(OR(AH106="",NOT(ISNUMBER(AH106))),"",AH106-N(L106))</f>
        <v/>
      </c>
      <c r="BE106" s="17" t="str">
        <f aca="false">IF(OR(AI106="",NOT(ISNUMBER(AI106))),"",AI106-N(M106))</f>
        <v/>
      </c>
      <c r="BF106" s="17" t="str">
        <f aca="false">IF(OR(AJ106="",NOT(ISNUMBER(AJ106))),"",AJ106-N(N106))</f>
        <v/>
      </c>
      <c r="BG106" s="17" t="str">
        <f aca="false">IF(OR(AK106="",NOT(ISNUMBER(AK106))),"",AK106-N(O106))</f>
        <v/>
      </c>
      <c r="BH106" s="17" t="str">
        <f aca="false">IF(OR(AL106="",NOT(ISNUMBER(AL106))),"",AL106-N(P106))</f>
        <v/>
      </c>
      <c r="BI106" s="17" t="str">
        <f aca="false">IF(OR(AM106="",NOT(ISNUMBER(AM106))),"",AM106-N(Q106))</f>
        <v/>
      </c>
      <c r="BJ106" s="17" t="str">
        <f aca="false">IF(OR(AN106="",NOT(ISNUMBER(AN106))),"",AN106-N(R106))</f>
        <v/>
      </c>
      <c r="BK106" s="17" t="str">
        <f aca="false">IF(OR(AO106="",NOT(ISNUMBER(AO106))),"",AO106-N(S106))</f>
        <v/>
      </c>
      <c r="BL106" s="17" t="str">
        <f aca="false">IF(OR(AP106="",NOT(ISNUMBER(AP106))),"",AP106-N(T106))</f>
        <v/>
      </c>
      <c r="BM106" s="17" t="str">
        <f aca="false">IF(OR(AQ106="",NOT(ISNUMBER(AQ106))),"",AQ106-N(U106))</f>
        <v/>
      </c>
      <c r="BR106" s="20" t="str">
        <f aca="false">IF($A106="","",IF(ISNUMBER($A106),DATE(YEAR($A106),MONTH($A106),1),IFERROR(DATE(2000+VALUE(RIGHT(TRIM($A106),2)),MATCH(UPPER(LEFT(TRIM($A106),3)),{"JAN","FEB","MAR","APR","MAY","JUN","JUL","AUG","SEP","OCT","NOV","DEC"},0),1),"")))</f>
        <v/>
      </c>
      <c r="BS106" s="20" t="str">
        <f aca="false">IF(BR106="","",EOMONTH(BR106,0))</f>
        <v/>
      </c>
    </row>
    <row r="107" customFormat="false" ht="15" hidden="false" customHeight="false" outlineLevel="0" collapsed="false">
      <c r="B107" s="21"/>
      <c r="C107" s="21"/>
      <c r="D107" s="21"/>
      <c r="E107" s="21"/>
      <c r="F107" s="21"/>
      <c r="G107" s="21"/>
      <c r="H107" s="21"/>
      <c r="I107" s="21"/>
      <c r="J107" s="21"/>
      <c r="K107" s="21"/>
      <c r="L107" s="21"/>
      <c r="M107" s="21"/>
      <c r="N107" s="21"/>
      <c r="O107" s="21"/>
      <c r="P107" s="21"/>
      <c r="Q107" s="21"/>
      <c r="R107" s="21"/>
      <c r="S107" s="21"/>
      <c r="T107" s="21"/>
      <c r="U107" s="21"/>
      <c r="X107" s="17" t="str">
        <f aca="false">IF(OR(B$7="",$BR107=""),"",IF('Tally Helper'!$B$3&lt;&gt;TRUE(),"not on Staff",SUMIFS('Tally Helper'!$L$5:$GI$5,'Tally Helper'!$L$3:$GI$3,"&gt;="&amp;$BR107,'Tally Helper'!$L$3:$GI$3,"&lt;="&amp;$BS107)))</f>
        <v/>
      </c>
      <c r="Y107" s="17" t="str">
        <f aca="false">IF(OR(C$7="",$BR107=""),"",IF('Tally Helper'!$B$6&lt;&gt;TRUE(),"not on Staff",SUMIFS('Tally Helper'!$L$8:$GI$8,'Tally Helper'!$L$6:$GI$6,"&gt;="&amp;$BR107,'Tally Helper'!$L$6:$GI$6,"&lt;="&amp;$BS107)))</f>
        <v/>
      </c>
      <c r="Z107" s="17" t="str">
        <f aca="false">IF(OR(D$7="",$BR107=""),"",IF('Tally Helper'!$B$9&lt;&gt;TRUE(),"not on Staff",SUMIFS('Tally Helper'!$L$11:$GI$11,'Tally Helper'!$L$9:$GI$9,"&gt;="&amp;$BR107,'Tally Helper'!$L$9:$GI$9,"&lt;="&amp;$BS107)))</f>
        <v/>
      </c>
      <c r="AA107" s="17" t="str">
        <f aca="false">IF(OR(E$7="",$BR107=""),"",IF('Tally Helper'!$B$12&lt;&gt;TRUE(),"not on Staff",SUMIFS('Tally Helper'!$L$14:$GI$14,'Tally Helper'!$L$12:$GI$12,"&gt;="&amp;$BR107,'Tally Helper'!$L$12:$GI$12,"&lt;="&amp;$BS107)))</f>
        <v/>
      </c>
      <c r="AB107" s="17" t="str">
        <f aca="false">IF(OR(F$7="",$BR107=""),"",IF('Tally Helper'!$B$15&lt;&gt;TRUE(),"not on Staff",SUMIFS('Tally Helper'!$L$17:$GI$17,'Tally Helper'!$L$15:$GI$15,"&gt;="&amp;$BR107,'Tally Helper'!$L$15:$GI$15,"&lt;="&amp;$BS107)))</f>
        <v/>
      </c>
      <c r="AC107" s="17" t="str">
        <f aca="false">IF(OR(G$7="",$BR107=""),"",IF('Tally Helper'!$B$18&lt;&gt;TRUE(),"not on Staff",SUMIFS('Tally Helper'!$L$20:$GI$20,'Tally Helper'!$L$18:$GI$18,"&gt;="&amp;$BR107,'Tally Helper'!$L$18:$GI$18,"&lt;="&amp;$BS107)))</f>
        <v/>
      </c>
      <c r="AD107" s="17" t="str">
        <f aca="false">IF(OR(H$7="",$BR107=""),"",IF('Tally Helper'!$B$21&lt;&gt;TRUE(),"not on Staff",SUMIFS('Tally Helper'!$L$23:$GI$23,'Tally Helper'!$L$21:$GI$21,"&gt;="&amp;$BR107,'Tally Helper'!$L$21:$GI$21,"&lt;="&amp;$BS107)))</f>
        <v/>
      </c>
      <c r="AE107" s="17" t="str">
        <f aca="false">IF(OR(I$7="",$BR107=""),"",IF('Tally Helper'!$B$24&lt;&gt;TRUE(),"not on Staff",SUMIFS('Tally Helper'!$L$26:$GI$26,'Tally Helper'!$L$24:$GI$24,"&gt;="&amp;$BR107,'Tally Helper'!$L$24:$GI$24,"&lt;="&amp;$BS107)))</f>
        <v/>
      </c>
      <c r="AF107" s="17" t="str">
        <f aca="false">IF(OR(J$7="",$BR107=""),"",IF('Tally Helper'!$B$27&lt;&gt;TRUE(),"not on Staff",SUMIFS('Tally Helper'!$L$29:$GI$29,'Tally Helper'!$L$27:$GI$27,"&gt;="&amp;$BR107,'Tally Helper'!$L$27:$GI$27,"&lt;="&amp;$BS107)))</f>
        <v/>
      </c>
      <c r="AG107" s="17" t="str">
        <f aca="false">IF(OR(K$7="",$BR107=""),"",IF('Tally Helper'!$B$30&lt;&gt;TRUE(),"not on Staff",SUMIFS('Tally Helper'!$L$32:$GI$32,'Tally Helper'!$L$30:$GI$30,"&gt;="&amp;$BR107,'Tally Helper'!$L$30:$GI$30,"&lt;="&amp;$BS107)))</f>
        <v/>
      </c>
      <c r="AH107" s="17" t="str">
        <f aca="false">IF(OR(L$7="",$BR107=""),"",IF('Tally Helper'!$B$33&lt;&gt;TRUE(),"not on Staff",SUMIFS('Tally Helper'!$L$35:$GI$35,'Tally Helper'!$L$33:$GI$33,"&gt;="&amp;$BR107,'Tally Helper'!$L$33:$GI$33,"&lt;="&amp;$BS107)))</f>
        <v/>
      </c>
      <c r="AI107" s="17" t="str">
        <f aca="false">IF(OR(M$7="",$BR107=""),"",IF('Tally Helper'!$B$36&lt;&gt;TRUE(),"not on Staff",SUMIFS('Tally Helper'!$L$38:$GI$38,'Tally Helper'!$L$36:$GI$36,"&gt;="&amp;$BR107,'Tally Helper'!$L$36:$GI$36,"&lt;="&amp;$BS107)))</f>
        <v/>
      </c>
      <c r="AJ107" s="17" t="str">
        <f aca="false">IF(OR(N$7="",$BR107=""),"",IF('Tally Helper'!$B$39&lt;&gt;TRUE(),"not on Staff",SUMIFS('Tally Helper'!$L$41:$GI$41,'Tally Helper'!$L$39:$GI$39,"&gt;="&amp;$BR107,'Tally Helper'!$L$39:$GI$39,"&lt;="&amp;$BS107)))</f>
        <v/>
      </c>
      <c r="AK107" s="17" t="str">
        <f aca="false">IF(OR(O$7="",$BR107=""),"",IF('Tally Helper'!$B$42&lt;&gt;TRUE(),"not on Staff",SUMIFS('Tally Helper'!$L$44:$GI$44,'Tally Helper'!$L$42:$GI$42,"&gt;="&amp;$BR107,'Tally Helper'!$L$42:$GI$42,"&lt;="&amp;$BS107)))</f>
        <v/>
      </c>
      <c r="AL107" s="17" t="str">
        <f aca="false">IF(OR(P$7="",$BR107=""),"",IF('Tally Helper'!$B$45&lt;&gt;TRUE(),"not on Staff",SUMIFS('Tally Helper'!$L$47:$GI$47,'Tally Helper'!$L$45:$GI$45,"&gt;="&amp;$BR107,'Tally Helper'!$L$45:$GI$45,"&lt;="&amp;$BS107)))</f>
        <v/>
      </c>
      <c r="AM107" s="17" t="str">
        <f aca="false">IF(OR(Q$7="",$BR107=""),"",IF('Tally Helper'!$B$48&lt;&gt;TRUE(),"not on Staff",SUMIFS('Tally Helper'!$L$50:$GI$50,'Tally Helper'!$L$48:$GI$48,"&gt;="&amp;$BR107,'Tally Helper'!$L$48:$GI$48,"&lt;="&amp;$BS107)))</f>
        <v/>
      </c>
      <c r="AN107" s="17" t="str">
        <f aca="false">IF(OR(R$7="",$BR107=""),"",IF('Tally Helper'!$B$51&lt;&gt;TRUE(),"not on Staff",SUMIFS('Tally Helper'!$L$53:$GI$53,'Tally Helper'!$L$51:$GI$51,"&gt;="&amp;$BR107,'Tally Helper'!$L$51:$GI$51,"&lt;="&amp;$BS107)))</f>
        <v/>
      </c>
      <c r="AO107" s="17" t="str">
        <f aca="false">IF(OR(S$7="",$BR107=""),"",IF('Tally Helper'!$B$54&lt;&gt;TRUE(),"not on Staff",SUMIFS('Tally Helper'!$L$56:$GI$56,'Tally Helper'!$L$54:$GI$54,"&gt;="&amp;$BR107,'Tally Helper'!$L$54:$GI$54,"&lt;="&amp;$BS107)))</f>
        <v/>
      </c>
      <c r="AP107" s="17" t="str">
        <f aca="false">IF(OR(T$7="",$BR107=""),"",IF('Tally Helper'!$B$57&lt;&gt;TRUE(),"not on Staff",SUMIFS('Tally Helper'!$L$59:$GI$59,'Tally Helper'!$L$57:$GI$57,"&gt;="&amp;$BR107,'Tally Helper'!$L$57:$GI$57,"&lt;="&amp;$BS107)))</f>
        <v/>
      </c>
      <c r="AQ107" s="17" t="str">
        <f aca="false">IF(OR(U$7="",$BR107=""),"",IF('Tally Helper'!$B$60&lt;&gt;TRUE(),"not on Staff",SUMIFS('Tally Helper'!$L$62:$GI$62,'Tally Helper'!$L$60:$GI$60,"&gt;="&amp;$BR107,'Tally Helper'!$L$60:$GI$60,"&lt;="&amp;$BS107)))</f>
        <v/>
      </c>
      <c r="AT107" s="17" t="str">
        <f aca="false">IF(OR(X107="",NOT(ISNUMBER(X107))),"",X107-N(B107))</f>
        <v/>
      </c>
      <c r="AU107" s="17" t="str">
        <f aca="false">IF(OR(Y107="",NOT(ISNUMBER(Y107))),"",Y107-N(C107))</f>
        <v/>
      </c>
      <c r="AV107" s="17" t="str">
        <f aca="false">IF(OR(Z107="",NOT(ISNUMBER(Z107))),"",Z107-N(D107))</f>
        <v/>
      </c>
      <c r="AW107" s="17" t="str">
        <f aca="false">IF(OR(AA107="",NOT(ISNUMBER(AA107))),"",AA107-N(E107))</f>
        <v/>
      </c>
      <c r="AX107" s="17" t="str">
        <f aca="false">IF(OR(AB107="",NOT(ISNUMBER(AB107))),"",AB107-N(F107))</f>
        <v/>
      </c>
      <c r="AY107" s="17" t="str">
        <f aca="false">IF(OR(AC107="",NOT(ISNUMBER(AC107))),"",AC107-N(G107))</f>
        <v/>
      </c>
      <c r="AZ107" s="17" t="str">
        <f aca="false">IF(OR(AD107="",NOT(ISNUMBER(AD107))),"",AD107-N(H107))</f>
        <v/>
      </c>
      <c r="BA107" s="17" t="str">
        <f aca="false">IF(OR(AE107="",NOT(ISNUMBER(AE107))),"",AE107-N(I107))</f>
        <v/>
      </c>
      <c r="BB107" s="17" t="str">
        <f aca="false">IF(OR(AF107="",NOT(ISNUMBER(AF107))),"",AF107-N(J107))</f>
        <v/>
      </c>
      <c r="BC107" s="17" t="str">
        <f aca="false">IF(OR(AG107="",NOT(ISNUMBER(AG107))),"",AG107-N(K107))</f>
        <v/>
      </c>
      <c r="BD107" s="17" t="str">
        <f aca="false">IF(OR(AH107="",NOT(ISNUMBER(AH107))),"",AH107-N(L107))</f>
        <v/>
      </c>
      <c r="BE107" s="17" t="str">
        <f aca="false">IF(OR(AI107="",NOT(ISNUMBER(AI107))),"",AI107-N(M107))</f>
        <v/>
      </c>
      <c r="BF107" s="17" t="str">
        <f aca="false">IF(OR(AJ107="",NOT(ISNUMBER(AJ107))),"",AJ107-N(N107))</f>
        <v/>
      </c>
      <c r="BG107" s="17" t="str">
        <f aca="false">IF(OR(AK107="",NOT(ISNUMBER(AK107))),"",AK107-N(O107))</f>
        <v/>
      </c>
      <c r="BH107" s="17" t="str">
        <f aca="false">IF(OR(AL107="",NOT(ISNUMBER(AL107))),"",AL107-N(P107))</f>
        <v/>
      </c>
      <c r="BI107" s="17" t="str">
        <f aca="false">IF(OR(AM107="",NOT(ISNUMBER(AM107))),"",AM107-N(Q107))</f>
        <v/>
      </c>
      <c r="BJ107" s="17" t="str">
        <f aca="false">IF(OR(AN107="",NOT(ISNUMBER(AN107))),"",AN107-N(R107))</f>
        <v/>
      </c>
      <c r="BK107" s="17" t="str">
        <f aca="false">IF(OR(AO107="",NOT(ISNUMBER(AO107))),"",AO107-N(S107))</f>
        <v/>
      </c>
      <c r="BL107" s="17" t="str">
        <f aca="false">IF(OR(AP107="",NOT(ISNUMBER(AP107))),"",AP107-N(T107))</f>
        <v/>
      </c>
      <c r="BM107" s="17" t="str">
        <f aca="false">IF(OR(AQ107="",NOT(ISNUMBER(AQ107))),"",AQ107-N(U107))</f>
        <v/>
      </c>
      <c r="BR107" s="20" t="str">
        <f aca="false">IF($A107="","",IF(ISNUMBER($A107),DATE(YEAR($A107),MONTH($A107),1),IFERROR(DATE(2000+VALUE(RIGHT(TRIM($A107),2)),MATCH(UPPER(LEFT(TRIM($A107),3)),{"JAN","FEB","MAR","APR","MAY","JUN","JUL","AUG","SEP","OCT","NOV","DEC"},0),1),"")))</f>
        <v/>
      </c>
      <c r="BS107" s="20" t="str">
        <f aca="false">IF(BR107="","",EOMONTH(BR107,0))</f>
        <v/>
      </c>
    </row>
    <row r="108" customFormat="false" ht="15" hidden="false" customHeight="false" outlineLevel="0" collapsed="false">
      <c r="B108" s="21"/>
      <c r="C108" s="21"/>
      <c r="D108" s="21"/>
      <c r="E108" s="21"/>
      <c r="F108" s="21"/>
      <c r="G108" s="21"/>
      <c r="H108" s="21"/>
      <c r="I108" s="21"/>
      <c r="J108" s="21"/>
      <c r="K108" s="21"/>
      <c r="L108" s="21"/>
      <c r="M108" s="21"/>
      <c r="N108" s="21"/>
      <c r="O108" s="21"/>
      <c r="P108" s="21"/>
      <c r="Q108" s="21"/>
      <c r="R108" s="21"/>
      <c r="S108" s="21"/>
      <c r="T108" s="21"/>
      <c r="U108" s="21"/>
      <c r="X108" s="17" t="str">
        <f aca="false">IF(OR(B$7="",$BR108=""),"",IF('Tally Helper'!$B$3&lt;&gt;TRUE(),"not on Staff",SUMIFS('Tally Helper'!$L$5:$GI$5,'Tally Helper'!$L$3:$GI$3,"&gt;="&amp;$BR108,'Tally Helper'!$L$3:$GI$3,"&lt;="&amp;$BS108)))</f>
        <v/>
      </c>
      <c r="Y108" s="17" t="str">
        <f aca="false">IF(OR(C$7="",$BR108=""),"",IF('Tally Helper'!$B$6&lt;&gt;TRUE(),"not on Staff",SUMIFS('Tally Helper'!$L$8:$GI$8,'Tally Helper'!$L$6:$GI$6,"&gt;="&amp;$BR108,'Tally Helper'!$L$6:$GI$6,"&lt;="&amp;$BS108)))</f>
        <v/>
      </c>
      <c r="Z108" s="17" t="str">
        <f aca="false">IF(OR(D$7="",$BR108=""),"",IF('Tally Helper'!$B$9&lt;&gt;TRUE(),"not on Staff",SUMIFS('Tally Helper'!$L$11:$GI$11,'Tally Helper'!$L$9:$GI$9,"&gt;="&amp;$BR108,'Tally Helper'!$L$9:$GI$9,"&lt;="&amp;$BS108)))</f>
        <v/>
      </c>
      <c r="AA108" s="17" t="str">
        <f aca="false">IF(OR(E$7="",$BR108=""),"",IF('Tally Helper'!$B$12&lt;&gt;TRUE(),"not on Staff",SUMIFS('Tally Helper'!$L$14:$GI$14,'Tally Helper'!$L$12:$GI$12,"&gt;="&amp;$BR108,'Tally Helper'!$L$12:$GI$12,"&lt;="&amp;$BS108)))</f>
        <v/>
      </c>
      <c r="AB108" s="17" t="str">
        <f aca="false">IF(OR(F$7="",$BR108=""),"",IF('Tally Helper'!$B$15&lt;&gt;TRUE(),"not on Staff",SUMIFS('Tally Helper'!$L$17:$GI$17,'Tally Helper'!$L$15:$GI$15,"&gt;="&amp;$BR108,'Tally Helper'!$L$15:$GI$15,"&lt;="&amp;$BS108)))</f>
        <v/>
      </c>
      <c r="AC108" s="17" t="str">
        <f aca="false">IF(OR(G$7="",$BR108=""),"",IF('Tally Helper'!$B$18&lt;&gt;TRUE(),"not on Staff",SUMIFS('Tally Helper'!$L$20:$GI$20,'Tally Helper'!$L$18:$GI$18,"&gt;="&amp;$BR108,'Tally Helper'!$L$18:$GI$18,"&lt;="&amp;$BS108)))</f>
        <v/>
      </c>
      <c r="AD108" s="17" t="str">
        <f aca="false">IF(OR(H$7="",$BR108=""),"",IF('Tally Helper'!$B$21&lt;&gt;TRUE(),"not on Staff",SUMIFS('Tally Helper'!$L$23:$GI$23,'Tally Helper'!$L$21:$GI$21,"&gt;="&amp;$BR108,'Tally Helper'!$L$21:$GI$21,"&lt;="&amp;$BS108)))</f>
        <v/>
      </c>
      <c r="AE108" s="17" t="str">
        <f aca="false">IF(OR(I$7="",$BR108=""),"",IF('Tally Helper'!$B$24&lt;&gt;TRUE(),"not on Staff",SUMIFS('Tally Helper'!$L$26:$GI$26,'Tally Helper'!$L$24:$GI$24,"&gt;="&amp;$BR108,'Tally Helper'!$L$24:$GI$24,"&lt;="&amp;$BS108)))</f>
        <v/>
      </c>
      <c r="AF108" s="17" t="str">
        <f aca="false">IF(OR(J$7="",$BR108=""),"",IF('Tally Helper'!$B$27&lt;&gt;TRUE(),"not on Staff",SUMIFS('Tally Helper'!$L$29:$GI$29,'Tally Helper'!$L$27:$GI$27,"&gt;="&amp;$BR108,'Tally Helper'!$L$27:$GI$27,"&lt;="&amp;$BS108)))</f>
        <v/>
      </c>
      <c r="AG108" s="17" t="str">
        <f aca="false">IF(OR(K$7="",$BR108=""),"",IF('Tally Helper'!$B$30&lt;&gt;TRUE(),"not on Staff",SUMIFS('Tally Helper'!$L$32:$GI$32,'Tally Helper'!$L$30:$GI$30,"&gt;="&amp;$BR108,'Tally Helper'!$L$30:$GI$30,"&lt;="&amp;$BS108)))</f>
        <v/>
      </c>
      <c r="AH108" s="17" t="str">
        <f aca="false">IF(OR(L$7="",$BR108=""),"",IF('Tally Helper'!$B$33&lt;&gt;TRUE(),"not on Staff",SUMIFS('Tally Helper'!$L$35:$GI$35,'Tally Helper'!$L$33:$GI$33,"&gt;="&amp;$BR108,'Tally Helper'!$L$33:$GI$33,"&lt;="&amp;$BS108)))</f>
        <v/>
      </c>
      <c r="AI108" s="17" t="str">
        <f aca="false">IF(OR(M$7="",$BR108=""),"",IF('Tally Helper'!$B$36&lt;&gt;TRUE(),"not on Staff",SUMIFS('Tally Helper'!$L$38:$GI$38,'Tally Helper'!$L$36:$GI$36,"&gt;="&amp;$BR108,'Tally Helper'!$L$36:$GI$36,"&lt;="&amp;$BS108)))</f>
        <v/>
      </c>
      <c r="AJ108" s="17" t="str">
        <f aca="false">IF(OR(N$7="",$BR108=""),"",IF('Tally Helper'!$B$39&lt;&gt;TRUE(),"not on Staff",SUMIFS('Tally Helper'!$L$41:$GI$41,'Tally Helper'!$L$39:$GI$39,"&gt;="&amp;$BR108,'Tally Helper'!$L$39:$GI$39,"&lt;="&amp;$BS108)))</f>
        <v/>
      </c>
      <c r="AK108" s="17" t="str">
        <f aca="false">IF(OR(O$7="",$BR108=""),"",IF('Tally Helper'!$B$42&lt;&gt;TRUE(),"not on Staff",SUMIFS('Tally Helper'!$L$44:$GI$44,'Tally Helper'!$L$42:$GI$42,"&gt;="&amp;$BR108,'Tally Helper'!$L$42:$GI$42,"&lt;="&amp;$BS108)))</f>
        <v/>
      </c>
      <c r="AL108" s="17" t="str">
        <f aca="false">IF(OR(P$7="",$BR108=""),"",IF('Tally Helper'!$B$45&lt;&gt;TRUE(),"not on Staff",SUMIFS('Tally Helper'!$L$47:$GI$47,'Tally Helper'!$L$45:$GI$45,"&gt;="&amp;$BR108,'Tally Helper'!$L$45:$GI$45,"&lt;="&amp;$BS108)))</f>
        <v/>
      </c>
      <c r="AM108" s="17" t="str">
        <f aca="false">IF(OR(Q$7="",$BR108=""),"",IF('Tally Helper'!$B$48&lt;&gt;TRUE(),"not on Staff",SUMIFS('Tally Helper'!$L$50:$GI$50,'Tally Helper'!$L$48:$GI$48,"&gt;="&amp;$BR108,'Tally Helper'!$L$48:$GI$48,"&lt;="&amp;$BS108)))</f>
        <v/>
      </c>
      <c r="AN108" s="17" t="str">
        <f aca="false">IF(OR(R$7="",$BR108=""),"",IF('Tally Helper'!$B$51&lt;&gt;TRUE(),"not on Staff",SUMIFS('Tally Helper'!$L$53:$GI$53,'Tally Helper'!$L$51:$GI$51,"&gt;="&amp;$BR108,'Tally Helper'!$L$51:$GI$51,"&lt;="&amp;$BS108)))</f>
        <v/>
      </c>
      <c r="AO108" s="17" t="str">
        <f aca="false">IF(OR(S$7="",$BR108=""),"",IF('Tally Helper'!$B$54&lt;&gt;TRUE(),"not on Staff",SUMIFS('Tally Helper'!$L$56:$GI$56,'Tally Helper'!$L$54:$GI$54,"&gt;="&amp;$BR108,'Tally Helper'!$L$54:$GI$54,"&lt;="&amp;$BS108)))</f>
        <v/>
      </c>
      <c r="AP108" s="17" t="str">
        <f aca="false">IF(OR(T$7="",$BR108=""),"",IF('Tally Helper'!$B$57&lt;&gt;TRUE(),"not on Staff",SUMIFS('Tally Helper'!$L$59:$GI$59,'Tally Helper'!$L$57:$GI$57,"&gt;="&amp;$BR108,'Tally Helper'!$L$57:$GI$57,"&lt;="&amp;$BS108)))</f>
        <v/>
      </c>
      <c r="AQ108" s="17" t="str">
        <f aca="false">IF(OR(U$7="",$BR108=""),"",IF('Tally Helper'!$B$60&lt;&gt;TRUE(),"not on Staff",SUMIFS('Tally Helper'!$L$62:$GI$62,'Tally Helper'!$L$60:$GI$60,"&gt;="&amp;$BR108,'Tally Helper'!$L$60:$GI$60,"&lt;="&amp;$BS108)))</f>
        <v/>
      </c>
      <c r="AT108" s="17" t="str">
        <f aca="false">IF(OR(X108="",NOT(ISNUMBER(X108))),"",X108-N(B108))</f>
        <v/>
      </c>
      <c r="AU108" s="17" t="str">
        <f aca="false">IF(OR(Y108="",NOT(ISNUMBER(Y108))),"",Y108-N(C108))</f>
        <v/>
      </c>
      <c r="AV108" s="17" t="str">
        <f aca="false">IF(OR(Z108="",NOT(ISNUMBER(Z108))),"",Z108-N(D108))</f>
        <v/>
      </c>
      <c r="AW108" s="17" t="str">
        <f aca="false">IF(OR(AA108="",NOT(ISNUMBER(AA108))),"",AA108-N(E108))</f>
        <v/>
      </c>
      <c r="AX108" s="17" t="str">
        <f aca="false">IF(OR(AB108="",NOT(ISNUMBER(AB108))),"",AB108-N(F108))</f>
        <v/>
      </c>
      <c r="AY108" s="17" t="str">
        <f aca="false">IF(OR(AC108="",NOT(ISNUMBER(AC108))),"",AC108-N(G108))</f>
        <v/>
      </c>
      <c r="AZ108" s="17" t="str">
        <f aca="false">IF(OR(AD108="",NOT(ISNUMBER(AD108))),"",AD108-N(H108))</f>
        <v/>
      </c>
      <c r="BA108" s="17" t="str">
        <f aca="false">IF(OR(AE108="",NOT(ISNUMBER(AE108))),"",AE108-N(I108))</f>
        <v/>
      </c>
      <c r="BB108" s="17" t="str">
        <f aca="false">IF(OR(AF108="",NOT(ISNUMBER(AF108))),"",AF108-N(J108))</f>
        <v/>
      </c>
      <c r="BC108" s="17" t="str">
        <f aca="false">IF(OR(AG108="",NOT(ISNUMBER(AG108))),"",AG108-N(K108))</f>
        <v/>
      </c>
      <c r="BD108" s="17" t="str">
        <f aca="false">IF(OR(AH108="",NOT(ISNUMBER(AH108))),"",AH108-N(L108))</f>
        <v/>
      </c>
      <c r="BE108" s="17" t="str">
        <f aca="false">IF(OR(AI108="",NOT(ISNUMBER(AI108))),"",AI108-N(M108))</f>
        <v/>
      </c>
      <c r="BF108" s="17" t="str">
        <f aca="false">IF(OR(AJ108="",NOT(ISNUMBER(AJ108))),"",AJ108-N(N108))</f>
        <v/>
      </c>
      <c r="BG108" s="17" t="str">
        <f aca="false">IF(OR(AK108="",NOT(ISNUMBER(AK108))),"",AK108-N(O108))</f>
        <v/>
      </c>
      <c r="BH108" s="17" t="str">
        <f aca="false">IF(OR(AL108="",NOT(ISNUMBER(AL108))),"",AL108-N(P108))</f>
        <v/>
      </c>
      <c r="BI108" s="17" t="str">
        <f aca="false">IF(OR(AM108="",NOT(ISNUMBER(AM108))),"",AM108-N(Q108))</f>
        <v/>
      </c>
      <c r="BJ108" s="17" t="str">
        <f aca="false">IF(OR(AN108="",NOT(ISNUMBER(AN108))),"",AN108-N(R108))</f>
        <v/>
      </c>
      <c r="BK108" s="17" t="str">
        <f aca="false">IF(OR(AO108="",NOT(ISNUMBER(AO108))),"",AO108-N(S108))</f>
        <v/>
      </c>
      <c r="BL108" s="17" t="str">
        <f aca="false">IF(OR(AP108="",NOT(ISNUMBER(AP108))),"",AP108-N(T108))</f>
        <v/>
      </c>
      <c r="BM108" s="17" t="str">
        <f aca="false">IF(OR(AQ108="",NOT(ISNUMBER(AQ108))),"",AQ108-N(U108))</f>
        <v/>
      </c>
      <c r="BR108" s="20" t="str">
        <f aca="false">IF($A108="","",IF(ISNUMBER($A108),DATE(YEAR($A108),MONTH($A108),1),IFERROR(DATE(2000+VALUE(RIGHT(TRIM($A108),2)),MATCH(UPPER(LEFT(TRIM($A108),3)),{"JAN","FEB","MAR","APR","MAY","JUN","JUL","AUG","SEP","OCT","NOV","DEC"},0),1),"")))</f>
        <v/>
      </c>
      <c r="BS108" s="20" t="str">
        <f aca="false">IF(BR108="","",EOMONTH(BR108,0))</f>
        <v/>
      </c>
    </row>
    <row r="109" customFormat="false" ht="15" hidden="false" customHeight="false" outlineLevel="0" collapsed="false">
      <c r="B109" s="21"/>
      <c r="C109" s="21"/>
      <c r="D109" s="21"/>
      <c r="E109" s="21"/>
      <c r="F109" s="21"/>
      <c r="G109" s="21"/>
      <c r="H109" s="21"/>
      <c r="I109" s="21"/>
      <c r="J109" s="21"/>
      <c r="K109" s="21"/>
      <c r="L109" s="21"/>
      <c r="M109" s="21"/>
      <c r="N109" s="21"/>
      <c r="O109" s="21"/>
      <c r="P109" s="21"/>
      <c r="Q109" s="21"/>
      <c r="R109" s="21"/>
      <c r="S109" s="21"/>
      <c r="T109" s="21"/>
      <c r="U109" s="21"/>
      <c r="X109" s="17" t="str">
        <f aca="false">IF(OR(B$7="",$BR109=""),"",IF('Tally Helper'!$B$3&lt;&gt;TRUE(),"not on Staff",SUMIFS('Tally Helper'!$L$5:$GI$5,'Tally Helper'!$L$3:$GI$3,"&gt;="&amp;$BR109,'Tally Helper'!$L$3:$GI$3,"&lt;="&amp;$BS109)))</f>
        <v/>
      </c>
      <c r="Y109" s="17" t="str">
        <f aca="false">IF(OR(C$7="",$BR109=""),"",IF('Tally Helper'!$B$6&lt;&gt;TRUE(),"not on Staff",SUMIFS('Tally Helper'!$L$8:$GI$8,'Tally Helper'!$L$6:$GI$6,"&gt;="&amp;$BR109,'Tally Helper'!$L$6:$GI$6,"&lt;="&amp;$BS109)))</f>
        <v/>
      </c>
      <c r="Z109" s="17" t="str">
        <f aca="false">IF(OR(D$7="",$BR109=""),"",IF('Tally Helper'!$B$9&lt;&gt;TRUE(),"not on Staff",SUMIFS('Tally Helper'!$L$11:$GI$11,'Tally Helper'!$L$9:$GI$9,"&gt;="&amp;$BR109,'Tally Helper'!$L$9:$GI$9,"&lt;="&amp;$BS109)))</f>
        <v/>
      </c>
      <c r="AA109" s="17" t="str">
        <f aca="false">IF(OR(E$7="",$BR109=""),"",IF('Tally Helper'!$B$12&lt;&gt;TRUE(),"not on Staff",SUMIFS('Tally Helper'!$L$14:$GI$14,'Tally Helper'!$L$12:$GI$12,"&gt;="&amp;$BR109,'Tally Helper'!$L$12:$GI$12,"&lt;="&amp;$BS109)))</f>
        <v/>
      </c>
      <c r="AB109" s="17" t="str">
        <f aca="false">IF(OR(F$7="",$BR109=""),"",IF('Tally Helper'!$B$15&lt;&gt;TRUE(),"not on Staff",SUMIFS('Tally Helper'!$L$17:$GI$17,'Tally Helper'!$L$15:$GI$15,"&gt;="&amp;$BR109,'Tally Helper'!$L$15:$GI$15,"&lt;="&amp;$BS109)))</f>
        <v/>
      </c>
      <c r="AC109" s="17" t="str">
        <f aca="false">IF(OR(G$7="",$BR109=""),"",IF('Tally Helper'!$B$18&lt;&gt;TRUE(),"not on Staff",SUMIFS('Tally Helper'!$L$20:$GI$20,'Tally Helper'!$L$18:$GI$18,"&gt;="&amp;$BR109,'Tally Helper'!$L$18:$GI$18,"&lt;="&amp;$BS109)))</f>
        <v/>
      </c>
      <c r="AD109" s="17" t="str">
        <f aca="false">IF(OR(H$7="",$BR109=""),"",IF('Tally Helper'!$B$21&lt;&gt;TRUE(),"not on Staff",SUMIFS('Tally Helper'!$L$23:$GI$23,'Tally Helper'!$L$21:$GI$21,"&gt;="&amp;$BR109,'Tally Helper'!$L$21:$GI$21,"&lt;="&amp;$BS109)))</f>
        <v/>
      </c>
      <c r="AE109" s="17" t="str">
        <f aca="false">IF(OR(I$7="",$BR109=""),"",IF('Tally Helper'!$B$24&lt;&gt;TRUE(),"not on Staff",SUMIFS('Tally Helper'!$L$26:$GI$26,'Tally Helper'!$L$24:$GI$24,"&gt;="&amp;$BR109,'Tally Helper'!$L$24:$GI$24,"&lt;="&amp;$BS109)))</f>
        <v/>
      </c>
      <c r="AF109" s="17" t="str">
        <f aca="false">IF(OR(J$7="",$BR109=""),"",IF('Tally Helper'!$B$27&lt;&gt;TRUE(),"not on Staff",SUMIFS('Tally Helper'!$L$29:$GI$29,'Tally Helper'!$L$27:$GI$27,"&gt;="&amp;$BR109,'Tally Helper'!$L$27:$GI$27,"&lt;="&amp;$BS109)))</f>
        <v/>
      </c>
      <c r="AG109" s="17" t="str">
        <f aca="false">IF(OR(K$7="",$BR109=""),"",IF('Tally Helper'!$B$30&lt;&gt;TRUE(),"not on Staff",SUMIFS('Tally Helper'!$L$32:$GI$32,'Tally Helper'!$L$30:$GI$30,"&gt;="&amp;$BR109,'Tally Helper'!$L$30:$GI$30,"&lt;="&amp;$BS109)))</f>
        <v/>
      </c>
      <c r="AH109" s="17" t="str">
        <f aca="false">IF(OR(L$7="",$BR109=""),"",IF('Tally Helper'!$B$33&lt;&gt;TRUE(),"not on Staff",SUMIFS('Tally Helper'!$L$35:$GI$35,'Tally Helper'!$L$33:$GI$33,"&gt;="&amp;$BR109,'Tally Helper'!$L$33:$GI$33,"&lt;="&amp;$BS109)))</f>
        <v/>
      </c>
      <c r="AI109" s="17" t="str">
        <f aca="false">IF(OR(M$7="",$BR109=""),"",IF('Tally Helper'!$B$36&lt;&gt;TRUE(),"not on Staff",SUMIFS('Tally Helper'!$L$38:$GI$38,'Tally Helper'!$L$36:$GI$36,"&gt;="&amp;$BR109,'Tally Helper'!$L$36:$GI$36,"&lt;="&amp;$BS109)))</f>
        <v/>
      </c>
      <c r="AJ109" s="17" t="str">
        <f aca="false">IF(OR(N$7="",$BR109=""),"",IF('Tally Helper'!$B$39&lt;&gt;TRUE(),"not on Staff",SUMIFS('Tally Helper'!$L$41:$GI$41,'Tally Helper'!$L$39:$GI$39,"&gt;="&amp;$BR109,'Tally Helper'!$L$39:$GI$39,"&lt;="&amp;$BS109)))</f>
        <v/>
      </c>
      <c r="AK109" s="17" t="str">
        <f aca="false">IF(OR(O$7="",$BR109=""),"",IF('Tally Helper'!$B$42&lt;&gt;TRUE(),"not on Staff",SUMIFS('Tally Helper'!$L$44:$GI$44,'Tally Helper'!$L$42:$GI$42,"&gt;="&amp;$BR109,'Tally Helper'!$L$42:$GI$42,"&lt;="&amp;$BS109)))</f>
        <v/>
      </c>
      <c r="AL109" s="17" t="str">
        <f aca="false">IF(OR(P$7="",$BR109=""),"",IF('Tally Helper'!$B$45&lt;&gt;TRUE(),"not on Staff",SUMIFS('Tally Helper'!$L$47:$GI$47,'Tally Helper'!$L$45:$GI$45,"&gt;="&amp;$BR109,'Tally Helper'!$L$45:$GI$45,"&lt;="&amp;$BS109)))</f>
        <v/>
      </c>
      <c r="AM109" s="17" t="str">
        <f aca="false">IF(OR(Q$7="",$BR109=""),"",IF('Tally Helper'!$B$48&lt;&gt;TRUE(),"not on Staff",SUMIFS('Tally Helper'!$L$50:$GI$50,'Tally Helper'!$L$48:$GI$48,"&gt;="&amp;$BR109,'Tally Helper'!$L$48:$GI$48,"&lt;="&amp;$BS109)))</f>
        <v/>
      </c>
      <c r="AN109" s="17" t="str">
        <f aca="false">IF(OR(R$7="",$BR109=""),"",IF('Tally Helper'!$B$51&lt;&gt;TRUE(),"not on Staff",SUMIFS('Tally Helper'!$L$53:$GI$53,'Tally Helper'!$L$51:$GI$51,"&gt;="&amp;$BR109,'Tally Helper'!$L$51:$GI$51,"&lt;="&amp;$BS109)))</f>
        <v/>
      </c>
      <c r="AO109" s="17" t="str">
        <f aca="false">IF(OR(S$7="",$BR109=""),"",IF('Tally Helper'!$B$54&lt;&gt;TRUE(),"not on Staff",SUMIFS('Tally Helper'!$L$56:$GI$56,'Tally Helper'!$L$54:$GI$54,"&gt;="&amp;$BR109,'Tally Helper'!$L$54:$GI$54,"&lt;="&amp;$BS109)))</f>
        <v/>
      </c>
      <c r="AP109" s="17" t="str">
        <f aca="false">IF(OR(T$7="",$BR109=""),"",IF('Tally Helper'!$B$57&lt;&gt;TRUE(),"not on Staff",SUMIFS('Tally Helper'!$L$59:$GI$59,'Tally Helper'!$L$57:$GI$57,"&gt;="&amp;$BR109,'Tally Helper'!$L$57:$GI$57,"&lt;="&amp;$BS109)))</f>
        <v/>
      </c>
      <c r="AQ109" s="17" t="str">
        <f aca="false">IF(OR(U$7="",$BR109=""),"",IF('Tally Helper'!$B$60&lt;&gt;TRUE(),"not on Staff",SUMIFS('Tally Helper'!$L$62:$GI$62,'Tally Helper'!$L$60:$GI$60,"&gt;="&amp;$BR109,'Tally Helper'!$L$60:$GI$60,"&lt;="&amp;$BS109)))</f>
        <v/>
      </c>
      <c r="AT109" s="17" t="str">
        <f aca="false">IF(OR(X109="",NOT(ISNUMBER(X109))),"",X109-N(B109))</f>
        <v/>
      </c>
      <c r="AU109" s="17" t="str">
        <f aca="false">IF(OR(Y109="",NOT(ISNUMBER(Y109))),"",Y109-N(C109))</f>
        <v/>
      </c>
      <c r="AV109" s="17" t="str">
        <f aca="false">IF(OR(Z109="",NOT(ISNUMBER(Z109))),"",Z109-N(D109))</f>
        <v/>
      </c>
      <c r="AW109" s="17" t="str">
        <f aca="false">IF(OR(AA109="",NOT(ISNUMBER(AA109))),"",AA109-N(E109))</f>
        <v/>
      </c>
      <c r="AX109" s="17" t="str">
        <f aca="false">IF(OR(AB109="",NOT(ISNUMBER(AB109))),"",AB109-N(F109))</f>
        <v/>
      </c>
      <c r="AY109" s="17" t="str">
        <f aca="false">IF(OR(AC109="",NOT(ISNUMBER(AC109))),"",AC109-N(G109))</f>
        <v/>
      </c>
      <c r="AZ109" s="17" t="str">
        <f aca="false">IF(OR(AD109="",NOT(ISNUMBER(AD109))),"",AD109-N(H109))</f>
        <v/>
      </c>
      <c r="BA109" s="17" t="str">
        <f aca="false">IF(OR(AE109="",NOT(ISNUMBER(AE109))),"",AE109-N(I109))</f>
        <v/>
      </c>
      <c r="BB109" s="17" t="str">
        <f aca="false">IF(OR(AF109="",NOT(ISNUMBER(AF109))),"",AF109-N(J109))</f>
        <v/>
      </c>
      <c r="BC109" s="17" t="str">
        <f aca="false">IF(OR(AG109="",NOT(ISNUMBER(AG109))),"",AG109-N(K109))</f>
        <v/>
      </c>
      <c r="BD109" s="17" t="str">
        <f aca="false">IF(OR(AH109="",NOT(ISNUMBER(AH109))),"",AH109-N(L109))</f>
        <v/>
      </c>
      <c r="BE109" s="17" t="str">
        <f aca="false">IF(OR(AI109="",NOT(ISNUMBER(AI109))),"",AI109-N(M109))</f>
        <v/>
      </c>
      <c r="BF109" s="17" t="str">
        <f aca="false">IF(OR(AJ109="",NOT(ISNUMBER(AJ109))),"",AJ109-N(N109))</f>
        <v/>
      </c>
      <c r="BG109" s="17" t="str">
        <f aca="false">IF(OR(AK109="",NOT(ISNUMBER(AK109))),"",AK109-N(O109))</f>
        <v/>
      </c>
      <c r="BH109" s="17" t="str">
        <f aca="false">IF(OR(AL109="",NOT(ISNUMBER(AL109))),"",AL109-N(P109))</f>
        <v/>
      </c>
      <c r="BI109" s="17" t="str">
        <f aca="false">IF(OR(AM109="",NOT(ISNUMBER(AM109))),"",AM109-N(Q109))</f>
        <v/>
      </c>
      <c r="BJ109" s="17" t="str">
        <f aca="false">IF(OR(AN109="",NOT(ISNUMBER(AN109))),"",AN109-N(R109))</f>
        <v/>
      </c>
      <c r="BK109" s="17" t="str">
        <f aca="false">IF(OR(AO109="",NOT(ISNUMBER(AO109))),"",AO109-N(S109))</f>
        <v/>
      </c>
      <c r="BL109" s="17" t="str">
        <f aca="false">IF(OR(AP109="",NOT(ISNUMBER(AP109))),"",AP109-N(T109))</f>
        <v/>
      </c>
      <c r="BM109" s="17" t="str">
        <f aca="false">IF(OR(AQ109="",NOT(ISNUMBER(AQ109))),"",AQ109-N(U109))</f>
        <v/>
      </c>
      <c r="BR109" s="20" t="str">
        <f aca="false">IF($A109="","",IF(ISNUMBER($A109),DATE(YEAR($A109),MONTH($A109),1),IFERROR(DATE(2000+VALUE(RIGHT(TRIM($A109),2)),MATCH(UPPER(LEFT(TRIM($A109),3)),{"JAN","FEB","MAR","APR","MAY","JUN","JUL","AUG","SEP","OCT","NOV","DEC"},0),1),"")))</f>
        <v/>
      </c>
      <c r="BS109" s="20" t="str">
        <f aca="false">IF(BR109="","",EOMONTH(BR109,0))</f>
        <v/>
      </c>
    </row>
    <row r="110" customFormat="false" ht="15" hidden="false" customHeight="false" outlineLevel="0" collapsed="false">
      <c r="B110" s="21"/>
      <c r="C110" s="21"/>
      <c r="D110" s="21"/>
      <c r="E110" s="21"/>
      <c r="F110" s="21"/>
      <c r="G110" s="21"/>
      <c r="H110" s="21"/>
      <c r="I110" s="21"/>
      <c r="J110" s="21"/>
      <c r="K110" s="21"/>
      <c r="L110" s="21"/>
      <c r="M110" s="21"/>
      <c r="N110" s="21"/>
      <c r="O110" s="21"/>
      <c r="P110" s="21"/>
      <c r="Q110" s="21"/>
      <c r="R110" s="21"/>
      <c r="S110" s="21"/>
      <c r="T110" s="21"/>
      <c r="U110" s="21"/>
      <c r="X110" s="17" t="str">
        <f aca="false">IF(OR(B$7="",$BR110=""),"",IF('Tally Helper'!$B$3&lt;&gt;TRUE(),"not on Staff",SUMIFS('Tally Helper'!$L$5:$GI$5,'Tally Helper'!$L$3:$GI$3,"&gt;="&amp;$BR110,'Tally Helper'!$L$3:$GI$3,"&lt;="&amp;$BS110)))</f>
        <v/>
      </c>
      <c r="Y110" s="17" t="str">
        <f aca="false">IF(OR(C$7="",$BR110=""),"",IF('Tally Helper'!$B$6&lt;&gt;TRUE(),"not on Staff",SUMIFS('Tally Helper'!$L$8:$GI$8,'Tally Helper'!$L$6:$GI$6,"&gt;="&amp;$BR110,'Tally Helper'!$L$6:$GI$6,"&lt;="&amp;$BS110)))</f>
        <v/>
      </c>
      <c r="Z110" s="17" t="str">
        <f aca="false">IF(OR(D$7="",$BR110=""),"",IF('Tally Helper'!$B$9&lt;&gt;TRUE(),"not on Staff",SUMIFS('Tally Helper'!$L$11:$GI$11,'Tally Helper'!$L$9:$GI$9,"&gt;="&amp;$BR110,'Tally Helper'!$L$9:$GI$9,"&lt;="&amp;$BS110)))</f>
        <v/>
      </c>
      <c r="AA110" s="17" t="str">
        <f aca="false">IF(OR(E$7="",$BR110=""),"",IF('Tally Helper'!$B$12&lt;&gt;TRUE(),"not on Staff",SUMIFS('Tally Helper'!$L$14:$GI$14,'Tally Helper'!$L$12:$GI$12,"&gt;="&amp;$BR110,'Tally Helper'!$L$12:$GI$12,"&lt;="&amp;$BS110)))</f>
        <v/>
      </c>
      <c r="AB110" s="17" t="str">
        <f aca="false">IF(OR(F$7="",$BR110=""),"",IF('Tally Helper'!$B$15&lt;&gt;TRUE(),"not on Staff",SUMIFS('Tally Helper'!$L$17:$GI$17,'Tally Helper'!$L$15:$GI$15,"&gt;="&amp;$BR110,'Tally Helper'!$L$15:$GI$15,"&lt;="&amp;$BS110)))</f>
        <v/>
      </c>
      <c r="AC110" s="17" t="str">
        <f aca="false">IF(OR(G$7="",$BR110=""),"",IF('Tally Helper'!$B$18&lt;&gt;TRUE(),"not on Staff",SUMIFS('Tally Helper'!$L$20:$GI$20,'Tally Helper'!$L$18:$GI$18,"&gt;="&amp;$BR110,'Tally Helper'!$L$18:$GI$18,"&lt;="&amp;$BS110)))</f>
        <v/>
      </c>
      <c r="AD110" s="17" t="str">
        <f aca="false">IF(OR(H$7="",$BR110=""),"",IF('Tally Helper'!$B$21&lt;&gt;TRUE(),"not on Staff",SUMIFS('Tally Helper'!$L$23:$GI$23,'Tally Helper'!$L$21:$GI$21,"&gt;="&amp;$BR110,'Tally Helper'!$L$21:$GI$21,"&lt;="&amp;$BS110)))</f>
        <v/>
      </c>
      <c r="AE110" s="17" t="str">
        <f aca="false">IF(OR(I$7="",$BR110=""),"",IF('Tally Helper'!$B$24&lt;&gt;TRUE(),"not on Staff",SUMIFS('Tally Helper'!$L$26:$GI$26,'Tally Helper'!$L$24:$GI$24,"&gt;="&amp;$BR110,'Tally Helper'!$L$24:$GI$24,"&lt;="&amp;$BS110)))</f>
        <v/>
      </c>
      <c r="AF110" s="17" t="str">
        <f aca="false">IF(OR(J$7="",$BR110=""),"",IF('Tally Helper'!$B$27&lt;&gt;TRUE(),"not on Staff",SUMIFS('Tally Helper'!$L$29:$GI$29,'Tally Helper'!$L$27:$GI$27,"&gt;="&amp;$BR110,'Tally Helper'!$L$27:$GI$27,"&lt;="&amp;$BS110)))</f>
        <v/>
      </c>
      <c r="AG110" s="17" t="str">
        <f aca="false">IF(OR(K$7="",$BR110=""),"",IF('Tally Helper'!$B$30&lt;&gt;TRUE(),"not on Staff",SUMIFS('Tally Helper'!$L$32:$GI$32,'Tally Helper'!$L$30:$GI$30,"&gt;="&amp;$BR110,'Tally Helper'!$L$30:$GI$30,"&lt;="&amp;$BS110)))</f>
        <v/>
      </c>
      <c r="AH110" s="17" t="str">
        <f aca="false">IF(OR(L$7="",$BR110=""),"",IF('Tally Helper'!$B$33&lt;&gt;TRUE(),"not on Staff",SUMIFS('Tally Helper'!$L$35:$GI$35,'Tally Helper'!$L$33:$GI$33,"&gt;="&amp;$BR110,'Tally Helper'!$L$33:$GI$33,"&lt;="&amp;$BS110)))</f>
        <v/>
      </c>
      <c r="AI110" s="17" t="str">
        <f aca="false">IF(OR(M$7="",$BR110=""),"",IF('Tally Helper'!$B$36&lt;&gt;TRUE(),"not on Staff",SUMIFS('Tally Helper'!$L$38:$GI$38,'Tally Helper'!$L$36:$GI$36,"&gt;="&amp;$BR110,'Tally Helper'!$L$36:$GI$36,"&lt;="&amp;$BS110)))</f>
        <v/>
      </c>
      <c r="AJ110" s="17" t="str">
        <f aca="false">IF(OR(N$7="",$BR110=""),"",IF('Tally Helper'!$B$39&lt;&gt;TRUE(),"not on Staff",SUMIFS('Tally Helper'!$L$41:$GI$41,'Tally Helper'!$L$39:$GI$39,"&gt;="&amp;$BR110,'Tally Helper'!$L$39:$GI$39,"&lt;="&amp;$BS110)))</f>
        <v/>
      </c>
      <c r="AK110" s="17" t="str">
        <f aca="false">IF(OR(O$7="",$BR110=""),"",IF('Tally Helper'!$B$42&lt;&gt;TRUE(),"not on Staff",SUMIFS('Tally Helper'!$L$44:$GI$44,'Tally Helper'!$L$42:$GI$42,"&gt;="&amp;$BR110,'Tally Helper'!$L$42:$GI$42,"&lt;="&amp;$BS110)))</f>
        <v/>
      </c>
      <c r="AL110" s="17" t="str">
        <f aca="false">IF(OR(P$7="",$BR110=""),"",IF('Tally Helper'!$B$45&lt;&gt;TRUE(),"not on Staff",SUMIFS('Tally Helper'!$L$47:$GI$47,'Tally Helper'!$L$45:$GI$45,"&gt;="&amp;$BR110,'Tally Helper'!$L$45:$GI$45,"&lt;="&amp;$BS110)))</f>
        <v/>
      </c>
      <c r="AM110" s="17" t="str">
        <f aca="false">IF(OR(Q$7="",$BR110=""),"",IF('Tally Helper'!$B$48&lt;&gt;TRUE(),"not on Staff",SUMIFS('Tally Helper'!$L$50:$GI$50,'Tally Helper'!$L$48:$GI$48,"&gt;="&amp;$BR110,'Tally Helper'!$L$48:$GI$48,"&lt;="&amp;$BS110)))</f>
        <v/>
      </c>
      <c r="AN110" s="17" t="str">
        <f aca="false">IF(OR(R$7="",$BR110=""),"",IF('Tally Helper'!$B$51&lt;&gt;TRUE(),"not on Staff",SUMIFS('Tally Helper'!$L$53:$GI$53,'Tally Helper'!$L$51:$GI$51,"&gt;="&amp;$BR110,'Tally Helper'!$L$51:$GI$51,"&lt;="&amp;$BS110)))</f>
        <v/>
      </c>
      <c r="AO110" s="17" t="str">
        <f aca="false">IF(OR(S$7="",$BR110=""),"",IF('Tally Helper'!$B$54&lt;&gt;TRUE(),"not on Staff",SUMIFS('Tally Helper'!$L$56:$GI$56,'Tally Helper'!$L$54:$GI$54,"&gt;="&amp;$BR110,'Tally Helper'!$L$54:$GI$54,"&lt;="&amp;$BS110)))</f>
        <v/>
      </c>
      <c r="AP110" s="17" t="str">
        <f aca="false">IF(OR(T$7="",$BR110=""),"",IF('Tally Helper'!$B$57&lt;&gt;TRUE(),"not on Staff",SUMIFS('Tally Helper'!$L$59:$GI$59,'Tally Helper'!$L$57:$GI$57,"&gt;="&amp;$BR110,'Tally Helper'!$L$57:$GI$57,"&lt;="&amp;$BS110)))</f>
        <v/>
      </c>
      <c r="AQ110" s="17" t="str">
        <f aca="false">IF(OR(U$7="",$BR110=""),"",IF('Tally Helper'!$B$60&lt;&gt;TRUE(),"not on Staff",SUMIFS('Tally Helper'!$L$62:$GI$62,'Tally Helper'!$L$60:$GI$60,"&gt;="&amp;$BR110,'Tally Helper'!$L$60:$GI$60,"&lt;="&amp;$BS110)))</f>
        <v/>
      </c>
      <c r="AT110" s="17" t="str">
        <f aca="false">IF(OR(X110="",NOT(ISNUMBER(X110))),"",X110-N(B110))</f>
        <v/>
      </c>
      <c r="AU110" s="17" t="str">
        <f aca="false">IF(OR(Y110="",NOT(ISNUMBER(Y110))),"",Y110-N(C110))</f>
        <v/>
      </c>
      <c r="AV110" s="17" t="str">
        <f aca="false">IF(OR(Z110="",NOT(ISNUMBER(Z110))),"",Z110-N(D110))</f>
        <v/>
      </c>
      <c r="AW110" s="17" t="str">
        <f aca="false">IF(OR(AA110="",NOT(ISNUMBER(AA110))),"",AA110-N(E110))</f>
        <v/>
      </c>
      <c r="AX110" s="17" t="str">
        <f aca="false">IF(OR(AB110="",NOT(ISNUMBER(AB110))),"",AB110-N(F110))</f>
        <v/>
      </c>
      <c r="AY110" s="17" t="str">
        <f aca="false">IF(OR(AC110="",NOT(ISNUMBER(AC110))),"",AC110-N(G110))</f>
        <v/>
      </c>
      <c r="AZ110" s="17" t="str">
        <f aca="false">IF(OR(AD110="",NOT(ISNUMBER(AD110))),"",AD110-N(H110))</f>
        <v/>
      </c>
      <c r="BA110" s="17" t="str">
        <f aca="false">IF(OR(AE110="",NOT(ISNUMBER(AE110))),"",AE110-N(I110))</f>
        <v/>
      </c>
      <c r="BB110" s="17" t="str">
        <f aca="false">IF(OR(AF110="",NOT(ISNUMBER(AF110))),"",AF110-N(J110))</f>
        <v/>
      </c>
      <c r="BC110" s="17" t="str">
        <f aca="false">IF(OR(AG110="",NOT(ISNUMBER(AG110))),"",AG110-N(K110))</f>
        <v/>
      </c>
      <c r="BD110" s="17" t="str">
        <f aca="false">IF(OR(AH110="",NOT(ISNUMBER(AH110))),"",AH110-N(L110))</f>
        <v/>
      </c>
      <c r="BE110" s="17" t="str">
        <f aca="false">IF(OR(AI110="",NOT(ISNUMBER(AI110))),"",AI110-N(M110))</f>
        <v/>
      </c>
      <c r="BF110" s="17" t="str">
        <f aca="false">IF(OR(AJ110="",NOT(ISNUMBER(AJ110))),"",AJ110-N(N110))</f>
        <v/>
      </c>
      <c r="BG110" s="17" t="str">
        <f aca="false">IF(OR(AK110="",NOT(ISNUMBER(AK110))),"",AK110-N(O110))</f>
        <v/>
      </c>
      <c r="BH110" s="17" t="str">
        <f aca="false">IF(OR(AL110="",NOT(ISNUMBER(AL110))),"",AL110-N(P110))</f>
        <v/>
      </c>
      <c r="BI110" s="17" t="str">
        <f aca="false">IF(OR(AM110="",NOT(ISNUMBER(AM110))),"",AM110-N(Q110))</f>
        <v/>
      </c>
      <c r="BJ110" s="17" t="str">
        <f aca="false">IF(OR(AN110="",NOT(ISNUMBER(AN110))),"",AN110-N(R110))</f>
        <v/>
      </c>
      <c r="BK110" s="17" t="str">
        <f aca="false">IF(OR(AO110="",NOT(ISNUMBER(AO110))),"",AO110-N(S110))</f>
        <v/>
      </c>
      <c r="BL110" s="17" t="str">
        <f aca="false">IF(OR(AP110="",NOT(ISNUMBER(AP110))),"",AP110-N(T110))</f>
        <v/>
      </c>
      <c r="BM110" s="17" t="str">
        <f aca="false">IF(OR(AQ110="",NOT(ISNUMBER(AQ110))),"",AQ110-N(U110))</f>
        <v/>
      </c>
      <c r="BR110" s="20" t="str">
        <f aca="false">IF($A110="","",IF(ISNUMBER($A110),DATE(YEAR($A110),MONTH($A110),1),IFERROR(DATE(2000+VALUE(RIGHT(TRIM($A110),2)),MATCH(UPPER(LEFT(TRIM($A110),3)),{"JAN","FEB","MAR","APR","MAY","JUN","JUL","AUG","SEP","OCT","NOV","DEC"},0),1),"")))</f>
        <v/>
      </c>
      <c r="BS110" s="20" t="str">
        <f aca="false">IF(BR110="","",EOMONTH(BR110,0))</f>
        <v/>
      </c>
    </row>
    <row r="111" customFormat="false" ht="15" hidden="false" customHeight="false" outlineLevel="0" collapsed="false">
      <c r="B111" s="21"/>
      <c r="C111" s="21"/>
      <c r="D111" s="21"/>
      <c r="E111" s="21"/>
      <c r="F111" s="21"/>
      <c r="G111" s="21"/>
      <c r="H111" s="21"/>
      <c r="I111" s="21"/>
      <c r="J111" s="21"/>
      <c r="K111" s="21"/>
      <c r="L111" s="21"/>
      <c r="M111" s="21"/>
      <c r="N111" s="21"/>
      <c r="O111" s="21"/>
      <c r="P111" s="21"/>
      <c r="Q111" s="21"/>
      <c r="R111" s="21"/>
      <c r="S111" s="21"/>
      <c r="T111" s="21"/>
      <c r="U111" s="21"/>
      <c r="X111" s="17" t="str">
        <f aca="false">IF(OR(B$7="",$BR111=""),"",IF('Tally Helper'!$B$3&lt;&gt;TRUE(),"not on Staff",SUMIFS('Tally Helper'!$L$5:$GI$5,'Tally Helper'!$L$3:$GI$3,"&gt;="&amp;$BR111,'Tally Helper'!$L$3:$GI$3,"&lt;="&amp;$BS111)))</f>
        <v/>
      </c>
      <c r="Y111" s="17" t="str">
        <f aca="false">IF(OR(C$7="",$BR111=""),"",IF('Tally Helper'!$B$6&lt;&gt;TRUE(),"not on Staff",SUMIFS('Tally Helper'!$L$8:$GI$8,'Tally Helper'!$L$6:$GI$6,"&gt;="&amp;$BR111,'Tally Helper'!$L$6:$GI$6,"&lt;="&amp;$BS111)))</f>
        <v/>
      </c>
      <c r="Z111" s="17" t="str">
        <f aca="false">IF(OR(D$7="",$BR111=""),"",IF('Tally Helper'!$B$9&lt;&gt;TRUE(),"not on Staff",SUMIFS('Tally Helper'!$L$11:$GI$11,'Tally Helper'!$L$9:$GI$9,"&gt;="&amp;$BR111,'Tally Helper'!$L$9:$GI$9,"&lt;="&amp;$BS111)))</f>
        <v/>
      </c>
      <c r="AA111" s="17" t="str">
        <f aca="false">IF(OR(E$7="",$BR111=""),"",IF('Tally Helper'!$B$12&lt;&gt;TRUE(),"not on Staff",SUMIFS('Tally Helper'!$L$14:$GI$14,'Tally Helper'!$L$12:$GI$12,"&gt;="&amp;$BR111,'Tally Helper'!$L$12:$GI$12,"&lt;="&amp;$BS111)))</f>
        <v/>
      </c>
      <c r="AB111" s="17" t="str">
        <f aca="false">IF(OR(F$7="",$BR111=""),"",IF('Tally Helper'!$B$15&lt;&gt;TRUE(),"not on Staff",SUMIFS('Tally Helper'!$L$17:$GI$17,'Tally Helper'!$L$15:$GI$15,"&gt;="&amp;$BR111,'Tally Helper'!$L$15:$GI$15,"&lt;="&amp;$BS111)))</f>
        <v/>
      </c>
      <c r="AC111" s="17" t="str">
        <f aca="false">IF(OR(G$7="",$BR111=""),"",IF('Tally Helper'!$B$18&lt;&gt;TRUE(),"not on Staff",SUMIFS('Tally Helper'!$L$20:$GI$20,'Tally Helper'!$L$18:$GI$18,"&gt;="&amp;$BR111,'Tally Helper'!$L$18:$GI$18,"&lt;="&amp;$BS111)))</f>
        <v/>
      </c>
      <c r="AD111" s="17" t="str">
        <f aca="false">IF(OR(H$7="",$BR111=""),"",IF('Tally Helper'!$B$21&lt;&gt;TRUE(),"not on Staff",SUMIFS('Tally Helper'!$L$23:$GI$23,'Tally Helper'!$L$21:$GI$21,"&gt;="&amp;$BR111,'Tally Helper'!$L$21:$GI$21,"&lt;="&amp;$BS111)))</f>
        <v/>
      </c>
      <c r="AE111" s="17" t="str">
        <f aca="false">IF(OR(I$7="",$BR111=""),"",IF('Tally Helper'!$B$24&lt;&gt;TRUE(),"not on Staff",SUMIFS('Tally Helper'!$L$26:$GI$26,'Tally Helper'!$L$24:$GI$24,"&gt;="&amp;$BR111,'Tally Helper'!$L$24:$GI$24,"&lt;="&amp;$BS111)))</f>
        <v/>
      </c>
      <c r="AF111" s="17" t="str">
        <f aca="false">IF(OR(J$7="",$BR111=""),"",IF('Tally Helper'!$B$27&lt;&gt;TRUE(),"not on Staff",SUMIFS('Tally Helper'!$L$29:$GI$29,'Tally Helper'!$L$27:$GI$27,"&gt;="&amp;$BR111,'Tally Helper'!$L$27:$GI$27,"&lt;="&amp;$BS111)))</f>
        <v/>
      </c>
      <c r="AG111" s="17" t="str">
        <f aca="false">IF(OR(K$7="",$BR111=""),"",IF('Tally Helper'!$B$30&lt;&gt;TRUE(),"not on Staff",SUMIFS('Tally Helper'!$L$32:$GI$32,'Tally Helper'!$L$30:$GI$30,"&gt;="&amp;$BR111,'Tally Helper'!$L$30:$GI$30,"&lt;="&amp;$BS111)))</f>
        <v/>
      </c>
      <c r="AH111" s="17" t="str">
        <f aca="false">IF(OR(L$7="",$BR111=""),"",IF('Tally Helper'!$B$33&lt;&gt;TRUE(),"not on Staff",SUMIFS('Tally Helper'!$L$35:$GI$35,'Tally Helper'!$L$33:$GI$33,"&gt;="&amp;$BR111,'Tally Helper'!$L$33:$GI$33,"&lt;="&amp;$BS111)))</f>
        <v/>
      </c>
      <c r="AI111" s="17" t="str">
        <f aca="false">IF(OR(M$7="",$BR111=""),"",IF('Tally Helper'!$B$36&lt;&gt;TRUE(),"not on Staff",SUMIFS('Tally Helper'!$L$38:$GI$38,'Tally Helper'!$L$36:$GI$36,"&gt;="&amp;$BR111,'Tally Helper'!$L$36:$GI$36,"&lt;="&amp;$BS111)))</f>
        <v/>
      </c>
      <c r="AJ111" s="17" t="str">
        <f aca="false">IF(OR(N$7="",$BR111=""),"",IF('Tally Helper'!$B$39&lt;&gt;TRUE(),"not on Staff",SUMIFS('Tally Helper'!$L$41:$GI$41,'Tally Helper'!$L$39:$GI$39,"&gt;="&amp;$BR111,'Tally Helper'!$L$39:$GI$39,"&lt;="&amp;$BS111)))</f>
        <v/>
      </c>
      <c r="AK111" s="17" t="str">
        <f aca="false">IF(OR(O$7="",$BR111=""),"",IF('Tally Helper'!$B$42&lt;&gt;TRUE(),"not on Staff",SUMIFS('Tally Helper'!$L$44:$GI$44,'Tally Helper'!$L$42:$GI$42,"&gt;="&amp;$BR111,'Tally Helper'!$L$42:$GI$42,"&lt;="&amp;$BS111)))</f>
        <v/>
      </c>
      <c r="AL111" s="17" t="str">
        <f aca="false">IF(OR(P$7="",$BR111=""),"",IF('Tally Helper'!$B$45&lt;&gt;TRUE(),"not on Staff",SUMIFS('Tally Helper'!$L$47:$GI$47,'Tally Helper'!$L$45:$GI$45,"&gt;="&amp;$BR111,'Tally Helper'!$L$45:$GI$45,"&lt;="&amp;$BS111)))</f>
        <v/>
      </c>
      <c r="AM111" s="17" t="str">
        <f aca="false">IF(OR(Q$7="",$BR111=""),"",IF('Tally Helper'!$B$48&lt;&gt;TRUE(),"not on Staff",SUMIFS('Tally Helper'!$L$50:$GI$50,'Tally Helper'!$L$48:$GI$48,"&gt;="&amp;$BR111,'Tally Helper'!$L$48:$GI$48,"&lt;="&amp;$BS111)))</f>
        <v/>
      </c>
      <c r="AN111" s="17" t="str">
        <f aca="false">IF(OR(R$7="",$BR111=""),"",IF('Tally Helper'!$B$51&lt;&gt;TRUE(),"not on Staff",SUMIFS('Tally Helper'!$L$53:$GI$53,'Tally Helper'!$L$51:$GI$51,"&gt;="&amp;$BR111,'Tally Helper'!$L$51:$GI$51,"&lt;="&amp;$BS111)))</f>
        <v/>
      </c>
      <c r="AO111" s="17" t="str">
        <f aca="false">IF(OR(S$7="",$BR111=""),"",IF('Tally Helper'!$B$54&lt;&gt;TRUE(),"not on Staff",SUMIFS('Tally Helper'!$L$56:$GI$56,'Tally Helper'!$L$54:$GI$54,"&gt;="&amp;$BR111,'Tally Helper'!$L$54:$GI$54,"&lt;="&amp;$BS111)))</f>
        <v/>
      </c>
      <c r="AP111" s="17" t="str">
        <f aca="false">IF(OR(T$7="",$BR111=""),"",IF('Tally Helper'!$B$57&lt;&gt;TRUE(),"not on Staff",SUMIFS('Tally Helper'!$L$59:$GI$59,'Tally Helper'!$L$57:$GI$57,"&gt;="&amp;$BR111,'Tally Helper'!$L$57:$GI$57,"&lt;="&amp;$BS111)))</f>
        <v/>
      </c>
      <c r="AQ111" s="17" t="str">
        <f aca="false">IF(OR(U$7="",$BR111=""),"",IF('Tally Helper'!$B$60&lt;&gt;TRUE(),"not on Staff",SUMIFS('Tally Helper'!$L$62:$GI$62,'Tally Helper'!$L$60:$GI$60,"&gt;="&amp;$BR111,'Tally Helper'!$L$60:$GI$60,"&lt;="&amp;$BS111)))</f>
        <v/>
      </c>
      <c r="AT111" s="17" t="str">
        <f aca="false">IF(OR(X111="",NOT(ISNUMBER(X111))),"",X111-N(B111))</f>
        <v/>
      </c>
      <c r="AU111" s="17" t="str">
        <f aca="false">IF(OR(Y111="",NOT(ISNUMBER(Y111))),"",Y111-N(C111))</f>
        <v/>
      </c>
      <c r="AV111" s="17" t="str">
        <f aca="false">IF(OR(Z111="",NOT(ISNUMBER(Z111))),"",Z111-N(D111))</f>
        <v/>
      </c>
      <c r="AW111" s="17" t="str">
        <f aca="false">IF(OR(AA111="",NOT(ISNUMBER(AA111))),"",AA111-N(E111))</f>
        <v/>
      </c>
      <c r="AX111" s="17" t="str">
        <f aca="false">IF(OR(AB111="",NOT(ISNUMBER(AB111))),"",AB111-N(F111))</f>
        <v/>
      </c>
      <c r="AY111" s="17" t="str">
        <f aca="false">IF(OR(AC111="",NOT(ISNUMBER(AC111))),"",AC111-N(G111))</f>
        <v/>
      </c>
      <c r="AZ111" s="17" t="str">
        <f aca="false">IF(OR(AD111="",NOT(ISNUMBER(AD111))),"",AD111-N(H111))</f>
        <v/>
      </c>
      <c r="BA111" s="17" t="str">
        <f aca="false">IF(OR(AE111="",NOT(ISNUMBER(AE111))),"",AE111-N(I111))</f>
        <v/>
      </c>
      <c r="BB111" s="17" t="str">
        <f aca="false">IF(OR(AF111="",NOT(ISNUMBER(AF111))),"",AF111-N(J111))</f>
        <v/>
      </c>
      <c r="BC111" s="17" t="str">
        <f aca="false">IF(OR(AG111="",NOT(ISNUMBER(AG111))),"",AG111-N(K111))</f>
        <v/>
      </c>
      <c r="BD111" s="17" t="str">
        <f aca="false">IF(OR(AH111="",NOT(ISNUMBER(AH111))),"",AH111-N(L111))</f>
        <v/>
      </c>
      <c r="BE111" s="17" t="str">
        <f aca="false">IF(OR(AI111="",NOT(ISNUMBER(AI111))),"",AI111-N(M111))</f>
        <v/>
      </c>
      <c r="BF111" s="17" t="str">
        <f aca="false">IF(OR(AJ111="",NOT(ISNUMBER(AJ111))),"",AJ111-N(N111))</f>
        <v/>
      </c>
      <c r="BG111" s="17" t="str">
        <f aca="false">IF(OR(AK111="",NOT(ISNUMBER(AK111))),"",AK111-N(O111))</f>
        <v/>
      </c>
      <c r="BH111" s="17" t="str">
        <f aca="false">IF(OR(AL111="",NOT(ISNUMBER(AL111))),"",AL111-N(P111))</f>
        <v/>
      </c>
      <c r="BI111" s="17" t="str">
        <f aca="false">IF(OR(AM111="",NOT(ISNUMBER(AM111))),"",AM111-N(Q111))</f>
        <v/>
      </c>
      <c r="BJ111" s="17" t="str">
        <f aca="false">IF(OR(AN111="",NOT(ISNUMBER(AN111))),"",AN111-N(R111))</f>
        <v/>
      </c>
      <c r="BK111" s="17" t="str">
        <f aca="false">IF(OR(AO111="",NOT(ISNUMBER(AO111))),"",AO111-N(S111))</f>
        <v/>
      </c>
      <c r="BL111" s="17" t="str">
        <f aca="false">IF(OR(AP111="",NOT(ISNUMBER(AP111))),"",AP111-N(T111))</f>
        <v/>
      </c>
      <c r="BM111" s="17" t="str">
        <f aca="false">IF(OR(AQ111="",NOT(ISNUMBER(AQ111))),"",AQ111-N(U111))</f>
        <v/>
      </c>
      <c r="BR111" s="20" t="str">
        <f aca="false">IF($A111="","",IF(ISNUMBER($A111),DATE(YEAR($A111),MONTH($A111),1),IFERROR(DATE(2000+VALUE(RIGHT(TRIM($A111),2)),MATCH(UPPER(LEFT(TRIM($A111),3)),{"JAN","FEB","MAR","APR","MAY","JUN","JUL","AUG","SEP","OCT","NOV","DEC"},0),1),"")))</f>
        <v/>
      </c>
      <c r="BS111" s="20" t="str">
        <f aca="false">IF(BR111="","",EOMONTH(BR111,0))</f>
        <v/>
      </c>
    </row>
    <row r="112" customFormat="false" ht="15" hidden="false" customHeight="false" outlineLevel="0" collapsed="false">
      <c r="B112" s="21"/>
      <c r="C112" s="21"/>
      <c r="D112" s="21"/>
      <c r="E112" s="21"/>
      <c r="F112" s="21"/>
      <c r="G112" s="21"/>
      <c r="H112" s="21"/>
      <c r="I112" s="21"/>
      <c r="J112" s="21"/>
      <c r="K112" s="21"/>
      <c r="L112" s="21"/>
      <c r="M112" s="21"/>
      <c r="N112" s="21"/>
      <c r="O112" s="21"/>
      <c r="P112" s="21"/>
      <c r="Q112" s="21"/>
      <c r="R112" s="21"/>
      <c r="S112" s="21"/>
      <c r="T112" s="21"/>
      <c r="U112" s="21"/>
      <c r="X112" s="17" t="str">
        <f aca="false">IF(OR(B$7="",$BR112=""),"",IF('Tally Helper'!$B$3&lt;&gt;TRUE(),"not on Staff",SUMIFS('Tally Helper'!$L$5:$GI$5,'Tally Helper'!$L$3:$GI$3,"&gt;="&amp;$BR112,'Tally Helper'!$L$3:$GI$3,"&lt;="&amp;$BS112)))</f>
        <v/>
      </c>
      <c r="Y112" s="17" t="str">
        <f aca="false">IF(OR(C$7="",$BR112=""),"",IF('Tally Helper'!$B$6&lt;&gt;TRUE(),"not on Staff",SUMIFS('Tally Helper'!$L$8:$GI$8,'Tally Helper'!$L$6:$GI$6,"&gt;="&amp;$BR112,'Tally Helper'!$L$6:$GI$6,"&lt;="&amp;$BS112)))</f>
        <v/>
      </c>
      <c r="Z112" s="17" t="str">
        <f aca="false">IF(OR(D$7="",$BR112=""),"",IF('Tally Helper'!$B$9&lt;&gt;TRUE(),"not on Staff",SUMIFS('Tally Helper'!$L$11:$GI$11,'Tally Helper'!$L$9:$GI$9,"&gt;="&amp;$BR112,'Tally Helper'!$L$9:$GI$9,"&lt;="&amp;$BS112)))</f>
        <v/>
      </c>
      <c r="AA112" s="17" t="str">
        <f aca="false">IF(OR(E$7="",$BR112=""),"",IF('Tally Helper'!$B$12&lt;&gt;TRUE(),"not on Staff",SUMIFS('Tally Helper'!$L$14:$GI$14,'Tally Helper'!$L$12:$GI$12,"&gt;="&amp;$BR112,'Tally Helper'!$L$12:$GI$12,"&lt;="&amp;$BS112)))</f>
        <v/>
      </c>
      <c r="AB112" s="17" t="str">
        <f aca="false">IF(OR(F$7="",$BR112=""),"",IF('Tally Helper'!$B$15&lt;&gt;TRUE(),"not on Staff",SUMIFS('Tally Helper'!$L$17:$GI$17,'Tally Helper'!$L$15:$GI$15,"&gt;="&amp;$BR112,'Tally Helper'!$L$15:$GI$15,"&lt;="&amp;$BS112)))</f>
        <v/>
      </c>
      <c r="AC112" s="17" t="str">
        <f aca="false">IF(OR(G$7="",$BR112=""),"",IF('Tally Helper'!$B$18&lt;&gt;TRUE(),"not on Staff",SUMIFS('Tally Helper'!$L$20:$GI$20,'Tally Helper'!$L$18:$GI$18,"&gt;="&amp;$BR112,'Tally Helper'!$L$18:$GI$18,"&lt;="&amp;$BS112)))</f>
        <v/>
      </c>
      <c r="AD112" s="17" t="str">
        <f aca="false">IF(OR(H$7="",$BR112=""),"",IF('Tally Helper'!$B$21&lt;&gt;TRUE(),"not on Staff",SUMIFS('Tally Helper'!$L$23:$GI$23,'Tally Helper'!$L$21:$GI$21,"&gt;="&amp;$BR112,'Tally Helper'!$L$21:$GI$21,"&lt;="&amp;$BS112)))</f>
        <v/>
      </c>
      <c r="AE112" s="17" t="str">
        <f aca="false">IF(OR(I$7="",$BR112=""),"",IF('Tally Helper'!$B$24&lt;&gt;TRUE(),"not on Staff",SUMIFS('Tally Helper'!$L$26:$GI$26,'Tally Helper'!$L$24:$GI$24,"&gt;="&amp;$BR112,'Tally Helper'!$L$24:$GI$24,"&lt;="&amp;$BS112)))</f>
        <v/>
      </c>
      <c r="AF112" s="17" t="str">
        <f aca="false">IF(OR(J$7="",$BR112=""),"",IF('Tally Helper'!$B$27&lt;&gt;TRUE(),"not on Staff",SUMIFS('Tally Helper'!$L$29:$GI$29,'Tally Helper'!$L$27:$GI$27,"&gt;="&amp;$BR112,'Tally Helper'!$L$27:$GI$27,"&lt;="&amp;$BS112)))</f>
        <v/>
      </c>
      <c r="AG112" s="17" t="str">
        <f aca="false">IF(OR(K$7="",$BR112=""),"",IF('Tally Helper'!$B$30&lt;&gt;TRUE(),"not on Staff",SUMIFS('Tally Helper'!$L$32:$GI$32,'Tally Helper'!$L$30:$GI$30,"&gt;="&amp;$BR112,'Tally Helper'!$L$30:$GI$30,"&lt;="&amp;$BS112)))</f>
        <v/>
      </c>
      <c r="AH112" s="17" t="str">
        <f aca="false">IF(OR(L$7="",$BR112=""),"",IF('Tally Helper'!$B$33&lt;&gt;TRUE(),"not on Staff",SUMIFS('Tally Helper'!$L$35:$GI$35,'Tally Helper'!$L$33:$GI$33,"&gt;="&amp;$BR112,'Tally Helper'!$L$33:$GI$33,"&lt;="&amp;$BS112)))</f>
        <v/>
      </c>
      <c r="AI112" s="17" t="str">
        <f aca="false">IF(OR(M$7="",$BR112=""),"",IF('Tally Helper'!$B$36&lt;&gt;TRUE(),"not on Staff",SUMIFS('Tally Helper'!$L$38:$GI$38,'Tally Helper'!$L$36:$GI$36,"&gt;="&amp;$BR112,'Tally Helper'!$L$36:$GI$36,"&lt;="&amp;$BS112)))</f>
        <v/>
      </c>
      <c r="AJ112" s="17" t="str">
        <f aca="false">IF(OR(N$7="",$BR112=""),"",IF('Tally Helper'!$B$39&lt;&gt;TRUE(),"not on Staff",SUMIFS('Tally Helper'!$L$41:$GI$41,'Tally Helper'!$L$39:$GI$39,"&gt;="&amp;$BR112,'Tally Helper'!$L$39:$GI$39,"&lt;="&amp;$BS112)))</f>
        <v/>
      </c>
      <c r="AK112" s="17" t="str">
        <f aca="false">IF(OR(O$7="",$BR112=""),"",IF('Tally Helper'!$B$42&lt;&gt;TRUE(),"not on Staff",SUMIFS('Tally Helper'!$L$44:$GI$44,'Tally Helper'!$L$42:$GI$42,"&gt;="&amp;$BR112,'Tally Helper'!$L$42:$GI$42,"&lt;="&amp;$BS112)))</f>
        <v/>
      </c>
      <c r="AL112" s="17" t="str">
        <f aca="false">IF(OR(P$7="",$BR112=""),"",IF('Tally Helper'!$B$45&lt;&gt;TRUE(),"not on Staff",SUMIFS('Tally Helper'!$L$47:$GI$47,'Tally Helper'!$L$45:$GI$45,"&gt;="&amp;$BR112,'Tally Helper'!$L$45:$GI$45,"&lt;="&amp;$BS112)))</f>
        <v/>
      </c>
      <c r="AM112" s="17" t="str">
        <f aca="false">IF(OR(Q$7="",$BR112=""),"",IF('Tally Helper'!$B$48&lt;&gt;TRUE(),"not on Staff",SUMIFS('Tally Helper'!$L$50:$GI$50,'Tally Helper'!$L$48:$GI$48,"&gt;="&amp;$BR112,'Tally Helper'!$L$48:$GI$48,"&lt;="&amp;$BS112)))</f>
        <v/>
      </c>
      <c r="AN112" s="17" t="str">
        <f aca="false">IF(OR(R$7="",$BR112=""),"",IF('Tally Helper'!$B$51&lt;&gt;TRUE(),"not on Staff",SUMIFS('Tally Helper'!$L$53:$GI$53,'Tally Helper'!$L$51:$GI$51,"&gt;="&amp;$BR112,'Tally Helper'!$L$51:$GI$51,"&lt;="&amp;$BS112)))</f>
        <v/>
      </c>
      <c r="AO112" s="17" t="str">
        <f aca="false">IF(OR(S$7="",$BR112=""),"",IF('Tally Helper'!$B$54&lt;&gt;TRUE(),"not on Staff",SUMIFS('Tally Helper'!$L$56:$GI$56,'Tally Helper'!$L$54:$GI$54,"&gt;="&amp;$BR112,'Tally Helper'!$L$54:$GI$54,"&lt;="&amp;$BS112)))</f>
        <v/>
      </c>
      <c r="AP112" s="17" t="str">
        <f aca="false">IF(OR(T$7="",$BR112=""),"",IF('Tally Helper'!$B$57&lt;&gt;TRUE(),"not on Staff",SUMIFS('Tally Helper'!$L$59:$GI$59,'Tally Helper'!$L$57:$GI$57,"&gt;="&amp;$BR112,'Tally Helper'!$L$57:$GI$57,"&lt;="&amp;$BS112)))</f>
        <v/>
      </c>
      <c r="AQ112" s="17" t="str">
        <f aca="false">IF(OR(U$7="",$BR112=""),"",IF('Tally Helper'!$B$60&lt;&gt;TRUE(),"not on Staff",SUMIFS('Tally Helper'!$L$62:$GI$62,'Tally Helper'!$L$60:$GI$60,"&gt;="&amp;$BR112,'Tally Helper'!$L$60:$GI$60,"&lt;="&amp;$BS112)))</f>
        <v/>
      </c>
      <c r="AT112" s="17" t="str">
        <f aca="false">IF(OR(X112="",NOT(ISNUMBER(X112))),"",X112-N(B112))</f>
        <v/>
      </c>
      <c r="AU112" s="17" t="str">
        <f aca="false">IF(OR(Y112="",NOT(ISNUMBER(Y112))),"",Y112-N(C112))</f>
        <v/>
      </c>
      <c r="AV112" s="17" t="str">
        <f aca="false">IF(OR(Z112="",NOT(ISNUMBER(Z112))),"",Z112-N(D112))</f>
        <v/>
      </c>
      <c r="AW112" s="17" t="str">
        <f aca="false">IF(OR(AA112="",NOT(ISNUMBER(AA112))),"",AA112-N(E112))</f>
        <v/>
      </c>
      <c r="AX112" s="17" t="str">
        <f aca="false">IF(OR(AB112="",NOT(ISNUMBER(AB112))),"",AB112-N(F112))</f>
        <v/>
      </c>
      <c r="AY112" s="17" t="str">
        <f aca="false">IF(OR(AC112="",NOT(ISNUMBER(AC112))),"",AC112-N(G112))</f>
        <v/>
      </c>
      <c r="AZ112" s="17" t="str">
        <f aca="false">IF(OR(AD112="",NOT(ISNUMBER(AD112))),"",AD112-N(H112))</f>
        <v/>
      </c>
      <c r="BA112" s="17" t="str">
        <f aca="false">IF(OR(AE112="",NOT(ISNUMBER(AE112))),"",AE112-N(I112))</f>
        <v/>
      </c>
      <c r="BB112" s="17" t="str">
        <f aca="false">IF(OR(AF112="",NOT(ISNUMBER(AF112))),"",AF112-N(J112))</f>
        <v/>
      </c>
      <c r="BC112" s="17" t="str">
        <f aca="false">IF(OR(AG112="",NOT(ISNUMBER(AG112))),"",AG112-N(K112))</f>
        <v/>
      </c>
      <c r="BD112" s="17" t="str">
        <f aca="false">IF(OR(AH112="",NOT(ISNUMBER(AH112))),"",AH112-N(L112))</f>
        <v/>
      </c>
      <c r="BE112" s="17" t="str">
        <f aca="false">IF(OR(AI112="",NOT(ISNUMBER(AI112))),"",AI112-N(M112))</f>
        <v/>
      </c>
      <c r="BF112" s="17" t="str">
        <f aca="false">IF(OR(AJ112="",NOT(ISNUMBER(AJ112))),"",AJ112-N(N112))</f>
        <v/>
      </c>
      <c r="BG112" s="17" t="str">
        <f aca="false">IF(OR(AK112="",NOT(ISNUMBER(AK112))),"",AK112-N(O112))</f>
        <v/>
      </c>
      <c r="BH112" s="17" t="str">
        <f aca="false">IF(OR(AL112="",NOT(ISNUMBER(AL112))),"",AL112-N(P112))</f>
        <v/>
      </c>
      <c r="BI112" s="17" t="str">
        <f aca="false">IF(OR(AM112="",NOT(ISNUMBER(AM112))),"",AM112-N(Q112))</f>
        <v/>
      </c>
      <c r="BJ112" s="17" t="str">
        <f aca="false">IF(OR(AN112="",NOT(ISNUMBER(AN112))),"",AN112-N(R112))</f>
        <v/>
      </c>
      <c r="BK112" s="17" t="str">
        <f aca="false">IF(OR(AO112="",NOT(ISNUMBER(AO112))),"",AO112-N(S112))</f>
        <v/>
      </c>
      <c r="BL112" s="17" t="str">
        <f aca="false">IF(OR(AP112="",NOT(ISNUMBER(AP112))),"",AP112-N(T112))</f>
        <v/>
      </c>
      <c r="BM112" s="17" t="str">
        <f aca="false">IF(OR(AQ112="",NOT(ISNUMBER(AQ112))),"",AQ112-N(U112))</f>
        <v/>
      </c>
      <c r="BR112" s="20" t="str">
        <f aca="false">IF($A112="","",IF(ISNUMBER($A112),DATE(YEAR($A112),MONTH($A112),1),IFERROR(DATE(2000+VALUE(RIGHT(TRIM($A112),2)),MATCH(UPPER(LEFT(TRIM($A112),3)),{"JAN","FEB","MAR","APR","MAY","JUN","JUL","AUG","SEP","OCT","NOV","DEC"},0),1),"")))</f>
        <v/>
      </c>
      <c r="BS112" s="20" t="str">
        <f aca="false">IF(BR112="","",EOMONTH(BR112,0))</f>
        <v/>
      </c>
    </row>
    <row r="113" customFormat="false" ht="15" hidden="false" customHeight="false" outlineLevel="0" collapsed="false">
      <c r="B113" s="21"/>
      <c r="C113" s="21"/>
      <c r="D113" s="21"/>
      <c r="E113" s="21"/>
      <c r="F113" s="21"/>
      <c r="G113" s="21"/>
      <c r="H113" s="21"/>
      <c r="I113" s="21"/>
      <c r="J113" s="21"/>
      <c r="K113" s="21"/>
      <c r="L113" s="21"/>
      <c r="M113" s="21"/>
      <c r="N113" s="21"/>
      <c r="O113" s="21"/>
      <c r="P113" s="21"/>
      <c r="Q113" s="21"/>
      <c r="R113" s="21"/>
      <c r="S113" s="21"/>
      <c r="T113" s="21"/>
      <c r="U113" s="21"/>
      <c r="X113" s="17" t="str">
        <f aca="false">IF(OR(B$7="",$BR113=""),"",IF('Tally Helper'!$B$3&lt;&gt;TRUE(),"not on Staff",SUMIFS('Tally Helper'!$L$5:$GI$5,'Tally Helper'!$L$3:$GI$3,"&gt;="&amp;$BR113,'Tally Helper'!$L$3:$GI$3,"&lt;="&amp;$BS113)))</f>
        <v/>
      </c>
      <c r="Y113" s="17" t="str">
        <f aca="false">IF(OR(C$7="",$BR113=""),"",IF('Tally Helper'!$B$6&lt;&gt;TRUE(),"not on Staff",SUMIFS('Tally Helper'!$L$8:$GI$8,'Tally Helper'!$L$6:$GI$6,"&gt;="&amp;$BR113,'Tally Helper'!$L$6:$GI$6,"&lt;="&amp;$BS113)))</f>
        <v/>
      </c>
      <c r="Z113" s="17" t="str">
        <f aca="false">IF(OR(D$7="",$BR113=""),"",IF('Tally Helper'!$B$9&lt;&gt;TRUE(),"not on Staff",SUMIFS('Tally Helper'!$L$11:$GI$11,'Tally Helper'!$L$9:$GI$9,"&gt;="&amp;$BR113,'Tally Helper'!$L$9:$GI$9,"&lt;="&amp;$BS113)))</f>
        <v/>
      </c>
      <c r="AA113" s="17" t="str">
        <f aca="false">IF(OR(E$7="",$BR113=""),"",IF('Tally Helper'!$B$12&lt;&gt;TRUE(),"not on Staff",SUMIFS('Tally Helper'!$L$14:$GI$14,'Tally Helper'!$L$12:$GI$12,"&gt;="&amp;$BR113,'Tally Helper'!$L$12:$GI$12,"&lt;="&amp;$BS113)))</f>
        <v/>
      </c>
      <c r="AB113" s="17" t="str">
        <f aca="false">IF(OR(F$7="",$BR113=""),"",IF('Tally Helper'!$B$15&lt;&gt;TRUE(),"not on Staff",SUMIFS('Tally Helper'!$L$17:$GI$17,'Tally Helper'!$L$15:$GI$15,"&gt;="&amp;$BR113,'Tally Helper'!$L$15:$GI$15,"&lt;="&amp;$BS113)))</f>
        <v/>
      </c>
      <c r="AC113" s="17" t="str">
        <f aca="false">IF(OR(G$7="",$BR113=""),"",IF('Tally Helper'!$B$18&lt;&gt;TRUE(),"not on Staff",SUMIFS('Tally Helper'!$L$20:$GI$20,'Tally Helper'!$L$18:$GI$18,"&gt;="&amp;$BR113,'Tally Helper'!$L$18:$GI$18,"&lt;="&amp;$BS113)))</f>
        <v/>
      </c>
      <c r="AD113" s="17" t="str">
        <f aca="false">IF(OR(H$7="",$BR113=""),"",IF('Tally Helper'!$B$21&lt;&gt;TRUE(),"not on Staff",SUMIFS('Tally Helper'!$L$23:$GI$23,'Tally Helper'!$L$21:$GI$21,"&gt;="&amp;$BR113,'Tally Helper'!$L$21:$GI$21,"&lt;="&amp;$BS113)))</f>
        <v/>
      </c>
      <c r="AE113" s="17" t="str">
        <f aca="false">IF(OR(I$7="",$BR113=""),"",IF('Tally Helper'!$B$24&lt;&gt;TRUE(),"not on Staff",SUMIFS('Tally Helper'!$L$26:$GI$26,'Tally Helper'!$L$24:$GI$24,"&gt;="&amp;$BR113,'Tally Helper'!$L$24:$GI$24,"&lt;="&amp;$BS113)))</f>
        <v/>
      </c>
      <c r="AF113" s="17" t="str">
        <f aca="false">IF(OR(J$7="",$BR113=""),"",IF('Tally Helper'!$B$27&lt;&gt;TRUE(),"not on Staff",SUMIFS('Tally Helper'!$L$29:$GI$29,'Tally Helper'!$L$27:$GI$27,"&gt;="&amp;$BR113,'Tally Helper'!$L$27:$GI$27,"&lt;="&amp;$BS113)))</f>
        <v/>
      </c>
      <c r="AG113" s="17" t="str">
        <f aca="false">IF(OR(K$7="",$BR113=""),"",IF('Tally Helper'!$B$30&lt;&gt;TRUE(),"not on Staff",SUMIFS('Tally Helper'!$L$32:$GI$32,'Tally Helper'!$L$30:$GI$30,"&gt;="&amp;$BR113,'Tally Helper'!$L$30:$GI$30,"&lt;="&amp;$BS113)))</f>
        <v/>
      </c>
      <c r="AH113" s="17" t="str">
        <f aca="false">IF(OR(L$7="",$BR113=""),"",IF('Tally Helper'!$B$33&lt;&gt;TRUE(),"not on Staff",SUMIFS('Tally Helper'!$L$35:$GI$35,'Tally Helper'!$L$33:$GI$33,"&gt;="&amp;$BR113,'Tally Helper'!$L$33:$GI$33,"&lt;="&amp;$BS113)))</f>
        <v/>
      </c>
      <c r="AI113" s="17" t="str">
        <f aca="false">IF(OR(M$7="",$BR113=""),"",IF('Tally Helper'!$B$36&lt;&gt;TRUE(),"not on Staff",SUMIFS('Tally Helper'!$L$38:$GI$38,'Tally Helper'!$L$36:$GI$36,"&gt;="&amp;$BR113,'Tally Helper'!$L$36:$GI$36,"&lt;="&amp;$BS113)))</f>
        <v/>
      </c>
      <c r="AJ113" s="17" t="str">
        <f aca="false">IF(OR(N$7="",$BR113=""),"",IF('Tally Helper'!$B$39&lt;&gt;TRUE(),"not on Staff",SUMIFS('Tally Helper'!$L$41:$GI$41,'Tally Helper'!$L$39:$GI$39,"&gt;="&amp;$BR113,'Tally Helper'!$L$39:$GI$39,"&lt;="&amp;$BS113)))</f>
        <v/>
      </c>
      <c r="AK113" s="17" t="str">
        <f aca="false">IF(OR(O$7="",$BR113=""),"",IF('Tally Helper'!$B$42&lt;&gt;TRUE(),"not on Staff",SUMIFS('Tally Helper'!$L$44:$GI$44,'Tally Helper'!$L$42:$GI$42,"&gt;="&amp;$BR113,'Tally Helper'!$L$42:$GI$42,"&lt;="&amp;$BS113)))</f>
        <v/>
      </c>
      <c r="AL113" s="17" t="str">
        <f aca="false">IF(OR(P$7="",$BR113=""),"",IF('Tally Helper'!$B$45&lt;&gt;TRUE(),"not on Staff",SUMIFS('Tally Helper'!$L$47:$GI$47,'Tally Helper'!$L$45:$GI$45,"&gt;="&amp;$BR113,'Tally Helper'!$L$45:$GI$45,"&lt;="&amp;$BS113)))</f>
        <v/>
      </c>
      <c r="AM113" s="17" t="str">
        <f aca="false">IF(OR(Q$7="",$BR113=""),"",IF('Tally Helper'!$B$48&lt;&gt;TRUE(),"not on Staff",SUMIFS('Tally Helper'!$L$50:$GI$50,'Tally Helper'!$L$48:$GI$48,"&gt;="&amp;$BR113,'Tally Helper'!$L$48:$GI$48,"&lt;="&amp;$BS113)))</f>
        <v/>
      </c>
      <c r="AN113" s="17" t="str">
        <f aca="false">IF(OR(R$7="",$BR113=""),"",IF('Tally Helper'!$B$51&lt;&gt;TRUE(),"not on Staff",SUMIFS('Tally Helper'!$L$53:$GI$53,'Tally Helper'!$L$51:$GI$51,"&gt;="&amp;$BR113,'Tally Helper'!$L$51:$GI$51,"&lt;="&amp;$BS113)))</f>
        <v/>
      </c>
      <c r="AO113" s="17" t="str">
        <f aca="false">IF(OR(S$7="",$BR113=""),"",IF('Tally Helper'!$B$54&lt;&gt;TRUE(),"not on Staff",SUMIFS('Tally Helper'!$L$56:$GI$56,'Tally Helper'!$L$54:$GI$54,"&gt;="&amp;$BR113,'Tally Helper'!$L$54:$GI$54,"&lt;="&amp;$BS113)))</f>
        <v/>
      </c>
      <c r="AP113" s="17" t="str">
        <f aca="false">IF(OR(T$7="",$BR113=""),"",IF('Tally Helper'!$B$57&lt;&gt;TRUE(),"not on Staff",SUMIFS('Tally Helper'!$L$59:$GI$59,'Tally Helper'!$L$57:$GI$57,"&gt;="&amp;$BR113,'Tally Helper'!$L$57:$GI$57,"&lt;="&amp;$BS113)))</f>
        <v/>
      </c>
      <c r="AQ113" s="17" t="str">
        <f aca="false">IF(OR(U$7="",$BR113=""),"",IF('Tally Helper'!$B$60&lt;&gt;TRUE(),"not on Staff",SUMIFS('Tally Helper'!$L$62:$GI$62,'Tally Helper'!$L$60:$GI$60,"&gt;="&amp;$BR113,'Tally Helper'!$L$60:$GI$60,"&lt;="&amp;$BS113)))</f>
        <v/>
      </c>
      <c r="AT113" s="17" t="str">
        <f aca="false">IF(OR(X113="",NOT(ISNUMBER(X113))),"",X113-N(B113))</f>
        <v/>
      </c>
      <c r="AU113" s="17" t="str">
        <f aca="false">IF(OR(Y113="",NOT(ISNUMBER(Y113))),"",Y113-N(C113))</f>
        <v/>
      </c>
      <c r="AV113" s="17" t="str">
        <f aca="false">IF(OR(Z113="",NOT(ISNUMBER(Z113))),"",Z113-N(D113))</f>
        <v/>
      </c>
      <c r="AW113" s="17" t="str">
        <f aca="false">IF(OR(AA113="",NOT(ISNUMBER(AA113))),"",AA113-N(E113))</f>
        <v/>
      </c>
      <c r="AX113" s="17" t="str">
        <f aca="false">IF(OR(AB113="",NOT(ISNUMBER(AB113))),"",AB113-N(F113))</f>
        <v/>
      </c>
      <c r="AY113" s="17" t="str">
        <f aca="false">IF(OR(AC113="",NOT(ISNUMBER(AC113))),"",AC113-N(G113))</f>
        <v/>
      </c>
      <c r="AZ113" s="17" t="str">
        <f aca="false">IF(OR(AD113="",NOT(ISNUMBER(AD113))),"",AD113-N(H113))</f>
        <v/>
      </c>
      <c r="BA113" s="17" t="str">
        <f aca="false">IF(OR(AE113="",NOT(ISNUMBER(AE113))),"",AE113-N(I113))</f>
        <v/>
      </c>
      <c r="BB113" s="17" t="str">
        <f aca="false">IF(OR(AF113="",NOT(ISNUMBER(AF113))),"",AF113-N(J113))</f>
        <v/>
      </c>
      <c r="BC113" s="17" t="str">
        <f aca="false">IF(OR(AG113="",NOT(ISNUMBER(AG113))),"",AG113-N(K113))</f>
        <v/>
      </c>
      <c r="BD113" s="17" t="str">
        <f aca="false">IF(OR(AH113="",NOT(ISNUMBER(AH113))),"",AH113-N(L113))</f>
        <v/>
      </c>
      <c r="BE113" s="17" t="str">
        <f aca="false">IF(OR(AI113="",NOT(ISNUMBER(AI113))),"",AI113-N(M113))</f>
        <v/>
      </c>
      <c r="BF113" s="17" t="str">
        <f aca="false">IF(OR(AJ113="",NOT(ISNUMBER(AJ113))),"",AJ113-N(N113))</f>
        <v/>
      </c>
      <c r="BG113" s="17" t="str">
        <f aca="false">IF(OR(AK113="",NOT(ISNUMBER(AK113))),"",AK113-N(O113))</f>
        <v/>
      </c>
      <c r="BH113" s="17" t="str">
        <f aca="false">IF(OR(AL113="",NOT(ISNUMBER(AL113))),"",AL113-N(P113))</f>
        <v/>
      </c>
      <c r="BI113" s="17" t="str">
        <f aca="false">IF(OR(AM113="",NOT(ISNUMBER(AM113))),"",AM113-N(Q113))</f>
        <v/>
      </c>
      <c r="BJ113" s="17" t="str">
        <f aca="false">IF(OR(AN113="",NOT(ISNUMBER(AN113))),"",AN113-N(R113))</f>
        <v/>
      </c>
      <c r="BK113" s="17" t="str">
        <f aca="false">IF(OR(AO113="",NOT(ISNUMBER(AO113))),"",AO113-N(S113))</f>
        <v/>
      </c>
      <c r="BL113" s="17" t="str">
        <f aca="false">IF(OR(AP113="",NOT(ISNUMBER(AP113))),"",AP113-N(T113))</f>
        <v/>
      </c>
      <c r="BM113" s="17" t="str">
        <f aca="false">IF(OR(AQ113="",NOT(ISNUMBER(AQ113))),"",AQ113-N(U113))</f>
        <v/>
      </c>
      <c r="BR113" s="20" t="str">
        <f aca="false">IF($A113="","",IF(ISNUMBER($A113),DATE(YEAR($A113),MONTH($A113),1),IFERROR(DATE(2000+VALUE(RIGHT(TRIM($A113),2)),MATCH(UPPER(LEFT(TRIM($A113),3)),{"JAN","FEB","MAR","APR","MAY","JUN","JUL","AUG","SEP","OCT","NOV","DEC"},0),1),"")))</f>
        <v/>
      </c>
      <c r="BS113" s="20" t="str">
        <f aca="false">IF(BR113="","",EOMONTH(BR113,0))</f>
        <v/>
      </c>
    </row>
    <row r="114" customFormat="false" ht="15" hidden="false" customHeight="false" outlineLevel="0" collapsed="false">
      <c r="B114" s="21"/>
      <c r="C114" s="21"/>
      <c r="D114" s="21"/>
      <c r="E114" s="21"/>
      <c r="F114" s="21"/>
      <c r="G114" s="21"/>
      <c r="H114" s="21"/>
      <c r="I114" s="21"/>
      <c r="J114" s="21"/>
      <c r="K114" s="21"/>
      <c r="L114" s="21"/>
      <c r="M114" s="21"/>
      <c r="N114" s="21"/>
      <c r="O114" s="21"/>
      <c r="P114" s="21"/>
      <c r="Q114" s="21"/>
      <c r="R114" s="21"/>
      <c r="S114" s="21"/>
      <c r="T114" s="21"/>
      <c r="U114" s="21"/>
      <c r="X114" s="17" t="str">
        <f aca="false">IF(OR(B$7="",$BR114=""),"",IF('Tally Helper'!$B$3&lt;&gt;TRUE(),"not on Staff",SUMIFS('Tally Helper'!$L$5:$GI$5,'Tally Helper'!$L$3:$GI$3,"&gt;="&amp;$BR114,'Tally Helper'!$L$3:$GI$3,"&lt;="&amp;$BS114)))</f>
        <v/>
      </c>
      <c r="Y114" s="17" t="str">
        <f aca="false">IF(OR(C$7="",$BR114=""),"",IF('Tally Helper'!$B$6&lt;&gt;TRUE(),"not on Staff",SUMIFS('Tally Helper'!$L$8:$GI$8,'Tally Helper'!$L$6:$GI$6,"&gt;="&amp;$BR114,'Tally Helper'!$L$6:$GI$6,"&lt;="&amp;$BS114)))</f>
        <v/>
      </c>
      <c r="Z114" s="17" t="str">
        <f aca="false">IF(OR(D$7="",$BR114=""),"",IF('Tally Helper'!$B$9&lt;&gt;TRUE(),"not on Staff",SUMIFS('Tally Helper'!$L$11:$GI$11,'Tally Helper'!$L$9:$GI$9,"&gt;="&amp;$BR114,'Tally Helper'!$L$9:$GI$9,"&lt;="&amp;$BS114)))</f>
        <v/>
      </c>
      <c r="AA114" s="17" t="str">
        <f aca="false">IF(OR(E$7="",$BR114=""),"",IF('Tally Helper'!$B$12&lt;&gt;TRUE(),"not on Staff",SUMIFS('Tally Helper'!$L$14:$GI$14,'Tally Helper'!$L$12:$GI$12,"&gt;="&amp;$BR114,'Tally Helper'!$L$12:$GI$12,"&lt;="&amp;$BS114)))</f>
        <v/>
      </c>
      <c r="AB114" s="17" t="str">
        <f aca="false">IF(OR(F$7="",$BR114=""),"",IF('Tally Helper'!$B$15&lt;&gt;TRUE(),"not on Staff",SUMIFS('Tally Helper'!$L$17:$GI$17,'Tally Helper'!$L$15:$GI$15,"&gt;="&amp;$BR114,'Tally Helper'!$L$15:$GI$15,"&lt;="&amp;$BS114)))</f>
        <v/>
      </c>
      <c r="AC114" s="17" t="str">
        <f aca="false">IF(OR(G$7="",$BR114=""),"",IF('Tally Helper'!$B$18&lt;&gt;TRUE(),"not on Staff",SUMIFS('Tally Helper'!$L$20:$GI$20,'Tally Helper'!$L$18:$GI$18,"&gt;="&amp;$BR114,'Tally Helper'!$L$18:$GI$18,"&lt;="&amp;$BS114)))</f>
        <v/>
      </c>
      <c r="AD114" s="17" t="str">
        <f aca="false">IF(OR(H$7="",$BR114=""),"",IF('Tally Helper'!$B$21&lt;&gt;TRUE(),"not on Staff",SUMIFS('Tally Helper'!$L$23:$GI$23,'Tally Helper'!$L$21:$GI$21,"&gt;="&amp;$BR114,'Tally Helper'!$L$21:$GI$21,"&lt;="&amp;$BS114)))</f>
        <v/>
      </c>
      <c r="AE114" s="17" t="str">
        <f aca="false">IF(OR(I$7="",$BR114=""),"",IF('Tally Helper'!$B$24&lt;&gt;TRUE(),"not on Staff",SUMIFS('Tally Helper'!$L$26:$GI$26,'Tally Helper'!$L$24:$GI$24,"&gt;="&amp;$BR114,'Tally Helper'!$L$24:$GI$24,"&lt;="&amp;$BS114)))</f>
        <v/>
      </c>
      <c r="AF114" s="17" t="str">
        <f aca="false">IF(OR(J$7="",$BR114=""),"",IF('Tally Helper'!$B$27&lt;&gt;TRUE(),"not on Staff",SUMIFS('Tally Helper'!$L$29:$GI$29,'Tally Helper'!$L$27:$GI$27,"&gt;="&amp;$BR114,'Tally Helper'!$L$27:$GI$27,"&lt;="&amp;$BS114)))</f>
        <v/>
      </c>
      <c r="AG114" s="17" t="str">
        <f aca="false">IF(OR(K$7="",$BR114=""),"",IF('Tally Helper'!$B$30&lt;&gt;TRUE(),"not on Staff",SUMIFS('Tally Helper'!$L$32:$GI$32,'Tally Helper'!$L$30:$GI$30,"&gt;="&amp;$BR114,'Tally Helper'!$L$30:$GI$30,"&lt;="&amp;$BS114)))</f>
        <v/>
      </c>
      <c r="AH114" s="17" t="str">
        <f aca="false">IF(OR(L$7="",$BR114=""),"",IF('Tally Helper'!$B$33&lt;&gt;TRUE(),"not on Staff",SUMIFS('Tally Helper'!$L$35:$GI$35,'Tally Helper'!$L$33:$GI$33,"&gt;="&amp;$BR114,'Tally Helper'!$L$33:$GI$33,"&lt;="&amp;$BS114)))</f>
        <v/>
      </c>
      <c r="AI114" s="17" t="str">
        <f aca="false">IF(OR(M$7="",$BR114=""),"",IF('Tally Helper'!$B$36&lt;&gt;TRUE(),"not on Staff",SUMIFS('Tally Helper'!$L$38:$GI$38,'Tally Helper'!$L$36:$GI$36,"&gt;="&amp;$BR114,'Tally Helper'!$L$36:$GI$36,"&lt;="&amp;$BS114)))</f>
        <v/>
      </c>
      <c r="AJ114" s="17" t="str">
        <f aca="false">IF(OR(N$7="",$BR114=""),"",IF('Tally Helper'!$B$39&lt;&gt;TRUE(),"not on Staff",SUMIFS('Tally Helper'!$L$41:$GI$41,'Tally Helper'!$L$39:$GI$39,"&gt;="&amp;$BR114,'Tally Helper'!$L$39:$GI$39,"&lt;="&amp;$BS114)))</f>
        <v/>
      </c>
      <c r="AK114" s="17" t="str">
        <f aca="false">IF(OR(O$7="",$BR114=""),"",IF('Tally Helper'!$B$42&lt;&gt;TRUE(),"not on Staff",SUMIFS('Tally Helper'!$L$44:$GI$44,'Tally Helper'!$L$42:$GI$42,"&gt;="&amp;$BR114,'Tally Helper'!$L$42:$GI$42,"&lt;="&amp;$BS114)))</f>
        <v/>
      </c>
      <c r="AL114" s="17" t="str">
        <f aca="false">IF(OR(P$7="",$BR114=""),"",IF('Tally Helper'!$B$45&lt;&gt;TRUE(),"not on Staff",SUMIFS('Tally Helper'!$L$47:$GI$47,'Tally Helper'!$L$45:$GI$45,"&gt;="&amp;$BR114,'Tally Helper'!$L$45:$GI$45,"&lt;="&amp;$BS114)))</f>
        <v/>
      </c>
      <c r="AM114" s="17" t="str">
        <f aca="false">IF(OR(Q$7="",$BR114=""),"",IF('Tally Helper'!$B$48&lt;&gt;TRUE(),"not on Staff",SUMIFS('Tally Helper'!$L$50:$GI$50,'Tally Helper'!$L$48:$GI$48,"&gt;="&amp;$BR114,'Tally Helper'!$L$48:$GI$48,"&lt;="&amp;$BS114)))</f>
        <v/>
      </c>
      <c r="AN114" s="17" t="str">
        <f aca="false">IF(OR(R$7="",$BR114=""),"",IF('Tally Helper'!$B$51&lt;&gt;TRUE(),"not on Staff",SUMIFS('Tally Helper'!$L$53:$GI$53,'Tally Helper'!$L$51:$GI$51,"&gt;="&amp;$BR114,'Tally Helper'!$L$51:$GI$51,"&lt;="&amp;$BS114)))</f>
        <v/>
      </c>
      <c r="AO114" s="17" t="str">
        <f aca="false">IF(OR(S$7="",$BR114=""),"",IF('Tally Helper'!$B$54&lt;&gt;TRUE(),"not on Staff",SUMIFS('Tally Helper'!$L$56:$GI$56,'Tally Helper'!$L$54:$GI$54,"&gt;="&amp;$BR114,'Tally Helper'!$L$54:$GI$54,"&lt;="&amp;$BS114)))</f>
        <v/>
      </c>
      <c r="AP114" s="17" t="str">
        <f aca="false">IF(OR(T$7="",$BR114=""),"",IF('Tally Helper'!$B$57&lt;&gt;TRUE(),"not on Staff",SUMIFS('Tally Helper'!$L$59:$GI$59,'Tally Helper'!$L$57:$GI$57,"&gt;="&amp;$BR114,'Tally Helper'!$L$57:$GI$57,"&lt;="&amp;$BS114)))</f>
        <v/>
      </c>
      <c r="AQ114" s="17" t="str">
        <f aca="false">IF(OR(U$7="",$BR114=""),"",IF('Tally Helper'!$B$60&lt;&gt;TRUE(),"not on Staff",SUMIFS('Tally Helper'!$L$62:$GI$62,'Tally Helper'!$L$60:$GI$60,"&gt;="&amp;$BR114,'Tally Helper'!$L$60:$GI$60,"&lt;="&amp;$BS114)))</f>
        <v/>
      </c>
      <c r="AT114" s="17" t="str">
        <f aca="false">IF(OR(X114="",NOT(ISNUMBER(X114))),"",X114-N(B114))</f>
        <v/>
      </c>
      <c r="AU114" s="17" t="str">
        <f aca="false">IF(OR(Y114="",NOT(ISNUMBER(Y114))),"",Y114-N(C114))</f>
        <v/>
      </c>
      <c r="AV114" s="17" t="str">
        <f aca="false">IF(OR(Z114="",NOT(ISNUMBER(Z114))),"",Z114-N(D114))</f>
        <v/>
      </c>
      <c r="AW114" s="17" t="str">
        <f aca="false">IF(OR(AA114="",NOT(ISNUMBER(AA114))),"",AA114-N(E114))</f>
        <v/>
      </c>
      <c r="AX114" s="17" t="str">
        <f aca="false">IF(OR(AB114="",NOT(ISNUMBER(AB114))),"",AB114-N(F114))</f>
        <v/>
      </c>
      <c r="AY114" s="17" t="str">
        <f aca="false">IF(OR(AC114="",NOT(ISNUMBER(AC114))),"",AC114-N(G114))</f>
        <v/>
      </c>
      <c r="AZ114" s="17" t="str">
        <f aca="false">IF(OR(AD114="",NOT(ISNUMBER(AD114))),"",AD114-N(H114))</f>
        <v/>
      </c>
      <c r="BA114" s="17" t="str">
        <f aca="false">IF(OR(AE114="",NOT(ISNUMBER(AE114))),"",AE114-N(I114))</f>
        <v/>
      </c>
      <c r="BB114" s="17" t="str">
        <f aca="false">IF(OR(AF114="",NOT(ISNUMBER(AF114))),"",AF114-N(J114))</f>
        <v/>
      </c>
      <c r="BC114" s="17" t="str">
        <f aca="false">IF(OR(AG114="",NOT(ISNUMBER(AG114))),"",AG114-N(K114))</f>
        <v/>
      </c>
      <c r="BD114" s="17" t="str">
        <f aca="false">IF(OR(AH114="",NOT(ISNUMBER(AH114))),"",AH114-N(L114))</f>
        <v/>
      </c>
      <c r="BE114" s="17" t="str">
        <f aca="false">IF(OR(AI114="",NOT(ISNUMBER(AI114))),"",AI114-N(M114))</f>
        <v/>
      </c>
      <c r="BF114" s="17" t="str">
        <f aca="false">IF(OR(AJ114="",NOT(ISNUMBER(AJ114))),"",AJ114-N(N114))</f>
        <v/>
      </c>
      <c r="BG114" s="17" t="str">
        <f aca="false">IF(OR(AK114="",NOT(ISNUMBER(AK114))),"",AK114-N(O114))</f>
        <v/>
      </c>
      <c r="BH114" s="17" t="str">
        <f aca="false">IF(OR(AL114="",NOT(ISNUMBER(AL114))),"",AL114-N(P114))</f>
        <v/>
      </c>
      <c r="BI114" s="17" t="str">
        <f aca="false">IF(OR(AM114="",NOT(ISNUMBER(AM114))),"",AM114-N(Q114))</f>
        <v/>
      </c>
      <c r="BJ114" s="17" t="str">
        <f aca="false">IF(OR(AN114="",NOT(ISNUMBER(AN114))),"",AN114-N(R114))</f>
        <v/>
      </c>
      <c r="BK114" s="17" t="str">
        <f aca="false">IF(OR(AO114="",NOT(ISNUMBER(AO114))),"",AO114-N(S114))</f>
        <v/>
      </c>
      <c r="BL114" s="17" t="str">
        <f aca="false">IF(OR(AP114="",NOT(ISNUMBER(AP114))),"",AP114-N(T114))</f>
        <v/>
      </c>
      <c r="BM114" s="17" t="str">
        <f aca="false">IF(OR(AQ114="",NOT(ISNUMBER(AQ114))),"",AQ114-N(U114))</f>
        <v/>
      </c>
      <c r="BR114" s="20" t="str">
        <f aca="false">IF($A114="","",IF(ISNUMBER($A114),DATE(YEAR($A114),MONTH($A114),1),IFERROR(DATE(2000+VALUE(RIGHT(TRIM($A114),2)),MATCH(UPPER(LEFT(TRIM($A114),3)),{"JAN","FEB","MAR","APR","MAY","JUN","JUL","AUG","SEP","OCT","NOV","DEC"},0),1),"")))</f>
        <v/>
      </c>
      <c r="BS114" s="20" t="str">
        <f aca="false">IF(BR114="","",EOMONTH(BR114,0))</f>
        <v/>
      </c>
    </row>
    <row r="115" customFormat="false" ht="15" hidden="false" customHeight="false" outlineLevel="0" collapsed="false">
      <c r="B115" s="21"/>
      <c r="C115" s="21"/>
      <c r="D115" s="21"/>
      <c r="E115" s="21"/>
      <c r="F115" s="21"/>
      <c r="G115" s="21"/>
      <c r="H115" s="21"/>
      <c r="I115" s="21"/>
      <c r="J115" s="21"/>
      <c r="K115" s="21"/>
      <c r="L115" s="21"/>
      <c r="M115" s="21"/>
      <c r="N115" s="21"/>
      <c r="O115" s="21"/>
      <c r="P115" s="21"/>
      <c r="Q115" s="21"/>
      <c r="R115" s="21"/>
      <c r="S115" s="21"/>
      <c r="T115" s="21"/>
      <c r="U115" s="21"/>
      <c r="X115" s="17" t="str">
        <f aca="false">IF(OR(B$7="",$BR115=""),"",IF('Tally Helper'!$B$3&lt;&gt;TRUE(),"not on Staff",SUMIFS('Tally Helper'!$L$5:$GI$5,'Tally Helper'!$L$3:$GI$3,"&gt;="&amp;$BR115,'Tally Helper'!$L$3:$GI$3,"&lt;="&amp;$BS115)))</f>
        <v/>
      </c>
      <c r="Y115" s="17" t="str">
        <f aca="false">IF(OR(C$7="",$BR115=""),"",IF('Tally Helper'!$B$6&lt;&gt;TRUE(),"not on Staff",SUMIFS('Tally Helper'!$L$8:$GI$8,'Tally Helper'!$L$6:$GI$6,"&gt;="&amp;$BR115,'Tally Helper'!$L$6:$GI$6,"&lt;="&amp;$BS115)))</f>
        <v/>
      </c>
      <c r="Z115" s="17" t="str">
        <f aca="false">IF(OR(D$7="",$BR115=""),"",IF('Tally Helper'!$B$9&lt;&gt;TRUE(),"not on Staff",SUMIFS('Tally Helper'!$L$11:$GI$11,'Tally Helper'!$L$9:$GI$9,"&gt;="&amp;$BR115,'Tally Helper'!$L$9:$GI$9,"&lt;="&amp;$BS115)))</f>
        <v/>
      </c>
      <c r="AA115" s="17" t="str">
        <f aca="false">IF(OR(E$7="",$BR115=""),"",IF('Tally Helper'!$B$12&lt;&gt;TRUE(),"not on Staff",SUMIFS('Tally Helper'!$L$14:$GI$14,'Tally Helper'!$L$12:$GI$12,"&gt;="&amp;$BR115,'Tally Helper'!$L$12:$GI$12,"&lt;="&amp;$BS115)))</f>
        <v/>
      </c>
      <c r="AB115" s="17" t="str">
        <f aca="false">IF(OR(F$7="",$BR115=""),"",IF('Tally Helper'!$B$15&lt;&gt;TRUE(),"not on Staff",SUMIFS('Tally Helper'!$L$17:$GI$17,'Tally Helper'!$L$15:$GI$15,"&gt;="&amp;$BR115,'Tally Helper'!$L$15:$GI$15,"&lt;="&amp;$BS115)))</f>
        <v/>
      </c>
      <c r="AC115" s="17" t="str">
        <f aca="false">IF(OR(G$7="",$BR115=""),"",IF('Tally Helper'!$B$18&lt;&gt;TRUE(),"not on Staff",SUMIFS('Tally Helper'!$L$20:$GI$20,'Tally Helper'!$L$18:$GI$18,"&gt;="&amp;$BR115,'Tally Helper'!$L$18:$GI$18,"&lt;="&amp;$BS115)))</f>
        <v/>
      </c>
      <c r="AD115" s="17" t="str">
        <f aca="false">IF(OR(H$7="",$BR115=""),"",IF('Tally Helper'!$B$21&lt;&gt;TRUE(),"not on Staff",SUMIFS('Tally Helper'!$L$23:$GI$23,'Tally Helper'!$L$21:$GI$21,"&gt;="&amp;$BR115,'Tally Helper'!$L$21:$GI$21,"&lt;="&amp;$BS115)))</f>
        <v/>
      </c>
      <c r="AE115" s="17" t="str">
        <f aca="false">IF(OR(I$7="",$BR115=""),"",IF('Tally Helper'!$B$24&lt;&gt;TRUE(),"not on Staff",SUMIFS('Tally Helper'!$L$26:$GI$26,'Tally Helper'!$L$24:$GI$24,"&gt;="&amp;$BR115,'Tally Helper'!$L$24:$GI$24,"&lt;="&amp;$BS115)))</f>
        <v/>
      </c>
      <c r="AF115" s="17" t="str">
        <f aca="false">IF(OR(J$7="",$BR115=""),"",IF('Tally Helper'!$B$27&lt;&gt;TRUE(),"not on Staff",SUMIFS('Tally Helper'!$L$29:$GI$29,'Tally Helper'!$L$27:$GI$27,"&gt;="&amp;$BR115,'Tally Helper'!$L$27:$GI$27,"&lt;="&amp;$BS115)))</f>
        <v/>
      </c>
      <c r="AG115" s="17" t="str">
        <f aca="false">IF(OR(K$7="",$BR115=""),"",IF('Tally Helper'!$B$30&lt;&gt;TRUE(),"not on Staff",SUMIFS('Tally Helper'!$L$32:$GI$32,'Tally Helper'!$L$30:$GI$30,"&gt;="&amp;$BR115,'Tally Helper'!$L$30:$GI$30,"&lt;="&amp;$BS115)))</f>
        <v/>
      </c>
      <c r="AH115" s="17" t="str">
        <f aca="false">IF(OR(L$7="",$BR115=""),"",IF('Tally Helper'!$B$33&lt;&gt;TRUE(),"not on Staff",SUMIFS('Tally Helper'!$L$35:$GI$35,'Tally Helper'!$L$33:$GI$33,"&gt;="&amp;$BR115,'Tally Helper'!$L$33:$GI$33,"&lt;="&amp;$BS115)))</f>
        <v/>
      </c>
      <c r="AI115" s="17" t="str">
        <f aca="false">IF(OR(M$7="",$BR115=""),"",IF('Tally Helper'!$B$36&lt;&gt;TRUE(),"not on Staff",SUMIFS('Tally Helper'!$L$38:$GI$38,'Tally Helper'!$L$36:$GI$36,"&gt;="&amp;$BR115,'Tally Helper'!$L$36:$GI$36,"&lt;="&amp;$BS115)))</f>
        <v/>
      </c>
      <c r="AJ115" s="17" t="str">
        <f aca="false">IF(OR(N$7="",$BR115=""),"",IF('Tally Helper'!$B$39&lt;&gt;TRUE(),"not on Staff",SUMIFS('Tally Helper'!$L$41:$GI$41,'Tally Helper'!$L$39:$GI$39,"&gt;="&amp;$BR115,'Tally Helper'!$L$39:$GI$39,"&lt;="&amp;$BS115)))</f>
        <v/>
      </c>
      <c r="AK115" s="17" t="str">
        <f aca="false">IF(OR(O$7="",$BR115=""),"",IF('Tally Helper'!$B$42&lt;&gt;TRUE(),"not on Staff",SUMIFS('Tally Helper'!$L$44:$GI$44,'Tally Helper'!$L$42:$GI$42,"&gt;="&amp;$BR115,'Tally Helper'!$L$42:$GI$42,"&lt;="&amp;$BS115)))</f>
        <v/>
      </c>
      <c r="AL115" s="17" t="str">
        <f aca="false">IF(OR(P$7="",$BR115=""),"",IF('Tally Helper'!$B$45&lt;&gt;TRUE(),"not on Staff",SUMIFS('Tally Helper'!$L$47:$GI$47,'Tally Helper'!$L$45:$GI$45,"&gt;="&amp;$BR115,'Tally Helper'!$L$45:$GI$45,"&lt;="&amp;$BS115)))</f>
        <v/>
      </c>
      <c r="AM115" s="17" t="str">
        <f aca="false">IF(OR(Q$7="",$BR115=""),"",IF('Tally Helper'!$B$48&lt;&gt;TRUE(),"not on Staff",SUMIFS('Tally Helper'!$L$50:$GI$50,'Tally Helper'!$L$48:$GI$48,"&gt;="&amp;$BR115,'Tally Helper'!$L$48:$GI$48,"&lt;="&amp;$BS115)))</f>
        <v/>
      </c>
      <c r="AN115" s="17" t="str">
        <f aca="false">IF(OR(R$7="",$BR115=""),"",IF('Tally Helper'!$B$51&lt;&gt;TRUE(),"not on Staff",SUMIFS('Tally Helper'!$L$53:$GI$53,'Tally Helper'!$L$51:$GI$51,"&gt;="&amp;$BR115,'Tally Helper'!$L$51:$GI$51,"&lt;="&amp;$BS115)))</f>
        <v/>
      </c>
      <c r="AO115" s="17" t="str">
        <f aca="false">IF(OR(S$7="",$BR115=""),"",IF('Tally Helper'!$B$54&lt;&gt;TRUE(),"not on Staff",SUMIFS('Tally Helper'!$L$56:$GI$56,'Tally Helper'!$L$54:$GI$54,"&gt;="&amp;$BR115,'Tally Helper'!$L$54:$GI$54,"&lt;="&amp;$BS115)))</f>
        <v/>
      </c>
      <c r="AP115" s="17" t="str">
        <f aca="false">IF(OR(T$7="",$BR115=""),"",IF('Tally Helper'!$B$57&lt;&gt;TRUE(),"not on Staff",SUMIFS('Tally Helper'!$L$59:$GI$59,'Tally Helper'!$L$57:$GI$57,"&gt;="&amp;$BR115,'Tally Helper'!$L$57:$GI$57,"&lt;="&amp;$BS115)))</f>
        <v/>
      </c>
      <c r="AQ115" s="17" t="str">
        <f aca="false">IF(OR(U$7="",$BR115=""),"",IF('Tally Helper'!$B$60&lt;&gt;TRUE(),"not on Staff",SUMIFS('Tally Helper'!$L$62:$GI$62,'Tally Helper'!$L$60:$GI$60,"&gt;="&amp;$BR115,'Tally Helper'!$L$60:$GI$60,"&lt;="&amp;$BS115)))</f>
        <v/>
      </c>
      <c r="AT115" s="17" t="str">
        <f aca="false">IF(OR(X115="",NOT(ISNUMBER(X115))),"",X115-N(B115))</f>
        <v/>
      </c>
      <c r="AU115" s="17" t="str">
        <f aca="false">IF(OR(Y115="",NOT(ISNUMBER(Y115))),"",Y115-N(C115))</f>
        <v/>
      </c>
      <c r="AV115" s="17" t="str">
        <f aca="false">IF(OR(Z115="",NOT(ISNUMBER(Z115))),"",Z115-N(D115))</f>
        <v/>
      </c>
      <c r="AW115" s="17" t="str">
        <f aca="false">IF(OR(AA115="",NOT(ISNUMBER(AA115))),"",AA115-N(E115))</f>
        <v/>
      </c>
      <c r="AX115" s="17" t="str">
        <f aca="false">IF(OR(AB115="",NOT(ISNUMBER(AB115))),"",AB115-N(F115))</f>
        <v/>
      </c>
      <c r="AY115" s="17" t="str">
        <f aca="false">IF(OR(AC115="",NOT(ISNUMBER(AC115))),"",AC115-N(G115))</f>
        <v/>
      </c>
      <c r="AZ115" s="17" t="str">
        <f aca="false">IF(OR(AD115="",NOT(ISNUMBER(AD115))),"",AD115-N(H115))</f>
        <v/>
      </c>
      <c r="BA115" s="17" t="str">
        <f aca="false">IF(OR(AE115="",NOT(ISNUMBER(AE115))),"",AE115-N(I115))</f>
        <v/>
      </c>
      <c r="BB115" s="17" t="str">
        <f aca="false">IF(OR(AF115="",NOT(ISNUMBER(AF115))),"",AF115-N(J115))</f>
        <v/>
      </c>
      <c r="BC115" s="17" t="str">
        <f aca="false">IF(OR(AG115="",NOT(ISNUMBER(AG115))),"",AG115-N(K115))</f>
        <v/>
      </c>
      <c r="BD115" s="17" t="str">
        <f aca="false">IF(OR(AH115="",NOT(ISNUMBER(AH115))),"",AH115-N(L115))</f>
        <v/>
      </c>
      <c r="BE115" s="17" t="str">
        <f aca="false">IF(OR(AI115="",NOT(ISNUMBER(AI115))),"",AI115-N(M115))</f>
        <v/>
      </c>
      <c r="BF115" s="17" t="str">
        <f aca="false">IF(OR(AJ115="",NOT(ISNUMBER(AJ115))),"",AJ115-N(N115))</f>
        <v/>
      </c>
      <c r="BG115" s="17" t="str">
        <f aca="false">IF(OR(AK115="",NOT(ISNUMBER(AK115))),"",AK115-N(O115))</f>
        <v/>
      </c>
      <c r="BH115" s="17" t="str">
        <f aca="false">IF(OR(AL115="",NOT(ISNUMBER(AL115))),"",AL115-N(P115))</f>
        <v/>
      </c>
      <c r="BI115" s="17" t="str">
        <f aca="false">IF(OR(AM115="",NOT(ISNUMBER(AM115))),"",AM115-N(Q115))</f>
        <v/>
      </c>
      <c r="BJ115" s="17" t="str">
        <f aca="false">IF(OR(AN115="",NOT(ISNUMBER(AN115))),"",AN115-N(R115))</f>
        <v/>
      </c>
      <c r="BK115" s="17" t="str">
        <f aca="false">IF(OR(AO115="",NOT(ISNUMBER(AO115))),"",AO115-N(S115))</f>
        <v/>
      </c>
      <c r="BL115" s="17" t="str">
        <f aca="false">IF(OR(AP115="",NOT(ISNUMBER(AP115))),"",AP115-N(T115))</f>
        <v/>
      </c>
      <c r="BM115" s="17" t="str">
        <f aca="false">IF(OR(AQ115="",NOT(ISNUMBER(AQ115))),"",AQ115-N(U115))</f>
        <v/>
      </c>
      <c r="BR115" s="20" t="str">
        <f aca="false">IF($A115="","",IF(ISNUMBER($A115),DATE(YEAR($A115),MONTH($A115),1),IFERROR(DATE(2000+VALUE(RIGHT(TRIM($A115),2)),MATCH(UPPER(LEFT(TRIM($A115),3)),{"JAN","FEB","MAR","APR","MAY","JUN","JUL","AUG","SEP","OCT","NOV","DEC"},0),1),"")))</f>
        <v/>
      </c>
      <c r="BS115" s="20" t="str">
        <f aca="false">IF(BR115="","",EOMONTH(BR115,0))</f>
        <v/>
      </c>
    </row>
    <row r="116" customFormat="false" ht="15" hidden="false" customHeight="false" outlineLevel="0" collapsed="false">
      <c r="B116" s="21"/>
      <c r="C116" s="21"/>
      <c r="D116" s="21"/>
      <c r="E116" s="21"/>
      <c r="F116" s="21"/>
      <c r="G116" s="21"/>
      <c r="H116" s="21"/>
      <c r="I116" s="21"/>
      <c r="J116" s="21"/>
      <c r="K116" s="21"/>
      <c r="L116" s="21"/>
      <c r="M116" s="21"/>
      <c r="N116" s="21"/>
      <c r="O116" s="21"/>
      <c r="P116" s="21"/>
      <c r="Q116" s="21"/>
      <c r="R116" s="21"/>
      <c r="S116" s="21"/>
      <c r="T116" s="21"/>
      <c r="U116" s="21"/>
      <c r="X116" s="17" t="str">
        <f aca="false">IF(OR(B$7="",$BR116=""),"",IF('Tally Helper'!$B$3&lt;&gt;TRUE(),"not on Staff",SUMIFS('Tally Helper'!$L$5:$GI$5,'Tally Helper'!$L$3:$GI$3,"&gt;="&amp;$BR116,'Tally Helper'!$L$3:$GI$3,"&lt;="&amp;$BS116)))</f>
        <v/>
      </c>
      <c r="Y116" s="17" t="str">
        <f aca="false">IF(OR(C$7="",$BR116=""),"",IF('Tally Helper'!$B$6&lt;&gt;TRUE(),"not on Staff",SUMIFS('Tally Helper'!$L$8:$GI$8,'Tally Helper'!$L$6:$GI$6,"&gt;="&amp;$BR116,'Tally Helper'!$L$6:$GI$6,"&lt;="&amp;$BS116)))</f>
        <v/>
      </c>
      <c r="Z116" s="17" t="str">
        <f aca="false">IF(OR(D$7="",$BR116=""),"",IF('Tally Helper'!$B$9&lt;&gt;TRUE(),"not on Staff",SUMIFS('Tally Helper'!$L$11:$GI$11,'Tally Helper'!$L$9:$GI$9,"&gt;="&amp;$BR116,'Tally Helper'!$L$9:$GI$9,"&lt;="&amp;$BS116)))</f>
        <v/>
      </c>
      <c r="AA116" s="17" t="str">
        <f aca="false">IF(OR(E$7="",$BR116=""),"",IF('Tally Helper'!$B$12&lt;&gt;TRUE(),"not on Staff",SUMIFS('Tally Helper'!$L$14:$GI$14,'Tally Helper'!$L$12:$GI$12,"&gt;="&amp;$BR116,'Tally Helper'!$L$12:$GI$12,"&lt;="&amp;$BS116)))</f>
        <v/>
      </c>
      <c r="AB116" s="17" t="str">
        <f aca="false">IF(OR(F$7="",$BR116=""),"",IF('Tally Helper'!$B$15&lt;&gt;TRUE(),"not on Staff",SUMIFS('Tally Helper'!$L$17:$GI$17,'Tally Helper'!$L$15:$GI$15,"&gt;="&amp;$BR116,'Tally Helper'!$L$15:$GI$15,"&lt;="&amp;$BS116)))</f>
        <v/>
      </c>
      <c r="AC116" s="17" t="str">
        <f aca="false">IF(OR(G$7="",$BR116=""),"",IF('Tally Helper'!$B$18&lt;&gt;TRUE(),"not on Staff",SUMIFS('Tally Helper'!$L$20:$GI$20,'Tally Helper'!$L$18:$GI$18,"&gt;="&amp;$BR116,'Tally Helper'!$L$18:$GI$18,"&lt;="&amp;$BS116)))</f>
        <v/>
      </c>
      <c r="AD116" s="17" t="str">
        <f aca="false">IF(OR(H$7="",$BR116=""),"",IF('Tally Helper'!$B$21&lt;&gt;TRUE(),"not on Staff",SUMIFS('Tally Helper'!$L$23:$GI$23,'Tally Helper'!$L$21:$GI$21,"&gt;="&amp;$BR116,'Tally Helper'!$L$21:$GI$21,"&lt;="&amp;$BS116)))</f>
        <v/>
      </c>
      <c r="AE116" s="17" t="str">
        <f aca="false">IF(OR(I$7="",$BR116=""),"",IF('Tally Helper'!$B$24&lt;&gt;TRUE(),"not on Staff",SUMIFS('Tally Helper'!$L$26:$GI$26,'Tally Helper'!$L$24:$GI$24,"&gt;="&amp;$BR116,'Tally Helper'!$L$24:$GI$24,"&lt;="&amp;$BS116)))</f>
        <v/>
      </c>
      <c r="AF116" s="17" t="str">
        <f aca="false">IF(OR(J$7="",$BR116=""),"",IF('Tally Helper'!$B$27&lt;&gt;TRUE(),"not on Staff",SUMIFS('Tally Helper'!$L$29:$GI$29,'Tally Helper'!$L$27:$GI$27,"&gt;="&amp;$BR116,'Tally Helper'!$L$27:$GI$27,"&lt;="&amp;$BS116)))</f>
        <v/>
      </c>
      <c r="AG116" s="17" t="str">
        <f aca="false">IF(OR(K$7="",$BR116=""),"",IF('Tally Helper'!$B$30&lt;&gt;TRUE(),"not on Staff",SUMIFS('Tally Helper'!$L$32:$GI$32,'Tally Helper'!$L$30:$GI$30,"&gt;="&amp;$BR116,'Tally Helper'!$L$30:$GI$30,"&lt;="&amp;$BS116)))</f>
        <v/>
      </c>
      <c r="AH116" s="17" t="str">
        <f aca="false">IF(OR(L$7="",$BR116=""),"",IF('Tally Helper'!$B$33&lt;&gt;TRUE(),"not on Staff",SUMIFS('Tally Helper'!$L$35:$GI$35,'Tally Helper'!$L$33:$GI$33,"&gt;="&amp;$BR116,'Tally Helper'!$L$33:$GI$33,"&lt;="&amp;$BS116)))</f>
        <v/>
      </c>
      <c r="AI116" s="17" t="str">
        <f aca="false">IF(OR(M$7="",$BR116=""),"",IF('Tally Helper'!$B$36&lt;&gt;TRUE(),"not on Staff",SUMIFS('Tally Helper'!$L$38:$GI$38,'Tally Helper'!$L$36:$GI$36,"&gt;="&amp;$BR116,'Tally Helper'!$L$36:$GI$36,"&lt;="&amp;$BS116)))</f>
        <v/>
      </c>
      <c r="AJ116" s="17" t="str">
        <f aca="false">IF(OR(N$7="",$BR116=""),"",IF('Tally Helper'!$B$39&lt;&gt;TRUE(),"not on Staff",SUMIFS('Tally Helper'!$L$41:$GI$41,'Tally Helper'!$L$39:$GI$39,"&gt;="&amp;$BR116,'Tally Helper'!$L$39:$GI$39,"&lt;="&amp;$BS116)))</f>
        <v/>
      </c>
      <c r="AK116" s="17" t="str">
        <f aca="false">IF(OR(O$7="",$BR116=""),"",IF('Tally Helper'!$B$42&lt;&gt;TRUE(),"not on Staff",SUMIFS('Tally Helper'!$L$44:$GI$44,'Tally Helper'!$L$42:$GI$42,"&gt;="&amp;$BR116,'Tally Helper'!$L$42:$GI$42,"&lt;="&amp;$BS116)))</f>
        <v/>
      </c>
      <c r="AL116" s="17" t="str">
        <f aca="false">IF(OR(P$7="",$BR116=""),"",IF('Tally Helper'!$B$45&lt;&gt;TRUE(),"not on Staff",SUMIFS('Tally Helper'!$L$47:$GI$47,'Tally Helper'!$L$45:$GI$45,"&gt;="&amp;$BR116,'Tally Helper'!$L$45:$GI$45,"&lt;="&amp;$BS116)))</f>
        <v/>
      </c>
      <c r="AM116" s="17" t="str">
        <f aca="false">IF(OR(Q$7="",$BR116=""),"",IF('Tally Helper'!$B$48&lt;&gt;TRUE(),"not on Staff",SUMIFS('Tally Helper'!$L$50:$GI$50,'Tally Helper'!$L$48:$GI$48,"&gt;="&amp;$BR116,'Tally Helper'!$L$48:$GI$48,"&lt;="&amp;$BS116)))</f>
        <v/>
      </c>
      <c r="AN116" s="17" t="str">
        <f aca="false">IF(OR(R$7="",$BR116=""),"",IF('Tally Helper'!$B$51&lt;&gt;TRUE(),"not on Staff",SUMIFS('Tally Helper'!$L$53:$GI$53,'Tally Helper'!$L$51:$GI$51,"&gt;="&amp;$BR116,'Tally Helper'!$L$51:$GI$51,"&lt;="&amp;$BS116)))</f>
        <v/>
      </c>
      <c r="AO116" s="17" t="str">
        <f aca="false">IF(OR(S$7="",$BR116=""),"",IF('Tally Helper'!$B$54&lt;&gt;TRUE(),"not on Staff",SUMIFS('Tally Helper'!$L$56:$GI$56,'Tally Helper'!$L$54:$GI$54,"&gt;="&amp;$BR116,'Tally Helper'!$L$54:$GI$54,"&lt;="&amp;$BS116)))</f>
        <v/>
      </c>
      <c r="AP116" s="17" t="str">
        <f aca="false">IF(OR(T$7="",$BR116=""),"",IF('Tally Helper'!$B$57&lt;&gt;TRUE(),"not on Staff",SUMIFS('Tally Helper'!$L$59:$GI$59,'Tally Helper'!$L$57:$GI$57,"&gt;="&amp;$BR116,'Tally Helper'!$L$57:$GI$57,"&lt;="&amp;$BS116)))</f>
        <v/>
      </c>
      <c r="AQ116" s="17" t="str">
        <f aca="false">IF(OR(U$7="",$BR116=""),"",IF('Tally Helper'!$B$60&lt;&gt;TRUE(),"not on Staff",SUMIFS('Tally Helper'!$L$62:$GI$62,'Tally Helper'!$L$60:$GI$60,"&gt;="&amp;$BR116,'Tally Helper'!$L$60:$GI$60,"&lt;="&amp;$BS116)))</f>
        <v/>
      </c>
      <c r="AT116" s="17" t="str">
        <f aca="false">IF(OR(X116="",NOT(ISNUMBER(X116))),"",X116-N(B116))</f>
        <v/>
      </c>
      <c r="AU116" s="17" t="str">
        <f aca="false">IF(OR(Y116="",NOT(ISNUMBER(Y116))),"",Y116-N(C116))</f>
        <v/>
      </c>
      <c r="AV116" s="17" t="str">
        <f aca="false">IF(OR(Z116="",NOT(ISNUMBER(Z116))),"",Z116-N(D116))</f>
        <v/>
      </c>
      <c r="AW116" s="17" t="str">
        <f aca="false">IF(OR(AA116="",NOT(ISNUMBER(AA116))),"",AA116-N(E116))</f>
        <v/>
      </c>
      <c r="AX116" s="17" t="str">
        <f aca="false">IF(OR(AB116="",NOT(ISNUMBER(AB116))),"",AB116-N(F116))</f>
        <v/>
      </c>
      <c r="AY116" s="17" t="str">
        <f aca="false">IF(OR(AC116="",NOT(ISNUMBER(AC116))),"",AC116-N(G116))</f>
        <v/>
      </c>
      <c r="AZ116" s="17" t="str">
        <f aca="false">IF(OR(AD116="",NOT(ISNUMBER(AD116))),"",AD116-N(H116))</f>
        <v/>
      </c>
      <c r="BA116" s="17" t="str">
        <f aca="false">IF(OR(AE116="",NOT(ISNUMBER(AE116))),"",AE116-N(I116))</f>
        <v/>
      </c>
      <c r="BB116" s="17" t="str">
        <f aca="false">IF(OR(AF116="",NOT(ISNUMBER(AF116))),"",AF116-N(J116))</f>
        <v/>
      </c>
      <c r="BC116" s="17" t="str">
        <f aca="false">IF(OR(AG116="",NOT(ISNUMBER(AG116))),"",AG116-N(K116))</f>
        <v/>
      </c>
      <c r="BD116" s="17" t="str">
        <f aca="false">IF(OR(AH116="",NOT(ISNUMBER(AH116))),"",AH116-N(L116))</f>
        <v/>
      </c>
      <c r="BE116" s="17" t="str">
        <f aca="false">IF(OR(AI116="",NOT(ISNUMBER(AI116))),"",AI116-N(M116))</f>
        <v/>
      </c>
      <c r="BF116" s="17" t="str">
        <f aca="false">IF(OR(AJ116="",NOT(ISNUMBER(AJ116))),"",AJ116-N(N116))</f>
        <v/>
      </c>
      <c r="BG116" s="17" t="str">
        <f aca="false">IF(OR(AK116="",NOT(ISNUMBER(AK116))),"",AK116-N(O116))</f>
        <v/>
      </c>
      <c r="BH116" s="17" t="str">
        <f aca="false">IF(OR(AL116="",NOT(ISNUMBER(AL116))),"",AL116-N(P116))</f>
        <v/>
      </c>
      <c r="BI116" s="17" t="str">
        <f aca="false">IF(OR(AM116="",NOT(ISNUMBER(AM116))),"",AM116-N(Q116))</f>
        <v/>
      </c>
      <c r="BJ116" s="17" t="str">
        <f aca="false">IF(OR(AN116="",NOT(ISNUMBER(AN116))),"",AN116-N(R116))</f>
        <v/>
      </c>
      <c r="BK116" s="17" t="str">
        <f aca="false">IF(OR(AO116="",NOT(ISNUMBER(AO116))),"",AO116-N(S116))</f>
        <v/>
      </c>
      <c r="BL116" s="17" t="str">
        <f aca="false">IF(OR(AP116="",NOT(ISNUMBER(AP116))),"",AP116-N(T116))</f>
        <v/>
      </c>
      <c r="BM116" s="17" t="str">
        <f aca="false">IF(OR(AQ116="",NOT(ISNUMBER(AQ116))),"",AQ116-N(U116))</f>
        <v/>
      </c>
      <c r="BR116" s="20" t="str">
        <f aca="false">IF($A116="","",IF(ISNUMBER($A116),DATE(YEAR($A116),MONTH($A116),1),IFERROR(DATE(2000+VALUE(RIGHT(TRIM($A116),2)),MATCH(UPPER(LEFT(TRIM($A116),3)),{"JAN","FEB","MAR","APR","MAY","JUN","JUL","AUG","SEP","OCT","NOV","DEC"},0),1),"")))</f>
        <v/>
      </c>
      <c r="BS116" s="20" t="str">
        <f aca="false">IF(BR116="","",EOMONTH(BR116,0))</f>
        <v/>
      </c>
    </row>
    <row r="117" customFormat="false" ht="15" hidden="false" customHeight="false" outlineLevel="0" collapsed="false">
      <c r="B117" s="21"/>
      <c r="C117" s="21"/>
      <c r="D117" s="21"/>
      <c r="E117" s="21"/>
      <c r="F117" s="21"/>
      <c r="G117" s="21"/>
      <c r="H117" s="21"/>
      <c r="I117" s="21"/>
      <c r="J117" s="21"/>
      <c r="K117" s="21"/>
      <c r="L117" s="21"/>
      <c r="M117" s="21"/>
      <c r="N117" s="21"/>
      <c r="O117" s="21"/>
      <c r="P117" s="21"/>
      <c r="Q117" s="21"/>
      <c r="R117" s="21"/>
      <c r="S117" s="21"/>
      <c r="T117" s="21"/>
      <c r="U117" s="21"/>
      <c r="X117" s="17" t="str">
        <f aca="false">IF(OR(B$7="",$BR117=""),"",IF('Tally Helper'!$B$3&lt;&gt;TRUE(),"not on Staff",SUMIFS('Tally Helper'!$L$5:$GI$5,'Tally Helper'!$L$3:$GI$3,"&gt;="&amp;$BR117,'Tally Helper'!$L$3:$GI$3,"&lt;="&amp;$BS117)))</f>
        <v/>
      </c>
      <c r="Y117" s="17" t="str">
        <f aca="false">IF(OR(C$7="",$BR117=""),"",IF('Tally Helper'!$B$6&lt;&gt;TRUE(),"not on Staff",SUMIFS('Tally Helper'!$L$8:$GI$8,'Tally Helper'!$L$6:$GI$6,"&gt;="&amp;$BR117,'Tally Helper'!$L$6:$GI$6,"&lt;="&amp;$BS117)))</f>
        <v/>
      </c>
      <c r="Z117" s="17" t="str">
        <f aca="false">IF(OR(D$7="",$BR117=""),"",IF('Tally Helper'!$B$9&lt;&gt;TRUE(),"not on Staff",SUMIFS('Tally Helper'!$L$11:$GI$11,'Tally Helper'!$L$9:$GI$9,"&gt;="&amp;$BR117,'Tally Helper'!$L$9:$GI$9,"&lt;="&amp;$BS117)))</f>
        <v/>
      </c>
      <c r="AA117" s="17" t="str">
        <f aca="false">IF(OR(E$7="",$BR117=""),"",IF('Tally Helper'!$B$12&lt;&gt;TRUE(),"not on Staff",SUMIFS('Tally Helper'!$L$14:$GI$14,'Tally Helper'!$L$12:$GI$12,"&gt;="&amp;$BR117,'Tally Helper'!$L$12:$GI$12,"&lt;="&amp;$BS117)))</f>
        <v/>
      </c>
      <c r="AB117" s="17" t="str">
        <f aca="false">IF(OR(F$7="",$BR117=""),"",IF('Tally Helper'!$B$15&lt;&gt;TRUE(),"not on Staff",SUMIFS('Tally Helper'!$L$17:$GI$17,'Tally Helper'!$L$15:$GI$15,"&gt;="&amp;$BR117,'Tally Helper'!$L$15:$GI$15,"&lt;="&amp;$BS117)))</f>
        <v/>
      </c>
      <c r="AC117" s="17" t="str">
        <f aca="false">IF(OR(G$7="",$BR117=""),"",IF('Tally Helper'!$B$18&lt;&gt;TRUE(),"not on Staff",SUMIFS('Tally Helper'!$L$20:$GI$20,'Tally Helper'!$L$18:$GI$18,"&gt;="&amp;$BR117,'Tally Helper'!$L$18:$GI$18,"&lt;="&amp;$BS117)))</f>
        <v/>
      </c>
      <c r="AD117" s="17" t="str">
        <f aca="false">IF(OR(H$7="",$BR117=""),"",IF('Tally Helper'!$B$21&lt;&gt;TRUE(),"not on Staff",SUMIFS('Tally Helper'!$L$23:$GI$23,'Tally Helper'!$L$21:$GI$21,"&gt;="&amp;$BR117,'Tally Helper'!$L$21:$GI$21,"&lt;="&amp;$BS117)))</f>
        <v/>
      </c>
      <c r="AE117" s="17" t="str">
        <f aca="false">IF(OR(I$7="",$BR117=""),"",IF('Tally Helper'!$B$24&lt;&gt;TRUE(),"not on Staff",SUMIFS('Tally Helper'!$L$26:$GI$26,'Tally Helper'!$L$24:$GI$24,"&gt;="&amp;$BR117,'Tally Helper'!$L$24:$GI$24,"&lt;="&amp;$BS117)))</f>
        <v/>
      </c>
      <c r="AF117" s="17" t="str">
        <f aca="false">IF(OR(J$7="",$BR117=""),"",IF('Tally Helper'!$B$27&lt;&gt;TRUE(),"not on Staff",SUMIFS('Tally Helper'!$L$29:$GI$29,'Tally Helper'!$L$27:$GI$27,"&gt;="&amp;$BR117,'Tally Helper'!$L$27:$GI$27,"&lt;="&amp;$BS117)))</f>
        <v/>
      </c>
      <c r="AG117" s="17" t="str">
        <f aca="false">IF(OR(K$7="",$BR117=""),"",IF('Tally Helper'!$B$30&lt;&gt;TRUE(),"not on Staff",SUMIFS('Tally Helper'!$L$32:$GI$32,'Tally Helper'!$L$30:$GI$30,"&gt;="&amp;$BR117,'Tally Helper'!$L$30:$GI$30,"&lt;="&amp;$BS117)))</f>
        <v/>
      </c>
      <c r="AH117" s="17" t="str">
        <f aca="false">IF(OR(L$7="",$BR117=""),"",IF('Tally Helper'!$B$33&lt;&gt;TRUE(),"not on Staff",SUMIFS('Tally Helper'!$L$35:$GI$35,'Tally Helper'!$L$33:$GI$33,"&gt;="&amp;$BR117,'Tally Helper'!$L$33:$GI$33,"&lt;="&amp;$BS117)))</f>
        <v/>
      </c>
      <c r="AI117" s="17" t="str">
        <f aca="false">IF(OR(M$7="",$BR117=""),"",IF('Tally Helper'!$B$36&lt;&gt;TRUE(),"not on Staff",SUMIFS('Tally Helper'!$L$38:$GI$38,'Tally Helper'!$L$36:$GI$36,"&gt;="&amp;$BR117,'Tally Helper'!$L$36:$GI$36,"&lt;="&amp;$BS117)))</f>
        <v/>
      </c>
      <c r="AJ117" s="17" t="str">
        <f aca="false">IF(OR(N$7="",$BR117=""),"",IF('Tally Helper'!$B$39&lt;&gt;TRUE(),"not on Staff",SUMIFS('Tally Helper'!$L$41:$GI$41,'Tally Helper'!$L$39:$GI$39,"&gt;="&amp;$BR117,'Tally Helper'!$L$39:$GI$39,"&lt;="&amp;$BS117)))</f>
        <v/>
      </c>
      <c r="AK117" s="17" t="str">
        <f aca="false">IF(OR(O$7="",$BR117=""),"",IF('Tally Helper'!$B$42&lt;&gt;TRUE(),"not on Staff",SUMIFS('Tally Helper'!$L$44:$GI$44,'Tally Helper'!$L$42:$GI$42,"&gt;="&amp;$BR117,'Tally Helper'!$L$42:$GI$42,"&lt;="&amp;$BS117)))</f>
        <v/>
      </c>
      <c r="AL117" s="17" t="str">
        <f aca="false">IF(OR(P$7="",$BR117=""),"",IF('Tally Helper'!$B$45&lt;&gt;TRUE(),"not on Staff",SUMIFS('Tally Helper'!$L$47:$GI$47,'Tally Helper'!$L$45:$GI$45,"&gt;="&amp;$BR117,'Tally Helper'!$L$45:$GI$45,"&lt;="&amp;$BS117)))</f>
        <v/>
      </c>
      <c r="AM117" s="17" t="str">
        <f aca="false">IF(OR(Q$7="",$BR117=""),"",IF('Tally Helper'!$B$48&lt;&gt;TRUE(),"not on Staff",SUMIFS('Tally Helper'!$L$50:$GI$50,'Tally Helper'!$L$48:$GI$48,"&gt;="&amp;$BR117,'Tally Helper'!$L$48:$GI$48,"&lt;="&amp;$BS117)))</f>
        <v/>
      </c>
      <c r="AN117" s="17" t="str">
        <f aca="false">IF(OR(R$7="",$BR117=""),"",IF('Tally Helper'!$B$51&lt;&gt;TRUE(),"not on Staff",SUMIFS('Tally Helper'!$L$53:$GI$53,'Tally Helper'!$L$51:$GI$51,"&gt;="&amp;$BR117,'Tally Helper'!$L$51:$GI$51,"&lt;="&amp;$BS117)))</f>
        <v/>
      </c>
      <c r="AO117" s="17" t="str">
        <f aca="false">IF(OR(S$7="",$BR117=""),"",IF('Tally Helper'!$B$54&lt;&gt;TRUE(),"not on Staff",SUMIFS('Tally Helper'!$L$56:$GI$56,'Tally Helper'!$L$54:$GI$54,"&gt;="&amp;$BR117,'Tally Helper'!$L$54:$GI$54,"&lt;="&amp;$BS117)))</f>
        <v/>
      </c>
      <c r="AP117" s="17" t="str">
        <f aca="false">IF(OR(T$7="",$BR117=""),"",IF('Tally Helper'!$B$57&lt;&gt;TRUE(),"not on Staff",SUMIFS('Tally Helper'!$L$59:$GI$59,'Tally Helper'!$L$57:$GI$57,"&gt;="&amp;$BR117,'Tally Helper'!$L$57:$GI$57,"&lt;="&amp;$BS117)))</f>
        <v/>
      </c>
      <c r="AQ117" s="17" t="str">
        <f aca="false">IF(OR(U$7="",$BR117=""),"",IF('Tally Helper'!$B$60&lt;&gt;TRUE(),"not on Staff",SUMIFS('Tally Helper'!$L$62:$GI$62,'Tally Helper'!$L$60:$GI$60,"&gt;="&amp;$BR117,'Tally Helper'!$L$60:$GI$60,"&lt;="&amp;$BS117)))</f>
        <v/>
      </c>
      <c r="AT117" s="17" t="str">
        <f aca="false">IF(OR(X117="",NOT(ISNUMBER(X117))),"",X117-N(B117))</f>
        <v/>
      </c>
      <c r="AU117" s="17" t="str">
        <f aca="false">IF(OR(Y117="",NOT(ISNUMBER(Y117))),"",Y117-N(C117))</f>
        <v/>
      </c>
      <c r="AV117" s="17" t="str">
        <f aca="false">IF(OR(Z117="",NOT(ISNUMBER(Z117))),"",Z117-N(D117))</f>
        <v/>
      </c>
      <c r="AW117" s="17" t="str">
        <f aca="false">IF(OR(AA117="",NOT(ISNUMBER(AA117))),"",AA117-N(E117))</f>
        <v/>
      </c>
      <c r="AX117" s="17" t="str">
        <f aca="false">IF(OR(AB117="",NOT(ISNUMBER(AB117))),"",AB117-N(F117))</f>
        <v/>
      </c>
      <c r="AY117" s="17" t="str">
        <f aca="false">IF(OR(AC117="",NOT(ISNUMBER(AC117))),"",AC117-N(G117))</f>
        <v/>
      </c>
      <c r="AZ117" s="17" t="str">
        <f aca="false">IF(OR(AD117="",NOT(ISNUMBER(AD117))),"",AD117-N(H117))</f>
        <v/>
      </c>
      <c r="BA117" s="17" t="str">
        <f aca="false">IF(OR(AE117="",NOT(ISNUMBER(AE117))),"",AE117-N(I117))</f>
        <v/>
      </c>
      <c r="BB117" s="17" t="str">
        <f aca="false">IF(OR(AF117="",NOT(ISNUMBER(AF117))),"",AF117-N(J117))</f>
        <v/>
      </c>
      <c r="BC117" s="17" t="str">
        <f aca="false">IF(OR(AG117="",NOT(ISNUMBER(AG117))),"",AG117-N(K117))</f>
        <v/>
      </c>
      <c r="BD117" s="17" t="str">
        <f aca="false">IF(OR(AH117="",NOT(ISNUMBER(AH117))),"",AH117-N(L117))</f>
        <v/>
      </c>
      <c r="BE117" s="17" t="str">
        <f aca="false">IF(OR(AI117="",NOT(ISNUMBER(AI117))),"",AI117-N(M117))</f>
        <v/>
      </c>
      <c r="BF117" s="17" t="str">
        <f aca="false">IF(OR(AJ117="",NOT(ISNUMBER(AJ117))),"",AJ117-N(N117))</f>
        <v/>
      </c>
      <c r="BG117" s="17" t="str">
        <f aca="false">IF(OR(AK117="",NOT(ISNUMBER(AK117))),"",AK117-N(O117))</f>
        <v/>
      </c>
      <c r="BH117" s="17" t="str">
        <f aca="false">IF(OR(AL117="",NOT(ISNUMBER(AL117))),"",AL117-N(P117))</f>
        <v/>
      </c>
      <c r="BI117" s="17" t="str">
        <f aca="false">IF(OR(AM117="",NOT(ISNUMBER(AM117))),"",AM117-N(Q117))</f>
        <v/>
      </c>
      <c r="BJ117" s="17" t="str">
        <f aca="false">IF(OR(AN117="",NOT(ISNUMBER(AN117))),"",AN117-N(R117))</f>
        <v/>
      </c>
      <c r="BK117" s="17" t="str">
        <f aca="false">IF(OR(AO117="",NOT(ISNUMBER(AO117))),"",AO117-N(S117))</f>
        <v/>
      </c>
      <c r="BL117" s="17" t="str">
        <f aca="false">IF(OR(AP117="",NOT(ISNUMBER(AP117))),"",AP117-N(T117))</f>
        <v/>
      </c>
      <c r="BM117" s="17" t="str">
        <f aca="false">IF(OR(AQ117="",NOT(ISNUMBER(AQ117))),"",AQ117-N(U117))</f>
        <v/>
      </c>
      <c r="BR117" s="20" t="str">
        <f aca="false">IF($A117="","",IF(ISNUMBER($A117),DATE(YEAR($A117),MONTH($A117),1),IFERROR(DATE(2000+VALUE(RIGHT(TRIM($A117),2)),MATCH(UPPER(LEFT(TRIM($A117),3)),{"JAN","FEB","MAR","APR","MAY","JUN","JUL","AUG","SEP","OCT","NOV","DEC"},0),1),"")))</f>
        <v/>
      </c>
      <c r="BS117" s="20" t="str">
        <f aca="false">IF(BR117="","",EOMONTH(BR117,0))</f>
        <v/>
      </c>
    </row>
    <row r="118" customFormat="false" ht="15" hidden="false" customHeight="false" outlineLevel="0" collapsed="false">
      <c r="B118" s="21"/>
      <c r="C118" s="21"/>
      <c r="D118" s="21"/>
      <c r="E118" s="21"/>
      <c r="F118" s="21"/>
      <c r="G118" s="21"/>
      <c r="H118" s="21"/>
      <c r="I118" s="21"/>
      <c r="J118" s="21"/>
      <c r="K118" s="21"/>
      <c r="L118" s="21"/>
      <c r="M118" s="21"/>
      <c r="N118" s="21"/>
      <c r="O118" s="21"/>
      <c r="P118" s="21"/>
      <c r="Q118" s="21"/>
      <c r="R118" s="21"/>
      <c r="S118" s="21"/>
      <c r="T118" s="21"/>
      <c r="U118" s="21"/>
      <c r="X118" s="17" t="str">
        <f aca="false">IF(OR(B$7="",$BR118=""),"",IF('Tally Helper'!$B$3&lt;&gt;TRUE(),"not on Staff",SUMIFS('Tally Helper'!$L$5:$GI$5,'Tally Helper'!$L$3:$GI$3,"&gt;="&amp;$BR118,'Tally Helper'!$L$3:$GI$3,"&lt;="&amp;$BS118)))</f>
        <v/>
      </c>
      <c r="Y118" s="17" t="str">
        <f aca="false">IF(OR(C$7="",$BR118=""),"",IF('Tally Helper'!$B$6&lt;&gt;TRUE(),"not on Staff",SUMIFS('Tally Helper'!$L$8:$GI$8,'Tally Helper'!$L$6:$GI$6,"&gt;="&amp;$BR118,'Tally Helper'!$L$6:$GI$6,"&lt;="&amp;$BS118)))</f>
        <v/>
      </c>
      <c r="Z118" s="17" t="str">
        <f aca="false">IF(OR(D$7="",$BR118=""),"",IF('Tally Helper'!$B$9&lt;&gt;TRUE(),"not on Staff",SUMIFS('Tally Helper'!$L$11:$GI$11,'Tally Helper'!$L$9:$GI$9,"&gt;="&amp;$BR118,'Tally Helper'!$L$9:$GI$9,"&lt;="&amp;$BS118)))</f>
        <v/>
      </c>
      <c r="AA118" s="17" t="str">
        <f aca="false">IF(OR(E$7="",$BR118=""),"",IF('Tally Helper'!$B$12&lt;&gt;TRUE(),"not on Staff",SUMIFS('Tally Helper'!$L$14:$GI$14,'Tally Helper'!$L$12:$GI$12,"&gt;="&amp;$BR118,'Tally Helper'!$L$12:$GI$12,"&lt;="&amp;$BS118)))</f>
        <v/>
      </c>
      <c r="AB118" s="17" t="str">
        <f aca="false">IF(OR(F$7="",$BR118=""),"",IF('Tally Helper'!$B$15&lt;&gt;TRUE(),"not on Staff",SUMIFS('Tally Helper'!$L$17:$GI$17,'Tally Helper'!$L$15:$GI$15,"&gt;="&amp;$BR118,'Tally Helper'!$L$15:$GI$15,"&lt;="&amp;$BS118)))</f>
        <v/>
      </c>
      <c r="AC118" s="17" t="str">
        <f aca="false">IF(OR(G$7="",$BR118=""),"",IF('Tally Helper'!$B$18&lt;&gt;TRUE(),"not on Staff",SUMIFS('Tally Helper'!$L$20:$GI$20,'Tally Helper'!$L$18:$GI$18,"&gt;="&amp;$BR118,'Tally Helper'!$L$18:$GI$18,"&lt;="&amp;$BS118)))</f>
        <v/>
      </c>
      <c r="AD118" s="17" t="str">
        <f aca="false">IF(OR(H$7="",$BR118=""),"",IF('Tally Helper'!$B$21&lt;&gt;TRUE(),"not on Staff",SUMIFS('Tally Helper'!$L$23:$GI$23,'Tally Helper'!$L$21:$GI$21,"&gt;="&amp;$BR118,'Tally Helper'!$L$21:$GI$21,"&lt;="&amp;$BS118)))</f>
        <v/>
      </c>
      <c r="AE118" s="17" t="str">
        <f aca="false">IF(OR(I$7="",$BR118=""),"",IF('Tally Helper'!$B$24&lt;&gt;TRUE(),"not on Staff",SUMIFS('Tally Helper'!$L$26:$GI$26,'Tally Helper'!$L$24:$GI$24,"&gt;="&amp;$BR118,'Tally Helper'!$L$24:$GI$24,"&lt;="&amp;$BS118)))</f>
        <v/>
      </c>
      <c r="AF118" s="17" t="str">
        <f aca="false">IF(OR(J$7="",$BR118=""),"",IF('Tally Helper'!$B$27&lt;&gt;TRUE(),"not on Staff",SUMIFS('Tally Helper'!$L$29:$GI$29,'Tally Helper'!$L$27:$GI$27,"&gt;="&amp;$BR118,'Tally Helper'!$L$27:$GI$27,"&lt;="&amp;$BS118)))</f>
        <v/>
      </c>
      <c r="AG118" s="17" t="str">
        <f aca="false">IF(OR(K$7="",$BR118=""),"",IF('Tally Helper'!$B$30&lt;&gt;TRUE(),"not on Staff",SUMIFS('Tally Helper'!$L$32:$GI$32,'Tally Helper'!$L$30:$GI$30,"&gt;="&amp;$BR118,'Tally Helper'!$L$30:$GI$30,"&lt;="&amp;$BS118)))</f>
        <v/>
      </c>
      <c r="AH118" s="17" t="str">
        <f aca="false">IF(OR(L$7="",$BR118=""),"",IF('Tally Helper'!$B$33&lt;&gt;TRUE(),"not on Staff",SUMIFS('Tally Helper'!$L$35:$GI$35,'Tally Helper'!$L$33:$GI$33,"&gt;="&amp;$BR118,'Tally Helper'!$L$33:$GI$33,"&lt;="&amp;$BS118)))</f>
        <v/>
      </c>
      <c r="AI118" s="17" t="str">
        <f aca="false">IF(OR(M$7="",$BR118=""),"",IF('Tally Helper'!$B$36&lt;&gt;TRUE(),"not on Staff",SUMIFS('Tally Helper'!$L$38:$GI$38,'Tally Helper'!$L$36:$GI$36,"&gt;="&amp;$BR118,'Tally Helper'!$L$36:$GI$36,"&lt;="&amp;$BS118)))</f>
        <v/>
      </c>
      <c r="AJ118" s="17" t="str">
        <f aca="false">IF(OR(N$7="",$BR118=""),"",IF('Tally Helper'!$B$39&lt;&gt;TRUE(),"not on Staff",SUMIFS('Tally Helper'!$L$41:$GI$41,'Tally Helper'!$L$39:$GI$39,"&gt;="&amp;$BR118,'Tally Helper'!$L$39:$GI$39,"&lt;="&amp;$BS118)))</f>
        <v/>
      </c>
      <c r="AK118" s="17" t="str">
        <f aca="false">IF(OR(O$7="",$BR118=""),"",IF('Tally Helper'!$B$42&lt;&gt;TRUE(),"not on Staff",SUMIFS('Tally Helper'!$L$44:$GI$44,'Tally Helper'!$L$42:$GI$42,"&gt;="&amp;$BR118,'Tally Helper'!$L$42:$GI$42,"&lt;="&amp;$BS118)))</f>
        <v/>
      </c>
      <c r="AL118" s="17" t="str">
        <f aca="false">IF(OR(P$7="",$BR118=""),"",IF('Tally Helper'!$B$45&lt;&gt;TRUE(),"not on Staff",SUMIFS('Tally Helper'!$L$47:$GI$47,'Tally Helper'!$L$45:$GI$45,"&gt;="&amp;$BR118,'Tally Helper'!$L$45:$GI$45,"&lt;="&amp;$BS118)))</f>
        <v/>
      </c>
      <c r="AM118" s="17" t="str">
        <f aca="false">IF(OR(Q$7="",$BR118=""),"",IF('Tally Helper'!$B$48&lt;&gt;TRUE(),"not on Staff",SUMIFS('Tally Helper'!$L$50:$GI$50,'Tally Helper'!$L$48:$GI$48,"&gt;="&amp;$BR118,'Tally Helper'!$L$48:$GI$48,"&lt;="&amp;$BS118)))</f>
        <v/>
      </c>
      <c r="AN118" s="17" t="str">
        <f aca="false">IF(OR(R$7="",$BR118=""),"",IF('Tally Helper'!$B$51&lt;&gt;TRUE(),"not on Staff",SUMIFS('Tally Helper'!$L$53:$GI$53,'Tally Helper'!$L$51:$GI$51,"&gt;="&amp;$BR118,'Tally Helper'!$L$51:$GI$51,"&lt;="&amp;$BS118)))</f>
        <v/>
      </c>
      <c r="AO118" s="17" t="str">
        <f aca="false">IF(OR(S$7="",$BR118=""),"",IF('Tally Helper'!$B$54&lt;&gt;TRUE(),"not on Staff",SUMIFS('Tally Helper'!$L$56:$GI$56,'Tally Helper'!$L$54:$GI$54,"&gt;="&amp;$BR118,'Tally Helper'!$L$54:$GI$54,"&lt;="&amp;$BS118)))</f>
        <v/>
      </c>
      <c r="AP118" s="17" t="str">
        <f aca="false">IF(OR(T$7="",$BR118=""),"",IF('Tally Helper'!$B$57&lt;&gt;TRUE(),"not on Staff",SUMIFS('Tally Helper'!$L$59:$GI$59,'Tally Helper'!$L$57:$GI$57,"&gt;="&amp;$BR118,'Tally Helper'!$L$57:$GI$57,"&lt;="&amp;$BS118)))</f>
        <v/>
      </c>
      <c r="AQ118" s="17" t="str">
        <f aca="false">IF(OR(U$7="",$BR118=""),"",IF('Tally Helper'!$B$60&lt;&gt;TRUE(),"not on Staff",SUMIFS('Tally Helper'!$L$62:$GI$62,'Tally Helper'!$L$60:$GI$60,"&gt;="&amp;$BR118,'Tally Helper'!$L$60:$GI$60,"&lt;="&amp;$BS118)))</f>
        <v/>
      </c>
      <c r="AT118" s="17" t="str">
        <f aca="false">IF(OR(X118="",NOT(ISNUMBER(X118))),"",X118-N(B118))</f>
        <v/>
      </c>
      <c r="AU118" s="17" t="str">
        <f aca="false">IF(OR(Y118="",NOT(ISNUMBER(Y118))),"",Y118-N(C118))</f>
        <v/>
      </c>
      <c r="AV118" s="17" t="str">
        <f aca="false">IF(OR(Z118="",NOT(ISNUMBER(Z118))),"",Z118-N(D118))</f>
        <v/>
      </c>
      <c r="AW118" s="17" t="str">
        <f aca="false">IF(OR(AA118="",NOT(ISNUMBER(AA118))),"",AA118-N(E118))</f>
        <v/>
      </c>
      <c r="AX118" s="17" t="str">
        <f aca="false">IF(OR(AB118="",NOT(ISNUMBER(AB118))),"",AB118-N(F118))</f>
        <v/>
      </c>
      <c r="AY118" s="17" t="str">
        <f aca="false">IF(OR(AC118="",NOT(ISNUMBER(AC118))),"",AC118-N(G118))</f>
        <v/>
      </c>
      <c r="AZ118" s="17" t="str">
        <f aca="false">IF(OR(AD118="",NOT(ISNUMBER(AD118))),"",AD118-N(H118))</f>
        <v/>
      </c>
      <c r="BA118" s="17" t="str">
        <f aca="false">IF(OR(AE118="",NOT(ISNUMBER(AE118))),"",AE118-N(I118))</f>
        <v/>
      </c>
      <c r="BB118" s="17" t="str">
        <f aca="false">IF(OR(AF118="",NOT(ISNUMBER(AF118))),"",AF118-N(J118))</f>
        <v/>
      </c>
      <c r="BC118" s="17" t="str">
        <f aca="false">IF(OR(AG118="",NOT(ISNUMBER(AG118))),"",AG118-N(K118))</f>
        <v/>
      </c>
      <c r="BD118" s="17" t="str">
        <f aca="false">IF(OR(AH118="",NOT(ISNUMBER(AH118))),"",AH118-N(L118))</f>
        <v/>
      </c>
      <c r="BE118" s="17" t="str">
        <f aca="false">IF(OR(AI118="",NOT(ISNUMBER(AI118))),"",AI118-N(M118))</f>
        <v/>
      </c>
      <c r="BF118" s="17" t="str">
        <f aca="false">IF(OR(AJ118="",NOT(ISNUMBER(AJ118))),"",AJ118-N(N118))</f>
        <v/>
      </c>
      <c r="BG118" s="17" t="str">
        <f aca="false">IF(OR(AK118="",NOT(ISNUMBER(AK118))),"",AK118-N(O118))</f>
        <v/>
      </c>
      <c r="BH118" s="17" t="str">
        <f aca="false">IF(OR(AL118="",NOT(ISNUMBER(AL118))),"",AL118-N(P118))</f>
        <v/>
      </c>
      <c r="BI118" s="17" t="str">
        <f aca="false">IF(OR(AM118="",NOT(ISNUMBER(AM118))),"",AM118-N(Q118))</f>
        <v/>
      </c>
      <c r="BJ118" s="17" t="str">
        <f aca="false">IF(OR(AN118="",NOT(ISNUMBER(AN118))),"",AN118-N(R118))</f>
        <v/>
      </c>
      <c r="BK118" s="17" t="str">
        <f aca="false">IF(OR(AO118="",NOT(ISNUMBER(AO118))),"",AO118-N(S118))</f>
        <v/>
      </c>
      <c r="BL118" s="17" t="str">
        <f aca="false">IF(OR(AP118="",NOT(ISNUMBER(AP118))),"",AP118-N(T118))</f>
        <v/>
      </c>
      <c r="BM118" s="17" t="str">
        <f aca="false">IF(OR(AQ118="",NOT(ISNUMBER(AQ118))),"",AQ118-N(U118))</f>
        <v/>
      </c>
      <c r="BR118" s="20" t="str">
        <f aca="false">IF($A118="","",IF(ISNUMBER($A118),DATE(YEAR($A118),MONTH($A118),1),IFERROR(DATE(2000+VALUE(RIGHT(TRIM($A118),2)),MATCH(UPPER(LEFT(TRIM($A118),3)),{"JAN","FEB","MAR","APR","MAY","JUN","JUL","AUG","SEP","OCT","NOV","DEC"},0),1),"")))</f>
        <v/>
      </c>
      <c r="BS118" s="20" t="str">
        <f aca="false">IF(BR118="","",EOMONTH(BR118,0))</f>
        <v/>
      </c>
    </row>
    <row r="119" customFormat="false" ht="15" hidden="false" customHeight="false" outlineLevel="0" collapsed="false">
      <c r="B119" s="21"/>
      <c r="C119" s="21"/>
      <c r="D119" s="21"/>
      <c r="E119" s="21"/>
      <c r="F119" s="21"/>
      <c r="G119" s="21"/>
      <c r="H119" s="21"/>
      <c r="I119" s="21"/>
      <c r="J119" s="21"/>
      <c r="K119" s="21"/>
      <c r="L119" s="21"/>
      <c r="M119" s="21"/>
      <c r="N119" s="21"/>
      <c r="O119" s="21"/>
      <c r="P119" s="21"/>
      <c r="Q119" s="21"/>
      <c r="R119" s="21"/>
      <c r="S119" s="21"/>
      <c r="T119" s="21"/>
      <c r="U119" s="21"/>
      <c r="X119" s="17" t="str">
        <f aca="false">IF(OR(B$7="",$BR119=""),"",IF('Tally Helper'!$B$3&lt;&gt;TRUE(),"not on Staff",SUMIFS('Tally Helper'!$L$5:$GI$5,'Tally Helper'!$L$3:$GI$3,"&gt;="&amp;$BR119,'Tally Helper'!$L$3:$GI$3,"&lt;="&amp;$BS119)))</f>
        <v/>
      </c>
      <c r="Y119" s="17" t="str">
        <f aca="false">IF(OR(C$7="",$BR119=""),"",IF('Tally Helper'!$B$6&lt;&gt;TRUE(),"not on Staff",SUMIFS('Tally Helper'!$L$8:$GI$8,'Tally Helper'!$L$6:$GI$6,"&gt;="&amp;$BR119,'Tally Helper'!$L$6:$GI$6,"&lt;="&amp;$BS119)))</f>
        <v/>
      </c>
      <c r="Z119" s="17" t="str">
        <f aca="false">IF(OR(D$7="",$BR119=""),"",IF('Tally Helper'!$B$9&lt;&gt;TRUE(),"not on Staff",SUMIFS('Tally Helper'!$L$11:$GI$11,'Tally Helper'!$L$9:$GI$9,"&gt;="&amp;$BR119,'Tally Helper'!$L$9:$GI$9,"&lt;="&amp;$BS119)))</f>
        <v/>
      </c>
      <c r="AA119" s="17" t="str">
        <f aca="false">IF(OR(E$7="",$BR119=""),"",IF('Tally Helper'!$B$12&lt;&gt;TRUE(),"not on Staff",SUMIFS('Tally Helper'!$L$14:$GI$14,'Tally Helper'!$L$12:$GI$12,"&gt;="&amp;$BR119,'Tally Helper'!$L$12:$GI$12,"&lt;="&amp;$BS119)))</f>
        <v/>
      </c>
      <c r="AB119" s="17" t="str">
        <f aca="false">IF(OR(F$7="",$BR119=""),"",IF('Tally Helper'!$B$15&lt;&gt;TRUE(),"not on Staff",SUMIFS('Tally Helper'!$L$17:$GI$17,'Tally Helper'!$L$15:$GI$15,"&gt;="&amp;$BR119,'Tally Helper'!$L$15:$GI$15,"&lt;="&amp;$BS119)))</f>
        <v/>
      </c>
      <c r="AC119" s="17" t="str">
        <f aca="false">IF(OR(G$7="",$BR119=""),"",IF('Tally Helper'!$B$18&lt;&gt;TRUE(),"not on Staff",SUMIFS('Tally Helper'!$L$20:$GI$20,'Tally Helper'!$L$18:$GI$18,"&gt;="&amp;$BR119,'Tally Helper'!$L$18:$GI$18,"&lt;="&amp;$BS119)))</f>
        <v/>
      </c>
      <c r="AD119" s="17" t="str">
        <f aca="false">IF(OR(H$7="",$BR119=""),"",IF('Tally Helper'!$B$21&lt;&gt;TRUE(),"not on Staff",SUMIFS('Tally Helper'!$L$23:$GI$23,'Tally Helper'!$L$21:$GI$21,"&gt;="&amp;$BR119,'Tally Helper'!$L$21:$GI$21,"&lt;="&amp;$BS119)))</f>
        <v/>
      </c>
      <c r="AE119" s="17" t="str">
        <f aca="false">IF(OR(I$7="",$BR119=""),"",IF('Tally Helper'!$B$24&lt;&gt;TRUE(),"not on Staff",SUMIFS('Tally Helper'!$L$26:$GI$26,'Tally Helper'!$L$24:$GI$24,"&gt;="&amp;$BR119,'Tally Helper'!$L$24:$GI$24,"&lt;="&amp;$BS119)))</f>
        <v/>
      </c>
      <c r="AF119" s="17" t="str">
        <f aca="false">IF(OR(J$7="",$BR119=""),"",IF('Tally Helper'!$B$27&lt;&gt;TRUE(),"not on Staff",SUMIFS('Tally Helper'!$L$29:$GI$29,'Tally Helper'!$L$27:$GI$27,"&gt;="&amp;$BR119,'Tally Helper'!$L$27:$GI$27,"&lt;="&amp;$BS119)))</f>
        <v/>
      </c>
      <c r="AG119" s="17" t="str">
        <f aca="false">IF(OR(K$7="",$BR119=""),"",IF('Tally Helper'!$B$30&lt;&gt;TRUE(),"not on Staff",SUMIFS('Tally Helper'!$L$32:$GI$32,'Tally Helper'!$L$30:$GI$30,"&gt;="&amp;$BR119,'Tally Helper'!$L$30:$GI$30,"&lt;="&amp;$BS119)))</f>
        <v/>
      </c>
      <c r="AH119" s="17" t="str">
        <f aca="false">IF(OR(L$7="",$BR119=""),"",IF('Tally Helper'!$B$33&lt;&gt;TRUE(),"not on Staff",SUMIFS('Tally Helper'!$L$35:$GI$35,'Tally Helper'!$L$33:$GI$33,"&gt;="&amp;$BR119,'Tally Helper'!$L$33:$GI$33,"&lt;="&amp;$BS119)))</f>
        <v/>
      </c>
      <c r="AI119" s="17" t="str">
        <f aca="false">IF(OR(M$7="",$BR119=""),"",IF('Tally Helper'!$B$36&lt;&gt;TRUE(),"not on Staff",SUMIFS('Tally Helper'!$L$38:$GI$38,'Tally Helper'!$L$36:$GI$36,"&gt;="&amp;$BR119,'Tally Helper'!$L$36:$GI$36,"&lt;="&amp;$BS119)))</f>
        <v/>
      </c>
      <c r="AJ119" s="17" t="str">
        <f aca="false">IF(OR(N$7="",$BR119=""),"",IF('Tally Helper'!$B$39&lt;&gt;TRUE(),"not on Staff",SUMIFS('Tally Helper'!$L$41:$GI$41,'Tally Helper'!$L$39:$GI$39,"&gt;="&amp;$BR119,'Tally Helper'!$L$39:$GI$39,"&lt;="&amp;$BS119)))</f>
        <v/>
      </c>
      <c r="AK119" s="17" t="str">
        <f aca="false">IF(OR(O$7="",$BR119=""),"",IF('Tally Helper'!$B$42&lt;&gt;TRUE(),"not on Staff",SUMIFS('Tally Helper'!$L$44:$GI$44,'Tally Helper'!$L$42:$GI$42,"&gt;="&amp;$BR119,'Tally Helper'!$L$42:$GI$42,"&lt;="&amp;$BS119)))</f>
        <v/>
      </c>
      <c r="AL119" s="17" t="str">
        <f aca="false">IF(OR(P$7="",$BR119=""),"",IF('Tally Helper'!$B$45&lt;&gt;TRUE(),"not on Staff",SUMIFS('Tally Helper'!$L$47:$GI$47,'Tally Helper'!$L$45:$GI$45,"&gt;="&amp;$BR119,'Tally Helper'!$L$45:$GI$45,"&lt;="&amp;$BS119)))</f>
        <v/>
      </c>
      <c r="AM119" s="17" t="str">
        <f aca="false">IF(OR(Q$7="",$BR119=""),"",IF('Tally Helper'!$B$48&lt;&gt;TRUE(),"not on Staff",SUMIFS('Tally Helper'!$L$50:$GI$50,'Tally Helper'!$L$48:$GI$48,"&gt;="&amp;$BR119,'Tally Helper'!$L$48:$GI$48,"&lt;="&amp;$BS119)))</f>
        <v/>
      </c>
      <c r="AN119" s="17" t="str">
        <f aca="false">IF(OR(R$7="",$BR119=""),"",IF('Tally Helper'!$B$51&lt;&gt;TRUE(),"not on Staff",SUMIFS('Tally Helper'!$L$53:$GI$53,'Tally Helper'!$L$51:$GI$51,"&gt;="&amp;$BR119,'Tally Helper'!$L$51:$GI$51,"&lt;="&amp;$BS119)))</f>
        <v/>
      </c>
      <c r="AO119" s="17" t="str">
        <f aca="false">IF(OR(S$7="",$BR119=""),"",IF('Tally Helper'!$B$54&lt;&gt;TRUE(),"not on Staff",SUMIFS('Tally Helper'!$L$56:$GI$56,'Tally Helper'!$L$54:$GI$54,"&gt;="&amp;$BR119,'Tally Helper'!$L$54:$GI$54,"&lt;="&amp;$BS119)))</f>
        <v/>
      </c>
      <c r="AP119" s="17" t="str">
        <f aca="false">IF(OR(T$7="",$BR119=""),"",IF('Tally Helper'!$B$57&lt;&gt;TRUE(),"not on Staff",SUMIFS('Tally Helper'!$L$59:$GI$59,'Tally Helper'!$L$57:$GI$57,"&gt;="&amp;$BR119,'Tally Helper'!$L$57:$GI$57,"&lt;="&amp;$BS119)))</f>
        <v/>
      </c>
      <c r="AQ119" s="17" t="str">
        <f aca="false">IF(OR(U$7="",$BR119=""),"",IF('Tally Helper'!$B$60&lt;&gt;TRUE(),"not on Staff",SUMIFS('Tally Helper'!$L$62:$GI$62,'Tally Helper'!$L$60:$GI$60,"&gt;="&amp;$BR119,'Tally Helper'!$L$60:$GI$60,"&lt;="&amp;$BS119)))</f>
        <v/>
      </c>
      <c r="AT119" s="17" t="str">
        <f aca="false">IF(OR(X119="",NOT(ISNUMBER(X119))),"",X119-N(B119))</f>
        <v/>
      </c>
      <c r="AU119" s="17" t="str">
        <f aca="false">IF(OR(Y119="",NOT(ISNUMBER(Y119))),"",Y119-N(C119))</f>
        <v/>
      </c>
      <c r="AV119" s="17" t="str">
        <f aca="false">IF(OR(Z119="",NOT(ISNUMBER(Z119))),"",Z119-N(D119))</f>
        <v/>
      </c>
      <c r="AW119" s="17" t="str">
        <f aca="false">IF(OR(AA119="",NOT(ISNUMBER(AA119))),"",AA119-N(E119))</f>
        <v/>
      </c>
      <c r="AX119" s="17" t="str">
        <f aca="false">IF(OR(AB119="",NOT(ISNUMBER(AB119))),"",AB119-N(F119))</f>
        <v/>
      </c>
      <c r="AY119" s="17" t="str">
        <f aca="false">IF(OR(AC119="",NOT(ISNUMBER(AC119))),"",AC119-N(G119))</f>
        <v/>
      </c>
      <c r="AZ119" s="17" t="str">
        <f aca="false">IF(OR(AD119="",NOT(ISNUMBER(AD119))),"",AD119-N(H119))</f>
        <v/>
      </c>
      <c r="BA119" s="17" t="str">
        <f aca="false">IF(OR(AE119="",NOT(ISNUMBER(AE119))),"",AE119-N(I119))</f>
        <v/>
      </c>
      <c r="BB119" s="17" t="str">
        <f aca="false">IF(OR(AF119="",NOT(ISNUMBER(AF119))),"",AF119-N(J119))</f>
        <v/>
      </c>
      <c r="BC119" s="17" t="str">
        <f aca="false">IF(OR(AG119="",NOT(ISNUMBER(AG119))),"",AG119-N(K119))</f>
        <v/>
      </c>
      <c r="BD119" s="17" t="str">
        <f aca="false">IF(OR(AH119="",NOT(ISNUMBER(AH119))),"",AH119-N(L119))</f>
        <v/>
      </c>
      <c r="BE119" s="17" t="str">
        <f aca="false">IF(OR(AI119="",NOT(ISNUMBER(AI119))),"",AI119-N(M119))</f>
        <v/>
      </c>
      <c r="BF119" s="17" t="str">
        <f aca="false">IF(OR(AJ119="",NOT(ISNUMBER(AJ119))),"",AJ119-N(N119))</f>
        <v/>
      </c>
      <c r="BG119" s="17" t="str">
        <f aca="false">IF(OR(AK119="",NOT(ISNUMBER(AK119))),"",AK119-N(O119))</f>
        <v/>
      </c>
      <c r="BH119" s="17" t="str">
        <f aca="false">IF(OR(AL119="",NOT(ISNUMBER(AL119))),"",AL119-N(P119))</f>
        <v/>
      </c>
      <c r="BI119" s="17" t="str">
        <f aca="false">IF(OR(AM119="",NOT(ISNUMBER(AM119))),"",AM119-N(Q119))</f>
        <v/>
      </c>
      <c r="BJ119" s="17" t="str">
        <f aca="false">IF(OR(AN119="",NOT(ISNUMBER(AN119))),"",AN119-N(R119))</f>
        <v/>
      </c>
      <c r="BK119" s="17" t="str">
        <f aca="false">IF(OR(AO119="",NOT(ISNUMBER(AO119))),"",AO119-N(S119))</f>
        <v/>
      </c>
      <c r="BL119" s="17" t="str">
        <f aca="false">IF(OR(AP119="",NOT(ISNUMBER(AP119))),"",AP119-N(T119))</f>
        <v/>
      </c>
      <c r="BM119" s="17" t="str">
        <f aca="false">IF(OR(AQ119="",NOT(ISNUMBER(AQ119))),"",AQ119-N(U119))</f>
        <v/>
      </c>
      <c r="BR119" s="20" t="str">
        <f aca="false">IF($A119="","",IF(ISNUMBER($A119),DATE(YEAR($A119),MONTH($A119),1),IFERROR(DATE(2000+VALUE(RIGHT(TRIM($A119),2)),MATCH(UPPER(LEFT(TRIM($A119),3)),{"JAN","FEB","MAR","APR","MAY","JUN","JUL","AUG","SEP","OCT","NOV","DEC"},0),1),"")))</f>
        <v/>
      </c>
      <c r="BS119" s="20" t="str">
        <f aca="false">IF(BR119="","",EOMONTH(BR119,0))</f>
        <v/>
      </c>
    </row>
    <row r="120" customFormat="false" ht="15" hidden="false" customHeight="false" outlineLevel="0" collapsed="false">
      <c r="B120" s="21"/>
      <c r="C120" s="21"/>
      <c r="D120" s="21"/>
      <c r="E120" s="21"/>
      <c r="F120" s="21"/>
      <c r="G120" s="21"/>
      <c r="H120" s="21"/>
      <c r="I120" s="21"/>
      <c r="J120" s="21"/>
      <c r="K120" s="21"/>
      <c r="L120" s="21"/>
      <c r="M120" s="21"/>
      <c r="N120" s="21"/>
      <c r="O120" s="21"/>
      <c r="P120" s="21"/>
      <c r="Q120" s="21"/>
      <c r="R120" s="21"/>
      <c r="S120" s="21"/>
      <c r="T120" s="21"/>
      <c r="U120" s="21"/>
      <c r="X120" s="17" t="str">
        <f aca="false">IF(OR(B$7="",$BR120=""),"",IF('Tally Helper'!$B$3&lt;&gt;TRUE(),"not on Staff",SUMIFS('Tally Helper'!$L$5:$GI$5,'Tally Helper'!$L$3:$GI$3,"&gt;="&amp;$BR120,'Tally Helper'!$L$3:$GI$3,"&lt;="&amp;$BS120)))</f>
        <v/>
      </c>
      <c r="Y120" s="17" t="str">
        <f aca="false">IF(OR(C$7="",$BR120=""),"",IF('Tally Helper'!$B$6&lt;&gt;TRUE(),"not on Staff",SUMIFS('Tally Helper'!$L$8:$GI$8,'Tally Helper'!$L$6:$GI$6,"&gt;="&amp;$BR120,'Tally Helper'!$L$6:$GI$6,"&lt;="&amp;$BS120)))</f>
        <v/>
      </c>
      <c r="Z120" s="17" t="str">
        <f aca="false">IF(OR(D$7="",$BR120=""),"",IF('Tally Helper'!$B$9&lt;&gt;TRUE(),"not on Staff",SUMIFS('Tally Helper'!$L$11:$GI$11,'Tally Helper'!$L$9:$GI$9,"&gt;="&amp;$BR120,'Tally Helper'!$L$9:$GI$9,"&lt;="&amp;$BS120)))</f>
        <v/>
      </c>
      <c r="AA120" s="17" t="str">
        <f aca="false">IF(OR(E$7="",$BR120=""),"",IF('Tally Helper'!$B$12&lt;&gt;TRUE(),"not on Staff",SUMIFS('Tally Helper'!$L$14:$GI$14,'Tally Helper'!$L$12:$GI$12,"&gt;="&amp;$BR120,'Tally Helper'!$L$12:$GI$12,"&lt;="&amp;$BS120)))</f>
        <v/>
      </c>
      <c r="AB120" s="17" t="str">
        <f aca="false">IF(OR(F$7="",$BR120=""),"",IF('Tally Helper'!$B$15&lt;&gt;TRUE(),"not on Staff",SUMIFS('Tally Helper'!$L$17:$GI$17,'Tally Helper'!$L$15:$GI$15,"&gt;="&amp;$BR120,'Tally Helper'!$L$15:$GI$15,"&lt;="&amp;$BS120)))</f>
        <v/>
      </c>
      <c r="AC120" s="17" t="str">
        <f aca="false">IF(OR(G$7="",$BR120=""),"",IF('Tally Helper'!$B$18&lt;&gt;TRUE(),"not on Staff",SUMIFS('Tally Helper'!$L$20:$GI$20,'Tally Helper'!$L$18:$GI$18,"&gt;="&amp;$BR120,'Tally Helper'!$L$18:$GI$18,"&lt;="&amp;$BS120)))</f>
        <v/>
      </c>
      <c r="AD120" s="17" t="str">
        <f aca="false">IF(OR(H$7="",$BR120=""),"",IF('Tally Helper'!$B$21&lt;&gt;TRUE(),"not on Staff",SUMIFS('Tally Helper'!$L$23:$GI$23,'Tally Helper'!$L$21:$GI$21,"&gt;="&amp;$BR120,'Tally Helper'!$L$21:$GI$21,"&lt;="&amp;$BS120)))</f>
        <v/>
      </c>
      <c r="AE120" s="17" t="str">
        <f aca="false">IF(OR(I$7="",$BR120=""),"",IF('Tally Helper'!$B$24&lt;&gt;TRUE(),"not on Staff",SUMIFS('Tally Helper'!$L$26:$GI$26,'Tally Helper'!$L$24:$GI$24,"&gt;="&amp;$BR120,'Tally Helper'!$L$24:$GI$24,"&lt;="&amp;$BS120)))</f>
        <v/>
      </c>
      <c r="AF120" s="17" t="str">
        <f aca="false">IF(OR(J$7="",$BR120=""),"",IF('Tally Helper'!$B$27&lt;&gt;TRUE(),"not on Staff",SUMIFS('Tally Helper'!$L$29:$GI$29,'Tally Helper'!$L$27:$GI$27,"&gt;="&amp;$BR120,'Tally Helper'!$L$27:$GI$27,"&lt;="&amp;$BS120)))</f>
        <v/>
      </c>
      <c r="AG120" s="17" t="str">
        <f aca="false">IF(OR(K$7="",$BR120=""),"",IF('Tally Helper'!$B$30&lt;&gt;TRUE(),"not on Staff",SUMIFS('Tally Helper'!$L$32:$GI$32,'Tally Helper'!$L$30:$GI$30,"&gt;="&amp;$BR120,'Tally Helper'!$L$30:$GI$30,"&lt;="&amp;$BS120)))</f>
        <v/>
      </c>
      <c r="AH120" s="17" t="str">
        <f aca="false">IF(OR(L$7="",$BR120=""),"",IF('Tally Helper'!$B$33&lt;&gt;TRUE(),"not on Staff",SUMIFS('Tally Helper'!$L$35:$GI$35,'Tally Helper'!$L$33:$GI$33,"&gt;="&amp;$BR120,'Tally Helper'!$L$33:$GI$33,"&lt;="&amp;$BS120)))</f>
        <v/>
      </c>
      <c r="AI120" s="17" t="str">
        <f aca="false">IF(OR(M$7="",$BR120=""),"",IF('Tally Helper'!$B$36&lt;&gt;TRUE(),"not on Staff",SUMIFS('Tally Helper'!$L$38:$GI$38,'Tally Helper'!$L$36:$GI$36,"&gt;="&amp;$BR120,'Tally Helper'!$L$36:$GI$36,"&lt;="&amp;$BS120)))</f>
        <v/>
      </c>
      <c r="AJ120" s="17" t="str">
        <f aca="false">IF(OR(N$7="",$BR120=""),"",IF('Tally Helper'!$B$39&lt;&gt;TRUE(),"not on Staff",SUMIFS('Tally Helper'!$L$41:$GI$41,'Tally Helper'!$L$39:$GI$39,"&gt;="&amp;$BR120,'Tally Helper'!$L$39:$GI$39,"&lt;="&amp;$BS120)))</f>
        <v/>
      </c>
      <c r="AK120" s="17" t="str">
        <f aca="false">IF(OR(O$7="",$BR120=""),"",IF('Tally Helper'!$B$42&lt;&gt;TRUE(),"not on Staff",SUMIFS('Tally Helper'!$L$44:$GI$44,'Tally Helper'!$L$42:$GI$42,"&gt;="&amp;$BR120,'Tally Helper'!$L$42:$GI$42,"&lt;="&amp;$BS120)))</f>
        <v/>
      </c>
      <c r="AL120" s="17" t="str">
        <f aca="false">IF(OR(P$7="",$BR120=""),"",IF('Tally Helper'!$B$45&lt;&gt;TRUE(),"not on Staff",SUMIFS('Tally Helper'!$L$47:$GI$47,'Tally Helper'!$L$45:$GI$45,"&gt;="&amp;$BR120,'Tally Helper'!$L$45:$GI$45,"&lt;="&amp;$BS120)))</f>
        <v/>
      </c>
      <c r="AM120" s="17" t="str">
        <f aca="false">IF(OR(Q$7="",$BR120=""),"",IF('Tally Helper'!$B$48&lt;&gt;TRUE(),"not on Staff",SUMIFS('Tally Helper'!$L$50:$GI$50,'Tally Helper'!$L$48:$GI$48,"&gt;="&amp;$BR120,'Tally Helper'!$L$48:$GI$48,"&lt;="&amp;$BS120)))</f>
        <v/>
      </c>
      <c r="AN120" s="17" t="str">
        <f aca="false">IF(OR(R$7="",$BR120=""),"",IF('Tally Helper'!$B$51&lt;&gt;TRUE(),"not on Staff",SUMIFS('Tally Helper'!$L$53:$GI$53,'Tally Helper'!$L$51:$GI$51,"&gt;="&amp;$BR120,'Tally Helper'!$L$51:$GI$51,"&lt;="&amp;$BS120)))</f>
        <v/>
      </c>
      <c r="AO120" s="17" t="str">
        <f aca="false">IF(OR(S$7="",$BR120=""),"",IF('Tally Helper'!$B$54&lt;&gt;TRUE(),"not on Staff",SUMIFS('Tally Helper'!$L$56:$GI$56,'Tally Helper'!$L$54:$GI$54,"&gt;="&amp;$BR120,'Tally Helper'!$L$54:$GI$54,"&lt;="&amp;$BS120)))</f>
        <v/>
      </c>
      <c r="AP120" s="17" t="str">
        <f aca="false">IF(OR(T$7="",$BR120=""),"",IF('Tally Helper'!$B$57&lt;&gt;TRUE(),"not on Staff",SUMIFS('Tally Helper'!$L$59:$GI$59,'Tally Helper'!$L$57:$GI$57,"&gt;="&amp;$BR120,'Tally Helper'!$L$57:$GI$57,"&lt;="&amp;$BS120)))</f>
        <v/>
      </c>
      <c r="AQ120" s="17" t="str">
        <f aca="false">IF(OR(U$7="",$BR120=""),"",IF('Tally Helper'!$B$60&lt;&gt;TRUE(),"not on Staff",SUMIFS('Tally Helper'!$L$62:$GI$62,'Tally Helper'!$L$60:$GI$60,"&gt;="&amp;$BR120,'Tally Helper'!$L$60:$GI$60,"&lt;="&amp;$BS120)))</f>
        <v/>
      </c>
      <c r="AT120" s="17" t="str">
        <f aca="false">IF(OR(X120="",NOT(ISNUMBER(X120))),"",X120-N(B120))</f>
        <v/>
      </c>
      <c r="AU120" s="17" t="str">
        <f aca="false">IF(OR(Y120="",NOT(ISNUMBER(Y120))),"",Y120-N(C120))</f>
        <v/>
      </c>
      <c r="AV120" s="17" t="str">
        <f aca="false">IF(OR(Z120="",NOT(ISNUMBER(Z120))),"",Z120-N(D120))</f>
        <v/>
      </c>
      <c r="AW120" s="17" t="str">
        <f aca="false">IF(OR(AA120="",NOT(ISNUMBER(AA120))),"",AA120-N(E120))</f>
        <v/>
      </c>
      <c r="AX120" s="17" t="str">
        <f aca="false">IF(OR(AB120="",NOT(ISNUMBER(AB120))),"",AB120-N(F120))</f>
        <v/>
      </c>
      <c r="AY120" s="17" t="str">
        <f aca="false">IF(OR(AC120="",NOT(ISNUMBER(AC120))),"",AC120-N(G120))</f>
        <v/>
      </c>
      <c r="AZ120" s="17" t="str">
        <f aca="false">IF(OR(AD120="",NOT(ISNUMBER(AD120))),"",AD120-N(H120))</f>
        <v/>
      </c>
      <c r="BA120" s="17" t="str">
        <f aca="false">IF(OR(AE120="",NOT(ISNUMBER(AE120))),"",AE120-N(I120))</f>
        <v/>
      </c>
      <c r="BB120" s="17" t="str">
        <f aca="false">IF(OR(AF120="",NOT(ISNUMBER(AF120))),"",AF120-N(J120))</f>
        <v/>
      </c>
      <c r="BC120" s="17" t="str">
        <f aca="false">IF(OR(AG120="",NOT(ISNUMBER(AG120))),"",AG120-N(K120))</f>
        <v/>
      </c>
      <c r="BD120" s="17" t="str">
        <f aca="false">IF(OR(AH120="",NOT(ISNUMBER(AH120))),"",AH120-N(L120))</f>
        <v/>
      </c>
      <c r="BE120" s="17" t="str">
        <f aca="false">IF(OR(AI120="",NOT(ISNUMBER(AI120))),"",AI120-N(M120))</f>
        <v/>
      </c>
      <c r="BF120" s="17" t="str">
        <f aca="false">IF(OR(AJ120="",NOT(ISNUMBER(AJ120))),"",AJ120-N(N120))</f>
        <v/>
      </c>
      <c r="BG120" s="17" t="str">
        <f aca="false">IF(OR(AK120="",NOT(ISNUMBER(AK120))),"",AK120-N(O120))</f>
        <v/>
      </c>
      <c r="BH120" s="17" t="str">
        <f aca="false">IF(OR(AL120="",NOT(ISNUMBER(AL120))),"",AL120-N(P120))</f>
        <v/>
      </c>
      <c r="BI120" s="17" t="str">
        <f aca="false">IF(OR(AM120="",NOT(ISNUMBER(AM120))),"",AM120-N(Q120))</f>
        <v/>
      </c>
      <c r="BJ120" s="17" t="str">
        <f aca="false">IF(OR(AN120="",NOT(ISNUMBER(AN120))),"",AN120-N(R120))</f>
        <v/>
      </c>
      <c r="BK120" s="17" t="str">
        <f aca="false">IF(OR(AO120="",NOT(ISNUMBER(AO120))),"",AO120-N(S120))</f>
        <v/>
      </c>
      <c r="BL120" s="17" t="str">
        <f aca="false">IF(OR(AP120="",NOT(ISNUMBER(AP120))),"",AP120-N(T120))</f>
        <v/>
      </c>
      <c r="BM120" s="17" t="str">
        <f aca="false">IF(OR(AQ120="",NOT(ISNUMBER(AQ120))),"",AQ120-N(U120))</f>
        <v/>
      </c>
      <c r="BR120" s="20" t="str">
        <f aca="false">IF($A120="","",IF(ISNUMBER($A120),DATE(YEAR($A120),MONTH($A120),1),IFERROR(DATE(2000+VALUE(RIGHT(TRIM($A120),2)),MATCH(UPPER(LEFT(TRIM($A120),3)),{"JAN","FEB","MAR","APR","MAY","JUN","JUL","AUG","SEP","OCT","NOV","DEC"},0),1),"")))</f>
        <v/>
      </c>
      <c r="BS120" s="20" t="str">
        <f aca="false">IF(BR120="","",EOMONTH(BR120,0))</f>
        <v/>
      </c>
    </row>
    <row r="121" customFormat="false" ht="15" hidden="false" customHeight="false" outlineLevel="0" collapsed="false">
      <c r="B121" s="21"/>
      <c r="C121" s="21"/>
      <c r="D121" s="21"/>
      <c r="E121" s="21"/>
      <c r="F121" s="21"/>
      <c r="G121" s="21"/>
      <c r="H121" s="21"/>
      <c r="I121" s="21"/>
      <c r="J121" s="21"/>
      <c r="K121" s="21"/>
      <c r="L121" s="21"/>
      <c r="M121" s="21"/>
      <c r="N121" s="21"/>
      <c r="O121" s="21"/>
      <c r="P121" s="21"/>
      <c r="Q121" s="21"/>
      <c r="R121" s="21"/>
      <c r="S121" s="21"/>
      <c r="T121" s="21"/>
      <c r="U121" s="21"/>
      <c r="X121" s="17" t="str">
        <f aca="false">IF(OR(B$7="",$BR121=""),"",IF('Tally Helper'!$B$3&lt;&gt;TRUE(),"not on Staff",SUMIFS('Tally Helper'!$L$5:$GI$5,'Tally Helper'!$L$3:$GI$3,"&gt;="&amp;$BR121,'Tally Helper'!$L$3:$GI$3,"&lt;="&amp;$BS121)))</f>
        <v/>
      </c>
      <c r="Y121" s="17" t="str">
        <f aca="false">IF(OR(C$7="",$BR121=""),"",IF('Tally Helper'!$B$6&lt;&gt;TRUE(),"not on Staff",SUMIFS('Tally Helper'!$L$8:$GI$8,'Tally Helper'!$L$6:$GI$6,"&gt;="&amp;$BR121,'Tally Helper'!$L$6:$GI$6,"&lt;="&amp;$BS121)))</f>
        <v/>
      </c>
      <c r="Z121" s="17" t="str">
        <f aca="false">IF(OR(D$7="",$BR121=""),"",IF('Tally Helper'!$B$9&lt;&gt;TRUE(),"not on Staff",SUMIFS('Tally Helper'!$L$11:$GI$11,'Tally Helper'!$L$9:$GI$9,"&gt;="&amp;$BR121,'Tally Helper'!$L$9:$GI$9,"&lt;="&amp;$BS121)))</f>
        <v/>
      </c>
      <c r="AA121" s="17" t="str">
        <f aca="false">IF(OR(E$7="",$BR121=""),"",IF('Tally Helper'!$B$12&lt;&gt;TRUE(),"not on Staff",SUMIFS('Tally Helper'!$L$14:$GI$14,'Tally Helper'!$L$12:$GI$12,"&gt;="&amp;$BR121,'Tally Helper'!$L$12:$GI$12,"&lt;="&amp;$BS121)))</f>
        <v/>
      </c>
      <c r="AB121" s="17" t="str">
        <f aca="false">IF(OR(F$7="",$BR121=""),"",IF('Tally Helper'!$B$15&lt;&gt;TRUE(),"not on Staff",SUMIFS('Tally Helper'!$L$17:$GI$17,'Tally Helper'!$L$15:$GI$15,"&gt;="&amp;$BR121,'Tally Helper'!$L$15:$GI$15,"&lt;="&amp;$BS121)))</f>
        <v/>
      </c>
      <c r="AC121" s="17" t="str">
        <f aca="false">IF(OR(G$7="",$BR121=""),"",IF('Tally Helper'!$B$18&lt;&gt;TRUE(),"not on Staff",SUMIFS('Tally Helper'!$L$20:$GI$20,'Tally Helper'!$L$18:$GI$18,"&gt;="&amp;$BR121,'Tally Helper'!$L$18:$GI$18,"&lt;="&amp;$BS121)))</f>
        <v/>
      </c>
      <c r="AD121" s="17" t="str">
        <f aca="false">IF(OR(H$7="",$BR121=""),"",IF('Tally Helper'!$B$21&lt;&gt;TRUE(),"not on Staff",SUMIFS('Tally Helper'!$L$23:$GI$23,'Tally Helper'!$L$21:$GI$21,"&gt;="&amp;$BR121,'Tally Helper'!$L$21:$GI$21,"&lt;="&amp;$BS121)))</f>
        <v/>
      </c>
      <c r="AE121" s="17" t="str">
        <f aca="false">IF(OR(I$7="",$BR121=""),"",IF('Tally Helper'!$B$24&lt;&gt;TRUE(),"not on Staff",SUMIFS('Tally Helper'!$L$26:$GI$26,'Tally Helper'!$L$24:$GI$24,"&gt;="&amp;$BR121,'Tally Helper'!$L$24:$GI$24,"&lt;="&amp;$BS121)))</f>
        <v/>
      </c>
      <c r="AF121" s="17" t="str">
        <f aca="false">IF(OR(J$7="",$BR121=""),"",IF('Tally Helper'!$B$27&lt;&gt;TRUE(),"not on Staff",SUMIFS('Tally Helper'!$L$29:$GI$29,'Tally Helper'!$L$27:$GI$27,"&gt;="&amp;$BR121,'Tally Helper'!$L$27:$GI$27,"&lt;="&amp;$BS121)))</f>
        <v/>
      </c>
      <c r="AG121" s="17" t="str">
        <f aca="false">IF(OR(K$7="",$BR121=""),"",IF('Tally Helper'!$B$30&lt;&gt;TRUE(),"not on Staff",SUMIFS('Tally Helper'!$L$32:$GI$32,'Tally Helper'!$L$30:$GI$30,"&gt;="&amp;$BR121,'Tally Helper'!$L$30:$GI$30,"&lt;="&amp;$BS121)))</f>
        <v/>
      </c>
      <c r="AH121" s="17" t="str">
        <f aca="false">IF(OR(L$7="",$BR121=""),"",IF('Tally Helper'!$B$33&lt;&gt;TRUE(),"not on Staff",SUMIFS('Tally Helper'!$L$35:$GI$35,'Tally Helper'!$L$33:$GI$33,"&gt;="&amp;$BR121,'Tally Helper'!$L$33:$GI$33,"&lt;="&amp;$BS121)))</f>
        <v/>
      </c>
      <c r="AI121" s="17" t="str">
        <f aca="false">IF(OR(M$7="",$BR121=""),"",IF('Tally Helper'!$B$36&lt;&gt;TRUE(),"not on Staff",SUMIFS('Tally Helper'!$L$38:$GI$38,'Tally Helper'!$L$36:$GI$36,"&gt;="&amp;$BR121,'Tally Helper'!$L$36:$GI$36,"&lt;="&amp;$BS121)))</f>
        <v/>
      </c>
      <c r="AJ121" s="17" t="str">
        <f aca="false">IF(OR(N$7="",$BR121=""),"",IF('Tally Helper'!$B$39&lt;&gt;TRUE(),"not on Staff",SUMIFS('Tally Helper'!$L$41:$GI$41,'Tally Helper'!$L$39:$GI$39,"&gt;="&amp;$BR121,'Tally Helper'!$L$39:$GI$39,"&lt;="&amp;$BS121)))</f>
        <v/>
      </c>
      <c r="AK121" s="17" t="str">
        <f aca="false">IF(OR(O$7="",$BR121=""),"",IF('Tally Helper'!$B$42&lt;&gt;TRUE(),"not on Staff",SUMIFS('Tally Helper'!$L$44:$GI$44,'Tally Helper'!$L$42:$GI$42,"&gt;="&amp;$BR121,'Tally Helper'!$L$42:$GI$42,"&lt;="&amp;$BS121)))</f>
        <v/>
      </c>
      <c r="AL121" s="17" t="str">
        <f aca="false">IF(OR(P$7="",$BR121=""),"",IF('Tally Helper'!$B$45&lt;&gt;TRUE(),"not on Staff",SUMIFS('Tally Helper'!$L$47:$GI$47,'Tally Helper'!$L$45:$GI$45,"&gt;="&amp;$BR121,'Tally Helper'!$L$45:$GI$45,"&lt;="&amp;$BS121)))</f>
        <v/>
      </c>
      <c r="AM121" s="17" t="str">
        <f aca="false">IF(OR(Q$7="",$BR121=""),"",IF('Tally Helper'!$B$48&lt;&gt;TRUE(),"not on Staff",SUMIFS('Tally Helper'!$L$50:$GI$50,'Tally Helper'!$L$48:$GI$48,"&gt;="&amp;$BR121,'Tally Helper'!$L$48:$GI$48,"&lt;="&amp;$BS121)))</f>
        <v/>
      </c>
      <c r="AN121" s="17" t="str">
        <f aca="false">IF(OR(R$7="",$BR121=""),"",IF('Tally Helper'!$B$51&lt;&gt;TRUE(),"not on Staff",SUMIFS('Tally Helper'!$L$53:$GI$53,'Tally Helper'!$L$51:$GI$51,"&gt;="&amp;$BR121,'Tally Helper'!$L$51:$GI$51,"&lt;="&amp;$BS121)))</f>
        <v/>
      </c>
      <c r="AO121" s="17" t="str">
        <f aca="false">IF(OR(S$7="",$BR121=""),"",IF('Tally Helper'!$B$54&lt;&gt;TRUE(),"not on Staff",SUMIFS('Tally Helper'!$L$56:$GI$56,'Tally Helper'!$L$54:$GI$54,"&gt;="&amp;$BR121,'Tally Helper'!$L$54:$GI$54,"&lt;="&amp;$BS121)))</f>
        <v/>
      </c>
      <c r="AP121" s="17" t="str">
        <f aca="false">IF(OR(T$7="",$BR121=""),"",IF('Tally Helper'!$B$57&lt;&gt;TRUE(),"not on Staff",SUMIFS('Tally Helper'!$L$59:$GI$59,'Tally Helper'!$L$57:$GI$57,"&gt;="&amp;$BR121,'Tally Helper'!$L$57:$GI$57,"&lt;="&amp;$BS121)))</f>
        <v/>
      </c>
      <c r="AQ121" s="17" t="str">
        <f aca="false">IF(OR(U$7="",$BR121=""),"",IF('Tally Helper'!$B$60&lt;&gt;TRUE(),"not on Staff",SUMIFS('Tally Helper'!$L$62:$GI$62,'Tally Helper'!$L$60:$GI$60,"&gt;="&amp;$BR121,'Tally Helper'!$L$60:$GI$60,"&lt;="&amp;$BS121)))</f>
        <v/>
      </c>
      <c r="AT121" s="17" t="str">
        <f aca="false">IF(OR(X121="",NOT(ISNUMBER(X121))),"",X121-N(B121))</f>
        <v/>
      </c>
      <c r="AU121" s="17" t="str">
        <f aca="false">IF(OR(Y121="",NOT(ISNUMBER(Y121))),"",Y121-N(C121))</f>
        <v/>
      </c>
      <c r="AV121" s="17" t="str">
        <f aca="false">IF(OR(Z121="",NOT(ISNUMBER(Z121))),"",Z121-N(D121))</f>
        <v/>
      </c>
      <c r="AW121" s="17" t="str">
        <f aca="false">IF(OR(AA121="",NOT(ISNUMBER(AA121))),"",AA121-N(E121))</f>
        <v/>
      </c>
      <c r="AX121" s="17" t="str">
        <f aca="false">IF(OR(AB121="",NOT(ISNUMBER(AB121))),"",AB121-N(F121))</f>
        <v/>
      </c>
      <c r="AY121" s="17" t="str">
        <f aca="false">IF(OR(AC121="",NOT(ISNUMBER(AC121))),"",AC121-N(G121))</f>
        <v/>
      </c>
      <c r="AZ121" s="17" t="str">
        <f aca="false">IF(OR(AD121="",NOT(ISNUMBER(AD121))),"",AD121-N(H121))</f>
        <v/>
      </c>
      <c r="BA121" s="17" t="str">
        <f aca="false">IF(OR(AE121="",NOT(ISNUMBER(AE121))),"",AE121-N(I121))</f>
        <v/>
      </c>
      <c r="BB121" s="17" t="str">
        <f aca="false">IF(OR(AF121="",NOT(ISNUMBER(AF121))),"",AF121-N(J121))</f>
        <v/>
      </c>
      <c r="BC121" s="17" t="str">
        <f aca="false">IF(OR(AG121="",NOT(ISNUMBER(AG121))),"",AG121-N(K121))</f>
        <v/>
      </c>
      <c r="BD121" s="17" t="str">
        <f aca="false">IF(OR(AH121="",NOT(ISNUMBER(AH121))),"",AH121-N(L121))</f>
        <v/>
      </c>
      <c r="BE121" s="17" t="str">
        <f aca="false">IF(OR(AI121="",NOT(ISNUMBER(AI121))),"",AI121-N(M121))</f>
        <v/>
      </c>
      <c r="BF121" s="17" t="str">
        <f aca="false">IF(OR(AJ121="",NOT(ISNUMBER(AJ121))),"",AJ121-N(N121))</f>
        <v/>
      </c>
      <c r="BG121" s="17" t="str">
        <f aca="false">IF(OR(AK121="",NOT(ISNUMBER(AK121))),"",AK121-N(O121))</f>
        <v/>
      </c>
      <c r="BH121" s="17" t="str">
        <f aca="false">IF(OR(AL121="",NOT(ISNUMBER(AL121))),"",AL121-N(P121))</f>
        <v/>
      </c>
      <c r="BI121" s="17" t="str">
        <f aca="false">IF(OR(AM121="",NOT(ISNUMBER(AM121))),"",AM121-N(Q121))</f>
        <v/>
      </c>
      <c r="BJ121" s="17" t="str">
        <f aca="false">IF(OR(AN121="",NOT(ISNUMBER(AN121))),"",AN121-N(R121))</f>
        <v/>
      </c>
      <c r="BK121" s="17" t="str">
        <f aca="false">IF(OR(AO121="",NOT(ISNUMBER(AO121))),"",AO121-N(S121))</f>
        <v/>
      </c>
      <c r="BL121" s="17" t="str">
        <f aca="false">IF(OR(AP121="",NOT(ISNUMBER(AP121))),"",AP121-N(T121))</f>
        <v/>
      </c>
      <c r="BM121" s="17" t="str">
        <f aca="false">IF(OR(AQ121="",NOT(ISNUMBER(AQ121))),"",AQ121-N(U121))</f>
        <v/>
      </c>
      <c r="BR121" s="20" t="str">
        <f aca="false">IF($A121="","",IF(ISNUMBER($A121),DATE(YEAR($A121),MONTH($A121),1),IFERROR(DATE(2000+VALUE(RIGHT(TRIM($A121),2)),MATCH(UPPER(LEFT(TRIM($A121),3)),{"JAN","FEB","MAR","APR","MAY","JUN","JUL","AUG","SEP","OCT","NOV","DEC"},0),1),"")))</f>
        <v/>
      </c>
      <c r="BS121" s="20" t="str">
        <f aca="false">IF(BR121="","",EOMONTH(BR121,0))</f>
        <v/>
      </c>
    </row>
    <row r="122" customFormat="false" ht="15" hidden="false" customHeight="false" outlineLevel="0" collapsed="false">
      <c r="B122" s="21"/>
      <c r="C122" s="21"/>
      <c r="D122" s="21"/>
      <c r="E122" s="21"/>
      <c r="F122" s="21"/>
      <c r="G122" s="21"/>
      <c r="H122" s="21"/>
      <c r="I122" s="21"/>
      <c r="J122" s="21"/>
      <c r="K122" s="21"/>
      <c r="L122" s="21"/>
      <c r="M122" s="21"/>
      <c r="N122" s="21"/>
      <c r="O122" s="21"/>
      <c r="P122" s="21"/>
      <c r="Q122" s="21"/>
      <c r="R122" s="21"/>
      <c r="S122" s="21"/>
      <c r="T122" s="21"/>
      <c r="U122" s="21"/>
      <c r="X122" s="17" t="str">
        <f aca="false">IF(OR(B$7="",$BR122=""),"",IF('Tally Helper'!$B$3&lt;&gt;TRUE(),"not on Staff",SUMIFS('Tally Helper'!$L$5:$GI$5,'Tally Helper'!$L$3:$GI$3,"&gt;="&amp;$BR122,'Tally Helper'!$L$3:$GI$3,"&lt;="&amp;$BS122)))</f>
        <v/>
      </c>
      <c r="Y122" s="17" t="str">
        <f aca="false">IF(OR(C$7="",$BR122=""),"",IF('Tally Helper'!$B$6&lt;&gt;TRUE(),"not on Staff",SUMIFS('Tally Helper'!$L$8:$GI$8,'Tally Helper'!$L$6:$GI$6,"&gt;="&amp;$BR122,'Tally Helper'!$L$6:$GI$6,"&lt;="&amp;$BS122)))</f>
        <v/>
      </c>
      <c r="Z122" s="17" t="str">
        <f aca="false">IF(OR(D$7="",$BR122=""),"",IF('Tally Helper'!$B$9&lt;&gt;TRUE(),"not on Staff",SUMIFS('Tally Helper'!$L$11:$GI$11,'Tally Helper'!$L$9:$GI$9,"&gt;="&amp;$BR122,'Tally Helper'!$L$9:$GI$9,"&lt;="&amp;$BS122)))</f>
        <v/>
      </c>
      <c r="AA122" s="17" t="str">
        <f aca="false">IF(OR(E$7="",$BR122=""),"",IF('Tally Helper'!$B$12&lt;&gt;TRUE(),"not on Staff",SUMIFS('Tally Helper'!$L$14:$GI$14,'Tally Helper'!$L$12:$GI$12,"&gt;="&amp;$BR122,'Tally Helper'!$L$12:$GI$12,"&lt;="&amp;$BS122)))</f>
        <v/>
      </c>
      <c r="AB122" s="17" t="str">
        <f aca="false">IF(OR(F$7="",$BR122=""),"",IF('Tally Helper'!$B$15&lt;&gt;TRUE(),"not on Staff",SUMIFS('Tally Helper'!$L$17:$GI$17,'Tally Helper'!$L$15:$GI$15,"&gt;="&amp;$BR122,'Tally Helper'!$L$15:$GI$15,"&lt;="&amp;$BS122)))</f>
        <v/>
      </c>
      <c r="AC122" s="17" t="str">
        <f aca="false">IF(OR(G$7="",$BR122=""),"",IF('Tally Helper'!$B$18&lt;&gt;TRUE(),"not on Staff",SUMIFS('Tally Helper'!$L$20:$GI$20,'Tally Helper'!$L$18:$GI$18,"&gt;="&amp;$BR122,'Tally Helper'!$L$18:$GI$18,"&lt;="&amp;$BS122)))</f>
        <v/>
      </c>
      <c r="AD122" s="17" t="str">
        <f aca="false">IF(OR(H$7="",$BR122=""),"",IF('Tally Helper'!$B$21&lt;&gt;TRUE(),"not on Staff",SUMIFS('Tally Helper'!$L$23:$GI$23,'Tally Helper'!$L$21:$GI$21,"&gt;="&amp;$BR122,'Tally Helper'!$L$21:$GI$21,"&lt;="&amp;$BS122)))</f>
        <v/>
      </c>
      <c r="AE122" s="17" t="str">
        <f aca="false">IF(OR(I$7="",$BR122=""),"",IF('Tally Helper'!$B$24&lt;&gt;TRUE(),"not on Staff",SUMIFS('Tally Helper'!$L$26:$GI$26,'Tally Helper'!$L$24:$GI$24,"&gt;="&amp;$BR122,'Tally Helper'!$L$24:$GI$24,"&lt;="&amp;$BS122)))</f>
        <v/>
      </c>
      <c r="AF122" s="17" t="str">
        <f aca="false">IF(OR(J$7="",$BR122=""),"",IF('Tally Helper'!$B$27&lt;&gt;TRUE(),"not on Staff",SUMIFS('Tally Helper'!$L$29:$GI$29,'Tally Helper'!$L$27:$GI$27,"&gt;="&amp;$BR122,'Tally Helper'!$L$27:$GI$27,"&lt;="&amp;$BS122)))</f>
        <v/>
      </c>
      <c r="AG122" s="17" t="str">
        <f aca="false">IF(OR(K$7="",$BR122=""),"",IF('Tally Helper'!$B$30&lt;&gt;TRUE(),"not on Staff",SUMIFS('Tally Helper'!$L$32:$GI$32,'Tally Helper'!$L$30:$GI$30,"&gt;="&amp;$BR122,'Tally Helper'!$L$30:$GI$30,"&lt;="&amp;$BS122)))</f>
        <v/>
      </c>
      <c r="AH122" s="17" t="str">
        <f aca="false">IF(OR(L$7="",$BR122=""),"",IF('Tally Helper'!$B$33&lt;&gt;TRUE(),"not on Staff",SUMIFS('Tally Helper'!$L$35:$GI$35,'Tally Helper'!$L$33:$GI$33,"&gt;="&amp;$BR122,'Tally Helper'!$L$33:$GI$33,"&lt;="&amp;$BS122)))</f>
        <v/>
      </c>
      <c r="AI122" s="17" t="str">
        <f aca="false">IF(OR(M$7="",$BR122=""),"",IF('Tally Helper'!$B$36&lt;&gt;TRUE(),"not on Staff",SUMIFS('Tally Helper'!$L$38:$GI$38,'Tally Helper'!$L$36:$GI$36,"&gt;="&amp;$BR122,'Tally Helper'!$L$36:$GI$36,"&lt;="&amp;$BS122)))</f>
        <v/>
      </c>
      <c r="AJ122" s="17" t="str">
        <f aca="false">IF(OR(N$7="",$BR122=""),"",IF('Tally Helper'!$B$39&lt;&gt;TRUE(),"not on Staff",SUMIFS('Tally Helper'!$L$41:$GI$41,'Tally Helper'!$L$39:$GI$39,"&gt;="&amp;$BR122,'Tally Helper'!$L$39:$GI$39,"&lt;="&amp;$BS122)))</f>
        <v/>
      </c>
      <c r="AK122" s="17" t="str">
        <f aca="false">IF(OR(O$7="",$BR122=""),"",IF('Tally Helper'!$B$42&lt;&gt;TRUE(),"not on Staff",SUMIFS('Tally Helper'!$L$44:$GI$44,'Tally Helper'!$L$42:$GI$42,"&gt;="&amp;$BR122,'Tally Helper'!$L$42:$GI$42,"&lt;="&amp;$BS122)))</f>
        <v/>
      </c>
      <c r="AL122" s="17" t="str">
        <f aca="false">IF(OR(P$7="",$BR122=""),"",IF('Tally Helper'!$B$45&lt;&gt;TRUE(),"not on Staff",SUMIFS('Tally Helper'!$L$47:$GI$47,'Tally Helper'!$L$45:$GI$45,"&gt;="&amp;$BR122,'Tally Helper'!$L$45:$GI$45,"&lt;="&amp;$BS122)))</f>
        <v/>
      </c>
      <c r="AM122" s="17" t="str">
        <f aca="false">IF(OR(Q$7="",$BR122=""),"",IF('Tally Helper'!$B$48&lt;&gt;TRUE(),"not on Staff",SUMIFS('Tally Helper'!$L$50:$GI$50,'Tally Helper'!$L$48:$GI$48,"&gt;="&amp;$BR122,'Tally Helper'!$L$48:$GI$48,"&lt;="&amp;$BS122)))</f>
        <v/>
      </c>
      <c r="AN122" s="17" t="str">
        <f aca="false">IF(OR(R$7="",$BR122=""),"",IF('Tally Helper'!$B$51&lt;&gt;TRUE(),"not on Staff",SUMIFS('Tally Helper'!$L$53:$GI$53,'Tally Helper'!$L$51:$GI$51,"&gt;="&amp;$BR122,'Tally Helper'!$L$51:$GI$51,"&lt;="&amp;$BS122)))</f>
        <v/>
      </c>
      <c r="AO122" s="17" t="str">
        <f aca="false">IF(OR(S$7="",$BR122=""),"",IF('Tally Helper'!$B$54&lt;&gt;TRUE(),"not on Staff",SUMIFS('Tally Helper'!$L$56:$GI$56,'Tally Helper'!$L$54:$GI$54,"&gt;="&amp;$BR122,'Tally Helper'!$L$54:$GI$54,"&lt;="&amp;$BS122)))</f>
        <v/>
      </c>
      <c r="AP122" s="17" t="str">
        <f aca="false">IF(OR(T$7="",$BR122=""),"",IF('Tally Helper'!$B$57&lt;&gt;TRUE(),"not on Staff",SUMIFS('Tally Helper'!$L$59:$GI$59,'Tally Helper'!$L$57:$GI$57,"&gt;="&amp;$BR122,'Tally Helper'!$L$57:$GI$57,"&lt;="&amp;$BS122)))</f>
        <v/>
      </c>
      <c r="AQ122" s="17" t="str">
        <f aca="false">IF(OR(U$7="",$BR122=""),"",IF('Tally Helper'!$B$60&lt;&gt;TRUE(),"not on Staff",SUMIFS('Tally Helper'!$L$62:$GI$62,'Tally Helper'!$L$60:$GI$60,"&gt;="&amp;$BR122,'Tally Helper'!$L$60:$GI$60,"&lt;="&amp;$BS122)))</f>
        <v/>
      </c>
      <c r="AT122" s="17" t="str">
        <f aca="false">IF(OR(X122="",NOT(ISNUMBER(X122))),"",X122-N(B122))</f>
        <v/>
      </c>
      <c r="AU122" s="17" t="str">
        <f aca="false">IF(OR(Y122="",NOT(ISNUMBER(Y122))),"",Y122-N(C122))</f>
        <v/>
      </c>
      <c r="AV122" s="17" t="str">
        <f aca="false">IF(OR(Z122="",NOT(ISNUMBER(Z122))),"",Z122-N(D122))</f>
        <v/>
      </c>
      <c r="AW122" s="17" t="str">
        <f aca="false">IF(OR(AA122="",NOT(ISNUMBER(AA122))),"",AA122-N(E122))</f>
        <v/>
      </c>
      <c r="AX122" s="17" t="str">
        <f aca="false">IF(OR(AB122="",NOT(ISNUMBER(AB122))),"",AB122-N(F122))</f>
        <v/>
      </c>
      <c r="AY122" s="17" t="str">
        <f aca="false">IF(OR(AC122="",NOT(ISNUMBER(AC122))),"",AC122-N(G122))</f>
        <v/>
      </c>
      <c r="AZ122" s="17" t="str">
        <f aca="false">IF(OR(AD122="",NOT(ISNUMBER(AD122))),"",AD122-N(H122))</f>
        <v/>
      </c>
      <c r="BA122" s="17" t="str">
        <f aca="false">IF(OR(AE122="",NOT(ISNUMBER(AE122))),"",AE122-N(I122))</f>
        <v/>
      </c>
      <c r="BB122" s="17" t="str">
        <f aca="false">IF(OR(AF122="",NOT(ISNUMBER(AF122))),"",AF122-N(J122))</f>
        <v/>
      </c>
      <c r="BC122" s="17" t="str">
        <f aca="false">IF(OR(AG122="",NOT(ISNUMBER(AG122))),"",AG122-N(K122))</f>
        <v/>
      </c>
      <c r="BD122" s="17" t="str">
        <f aca="false">IF(OR(AH122="",NOT(ISNUMBER(AH122))),"",AH122-N(L122))</f>
        <v/>
      </c>
      <c r="BE122" s="17" t="str">
        <f aca="false">IF(OR(AI122="",NOT(ISNUMBER(AI122))),"",AI122-N(M122))</f>
        <v/>
      </c>
      <c r="BF122" s="17" t="str">
        <f aca="false">IF(OR(AJ122="",NOT(ISNUMBER(AJ122))),"",AJ122-N(N122))</f>
        <v/>
      </c>
      <c r="BG122" s="17" t="str">
        <f aca="false">IF(OR(AK122="",NOT(ISNUMBER(AK122))),"",AK122-N(O122))</f>
        <v/>
      </c>
      <c r="BH122" s="17" t="str">
        <f aca="false">IF(OR(AL122="",NOT(ISNUMBER(AL122))),"",AL122-N(P122))</f>
        <v/>
      </c>
      <c r="BI122" s="17" t="str">
        <f aca="false">IF(OR(AM122="",NOT(ISNUMBER(AM122))),"",AM122-N(Q122))</f>
        <v/>
      </c>
      <c r="BJ122" s="17" t="str">
        <f aca="false">IF(OR(AN122="",NOT(ISNUMBER(AN122))),"",AN122-N(R122))</f>
        <v/>
      </c>
      <c r="BK122" s="17" t="str">
        <f aca="false">IF(OR(AO122="",NOT(ISNUMBER(AO122))),"",AO122-N(S122))</f>
        <v/>
      </c>
      <c r="BL122" s="17" t="str">
        <f aca="false">IF(OR(AP122="",NOT(ISNUMBER(AP122))),"",AP122-N(T122))</f>
        <v/>
      </c>
      <c r="BM122" s="17" t="str">
        <f aca="false">IF(OR(AQ122="",NOT(ISNUMBER(AQ122))),"",AQ122-N(U122))</f>
        <v/>
      </c>
      <c r="BR122" s="20" t="str">
        <f aca="false">IF($A122="","",IF(ISNUMBER($A122),DATE(YEAR($A122),MONTH($A122),1),IFERROR(DATE(2000+VALUE(RIGHT(TRIM($A122),2)),MATCH(UPPER(LEFT(TRIM($A122),3)),{"JAN","FEB","MAR","APR","MAY","JUN","JUL","AUG","SEP","OCT","NOV","DEC"},0),1),"")))</f>
        <v/>
      </c>
      <c r="BS122" s="20" t="str">
        <f aca="false">IF(BR122="","",EOMONTH(BR122,0))</f>
        <v/>
      </c>
    </row>
    <row r="123" customFormat="false" ht="15" hidden="false" customHeight="false" outlineLevel="0" collapsed="false">
      <c r="B123" s="21"/>
      <c r="C123" s="21"/>
      <c r="D123" s="21"/>
      <c r="E123" s="21"/>
      <c r="F123" s="21"/>
      <c r="G123" s="21"/>
      <c r="H123" s="21"/>
      <c r="I123" s="21"/>
      <c r="J123" s="21"/>
      <c r="K123" s="21"/>
      <c r="L123" s="21"/>
      <c r="M123" s="21"/>
      <c r="N123" s="21"/>
      <c r="O123" s="21"/>
      <c r="P123" s="21"/>
      <c r="Q123" s="21"/>
      <c r="R123" s="21"/>
      <c r="S123" s="21"/>
      <c r="T123" s="21"/>
      <c r="U123" s="21"/>
      <c r="X123" s="17" t="str">
        <f aca="false">IF(OR(B$7="",$BR123=""),"",IF('Tally Helper'!$B$3&lt;&gt;TRUE(),"not on Staff",SUMIFS('Tally Helper'!$L$5:$GI$5,'Tally Helper'!$L$3:$GI$3,"&gt;="&amp;$BR123,'Tally Helper'!$L$3:$GI$3,"&lt;="&amp;$BS123)))</f>
        <v/>
      </c>
      <c r="Y123" s="17" t="str">
        <f aca="false">IF(OR(C$7="",$BR123=""),"",IF('Tally Helper'!$B$6&lt;&gt;TRUE(),"not on Staff",SUMIFS('Tally Helper'!$L$8:$GI$8,'Tally Helper'!$L$6:$GI$6,"&gt;="&amp;$BR123,'Tally Helper'!$L$6:$GI$6,"&lt;="&amp;$BS123)))</f>
        <v/>
      </c>
      <c r="Z123" s="17" t="str">
        <f aca="false">IF(OR(D$7="",$BR123=""),"",IF('Tally Helper'!$B$9&lt;&gt;TRUE(),"not on Staff",SUMIFS('Tally Helper'!$L$11:$GI$11,'Tally Helper'!$L$9:$GI$9,"&gt;="&amp;$BR123,'Tally Helper'!$L$9:$GI$9,"&lt;="&amp;$BS123)))</f>
        <v/>
      </c>
      <c r="AA123" s="17" t="str">
        <f aca="false">IF(OR(E$7="",$BR123=""),"",IF('Tally Helper'!$B$12&lt;&gt;TRUE(),"not on Staff",SUMIFS('Tally Helper'!$L$14:$GI$14,'Tally Helper'!$L$12:$GI$12,"&gt;="&amp;$BR123,'Tally Helper'!$L$12:$GI$12,"&lt;="&amp;$BS123)))</f>
        <v/>
      </c>
      <c r="AB123" s="17" t="str">
        <f aca="false">IF(OR(F$7="",$BR123=""),"",IF('Tally Helper'!$B$15&lt;&gt;TRUE(),"not on Staff",SUMIFS('Tally Helper'!$L$17:$GI$17,'Tally Helper'!$L$15:$GI$15,"&gt;="&amp;$BR123,'Tally Helper'!$L$15:$GI$15,"&lt;="&amp;$BS123)))</f>
        <v/>
      </c>
      <c r="AC123" s="17" t="str">
        <f aca="false">IF(OR(G$7="",$BR123=""),"",IF('Tally Helper'!$B$18&lt;&gt;TRUE(),"not on Staff",SUMIFS('Tally Helper'!$L$20:$GI$20,'Tally Helper'!$L$18:$GI$18,"&gt;="&amp;$BR123,'Tally Helper'!$L$18:$GI$18,"&lt;="&amp;$BS123)))</f>
        <v/>
      </c>
      <c r="AD123" s="17" t="str">
        <f aca="false">IF(OR(H$7="",$BR123=""),"",IF('Tally Helper'!$B$21&lt;&gt;TRUE(),"not on Staff",SUMIFS('Tally Helper'!$L$23:$GI$23,'Tally Helper'!$L$21:$GI$21,"&gt;="&amp;$BR123,'Tally Helper'!$L$21:$GI$21,"&lt;="&amp;$BS123)))</f>
        <v/>
      </c>
      <c r="AE123" s="17" t="str">
        <f aca="false">IF(OR(I$7="",$BR123=""),"",IF('Tally Helper'!$B$24&lt;&gt;TRUE(),"not on Staff",SUMIFS('Tally Helper'!$L$26:$GI$26,'Tally Helper'!$L$24:$GI$24,"&gt;="&amp;$BR123,'Tally Helper'!$L$24:$GI$24,"&lt;="&amp;$BS123)))</f>
        <v/>
      </c>
      <c r="AF123" s="17" t="str">
        <f aca="false">IF(OR(J$7="",$BR123=""),"",IF('Tally Helper'!$B$27&lt;&gt;TRUE(),"not on Staff",SUMIFS('Tally Helper'!$L$29:$GI$29,'Tally Helper'!$L$27:$GI$27,"&gt;="&amp;$BR123,'Tally Helper'!$L$27:$GI$27,"&lt;="&amp;$BS123)))</f>
        <v/>
      </c>
      <c r="AG123" s="17" t="str">
        <f aca="false">IF(OR(K$7="",$BR123=""),"",IF('Tally Helper'!$B$30&lt;&gt;TRUE(),"not on Staff",SUMIFS('Tally Helper'!$L$32:$GI$32,'Tally Helper'!$L$30:$GI$30,"&gt;="&amp;$BR123,'Tally Helper'!$L$30:$GI$30,"&lt;="&amp;$BS123)))</f>
        <v/>
      </c>
      <c r="AH123" s="17" t="str">
        <f aca="false">IF(OR(L$7="",$BR123=""),"",IF('Tally Helper'!$B$33&lt;&gt;TRUE(),"not on Staff",SUMIFS('Tally Helper'!$L$35:$GI$35,'Tally Helper'!$L$33:$GI$33,"&gt;="&amp;$BR123,'Tally Helper'!$L$33:$GI$33,"&lt;="&amp;$BS123)))</f>
        <v/>
      </c>
      <c r="AI123" s="17" t="str">
        <f aca="false">IF(OR(M$7="",$BR123=""),"",IF('Tally Helper'!$B$36&lt;&gt;TRUE(),"not on Staff",SUMIFS('Tally Helper'!$L$38:$GI$38,'Tally Helper'!$L$36:$GI$36,"&gt;="&amp;$BR123,'Tally Helper'!$L$36:$GI$36,"&lt;="&amp;$BS123)))</f>
        <v/>
      </c>
      <c r="AJ123" s="17" t="str">
        <f aca="false">IF(OR(N$7="",$BR123=""),"",IF('Tally Helper'!$B$39&lt;&gt;TRUE(),"not on Staff",SUMIFS('Tally Helper'!$L$41:$GI$41,'Tally Helper'!$L$39:$GI$39,"&gt;="&amp;$BR123,'Tally Helper'!$L$39:$GI$39,"&lt;="&amp;$BS123)))</f>
        <v/>
      </c>
      <c r="AK123" s="17" t="str">
        <f aca="false">IF(OR(O$7="",$BR123=""),"",IF('Tally Helper'!$B$42&lt;&gt;TRUE(),"not on Staff",SUMIFS('Tally Helper'!$L$44:$GI$44,'Tally Helper'!$L$42:$GI$42,"&gt;="&amp;$BR123,'Tally Helper'!$L$42:$GI$42,"&lt;="&amp;$BS123)))</f>
        <v/>
      </c>
      <c r="AL123" s="17" t="str">
        <f aca="false">IF(OR(P$7="",$BR123=""),"",IF('Tally Helper'!$B$45&lt;&gt;TRUE(),"not on Staff",SUMIFS('Tally Helper'!$L$47:$GI$47,'Tally Helper'!$L$45:$GI$45,"&gt;="&amp;$BR123,'Tally Helper'!$L$45:$GI$45,"&lt;="&amp;$BS123)))</f>
        <v/>
      </c>
      <c r="AM123" s="17" t="str">
        <f aca="false">IF(OR(Q$7="",$BR123=""),"",IF('Tally Helper'!$B$48&lt;&gt;TRUE(),"not on Staff",SUMIFS('Tally Helper'!$L$50:$GI$50,'Tally Helper'!$L$48:$GI$48,"&gt;="&amp;$BR123,'Tally Helper'!$L$48:$GI$48,"&lt;="&amp;$BS123)))</f>
        <v/>
      </c>
      <c r="AN123" s="17" t="str">
        <f aca="false">IF(OR(R$7="",$BR123=""),"",IF('Tally Helper'!$B$51&lt;&gt;TRUE(),"not on Staff",SUMIFS('Tally Helper'!$L$53:$GI$53,'Tally Helper'!$L$51:$GI$51,"&gt;="&amp;$BR123,'Tally Helper'!$L$51:$GI$51,"&lt;="&amp;$BS123)))</f>
        <v/>
      </c>
      <c r="AO123" s="17" t="str">
        <f aca="false">IF(OR(S$7="",$BR123=""),"",IF('Tally Helper'!$B$54&lt;&gt;TRUE(),"not on Staff",SUMIFS('Tally Helper'!$L$56:$GI$56,'Tally Helper'!$L$54:$GI$54,"&gt;="&amp;$BR123,'Tally Helper'!$L$54:$GI$54,"&lt;="&amp;$BS123)))</f>
        <v/>
      </c>
      <c r="AP123" s="17" t="str">
        <f aca="false">IF(OR(T$7="",$BR123=""),"",IF('Tally Helper'!$B$57&lt;&gt;TRUE(),"not on Staff",SUMIFS('Tally Helper'!$L$59:$GI$59,'Tally Helper'!$L$57:$GI$57,"&gt;="&amp;$BR123,'Tally Helper'!$L$57:$GI$57,"&lt;="&amp;$BS123)))</f>
        <v/>
      </c>
      <c r="AQ123" s="17" t="str">
        <f aca="false">IF(OR(U$7="",$BR123=""),"",IF('Tally Helper'!$B$60&lt;&gt;TRUE(),"not on Staff",SUMIFS('Tally Helper'!$L$62:$GI$62,'Tally Helper'!$L$60:$GI$60,"&gt;="&amp;$BR123,'Tally Helper'!$L$60:$GI$60,"&lt;="&amp;$BS123)))</f>
        <v/>
      </c>
      <c r="AT123" s="17" t="str">
        <f aca="false">IF(OR(X123="",NOT(ISNUMBER(X123))),"",X123-N(B123))</f>
        <v/>
      </c>
      <c r="AU123" s="17" t="str">
        <f aca="false">IF(OR(Y123="",NOT(ISNUMBER(Y123))),"",Y123-N(C123))</f>
        <v/>
      </c>
      <c r="AV123" s="17" t="str">
        <f aca="false">IF(OR(Z123="",NOT(ISNUMBER(Z123))),"",Z123-N(D123))</f>
        <v/>
      </c>
      <c r="AW123" s="17" t="str">
        <f aca="false">IF(OR(AA123="",NOT(ISNUMBER(AA123))),"",AA123-N(E123))</f>
        <v/>
      </c>
      <c r="AX123" s="17" t="str">
        <f aca="false">IF(OR(AB123="",NOT(ISNUMBER(AB123))),"",AB123-N(F123))</f>
        <v/>
      </c>
      <c r="AY123" s="17" t="str">
        <f aca="false">IF(OR(AC123="",NOT(ISNUMBER(AC123))),"",AC123-N(G123))</f>
        <v/>
      </c>
      <c r="AZ123" s="17" t="str">
        <f aca="false">IF(OR(AD123="",NOT(ISNUMBER(AD123))),"",AD123-N(H123))</f>
        <v/>
      </c>
      <c r="BA123" s="17" t="str">
        <f aca="false">IF(OR(AE123="",NOT(ISNUMBER(AE123))),"",AE123-N(I123))</f>
        <v/>
      </c>
      <c r="BB123" s="17" t="str">
        <f aca="false">IF(OR(AF123="",NOT(ISNUMBER(AF123))),"",AF123-N(J123))</f>
        <v/>
      </c>
      <c r="BC123" s="17" t="str">
        <f aca="false">IF(OR(AG123="",NOT(ISNUMBER(AG123))),"",AG123-N(K123))</f>
        <v/>
      </c>
      <c r="BD123" s="17" t="str">
        <f aca="false">IF(OR(AH123="",NOT(ISNUMBER(AH123))),"",AH123-N(L123))</f>
        <v/>
      </c>
      <c r="BE123" s="17" t="str">
        <f aca="false">IF(OR(AI123="",NOT(ISNUMBER(AI123))),"",AI123-N(M123))</f>
        <v/>
      </c>
      <c r="BF123" s="17" t="str">
        <f aca="false">IF(OR(AJ123="",NOT(ISNUMBER(AJ123))),"",AJ123-N(N123))</f>
        <v/>
      </c>
      <c r="BG123" s="17" t="str">
        <f aca="false">IF(OR(AK123="",NOT(ISNUMBER(AK123))),"",AK123-N(O123))</f>
        <v/>
      </c>
      <c r="BH123" s="17" t="str">
        <f aca="false">IF(OR(AL123="",NOT(ISNUMBER(AL123))),"",AL123-N(P123))</f>
        <v/>
      </c>
      <c r="BI123" s="17" t="str">
        <f aca="false">IF(OR(AM123="",NOT(ISNUMBER(AM123))),"",AM123-N(Q123))</f>
        <v/>
      </c>
      <c r="BJ123" s="17" t="str">
        <f aca="false">IF(OR(AN123="",NOT(ISNUMBER(AN123))),"",AN123-N(R123))</f>
        <v/>
      </c>
      <c r="BK123" s="17" t="str">
        <f aca="false">IF(OR(AO123="",NOT(ISNUMBER(AO123))),"",AO123-N(S123))</f>
        <v/>
      </c>
      <c r="BL123" s="17" t="str">
        <f aca="false">IF(OR(AP123="",NOT(ISNUMBER(AP123))),"",AP123-N(T123))</f>
        <v/>
      </c>
      <c r="BM123" s="17" t="str">
        <f aca="false">IF(OR(AQ123="",NOT(ISNUMBER(AQ123))),"",AQ123-N(U123))</f>
        <v/>
      </c>
      <c r="BR123" s="20" t="str">
        <f aca="false">IF($A123="","",IF(ISNUMBER($A123),DATE(YEAR($A123),MONTH($A123),1),IFERROR(DATE(2000+VALUE(RIGHT(TRIM($A123),2)),MATCH(UPPER(LEFT(TRIM($A123),3)),{"JAN","FEB","MAR","APR","MAY","JUN","JUL","AUG","SEP","OCT","NOV","DEC"},0),1),"")))</f>
        <v/>
      </c>
      <c r="BS123" s="20" t="str">
        <f aca="false">IF(BR123="","",EOMONTH(BR123,0))</f>
        <v/>
      </c>
    </row>
    <row r="124" customFormat="false" ht="15" hidden="false" customHeight="false" outlineLevel="0" collapsed="false">
      <c r="B124" s="21"/>
      <c r="C124" s="21"/>
      <c r="D124" s="21"/>
      <c r="E124" s="21"/>
      <c r="F124" s="21"/>
      <c r="G124" s="21"/>
      <c r="H124" s="21"/>
      <c r="I124" s="21"/>
      <c r="J124" s="21"/>
      <c r="K124" s="21"/>
      <c r="L124" s="21"/>
      <c r="M124" s="21"/>
      <c r="N124" s="21"/>
      <c r="O124" s="21"/>
      <c r="P124" s="21"/>
      <c r="Q124" s="21"/>
      <c r="R124" s="21"/>
      <c r="S124" s="21"/>
      <c r="T124" s="21"/>
      <c r="U124" s="21"/>
      <c r="X124" s="17" t="str">
        <f aca="false">IF(OR(B$7="",$BR124=""),"",IF('Tally Helper'!$B$3&lt;&gt;TRUE(),"not on Staff",SUMIFS('Tally Helper'!$L$5:$GI$5,'Tally Helper'!$L$3:$GI$3,"&gt;="&amp;$BR124,'Tally Helper'!$L$3:$GI$3,"&lt;="&amp;$BS124)))</f>
        <v/>
      </c>
      <c r="Y124" s="17" t="str">
        <f aca="false">IF(OR(C$7="",$BR124=""),"",IF('Tally Helper'!$B$6&lt;&gt;TRUE(),"not on Staff",SUMIFS('Tally Helper'!$L$8:$GI$8,'Tally Helper'!$L$6:$GI$6,"&gt;="&amp;$BR124,'Tally Helper'!$L$6:$GI$6,"&lt;="&amp;$BS124)))</f>
        <v/>
      </c>
      <c r="Z124" s="17" t="str">
        <f aca="false">IF(OR(D$7="",$BR124=""),"",IF('Tally Helper'!$B$9&lt;&gt;TRUE(),"not on Staff",SUMIFS('Tally Helper'!$L$11:$GI$11,'Tally Helper'!$L$9:$GI$9,"&gt;="&amp;$BR124,'Tally Helper'!$L$9:$GI$9,"&lt;="&amp;$BS124)))</f>
        <v/>
      </c>
      <c r="AA124" s="17" t="str">
        <f aca="false">IF(OR(E$7="",$BR124=""),"",IF('Tally Helper'!$B$12&lt;&gt;TRUE(),"not on Staff",SUMIFS('Tally Helper'!$L$14:$GI$14,'Tally Helper'!$L$12:$GI$12,"&gt;="&amp;$BR124,'Tally Helper'!$L$12:$GI$12,"&lt;="&amp;$BS124)))</f>
        <v/>
      </c>
      <c r="AB124" s="17" t="str">
        <f aca="false">IF(OR(F$7="",$BR124=""),"",IF('Tally Helper'!$B$15&lt;&gt;TRUE(),"not on Staff",SUMIFS('Tally Helper'!$L$17:$GI$17,'Tally Helper'!$L$15:$GI$15,"&gt;="&amp;$BR124,'Tally Helper'!$L$15:$GI$15,"&lt;="&amp;$BS124)))</f>
        <v/>
      </c>
      <c r="AC124" s="17" t="str">
        <f aca="false">IF(OR(G$7="",$BR124=""),"",IF('Tally Helper'!$B$18&lt;&gt;TRUE(),"not on Staff",SUMIFS('Tally Helper'!$L$20:$GI$20,'Tally Helper'!$L$18:$GI$18,"&gt;="&amp;$BR124,'Tally Helper'!$L$18:$GI$18,"&lt;="&amp;$BS124)))</f>
        <v/>
      </c>
      <c r="AD124" s="17" t="str">
        <f aca="false">IF(OR(H$7="",$BR124=""),"",IF('Tally Helper'!$B$21&lt;&gt;TRUE(),"not on Staff",SUMIFS('Tally Helper'!$L$23:$GI$23,'Tally Helper'!$L$21:$GI$21,"&gt;="&amp;$BR124,'Tally Helper'!$L$21:$GI$21,"&lt;="&amp;$BS124)))</f>
        <v/>
      </c>
      <c r="AE124" s="17" t="str">
        <f aca="false">IF(OR(I$7="",$BR124=""),"",IF('Tally Helper'!$B$24&lt;&gt;TRUE(),"not on Staff",SUMIFS('Tally Helper'!$L$26:$GI$26,'Tally Helper'!$L$24:$GI$24,"&gt;="&amp;$BR124,'Tally Helper'!$L$24:$GI$24,"&lt;="&amp;$BS124)))</f>
        <v/>
      </c>
      <c r="AF124" s="17" t="str">
        <f aca="false">IF(OR(J$7="",$BR124=""),"",IF('Tally Helper'!$B$27&lt;&gt;TRUE(),"not on Staff",SUMIFS('Tally Helper'!$L$29:$GI$29,'Tally Helper'!$L$27:$GI$27,"&gt;="&amp;$BR124,'Tally Helper'!$L$27:$GI$27,"&lt;="&amp;$BS124)))</f>
        <v/>
      </c>
      <c r="AG124" s="17" t="str">
        <f aca="false">IF(OR(K$7="",$BR124=""),"",IF('Tally Helper'!$B$30&lt;&gt;TRUE(),"not on Staff",SUMIFS('Tally Helper'!$L$32:$GI$32,'Tally Helper'!$L$30:$GI$30,"&gt;="&amp;$BR124,'Tally Helper'!$L$30:$GI$30,"&lt;="&amp;$BS124)))</f>
        <v/>
      </c>
      <c r="AH124" s="17" t="str">
        <f aca="false">IF(OR(L$7="",$BR124=""),"",IF('Tally Helper'!$B$33&lt;&gt;TRUE(),"not on Staff",SUMIFS('Tally Helper'!$L$35:$GI$35,'Tally Helper'!$L$33:$GI$33,"&gt;="&amp;$BR124,'Tally Helper'!$L$33:$GI$33,"&lt;="&amp;$BS124)))</f>
        <v/>
      </c>
      <c r="AI124" s="17" t="str">
        <f aca="false">IF(OR(M$7="",$BR124=""),"",IF('Tally Helper'!$B$36&lt;&gt;TRUE(),"not on Staff",SUMIFS('Tally Helper'!$L$38:$GI$38,'Tally Helper'!$L$36:$GI$36,"&gt;="&amp;$BR124,'Tally Helper'!$L$36:$GI$36,"&lt;="&amp;$BS124)))</f>
        <v/>
      </c>
      <c r="AJ124" s="17" t="str">
        <f aca="false">IF(OR(N$7="",$BR124=""),"",IF('Tally Helper'!$B$39&lt;&gt;TRUE(),"not on Staff",SUMIFS('Tally Helper'!$L$41:$GI$41,'Tally Helper'!$L$39:$GI$39,"&gt;="&amp;$BR124,'Tally Helper'!$L$39:$GI$39,"&lt;="&amp;$BS124)))</f>
        <v/>
      </c>
      <c r="AK124" s="17" t="str">
        <f aca="false">IF(OR(O$7="",$BR124=""),"",IF('Tally Helper'!$B$42&lt;&gt;TRUE(),"not on Staff",SUMIFS('Tally Helper'!$L$44:$GI$44,'Tally Helper'!$L$42:$GI$42,"&gt;="&amp;$BR124,'Tally Helper'!$L$42:$GI$42,"&lt;="&amp;$BS124)))</f>
        <v/>
      </c>
      <c r="AL124" s="17" t="str">
        <f aca="false">IF(OR(P$7="",$BR124=""),"",IF('Tally Helper'!$B$45&lt;&gt;TRUE(),"not on Staff",SUMIFS('Tally Helper'!$L$47:$GI$47,'Tally Helper'!$L$45:$GI$45,"&gt;="&amp;$BR124,'Tally Helper'!$L$45:$GI$45,"&lt;="&amp;$BS124)))</f>
        <v/>
      </c>
      <c r="AM124" s="17" t="str">
        <f aca="false">IF(OR(Q$7="",$BR124=""),"",IF('Tally Helper'!$B$48&lt;&gt;TRUE(),"not on Staff",SUMIFS('Tally Helper'!$L$50:$GI$50,'Tally Helper'!$L$48:$GI$48,"&gt;="&amp;$BR124,'Tally Helper'!$L$48:$GI$48,"&lt;="&amp;$BS124)))</f>
        <v/>
      </c>
      <c r="AN124" s="17" t="str">
        <f aca="false">IF(OR(R$7="",$BR124=""),"",IF('Tally Helper'!$B$51&lt;&gt;TRUE(),"not on Staff",SUMIFS('Tally Helper'!$L$53:$GI$53,'Tally Helper'!$L$51:$GI$51,"&gt;="&amp;$BR124,'Tally Helper'!$L$51:$GI$51,"&lt;="&amp;$BS124)))</f>
        <v/>
      </c>
      <c r="AO124" s="17" t="str">
        <f aca="false">IF(OR(S$7="",$BR124=""),"",IF('Tally Helper'!$B$54&lt;&gt;TRUE(),"not on Staff",SUMIFS('Tally Helper'!$L$56:$GI$56,'Tally Helper'!$L$54:$GI$54,"&gt;="&amp;$BR124,'Tally Helper'!$L$54:$GI$54,"&lt;="&amp;$BS124)))</f>
        <v/>
      </c>
      <c r="AP124" s="17" t="str">
        <f aca="false">IF(OR(T$7="",$BR124=""),"",IF('Tally Helper'!$B$57&lt;&gt;TRUE(),"not on Staff",SUMIFS('Tally Helper'!$L$59:$GI$59,'Tally Helper'!$L$57:$GI$57,"&gt;="&amp;$BR124,'Tally Helper'!$L$57:$GI$57,"&lt;="&amp;$BS124)))</f>
        <v/>
      </c>
      <c r="AQ124" s="17" t="str">
        <f aca="false">IF(OR(U$7="",$BR124=""),"",IF('Tally Helper'!$B$60&lt;&gt;TRUE(),"not on Staff",SUMIFS('Tally Helper'!$L$62:$GI$62,'Tally Helper'!$L$60:$GI$60,"&gt;="&amp;$BR124,'Tally Helper'!$L$60:$GI$60,"&lt;="&amp;$BS124)))</f>
        <v/>
      </c>
      <c r="AT124" s="17" t="str">
        <f aca="false">IF(OR(X124="",NOT(ISNUMBER(X124))),"",X124-N(B124))</f>
        <v/>
      </c>
      <c r="AU124" s="17" t="str">
        <f aca="false">IF(OR(Y124="",NOT(ISNUMBER(Y124))),"",Y124-N(C124))</f>
        <v/>
      </c>
      <c r="AV124" s="17" t="str">
        <f aca="false">IF(OR(Z124="",NOT(ISNUMBER(Z124))),"",Z124-N(D124))</f>
        <v/>
      </c>
      <c r="AW124" s="17" t="str">
        <f aca="false">IF(OR(AA124="",NOT(ISNUMBER(AA124))),"",AA124-N(E124))</f>
        <v/>
      </c>
      <c r="AX124" s="17" t="str">
        <f aca="false">IF(OR(AB124="",NOT(ISNUMBER(AB124))),"",AB124-N(F124))</f>
        <v/>
      </c>
      <c r="AY124" s="17" t="str">
        <f aca="false">IF(OR(AC124="",NOT(ISNUMBER(AC124))),"",AC124-N(G124))</f>
        <v/>
      </c>
      <c r="AZ124" s="17" t="str">
        <f aca="false">IF(OR(AD124="",NOT(ISNUMBER(AD124))),"",AD124-N(H124))</f>
        <v/>
      </c>
      <c r="BA124" s="17" t="str">
        <f aca="false">IF(OR(AE124="",NOT(ISNUMBER(AE124))),"",AE124-N(I124))</f>
        <v/>
      </c>
      <c r="BB124" s="17" t="str">
        <f aca="false">IF(OR(AF124="",NOT(ISNUMBER(AF124))),"",AF124-N(J124))</f>
        <v/>
      </c>
      <c r="BC124" s="17" t="str">
        <f aca="false">IF(OR(AG124="",NOT(ISNUMBER(AG124))),"",AG124-N(K124))</f>
        <v/>
      </c>
      <c r="BD124" s="17" t="str">
        <f aca="false">IF(OR(AH124="",NOT(ISNUMBER(AH124))),"",AH124-N(L124))</f>
        <v/>
      </c>
      <c r="BE124" s="17" t="str">
        <f aca="false">IF(OR(AI124="",NOT(ISNUMBER(AI124))),"",AI124-N(M124))</f>
        <v/>
      </c>
      <c r="BF124" s="17" t="str">
        <f aca="false">IF(OR(AJ124="",NOT(ISNUMBER(AJ124))),"",AJ124-N(N124))</f>
        <v/>
      </c>
      <c r="BG124" s="17" t="str">
        <f aca="false">IF(OR(AK124="",NOT(ISNUMBER(AK124))),"",AK124-N(O124))</f>
        <v/>
      </c>
      <c r="BH124" s="17" t="str">
        <f aca="false">IF(OR(AL124="",NOT(ISNUMBER(AL124))),"",AL124-N(P124))</f>
        <v/>
      </c>
      <c r="BI124" s="17" t="str">
        <f aca="false">IF(OR(AM124="",NOT(ISNUMBER(AM124))),"",AM124-N(Q124))</f>
        <v/>
      </c>
      <c r="BJ124" s="17" t="str">
        <f aca="false">IF(OR(AN124="",NOT(ISNUMBER(AN124))),"",AN124-N(R124))</f>
        <v/>
      </c>
      <c r="BK124" s="17" t="str">
        <f aca="false">IF(OR(AO124="",NOT(ISNUMBER(AO124))),"",AO124-N(S124))</f>
        <v/>
      </c>
      <c r="BL124" s="17" t="str">
        <f aca="false">IF(OR(AP124="",NOT(ISNUMBER(AP124))),"",AP124-N(T124))</f>
        <v/>
      </c>
      <c r="BM124" s="17" t="str">
        <f aca="false">IF(OR(AQ124="",NOT(ISNUMBER(AQ124))),"",AQ124-N(U124))</f>
        <v/>
      </c>
      <c r="BR124" s="20" t="str">
        <f aca="false">IF($A124="","",IF(ISNUMBER($A124),DATE(YEAR($A124),MONTH($A124),1),IFERROR(DATE(2000+VALUE(RIGHT(TRIM($A124),2)),MATCH(UPPER(LEFT(TRIM($A124),3)),{"JAN","FEB","MAR","APR","MAY","JUN","JUL","AUG","SEP","OCT","NOV","DEC"},0),1),"")))</f>
        <v/>
      </c>
      <c r="BS124" s="20" t="str">
        <f aca="false">IF(BR124="","",EOMONTH(BR124,0))</f>
        <v/>
      </c>
    </row>
    <row r="125" customFormat="false" ht="15" hidden="false" customHeight="false" outlineLevel="0" collapsed="false">
      <c r="B125" s="21"/>
      <c r="C125" s="21"/>
      <c r="D125" s="21"/>
      <c r="E125" s="21"/>
      <c r="F125" s="21"/>
      <c r="G125" s="21"/>
      <c r="H125" s="21"/>
      <c r="I125" s="21"/>
      <c r="J125" s="21"/>
      <c r="K125" s="21"/>
      <c r="L125" s="21"/>
      <c r="M125" s="21"/>
      <c r="N125" s="21"/>
      <c r="O125" s="21"/>
      <c r="P125" s="21"/>
      <c r="Q125" s="21"/>
      <c r="R125" s="21"/>
      <c r="S125" s="21"/>
      <c r="T125" s="21"/>
      <c r="U125" s="21"/>
      <c r="X125" s="17" t="str">
        <f aca="false">IF(OR(B$7="",$BR125=""),"",IF('Tally Helper'!$B$3&lt;&gt;TRUE(),"not on Staff",SUMIFS('Tally Helper'!$L$5:$GI$5,'Tally Helper'!$L$3:$GI$3,"&gt;="&amp;$BR125,'Tally Helper'!$L$3:$GI$3,"&lt;="&amp;$BS125)))</f>
        <v/>
      </c>
      <c r="Y125" s="17" t="str">
        <f aca="false">IF(OR(C$7="",$BR125=""),"",IF('Tally Helper'!$B$6&lt;&gt;TRUE(),"not on Staff",SUMIFS('Tally Helper'!$L$8:$GI$8,'Tally Helper'!$L$6:$GI$6,"&gt;="&amp;$BR125,'Tally Helper'!$L$6:$GI$6,"&lt;="&amp;$BS125)))</f>
        <v/>
      </c>
      <c r="Z125" s="17" t="str">
        <f aca="false">IF(OR(D$7="",$BR125=""),"",IF('Tally Helper'!$B$9&lt;&gt;TRUE(),"not on Staff",SUMIFS('Tally Helper'!$L$11:$GI$11,'Tally Helper'!$L$9:$GI$9,"&gt;="&amp;$BR125,'Tally Helper'!$L$9:$GI$9,"&lt;="&amp;$BS125)))</f>
        <v/>
      </c>
      <c r="AA125" s="17" t="str">
        <f aca="false">IF(OR(E$7="",$BR125=""),"",IF('Tally Helper'!$B$12&lt;&gt;TRUE(),"not on Staff",SUMIFS('Tally Helper'!$L$14:$GI$14,'Tally Helper'!$L$12:$GI$12,"&gt;="&amp;$BR125,'Tally Helper'!$L$12:$GI$12,"&lt;="&amp;$BS125)))</f>
        <v/>
      </c>
      <c r="AB125" s="17" t="str">
        <f aca="false">IF(OR(F$7="",$BR125=""),"",IF('Tally Helper'!$B$15&lt;&gt;TRUE(),"not on Staff",SUMIFS('Tally Helper'!$L$17:$GI$17,'Tally Helper'!$L$15:$GI$15,"&gt;="&amp;$BR125,'Tally Helper'!$L$15:$GI$15,"&lt;="&amp;$BS125)))</f>
        <v/>
      </c>
      <c r="AC125" s="17" t="str">
        <f aca="false">IF(OR(G$7="",$BR125=""),"",IF('Tally Helper'!$B$18&lt;&gt;TRUE(),"not on Staff",SUMIFS('Tally Helper'!$L$20:$GI$20,'Tally Helper'!$L$18:$GI$18,"&gt;="&amp;$BR125,'Tally Helper'!$L$18:$GI$18,"&lt;="&amp;$BS125)))</f>
        <v/>
      </c>
      <c r="AD125" s="17" t="str">
        <f aca="false">IF(OR(H$7="",$BR125=""),"",IF('Tally Helper'!$B$21&lt;&gt;TRUE(),"not on Staff",SUMIFS('Tally Helper'!$L$23:$GI$23,'Tally Helper'!$L$21:$GI$21,"&gt;="&amp;$BR125,'Tally Helper'!$L$21:$GI$21,"&lt;="&amp;$BS125)))</f>
        <v/>
      </c>
      <c r="AE125" s="17" t="str">
        <f aca="false">IF(OR(I$7="",$BR125=""),"",IF('Tally Helper'!$B$24&lt;&gt;TRUE(),"not on Staff",SUMIFS('Tally Helper'!$L$26:$GI$26,'Tally Helper'!$L$24:$GI$24,"&gt;="&amp;$BR125,'Tally Helper'!$L$24:$GI$24,"&lt;="&amp;$BS125)))</f>
        <v/>
      </c>
      <c r="AF125" s="17" t="str">
        <f aca="false">IF(OR(J$7="",$BR125=""),"",IF('Tally Helper'!$B$27&lt;&gt;TRUE(),"not on Staff",SUMIFS('Tally Helper'!$L$29:$GI$29,'Tally Helper'!$L$27:$GI$27,"&gt;="&amp;$BR125,'Tally Helper'!$L$27:$GI$27,"&lt;="&amp;$BS125)))</f>
        <v/>
      </c>
      <c r="AG125" s="17" t="str">
        <f aca="false">IF(OR(K$7="",$BR125=""),"",IF('Tally Helper'!$B$30&lt;&gt;TRUE(),"not on Staff",SUMIFS('Tally Helper'!$L$32:$GI$32,'Tally Helper'!$L$30:$GI$30,"&gt;="&amp;$BR125,'Tally Helper'!$L$30:$GI$30,"&lt;="&amp;$BS125)))</f>
        <v/>
      </c>
      <c r="AH125" s="17" t="str">
        <f aca="false">IF(OR(L$7="",$BR125=""),"",IF('Tally Helper'!$B$33&lt;&gt;TRUE(),"not on Staff",SUMIFS('Tally Helper'!$L$35:$GI$35,'Tally Helper'!$L$33:$GI$33,"&gt;="&amp;$BR125,'Tally Helper'!$L$33:$GI$33,"&lt;="&amp;$BS125)))</f>
        <v/>
      </c>
      <c r="AI125" s="17" t="str">
        <f aca="false">IF(OR(M$7="",$BR125=""),"",IF('Tally Helper'!$B$36&lt;&gt;TRUE(),"not on Staff",SUMIFS('Tally Helper'!$L$38:$GI$38,'Tally Helper'!$L$36:$GI$36,"&gt;="&amp;$BR125,'Tally Helper'!$L$36:$GI$36,"&lt;="&amp;$BS125)))</f>
        <v/>
      </c>
      <c r="AJ125" s="17" t="str">
        <f aca="false">IF(OR(N$7="",$BR125=""),"",IF('Tally Helper'!$B$39&lt;&gt;TRUE(),"not on Staff",SUMIFS('Tally Helper'!$L$41:$GI$41,'Tally Helper'!$L$39:$GI$39,"&gt;="&amp;$BR125,'Tally Helper'!$L$39:$GI$39,"&lt;="&amp;$BS125)))</f>
        <v/>
      </c>
      <c r="AK125" s="17" t="str">
        <f aca="false">IF(OR(O$7="",$BR125=""),"",IF('Tally Helper'!$B$42&lt;&gt;TRUE(),"not on Staff",SUMIFS('Tally Helper'!$L$44:$GI$44,'Tally Helper'!$L$42:$GI$42,"&gt;="&amp;$BR125,'Tally Helper'!$L$42:$GI$42,"&lt;="&amp;$BS125)))</f>
        <v/>
      </c>
      <c r="AL125" s="17" t="str">
        <f aca="false">IF(OR(P$7="",$BR125=""),"",IF('Tally Helper'!$B$45&lt;&gt;TRUE(),"not on Staff",SUMIFS('Tally Helper'!$L$47:$GI$47,'Tally Helper'!$L$45:$GI$45,"&gt;="&amp;$BR125,'Tally Helper'!$L$45:$GI$45,"&lt;="&amp;$BS125)))</f>
        <v/>
      </c>
      <c r="AM125" s="17" t="str">
        <f aca="false">IF(OR(Q$7="",$BR125=""),"",IF('Tally Helper'!$B$48&lt;&gt;TRUE(),"not on Staff",SUMIFS('Tally Helper'!$L$50:$GI$50,'Tally Helper'!$L$48:$GI$48,"&gt;="&amp;$BR125,'Tally Helper'!$L$48:$GI$48,"&lt;="&amp;$BS125)))</f>
        <v/>
      </c>
      <c r="AN125" s="17" t="str">
        <f aca="false">IF(OR(R$7="",$BR125=""),"",IF('Tally Helper'!$B$51&lt;&gt;TRUE(),"not on Staff",SUMIFS('Tally Helper'!$L$53:$GI$53,'Tally Helper'!$L$51:$GI$51,"&gt;="&amp;$BR125,'Tally Helper'!$L$51:$GI$51,"&lt;="&amp;$BS125)))</f>
        <v/>
      </c>
      <c r="AO125" s="17" t="str">
        <f aca="false">IF(OR(S$7="",$BR125=""),"",IF('Tally Helper'!$B$54&lt;&gt;TRUE(),"not on Staff",SUMIFS('Tally Helper'!$L$56:$GI$56,'Tally Helper'!$L$54:$GI$54,"&gt;="&amp;$BR125,'Tally Helper'!$L$54:$GI$54,"&lt;="&amp;$BS125)))</f>
        <v/>
      </c>
      <c r="AP125" s="17" t="str">
        <f aca="false">IF(OR(T$7="",$BR125=""),"",IF('Tally Helper'!$B$57&lt;&gt;TRUE(),"not on Staff",SUMIFS('Tally Helper'!$L$59:$GI$59,'Tally Helper'!$L$57:$GI$57,"&gt;="&amp;$BR125,'Tally Helper'!$L$57:$GI$57,"&lt;="&amp;$BS125)))</f>
        <v/>
      </c>
      <c r="AQ125" s="17" t="str">
        <f aca="false">IF(OR(U$7="",$BR125=""),"",IF('Tally Helper'!$B$60&lt;&gt;TRUE(),"not on Staff",SUMIFS('Tally Helper'!$L$62:$GI$62,'Tally Helper'!$L$60:$GI$60,"&gt;="&amp;$BR125,'Tally Helper'!$L$60:$GI$60,"&lt;="&amp;$BS125)))</f>
        <v/>
      </c>
      <c r="AT125" s="17" t="str">
        <f aca="false">IF(OR(X125="",NOT(ISNUMBER(X125))),"",X125-N(B125))</f>
        <v/>
      </c>
      <c r="AU125" s="17" t="str">
        <f aca="false">IF(OR(Y125="",NOT(ISNUMBER(Y125))),"",Y125-N(C125))</f>
        <v/>
      </c>
      <c r="AV125" s="17" t="str">
        <f aca="false">IF(OR(Z125="",NOT(ISNUMBER(Z125))),"",Z125-N(D125))</f>
        <v/>
      </c>
      <c r="AW125" s="17" t="str">
        <f aca="false">IF(OR(AA125="",NOT(ISNUMBER(AA125))),"",AA125-N(E125))</f>
        <v/>
      </c>
      <c r="AX125" s="17" t="str">
        <f aca="false">IF(OR(AB125="",NOT(ISNUMBER(AB125))),"",AB125-N(F125))</f>
        <v/>
      </c>
      <c r="AY125" s="17" t="str">
        <f aca="false">IF(OR(AC125="",NOT(ISNUMBER(AC125))),"",AC125-N(G125))</f>
        <v/>
      </c>
      <c r="AZ125" s="17" t="str">
        <f aca="false">IF(OR(AD125="",NOT(ISNUMBER(AD125))),"",AD125-N(H125))</f>
        <v/>
      </c>
      <c r="BA125" s="17" t="str">
        <f aca="false">IF(OR(AE125="",NOT(ISNUMBER(AE125))),"",AE125-N(I125))</f>
        <v/>
      </c>
      <c r="BB125" s="17" t="str">
        <f aca="false">IF(OR(AF125="",NOT(ISNUMBER(AF125))),"",AF125-N(J125))</f>
        <v/>
      </c>
      <c r="BC125" s="17" t="str">
        <f aca="false">IF(OR(AG125="",NOT(ISNUMBER(AG125))),"",AG125-N(K125))</f>
        <v/>
      </c>
      <c r="BD125" s="17" t="str">
        <f aca="false">IF(OR(AH125="",NOT(ISNUMBER(AH125))),"",AH125-N(L125))</f>
        <v/>
      </c>
      <c r="BE125" s="17" t="str">
        <f aca="false">IF(OR(AI125="",NOT(ISNUMBER(AI125))),"",AI125-N(M125))</f>
        <v/>
      </c>
      <c r="BF125" s="17" t="str">
        <f aca="false">IF(OR(AJ125="",NOT(ISNUMBER(AJ125))),"",AJ125-N(N125))</f>
        <v/>
      </c>
      <c r="BG125" s="17" t="str">
        <f aca="false">IF(OR(AK125="",NOT(ISNUMBER(AK125))),"",AK125-N(O125))</f>
        <v/>
      </c>
      <c r="BH125" s="17" t="str">
        <f aca="false">IF(OR(AL125="",NOT(ISNUMBER(AL125))),"",AL125-N(P125))</f>
        <v/>
      </c>
      <c r="BI125" s="17" t="str">
        <f aca="false">IF(OR(AM125="",NOT(ISNUMBER(AM125))),"",AM125-N(Q125))</f>
        <v/>
      </c>
      <c r="BJ125" s="17" t="str">
        <f aca="false">IF(OR(AN125="",NOT(ISNUMBER(AN125))),"",AN125-N(R125))</f>
        <v/>
      </c>
      <c r="BK125" s="17" t="str">
        <f aca="false">IF(OR(AO125="",NOT(ISNUMBER(AO125))),"",AO125-N(S125))</f>
        <v/>
      </c>
      <c r="BL125" s="17" t="str">
        <f aca="false">IF(OR(AP125="",NOT(ISNUMBER(AP125))),"",AP125-N(T125))</f>
        <v/>
      </c>
      <c r="BM125" s="17" t="str">
        <f aca="false">IF(OR(AQ125="",NOT(ISNUMBER(AQ125))),"",AQ125-N(U125))</f>
        <v/>
      </c>
      <c r="BR125" s="20" t="str">
        <f aca="false">IF($A125="","",IF(ISNUMBER($A125),DATE(YEAR($A125),MONTH($A125),1),IFERROR(DATE(2000+VALUE(RIGHT(TRIM($A125),2)),MATCH(UPPER(LEFT(TRIM($A125),3)),{"JAN","FEB","MAR","APR","MAY","JUN","JUL","AUG","SEP","OCT","NOV","DEC"},0),1),"")))</f>
        <v/>
      </c>
      <c r="BS125" s="20" t="str">
        <f aca="false">IF(BR125="","",EOMONTH(BR125,0))</f>
        <v/>
      </c>
    </row>
    <row r="126" customFormat="false" ht="15" hidden="false" customHeight="false" outlineLevel="0" collapsed="false">
      <c r="B126" s="21"/>
      <c r="C126" s="21"/>
      <c r="D126" s="21"/>
      <c r="E126" s="21"/>
      <c r="F126" s="21"/>
      <c r="G126" s="21"/>
      <c r="H126" s="21"/>
      <c r="I126" s="21"/>
      <c r="J126" s="21"/>
      <c r="K126" s="21"/>
      <c r="L126" s="21"/>
      <c r="M126" s="21"/>
      <c r="N126" s="21"/>
      <c r="O126" s="21"/>
      <c r="P126" s="21"/>
      <c r="Q126" s="21"/>
      <c r="R126" s="21"/>
      <c r="S126" s="21"/>
      <c r="T126" s="21"/>
      <c r="U126" s="21"/>
      <c r="X126" s="17" t="str">
        <f aca="false">IF(OR(B$7="",$BR126=""),"",IF('Tally Helper'!$B$3&lt;&gt;TRUE(),"not on Staff",SUMIFS('Tally Helper'!$L$5:$GI$5,'Tally Helper'!$L$3:$GI$3,"&gt;="&amp;$BR126,'Tally Helper'!$L$3:$GI$3,"&lt;="&amp;$BS126)))</f>
        <v/>
      </c>
      <c r="Y126" s="17" t="str">
        <f aca="false">IF(OR(C$7="",$BR126=""),"",IF('Tally Helper'!$B$6&lt;&gt;TRUE(),"not on Staff",SUMIFS('Tally Helper'!$L$8:$GI$8,'Tally Helper'!$L$6:$GI$6,"&gt;="&amp;$BR126,'Tally Helper'!$L$6:$GI$6,"&lt;="&amp;$BS126)))</f>
        <v/>
      </c>
      <c r="Z126" s="17" t="str">
        <f aca="false">IF(OR(D$7="",$BR126=""),"",IF('Tally Helper'!$B$9&lt;&gt;TRUE(),"not on Staff",SUMIFS('Tally Helper'!$L$11:$GI$11,'Tally Helper'!$L$9:$GI$9,"&gt;="&amp;$BR126,'Tally Helper'!$L$9:$GI$9,"&lt;="&amp;$BS126)))</f>
        <v/>
      </c>
      <c r="AA126" s="17" t="str">
        <f aca="false">IF(OR(E$7="",$BR126=""),"",IF('Tally Helper'!$B$12&lt;&gt;TRUE(),"not on Staff",SUMIFS('Tally Helper'!$L$14:$GI$14,'Tally Helper'!$L$12:$GI$12,"&gt;="&amp;$BR126,'Tally Helper'!$L$12:$GI$12,"&lt;="&amp;$BS126)))</f>
        <v/>
      </c>
      <c r="AB126" s="17" t="str">
        <f aca="false">IF(OR(F$7="",$BR126=""),"",IF('Tally Helper'!$B$15&lt;&gt;TRUE(),"not on Staff",SUMIFS('Tally Helper'!$L$17:$GI$17,'Tally Helper'!$L$15:$GI$15,"&gt;="&amp;$BR126,'Tally Helper'!$L$15:$GI$15,"&lt;="&amp;$BS126)))</f>
        <v/>
      </c>
      <c r="AC126" s="17" t="str">
        <f aca="false">IF(OR(G$7="",$BR126=""),"",IF('Tally Helper'!$B$18&lt;&gt;TRUE(),"not on Staff",SUMIFS('Tally Helper'!$L$20:$GI$20,'Tally Helper'!$L$18:$GI$18,"&gt;="&amp;$BR126,'Tally Helper'!$L$18:$GI$18,"&lt;="&amp;$BS126)))</f>
        <v/>
      </c>
      <c r="AD126" s="17" t="str">
        <f aca="false">IF(OR(H$7="",$BR126=""),"",IF('Tally Helper'!$B$21&lt;&gt;TRUE(),"not on Staff",SUMIFS('Tally Helper'!$L$23:$GI$23,'Tally Helper'!$L$21:$GI$21,"&gt;="&amp;$BR126,'Tally Helper'!$L$21:$GI$21,"&lt;="&amp;$BS126)))</f>
        <v/>
      </c>
      <c r="AE126" s="17" t="str">
        <f aca="false">IF(OR(I$7="",$BR126=""),"",IF('Tally Helper'!$B$24&lt;&gt;TRUE(),"not on Staff",SUMIFS('Tally Helper'!$L$26:$GI$26,'Tally Helper'!$L$24:$GI$24,"&gt;="&amp;$BR126,'Tally Helper'!$L$24:$GI$24,"&lt;="&amp;$BS126)))</f>
        <v/>
      </c>
      <c r="AF126" s="17" t="str">
        <f aca="false">IF(OR(J$7="",$BR126=""),"",IF('Tally Helper'!$B$27&lt;&gt;TRUE(),"not on Staff",SUMIFS('Tally Helper'!$L$29:$GI$29,'Tally Helper'!$L$27:$GI$27,"&gt;="&amp;$BR126,'Tally Helper'!$L$27:$GI$27,"&lt;="&amp;$BS126)))</f>
        <v/>
      </c>
      <c r="AG126" s="17" t="str">
        <f aca="false">IF(OR(K$7="",$BR126=""),"",IF('Tally Helper'!$B$30&lt;&gt;TRUE(),"not on Staff",SUMIFS('Tally Helper'!$L$32:$GI$32,'Tally Helper'!$L$30:$GI$30,"&gt;="&amp;$BR126,'Tally Helper'!$L$30:$GI$30,"&lt;="&amp;$BS126)))</f>
        <v/>
      </c>
      <c r="AH126" s="17" t="str">
        <f aca="false">IF(OR(L$7="",$BR126=""),"",IF('Tally Helper'!$B$33&lt;&gt;TRUE(),"not on Staff",SUMIFS('Tally Helper'!$L$35:$GI$35,'Tally Helper'!$L$33:$GI$33,"&gt;="&amp;$BR126,'Tally Helper'!$L$33:$GI$33,"&lt;="&amp;$BS126)))</f>
        <v/>
      </c>
      <c r="AI126" s="17" t="str">
        <f aca="false">IF(OR(M$7="",$BR126=""),"",IF('Tally Helper'!$B$36&lt;&gt;TRUE(),"not on Staff",SUMIFS('Tally Helper'!$L$38:$GI$38,'Tally Helper'!$L$36:$GI$36,"&gt;="&amp;$BR126,'Tally Helper'!$L$36:$GI$36,"&lt;="&amp;$BS126)))</f>
        <v/>
      </c>
      <c r="AJ126" s="17" t="str">
        <f aca="false">IF(OR(N$7="",$BR126=""),"",IF('Tally Helper'!$B$39&lt;&gt;TRUE(),"not on Staff",SUMIFS('Tally Helper'!$L$41:$GI$41,'Tally Helper'!$L$39:$GI$39,"&gt;="&amp;$BR126,'Tally Helper'!$L$39:$GI$39,"&lt;="&amp;$BS126)))</f>
        <v/>
      </c>
      <c r="AK126" s="17" t="str">
        <f aca="false">IF(OR(O$7="",$BR126=""),"",IF('Tally Helper'!$B$42&lt;&gt;TRUE(),"not on Staff",SUMIFS('Tally Helper'!$L$44:$GI$44,'Tally Helper'!$L$42:$GI$42,"&gt;="&amp;$BR126,'Tally Helper'!$L$42:$GI$42,"&lt;="&amp;$BS126)))</f>
        <v/>
      </c>
      <c r="AL126" s="17" t="str">
        <f aca="false">IF(OR(P$7="",$BR126=""),"",IF('Tally Helper'!$B$45&lt;&gt;TRUE(),"not on Staff",SUMIFS('Tally Helper'!$L$47:$GI$47,'Tally Helper'!$L$45:$GI$45,"&gt;="&amp;$BR126,'Tally Helper'!$L$45:$GI$45,"&lt;="&amp;$BS126)))</f>
        <v/>
      </c>
      <c r="AM126" s="17" t="str">
        <f aca="false">IF(OR(Q$7="",$BR126=""),"",IF('Tally Helper'!$B$48&lt;&gt;TRUE(),"not on Staff",SUMIFS('Tally Helper'!$L$50:$GI$50,'Tally Helper'!$L$48:$GI$48,"&gt;="&amp;$BR126,'Tally Helper'!$L$48:$GI$48,"&lt;="&amp;$BS126)))</f>
        <v/>
      </c>
      <c r="AN126" s="17" t="str">
        <f aca="false">IF(OR(R$7="",$BR126=""),"",IF('Tally Helper'!$B$51&lt;&gt;TRUE(),"not on Staff",SUMIFS('Tally Helper'!$L$53:$GI$53,'Tally Helper'!$L$51:$GI$51,"&gt;="&amp;$BR126,'Tally Helper'!$L$51:$GI$51,"&lt;="&amp;$BS126)))</f>
        <v/>
      </c>
      <c r="AO126" s="17" t="str">
        <f aca="false">IF(OR(S$7="",$BR126=""),"",IF('Tally Helper'!$B$54&lt;&gt;TRUE(),"not on Staff",SUMIFS('Tally Helper'!$L$56:$GI$56,'Tally Helper'!$L$54:$GI$54,"&gt;="&amp;$BR126,'Tally Helper'!$L$54:$GI$54,"&lt;="&amp;$BS126)))</f>
        <v/>
      </c>
      <c r="AP126" s="17" t="str">
        <f aca="false">IF(OR(T$7="",$BR126=""),"",IF('Tally Helper'!$B$57&lt;&gt;TRUE(),"not on Staff",SUMIFS('Tally Helper'!$L$59:$GI$59,'Tally Helper'!$L$57:$GI$57,"&gt;="&amp;$BR126,'Tally Helper'!$L$57:$GI$57,"&lt;="&amp;$BS126)))</f>
        <v/>
      </c>
      <c r="AQ126" s="17" t="str">
        <f aca="false">IF(OR(U$7="",$BR126=""),"",IF('Tally Helper'!$B$60&lt;&gt;TRUE(),"not on Staff",SUMIFS('Tally Helper'!$L$62:$GI$62,'Tally Helper'!$L$60:$GI$60,"&gt;="&amp;$BR126,'Tally Helper'!$L$60:$GI$60,"&lt;="&amp;$BS126)))</f>
        <v/>
      </c>
      <c r="AT126" s="17" t="str">
        <f aca="false">IF(OR(X126="",NOT(ISNUMBER(X126))),"",X126-N(B126))</f>
        <v/>
      </c>
      <c r="AU126" s="17" t="str">
        <f aca="false">IF(OR(Y126="",NOT(ISNUMBER(Y126))),"",Y126-N(C126))</f>
        <v/>
      </c>
      <c r="AV126" s="17" t="str">
        <f aca="false">IF(OR(Z126="",NOT(ISNUMBER(Z126))),"",Z126-N(D126))</f>
        <v/>
      </c>
      <c r="AW126" s="17" t="str">
        <f aca="false">IF(OR(AA126="",NOT(ISNUMBER(AA126))),"",AA126-N(E126))</f>
        <v/>
      </c>
      <c r="AX126" s="17" t="str">
        <f aca="false">IF(OR(AB126="",NOT(ISNUMBER(AB126))),"",AB126-N(F126))</f>
        <v/>
      </c>
      <c r="AY126" s="17" t="str">
        <f aca="false">IF(OR(AC126="",NOT(ISNUMBER(AC126))),"",AC126-N(G126))</f>
        <v/>
      </c>
      <c r="AZ126" s="17" t="str">
        <f aca="false">IF(OR(AD126="",NOT(ISNUMBER(AD126))),"",AD126-N(H126))</f>
        <v/>
      </c>
      <c r="BA126" s="17" t="str">
        <f aca="false">IF(OR(AE126="",NOT(ISNUMBER(AE126))),"",AE126-N(I126))</f>
        <v/>
      </c>
      <c r="BB126" s="17" t="str">
        <f aca="false">IF(OR(AF126="",NOT(ISNUMBER(AF126))),"",AF126-N(J126))</f>
        <v/>
      </c>
      <c r="BC126" s="17" t="str">
        <f aca="false">IF(OR(AG126="",NOT(ISNUMBER(AG126))),"",AG126-N(K126))</f>
        <v/>
      </c>
      <c r="BD126" s="17" t="str">
        <f aca="false">IF(OR(AH126="",NOT(ISNUMBER(AH126))),"",AH126-N(L126))</f>
        <v/>
      </c>
      <c r="BE126" s="17" t="str">
        <f aca="false">IF(OR(AI126="",NOT(ISNUMBER(AI126))),"",AI126-N(M126))</f>
        <v/>
      </c>
      <c r="BF126" s="17" t="str">
        <f aca="false">IF(OR(AJ126="",NOT(ISNUMBER(AJ126))),"",AJ126-N(N126))</f>
        <v/>
      </c>
      <c r="BG126" s="17" t="str">
        <f aca="false">IF(OR(AK126="",NOT(ISNUMBER(AK126))),"",AK126-N(O126))</f>
        <v/>
      </c>
      <c r="BH126" s="17" t="str">
        <f aca="false">IF(OR(AL126="",NOT(ISNUMBER(AL126))),"",AL126-N(P126))</f>
        <v/>
      </c>
      <c r="BI126" s="17" t="str">
        <f aca="false">IF(OR(AM126="",NOT(ISNUMBER(AM126))),"",AM126-N(Q126))</f>
        <v/>
      </c>
      <c r="BJ126" s="17" t="str">
        <f aca="false">IF(OR(AN126="",NOT(ISNUMBER(AN126))),"",AN126-N(R126))</f>
        <v/>
      </c>
      <c r="BK126" s="17" t="str">
        <f aca="false">IF(OR(AO126="",NOT(ISNUMBER(AO126))),"",AO126-N(S126))</f>
        <v/>
      </c>
      <c r="BL126" s="17" t="str">
        <f aca="false">IF(OR(AP126="",NOT(ISNUMBER(AP126))),"",AP126-N(T126))</f>
        <v/>
      </c>
      <c r="BM126" s="17" t="str">
        <f aca="false">IF(OR(AQ126="",NOT(ISNUMBER(AQ126))),"",AQ126-N(U126))</f>
        <v/>
      </c>
      <c r="BR126" s="20" t="str">
        <f aca="false">IF($A126="","",IF(ISNUMBER($A126),DATE(YEAR($A126),MONTH($A126),1),IFERROR(DATE(2000+VALUE(RIGHT(TRIM($A126),2)),MATCH(UPPER(LEFT(TRIM($A126),3)),{"JAN","FEB","MAR","APR","MAY","JUN","JUL","AUG","SEP","OCT","NOV","DEC"},0),1),"")))</f>
        <v/>
      </c>
      <c r="BS126" s="20" t="str">
        <f aca="false">IF(BR126="","",EOMONTH(BR126,0))</f>
        <v/>
      </c>
    </row>
    <row r="127" customFormat="false" ht="15" hidden="false" customHeight="false" outlineLevel="0" collapsed="false">
      <c r="B127" s="21"/>
      <c r="C127" s="21"/>
      <c r="D127" s="21"/>
      <c r="E127" s="21"/>
      <c r="F127" s="21"/>
      <c r="G127" s="21"/>
      <c r="H127" s="21"/>
      <c r="I127" s="21"/>
      <c r="J127" s="21"/>
      <c r="K127" s="21"/>
      <c r="L127" s="21"/>
      <c r="M127" s="21"/>
      <c r="N127" s="21"/>
      <c r="O127" s="21"/>
      <c r="P127" s="21"/>
      <c r="Q127" s="21"/>
      <c r="R127" s="21"/>
      <c r="S127" s="21"/>
      <c r="T127" s="21"/>
      <c r="U127" s="21"/>
      <c r="X127" s="17" t="str">
        <f aca="false">IF(OR(B$7="",$BR127=""),"",IF('Tally Helper'!$B$3&lt;&gt;TRUE(),"not on Staff",SUMIFS('Tally Helper'!$L$5:$GI$5,'Tally Helper'!$L$3:$GI$3,"&gt;="&amp;$BR127,'Tally Helper'!$L$3:$GI$3,"&lt;="&amp;$BS127)))</f>
        <v/>
      </c>
      <c r="Y127" s="17" t="str">
        <f aca="false">IF(OR(C$7="",$BR127=""),"",IF('Tally Helper'!$B$6&lt;&gt;TRUE(),"not on Staff",SUMIFS('Tally Helper'!$L$8:$GI$8,'Tally Helper'!$L$6:$GI$6,"&gt;="&amp;$BR127,'Tally Helper'!$L$6:$GI$6,"&lt;="&amp;$BS127)))</f>
        <v/>
      </c>
      <c r="Z127" s="17" t="str">
        <f aca="false">IF(OR(D$7="",$BR127=""),"",IF('Tally Helper'!$B$9&lt;&gt;TRUE(),"not on Staff",SUMIFS('Tally Helper'!$L$11:$GI$11,'Tally Helper'!$L$9:$GI$9,"&gt;="&amp;$BR127,'Tally Helper'!$L$9:$GI$9,"&lt;="&amp;$BS127)))</f>
        <v/>
      </c>
      <c r="AA127" s="17" t="str">
        <f aca="false">IF(OR(E$7="",$BR127=""),"",IF('Tally Helper'!$B$12&lt;&gt;TRUE(),"not on Staff",SUMIFS('Tally Helper'!$L$14:$GI$14,'Tally Helper'!$L$12:$GI$12,"&gt;="&amp;$BR127,'Tally Helper'!$L$12:$GI$12,"&lt;="&amp;$BS127)))</f>
        <v/>
      </c>
      <c r="AB127" s="17" t="str">
        <f aca="false">IF(OR(F$7="",$BR127=""),"",IF('Tally Helper'!$B$15&lt;&gt;TRUE(),"not on Staff",SUMIFS('Tally Helper'!$L$17:$GI$17,'Tally Helper'!$L$15:$GI$15,"&gt;="&amp;$BR127,'Tally Helper'!$L$15:$GI$15,"&lt;="&amp;$BS127)))</f>
        <v/>
      </c>
      <c r="AC127" s="17" t="str">
        <f aca="false">IF(OR(G$7="",$BR127=""),"",IF('Tally Helper'!$B$18&lt;&gt;TRUE(),"not on Staff",SUMIFS('Tally Helper'!$L$20:$GI$20,'Tally Helper'!$L$18:$GI$18,"&gt;="&amp;$BR127,'Tally Helper'!$L$18:$GI$18,"&lt;="&amp;$BS127)))</f>
        <v/>
      </c>
      <c r="AD127" s="17" t="str">
        <f aca="false">IF(OR(H$7="",$BR127=""),"",IF('Tally Helper'!$B$21&lt;&gt;TRUE(),"not on Staff",SUMIFS('Tally Helper'!$L$23:$GI$23,'Tally Helper'!$L$21:$GI$21,"&gt;="&amp;$BR127,'Tally Helper'!$L$21:$GI$21,"&lt;="&amp;$BS127)))</f>
        <v/>
      </c>
      <c r="AE127" s="17" t="str">
        <f aca="false">IF(OR(I$7="",$BR127=""),"",IF('Tally Helper'!$B$24&lt;&gt;TRUE(),"not on Staff",SUMIFS('Tally Helper'!$L$26:$GI$26,'Tally Helper'!$L$24:$GI$24,"&gt;="&amp;$BR127,'Tally Helper'!$L$24:$GI$24,"&lt;="&amp;$BS127)))</f>
        <v/>
      </c>
      <c r="AF127" s="17" t="str">
        <f aca="false">IF(OR(J$7="",$BR127=""),"",IF('Tally Helper'!$B$27&lt;&gt;TRUE(),"not on Staff",SUMIFS('Tally Helper'!$L$29:$GI$29,'Tally Helper'!$L$27:$GI$27,"&gt;="&amp;$BR127,'Tally Helper'!$L$27:$GI$27,"&lt;="&amp;$BS127)))</f>
        <v/>
      </c>
      <c r="AG127" s="17" t="str">
        <f aca="false">IF(OR(K$7="",$BR127=""),"",IF('Tally Helper'!$B$30&lt;&gt;TRUE(),"not on Staff",SUMIFS('Tally Helper'!$L$32:$GI$32,'Tally Helper'!$L$30:$GI$30,"&gt;="&amp;$BR127,'Tally Helper'!$L$30:$GI$30,"&lt;="&amp;$BS127)))</f>
        <v/>
      </c>
      <c r="AH127" s="17" t="str">
        <f aca="false">IF(OR(L$7="",$BR127=""),"",IF('Tally Helper'!$B$33&lt;&gt;TRUE(),"not on Staff",SUMIFS('Tally Helper'!$L$35:$GI$35,'Tally Helper'!$L$33:$GI$33,"&gt;="&amp;$BR127,'Tally Helper'!$L$33:$GI$33,"&lt;="&amp;$BS127)))</f>
        <v/>
      </c>
      <c r="AI127" s="17" t="str">
        <f aca="false">IF(OR(M$7="",$BR127=""),"",IF('Tally Helper'!$B$36&lt;&gt;TRUE(),"not on Staff",SUMIFS('Tally Helper'!$L$38:$GI$38,'Tally Helper'!$L$36:$GI$36,"&gt;="&amp;$BR127,'Tally Helper'!$L$36:$GI$36,"&lt;="&amp;$BS127)))</f>
        <v/>
      </c>
      <c r="AJ127" s="17" t="str">
        <f aca="false">IF(OR(N$7="",$BR127=""),"",IF('Tally Helper'!$B$39&lt;&gt;TRUE(),"not on Staff",SUMIFS('Tally Helper'!$L$41:$GI$41,'Tally Helper'!$L$39:$GI$39,"&gt;="&amp;$BR127,'Tally Helper'!$L$39:$GI$39,"&lt;="&amp;$BS127)))</f>
        <v/>
      </c>
      <c r="AK127" s="17" t="str">
        <f aca="false">IF(OR(O$7="",$BR127=""),"",IF('Tally Helper'!$B$42&lt;&gt;TRUE(),"not on Staff",SUMIFS('Tally Helper'!$L$44:$GI$44,'Tally Helper'!$L$42:$GI$42,"&gt;="&amp;$BR127,'Tally Helper'!$L$42:$GI$42,"&lt;="&amp;$BS127)))</f>
        <v/>
      </c>
      <c r="AL127" s="17" t="str">
        <f aca="false">IF(OR(P$7="",$BR127=""),"",IF('Tally Helper'!$B$45&lt;&gt;TRUE(),"not on Staff",SUMIFS('Tally Helper'!$L$47:$GI$47,'Tally Helper'!$L$45:$GI$45,"&gt;="&amp;$BR127,'Tally Helper'!$L$45:$GI$45,"&lt;="&amp;$BS127)))</f>
        <v/>
      </c>
      <c r="AM127" s="17" t="str">
        <f aca="false">IF(OR(Q$7="",$BR127=""),"",IF('Tally Helper'!$B$48&lt;&gt;TRUE(),"not on Staff",SUMIFS('Tally Helper'!$L$50:$GI$50,'Tally Helper'!$L$48:$GI$48,"&gt;="&amp;$BR127,'Tally Helper'!$L$48:$GI$48,"&lt;="&amp;$BS127)))</f>
        <v/>
      </c>
      <c r="AN127" s="17" t="str">
        <f aca="false">IF(OR(R$7="",$BR127=""),"",IF('Tally Helper'!$B$51&lt;&gt;TRUE(),"not on Staff",SUMIFS('Tally Helper'!$L$53:$GI$53,'Tally Helper'!$L$51:$GI$51,"&gt;="&amp;$BR127,'Tally Helper'!$L$51:$GI$51,"&lt;="&amp;$BS127)))</f>
        <v/>
      </c>
      <c r="AO127" s="17" t="str">
        <f aca="false">IF(OR(S$7="",$BR127=""),"",IF('Tally Helper'!$B$54&lt;&gt;TRUE(),"not on Staff",SUMIFS('Tally Helper'!$L$56:$GI$56,'Tally Helper'!$L$54:$GI$54,"&gt;="&amp;$BR127,'Tally Helper'!$L$54:$GI$54,"&lt;="&amp;$BS127)))</f>
        <v/>
      </c>
      <c r="AP127" s="17" t="str">
        <f aca="false">IF(OR(T$7="",$BR127=""),"",IF('Tally Helper'!$B$57&lt;&gt;TRUE(),"not on Staff",SUMIFS('Tally Helper'!$L$59:$GI$59,'Tally Helper'!$L$57:$GI$57,"&gt;="&amp;$BR127,'Tally Helper'!$L$57:$GI$57,"&lt;="&amp;$BS127)))</f>
        <v/>
      </c>
      <c r="AQ127" s="17" t="str">
        <f aca="false">IF(OR(U$7="",$BR127=""),"",IF('Tally Helper'!$B$60&lt;&gt;TRUE(),"not on Staff",SUMIFS('Tally Helper'!$L$62:$GI$62,'Tally Helper'!$L$60:$GI$60,"&gt;="&amp;$BR127,'Tally Helper'!$L$60:$GI$60,"&lt;="&amp;$BS127)))</f>
        <v/>
      </c>
      <c r="AT127" s="17" t="str">
        <f aca="false">IF(OR(X127="",NOT(ISNUMBER(X127))),"",X127-N(B127))</f>
        <v/>
      </c>
      <c r="AU127" s="17" t="str">
        <f aca="false">IF(OR(Y127="",NOT(ISNUMBER(Y127))),"",Y127-N(C127))</f>
        <v/>
      </c>
      <c r="AV127" s="17" t="str">
        <f aca="false">IF(OR(Z127="",NOT(ISNUMBER(Z127))),"",Z127-N(D127))</f>
        <v/>
      </c>
      <c r="AW127" s="17" t="str">
        <f aca="false">IF(OR(AA127="",NOT(ISNUMBER(AA127))),"",AA127-N(E127))</f>
        <v/>
      </c>
      <c r="AX127" s="17" t="str">
        <f aca="false">IF(OR(AB127="",NOT(ISNUMBER(AB127))),"",AB127-N(F127))</f>
        <v/>
      </c>
      <c r="AY127" s="17" t="str">
        <f aca="false">IF(OR(AC127="",NOT(ISNUMBER(AC127))),"",AC127-N(G127))</f>
        <v/>
      </c>
      <c r="AZ127" s="17" t="str">
        <f aca="false">IF(OR(AD127="",NOT(ISNUMBER(AD127))),"",AD127-N(H127))</f>
        <v/>
      </c>
      <c r="BA127" s="17" t="str">
        <f aca="false">IF(OR(AE127="",NOT(ISNUMBER(AE127))),"",AE127-N(I127))</f>
        <v/>
      </c>
      <c r="BB127" s="17" t="str">
        <f aca="false">IF(OR(AF127="",NOT(ISNUMBER(AF127))),"",AF127-N(J127))</f>
        <v/>
      </c>
      <c r="BC127" s="17" t="str">
        <f aca="false">IF(OR(AG127="",NOT(ISNUMBER(AG127))),"",AG127-N(K127))</f>
        <v/>
      </c>
      <c r="BD127" s="17" t="str">
        <f aca="false">IF(OR(AH127="",NOT(ISNUMBER(AH127))),"",AH127-N(L127))</f>
        <v/>
      </c>
      <c r="BE127" s="17" t="str">
        <f aca="false">IF(OR(AI127="",NOT(ISNUMBER(AI127))),"",AI127-N(M127))</f>
        <v/>
      </c>
      <c r="BF127" s="17" t="str">
        <f aca="false">IF(OR(AJ127="",NOT(ISNUMBER(AJ127))),"",AJ127-N(N127))</f>
        <v/>
      </c>
      <c r="BG127" s="17" t="str">
        <f aca="false">IF(OR(AK127="",NOT(ISNUMBER(AK127))),"",AK127-N(O127))</f>
        <v/>
      </c>
      <c r="BH127" s="17" t="str">
        <f aca="false">IF(OR(AL127="",NOT(ISNUMBER(AL127))),"",AL127-N(P127))</f>
        <v/>
      </c>
      <c r="BI127" s="17" t="str">
        <f aca="false">IF(OR(AM127="",NOT(ISNUMBER(AM127))),"",AM127-N(Q127))</f>
        <v/>
      </c>
      <c r="BJ127" s="17" t="str">
        <f aca="false">IF(OR(AN127="",NOT(ISNUMBER(AN127))),"",AN127-N(R127))</f>
        <v/>
      </c>
      <c r="BK127" s="17" t="str">
        <f aca="false">IF(OR(AO127="",NOT(ISNUMBER(AO127))),"",AO127-N(S127))</f>
        <v/>
      </c>
      <c r="BL127" s="17" t="str">
        <f aca="false">IF(OR(AP127="",NOT(ISNUMBER(AP127))),"",AP127-N(T127))</f>
        <v/>
      </c>
      <c r="BM127" s="17" t="str">
        <f aca="false">IF(OR(AQ127="",NOT(ISNUMBER(AQ127))),"",AQ127-N(U127))</f>
        <v/>
      </c>
      <c r="BR127" s="20" t="str">
        <f aca="false">IF($A127="","",IF(ISNUMBER($A127),DATE(YEAR($A127),MONTH($A127),1),IFERROR(DATE(2000+VALUE(RIGHT(TRIM($A127),2)),MATCH(UPPER(LEFT(TRIM($A127),3)),{"JAN","FEB","MAR","APR","MAY","JUN","JUL","AUG","SEP","OCT","NOV","DEC"},0),1),"")))</f>
        <v/>
      </c>
      <c r="BS127" s="20" t="str">
        <f aca="false">IF(BR127="","",EOMONTH(BR127,0))</f>
        <v/>
      </c>
    </row>
    <row r="128" customFormat="false" ht="15" hidden="false" customHeight="false" outlineLevel="0" collapsed="false">
      <c r="B128" s="21"/>
      <c r="C128" s="21"/>
      <c r="D128" s="21"/>
      <c r="E128" s="21"/>
      <c r="F128" s="21"/>
      <c r="G128" s="21"/>
      <c r="H128" s="21"/>
      <c r="I128" s="21"/>
      <c r="J128" s="21"/>
      <c r="K128" s="21"/>
      <c r="L128" s="21"/>
      <c r="M128" s="21"/>
      <c r="N128" s="21"/>
      <c r="O128" s="21"/>
      <c r="P128" s="21"/>
      <c r="Q128" s="21"/>
      <c r="R128" s="21"/>
      <c r="S128" s="21"/>
      <c r="T128" s="21"/>
      <c r="U128" s="21"/>
      <c r="X128" s="17" t="str">
        <f aca="false">IF(OR(B$7="",$BR128=""),"",IF('Tally Helper'!$B$3&lt;&gt;TRUE(),"not on Staff",SUMIFS('Tally Helper'!$L$5:$GI$5,'Tally Helper'!$L$3:$GI$3,"&gt;="&amp;$BR128,'Tally Helper'!$L$3:$GI$3,"&lt;="&amp;$BS128)))</f>
        <v/>
      </c>
      <c r="Y128" s="17" t="str">
        <f aca="false">IF(OR(C$7="",$BR128=""),"",IF('Tally Helper'!$B$6&lt;&gt;TRUE(),"not on Staff",SUMIFS('Tally Helper'!$L$8:$GI$8,'Tally Helper'!$L$6:$GI$6,"&gt;="&amp;$BR128,'Tally Helper'!$L$6:$GI$6,"&lt;="&amp;$BS128)))</f>
        <v/>
      </c>
      <c r="Z128" s="17" t="str">
        <f aca="false">IF(OR(D$7="",$BR128=""),"",IF('Tally Helper'!$B$9&lt;&gt;TRUE(),"not on Staff",SUMIFS('Tally Helper'!$L$11:$GI$11,'Tally Helper'!$L$9:$GI$9,"&gt;="&amp;$BR128,'Tally Helper'!$L$9:$GI$9,"&lt;="&amp;$BS128)))</f>
        <v/>
      </c>
      <c r="AA128" s="17" t="str">
        <f aca="false">IF(OR(E$7="",$BR128=""),"",IF('Tally Helper'!$B$12&lt;&gt;TRUE(),"not on Staff",SUMIFS('Tally Helper'!$L$14:$GI$14,'Tally Helper'!$L$12:$GI$12,"&gt;="&amp;$BR128,'Tally Helper'!$L$12:$GI$12,"&lt;="&amp;$BS128)))</f>
        <v/>
      </c>
      <c r="AB128" s="17" t="str">
        <f aca="false">IF(OR(F$7="",$BR128=""),"",IF('Tally Helper'!$B$15&lt;&gt;TRUE(),"not on Staff",SUMIFS('Tally Helper'!$L$17:$GI$17,'Tally Helper'!$L$15:$GI$15,"&gt;="&amp;$BR128,'Tally Helper'!$L$15:$GI$15,"&lt;="&amp;$BS128)))</f>
        <v/>
      </c>
      <c r="AC128" s="17" t="str">
        <f aca="false">IF(OR(G$7="",$BR128=""),"",IF('Tally Helper'!$B$18&lt;&gt;TRUE(),"not on Staff",SUMIFS('Tally Helper'!$L$20:$GI$20,'Tally Helper'!$L$18:$GI$18,"&gt;="&amp;$BR128,'Tally Helper'!$L$18:$GI$18,"&lt;="&amp;$BS128)))</f>
        <v/>
      </c>
      <c r="AD128" s="17" t="str">
        <f aca="false">IF(OR(H$7="",$BR128=""),"",IF('Tally Helper'!$B$21&lt;&gt;TRUE(),"not on Staff",SUMIFS('Tally Helper'!$L$23:$GI$23,'Tally Helper'!$L$21:$GI$21,"&gt;="&amp;$BR128,'Tally Helper'!$L$21:$GI$21,"&lt;="&amp;$BS128)))</f>
        <v/>
      </c>
      <c r="AE128" s="17" t="str">
        <f aca="false">IF(OR(I$7="",$BR128=""),"",IF('Tally Helper'!$B$24&lt;&gt;TRUE(),"not on Staff",SUMIFS('Tally Helper'!$L$26:$GI$26,'Tally Helper'!$L$24:$GI$24,"&gt;="&amp;$BR128,'Tally Helper'!$L$24:$GI$24,"&lt;="&amp;$BS128)))</f>
        <v/>
      </c>
      <c r="AF128" s="17" t="str">
        <f aca="false">IF(OR(J$7="",$BR128=""),"",IF('Tally Helper'!$B$27&lt;&gt;TRUE(),"not on Staff",SUMIFS('Tally Helper'!$L$29:$GI$29,'Tally Helper'!$L$27:$GI$27,"&gt;="&amp;$BR128,'Tally Helper'!$L$27:$GI$27,"&lt;="&amp;$BS128)))</f>
        <v/>
      </c>
      <c r="AG128" s="17" t="str">
        <f aca="false">IF(OR(K$7="",$BR128=""),"",IF('Tally Helper'!$B$30&lt;&gt;TRUE(),"not on Staff",SUMIFS('Tally Helper'!$L$32:$GI$32,'Tally Helper'!$L$30:$GI$30,"&gt;="&amp;$BR128,'Tally Helper'!$L$30:$GI$30,"&lt;="&amp;$BS128)))</f>
        <v/>
      </c>
      <c r="AH128" s="17" t="str">
        <f aca="false">IF(OR(L$7="",$BR128=""),"",IF('Tally Helper'!$B$33&lt;&gt;TRUE(),"not on Staff",SUMIFS('Tally Helper'!$L$35:$GI$35,'Tally Helper'!$L$33:$GI$33,"&gt;="&amp;$BR128,'Tally Helper'!$L$33:$GI$33,"&lt;="&amp;$BS128)))</f>
        <v/>
      </c>
      <c r="AI128" s="17" t="str">
        <f aca="false">IF(OR(M$7="",$BR128=""),"",IF('Tally Helper'!$B$36&lt;&gt;TRUE(),"not on Staff",SUMIFS('Tally Helper'!$L$38:$GI$38,'Tally Helper'!$L$36:$GI$36,"&gt;="&amp;$BR128,'Tally Helper'!$L$36:$GI$36,"&lt;="&amp;$BS128)))</f>
        <v/>
      </c>
      <c r="AJ128" s="17" t="str">
        <f aca="false">IF(OR(N$7="",$BR128=""),"",IF('Tally Helper'!$B$39&lt;&gt;TRUE(),"not on Staff",SUMIFS('Tally Helper'!$L$41:$GI$41,'Tally Helper'!$L$39:$GI$39,"&gt;="&amp;$BR128,'Tally Helper'!$L$39:$GI$39,"&lt;="&amp;$BS128)))</f>
        <v/>
      </c>
      <c r="AK128" s="17" t="str">
        <f aca="false">IF(OR(O$7="",$BR128=""),"",IF('Tally Helper'!$B$42&lt;&gt;TRUE(),"not on Staff",SUMIFS('Tally Helper'!$L$44:$GI$44,'Tally Helper'!$L$42:$GI$42,"&gt;="&amp;$BR128,'Tally Helper'!$L$42:$GI$42,"&lt;="&amp;$BS128)))</f>
        <v/>
      </c>
      <c r="AL128" s="17" t="str">
        <f aca="false">IF(OR(P$7="",$BR128=""),"",IF('Tally Helper'!$B$45&lt;&gt;TRUE(),"not on Staff",SUMIFS('Tally Helper'!$L$47:$GI$47,'Tally Helper'!$L$45:$GI$45,"&gt;="&amp;$BR128,'Tally Helper'!$L$45:$GI$45,"&lt;="&amp;$BS128)))</f>
        <v/>
      </c>
      <c r="AM128" s="17" t="str">
        <f aca="false">IF(OR(Q$7="",$BR128=""),"",IF('Tally Helper'!$B$48&lt;&gt;TRUE(),"not on Staff",SUMIFS('Tally Helper'!$L$50:$GI$50,'Tally Helper'!$L$48:$GI$48,"&gt;="&amp;$BR128,'Tally Helper'!$L$48:$GI$48,"&lt;="&amp;$BS128)))</f>
        <v/>
      </c>
      <c r="AN128" s="17" t="str">
        <f aca="false">IF(OR(R$7="",$BR128=""),"",IF('Tally Helper'!$B$51&lt;&gt;TRUE(),"not on Staff",SUMIFS('Tally Helper'!$L$53:$GI$53,'Tally Helper'!$L$51:$GI$51,"&gt;="&amp;$BR128,'Tally Helper'!$L$51:$GI$51,"&lt;="&amp;$BS128)))</f>
        <v/>
      </c>
      <c r="AO128" s="17" t="str">
        <f aca="false">IF(OR(S$7="",$BR128=""),"",IF('Tally Helper'!$B$54&lt;&gt;TRUE(),"not on Staff",SUMIFS('Tally Helper'!$L$56:$GI$56,'Tally Helper'!$L$54:$GI$54,"&gt;="&amp;$BR128,'Tally Helper'!$L$54:$GI$54,"&lt;="&amp;$BS128)))</f>
        <v/>
      </c>
      <c r="AP128" s="17" t="str">
        <f aca="false">IF(OR(T$7="",$BR128=""),"",IF('Tally Helper'!$B$57&lt;&gt;TRUE(),"not on Staff",SUMIFS('Tally Helper'!$L$59:$GI$59,'Tally Helper'!$L$57:$GI$57,"&gt;="&amp;$BR128,'Tally Helper'!$L$57:$GI$57,"&lt;="&amp;$BS128)))</f>
        <v/>
      </c>
      <c r="AQ128" s="17" t="str">
        <f aca="false">IF(OR(U$7="",$BR128=""),"",IF('Tally Helper'!$B$60&lt;&gt;TRUE(),"not on Staff",SUMIFS('Tally Helper'!$L$62:$GI$62,'Tally Helper'!$L$60:$GI$60,"&gt;="&amp;$BR128,'Tally Helper'!$L$60:$GI$60,"&lt;="&amp;$BS128)))</f>
        <v/>
      </c>
      <c r="AT128" s="17" t="str">
        <f aca="false">IF(OR(X128="",NOT(ISNUMBER(X128))),"",X128-N(B128))</f>
        <v/>
      </c>
      <c r="AU128" s="17" t="str">
        <f aca="false">IF(OR(Y128="",NOT(ISNUMBER(Y128))),"",Y128-N(C128))</f>
        <v/>
      </c>
      <c r="AV128" s="17" t="str">
        <f aca="false">IF(OR(Z128="",NOT(ISNUMBER(Z128))),"",Z128-N(D128))</f>
        <v/>
      </c>
      <c r="AW128" s="17" t="str">
        <f aca="false">IF(OR(AA128="",NOT(ISNUMBER(AA128))),"",AA128-N(E128))</f>
        <v/>
      </c>
      <c r="AX128" s="17" t="str">
        <f aca="false">IF(OR(AB128="",NOT(ISNUMBER(AB128))),"",AB128-N(F128))</f>
        <v/>
      </c>
      <c r="AY128" s="17" t="str">
        <f aca="false">IF(OR(AC128="",NOT(ISNUMBER(AC128))),"",AC128-N(G128))</f>
        <v/>
      </c>
      <c r="AZ128" s="17" t="str">
        <f aca="false">IF(OR(AD128="",NOT(ISNUMBER(AD128))),"",AD128-N(H128))</f>
        <v/>
      </c>
      <c r="BA128" s="17" t="str">
        <f aca="false">IF(OR(AE128="",NOT(ISNUMBER(AE128))),"",AE128-N(I128))</f>
        <v/>
      </c>
      <c r="BB128" s="17" t="str">
        <f aca="false">IF(OR(AF128="",NOT(ISNUMBER(AF128))),"",AF128-N(J128))</f>
        <v/>
      </c>
      <c r="BC128" s="17" t="str">
        <f aca="false">IF(OR(AG128="",NOT(ISNUMBER(AG128))),"",AG128-N(K128))</f>
        <v/>
      </c>
      <c r="BD128" s="17" t="str">
        <f aca="false">IF(OR(AH128="",NOT(ISNUMBER(AH128))),"",AH128-N(L128))</f>
        <v/>
      </c>
      <c r="BE128" s="17" t="str">
        <f aca="false">IF(OR(AI128="",NOT(ISNUMBER(AI128))),"",AI128-N(M128))</f>
        <v/>
      </c>
      <c r="BF128" s="17" t="str">
        <f aca="false">IF(OR(AJ128="",NOT(ISNUMBER(AJ128))),"",AJ128-N(N128))</f>
        <v/>
      </c>
      <c r="BG128" s="17" t="str">
        <f aca="false">IF(OR(AK128="",NOT(ISNUMBER(AK128))),"",AK128-N(O128))</f>
        <v/>
      </c>
      <c r="BH128" s="17" t="str">
        <f aca="false">IF(OR(AL128="",NOT(ISNUMBER(AL128))),"",AL128-N(P128))</f>
        <v/>
      </c>
      <c r="BI128" s="17" t="str">
        <f aca="false">IF(OR(AM128="",NOT(ISNUMBER(AM128))),"",AM128-N(Q128))</f>
        <v/>
      </c>
      <c r="BJ128" s="17" t="str">
        <f aca="false">IF(OR(AN128="",NOT(ISNUMBER(AN128))),"",AN128-N(R128))</f>
        <v/>
      </c>
      <c r="BK128" s="17" t="str">
        <f aca="false">IF(OR(AO128="",NOT(ISNUMBER(AO128))),"",AO128-N(S128))</f>
        <v/>
      </c>
      <c r="BL128" s="17" t="str">
        <f aca="false">IF(OR(AP128="",NOT(ISNUMBER(AP128))),"",AP128-N(T128))</f>
        <v/>
      </c>
      <c r="BM128" s="17" t="str">
        <f aca="false">IF(OR(AQ128="",NOT(ISNUMBER(AQ128))),"",AQ128-N(U128))</f>
        <v/>
      </c>
      <c r="BR128" s="20" t="str">
        <f aca="false">IF($A128="","",IF(ISNUMBER($A128),DATE(YEAR($A128),MONTH($A128),1),IFERROR(DATE(2000+VALUE(RIGHT(TRIM($A128),2)),MATCH(UPPER(LEFT(TRIM($A128),3)),{"JAN","FEB","MAR","APR","MAY","JUN","JUL","AUG","SEP","OCT","NOV","DEC"},0),1),"")))</f>
        <v/>
      </c>
      <c r="BS128" s="20" t="str">
        <f aca="false">IF(BR128="","",EOMONTH(BR128,0))</f>
        <v/>
      </c>
    </row>
    <row r="129" customFormat="false" ht="15" hidden="false" customHeight="false" outlineLevel="0" collapsed="false">
      <c r="B129" s="21"/>
      <c r="C129" s="21"/>
      <c r="D129" s="21"/>
      <c r="E129" s="21"/>
      <c r="F129" s="21"/>
      <c r="G129" s="21"/>
      <c r="H129" s="21"/>
      <c r="I129" s="21"/>
      <c r="J129" s="21"/>
      <c r="K129" s="21"/>
      <c r="L129" s="21"/>
      <c r="M129" s="21"/>
      <c r="N129" s="21"/>
      <c r="O129" s="21"/>
      <c r="P129" s="21"/>
      <c r="Q129" s="21"/>
      <c r="R129" s="21"/>
      <c r="S129" s="21"/>
      <c r="T129" s="21"/>
      <c r="U129" s="21"/>
      <c r="X129" s="17" t="str">
        <f aca="false">IF(OR(B$7="",$BR129=""),"",IF('Tally Helper'!$B$3&lt;&gt;TRUE(),"not on Staff",SUMIFS('Tally Helper'!$L$5:$GI$5,'Tally Helper'!$L$3:$GI$3,"&gt;="&amp;$BR129,'Tally Helper'!$L$3:$GI$3,"&lt;="&amp;$BS129)))</f>
        <v/>
      </c>
      <c r="Y129" s="17" t="str">
        <f aca="false">IF(OR(C$7="",$BR129=""),"",IF('Tally Helper'!$B$6&lt;&gt;TRUE(),"not on Staff",SUMIFS('Tally Helper'!$L$8:$GI$8,'Tally Helper'!$L$6:$GI$6,"&gt;="&amp;$BR129,'Tally Helper'!$L$6:$GI$6,"&lt;="&amp;$BS129)))</f>
        <v/>
      </c>
      <c r="Z129" s="17" t="str">
        <f aca="false">IF(OR(D$7="",$BR129=""),"",IF('Tally Helper'!$B$9&lt;&gt;TRUE(),"not on Staff",SUMIFS('Tally Helper'!$L$11:$GI$11,'Tally Helper'!$L$9:$GI$9,"&gt;="&amp;$BR129,'Tally Helper'!$L$9:$GI$9,"&lt;="&amp;$BS129)))</f>
        <v/>
      </c>
      <c r="AA129" s="17" t="str">
        <f aca="false">IF(OR(E$7="",$BR129=""),"",IF('Tally Helper'!$B$12&lt;&gt;TRUE(),"not on Staff",SUMIFS('Tally Helper'!$L$14:$GI$14,'Tally Helper'!$L$12:$GI$12,"&gt;="&amp;$BR129,'Tally Helper'!$L$12:$GI$12,"&lt;="&amp;$BS129)))</f>
        <v/>
      </c>
      <c r="AB129" s="17" t="str">
        <f aca="false">IF(OR(F$7="",$BR129=""),"",IF('Tally Helper'!$B$15&lt;&gt;TRUE(),"not on Staff",SUMIFS('Tally Helper'!$L$17:$GI$17,'Tally Helper'!$L$15:$GI$15,"&gt;="&amp;$BR129,'Tally Helper'!$L$15:$GI$15,"&lt;="&amp;$BS129)))</f>
        <v/>
      </c>
      <c r="AC129" s="17" t="str">
        <f aca="false">IF(OR(G$7="",$BR129=""),"",IF('Tally Helper'!$B$18&lt;&gt;TRUE(),"not on Staff",SUMIFS('Tally Helper'!$L$20:$GI$20,'Tally Helper'!$L$18:$GI$18,"&gt;="&amp;$BR129,'Tally Helper'!$L$18:$GI$18,"&lt;="&amp;$BS129)))</f>
        <v/>
      </c>
      <c r="AD129" s="17" t="str">
        <f aca="false">IF(OR(H$7="",$BR129=""),"",IF('Tally Helper'!$B$21&lt;&gt;TRUE(),"not on Staff",SUMIFS('Tally Helper'!$L$23:$GI$23,'Tally Helper'!$L$21:$GI$21,"&gt;="&amp;$BR129,'Tally Helper'!$L$21:$GI$21,"&lt;="&amp;$BS129)))</f>
        <v/>
      </c>
      <c r="AE129" s="17" t="str">
        <f aca="false">IF(OR(I$7="",$BR129=""),"",IF('Tally Helper'!$B$24&lt;&gt;TRUE(),"not on Staff",SUMIFS('Tally Helper'!$L$26:$GI$26,'Tally Helper'!$L$24:$GI$24,"&gt;="&amp;$BR129,'Tally Helper'!$L$24:$GI$24,"&lt;="&amp;$BS129)))</f>
        <v/>
      </c>
      <c r="AF129" s="17" t="str">
        <f aca="false">IF(OR(J$7="",$BR129=""),"",IF('Tally Helper'!$B$27&lt;&gt;TRUE(),"not on Staff",SUMIFS('Tally Helper'!$L$29:$GI$29,'Tally Helper'!$L$27:$GI$27,"&gt;="&amp;$BR129,'Tally Helper'!$L$27:$GI$27,"&lt;="&amp;$BS129)))</f>
        <v/>
      </c>
      <c r="AG129" s="17" t="str">
        <f aca="false">IF(OR(K$7="",$BR129=""),"",IF('Tally Helper'!$B$30&lt;&gt;TRUE(),"not on Staff",SUMIFS('Tally Helper'!$L$32:$GI$32,'Tally Helper'!$L$30:$GI$30,"&gt;="&amp;$BR129,'Tally Helper'!$L$30:$GI$30,"&lt;="&amp;$BS129)))</f>
        <v/>
      </c>
      <c r="AH129" s="17" t="str">
        <f aca="false">IF(OR(L$7="",$BR129=""),"",IF('Tally Helper'!$B$33&lt;&gt;TRUE(),"not on Staff",SUMIFS('Tally Helper'!$L$35:$GI$35,'Tally Helper'!$L$33:$GI$33,"&gt;="&amp;$BR129,'Tally Helper'!$L$33:$GI$33,"&lt;="&amp;$BS129)))</f>
        <v/>
      </c>
      <c r="AI129" s="17" t="str">
        <f aca="false">IF(OR(M$7="",$BR129=""),"",IF('Tally Helper'!$B$36&lt;&gt;TRUE(),"not on Staff",SUMIFS('Tally Helper'!$L$38:$GI$38,'Tally Helper'!$L$36:$GI$36,"&gt;="&amp;$BR129,'Tally Helper'!$L$36:$GI$36,"&lt;="&amp;$BS129)))</f>
        <v/>
      </c>
      <c r="AJ129" s="17" t="str">
        <f aca="false">IF(OR(N$7="",$BR129=""),"",IF('Tally Helper'!$B$39&lt;&gt;TRUE(),"not on Staff",SUMIFS('Tally Helper'!$L$41:$GI$41,'Tally Helper'!$L$39:$GI$39,"&gt;="&amp;$BR129,'Tally Helper'!$L$39:$GI$39,"&lt;="&amp;$BS129)))</f>
        <v/>
      </c>
      <c r="AK129" s="17" t="str">
        <f aca="false">IF(OR(O$7="",$BR129=""),"",IF('Tally Helper'!$B$42&lt;&gt;TRUE(),"not on Staff",SUMIFS('Tally Helper'!$L$44:$GI$44,'Tally Helper'!$L$42:$GI$42,"&gt;="&amp;$BR129,'Tally Helper'!$L$42:$GI$42,"&lt;="&amp;$BS129)))</f>
        <v/>
      </c>
      <c r="AL129" s="17" t="str">
        <f aca="false">IF(OR(P$7="",$BR129=""),"",IF('Tally Helper'!$B$45&lt;&gt;TRUE(),"not on Staff",SUMIFS('Tally Helper'!$L$47:$GI$47,'Tally Helper'!$L$45:$GI$45,"&gt;="&amp;$BR129,'Tally Helper'!$L$45:$GI$45,"&lt;="&amp;$BS129)))</f>
        <v/>
      </c>
      <c r="AM129" s="17" t="str">
        <f aca="false">IF(OR(Q$7="",$BR129=""),"",IF('Tally Helper'!$B$48&lt;&gt;TRUE(),"not on Staff",SUMIFS('Tally Helper'!$L$50:$GI$50,'Tally Helper'!$L$48:$GI$48,"&gt;="&amp;$BR129,'Tally Helper'!$L$48:$GI$48,"&lt;="&amp;$BS129)))</f>
        <v/>
      </c>
      <c r="AN129" s="17" t="str">
        <f aca="false">IF(OR(R$7="",$BR129=""),"",IF('Tally Helper'!$B$51&lt;&gt;TRUE(),"not on Staff",SUMIFS('Tally Helper'!$L$53:$GI$53,'Tally Helper'!$L$51:$GI$51,"&gt;="&amp;$BR129,'Tally Helper'!$L$51:$GI$51,"&lt;="&amp;$BS129)))</f>
        <v/>
      </c>
      <c r="AO129" s="17" t="str">
        <f aca="false">IF(OR(S$7="",$BR129=""),"",IF('Tally Helper'!$B$54&lt;&gt;TRUE(),"not on Staff",SUMIFS('Tally Helper'!$L$56:$GI$56,'Tally Helper'!$L$54:$GI$54,"&gt;="&amp;$BR129,'Tally Helper'!$L$54:$GI$54,"&lt;="&amp;$BS129)))</f>
        <v/>
      </c>
      <c r="AP129" s="17" t="str">
        <f aca="false">IF(OR(T$7="",$BR129=""),"",IF('Tally Helper'!$B$57&lt;&gt;TRUE(),"not on Staff",SUMIFS('Tally Helper'!$L$59:$GI$59,'Tally Helper'!$L$57:$GI$57,"&gt;="&amp;$BR129,'Tally Helper'!$L$57:$GI$57,"&lt;="&amp;$BS129)))</f>
        <v/>
      </c>
      <c r="AQ129" s="17" t="str">
        <f aca="false">IF(OR(U$7="",$BR129=""),"",IF('Tally Helper'!$B$60&lt;&gt;TRUE(),"not on Staff",SUMIFS('Tally Helper'!$L$62:$GI$62,'Tally Helper'!$L$60:$GI$60,"&gt;="&amp;$BR129,'Tally Helper'!$L$60:$GI$60,"&lt;="&amp;$BS129)))</f>
        <v/>
      </c>
      <c r="AT129" s="17" t="str">
        <f aca="false">IF(OR(X129="",NOT(ISNUMBER(X129))),"",X129-N(B129))</f>
        <v/>
      </c>
      <c r="AU129" s="17" t="str">
        <f aca="false">IF(OR(Y129="",NOT(ISNUMBER(Y129))),"",Y129-N(C129))</f>
        <v/>
      </c>
      <c r="AV129" s="17" t="str">
        <f aca="false">IF(OR(Z129="",NOT(ISNUMBER(Z129))),"",Z129-N(D129))</f>
        <v/>
      </c>
      <c r="AW129" s="17" t="str">
        <f aca="false">IF(OR(AA129="",NOT(ISNUMBER(AA129))),"",AA129-N(E129))</f>
        <v/>
      </c>
      <c r="AX129" s="17" t="str">
        <f aca="false">IF(OR(AB129="",NOT(ISNUMBER(AB129))),"",AB129-N(F129))</f>
        <v/>
      </c>
      <c r="AY129" s="17" t="str">
        <f aca="false">IF(OR(AC129="",NOT(ISNUMBER(AC129))),"",AC129-N(G129))</f>
        <v/>
      </c>
      <c r="AZ129" s="17" t="str">
        <f aca="false">IF(OR(AD129="",NOT(ISNUMBER(AD129))),"",AD129-N(H129))</f>
        <v/>
      </c>
      <c r="BA129" s="17" t="str">
        <f aca="false">IF(OR(AE129="",NOT(ISNUMBER(AE129))),"",AE129-N(I129))</f>
        <v/>
      </c>
      <c r="BB129" s="17" t="str">
        <f aca="false">IF(OR(AF129="",NOT(ISNUMBER(AF129))),"",AF129-N(J129))</f>
        <v/>
      </c>
      <c r="BC129" s="17" t="str">
        <f aca="false">IF(OR(AG129="",NOT(ISNUMBER(AG129))),"",AG129-N(K129))</f>
        <v/>
      </c>
      <c r="BD129" s="17" t="str">
        <f aca="false">IF(OR(AH129="",NOT(ISNUMBER(AH129))),"",AH129-N(L129))</f>
        <v/>
      </c>
      <c r="BE129" s="17" t="str">
        <f aca="false">IF(OR(AI129="",NOT(ISNUMBER(AI129))),"",AI129-N(M129))</f>
        <v/>
      </c>
      <c r="BF129" s="17" t="str">
        <f aca="false">IF(OR(AJ129="",NOT(ISNUMBER(AJ129))),"",AJ129-N(N129))</f>
        <v/>
      </c>
      <c r="BG129" s="17" t="str">
        <f aca="false">IF(OR(AK129="",NOT(ISNUMBER(AK129))),"",AK129-N(O129))</f>
        <v/>
      </c>
      <c r="BH129" s="17" t="str">
        <f aca="false">IF(OR(AL129="",NOT(ISNUMBER(AL129))),"",AL129-N(P129))</f>
        <v/>
      </c>
      <c r="BI129" s="17" t="str">
        <f aca="false">IF(OR(AM129="",NOT(ISNUMBER(AM129))),"",AM129-N(Q129))</f>
        <v/>
      </c>
      <c r="BJ129" s="17" t="str">
        <f aca="false">IF(OR(AN129="",NOT(ISNUMBER(AN129))),"",AN129-N(R129))</f>
        <v/>
      </c>
      <c r="BK129" s="17" t="str">
        <f aca="false">IF(OR(AO129="",NOT(ISNUMBER(AO129))),"",AO129-N(S129))</f>
        <v/>
      </c>
      <c r="BL129" s="17" t="str">
        <f aca="false">IF(OR(AP129="",NOT(ISNUMBER(AP129))),"",AP129-N(T129))</f>
        <v/>
      </c>
      <c r="BM129" s="17" t="str">
        <f aca="false">IF(OR(AQ129="",NOT(ISNUMBER(AQ129))),"",AQ129-N(U129))</f>
        <v/>
      </c>
      <c r="BR129" s="20" t="str">
        <f aca="false">IF($A129="","",IF(ISNUMBER($A129),DATE(YEAR($A129),MONTH($A129),1),IFERROR(DATE(2000+VALUE(RIGHT(TRIM($A129),2)),MATCH(UPPER(LEFT(TRIM($A129),3)),{"JAN","FEB","MAR","APR","MAY","JUN","JUL","AUG","SEP","OCT","NOV","DEC"},0),1),"")))</f>
        <v/>
      </c>
      <c r="BS129" s="20" t="str">
        <f aca="false">IF(BR129="","",EOMONTH(BR129,0))</f>
        <v/>
      </c>
    </row>
    <row r="130" customFormat="false" ht="15" hidden="false" customHeight="false" outlineLevel="0" collapsed="false">
      <c r="B130" s="21"/>
      <c r="C130" s="21"/>
      <c r="D130" s="21"/>
      <c r="E130" s="21"/>
      <c r="F130" s="21"/>
      <c r="G130" s="21"/>
      <c r="H130" s="21"/>
      <c r="I130" s="21"/>
      <c r="J130" s="21"/>
      <c r="K130" s="21"/>
      <c r="L130" s="21"/>
      <c r="M130" s="21"/>
      <c r="N130" s="21"/>
      <c r="O130" s="21"/>
      <c r="P130" s="21"/>
      <c r="Q130" s="21"/>
      <c r="R130" s="21"/>
      <c r="S130" s="21"/>
      <c r="T130" s="21"/>
      <c r="U130" s="21"/>
      <c r="X130" s="17" t="str">
        <f aca="false">IF(OR(B$7="",$BR130=""),"",IF('Tally Helper'!$B$3&lt;&gt;TRUE(),"not on Staff",SUMIFS('Tally Helper'!$L$5:$GI$5,'Tally Helper'!$L$3:$GI$3,"&gt;="&amp;$BR130,'Tally Helper'!$L$3:$GI$3,"&lt;="&amp;$BS130)))</f>
        <v/>
      </c>
      <c r="Y130" s="17" t="str">
        <f aca="false">IF(OR(C$7="",$BR130=""),"",IF('Tally Helper'!$B$6&lt;&gt;TRUE(),"not on Staff",SUMIFS('Tally Helper'!$L$8:$GI$8,'Tally Helper'!$L$6:$GI$6,"&gt;="&amp;$BR130,'Tally Helper'!$L$6:$GI$6,"&lt;="&amp;$BS130)))</f>
        <v/>
      </c>
      <c r="Z130" s="17" t="str">
        <f aca="false">IF(OR(D$7="",$BR130=""),"",IF('Tally Helper'!$B$9&lt;&gt;TRUE(),"not on Staff",SUMIFS('Tally Helper'!$L$11:$GI$11,'Tally Helper'!$L$9:$GI$9,"&gt;="&amp;$BR130,'Tally Helper'!$L$9:$GI$9,"&lt;="&amp;$BS130)))</f>
        <v/>
      </c>
      <c r="AA130" s="17" t="str">
        <f aca="false">IF(OR(E$7="",$BR130=""),"",IF('Tally Helper'!$B$12&lt;&gt;TRUE(),"not on Staff",SUMIFS('Tally Helper'!$L$14:$GI$14,'Tally Helper'!$L$12:$GI$12,"&gt;="&amp;$BR130,'Tally Helper'!$L$12:$GI$12,"&lt;="&amp;$BS130)))</f>
        <v/>
      </c>
      <c r="AB130" s="17" t="str">
        <f aca="false">IF(OR(F$7="",$BR130=""),"",IF('Tally Helper'!$B$15&lt;&gt;TRUE(),"not on Staff",SUMIFS('Tally Helper'!$L$17:$GI$17,'Tally Helper'!$L$15:$GI$15,"&gt;="&amp;$BR130,'Tally Helper'!$L$15:$GI$15,"&lt;="&amp;$BS130)))</f>
        <v/>
      </c>
      <c r="AC130" s="17" t="str">
        <f aca="false">IF(OR(G$7="",$BR130=""),"",IF('Tally Helper'!$B$18&lt;&gt;TRUE(),"not on Staff",SUMIFS('Tally Helper'!$L$20:$GI$20,'Tally Helper'!$L$18:$GI$18,"&gt;="&amp;$BR130,'Tally Helper'!$L$18:$GI$18,"&lt;="&amp;$BS130)))</f>
        <v/>
      </c>
      <c r="AD130" s="17" t="str">
        <f aca="false">IF(OR(H$7="",$BR130=""),"",IF('Tally Helper'!$B$21&lt;&gt;TRUE(),"not on Staff",SUMIFS('Tally Helper'!$L$23:$GI$23,'Tally Helper'!$L$21:$GI$21,"&gt;="&amp;$BR130,'Tally Helper'!$L$21:$GI$21,"&lt;="&amp;$BS130)))</f>
        <v/>
      </c>
      <c r="AE130" s="17" t="str">
        <f aca="false">IF(OR(I$7="",$BR130=""),"",IF('Tally Helper'!$B$24&lt;&gt;TRUE(),"not on Staff",SUMIFS('Tally Helper'!$L$26:$GI$26,'Tally Helper'!$L$24:$GI$24,"&gt;="&amp;$BR130,'Tally Helper'!$L$24:$GI$24,"&lt;="&amp;$BS130)))</f>
        <v/>
      </c>
      <c r="AF130" s="17" t="str">
        <f aca="false">IF(OR(J$7="",$BR130=""),"",IF('Tally Helper'!$B$27&lt;&gt;TRUE(),"not on Staff",SUMIFS('Tally Helper'!$L$29:$GI$29,'Tally Helper'!$L$27:$GI$27,"&gt;="&amp;$BR130,'Tally Helper'!$L$27:$GI$27,"&lt;="&amp;$BS130)))</f>
        <v/>
      </c>
      <c r="AG130" s="17" t="str">
        <f aca="false">IF(OR(K$7="",$BR130=""),"",IF('Tally Helper'!$B$30&lt;&gt;TRUE(),"not on Staff",SUMIFS('Tally Helper'!$L$32:$GI$32,'Tally Helper'!$L$30:$GI$30,"&gt;="&amp;$BR130,'Tally Helper'!$L$30:$GI$30,"&lt;="&amp;$BS130)))</f>
        <v/>
      </c>
      <c r="AH130" s="17" t="str">
        <f aca="false">IF(OR(L$7="",$BR130=""),"",IF('Tally Helper'!$B$33&lt;&gt;TRUE(),"not on Staff",SUMIFS('Tally Helper'!$L$35:$GI$35,'Tally Helper'!$L$33:$GI$33,"&gt;="&amp;$BR130,'Tally Helper'!$L$33:$GI$33,"&lt;="&amp;$BS130)))</f>
        <v/>
      </c>
      <c r="AI130" s="17" t="str">
        <f aca="false">IF(OR(M$7="",$BR130=""),"",IF('Tally Helper'!$B$36&lt;&gt;TRUE(),"not on Staff",SUMIFS('Tally Helper'!$L$38:$GI$38,'Tally Helper'!$L$36:$GI$36,"&gt;="&amp;$BR130,'Tally Helper'!$L$36:$GI$36,"&lt;="&amp;$BS130)))</f>
        <v/>
      </c>
      <c r="AJ130" s="17" t="str">
        <f aca="false">IF(OR(N$7="",$BR130=""),"",IF('Tally Helper'!$B$39&lt;&gt;TRUE(),"not on Staff",SUMIFS('Tally Helper'!$L$41:$GI$41,'Tally Helper'!$L$39:$GI$39,"&gt;="&amp;$BR130,'Tally Helper'!$L$39:$GI$39,"&lt;="&amp;$BS130)))</f>
        <v/>
      </c>
      <c r="AK130" s="17" t="str">
        <f aca="false">IF(OR(O$7="",$BR130=""),"",IF('Tally Helper'!$B$42&lt;&gt;TRUE(),"not on Staff",SUMIFS('Tally Helper'!$L$44:$GI$44,'Tally Helper'!$L$42:$GI$42,"&gt;="&amp;$BR130,'Tally Helper'!$L$42:$GI$42,"&lt;="&amp;$BS130)))</f>
        <v/>
      </c>
      <c r="AL130" s="17" t="str">
        <f aca="false">IF(OR(P$7="",$BR130=""),"",IF('Tally Helper'!$B$45&lt;&gt;TRUE(),"not on Staff",SUMIFS('Tally Helper'!$L$47:$GI$47,'Tally Helper'!$L$45:$GI$45,"&gt;="&amp;$BR130,'Tally Helper'!$L$45:$GI$45,"&lt;="&amp;$BS130)))</f>
        <v/>
      </c>
      <c r="AM130" s="17" t="str">
        <f aca="false">IF(OR(Q$7="",$BR130=""),"",IF('Tally Helper'!$B$48&lt;&gt;TRUE(),"not on Staff",SUMIFS('Tally Helper'!$L$50:$GI$50,'Tally Helper'!$L$48:$GI$48,"&gt;="&amp;$BR130,'Tally Helper'!$L$48:$GI$48,"&lt;="&amp;$BS130)))</f>
        <v/>
      </c>
      <c r="AN130" s="17" t="str">
        <f aca="false">IF(OR(R$7="",$BR130=""),"",IF('Tally Helper'!$B$51&lt;&gt;TRUE(),"not on Staff",SUMIFS('Tally Helper'!$L$53:$GI$53,'Tally Helper'!$L$51:$GI$51,"&gt;="&amp;$BR130,'Tally Helper'!$L$51:$GI$51,"&lt;="&amp;$BS130)))</f>
        <v/>
      </c>
      <c r="AO130" s="17" t="str">
        <f aca="false">IF(OR(S$7="",$BR130=""),"",IF('Tally Helper'!$B$54&lt;&gt;TRUE(),"not on Staff",SUMIFS('Tally Helper'!$L$56:$GI$56,'Tally Helper'!$L$54:$GI$54,"&gt;="&amp;$BR130,'Tally Helper'!$L$54:$GI$54,"&lt;="&amp;$BS130)))</f>
        <v/>
      </c>
      <c r="AP130" s="17" t="str">
        <f aca="false">IF(OR(T$7="",$BR130=""),"",IF('Tally Helper'!$B$57&lt;&gt;TRUE(),"not on Staff",SUMIFS('Tally Helper'!$L$59:$GI$59,'Tally Helper'!$L$57:$GI$57,"&gt;="&amp;$BR130,'Tally Helper'!$L$57:$GI$57,"&lt;="&amp;$BS130)))</f>
        <v/>
      </c>
      <c r="AQ130" s="17" t="str">
        <f aca="false">IF(OR(U$7="",$BR130=""),"",IF('Tally Helper'!$B$60&lt;&gt;TRUE(),"not on Staff",SUMIFS('Tally Helper'!$L$62:$GI$62,'Tally Helper'!$L$60:$GI$60,"&gt;="&amp;$BR130,'Tally Helper'!$L$60:$GI$60,"&lt;="&amp;$BS130)))</f>
        <v/>
      </c>
      <c r="AT130" s="17" t="str">
        <f aca="false">IF(OR(X130="",NOT(ISNUMBER(X130))),"",X130-N(B130))</f>
        <v/>
      </c>
      <c r="AU130" s="17" t="str">
        <f aca="false">IF(OR(Y130="",NOT(ISNUMBER(Y130))),"",Y130-N(C130))</f>
        <v/>
      </c>
      <c r="AV130" s="17" t="str">
        <f aca="false">IF(OR(Z130="",NOT(ISNUMBER(Z130))),"",Z130-N(D130))</f>
        <v/>
      </c>
      <c r="AW130" s="17" t="str">
        <f aca="false">IF(OR(AA130="",NOT(ISNUMBER(AA130))),"",AA130-N(E130))</f>
        <v/>
      </c>
      <c r="AX130" s="17" t="str">
        <f aca="false">IF(OR(AB130="",NOT(ISNUMBER(AB130))),"",AB130-N(F130))</f>
        <v/>
      </c>
      <c r="AY130" s="17" t="str">
        <f aca="false">IF(OR(AC130="",NOT(ISNUMBER(AC130))),"",AC130-N(G130))</f>
        <v/>
      </c>
      <c r="AZ130" s="17" t="str">
        <f aca="false">IF(OR(AD130="",NOT(ISNUMBER(AD130))),"",AD130-N(H130))</f>
        <v/>
      </c>
      <c r="BA130" s="17" t="str">
        <f aca="false">IF(OR(AE130="",NOT(ISNUMBER(AE130))),"",AE130-N(I130))</f>
        <v/>
      </c>
      <c r="BB130" s="17" t="str">
        <f aca="false">IF(OR(AF130="",NOT(ISNUMBER(AF130))),"",AF130-N(J130))</f>
        <v/>
      </c>
      <c r="BC130" s="17" t="str">
        <f aca="false">IF(OR(AG130="",NOT(ISNUMBER(AG130))),"",AG130-N(K130))</f>
        <v/>
      </c>
      <c r="BD130" s="17" t="str">
        <f aca="false">IF(OR(AH130="",NOT(ISNUMBER(AH130))),"",AH130-N(L130))</f>
        <v/>
      </c>
      <c r="BE130" s="17" t="str">
        <f aca="false">IF(OR(AI130="",NOT(ISNUMBER(AI130))),"",AI130-N(M130))</f>
        <v/>
      </c>
      <c r="BF130" s="17" t="str">
        <f aca="false">IF(OR(AJ130="",NOT(ISNUMBER(AJ130))),"",AJ130-N(N130))</f>
        <v/>
      </c>
      <c r="BG130" s="17" t="str">
        <f aca="false">IF(OR(AK130="",NOT(ISNUMBER(AK130))),"",AK130-N(O130))</f>
        <v/>
      </c>
      <c r="BH130" s="17" t="str">
        <f aca="false">IF(OR(AL130="",NOT(ISNUMBER(AL130))),"",AL130-N(P130))</f>
        <v/>
      </c>
      <c r="BI130" s="17" t="str">
        <f aca="false">IF(OR(AM130="",NOT(ISNUMBER(AM130))),"",AM130-N(Q130))</f>
        <v/>
      </c>
      <c r="BJ130" s="17" t="str">
        <f aca="false">IF(OR(AN130="",NOT(ISNUMBER(AN130))),"",AN130-N(R130))</f>
        <v/>
      </c>
      <c r="BK130" s="17" t="str">
        <f aca="false">IF(OR(AO130="",NOT(ISNUMBER(AO130))),"",AO130-N(S130))</f>
        <v/>
      </c>
      <c r="BL130" s="17" t="str">
        <f aca="false">IF(OR(AP130="",NOT(ISNUMBER(AP130))),"",AP130-N(T130))</f>
        <v/>
      </c>
      <c r="BM130" s="17" t="str">
        <f aca="false">IF(OR(AQ130="",NOT(ISNUMBER(AQ130))),"",AQ130-N(U130))</f>
        <v/>
      </c>
      <c r="BR130" s="20" t="str">
        <f aca="false">IF($A130="","",IF(ISNUMBER($A130),DATE(YEAR($A130),MONTH($A130),1),IFERROR(DATE(2000+VALUE(RIGHT(TRIM($A130),2)),MATCH(UPPER(LEFT(TRIM($A130),3)),{"JAN","FEB","MAR","APR","MAY","JUN","JUL","AUG","SEP","OCT","NOV","DEC"},0),1),"")))</f>
        <v/>
      </c>
      <c r="BS130" s="20" t="str">
        <f aca="false">IF(BR130="","",EOMONTH(BR130,0))</f>
        <v/>
      </c>
    </row>
    <row r="131" customFormat="false" ht="15" hidden="false" customHeight="false" outlineLevel="0" collapsed="false">
      <c r="B131" s="21"/>
      <c r="C131" s="21"/>
      <c r="D131" s="21"/>
      <c r="E131" s="21"/>
      <c r="F131" s="21"/>
      <c r="G131" s="21"/>
      <c r="H131" s="21"/>
      <c r="I131" s="21"/>
      <c r="J131" s="21"/>
      <c r="K131" s="21"/>
      <c r="L131" s="21"/>
      <c r="M131" s="21"/>
      <c r="N131" s="21"/>
      <c r="O131" s="21"/>
      <c r="P131" s="21"/>
      <c r="Q131" s="21"/>
      <c r="R131" s="21"/>
      <c r="S131" s="21"/>
      <c r="T131" s="21"/>
      <c r="U131" s="21"/>
      <c r="X131" s="17" t="str">
        <f aca="false">IF(OR(B$7="",$BR131=""),"",IF('Tally Helper'!$B$3&lt;&gt;TRUE(),"not on Staff",SUMIFS('Tally Helper'!$L$5:$GI$5,'Tally Helper'!$L$3:$GI$3,"&gt;="&amp;$BR131,'Tally Helper'!$L$3:$GI$3,"&lt;="&amp;$BS131)))</f>
        <v/>
      </c>
      <c r="Y131" s="17" t="str">
        <f aca="false">IF(OR(C$7="",$BR131=""),"",IF('Tally Helper'!$B$6&lt;&gt;TRUE(),"not on Staff",SUMIFS('Tally Helper'!$L$8:$GI$8,'Tally Helper'!$L$6:$GI$6,"&gt;="&amp;$BR131,'Tally Helper'!$L$6:$GI$6,"&lt;="&amp;$BS131)))</f>
        <v/>
      </c>
      <c r="Z131" s="17" t="str">
        <f aca="false">IF(OR(D$7="",$BR131=""),"",IF('Tally Helper'!$B$9&lt;&gt;TRUE(),"not on Staff",SUMIFS('Tally Helper'!$L$11:$GI$11,'Tally Helper'!$L$9:$GI$9,"&gt;="&amp;$BR131,'Tally Helper'!$L$9:$GI$9,"&lt;="&amp;$BS131)))</f>
        <v/>
      </c>
      <c r="AA131" s="17" t="str">
        <f aca="false">IF(OR(E$7="",$BR131=""),"",IF('Tally Helper'!$B$12&lt;&gt;TRUE(),"not on Staff",SUMIFS('Tally Helper'!$L$14:$GI$14,'Tally Helper'!$L$12:$GI$12,"&gt;="&amp;$BR131,'Tally Helper'!$L$12:$GI$12,"&lt;="&amp;$BS131)))</f>
        <v/>
      </c>
      <c r="AB131" s="17" t="str">
        <f aca="false">IF(OR(F$7="",$BR131=""),"",IF('Tally Helper'!$B$15&lt;&gt;TRUE(),"not on Staff",SUMIFS('Tally Helper'!$L$17:$GI$17,'Tally Helper'!$L$15:$GI$15,"&gt;="&amp;$BR131,'Tally Helper'!$L$15:$GI$15,"&lt;="&amp;$BS131)))</f>
        <v/>
      </c>
      <c r="AC131" s="17" t="str">
        <f aca="false">IF(OR(G$7="",$BR131=""),"",IF('Tally Helper'!$B$18&lt;&gt;TRUE(),"not on Staff",SUMIFS('Tally Helper'!$L$20:$GI$20,'Tally Helper'!$L$18:$GI$18,"&gt;="&amp;$BR131,'Tally Helper'!$L$18:$GI$18,"&lt;="&amp;$BS131)))</f>
        <v/>
      </c>
      <c r="AD131" s="17" t="str">
        <f aca="false">IF(OR(H$7="",$BR131=""),"",IF('Tally Helper'!$B$21&lt;&gt;TRUE(),"not on Staff",SUMIFS('Tally Helper'!$L$23:$GI$23,'Tally Helper'!$L$21:$GI$21,"&gt;="&amp;$BR131,'Tally Helper'!$L$21:$GI$21,"&lt;="&amp;$BS131)))</f>
        <v/>
      </c>
      <c r="AE131" s="17" t="str">
        <f aca="false">IF(OR(I$7="",$BR131=""),"",IF('Tally Helper'!$B$24&lt;&gt;TRUE(),"not on Staff",SUMIFS('Tally Helper'!$L$26:$GI$26,'Tally Helper'!$L$24:$GI$24,"&gt;="&amp;$BR131,'Tally Helper'!$L$24:$GI$24,"&lt;="&amp;$BS131)))</f>
        <v/>
      </c>
      <c r="AF131" s="17" t="str">
        <f aca="false">IF(OR(J$7="",$BR131=""),"",IF('Tally Helper'!$B$27&lt;&gt;TRUE(),"not on Staff",SUMIFS('Tally Helper'!$L$29:$GI$29,'Tally Helper'!$L$27:$GI$27,"&gt;="&amp;$BR131,'Tally Helper'!$L$27:$GI$27,"&lt;="&amp;$BS131)))</f>
        <v/>
      </c>
      <c r="AG131" s="17" t="str">
        <f aca="false">IF(OR(K$7="",$BR131=""),"",IF('Tally Helper'!$B$30&lt;&gt;TRUE(),"not on Staff",SUMIFS('Tally Helper'!$L$32:$GI$32,'Tally Helper'!$L$30:$GI$30,"&gt;="&amp;$BR131,'Tally Helper'!$L$30:$GI$30,"&lt;="&amp;$BS131)))</f>
        <v/>
      </c>
      <c r="AH131" s="17" t="str">
        <f aca="false">IF(OR(L$7="",$BR131=""),"",IF('Tally Helper'!$B$33&lt;&gt;TRUE(),"not on Staff",SUMIFS('Tally Helper'!$L$35:$GI$35,'Tally Helper'!$L$33:$GI$33,"&gt;="&amp;$BR131,'Tally Helper'!$L$33:$GI$33,"&lt;="&amp;$BS131)))</f>
        <v/>
      </c>
      <c r="AI131" s="17" t="str">
        <f aca="false">IF(OR(M$7="",$BR131=""),"",IF('Tally Helper'!$B$36&lt;&gt;TRUE(),"not on Staff",SUMIFS('Tally Helper'!$L$38:$GI$38,'Tally Helper'!$L$36:$GI$36,"&gt;="&amp;$BR131,'Tally Helper'!$L$36:$GI$36,"&lt;="&amp;$BS131)))</f>
        <v/>
      </c>
      <c r="AJ131" s="17" t="str">
        <f aca="false">IF(OR(N$7="",$BR131=""),"",IF('Tally Helper'!$B$39&lt;&gt;TRUE(),"not on Staff",SUMIFS('Tally Helper'!$L$41:$GI$41,'Tally Helper'!$L$39:$GI$39,"&gt;="&amp;$BR131,'Tally Helper'!$L$39:$GI$39,"&lt;="&amp;$BS131)))</f>
        <v/>
      </c>
      <c r="AK131" s="17" t="str">
        <f aca="false">IF(OR(O$7="",$BR131=""),"",IF('Tally Helper'!$B$42&lt;&gt;TRUE(),"not on Staff",SUMIFS('Tally Helper'!$L$44:$GI$44,'Tally Helper'!$L$42:$GI$42,"&gt;="&amp;$BR131,'Tally Helper'!$L$42:$GI$42,"&lt;="&amp;$BS131)))</f>
        <v/>
      </c>
      <c r="AL131" s="17" t="str">
        <f aca="false">IF(OR(P$7="",$BR131=""),"",IF('Tally Helper'!$B$45&lt;&gt;TRUE(),"not on Staff",SUMIFS('Tally Helper'!$L$47:$GI$47,'Tally Helper'!$L$45:$GI$45,"&gt;="&amp;$BR131,'Tally Helper'!$L$45:$GI$45,"&lt;="&amp;$BS131)))</f>
        <v/>
      </c>
      <c r="AM131" s="17" t="str">
        <f aca="false">IF(OR(Q$7="",$BR131=""),"",IF('Tally Helper'!$B$48&lt;&gt;TRUE(),"not on Staff",SUMIFS('Tally Helper'!$L$50:$GI$50,'Tally Helper'!$L$48:$GI$48,"&gt;="&amp;$BR131,'Tally Helper'!$L$48:$GI$48,"&lt;="&amp;$BS131)))</f>
        <v/>
      </c>
      <c r="AN131" s="17" t="str">
        <f aca="false">IF(OR(R$7="",$BR131=""),"",IF('Tally Helper'!$B$51&lt;&gt;TRUE(),"not on Staff",SUMIFS('Tally Helper'!$L$53:$GI$53,'Tally Helper'!$L$51:$GI$51,"&gt;="&amp;$BR131,'Tally Helper'!$L$51:$GI$51,"&lt;="&amp;$BS131)))</f>
        <v/>
      </c>
      <c r="AO131" s="17" t="str">
        <f aca="false">IF(OR(S$7="",$BR131=""),"",IF('Tally Helper'!$B$54&lt;&gt;TRUE(),"not on Staff",SUMIFS('Tally Helper'!$L$56:$GI$56,'Tally Helper'!$L$54:$GI$54,"&gt;="&amp;$BR131,'Tally Helper'!$L$54:$GI$54,"&lt;="&amp;$BS131)))</f>
        <v/>
      </c>
      <c r="AP131" s="17" t="str">
        <f aca="false">IF(OR(T$7="",$BR131=""),"",IF('Tally Helper'!$B$57&lt;&gt;TRUE(),"not on Staff",SUMIFS('Tally Helper'!$L$59:$GI$59,'Tally Helper'!$L$57:$GI$57,"&gt;="&amp;$BR131,'Tally Helper'!$L$57:$GI$57,"&lt;="&amp;$BS131)))</f>
        <v/>
      </c>
      <c r="AQ131" s="17" t="str">
        <f aca="false">IF(OR(U$7="",$BR131=""),"",IF('Tally Helper'!$B$60&lt;&gt;TRUE(),"not on Staff",SUMIFS('Tally Helper'!$L$62:$GI$62,'Tally Helper'!$L$60:$GI$60,"&gt;="&amp;$BR131,'Tally Helper'!$L$60:$GI$60,"&lt;="&amp;$BS131)))</f>
        <v/>
      </c>
      <c r="AT131" s="17" t="str">
        <f aca="false">IF(OR(X131="",NOT(ISNUMBER(X131))),"",X131-N(B131))</f>
        <v/>
      </c>
      <c r="AU131" s="17" t="str">
        <f aca="false">IF(OR(Y131="",NOT(ISNUMBER(Y131))),"",Y131-N(C131))</f>
        <v/>
      </c>
      <c r="AV131" s="17" t="str">
        <f aca="false">IF(OR(Z131="",NOT(ISNUMBER(Z131))),"",Z131-N(D131))</f>
        <v/>
      </c>
      <c r="AW131" s="17" t="str">
        <f aca="false">IF(OR(AA131="",NOT(ISNUMBER(AA131))),"",AA131-N(E131))</f>
        <v/>
      </c>
      <c r="AX131" s="17" t="str">
        <f aca="false">IF(OR(AB131="",NOT(ISNUMBER(AB131))),"",AB131-N(F131))</f>
        <v/>
      </c>
      <c r="AY131" s="17" t="str">
        <f aca="false">IF(OR(AC131="",NOT(ISNUMBER(AC131))),"",AC131-N(G131))</f>
        <v/>
      </c>
      <c r="AZ131" s="17" t="str">
        <f aca="false">IF(OR(AD131="",NOT(ISNUMBER(AD131))),"",AD131-N(H131))</f>
        <v/>
      </c>
      <c r="BA131" s="17" t="str">
        <f aca="false">IF(OR(AE131="",NOT(ISNUMBER(AE131))),"",AE131-N(I131))</f>
        <v/>
      </c>
      <c r="BB131" s="17" t="str">
        <f aca="false">IF(OR(AF131="",NOT(ISNUMBER(AF131))),"",AF131-N(J131))</f>
        <v/>
      </c>
      <c r="BC131" s="17" t="str">
        <f aca="false">IF(OR(AG131="",NOT(ISNUMBER(AG131))),"",AG131-N(K131))</f>
        <v/>
      </c>
      <c r="BD131" s="17" t="str">
        <f aca="false">IF(OR(AH131="",NOT(ISNUMBER(AH131))),"",AH131-N(L131))</f>
        <v/>
      </c>
      <c r="BE131" s="17" t="str">
        <f aca="false">IF(OR(AI131="",NOT(ISNUMBER(AI131))),"",AI131-N(M131))</f>
        <v/>
      </c>
      <c r="BF131" s="17" t="str">
        <f aca="false">IF(OR(AJ131="",NOT(ISNUMBER(AJ131))),"",AJ131-N(N131))</f>
        <v/>
      </c>
      <c r="BG131" s="17" t="str">
        <f aca="false">IF(OR(AK131="",NOT(ISNUMBER(AK131))),"",AK131-N(O131))</f>
        <v/>
      </c>
      <c r="BH131" s="17" t="str">
        <f aca="false">IF(OR(AL131="",NOT(ISNUMBER(AL131))),"",AL131-N(P131))</f>
        <v/>
      </c>
      <c r="BI131" s="17" t="str">
        <f aca="false">IF(OR(AM131="",NOT(ISNUMBER(AM131))),"",AM131-N(Q131))</f>
        <v/>
      </c>
      <c r="BJ131" s="17" t="str">
        <f aca="false">IF(OR(AN131="",NOT(ISNUMBER(AN131))),"",AN131-N(R131))</f>
        <v/>
      </c>
      <c r="BK131" s="17" t="str">
        <f aca="false">IF(OR(AO131="",NOT(ISNUMBER(AO131))),"",AO131-N(S131))</f>
        <v/>
      </c>
      <c r="BL131" s="17" t="str">
        <f aca="false">IF(OR(AP131="",NOT(ISNUMBER(AP131))),"",AP131-N(T131))</f>
        <v/>
      </c>
      <c r="BM131" s="17" t="str">
        <f aca="false">IF(OR(AQ131="",NOT(ISNUMBER(AQ131))),"",AQ131-N(U131))</f>
        <v/>
      </c>
      <c r="BR131" s="20" t="str">
        <f aca="false">IF($A131="","",IF(ISNUMBER($A131),DATE(YEAR($A131),MONTH($A131),1),IFERROR(DATE(2000+VALUE(RIGHT(TRIM($A131),2)),MATCH(UPPER(LEFT(TRIM($A131),3)),{"JAN","FEB","MAR","APR","MAY","JUN","JUL","AUG","SEP","OCT","NOV","DEC"},0),1),"")))</f>
        <v/>
      </c>
      <c r="BS131" s="20" t="str">
        <f aca="false">IF(BR131="","",EOMONTH(BR131,0))</f>
        <v/>
      </c>
    </row>
    <row r="132" customFormat="false" ht="15" hidden="false" customHeight="false" outlineLevel="0" collapsed="false">
      <c r="B132" s="21"/>
      <c r="C132" s="21"/>
      <c r="D132" s="21"/>
      <c r="E132" s="21"/>
      <c r="F132" s="21"/>
      <c r="G132" s="21"/>
      <c r="H132" s="21"/>
      <c r="I132" s="21"/>
      <c r="J132" s="21"/>
      <c r="K132" s="21"/>
      <c r="L132" s="21"/>
      <c r="M132" s="21"/>
      <c r="N132" s="21"/>
      <c r="O132" s="21"/>
      <c r="P132" s="21"/>
      <c r="Q132" s="21"/>
      <c r="R132" s="21"/>
      <c r="S132" s="21"/>
      <c r="T132" s="21"/>
      <c r="U132" s="21"/>
      <c r="X132" s="17" t="str">
        <f aca="false">IF(OR(B$7="",$BR132=""),"",IF('Tally Helper'!$B$3&lt;&gt;TRUE(),"not on Staff",SUMIFS('Tally Helper'!$L$5:$GI$5,'Tally Helper'!$L$3:$GI$3,"&gt;="&amp;$BR132,'Tally Helper'!$L$3:$GI$3,"&lt;="&amp;$BS132)))</f>
        <v/>
      </c>
      <c r="Y132" s="17" t="str">
        <f aca="false">IF(OR(C$7="",$BR132=""),"",IF('Tally Helper'!$B$6&lt;&gt;TRUE(),"not on Staff",SUMIFS('Tally Helper'!$L$8:$GI$8,'Tally Helper'!$L$6:$GI$6,"&gt;="&amp;$BR132,'Tally Helper'!$L$6:$GI$6,"&lt;="&amp;$BS132)))</f>
        <v/>
      </c>
      <c r="Z132" s="17" t="str">
        <f aca="false">IF(OR(D$7="",$BR132=""),"",IF('Tally Helper'!$B$9&lt;&gt;TRUE(),"not on Staff",SUMIFS('Tally Helper'!$L$11:$GI$11,'Tally Helper'!$L$9:$GI$9,"&gt;="&amp;$BR132,'Tally Helper'!$L$9:$GI$9,"&lt;="&amp;$BS132)))</f>
        <v/>
      </c>
      <c r="AA132" s="17" t="str">
        <f aca="false">IF(OR(E$7="",$BR132=""),"",IF('Tally Helper'!$B$12&lt;&gt;TRUE(),"not on Staff",SUMIFS('Tally Helper'!$L$14:$GI$14,'Tally Helper'!$L$12:$GI$12,"&gt;="&amp;$BR132,'Tally Helper'!$L$12:$GI$12,"&lt;="&amp;$BS132)))</f>
        <v/>
      </c>
      <c r="AB132" s="17" t="str">
        <f aca="false">IF(OR(F$7="",$BR132=""),"",IF('Tally Helper'!$B$15&lt;&gt;TRUE(),"not on Staff",SUMIFS('Tally Helper'!$L$17:$GI$17,'Tally Helper'!$L$15:$GI$15,"&gt;="&amp;$BR132,'Tally Helper'!$L$15:$GI$15,"&lt;="&amp;$BS132)))</f>
        <v/>
      </c>
      <c r="AC132" s="17" t="str">
        <f aca="false">IF(OR(G$7="",$BR132=""),"",IF('Tally Helper'!$B$18&lt;&gt;TRUE(),"not on Staff",SUMIFS('Tally Helper'!$L$20:$GI$20,'Tally Helper'!$L$18:$GI$18,"&gt;="&amp;$BR132,'Tally Helper'!$L$18:$GI$18,"&lt;="&amp;$BS132)))</f>
        <v/>
      </c>
      <c r="AD132" s="17" t="str">
        <f aca="false">IF(OR(H$7="",$BR132=""),"",IF('Tally Helper'!$B$21&lt;&gt;TRUE(),"not on Staff",SUMIFS('Tally Helper'!$L$23:$GI$23,'Tally Helper'!$L$21:$GI$21,"&gt;="&amp;$BR132,'Tally Helper'!$L$21:$GI$21,"&lt;="&amp;$BS132)))</f>
        <v/>
      </c>
      <c r="AE132" s="17" t="str">
        <f aca="false">IF(OR(I$7="",$BR132=""),"",IF('Tally Helper'!$B$24&lt;&gt;TRUE(),"not on Staff",SUMIFS('Tally Helper'!$L$26:$GI$26,'Tally Helper'!$L$24:$GI$24,"&gt;="&amp;$BR132,'Tally Helper'!$L$24:$GI$24,"&lt;="&amp;$BS132)))</f>
        <v/>
      </c>
      <c r="AF132" s="17" t="str">
        <f aca="false">IF(OR(J$7="",$BR132=""),"",IF('Tally Helper'!$B$27&lt;&gt;TRUE(),"not on Staff",SUMIFS('Tally Helper'!$L$29:$GI$29,'Tally Helper'!$L$27:$GI$27,"&gt;="&amp;$BR132,'Tally Helper'!$L$27:$GI$27,"&lt;="&amp;$BS132)))</f>
        <v/>
      </c>
      <c r="AG132" s="17" t="str">
        <f aca="false">IF(OR(K$7="",$BR132=""),"",IF('Tally Helper'!$B$30&lt;&gt;TRUE(),"not on Staff",SUMIFS('Tally Helper'!$L$32:$GI$32,'Tally Helper'!$L$30:$GI$30,"&gt;="&amp;$BR132,'Tally Helper'!$L$30:$GI$30,"&lt;="&amp;$BS132)))</f>
        <v/>
      </c>
      <c r="AH132" s="17" t="str">
        <f aca="false">IF(OR(L$7="",$BR132=""),"",IF('Tally Helper'!$B$33&lt;&gt;TRUE(),"not on Staff",SUMIFS('Tally Helper'!$L$35:$GI$35,'Tally Helper'!$L$33:$GI$33,"&gt;="&amp;$BR132,'Tally Helper'!$L$33:$GI$33,"&lt;="&amp;$BS132)))</f>
        <v/>
      </c>
      <c r="AI132" s="17" t="str">
        <f aca="false">IF(OR(M$7="",$BR132=""),"",IF('Tally Helper'!$B$36&lt;&gt;TRUE(),"not on Staff",SUMIFS('Tally Helper'!$L$38:$GI$38,'Tally Helper'!$L$36:$GI$36,"&gt;="&amp;$BR132,'Tally Helper'!$L$36:$GI$36,"&lt;="&amp;$BS132)))</f>
        <v/>
      </c>
      <c r="AJ132" s="17" t="str">
        <f aca="false">IF(OR(N$7="",$BR132=""),"",IF('Tally Helper'!$B$39&lt;&gt;TRUE(),"not on Staff",SUMIFS('Tally Helper'!$L$41:$GI$41,'Tally Helper'!$L$39:$GI$39,"&gt;="&amp;$BR132,'Tally Helper'!$L$39:$GI$39,"&lt;="&amp;$BS132)))</f>
        <v/>
      </c>
      <c r="AK132" s="17" t="str">
        <f aca="false">IF(OR(O$7="",$BR132=""),"",IF('Tally Helper'!$B$42&lt;&gt;TRUE(),"not on Staff",SUMIFS('Tally Helper'!$L$44:$GI$44,'Tally Helper'!$L$42:$GI$42,"&gt;="&amp;$BR132,'Tally Helper'!$L$42:$GI$42,"&lt;="&amp;$BS132)))</f>
        <v/>
      </c>
      <c r="AL132" s="17" t="str">
        <f aca="false">IF(OR(P$7="",$BR132=""),"",IF('Tally Helper'!$B$45&lt;&gt;TRUE(),"not on Staff",SUMIFS('Tally Helper'!$L$47:$GI$47,'Tally Helper'!$L$45:$GI$45,"&gt;="&amp;$BR132,'Tally Helper'!$L$45:$GI$45,"&lt;="&amp;$BS132)))</f>
        <v/>
      </c>
      <c r="AM132" s="17" t="str">
        <f aca="false">IF(OR(Q$7="",$BR132=""),"",IF('Tally Helper'!$B$48&lt;&gt;TRUE(),"not on Staff",SUMIFS('Tally Helper'!$L$50:$GI$50,'Tally Helper'!$L$48:$GI$48,"&gt;="&amp;$BR132,'Tally Helper'!$L$48:$GI$48,"&lt;="&amp;$BS132)))</f>
        <v/>
      </c>
      <c r="AN132" s="17" t="str">
        <f aca="false">IF(OR(R$7="",$BR132=""),"",IF('Tally Helper'!$B$51&lt;&gt;TRUE(),"not on Staff",SUMIFS('Tally Helper'!$L$53:$GI$53,'Tally Helper'!$L$51:$GI$51,"&gt;="&amp;$BR132,'Tally Helper'!$L$51:$GI$51,"&lt;="&amp;$BS132)))</f>
        <v/>
      </c>
      <c r="AO132" s="17" t="str">
        <f aca="false">IF(OR(S$7="",$BR132=""),"",IF('Tally Helper'!$B$54&lt;&gt;TRUE(),"not on Staff",SUMIFS('Tally Helper'!$L$56:$GI$56,'Tally Helper'!$L$54:$GI$54,"&gt;="&amp;$BR132,'Tally Helper'!$L$54:$GI$54,"&lt;="&amp;$BS132)))</f>
        <v/>
      </c>
      <c r="AP132" s="17" t="str">
        <f aca="false">IF(OR(T$7="",$BR132=""),"",IF('Tally Helper'!$B$57&lt;&gt;TRUE(),"not on Staff",SUMIFS('Tally Helper'!$L$59:$GI$59,'Tally Helper'!$L$57:$GI$57,"&gt;="&amp;$BR132,'Tally Helper'!$L$57:$GI$57,"&lt;="&amp;$BS132)))</f>
        <v/>
      </c>
      <c r="AQ132" s="17" t="str">
        <f aca="false">IF(OR(U$7="",$BR132=""),"",IF('Tally Helper'!$B$60&lt;&gt;TRUE(),"not on Staff",SUMIFS('Tally Helper'!$L$62:$GI$62,'Tally Helper'!$L$60:$GI$60,"&gt;="&amp;$BR132,'Tally Helper'!$L$60:$GI$60,"&lt;="&amp;$BS132)))</f>
        <v/>
      </c>
      <c r="AT132" s="17" t="str">
        <f aca="false">IF(OR(X132="",NOT(ISNUMBER(X132))),"",X132-N(B132))</f>
        <v/>
      </c>
      <c r="AU132" s="17" t="str">
        <f aca="false">IF(OR(Y132="",NOT(ISNUMBER(Y132))),"",Y132-N(C132))</f>
        <v/>
      </c>
      <c r="AV132" s="17" t="str">
        <f aca="false">IF(OR(Z132="",NOT(ISNUMBER(Z132))),"",Z132-N(D132))</f>
        <v/>
      </c>
      <c r="AW132" s="17" t="str">
        <f aca="false">IF(OR(AA132="",NOT(ISNUMBER(AA132))),"",AA132-N(E132))</f>
        <v/>
      </c>
      <c r="AX132" s="17" t="str">
        <f aca="false">IF(OR(AB132="",NOT(ISNUMBER(AB132))),"",AB132-N(F132))</f>
        <v/>
      </c>
      <c r="AY132" s="17" t="str">
        <f aca="false">IF(OR(AC132="",NOT(ISNUMBER(AC132))),"",AC132-N(G132))</f>
        <v/>
      </c>
      <c r="AZ132" s="17" t="str">
        <f aca="false">IF(OR(AD132="",NOT(ISNUMBER(AD132))),"",AD132-N(H132))</f>
        <v/>
      </c>
      <c r="BA132" s="17" t="str">
        <f aca="false">IF(OR(AE132="",NOT(ISNUMBER(AE132))),"",AE132-N(I132))</f>
        <v/>
      </c>
      <c r="BB132" s="17" t="str">
        <f aca="false">IF(OR(AF132="",NOT(ISNUMBER(AF132))),"",AF132-N(J132))</f>
        <v/>
      </c>
      <c r="BC132" s="17" t="str">
        <f aca="false">IF(OR(AG132="",NOT(ISNUMBER(AG132))),"",AG132-N(K132))</f>
        <v/>
      </c>
      <c r="BD132" s="17" t="str">
        <f aca="false">IF(OR(AH132="",NOT(ISNUMBER(AH132))),"",AH132-N(L132))</f>
        <v/>
      </c>
      <c r="BE132" s="17" t="str">
        <f aca="false">IF(OR(AI132="",NOT(ISNUMBER(AI132))),"",AI132-N(M132))</f>
        <v/>
      </c>
      <c r="BF132" s="17" t="str">
        <f aca="false">IF(OR(AJ132="",NOT(ISNUMBER(AJ132))),"",AJ132-N(N132))</f>
        <v/>
      </c>
      <c r="BG132" s="17" t="str">
        <f aca="false">IF(OR(AK132="",NOT(ISNUMBER(AK132))),"",AK132-N(O132))</f>
        <v/>
      </c>
      <c r="BH132" s="17" t="str">
        <f aca="false">IF(OR(AL132="",NOT(ISNUMBER(AL132))),"",AL132-N(P132))</f>
        <v/>
      </c>
      <c r="BI132" s="17" t="str">
        <f aca="false">IF(OR(AM132="",NOT(ISNUMBER(AM132))),"",AM132-N(Q132))</f>
        <v/>
      </c>
      <c r="BJ132" s="17" t="str">
        <f aca="false">IF(OR(AN132="",NOT(ISNUMBER(AN132))),"",AN132-N(R132))</f>
        <v/>
      </c>
      <c r="BK132" s="17" t="str">
        <f aca="false">IF(OR(AO132="",NOT(ISNUMBER(AO132))),"",AO132-N(S132))</f>
        <v/>
      </c>
      <c r="BL132" s="17" t="str">
        <f aca="false">IF(OR(AP132="",NOT(ISNUMBER(AP132))),"",AP132-N(T132))</f>
        <v/>
      </c>
      <c r="BM132" s="17" t="str">
        <f aca="false">IF(OR(AQ132="",NOT(ISNUMBER(AQ132))),"",AQ132-N(U132))</f>
        <v/>
      </c>
      <c r="BR132" s="20" t="str">
        <f aca="false">IF($A132="","",IF(ISNUMBER($A132),DATE(YEAR($A132),MONTH($A132),1),IFERROR(DATE(2000+VALUE(RIGHT(TRIM($A132),2)),MATCH(UPPER(LEFT(TRIM($A132),3)),{"JAN","FEB","MAR","APR","MAY","JUN","JUL","AUG","SEP","OCT","NOV","DEC"},0),1),"")))</f>
        <v/>
      </c>
      <c r="BS132" s="20" t="str">
        <f aca="false">IF(BR132="","",EOMONTH(BR132,0))</f>
        <v/>
      </c>
    </row>
    <row r="133" customFormat="false" ht="15" hidden="false" customHeight="false" outlineLevel="0" collapsed="false">
      <c r="B133" s="21"/>
      <c r="C133" s="21"/>
      <c r="D133" s="21"/>
      <c r="E133" s="21"/>
      <c r="F133" s="21"/>
      <c r="G133" s="21"/>
      <c r="H133" s="21"/>
      <c r="I133" s="21"/>
      <c r="J133" s="21"/>
      <c r="K133" s="21"/>
      <c r="L133" s="21"/>
      <c r="M133" s="21"/>
      <c r="N133" s="21"/>
      <c r="O133" s="21"/>
      <c r="P133" s="21"/>
      <c r="Q133" s="21"/>
      <c r="R133" s="21"/>
      <c r="S133" s="21"/>
      <c r="T133" s="21"/>
      <c r="U133" s="21"/>
      <c r="X133" s="17" t="str">
        <f aca="false">IF(OR(B$7="",$BR133=""),"",IF('Tally Helper'!$B$3&lt;&gt;TRUE(),"not on Staff",SUMIFS('Tally Helper'!$L$5:$GI$5,'Tally Helper'!$L$3:$GI$3,"&gt;="&amp;$BR133,'Tally Helper'!$L$3:$GI$3,"&lt;="&amp;$BS133)))</f>
        <v/>
      </c>
      <c r="Y133" s="17" t="str">
        <f aca="false">IF(OR(C$7="",$BR133=""),"",IF('Tally Helper'!$B$6&lt;&gt;TRUE(),"not on Staff",SUMIFS('Tally Helper'!$L$8:$GI$8,'Tally Helper'!$L$6:$GI$6,"&gt;="&amp;$BR133,'Tally Helper'!$L$6:$GI$6,"&lt;="&amp;$BS133)))</f>
        <v/>
      </c>
      <c r="Z133" s="17" t="str">
        <f aca="false">IF(OR(D$7="",$BR133=""),"",IF('Tally Helper'!$B$9&lt;&gt;TRUE(),"not on Staff",SUMIFS('Tally Helper'!$L$11:$GI$11,'Tally Helper'!$L$9:$GI$9,"&gt;="&amp;$BR133,'Tally Helper'!$L$9:$GI$9,"&lt;="&amp;$BS133)))</f>
        <v/>
      </c>
      <c r="AA133" s="17" t="str">
        <f aca="false">IF(OR(E$7="",$BR133=""),"",IF('Tally Helper'!$B$12&lt;&gt;TRUE(),"not on Staff",SUMIFS('Tally Helper'!$L$14:$GI$14,'Tally Helper'!$L$12:$GI$12,"&gt;="&amp;$BR133,'Tally Helper'!$L$12:$GI$12,"&lt;="&amp;$BS133)))</f>
        <v/>
      </c>
      <c r="AB133" s="17" t="str">
        <f aca="false">IF(OR(F$7="",$BR133=""),"",IF('Tally Helper'!$B$15&lt;&gt;TRUE(),"not on Staff",SUMIFS('Tally Helper'!$L$17:$GI$17,'Tally Helper'!$L$15:$GI$15,"&gt;="&amp;$BR133,'Tally Helper'!$L$15:$GI$15,"&lt;="&amp;$BS133)))</f>
        <v/>
      </c>
      <c r="AC133" s="17" t="str">
        <f aca="false">IF(OR(G$7="",$BR133=""),"",IF('Tally Helper'!$B$18&lt;&gt;TRUE(),"not on Staff",SUMIFS('Tally Helper'!$L$20:$GI$20,'Tally Helper'!$L$18:$GI$18,"&gt;="&amp;$BR133,'Tally Helper'!$L$18:$GI$18,"&lt;="&amp;$BS133)))</f>
        <v/>
      </c>
      <c r="AD133" s="17" t="str">
        <f aca="false">IF(OR(H$7="",$BR133=""),"",IF('Tally Helper'!$B$21&lt;&gt;TRUE(),"not on Staff",SUMIFS('Tally Helper'!$L$23:$GI$23,'Tally Helper'!$L$21:$GI$21,"&gt;="&amp;$BR133,'Tally Helper'!$L$21:$GI$21,"&lt;="&amp;$BS133)))</f>
        <v/>
      </c>
      <c r="AE133" s="17" t="str">
        <f aca="false">IF(OR(I$7="",$BR133=""),"",IF('Tally Helper'!$B$24&lt;&gt;TRUE(),"not on Staff",SUMIFS('Tally Helper'!$L$26:$GI$26,'Tally Helper'!$L$24:$GI$24,"&gt;="&amp;$BR133,'Tally Helper'!$L$24:$GI$24,"&lt;="&amp;$BS133)))</f>
        <v/>
      </c>
      <c r="AF133" s="17" t="str">
        <f aca="false">IF(OR(J$7="",$BR133=""),"",IF('Tally Helper'!$B$27&lt;&gt;TRUE(),"not on Staff",SUMIFS('Tally Helper'!$L$29:$GI$29,'Tally Helper'!$L$27:$GI$27,"&gt;="&amp;$BR133,'Tally Helper'!$L$27:$GI$27,"&lt;="&amp;$BS133)))</f>
        <v/>
      </c>
      <c r="AG133" s="17" t="str">
        <f aca="false">IF(OR(K$7="",$BR133=""),"",IF('Tally Helper'!$B$30&lt;&gt;TRUE(),"not on Staff",SUMIFS('Tally Helper'!$L$32:$GI$32,'Tally Helper'!$L$30:$GI$30,"&gt;="&amp;$BR133,'Tally Helper'!$L$30:$GI$30,"&lt;="&amp;$BS133)))</f>
        <v/>
      </c>
      <c r="AH133" s="17" t="str">
        <f aca="false">IF(OR(L$7="",$BR133=""),"",IF('Tally Helper'!$B$33&lt;&gt;TRUE(),"not on Staff",SUMIFS('Tally Helper'!$L$35:$GI$35,'Tally Helper'!$L$33:$GI$33,"&gt;="&amp;$BR133,'Tally Helper'!$L$33:$GI$33,"&lt;="&amp;$BS133)))</f>
        <v/>
      </c>
      <c r="AI133" s="17" t="str">
        <f aca="false">IF(OR(M$7="",$BR133=""),"",IF('Tally Helper'!$B$36&lt;&gt;TRUE(),"not on Staff",SUMIFS('Tally Helper'!$L$38:$GI$38,'Tally Helper'!$L$36:$GI$36,"&gt;="&amp;$BR133,'Tally Helper'!$L$36:$GI$36,"&lt;="&amp;$BS133)))</f>
        <v/>
      </c>
      <c r="AJ133" s="17" t="str">
        <f aca="false">IF(OR(N$7="",$BR133=""),"",IF('Tally Helper'!$B$39&lt;&gt;TRUE(),"not on Staff",SUMIFS('Tally Helper'!$L$41:$GI$41,'Tally Helper'!$L$39:$GI$39,"&gt;="&amp;$BR133,'Tally Helper'!$L$39:$GI$39,"&lt;="&amp;$BS133)))</f>
        <v/>
      </c>
      <c r="AK133" s="17" t="str">
        <f aca="false">IF(OR(O$7="",$BR133=""),"",IF('Tally Helper'!$B$42&lt;&gt;TRUE(),"not on Staff",SUMIFS('Tally Helper'!$L$44:$GI$44,'Tally Helper'!$L$42:$GI$42,"&gt;="&amp;$BR133,'Tally Helper'!$L$42:$GI$42,"&lt;="&amp;$BS133)))</f>
        <v/>
      </c>
      <c r="AL133" s="17" t="str">
        <f aca="false">IF(OR(P$7="",$BR133=""),"",IF('Tally Helper'!$B$45&lt;&gt;TRUE(),"not on Staff",SUMIFS('Tally Helper'!$L$47:$GI$47,'Tally Helper'!$L$45:$GI$45,"&gt;="&amp;$BR133,'Tally Helper'!$L$45:$GI$45,"&lt;="&amp;$BS133)))</f>
        <v/>
      </c>
      <c r="AM133" s="17" t="str">
        <f aca="false">IF(OR(Q$7="",$BR133=""),"",IF('Tally Helper'!$B$48&lt;&gt;TRUE(),"not on Staff",SUMIFS('Tally Helper'!$L$50:$GI$50,'Tally Helper'!$L$48:$GI$48,"&gt;="&amp;$BR133,'Tally Helper'!$L$48:$GI$48,"&lt;="&amp;$BS133)))</f>
        <v/>
      </c>
      <c r="AN133" s="17" t="str">
        <f aca="false">IF(OR(R$7="",$BR133=""),"",IF('Tally Helper'!$B$51&lt;&gt;TRUE(),"not on Staff",SUMIFS('Tally Helper'!$L$53:$GI$53,'Tally Helper'!$L$51:$GI$51,"&gt;="&amp;$BR133,'Tally Helper'!$L$51:$GI$51,"&lt;="&amp;$BS133)))</f>
        <v/>
      </c>
      <c r="AO133" s="17" t="str">
        <f aca="false">IF(OR(S$7="",$BR133=""),"",IF('Tally Helper'!$B$54&lt;&gt;TRUE(),"not on Staff",SUMIFS('Tally Helper'!$L$56:$GI$56,'Tally Helper'!$L$54:$GI$54,"&gt;="&amp;$BR133,'Tally Helper'!$L$54:$GI$54,"&lt;="&amp;$BS133)))</f>
        <v/>
      </c>
      <c r="AP133" s="17" t="str">
        <f aca="false">IF(OR(T$7="",$BR133=""),"",IF('Tally Helper'!$B$57&lt;&gt;TRUE(),"not on Staff",SUMIFS('Tally Helper'!$L$59:$GI$59,'Tally Helper'!$L$57:$GI$57,"&gt;="&amp;$BR133,'Tally Helper'!$L$57:$GI$57,"&lt;="&amp;$BS133)))</f>
        <v/>
      </c>
      <c r="AQ133" s="17" t="str">
        <f aca="false">IF(OR(U$7="",$BR133=""),"",IF('Tally Helper'!$B$60&lt;&gt;TRUE(),"not on Staff",SUMIFS('Tally Helper'!$L$62:$GI$62,'Tally Helper'!$L$60:$GI$60,"&gt;="&amp;$BR133,'Tally Helper'!$L$60:$GI$60,"&lt;="&amp;$BS133)))</f>
        <v/>
      </c>
      <c r="AT133" s="17" t="str">
        <f aca="false">IF(OR(X133="",NOT(ISNUMBER(X133))),"",X133-N(B133))</f>
        <v/>
      </c>
      <c r="AU133" s="17" t="str">
        <f aca="false">IF(OR(Y133="",NOT(ISNUMBER(Y133))),"",Y133-N(C133))</f>
        <v/>
      </c>
      <c r="AV133" s="17" t="str">
        <f aca="false">IF(OR(Z133="",NOT(ISNUMBER(Z133))),"",Z133-N(D133))</f>
        <v/>
      </c>
      <c r="AW133" s="17" t="str">
        <f aca="false">IF(OR(AA133="",NOT(ISNUMBER(AA133))),"",AA133-N(E133))</f>
        <v/>
      </c>
      <c r="AX133" s="17" t="str">
        <f aca="false">IF(OR(AB133="",NOT(ISNUMBER(AB133))),"",AB133-N(F133))</f>
        <v/>
      </c>
      <c r="AY133" s="17" t="str">
        <f aca="false">IF(OR(AC133="",NOT(ISNUMBER(AC133))),"",AC133-N(G133))</f>
        <v/>
      </c>
      <c r="AZ133" s="17" t="str">
        <f aca="false">IF(OR(AD133="",NOT(ISNUMBER(AD133))),"",AD133-N(H133))</f>
        <v/>
      </c>
      <c r="BA133" s="17" t="str">
        <f aca="false">IF(OR(AE133="",NOT(ISNUMBER(AE133))),"",AE133-N(I133))</f>
        <v/>
      </c>
      <c r="BB133" s="17" t="str">
        <f aca="false">IF(OR(AF133="",NOT(ISNUMBER(AF133))),"",AF133-N(J133))</f>
        <v/>
      </c>
      <c r="BC133" s="17" t="str">
        <f aca="false">IF(OR(AG133="",NOT(ISNUMBER(AG133))),"",AG133-N(K133))</f>
        <v/>
      </c>
      <c r="BD133" s="17" t="str">
        <f aca="false">IF(OR(AH133="",NOT(ISNUMBER(AH133))),"",AH133-N(L133))</f>
        <v/>
      </c>
      <c r="BE133" s="17" t="str">
        <f aca="false">IF(OR(AI133="",NOT(ISNUMBER(AI133))),"",AI133-N(M133))</f>
        <v/>
      </c>
      <c r="BF133" s="17" t="str">
        <f aca="false">IF(OR(AJ133="",NOT(ISNUMBER(AJ133))),"",AJ133-N(N133))</f>
        <v/>
      </c>
      <c r="BG133" s="17" t="str">
        <f aca="false">IF(OR(AK133="",NOT(ISNUMBER(AK133))),"",AK133-N(O133))</f>
        <v/>
      </c>
      <c r="BH133" s="17" t="str">
        <f aca="false">IF(OR(AL133="",NOT(ISNUMBER(AL133))),"",AL133-N(P133))</f>
        <v/>
      </c>
      <c r="BI133" s="17" t="str">
        <f aca="false">IF(OR(AM133="",NOT(ISNUMBER(AM133))),"",AM133-N(Q133))</f>
        <v/>
      </c>
      <c r="BJ133" s="17" t="str">
        <f aca="false">IF(OR(AN133="",NOT(ISNUMBER(AN133))),"",AN133-N(R133))</f>
        <v/>
      </c>
      <c r="BK133" s="17" t="str">
        <f aca="false">IF(OR(AO133="",NOT(ISNUMBER(AO133))),"",AO133-N(S133))</f>
        <v/>
      </c>
      <c r="BL133" s="17" t="str">
        <f aca="false">IF(OR(AP133="",NOT(ISNUMBER(AP133))),"",AP133-N(T133))</f>
        <v/>
      </c>
      <c r="BM133" s="17" t="str">
        <f aca="false">IF(OR(AQ133="",NOT(ISNUMBER(AQ133))),"",AQ133-N(U133))</f>
        <v/>
      </c>
      <c r="BR133" s="20" t="str">
        <f aca="false">IF($A133="","",IF(ISNUMBER($A133),DATE(YEAR($A133),MONTH($A133),1),IFERROR(DATE(2000+VALUE(RIGHT(TRIM($A133),2)),MATCH(UPPER(LEFT(TRIM($A133),3)),{"JAN","FEB","MAR","APR","MAY","JUN","JUL","AUG","SEP","OCT","NOV","DEC"},0),1),"")))</f>
        <v/>
      </c>
      <c r="BS133" s="20" t="str">
        <f aca="false">IF(BR133="","",EOMONTH(BR133,0))</f>
        <v/>
      </c>
    </row>
    <row r="134" customFormat="false" ht="15" hidden="false" customHeight="false" outlineLevel="0" collapsed="false">
      <c r="B134" s="21"/>
      <c r="C134" s="21"/>
      <c r="D134" s="21"/>
      <c r="E134" s="21"/>
      <c r="F134" s="21"/>
      <c r="G134" s="21"/>
      <c r="H134" s="21"/>
      <c r="I134" s="21"/>
      <c r="J134" s="21"/>
      <c r="K134" s="21"/>
      <c r="L134" s="21"/>
      <c r="M134" s="21"/>
      <c r="N134" s="21"/>
      <c r="O134" s="21"/>
      <c r="P134" s="21"/>
      <c r="Q134" s="21"/>
      <c r="R134" s="21"/>
      <c r="S134" s="21"/>
      <c r="T134" s="21"/>
      <c r="U134" s="21"/>
      <c r="X134" s="17" t="str">
        <f aca="false">IF(OR(B$7="",$BR134=""),"",IF('Tally Helper'!$B$3&lt;&gt;TRUE(),"not on Staff",SUMIFS('Tally Helper'!$L$5:$GI$5,'Tally Helper'!$L$3:$GI$3,"&gt;="&amp;$BR134,'Tally Helper'!$L$3:$GI$3,"&lt;="&amp;$BS134)))</f>
        <v/>
      </c>
      <c r="Y134" s="17" t="str">
        <f aca="false">IF(OR(C$7="",$BR134=""),"",IF('Tally Helper'!$B$6&lt;&gt;TRUE(),"not on Staff",SUMIFS('Tally Helper'!$L$8:$GI$8,'Tally Helper'!$L$6:$GI$6,"&gt;="&amp;$BR134,'Tally Helper'!$L$6:$GI$6,"&lt;="&amp;$BS134)))</f>
        <v/>
      </c>
      <c r="Z134" s="17" t="str">
        <f aca="false">IF(OR(D$7="",$BR134=""),"",IF('Tally Helper'!$B$9&lt;&gt;TRUE(),"not on Staff",SUMIFS('Tally Helper'!$L$11:$GI$11,'Tally Helper'!$L$9:$GI$9,"&gt;="&amp;$BR134,'Tally Helper'!$L$9:$GI$9,"&lt;="&amp;$BS134)))</f>
        <v/>
      </c>
      <c r="AA134" s="17" t="str">
        <f aca="false">IF(OR(E$7="",$BR134=""),"",IF('Tally Helper'!$B$12&lt;&gt;TRUE(),"not on Staff",SUMIFS('Tally Helper'!$L$14:$GI$14,'Tally Helper'!$L$12:$GI$12,"&gt;="&amp;$BR134,'Tally Helper'!$L$12:$GI$12,"&lt;="&amp;$BS134)))</f>
        <v/>
      </c>
      <c r="AB134" s="17" t="str">
        <f aca="false">IF(OR(F$7="",$BR134=""),"",IF('Tally Helper'!$B$15&lt;&gt;TRUE(),"not on Staff",SUMIFS('Tally Helper'!$L$17:$GI$17,'Tally Helper'!$L$15:$GI$15,"&gt;="&amp;$BR134,'Tally Helper'!$L$15:$GI$15,"&lt;="&amp;$BS134)))</f>
        <v/>
      </c>
      <c r="AC134" s="17" t="str">
        <f aca="false">IF(OR(G$7="",$BR134=""),"",IF('Tally Helper'!$B$18&lt;&gt;TRUE(),"not on Staff",SUMIFS('Tally Helper'!$L$20:$GI$20,'Tally Helper'!$L$18:$GI$18,"&gt;="&amp;$BR134,'Tally Helper'!$L$18:$GI$18,"&lt;="&amp;$BS134)))</f>
        <v/>
      </c>
      <c r="AD134" s="17" t="str">
        <f aca="false">IF(OR(H$7="",$BR134=""),"",IF('Tally Helper'!$B$21&lt;&gt;TRUE(),"not on Staff",SUMIFS('Tally Helper'!$L$23:$GI$23,'Tally Helper'!$L$21:$GI$21,"&gt;="&amp;$BR134,'Tally Helper'!$L$21:$GI$21,"&lt;="&amp;$BS134)))</f>
        <v/>
      </c>
      <c r="AE134" s="17" t="str">
        <f aca="false">IF(OR(I$7="",$BR134=""),"",IF('Tally Helper'!$B$24&lt;&gt;TRUE(),"not on Staff",SUMIFS('Tally Helper'!$L$26:$GI$26,'Tally Helper'!$L$24:$GI$24,"&gt;="&amp;$BR134,'Tally Helper'!$L$24:$GI$24,"&lt;="&amp;$BS134)))</f>
        <v/>
      </c>
      <c r="AF134" s="17" t="str">
        <f aca="false">IF(OR(J$7="",$BR134=""),"",IF('Tally Helper'!$B$27&lt;&gt;TRUE(),"not on Staff",SUMIFS('Tally Helper'!$L$29:$GI$29,'Tally Helper'!$L$27:$GI$27,"&gt;="&amp;$BR134,'Tally Helper'!$L$27:$GI$27,"&lt;="&amp;$BS134)))</f>
        <v/>
      </c>
      <c r="AG134" s="17" t="str">
        <f aca="false">IF(OR(K$7="",$BR134=""),"",IF('Tally Helper'!$B$30&lt;&gt;TRUE(),"not on Staff",SUMIFS('Tally Helper'!$L$32:$GI$32,'Tally Helper'!$L$30:$GI$30,"&gt;="&amp;$BR134,'Tally Helper'!$L$30:$GI$30,"&lt;="&amp;$BS134)))</f>
        <v/>
      </c>
      <c r="AH134" s="17" t="str">
        <f aca="false">IF(OR(L$7="",$BR134=""),"",IF('Tally Helper'!$B$33&lt;&gt;TRUE(),"not on Staff",SUMIFS('Tally Helper'!$L$35:$GI$35,'Tally Helper'!$L$33:$GI$33,"&gt;="&amp;$BR134,'Tally Helper'!$L$33:$GI$33,"&lt;="&amp;$BS134)))</f>
        <v/>
      </c>
      <c r="AI134" s="17" t="str">
        <f aca="false">IF(OR(M$7="",$BR134=""),"",IF('Tally Helper'!$B$36&lt;&gt;TRUE(),"not on Staff",SUMIFS('Tally Helper'!$L$38:$GI$38,'Tally Helper'!$L$36:$GI$36,"&gt;="&amp;$BR134,'Tally Helper'!$L$36:$GI$36,"&lt;="&amp;$BS134)))</f>
        <v/>
      </c>
      <c r="AJ134" s="17" t="str">
        <f aca="false">IF(OR(N$7="",$BR134=""),"",IF('Tally Helper'!$B$39&lt;&gt;TRUE(),"not on Staff",SUMIFS('Tally Helper'!$L$41:$GI$41,'Tally Helper'!$L$39:$GI$39,"&gt;="&amp;$BR134,'Tally Helper'!$L$39:$GI$39,"&lt;="&amp;$BS134)))</f>
        <v/>
      </c>
      <c r="AK134" s="17" t="str">
        <f aca="false">IF(OR(O$7="",$BR134=""),"",IF('Tally Helper'!$B$42&lt;&gt;TRUE(),"not on Staff",SUMIFS('Tally Helper'!$L$44:$GI$44,'Tally Helper'!$L$42:$GI$42,"&gt;="&amp;$BR134,'Tally Helper'!$L$42:$GI$42,"&lt;="&amp;$BS134)))</f>
        <v/>
      </c>
      <c r="AL134" s="17" t="str">
        <f aca="false">IF(OR(P$7="",$BR134=""),"",IF('Tally Helper'!$B$45&lt;&gt;TRUE(),"not on Staff",SUMIFS('Tally Helper'!$L$47:$GI$47,'Tally Helper'!$L$45:$GI$45,"&gt;="&amp;$BR134,'Tally Helper'!$L$45:$GI$45,"&lt;="&amp;$BS134)))</f>
        <v/>
      </c>
      <c r="AM134" s="17" t="str">
        <f aca="false">IF(OR(Q$7="",$BR134=""),"",IF('Tally Helper'!$B$48&lt;&gt;TRUE(),"not on Staff",SUMIFS('Tally Helper'!$L$50:$GI$50,'Tally Helper'!$L$48:$GI$48,"&gt;="&amp;$BR134,'Tally Helper'!$L$48:$GI$48,"&lt;="&amp;$BS134)))</f>
        <v/>
      </c>
      <c r="AN134" s="17" t="str">
        <f aca="false">IF(OR(R$7="",$BR134=""),"",IF('Tally Helper'!$B$51&lt;&gt;TRUE(),"not on Staff",SUMIFS('Tally Helper'!$L$53:$GI$53,'Tally Helper'!$L$51:$GI$51,"&gt;="&amp;$BR134,'Tally Helper'!$L$51:$GI$51,"&lt;="&amp;$BS134)))</f>
        <v/>
      </c>
      <c r="AO134" s="17" t="str">
        <f aca="false">IF(OR(S$7="",$BR134=""),"",IF('Tally Helper'!$B$54&lt;&gt;TRUE(),"not on Staff",SUMIFS('Tally Helper'!$L$56:$GI$56,'Tally Helper'!$L$54:$GI$54,"&gt;="&amp;$BR134,'Tally Helper'!$L$54:$GI$54,"&lt;="&amp;$BS134)))</f>
        <v/>
      </c>
      <c r="AP134" s="17" t="str">
        <f aca="false">IF(OR(T$7="",$BR134=""),"",IF('Tally Helper'!$B$57&lt;&gt;TRUE(),"not on Staff",SUMIFS('Tally Helper'!$L$59:$GI$59,'Tally Helper'!$L$57:$GI$57,"&gt;="&amp;$BR134,'Tally Helper'!$L$57:$GI$57,"&lt;="&amp;$BS134)))</f>
        <v/>
      </c>
      <c r="AQ134" s="17" t="str">
        <f aca="false">IF(OR(U$7="",$BR134=""),"",IF('Tally Helper'!$B$60&lt;&gt;TRUE(),"not on Staff",SUMIFS('Tally Helper'!$L$62:$GI$62,'Tally Helper'!$L$60:$GI$60,"&gt;="&amp;$BR134,'Tally Helper'!$L$60:$GI$60,"&lt;="&amp;$BS134)))</f>
        <v/>
      </c>
      <c r="AT134" s="17" t="str">
        <f aca="false">IF(OR(X134="",NOT(ISNUMBER(X134))),"",X134-N(B134))</f>
        <v/>
      </c>
      <c r="AU134" s="17" t="str">
        <f aca="false">IF(OR(Y134="",NOT(ISNUMBER(Y134))),"",Y134-N(C134))</f>
        <v/>
      </c>
      <c r="AV134" s="17" t="str">
        <f aca="false">IF(OR(Z134="",NOT(ISNUMBER(Z134))),"",Z134-N(D134))</f>
        <v/>
      </c>
      <c r="AW134" s="17" t="str">
        <f aca="false">IF(OR(AA134="",NOT(ISNUMBER(AA134))),"",AA134-N(E134))</f>
        <v/>
      </c>
      <c r="AX134" s="17" t="str">
        <f aca="false">IF(OR(AB134="",NOT(ISNUMBER(AB134))),"",AB134-N(F134))</f>
        <v/>
      </c>
      <c r="AY134" s="17" t="str">
        <f aca="false">IF(OR(AC134="",NOT(ISNUMBER(AC134))),"",AC134-N(G134))</f>
        <v/>
      </c>
      <c r="AZ134" s="17" t="str">
        <f aca="false">IF(OR(AD134="",NOT(ISNUMBER(AD134))),"",AD134-N(H134))</f>
        <v/>
      </c>
      <c r="BA134" s="17" t="str">
        <f aca="false">IF(OR(AE134="",NOT(ISNUMBER(AE134))),"",AE134-N(I134))</f>
        <v/>
      </c>
      <c r="BB134" s="17" t="str">
        <f aca="false">IF(OR(AF134="",NOT(ISNUMBER(AF134))),"",AF134-N(J134))</f>
        <v/>
      </c>
      <c r="BC134" s="17" t="str">
        <f aca="false">IF(OR(AG134="",NOT(ISNUMBER(AG134))),"",AG134-N(K134))</f>
        <v/>
      </c>
      <c r="BD134" s="17" t="str">
        <f aca="false">IF(OR(AH134="",NOT(ISNUMBER(AH134))),"",AH134-N(L134))</f>
        <v/>
      </c>
      <c r="BE134" s="17" t="str">
        <f aca="false">IF(OR(AI134="",NOT(ISNUMBER(AI134))),"",AI134-N(M134))</f>
        <v/>
      </c>
      <c r="BF134" s="17" t="str">
        <f aca="false">IF(OR(AJ134="",NOT(ISNUMBER(AJ134))),"",AJ134-N(N134))</f>
        <v/>
      </c>
      <c r="BG134" s="17" t="str">
        <f aca="false">IF(OR(AK134="",NOT(ISNUMBER(AK134))),"",AK134-N(O134))</f>
        <v/>
      </c>
      <c r="BH134" s="17" t="str">
        <f aca="false">IF(OR(AL134="",NOT(ISNUMBER(AL134))),"",AL134-N(P134))</f>
        <v/>
      </c>
      <c r="BI134" s="17" t="str">
        <f aca="false">IF(OR(AM134="",NOT(ISNUMBER(AM134))),"",AM134-N(Q134))</f>
        <v/>
      </c>
      <c r="BJ134" s="17" t="str">
        <f aca="false">IF(OR(AN134="",NOT(ISNUMBER(AN134))),"",AN134-N(R134))</f>
        <v/>
      </c>
      <c r="BK134" s="17" t="str">
        <f aca="false">IF(OR(AO134="",NOT(ISNUMBER(AO134))),"",AO134-N(S134))</f>
        <v/>
      </c>
      <c r="BL134" s="17" t="str">
        <f aca="false">IF(OR(AP134="",NOT(ISNUMBER(AP134))),"",AP134-N(T134))</f>
        <v/>
      </c>
      <c r="BM134" s="17" t="str">
        <f aca="false">IF(OR(AQ134="",NOT(ISNUMBER(AQ134))),"",AQ134-N(U134))</f>
        <v/>
      </c>
      <c r="BR134" s="20" t="str">
        <f aca="false">IF($A134="","",IF(ISNUMBER($A134),DATE(YEAR($A134),MONTH($A134),1),IFERROR(DATE(2000+VALUE(RIGHT(TRIM($A134),2)),MATCH(UPPER(LEFT(TRIM($A134),3)),{"JAN","FEB","MAR","APR","MAY","JUN","JUL","AUG","SEP","OCT","NOV","DEC"},0),1),"")))</f>
        <v/>
      </c>
      <c r="BS134" s="20" t="str">
        <f aca="false">IF(BR134="","",EOMONTH(BR134,0))</f>
        <v/>
      </c>
    </row>
    <row r="135" customFormat="false" ht="15" hidden="false" customHeight="false" outlineLevel="0" collapsed="false">
      <c r="B135" s="21"/>
      <c r="C135" s="21"/>
      <c r="D135" s="21"/>
      <c r="E135" s="21"/>
      <c r="F135" s="21"/>
      <c r="G135" s="21"/>
      <c r="H135" s="21"/>
      <c r="I135" s="21"/>
      <c r="J135" s="21"/>
      <c r="K135" s="21"/>
      <c r="L135" s="21"/>
      <c r="M135" s="21"/>
      <c r="N135" s="21"/>
      <c r="O135" s="21"/>
      <c r="P135" s="21"/>
      <c r="Q135" s="21"/>
      <c r="R135" s="21"/>
      <c r="S135" s="21"/>
      <c r="T135" s="21"/>
      <c r="U135" s="21"/>
      <c r="X135" s="17" t="str">
        <f aca="false">IF(OR(B$7="",$BR135=""),"",IF('Tally Helper'!$B$3&lt;&gt;TRUE(),"not on Staff",SUMIFS('Tally Helper'!$L$5:$GI$5,'Tally Helper'!$L$3:$GI$3,"&gt;="&amp;$BR135,'Tally Helper'!$L$3:$GI$3,"&lt;="&amp;$BS135)))</f>
        <v/>
      </c>
      <c r="Y135" s="17" t="str">
        <f aca="false">IF(OR(C$7="",$BR135=""),"",IF('Tally Helper'!$B$6&lt;&gt;TRUE(),"not on Staff",SUMIFS('Tally Helper'!$L$8:$GI$8,'Tally Helper'!$L$6:$GI$6,"&gt;="&amp;$BR135,'Tally Helper'!$L$6:$GI$6,"&lt;="&amp;$BS135)))</f>
        <v/>
      </c>
      <c r="Z135" s="17" t="str">
        <f aca="false">IF(OR(D$7="",$BR135=""),"",IF('Tally Helper'!$B$9&lt;&gt;TRUE(),"not on Staff",SUMIFS('Tally Helper'!$L$11:$GI$11,'Tally Helper'!$L$9:$GI$9,"&gt;="&amp;$BR135,'Tally Helper'!$L$9:$GI$9,"&lt;="&amp;$BS135)))</f>
        <v/>
      </c>
      <c r="AA135" s="17" t="str">
        <f aca="false">IF(OR(E$7="",$BR135=""),"",IF('Tally Helper'!$B$12&lt;&gt;TRUE(),"not on Staff",SUMIFS('Tally Helper'!$L$14:$GI$14,'Tally Helper'!$L$12:$GI$12,"&gt;="&amp;$BR135,'Tally Helper'!$L$12:$GI$12,"&lt;="&amp;$BS135)))</f>
        <v/>
      </c>
      <c r="AB135" s="17" t="str">
        <f aca="false">IF(OR(F$7="",$BR135=""),"",IF('Tally Helper'!$B$15&lt;&gt;TRUE(),"not on Staff",SUMIFS('Tally Helper'!$L$17:$GI$17,'Tally Helper'!$L$15:$GI$15,"&gt;="&amp;$BR135,'Tally Helper'!$L$15:$GI$15,"&lt;="&amp;$BS135)))</f>
        <v/>
      </c>
      <c r="AC135" s="17" t="str">
        <f aca="false">IF(OR(G$7="",$BR135=""),"",IF('Tally Helper'!$B$18&lt;&gt;TRUE(),"not on Staff",SUMIFS('Tally Helper'!$L$20:$GI$20,'Tally Helper'!$L$18:$GI$18,"&gt;="&amp;$BR135,'Tally Helper'!$L$18:$GI$18,"&lt;="&amp;$BS135)))</f>
        <v/>
      </c>
      <c r="AD135" s="17" t="str">
        <f aca="false">IF(OR(H$7="",$BR135=""),"",IF('Tally Helper'!$B$21&lt;&gt;TRUE(),"not on Staff",SUMIFS('Tally Helper'!$L$23:$GI$23,'Tally Helper'!$L$21:$GI$21,"&gt;="&amp;$BR135,'Tally Helper'!$L$21:$GI$21,"&lt;="&amp;$BS135)))</f>
        <v/>
      </c>
      <c r="AE135" s="17" t="str">
        <f aca="false">IF(OR(I$7="",$BR135=""),"",IF('Tally Helper'!$B$24&lt;&gt;TRUE(),"not on Staff",SUMIFS('Tally Helper'!$L$26:$GI$26,'Tally Helper'!$L$24:$GI$24,"&gt;="&amp;$BR135,'Tally Helper'!$L$24:$GI$24,"&lt;="&amp;$BS135)))</f>
        <v/>
      </c>
      <c r="AF135" s="17" t="str">
        <f aca="false">IF(OR(J$7="",$BR135=""),"",IF('Tally Helper'!$B$27&lt;&gt;TRUE(),"not on Staff",SUMIFS('Tally Helper'!$L$29:$GI$29,'Tally Helper'!$L$27:$GI$27,"&gt;="&amp;$BR135,'Tally Helper'!$L$27:$GI$27,"&lt;="&amp;$BS135)))</f>
        <v/>
      </c>
      <c r="AG135" s="17" t="str">
        <f aca="false">IF(OR(K$7="",$BR135=""),"",IF('Tally Helper'!$B$30&lt;&gt;TRUE(),"not on Staff",SUMIFS('Tally Helper'!$L$32:$GI$32,'Tally Helper'!$L$30:$GI$30,"&gt;="&amp;$BR135,'Tally Helper'!$L$30:$GI$30,"&lt;="&amp;$BS135)))</f>
        <v/>
      </c>
      <c r="AH135" s="17" t="str">
        <f aca="false">IF(OR(L$7="",$BR135=""),"",IF('Tally Helper'!$B$33&lt;&gt;TRUE(),"not on Staff",SUMIFS('Tally Helper'!$L$35:$GI$35,'Tally Helper'!$L$33:$GI$33,"&gt;="&amp;$BR135,'Tally Helper'!$L$33:$GI$33,"&lt;="&amp;$BS135)))</f>
        <v/>
      </c>
      <c r="AI135" s="17" t="str">
        <f aca="false">IF(OR(M$7="",$BR135=""),"",IF('Tally Helper'!$B$36&lt;&gt;TRUE(),"not on Staff",SUMIFS('Tally Helper'!$L$38:$GI$38,'Tally Helper'!$L$36:$GI$36,"&gt;="&amp;$BR135,'Tally Helper'!$L$36:$GI$36,"&lt;="&amp;$BS135)))</f>
        <v/>
      </c>
      <c r="AJ135" s="17" t="str">
        <f aca="false">IF(OR(N$7="",$BR135=""),"",IF('Tally Helper'!$B$39&lt;&gt;TRUE(),"not on Staff",SUMIFS('Tally Helper'!$L$41:$GI$41,'Tally Helper'!$L$39:$GI$39,"&gt;="&amp;$BR135,'Tally Helper'!$L$39:$GI$39,"&lt;="&amp;$BS135)))</f>
        <v/>
      </c>
      <c r="AK135" s="17" t="str">
        <f aca="false">IF(OR(O$7="",$BR135=""),"",IF('Tally Helper'!$B$42&lt;&gt;TRUE(),"not on Staff",SUMIFS('Tally Helper'!$L$44:$GI$44,'Tally Helper'!$L$42:$GI$42,"&gt;="&amp;$BR135,'Tally Helper'!$L$42:$GI$42,"&lt;="&amp;$BS135)))</f>
        <v/>
      </c>
      <c r="AL135" s="17" t="str">
        <f aca="false">IF(OR(P$7="",$BR135=""),"",IF('Tally Helper'!$B$45&lt;&gt;TRUE(),"not on Staff",SUMIFS('Tally Helper'!$L$47:$GI$47,'Tally Helper'!$L$45:$GI$45,"&gt;="&amp;$BR135,'Tally Helper'!$L$45:$GI$45,"&lt;="&amp;$BS135)))</f>
        <v/>
      </c>
      <c r="AM135" s="17" t="str">
        <f aca="false">IF(OR(Q$7="",$BR135=""),"",IF('Tally Helper'!$B$48&lt;&gt;TRUE(),"not on Staff",SUMIFS('Tally Helper'!$L$50:$GI$50,'Tally Helper'!$L$48:$GI$48,"&gt;="&amp;$BR135,'Tally Helper'!$L$48:$GI$48,"&lt;="&amp;$BS135)))</f>
        <v/>
      </c>
      <c r="AN135" s="17" t="str">
        <f aca="false">IF(OR(R$7="",$BR135=""),"",IF('Tally Helper'!$B$51&lt;&gt;TRUE(),"not on Staff",SUMIFS('Tally Helper'!$L$53:$GI$53,'Tally Helper'!$L$51:$GI$51,"&gt;="&amp;$BR135,'Tally Helper'!$L$51:$GI$51,"&lt;="&amp;$BS135)))</f>
        <v/>
      </c>
      <c r="AO135" s="17" t="str">
        <f aca="false">IF(OR(S$7="",$BR135=""),"",IF('Tally Helper'!$B$54&lt;&gt;TRUE(),"not on Staff",SUMIFS('Tally Helper'!$L$56:$GI$56,'Tally Helper'!$L$54:$GI$54,"&gt;="&amp;$BR135,'Tally Helper'!$L$54:$GI$54,"&lt;="&amp;$BS135)))</f>
        <v/>
      </c>
      <c r="AP135" s="17" t="str">
        <f aca="false">IF(OR(T$7="",$BR135=""),"",IF('Tally Helper'!$B$57&lt;&gt;TRUE(),"not on Staff",SUMIFS('Tally Helper'!$L$59:$GI$59,'Tally Helper'!$L$57:$GI$57,"&gt;="&amp;$BR135,'Tally Helper'!$L$57:$GI$57,"&lt;="&amp;$BS135)))</f>
        <v/>
      </c>
      <c r="AQ135" s="17" t="str">
        <f aca="false">IF(OR(U$7="",$BR135=""),"",IF('Tally Helper'!$B$60&lt;&gt;TRUE(),"not on Staff",SUMIFS('Tally Helper'!$L$62:$GI$62,'Tally Helper'!$L$60:$GI$60,"&gt;="&amp;$BR135,'Tally Helper'!$L$60:$GI$60,"&lt;="&amp;$BS135)))</f>
        <v/>
      </c>
      <c r="AT135" s="17" t="str">
        <f aca="false">IF(OR(X135="",NOT(ISNUMBER(X135))),"",X135-N(B135))</f>
        <v/>
      </c>
      <c r="AU135" s="17" t="str">
        <f aca="false">IF(OR(Y135="",NOT(ISNUMBER(Y135))),"",Y135-N(C135))</f>
        <v/>
      </c>
      <c r="AV135" s="17" t="str">
        <f aca="false">IF(OR(Z135="",NOT(ISNUMBER(Z135))),"",Z135-N(D135))</f>
        <v/>
      </c>
      <c r="AW135" s="17" t="str">
        <f aca="false">IF(OR(AA135="",NOT(ISNUMBER(AA135))),"",AA135-N(E135))</f>
        <v/>
      </c>
      <c r="AX135" s="17" t="str">
        <f aca="false">IF(OR(AB135="",NOT(ISNUMBER(AB135))),"",AB135-N(F135))</f>
        <v/>
      </c>
      <c r="AY135" s="17" t="str">
        <f aca="false">IF(OR(AC135="",NOT(ISNUMBER(AC135))),"",AC135-N(G135))</f>
        <v/>
      </c>
      <c r="AZ135" s="17" t="str">
        <f aca="false">IF(OR(AD135="",NOT(ISNUMBER(AD135))),"",AD135-N(H135))</f>
        <v/>
      </c>
      <c r="BA135" s="17" t="str">
        <f aca="false">IF(OR(AE135="",NOT(ISNUMBER(AE135))),"",AE135-N(I135))</f>
        <v/>
      </c>
      <c r="BB135" s="17" t="str">
        <f aca="false">IF(OR(AF135="",NOT(ISNUMBER(AF135))),"",AF135-N(J135))</f>
        <v/>
      </c>
      <c r="BC135" s="17" t="str">
        <f aca="false">IF(OR(AG135="",NOT(ISNUMBER(AG135))),"",AG135-N(K135))</f>
        <v/>
      </c>
      <c r="BD135" s="17" t="str">
        <f aca="false">IF(OR(AH135="",NOT(ISNUMBER(AH135))),"",AH135-N(L135))</f>
        <v/>
      </c>
      <c r="BE135" s="17" t="str">
        <f aca="false">IF(OR(AI135="",NOT(ISNUMBER(AI135))),"",AI135-N(M135))</f>
        <v/>
      </c>
      <c r="BF135" s="17" t="str">
        <f aca="false">IF(OR(AJ135="",NOT(ISNUMBER(AJ135))),"",AJ135-N(N135))</f>
        <v/>
      </c>
      <c r="BG135" s="17" t="str">
        <f aca="false">IF(OR(AK135="",NOT(ISNUMBER(AK135))),"",AK135-N(O135))</f>
        <v/>
      </c>
      <c r="BH135" s="17" t="str">
        <f aca="false">IF(OR(AL135="",NOT(ISNUMBER(AL135))),"",AL135-N(P135))</f>
        <v/>
      </c>
      <c r="BI135" s="17" t="str">
        <f aca="false">IF(OR(AM135="",NOT(ISNUMBER(AM135))),"",AM135-N(Q135))</f>
        <v/>
      </c>
      <c r="BJ135" s="17" t="str">
        <f aca="false">IF(OR(AN135="",NOT(ISNUMBER(AN135))),"",AN135-N(R135))</f>
        <v/>
      </c>
      <c r="BK135" s="17" t="str">
        <f aca="false">IF(OR(AO135="",NOT(ISNUMBER(AO135))),"",AO135-N(S135))</f>
        <v/>
      </c>
      <c r="BL135" s="17" t="str">
        <f aca="false">IF(OR(AP135="",NOT(ISNUMBER(AP135))),"",AP135-N(T135))</f>
        <v/>
      </c>
      <c r="BM135" s="17" t="str">
        <f aca="false">IF(OR(AQ135="",NOT(ISNUMBER(AQ135))),"",AQ135-N(U135))</f>
        <v/>
      </c>
      <c r="BR135" s="20" t="str">
        <f aca="false">IF($A135="","",IF(ISNUMBER($A135),DATE(YEAR($A135),MONTH($A135),1),IFERROR(DATE(2000+VALUE(RIGHT(TRIM($A135),2)),MATCH(UPPER(LEFT(TRIM($A135),3)),{"JAN","FEB","MAR","APR","MAY","JUN","JUL","AUG","SEP","OCT","NOV","DEC"},0),1),"")))</f>
        <v/>
      </c>
      <c r="BS135" s="20" t="str">
        <f aca="false">IF(BR135="","",EOMONTH(BR135,0))</f>
        <v/>
      </c>
    </row>
    <row r="136" customFormat="false" ht="15" hidden="false" customHeight="false" outlineLevel="0" collapsed="false">
      <c r="B136" s="21"/>
      <c r="C136" s="21"/>
      <c r="D136" s="21"/>
      <c r="E136" s="21"/>
      <c r="F136" s="21"/>
      <c r="G136" s="21"/>
      <c r="H136" s="21"/>
      <c r="I136" s="21"/>
      <c r="J136" s="21"/>
      <c r="K136" s="21"/>
      <c r="L136" s="21"/>
      <c r="M136" s="21"/>
      <c r="N136" s="21"/>
      <c r="O136" s="21"/>
      <c r="P136" s="21"/>
      <c r="Q136" s="21"/>
      <c r="R136" s="21"/>
      <c r="S136" s="21"/>
      <c r="T136" s="21"/>
      <c r="U136" s="21"/>
      <c r="X136" s="17" t="str">
        <f aca="false">IF(OR(B$7="",$BR136=""),"",IF('Tally Helper'!$B$3&lt;&gt;TRUE(),"not on Staff",SUMIFS('Tally Helper'!$L$5:$GI$5,'Tally Helper'!$L$3:$GI$3,"&gt;="&amp;$BR136,'Tally Helper'!$L$3:$GI$3,"&lt;="&amp;$BS136)))</f>
        <v/>
      </c>
      <c r="Y136" s="17" t="str">
        <f aca="false">IF(OR(C$7="",$BR136=""),"",IF('Tally Helper'!$B$6&lt;&gt;TRUE(),"not on Staff",SUMIFS('Tally Helper'!$L$8:$GI$8,'Tally Helper'!$L$6:$GI$6,"&gt;="&amp;$BR136,'Tally Helper'!$L$6:$GI$6,"&lt;="&amp;$BS136)))</f>
        <v/>
      </c>
      <c r="Z136" s="17" t="str">
        <f aca="false">IF(OR(D$7="",$BR136=""),"",IF('Tally Helper'!$B$9&lt;&gt;TRUE(),"not on Staff",SUMIFS('Tally Helper'!$L$11:$GI$11,'Tally Helper'!$L$9:$GI$9,"&gt;="&amp;$BR136,'Tally Helper'!$L$9:$GI$9,"&lt;="&amp;$BS136)))</f>
        <v/>
      </c>
      <c r="AA136" s="17" t="str">
        <f aca="false">IF(OR(E$7="",$BR136=""),"",IF('Tally Helper'!$B$12&lt;&gt;TRUE(),"not on Staff",SUMIFS('Tally Helper'!$L$14:$GI$14,'Tally Helper'!$L$12:$GI$12,"&gt;="&amp;$BR136,'Tally Helper'!$L$12:$GI$12,"&lt;="&amp;$BS136)))</f>
        <v/>
      </c>
      <c r="AB136" s="17" t="str">
        <f aca="false">IF(OR(F$7="",$BR136=""),"",IF('Tally Helper'!$B$15&lt;&gt;TRUE(),"not on Staff",SUMIFS('Tally Helper'!$L$17:$GI$17,'Tally Helper'!$L$15:$GI$15,"&gt;="&amp;$BR136,'Tally Helper'!$L$15:$GI$15,"&lt;="&amp;$BS136)))</f>
        <v/>
      </c>
      <c r="AC136" s="17" t="str">
        <f aca="false">IF(OR(G$7="",$BR136=""),"",IF('Tally Helper'!$B$18&lt;&gt;TRUE(),"not on Staff",SUMIFS('Tally Helper'!$L$20:$GI$20,'Tally Helper'!$L$18:$GI$18,"&gt;="&amp;$BR136,'Tally Helper'!$L$18:$GI$18,"&lt;="&amp;$BS136)))</f>
        <v/>
      </c>
      <c r="AD136" s="17" t="str">
        <f aca="false">IF(OR(H$7="",$BR136=""),"",IF('Tally Helper'!$B$21&lt;&gt;TRUE(),"not on Staff",SUMIFS('Tally Helper'!$L$23:$GI$23,'Tally Helper'!$L$21:$GI$21,"&gt;="&amp;$BR136,'Tally Helper'!$L$21:$GI$21,"&lt;="&amp;$BS136)))</f>
        <v/>
      </c>
      <c r="AE136" s="17" t="str">
        <f aca="false">IF(OR(I$7="",$BR136=""),"",IF('Tally Helper'!$B$24&lt;&gt;TRUE(),"not on Staff",SUMIFS('Tally Helper'!$L$26:$GI$26,'Tally Helper'!$L$24:$GI$24,"&gt;="&amp;$BR136,'Tally Helper'!$L$24:$GI$24,"&lt;="&amp;$BS136)))</f>
        <v/>
      </c>
      <c r="AF136" s="17" t="str">
        <f aca="false">IF(OR(J$7="",$BR136=""),"",IF('Tally Helper'!$B$27&lt;&gt;TRUE(),"not on Staff",SUMIFS('Tally Helper'!$L$29:$GI$29,'Tally Helper'!$L$27:$GI$27,"&gt;="&amp;$BR136,'Tally Helper'!$L$27:$GI$27,"&lt;="&amp;$BS136)))</f>
        <v/>
      </c>
      <c r="AG136" s="17" t="str">
        <f aca="false">IF(OR(K$7="",$BR136=""),"",IF('Tally Helper'!$B$30&lt;&gt;TRUE(),"not on Staff",SUMIFS('Tally Helper'!$L$32:$GI$32,'Tally Helper'!$L$30:$GI$30,"&gt;="&amp;$BR136,'Tally Helper'!$L$30:$GI$30,"&lt;="&amp;$BS136)))</f>
        <v/>
      </c>
      <c r="AH136" s="17" t="str">
        <f aca="false">IF(OR(L$7="",$BR136=""),"",IF('Tally Helper'!$B$33&lt;&gt;TRUE(),"not on Staff",SUMIFS('Tally Helper'!$L$35:$GI$35,'Tally Helper'!$L$33:$GI$33,"&gt;="&amp;$BR136,'Tally Helper'!$L$33:$GI$33,"&lt;="&amp;$BS136)))</f>
        <v/>
      </c>
      <c r="AI136" s="17" t="str">
        <f aca="false">IF(OR(M$7="",$BR136=""),"",IF('Tally Helper'!$B$36&lt;&gt;TRUE(),"not on Staff",SUMIFS('Tally Helper'!$L$38:$GI$38,'Tally Helper'!$L$36:$GI$36,"&gt;="&amp;$BR136,'Tally Helper'!$L$36:$GI$36,"&lt;="&amp;$BS136)))</f>
        <v/>
      </c>
      <c r="AJ136" s="17" t="str">
        <f aca="false">IF(OR(N$7="",$BR136=""),"",IF('Tally Helper'!$B$39&lt;&gt;TRUE(),"not on Staff",SUMIFS('Tally Helper'!$L$41:$GI$41,'Tally Helper'!$L$39:$GI$39,"&gt;="&amp;$BR136,'Tally Helper'!$L$39:$GI$39,"&lt;="&amp;$BS136)))</f>
        <v/>
      </c>
      <c r="AK136" s="17" t="str">
        <f aca="false">IF(OR(O$7="",$BR136=""),"",IF('Tally Helper'!$B$42&lt;&gt;TRUE(),"not on Staff",SUMIFS('Tally Helper'!$L$44:$GI$44,'Tally Helper'!$L$42:$GI$42,"&gt;="&amp;$BR136,'Tally Helper'!$L$42:$GI$42,"&lt;="&amp;$BS136)))</f>
        <v/>
      </c>
      <c r="AL136" s="17" t="str">
        <f aca="false">IF(OR(P$7="",$BR136=""),"",IF('Tally Helper'!$B$45&lt;&gt;TRUE(),"not on Staff",SUMIFS('Tally Helper'!$L$47:$GI$47,'Tally Helper'!$L$45:$GI$45,"&gt;="&amp;$BR136,'Tally Helper'!$L$45:$GI$45,"&lt;="&amp;$BS136)))</f>
        <v/>
      </c>
      <c r="AM136" s="17" t="str">
        <f aca="false">IF(OR(Q$7="",$BR136=""),"",IF('Tally Helper'!$B$48&lt;&gt;TRUE(),"not on Staff",SUMIFS('Tally Helper'!$L$50:$GI$50,'Tally Helper'!$L$48:$GI$48,"&gt;="&amp;$BR136,'Tally Helper'!$L$48:$GI$48,"&lt;="&amp;$BS136)))</f>
        <v/>
      </c>
      <c r="AN136" s="17" t="str">
        <f aca="false">IF(OR(R$7="",$BR136=""),"",IF('Tally Helper'!$B$51&lt;&gt;TRUE(),"not on Staff",SUMIFS('Tally Helper'!$L$53:$GI$53,'Tally Helper'!$L$51:$GI$51,"&gt;="&amp;$BR136,'Tally Helper'!$L$51:$GI$51,"&lt;="&amp;$BS136)))</f>
        <v/>
      </c>
      <c r="AO136" s="17" t="str">
        <f aca="false">IF(OR(S$7="",$BR136=""),"",IF('Tally Helper'!$B$54&lt;&gt;TRUE(),"not on Staff",SUMIFS('Tally Helper'!$L$56:$GI$56,'Tally Helper'!$L$54:$GI$54,"&gt;="&amp;$BR136,'Tally Helper'!$L$54:$GI$54,"&lt;="&amp;$BS136)))</f>
        <v/>
      </c>
      <c r="AP136" s="17" t="str">
        <f aca="false">IF(OR(T$7="",$BR136=""),"",IF('Tally Helper'!$B$57&lt;&gt;TRUE(),"not on Staff",SUMIFS('Tally Helper'!$L$59:$GI$59,'Tally Helper'!$L$57:$GI$57,"&gt;="&amp;$BR136,'Tally Helper'!$L$57:$GI$57,"&lt;="&amp;$BS136)))</f>
        <v/>
      </c>
      <c r="AQ136" s="17" t="str">
        <f aca="false">IF(OR(U$7="",$BR136=""),"",IF('Tally Helper'!$B$60&lt;&gt;TRUE(),"not on Staff",SUMIFS('Tally Helper'!$L$62:$GI$62,'Tally Helper'!$L$60:$GI$60,"&gt;="&amp;$BR136,'Tally Helper'!$L$60:$GI$60,"&lt;="&amp;$BS136)))</f>
        <v/>
      </c>
      <c r="AT136" s="17" t="str">
        <f aca="false">IF(OR(X136="",NOT(ISNUMBER(X136))),"",X136-N(B136))</f>
        <v/>
      </c>
      <c r="AU136" s="17" t="str">
        <f aca="false">IF(OR(Y136="",NOT(ISNUMBER(Y136))),"",Y136-N(C136))</f>
        <v/>
      </c>
      <c r="AV136" s="17" t="str">
        <f aca="false">IF(OR(Z136="",NOT(ISNUMBER(Z136))),"",Z136-N(D136))</f>
        <v/>
      </c>
      <c r="AW136" s="17" t="str">
        <f aca="false">IF(OR(AA136="",NOT(ISNUMBER(AA136))),"",AA136-N(E136))</f>
        <v/>
      </c>
      <c r="AX136" s="17" t="str">
        <f aca="false">IF(OR(AB136="",NOT(ISNUMBER(AB136))),"",AB136-N(F136))</f>
        <v/>
      </c>
      <c r="AY136" s="17" t="str">
        <f aca="false">IF(OR(AC136="",NOT(ISNUMBER(AC136))),"",AC136-N(G136))</f>
        <v/>
      </c>
      <c r="AZ136" s="17" t="str">
        <f aca="false">IF(OR(AD136="",NOT(ISNUMBER(AD136))),"",AD136-N(H136))</f>
        <v/>
      </c>
      <c r="BA136" s="17" t="str">
        <f aca="false">IF(OR(AE136="",NOT(ISNUMBER(AE136))),"",AE136-N(I136))</f>
        <v/>
      </c>
      <c r="BB136" s="17" t="str">
        <f aca="false">IF(OR(AF136="",NOT(ISNUMBER(AF136))),"",AF136-N(J136))</f>
        <v/>
      </c>
      <c r="BC136" s="17" t="str">
        <f aca="false">IF(OR(AG136="",NOT(ISNUMBER(AG136))),"",AG136-N(K136))</f>
        <v/>
      </c>
      <c r="BD136" s="17" t="str">
        <f aca="false">IF(OR(AH136="",NOT(ISNUMBER(AH136))),"",AH136-N(L136))</f>
        <v/>
      </c>
      <c r="BE136" s="17" t="str">
        <f aca="false">IF(OR(AI136="",NOT(ISNUMBER(AI136))),"",AI136-N(M136))</f>
        <v/>
      </c>
      <c r="BF136" s="17" t="str">
        <f aca="false">IF(OR(AJ136="",NOT(ISNUMBER(AJ136))),"",AJ136-N(N136))</f>
        <v/>
      </c>
      <c r="BG136" s="17" t="str">
        <f aca="false">IF(OR(AK136="",NOT(ISNUMBER(AK136))),"",AK136-N(O136))</f>
        <v/>
      </c>
      <c r="BH136" s="17" t="str">
        <f aca="false">IF(OR(AL136="",NOT(ISNUMBER(AL136))),"",AL136-N(P136))</f>
        <v/>
      </c>
      <c r="BI136" s="17" t="str">
        <f aca="false">IF(OR(AM136="",NOT(ISNUMBER(AM136))),"",AM136-N(Q136))</f>
        <v/>
      </c>
      <c r="BJ136" s="17" t="str">
        <f aca="false">IF(OR(AN136="",NOT(ISNUMBER(AN136))),"",AN136-N(R136))</f>
        <v/>
      </c>
      <c r="BK136" s="17" t="str">
        <f aca="false">IF(OR(AO136="",NOT(ISNUMBER(AO136))),"",AO136-N(S136))</f>
        <v/>
      </c>
      <c r="BL136" s="17" t="str">
        <f aca="false">IF(OR(AP136="",NOT(ISNUMBER(AP136))),"",AP136-N(T136))</f>
        <v/>
      </c>
      <c r="BM136" s="17" t="str">
        <f aca="false">IF(OR(AQ136="",NOT(ISNUMBER(AQ136))),"",AQ136-N(U136))</f>
        <v/>
      </c>
      <c r="BR136" s="20" t="str">
        <f aca="false">IF($A136="","",IF(ISNUMBER($A136),DATE(YEAR($A136),MONTH($A136),1),IFERROR(DATE(2000+VALUE(RIGHT(TRIM($A136),2)),MATCH(UPPER(LEFT(TRIM($A136),3)),{"JAN","FEB","MAR","APR","MAY","JUN","JUL","AUG","SEP","OCT","NOV","DEC"},0),1),"")))</f>
        <v/>
      </c>
      <c r="BS136" s="20" t="str">
        <f aca="false">IF(BR136="","",EOMONTH(BR136,0))</f>
        <v/>
      </c>
    </row>
    <row r="137" customFormat="false" ht="15" hidden="false" customHeight="false" outlineLevel="0" collapsed="false">
      <c r="B137" s="21"/>
      <c r="C137" s="21"/>
      <c r="D137" s="21"/>
      <c r="E137" s="21"/>
      <c r="F137" s="21"/>
      <c r="G137" s="21"/>
      <c r="H137" s="21"/>
      <c r="I137" s="21"/>
      <c r="J137" s="21"/>
      <c r="K137" s="21"/>
      <c r="L137" s="21"/>
      <c r="M137" s="21"/>
      <c r="N137" s="21"/>
      <c r="O137" s="21"/>
      <c r="P137" s="21"/>
      <c r="Q137" s="21"/>
      <c r="R137" s="21"/>
      <c r="S137" s="21"/>
      <c r="T137" s="21"/>
      <c r="U137" s="21"/>
      <c r="X137" s="17" t="str">
        <f aca="false">IF(OR(B$7="",$BR137=""),"",IF('Tally Helper'!$B$3&lt;&gt;TRUE(),"not on Staff",SUMIFS('Tally Helper'!$L$5:$GI$5,'Tally Helper'!$L$3:$GI$3,"&gt;="&amp;$BR137,'Tally Helper'!$L$3:$GI$3,"&lt;="&amp;$BS137)))</f>
        <v/>
      </c>
      <c r="Y137" s="17" t="str">
        <f aca="false">IF(OR(C$7="",$BR137=""),"",IF('Tally Helper'!$B$6&lt;&gt;TRUE(),"not on Staff",SUMIFS('Tally Helper'!$L$8:$GI$8,'Tally Helper'!$L$6:$GI$6,"&gt;="&amp;$BR137,'Tally Helper'!$L$6:$GI$6,"&lt;="&amp;$BS137)))</f>
        <v/>
      </c>
      <c r="Z137" s="17" t="str">
        <f aca="false">IF(OR(D$7="",$BR137=""),"",IF('Tally Helper'!$B$9&lt;&gt;TRUE(),"not on Staff",SUMIFS('Tally Helper'!$L$11:$GI$11,'Tally Helper'!$L$9:$GI$9,"&gt;="&amp;$BR137,'Tally Helper'!$L$9:$GI$9,"&lt;="&amp;$BS137)))</f>
        <v/>
      </c>
      <c r="AA137" s="17" t="str">
        <f aca="false">IF(OR(E$7="",$BR137=""),"",IF('Tally Helper'!$B$12&lt;&gt;TRUE(),"not on Staff",SUMIFS('Tally Helper'!$L$14:$GI$14,'Tally Helper'!$L$12:$GI$12,"&gt;="&amp;$BR137,'Tally Helper'!$L$12:$GI$12,"&lt;="&amp;$BS137)))</f>
        <v/>
      </c>
      <c r="AB137" s="17" t="str">
        <f aca="false">IF(OR(F$7="",$BR137=""),"",IF('Tally Helper'!$B$15&lt;&gt;TRUE(),"not on Staff",SUMIFS('Tally Helper'!$L$17:$GI$17,'Tally Helper'!$L$15:$GI$15,"&gt;="&amp;$BR137,'Tally Helper'!$L$15:$GI$15,"&lt;="&amp;$BS137)))</f>
        <v/>
      </c>
      <c r="AC137" s="17" t="str">
        <f aca="false">IF(OR(G$7="",$BR137=""),"",IF('Tally Helper'!$B$18&lt;&gt;TRUE(),"not on Staff",SUMIFS('Tally Helper'!$L$20:$GI$20,'Tally Helper'!$L$18:$GI$18,"&gt;="&amp;$BR137,'Tally Helper'!$L$18:$GI$18,"&lt;="&amp;$BS137)))</f>
        <v/>
      </c>
      <c r="AD137" s="17" t="str">
        <f aca="false">IF(OR(H$7="",$BR137=""),"",IF('Tally Helper'!$B$21&lt;&gt;TRUE(),"not on Staff",SUMIFS('Tally Helper'!$L$23:$GI$23,'Tally Helper'!$L$21:$GI$21,"&gt;="&amp;$BR137,'Tally Helper'!$L$21:$GI$21,"&lt;="&amp;$BS137)))</f>
        <v/>
      </c>
      <c r="AE137" s="17" t="str">
        <f aca="false">IF(OR(I$7="",$BR137=""),"",IF('Tally Helper'!$B$24&lt;&gt;TRUE(),"not on Staff",SUMIFS('Tally Helper'!$L$26:$GI$26,'Tally Helper'!$L$24:$GI$24,"&gt;="&amp;$BR137,'Tally Helper'!$L$24:$GI$24,"&lt;="&amp;$BS137)))</f>
        <v/>
      </c>
      <c r="AF137" s="17" t="str">
        <f aca="false">IF(OR(J$7="",$BR137=""),"",IF('Tally Helper'!$B$27&lt;&gt;TRUE(),"not on Staff",SUMIFS('Tally Helper'!$L$29:$GI$29,'Tally Helper'!$L$27:$GI$27,"&gt;="&amp;$BR137,'Tally Helper'!$L$27:$GI$27,"&lt;="&amp;$BS137)))</f>
        <v/>
      </c>
      <c r="AG137" s="17" t="str">
        <f aca="false">IF(OR(K$7="",$BR137=""),"",IF('Tally Helper'!$B$30&lt;&gt;TRUE(),"not on Staff",SUMIFS('Tally Helper'!$L$32:$GI$32,'Tally Helper'!$L$30:$GI$30,"&gt;="&amp;$BR137,'Tally Helper'!$L$30:$GI$30,"&lt;="&amp;$BS137)))</f>
        <v/>
      </c>
      <c r="AH137" s="17" t="str">
        <f aca="false">IF(OR(L$7="",$BR137=""),"",IF('Tally Helper'!$B$33&lt;&gt;TRUE(),"not on Staff",SUMIFS('Tally Helper'!$L$35:$GI$35,'Tally Helper'!$L$33:$GI$33,"&gt;="&amp;$BR137,'Tally Helper'!$L$33:$GI$33,"&lt;="&amp;$BS137)))</f>
        <v/>
      </c>
      <c r="AI137" s="17" t="str">
        <f aca="false">IF(OR(M$7="",$BR137=""),"",IF('Tally Helper'!$B$36&lt;&gt;TRUE(),"not on Staff",SUMIFS('Tally Helper'!$L$38:$GI$38,'Tally Helper'!$L$36:$GI$36,"&gt;="&amp;$BR137,'Tally Helper'!$L$36:$GI$36,"&lt;="&amp;$BS137)))</f>
        <v/>
      </c>
      <c r="AJ137" s="17" t="str">
        <f aca="false">IF(OR(N$7="",$BR137=""),"",IF('Tally Helper'!$B$39&lt;&gt;TRUE(),"not on Staff",SUMIFS('Tally Helper'!$L$41:$GI$41,'Tally Helper'!$L$39:$GI$39,"&gt;="&amp;$BR137,'Tally Helper'!$L$39:$GI$39,"&lt;="&amp;$BS137)))</f>
        <v/>
      </c>
      <c r="AK137" s="17" t="str">
        <f aca="false">IF(OR(O$7="",$BR137=""),"",IF('Tally Helper'!$B$42&lt;&gt;TRUE(),"not on Staff",SUMIFS('Tally Helper'!$L$44:$GI$44,'Tally Helper'!$L$42:$GI$42,"&gt;="&amp;$BR137,'Tally Helper'!$L$42:$GI$42,"&lt;="&amp;$BS137)))</f>
        <v/>
      </c>
      <c r="AL137" s="17" t="str">
        <f aca="false">IF(OR(P$7="",$BR137=""),"",IF('Tally Helper'!$B$45&lt;&gt;TRUE(),"not on Staff",SUMIFS('Tally Helper'!$L$47:$GI$47,'Tally Helper'!$L$45:$GI$45,"&gt;="&amp;$BR137,'Tally Helper'!$L$45:$GI$45,"&lt;="&amp;$BS137)))</f>
        <v/>
      </c>
      <c r="AM137" s="17" t="str">
        <f aca="false">IF(OR(Q$7="",$BR137=""),"",IF('Tally Helper'!$B$48&lt;&gt;TRUE(),"not on Staff",SUMIFS('Tally Helper'!$L$50:$GI$50,'Tally Helper'!$L$48:$GI$48,"&gt;="&amp;$BR137,'Tally Helper'!$L$48:$GI$48,"&lt;="&amp;$BS137)))</f>
        <v/>
      </c>
      <c r="AN137" s="17" t="str">
        <f aca="false">IF(OR(R$7="",$BR137=""),"",IF('Tally Helper'!$B$51&lt;&gt;TRUE(),"not on Staff",SUMIFS('Tally Helper'!$L$53:$GI$53,'Tally Helper'!$L$51:$GI$51,"&gt;="&amp;$BR137,'Tally Helper'!$L$51:$GI$51,"&lt;="&amp;$BS137)))</f>
        <v/>
      </c>
      <c r="AO137" s="17" t="str">
        <f aca="false">IF(OR(S$7="",$BR137=""),"",IF('Tally Helper'!$B$54&lt;&gt;TRUE(),"not on Staff",SUMIFS('Tally Helper'!$L$56:$GI$56,'Tally Helper'!$L$54:$GI$54,"&gt;="&amp;$BR137,'Tally Helper'!$L$54:$GI$54,"&lt;="&amp;$BS137)))</f>
        <v/>
      </c>
      <c r="AP137" s="17" t="str">
        <f aca="false">IF(OR(T$7="",$BR137=""),"",IF('Tally Helper'!$B$57&lt;&gt;TRUE(),"not on Staff",SUMIFS('Tally Helper'!$L$59:$GI$59,'Tally Helper'!$L$57:$GI$57,"&gt;="&amp;$BR137,'Tally Helper'!$L$57:$GI$57,"&lt;="&amp;$BS137)))</f>
        <v/>
      </c>
      <c r="AQ137" s="17" t="str">
        <f aca="false">IF(OR(U$7="",$BR137=""),"",IF('Tally Helper'!$B$60&lt;&gt;TRUE(),"not on Staff",SUMIFS('Tally Helper'!$L$62:$GI$62,'Tally Helper'!$L$60:$GI$60,"&gt;="&amp;$BR137,'Tally Helper'!$L$60:$GI$60,"&lt;="&amp;$BS137)))</f>
        <v/>
      </c>
      <c r="AT137" s="17" t="str">
        <f aca="false">IF(OR(X137="",NOT(ISNUMBER(X137))),"",X137-N(B137))</f>
        <v/>
      </c>
      <c r="AU137" s="17" t="str">
        <f aca="false">IF(OR(Y137="",NOT(ISNUMBER(Y137))),"",Y137-N(C137))</f>
        <v/>
      </c>
      <c r="AV137" s="17" t="str">
        <f aca="false">IF(OR(Z137="",NOT(ISNUMBER(Z137))),"",Z137-N(D137))</f>
        <v/>
      </c>
      <c r="AW137" s="17" t="str">
        <f aca="false">IF(OR(AA137="",NOT(ISNUMBER(AA137))),"",AA137-N(E137))</f>
        <v/>
      </c>
      <c r="AX137" s="17" t="str">
        <f aca="false">IF(OR(AB137="",NOT(ISNUMBER(AB137))),"",AB137-N(F137))</f>
        <v/>
      </c>
      <c r="AY137" s="17" t="str">
        <f aca="false">IF(OR(AC137="",NOT(ISNUMBER(AC137))),"",AC137-N(G137))</f>
        <v/>
      </c>
      <c r="AZ137" s="17" t="str">
        <f aca="false">IF(OR(AD137="",NOT(ISNUMBER(AD137))),"",AD137-N(H137))</f>
        <v/>
      </c>
      <c r="BA137" s="17" t="str">
        <f aca="false">IF(OR(AE137="",NOT(ISNUMBER(AE137))),"",AE137-N(I137))</f>
        <v/>
      </c>
      <c r="BB137" s="17" t="str">
        <f aca="false">IF(OR(AF137="",NOT(ISNUMBER(AF137))),"",AF137-N(J137))</f>
        <v/>
      </c>
      <c r="BC137" s="17" t="str">
        <f aca="false">IF(OR(AG137="",NOT(ISNUMBER(AG137))),"",AG137-N(K137))</f>
        <v/>
      </c>
      <c r="BD137" s="17" t="str">
        <f aca="false">IF(OR(AH137="",NOT(ISNUMBER(AH137))),"",AH137-N(L137))</f>
        <v/>
      </c>
      <c r="BE137" s="17" t="str">
        <f aca="false">IF(OR(AI137="",NOT(ISNUMBER(AI137))),"",AI137-N(M137))</f>
        <v/>
      </c>
      <c r="BF137" s="17" t="str">
        <f aca="false">IF(OR(AJ137="",NOT(ISNUMBER(AJ137))),"",AJ137-N(N137))</f>
        <v/>
      </c>
      <c r="BG137" s="17" t="str">
        <f aca="false">IF(OR(AK137="",NOT(ISNUMBER(AK137))),"",AK137-N(O137))</f>
        <v/>
      </c>
      <c r="BH137" s="17" t="str">
        <f aca="false">IF(OR(AL137="",NOT(ISNUMBER(AL137))),"",AL137-N(P137))</f>
        <v/>
      </c>
      <c r="BI137" s="17" t="str">
        <f aca="false">IF(OR(AM137="",NOT(ISNUMBER(AM137))),"",AM137-N(Q137))</f>
        <v/>
      </c>
      <c r="BJ137" s="17" t="str">
        <f aca="false">IF(OR(AN137="",NOT(ISNUMBER(AN137))),"",AN137-N(R137))</f>
        <v/>
      </c>
      <c r="BK137" s="17" t="str">
        <f aca="false">IF(OR(AO137="",NOT(ISNUMBER(AO137))),"",AO137-N(S137))</f>
        <v/>
      </c>
      <c r="BL137" s="17" t="str">
        <f aca="false">IF(OR(AP137="",NOT(ISNUMBER(AP137))),"",AP137-N(T137))</f>
        <v/>
      </c>
      <c r="BM137" s="17" t="str">
        <f aca="false">IF(OR(AQ137="",NOT(ISNUMBER(AQ137))),"",AQ137-N(U137))</f>
        <v/>
      </c>
      <c r="BR137" s="20" t="str">
        <f aca="false">IF($A137="","",IF(ISNUMBER($A137),DATE(YEAR($A137),MONTH($A137),1),IFERROR(DATE(2000+VALUE(RIGHT(TRIM($A137),2)),MATCH(UPPER(LEFT(TRIM($A137),3)),{"JAN","FEB","MAR","APR","MAY","JUN","JUL","AUG","SEP","OCT","NOV","DEC"},0),1),"")))</f>
        <v/>
      </c>
      <c r="BS137" s="20" t="str">
        <f aca="false">IF(BR137="","",EOMONTH(BR137,0))</f>
        <v/>
      </c>
    </row>
    <row r="138" customFormat="false" ht="15" hidden="false" customHeight="false" outlineLevel="0" collapsed="false">
      <c r="B138" s="21"/>
      <c r="C138" s="21"/>
      <c r="D138" s="21"/>
      <c r="E138" s="21"/>
      <c r="F138" s="21"/>
      <c r="G138" s="21"/>
      <c r="H138" s="21"/>
      <c r="I138" s="21"/>
      <c r="J138" s="21"/>
      <c r="K138" s="21"/>
      <c r="L138" s="21"/>
      <c r="M138" s="21"/>
      <c r="N138" s="21"/>
      <c r="O138" s="21"/>
      <c r="P138" s="21"/>
      <c r="Q138" s="21"/>
      <c r="R138" s="21"/>
      <c r="S138" s="21"/>
      <c r="T138" s="21"/>
      <c r="U138" s="21"/>
      <c r="X138" s="17" t="str">
        <f aca="false">IF(OR(B$7="",$BR138=""),"",IF('Tally Helper'!$B$3&lt;&gt;TRUE(),"not on Staff",SUMIFS('Tally Helper'!$L$5:$GI$5,'Tally Helper'!$L$3:$GI$3,"&gt;="&amp;$BR138,'Tally Helper'!$L$3:$GI$3,"&lt;="&amp;$BS138)))</f>
        <v/>
      </c>
      <c r="Y138" s="17" t="str">
        <f aca="false">IF(OR(C$7="",$BR138=""),"",IF('Tally Helper'!$B$6&lt;&gt;TRUE(),"not on Staff",SUMIFS('Tally Helper'!$L$8:$GI$8,'Tally Helper'!$L$6:$GI$6,"&gt;="&amp;$BR138,'Tally Helper'!$L$6:$GI$6,"&lt;="&amp;$BS138)))</f>
        <v/>
      </c>
      <c r="Z138" s="17" t="str">
        <f aca="false">IF(OR(D$7="",$BR138=""),"",IF('Tally Helper'!$B$9&lt;&gt;TRUE(),"not on Staff",SUMIFS('Tally Helper'!$L$11:$GI$11,'Tally Helper'!$L$9:$GI$9,"&gt;="&amp;$BR138,'Tally Helper'!$L$9:$GI$9,"&lt;="&amp;$BS138)))</f>
        <v/>
      </c>
      <c r="AA138" s="17" t="str">
        <f aca="false">IF(OR(E$7="",$BR138=""),"",IF('Tally Helper'!$B$12&lt;&gt;TRUE(),"not on Staff",SUMIFS('Tally Helper'!$L$14:$GI$14,'Tally Helper'!$L$12:$GI$12,"&gt;="&amp;$BR138,'Tally Helper'!$L$12:$GI$12,"&lt;="&amp;$BS138)))</f>
        <v/>
      </c>
      <c r="AB138" s="17" t="str">
        <f aca="false">IF(OR(F$7="",$BR138=""),"",IF('Tally Helper'!$B$15&lt;&gt;TRUE(),"not on Staff",SUMIFS('Tally Helper'!$L$17:$GI$17,'Tally Helper'!$L$15:$GI$15,"&gt;="&amp;$BR138,'Tally Helper'!$L$15:$GI$15,"&lt;="&amp;$BS138)))</f>
        <v/>
      </c>
      <c r="AC138" s="17" t="str">
        <f aca="false">IF(OR(G$7="",$BR138=""),"",IF('Tally Helper'!$B$18&lt;&gt;TRUE(),"not on Staff",SUMIFS('Tally Helper'!$L$20:$GI$20,'Tally Helper'!$L$18:$GI$18,"&gt;="&amp;$BR138,'Tally Helper'!$L$18:$GI$18,"&lt;="&amp;$BS138)))</f>
        <v/>
      </c>
      <c r="AD138" s="17" t="str">
        <f aca="false">IF(OR(H$7="",$BR138=""),"",IF('Tally Helper'!$B$21&lt;&gt;TRUE(),"not on Staff",SUMIFS('Tally Helper'!$L$23:$GI$23,'Tally Helper'!$L$21:$GI$21,"&gt;="&amp;$BR138,'Tally Helper'!$L$21:$GI$21,"&lt;="&amp;$BS138)))</f>
        <v/>
      </c>
      <c r="AE138" s="17" t="str">
        <f aca="false">IF(OR(I$7="",$BR138=""),"",IF('Tally Helper'!$B$24&lt;&gt;TRUE(),"not on Staff",SUMIFS('Tally Helper'!$L$26:$GI$26,'Tally Helper'!$L$24:$GI$24,"&gt;="&amp;$BR138,'Tally Helper'!$L$24:$GI$24,"&lt;="&amp;$BS138)))</f>
        <v/>
      </c>
      <c r="AF138" s="17" t="str">
        <f aca="false">IF(OR(J$7="",$BR138=""),"",IF('Tally Helper'!$B$27&lt;&gt;TRUE(),"not on Staff",SUMIFS('Tally Helper'!$L$29:$GI$29,'Tally Helper'!$L$27:$GI$27,"&gt;="&amp;$BR138,'Tally Helper'!$L$27:$GI$27,"&lt;="&amp;$BS138)))</f>
        <v/>
      </c>
      <c r="AG138" s="17" t="str">
        <f aca="false">IF(OR(K$7="",$BR138=""),"",IF('Tally Helper'!$B$30&lt;&gt;TRUE(),"not on Staff",SUMIFS('Tally Helper'!$L$32:$GI$32,'Tally Helper'!$L$30:$GI$30,"&gt;="&amp;$BR138,'Tally Helper'!$L$30:$GI$30,"&lt;="&amp;$BS138)))</f>
        <v/>
      </c>
      <c r="AH138" s="17" t="str">
        <f aca="false">IF(OR(L$7="",$BR138=""),"",IF('Tally Helper'!$B$33&lt;&gt;TRUE(),"not on Staff",SUMIFS('Tally Helper'!$L$35:$GI$35,'Tally Helper'!$L$33:$GI$33,"&gt;="&amp;$BR138,'Tally Helper'!$L$33:$GI$33,"&lt;="&amp;$BS138)))</f>
        <v/>
      </c>
      <c r="AI138" s="17" t="str">
        <f aca="false">IF(OR(M$7="",$BR138=""),"",IF('Tally Helper'!$B$36&lt;&gt;TRUE(),"not on Staff",SUMIFS('Tally Helper'!$L$38:$GI$38,'Tally Helper'!$L$36:$GI$36,"&gt;="&amp;$BR138,'Tally Helper'!$L$36:$GI$36,"&lt;="&amp;$BS138)))</f>
        <v/>
      </c>
      <c r="AJ138" s="17" t="str">
        <f aca="false">IF(OR(N$7="",$BR138=""),"",IF('Tally Helper'!$B$39&lt;&gt;TRUE(),"not on Staff",SUMIFS('Tally Helper'!$L$41:$GI$41,'Tally Helper'!$L$39:$GI$39,"&gt;="&amp;$BR138,'Tally Helper'!$L$39:$GI$39,"&lt;="&amp;$BS138)))</f>
        <v/>
      </c>
      <c r="AK138" s="17" t="str">
        <f aca="false">IF(OR(O$7="",$BR138=""),"",IF('Tally Helper'!$B$42&lt;&gt;TRUE(),"not on Staff",SUMIFS('Tally Helper'!$L$44:$GI$44,'Tally Helper'!$L$42:$GI$42,"&gt;="&amp;$BR138,'Tally Helper'!$L$42:$GI$42,"&lt;="&amp;$BS138)))</f>
        <v/>
      </c>
      <c r="AL138" s="17" t="str">
        <f aca="false">IF(OR(P$7="",$BR138=""),"",IF('Tally Helper'!$B$45&lt;&gt;TRUE(),"not on Staff",SUMIFS('Tally Helper'!$L$47:$GI$47,'Tally Helper'!$L$45:$GI$45,"&gt;="&amp;$BR138,'Tally Helper'!$L$45:$GI$45,"&lt;="&amp;$BS138)))</f>
        <v/>
      </c>
      <c r="AM138" s="17" t="str">
        <f aca="false">IF(OR(Q$7="",$BR138=""),"",IF('Tally Helper'!$B$48&lt;&gt;TRUE(),"not on Staff",SUMIFS('Tally Helper'!$L$50:$GI$50,'Tally Helper'!$L$48:$GI$48,"&gt;="&amp;$BR138,'Tally Helper'!$L$48:$GI$48,"&lt;="&amp;$BS138)))</f>
        <v/>
      </c>
      <c r="AN138" s="17" t="str">
        <f aca="false">IF(OR(R$7="",$BR138=""),"",IF('Tally Helper'!$B$51&lt;&gt;TRUE(),"not on Staff",SUMIFS('Tally Helper'!$L$53:$GI$53,'Tally Helper'!$L$51:$GI$51,"&gt;="&amp;$BR138,'Tally Helper'!$L$51:$GI$51,"&lt;="&amp;$BS138)))</f>
        <v/>
      </c>
      <c r="AO138" s="17" t="str">
        <f aca="false">IF(OR(S$7="",$BR138=""),"",IF('Tally Helper'!$B$54&lt;&gt;TRUE(),"not on Staff",SUMIFS('Tally Helper'!$L$56:$GI$56,'Tally Helper'!$L$54:$GI$54,"&gt;="&amp;$BR138,'Tally Helper'!$L$54:$GI$54,"&lt;="&amp;$BS138)))</f>
        <v/>
      </c>
      <c r="AP138" s="17" t="str">
        <f aca="false">IF(OR(T$7="",$BR138=""),"",IF('Tally Helper'!$B$57&lt;&gt;TRUE(),"not on Staff",SUMIFS('Tally Helper'!$L$59:$GI$59,'Tally Helper'!$L$57:$GI$57,"&gt;="&amp;$BR138,'Tally Helper'!$L$57:$GI$57,"&lt;="&amp;$BS138)))</f>
        <v/>
      </c>
      <c r="AQ138" s="17" t="str">
        <f aca="false">IF(OR(U$7="",$BR138=""),"",IF('Tally Helper'!$B$60&lt;&gt;TRUE(),"not on Staff",SUMIFS('Tally Helper'!$L$62:$GI$62,'Tally Helper'!$L$60:$GI$60,"&gt;="&amp;$BR138,'Tally Helper'!$L$60:$GI$60,"&lt;="&amp;$BS138)))</f>
        <v/>
      </c>
      <c r="AT138" s="17" t="str">
        <f aca="false">IF(OR(X138="",NOT(ISNUMBER(X138))),"",X138-N(B138))</f>
        <v/>
      </c>
      <c r="AU138" s="17" t="str">
        <f aca="false">IF(OR(Y138="",NOT(ISNUMBER(Y138))),"",Y138-N(C138))</f>
        <v/>
      </c>
      <c r="AV138" s="17" t="str">
        <f aca="false">IF(OR(Z138="",NOT(ISNUMBER(Z138))),"",Z138-N(D138))</f>
        <v/>
      </c>
      <c r="AW138" s="17" t="str">
        <f aca="false">IF(OR(AA138="",NOT(ISNUMBER(AA138))),"",AA138-N(E138))</f>
        <v/>
      </c>
      <c r="AX138" s="17" t="str">
        <f aca="false">IF(OR(AB138="",NOT(ISNUMBER(AB138))),"",AB138-N(F138))</f>
        <v/>
      </c>
      <c r="AY138" s="17" t="str">
        <f aca="false">IF(OR(AC138="",NOT(ISNUMBER(AC138))),"",AC138-N(G138))</f>
        <v/>
      </c>
      <c r="AZ138" s="17" t="str">
        <f aca="false">IF(OR(AD138="",NOT(ISNUMBER(AD138))),"",AD138-N(H138))</f>
        <v/>
      </c>
      <c r="BA138" s="17" t="str">
        <f aca="false">IF(OR(AE138="",NOT(ISNUMBER(AE138))),"",AE138-N(I138))</f>
        <v/>
      </c>
      <c r="BB138" s="17" t="str">
        <f aca="false">IF(OR(AF138="",NOT(ISNUMBER(AF138))),"",AF138-N(J138))</f>
        <v/>
      </c>
      <c r="BC138" s="17" t="str">
        <f aca="false">IF(OR(AG138="",NOT(ISNUMBER(AG138))),"",AG138-N(K138))</f>
        <v/>
      </c>
      <c r="BD138" s="17" t="str">
        <f aca="false">IF(OR(AH138="",NOT(ISNUMBER(AH138))),"",AH138-N(L138))</f>
        <v/>
      </c>
      <c r="BE138" s="17" t="str">
        <f aca="false">IF(OR(AI138="",NOT(ISNUMBER(AI138))),"",AI138-N(M138))</f>
        <v/>
      </c>
      <c r="BF138" s="17" t="str">
        <f aca="false">IF(OR(AJ138="",NOT(ISNUMBER(AJ138))),"",AJ138-N(N138))</f>
        <v/>
      </c>
      <c r="BG138" s="17" t="str">
        <f aca="false">IF(OR(AK138="",NOT(ISNUMBER(AK138))),"",AK138-N(O138))</f>
        <v/>
      </c>
      <c r="BH138" s="17" t="str">
        <f aca="false">IF(OR(AL138="",NOT(ISNUMBER(AL138))),"",AL138-N(P138))</f>
        <v/>
      </c>
      <c r="BI138" s="17" t="str">
        <f aca="false">IF(OR(AM138="",NOT(ISNUMBER(AM138))),"",AM138-N(Q138))</f>
        <v/>
      </c>
      <c r="BJ138" s="17" t="str">
        <f aca="false">IF(OR(AN138="",NOT(ISNUMBER(AN138))),"",AN138-N(R138))</f>
        <v/>
      </c>
      <c r="BK138" s="17" t="str">
        <f aca="false">IF(OR(AO138="",NOT(ISNUMBER(AO138))),"",AO138-N(S138))</f>
        <v/>
      </c>
      <c r="BL138" s="17" t="str">
        <f aca="false">IF(OR(AP138="",NOT(ISNUMBER(AP138))),"",AP138-N(T138))</f>
        <v/>
      </c>
      <c r="BM138" s="17" t="str">
        <f aca="false">IF(OR(AQ138="",NOT(ISNUMBER(AQ138))),"",AQ138-N(U138))</f>
        <v/>
      </c>
      <c r="BR138" s="20" t="str">
        <f aca="false">IF($A138="","",IF(ISNUMBER($A138),DATE(YEAR($A138),MONTH($A138),1),IFERROR(DATE(2000+VALUE(RIGHT(TRIM($A138),2)),MATCH(UPPER(LEFT(TRIM($A138),3)),{"JAN","FEB","MAR","APR","MAY","JUN","JUL","AUG","SEP","OCT","NOV","DEC"},0),1),"")))</f>
        <v/>
      </c>
      <c r="BS138" s="20" t="str">
        <f aca="false">IF(BR138="","",EOMONTH(BR138,0))</f>
        <v/>
      </c>
    </row>
    <row r="139" customFormat="false" ht="15" hidden="false" customHeight="false" outlineLevel="0" collapsed="false">
      <c r="B139" s="21"/>
      <c r="C139" s="21"/>
      <c r="D139" s="21"/>
      <c r="E139" s="21"/>
      <c r="F139" s="21"/>
      <c r="G139" s="21"/>
      <c r="H139" s="21"/>
      <c r="I139" s="21"/>
      <c r="J139" s="21"/>
      <c r="K139" s="21"/>
      <c r="L139" s="21"/>
      <c r="M139" s="21"/>
      <c r="N139" s="21"/>
      <c r="O139" s="21"/>
      <c r="P139" s="21"/>
      <c r="Q139" s="21"/>
      <c r="R139" s="21"/>
      <c r="S139" s="21"/>
      <c r="T139" s="21"/>
      <c r="U139" s="21"/>
      <c r="X139" s="17" t="str">
        <f aca="false">IF(OR(B$7="",$BR139=""),"",IF('Tally Helper'!$B$3&lt;&gt;TRUE(),"not on Staff",SUMIFS('Tally Helper'!$L$5:$GI$5,'Tally Helper'!$L$3:$GI$3,"&gt;="&amp;$BR139,'Tally Helper'!$L$3:$GI$3,"&lt;="&amp;$BS139)))</f>
        <v/>
      </c>
      <c r="Y139" s="17" t="str">
        <f aca="false">IF(OR(C$7="",$BR139=""),"",IF('Tally Helper'!$B$6&lt;&gt;TRUE(),"not on Staff",SUMIFS('Tally Helper'!$L$8:$GI$8,'Tally Helper'!$L$6:$GI$6,"&gt;="&amp;$BR139,'Tally Helper'!$L$6:$GI$6,"&lt;="&amp;$BS139)))</f>
        <v/>
      </c>
      <c r="Z139" s="17" t="str">
        <f aca="false">IF(OR(D$7="",$BR139=""),"",IF('Tally Helper'!$B$9&lt;&gt;TRUE(),"not on Staff",SUMIFS('Tally Helper'!$L$11:$GI$11,'Tally Helper'!$L$9:$GI$9,"&gt;="&amp;$BR139,'Tally Helper'!$L$9:$GI$9,"&lt;="&amp;$BS139)))</f>
        <v/>
      </c>
      <c r="AA139" s="17" t="str">
        <f aca="false">IF(OR(E$7="",$BR139=""),"",IF('Tally Helper'!$B$12&lt;&gt;TRUE(),"not on Staff",SUMIFS('Tally Helper'!$L$14:$GI$14,'Tally Helper'!$L$12:$GI$12,"&gt;="&amp;$BR139,'Tally Helper'!$L$12:$GI$12,"&lt;="&amp;$BS139)))</f>
        <v/>
      </c>
      <c r="AB139" s="17" t="str">
        <f aca="false">IF(OR(F$7="",$BR139=""),"",IF('Tally Helper'!$B$15&lt;&gt;TRUE(),"not on Staff",SUMIFS('Tally Helper'!$L$17:$GI$17,'Tally Helper'!$L$15:$GI$15,"&gt;="&amp;$BR139,'Tally Helper'!$L$15:$GI$15,"&lt;="&amp;$BS139)))</f>
        <v/>
      </c>
      <c r="AC139" s="17" t="str">
        <f aca="false">IF(OR(G$7="",$BR139=""),"",IF('Tally Helper'!$B$18&lt;&gt;TRUE(),"not on Staff",SUMIFS('Tally Helper'!$L$20:$GI$20,'Tally Helper'!$L$18:$GI$18,"&gt;="&amp;$BR139,'Tally Helper'!$L$18:$GI$18,"&lt;="&amp;$BS139)))</f>
        <v/>
      </c>
      <c r="AD139" s="17" t="str">
        <f aca="false">IF(OR(H$7="",$BR139=""),"",IF('Tally Helper'!$B$21&lt;&gt;TRUE(),"not on Staff",SUMIFS('Tally Helper'!$L$23:$GI$23,'Tally Helper'!$L$21:$GI$21,"&gt;="&amp;$BR139,'Tally Helper'!$L$21:$GI$21,"&lt;="&amp;$BS139)))</f>
        <v/>
      </c>
      <c r="AE139" s="17" t="str">
        <f aca="false">IF(OR(I$7="",$BR139=""),"",IF('Tally Helper'!$B$24&lt;&gt;TRUE(),"not on Staff",SUMIFS('Tally Helper'!$L$26:$GI$26,'Tally Helper'!$L$24:$GI$24,"&gt;="&amp;$BR139,'Tally Helper'!$L$24:$GI$24,"&lt;="&amp;$BS139)))</f>
        <v/>
      </c>
      <c r="AF139" s="17" t="str">
        <f aca="false">IF(OR(J$7="",$BR139=""),"",IF('Tally Helper'!$B$27&lt;&gt;TRUE(),"not on Staff",SUMIFS('Tally Helper'!$L$29:$GI$29,'Tally Helper'!$L$27:$GI$27,"&gt;="&amp;$BR139,'Tally Helper'!$L$27:$GI$27,"&lt;="&amp;$BS139)))</f>
        <v/>
      </c>
      <c r="AG139" s="17" t="str">
        <f aca="false">IF(OR(K$7="",$BR139=""),"",IF('Tally Helper'!$B$30&lt;&gt;TRUE(),"not on Staff",SUMIFS('Tally Helper'!$L$32:$GI$32,'Tally Helper'!$L$30:$GI$30,"&gt;="&amp;$BR139,'Tally Helper'!$L$30:$GI$30,"&lt;="&amp;$BS139)))</f>
        <v/>
      </c>
      <c r="AH139" s="17" t="str">
        <f aca="false">IF(OR(L$7="",$BR139=""),"",IF('Tally Helper'!$B$33&lt;&gt;TRUE(),"not on Staff",SUMIFS('Tally Helper'!$L$35:$GI$35,'Tally Helper'!$L$33:$GI$33,"&gt;="&amp;$BR139,'Tally Helper'!$L$33:$GI$33,"&lt;="&amp;$BS139)))</f>
        <v/>
      </c>
      <c r="AI139" s="17" t="str">
        <f aca="false">IF(OR(M$7="",$BR139=""),"",IF('Tally Helper'!$B$36&lt;&gt;TRUE(),"not on Staff",SUMIFS('Tally Helper'!$L$38:$GI$38,'Tally Helper'!$L$36:$GI$36,"&gt;="&amp;$BR139,'Tally Helper'!$L$36:$GI$36,"&lt;="&amp;$BS139)))</f>
        <v/>
      </c>
      <c r="AJ139" s="17" t="str">
        <f aca="false">IF(OR(N$7="",$BR139=""),"",IF('Tally Helper'!$B$39&lt;&gt;TRUE(),"not on Staff",SUMIFS('Tally Helper'!$L$41:$GI$41,'Tally Helper'!$L$39:$GI$39,"&gt;="&amp;$BR139,'Tally Helper'!$L$39:$GI$39,"&lt;="&amp;$BS139)))</f>
        <v/>
      </c>
      <c r="AK139" s="17" t="str">
        <f aca="false">IF(OR(O$7="",$BR139=""),"",IF('Tally Helper'!$B$42&lt;&gt;TRUE(),"not on Staff",SUMIFS('Tally Helper'!$L$44:$GI$44,'Tally Helper'!$L$42:$GI$42,"&gt;="&amp;$BR139,'Tally Helper'!$L$42:$GI$42,"&lt;="&amp;$BS139)))</f>
        <v/>
      </c>
      <c r="AL139" s="17" t="str">
        <f aca="false">IF(OR(P$7="",$BR139=""),"",IF('Tally Helper'!$B$45&lt;&gt;TRUE(),"not on Staff",SUMIFS('Tally Helper'!$L$47:$GI$47,'Tally Helper'!$L$45:$GI$45,"&gt;="&amp;$BR139,'Tally Helper'!$L$45:$GI$45,"&lt;="&amp;$BS139)))</f>
        <v/>
      </c>
      <c r="AM139" s="17" t="str">
        <f aca="false">IF(OR(Q$7="",$BR139=""),"",IF('Tally Helper'!$B$48&lt;&gt;TRUE(),"not on Staff",SUMIFS('Tally Helper'!$L$50:$GI$50,'Tally Helper'!$L$48:$GI$48,"&gt;="&amp;$BR139,'Tally Helper'!$L$48:$GI$48,"&lt;="&amp;$BS139)))</f>
        <v/>
      </c>
      <c r="AN139" s="17" t="str">
        <f aca="false">IF(OR(R$7="",$BR139=""),"",IF('Tally Helper'!$B$51&lt;&gt;TRUE(),"not on Staff",SUMIFS('Tally Helper'!$L$53:$GI$53,'Tally Helper'!$L$51:$GI$51,"&gt;="&amp;$BR139,'Tally Helper'!$L$51:$GI$51,"&lt;="&amp;$BS139)))</f>
        <v/>
      </c>
      <c r="AO139" s="17" t="str">
        <f aca="false">IF(OR(S$7="",$BR139=""),"",IF('Tally Helper'!$B$54&lt;&gt;TRUE(),"not on Staff",SUMIFS('Tally Helper'!$L$56:$GI$56,'Tally Helper'!$L$54:$GI$54,"&gt;="&amp;$BR139,'Tally Helper'!$L$54:$GI$54,"&lt;="&amp;$BS139)))</f>
        <v/>
      </c>
      <c r="AP139" s="17" t="str">
        <f aca="false">IF(OR(T$7="",$BR139=""),"",IF('Tally Helper'!$B$57&lt;&gt;TRUE(),"not on Staff",SUMIFS('Tally Helper'!$L$59:$GI$59,'Tally Helper'!$L$57:$GI$57,"&gt;="&amp;$BR139,'Tally Helper'!$L$57:$GI$57,"&lt;="&amp;$BS139)))</f>
        <v/>
      </c>
      <c r="AQ139" s="17" t="str">
        <f aca="false">IF(OR(U$7="",$BR139=""),"",IF('Tally Helper'!$B$60&lt;&gt;TRUE(),"not on Staff",SUMIFS('Tally Helper'!$L$62:$GI$62,'Tally Helper'!$L$60:$GI$60,"&gt;="&amp;$BR139,'Tally Helper'!$L$60:$GI$60,"&lt;="&amp;$BS139)))</f>
        <v/>
      </c>
      <c r="AT139" s="17" t="str">
        <f aca="false">IF(OR(X139="",NOT(ISNUMBER(X139))),"",X139-N(B139))</f>
        <v/>
      </c>
      <c r="AU139" s="17" t="str">
        <f aca="false">IF(OR(Y139="",NOT(ISNUMBER(Y139))),"",Y139-N(C139))</f>
        <v/>
      </c>
      <c r="AV139" s="17" t="str">
        <f aca="false">IF(OR(Z139="",NOT(ISNUMBER(Z139))),"",Z139-N(D139))</f>
        <v/>
      </c>
      <c r="AW139" s="17" t="str">
        <f aca="false">IF(OR(AA139="",NOT(ISNUMBER(AA139))),"",AA139-N(E139))</f>
        <v/>
      </c>
      <c r="AX139" s="17" t="str">
        <f aca="false">IF(OR(AB139="",NOT(ISNUMBER(AB139))),"",AB139-N(F139))</f>
        <v/>
      </c>
      <c r="AY139" s="17" t="str">
        <f aca="false">IF(OR(AC139="",NOT(ISNUMBER(AC139))),"",AC139-N(G139))</f>
        <v/>
      </c>
      <c r="AZ139" s="17" t="str">
        <f aca="false">IF(OR(AD139="",NOT(ISNUMBER(AD139))),"",AD139-N(H139))</f>
        <v/>
      </c>
      <c r="BA139" s="17" t="str">
        <f aca="false">IF(OR(AE139="",NOT(ISNUMBER(AE139))),"",AE139-N(I139))</f>
        <v/>
      </c>
      <c r="BB139" s="17" t="str">
        <f aca="false">IF(OR(AF139="",NOT(ISNUMBER(AF139))),"",AF139-N(J139))</f>
        <v/>
      </c>
      <c r="BC139" s="17" t="str">
        <f aca="false">IF(OR(AG139="",NOT(ISNUMBER(AG139))),"",AG139-N(K139))</f>
        <v/>
      </c>
      <c r="BD139" s="17" t="str">
        <f aca="false">IF(OR(AH139="",NOT(ISNUMBER(AH139))),"",AH139-N(L139))</f>
        <v/>
      </c>
      <c r="BE139" s="17" t="str">
        <f aca="false">IF(OR(AI139="",NOT(ISNUMBER(AI139))),"",AI139-N(M139))</f>
        <v/>
      </c>
      <c r="BF139" s="17" t="str">
        <f aca="false">IF(OR(AJ139="",NOT(ISNUMBER(AJ139))),"",AJ139-N(N139))</f>
        <v/>
      </c>
      <c r="BG139" s="17" t="str">
        <f aca="false">IF(OR(AK139="",NOT(ISNUMBER(AK139))),"",AK139-N(O139))</f>
        <v/>
      </c>
      <c r="BH139" s="17" t="str">
        <f aca="false">IF(OR(AL139="",NOT(ISNUMBER(AL139))),"",AL139-N(P139))</f>
        <v/>
      </c>
      <c r="BI139" s="17" t="str">
        <f aca="false">IF(OR(AM139="",NOT(ISNUMBER(AM139))),"",AM139-N(Q139))</f>
        <v/>
      </c>
      <c r="BJ139" s="17" t="str">
        <f aca="false">IF(OR(AN139="",NOT(ISNUMBER(AN139))),"",AN139-N(R139))</f>
        <v/>
      </c>
      <c r="BK139" s="17" t="str">
        <f aca="false">IF(OR(AO139="",NOT(ISNUMBER(AO139))),"",AO139-N(S139))</f>
        <v/>
      </c>
      <c r="BL139" s="17" t="str">
        <f aca="false">IF(OR(AP139="",NOT(ISNUMBER(AP139))),"",AP139-N(T139))</f>
        <v/>
      </c>
      <c r="BM139" s="17" t="str">
        <f aca="false">IF(OR(AQ139="",NOT(ISNUMBER(AQ139))),"",AQ139-N(U139))</f>
        <v/>
      </c>
      <c r="BR139" s="20" t="str">
        <f aca="false">IF($A139="","",IF(ISNUMBER($A139),DATE(YEAR($A139),MONTH($A139),1),IFERROR(DATE(2000+VALUE(RIGHT(TRIM($A139),2)),MATCH(UPPER(LEFT(TRIM($A139),3)),{"JAN","FEB","MAR","APR","MAY","JUN","JUL","AUG","SEP","OCT","NOV","DEC"},0),1),"")))</f>
        <v/>
      </c>
      <c r="BS139" s="20" t="str">
        <f aca="false">IF(BR139="","",EOMONTH(BR139,0))</f>
        <v/>
      </c>
    </row>
    <row r="140" customFormat="false" ht="15" hidden="false" customHeight="false" outlineLevel="0" collapsed="false">
      <c r="B140" s="21"/>
      <c r="C140" s="21"/>
      <c r="D140" s="21"/>
      <c r="E140" s="21"/>
      <c r="F140" s="21"/>
      <c r="G140" s="21"/>
      <c r="H140" s="21"/>
      <c r="I140" s="21"/>
      <c r="J140" s="21"/>
      <c r="K140" s="21"/>
      <c r="L140" s="21"/>
      <c r="M140" s="21"/>
      <c r="N140" s="21"/>
      <c r="O140" s="21"/>
      <c r="P140" s="21"/>
      <c r="Q140" s="21"/>
      <c r="R140" s="21"/>
      <c r="S140" s="21"/>
      <c r="T140" s="21"/>
      <c r="U140" s="21"/>
      <c r="X140" s="17" t="str">
        <f aca="false">IF(OR(B$7="",$BR140=""),"",IF('Tally Helper'!$B$3&lt;&gt;TRUE(),"not on Staff",SUMIFS('Tally Helper'!$L$5:$GI$5,'Tally Helper'!$L$3:$GI$3,"&gt;="&amp;$BR140,'Tally Helper'!$L$3:$GI$3,"&lt;="&amp;$BS140)))</f>
        <v/>
      </c>
      <c r="Y140" s="17" t="str">
        <f aca="false">IF(OR(C$7="",$BR140=""),"",IF('Tally Helper'!$B$6&lt;&gt;TRUE(),"not on Staff",SUMIFS('Tally Helper'!$L$8:$GI$8,'Tally Helper'!$L$6:$GI$6,"&gt;="&amp;$BR140,'Tally Helper'!$L$6:$GI$6,"&lt;="&amp;$BS140)))</f>
        <v/>
      </c>
      <c r="Z140" s="17" t="str">
        <f aca="false">IF(OR(D$7="",$BR140=""),"",IF('Tally Helper'!$B$9&lt;&gt;TRUE(),"not on Staff",SUMIFS('Tally Helper'!$L$11:$GI$11,'Tally Helper'!$L$9:$GI$9,"&gt;="&amp;$BR140,'Tally Helper'!$L$9:$GI$9,"&lt;="&amp;$BS140)))</f>
        <v/>
      </c>
      <c r="AA140" s="17" t="str">
        <f aca="false">IF(OR(E$7="",$BR140=""),"",IF('Tally Helper'!$B$12&lt;&gt;TRUE(),"not on Staff",SUMIFS('Tally Helper'!$L$14:$GI$14,'Tally Helper'!$L$12:$GI$12,"&gt;="&amp;$BR140,'Tally Helper'!$L$12:$GI$12,"&lt;="&amp;$BS140)))</f>
        <v/>
      </c>
      <c r="AB140" s="17" t="str">
        <f aca="false">IF(OR(F$7="",$BR140=""),"",IF('Tally Helper'!$B$15&lt;&gt;TRUE(),"not on Staff",SUMIFS('Tally Helper'!$L$17:$GI$17,'Tally Helper'!$L$15:$GI$15,"&gt;="&amp;$BR140,'Tally Helper'!$L$15:$GI$15,"&lt;="&amp;$BS140)))</f>
        <v/>
      </c>
      <c r="AC140" s="17" t="str">
        <f aca="false">IF(OR(G$7="",$BR140=""),"",IF('Tally Helper'!$B$18&lt;&gt;TRUE(),"not on Staff",SUMIFS('Tally Helper'!$L$20:$GI$20,'Tally Helper'!$L$18:$GI$18,"&gt;="&amp;$BR140,'Tally Helper'!$L$18:$GI$18,"&lt;="&amp;$BS140)))</f>
        <v/>
      </c>
      <c r="AD140" s="17" t="str">
        <f aca="false">IF(OR(H$7="",$BR140=""),"",IF('Tally Helper'!$B$21&lt;&gt;TRUE(),"not on Staff",SUMIFS('Tally Helper'!$L$23:$GI$23,'Tally Helper'!$L$21:$GI$21,"&gt;="&amp;$BR140,'Tally Helper'!$L$21:$GI$21,"&lt;="&amp;$BS140)))</f>
        <v/>
      </c>
      <c r="AE140" s="17" t="str">
        <f aca="false">IF(OR(I$7="",$BR140=""),"",IF('Tally Helper'!$B$24&lt;&gt;TRUE(),"not on Staff",SUMIFS('Tally Helper'!$L$26:$GI$26,'Tally Helper'!$L$24:$GI$24,"&gt;="&amp;$BR140,'Tally Helper'!$L$24:$GI$24,"&lt;="&amp;$BS140)))</f>
        <v/>
      </c>
      <c r="AF140" s="17" t="str">
        <f aca="false">IF(OR(J$7="",$BR140=""),"",IF('Tally Helper'!$B$27&lt;&gt;TRUE(),"not on Staff",SUMIFS('Tally Helper'!$L$29:$GI$29,'Tally Helper'!$L$27:$GI$27,"&gt;="&amp;$BR140,'Tally Helper'!$L$27:$GI$27,"&lt;="&amp;$BS140)))</f>
        <v/>
      </c>
      <c r="AG140" s="17" t="str">
        <f aca="false">IF(OR(K$7="",$BR140=""),"",IF('Tally Helper'!$B$30&lt;&gt;TRUE(),"not on Staff",SUMIFS('Tally Helper'!$L$32:$GI$32,'Tally Helper'!$L$30:$GI$30,"&gt;="&amp;$BR140,'Tally Helper'!$L$30:$GI$30,"&lt;="&amp;$BS140)))</f>
        <v/>
      </c>
      <c r="AH140" s="17" t="str">
        <f aca="false">IF(OR(L$7="",$BR140=""),"",IF('Tally Helper'!$B$33&lt;&gt;TRUE(),"not on Staff",SUMIFS('Tally Helper'!$L$35:$GI$35,'Tally Helper'!$L$33:$GI$33,"&gt;="&amp;$BR140,'Tally Helper'!$L$33:$GI$33,"&lt;="&amp;$BS140)))</f>
        <v/>
      </c>
      <c r="AI140" s="17" t="str">
        <f aca="false">IF(OR(M$7="",$BR140=""),"",IF('Tally Helper'!$B$36&lt;&gt;TRUE(),"not on Staff",SUMIFS('Tally Helper'!$L$38:$GI$38,'Tally Helper'!$L$36:$GI$36,"&gt;="&amp;$BR140,'Tally Helper'!$L$36:$GI$36,"&lt;="&amp;$BS140)))</f>
        <v/>
      </c>
      <c r="AJ140" s="17" t="str">
        <f aca="false">IF(OR(N$7="",$BR140=""),"",IF('Tally Helper'!$B$39&lt;&gt;TRUE(),"not on Staff",SUMIFS('Tally Helper'!$L$41:$GI$41,'Tally Helper'!$L$39:$GI$39,"&gt;="&amp;$BR140,'Tally Helper'!$L$39:$GI$39,"&lt;="&amp;$BS140)))</f>
        <v/>
      </c>
      <c r="AK140" s="17" t="str">
        <f aca="false">IF(OR(O$7="",$BR140=""),"",IF('Tally Helper'!$B$42&lt;&gt;TRUE(),"not on Staff",SUMIFS('Tally Helper'!$L$44:$GI$44,'Tally Helper'!$L$42:$GI$42,"&gt;="&amp;$BR140,'Tally Helper'!$L$42:$GI$42,"&lt;="&amp;$BS140)))</f>
        <v/>
      </c>
      <c r="AL140" s="17" t="str">
        <f aca="false">IF(OR(P$7="",$BR140=""),"",IF('Tally Helper'!$B$45&lt;&gt;TRUE(),"not on Staff",SUMIFS('Tally Helper'!$L$47:$GI$47,'Tally Helper'!$L$45:$GI$45,"&gt;="&amp;$BR140,'Tally Helper'!$L$45:$GI$45,"&lt;="&amp;$BS140)))</f>
        <v/>
      </c>
      <c r="AM140" s="17" t="str">
        <f aca="false">IF(OR(Q$7="",$BR140=""),"",IF('Tally Helper'!$B$48&lt;&gt;TRUE(),"not on Staff",SUMIFS('Tally Helper'!$L$50:$GI$50,'Tally Helper'!$L$48:$GI$48,"&gt;="&amp;$BR140,'Tally Helper'!$L$48:$GI$48,"&lt;="&amp;$BS140)))</f>
        <v/>
      </c>
      <c r="AN140" s="17" t="str">
        <f aca="false">IF(OR(R$7="",$BR140=""),"",IF('Tally Helper'!$B$51&lt;&gt;TRUE(),"not on Staff",SUMIFS('Tally Helper'!$L$53:$GI$53,'Tally Helper'!$L$51:$GI$51,"&gt;="&amp;$BR140,'Tally Helper'!$L$51:$GI$51,"&lt;="&amp;$BS140)))</f>
        <v/>
      </c>
      <c r="AO140" s="17" t="str">
        <f aca="false">IF(OR(S$7="",$BR140=""),"",IF('Tally Helper'!$B$54&lt;&gt;TRUE(),"not on Staff",SUMIFS('Tally Helper'!$L$56:$GI$56,'Tally Helper'!$L$54:$GI$54,"&gt;="&amp;$BR140,'Tally Helper'!$L$54:$GI$54,"&lt;="&amp;$BS140)))</f>
        <v/>
      </c>
      <c r="AP140" s="17" t="str">
        <f aca="false">IF(OR(T$7="",$BR140=""),"",IF('Tally Helper'!$B$57&lt;&gt;TRUE(),"not on Staff",SUMIFS('Tally Helper'!$L$59:$GI$59,'Tally Helper'!$L$57:$GI$57,"&gt;="&amp;$BR140,'Tally Helper'!$L$57:$GI$57,"&lt;="&amp;$BS140)))</f>
        <v/>
      </c>
      <c r="AQ140" s="17" t="str">
        <f aca="false">IF(OR(U$7="",$BR140=""),"",IF('Tally Helper'!$B$60&lt;&gt;TRUE(),"not on Staff",SUMIFS('Tally Helper'!$L$62:$GI$62,'Tally Helper'!$L$60:$GI$60,"&gt;="&amp;$BR140,'Tally Helper'!$L$60:$GI$60,"&lt;="&amp;$BS140)))</f>
        <v/>
      </c>
      <c r="AT140" s="17" t="str">
        <f aca="false">IF(OR(X140="",NOT(ISNUMBER(X140))),"",X140-N(B140))</f>
        <v/>
      </c>
      <c r="AU140" s="17" t="str">
        <f aca="false">IF(OR(Y140="",NOT(ISNUMBER(Y140))),"",Y140-N(C140))</f>
        <v/>
      </c>
      <c r="AV140" s="17" t="str">
        <f aca="false">IF(OR(Z140="",NOT(ISNUMBER(Z140))),"",Z140-N(D140))</f>
        <v/>
      </c>
      <c r="AW140" s="17" t="str">
        <f aca="false">IF(OR(AA140="",NOT(ISNUMBER(AA140))),"",AA140-N(E140))</f>
        <v/>
      </c>
      <c r="AX140" s="17" t="str">
        <f aca="false">IF(OR(AB140="",NOT(ISNUMBER(AB140))),"",AB140-N(F140))</f>
        <v/>
      </c>
      <c r="AY140" s="17" t="str">
        <f aca="false">IF(OR(AC140="",NOT(ISNUMBER(AC140))),"",AC140-N(G140))</f>
        <v/>
      </c>
      <c r="AZ140" s="17" t="str">
        <f aca="false">IF(OR(AD140="",NOT(ISNUMBER(AD140))),"",AD140-N(H140))</f>
        <v/>
      </c>
      <c r="BA140" s="17" t="str">
        <f aca="false">IF(OR(AE140="",NOT(ISNUMBER(AE140))),"",AE140-N(I140))</f>
        <v/>
      </c>
      <c r="BB140" s="17" t="str">
        <f aca="false">IF(OR(AF140="",NOT(ISNUMBER(AF140))),"",AF140-N(J140))</f>
        <v/>
      </c>
      <c r="BC140" s="17" t="str">
        <f aca="false">IF(OR(AG140="",NOT(ISNUMBER(AG140))),"",AG140-N(K140))</f>
        <v/>
      </c>
      <c r="BD140" s="17" t="str">
        <f aca="false">IF(OR(AH140="",NOT(ISNUMBER(AH140))),"",AH140-N(L140))</f>
        <v/>
      </c>
      <c r="BE140" s="17" t="str">
        <f aca="false">IF(OR(AI140="",NOT(ISNUMBER(AI140))),"",AI140-N(M140))</f>
        <v/>
      </c>
      <c r="BF140" s="17" t="str">
        <f aca="false">IF(OR(AJ140="",NOT(ISNUMBER(AJ140))),"",AJ140-N(N140))</f>
        <v/>
      </c>
      <c r="BG140" s="17" t="str">
        <f aca="false">IF(OR(AK140="",NOT(ISNUMBER(AK140))),"",AK140-N(O140))</f>
        <v/>
      </c>
      <c r="BH140" s="17" t="str">
        <f aca="false">IF(OR(AL140="",NOT(ISNUMBER(AL140))),"",AL140-N(P140))</f>
        <v/>
      </c>
      <c r="BI140" s="17" t="str">
        <f aca="false">IF(OR(AM140="",NOT(ISNUMBER(AM140))),"",AM140-N(Q140))</f>
        <v/>
      </c>
      <c r="BJ140" s="17" t="str">
        <f aca="false">IF(OR(AN140="",NOT(ISNUMBER(AN140))),"",AN140-N(R140))</f>
        <v/>
      </c>
      <c r="BK140" s="17" t="str">
        <f aca="false">IF(OR(AO140="",NOT(ISNUMBER(AO140))),"",AO140-N(S140))</f>
        <v/>
      </c>
      <c r="BL140" s="17" t="str">
        <f aca="false">IF(OR(AP140="",NOT(ISNUMBER(AP140))),"",AP140-N(T140))</f>
        <v/>
      </c>
      <c r="BM140" s="17" t="str">
        <f aca="false">IF(OR(AQ140="",NOT(ISNUMBER(AQ140))),"",AQ140-N(U140))</f>
        <v/>
      </c>
      <c r="BR140" s="20" t="str">
        <f aca="false">IF($A140="","",IF(ISNUMBER($A140),DATE(YEAR($A140),MONTH($A140),1),IFERROR(DATE(2000+VALUE(RIGHT(TRIM($A140),2)),MATCH(UPPER(LEFT(TRIM($A140),3)),{"JAN","FEB","MAR","APR","MAY","JUN","JUL","AUG","SEP","OCT","NOV","DEC"},0),1),"")))</f>
        <v/>
      </c>
      <c r="BS140" s="20" t="str">
        <f aca="false">IF(BR140="","",EOMONTH(BR140,0))</f>
        <v/>
      </c>
    </row>
    <row r="141" customFormat="false" ht="15" hidden="false" customHeight="false" outlineLevel="0" collapsed="false">
      <c r="B141" s="21"/>
      <c r="C141" s="21"/>
      <c r="D141" s="21"/>
      <c r="E141" s="21"/>
      <c r="F141" s="21"/>
      <c r="G141" s="21"/>
      <c r="H141" s="21"/>
      <c r="I141" s="21"/>
      <c r="J141" s="21"/>
      <c r="K141" s="21"/>
      <c r="L141" s="21"/>
      <c r="M141" s="21"/>
      <c r="N141" s="21"/>
      <c r="O141" s="21"/>
      <c r="P141" s="21"/>
      <c r="Q141" s="21"/>
      <c r="R141" s="21"/>
      <c r="S141" s="21"/>
      <c r="T141" s="21"/>
      <c r="U141" s="21"/>
      <c r="X141" s="17" t="str">
        <f aca="false">IF(OR(B$7="",$BR141=""),"",IF('Tally Helper'!$B$3&lt;&gt;TRUE(),"not on Staff",SUMIFS('Tally Helper'!$L$5:$GI$5,'Tally Helper'!$L$3:$GI$3,"&gt;="&amp;$BR141,'Tally Helper'!$L$3:$GI$3,"&lt;="&amp;$BS141)))</f>
        <v/>
      </c>
      <c r="Y141" s="17" t="str">
        <f aca="false">IF(OR(C$7="",$BR141=""),"",IF('Tally Helper'!$B$6&lt;&gt;TRUE(),"not on Staff",SUMIFS('Tally Helper'!$L$8:$GI$8,'Tally Helper'!$L$6:$GI$6,"&gt;="&amp;$BR141,'Tally Helper'!$L$6:$GI$6,"&lt;="&amp;$BS141)))</f>
        <v/>
      </c>
      <c r="Z141" s="17" t="str">
        <f aca="false">IF(OR(D$7="",$BR141=""),"",IF('Tally Helper'!$B$9&lt;&gt;TRUE(),"not on Staff",SUMIFS('Tally Helper'!$L$11:$GI$11,'Tally Helper'!$L$9:$GI$9,"&gt;="&amp;$BR141,'Tally Helper'!$L$9:$GI$9,"&lt;="&amp;$BS141)))</f>
        <v/>
      </c>
      <c r="AA141" s="17" t="str">
        <f aca="false">IF(OR(E$7="",$BR141=""),"",IF('Tally Helper'!$B$12&lt;&gt;TRUE(),"not on Staff",SUMIFS('Tally Helper'!$L$14:$GI$14,'Tally Helper'!$L$12:$GI$12,"&gt;="&amp;$BR141,'Tally Helper'!$L$12:$GI$12,"&lt;="&amp;$BS141)))</f>
        <v/>
      </c>
      <c r="AB141" s="17" t="str">
        <f aca="false">IF(OR(F$7="",$BR141=""),"",IF('Tally Helper'!$B$15&lt;&gt;TRUE(),"not on Staff",SUMIFS('Tally Helper'!$L$17:$GI$17,'Tally Helper'!$L$15:$GI$15,"&gt;="&amp;$BR141,'Tally Helper'!$L$15:$GI$15,"&lt;="&amp;$BS141)))</f>
        <v/>
      </c>
      <c r="AC141" s="17" t="str">
        <f aca="false">IF(OR(G$7="",$BR141=""),"",IF('Tally Helper'!$B$18&lt;&gt;TRUE(),"not on Staff",SUMIFS('Tally Helper'!$L$20:$GI$20,'Tally Helper'!$L$18:$GI$18,"&gt;="&amp;$BR141,'Tally Helper'!$L$18:$GI$18,"&lt;="&amp;$BS141)))</f>
        <v/>
      </c>
      <c r="AD141" s="17" t="str">
        <f aca="false">IF(OR(H$7="",$BR141=""),"",IF('Tally Helper'!$B$21&lt;&gt;TRUE(),"not on Staff",SUMIFS('Tally Helper'!$L$23:$GI$23,'Tally Helper'!$L$21:$GI$21,"&gt;="&amp;$BR141,'Tally Helper'!$L$21:$GI$21,"&lt;="&amp;$BS141)))</f>
        <v/>
      </c>
      <c r="AE141" s="17" t="str">
        <f aca="false">IF(OR(I$7="",$BR141=""),"",IF('Tally Helper'!$B$24&lt;&gt;TRUE(),"not on Staff",SUMIFS('Tally Helper'!$L$26:$GI$26,'Tally Helper'!$L$24:$GI$24,"&gt;="&amp;$BR141,'Tally Helper'!$L$24:$GI$24,"&lt;="&amp;$BS141)))</f>
        <v/>
      </c>
      <c r="AF141" s="17" t="str">
        <f aca="false">IF(OR(J$7="",$BR141=""),"",IF('Tally Helper'!$B$27&lt;&gt;TRUE(),"not on Staff",SUMIFS('Tally Helper'!$L$29:$GI$29,'Tally Helper'!$L$27:$GI$27,"&gt;="&amp;$BR141,'Tally Helper'!$L$27:$GI$27,"&lt;="&amp;$BS141)))</f>
        <v/>
      </c>
      <c r="AG141" s="17" t="str">
        <f aca="false">IF(OR(K$7="",$BR141=""),"",IF('Tally Helper'!$B$30&lt;&gt;TRUE(),"not on Staff",SUMIFS('Tally Helper'!$L$32:$GI$32,'Tally Helper'!$L$30:$GI$30,"&gt;="&amp;$BR141,'Tally Helper'!$L$30:$GI$30,"&lt;="&amp;$BS141)))</f>
        <v/>
      </c>
      <c r="AH141" s="17" t="str">
        <f aca="false">IF(OR(L$7="",$BR141=""),"",IF('Tally Helper'!$B$33&lt;&gt;TRUE(),"not on Staff",SUMIFS('Tally Helper'!$L$35:$GI$35,'Tally Helper'!$L$33:$GI$33,"&gt;="&amp;$BR141,'Tally Helper'!$L$33:$GI$33,"&lt;="&amp;$BS141)))</f>
        <v/>
      </c>
      <c r="AI141" s="17" t="str">
        <f aca="false">IF(OR(M$7="",$BR141=""),"",IF('Tally Helper'!$B$36&lt;&gt;TRUE(),"not on Staff",SUMIFS('Tally Helper'!$L$38:$GI$38,'Tally Helper'!$L$36:$GI$36,"&gt;="&amp;$BR141,'Tally Helper'!$L$36:$GI$36,"&lt;="&amp;$BS141)))</f>
        <v/>
      </c>
      <c r="AJ141" s="17" t="str">
        <f aca="false">IF(OR(N$7="",$BR141=""),"",IF('Tally Helper'!$B$39&lt;&gt;TRUE(),"not on Staff",SUMIFS('Tally Helper'!$L$41:$GI$41,'Tally Helper'!$L$39:$GI$39,"&gt;="&amp;$BR141,'Tally Helper'!$L$39:$GI$39,"&lt;="&amp;$BS141)))</f>
        <v/>
      </c>
      <c r="AK141" s="17" t="str">
        <f aca="false">IF(OR(O$7="",$BR141=""),"",IF('Tally Helper'!$B$42&lt;&gt;TRUE(),"not on Staff",SUMIFS('Tally Helper'!$L$44:$GI$44,'Tally Helper'!$L$42:$GI$42,"&gt;="&amp;$BR141,'Tally Helper'!$L$42:$GI$42,"&lt;="&amp;$BS141)))</f>
        <v/>
      </c>
      <c r="AL141" s="17" t="str">
        <f aca="false">IF(OR(P$7="",$BR141=""),"",IF('Tally Helper'!$B$45&lt;&gt;TRUE(),"not on Staff",SUMIFS('Tally Helper'!$L$47:$GI$47,'Tally Helper'!$L$45:$GI$45,"&gt;="&amp;$BR141,'Tally Helper'!$L$45:$GI$45,"&lt;="&amp;$BS141)))</f>
        <v/>
      </c>
      <c r="AM141" s="17" t="str">
        <f aca="false">IF(OR(Q$7="",$BR141=""),"",IF('Tally Helper'!$B$48&lt;&gt;TRUE(),"not on Staff",SUMIFS('Tally Helper'!$L$50:$GI$50,'Tally Helper'!$L$48:$GI$48,"&gt;="&amp;$BR141,'Tally Helper'!$L$48:$GI$48,"&lt;="&amp;$BS141)))</f>
        <v/>
      </c>
      <c r="AN141" s="17" t="str">
        <f aca="false">IF(OR(R$7="",$BR141=""),"",IF('Tally Helper'!$B$51&lt;&gt;TRUE(),"not on Staff",SUMIFS('Tally Helper'!$L$53:$GI$53,'Tally Helper'!$L$51:$GI$51,"&gt;="&amp;$BR141,'Tally Helper'!$L$51:$GI$51,"&lt;="&amp;$BS141)))</f>
        <v/>
      </c>
      <c r="AO141" s="17" t="str">
        <f aca="false">IF(OR(S$7="",$BR141=""),"",IF('Tally Helper'!$B$54&lt;&gt;TRUE(),"not on Staff",SUMIFS('Tally Helper'!$L$56:$GI$56,'Tally Helper'!$L$54:$GI$54,"&gt;="&amp;$BR141,'Tally Helper'!$L$54:$GI$54,"&lt;="&amp;$BS141)))</f>
        <v/>
      </c>
      <c r="AP141" s="17" t="str">
        <f aca="false">IF(OR(T$7="",$BR141=""),"",IF('Tally Helper'!$B$57&lt;&gt;TRUE(),"not on Staff",SUMIFS('Tally Helper'!$L$59:$GI$59,'Tally Helper'!$L$57:$GI$57,"&gt;="&amp;$BR141,'Tally Helper'!$L$57:$GI$57,"&lt;="&amp;$BS141)))</f>
        <v/>
      </c>
      <c r="AQ141" s="17" t="str">
        <f aca="false">IF(OR(U$7="",$BR141=""),"",IF('Tally Helper'!$B$60&lt;&gt;TRUE(),"not on Staff",SUMIFS('Tally Helper'!$L$62:$GI$62,'Tally Helper'!$L$60:$GI$60,"&gt;="&amp;$BR141,'Tally Helper'!$L$60:$GI$60,"&lt;="&amp;$BS141)))</f>
        <v/>
      </c>
      <c r="AT141" s="17" t="str">
        <f aca="false">IF(OR(X141="",NOT(ISNUMBER(X141))),"",X141-N(B141))</f>
        <v/>
      </c>
      <c r="AU141" s="17" t="str">
        <f aca="false">IF(OR(Y141="",NOT(ISNUMBER(Y141))),"",Y141-N(C141))</f>
        <v/>
      </c>
      <c r="AV141" s="17" t="str">
        <f aca="false">IF(OR(Z141="",NOT(ISNUMBER(Z141))),"",Z141-N(D141))</f>
        <v/>
      </c>
      <c r="AW141" s="17" t="str">
        <f aca="false">IF(OR(AA141="",NOT(ISNUMBER(AA141))),"",AA141-N(E141))</f>
        <v/>
      </c>
      <c r="AX141" s="17" t="str">
        <f aca="false">IF(OR(AB141="",NOT(ISNUMBER(AB141))),"",AB141-N(F141))</f>
        <v/>
      </c>
      <c r="AY141" s="17" t="str">
        <f aca="false">IF(OR(AC141="",NOT(ISNUMBER(AC141))),"",AC141-N(G141))</f>
        <v/>
      </c>
      <c r="AZ141" s="17" t="str">
        <f aca="false">IF(OR(AD141="",NOT(ISNUMBER(AD141))),"",AD141-N(H141))</f>
        <v/>
      </c>
      <c r="BA141" s="17" t="str">
        <f aca="false">IF(OR(AE141="",NOT(ISNUMBER(AE141))),"",AE141-N(I141))</f>
        <v/>
      </c>
      <c r="BB141" s="17" t="str">
        <f aca="false">IF(OR(AF141="",NOT(ISNUMBER(AF141))),"",AF141-N(J141))</f>
        <v/>
      </c>
      <c r="BC141" s="17" t="str">
        <f aca="false">IF(OR(AG141="",NOT(ISNUMBER(AG141))),"",AG141-N(K141))</f>
        <v/>
      </c>
      <c r="BD141" s="17" t="str">
        <f aca="false">IF(OR(AH141="",NOT(ISNUMBER(AH141))),"",AH141-N(L141))</f>
        <v/>
      </c>
      <c r="BE141" s="17" t="str">
        <f aca="false">IF(OR(AI141="",NOT(ISNUMBER(AI141))),"",AI141-N(M141))</f>
        <v/>
      </c>
      <c r="BF141" s="17" t="str">
        <f aca="false">IF(OR(AJ141="",NOT(ISNUMBER(AJ141))),"",AJ141-N(N141))</f>
        <v/>
      </c>
      <c r="BG141" s="17" t="str">
        <f aca="false">IF(OR(AK141="",NOT(ISNUMBER(AK141))),"",AK141-N(O141))</f>
        <v/>
      </c>
      <c r="BH141" s="17" t="str">
        <f aca="false">IF(OR(AL141="",NOT(ISNUMBER(AL141))),"",AL141-N(P141))</f>
        <v/>
      </c>
      <c r="BI141" s="17" t="str">
        <f aca="false">IF(OR(AM141="",NOT(ISNUMBER(AM141))),"",AM141-N(Q141))</f>
        <v/>
      </c>
      <c r="BJ141" s="17" t="str">
        <f aca="false">IF(OR(AN141="",NOT(ISNUMBER(AN141))),"",AN141-N(R141))</f>
        <v/>
      </c>
      <c r="BK141" s="17" t="str">
        <f aca="false">IF(OR(AO141="",NOT(ISNUMBER(AO141))),"",AO141-N(S141))</f>
        <v/>
      </c>
      <c r="BL141" s="17" t="str">
        <f aca="false">IF(OR(AP141="",NOT(ISNUMBER(AP141))),"",AP141-N(T141))</f>
        <v/>
      </c>
      <c r="BM141" s="17" t="str">
        <f aca="false">IF(OR(AQ141="",NOT(ISNUMBER(AQ141))),"",AQ141-N(U141))</f>
        <v/>
      </c>
      <c r="BR141" s="20" t="str">
        <f aca="false">IF($A141="","",IF(ISNUMBER($A141),DATE(YEAR($A141),MONTH($A141),1),IFERROR(DATE(2000+VALUE(RIGHT(TRIM($A141),2)),MATCH(UPPER(LEFT(TRIM($A141),3)),{"JAN","FEB","MAR","APR","MAY","JUN","JUL","AUG","SEP","OCT","NOV","DEC"},0),1),"")))</f>
        <v/>
      </c>
      <c r="BS141" s="20" t="str">
        <f aca="false">IF(BR141="","",EOMONTH(BR141,0))</f>
        <v/>
      </c>
    </row>
    <row r="142" customFormat="false" ht="15" hidden="false" customHeight="false" outlineLevel="0" collapsed="false">
      <c r="B142" s="21"/>
      <c r="C142" s="21"/>
      <c r="D142" s="21"/>
      <c r="E142" s="21"/>
      <c r="F142" s="21"/>
      <c r="G142" s="21"/>
      <c r="H142" s="21"/>
      <c r="I142" s="21"/>
      <c r="J142" s="21"/>
      <c r="K142" s="21"/>
      <c r="L142" s="21"/>
      <c r="M142" s="21"/>
      <c r="N142" s="21"/>
      <c r="O142" s="21"/>
      <c r="P142" s="21"/>
      <c r="Q142" s="21"/>
      <c r="R142" s="21"/>
      <c r="S142" s="21"/>
      <c r="T142" s="21"/>
      <c r="U142" s="21"/>
      <c r="X142" s="17" t="str">
        <f aca="false">IF(OR(B$7="",$BR142=""),"",IF('Tally Helper'!$B$3&lt;&gt;TRUE(),"not on Staff",SUMIFS('Tally Helper'!$L$5:$GI$5,'Tally Helper'!$L$3:$GI$3,"&gt;="&amp;$BR142,'Tally Helper'!$L$3:$GI$3,"&lt;="&amp;$BS142)))</f>
        <v/>
      </c>
      <c r="Y142" s="17" t="str">
        <f aca="false">IF(OR(C$7="",$BR142=""),"",IF('Tally Helper'!$B$6&lt;&gt;TRUE(),"not on Staff",SUMIFS('Tally Helper'!$L$8:$GI$8,'Tally Helper'!$L$6:$GI$6,"&gt;="&amp;$BR142,'Tally Helper'!$L$6:$GI$6,"&lt;="&amp;$BS142)))</f>
        <v/>
      </c>
      <c r="Z142" s="17" t="str">
        <f aca="false">IF(OR(D$7="",$BR142=""),"",IF('Tally Helper'!$B$9&lt;&gt;TRUE(),"not on Staff",SUMIFS('Tally Helper'!$L$11:$GI$11,'Tally Helper'!$L$9:$GI$9,"&gt;="&amp;$BR142,'Tally Helper'!$L$9:$GI$9,"&lt;="&amp;$BS142)))</f>
        <v/>
      </c>
      <c r="AA142" s="17" t="str">
        <f aca="false">IF(OR(E$7="",$BR142=""),"",IF('Tally Helper'!$B$12&lt;&gt;TRUE(),"not on Staff",SUMIFS('Tally Helper'!$L$14:$GI$14,'Tally Helper'!$L$12:$GI$12,"&gt;="&amp;$BR142,'Tally Helper'!$L$12:$GI$12,"&lt;="&amp;$BS142)))</f>
        <v/>
      </c>
      <c r="AB142" s="17" t="str">
        <f aca="false">IF(OR(F$7="",$BR142=""),"",IF('Tally Helper'!$B$15&lt;&gt;TRUE(),"not on Staff",SUMIFS('Tally Helper'!$L$17:$GI$17,'Tally Helper'!$L$15:$GI$15,"&gt;="&amp;$BR142,'Tally Helper'!$L$15:$GI$15,"&lt;="&amp;$BS142)))</f>
        <v/>
      </c>
      <c r="AC142" s="17" t="str">
        <f aca="false">IF(OR(G$7="",$BR142=""),"",IF('Tally Helper'!$B$18&lt;&gt;TRUE(),"not on Staff",SUMIFS('Tally Helper'!$L$20:$GI$20,'Tally Helper'!$L$18:$GI$18,"&gt;="&amp;$BR142,'Tally Helper'!$L$18:$GI$18,"&lt;="&amp;$BS142)))</f>
        <v/>
      </c>
      <c r="AD142" s="17" t="str">
        <f aca="false">IF(OR(H$7="",$BR142=""),"",IF('Tally Helper'!$B$21&lt;&gt;TRUE(),"not on Staff",SUMIFS('Tally Helper'!$L$23:$GI$23,'Tally Helper'!$L$21:$GI$21,"&gt;="&amp;$BR142,'Tally Helper'!$L$21:$GI$21,"&lt;="&amp;$BS142)))</f>
        <v/>
      </c>
      <c r="AE142" s="17" t="str">
        <f aca="false">IF(OR(I$7="",$BR142=""),"",IF('Tally Helper'!$B$24&lt;&gt;TRUE(),"not on Staff",SUMIFS('Tally Helper'!$L$26:$GI$26,'Tally Helper'!$L$24:$GI$24,"&gt;="&amp;$BR142,'Tally Helper'!$L$24:$GI$24,"&lt;="&amp;$BS142)))</f>
        <v/>
      </c>
      <c r="AF142" s="17" t="str">
        <f aca="false">IF(OR(J$7="",$BR142=""),"",IF('Tally Helper'!$B$27&lt;&gt;TRUE(),"not on Staff",SUMIFS('Tally Helper'!$L$29:$GI$29,'Tally Helper'!$L$27:$GI$27,"&gt;="&amp;$BR142,'Tally Helper'!$L$27:$GI$27,"&lt;="&amp;$BS142)))</f>
        <v/>
      </c>
      <c r="AG142" s="17" t="str">
        <f aca="false">IF(OR(K$7="",$BR142=""),"",IF('Tally Helper'!$B$30&lt;&gt;TRUE(),"not on Staff",SUMIFS('Tally Helper'!$L$32:$GI$32,'Tally Helper'!$L$30:$GI$30,"&gt;="&amp;$BR142,'Tally Helper'!$L$30:$GI$30,"&lt;="&amp;$BS142)))</f>
        <v/>
      </c>
      <c r="AH142" s="17" t="str">
        <f aca="false">IF(OR(L$7="",$BR142=""),"",IF('Tally Helper'!$B$33&lt;&gt;TRUE(),"not on Staff",SUMIFS('Tally Helper'!$L$35:$GI$35,'Tally Helper'!$L$33:$GI$33,"&gt;="&amp;$BR142,'Tally Helper'!$L$33:$GI$33,"&lt;="&amp;$BS142)))</f>
        <v/>
      </c>
      <c r="AI142" s="17" t="str">
        <f aca="false">IF(OR(M$7="",$BR142=""),"",IF('Tally Helper'!$B$36&lt;&gt;TRUE(),"not on Staff",SUMIFS('Tally Helper'!$L$38:$GI$38,'Tally Helper'!$L$36:$GI$36,"&gt;="&amp;$BR142,'Tally Helper'!$L$36:$GI$36,"&lt;="&amp;$BS142)))</f>
        <v/>
      </c>
      <c r="AJ142" s="17" t="str">
        <f aca="false">IF(OR(N$7="",$BR142=""),"",IF('Tally Helper'!$B$39&lt;&gt;TRUE(),"not on Staff",SUMIFS('Tally Helper'!$L$41:$GI$41,'Tally Helper'!$L$39:$GI$39,"&gt;="&amp;$BR142,'Tally Helper'!$L$39:$GI$39,"&lt;="&amp;$BS142)))</f>
        <v/>
      </c>
      <c r="AK142" s="17" t="str">
        <f aca="false">IF(OR(O$7="",$BR142=""),"",IF('Tally Helper'!$B$42&lt;&gt;TRUE(),"not on Staff",SUMIFS('Tally Helper'!$L$44:$GI$44,'Tally Helper'!$L$42:$GI$42,"&gt;="&amp;$BR142,'Tally Helper'!$L$42:$GI$42,"&lt;="&amp;$BS142)))</f>
        <v/>
      </c>
      <c r="AL142" s="17" t="str">
        <f aca="false">IF(OR(P$7="",$BR142=""),"",IF('Tally Helper'!$B$45&lt;&gt;TRUE(),"not on Staff",SUMIFS('Tally Helper'!$L$47:$GI$47,'Tally Helper'!$L$45:$GI$45,"&gt;="&amp;$BR142,'Tally Helper'!$L$45:$GI$45,"&lt;="&amp;$BS142)))</f>
        <v/>
      </c>
      <c r="AM142" s="17" t="str">
        <f aca="false">IF(OR(Q$7="",$BR142=""),"",IF('Tally Helper'!$B$48&lt;&gt;TRUE(),"not on Staff",SUMIFS('Tally Helper'!$L$50:$GI$50,'Tally Helper'!$L$48:$GI$48,"&gt;="&amp;$BR142,'Tally Helper'!$L$48:$GI$48,"&lt;="&amp;$BS142)))</f>
        <v/>
      </c>
      <c r="AN142" s="17" t="str">
        <f aca="false">IF(OR(R$7="",$BR142=""),"",IF('Tally Helper'!$B$51&lt;&gt;TRUE(),"not on Staff",SUMIFS('Tally Helper'!$L$53:$GI$53,'Tally Helper'!$L$51:$GI$51,"&gt;="&amp;$BR142,'Tally Helper'!$L$51:$GI$51,"&lt;="&amp;$BS142)))</f>
        <v/>
      </c>
      <c r="AO142" s="17" t="str">
        <f aca="false">IF(OR(S$7="",$BR142=""),"",IF('Tally Helper'!$B$54&lt;&gt;TRUE(),"not on Staff",SUMIFS('Tally Helper'!$L$56:$GI$56,'Tally Helper'!$L$54:$GI$54,"&gt;="&amp;$BR142,'Tally Helper'!$L$54:$GI$54,"&lt;="&amp;$BS142)))</f>
        <v/>
      </c>
      <c r="AP142" s="17" t="str">
        <f aca="false">IF(OR(T$7="",$BR142=""),"",IF('Tally Helper'!$B$57&lt;&gt;TRUE(),"not on Staff",SUMIFS('Tally Helper'!$L$59:$GI$59,'Tally Helper'!$L$57:$GI$57,"&gt;="&amp;$BR142,'Tally Helper'!$L$57:$GI$57,"&lt;="&amp;$BS142)))</f>
        <v/>
      </c>
      <c r="AQ142" s="17" t="str">
        <f aca="false">IF(OR(U$7="",$BR142=""),"",IF('Tally Helper'!$B$60&lt;&gt;TRUE(),"not on Staff",SUMIFS('Tally Helper'!$L$62:$GI$62,'Tally Helper'!$L$60:$GI$60,"&gt;="&amp;$BR142,'Tally Helper'!$L$60:$GI$60,"&lt;="&amp;$BS142)))</f>
        <v/>
      </c>
      <c r="AT142" s="17" t="str">
        <f aca="false">IF(OR(X142="",NOT(ISNUMBER(X142))),"",X142-N(B142))</f>
        <v/>
      </c>
      <c r="AU142" s="17" t="str">
        <f aca="false">IF(OR(Y142="",NOT(ISNUMBER(Y142))),"",Y142-N(C142))</f>
        <v/>
      </c>
      <c r="AV142" s="17" t="str">
        <f aca="false">IF(OR(Z142="",NOT(ISNUMBER(Z142))),"",Z142-N(D142))</f>
        <v/>
      </c>
      <c r="AW142" s="17" t="str">
        <f aca="false">IF(OR(AA142="",NOT(ISNUMBER(AA142))),"",AA142-N(E142))</f>
        <v/>
      </c>
      <c r="AX142" s="17" t="str">
        <f aca="false">IF(OR(AB142="",NOT(ISNUMBER(AB142))),"",AB142-N(F142))</f>
        <v/>
      </c>
      <c r="AY142" s="17" t="str">
        <f aca="false">IF(OR(AC142="",NOT(ISNUMBER(AC142))),"",AC142-N(G142))</f>
        <v/>
      </c>
      <c r="AZ142" s="17" t="str">
        <f aca="false">IF(OR(AD142="",NOT(ISNUMBER(AD142))),"",AD142-N(H142))</f>
        <v/>
      </c>
      <c r="BA142" s="17" t="str">
        <f aca="false">IF(OR(AE142="",NOT(ISNUMBER(AE142))),"",AE142-N(I142))</f>
        <v/>
      </c>
      <c r="BB142" s="17" t="str">
        <f aca="false">IF(OR(AF142="",NOT(ISNUMBER(AF142))),"",AF142-N(J142))</f>
        <v/>
      </c>
      <c r="BC142" s="17" t="str">
        <f aca="false">IF(OR(AG142="",NOT(ISNUMBER(AG142))),"",AG142-N(K142))</f>
        <v/>
      </c>
      <c r="BD142" s="17" t="str">
        <f aca="false">IF(OR(AH142="",NOT(ISNUMBER(AH142))),"",AH142-N(L142))</f>
        <v/>
      </c>
      <c r="BE142" s="17" t="str">
        <f aca="false">IF(OR(AI142="",NOT(ISNUMBER(AI142))),"",AI142-N(M142))</f>
        <v/>
      </c>
      <c r="BF142" s="17" t="str">
        <f aca="false">IF(OR(AJ142="",NOT(ISNUMBER(AJ142))),"",AJ142-N(N142))</f>
        <v/>
      </c>
      <c r="BG142" s="17" t="str">
        <f aca="false">IF(OR(AK142="",NOT(ISNUMBER(AK142))),"",AK142-N(O142))</f>
        <v/>
      </c>
      <c r="BH142" s="17" t="str">
        <f aca="false">IF(OR(AL142="",NOT(ISNUMBER(AL142))),"",AL142-N(P142))</f>
        <v/>
      </c>
      <c r="BI142" s="17" t="str">
        <f aca="false">IF(OR(AM142="",NOT(ISNUMBER(AM142))),"",AM142-N(Q142))</f>
        <v/>
      </c>
      <c r="BJ142" s="17" t="str">
        <f aca="false">IF(OR(AN142="",NOT(ISNUMBER(AN142))),"",AN142-N(R142))</f>
        <v/>
      </c>
      <c r="BK142" s="17" t="str">
        <f aca="false">IF(OR(AO142="",NOT(ISNUMBER(AO142))),"",AO142-N(S142))</f>
        <v/>
      </c>
      <c r="BL142" s="17" t="str">
        <f aca="false">IF(OR(AP142="",NOT(ISNUMBER(AP142))),"",AP142-N(T142))</f>
        <v/>
      </c>
      <c r="BM142" s="17" t="str">
        <f aca="false">IF(OR(AQ142="",NOT(ISNUMBER(AQ142))),"",AQ142-N(U142))</f>
        <v/>
      </c>
      <c r="BR142" s="20" t="str">
        <f aca="false">IF($A142="","",IF(ISNUMBER($A142),DATE(YEAR($A142),MONTH($A142),1),IFERROR(DATE(2000+VALUE(RIGHT(TRIM($A142),2)),MATCH(UPPER(LEFT(TRIM($A142),3)),{"JAN","FEB","MAR","APR","MAY","JUN","JUL","AUG","SEP","OCT","NOV","DEC"},0),1),"")))</f>
        <v/>
      </c>
      <c r="BS142" s="20" t="str">
        <f aca="false">IF(BR142="","",EOMONTH(BR142,0))</f>
        <v/>
      </c>
    </row>
    <row r="143" customFormat="false" ht="15" hidden="false" customHeight="false" outlineLevel="0" collapsed="false">
      <c r="B143" s="21"/>
      <c r="C143" s="21"/>
      <c r="D143" s="21"/>
      <c r="E143" s="21"/>
      <c r="F143" s="21"/>
      <c r="G143" s="21"/>
      <c r="H143" s="21"/>
      <c r="I143" s="21"/>
      <c r="J143" s="21"/>
      <c r="K143" s="21"/>
      <c r="L143" s="21"/>
      <c r="M143" s="21"/>
      <c r="N143" s="21"/>
      <c r="O143" s="21"/>
      <c r="P143" s="21"/>
      <c r="Q143" s="21"/>
      <c r="R143" s="21"/>
      <c r="S143" s="21"/>
      <c r="T143" s="21"/>
      <c r="U143" s="21"/>
      <c r="X143" s="17" t="str">
        <f aca="false">IF(OR(B$7="",$BR143=""),"",IF('Tally Helper'!$B$3&lt;&gt;TRUE(),"not on Staff",SUMIFS('Tally Helper'!$L$5:$GI$5,'Tally Helper'!$L$3:$GI$3,"&gt;="&amp;$BR143,'Tally Helper'!$L$3:$GI$3,"&lt;="&amp;$BS143)))</f>
        <v/>
      </c>
      <c r="Y143" s="17" t="str">
        <f aca="false">IF(OR(C$7="",$BR143=""),"",IF('Tally Helper'!$B$6&lt;&gt;TRUE(),"not on Staff",SUMIFS('Tally Helper'!$L$8:$GI$8,'Tally Helper'!$L$6:$GI$6,"&gt;="&amp;$BR143,'Tally Helper'!$L$6:$GI$6,"&lt;="&amp;$BS143)))</f>
        <v/>
      </c>
      <c r="Z143" s="17" t="str">
        <f aca="false">IF(OR(D$7="",$BR143=""),"",IF('Tally Helper'!$B$9&lt;&gt;TRUE(),"not on Staff",SUMIFS('Tally Helper'!$L$11:$GI$11,'Tally Helper'!$L$9:$GI$9,"&gt;="&amp;$BR143,'Tally Helper'!$L$9:$GI$9,"&lt;="&amp;$BS143)))</f>
        <v/>
      </c>
      <c r="AA143" s="17" t="str">
        <f aca="false">IF(OR(E$7="",$BR143=""),"",IF('Tally Helper'!$B$12&lt;&gt;TRUE(),"not on Staff",SUMIFS('Tally Helper'!$L$14:$GI$14,'Tally Helper'!$L$12:$GI$12,"&gt;="&amp;$BR143,'Tally Helper'!$L$12:$GI$12,"&lt;="&amp;$BS143)))</f>
        <v/>
      </c>
      <c r="AB143" s="17" t="str">
        <f aca="false">IF(OR(F$7="",$BR143=""),"",IF('Tally Helper'!$B$15&lt;&gt;TRUE(),"not on Staff",SUMIFS('Tally Helper'!$L$17:$GI$17,'Tally Helper'!$L$15:$GI$15,"&gt;="&amp;$BR143,'Tally Helper'!$L$15:$GI$15,"&lt;="&amp;$BS143)))</f>
        <v/>
      </c>
      <c r="AC143" s="17" t="str">
        <f aca="false">IF(OR(G$7="",$BR143=""),"",IF('Tally Helper'!$B$18&lt;&gt;TRUE(),"not on Staff",SUMIFS('Tally Helper'!$L$20:$GI$20,'Tally Helper'!$L$18:$GI$18,"&gt;="&amp;$BR143,'Tally Helper'!$L$18:$GI$18,"&lt;="&amp;$BS143)))</f>
        <v/>
      </c>
      <c r="AD143" s="17" t="str">
        <f aca="false">IF(OR(H$7="",$BR143=""),"",IF('Tally Helper'!$B$21&lt;&gt;TRUE(),"not on Staff",SUMIFS('Tally Helper'!$L$23:$GI$23,'Tally Helper'!$L$21:$GI$21,"&gt;="&amp;$BR143,'Tally Helper'!$L$21:$GI$21,"&lt;="&amp;$BS143)))</f>
        <v/>
      </c>
      <c r="AE143" s="17" t="str">
        <f aca="false">IF(OR(I$7="",$BR143=""),"",IF('Tally Helper'!$B$24&lt;&gt;TRUE(),"not on Staff",SUMIFS('Tally Helper'!$L$26:$GI$26,'Tally Helper'!$L$24:$GI$24,"&gt;="&amp;$BR143,'Tally Helper'!$L$24:$GI$24,"&lt;="&amp;$BS143)))</f>
        <v/>
      </c>
      <c r="AF143" s="17" t="str">
        <f aca="false">IF(OR(J$7="",$BR143=""),"",IF('Tally Helper'!$B$27&lt;&gt;TRUE(),"not on Staff",SUMIFS('Tally Helper'!$L$29:$GI$29,'Tally Helper'!$L$27:$GI$27,"&gt;="&amp;$BR143,'Tally Helper'!$L$27:$GI$27,"&lt;="&amp;$BS143)))</f>
        <v/>
      </c>
      <c r="AG143" s="17" t="str">
        <f aca="false">IF(OR(K$7="",$BR143=""),"",IF('Tally Helper'!$B$30&lt;&gt;TRUE(),"not on Staff",SUMIFS('Tally Helper'!$L$32:$GI$32,'Tally Helper'!$L$30:$GI$30,"&gt;="&amp;$BR143,'Tally Helper'!$L$30:$GI$30,"&lt;="&amp;$BS143)))</f>
        <v/>
      </c>
      <c r="AH143" s="17" t="str">
        <f aca="false">IF(OR(L$7="",$BR143=""),"",IF('Tally Helper'!$B$33&lt;&gt;TRUE(),"not on Staff",SUMIFS('Tally Helper'!$L$35:$GI$35,'Tally Helper'!$L$33:$GI$33,"&gt;="&amp;$BR143,'Tally Helper'!$L$33:$GI$33,"&lt;="&amp;$BS143)))</f>
        <v/>
      </c>
      <c r="AI143" s="17" t="str">
        <f aca="false">IF(OR(M$7="",$BR143=""),"",IF('Tally Helper'!$B$36&lt;&gt;TRUE(),"not on Staff",SUMIFS('Tally Helper'!$L$38:$GI$38,'Tally Helper'!$L$36:$GI$36,"&gt;="&amp;$BR143,'Tally Helper'!$L$36:$GI$36,"&lt;="&amp;$BS143)))</f>
        <v/>
      </c>
      <c r="AJ143" s="17" t="str">
        <f aca="false">IF(OR(N$7="",$BR143=""),"",IF('Tally Helper'!$B$39&lt;&gt;TRUE(),"not on Staff",SUMIFS('Tally Helper'!$L$41:$GI$41,'Tally Helper'!$L$39:$GI$39,"&gt;="&amp;$BR143,'Tally Helper'!$L$39:$GI$39,"&lt;="&amp;$BS143)))</f>
        <v/>
      </c>
      <c r="AK143" s="17" t="str">
        <f aca="false">IF(OR(O$7="",$BR143=""),"",IF('Tally Helper'!$B$42&lt;&gt;TRUE(),"not on Staff",SUMIFS('Tally Helper'!$L$44:$GI$44,'Tally Helper'!$L$42:$GI$42,"&gt;="&amp;$BR143,'Tally Helper'!$L$42:$GI$42,"&lt;="&amp;$BS143)))</f>
        <v/>
      </c>
      <c r="AL143" s="17" t="str">
        <f aca="false">IF(OR(P$7="",$BR143=""),"",IF('Tally Helper'!$B$45&lt;&gt;TRUE(),"not on Staff",SUMIFS('Tally Helper'!$L$47:$GI$47,'Tally Helper'!$L$45:$GI$45,"&gt;="&amp;$BR143,'Tally Helper'!$L$45:$GI$45,"&lt;="&amp;$BS143)))</f>
        <v/>
      </c>
      <c r="AM143" s="17" t="str">
        <f aca="false">IF(OR(Q$7="",$BR143=""),"",IF('Tally Helper'!$B$48&lt;&gt;TRUE(),"not on Staff",SUMIFS('Tally Helper'!$L$50:$GI$50,'Tally Helper'!$L$48:$GI$48,"&gt;="&amp;$BR143,'Tally Helper'!$L$48:$GI$48,"&lt;="&amp;$BS143)))</f>
        <v/>
      </c>
      <c r="AN143" s="17" t="str">
        <f aca="false">IF(OR(R$7="",$BR143=""),"",IF('Tally Helper'!$B$51&lt;&gt;TRUE(),"not on Staff",SUMIFS('Tally Helper'!$L$53:$GI$53,'Tally Helper'!$L$51:$GI$51,"&gt;="&amp;$BR143,'Tally Helper'!$L$51:$GI$51,"&lt;="&amp;$BS143)))</f>
        <v/>
      </c>
      <c r="AO143" s="17" t="str">
        <f aca="false">IF(OR(S$7="",$BR143=""),"",IF('Tally Helper'!$B$54&lt;&gt;TRUE(),"not on Staff",SUMIFS('Tally Helper'!$L$56:$GI$56,'Tally Helper'!$L$54:$GI$54,"&gt;="&amp;$BR143,'Tally Helper'!$L$54:$GI$54,"&lt;="&amp;$BS143)))</f>
        <v/>
      </c>
      <c r="AP143" s="17" t="str">
        <f aca="false">IF(OR(T$7="",$BR143=""),"",IF('Tally Helper'!$B$57&lt;&gt;TRUE(),"not on Staff",SUMIFS('Tally Helper'!$L$59:$GI$59,'Tally Helper'!$L$57:$GI$57,"&gt;="&amp;$BR143,'Tally Helper'!$L$57:$GI$57,"&lt;="&amp;$BS143)))</f>
        <v/>
      </c>
      <c r="AQ143" s="17" t="str">
        <f aca="false">IF(OR(U$7="",$BR143=""),"",IF('Tally Helper'!$B$60&lt;&gt;TRUE(),"not on Staff",SUMIFS('Tally Helper'!$L$62:$GI$62,'Tally Helper'!$L$60:$GI$60,"&gt;="&amp;$BR143,'Tally Helper'!$L$60:$GI$60,"&lt;="&amp;$BS143)))</f>
        <v/>
      </c>
      <c r="AT143" s="17" t="str">
        <f aca="false">IF(OR(X143="",NOT(ISNUMBER(X143))),"",X143-N(B143))</f>
        <v/>
      </c>
      <c r="AU143" s="17" t="str">
        <f aca="false">IF(OR(Y143="",NOT(ISNUMBER(Y143))),"",Y143-N(C143))</f>
        <v/>
      </c>
      <c r="AV143" s="17" t="str">
        <f aca="false">IF(OR(Z143="",NOT(ISNUMBER(Z143))),"",Z143-N(D143))</f>
        <v/>
      </c>
      <c r="AW143" s="17" t="str">
        <f aca="false">IF(OR(AA143="",NOT(ISNUMBER(AA143))),"",AA143-N(E143))</f>
        <v/>
      </c>
      <c r="AX143" s="17" t="str">
        <f aca="false">IF(OR(AB143="",NOT(ISNUMBER(AB143))),"",AB143-N(F143))</f>
        <v/>
      </c>
      <c r="AY143" s="17" t="str">
        <f aca="false">IF(OR(AC143="",NOT(ISNUMBER(AC143))),"",AC143-N(G143))</f>
        <v/>
      </c>
      <c r="AZ143" s="17" t="str">
        <f aca="false">IF(OR(AD143="",NOT(ISNUMBER(AD143))),"",AD143-N(H143))</f>
        <v/>
      </c>
      <c r="BA143" s="17" t="str">
        <f aca="false">IF(OR(AE143="",NOT(ISNUMBER(AE143))),"",AE143-N(I143))</f>
        <v/>
      </c>
      <c r="BB143" s="17" t="str">
        <f aca="false">IF(OR(AF143="",NOT(ISNUMBER(AF143))),"",AF143-N(J143))</f>
        <v/>
      </c>
      <c r="BC143" s="17" t="str">
        <f aca="false">IF(OR(AG143="",NOT(ISNUMBER(AG143))),"",AG143-N(K143))</f>
        <v/>
      </c>
      <c r="BD143" s="17" t="str">
        <f aca="false">IF(OR(AH143="",NOT(ISNUMBER(AH143))),"",AH143-N(L143))</f>
        <v/>
      </c>
      <c r="BE143" s="17" t="str">
        <f aca="false">IF(OR(AI143="",NOT(ISNUMBER(AI143))),"",AI143-N(M143))</f>
        <v/>
      </c>
      <c r="BF143" s="17" t="str">
        <f aca="false">IF(OR(AJ143="",NOT(ISNUMBER(AJ143))),"",AJ143-N(N143))</f>
        <v/>
      </c>
      <c r="BG143" s="17" t="str">
        <f aca="false">IF(OR(AK143="",NOT(ISNUMBER(AK143))),"",AK143-N(O143))</f>
        <v/>
      </c>
      <c r="BH143" s="17" t="str">
        <f aca="false">IF(OR(AL143="",NOT(ISNUMBER(AL143))),"",AL143-N(P143))</f>
        <v/>
      </c>
      <c r="BI143" s="17" t="str">
        <f aca="false">IF(OR(AM143="",NOT(ISNUMBER(AM143))),"",AM143-N(Q143))</f>
        <v/>
      </c>
      <c r="BJ143" s="17" t="str">
        <f aca="false">IF(OR(AN143="",NOT(ISNUMBER(AN143))),"",AN143-N(R143))</f>
        <v/>
      </c>
      <c r="BK143" s="17" t="str">
        <f aca="false">IF(OR(AO143="",NOT(ISNUMBER(AO143))),"",AO143-N(S143))</f>
        <v/>
      </c>
      <c r="BL143" s="17" t="str">
        <f aca="false">IF(OR(AP143="",NOT(ISNUMBER(AP143))),"",AP143-N(T143))</f>
        <v/>
      </c>
      <c r="BM143" s="17" t="str">
        <f aca="false">IF(OR(AQ143="",NOT(ISNUMBER(AQ143))),"",AQ143-N(U143))</f>
        <v/>
      </c>
      <c r="BR143" s="20" t="str">
        <f aca="false">IF($A143="","",IF(ISNUMBER($A143),DATE(YEAR($A143),MONTH($A143),1),IFERROR(DATE(2000+VALUE(RIGHT(TRIM($A143),2)),MATCH(UPPER(LEFT(TRIM($A143),3)),{"JAN","FEB","MAR","APR","MAY","JUN","JUL","AUG","SEP","OCT","NOV","DEC"},0),1),"")))</f>
        <v/>
      </c>
      <c r="BS143" s="20" t="str">
        <f aca="false">IF(BR143="","",EOMONTH(BR143,0))</f>
        <v/>
      </c>
    </row>
    <row r="144" customFormat="false" ht="15" hidden="false" customHeight="false" outlineLevel="0" collapsed="false">
      <c r="B144" s="21"/>
      <c r="C144" s="21"/>
      <c r="D144" s="21"/>
      <c r="E144" s="21"/>
      <c r="F144" s="21"/>
      <c r="G144" s="21"/>
      <c r="H144" s="21"/>
      <c r="I144" s="21"/>
      <c r="J144" s="21"/>
      <c r="K144" s="21"/>
      <c r="L144" s="21"/>
      <c r="M144" s="21"/>
      <c r="N144" s="21"/>
      <c r="O144" s="21"/>
      <c r="P144" s="21"/>
      <c r="Q144" s="21"/>
      <c r="R144" s="21"/>
      <c r="S144" s="21"/>
      <c r="T144" s="21"/>
      <c r="U144" s="21"/>
      <c r="X144" s="17" t="str">
        <f aca="false">IF(OR(B$7="",$BR144=""),"",IF('Tally Helper'!$B$3&lt;&gt;TRUE(),"not on Staff",SUMIFS('Tally Helper'!$L$5:$GI$5,'Tally Helper'!$L$3:$GI$3,"&gt;="&amp;$BR144,'Tally Helper'!$L$3:$GI$3,"&lt;="&amp;$BS144)))</f>
        <v/>
      </c>
      <c r="Y144" s="17" t="str">
        <f aca="false">IF(OR(C$7="",$BR144=""),"",IF('Tally Helper'!$B$6&lt;&gt;TRUE(),"not on Staff",SUMIFS('Tally Helper'!$L$8:$GI$8,'Tally Helper'!$L$6:$GI$6,"&gt;="&amp;$BR144,'Tally Helper'!$L$6:$GI$6,"&lt;="&amp;$BS144)))</f>
        <v/>
      </c>
      <c r="Z144" s="17" t="str">
        <f aca="false">IF(OR(D$7="",$BR144=""),"",IF('Tally Helper'!$B$9&lt;&gt;TRUE(),"not on Staff",SUMIFS('Tally Helper'!$L$11:$GI$11,'Tally Helper'!$L$9:$GI$9,"&gt;="&amp;$BR144,'Tally Helper'!$L$9:$GI$9,"&lt;="&amp;$BS144)))</f>
        <v/>
      </c>
      <c r="AA144" s="17" t="str">
        <f aca="false">IF(OR(E$7="",$BR144=""),"",IF('Tally Helper'!$B$12&lt;&gt;TRUE(),"not on Staff",SUMIFS('Tally Helper'!$L$14:$GI$14,'Tally Helper'!$L$12:$GI$12,"&gt;="&amp;$BR144,'Tally Helper'!$L$12:$GI$12,"&lt;="&amp;$BS144)))</f>
        <v/>
      </c>
      <c r="AB144" s="17" t="str">
        <f aca="false">IF(OR(F$7="",$BR144=""),"",IF('Tally Helper'!$B$15&lt;&gt;TRUE(),"not on Staff",SUMIFS('Tally Helper'!$L$17:$GI$17,'Tally Helper'!$L$15:$GI$15,"&gt;="&amp;$BR144,'Tally Helper'!$L$15:$GI$15,"&lt;="&amp;$BS144)))</f>
        <v/>
      </c>
      <c r="AC144" s="17" t="str">
        <f aca="false">IF(OR(G$7="",$BR144=""),"",IF('Tally Helper'!$B$18&lt;&gt;TRUE(),"not on Staff",SUMIFS('Tally Helper'!$L$20:$GI$20,'Tally Helper'!$L$18:$GI$18,"&gt;="&amp;$BR144,'Tally Helper'!$L$18:$GI$18,"&lt;="&amp;$BS144)))</f>
        <v/>
      </c>
      <c r="AD144" s="17" t="str">
        <f aca="false">IF(OR(H$7="",$BR144=""),"",IF('Tally Helper'!$B$21&lt;&gt;TRUE(),"not on Staff",SUMIFS('Tally Helper'!$L$23:$GI$23,'Tally Helper'!$L$21:$GI$21,"&gt;="&amp;$BR144,'Tally Helper'!$L$21:$GI$21,"&lt;="&amp;$BS144)))</f>
        <v/>
      </c>
      <c r="AE144" s="17" t="str">
        <f aca="false">IF(OR(I$7="",$BR144=""),"",IF('Tally Helper'!$B$24&lt;&gt;TRUE(),"not on Staff",SUMIFS('Tally Helper'!$L$26:$GI$26,'Tally Helper'!$L$24:$GI$24,"&gt;="&amp;$BR144,'Tally Helper'!$L$24:$GI$24,"&lt;="&amp;$BS144)))</f>
        <v/>
      </c>
      <c r="AF144" s="17" t="str">
        <f aca="false">IF(OR(J$7="",$BR144=""),"",IF('Tally Helper'!$B$27&lt;&gt;TRUE(),"not on Staff",SUMIFS('Tally Helper'!$L$29:$GI$29,'Tally Helper'!$L$27:$GI$27,"&gt;="&amp;$BR144,'Tally Helper'!$L$27:$GI$27,"&lt;="&amp;$BS144)))</f>
        <v/>
      </c>
      <c r="AG144" s="17" t="str">
        <f aca="false">IF(OR(K$7="",$BR144=""),"",IF('Tally Helper'!$B$30&lt;&gt;TRUE(),"not on Staff",SUMIFS('Tally Helper'!$L$32:$GI$32,'Tally Helper'!$L$30:$GI$30,"&gt;="&amp;$BR144,'Tally Helper'!$L$30:$GI$30,"&lt;="&amp;$BS144)))</f>
        <v/>
      </c>
      <c r="AH144" s="17" t="str">
        <f aca="false">IF(OR(L$7="",$BR144=""),"",IF('Tally Helper'!$B$33&lt;&gt;TRUE(),"not on Staff",SUMIFS('Tally Helper'!$L$35:$GI$35,'Tally Helper'!$L$33:$GI$33,"&gt;="&amp;$BR144,'Tally Helper'!$L$33:$GI$33,"&lt;="&amp;$BS144)))</f>
        <v/>
      </c>
      <c r="AI144" s="17" t="str">
        <f aca="false">IF(OR(M$7="",$BR144=""),"",IF('Tally Helper'!$B$36&lt;&gt;TRUE(),"not on Staff",SUMIFS('Tally Helper'!$L$38:$GI$38,'Tally Helper'!$L$36:$GI$36,"&gt;="&amp;$BR144,'Tally Helper'!$L$36:$GI$36,"&lt;="&amp;$BS144)))</f>
        <v/>
      </c>
      <c r="AJ144" s="17" t="str">
        <f aca="false">IF(OR(N$7="",$BR144=""),"",IF('Tally Helper'!$B$39&lt;&gt;TRUE(),"not on Staff",SUMIFS('Tally Helper'!$L$41:$GI$41,'Tally Helper'!$L$39:$GI$39,"&gt;="&amp;$BR144,'Tally Helper'!$L$39:$GI$39,"&lt;="&amp;$BS144)))</f>
        <v/>
      </c>
      <c r="AK144" s="17" t="str">
        <f aca="false">IF(OR(O$7="",$BR144=""),"",IF('Tally Helper'!$B$42&lt;&gt;TRUE(),"not on Staff",SUMIFS('Tally Helper'!$L$44:$GI$44,'Tally Helper'!$L$42:$GI$42,"&gt;="&amp;$BR144,'Tally Helper'!$L$42:$GI$42,"&lt;="&amp;$BS144)))</f>
        <v/>
      </c>
      <c r="AL144" s="17" t="str">
        <f aca="false">IF(OR(P$7="",$BR144=""),"",IF('Tally Helper'!$B$45&lt;&gt;TRUE(),"not on Staff",SUMIFS('Tally Helper'!$L$47:$GI$47,'Tally Helper'!$L$45:$GI$45,"&gt;="&amp;$BR144,'Tally Helper'!$L$45:$GI$45,"&lt;="&amp;$BS144)))</f>
        <v/>
      </c>
      <c r="AM144" s="17" t="str">
        <f aca="false">IF(OR(Q$7="",$BR144=""),"",IF('Tally Helper'!$B$48&lt;&gt;TRUE(),"not on Staff",SUMIFS('Tally Helper'!$L$50:$GI$50,'Tally Helper'!$L$48:$GI$48,"&gt;="&amp;$BR144,'Tally Helper'!$L$48:$GI$48,"&lt;="&amp;$BS144)))</f>
        <v/>
      </c>
      <c r="AN144" s="17" t="str">
        <f aca="false">IF(OR(R$7="",$BR144=""),"",IF('Tally Helper'!$B$51&lt;&gt;TRUE(),"not on Staff",SUMIFS('Tally Helper'!$L$53:$GI$53,'Tally Helper'!$L$51:$GI$51,"&gt;="&amp;$BR144,'Tally Helper'!$L$51:$GI$51,"&lt;="&amp;$BS144)))</f>
        <v/>
      </c>
      <c r="AO144" s="17" t="str">
        <f aca="false">IF(OR(S$7="",$BR144=""),"",IF('Tally Helper'!$B$54&lt;&gt;TRUE(),"not on Staff",SUMIFS('Tally Helper'!$L$56:$GI$56,'Tally Helper'!$L$54:$GI$54,"&gt;="&amp;$BR144,'Tally Helper'!$L$54:$GI$54,"&lt;="&amp;$BS144)))</f>
        <v/>
      </c>
      <c r="AP144" s="17" t="str">
        <f aca="false">IF(OR(T$7="",$BR144=""),"",IF('Tally Helper'!$B$57&lt;&gt;TRUE(),"not on Staff",SUMIFS('Tally Helper'!$L$59:$GI$59,'Tally Helper'!$L$57:$GI$57,"&gt;="&amp;$BR144,'Tally Helper'!$L$57:$GI$57,"&lt;="&amp;$BS144)))</f>
        <v/>
      </c>
      <c r="AQ144" s="17" t="str">
        <f aca="false">IF(OR(U$7="",$BR144=""),"",IF('Tally Helper'!$B$60&lt;&gt;TRUE(),"not on Staff",SUMIFS('Tally Helper'!$L$62:$GI$62,'Tally Helper'!$L$60:$GI$60,"&gt;="&amp;$BR144,'Tally Helper'!$L$60:$GI$60,"&lt;="&amp;$BS144)))</f>
        <v/>
      </c>
      <c r="AT144" s="17" t="str">
        <f aca="false">IF(OR(X144="",NOT(ISNUMBER(X144))),"",X144-N(B144))</f>
        <v/>
      </c>
      <c r="AU144" s="17" t="str">
        <f aca="false">IF(OR(Y144="",NOT(ISNUMBER(Y144))),"",Y144-N(C144))</f>
        <v/>
      </c>
      <c r="AV144" s="17" t="str">
        <f aca="false">IF(OR(Z144="",NOT(ISNUMBER(Z144))),"",Z144-N(D144))</f>
        <v/>
      </c>
      <c r="AW144" s="17" t="str">
        <f aca="false">IF(OR(AA144="",NOT(ISNUMBER(AA144))),"",AA144-N(E144))</f>
        <v/>
      </c>
      <c r="AX144" s="17" t="str">
        <f aca="false">IF(OR(AB144="",NOT(ISNUMBER(AB144))),"",AB144-N(F144))</f>
        <v/>
      </c>
      <c r="AY144" s="17" t="str">
        <f aca="false">IF(OR(AC144="",NOT(ISNUMBER(AC144))),"",AC144-N(G144))</f>
        <v/>
      </c>
      <c r="AZ144" s="17" t="str">
        <f aca="false">IF(OR(AD144="",NOT(ISNUMBER(AD144))),"",AD144-N(H144))</f>
        <v/>
      </c>
      <c r="BA144" s="17" t="str">
        <f aca="false">IF(OR(AE144="",NOT(ISNUMBER(AE144))),"",AE144-N(I144))</f>
        <v/>
      </c>
      <c r="BB144" s="17" t="str">
        <f aca="false">IF(OR(AF144="",NOT(ISNUMBER(AF144))),"",AF144-N(J144))</f>
        <v/>
      </c>
      <c r="BC144" s="17" t="str">
        <f aca="false">IF(OR(AG144="",NOT(ISNUMBER(AG144))),"",AG144-N(K144))</f>
        <v/>
      </c>
      <c r="BD144" s="17" t="str">
        <f aca="false">IF(OR(AH144="",NOT(ISNUMBER(AH144))),"",AH144-N(L144))</f>
        <v/>
      </c>
      <c r="BE144" s="17" t="str">
        <f aca="false">IF(OR(AI144="",NOT(ISNUMBER(AI144))),"",AI144-N(M144))</f>
        <v/>
      </c>
      <c r="BF144" s="17" t="str">
        <f aca="false">IF(OR(AJ144="",NOT(ISNUMBER(AJ144))),"",AJ144-N(N144))</f>
        <v/>
      </c>
      <c r="BG144" s="17" t="str">
        <f aca="false">IF(OR(AK144="",NOT(ISNUMBER(AK144))),"",AK144-N(O144))</f>
        <v/>
      </c>
      <c r="BH144" s="17" t="str">
        <f aca="false">IF(OR(AL144="",NOT(ISNUMBER(AL144))),"",AL144-N(P144))</f>
        <v/>
      </c>
      <c r="BI144" s="17" t="str">
        <f aca="false">IF(OR(AM144="",NOT(ISNUMBER(AM144))),"",AM144-N(Q144))</f>
        <v/>
      </c>
      <c r="BJ144" s="17" t="str">
        <f aca="false">IF(OR(AN144="",NOT(ISNUMBER(AN144))),"",AN144-N(R144))</f>
        <v/>
      </c>
      <c r="BK144" s="17" t="str">
        <f aca="false">IF(OR(AO144="",NOT(ISNUMBER(AO144))),"",AO144-N(S144))</f>
        <v/>
      </c>
      <c r="BL144" s="17" t="str">
        <f aca="false">IF(OR(AP144="",NOT(ISNUMBER(AP144))),"",AP144-N(T144))</f>
        <v/>
      </c>
      <c r="BM144" s="17" t="str">
        <f aca="false">IF(OR(AQ144="",NOT(ISNUMBER(AQ144))),"",AQ144-N(U144))</f>
        <v/>
      </c>
      <c r="BR144" s="20" t="str">
        <f aca="false">IF($A144="","",IF(ISNUMBER($A144),DATE(YEAR($A144),MONTH($A144),1),IFERROR(DATE(2000+VALUE(RIGHT(TRIM($A144),2)),MATCH(UPPER(LEFT(TRIM($A144),3)),{"JAN","FEB","MAR","APR","MAY","JUN","JUL","AUG","SEP","OCT","NOV","DEC"},0),1),"")))</f>
        <v/>
      </c>
      <c r="BS144" s="20" t="str">
        <f aca="false">IF(BR144="","",EOMONTH(BR144,0))</f>
        <v/>
      </c>
    </row>
    <row r="145" customFormat="false" ht="15" hidden="false" customHeight="false" outlineLevel="0" collapsed="false">
      <c r="B145" s="21"/>
      <c r="C145" s="21"/>
      <c r="D145" s="21"/>
      <c r="E145" s="21"/>
      <c r="F145" s="21"/>
      <c r="G145" s="21"/>
      <c r="H145" s="21"/>
      <c r="I145" s="21"/>
      <c r="J145" s="21"/>
      <c r="K145" s="21"/>
      <c r="L145" s="21"/>
      <c r="M145" s="21"/>
      <c r="N145" s="21"/>
      <c r="O145" s="21"/>
      <c r="P145" s="21"/>
      <c r="Q145" s="21"/>
      <c r="R145" s="21"/>
      <c r="S145" s="21"/>
      <c r="T145" s="21"/>
      <c r="U145" s="21"/>
      <c r="X145" s="17" t="str">
        <f aca="false">IF(OR(B$7="",$BR145=""),"",IF('Tally Helper'!$B$3&lt;&gt;TRUE(),"not on Staff",SUMIFS('Tally Helper'!$L$5:$GI$5,'Tally Helper'!$L$3:$GI$3,"&gt;="&amp;$BR145,'Tally Helper'!$L$3:$GI$3,"&lt;="&amp;$BS145)))</f>
        <v/>
      </c>
      <c r="Y145" s="17" t="str">
        <f aca="false">IF(OR(C$7="",$BR145=""),"",IF('Tally Helper'!$B$6&lt;&gt;TRUE(),"not on Staff",SUMIFS('Tally Helper'!$L$8:$GI$8,'Tally Helper'!$L$6:$GI$6,"&gt;="&amp;$BR145,'Tally Helper'!$L$6:$GI$6,"&lt;="&amp;$BS145)))</f>
        <v/>
      </c>
      <c r="Z145" s="17" t="str">
        <f aca="false">IF(OR(D$7="",$BR145=""),"",IF('Tally Helper'!$B$9&lt;&gt;TRUE(),"not on Staff",SUMIFS('Tally Helper'!$L$11:$GI$11,'Tally Helper'!$L$9:$GI$9,"&gt;="&amp;$BR145,'Tally Helper'!$L$9:$GI$9,"&lt;="&amp;$BS145)))</f>
        <v/>
      </c>
      <c r="AA145" s="17" t="str">
        <f aca="false">IF(OR(E$7="",$BR145=""),"",IF('Tally Helper'!$B$12&lt;&gt;TRUE(),"not on Staff",SUMIFS('Tally Helper'!$L$14:$GI$14,'Tally Helper'!$L$12:$GI$12,"&gt;="&amp;$BR145,'Tally Helper'!$L$12:$GI$12,"&lt;="&amp;$BS145)))</f>
        <v/>
      </c>
      <c r="AB145" s="17" t="str">
        <f aca="false">IF(OR(F$7="",$BR145=""),"",IF('Tally Helper'!$B$15&lt;&gt;TRUE(),"not on Staff",SUMIFS('Tally Helper'!$L$17:$GI$17,'Tally Helper'!$L$15:$GI$15,"&gt;="&amp;$BR145,'Tally Helper'!$L$15:$GI$15,"&lt;="&amp;$BS145)))</f>
        <v/>
      </c>
      <c r="AC145" s="17" t="str">
        <f aca="false">IF(OR(G$7="",$BR145=""),"",IF('Tally Helper'!$B$18&lt;&gt;TRUE(),"not on Staff",SUMIFS('Tally Helper'!$L$20:$GI$20,'Tally Helper'!$L$18:$GI$18,"&gt;="&amp;$BR145,'Tally Helper'!$L$18:$GI$18,"&lt;="&amp;$BS145)))</f>
        <v/>
      </c>
      <c r="AD145" s="17" t="str">
        <f aca="false">IF(OR(H$7="",$BR145=""),"",IF('Tally Helper'!$B$21&lt;&gt;TRUE(),"not on Staff",SUMIFS('Tally Helper'!$L$23:$GI$23,'Tally Helper'!$L$21:$GI$21,"&gt;="&amp;$BR145,'Tally Helper'!$L$21:$GI$21,"&lt;="&amp;$BS145)))</f>
        <v/>
      </c>
      <c r="AE145" s="17" t="str">
        <f aca="false">IF(OR(I$7="",$BR145=""),"",IF('Tally Helper'!$B$24&lt;&gt;TRUE(),"not on Staff",SUMIFS('Tally Helper'!$L$26:$GI$26,'Tally Helper'!$L$24:$GI$24,"&gt;="&amp;$BR145,'Tally Helper'!$L$24:$GI$24,"&lt;="&amp;$BS145)))</f>
        <v/>
      </c>
      <c r="AF145" s="17" t="str">
        <f aca="false">IF(OR(J$7="",$BR145=""),"",IF('Tally Helper'!$B$27&lt;&gt;TRUE(),"not on Staff",SUMIFS('Tally Helper'!$L$29:$GI$29,'Tally Helper'!$L$27:$GI$27,"&gt;="&amp;$BR145,'Tally Helper'!$L$27:$GI$27,"&lt;="&amp;$BS145)))</f>
        <v/>
      </c>
      <c r="AG145" s="17" t="str">
        <f aca="false">IF(OR(K$7="",$BR145=""),"",IF('Tally Helper'!$B$30&lt;&gt;TRUE(),"not on Staff",SUMIFS('Tally Helper'!$L$32:$GI$32,'Tally Helper'!$L$30:$GI$30,"&gt;="&amp;$BR145,'Tally Helper'!$L$30:$GI$30,"&lt;="&amp;$BS145)))</f>
        <v/>
      </c>
      <c r="AH145" s="17" t="str">
        <f aca="false">IF(OR(L$7="",$BR145=""),"",IF('Tally Helper'!$B$33&lt;&gt;TRUE(),"not on Staff",SUMIFS('Tally Helper'!$L$35:$GI$35,'Tally Helper'!$L$33:$GI$33,"&gt;="&amp;$BR145,'Tally Helper'!$L$33:$GI$33,"&lt;="&amp;$BS145)))</f>
        <v/>
      </c>
      <c r="AI145" s="17" t="str">
        <f aca="false">IF(OR(M$7="",$BR145=""),"",IF('Tally Helper'!$B$36&lt;&gt;TRUE(),"not on Staff",SUMIFS('Tally Helper'!$L$38:$GI$38,'Tally Helper'!$L$36:$GI$36,"&gt;="&amp;$BR145,'Tally Helper'!$L$36:$GI$36,"&lt;="&amp;$BS145)))</f>
        <v/>
      </c>
      <c r="AJ145" s="17" t="str">
        <f aca="false">IF(OR(N$7="",$BR145=""),"",IF('Tally Helper'!$B$39&lt;&gt;TRUE(),"not on Staff",SUMIFS('Tally Helper'!$L$41:$GI$41,'Tally Helper'!$L$39:$GI$39,"&gt;="&amp;$BR145,'Tally Helper'!$L$39:$GI$39,"&lt;="&amp;$BS145)))</f>
        <v/>
      </c>
      <c r="AK145" s="17" t="str">
        <f aca="false">IF(OR(O$7="",$BR145=""),"",IF('Tally Helper'!$B$42&lt;&gt;TRUE(),"not on Staff",SUMIFS('Tally Helper'!$L$44:$GI$44,'Tally Helper'!$L$42:$GI$42,"&gt;="&amp;$BR145,'Tally Helper'!$L$42:$GI$42,"&lt;="&amp;$BS145)))</f>
        <v/>
      </c>
      <c r="AL145" s="17" t="str">
        <f aca="false">IF(OR(P$7="",$BR145=""),"",IF('Tally Helper'!$B$45&lt;&gt;TRUE(),"not on Staff",SUMIFS('Tally Helper'!$L$47:$GI$47,'Tally Helper'!$L$45:$GI$45,"&gt;="&amp;$BR145,'Tally Helper'!$L$45:$GI$45,"&lt;="&amp;$BS145)))</f>
        <v/>
      </c>
      <c r="AM145" s="17" t="str">
        <f aca="false">IF(OR(Q$7="",$BR145=""),"",IF('Tally Helper'!$B$48&lt;&gt;TRUE(),"not on Staff",SUMIFS('Tally Helper'!$L$50:$GI$50,'Tally Helper'!$L$48:$GI$48,"&gt;="&amp;$BR145,'Tally Helper'!$L$48:$GI$48,"&lt;="&amp;$BS145)))</f>
        <v/>
      </c>
      <c r="AN145" s="17" t="str">
        <f aca="false">IF(OR(R$7="",$BR145=""),"",IF('Tally Helper'!$B$51&lt;&gt;TRUE(),"not on Staff",SUMIFS('Tally Helper'!$L$53:$GI$53,'Tally Helper'!$L$51:$GI$51,"&gt;="&amp;$BR145,'Tally Helper'!$L$51:$GI$51,"&lt;="&amp;$BS145)))</f>
        <v/>
      </c>
      <c r="AO145" s="17" t="str">
        <f aca="false">IF(OR(S$7="",$BR145=""),"",IF('Tally Helper'!$B$54&lt;&gt;TRUE(),"not on Staff",SUMIFS('Tally Helper'!$L$56:$GI$56,'Tally Helper'!$L$54:$GI$54,"&gt;="&amp;$BR145,'Tally Helper'!$L$54:$GI$54,"&lt;="&amp;$BS145)))</f>
        <v/>
      </c>
      <c r="AP145" s="17" t="str">
        <f aca="false">IF(OR(T$7="",$BR145=""),"",IF('Tally Helper'!$B$57&lt;&gt;TRUE(),"not on Staff",SUMIFS('Tally Helper'!$L$59:$GI$59,'Tally Helper'!$L$57:$GI$57,"&gt;="&amp;$BR145,'Tally Helper'!$L$57:$GI$57,"&lt;="&amp;$BS145)))</f>
        <v/>
      </c>
      <c r="AQ145" s="17" t="str">
        <f aca="false">IF(OR(U$7="",$BR145=""),"",IF('Tally Helper'!$B$60&lt;&gt;TRUE(),"not on Staff",SUMIFS('Tally Helper'!$L$62:$GI$62,'Tally Helper'!$L$60:$GI$60,"&gt;="&amp;$BR145,'Tally Helper'!$L$60:$GI$60,"&lt;="&amp;$BS145)))</f>
        <v/>
      </c>
      <c r="AT145" s="17" t="str">
        <f aca="false">IF(OR(X145="",NOT(ISNUMBER(X145))),"",X145-N(B145))</f>
        <v/>
      </c>
      <c r="AU145" s="17" t="str">
        <f aca="false">IF(OR(Y145="",NOT(ISNUMBER(Y145))),"",Y145-N(C145))</f>
        <v/>
      </c>
      <c r="AV145" s="17" t="str">
        <f aca="false">IF(OR(Z145="",NOT(ISNUMBER(Z145))),"",Z145-N(D145))</f>
        <v/>
      </c>
      <c r="AW145" s="17" t="str">
        <f aca="false">IF(OR(AA145="",NOT(ISNUMBER(AA145))),"",AA145-N(E145))</f>
        <v/>
      </c>
      <c r="AX145" s="17" t="str">
        <f aca="false">IF(OR(AB145="",NOT(ISNUMBER(AB145))),"",AB145-N(F145))</f>
        <v/>
      </c>
      <c r="AY145" s="17" t="str">
        <f aca="false">IF(OR(AC145="",NOT(ISNUMBER(AC145))),"",AC145-N(G145))</f>
        <v/>
      </c>
      <c r="AZ145" s="17" t="str">
        <f aca="false">IF(OR(AD145="",NOT(ISNUMBER(AD145))),"",AD145-N(H145))</f>
        <v/>
      </c>
      <c r="BA145" s="17" t="str">
        <f aca="false">IF(OR(AE145="",NOT(ISNUMBER(AE145))),"",AE145-N(I145))</f>
        <v/>
      </c>
      <c r="BB145" s="17" t="str">
        <f aca="false">IF(OR(AF145="",NOT(ISNUMBER(AF145))),"",AF145-N(J145))</f>
        <v/>
      </c>
      <c r="BC145" s="17" t="str">
        <f aca="false">IF(OR(AG145="",NOT(ISNUMBER(AG145))),"",AG145-N(K145))</f>
        <v/>
      </c>
      <c r="BD145" s="17" t="str">
        <f aca="false">IF(OR(AH145="",NOT(ISNUMBER(AH145))),"",AH145-N(L145))</f>
        <v/>
      </c>
      <c r="BE145" s="17" t="str">
        <f aca="false">IF(OR(AI145="",NOT(ISNUMBER(AI145))),"",AI145-N(M145))</f>
        <v/>
      </c>
      <c r="BF145" s="17" t="str">
        <f aca="false">IF(OR(AJ145="",NOT(ISNUMBER(AJ145))),"",AJ145-N(N145))</f>
        <v/>
      </c>
      <c r="BG145" s="17" t="str">
        <f aca="false">IF(OR(AK145="",NOT(ISNUMBER(AK145))),"",AK145-N(O145))</f>
        <v/>
      </c>
      <c r="BH145" s="17" t="str">
        <f aca="false">IF(OR(AL145="",NOT(ISNUMBER(AL145))),"",AL145-N(P145))</f>
        <v/>
      </c>
      <c r="BI145" s="17" t="str">
        <f aca="false">IF(OR(AM145="",NOT(ISNUMBER(AM145))),"",AM145-N(Q145))</f>
        <v/>
      </c>
      <c r="BJ145" s="17" t="str">
        <f aca="false">IF(OR(AN145="",NOT(ISNUMBER(AN145))),"",AN145-N(R145))</f>
        <v/>
      </c>
      <c r="BK145" s="17" t="str">
        <f aca="false">IF(OR(AO145="",NOT(ISNUMBER(AO145))),"",AO145-N(S145))</f>
        <v/>
      </c>
      <c r="BL145" s="17" t="str">
        <f aca="false">IF(OR(AP145="",NOT(ISNUMBER(AP145))),"",AP145-N(T145))</f>
        <v/>
      </c>
      <c r="BM145" s="17" t="str">
        <f aca="false">IF(OR(AQ145="",NOT(ISNUMBER(AQ145))),"",AQ145-N(U145))</f>
        <v/>
      </c>
      <c r="BR145" s="20" t="str">
        <f aca="false">IF($A145="","",IF(ISNUMBER($A145),DATE(YEAR($A145),MONTH($A145),1),IFERROR(DATE(2000+VALUE(RIGHT(TRIM($A145),2)),MATCH(UPPER(LEFT(TRIM($A145),3)),{"JAN","FEB","MAR","APR","MAY","JUN","JUL","AUG","SEP","OCT","NOV","DEC"},0),1),"")))</f>
        <v/>
      </c>
      <c r="BS145" s="20" t="str">
        <f aca="false">IF(BR145="","",EOMONTH(BR145,0))</f>
        <v/>
      </c>
    </row>
    <row r="146" customFormat="false" ht="15" hidden="false" customHeight="false" outlineLevel="0" collapsed="false">
      <c r="B146" s="21"/>
      <c r="C146" s="21"/>
      <c r="D146" s="21"/>
      <c r="E146" s="21"/>
      <c r="F146" s="21"/>
      <c r="G146" s="21"/>
      <c r="H146" s="21"/>
      <c r="I146" s="21"/>
      <c r="J146" s="21"/>
      <c r="K146" s="21"/>
      <c r="L146" s="21"/>
      <c r="M146" s="21"/>
      <c r="N146" s="21"/>
      <c r="O146" s="21"/>
      <c r="P146" s="21"/>
      <c r="Q146" s="21"/>
      <c r="R146" s="21"/>
      <c r="S146" s="21"/>
      <c r="T146" s="21"/>
      <c r="U146" s="21"/>
      <c r="X146" s="17" t="str">
        <f aca="false">IF(OR(B$7="",$BR146=""),"",IF('Tally Helper'!$B$3&lt;&gt;TRUE(),"not on Staff",SUMIFS('Tally Helper'!$L$5:$GI$5,'Tally Helper'!$L$3:$GI$3,"&gt;="&amp;$BR146,'Tally Helper'!$L$3:$GI$3,"&lt;="&amp;$BS146)))</f>
        <v/>
      </c>
      <c r="Y146" s="17" t="str">
        <f aca="false">IF(OR(C$7="",$BR146=""),"",IF('Tally Helper'!$B$6&lt;&gt;TRUE(),"not on Staff",SUMIFS('Tally Helper'!$L$8:$GI$8,'Tally Helper'!$L$6:$GI$6,"&gt;="&amp;$BR146,'Tally Helper'!$L$6:$GI$6,"&lt;="&amp;$BS146)))</f>
        <v/>
      </c>
      <c r="Z146" s="17" t="str">
        <f aca="false">IF(OR(D$7="",$BR146=""),"",IF('Tally Helper'!$B$9&lt;&gt;TRUE(),"not on Staff",SUMIFS('Tally Helper'!$L$11:$GI$11,'Tally Helper'!$L$9:$GI$9,"&gt;="&amp;$BR146,'Tally Helper'!$L$9:$GI$9,"&lt;="&amp;$BS146)))</f>
        <v/>
      </c>
      <c r="AA146" s="17" t="str">
        <f aca="false">IF(OR(E$7="",$BR146=""),"",IF('Tally Helper'!$B$12&lt;&gt;TRUE(),"not on Staff",SUMIFS('Tally Helper'!$L$14:$GI$14,'Tally Helper'!$L$12:$GI$12,"&gt;="&amp;$BR146,'Tally Helper'!$L$12:$GI$12,"&lt;="&amp;$BS146)))</f>
        <v/>
      </c>
      <c r="AB146" s="17" t="str">
        <f aca="false">IF(OR(F$7="",$BR146=""),"",IF('Tally Helper'!$B$15&lt;&gt;TRUE(),"not on Staff",SUMIFS('Tally Helper'!$L$17:$GI$17,'Tally Helper'!$L$15:$GI$15,"&gt;="&amp;$BR146,'Tally Helper'!$L$15:$GI$15,"&lt;="&amp;$BS146)))</f>
        <v/>
      </c>
      <c r="AC146" s="17" t="str">
        <f aca="false">IF(OR(G$7="",$BR146=""),"",IF('Tally Helper'!$B$18&lt;&gt;TRUE(),"not on Staff",SUMIFS('Tally Helper'!$L$20:$GI$20,'Tally Helper'!$L$18:$GI$18,"&gt;="&amp;$BR146,'Tally Helper'!$L$18:$GI$18,"&lt;="&amp;$BS146)))</f>
        <v/>
      </c>
      <c r="AD146" s="17" t="str">
        <f aca="false">IF(OR(H$7="",$BR146=""),"",IF('Tally Helper'!$B$21&lt;&gt;TRUE(),"not on Staff",SUMIFS('Tally Helper'!$L$23:$GI$23,'Tally Helper'!$L$21:$GI$21,"&gt;="&amp;$BR146,'Tally Helper'!$L$21:$GI$21,"&lt;="&amp;$BS146)))</f>
        <v/>
      </c>
      <c r="AE146" s="17" t="str">
        <f aca="false">IF(OR(I$7="",$BR146=""),"",IF('Tally Helper'!$B$24&lt;&gt;TRUE(),"not on Staff",SUMIFS('Tally Helper'!$L$26:$GI$26,'Tally Helper'!$L$24:$GI$24,"&gt;="&amp;$BR146,'Tally Helper'!$L$24:$GI$24,"&lt;="&amp;$BS146)))</f>
        <v/>
      </c>
      <c r="AF146" s="17" t="str">
        <f aca="false">IF(OR(J$7="",$BR146=""),"",IF('Tally Helper'!$B$27&lt;&gt;TRUE(),"not on Staff",SUMIFS('Tally Helper'!$L$29:$GI$29,'Tally Helper'!$L$27:$GI$27,"&gt;="&amp;$BR146,'Tally Helper'!$L$27:$GI$27,"&lt;="&amp;$BS146)))</f>
        <v/>
      </c>
      <c r="AG146" s="17" t="str">
        <f aca="false">IF(OR(K$7="",$BR146=""),"",IF('Tally Helper'!$B$30&lt;&gt;TRUE(),"not on Staff",SUMIFS('Tally Helper'!$L$32:$GI$32,'Tally Helper'!$L$30:$GI$30,"&gt;="&amp;$BR146,'Tally Helper'!$L$30:$GI$30,"&lt;="&amp;$BS146)))</f>
        <v/>
      </c>
      <c r="AH146" s="17" t="str">
        <f aca="false">IF(OR(L$7="",$BR146=""),"",IF('Tally Helper'!$B$33&lt;&gt;TRUE(),"not on Staff",SUMIFS('Tally Helper'!$L$35:$GI$35,'Tally Helper'!$L$33:$GI$33,"&gt;="&amp;$BR146,'Tally Helper'!$L$33:$GI$33,"&lt;="&amp;$BS146)))</f>
        <v/>
      </c>
      <c r="AI146" s="17" t="str">
        <f aca="false">IF(OR(M$7="",$BR146=""),"",IF('Tally Helper'!$B$36&lt;&gt;TRUE(),"not on Staff",SUMIFS('Tally Helper'!$L$38:$GI$38,'Tally Helper'!$L$36:$GI$36,"&gt;="&amp;$BR146,'Tally Helper'!$L$36:$GI$36,"&lt;="&amp;$BS146)))</f>
        <v/>
      </c>
      <c r="AJ146" s="17" t="str">
        <f aca="false">IF(OR(N$7="",$BR146=""),"",IF('Tally Helper'!$B$39&lt;&gt;TRUE(),"not on Staff",SUMIFS('Tally Helper'!$L$41:$GI$41,'Tally Helper'!$L$39:$GI$39,"&gt;="&amp;$BR146,'Tally Helper'!$L$39:$GI$39,"&lt;="&amp;$BS146)))</f>
        <v/>
      </c>
      <c r="AK146" s="17" t="str">
        <f aca="false">IF(OR(O$7="",$BR146=""),"",IF('Tally Helper'!$B$42&lt;&gt;TRUE(),"not on Staff",SUMIFS('Tally Helper'!$L$44:$GI$44,'Tally Helper'!$L$42:$GI$42,"&gt;="&amp;$BR146,'Tally Helper'!$L$42:$GI$42,"&lt;="&amp;$BS146)))</f>
        <v/>
      </c>
      <c r="AL146" s="17" t="str">
        <f aca="false">IF(OR(P$7="",$BR146=""),"",IF('Tally Helper'!$B$45&lt;&gt;TRUE(),"not on Staff",SUMIFS('Tally Helper'!$L$47:$GI$47,'Tally Helper'!$L$45:$GI$45,"&gt;="&amp;$BR146,'Tally Helper'!$L$45:$GI$45,"&lt;="&amp;$BS146)))</f>
        <v/>
      </c>
      <c r="AM146" s="17" t="str">
        <f aca="false">IF(OR(Q$7="",$BR146=""),"",IF('Tally Helper'!$B$48&lt;&gt;TRUE(),"not on Staff",SUMIFS('Tally Helper'!$L$50:$GI$50,'Tally Helper'!$L$48:$GI$48,"&gt;="&amp;$BR146,'Tally Helper'!$L$48:$GI$48,"&lt;="&amp;$BS146)))</f>
        <v/>
      </c>
      <c r="AN146" s="17" t="str">
        <f aca="false">IF(OR(R$7="",$BR146=""),"",IF('Tally Helper'!$B$51&lt;&gt;TRUE(),"not on Staff",SUMIFS('Tally Helper'!$L$53:$GI$53,'Tally Helper'!$L$51:$GI$51,"&gt;="&amp;$BR146,'Tally Helper'!$L$51:$GI$51,"&lt;="&amp;$BS146)))</f>
        <v/>
      </c>
      <c r="AO146" s="17" t="str">
        <f aca="false">IF(OR(S$7="",$BR146=""),"",IF('Tally Helper'!$B$54&lt;&gt;TRUE(),"not on Staff",SUMIFS('Tally Helper'!$L$56:$GI$56,'Tally Helper'!$L$54:$GI$54,"&gt;="&amp;$BR146,'Tally Helper'!$L$54:$GI$54,"&lt;="&amp;$BS146)))</f>
        <v/>
      </c>
      <c r="AP146" s="17" t="str">
        <f aca="false">IF(OR(T$7="",$BR146=""),"",IF('Tally Helper'!$B$57&lt;&gt;TRUE(),"not on Staff",SUMIFS('Tally Helper'!$L$59:$GI$59,'Tally Helper'!$L$57:$GI$57,"&gt;="&amp;$BR146,'Tally Helper'!$L$57:$GI$57,"&lt;="&amp;$BS146)))</f>
        <v/>
      </c>
      <c r="AQ146" s="17" t="str">
        <f aca="false">IF(OR(U$7="",$BR146=""),"",IF('Tally Helper'!$B$60&lt;&gt;TRUE(),"not on Staff",SUMIFS('Tally Helper'!$L$62:$GI$62,'Tally Helper'!$L$60:$GI$60,"&gt;="&amp;$BR146,'Tally Helper'!$L$60:$GI$60,"&lt;="&amp;$BS146)))</f>
        <v/>
      </c>
      <c r="AT146" s="17" t="str">
        <f aca="false">IF(OR(X146="",NOT(ISNUMBER(X146))),"",X146-N(B146))</f>
        <v/>
      </c>
      <c r="AU146" s="17" t="str">
        <f aca="false">IF(OR(Y146="",NOT(ISNUMBER(Y146))),"",Y146-N(C146))</f>
        <v/>
      </c>
      <c r="AV146" s="17" t="str">
        <f aca="false">IF(OR(Z146="",NOT(ISNUMBER(Z146))),"",Z146-N(D146))</f>
        <v/>
      </c>
      <c r="AW146" s="17" t="str">
        <f aca="false">IF(OR(AA146="",NOT(ISNUMBER(AA146))),"",AA146-N(E146))</f>
        <v/>
      </c>
      <c r="AX146" s="17" t="str">
        <f aca="false">IF(OR(AB146="",NOT(ISNUMBER(AB146))),"",AB146-N(F146))</f>
        <v/>
      </c>
      <c r="AY146" s="17" t="str">
        <f aca="false">IF(OR(AC146="",NOT(ISNUMBER(AC146))),"",AC146-N(G146))</f>
        <v/>
      </c>
      <c r="AZ146" s="17" t="str">
        <f aca="false">IF(OR(AD146="",NOT(ISNUMBER(AD146))),"",AD146-N(H146))</f>
        <v/>
      </c>
      <c r="BA146" s="17" t="str">
        <f aca="false">IF(OR(AE146="",NOT(ISNUMBER(AE146))),"",AE146-N(I146))</f>
        <v/>
      </c>
      <c r="BB146" s="17" t="str">
        <f aca="false">IF(OR(AF146="",NOT(ISNUMBER(AF146))),"",AF146-N(J146))</f>
        <v/>
      </c>
      <c r="BC146" s="17" t="str">
        <f aca="false">IF(OR(AG146="",NOT(ISNUMBER(AG146))),"",AG146-N(K146))</f>
        <v/>
      </c>
      <c r="BD146" s="17" t="str">
        <f aca="false">IF(OR(AH146="",NOT(ISNUMBER(AH146))),"",AH146-N(L146))</f>
        <v/>
      </c>
      <c r="BE146" s="17" t="str">
        <f aca="false">IF(OR(AI146="",NOT(ISNUMBER(AI146))),"",AI146-N(M146))</f>
        <v/>
      </c>
      <c r="BF146" s="17" t="str">
        <f aca="false">IF(OR(AJ146="",NOT(ISNUMBER(AJ146))),"",AJ146-N(N146))</f>
        <v/>
      </c>
      <c r="BG146" s="17" t="str">
        <f aca="false">IF(OR(AK146="",NOT(ISNUMBER(AK146))),"",AK146-N(O146))</f>
        <v/>
      </c>
      <c r="BH146" s="17" t="str">
        <f aca="false">IF(OR(AL146="",NOT(ISNUMBER(AL146))),"",AL146-N(P146))</f>
        <v/>
      </c>
      <c r="BI146" s="17" t="str">
        <f aca="false">IF(OR(AM146="",NOT(ISNUMBER(AM146))),"",AM146-N(Q146))</f>
        <v/>
      </c>
      <c r="BJ146" s="17" t="str">
        <f aca="false">IF(OR(AN146="",NOT(ISNUMBER(AN146))),"",AN146-N(R146))</f>
        <v/>
      </c>
      <c r="BK146" s="17" t="str">
        <f aca="false">IF(OR(AO146="",NOT(ISNUMBER(AO146))),"",AO146-N(S146))</f>
        <v/>
      </c>
      <c r="BL146" s="17" t="str">
        <f aca="false">IF(OR(AP146="",NOT(ISNUMBER(AP146))),"",AP146-N(T146))</f>
        <v/>
      </c>
      <c r="BM146" s="17" t="str">
        <f aca="false">IF(OR(AQ146="",NOT(ISNUMBER(AQ146))),"",AQ146-N(U146))</f>
        <v/>
      </c>
      <c r="BR146" s="20" t="str">
        <f aca="false">IF($A146="","",IF(ISNUMBER($A146),DATE(YEAR($A146),MONTH($A146),1),IFERROR(DATE(2000+VALUE(RIGHT(TRIM($A146),2)),MATCH(UPPER(LEFT(TRIM($A146),3)),{"JAN","FEB","MAR","APR","MAY","JUN","JUL","AUG","SEP","OCT","NOV","DEC"},0),1),"")))</f>
        <v/>
      </c>
      <c r="BS146" s="20" t="str">
        <f aca="false">IF(BR146="","",EOMONTH(BR146,0))</f>
        <v/>
      </c>
    </row>
    <row r="147" customFormat="false" ht="15" hidden="false" customHeight="false" outlineLevel="0" collapsed="false">
      <c r="B147" s="21"/>
      <c r="C147" s="21"/>
      <c r="D147" s="21"/>
      <c r="E147" s="21"/>
      <c r="F147" s="21"/>
      <c r="G147" s="21"/>
      <c r="H147" s="21"/>
      <c r="I147" s="21"/>
      <c r="J147" s="21"/>
      <c r="K147" s="21"/>
      <c r="L147" s="21"/>
      <c r="M147" s="21"/>
      <c r="N147" s="21"/>
      <c r="O147" s="21"/>
      <c r="P147" s="21"/>
      <c r="Q147" s="21"/>
      <c r="R147" s="21"/>
      <c r="S147" s="21"/>
      <c r="T147" s="21"/>
      <c r="U147" s="21"/>
      <c r="X147" s="17" t="str">
        <f aca="false">IF(OR(B$7="",$BR147=""),"",IF('Tally Helper'!$B$3&lt;&gt;TRUE(),"not on Staff",SUMIFS('Tally Helper'!$L$5:$GI$5,'Tally Helper'!$L$3:$GI$3,"&gt;="&amp;$BR147,'Tally Helper'!$L$3:$GI$3,"&lt;="&amp;$BS147)))</f>
        <v/>
      </c>
      <c r="Y147" s="17" t="str">
        <f aca="false">IF(OR(C$7="",$BR147=""),"",IF('Tally Helper'!$B$6&lt;&gt;TRUE(),"not on Staff",SUMIFS('Tally Helper'!$L$8:$GI$8,'Tally Helper'!$L$6:$GI$6,"&gt;="&amp;$BR147,'Tally Helper'!$L$6:$GI$6,"&lt;="&amp;$BS147)))</f>
        <v/>
      </c>
      <c r="Z147" s="17" t="str">
        <f aca="false">IF(OR(D$7="",$BR147=""),"",IF('Tally Helper'!$B$9&lt;&gt;TRUE(),"not on Staff",SUMIFS('Tally Helper'!$L$11:$GI$11,'Tally Helper'!$L$9:$GI$9,"&gt;="&amp;$BR147,'Tally Helper'!$L$9:$GI$9,"&lt;="&amp;$BS147)))</f>
        <v/>
      </c>
      <c r="AA147" s="17" t="str">
        <f aca="false">IF(OR(E$7="",$BR147=""),"",IF('Tally Helper'!$B$12&lt;&gt;TRUE(),"not on Staff",SUMIFS('Tally Helper'!$L$14:$GI$14,'Tally Helper'!$L$12:$GI$12,"&gt;="&amp;$BR147,'Tally Helper'!$L$12:$GI$12,"&lt;="&amp;$BS147)))</f>
        <v/>
      </c>
      <c r="AB147" s="17" t="str">
        <f aca="false">IF(OR(F$7="",$BR147=""),"",IF('Tally Helper'!$B$15&lt;&gt;TRUE(),"not on Staff",SUMIFS('Tally Helper'!$L$17:$GI$17,'Tally Helper'!$L$15:$GI$15,"&gt;="&amp;$BR147,'Tally Helper'!$L$15:$GI$15,"&lt;="&amp;$BS147)))</f>
        <v/>
      </c>
      <c r="AC147" s="17" t="str">
        <f aca="false">IF(OR(G$7="",$BR147=""),"",IF('Tally Helper'!$B$18&lt;&gt;TRUE(),"not on Staff",SUMIFS('Tally Helper'!$L$20:$GI$20,'Tally Helper'!$L$18:$GI$18,"&gt;="&amp;$BR147,'Tally Helper'!$L$18:$GI$18,"&lt;="&amp;$BS147)))</f>
        <v/>
      </c>
      <c r="AD147" s="17" t="str">
        <f aca="false">IF(OR(H$7="",$BR147=""),"",IF('Tally Helper'!$B$21&lt;&gt;TRUE(),"not on Staff",SUMIFS('Tally Helper'!$L$23:$GI$23,'Tally Helper'!$L$21:$GI$21,"&gt;="&amp;$BR147,'Tally Helper'!$L$21:$GI$21,"&lt;="&amp;$BS147)))</f>
        <v/>
      </c>
      <c r="AE147" s="17" t="str">
        <f aca="false">IF(OR(I$7="",$BR147=""),"",IF('Tally Helper'!$B$24&lt;&gt;TRUE(),"not on Staff",SUMIFS('Tally Helper'!$L$26:$GI$26,'Tally Helper'!$L$24:$GI$24,"&gt;="&amp;$BR147,'Tally Helper'!$L$24:$GI$24,"&lt;="&amp;$BS147)))</f>
        <v/>
      </c>
      <c r="AF147" s="17" t="str">
        <f aca="false">IF(OR(J$7="",$BR147=""),"",IF('Tally Helper'!$B$27&lt;&gt;TRUE(),"not on Staff",SUMIFS('Tally Helper'!$L$29:$GI$29,'Tally Helper'!$L$27:$GI$27,"&gt;="&amp;$BR147,'Tally Helper'!$L$27:$GI$27,"&lt;="&amp;$BS147)))</f>
        <v/>
      </c>
      <c r="AG147" s="17" t="str">
        <f aca="false">IF(OR(K$7="",$BR147=""),"",IF('Tally Helper'!$B$30&lt;&gt;TRUE(),"not on Staff",SUMIFS('Tally Helper'!$L$32:$GI$32,'Tally Helper'!$L$30:$GI$30,"&gt;="&amp;$BR147,'Tally Helper'!$L$30:$GI$30,"&lt;="&amp;$BS147)))</f>
        <v/>
      </c>
      <c r="AH147" s="17" t="str">
        <f aca="false">IF(OR(L$7="",$BR147=""),"",IF('Tally Helper'!$B$33&lt;&gt;TRUE(),"not on Staff",SUMIFS('Tally Helper'!$L$35:$GI$35,'Tally Helper'!$L$33:$GI$33,"&gt;="&amp;$BR147,'Tally Helper'!$L$33:$GI$33,"&lt;="&amp;$BS147)))</f>
        <v/>
      </c>
      <c r="AI147" s="17" t="str">
        <f aca="false">IF(OR(M$7="",$BR147=""),"",IF('Tally Helper'!$B$36&lt;&gt;TRUE(),"not on Staff",SUMIFS('Tally Helper'!$L$38:$GI$38,'Tally Helper'!$L$36:$GI$36,"&gt;="&amp;$BR147,'Tally Helper'!$L$36:$GI$36,"&lt;="&amp;$BS147)))</f>
        <v/>
      </c>
      <c r="AJ147" s="17" t="str">
        <f aca="false">IF(OR(N$7="",$BR147=""),"",IF('Tally Helper'!$B$39&lt;&gt;TRUE(),"not on Staff",SUMIFS('Tally Helper'!$L$41:$GI$41,'Tally Helper'!$L$39:$GI$39,"&gt;="&amp;$BR147,'Tally Helper'!$L$39:$GI$39,"&lt;="&amp;$BS147)))</f>
        <v/>
      </c>
      <c r="AK147" s="17" t="str">
        <f aca="false">IF(OR(O$7="",$BR147=""),"",IF('Tally Helper'!$B$42&lt;&gt;TRUE(),"not on Staff",SUMIFS('Tally Helper'!$L$44:$GI$44,'Tally Helper'!$L$42:$GI$42,"&gt;="&amp;$BR147,'Tally Helper'!$L$42:$GI$42,"&lt;="&amp;$BS147)))</f>
        <v/>
      </c>
      <c r="AL147" s="17" t="str">
        <f aca="false">IF(OR(P$7="",$BR147=""),"",IF('Tally Helper'!$B$45&lt;&gt;TRUE(),"not on Staff",SUMIFS('Tally Helper'!$L$47:$GI$47,'Tally Helper'!$L$45:$GI$45,"&gt;="&amp;$BR147,'Tally Helper'!$L$45:$GI$45,"&lt;="&amp;$BS147)))</f>
        <v/>
      </c>
      <c r="AM147" s="17" t="str">
        <f aca="false">IF(OR(Q$7="",$BR147=""),"",IF('Tally Helper'!$B$48&lt;&gt;TRUE(),"not on Staff",SUMIFS('Tally Helper'!$L$50:$GI$50,'Tally Helper'!$L$48:$GI$48,"&gt;="&amp;$BR147,'Tally Helper'!$L$48:$GI$48,"&lt;="&amp;$BS147)))</f>
        <v/>
      </c>
      <c r="AN147" s="17" t="str">
        <f aca="false">IF(OR(R$7="",$BR147=""),"",IF('Tally Helper'!$B$51&lt;&gt;TRUE(),"not on Staff",SUMIFS('Tally Helper'!$L$53:$GI$53,'Tally Helper'!$L$51:$GI$51,"&gt;="&amp;$BR147,'Tally Helper'!$L$51:$GI$51,"&lt;="&amp;$BS147)))</f>
        <v/>
      </c>
      <c r="AO147" s="17" t="str">
        <f aca="false">IF(OR(S$7="",$BR147=""),"",IF('Tally Helper'!$B$54&lt;&gt;TRUE(),"not on Staff",SUMIFS('Tally Helper'!$L$56:$GI$56,'Tally Helper'!$L$54:$GI$54,"&gt;="&amp;$BR147,'Tally Helper'!$L$54:$GI$54,"&lt;="&amp;$BS147)))</f>
        <v/>
      </c>
      <c r="AP147" s="17" t="str">
        <f aca="false">IF(OR(T$7="",$BR147=""),"",IF('Tally Helper'!$B$57&lt;&gt;TRUE(),"not on Staff",SUMIFS('Tally Helper'!$L$59:$GI$59,'Tally Helper'!$L$57:$GI$57,"&gt;="&amp;$BR147,'Tally Helper'!$L$57:$GI$57,"&lt;="&amp;$BS147)))</f>
        <v/>
      </c>
      <c r="AQ147" s="17" t="str">
        <f aca="false">IF(OR(U$7="",$BR147=""),"",IF('Tally Helper'!$B$60&lt;&gt;TRUE(),"not on Staff",SUMIFS('Tally Helper'!$L$62:$GI$62,'Tally Helper'!$L$60:$GI$60,"&gt;="&amp;$BR147,'Tally Helper'!$L$60:$GI$60,"&lt;="&amp;$BS147)))</f>
        <v/>
      </c>
      <c r="AT147" s="17" t="str">
        <f aca="false">IF(OR(X147="",NOT(ISNUMBER(X147))),"",X147-N(B147))</f>
        <v/>
      </c>
      <c r="AU147" s="17" t="str">
        <f aca="false">IF(OR(Y147="",NOT(ISNUMBER(Y147))),"",Y147-N(C147))</f>
        <v/>
      </c>
      <c r="AV147" s="17" t="str">
        <f aca="false">IF(OR(Z147="",NOT(ISNUMBER(Z147))),"",Z147-N(D147))</f>
        <v/>
      </c>
      <c r="AW147" s="17" t="str">
        <f aca="false">IF(OR(AA147="",NOT(ISNUMBER(AA147))),"",AA147-N(E147))</f>
        <v/>
      </c>
      <c r="AX147" s="17" t="str">
        <f aca="false">IF(OR(AB147="",NOT(ISNUMBER(AB147))),"",AB147-N(F147))</f>
        <v/>
      </c>
      <c r="AY147" s="17" t="str">
        <f aca="false">IF(OR(AC147="",NOT(ISNUMBER(AC147))),"",AC147-N(G147))</f>
        <v/>
      </c>
      <c r="AZ147" s="17" t="str">
        <f aca="false">IF(OR(AD147="",NOT(ISNUMBER(AD147))),"",AD147-N(H147))</f>
        <v/>
      </c>
      <c r="BA147" s="17" t="str">
        <f aca="false">IF(OR(AE147="",NOT(ISNUMBER(AE147))),"",AE147-N(I147))</f>
        <v/>
      </c>
      <c r="BB147" s="17" t="str">
        <f aca="false">IF(OR(AF147="",NOT(ISNUMBER(AF147))),"",AF147-N(J147))</f>
        <v/>
      </c>
      <c r="BC147" s="17" t="str">
        <f aca="false">IF(OR(AG147="",NOT(ISNUMBER(AG147))),"",AG147-N(K147))</f>
        <v/>
      </c>
      <c r="BD147" s="17" t="str">
        <f aca="false">IF(OR(AH147="",NOT(ISNUMBER(AH147))),"",AH147-N(L147))</f>
        <v/>
      </c>
      <c r="BE147" s="17" t="str">
        <f aca="false">IF(OR(AI147="",NOT(ISNUMBER(AI147))),"",AI147-N(M147))</f>
        <v/>
      </c>
      <c r="BF147" s="17" t="str">
        <f aca="false">IF(OR(AJ147="",NOT(ISNUMBER(AJ147))),"",AJ147-N(N147))</f>
        <v/>
      </c>
      <c r="BG147" s="17" t="str">
        <f aca="false">IF(OR(AK147="",NOT(ISNUMBER(AK147))),"",AK147-N(O147))</f>
        <v/>
      </c>
      <c r="BH147" s="17" t="str">
        <f aca="false">IF(OR(AL147="",NOT(ISNUMBER(AL147))),"",AL147-N(P147))</f>
        <v/>
      </c>
      <c r="BI147" s="17" t="str">
        <f aca="false">IF(OR(AM147="",NOT(ISNUMBER(AM147))),"",AM147-N(Q147))</f>
        <v/>
      </c>
      <c r="BJ147" s="17" t="str">
        <f aca="false">IF(OR(AN147="",NOT(ISNUMBER(AN147))),"",AN147-N(R147))</f>
        <v/>
      </c>
      <c r="BK147" s="17" t="str">
        <f aca="false">IF(OR(AO147="",NOT(ISNUMBER(AO147))),"",AO147-N(S147))</f>
        <v/>
      </c>
      <c r="BL147" s="17" t="str">
        <f aca="false">IF(OR(AP147="",NOT(ISNUMBER(AP147))),"",AP147-N(T147))</f>
        <v/>
      </c>
      <c r="BM147" s="17" t="str">
        <f aca="false">IF(OR(AQ147="",NOT(ISNUMBER(AQ147))),"",AQ147-N(U147))</f>
        <v/>
      </c>
      <c r="BR147" s="20" t="str">
        <f aca="false">IF($A147="","",IF(ISNUMBER($A147),DATE(YEAR($A147),MONTH($A147),1),IFERROR(DATE(2000+VALUE(RIGHT(TRIM($A147),2)),MATCH(UPPER(LEFT(TRIM($A147),3)),{"JAN","FEB","MAR","APR","MAY","JUN","JUL","AUG","SEP","OCT","NOV","DEC"},0),1),"")))</f>
        <v/>
      </c>
      <c r="BS147" s="20" t="str">
        <f aca="false">IF(BR147="","",EOMONTH(BR147,0))</f>
        <v/>
      </c>
    </row>
    <row r="148" customFormat="false" ht="15" hidden="false" customHeight="false" outlineLevel="0" collapsed="false">
      <c r="B148" s="21"/>
      <c r="C148" s="21"/>
      <c r="D148" s="21"/>
      <c r="E148" s="21"/>
      <c r="F148" s="21"/>
      <c r="G148" s="21"/>
      <c r="H148" s="21"/>
      <c r="I148" s="21"/>
      <c r="J148" s="21"/>
      <c r="K148" s="21"/>
      <c r="L148" s="21"/>
      <c r="M148" s="21"/>
      <c r="N148" s="21"/>
      <c r="O148" s="21"/>
      <c r="P148" s="21"/>
      <c r="Q148" s="21"/>
      <c r="R148" s="21"/>
      <c r="S148" s="21"/>
      <c r="T148" s="21"/>
      <c r="U148" s="21"/>
      <c r="X148" s="17" t="str">
        <f aca="false">IF(OR(B$7="",$BR148=""),"",IF('Tally Helper'!$B$3&lt;&gt;TRUE(),"not on Staff",SUMIFS('Tally Helper'!$L$5:$GI$5,'Tally Helper'!$L$3:$GI$3,"&gt;="&amp;$BR148,'Tally Helper'!$L$3:$GI$3,"&lt;="&amp;$BS148)))</f>
        <v/>
      </c>
      <c r="Y148" s="17" t="str">
        <f aca="false">IF(OR(C$7="",$BR148=""),"",IF('Tally Helper'!$B$6&lt;&gt;TRUE(),"not on Staff",SUMIFS('Tally Helper'!$L$8:$GI$8,'Tally Helper'!$L$6:$GI$6,"&gt;="&amp;$BR148,'Tally Helper'!$L$6:$GI$6,"&lt;="&amp;$BS148)))</f>
        <v/>
      </c>
      <c r="Z148" s="17" t="str">
        <f aca="false">IF(OR(D$7="",$BR148=""),"",IF('Tally Helper'!$B$9&lt;&gt;TRUE(),"not on Staff",SUMIFS('Tally Helper'!$L$11:$GI$11,'Tally Helper'!$L$9:$GI$9,"&gt;="&amp;$BR148,'Tally Helper'!$L$9:$GI$9,"&lt;="&amp;$BS148)))</f>
        <v/>
      </c>
      <c r="AA148" s="17" t="str">
        <f aca="false">IF(OR(E$7="",$BR148=""),"",IF('Tally Helper'!$B$12&lt;&gt;TRUE(),"not on Staff",SUMIFS('Tally Helper'!$L$14:$GI$14,'Tally Helper'!$L$12:$GI$12,"&gt;="&amp;$BR148,'Tally Helper'!$L$12:$GI$12,"&lt;="&amp;$BS148)))</f>
        <v/>
      </c>
      <c r="AB148" s="17" t="str">
        <f aca="false">IF(OR(F$7="",$BR148=""),"",IF('Tally Helper'!$B$15&lt;&gt;TRUE(),"not on Staff",SUMIFS('Tally Helper'!$L$17:$GI$17,'Tally Helper'!$L$15:$GI$15,"&gt;="&amp;$BR148,'Tally Helper'!$L$15:$GI$15,"&lt;="&amp;$BS148)))</f>
        <v/>
      </c>
      <c r="AC148" s="17" t="str">
        <f aca="false">IF(OR(G$7="",$BR148=""),"",IF('Tally Helper'!$B$18&lt;&gt;TRUE(),"not on Staff",SUMIFS('Tally Helper'!$L$20:$GI$20,'Tally Helper'!$L$18:$GI$18,"&gt;="&amp;$BR148,'Tally Helper'!$L$18:$GI$18,"&lt;="&amp;$BS148)))</f>
        <v/>
      </c>
      <c r="AD148" s="17" t="str">
        <f aca="false">IF(OR(H$7="",$BR148=""),"",IF('Tally Helper'!$B$21&lt;&gt;TRUE(),"not on Staff",SUMIFS('Tally Helper'!$L$23:$GI$23,'Tally Helper'!$L$21:$GI$21,"&gt;="&amp;$BR148,'Tally Helper'!$L$21:$GI$21,"&lt;="&amp;$BS148)))</f>
        <v/>
      </c>
      <c r="AE148" s="17" t="str">
        <f aca="false">IF(OR(I$7="",$BR148=""),"",IF('Tally Helper'!$B$24&lt;&gt;TRUE(),"not on Staff",SUMIFS('Tally Helper'!$L$26:$GI$26,'Tally Helper'!$L$24:$GI$24,"&gt;="&amp;$BR148,'Tally Helper'!$L$24:$GI$24,"&lt;="&amp;$BS148)))</f>
        <v/>
      </c>
      <c r="AF148" s="17" t="str">
        <f aca="false">IF(OR(J$7="",$BR148=""),"",IF('Tally Helper'!$B$27&lt;&gt;TRUE(),"not on Staff",SUMIFS('Tally Helper'!$L$29:$GI$29,'Tally Helper'!$L$27:$GI$27,"&gt;="&amp;$BR148,'Tally Helper'!$L$27:$GI$27,"&lt;="&amp;$BS148)))</f>
        <v/>
      </c>
      <c r="AG148" s="17" t="str">
        <f aca="false">IF(OR(K$7="",$BR148=""),"",IF('Tally Helper'!$B$30&lt;&gt;TRUE(),"not on Staff",SUMIFS('Tally Helper'!$L$32:$GI$32,'Tally Helper'!$L$30:$GI$30,"&gt;="&amp;$BR148,'Tally Helper'!$L$30:$GI$30,"&lt;="&amp;$BS148)))</f>
        <v/>
      </c>
      <c r="AH148" s="17" t="str">
        <f aca="false">IF(OR(L$7="",$BR148=""),"",IF('Tally Helper'!$B$33&lt;&gt;TRUE(),"not on Staff",SUMIFS('Tally Helper'!$L$35:$GI$35,'Tally Helper'!$L$33:$GI$33,"&gt;="&amp;$BR148,'Tally Helper'!$L$33:$GI$33,"&lt;="&amp;$BS148)))</f>
        <v/>
      </c>
      <c r="AI148" s="17" t="str">
        <f aca="false">IF(OR(M$7="",$BR148=""),"",IF('Tally Helper'!$B$36&lt;&gt;TRUE(),"not on Staff",SUMIFS('Tally Helper'!$L$38:$GI$38,'Tally Helper'!$L$36:$GI$36,"&gt;="&amp;$BR148,'Tally Helper'!$L$36:$GI$36,"&lt;="&amp;$BS148)))</f>
        <v/>
      </c>
      <c r="AJ148" s="17" t="str">
        <f aca="false">IF(OR(N$7="",$BR148=""),"",IF('Tally Helper'!$B$39&lt;&gt;TRUE(),"not on Staff",SUMIFS('Tally Helper'!$L$41:$GI$41,'Tally Helper'!$L$39:$GI$39,"&gt;="&amp;$BR148,'Tally Helper'!$L$39:$GI$39,"&lt;="&amp;$BS148)))</f>
        <v/>
      </c>
      <c r="AK148" s="17" t="str">
        <f aca="false">IF(OR(O$7="",$BR148=""),"",IF('Tally Helper'!$B$42&lt;&gt;TRUE(),"not on Staff",SUMIFS('Tally Helper'!$L$44:$GI$44,'Tally Helper'!$L$42:$GI$42,"&gt;="&amp;$BR148,'Tally Helper'!$L$42:$GI$42,"&lt;="&amp;$BS148)))</f>
        <v/>
      </c>
      <c r="AL148" s="17" t="str">
        <f aca="false">IF(OR(P$7="",$BR148=""),"",IF('Tally Helper'!$B$45&lt;&gt;TRUE(),"not on Staff",SUMIFS('Tally Helper'!$L$47:$GI$47,'Tally Helper'!$L$45:$GI$45,"&gt;="&amp;$BR148,'Tally Helper'!$L$45:$GI$45,"&lt;="&amp;$BS148)))</f>
        <v/>
      </c>
      <c r="AM148" s="17" t="str">
        <f aca="false">IF(OR(Q$7="",$BR148=""),"",IF('Tally Helper'!$B$48&lt;&gt;TRUE(),"not on Staff",SUMIFS('Tally Helper'!$L$50:$GI$50,'Tally Helper'!$L$48:$GI$48,"&gt;="&amp;$BR148,'Tally Helper'!$L$48:$GI$48,"&lt;="&amp;$BS148)))</f>
        <v/>
      </c>
      <c r="AN148" s="17" t="str">
        <f aca="false">IF(OR(R$7="",$BR148=""),"",IF('Tally Helper'!$B$51&lt;&gt;TRUE(),"not on Staff",SUMIFS('Tally Helper'!$L$53:$GI$53,'Tally Helper'!$L$51:$GI$51,"&gt;="&amp;$BR148,'Tally Helper'!$L$51:$GI$51,"&lt;="&amp;$BS148)))</f>
        <v/>
      </c>
      <c r="AO148" s="17" t="str">
        <f aca="false">IF(OR(S$7="",$BR148=""),"",IF('Tally Helper'!$B$54&lt;&gt;TRUE(),"not on Staff",SUMIFS('Tally Helper'!$L$56:$GI$56,'Tally Helper'!$L$54:$GI$54,"&gt;="&amp;$BR148,'Tally Helper'!$L$54:$GI$54,"&lt;="&amp;$BS148)))</f>
        <v/>
      </c>
      <c r="AP148" s="17" t="str">
        <f aca="false">IF(OR(T$7="",$BR148=""),"",IF('Tally Helper'!$B$57&lt;&gt;TRUE(),"not on Staff",SUMIFS('Tally Helper'!$L$59:$GI$59,'Tally Helper'!$L$57:$GI$57,"&gt;="&amp;$BR148,'Tally Helper'!$L$57:$GI$57,"&lt;="&amp;$BS148)))</f>
        <v/>
      </c>
      <c r="AQ148" s="17" t="str">
        <f aca="false">IF(OR(U$7="",$BR148=""),"",IF('Tally Helper'!$B$60&lt;&gt;TRUE(),"not on Staff",SUMIFS('Tally Helper'!$L$62:$GI$62,'Tally Helper'!$L$60:$GI$60,"&gt;="&amp;$BR148,'Tally Helper'!$L$60:$GI$60,"&lt;="&amp;$BS148)))</f>
        <v/>
      </c>
      <c r="AT148" s="17" t="str">
        <f aca="false">IF(OR(X148="",NOT(ISNUMBER(X148))),"",X148-N(B148))</f>
        <v/>
      </c>
      <c r="AU148" s="17" t="str">
        <f aca="false">IF(OR(Y148="",NOT(ISNUMBER(Y148))),"",Y148-N(C148))</f>
        <v/>
      </c>
      <c r="AV148" s="17" t="str">
        <f aca="false">IF(OR(Z148="",NOT(ISNUMBER(Z148))),"",Z148-N(D148))</f>
        <v/>
      </c>
      <c r="AW148" s="17" t="str">
        <f aca="false">IF(OR(AA148="",NOT(ISNUMBER(AA148))),"",AA148-N(E148))</f>
        <v/>
      </c>
      <c r="AX148" s="17" t="str">
        <f aca="false">IF(OR(AB148="",NOT(ISNUMBER(AB148))),"",AB148-N(F148))</f>
        <v/>
      </c>
      <c r="AY148" s="17" t="str">
        <f aca="false">IF(OR(AC148="",NOT(ISNUMBER(AC148))),"",AC148-N(G148))</f>
        <v/>
      </c>
      <c r="AZ148" s="17" t="str">
        <f aca="false">IF(OR(AD148="",NOT(ISNUMBER(AD148))),"",AD148-N(H148))</f>
        <v/>
      </c>
      <c r="BA148" s="17" t="str">
        <f aca="false">IF(OR(AE148="",NOT(ISNUMBER(AE148))),"",AE148-N(I148))</f>
        <v/>
      </c>
      <c r="BB148" s="17" t="str">
        <f aca="false">IF(OR(AF148="",NOT(ISNUMBER(AF148))),"",AF148-N(J148))</f>
        <v/>
      </c>
      <c r="BC148" s="17" t="str">
        <f aca="false">IF(OR(AG148="",NOT(ISNUMBER(AG148))),"",AG148-N(K148))</f>
        <v/>
      </c>
      <c r="BD148" s="17" t="str">
        <f aca="false">IF(OR(AH148="",NOT(ISNUMBER(AH148))),"",AH148-N(L148))</f>
        <v/>
      </c>
      <c r="BE148" s="17" t="str">
        <f aca="false">IF(OR(AI148="",NOT(ISNUMBER(AI148))),"",AI148-N(M148))</f>
        <v/>
      </c>
      <c r="BF148" s="17" t="str">
        <f aca="false">IF(OR(AJ148="",NOT(ISNUMBER(AJ148))),"",AJ148-N(N148))</f>
        <v/>
      </c>
      <c r="BG148" s="17" t="str">
        <f aca="false">IF(OR(AK148="",NOT(ISNUMBER(AK148))),"",AK148-N(O148))</f>
        <v/>
      </c>
      <c r="BH148" s="17" t="str">
        <f aca="false">IF(OR(AL148="",NOT(ISNUMBER(AL148))),"",AL148-N(P148))</f>
        <v/>
      </c>
      <c r="BI148" s="17" t="str">
        <f aca="false">IF(OR(AM148="",NOT(ISNUMBER(AM148))),"",AM148-N(Q148))</f>
        <v/>
      </c>
      <c r="BJ148" s="17" t="str">
        <f aca="false">IF(OR(AN148="",NOT(ISNUMBER(AN148))),"",AN148-N(R148))</f>
        <v/>
      </c>
      <c r="BK148" s="17" t="str">
        <f aca="false">IF(OR(AO148="",NOT(ISNUMBER(AO148))),"",AO148-N(S148))</f>
        <v/>
      </c>
      <c r="BL148" s="17" t="str">
        <f aca="false">IF(OR(AP148="",NOT(ISNUMBER(AP148))),"",AP148-N(T148))</f>
        <v/>
      </c>
      <c r="BM148" s="17" t="str">
        <f aca="false">IF(OR(AQ148="",NOT(ISNUMBER(AQ148))),"",AQ148-N(U148))</f>
        <v/>
      </c>
      <c r="BR148" s="20" t="str">
        <f aca="false">IF($A148="","",IF(ISNUMBER($A148),DATE(YEAR($A148),MONTH($A148),1),IFERROR(DATE(2000+VALUE(RIGHT(TRIM($A148),2)),MATCH(UPPER(LEFT(TRIM($A148),3)),{"JAN","FEB","MAR","APR","MAY","JUN","JUL","AUG","SEP","OCT","NOV","DEC"},0),1),"")))</f>
        <v/>
      </c>
      <c r="BS148" s="20" t="str">
        <f aca="false">IF(BR148="","",EOMONTH(BR148,0))</f>
        <v/>
      </c>
    </row>
    <row r="149" customFormat="false" ht="15" hidden="false" customHeight="false" outlineLevel="0" collapsed="false">
      <c r="B149" s="21"/>
      <c r="C149" s="21"/>
      <c r="D149" s="21"/>
      <c r="E149" s="21"/>
      <c r="F149" s="21"/>
      <c r="G149" s="21"/>
      <c r="H149" s="21"/>
      <c r="I149" s="21"/>
      <c r="J149" s="21"/>
      <c r="K149" s="21"/>
      <c r="L149" s="21"/>
      <c r="M149" s="21"/>
      <c r="N149" s="21"/>
      <c r="O149" s="21"/>
      <c r="P149" s="21"/>
      <c r="Q149" s="21"/>
      <c r="R149" s="21"/>
      <c r="S149" s="21"/>
      <c r="T149" s="21"/>
      <c r="U149" s="21"/>
      <c r="X149" s="17" t="str">
        <f aca="false">IF(OR(B$7="",$BR149=""),"",IF('Tally Helper'!$B$3&lt;&gt;TRUE(),"not on Staff",SUMIFS('Tally Helper'!$L$5:$GI$5,'Tally Helper'!$L$3:$GI$3,"&gt;="&amp;$BR149,'Tally Helper'!$L$3:$GI$3,"&lt;="&amp;$BS149)))</f>
        <v/>
      </c>
      <c r="Y149" s="17" t="str">
        <f aca="false">IF(OR(C$7="",$BR149=""),"",IF('Tally Helper'!$B$6&lt;&gt;TRUE(),"not on Staff",SUMIFS('Tally Helper'!$L$8:$GI$8,'Tally Helper'!$L$6:$GI$6,"&gt;="&amp;$BR149,'Tally Helper'!$L$6:$GI$6,"&lt;="&amp;$BS149)))</f>
        <v/>
      </c>
      <c r="Z149" s="17" t="str">
        <f aca="false">IF(OR(D$7="",$BR149=""),"",IF('Tally Helper'!$B$9&lt;&gt;TRUE(),"not on Staff",SUMIFS('Tally Helper'!$L$11:$GI$11,'Tally Helper'!$L$9:$GI$9,"&gt;="&amp;$BR149,'Tally Helper'!$L$9:$GI$9,"&lt;="&amp;$BS149)))</f>
        <v/>
      </c>
      <c r="AA149" s="17" t="str">
        <f aca="false">IF(OR(E$7="",$BR149=""),"",IF('Tally Helper'!$B$12&lt;&gt;TRUE(),"not on Staff",SUMIFS('Tally Helper'!$L$14:$GI$14,'Tally Helper'!$L$12:$GI$12,"&gt;="&amp;$BR149,'Tally Helper'!$L$12:$GI$12,"&lt;="&amp;$BS149)))</f>
        <v/>
      </c>
      <c r="AB149" s="17" t="str">
        <f aca="false">IF(OR(F$7="",$BR149=""),"",IF('Tally Helper'!$B$15&lt;&gt;TRUE(),"not on Staff",SUMIFS('Tally Helper'!$L$17:$GI$17,'Tally Helper'!$L$15:$GI$15,"&gt;="&amp;$BR149,'Tally Helper'!$L$15:$GI$15,"&lt;="&amp;$BS149)))</f>
        <v/>
      </c>
      <c r="AC149" s="17" t="str">
        <f aca="false">IF(OR(G$7="",$BR149=""),"",IF('Tally Helper'!$B$18&lt;&gt;TRUE(),"not on Staff",SUMIFS('Tally Helper'!$L$20:$GI$20,'Tally Helper'!$L$18:$GI$18,"&gt;="&amp;$BR149,'Tally Helper'!$L$18:$GI$18,"&lt;="&amp;$BS149)))</f>
        <v/>
      </c>
      <c r="AD149" s="17" t="str">
        <f aca="false">IF(OR(H$7="",$BR149=""),"",IF('Tally Helper'!$B$21&lt;&gt;TRUE(),"not on Staff",SUMIFS('Tally Helper'!$L$23:$GI$23,'Tally Helper'!$L$21:$GI$21,"&gt;="&amp;$BR149,'Tally Helper'!$L$21:$GI$21,"&lt;="&amp;$BS149)))</f>
        <v/>
      </c>
      <c r="AE149" s="17" t="str">
        <f aca="false">IF(OR(I$7="",$BR149=""),"",IF('Tally Helper'!$B$24&lt;&gt;TRUE(),"not on Staff",SUMIFS('Tally Helper'!$L$26:$GI$26,'Tally Helper'!$L$24:$GI$24,"&gt;="&amp;$BR149,'Tally Helper'!$L$24:$GI$24,"&lt;="&amp;$BS149)))</f>
        <v/>
      </c>
      <c r="AF149" s="17" t="str">
        <f aca="false">IF(OR(J$7="",$BR149=""),"",IF('Tally Helper'!$B$27&lt;&gt;TRUE(),"not on Staff",SUMIFS('Tally Helper'!$L$29:$GI$29,'Tally Helper'!$L$27:$GI$27,"&gt;="&amp;$BR149,'Tally Helper'!$L$27:$GI$27,"&lt;="&amp;$BS149)))</f>
        <v/>
      </c>
      <c r="AG149" s="17" t="str">
        <f aca="false">IF(OR(K$7="",$BR149=""),"",IF('Tally Helper'!$B$30&lt;&gt;TRUE(),"not on Staff",SUMIFS('Tally Helper'!$L$32:$GI$32,'Tally Helper'!$L$30:$GI$30,"&gt;="&amp;$BR149,'Tally Helper'!$L$30:$GI$30,"&lt;="&amp;$BS149)))</f>
        <v/>
      </c>
      <c r="AH149" s="17" t="str">
        <f aca="false">IF(OR(L$7="",$BR149=""),"",IF('Tally Helper'!$B$33&lt;&gt;TRUE(),"not on Staff",SUMIFS('Tally Helper'!$L$35:$GI$35,'Tally Helper'!$L$33:$GI$33,"&gt;="&amp;$BR149,'Tally Helper'!$L$33:$GI$33,"&lt;="&amp;$BS149)))</f>
        <v/>
      </c>
      <c r="AI149" s="17" t="str">
        <f aca="false">IF(OR(M$7="",$BR149=""),"",IF('Tally Helper'!$B$36&lt;&gt;TRUE(),"not on Staff",SUMIFS('Tally Helper'!$L$38:$GI$38,'Tally Helper'!$L$36:$GI$36,"&gt;="&amp;$BR149,'Tally Helper'!$L$36:$GI$36,"&lt;="&amp;$BS149)))</f>
        <v/>
      </c>
      <c r="AJ149" s="17" t="str">
        <f aca="false">IF(OR(N$7="",$BR149=""),"",IF('Tally Helper'!$B$39&lt;&gt;TRUE(),"not on Staff",SUMIFS('Tally Helper'!$L$41:$GI$41,'Tally Helper'!$L$39:$GI$39,"&gt;="&amp;$BR149,'Tally Helper'!$L$39:$GI$39,"&lt;="&amp;$BS149)))</f>
        <v/>
      </c>
      <c r="AK149" s="17" t="str">
        <f aca="false">IF(OR(O$7="",$BR149=""),"",IF('Tally Helper'!$B$42&lt;&gt;TRUE(),"not on Staff",SUMIFS('Tally Helper'!$L$44:$GI$44,'Tally Helper'!$L$42:$GI$42,"&gt;="&amp;$BR149,'Tally Helper'!$L$42:$GI$42,"&lt;="&amp;$BS149)))</f>
        <v/>
      </c>
      <c r="AL149" s="17" t="str">
        <f aca="false">IF(OR(P$7="",$BR149=""),"",IF('Tally Helper'!$B$45&lt;&gt;TRUE(),"not on Staff",SUMIFS('Tally Helper'!$L$47:$GI$47,'Tally Helper'!$L$45:$GI$45,"&gt;="&amp;$BR149,'Tally Helper'!$L$45:$GI$45,"&lt;="&amp;$BS149)))</f>
        <v/>
      </c>
      <c r="AM149" s="17" t="str">
        <f aca="false">IF(OR(Q$7="",$BR149=""),"",IF('Tally Helper'!$B$48&lt;&gt;TRUE(),"not on Staff",SUMIFS('Tally Helper'!$L$50:$GI$50,'Tally Helper'!$L$48:$GI$48,"&gt;="&amp;$BR149,'Tally Helper'!$L$48:$GI$48,"&lt;="&amp;$BS149)))</f>
        <v/>
      </c>
      <c r="AN149" s="17" t="str">
        <f aca="false">IF(OR(R$7="",$BR149=""),"",IF('Tally Helper'!$B$51&lt;&gt;TRUE(),"not on Staff",SUMIFS('Tally Helper'!$L$53:$GI$53,'Tally Helper'!$L$51:$GI$51,"&gt;="&amp;$BR149,'Tally Helper'!$L$51:$GI$51,"&lt;="&amp;$BS149)))</f>
        <v/>
      </c>
      <c r="AO149" s="17" t="str">
        <f aca="false">IF(OR(S$7="",$BR149=""),"",IF('Tally Helper'!$B$54&lt;&gt;TRUE(),"not on Staff",SUMIFS('Tally Helper'!$L$56:$GI$56,'Tally Helper'!$L$54:$GI$54,"&gt;="&amp;$BR149,'Tally Helper'!$L$54:$GI$54,"&lt;="&amp;$BS149)))</f>
        <v/>
      </c>
      <c r="AP149" s="17" t="str">
        <f aca="false">IF(OR(T$7="",$BR149=""),"",IF('Tally Helper'!$B$57&lt;&gt;TRUE(),"not on Staff",SUMIFS('Tally Helper'!$L$59:$GI$59,'Tally Helper'!$L$57:$GI$57,"&gt;="&amp;$BR149,'Tally Helper'!$L$57:$GI$57,"&lt;="&amp;$BS149)))</f>
        <v/>
      </c>
      <c r="AQ149" s="17" t="str">
        <f aca="false">IF(OR(U$7="",$BR149=""),"",IF('Tally Helper'!$B$60&lt;&gt;TRUE(),"not on Staff",SUMIFS('Tally Helper'!$L$62:$GI$62,'Tally Helper'!$L$60:$GI$60,"&gt;="&amp;$BR149,'Tally Helper'!$L$60:$GI$60,"&lt;="&amp;$BS149)))</f>
        <v/>
      </c>
      <c r="AT149" s="17" t="str">
        <f aca="false">IF(OR(X149="",NOT(ISNUMBER(X149))),"",X149-N(B149))</f>
        <v/>
      </c>
      <c r="AU149" s="17" t="str">
        <f aca="false">IF(OR(Y149="",NOT(ISNUMBER(Y149))),"",Y149-N(C149))</f>
        <v/>
      </c>
      <c r="AV149" s="17" t="str">
        <f aca="false">IF(OR(Z149="",NOT(ISNUMBER(Z149))),"",Z149-N(D149))</f>
        <v/>
      </c>
      <c r="AW149" s="17" t="str">
        <f aca="false">IF(OR(AA149="",NOT(ISNUMBER(AA149))),"",AA149-N(E149))</f>
        <v/>
      </c>
      <c r="AX149" s="17" t="str">
        <f aca="false">IF(OR(AB149="",NOT(ISNUMBER(AB149))),"",AB149-N(F149))</f>
        <v/>
      </c>
      <c r="AY149" s="17" t="str">
        <f aca="false">IF(OR(AC149="",NOT(ISNUMBER(AC149))),"",AC149-N(G149))</f>
        <v/>
      </c>
      <c r="AZ149" s="17" t="str">
        <f aca="false">IF(OR(AD149="",NOT(ISNUMBER(AD149))),"",AD149-N(H149))</f>
        <v/>
      </c>
      <c r="BA149" s="17" t="str">
        <f aca="false">IF(OR(AE149="",NOT(ISNUMBER(AE149))),"",AE149-N(I149))</f>
        <v/>
      </c>
      <c r="BB149" s="17" t="str">
        <f aca="false">IF(OR(AF149="",NOT(ISNUMBER(AF149))),"",AF149-N(J149))</f>
        <v/>
      </c>
      <c r="BC149" s="17" t="str">
        <f aca="false">IF(OR(AG149="",NOT(ISNUMBER(AG149))),"",AG149-N(K149))</f>
        <v/>
      </c>
      <c r="BD149" s="17" t="str">
        <f aca="false">IF(OR(AH149="",NOT(ISNUMBER(AH149))),"",AH149-N(L149))</f>
        <v/>
      </c>
      <c r="BE149" s="17" t="str">
        <f aca="false">IF(OR(AI149="",NOT(ISNUMBER(AI149))),"",AI149-N(M149))</f>
        <v/>
      </c>
      <c r="BF149" s="17" t="str">
        <f aca="false">IF(OR(AJ149="",NOT(ISNUMBER(AJ149))),"",AJ149-N(N149))</f>
        <v/>
      </c>
      <c r="BG149" s="17" t="str">
        <f aca="false">IF(OR(AK149="",NOT(ISNUMBER(AK149))),"",AK149-N(O149))</f>
        <v/>
      </c>
      <c r="BH149" s="17" t="str">
        <f aca="false">IF(OR(AL149="",NOT(ISNUMBER(AL149))),"",AL149-N(P149))</f>
        <v/>
      </c>
      <c r="BI149" s="17" t="str">
        <f aca="false">IF(OR(AM149="",NOT(ISNUMBER(AM149))),"",AM149-N(Q149))</f>
        <v/>
      </c>
      <c r="BJ149" s="17" t="str">
        <f aca="false">IF(OR(AN149="",NOT(ISNUMBER(AN149))),"",AN149-N(R149))</f>
        <v/>
      </c>
      <c r="BK149" s="17" t="str">
        <f aca="false">IF(OR(AO149="",NOT(ISNUMBER(AO149))),"",AO149-N(S149))</f>
        <v/>
      </c>
      <c r="BL149" s="17" t="str">
        <f aca="false">IF(OR(AP149="",NOT(ISNUMBER(AP149))),"",AP149-N(T149))</f>
        <v/>
      </c>
      <c r="BM149" s="17" t="str">
        <f aca="false">IF(OR(AQ149="",NOT(ISNUMBER(AQ149))),"",AQ149-N(U149))</f>
        <v/>
      </c>
      <c r="BR149" s="20" t="str">
        <f aca="false">IF($A149="","",IF(ISNUMBER($A149),DATE(YEAR($A149),MONTH($A149),1),IFERROR(DATE(2000+VALUE(RIGHT(TRIM($A149),2)),MATCH(UPPER(LEFT(TRIM($A149),3)),{"JAN","FEB","MAR","APR","MAY","JUN","JUL","AUG","SEP","OCT","NOV","DEC"},0),1),"")))</f>
        <v/>
      </c>
      <c r="BS149" s="20" t="str">
        <f aca="false">IF(BR149="","",EOMONTH(BR149,0))</f>
        <v/>
      </c>
    </row>
    <row r="150" customFormat="false" ht="15" hidden="false" customHeight="false" outlineLevel="0" collapsed="false">
      <c r="B150" s="21"/>
      <c r="C150" s="21"/>
      <c r="D150" s="21"/>
      <c r="E150" s="21"/>
      <c r="F150" s="21"/>
      <c r="G150" s="21"/>
      <c r="H150" s="21"/>
      <c r="I150" s="21"/>
      <c r="J150" s="21"/>
      <c r="K150" s="21"/>
      <c r="L150" s="21"/>
      <c r="M150" s="21"/>
      <c r="N150" s="21"/>
      <c r="O150" s="21"/>
      <c r="P150" s="21"/>
      <c r="Q150" s="21"/>
      <c r="R150" s="21"/>
      <c r="S150" s="21"/>
      <c r="T150" s="21"/>
      <c r="U150" s="21"/>
      <c r="X150" s="17" t="str">
        <f aca="false">IF(OR(B$7="",$BR150=""),"",IF('Tally Helper'!$B$3&lt;&gt;TRUE(),"not on Staff",SUMIFS('Tally Helper'!$L$5:$GI$5,'Tally Helper'!$L$3:$GI$3,"&gt;="&amp;$BR150,'Tally Helper'!$L$3:$GI$3,"&lt;="&amp;$BS150)))</f>
        <v/>
      </c>
      <c r="Y150" s="17" t="str">
        <f aca="false">IF(OR(C$7="",$BR150=""),"",IF('Tally Helper'!$B$6&lt;&gt;TRUE(),"not on Staff",SUMIFS('Tally Helper'!$L$8:$GI$8,'Tally Helper'!$L$6:$GI$6,"&gt;="&amp;$BR150,'Tally Helper'!$L$6:$GI$6,"&lt;="&amp;$BS150)))</f>
        <v/>
      </c>
      <c r="Z150" s="17" t="str">
        <f aca="false">IF(OR(D$7="",$BR150=""),"",IF('Tally Helper'!$B$9&lt;&gt;TRUE(),"not on Staff",SUMIFS('Tally Helper'!$L$11:$GI$11,'Tally Helper'!$L$9:$GI$9,"&gt;="&amp;$BR150,'Tally Helper'!$L$9:$GI$9,"&lt;="&amp;$BS150)))</f>
        <v/>
      </c>
      <c r="AA150" s="17" t="str">
        <f aca="false">IF(OR(E$7="",$BR150=""),"",IF('Tally Helper'!$B$12&lt;&gt;TRUE(),"not on Staff",SUMIFS('Tally Helper'!$L$14:$GI$14,'Tally Helper'!$L$12:$GI$12,"&gt;="&amp;$BR150,'Tally Helper'!$L$12:$GI$12,"&lt;="&amp;$BS150)))</f>
        <v/>
      </c>
      <c r="AB150" s="17" t="str">
        <f aca="false">IF(OR(F$7="",$BR150=""),"",IF('Tally Helper'!$B$15&lt;&gt;TRUE(),"not on Staff",SUMIFS('Tally Helper'!$L$17:$GI$17,'Tally Helper'!$L$15:$GI$15,"&gt;="&amp;$BR150,'Tally Helper'!$L$15:$GI$15,"&lt;="&amp;$BS150)))</f>
        <v/>
      </c>
      <c r="AC150" s="17" t="str">
        <f aca="false">IF(OR(G$7="",$BR150=""),"",IF('Tally Helper'!$B$18&lt;&gt;TRUE(),"not on Staff",SUMIFS('Tally Helper'!$L$20:$GI$20,'Tally Helper'!$L$18:$GI$18,"&gt;="&amp;$BR150,'Tally Helper'!$L$18:$GI$18,"&lt;="&amp;$BS150)))</f>
        <v/>
      </c>
      <c r="AD150" s="17" t="str">
        <f aca="false">IF(OR(H$7="",$BR150=""),"",IF('Tally Helper'!$B$21&lt;&gt;TRUE(),"not on Staff",SUMIFS('Tally Helper'!$L$23:$GI$23,'Tally Helper'!$L$21:$GI$21,"&gt;="&amp;$BR150,'Tally Helper'!$L$21:$GI$21,"&lt;="&amp;$BS150)))</f>
        <v/>
      </c>
      <c r="AE150" s="17" t="str">
        <f aca="false">IF(OR(I$7="",$BR150=""),"",IF('Tally Helper'!$B$24&lt;&gt;TRUE(),"not on Staff",SUMIFS('Tally Helper'!$L$26:$GI$26,'Tally Helper'!$L$24:$GI$24,"&gt;="&amp;$BR150,'Tally Helper'!$L$24:$GI$24,"&lt;="&amp;$BS150)))</f>
        <v/>
      </c>
      <c r="AF150" s="17" t="str">
        <f aca="false">IF(OR(J$7="",$BR150=""),"",IF('Tally Helper'!$B$27&lt;&gt;TRUE(),"not on Staff",SUMIFS('Tally Helper'!$L$29:$GI$29,'Tally Helper'!$L$27:$GI$27,"&gt;="&amp;$BR150,'Tally Helper'!$L$27:$GI$27,"&lt;="&amp;$BS150)))</f>
        <v/>
      </c>
      <c r="AG150" s="17" t="str">
        <f aca="false">IF(OR(K$7="",$BR150=""),"",IF('Tally Helper'!$B$30&lt;&gt;TRUE(),"not on Staff",SUMIFS('Tally Helper'!$L$32:$GI$32,'Tally Helper'!$L$30:$GI$30,"&gt;="&amp;$BR150,'Tally Helper'!$L$30:$GI$30,"&lt;="&amp;$BS150)))</f>
        <v/>
      </c>
      <c r="AH150" s="17" t="str">
        <f aca="false">IF(OR(L$7="",$BR150=""),"",IF('Tally Helper'!$B$33&lt;&gt;TRUE(),"not on Staff",SUMIFS('Tally Helper'!$L$35:$GI$35,'Tally Helper'!$L$33:$GI$33,"&gt;="&amp;$BR150,'Tally Helper'!$L$33:$GI$33,"&lt;="&amp;$BS150)))</f>
        <v/>
      </c>
      <c r="AI150" s="17" t="str">
        <f aca="false">IF(OR(M$7="",$BR150=""),"",IF('Tally Helper'!$B$36&lt;&gt;TRUE(),"not on Staff",SUMIFS('Tally Helper'!$L$38:$GI$38,'Tally Helper'!$L$36:$GI$36,"&gt;="&amp;$BR150,'Tally Helper'!$L$36:$GI$36,"&lt;="&amp;$BS150)))</f>
        <v/>
      </c>
      <c r="AJ150" s="17" t="str">
        <f aca="false">IF(OR(N$7="",$BR150=""),"",IF('Tally Helper'!$B$39&lt;&gt;TRUE(),"not on Staff",SUMIFS('Tally Helper'!$L$41:$GI$41,'Tally Helper'!$L$39:$GI$39,"&gt;="&amp;$BR150,'Tally Helper'!$L$39:$GI$39,"&lt;="&amp;$BS150)))</f>
        <v/>
      </c>
      <c r="AK150" s="17" t="str">
        <f aca="false">IF(OR(O$7="",$BR150=""),"",IF('Tally Helper'!$B$42&lt;&gt;TRUE(),"not on Staff",SUMIFS('Tally Helper'!$L$44:$GI$44,'Tally Helper'!$L$42:$GI$42,"&gt;="&amp;$BR150,'Tally Helper'!$L$42:$GI$42,"&lt;="&amp;$BS150)))</f>
        <v/>
      </c>
      <c r="AL150" s="17" t="str">
        <f aca="false">IF(OR(P$7="",$BR150=""),"",IF('Tally Helper'!$B$45&lt;&gt;TRUE(),"not on Staff",SUMIFS('Tally Helper'!$L$47:$GI$47,'Tally Helper'!$L$45:$GI$45,"&gt;="&amp;$BR150,'Tally Helper'!$L$45:$GI$45,"&lt;="&amp;$BS150)))</f>
        <v/>
      </c>
      <c r="AM150" s="17" t="str">
        <f aca="false">IF(OR(Q$7="",$BR150=""),"",IF('Tally Helper'!$B$48&lt;&gt;TRUE(),"not on Staff",SUMIFS('Tally Helper'!$L$50:$GI$50,'Tally Helper'!$L$48:$GI$48,"&gt;="&amp;$BR150,'Tally Helper'!$L$48:$GI$48,"&lt;="&amp;$BS150)))</f>
        <v/>
      </c>
      <c r="AN150" s="17" t="str">
        <f aca="false">IF(OR(R$7="",$BR150=""),"",IF('Tally Helper'!$B$51&lt;&gt;TRUE(),"not on Staff",SUMIFS('Tally Helper'!$L$53:$GI$53,'Tally Helper'!$L$51:$GI$51,"&gt;="&amp;$BR150,'Tally Helper'!$L$51:$GI$51,"&lt;="&amp;$BS150)))</f>
        <v/>
      </c>
      <c r="AO150" s="17" t="str">
        <f aca="false">IF(OR(S$7="",$BR150=""),"",IF('Tally Helper'!$B$54&lt;&gt;TRUE(),"not on Staff",SUMIFS('Tally Helper'!$L$56:$GI$56,'Tally Helper'!$L$54:$GI$54,"&gt;="&amp;$BR150,'Tally Helper'!$L$54:$GI$54,"&lt;="&amp;$BS150)))</f>
        <v/>
      </c>
      <c r="AP150" s="17" t="str">
        <f aca="false">IF(OR(T$7="",$BR150=""),"",IF('Tally Helper'!$B$57&lt;&gt;TRUE(),"not on Staff",SUMIFS('Tally Helper'!$L$59:$GI$59,'Tally Helper'!$L$57:$GI$57,"&gt;="&amp;$BR150,'Tally Helper'!$L$57:$GI$57,"&lt;="&amp;$BS150)))</f>
        <v/>
      </c>
      <c r="AQ150" s="17" t="str">
        <f aca="false">IF(OR(U$7="",$BR150=""),"",IF('Tally Helper'!$B$60&lt;&gt;TRUE(),"not on Staff",SUMIFS('Tally Helper'!$L$62:$GI$62,'Tally Helper'!$L$60:$GI$60,"&gt;="&amp;$BR150,'Tally Helper'!$L$60:$GI$60,"&lt;="&amp;$BS150)))</f>
        <v/>
      </c>
      <c r="AT150" s="17" t="str">
        <f aca="false">IF(OR(X150="",NOT(ISNUMBER(X150))),"",X150-N(B150))</f>
        <v/>
      </c>
      <c r="AU150" s="17" t="str">
        <f aca="false">IF(OR(Y150="",NOT(ISNUMBER(Y150))),"",Y150-N(C150))</f>
        <v/>
      </c>
      <c r="AV150" s="17" t="str">
        <f aca="false">IF(OR(Z150="",NOT(ISNUMBER(Z150))),"",Z150-N(D150))</f>
        <v/>
      </c>
      <c r="AW150" s="17" t="str">
        <f aca="false">IF(OR(AA150="",NOT(ISNUMBER(AA150))),"",AA150-N(E150))</f>
        <v/>
      </c>
      <c r="AX150" s="17" t="str">
        <f aca="false">IF(OR(AB150="",NOT(ISNUMBER(AB150))),"",AB150-N(F150))</f>
        <v/>
      </c>
      <c r="AY150" s="17" t="str">
        <f aca="false">IF(OR(AC150="",NOT(ISNUMBER(AC150))),"",AC150-N(G150))</f>
        <v/>
      </c>
      <c r="AZ150" s="17" t="str">
        <f aca="false">IF(OR(AD150="",NOT(ISNUMBER(AD150))),"",AD150-N(H150))</f>
        <v/>
      </c>
      <c r="BA150" s="17" t="str">
        <f aca="false">IF(OR(AE150="",NOT(ISNUMBER(AE150))),"",AE150-N(I150))</f>
        <v/>
      </c>
      <c r="BB150" s="17" t="str">
        <f aca="false">IF(OR(AF150="",NOT(ISNUMBER(AF150))),"",AF150-N(J150))</f>
        <v/>
      </c>
      <c r="BC150" s="17" t="str">
        <f aca="false">IF(OR(AG150="",NOT(ISNUMBER(AG150))),"",AG150-N(K150))</f>
        <v/>
      </c>
      <c r="BD150" s="17" t="str">
        <f aca="false">IF(OR(AH150="",NOT(ISNUMBER(AH150))),"",AH150-N(L150))</f>
        <v/>
      </c>
      <c r="BE150" s="17" t="str">
        <f aca="false">IF(OR(AI150="",NOT(ISNUMBER(AI150))),"",AI150-N(M150))</f>
        <v/>
      </c>
      <c r="BF150" s="17" t="str">
        <f aca="false">IF(OR(AJ150="",NOT(ISNUMBER(AJ150))),"",AJ150-N(N150))</f>
        <v/>
      </c>
      <c r="BG150" s="17" t="str">
        <f aca="false">IF(OR(AK150="",NOT(ISNUMBER(AK150))),"",AK150-N(O150))</f>
        <v/>
      </c>
      <c r="BH150" s="17" t="str">
        <f aca="false">IF(OR(AL150="",NOT(ISNUMBER(AL150))),"",AL150-N(P150))</f>
        <v/>
      </c>
      <c r="BI150" s="17" t="str">
        <f aca="false">IF(OR(AM150="",NOT(ISNUMBER(AM150))),"",AM150-N(Q150))</f>
        <v/>
      </c>
      <c r="BJ150" s="17" t="str">
        <f aca="false">IF(OR(AN150="",NOT(ISNUMBER(AN150))),"",AN150-N(R150))</f>
        <v/>
      </c>
      <c r="BK150" s="17" t="str">
        <f aca="false">IF(OR(AO150="",NOT(ISNUMBER(AO150))),"",AO150-N(S150))</f>
        <v/>
      </c>
      <c r="BL150" s="17" t="str">
        <f aca="false">IF(OR(AP150="",NOT(ISNUMBER(AP150))),"",AP150-N(T150))</f>
        <v/>
      </c>
      <c r="BM150" s="17" t="str">
        <f aca="false">IF(OR(AQ150="",NOT(ISNUMBER(AQ150))),"",AQ150-N(U150))</f>
        <v/>
      </c>
      <c r="BR150" s="20" t="str">
        <f aca="false">IF($A150="","",IF(ISNUMBER($A150),DATE(YEAR($A150),MONTH($A150),1),IFERROR(DATE(2000+VALUE(RIGHT(TRIM($A150),2)),MATCH(UPPER(LEFT(TRIM($A150),3)),{"JAN","FEB","MAR","APR","MAY","JUN","JUL","AUG","SEP","OCT","NOV","DEC"},0),1),"")))</f>
        <v/>
      </c>
      <c r="BS150" s="20" t="str">
        <f aca="false">IF(BR150="","",EOMONTH(BR150,0))</f>
        <v/>
      </c>
    </row>
    <row r="151" customFormat="false" ht="15" hidden="false" customHeight="false" outlineLevel="0" collapsed="false">
      <c r="B151" s="21"/>
      <c r="C151" s="21"/>
      <c r="D151" s="21"/>
      <c r="E151" s="21"/>
      <c r="F151" s="21"/>
      <c r="G151" s="21"/>
      <c r="H151" s="21"/>
      <c r="I151" s="21"/>
      <c r="J151" s="21"/>
      <c r="K151" s="21"/>
      <c r="L151" s="21"/>
      <c r="M151" s="21"/>
      <c r="N151" s="21"/>
      <c r="O151" s="21"/>
      <c r="P151" s="21"/>
      <c r="Q151" s="21"/>
      <c r="R151" s="21"/>
      <c r="S151" s="21"/>
      <c r="T151" s="21"/>
      <c r="U151" s="21"/>
      <c r="X151" s="17" t="str">
        <f aca="false">IF(OR(B$7="",$BR151=""),"",IF('Tally Helper'!$B$3&lt;&gt;TRUE(),"not on Staff",SUMIFS('Tally Helper'!$L$5:$GI$5,'Tally Helper'!$L$3:$GI$3,"&gt;="&amp;$BR151,'Tally Helper'!$L$3:$GI$3,"&lt;="&amp;$BS151)))</f>
        <v/>
      </c>
      <c r="Y151" s="17" t="str">
        <f aca="false">IF(OR(C$7="",$BR151=""),"",IF('Tally Helper'!$B$6&lt;&gt;TRUE(),"not on Staff",SUMIFS('Tally Helper'!$L$8:$GI$8,'Tally Helper'!$L$6:$GI$6,"&gt;="&amp;$BR151,'Tally Helper'!$L$6:$GI$6,"&lt;="&amp;$BS151)))</f>
        <v/>
      </c>
      <c r="Z151" s="17" t="str">
        <f aca="false">IF(OR(D$7="",$BR151=""),"",IF('Tally Helper'!$B$9&lt;&gt;TRUE(),"not on Staff",SUMIFS('Tally Helper'!$L$11:$GI$11,'Tally Helper'!$L$9:$GI$9,"&gt;="&amp;$BR151,'Tally Helper'!$L$9:$GI$9,"&lt;="&amp;$BS151)))</f>
        <v/>
      </c>
      <c r="AA151" s="17" t="str">
        <f aca="false">IF(OR(E$7="",$BR151=""),"",IF('Tally Helper'!$B$12&lt;&gt;TRUE(),"not on Staff",SUMIFS('Tally Helper'!$L$14:$GI$14,'Tally Helper'!$L$12:$GI$12,"&gt;="&amp;$BR151,'Tally Helper'!$L$12:$GI$12,"&lt;="&amp;$BS151)))</f>
        <v/>
      </c>
      <c r="AB151" s="17" t="str">
        <f aca="false">IF(OR(F$7="",$BR151=""),"",IF('Tally Helper'!$B$15&lt;&gt;TRUE(),"not on Staff",SUMIFS('Tally Helper'!$L$17:$GI$17,'Tally Helper'!$L$15:$GI$15,"&gt;="&amp;$BR151,'Tally Helper'!$L$15:$GI$15,"&lt;="&amp;$BS151)))</f>
        <v/>
      </c>
      <c r="AC151" s="17" t="str">
        <f aca="false">IF(OR(G$7="",$BR151=""),"",IF('Tally Helper'!$B$18&lt;&gt;TRUE(),"not on Staff",SUMIFS('Tally Helper'!$L$20:$GI$20,'Tally Helper'!$L$18:$GI$18,"&gt;="&amp;$BR151,'Tally Helper'!$L$18:$GI$18,"&lt;="&amp;$BS151)))</f>
        <v/>
      </c>
      <c r="AD151" s="17" t="str">
        <f aca="false">IF(OR(H$7="",$BR151=""),"",IF('Tally Helper'!$B$21&lt;&gt;TRUE(),"not on Staff",SUMIFS('Tally Helper'!$L$23:$GI$23,'Tally Helper'!$L$21:$GI$21,"&gt;="&amp;$BR151,'Tally Helper'!$L$21:$GI$21,"&lt;="&amp;$BS151)))</f>
        <v/>
      </c>
      <c r="AE151" s="17" t="str">
        <f aca="false">IF(OR(I$7="",$BR151=""),"",IF('Tally Helper'!$B$24&lt;&gt;TRUE(),"not on Staff",SUMIFS('Tally Helper'!$L$26:$GI$26,'Tally Helper'!$L$24:$GI$24,"&gt;="&amp;$BR151,'Tally Helper'!$L$24:$GI$24,"&lt;="&amp;$BS151)))</f>
        <v/>
      </c>
      <c r="AF151" s="17" t="str">
        <f aca="false">IF(OR(J$7="",$BR151=""),"",IF('Tally Helper'!$B$27&lt;&gt;TRUE(),"not on Staff",SUMIFS('Tally Helper'!$L$29:$GI$29,'Tally Helper'!$L$27:$GI$27,"&gt;="&amp;$BR151,'Tally Helper'!$L$27:$GI$27,"&lt;="&amp;$BS151)))</f>
        <v/>
      </c>
      <c r="AG151" s="17" t="str">
        <f aca="false">IF(OR(K$7="",$BR151=""),"",IF('Tally Helper'!$B$30&lt;&gt;TRUE(),"not on Staff",SUMIFS('Tally Helper'!$L$32:$GI$32,'Tally Helper'!$L$30:$GI$30,"&gt;="&amp;$BR151,'Tally Helper'!$L$30:$GI$30,"&lt;="&amp;$BS151)))</f>
        <v/>
      </c>
      <c r="AH151" s="17" t="str">
        <f aca="false">IF(OR(L$7="",$BR151=""),"",IF('Tally Helper'!$B$33&lt;&gt;TRUE(),"not on Staff",SUMIFS('Tally Helper'!$L$35:$GI$35,'Tally Helper'!$L$33:$GI$33,"&gt;="&amp;$BR151,'Tally Helper'!$L$33:$GI$33,"&lt;="&amp;$BS151)))</f>
        <v/>
      </c>
      <c r="AI151" s="17" t="str">
        <f aca="false">IF(OR(M$7="",$BR151=""),"",IF('Tally Helper'!$B$36&lt;&gt;TRUE(),"not on Staff",SUMIFS('Tally Helper'!$L$38:$GI$38,'Tally Helper'!$L$36:$GI$36,"&gt;="&amp;$BR151,'Tally Helper'!$L$36:$GI$36,"&lt;="&amp;$BS151)))</f>
        <v/>
      </c>
      <c r="AJ151" s="17" t="str">
        <f aca="false">IF(OR(N$7="",$BR151=""),"",IF('Tally Helper'!$B$39&lt;&gt;TRUE(),"not on Staff",SUMIFS('Tally Helper'!$L$41:$GI$41,'Tally Helper'!$L$39:$GI$39,"&gt;="&amp;$BR151,'Tally Helper'!$L$39:$GI$39,"&lt;="&amp;$BS151)))</f>
        <v/>
      </c>
      <c r="AK151" s="17" t="str">
        <f aca="false">IF(OR(O$7="",$BR151=""),"",IF('Tally Helper'!$B$42&lt;&gt;TRUE(),"not on Staff",SUMIFS('Tally Helper'!$L$44:$GI$44,'Tally Helper'!$L$42:$GI$42,"&gt;="&amp;$BR151,'Tally Helper'!$L$42:$GI$42,"&lt;="&amp;$BS151)))</f>
        <v/>
      </c>
      <c r="AL151" s="17" t="str">
        <f aca="false">IF(OR(P$7="",$BR151=""),"",IF('Tally Helper'!$B$45&lt;&gt;TRUE(),"not on Staff",SUMIFS('Tally Helper'!$L$47:$GI$47,'Tally Helper'!$L$45:$GI$45,"&gt;="&amp;$BR151,'Tally Helper'!$L$45:$GI$45,"&lt;="&amp;$BS151)))</f>
        <v/>
      </c>
      <c r="AM151" s="17" t="str">
        <f aca="false">IF(OR(Q$7="",$BR151=""),"",IF('Tally Helper'!$B$48&lt;&gt;TRUE(),"not on Staff",SUMIFS('Tally Helper'!$L$50:$GI$50,'Tally Helper'!$L$48:$GI$48,"&gt;="&amp;$BR151,'Tally Helper'!$L$48:$GI$48,"&lt;="&amp;$BS151)))</f>
        <v/>
      </c>
      <c r="AN151" s="17" t="str">
        <f aca="false">IF(OR(R$7="",$BR151=""),"",IF('Tally Helper'!$B$51&lt;&gt;TRUE(),"not on Staff",SUMIFS('Tally Helper'!$L$53:$GI$53,'Tally Helper'!$L$51:$GI$51,"&gt;="&amp;$BR151,'Tally Helper'!$L$51:$GI$51,"&lt;="&amp;$BS151)))</f>
        <v/>
      </c>
      <c r="AO151" s="17" t="str">
        <f aca="false">IF(OR(S$7="",$BR151=""),"",IF('Tally Helper'!$B$54&lt;&gt;TRUE(),"not on Staff",SUMIFS('Tally Helper'!$L$56:$GI$56,'Tally Helper'!$L$54:$GI$54,"&gt;="&amp;$BR151,'Tally Helper'!$L$54:$GI$54,"&lt;="&amp;$BS151)))</f>
        <v/>
      </c>
      <c r="AP151" s="17" t="str">
        <f aca="false">IF(OR(T$7="",$BR151=""),"",IF('Tally Helper'!$B$57&lt;&gt;TRUE(),"not on Staff",SUMIFS('Tally Helper'!$L$59:$GI$59,'Tally Helper'!$L$57:$GI$57,"&gt;="&amp;$BR151,'Tally Helper'!$L$57:$GI$57,"&lt;="&amp;$BS151)))</f>
        <v/>
      </c>
      <c r="AQ151" s="17" t="str">
        <f aca="false">IF(OR(U$7="",$BR151=""),"",IF('Tally Helper'!$B$60&lt;&gt;TRUE(),"not on Staff",SUMIFS('Tally Helper'!$L$62:$GI$62,'Tally Helper'!$L$60:$GI$60,"&gt;="&amp;$BR151,'Tally Helper'!$L$60:$GI$60,"&lt;="&amp;$BS151)))</f>
        <v/>
      </c>
      <c r="AT151" s="17" t="str">
        <f aca="false">IF(OR(X151="",NOT(ISNUMBER(X151))),"",X151-N(B151))</f>
        <v/>
      </c>
      <c r="AU151" s="17" t="str">
        <f aca="false">IF(OR(Y151="",NOT(ISNUMBER(Y151))),"",Y151-N(C151))</f>
        <v/>
      </c>
      <c r="AV151" s="17" t="str">
        <f aca="false">IF(OR(Z151="",NOT(ISNUMBER(Z151))),"",Z151-N(D151))</f>
        <v/>
      </c>
      <c r="AW151" s="17" t="str">
        <f aca="false">IF(OR(AA151="",NOT(ISNUMBER(AA151))),"",AA151-N(E151))</f>
        <v/>
      </c>
      <c r="AX151" s="17" t="str">
        <f aca="false">IF(OR(AB151="",NOT(ISNUMBER(AB151))),"",AB151-N(F151))</f>
        <v/>
      </c>
      <c r="AY151" s="17" t="str">
        <f aca="false">IF(OR(AC151="",NOT(ISNUMBER(AC151))),"",AC151-N(G151))</f>
        <v/>
      </c>
      <c r="AZ151" s="17" t="str">
        <f aca="false">IF(OR(AD151="",NOT(ISNUMBER(AD151))),"",AD151-N(H151))</f>
        <v/>
      </c>
      <c r="BA151" s="17" t="str">
        <f aca="false">IF(OR(AE151="",NOT(ISNUMBER(AE151))),"",AE151-N(I151))</f>
        <v/>
      </c>
      <c r="BB151" s="17" t="str">
        <f aca="false">IF(OR(AF151="",NOT(ISNUMBER(AF151))),"",AF151-N(J151))</f>
        <v/>
      </c>
      <c r="BC151" s="17" t="str">
        <f aca="false">IF(OR(AG151="",NOT(ISNUMBER(AG151))),"",AG151-N(K151))</f>
        <v/>
      </c>
      <c r="BD151" s="17" t="str">
        <f aca="false">IF(OR(AH151="",NOT(ISNUMBER(AH151))),"",AH151-N(L151))</f>
        <v/>
      </c>
      <c r="BE151" s="17" t="str">
        <f aca="false">IF(OR(AI151="",NOT(ISNUMBER(AI151))),"",AI151-N(M151))</f>
        <v/>
      </c>
      <c r="BF151" s="17" t="str">
        <f aca="false">IF(OR(AJ151="",NOT(ISNUMBER(AJ151))),"",AJ151-N(N151))</f>
        <v/>
      </c>
      <c r="BG151" s="17" t="str">
        <f aca="false">IF(OR(AK151="",NOT(ISNUMBER(AK151))),"",AK151-N(O151))</f>
        <v/>
      </c>
      <c r="BH151" s="17" t="str">
        <f aca="false">IF(OR(AL151="",NOT(ISNUMBER(AL151))),"",AL151-N(P151))</f>
        <v/>
      </c>
      <c r="BI151" s="17" t="str">
        <f aca="false">IF(OR(AM151="",NOT(ISNUMBER(AM151))),"",AM151-N(Q151))</f>
        <v/>
      </c>
      <c r="BJ151" s="17" t="str">
        <f aca="false">IF(OR(AN151="",NOT(ISNUMBER(AN151))),"",AN151-N(R151))</f>
        <v/>
      </c>
      <c r="BK151" s="17" t="str">
        <f aca="false">IF(OR(AO151="",NOT(ISNUMBER(AO151))),"",AO151-N(S151))</f>
        <v/>
      </c>
      <c r="BL151" s="17" t="str">
        <f aca="false">IF(OR(AP151="",NOT(ISNUMBER(AP151))),"",AP151-N(T151))</f>
        <v/>
      </c>
      <c r="BM151" s="17" t="str">
        <f aca="false">IF(OR(AQ151="",NOT(ISNUMBER(AQ151))),"",AQ151-N(U151))</f>
        <v/>
      </c>
      <c r="BR151" s="20" t="str">
        <f aca="false">IF($A151="","",IF(ISNUMBER($A151),DATE(YEAR($A151),MONTH($A151),1),IFERROR(DATE(2000+VALUE(RIGHT(TRIM($A151),2)),MATCH(UPPER(LEFT(TRIM($A151),3)),{"JAN","FEB","MAR","APR","MAY","JUN","JUL","AUG","SEP","OCT","NOV","DEC"},0),1),"")))</f>
        <v/>
      </c>
      <c r="BS151" s="20" t="str">
        <f aca="false">IF(BR151="","",EOMONTH(BR151,0))</f>
        <v/>
      </c>
    </row>
    <row r="152" customFormat="false" ht="15" hidden="false" customHeight="false" outlineLevel="0" collapsed="false">
      <c r="B152" s="21"/>
      <c r="C152" s="21"/>
      <c r="D152" s="21"/>
      <c r="E152" s="21"/>
      <c r="F152" s="21"/>
      <c r="G152" s="21"/>
      <c r="H152" s="21"/>
      <c r="I152" s="21"/>
      <c r="J152" s="21"/>
      <c r="K152" s="21"/>
      <c r="L152" s="21"/>
      <c r="M152" s="21"/>
      <c r="N152" s="21"/>
      <c r="O152" s="21"/>
      <c r="P152" s="21"/>
      <c r="Q152" s="21"/>
      <c r="R152" s="21"/>
      <c r="S152" s="21"/>
      <c r="T152" s="21"/>
      <c r="U152" s="21"/>
      <c r="X152" s="17" t="str">
        <f aca="false">IF(OR(B$7="",$BR152=""),"",IF('Tally Helper'!$B$3&lt;&gt;TRUE(),"not on Staff",SUMIFS('Tally Helper'!$L$5:$GI$5,'Tally Helper'!$L$3:$GI$3,"&gt;="&amp;$BR152,'Tally Helper'!$L$3:$GI$3,"&lt;="&amp;$BS152)))</f>
        <v/>
      </c>
      <c r="Y152" s="17" t="str">
        <f aca="false">IF(OR(C$7="",$BR152=""),"",IF('Tally Helper'!$B$6&lt;&gt;TRUE(),"not on Staff",SUMIFS('Tally Helper'!$L$8:$GI$8,'Tally Helper'!$L$6:$GI$6,"&gt;="&amp;$BR152,'Tally Helper'!$L$6:$GI$6,"&lt;="&amp;$BS152)))</f>
        <v/>
      </c>
      <c r="Z152" s="17" t="str">
        <f aca="false">IF(OR(D$7="",$BR152=""),"",IF('Tally Helper'!$B$9&lt;&gt;TRUE(),"not on Staff",SUMIFS('Tally Helper'!$L$11:$GI$11,'Tally Helper'!$L$9:$GI$9,"&gt;="&amp;$BR152,'Tally Helper'!$L$9:$GI$9,"&lt;="&amp;$BS152)))</f>
        <v/>
      </c>
      <c r="AA152" s="17" t="str">
        <f aca="false">IF(OR(E$7="",$BR152=""),"",IF('Tally Helper'!$B$12&lt;&gt;TRUE(),"not on Staff",SUMIFS('Tally Helper'!$L$14:$GI$14,'Tally Helper'!$L$12:$GI$12,"&gt;="&amp;$BR152,'Tally Helper'!$L$12:$GI$12,"&lt;="&amp;$BS152)))</f>
        <v/>
      </c>
      <c r="AB152" s="17" t="str">
        <f aca="false">IF(OR(F$7="",$BR152=""),"",IF('Tally Helper'!$B$15&lt;&gt;TRUE(),"not on Staff",SUMIFS('Tally Helper'!$L$17:$GI$17,'Tally Helper'!$L$15:$GI$15,"&gt;="&amp;$BR152,'Tally Helper'!$L$15:$GI$15,"&lt;="&amp;$BS152)))</f>
        <v/>
      </c>
      <c r="AC152" s="17" t="str">
        <f aca="false">IF(OR(G$7="",$BR152=""),"",IF('Tally Helper'!$B$18&lt;&gt;TRUE(),"not on Staff",SUMIFS('Tally Helper'!$L$20:$GI$20,'Tally Helper'!$L$18:$GI$18,"&gt;="&amp;$BR152,'Tally Helper'!$L$18:$GI$18,"&lt;="&amp;$BS152)))</f>
        <v/>
      </c>
      <c r="AD152" s="17" t="str">
        <f aca="false">IF(OR(H$7="",$BR152=""),"",IF('Tally Helper'!$B$21&lt;&gt;TRUE(),"not on Staff",SUMIFS('Tally Helper'!$L$23:$GI$23,'Tally Helper'!$L$21:$GI$21,"&gt;="&amp;$BR152,'Tally Helper'!$L$21:$GI$21,"&lt;="&amp;$BS152)))</f>
        <v/>
      </c>
      <c r="AE152" s="17" t="str">
        <f aca="false">IF(OR(I$7="",$BR152=""),"",IF('Tally Helper'!$B$24&lt;&gt;TRUE(),"not on Staff",SUMIFS('Tally Helper'!$L$26:$GI$26,'Tally Helper'!$L$24:$GI$24,"&gt;="&amp;$BR152,'Tally Helper'!$L$24:$GI$24,"&lt;="&amp;$BS152)))</f>
        <v/>
      </c>
      <c r="AF152" s="17" t="str">
        <f aca="false">IF(OR(J$7="",$BR152=""),"",IF('Tally Helper'!$B$27&lt;&gt;TRUE(),"not on Staff",SUMIFS('Tally Helper'!$L$29:$GI$29,'Tally Helper'!$L$27:$GI$27,"&gt;="&amp;$BR152,'Tally Helper'!$L$27:$GI$27,"&lt;="&amp;$BS152)))</f>
        <v/>
      </c>
      <c r="AG152" s="17" t="str">
        <f aca="false">IF(OR(K$7="",$BR152=""),"",IF('Tally Helper'!$B$30&lt;&gt;TRUE(),"not on Staff",SUMIFS('Tally Helper'!$L$32:$GI$32,'Tally Helper'!$L$30:$GI$30,"&gt;="&amp;$BR152,'Tally Helper'!$L$30:$GI$30,"&lt;="&amp;$BS152)))</f>
        <v/>
      </c>
      <c r="AH152" s="17" t="str">
        <f aca="false">IF(OR(L$7="",$BR152=""),"",IF('Tally Helper'!$B$33&lt;&gt;TRUE(),"not on Staff",SUMIFS('Tally Helper'!$L$35:$GI$35,'Tally Helper'!$L$33:$GI$33,"&gt;="&amp;$BR152,'Tally Helper'!$L$33:$GI$33,"&lt;="&amp;$BS152)))</f>
        <v/>
      </c>
      <c r="AI152" s="17" t="str">
        <f aca="false">IF(OR(M$7="",$BR152=""),"",IF('Tally Helper'!$B$36&lt;&gt;TRUE(),"not on Staff",SUMIFS('Tally Helper'!$L$38:$GI$38,'Tally Helper'!$L$36:$GI$36,"&gt;="&amp;$BR152,'Tally Helper'!$L$36:$GI$36,"&lt;="&amp;$BS152)))</f>
        <v/>
      </c>
      <c r="AJ152" s="17" t="str">
        <f aca="false">IF(OR(N$7="",$BR152=""),"",IF('Tally Helper'!$B$39&lt;&gt;TRUE(),"not on Staff",SUMIFS('Tally Helper'!$L$41:$GI$41,'Tally Helper'!$L$39:$GI$39,"&gt;="&amp;$BR152,'Tally Helper'!$L$39:$GI$39,"&lt;="&amp;$BS152)))</f>
        <v/>
      </c>
      <c r="AK152" s="17" t="str">
        <f aca="false">IF(OR(O$7="",$BR152=""),"",IF('Tally Helper'!$B$42&lt;&gt;TRUE(),"not on Staff",SUMIFS('Tally Helper'!$L$44:$GI$44,'Tally Helper'!$L$42:$GI$42,"&gt;="&amp;$BR152,'Tally Helper'!$L$42:$GI$42,"&lt;="&amp;$BS152)))</f>
        <v/>
      </c>
      <c r="AL152" s="17" t="str">
        <f aca="false">IF(OR(P$7="",$BR152=""),"",IF('Tally Helper'!$B$45&lt;&gt;TRUE(),"not on Staff",SUMIFS('Tally Helper'!$L$47:$GI$47,'Tally Helper'!$L$45:$GI$45,"&gt;="&amp;$BR152,'Tally Helper'!$L$45:$GI$45,"&lt;="&amp;$BS152)))</f>
        <v/>
      </c>
      <c r="AM152" s="17" t="str">
        <f aca="false">IF(OR(Q$7="",$BR152=""),"",IF('Tally Helper'!$B$48&lt;&gt;TRUE(),"not on Staff",SUMIFS('Tally Helper'!$L$50:$GI$50,'Tally Helper'!$L$48:$GI$48,"&gt;="&amp;$BR152,'Tally Helper'!$L$48:$GI$48,"&lt;="&amp;$BS152)))</f>
        <v/>
      </c>
      <c r="AN152" s="17" t="str">
        <f aca="false">IF(OR(R$7="",$BR152=""),"",IF('Tally Helper'!$B$51&lt;&gt;TRUE(),"not on Staff",SUMIFS('Tally Helper'!$L$53:$GI$53,'Tally Helper'!$L$51:$GI$51,"&gt;="&amp;$BR152,'Tally Helper'!$L$51:$GI$51,"&lt;="&amp;$BS152)))</f>
        <v/>
      </c>
      <c r="AO152" s="17" t="str">
        <f aca="false">IF(OR(S$7="",$BR152=""),"",IF('Tally Helper'!$B$54&lt;&gt;TRUE(),"not on Staff",SUMIFS('Tally Helper'!$L$56:$GI$56,'Tally Helper'!$L$54:$GI$54,"&gt;="&amp;$BR152,'Tally Helper'!$L$54:$GI$54,"&lt;="&amp;$BS152)))</f>
        <v/>
      </c>
      <c r="AP152" s="17" t="str">
        <f aca="false">IF(OR(T$7="",$BR152=""),"",IF('Tally Helper'!$B$57&lt;&gt;TRUE(),"not on Staff",SUMIFS('Tally Helper'!$L$59:$GI$59,'Tally Helper'!$L$57:$GI$57,"&gt;="&amp;$BR152,'Tally Helper'!$L$57:$GI$57,"&lt;="&amp;$BS152)))</f>
        <v/>
      </c>
      <c r="AQ152" s="17" t="str">
        <f aca="false">IF(OR(U$7="",$BR152=""),"",IF('Tally Helper'!$B$60&lt;&gt;TRUE(),"not on Staff",SUMIFS('Tally Helper'!$L$62:$GI$62,'Tally Helper'!$L$60:$GI$60,"&gt;="&amp;$BR152,'Tally Helper'!$L$60:$GI$60,"&lt;="&amp;$BS152)))</f>
        <v/>
      </c>
      <c r="AT152" s="17" t="str">
        <f aca="false">IF(OR(X152="",NOT(ISNUMBER(X152))),"",X152-N(B152))</f>
        <v/>
      </c>
      <c r="AU152" s="17" t="str">
        <f aca="false">IF(OR(Y152="",NOT(ISNUMBER(Y152))),"",Y152-N(C152))</f>
        <v/>
      </c>
      <c r="AV152" s="17" t="str">
        <f aca="false">IF(OR(Z152="",NOT(ISNUMBER(Z152))),"",Z152-N(D152))</f>
        <v/>
      </c>
      <c r="AW152" s="17" t="str">
        <f aca="false">IF(OR(AA152="",NOT(ISNUMBER(AA152))),"",AA152-N(E152))</f>
        <v/>
      </c>
      <c r="AX152" s="17" t="str">
        <f aca="false">IF(OR(AB152="",NOT(ISNUMBER(AB152))),"",AB152-N(F152))</f>
        <v/>
      </c>
      <c r="AY152" s="17" t="str">
        <f aca="false">IF(OR(AC152="",NOT(ISNUMBER(AC152))),"",AC152-N(G152))</f>
        <v/>
      </c>
      <c r="AZ152" s="17" t="str">
        <f aca="false">IF(OR(AD152="",NOT(ISNUMBER(AD152))),"",AD152-N(H152))</f>
        <v/>
      </c>
      <c r="BA152" s="17" t="str">
        <f aca="false">IF(OR(AE152="",NOT(ISNUMBER(AE152))),"",AE152-N(I152))</f>
        <v/>
      </c>
      <c r="BB152" s="17" t="str">
        <f aca="false">IF(OR(AF152="",NOT(ISNUMBER(AF152))),"",AF152-N(J152))</f>
        <v/>
      </c>
      <c r="BC152" s="17" t="str">
        <f aca="false">IF(OR(AG152="",NOT(ISNUMBER(AG152))),"",AG152-N(K152))</f>
        <v/>
      </c>
      <c r="BD152" s="17" t="str">
        <f aca="false">IF(OR(AH152="",NOT(ISNUMBER(AH152))),"",AH152-N(L152))</f>
        <v/>
      </c>
      <c r="BE152" s="17" t="str">
        <f aca="false">IF(OR(AI152="",NOT(ISNUMBER(AI152))),"",AI152-N(M152))</f>
        <v/>
      </c>
      <c r="BF152" s="17" t="str">
        <f aca="false">IF(OR(AJ152="",NOT(ISNUMBER(AJ152))),"",AJ152-N(N152))</f>
        <v/>
      </c>
      <c r="BG152" s="17" t="str">
        <f aca="false">IF(OR(AK152="",NOT(ISNUMBER(AK152))),"",AK152-N(O152))</f>
        <v/>
      </c>
      <c r="BH152" s="17" t="str">
        <f aca="false">IF(OR(AL152="",NOT(ISNUMBER(AL152))),"",AL152-N(P152))</f>
        <v/>
      </c>
      <c r="BI152" s="17" t="str">
        <f aca="false">IF(OR(AM152="",NOT(ISNUMBER(AM152))),"",AM152-N(Q152))</f>
        <v/>
      </c>
      <c r="BJ152" s="17" t="str">
        <f aca="false">IF(OR(AN152="",NOT(ISNUMBER(AN152))),"",AN152-N(R152))</f>
        <v/>
      </c>
      <c r="BK152" s="17" t="str">
        <f aca="false">IF(OR(AO152="",NOT(ISNUMBER(AO152))),"",AO152-N(S152))</f>
        <v/>
      </c>
      <c r="BL152" s="17" t="str">
        <f aca="false">IF(OR(AP152="",NOT(ISNUMBER(AP152))),"",AP152-N(T152))</f>
        <v/>
      </c>
      <c r="BM152" s="17" t="str">
        <f aca="false">IF(OR(AQ152="",NOT(ISNUMBER(AQ152))),"",AQ152-N(U152))</f>
        <v/>
      </c>
      <c r="BR152" s="20" t="str">
        <f aca="false">IF($A152="","",IF(ISNUMBER($A152),DATE(YEAR($A152),MONTH($A152),1),IFERROR(DATE(2000+VALUE(RIGHT(TRIM($A152),2)),MATCH(UPPER(LEFT(TRIM($A152),3)),{"JAN","FEB","MAR","APR","MAY","JUN","JUL","AUG","SEP","OCT","NOV","DEC"},0),1),"")))</f>
        <v/>
      </c>
      <c r="BS152" s="20" t="str">
        <f aca="false">IF(BR152="","",EOMONTH(BR152,0))</f>
        <v/>
      </c>
    </row>
    <row r="153" customFormat="false" ht="15" hidden="false" customHeight="false" outlineLevel="0" collapsed="false">
      <c r="B153" s="21"/>
      <c r="C153" s="21"/>
      <c r="D153" s="21"/>
      <c r="E153" s="21"/>
      <c r="F153" s="21"/>
      <c r="G153" s="21"/>
      <c r="H153" s="21"/>
      <c r="I153" s="21"/>
      <c r="J153" s="21"/>
      <c r="K153" s="21"/>
      <c r="L153" s="21"/>
      <c r="M153" s="21"/>
      <c r="N153" s="21"/>
      <c r="O153" s="21"/>
      <c r="P153" s="21"/>
      <c r="Q153" s="21"/>
      <c r="R153" s="21"/>
      <c r="S153" s="21"/>
      <c r="T153" s="21"/>
      <c r="U153" s="21"/>
      <c r="X153" s="17" t="str">
        <f aca="false">IF(OR(B$7="",$BR153=""),"",IF('Tally Helper'!$B$3&lt;&gt;TRUE(),"not on Staff",SUMIFS('Tally Helper'!$L$5:$GI$5,'Tally Helper'!$L$3:$GI$3,"&gt;="&amp;$BR153,'Tally Helper'!$L$3:$GI$3,"&lt;="&amp;$BS153)))</f>
        <v/>
      </c>
      <c r="Y153" s="17" t="str">
        <f aca="false">IF(OR(C$7="",$BR153=""),"",IF('Tally Helper'!$B$6&lt;&gt;TRUE(),"not on Staff",SUMIFS('Tally Helper'!$L$8:$GI$8,'Tally Helper'!$L$6:$GI$6,"&gt;="&amp;$BR153,'Tally Helper'!$L$6:$GI$6,"&lt;="&amp;$BS153)))</f>
        <v/>
      </c>
      <c r="Z153" s="17" t="str">
        <f aca="false">IF(OR(D$7="",$BR153=""),"",IF('Tally Helper'!$B$9&lt;&gt;TRUE(),"not on Staff",SUMIFS('Tally Helper'!$L$11:$GI$11,'Tally Helper'!$L$9:$GI$9,"&gt;="&amp;$BR153,'Tally Helper'!$L$9:$GI$9,"&lt;="&amp;$BS153)))</f>
        <v/>
      </c>
      <c r="AA153" s="17" t="str">
        <f aca="false">IF(OR(E$7="",$BR153=""),"",IF('Tally Helper'!$B$12&lt;&gt;TRUE(),"not on Staff",SUMIFS('Tally Helper'!$L$14:$GI$14,'Tally Helper'!$L$12:$GI$12,"&gt;="&amp;$BR153,'Tally Helper'!$L$12:$GI$12,"&lt;="&amp;$BS153)))</f>
        <v/>
      </c>
      <c r="AB153" s="17" t="str">
        <f aca="false">IF(OR(F$7="",$BR153=""),"",IF('Tally Helper'!$B$15&lt;&gt;TRUE(),"not on Staff",SUMIFS('Tally Helper'!$L$17:$GI$17,'Tally Helper'!$L$15:$GI$15,"&gt;="&amp;$BR153,'Tally Helper'!$L$15:$GI$15,"&lt;="&amp;$BS153)))</f>
        <v/>
      </c>
      <c r="AC153" s="17" t="str">
        <f aca="false">IF(OR(G$7="",$BR153=""),"",IF('Tally Helper'!$B$18&lt;&gt;TRUE(),"not on Staff",SUMIFS('Tally Helper'!$L$20:$GI$20,'Tally Helper'!$L$18:$GI$18,"&gt;="&amp;$BR153,'Tally Helper'!$L$18:$GI$18,"&lt;="&amp;$BS153)))</f>
        <v/>
      </c>
      <c r="AD153" s="17" t="str">
        <f aca="false">IF(OR(H$7="",$BR153=""),"",IF('Tally Helper'!$B$21&lt;&gt;TRUE(),"not on Staff",SUMIFS('Tally Helper'!$L$23:$GI$23,'Tally Helper'!$L$21:$GI$21,"&gt;="&amp;$BR153,'Tally Helper'!$L$21:$GI$21,"&lt;="&amp;$BS153)))</f>
        <v/>
      </c>
      <c r="AE153" s="17" t="str">
        <f aca="false">IF(OR(I$7="",$BR153=""),"",IF('Tally Helper'!$B$24&lt;&gt;TRUE(),"not on Staff",SUMIFS('Tally Helper'!$L$26:$GI$26,'Tally Helper'!$L$24:$GI$24,"&gt;="&amp;$BR153,'Tally Helper'!$L$24:$GI$24,"&lt;="&amp;$BS153)))</f>
        <v/>
      </c>
      <c r="AF153" s="17" t="str">
        <f aca="false">IF(OR(J$7="",$BR153=""),"",IF('Tally Helper'!$B$27&lt;&gt;TRUE(),"not on Staff",SUMIFS('Tally Helper'!$L$29:$GI$29,'Tally Helper'!$L$27:$GI$27,"&gt;="&amp;$BR153,'Tally Helper'!$L$27:$GI$27,"&lt;="&amp;$BS153)))</f>
        <v/>
      </c>
      <c r="AG153" s="17" t="str">
        <f aca="false">IF(OR(K$7="",$BR153=""),"",IF('Tally Helper'!$B$30&lt;&gt;TRUE(),"not on Staff",SUMIFS('Tally Helper'!$L$32:$GI$32,'Tally Helper'!$L$30:$GI$30,"&gt;="&amp;$BR153,'Tally Helper'!$L$30:$GI$30,"&lt;="&amp;$BS153)))</f>
        <v/>
      </c>
      <c r="AH153" s="17" t="str">
        <f aca="false">IF(OR(L$7="",$BR153=""),"",IF('Tally Helper'!$B$33&lt;&gt;TRUE(),"not on Staff",SUMIFS('Tally Helper'!$L$35:$GI$35,'Tally Helper'!$L$33:$GI$33,"&gt;="&amp;$BR153,'Tally Helper'!$L$33:$GI$33,"&lt;="&amp;$BS153)))</f>
        <v/>
      </c>
      <c r="AI153" s="17" t="str">
        <f aca="false">IF(OR(M$7="",$BR153=""),"",IF('Tally Helper'!$B$36&lt;&gt;TRUE(),"not on Staff",SUMIFS('Tally Helper'!$L$38:$GI$38,'Tally Helper'!$L$36:$GI$36,"&gt;="&amp;$BR153,'Tally Helper'!$L$36:$GI$36,"&lt;="&amp;$BS153)))</f>
        <v/>
      </c>
      <c r="AJ153" s="17" t="str">
        <f aca="false">IF(OR(N$7="",$BR153=""),"",IF('Tally Helper'!$B$39&lt;&gt;TRUE(),"not on Staff",SUMIFS('Tally Helper'!$L$41:$GI$41,'Tally Helper'!$L$39:$GI$39,"&gt;="&amp;$BR153,'Tally Helper'!$L$39:$GI$39,"&lt;="&amp;$BS153)))</f>
        <v/>
      </c>
      <c r="AK153" s="17" t="str">
        <f aca="false">IF(OR(O$7="",$BR153=""),"",IF('Tally Helper'!$B$42&lt;&gt;TRUE(),"not on Staff",SUMIFS('Tally Helper'!$L$44:$GI$44,'Tally Helper'!$L$42:$GI$42,"&gt;="&amp;$BR153,'Tally Helper'!$L$42:$GI$42,"&lt;="&amp;$BS153)))</f>
        <v/>
      </c>
      <c r="AL153" s="17" t="str">
        <f aca="false">IF(OR(P$7="",$BR153=""),"",IF('Tally Helper'!$B$45&lt;&gt;TRUE(),"not on Staff",SUMIFS('Tally Helper'!$L$47:$GI$47,'Tally Helper'!$L$45:$GI$45,"&gt;="&amp;$BR153,'Tally Helper'!$L$45:$GI$45,"&lt;="&amp;$BS153)))</f>
        <v/>
      </c>
      <c r="AM153" s="17" t="str">
        <f aca="false">IF(OR(Q$7="",$BR153=""),"",IF('Tally Helper'!$B$48&lt;&gt;TRUE(),"not on Staff",SUMIFS('Tally Helper'!$L$50:$GI$50,'Tally Helper'!$L$48:$GI$48,"&gt;="&amp;$BR153,'Tally Helper'!$L$48:$GI$48,"&lt;="&amp;$BS153)))</f>
        <v/>
      </c>
      <c r="AN153" s="17" t="str">
        <f aca="false">IF(OR(R$7="",$BR153=""),"",IF('Tally Helper'!$B$51&lt;&gt;TRUE(),"not on Staff",SUMIFS('Tally Helper'!$L$53:$GI$53,'Tally Helper'!$L$51:$GI$51,"&gt;="&amp;$BR153,'Tally Helper'!$L$51:$GI$51,"&lt;="&amp;$BS153)))</f>
        <v/>
      </c>
      <c r="AO153" s="17" t="str">
        <f aca="false">IF(OR(S$7="",$BR153=""),"",IF('Tally Helper'!$B$54&lt;&gt;TRUE(),"not on Staff",SUMIFS('Tally Helper'!$L$56:$GI$56,'Tally Helper'!$L$54:$GI$54,"&gt;="&amp;$BR153,'Tally Helper'!$L$54:$GI$54,"&lt;="&amp;$BS153)))</f>
        <v/>
      </c>
      <c r="AP153" s="17" t="str">
        <f aca="false">IF(OR(T$7="",$BR153=""),"",IF('Tally Helper'!$B$57&lt;&gt;TRUE(),"not on Staff",SUMIFS('Tally Helper'!$L$59:$GI$59,'Tally Helper'!$L$57:$GI$57,"&gt;="&amp;$BR153,'Tally Helper'!$L$57:$GI$57,"&lt;="&amp;$BS153)))</f>
        <v/>
      </c>
      <c r="AQ153" s="17" t="str">
        <f aca="false">IF(OR(U$7="",$BR153=""),"",IF('Tally Helper'!$B$60&lt;&gt;TRUE(),"not on Staff",SUMIFS('Tally Helper'!$L$62:$GI$62,'Tally Helper'!$L$60:$GI$60,"&gt;="&amp;$BR153,'Tally Helper'!$L$60:$GI$60,"&lt;="&amp;$BS153)))</f>
        <v/>
      </c>
      <c r="AT153" s="17" t="str">
        <f aca="false">IF(OR(X153="",NOT(ISNUMBER(X153))),"",X153-N(B153))</f>
        <v/>
      </c>
      <c r="AU153" s="17" t="str">
        <f aca="false">IF(OR(Y153="",NOT(ISNUMBER(Y153))),"",Y153-N(C153))</f>
        <v/>
      </c>
      <c r="AV153" s="17" t="str">
        <f aca="false">IF(OR(Z153="",NOT(ISNUMBER(Z153))),"",Z153-N(D153))</f>
        <v/>
      </c>
      <c r="AW153" s="17" t="str">
        <f aca="false">IF(OR(AA153="",NOT(ISNUMBER(AA153))),"",AA153-N(E153))</f>
        <v/>
      </c>
      <c r="AX153" s="17" t="str">
        <f aca="false">IF(OR(AB153="",NOT(ISNUMBER(AB153))),"",AB153-N(F153))</f>
        <v/>
      </c>
      <c r="AY153" s="17" t="str">
        <f aca="false">IF(OR(AC153="",NOT(ISNUMBER(AC153))),"",AC153-N(G153))</f>
        <v/>
      </c>
      <c r="AZ153" s="17" t="str">
        <f aca="false">IF(OR(AD153="",NOT(ISNUMBER(AD153))),"",AD153-N(H153))</f>
        <v/>
      </c>
      <c r="BA153" s="17" t="str">
        <f aca="false">IF(OR(AE153="",NOT(ISNUMBER(AE153))),"",AE153-N(I153))</f>
        <v/>
      </c>
      <c r="BB153" s="17" t="str">
        <f aca="false">IF(OR(AF153="",NOT(ISNUMBER(AF153))),"",AF153-N(J153))</f>
        <v/>
      </c>
      <c r="BC153" s="17" t="str">
        <f aca="false">IF(OR(AG153="",NOT(ISNUMBER(AG153))),"",AG153-N(K153))</f>
        <v/>
      </c>
      <c r="BD153" s="17" t="str">
        <f aca="false">IF(OR(AH153="",NOT(ISNUMBER(AH153))),"",AH153-N(L153))</f>
        <v/>
      </c>
      <c r="BE153" s="17" t="str">
        <f aca="false">IF(OR(AI153="",NOT(ISNUMBER(AI153))),"",AI153-N(M153))</f>
        <v/>
      </c>
      <c r="BF153" s="17" t="str">
        <f aca="false">IF(OR(AJ153="",NOT(ISNUMBER(AJ153))),"",AJ153-N(N153))</f>
        <v/>
      </c>
      <c r="BG153" s="17" t="str">
        <f aca="false">IF(OR(AK153="",NOT(ISNUMBER(AK153))),"",AK153-N(O153))</f>
        <v/>
      </c>
      <c r="BH153" s="17" t="str">
        <f aca="false">IF(OR(AL153="",NOT(ISNUMBER(AL153))),"",AL153-N(P153))</f>
        <v/>
      </c>
      <c r="BI153" s="17" t="str">
        <f aca="false">IF(OR(AM153="",NOT(ISNUMBER(AM153))),"",AM153-N(Q153))</f>
        <v/>
      </c>
      <c r="BJ153" s="17" t="str">
        <f aca="false">IF(OR(AN153="",NOT(ISNUMBER(AN153))),"",AN153-N(R153))</f>
        <v/>
      </c>
      <c r="BK153" s="17" t="str">
        <f aca="false">IF(OR(AO153="",NOT(ISNUMBER(AO153))),"",AO153-N(S153))</f>
        <v/>
      </c>
      <c r="BL153" s="17" t="str">
        <f aca="false">IF(OR(AP153="",NOT(ISNUMBER(AP153))),"",AP153-N(T153))</f>
        <v/>
      </c>
      <c r="BM153" s="17" t="str">
        <f aca="false">IF(OR(AQ153="",NOT(ISNUMBER(AQ153))),"",AQ153-N(U153))</f>
        <v/>
      </c>
      <c r="BR153" s="20" t="str">
        <f aca="false">IF($A153="","",IF(ISNUMBER($A153),DATE(YEAR($A153),MONTH($A153),1),IFERROR(DATE(2000+VALUE(RIGHT(TRIM($A153),2)),MATCH(UPPER(LEFT(TRIM($A153),3)),{"JAN","FEB","MAR","APR","MAY","JUN","JUL","AUG","SEP","OCT","NOV","DEC"},0),1),"")))</f>
        <v/>
      </c>
      <c r="BS153" s="20" t="str">
        <f aca="false">IF(BR153="","",EOMONTH(BR153,0))</f>
        <v/>
      </c>
    </row>
    <row r="154" customFormat="false" ht="15" hidden="false" customHeight="false" outlineLevel="0" collapsed="false">
      <c r="B154" s="21"/>
      <c r="C154" s="21"/>
      <c r="D154" s="21"/>
      <c r="E154" s="21"/>
      <c r="F154" s="21"/>
      <c r="G154" s="21"/>
      <c r="H154" s="21"/>
      <c r="I154" s="21"/>
      <c r="J154" s="21"/>
      <c r="K154" s="21"/>
      <c r="L154" s="21"/>
      <c r="M154" s="21"/>
      <c r="N154" s="21"/>
      <c r="O154" s="21"/>
      <c r="P154" s="21"/>
      <c r="Q154" s="21"/>
      <c r="R154" s="21"/>
      <c r="S154" s="21"/>
      <c r="T154" s="21"/>
      <c r="U154" s="21"/>
      <c r="X154" s="17" t="str">
        <f aca="false">IF(OR(B$7="",$BR154=""),"",IF('Tally Helper'!$B$3&lt;&gt;TRUE(),"not on Staff",SUMIFS('Tally Helper'!$L$5:$GI$5,'Tally Helper'!$L$3:$GI$3,"&gt;="&amp;$BR154,'Tally Helper'!$L$3:$GI$3,"&lt;="&amp;$BS154)))</f>
        <v/>
      </c>
      <c r="Y154" s="17" t="str">
        <f aca="false">IF(OR(C$7="",$BR154=""),"",IF('Tally Helper'!$B$6&lt;&gt;TRUE(),"not on Staff",SUMIFS('Tally Helper'!$L$8:$GI$8,'Tally Helper'!$L$6:$GI$6,"&gt;="&amp;$BR154,'Tally Helper'!$L$6:$GI$6,"&lt;="&amp;$BS154)))</f>
        <v/>
      </c>
      <c r="Z154" s="17" t="str">
        <f aca="false">IF(OR(D$7="",$BR154=""),"",IF('Tally Helper'!$B$9&lt;&gt;TRUE(),"not on Staff",SUMIFS('Tally Helper'!$L$11:$GI$11,'Tally Helper'!$L$9:$GI$9,"&gt;="&amp;$BR154,'Tally Helper'!$L$9:$GI$9,"&lt;="&amp;$BS154)))</f>
        <v/>
      </c>
      <c r="AA154" s="17" t="str">
        <f aca="false">IF(OR(E$7="",$BR154=""),"",IF('Tally Helper'!$B$12&lt;&gt;TRUE(),"not on Staff",SUMIFS('Tally Helper'!$L$14:$GI$14,'Tally Helper'!$L$12:$GI$12,"&gt;="&amp;$BR154,'Tally Helper'!$L$12:$GI$12,"&lt;="&amp;$BS154)))</f>
        <v/>
      </c>
      <c r="AB154" s="17" t="str">
        <f aca="false">IF(OR(F$7="",$BR154=""),"",IF('Tally Helper'!$B$15&lt;&gt;TRUE(),"not on Staff",SUMIFS('Tally Helper'!$L$17:$GI$17,'Tally Helper'!$L$15:$GI$15,"&gt;="&amp;$BR154,'Tally Helper'!$L$15:$GI$15,"&lt;="&amp;$BS154)))</f>
        <v/>
      </c>
      <c r="AC154" s="17" t="str">
        <f aca="false">IF(OR(G$7="",$BR154=""),"",IF('Tally Helper'!$B$18&lt;&gt;TRUE(),"not on Staff",SUMIFS('Tally Helper'!$L$20:$GI$20,'Tally Helper'!$L$18:$GI$18,"&gt;="&amp;$BR154,'Tally Helper'!$L$18:$GI$18,"&lt;="&amp;$BS154)))</f>
        <v/>
      </c>
      <c r="AD154" s="17" t="str">
        <f aca="false">IF(OR(H$7="",$BR154=""),"",IF('Tally Helper'!$B$21&lt;&gt;TRUE(),"not on Staff",SUMIFS('Tally Helper'!$L$23:$GI$23,'Tally Helper'!$L$21:$GI$21,"&gt;="&amp;$BR154,'Tally Helper'!$L$21:$GI$21,"&lt;="&amp;$BS154)))</f>
        <v/>
      </c>
      <c r="AE154" s="17" t="str">
        <f aca="false">IF(OR(I$7="",$BR154=""),"",IF('Tally Helper'!$B$24&lt;&gt;TRUE(),"not on Staff",SUMIFS('Tally Helper'!$L$26:$GI$26,'Tally Helper'!$L$24:$GI$24,"&gt;="&amp;$BR154,'Tally Helper'!$L$24:$GI$24,"&lt;="&amp;$BS154)))</f>
        <v/>
      </c>
      <c r="AF154" s="17" t="str">
        <f aca="false">IF(OR(J$7="",$BR154=""),"",IF('Tally Helper'!$B$27&lt;&gt;TRUE(),"not on Staff",SUMIFS('Tally Helper'!$L$29:$GI$29,'Tally Helper'!$L$27:$GI$27,"&gt;="&amp;$BR154,'Tally Helper'!$L$27:$GI$27,"&lt;="&amp;$BS154)))</f>
        <v/>
      </c>
      <c r="AG154" s="17" t="str">
        <f aca="false">IF(OR(K$7="",$BR154=""),"",IF('Tally Helper'!$B$30&lt;&gt;TRUE(),"not on Staff",SUMIFS('Tally Helper'!$L$32:$GI$32,'Tally Helper'!$L$30:$GI$30,"&gt;="&amp;$BR154,'Tally Helper'!$L$30:$GI$30,"&lt;="&amp;$BS154)))</f>
        <v/>
      </c>
      <c r="AH154" s="17" t="str">
        <f aca="false">IF(OR(L$7="",$BR154=""),"",IF('Tally Helper'!$B$33&lt;&gt;TRUE(),"not on Staff",SUMIFS('Tally Helper'!$L$35:$GI$35,'Tally Helper'!$L$33:$GI$33,"&gt;="&amp;$BR154,'Tally Helper'!$L$33:$GI$33,"&lt;="&amp;$BS154)))</f>
        <v/>
      </c>
      <c r="AI154" s="17" t="str">
        <f aca="false">IF(OR(M$7="",$BR154=""),"",IF('Tally Helper'!$B$36&lt;&gt;TRUE(),"not on Staff",SUMIFS('Tally Helper'!$L$38:$GI$38,'Tally Helper'!$L$36:$GI$36,"&gt;="&amp;$BR154,'Tally Helper'!$L$36:$GI$36,"&lt;="&amp;$BS154)))</f>
        <v/>
      </c>
      <c r="AJ154" s="17" t="str">
        <f aca="false">IF(OR(N$7="",$BR154=""),"",IF('Tally Helper'!$B$39&lt;&gt;TRUE(),"not on Staff",SUMIFS('Tally Helper'!$L$41:$GI$41,'Tally Helper'!$L$39:$GI$39,"&gt;="&amp;$BR154,'Tally Helper'!$L$39:$GI$39,"&lt;="&amp;$BS154)))</f>
        <v/>
      </c>
      <c r="AK154" s="17" t="str">
        <f aca="false">IF(OR(O$7="",$BR154=""),"",IF('Tally Helper'!$B$42&lt;&gt;TRUE(),"not on Staff",SUMIFS('Tally Helper'!$L$44:$GI$44,'Tally Helper'!$L$42:$GI$42,"&gt;="&amp;$BR154,'Tally Helper'!$L$42:$GI$42,"&lt;="&amp;$BS154)))</f>
        <v/>
      </c>
      <c r="AL154" s="17" t="str">
        <f aca="false">IF(OR(P$7="",$BR154=""),"",IF('Tally Helper'!$B$45&lt;&gt;TRUE(),"not on Staff",SUMIFS('Tally Helper'!$L$47:$GI$47,'Tally Helper'!$L$45:$GI$45,"&gt;="&amp;$BR154,'Tally Helper'!$L$45:$GI$45,"&lt;="&amp;$BS154)))</f>
        <v/>
      </c>
      <c r="AM154" s="17" t="str">
        <f aca="false">IF(OR(Q$7="",$BR154=""),"",IF('Tally Helper'!$B$48&lt;&gt;TRUE(),"not on Staff",SUMIFS('Tally Helper'!$L$50:$GI$50,'Tally Helper'!$L$48:$GI$48,"&gt;="&amp;$BR154,'Tally Helper'!$L$48:$GI$48,"&lt;="&amp;$BS154)))</f>
        <v/>
      </c>
      <c r="AN154" s="17" t="str">
        <f aca="false">IF(OR(R$7="",$BR154=""),"",IF('Tally Helper'!$B$51&lt;&gt;TRUE(),"not on Staff",SUMIFS('Tally Helper'!$L$53:$GI$53,'Tally Helper'!$L$51:$GI$51,"&gt;="&amp;$BR154,'Tally Helper'!$L$51:$GI$51,"&lt;="&amp;$BS154)))</f>
        <v/>
      </c>
      <c r="AO154" s="17" t="str">
        <f aca="false">IF(OR(S$7="",$BR154=""),"",IF('Tally Helper'!$B$54&lt;&gt;TRUE(),"not on Staff",SUMIFS('Tally Helper'!$L$56:$GI$56,'Tally Helper'!$L$54:$GI$54,"&gt;="&amp;$BR154,'Tally Helper'!$L$54:$GI$54,"&lt;="&amp;$BS154)))</f>
        <v/>
      </c>
      <c r="AP154" s="17" t="str">
        <f aca="false">IF(OR(T$7="",$BR154=""),"",IF('Tally Helper'!$B$57&lt;&gt;TRUE(),"not on Staff",SUMIFS('Tally Helper'!$L$59:$GI$59,'Tally Helper'!$L$57:$GI$57,"&gt;="&amp;$BR154,'Tally Helper'!$L$57:$GI$57,"&lt;="&amp;$BS154)))</f>
        <v/>
      </c>
      <c r="AQ154" s="17" t="str">
        <f aca="false">IF(OR(U$7="",$BR154=""),"",IF('Tally Helper'!$B$60&lt;&gt;TRUE(),"not on Staff",SUMIFS('Tally Helper'!$L$62:$GI$62,'Tally Helper'!$L$60:$GI$60,"&gt;="&amp;$BR154,'Tally Helper'!$L$60:$GI$60,"&lt;="&amp;$BS154)))</f>
        <v/>
      </c>
      <c r="AT154" s="17" t="str">
        <f aca="false">IF(OR(X154="",NOT(ISNUMBER(X154))),"",X154-N(B154))</f>
        <v/>
      </c>
      <c r="AU154" s="17" t="str">
        <f aca="false">IF(OR(Y154="",NOT(ISNUMBER(Y154))),"",Y154-N(C154))</f>
        <v/>
      </c>
      <c r="AV154" s="17" t="str">
        <f aca="false">IF(OR(Z154="",NOT(ISNUMBER(Z154))),"",Z154-N(D154))</f>
        <v/>
      </c>
      <c r="AW154" s="17" t="str">
        <f aca="false">IF(OR(AA154="",NOT(ISNUMBER(AA154))),"",AA154-N(E154))</f>
        <v/>
      </c>
      <c r="AX154" s="17" t="str">
        <f aca="false">IF(OR(AB154="",NOT(ISNUMBER(AB154))),"",AB154-N(F154))</f>
        <v/>
      </c>
      <c r="AY154" s="17" t="str">
        <f aca="false">IF(OR(AC154="",NOT(ISNUMBER(AC154))),"",AC154-N(G154))</f>
        <v/>
      </c>
      <c r="AZ154" s="17" t="str">
        <f aca="false">IF(OR(AD154="",NOT(ISNUMBER(AD154))),"",AD154-N(H154))</f>
        <v/>
      </c>
      <c r="BA154" s="17" t="str">
        <f aca="false">IF(OR(AE154="",NOT(ISNUMBER(AE154))),"",AE154-N(I154))</f>
        <v/>
      </c>
      <c r="BB154" s="17" t="str">
        <f aca="false">IF(OR(AF154="",NOT(ISNUMBER(AF154))),"",AF154-N(J154))</f>
        <v/>
      </c>
      <c r="BC154" s="17" t="str">
        <f aca="false">IF(OR(AG154="",NOT(ISNUMBER(AG154))),"",AG154-N(K154))</f>
        <v/>
      </c>
      <c r="BD154" s="17" t="str">
        <f aca="false">IF(OR(AH154="",NOT(ISNUMBER(AH154))),"",AH154-N(L154))</f>
        <v/>
      </c>
      <c r="BE154" s="17" t="str">
        <f aca="false">IF(OR(AI154="",NOT(ISNUMBER(AI154))),"",AI154-N(M154))</f>
        <v/>
      </c>
      <c r="BF154" s="17" t="str">
        <f aca="false">IF(OR(AJ154="",NOT(ISNUMBER(AJ154))),"",AJ154-N(N154))</f>
        <v/>
      </c>
      <c r="BG154" s="17" t="str">
        <f aca="false">IF(OR(AK154="",NOT(ISNUMBER(AK154))),"",AK154-N(O154))</f>
        <v/>
      </c>
      <c r="BH154" s="17" t="str">
        <f aca="false">IF(OR(AL154="",NOT(ISNUMBER(AL154))),"",AL154-N(P154))</f>
        <v/>
      </c>
      <c r="BI154" s="17" t="str">
        <f aca="false">IF(OR(AM154="",NOT(ISNUMBER(AM154))),"",AM154-N(Q154))</f>
        <v/>
      </c>
      <c r="BJ154" s="17" t="str">
        <f aca="false">IF(OR(AN154="",NOT(ISNUMBER(AN154))),"",AN154-N(R154))</f>
        <v/>
      </c>
      <c r="BK154" s="17" t="str">
        <f aca="false">IF(OR(AO154="",NOT(ISNUMBER(AO154))),"",AO154-N(S154))</f>
        <v/>
      </c>
      <c r="BL154" s="17" t="str">
        <f aca="false">IF(OR(AP154="",NOT(ISNUMBER(AP154))),"",AP154-N(T154))</f>
        <v/>
      </c>
      <c r="BM154" s="17" t="str">
        <f aca="false">IF(OR(AQ154="",NOT(ISNUMBER(AQ154))),"",AQ154-N(U154))</f>
        <v/>
      </c>
      <c r="BR154" s="20" t="str">
        <f aca="false">IF($A154="","",IF(ISNUMBER($A154),DATE(YEAR($A154),MONTH($A154),1),IFERROR(DATE(2000+VALUE(RIGHT(TRIM($A154),2)),MATCH(UPPER(LEFT(TRIM($A154),3)),{"JAN","FEB","MAR","APR","MAY","JUN","JUL","AUG","SEP","OCT","NOV","DEC"},0),1),"")))</f>
        <v/>
      </c>
      <c r="BS154" s="20" t="str">
        <f aca="false">IF(BR154="","",EOMONTH(BR154,0))</f>
        <v/>
      </c>
    </row>
    <row r="155" customFormat="false" ht="15" hidden="false" customHeight="false" outlineLevel="0" collapsed="false">
      <c r="B155" s="21"/>
      <c r="C155" s="21"/>
      <c r="D155" s="21"/>
      <c r="E155" s="21"/>
      <c r="F155" s="21"/>
      <c r="G155" s="21"/>
      <c r="H155" s="21"/>
      <c r="I155" s="21"/>
      <c r="J155" s="21"/>
      <c r="K155" s="21"/>
      <c r="L155" s="21"/>
      <c r="M155" s="21"/>
      <c r="N155" s="21"/>
      <c r="O155" s="21"/>
      <c r="P155" s="21"/>
      <c r="Q155" s="21"/>
      <c r="R155" s="21"/>
      <c r="S155" s="21"/>
      <c r="T155" s="21"/>
      <c r="U155" s="21"/>
      <c r="X155" s="17" t="str">
        <f aca="false">IF(OR(B$7="",$BR155=""),"",IF('Tally Helper'!$B$3&lt;&gt;TRUE(),"not on Staff",SUMIFS('Tally Helper'!$L$5:$GI$5,'Tally Helper'!$L$3:$GI$3,"&gt;="&amp;$BR155,'Tally Helper'!$L$3:$GI$3,"&lt;="&amp;$BS155)))</f>
        <v/>
      </c>
      <c r="Y155" s="17" t="str">
        <f aca="false">IF(OR(C$7="",$BR155=""),"",IF('Tally Helper'!$B$6&lt;&gt;TRUE(),"not on Staff",SUMIFS('Tally Helper'!$L$8:$GI$8,'Tally Helper'!$L$6:$GI$6,"&gt;="&amp;$BR155,'Tally Helper'!$L$6:$GI$6,"&lt;="&amp;$BS155)))</f>
        <v/>
      </c>
      <c r="Z155" s="17" t="str">
        <f aca="false">IF(OR(D$7="",$BR155=""),"",IF('Tally Helper'!$B$9&lt;&gt;TRUE(),"not on Staff",SUMIFS('Tally Helper'!$L$11:$GI$11,'Tally Helper'!$L$9:$GI$9,"&gt;="&amp;$BR155,'Tally Helper'!$L$9:$GI$9,"&lt;="&amp;$BS155)))</f>
        <v/>
      </c>
      <c r="AA155" s="17" t="str">
        <f aca="false">IF(OR(E$7="",$BR155=""),"",IF('Tally Helper'!$B$12&lt;&gt;TRUE(),"not on Staff",SUMIFS('Tally Helper'!$L$14:$GI$14,'Tally Helper'!$L$12:$GI$12,"&gt;="&amp;$BR155,'Tally Helper'!$L$12:$GI$12,"&lt;="&amp;$BS155)))</f>
        <v/>
      </c>
      <c r="AB155" s="17" t="str">
        <f aca="false">IF(OR(F$7="",$BR155=""),"",IF('Tally Helper'!$B$15&lt;&gt;TRUE(),"not on Staff",SUMIFS('Tally Helper'!$L$17:$GI$17,'Tally Helper'!$L$15:$GI$15,"&gt;="&amp;$BR155,'Tally Helper'!$L$15:$GI$15,"&lt;="&amp;$BS155)))</f>
        <v/>
      </c>
      <c r="AC155" s="17" t="str">
        <f aca="false">IF(OR(G$7="",$BR155=""),"",IF('Tally Helper'!$B$18&lt;&gt;TRUE(),"not on Staff",SUMIFS('Tally Helper'!$L$20:$GI$20,'Tally Helper'!$L$18:$GI$18,"&gt;="&amp;$BR155,'Tally Helper'!$L$18:$GI$18,"&lt;="&amp;$BS155)))</f>
        <v/>
      </c>
      <c r="AD155" s="17" t="str">
        <f aca="false">IF(OR(H$7="",$BR155=""),"",IF('Tally Helper'!$B$21&lt;&gt;TRUE(),"not on Staff",SUMIFS('Tally Helper'!$L$23:$GI$23,'Tally Helper'!$L$21:$GI$21,"&gt;="&amp;$BR155,'Tally Helper'!$L$21:$GI$21,"&lt;="&amp;$BS155)))</f>
        <v/>
      </c>
      <c r="AE155" s="17" t="str">
        <f aca="false">IF(OR(I$7="",$BR155=""),"",IF('Tally Helper'!$B$24&lt;&gt;TRUE(),"not on Staff",SUMIFS('Tally Helper'!$L$26:$GI$26,'Tally Helper'!$L$24:$GI$24,"&gt;="&amp;$BR155,'Tally Helper'!$L$24:$GI$24,"&lt;="&amp;$BS155)))</f>
        <v/>
      </c>
      <c r="AF155" s="17" t="str">
        <f aca="false">IF(OR(J$7="",$BR155=""),"",IF('Tally Helper'!$B$27&lt;&gt;TRUE(),"not on Staff",SUMIFS('Tally Helper'!$L$29:$GI$29,'Tally Helper'!$L$27:$GI$27,"&gt;="&amp;$BR155,'Tally Helper'!$L$27:$GI$27,"&lt;="&amp;$BS155)))</f>
        <v/>
      </c>
      <c r="AG155" s="17" t="str">
        <f aca="false">IF(OR(K$7="",$BR155=""),"",IF('Tally Helper'!$B$30&lt;&gt;TRUE(),"not on Staff",SUMIFS('Tally Helper'!$L$32:$GI$32,'Tally Helper'!$L$30:$GI$30,"&gt;="&amp;$BR155,'Tally Helper'!$L$30:$GI$30,"&lt;="&amp;$BS155)))</f>
        <v/>
      </c>
      <c r="AH155" s="17" t="str">
        <f aca="false">IF(OR(L$7="",$BR155=""),"",IF('Tally Helper'!$B$33&lt;&gt;TRUE(),"not on Staff",SUMIFS('Tally Helper'!$L$35:$GI$35,'Tally Helper'!$L$33:$GI$33,"&gt;="&amp;$BR155,'Tally Helper'!$L$33:$GI$33,"&lt;="&amp;$BS155)))</f>
        <v/>
      </c>
      <c r="AI155" s="17" t="str">
        <f aca="false">IF(OR(M$7="",$BR155=""),"",IF('Tally Helper'!$B$36&lt;&gt;TRUE(),"not on Staff",SUMIFS('Tally Helper'!$L$38:$GI$38,'Tally Helper'!$L$36:$GI$36,"&gt;="&amp;$BR155,'Tally Helper'!$L$36:$GI$36,"&lt;="&amp;$BS155)))</f>
        <v/>
      </c>
      <c r="AJ155" s="17" t="str">
        <f aca="false">IF(OR(N$7="",$BR155=""),"",IF('Tally Helper'!$B$39&lt;&gt;TRUE(),"not on Staff",SUMIFS('Tally Helper'!$L$41:$GI$41,'Tally Helper'!$L$39:$GI$39,"&gt;="&amp;$BR155,'Tally Helper'!$L$39:$GI$39,"&lt;="&amp;$BS155)))</f>
        <v/>
      </c>
      <c r="AK155" s="17" t="str">
        <f aca="false">IF(OR(O$7="",$BR155=""),"",IF('Tally Helper'!$B$42&lt;&gt;TRUE(),"not on Staff",SUMIFS('Tally Helper'!$L$44:$GI$44,'Tally Helper'!$L$42:$GI$42,"&gt;="&amp;$BR155,'Tally Helper'!$L$42:$GI$42,"&lt;="&amp;$BS155)))</f>
        <v/>
      </c>
      <c r="AL155" s="17" t="str">
        <f aca="false">IF(OR(P$7="",$BR155=""),"",IF('Tally Helper'!$B$45&lt;&gt;TRUE(),"not on Staff",SUMIFS('Tally Helper'!$L$47:$GI$47,'Tally Helper'!$L$45:$GI$45,"&gt;="&amp;$BR155,'Tally Helper'!$L$45:$GI$45,"&lt;="&amp;$BS155)))</f>
        <v/>
      </c>
      <c r="AM155" s="17" t="str">
        <f aca="false">IF(OR(Q$7="",$BR155=""),"",IF('Tally Helper'!$B$48&lt;&gt;TRUE(),"not on Staff",SUMIFS('Tally Helper'!$L$50:$GI$50,'Tally Helper'!$L$48:$GI$48,"&gt;="&amp;$BR155,'Tally Helper'!$L$48:$GI$48,"&lt;="&amp;$BS155)))</f>
        <v/>
      </c>
      <c r="AN155" s="17" t="str">
        <f aca="false">IF(OR(R$7="",$BR155=""),"",IF('Tally Helper'!$B$51&lt;&gt;TRUE(),"not on Staff",SUMIFS('Tally Helper'!$L$53:$GI$53,'Tally Helper'!$L$51:$GI$51,"&gt;="&amp;$BR155,'Tally Helper'!$L$51:$GI$51,"&lt;="&amp;$BS155)))</f>
        <v/>
      </c>
      <c r="AO155" s="17" t="str">
        <f aca="false">IF(OR(S$7="",$BR155=""),"",IF('Tally Helper'!$B$54&lt;&gt;TRUE(),"not on Staff",SUMIFS('Tally Helper'!$L$56:$GI$56,'Tally Helper'!$L$54:$GI$54,"&gt;="&amp;$BR155,'Tally Helper'!$L$54:$GI$54,"&lt;="&amp;$BS155)))</f>
        <v/>
      </c>
      <c r="AP155" s="17" t="str">
        <f aca="false">IF(OR(T$7="",$BR155=""),"",IF('Tally Helper'!$B$57&lt;&gt;TRUE(),"not on Staff",SUMIFS('Tally Helper'!$L$59:$GI$59,'Tally Helper'!$L$57:$GI$57,"&gt;="&amp;$BR155,'Tally Helper'!$L$57:$GI$57,"&lt;="&amp;$BS155)))</f>
        <v/>
      </c>
      <c r="AQ155" s="17" t="str">
        <f aca="false">IF(OR(U$7="",$BR155=""),"",IF('Tally Helper'!$B$60&lt;&gt;TRUE(),"not on Staff",SUMIFS('Tally Helper'!$L$62:$GI$62,'Tally Helper'!$L$60:$GI$60,"&gt;="&amp;$BR155,'Tally Helper'!$L$60:$GI$60,"&lt;="&amp;$BS155)))</f>
        <v/>
      </c>
      <c r="AT155" s="17" t="str">
        <f aca="false">IF(OR(X155="",NOT(ISNUMBER(X155))),"",X155-N(B155))</f>
        <v/>
      </c>
      <c r="AU155" s="17" t="str">
        <f aca="false">IF(OR(Y155="",NOT(ISNUMBER(Y155))),"",Y155-N(C155))</f>
        <v/>
      </c>
      <c r="AV155" s="17" t="str">
        <f aca="false">IF(OR(Z155="",NOT(ISNUMBER(Z155))),"",Z155-N(D155))</f>
        <v/>
      </c>
      <c r="AW155" s="17" t="str">
        <f aca="false">IF(OR(AA155="",NOT(ISNUMBER(AA155))),"",AA155-N(E155))</f>
        <v/>
      </c>
      <c r="AX155" s="17" t="str">
        <f aca="false">IF(OR(AB155="",NOT(ISNUMBER(AB155))),"",AB155-N(F155))</f>
        <v/>
      </c>
      <c r="AY155" s="17" t="str">
        <f aca="false">IF(OR(AC155="",NOT(ISNUMBER(AC155))),"",AC155-N(G155))</f>
        <v/>
      </c>
      <c r="AZ155" s="17" t="str">
        <f aca="false">IF(OR(AD155="",NOT(ISNUMBER(AD155))),"",AD155-N(H155))</f>
        <v/>
      </c>
      <c r="BA155" s="17" t="str">
        <f aca="false">IF(OR(AE155="",NOT(ISNUMBER(AE155))),"",AE155-N(I155))</f>
        <v/>
      </c>
      <c r="BB155" s="17" t="str">
        <f aca="false">IF(OR(AF155="",NOT(ISNUMBER(AF155))),"",AF155-N(J155))</f>
        <v/>
      </c>
      <c r="BC155" s="17" t="str">
        <f aca="false">IF(OR(AG155="",NOT(ISNUMBER(AG155))),"",AG155-N(K155))</f>
        <v/>
      </c>
      <c r="BD155" s="17" t="str">
        <f aca="false">IF(OR(AH155="",NOT(ISNUMBER(AH155))),"",AH155-N(L155))</f>
        <v/>
      </c>
      <c r="BE155" s="17" t="str">
        <f aca="false">IF(OR(AI155="",NOT(ISNUMBER(AI155))),"",AI155-N(M155))</f>
        <v/>
      </c>
      <c r="BF155" s="17" t="str">
        <f aca="false">IF(OR(AJ155="",NOT(ISNUMBER(AJ155))),"",AJ155-N(N155))</f>
        <v/>
      </c>
      <c r="BG155" s="17" t="str">
        <f aca="false">IF(OR(AK155="",NOT(ISNUMBER(AK155))),"",AK155-N(O155))</f>
        <v/>
      </c>
      <c r="BH155" s="17" t="str">
        <f aca="false">IF(OR(AL155="",NOT(ISNUMBER(AL155))),"",AL155-N(P155))</f>
        <v/>
      </c>
      <c r="BI155" s="17" t="str">
        <f aca="false">IF(OR(AM155="",NOT(ISNUMBER(AM155))),"",AM155-N(Q155))</f>
        <v/>
      </c>
      <c r="BJ155" s="17" t="str">
        <f aca="false">IF(OR(AN155="",NOT(ISNUMBER(AN155))),"",AN155-N(R155))</f>
        <v/>
      </c>
      <c r="BK155" s="17" t="str">
        <f aca="false">IF(OR(AO155="",NOT(ISNUMBER(AO155))),"",AO155-N(S155))</f>
        <v/>
      </c>
      <c r="BL155" s="17" t="str">
        <f aca="false">IF(OR(AP155="",NOT(ISNUMBER(AP155))),"",AP155-N(T155))</f>
        <v/>
      </c>
      <c r="BM155" s="17" t="str">
        <f aca="false">IF(OR(AQ155="",NOT(ISNUMBER(AQ155))),"",AQ155-N(U155))</f>
        <v/>
      </c>
      <c r="BR155" s="20" t="str">
        <f aca="false">IF($A155="","",IF(ISNUMBER($A155),DATE(YEAR($A155),MONTH($A155),1),IFERROR(DATE(2000+VALUE(RIGHT(TRIM($A155),2)),MATCH(UPPER(LEFT(TRIM($A155),3)),{"JAN","FEB","MAR","APR","MAY","JUN","JUL","AUG","SEP","OCT","NOV","DEC"},0),1),"")))</f>
        <v/>
      </c>
      <c r="BS155" s="20" t="str">
        <f aca="false">IF(BR155="","",EOMONTH(BR155,0))</f>
        <v/>
      </c>
    </row>
    <row r="156" customFormat="false" ht="15" hidden="false" customHeight="false" outlineLevel="0" collapsed="false">
      <c r="B156" s="21"/>
      <c r="C156" s="21"/>
      <c r="D156" s="21"/>
      <c r="E156" s="21"/>
      <c r="F156" s="21"/>
      <c r="G156" s="21"/>
      <c r="H156" s="21"/>
      <c r="I156" s="21"/>
      <c r="J156" s="21"/>
      <c r="K156" s="21"/>
      <c r="L156" s="21"/>
      <c r="M156" s="21"/>
      <c r="N156" s="21"/>
      <c r="O156" s="21"/>
      <c r="P156" s="21"/>
      <c r="Q156" s="21"/>
      <c r="R156" s="21"/>
      <c r="S156" s="21"/>
      <c r="T156" s="21"/>
      <c r="U156" s="21"/>
      <c r="X156" s="17" t="str">
        <f aca="false">IF(OR(B$7="",$BR156=""),"",IF('Tally Helper'!$B$3&lt;&gt;TRUE(),"not on Staff",SUMIFS('Tally Helper'!$L$5:$GI$5,'Tally Helper'!$L$3:$GI$3,"&gt;="&amp;$BR156,'Tally Helper'!$L$3:$GI$3,"&lt;="&amp;$BS156)))</f>
        <v/>
      </c>
      <c r="Y156" s="17" t="str">
        <f aca="false">IF(OR(C$7="",$BR156=""),"",IF('Tally Helper'!$B$6&lt;&gt;TRUE(),"not on Staff",SUMIFS('Tally Helper'!$L$8:$GI$8,'Tally Helper'!$L$6:$GI$6,"&gt;="&amp;$BR156,'Tally Helper'!$L$6:$GI$6,"&lt;="&amp;$BS156)))</f>
        <v/>
      </c>
      <c r="Z156" s="17" t="str">
        <f aca="false">IF(OR(D$7="",$BR156=""),"",IF('Tally Helper'!$B$9&lt;&gt;TRUE(),"not on Staff",SUMIFS('Tally Helper'!$L$11:$GI$11,'Tally Helper'!$L$9:$GI$9,"&gt;="&amp;$BR156,'Tally Helper'!$L$9:$GI$9,"&lt;="&amp;$BS156)))</f>
        <v/>
      </c>
      <c r="AA156" s="17" t="str">
        <f aca="false">IF(OR(E$7="",$BR156=""),"",IF('Tally Helper'!$B$12&lt;&gt;TRUE(),"not on Staff",SUMIFS('Tally Helper'!$L$14:$GI$14,'Tally Helper'!$L$12:$GI$12,"&gt;="&amp;$BR156,'Tally Helper'!$L$12:$GI$12,"&lt;="&amp;$BS156)))</f>
        <v/>
      </c>
      <c r="AB156" s="17" t="str">
        <f aca="false">IF(OR(F$7="",$BR156=""),"",IF('Tally Helper'!$B$15&lt;&gt;TRUE(),"not on Staff",SUMIFS('Tally Helper'!$L$17:$GI$17,'Tally Helper'!$L$15:$GI$15,"&gt;="&amp;$BR156,'Tally Helper'!$L$15:$GI$15,"&lt;="&amp;$BS156)))</f>
        <v/>
      </c>
      <c r="AC156" s="17" t="str">
        <f aca="false">IF(OR(G$7="",$BR156=""),"",IF('Tally Helper'!$B$18&lt;&gt;TRUE(),"not on Staff",SUMIFS('Tally Helper'!$L$20:$GI$20,'Tally Helper'!$L$18:$GI$18,"&gt;="&amp;$BR156,'Tally Helper'!$L$18:$GI$18,"&lt;="&amp;$BS156)))</f>
        <v/>
      </c>
      <c r="AD156" s="17" t="str">
        <f aca="false">IF(OR(H$7="",$BR156=""),"",IF('Tally Helper'!$B$21&lt;&gt;TRUE(),"not on Staff",SUMIFS('Tally Helper'!$L$23:$GI$23,'Tally Helper'!$L$21:$GI$21,"&gt;="&amp;$BR156,'Tally Helper'!$L$21:$GI$21,"&lt;="&amp;$BS156)))</f>
        <v/>
      </c>
      <c r="AE156" s="17" t="str">
        <f aca="false">IF(OR(I$7="",$BR156=""),"",IF('Tally Helper'!$B$24&lt;&gt;TRUE(),"not on Staff",SUMIFS('Tally Helper'!$L$26:$GI$26,'Tally Helper'!$L$24:$GI$24,"&gt;="&amp;$BR156,'Tally Helper'!$L$24:$GI$24,"&lt;="&amp;$BS156)))</f>
        <v/>
      </c>
      <c r="AF156" s="17" t="str">
        <f aca="false">IF(OR(J$7="",$BR156=""),"",IF('Tally Helper'!$B$27&lt;&gt;TRUE(),"not on Staff",SUMIFS('Tally Helper'!$L$29:$GI$29,'Tally Helper'!$L$27:$GI$27,"&gt;="&amp;$BR156,'Tally Helper'!$L$27:$GI$27,"&lt;="&amp;$BS156)))</f>
        <v/>
      </c>
      <c r="AG156" s="17" t="str">
        <f aca="false">IF(OR(K$7="",$BR156=""),"",IF('Tally Helper'!$B$30&lt;&gt;TRUE(),"not on Staff",SUMIFS('Tally Helper'!$L$32:$GI$32,'Tally Helper'!$L$30:$GI$30,"&gt;="&amp;$BR156,'Tally Helper'!$L$30:$GI$30,"&lt;="&amp;$BS156)))</f>
        <v/>
      </c>
      <c r="AH156" s="17" t="str">
        <f aca="false">IF(OR(L$7="",$BR156=""),"",IF('Tally Helper'!$B$33&lt;&gt;TRUE(),"not on Staff",SUMIFS('Tally Helper'!$L$35:$GI$35,'Tally Helper'!$L$33:$GI$33,"&gt;="&amp;$BR156,'Tally Helper'!$L$33:$GI$33,"&lt;="&amp;$BS156)))</f>
        <v/>
      </c>
      <c r="AI156" s="17" t="str">
        <f aca="false">IF(OR(M$7="",$BR156=""),"",IF('Tally Helper'!$B$36&lt;&gt;TRUE(),"not on Staff",SUMIFS('Tally Helper'!$L$38:$GI$38,'Tally Helper'!$L$36:$GI$36,"&gt;="&amp;$BR156,'Tally Helper'!$L$36:$GI$36,"&lt;="&amp;$BS156)))</f>
        <v/>
      </c>
      <c r="AJ156" s="17" t="str">
        <f aca="false">IF(OR(N$7="",$BR156=""),"",IF('Tally Helper'!$B$39&lt;&gt;TRUE(),"not on Staff",SUMIFS('Tally Helper'!$L$41:$GI$41,'Tally Helper'!$L$39:$GI$39,"&gt;="&amp;$BR156,'Tally Helper'!$L$39:$GI$39,"&lt;="&amp;$BS156)))</f>
        <v/>
      </c>
      <c r="AK156" s="17" t="str">
        <f aca="false">IF(OR(O$7="",$BR156=""),"",IF('Tally Helper'!$B$42&lt;&gt;TRUE(),"not on Staff",SUMIFS('Tally Helper'!$L$44:$GI$44,'Tally Helper'!$L$42:$GI$42,"&gt;="&amp;$BR156,'Tally Helper'!$L$42:$GI$42,"&lt;="&amp;$BS156)))</f>
        <v/>
      </c>
      <c r="AL156" s="17" t="str">
        <f aca="false">IF(OR(P$7="",$BR156=""),"",IF('Tally Helper'!$B$45&lt;&gt;TRUE(),"not on Staff",SUMIFS('Tally Helper'!$L$47:$GI$47,'Tally Helper'!$L$45:$GI$45,"&gt;="&amp;$BR156,'Tally Helper'!$L$45:$GI$45,"&lt;="&amp;$BS156)))</f>
        <v/>
      </c>
      <c r="AM156" s="17" t="str">
        <f aca="false">IF(OR(Q$7="",$BR156=""),"",IF('Tally Helper'!$B$48&lt;&gt;TRUE(),"not on Staff",SUMIFS('Tally Helper'!$L$50:$GI$50,'Tally Helper'!$L$48:$GI$48,"&gt;="&amp;$BR156,'Tally Helper'!$L$48:$GI$48,"&lt;="&amp;$BS156)))</f>
        <v/>
      </c>
      <c r="AN156" s="17" t="str">
        <f aca="false">IF(OR(R$7="",$BR156=""),"",IF('Tally Helper'!$B$51&lt;&gt;TRUE(),"not on Staff",SUMIFS('Tally Helper'!$L$53:$GI$53,'Tally Helper'!$L$51:$GI$51,"&gt;="&amp;$BR156,'Tally Helper'!$L$51:$GI$51,"&lt;="&amp;$BS156)))</f>
        <v/>
      </c>
      <c r="AO156" s="17" t="str">
        <f aca="false">IF(OR(S$7="",$BR156=""),"",IF('Tally Helper'!$B$54&lt;&gt;TRUE(),"not on Staff",SUMIFS('Tally Helper'!$L$56:$GI$56,'Tally Helper'!$L$54:$GI$54,"&gt;="&amp;$BR156,'Tally Helper'!$L$54:$GI$54,"&lt;="&amp;$BS156)))</f>
        <v/>
      </c>
      <c r="AP156" s="17" t="str">
        <f aca="false">IF(OR(T$7="",$BR156=""),"",IF('Tally Helper'!$B$57&lt;&gt;TRUE(),"not on Staff",SUMIFS('Tally Helper'!$L$59:$GI$59,'Tally Helper'!$L$57:$GI$57,"&gt;="&amp;$BR156,'Tally Helper'!$L$57:$GI$57,"&lt;="&amp;$BS156)))</f>
        <v/>
      </c>
      <c r="AQ156" s="17" t="str">
        <f aca="false">IF(OR(U$7="",$BR156=""),"",IF('Tally Helper'!$B$60&lt;&gt;TRUE(),"not on Staff",SUMIFS('Tally Helper'!$L$62:$GI$62,'Tally Helper'!$L$60:$GI$60,"&gt;="&amp;$BR156,'Tally Helper'!$L$60:$GI$60,"&lt;="&amp;$BS156)))</f>
        <v/>
      </c>
      <c r="AT156" s="17" t="str">
        <f aca="false">IF(OR(X156="",NOT(ISNUMBER(X156))),"",X156-N(B156))</f>
        <v/>
      </c>
      <c r="AU156" s="17" t="str">
        <f aca="false">IF(OR(Y156="",NOT(ISNUMBER(Y156))),"",Y156-N(C156))</f>
        <v/>
      </c>
      <c r="AV156" s="17" t="str">
        <f aca="false">IF(OR(Z156="",NOT(ISNUMBER(Z156))),"",Z156-N(D156))</f>
        <v/>
      </c>
      <c r="AW156" s="17" t="str">
        <f aca="false">IF(OR(AA156="",NOT(ISNUMBER(AA156))),"",AA156-N(E156))</f>
        <v/>
      </c>
      <c r="AX156" s="17" t="str">
        <f aca="false">IF(OR(AB156="",NOT(ISNUMBER(AB156))),"",AB156-N(F156))</f>
        <v/>
      </c>
      <c r="AY156" s="17" t="str">
        <f aca="false">IF(OR(AC156="",NOT(ISNUMBER(AC156))),"",AC156-N(G156))</f>
        <v/>
      </c>
      <c r="AZ156" s="17" t="str">
        <f aca="false">IF(OR(AD156="",NOT(ISNUMBER(AD156))),"",AD156-N(H156))</f>
        <v/>
      </c>
      <c r="BA156" s="17" t="str">
        <f aca="false">IF(OR(AE156="",NOT(ISNUMBER(AE156))),"",AE156-N(I156))</f>
        <v/>
      </c>
      <c r="BB156" s="17" t="str">
        <f aca="false">IF(OR(AF156="",NOT(ISNUMBER(AF156))),"",AF156-N(J156))</f>
        <v/>
      </c>
      <c r="BC156" s="17" t="str">
        <f aca="false">IF(OR(AG156="",NOT(ISNUMBER(AG156))),"",AG156-N(K156))</f>
        <v/>
      </c>
      <c r="BD156" s="17" t="str">
        <f aca="false">IF(OR(AH156="",NOT(ISNUMBER(AH156))),"",AH156-N(L156))</f>
        <v/>
      </c>
      <c r="BE156" s="17" t="str">
        <f aca="false">IF(OR(AI156="",NOT(ISNUMBER(AI156))),"",AI156-N(M156))</f>
        <v/>
      </c>
      <c r="BF156" s="17" t="str">
        <f aca="false">IF(OR(AJ156="",NOT(ISNUMBER(AJ156))),"",AJ156-N(N156))</f>
        <v/>
      </c>
      <c r="BG156" s="17" t="str">
        <f aca="false">IF(OR(AK156="",NOT(ISNUMBER(AK156))),"",AK156-N(O156))</f>
        <v/>
      </c>
      <c r="BH156" s="17" t="str">
        <f aca="false">IF(OR(AL156="",NOT(ISNUMBER(AL156))),"",AL156-N(P156))</f>
        <v/>
      </c>
      <c r="BI156" s="17" t="str">
        <f aca="false">IF(OR(AM156="",NOT(ISNUMBER(AM156))),"",AM156-N(Q156))</f>
        <v/>
      </c>
      <c r="BJ156" s="17" t="str">
        <f aca="false">IF(OR(AN156="",NOT(ISNUMBER(AN156))),"",AN156-N(R156))</f>
        <v/>
      </c>
      <c r="BK156" s="17" t="str">
        <f aca="false">IF(OR(AO156="",NOT(ISNUMBER(AO156))),"",AO156-N(S156))</f>
        <v/>
      </c>
      <c r="BL156" s="17" t="str">
        <f aca="false">IF(OR(AP156="",NOT(ISNUMBER(AP156))),"",AP156-N(T156))</f>
        <v/>
      </c>
      <c r="BM156" s="17" t="str">
        <f aca="false">IF(OR(AQ156="",NOT(ISNUMBER(AQ156))),"",AQ156-N(U156))</f>
        <v/>
      </c>
      <c r="BR156" s="20" t="str">
        <f aca="false">IF($A156="","",IF(ISNUMBER($A156),DATE(YEAR($A156),MONTH($A156),1),IFERROR(DATE(2000+VALUE(RIGHT(TRIM($A156),2)),MATCH(UPPER(LEFT(TRIM($A156),3)),{"JAN","FEB","MAR","APR","MAY","JUN","JUL","AUG","SEP","OCT","NOV","DEC"},0),1),"")))</f>
        <v/>
      </c>
      <c r="BS156" s="20" t="str">
        <f aca="false">IF(BR156="","",EOMONTH(BR156,0))</f>
        <v/>
      </c>
    </row>
    <row r="157" customFormat="false" ht="15" hidden="false" customHeight="false" outlineLevel="0" collapsed="false">
      <c r="B157" s="21"/>
      <c r="C157" s="21"/>
      <c r="D157" s="21"/>
      <c r="E157" s="21"/>
      <c r="F157" s="21"/>
      <c r="G157" s="21"/>
      <c r="H157" s="21"/>
      <c r="I157" s="21"/>
      <c r="J157" s="21"/>
      <c r="K157" s="21"/>
      <c r="L157" s="21"/>
      <c r="M157" s="21"/>
      <c r="N157" s="21"/>
      <c r="O157" s="21"/>
      <c r="P157" s="21"/>
      <c r="Q157" s="21"/>
      <c r="R157" s="21"/>
      <c r="S157" s="21"/>
      <c r="T157" s="21"/>
      <c r="U157" s="21"/>
      <c r="X157" s="17" t="str">
        <f aca="false">IF(OR(B$7="",$BR157=""),"",IF('Tally Helper'!$B$3&lt;&gt;TRUE(),"not on Staff",SUMIFS('Tally Helper'!$L$5:$GI$5,'Tally Helper'!$L$3:$GI$3,"&gt;="&amp;$BR157,'Tally Helper'!$L$3:$GI$3,"&lt;="&amp;$BS157)))</f>
        <v/>
      </c>
      <c r="Y157" s="17" t="str">
        <f aca="false">IF(OR(C$7="",$BR157=""),"",IF('Tally Helper'!$B$6&lt;&gt;TRUE(),"not on Staff",SUMIFS('Tally Helper'!$L$8:$GI$8,'Tally Helper'!$L$6:$GI$6,"&gt;="&amp;$BR157,'Tally Helper'!$L$6:$GI$6,"&lt;="&amp;$BS157)))</f>
        <v/>
      </c>
      <c r="Z157" s="17" t="str">
        <f aca="false">IF(OR(D$7="",$BR157=""),"",IF('Tally Helper'!$B$9&lt;&gt;TRUE(),"not on Staff",SUMIFS('Tally Helper'!$L$11:$GI$11,'Tally Helper'!$L$9:$GI$9,"&gt;="&amp;$BR157,'Tally Helper'!$L$9:$GI$9,"&lt;="&amp;$BS157)))</f>
        <v/>
      </c>
      <c r="AA157" s="17" t="str">
        <f aca="false">IF(OR(E$7="",$BR157=""),"",IF('Tally Helper'!$B$12&lt;&gt;TRUE(),"not on Staff",SUMIFS('Tally Helper'!$L$14:$GI$14,'Tally Helper'!$L$12:$GI$12,"&gt;="&amp;$BR157,'Tally Helper'!$L$12:$GI$12,"&lt;="&amp;$BS157)))</f>
        <v/>
      </c>
      <c r="AB157" s="17" t="str">
        <f aca="false">IF(OR(F$7="",$BR157=""),"",IF('Tally Helper'!$B$15&lt;&gt;TRUE(),"not on Staff",SUMIFS('Tally Helper'!$L$17:$GI$17,'Tally Helper'!$L$15:$GI$15,"&gt;="&amp;$BR157,'Tally Helper'!$L$15:$GI$15,"&lt;="&amp;$BS157)))</f>
        <v/>
      </c>
      <c r="AC157" s="17" t="str">
        <f aca="false">IF(OR(G$7="",$BR157=""),"",IF('Tally Helper'!$B$18&lt;&gt;TRUE(),"not on Staff",SUMIFS('Tally Helper'!$L$20:$GI$20,'Tally Helper'!$L$18:$GI$18,"&gt;="&amp;$BR157,'Tally Helper'!$L$18:$GI$18,"&lt;="&amp;$BS157)))</f>
        <v/>
      </c>
      <c r="AD157" s="17" t="str">
        <f aca="false">IF(OR(H$7="",$BR157=""),"",IF('Tally Helper'!$B$21&lt;&gt;TRUE(),"not on Staff",SUMIFS('Tally Helper'!$L$23:$GI$23,'Tally Helper'!$L$21:$GI$21,"&gt;="&amp;$BR157,'Tally Helper'!$L$21:$GI$21,"&lt;="&amp;$BS157)))</f>
        <v/>
      </c>
      <c r="AE157" s="17" t="str">
        <f aca="false">IF(OR(I$7="",$BR157=""),"",IF('Tally Helper'!$B$24&lt;&gt;TRUE(),"not on Staff",SUMIFS('Tally Helper'!$L$26:$GI$26,'Tally Helper'!$L$24:$GI$24,"&gt;="&amp;$BR157,'Tally Helper'!$L$24:$GI$24,"&lt;="&amp;$BS157)))</f>
        <v/>
      </c>
      <c r="AF157" s="17" t="str">
        <f aca="false">IF(OR(J$7="",$BR157=""),"",IF('Tally Helper'!$B$27&lt;&gt;TRUE(),"not on Staff",SUMIFS('Tally Helper'!$L$29:$GI$29,'Tally Helper'!$L$27:$GI$27,"&gt;="&amp;$BR157,'Tally Helper'!$L$27:$GI$27,"&lt;="&amp;$BS157)))</f>
        <v/>
      </c>
      <c r="AG157" s="17" t="str">
        <f aca="false">IF(OR(K$7="",$BR157=""),"",IF('Tally Helper'!$B$30&lt;&gt;TRUE(),"not on Staff",SUMIFS('Tally Helper'!$L$32:$GI$32,'Tally Helper'!$L$30:$GI$30,"&gt;="&amp;$BR157,'Tally Helper'!$L$30:$GI$30,"&lt;="&amp;$BS157)))</f>
        <v/>
      </c>
      <c r="AH157" s="17" t="str">
        <f aca="false">IF(OR(L$7="",$BR157=""),"",IF('Tally Helper'!$B$33&lt;&gt;TRUE(),"not on Staff",SUMIFS('Tally Helper'!$L$35:$GI$35,'Tally Helper'!$L$33:$GI$33,"&gt;="&amp;$BR157,'Tally Helper'!$L$33:$GI$33,"&lt;="&amp;$BS157)))</f>
        <v/>
      </c>
      <c r="AI157" s="17" t="str">
        <f aca="false">IF(OR(M$7="",$BR157=""),"",IF('Tally Helper'!$B$36&lt;&gt;TRUE(),"not on Staff",SUMIFS('Tally Helper'!$L$38:$GI$38,'Tally Helper'!$L$36:$GI$36,"&gt;="&amp;$BR157,'Tally Helper'!$L$36:$GI$36,"&lt;="&amp;$BS157)))</f>
        <v/>
      </c>
      <c r="AJ157" s="17" t="str">
        <f aca="false">IF(OR(N$7="",$BR157=""),"",IF('Tally Helper'!$B$39&lt;&gt;TRUE(),"not on Staff",SUMIFS('Tally Helper'!$L$41:$GI$41,'Tally Helper'!$L$39:$GI$39,"&gt;="&amp;$BR157,'Tally Helper'!$L$39:$GI$39,"&lt;="&amp;$BS157)))</f>
        <v/>
      </c>
      <c r="AK157" s="17" t="str">
        <f aca="false">IF(OR(O$7="",$BR157=""),"",IF('Tally Helper'!$B$42&lt;&gt;TRUE(),"not on Staff",SUMIFS('Tally Helper'!$L$44:$GI$44,'Tally Helper'!$L$42:$GI$42,"&gt;="&amp;$BR157,'Tally Helper'!$L$42:$GI$42,"&lt;="&amp;$BS157)))</f>
        <v/>
      </c>
      <c r="AL157" s="17" t="str">
        <f aca="false">IF(OR(P$7="",$BR157=""),"",IF('Tally Helper'!$B$45&lt;&gt;TRUE(),"not on Staff",SUMIFS('Tally Helper'!$L$47:$GI$47,'Tally Helper'!$L$45:$GI$45,"&gt;="&amp;$BR157,'Tally Helper'!$L$45:$GI$45,"&lt;="&amp;$BS157)))</f>
        <v/>
      </c>
      <c r="AM157" s="17" t="str">
        <f aca="false">IF(OR(Q$7="",$BR157=""),"",IF('Tally Helper'!$B$48&lt;&gt;TRUE(),"not on Staff",SUMIFS('Tally Helper'!$L$50:$GI$50,'Tally Helper'!$L$48:$GI$48,"&gt;="&amp;$BR157,'Tally Helper'!$L$48:$GI$48,"&lt;="&amp;$BS157)))</f>
        <v/>
      </c>
      <c r="AN157" s="17" t="str">
        <f aca="false">IF(OR(R$7="",$BR157=""),"",IF('Tally Helper'!$B$51&lt;&gt;TRUE(),"not on Staff",SUMIFS('Tally Helper'!$L$53:$GI$53,'Tally Helper'!$L$51:$GI$51,"&gt;="&amp;$BR157,'Tally Helper'!$L$51:$GI$51,"&lt;="&amp;$BS157)))</f>
        <v/>
      </c>
      <c r="AO157" s="17" t="str">
        <f aca="false">IF(OR(S$7="",$BR157=""),"",IF('Tally Helper'!$B$54&lt;&gt;TRUE(),"not on Staff",SUMIFS('Tally Helper'!$L$56:$GI$56,'Tally Helper'!$L$54:$GI$54,"&gt;="&amp;$BR157,'Tally Helper'!$L$54:$GI$54,"&lt;="&amp;$BS157)))</f>
        <v/>
      </c>
      <c r="AP157" s="17" t="str">
        <f aca="false">IF(OR(T$7="",$BR157=""),"",IF('Tally Helper'!$B$57&lt;&gt;TRUE(),"not on Staff",SUMIFS('Tally Helper'!$L$59:$GI$59,'Tally Helper'!$L$57:$GI$57,"&gt;="&amp;$BR157,'Tally Helper'!$L$57:$GI$57,"&lt;="&amp;$BS157)))</f>
        <v/>
      </c>
      <c r="AQ157" s="17" t="str">
        <f aca="false">IF(OR(U$7="",$BR157=""),"",IF('Tally Helper'!$B$60&lt;&gt;TRUE(),"not on Staff",SUMIFS('Tally Helper'!$L$62:$GI$62,'Tally Helper'!$L$60:$GI$60,"&gt;="&amp;$BR157,'Tally Helper'!$L$60:$GI$60,"&lt;="&amp;$BS157)))</f>
        <v/>
      </c>
      <c r="AT157" s="17" t="str">
        <f aca="false">IF(OR(X157="",NOT(ISNUMBER(X157))),"",X157-N(B157))</f>
        <v/>
      </c>
      <c r="AU157" s="17" t="str">
        <f aca="false">IF(OR(Y157="",NOT(ISNUMBER(Y157))),"",Y157-N(C157))</f>
        <v/>
      </c>
      <c r="AV157" s="17" t="str">
        <f aca="false">IF(OR(Z157="",NOT(ISNUMBER(Z157))),"",Z157-N(D157))</f>
        <v/>
      </c>
      <c r="AW157" s="17" t="str">
        <f aca="false">IF(OR(AA157="",NOT(ISNUMBER(AA157))),"",AA157-N(E157))</f>
        <v/>
      </c>
      <c r="AX157" s="17" t="str">
        <f aca="false">IF(OR(AB157="",NOT(ISNUMBER(AB157))),"",AB157-N(F157))</f>
        <v/>
      </c>
      <c r="AY157" s="17" t="str">
        <f aca="false">IF(OR(AC157="",NOT(ISNUMBER(AC157))),"",AC157-N(G157))</f>
        <v/>
      </c>
      <c r="AZ157" s="17" t="str">
        <f aca="false">IF(OR(AD157="",NOT(ISNUMBER(AD157))),"",AD157-N(H157))</f>
        <v/>
      </c>
      <c r="BA157" s="17" t="str">
        <f aca="false">IF(OR(AE157="",NOT(ISNUMBER(AE157))),"",AE157-N(I157))</f>
        <v/>
      </c>
      <c r="BB157" s="17" t="str">
        <f aca="false">IF(OR(AF157="",NOT(ISNUMBER(AF157))),"",AF157-N(J157))</f>
        <v/>
      </c>
      <c r="BC157" s="17" t="str">
        <f aca="false">IF(OR(AG157="",NOT(ISNUMBER(AG157))),"",AG157-N(K157))</f>
        <v/>
      </c>
      <c r="BD157" s="17" t="str">
        <f aca="false">IF(OR(AH157="",NOT(ISNUMBER(AH157))),"",AH157-N(L157))</f>
        <v/>
      </c>
      <c r="BE157" s="17" t="str">
        <f aca="false">IF(OR(AI157="",NOT(ISNUMBER(AI157))),"",AI157-N(M157))</f>
        <v/>
      </c>
      <c r="BF157" s="17" t="str">
        <f aca="false">IF(OR(AJ157="",NOT(ISNUMBER(AJ157))),"",AJ157-N(N157))</f>
        <v/>
      </c>
      <c r="BG157" s="17" t="str">
        <f aca="false">IF(OR(AK157="",NOT(ISNUMBER(AK157))),"",AK157-N(O157))</f>
        <v/>
      </c>
      <c r="BH157" s="17" t="str">
        <f aca="false">IF(OR(AL157="",NOT(ISNUMBER(AL157))),"",AL157-N(P157))</f>
        <v/>
      </c>
      <c r="BI157" s="17" t="str">
        <f aca="false">IF(OR(AM157="",NOT(ISNUMBER(AM157))),"",AM157-N(Q157))</f>
        <v/>
      </c>
      <c r="BJ157" s="17" t="str">
        <f aca="false">IF(OR(AN157="",NOT(ISNUMBER(AN157))),"",AN157-N(R157))</f>
        <v/>
      </c>
      <c r="BK157" s="17" t="str">
        <f aca="false">IF(OR(AO157="",NOT(ISNUMBER(AO157))),"",AO157-N(S157))</f>
        <v/>
      </c>
      <c r="BL157" s="17" t="str">
        <f aca="false">IF(OR(AP157="",NOT(ISNUMBER(AP157))),"",AP157-N(T157))</f>
        <v/>
      </c>
      <c r="BM157" s="17" t="str">
        <f aca="false">IF(OR(AQ157="",NOT(ISNUMBER(AQ157))),"",AQ157-N(U157))</f>
        <v/>
      </c>
      <c r="BR157" s="20" t="str">
        <f aca="false">IF($A157="","",IF(ISNUMBER($A157),DATE(YEAR($A157),MONTH($A157),1),IFERROR(DATE(2000+VALUE(RIGHT(TRIM($A157),2)),MATCH(UPPER(LEFT(TRIM($A157),3)),{"JAN","FEB","MAR","APR","MAY","JUN","JUL","AUG","SEP","OCT","NOV","DEC"},0),1),"")))</f>
        <v/>
      </c>
      <c r="BS157" s="20" t="str">
        <f aca="false">IF(BR157="","",EOMONTH(BR157,0))</f>
        <v/>
      </c>
    </row>
    <row r="158" customFormat="false" ht="15" hidden="false" customHeight="false" outlineLevel="0" collapsed="false">
      <c r="B158" s="21"/>
      <c r="C158" s="21"/>
      <c r="D158" s="21"/>
      <c r="E158" s="21"/>
      <c r="F158" s="21"/>
      <c r="G158" s="21"/>
      <c r="H158" s="21"/>
      <c r="I158" s="21"/>
      <c r="J158" s="21"/>
      <c r="K158" s="21"/>
      <c r="L158" s="21"/>
      <c r="M158" s="21"/>
      <c r="N158" s="21"/>
      <c r="O158" s="21"/>
      <c r="P158" s="21"/>
      <c r="Q158" s="21"/>
      <c r="R158" s="21"/>
      <c r="S158" s="21"/>
      <c r="T158" s="21"/>
      <c r="U158" s="21"/>
      <c r="X158" s="17" t="str">
        <f aca="false">IF(OR(B$7="",$BR158=""),"",IF('Tally Helper'!$B$3&lt;&gt;TRUE(),"not on Staff",SUMIFS('Tally Helper'!$L$5:$GI$5,'Tally Helper'!$L$3:$GI$3,"&gt;="&amp;$BR158,'Tally Helper'!$L$3:$GI$3,"&lt;="&amp;$BS158)))</f>
        <v/>
      </c>
      <c r="Y158" s="17" t="str">
        <f aca="false">IF(OR(C$7="",$BR158=""),"",IF('Tally Helper'!$B$6&lt;&gt;TRUE(),"not on Staff",SUMIFS('Tally Helper'!$L$8:$GI$8,'Tally Helper'!$L$6:$GI$6,"&gt;="&amp;$BR158,'Tally Helper'!$L$6:$GI$6,"&lt;="&amp;$BS158)))</f>
        <v/>
      </c>
      <c r="Z158" s="17" t="str">
        <f aca="false">IF(OR(D$7="",$BR158=""),"",IF('Tally Helper'!$B$9&lt;&gt;TRUE(),"not on Staff",SUMIFS('Tally Helper'!$L$11:$GI$11,'Tally Helper'!$L$9:$GI$9,"&gt;="&amp;$BR158,'Tally Helper'!$L$9:$GI$9,"&lt;="&amp;$BS158)))</f>
        <v/>
      </c>
      <c r="AA158" s="17" t="str">
        <f aca="false">IF(OR(E$7="",$BR158=""),"",IF('Tally Helper'!$B$12&lt;&gt;TRUE(),"not on Staff",SUMIFS('Tally Helper'!$L$14:$GI$14,'Tally Helper'!$L$12:$GI$12,"&gt;="&amp;$BR158,'Tally Helper'!$L$12:$GI$12,"&lt;="&amp;$BS158)))</f>
        <v/>
      </c>
      <c r="AB158" s="17" t="str">
        <f aca="false">IF(OR(F$7="",$BR158=""),"",IF('Tally Helper'!$B$15&lt;&gt;TRUE(),"not on Staff",SUMIFS('Tally Helper'!$L$17:$GI$17,'Tally Helper'!$L$15:$GI$15,"&gt;="&amp;$BR158,'Tally Helper'!$L$15:$GI$15,"&lt;="&amp;$BS158)))</f>
        <v/>
      </c>
      <c r="AC158" s="17" t="str">
        <f aca="false">IF(OR(G$7="",$BR158=""),"",IF('Tally Helper'!$B$18&lt;&gt;TRUE(),"not on Staff",SUMIFS('Tally Helper'!$L$20:$GI$20,'Tally Helper'!$L$18:$GI$18,"&gt;="&amp;$BR158,'Tally Helper'!$L$18:$GI$18,"&lt;="&amp;$BS158)))</f>
        <v/>
      </c>
      <c r="AD158" s="17" t="str">
        <f aca="false">IF(OR(H$7="",$BR158=""),"",IF('Tally Helper'!$B$21&lt;&gt;TRUE(),"not on Staff",SUMIFS('Tally Helper'!$L$23:$GI$23,'Tally Helper'!$L$21:$GI$21,"&gt;="&amp;$BR158,'Tally Helper'!$L$21:$GI$21,"&lt;="&amp;$BS158)))</f>
        <v/>
      </c>
      <c r="AE158" s="17" t="str">
        <f aca="false">IF(OR(I$7="",$BR158=""),"",IF('Tally Helper'!$B$24&lt;&gt;TRUE(),"not on Staff",SUMIFS('Tally Helper'!$L$26:$GI$26,'Tally Helper'!$L$24:$GI$24,"&gt;="&amp;$BR158,'Tally Helper'!$L$24:$GI$24,"&lt;="&amp;$BS158)))</f>
        <v/>
      </c>
      <c r="AF158" s="17" t="str">
        <f aca="false">IF(OR(J$7="",$BR158=""),"",IF('Tally Helper'!$B$27&lt;&gt;TRUE(),"not on Staff",SUMIFS('Tally Helper'!$L$29:$GI$29,'Tally Helper'!$L$27:$GI$27,"&gt;="&amp;$BR158,'Tally Helper'!$L$27:$GI$27,"&lt;="&amp;$BS158)))</f>
        <v/>
      </c>
      <c r="AG158" s="17" t="str">
        <f aca="false">IF(OR(K$7="",$BR158=""),"",IF('Tally Helper'!$B$30&lt;&gt;TRUE(),"not on Staff",SUMIFS('Tally Helper'!$L$32:$GI$32,'Tally Helper'!$L$30:$GI$30,"&gt;="&amp;$BR158,'Tally Helper'!$L$30:$GI$30,"&lt;="&amp;$BS158)))</f>
        <v/>
      </c>
      <c r="AH158" s="17" t="str">
        <f aca="false">IF(OR(L$7="",$BR158=""),"",IF('Tally Helper'!$B$33&lt;&gt;TRUE(),"not on Staff",SUMIFS('Tally Helper'!$L$35:$GI$35,'Tally Helper'!$L$33:$GI$33,"&gt;="&amp;$BR158,'Tally Helper'!$L$33:$GI$33,"&lt;="&amp;$BS158)))</f>
        <v/>
      </c>
      <c r="AI158" s="17" t="str">
        <f aca="false">IF(OR(M$7="",$BR158=""),"",IF('Tally Helper'!$B$36&lt;&gt;TRUE(),"not on Staff",SUMIFS('Tally Helper'!$L$38:$GI$38,'Tally Helper'!$L$36:$GI$36,"&gt;="&amp;$BR158,'Tally Helper'!$L$36:$GI$36,"&lt;="&amp;$BS158)))</f>
        <v/>
      </c>
      <c r="AJ158" s="17" t="str">
        <f aca="false">IF(OR(N$7="",$BR158=""),"",IF('Tally Helper'!$B$39&lt;&gt;TRUE(),"not on Staff",SUMIFS('Tally Helper'!$L$41:$GI$41,'Tally Helper'!$L$39:$GI$39,"&gt;="&amp;$BR158,'Tally Helper'!$L$39:$GI$39,"&lt;="&amp;$BS158)))</f>
        <v/>
      </c>
      <c r="AK158" s="17" t="str">
        <f aca="false">IF(OR(O$7="",$BR158=""),"",IF('Tally Helper'!$B$42&lt;&gt;TRUE(),"not on Staff",SUMIFS('Tally Helper'!$L$44:$GI$44,'Tally Helper'!$L$42:$GI$42,"&gt;="&amp;$BR158,'Tally Helper'!$L$42:$GI$42,"&lt;="&amp;$BS158)))</f>
        <v/>
      </c>
      <c r="AL158" s="17" t="str">
        <f aca="false">IF(OR(P$7="",$BR158=""),"",IF('Tally Helper'!$B$45&lt;&gt;TRUE(),"not on Staff",SUMIFS('Tally Helper'!$L$47:$GI$47,'Tally Helper'!$L$45:$GI$45,"&gt;="&amp;$BR158,'Tally Helper'!$L$45:$GI$45,"&lt;="&amp;$BS158)))</f>
        <v/>
      </c>
      <c r="AM158" s="17" t="str">
        <f aca="false">IF(OR(Q$7="",$BR158=""),"",IF('Tally Helper'!$B$48&lt;&gt;TRUE(),"not on Staff",SUMIFS('Tally Helper'!$L$50:$GI$50,'Tally Helper'!$L$48:$GI$48,"&gt;="&amp;$BR158,'Tally Helper'!$L$48:$GI$48,"&lt;="&amp;$BS158)))</f>
        <v/>
      </c>
      <c r="AN158" s="17" t="str">
        <f aca="false">IF(OR(R$7="",$BR158=""),"",IF('Tally Helper'!$B$51&lt;&gt;TRUE(),"not on Staff",SUMIFS('Tally Helper'!$L$53:$GI$53,'Tally Helper'!$L$51:$GI$51,"&gt;="&amp;$BR158,'Tally Helper'!$L$51:$GI$51,"&lt;="&amp;$BS158)))</f>
        <v/>
      </c>
      <c r="AO158" s="17" t="str">
        <f aca="false">IF(OR(S$7="",$BR158=""),"",IF('Tally Helper'!$B$54&lt;&gt;TRUE(),"not on Staff",SUMIFS('Tally Helper'!$L$56:$GI$56,'Tally Helper'!$L$54:$GI$54,"&gt;="&amp;$BR158,'Tally Helper'!$L$54:$GI$54,"&lt;="&amp;$BS158)))</f>
        <v/>
      </c>
      <c r="AP158" s="17" t="str">
        <f aca="false">IF(OR(T$7="",$BR158=""),"",IF('Tally Helper'!$B$57&lt;&gt;TRUE(),"not on Staff",SUMIFS('Tally Helper'!$L$59:$GI$59,'Tally Helper'!$L$57:$GI$57,"&gt;="&amp;$BR158,'Tally Helper'!$L$57:$GI$57,"&lt;="&amp;$BS158)))</f>
        <v/>
      </c>
      <c r="AQ158" s="17" t="str">
        <f aca="false">IF(OR(U$7="",$BR158=""),"",IF('Tally Helper'!$B$60&lt;&gt;TRUE(),"not on Staff",SUMIFS('Tally Helper'!$L$62:$GI$62,'Tally Helper'!$L$60:$GI$60,"&gt;="&amp;$BR158,'Tally Helper'!$L$60:$GI$60,"&lt;="&amp;$BS158)))</f>
        <v/>
      </c>
      <c r="AT158" s="17" t="str">
        <f aca="false">IF(OR(X158="",NOT(ISNUMBER(X158))),"",X158-N(B158))</f>
        <v/>
      </c>
      <c r="AU158" s="17" t="str">
        <f aca="false">IF(OR(Y158="",NOT(ISNUMBER(Y158))),"",Y158-N(C158))</f>
        <v/>
      </c>
      <c r="AV158" s="17" t="str">
        <f aca="false">IF(OR(Z158="",NOT(ISNUMBER(Z158))),"",Z158-N(D158))</f>
        <v/>
      </c>
      <c r="AW158" s="17" t="str">
        <f aca="false">IF(OR(AA158="",NOT(ISNUMBER(AA158))),"",AA158-N(E158))</f>
        <v/>
      </c>
      <c r="AX158" s="17" t="str">
        <f aca="false">IF(OR(AB158="",NOT(ISNUMBER(AB158))),"",AB158-N(F158))</f>
        <v/>
      </c>
      <c r="AY158" s="17" t="str">
        <f aca="false">IF(OR(AC158="",NOT(ISNUMBER(AC158))),"",AC158-N(G158))</f>
        <v/>
      </c>
      <c r="AZ158" s="17" t="str">
        <f aca="false">IF(OR(AD158="",NOT(ISNUMBER(AD158))),"",AD158-N(H158))</f>
        <v/>
      </c>
      <c r="BA158" s="17" t="str">
        <f aca="false">IF(OR(AE158="",NOT(ISNUMBER(AE158))),"",AE158-N(I158))</f>
        <v/>
      </c>
      <c r="BB158" s="17" t="str">
        <f aca="false">IF(OR(AF158="",NOT(ISNUMBER(AF158))),"",AF158-N(J158))</f>
        <v/>
      </c>
      <c r="BC158" s="17" t="str">
        <f aca="false">IF(OR(AG158="",NOT(ISNUMBER(AG158))),"",AG158-N(K158))</f>
        <v/>
      </c>
      <c r="BD158" s="17" t="str">
        <f aca="false">IF(OR(AH158="",NOT(ISNUMBER(AH158))),"",AH158-N(L158))</f>
        <v/>
      </c>
      <c r="BE158" s="17" t="str">
        <f aca="false">IF(OR(AI158="",NOT(ISNUMBER(AI158))),"",AI158-N(M158))</f>
        <v/>
      </c>
      <c r="BF158" s="17" t="str">
        <f aca="false">IF(OR(AJ158="",NOT(ISNUMBER(AJ158))),"",AJ158-N(N158))</f>
        <v/>
      </c>
      <c r="BG158" s="17" t="str">
        <f aca="false">IF(OR(AK158="",NOT(ISNUMBER(AK158))),"",AK158-N(O158))</f>
        <v/>
      </c>
      <c r="BH158" s="17" t="str">
        <f aca="false">IF(OR(AL158="",NOT(ISNUMBER(AL158))),"",AL158-N(P158))</f>
        <v/>
      </c>
      <c r="BI158" s="17" t="str">
        <f aca="false">IF(OR(AM158="",NOT(ISNUMBER(AM158))),"",AM158-N(Q158))</f>
        <v/>
      </c>
      <c r="BJ158" s="17" t="str">
        <f aca="false">IF(OR(AN158="",NOT(ISNUMBER(AN158))),"",AN158-N(R158))</f>
        <v/>
      </c>
      <c r="BK158" s="17" t="str">
        <f aca="false">IF(OR(AO158="",NOT(ISNUMBER(AO158))),"",AO158-N(S158))</f>
        <v/>
      </c>
      <c r="BL158" s="17" t="str">
        <f aca="false">IF(OR(AP158="",NOT(ISNUMBER(AP158))),"",AP158-N(T158))</f>
        <v/>
      </c>
      <c r="BM158" s="17" t="str">
        <f aca="false">IF(OR(AQ158="",NOT(ISNUMBER(AQ158))),"",AQ158-N(U158))</f>
        <v/>
      </c>
      <c r="BR158" s="20" t="str">
        <f aca="false">IF($A158="","",IF(ISNUMBER($A158),DATE(YEAR($A158),MONTH($A158),1),IFERROR(DATE(2000+VALUE(RIGHT(TRIM($A158),2)),MATCH(UPPER(LEFT(TRIM($A158),3)),{"JAN","FEB","MAR","APR","MAY","JUN","JUL","AUG","SEP","OCT","NOV","DEC"},0),1),"")))</f>
        <v/>
      </c>
      <c r="BS158" s="20" t="str">
        <f aca="false">IF(BR158="","",EOMONTH(BR158,0))</f>
        <v/>
      </c>
    </row>
    <row r="159" customFormat="false" ht="15" hidden="false" customHeight="false" outlineLevel="0" collapsed="false">
      <c r="B159" s="21"/>
      <c r="C159" s="21"/>
      <c r="D159" s="21"/>
      <c r="E159" s="21"/>
      <c r="F159" s="21"/>
      <c r="G159" s="21"/>
      <c r="H159" s="21"/>
      <c r="I159" s="21"/>
      <c r="J159" s="21"/>
      <c r="K159" s="21"/>
      <c r="L159" s="21"/>
      <c r="M159" s="21"/>
      <c r="N159" s="21"/>
      <c r="O159" s="21"/>
      <c r="P159" s="21"/>
      <c r="Q159" s="21"/>
      <c r="R159" s="21"/>
      <c r="S159" s="21"/>
      <c r="T159" s="21"/>
      <c r="U159" s="21"/>
      <c r="X159" s="17" t="str">
        <f aca="false">IF(OR(B$7="",$BR159=""),"",IF('Tally Helper'!$B$3&lt;&gt;TRUE(),"not on Staff",SUMIFS('Tally Helper'!$L$5:$GI$5,'Tally Helper'!$L$3:$GI$3,"&gt;="&amp;$BR159,'Tally Helper'!$L$3:$GI$3,"&lt;="&amp;$BS159)))</f>
        <v/>
      </c>
      <c r="Y159" s="17" t="str">
        <f aca="false">IF(OR(C$7="",$BR159=""),"",IF('Tally Helper'!$B$6&lt;&gt;TRUE(),"not on Staff",SUMIFS('Tally Helper'!$L$8:$GI$8,'Tally Helper'!$L$6:$GI$6,"&gt;="&amp;$BR159,'Tally Helper'!$L$6:$GI$6,"&lt;="&amp;$BS159)))</f>
        <v/>
      </c>
      <c r="Z159" s="17" t="str">
        <f aca="false">IF(OR(D$7="",$BR159=""),"",IF('Tally Helper'!$B$9&lt;&gt;TRUE(),"not on Staff",SUMIFS('Tally Helper'!$L$11:$GI$11,'Tally Helper'!$L$9:$GI$9,"&gt;="&amp;$BR159,'Tally Helper'!$L$9:$GI$9,"&lt;="&amp;$BS159)))</f>
        <v/>
      </c>
      <c r="AA159" s="17" t="str">
        <f aca="false">IF(OR(E$7="",$BR159=""),"",IF('Tally Helper'!$B$12&lt;&gt;TRUE(),"not on Staff",SUMIFS('Tally Helper'!$L$14:$GI$14,'Tally Helper'!$L$12:$GI$12,"&gt;="&amp;$BR159,'Tally Helper'!$L$12:$GI$12,"&lt;="&amp;$BS159)))</f>
        <v/>
      </c>
      <c r="AB159" s="17" t="str">
        <f aca="false">IF(OR(F$7="",$BR159=""),"",IF('Tally Helper'!$B$15&lt;&gt;TRUE(),"not on Staff",SUMIFS('Tally Helper'!$L$17:$GI$17,'Tally Helper'!$L$15:$GI$15,"&gt;="&amp;$BR159,'Tally Helper'!$L$15:$GI$15,"&lt;="&amp;$BS159)))</f>
        <v/>
      </c>
      <c r="AC159" s="17" t="str">
        <f aca="false">IF(OR(G$7="",$BR159=""),"",IF('Tally Helper'!$B$18&lt;&gt;TRUE(),"not on Staff",SUMIFS('Tally Helper'!$L$20:$GI$20,'Tally Helper'!$L$18:$GI$18,"&gt;="&amp;$BR159,'Tally Helper'!$L$18:$GI$18,"&lt;="&amp;$BS159)))</f>
        <v/>
      </c>
      <c r="AD159" s="17" t="str">
        <f aca="false">IF(OR(H$7="",$BR159=""),"",IF('Tally Helper'!$B$21&lt;&gt;TRUE(),"not on Staff",SUMIFS('Tally Helper'!$L$23:$GI$23,'Tally Helper'!$L$21:$GI$21,"&gt;="&amp;$BR159,'Tally Helper'!$L$21:$GI$21,"&lt;="&amp;$BS159)))</f>
        <v/>
      </c>
      <c r="AE159" s="17" t="str">
        <f aca="false">IF(OR(I$7="",$BR159=""),"",IF('Tally Helper'!$B$24&lt;&gt;TRUE(),"not on Staff",SUMIFS('Tally Helper'!$L$26:$GI$26,'Tally Helper'!$L$24:$GI$24,"&gt;="&amp;$BR159,'Tally Helper'!$L$24:$GI$24,"&lt;="&amp;$BS159)))</f>
        <v/>
      </c>
      <c r="AF159" s="17" t="str">
        <f aca="false">IF(OR(J$7="",$BR159=""),"",IF('Tally Helper'!$B$27&lt;&gt;TRUE(),"not on Staff",SUMIFS('Tally Helper'!$L$29:$GI$29,'Tally Helper'!$L$27:$GI$27,"&gt;="&amp;$BR159,'Tally Helper'!$L$27:$GI$27,"&lt;="&amp;$BS159)))</f>
        <v/>
      </c>
      <c r="AG159" s="17" t="str">
        <f aca="false">IF(OR(K$7="",$BR159=""),"",IF('Tally Helper'!$B$30&lt;&gt;TRUE(),"not on Staff",SUMIFS('Tally Helper'!$L$32:$GI$32,'Tally Helper'!$L$30:$GI$30,"&gt;="&amp;$BR159,'Tally Helper'!$L$30:$GI$30,"&lt;="&amp;$BS159)))</f>
        <v/>
      </c>
      <c r="AH159" s="17" t="str">
        <f aca="false">IF(OR(L$7="",$BR159=""),"",IF('Tally Helper'!$B$33&lt;&gt;TRUE(),"not on Staff",SUMIFS('Tally Helper'!$L$35:$GI$35,'Tally Helper'!$L$33:$GI$33,"&gt;="&amp;$BR159,'Tally Helper'!$L$33:$GI$33,"&lt;="&amp;$BS159)))</f>
        <v/>
      </c>
      <c r="AI159" s="17" t="str">
        <f aca="false">IF(OR(M$7="",$BR159=""),"",IF('Tally Helper'!$B$36&lt;&gt;TRUE(),"not on Staff",SUMIFS('Tally Helper'!$L$38:$GI$38,'Tally Helper'!$L$36:$GI$36,"&gt;="&amp;$BR159,'Tally Helper'!$L$36:$GI$36,"&lt;="&amp;$BS159)))</f>
        <v/>
      </c>
      <c r="AJ159" s="17" t="str">
        <f aca="false">IF(OR(N$7="",$BR159=""),"",IF('Tally Helper'!$B$39&lt;&gt;TRUE(),"not on Staff",SUMIFS('Tally Helper'!$L$41:$GI$41,'Tally Helper'!$L$39:$GI$39,"&gt;="&amp;$BR159,'Tally Helper'!$L$39:$GI$39,"&lt;="&amp;$BS159)))</f>
        <v/>
      </c>
      <c r="AK159" s="17" t="str">
        <f aca="false">IF(OR(O$7="",$BR159=""),"",IF('Tally Helper'!$B$42&lt;&gt;TRUE(),"not on Staff",SUMIFS('Tally Helper'!$L$44:$GI$44,'Tally Helper'!$L$42:$GI$42,"&gt;="&amp;$BR159,'Tally Helper'!$L$42:$GI$42,"&lt;="&amp;$BS159)))</f>
        <v/>
      </c>
      <c r="AL159" s="17" t="str">
        <f aca="false">IF(OR(P$7="",$BR159=""),"",IF('Tally Helper'!$B$45&lt;&gt;TRUE(),"not on Staff",SUMIFS('Tally Helper'!$L$47:$GI$47,'Tally Helper'!$L$45:$GI$45,"&gt;="&amp;$BR159,'Tally Helper'!$L$45:$GI$45,"&lt;="&amp;$BS159)))</f>
        <v/>
      </c>
      <c r="AM159" s="17" t="str">
        <f aca="false">IF(OR(Q$7="",$BR159=""),"",IF('Tally Helper'!$B$48&lt;&gt;TRUE(),"not on Staff",SUMIFS('Tally Helper'!$L$50:$GI$50,'Tally Helper'!$L$48:$GI$48,"&gt;="&amp;$BR159,'Tally Helper'!$L$48:$GI$48,"&lt;="&amp;$BS159)))</f>
        <v/>
      </c>
      <c r="AN159" s="17" t="str">
        <f aca="false">IF(OR(R$7="",$BR159=""),"",IF('Tally Helper'!$B$51&lt;&gt;TRUE(),"not on Staff",SUMIFS('Tally Helper'!$L$53:$GI$53,'Tally Helper'!$L$51:$GI$51,"&gt;="&amp;$BR159,'Tally Helper'!$L$51:$GI$51,"&lt;="&amp;$BS159)))</f>
        <v/>
      </c>
      <c r="AO159" s="17" t="str">
        <f aca="false">IF(OR(S$7="",$BR159=""),"",IF('Tally Helper'!$B$54&lt;&gt;TRUE(),"not on Staff",SUMIFS('Tally Helper'!$L$56:$GI$56,'Tally Helper'!$L$54:$GI$54,"&gt;="&amp;$BR159,'Tally Helper'!$L$54:$GI$54,"&lt;="&amp;$BS159)))</f>
        <v/>
      </c>
      <c r="AP159" s="17" t="str">
        <f aca="false">IF(OR(T$7="",$BR159=""),"",IF('Tally Helper'!$B$57&lt;&gt;TRUE(),"not on Staff",SUMIFS('Tally Helper'!$L$59:$GI$59,'Tally Helper'!$L$57:$GI$57,"&gt;="&amp;$BR159,'Tally Helper'!$L$57:$GI$57,"&lt;="&amp;$BS159)))</f>
        <v/>
      </c>
      <c r="AQ159" s="17" t="str">
        <f aca="false">IF(OR(U$7="",$BR159=""),"",IF('Tally Helper'!$B$60&lt;&gt;TRUE(),"not on Staff",SUMIFS('Tally Helper'!$L$62:$GI$62,'Tally Helper'!$L$60:$GI$60,"&gt;="&amp;$BR159,'Tally Helper'!$L$60:$GI$60,"&lt;="&amp;$BS159)))</f>
        <v/>
      </c>
      <c r="AT159" s="17" t="str">
        <f aca="false">IF(OR(X159="",NOT(ISNUMBER(X159))),"",X159-N(B159))</f>
        <v/>
      </c>
      <c r="AU159" s="17" t="str">
        <f aca="false">IF(OR(Y159="",NOT(ISNUMBER(Y159))),"",Y159-N(C159))</f>
        <v/>
      </c>
      <c r="AV159" s="17" t="str">
        <f aca="false">IF(OR(Z159="",NOT(ISNUMBER(Z159))),"",Z159-N(D159))</f>
        <v/>
      </c>
      <c r="AW159" s="17" t="str">
        <f aca="false">IF(OR(AA159="",NOT(ISNUMBER(AA159))),"",AA159-N(E159))</f>
        <v/>
      </c>
      <c r="AX159" s="17" t="str">
        <f aca="false">IF(OR(AB159="",NOT(ISNUMBER(AB159))),"",AB159-N(F159))</f>
        <v/>
      </c>
      <c r="AY159" s="17" t="str">
        <f aca="false">IF(OR(AC159="",NOT(ISNUMBER(AC159))),"",AC159-N(G159))</f>
        <v/>
      </c>
      <c r="AZ159" s="17" t="str">
        <f aca="false">IF(OR(AD159="",NOT(ISNUMBER(AD159))),"",AD159-N(H159))</f>
        <v/>
      </c>
      <c r="BA159" s="17" t="str">
        <f aca="false">IF(OR(AE159="",NOT(ISNUMBER(AE159))),"",AE159-N(I159))</f>
        <v/>
      </c>
      <c r="BB159" s="17" t="str">
        <f aca="false">IF(OR(AF159="",NOT(ISNUMBER(AF159))),"",AF159-N(J159))</f>
        <v/>
      </c>
      <c r="BC159" s="17" t="str">
        <f aca="false">IF(OR(AG159="",NOT(ISNUMBER(AG159))),"",AG159-N(K159))</f>
        <v/>
      </c>
      <c r="BD159" s="17" t="str">
        <f aca="false">IF(OR(AH159="",NOT(ISNUMBER(AH159))),"",AH159-N(L159))</f>
        <v/>
      </c>
      <c r="BE159" s="17" t="str">
        <f aca="false">IF(OR(AI159="",NOT(ISNUMBER(AI159))),"",AI159-N(M159))</f>
        <v/>
      </c>
      <c r="BF159" s="17" t="str">
        <f aca="false">IF(OR(AJ159="",NOT(ISNUMBER(AJ159))),"",AJ159-N(N159))</f>
        <v/>
      </c>
      <c r="BG159" s="17" t="str">
        <f aca="false">IF(OR(AK159="",NOT(ISNUMBER(AK159))),"",AK159-N(O159))</f>
        <v/>
      </c>
      <c r="BH159" s="17" t="str">
        <f aca="false">IF(OR(AL159="",NOT(ISNUMBER(AL159))),"",AL159-N(P159))</f>
        <v/>
      </c>
      <c r="BI159" s="17" t="str">
        <f aca="false">IF(OR(AM159="",NOT(ISNUMBER(AM159))),"",AM159-N(Q159))</f>
        <v/>
      </c>
      <c r="BJ159" s="17" t="str">
        <f aca="false">IF(OR(AN159="",NOT(ISNUMBER(AN159))),"",AN159-N(R159))</f>
        <v/>
      </c>
      <c r="BK159" s="17" t="str">
        <f aca="false">IF(OR(AO159="",NOT(ISNUMBER(AO159))),"",AO159-N(S159))</f>
        <v/>
      </c>
      <c r="BL159" s="17" t="str">
        <f aca="false">IF(OR(AP159="",NOT(ISNUMBER(AP159))),"",AP159-N(T159))</f>
        <v/>
      </c>
      <c r="BM159" s="17" t="str">
        <f aca="false">IF(OR(AQ159="",NOT(ISNUMBER(AQ159))),"",AQ159-N(U159))</f>
        <v/>
      </c>
      <c r="BR159" s="20" t="str">
        <f aca="false">IF($A159="","",IF(ISNUMBER($A159),DATE(YEAR($A159),MONTH($A159),1),IFERROR(DATE(2000+VALUE(RIGHT(TRIM($A159),2)),MATCH(UPPER(LEFT(TRIM($A159),3)),{"JAN","FEB","MAR","APR","MAY","JUN","JUL","AUG","SEP","OCT","NOV","DEC"},0),1),"")))</f>
        <v/>
      </c>
      <c r="BS159" s="20" t="str">
        <f aca="false">IF(BR159="","",EOMONTH(BR159,0))</f>
        <v/>
      </c>
    </row>
    <row r="160" customFormat="false" ht="15" hidden="false" customHeight="false" outlineLevel="0" collapsed="false">
      <c r="B160" s="21"/>
      <c r="C160" s="21"/>
      <c r="D160" s="21"/>
      <c r="E160" s="21"/>
      <c r="F160" s="21"/>
      <c r="G160" s="21"/>
      <c r="H160" s="21"/>
      <c r="I160" s="21"/>
      <c r="J160" s="21"/>
      <c r="K160" s="21"/>
      <c r="L160" s="21"/>
      <c r="M160" s="21"/>
      <c r="N160" s="21"/>
      <c r="O160" s="21"/>
      <c r="P160" s="21"/>
      <c r="Q160" s="21"/>
      <c r="R160" s="21"/>
      <c r="S160" s="21"/>
      <c r="T160" s="21"/>
      <c r="U160" s="21"/>
      <c r="X160" s="17" t="str">
        <f aca="false">IF(OR(B$7="",$BR160=""),"",IF('Tally Helper'!$B$3&lt;&gt;TRUE(),"not on Staff",SUMIFS('Tally Helper'!$L$5:$GI$5,'Tally Helper'!$L$3:$GI$3,"&gt;="&amp;$BR160,'Tally Helper'!$L$3:$GI$3,"&lt;="&amp;$BS160)))</f>
        <v/>
      </c>
      <c r="Y160" s="17" t="str">
        <f aca="false">IF(OR(C$7="",$BR160=""),"",IF('Tally Helper'!$B$6&lt;&gt;TRUE(),"not on Staff",SUMIFS('Tally Helper'!$L$8:$GI$8,'Tally Helper'!$L$6:$GI$6,"&gt;="&amp;$BR160,'Tally Helper'!$L$6:$GI$6,"&lt;="&amp;$BS160)))</f>
        <v/>
      </c>
      <c r="Z160" s="17" t="str">
        <f aca="false">IF(OR(D$7="",$BR160=""),"",IF('Tally Helper'!$B$9&lt;&gt;TRUE(),"not on Staff",SUMIFS('Tally Helper'!$L$11:$GI$11,'Tally Helper'!$L$9:$GI$9,"&gt;="&amp;$BR160,'Tally Helper'!$L$9:$GI$9,"&lt;="&amp;$BS160)))</f>
        <v/>
      </c>
      <c r="AA160" s="17" t="str">
        <f aca="false">IF(OR(E$7="",$BR160=""),"",IF('Tally Helper'!$B$12&lt;&gt;TRUE(),"not on Staff",SUMIFS('Tally Helper'!$L$14:$GI$14,'Tally Helper'!$L$12:$GI$12,"&gt;="&amp;$BR160,'Tally Helper'!$L$12:$GI$12,"&lt;="&amp;$BS160)))</f>
        <v/>
      </c>
      <c r="AB160" s="17" t="str">
        <f aca="false">IF(OR(F$7="",$BR160=""),"",IF('Tally Helper'!$B$15&lt;&gt;TRUE(),"not on Staff",SUMIFS('Tally Helper'!$L$17:$GI$17,'Tally Helper'!$L$15:$GI$15,"&gt;="&amp;$BR160,'Tally Helper'!$L$15:$GI$15,"&lt;="&amp;$BS160)))</f>
        <v/>
      </c>
      <c r="AC160" s="17" t="str">
        <f aca="false">IF(OR(G$7="",$BR160=""),"",IF('Tally Helper'!$B$18&lt;&gt;TRUE(),"not on Staff",SUMIFS('Tally Helper'!$L$20:$GI$20,'Tally Helper'!$L$18:$GI$18,"&gt;="&amp;$BR160,'Tally Helper'!$L$18:$GI$18,"&lt;="&amp;$BS160)))</f>
        <v/>
      </c>
      <c r="AD160" s="17" t="str">
        <f aca="false">IF(OR(H$7="",$BR160=""),"",IF('Tally Helper'!$B$21&lt;&gt;TRUE(),"not on Staff",SUMIFS('Tally Helper'!$L$23:$GI$23,'Tally Helper'!$L$21:$GI$21,"&gt;="&amp;$BR160,'Tally Helper'!$L$21:$GI$21,"&lt;="&amp;$BS160)))</f>
        <v/>
      </c>
      <c r="AE160" s="17" t="str">
        <f aca="false">IF(OR(I$7="",$BR160=""),"",IF('Tally Helper'!$B$24&lt;&gt;TRUE(),"not on Staff",SUMIFS('Tally Helper'!$L$26:$GI$26,'Tally Helper'!$L$24:$GI$24,"&gt;="&amp;$BR160,'Tally Helper'!$L$24:$GI$24,"&lt;="&amp;$BS160)))</f>
        <v/>
      </c>
      <c r="AF160" s="17" t="str">
        <f aca="false">IF(OR(J$7="",$BR160=""),"",IF('Tally Helper'!$B$27&lt;&gt;TRUE(),"not on Staff",SUMIFS('Tally Helper'!$L$29:$GI$29,'Tally Helper'!$L$27:$GI$27,"&gt;="&amp;$BR160,'Tally Helper'!$L$27:$GI$27,"&lt;="&amp;$BS160)))</f>
        <v/>
      </c>
      <c r="AG160" s="17" t="str">
        <f aca="false">IF(OR(K$7="",$BR160=""),"",IF('Tally Helper'!$B$30&lt;&gt;TRUE(),"not on Staff",SUMIFS('Tally Helper'!$L$32:$GI$32,'Tally Helper'!$L$30:$GI$30,"&gt;="&amp;$BR160,'Tally Helper'!$L$30:$GI$30,"&lt;="&amp;$BS160)))</f>
        <v/>
      </c>
      <c r="AH160" s="17" t="str">
        <f aca="false">IF(OR(L$7="",$BR160=""),"",IF('Tally Helper'!$B$33&lt;&gt;TRUE(),"not on Staff",SUMIFS('Tally Helper'!$L$35:$GI$35,'Tally Helper'!$L$33:$GI$33,"&gt;="&amp;$BR160,'Tally Helper'!$L$33:$GI$33,"&lt;="&amp;$BS160)))</f>
        <v/>
      </c>
      <c r="AI160" s="17" t="str">
        <f aca="false">IF(OR(M$7="",$BR160=""),"",IF('Tally Helper'!$B$36&lt;&gt;TRUE(),"not on Staff",SUMIFS('Tally Helper'!$L$38:$GI$38,'Tally Helper'!$L$36:$GI$36,"&gt;="&amp;$BR160,'Tally Helper'!$L$36:$GI$36,"&lt;="&amp;$BS160)))</f>
        <v/>
      </c>
      <c r="AJ160" s="17" t="str">
        <f aca="false">IF(OR(N$7="",$BR160=""),"",IF('Tally Helper'!$B$39&lt;&gt;TRUE(),"not on Staff",SUMIFS('Tally Helper'!$L$41:$GI$41,'Tally Helper'!$L$39:$GI$39,"&gt;="&amp;$BR160,'Tally Helper'!$L$39:$GI$39,"&lt;="&amp;$BS160)))</f>
        <v/>
      </c>
      <c r="AK160" s="17" t="str">
        <f aca="false">IF(OR(O$7="",$BR160=""),"",IF('Tally Helper'!$B$42&lt;&gt;TRUE(),"not on Staff",SUMIFS('Tally Helper'!$L$44:$GI$44,'Tally Helper'!$L$42:$GI$42,"&gt;="&amp;$BR160,'Tally Helper'!$L$42:$GI$42,"&lt;="&amp;$BS160)))</f>
        <v/>
      </c>
      <c r="AL160" s="17" t="str">
        <f aca="false">IF(OR(P$7="",$BR160=""),"",IF('Tally Helper'!$B$45&lt;&gt;TRUE(),"not on Staff",SUMIFS('Tally Helper'!$L$47:$GI$47,'Tally Helper'!$L$45:$GI$45,"&gt;="&amp;$BR160,'Tally Helper'!$L$45:$GI$45,"&lt;="&amp;$BS160)))</f>
        <v/>
      </c>
      <c r="AM160" s="17" t="str">
        <f aca="false">IF(OR(Q$7="",$BR160=""),"",IF('Tally Helper'!$B$48&lt;&gt;TRUE(),"not on Staff",SUMIFS('Tally Helper'!$L$50:$GI$50,'Tally Helper'!$L$48:$GI$48,"&gt;="&amp;$BR160,'Tally Helper'!$L$48:$GI$48,"&lt;="&amp;$BS160)))</f>
        <v/>
      </c>
      <c r="AN160" s="17" t="str">
        <f aca="false">IF(OR(R$7="",$BR160=""),"",IF('Tally Helper'!$B$51&lt;&gt;TRUE(),"not on Staff",SUMIFS('Tally Helper'!$L$53:$GI$53,'Tally Helper'!$L$51:$GI$51,"&gt;="&amp;$BR160,'Tally Helper'!$L$51:$GI$51,"&lt;="&amp;$BS160)))</f>
        <v/>
      </c>
      <c r="AO160" s="17" t="str">
        <f aca="false">IF(OR(S$7="",$BR160=""),"",IF('Tally Helper'!$B$54&lt;&gt;TRUE(),"not on Staff",SUMIFS('Tally Helper'!$L$56:$GI$56,'Tally Helper'!$L$54:$GI$54,"&gt;="&amp;$BR160,'Tally Helper'!$L$54:$GI$54,"&lt;="&amp;$BS160)))</f>
        <v/>
      </c>
      <c r="AP160" s="17" t="str">
        <f aca="false">IF(OR(T$7="",$BR160=""),"",IF('Tally Helper'!$B$57&lt;&gt;TRUE(),"not on Staff",SUMIFS('Tally Helper'!$L$59:$GI$59,'Tally Helper'!$L$57:$GI$57,"&gt;="&amp;$BR160,'Tally Helper'!$L$57:$GI$57,"&lt;="&amp;$BS160)))</f>
        <v/>
      </c>
      <c r="AQ160" s="17" t="str">
        <f aca="false">IF(OR(U$7="",$BR160=""),"",IF('Tally Helper'!$B$60&lt;&gt;TRUE(),"not on Staff",SUMIFS('Tally Helper'!$L$62:$GI$62,'Tally Helper'!$L$60:$GI$60,"&gt;="&amp;$BR160,'Tally Helper'!$L$60:$GI$60,"&lt;="&amp;$BS160)))</f>
        <v/>
      </c>
      <c r="AT160" s="17" t="str">
        <f aca="false">IF(OR(X160="",NOT(ISNUMBER(X160))),"",X160-N(B160))</f>
        <v/>
      </c>
      <c r="AU160" s="17" t="str">
        <f aca="false">IF(OR(Y160="",NOT(ISNUMBER(Y160))),"",Y160-N(C160))</f>
        <v/>
      </c>
      <c r="AV160" s="17" t="str">
        <f aca="false">IF(OR(Z160="",NOT(ISNUMBER(Z160))),"",Z160-N(D160))</f>
        <v/>
      </c>
      <c r="AW160" s="17" t="str">
        <f aca="false">IF(OR(AA160="",NOT(ISNUMBER(AA160))),"",AA160-N(E160))</f>
        <v/>
      </c>
      <c r="AX160" s="17" t="str">
        <f aca="false">IF(OR(AB160="",NOT(ISNUMBER(AB160))),"",AB160-N(F160))</f>
        <v/>
      </c>
      <c r="AY160" s="17" t="str">
        <f aca="false">IF(OR(AC160="",NOT(ISNUMBER(AC160))),"",AC160-N(G160))</f>
        <v/>
      </c>
      <c r="AZ160" s="17" t="str">
        <f aca="false">IF(OR(AD160="",NOT(ISNUMBER(AD160))),"",AD160-N(H160))</f>
        <v/>
      </c>
      <c r="BA160" s="17" t="str">
        <f aca="false">IF(OR(AE160="",NOT(ISNUMBER(AE160))),"",AE160-N(I160))</f>
        <v/>
      </c>
      <c r="BB160" s="17" t="str">
        <f aca="false">IF(OR(AF160="",NOT(ISNUMBER(AF160))),"",AF160-N(J160))</f>
        <v/>
      </c>
      <c r="BC160" s="17" t="str">
        <f aca="false">IF(OR(AG160="",NOT(ISNUMBER(AG160))),"",AG160-N(K160))</f>
        <v/>
      </c>
      <c r="BD160" s="17" t="str">
        <f aca="false">IF(OR(AH160="",NOT(ISNUMBER(AH160))),"",AH160-N(L160))</f>
        <v/>
      </c>
      <c r="BE160" s="17" t="str">
        <f aca="false">IF(OR(AI160="",NOT(ISNUMBER(AI160))),"",AI160-N(M160))</f>
        <v/>
      </c>
      <c r="BF160" s="17" t="str">
        <f aca="false">IF(OR(AJ160="",NOT(ISNUMBER(AJ160))),"",AJ160-N(N160))</f>
        <v/>
      </c>
      <c r="BG160" s="17" t="str">
        <f aca="false">IF(OR(AK160="",NOT(ISNUMBER(AK160))),"",AK160-N(O160))</f>
        <v/>
      </c>
      <c r="BH160" s="17" t="str">
        <f aca="false">IF(OR(AL160="",NOT(ISNUMBER(AL160))),"",AL160-N(P160))</f>
        <v/>
      </c>
      <c r="BI160" s="17" t="str">
        <f aca="false">IF(OR(AM160="",NOT(ISNUMBER(AM160))),"",AM160-N(Q160))</f>
        <v/>
      </c>
      <c r="BJ160" s="17" t="str">
        <f aca="false">IF(OR(AN160="",NOT(ISNUMBER(AN160))),"",AN160-N(R160))</f>
        <v/>
      </c>
      <c r="BK160" s="17" t="str">
        <f aca="false">IF(OR(AO160="",NOT(ISNUMBER(AO160))),"",AO160-N(S160))</f>
        <v/>
      </c>
      <c r="BL160" s="17" t="str">
        <f aca="false">IF(OR(AP160="",NOT(ISNUMBER(AP160))),"",AP160-N(T160))</f>
        <v/>
      </c>
      <c r="BM160" s="17" t="str">
        <f aca="false">IF(OR(AQ160="",NOT(ISNUMBER(AQ160))),"",AQ160-N(U160))</f>
        <v/>
      </c>
      <c r="BR160" s="20" t="str">
        <f aca="false">IF($A160="","",IF(ISNUMBER($A160),DATE(YEAR($A160),MONTH($A160),1),IFERROR(DATE(2000+VALUE(RIGHT(TRIM($A160),2)),MATCH(UPPER(LEFT(TRIM($A160),3)),{"JAN","FEB","MAR","APR","MAY","JUN","JUL","AUG","SEP","OCT","NOV","DEC"},0),1),"")))</f>
        <v/>
      </c>
      <c r="BS160" s="20" t="str">
        <f aca="false">IF(BR160="","",EOMONTH(BR160,0))</f>
        <v/>
      </c>
    </row>
    <row r="161" customFormat="false" ht="15" hidden="false" customHeight="false" outlineLevel="0" collapsed="false">
      <c r="B161" s="21"/>
      <c r="C161" s="21"/>
      <c r="D161" s="21"/>
      <c r="E161" s="21"/>
      <c r="F161" s="21"/>
      <c r="G161" s="21"/>
      <c r="H161" s="21"/>
      <c r="I161" s="21"/>
      <c r="J161" s="21"/>
      <c r="K161" s="21"/>
      <c r="L161" s="21"/>
      <c r="M161" s="21"/>
      <c r="N161" s="21"/>
      <c r="O161" s="21"/>
      <c r="P161" s="21"/>
      <c r="Q161" s="21"/>
      <c r="R161" s="21"/>
      <c r="S161" s="21"/>
      <c r="T161" s="21"/>
      <c r="U161" s="21"/>
      <c r="X161" s="17" t="str">
        <f aca="false">IF(OR(B$7="",$BR161=""),"",IF('Tally Helper'!$B$3&lt;&gt;TRUE(),"not on Staff",SUMIFS('Tally Helper'!$L$5:$GI$5,'Tally Helper'!$L$3:$GI$3,"&gt;="&amp;$BR161,'Tally Helper'!$L$3:$GI$3,"&lt;="&amp;$BS161)))</f>
        <v/>
      </c>
      <c r="Y161" s="17" t="str">
        <f aca="false">IF(OR(C$7="",$BR161=""),"",IF('Tally Helper'!$B$6&lt;&gt;TRUE(),"not on Staff",SUMIFS('Tally Helper'!$L$8:$GI$8,'Tally Helper'!$L$6:$GI$6,"&gt;="&amp;$BR161,'Tally Helper'!$L$6:$GI$6,"&lt;="&amp;$BS161)))</f>
        <v/>
      </c>
      <c r="Z161" s="17" t="str">
        <f aca="false">IF(OR(D$7="",$BR161=""),"",IF('Tally Helper'!$B$9&lt;&gt;TRUE(),"not on Staff",SUMIFS('Tally Helper'!$L$11:$GI$11,'Tally Helper'!$L$9:$GI$9,"&gt;="&amp;$BR161,'Tally Helper'!$L$9:$GI$9,"&lt;="&amp;$BS161)))</f>
        <v/>
      </c>
      <c r="AA161" s="17" t="str">
        <f aca="false">IF(OR(E$7="",$BR161=""),"",IF('Tally Helper'!$B$12&lt;&gt;TRUE(),"not on Staff",SUMIFS('Tally Helper'!$L$14:$GI$14,'Tally Helper'!$L$12:$GI$12,"&gt;="&amp;$BR161,'Tally Helper'!$L$12:$GI$12,"&lt;="&amp;$BS161)))</f>
        <v/>
      </c>
      <c r="AB161" s="17" t="str">
        <f aca="false">IF(OR(F$7="",$BR161=""),"",IF('Tally Helper'!$B$15&lt;&gt;TRUE(),"not on Staff",SUMIFS('Tally Helper'!$L$17:$GI$17,'Tally Helper'!$L$15:$GI$15,"&gt;="&amp;$BR161,'Tally Helper'!$L$15:$GI$15,"&lt;="&amp;$BS161)))</f>
        <v/>
      </c>
      <c r="AC161" s="17" t="str">
        <f aca="false">IF(OR(G$7="",$BR161=""),"",IF('Tally Helper'!$B$18&lt;&gt;TRUE(),"not on Staff",SUMIFS('Tally Helper'!$L$20:$GI$20,'Tally Helper'!$L$18:$GI$18,"&gt;="&amp;$BR161,'Tally Helper'!$L$18:$GI$18,"&lt;="&amp;$BS161)))</f>
        <v/>
      </c>
      <c r="AD161" s="17" t="str">
        <f aca="false">IF(OR(H$7="",$BR161=""),"",IF('Tally Helper'!$B$21&lt;&gt;TRUE(),"not on Staff",SUMIFS('Tally Helper'!$L$23:$GI$23,'Tally Helper'!$L$21:$GI$21,"&gt;="&amp;$BR161,'Tally Helper'!$L$21:$GI$21,"&lt;="&amp;$BS161)))</f>
        <v/>
      </c>
      <c r="AE161" s="17" t="str">
        <f aca="false">IF(OR(I$7="",$BR161=""),"",IF('Tally Helper'!$B$24&lt;&gt;TRUE(),"not on Staff",SUMIFS('Tally Helper'!$L$26:$GI$26,'Tally Helper'!$L$24:$GI$24,"&gt;="&amp;$BR161,'Tally Helper'!$L$24:$GI$24,"&lt;="&amp;$BS161)))</f>
        <v/>
      </c>
      <c r="AF161" s="17" t="str">
        <f aca="false">IF(OR(J$7="",$BR161=""),"",IF('Tally Helper'!$B$27&lt;&gt;TRUE(),"not on Staff",SUMIFS('Tally Helper'!$L$29:$GI$29,'Tally Helper'!$L$27:$GI$27,"&gt;="&amp;$BR161,'Tally Helper'!$L$27:$GI$27,"&lt;="&amp;$BS161)))</f>
        <v/>
      </c>
      <c r="AG161" s="17" t="str">
        <f aca="false">IF(OR(K$7="",$BR161=""),"",IF('Tally Helper'!$B$30&lt;&gt;TRUE(),"not on Staff",SUMIFS('Tally Helper'!$L$32:$GI$32,'Tally Helper'!$L$30:$GI$30,"&gt;="&amp;$BR161,'Tally Helper'!$L$30:$GI$30,"&lt;="&amp;$BS161)))</f>
        <v/>
      </c>
      <c r="AH161" s="17" t="str">
        <f aca="false">IF(OR(L$7="",$BR161=""),"",IF('Tally Helper'!$B$33&lt;&gt;TRUE(),"not on Staff",SUMIFS('Tally Helper'!$L$35:$GI$35,'Tally Helper'!$L$33:$GI$33,"&gt;="&amp;$BR161,'Tally Helper'!$L$33:$GI$33,"&lt;="&amp;$BS161)))</f>
        <v/>
      </c>
      <c r="AI161" s="17" t="str">
        <f aca="false">IF(OR(M$7="",$BR161=""),"",IF('Tally Helper'!$B$36&lt;&gt;TRUE(),"not on Staff",SUMIFS('Tally Helper'!$L$38:$GI$38,'Tally Helper'!$L$36:$GI$36,"&gt;="&amp;$BR161,'Tally Helper'!$L$36:$GI$36,"&lt;="&amp;$BS161)))</f>
        <v/>
      </c>
      <c r="AJ161" s="17" t="str">
        <f aca="false">IF(OR(N$7="",$BR161=""),"",IF('Tally Helper'!$B$39&lt;&gt;TRUE(),"not on Staff",SUMIFS('Tally Helper'!$L$41:$GI$41,'Tally Helper'!$L$39:$GI$39,"&gt;="&amp;$BR161,'Tally Helper'!$L$39:$GI$39,"&lt;="&amp;$BS161)))</f>
        <v/>
      </c>
      <c r="AK161" s="17" t="str">
        <f aca="false">IF(OR(O$7="",$BR161=""),"",IF('Tally Helper'!$B$42&lt;&gt;TRUE(),"not on Staff",SUMIFS('Tally Helper'!$L$44:$GI$44,'Tally Helper'!$L$42:$GI$42,"&gt;="&amp;$BR161,'Tally Helper'!$L$42:$GI$42,"&lt;="&amp;$BS161)))</f>
        <v/>
      </c>
      <c r="AL161" s="17" t="str">
        <f aca="false">IF(OR(P$7="",$BR161=""),"",IF('Tally Helper'!$B$45&lt;&gt;TRUE(),"not on Staff",SUMIFS('Tally Helper'!$L$47:$GI$47,'Tally Helper'!$L$45:$GI$45,"&gt;="&amp;$BR161,'Tally Helper'!$L$45:$GI$45,"&lt;="&amp;$BS161)))</f>
        <v/>
      </c>
      <c r="AM161" s="17" t="str">
        <f aca="false">IF(OR(Q$7="",$BR161=""),"",IF('Tally Helper'!$B$48&lt;&gt;TRUE(),"not on Staff",SUMIFS('Tally Helper'!$L$50:$GI$50,'Tally Helper'!$L$48:$GI$48,"&gt;="&amp;$BR161,'Tally Helper'!$L$48:$GI$48,"&lt;="&amp;$BS161)))</f>
        <v/>
      </c>
      <c r="AN161" s="17" t="str">
        <f aca="false">IF(OR(R$7="",$BR161=""),"",IF('Tally Helper'!$B$51&lt;&gt;TRUE(),"not on Staff",SUMIFS('Tally Helper'!$L$53:$GI$53,'Tally Helper'!$L$51:$GI$51,"&gt;="&amp;$BR161,'Tally Helper'!$L$51:$GI$51,"&lt;="&amp;$BS161)))</f>
        <v/>
      </c>
      <c r="AO161" s="17" t="str">
        <f aca="false">IF(OR(S$7="",$BR161=""),"",IF('Tally Helper'!$B$54&lt;&gt;TRUE(),"not on Staff",SUMIFS('Tally Helper'!$L$56:$GI$56,'Tally Helper'!$L$54:$GI$54,"&gt;="&amp;$BR161,'Tally Helper'!$L$54:$GI$54,"&lt;="&amp;$BS161)))</f>
        <v/>
      </c>
      <c r="AP161" s="17" t="str">
        <f aca="false">IF(OR(T$7="",$BR161=""),"",IF('Tally Helper'!$B$57&lt;&gt;TRUE(),"not on Staff",SUMIFS('Tally Helper'!$L$59:$GI$59,'Tally Helper'!$L$57:$GI$57,"&gt;="&amp;$BR161,'Tally Helper'!$L$57:$GI$57,"&lt;="&amp;$BS161)))</f>
        <v/>
      </c>
      <c r="AQ161" s="17" t="str">
        <f aca="false">IF(OR(U$7="",$BR161=""),"",IF('Tally Helper'!$B$60&lt;&gt;TRUE(),"not on Staff",SUMIFS('Tally Helper'!$L$62:$GI$62,'Tally Helper'!$L$60:$GI$60,"&gt;="&amp;$BR161,'Tally Helper'!$L$60:$GI$60,"&lt;="&amp;$BS161)))</f>
        <v/>
      </c>
      <c r="AT161" s="17" t="str">
        <f aca="false">IF(OR(X161="",NOT(ISNUMBER(X161))),"",X161-N(B161))</f>
        <v/>
      </c>
      <c r="AU161" s="17" t="str">
        <f aca="false">IF(OR(Y161="",NOT(ISNUMBER(Y161))),"",Y161-N(C161))</f>
        <v/>
      </c>
      <c r="AV161" s="17" t="str">
        <f aca="false">IF(OR(Z161="",NOT(ISNUMBER(Z161))),"",Z161-N(D161))</f>
        <v/>
      </c>
      <c r="AW161" s="17" t="str">
        <f aca="false">IF(OR(AA161="",NOT(ISNUMBER(AA161))),"",AA161-N(E161))</f>
        <v/>
      </c>
      <c r="AX161" s="17" t="str">
        <f aca="false">IF(OR(AB161="",NOT(ISNUMBER(AB161))),"",AB161-N(F161))</f>
        <v/>
      </c>
      <c r="AY161" s="17" t="str">
        <f aca="false">IF(OR(AC161="",NOT(ISNUMBER(AC161))),"",AC161-N(G161))</f>
        <v/>
      </c>
      <c r="AZ161" s="17" t="str">
        <f aca="false">IF(OR(AD161="",NOT(ISNUMBER(AD161))),"",AD161-N(H161))</f>
        <v/>
      </c>
      <c r="BA161" s="17" t="str">
        <f aca="false">IF(OR(AE161="",NOT(ISNUMBER(AE161))),"",AE161-N(I161))</f>
        <v/>
      </c>
      <c r="BB161" s="17" t="str">
        <f aca="false">IF(OR(AF161="",NOT(ISNUMBER(AF161))),"",AF161-N(J161))</f>
        <v/>
      </c>
      <c r="BC161" s="17" t="str">
        <f aca="false">IF(OR(AG161="",NOT(ISNUMBER(AG161))),"",AG161-N(K161))</f>
        <v/>
      </c>
      <c r="BD161" s="17" t="str">
        <f aca="false">IF(OR(AH161="",NOT(ISNUMBER(AH161))),"",AH161-N(L161))</f>
        <v/>
      </c>
      <c r="BE161" s="17" t="str">
        <f aca="false">IF(OR(AI161="",NOT(ISNUMBER(AI161))),"",AI161-N(M161))</f>
        <v/>
      </c>
      <c r="BF161" s="17" t="str">
        <f aca="false">IF(OR(AJ161="",NOT(ISNUMBER(AJ161))),"",AJ161-N(N161))</f>
        <v/>
      </c>
      <c r="BG161" s="17" t="str">
        <f aca="false">IF(OR(AK161="",NOT(ISNUMBER(AK161))),"",AK161-N(O161))</f>
        <v/>
      </c>
      <c r="BH161" s="17" t="str">
        <f aca="false">IF(OR(AL161="",NOT(ISNUMBER(AL161))),"",AL161-N(P161))</f>
        <v/>
      </c>
      <c r="BI161" s="17" t="str">
        <f aca="false">IF(OR(AM161="",NOT(ISNUMBER(AM161))),"",AM161-N(Q161))</f>
        <v/>
      </c>
      <c r="BJ161" s="17" t="str">
        <f aca="false">IF(OR(AN161="",NOT(ISNUMBER(AN161))),"",AN161-N(R161))</f>
        <v/>
      </c>
      <c r="BK161" s="17" t="str">
        <f aca="false">IF(OR(AO161="",NOT(ISNUMBER(AO161))),"",AO161-N(S161))</f>
        <v/>
      </c>
      <c r="BL161" s="17" t="str">
        <f aca="false">IF(OR(AP161="",NOT(ISNUMBER(AP161))),"",AP161-N(T161))</f>
        <v/>
      </c>
      <c r="BM161" s="17" t="str">
        <f aca="false">IF(OR(AQ161="",NOT(ISNUMBER(AQ161))),"",AQ161-N(U161))</f>
        <v/>
      </c>
      <c r="BR161" s="20" t="str">
        <f aca="false">IF($A161="","",IF(ISNUMBER($A161),DATE(YEAR($A161),MONTH($A161),1),IFERROR(DATE(2000+VALUE(RIGHT(TRIM($A161),2)),MATCH(UPPER(LEFT(TRIM($A161),3)),{"JAN","FEB","MAR","APR","MAY","JUN","JUL","AUG","SEP","OCT","NOV","DEC"},0),1),"")))</f>
        <v/>
      </c>
      <c r="BS161" s="20" t="str">
        <f aca="false">IF(BR161="","",EOMONTH(BR161,0))</f>
        <v/>
      </c>
    </row>
    <row r="162" customFormat="false" ht="15" hidden="false" customHeight="false" outlineLevel="0" collapsed="false">
      <c r="B162" s="21"/>
      <c r="C162" s="21"/>
      <c r="D162" s="21"/>
      <c r="E162" s="21"/>
      <c r="F162" s="21"/>
      <c r="G162" s="21"/>
      <c r="H162" s="21"/>
      <c r="I162" s="21"/>
      <c r="J162" s="21"/>
      <c r="K162" s="21"/>
      <c r="L162" s="21"/>
      <c r="M162" s="21"/>
      <c r="N162" s="21"/>
      <c r="O162" s="21"/>
      <c r="P162" s="21"/>
      <c r="Q162" s="21"/>
      <c r="R162" s="21"/>
      <c r="S162" s="21"/>
      <c r="T162" s="21"/>
      <c r="U162" s="21"/>
      <c r="X162" s="17" t="str">
        <f aca="false">IF(OR(B$7="",$BR162=""),"",IF('Tally Helper'!$B$3&lt;&gt;TRUE(),"not on Staff",SUMIFS('Tally Helper'!$L$5:$GI$5,'Tally Helper'!$L$3:$GI$3,"&gt;="&amp;$BR162,'Tally Helper'!$L$3:$GI$3,"&lt;="&amp;$BS162)))</f>
        <v/>
      </c>
      <c r="Y162" s="17" t="str">
        <f aca="false">IF(OR(C$7="",$BR162=""),"",IF('Tally Helper'!$B$6&lt;&gt;TRUE(),"not on Staff",SUMIFS('Tally Helper'!$L$8:$GI$8,'Tally Helper'!$L$6:$GI$6,"&gt;="&amp;$BR162,'Tally Helper'!$L$6:$GI$6,"&lt;="&amp;$BS162)))</f>
        <v/>
      </c>
      <c r="Z162" s="17" t="str">
        <f aca="false">IF(OR(D$7="",$BR162=""),"",IF('Tally Helper'!$B$9&lt;&gt;TRUE(),"not on Staff",SUMIFS('Tally Helper'!$L$11:$GI$11,'Tally Helper'!$L$9:$GI$9,"&gt;="&amp;$BR162,'Tally Helper'!$L$9:$GI$9,"&lt;="&amp;$BS162)))</f>
        <v/>
      </c>
      <c r="AA162" s="17" t="str">
        <f aca="false">IF(OR(E$7="",$BR162=""),"",IF('Tally Helper'!$B$12&lt;&gt;TRUE(),"not on Staff",SUMIFS('Tally Helper'!$L$14:$GI$14,'Tally Helper'!$L$12:$GI$12,"&gt;="&amp;$BR162,'Tally Helper'!$L$12:$GI$12,"&lt;="&amp;$BS162)))</f>
        <v/>
      </c>
      <c r="AB162" s="17" t="str">
        <f aca="false">IF(OR(F$7="",$BR162=""),"",IF('Tally Helper'!$B$15&lt;&gt;TRUE(),"not on Staff",SUMIFS('Tally Helper'!$L$17:$GI$17,'Tally Helper'!$L$15:$GI$15,"&gt;="&amp;$BR162,'Tally Helper'!$L$15:$GI$15,"&lt;="&amp;$BS162)))</f>
        <v/>
      </c>
      <c r="AC162" s="17" t="str">
        <f aca="false">IF(OR(G$7="",$BR162=""),"",IF('Tally Helper'!$B$18&lt;&gt;TRUE(),"not on Staff",SUMIFS('Tally Helper'!$L$20:$GI$20,'Tally Helper'!$L$18:$GI$18,"&gt;="&amp;$BR162,'Tally Helper'!$L$18:$GI$18,"&lt;="&amp;$BS162)))</f>
        <v/>
      </c>
      <c r="AD162" s="17" t="str">
        <f aca="false">IF(OR(H$7="",$BR162=""),"",IF('Tally Helper'!$B$21&lt;&gt;TRUE(),"not on Staff",SUMIFS('Tally Helper'!$L$23:$GI$23,'Tally Helper'!$L$21:$GI$21,"&gt;="&amp;$BR162,'Tally Helper'!$L$21:$GI$21,"&lt;="&amp;$BS162)))</f>
        <v/>
      </c>
      <c r="AE162" s="17" t="str">
        <f aca="false">IF(OR(I$7="",$BR162=""),"",IF('Tally Helper'!$B$24&lt;&gt;TRUE(),"not on Staff",SUMIFS('Tally Helper'!$L$26:$GI$26,'Tally Helper'!$L$24:$GI$24,"&gt;="&amp;$BR162,'Tally Helper'!$L$24:$GI$24,"&lt;="&amp;$BS162)))</f>
        <v/>
      </c>
      <c r="AF162" s="17" t="str">
        <f aca="false">IF(OR(J$7="",$BR162=""),"",IF('Tally Helper'!$B$27&lt;&gt;TRUE(),"not on Staff",SUMIFS('Tally Helper'!$L$29:$GI$29,'Tally Helper'!$L$27:$GI$27,"&gt;="&amp;$BR162,'Tally Helper'!$L$27:$GI$27,"&lt;="&amp;$BS162)))</f>
        <v/>
      </c>
      <c r="AG162" s="17" t="str">
        <f aca="false">IF(OR(K$7="",$BR162=""),"",IF('Tally Helper'!$B$30&lt;&gt;TRUE(),"not on Staff",SUMIFS('Tally Helper'!$L$32:$GI$32,'Tally Helper'!$L$30:$GI$30,"&gt;="&amp;$BR162,'Tally Helper'!$L$30:$GI$30,"&lt;="&amp;$BS162)))</f>
        <v/>
      </c>
      <c r="AH162" s="17" t="str">
        <f aca="false">IF(OR(L$7="",$BR162=""),"",IF('Tally Helper'!$B$33&lt;&gt;TRUE(),"not on Staff",SUMIFS('Tally Helper'!$L$35:$GI$35,'Tally Helper'!$L$33:$GI$33,"&gt;="&amp;$BR162,'Tally Helper'!$L$33:$GI$33,"&lt;="&amp;$BS162)))</f>
        <v/>
      </c>
      <c r="AI162" s="17" t="str">
        <f aca="false">IF(OR(M$7="",$BR162=""),"",IF('Tally Helper'!$B$36&lt;&gt;TRUE(),"not on Staff",SUMIFS('Tally Helper'!$L$38:$GI$38,'Tally Helper'!$L$36:$GI$36,"&gt;="&amp;$BR162,'Tally Helper'!$L$36:$GI$36,"&lt;="&amp;$BS162)))</f>
        <v/>
      </c>
      <c r="AJ162" s="17" t="str">
        <f aca="false">IF(OR(N$7="",$BR162=""),"",IF('Tally Helper'!$B$39&lt;&gt;TRUE(),"not on Staff",SUMIFS('Tally Helper'!$L$41:$GI$41,'Tally Helper'!$L$39:$GI$39,"&gt;="&amp;$BR162,'Tally Helper'!$L$39:$GI$39,"&lt;="&amp;$BS162)))</f>
        <v/>
      </c>
      <c r="AK162" s="17" t="str">
        <f aca="false">IF(OR(O$7="",$BR162=""),"",IF('Tally Helper'!$B$42&lt;&gt;TRUE(),"not on Staff",SUMIFS('Tally Helper'!$L$44:$GI$44,'Tally Helper'!$L$42:$GI$42,"&gt;="&amp;$BR162,'Tally Helper'!$L$42:$GI$42,"&lt;="&amp;$BS162)))</f>
        <v/>
      </c>
      <c r="AL162" s="17" t="str">
        <f aca="false">IF(OR(P$7="",$BR162=""),"",IF('Tally Helper'!$B$45&lt;&gt;TRUE(),"not on Staff",SUMIFS('Tally Helper'!$L$47:$GI$47,'Tally Helper'!$L$45:$GI$45,"&gt;="&amp;$BR162,'Tally Helper'!$L$45:$GI$45,"&lt;="&amp;$BS162)))</f>
        <v/>
      </c>
      <c r="AM162" s="17" t="str">
        <f aca="false">IF(OR(Q$7="",$BR162=""),"",IF('Tally Helper'!$B$48&lt;&gt;TRUE(),"not on Staff",SUMIFS('Tally Helper'!$L$50:$GI$50,'Tally Helper'!$L$48:$GI$48,"&gt;="&amp;$BR162,'Tally Helper'!$L$48:$GI$48,"&lt;="&amp;$BS162)))</f>
        <v/>
      </c>
      <c r="AN162" s="17" t="str">
        <f aca="false">IF(OR(R$7="",$BR162=""),"",IF('Tally Helper'!$B$51&lt;&gt;TRUE(),"not on Staff",SUMIFS('Tally Helper'!$L$53:$GI$53,'Tally Helper'!$L$51:$GI$51,"&gt;="&amp;$BR162,'Tally Helper'!$L$51:$GI$51,"&lt;="&amp;$BS162)))</f>
        <v/>
      </c>
      <c r="AO162" s="17" t="str">
        <f aca="false">IF(OR(S$7="",$BR162=""),"",IF('Tally Helper'!$B$54&lt;&gt;TRUE(),"not on Staff",SUMIFS('Tally Helper'!$L$56:$GI$56,'Tally Helper'!$L$54:$GI$54,"&gt;="&amp;$BR162,'Tally Helper'!$L$54:$GI$54,"&lt;="&amp;$BS162)))</f>
        <v/>
      </c>
      <c r="AP162" s="17" t="str">
        <f aca="false">IF(OR(T$7="",$BR162=""),"",IF('Tally Helper'!$B$57&lt;&gt;TRUE(),"not on Staff",SUMIFS('Tally Helper'!$L$59:$GI$59,'Tally Helper'!$L$57:$GI$57,"&gt;="&amp;$BR162,'Tally Helper'!$L$57:$GI$57,"&lt;="&amp;$BS162)))</f>
        <v/>
      </c>
      <c r="AQ162" s="17" t="str">
        <f aca="false">IF(OR(U$7="",$BR162=""),"",IF('Tally Helper'!$B$60&lt;&gt;TRUE(),"not on Staff",SUMIFS('Tally Helper'!$L$62:$GI$62,'Tally Helper'!$L$60:$GI$60,"&gt;="&amp;$BR162,'Tally Helper'!$L$60:$GI$60,"&lt;="&amp;$BS162)))</f>
        <v/>
      </c>
      <c r="AT162" s="17" t="str">
        <f aca="false">IF(OR(X162="",NOT(ISNUMBER(X162))),"",X162-N(B162))</f>
        <v/>
      </c>
      <c r="AU162" s="17" t="str">
        <f aca="false">IF(OR(Y162="",NOT(ISNUMBER(Y162))),"",Y162-N(C162))</f>
        <v/>
      </c>
      <c r="AV162" s="17" t="str">
        <f aca="false">IF(OR(Z162="",NOT(ISNUMBER(Z162))),"",Z162-N(D162))</f>
        <v/>
      </c>
      <c r="AW162" s="17" t="str">
        <f aca="false">IF(OR(AA162="",NOT(ISNUMBER(AA162))),"",AA162-N(E162))</f>
        <v/>
      </c>
      <c r="AX162" s="17" t="str">
        <f aca="false">IF(OR(AB162="",NOT(ISNUMBER(AB162))),"",AB162-N(F162))</f>
        <v/>
      </c>
      <c r="AY162" s="17" t="str">
        <f aca="false">IF(OR(AC162="",NOT(ISNUMBER(AC162))),"",AC162-N(G162))</f>
        <v/>
      </c>
      <c r="AZ162" s="17" t="str">
        <f aca="false">IF(OR(AD162="",NOT(ISNUMBER(AD162))),"",AD162-N(H162))</f>
        <v/>
      </c>
      <c r="BA162" s="17" t="str">
        <f aca="false">IF(OR(AE162="",NOT(ISNUMBER(AE162))),"",AE162-N(I162))</f>
        <v/>
      </c>
      <c r="BB162" s="17" t="str">
        <f aca="false">IF(OR(AF162="",NOT(ISNUMBER(AF162))),"",AF162-N(J162))</f>
        <v/>
      </c>
      <c r="BC162" s="17" t="str">
        <f aca="false">IF(OR(AG162="",NOT(ISNUMBER(AG162))),"",AG162-N(K162))</f>
        <v/>
      </c>
      <c r="BD162" s="17" t="str">
        <f aca="false">IF(OR(AH162="",NOT(ISNUMBER(AH162))),"",AH162-N(L162))</f>
        <v/>
      </c>
      <c r="BE162" s="17" t="str">
        <f aca="false">IF(OR(AI162="",NOT(ISNUMBER(AI162))),"",AI162-N(M162))</f>
        <v/>
      </c>
      <c r="BF162" s="17" t="str">
        <f aca="false">IF(OR(AJ162="",NOT(ISNUMBER(AJ162))),"",AJ162-N(N162))</f>
        <v/>
      </c>
      <c r="BG162" s="17" t="str">
        <f aca="false">IF(OR(AK162="",NOT(ISNUMBER(AK162))),"",AK162-N(O162))</f>
        <v/>
      </c>
      <c r="BH162" s="17" t="str">
        <f aca="false">IF(OR(AL162="",NOT(ISNUMBER(AL162))),"",AL162-N(P162))</f>
        <v/>
      </c>
      <c r="BI162" s="17" t="str">
        <f aca="false">IF(OR(AM162="",NOT(ISNUMBER(AM162))),"",AM162-N(Q162))</f>
        <v/>
      </c>
      <c r="BJ162" s="17" t="str">
        <f aca="false">IF(OR(AN162="",NOT(ISNUMBER(AN162))),"",AN162-N(R162))</f>
        <v/>
      </c>
      <c r="BK162" s="17" t="str">
        <f aca="false">IF(OR(AO162="",NOT(ISNUMBER(AO162))),"",AO162-N(S162))</f>
        <v/>
      </c>
      <c r="BL162" s="17" t="str">
        <f aca="false">IF(OR(AP162="",NOT(ISNUMBER(AP162))),"",AP162-N(T162))</f>
        <v/>
      </c>
      <c r="BM162" s="17" t="str">
        <f aca="false">IF(OR(AQ162="",NOT(ISNUMBER(AQ162))),"",AQ162-N(U162))</f>
        <v/>
      </c>
      <c r="BR162" s="20" t="str">
        <f aca="false">IF($A162="","",IF(ISNUMBER($A162),DATE(YEAR($A162),MONTH($A162),1),IFERROR(DATE(2000+VALUE(RIGHT(TRIM($A162),2)),MATCH(UPPER(LEFT(TRIM($A162),3)),{"JAN","FEB","MAR","APR","MAY","JUN","JUL","AUG","SEP","OCT","NOV","DEC"},0),1),"")))</f>
        <v/>
      </c>
      <c r="BS162" s="20" t="str">
        <f aca="false">IF(BR162="","",EOMONTH(BR162,0))</f>
        <v/>
      </c>
    </row>
    <row r="163" customFormat="false" ht="15" hidden="false" customHeight="false" outlineLevel="0" collapsed="false">
      <c r="B163" s="21"/>
      <c r="C163" s="21"/>
      <c r="D163" s="21"/>
      <c r="E163" s="21"/>
      <c r="F163" s="21"/>
      <c r="G163" s="21"/>
      <c r="H163" s="21"/>
      <c r="I163" s="21"/>
      <c r="J163" s="21"/>
      <c r="K163" s="21"/>
      <c r="L163" s="21"/>
      <c r="M163" s="21"/>
      <c r="N163" s="21"/>
      <c r="O163" s="21"/>
      <c r="P163" s="21"/>
      <c r="Q163" s="21"/>
      <c r="R163" s="21"/>
      <c r="S163" s="21"/>
      <c r="T163" s="21"/>
      <c r="U163" s="21"/>
      <c r="X163" s="17" t="str">
        <f aca="false">IF(OR(B$7="",$BR163=""),"",IF('Tally Helper'!$B$3&lt;&gt;TRUE(),"not on Staff",SUMIFS('Tally Helper'!$L$5:$GI$5,'Tally Helper'!$L$3:$GI$3,"&gt;="&amp;$BR163,'Tally Helper'!$L$3:$GI$3,"&lt;="&amp;$BS163)))</f>
        <v/>
      </c>
      <c r="Y163" s="17" t="str">
        <f aca="false">IF(OR(C$7="",$BR163=""),"",IF('Tally Helper'!$B$6&lt;&gt;TRUE(),"not on Staff",SUMIFS('Tally Helper'!$L$8:$GI$8,'Tally Helper'!$L$6:$GI$6,"&gt;="&amp;$BR163,'Tally Helper'!$L$6:$GI$6,"&lt;="&amp;$BS163)))</f>
        <v/>
      </c>
      <c r="Z163" s="17" t="str">
        <f aca="false">IF(OR(D$7="",$BR163=""),"",IF('Tally Helper'!$B$9&lt;&gt;TRUE(),"not on Staff",SUMIFS('Tally Helper'!$L$11:$GI$11,'Tally Helper'!$L$9:$GI$9,"&gt;="&amp;$BR163,'Tally Helper'!$L$9:$GI$9,"&lt;="&amp;$BS163)))</f>
        <v/>
      </c>
      <c r="AA163" s="17" t="str">
        <f aca="false">IF(OR(E$7="",$BR163=""),"",IF('Tally Helper'!$B$12&lt;&gt;TRUE(),"not on Staff",SUMIFS('Tally Helper'!$L$14:$GI$14,'Tally Helper'!$L$12:$GI$12,"&gt;="&amp;$BR163,'Tally Helper'!$L$12:$GI$12,"&lt;="&amp;$BS163)))</f>
        <v/>
      </c>
      <c r="AB163" s="17" t="str">
        <f aca="false">IF(OR(F$7="",$BR163=""),"",IF('Tally Helper'!$B$15&lt;&gt;TRUE(),"not on Staff",SUMIFS('Tally Helper'!$L$17:$GI$17,'Tally Helper'!$L$15:$GI$15,"&gt;="&amp;$BR163,'Tally Helper'!$L$15:$GI$15,"&lt;="&amp;$BS163)))</f>
        <v/>
      </c>
      <c r="AC163" s="17" t="str">
        <f aca="false">IF(OR(G$7="",$BR163=""),"",IF('Tally Helper'!$B$18&lt;&gt;TRUE(),"not on Staff",SUMIFS('Tally Helper'!$L$20:$GI$20,'Tally Helper'!$L$18:$GI$18,"&gt;="&amp;$BR163,'Tally Helper'!$L$18:$GI$18,"&lt;="&amp;$BS163)))</f>
        <v/>
      </c>
      <c r="AD163" s="17" t="str">
        <f aca="false">IF(OR(H$7="",$BR163=""),"",IF('Tally Helper'!$B$21&lt;&gt;TRUE(),"not on Staff",SUMIFS('Tally Helper'!$L$23:$GI$23,'Tally Helper'!$L$21:$GI$21,"&gt;="&amp;$BR163,'Tally Helper'!$L$21:$GI$21,"&lt;="&amp;$BS163)))</f>
        <v/>
      </c>
      <c r="AE163" s="17" t="str">
        <f aca="false">IF(OR(I$7="",$BR163=""),"",IF('Tally Helper'!$B$24&lt;&gt;TRUE(),"not on Staff",SUMIFS('Tally Helper'!$L$26:$GI$26,'Tally Helper'!$L$24:$GI$24,"&gt;="&amp;$BR163,'Tally Helper'!$L$24:$GI$24,"&lt;="&amp;$BS163)))</f>
        <v/>
      </c>
      <c r="AF163" s="17" t="str">
        <f aca="false">IF(OR(J$7="",$BR163=""),"",IF('Tally Helper'!$B$27&lt;&gt;TRUE(),"not on Staff",SUMIFS('Tally Helper'!$L$29:$GI$29,'Tally Helper'!$L$27:$GI$27,"&gt;="&amp;$BR163,'Tally Helper'!$L$27:$GI$27,"&lt;="&amp;$BS163)))</f>
        <v/>
      </c>
      <c r="AG163" s="17" t="str">
        <f aca="false">IF(OR(K$7="",$BR163=""),"",IF('Tally Helper'!$B$30&lt;&gt;TRUE(),"not on Staff",SUMIFS('Tally Helper'!$L$32:$GI$32,'Tally Helper'!$L$30:$GI$30,"&gt;="&amp;$BR163,'Tally Helper'!$L$30:$GI$30,"&lt;="&amp;$BS163)))</f>
        <v/>
      </c>
      <c r="AH163" s="17" t="str">
        <f aca="false">IF(OR(L$7="",$BR163=""),"",IF('Tally Helper'!$B$33&lt;&gt;TRUE(),"not on Staff",SUMIFS('Tally Helper'!$L$35:$GI$35,'Tally Helper'!$L$33:$GI$33,"&gt;="&amp;$BR163,'Tally Helper'!$L$33:$GI$33,"&lt;="&amp;$BS163)))</f>
        <v/>
      </c>
      <c r="AI163" s="17" t="str">
        <f aca="false">IF(OR(M$7="",$BR163=""),"",IF('Tally Helper'!$B$36&lt;&gt;TRUE(),"not on Staff",SUMIFS('Tally Helper'!$L$38:$GI$38,'Tally Helper'!$L$36:$GI$36,"&gt;="&amp;$BR163,'Tally Helper'!$L$36:$GI$36,"&lt;="&amp;$BS163)))</f>
        <v/>
      </c>
      <c r="AJ163" s="17" t="str">
        <f aca="false">IF(OR(N$7="",$BR163=""),"",IF('Tally Helper'!$B$39&lt;&gt;TRUE(),"not on Staff",SUMIFS('Tally Helper'!$L$41:$GI$41,'Tally Helper'!$L$39:$GI$39,"&gt;="&amp;$BR163,'Tally Helper'!$L$39:$GI$39,"&lt;="&amp;$BS163)))</f>
        <v/>
      </c>
      <c r="AK163" s="17" t="str">
        <f aca="false">IF(OR(O$7="",$BR163=""),"",IF('Tally Helper'!$B$42&lt;&gt;TRUE(),"not on Staff",SUMIFS('Tally Helper'!$L$44:$GI$44,'Tally Helper'!$L$42:$GI$42,"&gt;="&amp;$BR163,'Tally Helper'!$L$42:$GI$42,"&lt;="&amp;$BS163)))</f>
        <v/>
      </c>
      <c r="AL163" s="17" t="str">
        <f aca="false">IF(OR(P$7="",$BR163=""),"",IF('Tally Helper'!$B$45&lt;&gt;TRUE(),"not on Staff",SUMIFS('Tally Helper'!$L$47:$GI$47,'Tally Helper'!$L$45:$GI$45,"&gt;="&amp;$BR163,'Tally Helper'!$L$45:$GI$45,"&lt;="&amp;$BS163)))</f>
        <v/>
      </c>
      <c r="AM163" s="17" t="str">
        <f aca="false">IF(OR(Q$7="",$BR163=""),"",IF('Tally Helper'!$B$48&lt;&gt;TRUE(),"not on Staff",SUMIFS('Tally Helper'!$L$50:$GI$50,'Tally Helper'!$L$48:$GI$48,"&gt;="&amp;$BR163,'Tally Helper'!$L$48:$GI$48,"&lt;="&amp;$BS163)))</f>
        <v/>
      </c>
      <c r="AN163" s="17" t="str">
        <f aca="false">IF(OR(R$7="",$BR163=""),"",IF('Tally Helper'!$B$51&lt;&gt;TRUE(),"not on Staff",SUMIFS('Tally Helper'!$L$53:$GI$53,'Tally Helper'!$L$51:$GI$51,"&gt;="&amp;$BR163,'Tally Helper'!$L$51:$GI$51,"&lt;="&amp;$BS163)))</f>
        <v/>
      </c>
      <c r="AO163" s="17" t="str">
        <f aca="false">IF(OR(S$7="",$BR163=""),"",IF('Tally Helper'!$B$54&lt;&gt;TRUE(),"not on Staff",SUMIFS('Tally Helper'!$L$56:$GI$56,'Tally Helper'!$L$54:$GI$54,"&gt;="&amp;$BR163,'Tally Helper'!$L$54:$GI$54,"&lt;="&amp;$BS163)))</f>
        <v/>
      </c>
      <c r="AP163" s="17" t="str">
        <f aca="false">IF(OR(T$7="",$BR163=""),"",IF('Tally Helper'!$B$57&lt;&gt;TRUE(),"not on Staff",SUMIFS('Tally Helper'!$L$59:$GI$59,'Tally Helper'!$L$57:$GI$57,"&gt;="&amp;$BR163,'Tally Helper'!$L$57:$GI$57,"&lt;="&amp;$BS163)))</f>
        <v/>
      </c>
      <c r="AQ163" s="17" t="str">
        <f aca="false">IF(OR(U$7="",$BR163=""),"",IF('Tally Helper'!$B$60&lt;&gt;TRUE(),"not on Staff",SUMIFS('Tally Helper'!$L$62:$GI$62,'Tally Helper'!$L$60:$GI$60,"&gt;="&amp;$BR163,'Tally Helper'!$L$60:$GI$60,"&lt;="&amp;$BS163)))</f>
        <v/>
      </c>
      <c r="AT163" s="17" t="str">
        <f aca="false">IF(OR(X163="",NOT(ISNUMBER(X163))),"",X163-N(B163))</f>
        <v/>
      </c>
      <c r="AU163" s="17" t="str">
        <f aca="false">IF(OR(Y163="",NOT(ISNUMBER(Y163))),"",Y163-N(C163))</f>
        <v/>
      </c>
      <c r="AV163" s="17" t="str">
        <f aca="false">IF(OR(Z163="",NOT(ISNUMBER(Z163))),"",Z163-N(D163))</f>
        <v/>
      </c>
      <c r="AW163" s="17" t="str">
        <f aca="false">IF(OR(AA163="",NOT(ISNUMBER(AA163))),"",AA163-N(E163))</f>
        <v/>
      </c>
      <c r="AX163" s="17" t="str">
        <f aca="false">IF(OR(AB163="",NOT(ISNUMBER(AB163))),"",AB163-N(F163))</f>
        <v/>
      </c>
      <c r="AY163" s="17" t="str">
        <f aca="false">IF(OR(AC163="",NOT(ISNUMBER(AC163))),"",AC163-N(G163))</f>
        <v/>
      </c>
      <c r="AZ163" s="17" t="str">
        <f aca="false">IF(OR(AD163="",NOT(ISNUMBER(AD163))),"",AD163-N(H163))</f>
        <v/>
      </c>
      <c r="BA163" s="17" t="str">
        <f aca="false">IF(OR(AE163="",NOT(ISNUMBER(AE163))),"",AE163-N(I163))</f>
        <v/>
      </c>
      <c r="BB163" s="17" t="str">
        <f aca="false">IF(OR(AF163="",NOT(ISNUMBER(AF163))),"",AF163-N(J163))</f>
        <v/>
      </c>
      <c r="BC163" s="17" t="str">
        <f aca="false">IF(OR(AG163="",NOT(ISNUMBER(AG163))),"",AG163-N(K163))</f>
        <v/>
      </c>
      <c r="BD163" s="17" t="str">
        <f aca="false">IF(OR(AH163="",NOT(ISNUMBER(AH163))),"",AH163-N(L163))</f>
        <v/>
      </c>
      <c r="BE163" s="17" t="str">
        <f aca="false">IF(OR(AI163="",NOT(ISNUMBER(AI163))),"",AI163-N(M163))</f>
        <v/>
      </c>
      <c r="BF163" s="17" t="str">
        <f aca="false">IF(OR(AJ163="",NOT(ISNUMBER(AJ163))),"",AJ163-N(N163))</f>
        <v/>
      </c>
      <c r="BG163" s="17" t="str">
        <f aca="false">IF(OR(AK163="",NOT(ISNUMBER(AK163))),"",AK163-N(O163))</f>
        <v/>
      </c>
      <c r="BH163" s="17" t="str">
        <f aca="false">IF(OR(AL163="",NOT(ISNUMBER(AL163))),"",AL163-N(P163))</f>
        <v/>
      </c>
      <c r="BI163" s="17" t="str">
        <f aca="false">IF(OR(AM163="",NOT(ISNUMBER(AM163))),"",AM163-N(Q163))</f>
        <v/>
      </c>
      <c r="BJ163" s="17" t="str">
        <f aca="false">IF(OR(AN163="",NOT(ISNUMBER(AN163))),"",AN163-N(R163))</f>
        <v/>
      </c>
      <c r="BK163" s="17" t="str">
        <f aca="false">IF(OR(AO163="",NOT(ISNUMBER(AO163))),"",AO163-N(S163))</f>
        <v/>
      </c>
      <c r="BL163" s="17" t="str">
        <f aca="false">IF(OR(AP163="",NOT(ISNUMBER(AP163))),"",AP163-N(T163))</f>
        <v/>
      </c>
      <c r="BM163" s="17" t="str">
        <f aca="false">IF(OR(AQ163="",NOT(ISNUMBER(AQ163))),"",AQ163-N(U163))</f>
        <v/>
      </c>
      <c r="BR163" s="20" t="str">
        <f aca="false">IF($A163="","",IF(ISNUMBER($A163),DATE(YEAR($A163),MONTH($A163),1),IFERROR(DATE(2000+VALUE(RIGHT(TRIM($A163),2)),MATCH(UPPER(LEFT(TRIM($A163),3)),{"JAN","FEB","MAR","APR","MAY","JUN","JUL","AUG","SEP","OCT","NOV","DEC"},0),1),"")))</f>
        <v/>
      </c>
      <c r="BS163" s="20" t="str">
        <f aca="false">IF(BR163="","",EOMONTH(BR163,0))</f>
        <v/>
      </c>
    </row>
    <row r="164" customFormat="false" ht="15" hidden="false" customHeight="false" outlineLevel="0" collapsed="false">
      <c r="B164" s="21"/>
      <c r="C164" s="21"/>
      <c r="D164" s="21"/>
      <c r="E164" s="21"/>
      <c r="F164" s="21"/>
      <c r="G164" s="21"/>
      <c r="H164" s="21"/>
      <c r="I164" s="21"/>
      <c r="J164" s="21"/>
      <c r="K164" s="21"/>
      <c r="L164" s="21"/>
      <c r="M164" s="21"/>
      <c r="N164" s="21"/>
      <c r="O164" s="21"/>
      <c r="P164" s="21"/>
      <c r="Q164" s="21"/>
      <c r="R164" s="21"/>
      <c r="S164" s="21"/>
      <c r="T164" s="21"/>
      <c r="U164" s="21"/>
      <c r="X164" s="17" t="str">
        <f aca="false">IF(OR(B$7="",$BR164=""),"",IF('Tally Helper'!$B$3&lt;&gt;TRUE(),"not on Staff",SUMIFS('Tally Helper'!$L$5:$GI$5,'Tally Helper'!$L$3:$GI$3,"&gt;="&amp;$BR164,'Tally Helper'!$L$3:$GI$3,"&lt;="&amp;$BS164)))</f>
        <v/>
      </c>
      <c r="Y164" s="17" t="str">
        <f aca="false">IF(OR(C$7="",$BR164=""),"",IF('Tally Helper'!$B$6&lt;&gt;TRUE(),"not on Staff",SUMIFS('Tally Helper'!$L$8:$GI$8,'Tally Helper'!$L$6:$GI$6,"&gt;="&amp;$BR164,'Tally Helper'!$L$6:$GI$6,"&lt;="&amp;$BS164)))</f>
        <v/>
      </c>
      <c r="Z164" s="17" t="str">
        <f aca="false">IF(OR(D$7="",$BR164=""),"",IF('Tally Helper'!$B$9&lt;&gt;TRUE(),"not on Staff",SUMIFS('Tally Helper'!$L$11:$GI$11,'Tally Helper'!$L$9:$GI$9,"&gt;="&amp;$BR164,'Tally Helper'!$L$9:$GI$9,"&lt;="&amp;$BS164)))</f>
        <v/>
      </c>
      <c r="AA164" s="17" t="str">
        <f aca="false">IF(OR(E$7="",$BR164=""),"",IF('Tally Helper'!$B$12&lt;&gt;TRUE(),"not on Staff",SUMIFS('Tally Helper'!$L$14:$GI$14,'Tally Helper'!$L$12:$GI$12,"&gt;="&amp;$BR164,'Tally Helper'!$L$12:$GI$12,"&lt;="&amp;$BS164)))</f>
        <v/>
      </c>
      <c r="AB164" s="17" t="str">
        <f aca="false">IF(OR(F$7="",$BR164=""),"",IF('Tally Helper'!$B$15&lt;&gt;TRUE(),"not on Staff",SUMIFS('Tally Helper'!$L$17:$GI$17,'Tally Helper'!$L$15:$GI$15,"&gt;="&amp;$BR164,'Tally Helper'!$L$15:$GI$15,"&lt;="&amp;$BS164)))</f>
        <v/>
      </c>
      <c r="AC164" s="17" t="str">
        <f aca="false">IF(OR(G$7="",$BR164=""),"",IF('Tally Helper'!$B$18&lt;&gt;TRUE(),"not on Staff",SUMIFS('Tally Helper'!$L$20:$GI$20,'Tally Helper'!$L$18:$GI$18,"&gt;="&amp;$BR164,'Tally Helper'!$L$18:$GI$18,"&lt;="&amp;$BS164)))</f>
        <v/>
      </c>
      <c r="AD164" s="17" t="str">
        <f aca="false">IF(OR(H$7="",$BR164=""),"",IF('Tally Helper'!$B$21&lt;&gt;TRUE(),"not on Staff",SUMIFS('Tally Helper'!$L$23:$GI$23,'Tally Helper'!$L$21:$GI$21,"&gt;="&amp;$BR164,'Tally Helper'!$L$21:$GI$21,"&lt;="&amp;$BS164)))</f>
        <v/>
      </c>
      <c r="AE164" s="17" t="str">
        <f aca="false">IF(OR(I$7="",$BR164=""),"",IF('Tally Helper'!$B$24&lt;&gt;TRUE(),"not on Staff",SUMIFS('Tally Helper'!$L$26:$GI$26,'Tally Helper'!$L$24:$GI$24,"&gt;="&amp;$BR164,'Tally Helper'!$L$24:$GI$24,"&lt;="&amp;$BS164)))</f>
        <v/>
      </c>
      <c r="AF164" s="17" t="str">
        <f aca="false">IF(OR(J$7="",$BR164=""),"",IF('Tally Helper'!$B$27&lt;&gt;TRUE(),"not on Staff",SUMIFS('Tally Helper'!$L$29:$GI$29,'Tally Helper'!$L$27:$GI$27,"&gt;="&amp;$BR164,'Tally Helper'!$L$27:$GI$27,"&lt;="&amp;$BS164)))</f>
        <v/>
      </c>
      <c r="AG164" s="17" t="str">
        <f aca="false">IF(OR(K$7="",$BR164=""),"",IF('Tally Helper'!$B$30&lt;&gt;TRUE(),"not on Staff",SUMIFS('Tally Helper'!$L$32:$GI$32,'Tally Helper'!$L$30:$GI$30,"&gt;="&amp;$BR164,'Tally Helper'!$L$30:$GI$30,"&lt;="&amp;$BS164)))</f>
        <v/>
      </c>
      <c r="AH164" s="17" t="str">
        <f aca="false">IF(OR(L$7="",$BR164=""),"",IF('Tally Helper'!$B$33&lt;&gt;TRUE(),"not on Staff",SUMIFS('Tally Helper'!$L$35:$GI$35,'Tally Helper'!$L$33:$GI$33,"&gt;="&amp;$BR164,'Tally Helper'!$L$33:$GI$33,"&lt;="&amp;$BS164)))</f>
        <v/>
      </c>
      <c r="AI164" s="17" t="str">
        <f aca="false">IF(OR(M$7="",$BR164=""),"",IF('Tally Helper'!$B$36&lt;&gt;TRUE(),"not on Staff",SUMIFS('Tally Helper'!$L$38:$GI$38,'Tally Helper'!$L$36:$GI$36,"&gt;="&amp;$BR164,'Tally Helper'!$L$36:$GI$36,"&lt;="&amp;$BS164)))</f>
        <v/>
      </c>
      <c r="AJ164" s="17" t="str">
        <f aca="false">IF(OR(N$7="",$BR164=""),"",IF('Tally Helper'!$B$39&lt;&gt;TRUE(),"not on Staff",SUMIFS('Tally Helper'!$L$41:$GI$41,'Tally Helper'!$L$39:$GI$39,"&gt;="&amp;$BR164,'Tally Helper'!$L$39:$GI$39,"&lt;="&amp;$BS164)))</f>
        <v/>
      </c>
      <c r="AK164" s="17" t="str">
        <f aca="false">IF(OR(O$7="",$BR164=""),"",IF('Tally Helper'!$B$42&lt;&gt;TRUE(),"not on Staff",SUMIFS('Tally Helper'!$L$44:$GI$44,'Tally Helper'!$L$42:$GI$42,"&gt;="&amp;$BR164,'Tally Helper'!$L$42:$GI$42,"&lt;="&amp;$BS164)))</f>
        <v/>
      </c>
      <c r="AL164" s="17" t="str">
        <f aca="false">IF(OR(P$7="",$BR164=""),"",IF('Tally Helper'!$B$45&lt;&gt;TRUE(),"not on Staff",SUMIFS('Tally Helper'!$L$47:$GI$47,'Tally Helper'!$L$45:$GI$45,"&gt;="&amp;$BR164,'Tally Helper'!$L$45:$GI$45,"&lt;="&amp;$BS164)))</f>
        <v/>
      </c>
      <c r="AM164" s="17" t="str">
        <f aca="false">IF(OR(Q$7="",$BR164=""),"",IF('Tally Helper'!$B$48&lt;&gt;TRUE(),"not on Staff",SUMIFS('Tally Helper'!$L$50:$GI$50,'Tally Helper'!$L$48:$GI$48,"&gt;="&amp;$BR164,'Tally Helper'!$L$48:$GI$48,"&lt;="&amp;$BS164)))</f>
        <v/>
      </c>
      <c r="AN164" s="17" t="str">
        <f aca="false">IF(OR(R$7="",$BR164=""),"",IF('Tally Helper'!$B$51&lt;&gt;TRUE(),"not on Staff",SUMIFS('Tally Helper'!$L$53:$GI$53,'Tally Helper'!$L$51:$GI$51,"&gt;="&amp;$BR164,'Tally Helper'!$L$51:$GI$51,"&lt;="&amp;$BS164)))</f>
        <v/>
      </c>
      <c r="AO164" s="17" t="str">
        <f aca="false">IF(OR(S$7="",$BR164=""),"",IF('Tally Helper'!$B$54&lt;&gt;TRUE(),"not on Staff",SUMIFS('Tally Helper'!$L$56:$GI$56,'Tally Helper'!$L$54:$GI$54,"&gt;="&amp;$BR164,'Tally Helper'!$L$54:$GI$54,"&lt;="&amp;$BS164)))</f>
        <v/>
      </c>
      <c r="AP164" s="17" t="str">
        <f aca="false">IF(OR(T$7="",$BR164=""),"",IF('Tally Helper'!$B$57&lt;&gt;TRUE(),"not on Staff",SUMIFS('Tally Helper'!$L$59:$GI$59,'Tally Helper'!$L$57:$GI$57,"&gt;="&amp;$BR164,'Tally Helper'!$L$57:$GI$57,"&lt;="&amp;$BS164)))</f>
        <v/>
      </c>
      <c r="AQ164" s="17" t="str">
        <f aca="false">IF(OR(U$7="",$BR164=""),"",IF('Tally Helper'!$B$60&lt;&gt;TRUE(),"not on Staff",SUMIFS('Tally Helper'!$L$62:$GI$62,'Tally Helper'!$L$60:$GI$60,"&gt;="&amp;$BR164,'Tally Helper'!$L$60:$GI$60,"&lt;="&amp;$BS164)))</f>
        <v/>
      </c>
      <c r="AT164" s="17" t="str">
        <f aca="false">IF(OR(X164="",NOT(ISNUMBER(X164))),"",X164-N(B164))</f>
        <v/>
      </c>
      <c r="AU164" s="17" t="str">
        <f aca="false">IF(OR(Y164="",NOT(ISNUMBER(Y164))),"",Y164-N(C164))</f>
        <v/>
      </c>
      <c r="AV164" s="17" t="str">
        <f aca="false">IF(OR(Z164="",NOT(ISNUMBER(Z164))),"",Z164-N(D164))</f>
        <v/>
      </c>
      <c r="AW164" s="17" t="str">
        <f aca="false">IF(OR(AA164="",NOT(ISNUMBER(AA164))),"",AA164-N(E164))</f>
        <v/>
      </c>
      <c r="AX164" s="17" t="str">
        <f aca="false">IF(OR(AB164="",NOT(ISNUMBER(AB164))),"",AB164-N(F164))</f>
        <v/>
      </c>
      <c r="AY164" s="17" t="str">
        <f aca="false">IF(OR(AC164="",NOT(ISNUMBER(AC164))),"",AC164-N(G164))</f>
        <v/>
      </c>
      <c r="AZ164" s="17" t="str">
        <f aca="false">IF(OR(AD164="",NOT(ISNUMBER(AD164))),"",AD164-N(H164))</f>
        <v/>
      </c>
      <c r="BA164" s="17" t="str">
        <f aca="false">IF(OR(AE164="",NOT(ISNUMBER(AE164))),"",AE164-N(I164))</f>
        <v/>
      </c>
      <c r="BB164" s="17" t="str">
        <f aca="false">IF(OR(AF164="",NOT(ISNUMBER(AF164))),"",AF164-N(J164))</f>
        <v/>
      </c>
      <c r="BC164" s="17" t="str">
        <f aca="false">IF(OR(AG164="",NOT(ISNUMBER(AG164))),"",AG164-N(K164))</f>
        <v/>
      </c>
      <c r="BD164" s="17" t="str">
        <f aca="false">IF(OR(AH164="",NOT(ISNUMBER(AH164))),"",AH164-N(L164))</f>
        <v/>
      </c>
      <c r="BE164" s="17" t="str">
        <f aca="false">IF(OR(AI164="",NOT(ISNUMBER(AI164))),"",AI164-N(M164))</f>
        <v/>
      </c>
      <c r="BF164" s="17" t="str">
        <f aca="false">IF(OR(AJ164="",NOT(ISNUMBER(AJ164))),"",AJ164-N(N164))</f>
        <v/>
      </c>
      <c r="BG164" s="17" t="str">
        <f aca="false">IF(OR(AK164="",NOT(ISNUMBER(AK164))),"",AK164-N(O164))</f>
        <v/>
      </c>
      <c r="BH164" s="17" t="str">
        <f aca="false">IF(OR(AL164="",NOT(ISNUMBER(AL164))),"",AL164-N(P164))</f>
        <v/>
      </c>
      <c r="BI164" s="17" t="str">
        <f aca="false">IF(OR(AM164="",NOT(ISNUMBER(AM164))),"",AM164-N(Q164))</f>
        <v/>
      </c>
      <c r="BJ164" s="17" t="str">
        <f aca="false">IF(OR(AN164="",NOT(ISNUMBER(AN164))),"",AN164-N(R164))</f>
        <v/>
      </c>
      <c r="BK164" s="17" t="str">
        <f aca="false">IF(OR(AO164="",NOT(ISNUMBER(AO164))),"",AO164-N(S164))</f>
        <v/>
      </c>
      <c r="BL164" s="17" t="str">
        <f aca="false">IF(OR(AP164="",NOT(ISNUMBER(AP164))),"",AP164-N(T164))</f>
        <v/>
      </c>
      <c r="BM164" s="17" t="str">
        <f aca="false">IF(OR(AQ164="",NOT(ISNUMBER(AQ164))),"",AQ164-N(U164))</f>
        <v/>
      </c>
      <c r="BR164" s="20" t="str">
        <f aca="false">IF($A164="","",IF(ISNUMBER($A164),DATE(YEAR($A164),MONTH($A164),1),IFERROR(DATE(2000+VALUE(RIGHT(TRIM($A164),2)),MATCH(UPPER(LEFT(TRIM($A164),3)),{"JAN","FEB","MAR","APR","MAY","JUN","JUL","AUG","SEP","OCT","NOV","DEC"},0),1),"")))</f>
        <v/>
      </c>
      <c r="BS164" s="20" t="str">
        <f aca="false">IF(BR164="","",EOMONTH(BR164,0))</f>
        <v/>
      </c>
    </row>
    <row r="165" customFormat="false" ht="15" hidden="false" customHeight="false" outlineLevel="0" collapsed="false">
      <c r="B165" s="21"/>
      <c r="C165" s="21"/>
      <c r="D165" s="21"/>
      <c r="E165" s="21"/>
      <c r="F165" s="21"/>
      <c r="G165" s="21"/>
      <c r="H165" s="21"/>
      <c r="I165" s="21"/>
      <c r="J165" s="21"/>
      <c r="K165" s="21"/>
      <c r="L165" s="21"/>
      <c r="M165" s="21"/>
      <c r="N165" s="21"/>
      <c r="O165" s="21"/>
      <c r="P165" s="21"/>
      <c r="Q165" s="21"/>
      <c r="R165" s="21"/>
      <c r="S165" s="21"/>
      <c r="T165" s="21"/>
      <c r="U165" s="21"/>
      <c r="X165" s="17" t="str">
        <f aca="false">IF(OR(B$7="",$BR165=""),"",IF('Tally Helper'!$B$3&lt;&gt;TRUE(),"not on Staff",SUMIFS('Tally Helper'!$L$5:$GI$5,'Tally Helper'!$L$3:$GI$3,"&gt;="&amp;$BR165,'Tally Helper'!$L$3:$GI$3,"&lt;="&amp;$BS165)))</f>
        <v/>
      </c>
      <c r="Y165" s="17" t="str">
        <f aca="false">IF(OR(C$7="",$BR165=""),"",IF('Tally Helper'!$B$6&lt;&gt;TRUE(),"not on Staff",SUMIFS('Tally Helper'!$L$8:$GI$8,'Tally Helper'!$L$6:$GI$6,"&gt;="&amp;$BR165,'Tally Helper'!$L$6:$GI$6,"&lt;="&amp;$BS165)))</f>
        <v/>
      </c>
      <c r="Z165" s="17" t="str">
        <f aca="false">IF(OR(D$7="",$BR165=""),"",IF('Tally Helper'!$B$9&lt;&gt;TRUE(),"not on Staff",SUMIFS('Tally Helper'!$L$11:$GI$11,'Tally Helper'!$L$9:$GI$9,"&gt;="&amp;$BR165,'Tally Helper'!$L$9:$GI$9,"&lt;="&amp;$BS165)))</f>
        <v/>
      </c>
      <c r="AA165" s="17" t="str">
        <f aca="false">IF(OR(E$7="",$BR165=""),"",IF('Tally Helper'!$B$12&lt;&gt;TRUE(),"not on Staff",SUMIFS('Tally Helper'!$L$14:$GI$14,'Tally Helper'!$L$12:$GI$12,"&gt;="&amp;$BR165,'Tally Helper'!$L$12:$GI$12,"&lt;="&amp;$BS165)))</f>
        <v/>
      </c>
      <c r="AB165" s="17" t="str">
        <f aca="false">IF(OR(F$7="",$BR165=""),"",IF('Tally Helper'!$B$15&lt;&gt;TRUE(),"not on Staff",SUMIFS('Tally Helper'!$L$17:$GI$17,'Tally Helper'!$L$15:$GI$15,"&gt;="&amp;$BR165,'Tally Helper'!$L$15:$GI$15,"&lt;="&amp;$BS165)))</f>
        <v/>
      </c>
      <c r="AC165" s="17" t="str">
        <f aca="false">IF(OR(G$7="",$BR165=""),"",IF('Tally Helper'!$B$18&lt;&gt;TRUE(),"not on Staff",SUMIFS('Tally Helper'!$L$20:$GI$20,'Tally Helper'!$L$18:$GI$18,"&gt;="&amp;$BR165,'Tally Helper'!$L$18:$GI$18,"&lt;="&amp;$BS165)))</f>
        <v/>
      </c>
      <c r="AD165" s="17" t="str">
        <f aca="false">IF(OR(H$7="",$BR165=""),"",IF('Tally Helper'!$B$21&lt;&gt;TRUE(),"not on Staff",SUMIFS('Tally Helper'!$L$23:$GI$23,'Tally Helper'!$L$21:$GI$21,"&gt;="&amp;$BR165,'Tally Helper'!$L$21:$GI$21,"&lt;="&amp;$BS165)))</f>
        <v/>
      </c>
      <c r="AE165" s="17" t="str">
        <f aca="false">IF(OR(I$7="",$BR165=""),"",IF('Tally Helper'!$B$24&lt;&gt;TRUE(),"not on Staff",SUMIFS('Tally Helper'!$L$26:$GI$26,'Tally Helper'!$L$24:$GI$24,"&gt;="&amp;$BR165,'Tally Helper'!$L$24:$GI$24,"&lt;="&amp;$BS165)))</f>
        <v/>
      </c>
      <c r="AF165" s="17" t="str">
        <f aca="false">IF(OR(J$7="",$BR165=""),"",IF('Tally Helper'!$B$27&lt;&gt;TRUE(),"not on Staff",SUMIFS('Tally Helper'!$L$29:$GI$29,'Tally Helper'!$L$27:$GI$27,"&gt;="&amp;$BR165,'Tally Helper'!$L$27:$GI$27,"&lt;="&amp;$BS165)))</f>
        <v/>
      </c>
      <c r="AG165" s="17" t="str">
        <f aca="false">IF(OR(K$7="",$BR165=""),"",IF('Tally Helper'!$B$30&lt;&gt;TRUE(),"not on Staff",SUMIFS('Tally Helper'!$L$32:$GI$32,'Tally Helper'!$L$30:$GI$30,"&gt;="&amp;$BR165,'Tally Helper'!$L$30:$GI$30,"&lt;="&amp;$BS165)))</f>
        <v/>
      </c>
      <c r="AH165" s="17" t="str">
        <f aca="false">IF(OR(L$7="",$BR165=""),"",IF('Tally Helper'!$B$33&lt;&gt;TRUE(),"not on Staff",SUMIFS('Tally Helper'!$L$35:$GI$35,'Tally Helper'!$L$33:$GI$33,"&gt;="&amp;$BR165,'Tally Helper'!$L$33:$GI$33,"&lt;="&amp;$BS165)))</f>
        <v/>
      </c>
      <c r="AI165" s="17" t="str">
        <f aca="false">IF(OR(M$7="",$BR165=""),"",IF('Tally Helper'!$B$36&lt;&gt;TRUE(),"not on Staff",SUMIFS('Tally Helper'!$L$38:$GI$38,'Tally Helper'!$L$36:$GI$36,"&gt;="&amp;$BR165,'Tally Helper'!$L$36:$GI$36,"&lt;="&amp;$BS165)))</f>
        <v/>
      </c>
      <c r="AJ165" s="17" t="str">
        <f aca="false">IF(OR(N$7="",$BR165=""),"",IF('Tally Helper'!$B$39&lt;&gt;TRUE(),"not on Staff",SUMIFS('Tally Helper'!$L$41:$GI$41,'Tally Helper'!$L$39:$GI$39,"&gt;="&amp;$BR165,'Tally Helper'!$L$39:$GI$39,"&lt;="&amp;$BS165)))</f>
        <v/>
      </c>
      <c r="AK165" s="17" t="str">
        <f aca="false">IF(OR(O$7="",$BR165=""),"",IF('Tally Helper'!$B$42&lt;&gt;TRUE(),"not on Staff",SUMIFS('Tally Helper'!$L$44:$GI$44,'Tally Helper'!$L$42:$GI$42,"&gt;="&amp;$BR165,'Tally Helper'!$L$42:$GI$42,"&lt;="&amp;$BS165)))</f>
        <v/>
      </c>
      <c r="AL165" s="17" t="str">
        <f aca="false">IF(OR(P$7="",$BR165=""),"",IF('Tally Helper'!$B$45&lt;&gt;TRUE(),"not on Staff",SUMIFS('Tally Helper'!$L$47:$GI$47,'Tally Helper'!$L$45:$GI$45,"&gt;="&amp;$BR165,'Tally Helper'!$L$45:$GI$45,"&lt;="&amp;$BS165)))</f>
        <v/>
      </c>
      <c r="AM165" s="17" t="str">
        <f aca="false">IF(OR(Q$7="",$BR165=""),"",IF('Tally Helper'!$B$48&lt;&gt;TRUE(),"not on Staff",SUMIFS('Tally Helper'!$L$50:$GI$50,'Tally Helper'!$L$48:$GI$48,"&gt;="&amp;$BR165,'Tally Helper'!$L$48:$GI$48,"&lt;="&amp;$BS165)))</f>
        <v/>
      </c>
      <c r="AN165" s="17" t="str">
        <f aca="false">IF(OR(R$7="",$BR165=""),"",IF('Tally Helper'!$B$51&lt;&gt;TRUE(),"not on Staff",SUMIFS('Tally Helper'!$L$53:$GI$53,'Tally Helper'!$L$51:$GI$51,"&gt;="&amp;$BR165,'Tally Helper'!$L$51:$GI$51,"&lt;="&amp;$BS165)))</f>
        <v/>
      </c>
      <c r="AO165" s="17" t="str">
        <f aca="false">IF(OR(S$7="",$BR165=""),"",IF('Tally Helper'!$B$54&lt;&gt;TRUE(),"not on Staff",SUMIFS('Tally Helper'!$L$56:$GI$56,'Tally Helper'!$L$54:$GI$54,"&gt;="&amp;$BR165,'Tally Helper'!$L$54:$GI$54,"&lt;="&amp;$BS165)))</f>
        <v/>
      </c>
      <c r="AP165" s="17" t="str">
        <f aca="false">IF(OR(T$7="",$BR165=""),"",IF('Tally Helper'!$B$57&lt;&gt;TRUE(),"not on Staff",SUMIFS('Tally Helper'!$L$59:$GI$59,'Tally Helper'!$L$57:$GI$57,"&gt;="&amp;$BR165,'Tally Helper'!$L$57:$GI$57,"&lt;="&amp;$BS165)))</f>
        <v/>
      </c>
      <c r="AQ165" s="17" t="str">
        <f aca="false">IF(OR(U$7="",$BR165=""),"",IF('Tally Helper'!$B$60&lt;&gt;TRUE(),"not on Staff",SUMIFS('Tally Helper'!$L$62:$GI$62,'Tally Helper'!$L$60:$GI$60,"&gt;="&amp;$BR165,'Tally Helper'!$L$60:$GI$60,"&lt;="&amp;$BS165)))</f>
        <v/>
      </c>
      <c r="AT165" s="17" t="str">
        <f aca="false">IF(OR(X165="",NOT(ISNUMBER(X165))),"",X165-N(B165))</f>
        <v/>
      </c>
      <c r="AU165" s="17" t="str">
        <f aca="false">IF(OR(Y165="",NOT(ISNUMBER(Y165))),"",Y165-N(C165))</f>
        <v/>
      </c>
      <c r="AV165" s="17" t="str">
        <f aca="false">IF(OR(Z165="",NOT(ISNUMBER(Z165))),"",Z165-N(D165))</f>
        <v/>
      </c>
      <c r="AW165" s="17" t="str">
        <f aca="false">IF(OR(AA165="",NOT(ISNUMBER(AA165))),"",AA165-N(E165))</f>
        <v/>
      </c>
      <c r="AX165" s="17" t="str">
        <f aca="false">IF(OR(AB165="",NOT(ISNUMBER(AB165))),"",AB165-N(F165))</f>
        <v/>
      </c>
      <c r="AY165" s="17" t="str">
        <f aca="false">IF(OR(AC165="",NOT(ISNUMBER(AC165))),"",AC165-N(G165))</f>
        <v/>
      </c>
      <c r="AZ165" s="17" t="str">
        <f aca="false">IF(OR(AD165="",NOT(ISNUMBER(AD165))),"",AD165-N(H165))</f>
        <v/>
      </c>
      <c r="BA165" s="17" t="str">
        <f aca="false">IF(OR(AE165="",NOT(ISNUMBER(AE165))),"",AE165-N(I165))</f>
        <v/>
      </c>
      <c r="BB165" s="17" t="str">
        <f aca="false">IF(OR(AF165="",NOT(ISNUMBER(AF165))),"",AF165-N(J165))</f>
        <v/>
      </c>
      <c r="BC165" s="17" t="str">
        <f aca="false">IF(OR(AG165="",NOT(ISNUMBER(AG165))),"",AG165-N(K165))</f>
        <v/>
      </c>
      <c r="BD165" s="17" t="str">
        <f aca="false">IF(OR(AH165="",NOT(ISNUMBER(AH165))),"",AH165-N(L165))</f>
        <v/>
      </c>
      <c r="BE165" s="17" t="str">
        <f aca="false">IF(OR(AI165="",NOT(ISNUMBER(AI165))),"",AI165-N(M165))</f>
        <v/>
      </c>
      <c r="BF165" s="17" t="str">
        <f aca="false">IF(OR(AJ165="",NOT(ISNUMBER(AJ165))),"",AJ165-N(N165))</f>
        <v/>
      </c>
      <c r="BG165" s="17" t="str">
        <f aca="false">IF(OR(AK165="",NOT(ISNUMBER(AK165))),"",AK165-N(O165))</f>
        <v/>
      </c>
      <c r="BH165" s="17" t="str">
        <f aca="false">IF(OR(AL165="",NOT(ISNUMBER(AL165))),"",AL165-N(P165))</f>
        <v/>
      </c>
      <c r="BI165" s="17" t="str">
        <f aca="false">IF(OR(AM165="",NOT(ISNUMBER(AM165))),"",AM165-N(Q165))</f>
        <v/>
      </c>
      <c r="BJ165" s="17" t="str">
        <f aca="false">IF(OR(AN165="",NOT(ISNUMBER(AN165))),"",AN165-N(R165))</f>
        <v/>
      </c>
      <c r="BK165" s="17" t="str">
        <f aca="false">IF(OR(AO165="",NOT(ISNUMBER(AO165))),"",AO165-N(S165))</f>
        <v/>
      </c>
      <c r="BL165" s="17" t="str">
        <f aca="false">IF(OR(AP165="",NOT(ISNUMBER(AP165))),"",AP165-N(T165))</f>
        <v/>
      </c>
      <c r="BM165" s="17" t="str">
        <f aca="false">IF(OR(AQ165="",NOT(ISNUMBER(AQ165))),"",AQ165-N(U165))</f>
        <v/>
      </c>
      <c r="BR165" s="20" t="str">
        <f aca="false">IF($A165="","",IF(ISNUMBER($A165),DATE(YEAR($A165),MONTH($A165),1),IFERROR(DATE(2000+VALUE(RIGHT(TRIM($A165),2)),MATCH(UPPER(LEFT(TRIM($A165),3)),{"JAN","FEB","MAR","APR","MAY","JUN","JUL","AUG","SEP","OCT","NOV","DEC"},0),1),"")))</f>
        <v/>
      </c>
      <c r="BS165" s="20" t="str">
        <f aca="false">IF(BR165="","",EOMONTH(BR165,0))</f>
        <v/>
      </c>
    </row>
    <row r="166" customFormat="false" ht="15" hidden="false" customHeight="false" outlineLevel="0" collapsed="false">
      <c r="B166" s="21"/>
      <c r="C166" s="21"/>
      <c r="D166" s="21"/>
      <c r="E166" s="21"/>
      <c r="F166" s="21"/>
      <c r="G166" s="21"/>
      <c r="H166" s="21"/>
      <c r="I166" s="21"/>
      <c r="J166" s="21"/>
      <c r="K166" s="21"/>
      <c r="L166" s="21"/>
      <c r="M166" s="21"/>
      <c r="N166" s="21"/>
      <c r="O166" s="21"/>
      <c r="P166" s="21"/>
      <c r="Q166" s="21"/>
      <c r="R166" s="21"/>
      <c r="S166" s="21"/>
      <c r="T166" s="21"/>
      <c r="U166" s="21"/>
      <c r="X166" s="17" t="str">
        <f aca="false">IF(OR(B$7="",$BR166=""),"",IF('Tally Helper'!$B$3&lt;&gt;TRUE(),"not on Staff",SUMIFS('Tally Helper'!$L$5:$GI$5,'Tally Helper'!$L$3:$GI$3,"&gt;="&amp;$BR166,'Tally Helper'!$L$3:$GI$3,"&lt;="&amp;$BS166)))</f>
        <v/>
      </c>
      <c r="Y166" s="17" t="str">
        <f aca="false">IF(OR(C$7="",$BR166=""),"",IF('Tally Helper'!$B$6&lt;&gt;TRUE(),"not on Staff",SUMIFS('Tally Helper'!$L$8:$GI$8,'Tally Helper'!$L$6:$GI$6,"&gt;="&amp;$BR166,'Tally Helper'!$L$6:$GI$6,"&lt;="&amp;$BS166)))</f>
        <v/>
      </c>
      <c r="Z166" s="17" t="str">
        <f aca="false">IF(OR(D$7="",$BR166=""),"",IF('Tally Helper'!$B$9&lt;&gt;TRUE(),"not on Staff",SUMIFS('Tally Helper'!$L$11:$GI$11,'Tally Helper'!$L$9:$GI$9,"&gt;="&amp;$BR166,'Tally Helper'!$L$9:$GI$9,"&lt;="&amp;$BS166)))</f>
        <v/>
      </c>
      <c r="AA166" s="17" t="str">
        <f aca="false">IF(OR(E$7="",$BR166=""),"",IF('Tally Helper'!$B$12&lt;&gt;TRUE(),"not on Staff",SUMIFS('Tally Helper'!$L$14:$GI$14,'Tally Helper'!$L$12:$GI$12,"&gt;="&amp;$BR166,'Tally Helper'!$L$12:$GI$12,"&lt;="&amp;$BS166)))</f>
        <v/>
      </c>
      <c r="AB166" s="17" t="str">
        <f aca="false">IF(OR(F$7="",$BR166=""),"",IF('Tally Helper'!$B$15&lt;&gt;TRUE(),"not on Staff",SUMIFS('Tally Helper'!$L$17:$GI$17,'Tally Helper'!$L$15:$GI$15,"&gt;="&amp;$BR166,'Tally Helper'!$L$15:$GI$15,"&lt;="&amp;$BS166)))</f>
        <v/>
      </c>
      <c r="AC166" s="17" t="str">
        <f aca="false">IF(OR(G$7="",$BR166=""),"",IF('Tally Helper'!$B$18&lt;&gt;TRUE(),"not on Staff",SUMIFS('Tally Helper'!$L$20:$GI$20,'Tally Helper'!$L$18:$GI$18,"&gt;="&amp;$BR166,'Tally Helper'!$L$18:$GI$18,"&lt;="&amp;$BS166)))</f>
        <v/>
      </c>
      <c r="AD166" s="17" t="str">
        <f aca="false">IF(OR(H$7="",$BR166=""),"",IF('Tally Helper'!$B$21&lt;&gt;TRUE(),"not on Staff",SUMIFS('Tally Helper'!$L$23:$GI$23,'Tally Helper'!$L$21:$GI$21,"&gt;="&amp;$BR166,'Tally Helper'!$L$21:$GI$21,"&lt;="&amp;$BS166)))</f>
        <v/>
      </c>
      <c r="AE166" s="17" t="str">
        <f aca="false">IF(OR(I$7="",$BR166=""),"",IF('Tally Helper'!$B$24&lt;&gt;TRUE(),"not on Staff",SUMIFS('Tally Helper'!$L$26:$GI$26,'Tally Helper'!$L$24:$GI$24,"&gt;="&amp;$BR166,'Tally Helper'!$L$24:$GI$24,"&lt;="&amp;$BS166)))</f>
        <v/>
      </c>
      <c r="AF166" s="17" t="str">
        <f aca="false">IF(OR(J$7="",$BR166=""),"",IF('Tally Helper'!$B$27&lt;&gt;TRUE(),"not on Staff",SUMIFS('Tally Helper'!$L$29:$GI$29,'Tally Helper'!$L$27:$GI$27,"&gt;="&amp;$BR166,'Tally Helper'!$L$27:$GI$27,"&lt;="&amp;$BS166)))</f>
        <v/>
      </c>
      <c r="AG166" s="17" t="str">
        <f aca="false">IF(OR(K$7="",$BR166=""),"",IF('Tally Helper'!$B$30&lt;&gt;TRUE(),"not on Staff",SUMIFS('Tally Helper'!$L$32:$GI$32,'Tally Helper'!$L$30:$GI$30,"&gt;="&amp;$BR166,'Tally Helper'!$L$30:$GI$30,"&lt;="&amp;$BS166)))</f>
        <v/>
      </c>
      <c r="AH166" s="17" t="str">
        <f aca="false">IF(OR(L$7="",$BR166=""),"",IF('Tally Helper'!$B$33&lt;&gt;TRUE(),"not on Staff",SUMIFS('Tally Helper'!$L$35:$GI$35,'Tally Helper'!$L$33:$GI$33,"&gt;="&amp;$BR166,'Tally Helper'!$L$33:$GI$33,"&lt;="&amp;$BS166)))</f>
        <v/>
      </c>
      <c r="AI166" s="17" t="str">
        <f aca="false">IF(OR(M$7="",$BR166=""),"",IF('Tally Helper'!$B$36&lt;&gt;TRUE(),"not on Staff",SUMIFS('Tally Helper'!$L$38:$GI$38,'Tally Helper'!$L$36:$GI$36,"&gt;="&amp;$BR166,'Tally Helper'!$L$36:$GI$36,"&lt;="&amp;$BS166)))</f>
        <v/>
      </c>
      <c r="AJ166" s="17" t="str">
        <f aca="false">IF(OR(N$7="",$BR166=""),"",IF('Tally Helper'!$B$39&lt;&gt;TRUE(),"not on Staff",SUMIFS('Tally Helper'!$L$41:$GI$41,'Tally Helper'!$L$39:$GI$39,"&gt;="&amp;$BR166,'Tally Helper'!$L$39:$GI$39,"&lt;="&amp;$BS166)))</f>
        <v/>
      </c>
      <c r="AK166" s="17" t="str">
        <f aca="false">IF(OR(O$7="",$BR166=""),"",IF('Tally Helper'!$B$42&lt;&gt;TRUE(),"not on Staff",SUMIFS('Tally Helper'!$L$44:$GI$44,'Tally Helper'!$L$42:$GI$42,"&gt;="&amp;$BR166,'Tally Helper'!$L$42:$GI$42,"&lt;="&amp;$BS166)))</f>
        <v/>
      </c>
      <c r="AL166" s="17" t="str">
        <f aca="false">IF(OR(P$7="",$BR166=""),"",IF('Tally Helper'!$B$45&lt;&gt;TRUE(),"not on Staff",SUMIFS('Tally Helper'!$L$47:$GI$47,'Tally Helper'!$L$45:$GI$45,"&gt;="&amp;$BR166,'Tally Helper'!$L$45:$GI$45,"&lt;="&amp;$BS166)))</f>
        <v/>
      </c>
      <c r="AM166" s="17" t="str">
        <f aca="false">IF(OR(Q$7="",$BR166=""),"",IF('Tally Helper'!$B$48&lt;&gt;TRUE(),"not on Staff",SUMIFS('Tally Helper'!$L$50:$GI$50,'Tally Helper'!$L$48:$GI$48,"&gt;="&amp;$BR166,'Tally Helper'!$L$48:$GI$48,"&lt;="&amp;$BS166)))</f>
        <v/>
      </c>
      <c r="AN166" s="17" t="str">
        <f aca="false">IF(OR(R$7="",$BR166=""),"",IF('Tally Helper'!$B$51&lt;&gt;TRUE(),"not on Staff",SUMIFS('Tally Helper'!$L$53:$GI$53,'Tally Helper'!$L$51:$GI$51,"&gt;="&amp;$BR166,'Tally Helper'!$L$51:$GI$51,"&lt;="&amp;$BS166)))</f>
        <v/>
      </c>
      <c r="AO166" s="17" t="str">
        <f aca="false">IF(OR(S$7="",$BR166=""),"",IF('Tally Helper'!$B$54&lt;&gt;TRUE(),"not on Staff",SUMIFS('Tally Helper'!$L$56:$GI$56,'Tally Helper'!$L$54:$GI$54,"&gt;="&amp;$BR166,'Tally Helper'!$L$54:$GI$54,"&lt;="&amp;$BS166)))</f>
        <v/>
      </c>
      <c r="AP166" s="17" t="str">
        <f aca="false">IF(OR(T$7="",$BR166=""),"",IF('Tally Helper'!$B$57&lt;&gt;TRUE(),"not on Staff",SUMIFS('Tally Helper'!$L$59:$GI$59,'Tally Helper'!$L$57:$GI$57,"&gt;="&amp;$BR166,'Tally Helper'!$L$57:$GI$57,"&lt;="&amp;$BS166)))</f>
        <v/>
      </c>
      <c r="AQ166" s="17" t="str">
        <f aca="false">IF(OR(U$7="",$BR166=""),"",IF('Tally Helper'!$B$60&lt;&gt;TRUE(),"not on Staff",SUMIFS('Tally Helper'!$L$62:$GI$62,'Tally Helper'!$L$60:$GI$60,"&gt;="&amp;$BR166,'Tally Helper'!$L$60:$GI$60,"&lt;="&amp;$BS166)))</f>
        <v/>
      </c>
      <c r="AT166" s="17" t="str">
        <f aca="false">IF(OR(X166="",NOT(ISNUMBER(X166))),"",X166-N(B166))</f>
        <v/>
      </c>
      <c r="AU166" s="17" t="str">
        <f aca="false">IF(OR(Y166="",NOT(ISNUMBER(Y166))),"",Y166-N(C166))</f>
        <v/>
      </c>
      <c r="AV166" s="17" t="str">
        <f aca="false">IF(OR(Z166="",NOT(ISNUMBER(Z166))),"",Z166-N(D166))</f>
        <v/>
      </c>
      <c r="AW166" s="17" t="str">
        <f aca="false">IF(OR(AA166="",NOT(ISNUMBER(AA166))),"",AA166-N(E166))</f>
        <v/>
      </c>
      <c r="AX166" s="17" t="str">
        <f aca="false">IF(OR(AB166="",NOT(ISNUMBER(AB166))),"",AB166-N(F166))</f>
        <v/>
      </c>
      <c r="AY166" s="17" t="str">
        <f aca="false">IF(OR(AC166="",NOT(ISNUMBER(AC166))),"",AC166-N(G166))</f>
        <v/>
      </c>
      <c r="AZ166" s="17" t="str">
        <f aca="false">IF(OR(AD166="",NOT(ISNUMBER(AD166))),"",AD166-N(H166))</f>
        <v/>
      </c>
      <c r="BA166" s="17" t="str">
        <f aca="false">IF(OR(AE166="",NOT(ISNUMBER(AE166))),"",AE166-N(I166))</f>
        <v/>
      </c>
      <c r="BB166" s="17" t="str">
        <f aca="false">IF(OR(AF166="",NOT(ISNUMBER(AF166))),"",AF166-N(J166))</f>
        <v/>
      </c>
      <c r="BC166" s="17" t="str">
        <f aca="false">IF(OR(AG166="",NOT(ISNUMBER(AG166))),"",AG166-N(K166))</f>
        <v/>
      </c>
      <c r="BD166" s="17" t="str">
        <f aca="false">IF(OR(AH166="",NOT(ISNUMBER(AH166))),"",AH166-N(L166))</f>
        <v/>
      </c>
      <c r="BE166" s="17" t="str">
        <f aca="false">IF(OR(AI166="",NOT(ISNUMBER(AI166))),"",AI166-N(M166))</f>
        <v/>
      </c>
      <c r="BF166" s="17" t="str">
        <f aca="false">IF(OR(AJ166="",NOT(ISNUMBER(AJ166))),"",AJ166-N(N166))</f>
        <v/>
      </c>
      <c r="BG166" s="17" t="str">
        <f aca="false">IF(OR(AK166="",NOT(ISNUMBER(AK166))),"",AK166-N(O166))</f>
        <v/>
      </c>
      <c r="BH166" s="17" t="str">
        <f aca="false">IF(OR(AL166="",NOT(ISNUMBER(AL166))),"",AL166-N(P166))</f>
        <v/>
      </c>
      <c r="BI166" s="17" t="str">
        <f aca="false">IF(OR(AM166="",NOT(ISNUMBER(AM166))),"",AM166-N(Q166))</f>
        <v/>
      </c>
      <c r="BJ166" s="17" t="str">
        <f aca="false">IF(OR(AN166="",NOT(ISNUMBER(AN166))),"",AN166-N(R166))</f>
        <v/>
      </c>
      <c r="BK166" s="17" t="str">
        <f aca="false">IF(OR(AO166="",NOT(ISNUMBER(AO166))),"",AO166-N(S166))</f>
        <v/>
      </c>
      <c r="BL166" s="17" t="str">
        <f aca="false">IF(OR(AP166="",NOT(ISNUMBER(AP166))),"",AP166-N(T166))</f>
        <v/>
      </c>
      <c r="BM166" s="17" t="str">
        <f aca="false">IF(OR(AQ166="",NOT(ISNUMBER(AQ166))),"",AQ166-N(U166))</f>
        <v/>
      </c>
      <c r="BR166" s="20" t="str">
        <f aca="false">IF($A166="","",IF(ISNUMBER($A166),DATE(YEAR($A166),MONTH($A166),1),IFERROR(DATE(2000+VALUE(RIGHT(TRIM($A166),2)),MATCH(UPPER(LEFT(TRIM($A166),3)),{"JAN","FEB","MAR","APR","MAY","JUN","JUL","AUG","SEP","OCT","NOV","DEC"},0),1),"")))</f>
        <v/>
      </c>
      <c r="BS166" s="20" t="str">
        <f aca="false">IF(BR166="","",EOMONTH(BR166,0))</f>
        <v/>
      </c>
    </row>
    <row r="167" customFormat="false" ht="15" hidden="false" customHeight="false" outlineLevel="0" collapsed="false">
      <c r="B167" s="21"/>
      <c r="C167" s="21"/>
      <c r="D167" s="21"/>
      <c r="E167" s="21"/>
      <c r="F167" s="21"/>
      <c r="G167" s="21"/>
      <c r="H167" s="21"/>
      <c r="I167" s="21"/>
      <c r="J167" s="21"/>
      <c r="K167" s="21"/>
      <c r="L167" s="21"/>
      <c r="M167" s="21"/>
      <c r="N167" s="21"/>
      <c r="O167" s="21"/>
      <c r="P167" s="21"/>
      <c r="Q167" s="21"/>
      <c r="R167" s="21"/>
      <c r="S167" s="21"/>
      <c r="T167" s="21"/>
      <c r="U167" s="21"/>
      <c r="X167" s="17" t="str">
        <f aca="false">IF(OR(B$7="",$BR167=""),"",IF('Tally Helper'!$B$3&lt;&gt;TRUE(),"not on Staff",SUMIFS('Tally Helper'!$L$5:$GI$5,'Tally Helper'!$L$3:$GI$3,"&gt;="&amp;$BR167,'Tally Helper'!$L$3:$GI$3,"&lt;="&amp;$BS167)))</f>
        <v/>
      </c>
      <c r="Y167" s="17" t="str">
        <f aca="false">IF(OR(C$7="",$BR167=""),"",IF('Tally Helper'!$B$6&lt;&gt;TRUE(),"not on Staff",SUMIFS('Tally Helper'!$L$8:$GI$8,'Tally Helper'!$L$6:$GI$6,"&gt;="&amp;$BR167,'Tally Helper'!$L$6:$GI$6,"&lt;="&amp;$BS167)))</f>
        <v/>
      </c>
      <c r="Z167" s="17" t="str">
        <f aca="false">IF(OR(D$7="",$BR167=""),"",IF('Tally Helper'!$B$9&lt;&gt;TRUE(),"not on Staff",SUMIFS('Tally Helper'!$L$11:$GI$11,'Tally Helper'!$L$9:$GI$9,"&gt;="&amp;$BR167,'Tally Helper'!$L$9:$GI$9,"&lt;="&amp;$BS167)))</f>
        <v/>
      </c>
      <c r="AA167" s="17" t="str">
        <f aca="false">IF(OR(E$7="",$BR167=""),"",IF('Tally Helper'!$B$12&lt;&gt;TRUE(),"not on Staff",SUMIFS('Tally Helper'!$L$14:$GI$14,'Tally Helper'!$L$12:$GI$12,"&gt;="&amp;$BR167,'Tally Helper'!$L$12:$GI$12,"&lt;="&amp;$BS167)))</f>
        <v/>
      </c>
      <c r="AB167" s="17" t="str">
        <f aca="false">IF(OR(F$7="",$BR167=""),"",IF('Tally Helper'!$B$15&lt;&gt;TRUE(),"not on Staff",SUMIFS('Tally Helper'!$L$17:$GI$17,'Tally Helper'!$L$15:$GI$15,"&gt;="&amp;$BR167,'Tally Helper'!$L$15:$GI$15,"&lt;="&amp;$BS167)))</f>
        <v/>
      </c>
      <c r="AC167" s="17" t="str">
        <f aca="false">IF(OR(G$7="",$BR167=""),"",IF('Tally Helper'!$B$18&lt;&gt;TRUE(),"not on Staff",SUMIFS('Tally Helper'!$L$20:$GI$20,'Tally Helper'!$L$18:$GI$18,"&gt;="&amp;$BR167,'Tally Helper'!$L$18:$GI$18,"&lt;="&amp;$BS167)))</f>
        <v/>
      </c>
      <c r="AD167" s="17" t="str">
        <f aca="false">IF(OR(H$7="",$BR167=""),"",IF('Tally Helper'!$B$21&lt;&gt;TRUE(),"not on Staff",SUMIFS('Tally Helper'!$L$23:$GI$23,'Tally Helper'!$L$21:$GI$21,"&gt;="&amp;$BR167,'Tally Helper'!$L$21:$GI$21,"&lt;="&amp;$BS167)))</f>
        <v/>
      </c>
      <c r="AE167" s="17" t="str">
        <f aca="false">IF(OR(I$7="",$BR167=""),"",IF('Tally Helper'!$B$24&lt;&gt;TRUE(),"not on Staff",SUMIFS('Tally Helper'!$L$26:$GI$26,'Tally Helper'!$L$24:$GI$24,"&gt;="&amp;$BR167,'Tally Helper'!$L$24:$GI$24,"&lt;="&amp;$BS167)))</f>
        <v/>
      </c>
      <c r="AF167" s="17" t="str">
        <f aca="false">IF(OR(J$7="",$BR167=""),"",IF('Tally Helper'!$B$27&lt;&gt;TRUE(),"not on Staff",SUMIFS('Tally Helper'!$L$29:$GI$29,'Tally Helper'!$L$27:$GI$27,"&gt;="&amp;$BR167,'Tally Helper'!$L$27:$GI$27,"&lt;="&amp;$BS167)))</f>
        <v/>
      </c>
      <c r="AG167" s="17" t="str">
        <f aca="false">IF(OR(K$7="",$BR167=""),"",IF('Tally Helper'!$B$30&lt;&gt;TRUE(),"not on Staff",SUMIFS('Tally Helper'!$L$32:$GI$32,'Tally Helper'!$L$30:$GI$30,"&gt;="&amp;$BR167,'Tally Helper'!$L$30:$GI$30,"&lt;="&amp;$BS167)))</f>
        <v/>
      </c>
      <c r="AH167" s="17" t="str">
        <f aca="false">IF(OR(L$7="",$BR167=""),"",IF('Tally Helper'!$B$33&lt;&gt;TRUE(),"not on Staff",SUMIFS('Tally Helper'!$L$35:$GI$35,'Tally Helper'!$L$33:$GI$33,"&gt;="&amp;$BR167,'Tally Helper'!$L$33:$GI$33,"&lt;="&amp;$BS167)))</f>
        <v/>
      </c>
      <c r="AI167" s="17" t="str">
        <f aca="false">IF(OR(M$7="",$BR167=""),"",IF('Tally Helper'!$B$36&lt;&gt;TRUE(),"not on Staff",SUMIFS('Tally Helper'!$L$38:$GI$38,'Tally Helper'!$L$36:$GI$36,"&gt;="&amp;$BR167,'Tally Helper'!$L$36:$GI$36,"&lt;="&amp;$BS167)))</f>
        <v/>
      </c>
      <c r="AJ167" s="17" t="str">
        <f aca="false">IF(OR(N$7="",$BR167=""),"",IF('Tally Helper'!$B$39&lt;&gt;TRUE(),"not on Staff",SUMIFS('Tally Helper'!$L$41:$GI$41,'Tally Helper'!$L$39:$GI$39,"&gt;="&amp;$BR167,'Tally Helper'!$L$39:$GI$39,"&lt;="&amp;$BS167)))</f>
        <v/>
      </c>
      <c r="AK167" s="17" t="str">
        <f aca="false">IF(OR(O$7="",$BR167=""),"",IF('Tally Helper'!$B$42&lt;&gt;TRUE(),"not on Staff",SUMIFS('Tally Helper'!$L$44:$GI$44,'Tally Helper'!$L$42:$GI$42,"&gt;="&amp;$BR167,'Tally Helper'!$L$42:$GI$42,"&lt;="&amp;$BS167)))</f>
        <v/>
      </c>
      <c r="AL167" s="17" t="str">
        <f aca="false">IF(OR(P$7="",$BR167=""),"",IF('Tally Helper'!$B$45&lt;&gt;TRUE(),"not on Staff",SUMIFS('Tally Helper'!$L$47:$GI$47,'Tally Helper'!$L$45:$GI$45,"&gt;="&amp;$BR167,'Tally Helper'!$L$45:$GI$45,"&lt;="&amp;$BS167)))</f>
        <v/>
      </c>
      <c r="AM167" s="17" t="str">
        <f aca="false">IF(OR(Q$7="",$BR167=""),"",IF('Tally Helper'!$B$48&lt;&gt;TRUE(),"not on Staff",SUMIFS('Tally Helper'!$L$50:$GI$50,'Tally Helper'!$L$48:$GI$48,"&gt;="&amp;$BR167,'Tally Helper'!$L$48:$GI$48,"&lt;="&amp;$BS167)))</f>
        <v/>
      </c>
      <c r="AN167" s="17" t="str">
        <f aca="false">IF(OR(R$7="",$BR167=""),"",IF('Tally Helper'!$B$51&lt;&gt;TRUE(),"not on Staff",SUMIFS('Tally Helper'!$L$53:$GI$53,'Tally Helper'!$L$51:$GI$51,"&gt;="&amp;$BR167,'Tally Helper'!$L$51:$GI$51,"&lt;="&amp;$BS167)))</f>
        <v/>
      </c>
      <c r="AO167" s="17" t="str">
        <f aca="false">IF(OR(S$7="",$BR167=""),"",IF('Tally Helper'!$B$54&lt;&gt;TRUE(),"not on Staff",SUMIFS('Tally Helper'!$L$56:$GI$56,'Tally Helper'!$L$54:$GI$54,"&gt;="&amp;$BR167,'Tally Helper'!$L$54:$GI$54,"&lt;="&amp;$BS167)))</f>
        <v/>
      </c>
      <c r="AP167" s="17" t="str">
        <f aca="false">IF(OR(T$7="",$BR167=""),"",IF('Tally Helper'!$B$57&lt;&gt;TRUE(),"not on Staff",SUMIFS('Tally Helper'!$L$59:$GI$59,'Tally Helper'!$L$57:$GI$57,"&gt;="&amp;$BR167,'Tally Helper'!$L$57:$GI$57,"&lt;="&amp;$BS167)))</f>
        <v/>
      </c>
      <c r="AQ167" s="17" t="str">
        <f aca="false">IF(OR(U$7="",$BR167=""),"",IF('Tally Helper'!$B$60&lt;&gt;TRUE(),"not on Staff",SUMIFS('Tally Helper'!$L$62:$GI$62,'Tally Helper'!$L$60:$GI$60,"&gt;="&amp;$BR167,'Tally Helper'!$L$60:$GI$60,"&lt;="&amp;$BS167)))</f>
        <v/>
      </c>
      <c r="AT167" s="17" t="str">
        <f aca="false">IF(OR(X167="",NOT(ISNUMBER(X167))),"",X167-N(B167))</f>
        <v/>
      </c>
      <c r="AU167" s="17" t="str">
        <f aca="false">IF(OR(Y167="",NOT(ISNUMBER(Y167))),"",Y167-N(C167))</f>
        <v/>
      </c>
      <c r="AV167" s="17" t="str">
        <f aca="false">IF(OR(Z167="",NOT(ISNUMBER(Z167))),"",Z167-N(D167))</f>
        <v/>
      </c>
      <c r="AW167" s="17" t="str">
        <f aca="false">IF(OR(AA167="",NOT(ISNUMBER(AA167))),"",AA167-N(E167))</f>
        <v/>
      </c>
      <c r="AX167" s="17" t="str">
        <f aca="false">IF(OR(AB167="",NOT(ISNUMBER(AB167))),"",AB167-N(F167))</f>
        <v/>
      </c>
      <c r="AY167" s="17" t="str">
        <f aca="false">IF(OR(AC167="",NOT(ISNUMBER(AC167))),"",AC167-N(G167))</f>
        <v/>
      </c>
      <c r="AZ167" s="17" t="str">
        <f aca="false">IF(OR(AD167="",NOT(ISNUMBER(AD167))),"",AD167-N(H167))</f>
        <v/>
      </c>
      <c r="BA167" s="17" t="str">
        <f aca="false">IF(OR(AE167="",NOT(ISNUMBER(AE167))),"",AE167-N(I167))</f>
        <v/>
      </c>
      <c r="BB167" s="17" t="str">
        <f aca="false">IF(OR(AF167="",NOT(ISNUMBER(AF167))),"",AF167-N(J167))</f>
        <v/>
      </c>
      <c r="BC167" s="17" t="str">
        <f aca="false">IF(OR(AG167="",NOT(ISNUMBER(AG167))),"",AG167-N(K167))</f>
        <v/>
      </c>
      <c r="BD167" s="17" t="str">
        <f aca="false">IF(OR(AH167="",NOT(ISNUMBER(AH167))),"",AH167-N(L167))</f>
        <v/>
      </c>
      <c r="BE167" s="17" t="str">
        <f aca="false">IF(OR(AI167="",NOT(ISNUMBER(AI167))),"",AI167-N(M167))</f>
        <v/>
      </c>
      <c r="BF167" s="17" t="str">
        <f aca="false">IF(OR(AJ167="",NOT(ISNUMBER(AJ167))),"",AJ167-N(N167))</f>
        <v/>
      </c>
      <c r="BG167" s="17" t="str">
        <f aca="false">IF(OR(AK167="",NOT(ISNUMBER(AK167))),"",AK167-N(O167))</f>
        <v/>
      </c>
      <c r="BH167" s="17" t="str">
        <f aca="false">IF(OR(AL167="",NOT(ISNUMBER(AL167))),"",AL167-N(P167))</f>
        <v/>
      </c>
      <c r="BI167" s="17" t="str">
        <f aca="false">IF(OR(AM167="",NOT(ISNUMBER(AM167))),"",AM167-N(Q167))</f>
        <v/>
      </c>
      <c r="BJ167" s="17" t="str">
        <f aca="false">IF(OR(AN167="",NOT(ISNUMBER(AN167))),"",AN167-N(R167))</f>
        <v/>
      </c>
      <c r="BK167" s="17" t="str">
        <f aca="false">IF(OR(AO167="",NOT(ISNUMBER(AO167))),"",AO167-N(S167))</f>
        <v/>
      </c>
      <c r="BL167" s="17" t="str">
        <f aca="false">IF(OR(AP167="",NOT(ISNUMBER(AP167))),"",AP167-N(T167))</f>
        <v/>
      </c>
      <c r="BM167" s="17" t="str">
        <f aca="false">IF(OR(AQ167="",NOT(ISNUMBER(AQ167))),"",AQ167-N(U167))</f>
        <v/>
      </c>
      <c r="BR167" s="20" t="str">
        <f aca="false">IF($A167="","",IF(ISNUMBER($A167),DATE(YEAR($A167),MONTH($A167),1),IFERROR(DATE(2000+VALUE(RIGHT(TRIM($A167),2)),MATCH(UPPER(LEFT(TRIM($A167),3)),{"JAN","FEB","MAR","APR","MAY","JUN","JUL","AUG","SEP","OCT","NOV","DEC"},0),1),"")))</f>
        <v/>
      </c>
      <c r="BS167" s="20" t="str">
        <f aca="false">IF(BR167="","",EOMONTH(BR167,0))</f>
        <v/>
      </c>
    </row>
    <row r="168" customFormat="false" ht="15" hidden="false" customHeight="false" outlineLevel="0" collapsed="false">
      <c r="B168" s="21"/>
      <c r="C168" s="21"/>
      <c r="D168" s="21"/>
      <c r="E168" s="21"/>
      <c r="F168" s="21"/>
      <c r="G168" s="21"/>
      <c r="H168" s="21"/>
      <c r="I168" s="21"/>
      <c r="J168" s="21"/>
      <c r="K168" s="21"/>
      <c r="L168" s="21"/>
      <c r="M168" s="21"/>
      <c r="N168" s="21"/>
      <c r="O168" s="21"/>
      <c r="P168" s="21"/>
      <c r="Q168" s="21"/>
      <c r="R168" s="21"/>
      <c r="S168" s="21"/>
      <c r="T168" s="21"/>
      <c r="U168" s="21"/>
      <c r="X168" s="17" t="str">
        <f aca="false">IF(OR(B$7="",$BR168=""),"",IF('Tally Helper'!$B$3&lt;&gt;TRUE(),"not on Staff",SUMIFS('Tally Helper'!$L$5:$GI$5,'Tally Helper'!$L$3:$GI$3,"&gt;="&amp;$BR168,'Tally Helper'!$L$3:$GI$3,"&lt;="&amp;$BS168)))</f>
        <v/>
      </c>
      <c r="Y168" s="17" t="str">
        <f aca="false">IF(OR(C$7="",$BR168=""),"",IF('Tally Helper'!$B$6&lt;&gt;TRUE(),"not on Staff",SUMIFS('Tally Helper'!$L$8:$GI$8,'Tally Helper'!$L$6:$GI$6,"&gt;="&amp;$BR168,'Tally Helper'!$L$6:$GI$6,"&lt;="&amp;$BS168)))</f>
        <v/>
      </c>
      <c r="Z168" s="17" t="str">
        <f aca="false">IF(OR(D$7="",$BR168=""),"",IF('Tally Helper'!$B$9&lt;&gt;TRUE(),"not on Staff",SUMIFS('Tally Helper'!$L$11:$GI$11,'Tally Helper'!$L$9:$GI$9,"&gt;="&amp;$BR168,'Tally Helper'!$L$9:$GI$9,"&lt;="&amp;$BS168)))</f>
        <v/>
      </c>
      <c r="AA168" s="17" t="str">
        <f aca="false">IF(OR(E$7="",$BR168=""),"",IF('Tally Helper'!$B$12&lt;&gt;TRUE(),"not on Staff",SUMIFS('Tally Helper'!$L$14:$GI$14,'Tally Helper'!$L$12:$GI$12,"&gt;="&amp;$BR168,'Tally Helper'!$L$12:$GI$12,"&lt;="&amp;$BS168)))</f>
        <v/>
      </c>
      <c r="AB168" s="17" t="str">
        <f aca="false">IF(OR(F$7="",$BR168=""),"",IF('Tally Helper'!$B$15&lt;&gt;TRUE(),"not on Staff",SUMIFS('Tally Helper'!$L$17:$GI$17,'Tally Helper'!$L$15:$GI$15,"&gt;="&amp;$BR168,'Tally Helper'!$L$15:$GI$15,"&lt;="&amp;$BS168)))</f>
        <v/>
      </c>
      <c r="AC168" s="17" t="str">
        <f aca="false">IF(OR(G$7="",$BR168=""),"",IF('Tally Helper'!$B$18&lt;&gt;TRUE(),"not on Staff",SUMIFS('Tally Helper'!$L$20:$GI$20,'Tally Helper'!$L$18:$GI$18,"&gt;="&amp;$BR168,'Tally Helper'!$L$18:$GI$18,"&lt;="&amp;$BS168)))</f>
        <v/>
      </c>
      <c r="AD168" s="17" t="str">
        <f aca="false">IF(OR(H$7="",$BR168=""),"",IF('Tally Helper'!$B$21&lt;&gt;TRUE(),"not on Staff",SUMIFS('Tally Helper'!$L$23:$GI$23,'Tally Helper'!$L$21:$GI$21,"&gt;="&amp;$BR168,'Tally Helper'!$L$21:$GI$21,"&lt;="&amp;$BS168)))</f>
        <v/>
      </c>
      <c r="AE168" s="17" t="str">
        <f aca="false">IF(OR(I$7="",$BR168=""),"",IF('Tally Helper'!$B$24&lt;&gt;TRUE(),"not on Staff",SUMIFS('Tally Helper'!$L$26:$GI$26,'Tally Helper'!$L$24:$GI$24,"&gt;="&amp;$BR168,'Tally Helper'!$L$24:$GI$24,"&lt;="&amp;$BS168)))</f>
        <v/>
      </c>
      <c r="AF168" s="17" t="str">
        <f aca="false">IF(OR(J$7="",$BR168=""),"",IF('Tally Helper'!$B$27&lt;&gt;TRUE(),"not on Staff",SUMIFS('Tally Helper'!$L$29:$GI$29,'Tally Helper'!$L$27:$GI$27,"&gt;="&amp;$BR168,'Tally Helper'!$L$27:$GI$27,"&lt;="&amp;$BS168)))</f>
        <v/>
      </c>
      <c r="AG168" s="17" t="str">
        <f aca="false">IF(OR(K$7="",$BR168=""),"",IF('Tally Helper'!$B$30&lt;&gt;TRUE(),"not on Staff",SUMIFS('Tally Helper'!$L$32:$GI$32,'Tally Helper'!$L$30:$GI$30,"&gt;="&amp;$BR168,'Tally Helper'!$L$30:$GI$30,"&lt;="&amp;$BS168)))</f>
        <v/>
      </c>
      <c r="AH168" s="17" t="str">
        <f aca="false">IF(OR(L$7="",$BR168=""),"",IF('Tally Helper'!$B$33&lt;&gt;TRUE(),"not on Staff",SUMIFS('Tally Helper'!$L$35:$GI$35,'Tally Helper'!$L$33:$GI$33,"&gt;="&amp;$BR168,'Tally Helper'!$L$33:$GI$33,"&lt;="&amp;$BS168)))</f>
        <v/>
      </c>
      <c r="AI168" s="17" t="str">
        <f aca="false">IF(OR(M$7="",$BR168=""),"",IF('Tally Helper'!$B$36&lt;&gt;TRUE(),"not on Staff",SUMIFS('Tally Helper'!$L$38:$GI$38,'Tally Helper'!$L$36:$GI$36,"&gt;="&amp;$BR168,'Tally Helper'!$L$36:$GI$36,"&lt;="&amp;$BS168)))</f>
        <v/>
      </c>
      <c r="AJ168" s="17" t="str">
        <f aca="false">IF(OR(N$7="",$BR168=""),"",IF('Tally Helper'!$B$39&lt;&gt;TRUE(),"not on Staff",SUMIFS('Tally Helper'!$L$41:$GI$41,'Tally Helper'!$L$39:$GI$39,"&gt;="&amp;$BR168,'Tally Helper'!$L$39:$GI$39,"&lt;="&amp;$BS168)))</f>
        <v/>
      </c>
      <c r="AK168" s="17" t="str">
        <f aca="false">IF(OR(O$7="",$BR168=""),"",IF('Tally Helper'!$B$42&lt;&gt;TRUE(),"not on Staff",SUMIFS('Tally Helper'!$L$44:$GI$44,'Tally Helper'!$L$42:$GI$42,"&gt;="&amp;$BR168,'Tally Helper'!$L$42:$GI$42,"&lt;="&amp;$BS168)))</f>
        <v/>
      </c>
      <c r="AL168" s="17" t="str">
        <f aca="false">IF(OR(P$7="",$BR168=""),"",IF('Tally Helper'!$B$45&lt;&gt;TRUE(),"not on Staff",SUMIFS('Tally Helper'!$L$47:$GI$47,'Tally Helper'!$L$45:$GI$45,"&gt;="&amp;$BR168,'Tally Helper'!$L$45:$GI$45,"&lt;="&amp;$BS168)))</f>
        <v/>
      </c>
      <c r="AM168" s="17" t="str">
        <f aca="false">IF(OR(Q$7="",$BR168=""),"",IF('Tally Helper'!$B$48&lt;&gt;TRUE(),"not on Staff",SUMIFS('Tally Helper'!$L$50:$GI$50,'Tally Helper'!$L$48:$GI$48,"&gt;="&amp;$BR168,'Tally Helper'!$L$48:$GI$48,"&lt;="&amp;$BS168)))</f>
        <v/>
      </c>
      <c r="AN168" s="17" t="str">
        <f aca="false">IF(OR(R$7="",$BR168=""),"",IF('Tally Helper'!$B$51&lt;&gt;TRUE(),"not on Staff",SUMIFS('Tally Helper'!$L$53:$GI$53,'Tally Helper'!$L$51:$GI$51,"&gt;="&amp;$BR168,'Tally Helper'!$L$51:$GI$51,"&lt;="&amp;$BS168)))</f>
        <v/>
      </c>
      <c r="AO168" s="17" t="str">
        <f aca="false">IF(OR(S$7="",$BR168=""),"",IF('Tally Helper'!$B$54&lt;&gt;TRUE(),"not on Staff",SUMIFS('Tally Helper'!$L$56:$GI$56,'Tally Helper'!$L$54:$GI$54,"&gt;="&amp;$BR168,'Tally Helper'!$L$54:$GI$54,"&lt;="&amp;$BS168)))</f>
        <v/>
      </c>
      <c r="AP168" s="17" t="str">
        <f aca="false">IF(OR(T$7="",$BR168=""),"",IF('Tally Helper'!$B$57&lt;&gt;TRUE(),"not on Staff",SUMIFS('Tally Helper'!$L$59:$GI$59,'Tally Helper'!$L$57:$GI$57,"&gt;="&amp;$BR168,'Tally Helper'!$L$57:$GI$57,"&lt;="&amp;$BS168)))</f>
        <v/>
      </c>
      <c r="AQ168" s="17" t="str">
        <f aca="false">IF(OR(U$7="",$BR168=""),"",IF('Tally Helper'!$B$60&lt;&gt;TRUE(),"not on Staff",SUMIFS('Tally Helper'!$L$62:$GI$62,'Tally Helper'!$L$60:$GI$60,"&gt;="&amp;$BR168,'Tally Helper'!$L$60:$GI$60,"&lt;="&amp;$BS168)))</f>
        <v/>
      </c>
      <c r="AT168" s="17" t="str">
        <f aca="false">IF(OR(X168="",NOT(ISNUMBER(X168))),"",X168-N(B168))</f>
        <v/>
      </c>
      <c r="AU168" s="17" t="str">
        <f aca="false">IF(OR(Y168="",NOT(ISNUMBER(Y168))),"",Y168-N(C168))</f>
        <v/>
      </c>
      <c r="AV168" s="17" t="str">
        <f aca="false">IF(OR(Z168="",NOT(ISNUMBER(Z168))),"",Z168-N(D168))</f>
        <v/>
      </c>
      <c r="AW168" s="17" t="str">
        <f aca="false">IF(OR(AA168="",NOT(ISNUMBER(AA168))),"",AA168-N(E168))</f>
        <v/>
      </c>
      <c r="AX168" s="17" t="str">
        <f aca="false">IF(OR(AB168="",NOT(ISNUMBER(AB168))),"",AB168-N(F168))</f>
        <v/>
      </c>
      <c r="AY168" s="17" t="str">
        <f aca="false">IF(OR(AC168="",NOT(ISNUMBER(AC168))),"",AC168-N(G168))</f>
        <v/>
      </c>
      <c r="AZ168" s="17" t="str">
        <f aca="false">IF(OR(AD168="",NOT(ISNUMBER(AD168))),"",AD168-N(H168))</f>
        <v/>
      </c>
      <c r="BA168" s="17" t="str">
        <f aca="false">IF(OR(AE168="",NOT(ISNUMBER(AE168))),"",AE168-N(I168))</f>
        <v/>
      </c>
      <c r="BB168" s="17" t="str">
        <f aca="false">IF(OR(AF168="",NOT(ISNUMBER(AF168))),"",AF168-N(J168))</f>
        <v/>
      </c>
      <c r="BC168" s="17" t="str">
        <f aca="false">IF(OR(AG168="",NOT(ISNUMBER(AG168))),"",AG168-N(K168))</f>
        <v/>
      </c>
      <c r="BD168" s="17" t="str">
        <f aca="false">IF(OR(AH168="",NOT(ISNUMBER(AH168))),"",AH168-N(L168))</f>
        <v/>
      </c>
      <c r="BE168" s="17" t="str">
        <f aca="false">IF(OR(AI168="",NOT(ISNUMBER(AI168))),"",AI168-N(M168))</f>
        <v/>
      </c>
      <c r="BF168" s="17" t="str">
        <f aca="false">IF(OR(AJ168="",NOT(ISNUMBER(AJ168))),"",AJ168-N(N168))</f>
        <v/>
      </c>
      <c r="BG168" s="17" t="str">
        <f aca="false">IF(OR(AK168="",NOT(ISNUMBER(AK168))),"",AK168-N(O168))</f>
        <v/>
      </c>
      <c r="BH168" s="17" t="str">
        <f aca="false">IF(OR(AL168="",NOT(ISNUMBER(AL168))),"",AL168-N(P168))</f>
        <v/>
      </c>
      <c r="BI168" s="17" t="str">
        <f aca="false">IF(OR(AM168="",NOT(ISNUMBER(AM168))),"",AM168-N(Q168))</f>
        <v/>
      </c>
      <c r="BJ168" s="17" t="str">
        <f aca="false">IF(OR(AN168="",NOT(ISNUMBER(AN168))),"",AN168-N(R168))</f>
        <v/>
      </c>
      <c r="BK168" s="17" t="str">
        <f aca="false">IF(OR(AO168="",NOT(ISNUMBER(AO168))),"",AO168-N(S168))</f>
        <v/>
      </c>
      <c r="BL168" s="17" t="str">
        <f aca="false">IF(OR(AP168="",NOT(ISNUMBER(AP168))),"",AP168-N(T168))</f>
        <v/>
      </c>
      <c r="BM168" s="17" t="str">
        <f aca="false">IF(OR(AQ168="",NOT(ISNUMBER(AQ168))),"",AQ168-N(U168))</f>
        <v/>
      </c>
      <c r="BR168" s="20" t="str">
        <f aca="false">IF($A168="","",IF(ISNUMBER($A168),DATE(YEAR($A168),MONTH($A168),1),IFERROR(DATE(2000+VALUE(RIGHT(TRIM($A168),2)),MATCH(UPPER(LEFT(TRIM($A168),3)),{"JAN","FEB","MAR","APR","MAY","JUN","JUL","AUG","SEP","OCT","NOV","DEC"},0),1),"")))</f>
        <v/>
      </c>
      <c r="BS168" s="20" t="str">
        <f aca="false">IF(BR168="","",EOMONTH(BR168,0))</f>
        <v/>
      </c>
    </row>
    <row r="169" customFormat="false" ht="15" hidden="false" customHeight="false" outlineLevel="0" collapsed="false">
      <c r="B169" s="21"/>
      <c r="C169" s="21"/>
      <c r="D169" s="21"/>
      <c r="E169" s="21"/>
      <c r="F169" s="21"/>
      <c r="G169" s="21"/>
      <c r="H169" s="21"/>
      <c r="I169" s="21"/>
      <c r="J169" s="21"/>
      <c r="K169" s="21"/>
      <c r="L169" s="21"/>
      <c r="M169" s="21"/>
      <c r="N169" s="21"/>
      <c r="O169" s="21"/>
      <c r="P169" s="21"/>
      <c r="Q169" s="21"/>
      <c r="R169" s="21"/>
      <c r="S169" s="21"/>
      <c r="T169" s="21"/>
      <c r="U169" s="21"/>
      <c r="X169" s="17" t="str">
        <f aca="false">IF(OR(B$7="",$BR169=""),"",IF('Tally Helper'!$B$3&lt;&gt;TRUE(),"not on Staff",SUMIFS('Tally Helper'!$L$5:$GI$5,'Tally Helper'!$L$3:$GI$3,"&gt;="&amp;$BR169,'Tally Helper'!$L$3:$GI$3,"&lt;="&amp;$BS169)))</f>
        <v/>
      </c>
      <c r="Y169" s="17" t="str">
        <f aca="false">IF(OR(C$7="",$BR169=""),"",IF('Tally Helper'!$B$6&lt;&gt;TRUE(),"not on Staff",SUMIFS('Tally Helper'!$L$8:$GI$8,'Tally Helper'!$L$6:$GI$6,"&gt;="&amp;$BR169,'Tally Helper'!$L$6:$GI$6,"&lt;="&amp;$BS169)))</f>
        <v/>
      </c>
      <c r="Z169" s="17" t="str">
        <f aca="false">IF(OR(D$7="",$BR169=""),"",IF('Tally Helper'!$B$9&lt;&gt;TRUE(),"not on Staff",SUMIFS('Tally Helper'!$L$11:$GI$11,'Tally Helper'!$L$9:$GI$9,"&gt;="&amp;$BR169,'Tally Helper'!$L$9:$GI$9,"&lt;="&amp;$BS169)))</f>
        <v/>
      </c>
      <c r="AA169" s="17" t="str">
        <f aca="false">IF(OR(E$7="",$BR169=""),"",IF('Tally Helper'!$B$12&lt;&gt;TRUE(),"not on Staff",SUMIFS('Tally Helper'!$L$14:$GI$14,'Tally Helper'!$L$12:$GI$12,"&gt;="&amp;$BR169,'Tally Helper'!$L$12:$GI$12,"&lt;="&amp;$BS169)))</f>
        <v/>
      </c>
      <c r="AB169" s="17" t="str">
        <f aca="false">IF(OR(F$7="",$BR169=""),"",IF('Tally Helper'!$B$15&lt;&gt;TRUE(),"not on Staff",SUMIFS('Tally Helper'!$L$17:$GI$17,'Tally Helper'!$L$15:$GI$15,"&gt;="&amp;$BR169,'Tally Helper'!$L$15:$GI$15,"&lt;="&amp;$BS169)))</f>
        <v/>
      </c>
      <c r="AC169" s="17" t="str">
        <f aca="false">IF(OR(G$7="",$BR169=""),"",IF('Tally Helper'!$B$18&lt;&gt;TRUE(),"not on Staff",SUMIFS('Tally Helper'!$L$20:$GI$20,'Tally Helper'!$L$18:$GI$18,"&gt;="&amp;$BR169,'Tally Helper'!$L$18:$GI$18,"&lt;="&amp;$BS169)))</f>
        <v/>
      </c>
      <c r="AD169" s="17" t="str">
        <f aca="false">IF(OR(H$7="",$BR169=""),"",IF('Tally Helper'!$B$21&lt;&gt;TRUE(),"not on Staff",SUMIFS('Tally Helper'!$L$23:$GI$23,'Tally Helper'!$L$21:$GI$21,"&gt;="&amp;$BR169,'Tally Helper'!$L$21:$GI$21,"&lt;="&amp;$BS169)))</f>
        <v/>
      </c>
      <c r="AE169" s="17" t="str">
        <f aca="false">IF(OR(I$7="",$BR169=""),"",IF('Tally Helper'!$B$24&lt;&gt;TRUE(),"not on Staff",SUMIFS('Tally Helper'!$L$26:$GI$26,'Tally Helper'!$L$24:$GI$24,"&gt;="&amp;$BR169,'Tally Helper'!$L$24:$GI$24,"&lt;="&amp;$BS169)))</f>
        <v/>
      </c>
      <c r="AF169" s="17" t="str">
        <f aca="false">IF(OR(J$7="",$BR169=""),"",IF('Tally Helper'!$B$27&lt;&gt;TRUE(),"not on Staff",SUMIFS('Tally Helper'!$L$29:$GI$29,'Tally Helper'!$L$27:$GI$27,"&gt;="&amp;$BR169,'Tally Helper'!$L$27:$GI$27,"&lt;="&amp;$BS169)))</f>
        <v/>
      </c>
      <c r="AG169" s="17" t="str">
        <f aca="false">IF(OR(K$7="",$BR169=""),"",IF('Tally Helper'!$B$30&lt;&gt;TRUE(),"not on Staff",SUMIFS('Tally Helper'!$L$32:$GI$32,'Tally Helper'!$L$30:$GI$30,"&gt;="&amp;$BR169,'Tally Helper'!$L$30:$GI$30,"&lt;="&amp;$BS169)))</f>
        <v/>
      </c>
      <c r="AH169" s="17" t="str">
        <f aca="false">IF(OR(L$7="",$BR169=""),"",IF('Tally Helper'!$B$33&lt;&gt;TRUE(),"not on Staff",SUMIFS('Tally Helper'!$L$35:$GI$35,'Tally Helper'!$L$33:$GI$33,"&gt;="&amp;$BR169,'Tally Helper'!$L$33:$GI$33,"&lt;="&amp;$BS169)))</f>
        <v/>
      </c>
      <c r="AI169" s="17" t="str">
        <f aca="false">IF(OR(M$7="",$BR169=""),"",IF('Tally Helper'!$B$36&lt;&gt;TRUE(),"not on Staff",SUMIFS('Tally Helper'!$L$38:$GI$38,'Tally Helper'!$L$36:$GI$36,"&gt;="&amp;$BR169,'Tally Helper'!$L$36:$GI$36,"&lt;="&amp;$BS169)))</f>
        <v/>
      </c>
      <c r="AJ169" s="17" t="str">
        <f aca="false">IF(OR(N$7="",$BR169=""),"",IF('Tally Helper'!$B$39&lt;&gt;TRUE(),"not on Staff",SUMIFS('Tally Helper'!$L$41:$GI$41,'Tally Helper'!$L$39:$GI$39,"&gt;="&amp;$BR169,'Tally Helper'!$L$39:$GI$39,"&lt;="&amp;$BS169)))</f>
        <v/>
      </c>
      <c r="AK169" s="17" t="str">
        <f aca="false">IF(OR(O$7="",$BR169=""),"",IF('Tally Helper'!$B$42&lt;&gt;TRUE(),"not on Staff",SUMIFS('Tally Helper'!$L$44:$GI$44,'Tally Helper'!$L$42:$GI$42,"&gt;="&amp;$BR169,'Tally Helper'!$L$42:$GI$42,"&lt;="&amp;$BS169)))</f>
        <v/>
      </c>
      <c r="AL169" s="17" t="str">
        <f aca="false">IF(OR(P$7="",$BR169=""),"",IF('Tally Helper'!$B$45&lt;&gt;TRUE(),"not on Staff",SUMIFS('Tally Helper'!$L$47:$GI$47,'Tally Helper'!$L$45:$GI$45,"&gt;="&amp;$BR169,'Tally Helper'!$L$45:$GI$45,"&lt;="&amp;$BS169)))</f>
        <v/>
      </c>
      <c r="AM169" s="17" t="str">
        <f aca="false">IF(OR(Q$7="",$BR169=""),"",IF('Tally Helper'!$B$48&lt;&gt;TRUE(),"not on Staff",SUMIFS('Tally Helper'!$L$50:$GI$50,'Tally Helper'!$L$48:$GI$48,"&gt;="&amp;$BR169,'Tally Helper'!$L$48:$GI$48,"&lt;="&amp;$BS169)))</f>
        <v/>
      </c>
      <c r="AN169" s="17" t="str">
        <f aca="false">IF(OR(R$7="",$BR169=""),"",IF('Tally Helper'!$B$51&lt;&gt;TRUE(),"not on Staff",SUMIFS('Tally Helper'!$L$53:$GI$53,'Tally Helper'!$L$51:$GI$51,"&gt;="&amp;$BR169,'Tally Helper'!$L$51:$GI$51,"&lt;="&amp;$BS169)))</f>
        <v/>
      </c>
      <c r="AO169" s="17" t="str">
        <f aca="false">IF(OR(S$7="",$BR169=""),"",IF('Tally Helper'!$B$54&lt;&gt;TRUE(),"not on Staff",SUMIFS('Tally Helper'!$L$56:$GI$56,'Tally Helper'!$L$54:$GI$54,"&gt;="&amp;$BR169,'Tally Helper'!$L$54:$GI$54,"&lt;="&amp;$BS169)))</f>
        <v/>
      </c>
      <c r="AP169" s="17" t="str">
        <f aca="false">IF(OR(T$7="",$BR169=""),"",IF('Tally Helper'!$B$57&lt;&gt;TRUE(),"not on Staff",SUMIFS('Tally Helper'!$L$59:$GI$59,'Tally Helper'!$L$57:$GI$57,"&gt;="&amp;$BR169,'Tally Helper'!$L$57:$GI$57,"&lt;="&amp;$BS169)))</f>
        <v/>
      </c>
      <c r="AQ169" s="17" t="str">
        <f aca="false">IF(OR(U$7="",$BR169=""),"",IF('Tally Helper'!$B$60&lt;&gt;TRUE(),"not on Staff",SUMIFS('Tally Helper'!$L$62:$GI$62,'Tally Helper'!$L$60:$GI$60,"&gt;="&amp;$BR169,'Tally Helper'!$L$60:$GI$60,"&lt;="&amp;$BS169)))</f>
        <v/>
      </c>
      <c r="AT169" s="17" t="str">
        <f aca="false">IF(OR(X169="",NOT(ISNUMBER(X169))),"",X169-N(B169))</f>
        <v/>
      </c>
      <c r="AU169" s="17" t="str">
        <f aca="false">IF(OR(Y169="",NOT(ISNUMBER(Y169))),"",Y169-N(C169))</f>
        <v/>
      </c>
      <c r="AV169" s="17" t="str">
        <f aca="false">IF(OR(Z169="",NOT(ISNUMBER(Z169))),"",Z169-N(D169))</f>
        <v/>
      </c>
      <c r="AW169" s="17" t="str">
        <f aca="false">IF(OR(AA169="",NOT(ISNUMBER(AA169))),"",AA169-N(E169))</f>
        <v/>
      </c>
      <c r="AX169" s="17" t="str">
        <f aca="false">IF(OR(AB169="",NOT(ISNUMBER(AB169))),"",AB169-N(F169))</f>
        <v/>
      </c>
      <c r="AY169" s="17" t="str">
        <f aca="false">IF(OR(AC169="",NOT(ISNUMBER(AC169))),"",AC169-N(G169))</f>
        <v/>
      </c>
      <c r="AZ169" s="17" t="str">
        <f aca="false">IF(OR(AD169="",NOT(ISNUMBER(AD169))),"",AD169-N(H169))</f>
        <v/>
      </c>
      <c r="BA169" s="17" t="str">
        <f aca="false">IF(OR(AE169="",NOT(ISNUMBER(AE169))),"",AE169-N(I169))</f>
        <v/>
      </c>
      <c r="BB169" s="17" t="str">
        <f aca="false">IF(OR(AF169="",NOT(ISNUMBER(AF169))),"",AF169-N(J169))</f>
        <v/>
      </c>
      <c r="BC169" s="17" t="str">
        <f aca="false">IF(OR(AG169="",NOT(ISNUMBER(AG169))),"",AG169-N(K169))</f>
        <v/>
      </c>
      <c r="BD169" s="17" t="str">
        <f aca="false">IF(OR(AH169="",NOT(ISNUMBER(AH169))),"",AH169-N(L169))</f>
        <v/>
      </c>
      <c r="BE169" s="17" t="str">
        <f aca="false">IF(OR(AI169="",NOT(ISNUMBER(AI169))),"",AI169-N(M169))</f>
        <v/>
      </c>
      <c r="BF169" s="17" t="str">
        <f aca="false">IF(OR(AJ169="",NOT(ISNUMBER(AJ169))),"",AJ169-N(N169))</f>
        <v/>
      </c>
      <c r="BG169" s="17" t="str">
        <f aca="false">IF(OR(AK169="",NOT(ISNUMBER(AK169))),"",AK169-N(O169))</f>
        <v/>
      </c>
      <c r="BH169" s="17" t="str">
        <f aca="false">IF(OR(AL169="",NOT(ISNUMBER(AL169))),"",AL169-N(P169))</f>
        <v/>
      </c>
      <c r="BI169" s="17" t="str">
        <f aca="false">IF(OR(AM169="",NOT(ISNUMBER(AM169))),"",AM169-N(Q169))</f>
        <v/>
      </c>
      <c r="BJ169" s="17" t="str">
        <f aca="false">IF(OR(AN169="",NOT(ISNUMBER(AN169))),"",AN169-N(R169))</f>
        <v/>
      </c>
      <c r="BK169" s="17" t="str">
        <f aca="false">IF(OR(AO169="",NOT(ISNUMBER(AO169))),"",AO169-N(S169))</f>
        <v/>
      </c>
      <c r="BL169" s="17" t="str">
        <f aca="false">IF(OR(AP169="",NOT(ISNUMBER(AP169))),"",AP169-N(T169))</f>
        <v/>
      </c>
      <c r="BM169" s="17" t="str">
        <f aca="false">IF(OR(AQ169="",NOT(ISNUMBER(AQ169))),"",AQ169-N(U169))</f>
        <v/>
      </c>
      <c r="BR169" s="20" t="str">
        <f aca="false">IF($A169="","",IF(ISNUMBER($A169),DATE(YEAR($A169),MONTH($A169),1),IFERROR(DATE(2000+VALUE(RIGHT(TRIM($A169),2)),MATCH(UPPER(LEFT(TRIM($A169),3)),{"JAN","FEB","MAR","APR","MAY","JUN","JUL","AUG","SEP","OCT","NOV","DEC"},0),1),"")))</f>
        <v/>
      </c>
      <c r="BS169" s="20" t="str">
        <f aca="false">IF(BR169="","",EOMONTH(BR169,0))</f>
        <v/>
      </c>
    </row>
    <row r="170" customFormat="false" ht="15" hidden="false" customHeight="false" outlineLevel="0" collapsed="false">
      <c r="B170" s="21"/>
      <c r="C170" s="21"/>
      <c r="D170" s="21"/>
      <c r="E170" s="21"/>
      <c r="F170" s="21"/>
      <c r="G170" s="21"/>
      <c r="H170" s="21"/>
      <c r="I170" s="21"/>
      <c r="J170" s="21"/>
      <c r="K170" s="21"/>
      <c r="L170" s="21"/>
      <c r="M170" s="21"/>
      <c r="N170" s="21"/>
      <c r="O170" s="21"/>
      <c r="P170" s="21"/>
      <c r="Q170" s="21"/>
      <c r="R170" s="21"/>
      <c r="S170" s="21"/>
      <c r="T170" s="21"/>
      <c r="U170" s="21"/>
      <c r="X170" s="17" t="str">
        <f aca="false">IF(OR(B$7="",$BR170=""),"",IF('Tally Helper'!$B$3&lt;&gt;TRUE(),"not on Staff",SUMIFS('Tally Helper'!$L$5:$GI$5,'Tally Helper'!$L$3:$GI$3,"&gt;="&amp;$BR170,'Tally Helper'!$L$3:$GI$3,"&lt;="&amp;$BS170)))</f>
        <v/>
      </c>
      <c r="Y170" s="17" t="str">
        <f aca="false">IF(OR(C$7="",$BR170=""),"",IF('Tally Helper'!$B$6&lt;&gt;TRUE(),"not on Staff",SUMIFS('Tally Helper'!$L$8:$GI$8,'Tally Helper'!$L$6:$GI$6,"&gt;="&amp;$BR170,'Tally Helper'!$L$6:$GI$6,"&lt;="&amp;$BS170)))</f>
        <v/>
      </c>
      <c r="Z170" s="17" t="str">
        <f aca="false">IF(OR(D$7="",$BR170=""),"",IF('Tally Helper'!$B$9&lt;&gt;TRUE(),"not on Staff",SUMIFS('Tally Helper'!$L$11:$GI$11,'Tally Helper'!$L$9:$GI$9,"&gt;="&amp;$BR170,'Tally Helper'!$L$9:$GI$9,"&lt;="&amp;$BS170)))</f>
        <v/>
      </c>
      <c r="AA170" s="17" t="str">
        <f aca="false">IF(OR(E$7="",$BR170=""),"",IF('Tally Helper'!$B$12&lt;&gt;TRUE(),"not on Staff",SUMIFS('Tally Helper'!$L$14:$GI$14,'Tally Helper'!$L$12:$GI$12,"&gt;="&amp;$BR170,'Tally Helper'!$L$12:$GI$12,"&lt;="&amp;$BS170)))</f>
        <v/>
      </c>
      <c r="AB170" s="17" t="str">
        <f aca="false">IF(OR(F$7="",$BR170=""),"",IF('Tally Helper'!$B$15&lt;&gt;TRUE(),"not on Staff",SUMIFS('Tally Helper'!$L$17:$GI$17,'Tally Helper'!$L$15:$GI$15,"&gt;="&amp;$BR170,'Tally Helper'!$L$15:$GI$15,"&lt;="&amp;$BS170)))</f>
        <v/>
      </c>
      <c r="AC170" s="17" t="str">
        <f aca="false">IF(OR(G$7="",$BR170=""),"",IF('Tally Helper'!$B$18&lt;&gt;TRUE(),"not on Staff",SUMIFS('Tally Helper'!$L$20:$GI$20,'Tally Helper'!$L$18:$GI$18,"&gt;="&amp;$BR170,'Tally Helper'!$L$18:$GI$18,"&lt;="&amp;$BS170)))</f>
        <v/>
      </c>
      <c r="AD170" s="17" t="str">
        <f aca="false">IF(OR(H$7="",$BR170=""),"",IF('Tally Helper'!$B$21&lt;&gt;TRUE(),"not on Staff",SUMIFS('Tally Helper'!$L$23:$GI$23,'Tally Helper'!$L$21:$GI$21,"&gt;="&amp;$BR170,'Tally Helper'!$L$21:$GI$21,"&lt;="&amp;$BS170)))</f>
        <v/>
      </c>
      <c r="AE170" s="17" t="str">
        <f aca="false">IF(OR(I$7="",$BR170=""),"",IF('Tally Helper'!$B$24&lt;&gt;TRUE(),"not on Staff",SUMIFS('Tally Helper'!$L$26:$GI$26,'Tally Helper'!$L$24:$GI$24,"&gt;="&amp;$BR170,'Tally Helper'!$L$24:$GI$24,"&lt;="&amp;$BS170)))</f>
        <v/>
      </c>
      <c r="AF170" s="17" t="str">
        <f aca="false">IF(OR(J$7="",$BR170=""),"",IF('Tally Helper'!$B$27&lt;&gt;TRUE(),"not on Staff",SUMIFS('Tally Helper'!$L$29:$GI$29,'Tally Helper'!$L$27:$GI$27,"&gt;="&amp;$BR170,'Tally Helper'!$L$27:$GI$27,"&lt;="&amp;$BS170)))</f>
        <v/>
      </c>
      <c r="AG170" s="17" t="str">
        <f aca="false">IF(OR(K$7="",$BR170=""),"",IF('Tally Helper'!$B$30&lt;&gt;TRUE(),"not on Staff",SUMIFS('Tally Helper'!$L$32:$GI$32,'Tally Helper'!$L$30:$GI$30,"&gt;="&amp;$BR170,'Tally Helper'!$L$30:$GI$30,"&lt;="&amp;$BS170)))</f>
        <v/>
      </c>
      <c r="AH170" s="17" t="str">
        <f aca="false">IF(OR(L$7="",$BR170=""),"",IF('Tally Helper'!$B$33&lt;&gt;TRUE(),"not on Staff",SUMIFS('Tally Helper'!$L$35:$GI$35,'Tally Helper'!$L$33:$GI$33,"&gt;="&amp;$BR170,'Tally Helper'!$L$33:$GI$33,"&lt;="&amp;$BS170)))</f>
        <v/>
      </c>
      <c r="AI170" s="17" t="str">
        <f aca="false">IF(OR(M$7="",$BR170=""),"",IF('Tally Helper'!$B$36&lt;&gt;TRUE(),"not on Staff",SUMIFS('Tally Helper'!$L$38:$GI$38,'Tally Helper'!$L$36:$GI$36,"&gt;="&amp;$BR170,'Tally Helper'!$L$36:$GI$36,"&lt;="&amp;$BS170)))</f>
        <v/>
      </c>
      <c r="AJ170" s="17" t="str">
        <f aca="false">IF(OR(N$7="",$BR170=""),"",IF('Tally Helper'!$B$39&lt;&gt;TRUE(),"not on Staff",SUMIFS('Tally Helper'!$L$41:$GI$41,'Tally Helper'!$L$39:$GI$39,"&gt;="&amp;$BR170,'Tally Helper'!$L$39:$GI$39,"&lt;="&amp;$BS170)))</f>
        <v/>
      </c>
      <c r="AK170" s="17" t="str">
        <f aca="false">IF(OR(O$7="",$BR170=""),"",IF('Tally Helper'!$B$42&lt;&gt;TRUE(),"not on Staff",SUMIFS('Tally Helper'!$L$44:$GI$44,'Tally Helper'!$L$42:$GI$42,"&gt;="&amp;$BR170,'Tally Helper'!$L$42:$GI$42,"&lt;="&amp;$BS170)))</f>
        <v/>
      </c>
      <c r="AL170" s="17" t="str">
        <f aca="false">IF(OR(P$7="",$BR170=""),"",IF('Tally Helper'!$B$45&lt;&gt;TRUE(),"not on Staff",SUMIFS('Tally Helper'!$L$47:$GI$47,'Tally Helper'!$L$45:$GI$45,"&gt;="&amp;$BR170,'Tally Helper'!$L$45:$GI$45,"&lt;="&amp;$BS170)))</f>
        <v/>
      </c>
      <c r="AM170" s="17" t="str">
        <f aca="false">IF(OR(Q$7="",$BR170=""),"",IF('Tally Helper'!$B$48&lt;&gt;TRUE(),"not on Staff",SUMIFS('Tally Helper'!$L$50:$GI$50,'Tally Helper'!$L$48:$GI$48,"&gt;="&amp;$BR170,'Tally Helper'!$L$48:$GI$48,"&lt;="&amp;$BS170)))</f>
        <v/>
      </c>
      <c r="AN170" s="17" t="str">
        <f aca="false">IF(OR(R$7="",$BR170=""),"",IF('Tally Helper'!$B$51&lt;&gt;TRUE(),"not on Staff",SUMIFS('Tally Helper'!$L$53:$GI$53,'Tally Helper'!$L$51:$GI$51,"&gt;="&amp;$BR170,'Tally Helper'!$L$51:$GI$51,"&lt;="&amp;$BS170)))</f>
        <v/>
      </c>
      <c r="AO170" s="17" t="str">
        <f aca="false">IF(OR(S$7="",$BR170=""),"",IF('Tally Helper'!$B$54&lt;&gt;TRUE(),"not on Staff",SUMIFS('Tally Helper'!$L$56:$GI$56,'Tally Helper'!$L$54:$GI$54,"&gt;="&amp;$BR170,'Tally Helper'!$L$54:$GI$54,"&lt;="&amp;$BS170)))</f>
        <v/>
      </c>
      <c r="AP170" s="17" t="str">
        <f aca="false">IF(OR(T$7="",$BR170=""),"",IF('Tally Helper'!$B$57&lt;&gt;TRUE(),"not on Staff",SUMIFS('Tally Helper'!$L$59:$GI$59,'Tally Helper'!$L$57:$GI$57,"&gt;="&amp;$BR170,'Tally Helper'!$L$57:$GI$57,"&lt;="&amp;$BS170)))</f>
        <v/>
      </c>
      <c r="AQ170" s="17" t="str">
        <f aca="false">IF(OR(U$7="",$BR170=""),"",IF('Tally Helper'!$B$60&lt;&gt;TRUE(),"not on Staff",SUMIFS('Tally Helper'!$L$62:$GI$62,'Tally Helper'!$L$60:$GI$60,"&gt;="&amp;$BR170,'Tally Helper'!$L$60:$GI$60,"&lt;="&amp;$BS170)))</f>
        <v/>
      </c>
      <c r="AT170" s="17" t="str">
        <f aca="false">IF(OR(X170="",NOT(ISNUMBER(X170))),"",X170-N(B170))</f>
        <v/>
      </c>
      <c r="AU170" s="17" t="str">
        <f aca="false">IF(OR(Y170="",NOT(ISNUMBER(Y170))),"",Y170-N(C170))</f>
        <v/>
      </c>
      <c r="AV170" s="17" t="str">
        <f aca="false">IF(OR(Z170="",NOT(ISNUMBER(Z170))),"",Z170-N(D170))</f>
        <v/>
      </c>
      <c r="AW170" s="17" t="str">
        <f aca="false">IF(OR(AA170="",NOT(ISNUMBER(AA170))),"",AA170-N(E170))</f>
        <v/>
      </c>
      <c r="AX170" s="17" t="str">
        <f aca="false">IF(OR(AB170="",NOT(ISNUMBER(AB170))),"",AB170-N(F170))</f>
        <v/>
      </c>
      <c r="AY170" s="17" t="str">
        <f aca="false">IF(OR(AC170="",NOT(ISNUMBER(AC170))),"",AC170-N(G170))</f>
        <v/>
      </c>
      <c r="AZ170" s="17" t="str">
        <f aca="false">IF(OR(AD170="",NOT(ISNUMBER(AD170))),"",AD170-N(H170))</f>
        <v/>
      </c>
      <c r="BA170" s="17" t="str">
        <f aca="false">IF(OR(AE170="",NOT(ISNUMBER(AE170))),"",AE170-N(I170))</f>
        <v/>
      </c>
      <c r="BB170" s="17" t="str">
        <f aca="false">IF(OR(AF170="",NOT(ISNUMBER(AF170))),"",AF170-N(J170))</f>
        <v/>
      </c>
      <c r="BC170" s="17" t="str">
        <f aca="false">IF(OR(AG170="",NOT(ISNUMBER(AG170))),"",AG170-N(K170))</f>
        <v/>
      </c>
      <c r="BD170" s="17" t="str">
        <f aca="false">IF(OR(AH170="",NOT(ISNUMBER(AH170))),"",AH170-N(L170))</f>
        <v/>
      </c>
      <c r="BE170" s="17" t="str">
        <f aca="false">IF(OR(AI170="",NOT(ISNUMBER(AI170))),"",AI170-N(M170))</f>
        <v/>
      </c>
      <c r="BF170" s="17" t="str">
        <f aca="false">IF(OR(AJ170="",NOT(ISNUMBER(AJ170))),"",AJ170-N(N170))</f>
        <v/>
      </c>
      <c r="BG170" s="17" t="str">
        <f aca="false">IF(OR(AK170="",NOT(ISNUMBER(AK170))),"",AK170-N(O170))</f>
        <v/>
      </c>
      <c r="BH170" s="17" t="str">
        <f aca="false">IF(OR(AL170="",NOT(ISNUMBER(AL170))),"",AL170-N(P170))</f>
        <v/>
      </c>
      <c r="BI170" s="17" t="str">
        <f aca="false">IF(OR(AM170="",NOT(ISNUMBER(AM170))),"",AM170-N(Q170))</f>
        <v/>
      </c>
      <c r="BJ170" s="17" t="str">
        <f aca="false">IF(OR(AN170="",NOT(ISNUMBER(AN170))),"",AN170-N(R170))</f>
        <v/>
      </c>
      <c r="BK170" s="17" t="str">
        <f aca="false">IF(OR(AO170="",NOT(ISNUMBER(AO170))),"",AO170-N(S170))</f>
        <v/>
      </c>
      <c r="BL170" s="17" t="str">
        <f aca="false">IF(OR(AP170="",NOT(ISNUMBER(AP170))),"",AP170-N(T170))</f>
        <v/>
      </c>
      <c r="BM170" s="17" t="str">
        <f aca="false">IF(OR(AQ170="",NOT(ISNUMBER(AQ170))),"",AQ170-N(U170))</f>
        <v/>
      </c>
      <c r="BR170" s="20" t="str">
        <f aca="false">IF($A170="","",IF(ISNUMBER($A170),DATE(YEAR($A170),MONTH($A170),1),IFERROR(DATE(2000+VALUE(RIGHT(TRIM($A170),2)),MATCH(UPPER(LEFT(TRIM($A170),3)),{"JAN","FEB","MAR","APR","MAY","JUN","JUL","AUG","SEP","OCT","NOV","DEC"},0),1),"")))</f>
        <v/>
      </c>
      <c r="BS170" s="20" t="str">
        <f aca="false">IF(BR170="","",EOMONTH(BR170,0))</f>
        <v/>
      </c>
    </row>
    <row r="171" customFormat="false" ht="15" hidden="false" customHeight="false" outlineLevel="0" collapsed="false">
      <c r="B171" s="21"/>
      <c r="C171" s="21"/>
      <c r="D171" s="21"/>
      <c r="E171" s="21"/>
      <c r="F171" s="21"/>
      <c r="G171" s="21"/>
      <c r="H171" s="21"/>
      <c r="I171" s="21"/>
      <c r="J171" s="21"/>
      <c r="K171" s="21"/>
      <c r="L171" s="21"/>
      <c r="M171" s="21"/>
      <c r="N171" s="21"/>
      <c r="O171" s="21"/>
      <c r="P171" s="21"/>
      <c r="Q171" s="21"/>
      <c r="R171" s="21"/>
      <c r="S171" s="21"/>
      <c r="T171" s="21"/>
      <c r="U171" s="21"/>
      <c r="X171" s="17" t="str">
        <f aca="false">IF(OR(B$7="",$BR171=""),"",IF('Tally Helper'!$B$3&lt;&gt;TRUE(),"not on Staff",SUMIFS('Tally Helper'!$L$5:$GI$5,'Tally Helper'!$L$3:$GI$3,"&gt;="&amp;$BR171,'Tally Helper'!$L$3:$GI$3,"&lt;="&amp;$BS171)))</f>
        <v/>
      </c>
      <c r="Y171" s="17" t="str">
        <f aca="false">IF(OR(C$7="",$BR171=""),"",IF('Tally Helper'!$B$6&lt;&gt;TRUE(),"not on Staff",SUMIFS('Tally Helper'!$L$8:$GI$8,'Tally Helper'!$L$6:$GI$6,"&gt;="&amp;$BR171,'Tally Helper'!$L$6:$GI$6,"&lt;="&amp;$BS171)))</f>
        <v/>
      </c>
      <c r="Z171" s="17" t="str">
        <f aca="false">IF(OR(D$7="",$BR171=""),"",IF('Tally Helper'!$B$9&lt;&gt;TRUE(),"not on Staff",SUMIFS('Tally Helper'!$L$11:$GI$11,'Tally Helper'!$L$9:$GI$9,"&gt;="&amp;$BR171,'Tally Helper'!$L$9:$GI$9,"&lt;="&amp;$BS171)))</f>
        <v/>
      </c>
      <c r="AA171" s="17" t="str">
        <f aca="false">IF(OR(E$7="",$BR171=""),"",IF('Tally Helper'!$B$12&lt;&gt;TRUE(),"not on Staff",SUMIFS('Tally Helper'!$L$14:$GI$14,'Tally Helper'!$L$12:$GI$12,"&gt;="&amp;$BR171,'Tally Helper'!$L$12:$GI$12,"&lt;="&amp;$BS171)))</f>
        <v/>
      </c>
      <c r="AB171" s="17" t="str">
        <f aca="false">IF(OR(F$7="",$BR171=""),"",IF('Tally Helper'!$B$15&lt;&gt;TRUE(),"not on Staff",SUMIFS('Tally Helper'!$L$17:$GI$17,'Tally Helper'!$L$15:$GI$15,"&gt;="&amp;$BR171,'Tally Helper'!$L$15:$GI$15,"&lt;="&amp;$BS171)))</f>
        <v/>
      </c>
      <c r="AC171" s="17" t="str">
        <f aca="false">IF(OR(G$7="",$BR171=""),"",IF('Tally Helper'!$B$18&lt;&gt;TRUE(),"not on Staff",SUMIFS('Tally Helper'!$L$20:$GI$20,'Tally Helper'!$L$18:$GI$18,"&gt;="&amp;$BR171,'Tally Helper'!$L$18:$GI$18,"&lt;="&amp;$BS171)))</f>
        <v/>
      </c>
      <c r="AD171" s="17" t="str">
        <f aca="false">IF(OR(H$7="",$BR171=""),"",IF('Tally Helper'!$B$21&lt;&gt;TRUE(),"not on Staff",SUMIFS('Tally Helper'!$L$23:$GI$23,'Tally Helper'!$L$21:$GI$21,"&gt;="&amp;$BR171,'Tally Helper'!$L$21:$GI$21,"&lt;="&amp;$BS171)))</f>
        <v/>
      </c>
      <c r="AE171" s="17" t="str">
        <f aca="false">IF(OR(I$7="",$BR171=""),"",IF('Tally Helper'!$B$24&lt;&gt;TRUE(),"not on Staff",SUMIFS('Tally Helper'!$L$26:$GI$26,'Tally Helper'!$L$24:$GI$24,"&gt;="&amp;$BR171,'Tally Helper'!$L$24:$GI$24,"&lt;="&amp;$BS171)))</f>
        <v/>
      </c>
      <c r="AF171" s="17" t="str">
        <f aca="false">IF(OR(J$7="",$BR171=""),"",IF('Tally Helper'!$B$27&lt;&gt;TRUE(),"not on Staff",SUMIFS('Tally Helper'!$L$29:$GI$29,'Tally Helper'!$L$27:$GI$27,"&gt;="&amp;$BR171,'Tally Helper'!$L$27:$GI$27,"&lt;="&amp;$BS171)))</f>
        <v/>
      </c>
      <c r="AG171" s="17" t="str">
        <f aca="false">IF(OR(K$7="",$BR171=""),"",IF('Tally Helper'!$B$30&lt;&gt;TRUE(),"not on Staff",SUMIFS('Tally Helper'!$L$32:$GI$32,'Tally Helper'!$L$30:$GI$30,"&gt;="&amp;$BR171,'Tally Helper'!$L$30:$GI$30,"&lt;="&amp;$BS171)))</f>
        <v/>
      </c>
      <c r="AH171" s="17" t="str">
        <f aca="false">IF(OR(L$7="",$BR171=""),"",IF('Tally Helper'!$B$33&lt;&gt;TRUE(),"not on Staff",SUMIFS('Tally Helper'!$L$35:$GI$35,'Tally Helper'!$L$33:$GI$33,"&gt;="&amp;$BR171,'Tally Helper'!$L$33:$GI$33,"&lt;="&amp;$BS171)))</f>
        <v/>
      </c>
      <c r="AI171" s="17" t="str">
        <f aca="false">IF(OR(M$7="",$BR171=""),"",IF('Tally Helper'!$B$36&lt;&gt;TRUE(),"not on Staff",SUMIFS('Tally Helper'!$L$38:$GI$38,'Tally Helper'!$L$36:$GI$36,"&gt;="&amp;$BR171,'Tally Helper'!$L$36:$GI$36,"&lt;="&amp;$BS171)))</f>
        <v/>
      </c>
      <c r="AJ171" s="17" t="str">
        <f aca="false">IF(OR(N$7="",$BR171=""),"",IF('Tally Helper'!$B$39&lt;&gt;TRUE(),"not on Staff",SUMIFS('Tally Helper'!$L$41:$GI$41,'Tally Helper'!$L$39:$GI$39,"&gt;="&amp;$BR171,'Tally Helper'!$L$39:$GI$39,"&lt;="&amp;$BS171)))</f>
        <v/>
      </c>
      <c r="AK171" s="17" t="str">
        <f aca="false">IF(OR(O$7="",$BR171=""),"",IF('Tally Helper'!$B$42&lt;&gt;TRUE(),"not on Staff",SUMIFS('Tally Helper'!$L$44:$GI$44,'Tally Helper'!$L$42:$GI$42,"&gt;="&amp;$BR171,'Tally Helper'!$L$42:$GI$42,"&lt;="&amp;$BS171)))</f>
        <v/>
      </c>
      <c r="AL171" s="17" t="str">
        <f aca="false">IF(OR(P$7="",$BR171=""),"",IF('Tally Helper'!$B$45&lt;&gt;TRUE(),"not on Staff",SUMIFS('Tally Helper'!$L$47:$GI$47,'Tally Helper'!$L$45:$GI$45,"&gt;="&amp;$BR171,'Tally Helper'!$L$45:$GI$45,"&lt;="&amp;$BS171)))</f>
        <v/>
      </c>
      <c r="AM171" s="17" t="str">
        <f aca="false">IF(OR(Q$7="",$BR171=""),"",IF('Tally Helper'!$B$48&lt;&gt;TRUE(),"not on Staff",SUMIFS('Tally Helper'!$L$50:$GI$50,'Tally Helper'!$L$48:$GI$48,"&gt;="&amp;$BR171,'Tally Helper'!$L$48:$GI$48,"&lt;="&amp;$BS171)))</f>
        <v/>
      </c>
      <c r="AN171" s="17" t="str">
        <f aca="false">IF(OR(R$7="",$BR171=""),"",IF('Tally Helper'!$B$51&lt;&gt;TRUE(),"not on Staff",SUMIFS('Tally Helper'!$L$53:$GI$53,'Tally Helper'!$L$51:$GI$51,"&gt;="&amp;$BR171,'Tally Helper'!$L$51:$GI$51,"&lt;="&amp;$BS171)))</f>
        <v/>
      </c>
      <c r="AO171" s="17" t="str">
        <f aca="false">IF(OR(S$7="",$BR171=""),"",IF('Tally Helper'!$B$54&lt;&gt;TRUE(),"not on Staff",SUMIFS('Tally Helper'!$L$56:$GI$56,'Tally Helper'!$L$54:$GI$54,"&gt;="&amp;$BR171,'Tally Helper'!$L$54:$GI$54,"&lt;="&amp;$BS171)))</f>
        <v/>
      </c>
      <c r="AP171" s="17" t="str">
        <f aca="false">IF(OR(T$7="",$BR171=""),"",IF('Tally Helper'!$B$57&lt;&gt;TRUE(),"not on Staff",SUMIFS('Tally Helper'!$L$59:$GI$59,'Tally Helper'!$L$57:$GI$57,"&gt;="&amp;$BR171,'Tally Helper'!$L$57:$GI$57,"&lt;="&amp;$BS171)))</f>
        <v/>
      </c>
      <c r="AQ171" s="17" t="str">
        <f aca="false">IF(OR(U$7="",$BR171=""),"",IF('Tally Helper'!$B$60&lt;&gt;TRUE(),"not on Staff",SUMIFS('Tally Helper'!$L$62:$GI$62,'Tally Helper'!$L$60:$GI$60,"&gt;="&amp;$BR171,'Tally Helper'!$L$60:$GI$60,"&lt;="&amp;$BS171)))</f>
        <v/>
      </c>
      <c r="AT171" s="17" t="str">
        <f aca="false">IF(OR(X171="",NOT(ISNUMBER(X171))),"",X171-N(B171))</f>
        <v/>
      </c>
      <c r="AU171" s="17" t="str">
        <f aca="false">IF(OR(Y171="",NOT(ISNUMBER(Y171))),"",Y171-N(C171))</f>
        <v/>
      </c>
      <c r="AV171" s="17" t="str">
        <f aca="false">IF(OR(Z171="",NOT(ISNUMBER(Z171))),"",Z171-N(D171))</f>
        <v/>
      </c>
      <c r="AW171" s="17" t="str">
        <f aca="false">IF(OR(AA171="",NOT(ISNUMBER(AA171))),"",AA171-N(E171))</f>
        <v/>
      </c>
      <c r="AX171" s="17" t="str">
        <f aca="false">IF(OR(AB171="",NOT(ISNUMBER(AB171))),"",AB171-N(F171))</f>
        <v/>
      </c>
      <c r="AY171" s="17" t="str">
        <f aca="false">IF(OR(AC171="",NOT(ISNUMBER(AC171))),"",AC171-N(G171))</f>
        <v/>
      </c>
      <c r="AZ171" s="17" t="str">
        <f aca="false">IF(OR(AD171="",NOT(ISNUMBER(AD171))),"",AD171-N(H171))</f>
        <v/>
      </c>
      <c r="BA171" s="17" t="str">
        <f aca="false">IF(OR(AE171="",NOT(ISNUMBER(AE171))),"",AE171-N(I171))</f>
        <v/>
      </c>
      <c r="BB171" s="17" t="str">
        <f aca="false">IF(OR(AF171="",NOT(ISNUMBER(AF171))),"",AF171-N(J171))</f>
        <v/>
      </c>
      <c r="BC171" s="17" t="str">
        <f aca="false">IF(OR(AG171="",NOT(ISNUMBER(AG171))),"",AG171-N(K171))</f>
        <v/>
      </c>
      <c r="BD171" s="17" t="str">
        <f aca="false">IF(OR(AH171="",NOT(ISNUMBER(AH171))),"",AH171-N(L171))</f>
        <v/>
      </c>
      <c r="BE171" s="17" t="str">
        <f aca="false">IF(OR(AI171="",NOT(ISNUMBER(AI171))),"",AI171-N(M171))</f>
        <v/>
      </c>
      <c r="BF171" s="17" t="str">
        <f aca="false">IF(OR(AJ171="",NOT(ISNUMBER(AJ171))),"",AJ171-N(N171))</f>
        <v/>
      </c>
      <c r="BG171" s="17" t="str">
        <f aca="false">IF(OR(AK171="",NOT(ISNUMBER(AK171))),"",AK171-N(O171))</f>
        <v/>
      </c>
      <c r="BH171" s="17" t="str">
        <f aca="false">IF(OR(AL171="",NOT(ISNUMBER(AL171))),"",AL171-N(P171))</f>
        <v/>
      </c>
      <c r="BI171" s="17" t="str">
        <f aca="false">IF(OR(AM171="",NOT(ISNUMBER(AM171))),"",AM171-N(Q171))</f>
        <v/>
      </c>
      <c r="BJ171" s="17" t="str">
        <f aca="false">IF(OR(AN171="",NOT(ISNUMBER(AN171))),"",AN171-N(R171))</f>
        <v/>
      </c>
      <c r="BK171" s="17" t="str">
        <f aca="false">IF(OR(AO171="",NOT(ISNUMBER(AO171))),"",AO171-N(S171))</f>
        <v/>
      </c>
      <c r="BL171" s="17" t="str">
        <f aca="false">IF(OR(AP171="",NOT(ISNUMBER(AP171))),"",AP171-N(T171))</f>
        <v/>
      </c>
      <c r="BM171" s="17" t="str">
        <f aca="false">IF(OR(AQ171="",NOT(ISNUMBER(AQ171))),"",AQ171-N(U171))</f>
        <v/>
      </c>
      <c r="BR171" s="20" t="str">
        <f aca="false">IF($A171="","",IF(ISNUMBER($A171),DATE(YEAR($A171),MONTH($A171),1),IFERROR(DATE(2000+VALUE(RIGHT(TRIM($A171),2)),MATCH(UPPER(LEFT(TRIM($A171),3)),{"JAN","FEB","MAR","APR","MAY","JUN","JUL","AUG","SEP","OCT","NOV","DEC"},0),1),"")))</f>
        <v/>
      </c>
      <c r="BS171" s="20" t="str">
        <f aca="false">IF(BR171="","",EOMONTH(BR171,0))</f>
        <v/>
      </c>
    </row>
    <row r="172" customFormat="false" ht="15" hidden="false" customHeight="false" outlineLevel="0" collapsed="false">
      <c r="B172" s="21"/>
      <c r="C172" s="21"/>
      <c r="D172" s="21"/>
      <c r="E172" s="21"/>
      <c r="F172" s="21"/>
      <c r="G172" s="21"/>
      <c r="H172" s="21"/>
      <c r="I172" s="21"/>
      <c r="J172" s="21"/>
      <c r="K172" s="21"/>
      <c r="L172" s="21"/>
      <c r="M172" s="21"/>
      <c r="N172" s="21"/>
      <c r="O172" s="21"/>
      <c r="P172" s="21"/>
      <c r="Q172" s="21"/>
      <c r="R172" s="21"/>
      <c r="S172" s="21"/>
      <c r="T172" s="21"/>
      <c r="U172" s="21"/>
      <c r="X172" s="17" t="str">
        <f aca="false">IF(OR(B$7="",$BR172=""),"",IF('Tally Helper'!$B$3&lt;&gt;TRUE(),"not on Staff",SUMIFS('Tally Helper'!$L$5:$GI$5,'Tally Helper'!$L$3:$GI$3,"&gt;="&amp;$BR172,'Tally Helper'!$L$3:$GI$3,"&lt;="&amp;$BS172)))</f>
        <v/>
      </c>
      <c r="Y172" s="17" t="str">
        <f aca="false">IF(OR(C$7="",$BR172=""),"",IF('Tally Helper'!$B$6&lt;&gt;TRUE(),"not on Staff",SUMIFS('Tally Helper'!$L$8:$GI$8,'Tally Helper'!$L$6:$GI$6,"&gt;="&amp;$BR172,'Tally Helper'!$L$6:$GI$6,"&lt;="&amp;$BS172)))</f>
        <v/>
      </c>
      <c r="Z172" s="17" t="str">
        <f aca="false">IF(OR(D$7="",$BR172=""),"",IF('Tally Helper'!$B$9&lt;&gt;TRUE(),"not on Staff",SUMIFS('Tally Helper'!$L$11:$GI$11,'Tally Helper'!$L$9:$GI$9,"&gt;="&amp;$BR172,'Tally Helper'!$L$9:$GI$9,"&lt;="&amp;$BS172)))</f>
        <v/>
      </c>
      <c r="AA172" s="17" t="str">
        <f aca="false">IF(OR(E$7="",$BR172=""),"",IF('Tally Helper'!$B$12&lt;&gt;TRUE(),"not on Staff",SUMIFS('Tally Helper'!$L$14:$GI$14,'Tally Helper'!$L$12:$GI$12,"&gt;="&amp;$BR172,'Tally Helper'!$L$12:$GI$12,"&lt;="&amp;$BS172)))</f>
        <v/>
      </c>
      <c r="AB172" s="17" t="str">
        <f aca="false">IF(OR(F$7="",$BR172=""),"",IF('Tally Helper'!$B$15&lt;&gt;TRUE(),"not on Staff",SUMIFS('Tally Helper'!$L$17:$GI$17,'Tally Helper'!$L$15:$GI$15,"&gt;="&amp;$BR172,'Tally Helper'!$L$15:$GI$15,"&lt;="&amp;$BS172)))</f>
        <v/>
      </c>
      <c r="AC172" s="17" t="str">
        <f aca="false">IF(OR(G$7="",$BR172=""),"",IF('Tally Helper'!$B$18&lt;&gt;TRUE(),"not on Staff",SUMIFS('Tally Helper'!$L$20:$GI$20,'Tally Helper'!$L$18:$GI$18,"&gt;="&amp;$BR172,'Tally Helper'!$L$18:$GI$18,"&lt;="&amp;$BS172)))</f>
        <v/>
      </c>
      <c r="AD172" s="17" t="str">
        <f aca="false">IF(OR(H$7="",$BR172=""),"",IF('Tally Helper'!$B$21&lt;&gt;TRUE(),"not on Staff",SUMIFS('Tally Helper'!$L$23:$GI$23,'Tally Helper'!$L$21:$GI$21,"&gt;="&amp;$BR172,'Tally Helper'!$L$21:$GI$21,"&lt;="&amp;$BS172)))</f>
        <v/>
      </c>
      <c r="AE172" s="17" t="str">
        <f aca="false">IF(OR(I$7="",$BR172=""),"",IF('Tally Helper'!$B$24&lt;&gt;TRUE(),"not on Staff",SUMIFS('Tally Helper'!$L$26:$GI$26,'Tally Helper'!$L$24:$GI$24,"&gt;="&amp;$BR172,'Tally Helper'!$L$24:$GI$24,"&lt;="&amp;$BS172)))</f>
        <v/>
      </c>
      <c r="AF172" s="17" t="str">
        <f aca="false">IF(OR(J$7="",$BR172=""),"",IF('Tally Helper'!$B$27&lt;&gt;TRUE(),"not on Staff",SUMIFS('Tally Helper'!$L$29:$GI$29,'Tally Helper'!$L$27:$GI$27,"&gt;="&amp;$BR172,'Tally Helper'!$L$27:$GI$27,"&lt;="&amp;$BS172)))</f>
        <v/>
      </c>
      <c r="AG172" s="17" t="str">
        <f aca="false">IF(OR(K$7="",$BR172=""),"",IF('Tally Helper'!$B$30&lt;&gt;TRUE(),"not on Staff",SUMIFS('Tally Helper'!$L$32:$GI$32,'Tally Helper'!$L$30:$GI$30,"&gt;="&amp;$BR172,'Tally Helper'!$L$30:$GI$30,"&lt;="&amp;$BS172)))</f>
        <v/>
      </c>
      <c r="AH172" s="17" t="str">
        <f aca="false">IF(OR(L$7="",$BR172=""),"",IF('Tally Helper'!$B$33&lt;&gt;TRUE(),"not on Staff",SUMIFS('Tally Helper'!$L$35:$GI$35,'Tally Helper'!$L$33:$GI$33,"&gt;="&amp;$BR172,'Tally Helper'!$L$33:$GI$33,"&lt;="&amp;$BS172)))</f>
        <v/>
      </c>
      <c r="AI172" s="17" t="str">
        <f aca="false">IF(OR(M$7="",$BR172=""),"",IF('Tally Helper'!$B$36&lt;&gt;TRUE(),"not on Staff",SUMIFS('Tally Helper'!$L$38:$GI$38,'Tally Helper'!$L$36:$GI$36,"&gt;="&amp;$BR172,'Tally Helper'!$L$36:$GI$36,"&lt;="&amp;$BS172)))</f>
        <v/>
      </c>
      <c r="AJ172" s="17" t="str">
        <f aca="false">IF(OR(N$7="",$BR172=""),"",IF('Tally Helper'!$B$39&lt;&gt;TRUE(),"not on Staff",SUMIFS('Tally Helper'!$L$41:$GI$41,'Tally Helper'!$L$39:$GI$39,"&gt;="&amp;$BR172,'Tally Helper'!$L$39:$GI$39,"&lt;="&amp;$BS172)))</f>
        <v/>
      </c>
      <c r="AK172" s="17" t="str">
        <f aca="false">IF(OR(O$7="",$BR172=""),"",IF('Tally Helper'!$B$42&lt;&gt;TRUE(),"not on Staff",SUMIFS('Tally Helper'!$L$44:$GI$44,'Tally Helper'!$L$42:$GI$42,"&gt;="&amp;$BR172,'Tally Helper'!$L$42:$GI$42,"&lt;="&amp;$BS172)))</f>
        <v/>
      </c>
      <c r="AL172" s="17" t="str">
        <f aca="false">IF(OR(P$7="",$BR172=""),"",IF('Tally Helper'!$B$45&lt;&gt;TRUE(),"not on Staff",SUMIFS('Tally Helper'!$L$47:$GI$47,'Tally Helper'!$L$45:$GI$45,"&gt;="&amp;$BR172,'Tally Helper'!$L$45:$GI$45,"&lt;="&amp;$BS172)))</f>
        <v/>
      </c>
      <c r="AM172" s="17" t="str">
        <f aca="false">IF(OR(Q$7="",$BR172=""),"",IF('Tally Helper'!$B$48&lt;&gt;TRUE(),"not on Staff",SUMIFS('Tally Helper'!$L$50:$GI$50,'Tally Helper'!$L$48:$GI$48,"&gt;="&amp;$BR172,'Tally Helper'!$L$48:$GI$48,"&lt;="&amp;$BS172)))</f>
        <v/>
      </c>
      <c r="AN172" s="17" t="str">
        <f aca="false">IF(OR(R$7="",$BR172=""),"",IF('Tally Helper'!$B$51&lt;&gt;TRUE(),"not on Staff",SUMIFS('Tally Helper'!$L$53:$GI$53,'Tally Helper'!$L$51:$GI$51,"&gt;="&amp;$BR172,'Tally Helper'!$L$51:$GI$51,"&lt;="&amp;$BS172)))</f>
        <v/>
      </c>
      <c r="AO172" s="17" t="str">
        <f aca="false">IF(OR(S$7="",$BR172=""),"",IF('Tally Helper'!$B$54&lt;&gt;TRUE(),"not on Staff",SUMIFS('Tally Helper'!$L$56:$GI$56,'Tally Helper'!$L$54:$GI$54,"&gt;="&amp;$BR172,'Tally Helper'!$L$54:$GI$54,"&lt;="&amp;$BS172)))</f>
        <v/>
      </c>
      <c r="AP172" s="17" t="str">
        <f aca="false">IF(OR(T$7="",$BR172=""),"",IF('Tally Helper'!$B$57&lt;&gt;TRUE(),"not on Staff",SUMIFS('Tally Helper'!$L$59:$GI$59,'Tally Helper'!$L$57:$GI$57,"&gt;="&amp;$BR172,'Tally Helper'!$L$57:$GI$57,"&lt;="&amp;$BS172)))</f>
        <v/>
      </c>
      <c r="AQ172" s="17" t="str">
        <f aca="false">IF(OR(U$7="",$BR172=""),"",IF('Tally Helper'!$B$60&lt;&gt;TRUE(),"not on Staff",SUMIFS('Tally Helper'!$L$62:$GI$62,'Tally Helper'!$L$60:$GI$60,"&gt;="&amp;$BR172,'Tally Helper'!$L$60:$GI$60,"&lt;="&amp;$BS172)))</f>
        <v/>
      </c>
      <c r="AT172" s="17" t="str">
        <f aca="false">IF(OR(X172="",NOT(ISNUMBER(X172))),"",X172-N(B172))</f>
        <v/>
      </c>
      <c r="AU172" s="17" t="str">
        <f aca="false">IF(OR(Y172="",NOT(ISNUMBER(Y172))),"",Y172-N(C172))</f>
        <v/>
      </c>
      <c r="AV172" s="17" t="str">
        <f aca="false">IF(OR(Z172="",NOT(ISNUMBER(Z172))),"",Z172-N(D172))</f>
        <v/>
      </c>
      <c r="AW172" s="17" t="str">
        <f aca="false">IF(OR(AA172="",NOT(ISNUMBER(AA172))),"",AA172-N(E172))</f>
        <v/>
      </c>
      <c r="AX172" s="17" t="str">
        <f aca="false">IF(OR(AB172="",NOT(ISNUMBER(AB172))),"",AB172-N(F172))</f>
        <v/>
      </c>
      <c r="AY172" s="17" t="str">
        <f aca="false">IF(OR(AC172="",NOT(ISNUMBER(AC172))),"",AC172-N(G172))</f>
        <v/>
      </c>
      <c r="AZ172" s="17" t="str">
        <f aca="false">IF(OR(AD172="",NOT(ISNUMBER(AD172))),"",AD172-N(H172))</f>
        <v/>
      </c>
      <c r="BA172" s="17" t="str">
        <f aca="false">IF(OR(AE172="",NOT(ISNUMBER(AE172))),"",AE172-N(I172))</f>
        <v/>
      </c>
      <c r="BB172" s="17" t="str">
        <f aca="false">IF(OR(AF172="",NOT(ISNUMBER(AF172))),"",AF172-N(J172))</f>
        <v/>
      </c>
      <c r="BC172" s="17" t="str">
        <f aca="false">IF(OR(AG172="",NOT(ISNUMBER(AG172))),"",AG172-N(K172))</f>
        <v/>
      </c>
      <c r="BD172" s="17" t="str">
        <f aca="false">IF(OR(AH172="",NOT(ISNUMBER(AH172))),"",AH172-N(L172))</f>
        <v/>
      </c>
      <c r="BE172" s="17" t="str">
        <f aca="false">IF(OR(AI172="",NOT(ISNUMBER(AI172))),"",AI172-N(M172))</f>
        <v/>
      </c>
      <c r="BF172" s="17" t="str">
        <f aca="false">IF(OR(AJ172="",NOT(ISNUMBER(AJ172))),"",AJ172-N(N172))</f>
        <v/>
      </c>
      <c r="BG172" s="17" t="str">
        <f aca="false">IF(OR(AK172="",NOT(ISNUMBER(AK172))),"",AK172-N(O172))</f>
        <v/>
      </c>
      <c r="BH172" s="17" t="str">
        <f aca="false">IF(OR(AL172="",NOT(ISNUMBER(AL172))),"",AL172-N(P172))</f>
        <v/>
      </c>
      <c r="BI172" s="17" t="str">
        <f aca="false">IF(OR(AM172="",NOT(ISNUMBER(AM172))),"",AM172-N(Q172))</f>
        <v/>
      </c>
      <c r="BJ172" s="17" t="str">
        <f aca="false">IF(OR(AN172="",NOT(ISNUMBER(AN172))),"",AN172-N(R172))</f>
        <v/>
      </c>
      <c r="BK172" s="17" t="str">
        <f aca="false">IF(OR(AO172="",NOT(ISNUMBER(AO172))),"",AO172-N(S172))</f>
        <v/>
      </c>
      <c r="BL172" s="17" t="str">
        <f aca="false">IF(OR(AP172="",NOT(ISNUMBER(AP172))),"",AP172-N(T172))</f>
        <v/>
      </c>
      <c r="BM172" s="17" t="str">
        <f aca="false">IF(OR(AQ172="",NOT(ISNUMBER(AQ172))),"",AQ172-N(U172))</f>
        <v/>
      </c>
      <c r="BR172" s="20" t="str">
        <f aca="false">IF($A172="","",IF(ISNUMBER($A172),DATE(YEAR($A172),MONTH($A172),1),IFERROR(DATE(2000+VALUE(RIGHT(TRIM($A172),2)),MATCH(UPPER(LEFT(TRIM($A172),3)),{"JAN","FEB","MAR","APR","MAY","JUN","JUL","AUG","SEP","OCT","NOV","DEC"},0),1),"")))</f>
        <v/>
      </c>
      <c r="BS172" s="20" t="str">
        <f aca="false">IF(BR172="","",EOMONTH(BR172,0))</f>
        <v/>
      </c>
    </row>
    <row r="173" customFormat="false" ht="15" hidden="false" customHeight="false" outlineLevel="0" collapsed="false">
      <c r="B173" s="21"/>
      <c r="C173" s="21"/>
      <c r="D173" s="21"/>
      <c r="E173" s="21"/>
      <c r="F173" s="21"/>
      <c r="G173" s="21"/>
      <c r="H173" s="21"/>
      <c r="I173" s="21"/>
      <c r="J173" s="21"/>
      <c r="K173" s="21"/>
      <c r="L173" s="21"/>
      <c r="M173" s="21"/>
      <c r="N173" s="21"/>
      <c r="O173" s="21"/>
      <c r="P173" s="21"/>
      <c r="Q173" s="21"/>
      <c r="R173" s="21"/>
      <c r="S173" s="21"/>
      <c r="T173" s="21"/>
      <c r="U173" s="21"/>
      <c r="X173" s="17" t="str">
        <f aca="false">IF(OR(B$7="",$BR173=""),"",IF('Tally Helper'!$B$3&lt;&gt;TRUE(),"not on Staff",SUMIFS('Tally Helper'!$L$5:$GI$5,'Tally Helper'!$L$3:$GI$3,"&gt;="&amp;$BR173,'Tally Helper'!$L$3:$GI$3,"&lt;="&amp;$BS173)))</f>
        <v/>
      </c>
      <c r="Y173" s="17" t="str">
        <f aca="false">IF(OR(C$7="",$BR173=""),"",IF('Tally Helper'!$B$6&lt;&gt;TRUE(),"not on Staff",SUMIFS('Tally Helper'!$L$8:$GI$8,'Tally Helper'!$L$6:$GI$6,"&gt;="&amp;$BR173,'Tally Helper'!$L$6:$GI$6,"&lt;="&amp;$BS173)))</f>
        <v/>
      </c>
      <c r="Z173" s="17" t="str">
        <f aca="false">IF(OR(D$7="",$BR173=""),"",IF('Tally Helper'!$B$9&lt;&gt;TRUE(),"not on Staff",SUMIFS('Tally Helper'!$L$11:$GI$11,'Tally Helper'!$L$9:$GI$9,"&gt;="&amp;$BR173,'Tally Helper'!$L$9:$GI$9,"&lt;="&amp;$BS173)))</f>
        <v/>
      </c>
      <c r="AA173" s="17" t="str">
        <f aca="false">IF(OR(E$7="",$BR173=""),"",IF('Tally Helper'!$B$12&lt;&gt;TRUE(),"not on Staff",SUMIFS('Tally Helper'!$L$14:$GI$14,'Tally Helper'!$L$12:$GI$12,"&gt;="&amp;$BR173,'Tally Helper'!$L$12:$GI$12,"&lt;="&amp;$BS173)))</f>
        <v/>
      </c>
      <c r="AB173" s="17" t="str">
        <f aca="false">IF(OR(F$7="",$BR173=""),"",IF('Tally Helper'!$B$15&lt;&gt;TRUE(),"not on Staff",SUMIFS('Tally Helper'!$L$17:$GI$17,'Tally Helper'!$L$15:$GI$15,"&gt;="&amp;$BR173,'Tally Helper'!$L$15:$GI$15,"&lt;="&amp;$BS173)))</f>
        <v/>
      </c>
      <c r="AC173" s="17" t="str">
        <f aca="false">IF(OR(G$7="",$BR173=""),"",IF('Tally Helper'!$B$18&lt;&gt;TRUE(),"not on Staff",SUMIFS('Tally Helper'!$L$20:$GI$20,'Tally Helper'!$L$18:$GI$18,"&gt;="&amp;$BR173,'Tally Helper'!$L$18:$GI$18,"&lt;="&amp;$BS173)))</f>
        <v/>
      </c>
      <c r="AD173" s="17" t="str">
        <f aca="false">IF(OR(H$7="",$BR173=""),"",IF('Tally Helper'!$B$21&lt;&gt;TRUE(),"not on Staff",SUMIFS('Tally Helper'!$L$23:$GI$23,'Tally Helper'!$L$21:$GI$21,"&gt;="&amp;$BR173,'Tally Helper'!$L$21:$GI$21,"&lt;="&amp;$BS173)))</f>
        <v/>
      </c>
      <c r="AE173" s="17" t="str">
        <f aca="false">IF(OR(I$7="",$BR173=""),"",IF('Tally Helper'!$B$24&lt;&gt;TRUE(),"not on Staff",SUMIFS('Tally Helper'!$L$26:$GI$26,'Tally Helper'!$L$24:$GI$24,"&gt;="&amp;$BR173,'Tally Helper'!$L$24:$GI$24,"&lt;="&amp;$BS173)))</f>
        <v/>
      </c>
      <c r="AF173" s="17" t="str">
        <f aca="false">IF(OR(J$7="",$BR173=""),"",IF('Tally Helper'!$B$27&lt;&gt;TRUE(),"not on Staff",SUMIFS('Tally Helper'!$L$29:$GI$29,'Tally Helper'!$L$27:$GI$27,"&gt;="&amp;$BR173,'Tally Helper'!$L$27:$GI$27,"&lt;="&amp;$BS173)))</f>
        <v/>
      </c>
      <c r="AG173" s="17" t="str">
        <f aca="false">IF(OR(K$7="",$BR173=""),"",IF('Tally Helper'!$B$30&lt;&gt;TRUE(),"not on Staff",SUMIFS('Tally Helper'!$L$32:$GI$32,'Tally Helper'!$L$30:$GI$30,"&gt;="&amp;$BR173,'Tally Helper'!$L$30:$GI$30,"&lt;="&amp;$BS173)))</f>
        <v/>
      </c>
      <c r="AH173" s="17" t="str">
        <f aca="false">IF(OR(L$7="",$BR173=""),"",IF('Tally Helper'!$B$33&lt;&gt;TRUE(),"not on Staff",SUMIFS('Tally Helper'!$L$35:$GI$35,'Tally Helper'!$L$33:$GI$33,"&gt;="&amp;$BR173,'Tally Helper'!$L$33:$GI$33,"&lt;="&amp;$BS173)))</f>
        <v/>
      </c>
      <c r="AI173" s="17" t="str">
        <f aca="false">IF(OR(M$7="",$BR173=""),"",IF('Tally Helper'!$B$36&lt;&gt;TRUE(),"not on Staff",SUMIFS('Tally Helper'!$L$38:$GI$38,'Tally Helper'!$L$36:$GI$36,"&gt;="&amp;$BR173,'Tally Helper'!$L$36:$GI$36,"&lt;="&amp;$BS173)))</f>
        <v/>
      </c>
      <c r="AJ173" s="17" t="str">
        <f aca="false">IF(OR(N$7="",$BR173=""),"",IF('Tally Helper'!$B$39&lt;&gt;TRUE(),"not on Staff",SUMIFS('Tally Helper'!$L$41:$GI$41,'Tally Helper'!$L$39:$GI$39,"&gt;="&amp;$BR173,'Tally Helper'!$L$39:$GI$39,"&lt;="&amp;$BS173)))</f>
        <v/>
      </c>
      <c r="AK173" s="17" t="str">
        <f aca="false">IF(OR(O$7="",$BR173=""),"",IF('Tally Helper'!$B$42&lt;&gt;TRUE(),"not on Staff",SUMIFS('Tally Helper'!$L$44:$GI$44,'Tally Helper'!$L$42:$GI$42,"&gt;="&amp;$BR173,'Tally Helper'!$L$42:$GI$42,"&lt;="&amp;$BS173)))</f>
        <v/>
      </c>
      <c r="AL173" s="17" t="str">
        <f aca="false">IF(OR(P$7="",$BR173=""),"",IF('Tally Helper'!$B$45&lt;&gt;TRUE(),"not on Staff",SUMIFS('Tally Helper'!$L$47:$GI$47,'Tally Helper'!$L$45:$GI$45,"&gt;="&amp;$BR173,'Tally Helper'!$L$45:$GI$45,"&lt;="&amp;$BS173)))</f>
        <v/>
      </c>
      <c r="AM173" s="17" t="str">
        <f aca="false">IF(OR(Q$7="",$BR173=""),"",IF('Tally Helper'!$B$48&lt;&gt;TRUE(),"not on Staff",SUMIFS('Tally Helper'!$L$50:$GI$50,'Tally Helper'!$L$48:$GI$48,"&gt;="&amp;$BR173,'Tally Helper'!$L$48:$GI$48,"&lt;="&amp;$BS173)))</f>
        <v/>
      </c>
      <c r="AN173" s="17" t="str">
        <f aca="false">IF(OR(R$7="",$BR173=""),"",IF('Tally Helper'!$B$51&lt;&gt;TRUE(),"not on Staff",SUMIFS('Tally Helper'!$L$53:$GI$53,'Tally Helper'!$L$51:$GI$51,"&gt;="&amp;$BR173,'Tally Helper'!$L$51:$GI$51,"&lt;="&amp;$BS173)))</f>
        <v/>
      </c>
      <c r="AO173" s="17" t="str">
        <f aca="false">IF(OR(S$7="",$BR173=""),"",IF('Tally Helper'!$B$54&lt;&gt;TRUE(),"not on Staff",SUMIFS('Tally Helper'!$L$56:$GI$56,'Tally Helper'!$L$54:$GI$54,"&gt;="&amp;$BR173,'Tally Helper'!$L$54:$GI$54,"&lt;="&amp;$BS173)))</f>
        <v/>
      </c>
      <c r="AP173" s="17" t="str">
        <f aca="false">IF(OR(T$7="",$BR173=""),"",IF('Tally Helper'!$B$57&lt;&gt;TRUE(),"not on Staff",SUMIFS('Tally Helper'!$L$59:$GI$59,'Tally Helper'!$L$57:$GI$57,"&gt;="&amp;$BR173,'Tally Helper'!$L$57:$GI$57,"&lt;="&amp;$BS173)))</f>
        <v/>
      </c>
      <c r="AQ173" s="17" t="str">
        <f aca="false">IF(OR(U$7="",$BR173=""),"",IF('Tally Helper'!$B$60&lt;&gt;TRUE(),"not on Staff",SUMIFS('Tally Helper'!$L$62:$GI$62,'Tally Helper'!$L$60:$GI$60,"&gt;="&amp;$BR173,'Tally Helper'!$L$60:$GI$60,"&lt;="&amp;$BS173)))</f>
        <v/>
      </c>
      <c r="AT173" s="17" t="str">
        <f aca="false">IF(OR(X173="",NOT(ISNUMBER(X173))),"",X173-N(B173))</f>
        <v/>
      </c>
      <c r="AU173" s="17" t="str">
        <f aca="false">IF(OR(Y173="",NOT(ISNUMBER(Y173))),"",Y173-N(C173))</f>
        <v/>
      </c>
      <c r="AV173" s="17" t="str">
        <f aca="false">IF(OR(Z173="",NOT(ISNUMBER(Z173))),"",Z173-N(D173))</f>
        <v/>
      </c>
      <c r="AW173" s="17" t="str">
        <f aca="false">IF(OR(AA173="",NOT(ISNUMBER(AA173))),"",AA173-N(E173))</f>
        <v/>
      </c>
      <c r="AX173" s="17" t="str">
        <f aca="false">IF(OR(AB173="",NOT(ISNUMBER(AB173))),"",AB173-N(F173))</f>
        <v/>
      </c>
      <c r="AY173" s="17" t="str">
        <f aca="false">IF(OR(AC173="",NOT(ISNUMBER(AC173))),"",AC173-N(G173))</f>
        <v/>
      </c>
      <c r="AZ173" s="17" t="str">
        <f aca="false">IF(OR(AD173="",NOT(ISNUMBER(AD173))),"",AD173-N(H173))</f>
        <v/>
      </c>
      <c r="BA173" s="17" t="str">
        <f aca="false">IF(OR(AE173="",NOT(ISNUMBER(AE173))),"",AE173-N(I173))</f>
        <v/>
      </c>
      <c r="BB173" s="17" t="str">
        <f aca="false">IF(OR(AF173="",NOT(ISNUMBER(AF173))),"",AF173-N(J173))</f>
        <v/>
      </c>
      <c r="BC173" s="17" t="str">
        <f aca="false">IF(OR(AG173="",NOT(ISNUMBER(AG173))),"",AG173-N(K173))</f>
        <v/>
      </c>
      <c r="BD173" s="17" t="str">
        <f aca="false">IF(OR(AH173="",NOT(ISNUMBER(AH173))),"",AH173-N(L173))</f>
        <v/>
      </c>
      <c r="BE173" s="17" t="str">
        <f aca="false">IF(OR(AI173="",NOT(ISNUMBER(AI173))),"",AI173-N(M173))</f>
        <v/>
      </c>
      <c r="BF173" s="17" t="str">
        <f aca="false">IF(OR(AJ173="",NOT(ISNUMBER(AJ173))),"",AJ173-N(N173))</f>
        <v/>
      </c>
      <c r="BG173" s="17" t="str">
        <f aca="false">IF(OR(AK173="",NOT(ISNUMBER(AK173))),"",AK173-N(O173))</f>
        <v/>
      </c>
      <c r="BH173" s="17" t="str">
        <f aca="false">IF(OR(AL173="",NOT(ISNUMBER(AL173))),"",AL173-N(P173))</f>
        <v/>
      </c>
      <c r="BI173" s="17" t="str">
        <f aca="false">IF(OR(AM173="",NOT(ISNUMBER(AM173))),"",AM173-N(Q173))</f>
        <v/>
      </c>
      <c r="BJ173" s="17" t="str">
        <f aca="false">IF(OR(AN173="",NOT(ISNUMBER(AN173))),"",AN173-N(R173))</f>
        <v/>
      </c>
      <c r="BK173" s="17" t="str">
        <f aca="false">IF(OR(AO173="",NOT(ISNUMBER(AO173))),"",AO173-N(S173))</f>
        <v/>
      </c>
      <c r="BL173" s="17" t="str">
        <f aca="false">IF(OR(AP173="",NOT(ISNUMBER(AP173))),"",AP173-N(T173))</f>
        <v/>
      </c>
      <c r="BM173" s="17" t="str">
        <f aca="false">IF(OR(AQ173="",NOT(ISNUMBER(AQ173))),"",AQ173-N(U173))</f>
        <v/>
      </c>
      <c r="BR173" s="20" t="str">
        <f aca="false">IF($A173="","",IF(ISNUMBER($A173),DATE(YEAR($A173),MONTH($A173),1),IFERROR(DATE(2000+VALUE(RIGHT(TRIM($A173),2)),MATCH(UPPER(LEFT(TRIM($A173),3)),{"JAN","FEB","MAR","APR","MAY","JUN","JUL","AUG","SEP","OCT","NOV","DEC"},0),1),"")))</f>
        <v/>
      </c>
      <c r="BS173" s="20" t="str">
        <f aca="false">IF(BR173="","",EOMONTH(BR173,0))</f>
        <v/>
      </c>
    </row>
    <row r="174" customFormat="false" ht="15" hidden="false" customHeight="false" outlineLevel="0" collapsed="false">
      <c r="B174" s="21"/>
      <c r="C174" s="21"/>
      <c r="D174" s="21"/>
      <c r="E174" s="21"/>
      <c r="F174" s="21"/>
      <c r="G174" s="21"/>
      <c r="H174" s="21"/>
      <c r="I174" s="21"/>
      <c r="J174" s="21"/>
      <c r="K174" s="21"/>
      <c r="L174" s="21"/>
      <c r="M174" s="21"/>
      <c r="N174" s="21"/>
      <c r="O174" s="21"/>
      <c r="P174" s="21"/>
      <c r="Q174" s="21"/>
      <c r="R174" s="21"/>
      <c r="S174" s="21"/>
      <c r="T174" s="21"/>
      <c r="U174" s="21"/>
      <c r="X174" s="17" t="str">
        <f aca="false">IF(OR(B$7="",$BR174=""),"",IF('Tally Helper'!$B$3&lt;&gt;TRUE(),"not on Staff",SUMIFS('Tally Helper'!$L$5:$GI$5,'Tally Helper'!$L$3:$GI$3,"&gt;="&amp;$BR174,'Tally Helper'!$L$3:$GI$3,"&lt;="&amp;$BS174)))</f>
        <v/>
      </c>
      <c r="Y174" s="17" t="str">
        <f aca="false">IF(OR(C$7="",$BR174=""),"",IF('Tally Helper'!$B$6&lt;&gt;TRUE(),"not on Staff",SUMIFS('Tally Helper'!$L$8:$GI$8,'Tally Helper'!$L$6:$GI$6,"&gt;="&amp;$BR174,'Tally Helper'!$L$6:$GI$6,"&lt;="&amp;$BS174)))</f>
        <v/>
      </c>
      <c r="Z174" s="17" t="str">
        <f aca="false">IF(OR(D$7="",$BR174=""),"",IF('Tally Helper'!$B$9&lt;&gt;TRUE(),"not on Staff",SUMIFS('Tally Helper'!$L$11:$GI$11,'Tally Helper'!$L$9:$GI$9,"&gt;="&amp;$BR174,'Tally Helper'!$L$9:$GI$9,"&lt;="&amp;$BS174)))</f>
        <v/>
      </c>
      <c r="AA174" s="17" t="str">
        <f aca="false">IF(OR(E$7="",$BR174=""),"",IF('Tally Helper'!$B$12&lt;&gt;TRUE(),"not on Staff",SUMIFS('Tally Helper'!$L$14:$GI$14,'Tally Helper'!$L$12:$GI$12,"&gt;="&amp;$BR174,'Tally Helper'!$L$12:$GI$12,"&lt;="&amp;$BS174)))</f>
        <v/>
      </c>
      <c r="AB174" s="17" t="str">
        <f aca="false">IF(OR(F$7="",$BR174=""),"",IF('Tally Helper'!$B$15&lt;&gt;TRUE(),"not on Staff",SUMIFS('Tally Helper'!$L$17:$GI$17,'Tally Helper'!$L$15:$GI$15,"&gt;="&amp;$BR174,'Tally Helper'!$L$15:$GI$15,"&lt;="&amp;$BS174)))</f>
        <v/>
      </c>
      <c r="AC174" s="17" t="str">
        <f aca="false">IF(OR(G$7="",$BR174=""),"",IF('Tally Helper'!$B$18&lt;&gt;TRUE(),"not on Staff",SUMIFS('Tally Helper'!$L$20:$GI$20,'Tally Helper'!$L$18:$GI$18,"&gt;="&amp;$BR174,'Tally Helper'!$L$18:$GI$18,"&lt;="&amp;$BS174)))</f>
        <v/>
      </c>
      <c r="AD174" s="17" t="str">
        <f aca="false">IF(OR(H$7="",$BR174=""),"",IF('Tally Helper'!$B$21&lt;&gt;TRUE(),"not on Staff",SUMIFS('Tally Helper'!$L$23:$GI$23,'Tally Helper'!$L$21:$GI$21,"&gt;="&amp;$BR174,'Tally Helper'!$L$21:$GI$21,"&lt;="&amp;$BS174)))</f>
        <v/>
      </c>
      <c r="AE174" s="17" t="str">
        <f aca="false">IF(OR(I$7="",$BR174=""),"",IF('Tally Helper'!$B$24&lt;&gt;TRUE(),"not on Staff",SUMIFS('Tally Helper'!$L$26:$GI$26,'Tally Helper'!$L$24:$GI$24,"&gt;="&amp;$BR174,'Tally Helper'!$L$24:$GI$24,"&lt;="&amp;$BS174)))</f>
        <v/>
      </c>
      <c r="AF174" s="17" t="str">
        <f aca="false">IF(OR(J$7="",$BR174=""),"",IF('Tally Helper'!$B$27&lt;&gt;TRUE(),"not on Staff",SUMIFS('Tally Helper'!$L$29:$GI$29,'Tally Helper'!$L$27:$GI$27,"&gt;="&amp;$BR174,'Tally Helper'!$L$27:$GI$27,"&lt;="&amp;$BS174)))</f>
        <v/>
      </c>
      <c r="AG174" s="17" t="str">
        <f aca="false">IF(OR(K$7="",$BR174=""),"",IF('Tally Helper'!$B$30&lt;&gt;TRUE(),"not on Staff",SUMIFS('Tally Helper'!$L$32:$GI$32,'Tally Helper'!$L$30:$GI$30,"&gt;="&amp;$BR174,'Tally Helper'!$L$30:$GI$30,"&lt;="&amp;$BS174)))</f>
        <v/>
      </c>
      <c r="AH174" s="17" t="str">
        <f aca="false">IF(OR(L$7="",$BR174=""),"",IF('Tally Helper'!$B$33&lt;&gt;TRUE(),"not on Staff",SUMIFS('Tally Helper'!$L$35:$GI$35,'Tally Helper'!$L$33:$GI$33,"&gt;="&amp;$BR174,'Tally Helper'!$L$33:$GI$33,"&lt;="&amp;$BS174)))</f>
        <v/>
      </c>
      <c r="AI174" s="17" t="str">
        <f aca="false">IF(OR(M$7="",$BR174=""),"",IF('Tally Helper'!$B$36&lt;&gt;TRUE(),"not on Staff",SUMIFS('Tally Helper'!$L$38:$GI$38,'Tally Helper'!$L$36:$GI$36,"&gt;="&amp;$BR174,'Tally Helper'!$L$36:$GI$36,"&lt;="&amp;$BS174)))</f>
        <v/>
      </c>
      <c r="AJ174" s="17" t="str">
        <f aca="false">IF(OR(N$7="",$BR174=""),"",IF('Tally Helper'!$B$39&lt;&gt;TRUE(),"not on Staff",SUMIFS('Tally Helper'!$L$41:$GI$41,'Tally Helper'!$L$39:$GI$39,"&gt;="&amp;$BR174,'Tally Helper'!$L$39:$GI$39,"&lt;="&amp;$BS174)))</f>
        <v/>
      </c>
      <c r="AK174" s="17" t="str">
        <f aca="false">IF(OR(O$7="",$BR174=""),"",IF('Tally Helper'!$B$42&lt;&gt;TRUE(),"not on Staff",SUMIFS('Tally Helper'!$L$44:$GI$44,'Tally Helper'!$L$42:$GI$42,"&gt;="&amp;$BR174,'Tally Helper'!$L$42:$GI$42,"&lt;="&amp;$BS174)))</f>
        <v/>
      </c>
      <c r="AL174" s="17" t="str">
        <f aca="false">IF(OR(P$7="",$BR174=""),"",IF('Tally Helper'!$B$45&lt;&gt;TRUE(),"not on Staff",SUMIFS('Tally Helper'!$L$47:$GI$47,'Tally Helper'!$L$45:$GI$45,"&gt;="&amp;$BR174,'Tally Helper'!$L$45:$GI$45,"&lt;="&amp;$BS174)))</f>
        <v/>
      </c>
      <c r="AM174" s="17" t="str">
        <f aca="false">IF(OR(Q$7="",$BR174=""),"",IF('Tally Helper'!$B$48&lt;&gt;TRUE(),"not on Staff",SUMIFS('Tally Helper'!$L$50:$GI$50,'Tally Helper'!$L$48:$GI$48,"&gt;="&amp;$BR174,'Tally Helper'!$L$48:$GI$48,"&lt;="&amp;$BS174)))</f>
        <v/>
      </c>
      <c r="AN174" s="17" t="str">
        <f aca="false">IF(OR(R$7="",$BR174=""),"",IF('Tally Helper'!$B$51&lt;&gt;TRUE(),"not on Staff",SUMIFS('Tally Helper'!$L$53:$GI$53,'Tally Helper'!$L$51:$GI$51,"&gt;="&amp;$BR174,'Tally Helper'!$L$51:$GI$51,"&lt;="&amp;$BS174)))</f>
        <v/>
      </c>
      <c r="AO174" s="17" t="str">
        <f aca="false">IF(OR(S$7="",$BR174=""),"",IF('Tally Helper'!$B$54&lt;&gt;TRUE(),"not on Staff",SUMIFS('Tally Helper'!$L$56:$GI$56,'Tally Helper'!$L$54:$GI$54,"&gt;="&amp;$BR174,'Tally Helper'!$L$54:$GI$54,"&lt;="&amp;$BS174)))</f>
        <v/>
      </c>
      <c r="AP174" s="17" t="str">
        <f aca="false">IF(OR(T$7="",$BR174=""),"",IF('Tally Helper'!$B$57&lt;&gt;TRUE(),"not on Staff",SUMIFS('Tally Helper'!$L$59:$GI$59,'Tally Helper'!$L$57:$GI$57,"&gt;="&amp;$BR174,'Tally Helper'!$L$57:$GI$57,"&lt;="&amp;$BS174)))</f>
        <v/>
      </c>
      <c r="AQ174" s="17" t="str">
        <f aca="false">IF(OR(U$7="",$BR174=""),"",IF('Tally Helper'!$B$60&lt;&gt;TRUE(),"not on Staff",SUMIFS('Tally Helper'!$L$62:$GI$62,'Tally Helper'!$L$60:$GI$60,"&gt;="&amp;$BR174,'Tally Helper'!$L$60:$GI$60,"&lt;="&amp;$BS174)))</f>
        <v/>
      </c>
      <c r="AT174" s="17" t="str">
        <f aca="false">IF(OR(X174="",NOT(ISNUMBER(X174))),"",X174-N(B174))</f>
        <v/>
      </c>
      <c r="AU174" s="17" t="str">
        <f aca="false">IF(OR(Y174="",NOT(ISNUMBER(Y174))),"",Y174-N(C174))</f>
        <v/>
      </c>
      <c r="AV174" s="17" t="str">
        <f aca="false">IF(OR(Z174="",NOT(ISNUMBER(Z174))),"",Z174-N(D174))</f>
        <v/>
      </c>
      <c r="AW174" s="17" t="str">
        <f aca="false">IF(OR(AA174="",NOT(ISNUMBER(AA174))),"",AA174-N(E174))</f>
        <v/>
      </c>
      <c r="AX174" s="17" t="str">
        <f aca="false">IF(OR(AB174="",NOT(ISNUMBER(AB174))),"",AB174-N(F174))</f>
        <v/>
      </c>
      <c r="AY174" s="17" t="str">
        <f aca="false">IF(OR(AC174="",NOT(ISNUMBER(AC174))),"",AC174-N(G174))</f>
        <v/>
      </c>
      <c r="AZ174" s="17" t="str">
        <f aca="false">IF(OR(AD174="",NOT(ISNUMBER(AD174))),"",AD174-N(H174))</f>
        <v/>
      </c>
      <c r="BA174" s="17" t="str">
        <f aca="false">IF(OR(AE174="",NOT(ISNUMBER(AE174))),"",AE174-N(I174))</f>
        <v/>
      </c>
      <c r="BB174" s="17" t="str">
        <f aca="false">IF(OR(AF174="",NOT(ISNUMBER(AF174))),"",AF174-N(J174))</f>
        <v/>
      </c>
      <c r="BC174" s="17" t="str">
        <f aca="false">IF(OR(AG174="",NOT(ISNUMBER(AG174))),"",AG174-N(K174))</f>
        <v/>
      </c>
      <c r="BD174" s="17" t="str">
        <f aca="false">IF(OR(AH174="",NOT(ISNUMBER(AH174))),"",AH174-N(L174))</f>
        <v/>
      </c>
      <c r="BE174" s="17" t="str">
        <f aca="false">IF(OR(AI174="",NOT(ISNUMBER(AI174))),"",AI174-N(M174))</f>
        <v/>
      </c>
      <c r="BF174" s="17" t="str">
        <f aca="false">IF(OR(AJ174="",NOT(ISNUMBER(AJ174))),"",AJ174-N(N174))</f>
        <v/>
      </c>
      <c r="BG174" s="17" t="str">
        <f aca="false">IF(OR(AK174="",NOT(ISNUMBER(AK174))),"",AK174-N(O174))</f>
        <v/>
      </c>
      <c r="BH174" s="17" t="str">
        <f aca="false">IF(OR(AL174="",NOT(ISNUMBER(AL174))),"",AL174-N(P174))</f>
        <v/>
      </c>
      <c r="BI174" s="17" t="str">
        <f aca="false">IF(OR(AM174="",NOT(ISNUMBER(AM174))),"",AM174-N(Q174))</f>
        <v/>
      </c>
      <c r="BJ174" s="17" t="str">
        <f aca="false">IF(OR(AN174="",NOT(ISNUMBER(AN174))),"",AN174-N(R174))</f>
        <v/>
      </c>
      <c r="BK174" s="17" t="str">
        <f aca="false">IF(OR(AO174="",NOT(ISNUMBER(AO174))),"",AO174-N(S174))</f>
        <v/>
      </c>
      <c r="BL174" s="17" t="str">
        <f aca="false">IF(OR(AP174="",NOT(ISNUMBER(AP174))),"",AP174-N(T174))</f>
        <v/>
      </c>
      <c r="BM174" s="17" t="str">
        <f aca="false">IF(OR(AQ174="",NOT(ISNUMBER(AQ174))),"",AQ174-N(U174))</f>
        <v/>
      </c>
      <c r="BR174" s="20" t="str">
        <f aca="false">IF($A174="","",IF(ISNUMBER($A174),DATE(YEAR($A174),MONTH($A174),1),IFERROR(DATE(2000+VALUE(RIGHT(TRIM($A174),2)),MATCH(UPPER(LEFT(TRIM($A174),3)),{"JAN","FEB","MAR","APR","MAY","JUN","JUL","AUG","SEP","OCT","NOV","DEC"},0),1),"")))</f>
        <v/>
      </c>
      <c r="BS174" s="20" t="str">
        <f aca="false">IF(BR174="","",EOMONTH(BR174,0))</f>
        <v/>
      </c>
    </row>
    <row r="175" customFormat="false" ht="15" hidden="false" customHeight="false" outlineLevel="0" collapsed="false">
      <c r="B175" s="21"/>
      <c r="C175" s="21"/>
      <c r="D175" s="21"/>
      <c r="E175" s="21"/>
      <c r="F175" s="21"/>
      <c r="G175" s="21"/>
      <c r="H175" s="21"/>
      <c r="I175" s="21"/>
      <c r="J175" s="21"/>
      <c r="K175" s="21"/>
      <c r="L175" s="21"/>
      <c r="M175" s="21"/>
      <c r="N175" s="21"/>
      <c r="O175" s="21"/>
      <c r="P175" s="21"/>
      <c r="Q175" s="21"/>
      <c r="R175" s="21"/>
      <c r="S175" s="21"/>
      <c r="T175" s="21"/>
      <c r="U175" s="21"/>
      <c r="X175" s="17" t="str">
        <f aca="false">IF(OR(B$7="",$BR175=""),"",IF('Tally Helper'!$B$3&lt;&gt;TRUE(),"not on Staff",SUMIFS('Tally Helper'!$L$5:$GI$5,'Tally Helper'!$L$3:$GI$3,"&gt;="&amp;$BR175,'Tally Helper'!$L$3:$GI$3,"&lt;="&amp;$BS175)))</f>
        <v/>
      </c>
      <c r="Y175" s="17" t="str">
        <f aca="false">IF(OR(C$7="",$BR175=""),"",IF('Tally Helper'!$B$6&lt;&gt;TRUE(),"not on Staff",SUMIFS('Tally Helper'!$L$8:$GI$8,'Tally Helper'!$L$6:$GI$6,"&gt;="&amp;$BR175,'Tally Helper'!$L$6:$GI$6,"&lt;="&amp;$BS175)))</f>
        <v/>
      </c>
      <c r="Z175" s="17" t="str">
        <f aca="false">IF(OR(D$7="",$BR175=""),"",IF('Tally Helper'!$B$9&lt;&gt;TRUE(),"not on Staff",SUMIFS('Tally Helper'!$L$11:$GI$11,'Tally Helper'!$L$9:$GI$9,"&gt;="&amp;$BR175,'Tally Helper'!$L$9:$GI$9,"&lt;="&amp;$BS175)))</f>
        <v/>
      </c>
      <c r="AA175" s="17" t="str">
        <f aca="false">IF(OR(E$7="",$BR175=""),"",IF('Tally Helper'!$B$12&lt;&gt;TRUE(),"not on Staff",SUMIFS('Tally Helper'!$L$14:$GI$14,'Tally Helper'!$L$12:$GI$12,"&gt;="&amp;$BR175,'Tally Helper'!$L$12:$GI$12,"&lt;="&amp;$BS175)))</f>
        <v/>
      </c>
      <c r="AB175" s="17" t="str">
        <f aca="false">IF(OR(F$7="",$BR175=""),"",IF('Tally Helper'!$B$15&lt;&gt;TRUE(),"not on Staff",SUMIFS('Tally Helper'!$L$17:$GI$17,'Tally Helper'!$L$15:$GI$15,"&gt;="&amp;$BR175,'Tally Helper'!$L$15:$GI$15,"&lt;="&amp;$BS175)))</f>
        <v/>
      </c>
      <c r="AC175" s="17" t="str">
        <f aca="false">IF(OR(G$7="",$BR175=""),"",IF('Tally Helper'!$B$18&lt;&gt;TRUE(),"not on Staff",SUMIFS('Tally Helper'!$L$20:$GI$20,'Tally Helper'!$L$18:$GI$18,"&gt;="&amp;$BR175,'Tally Helper'!$L$18:$GI$18,"&lt;="&amp;$BS175)))</f>
        <v/>
      </c>
      <c r="AD175" s="17" t="str">
        <f aca="false">IF(OR(H$7="",$BR175=""),"",IF('Tally Helper'!$B$21&lt;&gt;TRUE(),"not on Staff",SUMIFS('Tally Helper'!$L$23:$GI$23,'Tally Helper'!$L$21:$GI$21,"&gt;="&amp;$BR175,'Tally Helper'!$L$21:$GI$21,"&lt;="&amp;$BS175)))</f>
        <v/>
      </c>
      <c r="AE175" s="17" t="str">
        <f aca="false">IF(OR(I$7="",$BR175=""),"",IF('Tally Helper'!$B$24&lt;&gt;TRUE(),"not on Staff",SUMIFS('Tally Helper'!$L$26:$GI$26,'Tally Helper'!$L$24:$GI$24,"&gt;="&amp;$BR175,'Tally Helper'!$L$24:$GI$24,"&lt;="&amp;$BS175)))</f>
        <v/>
      </c>
      <c r="AF175" s="17" t="str">
        <f aca="false">IF(OR(J$7="",$BR175=""),"",IF('Tally Helper'!$B$27&lt;&gt;TRUE(),"not on Staff",SUMIFS('Tally Helper'!$L$29:$GI$29,'Tally Helper'!$L$27:$GI$27,"&gt;="&amp;$BR175,'Tally Helper'!$L$27:$GI$27,"&lt;="&amp;$BS175)))</f>
        <v/>
      </c>
      <c r="AG175" s="17" t="str">
        <f aca="false">IF(OR(K$7="",$BR175=""),"",IF('Tally Helper'!$B$30&lt;&gt;TRUE(),"not on Staff",SUMIFS('Tally Helper'!$L$32:$GI$32,'Tally Helper'!$L$30:$GI$30,"&gt;="&amp;$BR175,'Tally Helper'!$L$30:$GI$30,"&lt;="&amp;$BS175)))</f>
        <v/>
      </c>
      <c r="AH175" s="17" t="str">
        <f aca="false">IF(OR(L$7="",$BR175=""),"",IF('Tally Helper'!$B$33&lt;&gt;TRUE(),"not on Staff",SUMIFS('Tally Helper'!$L$35:$GI$35,'Tally Helper'!$L$33:$GI$33,"&gt;="&amp;$BR175,'Tally Helper'!$L$33:$GI$33,"&lt;="&amp;$BS175)))</f>
        <v/>
      </c>
      <c r="AI175" s="17" t="str">
        <f aca="false">IF(OR(M$7="",$BR175=""),"",IF('Tally Helper'!$B$36&lt;&gt;TRUE(),"not on Staff",SUMIFS('Tally Helper'!$L$38:$GI$38,'Tally Helper'!$L$36:$GI$36,"&gt;="&amp;$BR175,'Tally Helper'!$L$36:$GI$36,"&lt;="&amp;$BS175)))</f>
        <v/>
      </c>
      <c r="AJ175" s="17" t="str">
        <f aca="false">IF(OR(N$7="",$BR175=""),"",IF('Tally Helper'!$B$39&lt;&gt;TRUE(),"not on Staff",SUMIFS('Tally Helper'!$L$41:$GI$41,'Tally Helper'!$L$39:$GI$39,"&gt;="&amp;$BR175,'Tally Helper'!$L$39:$GI$39,"&lt;="&amp;$BS175)))</f>
        <v/>
      </c>
      <c r="AK175" s="17" t="str">
        <f aca="false">IF(OR(O$7="",$BR175=""),"",IF('Tally Helper'!$B$42&lt;&gt;TRUE(),"not on Staff",SUMIFS('Tally Helper'!$L$44:$GI$44,'Tally Helper'!$L$42:$GI$42,"&gt;="&amp;$BR175,'Tally Helper'!$L$42:$GI$42,"&lt;="&amp;$BS175)))</f>
        <v/>
      </c>
      <c r="AL175" s="17" t="str">
        <f aca="false">IF(OR(P$7="",$BR175=""),"",IF('Tally Helper'!$B$45&lt;&gt;TRUE(),"not on Staff",SUMIFS('Tally Helper'!$L$47:$GI$47,'Tally Helper'!$L$45:$GI$45,"&gt;="&amp;$BR175,'Tally Helper'!$L$45:$GI$45,"&lt;="&amp;$BS175)))</f>
        <v/>
      </c>
      <c r="AM175" s="17" t="str">
        <f aca="false">IF(OR(Q$7="",$BR175=""),"",IF('Tally Helper'!$B$48&lt;&gt;TRUE(),"not on Staff",SUMIFS('Tally Helper'!$L$50:$GI$50,'Tally Helper'!$L$48:$GI$48,"&gt;="&amp;$BR175,'Tally Helper'!$L$48:$GI$48,"&lt;="&amp;$BS175)))</f>
        <v/>
      </c>
      <c r="AN175" s="17" t="str">
        <f aca="false">IF(OR(R$7="",$BR175=""),"",IF('Tally Helper'!$B$51&lt;&gt;TRUE(),"not on Staff",SUMIFS('Tally Helper'!$L$53:$GI$53,'Tally Helper'!$L$51:$GI$51,"&gt;="&amp;$BR175,'Tally Helper'!$L$51:$GI$51,"&lt;="&amp;$BS175)))</f>
        <v/>
      </c>
      <c r="AO175" s="17" t="str">
        <f aca="false">IF(OR(S$7="",$BR175=""),"",IF('Tally Helper'!$B$54&lt;&gt;TRUE(),"not on Staff",SUMIFS('Tally Helper'!$L$56:$GI$56,'Tally Helper'!$L$54:$GI$54,"&gt;="&amp;$BR175,'Tally Helper'!$L$54:$GI$54,"&lt;="&amp;$BS175)))</f>
        <v/>
      </c>
      <c r="AP175" s="17" t="str">
        <f aca="false">IF(OR(T$7="",$BR175=""),"",IF('Tally Helper'!$B$57&lt;&gt;TRUE(),"not on Staff",SUMIFS('Tally Helper'!$L$59:$GI$59,'Tally Helper'!$L$57:$GI$57,"&gt;="&amp;$BR175,'Tally Helper'!$L$57:$GI$57,"&lt;="&amp;$BS175)))</f>
        <v/>
      </c>
      <c r="AQ175" s="17" t="str">
        <f aca="false">IF(OR(U$7="",$BR175=""),"",IF('Tally Helper'!$B$60&lt;&gt;TRUE(),"not on Staff",SUMIFS('Tally Helper'!$L$62:$GI$62,'Tally Helper'!$L$60:$GI$60,"&gt;="&amp;$BR175,'Tally Helper'!$L$60:$GI$60,"&lt;="&amp;$BS175)))</f>
        <v/>
      </c>
      <c r="AT175" s="17" t="str">
        <f aca="false">IF(OR(X175="",NOT(ISNUMBER(X175))),"",X175-N(B175))</f>
        <v/>
      </c>
      <c r="AU175" s="17" t="str">
        <f aca="false">IF(OR(Y175="",NOT(ISNUMBER(Y175))),"",Y175-N(C175))</f>
        <v/>
      </c>
      <c r="AV175" s="17" t="str">
        <f aca="false">IF(OR(Z175="",NOT(ISNUMBER(Z175))),"",Z175-N(D175))</f>
        <v/>
      </c>
      <c r="AW175" s="17" t="str">
        <f aca="false">IF(OR(AA175="",NOT(ISNUMBER(AA175))),"",AA175-N(E175))</f>
        <v/>
      </c>
      <c r="AX175" s="17" t="str">
        <f aca="false">IF(OR(AB175="",NOT(ISNUMBER(AB175))),"",AB175-N(F175))</f>
        <v/>
      </c>
      <c r="AY175" s="17" t="str">
        <f aca="false">IF(OR(AC175="",NOT(ISNUMBER(AC175))),"",AC175-N(G175))</f>
        <v/>
      </c>
      <c r="AZ175" s="17" t="str">
        <f aca="false">IF(OR(AD175="",NOT(ISNUMBER(AD175))),"",AD175-N(H175))</f>
        <v/>
      </c>
      <c r="BA175" s="17" t="str">
        <f aca="false">IF(OR(AE175="",NOT(ISNUMBER(AE175))),"",AE175-N(I175))</f>
        <v/>
      </c>
      <c r="BB175" s="17" t="str">
        <f aca="false">IF(OR(AF175="",NOT(ISNUMBER(AF175))),"",AF175-N(J175))</f>
        <v/>
      </c>
      <c r="BC175" s="17" t="str">
        <f aca="false">IF(OR(AG175="",NOT(ISNUMBER(AG175))),"",AG175-N(K175))</f>
        <v/>
      </c>
      <c r="BD175" s="17" t="str">
        <f aca="false">IF(OR(AH175="",NOT(ISNUMBER(AH175))),"",AH175-N(L175))</f>
        <v/>
      </c>
      <c r="BE175" s="17" t="str">
        <f aca="false">IF(OR(AI175="",NOT(ISNUMBER(AI175))),"",AI175-N(M175))</f>
        <v/>
      </c>
      <c r="BF175" s="17" t="str">
        <f aca="false">IF(OR(AJ175="",NOT(ISNUMBER(AJ175))),"",AJ175-N(N175))</f>
        <v/>
      </c>
      <c r="BG175" s="17" t="str">
        <f aca="false">IF(OR(AK175="",NOT(ISNUMBER(AK175))),"",AK175-N(O175))</f>
        <v/>
      </c>
      <c r="BH175" s="17" t="str">
        <f aca="false">IF(OR(AL175="",NOT(ISNUMBER(AL175))),"",AL175-N(P175))</f>
        <v/>
      </c>
      <c r="BI175" s="17" t="str">
        <f aca="false">IF(OR(AM175="",NOT(ISNUMBER(AM175))),"",AM175-N(Q175))</f>
        <v/>
      </c>
      <c r="BJ175" s="17" t="str">
        <f aca="false">IF(OR(AN175="",NOT(ISNUMBER(AN175))),"",AN175-N(R175))</f>
        <v/>
      </c>
      <c r="BK175" s="17" t="str">
        <f aca="false">IF(OR(AO175="",NOT(ISNUMBER(AO175))),"",AO175-N(S175))</f>
        <v/>
      </c>
      <c r="BL175" s="17" t="str">
        <f aca="false">IF(OR(AP175="",NOT(ISNUMBER(AP175))),"",AP175-N(T175))</f>
        <v/>
      </c>
      <c r="BM175" s="17" t="str">
        <f aca="false">IF(OR(AQ175="",NOT(ISNUMBER(AQ175))),"",AQ175-N(U175))</f>
        <v/>
      </c>
      <c r="BR175" s="20" t="str">
        <f aca="false">IF($A175="","",IF(ISNUMBER($A175),DATE(YEAR($A175),MONTH($A175),1),IFERROR(DATE(2000+VALUE(RIGHT(TRIM($A175),2)),MATCH(UPPER(LEFT(TRIM($A175),3)),{"JAN","FEB","MAR","APR","MAY","JUN","JUL","AUG","SEP","OCT","NOV","DEC"},0),1),"")))</f>
        <v/>
      </c>
      <c r="BS175" s="20" t="str">
        <f aca="false">IF(BR175="","",EOMONTH(BR175,0))</f>
        <v/>
      </c>
    </row>
    <row r="176" customFormat="false" ht="15" hidden="false" customHeight="false" outlineLevel="0" collapsed="false">
      <c r="B176" s="21"/>
      <c r="C176" s="21"/>
      <c r="D176" s="21"/>
      <c r="E176" s="21"/>
      <c r="F176" s="21"/>
      <c r="G176" s="21"/>
      <c r="H176" s="21"/>
      <c r="I176" s="21"/>
      <c r="J176" s="21"/>
      <c r="K176" s="21"/>
      <c r="L176" s="21"/>
      <c r="M176" s="21"/>
      <c r="N176" s="21"/>
      <c r="O176" s="21"/>
      <c r="P176" s="21"/>
      <c r="Q176" s="21"/>
      <c r="R176" s="21"/>
      <c r="S176" s="21"/>
      <c r="T176" s="21"/>
      <c r="U176" s="21"/>
      <c r="X176" s="17" t="str">
        <f aca="false">IF(OR(B$7="",$BR176=""),"",IF('Tally Helper'!$B$3&lt;&gt;TRUE(),"not on Staff",SUMIFS('Tally Helper'!$L$5:$GI$5,'Tally Helper'!$L$3:$GI$3,"&gt;="&amp;$BR176,'Tally Helper'!$L$3:$GI$3,"&lt;="&amp;$BS176)))</f>
        <v/>
      </c>
      <c r="Y176" s="17" t="str">
        <f aca="false">IF(OR(C$7="",$BR176=""),"",IF('Tally Helper'!$B$6&lt;&gt;TRUE(),"not on Staff",SUMIFS('Tally Helper'!$L$8:$GI$8,'Tally Helper'!$L$6:$GI$6,"&gt;="&amp;$BR176,'Tally Helper'!$L$6:$GI$6,"&lt;="&amp;$BS176)))</f>
        <v/>
      </c>
      <c r="Z176" s="17" t="str">
        <f aca="false">IF(OR(D$7="",$BR176=""),"",IF('Tally Helper'!$B$9&lt;&gt;TRUE(),"not on Staff",SUMIFS('Tally Helper'!$L$11:$GI$11,'Tally Helper'!$L$9:$GI$9,"&gt;="&amp;$BR176,'Tally Helper'!$L$9:$GI$9,"&lt;="&amp;$BS176)))</f>
        <v/>
      </c>
      <c r="AA176" s="17" t="str">
        <f aca="false">IF(OR(E$7="",$BR176=""),"",IF('Tally Helper'!$B$12&lt;&gt;TRUE(),"not on Staff",SUMIFS('Tally Helper'!$L$14:$GI$14,'Tally Helper'!$L$12:$GI$12,"&gt;="&amp;$BR176,'Tally Helper'!$L$12:$GI$12,"&lt;="&amp;$BS176)))</f>
        <v/>
      </c>
      <c r="AB176" s="17" t="str">
        <f aca="false">IF(OR(F$7="",$BR176=""),"",IF('Tally Helper'!$B$15&lt;&gt;TRUE(),"not on Staff",SUMIFS('Tally Helper'!$L$17:$GI$17,'Tally Helper'!$L$15:$GI$15,"&gt;="&amp;$BR176,'Tally Helper'!$L$15:$GI$15,"&lt;="&amp;$BS176)))</f>
        <v/>
      </c>
      <c r="AC176" s="17" t="str">
        <f aca="false">IF(OR(G$7="",$BR176=""),"",IF('Tally Helper'!$B$18&lt;&gt;TRUE(),"not on Staff",SUMIFS('Tally Helper'!$L$20:$GI$20,'Tally Helper'!$L$18:$GI$18,"&gt;="&amp;$BR176,'Tally Helper'!$L$18:$GI$18,"&lt;="&amp;$BS176)))</f>
        <v/>
      </c>
      <c r="AD176" s="17" t="str">
        <f aca="false">IF(OR(H$7="",$BR176=""),"",IF('Tally Helper'!$B$21&lt;&gt;TRUE(),"not on Staff",SUMIFS('Tally Helper'!$L$23:$GI$23,'Tally Helper'!$L$21:$GI$21,"&gt;="&amp;$BR176,'Tally Helper'!$L$21:$GI$21,"&lt;="&amp;$BS176)))</f>
        <v/>
      </c>
      <c r="AE176" s="17" t="str">
        <f aca="false">IF(OR(I$7="",$BR176=""),"",IF('Tally Helper'!$B$24&lt;&gt;TRUE(),"not on Staff",SUMIFS('Tally Helper'!$L$26:$GI$26,'Tally Helper'!$L$24:$GI$24,"&gt;="&amp;$BR176,'Tally Helper'!$L$24:$GI$24,"&lt;="&amp;$BS176)))</f>
        <v/>
      </c>
      <c r="AF176" s="17" t="str">
        <f aca="false">IF(OR(J$7="",$BR176=""),"",IF('Tally Helper'!$B$27&lt;&gt;TRUE(),"not on Staff",SUMIFS('Tally Helper'!$L$29:$GI$29,'Tally Helper'!$L$27:$GI$27,"&gt;="&amp;$BR176,'Tally Helper'!$L$27:$GI$27,"&lt;="&amp;$BS176)))</f>
        <v/>
      </c>
      <c r="AG176" s="17" t="str">
        <f aca="false">IF(OR(K$7="",$BR176=""),"",IF('Tally Helper'!$B$30&lt;&gt;TRUE(),"not on Staff",SUMIFS('Tally Helper'!$L$32:$GI$32,'Tally Helper'!$L$30:$GI$30,"&gt;="&amp;$BR176,'Tally Helper'!$L$30:$GI$30,"&lt;="&amp;$BS176)))</f>
        <v/>
      </c>
      <c r="AH176" s="17" t="str">
        <f aca="false">IF(OR(L$7="",$BR176=""),"",IF('Tally Helper'!$B$33&lt;&gt;TRUE(),"not on Staff",SUMIFS('Tally Helper'!$L$35:$GI$35,'Tally Helper'!$L$33:$GI$33,"&gt;="&amp;$BR176,'Tally Helper'!$L$33:$GI$33,"&lt;="&amp;$BS176)))</f>
        <v/>
      </c>
      <c r="AI176" s="17" t="str">
        <f aca="false">IF(OR(M$7="",$BR176=""),"",IF('Tally Helper'!$B$36&lt;&gt;TRUE(),"not on Staff",SUMIFS('Tally Helper'!$L$38:$GI$38,'Tally Helper'!$L$36:$GI$36,"&gt;="&amp;$BR176,'Tally Helper'!$L$36:$GI$36,"&lt;="&amp;$BS176)))</f>
        <v/>
      </c>
      <c r="AJ176" s="17" t="str">
        <f aca="false">IF(OR(N$7="",$BR176=""),"",IF('Tally Helper'!$B$39&lt;&gt;TRUE(),"not on Staff",SUMIFS('Tally Helper'!$L$41:$GI$41,'Tally Helper'!$L$39:$GI$39,"&gt;="&amp;$BR176,'Tally Helper'!$L$39:$GI$39,"&lt;="&amp;$BS176)))</f>
        <v/>
      </c>
      <c r="AK176" s="17" t="str">
        <f aca="false">IF(OR(O$7="",$BR176=""),"",IF('Tally Helper'!$B$42&lt;&gt;TRUE(),"not on Staff",SUMIFS('Tally Helper'!$L$44:$GI$44,'Tally Helper'!$L$42:$GI$42,"&gt;="&amp;$BR176,'Tally Helper'!$L$42:$GI$42,"&lt;="&amp;$BS176)))</f>
        <v/>
      </c>
      <c r="AL176" s="17" t="str">
        <f aca="false">IF(OR(P$7="",$BR176=""),"",IF('Tally Helper'!$B$45&lt;&gt;TRUE(),"not on Staff",SUMIFS('Tally Helper'!$L$47:$GI$47,'Tally Helper'!$L$45:$GI$45,"&gt;="&amp;$BR176,'Tally Helper'!$L$45:$GI$45,"&lt;="&amp;$BS176)))</f>
        <v/>
      </c>
      <c r="AM176" s="17" t="str">
        <f aca="false">IF(OR(Q$7="",$BR176=""),"",IF('Tally Helper'!$B$48&lt;&gt;TRUE(),"not on Staff",SUMIFS('Tally Helper'!$L$50:$GI$50,'Tally Helper'!$L$48:$GI$48,"&gt;="&amp;$BR176,'Tally Helper'!$L$48:$GI$48,"&lt;="&amp;$BS176)))</f>
        <v/>
      </c>
      <c r="AN176" s="17" t="str">
        <f aca="false">IF(OR(R$7="",$BR176=""),"",IF('Tally Helper'!$B$51&lt;&gt;TRUE(),"not on Staff",SUMIFS('Tally Helper'!$L$53:$GI$53,'Tally Helper'!$L$51:$GI$51,"&gt;="&amp;$BR176,'Tally Helper'!$L$51:$GI$51,"&lt;="&amp;$BS176)))</f>
        <v/>
      </c>
      <c r="AO176" s="17" t="str">
        <f aca="false">IF(OR(S$7="",$BR176=""),"",IF('Tally Helper'!$B$54&lt;&gt;TRUE(),"not on Staff",SUMIFS('Tally Helper'!$L$56:$GI$56,'Tally Helper'!$L$54:$GI$54,"&gt;="&amp;$BR176,'Tally Helper'!$L$54:$GI$54,"&lt;="&amp;$BS176)))</f>
        <v/>
      </c>
      <c r="AP176" s="17" t="str">
        <f aca="false">IF(OR(T$7="",$BR176=""),"",IF('Tally Helper'!$B$57&lt;&gt;TRUE(),"not on Staff",SUMIFS('Tally Helper'!$L$59:$GI$59,'Tally Helper'!$L$57:$GI$57,"&gt;="&amp;$BR176,'Tally Helper'!$L$57:$GI$57,"&lt;="&amp;$BS176)))</f>
        <v/>
      </c>
      <c r="AQ176" s="17" t="str">
        <f aca="false">IF(OR(U$7="",$BR176=""),"",IF('Tally Helper'!$B$60&lt;&gt;TRUE(),"not on Staff",SUMIFS('Tally Helper'!$L$62:$GI$62,'Tally Helper'!$L$60:$GI$60,"&gt;="&amp;$BR176,'Tally Helper'!$L$60:$GI$60,"&lt;="&amp;$BS176)))</f>
        <v/>
      </c>
      <c r="AT176" s="17" t="str">
        <f aca="false">IF(OR(X176="",NOT(ISNUMBER(X176))),"",X176-N(B176))</f>
        <v/>
      </c>
      <c r="AU176" s="17" t="str">
        <f aca="false">IF(OR(Y176="",NOT(ISNUMBER(Y176))),"",Y176-N(C176))</f>
        <v/>
      </c>
      <c r="AV176" s="17" t="str">
        <f aca="false">IF(OR(Z176="",NOT(ISNUMBER(Z176))),"",Z176-N(D176))</f>
        <v/>
      </c>
      <c r="AW176" s="17" t="str">
        <f aca="false">IF(OR(AA176="",NOT(ISNUMBER(AA176))),"",AA176-N(E176))</f>
        <v/>
      </c>
      <c r="AX176" s="17" t="str">
        <f aca="false">IF(OR(AB176="",NOT(ISNUMBER(AB176))),"",AB176-N(F176))</f>
        <v/>
      </c>
      <c r="AY176" s="17" t="str">
        <f aca="false">IF(OR(AC176="",NOT(ISNUMBER(AC176))),"",AC176-N(G176))</f>
        <v/>
      </c>
      <c r="AZ176" s="17" t="str">
        <f aca="false">IF(OR(AD176="",NOT(ISNUMBER(AD176))),"",AD176-N(H176))</f>
        <v/>
      </c>
      <c r="BA176" s="17" t="str">
        <f aca="false">IF(OR(AE176="",NOT(ISNUMBER(AE176))),"",AE176-N(I176))</f>
        <v/>
      </c>
      <c r="BB176" s="17" t="str">
        <f aca="false">IF(OR(AF176="",NOT(ISNUMBER(AF176))),"",AF176-N(J176))</f>
        <v/>
      </c>
      <c r="BC176" s="17" t="str">
        <f aca="false">IF(OR(AG176="",NOT(ISNUMBER(AG176))),"",AG176-N(K176))</f>
        <v/>
      </c>
      <c r="BD176" s="17" t="str">
        <f aca="false">IF(OR(AH176="",NOT(ISNUMBER(AH176))),"",AH176-N(L176))</f>
        <v/>
      </c>
      <c r="BE176" s="17" t="str">
        <f aca="false">IF(OR(AI176="",NOT(ISNUMBER(AI176))),"",AI176-N(M176))</f>
        <v/>
      </c>
      <c r="BF176" s="17" t="str">
        <f aca="false">IF(OR(AJ176="",NOT(ISNUMBER(AJ176))),"",AJ176-N(N176))</f>
        <v/>
      </c>
      <c r="BG176" s="17" t="str">
        <f aca="false">IF(OR(AK176="",NOT(ISNUMBER(AK176))),"",AK176-N(O176))</f>
        <v/>
      </c>
      <c r="BH176" s="17" t="str">
        <f aca="false">IF(OR(AL176="",NOT(ISNUMBER(AL176))),"",AL176-N(P176))</f>
        <v/>
      </c>
      <c r="BI176" s="17" t="str">
        <f aca="false">IF(OR(AM176="",NOT(ISNUMBER(AM176))),"",AM176-N(Q176))</f>
        <v/>
      </c>
      <c r="BJ176" s="17" t="str">
        <f aca="false">IF(OR(AN176="",NOT(ISNUMBER(AN176))),"",AN176-N(R176))</f>
        <v/>
      </c>
      <c r="BK176" s="17" t="str">
        <f aca="false">IF(OR(AO176="",NOT(ISNUMBER(AO176))),"",AO176-N(S176))</f>
        <v/>
      </c>
      <c r="BL176" s="17" t="str">
        <f aca="false">IF(OR(AP176="",NOT(ISNUMBER(AP176))),"",AP176-N(T176))</f>
        <v/>
      </c>
      <c r="BM176" s="17" t="str">
        <f aca="false">IF(OR(AQ176="",NOT(ISNUMBER(AQ176))),"",AQ176-N(U176))</f>
        <v/>
      </c>
      <c r="BR176" s="20" t="str">
        <f aca="false">IF($A176="","",IF(ISNUMBER($A176),DATE(YEAR($A176),MONTH($A176),1),IFERROR(DATE(2000+VALUE(RIGHT(TRIM($A176),2)),MATCH(UPPER(LEFT(TRIM($A176),3)),{"JAN","FEB","MAR","APR","MAY","JUN","JUL","AUG","SEP","OCT","NOV","DEC"},0),1),"")))</f>
        <v/>
      </c>
      <c r="BS176" s="20" t="str">
        <f aca="false">IF(BR176="","",EOMONTH(BR176,0))</f>
        <v/>
      </c>
    </row>
    <row r="177" customFormat="false" ht="15" hidden="false" customHeight="false" outlineLevel="0" collapsed="false">
      <c r="B177" s="21"/>
      <c r="C177" s="21"/>
      <c r="D177" s="21"/>
      <c r="E177" s="21"/>
      <c r="F177" s="21"/>
      <c r="G177" s="21"/>
      <c r="H177" s="21"/>
      <c r="I177" s="21"/>
      <c r="J177" s="21"/>
      <c r="K177" s="21"/>
      <c r="L177" s="21"/>
      <c r="M177" s="21"/>
      <c r="N177" s="21"/>
      <c r="O177" s="21"/>
      <c r="P177" s="21"/>
      <c r="Q177" s="21"/>
      <c r="R177" s="21"/>
      <c r="S177" s="21"/>
      <c r="T177" s="21"/>
      <c r="U177" s="21"/>
      <c r="X177" s="17" t="str">
        <f aca="false">IF(OR(B$7="",$BR177=""),"",IF('Tally Helper'!$B$3&lt;&gt;TRUE(),"not on Staff",SUMIFS('Tally Helper'!$L$5:$GI$5,'Tally Helper'!$L$3:$GI$3,"&gt;="&amp;$BR177,'Tally Helper'!$L$3:$GI$3,"&lt;="&amp;$BS177)))</f>
        <v/>
      </c>
      <c r="Y177" s="17" t="str">
        <f aca="false">IF(OR(C$7="",$BR177=""),"",IF('Tally Helper'!$B$6&lt;&gt;TRUE(),"not on Staff",SUMIFS('Tally Helper'!$L$8:$GI$8,'Tally Helper'!$L$6:$GI$6,"&gt;="&amp;$BR177,'Tally Helper'!$L$6:$GI$6,"&lt;="&amp;$BS177)))</f>
        <v/>
      </c>
      <c r="Z177" s="17" t="str">
        <f aca="false">IF(OR(D$7="",$BR177=""),"",IF('Tally Helper'!$B$9&lt;&gt;TRUE(),"not on Staff",SUMIFS('Tally Helper'!$L$11:$GI$11,'Tally Helper'!$L$9:$GI$9,"&gt;="&amp;$BR177,'Tally Helper'!$L$9:$GI$9,"&lt;="&amp;$BS177)))</f>
        <v/>
      </c>
      <c r="AA177" s="17" t="str">
        <f aca="false">IF(OR(E$7="",$BR177=""),"",IF('Tally Helper'!$B$12&lt;&gt;TRUE(),"not on Staff",SUMIFS('Tally Helper'!$L$14:$GI$14,'Tally Helper'!$L$12:$GI$12,"&gt;="&amp;$BR177,'Tally Helper'!$L$12:$GI$12,"&lt;="&amp;$BS177)))</f>
        <v/>
      </c>
      <c r="AB177" s="17" t="str">
        <f aca="false">IF(OR(F$7="",$BR177=""),"",IF('Tally Helper'!$B$15&lt;&gt;TRUE(),"not on Staff",SUMIFS('Tally Helper'!$L$17:$GI$17,'Tally Helper'!$L$15:$GI$15,"&gt;="&amp;$BR177,'Tally Helper'!$L$15:$GI$15,"&lt;="&amp;$BS177)))</f>
        <v/>
      </c>
      <c r="AC177" s="17" t="str">
        <f aca="false">IF(OR(G$7="",$BR177=""),"",IF('Tally Helper'!$B$18&lt;&gt;TRUE(),"not on Staff",SUMIFS('Tally Helper'!$L$20:$GI$20,'Tally Helper'!$L$18:$GI$18,"&gt;="&amp;$BR177,'Tally Helper'!$L$18:$GI$18,"&lt;="&amp;$BS177)))</f>
        <v/>
      </c>
      <c r="AD177" s="17" t="str">
        <f aca="false">IF(OR(H$7="",$BR177=""),"",IF('Tally Helper'!$B$21&lt;&gt;TRUE(),"not on Staff",SUMIFS('Tally Helper'!$L$23:$GI$23,'Tally Helper'!$L$21:$GI$21,"&gt;="&amp;$BR177,'Tally Helper'!$L$21:$GI$21,"&lt;="&amp;$BS177)))</f>
        <v/>
      </c>
      <c r="AE177" s="17" t="str">
        <f aca="false">IF(OR(I$7="",$BR177=""),"",IF('Tally Helper'!$B$24&lt;&gt;TRUE(),"not on Staff",SUMIFS('Tally Helper'!$L$26:$GI$26,'Tally Helper'!$L$24:$GI$24,"&gt;="&amp;$BR177,'Tally Helper'!$L$24:$GI$24,"&lt;="&amp;$BS177)))</f>
        <v/>
      </c>
      <c r="AF177" s="17" t="str">
        <f aca="false">IF(OR(J$7="",$BR177=""),"",IF('Tally Helper'!$B$27&lt;&gt;TRUE(),"not on Staff",SUMIFS('Tally Helper'!$L$29:$GI$29,'Tally Helper'!$L$27:$GI$27,"&gt;="&amp;$BR177,'Tally Helper'!$L$27:$GI$27,"&lt;="&amp;$BS177)))</f>
        <v/>
      </c>
      <c r="AG177" s="17" t="str">
        <f aca="false">IF(OR(K$7="",$BR177=""),"",IF('Tally Helper'!$B$30&lt;&gt;TRUE(),"not on Staff",SUMIFS('Tally Helper'!$L$32:$GI$32,'Tally Helper'!$L$30:$GI$30,"&gt;="&amp;$BR177,'Tally Helper'!$L$30:$GI$30,"&lt;="&amp;$BS177)))</f>
        <v/>
      </c>
      <c r="AH177" s="17" t="str">
        <f aca="false">IF(OR(L$7="",$BR177=""),"",IF('Tally Helper'!$B$33&lt;&gt;TRUE(),"not on Staff",SUMIFS('Tally Helper'!$L$35:$GI$35,'Tally Helper'!$L$33:$GI$33,"&gt;="&amp;$BR177,'Tally Helper'!$L$33:$GI$33,"&lt;="&amp;$BS177)))</f>
        <v/>
      </c>
      <c r="AI177" s="17" t="str">
        <f aca="false">IF(OR(M$7="",$BR177=""),"",IF('Tally Helper'!$B$36&lt;&gt;TRUE(),"not on Staff",SUMIFS('Tally Helper'!$L$38:$GI$38,'Tally Helper'!$L$36:$GI$36,"&gt;="&amp;$BR177,'Tally Helper'!$L$36:$GI$36,"&lt;="&amp;$BS177)))</f>
        <v/>
      </c>
      <c r="AJ177" s="17" t="str">
        <f aca="false">IF(OR(N$7="",$BR177=""),"",IF('Tally Helper'!$B$39&lt;&gt;TRUE(),"not on Staff",SUMIFS('Tally Helper'!$L$41:$GI$41,'Tally Helper'!$L$39:$GI$39,"&gt;="&amp;$BR177,'Tally Helper'!$L$39:$GI$39,"&lt;="&amp;$BS177)))</f>
        <v/>
      </c>
      <c r="AK177" s="17" t="str">
        <f aca="false">IF(OR(O$7="",$BR177=""),"",IF('Tally Helper'!$B$42&lt;&gt;TRUE(),"not on Staff",SUMIFS('Tally Helper'!$L$44:$GI$44,'Tally Helper'!$L$42:$GI$42,"&gt;="&amp;$BR177,'Tally Helper'!$L$42:$GI$42,"&lt;="&amp;$BS177)))</f>
        <v/>
      </c>
      <c r="AL177" s="17" t="str">
        <f aca="false">IF(OR(P$7="",$BR177=""),"",IF('Tally Helper'!$B$45&lt;&gt;TRUE(),"not on Staff",SUMIFS('Tally Helper'!$L$47:$GI$47,'Tally Helper'!$L$45:$GI$45,"&gt;="&amp;$BR177,'Tally Helper'!$L$45:$GI$45,"&lt;="&amp;$BS177)))</f>
        <v/>
      </c>
      <c r="AM177" s="17" t="str">
        <f aca="false">IF(OR(Q$7="",$BR177=""),"",IF('Tally Helper'!$B$48&lt;&gt;TRUE(),"not on Staff",SUMIFS('Tally Helper'!$L$50:$GI$50,'Tally Helper'!$L$48:$GI$48,"&gt;="&amp;$BR177,'Tally Helper'!$L$48:$GI$48,"&lt;="&amp;$BS177)))</f>
        <v/>
      </c>
      <c r="AN177" s="17" t="str">
        <f aca="false">IF(OR(R$7="",$BR177=""),"",IF('Tally Helper'!$B$51&lt;&gt;TRUE(),"not on Staff",SUMIFS('Tally Helper'!$L$53:$GI$53,'Tally Helper'!$L$51:$GI$51,"&gt;="&amp;$BR177,'Tally Helper'!$L$51:$GI$51,"&lt;="&amp;$BS177)))</f>
        <v/>
      </c>
      <c r="AO177" s="17" t="str">
        <f aca="false">IF(OR(S$7="",$BR177=""),"",IF('Tally Helper'!$B$54&lt;&gt;TRUE(),"not on Staff",SUMIFS('Tally Helper'!$L$56:$GI$56,'Tally Helper'!$L$54:$GI$54,"&gt;="&amp;$BR177,'Tally Helper'!$L$54:$GI$54,"&lt;="&amp;$BS177)))</f>
        <v/>
      </c>
      <c r="AP177" s="17" t="str">
        <f aca="false">IF(OR(T$7="",$BR177=""),"",IF('Tally Helper'!$B$57&lt;&gt;TRUE(),"not on Staff",SUMIFS('Tally Helper'!$L$59:$GI$59,'Tally Helper'!$L$57:$GI$57,"&gt;="&amp;$BR177,'Tally Helper'!$L$57:$GI$57,"&lt;="&amp;$BS177)))</f>
        <v/>
      </c>
      <c r="AQ177" s="17" t="str">
        <f aca="false">IF(OR(U$7="",$BR177=""),"",IF('Tally Helper'!$B$60&lt;&gt;TRUE(),"not on Staff",SUMIFS('Tally Helper'!$L$62:$GI$62,'Tally Helper'!$L$60:$GI$60,"&gt;="&amp;$BR177,'Tally Helper'!$L$60:$GI$60,"&lt;="&amp;$BS177)))</f>
        <v/>
      </c>
      <c r="AT177" s="17" t="str">
        <f aca="false">IF(OR(X177="",NOT(ISNUMBER(X177))),"",X177-N(B177))</f>
        <v/>
      </c>
      <c r="AU177" s="17" t="str">
        <f aca="false">IF(OR(Y177="",NOT(ISNUMBER(Y177))),"",Y177-N(C177))</f>
        <v/>
      </c>
      <c r="AV177" s="17" t="str">
        <f aca="false">IF(OR(Z177="",NOT(ISNUMBER(Z177))),"",Z177-N(D177))</f>
        <v/>
      </c>
      <c r="AW177" s="17" t="str">
        <f aca="false">IF(OR(AA177="",NOT(ISNUMBER(AA177))),"",AA177-N(E177))</f>
        <v/>
      </c>
      <c r="AX177" s="17" t="str">
        <f aca="false">IF(OR(AB177="",NOT(ISNUMBER(AB177))),"",AB177-N(F177))</f>
        <v/>
      </c>
      <c r="AY177" s="17" t="str">
        <f aca="false">IF(OR(AC177="",NOT(ISNUMBER(AC177))),"",AC177-N(G177))</f>
        <v/>
      </c>
      <c r="AZ177" s="17" t="str">
        <f aca="false">IF(OR(AD177="",NOT(ISNUMBER(AD177))),"",AD177-N(H177))</f>
        <v/>
      </c>
      <c r="BA177" s="17" t="str">
        <f aca="false">IF(OR(AE177="",NOT(ISNUMBER(AE177))),"",AE177-N(I177))</f>
        <v/>
      </c>
      <c r="BB177" s="17" t="str">
        <f aca="false">IF(OR(AF177="",NOT(ISNUMBER(AF177))),"",AF177-N(J177))</f>
        <v/>
      </c>
      <c r="BC177" s="17" t="str">
        <f aca="false">IF(OR(AG177="",NOT(ISNUMBER(AG177))),"",AG177-N(K177))</f>
        <v/>
      </c>
      <c r="BD177" s="17" t="str">
        <f aca="false">IF(OR(AH177="",NOT(ISNUMBER(AH177))),"",AH177-N(L177))</f>
        <v/>
      </c>
      <c r="BE177" s="17" t="str">
        <f aca="false">IF(OR(AI177="",NOT(ISNUMBER(AI177))),"",AI177-N(M177))</f>
        <v/>
      </c>
      <c r="BF177" s="17" t="str">
        <f aca="false">IF(OR(AJ177="",NOT(ISNUMBER(AJ177))),"",AJ177-N(N177))</f>
        <v/>
      </c>
      <c r="BG177" s="17" t="str">
        <f aca="false">IF(OR(AK177="",NOT(ISNUMBER(AK177))),"",AK177-N(O177))</f>
        <v/>
      </c>
      <c r="BH177" s="17" t="str">
        <f aca="false">IF(OR(AL177="",NOT(ISNUMBER(AL177))),"",AL177-N(P177))</f>
        <v/>
      </c>
      <c r="BI177" s="17" t="str">
        <f aca="false">IF(OR(AM177="",NOT(ISNUMBER(AM177))),"",AM177-N(Q177))</f>
        <v/>
      </c>
      <c r="BJ177" s="17" t="str">
        <f aca="false">IF(OR(AN177="",NOT(ISNUMBER(AN177))),"",AN177-N(R177))</f>
        <v/>
      </c>
      <c r="BK177" s="17" t="str">
        <f aca="false">IF(OR(AO177="",NOT(ISNUMBER(AO177))),"",AO177-N(S177))</f>
        <v/>
      </c>
      <c r="BL177" s="17" t="str">
        <f aca="false">IF(OR(AP177="",NOT(ISNUMBER(AP177))),"",AP177-N(T177))</f>
        <v/>
      </c>
      <c r="BM177" s="17" t="str">
        <f aca="false">IF(OR(AQ177="",NOT(ISNUMBER(AQ177))),"",AQ177-N(U177))</f>
        <v/>
      </c>
      <c r="BR177" s="20" t="str">
        <f aca="false">IF($A177="","",IF(ISNUMBER($A177),DATE(YEAR($A177),MONTH($A177),1),IFERROR(DATE(2000+VALUE(RIGHT(TRIM($A177),2)),MATCH(UPPER(LEFT(TRIM($A177),3)),{"JAN","FEB","MAR","APR","MAY","JUN","JUL","AUG","SEP","OCT","NOV","DEC"},0),1),"")))</f>
        <v/>
      </c>
      <c r="BS177" s="20" t="str">
        <f aca="false">IF(BR177="","",EOMONTH(BR177,0))</f>
        <v/>
      </c>
    </row>
    <row r="178" customFormat="false" ht="15" hidden="false" customHeight="false" outlineLevel="0" collapsed="false">
      <c r="B178" s="21"/>
      <c r="C178" s="21"/>
      <c r="D178" s="21"/>
      <c r="E178" s="21"/>
      <c r="F178" s="21"/>
      <c r="G178" s="21"/>
      <c r="H178" s="21"/>
      <c r="I178" s="21"/>
      <c r="J178" s="21"/>
      <c r="K178" s="21"/>
      <c r="L178" s="21"/>
      <c r="M178" s="21"/>
      <c r="N178" s="21"/>
      <c r="O178" s="21"/>
      <c r="P178" s="21"/>
      <c r="Q178" s="21"/>
      <c r="R178" s="21"/>
      <c r="S178" s="21"/>
      <c r="T178" s="21"/>
      <c r="U178" s="21"/>
      <c r="X178" s="17" t="str">
        <f aca="false">IF(OR(B$7="",$BR178=""),"",IF('Tally Helper'!$B$3&lt;&gt;TRUE(),"not on Staff",SUMIFS('Tally Helper'!$L$5:$GI$5,'Tally Helper'!$L$3:$GI$3,"&gt;="&amp;$BR178,'Tally Helper'!$L$3:$GI$3,"&lt;="&amp;$BS178)))</f>
        <v/>
      </c>
      <c r="Y178" s="17" t="str">
        <f aca="false">IF(OR(C$7="",$BR178=""),"",IF('Tally Helper'!$B$6&lt;&gt;TRUE(),"not on Staff",SUMIFS('Tally Helper'!$L$8:$GI$8,'Tally Helper'!$L$6:$GI$6,"&gt;="&amp;$BR178,'Tally Helper'!$L$6:$GI$6,"&lt;="&amp;$BS178)))</f>
        <v/>
      </c>
      <c r="Z178" s="17" t="str">
        <f aca="false">IF(OR(D$7="",$BR178=""),"",IF('Tally Helper'!$B$9&lt;&gt;TRUE(),"not on Staff",SUMIFS('Tally Helper'!$L$11:$GI$11,'Tally Helper'!$L$9:$GI$9,"&gt;="&amp;$BR178,'Tally Helper'!$L$9:$GI$9,"&lt;="&amp;$BS178)))</f>
        <v/>
      </c>
      <c r="AA178" s="17" t="str">
        <f aca="false">IF(OR(E$7="",$BR178=""),"",IF('Tally Helper'!$B$12&lt;&gt;TRUE(),"not on Staff",SUMIFS('Tally Helper'!$L$14:$GI$14,'Tally Helper'!$L$12:$GI$12,"&gt;="&amp;$BR178,'Tally Helper'!$L$12:$GI$12,"&lt;="&amp;$BS178)))</f>
        <v/>
      </c>
      <c r="AB178" s="17" t="str">
        <f aca="false">IF(OR(F$7="",$BR178=""),"",IF('Tally Helper'!$B$15&lt;&gt;TRUE(),"not on Staff",SUMIFS('Tally Helper'!$L$17:$GI$17,'Tally Helper'!$L$15:$GI$15,"&gt;="&amp;$BR178,'Tally Helper'!$L$15:$GI$15,"&lt;="&amp;$BS178)))</f>
        <v/>
      </c>
      <c r="AC178" s="17" t="str">
        <f aca="false">IF(OR(G$7="",$BR178=""),"",IF('Tally Helper'!$B$18&lt;&gt;TRUE(),"not on Staff",SUMIFS('Tally Helper'!$L$20:$GI$20,'Tally Helper'!$L$18:$GI$18,"&gt;="&amp;$BR178,'Tally Helper'!$L$18:$GI$18,"&lt;="&amp;$BS178)))</f>
        <v/>
      </c>
      <c r="AD178" s="17" t="str">
        <f aca="false">IF(OR(H$7="",$BR178=""),"",IF('Tally Helper'!$B$21&lt;&gt;TRUE(),"not on Staff",SUMIFS('Tally Helper'!$L$23:$GI$23,'Tally Helper'!$L$21:$GI$21,"&gt;="&amp;$BR178,'Tally Helper'!$L$21:$GI$21,"&lt;="&amp;$BS178)))</f>
        <v/>
      </c>
      <c r="AE178" s="17" t="str">
        <f aca="false">IF(OR(I$7="",$BR178=""),"",IF('Tally Helper'!$B$24&lt;&gt;TRUE(),"not on Staff",SUMIFS('Tally Helper'!$L$26:$GI$26,'Tally Helper'!$L$24:$GI$24,"&gt;="&amp;$BR178,'Tally Helper'!$L$24:$GI$24,"&lt;="&amp;$BS178)))</f>
        <v/>
      </c>
      <c r="AF178" s="17" t="str">
        <f aca="false">IF(OR(J$7="",$BR178=""),"",IF('Tally Helper'!$B$27&lt;&gt;TRUE(),"not on Staff",SUMIFS('Tally Helper'!$L$29:$GI$29,'Tally Helper'!$L$27:$GI$27,"&gt;="&amp;$BR178,'Tally Helper'!$L$27:$GI$27,"&lt;="&amp;$BS178)))</f>
        <v/>
      </c>
      <c r="AG178" s="17" t="str">
        <f aca="false">IF(OR(K$7="",$BR178=""),"",IF('Tally Helper'!$B$30&lt;&gt;TRUE(),"not on Staff",SUMIFS('Tally Helper'!$L$32:$GI$32,'Tally Helper'!$L$30:$GI$30,"&gt;="&amp;$BR178,'Tally Helper'!$L$30:$GI$30,"&lt;="&amp;$BS178)))</f>
        <v/>
      </c>
      <c r="AH178" s="17" t="str">
        <f aca="false">IF(OR(L$7="",$BR178=""),"",IF('Tally Helper'!$B$33&lt;&gt;TRUE(),"not on Staff",SUMIFS('Tally Helper'!$L$35:$GI$35,'Tally Helper'!$L$33:$GI$33,"&gt;="&amp;$BR178,'Tally Helper'!$L$33:$GI$33,"&lt;="&amp;$BS178)))</f>
        <v/>
      </c>
      <c r="AI178" s="17" t="str">
        <f aca="false">IF(OR(M$7="",$BR178=""),"",IF('Tally Helper'!$B$36&lt;&gt;TRUE(),"not on Staff",SUMIFS('Tally Helper'!$L$38:$GI$38,'Tally Helper'!$L$36:$GI$36,"&gt;="&amp;$BR178,'Tally Helper'!$L$36:$GI$36,"&lt;="&amp;$BS178)))</f>
        <v/>
      </c>
      <c r="AJ178" s="17" t="str">
        <f aca="false">IF(OR(N$7="",$BR178=""),"",IF('Tally Helper'!$B$39&lt;&gt;TRUE(),"not on Staff",SUMIFS('Tally Helper'!$L$41:$GI$41,'Tally Helper'!$L$39:$GI$39,"&gt;="&amp;$BR178,'Tally Helper'!$L$39:$GI$39,"&lt;="&amp;$BS178)))</f>
        <v/>
      </c>
      <c r="AK178" s="17" t="str">
        <f aca="false">IF(OR(O$7="",$BR178=""),"",IF('Tally Helper'!$B$42&lt;&gt;TRUE(),"not on Staff",SUMIFS('Tally Helper'!$L$44:$GI$44,'Tally Helper'!$L$42:$GI$42,"&gt;="&amp;$BR178,'Tally Helper'!$L$42:$GI$42,"&lt;="&amp;$BS178)))</f>
        <v/>
      </c>
      <c r="AL178" s="17" t="str">
        <f aca="false">IF(OR(P$7="",$BR178=""),"",IF('Tally Helper'!$B$45&lt;&gt;TRUE(),"not on Staff",SUMIFS('Tally Helper'!$L$47:$GI$47,'Tally Helper'!$L$45:$GI$45,"&gt;="&amp;$BR178,'Tally Helper'!$L$45:$GI$45,"&lt;="&amp;$BS178)))</f>
        <v/>
      </c>
      <c r="AM178" s="17" t="str">
        <f aca="false">IF(OR(Q$7="",$BR178=""),"",IF('Tally Helper'!$B$48&lt;&gt;TRUE(),"not on Staff",SUMIFS('Tally Helper'!$L$50:$GI$50,'Tally Helper'!$L$48:$GI$48,"&gt;="&amp;$BR178,'Tally Helper'!$L$48:$GI$48,"&lt;="&amp;$BS178)))</f>
        <v/>
      </c>
      <c r="AN178" s="17" t="str">
        <f aca="false">IF(OR(R$7="",$BR178=""),"",IF('Tally Helper'!$B$51&lt;&gt;TRUE(),"not on Staff",SUMIFS('Tally Helper'!$L$53:$GI$53,'Tally Helper'!$L$51:$GI$51,"&gt;="&amp;$BR178,'Tally Helper'!$L$51:$GI$51,"&lt;="&amp;$BS178)))</f>
        <v/>
      </c>
      <c r="AO178" s="17" t="str">
        <f aca="false">IF(OR(S$7="",$BR178=""),"",IF('Tally Helper'!$B$54&lt;&gt;TRUE(),"not on Staff",SUMIFS('Tally Helper'!$L$56:$GI$56,'Tally Helper'!$L$54:$GI$54,"&gt;="&amp;$BR178,'Tally Helper'!$L$54:$GI$54,"&lt;="&amp;$BS178)))</f>
        <v/>
      </c>
      <c r="AP178" s="17" t="str">
        <f aca="false">IF(OR(T$7="",$BR178=""),"",IF('Tally Helper'!$B$57&lt;&gt;TRUE(),"not on Staff",SUMIFS('Tally Helper'!$L$59:$GI$59,'Tally Helper'!$L$57:$GI$57,"&gt;="&amp;$BR178,'Tally Helper'!$L$57:$GI$57,"&lt;="&amp;$BS178)))</f>
        <v/>
      </c>
      <c r="AQ178" s="17" t="str">
        <f aca="false">IF(OR(U$7="",$BR178=""),"",IF('Tally Helper'!$B$60&lt;&gt;TRUE(),"not on Staff",SUMIFS('Tally Helper'!$L$62:$GI$62,'Tally Helper'!$L$60:$GI$60,"&gt;="&amp;$BR178,'Tally Helper'!$L$60:$GI$60,"&lt;="&amp;$BS178)))</f>
        <v/>
      </c>
      <c r="AT178" s="17" t="str">
        <f aca="false">IF(OR(X178="",NOT(ISNUMBER(X178))),"",X178-N(B178))</f>
        <v/>
      </c>
      <c r="AU178" s="17" t="str">
        <f aca="false">IF(OR(Y178="",NOT(ISNUMBER(Y178))),"",Y178-N(C178))</f>
        <v/>
      </c>
      <c r="AV178" s="17" t="str">
        <f aca="false">IF(OR(Z178="",NOT(ISNUMBER(Z178))),"",Z178-N(D178))</f>
        <v/>
      </c>
      <c r="AW178" s="17" t="str">
        <f aca="false">IF(OR(AA178="",NOT(ISNUMBER(AA178))),"",AA178-N(E178))</f>
        <v/>
      </c>
      <c r="AX178" s="17" t="str">
        <f aca="false">IF(OR(AB178="",NOT(ISNUMBER(AB178))),"",AB178-N(F178))</f>
        <v/>
      </c>
      <c r="AY178" s="17" t="str">
        <f aca="false">IF(OR(AC178="",NOT(ISNUMBER(AC178))),"",AC178-N(G178))</f>
        <v/>
      </c>
      <c r="AZ178" s="17" t="str">
        <f aca="false">IF(OR(AD178="",NOT(ISNUMBER(AD178))),"",AD178-N(H178))</f>
        <v/>
      </c>
      <c r="BA178" s="17" t="str">
        <f aca="false">IF(OR(AE178="",NOT(ISNUMBER(AE178))),"",AE178-N(I178))</f>
        <v/>
      </c>
      <c r="BB178" s="17" t="str">
        <f aca="false">IF(OR(AF178="",NOT(ISNUMBER(AF178))),"",AF178-N(J178))</f>
        <v/>
      </c>
      <c r="BC178" s="17" t="str">
        <f aca="false">IF(OR(AG178="",NOT(ISNUMBER(AG178))),"",AG178-N(K178))</f>
        <v/>
      </c>
      <c r="BD178" s="17" t="str">
        <f aca="false">IF(OR(AH178="",NOT(ISNUMBER(AH178))),"",AH178-N(L178))</f>
        <v/>
      </c>
      <c r="BE178" s="17" t="str">
        <f aca="false">IF(OR(AI178="",NOT(ISNUMBER(AI178))),"",AI178-N(M178))</f>
        <v/>
      </c>
      <c r="BF178" s="17" t="str">
        <f aca="false">IF(OR(AJ178="",NOT(ISNUMBER(AJ178))),"",AJ178-N(N178))</f>
        <v/>
      </c>
      <c r="BG178" s="17" t="str">
        <f aca="false">IF(OR(AK178="",NOT(ISNUMBER(AK178))),"",AK178-N(O178))</f>
        <v/>
      </c>
      <c r="BH178" s="17" t="str">
        <f aca="false">IF(OR(AL178="",NOT(ISNUMBER(AL178))),"",AL178-N(P178))</f>
        <v/>
      </c>
      <c r="BI178" s="17" t="str">
        <f aca="false">IF(OR(AM178="",NOT(ISNUMBER(AM178))),"",AM178-N(Q178))</f>
        <v/>
      </c>
      <c r="BJ178" s="17" t="str">
        <f aca="false">IF(OR(AN178="",NOT(ISNUMBER(AN178))),"",AN178-N(R178))</f>
        <v/>
      </c>
      <c r="BK178" s="17" t="str">
        <f aca="false">IF(OR(AO178="",NOT(ISNUMBER(AO178))),"",AO178-N(S178))</f>
        <v/>
      </c>
      <c r="BL178" s="17" t="str">
        <f aca="false">IF(OR(AP178="",NOT(ISNUMBER(AP178))),"",AP178-N(T178))</f>
        <v/>
      </c>
      <c r="BM178" s="17" t="str">
        <f aca="false">IF(OR(AQ178="",NOT(ISNUMBER(AQ178))),"",AQ178-N(U178))</f>
        <v/>
      </c>
      <c r="BR178" s="20" t="str">
        <f aca="false">IF($A178="","",IF(ISNUMBER($A178),DATE(YEAR($A178),MONTH($A178),1),IFERROR(DATE(2000+VALUE(RIGHT(TRIM($A178),2)),MATCH(UPPER(LEFT(TRIM($A178),3)),{"JAN","FEB","MAR","APR","MAY","JUN","JUL","AUG","SEP","OCT","NOV","DEC"},0),1),"")))</f>
        <v/>
      </c>
      <c r="BS178" s="20" t="str">
        <f aca="false">IF(BR178="","",EOMONTH(BR178,0))</f>
        <v/>
      </c>
    </row>
    <row r="179" customFormat="false" ht="15" hidden="false" customHeight="false" outlineLevel="0" collapsed="false">
      <c r="B179" s="21"/>
      <c r="C179" s="21"/>
      <c r="D179" s="21"/>
      <c r="E179" s="21"/>
      <c r="F179" s="21"/>
      <c r="G179" s="21"/>
      <c r="H179" s="21"/>
      <c r="I179" s="21"/>
      <c r="J179" s="21"/>
      <c r="K179" s="21"/>
      <c r="L179" s="21"/>
      <c r="M179" s="21"/>
      <c r="N179" s="21"/>
      <c r="O179" s="21"/>
      <c r="P179" s="21"/>
      <c r="Q179" s="21"/>
      <c r="R179" s="21"/>
      <c r="S179" s="21"/>
      <c r="T179" s="21"/>
      <c r="U179" s="21"/>
      <c r="X179" s="17" t="str">
        <f aca="false">IF(OR(B$7="",$BR179=""),"",IF('Tally Helper'!$B$3&lt;&gt;TRUE(),"not on Staff",SUMIFS('Tally Helper'!$L$5:$GI$5,'Tally Helper'!$L$3:$GI$3,"&gt;="&amp;$BR179,'Tally Helper'!$L$3:$GI$3,"&lt;="&amp;$BS179)))</f>
        <v/>
      </c>
      <c r="Y179" s="17" t="str">
        <f aca="false">IF(OR(C$7="",$BR179=""),"",IF('Tally Helper'!$B$6&lt;&gt;TRUE(),"not on Staff",SUMIFS('Tally Helper'!$L$8:$GI$8,'Tally Helper'!$L$6:$GI$6,"&gt;="&amp;$BR179,'Tally Helper'!$L$6:$GI$6,"&lt;="&amp;$BS179)))</f>
        <v/>
      </c>
      <c r="Z179" s="17" t="str">
        <f aca="false">IF(OR(D$7="",$BR179=""),"",IF('Tally Helper'!$B$9&lt;&gt;TRUE(),"not on Staff",SUMIFS('Tally Helper'!$L$11:$GI$11,'Tally Helper'!$L$9:$GI$9,"&gt;="&amp;$BR179,'Tally Helper'!$L$9:$GI$9,"&lt;="&amp;$BS179)))</f>
        <v/>
      </c>
      <c r="AA179" s="17" t="str">
        <f aca="false">IF(OR(E$7="",$BR179=""),"",IF('Tally Helper'!$B$12&lt;&gt;TRUE(),"not on Staff",SUMIFS('Tally Helper'!$L$14:$GI$14,'Tally Helper'!$L$12:$GI$12,"&gt;="&amp;$BR179,'Tally Helper'!$L$12:$GI$12,"&lt;="&amp;$BS179)))</f>
        <v/>
      </c>
      <c r="AB179" s="17" t="str">
        <f aca="false">IF(OR(F$7="",$BR179=""),"",IF('Tally Helper'!$B$15&lt;&gt;TRUE(),"not on Staff",SUMIFS('Tally Helper'!$L$17:$GI$17,'Tally Helper'!$L$15:$GI$15,"&gt;="&amp;$BR179,'Tally Helper'!$L$15:$GI$15,"&lt;="&amp;$BS179)))</f>
        <v/>
      </c>
      <c r="AC179" s="17" t="str">
        <f aca="false">IF(OR(G$7="",$BR179=""),"",IF('Tally Helper'!$B$18&lt;&gt;TRUE(),"not on Staff",SUMIFS('Tally Helper'!$L$20:$GI$20,'Tally Helper'!$L$18:$GI$18,"&gt;="&amp;$BR179,'Tally Helper'!$L$18:$GI$18,"&lt;="&amp;$BS179)))</f>
        <v/>
      </c>
      <c r="AD179" s="17" t="str">
        <f aca="false">IF(OR(H$7="",$BR179=""),"",IF('Tally Helper'!$B$21&lt;&gt;TRUE(),"not on Staff",SUMIFS('Tally Helper'!$L$23:$GI$23,'Tally Helper'!$L$21:$GI$21,"&gt;="&amp;$BR179,'Tally Helper'!$L$21:$GI$21,"&lt;="&amp;$BS179)))</f>
        <v/>
      </c>
      <c r="AE179" s="17" t="str">
        <f aca="false">IF(OR(I$7="",$BR179=""),"",IF('Tally Helper'!$B$24&lt;&gt;TRUE(),"not on Staff",SUMIFS('Tally Helper'!$L$26:$GI$26,'Tally Helper'!$L$24:$GI$24,"&gt;="&amp;$BR179,'Tally Helper'!$L$24:$GI$24,"&lt;="&amp;$BS179)))</f>
        <v/>
      </c>
      <c r="AF179" s="17" t="str">
        <f aca="false">IF(OR(J$7="",$BR179=""),"",IF('Tally Helper'!$B$27&lt;&gt;TRUE(),"not on Staff",SUMIFS('Tally Helper'!$L$29:$GI$29,'Tally Helper'!$L$27:$GI$27,"&gt;="&amp;$BR179,'Tally Helper'!$L$27:$GI$27,"&lt;="&amp;$BS179)))</f>
        <v/>
      </c>
      <c r="AG179" s="17" t="str">
        <f aca="false">IF(OR(K$7="",$BR179=""),"",IF('Tally Helper'!$B$30&lt;&gt;TRUE(),"not on Staff",SUMIFS('Tally Helper'!$L$32:$GI$32,'Tally Helper'!$L$30:$GI$30,"&gt;="&amp;$BR179,'Tally Helper'!$L$30:$GI$30,"&lt;="&amp;$BS179)))</f>
        <v/>
      </c>
      <c r="AH179" s="17" t="str">
        <f aca="false">IF(OR(L$7="",$BR179=""),"",IF('Tally Helper'!$B$33&lt;&gt;TRUE(),"not on Staff",SUMIFS('Tally Helper'!$L$35:$GI$35,'Tally Helper'!$L$33:$GI$33,"&gt;="&amp;$BR179,'Tally Helper'!$L$33:$GI$33,"&lt;="&amp;$BS179)))</f>
        <v/>
      </c>
      <c r="AI179" s="17" t="str">
        <f aca="false">IF(OR(M$7="",$BR179=""),"",IF('Tally Helper'!$B$36&lt;&gt;TRUE(),"not on Staff",SUMIFS('Tally Helper'!$L$38:$GI$38,'Tally Helper'!$L$36:$GI$36,"&gt;="&amp;$BR179,'Tally Helper'!$L$36:$GI$36,"&lt;="&amp;$BS179)))</f>
        <v/>
      </c>
      <c r="AJ179" s="17" t="str">
        <f aca="false">IF(OR(N$7="",$BR179=""),"",IF('Tally Helper'!$B$39&lt;&gt;TRUE(),"not on Staff",SUMIFS('Tally Helper'!$L$41:$GI$41,'Tally Helper'!$L$39:$GI$39,"&gt;="&amp;$BR179,'Tally Helper'!$L$39:$GI$39,"&lt;="&amp;$BS179)))</f>
        <v/>
      </c>
      <c r="AK179" s="17" t="str">
        <f aca="false">IF(OR(O$7="",$BR179=""),"",IF('Tally Helper'!$B$42&lt;&gt;TRUE(),"not on Staff",SUMIFS('Tally Helper'!$L$44:$GI$44,'Tally Helper'!$L$42:$GI$42,"&gt;="&amp;$BR179,'Tally Helper'!$L$42:$GI$42,"&lt;="&amp;$BS179)))</f>
        <v/>
      </c>
      <c r="AL179" s="17" t="str">
        <f aca="false">IF(OR(P$7="",$BR179=""),"",IF('Tally Helper'!$B$45&lt;&gt;TRUE(),"not on Staff",SUMIFS('Tally Helper'!$L$47:$GI$47,'Tally Helper'!$L$45:$GI$45,"&gt;="&amp;$BR179,'Tally Helper'!$L$45:$GI$45,"&lt;="&amp;$BS179)))</f>
        <v/>
      </c>
      <c r="AM179" s="17" t="str">
        <f aca="false">IF(OR(Q$7="",$BR179=""),"",IF('Tally Helper'!$B$48&lt;&gt;TRUE(),"not on Staff",SUMIFS('Tally Helper'!$L$50:$GI$50,'Tally Helper'!$L$48:$GI$48,"&gt;="&amp;$BR179,'Tally Helper'!$L$48:$GI$48,"&lt;="&amp;$BS179)))</f>
        <v/>
      </c>
      <c r="AN179" s="17" t="str">
        <f aca="false">IF(OR(R$7="",$BR179=""),"",IF('Tally Helper'!$B$51&lt;&gt;TRUE(),"not on Staff",SUMIFS('Tally Helper'!$L$53:$GI$53,'Tally Helper'!$L$51:$GI$51,"&gt;="&amp;$BR179,'Tally Helper'!$L$51:$GI$51,"&lt;="&amp;$BS179)))</f>
        <v/>
      </c>
      <c r="AO179" s="17" t="str">
        <f aca="false">IF(OR(S$7="",$BR179=""),"",IF('Tally Helper'!$B$54&lt;&gt;TRUE(),"not on Staff",SUMIFS('Tally Helper'!$L$56:$GI$56,'Tally Helper'!$L$54:$GI$54,"&gt;="&amp;$BR179,'Tally Helper'!$L$54:$GI$54,"&lt;="&amp;$BS179)))</f>
        <v/>
      </c>
      <c r="AP179" s="17" t="str">
        <f aca="false">IF(OR(T$7="",$BR179=""),"",IF('Tally Helper'!$B$57&lt;&gt;TRUE(),"not on Staff",SUMIFS('Tally Helper'!$L$59:$GI$59,'Tally Helper'!$L$57:$GI$57,"&gt;="&amp;$BR179,'Tally Helper'!$L$57:$GI$57,"&lt;="&amp;$BS179)))</f>
        <v/>
      </c>
      <c r="AQ179" s="17" t="str">
        <f aca="false">IF(OR(U$7="",$BR179=""),"",IF('Tally Helper'!$B$60&lt;&gt;TRUE(),"not on Staff",SUMIFS('Tally Helper'!$L$62:$GI$62,'Tally Helper'!$L$60:$GI$60,"&gt;="&amp;$BR179,'Tally Helper'!$L$60:$GI$60,"&lt;="&amp;$BS179)))</f>
        <v/>
      </c>
      <c r="AT179" s="17" t="str">
        <f aca="false">IF(OR(X179="",NOT(ISNUMBER(X179))),"",X179-N(B179))</f>
        <v/>
      </c>
      <c r="AU179" s="17" t="str">
        <f aca="false">IF(OR(Y179="",NOT(ISNUMBER(Y179))),"",Y179-N(C179))</f>
        <v/>
      </c>
      <c r="AV179" s="17" t="str">
        <f aca="false">IF(OR(Z179="",NOT(ISNUMBER(Z179))),"",Z179-N(D179))</f>
        <v/>
      </c>
      <c r="AW179" s="17" t="str">
        <f aca="false">IF(OR(AA179="",NOT(ISNUMBER(AA179))),"",AA179-N(E179))</f>
        <v/>
      </c>
      <c r="AX179" s="17" t="str">
        <f aca="false">IF(OR(AB179="",NOT(ISNUMBER(AB179))),"",AB179-N(F179))</f>
        <v/>
      </c>
      <c r="AY179" s="17" t="str">
        <f aca="false">IF(OR(AC179="",NOT(ISNUMBER(AC179))),"",AC179-N(G179))</f>
        <v/>
      </c>
      <c r="AZ179" s="17" t="str">
        <f aca="false">IF(OR(AD179="",NOT(ISNUMBER(AD179))),"",AD179-N(H179))</f>
        <v/>
      </c>
      <c r="BA179" s="17" t="str">
        <f aca="false">IF(OR(AE179="",NOT(ISNUMBER(AE179))),"",AE179-N(I179))</f>
        <v/>
      </c>
      <c r="BB179" s="17" t="str">
        <f aca="false">IF(OR(AF179="",NOT(ISNUMBER(AF179))),"",AF179-N(J179))</f>
        <v/>
      </c>
      <c r="BC179" s="17" t="str">
        <f aca="false">IF(OR(AG179="",NOT(ISNUMBER(AG179))),"",AG179-N(K179))</f>
        <v/>
      </c>
      <c r="BD179" s="17" t="str">
        <f aca="false">IF(OR(AH179="",NOT(ISNUMBER(AH179))),"",AH179-N(L179))</f>
        <v/>
      </c>
      <c r="BE179" s="17" t="str">
        <f aca="false">IF(OR(AI179="",NOT(ISNUMBER(AI179))),"",AI179-N(M179))</f>
        <v/>
      </c>
      <c r="BF179" s="17" t="str">
        <f aca="false">IF(OR(AJ179="",NOT(ISNUMBER(AJ179))),"",AJ179-N(N179))</f>
        <v/>
      </c>
      <c r="BG179" s="17" t="str">
        <f aca="false">IF(OR(AK179="",NOT(ISNUMBER(AK179))),"",AK179-N(O179))</f>
        <v/>
      </c>
      <c r="BH179" s="17" t="str">
        <f aca="false">IF(OR(AL179="",NOT(ISNUMBER(AL179))),"",AL179-N(P179))</f>
        <v/>
      </c>
      <c r="BI179" s="17" t="str">
        <f aca="false">IF(OR(AM179="",NOT(ISNUMBER(AM179))),"",AM179-N(Q179))</f>
        <v/>
      </c>
      <c r="BJ179" s="17" t="str">
        <f aca="false">IF(OR(AN179="",NOT(ISNUMBER(AN179))),"",AN179-N(R179))</f>
        <v/>
      </c>
      <c r="BK179" s="17" t="str">
        <f aca="false">IF(OR(AO179="",NOT(ISNUMBER(AO179))),"",AO179-N(S179))</f>
        <v/>
      </c>
      <c r="BL179" s="17" t="str">
        <f aca="false">IF(OR(AP179="",NOT(ISNUMBER(AP179))),"",AP179-N(T179))</f>
        <v/>
      </c>
      <c r="BM179" s="17" t="str">
        <f aca="false">IF(OR(AQ179="",NOT(ISNUMBER(AQ179))),"",AQ179-N(U179))</f>
        <v/>
      </c>
      <c r="BR179" s="20" t="str">
        <f aca="false">IF($A179="","",IF(ISNUMBER($A179),DATE(YEAR($A179),MONTH($A179),1),IFERROR(DATE(2000+VALUE(RIGHT(TRIM($A179),2)),MATCH(UPPER(LEFT(TRIM($A179),3)),{"JAN","FEB","MAR","APR","MAY","JUN","JUL","AUG","SEP","OCT","NOV","DEC"},0),1),"")))</f>
        <v/>
      </c>
      <c r="BS179" s="20" t="str">
        <f aca="false">IF(BR179="","",EOMONTH(BR179,0))</f>
        <v/>
      </c>
    </row>
    <row r="180" customFormat="false" ht="15" hidden="false" customHeight="false" outlineLevel="0" collapsed="false">
      <c r="B180" s="21"/>
      <c r="C180" s="21"/>
      <c r="D180" s="21"/>
      <c r="E180" s="21"/>
      <c r="F180" s="21"/>
      <c r="G180" s="21"/>
      <c r="H180" s="21"/>
      <c r="I180" s="21"/>
      <c r="J180" s="21"/>
      <c r="K180" s="21"/>
      <c r="L180" s="21"/>
      <c r="M180" s="21"/>
      <c r="N180" s="21"/>
      <c r="O180" s="21"/>
      <c r="P180" s="21"/>
      <c r="Q180" s="21"/>
      <c r="R180" s="21"/>
      <c r="S180" s="21"/>
      <c r="T180" s="21"/>
      <c r="U180" s="21"/>
      <c r="X180" s="17" t="str">
        <f aca="false">IF(OR(B$7="",$BR180=""),"",IF('Tally Helper'!$B$3&lt;&gt;TRUE(),"not on Staff",SUMIFS('Tally Helper'!$L$5:$GI$5,'Tally Helper'!$L$3:$GI$3,"&gt;="&amp;$BR180,'Tally Helper'!$L$3:$GI$3,"&lt;="&amp;$BS180)))</f>
        <v/>
      </c>
      <c r="Y180" s="17" t="str">
        <f aca="false">IF(OR(C$7="",$BR180=""),"",IF('Tally Helper'!$B$6&lt;&gt;TRUE(),"not on Staff",SUMIFS('Tally Helper'!$L$8:$GI$8,'Tally Helper'!$L$6:$GI$6,"&gt;="&amp;$BR180,'Tally Helper'!$L$6:$GI$6,"&lt;="&amp;$BS180)))</f>
        <v/>
      </c>
      <c r="Z180" s="17" t="str">
        <f aca="false">IF(OR(D$7="",$BR180=""),"",IF('Tally Helper'!$B$9&lt;&gt;TRUE(),"not on Staff",SUMIFS('Tally Helper'!$L$11:$GI$11,'Tally Helper'!$L$9:$GI$9,"&gt;="&amp;$BR180,'Tally Helper'!$L$9:$GI$9,"&lt;="&amp;$BS180)))</f>
        <v/>
      </c>
      <c r="AA180" s="17" t="str">
        <f aca="false">IF(OR(E$7="",$BR180=""),"",IF('Tally Helper'!$B$12&lt;&gt;TRUE(),"not on Staff",SUMIFS('Tally Helper'!$L$14:$GI$14,'Tally Helper'!$L$12:$GI$12,"&gt;="&amp;$BR180,'Tally Helper'!$L$12:$GI$12,"&lt;="&amp;$BS180)))</f>
        <v/>
      </c>
      <c r="AB180" s="17" t="str">
        <f aca="false">IF(OR(F$7="",$BR180=""),"",IF('Tally Helper'!$B$15&lt;&gt;TRUE(),"not on Staff",SUMIFS('Tally Helper'!$L$17:$GI$17,'Tally Helper'!$L$15:$GI$15,"&gt;="&amp;$BR180,'Tally Helper'!$L$15:$GI$15,"&lt;="&amp;$BS180)))</f>
        <v/>
      </c>
      <c r="AC180" s="17" t="str">
        <f aca="false">IF(OR(G$7="",$BR180=""),"",IF('Tally Helper'!$B$18&lt;&gt;TRUE(),"not on Staff",SUMIFS('Tally Helper'!$L$20:$GI$20,'Tally Helper'!$L$18:$GI$18,"&gt;="&amp;$BR180,'Tally Helper'!$L$18:$GI$18,"&lt;="&amp;$BS180)))</f>
        <v/>
      </c>
      <c r="AD180" s="17" t="str">
        <f aca="false">IF(OR(H$7="",$BR180=""),"",IF('Tally Helper'!$B$21&lt;&gt;TRUE(),"not on Staff",SUMIFS('Tally Helper'!$L$23:$GI$23,'Tally Helper'!$L$21:$GI$21,"&gt;="&amp;$BR180,'Tally Helper'!$L$21:$GI$21,"&lt;="&amp;$BS180)))</f>
        <v/>
      </c>
      <c r="AE180" s="17" t="str">
        <f aca="false">IF(OR(I$7="",$BR180=""),"",IF('Tally Helper'!$B$24&lt;&gt;TRUE(),"not on Staff",SUMIFS('Tally Helper'!$L$26:$GI$26,'Tally Helper'!$L$24:$GI$24,"&gt;="&amp;$BR180,'Tally Helper'!$L$24:$GI$24,"&lt;="&amp;$BS180)))</f>
        <v/>
      </c>
      <c r="AF180" s="17" t="str">
        <f aca="false">IF(OR(J$7="",$BR180=""),"",IF('Tally Helper'!$B$27&lt;&gt;TRUE(),"not on Staff",SUMIFS('Tally Helper'!$L$29:$GI$29,'Tally Helper'!$L$27:$GI$27,"&gt;="&amp;$BR180,'Tally Helper'!$L$27:$GI$27,"&lt;="&amp;$BS180)))</f>
        <v/>
      </c>
      <c r="AG180" s="17" t="str">
        <f aca="false">IF(OR(K$7="",$BR180=""),"",IF('Tally Helper'!$B$30&lt;&gt;TRUE(),"not on Staff",SUMIFS('Tally Helper'!$L$32:$GI$32,'Tally Helper'!$L$30:$GI$30,"&gt;="&amp;$BR180,'Tally Helper'!$L$30:$GI$30,"&lt;="&amp;$BS180)))</f>
        <v/>
      </c>
      <c r="AH180" s="17" t="str">
        <f aca="false">IF(OR(L$7="",$BR180=""),"",IF('Tally Helper'!$B$33&lt;&gt;TRUE(),"not on Staff",SUMIFS('Tally Helper'!$L$35:$GI$35,'Tally Helper'!$L$33:$GI$33,"&gt;="&amp;$BR180,'Tally Helper'!$L$33:$GI$33,"&lt;="&amp;$BS180)))</f>
        <v/>
      </c>
      <c r="AI180" s="17" t="str">
        <f aca="false">IF(OR(M$7="",$BR180=""),"",IF('Tally Helper'!$B$36&lt;&gt;TRUE(),"not on Staff",SUMIFS('Tally Helper'!$L$38:$GI$38,'Tally Helper'!$L$36:$GI$36,"&gt;="&amp;$BR180,'Tally Helper'!$L$36:$GI$36,"&lt;="&amp;$BS180)))</f>
        <v/>
      </c>
      <c r="AJ180" s="17" t="str">
        <f aca="false">IF(OR(N$7="",$BR180=""),"",IF('Tally Helper'!$B$39&lt;&gt;TRUE(),"not on Staff",SUMIFS('Tally Helper'!$L$41:$GI$41,'Tally Helper'!$L$39:$GI$39,"&gt;="&amp;$BR180,'Tally Helper'!$L$39:$GI$39,"&lt;="&amp;$BS180)))</f>
        <v/>
      </c>
      <c r="AK180" s="17" t="str">
        <f aca="false">IF(OR(O$7="",$BR180=""),"",IF('Tally Helper'!$B$42&lt;&gt;TRUE(),"not on Staff",SUMIFS('Tally Helper'!$L$44:$GI$44,'Tally Helper'!$L$42:$GI$42,"&gt;="&amp;$BR180,'Tally Helper'!$L$42:$GI$42,"&lt;="&amp;$BS180)))</f>
        <v/>
      </c>
      <c r="AL180" s="17" t="str">
        <f aca="false">IF(OR(P$7="",$BR180=""),"",IF('Tally Helper'!$B$45&lt;&gt;TRUE(),"not on Staff",SUMIFS('Tally Helper'!$L$47:$GI$47,'Tally Helper'!$L$45:$GI$45,"&gt;="&amp;$BR180,'Tally Helper'!$L$45:$GI$45,"&lt;="&amp;$BS180)))</f>
        <v/>
      </c>
      <c r="AM180" s="17" t="str">
        <f aca="false">IF(OR(Q$7="",$BR180=""),"",IF('Tally Helper'!$B$48&lt;&gt;TRUE(),"not on Staff",SUMIFS('Tally Helper'!$L$50:$GI$50,'Tally Helper'!$L$48:$GI$48,"&gt;="&amp;$BR180,'Tally Helper'!$L$48:$GI$48,"&lt;="&amp;$BS180)))</f>
        <v/>
      </c>
      <c r="AN180" s="17" t="str">
        <f aca="false">IF(OR(R$7="",$BR180=""),"",IF('Tally Helper'!$B$51&lt;&gt;TRUE(),"not on Staff",SUMIFS('Tally Helper'!$L$53:$GI$53,'Tally Helper'!$L$51:$GI$51,"&gt;="&amp;$BR180,'Tally Helper'!$L$51:$GI$51,"&lt;="&amp;$BS180)))</f>
        <v/>
      </c>
      <c r="AO180" s="17" t="str">
        <f aca="false">IF(OR(S$7="",$BR180=""),"",IF('Tally Helper'!$B$54&lt;&gt;TRUE(),"not on Staff",SUMIFS('Tally Helper'!$L$56:$GI$56,'Tally Helper'!$L$54:$GI$54,"&gt;="&amp;$BR180,'Tally Helper'!$L$54:$GI$54,"&lt;="&amp;$BS180)))</f>
        <v/>
      </c>
      <c r="AP180" s="17" t="str">
        <f aca="false">IF(OR(T$7="",$BR180=""),"",IF('Tally Helper'!$B$57&lt;&gt;TRUE(),"not on Staff",SUMIFS('Tally Helper'!$L$59:$GI$59,'Tally Helper'!$L$57:$GI$57,"&gt;="&amp;$BR180,'Tally Helper'!$L$57:$GI$57,"&lt;="&amp;$BS180)))</f>
        <v/>
      </c>
      <c r="AQ180" s="17" t="str">
        <f aca="false">IF(OR(U$7="",$BR180=""),"",IF('Tally Helper'!$B$60&lt;&gt;TRUE(),"not on Staff",SUMIFS('Tally Helper'!$L$62:$GI$62,'Tally Helper'!$L$60:$GI$60,"&gt;="&amp;$BR180,'Tally Helper'!$L$60:$GI$60,"&lt;="&amp;$BS180)))</f>
        <v/>
      </c>
      <c r="AT180" s="17" t="str">
        <f aca="false">IF(OR(X180="",NOT(ISNUMBER(X180))),"",X180-N(B180))</f>
        <v/>
      </c>
      <c r="AU180" s="17" t="str">
        <f aca="false">IF(OR(Y180="",NOT(ISNUMBER(Y180))),"",Y180-N(C180))</f>
        <v/>
      </c>
      <c r="AV180" s="17" t="str">
        <f aca="false">IF(OR(Z180="",NOT(ISNUMBER(Z180))),"",Z180-N(D180))</f>
        <v/>
      </c>
      <c r="AW180" s="17" t="str">
        <f aca="false">IF(OR(AA180="",NOT(ISNUMBER(AA180))),"",AA180-N(E180))</f>
        <v/>
      </c>
      <c r="AX180" s="17" t="str">
        <f aca="false">IF(OR(AB180="",NOT(ISNUMBER(AB180))),"",AB180-N(F180))</f>
        <v/>
      </c>
      <c r="AY180" s="17" t="str">
        <f aca="false">IF(OR(AC180="",NOT(ISNUMBER(AC180))),"",AC180-N(G180))</f>
        <v/>
      </c>
      <c r="AZ180" s="17" t="str">
        <f aca="false">IF(OR(AD180="",NOT(ISNUMBER(AD180))),"",AD180-N(H180))</f>
        <v/>
      </c>
      <c r="BA180" s="17" t="str">
        <f aca="false">IF(OR(AE180="",NOT(ISNUMBER(AE180))),"",AE180-N(I180))</f>
        <v/>
      </c>
      <c r="BB180" s="17" t="str">
        <f aca="false">IF(OR(AF180="",NOT(ISNUMBER(AF180))),"",AF180-N(J180))</f>
        <v/>
      </c>
      <c r="BC180" s="17" t="str">
        <f aca="false">IF(OR(AG180="",NOT(ISNUMBER(AG180))),"",AG180-N(K180))</f>
        <v/>
      </c>
      <c r="BD180" s="17" t="str">
        <f aca="false">IF(OR(AH180="",NOT(ISNUMBER(AH180))),"",AH180-N(L180))</f>
        <v/>
      </c>
      <c r="BE180" s="17" t="str">
        <f aca="false">IF(OR(AI180="",NOT(ISNUMBER(AI180))),"",AI180-N(M180))</f>
        <v/>
      </c>
      <c r="BF180" s="17" t="str">
        <f aca="false">IF(OR(AJ180="",NOT(ISNUMBER(AJ180))),"",AJ180-N(N180))</f>
        <v/>
      </c>
      <c r="BG180" s="17" t="str">
        <f aca="false">IF(OR(AK180="",NOT(ISNUMBER(AK180))),"",AK180-N(O180))</f>
        <v/>
      </c>
      <c r="BH180" s="17" t="str">
        <f aca="false">IF(OR(AL180="",NOT(ISNUMBER(AL180))),"",AL180-N(P180))</f>
        <v/>
      </c>
      <c r="BI180" s="17" t="str">
        <f aca="false">IF(OR(AM180="",NOT(ISNUMBER(AM180))),"",AM180-N(Q180))</f>
        <v/>
      </c>
      <c r="BJ180" s="17" t="str">
        <f aca="false">IF(OR(AN180="",NOT(ISNUMBER(AN180))),"",AN180-N(R180))</f>
        <v/>
      </c>
      <c r="BK180" s="17" t="str">
        <f aca="false">IF(OR(AO180="",NOT(ISNUMBER(AO180))),"",AO180-N(S180))</f>
        <v/>
      </c>
      <c r="BL180" s="17" t="str">
        <f aca="false">IF(OR(AP180="",NOT(ISNUMBER(AP180))),"",AP180-N(T180))</f>
        <v/>
      </c>
      <c r="BM180" s="17" t="str">
        <f aca="false">IF(OR(AQ180="",NOT(ISNUMBER(AQ180))),"",AQ180-N(U180))</f>
        <v/>
      </c>
      <c r="BR180" s="20" t="str">
        <f aca="false">IF($A180="","",IF(ISNUMBER($A180),DATE(YEAR($A180),MONTH($A180),1),IFERROR(DATE(2000+VALUE(RIGHT(TRIM($A180),2)),MATCH(UPPER(LEFT(TRIM($A180),3)),{"JAN","FEB","MAR","APR","MAY","JUN","JUL","AUG","SEP","OCT","NOV","DEC"},0),1),"")))</f>
        <v/>
      </c>
      <c r="BS180" s="20" t="str">
        <f aca="false">IF(BR180="","",EOMONTH(BR180,0))</f>
        <v/>
      </c>
    </row>
    <row r="181" customFormat="false" ht="15" hidden="false" customHeight="false" outlineLevel="0" collapsed="false">
      <c r="B181" s="21"/>
      <c r="C181" s="21"/>
      <c r="D181" s="21"/>
      <c r="E181" s="21"/>
      <c r="F181" s="21"/>
      <c r="G181" s="21"/>
      <c r="H181" s="21"/>
      <c r="I181" s="21"/>
      <c r="J181" s="21"/>
      <c r="K181" s="21"/>
      <c r="L181" s="21"/>
      <c r="M181" s="21"/>
      <c r="N181" s="21"/>
      <c r="O181" s="21"/>
      <c r="P181" s="21"/>
      <c r="Q181" s="21"/>
      <c r="R181" s="21"/>
      <c r="S181" s="21"/>
      <c r="T181" s="21"/>
      <c r="U181" s="21"/>
      <c r="X181" s="17" t="str">
        <f aca="false">IF(OR(B$7="",$BR181=""),"",IF('Tally Helper'!$B$3&lt;&gt;TRUE(),"not on Staff",SUMIFS('Tally Helper'!$L$5:$GI$5,'Tally Helper'!$L$3:$GI$3,"&gt;="&amp;$BR181,'Tally Helper'!$L$3:$GI$3,"&lt;="&amp;$BS181)))</f>
        <v/>
      </c>
      <c r="Y181" s="17" t="str">
        <f aca="false">IF(OR(C$7="",$BR181=""),"",IF('Tally Helper'!$B$6&lt;&gt;TRUE(),"not on Staff",SUMIFS('Tally Helper'!$L$8:$GI$8,'Tally Helper'!$L$6:$GI$6,"&gt;="&amp;$BR181,'Tally Helper'!$L$6:$GI$6,"&lt;="&amp;$BS181)))</f>
        <v/>
      </c>
      <c r="Z181" s="17" t="str">
        <f aca="false">IF(OR(D$7="",$BR181=""),"",IF('Tally Helper'!$B$9&lt;&gt;TRUE(),"not on Staff",SUMIFS('Tally Helper'!$L$11:$GI$11,'Tally Helper'!$L$9:$GI$9,"&gt;="&amp;$BR181,'Tally Helper'!$L$9:$GI$9,"&lt;="&amp;$BS181)))</f>
        <v/>
      </c>
      <c r="AA181" s="17" t="str">
        <f aca="false">IF(OR(E$7="",$BR181=""),"",IF('Tally Helper'!$B$12&lt;&gt;TRUE(),"not on Staff",SUMIFS('Tally Helper'!$L$14:$GI$14,'Tally Helper'!$L$12:$GI$12,"&gt;="&amp;$BR181,'Tally Helper'!$L$12:$GI$12,"&lt;="&amp;$BS181)))</f>
        <v/>
      </c>
      <c r="AB181" s="17" t="str">
        <f aca="false">IF(OR(F$7="",$BR181=""),"",IF('Tally Helper'!$B$15&lt;&gt;TRUE(),"not on Staff",SUMIFS('Tally Helper'!$L$17:$GI$17,'Tally Helper'!$L$15:$GI$15,"&gt;="&amp;$BR181,'Tally Helper'!$L$15:$GI$15,"&lt;="&amp;$BS181)))</f>
        <v/>
      </c>
      <c r="AC181" s="17" t="str">
        <f aca="false">IF(OR(G$7="",$BR181=""),"",IF('Tally Helper'!$B$18&lt;&gt;TRUE(),"not on Staff",SUMIFS('Tally Helper'!$L$20:$GI$20,'Tally Helper'!$L$18:$GI$18,"&gt;="&amp;$BR181,'Tally Helper'!$L$18:$GI$18,"&lt;="&amp;$BS181)))</f>
        <v/>
      </c>
      <c r="AD181" s="17" t="str">
        <f aca="false">IF(OR(H$7="",$BR181=""),"",IF('Tally Helper'!$B$21&lt;&gt;TRUE(),"not on Staff",SUMIFS('Tally Helper'!$L$23:$GI$23,'Tally Helper'!$L$21:$GI$21,"&gt;="&amp;$BR181,'Tally Helper'!$L$21:$GI$21,"&lt;="&amp;$BS181)))</f>
        <v/>
      </c>
      <c r="AE181" s="17" t="str">
        <f aca="false">IF(OR(I$7="",$BR181=""),"",IF('Tally Helper'!$B$24&lt;&gt;TRUE(),"not on Staff",SUMIFS('Tally Helper'!$L$26:$GI$26,'Tally Helper'!$L$24:$GI$24,"&gt;="&amp;$BR181,'Tally Helper'!$L$24:$GI$24,"&lt;="&amp;$BS181)))</f>
        <v/>
      </c>
      <c r="AF181" s="17" t="str">
        <f aca="false">IF(OR(J$7="",$BR181=""),"",IF('Tally Helper'!$B$27&lt;&gt;TRUE(),"not on Staff",SUMIFS('Tally Helper'!$L$29:$GI$29,'Tally Helper'!$L$27:$GI$27,"&gt;="&amp;$BR181,'Tally Helper'!$L$27:$GI$27,"&lt;="&amp;$BS181)))</f>
        <v/>
      </c>
      <c r="AG181" s="17" t="str">
        <f aca="false">IF(OR(K$7="",$BR181=""),"",IF('Tally Helper'!$B$30&lt;&gt;TRUE(),"not on Staff",SUMIFS('Tally Helper'!$L$32:$GI$32,'Tally Helper'!$L$30:$GI$30,"&gt;="&amp;$BR181,'Tally Helper'!$L$30:$GI$30,"&lt;="&amp;$BS181)))</f>
        <v/>
      </c>
      <c r="AH181" s="17" t="str">
        <f aca="false">IF(OR(L$7="",$BR181=""),"",IF('Tally Helper'!$B$33&lt;&gt;TRUE(),"not on Staff",SUMIFS('Tally Helper'!$L$35:$GI$35,'Tally Helper'!$L$33:$GI$33,"&gt;="&amp;$BR181,'Tally Helper'!$L$33:$GI$33,"&lt;="&amp;$BS181)))</f>
        <v/>
      </c>
      <c r="AI181" s="17" t="str">
        <f aca="false">IF(OR(M$7="",$BR181=""),"",IF('Tally Helper'!$B$36&lt;&gt;TRUE(),"not on Staff",SUMIFS('Tally Helper'!$L$38:$GI$38,'Tally Helper'!$L$36:$GI$36,"&gt;="&amp;$BR181,'Tally Helper'!$L$36:$GI$36,"&lt;="&amp;$BS181)))</f>
        <v/>
      </c>
      <c r="AJ181" s="17" t="str">
        <f aca="false">IF(OR(N$7="",$BR181=""),"",IF('Tally Helper'!$B$39&lt;&gt;TRUE(),"not on Staff",SUMIFS('Tally Helper'!$L$41:$GI$41,'Tally Helper'!$L$39:$GI$39,"&gt;="&amp;$BR181,'Tally Helper'!$L$39:$GI$39,"&lt;="&amp;$BS181)))</f>
        <v/>
      </c>
      <c r="AK181" s="17" t="str">
        <f aca="false">IF(OR(O$7="",$BR181=""),"",IF('Tally Helper'!$B$42&lt;&gt;TRUE(),"not on Staff",SUMIFS('Tally Helper'!$L$44:$GI$44,'Tally Helper'!$L$42:$GI$42,"&gt;="&amp;$BR181,'Tally Helper'!$L$42:$GI$42,"&lt;="&amp;$BS181)))</f>
        <v/>
      </c>
      <c r="AL181" s="17" t="str">
        <f aca="false">IF(OR(P$7="",$BR181=""),"",IF('Tally Helper'!$B$45&lt;&gt;TRUE(),"not on Staff",SUMIFS('Tally Helper'!$L$47:$GI$47,'Tally Helper'!$L$45:$GI$45,"&gt;="&amp;$BR181,'Tally Helper'!$L$45:$GI$45,"&lt;="&amp;$BS181)))</f>
        <v/>
      </c>
      <c r="AM181" s="17" t="str">
        <f aca="false">IF(OR(Q$7="",$BR181=""),"",IF('Tally Helper'!$B$48&lt;&gt;TRUE(),"not on Staff",SUMIFS('Tally Helper'!$L$50:$GI$50,'Tally Helper'!$L$48:$GI$48,"&gt;="&amp;$BR181,'Tally Helper'!$L$48:$GI$48,"&lt;="&amp;$BS181)))</f>
        <v/>
      </c>
      <c r="AN181" s="17" t="str">
        <f aca="false">IF(OR(R$7="",$BR181=""),"",IF('Tally Helper'!$B$51&lt;&gt;TRUE(),"not on Staff",SUMIFS('Tally Helper'!$L$53:$GI$53,'Tally Helper'!$L$51:$GI$51,"&gt;="&amp;$BR181,'Tally Helper'!$L$51:$GI$51,"&lt;="&amp;$BS181)))</f>
        <v/>
      </c>
      <c r="AO181" s="17" t="str">
        <f aca="false">IF(OR(S$7="",$BR181=""),"",IF('Tally Helper'!$B$54&lt;&gt;TRUE(),"not on Staff",SUMIFS('Tally Helper'!$L$56:$GI$56,'Tally Helper'!$L$54:$GI$54,"&gt;="&amp;$BR181,'Tally Helper'!$L$54:$GI$54,"&lt;="&amp;$BS181)))</f>
        <v/>
      </c>
      <c r="AP181" s="17" t="str">
        <f aca="false">IF(OR(T$7="",$BR181=""),"",IF('Tally Helper'!$B$57&lt;&gt;TRUE(),"not on Staff",SUMIFS('Tally Helper'!$L$59:$GI$59,'Tally Helper'!$L$57:$GI$57,"&gt;="&amp;$BR181,'Tally Helper'!$L$57:$GI$57,"&lt;="&amp;$BS181)))</f>
        <v/>
      </c>
      <c r="AQ181" s="17" t="str">
        <f aca="false">IF(OR(U$7="",$BR181=""),"",IF('Tally Helper'!$B$60&lt;&gt;TRUE(),"not on Staff",SUMIFS('Tally Helper'!$L$62:$GI$62,'Tally Helper'!$L$60:$GI$60,"&gt;="&amp;$BR181,'Tally Helper'!$L$60:$GI$60,"&lt;="&amp;$BS181)))</f>
        <v/>
      </c>
      <c r="AT181" s="17" t="str">
        <f aca="false">IF(OR(X181="",NOT(ISNUMBER(X181))),"",X181-N(B181))</f>
        <v/>
      </c>
      <c r="AU181" s="17" t="str">
        <f aca="false">IF(OR(Y181="",NOT(ISNUMBER(Y181))),"",Y181-N(C181))</f>
        <v/>
      </c>
      <c r="AV181" s="17" t="str">
        <f aca="false">IF(OR(Z181="",NOT(ISNUMBER(Z181))),"",Z181-N(D181))</f>
        <v/>
      </c>
      <c r="AW181" s="17" t="str">
        <f aca="false">IF(OR(AA181="",NOT(ISNUMBER(AA181))),"",AA181-N(E181))</f>
        <v/>
      </c>
      <c r="AX181" s="17" t="str">
        <f aca="false">IF(OR(AB181="",NOT(ISNUMBER(AB181))),"",AB181-N(F181))</f>
        <v/>
      </c>
      <c r="AY181" s="17" t="str">
        <f aca="false">IF(OR(AC181="",NOT(ISNUMBER(AC181))),"",AC181-N(G181))</f>
        <v/>
      </c>
      <c r="AZ181" s="17" t="str">
        <f aca="false">IF(OR(AD181="",NOT(ISNUMBER(AD181))),"",AD181-N(H181))</f>
        <v/>
      </c>
      <c r="BA181" s="17" t="str">
        <f aca="false">IF(OR(AE181="",NOT(ISNUMBER(AE181))),"",AE181-N(I181))</f>
        <v/>
      </c>
      <c r="BB181" s="17" t="str">
        <f aca="false">IF(OR(AF181="",NOT(ISNUMBER(AF181))),"",AF181-N(J181))</f>
        <v/>
      </c>
      <c r="BC181" s="17" t="str">
        <f aca="false">IF(OR(AG181="",NOT(ISNUMBER(AG181))),"",AG181-N(K181))</f>
        <v/>
      </c>
      <c r="BD181" s="17" t="str">
        <f aca="false">IF(OR(AH181="",NOT(ISNUMBER(AH181))),"",AH181-N(L181))</f>
        <v/>
      </c>
      <c r="BE181" s="17" t="str">
        <f aca="false">IF(OR(AI181="",NOT(ISNUMBER(AI181))),"",AI181-N(M181))</f>
        <v/>
      </c>
      <c r="BF181" s="17" t="str">
        <f aca="false">IF(OR(AJ181="",NOT(ISNUMBER(AJ181))),"",AJ181-N(N181))</f>
        <v/>
      </c>
      <c r="BG181" s="17" t="str">
        <f aca="false">IF(OR(AK181="",NOT(ISNUMBER(AK181))),"",AK181-N(O181))</f>
        <v/>
      </c>
      <c r="BH181" s="17" t="str">
        <f aca="false">IF(OR(AL181="",NOT(ISNUMBER(AL181))),"",AL181-N(P181))</f>
        <v/>
      </c>
      <c r="BI181" s="17" t="str">
        <f aca="false">IF(OR(AM181="",NOT(ISNUMBER(AM181))),"",AM181-N(Q181))</f>
        <v/>
      </c>
      <c r="BJ181" s="17" t="str">
        <f aca="false">IF(OR(AN181="",NOT(ISNUMBER(AN181))),"",AN181-N(R181))</f>
        <v/>
      </c>
      <c r="BK181" s="17" t="str">
        <f aca="false">IF(OR(AO181="",NOT(ISNUMBER(AO181))),"",AO181-N(S181))</f>
        <v/>
      </c>
      <c r="BL181" s="17" t="str">
        <f aca="false">IF(OR(AP181="",NOT(ISNUMBER(AP181))),"",AP181-N(T181))</f>
        <v/>
      </c>
      <c r="BM181" s="17" t="str">
        <f aca="false">IF(OR(AQ181="",NOT(ISNUMBER(AQ181))),"",AQ181-N(U181))</f>
        <v/>
      </c>
      <c r="BR181" s="20" t="str">
        <f aca="false">IF($A181="","",IF(ISNUMBER($A181),DATE(YEAR($A181),MONTH($A181),1),IFERROR(DATE(2000+VALUE(RIGHT(TRIM($A181),2)),MATCH(UPPER(LEFT(TRIM($A181),3)),{"JAN","FEB","MAR","APR","MAY","JUN","JUL","AUG","SEP","OCT","NOV","DEC"},0),1),"")))</f>
        <v/>
      </c>
      <c r="BS181" s="20" t="str">
        <f aca="false">IF(BR181="","",EOMONTH(BR181,0))</f>
        <v/>
      </c>
    </row>
    <row r="182" customFormat="false" ht="15" hidden="false" customHeight="false" outlineLevel="0" collapsed="false">
      <c r="B182" s="21"/>
      <c r="C182" s="21"/>
      <c r="D182" s="21"/>
      <c r="E182" s="21"/>
      <c r="F182" s="21"/>
      <c r="G182" s="21"/>
      <c r="H182" s="21"/>
      <c r="I182" s="21"/>
      <c r="J182" s="21"/>
      <c r="K182" s="21"/>
      <c r="L182" s="21"/>
      <c r="M182" s="21"/>
      <c r="N182" s="21"/>
      <c r="O182" s="21"/>
      <c r="P182" s="21"/>
      <c r="Q182" s="21"/>
      <c r="R182" s="21"/>
      <c r="S182" s="21"/>
      <c r="T182" s="21"/>
      <c r="U182" s="21"/>
      <c r="X182" s="17" t="str">
        <f aca="false">IF(OR(B$7="",$BR182=""),"",IF('Tally Helper'!$B$3&lt;&gt;TRUE(),"not on Staff",SUMIFS('Tally Helper'!$L$5:$GI$5,'Tally Helper'!$L$3:$GI$3,"&gt;="&amp;$BR182,'Tally Helper'!$L$3:$GI$3,"&lt;="&amp;$BS182)))</f>
        <v/>
      </c>
      <c r="Y182" s="17" t="str">
        <f aca="false">IF(OR(C$7="",$BR182=""),"",IF('Tally Helper'!$B$6&lt;&gt;TRUE(),"not on Staff",SUMIFS('Tally Helper'!$L$8:$GI$8,'Tally Helper'!$L$6:$GI$6,"&gt;="&amp;$BR182,'Tally Helper'!$L$6:$GI$6,"&lt;="&amp;$BS182)))</f>
        <v/>
      </c>
      <c r="Z182" s="17" t="str">
        <f aca="false">IF(OR(D$7="",$BR182=""),"",IF('Tally Helper'!$B$9&lt;&gt;TRUE(),"not on Staff",SUMIFS('Tally Helper'!$L$11:$GI$11,'Tally Helper'!$L$9:$GI$9,"&gt;="&amp;$BR182,'Tally Helper'!$L$9:$GI$9,"&lt;="&amp;$BS182)))</f>
        <v/>
      </c>
      <c r="AA182" s="17" t="str">
        <f aca="false">IF(OR(E$7="",$BR182=""),"",IF('Tally Helper'!$B$12&lt;&gt;TRUE(),"not on Staff",SUMIFS('Tally Helper'!$L$14:$GI$14,'Tally Helper'!$L$12:$GI$12,"&gt;="&amp;$BR182,'Tally Helper'!$L$12:$GI$12,"&lt;="&amp;$BS182)))</f>
        <v/>
      </c>
      <c r="AB182" s="17" t="str">
        <f aca="false">IF(OR(F$7="",$BR182=""),"",IF('Tally Helper'!$B$15&lt;&gt;TRUE(),"not on Staff",SUMIFS('Tally Helper'!$L$17:$GI$17,'Tally Helper'!$L$15:$GI$15,"&gt;="&amp;$BR182,'Tally Helper'!$L$15:$GI$15,"&lt;="&amp;$BS182)))</f>
        <v/>
      </c>
      <c r="AC182" s="17" t="str">
        <f aca="false">IF(OR(G$7="",$BR182=""),"",IF('Tally Helper'!$B$18&lt;&gt;TRUE(),"not on Staff",SUMIFS('Tally Helper'!$L$20:$GI$20,'Tally Helper'!$L$18:$GI$18,"&gt;="&amp;$BR182,'Tally Helper'!$L$18:$GI$18,"&lt;="&amp;$BS182)))</f>
        <v/>
      </c>
      <c r="AD182" s="17" t="str">
        <f aca="false">IF(OR(H$7="",$BR182=""),"",IF('Tally Helper'!$B$21&lt;&gt;TRUE(),"not on Staff",SUMIFS('Tally Helper'!$L$23:$GI$23,'Tally Helper'!$L$21:$GI$21,"&gt;="&amp;$BR182,'Tally Helper'!$L$21:$GI$21,"&lt;="&amp;$BS182)))</f>
        <v/>
      </c>
      <c r="AE182" s="17" t="str">
        <f aca="false">IF(OR(I$7="",$BR182=""),"",IF('Tally Helper'!$B$24&lt;&gt;TRUE(),"not on Staff",SUMIFS('Tally Helper'!$L$26:$GI$26,'Tally Helper'!$L$24:$GI$24,"&gt;="&amp;$BR182,'Tally Helper'!$L$24:$GI$24,"&lt;="&amp;$BS182)))</f>
        <v/>
      </c>
      <c r="AF182" s="17" t="str">
        <f aca="false">IF(OR(J$7="",$BR182=""),"",IF('Tally Helper'!$B$27&lt;&gt;TRUE(),"not on Staff",SUMIFS('Tally Helper'!$L$29:$GI$29,'Tally Helper'!$L$27:$GI$27,"&gt;="&amp;$BR182,'Tally Helper'!$L$27:$GI$27,"&lt;="&amp;$BS182)))</f>
        <v/>
      </c>
      <c r="AG182" s="17" t="str">
        <f aca="false">IF(OR(K$7="",$BR182=""),"",IF('Tally Helper'!$B$30&lt;&gt;TRUE(),"not on Staff",SUMIFS('Tally Helper'!$L$32:$GI$32,'Tally Helper'!$L$30:$GI$30,"&gt;="&amp;$BR182,'Tally Helper'!$L$30:$GI$30,"&lt;="&amp;$BS182)))</f>
        <v/>
      </c>
      <c r="AH182" s="17" t="str">
        <f aca="false">IF(OR(L$7="",$BR182=""),"",IF('Tally Helper'!$B$33&lt;&gt;TRUE(),"not on Staff",SUMIFS('Tally Helper'!$L$35:$GI$35,'Tally Helper'!$L$33:$GI$33,"&gt;="&amp;$BR182,'Tally Helper'!$L$33:$GI$33,"&lt;="&amp;$BS182)))</f>
        <v/>
      </c>
      <c r="AI182" s="17" t="str">
        <f aca="false">IF(OR(M$7="",$BR182=""),"",IF('Tally Helper'!$B$36&lt;&gt;TRUE(),"not on Staff",SUMIFS('Tally Helper'!$L$38:$GI$38,'Tally Helper'!$L$36:$GI$36,"&gt;="&amp;$BR182,'Tally Helper'!$L$36:$GI$36,"&lt;="&amp;$BS182)))</f>
        <v/>
      </c>
      <c r="AJ182" s="17" t="str">
        <f aca="false">IF(OR(N$7="",$BR182=""),"",IF('Tally Helper'!$B$39&lt;&gt;TRUE(),"not on Staff",SUMIFS('Tally Helper'!$L$41:$GI$41,'Tally Helper'!$L$39:$GI$39,"&gt;="&amp;$BR182,'Tally Helper'!$L$39:$GI$39,"&lt;="&amp;$BS182)))</f>
        <v/>
      </c>
      <c r="AK182" s="17" t="str">
        <f aca="false">IF(OR(O$7="",$BR182=""),"",IF('Tally Helper'!$B$42&lt;&gt;TRUE(),"not on Staff",SUMIFS('Tally Helper'!$L$44:$GI$44,'Tally Helper'!$L$42:$GI$42,"&gt;="&amp;$BR182,'Tally Helper'!$L$42:$GI$42,"&lt;="&amp;$BS182)))</f>
        <v/>
      </c>
      <c r="AL182" s="17" t="str">
        <f aca="false">IF(OR(P$7="",$BR182=""),"",IF('Tally Helper'!$B$45&lt;&gt;TRUE(),"not on Staff",SUMIFS('Tally Helper'!$L$47:$GI$47,'Tally Helper'!$L$45:$GI$45,"&gt;="&amp;$BR182,'Tally Helper'!$L$45:$GI$45,"&lt;="&amp;$BS182)))</f>
        <v/>
      </c>
      <c r="AM182" s="17" t="str">
        <f aca="false">IF(OR(Q$7="",$BR182=""),"",IF('Tally Helper'!$B$48&lt;&gt;TRUE(),"not on Staff",SUMIFS('Tally Helper'!$L$50:$GI$50,'Tally Helper'!$L$48:$GI$48,"&gt;="&amp;$BR182,'Tally Helper'!$L$48:$GI$48,"&lt;="&amp;$BS182)))</f>
        <v/>
      </c>
      <c r="AN182" s="17" t="str">
        <f aca="false">IF(OR(R$7="",$BR182=""),"",IF('Tally Helper'!$B$51&lt;&gt;TRUE(),"not on Staff",SUMIFS('Tally Helper'!$L$53:$GI$53,'Tally Helper'!$L$51:$GI$51,"&gt;="&amp;$BR182,'Tally Helper'!$L$51:$GI$51,"&lt;="&amp;$BS182)))</f>
        <v/>
      </c>
      <c r="AO182" s="17" t="str">
        <f aca="false">IF(OR(S$7="",$BR182=""),"",IF('Tally Helper'!$B$54&lt;&gt;TRUE(),"not on Staff",SUMIFS('Tally Helper'!$L$56:$GI$56,'Tally Helper'!$L$54:$GI$54,"&gt;="&amp;$BR182,'Tally Helper'!$L$54:$GI$54,"&lt;="&amp;$BS182)))</f>
        <v/>
      </c>
      <c r="AP182" s="17" t="str">
        <f aca="false">IF(OR(T$7="",$BR182=""),"",IF('Tally Helper'!$B$57&lt;&gt;TRUE(),"not on Staff",SUMIFS('Tally Helper'!$L$59:$GI$59,'Tally Helper'!$L$57:$GI$57,"&gt;="&amp;$BR182,'Tally Helper'!$L$57:$GI$57,"&lt;="&amp;$BS182)))</f>
        <v/>
      </c>
      <c r="AQ182" s="17" t="str">
        <f aca="false">IF(OR(U$7="",$BR182=""),"",IF('Tally Helper'!$B$60&lt;&gt;TRUE(),"not on Staff",SUMIFS('Tally Helper'!$L$62:$GI$62,'Tally Helper'!$L$60:$GI$60,"&gt;="&amp;$BR182,'Tally Helper'!$L$60:$GI$60,"&lt;="&amp;$BS182)))</f>
        <v/>
      </c>
      <c r="AT182" s="17" t="str">
        <f aca="false">IF(OR(X182="",NOT(ISNUMBER(X182))),"",X182-N(B182))</f>
        <v/>
      </c>
      <c r="AU182" s="17" t="str">
        <f aca="false">IF(OR(Y182="",NOT(ISNUMBER(Y182))),"",Y182-N(C182))</f>
        <v/>
      </c>
      <c r="AV182" s="17" t="str">
        <f aca="false">IF(OR(Z182="",NOT(ISNUMBER(Z182))),"",Z182-N(D182))</f>
        <v/>
      </c>
      <c r="AW182" s="17" t="str">
        <f aca="false">IF(OR(AA182="",NOT(ISNUMBER(AA182))),"",AA182-N(E182))</f>
        <v/>
      </c>
      <c r="AX182" s="17" t="str">
        <f aca="false">IF(OR(AB182="",NOT(ISNUMBER(AB182))),"",AB182-N(F182))</f>
        <v/>
      </c>
      <c r="AY182" s="17" t="str">
        <f aca="false">IF(OR(AC182="",NOT(ISNUMBER(AC182))),"",AC182-N(G182))</f>
        <v/>
      </c>
      <c r="AZ182" s="17" t="str">
        <f aca="false">IF(OR(AD182="",NOT(ISNUMBER(AD182))),"",AD182-N(H182))</f>
        <v/>
      </c>
      <c r="BA182" s="17" t="str">
        <f aca="false">IF(OR(AE182="",NOT(ISNUMBER(AE182))),"",AE182-N(I182))</f>
        <v/>
      </c>
      <c r="BB182" s="17" t="str">
        <f aca="false">IF(OR(AF182="",NOT(ISNUMBER(AF182))),"",AF182-N(J182))</f>
        <v/>
      </c>
      <c r="BC182" s="17" t="str">
        <f aca="false">IF(OR(AG182="",NOT(ISNUMBER(AG182))),"",AG182-N(K182))</f>
        <v/>
      </c>
      <c r="BD182" s="17" t="str">
        <f aca="false">IF(OR(AH182="",NOT(ISNUMBER(AH182))),"",AH182-N(L182))</f>
        <v/>
      </c>
      <c r="BE182" s="17" t="str">
        <f aca="false">IF(OR(AI182="",NOT(ISNUMBER(AI182))),"",AI182-N(M182))</f>
        <v/>
      </c>
      <c r="BF182" s="17" t="str">
        <f aca="false">IF(OR(AJ182="",NOT(ISNUMBER(AJ182))),"",AJ182-N(N182))</f>
        <v/>
      </c>
      <c r="BG182" s="17" t="str">
        <f aca="false">IF(OR(AK182="",NOT(ISNUMBER(AK182))),"",AK182-N(O182))</f>
        <v/>
      </c>
      <c r="BH182" s="17" t="str">
        <f aca="false">IF(OR(AL182="",NOT(ISNUMBER(AL182))),"",AL182-N(P182))</f>
        <v/>
      </c>
      <c r="BI182" s="17" t="str">
        <f aca="false">IF(OR(AM182="",NOT(ISNUMBER(AM182))),"",AM182-N(Q182))</f>
        <v/>
      </c>
      <c r="BJ182" s="17" t="str">
        <f aca="false">IF(OR(AN182="",NOT(ISNUMBER(AN182))),"",AN182-N(R182))</f>
        <v/>
      </c>
      <c r="BK182" s="17" t="str">
        <f aca="false">IF(OR(AO182="",NOT(ISNUMBER(AO182))),"",AO182-N(S182))</f>
        <v/>
      </c>
      <c r="BL182" s="17" t="str">
        <f aca="false">IF(OR(AP182="",NOT(ISNUMBER(AP182))),"",AP182-N(T182))</f>
        <v/>
      </c>
      <c r="BM182" s="17" t="str">
        <f aca="false">IF(OR(AQ182="",NOT(ISNUMBER(AQ182))),"",AQ182-N(U182))</f>
        <v/>
      </c>
      <c r="BR182" s="20" t="str">
        <f aca="false">IF($A182="","",IF(ISNUMBER($A182),DATE(YEAR($A182),MONTH($A182),1),IFERROR(DATE(2000+VALUE(RIGHT(TRIM($A182),2)),MATCH(UPPER(LEFT(TRIM($A182),3)),{"JAN","FEB","MAR","APR","MAY","JUN","JUL","AUG","SEP","OCT","NOV","DEC"},0),1),"")))</f>
        <v/>
      </c>
      <c r="BS182" s="20" t="str">
        <f aca="false">IF(BR182="","",EOMONTH(BR182,0))</f>
        <v/>
      </c>
    </row>
    <row r="183" customFormat="false" ht="15" hidden="false" customHeight="false" outlineLevel="0" collapsed="false">
      <c r="B183" s="21"/>
      <c r="C183" s="21"/>
      <c r="D183" s="21"/>
      <c r="E183" s="21"/>
      <c r="F183" s="21"/>
      <c r="G183" s="21"/>
      <c r="H183" s="21"/>
      <c r="I183" s="21"/>
      <c r="J183" s="21"/>
      <c r="K183" s="21"/>
      <c r="L183" s="21"/>
      <c r="M183" s="21"/>
      <c r="N183" s="21"/>
      <c r="O183" s="21"/>
      <c r="P183" s="21"/>
      <c r="Q183" s="21"/>
      <c r="R183" s="21"/>
      <c r="S183" s="21"/>
      <c r="T183" s="21"/>
      <c r="U183" s="21"/>
      <c r="X183" s="17" t="str">
        <f aca="false">IF(OR(B$7="",$BR183=""),"",IF('Tally Helper'!$B$3&lt;&gt;TRUE(),"not on Staff",SUMIFS('Tally Helper'!$L$5:$GI$5,'Tally Helper'!$L$3:$GI$3,"&gt;="&amp;$BR183,'Tally Helper'!$L$3:$GI$3,"&lt;="&amp;$BS183)))</f>
        <v/>
      </c>
      <c r="Y183" s="17" t="str">
        <f aca="false">IF(OR(C$7="",$BR183=""),"",IF('Tally Helper'!$B$6&lt;&gt;TRUE(),"not on Staff",SUMIFS('Tally Helper'!$L$8:$GI$8,'Tally Helper'!$L$6:$GI$6,"&gt;="&amp;$BR183,'Tally Helper'!$L$6:$GI$6,"&lt;="&amp;$BS183)))</f>
        <v/>
      </c>
      <c r="Z183" s="17" t="str">
        <f aca="false">IF(OR(D$7="",$BR183=""),"",IF('Tally Helper'!$B$9&lt;&gt;TRUE(),"not on Staff",SUMIFS('Tally Helper'!$L$11:$GI$11,'Tally Helper'!$L$9:$GI$9,"&gt;="&amp;$BR183,'Tally Helper'!$L$9:$GI$9,"&lt;="&amp;$BS183)))</f>
        <v/>
      </c>
      <c r="AA183" s="17" t="str">
        <f aca="false">IF(OR(E$7="",$BR183=""),"",IF('Tally Helper'!$B$12&lt;&gt;TRUE(),"not on Staff",SUMIFS('Tally Helper'!$L$14:$GI$14,'Tally Helper'!$L$12:$GI$12,"&gt;="&amp;$BR183,'Tally Helper'!$L$12:$GI$12,"&lt;="&amp;$BS183)))</f>
        <v/>
      </c>
      <c r="AB183" s="17" t="str">
        <f aca="false">IF(OR(F$7="",$BR183=""),"",IF('Tally Helper'!$B$15&lt;&gt;TRUE(),"not on Staff",SUMIFS('Tally Helper'!$L$17:$GI$17,'Tally Helper'!$L$15:$GI$15,"&gt;="&amp;$BR183,'Tally Helper'!$L$15:$GI$15,"&lt;="&amp;$BS183)))</f>
        <v/>
      </c>
      <c r="AC183" s="17" t="str">
        <f aca="false">IF(OR(G$7="",$BR183=""),"",IF('Tally Helper'!$B$18&lt;&gt;TRUE(),"not on Staff",SUMIFS('Tally Helper'!$L$20:$GI$20,'Tally Helper'!$L$18:$GI$18,"&gt;="&amp;$BR183,'Tally Helper'!$L$18:$GI$18,"&lt;="&amp;$BS183)))</f>
        <v/>
      </c>
      <c r="AD183" s="17" t="str">
        <f aca="false">IF(OR(H$7="",$BR183=""),"",IF('Tally Helper'!$B$21&lt;&gt;TRUE(),"not on Staff",SUMIFS('Tally Helper'!$L$23:$GI$23,'Tally Helper'!$L$21:$GI$21,"&gt;="&amp;$BR183,'Tally Helper'!$L$21:$GI$21,"&lt;="&amp;$BS183)))</f>
        <v/>
      </c>
      <c r="AE183" s="17" t="str">
        <f aca="false">IF(OR(I$7="",$BR183=""),"",IF('Tally Helper'!$B$24&lt;&gt;TRUE(),"not on Staff",SUMIFS('Tally Helper'!$L$26:$GI$26,'Tally Helper'!$L$24:$GI$24,"&gt;="&amp;$BR183,'Tally Helper'!$L$24:$GI$24,"&lt;="&amp;$BS183)))</f>
        <v/>
      </c>
      <c r="AF183" s="17" t="str">
        <f aca="false">IF(OR(J$7="",$BR183=""),"",IF('Tally Helper'!$B$27&lt;&gt;TRUE(),"not on Staff",SUMIFS('Tally Helper'!$L$29:$GI$29,'Tally Helper'!$L$27:$GI$27,"&gt;="&amp;$BR183,'Tally Helper'!$L$27:$GI$27,"&lt;="&amp;$BS183)))</f>
        <v/>
      </c>
      <c r="AG183" s="17" t="str">
        <f aca="false">IF(OR(K$7="",$BR183=""),"",IF('Tally Helper'!$B$30&lt;&gt;TRUE(),"not on Staff",SUMIFS('Tally Helper'!$L$32:$GI$32,'Tally Helper'!$L$30:$GI$30,"&gt;="&amp;$BR183,'Tally Helper'!$L$30:$GI$30,"&lt;="&amp;$BS183)))</f>
        <v/>
      </c>
      <c r="AH183" s="17" t="str">
        <f aca="false">IF(OR(L$7="",$BR183=""),"",IF('Tally Helper'!$B$33&lt;&gt;TRUE(),"not on Staff",SUMIFS('Tally Helper'!$L$35:$GI$35,'Tally Helper'!$L$33:$GI$33,"&gt;="&amp;$BR183,'Tally Helper'!$L$33:$GI$33,"&lt;="&amp;$BS183)))</f>
        <v/>
      </c>
      <c r="AI183" s="17" t="str">
        <f aca="false">IF(OR(M$7="",$BR183=""),"",IF('Tally Helper'!$B$36&lt;&gt;TRUE(),"not on Staff",SUMIFS('Tally Helper'!$L$38:$GI$38,'Tally Helper'!$L$36:$GI$36,"&gt;="&amp;$BR183,'Tally Helper'!$L$36:$GI$36,"&lt;="&amp;$BS183)))</f>
        <v/>
      </c>
      <c r="AJ183" s="17" t="str">
        <f aca="false">IF(OR(N$7="",$BR183=""),"",IF('Tally Helper'!$B$39&lt;&gt;TRUE(),"not on Staff",SUMIFS('Tally Helper'!$L$41:$GI$41,'Tally Helper'!$L$39:$GI$39,"&gt;="&amp;$BR183,'Tally Helper'!$L$39:$GI$39,"&lt;="&amp;$BS183)))</f>
        <v/>
      </c>
      <c r="AK183" s="17" t="str">
        <f aca="false">IF(OR(O$7="",$BR183=""),"",IF('Tally Helper'!$B$42&lt;&gt;TRUE(),"not on Staff",SUMIFS('Tally Helper'!$L$44:$GI$44,'Tally Helper'!$L$42:$GI$42,"&gt;="&amp;$BR183,'Tally Helper'!$L$42:$GI$42,"&lt;="&amp;$BS183)))</f>
        <v/>
      </c>
      <c r="AL183" s="17" t="str">
        <f aca="false">IF(OR(P$7="",$BR183=""),"",IF('Tally Helper'!$B$45&lt;&gt;TRUE(),"not on Staff",SUMIFS('Tally Helper'!$L$47:$GI$47,'Tally Helper'!$L$45:$GI$45,"&gt;="&amp;$BR183,'Tally Helper'!$L$45:$GI$45,"&lt;="&amp;$BS183)))</f>
        <v/>
      </c>
      <c r="AM183" s="17" t="str">
        <f aca="false">IF(OR(Q$7="",$BR183=""),"",IF('Tally Helper'!$B$48&lt;&gt;TRUE(),"not on Staff",SUMIFS('Tally Helper'!$L$50:$GI$50,'Tally Helper'!$L$48:$GI$48,"&gt;="&amp;$BR183,'Tally Helper'!$L$48:$GI$48,"&lt;="&amp;$BS183)))</f>
        <v/>
      </c>
      <c r="AN183" s="17" t="str">
        <f aca="false">IF(OR(R$7="",$BR183=""),"",IF('Tally Helper'!$B$51&lt;&gt;TRUE(),"not on Staff",SUMIFS('Tally Helper'!$L$53:$GI$53,'Tally Helper'!$L$51:$GI$51,"&gt;="&amp;$BR183,'Tally Helper'!$L$51:$GI$51,"&lt;="&amp;$BS183)))</f>
        <v/>
      </c>
      <c r="AO183" s="17" t="str">
        <f aca="false">IF(OR(S$7="",$BR183=""),"",IF('Tally Helper'!$B$54&lt;&gt;TRUE(),"not on Staff",SUMIFS('Tally Helper'!$L$56:$GI$56,'Tally Helper'!$L$54:$GI$54,"&gt;="&amp;$BR183,'Tally Helper'!$L$54:$GI$54,"&lt;="&amp;$BS183)))</f>
        <v/>
      </c>
      <c r="AP183" s="17" t="str">
        <f aca="false">IF(OR(T$7="",$BR183=""),"",IF('Tally Helper'!$B$57&lt;&gt;TRUE(),"not on Staff",SUMIFS('Tally Helper'!$L$59:$GI$59,'Tally Helper'!$L$57:$GI$57,"&gt;="&amp;$BR183,'Tally Helper'!$L$57:$GI$57,"&lt;="&amp;$BS183)))</f>
        <v/>
      </c>
      <c r="AQ183" s="17" t="str">
        <f aca="false">IF(OR(U$7="",$BR183=""),"",IF('Tally Helper'!$B$60&lt;&gt;TRUE(),"not on Staff",SUMIFS('Tally Helper'!$L$62:$GI$62,'Tally Helper'!$L$60:$GI$60,"&gt;="&amp;$BR183,'Tally Helper'!$L$60:$GI$60,"&lt;="&amp;$BS183)))</f>
        <v/>
      </c>
      <c r="AT183" s="17" t="str">
        <f aca="false">IF(OR(X183="",NOT(ISNUMBER(X183))),"",X183-N(B183))</f>
        <v/>
      </c>
      <c r="AU183" s="17" t="str">
        <f aca="false">IF(OR(Y183="",NOT(ISNUMBER(Y183))),"",Y183-N(C183))</f>
        <v/>
      </c>
      <c r="AV183" s="17" t="str">
        <f aca="false">IF(OR(Z183="",NOT(ISNUMBER(Z183))),"",Z183-N(D183))</f>
        <v/>
      </c>
      <c r="AW183" s="17" t="str">
        <f aca="false">IF(OR(AA183="",NOT(ISNUMBER(AA183))),"",AA183-N(E183))</f>
        <v/>
      </c>
      <c r="AX183" s="17" t="str">
        <f aca="false">IF(OR(AB183="",NOT(ISNUMBER(AB183))),"",AB183-N(F183))</f>
        <v/>
      </c>
      <c r="AY183" s="17" t="str">
        <f aca="false">IF(OR(AC183="",NOT(ISNUMBER(AC183))),"",AC183-N(G183))</f>
        <v/>
      </c>
      <c r="AZ183" s="17" t="str">
        <f aca="false">IF(OR(AD183="",NOT(ISNUMBER(AD183))),"",AD183-N(H183))</f>
        <v/>
      </c>
      <c r="BA183" s="17" t="str">
        <f aca="false">IF(OR(AE183="",NOT(ISNUMBER(AE183))),"",AE183-N(I183))</f>
        <v/>
      </c>
      <c r="BB183" s="17" t="str">
        <f aca="false">IF(OR(AF183="",NOT(ISNUMBER(AF183))),"",AF183-N(J183))</f>
        <v/>
      </c>
      <c r="BC183" s="17" t="str">
        <f aca="false">IF(OR(AG183="",NOT(ISNUMBER(AG183))),"",AG183-N(K183))</f>
        <v/>
      </c>
      <c r="BD183" s="17" t="str">
        <f aca="false">IF(OR(AH183="",NOT(ISNUMBER(AH183))),"",AH183-N(L183))</f>
        <v/>
      </c>
      <c r="BE183" s="17" t="str">
        <f aca="false">IF(OR(AI183="",NOT(ISNUMBER(AI183))),"",AI183-N(M183))</f>
        <v/>
      </c>
      <c r="BF183" s="17" t="str">
        <f aca="false">IF(OR(AJ183="",NOT(ISNUMBER(AJ183))),"",AJ183-N(N183))</f>
        <v/>
      </c>
      <c r="BG183" s="17" t="str">
        <f aca="false">IF(OR(AK183="",NOT(ISNUMBER(AK183))),"",AK183-N(O183))</f>
        <v/>
      </c>
      <c r="BH183" s="17" t="str">
        <f aca="false">IF(OR(AL183="",NOT(ISNUMBER(AL183))),"",AL183-N(P183))</f>
        <v/>
      </c>
      <c r="BI183" s="17" t="str">
        <f aca="false">IF(OR(AM183="",NOT(ISNUMBER(AM183))),"",AM183-N(Q183))</f>
        <v/>
      </c>
      <c r="BJ183" s="17" t="str">
        <f aca="false">IF(OR(AN183="",NOT(ISNUMBER(AN183))),"",AN183-N(R183))</f>
        <v/>
      </c>
      <c r="BK183" s="17" t="str">
        <f aca="false">IF(OR(AO183="",NOT(ISNUMBER(AO183))),"",AO183-N(S183))</f>
        <v/>
      </c>
      <c r="BL183" s="17" t="str">
        <f aca="false">IF(OR(AP183="",NOT(ISNUMBER(AP183))),"",AP183-N(T183))</f>
        <v/>
      </c>
      <c r="BM183" s="17" t="str">
        <f aca="false">IF(OR(AQ183="",NOT(ISNUMBER(AQ183))),"",AQ183-N(U183))</f>
        <v/>
      </c>
      <c r="BR183" s="20" t="str">
        <f aca="false">IF($A183="","",IF(ISNUMBER($A183),DATE(YEAR($A183),MONTH($A183),1),IFERROR(DATE(2000+VALUE(RIGHT(TRIM($A183),2)),MATCH(UPPER(LEFT(TRIM($A183),3)),{"JAN","FEB","MAR","APR","MAY","JUN","JUL","AUG","SEP","OCT","NOV","DEC"},0),1),"")))</f>
        <v/>
      </c>
      <c r="BS183" s="20" t="str">
        <f aca="false">IF(BR183="","",EOMONTH(BR183,0))</f>
        <v/>
      </c>
    </row>
    <row r="184" customFormat="false" ht="15" hidden="false" customHeight="false" outlineLevel="0" collapsed="false">
      <c r="B184" s="21"/>
      <c r="C184" s="21"/>
      <c r="D184" s="21"/>
      <c r="E184" s="21"/>
      <c r="F184" s="21"/>
      <c r="G184" s="21"/>
      <c r="H184" s="21"/>
      <c r="I184" s="21"/>
      <c r="J184" s="21"/>
      <c r="K184" s="21"/>
      <c r="L184" s="21"/>
      <c r="M184" s="21"/>
      <c r="N184" s="21"/>
      <c r="O184" s="21"/>
      <c r="P184" s="21"/>
      <c r="Q184" s="21"/>
      <c r="R184" s="21"/>
      <c r="S184" s="21"/>
      <c r="T184" s="21"/>
      <c r="U184" s="21"/>
      <c r="X184" s="17" t="str">
        <f aca="false">IF(OR(B$7="",$BR184=""),"",IF('Tally Helper'!$B$3&lt;&gt;TRUE(),"not on Staff",SUMIFS('Tally Helper'!$L$5:$GI$5,'Tally Helper'!$L$3:$GI$3,"&gt;="&amp;$BR184,'Tally Helper'!$L$3:$GI$3,"&lt;="&amp;$BS184)))</f>
        <v/>
      </c>
      <c r="Y184" s="17" t="str">
        <f aca="false">IF(OR(C$7="",$BR184=""),"",IF('Tally Helper'!$B$6&lt;&gt;TRUE(),"not on Staff",SUMIFS('Tally Helper'!$L$8:$GI$8,'Tally Helper'!$L$6:$GI$6,"&gt;="&amp;$BR184,'Tally Helper'!$L$6:$GI$6,"&lt;="&amp;$BS184)))</f>
        <v/>
      </c>
      <c r="Z184" s="17" t="str">
        <f aca="false">IF(OR(D$7="",$BR184=""),"",IF('Tally Helper'!$B$9&lt;&gt;TRUE(),"not on Staff",SUMIFS('Tally Helper'!$L$11:$GI$11,'Tally Helper'!$L$9:$GI$9,"&gt;="&amp;$BR184,'Tally Helper'!$L$9:$GI$9,"&lt;="&amp;$BS184)))</f>
        <v/>
      </c>
      <c r="AA184" s="17" t="str">
        <f aca="false">IF(OR(E$7="",$BR184=""),"",IF('Tally Helper'!$B$12&lt;&gt;TRUE(),"not on Staff",SUMIFS('Tally Helper'!$L$14:$GI$14,'Tally Helper'!$L$12:$GI$12,"&gt;="&amp;$BR184,'Tally Helper'!$L$12:$GI$12,"&lt;="&amp;$BS184)))</f>
        <v/>
      </c>
      <c r="AB184" s="17" t="str">
        <f aca="false">IF(OR(F$7="",$BR184=""),"",IF('Tally Helper'!$B$15&lt;&gt;TRUE(),"not on Staff",SUMIFS('Tally Helper'!$L$17:$GI$17,'Tally Helper'!$L$15:$GI$15,"&gt;="&amp;$BR184,'Tally Helper'!$L$15:$GI$15,"&lt;="&amp;$BS184)))</f>
        <v/>
      </c>
      <c r="AC184" s="17" t="str">
        <f aca="false">IF(OR(G$7="",$BR184=""),"",IF('Tally Helper'!$B$18&lt;&gt;TRUE(),"not on Staff",SUMIFS('Tally Helper'!$L$20:$GI$20,'Tally Helper'!$L$18:$GI$18,"&gt;="&amp;$BR184,'Tally Helper'!$L$18:$GI$18,"&lt;="&amp;$BS184)))</f>
        <v/>
      </c>
      <c r="AD184" s="17" t="str">
        <f aca="false">IF(OR(H$7="",$BR184=""),"",IF('Tally Helper'!$B$21&lt;&gt;TRUE(),"not on Staff",SUMIFS('Tally Helper'!$L$23:$GI$23,'Tally Helper'!$L$21:$GI$21,"&gt;="&amp;$BR184,'Tally Helper'!$L$21:$GI$21,"&lt;="&amp;$BS184)))</f>
        <v/>
      </c>
      <c r="AE184" s="17" t="str">
        <f aca="false">IF(OR(I$7="",$BR184=""),"",IF('Tally Helper'!$B$24&lt;&gt;TRUE(),"not on Staff",SUMIFS('Tally Helper'!$L$26:$GI$26,'Tally Helper'!$L$24:$GI$24,"&gt;="&amp;$BR184,'Tally Helper'!$L$24:$GI$24,"&lt;="&amp;$BS184)))</f>
        <v/>
      </c>
      <c r="AF184" s="17" t="str">
        <f aca="false">IF(OR(J$7="",$BR184=""),"",IF('Tally Helper'!$B$27&lt;&gt;TRUE(),"not on Staff",SUMIFS('Tally Helper'!$L$29:$GI$29,'Tally Helper'!$L$27:$GI$27,"&gt;="&amp;$BR184,'Tally Helper'!$L$27:$GI$27,"&lt;="&amp;$BS184)))</f>
        <v/>
      </c>
      <c r="AG184" s="17" t="str">
        <f aca="false">IF(OR(K$7="",$BR184=""),"",IF('Tally Helper'!$B$30&lt;&gt;TRUE(),"not on Staff",SUMIFS('Tally Helper'!$L$32:$GI$32,'Tally Helper'!$L$30:$GI$30,"&gt;="&amp;$BR184,'Tally Helper'!$L$30:$GI$30,"&lt;="&amp;$BS184)))</f>
        <v/>
      </c>
      <c r="AH184" s="17" t="str">
        <f aca="false">IF(OR(L$7="",$BR184=""),"",IF('Tally Helper'!$B$33&lt;&gt;TRUE(),"not on Staff",SUMIFS('Tally Helper'!$L$35:$GI$35,'Tally Helper'!$L$33:$GI$33,"&gt;="&amp;$BR184,'Tally Helper'!$L$33:$GI$33,"&lt;="&amp;$BS184)))</f>
        <v/>
      </c>
      <c r="AI184" s="17" t="str">
        <f aca="false">IF(OR(M$7="",$BR184=""),"",IF('Tally Helper'!$B$36&lt;&gt;TRUE(),"not on Staff",SUMIFS('Tally Helper'!$L$38:$GI$38,'Tally Helper'!$L$36:$GI$36,"&gt;="&amp;$BR184,'Tally Helper'!$L$36:$GI$36,"&lt;="&amp;$BS184)))</f>
        <v/>
      </c>
      <c r="AJ184" s="17" t="str">
        <f aca="false">IF(OR(N$7="",$BR184=""),"",IF('Tally Helper'!$B$39&lt;&gt;TRUE(),"not on Staff",SUMIFS('Tally Helper'!$L$41:$GI$41,'Tally Helper'!$L$39:$GI$39,"&gt;="&amp;$BR184,'Tally Helper'!$L$39:$GI$39,"&lt;="&amp;$BS184)))</f>
        <v/>
      </c>
      <c r="AK184" s="17" t="str">
        <f aca="false">IF(OR(O$7="",$BR184=""),"",IF('Tally Helper'!$B$42&lt;&gt;TRUE(),"not on Staff",SUMIFS('Tally Helper'!$L$44:$GI$44,'Tally Helper'!$L$42:$GI$42,"&gt;="&amp;$BR184,'Tally Helper'!$L$42:$GI$42,"&lt;="&amp;$BS184)))</f>
        <v/>
      </c>
      <c r="AL184" s="17" t="str">
        <f aca="false">IF(OR(P$7="",$BR184=""),"",IF('Tally Helper'!$B$45&lt;&gt;TRUE(),"not on Staff",SUMIFS('Tally Helper'!$L$47:$GI$47,'Tally Helper'!$L$45:$GI$45,"&gt;="&amp;$BR184,'Tally Helper'!$L$45:$GI$45,"&lt;="&amp;$BS184)))</f>
        <v/>
      </c>
      <c r="AM184" s="17" t="str">
        <f aca="false">IF(OR(Q$7="",$BR184=""),"",IF('Tally Helper'!$B$48&lt;&gt;TRUE(),"not on Staff",SUMIFS('Tally Helper'!$L$50:$GI$50,'Tally Helper'!$L$48:$GI$48,"&gt;="&amp;$BR184,'Tally Helper'!$L$48:$GI$48,"&lt;="&amp;$BS184)))</f>
        <v/>
      </c>
      <c r="AN184" s="17" t="str">
        <f aca="false">IF(OR(R$7="",$BR184=""),"",IF('Tally Helper'!$B$51&lt;&gt;TRUE(),"not on Staff",SUMIFS('Tally Helper'!$L$53:$GI$53,'Tally Helper'!$L$51:$GI$51,"&gt;="&amp;$BR184,'Tally Helper'!$L$51:$GI$51,"&lt;="&amp;$BS184)))</f>
        <v/>
      </c>
      <c r="AO184" s="17" t="str">
        <f aca="false">IF(OR(S$7="",$BR184=""),"",IF('Tally Helper'!$B$54&lt;&gt;TRUE(),"not on Staff",SUMIFS('Tally Helper'!$L$56:$GI$56,'Tally Helper'!$L$54:$GI$54,"&gt;="&amp;$BR184,'Tally Helper'!$L$54:$GI$54,"&lt;="&amp;$BS184)))</f>
        <v/>
      </c>
      <c r="AP184" s="17" t="str">
        <f aca="false">IF(OR(T$7="",$BR184=""),"",IF('Tally Helper'!$B$57&lt;&gt;TRUE(),"not on Staff",SUMIFS('Tally Helper'!$L$59:$GI$59,'Tally Helper'!$L$57:$GI$57,"&gt;="&amp;$BR184,'Tally Helper'!$L$57:$GI$57,"&lt;="&amp;$BS184)))</f>
        <v/>
      </c>
      <c r="AQ184" s="17" t="str">
        <f aca="false">IF(OR(U$7="",$BR184=""),"",IF('Tally Helper'!$B$60&lt;&gt;TRUE(),"not on Staff",SUMIFS('Tally Helper'!$L$62:$GI$62,'Tally Helper'!$L$60:$GI$60,"&gt;="&amp;$BR184,'Tally Helper'!$L$60:$GI$60,"&lt;="&amp;$BS184)))</f>
        <v/>
      </c>
      <c r="AT184" s="17" t="str">
        <f aca="false">IF(OR(X184="",NOT(ISNUMBER(X184))),"",X184-N(B184))</f>
        <v/>
      </c>
      <c r="AU184" s="17" t="str">
        <f aca="false">IF(OR(Y184="",NOT(ISNUMBER(Y184))),"",Y184-N(C184))</f>
        <v/>
      </c>
      <c r="AV184" s="17" t="str">
        <f aca="false">IF(OR(Z184="",NOT(ISNUMBER(Z184))),"",Z184-N(D184))</f>
        <v/>
      </c>
      <c r="AW184" s="17" t="str">
        <f aca="false">IF(OR(AA184="",NOT(ISNUMBER(AA184))),"",AA184-N(E184))</f>
        <v/>
      </c>
      <c r="AX184" s="17" t="str">
        <f aca="false">IF(OR(AB184="",NOT(ISNUMBER(AB184))),"",AB184-N(F184))</f>
        <v/>
      </c>
      <c r="AY184" s="17" t="str">
        <f aca="false">IF(OR(AC184="",NOT(ISNUMBER(AC184))),"",AC184-N(G184))</f>
        <v/>
      </c>
      <c r="AZ184" s="17" t="str">
        <f aca="false">IF(OR(AD184="",NOT(ISNUMBER(AD184))),"",AD184-N(H184))</f>
        <v/>
      </c>
      <c r="BA184" s="17" t="str">
        <f aca="false">IF(OR(AE184="",NOT(ISNUMBER(AE184))),"",AE184-N(I184))</f>
        <v/>
      </c>
      <c r="BB184" s="17" t="str">
        <f aca="false">IF(OR(AF184="",NOT(ISNUMBER(AF184))),"",AF184-N(J184))</f>
        <v/>
      </c>
      <c r="BC184" s="17" t="str">
        <f aca="false">IF(OR(AG184="",NOT(ISNUMBER(AG184))),"",AG184-N(K184))</f>
        <v/>
      </c>
      <c r="BD184" s="17" t="str">
        <f aca="false">IF(OR(AH184="",NOT(ISNUMBER(AH184))),"",AH184-N(L184))</f>
        <v/>
      </c>
      <c r="BE184" s="17" t="str">
        <f aca="false">IF(OR(AI184="",NOT(ISNUMBER(AI184))),"",AI184-N(M184))</f>
        <v/>
      </c>
      <c r="BF184" s="17" t="str">
        <f aca="false">IF(OR(AJ184="",NOT(ISNUMBER(AJ184))),"",AJ184-N(N184))</f>
        <v/>
      </c>
      <c r="BG184" s="17" t="str">
        <f aca="false">IF(OR(AK184="",NOT(ISNUMBER(AK184))),"",AK184-N(O184))</f>
        <v/>
      </c>
      <c r="BH184" s="17" t="str">
        <f aca="false">IF(OR(AL184="",NOT(ISNUMBER(AL184))),"",AL184-N(P184))</f>
        <v/>
      </c>
      <c r="BI184" s="17" t="str">
        <f aca="false">IF(OR(AM184="",NOT(ISNUMBER(AM184))),"",AM184-N(Q184))</f>
        <v/>
      </c>
      <c r="BJ184" s="17" t="str">
        <f aca="false">IF(OR(AN184="",NOT(ISNUMBER(AN184))),"",AN184-N(R184))</f>
        <v/>
      </c>
      <c r="BK184" s="17" t="str">
        <f aca="false">IF(OR(AO184="",NOT(ISNUMBER(AO184))),"",AO184-N(S184))</f>
        <v/>
      </c>
      <c r="BL184" s="17" t="str">
        <f aca="false">IF(OR(AP184="",NOT(ISNUMBER(AP184))),"",AP184-N(T184))</f>
        <v/>
      </c>
      <c r="BM184" s="17" t="str">
        <f aca="false">IF(OR(AQ184="",NOT(ISNUMBER(AQ184))),"",AQ184-N(U184))</f>
        <v/>
      </c>
      <c r="BR184" s="20" t="str">
        <f aca="false">IF($A184="","",IF(ISNUMBER($A184),DATE(YEAR($A184),MONTH($A184),1),IFERROR(DATE(2000+VALUE(RIGHT(TRIM($A184),2)),MATCH(UPPER(LEFT(TRIM($A184),3)),{"JAN","FEB","MAR","APR","MAY","JUN","JUL","AUG","SEP","OCT","NOV","DEC"},0),1),"")))</f>
        <v/>
      </c>
      <c r="BS184" s="20" t="str">
        <f aca="false">IF(BR184="","",EOMONTH(BR184,0))</f>
        <v/>
      </c>
    </row>
    <row r="185" customFormat="false" ht="15" hidden="false" customHeight="false" outlineLevel="0" collapsed="false">
      <c r="B185" s="21"/>
      <c r="C185" s="21"/>
      <c r="D185" s="21"/>
      <c r="E185" s="21"/>
      <c r="F185" s="21"/>
      <c r="G185" s="21"/>
      <c r="H185" s="21"/>
      <c r="I185" s="21"/>
      <c r="J185" s="21"/>
      <c r="K185" s="21"/>
      <c r="L185" s="21"/>
      <c r="M185" s="21"/>
      <c r="N185" s="21"/>
      <c r="O185" s="21"/>
      <c r="P185" s="21"/>
      <c r="Q185" s="21"/>
      <c r="R185" s="21"/>
      <c r="S185" s="21"/>
      <c r="T185" s="21"/>
      <c r="U185" s="21"/>
      <c r="X185" s="17" t="str">
        <f aca="false">IF(OR(B$7="",$BR185=""),"",IF('Tally Helper'!$B$3&lt;&gt;TRUE(),"not on Staff",SUMIFS('Tally Helper'!$L$5:$GI$5,'Tally Helper'!$L$3:$GI$3,"&gt;="&amp;$BR185,'Tally Helper'!$L$3:$GI$3,"&lt;="&amp;$BS185)))</f>
        <v/>
      </c>
      <c r="Y185" s="17" t="str">
        <f aca="false">IF(OR(C$7="",$BR185=""),"",IF('Tally Helper'!$B$6&lt;&gt;TRUE(),"not on Staff",SUMIFS('Tally Helper'!$L$8:$GI$8,'Tally Helper'!$L$6:$GI$6,"&gt;="&amp;$BR185,'Tally Helper'!$L$6:$GI$6,"&lt;="&amp;$BS185)))</f>
        <v/>
      </c>
      <c r="Z185" s="17" t="str">
        <f aca="false">IF(OR(D$7="",$BR185=""),"",IF('Tally Helper'!$B$9&lt;&gt;TRUE(),"not on Staff",SUMIFS('Tally Helper'!$L$11:$GI$11,'Tally Helper'!$L$9:$GI$9,"&gt;="&amp;$BR185,'Tally Helper'!$L$9:$GI$9,"&lt;="&amp;$BS185)))</f>
        <v/>
      </c>
      <c r="AA185" s="17" t="str">
        <f aca="false">IF(OR(E$7="",$BR185=""),"",IF('Tally Helper'!$B$12&lt;&gt;TRUE(),"not on Staff",SUMIFS('Tally Helper'!$L$14:$GI$14,'Tally Helper'!$L$12:$GI$12,"&gt;="&amp;$BR185,'Tally Helper'!$L$12:$GI$12,"&lt;="&amp;$BS185)))</f>
        <v/>
      </c>
      <c r="AB185" s="17" t="str">
        <f aca="false">IF(OR(F$7="",$BR185=""),"",IF('Tally Helper'!$B$15&lt;&gt;TRUE(),"not on Staff",SUMIFS('Tally Helper'!$L$17:$GI$17,'Tally Helper'!$L$15:$GI$15,"&gt;="&amp;$BR185,'Tally Helper'!$L$15:$GI$15,"&lt;="&amp;$BS185)))</f>
        <v/>
      </c>
      <c r="AC185" s="17" t="str">
        <f aca="false">IF(OR(G$7="",$BR185=""),"",IF('Tally Helper'!$B$18&lt;&gt;TRUE(),"not on Staff",SUMIFS('Tally Helper'!$L$20:$GI$20,'Tally Helper'!$L$18:$GI$18,"&gt;="&amp;$BR185,'Tally Helper'!$L$18:$GI$18,"&lt;="&amp;$BS185)))</f>
        <v/>
      </c>
      <c r="AD185" s="17" t="str">
        <f aca="false">IF(OR(H$7="",$BR185=""),"",IF('Tally Helper'!$B$21&lt;&gt;TRUE(),"not on Staff",SUMIFS('Tally Helper'!$L$23:$GI$23,'Tally Helper'!$L$21:$GI$21,"&gt;="&amp;$BR185,'Tally Helper'!$L$21:$GI$21,"&lt;="&amp;$BS185)))</f>
        <v/>
      </c>
      <c r="AE185" s="17" t="str">
        <f aca="false">IF(OR(I$7="",$BR185=""),"",IF('Tally Helper'!$B$24&lt;&gt;TRUE(),"not on Staff",SUMIFS('Tally Helper'!$L$26:$GI$26,'Tally Helper'!$L$24:$GI$24,"&gt;="&amp;$BR185,'Tally Helper'!$L$24:$GI$24,"&lt;="&amp;$BS185)))</f>
        <v/>
      </c>
      <c r="AF185" s="17" t="str">
        <f aca="false">IF(OR(J$7="",$BR185=""),"",IF('Tally Helper'!$B$27&lt;&gt;TRUE(),"not on Staff",SUMIFS('Tally Helper'!$L$29:$GI$29,'Tally Helper'!$L$27:$GI$27,"&gt;="&amp;$BR185,'Tally Helper'!$L$27:$GI$27,"&lt;="&amp;$BS185)))</f>
        <v/>
      </c>
      <c r="AG185" s="17" t="str">
        <f aca="false">IF(OR(K$7="",$BR185=""),"",IF('Tally Helper'!$B$30&lt;&gt;TRUE(),"not on Staff",SUMIFS('Tally Helper'!$L$32:$GI$32,'Tally Helper'!$L$30:$GI$30,"&gt;="&amp;$BR185,'Tally Helper'!$L$30:$GI$30,"&lt;="&amp;$BS185)))</f>
        <v/>
      </c>
      <c r="AH185" s="17" t="str">
        <f aca="false">IF(OR(L$7="",$BR185=""),"",IF('Tally Helper'!$B$33&lt;&gt;TRUE(),"not on Staff",SUMIFS('Tally Helper'!$L$35:$GI$35,'Tally Helper'!$L$33:$GI$33,"&gt;="&amp;$BR185,'Tally Helper'!$L$33:$GI$33,"&lt;="&amp;$BS185)))</f>
        <v/>
      </c>
      <c r="AI185" s="17" t="str">
        <f aca="false">IF(OR(M$7="",$BR185=""),"",IF('Tally Helper'!$B$36&lt;&gt;TRUE(),"not on Staff",SUMIFS('Tally Helper'!$L$38:$GI$38,'Tally Helper'!$L$36:$GI$36,"&gt;="&amp;$BR185,'Tally Helper'!$L$36:$GI$36,"&lt;="&amp;$BS185)))</f>
        <v/>
      </c>
      <c r="AJ185" s="17" t="str">
        <f aca="false">IF(OR(N$7="",$BR185=""),"",IF('Tally Helper'!$B$39&lt;&gt;TRUE(),"not on Staff",SUMIFS('Tally Helper'!$L$41:$GI$41,'Tally Helper'!$L$39:$GI$39,"&gt;="&amp;$BR185,'Tally Helper'!$L$39:$GI$39,"&lt;="&amp;$BS185)))</f>
        <v/>
      </c>
      <c r="AK185" s="17" t="str">
        <f aca="false">IF(OR(O$7="",$BR185=""),"",IF('Tally Helper'!$B$42&lt;&gt;TRUE(),"not on Staff",SUMIFS('Tally Helper'!$L$44:$GI$44,'Tally Helper'!$L$42:$GI$42,"&gt;="&amp;$BR185,'Tally Helper'!$L$42:$GI$42,"&lt;="&amp;$BS185)))</f>
        <v/>
      </c>
      <c r="AL185" s="17" t="str">
        <f aca="false">IF(OR(P$7="",$BR185=""),"",IF('Tally Helper'!$B$45&lt;&gt;TRUE(),"not on Staff",SUMIFS('Tally Helper'!$L$47:$GI$47,'Tally Helper'!$L$45:$GI$45,"&gt;="&amp;$BR185,'Tally Helper'!$L$45:$GI$45,"&lt;="&amp;$BS185)))</f>
        <v/>
      </c>
      <c r="AM185" s="17" t="str">
        <f aca="false">IF(OR(Q$7="",$BR185=""),"",IF('Tally Helper'!$B$48&lt;&gt;TRUE(),"not on Staff",SUMIFS('Tally Helper'!$L$50:$GI$50,'Tally Helper'!$L$48:$GI$48,"&gt;="&amp;$BR185,'Tally Helper'!$L$48:$GI$48,"&lt;="&amp;$BS185)))</f>
        <v/>
      </c>
      <c r="AN185" s="17" t="str">
        <f aca="false">IF(OR(R$7="",$BR185=""),"",IF('Tally Helper'!$B$51&lt;&gt;TRUE(),"not on Staff",SUMIFS('Tally Helper'!$L$53:$GI$53,'Tally Helper'!$L$51:$GI$51,"&gt;="&amp;$BR185,'Tally Helper'!$L$51:$GI$51,"&lt;="&amp;$BS185)))</f>
        <v/>
      </c>
      <c r="AO185" s="17" t="str">
        <f aca="false">IF(OR(S$7="",$BR185=""),"",IF('Tally Helper'!$B$54&lt;&gt;TRUE(),"not on Staff",SUMIFS('Tally Helper'!$L$56:$GI$56,'Tally Helper'!$L$54:$GI$54,"&gt;="&amp;$BR185,'Tally Helper'!$L$54:$GI$54,"&lt;="&amp;$BS185)))</f>
        <v/>
      </c>
      <c r="AP185" s="17" t="str">
        <f aca="false">IF(OR(T$7="",$BR185=""),"",IF('Tally Helper'!$B$57&lt;&gt;TRUE(),"not on Staff",SUMIFS('Tally Helper'!$L$59:$GI$59,'Tally Helper'!$L$57:$GI$57,"&gt;="&amp;$BR185,'Tally Helper'!$L$57:$GI$57,"&lt;="&amp;$BS185)))</f>
        <v/>
      </c>
      <c r="AQ185" s="17" t="str">
        <f aca="false">IF(OR(U$7="",$BR185=""),"",IF('Tally Helper'!$B$60&lt;&gt;TRUE(),"not on Staff",SUMIFS('Tally Helper'!$L$62:$GI$62,'Tally Helper'!$L$60:$GI$60,"&gt;="&amp;$BR185,'Tally Helper'!$L$60:$GI$60,"&lt;="&amp;$BS185)))</f>
        <v/>
      </c>
      <c r="AT185" s="17" t="str">
        <f aca="false">IF(OR(X185="",NOT(ISNUMBER(X185))),"",X185-N(B185))</f>
        <v/>
      </c>
      <c r="AU185" s="17" t="str">
        <f aca="false">IF(OR(Y185="",NOT(ISNUMBER(Y185))),"",Y185-N(C185))</f>
        <v/>
      </c>
      <c r="AV185" s="17" t="str">
        <f aca="false">IF(OR(Z185="",NOT(ISNUMBER(Z185))),"",Z185-N(D185))</f>
        <v/>
      </c>
      <c r="AW185" s="17" t="str">
        <f aca="false">IF(OR(AA185="",NOT(ISNUMBER(AA185))),"",AA185-N(E185))</f>
        <v/>
      </c>
      <c r="AX185" s="17" t="str">
        <f aca="false">IF(OR(AB185="",NOT(ISNUMBER(AB185))),"",AB185-N(F185))</f>
        <v/>
      </c>
      <c r="AY185" s="17" t="str">
        <f aca="false">IF(OR(AC185="",NOT(ISNUMBER(AC185))),"",AC185-N(G185))</f>
        <v/>
      </c>
      <c r="AZ185" s="17" t="str">
        <f aca="false">IF(OR(AD185="",NOT(ISNUMBER(AD185))),"",AD185-N(H185))</f>
        <v/>
      </c>
      <c r="BA185" s="17" t="str">
        <f aca="false">IF(OR(AE185="",NOT(ISNUMBER(AE185))),"",AE185-N(I185))</f>
        <v/>
      </c>
      <c r="BB185" s="17" t="str">
        <f aca="false">IF(OR(AF185="",NOT(ISNUMBER(AF185))),"",AF185-N(J185))</f>
        <v/>
      </c>
      <c r="BC185" s="17" t="str">
        <f aca="false">IF(OR(AG185="",NOT(ISNUMBER(AG185))),"",AG185-N(K185))</f>
        <v/>
      </c>
      <c r="BD185" s="17" t="str">
        <f aca="false">IF(OR(AH185="",NOT(ISNUMBER(AH185))),"",AH185-N(L185))</f>
        <v/>
      </c>
      <c r="BE185" s="17" t="str">
        <f aca="false">IF(OR(AI185="",NOT(ISNUMBER(AI185))),"",AI185-N(M185))</f>
        <v/>
      </c>
      <c r="BF185" s="17" t="str">
        <f aca="false">IF(OR(AJ185="",NOT(ISNUMBER(AJ185))),"",AJ185-N(N185))</f>
        <v/>
      </c>
      <c r="BG185" s="17" t="str">
        <f aca="false">IF(OR(AK185="",NOT(ISNUMBER(AK185))),"",AK185-N(O185))</f>
        <v/>
      </c>
      <c r="BH185" s="17" t="str">
        <f aca="false">IF(OR(AL185="",NOT(ISNUMBER(AL185))),"",AL185-N(P185))</f>
        <v/>
      </c>
      <c r="BI185" s="17" t="str">
        <f aca="false">IF(OR(AM185="",NOT(ISNUMBER(AM185))),"",AM185-N(Q185))</f>
        <v/>
      </c>
      <c r="BJ185" s="17" t="str">
        <f aca="false">IF(OR(AN185="",NOT(ISNUMBER(AN185))),"",AN185-N(R185))</f>
        <v/>
      </c>
      <c r="BK185" s="17" t="str">
        <f aca="false">IF(OR(AO185="",NOT(ISNUMBER(AO185))),"",AO185-N(S185))</f>
        <v/>
      </c>
      <c r="BL185" s="17" t="str">
        <f aca="false">IF(OR(AP185="",NOT(ISNUMBER(AP185))),"",AP185-N(T185))</f>
        <v/>
      </c>
      <c r="BM185" s="17" t="str">
        <f aca="false">IF(OR(AQ185="",NOT(ISNUMBER(AQ185))),"",AQ185-N(U185))</f>
        <v/>
      </c>
      <c r="BR185" s="20" t="str">
        <f aca="false">IF($A185="","",IF(ISNUMBER($A185),DATE(YEAR($A185),MONTH($A185),1),IFERROR(DATE(2000+VALUE(RIGHT(TRIM($A185),2)),MATCH(UPPER(LEFT(TRIM($A185),3)),{"JAN","FEB","MAR","APR","MAY","JUN","JUL","AUG","SEP","OCT","NOV","DEC"},0),1),"")))</f>
        <v/>
      </c>
      <c r="BS185" s="20" t="str">
        <f aca="false">IF(BR185="","",EOMONTH(BR185,0))</f>
        <v/>
      </c>
    </row>
    <row r="186" customFormat="false" ht="15" hidden="false" customHeight="false" outlineLevel="0" collapsed="false">
      <c r="B186" s="21"/>
      <c r="C186" s="21"/>
      <c r="D186" s="21"/>
      <c r="E186" s="21"/>
      <c r="F186" s="21"/>
      <c r="G186" s="21"/>
      <c r="H186" s="21"/>
      <c r="I186" s="21"/>
      <c r="J186" s="21"/>
      <c r="K186" s="21"/>
      <c r="L186" s="21"/>
      <c r="M186" s="21"/>
      <c r="N186" s="21"/>
      <c r="O186" s="21"/>
      <c r="P186" s="21"/>
      <c r="Q186" s="21"/>
      <c r="R186" s="21"/>
      <c r="S186" s="21"/>
      <c r="T186" s="21"/>
      <c r="U186" s="21"/>
      <c r="X186" s="17" t="str">
        <f aca="false">IF(OR(B$7="",$BR186=""),"",IF('Tally Helper'!$B$3&lt;&gt;TRUE(),"not on Staff",SUMIFS('Tally Helper'!$L$5:$GI$5,'Tally Helper'!$L$3:$GI$3,"&gt;="&amp;$BR186,'Tally Helper'!$L$3:$GI$3,"&lt;="&amp;$BS186)))</f>
        <v/>
      </c>
      <c r="Y186" s="17" t="str">
        <f aca="false">IF(OR(C$7="",$BR186=""),"",IF('Tally Helper'!$B$6&lt;&gt;TRUE(),"not on Staff",SUMIFS('Tally Helper'!$L$8:$GI$8,'Tally Helper'!$L$6:$GI$6,"&gt;="&amp;$BR186,'Tally Helper'!$L$6:$GI$6,"&lt;="&amp;$BS186)))</f>
        <v/>
      </c>
      <c r="Z186" s="17" t="str">
        <f aca="false">IF(OR(D$7="",$BR186=""),"",IF('Tally Helper'!$B$9&lt;&gt;TRUE(),"not on Staff",SUMIFS('Tally Helper'!$L$11:$GI$11,'Tally Helper'!$L$9:$GI$9,"&gt;="&amp;$BR186,'Tally Helper'!$L$9:$GI$9,"&lt;="&amp;$BS186)))</f>
        <v/>
      </c>
      <c r="AA186" s="17" t="str">
        <f aca="false">IF(OR(E$7="",$BR186=""),"",IF('Tally Helper'!$B$12&lt;&gt;TRUE(),"not on Staff",SUMIFS('Tally Helper'!$L$14:$GI$14,'Tally Helper'!$L$12:$GI$12,"&gt;="&amp;$BR186,'Tally Helper'!$L$12:$GI$12,"&lt;="&amp;$BS186)))</f>
        <v/>
      </c>
      <c r="AB186" s="17" t="str">
        <f aca="false">IF(OR(F$7="",$BR186=""),"",IF('Tally Helper'!$B$15&lt;&gt;TRUE(),"not on Staff",SUMIFS('Tally Helper'!$L$17:$GI$17,'Tally Helper'!$L$15:$GI$15,"&gt;="&amp;$BR186,'Tally Helper'!$L$15:$GI$15,"&lt;="&amp;$BS186)))</f>
        <v/>
      </c>
      <c r="AC186" s="17" t="str">
        <f aca="false">IF(OR(G$7="",$BR186=""),"",IF('Tally Helper'!$B$18&lt;&gt;TRUE(),"not on Staff",SUMIFS('Tally Helper'!$L$20:$GI$20,'Tally Helper'!$L$18:$GI$18,"&gt;="&amp;$BR186,'Tally Helper'!$L$18:$GI$18,"&lt;="&amp;$BS186)))</f>
        <v/>
      </c>
      <c r="AD186" s="17" t="str">
        <f aca="false">IF(OR(H$7="",$BR186=""),"",IF('Tally Helper'!$B$21&lt;&gt;TRUE(),"not on Staff",SUMIFS('Tally Helper'!$L$23:$GI$23,'Tally Helper'!$L$21:$GI$21,"&gt;="&amp;$BR186,'Tally Helper'!$L$21:$GI$21,"&lt;="&amp;$BS186)))</f>
        <v/>
      </c>
      <c r="AE186" s="17" t="str">
        <f aca="false">IF(OR(I$7="",$BR186=""),"",IF('Tally Helper'!$B$24&lt;&gt;TRUE(),"not on Staff",SUMIFS('Tally Helper'!$L$26:$GI$26,'Tally Helper'!$L$24:$GI$24,"&gt;="&amp;$BR186,'Tally Helper'!$L$24:$GI$24,"&lt;="&amp;$BS186)))</f>
        <v/>
      </c>
      <c r="AF186" s="17" t="str">
        <f aca="false">IF(OR(J$7="",$BR186=""),"",IF('Tally Helper'!$B$27&lt;&gt;TRUE(),"not on Staff",SUMIFS('Tally Helper'!$L$29:$GI$29,'Tally Helper'!$L$27:$GI$27,"&gt;="&amp;$BR186,'Tally Helper'!$L$27:$GI$27,"&lt;="&amp;$BS186)))</f>
        <v/>
      </c>
      <c r="AG186" s="17" t="str">
        <f aca="false">IF(OR(K$7="",$BR186=""),"",IF('Tally Helper'!$B$30&lt;&gt;TRUE(),"not on Staff",SUMIFS('Tally Helper'!$L$32:$GI$32,'Tally Helper'!$L$30:$GI$30,"&gt;="&amp;$BR186,'Tally Helper'!$L$30:$GI$30,"&lt;="&amp;$BS186)))</f>
        <v/>
      </c>
      <c r="AH186" s="17" t="str">
        <f aca="false">IF(OR(L$7="",$BR186=""),"",IF('Tally Helper'!$B$33&lt;&gt;TRUE(),"not on Staff",SUMIFS('Tally Helper'!$L$35:$GI$35,'Tally Helper'!$L$33:$GI$33,"&gt;="&amp;$BR186,'Tally Helper'!$L$33:$GI$33,"&lt;="&amp;$BS186)))</f>
        <v/>
      </c>
      <c r="AI186" s="17" t="str">
        <f aca="false">IF(OR(M$7="",$BR186=""),"",IF('Tally Helper'!$B$36&lt;&gt;TRUE(),"not on Staff",SUMIFS('Tally Helper'!$L$38:$GI$38,'Tally Helper'!$L$36:$GI$36,"&gt;="&amp;$BR186,'Tally Helper'!$L$36:$GI$36,"&lt;="&amp;$BS186)))</f>
        <v/>
      </c>
      <c r="AJ186" s="17" t="str">
        <f aca="false">IF(OR(N$7="",$BR186=""),"",IF('Tally Helper'!$B$39&lt;&gt;TRUE(),"not on Staff",SUMIFS('Tally Helper'!$L$41:$GI$41,'Tally Helper'!$L$39:$GI$39,"&gt;="&amp;$BR186,'Tally Helper'!$L$39:$GI$39,"&lt;="&amp;$BS186)))</f>
        <v/>
      </c>
      <c r="AK186" s="17" t="str">
        <f aca="false">IF(OR(O$7="",$BR186=""),"",IF('Tally Helper'!$B$42&lt;&gt;TRUE(),"not on Staff",SUMIFS('Tally Helper'!$L$44:$GI$44,'Tally Helper'!$L$42:$GI$42,"&gt;="&amp;$BR186,'Tally Helper'!$L$42:$GI$42,"&lt;="&amp;$BS186)))</f>
        <v/>
      </c>
      <c r="AL186" s="17" t="str">
        <f aca="false">IF(OR(P$7="",$BR186=""),"",IF('Tally Helper'!$B$45&lt;&gt;TRUE(),"not on Staff",SUMIFS('Tally Helper'!$L$47:$GI$47,'Tally Helper'!$L$45:$GI$45,"&gt;="&amp;$BR186,'Tally Helper'!$L$45:$GI$45,"&lt;="&amp;$BS186)))</f>
        <v/>
      </c>
      <c r="AM186" s="17" t="str">
        <f aca="false">IF(OR(Q$7="",$BR186=""),"",IF('Tally Helper'!$B$48&lt;&gt;TRUE(),"not on Staff",SUMIFS('Tally Helper'!$L$50:$GI$50,'Tally Helper'!$L$48:$GI$48,"&gt;="&amp;$BR186,'Tally Helper'!$L$48:$GI$48,"&lt;="&amp;$BS186)))</f>
        <v/>
      </c>
      <c r="AN186" s="17" t="str">
        <f aca="false">IF(OR(R$7="",$BR186=""),"",IF('Tally Helper'!$B$51&lt;&gt;TRUE(),"not on Staff",SUMIFS('Tally Helper'!$L$53:$GI$53,'Tally Helper'!$L$51:$GI$51,"&gt;="&amp;$BR186,'Tally Helper'!$L$51:$GI$51,"&lt;="&amp;$BS186)))</f>
        <v/>
      </c>
      <c r="AO186" s="17" t="str">
        <f aca="false">IF(OR(S$7="",$BR186=""),"",IF('Tally Helper'!$B$54&lt;&gt;TRUE(),"not on Staff",SUMIFS('Tally Helper'!$L$56:$GI$56,'Tally Helper'!$L$54:$GI$54,"&gt;="&amp;$BR186,'Tally Helper'!$L$54:$GI$54,"&lt;="&amp;$BS186)))</f>
        <v/>
      </c>
      <c r="AP186" s="17" t="str">
        <f aca="false">IF(OR(T$7="",$BR186=""),"",IF('Tally Helper'!$B$57&lt;&gt;TRUE(),"not on Staff",SUMIFS('Tally Helper'!$L$59:$GI$59,'Tally Helper'!$L$57:$GI$57,"&gt;="&amp;$BR186,'Tally Helper'!$L$57:$GI$57,"&lt;="&amp;$BS186)))</f>
        <v/>
      </c>
      <c r="AQ186" s="17" t="str">
        <f aca="false">IF(OR(U$7="",$BR186=""),"",IF('Tally Helper'!$B$60&lt;&gt;TRUE(),"not on Staff",SUMIFS('Tally Helper'!$L$62:$GI$62,'Tally Helper'!$L$60:$GI$60,"&gt;="&amp;$BR186,'Tally Helper'!$L$60:$GI$60,"&lt;="&amp;$BS186)))</f>
        <v/>
      </c>
      <c r="AT186" s="17" t="str">
        <f aca="false">IF(OR(X186="",NOT(ISNUMBER(X186))),"",X186-N(B186))</f>
        <v/>
      </c>
      <c r="AU186" s="17" t="str">
        <f aca="false">IF(OR(Y186="",NOT(ISNUMBER(Y186))),"",Y186-N(C186))</f>
        <v/>
      </c>
      <c r="AV186" s="17" t="str">
        <f aca="false">IF(OR(Z186="",NOT(ISNUMBER(Z186))),"",Z186-N(D186))</f>
        <v/>
      </c>
      <c r="AW186" s="17" t="str">
        <f aca="false">IF(OR(AA186="",NOT(ISNUMBER(AA186))),"",AA186-N(E186))</f>
        <v/>
      </c>
      <c r="AX186" s="17" t="str">
        <f aca="false">IF(OR(AB186="",NOT(ISNUMBER(AB186))),"",AB186-N(F186))</f>
        <v/>
      </c>
      <c r="AY186" s="17" t="str">
        <f aca="false">IF(OR(AC186="",NOT(ISNUMBER(AC186))),"",AC186-N(G186))</f>
        <v/>
      </c>
      <c r="AZ186" s="17" t="str">
        <f aca="false">IF(OR(AD186="",NOT(ISNUMBER(AD186))),"",AD186-N(H186))</f>
        <v/>
      </c>
      <c r="BA186" s="17" t="str">
        <f aca="false">IF(OR(AE186="",NOT(ISNUMBER(AE186))),"",AE186-N(I186))</f>
        <v/>
      </c>
      <c r="BB186" s="17" t="str">
        <f aca="false">IF(OR(AF186="",NOT(ISNUMBER(AF186))),"",AF186-N(J186))</f>
        <v/>
      </c>
      <c r="BC186" s="17" t="str">
        <f aca="false">IF(OR(AG186="",NOT(ISNUMBER(AG186))),"",AG186-N(K186))</f>
        <v/>
      </c>
      <c r="BD186" s="17" t="str">
        <f aca="false">IF(OR(AH186="",NOT(ISNUMBER(AH186))),"",AH186-N(L186))</f>
        <v/>
      </c>
      <c r="BE186" s="17" t="str">
        <f aca="false">IF(OR(AI186="",NOT(ISNUMBER(AI186))),"",AI186-N(M186))</f>
        <v/>
      </c>
      <c r="BF186" s="17" t="str">
        <f aca="false">IF(OR(AJ186="",NOT(ISNUMBER(AJ186))),"",AJ186-N(N186))</f>
        <v/>
      </c>
      <c r="BG186" s="17" t="str">
        <f aca="false">IF(OR(AK186="",NOT(ISNUMBER(AK186))),"",AK186-N(O186))</f>
        <v/>
      </c>
      <c r="BH186" s="17" t="str">
        <f aca="false">IF(OR(AL186="",NOT(ISNUMBER(AL186))),"",AL186-N(P186))</f>
        <v/>
      </c>
      <c r="BI186" s="17" t="str">
        <f aca="false">IF(OR(AM186="",NOT(ISNUMBER(AM186))),"",AM186-N(Q186))</f>
        <v/>
      </c>
      <c r="BJ186" s="17" t="str">
        <f aca="false">IF(OR(AN186="",NOT(ISNUMBER(AN186))),"",AN186-N(R186))</f>
        <v/>
      </c>
      <c r="BK186" s="17" t="str">
        <f aca="false">IF(OR(AO186="",NOT(ISNUMBER(AO186))),"",AO186-N(S186))</f>
        <v/>
      </c>
      <c r="BL186" s="17" t="str">
        <f aca="false">IF(OR(AP186="",NOT(ISNUMBER(AP186))),"",AP186-N(T186))</f>
        <v/>
      </c>
      <c r="BM186" s="17" t="str">
        <f aca="false">IF(OR(AQ186="",NOT(ISNUMBER(AQ186))),"",AQ186-N(U186))</f>
        <v/>
      </c>
      <c r="BR186" s="20" t="str">
        <f aca="false">IF($A186="","",IF(ISNUMBER($A186),DATE(YEAR($A186),MONTH($A186),1),IFERROR(DATE(2000+VALUE(RIGHT(TRIM($A186),2)),MATCH(UPPER(LEFT(TRIM($A186),3)),{"JAN","FEB","MAR","APR","MAY","JUN","JUL","AUG","SEP","OCT","NOV","DEC"},0),1),"")))</f>
        <v/>
      </c>
      <c r="BS186" s="20" t="str">
        <f aca="false">IF(BR186="","",EOMONTH(BR186,0))</f>
        <v/>
      </c>
    </row>
    <row r="187" customFormat="false" ht="15" hidden="false" customHeight="false" outlineLevel="0" collapsed="false">
      <c r="B187" s="21"/>
      <c r="C187" s="21"/>
      <c r="D187" s="21"/>
      <c r="E187" s="21"/>
      <c r="F187" s="21"/>
      <c r="G187" s="21"/>
      <c r="H187" s="21"/>
      <c r="I187" s="21"/>
      <c r="J187" s="21"/>
      <c r="K187" s="21"/>
      <c r="L187" s="21"/>
      <c r="M187" s="21"/>
      <c r="N187" s="21"/>
      <c r="O187" s="21"/>
      <c r="P187" s="21"/>
      <c r="Q187" s="21"/>
      <c r="R187" s="21"/>
      <c r="S187" s="21"/>
      <c r="T187" s="21"/>
      <c r="U187" s="21"/>
      <c r="X187" s="17" t="str">
        <f aca="false">IF(OR(B$7="",$BR187=""),"",IF('Tally Helper'!$B$3&lt;&gt;TRUE(),"not on Staff",SUMIFS('Tally Helper'!$L$5:$GI$5,'Tally Helper'!$L$3:$GI$3,"&gt;="&amp;$BR187,'Tally Helper'!$L$3:$GI$3,"&lt;="&amp;$BS187)))</f>
        <v/>
      </c>
      <c r="Y187" s="17" t="str">
        <f aca="false">IF(OR(C$7="",$BR187=""),"",IF('Tally Helper'!$B$6&lt;&gt;TRUE(),"not on Staff",SUMIFS('Tally Helper'!$L$8:$GI$8,'Tally Helper'!$L$6:$GI$6,"&gt;="&amp;$BR187,'Tally Helper'!$L$6:$GI$6,"&lt;="&amp;$BS187)))</f>
        <v/>
      </c>
      <c r="Z187" s="17" t="str">
        <f aca="false">IF(OR(D$7="",$BR187=""),"",IF('Tally Helper'!$B$9&lt;&gt;TRUE(),"not on Staff",SUMIFS('Tally Helper'!$L$11:$GI$11,'Tally Helper'!$L$9:$GI$9,"&gt;="&amp;$BR187,'Tally Helper'!$L$9:$GI$9,"&lt;="&amp;$BS187)))</f>
        <v/>
      </c>
      <c r="AA187" s="17" t="str">
        <f aca="false">IF(OR(E$7="",$BR187=""),"",IF('Tally Helper'!$B$12&lt;&gt;TRUE(),"not on Staff",SUMIFS('Tally Helper'!$L$14:$GI$14,'Tally Helper'!$L$12:$GI$12,"&gt;="&amp;$BR187,'Tally Helper'!$L$12:$GI$12,"&lt;="&amp;$BS187)))</f>
        <v/>
      </c>
      <c r="AB187" s="17" t="str">
        <f aca="false">IF(OR(F$7="",$BR187=""),"",IF('Tally Helper'!$B$15&lt;&gt;TRUE(),"not on Staff",SUMIFS('Tally Helper'!$L$17:$GI$17,'Tally Helper'!$L$15:$GI$15,"&gt;="&amp;$BR187,'Tally Helper'!$L$15:$GI$15,"&lt;="&amp;$BS187)))</f>
        <v/>
      </c>
      <c r="AC187" s="17" t="str">
        <f aca="false">IF(OR(G$7="",$BR187=""),"",IF('Tally Helper'!$B$18&lt;&gt;TRUE(),"not on Staff",SUMIFS('Tally Helper'!$L$20:$GI$20,'Tally Helper'!$L$18:$GI$18,"&gt;="&amp;$BR187,'Tally Helper'!$L$18:$GI$18,"&lt;="&amp;$BS187)))</f>
        <v/>
      </c>
      <c r="AD187" s="17" t="str">
        <f aca="false">IF(OR(H$7="",$BR187=""),"",IF('Tally Helper'!$B$21&lt;&gt;TRUE(),"not on Staff",SUMIFS('Tally Helper'!$L$23:$GI$23,'Tally Helper'!$L$21:$GI$21,"&gt;="&amp;$BR187,'Tally Helper'!$L$21:$GI$21,"&lt;="&amp;$BS187)))</f>
        <v/>
      </c>
      <c r="AE187" s="17" t="str">
        <f aca="false">IF(OR(I$7="",$BR187=""),"",IF('Tally Helper'!$B$24&lt;&gt;TRUE(),"not on Staff",SUMIFS('Tally Helper'!$L$26:$GI$26,'Tally Helper'!$L$24:$GI$24,"&gt;="&amp;$BR187,'Tally Helper'!$L$24:$GI$24,"&lt;="&amp;$BS187)))</f>
        <v/>
      </c>
      <c r="AF187" s="17" t="str">
        <f aca="false">IF(OR(J$7="",$BR187=""),"",IF('Tally Helper'!$B$27&lt;&gt;TRUE(),"not on Staff",SUMIFS('Tally Helper'!$L$29:$GI$29,'Tally Helper'!$L$27:$GI$27,"&gt;="&amp;$BR187,'Tally Helper'!$L$27:$GI$27,"&lt;="&amp;$BS187)))</f>
        <v/>
      </c>
      <c r="AG187" s="17" t="str">
        <f aca="false">IF(OR(K$7="",$BR187=""),"",IF('Tally Helper'!$B$30&lt;&gt;TRUE(),"not on Staff",SUMIFS('Tally Helper'!$L$32:$GI$32,'Tally Helper'!$L$30:$GI$30,"&gt;="&amp;$BR187,'Tally Helper'!$L$30:$GI$30,"&lt;="&amp;$BS187)))</f>
        <v/>
      </c>
      <c r="AH187" s="17" t="str">
        <f aca="false">IF(OR(L$7="",$BR187=""),"",IF('Tally Helper'!$B$33&lt;&gt;TRUE(),"not on Staff",SUMIFS('Tally Helper'!$L$35:$GI$35,'Tally Helper'!$L$33:$GI$33,"&gt;="&amp;$BR187,'Tally Helper'!$L$33:$GI$33,"&lt;="&amp;$BS187)))</f>
        <v/>
      </c>
      <c r="AI187" s="17" t="str">
        <f aca="false">IF(OR(M$7="",$BR187=""),"",IF('Tally Helper'!$B$36&lt;&gt;TRUE(),"not on Staff",SUMIFS('Tally Helper'!$L$38:$GI$38,'Tally Helper'!$L$36:$GI$36,"&gt;="&amp;$BR187,'Tally Helper'!$L$36:$GI$36,"&lt;="&amp;$BS187)))</f>
        <v/>
      </c>
      <c r="AJ187" s="17" t="str">
        <f aca="false">IF(OR(N$7="",$BR187=""),"",IF('Tally Helper'!$B$39&lt;&gt;TRUE(),"not on Staff",SUMIFS('Tally Helper'!$L$41:$GI$41,'Tally Helper'!$L$39:$GI$39,"&gt;="&amp;$BR187,'Tally Helper'!$L$39:$GI$39,"&lt;="&amp;$BS187)))</f>
        <v/>
      </c>
      <c r="AK187" s="17" t="str">
        <f aca="false">IF(OR(O$7="",$BR187=""),"",IF('Tally Helper'!$B$42&lt;&gt;TRUE(),"not on Staff",SUMIFS('Tally Helper'!$L$44:$GI$44,'Tally Helper'!$L$42:$GI$42,"&gt;="&amp;$BR187,'Tally Helper'!$L$42:$GI$42,"&lt;="&amp;$BS187)))</f>
        <v/>
      </c>
      <c r="AL187" s="17" t="str">
        <f aca="false">IF(OR(P$7="",$BR187=""),"",IF('Tally Helper'!$B$45&lt;&gt;TRUE(),"not on Staff",SUMIFS('Tally Helper'!$L$47:$GI$47,'Tally Helper'!$L$45:$GI$45,"&gt;="&amp;$BR187,'Tally Helper'!$L$45:$GI$45,"&lt;="&amp;$BS187)))</f>
        <v/>
      </c>
      <c r="AM187" s="17" t="str">
        <f aca="false">IF(OR(Q$7="",$BR187=""),"",IF('Tally Helper'!$B$48&lt;&gt;TRUE(),"not on Staff",SUMIFS('Tally Helper'!$L$50:$GI$50,'Tally Helper'!$L$48:$GI$48,"&gt;="&amp;$BR187,'Tally Helper'!$L$48:$GI$48,"&lt;="&amp;$BS187)))</f>
        <v/>
      </c>
      <c r="AN187" s="17" t="str">
        <f aca="false">IF(OR(R$7="",$BR187=""),"",IF('Tally Helper'!$B$51&lt;&gt;TRUE(),"not on Staff",SUMIFS('Tally Helper'!$L$53:$GI$53,'Tally Helper'!$L$51:$GI$51,"&gt;="&amp;$BR187,'Tally Helper'!$L$51:$GI$51,"&lt;="&amp;$BS187)))</f>
        <v/>
      </c>
      <c r="AO187" s="17" t="str">
        <f aca="false">IF(OR(S$7="",$BR187=""),"",IF('Tally Helper'!$B$54&lt;&gt;TRUE(),"not on Staff",SUMIFS('Tally Helper'!$L$56:$GI$56,'Tally Helper'!$L$54:$GI$54,"&gt;="&amp;$BR187,'Tally Helper'!$L$54:$GI$54,"&lt;="&amp;$BS187)))</f>
        <v/>
      </c>
      <c r="AP187" s="17" t="str">
        <f aca="false">IF(OR(T$7="",$BR187=""),"",IF('Tally Helper'!$B$57&lt;&gt;TRUE(),"not on Staff",SUMIFS('Tally Helper'!$L$59:$GI$59,'Tally Helper'!$L$57:$GI$57,"&gt;="&amp;$BR187,'Tally Helper'!$L$57:$GI$57,"&lt;="&amp;$BS187)))</f>
        <v/>
      </c>
      <c r="AQ187" s="17" t="str">
        <f aca="false">IF(OR(U$7="",$BR187=""),"",IF('Tally Helper'!$B$60&lt;&gt;TRUE(),"not on Staff",SUMIFS('Tally Helper'!$L$62:$GI$62,'Tally Helper'!$L$60:$GI$60,"&gt;="&amp;$BR187,'Tally Helper'!$L$60:$GI$60,"&lt;="&amp;$BS187)))</f>
        <v/>
      </c>
      <c r="AT187" s="17" t="str">
        <f aca="false">IF(OR(X187="",NOT(ISNUMBER(X187))),"",X187-N(B187))</f>
        <v/>
      </c>
      <c r="AU187" s="17" t="str">
        <f aca="false">IF(OR(Y187="",NOT(ISNUMBER(Y187))),"",Y187-N(C187))</f>
        <v/>
      </c>
      <c r="AV187" s="17" t="str">
        <f aca="false">IF(OR(Z187="",NOT(ISNUMBER(Z187))),"",Z187-N(D187))</f>
        <v/>
      </c>
      <c r="AW187" s="17" t="str">
        <f aca="false">IF(OR(AA187="",NOT(ISNUMBER(AA187))),"",AA187-N(E187))</f>
        <v/>
      </c>
      <c r="AX187" s="17" t="str">
        <f aca="false">IF(OR(AB187="",NOT(ISNUMBER(AB187))),"",AB187-N(F187))</f>
        <v/>
      </c>
      <c r="AY187" s="17" t="str">
        <f aca="false">IF(OR(AC187="",NOT(ISNUMBER(AC187))),"",AC187-N(G187))</f>
        <v/>
      </c>
      <c r="AZ187" s="17" t="str">
        <f aca="false">IF(OR(AD187="",NOT(ISNUMBER(AD187))),"",AD187-N(H187))</f>
        <v/>
      </c>
      <c r="BA187" s="17" t="str">
        <f aca="false">IF(OR(AE187="",NOT(ISNUMBER(AE187))),"",AE187-N(I187))</f>
        <v/>
      </c>
      <c r="BB187" s="17" t="str">
        <f aca="false">IF(OR(AF187="",NOT(ISNUMBER(AF187))),"",AF187-N(J187))</f>
        <v/>
      </c>
      <c r="BC187" s="17" t="str">
        <f aca="false">IF(OR(AG187="",NOT(ISNUMBER(AG187))),"",AG187-N(K187))</f>
        <v/>
      </c>
      <c r="BD187" s="17" t="str">
        <f aca="false">IF(OR(AH187="",NOT(ISNUMBER(AH187))),"",AH187-N(L187))</f>
        <v/>
      </c>
      <c r="BE187" s="17" t="str">
        <f aca="false">IF(OR(AI187="",NOT(ISNUMBER(AI187))),"",AI187-N(M187))</f>
        <v/>
      </c>
      <c r="BF187" s="17" t="str">
        <f aca="false">IF(OR(AJ187="",NOT(ISNUMBER(AJ187))),"",AJ187-N(N187))</f>
        <v/>
      </c>
      <c r="BG187" s="17" t="str">
        <f aca="false">IF(OR(AK187="",NOT(ISNUMBER(AK187))),"",AK187-N(O187))</f>
        <v/>
      </c>
      <c r="BH187" s="17" t="str">
        <f aca="false">IF(OR(AL187="",NOT(ISNUMBER(AL187))),"",AL187-N(P187))</f>
        <v/>
      </c>
      <c r="BI187" s="17" t="str">
        <f aca="false">IF(OR(AM187="",NOT(ISNUMBER(AM187))),"",AM187-N(Q187))</f>
        <v/>
      </c>
      <c r="BJ187" s="17" t="str">
        <f aca="false">IF(OR(AN187="",NOT(ISNUMBER(AN187))),"",AN187-N(R187))</f>
        <v/>
      </c>
      <c r="BK187" s="17" t="str">
        <f aca="false">IF(OR(AO187="",NOT(ISNUMBER(AO187))),"",AO187-N(S187))</f>
        <v/>
      </c>
      <c r="BL187" s="17" t="str">
        <f aca="false">IF(OR(AP187="",NOT(ISNUMBER(AP187))),"",AP187-N(T187))</f>
        <v/>
      </c>
      <c r="BM187" s="17" t="str">
        <f aca="false">IF(OR(AQ187="",NOT(ISNUMBER(AQ187))),"",AQ187-N(U187))</f>
        <v/>
      </c>
      <c r="BR187" s="20" t="str">
        <f aca="false">IF($A187="","",IF(ISNUMBER($A187),DATE(YEAR($A187),MONTH($A187),1),IFERROR(DATE(2000+VALUE(RIGHT(TRIM($A187),2)),MATCH(UPPER(LEFT(TRIM($A187),3)),{"JAN","FEB","MAR","APR","MAY","JUN","JUL","AUG","SEP","OCT","NOV","DEC"},0),1),"")))</f>
        <v/>
      </c>
      <c r="BS187" s="20" t="str">
        <f aca="false">IF(BR187="","",EOMONTH(BR187,0))</f>
        <v/>
      </c>
    </row>
    <row r="188" customFormat="false" ht="15" hidden="false" customHeight="false" outlineLevel="0" collapsed="false">
      <c r="B188" s="21"/>
      <c r="C188" s="21"/>
      <c r="D188" s="21"/>
      <c r="E188" s="21"/>
      <c r="F188" s="21"/>
      <c r="G188" s="21"/>
      <c r="H188" s="21"/>
      <c r="I188" s="21"/>
      <c r="J188" s="21"/>
      <c r="K188" s="21"/>
      <c r="L188" s="21"/>
      <c r="M188" s="21"/>
      <c r="N188" s="21"/>
      <c r="O188" s="21"/>
      <c r="P188" s="21"/>
      <c r="Q188" s="21"/>
      <c r="R188" s="21"/>
      <c r="S188" s="21"/>
      <c r="T188" s="21"/>
      <c r="U188" s="21"/>
      <c r="X188" s="17" t="str">
        <f aca="false">IF(OR(B$7="",$BR188=""),"",IF('Tally Helper'!$B$3&lt;&gt;TRUE(),"not on Staff",SUMIFS('Tally Helper'!$L$5:$GI$5,'Tally Helper'!$L$3:$GI$3,"&gt;="&amp;$BR188,'Tally Helper'!$L$3:$GI$3,"&lt;="&amp;$BS188)))</f>
        <v/>
      </c>
      <c r="Y188" s="17" t="str">
        <f aca="false">IF(OR(C$7="",$BR188=""),"",IF('Tally Helper'!$B$6&lt;&gt;TRUE(),"not on Staff",SUMIFS('Tally Helper'!$L$8:$GI$8,'Tally Helper'!$L$6:$GI$6,"&gt;="&amp;$BR188,'Tally Helper'!$L$6:$GI$6,"&lt;="&amp;$BS188)))</f>
        <v/>
      </c>
      <c r="Z188" s="17" t="str">
        <f aca="false">IF(OR(D$7="",$BR188=""),"",IF('Tally Helper'!$B$9&lt;&gt;TRUE(),"not on Staff",SUMIFS('Tally Helper'!$L$11:$GI$11,'Tally Helper'!$L$9:$GI$9,"&gt;="&amp;$BR188,'Tally Helper'!$L$9:$GI$9,"&lt;="&amp;$BS188)))</f>
        <v/>
      </c>
      <c r="AA188" s="17" t="str">
        <f aca="false">IF(OR(E$7="",$BR188=""),"",IF('Tally Helper'!$B$12&lt;&gt;TRUE(),"not on Staff",SUMIFS('Tally Helper'!$L$14:$GI$14,'Tally Helper'!$L$12:$GI$12,"&gt;="&amp;$BR188,'Tally Helper'!$L$12:$GI$12,"&lt;="&amp;$BS188)))</f>
        <v/>
      </c>
      <c r="AB188" s="17" t="str">
        <f aca="false">IF(OR(F$7="",$BR188=""),"",IF('Tally Helper'!$B$15&lt;&gt;TRUE(),"not on Staff",SUMIFS('Tally Helper'!$L$17:$GI$17,'Tally Helper'!$L$15:$GI$15,"&gt;="&amp;$BR188,'Tally Helper'!$L$15:$GI$15,"&lt;="&amp;$BS188)))</f>
        <v/>
      </c>
      <c r="AC188" s="17" t="str">
        <f aca="false">IF(OR(G$7="",$BR188=""),"",IF('Tally Helper'!$B$18&lt;&gt;TRUE(),"not on Staff",SUMIFS('Tally Helper'!$L$20:$GI$20,'Tally Helper'!$L$18:$GI$18,"&gt;="&amp;$BR188,'Tally Helper'!$L$18:$GI$18,"&lt;="&amp;$BS188)))</f>
        <v/>
      </c>
      <c r="AD188" s="17" t="str">
        <f aca="false">IF(OR(H$7="",$BR188=""),"",IF('Tally Helper'!$B$21&lt;&gt;TRUE(),"not on Staff",SUMIFS('Tally Helper'!$L$23:$GI$23,'Tally Helper'!$L$21:$GI$21,"&gt;="&amp;$BR188,'Tally Helper'!$L$21:$GI$21,"&lt;="&amp;$BS188)))</f>
        <v/>
      </c>
      <c r="AE188" s="17" t="str">
        <f aca="false">IF(OR(I$7="",$BR188=""),"",IF('Tally Helper'!$B$24&lt;&gt;TRUE(),"not on Staff",SUMIFS('Tally Helper'!$L$26:$GI$26,'Tally Helper'!$L$24:$GI$24,"&gt;="&amp;$BR188,'Tally Helper'!$L$24:$GI$24,"&lt;="&amp;$BS188)))</f>
        <v/>
      </c>
      <c r="AF188" s="17" t="str">
        <f aca="false">IF(OR(J$7="",$BR188=""),"",IF('Tally Helper'!$B$27&lt;&gt;TRUE(),"not on Staff",SUMIFS('Tally Helper'!$L$29:$GI$29,'Tally Helper'!$L$27:$GI$27,"&gt;="&amp;$BR188,'Tally Helper'!$L$27:$GI$27,"&lt;="&amp;$BS188)))</f>
        <v/>
      </c>
      <c r="AG188" s="17" t="str">
        <f aca="false">IF(OR(K$7="",$BR188=""),"",IF('Tally Helper'!$B$30&lt;&gt;TRUE(),"not on Staff",SUMIFS('Tally Helper'!$L$32:$GI$32,'Tally Helper'!$L$30:$GI$30,"&gt;="&amp;$BR188,'Tally Helper'!$L$30:$GI$30,"&lt;="&amp;$BS188)))</f>
        <v/>
      </c>
      <c r="AH188" s="17" t="str">
        <f aca="false">IF(OR(L$7="",$BR188=""),"",IF('Tally Helper'!$B$33&lt;&gt;TRUE(),"not on Staff",SUMIFS('Tally Helper'!$L$35:$GI$35,'Tally Helper'!$L$33:$GI$33,"&gt;="&amp;$BR188,'Tally Helper'!$L$33:$GI$33,"&lt;="&amp;$BS188)))</f>
        <v/>
      </c>
      <c r="AI188" s="17" t="str">
        <f aca="false">IF(OR(M$7="",$BR188=""),"",IF('Tally Helper'!$B$36&lt;&gt;TRUE(),"not on Staff",SUMIFS('Tally Helper'!$L$38:$GI$38,'Tally Helper'!$L$36:$GI$36,"&gt;="&amp;$BR188,'Tally Helper'!$L$36:$GI$36,"&lt;="&amp;$BS188)))</f>
        <v/>
      </c>
      <c r="AJ188" s="17" t="str">
        <f aca="false">IF(OR(N$7="",$BR188=""),"",IF('Tally Helper'!$B$39&lt;&gt;TRUE(),"not on Staff",SUMIFS('Tally Helper'!$L$41:$GI$41,'Tally Helper'!$L$39:$GI$39,"&gt;="&amp;$BR188,'Tally Helper'!$L$39:$GI$39,"&lt;="&amp;$BS188)))</f>
        <v/>
      </c>
      <c r="AK188" s="17" t="str">
        <f aca="false">IF(OR(O$7="",$BR188=""),"",IF('Tally Helper'!$B$42&lt;&gt;TRUE(),"not on Staff",SUMIFS('Tally Helper'!$L$44:$GI$44,'Tally Helper'!$L$42:$GI$42,"&gt;="&amp;$BR188,'Tally Helper'!$L$42:$GI$42,"&lt;="&amp;$BS188)))</f>
        <v/>
      </c>
      <c r="AL188" s="17" t="str">
        <f aca="false">IF(OR(P$7="",$BR188=""),"",IF('Tally Helper'!$B$45&lt;&gt;TRUE(),"not on Staff",SUMIFS('Tally Helper'!$L$47:$GI$47,'Tally Helper'!$L$45:$GI$45,"&gt;="&amp;$BR188,'Tally Helper'!$L$45:$GI$45,"&lt;="&amp;$BS188)))</f>
        <v/>
      </c>
      <c r="AM188" s="17" t="str">
        <f aca="false">IF(OR(Q$7="",$BR188=""),"",IF('Tally Helper'!$B$48&lt;&gt;TRUE(),"not on Staff",SUMIFS('Tally Helper'!$L$50:$GI$50,'Tally Helper'!$L$48:$GI$48,"&gt;="&amp;$BR188,'Tally Helper'!$L$48:$GI$48,"&lt;="&amp;$BS188)))</f>
        <v/>
      </c>
      <c r="AN188" s="17" t="str">
        <f aca="false">IF(OR(R$7="",$BR188=""),"",IF('Tally Helper'!$B$51&lt;&gt;TRUE(),"not on Staff",SUMIFS('Tally Helper'!$L$53:$GI$53,'Tally Helper'!$L$51:$GI$51,"&gt;="&amp;$BR188,'Tally Helper'!$L$51:$GI$51,"&lt;="&amp;$BS188)))</f>
        <v/>
      </c>
      <c r="AO188" s="17" t="str">
        <f aca="false">IF(OR(S$7="",$BR188=""),"",IF('Tally Helper'!$B$54&lt;&gt;TRUE(),"not on Staff",SUMIFS('Tally Helper'!$L$56:$GI$56,'Tally Helper'!$L$54:$GI$54,"&gt;="&amp;$BR188,'Tally Helper'!$L$54:$GI$54,"&lt;="&amp;$BS188)))</f>
        <v/>
      </c>
      <c r="AP188" s="17" t="str">
        <f aca="false">IF(OR(T$7="",$BR188=""),"",IF('Tally Helper'!$B$57&lt;&gt;TRUE(),"not on Staff",SUMIFS('Tally Helper'!$L$59:$GI$59,'Tally Helper'!$L$57:$GI$57,"&gt;="&amp;$BR188,'Tally Helper'!$L$57:$GI$57,"&lt;="&amp;$BS188)))</f>
        <v/>
      </c>
      <c r="AQ188" s="17" t="str">
        <f aca="false">IF(OR(U$7="",$BR188=""),"",IF('Tally Helper'!$B$60&lt;&gt;TRUE(),"not on Staff",SUMIFS('Tally Helper'!$L$62:$GI$62,'Tally Helper'!$L$60:$GI$60,"&gt;="&amp;$BR188,'Tally Helper'!$L$60:$GI$60,"&lt;="&amp;$BS188)))</f>
        <v/>
      </c>
      <c r="AT188" s="17" t="str">
        <f aca="false">IF(OR(X188="",NOT(ISNUMBER(X188))),"",X188-N(B188))</f>
        <v/>
      </c>
      <c r="AU188" s="17" t="str">
        <f aca="false">IF(OR(Y188="",NOT(ISNUMBER(Y188))),"",Y188-N(C188))</f>
        <v/>
      </c>
      <c r="AV188" s="17" t="str">
        <f aca="false">IF(OR(Z188="",NOT(ISNUMBER(Z188))),"",Z188-N(D188))</f>
        <v/>
      </c>
      <c r="AW188" s="17" t="str">
        <f aca="false">IF(OR(AA188="",NOT(ISNUMBER(AA188))),"",AA188-N(E188))</f>
        <v/>
      </c>
      <c r="AX188" s="17" t="str">
        <f aca="false">IF(OR(AB188="",NOT(ISNUMBER(AB188))),"",AB188-N(F188))</f>
        <v/>
      </c>
      <c r="AY188" s="17" t="str">
        <f aca="false">IF(OR(AC188="",NOT(ISNUMBER(AC188))),"",AC188-N(G188))</f>
        <v/>
      </c>
      <c r="AZ188" s="17" t="str">
        <f aca="false">IF(OR(AD188="",NOT(ISNUMBER(AD188))),"",AD188-N(H188))</f>
        <v/>
      </c>
      <c r="BA188" s="17" t="str">
        <f aca="false">IF(OR(AE188="",NOT(ISNUMBER(AE188))),"",AE188-N(I188))</f>
        <v/>
      </c>
      <c r="BB188" s="17" t="str">
        <f aca="false">IF(OR(AF188="",NOT(ISNUMBER(AF188))),"",AF188-N(J188))</f>
        <v/>
      </c>
      <c r="BC188" s="17" t="str">
        <f aca="false">IF(OR(AG188="",NOT(ISNUMBER(AG188))),"",AG188-N(K188))</f>
        <v/>
      </c>
      <c r="BD188" s="17" t="str">
        <f aca="false">IF(OR(AH188="",NOT(ISNUMBER(AH188))),"",AH188-N(L188))</f>
        <v/>
      </c>
      <c r="BE188" s="17" t="str">
        <f aca="false">IF(OR(AI188="",NOT(ISNUMBER(AI188))),"",AI188-N(M188))</f>
        <v/>
      </c>
      <c r="BF188" s="17" t="str">
        <f aca="false">IF(OR(AJ188="",NOT(ISNUMBER(AJ188))),"",AJ188-N(N188))</f>
        <v/>
      </c>
      <c r="BG188" s="17" t="str">
        <f aca="false">IF(OR(AK188="",NOT(ISNUMBER(AK188))),"",AK188-N(O188))</f>
        <v/>
      </c>
      <c r="BH188" s="17" t="str">
        <f aca="false">IF(OR(AL188="",NOT(ISNUMBER(AL188))),"",AL188-N(P188))</f>
        <v/>
      </c>
      <c r="BI188" s="17" t="str">
        <f aca="false">IF(OR(AM188="",NOT(ISNUMBER(AM188))),"",AM188-N(Q188))</f>
        <v/>
      </c>
      <c r="BJ188" s="17" t="str">
        <f aca="false">IF(OR(AN188="",NOT(ISNUMBER(AN188))),"",AN188-N(R188))</f>
        <v/>
      </c>
      <c r="BK188" s="17" t="str">
        <f aca="false">IF(OR(AO188="",NOT(ISNUMBER(AO188))),"",AO188-N(S188))</f>
        <v/>
      </c>
      <c r="BL188" s="17" t="str">
        <f aca="false">IF(OR(AP188="",NOT(ISNUMBER(AP188))),"",AP188-N(T188))</f>
        <v/>
      </c>
      <c r="BM188" s="17" t="str">
        <f aca="false">IF(OR(AQ188="",NOT(ISNUMBER(AQ188))),"",AQ188-N(U188))</f>
        <v/>
      </c>
      <c r="BR188" s="20" t="str">
        <f aca="false">IF($A188="","",IF(ISNUMBER($A188),DATE(YEAR($A188),MONTH($A188),1),IFERROR(DATE(2000+VALUE(RIGHT(TRIM($A188),2)),MATCH(UPPER(LEFT(TRIM($A188),3)),{"JAN","FEB","MAR","APR","MAY","JUN","JUL","AUG","SEP","OCT","NOV","DEC"},0),1),"")))</f>
        <v/>
      </c>
      <c r="BS188" s="20" t="str">
        <f aca="false">IF(BR188="","",EOMONTH(BR188,0))</f>
        <v/>
      </c>
    </row>
    <row r="189" customFormat="false" ht="15" hidden="false" customHeight="false" outlineLevel="0" collapsed="false">
      <c r="B189" s="21"/>
      <c r="C189" s="21"/>
      <c r="D189" s="21"/>
      <c r="E189" s="21"/>
      <c r="F189" s="21"/>
      <c r="G189" s="21"/>
      <c r="H189" s="21"/>
      <c r="I189" s="21"/>
      <c r="J189" s="21"/>
      <c r="K189" s="21"/>
      <c r="L189" s="21"/>
      <c r="M189" s="21"/>
      <c r="N189" s="21"/>
      <c r="O189" s="21"/>
      <c r="P189" s="21"/>
      <c r="Q189" s="21"/>
      <c r="R189" s="21"/>
      <c r="S189" s="21"/>
      <c r="T189" s="21"/>
      <c r="U189" s="21"/>
      <c r="X189" s="17" t="str">
        <f aca="false">IF(OR(B$7="",$BR189=""),"",IF('Tally Helper'!$B$3&lt;&gt;TRUE(),"not on Staff",SUMIFS('Tally Helper'!$L$5:$GI$5,'Tally Helper'!$L$3:$GI$3,"&gt;="&amp;$BR189,'Tally Helper'!$L$3:$GI$3,"&lt;="&amp;$BS189)))</f>
        <v/>
      </c>
      <c r="Y189" s="17" t="str">
        <f aca="false">IF(OR(C$7="",$BR189=""),"",IF('Tally Helper'!$B$6&lt;&gt;TRUE(),"not on Staff",SUMIFS('Tally Helper'!$L$8:$GI$8,'Tally Helper'!$L$6:$GI$6,"&gt;="&amp;$BR189,'Tally Helper'!$L$6:$GI$6,"&lt;="&amp;$BS189)))</f>
        <v/>
      </c>
      <c r="Z189" s="17" t="str">
        <f aca="false">IF(OR(D$7="",$BR189=""),"",IF('Tally Helper'!$B$9&lt;&gt;TRUE(),"not on Staff",SUMIFS('Tally Helper'!$L$11:$GI$11,'Tally Helper'!$L$9:$GI$9,"&gt;="&amp;$BR189,'Tally Helper'!$L$9:$GI$9,"&lt;="&amp;$BS189)))</f>
        <v/>
      </c>
      <c r="AA189" s="17" t="str">
        <f aca="false">IF(OR(E$7="",$BR189=""),"",IF('Tally Helper'!$B$12&lt;&gt;TRUE(),"not on Staff",SUMIFS('Tally Helper'!$L$14:$GI$14,'Tally Helper'!$L$12:$GI$12,"&gt;="&amp;$BR189,'Tally Helper'!$L$12:$GI$12,"&lt;="&amp;$BS189)))</f>
        <v/>
      </c>
      <c r="AB189" s="17" t="str">
        <f aca="false">IF(OR(F$7="",$BR189=""),"",IF('Tally Helper'!$B$15&lt;&gt;TRUE(),"not on Staff",SUMIFS('Tally Helper'!$L$17:$GI$17,'Tally Helper'!$L$15:$GI$15,"&gt;="&amp;$BR189,'Tally Helper'!$L$15:$GI$15,"&lt;="&amp;$BS189)))</f>
        <v/>
      </c>
      <c r="AC189" s="17" t="str">
        <f aca="false">IF(OR(G$7="",$BR189=""),"",IF('Tally Helper'!$B$18&lt;&gt;TRUE(),"not on Staff",SUMIFS('Tally Helper'!$L$20:$GI$20,'Tally Helper'!$L$18:$GI$18,"&gt;="&amp;$BR189,'Tally Helper'!$L$18:$GI$18,"&lt;="&amp;$BS189)))</f>
        <v/>
      </c>
      <c r="AD189" s="17" t="str">
        <f aca="false">IF(OR(H$7="",$BR189=""),"",IF('Tally Helper'!$B$21&lt;&gt;TRUE(),"not on Staff",SUMIFS('Tally Helper'!$L$23:$GI$23,'Tally Helper'!$L$21:$GI$21,"&gt;="&amp;$BR189,'Tally Helper'!$L$21:$GI$21,"&lt;="&amp;$BS189)))</f>
        <v/>
      </c>
      <c r="AE189" s="17" t="str">
        <f aca="false">IF(OR(I$7="",$BR189=""),"",IF('Tally Helper'!$B$24&lt;&gt;TRUE(),"not on Staff",SUMIFS('Tally Helper'!$L$26:$GI$26,'Tally Helper'!$L$24:$GI$24,"&gt;="&amp;$BR189,'Tally Helper'!$L$24:$GI$24,"&lt;="&amp;$BS189)))</f>
        <v/>
      </c>
      <c r="AF189" s="17" t="str">
        <f aca="false">IF(OR(J$7="",$BR189=""),"",IF('Tally Helper'!$B$27&lt;&gt;TRUE(),"not on Staff",SUMIFS('Tally Helper'!$L$29:$GI$29,'Tally Helper'!$L$27:$GI$27,"&gt;="&amp;$BR189,'Tally Helper'!$L$27:$GI$27,"&lt;="&amp;$BS189)))</f>
        <v/>
      </c>
      <c r="AG189" s="17" t="str">
        <f aca="false">IF(OR(K$7="",$BR189=""),"",IF('Tally Helper'!$B$30&lt;&gt;TRUE(),"not on Staff",SUMIFS('Tally Helper'!$L$32:$GI$32,'Tally Helper'!$L$30:$GI$30,"&gt;="&amp;$BR189,'Tally Helper'!$L$30:$GI$30,"&lt;="&amp;$BS189)))</f>
        <v/>
      </c>
      <c r="AH189" s="17" t="str">
        <f aca="false">IF(OR(L$7="",$BR189=""),"",IF('Tally Helper'!$B$33&lt;&gt;TRUE(),"not on Staff",SUMIFS('Tally Helper'!$L$35:$GI$35,'Tally Helper'!$L$33:$GI$33,"&gt;="&amp;$BR189,'Tally Helper'!$L$33:$GI$33,"&lt;="&amp;$BS189)))</f>
        <v/>
      </c>
      <c r="AI189" s="17" t="str">
        <f aca="false">IF(OR(M$7="",$BR189=""),"",IF('Tally Helper'!$B$36&lt;&gt;TRUE(),"not on Staff",SUMIFS('Tally Helper'!$L$38:$GI$38,'Tally Helper'!$L$36:$GI$36,"&gt;="&amp;$BR189,'Tally Helper'!$L$36:$GI$36,"&lt;="&amp;$BS189)))</f>
        <v/>
      </c>
      <c r="AJ189" s="17" t="str">
        <f aca="false">IF(OR(N$7="",$BR189=""),"",IF('Tally Helper'!$B$39&lt;&gt;TRUE(),"not on Staff",SUMIFS('Tally Helper'!$L$41:$GI$41,'Tally Helper'!$L$39:$GI$39,"&gt;="&amp;$BR189,'Tally Helper'!$L$39:$GI$39,"&lt;="&amp;$BS189)))</f>
        <v/>
      </c>
      <c r="AK189" s="17" t="str">
        <f aca="false">IF(OR(O$7="",$BR189=""),"",IF('Tally Helper'!$B$42&lt;&gt;TRUE(),"not on Staff",SUMIFS('Tally Helper'!$L$44:$GI$44,'Tally Helper'!$L$42:$GI$42,"&gt;="&amp;$BR189,'Tally Helper'!$L$42:$GI$42,"&lt;="&amp;$BS189)))</f>
        <v/>
      </c>
      <c r="AL189" s="17" t="str">
        <f aca="false">IF(OR(P$7="",$BR189=""),"",IF('Tally Helper'!$B$45&lt;&gt;TRUE(),"not on Staff",SUMIFS('Tally Helper'!$L$47:$GI$47,'Tally Helper'!$L$45:$GI$45,"&gt;="&amp;$BR189,'Tally Helper'!$L$45:$GI$45,"&lt;="&amp;$BS189)))</f>
        <v/>
      </c>
      <c r="AM189" s="17" t="str">
        <f aca="false">IF(OR(Q$7="",$BR189=""),"",IF('Tally Helper'!$B$48&lt;&gt;TRUE(),"not on Staff",SUMIFS('Tally Helper'!$L$50:$GI$50,'Tally Helper'!$L$48:$GI$48,"&gt;="&amp;$BR189,'Tally Helper'!$L$48:$GI$48,"&lt;="&amp;$BS189)))</f>
        <v/>
      </c>
      <c r="AN189" s="17" t="str">
        <f aca="false">IF(OR(R$7="",$BR189=""),"",IF('Tally Helper'!$B$51&lt;&gt;TRUE(),"not on Staff",SUMIFS('Tally Helper'!$L$53:$GI$53,'Tally Helper'!$L$51:$GI$51,"&gt;="&amp;$BR189,'Tally Helper'!$L$51:$GI$51,"&lt;="&amp;$BS189)))</f>
        <v/>
      </c>
      <c r="AO189" s="17" t="str">
        <f aca="false">IF(OR(S$7="",$BR189=""),"",IF('Tally Helper'!$B$54&lt;&gt;TRUE(),"not on Staff",SUMIFS('Tally Helper'!$L$56:$GI$56,'Tally Helper'!$L$54:$GI$54,"&gt;="&amp;$BR189,'Tally Helper'!$L$54:$GI$54,"&lt;="&amp;$BS189)))</f>
        <v/>
      </c>
      <c r="AP189" s="17" t="str">
        <f aca="false">IF(OR(T$7="",$BR189=""),"",IF('Tally Helper'!$B$57&lt;&gt;TRUE(),"not on Staff",SUMIFS('Tally Helper'!$L$59:$GI$59,'Tally Helper'!$L$57:$GI$57,"&gt;="&amp;$BR189,'Tally Helper'!$L$57:$GI$57,"&lt;="&amp;$BS189)))</f>
        <v/>
      </c>
      <c r="AQ189" s="17" t="str">
        <f aca="false">IF(OR(U$7="",$BR189=""),"",IF('Tally Helper'!$B$60&lt;&gt;TRUE(),"not on Staff",SUMIFS('Tally Helper'!$L$62:$GI$62,'Tally Helper'!$L$60:$GI$60,"&gt;="&amp;$BR189,'Tally Helper'!$L$60:$GI$60,"&lt;="&amp;$BS189)))</f>
        <v/>
      </c>
      <c r="AT189" s="17" t="str">
        <f aca="false">IF(OR(X189="",NOT(ISNUMBER(X189))),"",X189-N(B189))</f>
        <v/>
      </c>
      <c r="AU189" s="17" t="str">
        <f aca="false">IF(OR(Y189="",NOT(ISNUMBER(Y189))),"",Y189-N(C189))</f>
        <v/>
      </c>
      <c r="AV189" s="17" t="str">
        <f aca="false">IF(OR(Z189="",NOT(ISNUMBER(Z189))),"",Z189-N(D189))</f>
        <v/>
      </c>
      <c r="AW189" s="17" t="str">
        <f aca="false">IF(OR(AA189="",NOT(ISNUMBER(AA189))),"",AA189-N(E189))</f>
        <v/>
      </c>
      <c r="AX189" s="17" t="str">
        <f aca="false">IF(OR(AB189="",NOT(ISNUMBER(AB189))),"",AB189-N(F189))</f>
        <v/>
      </c>
      <c r="AY189" s="17" t="str">
        <f aca="false">IF(OR(AC189="",NOT(ISNUMBER(AC189))),"",AC189-N(G189))</f>
        <v/>
      </c>
      <c r="AZ189" s="17" t="str">
        <f aca="false">IF(OR(AD189="",NOT(ISNUMBER(AD189))),"",AD189-N(H189))</f>
        <v/>
      </c>
      <c r="BA189" s="17" t="str">
        <f aca="false">IF(OR(AE189="",NOT(ISNUMBER(AE189))),"",AE189-N(I189))</f>
        <v/>
      </c>
      <c r="BB189" s="17" t="str">
        <f aca="false">IF(OR(AF189="",NOT(ISNUMBER(AF189))),"",AF189-N(J189))</f>
        <v/>
      </c>
      <c r="BC189" s="17" t="str">
        <f aca="false">IF(OR(AG189="",NOT(ISNUMBER(AG189))),"",AG189-N(K189))</f>
        <v/>
      </c>
      <c r="BD189" s="17" t="str">
        <f aca="false">IF(OR(AH189="",NOT(ISNUMBER(AH189))),"",AH189-N(L189))</f>
        <v/>
      </c>
      <c r="BE189" s="17" t="str">
        <f aca="false">IF(OR(AI189="",NOT(ISNUMBER(AI189))),"",AI189-N(M189))</f>
        <v/>
      </c>
      <c r="BF189" s="17" t="str">
        <f aca="false">IF(OR(AJ189="",NOT(ISNUMBER(AJ189))),"",AJ189-N(N189))</f>
        <v/>
      </c>
      <c r="BG189" s="17" t="str">
        <f aca="false">IF(OR(AK189="",NOT(ISNUMBER(AK189))),"",AK189-N(O189))</f>
        <v/>
      </c>
      <c r="BH189" s="17" t="str">
        <f aca="false">IF(OR(AL189="",NOT(ISNUMBER(AL189))),"",AL189-N(P189))</f>
        <v/>
      </c>
      <c r="BI189" s="17" t="str">
        <f aca="false">IF(OR(AM189="",NOT(ISNUMBER(AM189))),"",AM189-N(Q189))</f>
        <v/>
      </c>
      <c r="BJ189" s="17" t="str">
        <f aca="false">IF(OR(AN189="",NOT(ISNUMBER(AN189))),"",AN189-N(R189))</f>
        <v/>
      </c>
      <c r="BK189" s="17" t="str">
        <f aca="false">IF(OR(AO189="",NOT(ISNUMBER(AO189))),"",AO189-N(S189))</f>
        <v/>
      </c>
      <c r="BL189" s="17" t="str">
        <f aca="false">IF(OR(AP189="",NOT(ISNUMBER(AP189))),"",AP189-N(T189))</f>
        <v/>
      </c>
      <c r="BM189" s="17" t="str">
        <f aca="false">IF(OR(AQ189="",NOT(ISNUMBER(AQ189))),"",AQ189-N(U189))</f>
        <v/>
      </c>
      <c r="BR189" s="20" t="str">
        <f aca="false">IF($A189="","",IF(ISNUMBER($A189),DATE(YEAR($A189),MONTH($A189),1),IFERROR(DATE(2000+VALUE(RIGHT(TRIM($A189),2)),MATCH(UPPER(LEFT(TRIM($A189),3)),{"JAN","FEB","MAR","APR","MAY","JUN","JUL","AUG","SEP","OCT","NOV","DEC"},0),1),"")))</f>
        <v/>
      </c>
      <c r="BS189" s="20" t="str">
        <f aca="false">IF(BR189="","",EOMONTH(BR189,0))</f>
        <v/>
      </c>
    </row>
    <row r="190" customFormat="false" ht="15" hidden="false" customHeight="false" outlineLevel="0" collapsed="false">
      <c r="B190" s="21"/>
      <c r="C190" s="21"/>
      <c r="D190" s="21"/>
      <c r="E190" s="21"/>
      <c r="F190" s="21"/>
      <c r="G190" s="21"/>
      <c r="H190" s="21"/>
      <c r="I190" s="21"/>
      <c r="J190" s="21"/>
      <c r="K190" s="21"/>
      <c r="L190" s="21"/>
      <c r="M190" s="21"/>
      <c r="N190" s="21"/>
      <c r="O190" s="21"/>
      <c r="P190" s="21"/>
      <c r="Q190" s="21"/>
      <c r="R190" s="21"/>
      <c r="S190" s="21"/>
      <c r="T190" s="21"/>
      <c r="U190" s="21"/>
      <c r="X190" s="17" t="str">
        <f aca="false">IF(OR(B$7="",$BR190=""),"",IF('Tally Helper'!$B$3&lt;&gt;TRUE(),"not on Staff",SUMIFS('Tally Helper'!$L$5:$GI$5,'Tally Helper'!$L$3:$GI$3,"&gt;="&amp;$BR190,'Tally Helper'!$L$3:$GI$3,"&lt;="&amp;$BS190)))</f>
        <v/>
      </c>
      <c r="Y190" s="17" t="str">
        <f aca="false">IF(OR(C$7="",$BR190=""),"",IF('Tally Helper'!$B$6&lt;&gt;TRUE(),"not on Staff",SUMIFS('Tally Helper'!$L$8:$GI$8,'Tally Helper'!$L$6:$GI$6,"&gt;="&amp;$BR190,'Tally Helper'!$L$6:$GI$6,"&lt;="&amp;$BS190)))</f>
        <v/>
      </c>
      <c r="Z190" s="17" t="str">
        <f aca="false">IF(OR(D$7="",$BR190=""),"",IF('Tally Helper'!$B$9&lt;&gt;TRUE(),"not on Staff",SUMIFS('Tally Helper'!$L$11:$GI$11,'Tally Helper'!$L$9:$GI$9,"&gt;="&amp;$BR190,'Tally Helper'!$L$9:$GI$9,"&lt;="&amp;$BS190)))</f>
        <v/>
      </c>
      <c r="AA190" s="17" t="str">
        <f aca="false">IF(OR(E$7="",$BR190=""),"",IF('Tally Helper'!$B$12&lt;&gt;TRUE(),"not on Staff",SUMIFS('Tally Helper'!$L$14:$GI$14,'Tally Helper'!$L$12:$GI$12,"&gt;="&amp;$BR190,'Tally Helper'!$L$12:$GI$12,"&lt;="&amp;$BS190)))</f>
        <v/>
      </c>
      <c r="AB190" s="17" t="str">
        <f aca="false">IF(OR(F$7="",$BR190=""),"",IF('Tally Helper'!$B$15&lt;&gt;TRUE(),"not on Staff",SUMIFS('Tally Helper'!$L$17:$GI$17,'Tally Helper'!$L$15:$GI$15,"&gt;="&amp;$BR190,'Tally Helper'!$L$15:$GI$15,"&lt;="&amp;$BS190)))</f>
        <v/>
      </c>
      <c r="AC190" s="17" t="str">
        <f aca="false">IF(OR(G$7="",$BR190=""),"",IF('Tally Helper'!$B$18&lt;&gt;TRUE(),"not on Staff",SUMIFS('Tally Helper'!$L$20:$GI$20,'Tally Helper'!$L$18:$GI$18,"&gt;="&amp;$BR190,'Tally Helper'!$L$18:$GI$18,"&lt;="&amp;$BS190)))</f>
        <v/>
      </c>
      <c r="AD190" s="17" t="str">
        <f aca="false">IF(OR(H$7="",$BR190=""),"",IF('Tally Helper'!$B$21&lt;&gt;TRUE(),"not on Staff",SUMIFS('Tally Helper'!$L$23:$GI$23,'Tally Helper'!$L$21:$GI$21,"&gt;="&amp;$BR190,'Tally Helper'!$L$21:$GI$21,"&lt;="&amp;$BS190)))</f>
        <v/>
      </c>
      <c r="AE190" s="17" t="str">
        <f aca="false">IF(OR(I$7="",$BR190=""),"",IF('Tally Helper'!$B$24&lt;&gt;TRUE(),"not on Staff",SUMIFS('Tally Helper'!$L$26:$GI$26,'Tally Helper'!$L$24:$GI$24,"&gt;="&amp;$BR190,'Tally Helper'!$L$24:$GI$24,"&lt;="&amp;$BS190)))</f>
        <v/>
      </c>
      <c r="AF190" s="17" t="str">
        <f aca="false">IF(OR(J$7="",$BR190=""),"",IF('Tally Helper'!$B$27&lt;&gt;TRUE(),"not on Staff",SUMIFS('Tally Helper'!$L$29:$GI$29,'Tally Helper'!$L$27:$GI$27,"&gt;="&amp;$BR190,'Tally Helper'!$L$27:$GI$27,"&lt;="&amp;$BS190)))</f>
        <v/>
      </c>
      <c r="AG190" s="17" t="str">
        <f aca="false">IF(OR(K$7="",$BR190=""),"",IF('Tally Helper'!$B$30&lt;&gt;TRUE(),"not on Staff",SUMIFS('Tally Helper'!$L$32:$GI$32,'Tally Helper'!$L$30:$GI$30,"&gt;="&amp;$BR190,'Tally Helper'!$L$30:$GI$30,"&lt;="&amp;$BS190)))</f>
        <v/>
      </c>
      <c r="AH190" s="17" t="str">
        <f aca="false">IF(OR(L$7="",$BR190=""),"",IF('Tally Helper'!$B$33&lt;&gt;TRUE(),"not on Staff",SUMIFS('Tally Helper'!$L$35:$GI$35,'Tally Helper'!$L$33:$GI$33,"&gt;="&amp;$BR190,'Tally Helper'!$L$33:$GI$33,"&lt;="&amp;$BS190)))</f>
        <v/>
      </c>
      <c r="AI190" s="17" t="str">
        <f aca="false">IF(OR(M$7="",$BR190=""),"",IF('Tally Helper'!$B$36&lt;&gt;TRUE(),"not on Staff",SUMIFS('Tally Helper'!$L$38:$GI$38,'Tally Helper'!$L$36:$GI$36,"&gt;="&amp;$BR190,'Tally Helper'!$L$36:$GI$36,"&lt;="&amp;$BS190)))</f>
        <v/>
      </c>
      <c r="AJ190" s="17" t="str">
        <f aca="false">IF(OR(N$7="",$BR190=""),"",IF('Tally Helper'!$B$39&lt;&gt;TRUE(),"not on Staff",SUMIFS('Tally Helper'!$L$41:$GI$41,'Tally Helper'!$L$39:$GI$39,"&gt;="&amp;$BR190,'Tally Helper'!$L$39:$GI$39,"&lt;="&amp;$BS190)))</f>
        <v/>
      </c>
      <c r="AK190" s="17" t="str">
        <f aca="false">IF(OR(O$7="",$BR190=""),"",IF('Tally Helper'!$B$42&lt;&gt;TRUE(),"not on Staff",SUMIFS('Tally Helper'!$L$44:$GI$44,'Tally Helper'!$L$42:$GI$42,"&gt;="&amp;$BR190,'Tally Helper'!$L$42:$GI$42,"&lt;="&amp;$BS190)))</f>
        <v/>
      </c>
      <c r="AL190" s="17" t="str">
        <f aca="false">IF(OR(P$7="",$BR190=""),"",IF('Tally Helper'!$B$45&lt;&gt;TRUE(),"not on Staff",SUMIFS('Tally Helper'!$L$47:$GI$47,'Tally Helper'!$L$45:$GI$45,"&gt;="&amp;$BR190,'Tally Helper'!$L$45:$GI$45,"&lt;="&amp;$BS190)))</f>
        <v/>
      </c>
      <c r="AM190" s="17" t="str">
        <f aca="false">IF(OR(Q$7="",$BR190=""),"",IF('Tally Helper'!$B$48&lt;&gt;TRUE(),"not on Staff",SUMIFS('Tally Helper'!$L$50:$GI$50,'Tally Helper'!$L$48:$GI$48,"&gt;="&amp;$BR190,'Tally Helper'!$L$48:$GI$48,"&lt;="&amp;$BS190)))</f>
        <v/>
      </c>
      <c r="AN190" s="17" t="str">
        <f aca="false">IF(OR(R$7="",$BR190=""),"",IF('Tally Helper'!$B$51&lt;&gt;TRUE(),"not on Staff",SUMIFS('Tally Helper'!$L$53:$GI$53,'Tally Helper'!$L$51:$GI$51,"&gt;="&amp;$BR190,'Tally Helper'!$L$51:$GI$51,"&lt;="&amp;$BS190)))</f>
        <v/>
      </c>
      <c r="AO190" s="17" t="str">
        <f aca="false">IF(OR(S$7="",$BR190=""),"",IF('Tally Helper'!$B$54&lt;&gt;TRUE(),"not on Staff",SUMIFS('Tally Helper'!$L$56:$GI$56,'Tally Helper'!$L$54:$GI$54,"&gt;="&amp;$BR190,'Tally Helper'!$L$54:$GI$54,"&lt;="&amp;$BS190)))</f>
        <v/>
      </c>
      <c r="AP190" s="17" t="str">
        <f aca="false">IF(OR(T$7="",$BR190=""),"",IF('Tally Helper'!$B$57&lt;&gt;TRUE(),"not on Staff",SUMIFS('Tally Helper'!$L$59:$GI$59,'Tally Helper'!$L$57:$GI$57,"&gt;="&amp;$BR190,'Tally Helper'!$L$57:$GI$57,"&lt;="&amp;$BS190)))</f>
        <v/>
      </c>
      <c r="AQ190" s="17" t="str">
        <f aca="false">IF(OR(U$7="",$BR190=""),"",IF('Tally Helper'!$B$60&lt;&gt;TRUE(),"not on Staff",SUMIFS('Tally Helper'!$L$62:$GI$62,'Tally Helper'!$L$60:$GI$60,"&gt;="&amp;$BR190,'Tally Helper'!$L$60:$GI$60,"&lt;="&amp;$BS190)))</f>
        <v/>
      </c>
      <c r="AT190" s="17" t="str">
        <f aca="false">IF(OR(X190="",NOT(ISNUMBER(X190))),"",X190-N(B190))</f>
        <v/>
      </c>
      <c r="AU190" s="17" t="str">
        <f aca="false">IF(OR(Y190="",NOT(ISNUMBER(Y190))),"",Y190-N(C190))</f>
        <v/>
      </c>
      <c r="AV190" s="17" t="str">
        <f aca="false">IF(OR(Z190="",NOT(ISNUMBER(Z190))),"",Z190-N(D190))</f>
        <v/>
      </c>
      <c r="AW190" s="17" t="str">
        <f aca="false">IF(OR(AA190="",NOT(ISNUMBER(AA190))),"",AA190-N(E190))</f>
        <v/>
      </c>
      <c r="AX190" s="17" t="str">
        <f aca="false">IF(OR(AB190="",NOT(ISNUMBER(AB190))),"",AB190-N(F190))</f>
        <v/>
      </c>
      <c r="AY190" s="17" t="str">
        <f aca="false">IF(OR(AC190="",NOT(ISNUMBER(AC190))),"",AC190-N(G190))</f>
        <v/>
      </c>
      <c r="AZ190" s="17" t="str">
        <f aca="false">IF(OR(AD190="",NOT(ISNUMBER(AD190))),"",AD190-N(H190))</f>
        <v/>
      </c>
      <c r="BA190" s="17" t="str">
        <f aca="false">IF(OR(AE190="",NOT(ISNUMBER(AE190))),"",AE190-N(I190))</f>
        <v/>
      </c>
      <c r="BB190" s="17" t="str">
        <f aca="false">IF(OR(AF190="",NOT(ISNUMBER(AF190))),"",AF190-N(J190))</f>
        <v/>
      </c>
      <c r="BC190" s="17" t="str">
        <f aca="false">IF(OR(AG190="",NOT(ISNUMBER(AG190))),"",AG190-N(K190))</f>
        <v/>
      </c>
      <c r="BD190" s="17" t="str">
        <f aca="false">IF(OR(AH190="",NOT(ISNUMBER(AH190))),"",AH190-N(L190))</f>
        <v/>
      </c>
      <c r="BE190" s="17" t="str">
        <f aca="false">IF(OR(AI190="",NOT(ISNUMBER(AI190))),"",AI190-N(M190))</f>
        <v/>
      </c>
      <c r="BF190" s="17" t="str">
        <f aca="false">IF(OR(AJ190="",NOT(ISNUMBER(AJ190))),"",AJ190-N(N190))</f>
        <v/>
      </c>
      <c r="BG190" s="17" t="str">
        <f aca="false">IF(OR(AK190="",NOT(ISNUMBER(AK190))),"",AK190-N(O190))</f>
        <v/>
      </c>
      <c r="BH190" s="17" t="str">
        <f aca="false">IF(OR(AL190="",NOT(ISNUMBER(AL190))),"",AL190-N(P190))</f>
        <v/>
      </c>
      <c r="BI190" s="17" t="str">
        <f aca="false">IF(OR(AM190="",NOT(ISNUMBER(AM190))),"",AM190-N(Q190))</f>
        <v/>
      </c>
      <c r="BJ190" s="17" t="str">
        <f aca="false">IF(OR(AN190="",NOT(ISNUMBER(AN190))),"",AN190-N(R190))</f>
        <v/>
      </c>
      <c r="BK190" s="17" t="str">
        <f aca="false">IF(OR(AO190="",NOT(ISNUMBER(AO190))),"",AO190-N(S190))</f>
        <v/>
      </c>
      <c r="BL190" s="17" t="str">
        <f aca="false">IF(OR(AP190="",NOT(ISNUMBER(AP190))),"",AP190-N(T190))</f>
        <v/>
      </c>
      <c r="BM190" s="17" t="str">
        <f aca="false">IF(OR(AQ190="",NOT(ISNUMBER(AQ190))),"",AQ190-N(U190))</f>
        <v/>
      </c>
      <c r="BR190" s="20" t="str">
        <f aca="false">IF($A190="","",IF(ISNUMBER($A190),DATE(YEAR($A190),MONTH($A190),1),IFERROR(DATE(2000+VALUE(RIGHT(TRIM($A190),2)),MATCH(UPPER(LEFT(TRIM($A190),3)),{"JAN","FEB","MAR","APR","MAY","JUN","JUL","AUG","SEP","OCT","NOV","DEC"},0),1),"")))</f>
        <v/>
      </c>
      <c r="BS190" s="20" t="str">
        <f aca="false">IF(BR190="","",EOMONTH(BR190,0))</f>
        <v/>
      </c>
    </row>
    <row r="191" customFormat="false" ht="15" hidden="false" customHeight="false" outlineLevel="0" collapsed="false">
      <c r="B191" s="21"/>
      <c r="C191" s="21"/>
      <c r="D191" s="21"/>
      <c r="E191" s="21"/>
      <c r="F191" s="21"/>
      <c r="G191" s="21"/>
      <c r="H191" s="21"/>
      <c r="I191" s="21"/>
      <c r="J191" s="21"/>
      <c r="K191" s="21"/>
      <c r="L191" s="21"/>
      <c r="M191" s="21"/>
      <c r="N191" s="21"/>
      <c r="O191" s="21"/>
      <c r="P191" s="21"/>
      <c r="Q191" s="21"/>
      <c r="R191" s="21"/>
      <c r="S191" s="21"/>
      <c r="T191" s="21"/>
      <c r="U191" s="21"/>
      <c r="X191" s="17" t="str">
        <f aca="false">IF(OR(B$7="",$BR191=""),"",IF('Tally Helper'!$B$3&lt;&gt;TRUE(),"not on Staff",SUMIFS('Tally Helper'!$L$5:$GI$5,'Tally Helper'!$L$3:$GI$3,"&gt;="&amp;$BR191,'Tally Helper'!$L$3:$GI$3,"&lt;="&amp;$BS191)))</f>
        <v/>
      </c>
      <c r="Y191" s="17" t="str">
        <f aca="false">IF(OR(C$7="",$BR191=""),"",IF('Tally Helper'!$B$6&lt;&gt;TRUE(),"not on Staff",SUMIFS('Tally Helper'!$L$8:$GI$8,'Tally Helper'!$L$6:$GI$6,"&gt;="&amp;$BR191,'Tally Helper'!$L$6:$GI$6,"&lt;="&amp;$BS191)))</f>
        <v/>
      </c>
      <c r="Z191" s="17" t="str">
        <f aca="false">IF(OR(D$7="",$BR191=""),"",IF('Tally Helper'!$B$9&lt;&gt;TRUE(),"not on Staff",SUMIFS('Tally Helper'!$L$11:$GI$11,'Tally Helper'!$L$9:$GI$9,"&gt;="&amp;$BR191,'Tally Helper'!$L$9:$GI$9,"&lt;="&amp;$BS191)))</f>
        <v/>
      </c>
      <c r="AA191" s="17" t="str">
        <f aca="false">IF(OR(E$7="",$BR191=""),"",IF('Tally Helper'!$B$12&lt;&gt;TRUE(),"not on Staff",SUMIFS('Tally Helper'!$L$14:$GI$14,'Tally Helper'!$L$12:$GI$12,"&gt;="&amp;$BR191,'Tally Helper'!$L$12:$GI$12,"&lt;="&amp;$BS191)))</f>
        <v/>
      </c>
      <c r="AB191" s="17" t="str">
        <f aca="false">IF(OR(F$7="",$BR191=""),"",IF('Tally Helper'!$B$15&lt;&gt;TRUE(),"not on Staff",SUMIFS('Tally Helper'!$L$17:$GI$17,'Tally Helper'!$L$15:$GI$15,"&gt;="&amp;$BR191,'Tally Helper'!$L$15:$GI$15,"&lt;="&amp;$BS191)))</f>
        <v/>
      </c>
      <c r="AC191" s="17" t="str">
        <f aca="false">IF(OR(G$7="",$BR191=""),"",IF('Tally Helper'!$B$18&lt;&gt;TRUE(),"not on Staff",SUMIFS('Tally Helper'!$L$20:$GI$20,'Tally Helper'!$L$18:$GI$18,"&gt;="&amp;$BR191,'Tally Helper'!$L$18:$GI$18,"&lt;="&amp;$BS191)))</f>
        <v/>
      </c>
      <c r="AD191" s="17" t="str">
        <f aca="false">IF(OR(H$7="",$BR191=""),"",IF('Tally Helper'!$B$21&lt;&gt;TRUE(),"not on Staff",SUMIFS('Tally Helper'!$L$23:$GI$23,'Tally Helper'!$L$21:$GI$21,"&gt;="&amp;$BR191,'Tally Helper'!$L$21:$GI$21,"&lt;="&amp;$BS191)))</f>
        <v/>
      </c>
      <c r="AE191" s="17" t="str">
        <f aca="false">IF(OR(I$7="",$BR191=""),"",IF('Tally Helper'!$B$24&lt;&gt;TRUE(),"not on Staff",SUMIFS('Tally Helper'!$L$26:$GI$26,'Tally Helper'!$L$24:$GI$24,"&gt;="&amp;$BR191,'Tally Helper'!$L$24:$GI$24,"&lt;="&amp;$BS191)))</f>
        <v/>
      </c>
      <c r="AF191" s="17" t="str">
        <f aca="false">IF(OR(J$7="",$BR191=""),"",IF('Tally Helper'!$B$27&lt;&gt;TRUE(),"not on Staff",SUMIFS('Tally Helper'!$L$29:$GI$29,'Tally Helper'!$L$27:$GI$27,"&gt;="&amp;$BR191,'Tally Helper'!$L$27:$GI$27,"&lt;="&amp;$BS191)))</f>
        <v/>
      </c>
      <c r="AG191" s="17" t="str">
        <f aca="false">IF(OR(K$7="",$BR191=""),"",IF('Tally Helper'!$B$30&lt;&gt;TRUE(),"not on Staff",SUMIFS('Tally Helper'!$L$32:$GI$32,'Tally Helper'!$L$30:$GI$30,"&gt;="&amp;$BR191,'Tally Helper'!$L$30:$GI$30,"&lt;="&amp;$BS191)))</f>
        <v/>
      </c>
      <c r="AH191" s="17" t="str">
        <f aca="false">IF(OR(L$7="",$BR191=""),"",IF('Tally Helper'!$B$33&lt;&gt;TRUE(),"not on Staff",SUMIFS('Tally Helper'!$L$35:$GI$35,'Tally Helper'!$L$33:$GI$33,"&gt;="&amp;$BR191,'Tally Helper'!$L$33:$GI$33,"&lt;="&amp;$BS191)))</f>
        <v/>
      </c>
      <c r="AI191" s="17" t="str">
        <f aca="false">IF(OR(M$7="",$BR191=""),"",IF('Tally Helper'!$B$36&lt;&gt;TRUE(),"not on Staff",SUMIFS('Tally Helper'!$L$38:$GI$38,'Tally Helper'!$L$36:$GI$36,"&gt;="&amp;$BR191,'Tally Helper'!$L$36:$GI$36,"&lt;="&amp;$BS191)))</f>
        <v/>
      </c>
      <c r="AJ191" s="17" t="str">
        <f aca="false">IF(OR(N$7="",$BR191=""),"",IF('Tally Helper'!$B$39&lt;&gt;TRUE(),"not on Staff",SUMIFS('Tally Helper'!$L$41:$GI$41,'Tally Helper'!$L$39:$GI$39,"&gt;="&amp;$BR191,'Tally Helper'!$L$39:$GI$39,"&lt;="&amp;$BS191)))</f>
        <v/>
      </c>
      <c r="AK191" s="17" t="str">
        <f aca="false">IF(OR(O$7="",$BR191=""),"",IF('Tally Helper'!$B$42&lt;&gt;TRUE(),"not on Staff",SUMIFS('Tally Helper'!$L$44:$GI$44,'Tally Helper'!$L$42:$GI$42,"&gt;="&amp;$BR191,'Tally Helper'!$L$42:$GI$42,"&lt;="&amp;$BS191)))</f>
        <v/>
      </c>
      <c r="AL191" s="17" t="str">
        <f aca="false">IF(OR(P$7="",$BR191=""),"",IF('Tally Helper'!$B$45&lt;&gt;TRUE(),"not on Staff",SUMIFS('Tally Helper'!$L$47:$GI$47,'Tally Helper'!$L$45:$GI$45,"&gt;="&amp;$BR191,'Tally Helper'!$L$45:$GI$45,"&lt;="&amp;$BS191)))</f>
        <v/>
      </c>
      <c r="AM191" s="17" t="str">
        <f aca="false">IF(OR(Q$7="",$BR191=""),"",IF('Tally Helper'!$B$48&lt;&gt;TRUE(),"not on Staff",SUMIFS('Tally Helper'!$L$50:$GI$50,'Tally Helper'!$L$48:$GI$48,"&gt;="&amp;$BR191,'Tally Helper'!$L$48:$GI$48,"&lt;="&amp;$BS191)))</f>
        <v/>
      </c>
      <c r="AN191" s="17" t="str">
        <f aca="false">IF(OR(R$7="",$BR191=""),"",IF('Tally Helper'!$B$51&lt;&gt;TRUE(),"not on Staff",SUMIFS('Tally Helper'!$L$53:$GI$53,'Tally Helper'!$L$51:$GI$51,"&gt;="&amp;$BR191,'Tally Helper'!$L$51:$GI$51,"&lt;="&amp;$BS191)))</f>
        <v/>
      </c>
      <c r="AO191" s="17" t="str">
        <f aca="false">IF(OR(S$7="",$BR191=""),"",IF('Tally Helper'!$B$54&lt;&gt;TRUE(),"not on Staff",SUMIFS('Tally Helper'!$L$56:$GI$56,'Tally Helper'!$L$54:$GI$54,"&gt;="&amp;$BR191,'Tally Helper'!$L$54:$GI$54,"&lt;="&amp;$BS191)))</f>
        <v/>
      </c>
      <c r="AP191" s="17" t="str">
        <f aca="false">IF(OR(T$7="",$BR191=""),"",IF('Tally Helper'!$B$57&lt;&gt;TRUE(),"not on Staff",SUMIFS('Tally Helper'!$L$59:$GI$59,'Tally Helper'!$L$57:$GI$57,"&gt;="&amp;$BR191,'Tally Helper'!$L$57:$GI$57,"&lt;="&amp;$BS191)))</f>
        <v/>
      </c>
      <c r="AQ191" s="17" t="str">
        <f aca="false">IF(OR(U$7="",$BR191=""),"",IF('Tally Helper'!$B$60&lt;&gt;TRUE(),"not on Staff",SUMIFS('Tally Helper'!$L$62:$GI$62,'Tally Helper'!$L$60:$GI$60,"&gt;="&amp;$BR191,'Tally Helper'!$L$60:$GI$60,"&lt;="&amp;$BS191)))</f>
        <v/>
      </c>
      <c r="AT191" s="17" t="str">
        <f aca="false">IF(OR(X191="",NOT(ISNUMBER(X191))),"",X191-N(B191))</f>
        <v/>
      </c>
      <c r="AU191" s="17" t="str">
        <f aca="false">IF(OR(Y191="",NOT(ISNUMBER(Y191))),"",Y191-N(C191))</f>
        <v/>
      </c>
      <c r="AV191" s="17" t="str">
        <f aca="false">IF(OR(Z191="",NOT(ISNUMBER(Z191))),"",Z191-N(D191))</f>
        <v/>
      </c>
      <c r="AW191" s="17" t="str">
        <f aca="false">IF(OR(AA191="",NOT(ISNUMBER(AA191))),"",AA191-N(E191))</f>
        <v/>
      </c>
      <c r="AX191" s="17" t="str">
        <f aca="false">IF(OR(AB191="",NOT(ISNUMBER(AB191))),"",AB191-N(F191))</f>
        <v/>
      </c>
      <c r="AY191" s="17" t="str">
        <f aca="false">IF(OR(AC191="",NOT(ISNUMBER(AC191))),"",AC191-N(G191))</f>
        <v/>
      </c>
      <c r="AZ191" s="17" t="str">
        <f aca="false">IF(OR(AD191="",NOT(ISNUMBER(AD191))),"",AD191-N(H191))</f>
        <v/>
      </c>
      <c r="BA191" s="17" t="str">
        <f aca="false">IF(OR(AE191="",NOT(ISNUMBER(AE191))),"",AE191-N(I191))</f>
        <v/>
      </c>
      <c r="BB191" s="17" t="str">
        <f aca="false">IF(OR(AF191="",NOT(ISNUMBER(AF191))),"",AF191-N(J191))</f>
        <v/>
      </c>
      <c r="BC191" s="17" t="str">
        <f aca="false">IF(OR(AG191="",NOT(ISNUMBER(AG191))),"",AG191-N(K191))</f>
        <v/>
      </c>
      <c r="BD191" s="17" t="str">
        <f aca="false">IF(OR(AH191="",NOT(ISNUMBER(AH191))),"",AH191-N(L191))</f>
        <v/>
      </c>
      <c r="BE191" s="17" t="str">
        <f aca="false">IF(OR(AI191="",NOT(ISNUMBER(AI191))),"",AI191-N(M191))</f>
        <v/>
      </c>
      <c r="BF191" s="17" t="str">
        <f aca="false">IF(OR(AJ191="",NOT(ISNUMBER(AJ191))),"",AJ191-N(N191))</f>
        <v/>
      </c>
      <c r="BG191" s="17" t="str">
        <f aca="false">IF(OR(AK191="",NOT(ISNUMBER(AK191))),"",AK191-N(O191))</f>
        <v/>
      </c>
      <c r="BH191" s="17" t="str">
        <f aca="false">IF(OR(AL191="",NOT(ISNUMBER(AL191))),"",AL191-N(P191))</f>
        <v/>
      </c>
      <c r="BI191" s="17" t="str">
        <f aca="false">IF(OR(AM191="",NOT(ISNUMBER(AM191))),"",AM191-N(Q191))</f>
        <v/>
      </c>
      <c r="BJ191" s="17" t="str">
        <f aca="false">IF(OR(AN191="",NOT(ISNUMBER(AN191))),"",AN191-N(R191))</f>
        <v/>
      </c>
      <c r="BK191" s="17" t="str">
        <f aca="false">IF(OR(AO191="",NOT(ISNUMBER(AO191))),"",AO191-N(S191))</f>
        <v/>
      </c>
      <c r="BL191" s="17" t="str">
        <f aca="false">IF(OR(AP191="",NOT(ISNUMBER(AP191))),"",AP191-N(T191))</f>
        <v/>
      </c>
      <c r="BM191" s="17" t="str">
        <f aca="false">IF(OR(AQ191="",NOT(ISNUMBER(AQ191))),"",AQ191-N(U191))</f>
        <v/>
      </c>
      <c r="BR191" s="20" t="str">
        <f aca="false">IF($A191="","",IF(ISNUMBER($A191),DATE(YEAR($A191),MONTH($A191),1),IFERROR(DATE(2000+VALUE(RIGHT(TRIM($A191),2)),MATCH(UPPER(LEFT(TRIM($A191),3)),{"JAN","FEB","MAR","APR","MAY","JUN","JUL","AUG","SEP","OCT","NOV","DEC"},0),1),"")))</f>
        <v/>
      </c>
      <c r="BS191" s="20" t="str">
        <f aca="false">IF(BR191="","",EOMONTH(BR191,0))</f>
        <v/>
      </c>
    </row>
    <row r="192" customFormat="false" ht="15" hidden="false" customHeight="false" outlineLevel="0" collapsed="false">
      <c r="B192" s="21"/>
      <c r="C192" s="21"/>
      <c r="D192" s="21"/>
      <c r="E192" s="21"/>
      <c r="F192" s="21"/>
      <c r="G192" s="21"/>
      <c r="H192" s="21"/>
      <c r="I192" s="21"/>
      <c r="J192" s="21"/>
      <c r="K192" s="21"/>
      <c r="L192" s="21"/>
      <c r="M192" s="21"/>
      <c r="N192" s="21"/>
      <c r="O192" s="21"/>
      <c r="P192" s="21"/>
      <c r="Q192" s="21"/>
      <c r="R192" s="21"/>
      <c r="S192" s="21"/>
      <c r="T192" s="21"/>
      <c r="U192" s="21"/>
      <c r="X192" s="17" t="str">
        <f aca="false">IF(OR(B$7="",$BR192=""),"",IF('Tally Helper'!$B$3&lt;&gt;TRUE(),"not on Staff",SUMIFS('Tally Helper'!$L$5:$GI$5,'Tally Helper'!$L$3:$GI$3,"&gt;="&amp;$BR192,'Tally Helper'!$L$3:$GI$3,"&lt;="&amp;$BS192)))</f>
        <v/>
      </c>
      <c r="Y192" s="17" t="str">
        <f aca="false">IF(OR(C$7="",$BR192=""),"",IF('Tally Helper'!$B$6&lt;&gt;TRUE(),"not on Staff",SUMIFS('Tally Helper'!$L$8:$GI$8,'Tally Helper'!$L$6:$GI$6,"&gt;="&amp;$BR192,'Tally Helper'!$L$6:$GI$6,"&lt;="&amp;$BS192)))</f>
        <v/>
      </c>
      <c r="Z192" s="17" t="str">
        <f aca="false">IF(OR(D$7="",$BR192=""),"",IF('Tally Helper'!$B$9&lt;&gt;TRUE(),"not on Staff",SUMIFS('Tally Helper'!$L$11:$GI$11,'Tally Helper'!$L$9:$GI$9,"&gt;="&amp;$BR192,'Tally Helper'!$L$9:$GI$9,"&lt;="&amp;$BS192)))</f>
        <v/>
      </c>
      <c r="AA192" s="17" t="str">
        <f aca="false">IF(OR(E$7="",$BR192=""),"",IF('Tally Helper'!$B$12&lt;&gt;TRUE(),"not on Staff",SUMIFS('Tally Helper'!$L$14:$GI$14,'Tally Helper'!$L$12:$GI$12,"&gt;="&amp;$BR192,'Tally Helper'!$L$12:$GI$12,"&lt;="&amp;$BS192)))</f>
        <v/>
      </c>
      <c r="AB192" s="17" t="str">
        <f aca="false">IF(OR(F$7="",$BR192=""),"",IF('Tally Helper'!$B$15&lt;&gt;TRUE(),"not on Staff",SUMIFS('Tally Helper'!$L$17:$GI$17,'Tally Helper'!$L$15:$GI$15,"&gt;="&amp;$BR192,'Tally Helper'!$L$15:$GI$15,"&lt;="&amp;$BS192)))</f>
        <v/>
      </c>
      <c r="AC192" s="17" t="str">
        <f aca="false">IF(OR(G$7="",$BR192=""),"",IF('Tally Helper'!$B$18&lt;&gt;TRUE(),"not on Staff",SUMIFS('Tally Helper'!$L$20:$GI$20,'Tally Helper'!$L$18:$GI$18,"&gt;="&amp;$BR192,'Tally Helper'!$L$18:$GI$18,"&lt;="&amp;$BS192)))</f>
        <v/>
      </c>
      <c r="AD192" s="17" t="str">
        <f aca="false">IF(OR(H$7="",$BR192=""),"",IF('Tally Helper'!$B$21&lt;&gt;TRUE(),"not on Staff",SUMIFS('Tally Helper'!$L$23:$GI$23,'Tally Helper'!$L$21:$GI$21,"&gt;="&amp;$BR192,'Tally Helper'!$L$21:$GI$21,"&lt;="&amp;$BS192)))</f>
        <v/>
      </c>
      <c r="AE192" s="17" t="str">
        <f aca="false">IF(OR(I$7="",$BR192=""),"",IF('Tally Helper'!$B$24&lt;&gt;TRUE(),"not on Staff",SUMIFS('Tally Helper'!$L$26:$GI$26,'Tally Helper'!$L$24:$GI$24,"&gt;="&amp;$BR192,'Tally Helper'!$L$24:$GI$24,"&lt;="&amp;$BS192)))</f>
        <v/>
      </c>
      <c r="AF192" s="17" t="str">
        <f aca="false">IF(OR(J$7="",$BR192=""),"",IF('Tally Helper'!$B$27&lt;&gt;TRUE(),"not on Staff",SUMIFS('Tally Helper'!$L$29:$GI$29,'Tally Helper'!$L$27:$GI$27,"&gt;="&amp;$BR192,'Tally Helper'!$L$27:$GI$27,"&lt;="&amp;$BS192)))</f>
        <v/>
      </c>
      <c r="AG192" s="17" t="str">
        <f aca="false">IF(OR(K$7="",$BR192=""),"",IF('Tally Helper'!$B$30&lt;&gt;TRUE(),"not on Staff",SUMIFS('Tally Helper'!$L$32:$GI$32,'Tally Helper'!$L$30:$GI$30,"&gt;="&amp;$BR192,'Tally Helper'!$L$30:$GI$30,"&lt;="&amp;$BS192)))</f>
        <v/>
      </c>
      <c r="AH192" s="17" t="str">
        <f aca="false">IF(OR(L$7="",$BR192=""),"",IF('Tally Helper'!$B$33&lt;&gt;TRUE(),"not on Staff",SUMIFS('Tally Helper'!$L$35:$GI$35,'Tally Helper'!$L$33:$GI$33,"&gt;="&amp;$BR192,'Tally Helper'!$L$33:$GI$33,"&lt;="&amp;$BS192)))</f>
        <v/>
      </c>
      <c r="AI192" s="17" t="str">
        <f aca="false">IF(OR(M$7="",$BR192=""),"",IF('Tally Helper'!$B$36&lt;&gt;TRUE(),"not on Staff",SUMIFS('Tally Helper'!$L$38:$GI$38,'Tally Helper'!$L$36:$GI$36,"&gt;="&amp;$BR192,'Tally Helper'!$L$36:$GI$36,"&lt;="&amp;$BS192)))</f>
        <v/>
      </c>
      <c r="AJ192" s="17" t="str">
        <f aca="false">IF(OR(N$7="",$BR192=""),"",IF('Tally Helper'!$B$39&lt;&gt;TRUE(),"not on Staff",SUMIFS('Tally Helper'!$L$41:$GI$41,'Tally Helper'!$L$39:$GI$39,"&gt;="&amp;$BR192,'Tally Helper'!$L$39:$GI$39,"&lt;="&amp;$BS192)))</f>
        <v/>
      </c>
      <c r="AK192" s="17" t="str">
        <f aca="false">IF(OR(O$7="",$BR192=""),"",IF('Tally Helper'!$B$42&lt;&gt;TRUE(),"not on Staff",SUMIFS('Tally Helper'!$L$44:$GI$44,'Tally Helper'!$L$42:$GI$42,"&gt;="&amp;$BR192,'Tally Helper'!$L$42:$GI$42,"&lt;="&amp;$BS192)))</f>
        <v/>
      </c>
      <c r="AL192" s="17" t="str">
        <f aca="false">IF(OR(P$7="",$BR192=""),"",IF('Tally Helper'!$B$45&lt;&gt;TRUE(),"not on Staff",SUMIFS('Tally Helper'!$L$47:$GI$47,'Tally Helper'!$L$45:$GI$45,"&gt;="&amp;$BR192,'Tally Helper'!$L$45:$GI$45,"&lt;="&amp;$BS192)))</f>
        <v/>
      </c>
      <c r="AM192" s="17" t="str">
        <f aca="false">IF(OR(Q$7="",$BR192=""),"",IF('Tally Helper'!$B$48&lt;&gt;TRUE(),"not on Staff",SUMIFS('Tally Helper'!$L$50:$GI$50,'Tally Helper'!$L$48:$GI$48,"&gt;="&amp;$BR192,'Tally Helper'!$L$48:$GI$48,"&lt;="&amp;$BS192)))</f>
        <v/>
      </c>
      <c r="AN192" s="17" t="str">
        <f aca="false">IF(OR(R$7="",$BR192=""),"",IF('Tally Helper'!$B$51&lt;&gt;TRUE(),"not on Staff",SUMIFS('Tally Helper'!$L$53:$GI$53,'Tally Helper'!$L$51:$GI$51,"&gt;="&amp;$BR192,'Tally Helper'!$L$51:$GI$51,"&lt;="&amp;$BS192)))</f>
        <v/>
      </c>
      <c r="AO192" s="17" t="str">
        <f aca="false">IF(OR(S$7="",$BR192=""),"",IF('Tally Helper'!$B$54&lt;&gt;TRUE(),"not on Staff",SUMIFS('Tally Helper'!$L$56:$GI$56,'Tally Helper'!$L$54:$GI$54,"&gt;="&amp;$BR192,'Tally Helper'!$L$54:$GI$54,"&lt;="&amp;$BS192)))</f>
        <v/>
      </c>
      <c r="AP192" s="17" t="str">
        <f aca="false">IF(OR(T$7="",$BR192=""),"",IF('Tally Helper'!$B$57&lt;&gt;TRUE(),"not on Staff",SUMIFS('Tally Helper'!$L$59:$GI$59,'Tally Helper'!$L$57:$GI$57,"&gt;="&amp;$BR192,'Tally Helper'!$L$57:$GI$57,"&lt;="&amp;$BS192)))</f>
        <v/>
      </c>
      <c r="AQ192" s="17" t="str">
        <f aca="false">IF(OR(U$7="",$BR192=""),"",IF('Tally Helper'!$B$60&lt;&gt;TRUE(),"not on Staff",SUMIFS('Tally Helper'!$L$62:$GI$62,'Tally Helper'!$L$60:$GI$60,"&gt;="&amp;$BR192,'Tally Helper'!$L$60:$GI$60,"&lt;="&amp;$BS192)))</f>
        <v/>
      </c>
      <c r="AT192" s="17" t="str">
        <f aca="false">IF(OR(X192="",NOT(ISNUMBER(X192))),"",X192-N(B192))</f>
        <v/>
      </c>
      <c r="AU192" s="17" t="str">
        <f aca="false">IF(OR(Y192="",NOT(ISNUMBER(Y192))),"",Y192-N(C192))</f>
        <v/>
      </c>
      <c r="AV192" s="17" t="str">
        <f aca="false">IF(OR(Z192="",NOT(ISNUMBER(Z192))),"",Z192-N(D192))</f>
        <v/>
      </c>
      <c r="AW192" s="17" t="str">
        <f aca="false">IF(OR(AA192="",NOT(ISNUMBER(AA192))),"",AA192-N(E192))</f>
        <v/>
      </c>
      <c r="AX192" s="17" t="str">
        <f aca="false">IF(OR(AB192="",NOT(ISNUMBER(AB192))),"",AB192-N(F192))</f>
        <v/>
      </c>
      <c r="AY192" s="17" t="str">
        <f aca="false">IF(OR(AC192="",NOT(ISNUMBER(AC192))),"",AC192-N(G192))</f>
        <v/>
      </c>
      <c r="AZ192" s="17" t="str">
        <f aca="false">IF(OR(AD192="",NOT(ISNUMBER(AD192))),"",AD192-N(H192))</f>
        <v/>
      </c>
      <c r="BA192" s="17" t="str">
        <f aca="false">IF(OR(AE192="",NOT(ISNUMBER(AE192))),"",AE192-N(I192))</f>
        <v/>
      </c>
      <c r="BB192" s="17" t="str">
        <f aca="false">IF(OR(AF192="",NOT(ISNUMBER(AF192))),"",AF192-N(J192))</f>
        <v/>
      </c>
      <c r="BC192" s="17" t="str">
        <f aca="false">IF(OR(AG192="",NOT(ISNUMBER(AG192))),"",AG192-N(K192))</f>
        <v/>
      </c>
      <c r="BD192" s="17" t="str">
        <f aca="false">IF(OR(AH192="",NOT(ISNUMBER(AH192))),"",AH192-N(L192))</f>
        <v/>
      </c>
      <c r="BE192" s="17" t="str">
        <f aca="false">IF(OR(AI192="",NOT(ISNUMBER(AI192))),"",AI192-N(M192))</f>
        <v/>
      </c>
      <c r="BF192" s="17" t="str">
        <f aca="false">IF(OR(AJ192="",NOT(ISNUMBER(AJ192))),"",AJ192-N(N192))</f>
        <v/>
      </c>
      <c r="BG192" s="17" t="str">
        <f aca="false">IF(OR(AK192="",NOT(ISNUMBER(AK192))),"",AK192-N(O192))</f>
        <v/>
      </c>
      <c r="BH192" s="17" t="str">
        <f aca="false">IF(OR(AL192="",NOT(ISNUMBER(AL192))),"",AL192-N(P192))</f>
        <v/>
      </c>
      <c r="BI192" s="17" t="str">
        <f aca="false">IF(OR(AM192="",NOT(ISNUMBER(AM192))),"",AM192-N(Q192))</f>
        <v/>
      </c>
      <c r="BJ192" s="17" t="str">
        <f aca="false">IF(OR(AN192="",NOT(ISNUMBER(AN192))),"",AN192-N(R192))</f>
        <v/>
      </c>
      <c r="BK192" s="17" t="str">
        <f aca="false">IF(OR(AO192="",NOT(ISNUMBER(AO192))),"",AO192-N(S192))</f>
        <v/>
      </c>
      <c r="BL192" s="17" t="str">
        <f aca="false">IF(OR(AP192="",NOT(ISNUMBER(AP192))),"",AP192-N(T192))</f>
        <v/>
      </c>
      <c r="BM192" s="17" t="str">
        <f aca="false">IF(OR(AQ192="",NOT(ISNUMBER(AQ192))),"",AQ192-N(U192))</f>
        <v/>
      </c>
      <c r="BR192" s="20" t="str">
        <f aca="false">IF($A192="","",IF(ISNUMBER($A192),DATE(YEAR($A192),MONTH($A192),1),IFERROR(DATE(2000+VALUE(RIGHT(TRIM($A192),2)),MATCH(UPPER(LEFT(TRIM($A192),3)),{"JAN","FEB","MAR","APR","MAY","JUN","JUL","AUG","SEP","OCT","NOV","DEC"},0),1),"")))</f>
        <v/>
      </c>
      <c r="BS192" s="20" t="str">
        <f aca="false">IF(BR192="","",EOMONTH(BR192,0))</f>
        <v/>
      </c>
    </row>
    <row r="193" customFormat="false" ht="15" hidden="false" customHeight="false" outlineLevel="0" collapsed="false">
      <c r="B193" s="21"/>
      <c r="C193" s="21"/>
      <c r="D193" s="21"/>
      <c r="E193" s="21"/>
      <c r="F193" s="21"/>
      <c r="G193" s="21"/>
      <c r="H193" s="21"/>
      <c r="I193" s="21"/>
      <c r="J193" s="21"/>
      <c r="K193" s="21"/>
      <c r="L193" s="21"/>
      <c r="M193" s="21"/>
      <c r="N193" s="21"/>
      <c r="O193" s="21"/>
      <c r="P193" s="21"/>
      <c r="Q193" s="21"/>
      <c r="R193" s="21"/>
      <c r="S193" s="21"/>
      <c r="T193" s="21"/>
      <c r="U193" s="21"/>
      <c r="X193" s="17" t="str">
        <f aca="false">IF(OR(B$7="",$BR193=""),"",IF('Tally Helper'!$B$3&lt;&gt;TRUE(),"not on Staff",SUMIFS('Tally Helper'!$L$5:$GI$5,'Tally Helper'!$L$3:$GI$3,"&gt;="&amp;$BR193,'Tally Helper'!$L$3:$GI$3,"&lt;="&amp;$BS193)))</f>
        <v/>
      </c>
      <c r="Y193" s="17" t="str">
        <f aca="false">IF(OR(C$7="",$BR193=""),"",IF('Tally Helper'!$B$6&lt;&gt;TRUE(),"not on Staff",SUMIFS('Tally Helper'!$L$8:$GI$8,'Tally Helper'!$L$6:$GI$6,"&gt;="&amp;$BR193,'Tally Helper'!$L$6:$GI$6,"&lt;="&amp;$BS193)))</f>
        <v/>
      </c>
      <c r="Z193" s="17" t="str">
        <f aca="false">IF(OR(D$7="",$BR193=""),"",IF('Tally Helper'!$B$9&lt;&gt;TRUE(),"not on Staff",SUMIFS('Tally Helper'!$L$11:$GI$11,'Tally Helper'!$L$9:$GI$9,"&gt;="&amp;$BR193,'Tally Helper'!$L$9:$GI$9,"&lt;="&amp;$BS193)))</f>
        <v/>
      </c>
      <c r="AA193" s="17" t="str">
        <f aca="false">IF(OR(E$7="",$BR193=""),"",IF('Tally Helper'!$B$12&lt;&gt;TRUE(),"not on Staff",SUMIFS('Tally Helper'!$L$14:$GI$14,'Tally Helper'!$L$12:$GI$12,"&gt;="&amp;$BR193,'Tally Helper'!$L$12:$GI$12,"&lt;="&amp;$BS193)))</f>
        <v/>
      </c>
      <c r="AB193" s="17" t="str">
        <f aca="false">IF(OR(F$7="",$BR193=""),"",IF('Tally Helper'!$B$15&lt;&gt;TRUE(),"not on Staff",SUMIFS('Tally Helper'!$L$17:$GI$17,'Tally Helper'!$L$15:$GI$15,"&gt;="&amp;$BR193,'Tally Helper'!$L$15:$GI$15,"&lt;="&amp;$BS193)))</f>
        <v/>
      </c>
      <c r="AC193" s="17" t="str">
        <f aca="false">IF(OR(G$7="",$BR193=""),"",IF('Tally Helper'!$B$18&lt;&gt;TRUE(),"not on Staff",SUMIFS('Tally Helper'!$L$20:$GI$20,'Tally Helper'!$L$18:$GI$18,"&gt;="&amp;$BR193,'Tally Helper'!$L$18:$GI$18,"&lt;="&amp;$BS193)))</f>
        <v/>
      </c>
      <c r="AD193" s="17" t="str">
        <f aca="false">IF(OR(H$7="",$BR193=""),"",IF('Tally Helper'!$B$21&lt;&gt;TRUE(),"not on Staff",SUMIFS('Tally Helper'!$L$23:$GI$23,'Tally Helper'!$L$21:$GI$21,"&gt;="&amp;$BR193,'Tally Helper'!$L$21:$GI$21,"&lt;="&amp;$BS193)))</f>
        <v/>
      </c>
      <c r="AE193" s="17" t="str">
        <f aca="false">IF(OR(I$7="",$BR193=""),"",IF('Tally Helper'!$B$24&lt;&gt;TRUE(),"not on Staff",SUMIFS('Tally Helper'!$L$26:$GI$26,'Tally Helper'!$L$24:$GI$24,"&gt;="&amp;$BR193,'Tally Helper'!$L$24:$GI$24,"&lt;="&amp;$BS193)))</f>
        <v/>
      </c>
      <c r="AF193" s="17" t="str">
        <f aca="false">IF(OR(J$7="",$BR193=""),"",IF('Tally Helper'!$B$27&lt;&gt;TRUE(),"not on Staff",SUMIFS('Tally Helper'!$L$29:$GI$29,'Tally Helper'!$L$27:$GI$27,"&gt;="&amp;$BR193,'Tally Helper'!$L$27:$GI$27,"&lt;="&amp;$BS193)))</f>
        <v/>
      </c>
      <c r="AG193" s="17" t="str">
        <f aca="false">IF(OR(K$7="",$BR193=""),"",IF('Tally Helper'!$B$30&lt;&gt;TRUE(),"not on Staff",SUMIFS('Tally Helper'!$L$32:$GI$32,'Tally Helper'!$L$30:$GI$30,"&gt;="&amp;$BR193,'Tally Helper'!$L$30:$GI$30,"&lt;="&amp;$BS193)))</f>
        <v/>
      </c>
      <c r="AH193" s="17" t="str">
        <f aca="false">IF(OR(L$7="",$BR193=""),"",IF('Tally Helper'!$B$33&lt;&gt;TRUE(),"not on Staff",SUMIFS('Tally Helper'!$L$35:$GI$35,'Tally Helper'!$L$33:$GI$33,"&gt;="&amp;$BR193,'Tally Helper'!$L$33:$GI$33,"&lt;="&amp;$BS193)))</f>
        <v/>
      </c>
      <c r="AI193" s="17" t="str">
        <f aca="false">IF(OR(M$7="",$BR193=""),"",IF('Tally Helper'!$B$36&lt;&gt;TRUE(),"not on Staff",SUMIFS('Tally Helper'!$L$38:$GI$38,'Tally Helper'!$L$36:$GI$36,"&gt;="&amp;$BR193,'Tally Helper'!$L$36:$GI$36,"&lt;="&amp;$BS193)))</f>
        <v/>
      </c>
      <c r="AJ193" s="17" t="str">
        <f aca="false">IF(OR(N$7="",$BR193=""),"",IF('Tally Helper'!$B$39&lt;&gt;TRUE(),"not on Staff",SUMIFS('Tally Helper'!$L$41:$GI$41,'Tally Helper'!$L$39:$GI$39,"&gt;="&amp;$BR193,'Tally Helper'!$L$39:$GI$39,"&lt;="&amp;$BS193)))</f>
        <v/>
      </c>
      <c r="AK193" s="17" t="str">
        <f aca="false">IF(OR(O$7="",$BR193=""),"",IF('Tally Helper'!$B$42&lt;&gt;TRUE(),"not on Staff",SUMIFS('Tally Helper'!$L$44:$GI$44,'Tally Helper'!$L$42:$GI$42,"&gt;="&amp;$BR193,'Tally Helper'!$L$42:$GI$42,"&lt;="&amp;$BS193)))</f>
        <v/>
      </c>
      <c r="AL193" s="17" t="str">
        <f aca="false">IF(OR(P$7="",$BR193=""),"",IF('Tally Helper'!$B$45&lt;&gt;TRUE(),"not on Staff",SUMIFS('Tally Helper'!$L$47:$GI$47,'Tally Helper'!$L$45:$GI$45,"&gt;="&amp;$BR193,'Tally Helper'!$L$45:$GI$45,"&lt;="&amp;$BS193)))</f>
        <v/>
      </c>
      <c r="AM193" s="17" t="str">
        <f aca="false">IF(OR(Q$7="",$BR193=""),"",IF('Tally Helper'!$B$48&lt;&gt;TRUE(),"not on Staff",SUMIFS('Tally Helper'!$L$50:$GI$50,'Tally Helper'!$L$48:$GI$48,"&gt;="&amp;$BR193,'Tally Helper'!$L$48:$GI$48,"&lt;="&amp;$BS193)))</f>
        <v/>
      </c>
      <c r="AN193" s="17" t="str">
        <f aca="false">IF(OR(R$7="",$BR193=""),"",IF('Tally Helper'!$B$51&lt;&gt;TRUE(),"not on Staff",SUMIFS('Tally Helper'!$L$53:$GI$53,'Tally Helper'!$L$51:$GI$51,"&gt;="&amp;$BR193,'Tally Helper'!$L$51:$GI$51,"&lt;="&amp;$BS193)))</f>
        <v/>
      </c>
      <c r="AO193" s="17" t="str">
        <f aca="false">IF(OR(S$7="",$BR193=""),"",IF('Tally Helper'!$B$54&lt;&gt;TRUE(),"not on Staff",SUMIFS('Tally Helper'!$L$56:$GI$56,'Tally Helper'!$L$54:$GI$54,"&gt;="&amp;$BR193,'Tally Helper'!$L$54:$GI$54,"&lt;="&amp;$BS193)))</f>
        <v/>
      </c>
      <c r="AP193" s="17" t="str">
        <f aca="false">IF(OR(T$7="",$BR193=""),"",IF('Tally Helper'!$B$57&lt;&gt;TRUE(),"not on Staff",SUMIFS('Tally Helper'!$L$59:$GI$59,'Tally Helper'!$L$57:$GI$57,"&gt;="&amp;$BR193,'Tally Helper'!$L$57:$GI$57,"&lt;="&amp;$BS193)))</f>
        <v/>
      </c>
      <c r="AQ193" s="17" t="str">
        <f aca="false">IF(OR(U$7="",$BR193=""),"",IF('Tally Helper'!$B$60&lt;&gt;TRUE(),"not on Staff",SUMIFS('Tally Helper'!$L$62:$GI$62,'Tally Helper'!$L$60:$GI$60,"&gt;="&amp;$BR193,'Tally Helper'!$L$60:$GI$60,"&lt;="&amp;$BS193)))</f>
        <v/>
      </c>
      <c r="AT193" s="17" t="str">
        <f aca="false">IF(OR(X193="",NOT(ISNUMBER(X193))),"",X193-N(B193))</f>
        <v/>
      </c>
      <c r="AU193" s="17" t="str">
        <f aca="false">IF(OR(Y193="",NOT(ISNUMBER(Y193))),"",Y193-N(C193))</f>
        <v/>
      </c>
      <c r="AV193" s="17" t="str">
        <f aca="false">IF(OR(Z193="",NOT(ISNUMBER(Z193))),"",Z193-N(D193))</f>
        <v/>
      </c>
      <c r="AW193" s="17" t="str">
        <f aca="false">IF(OR(AA193="",NOT(ISNUMBER(AA193))),"",AA193-N(E193))</f>
        <v/>
      </c>
      <c r="AX193" s="17" t="str">
        <f aca="false">IF(OR(AB193="",NOT(ISNUMBER(AB193))),"",AB193-N(F193))</f>
        <v/>
      </c>
      <c r="AY193" s="17" t="str">
        <f aca="false">IF(OR(AC193="",NOT(ISNUMBER(AC193))),"",AC193-N(G193))</f>
        <v/>
      </c>
      <c r="AZ193" s="17" t="str">
        <f aca="false">IF(OR(AD193="",NOT(ISNUMBER(AD193))),"",AD193-N(H193))</f>
        <v/>
      </c>
      <c r="BA193" s="17" t="str">
        <f aca="false">IF(OR(AE193="",NOT(ISNUMBER(AE193))),"",AE193-N(I193))</f>
        <v/>
      </c>
      <c r="BB193" s="17" t="str">
        <f aca="false">IF(OR(AF193="",NOT(ISNUMBER(AF193))),"",AF193-N(J193))</f>
        <v/>
      </c>
      <c r="BC193" s="17" t="str">
        <f aca="false">IF(OR(AG193="",NOT(ISNUMBER(AG193))),"",AG193-N(K193))</f>
        <v/>
      </c>
      <c r="BD193" s="17" t="str">
        <f aca="false">IF(OR(AH193="",NOT(ISNUMBER(AH193))),"",AH193-N(L193))</f>
        <v/>
      </c>
      <c r="BE193" s="17" t="str">
        <f aca="false">IF(OR(AI193="",NOT(ISNUMBER(AI193))),"",AI193-N(M193))</f>
        <v/>
      </c>
      <c r="BF193" s="17" t="str">
        <f aca="false">IF(OR(AJ193="",NOT(ISNUMBER(AJ193))),"",AJ193-N(N193))</f>
        <v/>
      </c>
      <c r="BG193" s="17" t="str">
        <f aca="false">IF(OR(AK193="",NOT(ISNUMBER(AK193))),"",AK193-N(O193))</f>
        <v/>
      </c>
      <c r="BH193" s="17" t="str">
        <f aca="false">IF(OR(AL193="",NOT(ISNUMBER(AL193))),"",AL193-N(P193))</f>
        <v/>
      </c>
      <c r="BI193" s="17" t="str">
        <f aca="false">IF(OR(AM193="",NOT(ISNUMBER(AM193))),"",AM193-N(Q193))</f>
        <v/>
      </c>
      <c r="BJ193" s="17" t="str">
        <f aca="false">IF(OR(AN193="",NOT(ISNUMBER(AN193))),"",AN193-N(R193))</f>
        <v/>
      </c>
      <c r="BK193" s="17" t="str">
        <f aca="false">IF(OR(AO193="",NOT(ISNUMBER(AO193))),"",AO193-N(S193))</f>
        <v/>
      </c>
      <c r="BL193" s="17" t="str">
        <f aca="false">IF(OR(AP193="",NOT(ISNUMBER(AP193))),"",AP193-N(T193))</f>
        <v/>
      </c>
      <c r="BM193" s="17" t="str">
        <f aca="false">IF(OR(AQ193="",NOT(ISNUMBER(AQ193))),"",AQ193-N(U193))</f>
        <v/>
      </c>
      <c r="BR193" s="20" t="str">
        <f aca="false">IF($A193="","",IF(ISNUMBER($A193),DATE(YEAR($A193),MONTH($A193),1),IFERROR(DATE(2000+VALUE(RIGHT(TRIM($A193),2)),MATCH(UPPER(LEFT(TRIM($A193),3)),{"JAN","FEB","MAR","APR","MAY","JUN","JUL","AUG","SEP","OCT","NOV","DEC"},0),1),"")))</f>
        <v/>
      </c>
      <c r="BS193" s="20" t="str">
        <f aca="false">IF(BR193="","",EOMONTH(BR193,0))</f>
        <v/>
      </c>
    </row>
    <row r="194" customFormat="false" ht="15" hidden="false" customHeight="false" outlineLevel="0" collapsed="false">
      <c r="B194" s="21"/>
      <c r="C194" s="21"/>
      <c r="D194" s="21"/>
      <c r="E194" s="21"/>
      <c r="F194" s="21"/>
      <c r="G194" s="21"/>
      <c r="H194" s="21"/>
      <c r="I194" s="21"/>
      <c r="J194" s="21"/>
      <c r="K194" s="21"/>
      <c r="L194" s="21"/>
      <c r="M194" s="21"/>
      <c r="N194" s="21"/>
      <c r="O194" s="21"/>
      <c r="P194" s="21"/>
      <c r="Q194" s="21"/>
      <c r="R194" s="21"/>
      <c r="S194" s="21"/>
      <c r="T194" s="21"/>
      <c r="U194" s="21"/>
      <c r="X194" s="17" t="str">
        <f aca="false">IF(OR(B$7="",$BR194=""),"",IF('Tally Helper'!$B$3&lt;&gt;TRUE(),"not on Staff",SUMIFS('Tally Helper'!$L$5:$GI$5,'Tally Helper'!$L$3:$GI$3,"&gt;="&amp;$BR194,'Tally Helper'!$L$3:$GI$3,"&lt;="&amp;$BS194)))</f>
        <v/>
      </c>
      <c r="Y194" s="17" t="str">
        <f aca="false">IF(OR(C$7="",$BR194=""),"",IF('Tally Helper'!$B$6&lt;&gt;TRUE(),"not on Staff",SUMIFS('Tally Helper'!$L$8:$GI$8,'Tally Helper'!$L$6:$GI$6,"&gt;="&amp;$BR194,'Tally Helper'!$L$6:$GI$6,"&lt;="&amp;$BS194)))</f>
        <v/>
      </c>
      <c r="Z194" s="17" t="str">
        <f aca="false">IF(OR(D$7="",$BR194=""),"",IF('Tally Helper'!$B$9&lt;&gt;TRUE(),"not on Staff",SUMIFS('Tally Helper'!$L$11:$GI$11,'Tally Helper'!$L$9:$GI$9,"&gt;="&amp;$BR194,'Tally Helper'!$L$9:$GI$9,"&lt;="&amp;$BS194)))</f>
        <v/>
      </c>
      <c r="AA194" s="17" t="str">
        <f aca="false">IF(OR(E$7="",$BR194=""),"",IF('Tally Helper'!$B$12&lt;&gt;TRUE(),"not on Staff",SUMIFS('Tally Helper'!$L$14:$GI$14,'Tally Helper'!$L$12:$GI$12,"&gt;="&amp;$BR194,'Tally Helper'!$L$12:$GI$12,"&lt;="&amp;$BS194)))</f>
        <v/>
      </c>
      <c r="AB194" s="17" t="str">
        <f aca="false">IF(OR(F$7="",$BR194=""),"",IF('Tally Helper'!$B$15&lt;&gt;TRUE(),"not on Staff",SUMIFS('Tally Helper'!$L$17:$GI$17,'Tally Helper'!$L$15:$GI$15,"&gt;="&amp;$BR194,'Tally Helper'!$L$15:$GI$15,"&lt;="&amp;$BS194)))</f>
        <v/>
      </c>
      <c r="AC194" s="17" t="str">
        <f aca="false">IF(OR(G$7="",$BR194=""),"",IF('Tally Helper'!$B$18&lt;&gt;TRUE(),"not on Staff",SUMIFS('Tally Helper'!$L$20:$GI$20,'Tally Helper'!$L$18:$GI$18,"&gt;="&amp;$BR194,'Tally Helper'!$L$18:$GI$18,"&lt;="&amp;$BS194)))</f>
        <v/>
      </c>
      <c r="AD194" s="17" t="str">
        <f aca="false">IF(OR(H$7="",$BR194=""),"",IF('Tally Helper'!$B$21&lt;&gt;TRUE(),"not on Staff",SUMIFS('Tally Helper'!$L$23:$GI$23,'Tally Helper'!$L$21:$GI$21,"&gt;="&amp;$BR194,'Tally Helper'!$L$21:$GI$21,"&lt;="&amp;$BS194)))</f>
        <v/>
      </c>
      <c r="AE194" s="17" t="str">
        <f aca="false">IF(OR(I$7="",$BR194=""),"",IF('Tally Helper'!$B$24&lt;&gt;TRUE(),"not on Staff",SUMIFS('Tally Helper'!$L$26:$GI$26,'Tally Helper'!$L$24:$GI$24,"&gt;="&amp;$BR194,'Tally Helper'!$L$24:$GI$24,"&lt;="&amp;$BS194)))</f>
        <v/>
      </c>
      <c r="AF194" s="17" t="str">
        <f aca="false">IF(OR(J$7="",$BR194=""),"",IF('Tally Helper'!$B$27&lt;&gt;TRUE(),"not on Staff",SUMIFS('Tally Helper'!$L$29:$GI$29,'Tally Helper'!$L$27:$GI$27,"&gt;="&amp;$BR194,'Tally Helper'!$L$27:$GI$27,"&lt;="&amp;$BS194)))</f>
        <v/>
      </c>
      <c r="AG194" s="17" t="str">
        <f aca="false">IF(OR(K$7="",$BR194=""),"",IF('Tally Helper'!$B$30&lt;&gt;TRUE(),"not on Staff",SUMIFS('Tally Helper'!$L$32:$GI$32,'Tally Helper'!$L$30:$GI$30,"&gt;="&amp;$BR194,'Tally Helper'!$L$30:$GI$30,"&lt;="&amp;$BS194)))</f>
        <v/>
      </c>
      <c r="AH194" s="17" t="str">
        <f aca="false">IF(OR(L$7="",$BR194=""),"",IF('Tally Helper'!$B$33&lt;&gt;TRUE(),"not on Staff",SUMIFS('Tally Helper'!$L$35:$GI$35,'Tally Helper'!$L$33:$GI$33,"&gt;="&amp;$BR194,'Tally Helper'!$L$33:$GI$33,"&lt;="&amp;$BS194)))</f>
        <v/>
      </c>
      <c r="AI194" s="17" t="str">
        <f aca="false">IF(OR(M$7="",$BR194=""),"",IF('Tally Helper'!$B$36&lt;&gt;TRUE(),"not on Staff",SUMIFS('Tally Helper'!$L$38:$GI$38,'Tally Helper'!$L$36:$GI$36,"&gt;="&amp;$BR194,'Tally Helper'!$L$36:$GI$36,"&lt;="&amp;$BS194)))</f>
        <v/>
      </c>
      <c r="AJ194" s="17" t="str">
        <f aca="false">IF(OR(N$7="",$BR194=""),"",IF('Tally Helper'!$B$39&lt;&gt;TRUE(),"not on Staff",SUMIFS('Tally Helper'!$L$41:$GI$41,'Tally Helper'!$L$39:$GI$39,"&gt;="&amp;$BR194,'Tally Helper'!$L$39:$GI$39,"&lt;="&amp;$BS194)))</f>
        <v/>
      </c>
      <c r="AK194" s="17" t="str">
        <f aca="false">IF(OR(O$7="",$BR194=""),"",IF('Tally Helper'!$B$42&lt;&gt;TRUE(),"not on Staff",SUMIFS('Tally Helper'!$L$44:$GI$44,'Tally Helper'!$L$42:$GI$42,"&gt;="&amp;$BR194,'Tally Helper'!$L$42:$GI$42,"&lt;="&amp;$BS194)))</f>
        <v/>
      </c>
      <c r="AL194" s="17" t="str">
        <f aca="false">IF(OR(P$7="",$BR194=""),"",IF('Tally Helper'!$B$45&lt;&gt;TRUE(),"not on Staff",SUMIFS('Tally Helper'!$L$47:$GI$47,'Tally Helper'!$L$45:$GI$45,"&gt;="&amp;$BR194,'Tally Helper'!$L$45:$GI$45,"&lt;="&amp;$BS194)))</f>
        <v/>
      </c>
      <c r="AM194" s="17" t="str">
        <f aca="false">IF(OR(Q$7="",$BR194=""),"",IF('Tally Helper'!$B$48&lt;&gt;TRUE(),"not on Staff",SUMIFS('Tally Helper'!$L$50:$GI$50,'Tally Helper'!$L$48:$GI$48,"&gt;="&amp;$BR194,'Tally Helper'!$L$48:$GI$48,"&lt;="&amp;$BS194)))</f>
        <v/>
      </c>
      <c r="AN194" s="17" t="str">
        <f aca="false">IF(OR(R$7="",$BR194=""),"",IF('Tally Helper'!$B$51&lt;&gt;TRUE(),"not on Staff",SUMIFS('Tally Helper'!$L$53:$GI$53,'Tally Helper'!$L$51:$GI$51,"&gt;="&amp;$BR194,'Tally Helper'!$L$51:$GI$51,"&lt;="&amp;$BS194)))</f>
        <v/>
      </c>
      <c r="AO194" s="17" t="str">
        <f aca="false">IF(OR(S$7="",$BR194=""),"",IF('Tally Helper'!$B$54&lt;&gt;TRUE(),"not on Staff",SUMIFS('Tally Helper'!$L$56:$GI$56,'Tally Helper'!$L$54:$GI$54,"&gt;="&amp;$BR194,'Tally Helper'!$L$54:$GI$54,"&lt;="&amp;$BS194)))</f>
        <v/>
      </c>
      <c r="AP194" s="17" t="str">
        <f aca="false">IF(OR(T$7="",$BR194=""),"",IF('Tally Helper'!$B$57&lt;&gt;TRUE(),"not on Staff",SUMIFS('Tally Helper'!$L$59:$GI$59,'Tally Helper'!$L$57:$GI$57,"&gt;="&amp;$BR194,'Tally Helper'!$L$57:$GI$57,"&lt;="&amp;$BS194)))</f>
        <v/>
      </c>
      <c r="AQ194" s="17" t="str">
        <f aca="false">IF(OR(U$7="",$BR194=""),"",IF('Tally Helper'!$B$60&lt;&gt;TRUE(),"not on Staff",SUMIFS('Tally Helper'!$L$62:$GI$62,'Tally Helper'!$L$60:$GI$60,"&gt;="&amp;$BR194,'Tally Helper'!$L$60:$GI$60,"&lt;="&amp;$BS194)))</f>
        <v/>
      </c>
      <c r="AT194" s="17" t="str">
        <f aca="false">IF(OR(X194="",NOT(ISNUMBER(X194))),"",X194-N(B194))</f>
        <v/>
      </c>
      <c r="AU194" s="17" t="str">
        <f aca="false">IF(OR(Y194="",NOT(ISNUMBER(Y194))),"",Y194-N(C194))</f>
        <v/>
      </c>
      <c r="AV194" s="17" t="str">
        <f aca="false">IF(OR(Z194="",NOT(ISNUMBER(Z194))),"",Z194-N(D194))</f>
        <v/>
      </c>
      <c r="AW194" s="17" t="str">
        <f aca="false">IF(OR(AA194="",NOT(ISNUMBER(AA194))),"",AA194-N(E194))</f>
        <v/>
      </c>
      <c r="AX194" s="17" t="str">
        <f aca="false">IF(OR(AB194="",NOT(ISNUMBER(AB194))),"",AB194-N(F194))</f>
        <v/>
      </c>
      <c r="AY194" s="17" t="str">
        <f aca="false">IF(OR(AC194="",NOT(ISNUMBER(AC194))),"",AC194-N(G194))</f>
        <v/>
      </c>
      <c r="AZ194" s="17" t="str">
        <f aca="false">IF(OR(AD194="",NOT(ISNUMBER(AD194))),"",AD194-N(H194))</f>
        <v/>
      </c>
      <c r="BA194" s="17" t="str">
        <f aca="false">IF(OR(AE194="",NOT(ISNUMBER(AE194))),"",AE194-N(I194))</f>
        <v/>
      </c>
      <c r="BB194" s="17" t="str">
        <f aca="false">IF(OR(AF194="",NOT(ISNUMBER(AF194))),"",AF194-N(J194))</f>
        <v/>
      </c>
      <c r="BC194" s="17" t="str">
        <f aca="false">IF(OR(AG194="",NOT(ISNUMBER(AG194))),"",AG194-N(K194))</f>
        <v/>
      </c>
      <c r="BD194" s="17" t="str">
        <f aca="false">IF(OR(AH194="",NOT(ISNUMBER(AH194))),"",AH194-N(L194))</f>
        <v/>
      </c>
      <c r="BE194" s="17" t="str">
        <f aca="false">IF(OR(AI194="",NOT(ISNUMBER(AI194))),"",AI194-N(M194))</f>
        <v/>
      </c>
      <c r="BF194" s="17" t="str">
        <f aca="false">IF(OR(AJ194="",NOT(ISNUMBER(AJ194))),"",AJ194-N(N194))</f>
        <v/>
      </c>
      <c r="BG194" s="17" t="str">
        <f aca="false">IF(OR(AK194="",NOT(ISNUMBER(AK194))),"",AK194-N(O194))</f>
        <v/>
      </c>
      <c r="BH194" s="17" t="str">
        <f aca="false">IF(OR(AL194="",NOT(ISNUMBER(AL194))),"",AL194-N(P194))</f>
        <v/>
      </c>
      <c r="BI194" s="17" t="str">
        <f aca="false">IF(OR(AM194="",NOT(ISNUMBER(AM194))),"",AM194-N(Q194))</f>
        <v/>
      </c>
      <c r="BJ194" s="17" t="str">
        <f aca="false">IF(OR(AN194="",NOT(ISNUMBER(AN194))),"",AN194-N(R194))</f>
        <v/>
      </c>
      <c r="BK194" s="17" t="str">
        <f aca="false">IF(OR(AO194="",NOT(ISNUMBER(AO194))),"",AO194-N(S194))</f>
        <v/>
      </c>
      <c r="BL194" s="17" t="str">
        <f aca="false">IF(OR(AP194="",NOT(ISNUMBER(AP194))),"",AP194-N(T194))</f>
        <v/>
      </c>
      <c r="BM194" s="17" t="str">
        <f aca="false">IF(OR(AQ194="",NOT(ISNUMBER(AQ194))),"",AQ194-N(U194))</f>
        <v/>
      </c>
      <c r="BR194" s="20" t="str">
        <f aca="false">IF($A194="","",IF(ISNUMBER($A194),DATE(YEAR($A194),MONTH($A194),1),IFERROR(DATE(2000+VALUE(RIGHT(TRIM($A194),2)),MATCH(UPPER(LEFT(TRIM($A194),3)),{"JAN","FEB","MAR","APR","MAY","JUN","JUL","AUG","SEP","OCT","NOV","DEC"},0),1),"")))</f>
        <v/>
      </c>
      <c r="BS194" s="20" t="str">
        <f aca="false">IF(BR194="","",EOMONTH(BR194,0))</f>
        <v/>
      </c>
    </row>
    <row r="195" customFormat="false" ht="15" hidden="false" customHeight="false" outlineLevel="0" collapsed="false">
      <c r="B195" s="21"/>
      <c r="C195" s="21"/>
      <c r="D195" s="21"/>
      <c r="E195" s="21"/>
      <c r="F195" s="21"/>
      <c r="G195" s="21"/>
      <c r="H195" s="21"/>
      <c r="I195" s="21"/>
      <c r="J195" s="21"/>
      <c r="K195" s="21"/>
      <c r="L195" s="21"/>
      <c r="M195" s="21"/>
      <c r="N195" s="21"/>
      <c r="O195" s="21"/>
      <c r="P195" s="21"/>
      <c r="Q195" s="21"/>
      <c r="R195" s="21"/>
      <c r="S195" s="21"/>
      <c r="T195" s="21"/>
      <c r="U195" s="21"/>
      <c r="X195" s="17" t="str">
        <f aca="false">IF(OR(B$7="",$BR195=""),"",IF('Tally Helper'!$B$3&lt;&gt;TRUE(),"not on Staff",SUMIFS('Tally Helper'!$L$5:$GI$5,'Tally Helper'!$L$3:$GI$3,"&gt;="&amp;$BR195,'Tally Helper'!$L$3:$GI$3,"&lt;="&amp;$BS195)))</f>
        <v/>
      </c>
      <c r="Y195" s="17" t="str">
        <f aca="false">IF(OR(C$7="",$BR195=""),"",IF('Tally Helper'!$B$6&lt;&gt;TRUE(),"not on Staff",SUMIFS('Tally Helper'!$L$8:$GI$8,'Tally Helper'!$L$6:$GI$6,"&gt;="&amp;$BR195,'Tally Helper'!$L$6:$GI$6,"&lt;="&amp;$BS195)))</f>
        <v/>
      </c>
      <c r="Z195" s="17" t="str">
        <f aca="false">IF(OR(D$7="",$BR195=""),"",IF('Tally Helper'!$B$9&lt;&gt;TRUE(),"not on Staff",SUMIFS('Tally Helper'!$L$11:$GI$11,'Tally Helper'!$L$9:$GI$9,"&gt;="&amp;$BR195,'Tally Helper'!$L$9:$GI$9,"&lt;="&amp;$BS195)))</f>
        <v/>
      </c>
      <c r="AA195" s="17" t="str">
        <f aca="false">IF(OR(E$7="",$BR195=""),"",IF('Tally Helper'!$B$12&lt;&gt;TRUE(),"not on Staff",SUMIFS('Tally Helper'!$L$14:$GI$14,'Tally Helper'!$L$12:$GI$12,"&gt;="&amp;$BR195,'Tally Helper'!$L$12:$GI$12,"&lt;="&amp;$BS195)))</f>
        <v/>
      </c>
      <c r="AB195" s="17" t="str">
        <f aca="false">IF(OR(F$7="",$BR195=""),"",IF('Tally Helper'!$B$15&lt;&gt;TRUE(),"not on Staff",SUMIFS('Tally Helper'!$L$17:$GI$17,'Tally Helper'!$L$15:$GI$15,"&gt;="&amp;$BR195,'Tally Helper'!$L$15:$GI$15,"&lt;="&amp;$BS195)))</f>
        <v/>
      </c>
      <c r="AC195" s="17" t="str">
        <f aca="false">IF(OR(G$7="",$BR195=""),"",IF('Tally Helper'!$B$18&lt;&gt;TRUE(),"not on Staff",SUMIFS('Tally Helper'!$L$20:$GI$20,'Tally Helper'!$L$18:$GI$18,"&gt;="&amp;$BR195,'Tally Helper'!$L$18:$GI$18,"&lt;="&amp;$BS195)))</f>
        <v/>
      </c>
      <c r="AD195" s="17" t="str">
        <f aca="false">IF(OR(H$7="",$BR195=""),"",IF('Tally Helper'!$B$21&lt;&gt;TRUE(),"not on Staff",SUMIFS('Tally Helper'!$L$23:$GI$23,'Tally Helper'!$L$21:$GI$21,"&gt;="&amp;$BR195,'Tally Helper'!$L$21:$GI$21,"&lt;="&amp;$BS195)))</f>
        <v/>
      </c>
      <c r="AE195" s="17" t="str">
        <f aca="false">IF(OR(I$7="",$BR195=""),"",IF('Tally Helper'!$B$24&lt;&gt;TRUE(),"not on Staff",SUMIFS('Tally Helper'!$L$26:$GI$26,'Tally Helper'!$L$24:$GI$24,"&gt;="&amp;$BR195,'Tally Helper'!$L$24:$GI$24,"&lt;="&amp;$BS195)))</f>
        <v/>
      </c>
      <c r="AF195" s="17" t="str">
        <f aca="false">IF(OR(J$7="",$BR195=""),"",IF('Tally Helper'!$B$27&lt;&gt;TRUE(),"not on Staff",SUMIFS('Tally Helper'!$L$29:$GI$29,'Tally Helper'!$L$27:$GI$27,"&gt;="&amp;$BR195,'Tally Helper'!$L$27:$GI$27,"&lt;="&amp;$BS195)))</f>
        <v/>
      </c>
      <c r="AG195" s="17" t="str">
        <f aca="false">IF(OR(K$7="",$BR195=""),"",IF('Tally Helper'!$B$30&lt;&gt;TRUE(),"not on Staff",SUMIFS('Tally Helper'!$L$32:$GI$32,'Tally Helper'!$L$30:$GI$30,"&gt;="&amp;$BR195,'Tally Helper'!$L$30:$GI$30,"&lt;="&amp;$BS195)))</f>
        <v/>
      </c>
      <c r="AH195" s="17" t="str">
        <f aca="false">IF(OR(L$7="",$BR195=""),"",IF('Tally Helper'!$B$33&lt;&gt;TRUE(),"not on Staff",SUMIFS('Tally Helper'!$L$35:$GI$35,'Tally Helper'!$L$33:$GI$33,"&gt;="&amp;$BR195,'Tally Helper'!$L$33:$GI$33,"&lt;="&amp;$BS195)))</f>
        <v/>
      </c>
      <c r="AI195" s="17" t="str">
        <f aca="false">IF(OR(M$7="",$BR195=""),"",IF('Tally Helper'!$B$36&lt;&gt;TRUE(),"not on Staff",SUMIFS('Tally Helper'!$L$38:$GI$38,'Tally Helper'!$L$36:$GI$36,"&gt;="&amp;$BR195,'Tally Helper'!$L$36:$GI$36,"&lt;="&amp;$BS195)))</f>
        <v/>
      </c>
      <c r="AJ195" s="17" t="str">
        <f aca="false">IF(OR(N$7="",$BR195=""),"",IF('Tally Helper'!$B$39&lt;&gt;TRUE(),"not on Staff",SUMIFS('Tally Helper'!$L$41:$GI$41,'Tally Helper'!$L$39:$GI$39,"&gt;="&amp;$BR195,'Tally Helper'!$L$39:$GI$39,"&lt;="&amp;$BS195)))</f>
        <v/>
      </c>
      <c r="AK195" s="17" t="str">
        <f aca="false">IF(OR(O$7="",$BR195=""),"",IF('Tally Helper'!$B$42&lt;&gt;TRUE(),"not on Staff",SUMIFS('Tally Helper'!$L$44:$GI$44,'Tally Helper'!$L$42:$GI$42,"&gt;="&amp;$BR195,'Tally Helper'!$L$42:$GI$42,"&lt;="&amp;$BS195)))</f>
        <v/>
      </c>
      <c r="AL195" s="17" t="str">
        <f aca="false">IF(OR(P$7="",$BR195=""),"",IF('Tally Helper'!$B$45&lt;&gt;TRUE(),"not on Staff",SUMIFS('Tally Helper'!$L$47:$GI$47,'Tally Helper'!$L$45:$GI$45,"&gt;="&amp;$BR195,'Tally Helper'!$L$45:$GI$45,"&lt;="&amp;$BS195)))</f>
        <v/>
      </c>
      <c r="AM195" s="17" t="str">
        <f aca="false">IF(OR(Q$7="",$BR195=""),"",IF('Tally Helper'!$B$48&lt;&gt;TRUE(),"not on Staff",SUMIFS('Tally Helper'!$L$50:$GI$50,'Tally Helper'!$L$48:$GI$48,"&gt;="&amp;$BR195,'Tally Helper'!$L$48:$GI$48,"&lt;="&amp;$BS195)))</f>
        <v/>
      </c>
      <c r="AN195" s="17" t="str">
        <f aca="false">IF(OR(R$7="",$BR195=""),"",IF('Tally Helper'!$B$51&lt;&gt;TRUE(),"not on Staff",SUMIFS('Tally Helper'!$L$53:$GI$53,'Tally Helper'!$L$51:$GI$51,"&gt;="&amp;$BR195,'Tally Helper'!$L$51:$GI$51,"&lt;="&amp;$BS195)))</f>
        <v/>
      </c>
      <c r="AO195" s="17" t="str">
        <f aca="false">IF(OR(S$7="",$BR195=""),"",IF('Tally Helper'!$B$54&lt;&gt;TRUE(),"not on Staff",SUMIFS('Tally Helper'!$L$56:$GI$56,'Tally Helper'!$L$54:$GI$54,"&gt;="&amp;$BR195,'Tally Helper'!$L$54:$GI$54,"&lt;="&amp;$BS195)))</f>
        <v/>
      </c>
      <c r="AP195" s="17" t="str">
        <f aca="false">IF(OR(T$7="",$BR195=""),"",IF('Tally Helper'!$B$57&lt;&gt;TRUE(),"not on Staff",SUMIFS('Tally Helper'!$L$59:$GI$59,'Tally Helper'!$L$57:$GI$57,"&gt;="&amp;$BR195,'Tally Helper'!$L$57:$GI$57,"&lt;="&amp;$BS195)))</f>
        <v/>
      </c>
      <c r="AQ195" s="17" t="str">
        <f aca="false">IF(OR(U$7="",$BR195=""),"",IF('Tally Helper'!$B$60&lt;&gt;TRUE(),"not on Staff",SUMIFS('Tally Helper'!$L$62:$GI$62,'Tally Helper'!$L$60:$GI$60,"&gt;="&amp;$BR195,'Tally Helper'!$L$60:$GI$60,"&lt;="&amp;$BS195)))</f>
        <v/>
      </c>
      <c r="AT195" s="17" t="str">
        <f aca="false">IF(OR(X195="",NOT(ISNUMBER(X195))),"",X195-N(B195))</f>
        <v/>
      </c>
      <c r="AU195" s="17" t="str">
        <f aca="false">IF(OR(Y195="",NOT(ISNUMBER(Y195))),"",Y195-N(C195))</f>
        <v/>
      </c>
      <c r="AV195" s="17" t="str">
        <f aca="false">IF(OR(Z195="",NOT(ISNUMBER(Z195))),"",Z195-N(D195))</f>
        <v/>
      </c>
      <c r="AW195" s="17" t="str">
        <f aca="false">IF(OR(AA195="",NOT(ISNUMBER(AA195))),"",AA195-N(E195))</f>
        <v/>
      </c>
      <c r="AX195" s="17" t="str">
        <f aca="false">IF(OR(AB195="",NOT(ISNUMBER(AB195))),"",AB195-N(F195))</f>
        <v/>
      </c>
      <c r="AY195" s="17" t="str">
        <f aca="false">IF(OR(AC195="",NOT(ISNUMBER(AC195))),"",AC195-N(G195))</f>
        <v/>
      </c>
      <c r="AZ195" s="17" t="str">
        <f aca="false">IF(OR(AD195="",NOT(ISNUMBER(AD195))),"",AD195-N(H195))</f>
        <v/>
      </c>
      <c r="BA195" s="17" t="str">
        <f aca="false">IF(OR(AE195="",NOT(ISNUMBER(AE195))),"",AE195-N(I195))</f>
        <v/>
      </c>
      <c r="BB195" s="17" t="str">
        <f aca="false">IF(OR(AF195="",NOT(ISNUMBER(AF195))),"",AF195-N(J195))</f>
        <v/>
      </c>
      <c r="BC195" s="17" t="str">
        <f aca="false">IF(OR(AG195="",NOT(ISNUMBER(AG195))),"",AG195-N(K195))</f>
        <v/>
      </c>
      <c r="BD195" s="17" t="str">
        <f aca="false">IF(OR(AH195="",NOT(ISNUMBER(AH195))),"",AH195-N(L195))</f>
        <v/>
      </c>
      <c r="BE195" s="17" t="str">
        <f aca="false">IF(OR(AI195="",NOT(ISNUMBER(AI195))),"",AI195-N(M195))</f>
        <v/>
      </c>
      <c r="BF195" s="17" t="str">
        <f aca="false">IF(OR(AJ195="",NOT(ISNUMBER(AJ195))),"",AJ195-N(N195))</f>
        <v/>
      </c>
      <c r="BG195" s="17" t="str">
        <f aca="false">IF(OR(AK195="",NOT(ISNUMBER(AK195))),"",AK195-N(O195))</f>
        <v/>
      </c>
      <c r="BH195" s="17" t="str">
        <f aca="false">IF(OR(AL195="",NOT(ISNUMBER(AL195))),"",AL195-N(P195))</f>
        <v/>
      </c>
      <c r="BI195" s="17" t="str">
        <f aca="false">IF(OR(AM195="",NOT(ISNUMBER(AM195))),"",AM195-N(Q195))</f>
        <v/>
      </c>
      <c r="BJ195" s="17" t="str">
        <f aca="false">IF(OR(AN195="",NOT(ISNUMBER(AN195))),"",AN195-N(R195))</f>
        <v/>
      </c>
      <c r="BK195" s="17" t="str">
        <f aca="false">IF(OR(AO195="",NOT(ISNUMBER(AO195))),"",AO195-N(S195))</f>
        <v/>
      </c>
      <c r="BL195" s="17" t="str">
        <f aca="false">IF(OR(AP195="",NOT(ISNUMBER(AP195))),"",AP195-N(T195))</f>
        <v/>
      </c>
      <c r="BM195" s="17" t="str">
        <f aca="false">IF(OR(AQ195="",NOT(ISNUMBER(AQ195))),"",AQ195-N(U195))</f>
        <v/>
      </c>
      <c r="BR195" s="20" t="str">
        <f aca="false">IF($A195="","",IF(ISNUMBER($A195),DATE(YEAR($A195),MONTH($A195),1),IFERROR(DATE(2000+VALUE(RIGHT(TRIM($A195),2)),MATCH(UPPER(LEFT(TRIM($A195),3)),{"JAN","FEB","MAR","APR","MAY","JUN","JUL","AUG","SEP","OCT","NOV","DEC"},0),1),"")))</f>
        <v/>
      </c>
      <c r="BS195" s="20" t="str">
        <f aca="false">IF(BR195="","",EOMONTH(BR195,0))</f>
        <v/>
      </c>
    </row>
    <row r="196" customFormat="false" ht="15" hidden="false" customHeight="false" outlineLevel="0" collapsed="false">
      <c r="B196" s="21"/>
      <c r="C196" s="21"/>
      <c r="D196" s="21"/>
      <c r="E196" s="21"/>
      <c r="F196" s="21"/>
      <c r="G196" s="21"/>
      <c r="H196" s="21"/>
      <c r="I196" s="21"/>
      <c r="J196" s="21"/>
      <c r="K196" s="21"/>
      <c r="L196" s="21"/>
      <c r="M196" s="21"/>
      <c r="N196" s="21"/>
      <c r="O196" s="21"/>
      <c r="P196" s="21"/>
      <c r="Q196" s="21"/>
      <c r="R196" s="21"/>
      <c r="S196" s="21"/>
      <c r="T196" s="21"/>
      <c r="U196" s="21"/>
      <c r="X196" s="17" t="str">
        <f aca="false">IF(OR(B$7="",$BR196=""),"",IF('Tally Helper'!$B$3&lt;&gt;TRUE(),"not on Staff",SUMIFS('Tally Helper'!$L$5:$GI$5,'Tally Helper'!$L$3:$GI$3,"&gt;="&amp;$BR196,'Tally Helper'!$L$3:$GI$3,"&lt;="&amp;$BS196)))</f>
        <v/>
      </c>
      <c r="Y196" s="17" t="str">
        <f aca="false">IF(OR(C$7="",$BR196=""),"",IF('Tally Helper'!$B$6&lt;&gt;TRUE(),"not on Staff",SUMIFS('Tally Helper'!$L$8:$GI$8,'Tally Helper'!$L$6:$GI$6,"&gt;="&amp;$BR196,'Tally Helper'!$L$6:$GI$6,"&lt;="&amp;$BS196)))</f>
        <v/>
      </c>
      <c r="Z196" s="17" t="str">
        <f aca="false">IF(OR(D$7="",$BR196=""),"",IF('Tally Helper'!$B$9&lt;&gt;TRUE(),"not on Staff",SUMIFS('Tally Helper'!$L$11:$GI$11,'Tally Helper'!$L$9:$GI$9,"&gt;="&amp;$BR196,'Tally Helper'!$L$9:$GI$9,"&lt;="&amp;$BS196)))</f>
        <v/>
      </c>
      <c r="AA196" s="17" t="str">
        <f aca="false">IF(OR(E$7="",$BR196=""),"",IF('Tally Helper'!$B$12&lt;&gt;TRUE(),"not on Staff",SUMIFS('Tally Helper'!$L$14:$GI$14,'Tally Helper'!$L$12:$GI$12,"&gt;="&amp;$BR196,'Tally Helper'!$L$12:$GI$12,"&lt;="&amp;$BS196)))</f>
        <v/>
      </c>
      <c r="AB196" s="17" t="str">
        <f aca="false">IF(OR(F$7="",$BR196=""),"",IF('Tally Helper'!$B$15&lt;&gt;TRUE(),"not on Staff",SUMIFS('Tally Helper'!$L$17:$GI$17,'Tally Helper'!$L$15:$GI$15,"&gt;="&amp;$BR196,'Tally Helper'!$L$15:$GI$15,"&lt;="&amp;$BS196)))</f>
        <v/>
      </c>
      <c r="AC196" s="17" t="str">
        <f aca="false">IF(OR(G$7="",$BR196=""),"",IF('Tally Helper'!$B$18&lt;&gt;TRUE(),"not on Staff",SUMIFS('Tally Helper'!$L$20:$GI$20,'Tally Helper'!$L$18:$GI$18,"&gt;="&amp;$BR196,'Tally Helper'!$L$18:$GI$18,"&lt;="&amp;$BS196)))</f>
        <v/>
      </c>
      <c r="AD196" s="17" t="str">
        <f aca="false">IF(OR(H$7="",$BR196=""),"",IF('Tally Helper'!$B$21&lt;&gt;TRUE(),"not on Staff",SUMIFS('Tally Helper'!$L$23:$GI$23,'Tally Helper'!$L$21:$GI$21,"&gt;="&amp;$BR196,'Tally Helper'!$L$21:$GI$21,"&lt;="&amp;$BS196)))</f>
        <v/>
      </c>
      <c r="AE196" s="17" t="str">
        <f aca="false">IF(OR(I$7="",$BR196=""),"",IF('Tally Helper'!$B$24&lt;&gt;TRUE(),"not on Staff",SUMIFS('Tally Helper'!$L$26:$GI$26,'Tally Helper'!$L$24:$GI$24,"&gt;="&amp;$BR196,'Tally Helper'!$L$24:$GI$24,"&lt;="&amp;$BS196)))</f>
        <v/>
      </c>
      <c r="AF196" s="17" t="str">
        <f aca="false">IF(OR(J$7="",$BR196=""),"",IF('Tally Helper'!$B$27&lt;&gt;TRUE(),"not on Staff",SUMIFS('Tally Helper'!$L$29:$GI$29,'Tally Helper'!$L$27:$GI$27,"&gt;="&amp;$BR196,'Tally Helper'!$L$27:$GI$27,"&lt;="&amp;$BS196)))</f>
        <v/>
      </c>
      <c r="AG196" s="17" t="str">
        <f aca="false">IF(OR(K$7="",$BR196=""),"",IF('Tally Helper'!$B$30&lt;&gt;TRUE(),"not on Staff",SUMIFS('Tally Helper'!$L$32:$GI$32,'Tally Helper'!$L$30:$GI$30,"&gt;="&amp;$BR196,'Tally Helper'!$L$30:$GI$30,"&lt;="&amp;$BS196)))</f>
        <v/>
      </c>
      <c r="AH196" s="17" t="str">
        <f aca="false">IF(OR(L$7="",$BR196=""),"",IF('Tally Helper'!$B$33&lt;&gt;TRUE(),"not on Staff",SUMIFS('Tally Helper'!$L$35:$GI$35,'Tally Helper'!$L$33:$GI$33,"&gt;="&amp;$BR196,'Tally Helper'!$L$33:$GI$33,"&lt;="&amp;$BS196)))</f>
        <v/>
      </c>
      <c r="AI196" s="17" t="str">
        <f aca="false">IF(OR(M$7="",$BR196=""),"",IF('Tally Helper'!$B$36&lt;&gt;TRUE(),"not on Staff",SUMIFS('Tally Helper'!$L$38:$GI$38,'Tally Helper'!$L$36:$GI$36,"&gt;="&amp;$BR196,'Tally Helper'!$L$36:$GI$36,"&lt;="&amp;$BS196)))</f>
        <v/>
      </c>
      <c r="AJ196" s="17" t="str">
        <f aca="false">IF(OR(N$7="",$BR196=""),"",IF('Tally Helper'!$B$39&lt;&gt;TRUE(),"not on Staff",SUMIFS('Tally Helper'!$L$41:$GI$41,'Tally Helper'!$L$39:$GI$39,"&gt;="&amp;$BR196,'Tally Helper'!$L$39:$GI$39,"&lt;="&amp;$BS196)))</f>
        <v/>
      </c>
      <c r="AK196" s="17" t="str">
        <f aca="false">IF(OR(O$7="",$BR196=""),"",IF('Tally Helper'!$B$42&lt;&gt;TRUE(),"not on Staff",SUMIFS('Tally Helper'!$L$44:$GI$44,'Tally Helper'!$L$42:$GI$42,"&gt;="&amp;$BR196,'Tally Helper'!$L$42:$GI$42,"&lt;="&amp;$BS196)))</f>
        <v/>
      </c>
      <c r="AL196" s="17" t="str">
        <f aca="false">IF(OR(P$7="",$BR196=""),"",IF('Tally Helper'!$B$45&lt;&gt;TRUE(),"not on Staff",SUMIFS('Tally Helper'!$L$47:$GI$47,'Tally Helper'!$L$45:$GI$45,"&gt;="&amp;$BR196,'Tally Helper'!$L$45:$GI$45,"&lt;="&amp;$BS196)))</f>
        <v/>
      </c>
      <c r="AM196" s="17" t="str">
        <f aca="false">IF(OR(Q$7="",$BR196=""),"",IF('Tally Helper'!$B$48&lt;&gt;TRUE(),"not on Staff",SUMIFS('Tally Helper'!$L$50:$GI$50,'Tally Helper'!$L$48:$GI$48,"&gt;="&amp;$BR196,'Tally Helper'!$L$48:$GI$48,"&lt;="&amp;$BS196)))</f>
        <v/>
      </c>
      <c r="AN196" s="17" t="str">
        <f aca="false">IF(OR(R$7="",$BR196=""),"",IF('Tally Helper'!$B$51&lt;&gt;TRUE(),"not on Staff",SUMIFS('Tally Helper'!$L$53:$GI$53,'Tally Helper'!$L$51:$GI$51,"&gt;="&amp;$BR196,'Tally Helper'!$L$51:$GI$51,"&lt;="&amp;$BS196)))</f>
        <v/>
      </c>
      <c r="AO196" s="17" t="str">
        <f aca="false">IF(OR(S$7="",$BR196=""),"",IF('Tally Helper'!$B$54&lt;&gt;TRUE(),"not on Staff",SUMIFS('Tally Helper'!$L$56:$GI$56,'Tally Helper'!$L$54:$GI$54,"&gt;="&amp;$BR196,'Tally Helper'!$L$54:$GI$54,"&lt;="&amp;$BS196)))</f>
        <v/>
      </c>
      <c r="AP196" s="17" t="str">
        <f aca="false">IF(OR(T$7="",$BR196=""),"",IF('Tally Helper'!$B$57&lt;&gt;TRUE(),"not on Staff",SUMIFS('Tally Helper'!$L$59:$GI$59,'Tally Helper'!$L$57:$GI$57,"&gt;="&amp;$BR196,'Tally Helper'!$L$57:$GI$57,"&lt;="&amp;$BS196)))</f>
        <v/>
      </c>
      <c r="AQ196" s="17" t="str">
        <f aca="false">IF(OR(U$7="",$BR196=""),"",IF('Tally Helper'!$B$60&lt;&gt;TRUE(),"not on Staff",SUMIFS('Tally Helper'!$L$62:$GI$62,'Tally Helper'!$L$60:$GI$60,"&gt;="&amp;$BR196,'Tally Helper'!$L$60:$GI$60,"&lt;="&amp;$BS196)))</f>
        <v/>
      </c>
      <c r="AT196" s="17" t="str">
        <f aca="false">IF(OR(X196="",NOT(ISNUMBER(X196))),"",X196-N(B196))</f>
        <v/>
      </c>
      <c r="AU196" s="17" t="str">
        <f aca="false">IF(OR(Y196="",NOT(ISNUMBER(Y196))),"",Y196-N(C196))</f>
        <v/>
      </c>
      <c r="AV196" s="17" t="str">
        <f aca="false">IF(OR(Z196="",NOT(ISNUMBER(Z196))),"",Z196-N(D196))</f>
        <v/>
      </c>
      <c r="AW196" s="17" t="str">
        <f aca="false">IF(OR(AA196="",NOT(ISNUMBER(AA196))),"",AA196-N(E196))</f>
        <v/>
      </c>
      <c r="AX196" s="17" t="str">
        <f aca="false">IF(OR(AB196="",NOT(ISNUMBER(AB196))),"",AB196-N(F196))</f>
        <v/>
      </c>
      <c r="AY196" s="17" t="str">
        <f aca="false">IF(OR(AC196="",NOT(ISNUMBER(AC196))),"",AC196-N(G196))</f>
        <v/>
      </c>
      <c r="AZ196" s="17" t="str">
        <f aca="false">IF(OR(AD196="",NOT(ISNUMBER(AD196))),"",AD196-N(H196))</f>
        <v/>
      </c>
      <c r="BA196" s="17" t="str">
        <f aca="false">IF(OR(AE196="",NOT(ISNUMBER(AE196))),"",AE196-N(I196))</f>
        <v/>
      </c>
      <c r="BB196" s="17" t="str">
        <f aca="false">IF(OR(AF196="",NOT(ISNUMBER(AF196))),"",AF196-N(J196))</f>
        <v/>
      </c>
      <c r="BC196" s="17" t="str">
        <f aca="false">IF(OR(AG196="",NOT(ISNUMBER(AG196))),"",AG196-N(K196))</f>
        <v/>
      </c>
      <c r="BD196" s="17" t="str">
        <f aca="false">IF(OR(AH196="",NOT(ISNUMBER(AH196))),"",AH196-N(L196))</f>
        <v/>
      </c>
      <c r="BE196" s="17" t="str">
        <f aca="false">IF(OR(AI196="",NOT(ISNUMBER(AI196))),"",AI196-N(M196))</f>
        <v/>
      </c>
      <c r="BF196" s="17" t="str">
        <f aca="false">IF(OR(AJ196="",NOT(ISNUMBER(AJ196))),"",AJ196-N(N196))</f>
        <v/>
      </c>
      <c r="BG196" s="17" t="str">
        <f aca="false">IF(OR(AK196="",NOT(ISNUMBER(AK196))),"",AK196-N(O196))</f>
        <v/>
      </c>
      <c r="BH196" s="17" t="str">
        <f aca="false">IF(OR(AL196="",NOT(ISNUMBER(AL196))),"",AL196-N(P196))</f>
        <v/>
      </c>
      <c r="BI196" s="17" t="str">
        <f aca="false">IF(OR(AM196="",NOT(ISNUMBER(AM196))),"",AM196-N(Q196))</f>
        <v/>
      </c>
      <c r="BJ196" s="17" t="str">
        <f aca="false">IF(OR(AN196="",NOT(ISNUMBER(AN196))),"",AN196-N(R196))</f>
        <v/>
      </c>
      <c r="BK196" s="17" t="str">
        <f aca="false">IF(OR(AO196="",NOT(ISNUMBER(AO196))),"",AO196-N(S196))</f>
        <v/>
      </c>
      <c r="BL196" s="17" t="str">
        <f aca="false">IF(OR(AP196="",NOT(ISNUMBER(AP196))),"",AP196-N(T196))</f>
        <v/>
      </c>
      <c r="BM196" s="17" t="str">
        <f aca="false">IF(OR(AQ196="",NOT(ISNUMBER(AQ196))),"",AQ196-N(U196))</f>
        <v/>
      </c>
      <c r="BR196" s="20" t="str">
        <f aca="false">IF($A196="","",IF(ISNUMBER($A196),DATE(YEAR($A196),MONTH($A196),1),IFERROR(DATE(2000+VALUE(RIGHT(TRIM($A196),2)),MATCH(UPPER(LEFT(TRIM($A196),3)),{"JAN","FEB","MAR","APR","MAY","JUN","JUL","AUG","SEP","OCT","NOV","DEC"},0),1),"")))</f>
        <v/>
      </c>
      <c r="BS196" s="20" t="str">
        <f aca="false">IF(BR196="","",EOMONTH(BR196,0))</f>
        <v/>
      </c>
    </row>
    <row r="197" customFormat="false" ht="15" hidden="false" customHeight="false" outlineLevel="0" collapsed="false">
      <c r="B197" s="21"/>
      <c r="C197" s="21"/>
      <c r="D197" s="21"/>
      <c r="E197" s="21"/>
      <c r="F197" s="21"/>
      <c r="G197" s="21"/>
      <c r="H197" s="21"/>
      <c r="I197" s="21"/>
      <c r="J197" s="21"/>
      <c r="K197" s="21"/>
      <c r="L197" s="21"/>
      <c r="M197" s="21"/>
      <c r="N197" s="21"/>
      <c r="O197" s="21"/>
      <c r="P197" s="21"/>
      <c r="Q197" s="21"/>
      <c r="R197" s="21"/>
      <c r="S197" s="21"/>
      <c r="T197" s="21"/>
      <c r="U197" s="21"/>
      <c r="X197" s="17" t="str">
        <f aca="false">IF(OR(B$7="",$BR197=""),"",IF('Tally Helper'!$B$3&lt;&gt;TRUE(),"not on Staff",SUMIFS('Tally Helper'!$L$5:$GI$5,'Tally Helper'!$L$3:$GI$3,"&gt;="&amp;$BR197,'Tally Helper'!$L$3:$GI$3,"&lt;="&amp;$BS197)))</f>
        <v/>
      </c>
      <c r="Y197" s="17" t="str">
        <f aca="false">IF(OR(C$7="",$BR197=""),"",IF('Tally Helper'!$B$6&lt;&gt;TRUE(),"not on Staff",SUMIFS('Tally Helper'!$L$8:$GI$8,'Tally Helper'!$L$6:$GI$6,"&gt;="&amp;$BR197,'Tally Helper'!$L$6:$GI$6,"&lt;="&amp;$BS197)))</f>
        <v/>
      </c>
      <c r="Z197" s="17" t="str">
        <f aca="false">IF(OR(D$7="",$BR197=""),"",IF('Tally Helper'!$B$9&lt;&gt;TRUE(),"not on Staff",SUMIFS('Tally Helper'!$L$11:$GI$11,'Tally Helper'!$L$9:$GI$9,"&gt;="&amp;$BR197,'Tally Helper'!$L$9:$GI$9,"&lt;="&amp;$BS197)))</f>
        <v/>
      </c>
      <c r="AA197" s="17" t="str">
        <f aca="false">IF(OR(E$7="",$BR197=""),"",IF('Tally Helper'!$B$12&lt;&gt;TRUE(),"not on Staff",SUMIFS('Tally Helper'!$L$14:$GI$14,'Tally Helper'!$L$12:$GI$12,"&gt;="&amp;$BR197,'Tally Helper'!$L$12:$GI$12,"&lt;="&amp;$BS197)))</f>
        <v/>
      </c>
      <c r="AB197" s="17" t="str">
        <f aca="false">IF(OR(F$7="",$BR197=""),"",IF('Tally Helper'!$B$15&lt;&gt;TRUE(),"not on Staff",SUMIFS('Tally Helper'!$L$17:$GI$17,'Tally Helper'!$L$15:$GI$15,"&gt;="&amp;$BR197,'Tally Helper'!$L$15:$GI$15,"&lt;="&amp;$BS197)))</f>
        <v/>
      </c>
      <c r="AC197" s="17" t="str">
        <f aca="false">IF(OR(G$7="",$BR197=""),"",IF('Tally Helper'!$B$18&lt;&gt;TRUE(),"not on Staff",SUMIFS('Tally Helper'!$L$20:$GI$20,'Tally Helper'!$L$18:$GI$18,"&gt;="&amp;$BR197,'Tally Helper'!$L$18:$GI$18,"&lt;="&amp;$BS197)))</f>
        <v/>
      </c>
      <c r="AD197" s="17" t="str">
        <f aca="false">IF(OR(H$7="",$BR197=""),"",IF('Tally Helper'!$B$21&lt;&gt;TRUE(),"not on Staff",SUMIFS('Tally Helper'!$L$23:$GI$23,'Tally Helper'!$L$21:$GI$21,"&gt;="&amp;$BR197,'Tally Helper'!$L$21:$GI$21,"&lt;="&amp;$BS197)))</f>
        <v/>
      </c>
      <c r="AE197" s="17" t="str">
        <f aca="false">IF(OR(I$7="",$BR197=""),"",IF('Tally Helper'!$B$24&lt;&gt;TRUE(),"not on Staff",SUMIFS('Tally Helper'!$L$26:$GI$26,'Tally Helper'!$L$24:$GI$24,"&gt;="&amp;$BR197,'Tally Helper'!$L$24:$GI$24,"&lt;="&amp;$BS197)))</f>
        <v/>
      </c>
      <c r="AF197" s="17" t="str">
        <f aca="false">IF(OR(J$7="",$BR197=""),"",IF('Tally Helper'!$B$27&lt;&gt;TRUE(),"not on Staff",SUMIFS('Tally Helper'!$L$29:$GI$29,'Tally Helper'!$L$27:$GI$27,"&gt;="&amp;$BR197,'Tally Helper'!$L$27:$GI$27,"&lt;="&amp;$BS197)))</f>
        <v/>
      </c>
      <c r="AG197" s="17" t="str">
        <f aca="false">IF(OR(K$7="",$BR197=""),"",IF('Tally Helper'!$B$30&lt;&gt;TRUE(),"not on Staff",SUMIFS('Tally Helper'!$L$32:$GI$32,'Tally Helper'!$L$30:$GI$30,"&gt;="&amp;$BR197,'Tally Helper'!$L$30:$GI$30,"&lt;="&amp;$BS197)))</f>
        <v/>
      </c>
      <c r="AH197" s="17" t="str">
        <f aca="false">IF(OR(L$7="",$BR197=""),"",IF('Tally Helper'!$B$33&lt;&gt;TRUE(),"not on Staff",SUMIFS('Tally Helper'!$L$35:$GI$35,'Tally Helper'!$L$33:$GI$33,"&gt;="&amp;$BR197,'Tally Helper'!$L$33:$GI$33,"&lt;="&amp;$BS197)))</f>
        <v/>
      </c>
      <c r="AI197" s="17" t="str">
        <f aca="false">IF(OR(M$7="",$BR197=""),"",IF('Tally Helper'!$B$36&lt;&gt;TRUE(),"not on Staff",SUMIFS('Tally Helper'!$L$38:$GI$38,'Tally Helper'!$L$36:$GI$36,"&gt;="&amp;$BR197,'Tally Helper'!$L$36:$GI$36,"&lt;="&amp;$BS197)))</f>
        <v/>
      </c>
      <c r="AJ197" s="17" t="str">
        <f aca="false">IF(OR(N$7="",$BR197=""),"",IF('Tally Helper'!$B$39&lt;&gt;TRUE(),"not on Staff",SUMIFS('Tally Helper'!$L$41:$GI$41,'Tally Helper'!$L$39:$GI$39,"&gt;="&amp;$BR197,'Tally Helper'!$L$39:$GI$39,"&lt;="&amp;$BS197)))</f>
        <v/>
      </c>
      <c r="AK197" s="17" t="str">
        <f aca="false">IF(OR(O$7="",$BR197=""),"",IF('Tally Helper'!$B$42&lt;&gt;TRUE(),"not on Staff",SUMIFS('Tally Helper'!$L$44:$GI$44,'Tally Helper'!$L$42:$GI$42,"&gt;="&amp;$BR197,'Tally Helper'!$L$42:$GI$42,"&lt;="&amp;$BS197)))</f>
        <v/>
      </c>
      <c r="AL197" s="17" t="str">
        <f aca="false">IF(OR(P$7="",$BR197=""),"",IF('Tally Helper'!$B$45&lt;&gt;TRUE(),"not on Staff",SUMIFS('Tally Helper'!$L$47:$GI$47,'Tally Helper'!$L$45:$GI$45,"&gt;="&amp;$BR197,'Tally Helper'!$L$45:$GI$45,"&lt;="&amp;$BS197)))</f>
        <v/>
      </c>
      <c r="AM197" s="17" t="str">
        <f aca="false">IF(OR(Q$7="",$BR197=""),"",IF('Tally Helper'!$B$48&lt;&gt;TRUE(),"not on Staff",SUMIFS('Tally Helper'!$L$50:$GI$50,'Tally Helper'!$L$48:$GI$48,"&gt;="&amp;$BR197,'Tally Helper'!$L$48:$GI$48,"&lt;="&amp;$BS197)))</f>
        <v/>
      </c>
      <c r="AN197" s="17" t="str">
        <f aca="false">IF(OR(R$7="",$BR197=""),"",IF('Tally Helper'!$B$51&lt;&gt;TRUE(),"not on Staff",SUMIFS('Tally Helper'!$L$53:$GI$53,'Tally Helper'!$L$51:$GI$51,"&gt;="&amp;$BR197,'Tally Helper'!$L$51:$GI$51,"&lt;="&amp;$BS197)))</f>
        <v/>
      </c>
      <c r="AO197" s="17" t="str">
        <f aca="false">IF(OR(S$7="",$BR197=""),"",IF('Tally Helper'!$B$54&lt;&gt;TRUE(),"not on Staff",SUMIFS('Tally Helper'!$L$56:$GI$56,'Tally Helper'!$L$54:$GI$54,"&gt;="&amp;$BR197,'Tally Helper'!$L$54:$GI$54,"&lt;="&amp;$BS197)))</f>
        <v/>
      </c>
      <c r="AP197" s="17" t="str">
        <f aca="false">IF(OR(T$7="",$BR197=""),"",IF('Tally Helper'!$B$57&lt;&gt;TRUE(),"not on Staff",SUMIFS('Tally Helper'!$L$59:$GI$59,'Tally Helper'!$L$57:$GI$57,"&gt;="&amp;$BR197,'Tally Helper'!$L$57:$GI$57,"&lt;="&amp;$BS197)))</f>
        <v/>
      </c>
      <c r="AQ197" s="17" t="str">
        <f aca="false">IF(OR(U$7="",$BR197=""),"",IF('Tally Helper'!$B$60&lt;&gt;TRUE(),"not on Staff",SUMIFS('Tally Helper'!$L$62:$GI$62,'Tally Helper'!$L$60:$GI$60,"&gt;="&amp;$BR197,'Tally Helper'!$L$60:$GI$60,"&lt;="&amp;$BS197)))</f>
        <v/>
      </c>
      <c r="AT197" s="17" t="str">
        <f aca="false">IF(OR(X197="",NOT(ISNUMBER(X197))),"",X197-N(B197))</f>
        <v/>
      </c>
      <c r="AU197" s="17" t="str">
        <f aca="false">IF(OR(Y197="",NOT(ISNUMBER(Y197))),"",Y197-N(C197))</f>
        <v/>
      </c>
      <c r="AV197" s="17" t="str">
        <f aca="false">IF(OR(Z197="",NOT(ISNUMBER(Z197))),"",Z197-N(D197))</f>
        <v/>
      </c>
      <c r="AW197" s="17" t="str">
        <f aca="false">IF(OR(AA197="",NOT(ISNUMBER(AA197))),"",AA197-N(E197))</f>
        <v/>
      </c>
      <c r="AX197" s="17" t="str">
        <f aca="false">IF(OR(AB197="",NOT(ISNUMBER(AB197))),"",AB197-N(F197))</f>
        <v/>
      </c>
      <c r="AY197" s="17" t="str">
        <f aca="false">IF(OR(AC197="",NOT(ISNUMBER(AC197))),"",AC197-N(G197))</f>
        <v/>
      </c>
      <c r="AZ197" s="17" t="str">
        <f aca="false">IF(OR(AD197="",NOT(ISNUMBER(AD197))),"",AD197-N(H197))</f>
        <v/>
      </c>
      <c r="BA197" s="17" t="str">
        <f aca="false">IF(OR(AE197="",NOT(ISNUMBER(AE197))),"",AE197-N(I197))</f>
        <v/>
      </c>
      <c r="BB197" s="17" t="str">
        <f aca="false">IF(OR(AF197="",NOT(ISNUMBER(AF197))),"",AF197-N(J197))</f>
        <v/>
      </c>
      <c r="BC197" s="17" t="str">
        <f aca="false">IF(OR(AG197="",NOT(ISNUMBER(AG197))),"",AG197-N(K197))</f>
        <v/>
      </c>
      <c r="BD197" s="17" t="str">
        <f aca="false">IF(OR(AH197="",NOT(ISNUMBER(AH197))),"",AH197-N(L197))</f>
        <v/>
      </c>
      <c r="BE197" s="17" t="str">
        <f aca="false">IF(OR(AI197="",NOT(ISNUMBER(AI197))),"",AI197-N(M197))</f>
        <v/>
      </c>
      <c r="BF197" s="17" t="str">
        <f aca="false">IF(OR(AJ197="",NOT(ISNUMBER(AJ197))),"",AJ197-N(N197))</f>
        <v/>
      </c>
      <c r="BG197" s="17" t="str">
        <f aca="false">IF(OR(AK197="",NOT(ISNUMBER(AK197))),"",AK197-N(O197))</f>
        <v/>
      </c>
      <c r="BH197" s="17" t="str">
        <f aca="false">IF(OR(AL197="",NOT(ISNUMBER(AL197))),"",AL197-N(P197))</f>
        <v/>
      </c>
      <c r="BI197" s="17" t="str">
        <f aca="false">IF(OR(AM197="",NOT(ISNUMBER(AM197))),"",AM197-N(Q197))</f>
        <v/>
      </c>
      <c r="BJ197" s="17" t="str">
        <f aca="false">IF(OR(AN197="",NOT(ISNUMBER(AN197))),"",AN197-N(R197))</f>
        <v/>
      </c>
      <c r="BK197" s="17" t="str">
        <f aca="false">IF(OR(AO197="",NOT(ISNUMBER(AO197))),"",AO197-N(S197))</f>
        <v/>
      </c>
      <c r="BL197" s="17" t="str">
        <f aca="false">IF(OR(AP197="",NOT(ISNUMBER(AP197))),"",AP197-N(T197))</f>
        <v/>
      </c>
      <c r="BM197" s="17" t="str">
        <f aca="false">IF(OR(AQ197="",NOT(ISNUMBER(AQ197))),"",AQ197-N(U197))</f>
        <v/>
      </c>
      <c r="BR197" s="20" t="str">
        <f aca="false">IF($A197="","",IF(ISNUMBER($A197),DATE(YEAR($A197),MONTH($A197),1),IFERROR(DATE(2000+VALUE(RIGHT(TRIM($A197),2)),MATCH(UPPER(LEFT(TRIM($A197),3)),{"JAN","FEB","MAR","APR","MAY","JUN","JUL","AUG","SEP","OCT","NOV","DEC"},0),1),"")))</f>
        <v/>
      </c>
      <c r="BS197" s="20" t="str">
        <f aca="false">IF(BR197="","",EOMONTH(BR197,0))</f>
        <v/>
      </c>
    </row>
    <row r="198" customFormat="false" ht="15" hidden="false" customHeight="false" outlineLevel="0" collapsed="false">
      <c r="B198" s="21"/>
      <c r="C198" s="21"/>
      <c r="D198" s="21"/>
      <c r="E198" s="21"/>
      <c r="F198" s="21"/>
      <c r="G198" s="21"/>
      <c r="H198" s="21"/>
      <c r="I198" s="21"/>
      <c r="J198" s="21"/>
      <c r="K198" s="21"/>
      <c r="L198" s="21"/>
      <c r="M198" s="21"/>
      <c r="N198" s="21"/>
      <c r="O198" s="21"/>
      <c r="P198" s="21"/>
      <c r="Q198" s="21"/>
      <c r="R198" s="21"/>
      <c r="S198" s="21"/>
      <c r="T198" s="21"/>
      <c r="U198" s="21"/>
      <c r="X198" s="17" t="str">
        <f aca="false">IF(OR(B$7="",$BR198=""),"",IF('Tally Helper'!$B$3&lt;&gt;TRUE(),"not on Staff",SUMIFS('Tally Helper'!$L$5:$GI$5,'Tally Helper'!$L$3:$GI$3,"&gt;="&amp;$BR198,'Tally Helper'!$L$3:$GI$3,"&lt;="&amp;$BS198)))</f>
        <v/>
      </c>
      <c r="Y198" s="17" t="str">
        <f aca="false">IF(OR(C$7="",$BR198=""),"",IF('Tally Helper'!$B$6&lt;&gt;TRUE(),"not on Staff",SUMIFS('Tally Helper'!$L$8:$GI$8,'Tally Helper'!$L$6:$GI$6,"&gt;="&amp;$BR198,'Tally Helper'!$L$6:$GI$6,"&lt;="&amp;$BS198)))</f>
        <v/>
      </c>
      <c r="Z198" s="17" t="str">
        <f aca="false">IF(OR(D$7="",$BR198=""),"",IF('Tally Helper'!$B$9&lt;&gt;TRUE(),"not on Staff",SUMIFS('Tally Helper'!$L$11:$GI$11,'Tally Helper'!$L$9:$GI$9,"&gt;="&amp;$BR198,'Tally Helper'!$L$9:$GI$9,"&lt;="&amp;$BS198)))</f>
        <v/>
      </c>
      <c r="AA198" s="17" t="str">
        <f aca="false">IF(OR(E$7="",$BR198=""),"",IF('Tally Helper'!$B$12&lt;&gt;TRUE(),"not on Staff",SUMIFS('Tally Helper'!$L$14:$GI$14,'Tally Helper'!$L$12:$GI$12,"&gt;="&amp;$BR198,'Tally Helper'!$L$12:$GI$12,"&lt;="&amp;$BS198)))</f>
        <v/>
      </c>
      <c r="AB198" s="17" t="str">
        <f aca="false">IF(OR(F$7="",$BR198=""),"",IF('Tally Helper'!$B$15&lt;&gt;TRUE(),"not on Staff",SUMIFS('Tally Helper'!$L$17:$GI$17,'Tally Helper'!$L$15:$GI$15,"&gt;="&amp;$BR198,'Tally Helper'!$L$15:$GI$15,"&lt;="&amp;$BS198)))</f>
        <v/>
      </c>
      <c r="AC198" s="17" t="str">
        <f aca="false">IF(OR(G$7="",$BR198=""),"",IF('Tally Helper'!$B$18&lt;&gt;TRUE(),"not on Staff",SUMIFS('Tally Helper'!$L$20:$GI$20,'Tally Helper'!$L$18:$GI$18,"&gt;="&amp;$BR198,'Tally Helper'!$L$18:$GI$18,"&lt;="&amp;$BS198)))</f>
        <v/>
      </c>
      <c r="AD198" s="17" t="str">
        <f aca="false">IF(OR(H$7="",$BR198=""),"",IF('Tally Helper'!$B$21&lt;&gt;TRUE(),"not on Staff",SUMIFS('Tally Helper'!$L$23:$GI$23,'Tally Helper'!$L$21:$GI$21,"&gt;="&amp;$BR198,'Tally Helper'!$L$21:$GI$21,"&lt;="&amp;$BS198)))</f>
        <v/>
      </c>
      <c r="AE198" s="17" t="str">
        <f aca="false">IF(OR(I$7="",$BR198=""),"",IF('Tally Helper'!$B$24&lt;&gt;TRUE(),"not on Staff",SUMIFS('Tally Helper'!$L$26:$GI$26,'Tally Helper'!$L$24:$GI$24,"&gt;="&amp;$BR198,'Tally Helper'!$L$24:$GI$24,"&lt;="&amp;$BS198)))</f>
        <v/>
      </c>
      <c r="AF198" s="17" t="str">
        <f aca="false">IF(OR(J$7="",$BR198=""),"",IF('Tally Helper'!$B$27&lt;&gt;TRUE(),"not on Staff",SUMIFS('Tally Helper'!$L$29:$GI$29,'Tally Helper'!$L$27:$GI$27,"&gt;="&amp;$BR198,'Tally Helper'!$L$27:$GI$27,"&lt;="&amp;$BS198)))</f>
        <v/>
      </c>
      <c r="AG198" s="17" t="str">
        <f aca="false">IF(OR(K$7="",$BR198=""),"",IF('Tally Helper'!$B$30&lt;&gt;TRUE(),"not on Staff",SUMIFS('Tally Helper'!$L$32:$GI$32,'Tally Helper'!$L$30:$GI$30,"&gt;="&amp;$BR198,'Tally Helper'!$L$30:$GI$30,"&lt;="&amp;$BS198)))</f>
        <v/>
      </c>
      <c r="AH198" s="17" t="str">
        <f aca="false">IF(OR(L$7="",$BR198=""),"",IF('Tally Helper'!$B$33&lt;&gt;TRUE(),"not on Staff",SUMIFS('Tally Helper'!$L$35:$GI$35,'Tally Helper'!$L$33:$GI$33,"&gt;="&amp;$BR198,'Tally Helper'!$L$33:$GI$33,"&lt;="&amp;$BS198)))</f>
        <v/>
      </c>
      <c r="AI198" s="17" t="str">
        <f aca="false">IF(OR(M$7="",$BR198=""),"",IF('Tally Helper'!$B$36&lt;&gt;TRUE(),"not on Staff",SUMIFS('Tally Helper'!$L$38:$GI$38,'Tally Helper'!$L$36:$GI$36,"&gt;="&amp;$BR198,'Tally Helper'!$L$36:$GI$36,"&lt;="&amp;$BS198)))</f>
        <v/>
      </c>
      <c r="AJ198" s="17" t="str">
        <f aca="false">IF(OR(N$7="",$BR198=""),"",IF('Tally Helper'!$B$39&lt;&gt;TRUE(),"not on Staff",SUMIFS('Tally Helper'!$L$41:$GI$41,'Tally Helper'!$L$39:$GI$39,"&gt;="&amp;$BR198,'Tally Helper'!$L$39:$GI$39,"&lt;="&amp;$BS198)))</f>
        <v/>
      </c>
      <c r="AK198" s="17" t="str">
        <f aca="false">IF(OR(O$7="",$BR198=""),"",IF('Tally Helper'!$B$42&lt;&gt;TRUE(),"not on Staff",SUMIFS('Tally Helper'!$L$44:$GI$44,'Tally Helper'!$L$42:$GI$42,"&gt;="&amp;$BR198,'Tally Helper'!$L$42:$GI$42,"&lt;="&amp;$BS198)))</f>
        <v/>
      </c>
      <c r="AL198" s="17" t="str">
        <f aca="false">IF(OR(P$7="",$BR198=""),"",IF('Tally Helper'!$B$45&lt;&gt;TRUE(),"not on Staff",SUMIFS('Tally Helper'!$L$47:$GI$47,'Tally Helper'!$L$45:$GI$45,"&gt;="&amp;$BR198,'Tally Helper'!$L$45:$GI$45,"&lt;="&amp;$BS198)))</f>
        <v/>
      </c>
      <c r="AM198" s="17" t="str">
        <f aca="false">IF(OR(Q$7="",$BR198=""),"",IF('Tally Helper'!$B$48&lt;&gt;TRUE(),"not on Staff",SUMIFS('Tally Helper'!$L$50:$GI$50,'Tally Helper'!$L$48:$GI$48,"&gt;="&amp;$BR198,'Tally Helper'!$L$48:$GI$48,"&lt;="&amp;$BS198)))</f>
        <v/>
      </c>
      <c r="AN198" s="17" t="str">
        <f aca="false">IF(OR(R$7="",$BR198=""),"",IF('Tally Helper'!$B$51&lt;&gt;TRUE(),"not on Staff",SUMIFS('Tally Helper'!$L$53:$GI$53,'Tally Helper'!$L$51:$GI$51,"&gt;="&amp;$BR198,'Tally Helper'!$L$51:$GI$51,"&lt;="&amp;$BS198)))</f>
        <v/>
      </c>
      <c r="AO198" s="17" t="str">
        <f aca="false">IF(OR(S$7="",$BR198=""),"",IF('Tally Helper'!$B$54&lt;&gt;TRUE(),"not on Staff",SUMIFS('Tally Helper'!$L$56:$GI$56,'Tally Helper'!$L$54:$GI$54,"&gt;="&amp;$BR198,'Tally Helper'!$L$54:$GI$54,"&lt;="&amp;$BS198)))</f>
        <v/>
      </c>
      <c r="AP198" s="17" t="str">
        <f aca="false">IF(OR(T$7="",$BR198=""),"",IF('Tally Helper'!$B$57&lt;&gt;TRUE(),"not on Staff",SUMIFS('Tally Helper'!$L$59:$GI$59,'Tally Helper'!$L$57:$GI$57,"&gt;="&amp;$BR198,'Tally Helper'!$L$57:$GI$57,"&lt;="&amp;$BS198)))</f>
        <v/>
      </c>
      <c r="AQ198" s="17" t="str">
        <f aca="false">IF(OR(U$7="",$BR198=""),"",IF('Tally Helper'!$B$60&lt;&gt;TRUE(),"not on Staff",SUMIFS('Tally Helper'!$L$62:$GI$62,'Tally Helper'!$L$60:$GI$60,"&gt;="&amp;$BR198,'Tally Helper'!$L$60:$GI$60,"&lt;="&amp;$BS198)))</f>
        <v/>
      </c>
      <c r="AT198" s="17" t="str">
        <f aca="false">IF(OR(X198="",NOT(ISNUMBER(X198))),"",X198-N(B198))</f>
        <v/>
      </c>
      <c r="AU198" s="17" t="str">
        <f aca="false">IF(OR(Y198="",NOT(ISNUMBER(Y198))),"",Y198-N(C198))</f>
        <v/>
      </c>
      <c r="AV198" s="17" t="str">
        <f aca="false">IF(OR(Z198="",NOT(ISNUMBER(Z198))),"",Z198-N(D198))</f>
        <v/>
      </c>
      <c r="AW198" s="17" t="str">
        <f aca="false">IF(OR(AA198="",NOT(ISNUMBER(AA198))),"",AA198-N(E198))</f>
        <v/>
      </c>
      <c r="AX198" s="17" t="str">
        <f aca="false">IF(OR(AB198="",NOT(ISNUMBER(AB198))),"",AB198-N(F198))</f>
        <v/>
      </c>
      <c r="AY198" s="17" t="str">
        <f aca="false">IF(OR(AC198="",NOT(ISNUMBER(AC198))),"",AC198-N(G198))</f>
        <v/>
      </c>
      <c r="AZ198" s="17" t="str">
        <f aca="false">IF(OR(AD198="",NOT(ISNUMBER(AD198))),"",AD198-N(H198))</f>
        <v/>
      </c>
      <c r="BA198" s="17" t="str">
        <f aca="false">IF(OR(AE198="",NOT(ISNUMBER(AE198))),"",AE198-N(I198))</f>
        <v/>
      </c>
      <c r="BB198" s="17" t="str">
        <f aca="false">IF(OR(AF198="",NOT(ISNUMBER(AF198))),"",AF198-N(J198))</f>
        <v/>
      </c>
      <c r="BC198" s="17" t="str">
        <f aca="false">IF(OR(AG198="",NOT(ISNUMBER(AG198))),"",AG198-N(K198))</f>
        <v/>
      </c>
      <c r="BD198" s="17" t="str">
        <f aca="false">IF(OR(AH198="",NOT(ISNUMBER(AH198))),"",AH198-N(L198))</f>
        <v/>
      </c>
      <c r="BE198" s="17" t="str">
        <f aca="false">IF(OR(AI198="",NOT(ISNUMBER(AI198))),"",AI198-N(M198))</f>
        <v/>
      </c>
      <c r="BF198" s="17" t="str">
        <f aca="false">IF(OR(AJ198="",NOT(ISNUMBER(AJ198))),"",AJ198-N(N198))</f>
        <v/>
      </c>
      <c r="BG198" s="17" t="str">
        <f aca="false">IF(OR(AK198="",NOT(ISNUMBER(AK198))),"",AK198-N(O198))</f>
        <v/>
      </c>
      <c r="BH198" s="17" t="str">
        <f aca="false">IF(OR(AL198="",NOT(ISNUMBER(AL198))),"",AL198-N(P198))</f>
        <v/>
      </c>
      <c r="BI198" s="17" t="str">
        <f aca="false">IF(OR(AM198="",NOT(ISNUMBER(AM198))),"",AM198-N(Q198))</f>
        <v/>
      </c>
      <c r="BJ198" s="17" t="str">
        <f aca="false">IF(OR(AN198="",NOT(ISNUMBER(AN198))),"",AN198-N(R198))</f>
        <v/>
      </c>
      <c r="BK198" s="17" t="str">
        <f aca="false">IF(OR(AO198="",NOT(ISNUMBER(AO198))),"",AO198-N(S198))</f>
        <v/>
      </c>
      <c r="BL198" s="17" t="str">
        <f aca="false">IF(OR(AP198="",NOT(ISNUMBER(AP198))),"",AP198-N(T198))</f>
        <v/>
      </c>
      <c r="BM198" s="17" t="str">
        <f aca="false">IF(OR(AQ198="",NOT(ISNUMBER(AQ198))),"",AQ198-N(U198))</f>
        <v/>
      </c>
      <c r="BR198" s="20" t="str">
        <f aca="false">IF($A198="","",IF(ISNUMBER($A198),DATE(YEAR($A198),MONTH($A198),1),IFERROR(DATE(2000+VALUE(RIGHT(TRIM($A198),2)),MATCH(UPPER(LEFT(TRIM($A198),3)),{"JAN","FEB","MAR","APR","MAY","JUN","JUL","AUG","SEP","OCT","NOV","DEC"},0),1),"")))</f>
        <v/>
      </c>
      <c r="BS198" s="20" t="str">
        <f aca="false">IF(BR198="","",EOMONTH(BR198,0))</f>
        <v/>
      </c>
    </row>
    <row r="199" customFormat="false" ht="15" hidden="false" customHeight="false" outlineLevel="0" collapsed="false">
      <c r="B199" s="21"/>
      <c r="C199" s="21"/>
      <c r="D199" s="21"/>
      <c r="E199" s="21"/>
      <c r="F199" s="21"/>
      <c r="G199" s="21"/>
      <c r="H199" s="21"/>
      <c r="I199" s="21"/>
      <c r="J199" s="21"/>
      <c r="K199" s="21"/>
      <c r="L199" s="21"/>
      <c r="M199" s="21"/>
      <c r="N199" s="21"/>
      <c r="O199" s="21"/>
      <c r="P199" s="21"/>
      <c r="Q199" s="21"/>
      <c r="R199" s="21"/>
      <c r="S199" s="21"/>
      <c r="T199" s="21"/>
      <c r="U199" s="21"/>
      <c r="X199" s="17" t="str">
        <f aca="false">IF(OR(B$7="",$BR199=""),"",IF('Tally Helper'!$B$3&lt;&gt;TRUE(),"not on Staff",SUMIFS('Tally Helper'!$L$5:$GI$5,'Tally Helper'!$L$3:$GI$3,"&gt;="&amp;$BR199,'Tally Helper'!$L$3:$GI$3,"&lt;="&amp;$BS199)))</f>
        <v/>
      </c>
      <c r="Y199" s="17" t="str">
        <f aca="false">IF(OR(C$7="",$BR199=""),"",IF('Tally Helper'!$B$6&lt;&gt;TRUE(),"not on Staff",SUMIFS('Tally Helper'!$L$8:$GI$8,'Tally Helper'!$L$6:$GI$6,"&gt;="&amp;$BR199,'Tally Helper'!$L$6:$GI$6,"&lt;="&amp;$BS199)))</f>
        <v/>
      </c>
      <c r="Z199" s="17" t="str">
        <f aca="false">IF(OR(D$7="",$BR199=""),"",IF('Tally Helper'!$B$9&lt;&gt;TRUE(),"not on Staff",SUMIFS('Tally Helper'!$L$11:$GI$11,'Tally Helper'!$L$9:$GI$9,"&gt;="&amp;$BR199,'Tally Helper'!$L$9:$GI$9,"&lt;="&amp;$BS199)))</f>
        <v/>
      </c>
      <c r="AA199" s="17" t="str">
        <f aca="false">IF(OR(E$7="",$BR199=""),"",IF('Tally Helper'!$B$12&lt;&gt;TRUE(),"not on Staff",SUMIFS('Tally Helper'!$L$14:$GI$14,'Tally Helper'!$L$12:$GI$12,"&gt;="&amp;$BR199,'Tally Helper'!$L$12:$GI$12,"&lt;="&amp;$BS199)))</f>
        <v/>
      </c>
      <c r="AB199" s="17" t="str">
        <f aca="false">IF(OR(F$7="",$BR199=""),"",IF('Tally Helper'!$B$15&lt;&gt;TRUE(),"not on Staff",SUMIFS('Tally Helper'!$L$17:$GI$17,'Tally Helper'!$L$15:$GI$15,"&gt;="&amp;$BR199,'Tally Helper'!$L$15:$GI$15,"&lt;="&amp;$BS199)))</f>
        <v/>
      </c>
      <c r="AC199" s="17" t="str">
        <f aca="false">IF(OR(G$7="",$BR199=""),"",IF('Tally Helper'!$B$18&lt;&gt;TRUE(),"not on Staff",SUMIFS('Tally Helper'!$L$20:$GI$20,'Tally Helper'!$L$18:$GI$18,"&gt;="&amp;$BR199,'Tally Helper'!$L$18:$GI$18,"&lt;="&amp;$BS199)))</f>
        <v/>
      </c>
      <c r="AD199" s="17" t="str">
        <f aca="false">IF(OR(H$7="",$BR199=""),"",IF('Tally Helper'!$B$21&lt;&gt;TRUE(),"not on Staff",SUMIFS('Tally Helper'!$L$23:$GI$23,'Tally Helper'!$L$21:$GI$21,"&gt;="&amp;$BR199,'Tally Helper'!$L$21:$GI$21,"&lt;="&amp;$BS199)))</f>
        <v/>
      </c>
      <c r="AE199" s="17" t="str">
        <f aca="false">IF(OR(I$7="",$BR199=""),"",IF('Tally Helper'!$B$24&lt;&gt;TRUE(),"not on Staff",SUMIFS('Tally Helper'!$L$26:$GI$26,'Tally Helper'!$L$24:$GI$24,"&gt;="&amp;$BR199,'Tally Helper'!$L$24:$GI$24,"&lt;="&amp;$BS199)))</f>
        <v/>
      </c>
      <c r="AF199" s="17" t="str">
        <f aca="false">IF(OR(J$7="",$BR199=""),"",IF('Tally Helper'!$B$27&lt;&gt;TRUE(),"not on Staff",SUMIFS('Tally Helper'!$L$29:$GI$29,'Tally Helper'!$L$27:$GI$27,"&gt;="&amp;$BR199,'Tally Helper'!$L$27:$GI$27,"&lt;="&amp;$BS199)))</f>
        <v/>
      </c>
      <c r="AG199" s="17" t="str">
        <f aca="false">IF(OR(K$7="",$BR199=""),"",IF('Tally Helper'!$B$30&lt;&gt;TRUE(),"not on Staff",SUMIFS('Tally Helper'!$L$32:$GI$32,'Tally Helper'!$L$30:$GI$30,"&gt;="&amp;$BR199,'Tally Helper'!$L$30:$GI$30,"&lt;="&amp;$BS199)))</f>
        <v/>
      </c>
      <c r="AH199" s="17" t="str">
        <f aca="false">IF(OR(L$7="",$BR199=""),"",IF('Tally Helper'!$B$33&lt;&gt;TRUE(),"not on Staff",SUMIFS('Tally Helper'!$L$35:$GI$35,'Tally Helper'!$L$33:$GI$33,"&gt;="&amp;$BR199,'Tally Helper'!$L$33:$GI$33,"&lt;="&amp;$BS199)))</f>
        <v/>
      </c>
      <c r="AI199" s="17" t="str">
        <f aca="false">IF(OR(M$7="",$BR199=""),"",IF('Tally Helper'!$B$36&lt;&gt;TRUE(),"not on Staff",SUMIFS('Tally Helper'!$L$38:$GI$38,'Tally Helper'!$L$36:$GI$36,"&gt;="&amp;$BR199,'Tally Helper'!$L$36:$GI$36,"&lt;="&amp;$BS199)))</f>
        <v/>
      </c>
      <c r="AJ199" s="17" t="str">
        <f aca="false">IF(OR(N$7="",$BR199=""),"",IF('Tally Helper'!$B$39&lt;&gt;TRUE(),"not on Staff",SUMIFS('Tally Helper'!$L$41:$GI$41,'Tally Helper'!$L$39:$GI$39,"&gt;="&amp;$BR199,'Tally Helper'!$L$39:$GI$39,"&lt;="&amp;$BS199)))</f>
        <v/>
      </c>
      <c r="AK199" s="17" t="str">
        <f aca="false">IF(OR(O$7="",$BR199=""),"",IF('Tally Helper'!$B$42&lt;&gt;TRUE(),"not on Staff",SUMIFS('Tally Helper'!$L$44:$GI$44,'Tally Helper'!$L$42:$GI$42,"&gt;="&amp;$BR199,'Tally Helper'!$L$42:$GI$42,"&lt;="&amp;$BS199)))</f>
        <v/>
      </c>
      <c r="AL199" s="17" t="str">
        <f aca="false">IF(OR(P$7="",$BR199=""),"",IF('Tally Helper'!$B$45&lt;&gt;TRUE(),"not on Staff",SUMIFS('Tally Helper'!$L$47:$GI$47,'Tally Helper'!$L$45:$GI$45,"&gt;="&amp;$BR199,'Tally Helper'!$L$45:$GI$45,"&lt;="&amp;$BS199)))</f>
        <v/>
      </c>
      <c r="AM199" s="17" t="str">
        <f aca="false">IF(OR(Q$7="",$BR199=""),"",IF('Tally Helper'!$B$48&lt;&gt;TRUE(),"not on Staff",SUMIFS('Tally Helper'!$L$50:$GI$50,'Tally Helper'!$L$48:$GI$48,"&gt;="&amp;$BR199,'Tally Helper'!$L$48:$GI$48,"&lt;="&amp;$BS199)))</f>
        <v/>
      </c>
      <c r="AN199" s="17" t="str">
        <f aca="false">IF(OR(R$7="",$BR199=""),"",IF('Tally Helper'!$B$51&lt;&gt;TRUE(),"not on Staff",SUMIFS('Tally Helper'!$L$53:$GI$53,'Tally Helper'!$L$51:$GI$51,"&gt;="&amp;$BR199,'Tally Helper'!$L$51:$GI$51,"&lt;="&amp;$BS199)))</f>
        <v/>
      </c>
      <c r="AO199" s="17" t="str">
        <f aca="false">IF(OR(S$7="",$BR199=""),"",IF('Tally Helper'!$B$54&lt;&gt;TRUE(),"not on Staff",SUMIFS('Tally Helper'!$L$56:$GI$56,'Tally Helper'!$L$54:$GI$54,"&gt;="&amp;$BR199,'Tally Helper'!$L$54:$GI$54,"&lt;="&amp;$BS199)))</f>
        <v/>
      </c>
      <c r="AP199" s="17" t="str">
        <f aca="false">IF(OR(T$7="",$BR199=""),"",IF('Tally Helper'!$B$57&lt;&gt;TRUE(),"not on Staff",SUMIFS('Tally Helper'!$L$59:$GI$59,'Tally Helper'!$L$57:$GI$57,"&gt;="&amp;$BR199,'Tally Helper'!$L$57:$GI$57,"&lt;="&amp;$BS199)))</f>
        <v/>
      </c>
      <c r="AQ199" s="17" t="str">
        <f aca="false">IF(OR(U$7="",$BR199=""),"",IF('Tally Helper'!$B$60&lt;&gt;TRUE(),"not on Staff",SUMIFS('Tally Helper'!$L$62:$GI$62,'Tally Helper'!$L$60:$GI$60,"&gt;="&amp;$BR199,'Tally Helper'!$L$60:$GI$60,"&lt;="&amp;$BS199)))</f>
        <v/>
      </c>
      <c r="AT199" s="17" t="str">
        <f aca="false">IF(OR(X199="",NOT(ISNUMBER(X199))),"",X199-N(B199))</f>
        <v/>
      </c>
      <c r="AU199" s="17" t="str">
        <f aca="false">IF(OR(Y199="",NOT(ISNUMBER(Y199))),"",Y199-N(C199))</f>
        <v/>
      </c>
      <c r="AV199" s="17" t="str">
        <f aca="false">IF(OR(Z199="",NOT(ISNUMBER(Z199))),"",Z199-N(D199))</f>
        <v/>
      </c>
      <c r="AW199" s="17" t="str">
        <f aca="false">IF(OR(AA199="",NOT(ISNUMBER(AA199))),"",AA199-N(E199))</f>
        <v/>
      </c>
      <c r="AX199" s="17" t="str">
        <f aca="false">IF(OR(AB199="",NOT(ISNUMBER(AB199))),"",AB199-N(F199))</f>
        <v/>
      </c>
      <c r="AY199" s="17" t="str">
        <f aca="false">IF(OR(AC199="",NOT(ISNUMBER(AC199))),"",AC199-N(G199))</f>
        <v/>
      </c>
      <c r="AZ199" s="17" t="str">
        <f aca="false">IF(OR(AD199="",NOT(ISNUMBER(AD199))),"",AD199-N(H199))</f>
        <v/>
      </c>
      <c r="BA199" s="17" t="str">
        <f aca="false">IF(OR(AE199="",NOT(ISNUMBER(AE199))),"",AE199-N(I199))</f>
        <v/>
      </c>
      <c r="BB199" s="17" t="str">
        <f aca="false">IF(OR(AF199="",NOT(ISNUMBER(AF199))),"",AF199-N(J199))</f>
        <v/>
      </c>
      <c r="BC199" s="17" t="str">
        <f aca="false">IF(OR(AG199="",NOT(ISNUMBER(AG199))),"",AG199-N(K199))</f>
        <v/>
      </c>
      <c r="BD199" s="17" t="str">
        <f aca="false">IF(OR(AH199="",NOT(ISNUMBER(AH199))),"",AH199-N(L199))</f>
        <v/>
      </c>
      <c r="BE199" s="17" t="str">
        <f aca="false">IF(OR(AI199="",NOT(ISNUMBER(AI199))),"",AI199-N(M199))</f>
        <v/>
      </c>
      <c r="BF199" s="17" t="str">
        <f aca="false">IF(OR(AJ199="",NOT(ISNUMBER(AJ199))),"",AJ199-N(N199))</f>
        <v/>
      </c>
      <c r="BG199" s="17" t="str">
        <f aca="false">IF(OR(AK199="",NOT(ISNUMBER(AK199))),"",AK199-N(O199))</f>
        <v/>
      </c>
      <c r="BH199" s="17" t="str">
        <f aca="false">IF(OR(AL199="",NOT(ISNUMBER(AL199))),"",AL199-N(P199))</f>
        <v/>
      </c>
      <c r="BI199" s="17" t="str">
        <f aca="false">IF(OR(AM199="",NOT(ISNUMBER(AM199))),"",AM199-N(Q199))</f>
        <v/>
      </c>
      <c r="BJ199" s="17" t="str">
        <f aca="false">IF(OR(AN199="",NOT(ISNUMBER(AN199))),"",AN199-N(R199))</f>
        <v/>
      </c>
      <c r="BK199" s="17" t="str">
        <f aca="false">IF(OR(AO199="",NOT(ISNUMBER(AO199))),"",AO199-N(S199))</f>
        <v/>
      </c>
      <c r="BL199" s="17" t="str">
        <f aca="false">IF(OR(AP199="",NOT(ISNUMBER(AP199))),"",AP199-N(T199))</f>
        <v/>
      </c>
      <c r="BM199" s="17" t="str">
        <f aca="false">IF(OR(AQ199="",NOT(ISNUMBER(AQ199))),"",AQ199-N(U199))</f>
        <v/>
      </c>
      <c r="BR199" s="20" t="str">
        <f aca="false">IF($A199="","",IF(ISNUMBER($A199),DATE(YEAR($A199),MONTH($A199),1),IFERROR(DATE(2000+VALUE(RIGHT(TRIM($A199),2)),MATCH(UPPER(LEFT(TRIM($A199),3)),{"JAN","FEB","MAR","APR","MAY","JUN","JUL","AUG","SEP","OCT","NOV","DEC"},0),1),"")))</f>
        <v/>
      </c>
      <c r="BS199" s="20" t="str">
        <f aca="false">IF(BR199="","",EOMONTH(BR199,0))</f>
        <v/>
      </c>
    </row>
    <row r="200" customFormat="false" ht="15" hidden="false" customHeight="false" outlineLevel="0" collapsed="false">
      <c r="B200" s="21"/>
      <c r="C200" s="21"/>
      <c r="D200" s="21"/>
      <c r="E200" s="21"/>
      <c r="F200" s="21"/>
      <c r="G200" s="21"/>
      <c r="H200" s="21"/>
      <c r="I200" s="21"/>
      <c r="J200" s="21"/>
      <c r="K200" s="21"/>
      <c r="L200" s="21"/>
      <c r="M200" s="21"/>
      <c r="N200" s="21"/>
      <c r="O200" s="21"/>
      <c r="P200" s="21"/>
      <c r="Q200" s="21"/>
      <c r="R200" s="21"/>
      <c r="S200" s="21"/>
      <c r="T200" s="21"/>
      <c r="U200" s="21"/>
      <c r="X200" s="17" t="str">
        <f aca="false">IF(OR(B$7="",$BR200=""),"",IF('Tally Helper'!$B$3&lt;&gt;TRUE(),"not on Staff",SUMIFS('Tally Helper'!$L$5:$GI$5,'Tally Helper'!$L$3:$GI$3,"&gt;="&amp;$BR200,'Tally Helper'!$L$3:$GI$3,"&lt;="&amp;$BS200)))</f>
        <v/>
      </c>
      <c r="Y200" s="17" t="str">
        <f aca="false">IF(OR(C$7="",$BR200=""),"",IF('Tally Helper'!$B$6&lt;&gt;TRUE(),"not on Staff",SUMIFS('Tally Helper'!$L$8:$GI$8,'Tally Helper'!$L$6:$GI$6,"&gt;="&amp;$BR200,'Tally Helper'!$L$6:$GI$6,"&lt;="&amp;$BS200)))</f>
        <v/>
      </c>
      <c r="Z200" s="17" t="str">
        <f aca="false">IF(OR(D$7="",$BR200=""),"",IF('Tally Helper'!$B$9&lt;&gt;TRUE(),"not on Staff",SUMIFS('Tally Helper'!$L$11:$GI$11,'Tally Helper'!$L$9:$GI$9,"&gt;="&amp;$BR200,'Tally Helper'!$L$9:$GI$9,"&lt;="&amp;$BS200)))</f>
        <v/>
      </c>
      <c r="AA200" s="17" t="str">
        <f aca="false">IF(OR(E$7="",$BR200=""),"",IF('Tally Helper'!$B$12&lt;&gt;TRUE(),"not on Staff",SUMIFS('Tally Helper'!$L$14:$GI$14,'Tally Helper'!$L$12:$GI$12,"&gt;="&amp;$BR200,'Tally Helper'!$L$12:$GI$12,"&lt;="&amp;$BS200)))</f>
        <v/>
      </c>
      <c r="AB200" s="17" t="str">
        <f aca="false">IF(OR(F$7="",$BR200=""),"",IF('Tally Helper'!$B$15&lt;&gt;TRUE(),"not on Staff",SUMIFS('Tally Helper'!$L$17:$GI$17,'Tally Helper'!$L$15:$GI$15,"&gt;="&amp;$BR200,'Tally Helper'!$L$15:$GI$15,"&lt;="&amp;$BS200)))</f>
        <v/>
      </c>
      <c r="AC200" s="17" t="str">
        <f aca="false">IF(OR(G$7="",$BR200=""),"",IF('Tally Helper'!$B$18&lt;&gt;TRUE(),"not on Staff",SUMIFS('Tally Helper'!$L$20:$GI$20,'Tally Helper'!$L$18:$GI$18,"&gt;="&amp;$BR200,'Tally Helper'!$L$18:$GI$18,"&lt;="&amp;$BS200)))</f>
        <v/>
      </c>
      <c r="AD200" s="17" t="str">
        <f aca="false">IF(OR(H$7="",$BR200=""),"",IF('Tally Helper'!$B$21&lt;&gt;TRUE(),"not on Staff",SUMIFS('Tally Helper'!$L$23:$GI$23,'Tally Helper'!$L$21:$GI$21,"&gt;="&amp;$BR200,'Tally Helper'!$L$21:$GI$21,"&lt;="&amp;$BS200)))</f>
        <v/>
      </c>
      <c r="AE200" s="17" t="str">
        <f aca="false">IF(OR(I$7="",$BR200=""),"",IF('Tally Helper'!$B$24&lt;&gt;TRUE(),"not on Staff",SUMIFS('Tally Helper'!$L$26:$GI$26,'Tally Helper'!$L$24:$GI$24,"&gt;="&amp;$BR200,'Tally Helper'!$L$24:$GI$24,"&lt;="&amp;$BS200)))</f>
        <v/>
      </c>
      <c r="AF200" s="17" t="str">
        <f aca="false">IF(OR(J$7="",$BR200=""),"",IF('Tally Helper'!$B$27&lt;&gt;TRUE(),"not on Staff",SUMIFS('Tally Helper'!$L$29:$GI$29,'Tally Helper'!$L$27:$GI$27,"&gt;="&amp;$BR200,'Tally Helper'!$L$27:$GI$27,"&lt;="&amp;$BS200)))</f>
        <v/>
      </c>
      <c r="AG200" s="17" t="str">
        <f aca="false">IF(OR(K$7="",$BR200=""),"",IF('Tally Helper'!$B$30&lt;&gt;TRUE(),"not on Staff",SUMIFS('Tally Helper'!$L$32:$GI$32,'Tally Helper'!$L$30:$GI$30,"&gt;="&amp;$BR200,'Tally Helper'!$L$30:$GI$30,"&lt;="&amp;$BS200)))</f>
        <v/>
      </c>
      <c r="AH200" s="17" t="str">
        <f aca="false">IF(OR(L$7="",$BR200=""),"",IF('Tally Helper'!$B$33&lt;&gt;TRUE(),"not on Staff",SUMIFS('Tally Helper'!$L$35:$GI$35,'Tally Helper'!$L$33:$GI$33,"&gt;="&amp;$BR200,'Tally Helper'!$L$33:$GI$33,"&lt;="&amp;$BS200)))</f>
        <v/>
      </c>
      <c r="AI200" s="17" t="str">
        <f aca="false">IF(OR(M$7="",$BR200=""),"",IF('Tally Helper'!$B$36&lt;&gt;TRUE(),"not on Staff",SUMIFS('Tally Helper'!$L$38:$GI$38,'Tally Helper'!$L$36:$GI$36,"&gt;="&amp;$BR200,'Tally Helper'!$L$36:$GI$36,"&lt;="&amp;$BS200)))</f>
        <v/>
      </c>
      <c r="AJ200" s="17" t="str">
        <f aca="false">IF(OR(N$7="",$BR200=""),"",IF('Tally Helper'!$B$39&lt;&gt;TRUE(),"not on Staff",SUMIFS('Tally Helper'!$L$41:$GI$41,'Tally Helper'!$L$39:$GI$39,"&gt;="&amp;$BR200,'Tally Helper'!$L$39:$GI$39,"&lt;="&amp;$BS200)))</f>
        <v/>
      </c>
      <c r="AK200" s="17" t="str">
        <f aca="false">IF(OR(O$7="",$BR200=""),"",IF('Tally Helper'!$B$42&lt;&gt;TRUE(),"not on Staff",SUMIFS('Tally Helper'!$L$44:$GI$44,'Tally Helper'!$L$42:$GI$42,"&gt;="&amp;$BR200,'Tally Helper'!$L$42:$GI$42,"&lt;="&amp;$BS200)))</f>
        <v/>
      </c>
      <c r="AL200" s="17" t="str">
        <f aca="false">IF(OR(P$7="",$BR200=""),"",IF('Tally Helper'!$B$45&lt;&gt;TRUE(),"not on Staff",SUMIFS('Tally Helper'!$L$47:$GI$47,'Tally Helper'!$L$45:$GI$45,"&gt;="&amp;$BR200,'Tally Helper'!$L$45:$GI$45,"&lt;="&amp;$BS200)))</f>
        <v/>
      </c>
      <c r="AM200" s="17" t="str">
        <f aca="false">IF(OR(Q$7="",$BR200=""),"",IF('Tally Helper'!$B$48&lt;&gt;TRUE(),"not on Staff",SUMIFS('Tally Helper'!$L$50:$GI$50,'Tally Helper'!$L$48:$GI$48,"&gt;="&amp;$BR200,'Tally Helper'!$L$48:$GI$48,"&lt;="&amp;$BS200)))</f>
        <v/>
      </c>
      <c r="AN200" s="17" t="str">
        <f aca="false">IF(OR(R$7="",$BR200=""),"",IF('Tally Helper'!$B$51&lt;&gt;TRUE(),"not on Staff",SUMIFS('Tally Helper'!$L$53:$GI$53,'Tally Helper'!$L$51:$GI$51,"&gt;="&amp;$BR200,'Tally Helper'!$L$51:$GI$51,"&lt;="&amp;$BS200)))</f>
        <v/>
      </c>
      <c r="AO200" s="17" t="str">
        <f aca="false">IF(OR(S$7="",$BR200=""),"",IF('Tally Helper'!$B$54&lt;&gt;TRUE(),"not on Staff",SUMIFS('Tally Helper'!$L$56:$GI$56,'Tally Helper'!$L$54:$GI$54,"&gt;="&amp;$BR200,'Tally Helper'!$L$54:$GI$54,"&lt;="&amp;$BS200)))</f>
        <v/>
      </c>
      <c r="AP200" s="17" t="str">
        <f aca="false">IF(OR(T$7="",$BR200=""),"",IF('Tally Helper'!$B$57&lt;&gt;TRUE(),"not on Staff",SUMIFS('Tally Helper'!$L$59:$GI$59,'Tally Helper'!$L$57:$GI$57,"&gt;="&amp;$BR200,'Tally Helper'!$L$57:$GI$57,"&lt;="&amp;$BS200)))</f>
        <v/>
      </c>
      <c r="AQ200" s="17" t="str">
        <f aca="false">IF(OR(U$7="",$BR200=""),"",IF('Tally Helper'!$B$60&lt;&gt;TRUE(),"not on Staff",SUMIFS('Tally Helper'!$L$62:$GI$62,'Tally Helper'!$L$60:$GI$60,"&gt;="&amp;$BR200,'Tally Helper'!$L$60:$GI$60,"&lt;="&amp;$BS200)))</f>
        <v/>
      </c>
      <c r="AT200" s="17" t="str">
        <f aca="false">IF(OR(X200="",NOT(ISNUMBER(X200))),"",X200-N(B200))</f>
        <v/>
      </c>
      <c r="AU200" s="17" t="str">
        <f aca="false">IF(OR(Y200="",NOT(ISNUMBER(Y200))),"",Y200-N(C200))</f>
        <v/>
      </c>
      <c r="AV200" s="17" t="str">
        <f aca="false">IF(OR(Z200="",NOT(ISNUMBER(Z200))),"",Z200-N(D200))</f>
        <v/>
      </c>
      <c r="AW200" s="17" t="str">
        <f aca="false">IF(OR(AA200="",NOT(ISNUMBER(AA200))),"",AA200-N(E200))</f>
        <v/>
      </c>
      <c r="AX200" s="17" t="str">
        <f aca="false">IF(OR(AB200="",NOT(ISNUMBER(AB200))),"",AB200-N(F200))</f>
        <v/>
      </c>
      <c r="AY200" s="17" t="str">
        <f aca="false">IF(OR(AC200="",NOT(ISNUMBER(AC200))),"",AC200-N(G200))</f>
        <v/>
      </c>
      <c r="AZ200" s="17" t="str">
        <f aca="false">IF(OR(AD200="",NOT(ISNUMBER(AD200))),"",AD200-N(H200))</f>
        <v/>
      </c>
      <c r="BA200" s="17" t="str">
        <f aca="false">IF(OR(AE200="",NOT(ISNUMBER(AE200))),"",AE200-N(I200))</f>
        <v/>
      </c>
      <c r="BB200" s="17" t="str">
        <f aca="false">IF(OR(AF200="",NOT(ISNUMBER(AF200))),"",AF200-N(J200))</f>
        <v/>
      </c>
      <c r="BC200" s="17" t="str">
        <f aca="false">IF(OR(AG200="",NOT(ISNUMBER(AG200))),"",AG200-N(K200))</f>
        <v/>
      </c>
      <c r="BD200" s="17" t="str">
        <f aca="false">IF(OR(AH200="",NOT(ISNUMBER(AH200))),"",AH200-N(L200))</f>
        <v/>
      </c>
      <c r="BE200" s="17" t="str">
        <f aca="false">IF(OR(AI200="",NOT(ISNUMBER(AI200))),"",AI200-N(M200))</f>
        <v/>
      </c>
      <c r="BF200" s="17" t="str">
        <f aca="false">IF(OR(AJ200="",NOT(ISNUMBER(AJ200))),"",AJ200-N(N200))</f>
        <v/>
      </c>
      <c r="BG200" s="17" t="str">
        <f aca="false">IF(OR(AK200="",NOT(ISNUMBER(AK200))),"",AK200-N(O200))</f>
        <v/>
      </c>
      <c r="BH200" s="17" t="str">
        <f aca="false">IF(OR(AL200="",NOT(ISNUMBER(AL200))),"",AL200-N(P200))</f>
        <v/>
      </c>
      <c r="BI200" s="17" t="str">
        <f aca="false">IF(OR(AM200="",NOT(ISNUMBER(AM200))),"",AM200-N(Q200))</f>
        <v/>
      </c>
      <c r="BJ200" s="17" t="str">
        <f aca="false">IF(OR(AN200="",NOT(ISNUMBER(AN200))),"",AN200-N(R200))</f>
        <v/>
      </c>
      <c r="BK200" s="17" t="str">
        <f aca="false">IF(OR(AO200="",NOT(ISNUMBER(AO200))),"",AO200-N(S200))</f>
        <v/>
      </c>
      <c r="BL200" s="17" t="str">
        <f aca="false">IF(OR(AP200="",NOT(ISNUMBER(AP200))),"",AP200-N(T200))</f>
        <v/>
      </c>
      <c r="BM200" s="17" t="str">
        <f aca="false">IF(OR(AQ200="",NOT(ISNUMBER(AQ200))),"",AQ200-N(U200))</f>
        <v/>
      </c>
      <c r="BR200" s="20" t="str">
        <f aca="false">IF($A200="","",IF(ISNUMBER($A200),DATE(YEAR($A200),MONTH($A200),1),IFERROR(DATE(2000+VALUE(RIGHT(TRIM($A200),2)),MATCH(UPPER(LEFT(TRIM($A200),3)),{"JAN","FEB","MAR","APR","MAY","JUN","JUL","AUG","SEP","OCT","NOV","DEC"},0),1),"")))</f>
        <v/>
      </c>
      <c r="BS200" s="20" t="str">
        <f aca="false">IF(BR200="","",EOMONTH(BR200,0))</f>
        <v/>
      </c>
    </row>
    <row r="201" customFormat="false" ht="15" hidden="false" customHeight="false" outlineLevel="0" collapsed="false">
      <c r="B201" s="21"/>
      <c r="C201" s="21"/>
      <c r="D201" s="21"/>
      <c r="E201" s="21"/>
      <c r="F201" s="21"/>
      <c r="G201" s="21"/>
      <c r="H201" s="21"/>
      <c r="I201" s="21"/>
      <c r="J201" s="21"/>
      <c r="K201" s="21"/>
      <c r="L201" s="21"/>
      <c r="M201" s="21"/>
      <c r="N201" s="21"/>
      <c r="O201" s="21"/>
      <c r="P201" s="21"/>
      <c r="Q201" s="21"/>
      <c r="R201" s="21"/>
      <c r="S201" s="21"/>
      <c r="T201" s="21"/>
      <c r="U201" s="21"/>
      <c r="X201" s="17" t="str">
        <f aca="false">IF(OR(B$7="",$BR201=""),"",IF('Tally Helper'!$B$3&lt;&gt;TRUE(),"not on Staff",SUMIFS('Tally Helper'!$L$5:$GI$5,'Tally Helper'!$L$3:$GI$3,"&gt;="&amp;$BR201,'Tally Helper'!$L$3:$GI$3,"&lt;="&amp;$BS201)))</f>
        <v/>
      </c>
      <c r="Y201" s="17" t="str">
        <f aca="false">IF(OR(C$7="",$BR201=""),"",IF('Tally Helper'!$B$6&lt;&gt;TRUE(),"not on Staff",SUMIFS('Tally Helper'!$L$8:$GI$8,'Tally Helper'!$L$6:$GI$6,"&gt;="&amp;$BR201,'Tally Helper'!$L$6:$GI$6,"&lt;="&amp;$BS201)))</f>
        <v/>
      </c>
      <c r="Z201" s="17" t="str">
        <f aca="false">IF(OR(D$7="",$BR201=""),"",IF('Tally Helper'!$B$9&lt;&gt;TRUE(),"not on Staff",SUMIFS('Tally Helper'!$L$11:$GI$11,'Tally Helper'!$L$9:$GI$9,"&gt;="&amp;$BR201,'Tally Helper'!$L$9:$GI$9,"&lt;="&amp;$BS201)))</f>
        <v/>
      </c>
      <c r="AA201" s="17" t="str">
        <f aca="false">IF(OR(E$7="",$BR201=""),"",IF('Tally Helper'!$B$12&lt;&gt;TRUE(),"not on Staff",SUMIFS('Tally Helper'!$L$14:$GI$14,'Tally Helper'!$L$12:$GI$12,"&gt;="&amp;$BR201,'Tally Helper'!$L$12:$GI$12,"&lt;="&amp;$BS201)))</f>
        <v/>
      </c>
      <c r="AB201" s="17" t="str">
        <f aca="false">IF(OR(F$7="",$BR201=""),"",IF('Tally Helper'!$B$15&lt;&gt;TRUE(),"not on Staff",SUMIFS('Tally Helper'!$L$17:$GI$17,'Tally Helper'!$L$15:$GI$15,"&gt;="&amp;$BR201,'Tally Helper'!$L$15:$GI$15,"&lt;="&amp;$BS201)))</f>
        <v/>
      </c>
      <c r="AC201" s="17" t="str">
        <f aca="false">IF(OR(G$7="",$BR201=""),"",IF('Tally Helper'!$B$18&lt;&gt;TRUE(),"not on Staff",SUMIFS('Tally Helper'!$L$20:$GI$20,'Tally Helper'!$L$18:$GI$18,"&gt;="&amp;$BR201,'Tally Helper'!$L$18:$GI$18,"&lt;="&amp;$BS201)))</f>
        <v/>
      </c>
      <c r="AD201" s="17" t="str">
        <f aca="false">IF(OR(H$7="",$BR201=""),"",IF('Tally Helper'!$B$21&lt;&gt;TRUE(),"not on Staff",SUMIFS('Tally Helper'!$L$23:$GI$23,'Tally Helper'!$L$21:$GI$21,"&gt;="&amp;$BR201,'Tally Helper'!$L$21:$GI$21,"&lt;="&amp;$BS201)))</f>
        <v/>
      </c>
      <c r="AE201" s="17" t="str">
        <f aca="false">IF(OR(I$7="",$BR201=""),"",IF('Tally Helper'!$B$24&lt;&gt;TRUE(),"not on Staff",SUMIFS('Tally Helper'!$L$26:$GI$26,'Tally Helper'!$L$24:$GI$24,"&gt;="&amp;$BR201,'Tally Helper'!$L$24:$GI$24,"&lt;="&amp;$BS201)))</f>
        <v/>
      </c>
      <c r="AF201" s="17" t="str">
        <f aca="false">IF(OR(J$7="",$BR201=""),"",IF('Tally Helper'!$B$27&lt;&gt;TRUE(),"not on Staff",SUMIFS('Tally Helper'!$L$29:$GI$29,'Tally Helper'!$L$27:$GI$27,"&gt;="&amp;$BR201,'Tally Helper'!$L$27:$GI$27,"&lt;="&amp;$BS201)))</f>
        <v/>
      </c>
      <c r="AG201" s="17" t="str">
        <f aca="false">IF(OR(K$7="",$BR201=""),"",IF('Tally Helper'!$B$30&lt;&gt;TRUE(),"not on Staff",SUMIFS('Tally Helper'!$L$32:$GI$32,'Tally Helper'!$L$30:$GI$30,"&gt;="&amp;$BR201,'Tally Helper'!$L$30:$GI$30,"&lt;="&amp;$BS201)))</f>
        <v/>
      </c>
      <c r="AH201" s="17" t="str">
        <f aca="false">IF(OR(L$7="",$BR201=""),"",IF('Tally Helper'!$B$33&lt;&gt;TRUE(),"not on Staff",SUMIFS('Tally Helper'!$L$35:$GI$35,'Tally Helper'!$L$33:$GI$33,"&gt;="&amp;$BR201,'Tally Helper'!$L$33:$GI$33,"&lt;="&amp;$BS201)))</f>
        <v/>
      </c>
      <c r="AI201" s="17" t="str">
        <f aca="false">IF(OR(M$7="",$BR201=""),"",IF('Tally Helper'!$B$36&lt;&gt;TRUE(),"not on Staff",SUMIFS('Tally Helper'!$L$38:$GI$38,'Tally Helper'!$L$36:$GI$36,"&gt;="&amp;$BR201,'Tally Helper'!$L$36:$GI$36,"&lt;="&amp;$BS201)))</f>
        <v/>
      </c>
      <c r="AJ201" s="17" t="str">
        <f aca="false">IF(OR(N$7="",$BR201=""),"",IF('Tally Helper'!$B$39&lt;&gt;TRUE(),"not on Staff",SUMIFS('Tally Helper'!$L$41:$GI$41,'Tally Helper'!$L$39:$GI$39,"&gt;="&amp;$BR201,'Tally Helper'!$L$39:$GI$39,"&lt;="&amp;$BS201)))</f>
        <v/>
      </c>
      <c r="AK201" s="17" t="str">
        <f aca="false">IF(OR(O$7="",$BR201=""),"",IF('Tally Helper'!$B$42&lt;&gt;TRUE(),"not on Staff",SUMIFS('Tally Helper'!$L$44:$GI$44,'Tally Helper'!$L$42:$GI$42,"&gt;="&amp;$BR201,'Tally Helper'!$L$42:$GI$42,"&lt;="&amp;$BS201)))</f>
        <v/>
      </c>
      <c r="AL201" s="17" t="str">
        <f aca="false">IF(OR(P$7="",$BR201=""),"",IF('Tally Helper'!$B$45&lt;&gt;TRUE(),"not on Staff",SUMIFS('Tally Helper'!$L$47:$GI$47,'Tally Helper'!$L$45:$GI$45,"&gt;="&amp;$BR201,'Tally Helper'!$L$45:$GI$45,"&lt;="&amp;$BS201)))</f>
        <v/>
      </c>
      <c r="AM201" s="17" t="str">
        <f aca="false">IF(OR(Q$7="",$BR201=""),"",IF('Tally Helper'!$B$48&lt;&gt;TRUE(),"not on Staff",SUMIFS('Tally Helper'!$L$50:$GI$50,'Tally Helper'!$L$48:$GI$48,"&gt;="&amp;$BR201,'Tally Helper'!$L$48:$GI$48,"&lt;="&amp;$BS201)))</f>
        <v/>
      </c>
      <c r="AN201" s="17" t="str">
        <f aca="false">IF(OR(R$7="",$BR201=""),"",IF('Tally Helper'!$B$51&lt;&gt;TRUE(),"not on Staff",SUMIFS('Tally Helper'!$L$53:$GI$53,'Tally Helper'!$L$51:$GI$51,"&gt;="&amp;$BR201,'Tally Helper'!$L$51:$GI$51,"&lt;="&amp;$BS201)))</f>
        <v/>
      </c>
      <c r="AO201" s="17" t="str">
        <f aca="false">IF(OR(S$7="",$BR201=""),"",IF('Tally Helper'!$B$54&lt;&gt;TRUE(),"not on Staff",SUMIFS('Tally Helper'!$L$56:$GI$56,'Tally Helper'!$L$54:$GI$54,"&gt;="&amp;$BR201,'Tally Helper'!$L$54:$GI$54,"&lt;="&amp;$BS201)))</f>
        <v/>
      </c>
      <c r="AP201" s="17" t="str">
        <f aca="false">IF(OR(T$7="",$BR201=""),"",IF('Tally Helper'!$B$57&lt;&gt;TRUE(),"not on Staff",SUMIFS('Tally Helper'!$L$59:$GI$59,'Tally Helper'!$L$57:$GI$57,"&gt;="&amp;$BR201,'Tally Helper'!$L$57:$GI$57,"&lt;="&amp;$BS201)))</f>
        <v/>
      </c>
      <c r="AQ201" s="17" t="str">
        <f aca="false">IF(OR(U$7="",$BR201=""),"",IF('Tally Helper'!$B$60&lt;&gt;TRUE(),"not on Staff",SUMIFS('Tally Helper'!$L$62:$GI$62,'Tally Helper'!$L$60:$GI$60,"&gt;="&amp;$BR201,'Tally Helper'!$L$60:$GI$60,"&lt;="&amp;$BS201)))</f>
        <v/>
      </c>
      <c r="AT201" s="17" t="str">
        <f aca="false">IF(OR(X201="",NOT(ISNUMBER(X201))),"",X201-N(B201))</f>
        <v/>
      </c>
      <c r="AU201" s="17" t="str">
        <f aca="false">IF(OR(Y201="",NOT(ISNUMBER(Y201))),"",Y201-N(C201))</f>
        <v/>
      </c>
      <c r="AV201" s="17" t="str">
        <f aca="false">IF(OR(Z201="",NOT(ISNUMBER(Z201))),"",Z201-N(D201))</f>
        <v/>
      </c>
      <c r="AW201" s="17" t="str">
        <f aca="false">IF(OR(AA201="",NOT(ISNUMBER(AA201))),"",AA201-N(E201))</f>
        <v/>
      </c>
      <c r="AX201" s="17" t="str">
        <f aca="false">IF(OR(AB201="",NOT(ISNUMBER(AB201))),"",AB201-N(F201))</f>
        <v/>
      </c>
      <c r="AY201" s="17" t="str">
        <f aca="false">IF(OR(AC201="",NOT(ISNUMBER(AC201))),"",AC201-N(G201))</f>
        <v/>
      </c>
      <c r="AZ201" s="17" t="str">
        <f aca="false">IF(OR(AD201="",NOT(ISNUMBER(AD201))),"",AD201-N(H201))</f>
        <v/>
      </c>
      <c r="BA201" s="17" t="str">
        <f aca="false">IF(OR(AE201="",NOT(ISNUMBER(AE201))),"",AE201-N(I201))</f>
        <v/>
      </c>
      <c r="BB201" s="17" t="str">
        <f aca="false">IF(OR(AF201="",NOT(ISNUMBER(AF201))),"",AF201-N(J201))</f>
        <v/>
      </c>
      <c r="BC201" s="17" t="str">
        <f aca="false">IF(OR(AG201="",NOT(ISNUMBER(AG201))),"",AG201-N(K201))</f>
        <v/>
      </c>
      <c r="BD201" s="17" t="str">
        <f aca="false">IF(OR(AH201="",NOT(ISNUMBER(AH201))),"",AH201-N(L201))</f>
        <v/>
      </c>
      <c r="BE201" s="17" t="str">
        <f aca="false">IF(OR(AI201="",NOT(ISNUMBER(AI201))),"",AI201-N(M201))</f>
        <v/>
      </c>
      <c r="BF201" s="17" t="str">
        <f aca="false">IF(OR(AJ201="",NOT(ISNUMBER(AJ201))),"",AJ201-N(N201))</f>
        <v/>
      </c>
      <c r="BG201" s="17" t="str">
        <f aca="false">IF(OR(AK201="",NOT(ISNUMBER(AK201))),"",AK201-N(O201))</f>
        <v/>
      </c>
      <c r="BH201" s="17" t="str">
        <f aca="false">IF(OR(AL201="",NOT(ISNUMBER(AL201))),"",AL201-N(P201))</f>
        <v/>
      </c>
      <c r="BI201" s="17" t="str">
        <f aca="false">IF(OR(AM201="",NOT(ISNUMBER(AM201))),"",AM201-N(Q201))</f>
        <v/>
      </c>
      <c r="BJ201" s="17" t="str">
        <f aca="false">IF(OR(AN201="",NOT(ISNUMBER(AN201))),"",AN201-N(R201))</f>
        <v/>
      </c>
      <c r="BK201" s="17" t="str">
        <f aca="false">IF(OR(AO201="",NOT(ISNUMBER(AO201))),"",AO201-N(S201))</f>
        <v/>
      </c>
      <c r="BL201" s="17" t="str">
        <f aca="false">IF(OR(AP201="",NOT(ISNUMBER(AP201))),"",AP201-N(T201))</f>
        <v/>
      </c>
      <c r="BM201" s="17" t="str">
        <f aca="false">IF(OR(AQ201="",NOT(ISNUMBER(AQ201))),"",AQ201-N(U201))</f>
        <v/>
      </c>
      <c r="BR201" s="20" t="str">
        <f aca="false">IF($A201="","",IF(ISNUMBER($A201),DATE(YEAR($A201),MONTH($A201),1),IFERROR(DATE(2000+VALUE(RIGHT(TRIM($A201),2)),MATCH(UPPER(LEFT(TRIM($A201),3)),{"JAN","FEB","MAR","APR","MAY","JUN","JUL","AUG","SEP","OCT","NOV","DEC"},0),1),"")))</f>
        <v/>
      </c>
      <c r="BS201" s="20" t="str">
        <f aca="false">IF(BR201="","",EOMONTH(BR201,0))</f>
        <v/>
      </c>
    </row>
    <row r="202" customFormat="false" ht="15" hidden="false" customHeight="false" outlineLevel="0" collapsed="false">
      <c r="B202" s="21"/>
      <c r="C202" s="21"/>
      <c r="D202" s="21"/>
      <c r="E202" s="21"/>
      <c r="F202" s="21"/>
      <c r="G202" s="21"/>
      <c r="H202" s="21"/>
      <c r="I202" s="21"/>
      <c r="J202" s="21"/>
      <c r="K202" s="21"/>
      <c r="L202" s="21"/>
      <c r="M202" s="21"/>
      <c r="N202" s="21"/>
      <c r="O202" s="21"/>
      <c r="P202" s="21"/>
      <c r="Q202" s="21"/>
      <c r="R202" s="21"/>
      <c r="S202" s="21"/>
      <c r="T202" s="21"/>
      <c r="U202" s="21"/>
      <c r="X202" s="17" t="str">
        <f aca="false">IF(OR(B$7="",$BR202=""),"",IF('Tally Helper'!$B$3&lt;&gt;TRUE(),"not on Staff",SUMIFS('Tally Helper'!$L$5:$GI$5,'Tally Helper'!$L$3:$GI$3,"&gt;="&amp;$BR202,'Tally Helper'!$L$3:$GI$3,"&lt;="&amp;$BS202)))</f>
        <v/>
      </c>
      <c r="Y202" s="17" t="str">
        <f aca="false">IF(OR(C$7="",$BR202=""),"",IF('Tally Helper'!$B$6&lt;&gt;TRUE(),"not on Staff",SUMIFS('Tally Helper'!$L$8:$GI$8,'Tally Helper'!$L$6:$GI$6,"&gt;="&amp;$BR202,'Tally Helper'!$L$6:$GI$6,"&lt;="&amp;$BS202)))</f>
        <v/>
      </c>
      <c r="Z202" s="17" t="str">
        <f aca="false">IF(OR(D$7="",$BR202=""),"",IF('Tally Helper'!$B$9&lt;&gt;TRUE(),"not on Staff",SUMIFS('Tally Helper'!$L$11:$GI$11,'Tally Helper'!$L$9:$GI$9,"&gt;="&amp;$BR202,'Tally Helper'!$L$9:$GI$9,"&lt;="&amp;$BS202)))</f>
        <v/>
      </c>
      <c r="AA202" s="17" t="str">
        <f aca="false">IF(OR(E$7="",$BR202=""),"",IF('Tally Helper'!$B$12&lt;&gt;TRUE(),"not on Staff",SUMIFS('Tally Helper'!$L$14:$GI$14,'Tally Helper'!$L$12:$GI$12,"&gt;="&amp;$BR202,'Tally Helper'!$L$12:$GI$12,"&lt;="&amp;$BS202)))</f>
        <v/>
      </c>
      <c r="AB202" s="17" t="str">
        <f aca="false">IF(OR(F$7="",$BR202=""),"",IF('Tally Helper'!$B$15&lt;&gt;TRUE(),"not on Staff",SUMIFS('Tally Helper'!$L$17:$GI$17,'Tally Helper'!$L$15:$GI$15,"&gt;="&amp;$BR202,'Tally Helper'!$L$15:$GI$15,"&lt;="&amp;$BS202)))</f>
        <v/>
      </c>
      <c r="AC202" s="17" t="str">
        <f aca="false">IF(OR(G$7="",$BR202=""),"",IF('Tally Helper'!$B$18&lt;&gt;TRUE(),"not on Staff",SUMIFS('Tally Helper'!$L$20:$GI$20,'Tally Helper'!$L$18:$GI$18,"&gt;="&amp;$BR202,'Tally Helper'!$L$18:$GI$18,"&lt;="&amp;$BS202)))</f>
        <v/>
      </c>
      <c r="AD202" s="17" t="str">
        <f aca="false">IF(OR(H$7="",$BR202=""),"",IF('Tally Helper'!$B$21&lt;&gt;TRUE(),"not on Staff",SUMIFS('Tally Helper'!$L$23:$GI$23,'Tally Helper'!$L$21:$GI$21,"&gt;="&amp;$BR202,'Tally Helper'!$L$21:$GI$21,"&lt;="&amp;$BS202)))</f>
        <v/>
      </c>
      <c r="AE202" s="17" t="str">
        <f aca="false">IF(OR(I$7="",$BR202=""),"",IF('Tally Helper'!$B$24&lt;&gt;TRUE(),"not on Staff",SUMIFS('Tally Helper'!$L$26:$GI$26,'Tally Helper'!$L$24:$GI$24,"&gt;="&amp;$BR202,'Tally Helper'!$L$24:$GI$24,"&lt;="&amp;$BS202)))</f>
        <v/>
      </c>
      <c r="AF202" s="17" t="str">
        <f aca="false">IF(OR(J$7="",$BR202=""),"",IF('Tally Helper'!$B$27&lt;&gt;TRUE(),"not on Staff",SUMIFS('Tally Helper'!$L$29:$GI$29,'Tally Helper'!$L$27:$GI$27,"&gt;="&amp;$BR202,'Tally Helper'!$L$27:$GI$27,"&lt;="&amp;$BS202)))</f>
        <v/>
      </c>
      <c r="AG202" s="17" t="str">
        <f aca="false">IF(OR(K$7="",$BR202=""),"",IF('Tally Helper'!$B$30&lt;&gt;TRUE(),"not on Staff",SUMIFS('Tally Helper'!$L$32:$GI$32,'Tally Helper'!$L$30:$GI$30,"&gt;="&amp;$BR202,'Tally Helper'!$L$30:$GI$30,"&lt;="&amp;$BS202)))</f>
        <v/>
      </c>
      <c r="AH202" s="17" t="str">
        <f aca="false">IF(OR(L$7="",$BR202=""),"",IF('Tally Helper'!$B$33&lt;&gt;TRUE(),"not on Staff",SUMIFS('Tally Helper'!$L$35:$GI$35,'Tally Helper'!$L$33:$GI$33,"&gt;="&amp;$BR202,'Tally Helper'!$L$33:$GI$33,"&lt;="&amp;$BS202)))</f>
        <v/>
      </c>
      <c r="AI202" s="17" t="str">
        <f aca="false">IF(OR(M$7="",$BR202=""),"",IF('Tally Helper'!$B$36&lt;&gt;TRUE(),"not on Staff",SUMIFS('Tally Helper'!$L$38:$GI$38,'Tally Helper'!$L$36:$GI$36,"&gt;="&amp;$BR202,'Tally Helper'!$L$36:$GI$36,"&lt;="&amp;$BS202)))</f>
        <v/>
      </c>
      <c r="AJ202" s="17" t="str">
        <f aca="false">IF(OR(N$7="",$BR202=""),"",IF('Tally Helper'!$B$39&lt;&gt;TRUE(),"not on Staff",SUMIFS('Tally Helper'!$L$41:$GI$41,'Tally Helper'!$L$39:$GI$39,"&gt;="&amp;$BR202,'Tally Helper'!$L$39:$GI$39,"&lt;="&amp;$BS202)))</f>
        <v/>
      </c>
      <c r="AK202" s="17" t="str">
        <f aca="false">IF(OR(O$7="",$BR202=""),"",IF('Tally Helper'!$B$42&lt;&gt;TRUE(),"not on Staff",SUMIFS('Tally Helper'!$L$44:$GI$44,'Tally Helper'!$L$42:$GI$42,"&gt;="&amp;$BR202,'Tally Helper'!$L$42:$GI$42,"&lt;="&amp;$BS202)))</f>
        <v/>
      </c>
      <c r="AL202" s="17" t="str">
        <f aca="false">IF(OR(P$7="",$BR202=""),"",IF('Tally Helper'!$B$45&lt;&gt;TRUE(),"not on Staff",SUMIFS('Tally Helper'!$L$47:$GI$47,'Tally Helper'!$L$45:$GI$45,"&gt;="&amp;$BR202,'Tally Helper'!$L$45:$GI$45,"&lt;="&amp;$BS202)))</f>
        <v/>
      </c>
      <c r="AM202" s="17" t="str">
        <f aca="false">IF(OR(Q$7="",$BR202=""),"",IF('Tally Helper'!$B$48&lt;&gt;TRUE(),"not on Staff",SUMIFS('Tally Helper'!$L$50:$GI$50,'Tally Helper'!$L$48:$GI$48,"&gt;="&amp;$BR202,'Tally Helper'!$L$48:$GI$48,"&lt;="&amp;$BS202)))</f>
        <v/>
      </c>
      <c r="AN202" s="17" t="str">
        <f aca="false">IF(OR(R$7="",$BR202=""),"",IF('Tally Helper'!$B$51&lt;&gt;TRUE(),"not on Staff",SUMIFS('Tally Helper'!$L$53:$GI$53,'Tally Helper'!$L$51:$GI$51,"&gt;="&amp;$BR202,'Tally Helper'!$L$51:$GI$51,"&lt;="&amp;$BS202)))</f>
        <v/>
      </c>
      <c r="AO202" s="17" t="str">
        <f aca="false">IF(OR(S$7="",$BR202=""),"",IF('Tally Helper'!$B$54&lt;&gt;TRUE(),"not on Staff",SUMIFS('Tally Helper'!$L$56:$GI$56,'Tally Helper'!$L$54:$GI$54,"&gt;="&amp;$BR202,'Tally Helper'!$L$54:$GI$54,"&lt;="&amp;$BS202)))</f>
        <v/>
      </c>
      <c r="AP202" s="17" t="str">
        <f aca="false">IF(OR(T$7="",$BR202=""),"",IF('Tally Helper'!$B$57&lt;&gt;TRUE(),"not on Staff",SUMIFS('Tally Helper'!$L$59:$GI$59,'Tally Helper'!$L$57:$GI$57,"&gt;="&amp;$BR202,'Tally Helper'!$L$57:$GI$57,"&lt;="&amp;$BS202)))</f>
        <v/>
      </c>
      <c r="AQ202" s="17" t="str">
        <f aca="false">IF(OR(U$7="",$BR202=""),"",IF('Tally Helper'!$B$60&lt;&gt;TRUE(),"not on Staff",SUMIFS('Tally Helper'!$L$62:$GI$62,'Tally Helper'!$L$60:$GI$60,"&gt;="&amp;$BR202,'Tally Helper'!$L$60:$GI$60,"&lt;="&amp;$BS202)))</f>
        <v/>
      </c>
      <c r="AT202" s="17" t="str">
        <f aca="false">IF(OR(X202="",NOT(ISNUMBER(X202))),"",X202-N(B202))</f>
        <v/>
      </c>
      <c r="AU202" s="17" t="str">
        <f aca="false">IF(OR(Y202="",NOT(ISNUMBER(Y202))),"",Y202-N(C202))</f>
        <v/>
      </c>
      <c r="AV202" s="17" t="str">
        <f aca="false">IF(OR(Z202="",NOT(ISNUMBER(Z202))),"",Z202-N(D202))</f>
        <v/>
      </c>
      <c r="AW202" s="17" t="str">
        <f aca="false">IF(OR(AA202="",NOT(ISNUMBER(AA202))),"",AA202-N(E202))</f>
        <v/>
      </c>
      <c r="AX202" s="17" t="str">
        <f aca="false">IF(OR(AB202="",NOT(ISNUMBER(AB202))),"",AB202-N(F202))</f>
        <v/>
      </c>
      <c r="AY202" s="17" t="str">
        <f aca="false">IF(OR(AC202="",NOT(ISNUMBER(AC202))),"",AC202-N(G202))</f>
        <v/>
      </c>
      <c r="AZ202" s="17" t="str">
        <f aca="false">IF(OR(AD202="",NOT(ISNUMBER(AD202))),"",AD202-N(H202))</f>
        <v/>
      </c>
      <c r="BA202" s="17" t="str">
        <f aca="false">IF(OR(AE202="",NOT(ISNUMBER(AE202))),"",AE202-N(I202))</f>
        <v/>
      </c>
      <c r="BB202" s="17" t="str">
        <f aca="false">IF(OR(AF202="",NOT(ISNUMBER(AF202))),"",AF202-N(J202))</f>
        <v/>
      </c>
      <c r="BC202" s="17" t="str">
        <f aca="false">IF(OR(AG202="",NOT(ISNUMBER(AG202))),"",AG202-N(K202))</f>
        <v/>
      </c>
      <c r="BD202" s="17" t="str">
        <f aca="false">IF(OR(AH202="",NOT(ISNUMBER(AH202))),"",AH202-N(L202))</f>
        <v/>
      </c>
      <c r="BE202" s="17" t="str">
        <f aca="false">IF(OR(AI202="",NOT(ISNUMBER(AI202))),"",AI202-N(M202))</f>
        <v/>
      </c>
      <c r="BF202" s="17" t="str">
        <f aca="false">IF(OR(AJ202="",NOT(ISNUMBER(AJ202))),"",AJ202-N(N202))</f>
        <v/>
      </c>
      <c r="BG202" s="17" t="str">
        <f aca="false">IF(OR(AK202="",NOT(ISNUMBER(AK202))),"",AK202-N(O202))</f>
        <v/>
      </c>
      <c r="BH202" s="17" t="str">
        <f aca="false">IF(OR(AL202="",NOT(ISNUMBER(AL202))),"",AL202-N(P202))</f>
        <v/>
      </c>
      <c r="BI202" s="17" t="str">
        <f aca="false">IF(OR(AM202="",NOT(ISNUMBER(AM202))),"",AM202-N(Q202))</f>
        <v/>
      </c>
      <c r="BJ202" s="17" t="str">
        <f aca="false">IF(OR(AN202="",NOT(ISNUMBER(AN202))),"",AN202-N(R202))</f>
        <v/>
      </c>
      <c r="BK202" s="17" t="str">
        <f aca="false">IF(OR(AO202="",NOT(ISNUMBER(AO202))),"",AO202-N(S202))</f>
        <v/>
      </c>
      <c r="BL202" s="17" t="str">
        <f aca="false">IF(OR(AP202="",NOT(ISNUMBER(AP202))),"",AP202-N(T202))</f>
        <v/>
      </c>
      <c r="BM202" s="17" t="str">
        <f aca="false">IF(OR(AQ202="",NOT(ISNUMBER(AQ202))),"",AQ202-N(U202))</f>
        <v/>
      </c>
      <c r="BR202" s="20" t="str">
        <f aca="false">IF($A202="","",IF(ISNUMBER($A202),DATE(YEAR($A202),MONTH($A202),1),IFERROR(DATE(2000+VALUE(RIGHT(TRIM($A202),2)),MATCH(UPPER(LEFT(TRIM($A202),3)),{"JAN","FEB","MAR","APR","MAY","JUN","JUL","AUG","SEP","OCT","NOV","DEC"},0),1),"")))</f>
        <v/>
      </c>
      <c r="BS202" s="20" t="str">
        <f aca="false">IF(BR202="","",EOMONTH(BR202,0))</f>
        <v/>
      </c>
    </row>
    <row r="203" customFormat="false" ht="15" hidden="false" customHeight="false" outlineLevel="0" collapsed="false">
      <c r="B203" s="21"/>
      <c r="C203" s="21"/>
      <c r="D203" s="21"/>
      <c r="E203" s="21"/>
      <c r="F203" s="21"/>
      <c r="G203" s="21"/>
      <c r="H203" s="21"/>
      <c r="I203" s="21"/>
      <c r="J203" s="21"/>
      <c r="K203" s="21"/>
      <c r="L203" s="21"/>
      <c r="M203" s="21"/>
      <c r="N203" s="21"/>
      <c r="O203" s="21"/>
      <c r="P203" s="21"/>
      <c r="Q203" s="21"/>
      <c r="R203" s="21"/>
      <c r="S203" s="21"/>
      <c r="T203" s="21"/>
      <c r="U203" s="21"/>
      <c r="X203" s="17" t="str">
        <f aca="false">IF(OR(B$7="",$BR203=""),"",IF('Tally Helper'!$B$3&lt;&gt;TRUE(),"not on Staff",SUMIFS('Tally Helper'!$L$5:$GI$5,'Tally Helper'!$L$3:$GI$3,"&gt;="&amp;$BR203,'Tally Helper'!$L$3:$GI$3,"&lt;="&amp;$BS203)))</f>
        <v/>
      </c>
      <c r="Y203" s="17" t="str">
        <f aca="false">IF(OR(C$7="",$BR203=""),"",IF('Tally Helper'!$B$6&lt;&gt;TRUE(),"not on Staff",SUMIFS('Tally Helper'!$L$8:$GI$8,'Tally Helper'!$L$6:$GI$6,"&gt;="&amp;$BR203,'Tally Helper'!$L$6:$GI$6,"&lt;="&amp;$BS203)))</f>
        <v/>
      </c>
      <c r="Z203" s="17" t="str">
        <f aca="false">IF(OR(D$7="",$BR203=""),"",IF('Tally Helper'!$B$9&lt;&gt;TRUE(),"not on Staff",SUMIFS('Tally Helper'!$L$11:$GI$11,'Tally Helper'!$L$9:$GI$9,"&gt;="&amp;$BR203,'Tally Helper'!$L$9:$GI$9,"&lt;="&amp;$BS203)))</f>
        <v/>
      </c>
      <c r="AA203" s="17" t="str">
        <f aca="false">IF(OR(E$7="",$BR203=""),"",IF('Tally Helper'!$B$12&lt;&gt;TRUE(),"not on Staff",SUMIFS('Tally Helper'!$L$14:$GI$14,'Tally Helper'!$L$12:$GI$12,"&gt;="&amp;$BR203,'Tally Helper'!$L$12:$GI$12,"&lt;="&amp;$BS203)))</f>
        <v/>
      </c>
      <c r="AB203" s="17" t="str">
        <f aca="false">IF(OR(F$7="",$BR203=""),"",IF('Tally Helper'!$B$15&lt;&gt;TRUE(),"not on Staff",SUMIFS('Tally Helper'!$L$17:$GI$17,'Tally Helper'!$L$15:$GI$15,"&gt;="&amp;$BR203,'Tally Helper'!$L$15:$GI$15,"&lt;="&amp;$BS203)))</f>
        <v/>
      </c>
      <c r="AC203" s="17" t="str">
        <f aca="false">IF(OR(G$7="",$BR203=""),"",IF('Tally Helper'!$B$18&lt;&gt;TRUE(),"not on Staff",SUMIFS('Tally Helper'!$L$20:$GI$20,'Tally Helper'!$L$18:$GI$18,"&gt;="&amp;$BR203,'Tally Helper'!$L$18:$GI$18,"&lt;="&amp;$BS203)))</f>
        <v/>
      </c>
      <c r="AD203" s="17" t="str">
        <f aca="false">IF(OR(H$7="",$BR203=""),"",IF('Tally Helper'!$B$21&lt;&gt;TRUE(),"not on Staff",SUMIFS('Tally Helper'!$L$23:$GI$23,'Tally Helper'!$L$21:$GI$21,"&gt;="&amp;$BR203,'Tally Helper'!$L$21:$GI$21,"&lt;="&amp;$BS203)))</f>
        <v/>
      </c>
      <c r="AE203" s="17" t="str">
        <f aca="false">IF(OR(I$7="",$BR203=""),"",IF('Tally Helper'!$B$24&lt;&gt;TRUE(),"not on Staff",SUMIFS('Tally Helper'!$L$26:$GI$26,'Tally Helper'!$L$24:$GI$24,"&gt;="&amp;$BR203,'Tally Helper'!$L$24:$GI$24,"&lt;="&amp;$BS203)))</f>
        <v/>
      </c>
      <c r="AF203" s="17" t="str">
        <f aca="false">IF(OR(J$7="",$BR203=""),"",IF('Tally Helper'!$B$27&lt;&gt;TRUE(),"not on Staff",SUMIFS('Tally Helper'!$L$29:$GI$29,'Tally Helper'!$L$27:$GI$27,"&gt;="&amp;$BR203,'Tally Helper'!$L$27:$GI$27,"&lt;="&amp;$BS203)))</f>
        <v/>
      </c>
      <c r="AG203" s="17" t="str">
        <f aca="false">IF(OR(K$7="",$BR203=""),"",IF('Tally Helper'!$B$30&lt;&gt;TRUE(),"not on Staff",SUMIFS('Tally Helper'!$L$32:$GI$32,'Tally Helper'!$L$30:$GI$30,"&gt;="&amp;$BR203,'Tally Helper'!$L$30:$GI$30,"&lt;="&amp;$BS203)))</f>
        <v/>
      </c>
      <c r="AH203" s="17" t="str">
        <f aca="false">IF(OR(L$7="",$BR203=""),"",IF('Tally Helper'!$B$33&lt;&gt;TRUE(),"not on Staff",SUMIFS('Tally Helper'!$L$35:$GI$35,'Tally Helper'!$L$33:$GI$33,"&gt;="&amp;$BR203,'Tally Helper'!$L$33:$GI$33,"&lt;="&amp;$BS203)))</f>
        <v/>
      </c>
      <c r="AI203" s="17" t="str">
        <f aca="false">IF(OR(M$7="",$BR203=""),"",IF('Tally Helper'!$B$36&lt;&gt;TRUE(),"not on Staff",SUMIFS('Tally Helper'!$L$38:$GI$38,'Tally Helper'!$L$36:$GI$36,"&gt;="&amp;$BR203,'Tally Helper'!$L$36:$GI$36,"&lt;="&amp;$BS203)))</f>
        <v/>
      </c>
      <c r="AJ203" s="17" t="str">
        <f aca="false">IF(OR(N$7="",$BR203=""),"",IF('Tally Helper'!$B$39&lt;&gt;TRUE(),"not on Staff",SUMIFS('Tally Helper'!$L$41:$GI$41,'Tally Helper'!$L$39:$GI$39,"&gt;="&amp;$BR203,'Tally Helper'!$L$39:$GI$39,"&lt;="&amp;$BS203)))</f>
        <v/>
      </c>
      <c r="AK203" s="17" t="str">
        <f aca="false">IF(OR(O$7="",$BR203=""),"",IF('Tally Helper'!$B$42&lt;&gt;TRUE(),"not on Staff",SUMIFS('Tally Helper'!$L$44:$GI$44,'Tally Helper'!$L$42:$GI$42,"&gt;="&amp;$BR203,'Tally Helper'!$L$42:$GI$42,"&lt;="&amp;$BS203)))</f>
        <v/>
      </c>
      <c r="AL203" s="17" t="str">
        <f aca="false">IF(OR(P$7="",$BR203=""),"",IF('Tally Helper'!$B$45&lt;&gt;TRUE(),"not on Staff",SUMIFS('Tally Helper'!$L$47:$GI$47,'Tally Helper'!$L$45:$GI$45,"&gt;="&amp;$BR203,'Tally Helper'!$L$45:$GI$45,"&lt;="&amp;$BS203)))</f>
        <v/>
      </c>
      <c r="AM203" s="17" t="str">
        <f aca="false">IF(OR(Q$7="",$BR203=""),"",IF('Tally Helper'!$B$48&lt;&gt;TRUE(),"not on Staff",SUMIFS('Tally Helper'!$L$50:$GI$50,'Tally Helper'!$L$48:$GI$48,"&gt;="&amp;$BR203,'Tally Helper'!$L$48:$GI$48,"&lt;="&amp;$BS203)))</f>
        <v/>
      </c>
      <c r="AN203" s="17" t="str">
        <f aca="false">IF(OR(R$7="",$BR203=""),"",IF('Tally Helper'!$B$51&lt;&gt;TRUE(),"not on Staff",SUMIFS('Tally Helper'!$L$53:$GI$53,'Tally Helper'!$L$51:$GI$51,"&gt;="&amp;$BR203,'Tally Helper'!$L$51:$GI$51,"&lt;="&amp;$BS203)))</f>
        <v/>
      </c>
      <c r="AO203" s="17" t="str">
        <f aca="false">IF(OR(S$7="",$BR203=""),"",IF('Tally Helper'!$B$54&lt;&gt;TRUE(),"not on Staff",SUMIFS('Tally Helper'!$L$56:$GI$56,'Tally Helper'!$L$54:$GI$54,"&gt;="&amp;$BR203,'Tally Helper'!$L$54:$GI$54,"&lt;="&amp;$BS203)))</f>
        <v/>
      </c>
      <c r="AP203" s="17" t="str">
        <f aca="false">IF(OR(T$7="",$BR203=""),"",IF('Tally Helper'!$B$57&lt;&gt;TRUE(),"not on Staff",SUMIFS('Tally Helper'!$L$59:$GI$59,'Tally Helper'!$L$57:$GI$57,"&gt;="&amp;$BR203,'Tally Helper'!$L$57:$GI$57,"&lt;="&amp;$BS203)))</f>
        <v/>
      </c>
      <c r="AQ203" s="17" t="str">
        <f aca="false">IF(OR(U$7="",$BR203=""),"",IF('Tally Helper'!$B$60&lt;&gt;TRUE(),"not on Staff",SUMIFS('Tally Helper'!$L$62:$GI$62,'Tally Helper'!$L$60:$GI$60,"&gt;="&amp;$BR203,'Tally Helper'!$L$60:$GI$60,"&lt;="&amp;$BS203)))</f>
        <v/>
      </c>
      <c r="AT203" s="17" t="str">
        <f aca="false">IF(OR(X203="",NOT(ISNUMBER(X203))),"",X203-N(B203))</f>
        <v/>
      </c>
      <c r="AU203" s="17" t="str">
        <f aca="false">IF(OR(Y203="",NOT(ISNUMBER(Y203))),"",Y203-N(C203))</f>
        <v/>
      </c>
      <c r="AV203" s="17" t="str">
        <f aca="false">IF(OR(Z203="",NOT(ISNUMBER(Z203))),"",Z203-N(D203))</f>
        <v/>
      </c>
      <c r="AW203" s="17" t="str">
        <f aca="false">IF(OR(AA203="",NOT(ISNUMBER(AA203))),"",AA203-N(E203))</f>
        <v/>
      </c>
      <c r="AX203" s="17" t="str">
        <f aca="false">IF(OR(AB203="",NOT(ISNUMBER(AB203))),"",AB203-N(F203))</f>
        <v/>
      </c>
      <c r="AY203" s="17" t="str">
        <f aca="false">IF(OR(AC203="",NOT(ISNUMBER(AC203))),"",AC203-N(G203))</f>
        <v/>
      </c>
      <c r="AZ203" s="17" t="str">
        <f aca="false">IF(OR(AD203="",NOT(ISNUMBER(AD203))),"",AD203-N(H203))</f>
        <v/>
      </c>
      <c r="BA203" s="17" t="str">
        <f aca="false">IF(OR(AE203="",NOT(ISNUMBER(AE203))),"",AE203-N(I203))</f>
        <v/>
      </c>
      <c r="BB203" s="17" t="str">
        <f aca="false">IF(OR(AF203="",NOT(ISNUMBER(AF203))),"",AF203-N(J203))</f>
        <v/>
      </c>
      <c r="BC203" s="17" t="str">
        <f aca="false">IF(OR(AG203="",NOT(ISNUMBER(AG203))),"",AG203-N(K203))</f>
        <v/>
      </c>
      <c r="BD203" s="17" t="str">
        <f aca="false">IF(OR(AH203="",NOT(ISNUMBER(AH203))),"",AH203-N(L203))</f>
        <v/>
      </c>
      <c r="BE203" s="17" t="str">
        <f aca="false">IF(OR(AI203="",NOT(ISNUMBER(AI203))),"",AI203-N(M203))</f>
        <v/>
      </c>
      <c r="BF203" s="17" t="str">
        <f aca="false">IF(OR(AJ203="",NOT(ISNUMBER(AJ203))),"",AJ203-N(N203))</f>
        <v/>
      </c>
      <c r="BG203" s="17" t="str">
        <f aca="false">IF(OR(AK203="",NOT(ISNUMBER(AK203))),"",AK203-N(O203))</f>
        <v/>
      </c>
      <c r="BH203" s="17" t="str">
        <f aca="false">IF(OR(AL203="",NOT(ISNUMBER(AL203))),"",AL203-N(P203))</f>
        <v/>
      </c>
      <c r="BI203" s="17" t="str">
        <f aca="false">IF(OR(AM203="",NOT(ISNUMBER(AM203))),"",AM203-N(Q203))</f>
        <v/>
      </c>
      <c r="BJ203" s="17" t="str">
        <f aca="false">IF(OR(AN203="",NOT(ISNUMBER(AN203))),"",AN203-N(R203))</f>
        <v/>
      </c>
      <c r="BK203" s="17" t="str">
        <f aca="false">IF(OR(AO203="",NOT(ISNUMBER(AO203))),"",AO203-N(S203))</f>
        <v/>
      </c>
      <c r="BL203" s="17" t="str">
        <f aca="false">IF(OR(AP203="",NOT(ISNUMBER(AP203))),"",AP203-N(T203))</f>
        <v/>
      </c>
      <c r="BM203" s="17" t="str">
        <f aca="false">IF(OR(AQ203="",NOT(ISNUMBER(AQ203))),"",AQ203-N(U203))</f>
        <v/>
      </c>
      <c r="BR203" s="20" t="str">
        <f aca="false">IF($A203="","",IF(ISNUMBER($A203),DATE(YEAR($A203),MONTH($A203),1),IFERROR(DATE(2000+VALUE(RIGHT(TRIM($A203),2)),MATCH(UPPER(LEFT(TRIM($A203),3)),{"JAN","FEB","MAR","APR","MAY","JUN","JUL","AUG","SEP","OCT","NOV","DEC"},0),1),"")))</f>
        <v/>
      </c>
      <c r="BS203" s="20" t="str">
        <f aca="false">IF(BR203="","",EOMONTH(BR203,0))</f>
        <v/>
      </c>
    </row>
    <row r="204" customFormat="false" ht="15" hidden="false" customHeight="false" outlineLevel="0" collapsed="false">
      <c r="B204" s="21"/>
      <c r="C204" s="21"/>
      <c r="D204" s="21"/>
      <c r="E204" s="21"/>
      <c r="F204" s="21"/>
      <c r="G204" s="21"/>
      <c r="H204" s="21"/>
      <c r="I204" s="21"/>
      <c r="J204" s="21"/>
      <c r="K204" s="21"/>
      <c r="L204" s="21"/>
      <c r="M204" s="21"/>
      <c r="N204" s="21"/>
      <c r="O204" s="21"/>
      <c r="P204" s="21"/>
      <c r="Q204" s="21"/>
      <c r="R204" s="21"/>
      <c r="S204" s="21"/>
      <c r="T204" s="21"/>
      <c r="U204" s="21"/>
      <c r="X204" s="17" t="str">
        <f aca="false">IF(OR(B$7="",$BR204=""),"",IF('Tally Helper'!$B$3&lt;&gt;TRUE(),"not on Staff",SUMIFS('Tally Helper'!$L$5:$GI$5,'Tally Helper'!$L$3:$GI$3,"&gt;="&amp;$BR204,'Tally Helper'!$L$3:$GI$3,"&lt;="&amp;$BS204)))</f>
        <v/>
      </c>
      <c r="Y204" s="17" t="str">
        <f aca="false">IF(OR(C$7="",$BR204=""),"",IF('Tally Helper'!$B$6&lt;&gt;TRUE(),"not on Staff",SUMIFS('Tally Helper'!$L$8:$GI$8,'Tally Helper'!$L$6:$GI$6,"&gt;="&amp;$BR204,'Tally Helper'!$L$6:$GI$6,"&lt;="&amp;$BS204)))</f>
        <v/>
      </c>
      <c r="Z204" s="17" t="str">
        <f aca="false">IF(OR(D$7="",$BR204=""),"",IF('Tally Helper'!$B$9&lt;&gt;TRUE(),"not on Staff",SUMIFS('Tally Helper'!$L$11:$GI$11,'Tally Helper'!$L$9:$GI$9,"&gt;="&amp;$BR204,'Tally Helper'!$L$9:$GI$9,"&lt;="&amp;$BS204)))</f>
        <v/>
      </c>
      <c r="AA204" s="17" t="str">
        <f aca="false">IF(OR(E$7="",$BR204=""),"",IF('Tally Helper'!$B$12&lt;&gt;TRUE(),"not on Staff",SUMIFS('Tally Helper'!$L$14:$GI$14,'Tally Helper'!$L$12:$GI$12,"&gt;="&amp;$BR204,'Tally Helper'!$L$12:$GI$12,"&lt;="&amp;$BS204)))</f>
        <v/>
      </c>
      <c r="AB204" s="17" t="str">
        <f aca="false">IF(OR(F$7="",$BR204=""),"",IF('Tally Helper'!$B$15&lt;&gt;TRUE(),"not on Staff",SUMIFS('Tally Helper'!$L$17:$GI$17,'Tally Helper'!$L$15:$GI$15,"&gt;="&amp;$BR204,'Tally Helper'!$L$15:$GI$15,"&lt;="&amp;$BS204)))</f>
        <v/>
      </c>
      <c r="AC204" s="17" t="str">
        <f aca="false">IF(OR(G$7="",$BR204=""),"",IF('Tally Helper'!$B$18&lt;&gt;TRUE(),"not on Staff",SUMIFS('Tally Helper'!$L$20:$GI$20,'Tally Helper'!$L$18:$GI$18,"&gt;="&amp;$BR204,'Tally Helper'!$L$18:$GI$18,"&lt;="&amp;$BS204)))</f>
        <v/>
      </c>
      <c r="AD204" s="17" t="str">
        <f aca="false">IF(OR(H$7="",$BR204=""),"",IF('Tally Helper'!$B$21&lt;&gt;TRUE(),"not on Staff",SUMIFS('Tally Helper'!$L$23:$GI$23,'Tally Helper'!$L$21:$GI$21,"&gt;="&amp;$BR204,'Tally Helper'!$L$21:$GI$21,"&lt;="&amp;$BS204)))</f>
        <v/>
      </c>
      <c r="AE204" s="17" t="str">
        <f aca="false">IF(OR(I$7="",$BR204=""),"",IF('Tally Helper'!$B$24&lt;&gt;TRUE(),"not on Staff",SUMIFS('Tally Helper'!$L$26:$GI$26,'Tally Helper'!$L$24:$GI$24,"&gt;="&amp;$BR204,'Tally Helper'!$L$24:$GI$24,"&lt;="&amp;$BS204)))</f>
        <v/>
      </c>
      <c r="AF204" s="17" t="str">
        <f aca="false">IF(OR(J$7="",$BR204=""),"",IF('Tally Helper'!$B$27&lt;&gt;TRUE(),"not on Staff",SUMIFS('Tally Helper'!$L$29:$GI$29,'Tally Helper'!$L$27:$GI$27,"&gt;="&amp;$BR204,'Tally Helper'!$L$27:$GI$27,"&lt;="&amp;$BS204)))</f>
        <v/>
      </c>
      <c r="AG204" s="17" t="str">
        <f aca="false">IF(OR(K$7="",$BR204=""),"",IF('Tally Helper'!$B$30&lt;&gt;TRUE(),"not on Staff",SUMIFS('Tally Helper'!$L$32:$GI$32,'Tally Helper'!$L$30:$GI$30,"&gt;="&amp;$BR204,'Tally Helper'!$L$30:$GI$30,"&lt;="&amp;$BS204)))</f>
        <v/>
      </c>
      <c r="AH204" s="17" t="str">
        <f aca="false">IF(OR(L$7="",$BR204=""),"",IF('Tally Helper'!$B$33&lt;&gt;TRUE(),"not on Staff",SUMIFS('Tally Helper'!$L$35:$GI$35,'Tally Helper'!$L$33:$GI$33,"&gt;="&amp;$BR204,'Tally Helper'!$L$33:$GI$33,"&lt;="&amp;$BS204)))</f>
        <v/>
      </c>
      <c r="AI204" s="17" t="str">
        <f aca="false">IF(OR(M$7="",$BR204=""),"",IF('Tally Helper'!$B$36&lt;&gt;TRUE(),"not on Staff",SUMIFS('Tally Helper'!$L$38:$GI$38,'Tally Helper'!$L$36:$GI$36,"&gt;="&amp;$BR204,'Tally Helper'!$L$36:$GI$36,"&lt;="&amp;$BS204)))</f>
        <v/>
      </c>
      <c r="AJ204" s="17" t="str">
        <f aca="false">IF(OR(N$7="",$BR204=""),"",IF('Tally Helper'!$B$39&lt;&gt;TRUE(),"not on Staff",SUMIFS('Tally Helper'!$L$41:$GI$41,'Tally Helper'!$L$39:$GI$39,"&gt;="&amp;$BR204,'Tally Helper'!$L$39:$GI$39,"&lt;="&amp;$BS204)))</f>
        <v/>
      </c>
      <c r="AK204" s="17" t="str">
        <f aca="false">IF(OR(O$7="",$BR204=""),"",IF('Tally Helper'!$B$42&lt;&gt;TRUE(),"not on Staff",SUMIFS('Tally Helper'!$L$44:$GI$44,'Tally Helper'!$L$42:$GI$42,"&gt;="&amp;$BR204,'Tally Helper'!$L$42:$GI$42,"&lt;="&amp;$BS204)))</f>
        <v/>
      </c>
      <c r="AL204" s="17" t="str">
        <f aca="false">IF(OR(P$7="",$BR204=""),"",IF('Tally Helper'!$B$45&lt;&gt;TRUE(),"not on Staff",SUMIFS('Tally Helper'!$L$47:$GI$47,'Tally Helper'!$L$45:$GI$45,"&gt;="&amp;$BR204,'Tally Helper'!$L$45:$GI$45,"&lt;="&amp;$BS204)))</f>
        <v/>
      </c>
      <c r="AM204" s="17" t="str">
        <f aca="false">IF(OR(Q$7="",$BR204=""),"",IF('Tally Helper'!$B$48&lt;&gt;TRUE(),"not on Staff",SUMIFS('Tally Helper'!$L$50:$GI$50,'Tally Helper'!$L$48:$GI$48,"&gt;="&amp;$BR204,'Tally Helper'!$L$48:$GI$48,"&lt;="&amp;$BS204)))</f>
        <v/>
      </c>
      <c r="AN204" s="17" t="str">
        <f aca="false">IF(OR(R$7="",$BR204=""),"",IF('Tally Helper'!$B$51&lt;&gt;TRUE(),"not on Staff",SUMIFS('Tally Helper'!$L$53:$GI$53,'Tally Helper'!$L$51:$GI$51,"&gt;="&amp;$BR204,'Tally Helper'!$L$51:$GI$51,"&lt;="&amp;$BS204)))</f>
        <v/>
      </c>
      <c r="AO204" s="17" t="str">
        <f aca="false">IF(OR(S$7="",$BR204=""),"",IF('Tally Helper'!$B$54&lt;&gt;TRUE(),"not on Staff",SUMIFS('Tally Helper'!$L$56:$GI$56,'Tally Helper'!$L$54:$GI$54,"&gt;="&amp;$BR204,'Tally Helper'!$L$54:$GI$54,"&lt;="&amp;$BS204)))</f>
        <v/>
      </c>
      <c r="AP204" s="17" t="str">
        <f aca="false">IF(OR(T$7="",$BR204=""),"",IF('Tally Helper'!$B$57&lt;&gt;TRUE(),"not on Staff",SUMIFS('Tally Helper'!$L$59:$GI$59,'Tally Helper'!$L$57:$GI$57,"&gt;="&amp;$BR204,'Tally Helper'!$L$57:$GI$57,"&lt;="&amp;$BS204)))</f>
        <v/>
      </c>
      <c r="AQ204" s="17" t="str">
        <f aca="false">IF(OR(U$7="",$BR204=""),"",IF('Tally Helper'!$B$60&lt;&gt;TRUE(),"not on Staff",SUMIFS('Tally Helper'!$L$62:$GI$62,'Tally Helper'!$L$60:$GI$60,"&gt;="&amp;$BR204,'Tally Helper'!$L$60:$GI$60,"&lt;="&amp;$BS204)))</f>
        <v/>
      </c>
      <c r="AT204" s="17" t="str">
        <f aca="false">IF(OR(X204="",NOT(ISNUMBER(X204))),"",X204-N(B204))</f>
        <v/>
      </c>
      <c r="AU204" s="17" t="str">
        <f aca="false">IF(OR(Y204="",NOT(ISNUMBER(Y204))),"",Y204-N(C204))</f>
        <v/>
      </c>
      <c r="AV204" s="17" t="str">
        <f aca="false">IF(OR(Z204="",NOT(ISNUMBER(Z204))),"",Z204-N(D204))</f>
        <v/>
      </c>
      <c r="AW204" s="17" t="str">
        <f aca="false">IF(OR(AA204="",NOT(ISNUMBER(AA204))),"",AA204-N(E204))</f>
        <v/>
      </c>
      <c r="AX204" s="17" t="str">
        <f aca="false">IF(OR(AB204="",NOT(ISNUMBER(AB204))),"",AB204-N(F204))</f>
        <v/>
      </c>
      <c r="AY204" s="17" t="str">
        <f aca="false">IF(OR(AC204="",NOT(ISNUMBER(AC204))),"",AC204-N(G204))</f>
        <v/>
      </c>
      <c r="AZ204" s="17" t="str">
        <f aca="false">IF(OR(AD204="",NOT(ISNUMBER(AD204))),"",AD204-N(H204))</f>
        <v/>
      </c>
      <c r="BA204" s="17" t="str">
        <f aca="false">IF(OR(AE204="",NOT(ISNUMBER(AE204))),"",AE204-N(I204))</f>
        <v/>
      </c>
      <c r="BB204" s="17" t="str">
        <f aca="false">IF(OR(AF204="",NOT(ISNUMBER(AF204))),"",AF204-N(J204))</f>
        <v/>
      </c>
      <c r="BC204" s="17" t="str">
        <f aca="false">IF(OR(AG204="",NOT(ISNUMBER(AG204))),"",AG204-N(K204))</f>
        <v/>
      </c>
      <c r="BD204" s="17" t="str">
        <f aca="false">IF(OR(AH204="",NOT(ISNUMBER(AH204))),"",AH204-N(L204))</f>
        <v/>
      </c>
      <c r="BE204" s="17" t="str">
        <f aca="false">IF(OR(AI204="",NOT(ISNUMBER(AI204))),"",AI204-N(M204))</f>
        <v/>
      </c>
      <c r="BF204" s="17" t="str">
        <f aca="false">IF(OR(AJ204="",NOT(ISNUMBER(AJ204))),"",AJ204-N(N204))</f>
        <v/>
      </c>
      <c r="BG204" s="17" t="str">
        <f aca="false">IF(OR(AK204="",NOT(ISNUMBER(AK204))),"",AK204-N(O204))</f>
        <v/>
      </c>
      <c r="BH204" s="17" t="str">
        <f aca="false">IF(OR(AL204="",NOT(ISNUMBER(AL204))),"",AL204-N(P204))</f>
        <v/>
      </c>
      <c r="BI204" s="17" t="str">
        <f aca="false">IF(OR(AM204="",NOT(ISNUMBER(AM204))),"",AM204-N(Q204))</f>
        <v/>
      </c>
      <c r="BJ204" s="17" t="str">
        <f aca="false">IF(OR(AN204="",NOT(ISNUMBER(AN204))),"",AN204-N(R204))</f>
        <v/>
      </c>
      <c r="BK204" s="17" t="str">
        <f aca="false">IF(OR(AO204="",NOT(ISNUMBER(AO204))),"",AO204-N(S204))</f>
        <v/>
      </c>
      <c r="BL204" s="17" t="str">
        <f aca="false">IF(OR(AP204="",NOT(ISNUMBER(AP204))),"",AP204-N(T204))</f>
        <v/>
      </c>
      <c r="BM204" s="17" t="str">
        <f aca="false">IF(OR(AQ204="",NOT(ISNUMBER(AQ204))),"",AQ204-N(U204))</f>
        <v/>
      </c>
      <c r="BR204" s="20" t="str">
        <f aca="false">IF($A204="","",IF(ISNUMBER($A204),DATE(YEAR($A204),MONTH($A204),1),IFERROR(DATE(2000+VALUE(RIGHT(TRIM($A204),2)),MATCH(UPPER(LEFT(TRIM($A204),3)),{"JAN","FEB","MAR","APR","MAY","JUN","JUL","AUG","SEP","OCT","NOV","DEC"},0),1),"")))</f>
        <v/>
      </c>
      <c r="BS204" s="20" t="str">
        <f aca="false">IF(BR204="","",EOMONTH(BR204,0))</f>
        <v/>
      </c>
    </row>
    <row r="205" customFormat="false" ht="15" hidden="false" customHeight="false" outlineLevel="0" collapsed="false">
      <c r="B205" s="21"/>
      <c r="C205" s="21"/>
      <c r="D205" s="21"/>
      <c r="E205" s="21"/>
      <c r="F205" s="21"/>
      <c r="G205" s="21"/>
      <c r="H205" s="21"/>
      <c r="I205" s="21"/>
      <c r="J205" s="21"/>
      <c r="K205" s="21"/>
      <c r="L205" s="21"/>
      <c r="M205" s="21"/>
      <c r="N205" s="21"/>
      <c r="O205" s="21"/>
      <c r="P205" s="21"/>
      <c r="Q205" s="21"/>
      <c r="R205" s="21"/>
      <c r="S205" s="21"/>
      <c r="T205" s="21"/>
      <c r="U205" s="21"/>
      <c r="X205" s="17" t="str">
        <f aca="false">IF(OR(B$7="",$BR205=""),"",IF('Tally Helper'!$B$3&lt;&gt;TRUE(),"not on Staff",SUMIFS('Tally Helper'!$L$5:$GI$5,'Tally Helper'!$L$3:$GI$3,"&gt;="&amp;$BR205,'Tally Helper'!$L$3:$GI$3,"&lt;="&amp;$BS205)))</f>
        <v/>
      </c>
      <c r="Y205" s="17" t="str">
        <f aca="false">IF(OR(C$7="",$BR205=""),"",IF('Tally Helper'!$B$6&lt;&gt;TRUE(),"not on Staff",SUMIFS('Tally Helper'!$L$8:$GI$8,'Tally Helper'!$L$6:$GI$6,"&gt;="&amp;$BR205,'Tally Helper'!$L$6:$GI$6,"&lt;="&amp;$BS205)))</f>
        <v/>
      </c>
      <c r="Z205" s="17" t="str">
        <f aca="false">IF(OR(D$7="",$BR205=""),"",IF('Tally Helper'!$B$9&lt;&gt;TRUE(),"not on Staff",SUMIFS('Tally Helper'!$L$11:$GI$11,'Tally Helper'!$L$9:$GI$9,"&gt;="&amp;$BR205,'Tally Helper'!$L$9:$GI$9,"&lt;="&amp;$BS205)))</f>
        <v/>
      </c>
      <c r="AA205" s="17" t="str">
        <f aca="false">IF(OR(E$7="",$BR205=""),"",IF('Tally Helper'!$B$12&lt;&gt;TRUE(),"not on Staff",SUMIFS('Tally Helper'!$L$14:$GI$14,'Tally Helper'!$L$12:$GI$12,"&gt;="&amp;$BR205,'Tally Helper'!$L$12:$GI$12,"&lt;="&amp;$BS205)))</f>
        <v/>
      </c>
      <c r="AB205" s="17" t="str">
        <f aca="false">IF(OR(F$7="",$BR205=""),"",IF('Tally Helper'!$B$15&lt;&gt;TRUE(),"not on Staff",SUMIFS('Tally Helper'!$L$17:$GI$17,'Tally Helper'!$L$15:$GI$15,"&gt;="&amp;$BR205,'Tally Helper'!$L$15:$GI$15,"&lt;="&amp;$BS205)))</f>
        <v/>
      </c>
      <c r="AC205" s="17" t="str">
        <f aca="false">IF(OR(G$7="",$BR205=""),"",IF('Tally Helper'!$B$18&lt;&gt;TRUE(),"not on Staff",SUMIFS('Tally Helper'!$L$20:$GI$20,'Tally Helper'!$L$18:$GI$18,"&gt;="&amp;$BR205,'Tally Helper'!$L$18:$GI$18,"&lt;="&amp;$BS205)))</f>
        <v/>
      </c>
      <c r="AD205" s="17" t="str">
        <f aca="false">IF(OR(H$7="",$BR205=""),"",IF('Tally Helper'!$B$21&lt;&gt;TRUE(),"not on Staff",SUMIFS('Tally Helper'!$L$23:$GI$23,'Tally Helper'!$L$21:$GI$21,"&gt;="&amp;$BR205,'Tally Helper'!$L$21:$GI$21,"&lt;="&amp;$BS205)))</f>
        <v/>
      </c>
      <c r="AE205" s="17" t="str">
        <f aca="false">IF(OR(I$7="",$BR205=""),"",IF('Tally Helper'!$B$24&lt;&gt;TRUE(),"not on Staff",SUMIFS('Tally Helper'!$L$26:$GI$26,'Tally Helper'!$L$24:$GI$24,"&gt;="&amp;$BR205,'Tally Helper'!$L$24:$GI$24,"&lt;="&amp;$BS205)))</f>
        <v/>
      </c>
      <c r="AF205" s="17" t="str">
        <f aca="false">IF(OR(J$7="",$BR205=""),"",IF('Tally Helper'!$B$27&lt;&gt;TRUE(),"not on Staff",SUMIFS('Tally Helper'!$L$29:$GI$29,'Tally Helper'!$L$27:$GI$27,"&gt;="&amp;$BR205,'Tally Helper'!$L$27:$GI$27,"&lt;="&amp;$BS205)))</f>
        <v/>
      </c>
      <c r="AG205" s="17" t="str">
        <f aca="false">IF(OR(K$7="",$BR205=""),"",IF('Tally Helper'!$B$30&lt;&gt;TRUE(),"not on Staff",SUMIFS('Tally Helper'!$L$32:$GI$32,'Tally Helper'!$L$30:$GI$30,"&gt;="&amp;$BR205,'Tally Helper'!$L$30:$GI$30,"&lt;="&amp;$BS205)))</f>
        <v/>
      </c>
      <c r="AH205" s="17" t="str">
        <f aca="false">IF(OR(L$7="",$BR205=""),"",IF('Tally Helper'!$B$33&lt;&gt;TRUE(),"not on Staff",SUMIFS('Tally Helper'!$L$35:$GI$35,'Tally Helper'!$L$33:$GI$33,"&gt;="&amp;$BR205,'Tally Helper'!$L$33:$GI$33,"&lt;="&amp;$BS205)))</f>
        <v/>
      </c>
      <c r="AI205" s="17" t="str">
        <f aca="false">IF(OR(M$7="",$BR205=""),"",IF('Tally Helper'!$B$36&lt;&gt;TRUE(),"not on Staff",SUMIFS('Tally Helper'!$L$38:$GI$38,'Tally Helper'!$L$36:$GI$36,"&gt;="&amp;$BR205,'Tally Helper'!$L$36:$GI$36,"&lt;="&amp;$BS205)))</f>
        <v/>
      </c>
      <c r="AJ205" s="17" t="str">
        <f aca="false">IF(OR(N$7="",$BR205=""),"",IF('Tally Helper'!$B$39&lt;&gt;TRUE(),"not on Staff",SUMIFS('Tally Helper'!$L$41:$GI$41,'Tally Helper'!$L$39:$GI$39,"&gt;="&amp;$BR205,'Tally Helper'!$L$39:$GI$39,"&lt;="&amp;$BS205)))</f>
        <v/>
      </c>
      <c r="AK205" s="17" t="str">
        <f aca="false">IF(OR(O$7="",$BR205=""),"",IF('Tally Helper'!$B$42&lt;&gt;TRUE(),"not on Staff",SUMIFS('Tally Helper'!$L$44:$GI$44,'Tally Helper'!$L$42:$GI$42,"&gt;="&amp;$BR205,'Tally Helper'!$L$42:$GI$42,"&lt;="&amp;$BS205)))</f>
        <v/>
      </c>
      <c r="AL205" s="17" t="str">
        <f aca="false">IF(OR(P$7="",$BR205=""),"",IF('Tally Helper'!$B$45&lt;&gt;TRUE(),"not on Staff",SUMIFS('Tally Helper'!$L$47:$GI$47,'Tally Helper'!$L$45:$GI$45,"&gt;="&amp;$BR205,'Tally Helper'!$L$45:$GI$45,"&lt;="&amp;$BS205)))</f>
        <v/>
      </c>
      <c r="AM205" s="17" t="str">
        <f aca="false">IF(OR(Q$7="",$BR205=""),"",IF('Tally Helper'!$B$48&lt;&gt;TRUE(),"not on Staff",SUMIFS('Tally Helper'!$L$50:$GI$50,'Tally Helper'!$L$48:$GI$48,"&gt;="&amp;$BR205,'Tally Helper'!$L$48:$GI$48,"&lt;="&amp;$BS205)))</f>
        <v/>
      </c>
      <c r="AN205" s="17" t="str">
        <f aca="false">IF(OR(R$7="",$BR205=""),"",IF('Tally Helper'!$B$51&lt;&gt;TRUE(),"not on Staff",SUMIFS('Tally Helper'!$L$53:$GI$53,'Tally Helper'!$L$51:$GI$51,"&gt;="&amp;$BR205,'Tally Helper'!$L$51:$GI$51,"&lt;="&amp;$BS205)))</f>
        <v/>
      </c>
      <c r="AO205" s="17" t="str">
        <f aca="false">IF(OR(S$7="",$BR205=""),"",IF('Tally Helper'!$B$54&lt;&gt;TRUE(),"not on Staff",SUMIFS('Tally Helper'!$L$56:$GI$56,'Tally Helper'!$L$54:$GI$54,"&gt;="&amp;$BR205,'Tally Helper'!$L$54:$GI$54,"&lt;="&amp;$BS205)))</f>
        <v/>
      </c>
      <c r="AP205" s="17" t="str">
        <f aca="false">IF(OR(T$7="",$BR205=""),"",IF('Tally Helper'!$B$57&lt;&gt;TRUE(),"not on Staff",SUMIFS('Tally Helper'!$L$59:$GI$59,'Tally Helper'!$L$57:$GI$57,"&gt;="&amp;$BR205,'Tally Helper'!$L$57:$GI$57,"&lt;="&amp;$BS205)))</f>
        <v/>
      </c>
      <c r="AQ205" s="17" t="str">
        <f aca="false">IF(OR(U$7="",$BR205=""),"",IF('Tally Helper'!$B$60&lt;&gt;TRUE(),"not on Staff",SUMIFS('Tally Helper'!$L$62:$GI$62,'Tally Helper'!$L$60:$GI$60,"&gt;="&amp;$BR205,'Tally Helper'!$L$60:$GI$60,"&lt;="&amp;$BS205)))</f>
        <v/>
      </c>
      <c r="AT205" s="17" t="str">
        <f aca="false">IF(OR(X205="",NOT(ISNUMBER(X205))),"",X205-N(B205))</f>
        <v/>
      </c>
      <c r="AU205" s="17" t="str">
        <f aca="false">IF(OR(Y205="",NOT(ISNUMBER(Y205))),"",Y205-N(C205))</f>
        <v/>
      </c>
      <c r="AV205" s="17" t="str">
        <f aca="false">IF(OR(Z205="",NOT(ISNUMBER(Z205))),"",Z205-N(D205))</f>
        <v/>
      </c>
      <c r="AW205" s="17" t="str">
        <f aca="false">IF(OR(AA205="",NOT(ISNUMBER(AA205))),"",AA205-N(E205))</f>
        <v/>
      </c>
      <c r="AX205" s="17" t="str">
        <f aca="false">IF(OR(AB205="",NOT(ISNUMBER(AB205))),"",AB205-N(F205))</f>
        <v/>
      </c>
      <c r="AY205" s="17" t="str">
        <f aca="false">IF(OR(AC205="",NOT(ISNUMBER(AC205))),"",AC205-N(G205))</f>
        <v/>
      </c>
      <c r="AZ205" s="17" t="str">
        <f aca="false">IF(OR(AD205="",NOT(ISNUMBER(AD205))),"",AD205-N(H205))</f>
        <v/>
      </c>
      <c r="BA205" s="17" t="str">
        <f aca="false">IF(OR(AE205="",NOT(ISNUMBER(AE205))),"",AE205-N(I205))</f>
        <v/>
      </c>
      <c r="BB205" s="17" t="str">
        <f aca="false">IF(OR(AF205="",NOT(ISNUMBER(AF205))),"",AF205-N(J205))</f>
        <v/>
      </c>
      <c r="BC205" s="17" t="str">
        <f aca="false">IF(OR(AG205="",NOT(ISNUMBER(AG205))),"",AG205-N(K205))</f>
        <v/>
      </c>
      <c r="BD205" s="17" t="str">
        <f aca="false">IF(OR(AH205="",NOT(ISNUMBER(AH205))),"",AH205-N(L205))</f>
        <v/>
      </c>
      <c r="BE205" s="17" t="str">
        <f aca="false">IF(OR(AI205="",NOT(ISNUMBER(AI205))),"",AI205-N(M205))</f>
        <v/>
      </c>
      <c r="BF205" s="17" t="str">
        <f aca="false">IF(OR(AJ205="",NOT(ISNUMBER(AJ205))),"",AJ205-N(N205))</f>
        <v/>
      </c>
      <c r="BG205" s="17" t="str">
        <f aca="false">IF(OR(AK205="",NOT(ISNUMBER(AK205))),"",AK205-N(O205))</f>
        <v/>
      </c>
      <c r="BH205" s="17" t="str">
        <f aca="false">IF(OR(AL205="",NOT(ISNUMBER(AL205))),"",AL205-N(P205))</f>
        <v/>
      </c>
      <c r="BI205" s="17" t="str">
        <f aca="false">IF(OR(AM205="",NOT(ISNUMBER(AM205))),"",AM205-N(Q205))</f>
        <v/>
      </c>
      <c r="BJ205" s="17" t="str">
        <f aca="false">IF(OR(AN205="",NOT(ISNUMBER(AN205))),"",AN205-N(R205))</f>
        <v/>
      </c>
      <c r="BK205" s="17" t="str">
        <f aca="false">IF(OR(AO205="",NOT(ISNUMBER(AO205))),"",AO205-N(S205))</f>
        <v/>
      </c>
      <c r="BL205" s="17" t="str">
        <f aca="false">IF(OR(AP205="",NOT(ISNUMBER(AP205))),"",AP205-N(T205))</f>
        <v/>
      </c>
      <c r="BM205" s="17" t="str">
        <f aca="false">IF(OR(AQ205="",NOT(ISNUMBER(AQ205))),"",AQ205-N(U205))</f>
        <v/>
      </c>
      <c r="BR205" s="20" t="str">
        <f aca="false">IF($A205="","",IF(ISNUMBER($A205),DATE(YEAR($A205),MONTH($A205),1),IFERROR(DATE(2000+VALUE(RIGHT(TRIM($A205),2)),MATCH(UPPER(LEFT(TRIM($A205),3)),{"JAN","FEB","MAR","APR","MAY","JUN","JUL","AUG","SEP","OCT","NOV","DEC"},0),1),"")))</f>
        <v/>
      </c>
      <c r="BS205" s="20" t="str">
        <f aca="false">IF(BR205="","",EOMONTH(BR205,0))</f>
        <v/>
      </c>
    </row>
    <row r="206" customFormat="false" ht="15" hidden="false" customHeight="false" outlineLevel="0" collapsed="false">
      <c r="B206" s="21"/>
      <c r="C206" s="21"/>
      <c r="D206" s="21"/>
      <c r="E206" s="21"/>
      <c r="F206" s="21"/>
      <c r="G206" s="21"/>
      <c r="H206" s="21"/>
      <c r="I206" s="21"/>
      <c r="J206" s="21"/>
      <c r="K206" s="21"/>
      <c r="L206" s="21"/>
      <c r="M206" s="21"/>
      <c r="N206" s="21"/>
      <c r="O206" s="21"/>
      <c r="P206" s="21"/>
      <c r="Q206" s="21"/>
      <c r="R206" s="21"/>
      <c r="S206" s="21"/>
      <c r="T206" s="21"/>
      <c r="U206" s="21"/>
      <c r="X206" s="17" t="str">
        <f aca="false">IF(OR(B$7="",$BR206=""),"",IF('Tally Helper'!$B$3&lt;&gt;TRUE(),"not on Staff",SUMIFS('Tally Helper'!$L$5:$GI$5,'Tally Helper'!$L$3:$GI$3,"&gt;="&amp;$BR206,'Tally Helper'!$L$3:$GI$3,"&lt;="&amp;$BS206)))</f>
        <v/>
      </c>
      <c r="Y206" s="17" t="str">
        <f aca="false">IF(OR(C$7="",$BR206=""),"",IF('Tally Helper'!$B$6&lt;&gt;TRUE(),"not on Staff",SUMIFS('Tally Helper'!$L$8:$GI$8,'Tally Helper'!$L$6:$GI$6,"&gt;="&amp;$BR206,'Tally Helper'!$L$6:$GI$6,"&lt;="&amp;$BS206)))</f>
        <v/>
      </c>
      <c r="Z206" s="17" t="str">
        <f aca="false">IF(OR(D$7="",$BR206=""),"",IF('Tally Helper'!$B$9&lt;&gt;TRUE(),"not on Staff",SUMIFS('Tally Helper'!$L$11:$GI$11,'Tally Helper'!$L$9:$GI$9,"&gt;="&amp;$BR206,'Tally Helper'!$L$9:$GI$9,"&lt;="&amp;$BS206)))</f>
        <v/>
      </c>
      <c r="AA206" s="17" t="str">
        <f aca="false">IF(OR(E$7="",$BR206=""),"",IF('Tally Helper'!$B$12&lt;&gt;TRUE(),"not on Staff",SUMIFS('Tally Helper'!$L$14:$GI$14,'Tally Helper'!$L$12:$GI$12,"&gt;="&amp;$BR206,'Tally Helper'!$L$12:$GI$12,"&lt;="&amp;$BS206)))</f>
        <v/>
      </c>
      <c r="AB206" s="17" t="str">
        <f aca="false">IF(OR(F$7="",$BR206=""),"",IF('Tally Helper'!$B$15&lt;&gt;TRUE(),"not on Staff",SUMIFS('Tally Helper'!$L$17:$GI$17,'Tally Helper'!$L$15:$GI$15,"&gt;="&amp;$BR206,'Tally Helper'!$L$15:$GI$15,"&lt;="&amp;$BS206)))</f>
        <v/>
      </c>
      <c r="AC206" s="17" t="str">
        <f aca="false">IF(OR(G$7="",$BR206=""),"",IF('Tally Helper'!$B$18&lt;&gt;TRUE(),"not on Staff",SUMIFS('Tally Helper'!$L$20:$GI$20,'Tally Helper'!$L$18:$GI$18,"&gt;="&amp;$BR206,'Tally Helper'!$L$18:$GI$18,"&lt;="&amp;$BS206)))</f>
        <v/>
      </c>
      <c r="AD206" s="17" t="str">
        <f aca="false">IF(OR(H$7="",$BR206=""),"",IF('Tally Helper'!$B$21&lt;&gt;TRUE(),"not on Staff",SUMIFS('Tally Helper'!$L$23:$GI$23,'Tally Helper'!$L$21:$GI$21,"&gt;="&amp;$BR206,'Tally Helper'!$L$21:$GI$21,"&lt;="&amp;$BS206)))</f>
        <v/>
      </c>
      <c r="AE206" s="17" t="str">
        <f aca="false">IF(OR(I$7="",$BR206=""),"",IF('Tally Helper'!$B$24&lt;&gt;TRUE(),"not on Staff",SUMIFS('Tally Helper'!$L$26:$GI$26,'Tally Helper'!$L$24:$GI$24,"&gt;="&amp;$BR206,'Tally Helper'!$L$24:$GI$24,"&lt;="&amp;$BS206)))</f>
        <v/>
      </c>
      <c r="AF206" s="17" t="str">
        <f aca="false">IF(OR(J$7="",$BR206=""),"",IF('Tally Helper'!$B$27&lt;&gt;TRUE(),"not on Staff",SUMIFS('Tally Helper'!$L$29:$GI$29,'Tally Helper'!$L$27:$GI$27,"&gt;="&amp;$BR206,'Tally Helper'!$L$27:$GI$27,"&lt;="&amp;$BS206)))</f>
        <v/>
      </c>
      <c r="AG206" s="17" t="str">
        <f aca="false">IF(OR(K$7="",$BR206=""),"",IF('Tally Helper'!$B$30&lt;&gt;TRUE(),"not on Staff",SUMIFS('Tally Helper'!$L$32:$GI$32,'Tally Helper'!$L$30:$GI$30,"&gt;="&amp;$BR206,'Tally Helper'!$L$30:$GI$30,"&lt;="&amp;$BS206)))</f>
        <v/>
      </c>
      <c r="AH206" s="17" t="str">
        <f aca="false">IF(OR(L$7="",$BR206=""),"",IF('Tally Helper'!$B$33&lt;&gt;TRUE(),"not on Staff",SUMIFS('Tally Helper'!$L$35:$GI$35,'Tally Helper'!$L$33:$GI$33,"&gt;="&amp;$BR206,'Tally Helper'!$L$33:$GI$33,"&lt;="&amp;$BS206)))</f>
        <v/>
      </c>
      <c r="AI206" s="17" t="str">
        <f aca="false">IF(OR(M$7="",$BR206=""),"",IF('Tally Helper'!$B$36&lt;&gt;TRUE(),"not on Staff",SUMIFS('Tally Helper'!$L$38:$GI$38,'Tally Helper'!$L$36:$GI$36,"&gt;="&amp;$BR206,'Tally Helper'!$L$36:$GI$36,"&lt;="&amp;$BS206)))</f>
        <v/>
      </c>
      <c r="AJ206" s="17" t="str">
        <f aca="false">IF(OR(N$7="",$BR206=""),"",IF('Tally Helper'!$B$39&lt;&gt;TRUE(),"not on Staff",SUMIFS('Tally Helper'!$L$41:$GI$41,'Tally Helper'!$L$39:$GI$39,"&gt;="&amp;$BR206,'Tally Helper'!$L$39:$GI$39,"&lt;="&amp;$BS206)))</f>
        <v/>
      </c>
      <c r="AK206" s="17" t="str">
        <f aca="false">IF(OR(O$7="",$BR206=""),"",IF('Tally Helper'!$B$42&lt;&gt;TRUE(),"not on Staff",SUMIFS('Tally Helper'!$L$44:$GI$44,'Tally Helper'!$L$42:$GI$42,"&gt;="&amp;$BR206,'Tally Helper'!$L$42:$GI$42,"&lt;="&amp;$BS206)))</f>
        <v/>
      </c>
      <c r="AL206" s="17" t="str">
        <f aca="false">IF(OR(P$7="",$BR206=""),"",IF('Tally Helper'!$B$45&lt;&gt;TRUE(),"not on Staff",SUMIFS('Tally Helper'!$L$47:$GI$47,'Tally Helper'!$L$45:$GI$45,"&gt;="&amp;$BR206,'Tally Helper'!$L$45:$GI$45,"&lt;="&amp;$BS206)))</f>
        <v/>
      </c>
      <c r="AM206" s="17" t="str">
        <f aca="false">IF(OR(Q$7="",$BR206=""),"",IF('Tally Helper'!$B$48&lt;&gt;TRUE(),"not on Staff",SUMIFS('Tally Helper'!$L$50:$GI$50,'Tally Helper'!$L$48:$GI$48,"&gt;="&amp;$BR206,'Tally Helper'!$L$48:$GI$48,"&lt;="&amp;$BS206)))</f>
        <v/>
      </c>
      <c r="AN206" s="17" t="str">
        <f aca="false">IF(OR(R$7="",$BR206=""),"",IF('Tally Helper'!$B$51&lt;&gt;TRUE(),"not on Staff",SUMIFS('Tally Helper'!$L$53:$GI$53,'Tally Helper'!$L$51:$GI$51,"&gt;="&amp;$BR206,'Tally Helper'!$L$51:$GI$51,"&lt;="&amp;$BS206)))</f>
        <v/>
      </c>
      <c r="AO206" s="17" t="str">
        <f aca="false">IF(OR(S$7="",$BR206=""),"",IF('Tally Helper'!$B$54&lt;&gt;TRUE(),"not on Staff",SUMIFS('Tally Helper'!$L$56:$GI$56,'Tally Helper'!$L$54:$GI$54,"&gt;="&amp;$BR206,'Tally Helper'!$L$54:$GI$54,"&lt;="&amp;$BS206)))</f>
        <v/>
      </c>
      <c r="AP206" s="17" t="str">
        <f aca="false">IF(OR(T$7="",$BR206=""),"",IF('Tally Helper'!$B$57&lt;&gt;TRUE(),"not on Staff",SUMIFS('Tally Helper'!$L$59:$GI$59,'Tally Helper'!$L$57:$GI$57,"&gt;="&amp;$BR206,'Tally Helper'!$L$57:$GI$57,"&lt;="&amp;$BS206)))</f>
        <v/>
      </c>
      <c r="AQ206" s="17" t="str">
        <f aca="false">IF(OR(U$7="",$BR206=""),"",IF('Tally Helper'!$B$60&lt;&gt;TRUE(),"not on Staff",SUMIFS('Tally Helper'!$L$62:$GI$62,'Tally Helper'!$L$60:$GI$60,"&gt;="&amp;$BR206,'Tally Helper'!$L$60:$GI$60,"&lt;="&amp;$BS206)))</f>
        <v/>
      </c>
      <c r="AT206" s="17" t="str">
        <f aca="false">IF(OR(X206="",NOT(ISNUMBER(X206))),"",X206-N(B206))</f>
        <v/>
      </c>
      <c r="AU206" s="17" t="str">
        <f aca="false">IF(OR(Y206="",NOT(ISNUMBER(Y206))),"",Y206-N(C206))</f>
        <v/>
      </c>
      <c r="AV206" s="17" t="str">
        <f aca="false">IF(OR(Z206="",NOT(ISNUMBER(Z206))),"",Z206-N(D206))</f>
        <v/>
      </c>
      <c r="AW206" s="17" t="str">
        <f aca="false">IF(OR(AA206="",NOT(ISNUMBER(AA206))),"",AA206-N(E206))</f>
        <v/>
      </c>
      <c r="AX206" s="17" t="str">
        <f aca="false">IF(OR(AB206="",NOT(ISNUMBER(AB206))),"",AB206-N(F206))</f>
        <v/>
      </c>
      <c r="AY206" s="17" t="str">
        <f aca="false">IF(OR(AC206="",NOT(ISNUMBER(AC206))),"",AC206-N(G206))</f>
        <v/>
      </c>
      <c r="AZ206" s="17" t="str">
        <f aca="false">IF(OR(AD206="",NOT(ISNUMBER(AD206))),"",AD206-N(H206))</f>
        <v/>
      </c>
      <c r="BA206" s="17" t="str">
        <f aca="false">IF(OR(AE206="",NOT(ISNUMBER(AE206))),"",AE206-N(I206))</f>
        <v/>
      </c>
      <c r="BB206" s="17" t="str">
        <f aca="false">IF(OR(AF206="",NOT(ISNUMBER(AF206))),"",AF206-N(J206))</f>
        <v/>
      </c>
      <c r="BC206" s="17" t="str">
        <f aca="false">IF(OR(AG206="",NOT(ISNUMBER(AG206))),"",AG206-N(K206))</f>
        <v/>
      </c>
      <c r="BD206" s="17" t="str">
        <f aca="false">IF(OR(AH206="",NOT(ISNUMBER(AH206))),"",AH206-N(L206))</f>
        <v/>
      </c>
      <c r="BE206" s="17" t="str">
        <f aca="false">IF(OR(AI206="",NOT(ISNUMBER(AI206))),"",AI206-N(M206))</f>
        <v/>
      </c>
      <c r="BF206" s="17" t="str">
        <f aca="false">IF(OR(AJ206="",NOT(ISNUMBER(AJ206))),"",AJ206-N(N206))</f>
        <v/>
      </c>
      <c r="BG206" s="17" t="str">
        <f aca="false">IF(OR(AK206="",NOT(ISNUMBER(AK206))),"",AK206-N(O206))</f>
        <v/>
      </c>
      <c r="BH206" s="17" t="str">
        <f aca="false">IF(OR(AL206="",NOT(ISNUMBER(AL206))),"",AL206-N(P206))</f>
        <v/>
      </c>
      <c r="BI206" s="17" t="str">
        <f aca="false">IF(OR(AM206="",NOT(ISNUMBER(AM206))),"",AM206-N(Q206))</f>
        <v/>
      </c>
      <c r="BJ206" s="17" t="str">
        <f aca="false">IF(OR(AN206="",NOT(ISNUMBER(AN206))),"",AN206-N(R206))</f>
        <v/>
      </c>
      <c r="BK206" s="17" t="str">
        <f aca="false">IF(OR(AO206="",NOT(ISNUMBER(AO206))),"",AO206-N(S206))</f>
        <v/>
      </c>
      <c r="BL206" s="17" t="str">
        <f aca="false">IF(OR(AP206="",NOT(ISNUMBER(AP206))),"",AP206-N(T206))</f>
        <v/>
      </c>
      <c r="BM206" s="17" t="str">
        <f aca="false">IF(OR(AQ206="",NOT(ISNUMBER(AQ206))),"",AQ206-N(U206))</f>
        <v/>
      </c>
      <c r="BR206" s="20" t="str">
        <f aca="false">IF($A206="","",IF(ISNUMBER($A206),DATE(YEAR($A206),MONTH($A206),1),IFERROR(DATE(2000+VALUE(RIGHT(TRIM($A206),2)),MATCH(UPPER(LEFT(TRIM($A206),3)),{"JAN","FEB","MAR","APR","MAY","JUN","JUL","AUG","SEP","OCT","NOV","DEC"},0),1),"")))</f>
        <v/>
      </c>
      <c r="BS206" s="20" t="str">
        <f aca="false">IF(BR206="","",EOMONTH(BR206,0))</f>
        <v/>
      </c>
    </row>
    <row r="207" customFormat="false" ht="15" hidden="false" customHeight="false" outlineLevel="0" collapsed="false">
      <c r="B207" s="21"/>
      <c r="C207" s="21"/>
      <c r="D207" s="21"/>
      <c r="E207" s="21"/>
      <c r="F207" s="21"/>
      <c r="G207" s="21"/>
      <c r="H207" s="21"/>
      <c r="I207" s="21"/>
      <c r="J207" s="21"/>
      <c r="K207" s="21"/>
      <c r="L207" s="21"/>
      <c r="M207" s="21"/>
      <c r="N207" s="21"/>
      <c r="O207" s="21"/>
      <c r="P207" s="21"/>
      <c r="Q207" s="21"/>
      <c r="R207" s="21"/>
      <c r="S207" s="21"/>
      <c r="T207" s="21"/>
      <c r="U207" s="21"/>
      <c r="X207" s="17" t="str">
        <f aca="false">IF(OR(B$7="",$BR207=""),"",IF('Tally Helper'!$B$3&lt;&gt;TRUE(),"not on Staff",SUMIFS('Tally Helper'!$L$5:$GI$5,'Tally Helper'!$L$3:$GI$3,"&gt;="&amp;$BR207,'Tally Helper'!$L$3:$GI$3,"&lt;="&amp;$BS207)))</f>
        <v/>
      </c>
      <c r="Y207" s="17" t="str">
        <f aca="false">IF(OR(C$7="",$BR207=""),"",IF('Tally Helper'!$B$6&lt;&gt;TRUE(),"not on Staff",SUMIFS('Tally Helper'!$L$8:$GI$8,'Tally Helper'!$L$6:$GI$6,"&gt;="&amp;$BR207,'Tally Helper'!$L$6:$GI$6,"&lt;="&amp;$BS207)))</f>
        <v/>
      </c>
      <c r="Z207" s="17" t="str">
        <f aca="false">IF(OR(D$7="",$BR207=""),"",IF('Tally Helper'!$B$9&lt;&gt;TRUE(),"not on Staff",SUMIFS('Tally Helper'!$L$11:$GI$11,'Tally Helper'!$L$9:$GI$9,"&gt;="&amp;$BR207,'Tally Helper'!$L$9:$GI$9,"&lt;="&amp;$BS207)))</f>
        <v/>
      </c>
      <c r="AA207" s="17" t="str">
        <f aca="false">IF(OR(E$7="",$BR207=""),"",IF('Tally Helper'!$B$12&lt;&gt;TRUE(),"not on Staff",SUMIFS('Tally Helper'!$L$14:$GI$14,'Tally Helper'!$L$12:$GI$12,"&gt;="&amp;$BR207,'Tally Helper'!$L$12:$GI$12,"&lt;="&amp;$BS207)))</f>
        <v/>
      </c>
      <c r="AB207" s="17" t="str">
        <f aca="false">IF(OR(F$7="",$BR207=""),"",IF('Tally Helper'!$B$15&lt;&gt;TRUE(),"not on Staff",SUMIFS('Tally Helper'!$L$17:$GI$17,'Tally Helper'!$L$15:$GI$15,"&gt;="&amp;$BR207,'Tally Helper'!$L$15:$GI$15,"&lt;="&amp;$BS207)))</f>
        <v/>
      </c>
      <c r="AC207" s="17" t="str">
        <f aca="false">IF(OR(G$7="",$BR207=""),"",IF('Tally Helper'!$B$18&lt;&gt;TRUE(),"not on Staff",SUMIFS('Tally Helper'!$L$20:$GI$20,'Tally Helper'!$L$18:$GI$18,"&gt;="&amp;$BR207,'Tally Helper'!$L$18:$GI$18,"&lt;="&amp;$BS207)))</f>
        <v/>
      </c>
      <c r="AD207" s="17" t="str">
        <f aca="false">IF(OR(H$7="",$BR207=""),"",IF('Tally Helper'!$B$21&lt;&gt;TRUE(),"not on Staff",SUMIFS('Tally Helper'!$L$23:$GI$23,'Tally Helper'!$L$21:$GI$21,"&gt;="&amp;$BR207,'Tally Helper'!$L$21:$GI$21,"&lt;="&amp;$BS207)))</f>
        <v/>
      </c>
      <c r="AE207" s="17" t="str">
        <f aca="false">IF(OR(I$7="",$BR207=""),"",IF('Tally Helper'!$B$24&lt;&gt;TRUE(),"not on Staff",SUMIFS('Tally Helper'!$L$26:$GI$26,'Tally Helper'!$L$24:$GI$24,"&gt;="&amp;$BR207,'Tally Helper'!$L$24:$GI$24,"&lt;="&amp;$BS207)))</f>
        <v/>
      </c>
      <c r="AF207" s="17" t="str">
        <f aca="false">IF(OR(J$7="",$BR207=""),"",IF('Tally Helper'!$B$27&lt;&gt;TRUE(),"not on Staff",SUMIFS('Tally Helper'!$L$29:$GI$29,'Tally Helper'!$L$27:$GI$27,"&gt;="&amp;$BR207,'Tally Helper'!$L$27:$GI$27,"&lt;="&amp;$BS207)))</f>
        <v/>
      </c>
      <c r="AG207" s="17" t="str">
        <f aca="false">IF(OR(K$7="",$BR207=""),"",IF('Tally Helper'!$B$30&lt;&gt;TRUE(),"not on Staff",SUMIFS('Tally Helper'!$L$32:$GI$32,'Tally Helper'!$L$30:$GI$30,"&gt;="&amp;$BR207,'Tally Helper'!$L$30:$GI$30,"&lt;="&amp;$BS207)))</f>
        <v/>
      </c>
      <c r="AH207" s="17" t="str">
        <f aca="false">IF(OR(L$7="",$BR207=""),"",IF('Tally Helper'!$B$33&lt;&gt;TRUE(),"not on Staff",SUMIFS('Tally Helper'!$L$35:$GI$35,'Tally Helper'!$L$33:$GI$33,"&gt;="&amp;$BR207,'Tally Helper'!$L$33:$GI$33,"&lt;="&amp;$BS207)))</f>
        <v/>
      </c>
      <c r="AI207" s="17" t="str">
        <f aca="false">IF(OR(M$7="",$BR207=""),"",IF('Tally Helper'!$B$36&lt;&gt;TRUE(),"not on Staff",SUMIFS('Tally Helper'!$L$38:$GI$38,'Tally Helper'!$L$36:$GI$36,"&gt;="&amp;$BR207,'Tally Helper'!$L$36:$GI$36,"&lt;="&amp;$BS207)))</f>
        <v/>
      </c>
      <c r="AJ207" s="17" t="str">
        <f aca="false">IF(OR(N$7="",$BR207=""),"",IF('Tally Helper'!$B$39&lt;&gt;TRUE(),"not on Staff",SUMIFS('Tally Helper'!$L$41:$GI$41,'Tally Helper'!$L$39:$GI$39,"&gt;="&amp;$BR207,'Tally Helper'!$L$39:$GI$39,"&lt;="&amp;$BS207)))</f>
        <v/>
      </c>
      <c r="AK207" s="17" t="str">
        <f aca="false">IF(OR(O$7="",$BR207=""),"",IF('Tally Helper'!$B$42&lt;&gt;TRUE(),"not on Staff",SUMIFS('Tally Helper'!$L$44:$GI$44,'Tally Helper'!$L$42:$GI$42,"&gt;="&amp;$BR207,'Tally Helper'!$L$42:$GI$42,"&lt;="&amp;$BS207)))</f>
        <v/>
      </c>
      <c r="AL207" s="17" t="str">
        <f aca="false">IF(OR(P$7="",$BR207=""),"",IF('Tally Helper'!$B$45&lt;&gt;TRUE(),"not on Staff",SUMIFS('Tally Helper'!$L$47:$GI$47,'Tally Helper'!$L$45:$GI$45,"&gt;="&amp;$BR207,'Tally Helper'!$L$45:$GI$45,"&lt;="&amp;$BS207)))</f>
        <v/>
      </c>
      <c r="AM207" s="17" t="str">
        <f aca="false">IF(OR(Q$7="",$BR207=""),"",IF('Tally Helper'!$B$48&lt;&gt;TRUE(),"not on Staff",SUMIFS('Tally Helper'!$L$50:$GI$50,'Tally Helper'!$L$48:$GI$48,"&gt;="&amp;$BR207,'Tally Helper'!$L$48:$GI$48,"&lt;="&amp;$BS207)))</f>
        <v/>
      </c>
      <c r="AN207" s="17" t="str">
        <f aca="false">IF(OR(R$7="",$BR207=""),"",IF('Tally Helper'!$B$51&lt;&gt;TRUE(),"not on Staff",SUMIFS('Tally Helper'!$L$53:$GI$53,'Tally Helper'!$L$51:$GI$51,"&gt;="&amp;$BR207,'Tally Helper'!$L$51:$GI$51,"&lt;="&amp;$BS207)))</f>
        <v/>
      </c>
      <c r="AO207" s="17" t="str">
        <f aca="false">IF(OR(S$7="",$BR207=""),"",IF('Tally Helper'!$B$54&lt;&gt;TRUE(),"not on Staff",SUMIFS('Tally Helper'!$L$56:$GI$56,'Tally Helper'!$L$54:$GI$54,"&gt;="&amp;$BR207,'Tally Helper'!$L$54:$GI$54,"&lt;="&amp;$BS207)))</f>
        <v/>
      </c>
      <c r="AP207" s="17" t="str">
        <f aca="false">IF(OR(T$7="",$BR207=""),"",IF('Tally Helper'!$B$57&lt;&gt;TRUE(),"not on Staff",SUMIFS('Tally Helper'!$L$59:$GI$59,'Tally Helper'!$L$57:$GI$57,"&gt;="&amp;$BR207,'Tally Helper'!$L$57:$GI$57,"&lt;="&amp;$BS207)))</f>
        <v/>
      </c>
      <c r="AQ207" s="17" t="str">
        <f aca="false">IF(OR(U$7="",$BR207=""),"",IF('Tally Helper'!$B$60&lt;&gt;TRUE(),"not on Staff",SUMIFS('Tally Helper'!$L$62:$GI$62,'Tally Helper'!$L$60:$GI$60,"&gt;="&amp;$BR207,'Tally Helper'!$L$60:$GI$60,"&lt;="&amp;$BS207)))</f>
        <v/>
      </c>
      <c r="AT207" s="17" t="str">
        <f aca="false">IF(OR(X207="",NOT(ISNUMBER(X207))),"",X207-N(B207))</f>
        <v/>
      </c>
      <c r="AU207" s="17" t="str">
        <f aca="false">IF(OR(Y207="",NOT(ISNUMBER(Y207))),"",Y207-N(C207))</f>
        <v/>
      </c>
      <c r="AV207" s="17" t="str">
        <f aca="false">IF(OR(Z207="",NOT(ISNUMBER(Z207))),"",Z207-N(D207))</f>
        <v/>
      </c>
      <c r="AW207" s="17" t="str">
        <f aca="false">IF(OR(AA207="",NOT(ISNUMBER(AA207))),"",AA207-N(E207))</f>
        <v/>
      </c>
      <c r="AX207" s="17" t="str">
        <f aca="false">IF(OR(AB207="",NOT(ISNUMBER(AB207))),"",AB207-N(F207))</f>
        <v/>
      </c>
      <c r="AY207" s="17" t="str">
        <f aca="false">IF(OR(AC207="",NOT(ISNUMBER(AC207))),"",AC207-N(G207))</f>
        <v/>
      </c>
      <c r="AZ207" s="17" t="str">
        <f aca="false">IF(OR(AD207="",NOT(ISNUMBER(AD207))),"",AD207-N(H207))</f>
        <v/>
      </c>
      <c r="BA207" s="17" t="str">
        <f aca="false">IF(OR(AE207="",NOT(ISNUMBER(AE207))),"",AE207-N(I207))</f>
        <v/>
      </c>
      <c r="BB207" s="17" t="str">
        <f aca="false">IF(OR(AF207="",NOT(ISNUMBER(AF207))),"",AF207-N(J207))</f>
        <v/>
      </c>
      <c r="BC207" s="17" t="str">
        <f aca="false">IF(OR(AG207="",NOT(ISNUMBER(AG207))),"",AG207-N(K207))</f>
        <v/>
      </c>
      <c r="BD207" s="17" t="str">
        <f aca="false">IF(OR(AH207="",NOT(ISNUMBER(AH207))),"",AH207-N(L207))</f>
        <v/>
      </c>
      <c r="BE207" s="17" t="str">
        <f aca="false">IF(OR(AI207="",NOT(ISNUMBER(AI207))),"",AI207-N(M207))</f>
        <v/>
      </c>
      <c r="BF207" s="17" t="str">
        <f aca="false">IF(OR(AJ207="",NOT(ISNUMBER(AJ207))),"",AJ207-N(N207))</f>
        <v/>
      </c>
      <c r="BG207" s="17" t="str">
        <f aca="false">IF(OR(AK207="",NOT(ISNUMBER(AK207))),"",AK207-N(O207))</f>
        <v/>
      </c>
      <c r="BH207" s="17" t="str">
        <f aca="false">IF(OR(AL207="",NOT(ISNUMBER(AL207))),"",AL207-N(P207))</f>
        <v/>
      </c>
      <c r="BI207" s="17" t="str">
        <f aca="false">IF(OR(AM207="",NOT(ISNUMBER(AM207))),"",AM207-N(Q207))</f>
        <v/>
      </c>
      <c r="BJ207" s="17" t="str">
        <f aca="false">IF(OR(AN207="",NOT(ISNUMBER(AN207))),"",AN207-N(R207))</f>
        <v/>
      </c>
      <c r="BK207" s="17" t="str">
        <f aca="false">IF(OR(AO207="",NOT(ISNUMBER(AO207))),"",AO207-N(S207))</f>
        <v/>
      </c>
      <c r="BL207" s="17" t="str">
        <f aca="false">IF(OR(AP207="",NOT(ISNUMBER(AP207))),"",AP207-N(T207))</f>
        <v/>
      </c>
      <c r="BM207" s="17" t="str">
        <f aca="false">IF(OR(AQ207="",NOT(ISNUMBER(AQ207))),"",AQ207-N(U207))</f>
        <v/>
      </c>
      <c r="BR207" s="20" t="str">
        <f aca="false">IF($A207="","",IF(ISNUMBER($A207),DATE(YEAR($A207),MONTH($A207),1),IFERROR(DATE(2000+VALUE(RIGHT(TRIM($A207),2)),MATCH(UPPER(LEFT(TRIM($A207),3)),{"JAN","FEB","MAR","APR","MAY","JUN","JUL","AUG","SEP","OCT","NOV","DEC"},0),1),"")))</f>
        <v/>
      </c>
      <c r="BS207" s="20" t="str">
        <f aca="false">IF(BR207="","",EOMONTH(BR207,0))</f>
        <v/>
      </c>
    </row>
  </sheetData>
  <conditionalFormatting sqref="AT8:BM207">
    <cfRule type="expression" priority="2" aboveAverage="0" equalAverage="0" bottom="0" percent="0" rank="0" text="" dxfId="14">
      <formula>AND(ISNUMBER(AT8),AT8&lt;&gt;0)</formula>
    </cfRule>
  </conditionalFormatting>
  <conditionalFormatting sqref="B6:U6">
    <cfRule type="expression" priority="3" aboveAverage="0" equalAverage="0" bottom="0" percent="0" rank="0" text="" dxfId="14">
      <formula>AND(ISNUMBER(B6),B6&lt;&gt;0)</formula>
    </cfRule>
  </conditionalFormatting>
  <conditionalFormatting sqref="B5:U5">
    <cfRule type="expression" priority="4" aboveAverage="0" equalAverage="0" bottom="0" percent="0" rank="0" text="" dxfId="14">
      <formula>B5="not on Staff"</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G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22"/>
    <col collapsed="false" customWidth="true" hidden="false" outlineLevel="0" max="5" min="4" style="0" width="10"/>
    <col collapsed="false" customWidth="true" hidden="false" outlineLevel="0" max="6" min="6" style="0" width="70"/>
    <col collapsed="false" customWidth="true" hidden="false" outlineLevel="0" max="8" min="7" style="0" width="3"/>
  </cols>
  <sheetData>
    <row r="2" customFormat="false" ht="17.35" hidden="false" customHeight="false" outlineLevel="0" collapsed="false">
      <c r="B2" s="1" t="s">
        <v>172</v>
      </c>
    </row>
    <row r="4" customFormat="false" ht="15" hidden="false" customHeight="false" outlineLevel="0" collapsed="false">
      <c r="B4" s="8" t="s">
        <v>173</v>
      </c>
      <c r="C4" s="8" t="s">
        <v>174</v>
      </c>
    </row>
    <row r="5" customFormat="false" ht="15" hidden="false" customHeight="false" outlineLevel="0" collapsed="false">
      <c r="B5" s="22" t="s">
        <v>175</v>
      </c>
      <c r="C5" s="14" t="n">
        <f aca="false">Staff!$D$1</f>
        <v>46295</v>
      </c>
      <c r="F5" s="4" t="s">
        <v>176</v>
      </c>
    </row>
    <row r="6" customFormat="false" ht="15" hidden="false" customHeight="false" outlineLevel="0" collapsed="false">
      <c r="B6" s="22" t="s">
        <v>177</v>
      </c>
      <c r="C6" s="13" t="n">
        <v>43646</v>
      </c>
      <c r="F6" s="4" t="s">
        <v>178</v>
      </c>
    </row>
    <row r="7" customFormat="false" ht="15" hidden="false" customHeight="false" outlineLevel="0" collapsed="false">
      <c r="B7" s="22" t="s">
        <v>179</v>
      </c>
      <c r="C7" s="12" t="n">
        <v>8</v>
      </c>
      <c r="F7" s="4" t="s">
        <v>180</v>
      </c>
    </row>
    <row r="8" customFormat="false" ht="15" hidden="false" customHeight="false" outlineLevel="0" collapsed="false">
      <c r="B8" s="22" t="s">
        <v>181</v>
      </c>
      <c r="C8" s="12" t="s">
        <v>182</v>
      </c>
      <c r="F8" s="4" t="s">
        <v>183</v>
      </c>
    </row>
    <row r="9" customFormat="false" ht="15" hidden="false" customHeight="false" outlineLevel="0" collapsed="false">
      <c r="B9" s="22" t="s">
        <v>184</v>
      </c>
      <c r="C9" s="12" t="s">
        <v>157</v>
      </c>
      <c r="F9" s="4" t="s">
        <v>185</v>
      </c>
      <c r="G9" s="4" t="n">
        <f aca="false">IF(LHUnit="Days",HoursPerDay,1)</f>
        <v>1</v>
      </c>
    </row>
    <row r="10" customFormat="false" ht="15" hidden="false" customHeight="false" outlineLevel="0" collapsed="false">
      <c r="B10" s="22" t="s">
        <v>186</v>
      </c>
      <c r="C10" s="12" t="s">
        <v>114</v>
      </c>
      <c r="D10" s="34" t="str">
        <f aca="false">IF(ISNUMBER(MATCH($C10,LH_Hdr,0)),"Yes","NO")</f>
        <v>Yes</v>
      </c>
      <c r="G10" s="4" t="n">
        <f aca="false">IFERROR(MATCH($C10,LH_Hdr,0),0)</f>
        <v>8</v>
      </c>
    </row>
    <row r="11" customFormat="false" ht="15" hidden="false" customHeight="false" outlineLevel="0" collapsed="false">
      <c r="B11" s="8" t="s">
        <v>187</v>
      </c>
      <c r="C11" s="8" t="s">
        <v>188</v>
      </c>
      <c r="D11" s="8" t="s">
        <v>124</v>
      </c>
    </row>
    <row r="12" customFormat="false" ht="15" hidden="false" customHeight="false" outlineLevel="0" collapsed="false">
      <c r="B12" s="22" t="s">
        <v>189</v>
      </c>
      <c r="C12" s="12" t="s">
        <v>110</v>
      </c>
      <c r="D12" s="34" t="str">
        <f aca="false">IF(ISNUMBER(MATCH($C12,LH_Hdr,0)),"Yes","NO")</f>
        <v>Yes</v>
      </c>
      <c r="F12" s="4" t="s">
        <v>190</v>
      </c>
      <c r="G12" s="4" t="n">
        <f aca="false">IFERROR(MATCH($C12,LH_Hdr,0),0)</f>
        <v>3</v>
      </c>
    </row>
    <row r="13" customFormat="false" ht="15" hidden="false" customHeight="false" outlineLevel="0" collapsed="false">
      <c r="B13" s="22" t="s">
        <v>34</v>
      </c>
      <c r="C13" s="12" t="s">
        <v>34</v>
      </c>
      <c r="D13" s="34" t="str">
        <f aca="false">IF(ISNUMBER(MATCH($C13,LH_Hdr,0)),"Yes","NO")</f>
        <v>Yes</v>
      </c>
      <c r="G13" s="4" t="n">
        <f aca="false">IFERROR(MATCH($C13,LH_Hdr,0),0)</f>
        <v>4</v>
      </c>
    </row>
    <row r="14" customFormat="false" ht="15" hidden="false" customHeight="false" outlineLevel="0" collapsed="false">
      <c r="B14" s="22" t="s">
        <v>191</v>
      </c>
      <c r="C14" s="12" t="s">
        <v>111</v>
      </c>
      <c r="D14" s="34" t="str">
        <f aca="false">IF(ISNUMBER(MATCH($C14,LH_Hdr,0)),"Yes","NO")</f>
        <v>Yes</v>
      </c>
      <c r="G14" s="4" t="n">
        <f aca="false">IFERROR(MATCH($C14,LH_Hdr,0),0)</f>
        <v>5</v>
      </c>
    </row>
    <row r="15" customFormat="false" ht="15" hidden="false" customHeight="false" outlineLevel="0" collapsed="false">
      <c r="B15" s="22" t="s">
        <v>192</v>
      </c>
      <c r="C15" s="12" t="s">
        <v>115</v>
      </c>
      <c r="D15" s="34" t="str">
        <f aca="false">IF(ISNUMBER(MATCH($C15,LH_Hdr,0)),"Yes","NO")</f>
        <v>Yes</v>
      </c>
      <c r="G15" s="4" t="n">
        <f aca="false">IFERROR(MATCH($C15,LH_Hdr,0),0)</f>
        <v>10</v>
      </c>
    </row>
    <row r="16" customFormat="false" ht="15" hidden="false" customHeight="false" outlineLevel="0" collapsed="false">
      <c r="B16" s="22" t="s">
        <v>193</v>
      </c>
      <c r="C16" s="12" t="s">
        <v>116</v>
      </c>
      <c r="D16" s="34" t="str">
        <f aca="false">IF(ISNUMBER(MATCH($C16,LH_Hdr,0)),"Yes","NO")</f>
        <v>Yes</v>
      </c>
      <c r="G16" s="4" t="n">
        <f aca="false">IFERROR(MATCH($C16,LH_Hdr,0),0)</f>
        <v>11</v>
      </c>
    </row>
    <row r="17" customFormat="false" ht="15" hidden="false" customHeight="false" outlineLevel="0" collapsed="false">
      <c r="B17" s="22" t="s">
        <v>194</v>
      </c>
      <c r="C17" s="12" t="s">
        <v>113</v>
      </c>
      <c r="D17" s="34" t="str">
        <f aca="false">IF(ISNUMBER(MATCH($C17,LH_Hdr,0)),"Yes","NO")</f>
        <v>Yes</v>
      </c>
      <c r="G17" s="4" t="n">
        <f aca="false">IFERROR(MATCH($C17,LH_Hdr,0),0)</f>
        <v>7</v>
      </c>
    </row>
    <row r="18" customFormat="false" ht="15" hidden="false" customHeight="false" outlineLevel="0" collapsed="false">
      <c r="B18" s="5" t="s">
        <v>195</v>
      </c>
      <c r="D18" s="34" t="str">
        <f aca="false">IF(LH_Ready,"YES","NO")</f>
        <v>YES</v>
      </c>
      <c r="G18" s="35" t="b">
        <f aca="false">AND(LH_ColFirst&gt;0,LH_ColSur&gt;0,LH_ColCat&gt;0,LH_ColAcc&gt;0,LH_ColTaken&gt;0,LH_ColClose&gt;0)</f>
        <v>1</v>
      </c>
    </row>
    <row r="19" customFormat="false" ht="15" hidden="false" customHeight="false" outlineLevel="0" collapsed="false">
      <c r="B19" s="22" t="s">
        <v>196</v>
      </c>
      <c r="C19" s="12" t="s">
        <v>197</v>
      </c>
      <c r="F19" s="4" t="s">
        <v>198</v>
      </c>
    </row>
    <row r="20" customFormat="false" ht="23.85" hidden="false" customHeight="false" outlineLevel="0" collapsed="false">
      <c r="B20" s="8" t="s">
        <v>199</v>
      </c>
      <c r="C20" s="8" t="s">
        <v>174</v>
      </c>
    </row>
    <row r="21" customFormat="false" ht="15" hidden="false" customHeight="false" outlineLevel="0" collapsed="false">
      <c r="B21" s="22" t="s">
        <v>200</v>
      </c>
      <c r="C21" s="12" t="n">
        <v>36</v>
      </c>
      <c r="F21" s="4" t="s">
        <v>201</v>
      </c>
    </row>
    <row r="22" customFormat="false" ht="15" hidden="false" customHeight="false" outlineLevel="0" collapsed="false">
      <c r="B22" s="22" t="s">
        <v>202</v>
      </c>
      <c r="C22" s="12" t="n">
        <v>4</v>
      </c>
      <c r="F22" s="4" t="s">
        <v>203</v>
      </c>
    </row>
    <row r="23" customFormat="false" ht="15" hidden="false" customHeight="false" outlineLevel="0" collapsed="false">
      <c r="B23" s="22" t="s">
        <v>204</v>
      </c>
      <c r="C23" s="12" t="n">
        <v>60</v>
      </c>
      <c r="F23" s="4" t="s">
        <v>205</v>
      </c>
    </row>
    <row r="24" customFormat="false" ht="15" hidden="false" customHeight="false" outlineLevel="0" collapsed="false">
      <c r="B24" s="22" t="s">
        <v>206</v>
      </c>
      <c r="C24" s="12" t="n">
        <v>2</v>
      </c>
      <c r="F24" s="4" t="s">
        <v>205</v>
      </c>
    </row>
    <row r="25" customFormat="false" ht="15" hidden="false" customHeight="false" outlineLevel="0" collapsed="false">
      <c r="B25" s="22" t="s">
        <v>207</v>
      </c>
      <c r="C25" s="12" t="n">
        <v>3</v>
      </c>
      <c r="F25" s="4" t="s">
        <v>208</v>
      </c>
    </row>
    <row r="26" customFormat="false" ht="15" hidden="false" customHeight="false" outlineLevel="0" collapsed="false">
      <c r="B26" s="22" t="s">
        <v>209</v>
      </c>
      <c r="C26" s="12" t="n">
        <v>60</v>
      </c>
      <c r="F26" s="4" t="s">
        <v>210</v>
      </c>
    </row>
    <row r="27" customFormat="false" ht="15" hidden="false" customHeight="false" outlineLevel="0" collapsed="false">
      <c r="B27" s="22" t="s">
        <v>211</v>
      </c>
      <c r="C27" s="12" t="n">
        <v>4</v>
      </c>
      <c r="F27" s="4" t="s">
        <v>212</v>
      </c>
    </row>
    <row r="28" customFormat="false" ht="15" hidden="false" customHeight="false" outlineLevel="0" collapsed="false">
      <c r="B28" s="22" t="s">
        <v>213</v>
      </c>
      <c r="C28" s="12" t="n">
        <v>24</v>
      </c>
      <c r="F28" s="4" t="s">
        <v>214</v>
      </c>
    </row>
    <row r="29" customFormat="false" ht="15" hidden="false" customHeight="false" outlineLevel="0" collapsed="false">
      <c r="B29" s="22" t="s">
        <v>215</v>
      </c>
      <c r="C29" s="16" t="n">
        <f aca="false">1+INT((FT_Y5-1-FT_First)/FT_Int1)</f>
        <v>6</v>
      </c>
    </row>
    <row r="30" customFormat="false" ht="15" hidden="false" customHeight="false" outlineLevel="0" collapsed="false">
      <c r="B30" s="22" t="s">
        <v>216</v>
      </c>
      <c r="C30" s="16" t="n">
        <f aca="false">FT_AnnivDays+INT(11/FT_Int2)</f>
        <v>5</v>
      </c>
    </row>
    <row r="31" customFormat="false" ht="15" hidden="false" customHeight="false" outlineLevel="0" collapsed="false">
      <c r="B31" s="22" t="s">
        <v>217</v>
      </c>
      <c r="C31" s="12" t="s">
        <v>218</v>
      </c>
      <c r="F31" s="4" t="s">
        <v>219</v>
      </c>
    </row>
    <row r="32" customFormat="false" ht="15" hidden="false" customHeight="false" outlineLevel="0" collapsed="false">
      <c r="B32" s="22" t="s">
        <v>220</v>
      </c>
      <c r="C32" s="13" t="n">
        <v>43066</v>
      </c>
      <c r="F32" s="4" t="s">
        <v>221</v>
      </c>
    </row>
    <row r="33" customFormat="false" ht="15" hidden="false" customHeight="false" outlineLevel="0" collapsed="false">
      <c r="B33" s="22" t="s">
        <v>222</v>
      </c>
      <c r="C33" s="13" t="n">
        <v>46273</v>
      </c>
      <c r="F33" s="4" t="s">
        <v>223</v>
      </c>
    </row>
    <row r="34" customFormat="false" ht="15" hidden="false" customHeight="false" outlineLevel="0" collapsed="false">
      <c r="B34" s="22" t="s">
        <v>224</v>
      </c>
      <c r="C34" s="12" t="s">
        <v>225</v>
      </c>
      <c r="F34" s="4" t="s">
        <v>226</v>
      </c>
    </row>
    <row r="35" customFormat="false" ht="15" hidden="false" customHeight="false" outlineLevel="0" collapsed="false">
      <c r="B35" s="22" t="s">
        <v>227</v>
      </c>
      <c r="C35" s="12" t="s">
        <v>218</v>
      </c>
      <c r="F35" s="4" t="s">
        <v>228</v>
      </c>
      <c r="G35" s="36" t="n">
        <f aca="false">IF(Apply2026="Yes",PolicyDate,DATE(9999,12,31))</f>
        <v>2958465</v>
      </c>
    </row>
    <row r="38" customFormat="false" ht="15" hidden="false" customHeight="true" outlineLevel="0" collapsed="false">
      <c r="B38" s="37" t="s">
        <v>229</v>
      </c>
      <c r="C38" s="37"/>
      <c r="D38" s="37"/>
      <c r="E38" s="37"/>
      <c r="F38" s="37"/>
    </row>
    <row r="39" customFormat="false" ht="15" hidden="false" customHeight="true" outlineLevel="0" collapsed="false">
      <c r="B39" s="38" t="s">
        <v>230</v>
      </c>
      <c r="C39" s="38"/>
      <c r="D39" s="38"/>
      <c r="E39" s="38"/>
      <c r="F39" s="38"/>
    </row>
    <row r="40" customFormat="false" ht="43.5" hidden="false" customHeight="true" outlineLevel="0" collapsed="false">
      <c r="B40" s="38" t="s">
        <v>231</v>
      </c>
      <c r="C40" s="38"/>
      <c r="D40" s="38"/>
      <c r="E40" s="38"/>
      <c r="F40" s="38"/>
    </row>
    <row r="41" customFormat="false" ht="43.5" hidden="false" customHeight="true" outlineLevel="0" collapsed="false">
      <c r="B41" s="38" t="s">
        <v>232</v>
      </c>
      <c r="C41" s="38"/>
      <c r="D41" s="38"/>
      <c r="E41" s="38"/>
      <c r="F41" s="38"/>
    </row>
    <row r="42" customFormat="false" ht="30" hidden="false" customHeight="true" outlineLevel="0" collapsed="false">
      <c r="B42" s="38" t="s">
        <v>233</v>
      </c>
      <c r="C42" s="38"/>
      <c r="D42" s="38"/>
      <c r="E42" s="38"/>
      <c r="F42" s="38"/>
    </row>
    <row r="43" customFormat="false" ht="30" hidden="false" customHeight="true" outlineLevel="0" collapsed="false">
      <c r="B43" s="38" t="s">
        <v>234</v>
      </c>
      <c r="C43" s="38"/>
      <c r="D43" s="38"/>
      <c r="E43" s="38"/>
      <c r="F43" s="38"/>
    </row>
    <row r="44" customFormat="false" ht="30" hidden="false" customHeight="true" outlineLevel="0" collapsed="false">
      <c r="B44" s="38" t="s">
        <v>235</v>
      </c>
      <c r="C44" s="38"/>
      <c r="D44" s="38"/>
      <c r="E44" s="38"/>
      <c r="F44" s="38"/>
    </row>
    <row r="45" customFormat="false" ht="43.5" hidden="false" customHeight="true" outlineLevel="0" collapsed="false">
      <c r="B45" s="38" t="s">
        <v>236</v>
      </c>
      <c r="C45" s="38"/>
      <c r="D45" s="38"/>
      <c r="E45" s="38"/>
      <c r="F45" s="38"/>
    </row>
    <row r="46" customFormat="false" ht="43.5" hidden="false" customHeight="true" outlineLevel="0" collapsed="false">
      <c r="B46" s="38" t="s">
        <v>237</v>
      </c>
      <c r="C46" s="38"/>
      <c r="D46" s="38"/>
      <c r="E46" s="38"/>
      <c r="F46" s="38"/>
    </row>
    <row r="47" customFormat="false" ht="43.5" hidden="false" customHeight="true" outlineLevel="0" collapsed="false">
      <c r="B47" s="38" t="s">
        <v>238</v>
      </c>
      <c r="C47" s="38"/>
      <c r="D47" s="38"/>
      <c r="E47" s="38"/>
      <c r="F47" s="38"/>
    </row>
    <row r="48" customFormat="false" ht="43.5" hidden="false" customHeight="true" outlineLevel="0" collapsed="false">
      <c r="B48" s="38" t="s">
        <v>239</v>
      </c>
      <c r="C48" s="38"/>
      <c r="D48" s="38"/>
      <c r="E48" s="38"/>
      <c r="F48" s="38"/>
    </row>
    <row r="49" customFormat="false" ht="30" hidden="false" customHeight="true" outlineLevel="0" collapsed="false">
      <c r="B49" s="38" t="s">
        <v>240</v>
      </c>
      <c r="C49" s="38"/>
      <c r="D49" s="38"/>
      <c r="E49" s="38"/>
      <c r="F49" s="38"/>
    </row>
    <row r="50" customFormat="false" ht="43.5" hidden="false" customHeight="true" outlineLevel="0" collapsed="false">
      <c r="B50" s="38" t="s">
        <v>241</v>
      </c>
      <c r="C50" s="38"/>
      <c r="D50" s="38"/>
      <c r="E50" s="38"/>
      <c r="F50" s="38"/>
    </row>
    <row r="51" customFormat="false" ht="15" hidden="false" customHeight="false" outlineLevel="0" collapsed="false">
      <c r="B51" s="38"/>
      <c r="C51" s="38"/>
      <c r="D51" s="38"/>
      <c r="E51" s="38"/>
      <c r="F51" s="38"/>
    </row>
    <row r="52" customFormat="false" ht="15" hidden="false" customHeight="true" outlineLevel="0" collapsed="false">
      <c r="B52" s="37" t="s">
        <v>242</v>
      </c>
      <c r="C52" s="37"/>
      <c r="D52" s="37"/>
      <c r="E52" s="37"/>
      <c r="F52" s="37"/>
    </row>
    <row r="53" customFormat="false" ht="30" hidden="false" customHeight="true" outlineLevel="0" collapsed="false">
      <c r="B53" s="38" t="s">
        <v>243</v>
      </c>
      <c r="C53" s="38"/>
      <c r="D53" s="38"/>
      <c r="E53" s="38"/>
      <c r="F53" s="38"/>
    </row>
    <row r="54" customFormat="false" ht="15" hidden="false" customHeight="true" outlineLevel="0" collapsed="false">
      <c r="B54" s="38" t="s">
        <v>244</v>
      </c>
      <c r="C54" s="38"/>
      <c r="D54" s="38"/>
      <c r="E54" s="38"/>
      <c r="F54" s="38"/>
    </row>
    <row r="55" customFormat="false" ht="43.5" hidden="false" customHeight="true" outlineLevel="0" collapsed="false">
      <c r="B55" s="38" t="s">
        <v>245</v>
      </c>
      <c r="C55" s="38"/>
      <c r="D55" s="38"/>
      <c r="E55" s="38"/>
      <c r="F55" s="38"/>
    </row>
    <row r="56" customFormat="false" ht="15" hidden="false" customHeight="false" outlineLevel="0" collapsed="false">
      <c r="B56" s="38"/>
      <c r="C56" s="38"/>
      <c r="D56" s="38"/>
      <c r="E56" s="38"/>
      <c r="F56" s="38"/>
    </row>
    <row r="57" customFormat="false" ht="43.5" hidden="false" customHeight="true" outlineLevel="0" collapsed="false">
      <c r="B57" s="38" t="s">
        <v>246</v>
      </c>
      <c r="C57" s="38"/>
      <c r="D57" s="38"/>
      <c r="E57" s="38"/>
      <c r="F57" s="38"/>
    </row>
    <row r="58" customFormat="false" ht="43.5" hidden="false" customHeight="true" outlineLevel="0" collapsed="false">
      <c r="B58" s="38" t="s">
        <v>247</v>
      </c>
      <c r="C58" s="38"/>
      <c r="D58" s="38"/>
      <c r="E58" s="38"/>
      <c r="F58" s="38"/>
    </row>
    <row r="59" customFormat="false" ht="43.5" hidden="false" customHeight="true" outlineLevel="0" collapsed="false">
      <c r="B59" s="38" t="s">
        <v>248</v>
      </c>
      <c r="C59" s="38"/>
      <c r="D59" s="38"/>
      <c r="E59" s="38"/>
      <c r="F59" s="38"/>
    </row>
    <row r="60" customFormat="false" ht="43.5" hidden="false" customHeight="true" outlineLevel="0" collapsed="false">
      <c r="B60" s="37" t="s">
        <v>249</v>
      </c>
      <c r="C60" s="37"/>
      <c r="D60" s="37"/>
      <c r="E60" s="37"/>
      <c r="F60" s="37"/>
    </row>
  </sheetData>
  <mergeCells count="23">
    <mergeCell ref="B38:F38"/>
    <mergeCell ref="B39:F39"/>
    <mergeCell ref="B40:F40"/>
    <mergeCell ref="B41:F41"/>
    <mergeCell ref="B42:F42"/>
    <mergeCell ref="B43:F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s>
  <conditionalFormatting sqref="D12:D18">
    <cfRule type="expression" priority="2" aboveAverage="0" equalAverage="0" bottom="0" percent="0" rank="0" text="" dxfId="14">
      <formula>D12="NO"</formula>
    </cfRule>
    <cfRule type="expression" priority="3" aboveAverage="0" equalAverage="0" bottom="0" percent="0" rank="0" text="" dxfId="12">
      <formula>OR(D12="Yes",D12="YES")</formula>
    </cfRule>
  </conditionalFormatting>
  <dataValidations count="4">
    <dataValidation allowBlank="true" errorStyle="stop" operator="between" showDropDown="false" showErrorMessage="false" showInputMessage="false" sqref="C9" type="list">
      <formula1>"Hours,Days"</formula1>
      <formula2>0</formula2>
    </dataValidation>
    <dataValidation allowBlank="true" errorStyle="stop" operator="between" showDropDown="false" showErrorMessage="false" showInputMessage="false" sqref="C34" type="list">
      <formula1>"Yes,No"</formula1>
      <formula2>0</formula2>
    </dataValidation>
    <dataValidation allowBlank="true" errorStyle="stop" operator="between" showDropDown="false" showErrorMessage="false" showInputMessage="false" sqref="C35" type="list">
      <formula1>"Yes,No"</formula1>
      <formula2>0</formula2>
    </dataValidation>
    <dataValidation allowBlank="true" errorStyle="stop" operator="between" showDropDown="false" showErrorMessage="false" showInputMessage="false" sqref="C3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G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4" t="s">
        <v>250</v>
      </c>
    </row>
    <row r="2" customFormat="false" ht="15" hidden="false" customHeight="false" outlineLevel="0" collapsed="false">
      <c r="A2" s="5" t="s">
        <v>251</v>
      </c>
      <c r="B2" s="5" t="s">
        <v>252</v>
      </c>
      <c r="C2" s="5" t="s">
        <v>253</v>
      </c>
      <c r="D2" s="5" t="s">
        <v>254</v>
      </c>
      <c r="E2" s="5" t="s">
        <v>255</v>
      </c>
      <c r="F2" s="5" t="s">
        <v>256</v>
      </c>
      <c r="G2" s="5" t="s">
        <v>257</v>
      </c>
      <c r="H2" s="5" t="s">
        <v>258</v>
      </c>
      <c r="I2" s="5" t="s">
        <v>259</v>
      </c>
      <c r="J2" s="5" t="s">
        <v>260</v>
      </c>
      <c r="K2" s="5" t="s">
        <v>261</v>
      </c>
    </row>
    <row r="3" customFormat="false" ht="15" hidden="false" customHeight="false" outlineLevel="0" collapsed="false">
      <c r="A3" s="0" t="str">
        <f aca="false">IF('HR Tally Check'!B$7="","",'HR Tally Check'!B$7)</f>
        <v/>
      </c>
      <c r="B3" s="0" t="str">
        <f aca="false">IF(A3="","",ISNUMBER(MATCH(A3,Staff!$BR$5:$BR$154,0)))</f>
        <v/>
      </c>
      <c r="C3" s="20" t="str">
        <f aca="false">IF(B3&lt;&gt;TRUE(),"",INDEX(Staff!$AL$5:$AL$154,MATCH($A3,Staff!$BR$5:$BR$154,0)))</f>
        <v/>
      </c>
      <c r="D3" s="0" t="str">
        <f aca="false">IF(B3&lt;&gt;TRUE(),"",INDEX(Staff!$AM$5:$AM$154,MATCH($A3,Staff!$BR$5:$BR$154,0)))</f>
        <v/>
      </c>
      <c r="E3" s="20" t="str">
        <f aca="false">IF(B3&lt;&gt;TRUE(),"",INDEX(Staff!$AO$5:$AO$154,MATCH($A3,Staff!$BR$5:$BR$154,0)))</f>
        <v/>
      </c>
      <c r="F3" s="20" t="str">
        <f aca="false">IF(B3&lt;&gt;TRUE(),"",INDEX(Staff!$AP$5:$AP$154,MATCH($A3,Staff!$BR$5:$BR$154,0)))</f>
        <v/>
      </c>
      <c r="G3" s="0" t="str">
        <f aca="false">IF(B3&lt;&gt;TRUE(),"",INDEX(Staff!$AT$5:$AT$154,MATCH($A3,Staff!$BR$5:$BR$154,0)))</f>
        <v/>
      </c>
      <c r="H3" s="0" t="str">
        <f aca="false">IF(B3&lt;&gt;TRUE(),"",INDEX(Staff!$AU$5:$AU$154,MATCH($A3,Staff!$BR$5:$BR$154,0)))</f>
        <v/>
      </c>
      <c r="I3" s="0" t="str">
        <f aca="false">IF(B3&lt;&gt;TRUE(),"",INDEX(Staff!$AV$5:$AV$154,MATCH($A3,Staff!$BR$5:$BR$154,0)))</f>
        <v/>
      </c>
      <c r="J3" s="0" t="str">
        <f aca="false">IF(B3&lt;&gt;TRUE(),"",INDEX(Staff!$AW$5:$AW$154,MATCH($A3,Staff!$BR$5:$BR$154,0)))</f>
        <v/>
      </c>
      <c r="K3" s="33" t="s">
        <v>262</v>
      </c>
      <c r="L3" s="20" t="str">
        <f aca="false">IF($C3="","",EDATE($C3,Milestones!$AA$20))</f>
        <v/>
      </c>
      <c r="M3" s="20" t="str">
        <f aca="false">IF($C3="","",EDATE($C3,Milestones!$AA$21))</f>
        <v/>
      </c>
      <c r="N3" s="20" t="str">
        <f aca="false">IF($C3="","",EDATE($C3,Milestones!$AA$22))</f>
        <v/>
      </c>
      <c r="O3" s="20" t="str">
        <f aca="false">IF($C3="","",EDATE($C3,Milestones!$AA$23))</f>
        <v/>
      </c>
      <c r="P3" s="20" t="str">
        <f aca="false">IF($C3="","",EDATE($C3,Milestones!$AA$24))</f>
        <v/>
      </c>
      <c r="Q3" s="20" t="str">
        <f aca="false">IF($C3="","",EDATE($C3,Milestones!$AA$25))</f>
        <v/>
      </c>
      <c r="R3" s="20" t="str">
        <f aca="false">IF($C3="","",EDATE($C3,Milestones!$AA$26))</f>
        <v/>
      </c>
      <c r="S3" s="20" t="str">
        <f aca="false">IF($C3="","",EDATE($C3,Milestones!$AA$27))</f>
        <v/>
      </c>
      <c r="T3" s="20" t="str">
        <f aca="false">IF($C3="","",EDATE($C3,Milestones!$AA$28))</f>
        <v/>
      </c>
      <c r="U3" s="20" t="str">
        <f aca="false">IF($C3="","",EDATE($C3,Milestones!$AA$29))</f>
        <v/>
      </c>
      <c r="V3" s="20" t="str">
        <f aca="false">IF($C3="","",EDATE($C3,Milestones!$AA$30))</f>
        <v/>
      </c>
      <c r="W3" s="20" t="str">
        <f aca="false">IF($C3="","",EDATE($C3,Milestones!$AA$31))</f>
        <v/>
      </c>
      <c r="X3" s="20" t="str">
        <f aca="false">IF($C3="","",EDATE($C3,Milestones!$AA$32))</f>
        <v/>
      </c>
      <c r="Y3" s="20" t="str">
        <f aca="false">IF($C3="","",EDATE($C3,Milestones!$AA$33))</f>
        <v/>
      </c>
      <c r="Z3" s="20" t="str">
        <f aca="false">IF($C3="","",EDATE($C3,Milestones!$AA$34))</f>
        <v/>
      </c>
      <c r="AA3" s="20" t="str">
        <f aca="false">IF($C3="","",EDATE($C3,Milestones!$AA$35))</f>
        <v/>
      </c>
      <c r="AB3" s="20" t="str">
        <f aca="false">IF($C3="","",EDATE($C3,Milestones!$AA$36))</f>
        <v/>
      </c>
      <c r="AC3" s="20" t="str">
        <f aca="false">IF($C3="","",EDATE($C3,Milestones!$AA$37))</f>
        <v/>
      </c>
      <c r="AD3" s="20" t="str">
        <f aca="false">IF($C3="","",EDATE($C3,Milestones!$AA$38))</f>
        <v/>
      </c>
      <c r="AE3" s="20" t="str">
        <f aca="false">IF($C3="","",EDATE($C3,Milestones!$AA$39))</f>
        <v/>
      </c>
      <c r="AF3" s="20" t="str">
        <f aca="false">IF($C3="","",EDATE($C3,Milestones!$AA$40))</f>
        <v/>
      </c>
      <c r="AG3" s="20" t="str">
        <f aca="false">IF($C3="","",EDATE($C3,Milestones!$AA$41))</f>
        <v/>
      </c>
      <c r="AH3" s="20" t="str">
        <f aca="false">IF($C3="","",EDATE($C3,Milestones!$AA$42))</f>
        <v/>
      </c>
      <c r="AI3" s="20" t="str">
        <f aca="false">IF($C3="","",EDATE($C3,Milestones!$AA$43))</f>
        <v/>
      </c>
      <c r="AJ3" s="20" t="str">
        <f aca="false">IF($C3="","",EDATE($C3,Milestones!$AA$44))</f>
        <v/>
      </c>
      <c r="AK3" s="20" t="str">
        <f aca="false">IF($C3="","",EDATE($C3,Milestones!$AA$45))</f>
        <v/>
      </c>
      <c r="AL3" s="20" t="str">
        <f aca="false">IF($C3="","",EDATE($C3,Milestones!$AA$46))</f>
        <v/>
      </c>
      <c r="AM3" s="20" t="str">
        <f aca="false">IF($C3="","",EDATE($C3,Milestones!$AA$47))</f>
        <v/>
      </c>
      <c r="AN3" s="20" t="str">
        <f aca="false">IF($C3="","",EDATE($C3,Milestones!$AA$48))</f>
        <v/>
      </c>
      <c r="AO3" s="20" t="str">
        <f aca="false">IF($C3="","",EDATE($C3,Milestones!$AA$49))</f>
        <v/>
      </c>
      <c r="AP3" s="20" t="str">
        <f aca="false">IF($C3="","",EDATE($C3,Milestones!$AA$50))</f>
        <v/>
      </c>
      <c r="AQ3" s="20" t="str">
        <f aca="false">IF($C3="","",EDATE($C3,Milestones!$AA$51))</f>
        <v/>
      </c>
      <c r="AR3" s="20" t="str">
        <f aca="false">IF($C3="","",EDATE($C3,Milestones!$AA$52))</f>
        <v/>
      </c>
      <c r="AS3" s="20" t="str">
        <f aca="false">IF($C3="","",EDATE($C3,Milestones!$AA$53))</f>
        <v/>
      </c>
      <c r="AT3" s="20" t="str">
        <f aca="false">IF($C3="","",EDATE($C3,Milestones!$AA$54))</f>
        <v/>
      </c>
      <c r="AU3" s="20" t="str">
        <f aca="false">IF($C3="","",EDATE($C3,Milestones!$AA$55))</f>
        <v/>
      </c>
      <c r="AV3" s="20" t="str">
        <f aca="false">IF($C3="","",EDATE($C3,Milestones!$AA$56))</f>
        <v/>
      </c>
      <c r="AW3" s="20" t="str">
        <f aca="false">IF($C3="","",EDATE($C3,Milestones!$AA$57))</f>
        <v/>
      </c>
      <c r="AX3" s="20" t="str">
        <f aca="false">IF($C3="","",EDATE($C3,Milestones!$AA$58))</f>
        <v/>
      </c>
      <c r="AY3" s="20" t="str">
        <f aca="false">IF($C3="","",EDATE($C3,Milestones!$AA$59))</f>
        <v/>
      </c>
      <c r="AZ3" s="20" t="str">
        <f aca="false">IF($C3="","",EDATE($C3,Milestones!$AA$60))</f>
        <v/>
      </c>
      <c r="BA3" s="20" t="str">
        <f aca="false">IF($C3="","",EDATE($C3,Milestones!$AA$61))</f>
        <v/>
      </c>
      <c r="BB3" s="20" t="str">
        <f aca="false">IF($C3="","",EDATE($C3,Milestones!$AA$62))</f>
        <v/>
      </c>
      <c r="BC3" s="20" t="str">
        <f aca="false">IF($C3="","",EDATE($C3,Milestones!$AA$63))</f>
        <v/>
      </c>
      <c r="BD3" s="20" t="str">
        <f aca="false">IF($C3="","",EDATE($C3,Milestones!$AA$64))</f>
        <v/>
      </c>
      <c r="BE3" s="20" t="str">
        <f aca="false">IF($C3="","",EDATE($C3,Milestones!$AA$65))</f>
        <v/>
      </c>
      <c r="BF3" s="20" t="str">
        <f aca="false">IF($C3="","",EDATE($C3,Milestones!$AA$66))</f>
        <v/>
      </c>
      <c r="BG3" s="20" t="str">
        <f aca="false">IF($C3="","",EDATE($C3,Milestones!$AA$67))</f>
        <v/>
      </c>
      <c r="BH3" s="20" t="str">
        <f aca="false">IF($C3="","",EDATE($C3,Milestones!$AA$68))</f>
        <v/>
      </c>
      <c r="BI3" s="20" t="str">
        <f aca="false">IF($C3="","",EDATE($C3,Milestones!$AA$69))</f>
        <v/>
      </c>
      <c r="BJ3" s="20" t="str">
        <f aca="false">IF($C3="","",EDATE($C3,Milestones!$AA$70))</f>
        <v/>
      </c>
      <c r="BK3" s="20" t="str">
        <f aca="false">IF($C3="","",EDATE($C3,Milestones!$AA$71))</f>
        <v/>
      </c>
      <c r="BL3" s="20" t="str">
        <f aca="false">IF($C3="","",EDATE($C3,Milestones!$AA$72))</f>
        <v/>
      </c>
      <c r="BM3" s="20" t="str">
        <f aca="false">IF($C3="","",EDATE($C3,Milestones!$AA$73))</f>
        <v/>
      </c>
      <c r="BN3" s="20" t="str">
        <f aca="false">IF($C3="","",EDATE($C3,Milestones!$AA$74))</f>
        <v/>
      </c>
      <c r="BO3" s="20" t="str">
        <f aca="false">IF($C3="","",EDATE($C3,Milestones!$AA$75))</f>
        <v/>
      </c>
      <c r="BP3" s="20" t="str">
        <f aca="false">IF($C3="","",EDATE($C3,Milestones!$AA$76))</f>
        <v/>
      </c>
      <c r="BQ3" s="20" t="str">
        <f aca="false">IF($C3="","",EDATE($C3,Milestones!$AA$77))</f>
        <v/>
      </c>
      <c r="BR3" s="20" t="str">
        <f aca="false">IF($C3="","",EDATE($C3,Milestones!$AA$78))</f>
        <v/>
      </c>
      <c r="BS3" s="20" t="str">
        <f aca="false">IF($C3="","",EDATE($C3,Milestones!$AA$79))</f>
        <v/>
      </c>
      <c r="BT3" s="20" t="str">
        <f aca="false">IF($C3="","",EDATE($C3,Milestones!$AA$80))</f>
        <v/>
      </c>
      <c r="BU3" s="20" t="str">
        <f aca="false">IF($C3="","",EDATE($C3,Milestones!$AA$81))</f>
        <v/>
      </c>
      <c r="BV3" s="20" t="str">
        <f aca="false">IF($C3="","",EDATE($C3,Milestones!$AA$82))</f>
        <v/>
      </c>
      <c r="BW3" s="20" t="str">
        <f aca="false">IF($C3="","",EDATE($C3,Milestones!$AA$83))</f>
        <v/>
      </c>
      <c r="BX3" s="20" t="str">
        <f aca="false">IF($C3="","",EDATE($C3,Milestones!$AA$84))</f>
        <v/>
      </c>
      <c r="BY3" s="20" t="str">
        <f aca="false">IF($C3="","",EDATE($C3,Milestones!$AA$85))</f>
        <v/>
      </c>
      <c r="BZ3" s="20" t="str">
        <f aca="false">IF($C3="","",EDATE($C3,Milestones!$AA$86))</f>
        <v/>
      </c>
      <c r="CA3" s="20" t="str">
        <f aca="false">IF($C3="","",EDATE($C3,Milestones!$AA$87))</f>
        <v/>
      </c>
      <c r="CB3" s="20" t="str">
        <f aca="false">IF($C3="","",EDATE($C3,Milestones!$AA$88))</f>
        <v/>
      </c>
      <c r="CC3" s="20" t="str">
        <f aca="false">IF($C3="","",EDATE($C3,Milestones!$AA$89))</f>
        <v/>
      </c>
      <c r="CD3" s="20" t="str">
        <f aca="false">IF($C3="","",EDATE($C3,Milestones!$AA$90))</f>
        <v/>
      </c>
      <c r="CE3" s="20" t="str">
        <f aca="false">IF($C3="","",EDATE($C3,Milestones!$AA$91))</f>
        <v/>
      </c>
      <c r="CF3" s="20" t="str">
        <f aca="false">IF($C3="","",EDATE($C3,Milestones!$AA$92))</f>
        <v/>
      </c>
      <c r="CG3" s="20" t="str">
        <f aca="false">IF($C3="","",EDATE($C3,Milestones!$AA$93))</f>
        <v/>
      </c>
      <c r="CH3" s="20" t="str">
        <f aca="false">IF($C3="","",EDATE($C3,Milestones!$AA$94))</f>
        <v/>
      </c>
      <c r="CI3" s="20" t="str">
        <f aca="false">IF($C3="","",EDATE($C3,Milestones!$AA$95))</f>
        <v/>
      </c>
      <c r="CJ3" s="20" t="str">
        <f aca="false">IF($C3="","",EDATE($C3,Milestones!$AA$96))</f>
        <v/>
      </c>
      <c r="CK3" s="20" t="str">
        <f aca="false">IF($C3="","",EDATE($C3,Milestones!$AA$97))</f>
        <v/>
      </c>
      <c r="CL3" s="20" t="str">
        <f aca="false">IF($C3="","",EDATE($C3,Milestones!$AA$98))</f>
        <v/>
      </c>
      <c r="CM3" s="20" t="str">
        <f aca="false">IF($C3="","",EDATE($C3,Milestones!$AA$99))</f>
        <v/>
      </c>
      <c r="CN3" s="20" t="str">
        <f aca="false">IF($C3="","",EDATE($C3,Milestones!$AA$100))</f>
        <v/>
      </c>
      <c r="CO3" s="20" t="str">
        <f aca="false">IF($C3="","",EDATE($C3,Milestones!$AA$101))</f>
        <v/>
      </c>
      <c r="CP3" s="20" t="str">
        <f aca="false">IF($C3="","",EDATE($C3,Milestones!$AA$102))</f>
        <v/>
      </c>
      <c r="CQ3" s="20" t="str">
        <f aca="false">IF($C3="","",EDATE($C3,Milestones!$AA$103))</f>
        <v/>
      </c>
      <c r="CR3" s="20" t="str">
        <f aca="false">IF($C3="","",EDATE($C3,Milestones!$AA$104))</f>
        <v/>
      </c>
      <c r="CS3" s="20" t="str">
        <f aca="false">IF($C3="","",EDATE($C3,Milestones!$AA$105))</f>
        <v/>
      </c>
      <c r="CT3" s="20" t="str">
        <f aca="false">IF($C3="","",EDATE($C3,Milestones!$AA$106))</f>
        <v/>
      </c>
      <c r="CU3" s="20" t="str">
        <f aca="false">IF($C3="","",EDATE($C3,Milestones!$AA$107))</f>
        <v/>
      </c>
      <c r="CV3" s="20" t="str">
        <f aca="false">IF($C3="","",EDATE($C3,Milestones!$AA$108))</f>
        <v/>
      </c>
      <c r="CW3" s="20" t="str">
        <f aca="false">IF($C3="","",EDATE($C3,Milestones!$AA$109))</f>
        <v/>
      </c>
      <c r="CX3" s="20" t="str">
        <f aca="false">IF($C3="","",EDATE($C3,Milestones!$AA$110))</f>
        <v/>
      </c>
      <c r="CY3" s="20" t="str">
        <f aca="false">IF($C3="","",EDATE($C3,Milestones!$AA$111))</f>
        <v/>
      </c>
      <c r="CZ3" s="20" t="str">
        <f aca="false">IF($C3="","",EDATE($C3,Milestones!$AA$112))</f>
        <v/>
      </c>
      <c r="DA3" s="20" t="str">
        <f aca="false">IF($C3="","",EDATE($C3,Milestones!$AA$113))</f>
        <v/>
      </c>
      <c r="DB3" s="20" t="str">
        <f aca="false">IF($C3="","",EDATE($C3,Milestones!$AA$114))</f>
        <v/>
      </c>
      <c r="DC3" s="20" t="str">
        <f aca="false">IF($C3="","",EDATE($C3,Milestones!$AA$115))</f>
        <v/>
      </c>
      <c r="DD3" s="20" t="str">
        <f aca="false">IF($C3="","",EDATE($C3,Milestones!$AA$116))</f>
        <v/>
      </c>
      <c r="DE3" s="20" t="str">
        <f aca="false">IF($C3="","",EDATE($C3,Milestones!$AA$117))</f>
        <v/>
      </c>
      <c r="DF3" s="20" t="str">
        <f aca="false">IF($C3="","",EDATE($C3,Milestones!$AA$118))</f>
        <v/>
      </c>
      <c r="DG3" s="20" t="str">
        <f aca="false">IF($C3="","",EDATE($C3,Milestones!$AA$119))</f>
        <v/>
      </c>
      <c r="DH3" s="20" t="str">
        <f aca="false">IF($C3="","",EDATE($C3,Milestones!$AA$120))</f>
        <v/>
      </c>
      <c r="DI3" s="20" t="str">
        <f aca="false">IF($C3="","",EDATE($C3,Milestones!$AA$121))</f>
        <v/>
      </c>
      <c r="DJ3" s="20" t="str">
        <f aca="false">IF($C3="","",EDATE($C3,Milestones!$AA$122))</f>
        <v/>
      </c>
      <c r="DK3" s="20" t="str">
        <f aca="false">IF($C3="","",EDATE($C3,Milestones!$AA$123))</f>
        <v/>
      </c>
      <c r="DL3" s="20" t="str">
        <f aca="false">IF($C3="","",EDATE($C3,Milestones!$AA$124))</f>
        <v/>
      </c>
      <c r="DM3" s="20" t="str">
        <f aca="false">IF($C3="","",EDATE($C3,Milestones!$AA$125))</f>
        <v/>
      </c>
      <c r="DN3" s="20" t="str">
        <f aca="false">IF($C3="","",EDATE($C3,Milestones!$AA$126))</f>
        <v/>
      </c>
      <c r="DO3" s="20" t="str">
        <f aca="false">IF($C3="","",EDATE($C3,Milestones!$AA$127))</f>
        <v/>
      </c>
      <c r="DP3" s="20" t="str">
        <f aca="false">IF($C3="","",EDATE($C3,Milestones!$AA$128))</f>
        <v/>
      </c>
      <c r="DQ3" s="20" t="str">
        <f aca="false">IF($C3="","",EDATE($C3,Milestones!$AA$129))</f>
        <v/>
      </c>
      <c r="DR3" s="20" t="str">
        <f aca="false">IF($C3="","",EDATE($C3,Milestones!$AA$130))</f>
        <v/>
      </c>
      <c r="DS3" s="20" t="str">
        <f aca="false">IF($C3="","",EDATE($C3,Milestones!$AA$131))</f>
        <v/>
      </c>
      <c r="DT3" s="20" t="str">
        <f aca="false">IF($C3="","",EDATE($C3,Milestones!$AA$132))</f>
        <v/>
      </c>
      <c r="DU3" s="20" t="str">
        <f aca="false">IF($C3="","",EDATE($C3,Milestones!$AA$133))</f>
        <v/>
      </c>
      <c r="DV3" s="20" t="str">
        <f aca="false">IF($C3="","",EDATE($C3,Milestones!$AA$134))</f>
        <v/>
      </c>
      <c r="DW3" s="20" t="str">
        <f aca="false">IF($C3="","",EDATE($C3,Milestones!$AA$135))</f>
        <v/>
      </c>
      <c r="DX3" s="20" t="str">
        <f aca="false">IF($C3="","",EDATE($C3,Milestones!$AA$136))</f>
        <v/>
      </c>
      <c r="DY3" s="20" t="str">
        <f aca="false">IF($C3="","",EDATE($C3,Milestones!$AA$137))</f>
        <v/>
      </c>
      <c r="DZ3" s="20" t="str">
        <f aca="false">IF($C3="","",EDATE($C3,Milestones!$AA$138))</f>
        <v/>
      </c>
      <c r="EA3" s="20" t="str">
        <f aca="false">IF($C3="","",EDATE($C3,Milestones!$AA$139))</f>
        <v/>
      </c>
      <c r="EB3" s="20" t="str">
        <f aca="false">IF($C3="","",EDATE($C3,Milestones!$AA$140))</f>
        <v/>
      </c>
      <c r="EC3" s="20" t="str">
        <f aca="false">IF($C3="","",EDATE($C3,Milestones!$AA$141))</f>
        <v/>
      </c>
      <c r="ED3" s="20" t="str">
        <f aca="false">IF($C3="","",EDATE($C3,Milestones!$AA$142))</f>
        <v/>
      </c>
      <c r="EE3" s="20" t="str">
        <f aca="false">IF($C3="","",EDATE($C3,Milestones!$AA$143))</f>
        <v/>
      </c>
      <c r="EF3" s="20" t="str">
        <f aca="false">IF($C3="","",EDATE($C3,Milestones!$AA$144))</f>
        <v/>
      </c>
      <c r="EG3" s="20" t="str">
        <f aca="false">IF($C3="","",EDATE($C3,Milestones!$AA$145))</f>
        <v/>
      </c>
      <c r="EH3" s="20" t="str">
        <f aca="false">IF($C3="","",EDATE($C3,Milestones!$AA$146))</f>
        <v/>
      </c>
      <c r="EI3" s="20" t="str">
        <f aca="false">IF($C3="","",EDATE($C3,Milestones!$AA$147))</f>
        <v/>
      </c>
      <c r="EJ3" s="20" t="str">
        <f aca="false">IF($C3="","",EDATE($C3,Milestones!$AA$148))</f>
        <v/>
      </c>
      <c r="EK3" s="20" t="str">
        <f aca="false">IF($C3="","",EDATE($C3,Milestones!$AA$149))</f>
        <v/>
      </c>
      <c r="EL3" s="20" t="str">
        <f aca="false">IF($C3="","",EDATE($C3,Milestones!$AA$150))</f>
        <v/>
      </c>
      <c r="EM3" s="20" t="str">
        <f aca="false">IF($C3="","",EDATE($C3,Milestones!$AA$151))</f>
        <v/>
      </c>
      <c r="EN3" s="20" t="str">
        <f aca="false">IF($C3="","",EDATE($C3,Milestones!$AA$152))</f>
        <v/>
      </c>
      <c r="EO3" s="20" t="str">
        <f aca="false">IF($C3="","",EDATE($C3,Milestones!$AA$153))</f>
        <v/>
      </c>
      <c r="EP3" s="20" t="str">
        <f aca="false">IF($C3="","",EDATE($C3,Milestones!$AA$154))</f>
        <v/>
      </c>
      <c r="EQ3" s="20" t="str">
        <f aca="false">IF($C3="","",EDATE($C3,Milestones!$AA$155))</f>
        <v/>
      </c>
      <c r="ER3" s="20" t="str">
        <f aca="false">IF($C3="","",EDATE($C3,Milestones!$AA$156))</f>
        <v/>
      </c>
      <c r="ES3" s="20" t="str">
        <f aca="false">IF($C3="","",EDATE($C3,Milestones!$AA$157))</f>
        <v/>
      </c>
      <c r="ET3" s="20" t="str">
        <f aca="false">IF($C3="","",EDATE($C3,Milestones!$AA$158))</f>
        <v/>
      </c>
      <c r="EU3" s="20" t="str">
        <f aca="false">IF($C3="","",EDATE($C3,Milestones!$AA$159))</f>
        <v/>
      </c>
      <c r="EV3" s="20" t="str">
        <f aca="false">IF($C3="","",EDATE($C3,Milestones!$AA$160))</f>
        <v/>
      </c>
      <c r="EW3" s="20" t="str">
        <f aca="false">IF($C3="","",EDATE($C3,Milestones!$AA$161))</f>
        <v/>
      </c>
      <c r="EX3" s="20" t="str">
        <f aca="false">IF($C3="","",EDATE($C3,Milestones!$AA$162))</f>
        <v/>
      </c>
      <c r="EY3" s="20" t="str">
        <f aca="false">IF($C3="","",EDATE($C3,Milestones!$AA$163))</f>
        <v/>
      </c>
      <c r="EZ3" s="20" t="str">
        <f aca="false">IF($C3="","",EDATE($C3,Milestones!$AA$164))</f>
        <v/>
      </c>
      <c r="FA3" s="20" t="str">
        <f aca="false">IF($C3="","",EDATE($C3,Milestones!$AA$165))</f>
        <v/>
      </c>
      <c r="FB3" s="20" t="str">
        <f aca="false">IF($C3="","",EDATE($C3,Milestones!$AA$166))</f>
        <v/>
      </c>
      <c r="FC3" s="20" t="str">
        <f aca="false">IF($C3="","",EDATE($C3,Milestones!$AA$167))</f>
        <v/>
      </c>
      <c r="FD3" s="20" t="str">
        <f aca="false">IF($C3="","",EDATE($C3,Milestones!$AA$168))</f>
        <v/>
      </c>
      <c r="FE3" s="20" t="str">
        <f aca="false">IF($C3="","",EDATE($C3,Milestones!$AA$169))</f>
        <v/>
      </c>
      <c r="FF3" s="20" t="str">
        <f aca="false">IF($C3="","",EDATE($C3,Milestones!$AA$170))</f>
        <v/>
      </c>
      <c r="FG3" s="20" t="str">
        <f aca="false">IF($C3="","",EDATE($C3,Milestones!$AA$171))</f>
        <v/>
      </c>
      <c r="FH3" s="20" t="str">
        <f aca="false">IF($C3="","",EDATE($C3,Milestones!$AA$172))</f>
        <v/>
      </c>
      <c r="FI3" s="20" t="str">
        <f aca="false">IF($C3="","",EDATE($C3,Milestones!$AA$173))</f>
        <v/>
      </c>
      <c r="FJ3" s="20" t="str">
        <f aca="false">IF($C3="","",EDATE($C3,Milestones!$AA$174))</f>
        <v/>
      </c>
      <c r="FK3" s="20" t="str">
        <f aca="false">IF($C3="","",EDATE($C3,Milestones!$AA$175))</f>
        <v/>
      </c>
      <c r="FL3" s="20" t="str">
        <f aca="false">IF($C3="","",EDATE($C3,Milestones!$AA$176))</f>
        <v/>
      </c>
      <c r="FM3" s="20" t="str">
        <f aca="false">IF($C3="","",EDATE($C3,Milestones!$AA$177))</f>
        <v/>
      </c>
      <c r="FN3" s="20" t="str">
        <f aca="false">IF($C3="","",EDATE($C3,Milestones!$AA$178))</f>
        <v/>
      </c>
      <c r="FO3" s="20" t="str">
        <f aca="false">IF($C3="","",EDATE($C3,Milestones!$AA$179))</f>
        <v/>
      </c>
      <c r="FP3" s="20" t="str">
        <f aca="false">IF($C3="","",EDATE($C3,Milestones!$AA$180))</f>
        <v/>
      </c>
      <c r="FQ3" s="20" t="str">
        <f aca="false">IF($C3="","",EDATE($C3,Milestones!$AA$181))</f>
        <v/>
      </c>
      <c r="FR3" s="20" t="str">
        <f aca="false">IF($C3="","",EDATE($C3,Milestones!$AA$182))</f>
        <v/>
      </c>
      <c r="FS3" s="20" t="str">
        <f aca="false">IF($C3="","",EDATE($C3,Milestones!$AA$183))</f>
        <v/>
      </c>
      <c r="FT3" s="20" t="str">
        <f aca="false">IF($C3="","",EDATE($C3,Milestones!$AA$184))</f>
        <v/>
      </c>
      <c r="FU3" s="20" t="str">
        <f aca="false">IF($C3="","",EDATE($C3,Milestones!$AA$185))</f>
        <v/>
      </c>
      <c r="FV3" s="20" t="str">
        <f aca="false">IF($C3="","",EDATE($C3,Milestones!$AA$186))</f>
        <v/>
      </c>
      <c r="FW3" s="20" t="str">
        <f aca="false">IF($C3="","",EDATE($C3,Milestones!$AA$187))</f>
        <v/>
      </c>
      <c r="FX3" s="20" t="str">
        <f aca="false">IF($C3="","",EDATE($C3,Milestones!$AA$188))</f>
        <v/>
      </c>
      <c r="FY3" s="20" t="str">
        <f aca="false">IF($C3="","",EDATE($C3,Milestones!$AA$189))</f>
        <v/>
      </c>
      <c r="FZ3" s="20" t="str">
        <f aca="false">IF($C3="","",EDATE($C3,Milestones!$AA$190))</f>
        <v/>
      </c>
      <c r="GA3" s="20" t="str">
        <f aca="false">IF($C3="","",EDATE($C3,Milestones!$AA$191))</f>
        <v/>
      </c>
      <c r="GB3" s="20" t="str">
        <f aca="false">IF($C3="","",EDATE($C3,Milestones!$AA$192))</f>
        <v/>
      </c>
      <c r="GC3" s="20" t="str">
        <f aca="false">IF($C3="","",EDATE($C3,Milestones!$AA$193))</f>
        <v/>
      </c>
      <c r="GD3" s="20" t="str">
        <f aca="false">IF($C3="","",EDATE($C3,Milestones!$AA$194))</f>
        <v/>
      </c>
      <c r="GE3" s="20" t="str">
        <f aca="false">IF($C3="","",EDATE($C3,Milestones!$AA$195))</f>
        <v/>
      </c>
      <c r="GF3" s="20" t="str">
        <f aca="false">IF($C3="","",EDATE($C3,Milestones!$AA$196))</f>
        <v/>
      </c>
      <c r="GG3" s="20" t="str">
        <f aca="false">IF($C3="","",EDATE($C3,Milestones!$AA$197))</f>
        <v/>
      </c>
      <c r="GH3" s="20" t="str">
        <f aca="false">IF($C3="","",EDATE($C3,Milestones!$AA$198))</f>
        <v/>
      </c>
      <c r="GI3" s="20" t="str">
        <f aca="false">IF($C3="","",EDATE($C3,Milestones!$AA$199))</f>
        <v/>
      </c>
    </row>
    <row r="4" customFormat="false" ht="15" hidden="false" customHeight="false" outlineLevel="0" collapsed="false">
      <c r="K4" s="0" t="s">
        <v>263</v>
      </c>
      <c r="L4" s="0" t="str">
        <f aca="false">IF(L3="","",IF($D3=0,$J3,IF(AND($F3&lt;&gt;"",L3&gt;=$F3),$I3,IF(AND($E3&lt;&gt;"",L3&gt;=$E3),$H3,$G3))))</f>
        <v/>
      </c>
      <c r="M4" s="0" t="str">
        <f aca="false">IF(M3="","",IF($D3=0,$J3,IF(AND($F3&lt;&gt;"",M3&gt;=$F3),$I3,IF(AND($E3&lt;&gt;"",M3&gt;=$E3),$H3,$G3))))</f>
        <v/>
      </c>
      <c r="N4" s="0" t="str">
        <f aca="false">IF(N3="","",IF($D3=0,$J3,IF(AND($F3&lt;&gt;"",N3&gt;=$F3),$I3,IF(AND($E3&lt;&gt;"",N3&gt;=$E3),$H3,$G3))))</f>
        <v/>
      </c>
      <c r="O4" s="0" t="str">
        <f aca="false">IF(O3="","",IF($D3=0,$J3,IF(AND($F3&lt;&gt;"",O3&gt;=$F3),$I3,IF(AND($E3&lt;&gt;"",O3&gt;=$E3),$H3,$G3))))</f>
        <v/>
      </c>
      <c r="P4" s="0" t="str">
        <f aca="false">IF(P3="","",IF($D3=0,$J3,IF(AND($F3&lt;&gt;"",P3&gt;=$F3),$I3,IF(AND($E3&lt;&gt;"",P3&gt;=$E3),$H3,$G3))))</f>
        <v/>
      </c>
      <c r="Q4" s="0" t="str">
        <f aca="false">IF(Q3="","",IF($D3=0,$J3,IF(AND($F3&lt;&gt;"",Q3&gt;=$F3),$I3,IF(AND($E3&lt;&gt;"",Q3&gt;=$E3),$H3,$G3))))</f>
        <v/>
      </c>
      <c r="R4" s="0" t="str">
        <f aca="false">IF(R3="","",IF($D3=0,$J3,IF(AND($F3&lt;&gt;"",R3&gt;=$F3),$I3,IF(AND($E3&lt;&gt;"",R3&gt;=$E3),$H3,$G3))))</f>
        <v/>
      </c>
      <c r="S4" s="0" t="str">
        <f aca="false">IF(S3="","",IF($D3=0,$J3,IF(AND($F3&lt;&gt;"",S3&gt;=$F3),$I3,IF(AND($E3&lt;&gt;"",S3&gt;=$E3),$H3,$G3))))</f>
        <v/>
      </c>
      <c r="T4" s="0" t="str">
        <f aca="false">IF(T3="","",IF($D3=0,$J3,IF(AND($F3&lt;&gt;"",T3&gt;=$F3),$I3,IF(AND($E3&lt;&gt;"",T3&gt;=$E3),$H3,$G3))))</f>
        <v/>
      </c>
      <c r="U4" s="0" t="str">
        <f aca="false">IF(U3="","",IF($D3=0,$J3,IF(AND($F3&lt;&gt;"",U3&gt;=$F3),$I3,IF(AND($E3&lt;&gt;"",U3&gt;=$E3),$H3,$G3))))</f>
        <v/>
      </c>
      <c r="V4" s="0" t="str">
        <f aca="false">IF(V3="","",IF($D3=0,$J3,IF(AND($F3&lt;&gt;"",V3&gt;=$F3),$I3,IF(AND($E3&lt;&gt;"",V3&gt;=$E3),$H3,$G3))))</f>
        <v/>
      </c>
      <c r="W4" s="0" t="str">
        <f aca="false">IF(W3="","",IF($D3=0,$J3,IF(AND($F3&lt;&gt;"",W3&gt;=$F3),$I3,IF(AND($E3&lt;&gt;"",W3&gt;=$E3),$H3,$G3))))</f>
        <v/>
      </c>
      <c r="X4" s="0" t="str">
        <f aca="false">IF(X3="","",IF($D3=0,$J3,IF(AND($F3&lt;&gt;"",X3&gt;=$F3),$I3,IF(AND($E3&lt;&gt;"",X3&gt;=$E3),$H3,$G3))))</f>
        <v/>
      </c>
      <c r="Y4" s="0" t="str">
        <f aca="false">IF(Y3="","",IF($D3=0,$J3,IF(AND($F3&lt;&gt;"",Y3&gt;=$F3),$I3,IF(AND($E3&lt;&gt;"",Y3&gt;=$E3),$H3,$G3))))</f>
        <v/>
      </c>
      <c r="Z4" s="0" t="str">
        <f aca="false">IF(Z3="","",IF($D3=0,$J3,IF(AND($F3&lt;&gt;"",Z3&gt;=$F3),$I3,IF(AND($E3&lt;&gt;"",Z3&gt;=$E3),$H3,$G3))))</f>
        <v/>
      </c>
      <c r="AA4" s="0" t="str">
        <f aca="false">IF(AA3="","",IF($D3=0,$J3,IF(AND($F3&lt;&gt;"",AA3&gt;=$F3),$I3,IF(AND($E3&lt;&gt;"",AA3&gt;=$E3),$H3,$G3))))</f>
        <v/>
      </c>
      <c r="AB4" s="0" t="str">
        <f aca="false">IF(AB3="","",IF($D3=0,$J3,IF(AND($F3&lt;&gt;"",AB3&gt;=$F3),$I3,IF(AND($E3&lt;&gt;"",AB3&gt;=$E3),$H3,$G3))))</f>
        <v/>
      </c>
      <c r="AC4" s="0" t="str">
        <f aca="false">IF(AC3="","",IF($D3=0,$J3,IF(AND($F3&lt;&gt;"",AC3&gt;=$F3),$I3,IF(AND($E3&lt;&gt;"",AC3&gt;=$E3),$H3,$G3))))</f>
        <v/>
      </c>
      <c r="AD4" s="0" t="str">
        <f aca="false">IF(AD3="","",IF($D3=0,$J3,IF(AND($F3&lt;&gt;"",AD3&gt;=$F3),$I3,IF(AND($E3&lt;&gt;"",AD3&gt;=$E3),$H3,$G3))))</f>
        <v/>
      </c>
      <c r="AE4" s="0" t="str">
        <f aca="false">IF(AE3="","",IF($D3=0,$J3,IF(AND($F3&lt;&gt;"",AE3&gt;=$F3),$I3,IF(AND($E3&lt;&gt;"",AE3&gt;=$E3),$H3,$G3))))</f>
        <v/>
      </c>
      <c r="AF4" s="0" t="str">
        <f aca="false">IF(AF3="","",IF($D3=0,$J3,IF(AND($F3&lt;&gt;"",AF3&gt;=$F3),$I3,IF(AND($E3&lt;&gt;"",AF3&gt;=$E3),$H3,$G3))))</f>
        <v/>
      </c>
      <c r="AG4" s="0" t="str">
        <f aca="false">IF(AG3="","",IF($D3=0,$J3,IF(AND($F3&lt;&gt;"",AG3&gt;=$F3),$I3,IF(AND($E3&lt;&gt;"",AG3&gt;=$E3),$H3,$G3))))</f>
        <v/>
      </c>
      <c r="AH4" s="0" t="str">
        <f aca="false">IF(AH3="","",IF($D3=0,$J3,IF(AND($F3&lt;&gt;"",AH3&gt;=$F3),$I3,IF(AND($E3&lt;&gt;"",AH3&gt;=$E3),$H3,$G3))))</f>
        <v/>
      </c>
      <c r="AI4" s="0" t="str">
        <f aca="false">IF(AI3="","",IF($D3=0,$J3,IF(AND($F3&lt;&gt;"",AI3&gt;=$F3),$I3,IF(AND($E3&lt;&gt;"",AI3&gt;=$E3),$H3,$G3))))</f>
        <v/>
      </c>
      <c r="AJ4" s="0" t="str">
        <f aca="false">IF(AJ3="","",IF($D3=0,$J3,IF(AND($F3&lt;&gt;"",AJ3&gt;=$F3),$I3,IF(AND($E3&lt;&gt;"",AJ3&gt;=$E3),$H3,$G3))))</f>
        <v/>
      </c>
      <c r="AK4" s="0" t="str">
        <f aca="false">IF(AK3="","",IF($D3=0,$J3,IF(AND($F3&lt;&gt;"",AK3&gt;=$F3),$I3,IF(AND($E3&lt;&gt;"",AK3&gt;=$E3),$H3,$G3))))</f>
        <v/>
      </c>
      <c r="AL4" s="0" t="str">
        <f aca="false">IF(AL3="","",IF($D3=0,$J3,IF(AND($F3&lt;&gt;"",AL3&gt;=$F3),$I3,IF(AND($E3&lt;&gt;"",AL3&gt;=$E3),$H3,$G3))))</f>
        <v/>
      </c>
      <c r="AM4" s="0" t="str">
        <f aca="false">IF(AM3="","",IF($D3=0,$J3,IF(AND($F3&lt;&gt;"",AM3&gt;=$F3),$I3,IF(AND($E3&lt;&gt;"",AM3&gt;=$E3),$H3,$G3))))</f>
        <v/>
      </c>
      <c r="AN4" s="0" t="str">
        <f aca="false">IF(AN3="","",IF($D3=0,$J3,IF(AND($F3&lt;&gt;"",AN3&gt;=$F3),$I3,IF(AND($E3&lt;&gt;"",AN3&gt;=$E3),$H3,$G3))))</f>
        <v/>
      </c>
      <c r="AO4" s="0" t="str">
        <f aca="false">IF(AO3="","",IF($D3=0,$J3,IF(AND($F3&lt;&gt;"",AO3&gt;=$F3),$I3,IF(AND($E3&lt;&gt;"",AO3&gt;=$E3),$H3,$G3))))</f>
        <v/>
      </c>
      <c r="AP4" s="0" t="str">
        <f aca="false">IF(AP3="","",IF($D3=0,$J3,IF(AND($F3&lt;&gt;"",AP3&gt;=$F3),$I3,IF(AND($E3&lt;&gt;"",AP3&gt;=$E3),$H3,$G3))))</f>
        <v/>
      </c>
      <c r="AQ4" s="0" t="str">
        <f aca="false">IF(AQ3="","",IF($D3=0,$J3,IF(AND($F3&lt;&gt;"",AQ3&gt;=$F3),$I3,IF(AND($E3&lt;&gt;"",AQ3&gt;=$E3),$H3,$G3))))</f>
        <v/>
      </c>
      <c r="AR4" s="0" t="str">
        <f aca="false">IF(AR3="","",IF($D3=0,$J3,IF(AND($F3&lt;&gt;"",AR3&gt;=$F3),$I3,IF(AND($E3&lt;&gt;"",AR3&gt;=$E3),$H3,$G3))))</f>
        <v/>
      </c>
      <c r="AS4" s="0" t="str">
        <f aca="false">IF(AS3="","",IF($D3=0,$J3,IF(AND($F3&lt;&gt;"",AS3&gt;=$F3),$I3,IF(AND($E3&lt;&gt;"",AS3&gt;=$E3),$H3,$G3))))</f>
        <v/>
      </c>
      <c r="AT4" s="0" t="str">
        <f aca="false">IF(AT3="","",IF($D3=0,$J3,IF(AND($F3&lt;&gt;"",AT3&gt;=$F3),$I3,IF(AND($E3&lt;&gt;"",AT3&gt;=$E3),$H3,$G3))))</f>
        <v/>
      </c>
      <c r="AU4" s="0" t="str">
        <f aca="false">IF(AU3="","",IF($D3=0,$J3,IF(AND($F3&lt;&gt;"",AU3&gt;=$F3),$I3,IF(AND($E3&lt;&gt;"",AU3&gt;=$E3),$H3,$G3))))</f>
        <v/>
      </c>
      <c r="AV4" s="0" t="str">
        <f aca="false">IF(AV3="","",IF($D3=0,$J3,IF(AND($F3&lt;&gt;"",AV3&gt;=$F3),$I3,IF(AND($E3&lt;&gt;"",AV3&gt;=$E3),$H3,$G3))))</f>
        <v/>
      </c>
      <c r="AW4" s="0" t="str">
        <f aca="false">IF(AW3="","",IF($D3=0,$J3,IF(AND($F3&lt;&gt;"",AW3&gt;=$F3),$I3,IF(AND($E3&lt;&gt;"",AW3&gt;=$E3),$H3,$G3))))</f>
        <v/>
      </c>
      <c r="AX4" s="0" t="str">
        <f aca="false">IF(AX3="","",IF($D3=0,$J3,IF(AND($F3&lt;&gt;"",AX3&gt;=$F3),$I3,IF(AND($E3&lt;&gt;"",AX3&gt;=$E3),$H3,$G3))))</f>
        <v/>
      </c>
      <c r="AY4" s="0" t="str">
        <f aca="false">IF(AY3="","",IF($D3=0,$J3,IF(AND($F3&lt;&gt;"",AY3&gt;=$F3),$I3,IF(AND($E3&lt;&gt;"",AY3&gt;=$E3),$H3,$G3))))</f>
        <v/>
      </c>
      <c r="AZ4" s="0" t="str">
        <f aca="false">IF(AZ3="","",IF($D3=0,$J3,IF(AND($F3&lt;&gt;"",AZ3&gt;=$F3),$I3,IF(AND($E3&lt;&gt;"",AZ3&gt;=$E3),$H3,$G3))))</f>
        <v/>
      </c>
      <c r="BA4" s="0" t="str">
        <f aca="false">IF(BA3="","",IF($D3=0,$J3,IF(AND($F3&lt;&gt;"",BA3&gt;=$F3),$I3,IF(AND($E3&lt;&gt;"",BA3&gt;=$E3),$H3,$G3))))</f>
        <v/>
      </c>
      <c r="BB4" s="0" t="str">
        <f aca="false">IF(BB3="","",IF($D3=0,$J3,IF(AND($F3&lt;&gt;"",BB3&gt;=$F3),$I3,IF(AND($E3&lt;&gt;"",BB3&gt;=$E3),$H3,$G3))))</f>
        <v/>
      </c>
      <c r="BC4" s="0" t="str">
        <f aca="false">IF(BC3="","",IF($D3=0,$J3,IF(AND($F3&lt;&gt;"",BC3&gt;=$F3),$I3,IF(AND($E3&lt;&gt;"",BC3&gt;=$E3),$H3,$G3))))</f>
        <v/>
      </c>
      <c r="BD4" s="0" t="str">
        <f aca="false">IF(BD3="","",IF($D3=0,$J3,IF(AND($F3&lt;&gt;"",BD3&gt;=$F3),$I3,IF(AND($E3&lt;&gt;"",BD3&gt;=$E3),$H3,$G3))))</f>
        <v/>
      </c>
      <c r="BE4" s="0" t="str">
        <f aca="false">IF(BE3="","",IF($D3=0,$J3,IF(AND($F3&lt;&gt;"",BE3&gt;=$F3),$I3,IF(AND($E3&lt;&gt;"",BE3&gt;=$E3),$H3,$G3))))</f>
        <v/>
      </c>
      <c r="BF4" s="0" t="str">
        <f aca="false">IF(BF3="","",IF($D3=0,$J3,IF(AND($F3&lt;&gt;"",BF3&gt;=$F3),$I3,IF(AND($E3&lt;&gt;"",BF3&gt;=$E3),$H3,$G3))))</f>
        <v/>
      </c>
      <c r="BG4" s="0" t="str">
        <f aca="false">IF(BG3="","",IF($D3=0,$J3,IF(AND($F3&lt;&gt;"",BG3&gt;=$F3),$I3,IF(AND($E3&lt;&gt;"",BG3&gt;=$E3),$H3,$G3))))</f>
        <v/>
      </c>
      <c r="BH4" s="0" t="str">
        <f aca="false">IF(BH3="","",IF($D3=0,$J3,IF(AND($F3&lt;&gt;"",BH3&gt;=$F3),$I3,IF(AND($E3&lt;&gt;"",BH3&gt;=$E3),$H3,$G3))))</f>
        <v/>
      </c>
      <c r="BI4" s="0" t="str">
        <f aca="false">IF(BI3="","",IF($D3=0,$J3,IF(AND($F3&lt;&gt;"",BI3&gt;=$F3),$I3,IF(AND($E3&lt;&gt;"",BI3&gt;=$E3),$H3,$G3))))</f>
        <v/>
      </c>
      <c r="BJ4" s="0" t="str">
        <f aca="false">IF(BJ3="","",IF($D3=0,$J3,IF(AND($F3&lt;&gt;"",BJ3&gt;=$F3),$I3,IF(AND($E3&lt;&gt;"",BJ3&gt;=$E3),$H3,$G3))))</f>
        <v/>
      </c>
      <c r="BK4" s="0" t="str">
        <f aca="false">IF(BK3="","",IF($D3=0,$J3,IF(AND($F3&lt;&gt;"",BK3&gt;=$F3),$I3,IF(AND($E3&lt;&gt;"",BK3&gt;=$E3),$H3,$G3))))</f>
        <v/>
      </c>
      <c r="BL4" s="0" t="str">
        <f aca="false">IF(BL3="","",IF($D3=0,$J3,IF(AND($F3&lt;&gt;"",BL3&gt;=$F3),$I3,IF(AND($E3&lt;&gt;"",BL3&gt;=$E3),$H3,$G3))))</f>
        <v/>
      </c>
      <c r="BM4" s="0" t="str">
        <f aca="false">IF(BM3="","",IF($D3=0,$J3,IF(AND($F3&lt;&gt;"",BM3&gt;=$F3),$I3,IF(AND($E3&lt;&gt;"",BM3&gt;=$E3),$H3,$G3))))</f>
        <v/>
      </c>
      <c r="BN4" s="0" t="str">
        <f aca="false">IF(BN3="","",IF($D3=0,$J3,IF(AND($F3&lt;&gt;"",BN3&gt;=$F3),$I3,IF(AND($E3&lt;&gt;"",BN3&gt;=$E3),$H3,$G3))))</f>
        <v/>
      </c>
      <c r="BO4" s="0" t="str">
        <f aca="false">IF(BO3="","",IF($D3=0,$J3,IF(AND($F3&lt;&gt;"",BO3&gt;=$F3),$I3,IF(AND($E3&lt;&gt;"",BO3&gt;=$E3),$H3,$G3))))</f>
        <v/>
      </c>
      <c r="BP4" s="0" t="str">
        <f aca="false">IF(BP3="","",IF($D3=0,$J3,IF(AND($F3&lt;&gt;"",BP3&gt;=$F3),$I3,IF(AND($E3&lt;&gt;"",BP3&gt;=$E3),$H3,$G3))))</f>
        <v/>
      </c>
      <c r="BQ4" s="0" t="str">
        <f aca="false">IF(BQ3="","",IF($D3=0,$J3,IF(AND($F3&lt;&gt;"",BQ3&gt;=$F3),$I3,IF(AND($E3&lt;&gt;"",BQ3&gt;=$E3),$H3,$G3))))</f>
        <v/>
      </c>
      <c r="BR4" s="0" t="str">
        <f aca="false">IF(BR3="","",IF($D3=0,$J3,IF(AND($F3&lt;&gt;"",BR3&gt;=$F3),$I3,IF(AND($E3&lt;&gt;"",BR3&gt;=$E3),$H3,$G3))))</f>
        <v/>
      </c>
      <c r="BS4" s="0" t="str">
        <f aca="false">IF(BS3="","",IF($D3=0,$J3,IF(AND($F3&lt;&gt;"",BS3&gt;=$F3),$I3,IF(AND($E3&lt;&gt;"",BS3&gt;=$E3),$H3,$G3))))</f>
        <v/>
      </c>
      <c r="BT4" s="0" t="str">
        <f aca="false">IF(BT3="","",IF($D3=0,$J3,IF(AND($F3&lt;&gt;"",BT3&gt;=$F3),$I3,IF(AND($E3&lt;&gt;"",BT3&gt;=$E3),$H3,$G3))))</f>
        <v/>
      </c>
      <c r="BU4" s="0" t="str">
        <f aca="false">IF(BU3="","",IF($D3=0,$J3,IF(AND($F3&lt;&gt;"",BU3&gt;=$F3),$I3,IF(AND($E3&lt;&gt;"",BU3&gt;=$E3),$H3,$G3))))</f>
        <v/>
      </c>
      <c r="BV4" s="0" t="str">
        <f aca="false">IF(BV3="","",IF($D3=0,$J3,IF(AND($F3&lt;&gt;"",BV3&gt;=$F3),$I3,IF(AND($E3&lt;&gt;"",BV3&gt;=$E3),$H3,$G3))))</f>
        <v/>
      </c>
      <c r="BW4" s="0" t="str">
        <f aca="false">IF(BW3="","",IF($D3=0,$J3,IF(AND($F3&lt;&gt;"",BW3&gt;=$F3),$I3,IF(AND($E3&lt;&gt;"",BW3&gt;=$E3),$H3,$G3))))</f>
        <v/>
      </c>
      <c r="BX4" s="0" t="str">
        <f aca="false">IF(BX3="","",IF($D3=0,$J3,IF(AND($F3&lt;&gt;"",BX3&gt;=$F3),$I3,IF(AND($E3&lt;&gt;"",BX3&gt;=$E3),$H3,$G3))))</f>
        <v/>
      </c>
      <c r="BY4" s="0" t="str">
        <f aca="false">IF(BY3="","",IF($D3=0,$J3,IF(AND($F3&lt;&gt;"",BY3&gt;=$F3),$I3,IF(AND($E3&lt;&gt;"",BY3&gt;=$E3),$H3,$G3))))</f>
        <v/>
      </c>
      <c r="BZ4" s="0" t="str">
        <f aca="false">IF(BZ3="","",IF($D3=0,$J3,IF(AND($F3&lt;&gt;"",BZ3&gt;=$F3),$I3,IF(AND($E3&lt;&gt;"",BZ3&gt;=$E3),$H3,$G3))))</f>
        <v/>
      </c>
      <c r="CA4" s="0" t="str">
        <f aca="false">IF(CA3="","",IF($D3=0,$J3,IF(AND($F3&lt;&gt;"",CA3&gt;=$F3),$I3,IF(AND($E3&lt;&gt;"",CA3&gt;=$E3),$H3,$G3))))</f>
        <v/>
      </c>
      <c r="CB4" s="0" t="str">
        <f aca="false">IF(CB3="","",IF($D3=0,$J3,IF(AND($F3&lt;&gt;"",CB3&gt;=$F3),$I3,IF(AND($E3&lt;&gt;"",CB3&gt;=$E3),$H3,$G3))))</f>
        <v/>
      </c>
      <c r="CC4" s="0" t="str">
        <f aca="false">IF(CC3="","",IF($D3=0,$J3,IF(AND($F3&lt;&gt;"",CC3&gt;=$F3),$I3,IF(AND($E3&lt;&gt;"",CC3&gt;=$E3),$H3,$G3))))</f>
        <v/>
      </c>
      <c r="CD4" s="0" t="str">
        <f aca="false">IF(CD3="","",IF($D3=0,$J3,IF(AND($F3&lt;&gt;"",CD3&gt;=$F3),$I3,IF(AND($E3&lt;&gt;"",CD3&gt;=$E3),$H3,$G3))))</f>
        <v/>
      </c>
      <c r="CE4" s="0" t="str">
        <f aca="false">IF(CE3="","",IF($D3=0,$J3,IF(AND($F3&lt;&gt;"",CE3&gt;=$F3),$I3,IF(AND($E3&lt;&gt;"",CE3&gt;=$E3),$H3,$G3))))</f>
        <v/>
      </c>
      <c r="CF4" s="0" t="str">
        <f aca="false">IF(CF3="","",IF($D3=0,$J3,IF(AND($F3&lt;&gt;"",CF3&gt;=$F3),$I3,IF(AND($E3&lt;&gt;"",CF3&gt;=$E3),$H3,$G3))))</f>
        <v/>
      </c>
      <c r="CG4" s="0" t="str">
        <f aca="false">IF(CG3="","",IF($D3=0,$J3,IF(AND($F3&lt;&gt;"",CG3&gt;=$F3),$I3,IF(AND($E3&lt;&gt;"",CG3&gt;=$E3),$H3,$G3))))</f>
        <v/>
      </c>
      <c r="CH4" s="0" t="str">
        <f aca="false">IF(CH3="","",IF($D3=0,$J3,IF(AND($F3&lt;&gt;"",CH3&gt;=$F3),$I3,IF(AND($E3&lt;&gt;"",CH3&gt;=$E3),$H3,$G3))))</f>
        <v/>
      </c>
      <c r="CI4" s="0" t="str">
        <f aca="false">IF(CI3="","",IF($D3=0,$J3,IF(AND($F3&lt;&gt;"",CI3&gt;=$F3),$I3,IF(AND($E3&lt;&gt;"",CI3&gt;=$E3),$H3,$G3))))</f>
        <v/>
      </c>
      <c r="CJ4" s="0" t="str">
        <f aca="false">IF(CJ3="","",IF($D3=0,$J3,IF(AND($F3&lt;&gt;"",CJ3&gt;=$F3),$I3,IF(AND($E3&lt;&gt;"",CJ3&gt;=$E3),$H3,$G3))))</f>
        <v/>
      </c>
      <c r="CK4" s="0" t="str">
        <f aca="false">IF(CK3="","",IF($D3=0,$J3,IF(AND($F3&lt;&gt;"",CK3&gt;=$F3),$I3,IF(AND($E3&lt;&gt;"",CK3&gt;=$E3),$H3,$G3))))</f>
        <v/>
      </c>
      <c r="CL4" s="0" t="str">
        <f aca="false">IF(CL3="","",IF($D3=0,$J3,IF(AND($F3&lt;&gt;"",CL3&gt;=$F3),$I3,IF(AND($E3&lt;&gt;"",CL3&gt;=$E3),$H3,$G3))))</f>
        <v/>
      </c>
      <c r="CM4" s="0" t="str">
        <f aca="false">IF(CM3="","",IF($D3=0,$J3,IF(AND($F3&lt;&gt;"",CM3&gt;=$F3),$I3,IF(AND($E3&lt;&gt;"",CM3&gt;=$E3),$H3,$G3))))</f>
        <v/>
      </c>
      <c r="CN4" s="0" t="str">
        <f aca="false">IF(CN3="","",IF($D3=0,$J3,IF(AND($F3&lt;&gt;"",CN3&gt;=$F3),$I3,IF(AND($E3&lt;&gt;"",CN3&gt;=$E3),$H3,$G3))))</f>
        <v/>
      </c>
      <c r="CO4" s="0" t="str">
        <f aca="false">IF(CO3="","",IF($D3=0,$J3,IF(AND($F3&lt;&gt;"",CO3&gt;=$F3),$I3,IF(AND($E3&lt;&gt;"",CO3&gt;=$E3),$H3,$G3))))</f>
        <v/>
      </c>
      <c r="CP4" s="0" t="str">
        <f aca="false">IF(CP3="","",IF($D3=0,$J3,IF(AND($F3&lt;&gt;"",CP3&gt;=$F3),$I3,IF(AND($E3&lt;&gt;"",CP3&gt;=$E3),$H3,$G3))))</f>
        <v/>
      </c>
      <c r="CQ4" s="0" t="str">
        <f aca="false">IF(CQ3="","",IF($D3=0,$J3,IF(AND($F3&lt;&gt;"",CQ3&gt;=$F3),$I3,IF(AND($E3&lt;&gt;"",CQ3&gt;=$E3),$H3,$G3))))</f>
        <v/>
      </c>
      <c r="CR4" s="0" t="str">
        <f aca="false">IF(CR3="","",IF($D3=0,$J3,IF(AND($F3&lt;&gt;"",CR3&gt;=$F3),$I3,IF(AND($E3&lt;&gt;"",CR3&gt;=$E3),$H3,$G3))))</f>
        <v/>
      </c>
      <c r="CS4" s="0" t="str">
        <f aca="false">IF(CS3="","",IF($D3=0,$J3,IF(AND($F3&lt;&gt;"",CS3&gt;=$F3),$I3,IF(AND($E3&lt;&gt;"",CS3&gt;=$E3),$H3,$G3))))</f>
        <v/>
      </c>
      <c r="CT4" s="0" t="str">
        <f aca="false">IF(CT3="","",IF($D3=0,$J3,IF(AND($F3&lt;&gt;"",CT3&gt;=$F3),$I3,IF(AND($E3&lt;&gt;"",CT3&gt;=$E3),$H3,$G3))))</f>
        <v/>
      </c>
      <c r="CU4" s="0" t="str">
        <f aca="false">IF(CU3="","",IF($D3=0,$J3,IF(AND($F3&lt;&gt;"",CU3&gt;=$F3),$I3,IF(AND($E3&lt;&gt;"",CU3&gt;=$E3),$H3,$G3))))</f>
        <v/>
      </c>
      <c r="CV4" s="0" t="str">
        <f aca="false">IF(CV3="","",IF($D3=0,$J3,IF(AND($F3&lt;&gt;"",CV3&gt;=$F3),$I3,IF(AND($E3&lt;&gt;"",CV3&gt;=$E3),$H3,$G3))))</f>
        <v/>
      </c>
      <c r="CW4" s="0" t="str">
        <f aca="false">IF(CW3="","",IF($D3=0,$J3,IF(AND($F3&lt;&gt;"",CW3&gt;=$F3),$I3,IF(AND($E3&lt;&gt;"",CW3&gt;=$E3),$H3,$G3))))</f>
        <v/>
      </c>
      <c r="CX4" s="0" t="str">
        <f aca="false">IF(CX3="","",IF($D3=0,$J3,IF(AND($F3&lt;&gt;"",CX3&gt;=$F3),$I3,IF(AND($E3&lt;&gt;"",CX3&gt;=$E3),$H3,$G3))))</f>
        <v/>
      </c>
      <c r="CY4" s="0" t="str">
        <f aca="false">IF(CY3="","",IF($D3=0,$J3,IF(AND($F3&lt;&gt;"",CY3&gt;=$F3),$I3,IF(AND($E3&lt;&gt;"",CY3&gt;=$E3),$H3,$G3))))</f>
        <v/>
      </c>
      <c r="CZ4" s="0" t="str">
        <f aca="false">IF(CZ3="","",IF($D3=0,$J3,IF(AND($F3&lt;&gt;"",CZ3&gt;=$F3),$I3,IF(AND($E3&lt;&gt;"",CZ3&gt;=$E3),$H3,$G3))))</f>
        <v/>
      </c>
      <c r="DA4" s="0" t="str">
        <f aca="false">IF(DA3="","",IF($D3=0,$J3,IF(AND($F3&lt;&gt;"",DA3&gt;=$F3),$I3,IF(AND($E3&lt;&gt;"",DA3&gt;=$E3),$H3,$G3))))</f>
        <v/>
      </c>
      <c r="DB4" s="0" t="str">
        <f aca="false">IF(DB3="","",IF($D3=0,$J3,IF(AND($F3&lt;&gt;"",DB3&gt;=$F3),$I3,IF(AND($E3&lt;&gt;"",DB3&gt;=$E3),$H3,$G3))))</f>
        <v/>
      </c>
      <c r="DC4" s="0" t="str">
        <f aca="false">IF(DC3="","",IF($D3=0,$J3,IF(AND($F3&lt;&gt;"",DC3&gt;=$F3),$I3,IF(AND($E3&lt;&gt;"",DC3&gt;=$E3),$H3,$G3))))</f>
        <v/>
      </c>
      <c r="DD4" s="0" t="str">
        <f aca="false">IF(DD3="","",IF($D3=0,$J3,IF(AND($F3&lt;&gt;"",DD3&gt;=$F3),$I3,IF(AND($E3&lt;&gt;"",DD3&gt;=$E3),$H3,$G3))))</f>
        <v/>
      </c>
      <c r="DE4" s="0" t="str">
        <f aca="false">IF(DE3="","",IF($D3=0,$J3,IF(AND($F3&lt;&gt;"",DE3&gt;=$F3),$I3,IF(AND($E3&lt;&gt;"",DE3&gt;=$E3),$H3,$G3))))</f>
        <v/>
      </c>
      <c r="DF4" s="0" t="str">
        <f aca="false">IF(DF3="","",IF($D3=0,$J3,IF(AND($F3&lt;&gt;"",DF3&gt;=$F3),$I3,IF(AND($E3&lt;&gt;"",DF3&gt;=$E3),$H3,$G3))))</f>
        <v/>
      </c>
      <c r="DG4" s="0" t="str">
        <f aca="false">IF(DG3="","",IF($D3=0,$J3,IF(AND($F3&lt;&gt;"",DG3&gt;=$F3),$I3,IF(AND($E3&lt;&gt;"",DG3&gt;=$E3),$H3,$G3))))</f>
        <v/>
      </c>
      <c r="DH4" s="0" t="str">
        <f aca="false">IF(DH3="","",IF($D3=0,$J3,IF(AND($F3&lt;&gt;"",DH3&gt;=$F3),$I3,IF(AND($E3&lt;&gt;"",DH3&gt;=$E3),$H3,$G3))))</f>
        <v/>
      </c>
      <c r="DI4" s="0" t="str">
        <f aca="false">IF(DI3="","",IF($D3=0,$J3,IF(AND($F3&lt;&gt;"",DI3&gt;=$F3),$I3,IF(AND($E3&lt;&gt;"",DI3&gt;=$E3),$H3,$G3))))</f>
        <v/>
      </c>
      <c r="DJ4" s="0" t="str">
        <f aca="false">IF(DJ3="","",IF($D3=0,$J3,IF(AND($F3&lt;&gt;"",DJ3&gt;=$F3),$I3,IF(AND($E3&lt;&gt;"",DJ3&gt;=$E3),$H3,$G3))))</f>
        <v/>
      </c>
      <c r="DK4" s="0" t="str">
        <f aca="false">IF(DK3="","",IF($D3=0,$J3,IF(AND($F3&lt;&gt;"",DK3&gt;=$F3),$I3,IF(AND($E3&lt;&gt;"",DK3&gt;=$E3),$H3,$G3))))</f>
        <v/>
      </c>
      <c r="DL4" s="0" t="str">
        <f aca="false">IF(DL3="","",IF($D3=0,$J3,IF(AND($F3&lt;&gt;"",DL3&gt;=$F3),$I3,IF(AND($E3&lt;&gt;"",DL3&gt;=$E3),$H3,$G3))))</f>
        <v/>
      </c>
      <c r="DM4" s="0" t="str">
        <f aca="false">IF(DM3="","",IF($D3=0,$J3,IF(AND($F3&lt;&gt;"",DM3&gt;=$F3),$I3,IF(AND($E3&lt;&gt;"",DM3&gt;=$E3),$H3,$G3))))</f>
        <v/>
      </c>
      <c r="DN4" s="0" t="str">
        <f aca="false">IF(DN3="","",IF($D3=0,$J3,IF(AND($F3&lt;&gt;"",DN3&gt;=$F3),$I3,IF(AND($E3&lt;&gt;"",DN3&gt;=$E3),$H3,$G3))))</f>
        <v/>
      </c>
      <c r="DO4" s="0" t="str">
        <f aca="false">IF(DO3="","",IF($D3=0,$J3,IF(AND($F3&lt;&gt;"",DO3&gt;=$F3),$I3,IF(AND($E3&lt;&gt;"",DO3&gt;=$E3),$H3,$G3))))</f>
        <v/>
      </c>
      <c r="DP4" s="0" t="str">
        <f aca="false">IF(DP3="","",IF($D3=0,$J3,IF(AND($F3&lt;&gt;"",DP3&gt;=$F3),$I3,IF(AND($E3&lt;&gt;"",DP3&gt;=$E3),$H3,$G3))))</f>
        <v/>
      </c>
      <c r="DQ4" s="0" t="str">
        <f aca="false">IF(DQ3="","",IF($D3=0,$J3,IF(AND($F3&lt;&gt;"",DQ3&gt;=$F3),$I3,IF(AND($E3&lt;&gt;"",DQ3&gt;=$E3),$H3,$G3))))</f>
        <v/>
      </c>
      <c r="DR4" s="0" t="str">
        <f aca="false">IF(DR3="","",IF($D3=0,$J3,IF(AND($F3&lt;&gt;"",DR3&gt;=$F3),$I3,IF(AND($E3&lt;&gt;"",DR3&gt;=$E3),$H3,$G3))))</f>
        <v/>
      </c>
      <c r="DS4" s="0" t="str">
        <f aca="false">IF(DS3="","",IF($D3=0,$J3,IF(AND($F3&lt;&gt;"",DS3&gt;=$F3),$I3,IF(AND($E3&lt;&gt;"",DS3&gt;=$E3),$H3,$G3))))</f>
        <v/>
      </c>
      <c r="DT4" s="0" t="str">
        <f aca="false">IF(DT3="","",IF($D3=0,$J3,IF(AND($F3&lt;&gt;"",DT3&gt;=$F3),$I3,IF(AND($E3&lt;&gt;"",DT3&gt;=$E3),$H3,$G3))))</f>
        <v/>
      </c>
      <c r="DU4" s="0" t="str">
        <f aca="false">IF(DU3="","",IF($D3=0,$J3,IF(AND($F3&lt;&gt;"",DU3&gt;=$F3),$I3,IF(AND($E3&lt;&gt;"",DU3&gt;=$E3),$H3,$G3))))</f>
        <v/>
      </c>
      <c r="DV4" s="0" t="str">
        <f aca="false">IF(DV3="","",IF($D3=0,$J3,IF(AND($F3&lt;&gt;"",DV3&gt;=$F3),$I3,IF(AND($E3&lt;&gt;"",DV3&gt;=$E3),$H3,$G3))))</f>
        <v/>
      </c>
      <c r="DW4" s="0" t="str">
        <f aca="false">IF(DW3="","",IF($D3=0,$J3,IF(AND($F3&lt;&gt;"",DW3&gt;=$F3),$I3,IF(AND($E3&lt;&gt;"",DW3&gt;=$E3),$H3,$G3))))</f>
        <v/>
      </c>
      <c r="DX4" s="0" t="str">
        <f aca="false">IF(DX3="","",IF($D3=0,$J3,IF(AND($F3&lt;&gt;"",DX3&gt;=$F3),$I3,IF(AND($E3&lt;&gt;"",DX3&gt;=$E3),$H3,$G3))))</f>
        <v/>
      </c>
      <c r="DY4" s="0" t="str">
        <f aca="false">IF(DY3="","",IF($D3=0,$J3,IF(AND($F3&lt;&gt;"",DY3&gt;=$F3),$I3,IF(AND($E3&lt;&gt;"",DY3&gt;=$E3),$H3,$G3))))</f>
        <v/>
      </c>
      <c r="DZ4" s="0" t="str">
        <f aca="false">IF(DZ3="","",IF($D3=0,$J3,IF(AND($F3&lt;&gt;"",DZ3&gt;=$F3),$I3,IF(AND($E3&lt;&gt;"",DZ3&gt;=$E3),$H3,$G3))))</f>
        <v/>
      </c>
      <c r="EA4" s="0" t="str">
        <f aca="false">IF(EA3="","",IF($D3=0,$J3,IF(AND($F3&lt;&gt;"",EA3&gt;=$F3),$I3,IF(AND($E3&lt;&gt;"",EA3&gt;=$E3),$H3,$G3))))</f>
        <v/>
      </c>
      <c r="EB4" s="0" t="str">
        <f aca="false">IF(EB3="","",IF($D3=0,$J3,IF(AND($F3&lt;&gt;"",EB3&gt;=$F3),$I3,IF(AND($E3&lt;&gt;"",EB3&gt;=$E3),$H3,$G3))))</f>
        <v/>
      </c>
      <c r="EC4" s="0" t="str">
        <f aca="false">IF(EC3="","",IF($D3=0,$J3,IF(AND($F3&lt;&gt;"",EC3&gt;=$F3),$I3,IF(AND($E3&lt;&gt;"",EC3&gt;=$E3),$H3,$G3))))</f>
        <v/>
      </c>
      <c r="ED4" s="0" t="str">
        <f aca="false">IF(ED3="","",IF($D3=0,$J3,IF(AND($F3&lt;&gt;"",ED3&gt;=$F3),$I3,IF(AND($E3&lt;&gt;"",ED3&gt;=$E3),$H3,$G3))))</f>
        <v/>
      </c>
      <c r="EE4" s="0" t="str">
        <f aca="false">IF(EE3="","",IF($D3=0,$J3,IF(AND($F3&lt;&gt;"",EE3&gt;=$F3),$I3,IF(AND($E3&lt;&gt;"",EE3&gt;=$E3),$H3,$G3))))</f>
        <v/>
      </c>
      <c r="EF4" s="0" t="str">
        <f aca="false">IF(EF3="","",IF($D3=0,$J3,IF(AND($F3&lt;&gt;"",EF3&gt;=$F3),$I3,IF(AND($E3&lt;&gt;"",EF3&gt;=$E3),$H3,$G3))))</f>
        <v/>
      </c>
      <c r="EG4" s="0" t="str">
        <f aca="false">IF(EG3="","",IF($D3=0,$J3,IF(AND($F3&lt;&gt;"",EG3&gt;=$F3),$I3,IF(AND($E3&lt;&gt;"",EG3&gt;=$E3),$H3,$G3))))</f>
        <v/>
      </c>
      <c r="EH4" s="0" t="str">
        <f aca="false">IF(EH3="","",IF($D3=0,$J3,IF(AND($F3&lt;&gt;"",EH3&gt;=$F3),$I3,IF(AND($E3&lt;&gt;"",EH3&gt;=$E3),$H3,$G3))))</f>
        <v/>
      </c>
      <c r="EI4" s="0" t="str">
        <f aca="false">IF(EI3="","",IF($D3=0,$J3,IF(AND($F3&lt;&gt;"",EI3&gt;=$F3),$I3,IF(AND($E3&lt;&gt;"",EI3&gt;=$E3),$H3,$G3))))</f>
        <v/>
      </c>
      <c r="EJ4" s="0" t="str">
        <f aca="false">IF(EJ3="","",IF($D3=0,$J3,IF(AND($F3&lt;&gt;"",EJ3&gt;=$F3),$I3,IF(AND($E3&lt;&gt;"",EJ3&gt;=$E3),$H3,$G3))))</f>
        <v/>
      </c>
      <c r="EK4" s="0" t="str">
        <f aca="false">IF(EK3="","",IF($D3=0,$J3,IF(AND($F3&lt;&gt;"",EK3&gt;=$F3),$I3,IF(AND($E3&lt;&gt;"",EK3&gt;=$E3),$H3,$G3))))</f>
        <v/>
      </c>
      <c r="EL4" s="0" t="str">
        <f aca="false">IF(EL3="","",IF($D3=0,$J3,IF(AND($F3&lt;&gt;"",EL3&gt;=$F3),$I3,IF(AND($E3&lt;&gt;"",EL3&gt;=$E3),$H3,$G3))))</f>
        <v/>
      </c>
      <c r="EM4" s="0" t="str">
        <f aca="false">IF(EM3="","",IF($D3=0,$J3,IF(AND($F3&lt;&gt;"",EM3&gt;=$F3),$I3,IF(AND($E3&lt;&gt;"",EM3&gt;=$E3),$H3,$G3))))</f>
        <v/>
      </c>
      <c r="EN4" s="0" t="str">
        <f aca="false">IF(EN3="","",IF($D3=0,$J3,IF(AND($F3&lt;&gt;"",EN3&gt;=$F3),$I3,IF(AND($E3&lt;&gt;"",EN3&gt;=$E3),$H3,$G3))))</f>
        <v/>
      </c>
      <c r="EO4" s="0" t="str">
        <f aca="false">IF(EO3="","",IF($D3=0,$J3,IF(AND($F3&lt;&gt;"",EO3&gt;=$F3),$I3,IF(AND($E3&lt;&gt;"",EO3&gt;=$E3),$H3,$G3))))</f>
        <v/>
      </c>
      <c r="EP4" s="0" t="str">
        <f aca="false">IF(EP3="","",IF($D3=0,$J3,IF(AND($F3&lt;&gt;"",EP3&gt;=$F3),$I3,IF(AND($E3&lt;&gt;"",EP3&gt;=$E3),$H3,$G3))))</f>
        <v/>
      </c>
      <c r="EQ4" s="0" t="str">
        <f aca="false">IF(EQ3="","",IF($D3=0,$J3,IF(AND($F3&lt;&gt;"",EQ3&gt;=$F3),$I3,IF(AND($E3&lt;&gt;"",EQ3&gt;=$E3),$H3,$G3))))</f>
        <v/>
      </c>
      <c r="ER4" s="0" t="str">
        <f aca="false">IF(ER3="","",IF($D3=0,$J3,IF(AND($F3&lt;&gt;"",ER3&gt;=$F3),$I3,IF(AND($E3&lt;&gt;"",ER3&gt;=$E3),$H3,$G3))))</f>
        <v/>
      </c>
      <c r="ES4" s="0" t="str">
        <f aca="false">IF(ES3="","",IF($D3=0,$J3,IF(AND($F3&lt;&gt;"",ES3&gt;=$F3),$I3,IF(AND($E3&lt;&gt;"",ES3&gt;=$E3),$H3,$G3))))</f>
        <v/>
      </c>
      <c r="ET4" s="0" t="str">
        <f aca="false">IF(ET3="","",IF($D3=0,$J3,IF(AND($F3&lt;&gt;"",ET3&gt;=$F3),$I3,IF(AND($E3&lt;&gt;"",ET3&gt;=$E3),$H3,$G3))))</f>
        <v/>
      </c>
      <c r="EU4" s="0" t="str">
        <f aca="false">IF(EU3="","",IF($D3=0,$J3,IF(AND($F3&lt;&gt;"",EU3&gt;=$F3),$I3,IF(AND($E3&lt;&gt;"",EU3&gt;=$E3),$H3,$G3))))</f>
        <v/>
      </c>
      <c r="EV4" s="0" t="str">
        <f aca="false">IF(EV3="","",IF($D3=0,$J3,IF(AND($F3&lt;&gt;"",EV3&gt;=$F3),$I3,IF(AND($E3&lt;&gt;"",EV3&gt;=$E3),$H3,$G3))))</f>
        <v/>
      </c>
      <c r="EW4" s="0" t="str">
        <f aca="false">IF(EW3="","",IF($D3=0,$J3,IF(AND($F3&lt;&gt;"",EW3&gt;=$F3),$I3,IF(AND($E3&lt;&gt;"",EW3&gt;=$E3),$H3,$G3))))</f>
        <v/>
      </c>
      <c r="EX4" s="0" t="str">
        <f aca="false">IF(EX3="","",IF($D3=0,$J3,IF(AND($F3&lt;&gt;"",EX3&gt;=$F3),$I3,IF(AND($E3&lt;&gt;"",EX3&gt;=$E3),$H3,$G3))))</f>
        <v/>
      </c>
      <c r="EY4" s="0" t="str">
        <f aca="false">IF(EY3="","",IF($D3=0,$J3,IF(AND($F3&lt;&gt;"",EY3&gt;=$F3),$I3,IF(AND($E3&lt;&gt;"",EY3&gt;=$E3),$H3,$G3))))</f>
        <v/>
      </c>
      <c r="EZ4" s="0" t="str">
        <f aca="false">IF(EZ3="","",IF($D3=0,$J3,IF(AND($F3&lt;&gt;"",EZ3&gt;=$F3),$I3,IF(AND($E3&lt;&gt;"",EZ3&gt;=$E3),$H3,$G3))))</f>
        <v/>
      </c>
      <c r="FA4" s="0" t="str">
        <f aca="false">IF(FA3="","",IF($D3=0,$J3,IF(AND($F3&lt;&gt;"",FA3&gt;=$F3),$I3,IF(AND($E3&lt;&gt;"",FA3&gt;=$E3),$H3,$G3))))</f>
        <v/>
      </c>
      <c r="FB4" s="0" t="str">
        <f aca="false">IF(FB3="","",IF($D3=0,$J3,IF(AND($F3&lt;&gt;"",FB3&gt;=$F3),$I3,IF(AND($E3&lt;&gt;"",FB3&gt;=$E3),$H3,$G3))))</f>
        <v/>
      </c>
      <c r="FC4" s="0" t="str">
        <f aca="false">IF(FC3="","",IF($D3=0,$J3,IF(AND($F3&lt;&gt;"",FC3&gt;=$F3),$I3,IF(AND($E3&lt;&gt;"",FC3&gt;=$E3),$H3,$G3))))</f>
        <v/>
      </c>
      <c r="FD4" s="0" t="str">
        <f aca="false">IF(FD3="","",IF($D3=0,$J3,IF(AND($F3&lt;&gt;"",FD3&gt;=$F3),$I3,IF(AND($E3&lt;&gt;"",FD3&gt;=$E3),$H3,$G3))))</f>
        <v/>
      </c>
      <c r="FE4" s="0" t="str">
        <f aca="false">IF(FE3="","",IF($D3=0,$J3,IF(AND($F3&lt;&gt;"",FE3&gt;=$F3),$I3,IF(AND($E3&lt;&gt;"",FE3&gt;=$E3),$H3,$G3))))</f>
        <v/>
      </c>
      <c r="FF4" s="0" t="str">
        <f aca="false">IF(FF3="","",IF($D3=0,$J3,IF(AND($F3&lt;&gt;"",FF3&gt;=$F3),$I3,IF(AND($E3&lt;&gt;"",FF3&gt;=$E3),$H3,$G3))))</f>
        <v/>
      </c>
      <c r="FG4" s="0" t="str">
        <f aca="false">IF(FG3="","",IF($D3=0,$J3,IF(AND($F3&lt;&gt;"",FG3&gt;=$F3),$I3,IF(AND($E3&lt;&gt;"",FG3&gt;=$E3),$H3,$G3))))</f>
        <v/>
      </c>
      <c r="FH4" s="0" t="str">
        <f aca="false">IF(FH3="","",IF($D3=0,$J3,IF(AND($F3&lt;&gt;"",FH3&gt;=$F3),$I3,IF(AND($E3&lt;&gt;"",FH3&gt;=$E3),$H3,$G3))))</f>
        <v/>
      </c>
      <c r="FI4" s="0" t="str">
        <f aca="false">IF(FI3="","",IF($D3=0,$J3,IF(AND($F3&lt;&gt;"",FI3&gt;=$F3),$I3,IF(AND($E3&lt;&gt;"",FI3&gt;=$E3),$H3,$G3))))</f>
        <v/>
      </c>
      <c r="FJ4" s="0" t="str">
        <f aca="false">IF(FJ3="","",IF($D3=0,$J3,IF(AND($F3&lt;&gt;"",FJ3&gt;=$F3),$I3,IF(AND($E3&lt;&gt;"",FJ3&gt;=$E3),$H3,$G3))))</f>
        <v/>
      </c>
      <c r="FK4" s="0" t="str">
        <f aca="false">IF(FK3="","",IF($D3=0,$J3,IF(AND($F3&lt;&gt;"",FK3&gt;=$F3),$I3,IF(AND($E3&lt;&gt;"",FK3&gt;=$E3),$H3,$G3))))</f>
        <v/>
      </c>
      <c r="FL4" s="0" t="str">
        <f aca="false">IF(FL3="","",IF($D3=0,$J3,IF(AND($F3&lt;&gt;"",FL3&gt;=$F3),$I3,IF(AND($E3&lt;&gt;"",FL3&gt;=$E3),$H3,$G3))))</f>
        <v/>
      </c>
      <c r="FM4" s="0" t="str">
        <f aca="false">IF(FM3="","",IF($D3=0,$J3,IF(AND($F3&lt;&gt;"",FM3&gt;=$F3),$I3,IF(AND($E3&lt;&gt;"",FM3&gt;=$E3),$H3,$G3))))</f>
        <v/>
      </c>
      <c r="FN4" s="0" t="str">
        <f aca="false">IF(FN3="","",IF($D3=0,$J3,IF(AND($F3&lt;&gt;"",FN3&gt;=$F3),$I3,IF(AND($E3&lt;&gt;"",FN3&gt;=$E3),$H3,$G3))))</f>
        <v/>
      </c>
      <c r="FO4" s="0" t="str">
        <f aca="false">IF(FO3="","",IF($D3=0,$J3,IF(AND($F3&lt;&gt;"",FO3&gt;=$F3),$I3,IF(AND($E3&lt;&gt;"",FO3&gt;=$E3),$H3,$G3))))</f>
        <v/>
      </c>
      <c r="FP4" s="0" t="str">
        <f aca="false">IF(FP3="","",IF($D3=0,$J3,IF(AND($F3&lt;&gt;"",FP3&gt;=$F3),$I3,IF(AND($E3&lt;&gt;"",FP3&gt;=$E3),$H3,$G3))))</f>
        <v/>
      </c>
      <c r="FQ4" s="0" t="str">
        <f aca="false">IF(FQ3="","",IF($D3=0,$J3,IF(AND($F3&lt;&gt;"",FQ3&gt;=$F3),$I3,IF(AND($E3&lt;&gt;"",FQ3&gt;=$E3),$H3,$G3))))</f>
        <v/>
      </c>
      <c r="FR4" s="0" t="str">
        <f aca="false">IF(FR3="","",IF($D3=0,$J3,IF(AND($F3&lt;&gt;"",FR3&gt;=$F3),$I3,IF(AND($E3&lt;&gt;"",FR3&gt;=$E3),$H3,$G3))))</f>
        <v/>
      </c>
      <c r="FS4" s="0" t="str">
        <f aca="false">IF(FS3="","",IF($D3=0,$J3,IF(AND($F3&lt;&gt;"",FS3&gt;=$F3),$I3,IF(AND($E3&lt;&gt;"",FS3&gt;=$E3),$H3,$G3))))</f>
        <v/>
      </c>
      <c r="FT4" s="0" t="str">
        <f aca="false">IF(FT3="","",IF($D3=0,$J3,IF(AND($F3&lt;&gt;"",FT3&gt;=$F3),$I3,IF(AND($E3&lt;&gt;"",FT3&gt;=$E3),$H3,$G3))))</f>
        <v/>
      </c>
      <c r="FU4" s="0" t="str">
        <f aca="false">IF(FU3="","",IF($D3=0,$J3,IF(AND($F3&lt;&gt;"",FU3&gt;=$F3),$I3,IF(AND($E3&lt;&gt;"",FU3&gt;=$E3),$H3,$G3))))</f>
        <v/>
      </c>
      <c r="FV4" s="0" t="str">
        <f aca="false">IF(FV3="","",IF($D3=0,$J3,IF(AND($F3&lt;&gt;"",FV3&gt;=$F3),$I3,IF(AND($E3&lt;&gt;"",FV3&gt;=$E3),$H3,$G3))))</f>
        <v/>
      </c>
      <c r="FW4" s="0" t="str">
        <f aca="false">IF(FW3="","",IF($D3=0,$J3,IF(AND($F3&lt;&gt;"",FW3&gt;=$F3),$I3,IF(AND($E3&lt;&gt;"",FW3&gt;=$E3),$H3,$G3))))</f>
        <v/>
      </c>
      <c r="FX4" s="0" t="str">
        <f aca="false">IF(FX3="","",IF($D3=0,$J3,IF(AND($F3&lt;&gt;"",FX3&gt;=$F3),$I3,IF(AND($E3&lt;&gt;"",FX3&gt;=$E3),$H3,$G3))))</f>
        <v/>
      </c>
      <c r="FY4" s="0" t="str">
        <f aca="false">IF(FY3="","",IF($D3=0,$J3,IF(AND($F3&lt;&gt;"",FY3&gt;=$F3),$I3,IF(AND($E3&lt;&gt;"",FY3&gt;=$E3),$H3,$G3))))</f>
        <v/>
      </c>
      <c r="FZ4" s="0" t="str">
        <f aca="false">IF(FZ3="","",IF($D3=0,$J3,IF(AND($F3&lt;&gt;"",FZ3&gt;=$F3),$I3,IF(AND($E3&lt;&gt;"",FZ3&gt;=$E3),$H3,$G3))))</f>
        <v/>
      </c>
      <c r="GA4" s="0" t="str">
        <f aca="false">IF(GA3="","",IF($D3=0,$J3,IF(AND($F3&lt;&gt;"",GA3&gt;=$F3),$I3,IF(AND($E3&lt;&gt;"",GA3&gt;=$E3),$H3,$G3))))</f>
        <v/>
      </c>
      <c r="GB4" s="0" t="str">
        <f aca="false">IF(GB3="","",IF($D3=0,$J3,IF(AND($F3&lt;&gt;"",GB3&gt;=$F3),$I3,IF(AND($E3&lt;&gt;"",GB3&gt;=$E3),$H3,$G3))))</f>
        <v/>
      </c>
      <c r="GC4" s="0" t="str">
        <f aca="false">IF(GC3="","",IF($D3=0,$J3,IF(AND($F3&lt;&gt;"",GC3&gt;=$F3),$I3,IF(AND($E3&lt;&gt;"",GC3&gt;=$E3),$H3,$G3))))</f>
        <v/>
      </c>
      <c r="GD4" s="0" t="str">
        <f aca="false">IF(GD3="","",IF($D3=0,$J3,IF(AND($F3&lt;&gt;"",GD3&gt;=$F3),$I3,IF(AND($E3&lt;&gt;"",GD3&gt;=$E3),$H3,$G3))))</f>
        <v/>
      </c>
      <c r="GE4" s="0" t="str">
        <f aca="false">IF(GE3="","",IF($D3=0,$J3,IF(AND($F3&lt;&gt;"",GE3&gt;=$F3),$I3,IF(AND($E3&lt;&gt;"",GE3&gt;=$E3),$H3,$G3))))</f>
        <v/>
      </c>
      <c r="GF4" s="0" t="str">
        <f aca="false">IF(GF3="","",IF($D3=0,$J3,IF(AND($F3&lt;&gt;"",GF3&gt;=$F3),$I3,IF(AND($E3&lt;&gt;"",GF3&gt;=$E3),$H3,$G3))))</f>
        <v/>
      </c>
      <c r="GG4" s="0" t="str">
        <f aca="false">IF(GG3="","",IF($D3=0,$J3,IF(AND($F3&lt;&gt;"",GG3&gt;=$F3),$I3,IF(AND($E3&lt;&gt;"",GG3&gt;=$E3),$H3,$G3))))</f>
        <v/>
      </c>
      <c r="GH4" s="0" t="str">
        <f aca="false">IF(GH3="","",IF($D3=0,$J3,IF(AND($F3&lt;&gt;"",GH3&gt;=$F3),$I3,IF(AND($E3&lt;&gt;"",GH3&gt;=$E3),$H3,$G3))))</f>
        <v/>
      </c>
      <c r="GI4" s="0" t="str">
        <f aca="false">IF(GI3="","",IF($D3=0,$J3,IF(AND($F3&lt;&gt;"",GI3&gt;=$F3),$I3,IF(AND($E3&lt;&gt;"",GI3&gt;=$E3),$H3,$G3))))</f>
        <v/>
      </c>
    </row>
    <row r="5" customFormat="false" ht="15" hidden="false" customHeight="false" outlineLevel="0" collapsed="false">
      <c r="K5" s="0" t="s">
        <v>264</v>
      </c>
      <c r="L5" s="0" t="n">
        <f aca="false">IF(L3="",0,IF(AND(L4=Milestones!$AB$20,L3&gt;=SchemeStart),IF(AND(Milestones!$AB$20="FT",Milestones!$AA$20=FT_Y5,L3&lt;PolicyEff),1,Milestones!$AC$20),0))</f>
        <v>0</v>
      </c>
      <c r="M5" s="0" t="n">
        <f aca="false">IF(M3="",0,IF(AND(M4=Milestones!$AB$21,M3&gt;=SchemeStart),IF(AND(Milestones!$AB$21="FT",Milestones!$AA$21=FT_Y5,M3&lt;PolicyEff),1,Milestones!$AC$21),0))</f>
        <v>0</v>
      </c>
      <c r="N5" s="0" t="n">
        <f aca="false">IF(N3="",0,IF(AND(N4=Milestones!$AB$22,N3&gt;=SchemeStart),IF(AND(Milestones!$AB$22="FT",Milestones!$AA$22=FT_Y5,N3&lt;PolicyEff),1,Milestones!$AC$22),0))</f>
        <v>0</v>
      </c>
      <c r="O5" s="0" t="n">
        <f aca="false">IF(O3="",0,IF(AND(O4=Milestones!$AB$23,O3&gt;=SchemeStart),IF(AND(Milestones!$AB$23="FT",Milestones!$AA$23=FT_Y5,O3&lt;PolicyEff),1,Milestones!$AC$23),0))</f>
        <v>0</v>
      </c>
      <c r="P5" s="0" t="n">
        <f aca="false">IF(P3="",0,IF(AND(P4=Milestones!$AB$24,P3&gt;=SchemeStart),IF(AND(Milestones!$AB$24="FT",Milestones!$AA$24=FT_Y5,P3&lt;PolicyEff),1,Milestones!$AC$24),0))</f>
        <v>0</v>
      </c>
      <c r="Q5" s="0" t="n">
        <f aca="false">IF(Q3="",0,IF(AND(Q4=Milestones!$AB$25,Q3&gt;=SchemeStart),IF(AND(Milestones!$AB$25="FT",Milestones!$AA$25=FT_Y5,Q3&lt;PolicyEff),1,Milestones!$AC$25),0))</f>
        <v>0</v>
      </c>
      <c r="R5" s="0" t="n">
        <f aca="false">IF(R3="",0,IF(AND(R4=Milestones!$AB$26,R3&gt;=SchemeStart),IF(AND(Milestones!$AB$26="FT",Milestones!$AA$26=FT_Y5,R3&lt;PolicyEff),1,Milestones!$AC$26),0))</f>
        <v>0</v>
      </c>
      <c r="S5" s="0" t="n">
        <f aca="false">IF(S3="",0,IF(AND(S4=Milestones!$AB$27,S3&gt;=SchemeStart),IF(AND(Milestones!$AB$27="FT",Milestones!$AA$27=FT_Y5,S3&lt;PolicyEff),1,Milestones!$AC$27),0))</f>
        <v>0</v>
      </c>
      <c r="T5" s="0" t="n">
        <f aca="false">IF(T3="",0,IF(AND(T4=Milestones!$AB$28,T3&gt;=SchemeStart),IF(AND(Milestones!$AB$28="FT",Milestones!$AA$28=FT_Y5,T3&lt;PolicyEff),1,Milestones!$AC$28),0))</f>
        <v>0</v>
      </c>
      <c r="U5" s="0" t="n">
        <f aca="false">IF(U3="",0,IF(AND(U4=Milestones!$AB$29,U3&gt;=SchemeStart),IF(AND(Milestones!$AB$29="FT",Milestones!$AA$29=FT_Y5,U3&lt;PolicyEff),1,Milestones!$AC$29),0))</f>
        <v>0</v>
      </c>
      <c r="V5" s="0" t="n">
        <f aca="false">IF(V3="",0,IF(AND(V4=Milestones!$AB$30,V3&gt;=SchemeStart),IF(AND(Milestones!$AB$30="FT",Milestones!$AA$30=FT_Y5,V3&lt;PolicyEff),1,Milestones!$AC$30),0))</f>
        <v>0</v>
      </c>
      <c r="W5" s="0" t="n">
        <f aca="false">IF(W3="",0,IF(AND(W4=Milestones!$AB$31,W3&gt;=SchemeStart),IF(AND(Milestones!$AB$31="FT",Milestones!$AA$31=FT_Y5,W3&lt;PolicyEff),1,Milestones!$AC$31),0))</f>
        <v>0</v>
      </c>
      <c r="X5" s="0" t="n">
        <f aca="false">IF(X3="",0,IF(AND(X4=Milestones!$AB$32,X3&gt;=SchemeStart),IF(AND(Milestones!$AB$32="FT",Milestones!$AA$32=FT_Y5,X3&lt;PolicyEff),1,Milestones!$AC$32),0))</f>
        <v>0</v>
      </c>
      <c r="Y5" s="0" t="n">
        <f aca="false">IF(Y3="",0,IF(AND(Y4=Milestones!$AB$33,Y3&gt;=SchemeStart),IF(AND(Milestones!$AB$33="FT",Milestones!$AA$33=FT_Y5,Y3&lt;PolicyEff),1,Milestones!$AC$33),0))</f>
        <v>0</v>
      </c>
      <c r="Z5" s="0" t="n">
        <f aca="false">IF(Z3="",0,IF(AND(Z4=Milestones!$AB$34,Z3&gt;=SchemeStart),IF(AND(Milestones!$AB$34="FT",Milestones!$AA$34=FT_Y5,Z3&lt;PolicyEff),1,Milestones!$AC$34),0))</f>
        <v>0</v>
      </c>
      <c r="AA5" s="0" t="n">
        <f aca="false">IF(AA3="",0,IF(AND(AA4=Milestones!$AB$35,AA3&gt;=SchemeStart),IF(AND(Milestones!$AB$35="FT",Milestones!$AA$35=FT_Y5,AA3&lt;PolicyEff),1,Milestones!$AC$35),0))</f>
        <v>0</v>
      </c>
      <c r="AB5" s="0" t="n">
        <f aca="false">IF(AB3="",0,IF(AND(AB4=Milestones!$AB$36,AB3&gt;=SchemeStart),IF(AND(Milestones!$AB$36="FT",Milestones!$AA$36=FT_Y5,AB3&lt;PolicyEff),1,Milestones!$AC$36),0))</f>
        <v>0</v>
      </c>
      <c r="AC5" s="0" t="n">
        <f aca="false">IF(AC3="",0,IF(AND(AC4=Milestones!$AB$37,AC3&gt;=SchemeStart),IF(AND(Milestones!$AB$37="FT",Milestones!$AA$37=FT_Y5,AC3&lt;PolicyEff),1,Milestones!$AC$37),0))</f>
        <v>0</v>
      </c>
      <c r="AD5" s="0" t="n">
        <f aca="false">IF(AD3="",0,IF(AND(AD4=Milestones!$AB$38,AD3&gt;=SchemeStart),IF(AND(Milestones!$AB$38="FT",Milestones!$AA$38=FT_Y5,AD3&lt;PolicyEff),1,Milestones!$AC$38),0))</f>
        <v>0</v>
      </c>
      <c r="AE5" s="0" t="n">
        <f aca="false">IF(AE3="",0,IF(AND(AE4=Milestones!$AB$39,AE3&gt;=SchemeStart),IF(AND(Milestones!$AB$39="FT",Milestones!$AA$39=FT_Y5,AE3&lt;PolicyEff),1,Milestones!$AC$39),0))</f>
        <v>0</v>
      </c>
      <c r="AF5" s="0" t="n">
        <f aca="false">IF(AF3="",0,IF(AND(AF4=Milestones!$AB$40,AF3&gt;=SchemeStart),IF(AND(Milestones!$AB$40="FT",Milestones!$AA$40=FT_Y5,AF3&lt;PolicyEff),1,Milestones!$AC$40),0))</f>
        <v>0</v>
      </c>
      <c r="AG5" s="0" t="n">
        <f aca="false">IF(AG3="",0,IF(AND(AG4=Milestones!$AB$41,AG3&gt;=SchemeStart),IF(AND(Milestones!$AB$41="FT",Milestones!$AA$41=FT_Y5,AG3&lt;PolicyEff),1,Milestones!$AC$41),0))</f>
        <v>0</v>
      </c>
      <c r="AH5" s="0" t="n">
        <f aca="false">IF(AH3="",0,IF(AND(AH4=Milestones!$AB$42,AH3&gt;=SchemeStart),IF(AND(Milestones!$AB$42="FT",Milestones!$AA$42=FT_Y5,AH3&lt;PolicyEff),1,Milestones!$AC$42),0))</f>
        <v>0</v>
      </c>
      <c r="AI5" s="0" t="n">
        <f aca="false">IF(AI3="",0,IF(AND(AI4=Milestones!$AB$43,AI3&gt;=SchemeStart),IF(AND(Milestones!$AB$43="FT",Milestones!$AA$43=FT_Y5,AI3&lt;PolicyEff),1,Milestones!$AC$43),0))</f>
        <v>0</v>
      </c>
      <c r="AJ5" s="0" t="n">
        <f aca="false">IF(AJ3="",0,IF(AND(AJ4=Milestones!$AB$44,AJ3&gt;=SchemeStart),IF(AND(Milestones!$AB$44="FT",Milestones!$AA$44=FT_Y5,AJ3&lt;PolicyEff),1,Milestones!$AC$44),0))</f>
        <v>0</v>
      </c>
      <c r="AK5" s="0" t="n">
        <f aca="false">IF(AK3="",0,IF(AND(AK4=Milestones!$AB$45,AK3&gt;=SchemeStart),IF(AND(Milestones!$AB$45="FT",Milestones!$AA$45=FT_Y5,AK3&lt;PolicyEff),1,Milestones!$AC$45),0))</f>
        <v>0</v>
      </c>
      <c r="AL5" s="0" t="n">
        <f aca="false">IF(AL3="",0,IF(AND(AL4=Milestones!$AB$46,AL3&gt;=SchemeStart),IF(AND(Milestones!$AB$46="FT",Milestones!$AA$46=FT_Y5,AL3&lt;PolicyEff),1,Milestones!$AC$46),0))</f>
        <v>0</v>
      </c>
      <c r="AM5" s="0" t="n">
        <f aca="false">IF(AM3="",0,IF(AND(AM4=Milestones!$AB$47,AM3&gt;=SchemeStart),IF(AND(Milestones!$AB$47="FT",Milestones!$AA$47=FT_Y5,AM3&lt;PolicyEff),1,Milestones!$AC$47),0))</f>
        <v>0</v>
      </c>
      <c r="AN5" s="0" t="n">
        <f aca="false">IF(AN3="",0,IF(AND(AN4=Milestones!$AB$48,AN3&gt;=SchemeStart),IF(AND(Milestones!$AB$48="FT",Milestones!$AA$48=FT_Y5,AN3&lt;PolicyEff),1,Milestones!$AC$48),0))</f>
        <v>0</v>
      </c>
      <c r="AO5" s="0" t="n">
        <f aca="false">IF(AO3="",0,IF(AND(AO4=Milestones!$AB$49,AO3&gt;=SchemeStart),IF(AND(Milestones!$AB$49="FT",Milestones!$AA$49=FT_Y5,AO3&lt;PolicyEff),1,Milestones!$AC$49),0))</f>
        <v>0</v>
      </c>
      <c r="AP5" s="0" t="n">
        <f aca="false">IF(AP3="",0,IF(AND(AP4=Milestones!$AB$50,AP3&gt;=SchemeStart),IF(AND(Milestones!$AB$50="FT",Milestones!$AA$50=FT_Y5,AP3&lt;PolicyEff),1,Milestones!$AC$50),0))</f>
        <v>0</v>
      </c>
      <c r="AQ5" s="0" t="n">
        <f aca="false">IF(AQ3="",0,IF(AND(AQ4=Milestones!$AB$51,AQ3&gt;=SchemeStart),IF(AND(Milestones!$AB$51="FT",Milestones!$AA$51=FT_Y5,AQ3&lt;PolicyEff),1,Milestones!$AC$51),0))</f>
        <v>0</v>
      </c>
      <c r="AR5" s="0" t="n">
        <f aca="false">IF(AR3="",0,IF(AND(AR4=Milestones!$AB$52,AR3&gt;=SchemeStart),IF(AND(Milestones!$AB$52="FT",Milestones!$AA$52=FT_Y5,AR3&lt;PolicyEff),1,Milestones!$AC$52),0))</f>
        <v>0</v>
      </c>
      <c r="AS5" s="0" t="n">
        <f aca="false">IF(AS3="",0,IF(AND(AS4=Milestones!$AB$53,AS3&gt;=SchemeStart),IF(AND(Milestones!$AB$53="FT",Milestones!$AA$53=FT_Y5,AS3&lt;PolicyEff),1,Milestones!$AC$53),0))</f>
        <v>0</v>
      </c>
      <c r="AT5" s="0" t="n">
        <f aca="false">IF(AT3="",0,IF(AND(AT4=Milestones!$AB$54,AT3&gt;=SchemeStart),IF(AND(Milestones!$AB$54="FT",Milestones!$AA$54=FT_Y5,AT3&lt;PolicyEff),1,Milestones!$AC$54),0))</f>
        <v>0</v>
      </c>
      <c r="AU5" s="0" t="n">
        <f aca="false">IF(AU3="",0,IF(AND(AU4=Milestones!$AB$55,AU3&gt;=SchemeStart),IF(AND(Milestones!$AB$55="FT",Milestones!$AA$55=FT_Y5,AU3&lt;PolicyEff),1,Milestones!$AC$55),0))</f>
        <v>0</v>
      </c>
      <c r="AV5" s="0" t="n">
        <f aca="false">IF(AV3="",0,IF(AND(AV4=Milestones!$AB$56,AV3&gt;=SchemeStart),IF(AND(Milestones!$AB$56="FT",Milestones!$AA$56=FT_Y5,AV3&lt;PolicyEff),1,Milestones!$AC$56),0))</f>
        <v>0</v>
      </c>
      <c r="AW5" s="0" t="n">
        <f aca="false">IF(AW3="",0,IF(AND(AW4=Milestones!$AB$57,AW3&gt;=SchemeStart),IF(AND(Milestones!$AB$57="FT",Milestones!$AA$57=FT_Y5,AW3&lt;PolicyEff),1,Milestones!$AC$57),0))</f>
        <v>0</v>
      </c>
      <c r="AX5" s="0" t="n">
        <f aca="false">IF(AX3="",0,IF(AND(AX4=Milestones!$AB$58,AX3&gt;=SchemeStart),IF(AND(Milestones!$AB$58="FT",Milestones!$AA$58=FT_Y5,AX3&lt;PolicyEff),1,Milestones!$AC$58),0))</f>
        <v>0</v>
      </c>
      <c r="AY5" s="0" t="n">
        <f aca="false">IF(AY3="",0,IF(AND(AY4=Milestones!$AB$59,AY3&gt;=SchemeStart),IF(AND(Milestones!$AB$59="FT",Milestones!$AA$59=FT_Y5,AY3&lt;PolicyEff),1,Milestones!$AC$59),0))</f>
        <v>0</v>
      </c>
      <c r="AZ5" s="0" t="n">
        <f aca="false">IF(AZ3="",0,IF(AND(AZ4=Milestones!$AB$60,AZ3&gt;=SchemeStart),IF(AND(Milestones!$AB$60="FT",Milestones!$AA$60=FT_Y5,AZ3&lt;PolicyEff),1,Milestones!$AC$60),0))</f>
        <v>0</v>
      </c>
      <c r="BA5" s="0" t="n">
        <f aca="false">IF(BA3="",0,IF(AND(BA4=Milestones!$AB$61,BA3&gt;=SchemeStart),IF(AND(Milestones!$AB$61="FT",Milestones!$AA$61=FT_Y5,BA3&lt;PolicyEff),1,Milestones!$AC$61),0))</f>
        <v>0</v>
      </c>
      <c r="BB5" s="0" t="n">
        <f aca="false">IF(BB3="",0,IF(AND(BB4=Milestones!$AB$62,BB3&gt;=SchemeStart),IF(AND(Milestones!$AB$62="FT",Milestones!$AA$62=FT_Y5,BB3&lt;PolicyEff),1,Milestones!$AC$62),0))</f>
        <v>0</v>
      </c>
      <c r="BC5" s="0" t="n">
        <f aca="false">IF(BC3="",0,IF(AND(BC4=Milestones!$AB$63,BC3&gt;=SchemeStart),IF(AND(Milestones!$AB$63="FT",Milestones!$AA$63=FT_Y5,BC3&lt;PolicyEff),1,Milestones!$AC$63),0))</f>
        <v>0</v>
      </c>
      <c r="BD5" s="0" t="n">
        <f aca="false">IF(BD3="",0,IF(AND(BD4=Milestones!$AB$64,BD3&gt;=SchemeStart),IF(AND(Milestones!$AB$64="FT",Milestones!$AA$64=FT_Y5,BD3&lt;PolicyEff),1,Milestones!$AC$64),0))</f>
        <v>0</v>
      </c>
      <c r="BE5" s="0" t="n">
        <f aca="false">IF(BE3="",0,IF(AND(BE4=Milestones!$AB$65,BE3&gt;=SchemeStart),IF(AND(Milestones!$AB$65="FT",Milestones!$AA$65=FT_Y5,BE3&lt;PolicyEff),1,Milestones!$AC$65),0))</f>
        <v>0</v>
      </c>
      <c r="BF5" s="0" t="n">
        <f aca="false">IF(BF3="",0,IF(AND(BF4=Milestones!$AB$66,BF3&gt;=SchemeStart),IF(AND(Milestones!$AB$66="FT",Milestones!$AA$66=FT_Y5,BF3&lt;PolicyEff),1,Milestones!$AC$66),0))</f>
        <v>0</v>
      </c>
      <c r="BG5" s="0" t="n">
        <f aca="false">IF(BG3="",0,IF(AND(BG4=Milestones!$AB$67,BG3&gt;=SchemeStart),IF(AND(Milestones!$AB$67="FT",Milestones!$AA$67=FT_Y5,BG3&lt;PolicyEff),1,Milestones!$AC$67),0))</f>
        <v>0</v>
      </c>
      <c r="BH5" s="0" t="n">
        <f aca="false">IF(BH3="",0,IF(AND(BH4=Milestones!$AB$68,BH3&gt;=SchemeStart),IF(AND(Milestones!$AB$68="FT",Milestones!$AA$68=FT_Y5,BH3&lt;PolicyEff),1,Milestones!$AC$68),0))</f>
        <v>0</v>
      </c>
      <c r="BI5" s="0" t="n">
        <f aca="false">IF(BI3="",0,IF(AND(BI4=Milestones!$AB$69,BI3&gt;=SchemeStart),IF(AND(Milestones!$AB$69="FT",Milestones!$AA$69=FT_Y5,BI3&lt;PolicyEff),1,Milestones!$AC$69),0))</f>
        <v>0</v>
      </c>
      <c r="BJ5" s="0" t="n">
        <f aca="false">IF(BJ3="",0,IF(AND(BJ4=Milestones!$AB$70,BJ3&gt;=SchemeStart),IF(AND(Milestones!$AB$70="FT",Milestones!$AA$70=FT_Y5,BJ3&lt;PolicyEff),1,Milestones!$AC$70),0))</f>
        <v>0</v>
      </c>
      <c r="BK5" s="0" t="n">
        <f aca="false">IF(BK3="",0,IF(AND(BK4=Milestones!$AB$71,BK3&gt;=SchemeStart),IF(AND(Milestones!$AB$71="FT",Milestones!$AA$71=FT_Y5,BK3&lt;PolicyEff),1,Milestones!$AC$71),0))</f>
        <v>0</v>
      </c>
      <c r="BL5" s="0" t="n">
        <f aca="false">IF(BL3="",0,IF(AND(BL4=Milestones!$AB$72,BL3&gt;=SchemeStart),IF(AND(Milestones!$AB$72="FT",Milestones!$AA$72=FT_Y5,BL3&lt;PolicyEff),1,Milestones!$AC$72),0))</f>
        <v>0</v>
      </c>
      <c r="BM5" s="0" t="n">
        <f aca="false">IF(BM3="",0,IF(AND(BM4=Milestones!$AB$73,BM3&gt;=SchemeStart),IF(AND(Milestones!$AB$73="FT",Milestones!$AA$73=FT_Y5,BM3&lt;PolicyEff),1,Milestones!$AC$73),0))</f>
        <v>0</v>
      </c>
      <c r="BN5" s="0" t="n">
        <f aca="false">IF(BN3="",0,IF(AND(BN4=Milestones!$AB$74,BN3&gt;=SchemeStart),IF(AND(Milestones!$AB$74="FT",Milestones!$AA$74=FT_Y5,BN3&lt;PolicyEff),1,Milestones!$AC$74),0))</f>
        <v>0</v>
      </c>
      <c r="BO5" s="0" t="n">
        <f aca="false">IF(BO3="",0,IF(AND(BO4=Milestones!$AB$75,BO3&gt;=SchemeStart),IF(AND(Milestones!$AB$75="FT",Milestones!$AA$75=FT_Y5,BO3&lt;PolicyEff),1,Milestones!$AC$75),0))</f>
        <v>0</v>
      </c>
      <c r="BP5" s="0" t="n">
        <f aca="false">IF(BP3="",0,IF(AND(BP4=Milestones!$AB$76,BP3&gt;=SchemeStart),IF(AND(Milestones!$AB$76="FT",Milestones!$AA$76=FT_Y5,BP3&lt;PolicyEff),1,Milestones!$AC$76),0))</f>
        <v>0</v>
      </c>
      <c r="BQ5" s="0" t="n">
        <f aca="false">IF(BQ3="",0,IF(AND(BQ4=Milestones!$AB$77,BQ3&gt;=SchemeStart),IF(AND(Milestones!$AB$77="FT",Milestones!$AA$77=FT_Y5,BQ3&lt;PolicyEff),1,Milestones!$AC$77),0))</f>
        <v>0</v>
      </c>
      <c r="BR5" s="0" t="n">
        <f aca="false">IF(BR3="",0,IF(AND(BR4=Milestones!$AB$78,BR3&gt;=SchemeStart),IF(AND(Milestones!$AB$78="FT",Milestones!$AA$78=FT_Y5,BR3&lt;PolicyEff),1,Milestones!$AC$78),0))</f>
        <v>0</v>
      </c>
      <c r="BS5" s="0" t="n">
        <f aca="false">IF(BS3="",0,IF(AND(BS4=Milestones!$AB$79,BS3&gt;=SchemeStart),IF(AND(Milestones!$AB$79="FT",Milestones!$AA$79=FT_Y5,BS3&lt;PolicyEff),1,Milestones!$AC$79),0))</f>
        <v>0</v>
      </c>
      <c r="BT5" s="0" t="n">
        <f aca="false">IF(BT3="",0,IF(AND(BT4=Milestones!$AB$80,BT3&gt;=SchemeStart),IF(AND(Milestones!$AB$80="FT",Milestones!$AA$80=FT_Y5,BT3&lt;PolicyEff),1,Milestones!$AC$80),0))</f>
        <v>0</v>
      </c>
      <c r="BU5" s="0" t="n">
        <f aca="false">IF(BU3="",0,IF(AND(BU4=Milestones!$AB$81,BU3&gt;=SchemeStart),IF(AND(Milestones!$AB$81="FT",Milestones!$AA$81=FT_Y5,BU3&lt;PolicyEff),1,Milestones!$AC$81),0))</f>
        <v>0</v>
      </c>
      <c r="BV5" s="0" t="n">
        <f aca="false">IF(BV3="",0,IF(AND(BV4=Milestones!$AB$82,BV3&gt;=SchemeStart),IF(AND(Milestones!$AB$82="FT",Milestones!$AA$82=FT_Y5,BV3&lt;PolicyEff),1,Milestones!$AC$82),0))</f>
        <v>0</v>
      </c>
      <c r="BW5" s="0" t="n">
        <f aca="false">IF(BW3="",0,IF(AND(BW4=Milestones!$AB$83,BW3&gt;=SchemeStart),IF(AND(Milestones!$AB$83="FT",Milestones!$AA$83=FT_Y5,BW3&lt;PolicyEff),1,Milestones!$AC$83),0))</f>
        <v>0</v>
      </c>
      <c r="BX5" s="0" t="n">
        <f aca="false">IF(BX3="",0,IF(AND(BX4=Milestones!$AB$84,BX3&gt;=SchemeStart),IF(AND(Milestones!$AB$84="FT",Milestones!$AA$84=FT_Y5,BX3&lt;PolicyEff),1,Milestones!$AC$84),0))</f>
        <v>0</v>
      </c>
      <c r="BY5" s="0" t="n">
        <f aca="false">IF(BY3="",0,IF(AND(BY4=Milestones!$AB$85,BY3&gt;=SchemeStart),IF(AND(Milestones!$AB$85="FT",Milestones!$AA$85=FT_Y5,BY3&lt;PolicyEff),1,Milestones!$AC$85),0))</f>
        <v>0</v>
      </c>
      <c r="BZ5" s="0" t="n">
        <f aca="false">IF(BZ3="",0,IF(AND(BZ4=Milestones!$AB$86,BZ3&gt;=SchemeStart),IF(AND(Milestones!$AB$86="FT",Milestones!$AA$86=FT_Y5,BZ3&lt;PolicyEff),1,Milestones!$AC$86),0))</f>
        <v>0</v>
      </c>
      <c r="CA5" s="0" t="n">
        <f aca="false">IF(CA3="",0,IF(AND(CA4=Milestones!$AB$87,CA3&gt;=SchemeStart),IF(AND(Milestones!$AB$87="FT",Milestones!$AA$87=FT_Y5,CA3&lt;PolicyEff),1,Milestones!$AC$87),0))</f>
        <v>0</v>
      </c>
      <c r="CB5" s="0" t="n">
        <f aca="false">IF(CB3="",0,IF(AND(CB4=Milestones!$AB$88,CB3&gt;=SchemeStart),IF(AND(Milestones!$AB$88="FT",Milestones!$AA$88=FT_Y5,CB3&lt;PolicyEff),1,Milestones!$AC$88),0))</f>
        <v>0</v>
      </c>
      <c r="CC5" s="0" t="n">
        <f aca="false">IF(CC3="",0,IF(AND(CC4=Milestones!$AB$89,CC3&gt;=SchemeStart),IF(AND(Milestones!$AB$89="FT",Milestones!$AA$89=FT_Y5,CC3&lt;PolicyEff),1,Milestones!$AC$89),0))</f>
        <v>0</v>
      </c>
      <c r="CD5" s="0" t="n">
        <f aca="false">IF(CD3="",0,IF(AND(CD4=Milestones!$AB$90,CD3&gt;=SchemeStart),IF(AND(Milestones!$AB$90="FT",Milestones!$AA$90=FT_Y5,CD3&lt;PolicyEff),1,Milestones!$AC$90),0))</f>
        <v>0</v>
      </c>
      <c r="CE5" s="0" t="n">
        <f aca="false">IF(CE3="",0,IF(AND(CE4=Milestones!$AB$91,CE3&gt;=SchemeStart),IF(AND(Milestones!$AB$91="FT",Milestones!$AA$91=FT_Y5,CE3&lt;PolicyEff),1,Milestones!$AC$91),0))</f>
        <v>0</v>
      </c>
      <c r="CF5" s="0" t="n">
        <f aca="false">IF(CF3="",0,IF(AND(CF4=Milestones!$AB$92,CF3&gt;=SchemeStart),IF(AND(Milestones!$AB$92="FT",Milestones!$AA$92=FT_Y5,CF3&lt;PolicyEff),1,Milestones!$AC$92),0))</f>
        <v>0</v>
      </c>
      <c r="CG5" s="0" t="n">
        <f aca="false">IF(CG3="",0,IF(AND(CG4=Milestones!$AB$93,CG3&gt;=SchemeStart),IF(AND(Milestones!$AB$93="FT",Milestones!$AA$93=FT_Y5,CG3&lt;PolicyEff),1,Milestones!$AC$93),0))</f>
        <v>0</v>
      </c>
      <c r="CH5" s="0" t="n">
        <f aca="false">IF(CH3="",0,IF(AND(CH4=Milestones!$AB$94,CH3&gt;=SchemeStart),IF(AND(Milestones!$AB$94="FT",Milestones!$AA$94=FT_Y5,CH3&lt;PolicyEff),1,Milestones!$AC$94),0))</f>
        <v>0</v>
      </c>
      <c r="CI5" s="0" t="n">
        <f aca="false">IF(CI3="",0,IF(AND(CI4=Milestones!$AB$95,CI3&gt;=SchemeStart),IF(AND(Milestones!$AB$95="FT",Milestones!$AA$95=FT_Y5,CI3&lt;PolicyEff),1,Milestones!$AC$95),0))</f>
        <v>0</v>
      </c>
      <c r="CJ5" s="0" t="n">
        <f aca="false">IF(CJ3="",0,IF(AND(CJ4=Milestones!$AB$96,CJ3&gt;=SchemeStart),IF(AND(Milestones!$AB$96="FT",Milestones!$AA$96=FT_Y5,CJ3&lt;PolicyEff),1,Milestones!$AC$96),0))</f>
        <v>0</v>
      </c>
      <c r="CK5" s="0" t="n">
        <f aca="false">IF(CK3="",0,IF(AND(CK4=Milestones!$AB$97,CK3&gt;=SchemeStart),IF(AND(Milestones!$AB$97="FT",Milestones!$AA$97=FT_Y5,CK3&lt;PolicyEff),1,Milestones!$AC$97),0))</f>
        <v>0</v>
      </c>
      <c r="CL5" s="0" t="n">
        <f aca="false">IF(CL3="",0,IF(AND(CL4=Milestones!$AB$98,CL3&gt;=SchemeStart),IF(AND(Milestones!$AB$98="FT",Milestones!$AA$98=FT_Y5,CL3&lt;PolicyEff),1,Milestones!$AC$98),0))</f>
        <v>0</v>
      </c>
      <c r="CM5" s="0" t="n">
        <f aca="false">IF(CM3="",0,IF(AND(CM4=Milestones!$AB$99,CM3&gt;=SchemeStart),IF(AND(Milestones!$AB$99="FT",Milestones!$AA$99=FT_Y5,CM3&lt;PolicyEff),1,Milestones!$AC$99),0))</f>
        <v>0</v>
      </c>
      <c r="CN5" s="0" t="n">
        <f aca="false">IF(CN3="",0,IF(AND(CN4=Milestones!$AB$100,CN3&gt;=SchemeStart),IF(AND(Milestones!$AB$100="FT",Milestones!$AA$100=FT_Y5,CN3&lt;PolicyEff),1,Milestones!$AC$100),0))</f>
        <v>0</v>
      </c>
      <c r="CO5" s="0" t="n">
        <f aca="false">IF(CO3="",0,IF(AND(CO4=Milestones!$AB$101,CO3&gt;=SchemeStart),IF(AND(Milestones!$AB$101="FT",Milestones!$AA$101=FT_Y5,CO3&lt;PolicyEff),1,Milestones!$AC$101),0))</f>
        <v>0</v>
      </c>
      <c r="CP5" s="0" t="n">
        <f aca="false">IF(CP3="",0,IF(AND(CP4=Milestones!$AB$102,CP3&gt;=SchemeStart),IF(AND(Milestones!$AB$102="FT",Milestones!$AA$102=FT_Y5,CP3&lt;PolicyEff),1,Milestones!$AC$102),0))</f>
        <v>0</v>
      </c>
      <c r="CQ5" s="0" t="n">
        <f aca="false">IF(CQ3="",0,IF(AND(CQ4=Milestones!$AB$103,CQ3&gt;=SchemeStart),IF(AND(Milestones!$AB$103="FT",Milestones!$AA$103=FT_Y5,CQ3&lt;PolicyEff),1,Milestones!$AC$103),0))</f>
        <v>0</v>
      </c>
      <c r="CR5" s="0" t="n">
        <f aca="false">IF(CR3="",0,IF(AND(CR4=Milestones!$AB$104,CR3&gt;=SchemeStart),IF(AND(Milestones!$AB$104="FT",Milestones!$AA$104=FT_Y5,CR3&lt;PolicyEff),1,Milestones!$AC$104),0))</f>
        <v>0</v>
      </c>
      <c r="CS5" s="0" t="n">
        <f aca="false">IF(CS3="",0,IF(AND(CS4=Milestones!$AB$105,CS3&gt;=SchemeStart),IF(AND(Milestones!$AB$105="FT",Milestones!$AA$105=FT_Y5,CS3&lt;PolicyEff),1,Milestones!$AC$105),0))</f>
        <v>0</v>
      </c>
      <c r="CT5" s="0" t="n">
        <f aca="false">IF(CT3="",0,IF(AND(CT4=Milestones!$AB$106,CT3&gt;=SchemeStart),IF(AND(Milestones!$AB$106="FT",Milestones!$AA$106=FT_Y5,CT3&lt;PolicyEff),1,Milestones!$AC$106),0))</f>
        <v>0</v>
      </c>
      <c r="CU5" s="0" t="n">
        <f aca="false">IF(CU3="",0,IF(AND(CU4=Milestones!$AB$107,CU3&gt;=SchemeStart),IF(AND(Milestones!$AB$107="FT",Milestones!$AA$107=FT_Y5,CU3&lt;PolicyEff),1,Milestones!$AC$107),0))</f>
        <v>0</v>
      </c>
      <c r="CV5" s="0" t="n">
        <f aca="false">IF(CV3="",0,IF(AND(CV4=Milestones!$AB$108,CV3&gt;=SchemeStart),IF(AND(Milestones!$AB$108="FT",Milestones!$AA$108=FT_Y5,CV3&lt;PolicyEff),1,Milestones!$AC$108),0))</f>
        <v>0</v>
      </c>
      <c r="CW5" s="0" t="n">
        <f aca="false">IF(CW3="",0,IF(AND(CW4=Milestones!$AB$109,CW3&gt;=SchemeStart),IF(AND(Milestones!$AB$109="FT",Milestones!$AA$109=FT_Y5,CW3&lt;PolicyEff),1,Milestones!$AC$109),0))</f>
        <v>0</v>
      </c>
      <c r="CX5" s="0" t="n">
        <f aca="false">IF(CX3="",0,IF(AND(CX4=Milestones!$AB$110,CX3&gt;=SchemeStart),IF(AND(Milestones!$AB$110="FT",Milestones!$AA$110=FT_Y5,CX3&lt;PolicyEff),1,Milestones!$AC$110),0))</f>
        <v>0</v>
      </c>
      <c r="CY5" s="0" t="n">
        <f aca="false">IF(CY3="",0,IF(AND(CY4=Milestones!$AB$111,CY3&gt;=SchemeStart),IF(AND(Milestones!$AB$111="FT",Milestones!$AA$111=FT_Y5,CY3&lt;PolicyEff),1,Milestones!$AC$111),0))</f>
        <v>0</v>
      </c>
      <c r="CZ5" s="0" t="n">
        <f aca="false">IF(CZ3="",0,IF(AND(CZ4=Milestones!$AB$112,CZ3&gt;=SchemeStart),IF(AND(Milestones!$AB$112="FT",Milestones!$AA$112=FT_Y5,CZ3&lt;PolicyEff),1,Milestones!$AC$112),0))</f>
        <v>0</v>
      </c>
      <c r="DA5" s="0" t="n">
        <f aca="false">IF(DA3="",0,IF(AND(DA4=Milestones!$AB$113,DA3&gt;=SchemeStart),IF(AND(Milestones!$AB$113="FT",Milestones!$AA$113=FT_Y5,DA3&lt;PolicyEff),1,Milestones!$AC$113),0))</f>
        <v>0</v>
      </c>
      <c r="DB5" s="0" t="n">
        <f aca="false">IF(DB3="",0,IF(AND(DB4=Milestones!$AB$114,DB3&gt;=SchemeStart),IF(AND(Milestones!$AB$114="FT",Milestones!$AA$114=FT_Y5,DB3&lt;PolicyEff),1,Milestones!$AC$114),0))</f>
        <v>0</v>
      </c>
      <c r="DC5" s="0" t="n">
        <f aca="false">IF(DC3="",0,IF(AND(DC4=Milestones!$AB$115,DC3&gt;=SchemeStart),IF(AND(Milestones!$AB$115="FT",Milestones!$AA$115=FT_Y5,DC3&lt;PolicyEff),1,Milestones!$AC$115),0))</f>
        <v>0</v>
      </c>
      <c r="DD5" s="0" t="n">
        <f aca="false">IF(DD3="",0,IF(AND(DD4=Milestones!$AB$116,DD3&gt;=SchemeStart),IF(AND(Milestones!$AB$116="FT",Milestones!$AA$116=FT_Y5,DD3&lt;PolicyEff),1,Milestones!$AC$116),0))</f>
        <v>0</v>
      </c>
      <c r="DE5" s="0" t="n">
        <f aca="false">IF(DE3="",0,IF(AND(DE4=Milestones!$AB$117,DE3&gt;=SchemeStart),IF(AND(Milestones!$AB$117="FT",Milestones!$AA$117=FT_Y5,DE3&lt;PolicyEff),1,Milestones!$AC$117),0))</f>
        <v>0</v>
      </c>
      <c r="DF5" s="0" t="n">
        <f aca="false">IF(DF3="",0,IF(AND(DF4=Milestones!$AB$118,DF3&gt;=SchemeStart),IF(AND(Milestones!$AB$118="FT",Milestones!$AA$118=FT_Y5,DF3&lt;PolicyEff),1,Milestones!$AC$118),0))</f>
        <v>0</v>
      </c>
      <c r="DG5" s="0" t="n">
        <f aca="false">IF(DG3="",0,IF(AND(DG4=Milestones!$AB$119,DG3&gt;=SchemeStart),IF(AND(Milestones!$AB$119="FT",Milestones!$AA$119=FT_Y5,DG3&lt;PolicyEff),1,Milestones!$AC$119),0))</f>
        <v>0</v>
      </c>
      <c r="DH5" s="0" t="n">
        <f aca="false">IF(DH3="",0,IF(AND(DH4=Milestones!$AB$120,DH3&gt;=SchemeStart),IF(AND(Milestones!$AB$120="FT",Milestones!$AA$120=FT_Y5,DH3&lt;PolicyEff),1,Milestones!$AC$120),0))</f>
        <v>0</v>
      </c>
      <c r="DI5" s="0" t="n">
        <f aca="false">IF(DI3="",0,IF(AND(DI4=Milestones!$AB$121,DI3&gt;=SchemeStart),IF(AND(Milestones!$AB$121="FT",Milestones!$AA$121=FT_Y5,DI3&lt;PolicyEff),1,Milestones!$AC$121),0))</f>
        <v>0</v>
      </c>
      <c r="DJ5" s="0" t="n">
        <f aca="false">IF(DJ3="",0,IF(AND(DJ4=Milestones!$AB$122,DJ3&gt;=SchemeStart),IF(AND(Milestones!$AB$122="FT",Milestones!$AA$122=FT_Y5,DJ3&lt;PolicyEff),1,Milestones!$AC$122),0))</f>
        <v>0</v>
      </c>
      <c r="DK5" s="0" t="n">
        <f aca="false">IF(DK3="",0,IF(AND(DK4=Milestones!$AB$123,DK3&gt;=SchemeStart),IF(AND(Milestones!$AB$123="FT",Milestones!$AA$123=FT_Y5,DK3&lt;PolicyEff),1,Milestones!$AC$123),0))</f>
        <v>0</v>
      </c>
      <c r="DL5" s="0" t="n">
        <f aca="false">IF(DL3="",0,IF(AND(DL4=Milestones!$AB$124,DL3&gt;=SchemeStart),IF(AND(Milestones!$AB$124="FT",Milestones!$AA$124=FT_Y5,DL3&lt;PolicyEff),1,Milestones!$AC$124),0))</f>
        <v>0</v>
      </c>
      <c r="DM5" s="0" t="n">
        <f aca="false">IF(DM3="",0,IF(AND(DM4=Milestones!$AB$125,DM3&gt;=SchemeStart),IF(AND(Milestones!$AB$125="FT",Milestones!$AA$125=FT_Y5,DM3&lt;PolicyEff),1,Milestones!$AC$125),0))</f>
        <v>0</v>
      </c>
      <c r="DN5" s="0" t="n">
        <f aca="false">IF(DN3="",0,IF(AND(DN4=Milestones!$AB$126,DN3&gt;=SchemeStart),IF(AND(Milestones!$AB$126="FT",Milestones!$AA$126=FT_Y5,DN3&lt;PolicyEff),1,Milestones!$AC$126),0))</f>
        <v>0</v>
      </c>
      <c r="DO5" s="0" t="n">
        <f aca="false">IF(DO3="",0,IF(AND(DO4=Milestones!$AB$127,DO3&gt;=SchemeStart),IF(AND(Milestones!$AB$127="FT",Milestones!$AA$127=FT_Y5,DO3&lt;PolicyEff),1,Milestones!$AC$127),0))</f>
        <v>0</v>
      </c>
      <c r="DP5" s="0" t="n">
        <f aca="false">IF(DP3="",0,IF(AND(DP4=Milestones!$AB$128,DP3&gt;=SchemeStart),IF(AND(Milestones!$AB$128="FT",Milestones!$AA$128=FT_Y5,DP3&lt;PolicyEff),1,Milestones!$AC$128),0))</f>
        <v>0</v>
      </c>
      <c r="DQ5" s="0" t="n">
        <f aca="false">IF(DQ3="",0,IF(AND(DQ4=Milestones!$AB$129,DQ3&gt;=SchemeStart),IF(AND(Milestones!$AB$129="FT",Milestones!$AA$129=FT_Y5,DQ3&lt;PolicyEff),1,Milestones!$AC$129),0))</f>
        <v>0</v>
      </c>
      <c r="DR5" s="0" t="n">
        <f aca="false">IF(DR3="",0,IF(AND(DR4=Milestones!$AB$130,DR3&gt;=SchemeStart),IF(AND(Milestones!$AB$130="FT",Milestones!$AA$130=FT_Y5,DR3&lt;PolicyEff),1,Milestones!$AC$130),0))</f>
        <v>0</v>
      </c>
      <c r="DS5" s="0" t="n">
        <f aca="false">IF(DS3="",0,IF(AND(DS4=Milestones!$AB$131,DS3&gt;=SchemeStart),IF(AND(Milestones!$AB$131="FT",Milestones!$AA$131=FT_Y5,DS3&lt;PolicyEff),1,Milestones!$AC$131),0))</f>
        <v>0</v>
      </c>
      <c r="DT5" s="0" t="n">
        <f aca="false">IF(DT3="",0,IF(AND(DT4=Milestones!$AB$132,DT3&gt;=SchemeStart),IF(AND(Milestones!$AB$132="FT",Milestones!$AA$132=FT_Y5,DT3&lt;PolicyEff),1,Milestones!$AC$132),0))</f>
        <v>0</v>
      </c>
      <c r="DU5" s="0" t="n">
        <f aca="false">IF(DU3="",0,IF(AND(DU4=Milestones!$AB$133,DU3&gt;=SchemeStart),IF(AND(Milestones!$AB$133="FT",Milestones!$AA$133=FT_Y5,DU3&lt;PolicyEff),1,Milestones!$AC$133),0))</f>
        <v>0</v>
      </c>
      <c r="DV5" s="0" t="n">
        <f aca="false">IF(DV3="",0,IF(AND(DV4=Milestones!$AB$134,DV3&gt;=SchemeStart),IF(AND(Milestones!$AB$134="FT",Milestones!$AA$134=FT_Y5,DV3&lt;PolicyEff),1,Milestones!$AC$134),0))</f>
        <v>0</v>
      </c>
      <c r="DW5" s="0" t="n">
        <f aca="false">IF(DW3="",0,IF(AND(DW4=Milestones!$AB$135,DW3&gt;=SchemeStart),IF(AND(Milestones!$AB$135="FT",Milestones!$AA$135=FT_Y5,DW3&lt;PolicyEff),1,Milestones!$AC$135),0))</f>
        <v>0</v>
      </c>
      <c r="DX5" s="0" t="n">
        <f aca="false">IF(DX3="",0,IF(AND(DX4=Milestones!$AB$136,DX3&gt;=SchemeStart),IF(AND(Milestones!$AB$136="FT",Milestones!$AA$136=FT_Y5,DX3&lt;PolicyEff),1,Milestones!$AC$136),0))</f>
        <v>0</v>
      </c>
      <c r="DY5" s="0" t="n">
        <f aca="false">IF(DY3="",0,IF(AND(DY4=Milestones!$AB$137,DY3&gt;=SchemeStart),IF(AND(Milestones!$AB$137="FT",Milestones!$AA$137=FT_Y5,DY3&lt;PolicyEff),1,Milestones!$AC$137),0))</f>
        <v>0</v>
      </c>
      <c r="DZ5" s="0" t="n">
        <f aca="false">IF(DZ3="",0,IF(AND(DZ4=Milestones!$AB$138,DZ3&gt;=SchemeStart),IF(AND(Milestones!$AB$138="FT",Milestones!$AA$138=FT_Y5,DZ3&lt;PolicyEff),1,Milestones!$AC$138),0))</f>
        <v>0</v>
      </c>
      <c r="EA5" s="0" t="n">
        <f aca="false">IF(EA3="",0,IF(AND(EA4=Milestones!$AB$139,EA3&gt;=SchemeStart),IF(AND(Milestones!$AB$139="FT",Milestones!$AA$139=FT_Y5,EA3&lt;PolicyEff),1,Milestones!$AC$139),0))</f>
        <v>0</v>
      </c>
      <c r="EB5" s="0" t="n">
        <f aca="false">IF(EB3="",0,IF(AND(EB4=Milestones!$AB$140,EB3&gt;=SchemeStart),IF(AND(Milestones!$AB$140="FT",Milestones!$AA$140=FT_Y5,EB3&lt;PolicyEff),1,Milestones!$AC$140),0))</f>
        <v>0</v>
      </c>
      <c r="EC5" s="0" t="n">
        <f aca="false">IF(EC3="",0,IF(AND(EC4=Milestones!$AB$141,EC3&gt;=SchemeStart),IF(AND(Milestones!$AB$141="FT",Milestones!$AA$141=FT_Y5,EC3&lt;PolicyEff),1,Milestones!$AC$141),0))</f>
        <v>0</v>
      </c>
      <c r="ED5" s="0" t="n">
        <f aca="false">IF(ED3="",0,IF(AND(ED4=Milestones!$AB$142,ED3&gt;=SchemeStart),IF(AND(Milestones!$AB$142="FT",Milestones!$AA$142=FT_Y5,ED3&lt;PolicyEff),1,Milestones!$AC$142),0))</f>
        <v>0</v>
      </c>
      <c r="EE5" s="0" t="n">
        <f aca="false">IF(EE3="",0,IF(AND(EE4=Milestones!$AB$143,EE3&gt;=SchemeStart),IF(AND(Milestones!$AB$143="FT",Milestones!$AA$143=FT_Y5,EE3&lt;PolicyEff),1,Milestones!$AC$143),0))</f>
        <v>0</v>
      </c>
      <c r="EF5" s="0" t="n">
        <f aca="false">IF(EF3="",0,IF(AND(EF4=Milestones!$AB$144,EF3&gt;=SchemeStart),IF(AND(Milestones!$AB$144="FT",Milestones!$AA$144=FT_Y5,EF3&lt;PolicyEff),1,Milestones!$AC$144),0))</f>
        <v>0</v>
      </c>
      <c r="EG5" s="0" t="n">
        <f aca="false">IF(EG3="",0,IF(AND(EG4=Milestones!$AB$145,EG3&gt;=SchemeStart),IF(AND(Milestones!$AB$145="FT",Milestones!$AA$145=FT_Y5,EG3&lt;PolicyEff),1,Milestones!$AC$145),0))</f>
        <v>0</v>
      </c>
      <c r="EH5" s="0" t="n">
        <f aca="false">IF(EH3="",0,IF(AND(EH4=Milestones!$AB$146,EH3&gt;=SchemeStart),IF(AND(Milestones!$AB$146="FT",Milestones!$AA$146=FT_Y5,EH3&lt;PolicyEff),1,Milestones!$AC$146),0))</f>
        <v>0</v>
      </c>
      <c r="EI5" s="0" t="n">
        <f aca="false">IF(EI3="",0,IF(AND(EI4=Milestones!$AB$147,EI3&gt;=SchemeStart),IF(AND(Milestones!$AB$147="FT",Milestones!$AA$147=FT_Y5,EI3&lt;PolicyEff),1,Milestones!$AC$147),0))</f>
        <v>0</v>
      </c>
      <c r="EJ5" s="0" t="n">
        <f aca="false">IF(EJ3="",0,IF(AND(EJ4=Milestones!$AB$148,EJ3&gt;=SchemeStart),IF(AND(Milestones!$AB$148="FT",Milestones!$AA$148=FT_Y5,EJ3&lt;PolicyEff),1,Milestones!$AC$148),0))</f>
        <v>0</v>
      </c>
      <c r="EK5" s="0" t="n">
        <f aca="false">IF(EK3="",0,IF(AND(EK4=Milestones!$AB$149,EK3&gt;=SchemeStart),IF(AND(Milestones!$AB$149="FT",Milestones!$AA$149=FT_Y5,EK3&lt;PolicyEff),1,Milestones!$AC$149),0))</f>
        <v>0</v>
      </c>
      <c r="EL5" s="0" t="n">
        <f aca="false">IF(EL3="",0,IF(AND(EL4=Milestones!$AB$150,EL3&gt;=SchemeStart),IF(AND(Milestones!$AB$150="FT",Milestones!$AA$150=FT_Y5,EL3&lt;PolicyEff),1,Milestones!$AC$150),0))</f>
        <v>0</v>
      </c>
      <c r="EM5" s="0" t="n">
        <f aca="false">IF(EM3="",0,IF(AND(EM4=Milestones!$AB$151,EM3&gt;=SchemeStart),IF(AND(Milestones!$AB$151="FT",Milestones!$AA$151=FT_Y5,EM3&lt;PolicyEff),1,Milestones!$AC$151),0))</f>
        <v>0</v>
      </c>
      <c r="EN5" s="0" t="n">
        <f aca="false">IF(EN3="",0,IF(AND(EN4=Milestones!$AB$152,EN3&gt;=SchemeStart),IF(AND(Milestones!$AB$152="FT",Milestones!$AA$152=FT_Y5,EN3&lt;PolicyEff),1,Milestones!$AC$152),0))</f>
        <v>0</v>
      </c>
      <c r="EO5" s="0" t="n">
        <f aca="false">IF(EO3="",0,IF(AND(EO4=Milestones!$AB$153,EO3&gt;=SchemeStart),IF(AND(Milestones!$AB$153="FT",Milestones!$AA$153=FT_Y5,EO3&lt;PolicyEff),1,Milestones!$AC$153),0))</f>
        <v>0</v>
      </c>
      <c r="EP5" s="0" t="n">
        <f aca="false">IF(EP3="",0,IF(AND(EP4=Milestones!$AB$154,EP3&gt;=SchemeStart),IF(AND(Milestones!$AB$154="FT",Milestones!$AA$154=FT_Y5,EP3&lt;PolicyEff),1,Milestones!$AC$154),0))</f>
        <v>0</v>
      </c>
      <c r="EQ5" s="0" t="n">
        <f aca="false">IF(EQ3="",0,IF(AND(EQ4=Milestones!$AB$155,EQ3&gt;=SchemeStart),IF(AND(Milestones!$AB$155="FT",Milestones!$AA$155=FT_Y5,EQ3&lt;PolicyEff),1,Milestones!$AC$155),0))</f>
        <v>0</v>
      </c>
      <c r="ER5" s="0" t="n">
        <f aca="false">IF(ER3="",0,IF(AND(ER4=Milestones!$AB$156,ER3&gt;=SchemeStart),IF(AND(Milestones!$AB$156="FT",Milestones!$AA$156=FT_Y5,ER3&lt;PolicyEff),1,Milestones!$AC$156),0))</f>
        <v>0</v>
      </c>
      <c r="ES5" s="0" t="n">
        <f aca="false">IF(ES3="",0,IF(AND(ES4=Milestones!$AB$157,ES3&gt;=SchemeStart),IF(AND(Milestones!$AB$157="FT",Milestones!$AA$157=FT_Y5,ES3&lt;PolicyEff),1,Milestones!$AC$157),0))</f>
        <v>0</v>
      </c>
      <c r="ET5" s="0" t="n">
        <f aca="false">IF(ET3="",0,IF(AND(ET4=Milestones!$AB$158,ET3&gt;=SchemeStart),IF(AND(Milestones!$AB$158="FT",Milestones!$AA$158=FT_Y5,ET3&lt;PolicyEff),1,Milestones!$AC$158),0))</f>
        <v>0</v>
      </c>
      <c r="EU5" s="0" t="n">
        <f aca="false">IF(EU3="",0,IF(AND(EU4=Milestones!$AB$159,EU3&gt;=SchemeStart),IF(AND(Milestones!$AB$159="FT",Milestones!$AA$159=FT_Y5,EU3&lt;PolicyEff),1,Milestones!$AC$159),0))</f>
        <v>0</v>
      </c>
      <c r="EV5" s="0" t="n">
        <f aca="false">IF(EV3="",0,IF(AND(EV4=Milestones!$AB$160,EV3&gt;=SchemeStart),IF(AND(Milestones!$AB$160="FT",Milestones!$AA$160=FT_Y5,EV3&lt;PolicyEff),1,Milestones!$AC$160),0))</f>
        <v>0</v>
      </c>
      <c r="EW5" s="0" t="n">
        <f aca="false">IF(EW3="",0,IF(AND(EW4=Milestones!$AB$161,EW3&gt;=SchemeStart),IF(AND(Milestones!$AB$161="FT",Milestones!$AA$161=FT_Y5,EW3&lt;PolicyEff),1,Milestones!$AC$161),0))</f>
        <v>0</v>
      </c>
      <c r="EX5" s="0" t="n">
        <f aca="false">IF(EX3="",0,IF(AND(EX4=Milestones!$AB$162,EX3&gt;=SchemeStart),IF(AND(Milestones!$AB$162="FT",Milestones!$AA$162=FT_Y5,EX3&lt;PolicyEff),1,Milestones!$AC$162),0))</f>
        <v>0</v>
      </c>
      <c r="EY5" s="0" t="n">
        <f aca="false">IF(EY3="",0,IF(AND(EY4=Milestones!$AB$163,EY3&gt;=SchemeStart),IF(AND(Milestones!$AB$163="FT",Milestones!$AA$163=FT_Y5,EY3&lt;PolicyEff),1,Milestones!$AC$163),0))</f>
        <v>0</v>
      </c>
      <c r="EZ5" s="0" t="n">
        <f aca="false">IF(EZ3="",0,IF(AND(EZ4=Milestones!$AB$164,EZ3&gt;=SchemeStart),IF(AND(Milestones!$AB$164="FT",Milestones!$AA$164=FT_Y5,EZ3&lt;PolicyEff),1,Milestones!$AC$164),0))</f>
        <v>0</v>
      </c>
      <c r="FA5" s="0" t="n">
        <f aca="false">IF(FA3="",0,IF(AND(FA4=Milestones!$AB$165,FA3&gt;=SchemeStart),IF(AND(Milestones!$AB$165="FT",Milestones!$AA$165=FT_Y5,FA3&lt;PolicyEff),1,Milestones!$AC$165),0))</f>
        <v>0</v>
      </c>
      <c r="FB5" s="0" t="n">
        <f aca="false">IF(FB3="",0,IF(AND(FB4=Milestones!$AB$166,FB3&gt;=SchemeStart),IF(AND(Milestones!$AB$166="FT",Milestones!$AA$166=FT_Y5,FB3&lt;PolicyEff),1,Milestones!$AC$166),0))</f>
        <v>0</v>
      </c>
      <c r="FC5" s="0" t="n">
        <f aca="false">IF(FC3="",0,IF(AND(FC4=Milestones!$AB$167,FC3&gt;=SchemeStart),IF(AND(Milestones!$AB$167="FT",Milestones!$AA$167=FT_Y5,FC3&lt;PolicyEff),1,Milestones!$AC$167),0))</f>
        <v>0</v>
      </c>
      <c r="FD5" s="0" t="n">
        <f aca="false">IF(FD3="",0,IF(AND(FD4=Milestones!$AB$168,FD3&gt;=SchemeStart),IF(AND(Milestones!$AB$168="FT",Milestones!$AA$168=FT_Y5,FD3&lt;PolicyEff),1,Milestones!$AC$168),0))</f>
        <v>0</v>
      </c>
      <c r="FE5" s="0" t="n">
        <f aca="false">IF(FE3="",0,IF(AND(FE4=Milestones!$AB$169,FE3&gt;=SchemeStart),IF(AND(Milestones!$AB$169="FT",Milestones!$AA$169=FT_Y5,FE3&lt;PolicyEff),1,Milestones!$AC$169),0))</f>
        <v>0</v>
      </c>
      <c r="FF5" s="0" t="n">
        <f aca="false">IF(FF3="",0,IF(AND(FF4=Milestones!$AB$170,FF3&gt;=SchemeStart),IF(AND(Milestones!$AB$170="FT",Milestones!$AA$170=FT_Y5,FF3&lt;PolicyEff),1,Milestones!$AC$170),0))</f>
        <v>0</v>
      </c>
      <c r="FG5" s="0" t="n">
        <f aca="false">IF(FG3="",0,IF(AND(FG4=Milestones!$AB$171,FG3&gt;=SchemeStart),IF(AND(Milestones!$AB$171="FT",Milestones!$AA$171=FT_Y5,FG3&lt;PolicyEff),1,Milestones!$AC$171),0))</f>
        <v>0</v>
      </c>
      <c r="FH5" s="0" t="n">
        <f aca="false">IF(FH3="",0,IF(AND(FH4=Milestones!$AB$172,FH3&gt;=SchemeStart),IF(AND(Milestones!$AB$172="FT",Milestones!$AA$172=FT_Y5,FH3&lt;PolicyEff),1,Milestones!$AC$172),0))</f>
        <v>0</v>
      </c>
      <c r="FI5" s="0" t="n">
        <f aca="false">IF(FI3="",0,IF(AND(FI4=Milestones!$AB$173,FI3&gt;=SchemeStart),IF(AND(Milestones!$AB$173="FT",Milestones!$AA$173=FT_Y5,FI3&lt;PolicyEff),1,Milestones!$AC$173),0))</f>
        <v>0</v>
      </c>
      <c r="FJ5" s="0" t="n">
        <f aca="false">IF(FJ3="",0,IF(AND(FJ4=Milestones!$AB$174,FJ3&gt;=SchemeStart),IF(AND(Milestones!$AB$174="FT",Milestones!$AA$174=FT_Y5,FJ3&lt;PolicyEff),1,Milestones!$AC$174),0))</f>
        <v>0</v>
      </c>
      <c r="FK5" s="0" t="n">
        <f aca="false">IF(FK3="",0,IF(AND(FK4=Milestones!$AB$175,FK3&gt;=SchemeStart),IF(AND(Milestones!$AB$175="FT",Milestones!$AA$175=FT_Y5,FK3&lt;PolicyEff),1,Milestones!$AC$175),0))</f>
        <v>0</v>
      </c>
      <c r="FL5" s="0" t="n">
        <f aca="false">IF(FL3="",0,IF(AND(FL4=Milestones!$AB$176,FL3&gt;=SchemeStart),IF(AND(Milestones!$AB$176="FT",Milestones!$AA$176=FT_Y5,FL3&lt;PolicyEff),1,Milestones!$AC$176),0))</f>
        <v>0</v>
      </c>
      <c r="FM5" s="0" t="n">
        <f aca="false">IF(FM3="",0,IF(AND(FM4=Milestones!$AB$177,FM3&gt;=SchemeStart),IF(AND(Milestones!$AB$177="FT",Milestones!$AA$177=FT_Y5,FM3&lt;PolicyEff),1,Milestones!$AC$177),0))</f>
        <v>0</v>
      </c>
      <c r="FN5" s="0" t="n">
        <f aca="false">IF(FN3="",0,IF(AND(FN4=Milestones!$AB$178,FN3&gt;=SchemeStart),IF(AND(Milestones!$AB$178="FT",Milestones!$AA$178=FT_Y5,FN3&lt;PolicyEff),1,Milestones!$AC$178),0))</f>
        <v>0</v>
      </c>
      <c r="FO5" s="0" t="n">
        <f aca="false">IF(FO3="",0,IF(AND(FO4=Milestones!$AB$179,FO3&gt;=SchemeStart),IF(AND(Milestones!$AB$179="FT",Milestones!$AA$179=FT_Y5,FO3&lt;PolicyEff),1,Milestones!$AC$179),0))</f>
        <v>0</v>
      </c>
      <c r="FP5" s="0" t="n">
        <f aca="false">IF(FP3="",0,IF(AND(FP4=Milestones!$AB$180,FP3&gt;=SchemeStart),IF(AND(Milestones!$AB$180="FT",Milestones!$AA$180=FT_Y5,FP3&lt;PolicyEff),1,Milestones!$AC$180),0))</f>
        <v>0</v>
      </c>
      <c r="FQ5" s="0" t="n">
        <f aca="false">IF(FQ3="",0,IF(AND(FQ4=Milestones!$AB$181,FQ3&gt;=SchemeStart),IF(AND(Milestones!$AB$181="FT",Milestones!$AA$181=FT_Y5,FQ3&lt;PolicyEff),1,Milestones!$AC$181),0))</f>
        <v>0</v>
      </c>
      <c r="FR5" s="0" t="n">
        <f aca="false">IF(FR3="",0,IF(AND(FR4=Milestones!$AB$182,FR3&gt;=SchemeStart),IF(AND(Milestones!$AB$182="FT",Milestones!$AA$182=FT_Y5,FR3&lt;PolicyEff),1,Milestones!$AC$182),0))</f>
        <v>0</v>
      </c>
      <c r="FS5" s="0" t="n">
        <f aca="false">IF(FS3="",0,IF(AND(FS4=Milestones!$AB$183,FS3&gt;=SchemeStart),IF(AND(Milestones!$AB$183="FT",Milestones!$AA$183=FT_Y5,FS3&lt;PolicyEff),1,Milestones!$AC$183),0))</f>
        <v>0</v>
      </c>
      <c r="FT5" s="0" t="n">
        <f aca="false">IF(FT3="",0,IF(AND(FT4=Milestones!$AB$184,FT3&gt;=SchemeStart),IF(AND(Milestones!$AB$184="FT",Milestones!$AA$184=FT_Y5,FT3&lt;PolicyEff),1,Milestones!$AC$184),0))</f>
        <v>0</v>
      </c>
      <c r="FU5" s="0" t="n">
        <f aca="false">IF(FU3="",0,IF(AND(FU4=Milestones!$AB$185,FU3&gt;=SchemeStart),IF(AND(Milestones!$AB$185="FT",Milestones!$AA$185=FT_Y5,FU3&lt;PolicyEff),1,Milestones!$AC$185),0))</f>
        <v>0</v>
      </c>
      <c r="FV5" s="0" t="n">
        <f aca="false">IF(FV3="",0,IF(AND(FV4=Milestones!$AB$186,FV3&gt;=SchemeStart),IF(AND(Milestones!$AB$186="FT",Milestones!$AA$186=FT_Y5,FV3&lt;PolicyEff),1,Milestones!$AC$186),0))</f>
        <v>0</v>
      </c>
      <c r="FW5" s="0" t="n">
        <f aca="false">IF(FW3="",0,IF(AND(FW4=Milestones!$AB$187,FW3&gt;=SchemeStart),IF(AND(Milestones!$AB$187="FT",Milestones!$AA$187=FT_Y5,FW3&lt;PolicyEff),1,Milestones!$AC$187),0))</f>
        <v>0</v>
      </c>
      <c r="FX5" s="0" t="n">
        <f aca="false">IF(FX3="",0,IF(AND(FX4=Milestones!$AB$188,FX3&gt;=SchemeStart),IF(AND(Milestones!$AB$188="FT",Milestones!$AA$188=FT_Y5,FX3&lt;PolicyEff),1,Milestones!$AC$188),0))</f>
        <v>0</v>
      </c>
      <c r="FY5" s="0" t="n">
        <f aca="false">IF(FY3="",0,IF(AND(FY4=Milestones!$AB$189,FY3&gt;=SchemeStart),IF(AND(Milestones!$AB$189="FT",Milestones!$AA$189=FT_Y5,FY3&lt;PolicyEff),1,Milestones!$AC$189),0))</f>
        <v>0</v>
      </c>
      <c r="FZ5" s="0" t="n">
        <f aca="false">IF(FZ3="",0,IF(AND(FZ4=Milestones!$AB$190,FZ3&gt;=SchemeStart),IF(AND(Milestones!$AB$190="FT",Milestones!$AA$190=FT_Y5,FZ3&lt;PolicyEff),1,Milestones!$AC$190),0))</f>
        <v>0</v>
      </c>
      <c r="GA5" s="0" t="n">
        <f aca="false">IF(GA3="",0,IF(AND(GA4=Milestones!$AB$191,GA3&gt;=SchemeStart),IF(AND(Milestones!$AB$191="FT",Milestones!$AA$191=FT_Y5,GA3&lt;PolicyEff),1,Milestones!$AC$191),0))</f>
        <v>0</v>
      </c>
      <c r="GB5" s="0" t="n">
        <f aca="false">IF(GB3="",0,IF(AND(GB4=Milestones!$AB$192,GB3&gt;=SchemeStart),IF(AND(Milestones!$AB$192="FT",Milestones!$AA$192=FT_Y5,GB3&lt;PolicyEff),1,Milestones!$AC$192),0))</f>
        <v>0</v>
      </c>
      <c r="GC5" s="0" t="n">
        <f aca="false">IF(GC3="",0,IF(AND(GC4=Milestones!$AB$193,GC3&gt;=SchemeStart),IF(AND(Milestones!$AB$193="FT",Milestones!$AA$193=FT_Y5,GC3&lt;PolicyEff),1,Milestones!$AC$193),0))</f>
        <v>0</v>
      </c>
      <c r="GD5" s="0" t="n">
        <f aca="false">IF(GD3="",0,IF(AND(GD4=Milestones!$AB$194,GD3&gt;=SchemeStart),IF(AND(Milestones!$AB$194="FT",Milestones!$AA$194=FT_Y5,GD3&lt;PolicyEff),1,Milestones!$AC$194),0))</f>
        <v>0</v>
      </c>
      <c r="GE5" s="0" t="n">
        <f aca="false">IF(GE3="",0,IF(AND(GE4=Milestones!$AB$195,GE3&gt;=SchemeStart),IF(AND(Milestones!$AB$195="FT",Milestones!$AA$195=FT_Y5,GE3&lt;PolicyEff),1,Milestones!$AC$195),0))</f>
        <v>0</v>
      </c>
      <c r="GF5" s="0" t="n">
        <f aca="false">IF(GF3="",0,IF(AND(GF4=Milestones!$AB$196,GF3&gt;=SchemeStart),IF(AND(Milestones!$AB$196="FT",Milestones!$AA$196=FT_Y5,GF3&lt;PolicyEff),1,Milestones!$AC$196),0))</f>
        <v>0</v>
      </c>
      <c r="GG5" s="0" t="n">
        <f aca="false">IF(GG3="",0,IF(AND(GG4=Milestones!$AB$197,GG3&gt;=SchemeStart),IF(AND(Milestones!$AB$197="FT",Milestones!$AA$197=FT_Y5,GG3&lt;PolicyEff),1,Milestones!$AC$197),0))</f>
        <v>0</v>
      </c>
      <c r="GH5" s="0" t="n">
        <f aca="false">IF(GH3="",0,IF(AND(GH4=Milestones!$AB$198,GH3&gt;=SchemeStart),IF(AND(Milestones!$AB$198="FT",Milestones!$AA$198=FT_Y5,GH3&lt;PolicyEff),1,Milestones!$AC$198),0))</f>
        <v>0</v>
      </c>
      <c r="GI5" s="0" t="n">
        <f aca="false">IF(GI3="",0,IF(AND(GI4=Milestones!$AB$199,GI3&gt;=SchemeStart),IF(AND(Milestones!$AB$199="FT",Milestones!$AA$199=FT_Y5,GI3&lt;PolicyEff),1,Milestones!$AC$199),0))</f>
        <v>0</v>
      </c>
    </row>
    <row r="6" customFormat="false" ht="15" hidden="false" customHeight="false" outlineLevel="0" collapsed="false">
      <c r="A6" s="0" t="str">
        <f aca="false">IF('HR Tally Check'!C$7="","",'HR Tally Check'!C$7)</f>
        <v/>
      </c>
      <c r="B6" s="0" t="str">
        <f aca="false">IF(A6="","",ISNUMBER(MATCH(A6,Staff!$BR$5:$BR$154,0)))</f>
        <v/>
      </c>
      <c r="C6" s="20" t="str">
        <f aca="false">IF(B6&lt;&gt;TRUE(),"",INDEX(Staff!$AL$5:$AL$154,MATCH($A6,Staff!$BR$5:$BR$154,0)))</f>
        <v/>
      </c>
      <c r="D6" s="0" t="str">
        <f aca="false">IF(B6&lt;&gt;TRUE(),"",INDEX(Staff!$AM$5:$AM$154,MATCH($A6,Staff!$BR$5:$BR$154,0)))</f>
        <v/>
      </c>
      <c r="E6" s="20" t="str">
        <f aca="false">IF(B6&lt;&gt;TRUE(),"",INDEX(Staff!$AO$5:$AO$154,MATCH($A6,Staff!$BR$5:$BR$154,0)))</f>
        <v/>
      </c>
      <c r="F6" s="20" t="str">
        <f aca="false">IF(B6&lt;&gt;TRUE(),"",INDEX(Staff!$AP$5:$AP$154,MATCH($A6,Staff!$BR$5:$BR$154,0)))</f>
        <v/>
      </c>
      <c r="G6" s="0" t="str">
        <f aca="false">IF(B6&lt;&gt;TRUE(),"",INDEX(Staff!$AT$5:$AT$154,MATCH($A6,Staff!$BR$5:$BR$154,0)))</f>
        <v/>
      </c>
      <c r="H6" s="0" t="str">
        <f aca="false">IF(B6&lt;&gt;TRUE(),"",INDEX(Staff!$AU$5:$AU$154,MATCH($A6,Staff!$BR$5:$BR$154,0)))</f>
        <v/>
      </c>
      <c r="I6" s="0" t="str">
        <f aca="false">IF(B6&lt;&gt;TRUE(),"",INDEX(Staff!$AV$5:$AV$154,MATCH($A6,Staff!$BR$5:$BR$154,0)))</f>
        <v/>
      </c>
      <c r="J6" s="0" t="str">
        <f aca="false">IF(B6&lt;&gt;TRUE(),"",INDEX(Staff!$AW$5:$AW$154,MATCH($A6,Staff!$BR$5:$BR$154,0)))</f>
        <v/>
      </c>
      <c r="K6" s="33" t="s">
        <v>262</v>
      </c>
      <c r="L6" s="20" t="str">
        <f aca="false">IF($C6="","",EDATE($C6,Milestones!$AA$20))</f>
        <v/>
      </c>
      <c r="M6" s="20" t="str">
        <f aca="false">IF($C6="","",EDATE($C6,Milestones!$AA$21))</f>
        <v/>
      </c>
      <c r="N6" s="20" t="str">
        <f aca="false">IF($C6="","",EDATE($C6,Milestones!$AA$22))</f>
        <v/>
      </c>
      <c r="O6" s="20" t="str">
        <f aca="false">IF($C6="","",EDATE($C6,Milestones!$AA$23))</f>
        <v/>
      </c>
      <c r="P6" s="20" t="str">
        <f aca="false">IF($C6="","",EDATE($C6,Milestones!$AA$24))</f>
        <v/>
      </c>
      <c r="Q6" s="20" t="str">
        <f aca="false">IF($C6="","",EDATE($C6,Milestones!$AA$25))</f>
        <v/>
      </c>
      <c r="R6" s="20" t="str">
        <f aca="false">IF($C6="","",EDATE($C6,Milestones!$AA$26))</f>
        <v/>
      </c>
      <c r="S6" s="20" t="str">
        <f aca="false">IF($C6="","",EDATE($C6,Milestones!$AA$27))</f>
        <v/>
      </c>
      <c r="T6" s="20" t="str">
        <f aca="false">IF($C6="","",EDATE($C6,Milestones!$AA$28))</f>
        <v/>
      </c>
      <c r="U6" s="20" t="str">
        <f aca="false">IF($C6="","",EDATE($C6,Milestones!$AA$29))</f>
        <v/>
      </c>
      <c r="V6" s="20" t="str">
        <f aca="false">IF($C6="","",EDATE($C6,Milestones!$AA$30))</f>
        <v/>
      </c>
      <c r="W6" s="20" t="str">
        <f aca="false">IF($C6="","",EDATE($C6,Milestones!$AA$31))</f>
        <v/>
      </c>
      <c r="X6" s="20" t="str">
        <f aca="false">IF($C6="","",EDATE($C6,Milestones!$AA$32))</f>
        <v/>
      </c>
      <c r="Y6" s="20" t="str">
        <f aca="false">IF($C6="","",EDATE($C6,Milestones!$AA$33))</f>
        <v/>
      </c>
      <c r="Z6" s="20" t="str">
        <f aca="false">IF($C6="","",EDATE($C6,Milestones!$AA$34))</f>
        <v/>
      </c>
      <c r="AA6" s="20" t="str">
        <f aca="false">IF($C6="","",EDATE($C6,Milestones!$AA$35))</f>
        <v/>
      </c>
      <c r="AB6" s="20" t="str">
        <f aca="false">IF($C6="","",EDATE($C6,Milestones!$AA$36))</f>
        <v/>
      </c>
      <c r="AC6" s="20" t="str">
        <f aca="false">IF($C6="","",EDATE($C6,Milestones!$AA$37))</f>
        <v/>
      </c>
      <c r="AD6" s="20" t="str">
        <f aca="false">IF($C6="","",EDATE($C6,Milestones!$AA$38))</f>
        <v/>
      </c>
      <c r="AE6" s="20" t="str">
        <f aca="false">IF($C6="","",EDATE($C6,Milestones!$AA$39))</f>
        <v/>
      </c>
      <c r="AF6" s="20" t="str">
        <f aca="false">IF($C6="","",EDATE($C6,Milestones!$AA$40))</f>
        <v/>
      </c>
      <c r="AG6" s="20" t="str">
        <f aca="false">IF($C6="","",EDATE($C6,Milestones!$AA$41))</f>
        <v/>
      </c>
      <c r="AH6" s="20" t="str">
        <f aca="false">IF($C6="","",EDATE($C6,Milestones!$AA$42))</f>
        <v/>
      </c>
      <c r="AI6" s="20" t="str">
        <f aca="false">IF($C6="","",EDATE($C6,Milestones!$AA$43))</f>
        <v/>
      </c>
      <c r="AJ6" s="20" t="str">
        <f aca="false">IF($C6="","",EDATE($C6,Milestones!$AA$44))</f>
        <v/>
      </c>
      <c r="AK6" s="20" t="str">
        <f aca="false">IF($C6="","",EDATE($C6,Milestones!$AA$45))</f>
        <v/>
      </c>
      <c r="AL6" s="20" t="str">
        <f aca="false">IF($C6="","",EDATE($C6,Milestones!$AA$46))</f>
        <v/>
      </c>
      <c r="AM6" s="20" t="str">
        <f aca="false">IF($C6="","",EDATE($C6,Milestones!$AA$47))</f>
        <v/>
      </c>
      <c r="AN6" s="20" t="str">
        <f aca="false">IF($C6="","",EDATE($C6,Milestones!$AA$48))</f>
        <v/>
      </c>
      <c r="AO6" s="20" t="str">
        <f aca="false">IF($C6="","",EDATE($C6,Milestones!$AA$49))</f>
        <v/>
      </c>
      <c r="AP6" s="20" t="str">
        <f aca="false">IF($C6="","",EDATE($C6,Milestones!$AA$50))</f>
        <v/>
      </c>
      <c r="AQ6" s="20" t="str">
        <f aca="false">IF($C6="","",EDATE($C6,Milestones!$AA$51))</f>
        <v/>
      </c>
      <c r="AR6" s="20" t="str">
        <f aca="false">IF($C6="","",EDATE($C6,Milestones!$AA$52))</f>
        <v/>
      </c>
      <c r="AS6" s="20" t="str">
        <f aca="false">IF($C6="","",EDATE($C6,Milestones!$AA$53))</f>
        <v/>
      </c>
      <c r="AT6" s="20" t="str">
        <f aca="false">IF($C6="","",EDATE($C6,Milestones!$AA$54))</f>
        <v/>
      </c>
      <c r="AU6" s="20" t="str">
        <f aca="false">IF($C6="","",EDATE($C6,Milestones!$AA$55))</f>
        <v/>
      </c>
      <c r="AV6" s="20" t="str">
        <f aca="false">IF($C6="","",EDATE($C6,Milestones!$AA$56))</f>
        <v/>
      </c>
      <c r="AW6" s="20" t="str">
        <f aca="false">IF($C6="","",EDATE($C6,Milestones!$AA$57))</f>
        <v/>
      </c>
      <c r="AX6" s="20" t="str">
        <f aca="false">IF($C6="","",EDATE($C6,Milestones!$AA$58))</f>
        <v/>
      </c>
      <c r="AY6" s="20" t="str">
        <f aca="false">IF($C6="","",EDATE($C6,Milestones!$AA$59))</f>
        <v/>
      </c>
      <c r="AZ6" s="20" t="str">
        <f aca="false">IF($C6="","",EDATE($C6,Milestones!$AA$60))</f>
        <v/>
      </c>
      <c r="BA6" s="20" t="str">
        <f aca="false">IF($C6="","",EDATE($C6,Milestones!$AA$61))</f>
        <v/>
      </c>
      <c r="BB6" s="20" t="str">
        <f aca="false">IF($C6="","",EDATE($C6,Milestones!$AA$62))</f>
        <v/>
      </c>
      <c r="BC6" s="20" t="str">
        <f aca="false">IF($C6="","",EDATE($C6,Milestones!$AA$63))</f>
        <v/>
      </c>
      <c r="BD6" s="20" t="str">
        <f aca="false">IF($C6="","",EDATE($C6,Milestones!$AA$64))</f>
        <v/>
      </c>
      <c r="BE6" s="20" t="str">
        <f aca="false">IF($C6="","",EDATE($C6,Milestones!$AA$65))</f>
        <v/>
      </c>
      <c r="BF6" s="20" t="str">
        <f aca="false">IF($C6="","",EDATE($C6,Milestones!$AA$66))</f>
        <v/>
      </c>
      <c r="BG6" s="20" t="str">
        <f aca="false">IF($C6="","",EDATE($C6,Milestones!$AA$67))</f>
        <v/>
      </c>
      <c r="BH6" s="20" t="str">
        <f aca="false">IF($C6="","",EDATE($C6,Milestones!$AA$68))</f>
        <v/>
      </c>
      <c r="BI6" s="20" t="str">
        <f aca="false">IF($C6="","",EDATE($C6,Milestones!$AA$69))</f>
        <v/>
      </c>
      <c r="BJ6" s="20" t="str">
        <f aca="false">IF($C6="","",EDATE($C6,Milestones!$AA$70))</f>
        <v/>
      </c>
      <c r="BK6" s="20" t="str">
        <f aca="false">IF($C6="","",EDATE($C6,Milestones!$AA$71))</f>
        <v/>
      </c>
      <c r="BL6" s="20" t="str">
        <f aca="false">IF($C6="","",EDATE($C6,Milestones!$AA$72))</f>
        <v/>
      </c>
      <c r="BM6" s="20" t="str">
        <f aca="false">IF($C6="","",EDATE($C6,Milestones!$AA$73))</f>
        <v/>
      </c>
      <c r="BN6" s="20" t="str">
        <f aca="false">IF($C6="","",EDATE($C6,Milestones!$AA$74))</f>
        <v/>
      </c>
      <c r="BO6" s="20" t="str">
        <f aca="false">IF($C6="","",EDATE($C6,Milestones!$AA$75))</f>
        <v/>
      </c>
      <c r="BP6" s="20" t="str">
        <f aca="false">IF($C6="","",EDATE($C6,Milestones!$AA$76))</f>
        <v/>
      </c>
      <c r="BQ6" s="20" t="str">
        <f aca="false">IF($C6="","",EDATE($C6,Milestones!$AA$77))</f>
        <v/>
      </c>
      <c r="BR6" s="20" t="str">
        <f aca="false">IF($C6="","",EDATE($C6,Milestones!$AA$78))</f>
        <v/>
      </c>
      <c r="BS6" s="20" t="str">
        <f aca="false">IF($C6="","",EDATE($C6,Milestones!$AA$79))</f>
        <v/>
      </c>
      <c r="BT6" s="20" t="str">
        <f aca="false">IF($C6="","",EDATE($C6,Milestones!$AA$80))</f>
        <v/>
      </c>
      <c r="BU6" s="20" t="str">
        <f aca="false">IF($C6="","",EDATE($C6,Milestones!$AA$81))</f>
        <v/>
      </c>
      <c r="BV6" s="20" t="str">
        <f aca="false">IF($C6="","",EDATE($C6,Milestones!$AA$82))</f>
        <v/>
      </c>
      <c r="BW6" s="20" t="str">
        <f aca="false">IF($C6="","",EDATE($C6,Milestones!$AA$83))</f>
        <v/>
      </c>
      <c r="BX6" s="20" t="str">
        <f aca="false">IF($C6="","",EDATE($C6,Milestones!$AA$84))</f>
        <v/>
      </c>
      <c r="BY6" s="20" t="str">
        <f aca="false">IF($C6="","",EDATE($C6,Milestones!$AA$85))</f>
        <v/>
      </c>
      <c r="BZ6" s="20" t="str">
        <f aca="false">IF($C6="","",EDATE($C6,Milestones!$AA$86))</f>
        <v/>
      </c>
      <c r="CA6" s="20" t="str">
        <f aca="false">IF($C6="","",EDATE($C6,Milestones!$AA$87))</f>
        <v/>
      </c>
      <c r="CB6" s="20" t="str">
        <f aca="false">IF($C6="","",EDATE($C6,Milestones!$AA$88))</f>
        <v/>
      </c>
      <c r="CC6" s="20" t="str">
        <f aca="false">IF($C6="","",EDATE($C6,Milestones!$AA$89))</f>
        <v/>
      </c>
      <c r="CD6" s="20" t="str">
        <f aca="false">IF($C6="","",EDATE($C6,Milestones!$AA$90))</f>
        <v/>
      </c>
      <c r="CE6" s="20" t="str">
        <f aca="false">IF($C6="","",EDATE($C6,Milestones!$AA$91))</f>
        <v/>
      </c>
      <c r="CF6" s="20" t="str">
        <f aca="false">IF($C6="","",EDATE($C6,Milestones!$AA$92))</f>
        <v/>
      </c>
      <c r="CG6" s="20" t="str">
        <f aca="false">IF($C6="","",EDATE($C6,Milestones!$AA$93))</f>
        <v/>
      </c>
      <c r="CH6" s="20" t="str">
        <f aca="false">IF($C6="","",EDATE($C6,Milestones!$AA$94))</f>
        <v/>
      </c>
      <c r="CI6" s="20" t="str">
        <f aca="false">IF($C6="","",EDATE($C6,Milestones!$AA$95))</f>
        <v/>
      </c>
      <c r="CJ6" s="20" t="str">
        <f aca="false">IF($C6="","",EDATE($C6,Milestones!$AA$96))</f>
        <v/>
      </c>
      <c r="CK6" s="20" t="str">
        <f aca="false">IF($C6="","",EDATE($C6,Milestones!$AA$97))</f>
        <v/>
      </c>
      <c r="CL6" s="20" t="str">
        <f aca="false">IF($C6="","",EDATE($C6,Milestones!$AA$98))</f>
        <v/>
      </c>
      <c r="CM6" s="20" t="str">
        <f aca="false">IF($C6="","",EDATE($C6,Milestones!$AA$99))</f>
        <v/>
      </c>
      <c r="CN6" s="20" t="str">
        <f aca="false">IF($C6="","",EDATE($C6,Milestones!$AA$100))</f>
        <v/>
      </c>
      <c r="CO6" s="20" t="str">
        <f aca="false">IF($C6="","",EDATE($C6,Milestones!$AA$101))</f>
        <v/>
      </c>
      <c r="CP6" s="20" t="str">
        <f aca="false">IF($C6="","",EDATE($C6,Milestones!$AA$102))</f>
        <v/>
      </c>
      <c r="CQ6" s="20" t="str">
        <f aca="false">IF($C6="","",EDATE($C6,Milestones!$AA$103))</f>
        <v/>
      </c>
      <c r="CR6" s="20" t="str">
        <f aca="false">IF($C6="","",EDATE($C6,Milestones!$AA$104))</f>
        <v/>
      </c>
      <c r="CS6" s="20" t="str">
        <f aca="false">IF($C6="","",EDATE($C6,Milestones!$AA$105))</f>
        <v/>
      </c>
      <c r="CT6" s="20" t="str">
        <f aca="false">IF($C6="","",EDATE($C6,Milestones!$AA$106))</f>
        <v/>
      </c>
      <c r="CU6" s="20" t="str">
        <f aca="false">IF($C6="","",EDATE($C6,Milestones!$AA$107))</f>
        <v/>
      </c>
      <c r="CV6" s="20" t="str">
        <f aca="false">IF($C6="","",EDATE($C6,Milestones!$AA$108))</f>
        <v/>
      </c>
      <c r="CW6" s="20" t="str">
        <f aca="false">IF($C6="","",EDATE($C6,Milestones!$AA$109))</f>
        <v/>
      </c>
      <c r="CX6" s="20" t="str">
        <f aca="false">IF($C6="","",EDATE($C6,Milestones!$AA$110))</f>
        <v/>
      </c>
      <c r="CY6" s="20" t="str">
        <f aca="false">IF($C6="","",EDATE($C6,Milestones!$AA$111))</f>
        <v/>
      </c>
      <c r="CZ6" s="20" t="str">
        <f aca="false">IF($C6="","",EDATE($C6,Milestones!$AA$112))</f>
        <v/>
      </c>
      <c r="DA6" s="20" t="str">
        <f aca="false">IF($C6="","",EDATE($C6,Milestones!$AA$113))</f>
        <v/>
      </c>
      <c r="DB6" s="20" t="str">
        <f aca="false">IF($C6="","",EDATE($C6,Milestones!$AA$114))</f>
        <v/>
      </c>
      <c r="DC6" s="20" t="str">
        <f aca="false">IF($C6="","",EDATE($C6,Milestones!$AA$115))</f>
        <v/>
      </c>
      <c r="DD6" s="20" t="str">
        <f aca="false">IF($C6="","",EDATE($C6,Milestones!$AA$116))</f>
        <v/>
      </c>
      <c r="DE6" s="20" t="str">
        <f aca="false">IF($C6="","",EDATE($C6,Milestones!$AA$117))</f>
        <v/>
      </c>
      <c r="DF6" s="20" t="str">
        <f aca="false">IF($C6="","",EDATE($C6,Milestones!$AA$118))</f>
        <v/>
      </c>
      <c r="DG6" s="20" t="str">
        <f aca="false">IF($C6="","",EDATE($C6,Milestones!$AA$119))</f>
        <v/>
      </c>
      <c r="DH6" s="20" t="str">
        <f aca="false">IF($C6="","",EDATE($C6,Milestones!$AA$120))</f>
        <v/>
      </c>
      <c r="DI6" s="20" t="str">
        <f aca="false">IF($C6="","",EDATE($C6,Milestones!$AA$121))</f>
        <v/>
      </c>
      <c r="DJ6" s="20" t="str">
        <f aca="false">IF($C6="","",EDATE($C6,Milestones!$AA$122))</f>
        <v/>
      </c>
      <c r="DK6" s="20" t="str">
        <f aca="false">IF($C6="","",EDATE($C6,Milestones!$AA$123))</f>
        <v/>
      </c>
      <c r="DL6" s="20" t="str">
        <f aca="false">IF($C6="","",EDATE($C6,Milestones!$AA$124))</f>
        <v/>
      </c>
      <c r="DM6" s="20" t="str">
        <f aca="false">IF($C6="","",EDATE($C6,Milestones!$AA$125))</f>
        <v/>
      </c>
      <c r="DN6" s="20" t="str">
        <f aca="false">IF($C6="","",EDATE($C6,Milestones!$AA$126))</f>
        <v/>
      </c>
      <c r="DO6" s="20" t="str">
        <f aca="false">IF($C6="","",EDATE($C6,Milestones!$AA$127))</f>
        <v/>
      </c>
      <c r="DP6" s="20" t="str">
        <f aca="false">IF($C6="","",EDATE($C6,Milestones!$AA$128))</f>
        <v/>
      </c>
      <c r="DQ6" s="20" t="str">
        <f aca="false">IF($C6="","",EDATE($C6,Milestones!$AA$129))</f>
        <v/>
      </c>
      <c r="DR6" s="20" t="str">
        <f aca="false">IF($C6="","",EDATE($C6,Milestones!$AA$130))</f>
        <v/>
      </c>
      <c r="DS6" s="20" t="str">
        <f aca="false">IF($C6="","",EDATE($C6,Milestones!$AA$131))</f>
        <v/>
      </c>
      <c r="DT6" s="20" t="str">
        <f aca="false">IF($C6="","",EDATE($C6,Milestones!$AA$132))</f>
        <v/>
      </c>
      <c r="DU6" s="20" t="str">
        <f aca="false">IF($C6="","",EDATE($C6,Milestones!$AA$133))</f>
        <v/>
      </c>
      <c r="DV6" s="20" t="str">
        <f aca="false">IF($C6="","",EDATE($C6,Milestones!$AA$134))</f>
        <v/>
      </c>
      <c r="DW6" s="20" t="str">
        <f aca="false">IF($C6="","",EDATE($C6,Milestones!$AA$135))</f>
        <v/>
      </c>
      <c r="DX6" s="20" t="str">
        <f aca="false">IF($C6="","",EDATE($C6,Milestones!$AA$136))</f>
        <v/>
      </c>
      <c r="DY6" s="20" t="str">
        <f aca="false">IF($C6="","",EDATE($C6,Milestones!$AA$137))</f>
        <v/>
      </c>
      <c r="DZ6" s="20" t="str">
        <f aca="false">IF($C6="","",EDATE($C6,Milestones!$AA$138))</f>
        <v/>
      </c>
      <c r="EA6" s="20" t="str">
        <f aca="false">IF($C6="","",EDATE($C6,Milestones!$AA$139))</f>
        <v/>
      </c>
      <c r="EB6" s="20" t="str">
        <f aca="false">IF($C6="","",EDATE($C6,Milestones!$AA$140))</f>
        <v/>
      </c>
      <c r="EC6" s="20" t="str">
        <f aca="false">IF($C6="","",EDATE($C6,Milestones!$AA$141))</f>
        <v/>
      </c>
      <c r="ED6" s="20" t="str">
        <f aca="false">IF($C6="","",EDATE($C6,Milestones!$AA$142))</f>
        <v/>
      </c>
      <c r="EE6" s="20" t="str">
        <f aca="false">IF($C6="","",EDATE($C6,Milestones!$AA$143))</f>
        <v/>
      </c>
      <c r="EF6" s="20" t="str">
        <f aca="false">IF($C6="","",EDATE($C6,Milestones!$AA$144))</f>
        <v/>
      </c>
      <c r="EG6" s="20" t="str">
        <f aca="false">IF($C6="","",EDATE($C6,Milestones!$AA$145))</f>
        <v/>
      </c>
      <c r="EH6" s="20" t="str">
        <f aca="false">IF($C6="","",EDATE($C6,Milestones!$AA$146))</f>
        <v/>
      </c>
      <c r="EI6" s="20" t="str">
        <f aca="false">IF($C6="","",EDATE($C6,Milestones!$AA$147))</f>
        <v/>
      </c>
      <c r="EJ6" s="20" t="str">
        <f aca="false">IF($C6="","",EDATE($C6,Milestones!$AA$148))</f>
        <v/>
      </c>
      <c r="EK6" s="20" t="str">
        <f aca="false">IF($C6="","",EDATE($C6,Milestones!$AA$149))</f>
        <v/>
      </c>
      <c r="EL6" s="20" t="str">
        <f aca="false">IF($C6="","",EDATE($C6,Milestones!$AA$150))</f>
        <v/>
      </c>
      <c r="EM6" s="20" t="str">
        <f aca="false">IF($C6="","",EDATE($C6,Milestones!$AA$151))</f>
        <v/>
      </c>
      <c r="EN6" s="20" t="str">
        <f aca="false">IF($C6="","",EDATE($C6,Milestones!$AA$152))</f>
        <v/>
      </c>
      <c r="EO6" s="20" t="str">
        <f aca="false">IF($C6="","",EDATE($C6,Milestones!$AA$153))</f>
        <v/>
      </c>
      <c r="EP6" s="20" t="str">
        <f aca="false">IF($C6="","",EDATE($C6,Milestones!$AA$154))</f>
        <v/>
      </c>
      <c r="EQ6" s="20" t="str">
        <f aca="false">IF($C6="","",EDATE($C6,Milestones!$AA$155))</f>
        <v/>
      </c>
      <c r="ER6" s="20" t="str">
        <f aca="false">IF($C6="","",EDATE($C6,Milestones!$AA$156))</f>
        <v/>
      </c>
      <c r="ES6" s="20" t="str">
        <f aca="false">IF($C6="","",EDATE($C6,Milestones!$AA$157))</f>
        <v/>
      </c>
      <c r="ET6" s="20" t="str">
        <f aca="false">IF($C6="","",EDATE($C6,Milestones!$AA$158))</f>
        <v/>
      </c>
      <c r="EU6" s="20" t="str">
        <f aca="false">IF($C6="","",EDATE($C6,Milestones!$AA$159))</f>
        <v/>
      </c>
      <c r="EV6" s="20" t="str">
        <f aca="false">IF($C6="","",EDATE($C6,Milestones!$AA$160))</f>
        <v/>
      </c>
      <c r="EW6" s="20" t="str">
        <f aca="false">IF($C6="","",EDATE($C6,Milestones!$AA$161))</f>
        <v/>
      </c>
      <c r="EX6" s="20" t="str">
        <f aca="false">IF($C6="","",EDATE($C6,Milestones!$AA$162))</f>
        <v/>
      </c>
      <c r="EY6" s="20" t="str">
        <f aca="false">IF($C6="","",EDATE($C6,Milestones!$AA$163))</f>
        <v/>
      </c>
      <c r="EZ6" s="20" t="str">
        <f aca="false">IF($C6="","",EDATE($C6,Milestones!$AA$164))</f>
        <v/>
      </c>
      <c r="FA6" s="20" t="str">
        <f aca="false">IF($C6="","",EDATE($C6,Milestones!$AA$165))</f>
        <v/>
      </c>
      <c r="FB6" s="20" t="str">
        <f aca="false">IF($C6="","",EDATE($C6,Milestones!$AA$166))</f>
        <v/>
      </c>
      <c r="FC6" s="20" t="str">
        <f aca="false">IF($C6="","",EDATE($C6,Milestones!$AA$167))</f>
        <v/>
      </c>
      <c r="FD6" s="20" t="str">
        <f aca="false">IF($C6="","",EDATE($C6,Milestones!$AA$168))</f>
        <v/>
      </c>
      <c r="FE6" s="20" t="str">
        <f aca="false">IF($C6="","",EDATE($C6,Milestones!$AA$169))</f>
        <v/>
      </c>
      <c r="FF6" s="20" t="str">
        <f aca="false">IF($C6="","",EDATE($C6,Milestones!$AA$170))</f>
        <v/>
      </c>
      <c r="FG6" s="20" t="str">
        <f aca="false">IF($C6="","",EDATE($C6,Milestones!$AA$171))</f>
        <v/>
      </c>
      <c r="FH6" s="20" t="str">
        <f aca="false">IF($C6="","",EDATE($C6,Milestones!$AA$172))</f>
        <v/>
      </c>
      <c r="FI6" s="20" t="str">
        <f aca="false">IF($C6="","",EDATE($C6,Milestones!$AA$173))</f>
        <v/>
      </c>
      <c r="FJ6" s="20" t="str">
        <f aca="false">IF($C6="","",EDATE($C6,Milestones!$AA$174))</f>
        <v/>
      </c>
      <c r="FK6" s="20" t="str">
        <f aca="false">IF($C6="","",EDATE($C6,Milestones!$AA$175))</f>
        <v/>
      </c>
      <c r="FL6" s="20" t="str">
        <f aca="false">IF($C6="","",EDATE($C6,Milestones!$AA$176))</f>
        <v/>
      </c>
      <c r="FM6" s="20" t="str">
        <f aca="false">IF($C6="","",EDATE($C6,Milestones!$AA$177))</f>
        <v/>
      </c>
      <c r="FN6" s="20" t="str">
        <f aca="false">IF($C6="","",EDATE($C6,Milestones!$AA$178))</f>
        <v/>
      </c>
      <c r="FO6" s="20" t="str">
        <f aca="false">IF($C6="","",EDATE($C6,Milestones!$AA$179))</f>
        <v/>
      </c>
      <c r="FP6" s="20" t="str">
        <f aca="false">IF($C6="","",EDATE($C6,Milestones!$AA$180))</f>
        <v/>
      </c>
      <c r="FQ6" s="20" t="str">
        <f aca="false">IF($C6="","",EDATE($C6,Milestones!$AA$181))</f>
        <v/>
      </c>
      <c r="FR6" s="20" t="str">
        <f aca="false">IF($C6="","",EDATE($C6,Milestones!$AA$182))</f>
        <v/>
      </c>
      <c r="FS6" s="20" t="str">
        <f aca="false">IF($C6="","",EDATE($C6,Milestones!$AA$183))</f>
        <v/>
      </c>
      <c r="FT6" s="20" t="str">
        <f aca="false">IF($C6="","",EDATE($C6,Milestones!$AA$184))</f>
        <v/>
      </c>
      <c r="FU6" s="20" t="str">
        <f aca="false">IF($C6="","",EDATE($C6,Milestones!$AA$185))</f>
        <v/>
      </c>
      <c r="FV6" s="20" t="str">
        <f aca="false">IF($C6="","",EDATE($C6,Milestones!$AA$186))</f>
        <v/>
      </c>
      <c r="FW6" s="20" t="str">
        <f aca="false">IF($C6="","",EDATE($C6,Milestones!$AA$187))</f>
        <v/>
      </c>
      <c r="FX6" s="20" t="str">
        <f aca="false">IF($C6="","",EDATE($C6,Milestones!$AA$188))</f>
        <v/>
      </c>
      <c r="FY6" s="20" t="str">
        <f aca="false">IF($C6="","",EDATE($C6,Milestones!$AA$189))</f>
        <v/>
      </c>
      <c r="FZ6" s="20" t="str">
        <f aca="false">IF($C6="","",EDATE($C6,Milestones!$AA$190))</f>
        <v/>
      </c>
      <c r="GA6" s="20" t="str">
        <f aca="false">IF($C6="","",EDATE($C6,Milestones!$AA$191))</f>
        <v/>
      </c>
      <c r="GB6" s="20" t="str">
        <f aca="false">IF($C6="","",EDATE($C6,Milestones!$AA$192))</f>
        <v/>
      </c>
      <c r="GC6" s="20" t="str">
        <f aca="false">IF($C6="","",EDATE($C6,Milestones!$AA$193))</f>
        <v/>
      </c>
      <c r="GD6" s="20" t="str">
        <f aca="false">IF($C6="","",EDATE($C6,Milestones!$AA$194))</f>
        <v/>
      </c>
      <c r="GE6" s="20" t="str">
        <f aca="false">IF($C6="","",EDATE($C6,Milestones!$AA$195))</f>
        <v/>
      </c>
      <c r="GF6" s="20" t="str">
        <f aca="false">IF($C6="","",EDATE($C6,Milestones!$AA$196))</f>
        <v/>
      </c>
      <c r="GG6" s="20" t="str">
        <f aca="false">IF($C6="","",EDATE($C6,Milestones!$AA$197))</f>
        <v/>
      </c>
      <c r="GH6" s="20" t="str">
        <f aca="false">IF($C6="","",EDATE($C6,Milestones!$AA$198))</f>
        <v/>
      </c>
      <c r="GI6" s="20" t="str">
        <f aca="false">IF($C6="","",EDATE($C6,Milestones!$AA$199))</f>
        <v/>
      </c>
    </row>
    <row r="7" customFormat="false" ht="15" hidden="false" customHeight="false" outlineLevel="0" collapsed="false">
      <c r="K7" s="0" t="s">
        <v>263</v>
      </c>
      <c r="L7" s="0" t="str">
        <f aca="false">IF(L6="","",IF($D6=0,$J6,IF(AND($F6&lt;&gt;"",L6&gt;=$F6),$I6,IF(AND($E6&lt;&gt;"",L6&gt;=$E6),$H6,$G6))))</f>
        <v/>
      </c>
      <c r="M7" s="0" t="str">
        <f aca="false">IF(M6="","",IF($D6=0,$J6,IF(AND($F6&lt;&gt;"",M6&gt;=$F6),$I6,IF(AND($E6&lt;&gt;"",M6&gt;=$E6),$H6,$G6))))</f>
        <v/>
      </c>
      <c r="N7" s="0" t="str">
        <f aca="false">IF(N6="","",IF($D6=0,$J6,IF(AND($F6&lt;&gt;"",N6&gt;=$F6),$I6,IF(AND($E6&lt;&gt;"",N6&gt;=$E6),$H6,$G6))))</f>
        <v/>
      </c>
      <c r="O7" s="0" t="str">
        <f aca="false">IF(O6="","",IF($D6=0,$J6,IF(AND($F6&lt;&gt;"",O6&gt;=$F6),$I6,IF(AND($E6&lt;&gt;"",O6&gt;=$E6),$H6,$G6))))</f>
        <v/>
      </c>
      <c r="P7" s="0" t="str">
        <f aca="false">IF(P6="","",IF($D6=0,$J6,IF(AND($F6&lt;&gt;"",P6&gt;=$F6),$I6,IF(AND($E6&lt;&gt;"",P6&gt;=$E6),$H6,$G6))))</f>
        <v/>
      </c>
      <c r="Q7" s="0" t="str">
        <f aca="false">IF(Q6="","",IF($D6=0,$J6,IF(AND($F6&lt;&gt;"",Q6&gt;=$F6),$I6,IF(AND($E6&lt;&gt;"",Q6&gt;=$E6),$H6,$G6))))</f>
        <v/>
      </c>
      <c r="R7" s="0" t="str">
        <f aca="false">IF(R6="","",IF($D6=0,$J6,IF(AND($F6&lt;&gt;"",R6&gt;=$F6),$I6,IF(AND($E6&lt;&gt;"",R6&gt;=$E6),$H6,$G6))))</f>
        <v/>
      </c>
      <c r="S7" s="0" t="str">
        <f aca="false">IF(S6="","",IF($D6=0,$J6,IF(AND($F6&lt;&gt;"",S6&gt;=$F6),$I6,IF(AND($E6&lt;&gt;"",S6&gt;=$E6),$H6,$G6))))</f>
        <v/>
      </c>
      <c r="T7" s="0" t="str">
        <f aca="false">IF(T6="","",IF($D6=0,$J6,IF(AND($F6&lt;&gt;"",T6&gt;=$F6),$I6,IF(AND($E6&lt;&gt;"",T6&gt;=$E6),$H6,$G6))))</f>
        <v/>
      </c>
      <c r="U7" s="0" t="str">
        <f aca="false">IF(U6="","",IF($D6=0,$J6,IF(AND($F6&lt;&gt;"",U6&gt;=$F6),$I6,IF(AND($E6&lt;&gt;"",U6&gt;=$E6),$H6,$G6))))</f>
        <v/>
      </c>
      <c r="V7" s="0" t="str">
        <f aca="false">IF(V6="","",IF($D6=0,$J6,IF(AND($F6&lt;&gt;"",V6&gt;=$F6),$I6,IF(AND($E6&lt;&gt;"",V6&gt;=$E6),$H6,$G6))))</f>
        <v/>
      </c>
      <c r="W7" s="0" t="str">
        <f aca="false">IF(W6="","",IF($D6=0,$J6,IF(AND($F6&lt;&gt;"",W6&gt;=$F6),$I6,IF(AND($E6&lt;&gt;"",W6&gt;=$E6),$H6,$G6))))</f>
        <v/>
      </c>
      <c r="X7" s="0" t="str">
        <f aca="false">IF(X6="","",IF($D6=0,$J6,IF(AND($F6&lt;&gt;"",X6&gt;=$F6),$I6,IF(AND($E6&lt;&gt;"",X6&gt;=$E6),$H6,$G6))))</f>
        <v/>
      </c>
      <c r="Y7" s="0" t="str">
        <f aca="false">IF(Y6="","",IF($D6=0,$J6,IF(AND($F6&lt;&gt;"",Y6&gt;=$F6),$I6,IF(AND($E6&lt;&gt;"",Y6&gt;=$E6),$H6,$G6))))</f>
        <v/>
      </c>
      <c r="Z7" s="0" t="str">
        <f aca="false">IF(Z6="","",IF($D6=0,$J6,IF(AND($F6&lt;&gt;"",Z6&gt;=$F6),$I6,IF(AND($E6&lt;&gt;"",Z6&gt;=$E6),$H6,$G6))))</f>
        <v/>
      </c>
      <c r="AA7" s="0" t="str">
        <f aca="false">IF(AA6="","",IF($D6=0,$J6,IF(AND($F6&lt;&gt;"",AA6&gt;=$F6),$I6,IF(AND($E6&lt;&gt;"",AA6&gt;=$E6),$H6,$G6))))</f>
        <v/>
      </c>
      <c r="AB7" s="0" t="str">
        <f aca="false">IF(AB6="","",IF($D6=0,$J6,IF(AND($F6&lt;&gt;"",AB6&gt;=$F6),$I6,IF(AND($E6&lt;&gt;"",AB6&gt;=$E6),$H6,$G6))))</f>
        <v/>
      </c>
      <c r="AC7" s="0" t="str">
        <f aca="false">IF(AC6="","",IF($D6=0,$J6,IF(AND($F6&lt;&gt;"",AC6&gt;=$F6),$I6,IF(AND($E6&lt;&gt;"",AC6&gt;=$E6),$H6,$G6))))</f>
        <v/>
      </c>
      <c r="AD7" s="0" t="str">
        <f aca="false">IF(AD6="","",IF($D6=0,$J6,IF(AND($F6&lt;&gt;"",AD6&gt;=$F6),$I6,IF(AND($E6&lt;&gt;"",AD6&gt;=$E6),$H6,$G6))))</f>
        <v/>
      </c>
      <c r="AE7" s="0" t="str">
        <f aca="false">IF(AE6="","",IF($D6=0,$J6,IF(AND($F6&lt;&gt;"",AE6&gt;=$F6),$I6,IF(AND($E6&lt;&gt;"",AE6&gt;=$E6),$H6,$G6))))</f>
        <v/>
      </c>
      <c r="AF7" s="0" t="str">
        <f aca="false">IF(AF6="","",IF($D6=0,$J6,IF(AND($F6&lt;&gt;"",AF6&gt;=$F6),$I6,IF(AND($E6&lt;&gt;"",AF6&gt;=$E6),$H6,$G6))))</f>
        <v/>
      </c>
      <c r="AG7" s="0" t="str">
        <f aca="false">IF(AG6="","",IF($D6=0,$J6,IF(AND($F6&lt;&gt;"",AG6&gt;=$F6),$I6,IF(AND($E6&lt;&gt;"",AG6&gt;=$E6),$H6,$G6))))</f>
        <v/>
      </c>
      <c r="AH7" s="0" t="str">
        <f aca="false">IF(AH6="","",IF($D6=0,$J6,IF(AND($F6&lt;&gt;"",AH6&gt;=$F6),$I6,IF(AND($E6&lt;&gt;"",AH6&gt;=$E6),$H6,$G6))))</f>
        <v/>
      </c>
      <c r="AI7" s="0" t="str">
        <f aca="false">IF(AI6="","",IF($D6=0,$J6,IF(AND($F6&lt;&gt;"",AI6&gt;=$F6),$I6,IF(AND($E6&lt;&gt;"",AI6&gt;=$E6),$H6,$G6))))</f>
        <v/>
      </c>
      <c r="AJ7" s="0" t="str">
        <f aca="false">IF(AJ6="","",IF($D6=0,$J6,IF(AND($F6&lt;&gt;"",AJ6&gt;=$F6),$I6,IF(AND($E6&lt;&gt;"",AJ6&gt;=$E6),$H6,$G6))))</f>
        <v/>
      </c>
      <c r="AK7" s="0" t="str">
        <f aca="false">IF(AK6="","",IF($D6=0,$J6,IF(AND($F6&lt;&gt;"",AK6&gt;=$F6),$I6,IF(AND($E6&lt;&gt;"",AK6&gt;=$E6),$H6,$G6))))</f>
        <v/>
      </c>
      <c r="AL7" s="0" t="str">
        <f aca="false">IF(AL6="","",IF($D6=0,$J6,IF(AND($F6&lt;&gt;"",AL6&gt;=$F6),$I6,IF(AND($E6&lt;&gt;"",AL6&gt;=$E6),$H6,$G6))))</f>
        <v/>
      </c>
      <c r="AM7" s="0" t="str">
        <f aca="false">IF(AM6="","",IF($D6=0,$J6,IF(AND($F6&lt;&gt;"",AM6&gt;=$F6),$I6,IF(AND($E6&lt;&gt;"",AM6&gt;=$E6),$H6,$G6))))</f>
        <v/>
      </c>
      <c r="AN7" s="0" t="str">
        <f aca="false">IF(AN6="","",IF($D6=0,$J6,IF(AND($F6&lt;&gt;"",AN6&gt;=$F6),$I6,IF(AND($E6&lt;&gt;"",AN6&gt;=$E6),$H6,$G6))))</f>
        <v/>
      </c>
      <c r="AO7" s="0" t="str">
        <f aca="false">IF(AO6="","",IF($D6=0,$J6,IF(AND($F6&lt;&gt;"",AO6&gt;=$F6),$I6,IF(AND($E6&lt;&gt;"",AO6&gt;=$E6),$H6,$G6))))</f>
        <v/>
      </c>
      <c r="AP7" s="0" t="str">
        <f aca="false">IF(AP6="","",IF($D6=0,$J6,IF(AND($F6&lt;&gt;"",AP6&gt;=$F6),$I6,IF(AND($E6&lt;&gt;"",AP6&gt;=$E6),$H6,$G6))))</f>
        <v/>
      </c>
      <c r="AQ7" s="0" t="str">
        <f aca="false">IF(AQ6="","",IF($D6=0,$J6,IF(AND($F6&lt;&gt;"",AQ6&gt;=$F6),$I6,IF(AND($E6&lt;&gt;"",AQ6&gt;=$E6),$H6,$G6))))</f>
        <v/>
      </c>
      <c r="AR7" s="0" t="str">
        <f aca="false">IF(AR6="","",IF($D6=0,$J6,IF(AND($F6&lt;&gt;"",AR6&gt;=$F6),$I6,IF(AND($E6&lt;&gt;"",AR6&gt;=$E6),$H6,$G6))))</f>
        <v/>
      </c>
      <c r="AS7" s="0" t="str">
        <f aca="false">IF(AS6="","",IF($D6=0,$J6,IF(AND($F6&lt;&gt;"",AS6&gt;=$F6),$I6,IF(AND($E6&lt;&gt;"",AS6&gt;=$E6),$H6,$G6))))</f>
        <v/>
      </c>
      <c r="AT7" s="0" t="str">
        <f aca="false">IF(AT6="","",IF($D6=0,$J6,IF(AND($F6&lt;&gt;"",AT6&gt;=$F6),$I6,IF(AND($E6&lt;&gt;"",AT6&gt;=$E6),$H6,$G6))))</f>
        <v/>
      </c>
      <c r="AU7" s="0" t="str">
        <f aca="false">IF(AU6="","",IF($D6=0,$J6,IF(AND($F6&lt;&gt;"",AU6&gt;=$F6),$I6,IF(AND($E6&lt;&gt;"",AU6&gt;=$E6),$H6,$G6))))</f>
        <v/>
      </c>
      <c r="AV7" s="0" t="str">
        <f aca="false">IF(AV6="","",IF($D6=0,$J6,IF(AND($F6&lt;&gt;"",AV6&gt;=$F6),$I6,IF(AND($E6&lt;&gt;"",AV6&gt;=$E6),$H6,$G6))))</f>
        <v/>
      </c>
      <c r="AW7" s="0" t="str">
        <f aca="false">IF(AW6="","",IF($D6=0,$J6,IF(AND($F6&lt;&gt;"",AW6&gt;=$F6),$I6,IF(AND($E6&lt;&gt;"",AW6&gt;=$E6),$H6,$G6))))</f>
        <v/>
      </c>
      <c r="AX7" s="0" t="str">
        <f aca="false">IF(AX6="","",IF($D6=0,$J6,IF(AND($F6&lt;&gt;"",AX6&gt;=$F6),$I6,IF(AND($E6&lt;&gt;"",AX6&gt;=$E6),$H6,$G6))))</f>
        <v/>
      </c>
      <c r="AY7" s="0" t="str">
        <f aca="false">IF(AY6="","",IF($D6=0,$J6,IF(AND($F6&lt;&gt;"",AY6&gt;=$F6),$I6,IF(AND($E6&lt;&gt;"",AY6&gt;=$E6),$H6,$G6))))</f>
        <v/>
      </c>
      <c r="AZ7" s="0" t="str">
        <f aca="false">IF(AZ6="","",IF($D6=0,$J6,IF(AND($F6&lt;&gt;"",AZ6&gt;=$F6),$I6,IF(AND($E6&lt;&gt;"",AZ6&gt;=$E6),$H6,$G6))))</f>
        <v/>
      </c>
      <c r="BA7" s="0" t="str">
        <f aca="false">IF(BA6="","",IF($D6=0,$J6,IF(AND($F6&lt;&gt;"",BA6&gt;=$F6),$I6,IF(AND($E6&lt;&gt;"",BA6&gt;=$E6),$H6,$G6))))</f>
        <v/>
      </c>
      <c r="BB7" s="0" t="str">
        <f aca="false">IF(BB6="","",IF($D6=0,$J6,IF(AND($F6&lt;&gt;"",BB6&gt;=$F6),$I6,IF(AND($E6&lt;&gt;"",BB6&gt;=$E6),$H6,$G6))))</f>
        <v/>
      </c>
      <c r="BC7" s="0" t="str">
        <f aca="false">IF(BC6="","",IF($D6=0,$J6,IF(AND($F6&lt;&gt;"",BC6&gt;=$F6),$I6,IF(AND($E6&lt;&gt;"",BC6&gt;=$E6),$H6,$G6))))</f>
        <v/>
      </c>
      <c r="BD7" s="0" t="str">
        <f aca="false">IF(BD6="","",IF($D6=0,$J6,IF(AND($F6&lt;&gt;"",BD6&gt;=$F6),$I6,IF(AND($E6&lt;&gt;"",BD6&gt;=$E6),$H6,$G6))))</f>
        <v/>
      </c>
      <c r="BE7" s="0" t="str">
        <f aca="false">IF(BE6="","",IF($D6=0,$J6,IF(AND($F6&lt;&gt;"",BE6&gt;=$F6),$I6,IF(AND($E6&lt;&gt;"",BE6&gt;=$E6),$H6,$G6))))</f>
        <v/>
      </c>
      <c r="BF7" s="0" t="str">
        <f aca="false">IF(BF6="","",IF($D6=0,$J6,IF(AND($F6&lt;&gt;"",BF6&gt;=$F6),$I6,IF(AND($E6&lt;&gt;"",BF6&gt;=$E6),$H6,$G6))))</f>
        <v/>
      </c>
      <c r="BG7" s="0" t="str">
        <f aca="false">IF(BG6="","",IF($D6=0,$J6,IF(AND($F6&lt;&gt;"",BG6&gt;=$F6),$I6,IF(AND($E6&lt;&gt;"",BG6&gt;=$E6),$H6,$G6))))</f>
        <v/>
      </c>
      <c r="BH7" s="0" t="str">
        <f aca="false">IF(BH6="","",IF($D6=0,$J6,IF(AND($F6&lt;&gt;"",BH6&gt;=$F6),$I6,IF(AND($E6&lt;&gt;"",BH6&gt;=$E6),$H6,$G6))))</f>
        <v/>
      </c>
      <c r="BI7" s="0" t="str">
        <f aca="false">IF(BI6="","",IF($D6=0,$J6,IF(AND($F6&lt;&gt;"",BI6&gt;=$F6),$I6,IF(AND($E6&lt;&gt;"",BI6&gt;=$E6),$H6,$G6))))</f>
        <v/>
      </c>
      <c r="BJ7" s="0" t="str">
        <f aca="false">IF(BJ6="","",IF($D6=0,$J6,IF(AND($F6&lt;&gt;"",BJ6&gt;=$F6),$I6,IF(AND($E6&lt;&gt;"",BJ6&gt;=$E6),$H6,$G6))))</f>
        <v/>
      </c>
      <c r="BK7" s="0" t="str">
        <f aca="false">IF(BK6="","",IF($D6=0,$J6,IF(AND($F6&lt;&gt;"",BK6&gt;=$F6),$I6,IF(AND($E6&lt;&gt;"",BK6&gt;=$E6),$H6,$G6))))</f>
        <v/>
      </c>
      <c r="BL7" s="0" t="str">
        <f aca="false">IF(BL6="","",IF($D6=0,$J6,IF(AND($F6&lt;&gt;"",BL6&gt;=$F6),$I6,IF(AND($E6&lt;&gt;"",BL6&gt;=$E6),$H6,$G6))))</f>
        <v/>
      </c>
      <c r="BM7" s="0" t="str">
        <f aca="false">IF(BM6="","",IF($D6=0,$J6,IF(AND($F6&lt;&gt;"",BM6&gt;=$F6),$I6,IF(AND($E6&lt;&gt;"",BM6&gt;=$E6),$H6,$G6))))</f>
        <v/>
      </c>
      <c r="BN7" s="0" t="str">
        <f aca="false">IF(BN6="","",IF($D6=0,$J6,IF(AND($F6&lt;&gt;"",BN6&gt;=$F6),$I6,IF(AND($E6&lt;&gt;"",BN6&gt;=$E6),$H6,$G6))))</f>
        <v/>
      </c>
      <c r="BO7" s="0" t="str">
        <f aca="false">IF(BO6="","",IF($D6=0,$J6,IF(AND($F6&lt;&gt;"",BO6&gt;=$F6),$I6,IF(AND($E6&lt;&gt;"",BO6&gt;=$E6),$H6,$G6))))</f>
        <v/>
      </c>
      <c r="BP7" s="0" t="str">
        <f aca="false">IF(BP6="","",IF($D6=0,$J6,IF(AND($F6&lt;&gt;"",BP6&gt;=$F6),$I6,IF(AND($E6&lt;&gt;"",BP6&gt;=$E6),$H6,$G6))))</f>
        <v/>
      </c>
      <c r="BQ7" s="0" t="str">
        <f aca="false">IF(BQ6="","",IF($D6=0,$J6,IF(AND($F6&lt;&gt;"",BQ6&gt;=$F6),$I6,IF(AND($E6&lt;&gt;"",BQ6&gt;=$E6),$H6,$G6))))</f>
        <v/>
      </c>
      <c r="BR7" s="0" t="str">
        <f aca="false">IF(BR6="","",IF($D6=0,$J6,IF(AND($F6&lt;&gt;"",BR6&gt;=$F6),$I6,IF(AND($E6&lt;&gt;"",BR6&gt;=$E6),$H6,$G6))))</f>
        <v/>
      </c>
      <c r="BS7" s="0" t="str">
        <f aca="false">IF(BS6="","",IF($D6=0,$J6,IF(AND($F6&lt;&gt;"",BS6&gt;=$F6),$I6,IF(AND($E6&lt;&gt;"",BS6&gt;=$E6),$H6,$G6))))</f>
        <v/>
      </c>
      <c r="BT7" s="0" t="str">
        <f aca="false">IF(BT6="","",IF($D6=0,$J6,IF(AND($F6&lt;&gt;"",BT6&gt;=$F6),$I6,IF(AND($E6&lt;&gt;"",BT6&gt;=$E6),$H6,$G6))))</f>
        <v/>
      </c>
      <c r="BU7" s="0" t="str">
        <f aca="false">IF(BU6="","",IF($D6=0,$J6,IF(AND($F6&lt;&gt;"",BU6&gt;=$F6),$I6,IF(AND($E6&lt;&gt;"",BU6&gt;=$E6),$H6,$G6))))</f>
        <v/>
      </c>
      <c r="BV7" s="0" t="str">
        <f aca="false">IF(BV6="","",IF($D6=0,$J6,IF(AND($F6&lt;&gt;"",BV6&gt;=$F6),$I6,IF(AND($E6&lt;&gt;"",BV6&gt;=$E6),$H6,$G6))))</f>
        <v/>
      </c>
      <c r="BW7" s="0" t="str">
        <f aca="false">IF(BW6="","",IF($D6=0,$J6,IF(AND($F6&lt;&gt;"",BW6&gt;=$F6),$I6,IF(AND($E6&lt;&gt;"",BW6&gt;=$E6),$H6,$G6))))</f>
        <v/>
      </c>
      <c r="BX7" s="0" t="str">
        <f aca="false">IF(BX6="","",IF($D6=0,$J6,IF(AND($F6&lt;&gt;"",BX6&gt;=$F6),$I6,IF(AND($E6&lt;&gt;"",BX6&gt;=$E6),$H6,$G6))))</f>
        <v/>
      </c>
      <c r="BY7" s="0" t="str">
        <f aca="false">IF(BY6="","",IF($D6=0,$J6,IF(AND($F6&lt;&gt;"",BY6&gt;=$F6),$I6,IF(AND($E6&lt;&gt;"",BY6&gt;=$E6),$H6,$G6))))</f>
        <v/>
      </c>
      <c r="BZ7" s="0" t="str">
        <f aca="false">IF(BZ6="","",IF($D6=0,$J6,IF(AND($F6&lt;&gt;"",BZ6&gt;=$F6),$I6,IF(AND($E6&lt;&gt;"",BZ6&gt;=$E6),$H6,$G6))))</f>
        <v/>
      </c>
      <c r="CA7" s="0" t="str">
        <f aca="false">IF(CA6="","",IF($D6=0,$J6,IF(AND($F6&lt;&gt;"",CA6&gt;=$F6),$I6,IF(AND($E6&lt;&gt;"",CA6&gt;=$E6),$H6,$G6))))</f>
        <v/>
      </c>
      <c r="CB7" s="0" t="str">
        <f aca="false">IF(CB6="","",IF($D6=0,$J6,IF(AND($F6&lt;&gt;"",CB6&gt;=$F6),$I6,IF(AND($E6&lt;&gt;"",CB6&gt;=$E6),$H6,$G6))))</f>
        <v/>
      </c>
      <c r="CC7" s="0" t="str">
        <f aca="false">IF(CC6="","",IF($D6=0,$J6,IF(AND($F6&lt;&gt;"",CC6&gt;=$F6),$I6,IF(AND($E6&lt;&gt;"",CC6&gt;=$E6),$H6,$G6))))</f>
        <v/>
      </c>
      <c r="CD7" s="0" t="str">
        <f aca="false">IF(CD6="","",IF($D6=0,$J6,IF(AND($F6&lt;&gt;"",CD6&gt;=$F6),$I6,IF(AND($E6&lt;&gt;"",CD6&gt;=$E6),$H6,$G6))))</f>
        <v/>
      </c>
      <c r="CE7" s="0" t="str">
        <f aca="false">IF(CE6="","",IF($D6=0,$J6,IF(AND($F6&lt;&gt;"",CE6&gt;=$F6),$I6,IF(AND($E6&lt;&gt;"",CE6&gt;=$E6),$H6,$G6))))</f>
        <v/>
      </c>
      <c r="CF7" s="0" t="str">
        <f aca="false">IF(CF6="","",IF($D6=0,$J6,IF(AND($F6&lt;&gt;"",CF6&gt;=$F6),$I6,IF(AND($E6&lt;&gt;"",CF6&gt;=$E6),$H6,$G6))))</f>
        <v/>
      </c>
      <c r="CG7" s="0" t="str">
        <f aca="false">IF(CG6="","",IF($D6=0,$J6,IF(AND($F6&lt;&gt;"",CG6&gt;=$F6),$I6,IF(AND($E6&lt;&gt;"",CG6&gt;=$E6),$H6,$G6))))</f>
        <v/>
      </c>
      <c r="CH7" s="0" t="str">
        <f aca="false">IF(CH6="","",IF($D6=0,$J6,IF(AND($F6&lt;&gt;"",CH6&gt;=$F6),$I6,IF(AND($E6&lt;&gt;"",CH6&gt;=$E6),$H6,$G6))))</f>
        <v/>
      </c>
      <c r="CI7" s="0" t="str">
        <f aca="false">IF(CI6="","",IF($D6=0,$J6,IF(AND($F6&lt;&gt;"",CI6&gt;=$F6),$I6,IF(AND($E6&lt;&gt;"",CI6&gt;=$E6),$H6,$G6))))</f>
        <v/>
      </c>
      <c r="CJ7" s="0" t="str">
        <f aca="false">IF(CJ6="","",IF($D6=0,$J6,IF(AND($F6&lt;&gt;"",CJ6&gt;=$F6),$I6,IF(AND($E6&lt;&gt;"",CJ6&gt;=$E6),$H6,$G6))))</f>
        <v/>
      </c>
      <c r="CK7" s="0" t="str">
        <f aca="false">IF(CK6="","",IF($D6=0,$J6,IF(AND($F6&lt;&gt;"",CK6&gt;=$F6),$I6,IF(AND($E6&lt;&gt;"",CK6&gt;=$E6),$H6,$G6))))</f>
        <v/>
      </c>
      <c r="CL7" s="0" t="str">
        <f aca="false">IF(CL6="","",IF($D6=0,$J6,IF(AND($F6&lt;&gt;"",CL6&gt;=$F6),$I6,IF(AND($E6&lt;&gt;"",CL6&gt;=$E6),$H6,$G6))))</f>
        <v/>
      </c>
      <c r="CM7" s="0" t="str">
        <f aca="false">IF(CM6="","",IF($D6=0,$J6,IF(AND($F6&lt;&gt;"",CM6&gt;=$F6),$I6,IF(AND($E6&lt;&gt;"",CM6&gt;=$E6),$H6,$G6))))</f>
        <v/>
      </c>
      <c r="CN7" s="0" t="str">
        <f aca="false">IF(CN6="","",IF($D6=0,$J6,IF(AND($F6&lt;&gt;"",CN6&gt;=$F6),$I6,IF(AND($E6&lt;&gt;"",CN6&gt;=$E6),$H6,$G6))))</f>
        <v/>
      </c>
      <c r="CO7" s="0" t="str">
        <f aca="false">IF(CO6="","",IF($D6=0,$J6,IF(AND($F6&lt;&gt;"",CO6&gt;=$F6),$I6,IF(AND($E6&lt;&gt;"",CO6&gt;=$E6),$H6,$G6))))</f>
        <v/>
      </c>
      <c r="CP7" s="0" t="str">
        <f aca="false">IF(CP6="","",IF($D6=0,$J6,IF(AND($F6&lt;&gt;"",CP6&gt;=$F6),$I6,IF(AND($E6&lt;&gt;"",CP6&gt;=$E6),$H6,$G6))))</f>
        <v/>
      </c>
      <c r="CQ7" s="0" t="str">
        <f aca="false">IF(CQ6="","",IF($D6=0,$J6,IF(AND($F6&lt;&gt;"",CQ6&gt;=$F6),$I6,IF(AND($E6&lt;&gt;"",CQ6&gt;=$E6),$H6,$G6))))</f>
        <v/>
      </c>
      <c r="CR7" s="0" t="str">
        <f aca="false">IF(CR6="","",IF($D6=0,$J6,IF(AND($F6&lt;&gt;"",CR6&gt;=$F6),$I6,IF(AND($E6&lt;&gt;"",CR6&gt;=$E6),$H6,$G6))))</f>
        <v/>
      </c>
      <c r="CS7" s="0" t="str">
        <f aca="false">IF(CS6="","",IF($D6=0,$J6,IF(AND($F6&lt;&gt;"",CS6&gt;=$F6),$I6,IF(AND($E6&lt;&gt;"",CS6&gt;=$E6),$H6,$G6))))</f>
        <v/>
      </c>
      <c r="CT7" s="0" t="str">
        <f aca="false">IF(CT6="","",IF($D6=0,$J6,IF(AND($F6&lt;&gt;"",CT6&gt;=$F6),$I6,IF(AND($E6&lt;&gt;"",CT6&gt;=$E6),$H6,$G6))))</f>
        <v/>
      </c>
      <c r="CU7" s="0" t="str">
        <f aca="false">IF(CU6="","",IF($D6=0,$J6,IF(AND($F6&lt;&gt;"",CU6&gt;=$F6),$I6,IF(AND($E6&lt;&gt;"",CU6&gt;=$E6),$H6,$G6))))</f>
        <v/>
      </c>
      <c r="CV7" s="0" t="str">
        <f aca="false">IF(CV6="","",IF($D6=0,$J6,IF(AND($F6&lt;&gt;"",CV6&gt;=$F6),$I6,IF(AND($E6&lt;&gt;"",CV6&gt;=$E6),$H6,$G6))))</f>
        <v/>
      </c>
      <c r="CW7" s="0" t="str">
        <f aca="false">IF(CW6="","",IF($D6=0,$J6,IF(AND($F6&lt;&gt;"",CW6&gt;=$F6),$I6,IF(AND($E6&lt;&gt;"",CW6&gt;=$E6),$H6,$G6))))</f>
        <v/>
      </c>
      <c r="CX7" s="0" t="str">
        <f aca="false">IF(CX6="","",IF($D6=0,$J6,IF(AND($F6&lt;&gt;"",CX6&gt;=$F6),$I6,IF(AND($E6&lt;&gt;"",CX6&gt;=$E6),$H6,$G6))))</f>
        <v/>
      </c>
      <c r="CY7" s="0" t="str">
        <f aca="false">IF(CY6="","",IF($D6=0,$J6,IF(AND($F6&lt;&gt;"",CY6&gt;=$F6),$I6,IF(AND($E6&lt;&gt;"",CY6&gt;=$E6),$H6,$G6))))</f>
        <v/>
      </c>
      <c r="CZ7" s="0" t="str">
        <f aca="false">IF(CZ6="","",IF($D6=0,$J6,IF(AND($F6&lt;&gt;"",CZ6&gt;=$F6),$I6,IF(AND($E6&lt;&gt;"",CZ6&gt;=$E6),$H6,$G6))))</f>
        <v/>
      </c>
      <c r="DA7" s="0" t="str">
        <f aca="false">IF(DA6="","",IF($D6=0,$J6,IF(AND($F6&lt;&gt;"",DA6&gt;=$F6),$I6,IF(AND($E6&lt;&gt;"",DA6&gt;=$E6),$H6,$G6))))</f>
        <v/>
      </c>
      <c r="DB7" s="0" t="str">
        <f aca="false">IF(DB6="","",IF($D6=0,$J6,IF(AND($F6&lt;&gt;"",DB6&gt;=$F6),$I6,IF(AND($E6&lt;&gt;"",DB6&gt;=$E6),$H6,$G6))))</f>
        <v/>
      </c>
      <c r="DC7" s="0" t="str">
        <f aca="false">IF(DC6="","",IF($D6=0,$J6,IF(AND($F6&lt;&gt;"",DC6&gt;=$F6),$I6,IF(AND($E6&lt;&gt;"",DC6&gt;=$E6),$H6,$G6))))</f>
        <v/>
      </c>
      <c r="DD7" s="0" t="str">
        <f aca="false">IF(DD6="","",IF($D6=0,$J6,IF(AND($F6&lt;&gt;"",DD6&gt;=$F6),$I6,IF(AND($E6&lt;&gt;"",DD6&gt;=$E6),$H6,$G6))))</f>
        <v/>
      </c>
      <c r="DE7" s="0" t="str">
        <f aca="false">IF(DE6="","",IF($D6=0,$J6,IF(AND($F6&lt;&gt;"",DE6&gt;=$F6),$I6,IF(AND($E6&lt;&gt;"",DE6&gt;=$E6),$H6,$G6))))</f>
        <v/>
      </c>
      <c r="DF7" s="0" t="str">
        <f aca="false">IF(DF6="","",IF($D6=0,$J6,IF(AND($F6&lt;&gt;"",DF6&gt;=$F6),$I6,IF(AND($E6&lt;&gt;"",DF6&gt;=$E6),$H6,$G6))))</f>
        <v/>
      </c>
      <c r="DG7" s="0" t="str">
        <f aca="false">IF(DG6="","",IF($D6=0,$J6,IF(AND($F6&lt;&gt;"",DG6&gt;=$F6),$I6,IF(AND($E6&lt;&gt;"",DG6&gt;=$E6),$H6,$G6))))</f>
        <v/>
      </c>
      <c r="DH7" s="0" t="str">
        <f aca="false">IF(DH6="","",IF($D6=0,$J6,IF(AND($F6&lt;&gt;"",DH6&gt;=$F6),$I6,IF(AND($E6&lt;&gt;"",DH6&gt;=$E6),$H6,$G6))))</f>
        <v/>
      </c>
      <c r="DI7" s="0" t="str">
        <f aca="false">IF(DI6="","",IF($D6=0,$J6,IF(AND($F6&lt;&gt;"",DI6&gt;=$F6),$I6,IF(AND($E6&lt;&gt;"",DI6&gt;=$E6),$H6,$G6))))</f>
        <v/>
      </c>
      <c r="DJ7" s="0" t="str">
        <f aca="false">IF(DJ6="","",IF($D6=0,$J6,IF(AND($F6&lt;&gt;"",DJ6&gt;=$F6),$I6,IF(AND($E6&lt;&gt;"",DJ6&gt;=$E6),$H6,$G6))))</f>
        <v/>
      </c>
      <c r="DK7" s="0" t="str">
        <f aca="false">IF(DK6="","",IF($D6=0,$J6,IF(AND($F6&lt;&gt;"",DK6&gt;=$F6),$I6,IF(AND($E6&lt;&gt;"",DK6&gt;=$E6),$H6,$G6))))</f>
        <v/>
      </c>
      <c r="DL7" s="0" t="str">
        <f aca="false">IF(DL6="","",IF($D6=0,$J6,IF(AND($F6&lt;&gt;"",DL6&gt;=$F6),$I6,IF(AND($E6&lt;&gt;"",DL6&gt;=$E6),$H6,$G6))))</f>
        <v/>
      </c>
      <c r="DM7" s="0" t="str">
        <f aca="false">IF(DM6="","",IF($D6=0,$J6,IF(AND($F6&lt;&gt;"",DM6&gt;=$F6),$I6,IF(AND($E6&lt;&gt;"",DM6&gt;=$E6),$H6,$G6))))</f>
        <v/>
      </c>
      <c r="DN7" s="0" t="str">
        <f aca="false">IF(DN6="","",IF($D6=0,$J6,IF(AND($F6&lt;&gt;"",DN6&gt;=$F6),$I6,IF(AND($E6&lt;&gt;"",DN6&gt;=$E6),$H6,$G6))))</f>
        <v/>
      </c>
      <c r="DO7" s="0" t="str">
        <f aca="false">IF(DO6="","",IF($D6=0,$J6,IF(AND($F6&lt;&gt;"",DO6&gt;=$F6),$I6,IF(AND($E6&lt;&gt;"",DO6&gt;=$E6),$H6,$G6))))</f>
        <v/>
      </c>
      <c r="DP7" s="0" t="str">
        <f aca="false">IF(DP6="","",IF($D6=0,$J6,IF(AND($F6&lt;&gt;"",DP6&gt;=$F6),$I6,IF(AND($E6&lt;&gt;"",DP6&gt;=$E6),$H6,$G6))))</f>
        <v/>
      </c>
      <c r="DQ7" s="0" t="str">
        <f aca="false">IF(DQ6="","",IF($D6=0,$J6,IF(AND($F6&lt;&gt;"",DQ6&gt;=$F6),$I6,IF(AND($E6&lt;&gt;"",DQ6&gt;=$E6),$H6,$G6))))</f>
        <v/>
      </c>
      <c r="DR7" s="0" t="str">
        <f aca="false">IF(DR6="","",IF($D6=0,$J6,IF(AND($F6&lt;&gt;"",DR6&gt;=$F6),$I6,IF(AND($E6&lt;&gt;"",DR6&gt;=$E6),$H6,$G6))))</f>
        <v/>
      </c>
      <c r="DS7" s="0" t="str">
        <f aca="false">IF(DS6="","",IF($D6=0,$J6,IF(AND($F6&lt;&gt;"",DS6&gt;=$F6),$I6,IF(AND($E6&lt;&gt;"",DS6&gt;=$E6),$H6,$G6))))</f>
        <v/>
      </c>
      <c r="DT7" s="0" t="str">
        <f aca="false">IF(DT6="","",IF($D6=0,$J6,IF(AND($F6&lt;&gt;"",DT6&gt;=$F6),$I6,IF(AND($E6&lt;&gt;"",DT6&gt;=$E6),$H6,$G6))))</f>
        <v/>
      </c>
      <c r="DU7" s="0" t="str">
        <f aca="false">IF(DU6="","",IF($D6=0,$J6,IF(AND($F6&lt;&gt;"",DU6&gt;=$F6),$I6,IF(AND($E6&lt;&gt;"",DU6&gt;=$E6),$H6,$G6))))</f>
        <v/>
      </c>
      <c r="DV7" s="0" t="str">
        <f aca="false">IF(DV6="","",IF($D6=0,$J6,IF(AND($F6&lt;&gt;"",DV6&gt;=$F6),$I6,IF(AND($E6&lt;&gt;"",DV6&gt;=$E6),$H6,$G6))))</f>
        <v/>
      </c>
      <c r="DW7" s="0" t="str">
        <f aca="false">IF(DW6="","",IF($D6=0,$J6,IF(AND($F6&lt;&gt;"",DW6&gt;=$F6),$I6,IF(AND($E6&lt;&gt;"",DW6&gt;=$E6),$H6,$G6))))</f>
        <v/>
      </c>
      <c r="DX7" s="0" t="str">
        <f aca="false">IF(DX6="","",IF($D6=0,$J6,IF(AND($F6&lt;&gt;"",DX6&gt;=$F6),$I6,IF(AND($E6&lt;&gt;"",DX6&gt;=$E6),$H6,$G6))))</f>
        <v/>
      </c>
      <c r="DY7" s="0" t="str">
        <f aca="false">IF(DY6="","",IF($D6=0,$J6,IF(AND($F6&lt;&gt;"",DY6&gt;=$F6),$I6,IF(AND($E6&lt;&gt;"",DY6&gt;=$E6),$H6,$G6))))</f>
        <v/>
      </c>
      <c r="DZ7" s="0" t="str">
        <f aca="false">IF(DZ6="","",IF($D6=0,$J6,IF(AND($F6&lt;&gt;"",DZ6&gt;=$F6),$I6,IF(AND($E6&lt;&gt;"",DZ6&gt;=$E6),$H6,$G6))))</f>
        <v/>
      </c>
      <c r="EA7" s="0" t="str">
        <f aca="false">IF(EA6="","",IF($D6=0,$J6,IF(AND($F6&lt;&gt;"",EA6&gt;=$F6),$I6,IF(AND($E6&lt;&gt;"",EA6&gt;=$E6),$H6,$G6))))</f>
        <v/>
      </c>
      <c r="EB7" s="0" t="str">
        <f aca="false">IF(EB6="","",IF($D6=0,$J6,IF(AND($F6&lt;&gt;"",EB6&gt;=$F6),$I6,IF(AND($E6&lt;&gt;"",EB6&gt;=$E6),$H6,$G6))))</f>
        <v/>
      </c>
      <c r="EC7" s="0" t="str">
        <f aca="false">IF(EC6="","",IF($D6=0,$J6,IF(AND($F6&lt;&gt;"",EC6&gt;=$F6),$I6,IF(AND($E6&lt;&gt;"",EC6&gt;=$E6),$H6,$G6))))</f>
        <v/>
      </c>
      <c r="ED7" s="0" t="str">
        <f aca="false">IF(ED6="","",IF($D6=0,$J6,IF(AND($F6&lt;&gt;"",ED6&gt;=$F6),$I6,IF(AND($E6&lt;&gt;"",ED6&gt;=$E6),$H6,$G6))))</f>
        <v/>
      </c>
      <c r="EE7" s="0" t="str">
        <f aca="false">IF(EE6="","",IF($D6=0,$J6,IF(AND($F6&lt;&gt;"",EE6&gt;=$F6),$I6,IF(AND($E6&lt;&gt;"",EE6&gt;=$E6),$H6,$G6))))</f>
        <v/>
      </c>
      <c r="EF7" s="0" t="str">
        <f aca="false">IF(EF6="","",IF($D6=0,$J6,IF(AND($F6&lt;&gt;"",EF6&gt;=$F6),$I6,IF(AND($E6&lt;&gt;"",EF6&gt;=$E6),$H6,$G6))))</f>
        <v/>
      </c>
      <c r="EG7" s="0" t="str">
        <f aca="false">IF(EG6="","",IF($D6=0,$J6,IF(AND($F6&lt;&gt;"",EG6&gt;=$F6),$I6,IF(AND($E6&lt;&gt;"",EG6&gt;=$E6),$H6,$G6))))</f>
        <v/>
      </c>
      <c r="EH7" s="0" t="str">
        <f aca="false">IF(EH6="","",IF($D6=0,$J6,IF(AND($F6&lt;&gt;"",EH6&gt;=$F6),$I6,IF(AND($E6&lt;&gt;"",EH6&gt;=$E6),$H6,$G6))))</f>
        <v/>
      </c>
      <c r="EI7" s="0" t="str">
        <f aca="false">IF(EI6="","",IF($D6=0,$J6,IF(AND($F6&lt;&gt;"",EI6&gt;=$F6),$I6,IF(AND($E6&lt;&gt;"",EI6&gt;=$E6),$H6,$G6))))</f>
        <v/>
      </c>
      <c r="EJ7" s="0" t="str">
        <f aca="false">IF(EJ6="","",IF($D6=0,$J6,IF(AND($F6&lt;&gt;"",EJ6&gt;=$F6),$I6,IF(AND($E6&lt;&gt;"",EJ6&gt;=$E6),$H6,$G6))))</f>
        <v/>
      </c>
      <c r="EK7" s="0" t="str">
        <f aca="false">IF(EK6="","",IF($D6=0,$J6,IF(AND($F6&lt;&gt;"",EK6&gt;=$F6),$I6,IF(AND($E6&lt;&gt;"",EK6&gt;=$E6),$H6,$G6))))</f>
        <v/>
      </c>
      <c r="EL7" s="0" t="str">
        <f aca="false">IF(EL6="","",IF($D6=0,$J6,IF(AND($F6&lt;&gt;"",EL6&gt;=$F6),$I6,IF(AND($E6&lt;&gt;"",EL6&gt;=$E6),$H6,$G6))))</f>
        <v/>
      </c>
      <c r="EM7" s="0" t="str">
        <f aca="false">IF(EM6="","",IF($D6=0,$J6,IF(AND($F6&lt;&gt;"",EM6&gt;=$F6),$I6,IF(AND($E6&lt;&gt;"",EM6&gt;=$E6),$H6,$G6))))</f>
        <v/>
      </c>
      <c r="EN7" s="0" t="str">
        <f aca="false">IF(EN6="","",IF($D6=0,$J6,IF(AND($F6&lt;&gt;"",EN6&gt;=$F6),$I6,IF(AND($E6&lt;&gt;"",EN6&gt;=$E6),$H6,$G6))))</f>
        <v/>
      </c>
      <c r="EO7" s="0" t="str">
        <f aca="false">IF(EO6="","",IF($D6=0,$J6,IF(AND($F6&lt;&gt;"",EO6&gt;=$F6),$I6,IF(AND($E6&lt;&gt;"",EO6&gt;=$E6),$H6,$G6))))</f>
        <v/>
      </c>
      <c r="EP7" s="0" t="str">
        <f aca="false">IF(EP6="","",IF($D6=0,$J6,IF(AND($F6&lt;&gt;"",EP6&gt;=$F6),$I6,IF(AND($E6&lt;&gt;"",EP6&gt;=$E6),$H6,$G6))))</f>
        <v/>
      </c>
      <c r="EQ7" s="0" t="str">
        <f aca="false">IF(EQ6="","",IF($D6=0,$J6,IF(AND($F6&lt;&gt;"",EQ6&gt;=$F6),$I6,IF(AND($E6&lt;&gt;"",EQ6&gt;=$E6),$H6,$G6))))</f>
        <v/>
      </c>
      <c r="ER7" s="0" t="str">
        <f aca="false">IF(ER6="","",IF($D6=0,$J6,IF(AND($F6&lt;&gt;"",ER6&gt;=$F6),$I6,IF(AND($E6&lt;&gt;"",ER6&gt;=$E6),$H6,$G6))))</f>
        <v/>
      </c>
      <c r="ES7" s="0" t="str">
        <f aca="false">IF(ES6="","",IF($D6=0,$J6,IF(AND($F6&lt;&gt;"",ES6&gt;=$F6),$I6,IF(AND($E6&lt;&gt;"",ES6&gt;=$E6),$H6,$G6))))</f>
        <v/>
      </c>
      <c r="ET7" s="0" t="str">
        <f aca="false">IF(ET6="","",IF($D6=0,$J6,IF(AND($F6&lt;&gt;"",ET6&gt;=$F6),$I6,IF(AND($E6&lt;&gt;"",ET6&gt;=$E6),$H6,$G6))))</f>
        <v/>
      </c>
      <c r="EU7" s="0" t="str">
        <f aca="false">IF(EU6="","",IF($D6=0,$J6,IF(AND($F6&lt;&gt;"",EU6&gt;=$F6),$I6,IF(AND($E6&lt;&gt;"",EU6&gt;=$E6),$H6,$G6))))</f>
        <v/>
      </c>
      <c r="EV7" s="0" t="str">
        <f aca="false">IF(EV6="","",IF($D6=0,$J6,IF(AND($F6&lt;&gt;"",EV6&gt;=$F6),$I6,IF(AND($E6&lt;&gt;"",EV6&gt;=$E6),$H6,$G6))))</f>
        <v/>
      </c>
      <c r="EW7" s="0" t="str">
        <f aca="false">IF(EW6="","",IF($D6=0,$J6,IF(AND($F6&lt;&gt;"",EW6&gt;=$F6),$I6,IF(AND($E6&lt;&gt;"",EW6&gt;=$E6),$H6,$G6))))</f>
        <v/>
      </c>
      <c r="EX7" s="0" t="str">
        <f aca="false">IF(EX6="","",IF($D6=0,$J6,IF(AND($F6&lt;&gt;"",EX6&gt;=$F6),$I6,IF(AND($E6&lt;&gt;"",EX6&gt;=$E6),$H6,$G6))))</f>
        <v/>
      </c>
      <c r="EY7" s="0" t="str">
        <f aca="false">IF(EY6="","",IF($D6=0,$J6,IF(AND($F6&lt;&gt;"",EY6&gt;=$F6),$I6,IF(AND($E6&lt;&gt;"",EY6&gt;=$E6),$H6,$G6))))</f>
        <v/>
      </c>
      <c r="EZ7" s="0" t="str">
        <f aca="false">IF(EZ6="","",IF($D6=0,$J6,IF(AND($F6&lt;&gt;"",EZ6&gt;=$F6),$I6,IF(AND($E6&lt;&gt;"",EZ6&gt;=$E6),$H6,$G6))))</f>
        <v/>
      </c>
      <c r="FA7" s="0" t="str">
        <f aca="false">IF(FA6="","",IF($D6=0,$J6,IF(AND($F6&lt;&gt;"",FA6&gt;=$F6),$I6,IF(AND($E6&lt;&gt;"",FA6&gt;=$E6),$H6,$G6))))</f>
        <v/>
      </c>
      <c r="FB7" s="0" t="str">
        <f aca="false">IF(FB6="","",IF($D6=0,$J6,IF(AND($F6&lt;&gt;"",FB6&gt;=$F6),$I6,IF(AND($E6&lt;&gt;"",FB6&gt;=$E6),$H6,$G6))))</f>
        <v/>
      </c>
      <c r="FC7" s="0" t="str">
        <f aca="false">IF(FC6="","",IF($D6=0,$J6,IF(AND($F6&lt;&gt;"",FC6&gt;=$F6),$I6,IF(AND($E6&lt;&gt;"",FC6&gt;=$E6),$H6,$G6))))</f>
        <v/>
      </c>
      <c r="FD7" s="0" t="str">
        <f aca="false">IF(FD6="","",IF($D6=0,$J6,IF(AND($F6&lt;&gt;"",FD6&gt;=$F6),$I6,IF(AND($E6&lt;&gt;"",FD6&gt;=$E6),$H6,$G6))))</f>
        <v/>
      </c>
      <c r="FE7" s="0" t="str">
        <f aca="false">IF(FE6="","",IF($D6=0,$J6,IF(AND($F6&lt;&gt;"",FE6&gt;=$F6),$I6,IF(AND($E6&lt;&gt;"",FE6&gt;=$E6),$H6,$G6))))</f>
        <v/>
      </c>
      <c r="FF7" s="0" t="str">
        <f aca="false">IF(FF6="","",IF($D6=0,$J6,IF(AND($F6&lt;&gt;"",FF6&gt;=$F6),$I6,IF(AND($E6&lt;&gt;"",FF6&gt;=$E6),$H6,$G6))))</f>
        <v/>
      </c>
      <c r="FG7" s="0" t="str">
        <f aca="false">IF(FG6="","",IF($D6=0,$J6,IF(AND($F6&lt;&gt;"",FG6&gt;=$F6),$I6,IF(AND($E6&lt;&gt;"",FG6&gt;=$E6),$H6,$G6))))</f>
        <v/>
      </c>
      <c r="FH7" s="0" t="str">
        <f aca="false">IF(FH6="","",IF($D6=0,$J6,IF(AND($F6&lt;&gt;"",FH6&gt;=$F6),$I6,IF(AND($E6&lt;&gt;"",FH6&gt;=$E6),$H6,$G6))))</f>
        <v/>
      </c>
      <c r="FI7" s="0" t="str">
        <f aca="false">IF(FI6="","",IF($D6=0,$J6,IF(AND($F6&lt;&gt;"",FI6&gt;=$F6),$I6,IF(AND($E6&lt;&gt;"",FI6&gt;=$E6),$H6,$G6))))</f>
        <v/>
      </c>
      <c r="FJ7" s="0" t="str">
        <f aca="false">IF(FJ6="","",IF($D6=0,$J6,IF(AND($F6&lt;&gt;"",FJ6&gt;=$F6),$I6,IF(AND($E6&lt;&gt;"",FJ6&gt;=$E6),$H6,$G6))))</f>
        <v/>
      </c>
      <c r="FK7" s="0" t="str">
        <f aca="false">IF(FK6="","",IF($D6=0,$J6,IF(AND($F6&lt;&gt;"",FK6&gt;=$F6),$I6,IF(AND($E6&lt;&gt;"",FK6&gt;=$E6),$H6,$G6))))</f>
        <v/>
      </c>
      <c r="FL7" s="0" t="str">
        <f aca="false">IF(FL6="","",IF($D6=0,$J6,IF(AND($F6&lt;&gt;"",FL6&gt;=$F6),$I6,IF(AND($E6&lt;&gt;"",FL6&gt;=$E6),$H6,$G6))))</f>
        <v/>
      </c>
      <c r="FM7" s="0" t="str">
        <f aca="false">IF(FM6="","",IF($D6=0,$J6,IF(AND($F6&lt;&gt;"",FM6&gt;=$F6),$I6,IF(AND($E6&lt;&gt;"",FM6&gt;=$E6),$H6,$G6))))</f>
        <v/>
      </c>
      <c r="FN7" s="0" t="str">
        <f aca="false">IF(FN6="","",IF($D6=0,$J6,IF(AND($F6&lt;&gt;"",FN6&gt;=$F6),$I6,IF(AND($E6&lt;&gt;"",FN6&gt;=$E6),$H6,$G6))))</f>
        <v/>
      </c>
      <c r="FO7" s="0" t="str">
        <f aca="false">IF(FO6="","",IF($D6=0,$J6,IF(AND($F6&lt;&gt;"",FO6&gt;=$F6),$I6,IF(AND($E6&lt;&gt;"",FO6&gt;=$E6),$H6,$G6))))</f>
        <v/>
      </c>
      <c r="FP7" s="0" t="str">
        <f aca="false">IF(FP6="","",IF($D6=0,$J6,IF(AND($F6&lt;&gt;"",FP6&gt;=$F6),$I6,IF(AND($E6&lt;&gt;"",FP6&gt;=$E6),$H6,$G6))))</f>
        <v/>
      </c>
      <c r="FQ7" s="0" t="str">
        <f aca="false">IF(FQ6="","",IF($D6=0,$J6,IF(AND($F6&lt;&gt;"",FQ6&gt;=$F6),$I6,IF(AND($E6&lt;&gt;"",FQ6&gt;=$E6),$H6,$G6))))</f>
        <v/>
      </c>
      <c r="FR7" s="0" t="str">
        <f aca="false">IF(FR6="","",IF($D6=0,$J6,IF(AND($F6&lt;&gt;"",FR6&gt;=$F6),$I6,IF(AND($E6&lt;&gt;"",FR6&gt;=$E6),$H6,$G6))))</f>
        <v/>
      </c>
      <c r="FS7" s="0" t="str">
        <f aca="false">IF(FS6="","",IF($D6=0,$J6,IF(AND($F6&lt;&gt;"",FS6&gt;=$F6),$I6,IF(AND($E6&lt;&gt;"",FS6&gt;=$E6),$H6,$G6))))</f>
        <v/>
      </c>
      <c r="FT7" s="0" t="str">
        <f aca="false">IF(FT6="","",IF($D6=0,$J6,IF(AND($F6&lt;&gt;"",FT6&gt;=$F6),$I6,IF(AND($E6&lt;&gt;"",FT6&gt;=$E6),$H6,$G6))))</f>
        <v/>
      </c>
      <c r="FU7" s="0" t="str">
        <f aca="false">IF(FU6="","",IF($D6=0,$J6,IF(AND($F6&lt;&gt;"",FU6&gt;=$F6),$I6,IF(AND($E6&lt;&gt;"",FU6&gt;=$E6),$H6,$G6))))</f>
        <v/>
      </c>
      <c r="FV7" s="0" t="str">
        <f aca="false">IF(FV6="","",IF($D6=0,$J6,IF(AND($F6&lt;&gt;"",FV6&gt;=$F6),$I6,IF(AND($E6&lt;&gt;"",FV6&gt;=$E6),$H6,$G6))))</f>
        <v/>
      </c>
      <c r="FW7" s="0" t="str">
        <f aca="false">IF(FW6="","",IF($D6=0,$J6,IF(AND($F6&lt;&gt;"",FW6&gt;=$F6),$I6,IF(AND($E6&lt;&gt;"",FW6&gt;=$E6),$H6,$G6))))</f>
        <v/>
      </c>
      <c r="FX7" s="0" t="str">
        <f aca="false">IF(FX6="","",IF($D6=0,$J6,IF(AND($F6&lt;&gt;"",FX6&gt;=$F6),$I6,IF(AND($E6&lt;&gt;"",FX6&gt;=$E6),$H6,$G6))))</f>
        <v/>
      </c>
      <c r="FY7" s="0" t="str">
        <f aca="false">IF(FY6="","",IF($D6=0,$J6,IF(AND($F6&lt;&gt;"",FY6&gt;=$F6),$I6,IF(AND($E6&lt;&gt;"",FY6&gt;=$E6),$H6,$G6))))</f>
        <v/>
      </c>
      <c r="FZ7" s="0" t="str">
        <f aca="false">IF(FZ6="","",IF($D6=0,$J6,IF(AND($F6&lt;&gt;"",FZ6&gt;=$F6),$I6,IF(AND($E6&lt;&gt;"",FZ6&gt;=$E6),$H6,$G6))))</f>
        <v/>
      </c>
      <c r="GA7" s="0" t="str">
        <f aca="false">IF(GA6="","",IF($D6=0,$J6,IF(AND($F6&lt;&gt;"",GA6&gt;=$F6),$I6,IF(AND($E6&lt;&gt;"",GA6&gt;=$E6),$H6,$G6))))</f>
        <v/>
      </c>
      <c r="GB7" s="0" t="str">
        <f aca="false">IF(GB6="","",IF($D6=0,$J6,IF(AND($F6&lt;&gt;"",GB6&gt;=$F6),$I6,IF(AND($E6&lt;&gt;"",GB6&gt;=$E6),$H6,$G6))))</f>
        <v/>
      </c>
      <c r="GC7" s="0" t="str">
        <f aca="false">IF(GC6="","",IF($D6=0,$J6,IF(AND($F6&lt;&gt;"",GC6&gt;=$F6),$I6,IF(AND($E6&lt;&gt;"",GC6&gt;=$E6),$H6,$G6))))</f>
        <v/>
      </c>
      <c r="GD7" s="0" t="str">
        <f aca="false">IF(GD6="","",IF($D6=0,$J6,IF(AND($F6&lt;&gt;"",GD6&gt;=$F6),$I6,IF(AND($E6&lt;&gt;"",GD6&gt;=$E6),$H6,$G6))))</f>
        <v/>
      </c>
      <c r="GE7" s="0" t="str">
        <f aca="false">IF(GE6="","",IF($D6=0,$J6,IF(AND($F6&lt;&gt;"",GE6&gt;=$F6),$I6,IF(AND($E6&lt;&gt;"",GE6&gt;=$E6),$H6,$G6))))</f>
        <v/>
      </c>
      <c r="GF7" s="0" t="str">
        <f aca="false">IF(GF6="","",IF($D6=0,$J6,IF(AND($F6&lt;&gt;"",GF6&gt;=$F6),$I6,IF(AND($E6&lt;&gt;"",GF6&gt;=$E6),$H6,$G6))))</f>
        <v/>
      </c>
      <c r="GG7" s="0" t="str">
        <f aca="false">IF(GG6="","",IF($D6=0,$J6,IF(AND($F6&lt;&gt;"",GG6&gt;=$F6),$I6,IF(AND($E6&lt;&gt;"",GG6&gt;=$E6),$H6,$G6))))</f>
        <v/>
      </c>
      <c r="GH7" s="0" t="str">
        <f aca="false">IF(GH6="","",IF($D6=0,$J6,IF(AND($F6&lt;&gt;"",GH6&gt;=$F6),$I6,IF(AND($E6&lt;&gt;"",GH6&gt;=$E6),$H6,$G6))))</f>
        <v/>
      </c>
      <c r="GI7" s="0" t="str">
        <f aca="false">IF(GI6="","",IF($D6=0,$J6,IF(AND($F6&lt;&gt;"",GI6&gt;=$F6),$I6,IF(AND($E6&lt;&gt;"",GI6&gt;=$E6),$H6,$G6))))</f>
        <v/>
      </c>
    </row>
    <row r="8" customFormat="false" ht="15" hidden="false" customHeight="false" outlineLevel="0" collapsed="false">
      <c r="K8" s="0" t="s">
        <v>264</v>
      </c>
      <c r="L8" s="0" t="n">
        <f aca="false">IF(L6="",0,IF(AND(L7=Milestones!$AB$20,L6&gt;=SchemeStart),IF(AND(Milestones!$AB$20="FT",Milestones!$AA$20=FT_Y5,L6&lt;PolicyEff),1,Milestones!$AC$20),0))</f>
        <v>0</v>
      </c>
      <c r="M8" s="0" t="n">
        <f aca="false">IF(M6="",0,IF(AND(M7=Milestones!$AB$21,M6&gt;=SchemeStart),IF(AND(Milestones!$AB$21="FT",Milestones!$AA$21=FT_Y5,M6&lt;PolicyEff),1,Milestones!$AC$21),0))</f>
        <v>0</v>
      </c>
      <c r="N8" s="0" t="n">
        <f aca="false">IF(N6="",0,IF(AND(N7=Milestones!$AB$22,N6&gt;=SchemeStart),IF(AND(Milestones!$AB$22="FT",Milestones!$AA$22=FT_Y5,N6&lt;PolicyEff),1,Milestones!$AC$22),0))</f>
        <v>0</v>
      </c>
      <c r="O8" s="0" t="n">
        <f aca="false">IF(O6="",0,IF(AND(O7=Milestones!$AB$23,O6&gt;=SchemeStart),IF(AND(Milestones!$AB$23="FT",Milestones!$AA$23=FT_Y5,O6&lt;PolicyEff),1,Milestones!$AC$23),0))</f>
        <v>0</v>
      </c>
      <c r="P8" s="0" t="n">
        <f aca="false">IF(P6="",0,IF(AND(P7=Milestones!$AB$24,P6&gt;=SchemeStart),IF(AND(Milestones!$AB$24="FT",Milestones!$AA$24=FT_Y5,P6&lt;PolicyEff),1,Milestones!$AC$24),0))</f>
        <v>0</v>
      </c>
      <c r="Q8" s="0" t="n">
        <f aca="false">IF(Q6="",0,IF(AND(Q7=Milestones!$AB$25,Q6&gt;=SchemeStart),IF(AND(Milestones!$AB$25="FT",Milestones!$AA$25=FT_Y5,Q6&lt;PolicyEff),1,Milestones!$AC$25),0))</f>
        <v>0</v>
      </c>
      <c r="R8" s="0" t="n">
        <f aca="false">IF(R6="",0,IF(AND(R7=Milestones!$AB$26,R6&gt;=SchemeStart),IF(AND(Milestones!$AB$26="FT",Milestones!$AA$26=FT_Y5,R6&lt;PolicyEff),1,Milestones!$AC$26),0))</f>
        <v>0</v>
      </c>
      <c r="S8" s="0" t="n">
        <f aca="false">IF(S6="",0,IF(AND(S7=Milestones!$AB$27,S6&gt;=SchemeStart),IF(AND(Milestones!$AB$27="FT",Milestones!$AA$27=FT_Y5,S6&lt;PolicyEff),1,Milestones!$AC$27),0))</f>
        <v>0</v>
      </c>
      <c r="T8" s="0" t="n">
        <f aca="false">IF(T6="",0,IF(AND(T7=Milestones!$AB$28,T6&gt;=SchemeStart),IF(AND(Milestones!$AB$28="FT",Milestones!$AA$28=FT_Y5,T6&lt;PolicyEff),1,Milestones!$AC$28),0))</f>
        <v>0</v>
      </c>
      <c r="U8" s="0" t="n">
        <f aca="false">IF(U6="",0,IF(AND(U7=Milestones!$AB$29,U6&gt;=SchemeStart),IF(AND(Milestones!$AB$29="FT",Milestones!$AA$29=FT_Y5,U6&lt;PolicyEff),1,Milestones!$AC$29),0))</f>
        <v>0</v>
      </c>
      <c r="V8" s="0" t="n">
        <f aca="false">IF(V6="",0,IF(AND(V7=Milestones!$AB$30,V6&gt;=SchemeStart),IF(AND(Milestones!$AB$30="FT",Milestones!$AA$30=FT_Y5,V6&lt;PolicyEff),1,Milestones!$AC$30),0))</f>
        <v>0</v>
      </c>
      <c r="W8" s="0" t="n">
        <f aca="false">IF(W6="",0,IF(AND(W7=Milestones!$AB$31,W6&gt;=SchemeStart),IF(AND(Milestones!$AB$31="FT",Milestones!$AA$31=FT_Y5,W6&lt;PolicyEff),1,Milestones!$AC$31),0))</f>
        <v>0</v>
      </c>
      <c r="X8" s="0" t="n">
        <f aca="false">IF(X6="",0,IF(AND(X7=Milestones!$AB$32,X6&gt;=SchemeStart),IF(AND(Milestones!$AB$32="FT",Milestones!$AA$32=FT_Y5,X6&lt;PolicyEff),1,Milestones!$AC$32),0))</f>
        <v>0</v>
      </c>
      <c r="Y8" s="0" t="n">
        <f aca="false">IF(Y6="",0,IF(AND(Y7=Milestones!$AB$33,Y6&gt;=SchemeStart),IF(AND(Milestones!$AB$33="FT",Milestones!$AA$33=FT_Y5,Y6&lt;PolicyEff),1,Milestones!$AC$33),0))</f>
        <v>0</v>
      </c>
      <c r="Z8" s="0" t="n">
        <f aca="false">IF(Z6="",0,IF(AND(Z7=Milestones!$AB$34,Z6&gt;=SchemeStart),IF(AND(Milestones!$AB$34="FT",Milestones!$AA$34=FT_Y5,Z6&lt;PolicyEff),1,Milestones!$AC$34),0))</f>
        <v>0</v>
      </c>
      <c r="AA8" s="0" t="n">
        <f aca="false">IF(AA6="",0,IF(AND(AA7=Milestones!$AB$35,AA6&gt;=SchemeStart),IF(AND(Milestones!$AB$35="FT",Milestones!$AA$35=FT_Y5,AA6&lt;PolicyEff),1,Milestones!$AC$35),0))</f>
        <v>0</v>
      </c>
      <c r="AB8" s="0" t="n">
        <f aca="false">IF(AB6="",0,IF(AND(AB7=Milestones!$AB$36,AB6&gt;=SchemeStart),IF(AND(Milestones!$AB$36="FT",Milestones!$AA$36=FT_Y5,AB6&lt;PolicyEff),1,Milestones!$AC$36),0))</f>
        <v>0</v>
      </c>
      <c r="AC8" s="0" t="n">
        <f aca="false">IF(AC6="",0,IF(AND(AC7=Milestones!$AB$37,AC6&gt;=SchemeStart),IF(AND(Milestones!$AB$37="FT",Milestones!$AA$37=FT_Y5,AC6&lt;PolicyEff),1,Milestones!$AC$37),0))</f>
        <v>0</v>
      </c>
      <c r="AD8" s="0" t="n">
        <f aca="false">IF(AD6="",0,IF(AND(AD7=Milestones!$AB$38,AD6&gt;=SchemeStart),IF(AND(Milestones!$AB$38="FT",Milestones!$AA$38=FT_Y5,AD6&lt;PolicyEff),1,Milestones!$AC$38),0))</f>
        <v>0</v>
      </c>
      <c r="AE8" s="0" t="n">
        <f aca="false">IF(AE6="",0,IF(AND(AE7=Milestones!$AB$39,AE6&gt;=SchemeStart),IF(AND(Milestones!$AB$39="FT",Milestones!$AA$39=FT_Y5,AE6&lt;PolicyEff),1,Milestones!$AC$39),0))</f>
        <v>0</v>
      </c>
      <c r="AF8" s="0" t="n">
        <f aca="false">IF(AF6="",0,IF(AND(AF7=Milestones!$AB$40,AF6&gt;=SchemeStart),IF(AND(Milestones!$AB$40="FT",Milestones!$AA$40=FT_Y5,AF6&lt;PolicyEff),1,Milestones!$AC$40),0))</f>
        <v>0</v>
      </c>
      <c r="AG8" s="0" t="n">
        <f aca="false">IF(AG6="",0,IF(AND(AG7=Milestones!$AB$41,AG6&gt;=SchemeStart),IF(AND(Milestones!$AB$41="FT",Milestones!$AA$41=FT_Y5,AG6&lt;PolicyEff),1,Milestones!$AC$41),0))</f>
        <v>0</v>
      </c>
      <c r="AH8" s="0" t="n">
        <f aca="false">IF(AH6="",0,IF(AND(AH7=Milestones!$AB$42,AH6&gt;=SchemeStart),IF(AND(Milestones!$AB$42="FT",Milestones!$AA$42=FT_Y5,AH6&lt;PolicyEff),1,Milestones!$AC$42),0))</f>
        <v>0</v>
      </c>
      <c r="AI8" s="0" t="n">
        <f aca="false">IF(AI6="",0,IF(AND(AI7=Milestones!$AB$43,AI6&gt;=SchemeStart),IF(AND(Milestones!$AB$43="FT",Milestones!$AA$43=FT_Y5,AI6&lt;PolicyEff),1,Milestones!$AC$43),0))</f>
        <v>0</v>
      </c>
      <c r="AJ8" s="0" t="n">
        <f aca="false">IF(AJ6="",0,IF(AND(AJ7=Milestones!$AB$44,AJ6&gt;=SchemeStart),IF(AND(Milestones!$AB$44="FT",Milestones!$AA$44=FT_Y5,AJ6&lt;PolicyEff),1,Milestones!$AC$44),0))</f>
        <v>0</v>
      </c>
      <c r="AK8" s="0" t="n">
        <f aca="false">IF(AK6="",0,IF(AND(AK7=Milestones!$AB$45,AK6&gt;=SchemeStart),IF(AND(Milestones!$AB$45="FT",Milestones!$AA$45=FT_Y5,AK6&lt;PolicyEff),1,Milestones!$AC$45),0))</f>
        <v>0</v>
      </c>
      <c r="AL8" s="0" t="n">
        <f aca="false">IF(AL6="",0,IF(AND(AL7=Milestones!$AB$46,AL6&gt;=SchemeStart),IF(AND(Milestones!$AB$46="FT",Milestones!$AA$46=FT_Y5,AL6&lt;PolicyEff),1,Milestones!$AC$46),0))</f>
        <v>0</v>
      </c>
      <c r="AM8" s="0" t="n">
        <f aca="false">IF(AM6="",0,IF(AND(AM7=Milestones!$AB$47,AM6&gt;=SchemeStart),IF(AND(Milestones!$AB$47="FT",Milestones!$AA$47=FT_Y5,AM6&lt;PolicyEff),1,Milestones!$AC$47),0))</f>
        <v>0</v>
      </c>
      <c r="AN8" s="0" t="n">
        <f aca="false">IF(AN6="",0,IF(AND(AN7=Milestones!$AB$48,AN6&gt;=SchemeStart),IF(AND(Milestones!$AB$48="FT",Milestones!$AA$48=FT_Y5,AN6&lt;PolicyEff),1,Milestones!$AC$48),0))</f>
        <v>0</v>
      </c>
      <c r="AO8" s="0" t="n">
        <f aca="false">IF(AO6="",0,IF(AND(AO7=Milestones!$AB$49,AO6&gt;=SchemeStart),IF(AND(Milestones!$AB$49="FT",Milestones!$AA$49=FT_Y5,AO6&lt;PolicyEff),1,Milestones!$AC$49),0))</f>
        <v>0</v>
      </c>
      <c r="AP8" s="0" t="n">
        <f aca="false">IF(AP6="",0,IF(AND(AP7=Milestones!$AB$50,AP6&gt;=SchemeStart),IF(AND(Milestones!$AB$50="FT",Milestones!$AA$50=FT_Y5,AP6&lt;PolicyEff),1,Milestones!$AC$50),0))</f>
        <v>0</v>
      </c>
      <c r="AQ8" s="0" t="n">
        <f aca="false">IF(AQ6="",0,IF(AND(AQ7=Milestones!$AB$51,AQ6&gt;=SchemeStart),IF(AND(Milestones!$AB$51="FT",Milestones!$AA$51=FT_Y5,AQ6&lt;PolicyEff),1,Milestones!$AC$51),0))</f>
        <v>0</v>
      </c>
      <c r="AR8" s="0" t="n">
        <f aca="false">IF(AR6="",0,IF(AND(AR7=Milestones!$AB$52,AR6&gt;=SchemeStart),IF(AND(Milestones!$AB$52="FT",Milestones!$AA$52=FT_Y5,AR6&lt;PolicyEff),1,Milestones!$AC$52),0))</f>
        <v>0</v>
      </c>
      <c r="AS8" s="0" t="n">
        <f aca="false">IF(AS6="",0,IF(AND(AS7=Milestones!$AB$53,AS6&gt;=SchemeStart),IF(AND(Milestones!$AB$53="FT",Milestones!$AA$53=FT_Y5,AS6&lt;PolicyEff),1,Milestones!$AC$53),0))</f>
        <v>0</v>
      </c>
      <c r="AT8" s="0" t="n">
        <f aca="false">IF(AT6="",0,IF(AND(AT7=Milestones!$AB$54,AT6&gt;=SchemeStart),IF(AND(Milestones!$AB$54="FT",Milestones!$AA$54=FT_Y5,AT6&lt;PolicyEff),1,Milestones!$AC$54),0))</f>
        <v>0</v>
      </c>
      <c r="AU8" s="0" t="n">
        <f aca="false">IF(AU6="",0,IF(AND(AU7=Milestones!$AB$55,AU6&gt;=SchemeStart),IF(AND(Milestones!$AB$55="FT",Milestones!$AA$55=FT_Y5,AU6&lt;PolicyEff),1,Milestones!$AC$55),0))</f>
        <v>0</v>
      </c>
      <c r="AV8" s="0" t="n">
        <f aca="false">IF(AV6="",0,IF(AND(AV7=Milestones!$AB$56,AV6&gt;=SchemeStart),IF(AND(Milestones!$AB$56="FT",Milestones!$AA$56=FT_Y5,AV6&lt;PolicyEff),1,Milestones!$AC$56),0))</f>
        <v>0</v>
      </c>
      <c r="AW8" s="0" t="n">
        <f aca="false">IF(AW6="",0,IF(AND(AW7=Milestones!$AB$57,AW6&gt;=SchemeStart),IF(AND(Milestones!$AB$57="FT",Milestones!$AA$57=FT_Y5,AW6&lt;PolicyEff),1,Milestones!$AC$57),0))</f>
        <v>0</v>
      </c>
      <c r="AX8" s="0" t="n">
        <f aca="false">IF(AX6="",0,IF(AND(AX7=Milestones!$AB$58,AX6&gt;=SchemeStart),IF(AND(Milestones!$AB$58="FT",Milestones!$AA$58=FT_Y5,AX6&lt;PolicyEff),1,Milestones!$AC$58),0))</f>
        <v>0</v>
      </c>
      <c r="AY8" s="0" t="n">
        <f aca="false">IF(AY6="",0,IF(AND(AY7=Milestones!$AB$59,AY6&gt;=SchemeStart),IF(AND(Milestones!$AB$59="FT",Milestones!$AA$59=FT_Y5,AY6&lt;PolicyEff),1,Milestones!$AC$59),0))</f>
        <v>0</v>
      </c>
      <c r="AZ8" s="0" t="n">
        <f aca="false">IF(AZ6="",0,IF(AND(AZ7=Milestones!$AB$60,AZ6&gt;=SchemeStart),IF(AND(Milestones!$AB$60="FT",Milestones!$AA$60=FT_Y5,AZ6&lt;PolicyEff),1,Milestones!$AC$60),0))</f>
        <v>0</v>
      </c>
      <c r="BA8" s="0" t="n">
        <f aca="false">IF(BA6="",0,IF(AND(BA7=Milestones!$AB$61,BA6&gt;=SchemeStart),IF(AND(Milestones!$AB$61="FT",Milestones!$AA$61=FT_Y5,BA6&lt;PolicyEff),1,Milestones!$AC$61),0))</f>
        <v>0</v>
      </c>
      <c r="BB8" s="0" t="n">
        <f aca="false">IF(BB6="",0,IF(AND(BB7=Milestones!$AB$62,BB6&gt;=SchemeStart),IF(AND(Milestones!$AB$62="FT",Milestones!$AA$62=FT_Y5,BB6&lt;PolicyEff),1,Milestones!$AC$62),0))</f>
        <v>0</v>
      </c>
      <c r="BC8" s="0" t="n">
        <f aca="false">IF(BC6="",0,IF(AND(BC7=Milestones!$AB$63,BC6&gt;=SchemeStart),IF(AND(Milestones!$AB$63="FT",Milestones!$AA$63=FT_Y5,BC6&lt;PolicyEff),1,Milestones!$AC$63),0))</f>
        <v>0</v>
      </c>
      <c r="BD8" s="0" t="n">
        <f aca="false">IF(BD6="",0,IF(AND(BD7=Milestones!$AB$64,BD6&gt;=SchemeStart),IF(AND(Milestones!$AB$64="FT",Milestones!$AA$64=FT_Y5,BD6&lt;PolicyEff),1,Milestones!$AC$64),0))</f>
        <v>0</v>
      </c>
      <c r="BE8" s="0" t="n">
        <f aca="false">IF(BE6="",0,IF(AND(BE7=Milestones!$AB$65,BE6&gt;=SchemeStart),IF(AND(Milestones!$AB$65="FT",Milestones!$AA$65=FT_Y5,BE6&lt;PolicyEff),1,Milestones!$AC$65),0))</f>
        <v>0</v>
      </c>
      <c r="BF8" s="0" t="n">
        <f aca="false">IF(BF6="",0,IF(AND(BF7=Milestones!$AB$66,BF6&gt;=SchemeStart),IF(AND(Milestones!$AB$66="FT",Milestones!$AA$66=FT_Y5,BF6&lt;PolicyEff),1,Milestones!$AC$66),0))</f>
        <v>0</v>
      </c>
      <c r="BG8" s="0" t="n">
        <f aca="false">IF(BG6="",0,IF(AND(BG7=Milestones!$AB$67,BG6&gt;=SchemeStart),IF(AND(Milestones!$AB$67="FT",Milestones!$AA$67=FT_Y5,BG6&lt;PolicyEff),1,Milestones!$AC$67),0))</f>
        <v>0</v>
      </c>
      <c r="BH8" s="0" t="n">
        <f aca="false">IF(BH6="",0,IF(AND(BH7=Milestones!$AB$68,BH6&gt;=SchemeStart),IF(AND(Milestones!$AB$68="FT",Milestones!$AA$68=FT_Y5,BH6&lt;PolicyEff),1,Milestones!$AC$68),0))</f>
        <v>0</v>
      </c>
      <c r="BI8" s="0" t="n">
        <f aca="false">IF(BI6="",0,IF(AND(BI7=Milestones!$AB$69,BI6&gt;=SchemeStart),IF(AND(Milestones!$AB$69="FT",Milestones!$AA$69=FT_Y5,BI6&lt;PolicyEff),1,Milestones!$AC$69),0))</f>
        <v>0</v>
      </c>
      <c r="BJ8" s="0" t="n">
        <f aca="false">IF(BJ6="",0,IF(AND(BJ7=Milestones!$AB$70,BJ6&gt;=SchemeStart),IF(AND(Milestones!$AB$70="FT",Milestones!$AA$70=FT_Y5,BJ6&lt;PolicyEff),1,Milestones!$AC$70),0))</f>
        <v>0</v>
      </c>
      <c r="BK8" s="0" t="n">
        <f aca="false">IF(BK6="",0,IF(AND(BK7=Milestones!$AB$71,BK6&gt;=SchemeStart),IF(AND(Milestones!$AB$71="FT",Milestones!$AA$71=FT_Y5,BK6&lt;PolicyEff),1,Milestones!$AC$71),0))</f>
        <v>0</v>
      </c>
      <c r="BL8" s="0" t="n">
        <f aca="false">IF(BL6="",0,IF(AND(BL7=Milestones!$AB$72,BL6&gt;=SchemeStart),IF(AND(Milestones!$AB$72="FT",Milestones!$AA$72=FT_Y5,BL6&lt;PolicyEff),1,Milestones!$AC$72),0))</f>
        <v>0</v>
      </c>
      <c r="BM8" s="0" t="n">
        <f aca="false">IF(BM6="",0,IF(AND(BM7=Milestones!$AB$73,BM6&gt;=SchemeStart),IF(AND(Milestones!$AB$73="FT",Milestones!$AA$73=FT_Y5,BM6&lt;PolicyEff),1,Milestones!$AC$73),0))</f>
        <v>0</v>
      </c>
      <c r="BN8" s="0" t="n">
        <f aca="false">IF(BN6="",0,IF(AND(BN7=Milestones!$AB$74,BN6&gt;=SchemeStart),IF(AND(Milestones!$AB$74="FT",Milestones!$AA$74=FT_Y5,BN6&lt;PolicyEff),1,Milestones!$AC$74),0))</f>
        <v>0</v>
      </c>
      <c r="BO8" s="0" t="n">
        <f aca="false">IF(BO6="",0,IF(AND(BO7=Milestones!$AB$75,BO6&gt;=SchemeStart),IF(AND(Milestones!$AB$75="FT",Milestones!$AA$75=FT_Y5,BO6&lt;PolicyEff),1,Milestones!$AC$75),0))</f>
        <v>0</v>
      </c>
      <c r="BP8" s="0" t="n">
        <f aca="false">IF(BP6="",0,IF(AND(BP7=Milestones!$AB$76,BP6&gt;=SchemeStart),IF(AND(Milestones!$AB$76="FT",Milestones!$AA$76=FT_Y5,BP6&lt;PolicyEff),1,Milestones!$AC$76),0))</f>
        <v>0</v>
      </c>
      <c r="BQ8" s="0" t="n">
        <f aca="false">IF(BQ6="",0,IF(AND(BQ7=Milestones!$AB$77,BQ6&gt;=SchemeStart),IF(AND(Milestones!$AB$77="FT",Milestones!$AA$77=FT_Y5,BQ6&lt;PolicyEff),1,Milestones!$AC$77),0))</f>
        <v>0</v>
      </c>
      <c r="BR8" s="0" t="n">
        <f aca="false">IF(BR6="",0,IF(AND(BR7=Milestones!$AB$78,BR6&gt;=SchemeStart),IF(AND(Milestones!$AB$78="FT",Milestones!$AA$78=FT_Y5,BR6&lt;PolicyEff),1,Milestones!$AC$78),0))</f>
        <v>0</v>
      </c>
      <c r="BS8" s="0" t="n">
        <f aca="false">IF(BS6="",0,IF(AND(BS7=Milestones!$AB$79,BS6&gt;=SchemeStart),IF(AND(Milestones!$AB$79="FT",Milestones!$AA$79=FT_Y5,BS6&lt;PolicyEff),1,Milestones!$AC$79),0))</f>
        <v>0</v>
      </c>
      <c r="BT8" s="0" t="n">
        <f aca="false">IF(BT6="",0,IF(AND(BT7=Milestones!$AB$80,BT6&gt;=SchemeStart),IF(AND(Milestones!$AB$80="FT",Milestones!$AA$80=FT_Y5,BT6&lt;PolicyEff),1,Milestones!$AC$80),0))</f>
        <v>0</v>
      </c>
      <c r="BU8" s="0" t="n">
        <f aca="false">IF(BU6="",0,IF(AND(BU7=Milestones!$AB$81,BU6&gt;=SchemeStart),IF(AND(Milestones!$AB$81="FT",Milestones!$AA$81=FT_Y5,BU6&lt;PolicyEff),1,Milestones!$AC$81),0))</f>
        <v>0</v>
      </c>
      <c r="BV8" s="0" t="n">
        <f aca="false">IF(BV6="",0,IF(AND(BV7=Milestones!$AB$82,BV6&gt;=SchemeStart),IF(AND(Milestones!$AB$82="FT",Milestones!$AA$82=FT_Y5,BV6&lt;PolicyEff),1,Milestones!$AC$82),0))</f>
        <v>0</v>
      </c>
      <c r="BW8" s="0" t="n">
        <f aca="false">IF(BW6="",0,IF(AND(BW7=Milestones!$AB$83,BW6&gt;=SchemeStart),IF(AND(Milestones!$AB$83="FT",Milestones!$AA$83=FT_Y5,BW6&lt;PolicyEff),1,Milestones!$AC$83),0))</f>
        <v>0</v>
      </c>
      <c r="BX8" s="0" t="n">
        <f aca="false">IF(BX6="",0,IF(AND(BX7=Milestones!$AB$84,BX6&gt;=SchemeStart),IF(AND(Milestones!$AB$84="FT",Milestones!$AA$84=FT_Y5,BX6&lt;PolicyEff),1,Milestones!$AC$84),0))</f>
        <v>0</v>
      </c>
      <c r="BY8" s="0" t="n">
        <f aca="false">IF(BY6="",0,IF(AND(BY7=Milestones!$AB$85,BY6&gt;=SchemeStart),IF(AND(Milestones!$AB$85="FT",Milestones!$AA$85=FT_Y5,BY6&lt;PolicyEff),1,Milestones!$AC$85),0))</f>
        <v>0</v>
      </c>
      <c r="BZ8" s="0" t="n">
        <f aca="false">IF(BZ6="",0,IF(AND(BZ7=Milestones!$AB$86,BZ6&gt;=SchemeStart),IF(AND(Milestones!$AB$86="FT",Milestones!$AA$86=FT_Y5,BZ6&lt;PolicyEff),1,Milestones!$AC$86),0))</f>
        <v>0</v>
      </c>
      <c r="CA8" s="0" t="n">
        <f aca="false">IF(CA6="",0,IF(AND(CA7=Milestones!$AB$87,CA6&gt;=SchemeStart),IF(AND(Milestones!$AB$87="FT",Milestones!$AA$87=FT_Y5,CA6&lt;PolicyEff),1,Milestones!$AC$87),0))</f>
        <v>0</v>
      </c>
      <c r="CB8" s="0" t="n">
        <f aca="false">IF(CB6="",0,IF(AND(CB7=Milestones!$AB$88,CB6&gt;=SchemeStart),IF(AND(Milestones!$AB$88="FT",Milestones!$AA$88=FT_Y5,CB6&lt;PolicyEff),1,Milestones!$AC$88),0))</f>
        <v>0</v>
      </c>
      <c r="CC8" s="0" t="n">
        <f aca="false">IF(CC6="",0,IF(AND(CC7=Milestones!$AB$89,CC6&gt;=SchemeStart),IF(AND(Milestones!$AB$89="FT",Milestones!$AA$89=FT_Y5,CC6&lt;PolicyEff),1,Milestones!$AC$89),0))</f>
        <v>0</v>
      </c>
      <c r="CD8" s="0" t="n">
        <f aca="false">IF(CD6="",0,IF(AND(CD7=Milestones!$AB$90,CD6&gt;=SchemeStart),IF(AND(Milestones!$AB$90="FT",Milestones!$AA$90=FT_Y5,CD6&lt;PolicyEff),1,Milestones!$AC$90),0))</f>
        <v>0</v>
      </c>
      <c r="CE8" s="0" t="n">
        <f aca="false">IF(CE6="",0,IF(AND(CE7=Milestones!$AB$91,CE6&gt;=SchemeStart),IF(AND(Milestones!$AB$91="FT",Milestones!$AA$91=FT_Y5,CE6&lt;PolicyEff),1,Milestones!$AC$91),0))</f>
        <v>0</v>
      </c>
      <c r="CF8" s="0" t="n">
        <f aca="false">IF(CF6="",0,IF(AND(CF7=Milestones!$AB$92,CF6&gt;=SchemeStart),IF(AND(Milestones!$AB$92="FT",Milestones!$AA$92=FT_Y5,CF6&lt;PolicyEff),1,Milestones!$AC$92),0))</f>
        <v>0</v>
      </c>
      <c r="CG8" s="0" t="n">
        <f aca="false">IF(CG6="",0,IF(AND(CG7=Milestones!$AB$93,CG6&gt;=SchemeStart),IF(AND(Milestones!$AB$93="FT",Milestones!$AA$93=FT_Y5,CG6&lt;PolicyEff),1,Milestones!$AC$93),0))</f>
        <v>0</v>
      </c>
      <c r="CH8" s="0" t="n">
        <f aca="false">IF(CH6="",0,IF(AND(CH7=Milestones!$AB$94,CH6&gt;=SchemeStart),IF(AND(Milestones!$AB$94="FT",Milestones!$AA$94=FT_Y5,CH6&lt;PolicyEff),1,Milestones!$AC$94),0))</f>
        <v>0</v>
      </c>
      <c r="CI8" s="0" t="n">
        <f aca="false">IF(CI6="",0,IF(AND(CI7=Milestones!$AB$95,CI6&gt;=SchemeStart),IF(AND(Milestones!$AB$95="FT",Milestones!$AA$95=FT_Y5,CI6&lt;PolicyEff),1,Milestones!$AC$95),0))</f>
        <v>0</v>
      </c>
      <c r="CJ8" s="0" t="n">
        <f aca="false">IF(CJ6="",0,IF(AND(CJ7=Milestones!$AB$96,CJ6&gt;=SchemeStart),IF(AND(Milestones!$AB$96="FT",Milestones!$AA$96=FT_Y5,CJ6&lt;PolicyEff),1,Milestones!$AC$96),0))</f>
        <v>0</v>
      </c>
      <c r="CK8" s="0" t="n">
        <f aca="false">IF(CK6="",0,IF(AND(CK7=Milestones!$AB$97,CK6&gt;=SchemeStart),IF(AND(Milestones!$AB$97="FT",Milestones!$AA$97=FT_Y5,CK6&lt;PolicyEff),1,Milestones!$AC$97),0))</f>
        <v>0</v>
      </c>
      <c r="CL8" s="0" t="n">
        <f aca="false">IF(CL6="",0,IF(AND(CL7=Milestones!$AB$98,CL6&gt;=SchemeStart),IF(AND(Milestones!$AB$98="FT",Milestones!$AA$98=FT_Y5,CL6&lt;PolicyEff),1,Milestones!$AC$98),0))</f>
        <v>0</v>
      </c>
      <c r="CM8" s="0" t="n">
        <f aca="false">IF(CM6="",0,IF(AND(CM7=Milestones!$AB$99,CM6&gt;=SchemeStart),IF(AND(Milestones!$AB$99="FT",Milestones!$AA$99=FT_Y5,CM6&lt;PolicyEff),1,Milestones!$AC$99),0))</f>
        <v>0</v>
      </c>
      <c r="CN8" s="0" t="n">
        <f aca="false">IF(CN6="",0,IF(AND(CN7=Milestones!$AB$100,CN6&gt;=SchemeStart),IF(AND(Milestones!$AB$100="FT",Milestones!$AA$100=FT_Y5,CN6&lt;PolicyEff),1,Milestones!$AC$100),0))</f>
        <v>0</v>
      </c>
      <c r="CO8" s="0" t="n">
        <f aca="false">IF(CO6="",0,IF(AND(CO7=Milestones!$AB$101,CO6&gt;=SchemeStart),IF(AND(Milestones!$AB$101="FT",Milestones!$AA$101=FT_Y5,CO6&lt;PolicyEff),1,Milestones!$AC$101),0))</f>
        <v>0</v>
      </c>
      <c r="CP8" s="0" t="n">
        <f aca="false">IF(CP6="",0,IF(AND(CP7=Milestones!$AB$102,CP6&gt;=SchemeStart),IF(AND(Milestones!$AB$102="FT",Milestones!$AA$102=FT_Y5,CP6&lt;PolicyEff),1,Milestones!$AC$102),0))</f>
        <v>0</v>
      </c>
      <c r="CQ8" s="0" t="n">
        <f aca="false">IF(CQ6="",0,IF(AND(CQ7=Milestones!$AB$103,CQ6&gt;=SchemeStart),IF(AND(Milestones!$AB$103="FT",Milestones!$AA$103=FT_Y5,CQ6&lt;PolicyEff),1,Milestones!$AC$103),0))</f>
        <v>0</v>
      </c>
      <c r="CR8" s="0" t="n">
        <f aca="false">IF(CR6="",0,IF(AND(CR7=Milestones!$AB$104,CR6&gt;=SchemeStart),IF(AND(Milestones!$AB$104="FT",Milestones!$AA$104=FT_Y5,CR6&lt;PolicyEff),1,Milestones!$AC$104),0))</f>
        <v>0</v>
      </c>
      <c r="CS8" s="0" t="n">
        <f aca="false">IF(CS6="",0,IF(AND(CS7=Milestones!$AB$105,CS6&gt;=SchemeStart),IF(AND(Milestones!$AB$105="FT",Milestones!$AA$105=FT_Y5,CS6&lt;PolicyEff),1,Milestones!$AC$105),0))</f>
        <v>0</v>
      </c>
      <c r="CT8" s="0" t="n">
        <f aca="false">IF(CT6="",0,IF(AND(CT7=Milestones!$AB$106,CT6&gt;=SchemeStart),IF(AND(Milestones!$AB$106="FT",Milestones!$AA$106=FT_Y5,CT6&lt;PolicyEff),1,Milestones!$AC$106),0))</f>
        <v>0</v>
      </c>
      <c r="CU8" s="0" t="n">
        <f aca="false">IF(CU6="",0,IF(AND(CU7=Milestones!$AB$107,CU6&gt;=SchemeStart),IF(AND(Milestones!$AB$107="FT",Milestones!$AA$107=FT_Y5,CU6&lt;PolicyEff),1,Milestones!$AC$107),0))</f>
        <v>0</v>
      </c>
      <c r="CV8" s="0" t="n">
        <f aca="false">IF(CV6="",0,IF(AND(CV7=Milestones!$AB$108,CV6&gt;=SchemeStart),IF(AND(Milestones!$AB$108="FT",Milestones!$AA$108=FT_Y5,CV6&lt;PolicyEff),1,Milestones!$AC$108),0))</f>
        <v>0</v>
      </c>
      <c r="CW8" s="0" t="n">
        <f aca="false">IF(CW6="",0,IF(AND(CW7=Milestones!$AB$109,CW6&gt;=SchemeStart),IF(AND(Milestones!$AB$109="FT",Milestones!$AA$109=FT_Y5,CW6&lt;PolicyEff),1,Milestones!$AC$109),0))</f>
        <v>0</v>
      </c>
      <c r="CX8" s="0" t="n">
        <f aca="false">IF(CX6="",0,IF(AND(CX7=Milestones!$AB$110,CX6&gt;=SchemeStart),IF(AND(Milestones!$AB$110="FT",Milestones!$AA$110=FT_Y5,CX6&lt;PolicyEff),1,Milestones!$AC$110),0))</f>
        <v>0</v>
      </c>
      <c r="CY8" s="0" t="n">
        <f aca="false">IF(CY6="",0,IF(AND(CY7=Milestones!$AB$111,CY6&gt;=SchemeStart),IF(AND(Milestones!$AB$111="FT",Milestones!$AA$111=FT_Y5,CY6&lt;PolicyEff),1,Milestones!$AC$111),0))</f>
        <v>0</v>
      </c>
      <c r="CZ8" s="0" t="n">
        <f aca="false">IF(CZ6="",0,IF(AND(CZ7=Milestones!$AB$112,CZ6&gt;=SchemeStart),IF(AND(Milestones!$AB$112="FT",Milestones!$AA$112=FT_Y5,CZ6&lt;PolicyEff),1,Milestones!$AC$112),0))</f>
        <v>0</v>
      </c>
      <c r="DA8" s="0" t="n">
        <f aca="false">IF(DA6="",0,IF(AND(DA7=Milestones!$AB$113,DA6&gt;=SchemeStart),IF(AND(Milestones!$AB$113="FT",Milestones!$AA$113=FT_Y5,DA6&lt;PolicyEff),1,Milestones!$AC$113),0))</f>
        <v>0</v>
      </c>
      <c r="DB8" s="0" t="n">
        <f aca="false">IF(DB6="",0,IF(AND(DB7=Milestones!$AB$114,DB6&gt;=SchemeStart),IF(AND(Milestones!$AB$114="FT",Milestones!$AA$114=FT_Y5,DB6&lt;PolicyEff),1,Milestones!$AC$114),0))</f>
        <v>0</v>
      </c>
      <c r="DC8" s="0" t="n">
        <f aca="false">IF(DC6="",0,IF(AND(DC7=Milestones!$AB$115,DC6&gt;=SchemeStart),IF(AND(Milestones!$AB$115="FT",Milestones!$AA$115=FT_Y5,DC6&lt;PolicyEff),1,Milestones!$AC$115),0))</f>
        <v>0</v>
      </c>
      <c r="DD8" s="0" t="n">
        <f aca="false">IF(DD6="",0,IF(AND(DD7=Milestones!$AB$116,DD6&gt;=SchemeStart),IF(AND(Milestones!$AB$116="FT",Milestones!$AA$116=FT_Y5,DD6&lt;PolicyEff),1,Milestones!$AC$116),0))</f>
        <v>0</v>
      </c>
      <c r="DE8" s="0" t="n">
        <f aca="false">IF(DE6="",0,IF(AND(DE7=Milestones!$AB$117,DE6&gt;=SchemeStart),IF(AND(Milestones!$AB$117="FT",Milestones!$AA$117=FT_Y5,DE6&lt;PolicyEff),1,Milestones!$AC$117),0))</f>
        <v>0</v>
      </c>
      <c r="DF8" s="0" t="n">
        <f aca="false">IF(DF6="",0,IF(AND(DF7=Milestones!$AB$118,DF6&gt;=SchemeStart),IF(AND(Milestones!$AB$118="FT",Milestones!$AA$118=FT_Y5,DF6&lt;PolicyEff),1,Milestones!$AC$118),0))</f>
        <v>0</v>
      </c>
      <c r="DG8" s="0" t="n">
        <f aca="false">IF(DG6="",0,IF(AND(DG7=Milestones!$AB$119,DG6&gt;=SchemeStart),IF(AND(Milestones!$AB$119="FT",Milestones!$AA$119=FT_Y5,DG6&lt;PolicyEff),1,Milestones!$AC$119),0))</f>
        <v>0</v>
      </c>
      <c r="DH8" s="0" t="n">
        <f aca="false">IF(DH6="",0,IF(AND(DH7=Milestones!$AB$120,DH6&gt;=SchemeStart),IF(AND(Milestones!$AB$120="FT",Milestones!$AA$120=FT_Y5,DH6&lt;PolicyEff),1,Milestones!$AC$120),0))</f>
        <v>0</v>
      </c>
      <c r="DI8" s="0" t="n">
        <f aca="false">IF(DI6="",0,IF(AND(DI7=Milestones!$AB$121,DI6&gt;=SchemeStart),IF(AND(Milestones!$AB$121="FT",Milestones!$AA$121=FT_Y5,DI6&lt;PolicyEff),1,Milestones!$AC$121),0))</f>
        <v>0</v>
      </c>
      <c r="DJ8" s="0" t="n">
        <f aca="false">IF(DJ6="",0,IF(AND(DJ7=Milestones!$AB$122,DJ6&gt;=SchemeStart),IF(AND(Milestones!$AB$122="FT",Milestones!$AA$122=FT_Y5,DJ6&lt;PolicyEff),1,Milestones!$AC$122),0))</f>
        <v>0</v>
      </c>
      <c r="DK8" s="0" t="n">
        <f aca="false">IF(DK6="",0,IF(AND(DK7=Milestones!$AB$123,DK6&gt;=SchemeStart),IF(AND(Milestones!$AB$123="FT",Milestones!$AA$123=FT_Y5,DK6&lt;PolicyEff),1,Milestones!$AC$123),0))</f>
        <v>0</v>
      </c>
      <c r="DL8" s="0" t="n">
        <f aca="false">IF(DL6="",0,IF(AND(DL7=Milestones!$AB$124,DL6&gt;=SchemeStart),IF(AND(Milestones!$AB$124="FT",Milestones!$AA$124=FT_Y5,DL6&lt;PolicyEff),1,Milestones!$AC$124),0))</f>
        <v>0</v>
      </c>
      <c r="DM8" s="0" t="n">
        <f aca="false">IF(DM6="",0,IF(AND(DM7=Milestones!$AB$125,DM6&gt;=SchemeStart),IF(AND(Milestones!$AB$125="FT",Milestones!$AA$125=FT_Y5,DM6&lt;PolicyEff),1,Milestones!$AC$125),0))</f>
        <v>0</v>
      </c>
      <c r="DN8" s="0" t="n">
        <f aca="false">IF(DN6="",0,IF(AND(DN7=Milestones!$AB$126,DN6&gt;=SchemeStart),IF(AND(Milestones!$AB$126="FT",Milestones!$AA$126=FT_Y5,DN6&lt;PolicyEff),1,Milestones!$AC$126),0))</f>
        <v>0</v>
      </c>
      <c r="DO8" s="0" t="n">
        <f aca="false">IF(DO6="",0,IF(AND(DO7=Milestones!$AB$127,DO6&gt;=SchemeStart),IF(AND(Milestones!$AB$127="FT",Milestones!$AA$127=FT_Y5,DO6&lt;PolicyEff),1,Milestones!$AC$127),0))</f>
        <v>0</v>
      </c>
      <c r="DP8" s="0" t="n">
        <f aca="false">IF(DP6="",0,IF(AND(DP7=Milestones!$AB$128,DP6&gt;=SchemeStart),IF(AND(Milestones!$AB$128="FT",Milestones!$AA$128=FT_Y5,DP6&lt;PolicyEff),1,Milestones!$AC$128),0))</f>
        <v>0</v>
      </c>
      <c r="DQ8" s="0" t="n">
        <f aca="false">IF(DQ6="",0,IF(AND(DQ7=Milestones!$AB$129,DQ6&gt;=SchemeStart),IF(AND(Milestones!$AB$129="FT",Milestones!$AA$129=FT_Y5,DQ6&lt;PolicyEff),1,Milestones!$AC$129),0))</f>
        <v>0</v>
      </c>
      <c r="DR8" s="0" t="n">
        <f aca="false">IF(DR6="",0,IF(AND(DR7=Milestones!$AB$130,DR6&gt;=SchemeStart),IF(AND(Milestones!$AB$130="FT",Milestones!$AA$130=FT_Y5,DR6&lt;PolicyEff),1,Milestones!$AC$130),0))</f>
        <v>0</v>
      </c>
      <c r="DS8" s="0" t="n">
        <f aca="false">IF(DS6="",0,IF(AND(DS7=Milestones!$AB$131,DS6&gt;=SchemeStart),IF(AND(Milestones!$AB$131="FT",Milestones!$AA$131=FT_Y5,DS6&lt;PolicyEff),1,Milestones!$AC$131),0))</f>
        <v>0</v>
      </c>
      <c r="DT8" s="0" t="n">
        <f aca="false">IF(DT6="",0,IF(AND(DT7=Milestones!$AB$132,DT6&gt;=SchemeStart),IF(AND(Milestones!$AB$132="FT",Milestones!$AA$132=FT_Y5,DT6&lt;PolicyEff),1,Milestones!$AC$132),0))</f>
        <v>0</v>
      </c>
      <c r="DU8" s="0" t="n">
        <f aca="false">IF(DU6="",0,IF(AND(DU7=Milestones!$AB$133,DU6&gt;=SchemeStart),IF(AND(Milestones!$AB$133="FT",Milestones!$AA$133=FT_Y5,DU6&lt;PolicyEff),1,Milestones!$AC$133),0))</f>
        <v>0</v>
      </c>
      <c r="DV8" s="0" t="n">
        <f aca="false">IF(DV6="",0,IF(AND(DV7=Milestones!$AB$134,DV6&gt;=SchemeStart),IF(AND(Milestones!$AB$134="FT",Milestones!$AA$134=FT_Y5,DV6&lt;PolicyEff),1,Milestones!$AC$134),0))</f>
        <v>0</v>
      </c>
      <c r="DW8" s="0" t="n">
        <f aca="false">IF(DW6="",0,IF(AND(DW7=Milestones!$AB$135,DW6&gt;=SchemeStart),IF(AND(Milestones!$AB$135="FT",Milestones!$AA$135=FT_Y5,DW6&lt;PolicyEff),1,Milestones!$AC$135),0))</f>
        <v>0</v>
      </c>
      <c r="DX8" s="0" t="n">
        <f aca="false">IF(DX6="",0,IF(AND(DX7=Milestones!$AB$136,DX6&gt;=SchemeStart),IF(AND(Milestones!$AB$136="FT",Milestones!$AA$136=FT_Y5,DX6&lt;PolicyEff),1,Milestones!$AC$136),0))</f>
        <v>0</v>
      </c>
      <c r="DY8" s="0" t="n">
        <f aca="false">IF(DY6="",0,IF(AND(DY7=Milestones!$AB$137,DY6&gt;=SchemeStart),IF(AND(Milestones!$AB$137="FT",Milestones!$AA$137=FT_Y5,DY6&lt;PolicyEff),1,Milestones!$AC$137),0))</f>
        <v>0</v>
      </c>
      <c r="DZ8" s="0" t="n">
        <f aca="false">IF(DZ6="",0,IF(AND(DZ7=Milestones!$AB$138,DZ6&gt;=SchemeStart),IF(AND(Milestones!$AB$138="FT",Milestones!$AA$138=FT_Y5,DZ6&lt;PolicyEff),1,Milestones!$AC$138),0))</f>
        <v>0</v>
      </c>
      <c r="EA8" s="0" t="n">
        <f aca="false">IF(EA6="",0,IF(AND(EA7=Milestones!$AB$139,EA6&gt;=SchemeStart),IF(AND(Milestones!$AB$139="FT",Milestones!$AA$139=FT_Y5,EA6&lt;PolicyEff),1,Milestones!$AC$139),0))</f>
        <v>0</v>
      </c>
      <c r="EB8" s="0" t="n">
        <f aca="false">IF(EB6="",0,IF(AND(EB7=Milestones!$AB$140,EB6&gt;=SchemeStart),IF(AND(Milestones!$AB$140="FT",Milestones!$AA$140=FT_Y5,EB6&lt;PolicyEff),1,Milestones!$AC$140),0))</f>
        <v>0</v>
      </c>
      <c r="EC8" s="0" t="n">
        <f aca="false">IF(EC6="",0,IF(AND(EC7=Milestones!$AB$141,EC6&gt;=SchemeStart),IF(AND(Milestones!$AB$141="FT",Milestones!$AA$141=FT_Y5,EC6&lt;PolicyEff),1,Milestones!$AC$141),0))</f>
        <v>0</v>
      </c>
      <c r="ED8" s="0" t="n">
        <f aca="false">IF(ED6="",0,IF(AND(ED7=Milestones!$AB$142,ED6&gt;=SchemeStart),IF(AND(Milestones!$AB$142="FT",Milestones!$AA$142=FT_Y5,ED6&lt;PolicyEff),1,Milestones!$AC$142),0))</f>
        <v>0</v>
      </c>
      <c r="EE8" s="0" t="n">
        <f aca="false">IF(EE6="",0,IF(AND(EE7=Milestones!$AB$143,EE6&gt;=SchemeStart),IF(AND(Milestones!$AB$143="FT",Milestones!$AA$143=FT_Y5,EE6&lt;PolicyEff),1,Milestones!$AC$143),0))</f>
        <v>0</v>
      </c>
      <c r="EF8" s="0" t="n">
        <f aca="false">IF(EF6="",0,IF(AND(EF7=Milestones!$AB$144,EF6&gt;=SchemeStart),IF(AND(Milestones!$AB$144="FT",Milestones!$AA$144=FT_Y5,EF6&lt;PolicyEff),1,Milestones!$AC$144),0))</f>
        <v>0</v>
      </c>
      <c r="EG8" s="0" t="n">
        <f aca="false">IF(EG6="",0,IF(AND(EG7=Milestones!$AB$145,EG6&gt;=SchemeStart),IF(AND(Milestones!$AB$145="FT",Milestones!$AA$145=FT_Y5,EG6&lt;PolicyEff),1,Milestones!$AC$145),0))</f>
        <v>0</v>
      </c>
      <c r="EH8" s="0" t="n">
        <f aca="false">IF(EH6="",0,IF(AND(EH7=Milestones!$AB$146,EH6&gt;=SchemeStart),IF(AND(Milestones!$AB$146="FT",Milestones!$AA$146=FT_Y5,EH6&lt;PolicyEff),1,Milestones!$AC$146),0))</f>
        <v>0</v>
      </c>
      <c r="EI8" s="0" t="n">
        <f aca="false">IF(EI6="",0,IF(AND(EI7=Milestones!$AB$147,EI6&gt;=SchemeStart),IF(AND(Milestones!$AB$147="FT",Milestones!$AA$147=FT_Y5,EI6&lt;PolicyEff),1,Milestones!$AC$147),0))</f>
        <v>0</v>
      </c>
      <c r="EJ8" s="0" t="n">
        <f aca="false">IF(EJ6="",0,IF(AND(EJ7=Milestones!$AB$148,EJ6&gt;=SchemeStart),IF(AND(Milestones!$AB$148="FT",Milestones!$AA$148=FT_Y5,EJ6&lt;PolicyEff),1,Milestones!$AC$148),0))</f>
        <v>0</v>
      </c>
      <c r="EK8" s="0" t="n">
        <f aca="false">IF(EK6="",0,IF(AND(EK7=Milestones!$AB$149,EK6&gt;=SchemeStart),IF(AND(Milestones!$AB$149="FT",Milestones!$AA$149=FT_Y5,EK6&lt;PolicyEff),1,Milestones!$AC$149),0))</f>
        <v>0</v>
      </c>
      <c r="EL8" s="0" t="n">
        <f aca="false">IF(EL6="",0,IF(AND(EL7=Milestones!$AB$150,EL6&gt;=SchemeStart),IF(AND(Milestones!$AB$150="FT",Milestones!$AA$150=FT_Y5,EL6&lt;PolicyEff),1,Milestones!$AC$150),0))</f>
        <v>0</v>
      </c>
      <c r="EM8" s="0" t="n">
        <f aca="false">IF(EM6="",0,IF(AND(EM7=Milestones!$AB$151,EM6&gt;=SchemeStart),IF(AND(Milestones!$AB$151="FT",Milestones!$AA$151=FT_Y5,EM6&lt;PolicyEff),1,Milestones!$AC$151),0))</f>
        <v>0</v>
      </c>
      <c r="EN8" s="0" t="n">
        <f aca="false">IF(EN6="",0,IF(AND(EN7=Milestones!$AB$152,EN6&gt;=SchemeStart),IF(AND(Milestones!$AB$152="FT",Milestones!$AA$152=FT_Y5,EN6&lt;PolicyEff),1,Milestones!$AC$152),0))</f>
        <v>0</v>
      </c>
      <c r="EO8" s="0" t="n">
        <f aca="false">IF(EO6="",0,IF(AND(EO7=Milestones!$AB$153,EO6&gt;=SchemeStart),IF(AND(Milestones!$AB$153="FT",Milestones!$AA$153=FT_Y5,EO6&lt;PolicyEff),1,Milestones!$AC$153),0))</f>
        <v>0</v>
      </c>
      <c r="EP8" s="0" t="n">
        <f aca="false">IF(EP6="",0,IF(AND(EP7=Milestones!$AB$154,EP6&gt;=SchemeStart),IF(AND(Milestones!$AB$154="FT",Milestones!$AA$154=FT_Y5,EP6&lt;PolicyEff),1,Milestones!$AC$154),0))</f>
        <v>0</v>
      </c>
      <c r="EQ8" s="0" t="n">
        <f aca="false">IF(EQ6="",0,IF(AND(EQ7=Milestones!$AB$155,EQ6&gt;=SchemeStart),IF(AND(Milestones!$AB$155="FT",Milestones!$AA$155=FT_Y5,EQ6&lt;PolicyEff),1,Milestones!$AC$155),0))</f>
        <v>0</v>
      </c>
      <c r="ER8" s="0" t="n">
        <f aca="false">IF(ER6="",0,IF(AND(ER7=Milestones!$AB$156,ER6&gt;=SchemeStart),IF(AND(Milestones!$AB$156="FT",Milestones!$AA$156=FT_Y5,ER6&lt;PolicyEff),1,Milestones!$AC$156),0))</f>
        <v>0</v>
      </c>
      <c r="ES8" s="0" t="n">
        <f aca="false">IF(ES6="",0,IF(AND(ES7=Milestones!$AB$157,ES6&gt;=SchemeStart),IF(AND(Milestones!$AB$157="FT",Milestones!$AA$157=FT_Y5,ES6&lt;PolicyEff),1,Milestones!$AC$157),0))</f>
        <v>0</v>
      </c>
      <c r="ET8" s="0" t="n">
        <f aca="false">IF(ET6="",0,IF(AND(ET7=Milestones!$AB$158,ET6&gt;=SchemeStart),IF(AND(Milestones!$AB$158="FT",Milestones!$AA$158=FT_Y5,ET6&lt;PolicyEff),1,Milestones!$AC$158),0))</f>
        <v>0</v>
      </c>
      <c r="EU8" s="0" t="n">
        <f aca="false">IF(EU6="",0,IF(AND(EU7=Milestones!$AB$159,EU6&gt;=SchemeStart),IF(AND(Milestones!$AB$159="FT",Milestones!$AA$159=FT_Y5,EU6&lt;PolicyEff),1,Milestones!$AC$159),0))</f>
        <v>0</v>
      </c>
      <c r="EV8" s="0" t="n">
        <f aca="false">IF(EV6="",0,IF(AND(EV7=Milestones!$AB$160,EV6&gt;=SchemeStart),IF(AND(Milestones!$AB$160="FT",Milestones!$AA$160=FT_Y5,EV6&lt;PolicyEff),1,Milestones!$AC$160),0))</f>
        <v>0</v>
      </c>
      <c r="EW8" s="0" t="n">
        <f aca="false">IF(EW6="",0,IF(AND(EW7=Milestones!$AB$161,EW6&gt;=SchemeStart),IF(AND(Milestones!$AB$161="FT",Milestones!$AA$161=FT_Y5,EW6&lt;PolicyEff),1,Milestones!$AC$161),0))</f>
        <v>0</v>
      </c>
      <c r="EX8" s="0" t="n">
        <f aca="false">IF(EX6="",0,IF(AND(EX7=Milestones!$AB$162,EX6&gt;=SchemeStart),IF(AND(Milestones!$AB$162="FT",Milestones!$AA$162=FT_Y5,EX6&lt;PolicyEff),1,Milestones!$AC$162),0))</f>
        <v>0</v>
      </c>
      <c r="EY8" s="0" t="n">
        <f aca="false">IF(EY6="",0,IF(AND(EY7=Milestones!$AB$163,EY6&gt;=SchemeStart),IF(AND(Milestones!$AB$163="FT",Milestones!$AA$163=FT_Y5,EY6&lt;PolicyEff),1,Milestones!$AC$163),0))</f>
        <v>0</v>
      </c>
      <c r="EZ8" s="0" t="n">
        <f aca="false">IF(EZ6="",0,IF(AND(EZ7=Milestones!$AB$164,EZ6&gt;=SchemeStart),IF(AND(Milestones!$AB$164="FT",Milestones!$AA$164=FT_Y5,EZ6&lt;PolicyEff),1,Milestones!$AC$164),0))</f>
        <v>0</v>
      </c>
      <c r="FA8" s="0" t="n">
        <f aca="false">IF(FA6="",0,IF(AND(FA7=Milestones!$AB$165,FA6&gt;=SchemeStart),IF(AND(Milestones!$AB$165="FT",Milestones!$AA$165=FT_Y5,FA6&lt;PolicyEff),1,Milestones!$AC$165),0))</f>
        <v>0</v>
      </c>
      <c r="FB8" s="0" t="n">
        <f aca="false">IF(FB6="",0,IF(AND(FB7=Milestones!$AB$166,FB6&gt;=SchemeStart),IF(AND(Milestones!$AB$166="FT",Milestones!$AA$166=FT_Y5,FB6&lt;PolicyEff),1,Milestones!$AC$166),0))</f>
        <v>0</v>
      </c>
      <c r="FC8" s="0" t="n">
        <f aca="false">IF(FC6="",0,IF(AND(FC7=Milestones!$AB$167,FC6&gt;=SchemeStart),IF(AND(Milestones!$AB$167="FT",Milestones!$AA$167=FT_Y5,FC6&lt;PolicyEff),1,Milestones!$AC$167),0))</f>
        <v>0</v>
      </c>
      <c r="FD8" s="0" t="n">
        <f aca="false">IF(FD6="",0,IF(AND(FD7=Milestones!$AB$168,FD6&gt;=SchemeStart),IF(AND(Milestones!$AB$168="FT",Milestones!$AA$168=FT_Y5,FD6&lt;PolicyEff),1,Milestones!$AC$168),0))</f>
        <v>0</v>
      </c>
      <c r="FE8" s="0" t="n">
        <f aca="false">IF(FE6="",0,IF(AND(FE7=Milestones!$AB$169,FE6&gt;=SchemeStart),IF(AND(Milestones!$AB$169="FT",Milestones!$AA$169=FT_Y5,FE6&lt;PolicyEff),1,Milestones!$AC$169),0))</f>
        <v>0</v>
      </c>
      <c r="FF8" s="0" t="n">
        <f aca="false">IF(FF6="",0,IF(AND(FF7=Milestones!$AB$170,FF6&gt;=SchemeStart),IF(AND(Milestones!$AB$170="FT",Milestones!$AA$170=FT_Y5,FF6&lt;PolicyEff),1,Milestones!$AC$170),0))</f>
        <v>0</v>
      </c>
      <c r="FG8" s="0" t="n">
        <f aca="false">IF(FG6="",0,IF(AND(FG7=Milestones!$AB$171,FG6&gt;=SchemeStart),IF(AND(Milestones!$AB$171="FT",Milestones!$AA$171=FT_Y5,FG6&lt;PolicyEff),1,Milestones!$AC$171),0))</f>
        <v>0</v>
      </c>
      <c r="FH8" s="0" t="n">
        <f aca="false">IF(FH6="",0,IF(AND(FH7=Milestones!$AB$172,FH6&gt;=SchemeStart),IF(AND(Milestones!$AB$172="FT",Milestones!$AA$172=FT_Y5,FH6&lt;PolicyEff),1,Milestones!$AC$172),0))</f>
        <v>0</v>
      </c>
      <c r="FI8" s="0" t="n">
        <f aca="false">IF(FI6="",0,IF(AND(FI7=Milestones!$AB$173,FI6&gt;=SchemeStart),IF(AND(Milestones!$AB$173="FT",Milestones!$AA$173=FT_Y5,FI6&lt;PolicyEff),1,Milestones!$AC$173),0))</f>
        <v>0</v>
      </c>
      <c r="FJ8" s="0" t="n">
        <f aca="false">IF(FJ6="",0,IF(AND(FJ7=Milestones!$AB$174,FJ6&gt;=SchemeStart),IF(AND(Milestones!$AB$174="FT",Milestones!$AA$174=FT_Y5,FJ6&lt;PolicyEff),1,Milestones!$AC$174),0))</f>
        <v>0</v>
      </c>
      <c r="FK8" s="0" t="n">
        <f aca="false">IF(FK6="",0,IF(AND(FK7=Milestones!$AB$175,FK6&gt;=SchemeStart),IF(AND(Milestones!$AB$175="FT",Milestones!$AA$175=FT_Y5,FK6&lt;PolicyEff),1,Milestones!$AC$175),0))</f>
        <v>0</v>
      </c>
      <c r="FL8" s="0" t="n">
        <f aca="false">IF(FL6="",0,IF(AND(FL7=Milestones!$AB$176,FL6&gt;=SchemeStart),IF(AND(Milestones!$AB$176="FT",Milestones!$AA$176=FT_Y5,FL6&lt;PolicyEff),1,Milestones!$AC$176),0))</f>
        <v>0</v>
      </c>
      <c r="FM8" s="0" t="n">
        <f aca="false">IF(FM6="",0,IF(AND(FM7=Milestones!$AB$177,FM6&gt;=SchemeStart),IF(AND(Milestones!$AB$177="FT",Milestones!$AA$177=FT_Y5,FM6&lt;PolicyEff),1,Milestones!$AC$177),0))</f>
        <v>0</v>
      </c>
      <c r="FN8" s="0" t="n">
        <f aca="false">IF(FN6="",0,IF(AND(FN7=Milestones!$AB$178,FN6&gt;=SchemeStart),IF(AND(Milestones!$AB$178="FT",Milestones!$AA$178=FT_Y5,FN6&lt;PolicyEff),1,Milestones!$AC$178),0))</f>
        <v>0</v>
      </c>
      <c r="FO8" s="0" t="n">
        <f aca="false">IF(FO6="",0,IF(AND(FO7=Milestones!$AB$179,FO6&gt;=SchemeStart),IF(AND(Milestones!$AB$179="FT",Milestones!$AA$179=FT_Y5,FO6&lt;PolicyEff),1,Milestones!$AC$179),0))</f>
        <v>0</v>
      </c>
      <c r="FP8" s="0" t="n">
        <f aca="false">IF(FP6="",0,IF(AND(FP7=Milestones!$AB$180,FP6&gt;=SchemeStart),IF(AND(Milestones!$AB$180="FT",Milestones!$AA$180=FT_Y5,FP6&lt;PolicyEff),1,Milestones!$AC$180),0))</f>
        <v>0</v>
      </c>
      <c r="FQ8" s="0" t="n">
        <f aca="false">IF(FQ6="",0,IF(AND(FQ7=Milestones!$AB$181,FQ6&gt;=SchemeStart),IF(AND(Milestones!$AB$181="FT",Milestones!$AA$181=FT_Y5,FQ6&lt;PolicyEff),1,Milestones!$AC$181),0))</f>
        <v>0</v>
      </c>
      <c r="FR8" s="0" t="n">
        <f aca="false">IF(FR6="",0,IF(AND(FR7=Milestones!$AB$182,FR6&gt;=SchemeStart),IF(AND(Milestones!$AB$182="FT",Milestones!$AA$182=FT_Y5,FR6&lt;PolicyEff),1,Milestones!$AC$182),0))</f>
        <v>0</v>
      </c>
      <c r="FS8" s="0" t="n">
        <f aca="false">IF(FS6="",0,IF(AND(FS7=Milestones!$AB$183,FS6&gt;=SchemeStart),IF(AND(Milestones!$AB$183="FT",Milestones!$AA$183=FT_Y5,FS6&lt;PolicyEff),1,Milestones!$AC$183),0))</f>
        <v>0</v>
      </c>
      <c r="FT8" s="0" t="n">
        <f aca="false">IF(FT6="",0,IF(AND(FT7=Milestones!$AB$184,FT6&gt;=SchemeStart),IF(AND(Milestones!$AB$184="FT",Milestones!$AA$184=FT_Y5,FT6&lt;PolicyEff),1,Milestones!$AC$184),0))</f>
        <v>0</v>
      </c>
      <c r="FU8" s="0" t="n">
        <f aca="false">IF(FU6="",0,IF(AND(FU7=Milestones!$AB$185,FU6&gt;=SchemeStart),IF(AND(Milestones!$AB$185="FT",Milestones!$AA$185=FT_Y5,FU6&lt;PolicyEff),1,Milestones!$AC$185),0))</f>
        <v>0</v>
      </c>
      <c r="FV8" s="0" t="n">
        <f aca="false">IF(FV6="",0,IF(AND(FV7=Milestones!$AB$186,FV6&gt;=SchemeStart),IF(AND(Milestones!$AB$186="FT",Milestones!$AA$186=FT_Y5,FV6&lt;PolicyEff),1,Milestones!$AC$186),0))</f>
        <v>0</v>
      </c>
      <c r="FW8" s="0" t="n">
        <f aca="false">IF(FW6="",0,IF(AND(FW7=Milestones!$AB$187,FW6&gt;=SchemeStart),IF(AND(Milestones!$AB$187="FT",Milestones!$AA$187=FT_Y5,FW6&lt;PolicyEff),1,Milestones!$AC$187),0))</f>
        <v>0</v>
      </c>
      <c r="FX8" s="0" t="n">
        <f aca="false">IF(FX6="",0,IF(AND(FX7=Milestones!$AB$188,FX6&gt;=SchemeStart),IF(AND(Milestones!$AB$188="FT",Milestones!$AA$188=FT_Y5,FX6&lt;PolicyEff),1,Milestones!$AC$188),0))</f>
        <v>0</v>
      </c>
      <c r="FY8" s="0" t="n">
        <f aca="false">IF(FY6="",0,IF(AND(FY7=Milestones!$AB$189,FY6&gt;=SchemeStart),IF(AND(Milestones!$AB$189="FT",Milestones!$AA$189=FT_Y5,FY6&lt;PolicyEff),1,Milestones!$AC$189),0))</f>
        <v>0</v>
      </c>
      <c r="FZ8" s="0" t="n">
        <f aca="false">IF(FZ6="",0,IF(AND(FZ7=Milestones!$AB$190,FZ6&gt;=SchemeStart),IF(AND(Milestones!$AB$190="FT",Milestones!$AA$190=FT_Y5,FZ6&lt;PolicyEff),1,Milestones!$AC$190),0))</f>
        <v>0</v>
      </c>
      <c r="GA8" s="0" t="n">
        <f aca="false">IF(GA6="",0,IF(AND(GA7=Milestones!$AB$191,GA6&gt;=SchemeStart),IF(AND(Milestones!$AB$191="FT",Milestones!$AA$191=FT_Y5,GA6&lt;PolicyEff),1,Milestones!$AC$191),0))</f>
        <v>0</v>
      </c>
      <c r="GB8" s="0" t="n">
        <f aca="false">IF(GB6="",0,IF(AND(GB7=Milestones!$AB$192,GB6&gt;=SchemeStart),IF(AND(Milestones!$AB$192="FT",Milestones!$AA$192=FT_Y5,GB6&lt;PolicyEff),1,Milestones!$AC$192),0))</f>
        <v>0</v>
      </c>
      <c r="GC8" s="0" t="n">
        <f aca="false">IF(GC6="",0,IF(AND(GC7=Milestones!$AB$193,GC6&gt;=SchemeStart),IF(AND(Milestones!$AB$193="FT",Milestones!$AA$193=FT_Y5,GC6&lt;PolicyEff),1,Milestones!$AC$193),0))</f>
        <v>0</v>
      </c>
      <c r="GD8" s="0" t="n">
        <f aca="false">IF(GD6="",0,IF(AND(GD7=Milestones!$AB$194,GD6&gt;=SchemeStart),IF(AND(Milestones!$AB$194="FT",Milestones!$AA$194=FT_Y5,GD6&lt;PolicyEff),1,Milestones!$AC$194),0))</f>
        <v>0</v>
      </c>
      <c r="GE8" s="0" t="n">
        <f aca="false">IF(GE6="",0,IF(AND(GE7=Milestones!$AB$195,GE6&gt;=SchemeStart),IF(AND(Milestones!$AB$195="FT",Milestones!$AA$195=FT_Y5,GE6&lt;PolicyEff),1,Milestones!$AC$195),0))</f>
        <v>0</v>
      </c>
      <c r="GF8" s="0" t="n">
        <f aca="false">IF(GF6="",0,IF(AND(GF7=Milestones!$AB$196,GF6&gt;=SchemeStart),IF(AND(Milestones!$AB$196="FT",Milestones!$AA$196=FT_Y5,GF6&lt;PolicyEff),1,Milestones!$AC$196),0))</f>
        <v>0</v>
      </c>
      <c r="GG8" s="0" t="n">
        <f aca="false">IF(GG6="",0,IF(AND(GG7=Milestones!$AB$197,GG6&gt;=SchemeStart),IF(AND(Milestones!$AB$197="FT",Milestones!$AA$197=FT_Y5,GG6&lt;PolicyEff),1,Milestones!$AC$197),0))</f>
        <v>0</v>
      </c>
      <c r="GH8" s="0" t="n">
        <f aca="false">IF(GH6="",0,IF(AND(GH7=Milestones!$AB$198,GH6&gt;=SchemeStart),IF(AND(Milestones!$AB$198="FT",Milestones!$AA$198=FT_Y5,GH6&lt;PolicyEff),1,Milestones!$AC$198),0))</f>
        <v>0</v>
      </c>
      <c r="GI8" s="0" t="n">
        <f aca="false">IF(GI6="",0,IF(AND(GI7=Milestones!$AB$199,GI6&gt;=SchemeStart),IF(AND(Milestones!$AB$199="FT",Milestones!$AA$199=FT_Y5,GI6&lt;PolicyEff),1,Milestones!$AC$199),0))</f>
        <v>0</v>
      </c>
    </row>
    <row r="9" customFormat="false" ht="15" hidden="false" customHeight="false" outlineLevel="0" collapsed="false">
      <c r="A9" s="0" t="str">
        <f aca="false">IF('HR Tally Check'!D$7="","",'HR Tally Check'!D$7)</f>
        <v/>
      </c>
      <c r="B9" s="0" t="str">
        <f aca="false">IF(A9="","",ISNUMBER(MATCH(A9,Staff!$BR$5:$BR$154,0)))</f>
        <v/>
      </c>
      <c r="C9" s="20" t="str">
        <f aca="false">IF(B9&lt;&gt;TRUE(),"",INDEX(Staff!$AL$5:$AL$154,MATCH($A9,Staff!$BR$5:$BR$154,0)))</f>
        <v/>
      </c>
      <c r="D9" s="0" t="str">
        <f aca="false">IF(B9&lt;&gt;TRUE(),"",INDEX(Staff!$AM$5:$AM$154,MATCH($A9,Staff!$BR$5:$BR$154,0)))</f>
        <v/>
      </c>
      <c r="E9" s="20" t="str">
        <f aca="false">IF(B9&lt;&gt;TRUE(),"",INDEX(Staff!$AO$5:$AO$154,MATCH($A9,Staff!$BR$5:$BR$154,0)))</f>
        <v/>
      </c>
      <c r="F9" s="20" t="str">
        <f aca="false">IF(B9&lt;&gt;TRUE(),"",INDEX(Staff!$AP$5:$AP$154,MATCH($A9,Staff!$BR$5:$BR$154,0)))</f>
        <v/>
      </c>
      <c r="G9" s="0" t="str">
        <f aca="false">IF(B9&lt;&gt;TRUE(),"",INDEX(Staff!$AT$5:$AT$154,MATCH($A9,Staff!$BR$5:$BR$154,0)))</f>
        <v/>
      </c>
      <c r="H9" s="0" t="str">
        <f aca="false">IF(B9&lt;&gt;TRUE(),"",INDEX(Staff!$AU$5:$AU$154,MATCH($A9,Staff!$BR$5:$BR$154,0)))</f>
        <v/>
      </c>
      <c r="I9" s="0" t="str">
        <f aca="false">IF(B9&lt;&gt;TRUE(),"",INDEX(Staff!$AV$5:$AV$154,MATCH($A9,Staff!$BR$5:$BR$154,0)))</f>
        <v/>
      </c>
      <c r="J9" s="0" t="str">
        <f aca="false">IF(B9&lt;&gt;TRUE(),"",INDEX(Staff!$AW$5:$AW$154,MATCH($A9,Staff!$BR$5:$BR$154,0)))</f>
        <v/>
      </c>
      <c r="K9" s="33" t="s">
        <v>262</v>
      </c>
      <c r="L9" s="20" t="str">
        <f aca="false">IF($C9="","",EDATE($C9,Milestones!$AA$20))</f>
        <v/>
      </c>
      <c r="M9" s="20" t="str">
        <f aca="false">IF($C9="","",EDATE($C9,Milestones!$AA$21))</f>
        <v/>
      </c>
      <c r="N9" s="20" t="str">
        <f aca="false">IF($C9="","",EDATE($C9,Milestones!$AA$22))</f>
        <v/>
      </c>
      <c r="O9" s="20" t="str">
        <f aca="false">IF($C9="","",EDATE($C9,Milestones!$AA$23))</f>
        <v/>
      </c>
      <c r="P9" s="20" t="str">
        <f aca="false">IF($C9="","",EDATE($C9,Milestones!$AA$24))</f>
        <v/>
      </c>
      <c r="Q9" s="20" t="str">
        <f aca="false">IF($C9="","",EDATE($C9,Milestones!$AA$25))</f>
        <v/>
      </c>
      <c r="R9" s="20" t="str">
        <f aca="false">IF($C9="","",EDATE($C9,Milestones!$AA$26))</f>
        <v/>
      </c>
      <c r="S9" s="20" t="str">
        <f aca="false">IF($C9="","",EDATE($C9,Milestones!$AA$27))</f>
        <v/>
      </c>
      <c r="T9" s="20" t="str">
        <f aca="false">IF($C9="","",EDATE($C9,Milestones!$AA$28))</f>
        <v/>
      </c>
      <c r="U9" s="20" t="str">
        <f aca="false">IF($C9="","",EDATE($C9,Milestones!$AA$29))</f>
        <v/>
      </c>
      <c r="V9" s="20" t="str">
        <f aca="false">IF($C9="","",EDATE($C9,Milestones!$AA$30))</f>
        <v/>
      </c>
      <c r="W9" s="20" t="str">
        <f aca="false">IF($C9="","",EDATE($C9,Milestones!$AA$31))</f>
        <v/>
      </c>
      <c r="X9" s="20" t="str">
        <f aca="false">IF($C9="","",EDATE($C9,Milestones!$AA$32))</f>
        <v/>
      </c>
      <c r="Y9" s="20" t="str">
        <f aca="false">IF($C9="","",EDATE($C9,Milestones!$AA$33))</f>
        <v/>
      </c>
      <c r="Z9" s="20" t="str">
        <f aca="false">IF($C9="","",EDATE($C9,Milestones!$AA$34))</f>
        <v/>
      </c>
      <c r="AA9" s="20" t="str">
        <f aca="false">IF($C9="","",EDATE($C9,Milestones!$AA$35))</f>
        <v/>
      </c>
      <c r="AB9" s="20" t="str">
        <f aca="false">IF($C9="","",EDATE($C9,Milestones!$AA$36))</f>
        <v/>
      </c>
      <c r="AC9" s="20" t="str">
        <f aca="false">IF($C9="","",EDATE($C9,Milestones!$AA$37))</f>
        <v/>
      </c>
      <c r="AD9" s="20" t="str">
        <f aca="false">IF($C9="","",EDATE($C9,Milestones!$AA$38))</f>
        <v/>
      </c>
      <c r="AE9" s="20" t="str">
        <f aca="false">IF($C9="","",EDATE($C9,Milestones!$AA$39))</f>
        <v/>
      </c>
      <c r="AF9" s="20" t="str">
        <f aca="false">IF($C9="","",EDATE($C9,Milestones!$AA$40))</f>
        <v/>
      </c>
      <c r="AG9" s="20" t="str">
        <f aca="false">IF($C9="","",EDATE($C9,Milestones!$AA$41))</f>
        <v/>
      </c>
      <c r="AH9" s="20" t="str">
        <f aca="false">IF($C9="","",EDATE($C9,Milestones!$AA$42))</f>
        <v/>
      </c>
      <c r="AI9" s="20" t="str">
        <f aca="false">IF($C9="","",EDATE($C9,Milestones!$AA$43))</f>
        <v/>
      </c>
      <c r="AJ9" s="20" t="str">
        <f aca="false">IF($C9="","",EDATE($C9,Milestones!$AA$44))</f>
        <v/>
      </c>
      <c r="AK9" s="20" t="str">
        <f aca="false">IF($C9="","",EDATE($C9,Milestones!$AA$45))</f>
        <v/>
      </c>
      <c r="AL9" s="20" t="str">
        <f aca="false">IF($C9="","",EDATE($C9,Milestones!$AA$46))</f>
        <v/>
      </c>
      <c r="AM9" s="20" t="str">
        <f aca="false">IF($C9="","",EDATE($C9,Milestones!$AA$47))</f>
        <v/>
      </c>
      <c r="AN9" s="20" t="str">
        <f aca="false">IF($C9="","",EDATE($C9,Milestones!$AA$48))</f>
        <v/>
      </c>
      <c r="AO9" s="20" t="str">
        <f aca="false">IF($C9="","",EDATE($C9,Milestones!$AA$49))</f>
        <v/>
      </c>
      <c r="AP9" s="20" t="str">
        <f aca="false">IF($C9="","",EDATE($C9,Milestones!$AA$50))</f>
        <v/>
      </c>
      <c r="AQ9" s="20" t="str">
        <f aca="false">IF($C9="","",EDATE($C9,Milestones!$AA$51))</f>
        <v/>
      </c>
      <c r="AR9" s="20" t="str">
        <f aca="false">IF($C9="","",EDATE($C9,Milestones!$AA$52))</f>
        <v/>
      </c>
      <c r="AS9" s="20" t="str">
        <f aca="false">IF($C9="","",EDATE($C9,Milestones!$AA$53))</f>
        <v/>
      </c>
      <c r="AT9" s="20" t="str">
        <f aca="false">IF($C9="","",EDATE($C9,Milestones!$AA$54))</f>
        <v/>
      </c>
      <c r="AU9" s="20" t="str">
        <f aca="false">IF($C9="","",EDATE($C9,Milestones!$AA$55))</f>
        <v/>
      </c>
      <c r="AV9" s="20" t="str">
        <f aca="false">IF($C9="","",EDATE($C9,Milestones!$AA$56))</f>
        <v/>
      </c>
      <c r="AW9" s="20" t="str">
        <f aca="false">IF($C9="","",EDATE($C9,Milestones!$AA$57))</f>
        <v/>
      </c>
      <c r="AX9" s="20" t="str">
        <f aca="false">IF($C9="","",EDATE($C9,Milestones!$AA$58))</f>
        <v/>
      </c>
      <c r="AY9" s="20" t="str">
        <f aca="false">IF($C9="","",EDATE($C9,Milestones!$AA$59))</f>
        <v/>
      </c>
      <c r="AZ9" s="20" t="str">
        <f aca="false">IF($C9="","",EDATE($C9,Milestones!$AA$60))</f>
        <v/>
      </c>
      <c r="BA9" s="20" t="str">
        <f aca="false">IF($C9="","",EDATE($C9,Milestones!$AA$61))</f>
        <v/>
      </c>
      <c r="BB9" s="20" t="str">
        <f aca="false">IF($C9="","",EDATE($C9,Milestones!$AA$62))</f>
        <v/>
      </c>
      <c r="BC9" s="20" t="str">
        <f aca="false">IF($C9="","",EDATE($C9,Milestones!$AA$63))</f>
        <v/>
      </c>
      <c r="BD9" s="20" t="str">
        <f aca="false">IF($C9="","",EDATE($C9,Milestones!$AA$64))</f>
        <v/>
      </c>
      <c r="BE9" s="20" t="str">
        <f aca="false">IF($C9="","",EDATE($C9,Milestones!$AA$65))</f>
        <v/>
      </c>
      <c r="BF9" s="20" t="str">
        <f aca="false">IF($C9="","",EDATE($C9,Milestones!$AA$66))</f>
        <v/>
      </c>
      <c r="BG9" s="20" t="str">
        <f aca="false">IF($C9="","",EDATE($C9,Milestones!$AA$67))</f>
        <v/>
      </c>
      <c r="BH9" s="20" t="str">
        <f aca="false">IF($C9="","",EDATE($C9,Milestones!$AA$68))</f>
        <v/>
      </c>
      <c r="BI9" s="20" t="str">
        <f aca="false">IF($C9="","",EDATE($C9,Milestones!$AA$69))</f>
        <v/>
      </c>
      <c r="BJ9" s="20" t="str">
        <f aca="false">IF($C9="","",EDATE($C9,Milestones!$AA$70))</f>
        <v/>
      </c>
      <c r="BK9" s="20" t="str">
        <f aca="false">IF($C9="","",EDATE($C9,Milestones!$AA$71))</f>
        <v/>
      </c>
      <c r="BL9" s="20" t="str">
        <f aca="false">IF($C9="","",EDATE($C9,Milestones!$AA$72))</f>
        <v/>
      </c>
      <c r="BM9" s="20" t="str">
        <f aca="false">IF($C9="","",EDATE($C9,Milestones!$AA$73))</f>
        <v/>
      </c>
      <c r="BN9" s="20" t="str">
        <f aca="false">IF($C9="","",EDATE($C9,Milestones!$AA$74))</f>
        <v/>
      </c>
      <c r="BO9" s="20" t="str">
        <f aca="false">IF($C9="","",EDATE($C9,Milestones!$AA$75))</f>
        <v/>
      </c>
      <c r="BP9" s="20" t="str">
        <f aca="false">IF($C9="","",EDATE($C9,Milestones!$AA$76))</f>
        <v/>
      </c>
      <c r="BQ9" s="20" t="str">
        <f aca="false">IF($C9="","",EDATE($C9,Milestones!$AA$77))</f>
        <v/>
      </c>
      <c r="BR9" s="20" t="str">
        <f aca="false">IF($C9="","",EDATE($C9,Milestones!$AA$78))</f>
        <v/>
      </c>
      <c r="BS9" s="20" t="str">
        <f aca="false">IF($C9="","",EDATE($C9,Milestones!$AA$79))</f>
        <v/>
      </c>
      <c r="BT9" s="20" t="str">
        <f aca="false">IF($C9="","",EDATE($C9,Milestones!$AA$80))</f>
        <v/>
      </c>
      <c r="BU9" s="20" t="str">
        <f aca="false">IF($C9="","",EDATE($C9,Milestones!$AA$81))</f>
        <v/>
      </c>
      <c r="BV9" s="20" t="str">
        <f aca="false">IF($C9="","",EDATE($C9,Milestones!$AA$82))</f>
        <v/>
      </c>
      <c r="BW9" s="20" t="str">
        <f aca="false">IF($C9="","",EDATE($C9,Milestones!$AA$83))</f>
        <v/>
      </c>
      <c r="BX9" s="20" t="str">
        <f aca="false">IF($C9="","",EDATE($C9,Milestones!$AA$84))</f>
        <v/>
      </c>
      <c r="BY9" s="20" t="str">
        <f aca="false">IF($C9="","",EDATE($C9,Milestones!$AA$85))</f>
        <v/>
      </c>
      <c r="BZ9" s="20" t="str">
        <f aca="false">IF($C9="","",EDATE($C9,Milestones!$AA$86))</f>
        <v/>
      </c>
      <c r="CA9" s="20" t="str">
        <f aca="false">IF($C9="","",EDATE($C9,Milestones!$AA$87))</f>
        <v/>
      </c>
      <c r="CB9" s="20" t="str">
        <f aca="false">IF($C9="","",EDATE($C9,Milestones!$AA$88))</f>
        <v/>
      </c>
      <c r="CC9" s="20" t="str">
        <f aca="false">IF($C9="","",EDATE($C9,Milestones!$AA$89))</f>
        <v/>
      </c>
      <c r="CD9" s="20" t="str">
        <f aca="false">IF($C9="","",EDATE($C9,Milestones!$AA$90))</f>
        <v/>
      </c>
      <c r="CE9" s="20" t="str">
        <f aca="false">IF($C9="","",EDATE($C9,Milestones!$AA$91))</f>
        <v/>
      </c>
      <c r="CF9" s="20" t="str">
        <f aca="false">IF($C9="","",EDATE($C9,Milestones!$AA$92))</f>
        <v/>
      </c>
      <c r="CG9" s="20" t="str">
        <f aca="false">IF($C9="","",EDATE($C9,Milestones!$AA$93))</f>
        <v/>
      </c>
      <c r="CH9" s="20" t="str">
        <f aca="false">IF($C9="","",EDATE($C9,Milestones!$AA$94))</f>
        <v/>
      </c>
      <c r="CI9" s="20" t="str">
        <f aca="false">IF($C9="","",EDATE($C9,Milestones!$AA$95))</f>
        <v/>
      </c>
      <c r="CJ9" s="20" t="str">
        <f aca="false">IF($C9="","",EDATE($C9,Milestones!$AA$96))</f>
        <v/>
      </c>
      <c r="CK9" s="20" t="str">
        <f aca="false">IF($C9="","",EDATE($C9,Milestones!$AA$97))</f>
        <v/>
      </c>
      <c r="CL9" s="20" t="str">
        <f aca="false">IF($C9="","",EDATE($C9,Milestones!$AA$98))</f>
        <v/>
      </c>
      <c r="CM9" s="20" t="str">
        <f aca="false">IF($C9="","",EDATE($C9,Milestones!$AA$99))</f>
        <v/>
      </c>
      <c r="CN9" s="20" t="str">
        <f aca="false">IF($C9="","",EDATE($C9,Milestones!$AA$100))</f>
        <v/>
      </c>
      <c r="CO9" s="20" t="str">
        <f aca="false">IF($C9="","",EDATE($C9,Milestones!$AA$101))</f>
        <v/>
      </c>
      <c r="CP9" s="20" t="str">
        <f aca="false">IF($C9="","",EDATE($C9,Milestones!$AA$102))</f>
        <v/>
      </c>
      <c r="CQ9" s="20" t="str">
        <f aca="false">IF($C9="","",EDATE($C9,Milestones!$AA$103))</f>
        <v/>
      </c>
      <c r="CR9" s="20" t="str">
        <f aca="false">IF($C9="","",EDATE($C9,Milestones!$AA$104))</f>
        <v/>
      </c>
      <c r="CS9" s="20" t="str">
        <f aca="false">IF($C9="","",EDATE($C9,Milestones!$AA$105))</f>
        <v/>
      </c>
      <c r="CT9" s="20" t="str">
        <f aca="false">IF($C9="","",EDATE($C9,Milestones!$AA$106))</f>
        <v/>
      </c>
      <c r="CU9" s="20" t="str">
        <f aca="false">IF($C9="","",EDATE($C9,Milestones!$AA$107))</f>
        <v/>
      </c>
      <c r="CV9" s="20" t="str">
        <f aca="false">IF($C9="","",EDATE($C9,Milestones!$AA$108))</f>
        <v/>
      </c>
      <c r="CW9" s="20" t="str">
        <f aca="false">IF($C9="","",EDATE($C9,Milestones!$AA$109))</f>
        <v/>
      </c>
      <c r="CX9" s="20" t="str">
        <f aca="false">IF($C9="","",EDATE($C9,Milestones!$AA$110))</f>
        <v/>
      </c>
      <c r="CY9" s="20" t="str">
        <f aca="false">IF($C9="","",EDATE($C9,Milestones!$AA$111))</f>
        <v/>
      </c>
      <c r="CZ9" s="20" t="str">
        <f aca="false">IF($C9="","",EDATE($C9,Milestones!$AA$112))</f>
        <v/>
      </c>
      <c r="DA9" s="20" t="str">
        <f aca="false">IF($C9="","",EDATE($C9,Milestones!$AA$113))</f>
        <v/>
      </c>
      <c r="DB9" s="20" t="str">
        <f aca="false">IF($C9="","",EDATE($C9,Milestones!$AA$114))</f>
        <v/>
      </c>
      <c r="DC9" s="20" t="str">
        <f aca="false">IF($C9="","",EDATE($C9,Milestones!$AA$115))</f>
        <v/>
      </c>
      <c r="DD9" s="20" t="str">
        <f aca="false">IF($C9="","",EDATE($C9,Milestones!$AA$116))</f>
        <v/>
      </c>
      <c r="DE9" s="20" t="str">
        <f aca="false">IF($C9="","",EDATE($C9,Milestones!$AA$117))</f>
        <v/>
      </c>
      <c r="DF9" s="20" t="str">
        <f aca="false">IF($C9="","",EDATE($C9,Milestones!$AA$118))</f>
        <v/>
      </c>
      <c r="DG9" s="20" t="str">
        <f aca="false">IF($C9="","",EDATE($C9,Milestones!$AA$119))</f>
        <v/>
      </c>
      <c r="DH9" s="20" t="str">
        <f aca="false">IF($C9="","",EDATE($C9,Milestones!$AA$120))</f>
        <v/>
      </c>
      <c r="DI9" s="20" t="str">
        <f aca="false">IF($C9="","",EDATE($C9,Milestones!$AA$121))</f>
        <v/>
      </c>
      <c r="DJ9" s="20" t="str">
        <f aca="false">IF($C9="","",EDATE($C9,Milestones!$AA$122))</f>
        <v/>
      </c>
      <c r="DK9" s="20" t="str">
        <f aca="false">IF($C9="","",EDATE($C9,Milestones!$AA$123))</f>
        <v/>
      </c>
      <c r="DL9" s="20" t="str">
        <f aca="false">IF($C9="","",EDATE($C9,Milestones!$AA$124))</f>
        <v/>
      </c>
      <c r="DM9" s="20" t="str">
        <f aca="false">IF($C9="","",EDATE($C9,Milestones!$AA$125))</f>
        <v/>
      </c>
      <c r="DN9" s="20" t="str">
        <f aca="false">IF($C9="","",EDATE($C9,Milestones!$AA$126))</f>
        <v/>
      </c>
      <c r="DO9" s="20" t="str">
        <f aca="false">IF($C9="","",EDATE($C9,Milestones!$AA$127))</f>
        <v/>
      </c>
      <c r="DP9" s="20" t="str">
        <f aca="false">IF($C9="","",EDATE($C9,Milestones!$AA$128))</f>
        <v/>
      </c>
      <c r="DQ9" s="20" t="str">
        <f aca="false">IF($C9="","",EDATE($C9,Milestones!$AA$129))</f>
        <v/>
      </c>
      <c r="DR9" s="20" t="str">
        <f aca="false">IF($C9="","",EDATE($C9,Milestones!$AA$130))</f>
        <v/>
      </c>
      <c r="DS9" s="20" t="str">
        <f aca="false">IF($C9="","",EDATE($C9,Milestones!$AA$131))</f>
        <v/>
      </c>
      <c r="DT9" s="20" t="str">
        <f aca="false">IF($C9="","",EDATE($C9,Milestones!$AA$132))</f>
        <v/>
      </c>
      <c r="DU9" s="20" t="str">
        <f aca="false">IF($C9="","",EDATE($C9,Milestones!$AA$133))</f>
        <v/>
      </c>
      <c r="DV9" s="20" t="str">
        <f aca="false">IF($C9="","",EDATE($C9,Milestones!$AA$134))</f>
        <v/>
      </c>
      <c r="DW9" s="20" t="str">
        <f aca="false">IF($C9="","",EDATE($C9,Milestones!$AA$135))</f>
        <v/>
      </c>
      <c r="DX9" s="20" t="str">
        <f aca="false">IF($C9="","",EDATE($C9,Milestones!$AA$136))</f>
        <v/>
      </c>
      <c r="DY9" s="20" t="str">
        <f aca="false">IF($C9="","",EDATE($C9,Milestones!$AA$137))</f>
        <v/>
      </c>
      <c r="DZ9" s="20" t="str">
        <f aca="false">IF($C9="","",EDATE($C9,Milestones!$AA$138))</f>
        <v/>
      </c>
      <c r="EA9" s="20" t="str">
        <f aca="false">IF($C9="","",EDATE($C9,Milestones!$AA$139))</f>
        <v/>
      </c>
      <c r="EB9" s="20" t="str">
        <f aca="false">IF($C9="","",EDATE($C9,Milestones!$AA$140))</f>
        <v/>
      </c>
      <c r="EC9" s="20" t="str">
        <f aca="false">IF($C9="","",EDATE($C9,Milestones!$AA$141))</f>
        <v/>
      </c>
      <c r="ED9" s="20" t="str">
        <f aca="false">IF($C9="","",EDATE($C9,Milestones!$AA$142))</f>
        <v/>
      </c>
      <c r="EE9" s="20" t="str">
        <f aca="false">IF($C9="","",EDATE($C9,Milestones!$AA$143))</f>
        <v/>
      </c>
      <c r="EF9" s="20" t="str">
        <f aca="false">IF($C9="","",EDATE($C9,Milestones!$AA$144))</f>
        <v/>
      </c>
      <c r="EG9" s="20" t="str">
        <f aca="false">IF($C9="","",EDATE($C9,Milestones!$AA$145))</f>
        <v/>
      </c>
      <c r="EH9" s="20" t="str">
        <f aca="false">IF($C9="","",EDATE($C9,Milestones!$AA$146))</f>
        <v/>
      </c>
      <c r="EI9" s="20" t="str">
        <f aca="false">IF($C9="","",EDATE($C9,Milestones!$AA$147))</f>
        <v/>
      </c>
      <c r="EJ9" s="20" t="str">
        <f aca="false">IF($C9="","",EDATE($C9,Milestones!$AA$148))</f>
        <v/>
      </c>
      <c r="EK9" s="20" t="str">
        <f aca="false">IF($C9="","",EDATE($C9,Milestones!$AA$149))</f>
        <v/>
      </c>
      <c r="EL9" s="20" t="str">
        <f aca="false">IF($C9="","",EDATE($C9,Milestones!$AA$150))</f>
        <v/>
      </c>
      <c r="EM9" s="20" t="str">
        <f aca="false">IF($C9="","",EDATE($C9,Milestones!$AA$151))</f>
        <v/>
      </c>
      <c r="EN9" s="20" t="str">
        <f aca="false">IF($C9="","",EDATE($C9,Milestones!$AA$152))</f>
        <v/>
      </c>
      <c r="EO9" s="20" t="str">
        <f aca="false">IF($C9="","",EDATE($C9,Milestones!$AA$153))</f>
        <v/>
      </c>
      <c r="EP9" s="20" t="str">
        <f aca="false">IF($C9="","",EDATE($C9,Milestones!$AA$154))</f>
        <v/>
      </c>
      <c r="EQ9" s="20" t="str">
        <f aca="false">IF($C9="","",EDATE($C9,Milestones!$AA$155))</f>
        <v/>
      </c>
      <c r="ER9" s="20" t="str">
        <f aca="false">IF($C9="","",EDATE($C9,Milestones!$AA$156))</f>
        <v/>
      </c>
      <c r="ES9" s="20" t="str">
        <f aca="false">IF($C9="","",EDATE($C9,Milestones!$AA$157))</f>
        <v/>
      </c>
      <c r="ET9" s="20" t="str">
        <f aca="false">IF($C9="","",EDATE($C9,Milestones!$AA$158))</f>
        <v/>
      </c>
      <c r="EU9" s="20" t="str">
        <f aca="false">IF($C9="","",EDATE($C9,Milestones!$AA$159))</f>
        <v/>
      </c>
      <c r="EV9" s="20" t="str">
        <f aca="false">IF($C9="","",EDATE($C9,Milestones!$AA$160))</f>
        <v/>
      </c>
      <c r="EW9" s="20" t="str">
        <f aca="false">IF($C9="","",EDATE($C9,Milestones!$AA$161))</f>
        <v/>
      </c>
      <c r="EX9" s="20" t="str">
        <f aca="false">IF($C9="","",EDATE($C9,Milestones!$AA$162))</f>
        <v/>
      </c>
      <c r="EY9" s="20" t="str">
        <f aca="false">IF($C9="","",EDATE($C9,Milestones!$AA$163))</f>
        <v/>
      </c>
      <c r="EZ9" s="20" t="str">
        <f aca="false">IF($C9="","",EDATE($C9,Milestones!$AA$164))</f>
        <v/>
      </c>
      <c r="FA9" s="20" t="str">
        <f aca="false">IF($C9="","",EDATE($C9,Milestones!$AA$165))</f>
        <v/>
      </c>
      <c r="FB9" s="20" t="str">
        <f aca="false">IF($C9="","",EDATE($C9,Milestones!$AA$166))</f>
        <v/>
      </c>
      <c r="FC9" s="20" t="str">
        <f aca="false">IF($C9="","",EDATE($C9,Milestones!$AA$167))</f>
        <v/>
      </c>
      <c r="FD9" s="20" t="str">
        <f aca="false">IF($C9="","",EDATE($C9,Milestones!$AA$168))</f>
        <v/>
      </c>
      <c r="FE9" s="20" t="str">
        <f aca="false">IF($C9="","",EDATE($C9,Milestones!$AA$169))</f>
        <v/>
      </c>
      <c r="FF9" s="20" t="str">
        <f aca="false">IF($C9="","",EDATE($C9,Milestones!$AA$170))</f>
        <v/>
      </c>
      <c r="FG9" s="20" t="str">
        <f aca="false">IF($C9="","",EDATE($C9,Milestones!$AA$171))</f>
        <v/>
      </c>
      <c r="FH9" s="20" t="str">
        <f aca="false">IF($C9="","",EDATE($C9,Milestones!$AA$172))</f>
        <v/>
      </c>
      <c r="FI9" s="20" t="str">
        <f aca="false">IF($C9="","",EDATE($C9,Milestones!$AA$173))</f>
        <v/>
      </c>
      <c r="FJ9" s="20" t="str">
        <f aca="false">IF($C9="","",EDATE($C9,Milestones!$AA$174))</f>
        <v/>
      </c>
      <c r="FK9" s="20" t="str">
        <f aca="false">IF($C9="","",EDATE($C9,Milestones!$AA$175))</f>
        <v/>
      </c>
      <c r="FL9" s="20" t="str">
        <f aca="false">IF($C9="","",EDATE($C9,Milestones!$AA$176))</f>
        <v/>
      </c>
      <c r="FM9" s="20" t="str">
        <f aca="false">IF($C9="","",EDATE($C9,Milestones!$AA$177))</f>
        <v/>
      </c>
      <c r="FN9" s="20" t="str">
        <f aca="false">IF($C9="","",EDATE($C9,Milestones!$AA$178))</f>
        <v/>
      </c>
      <c r="FO9" s="20" t="str">
        <f aca="false">IF($C9="","",EDATE($C9,Milestones!$AA$179))</f>
        <v/>
      </c>
      <c r="FP9" s="20" t="str">
        <f aca="false">IF($C9="","",EDATE($C9,Milestones!$AA$180))</f>
        <v/>
      </c>
      <c r="FQ9" s="20" t="str">
        <f aca="false">IF($C9="","",EDATE($C9,Milestones!$AA$181))</f>
        <v/>
      </c>
      <c r="FR9" s="20" t="str">
        <f aca="false">IF($C9="","",EDATE($C9,Milestones!$AA$182))</f>
        <v/>
      </c>
      <c r="FS9" s="20" t="str">
        <f aca="false">IF($C9="","",EDATE($C9,Milestones!$AA$183))</f>
        <v/>
      </c>
      <c r="FT9" s="20" t="str">
        <f aca="false">IF($C9="","",EDATE($C9,Milestones!$AA$184))</f>
        <v/>
      </c>
      <c r="FU9" s="20" t="str">
        <f aca="false">IF($C9="","",EDATE($C9,Milestones!$AA$185))</f>
        <v/>
      </c>
      <c r="FV9" s="20" t="str">
        <f aca="false">IF($C9="","",EDATE($C9,Milestones!$AA$186))</f>
        <v/>
      </c>
      <c r="FW9" s="20" t="str">
        <f aca="false">IF($C9="","",EDATE($C9,Milestones!$AA$187))</f>
        <v/>
      </c>
      <c r="FX9" s="20" t="str">
        <f aca="false">IF($C9="","",EDATE($C9,Milestones!$AA$188))</f>
        <v/>
      </c>
      <c r="FY9" s="20" t="str">
        <f aca="false">IF($C9="","",EDATE($C9,Milestones!$AA$189))</f>
        <v/>
      </c>
      <c r="FZ9" s="20" t="str">
        <f aca="false">IF($C9="","",EDATE($C9,Milestones!$AA$190))</f>
        <v/>
      </c>
      <c r="GA9" s="20" t="str">
        <f aca="false">IF($C9="","",EDATE($C9,Milestones!$AA$191))</f>
        <v/>
      </c>
      <c r="GB9" s="20" t="str">
        <f aca="false">IF($C9="","",EDATE($C9,Milestones!$AA$192))</f>
        <v/>
      </c>
      <c r="GC9" s="20" t="str">
        <f aca="false">IF($C9="","",EDATE($C9,Milestones!$AA$193))</f>
        <v/>
      </c>
      <c r="GD9" s="20" t="str">
        <f aca="false">IF($C9="","",EDATE($C9,Milestones!$AA$194))</f>
        <v/>
      </c>
      <c r="GE9" s="20" t="str">
        <f aca="false">IF($C9="","",EDATE($C9,Milestones!$AA$195))</f>
        <v/>
      </c>
      <c r="GF9" s="20" t="str">
        <f aca="false">IF($C9="","",EDATE($C9,Milestones!$AA$196))</f>
        <v/>
      </c>
      <c r="GG9" s="20" t="str">
        <f aca="false">IF($C9="","",EDATE($C9,Milestones!$AA$197))</f>
        <v/>
      </c>
      <c r="GH9" s="20" t="str">
        <f aca="false">IF($C9="","",EDATE($C9,Milestones!$AA$198))</f>
        <v/>
      </c>
      <c r="GI9" s="20" t="str">
        <f aca="false">IF($C9="","",EDATE($C9,Milestones!$AA$199))</f>
        <v/>
      </c>
    </row>
    <row r="10" customFormat="false" ht="15" hidden="false" customHeight="false" outlineLevel="0" collapsed="false">
      <c r="K10" s="0" t="s">
        <v>263</v>
      </c>
      <c r="L10" s="0" t="str">
        <f aca="false">IF(L9="","",IF($D9=0,$J9,IF(AND($F9&lt;&gt;"",L9&gt;=$F9),$I9,IF(AND($E9&lt;&gt;"",L9&gt;=$E9),$H9,$G9))))</f>
        <v/>
      </c>
      <c r="M10" s="0" t="str">
        <f aca="false">IF(M9="","",IF($D9=0,$J9,IF(AND($F9&lt;&gt;"",M9&gt;=$F9),$I9,IF(AND($E9&lt;&gt;"",M9&gt;=$E9),$H9,$G9))))</f>
        <v/>
      </c>
      <c r="N10" s="0" t="str">
        <f aca="false">IF(N9="","",IF($D9=0,$J9,IF(AND($F9&lt;&gt;"",N9&gt;=$F9),$I9,IF(AND($E9&lt;&gt;"",N9&gt;=$E9),$H9,$G9))))</f>
        <v/>
      </c>
      <c r="O10" s="0" t="str">
        <f aca="false">IF(O9="","",IF($D9=0,$J9,IF(AND($F9&lt;&gt;"",O9&gt;=$F9),$I9,IF(AND($E9&lt;&gt;"",O9&gt;=$E9),$H9,$G9))))</f>
        <v/>
      </c>
      <c r="P10" s="0" t="str">
        <f aca="false">IF(P9="","",IF($D9=0,$J9,IF(AND($F9&lt;&gt;"",P9&gt;=$F9),$I9,IF(AND($E9&lt;&gt;"",P9&gt;=$E9),$H9,$G9))))</f>
        <v/>
      </c>
      <c r="Q10" s="0" t="str">
        <f aca="false">IF(Q9="","",IF($D9=0,$J9,IF(AND($F9&lt;&gt;"",Q9&gt;=$F9),$I9,IF(AND($E9&lt;&gt;"",Q9&gt;=$E9),$H9,$G9))))</f>
        <v/>
      </c>
      <c r="R10" s="0" t="str">
        <f aca="false">IF(R9="","",IF($D9=0,$J9,IF(AND($F9&lt;&gt;"",R9&gt;=$F9),$I9,IF(AND($E9&lt;&gt;"",R9&gt;=$E9),$H9,$G9))))</f>
        <v/>
      </c>
      <c r="S10" s="0" t="str">
        <f aca="false">IF(S9="","",IF($D9=0,$J9,IF(AND($F9&lt;&gt;"",S9&gt;=$F9),$I9,IF(AND($E9&lt;&gt;"",S9&gt;=$E9),$H9,$G9))))</f>
        <v/>
      </c>
      <c r="T10" s="0" t="str">
        <f aca="false">IF(T9="","",IF($D9=0,$J9,IF(AND($F9&lt;&gt;"",T9&gt;=$F9),$I9,IF(AND($E9&lt;&gt;"",T9&gt;=$E9),$H9,$G9))))</f>
        <v/>
      </c>
      <c r="U10" s="0" t="str">
        <f aca="false">IF(U9="","",IF($D9=0,$J9,IF(AND($F9&lt;&gt;"",U9&gt;=$F9),$I9,IF(AND($E9&lt;&gt;"",U9&gt;=$E9),$H9,$G9))))</f>
        <v/>
      </c>
      <c r="V10" s="0" t="str">
        <f aca="false">IF(V9="","",IF($D9=0,$J9,IF(AND($F9&lt;&gt;"",V9&gt;=$F9),$I9,IF(AND($E9&lt;&gt;"",V9&gt;=$E9),$H9,$G9))))</f>
        <v/>
      </c>
      <c r="W10" s="0" t="str">
        <f aca="false">IF(W9="","",IF($D9=0,$J9,IF(AND($F9&lt;&gt;"",W9&gt;=$F9),$I9,IF(AND($E9&lt;&gt;"",W9&gt;=$E9),$H9,$G9))))</f>
        <v/>
      </c>
      <c r="X10" s="0" t="str">
        <f aca="false">IF(X9="","",IF($D9=0,$J9,IF(AND($F9&lt;&gt;"",X9&gt;=$F9),$I9,IF(AND($E9&lt;&gt;"",X9&gt;=$E9),$H9,$G9))))</f>
        <v/>
      </c>
      <c r="Y10" s="0" t="str">
        <f aca="false">IF(Y9="","",IF($D9=0,$J9,IF(AND($F9&lt;&gt;"",Y9&gt;=$F9),$I9,IF(AND($E9&lt;&gt;"",Y9&gt;=$E9),$H9,$G9))))</f>
        <v/>
      </c>
      <c r="Z10" s="0" t="str">
        <f aca="false">IF(Z9="","",IF($D9=0,$J9,IF(AND($F9&lt;&gt;"",Z9&gt;=$F9),$I9,IF(AND($E9&lt;&gt;"",Z9&gt;=$E9),$H9,$G9))))</f>
        <v/>
      </c>
      <c r="AA10" s="0" t="str">
        <f aca="false">IF(AA9="","",IF($D9=0,$J9,IF(AND($F9&lt;&gt;"",AA9&gt;=$F9),$I9,IF(AND($E9&lt;&gt;"",AA9&gt;=$E9),$H9,$G9))))</f>
        <v/>
      </c>
      <c r="AB10" s="0" t="str">
        <f aca="false">IF(AB9="","",IF($D9=0,$J9,IF(AND($F9&lt;&gt;"",AB9&gt;=$F9),$I9,IF(AND($E9&lt;&gt;"",AB9&gt;=$E9),$H9,$G9))))</f>
        <v/>
      </c>
      <c r="AC10" s="0" t="str">
        <f aca="false">IF(AC9="","",IF($D9=0,$J9,IF(AND($F9&lt;&gt;"",AC9&gt;=$F9),$I9,IF(AND($E9&lt;&gt;"",AC9&gt;=$E9),$H9,$G9))))</f>
        <v/>
      </c>
      <c r="AD10" s="0" t="str">
        <f aca="false">IF(AD9="","",IF($D9=0,$J9,IF(AND($F9&lt;&gt;"",AD9&gt;=$F9),$I9,IF(AND($E9&lt;&gt;"",AD9&gt;=$E9),$H9,$G9))))</f>
        <v/>
      </c>
      <c r="AE10" s="0" t="str">
        <f aca="false">IF(AE9="","",IF($D9=0,$J9,IF(AND($F9&lt;&gt;"",AE9&gt;=$F9),$I9,IF(AND($E9&lt;&gt;"",AE9&gt;=$E9),$H9,$G9))))</f>
        <v/>
      </c>
      <c r="AF10" s="0" t="str">
        <f aca="false">IF(AF9="","",IF($D9=0,$J9,IF(AND($F9&lt;&gt;"",AF9&gt;=$F9),$I9,IF(AND($E9&lt;&gt;"",AF9&gt;=$E9),$H9,$G9))))</f>
        <v/>
      </c>
      <c r="AG10" s="0" t="str">
        <f aca="false">IF(AG9="","",IF($D9=0,$J9,IF(AND($F9&lt;&gt;"",AG9&gt;=$F9),$I9,IF(AND($E9&lt;&gt;"",AG9&gt;=$E9),$H9,$G9))))</f>
        <v/>
      </c>
      <c r="AH10" s="0" t="str">
        <f aca="false">IF(AH9="","",IF($D9=0,$J9,IF(AND($F9&lt;&gt;"",AH9&gt;=$F9),$I9,IF(AND($E9&lt;&gt;"",AH9&gt;=$E9),$H9,$G9))))</f>
        <v/>
      </c>
      <c r="AI10" s="0" t="str">
        <f aca="false">IF(AI9="","",IF($D9=0,$J9,IF(AND($F9&lt;&gt;"",AI9&gt;=$F9),$I9,IF(AND($E9&lt;&gt;"",AI9&gt;=$E9),$H9,$G9))))</f>
        <v/>
      </c>
      <c r="AJ10" s="0" t="str">
        <f aca="false">IF(AJ9="","",IF($D9=0,$J9,IF(AND($F9&lt;&gt;"",AJ9&gt;=$F9),$I9,IF(AND($E9&lt;&gt;"",AJ9&gt;=$E9),$H9,$G9))))</f>
        <v/>
      </c>
      <c r="AK10" s="0" t="str">
        <f aca="false">IF(AK9="","",IF($D9=0,$J9,IF(AND($F9&lt;&gt;"",AK9&gt;=$F9),$I9,IF(AND($E9&lt;&gt;"",AK9&gt;=$E9),$H9,$G9))))</f>
        <v/>
      </c>
      <c r="AL10" s="0" t="str">
        <f aca="false">IF(AL9="","",IF($D9=0,$J9,IF(AND($F9&lt;&gt;"",AL9&gt;=$F9),$I9,IF(AND($E9&lt;&gt;"",AL9&gt;=$E9),$H9,$G9))))</f>
        <v/>
      </c>
      <c r="AM10" s="0" t="str">
        <f aca="false">IF(AM9="","",IF($D9=0,$J9,IF(AND($F9&lt;&gt;"",AM9&gt;=$F9),$I9,IF(AND($E9&lt;&gt;"",AM9&gt;=$E9),$H9,$G9))))</f>
        <v/>
      </c>
      <c r="AN10" s="0" t="str">
        <f aca="false">IF(AN9="","",IF($D9=0,$J9,IF(AND($F9&lt;&gt;"",AN9&gt;=$F9),$I9,IF(AND($E9&lt;&gt;"",AN9&gt;=$E9),$H9,$G9))))</f>
        <v/>
      </c>
      <c r="AO10" s="0" t="str">
        <f aca="false">IF(AO9="","",IF($D9=0,$J9,IF(AND($F9&lt;&gt;"",AO9&gt;=$F9),$I9,IF(AND($E9&lt;&gt;"",AO9&gt;=$E9),$H9,$G9))))</f>
        <v/>
      </c>
      <c r="AP10" s="0" t="str">
        <f aca="false">IF(AP9="","",IF($D9=0,$J9,IF(AND($F9&lt;&gt;"",AP9&gt;=$F9),$I9,IF(AND($E9&lt;&gt;"",AP9&gt;=$E9),$H9,$G9))))</f>
        <v/>
      </c>
      <c r="AQ10" s="0" t="str">
        <f aca="false">IF(AQ9="","",IF($D9=0,$J9,IF(AND($F9&lt;&gt;"",AQ9&gt;=$F9),$I9,IF(AND($E9&lt;&gt;"",AQ9&gt;=$E9),$H9,$G9))))</f>
        <v/>
      </c>
      <c r="AR10" s="0" t="str">
        <f aca="false">IF(AR9="","",IF($D9=0,$J9,IF(AND($F9&lt;&gt;"",AR9&gt;=$F9),$I9,IF(AND($E9&lt;&gt;"",AR9&gt;=$E9),$H9,$G9))))</f>
        <v/>
      </c>
      <c r="AS10" s="0" t="str">
        <f aca="false">IF(AS9="","",IF($D9=0,$J9,IF(AND($F9&lt;&gt;"",AS9&gt;=$F9),$I9,IF(AND($E9&lt;&gt;"",AS9&gt;=$E9),$H9,$G9))))</f>
        <v/>
      </c>
      <c r="AT10" s="0" t="str">
        <f aca="false">IF(AT9="","",IF($D9=0,$J9,IF(AND($F9&lt;&gt;"",AT9&gt;=$F9),$I9,IF(AND($E9&lt;&gt;"",AT9&gt;=$E9),$H9,$G9))))</f>
        <v/>
      </c>
      <c r="AU10" s="0" t="str">
        <f aca="false">IF(AU9="","",IF($D9=0,$J9,IF(AND($F9&lt;&gt;"",AU9&gt;=$F9),$I9,IF(AND($E9&lt;&gt;"",AU9&gt;=$E9),$H9,$G9))))</f>
        <v/>
      </c>
      <c r="AV10" s="0" t="str">
        <f aca="false">IF(AV9="","",IF($D9=0,$J9,IF(AND($F9&lt;&gt;"",AV9&gt;=$F9),$I9,IF(AND($E9&lt;&gt;"",AV9&gt;=$E9),$H9,$G9))))</f>
        <v/>
      </c>
      <c r="AW10" s="0" t="str">
        <f aca="false">IF(AW9="","",IF($D9=0,$J9,IF(AND($F9&lt;&gt;"",AW9&gt;=$F9),$I9,IF(AND($E9&lt;&gt;"",AW9&gt;=$E9),$H9,$G9))))</f>
        <v/>
      </c>
      <c r="AX10" s="0" t="str">
        <f aca="false">IF(AX9="","",IF($D9=0,$J9,IF(AND($F9&lt;&gt;"",AX9&gt;=$F9),$I9,IF(AND($E9&lt;&gt;"",AX9&gt;=$E9),$H9,$G9))))</f>
        <v/>
      </c>
      <c r="AY10" s="0" t="str">
        <f aca="false">IF(AY9="","",IF($D9=0,$J9,IF(AND($F9&lt;&gt;"",AY9&gt;=$F9),$I9,IF(AND($E9&lt;&gt;"",AY9&gt;=$E9),$H9,$G9))))</f>
        <v/>
      </c>
      <c r="AZ10" s="0" t="str">
        <f aca="false">IF(AZ9="","",IF($D9=0,$J9,IF(AND($F9&lt;&gt;"",AZ9&gt;=$F9),$I9,IF(AND($E9&lt;&gt;"",AZ9&gt;=$E9),$H9,$G9))))</f>
        <v/>
      </c>
      <c r="BA10" s="0" t="str">
        <f aca="false">IF(BA9="","",IF($D9=0,$J9,IF(AND($F9&lt;&gt;"",BA9&gt;=$F9),$I9,IF(AND($E9&lt;&gt;"",BA9&gt;=$E9),$H9,$G9))))</f>
        <v/>
      </c>
      <c r="BB10" s="0" t="str">
        <f aca="false">IF(BB9="","",IF($D9=0,$J9,IF(AND($F9&lt;&gt;"",BB9&gt;=$F9),$I9,IF(AND($E9&lt;&gt;"",BB9&gt;=$E9),$H9,$G9))))</f>
        <v/>
      </c>
      <c r="BC10" s="0" t="str">
        <f aca="false">IF(BC9="","",IF($D9=0,$J9,IF(AND($F9&lt;&gt;"",BC9&gt;=$F9),$I9,IF(AND($E9&lt;&gt;"",BC9&gt;=$E9),$H9,$G9))))</f>
        <v/>
      </c>
      <c r="BD10" s="0" t="str">
        <f aca="false">IF(BD9="","",IF($D9=0,$J9,IF(AND($F9&lt;&gt;"",BD9&gt;=$F9),$I9,IF(AND($E9&lt;&gt;"",BD9&gt;=$E9),$H9,$G9))))</f>
        <v/>
      </c>
      <c r="BE10" s="0" t="str">
        <f aca="false">IF(BE9="","",IF($D9=0,$J9,IF(AND($F9&lt;&gt;"",BE9&gt;=$F9),$I9,IF(AND($E9&lt;&gt;"",BE9&gt;=$E9),$H9,$G9))))</f>
        <v/>
      </c>
      <c r="BF10" s="0" t="str">
        <f aca="false">IF(BF9="","",IF($D9=0,$J9,IF(AND($F9&lt;&gt;"",BF9&gt;=$F9),$I9,IF(AND($E9&lt;&gt;"",BF9&gt;=$E9),$H9,$G9))))</f>
        <v/>
      </c>
      <c r="BG10" s="0" t="str">
        <f aca="false">IF(BG9="","",IF($D9=0,$J9,IF(AND($F9&lt;&gt;"",BG9&gt;=$F9),$I9,IF(AND($E9&lt;&gt;"",BG9&gt;=$E9),$H9,$G9))))</f>
        <v/>
      </c>
      <c r="BH10" s="0" t="str">
        <f aca="false">IF(BH9="","",IF($D9=0,$J9,IF(AND($F9&lt;&gt;"",BH9&gt;=$F9),$I9,IF(AND($E9&lt;&gt;"",BH9&gt;=$E9),$H9,$G9))))</f>
        <v/>
      </c>
      <c r="BI10" s="0" t="str">
        <f aca="false">IF(BI9="","",IF($D9=0,$J9,IF(AND($F9&lt;&gt;"",BI9&gt;=$F9),$I9,IF(AND($E9&lt;&gt;"",BI9&gt;=$E9),$H9,$G9))))</f>
        <v/>
      </c>
      <c r="BJ10" s="0" t="str">
        <f aca="false">IF(BJ9="","",IF($D9=0,$J9,IF(AND($F9&lt;&gt;"",BJ9&gt;=$F9),$I9,IF(AND($E9&lt;&gt;"",BJ9&gt;=$E9),$H9,$G9))))</f>
        <v/>
      </c>
      <c r="BK10" s="0" t="str">
        <f aca="false">IF(BK9="","",IF($D9=0,$J9,IF(AND($F9&lt;&gt;"",BK9&gt;=$F9),$I9,IF(AND($E9&lt;&gt;"",BK9&gt;=$E9),$H9,$G9))))</f>
        <v/>
      </c>
      <c r="BL10" s="0" t="str">
        <f aca="false">IF(BL9="","",IF($D9=0,$J9,IF(AND($F9&lt;&gt;"",BL9&gt;=$F9),$I9,IF(AND($E9&lt;&gt;"",BL9&gt;=$E9),$H9,$G9))))</f>
        <v/>
      </c>
      <c r="BM10" s="0" t="str">
        <f aca="false">IF(BM9="","",IF($D9=0,$J9,IF(AND($F9&lt;&gt;"",BM9&gt;=$F9),$I9,IF(AND($E9&lt;&gt;"",BM9&gt;=$E9),$H9,$G9))))</f>
        <v/>
      </c>
      <c r="BN10" s="0" t="str">
        <f aca="false">IF(BN9="","",IF($D9=0,$J9,IF(AND($F9&lt;&gt;"",BN9&gt;=$F9),$I9,IF(AND($E9&lt;&gt;"",BN9&gt;=$E9),$H9,$G9))))</f>
        <v/>
      </c>
      <c r="BO10" s="0" t="str">
        <f aca="false">IF(BO9="","",IF($D9=0,$J9,IF(AND($F9&lt;&gt;"",BO9&gt;=$F9),$I9,IF(AND($E9&lt;&gt;"",BO9&gt;=$E9),$H9,$G9))))</f>
        <v/>
      </c>
      <c r="BP10" s="0" t="str">
        <f aca="false">IF(BP9="","",IF($D9=0,$J9,IF(AND($F9&lt;&gt;"",BP9&gt;=$F9),$I9,IF(AND($E9&lt;&gt;"",BP9&gt;=$E9),$H9,$G9))))</f>
        <v/>
      </c>
      <c r="BQ10" s="0" t="str">
        <f aca="false">IF(BQ9="","",IF($D9=0,$J9,IF(AND($F9&lt;&gt;"",BQ9&gt;=$F9),$I9,IF(AND($E9&lt;&gt;"",BQ9&gt;=$E9),$H9,$G9))))</f>
        <v/>
      </c>
      <c r="BR10" s="0" t="str">
        <f aca="false">IF(BR9="","",IF($D9=0,$J9,IF(AND($F9&lt;&gt;"",BR9&gt;=$F9),$I9,IF(AND($E9&lt;&gt;"",BR9&gt;=$E9),$H9,$G9))))</f>
        <v/>
      </c>
      <c r="BS10" s="0" t="str">
        <f aca="false">IF(BS9="","",IF($D9=0,$J9,IF(AND($F9&lt;&gt;"",BS9&gt;=$F9),$I9,IF(AND($E9&lt;&gt;"",BS9&gt;=$E9),$H9,$G9))))</f>
        <v/>
      </c>
      <c r="BT10" s="0" t="str">
        <f aca="false">IF(BT9="","",IF($D9=0,$J9,IF(AND($F9&lt;&gt;"",BT9&gt;=$F9),$I9,IF(AND($E9&lt;&gt;"",BT9&gt;=$E9),$H9,$G9))))</f>
        <v/>
      </c>
      <c r="BU10" s="0" t="str">
        <f aca="false">IF(BU9="","",IF($D9=0,$J9,IF(AND($F9&lt;&gt;"",BU9&gt;=$F9),$I9,IF(AND($E9&lt;&gt;"",BU9&gt;=$E9),$H9,$G9))))</f>
        <v/>
      </c>
      <c r="BV10" s="0" t="str">
        <f aca="false">IF(BV9="","",IF($D9=0,$J9,IF(AND($F9&lt;&gt;"",BV9&gt;=$F9),$I9,IF(AND($E9&lt;&gt;"",BV9&gt;=$E9),$H9,$G9))))</f>
        <v/>
      </c>
      <c r="BW10" s="0" t="str">
        <f aca="false">IF(BW9="","",IF($D9=0,$J9,IF(AND($F9&lt;&gt;"",BW9&gt;=$F9),$I9,IF(AND($E9&lt;&gt;"",BW9&gt;=$E9),$H9,$G9))))</f>
        <v/>
      </c>
      <c r="BX10" s="0" t="str">
        <f aca="false">IF(BX9="","",IF($D9=0,$J9,IF(AND($F9&lt;&gt;"",BX9&gt;=$F9),$I9,IF(AND($E9&lt;&gt;"",BX9&gt;=$E9),$H9,$G9))))</f>
        <v/>
      </c>
      <c r="BY10" s="0" t="str">
        <f aca="false">IF(BY9="","",IF($D9=0,$J9,IF(AND($F9&lt;&gt;"",BY9&gt;=$F9),$I9,IF(AND($E9&lt;&gt;"",BY9&gt;=$E9),$H9,$G9))))</f>
        <v/>
      </c>
      <c r="BZ10" s="0" t="str">
        <f aca="false">IF(BZ9="","",IF($D9=0,$J9,IF(AND($F9&lt;&gt;"",BZ9&gt;=$F9),$I9,IF(AND($E9&lt;&gt;"",BZ9&gt;=$E9),$H9,$G9))))</f>
        <v/>
      </c>
      <c r="CA10" s="0" t="str">
        <f aca="false">IF(CA9="","",IF($D9=0,$J9,IF(AND($F9&lt;&gt;"",CA9&gt;=$F9),$I9,IF(AND($E9&lt;&gt;"",CA9&gt;=$E9),$H9,$G9))))</f>
        <v/>
      </c>
      <c r="CB10" s="0" t="str">
        <f aca="false">IF(CB9="","",IF($D9=0,$J9,IF(AND($F9&lt;&gt;"",CB9&gt;=$F9),$I9,IF(AND($E9&lt;&gt;"",CB9&gt;=$E9),$H9,$G9))))</f>
        <v/>
      </c>
      <c r="CC10" s="0" t="str">
        <f aca="false">IF(CC9="","",IF($D9=0,$J9,IF(AND($F9&lt;&gt;"",CC9&gt;=$F9),$I9,IF(AND($E9&lt;&gt;"",CC9&gt;=$E9),$H9,$G9))))</f>
        <v/>
      </c>
      <c r="CD10" s="0" t="str">
        <f aca="false">IF(CD9="","",IF($D9=0,$J9,IF(AND($F9&lt;&gt;"",CD9&gt;=$F9),$I9,IF(AND($E9&lt;&gt;"",CD9&gt;=$E9),$H9,$G9))))</f>
        <v/>
      </c>
      <c r="CE10" s="0" t="str">
        <f aca="false">IF(CE9="","",IF($D9=0,$J9,IF(AND($F9&lt;&gt;"",CE9&gt;=$F9),$I9,IF(AND($E9&lt;&gt;"",CE9&gt;=$E9),$H9,$G9))))</f>
        <v/>
      </c>
      <c r="CF10" s="0" t="str">
        <f aca="false">IF(CF9="","",IF($D9=0,$J9,IF(AND($F9&lt;&gt;"",CF9&gt;=$F9),$I9,IF(AND($E9&lt;&gt;"",CF9&gt;=$E9),$H9,$G9))))</f>
        <v/>
      </c>
      <c r="CG10" s="0" t="str">
        <f aca="false">IF(CG9="","",IF($D9=0,$J9,IF(AND($F9&lt;&gt;"",CG9&gt;=$F9),$I9,IF(AND($E9&lt;&gt;"",CG9&gt;=$E9),$H9,$G9))))</f>
        <v/>
      </c>
      <c r="CH10" s="0" t="str">
        <f aca="false">IF(CH9="","",IF($D9=0,$J9,IF(AND($F9&lt;&gt;"",CH9&gt;=$F9),$I9,IF(AND($E9&lt;&gt;"",CH9&gt;=$E9),$H9,$G9))))</f>
        <v/>
      </c>
      <c r="CI10" s="0" t="str">
        <f aca="false">IF(CI9="","",IF($D9=0,$J9,IF(AND($F9&lt;&gt;"",CI9&gt;=$F9),$I9,IF(AND($E9&lt;&gt;"",CI9&gt;=$E9),$H9,$G9))))</f>
        <v/>
      </c>
      <c r="CJ10" s="0" t="str">
        <f aca="false">IF(CJ9="","",IF($D9=0,$J9,IF(AND($F9&lt;&gt;"",CJ9&gt;=$F9),$I9,IF(AND($E9&lt;&gt;"",CJ9&gt;=$E9),$H9,$G9))))</f>
        <v/>
      </c>
      <c r="CK10" s="0" t="str">
        <f aca="false">IF(CK9="","",IF($D9=0,$J9,IF(AND($F9&lt;&gt;"",CK9&gt;=$F9),$I9,IF(AND($E9&lt;&gt;"",CK9&gt;=$E9),$H9,$G9))))</f>
        <v/>
      </c>
      <c r="CL10" s="0" t="str">
        <f aca="false">IF(CL9="","",IF($D9=0,$J9,IF(AND($F9&lt;&gt;"",CL9&gt;=$F9),$I9,IF(AND($E9&lt;&gt;"",CL9&gt;=$E9),$H9,$G9))))</f>
        <v/>
      </c>
      <c r="CM10" s="0" t="str">
        <f aca="false">IF(CM9="","",IF($D9=0,$J9,IF(AND($F9&lt;&gt;"",CM9&gt;=$F9),$I9,IF(AND($E9&lt;&gt;"",CM9&gt;=$E9),$H9,$G9))))</f>
        <v/>
      </c>
      <c r="CN10" s="0" t="str">
        <f aca="false">IF(CN9="","",IF($D9=0,$J9,IF(AND($F9&lt;&gt;"",CN9&gt;=$F9),$I9,IF(AND($E9&lt;&gt;"",CN9&gt;=$E9),$H9,$G9))))</f>
        <v/>
      </c>
      <c r="CO10" s="0" t="str">
        <f aca="false">IF(CO9="","",IF($D9=0,$J9,IF(AND($F9&lt;&gt;"",CO9&gt;=$F9),$I9,IF(AND($E9&lt;&gt;"",CO9&gt;=$E9),$H9,$G9))))</f>
        <v/>
      </c>
      <c r="CP10" s="0" t="str">
        <f aca="false">IF(CP9="","",IF($D9=0,$J9,IF(AND($F9&lt;&gt;"",CP9&gt;=$F9),$I9,IF(AND($E9&lt;&gt;"",CP9&gt;=$E9),$H9,$G9))))</f>
        <v/>
      </c>
      <c r="CQ10" s="0" t="str">
        <f aca="false">IF(CQ9="","",IF($D9=0,$J9,IF(AND($F9&lt;&gt;"",CQ9&gt;=$F9),$I9,IF(AND($E9&lt;&gt;"",CQ9&gt;=$E9),$H9,$G9))))</f>
        <v/>
      </c>
      <c r="CR10" s="0" t="str">
        <f aca="false">IF(CR9="","",IF($D9=0,$J9,IF(AND($F9&lt;&gt;"",CR9&gt;=$F9),$I9,IF(AND($E9&lt;&gt;"",CR9&gt;=$E9),$H9,$G9))))</f>
        <v/>
      </c>
      <c r="CS10" s="0" t="str">
        <f aca="false">IF(CS9="","",IF($D9=0,$J9,IF(AND($F9&lt;&gt;"",CS9&gt;=$F9),$I9,IF(AND($E9&lt;&gt;"",CS9&gt;=$E9),$H9,$G9))))</f>
        <v/>
      </c>
      <c r="CT10" s="0" t="str">
        <f aca="false">IF(CT9="","",IF($D9=0,$J9,IF(AND($F9&lt;&gt;"",CT9&gt;=$F9),$I9,IF(AND($E9&lt;&gt;"",CT9&gt;=$E9),$H9,$G9))))</f>
        <v/>
      </c>
      <c r="CU10" s="0" t="str">
        <f aca="false">IF(CU9="","",IF($D9=0,$J9,IF(AND($F9&lt;&gt;"",CU9&gt;=$F9),$I9,IF(AND($E9&lt;&gt;"",CU9&gt;=$E9),$H9,$G9))))</f>
        <v/>
      </c>
      <c r="CV10" s="0" t="str">
        <f aca="false">IF(CV9="","",IF($D9=0,$J9,IF(AND($F9&lt;&gt;"",CV9&gt;=$F9),$I9,IF(AND($E9&lt;&gt;"",CV9&gt;=$E9),$H9,$G9))))</f>
        <v/>
      </c>
      <c r="CW10" s="0" t="str">
        <f aca="false">IF(CW9="","",IF($D9=0,$J9,IF(AND($F9&lt;&gt;"",CW9&gt;=$F9),$I9,IF(AND($E9&lt;&gt;"",CW9&gt;=$E9),$H9,$G9))))</f>
        <v/>
      </c>
      <c r="CX10" s="0" t="str">
        <f aca="false">IF(CX9="","",IF($D9=0,$J9,IF(AND($F9&lt;&gt;"",CX9&gt;=$F9),$I9,IF(AND($E9&lt;&gt;"",CX9&gt;=$E9),$H9,$G9))))</f>
        <v/>
      </c>
      <c r="CY10" s="0" t="str">
        <f aca="false">IF(CY9="","",IF($D9=0,$J9,IF(AND($F9&lt;&gt;"",CY9&gt;=$F9),$I9,IF(AND($E9&lt;&gt;"",CY9&gt;=$E9),$H9,$G9))))</f>
        <v/>
      </c>
      <c r="CZ10" s="0" t="str">
        <f aca="false">IF(CZ9="","",IF($D9=0,$J9,IF(AND($F9&lt;&gt;"",CZ9&gt;=$F9),$I9,IF(AND($E9&lt;&gt;"",CZ9&gt;=$E9),$H9,$G9))))</f>
        <v/>
      </c>
      <c r="DA10" s="0" t="str">
        <f aca="false">IF(DA9="","",IF($D9=0,$J9,IF(AND($F9&lt;&gt;"",DA9&gt;=$F9),$I9,IF(AND($E9&lt;&gt;"",DA9&gt;=$E9),$H9,$G9))))</f>
        <v/>
      </c>
      <c r="DB10" s="0" t="str">
        <f aca="false">IF(DB9="","",IF($D9=0,$J9,IF(AND($F9&lt;&gt;"",DB9&gt;=$F9),$I9,IF(AND($E9&lt;&gt;"",DB9&gt;=$E9),$H9,$G9))))</f>
        <v/>
      </c>
      <c r="DC10" s="0" t="str">
        <f aca="false">IF(DC9="","",IF($D9=0,$J9,IF(AND($F9&lt;&gt;"",DC9&gt;=$F9),$I9,IF(AND($E9&lt;&gt;"",DC9&gt;=$E9),$H9,$G9))))</f>
        <v/>
      </c>
      <c r="DD10" s="0" t="str">
        <f aca="false">IF(DD9="","",IF($D9=0,$J9,IF(AND($F9&lt;&gt;"",DD9&gt;=$F9),$I9,IF(AND($E9&lt;&gt;"",DD9&gt;=$E9),$H9,$G9))))</f>
        <v/>
      </c>
      <c r="DE10" s="0" t="str">
        <f aca="false">IF(DE9="","",IF($D9=0,$J9,IF(AND($F9&lt;&gt;"",DE9&gt;=$F9),$I9,IF(AND($E9&lt;&gt;"",DE9&gt;=$E9),$H9,$G9))))</f>
        <v/>
      </c>
      <c r="DF10" s="0" t="str">
        <f aca="false">IF(DF9="","",IF($D9=0,$J9,IF(AND($F9&lt;&gt;"",DF9&gt;=$F9),$I9,IF(AND($E9&lt;&gt;"",DF9&gt;=$E9),$H9,$G9))))</f>
        <v/>
      </c>
      <c r="DG10" s="0" t="str">
        <f aca="false">IF(DG9="","",IF($D9=0,$J9,IF(AND($F9&lt;&gt;"",DG9&gt;=$F9),$I9,IF(AND($E9&lt;&gt;"",DG9&gt;=$E9),$H9,$G9))))</f>
        <v/>
      </c>
      <c r="DH10" s="0" t="str">
        <f aca="false">IF(DH9="","",IF($D9=0,$J9,IF(AND($F9&lt;&gt;"",DH9&gt;=$F9),$I9,IF(AND($E9&lt;&gt;"",DH9&gt;=$E9),$H9,$G9))))</f>
        <v/>
      </c>
      <c r="DI10" s="0" t="str">
        <f aca="false">IF(DI9="","",IF($D9=0,$J9,IF(AND($F9&lt;&gt;"",DI9&gt;=$F9),$I9,IF(AND($E9&lt;&gt;"",DI9&gt;=$E9),$H9,$G9))))</f>
        <v/>
      </c>
      <c r="DJ10" s="0" t="str">
        <f aca="false">IF(DJ9="","",IF($D9=0,$J9,IF(AND($F9&lt;&gt;"",DJ9&gt;=$F9),$I9,IF(AND($E9&lt;&gt;"",DJ9&gt;=$E9),$H9,$G9))))</f>
        <v/>
      </c>
      <c r="DK10" s="0" t="str">
        <f aca="false">IF(DK9="","",IF($D9=0,$J9,IF(AND($F9&lt;&gt;"",DK9&gt;=$F9),$I9,IF(AND($E9&lt;&gt;"",DK9&gt;=$E9),$H9,$G9))))</f>
        <v/>
      </c>
      <c r="DL10" s="0" t="str">
        <f aca="false">IF(DL9="","",IF($D9=0,$J9,IF(AND($F9&lt;&gt;"",DL9&gt;=$F9),$I9,IF(AND($E9&lt;&gt;"",DL9&gt;=$E9),$H9,$G9))))</f>
        <v/>
      </c>
      <c r="DM10" s="0" t="str">
        <f aca="false">IF(DM9="","",IF($D9=0,$J9,IF(AND($F9&lt;&gt;"",DM9&gt;=$F9),$I9,IF(AND($E9&lt;&gt;"",DM9&gt;=$E9),$H9,$G9))))</f>
        <v/>
      </c>
      <c r="DN10" s="0" t="str">
        <f aca="false">IF(DN9="","",IF($D9=0,$J9,IF(AND($F9&lt;&gt;"",DN9&gt;=$F9),$I9,IF(AND($E9&lt;&gt;"",DN9&gt;=$E9),$H9,$G9))))</f>
        <v/>
      </c>
      <c r="DO10" s="0" t="str">
        <f aca="false">IF(DO9="","",IF($D9=0,$J9,IF(AND($F9&lt;&gt;"",DO9&gt;=$F9),$I9,IF(AND($E9&lt;&gt;"",DO9&gt;=$E9),$H9,$G9))))</f>
        <v/>
      </c>
      <c r="DP10" s="0" t="str">
        <f aca="false">IF(DP9="","",IF($D9=0,$J9,IF(AND($F9&lt;&gt;"",DP9&gt;=$F9),$I9,IF(AND($E9&lt;&gt;"",DP9&gt;=$E9),$H9,$G9))))</f>
        <v/>
      </c>
      <c r="DQ10" s="0" t="str">
        <f aca="false">IF(DQ9="","",IF($D9=0,$J9,IF(AND($F9&lt;&gt;"",DQ9&gt;=$F9),$I9,IF(AND($E9&lt;&gt;"",DQ9&gt;=$E9),$H9,$G9))))</f>
        <v/>
      </c>
      <c r="DR10" s="0" t="str">
        <f aca="false">IF(DR9="","",IF($D9=0,$J9,IF(AND($F9&lt;&gt;"",DR9&gt;=$F9),$I9,IF(AND($E9&lt;&gt;"",DR9&gt;=$E9),$H9,$G9))))</f>
        <v/>
      </c>
      <c r="DS10" s="0" t="str">
        <f aca="false">IF(DS9="","",IF($D9=0,$J9,IF(AND($F9&lt;&gt;"",DS9&gt;=$F9),$I9,IF(AND($E9&lt;&gt;"",DS9&gt;=$E9),$H9,$G9))))</f>
        <v/>
      </c>
      <c r="DT10" s="0" t="str">
        <f aca="false">IF(DT9="","",IF($D9=0,$J9,IF(AND($F9&lt;&gt;"",DT9&gt;=$F9),$I9,IF(AND($E9&lt;&gt;"",DT9&gt;=$E9),$H9,$G9))))</f>
        <v/>
      </c>
      <c r="DU10" s="0" t="str">
        <f aca="false">IF(DU9="","",IF($D9=0,$J9,IF(AND($F9&lt;&gt;"",DU9&gt;=$F9),$I9,IF(AND($E9&lt;&gt;"",DU9&gt;=$E9),$H9,$G9))))</f>
        <v/>
      </c>
      <c r="DV10" s="0" t="str">
        <f aca="false">IF(DV9="","",IF($D9=0,$J9,IF(AND($F9&lt;&gt;"",DV9&gt;=$F9),$I9,IF(AND($E9&lt;&gt;"",DV9&gt;=$E9),$H9,$G9))))</f>
        <v/>
      </c>
      <c r="DW10" s="0" t="str">
        <f aca="false">IF(DW9="","",IF($D9=0,$J9,IF(AND($F9&lt;&gt;"",DW9&gt;=$F9),$I9,IF(AND($E9&lt;&gt;"",DW9&gt;=$E9),$H9,$G9))))</f>
        <v/>
      </c>
      <c r="DX10" s="0" t="str">
        <f aca="false">IF(DX9="","",IF($D9=0,$J9,IF(AND($F9&lt;&gt;"",DX9&gt;=$F9),$I9,IF(AND($E9&lt;&gt;"",DX9&gt;=$E9),$H9,$G9))))</f>
        <v/>
      </c>
      <c r="DY10" s="0" t="str">
        <f aca="false">IF(DY9="","",IF($D9=0,$J9,IF(AND($F9&lt;&gt;"",DY9&gt;=$F9),$I9,IF(AND($E9&lt;&gt;"",DY9&gt;=$E9),$H9,$G9))))</f>
        <v/>
      </c>
      <c r="DZ10" s="0" t="str">
        <f aca="false">IF(DZ9="","",IF($D9=0,$J9,IF(AND($F9&lt;&gt;"",DZ9&gt;=$F9),$I9,IF(AND($E9&lt;&gt;"",DZ9&gt;=$E9),$H9,$G9))))</f>
        <v/>
      </c>
      <c r="EA10" s="0" t="str">
        <f aca="false">IF(EA9="","",IF($D9=0,$J9,IF(AND($F9&lt;&gt;"",EA9&gt;=$F9),$I9,IF(AND($E9&lt;&gt;"",EA9&gt;=$E9),$H9,$G9))))</f>
        <v/>
      </c>
      <c r="EB10" s="0" t="str">
        <f aca="false">IF(EB9="","",IF($D9=0,$J9,IF(AND($F9&lt;&gt;"",EB9&gt;=$F9),$I9,IF(AND($E9&lt;&gt;"",EB9&gt;=$E9),$H9,$G9))))</f>
        <v/>
      </c>
      <c r="EC10" s="0" t="str">
        <f aca="false">IF(EC9="","",IF($D9=0,$J9,IF(AND($F9&lt;&gt;"",EC9&gt;=$F9),$I9,IF(AND($E9&lt;&gt;"",EC9&gt;=$E9),$H9,$G9))))</f>
        <v/>
      </c>
      <c r="ED10" s="0" t="str">
        <f aca="false">IF(ED9="","",IF($D9=0,$J9,IF(AND($F9&lt;&gt;"",ED9&gt;=$F9),$I9,IF(AND($E9&lt;&gt;"",ED9&gt;=$E9),$H9,$G9))))</f>
        <v/>
      </c>
      <c r="EE10" s="0" t="str">
        <f aca="false">IF(EE9="","",IF($D9=0,$J9,IF(AND($F9&lt;&gt;"",EE9&gt;=$F9),$I9,IF(AND($E9&lt;&gt;"",EE9&gt;=$E9),$H9,$G9))))</f>
        <v/>
      </c>
      <c r="EF10" s="0" t="str">
        <f aca="false">IF(EF9="","",IF($D9=0,$J9,IF(AND($F9&lt;&gt;"",EF9&gt;=$F9),$I9,IF(AND($E9&lt;&gt;"",EF9&gt;=$E9),$H9,$G9))))</f>
        <v/>
      </c>
      <c r="EG10" s="0" t="str">
        <f aca="false">IF(EG9="","",IF($D9=0,$J9,IF(AND($F9&lt;&gt;"",EG9&gt;=$F9),$I9,IF(AND($E9&lt;&gt;"",EG9&gt;=$E9),$H9,$G9))))</f>
        <v/>
      </c>
      <c r="EH10" s="0" t="str">
        <f aca="false">IF(EH9="","",IF($D9=0,$J9,IF(AND($F9&lt;&gt;"",EH9&gt;=$F9),$I9,IF(AND($E9&lt;&gt;"",EH9&gt;=$E9),$H9,$G9))))</f>
        <v/>
      </c>
      <c r="EI10" s="0" t="str">
        <f aca="false">IF(EI9="","",IF($D9=0,$J9,IF(AND($F9&lt;&gt;"",EI9&gt;=$F9),$I9,IF(AND($E9&lt;&gt;"",EI9&gt;=$E9),$H9,$G9))))</f>
        <v/>
      </c>
      <c r="EJ10" s="0" t="str">
        <f aca="false">IF(EJ9="","",IF($D9=0,$J9,IF(AND($F9&lt;&gt;"",EJ9&gt;=$F9),$I9,IF(AND($E9&lt;&gt;"",EJ9&gt;=$E9),$H9,$G9))))</f>
        <v/>
      </c>
      <c r="EK10" s="0" t="str">
        <f aca="false">IF(EK9="","",IF($D9=0,$J9,IF(AND($F9&lt;&gt;"",EK9&gt;=$F9),$I9,IF(AND($E9&lt;&gt;"",EK9&gt;=$E9),$H9,$G9))))</f>
        <v/>
      </c>
      <c r="EL10" s="0" t="str">
        <f aca="false">IF(EL9="","",IF($D9=0,$J9,IF(AND($F9&lt;&gt;"",EL9&gt;=$F9),$I9,IF(AND($E9&lt;&gt;"",EL9&gt;=$E9),$H9,$G9))))</f>
        <v/>
      </c>
      <c r="EM10" s="0" t="str">
        <f aca="false">IF(EM9="","",IF($D9=0,$J9,IF(AND($F9&lt;&gt;"",EM9&gt;=$F9),$I9,IF(AND($E9&lt;&gt;"",EM9&gt;=$E9),$H9,$G9))))</f>
        <v/>
      </c>
      <c r="EN10" s="0" t="str">
        <f aca="false">IF(EN9="","",IF($D9=0,$J9,IF(AND($F9&lt;&gt;"",EN9&gt;=$F9),$I9,IF(AND($E9&lt;&gt;"",EN9&gt;=$E9),$H9,$G9))))</f>
        <v/>
      </c>
      <c r="EO10" s="0" t="str">
        <f aca="false">IF(EO9="","",IF($D9=0,$J9,IF(AND($F9&lt;&gt;"",EO9&gt;=$F9),$I9,IF(AND($E9&lt;&gt;"",EO9&gt;=$E9),$H9,$G9))))</f>
        <v/>
      </c>
      <c r="EP10" s="0" t="str">
        <f aca="false">IF(EP9="","",IF($D9=0,$J9,IF(AND($F9&lt;&gt;"",EP9&gt;=$F9),$I9,IF(AND($E9&lt;&gt;"",EP9&gt;=$E9),$H9,$G9))))</f>
        <v/>
      </c>
      <c r="EQ10" s="0" t="str">
        <f aca="false">IF(EQ9="","",IF($D9=0,$J9,IF(AND($F9&lt;&gt;"",EQ9&gt;=$F9),$I9,IF(AND($E9&lt;&gt;"",EQ9&gt;=$E9),$H9,$G9))))</f>
        <v/>
      </c>
      <c r="ER10" s="0" t="str">
        <f aca="false">IF(ER9="","",IF($D9=0,$J9,IF(AND($F9&lt;&gt;"",ER9&gt;=$F9),$I9,IF(AND($E9&lt;&gt;"",ER9&gt;=$E9),$H9,$G9))))</f>
        <v/>
      </c>
      <c r="ES10" s="0" t="str">
        <f aca="false">IF(ES9="","",IF($D9=0,$J9,IF(AND($F9&lt;&gt;"",ES9&gt;=$F9),$I9,IF(AND($E9&lt;&gt;"",ES9&gt;=$E9),$H9,$G9))))</f>
        <v/>
      </c>
      <c r="ET10" s="0" t="str">
        <f aca="false">IF(ET9="","",IF($D9=0,$J9,IF(AND($F9&lt;&gt;"",ET9&gt;=$F9),$I9,IF(AND($E9&lt;&gt;"",ET9&gt;=$E9),$H9,$G9))))</f>
        <v/>
      </c>
      <c r="EU10" s="0" t="str">
        <f aca="false">IF(EU9="","",IF($D9=0,$J9,IF(AND($F9&lt;&gt;"",EU9&gt;=$F9),$I9,IF(AND($E9&lt;&gt;"",EU9&gt;=$E9),$H9,$G9))))</f>
        <v/>
      </c>
      <c r="EV10" s="0" t="str">
        <f aca="false">IF(EV9="","",IF($D9=0,$J9,IF(AND($F9&lt;&gt;"",EV9&gt;=$F9),$I9,IF(AND($E9&lt;&gt;"",EV9&gt;=$E9),$H9,$G9))))</f>
        <v/>
      </c>
      <c r="EW10" s="0" t="str">
        <f aca="false">IF(EW9="","",IF($D9=0,$J9,IF(AND($F9&lt;&gt;"",EW9&gt;=$F9),$I9,IF(AND($E9&lt;&gt;"",EW9&gt;=$E9),$H9,$G9))))</f>
        <v/>
      </c>
      <c r="EX10" s="0" t="str">
        <f aca="false">IF(EX9="","",IF($D9=0,$J9,IF(AND($F9&lt;&gt;"",EX9&gt;=$F9),$I9,IF(AND($E9&lt;&gt;"",EX9&gt;=$E9),$H9,$G9))))</f>
        <v/>
      </c>
      <c r="EY10" s="0" t="str">
        <f aca="false">IF(EY9="","",IF($D9=0,$J9,IF(AND($F9&lt;&gt;"",EY9&gt;=$F9),$I9,IF(AND($E9&lt;&gt;"",EY9&gt;=$E9),$H9,$G9))))</f>
        <v/>
      </c>
      <c r="EZ10" s="0" t="str">
        <f aca="false">IF(EZ9="","",IF($D9=0,$J9,IF(AND($F9&lt;&gt;"",EZ9&gt;=$F9),$I9,IF(AND($E9&lt;&gt;"",EZ9&gt;=$E9),$H9,$G9))))</f>
        <v/>
      </c>
      <c r="FA10" s="0" t="str">
        <f aca="false">IF(FA9="","",IF($D9=0,$J9,IF(AND($F9&lt;&gt;"",FA9&gt;=$F9),$I9,IF(AND($E9&lt;&gt;"",FA9&gt;=$E9),$H9,$G9))))</f>
        <v/>
      </c>
      <c r="FB10" s="0" t="str">
        <f aca="false">IF(FB9="","",IF($D9=0,$J9,IF(AND($F9&lt;&gt;"",FB9&gt;=$F9),$I9,IF(AND($E9&lt;&gt;"",FB9&gt;=$E9),$H9,$G9))))</f>
        <v/>
      </c>
      <c r="FC10" s="0" t="str">
        <f aca="false">IF(FC9="","",IF($D9=0,$J9,IF(AND($F9&lt;&gt;"",FC9&gt;=$F9),$I9,IF(AND($E9&lt;&gt;"",FC9&gt;=$E9),$H9,$G9))))</f>
        <v/>
      </c>
      <c r="FD10" s="0" t="str">
        <f aca="false">IF(FD9="","",IF($D9=0,$J9,IF(AND($F9&lt;&gt;"",FD9&gt;=$F9),$I9,IF(AND($E9&lt;&gt;"",FD9&gt;=$E9),$H9,$G9))))</f>
        <v/>
      </c>
      <c r="FE10" s="0" t="str">
        <f aca="false">IF(FE9="","",IF($D9=0,$J9,IF(AND($F9&lt;&gt;"",FE9&gt;=$F9),$I9,IF(AND($E9&lt;&gt;"",FE9&gt;=$E9),$H9,$G9))))</f>
        <v/>
      </c>
      <c r="FF10" s="0" t="str">
        <f aca="false">IF(FF9="","",IF($D9=0,$J9,IF(AND($F9&lt;&gt;"",FF9&gt;=$F9),$I9,IF(AND($E9&lt;&gt;"",FF9&gt;=$E9),$H9,$G9))))</f>
        <v/>
      </c>
      <c r="FG10" s="0" t="str">
        <f aca="false">IF(FG9="","",IF($D9=0,$J9,IF(AND($F9&lt;&gt;"",FG9&gt;=$F9),$I9,IF(AND($E9&lt;&gt;"",FG9&gt;=$E9),$H9,$G9))))</f>
        <v/>
      </c>
      <c r="FH10" s="0" t="str">
        <f aca="false">IF(FH9="","",IF($D9=0,$J9,IF(AND($F9&lt;&gt;"",FH9&gt;=$F9),$I9,IF(AND($E9&lt;&gt;"",FH9&gt;=$E9),$H9,$G9))))</f>
        <v/>
      </c>
      <c r="FI10" s="0" t="str">
        <f aca="false">IF(FI9="","",IF($D9=0,$J9,IF(AND($F9&lt;&gt;"",FI9&gt;=$F9),$I9,IF(AND($E9&lt;&gt;"",FI9&gt;=$E9),$H9,$G9))))</f>
        <v/>
      </c>
      <c r="FJ10" s="0" t="str">
        <f aca="false">IF(FJ9="","",IF($D9=0,$J9,IF(AND($F9&lt;&gt;"",FJ9&gt;=$F9),$I9,IF(AND($E9&lt;&gt;"",FJ9&gt;=$E9),$H9,$G9))))</f>
        <v/>
      </c>
      <c r="FK10" s="0" t="str">
        <f aca="false">IF(FK9="","",IF($D9=0,$J9,IF(AND($F9&lt;&gt;"",FK9&gt;=$F9),$I9,IF(AND($E9&lt;&gt;"",FK9&gt;=$E9),$H9,$G9))))</f>
        <v/>
      </c>
      <c r="FL10" s="0" t="str">
        <f aca="false">IF(FL9="","",IF($D9=0,$J9,IF(AND($F9&lt;&gt;"",FL9&gt;=$F9),$I9,IF(AND($E9&lt;&gt;"",FL9&gt;=$E9),$H9,$G9))))</f>
        <v/>
      </c>
      <c r="FM10" s="0" t="str">
        <f aca="false">IF(FM9="","",IF($D9=0,$J9,IF(AND($F9&lt;&gt;"",FM9&gt;=$F9),$I9,IF(AND($E9&lt;&gt;"",FM9&gt;=$E9),$H9,$G9))))</f>
        <v/>
      </c>
      <c r="FN10" s="0" t="str">
        <f aca="false">IF(FN9="","",IF($D9=0,$J9,IF(AND($F9&lt;&gt;"",FN9&gt;=$F9),$I9,IF(AND($E9&lt;&gt;"",FN9&gt;=$E9),$H9,$G9))))</f>
        <v/>
      </c>
      <c r="FO10" s="0" t="str">
        <f aca="false">IF(FO9="","",IF($D9=0,$J9,IF(AND($F9&lt;&gt;"",FO9&gt;=$F9),$I9,IF(AND($E9&lt;&gt;"",FO9&gt;=$E9),$H9,$G9))))</f>
        <v/>
      </c>
      <c r="FP10" s="0" t="str">
        <f aca="false">IF(FP9="","",IF($D9=0,$J9,IF(AND($F9&lt;&gt;"",FP9&gt;=$F9),$I9,IF(AND($E9&lt;&gt;"",FP9&gt;=$E9),$H9,$G9))))</f>
        <v/>
      </c>
      <c r="FQ10" s="0" t="str">
        <f aca="false">IF(FQ9="","",IF($D9=0,$J9,IF(AND($F9&lt;&gt;"",FQ9&gt;=$F9),$I9,IF(AND($E9&lt;&gt;"",FQ9&gt;=$E9),$H9,$G9))))</f>
        <v/>
      </c>
      <c r="FR10" s="0" t="str">
        <f aca="false">IF(FR9="","",IF($D9=0,$J9,IF(AND($F9&lt;&gt;"",FR9&gt;=$F9),$I9,IF(AND($E9&lt;&gt;"",FR9&gt;=$E9),$H9,$G9))))</f>
        <v/>
      </c>
      <c r="FS10" s="0" t="str">
        <f aca="false">IF(FS9="","",IF($D9=0,$J9,IF(AND($F9&lt;&gt;"",FS9&gt;=$F9),$I9,IF(AND($E9&lt;&gt;"",FS9&gt;=$E9),$H9,$G9))))</f>
        <v/>
      </c>
      <c r="FT10" s="0" t="str">
        <f aca="false">IF(FT9="","",IF($D9=0,$J9,IF(AND($F9&lt;&gt;"",FT9&gt;=$F9),$I9,IF(AND($E9&lt;&gt;"",FT9&gt;=$E9),$H9,$G9))))</f>
        <v/>
      </c>
      <c r="FU10" s="0" t="str">
        <f aca="false">IF(FU9="","",IF($D9=0,$J9,IF(AND($F9&lt;&gt;"",FU9&gt;=$F9),$I9,IF(AND($E9&lt;&gt;"",FU9&gt;=$E9),$H9,$G9))))</f>
        <v/>
      </c>
      <c r="FV10" s="0" t="str">
        <f aca="false">IF(FV9="","",IF($D9=0,$J9,IF(AND($F9&lt;&gt;"",FV9&gt;=$F9),$I9,IF(AND($E9&lt;&gt;"",FV9&gt;=$E9),$H9,$G9))))</f>
        <v/>
      </c>
      <c r="FW10" s="0" t="str">
        <f aca="false">IF(FW9="","",IF($D9=0,$J9,IF(AND($F9&lt;&gt;"",FW9&gt;=$F9),$I9,IF(AND($E9&lt;&gt;"",FW9&gt;=$E9),$H9,$G9))))</f>
        <v/>
      </c>
      <c r="FX10" s="0" t="str">
        <f aca="false">IF(FX9="","",IF($D9=0,$J9,IF(AND($F9&lt;&gt;"",FX9&gt;=$F9),$I9,IF(AND($E9&lt;&gt;"",FX9&gt;=$E9),$H9,$G9))))</f>
        <v/>
      </c>
      <c r="FY10" s="0" t="str">
        <f aca="false">IF(FY9="","",IF($D9=0,$J9,IF(AND($F9&lt;&gt;"",FY9&gt;=$F9),$I9,IF(AND($E9&lt;&gt;"",FY9&gt;=$E9),$H9,$G9))))</f>
        <v/>
      </c>
      <c r="FZ10" s="0" t="str">
        <f aca="false">IF(FZ9="","",IF($D9=0,$J9,IF(AND($F9&lt;&gt;"",FZ9&gt;=$F9),$I9,IF(AND($E9&lt;&gt;"",FZ9&gt;=$E9),$H9,$G9))))</f>
        <v/>
      </c>
      <c r="GA10" s="0" t="str">
        <f aca="false">IF(GA9="","",IF($D9=0,$J9,IF(AND($F9&lt;&gt;"",GA9&gt;=$F9),$I9,IF(AND($E9&lt;&gt;"",GA9&gt;=$E9),$H9,$G9))))</f>
        <v/>
      </c>
      <c r="GB10" s="0" t="str">
        <f aca="false">IF(GB9="","",IF($D9=0,$J9,IF(AND($F9&lt;&gt;"",GB9&gt;=$F9),$I9,IF(AND($E9&lt;&gt;"",GB9&gt;=$E9),$H9,$G9))))</f>
        <v/>
      </c>
      <c r="GC10" s="0" t="str">
        <f aca="false">IF(GC9="","",IF($D9=0,$J9,IF(AND($F9&lt;&gt;"",GC9&gt;=$F9),$I9,IF(AND($E9&lt;&gt;"",GC9&gt;=$E9),$H9,$G9))))</f>
        <v/>
      </c>
      <c r="GD10" s="0" t="str">
        <f aca="false">IF(GD9="","",IF($D9=0,$J9,IF(AND($F9&lt;&gt;"",GD9&gt;=$F9),$I9,IF(AND($E9&lt;&gt;"",GD9&gt;=$E9),$H9,$G9))))</f>
        <v/>
      </c>
      <c r="GE10" s="0" t="str">
        <f aca="false">IF(GE9="","",IF($D9=0,$J9,IF(AND($F9&lt;&gt;"",GE9&gt;=$F9),$I9,IF(AND($E9&lt;&gt;"",GE9&gt;=$E9),$H9,$G9))))</f>
        <v/>
      </c>
      <c r="GF10" s="0" t="str">
        <f aca="false">IF(GF9="","",IF($D9=0,$J9,IF(AND($F9&lt;&gt;"",GF9&gt;=$F9),$I9,IF(AND($E9&lt;&gt;"",GF9&gt;=$E9),$H9,$G9))))</f>
        <v/>
      </c>
      <c r="GG10" s="0" t="str">
        <f aca="false">IF(GG9="","",IF($D9=0,$J9,IF(AND($F9&lt;&gt;"",GG9&gt;=$F9),$I9,IF(AND($E9&lt;&gt;"",GG9&gt;=$E9),$H9,$G9))))</f>
        <v/>
      </c>
      <c r="GH10" s="0" t="str">
        <f aca="false">IF(GH9="","",IF($D9=0,$J9,IF(AND($F9&lt;&gt;"",GH9&gt;=$F9),$I9,IF(AND($E9&lt;&gt;"",GH9&gt;=$E9),$H9,$G9))))</f>
        <v/>
      </c>
      <c r="GI10" s="0" t="str">
        <f aca="false">IF(GI9="","",IF($D9=0,$J9,IF(AND($F9&lt;&gt;"",GI9&gt;=$F9),$I9,IF(AND($E9&lt;&gt;"",GI9&gt;=$E9),$H9,$G9))))</f>
        <v/>
      </c>
    </row>
    <row r="11" customFormat="false" ht="15" hidden="false" customHeight="false" outlineLevel="0" collapsed="false">
      <c r="K11" s="0" t="s">
        <v>264</v>
      </c>
      <c r="L11" s="0" t="n">
        <f aca="false">IF(L9="",0,IF(AND(L10=Milestones!$AB$20,L9&gt;=SchemeStart),IF(AND(Milestones!$AB$20="FT",Milestones!$AA$20=FT_Y5,L9&lt;PolicyEff),1,Milestones!$AC$20),0))</f>
        <v>0</v>
      </c>
      <c r="M11" s="0" t="n">
        <f aca="false">IF(M9="",0,IF(AND(M10=Milestones!$AB$21,M9&gt;=SchemeStart),IF(AND(Milestones!$AB$21="FT",Milestones!$AA$21=FT_Y5,M9&lt;PolicyEff),1,Milestones!$AC$21),0))</f>
        <v>0</v>
      </c>
      <c r="N11" s="0" t="n">
        <f aca="false">IF(N9="",0,IF(AND(N10=Milestones!$AB$22,N9&gt;=SchemeStart),IF(AND(Milestones!$AB$22="FT",Milestones!$AA$22=FT_Y5,N9&lt;PolicyEff),1,Milestones!$AC$22),0))</f>
        <v>0</v>
      </c>
      <c r="O11" s="0" t="n">
        <f aca="false">IF(O9="",0,IF(AND(O10=Milestones!$AB$23,O9&gt;=SchemeStart),IF(AND(Milestones!$AB$23="FT",Milestones!$AA$23=FT_Y5,O9&lt;PolicyEff),1,Milestones!$AC$23),0))</f>
        <v>0</v>
      </c>
      <c r="P11" s="0" t="n">
        <f aca="false">IF(P9="",0,IF(AND(P10=Milestones!$AB$24,P9&gt;=SchemeStart),IF(AND(Milestones!$AB$24="FT",Milestones!$AA$24=FT_Y5,P9&lt;PolicyEff),1,Milestones!$AC$24),0))</f>
        <v>0</v>
      </c>
      <c r="Q11" s="0" t="n">
        <f aca="false">IF(Q9="",0,IF(AND(Q10=Milestones!$AB$25,Q9&gt;=SchemeStart),IF(AND(Milestones!$AB$25="FT",Milestones!$AA$25=FT_Y5,Q9&lt;PolicyEff),1,Milestones!$AC$25),0))</f>
        <v>0</v>
      </c>
      <c r="R11" s="0" t="n">
        <f aca="false">IF(R9="",0,IF(AND(R10=Milestones!$AB$26,R9&gt;=SchemeStart),IF(AND(Milestones!$AB$26="FT",Milestones!$AA$26=FT_Y5,R9&lt;PolicyEff),1,Milestones!$AC$26),0))</f>
        <v>0</v>
      </c>
      <c r="S11" s="0" t="n">
        <f aca="false">IF(S9="",0,IF(AND(S10=Milestones!$AB$27,S9&gt;=SchemeStart),IF(AND(Milestones!$AB$27="FT",Milestones!$AA$27=FT_Y5,S9&lt;PolicyEff),1,Milestones!$AC$27),0))</f>
        <v>0</v>
      </c>
      <c r="T11" s="0" t="n">
        <f aca="false">IF(T9="",0,IF(AND(T10=Milestones!$AB$28,T9&gt;=SchemeStart),IF(AND(Milestones!$AB$28="FT",Milestones!$AA$28=FT_Y5,T9&lt;PolicyEff),1,Milestones!$AC$28),0))</f>
        <v>0</v>
      </c>
      <c r="U11" s="0" t="n">
        <f aca="false">IF(U9="",0,IF(AND(U10=Milestones!$AB$29,U9&gt;=SchemeStart),IF(AND(Milestones!$AB$29="FT",Milestones!$AA$29=FT_Y5,U9&lt;PolicyEff),1,Milestones!$AC$29),0))</f>
        <v>0</v>
      </c>
      <c r="V11" s="0" t="n">
        <f aca="false">IF(V9="",0,IF(AND(V10=Milestones!$AB$30,V9&gt;=SchemeStart),IF(AND(Milestones!$AB$30="FT",Milestones!$AA$30=FT_Y5,V9&lt;PolicyEff),1,Milestones!$AC$30),0))</f>
        <v>0</v>
      </c>
      <c r="W11" s="0" t="n">
        <f aca="false">IF(W9="",0,IF(AND(W10=Milestones!$AB$31,W9&gt;=SchemeStart),IF(AND(Milestones!$AB$31="FT",Milestones!$AA$31=FT_Y5,W9&lt;PolicyEff),1,Milestones!$AC$31),0))</f>
        <v>0</v>
      </c>
      <c r="X11" s="0" t="n">
        <f aca="false">IF(X9="",0,IF(AND(X10=Milestones!$AB$32,X9&gt;=SchemeStart),IF(AND(Milestones!$AB$32="FT",Milestones!$AA$32=FT_Y5,X9&lt;PolicyEff),1,Milestones!$AC$32),0))</f>
        <v>0</v>
      </c>
      <c r="Y11" s="0" t="n">
        <f aca="false">IF(Y9="",0,IF(AND(Y10=Milestones!$AB$33,Y9&gt;=SchemeStart),IF(AND(Milestones!$AB$33="FT",Milestones!$AA$33=FT_Y5,Y9&lt;PolicyEff),1,Milestones!$AC$33),0))</f>
        <v>0</v>
      </c>
      <c r="Z11" s="0" t="n">
        <f aca="false">IF(Z9="",0,IF(AND(Z10=Milestones!$AB$34,Z9&gt;=SchemeStart),IF(AND(Milestones!$AB$34="FT",Milestones!$AA$34=FT_Y5,Z9&lt;PolicyEff),1,Milestones!$AC$34),0))</f>
        <v>0</v>
      </c>
      <c r="AA11" s="0" t="n">
        <f aca="false">IF(AA9="",0,IF(AND(AA10=Milestones!$AB$35,AA9&gt;=SchemeStart),IF(AND(Milestones!$AB$35="FT",Milestones!$AA$35=FT_Y5,AA9&lt;PolicyEff),1,Milestones!$AC$35),0))</f>
        <v>0</v>
      </c>
      <c r="AB11" s="0" t="n">
        <f aca="false">IF(AB9="",0,IF(AND(AB10=Milestones!$AB$36,AB9&gt;=SchemeStart),IF(AND(Milestones!$AB$36="FT",Milestones!$AA$36=FT_Y5,AB9&lt;PolicyEff),1,Milestones!$AC$36),0))</f>
        <v>0</v>
      </c>
      <c r="AC11" s="0" t="n">
        <f aca="false">IF(AC9="",0,IF(AND(AC10=Milestones!$AB$37,AC9&gt;=SchemeStart),IF(AND(Milestones!$AB$37="FT",Milestones!$AA$37=FT_Y5,AC9&lt;PolicyEff),1,Milestones!$AC$37),0))</f>
        <v>0</v>
      </c>
      <c r="AD11" s="0" t="n">
        <f aca="false">IF(AD9="",0,IF(AND(AD10=Milestones!$AB$38,AD9&gt;=SchemeStart),IF(AND(Milestones!$AB$38="FT",Milestones!$AA$38=FT_Y5,AD9&lt;PolicyEff),1,Milestones!$AC$38),0))</f>
        <v>0</v>
      </c>
      <c r="AE11" s="0" t="n">
        <f aca="false">IF(AE9="",0,IF(AND(AE10=Milestones!$AB$39,AE9&gt;=SchemeStart),IF(AND(Milestones!$AB$39="FT",Milestones!$AA$39=FT_Y5,AE9&lt;PolicyEff),1,Milestones!$AC$39),0))</f>
        <v>0</v>
      </c>
      <c r="AF11" s="0" t="n">
        <f aca="false">IF(AF9="",0,IF(AND(AF10=Milestones!$AB$40,AF9&gt;=SchemeStart),IF(AND(Milestones!$AB$40="FT",Milestones!$AA$40=FT_Y5,AF9&lt;PolicyEff),1,Milestones!$AC$40),0))</f>
        <v>0</v>
      </c>
      <c r="AG11" s="0" t="n">
        <f aca="false">IF(AG9="",0,IF(AND(AG10=Milestones!$AB$41,AG9&gt;=SchemeStart),IF(AND(Milestones!$AB$41="FT",Milestones!$AA$41=FT_Y5,AG9&lt;PolicyEff),1,Milestones!$AC$41),0))</f>
        <v>0</v>
      </c>
      <c r="AH11" s="0" t="n">
        <f aca="false">IF(AH9="",0,IF(AND(AH10=Milestones!$AB$42,AH9&gt;=SchemeStart),IF(AND(Milestones!$AB$42="FT",Milestones!$AA$42=FT_Y5,AH9&lt;PolicyEff),1,Milestones!$AC$42),0))</f>
        <v>0</v>
      </c>
      <c r="AI11" s="0" t="n">
        <f aca="false">IF(AI9="",0,IF(AND(AI10=Milestones!$AB$43,AI9&gt;=SchemeStart),IF(AND(Milestones!$AB$43="FT",Milestones!$AA$43=FT_Y5,AI9&lt;PolicyEff),1,Milestones!$AC$43),0))</f>
        <v>0</v>
      </c>
      <c r="AJ11" s="0" t="n">
        <f aca="false">IF(AJ9="",0,IF(AND(AJ10=Milestones!$AB$44,AJ9&gt;=SchemeStart),IF(AND(Milestones!$AB$44="FT",Milestones!$AA$44=FT_Y5,AJ9&lt;PolicyEff),1,Milestones!$AC$44),0))</f>
        <v>0</v>
      </c>
      <c r="AK11" s="0" t="n">
        <f aca="false">IF(AK9="",0,IF(AND(AK10=Milestones!$AB$45,AK9&gt;=SchemeStart),IF(AND(Milestones!$AB$45="FT",Milestones!$AA$45=FT_Y5,AK9&lt;PolicyEff),1,Milestones!$AC$45),0))</f>
        <v>0</v>
      </c>
      <c r="AL11" s="0" t="n">
        <f aca="false">IF(AL9="",0,IF(AND(AL10=Milestones!$AB$46,AL9&gt;=SchemeStart),IF(AND(Milestones!$AB$46="FT",Milestones!$AA$46=FT_Y5,AL9&lt;PolicyEff),1,Milestones!$AC$46),0))</f>
        <v>0</v>
      </c>
      <c r="AM11" s="0" t="n">
        <f aca="false">IF(AM9="",0,IF(AND(AM10=Milestones!$AB$47,AM9&gt;=SchemeStart),IF(AND(Milestones!$AB$47="FT",Milestones!$AA$47=FT_Y5,AM9&lt;PolicyEff),1,Milestones!$AC$47),0))</f>
        <v>0</v>
      </c>
      <c r="AN11" s="0" t="n">
        <f aca="false">IF(AN9="",0,IF(AND(AN10=Milestones!$AB$48,AN9&gt;=SchemeStart),IF(AND(Milestones!$AB$48="FT",Milestones!$AA$48=FT_Y5,AN9&lt;PolicyEff),1,Milestones!$AC$48),0))</f>
        <v>0</v>
      </c>
      <c r="AO11" s="0" t="n">
        <f aca="false">IF(AO9="",0,IF(AND(AO10=Milestones!$AB$49,AO9&gt;=SchemeStart),IF(AND(Milestones!$AB$49="FT",Milestones!$AA$49=FT_Y5,AO9&lt;PolicyEff),1,Milestones!$AC$49),0))</f>
        <v>0</v>
      </c>
      <c r="AP11" s="0" t="n">
        <f aca="false">IF(AP9="",0,IF(AND(AP10=Milestones!$AB$50,AP9&gt;=SchemeStart),IF(AND(Milestones!$AB$50="FT",Milestones!$AA$50=FT_Y5,AP9&lt;PolicyEff),1,Milestones!$AC$50),0))</f>
        <v>0</v>
      </c>
      <c r="AQ11" s="0" t="n">
        <f aca="false">IF(AQ9="",0,IF(AND(AQ10=Milestones!$AB$51,AQ9&gt;=SchemeStart),IF(AND(Milestones!$AB$51="FT",Milestones!$AA$51=FT_Y5,AQ9&lt;PolicyEff),1,Milestones!$AC$51),0))</f>
        <v>0</v>
      </c>
      <c r="AR11" s="0" t="n">
        <f aca="false">IF(AR9="",0,IF(AND(AR10=Milestones!$AB$52,AR9&gt;=SchemeStart),IF(AND(Milestones!$AB$52="FT",Milestones!$AA$52=FT_Y5,AR9&lt;PolicyEff),1,Milestones!$AC$52),0))</f>
        <v>0</v>
      </c>
      <c r="AS11" s="0" t="n">
        <f aca="false">IF(AS9="",0,IF(AND(AS10=Milestones!$AB$53,AS9&gt;=SchemeStart),IF(AND(Milestones!$AB$53="FT",Milestones!$AA$53=FT_Y5,AS9&lt;PolicyEff),1,Milestones!$AC$53),0))</f>
        <v>0</v>
      </c>
      <c r="AT11" s="0" t="n">
        <f aca="false">IF(AT9="",0,IF(AND(AT10=Milestones!$AB$54,AT9&gt;=SchemeStart),IF(AND(Milestones!$AB$54="FT",Milestones!$AA$54=FT_Y5,AT9&lt;PolicyEff),1,Milestones!$AC$54),0))</f>
        <v>0</v>
      </c>
      <c r="AU11" s="0" t="n">
        <f aca="false">IF(AU9="",0,IF(AND(AU10=Milestones!$AB$55,AU9&gt;=SchemeStart),IF(AND(Milestones!$AB$55="FT",Milestones!$AA$55=FT_Y5,AU9&lt;PolicyEff),1,Milestones!$AC$55),0))</f>
        <v>0</v>
      </c>
      <c r="AV11" s="0" t="n">
        <f aca="false">IF(AV9="",0,IF(AND(AV10=Milestones!$AB$56,AV9&gt;=SchemeStart),IF(AND(Milestones!$AB$56="FT",Milestones!$AA$56=FT_Y5,AV9&lt;PolicyEff),1,Milestones!$AC$56),0))</f>
        <v>0</v>
      </c>
      <c r="AW11" s="0" t="n">
        <f aca="false">IF(AW9="",0,IF(AND(AW10=Milestones!$AB$57,AW9&gt;=SchemeStart),IF(AND(Milestones!$AB$57="FT",Milestones!$AA$57=FT_Y5,AW9&lt;PolicyEff),1,Milestones!$AC$57),0))</f>
        <v>0</v>
      </c>
      <c r="AX11" s="0" t="n">
        <f aca="false">IF(AX9="",0,IF(AND(AX10=Milestones!$AB$58,AX9&gt;=SchemeStart),IF(AND(Milestones!$AB$58="FT",Milestones!$AA$58=FT_Y5,AX9&lt;PolicyEff),1,Milestones!$AC$58),0))</f>
        <v>0</v>
      </c>
      <c r="AY11" s="0" t="n">
        <f aca="false">IF(AY9="",0,IF(AND(AY10=Milestones!$AB$59,AY9&gt;=SchemeStart),IF(AND(Milestones!$AB$59="FT",Milestones!$AA$59=FT_Y5,AY9&lt;PolicyEff),1,Milestones!$AC$59),0))</f>
        <v>0</v>
      </c>
      <c r="AZ11" s="0" t="n">
        <f aca="false">IF(AZ9="",0,IF(AND(AZ10=Milestones!$AB$60,AZ9&gt;=SchemeStart),IF(AND(Milestones!$AB$60="FT",Milestones!$AA$60=FT_Y5,AZ9&lt;PolicyEff),1,Milestones!$AC$60),0))</f>
        <v>0</v>
      </c>
      <c r="BA11" s="0" t="n">
        <f aca="false">IF(BA9="",0,IF(AND(BA10=Milestones!$AB$61,BA9&gt;=SchemeStart),IF(AND(Milestones!$AB$61="FT",Milestones!$AA$61=FT_Y5,BA9&lt;PolicyEff),1,Milestones!$AC$61),0))</f>
        <v>0</v>
      </c>
      <c r="BB11" s="0" t="n">
        <f aca="false">IF(BB9="",0,IF(AND(BB10=Milestones!$AB$62,BB9&gt;=SchemeStart),IF(AND(Milestones!$AB$62="FT",Milestones!$AA$62=FT_Y5,BB9&lt;PolicyEff),1,Milestones!$AC$62),0))</f>
        <v>0</v>
      </c>
      <c r="BC11" s="0" t="n">
        <f aca="false">IF(BC9="",0,IF(AND(BC10=Milestones!$AB$63,BC9&gt;=SchemeStart),IF(AND(Milestones!$AB$63="FT",Milestones!$AA$63=FT_Y5,BC9&lt;PolicyEff),1,Milestones!$AC$63),0))</f>
        <v>0</v>
      </c>
      <c r="BD11" s="0" t="n">
        <f aca="false">IF(BD9="",0,IF(AND(BD10=Milestones!$AB$64,BD9&gt;=SchemeStart),IF(AND(Milestones!$AB$64="FT",Milestones!$AA$64=FT_Y5,BD9&lt;PolicyEff),1,Milestones!$AC$64),0))</f>
        <v>0</v>
      </c>
      <c r="BE11" s="0" t="n">
        <f aca="false">IF(BE9="",0,IF(AND(BE10=Milestones!$AB$65,BE9&gt;=SchemeStart),IF(AND(Milestones!$AB$65="FT",Milestones!$AA$65=FT_Y5,BE9&lt;PolicyEff),1,Milestones!$AC$65),0))</f>
        <v>0</v>
      </c>
      <c r="BF11" s="0" t="n">
        <f aca="false">IF(BF9="",0,IF(AND(BF10=Milestones!$AB$66,BF9&gt;=SchemeStart),IF(AND(Milestones!$AB$66="FT",Milestones!$AA$66=FT_Y5,BF9&lt;PolicyEff),1,Milestones!$AC$66),0))</f>
        <v>0</v>
      </c>
      <c r="BG11" s="0" t="n">
        <f aca="false">IF(BG9="",0,IF(AND(BG10=Milestones!$AB$67,BG9&gt;=SchemeStart),IF(AND(Milestones!$AB$67="FT",Milestones!$AA$67=FT_Y5,BG9&lt;PolicyEff),1,Milestones!$AC$67),0))</f>
        <v>0</v>
      </c>
      <c r="BH11" s="0" t="n">
        <f aca="false">IF(BH9="",0,IF(AND(BH10=Milestones!$AB$68,BH9&gt;=SchemeStart),IF(AND(Milestones!$AB$68="FT",Milestones!$AA$68=FT_Y5,BH9&lt;PolicyEff),1,Milestones!$AC$68),0))</f>
        <v>0</v>
      </c>
      <c r="BI11" s="0" t="n">
        <f aca="false">IF(BI9="",0,IF(AND(BI10=Milestones!$AB$69,BI9&gt;=SchemeStart),IF(AND(Milestones!$AB$69="FT",Milestones!$AA$69=FT_Y5,BI9&lt;PolicyEff),1,Milestones!$AC$69),0))</f>
        <v>0</v>
      </c>
      <c r="BJ11" s="0" t="n">
        <f aca="false">IF(BJ9="",0,IF(AND(BJ10=Milestones!$AB$70,BJ9&gt;=SchemeStart),IF(AND(Milestones!$AB$70="FT",Milestones!$AA$70=FT_Y5,BJ9&lt;PolicyEff),1,Milestones!$AC$70),0))</f>
        <v>0</v>
      </c>
      <c r="BK11" s="0" t="n">
        <f aca="false">IF(BK9="",0,IF(AND(BK10=Milestones!$AB$71,BK9&gt;=SchemeStart),IF(AND(Milestones!$AB$71="FT",Milestones!$AA$71=FT_Y5,BK9&lt;PolicyEff),1,Milestones!$AC$71),0))</f>
        <v>0</v>
      </c>
      <c r="BL11" s="0" t="n">
        <f aca="false">IF(BL9="",0,IF(AND(BL10=Milestones!$AB$72,BL9&gt;=SchemeStart),IF(AND(Milestones!$AB$72="FT",Milestones!$AA$72=FT_Y5,BL9&lt;PolicyEff),1,Milestones!$AC$72),0))</f>
        <v>0</v>
      </c>
      <c r="BM11" s="0" t="n">
        <f aca="false">IF(BM9="",0,IF(AND(BM10=Milestones!$AB$73,BM9&gt;=SchemeStart),IF(AND(Milestones!$AB$73="FT",Milestones!$AA$73=FT_Y5,BM9&lt;PolicyEff),1,Milestones!$AC$73),0))</f>
        <v>0</v>
      </c>
      <c r="BN11" s="0" t="n">
        <f aca="false">IF(BN9="",0,IF(AND(BN10=Milestones!$AB$74,BN9&gt;=SchemeStart),IF(AND(Milestones!$AB$74="FT",Milestones!$AA$74=FT_Y5,BN9&lt;PolicyEff),1,Milestones!$AC$74),0))</f>
        <v>0</v>
      </c>
      <c r="BO11" s="0" t="n">
        <f aca="false">IF(BO9="",0,IF(AND(BO10=Milestones!$AB$75,BO9&gt;=SchemeStart),IF(AND(Milestones!$AB$75="FT",Milestones!$AA$75=FT_Y5,BO9&lt;PolicyEff),1,Milestones!$AC$75),0))</f>
        <v>0</v>
      </c>
      <c r="BP11" s="0" t="n">
        <f aca="false">IF(BP9="",0,IF(AND(BP10=Milestones!$AB$76,BP9&gt;=SchemeStart),IF(AND(Milestones!$AB$76="FT",Milestones!$AA$76=FT_Y5,BP9&lt;PolicyEff),1,Milestones!$AC$76),0))</f>
        <v>0</v>
      </c>
      <c r="BQ11" s="0" t="n">
        <f aca="false">IF(BQ9="",0,IF(AND(BQ10=Milestones!$AB$77,BQ9&gt;=SchemeStart),IF(AND(Milestones!$AB$77="FT",Milestones!$AA$77=FT_Y5,BQ9&lt;PolicyEff),1,Milestones!$AC$77),0))</f>
        <v>0</v>
      </c>
      <c r="BR11" s="0" t="n">
        <f aca="false">IF(BR9="",0,IF(AND(BR10=Milestones!$AB$78,BR9&gt;=SchemeStart),IF(AND(Milestones!$AB$78="FT",Milestones!$AA$78=FT_Y5,BR9&lt;PolicyEff),1,Milestones!$AC$78),0))</f>
        <v>0</v>
      </c>
      <c r="BS11" s="0" t="n">
        <f aca="false">IF(BS9="",0,IF(AND(BS10=Milestones!$AB$79,BS9&gt;=SchemeStart),IF(AND(Milestones!$AB$79="FT",Milestones!$AA$79=FT_Y5,BS9&lt;PolicyEff),1,Milestones!$AC$79),0))</f>
        <v>0</v>
      </c>
      <c r="BT11" s="0" t="n">
        <f aca="false">IF(BT9="",0,IF(AND(BT10=Milestones!$AB$80,BT9&gt;=SchemeStart),IF(AND(Milestones!$AB$80="FT",Milestones!$AA$80=FT_Y5,BT9&lt;PolicyEff),1,Milestones!$AC$80),0))</f>
        <v>0</v>
      </c>
      <c r="BU11" s="0" t="n">
        <f aca="false">IF(BU9="",0,IF(AND(BU10=Milestones!$AB$81,BU9&gt;=SchemeStart),IF(AND(Milestones!$AB$81="FT",Milestones!$AA$81=FT_Y5,BU9&lt;PolicyEff),1,Milestones!$AC$81),0))</f>
        <v>0</v>
      </c>
      <c r="BV11" s="0" t="n">
        <f aca="false">IF(BV9="",0,IF(AND(BV10=Milestones!$AB$82,BV9&gt;=SchemeStart),IF(AND(Milestones!$AB$82="FT",Milestones!$AA$82=FT_Y5,BV9&lt;PolicyEff),1,Milestones!$AC$82),0))</f>
        <v>0</v>
      </c>
      <c r="BW11" s="0" t="n">
        <f aca="false">IF(BW9="",0,IF(AND(BW10=Milestones!$AB$83,BW9&gt;=SchemeStart),IF(AND(Milestones!$AB$83="FT",Milestones!$AA$83=FT_Y5,BW9&lt;PolicyEff),1,Milestones!$AC$83),0))</f>
        <v>0</v>
      </c>
      <c r="BX11" s="0" t="n">
        <f aca="false">IF(BX9="",0,IF(AND(BX10=Milestones!$AB$84,BX9&gt;=SchemeStart),IF(AND(Milestones!$AB$84="FT",Milestones!$AA$84=FT_Y5,BX9&lt;PolicyEff),1,Milestones!$AC$84),0))</f>
        <v>0</v>
      </c>
      <c r="BY11" s="0" t="n">
        <f aca="false">IF(BY9="",0,IF(AND(BY10=Milestones!$AB$85,BY9&gt;=SchemeStart),IF(AND(Milestones!$AB$85="FT",Milestones!$AA$85=FT_Y5,BY9&lt;PolicyEff),1,Milestones!$AC$85),0))</f>
        <v>0</v>
      </c>
      <c r="BZ11" s="0" t="n">
        <f aca="false">IF(BZ9="",0,IF(AND(BZ10=Milestones!$AB$86,BZ9&gt;=SchemeStart),IF(AND(Milestones!$AB$86="FT",Milestones!$AA$86=FT_Y5,BZ9&lt;PolicyEff),1,Milestones!$AC$86),0))</f>
        <v>0</v>
      </c>
      <c r="CA11" s="0" t="n">
        <f aca="false">IF(CA9="",0,IF(AND(CA10=Milestones!$AB$87,CA9&gt;=SchemeStart),IF(AND(Milestones!$AB$87="FT",Milestones!$AA$87=FT_Y5,CA9&lt;PolicyEff),1,Milestones!$AC$87),0))</f>
        <v>0</v>
      </c>
      <c r="CB11" s="0" t="n">
        <f aca="false">IF(CB9="",0,IF(AND(CB10=Milestones!$AB$88,CB9&gt;=SchemeStart),IF(AND(Milestones!$AB$88="FT",Milestones!$AA$88=FT_Y5,CB9&lt;PolicyEff),1,Milestones!$AC$88),0))</f>
        <v>0</v>
      </c>
      <c r="CC11" s="0" t="n">
        <f aca="false">IF(CC9="",0,IF(AND(CC10=Milestones!$AB$89,CC9&gt;=SchemeStart),IF(AND(Milestones!$AB$89="FT",Milestones!$AA$89=FT_Y5,CC9&lt;PolicyEff),1,Milestones!$AC$89),0))</f>
        <v>0</v>
      </c>
      <c r="CD11" s="0" t="n">
        <f aca="false">IF(CD9="",0,IF(AND(CD10=Milestones!$AB$90,CD9&gt;=SchemeStart),IF(AND(Milestones!$AB$90="FT",Milestones!$AA$90=FT_Y5,CD9&lt;PolicyEff),1,Milestones!$AC$90),0))</f>
        <v>0</v>
      </c>
      <c r="CE11" s="0" t="n">
        <f aca="false">IF(CE9="",0,IF(AND(CE10=Milestones!$AB$91,CE9&gt;=SchemeStart),IF(AND(Milestones!$AB$91="FT",Milestones!$AA$91=FT_Y5,CE9&lt;PolicyEff),1,Milestones!$AC$91),0))</f>
        <v>0</v>
      </c>
      <c r="CF11" s="0" t="n">
        <f aca="false">IF(CF9="",0,IF(AND(CF10=Milestones!$AB$92,CF9&gt;=SchemeStart),IF(AND(Milestones!$AB$92="FT",Milestones!$AA$92=FT_Y5,CF9&lt;PolicyEff),1,Milestones!$AC$92),0))</f>
        <v>0</v>
      </c>
      <c r="CG11" s="0" t="n">
        <f aca="false">IF(CG9="",0,IF(AND(CG10=Milestones!$AB$93,CG9&gt;=SchemeStart),IF(AND(Milestones!$AB$93="FT",Milestones!$AA$93=FT_Y5,CG9&lt;PolicyEff),1,Milestones!$AC$93),0))</f>
        <v>0</v>
      </c>
      <c r="CH11" s="0" t="n">
        <f aca="false">IF(CH9="",0,IF(AND(CH10=Milestones!$AB$94,CH9&gt;=SchemeStart),IF(AND(Milestones!$AB$94="FT",Milestones!$AA$94=FT_Y5,CH9&lt;PolicyEff),1,Milestones!$AC$94),0))</f>
        <v>0</v>
      </c>
      <c r="CI11" s="0" t="n">
        <f aca="false">IF(CI9="",0,IF(AND(CI10=Milestones!$AB$95,CI9&gt;=SchemeStart),IF(AND(Milestones!$AB$95="FT",Milestones!$AA$95=FT_Y5,CI9&lt;PolicyEff),1,Milestones!$AC$95),0))</f>
        <v>0</v>
      </c>
      <c r="CJ11" s="0" t="n">
        <f aca="false">IF(CJ9="",0,IF(AND(CJ10=Milestones!$AB$96,CJ9&gt;=SchemeStart),IF(AND(Milestones!$AB$96="FT",Milestones!$AA$96=FT_Y5,CJ9&lt;PolicyEff),1,Milestones!$AC$96),0))</f>
        <v>0</v>
      </c>
      <c r="CK11" s="0" t="n">
        <f aca="false">IF(CK9="",0,IF(AND(CK10=Milestones!$AB$97,CK9&gt;=SchemeStart),IF(AND(Milestones!$AB$97="FT",Milestones!$AA$97=FT_Y5,CK9&lt;PolicyEff),1,Milestones!$AC$97),0))</f>
        <v>0</v>
      </c>
      <c r="CL11" s="0" t="n">
        <f aca="false">IF(CL9="",0,IF(AND(CL10=Milestones!$AB$98,CL9&gt;=SchemeStart),IF(AND(Milestones!$AB$98="FT",Milestones!$AA$98=FT_Y5,CL9&lt;PolicyEff),1,Milestones!$AC$98),0))</f>
        <v>0</v>
      </c>
      <c r="CM11" s="0" t="n">
        <f aca="false">IF(CM9="",0,IF(AND(CM10=Milestones!$AB$99,CM9&gt;=SchemeStart),IF(AND(Milestones!$AB$99="FT",Milestones!$AA$99=FT_Y5,CM9&lt;PolicyEff),1,Milestones!$AC$99),0))</f>
        <v>0</v>
      </c>
      <c r="CN11" s="0" t="n">
        <f aca="false">IF(CN9="",0,IF(AND(CN10=Milestones!$AB$100,CN9&gt;=SchemeStart),IF(AND(Milestones!$AB$100="FT",Milestones!$AA$100=FT_Y5,CN9&lt;PolicyEff),1,Milestones!$AC$100),0))</f>
        <v>0</v>
      </c>
      <c r="CO11" s="0" t="n">
        <f aca="false">IF(CO9="",0,IF(AND(CO10=Milestones!$AB$101,CO9&gt;=SchemeStart),IF(AND(Milestones!$AB$101="FT",Milestones!$AA$101=FT_Y5,CO9&lt;PolicyEff),1,Milestones!$AC$101),0))</f>
        <v>0</v>
      </c>
      <c r="CP11" s="0" t="n">
        <f aca="false">IF(CP9="",0,IF(AND(CP10=Milestones!$AB$102,CP9&gt;=SchemeStart),IF(AND(Milestones!$AB$102="FT",Milestones!$AA$102=FT_Y5,CP9&lt;PolicyEff),1,Milestones!$AC$102),0))</f>
        <v>0</v>
      </c>
      <c r="CQ11" s="0" t="n">
        <f aca="false">IF(CQ9="",0,IF(AND(CQ10=Milestones!$AB$103,CQ9&gt;=SchemeStart),IF(AND(Milestones!$AB$103="FT",Milestones!$AA$103=FT_Y5,CQ9&lt;PolicyEff),1,Milestones!$AC$103),0))</f>
        <v>0</v>
      </c>
      <c r="CR11" s="0" t="n">
        <f aca="false">IF(CR9="",0,IF(AND(CR10=Milestones!$AB$104,CR9&gt;=SchemeStart),IF(AND(Milestones!$AB$104="FT",Milestones!$AA$104=FT_Y5,CR9&lt;PolicyEff),1,Milestones!$AC$104),0))</f>
        <v>0</v>
      </c>
      <c r="CS11" s="0" t="n">
        <f aca="false">IF(CS9="",0,IF(AND(CS10=Milestones!$AB$105,CS9&gt;=SchemeStart),IF(AND(Milestones!$AB$105="FT",Milestones!$AA$105=FT_Y5,CS9&lt;PolicyEff),1,Milestones!$AC$105),0))</f>
        <v>0</v>
      </c>
      <c r="CT11" s="0" t="n">
        <f aca="false">IF(CT9="",0,IF(AND(CT10=Milestones!$AB$106,CT9&gt;=SchemeStart),IF(AND(Milestones!$AB$106="FT",Milestones!$AA$106=FT_Y5,CT9&lt;PolicyEff),1,Milestones!$AC$106),0))</f>
        <v>0</v>
      </c>
      <c r="CU11" s="0" t="n">
        <f aca="false">IF(CU9="",0,IF(AND(CU10=Milestones!$AB$107,CU9&gt;=SchemeStart),IF(AND(Milestones!$AB$107="FT",Milestones!$AA$107=FT_Y5,CU9&lt;PolicyEff),1,Milestones!$AC$107),0))</f>
        <v>0</v>
      </c>
      <c r="CV11" s="0" t="n">
        <f aca="false">IF(CV9="",0,IF(AND(CV10=Milestones!$AB$108,CV9&gt;=SchemeStart),IF(AND(Milestones!$AB$108="FT",Milestones!$AA$108=FT_Y5,CV9&lt;PolicyEff),1,Milestones!$AC$108),0))</f>
        <v>0</v>
      </c>
      <c r="CW11" s="0" t="n">
        <f aca="false">IF(CW9="",0,IF(AND(CW10=Milestones!$AB$109,CW9&gt;=SchemeStart),IF(AND(Milestones!$AB$109="FT",Milestones!$AA$109=FT_Y5,CW9&lt;PolicyEff),1,Milestones!$AC$109),0))</f>
        <v>0</v>
      </c>
      <c r="CX11" s="0" t="n">
        <f aca="false">IF(CX9="",0,IF(AND(CX10=Milestones!$AB$110,CX9&gt;=SchemeStart),IF(AND(Milestones!$AB$110="FT",Milestones!$AA$110=FT_Y5,CX9&lt;PolicyEff),1,Milestones!$AC$110),0))</f>
        <v>0</v>
      </c>
      <c r="CY11" s="0" t="n">
        <f aca="false">IF(CY9="",0,IF(AND(CY10=Milestones!$AB$111,CY9&gt;=SchemeStart),IF(AND(Milestones!$AB$111="FT",Milestones!$AA$111=FT_Y5,CY9&lt;PolicyEff),1,Milestones!$AC$111),0))</f>
        <v>0</v>
      </c>
      <c r="CZ11" s="0" t="n">
        <f aca="false">IF(CZ9="",0,IF(AND(CZ10=Milestones!$AB$112,CZ9&gt;=SchemeStart),IF(AND(Milestones!$AB$112="FT",Milestones!$AA$112=FT_Y5,CZ9&lt;PolicyEff),1,Milestones!$AC$112),0))</f>
        <v>0</v>
      </c>
      <c r="DA11" s="0" t="n">
        <f aca="false">IF(DA9="",0,IF(AND(DA10=Milestones!$AB$113,DA9&gt;=SchemeStart),IF(AND(Milestones!$AB$113="FT",Milestones!$AA$113=FT_Y5,DA9&lt;PolicyEff),1,Milestones!$AC$113),0))</f>
        <v>0</v>
      </c>
      <c r="DB11" s="0" t="n">
        <f aca="false">IF(DB9="",0,IF(AND(DB10=Milestones!$AB$114,DB9&gt;=SchemeStart),IF(AND(Milestones!$AB$114="FT",Milestones!$AA$114=FT_Y5,DB9&lt;PolicyEff),1,Milestones!$AC$114),0))</f>
        <v>0</v>
      </c>
      <c r="DC11" s="0" t="n">
        <f aca="false">IF(DC9="",0,IF(AND(DC10=Milestones!$AB$115,DC9&gt;=SchemeStart),IF(AND(Milestones!$AB$115="FT",Milestones!$AA$115=FT_Y5,DC9&lt;PolicyEff),1,Milestones!$AC$115),0))</f>
        <v>0</v>
      </c>
      <c r="DD11" s="0" t="n">
        <f aca="false">IF(DD9="",0,IF(AND(DD10=Milestones!$AB$116,DD9&gt;=SchemeStart),IF(AND(Milestones!$AB$116="FT",Milestones!$AA$116=FT_Y5,DD9&lt;PolicyEff),1,Milestones!$AC$116),0))</f>
        <v>0</v>
      </c>
      <c r="DE11" s="0" t="n">
        <f aca="false">IF(DE9="",0,IF(AND(DE10=Milestones!$AB$117,DE9&gt;=SchemeStart),IF(AND(Milestones!$AB$117="FT",Milestones!$AA$117=FT_Y5,DE9&lt;PolicyEff),1,Milestones!$AC$117),0))</f>
        <v>0</v>
      </c>
      <c r="DF11" s="0" t="n">
        <f aca="false">IF(DF9="",0,IF(AND(DF10=Milestones!$AB$118,DF9&gt;=SchemeStart),IF(AND(Milestones!$AB$118="FT",Milestones!$AA$118=FT_Y5,DF9&lt;PolicyEff),1,Milestones!$AC$118),0))</f>
        <v>0</v>
      </c>
      <c r="DG11" s="0" t="n">
        <f aca="false">IF(DG9="",0,IF(AND(DG10=Milestones!$AB$119,DG9&gt;=SchemeStart),IF(AND(Milestones!$AB$119="FT",Milestones!$AA$119=FT_Y5,DG9&lt;PolicyEff),1,Milestones!$AC$119),0))</f>
        <v>0</v>
      </c>
      <c r="DH11" s="0" t="n">
        <f aca="false">IF(DH9="",0,IF(AND(DH10=Milestones!$AB$120,DH9&gt;=SchemeStart),IF(AND(Milestones!$AB$120="FT",Milestones!$AA$120=FT_Y5,DH9&lt;PolicyEff),1,Milestones!$AC$120),0))</f>
        <v>0</v>
      </c>
      <c r="DI11" s="0" t="n">
        <f aca="false">IF(DI9="",0,IF(AND(DI10=Milestones!$AB$121,DI9&gt;=SchemeStart),IF(AND(Milestones!$AB$121="FT",Milestones!$AA$121=FT_Y5,DI9&lt;PolicyEff),1,Milestones!$AC$121),0))</f>
        <v>0</v>
      </c>
      <c r="DJ11" s="0" t="n">
        <f aca="false">IF(DJ9="",0,IF(AND(DJ10=Milestones!$AB$122,DJ9&gt;=SchemeStart),IF(AND(Milestones!$AB$122="FT",Milestones!$AA$122=FT_Y5,DJ9&lt;PolicyEff),1,Milestones!$AC$122),0))</f>
        <v>0</v>
      </c>
      <c r="DK11" s="0" t="n">
        <f aca="false">IF(DK9="",0,IF(AND(DK10=Milestones!$AB$123,DK9&gt;=SchemeStart),IF(AND(Milestones!$AB$123="FT",Milestones!$AA$123=FT_Y5,DK9&lt;PolicyEff),1,Milestones!$AC$123),0))</f>
        <v>0</v>
      </c>
      <c r="DL11" s="0" t="n">
        <f aca="false">IF(DL9="",0,IF(AND(DL10=Milestones!$AB$124,DL9&gt;=SchemeStart),IF(AND(Milestones!$AB$124="FT",Milestones!$AA$124=FT_Y5,DL9&lt;PolicyEff),1,Milestones!$AC$124),0))</f>
        <v>0</v>
      </c>
      <c r="DM11" s="0" t="n">
        <f aca="false">IF(DM9="",0,IF(AND(DM10=Milestones!$AB$125,DM9&gt;=SchemeStart),IF(AND(Milestones!$AB$125="FT",Milestones!$AA$125=FT_Y5,DM9&lt;PolicyEff),1,Milestones!$AC$125),0))</f>
        <v>0</v>
      </c>
      <c r="DN11" s="0" t="n">
        <f aca="false">IF(DN9="",0,IF(AND(DN10=Milestones!$AB$126,DN9&gt;=SchemeStart),IF(AND(Milestones!$AB$126="FT",Milestones!$AA$126=FT_Y5,DN9&lt;PolicyEff),1,Milestones!$AC$126),0))</f>
        <v>0</v>
      </c>
      <c r="DO11" s="0" t="n">
        <f aca="false">IF(DO9="",0,IF(AND(DO10=Milestones!$AB$127,DO9&gt;=SchemeStart),IF(AND(Milestones!$AB$127="FT",Milestones!$AA$127=FT_Y5,DO9&lt;PolicyEff),1,Milestones!$AC$127),0))</f>
        <v>0</v>
      </c>
      <c r="DP11" s="0" t="n">
        <f aca="false">IF(DP9="",0,IF(AND(DP10=Milestones!$AB$128,DP9&gt;=SchemeStart),IF(AND(Milestones!$AB$128="FT",Milestones!$AA$128=FT_Y5,DP9&lt;PolicyEff),1,Milestones!$AC$128),0))</f>
        <v>0</v>
      </c>
      <c r="DQ11" s="0" t="n">
        <f aca="false">IF(DQ9="",0,IF(AND(DQ10=Milestones!$AB$129,DQ9&gt;=SchemeStart),IF(AND(Milestones!$AB$129="FT",Milestones!$AA$129=FT_Y5,DQ9&lt;PolicyEff),1,Milestones!$AC$129),0))</f>
        <v>0</v>
      </c>
      <c r="DR11" s="0" t="n">
        <f aca="false">IF(DR9="",0,IF(AND(DR10=Milestones!$AB$130,DR9&gt;=SchemeStart),IF(AND(Milestones!$AB$130="FT",Milestones!$AA$130=FT_Y5,DR9&lt;PolicyEff),1,Milestones!$AC$130),0))</f>
        <v>0</v>
      </c>
      <c r="DS11" s="0" t="n">
        <f aca="false">IF(DS9="",0,IF(AND(DS10=Milestones!$AB$131,DS9&gt;=SchemeStart),IF(AND(Milestones!$AB$131="FT",Milestones!$AA$131=FT_Y5,DS9&lt;PolicyEff),1,Milestones!$AC$131),0))</f>
        <v>0</v>
      </c>
      <c r="DT11" s="0" t="n">
        <f aca="false">IF(DT9="",0,IF(AND(DT10=Milestones!$AB$132,DT9&gt;=SchemeStart),IF(AND(Milestones!$AB$132="FT",Milestones!$AA$132=FT_Y5,DT9&lt;PolicyEff),1,Milestones!$AC$132),0))</f>
        <v>0</v>
      </c>
      <c r="DU11" s="0" t="n">
        <f aca="false">IF(DU9="",0,IF(AND(DU10=Milestones!$AB$133,DU9&gt;=SchemeStart),IF(AND(Milestones!$AB$133="FT",Milestones!$AA$133=FT_Y5,DU9&lt;PolicyEff),1,Milestones!$AC$133),0))</f>
        <v>0</v>
      </c>
      <c r="DV11" s="0" t="n">
        <f aca="false">IF(DV9="",0,IF(AND(DV10=Milestones!$AB$134,DV9&gt;=SchemeStart),IF(AND(Milestones!$AB$134="FT",Milestones!$AA$134=FT_Y5,DV9&lt;PolicyEff),1,Milestones!$AC$134),0))</f>
        <v>0</v>
      </c>
      <c r="DW11" s="0" t="n">
        <f aca="false">IF(DW9="",0,IF(AND(DW10=Milestones!$AB$135,DW9&gt;=SchemeStart),IF(AND(Milestones!$AB$135="FT",Milestones!$AA$135=FT_Y5,DW9&lt;PolicyEff),1,Milestones!$AC$135),0))</f>
        <v>0</v>
      </c>
      <c r="DX11" s="0" t="n">
        <f aca="false">IF(DX9="",0,IF(AND(DX10=Milestones!$AB$136,DX9&gt;=SchemeStart),IF(AND(Milestones!$AB$136="FT",Milestones!$AA$136=FT_Y5,DX9&lt;PolicyEff),1,Milestones!$AC$136),0))</f>
        <v>0</v>
      </c>
      <c r="DY11" s="0" t="n">
        <f aca="false">IF(DY9="",0,IF(AND(DY10=Milestones!$AB$137,DY9&gt;=SchemeStart),IF(AND(Milestones!$AB$137="FT",Milestones!$AA$137=FT_Y5,DY9&lt;PolicyEff),1,Milestones!$AC$137),0))</f>
        <v>0</v>
      </c>
      <c r="DZ11" s="0" t="n">
        <f aca="false">IF(DZ9="",0,IF(AND(DZ10=Milestones!$AB$138,DZ9&gt;=SchemeStart),IF(AND(Milestones!$AB$138="FT",Milestones!$AA$138=FT_Y5,DZ9&lt;PolicyEff),1,Milestones!$AC$138),0))</f>
        <v>0</v>
      </c>
      <c r="EA11" s="0" t="n">
        <f aca="false">IF(EA9="",0,IF(AND(EA10=Milestones!$AB$139,EA9&gt;=SchemeStart),IF(AND(Milestones!$AB$139="FT",Milestones!$AA$139=FT_Y5,EA9&lt;PolicyEff),1,Milestones!$AC$139),0))</f>
        <v>0</v>
      </c>
      <c r="EB11" s="0" t="n">
        <f aca="false">IF(EB9="",0,IF(AND(EB10=Milestones!$AB$140,EB9&gt;=SchemeStart),IF(AND(Milestones!$AB$140="FT",Milestones!$AA$140=FT_Y5,EB9&lt;PolicyEff),1,Milestones!$AC$140),0))</f>
        <v>0</v>
      </c>
      <c r="EC11" s="0" t="n">
        <f aca="false">IF(EC9="",0,IF(AND(EC10=Milestones!$AB$141,EC9&gt;=SchemeStart),IF(AND(Milestones!$AB$141="FT",Milestones!$AA$141=FT_Y5,EC9&lt;PolicyEff),1,Milestones!$AC$141),0))</f>
        <v>0</v>
      </c>
      <c r="ED11" s="0" t="n">
        <f aca="false">IF(ED9="",0,IF(AND(ED10=Milestones!$AB$142,ED9&gt;=SchemeStart),IF(AND(Milestones!$AB$142="FT",Milestones!$AA$142=FT_Y5,ED9&lt;PolicyEff),1,Milestones!$AC$142),0))</f>
        <v>0</v>
      </c>
      <c r="EE11" s="0" t="n">
        <f aca="false">IF(EE9="",0,IF(AND(EE10=Milestones!$AB$143,EE9&gt;=SchemeStart),IF(AND(Milestones!$AB$143="FT",Milestones!$AA$143=FT_Y5,EE9&lt;PolicyEff),1,Milestones!$AC$143),0))</f>
        <v>0</v>
      </c>
      <c r="EF11" s="0" t="n">
        <f aca="false">IF(EF9="",0,IF(AND(EF10=Milestones!$AB$144,EF9&gt;=SchemeStart),IF(AND(Milestones!$AB$144="FT",Milestones!$AA$144=FT_Y5,EF9&lt;PolicyEff),1,Milestones!$AC$144),0))</f>
        <v>0</v>
      </c>
      <c r="EG11" s="0" t="n">
        <f aca="false">IF(EG9="",0,IF(AND(EG10=Milestones!$AB$145,EG9&gt;=SchemeStart),IF(AND(Milestones!$AB$145="FT",Milestones!$AA$145=FT_Y5,EG9&lt;PolicyEff),1,Milestones!$AC$145),0))</f>
        <v>0</v>
      </c>
      <c r="EH11" s="0" t="n">
        <f aca="false">IF(EH9="",0,IF(AND(EH10=Milestones!$AB$146,EH9&gt;=SchemeStart),IF(AND(Milestones!$AB$146="FT",Milestones!$AA$146=FT_Y5,EH9&lt;PolicyEff),1,Milestones!$AC$146),0))</f>
        <v>0</v>
      </c>
      <c r="EI11" s="0" t="n">
        <f aca="false">IF(EI9="",0,IF(AND(EI10=Milestones!$AB$147,EI9&gt;=SchemeStart),IF(AND(Milestones!$AB$147="FT",Milestones!$AA$147=FT_Y5,EI9&lt;PolicyEff),1,Milestones!$AC$147),0))</f>
        <v>0</v>
      </c>
      <c r="EJ11" s="0" t="n">
        <f aca="false">IF(EJ9="",0,IF(AND(EJ10=Milestones!$AB$148,EJ9&gt;=SchemeStart),IF(AND(Milestones!$AB$148="FT",Milestones!$AA$148=FT_Y5,EJ9&lt;PolicyEff),1,Milestones!$AC$148),0))</f>
        <v>0</v>
      </c>
      <c r="EK11" s="0" t="n">
        <f aca="false">IF(EK9="",0,IF(AND(EK10=Milestones!$AB$149,EK9&gt;=SchemeStart),IF(AND(Milestones!$AB$149="FT",Milestones!$AA$149=FT_Y5,EK9&lt;PolicyEff),1,Milestones!$AC$149),0))</f>
        <v>0</v>
      </c>
      <c r="EL11" s="0" t="n">
        <f aca="false">IF(EL9="",0,IF(AND(EL10=Milestones!$AB$150,EL9&gt;=SchemeStart),IF(AND(Milestones!$AB$150="FT",Milestones!$AA$150=FT_Y5,EL9&lt;PolicyEff),1,Milestones!$AC$150),0))</f>
        <v>0</v>
      </c>
      <c r="EM11" s="0" t="n">
        <f aca="false">IF(EM9="",0,IF(AND(EM10=Milestones!$AB$151,EM9&gt;=SchemeStart),IF(AND(Milestones!$AB$151="FT",Milestones!$AA$151=FT_Y5,EM9&lt;PolicyEff),1,Milestones!$AC$151),0))</f>
        <v>0</v>
      </c>
      <c r="EN11" s="0" t="n">
        <f aca="false">IF(EN9="",0,IF(AND(EN10=Milestones!$AB$152,EN9&gt;=SchemeStart),IF(AND(Milestones!$AB$152="FT",Milestones!$AA$152=FT_Y5,EN9&lt;PolicyEff),1,Milestones!$AC$152),0))</f>
        <v>0</v>
      </c>
      <c r="EO11" s="0" t="n">
        <f aca="false">IF(EO9="",0,IF(AND(EO10=Milestones!$AB$153,EO9&gt;=SchemeStart),IF(AND(Milestones!$AB$153="FT",Milestones!$AA$153=FT_Y5,EO9&lt;PolicyEff),1,Milestones!$AC$153),0))</f>
        <v>0</v>
      </c>
      <c r="EP11" s="0" t="n">
        <f aca="false">IF(EP9="",0,IF(AND(EP10=Milestones!$AB$154,EP9&gt;=SchemeStart),IF(AND(Milestones!$AB$154="FT",Milestones!$AA$154=FT_Y5,EP9&lt;PolicyEff),1,Milestones!$AC$154),0))</f>
        <v>0</v>
      </c>
      <c r="EQ11" s="0" t="n">
        <f aca="false">IF(EQ9="",0,IF(AND(EQ10=Milestones!$AB$155,EQ9&gt;=SchemeStart),IF(AND(Milestones!$AB$155="FT",Milestones!$AA$155=FT_Y5,EQ9&lt;PolicyEff),1,Milestones!$AC$155),0))</f>
        <v>0</v>
      </c>
      <c r="ER11" s="0" t="n">
        <f aca="false">IF(ER9="",0,IF(AND(ER10=Milestones!$AB$156,ER9&gt;=SchemeStart),IF(AND(Milestones!$AB$156="FT",Milestones!$AA$156=FT_Y5,ER9&lt;PolicyEff),1,Milestones!$AC$156),0))</f>
        <v>0</v>
      </c>
      <c r="ES11" s="0" t="n">
        <f aca="false">IF(ES9="",0,IF(AND(ES10=Milestones!$AB$157,ES9&gt;=SchemeStart),IF(AND(Milestones!$AB$157="FT",Milestones!$AA$157=FT_Y5,ES9&lt;PolicyEff),1,Milestones!$AC$157),0))</f>
        <v>0</v>
      </c>
      <c r="ET11" s="0" t="n">
        <f aca="false">IF(ET9="",0,IF(AND(ET10=Milestones!$AB$158,ET9&gt;=SchemeStart),IF(AND(Milestones!$AB$158="FT",Milestones!$AA$158=FT_Y5,ET9&lt;PolicyEff),1,Milestones!$AC$158),0))</f>
        <v>0</v>
      </c>
      <c r="EU11" s="0" t="n">
        <f aca="false">IF(EU9="",0,IF(AND(EU10=Milestones!$AB$159,EU9&gt;=SchemeStart),IF(AND(Milestones!$AB$159="FT",Milestones!$AA$159=FT_Y5,EU9&lt;PolicyEff),1,Milestones!$AC$159),0))</f>
        <v>0</v>
      </c>
      <c r="EV11" s="0" t="n">
        <f aca="false">IF(EV9="",0,IF(AND(EV10=Milestones!$AB$160,EV9&gt;=SchemeStart),IF(AND(Milestones!$AB$160="FT",Milestones!$AA$160=FT_Y5,EV9&lt;PolicyEff),1,Milestones!$AC$160),0))</f>
        <v>0</v>
      </c>
      <c r="EW11" s="0" t="n">
        <f aca="false">IF(EW9="",0,IF(AND(EW10=Milestones!$AB$161,EW9&gt;=SchemeStart),IF(AND(Milestones!$AB$161="FT",Milestones!$AA$161=FT_Y5,EW9&lt;PolicyEff),1,Milestones!$AC$161),0))</f>
        <v>0</v>
      </c>
      <c r="EX11" s="0" t="n">
        <f aca="false">IF(EX9="",0,IF(AND(EX10=Milestones!$AB$162,EX9&gt;=SchemeStart),IF(AND(Milestones!$AB$162="FT",Milestones!$AA$162=FT_Y5,EX9&lt;PolicyEff),1,Milestones!$AC$162),0))</f>
        <v>0</v>
      </c>
      <c r="EY11" s="0" t="n">
        <f aca="false">IF(EY9="",0,IF(AND(EY10=Milestones!$AB$163,EY9&gt;=SchemeStart),IF(AND(Milestones!$AB$163="FT",Milestones!$AA$163=FT_Y5,EY9&lt;PolicyEff),1,Milestones!$AC$163),0))</f>
        <v>0</v>
      </c>
      <c r="EZ11" s="0" t="n">
        <f aca="false">IF(EZ9="",0,IF(AND(EZ10=Milestones!$AB$164,EZ9&gt;=SchemeStart),IF(AND(Milestones!$AB$164="FT",Milestones!$AA$164=FT_Y5,EZ9&lt;PolicyEff),1,Milestones!$AC$164),0))</f>
        <v>0</v>
      </c>
      <c r="FA11" s="0" t="n">
        <f aca="false">IF(FA9="",0,IF(AND(FA10=Milestones!$AB$165,FA9&gt;=SchemeStart),IF(AND(Milestones!$AB$165="FT",Milestones!$AA$165=FT_Y5,FA9&lt;PolicyEff),1,Milestones!$AC$165),0))</f>
        <v>0</v>
      </c>
      <c r="FB11" s="0" t="n">
        <f aca="false">IF(FB9="",0,IF(AND(FB10=Milestones!$AB$166,FB9&gt;=SchemeStart),IF(AND(Milestones!$AB$166="FT",Milestones!$AA$166=FT_Y5,FB9&lt;PolicyEff),1,Milestones!$AC$166),0))</f>
        <v>0</v>
      </c>
      <c r="FC11" s="0" t="n">
        <f aca="false">IF(FC9="",0,IF(AND(FC10=Milestones!$AB$167,FC9&gt;=SchemeStart),IF(AND(Milestones!$AB$167="FT",Milestones!$AA$167=FT_Y5,FC9&lt;PolicyEff),1,Milestones!$AC$167),0))</f>
        <v>0</v>
      </c>
      <c r="FD11" s="0" t="n">
        <f aca="false">IF(FD9="",0,IF(AND(FD10=Milestones!$AB$168,FD9&gt;=SchemeStart),IF(AND(Milestones!$AB$168="FT",Milestones!$AA$168=FT_Y5,FD9&lt;PolicyEff),1,Milestones!$AC$168),0))</f>
        <v>0</v>
      </c>
      <c r="FE11" s="0" t="n">
        <f aca="false">IF(FE9="",0,IF(AND(FE10=Milestones!$AB$169,FE9&gt;=SchemeStart),IF(AND(Milestones!$AB$169="FT",Milestones!$AA$169=FT_Y5,FE9&lt;PolicyEff),1,Milestones!$AC$169),0))</f>
        <v>0</v>
      </c>
      <c r="FF11" s="0" t="n">
        <f aca="false">IF(FF9="",0,IF(AND(FF10=Milestones!$AB$170,FF9&gt;=SchemeStart),IF(AND(Milestones!$AB$170="FT",Milestones!$AA$170=FT_Y5,FF9&lt;PolicyEff),1,Milestones!$AC$170),0))</f>
        <v>0</v>
      </c>
      <c r="FG11" s="0" t="n">
        <f aca="false">IF(FG9="",0,IF(AND(FG10=Milestones!$AB$171,FG9&gt;=SchemeStart),IF(AND(Milestones!$AB$171="FT",Milestones!$AA$171=FT_Y5,FG9&lt;PolicyEff),1,Milestones!$AC$171),0))</f>
        <v>0</v>
      </c>
      <c r="FH11" s="0" t="n">
        <f aca="false">IF(FH9="",0,IF(AND(FH10=Milestones!$AB$172,FH9&gt;=SchemeStart),IF(AND(Milestones!$AB$172="FT",Milestones!$AA$172=FT_Y5,FH9&lt;PolicyEff),1,Milestones!$AC$172),0))</f>
        <v>0</v>
      </c>
      <c r="FI11" s="0" t="n">
        <f aca="false">IF(FI9="",0,IF(AND(FI10=Milestones!$AB$173,FI9&gt;=SchemeStart),IF(AND(Milestones!$AB$173="FT",Milestones!$AA$173=FT_Y5,FI9&lt;PolicyEff),1,Milestones!$AC$173),0))</f>
        <v>0</v>
      </c>
      <c r="FJ11" s="0" t="n">
        <f aca="false">IF(FJ9="",0,IF(AND(FJ10=Milestones!$AB$174,FJ9&gt;=SchemeStart),IF(AND(Milestones!$AB$174="FT",Milestones!$AA$174=FT_Y5,FJ9&lt;PolicyEff),1,Milestones!$AC$174),0))</f>
        <v>0</v>
      </c>
      <c r="FK11" s="0" t="n">
        <f aca="false">IF(FK9="",0,IF(AND(FK10=Milestones!$AB$175,FK9&gt;=SchemeStart),IF(AND(Milestones!$AB$175="FT",Milestones!$AA$175=FT_Y5,FK9&lt;PolicyEff),1,Milestones!$AC$175),0))</f>
        <v>0</v>
      </c>
      <c r="FL11" s="0" t="n">
        <f aca="false">IF(FL9="",0,IF(AND(FL10=Milestones!$AB$176,FL9&gt;=SchemeStart),IF(AND(Milestones!$AB$176="FT",Milestones!$AA$176=FT_Y5,FL9&lt;PolicyEff),1,Milestones!$AC$176),0))</f>
        <v>0</v>
      </c>
      <c r="FM11" s="0" t="n">
        <f aca="false">IF(FM9="",0,IF(AND(FM10=Milestones!$AB$177,FM9&gt;=SchemeStart),IF(AND(Milestones!$AB$177="FT",Milestones!$AA$177=FT_Y5,FM9&lt;PolicyEff),1,Milestones!$AC$177),0))</f>
        <v>0</v>
      </c>
      <c r="FN11" s="0" t="n">
        <f aca="false">IF(FN9="",0,IF(AND(FN10=Milestones!$AB$178,FN9&gt;=SchemeStart),IF(AND(Milestones!$AB$178="FT",Milestones!$AA$178=FT_Y5,FN9&lt;PolicyEff),1,Milestones!$AC$178),0))</f>
        <v>0</v>
      </c>
      <c r="FO11" s="0" t="n">
        <f aca="false">IF(FO9="",0,IF(AND(FO10=Milestones!$AB$179,FO9&gt;=SchemeStart),IF(AND(Milestones!$AB$179="FT",Milestones!$AA$179=FT_Y5,FO9&lt;PolicyEff),1,Milestones!$AC$179),0))</f>
        <v>0</v>
      </c>
      <c r="FP11" s="0" t="n">
        <f aca="false">IF(FP9="",0,IF(AND(FP10=Milestones!$AB$180,FP9&gt;=SchemeStart),IF(AND(Milestones!$AB$180="FT",Milestones!$AA$180=FT_Y5,FP9&lt;PolicyEff),1,Milestones!$AC$180),0))</f>
        <v>0</v>
      </c>
      <c r="FQ11" s="0" t="n">
        <f aca="false">IF(FQ9="",0,IF(AND(FQ10=Milestones!$AB$181,FQ9&gt;=SchemeStart),IF(AND(Milestones!$AB$181="FT",Milestones!$AA$181=FT_Y5,FQ9&lt;PolicyEff),1,Milestones!$AC$181),0))</f>
        <v>0</v>
      </c>
      <c r="FR11" s="0" t="n">
        <f aca="false">IF(FR9="",0,IF(AND(FR10=Milestones!$AB$182,FR9&gt;=SchemeStart),IF(AND(Milestones!$AB$182="FT",Milestones!$AA$182=FT_Y5,FR9&lt;PolicyEff),1,Milestones!$AC$182),0))</f>
        <v>0</v>
      </c>
      <c r="FS11" s="0" t="n">
        <f aca="false">IF(FS9="",0,IF(AND(FS10=Milestones!$AB$183,FS9&gt;=SchemeStart),IF(AND(Milestones!$AB$183="FT",Milestones!$AA$183=FT_Y5,FS9&lt;PolicyEff),1,Milestones!$AC$183),0))</f>
        <v>0</v>
      </c>
      <c r="FT11" s="0" t="n">
        <f aca="false">IF(FT9="",0,IF(AND(FT10=Milestones!$AB$184,FT9&gt;=SchemeStart),IF(AND(Milestones!$AB$184="FT",Milestones!$AA$184=FT_Y5,FT9&lt;PolicyEff),1,Milestones!$AC$184),0))</f>
        <v>0</v>
      </c>
      <c r="FU11" s="0" t="n">
        <f aca="false">IF(FU9="",0,IF(AND(FU10=Milestones!$AB$185,FU9&gt;=SchemeStart),IF(AND(Milestones!$AB$185="FT",Milestones!$AA$185=FT_Y5,FU9&lt;PolicyEff),1,Milestones!$AC$185),0))</f>
        <v>0</v>
      </c>
      <c r="FV11" s="0" t="n">
        <f aca="false">IF(FV9="",0,IF(AND(FV10=Milestones!$AB$186,FV9&gt;=SchemeStart),IF(AND(Milestones!$AB$186="FT",Milestones!$AA$186=FT_Y5,FV9&lt;PolicyEff),1,Milestones!$AC$186),0))</f>
        <v>0</v>
      </c>
      <c r="FW11" s="0" t="n">
        <f aca="false">IF(FW9="",0,IF(AND(FW10=Milestones!$AB$187,FW9&gt;=SchemeStart),IF(AND(Milestones!$AB$187="FT",Milestones!$AA$187=FT_Y5,FW9&lt;PolicyEff),1,Milestones!$AC$187),0))</f>
        <v>0</v>
      </c>
      <c r="FX11" s="0" t="n">
        <f aca="false">IF(FX9="",0,IF(AND(FX10=Milestones!$AB$188,FX9&gt;=SchemeStart),IF(AND(Milestones!$AB$188="FT",Milestones!$AA$188=FT_Y5,FX9&lt;PolicyEff),1,Milestones!$AC$188),0))</f>
        <v>0</v>
      </c>
      <c r="FY11" s="0" t="n">
        <f aca="false">IF(FY9="",0,IF(AND(FY10=Milestones!$AB$189,FY9&gt;=SchemeStart),IF(AND(Milestones!$AB$189="FT",Milestones!$AA$189=FT_Y5,FY9&lt;PolicyEff),1,Milestones!$AC$189),0))</f>
        <v>0</v>
      </c>
      <c r="FZ11" s="0" t="n">
        <f aca="false">IF(FZ9="",0,IF(AND(FZ10=Milestones!$AB$190,FZ9&gt;=SchemeStart),IF(AND(Milestones!$AB$190="FT",Milestones!$AA$190=FT_Y5,FZ9&lt;PolicyEff),1,Milestones!$AC$190),0))</f>
        <v>0</v>
      </c>
      <c r="GA11" s="0" t="n">
        <f aca="false">IF(GA9="",0,IF(AND(GA10=Milestones!$AB$191,GA9&gt;=SchemeStart),IF(AND(Milestones!$AB$191="FT",Milestones!$AA$191=FT_Y5,GA9&lt;PolicyEff),1,Milestones!$AC$191),0))</f>
        <v>0</v>
      </c>
      <c r="GB11" s="0" t="n">
        <f aca="false">IF(GB9="",0,IF(AND(GB10=Milestones!$AB$192,GB9&gt;=SchemeStart),IF(AND(Milestones!$AB$192="FT",Milestones!$AA$192=FT_Y5,GB9&lt;PolicyEff),1,Milestones!$AC$192),0))</f>
        <v>0</v>
      </c>
      <c r="GC11" s="0" t="n">
        <f aca="false">IF(GC9="",0,IF(AND(GC10=Milestones!$AB$193,GC9&gt;=SchemeStart),IF(AND(Milestones!$AB$193="FT",Milestones!$AA$193=FT_Y5,GC9&lt;PolicyEff),1,Milestones!$AC$193),0))</f>
        <v>0</v>
      </c>
      <c r="GD11" s="0" t="n">
        <f aca="false">IF(GD9="",0,IF(AND(GD10=Milestones!$AB$194,GD9&gt;=SchemeStart),IF(AND(Milestones!$AB$194="FT",Milestones!$AA$194=FT_Y5,GD9&lt;PolicyEff),1,Milestones!$AC$194),0))</f>
        <v>0</v>
      </c>
      <c r="GE11" s="0" t="n">
        <f aca="false">IF(GE9="",0,IF(AND(GE10=Milestones!$AB$195,GE9&gt;=SchemeStart),IF(AND(Milestones!$AB$195="FT",Milestones!$AA$195=FT_Y5,GE9&lt;PolicyEff),1,Milestones!$AC$195),0))</f>
        <v>0</v>
      </c>
      <c r="GF11" s="0" t="n">
        <f aca="false">IF(GF9="",0,IF(AND(GF10=Milestones!$AB$196,GF9&gt;=SchemeStart),IF(AND(Milestones!$AB$196="FT",Milestones!$AA$196=FT_Y5,GF9&lt;PolicyEff),1,Milestones!$AC$196),0))</f>
        <v>0</v>
      </c>
      <c r="GG11" s="0" t="n">
        <f aca="false">IF(GG9="",0,IF(AND(GG10=Milestones!$AB$197,GG9&gt;=SchemeStart),IF(AND(Milestones!$AB$197="FT",Milestones!$AA$197=FT_Y5,GG9&lt;PolicyEff),1,Milestones!$AC$197),0))</f>
        <v>0</v>
      </c>
      <c r="GH11" s="0" t="n">
        <f aca="false">IF(GH9="",0,IF(AND(GH10=Milestones!$AB$198,GH9&gt;=SchemeStart),IF(AND(Milestones!$AB$198="FT",Milestones!$AA$198=FT_Y5,GH9&lt;PolicyEff),1,Milestones!$AC$198),0))</f>
        <v>0</v>
      </c>
      <c r="GI11" s="0" t="n">
        <f aca="false">IF(GI9="",0,IF(AND(GI10=Milestones!$AB$199,GI9&gt;=SchemeStart),IF(AND(Milestones!$AB$199="FT",Milestones!$AA$199=FT_Y5,GI9&lt;PolicyEff),1,Milestones!$AC$199),0))</f>
        <v>0</v>
      </c>
    </row>
    <row r="12" customFormat="false" ht="15" hidden="false" customHeight="false" outlineLevel="0" collapsed="false">
      <c r="A12" s="0" t="str">
        <f aca="false">IF('HR Tally Check'!E$7="","",'HR Tally Check'!E$7)</f>
        <v/>
      </c>
      <c r="B12" s="0" t="str">
        <f aca="false">IF(A12="","",ISNUMBER(MATCH(A12,Staff!$BR$5:$BR$154,0)))</f>
        <v/>
      </c>
      <c r="C12" s="20" t="str">
        <f aca="false">IF(B12&lt;&gt;TRUE(),"",INDEX(Staff!$AL$5:$AL$154,MATCH($A12,Staff!$BR$5:$BR$154,0)))</f>
        <v/>
      </c>
      <c r="D12" s="0" t="str">
        <f aca="false">IF(B12&lt;&gt;TRUE(),"",INDEX(Staff!$AM$5:$AM$154,MATCH($A12,Staff!$BR$5:$BR$154,0)))</f>
        <v/>
      </c>
      <c r="E12" s="20" t="str">
        <f aca="false">IF(B12&lt;&gt;TRUE(),"",INDEX(Staff!$AO$5:$AO$154,MATCH($A12,Staff!$BR$5:$BR$154,0)))</f>
        <v/>
      </c>
      <c r="F12" s="20" t="str">
        <f aca="false">IF(B12&lt;&gt;TRUE(),"",INDEX(Staff!$AP$5:$AP$154,MATCH($A12,Staff!$BR$5:$BR$154,0)))</f>
        <v/>
      </c>
      <c r="G12" s="0" t="str">
        <f aca="false">IF(B12&lt;&gt;TRUE(),"",INDEX(Staff!$AT$5:$AT$154,MATCH($A12,Staff!$BR$5:$BR$154,0)))</f>
        <v/>
      </c>
      <c r="H12" s="0" t="str">
        <f aca="false">IF(B12&lt;&gt;TRUE(),"",INDEX(Staff!$AU$5:$AU$154,MATCH($A12,Staff!$BR$5:$BR$154,0)))</f>
        <v/>
      </c>
      <c r="I12" s="0" t="str">
        <f aca="false">IF(B12&lt;&gt;TRUE(),"",INDEX(Staff!$AV$5:$AV$154,MATCH($A12,Staff!$BR$5:$BR$154,0)))</f>
        <v/>
      </c>
      <c r="J12" s="0" t="str">
        <f aca="false">IF(B12&lt;&gt;TRUE(),"",INDEX(Staff!$AW$5:$AW$154,MATCH($A12,Staff!$BR$5:$BR$154,0)))</f>
        <v/>
      </c>
      <c r="K12" s="33" t="s">
        <v>262</v>
      </c>
      <c r="L12" s="20" t="str">
        <f aca="false">IF($C12="","",EDATE($C12,Milestones!$AA$20))</f>
        <v/>
      </c>
      <c r="M12" s="20" t="str">
        <f aca="false">IF($C12="","",EDATE($C12,Milestones!$AA$21))</f>
        <v/>
      </c>
      <c r="N12" s="20" t="str">
        <f aca="false">IF($C12="","",EDATE($C12,Milestones!$AA$22))</f>
        <v/>
      </c>
      <c r="O12" s="20" t="str">
        <f aca="false">IF($C12="","",EDATE($C12,Milestones!$AA$23))</f>
        <v/>
      </c>
      <c r="P12" s="20" t="str">
        <f aca="false">IF($C12="","",EDATE($C12,Milestones!$AA$24))</f>
        <v/>
      </c>
      <c r="Q12" s="20" t="str">
        <f aca="false">IF($C12="","",EDATE($C12,Milestones!$AA$25))</f>
        <v/>
      </c>
      <c r="R12" s="20" t="str">
        <f aca="false">IF($C12="","",EDATE($C12,Milestones!$AA$26))</f>
        <v/>
      </c>
      <c r="S12" s="20" t="str">
        <f aca="false">IF($C12="","",EDATE($C12,Milestones!$AA$27))</f>
        <v/>
      </c>
      <c r="T12" s="20" t="str">
        <f aca="false">IF($C12="","",EDATE($C12,Milestones!$AA$28))</f>
        <v/>
      </c>
      <c r="U12" s="20" t="str">
        <f aca="false">IF($C12="","",EDATE($C12,Milestones!$AA$29))</f>
        <v/>
      </c>
      <c r="V12" s="20" t="str">
        <f aca="false">IF($C12="","",EDATE($C12,Milestones!$AA$30))</f>
        <v/>
      </c>
      <c r="W12" s="20" t="str">
        <f aca="false">IF($C12="","",EDATE($C12,Milestones!$AA$31))</f>
        <v/>
      </c>
      <c r="X12" s="20" t="str">
        <f aca="false">IF($C12="","",EDATE($C12,Milestones!$AA$32))</f>
        <v/>
      </c>
      <c r="Y12" s="20" t="str">
        <f aca="false">IF($C12="","",EDATE($C12,Milestones!$AA$33))</f>
        <v/>
      </c>
      <c r="Z12" s="20" t="str">
        <f aca="false">IF($C12="","",EDATE($C12,Milestones!$AA$34))</f>
        <v/>
      </c>
      <c r="AA12" s="20" t="str">
        <f aca="false">IF($C12="","",EDATE($C12,Milestones!$AA$35))</f>
        <v/>
      </c>
      <c r="AB12" s="20" t="str">
        <f aca="false">IF($C12="","",EDATE($C12,Milestones!$AA$36))</f>
        <v/>
      </c>
      <c r="AC12" s="20" t="str">
        <f aca="false">IF($C12="","",EDATE($C12,Milestones!$AA$37))</f>
        <v/>
      </c>
      <c r="AD12" s="20" t="str">
        <f aca="false">IF($C12="","",EDATE($C12,Milestones!$AA$38))</f>
        <v/>
      </c>
      <c r="AE12" s="20" t="str">
        <f aca="false">IF($C12="","",EDATE($C12,Milestones!$AA$39))</f>
        <v/>
      </c>
      <c r="AF12" s="20" t="str">
        <f aca="false">IF($C12="","",EDATE($C12,Milestones!$AA$40))</f>
        <v/>
      </c>
      <c r="AG12" s="20" t="str">
        <f aca="false">IF($C12="","",EDATE($C12,Milestones!$AA$41))</f>
        <v/>
      </c>
      <c r="AH12" s="20" t="str">
        <f aca="false">IF($C12="","",EDATE($C12,Milestones!$AA$42))</f>
        <v/>
      </c>
      <c r="AI12" s="20" t="str">
        <f aca="false">IF($C12="","",EDATE($C12,Milestones!$AA$43))</f>
        <v/>
      </c>
      <c r="AJ12" s="20" t="str">
        <f aca="false">IF($C12="","",EDATE($C12,Milestones!$AA$44))</f>
        <v/>
      </c>
      <c r="AK12" s="20" t="str">
        <f aca="false">IF($C12="","",EDATE($C12,Milestones!$AA$45))</f>
        <v/>
      </c>
      <c r="AL12" s="20" t="str">
        <f aca="false">IF($C12="","",EDATE($C12,Milestones!$AA$46))</f>
        <v/>
      </c>
      <c r="AM12" s="20" t="str">
        <f aca="false">IF($C12="","",EDATE($C12,Milestones!$AA$47))</f>
        <v/>
      </c>
      <c r="AN12" s="20" t="str">
        <f aca="false">IF($C12="","",EDATE($C12,Milestones!$AA$48))</f>
        <v/>
      </c>
      <c r="AO12" s="20" t="str">
        <f aca="false">IF($C12="","",EDATE($C12,Milestones!$AA$49))</f>
        <v/>
      </c>
      <c r="AP12" s="20" t="str">
        <f aca="false">IF($C12="","",EDATE($C12,Milestones!$AA$50))</f>
        <v/>
      </c>
      <c r="AQ12" s="20" t="str">
        <f aca="false">IF($C12="","",EDATE($C12,Milestones!$AA$51))</f>
        <v/>
      </c>
      <c r="AR12" s="20" t="str">
        <f aca="false">IF($C12="","",EDATE($C12,Milestones!$AA$52))</f>
        <v/>
      </c>
      <c r="AS12" s="20" t="str">
        <f aca="false">IF($C12="","",EDATE($C12,Milestones!$AA$53))</f>
        <v/>
      </c>
      <c r="AT12" s="20" t="str">
        <f aca="false">IF($C12="","",EDATE($C12,Milestones!$AA$54))</f>
        <v/>
      </c>
      <c r="AU12" s="20" t="str">
        <f aca="false">IF($C12="","",EDATE($C12,Milestones!$AA$55))</f>
        <v/>
      </c>
      <c r="AV12" s="20" t="str">
        <f aca="false">IF($C12="","",EDATE($C12,Milestones!$AA$56))</f>
        <v/>
      </c>
      <c r="AW12" s="20" t="str">
        <f aca="false">IF($C12="","",EDATE($C12,Milestones!$AA$57))</f>
        <v/>
      </c>
      <c r="AX12" s="20" t="str">
        <f aca="false">IF($C12="","",EDATE($C12,Milestones!$AA$58))</f>
        <v/>
      </c>
      <c r="AY12" s="20" t="str">
        <f aca="false">IF($C12="","",EDATE($C12,Milestones!$AA$59))</f>
        <v/>
      </c>
      <c r="AZ12" s="20" t="str">
        <f aca="false">IF($C12="","",EDATE($C12,Milestones!$AA$60))</f>
        <v/>
      </c>
      <c r="BA12" s="20" t="str">
        <f aca="false">IF($C12="","",EDATE($C12,Milestones!$AA$61))</f>
        <v/>
      </c>
      <c r="BB12" s="20" t="str">
        <f aca="false">IF($C12="","",EDATE($C12,Milestones!$AA$62))</f>
        <v/>
      </c>
      <c r="BC12" s="20" t="str">
        <f aca="false">IF($C12="","",EDATE($C12,Milestones!$AA$63))</f>
        <v/>
      </c>
      <c r="BD12" s="20" t="str">
        <f aca="false">IF($C12="","",EDATE($C12,Milestones!$AA$64))</f>
        <v/>
      </c>
      <c r="BE12" s="20" t="str">
        <f aca="false">IF($C12="","",EDATE($C12,Milestones!$AA$65))</f>
        <v/>
      </c>
      <c r="BF12" s="20" t="str">
        <f aca="false">IF($C12="","",EDATE($C12,Milestones!$AA$66))</f>
        <v/>
      </c>
      <c r="BG12" s="20" t="str">
        <f aca="false">IF($C12="","",EDATE($C12,Milestones!$AA$67))</f>
        <v/>
      </c>
      <c r="BH12" s="20" t="str">
        <f aca="false">IF($C12="","",EDATE($C12,Milestones!$AA$68))</f>
        <v/>
      </c>
      <c r="BI12" s="20" t="str">
        <f aca="false">IF($C12="","",EDATE($C12,Milestones!$AA$69))</f>
        <v/>
      </c>
      <c r="BJ12" s="20" t="str">
        <f aca="false">IF($C12="","",EDATE($C12,Milestones!$AA$70))</f>
        <v/>
      </c>
      <c r="BK12" s="20" t="str">
        <f aca="false">IF($C12="","",EDATE($C12,Milestones!$AA$71))</f>
        <v/>
      </c>
      <c r="BL12" s="20" t="str">
        <f aca="false">IF($C12="","",EDATE($C12,Milestones!$AA$72))</f>
        <v/>
      </c>
      <c r="BM12" s="20" t="str">
        <f aca="false">IF($C12="","",EDATE($C12,Milestones!$AA$73))</f>
        <v/>
      </c>
      <c r="BN12" s="20" t="str">
        <f aca="false">IF($C12="","",EDATE($C12,Milestones!$AA$74))</f>
        <v/>
      </c>
      <c r="BO12" s="20" t="str">
        <f aca="false">IF($C12="","",EDATE($C12,Milestones!$AA$75))</f>
        <v/>
      </c>
      <c r="BP12" s="20" t="str">
        <f aca="false">IF($C12="","",EDATE($C12,Milestones!$AA$76))</f>
        <v/>
      </c>
      <c r="BQ12" s="20" t="str">
        <f aca="false">IF($C12="","",EDATE($C12,Milestones!$AA$77))</f>
        <v/>
      </c>
      <c r="BR12" s="20" t="str">
        <f aca="false">IF($C12="","",EDATE($C12,Milestones!$AA$78))</f>
        <v/>
      </c>
      <c r="BS12" s="20" t="str">
        <f aca="false">IF($C12="","",EDATE($C12,Milestones!$AA$79))</f>
        <v/>
      </c>
      <c r="BT12" s="20" t="str">
        <f aca="false">IF($C12="","",EDATE($C12,Milestones!$AA$80))</f>
        <v/>
      </c>
      <c r="BU12" s="20" t="str">
        <f aca="false">IF($C12="","",EDATE($C12,Milestones!$AA$81))</f>
        <v/>
      </c>
      <c r="BV12" s="20" t="str">
        <f aca="false">IF($C12="","",EDATE($C12,Milestones!$AA$82))</f>
        <v/>
      </c>
      <c r="BW12" s="20" t="str">
        <f aca="false">IF($C12="","",EDATE($C12,Milestones!$AA$83))</f>
        <v/>
      </c>
      <c r="BX12" s="20" t="str">
        <f aca="false">IF($C12="","",EDATE($C12,Milestones!$AA$84))</f>
        <v/>
      </c>
      <c r="BY12" s="20" t="str">
        <f aca="false">IF($C12="","",EDATE($C12,Milestones!$AA$85))</f>
        <v/>
      </c>
      <c r="BZ12" s="20" t="str">
        <f aca="false">IF($C12="","",EDATE($C12,Milestones!$AA$86))</f>
        <v/>
      </c>
      <c r="CA12" s="20" t="str">
        <f aca="false">IF($C12="","",EDATE($C12,Milestones!$AA$87))</f>
        <v/>
      </c>
      <c r="CB12" s="20" t="str">
        <f aca="false">IF($C12="","",EDATE($C12,Milestones!$AA$88))</f>
        <v/>
      </c>
      <c r="CC12" s="20" t="str">
        <f aca="false">IF($C12="","",EDATE($C12,Milestones!$AA$89))</f>
        <v/>
      </c>
      <c r="CD12" s="20" t="str">
        <f aca="false">IF($C12="","",EDATE($C12,Milestones!$AA$90))</f>
        <v/>
      </c>
      <c r="CE12" s="20" t="str">
        <f aca="false">IF($C12="","",EDATE($C12,Milestones!$AA$91))</f>
        <v/>
      </c>
      <c r="CF12" s="20" t="str">
        <f aca="false">IF($C12="","",EDATE($C12,Milestones!$AA$92))</f>
        <v/>
      </c>
      <c r="CG12" s="20" t="str">
        <f aca="false">IF($C12="","",EDATE($C12,Milestones!$AA$93))</f>
        <v/>
      </c>
      <c r="CH12" s="20" t="str">
        <f aca="false">IF($C12="","",EDATE($C12,Milestones!$AA$94))</f>
        <v/>
      </c>
      <c r="CI12" s="20" t="str">
        <f aca="false">IF($C12="","",EDATE($C12,Milestones!$AA$95))</f>
        <v/>
      </c>
      <c r="CJ12" s="20" t="str">
        <f aca="false">IF($C12="","",EDATE($C12,Milestones!$AA$96))</f>
        <v/>
      </c>
      <c r="CK12" s="20" t="str">
        <f aca="false">IF($C12="","",EDATE($C12,Milestones!$AA$97))</f>
        <v/>
      </c>
      <c r="CL12" s="20" t="str">
        <f aca="false">IF($C12="","",EDATE($C12,Milestones!$AA$98))</f>
        <v/>
      </c>
      <c r="CM12" s="20" t="str">
        <f aca="false">IF($C12="","",EDATE($C12,Milestones!$AA$99))</f>
        <v/>
      </c>
      <c r="CN12" s="20" t="str">
        <f aca="false">IF($C12="","",EDATE($C12,Milestones!$AA$100))</f>
        <v/>
      </c>
      <c r="CO12" s="20" t="str">
        <f aca="false">IF($C12="","",EDATE($C12,Milestones!$AA$101))</f>
        <v/>
      </c>
      <c r="CP12" s="20" t="str">
        <f aca="false">IF($C12="","",EDATE($C12,Milestones!$AA$102))</f>
        <v/>
      </c>
      <c r="CQ12" s="20" t="str">
        <f aca="false">IF($C12="","",EDATE($C12,Milestones!$AA$103))</f>
        <v/>
      </c>
      <c r="CR12" s="20" t="str">
        <f aca="false">IF($C12="","",EDATE($C12,Milestones!$AA$104))</f>
        <v/>
      </c>
      <c r="CS12" s="20" t="str">
        <f aca="false">IF($C12="","",EDATE($C12,Milestones!$AA$105))</f>
        <v/>
      </c>
      <c r="CT12" s="20" t="str">
        <f aca="false">IF($C12="","",EDATE($C12,Milestones!$AA$106))</f>
        <v/>
      </c>
      <c r="CU12" s="20" t="str">
        <f aca="false">IF($C12="","",EDATE($C12,Milestones!$AA$107))</f>
        <v/>
      </c>
      <c r="CV12" s="20" t="str">
        <f aca="false">IF($C12="","",EDATE($C12,Milestones!$AA$108))</f>
        <v/>
      </c>
      <c r="CW12" s="20" t="str">
        <f aca="false">IF($C12="","",EDATE($C12,Milestones!$AA$109))</f>
        <v/>
      </c>
      <c r="CX12" s="20" t="str">
        <f aca="false">IF($C12="","",EDATE($C12,Milestones!$AA$110))</f>
        <v/>
      </c>
      <c r="CY12" s="20" t="str">
        <f aca="false">IF($C12="","",EDATE($C12,Milestones!$AA$111))</f>
        <v/>
      </c>
      <c r="CZ12" s="20" t="str">
        <f aca="false">IF($C12="","",EDATE($C12,Milestones!$AA$112))</f>
        <v/>
      </c>
      <c r="DA12" s="20" t="str">
        <f aca="false">IF($C12="","",EDATE($C12,Milestones!$AA$113))</f>
        <v/>
      </c>
      <c r="DB12" s="20" t="str">
        <f aca="false">IF($C12="","",EDATE($C12,Milestones!$AA$114))</f>
        <v/>
      </c>
      <c r="DC12" s="20" t="str">
        <f aca="false">IF($C12="","",EDATE($C12,Milestones!$AA$115))</f>
        <v/>
      </c>
      <c r="DD12" s="20" t="str">
        <f aca="false">IF($C12="","",EDATE($C12,Milestones!$AA$116))</f>
        <v/>
      </c>
      <c r="DE12" s="20" t="str">
        <f aca="false">IF($C12="","",EDATE($C12,Milestones!$AA$117))</f>
        <v/>
      </c>
      <c r="DF12" s="20" t="str">
        <f aca="false">IF($C12="","",EDATE($C12,Milestones!$AA$118))</f>
        <v/>
      </c>
      <c r="DG12" s="20" t="str">
        <f aca="false">IF($C12="","",EDATE($C12,Milestones!$AA$119))</f>
        <v/>
      </c>
      <c r="DH12" s="20" t="str">
        <f aca="false">IF($C12="","",EDATE($C12,Milestones!$AA$120))</f>
        <v/>
      </c>
      <c r="DI12" s="20" t="str">
        <f aca="false">IF($C12="","",EDATE($C12,Milestones!$AA$121))</f>
        <v/>
      </c>
      <c r="DJ12" s="20" t="str">
        <f aca="false">IF($C12="","",EDATE($C12,Milestones!$AA$122))</f>
        <v/>
      </c>
      <c r="DK12" s="20" t="str">
        <f aca="false">IF($C12="","",EDATE($C12,Milestones!$AA$123))</f>
        <v/>
      </c>
      <c r="DL12" s="20" t="str">
        <f aca="false">IF($C12="","",EDATE($C12,Milestones!$AA$124))</f>
        <v/>
      </c>
      <c r="DM12" s="20" t="str">
        <f aca="false">IF($C12="","",EDATE($C12,Milestones!$AA$125))</f>
        <v/>
      </c>
      <c r="DN12" s="20" t="str">
        <f aca="false">IF($C12="","",EDATE($C12,Milestones!$AA$126))</f>
        <v/>
      </c>
      <c r="DO12" s="20" t="str">
        <f aca="false">IF($C12="","",EDATE($C12,Milestones!$AA$127))</f>
        <v/>
      </c>
      <c r="DP12" s="20" t="str">
        <f aca="false">IF($C12="","",EDATE($C12,Milestones!$AA$128))</f>
        <v/>
      </c>
      <c r="DQ12" s="20" t="str">
        <f aca="false">IF($C12="","",EDATE($C12,Milestones!$AA$129))</f>
        <v/>
      </c>
      <c r="DR12" s="20" t="str">
        <f aca="false">IF($C12="","",EDATE($C12,Milestones!$AA$130))</f>
        <v/>
      </c>
      <c r="DS12" s="20" t="str">
        <f aca="false">IF($C12="","",EDATE($C12,Milestones!$AA$131))</f>
        <v/>
      </c>
      <c r="DT12" s="20" t="str">
        <f aca="false">IF($C12="","",EDATE($C12,Milestones!$AA$132))</f>
        <v/>
      </c>
      <c r="DU12" s="20" t="str">
        <f aca="false">IF($C12="","",EDATE($C12,Milestones!$AA$133))</f>
        <v/>
      </c>
      <c r="DV12" s="20" t="str">
        <f aca="false">IF($C12="","",EDATE($C12,Milestones!$AA$134))</f>
        <v/>
      </c>
      <c r="DW12" s="20" t="str">
        <f aca="false">IF($C12="","",EDATE($C12,Milestones!$AA$135))</f>
        <v/>
      </c>
      <c r="DX12" s="20" t="str">
        <f aca="false">IF($C12="","",EDATE($C12,Milestones!$AA$136))</f>
        <v/>
      </c>
      <c r="DY12" s="20" t="str">
        <f aca="false">IF($C12="","",EDATE($C12,Milestones!$AA$137))</f>
        <v/>
      </c>
      <c r="DZ12" s="20" t="str">
        <f aca="false">IF($C12="","",EDATE($C12,Milestones!$AA$138))</f>
        <v/>
      </c>
      <c r="EA12" s="20" t="str">
        <f aca="false">IF($C12="","",EDATE($C12,Milestones!$AA$139))</f>
        <v/>
      </c>
      <c r="EB12" s="20" t="str">
        <f aca="false">IF($C12="","",EDATE($C12,Milestones!$AA$140))</f>
        <v/>
      </c>
      <c r="EC12" s="20" t="str">
        <f aca="false">IF($C12="","",EDATE($C12,Milestones!$AA$141))</f>
        <v/>
      </c>
      <c r="ED12" s="20" t="str">
        <f aca="false">IF($C12="","",EDATE($C12,Milestones!$AA$142))</f>
        <v/>
      </c>
      <c r="EE12" s="20" t="str">
        <f aca="false">IF($C12="","",EDATE($C12,Milestones!$AA$143))</f>
        <v/>
      </c>
      <c r="EF12" s="20" t="str">
        <f aca="false">IF($C12="","",EDATE($C12,Milestones!$AA$144))</f>
        <v/>
      </c>
      <c r="EG12" s="20" t="str">
        <f aca="false">IF($C12="","",EDATE($C12,Milestones!$AA$145))</f>
        <v/>
      </c>
      <c r="EH12" s="20" t="str">
        <f aca="false">IF($C12="","",EDATE($C12,Milestones!$AA$146))</f>
        <v/>
      </c>
      <c r="EI12" s="20" t="str">
        <f aca="false">IF($C12="","",EDATE($C12,Milestones!$AA$147))</f>
        <v/>
      </c>
      <c r="EJ12" s="20" t="str">
        <f aca="false">IF($C12="","",EDATE($C12,Milestones!$AA$148))</f>
        <v/>
      </c>
      <c r="EK12" s="20" t="str">
        <f aca="false">IF($C12="","",EDATE($C12,Milestones!$AA$149))</f>
        <v/>
      </c>
      <c r="EL12" s="20" t="str">
        <f aca="false">IF($C12="","",EDATE($C12,Milestones!$AA$150))</f>
        <v/>
      </c>
      <c r="EM12" s="20" t="str">
        <f aca="false">IF($C12="","",EDATE($C12,Milestones!$AA$151))</f>
        <v/>
      </c>
      <c r="EN12" s="20" t="str">
        <f aca="false">IF($C12="","",EDATE($C12,Milestones!$AA$152))</f>
        <v/>
      </c>
      <c r="EO12" s="20" t="str">
        <f aca="false">IF($C12="","",EDATE($C12,Milestones!$AA$153))</f>
        <v/>
      </c>
      <c r="EP12" s="20" t="str">
        <f aca="false">IF($C12="","",EDATE($C12,Milestones!$AA$154))</f>
        <v/>
      </c>
      <c r="EQ12" s="20" t="str">
        <f aca="false">IF($C12="","",EDATE($C12,Milestones!$AA$155))</f>
        <v/>
      </c>
      <c r="ER12" s="20" t="str">
        <f aca="false">IF($C12="","",EDATE($C12,Milestones!$AA$156))</f>
        <v/>
      </c>
      <c r="ES12" s="20" t="str">
        <f aca="false">IF($C12="","",EDATE($C12,Milestones!$AA$157))</f>
        <v/>
      </c>
      <c r="ET12" s="20" t="str">
        <f aca="false">IF($C12="","",EDATE($C12,Milestones!$AA$158))</f>
        <v/>
      </c>
      <c r="EU12" s="20" t="str">
        <f aca="false">IF($C12="","",EDATE($C12,Milestones!$AA$159))</f>
        <v/>
      </c>
      <c r="EV12" s="20" t="str">
        <f aca="false">IF($C12="","",EDATE($C12,Milestones!$AA$160))</f>
        <v/>
      </c>
      <c r="EW12" s="20" t="str">
        <f aca="false">IF($C12="","",EDATE($C12,Milestones!$AA$161))</f>
        <v/>
      </c>
      <c r="EX12" s="20" t="str">
        <f aca="false">IF($C12="","",EDATE($C12,Milestones!$AA$162))</f>
        <v/>
      </c>
      <c r="EY12" s="20" t="str">
        <f aca="false">IF($C12="","",EDATE($C12,Milestones!$AA$163))</f>
        <v/>
      </c>
      <c r="EZ12" s="20" t="str">
        <f aca="false">IF($C12="","",EDATE($C12,Milestones!$AA$164))</f>
        <v/>
      </c>
      <c r="FA12" s="20" t="str">
        <f aca="false">IF($C12="","",EDATE($C12,Milestones!$AA$165))</f>
        <v/>
      </c>
      <c r="FB12" s="20" t="str">
        <f aca="false">IF($C12="","",EDATE($C12,Milestones!$AA$166))</f>
        <v/>
      </c>
      <c r="FC12" s="20" t="str">
        <f aca="false">IF($C12="","",EDATE($C12,Milestones!$AA$167))</f>
        <v/>
      </c>
      <c r="FD12" s="20" t="str">
        <f aca="false">IF($C12="","",EDATE($C12,Milestones!$AA$168))</f>
        <v/>
      </c>
      <c r="FE12" s="20" t="str">
        <f aca="false">IF($C12="","",EDATE($C12,Milestones!$AA$169))</f>
        <v/>
      </c>
      <c r="FF12" s="20" t="str">
        <f aca="false">IF($C12="","",EDATE($C12,Milestones!$AA$170))</f>
        <v/>
      </c>
      <c r="FG12" s="20" t="str">
        <f aca="false">IF($C12="","",EDATE($C12,Milestones!$AA$171))</f>
        <v/>
      </c>
      <c r="FH12" s="20" t="str">
        <f aca="false">IF($C12="","",EDATE($C12,Milestones!$AA$172))</f>
        <v/>
      </c>
      <c r="FI12" s="20" t="str">
        <f aca="false">IF($C12="","",EDATE($C12,Milestones!$AA$173))</f>
        <v/>
      </c>
      <c r="FJ12" s="20" t="str">
        <f aca="false">IF($C12="","",EDATE($C12,Milestones!$AA$174))</f>
        <v/>
      </c>
      <c r="FK12" s="20" t="str">
        <f aca="false">IF($C12="","",EDATE($C12,Milestones!$AA$175))</f>
        <v/>
      </c>
      <c r="FL12" s="20" t="str">
        <f aca="false">IF($C12="","",EDATE($C12,Milestones!$AA$176))</f>
        <v/>
      </c>
      <c r="FM12" s="20" t="str">
        <f aca="false">IF($C12="","",EDATE($C12,Milestones!$AA$177))</f>
        <v/>
      </c>
      <c r="FN12" s="20" t="str">
        <f aca="false">IF($C12="","",EDATE($C12,Milestones!$AA$178))</f>
        <v/>
      </c>
      <c r="FO12" s="20" t="str">
        <f aca="false">IF($C12="","",EDATE($C12,Milestones!$AA$179))</f>
        <v/>
      </c>
      <c r="FP12" s="20" t="str">
        <f aca="false">IF($C12="","",EDATE($C12,Milestones!$AA$180))</f>
        <v/>
      </c>
      <c r="FQ12" s="20" t="str">
        <f aca="false">IF($C12="","",EDATE($C12,Milestones!$AA$181))</f>
        <v/>
      </c>
      <c r="FR12" s="20" t="str">
        <f aca="false">IF($C12="","",EDATE($C12,Milestones!$AA$182))</f>
        <v/>
      </c>
      <c r="FS12" s="20" t="str">
        <f aca="false">IF($C12="","",EDATE($C12,Milestones!$AA$183))</f>
        <v/>
      </c>
      <c r="FT12" s="20" t="str">
        <f aca="false">IF($C12="","",EDATE($C12,Milestones!$AA$184))</f>
        <v/>
      </c>
      <c r="FU12" s="20" t="str">
        <f aca="false">IF($C12="","",EDATE($C12,Milestones!$AA$185))</f>
        <v/>
      </c>
      <c r="FV12" s="20" t="str">
        <f aca="false">IF($C12="","",EDATE($C12,Milestones!$AA$186))</f>
        <v/>
      </c>
      <c r="FW12" s="20" t="str">
        <f aca="false">IF($C12="","",EDATE($C12,Milestones!$AA$187))</f>
        <v/>
      </c>
      <c r="FX12" s="20" t="str">
        <f aca="false">IF($C12="","",EDATE($C12,Milestones!$AA$188))</f>
        <v/>
      </c>
      <c r="FY12" s="20" t="str">
        <f aca="false">IF($C12="","",EDATE($C12,Milestones!$AA$189))</f>
        <v/>
      </c>
      <c r="FZ12" s="20" t="str">
        <f aca="false">IF($C12="","",EDATE($C12,Milestones!$AA$190))</f>
        <v/>
      </c>
      <c r="GA12" s="20" t="str">
        <f aca="false">IF($C12="","",EDATE($C12,Milestones!$AA$191))</f>
        <v/>
      </c>
      <c r="GB12" s="20" t="str">
        <f aca="false">IF($C12="","",EDATE($C12,Milestones!$AA$192))</f>
        <v/>
      </c>
      <c r="GC12" s="20" t="str">
        <f aca="false">IF($C12="","",EDATE($C12,Milestones!$AA$193))</f>
        <v/>
      </c>
      <c r="GD12" s="20" t="str">
        <f aca="false">IF($C12="","",EDATE($C12,Milestones!$AA$194))</f>
        <v/>
      </c>
      <c r="GE12" s="20" t="str">
        <f aca="false">IF($C12="","",EDATE($C12,Milestones!$AA$195))</f>
        <v/>
      </c>
      <c r="GF12" s="20" t="str">
        <f aca="false">IF($C12="","",EDATE($C12,Milestones!$AA$196))</f>
        <v/>
      </c>
      <c r="GG12" s="20" t="str">
        <f aca="false">IF($C12="","",EDATE($C12,Milestones!$AA$197))</f>
        <v/>
      </c>
      <c r="GH12" s="20" t="str">
        <f aca="false">IF($C12="","",EDATE($C12,Milestones!$AA$198))</f>
        <v/>
      </c>
      <c r="GI12" s="20" t="str">
        <f aca="false">IF($C12="","",EDATE($C12,Milestones!$AA$199))</f>
        <v/>
      </c>
    </row>
    <row r="13" customFormat="false" ht="15" hidden="false" customHeight="false" outlineLevel="0" collapsed="false">
      <c r="K13" s="0" t="s">
        <v>263</v>
      </c>
      <c r="L13" s="0" t="str">
        <f aca="false">IF(L12="","",IF($D12=0,$J12,IF(AND($F12&lt;&gt;"",L12&gt;=$F12),$I12,IF(AND($E12&lt;&gt;"",L12&gt;=$E12),$H12,$G12))))</f>
        <v/>
      </c>
      <c r="M13" s="0" t="str">
        <f aca="false">IF(M12="","",IF($D12=0,$J12,IF(AND($F12&lt;&gt;"",M12&gt;=$F12),$I12,IF(AND($E12&lt;&gt;"",M12&gt;=$E12),$H12,$G12))))</f>
        <v/>
      </c>
      <c r="N13" s="0" t="str">
        <f aca="false">IF(N12="","",IF($D12=0,$J12,IF(AND($F12&lt;&gt;"",N12&gt;=$F12),$I12,IF(AND($E12&lt;&gt;"",N12&gt;=$E12),$H12,$G12))))</f>
        <v/>
      </c>
      <c r="O13" s="0" t="str">
        <f aca="false">IF(O12="","",IF($D12=0,$J12,IF(AND($F12&lt;&gt;"",O12&gt;=$F12),$I12,IF(AND($E12&lt;&gt;"",O12&gt;=$E12),$H12,$G12))))</f>
        <v/>
      </c>
      <c r="P13" s="0" t="str">
        <f aca="false">IF(P12="","",IF($D12=0,$J12,IF(AND($F12&lt;&gt;"",P12&gt;=$F12),$I12,IF(AND($E12&lt;&gt;"",P12&gt;=$E12),$H12,$G12))))</f>
        <v/>
      </c>
      <c r="Q13" s="0" t="str">
        <f aca="false">IF(Q12="","",IF($D12=0,$J12,IF(AND($F12&lt;&gt;"",Q12&gt;=$F12),$I12,IF(AND($E12&lt;&gt;"",Q12&gt;=$E12),$H12,$G12))))</f>
        <v/>
      </c>
      <c r="R13" s="0" t="str">
        <f aca="false">IF(R12="","",IF($D12=0,$J12,IF(AND($F12&lt;&gt;"",R12&gt;=$F12),$I12,IF(AND($E12&lt;&gt;"",R12&gt;=$E12),$H12,$G12))))</f>
        <v/>
      </c>
      <c r="S13" s="0" t="str">
        <f aca="false">IF(S12="","",IF($D12=0,$J12,IF(AND($F12&lt;&gt;"",S12&gt;=$F12),$I12,IF(AND($E12&lt;&gt;"",S12&gt;=$E12),$H12,$G12))))</f>
        <v/>
      </c>
      <c r="T13" s="0" t="str">
        <f aca="false">IF(T12="","",IF($D12=0,$J12,IF(AND($F12&lt;&gt;"",T12&gt;=$F12),$I12,IF(AND($E12&lt;&gt;"",T12&gt;=$E12),$H12,$G12))))</f>
        <v/>
      </c>
      <c r="U13" s="0" t="str">
        <f aca="false">IF(U12="","",IF($D12=0,$J12,IF(AND($F12&lt;&gt;"",U12&gt;=$F12),$I12,IF(AND($E12&lt;&gt;"",U12&gt;=$E12),$H12,$G12))))</f>
        <v/>
      </c>
      <c r="V13" s="0" t="str">
        <f aca="false">IF(V12="","",IF($D12=0,$J12,IF(AND($F12&lt;&gt;"",V12&gt;=$F12),$I12,IF(AND($E12&lt;&gt;"",V12&gt;=$E12),$H12,$G12))))</f>
        <v/>
      </c>
      <c r="W13" s="0" t="str">
        <f aca="false">IF(W12="","",IF($D12=0,$J12,IF(AND($F12&lt;&gt;"",W12&gt;=$F12),$I12,IF(AND($E12&lt;&gt;"",W12&gt;=$E12),$H12,$G12))))</f>
        <v/>
      </c>
      <c r="X13" s="0" t="str">
        <f aca="false">IF(X12="","",IF($D12=0,$J12,IF(AND($F12&lt;&gt;"",X12&gt;=$F12),$I12,IF(AND($E12&lt;&gt;"",X12&gt;=$E12),$H12,$G12))))</f>
        <v/>
      </c>
      <c r="Y13" s="0" t="str">
        <f aca="false">IF(Y12="","",IF($D12=0,$J12,IF(AND($F12&lt;&gt;"",Y12&gt;=$F12),$I12,IF(AND($E12&lt;&gt;"",Y12&gt;=$E12),$H12,$G12))))</f>
        <v/>
      </c>
      <c r="Z13" s="0" t="str">
        <f aca="false">IF(Z12="","",IF($D12=0,$J12,IF(AND($F12&lt;&gt;"",Z12&gt;=$F12),$I12,IF(AND($E12&lt;&gt;"",Z12&gt;=$E12),$H12,$G12))))</f>
        <v/>
      </c>
      <c r="AA13" s="0" t="str">
        <f aca="false">IF(AA12="","",IF($D12=0,$J12,IF(AND($F12&lt;&gt;"",AA12&gt;=$F12),$I12,IF(AND($E12&lt;&gt;"",AA12&gt;=$E12),$H12,$G12))))</f>
        <v/>
      </c>
      <c r="AB13" s="0" t="str">
        <f aca="false">IF(AB12="","",IF($D12=0,$J12,IF(AND($F12&lt;&gt;"",AB12&gt;=$F12),$I12,IF(AND($E12&lt;&gt;"",AB12&gt;=$E12),$H12,$G12))))</f>
        <v/>
      </c>
      <c r="AC13" s="0" t="str">
        <f aca="false">IF(AC12="","",IF($D12=0,$J12,IF(AND($F12&lt;&gt;"",AC12&gt;=$F12),$I12,IF(AND($E12&lt;&gt;"",AC12&gt;=$E12),$H12,$G12))))</f>
        <v/>
      </c>
      <c r="AD13" s="0" t="str">
        <f aca="false">IF(AD12="","",IF($D12=0,$J12,IF(AND($F12&lt;&gt;"",AD12&gt;=$F12),$I12,IF(AND($E12&lt;&gt;"",AD12&gt;=$E12),$H12,$G12))))</f>
        <v/>
      </c>
      <c r="AE13" s="0" t="str">
        <f aca="false">IF(AE12="","",IF($D12=0,$J12,IF(AND($F12&lt;&gt;"",AE12&gt;=$F12),$I12,IF(AND($E12&lt;&gt;"",AE12&gt;=$E12),$H12,$G12))))</f>
        <v/>
      </c>
      <c r="AF13" s="0" t="str">
        <f aca="false">IF(AF12="","",IF($D12=0,$J12,IF(AND($F12&lt;&gt;"",AF12&gt;=$F12),$I12,IF(AND($E12&lt;&gt;"",AF12&gt;=$E12),$H12,$G12))))</f>
        <v/>
      </c>
      <c r="AG13" s="0" t="str">
        <f aca="false">IF(AG12="","",IF($D12=0,$J12,IF(AND($F12&lt;&gt;"",AG12&gt;=$F12),$I12,IF(AND($E12&lt;&gt;"",AG12&gt;=$E12),$H12,$G12))))</f>
        <v/>
      </c>
      <c r="AH13" s="0" t="str">
        <f aca="false">IF(AH12="","",IF($D12=0,$J12,IF(AND($F12&lt;&gt;"",AH12&gt;=$F12),$I12,IF(AND($E12&lt;&gt;"",AH12&gt;=$E12),$H12,$G12))))</f>
        <v/>
      </c>
      <c r="AI13" s="0" t="str">
        <f aca="false">IF(AI12="","",IF($D12=0,$J12,IF(AND($F12&lt;&gt;"",AI12&gt;=$F12),$I12,IF(AND($E12&lt;&gt;"",AI12&gt;=$E12),$H12,$G12))))</f>
        <v/>
      </c>
      <c r="AJ13" s="0" t="str">
        <f aca="false">IF(AJ12="","",IF($D12=0,$J12,IF(AND($F12&lt;&gt;"",AJ12&gt;=$F12),$I12,IF(AND($E12&lt;&gt;"",AJ12&gt;=$E12),$H12,$G12))))</f>
        <v/>
      </c>
      <c r="AK13" s="0" t="str">
        <f aca="false">IF(AK12="","",IF($D12=0,$J12,IF(AND($F12&lt;&gt;"",AK12&gt;=$F12),$I12,IF(AND($E12&lt;&gt;"",AK12&gt;=$E12),$H12,$G12))))</f>
        <v/>
      </c>
      <c r="AL13" s="0" t="str">
        <f aca="false">IF(AL12="","",IF($D12=0,$J12,IF(AND($F12&lt;&gt;"",AL12&gt;=$F12),$I12,IF(AND($E12&lt;&gt;"",AL12&gt;=$E12),$H12,$G12))))</f>
        <v/>
      </c>
      <c r="AM13" s="0" t="str">
        <f aca="false">IF(AM12="","",IF($D12=0,$J12,IF(AND($F12&lt;&gt;"",AM12&gt;=$F12),$I12,IF(AND($E12&lt;&gt;"",AM12&gt;=$E12),$H12,$G12))))</f>
        <v/>
      </c>
      <c r="AN13" s="0" t="str">
        <f aca="false">IF(AN12="","",IF($D12=0,$J12,IF(AND($F12&lt;&gt;"",AN12&gt;=$F12),$I12,IF(AND($E12&lt;&gt;"",AN12&gt;=$E12),$H12,$G12))))</f>
        <v/>
      </c>
      <c r="AO13" s="0" t="str">
        <f aca="false">IF(AO12="","",IF($D12=0,$J12,IF(AND($F12&lt;&gt;"",AO12&gt;=$F12),$I12,IF(AND($E12&lt;&gt;"",AO12&gt;=$E12),$H12,$G12))))</f>
        <v/>
      </c>
      <c r="AP13" s="0" t="str">
        <f aca="false">IF(AP12="","",IF($D12=0,$J12,IF(AND($F12&lt;&gt;"",AP12&gt;=$F12),$I12,IF(AND($E12&lt;&gt;"",AP12&gt;=$E12),$H12,$G12))))</f>
        <v/>
      </c>
      <c r="AQ13" s="0" t="str">
        <f aca="false">IF(AQ12="","",IF($D12=0,$J12,IF(AND($F12&lt;&gt;"",AQ12&gt;=$F12),$I12,IF(AND($E12&lt;&gt;"",AQ12&gt;=$E12),$H12,$G12))))</f>
        <v/>
      </c>
      <c r="AR13" s="0" t="str">
        <f aca="false">IF(AR12="","",IF($D12=0,$J12,IF(AND($F12&lt;&gt;"",AR12&gt;=$F12),$I12,IF(AND($E12&lt;&gt;"",AR12&gt;=$E12),$H12,$G12))))</f>
        <v/>
      </c>
      <c r="AS13" s="0" t="str">
        <f aca="false">IF(AS12="","",IF($D12=0,$J12,IF(AND($F12&lt;&gt;"",AS12&gt;=$F12),$I12,IF(AND($E12&lt;&gt;"",AS12&gt;=$E12),$H12,$G12))))</f>
        <v/>
      </c>
      <c r="AT13" s="0" t="str">
        <f aca="false">IF(AT12="","",IF($D12=0,$J12,IF(AND($F12&lt;&gt;"",AT12&gt;=$F12),$I12,IF(AND($E12&lt;&gt;"",AT12&gt;=$E12),$H12,$G12))))</f>
        <v/>
      </c>
      <c r="AU13" s="0" t="str">
        <f aca="false">IF(AU12="","",IF($D12=0,$J12,IF(AND($F12&lt;&gt;"",AU12&gt;=$F12),$I12,IF(AND($E12&lt;&gt;"",AU12&gt;=$E12),$H12,$G12))))</f>
        <v/>
      </c>
      <c r="AV13" s="0" t="str">
        <f aca="false">IF(AV12="","",IF($D12=0,$J12,IF(AND($F12&lt;&gt;"",AV12&gt;=$F12),$I12,IF(AND($E12&lt;&gt;"",AV12&gt;=$E12),$H12,$G12))))</f>
        <v/>
      </c>
      <c r="AW13" s="0" t="str">
        <f aca="false">IF(AW12="","",IF($D12=0,$J12,IF(AND($F12&lt;&gt;"",AW12&gt;=$F12),$I12,IF(AND($E12&lt;&gt;"",AW12&gt;=$E12),$H12,$G12))))</f>
        <v/>
      </c>
      <c r="AX13" s="0" t="str">
        <f aca="false">IF(AX12="","",IF($D12=0,$J12,IF(AND($F12&lt;&gt;"",AX12&gt;=$F12),$I12,IF(AND($E12&lt;&gt;"",AX12&gt;=$E12),$H12,$G12))))</f>
        <v/>
      </c>
      <c r="AY13" s="0" t="str">
        <f aca="false">IF(AY12="","",IF($D12=0,$J12,IF(AND($F12&lt;&gt;"",AY12&gt;=$F12),$I12,IF(AND($E12&lt;&gt;"",AY12&gt;=$E12),$H12,$G12))))</f>
        <v/>
      </c>
      <c r="AZ13" s="0" t="str">
        <f aca="false">IF(AZ12="","",IF($D12=0,$J12,IF(AND($F12&lt;&gt;"",AZ12&gt;=$F12),$I12,IF(AND($E12&lt;&gt;"",AZ12&gt;=$E12),$H12,$G12))))</f>
        <v/>
      </c>
      <c r="BA13" s="0" t="str">
        <f aca="false">IF(BA12="","",IF($D12=0,$J12,IF(AND($F12&lt;&gt;"",BA12&gt;=$F12),$I12,IF(AND($E12&lt;&gt;"",BA12&gt;=$E12),$H12,$G12))))</f>
        <v/>
      </c>
      <c r="BB13" s="0" t="str">
        <f aca="false">IF(BB12="","",IF($D12=0,$J12,IF(AND($F12&lt;&gt;"",BB12&gt;=$F12),$I12,IF(AND($E12&lt;&gt;"",BB12&gt;=$E12),$H12,$G12))))</f>
        <v/>
      </c>
      <c r="BC13" s="0" t="str">
        <f aca="false">IF(BC12="","",IF($D12=0,$J12,IF(AND($F12&lt;&gt;"",BC12&gt;=$F12),$I12,IF(AND($E12&lt;&gt;"",BC12&gt;=$E12),$H12,$G12))))</f>
        <v/>
      </c>
      <c r="BD13" s="0" t="str">
        <f aca="false">IF(BD12="","",IF($D12=0,$J12,IF(AND($F12&lt;&gt;"",BD12&gt;=$F12),$I12,IF(AND($E12&lt;&gt;"",BD12&gt;=$E12),$H12,$G12))))</f>
        <v/>
      </c>
      <c r="BE13" s="0" t="str">
        <f aca="false">IF(BE12="","",IF($D12=0,$J12,IF(AND($F12&lt;&gt;"",BE12&gt;=$F12),$I12,IF(AND($E12&lt;&gt;"",BE12&gt;=$E12),$H12,$G12))))</f>
        <v/>
      </c>
      <c r="BF13" s="0" t="str">
        <f aca="false">IF(BF12="","",IF($D12=0,$J12,IF(AND($F12&lt;&gt;"",BF12&gt;=$F12),$I12,IF(AND($E12&lt;&gt;"",BF12&gt;=$E12),$H12,$G12))))</f>
        <v/>
      </c>
      <c r="BG13" s="0" t="str">
        <f aca="false">IF(BG12="","",IF($D12=0,$J12,IF(AND($F12&lt;&gt;"",BG12&gt;=$F12),$I12,IF(AND($E12&lt;&gt;"",BG12&gt;=$E12),$H12,$G12))))</f>
        <v/>
      </c>
      <c r="BH13" s="0" t="str">
        <f aca="false">IF(BH12="","",IF($D12=0,$J12,IF(AND($F12&lt;&gt;"",BH12&gt;=$F12),$I12,IF(AND($E12&lt;&gt;"",BH12&gt;=$E12),$H12,$G12))))</f>
        <v/>
      </c>
      <c r="BI13" s="0" t="str">
        <f aca="false">IF(BI12="","",IF($D12=0,$J12,IF(AND($F12&lt;&gt;"",BI12&gt;=$F12),$I12,IF(AND($E12&lt;&gt;"",BI12&gt;=$E12),$H12,$G12))))</f>
        <v/>
      </c>
      <c r="BJ13" s="0" t="str">
        <f aca="false">IF(BJ12="","",IF($D12=0,$J12,IF(AND($F12&lt;&gt;"",BJ12&gt;=$F12),$I12,IF(AND($E12&lt;&gt;"",BJ12&gt;=$E12),$H12,$G12))))</f>
        <v/>
      </c>
      <c r="BK13" s="0" t="str">
        <f aca="false">IF(BK12="","",IF($D12=0,$J12,IF(AND($F12&lt;&gt;"",BK12&gt;=$F12),$I12,IF(AND($E12&lt;&gt;"",BK12&gt;=$E12),$H12,$G12))))</f>
        <v/>
      </c>
      <c r="BL13" s="0" t="str">
        <f aca="false">IF(BL12="","",IF($D12=0,$J12,IF(AND($F12&lt;&gt;"",BL12&gt;=$F12),$I12,IF(AND($E12&lt;&gt;"",BL12&gt;=$E12),$H12,$G12))))</f>
        <v/>
      </c>
      <c r="BM13" s="0" t="str">
        <f aca="false">IF(BM12="","",IF($D12=0,$J12,IF(AND($F12&lt;&gt;"",BM12&gt;=$F12),$I12,IF(AND($E12&lt;&gt;"",BM12&gt;=$E12),$H12,$G12))))</f>
        <v/>
      </c>
      <c r="BN13" s="0" t="str">
        <f aca="false">IF(BN12="","",IF($D12=0,$J12,IF(AND($F12&lt;&gt;"",BN12&gt;=$F12),$I12,IF(AND($E12&lt;&gt;"",BN12&gt;=$E12),$H12,$G12))))</f>
        <v/>
      </c>
      <c r="BO13" s="0" t="str">
        <f aca="false">IF(BO12="","",IF($D12=0,$J12,IF(AND($F12&lt;&gt;"",BO12&gt;=$F12),$I12,IF(AND($E12&lt;&gt;"",BO12&gt;=$E12),$H12,$G12))))</f>
        <v/>
      </c>
      <c r="BP13" s="0" t="str">
        <f aca="false">IF(BP12="","",IF($D12=0,$J12,IF(AND($F12&lt;&gt;"",BP12&gt;=$F12),$I12,IF(AND($E12&lt;&gt;"",BP12&gt;=$E12),$H12,$G12))))</f>
        <v/>
      </c>
      <c r="BQ13" s="0" t="str">
        <f aca="false">IF(BQ12="","",IF($D12=0,$J12,IF(AND($F12&lt;&gt;"",BQ12&gt;=$F12),$I12,IF(AND($E12&lt;&gt;"",BQ12&gt;=$E12),$H12,$G12))))</f>
        <v/>
      </c>
      <c r="BR13" s="0" t="str">
        <f aca="false">IF(BR12="","",IF($D12=0,$J12,IF(AND($F12&lt;&gt;"",BR12&gt;=$F12),$I12,IF(AND($E12&lt;&gt;"",BR12&gt;=$E12),$H12,$G12))))</f>
        <v/>
      </c>
      <c r="BS13" s="0" t="str">
        <f aca="false">IF(BS12="","",IF($D12=0,$J12,IF(AND($F12&lt;&gt;"",BS12&gt;=$F12),$I12,IF(AND($E12&lt;&gt;"",BS12&gt;=$E12),$H12,$G12))))</f>
        <v/>
      </c>
      <c r="BT13" s="0" t="str">
        <f aca="false">IF(BT12="","",IF($D12=0,$J12,IF(AND($F12&lt;&gt;"",BT12&gt;=$F12),$I12,IF(AND($E12&lt;&gt;"",BT12&gt;=$E12),$H12,$G12))))</f>
        <v/>
      </c>
      <c r="BU13" s="0" t="str">
        <f aca="false">IF(BU12="","",IF($D12=0,$J12,IF(AND($F12&lt;&gt;"",BU12&gt;=$F12),$I12,IF(AND($E12&lt;&gt;"",BU12&gt;=$E12),$H12,$G12))))</f>
        <v/>
      </c>
      <c r="BV13" s="0" t="str">
        <f aca="false">IF(BV12="","",IF($D12=0,$J12,IF(AND($F12&lt;&gt;"",BV12&gt;=$F12),$I12,IF(AND($E12&lt;&gt;"",BV12&gt;=$E12),$H12,$G12))))</f>
        <v/>
      </c>
      <c r="BW13" s="0" t="str">
        <f aca="false">IF(BW12="","",IF($D12=0,$J12,IF(AND($F12&lt;&gt;"",BW12&gt;=$F12),$I12,IF(AND($E12&lt;&gt;"",BW12&gt;=$E12),$H12,$G12))))</f>
        <v/>
      </c>
      <c r="BX13" s="0" t="str">
        <f aca="false">IF(BX12="","",IF($D12=0,$J12,IF(AND($F12&lt;&gt;"",BX12&gt;=$F12),$I12,IF(AND($E12&lt;&gt;"",BX12&gt;=$E12),$H12,$G12))))</f>
        <v/>
      </c>
      <c r="BY13" s="0" t="str">
        <f aca="false">IF(BY12="","",IF($D12=0,$J12,IF(AND($F12&lt;&gt;"",BY12&gt;=$F12),$I12,IF(AND($E12&lt;&gt;"",BY12&gt;=$E12),$H12,$G12))))</f>
        <v/>
      </c>
      <c r="BZ13" s="0" t="str">
        <f aca="false">IF(BZ12="","",IF($D12=0,$J12,IF(AND($F12&lt;&gt;"",BZ12&gt;=$F12),$I12,IF(AND($E12&lt;&gt;"",BZ12&gt;=$E12),$H12,$G12))))</f>
        <v/>
      </c>
      <c r="CA13" s="0" t="str">
        <f aca="false">IF(CA12="","",IF($D12=0,$J12,IF(AND($F12&lt;&gt;"",CA12&gt;=$F12),$I12,IF(AND($E12&lt;&gt;"",CA12&gt;=$E12),$H12,$G12))))</f>
        <v/>
      </c>
      <c r="CB13" s="0" t="str">
        <f aca="false">IF(CB12="","",IF($D12=0,$J12,IF(AND($F12&lt;&gt;"",CB12&gt;=$F12),$I12,IF(AND($E12&lt;&gt;"",CB12&gt;=$E12),$H12,$G12))))</f>
        <v/>
      </c>
      <c r="CC13" s="0" t="str">
        <f aca="false">IF(CC12="","",IF($D12=0,$J12,IF(AND($F12&lt;&gt;"",CC12&gt;=$F12),$I12,IF(AND($E12&lt;&gt;"",CC12&gt;=$E12),$H12,$G12))))</f>
        <v/>
      </c>
      <c r="CD13" s="0" t="str">
        <f aca="false">IF(CD12="","",IF($D12=0,$J12,IF(AND($F12&lt;&gt;"",CD12&gt;=$F12),$I12,IF(AND($E12&lt;&gt;"",CD12&gt;=$E12),$H12,$G12))))</f>
        <v/>
      </c>
      <c r="CE13" s="0" t="str">
        <f aca="false">IF(CE12="","",IF($D12=0,$J12,IF(AND($F12&lt;&gt;"",CE12&gt;=$F12),$I12,IF(AND($E12&lt;&gt;"",CE12&gt;=$E12),$H12,$G12))))</f>
        <v/>
      </c>
      <c r="CF13" s="0" t="str">
        <f aca="false">IF(CF12="","",IF($D12=0,$J12,IF(AND($F12&lt;&gt;"",CF12&gt;=$F12),$I12,IF(AND($E12&lt;&gt;"",CF12&gt;=$E12),$H12,$G12))))</f>
        <v/>
      </c>
      <c r="CG13" s="0" t="str">
        <f aca="false">IF(CG12="","",IF($D12=0,$J12,IF(AND($F12&lt;&gt;"",CG12&gt;=$F12),$I12,IF(AND($E12&lt;&gt;"",CG12&gt;=$E12),$H12,$G12))))</f>
        <v/>
      </c>
      <c r="CH13" s="0" t="str">
        <f aca="false">IF(CH12="","",IF($D12=0,$J12,IF(AND($F12&lt;&gt;"",CH12&gt;=$F12),$I12,IF(AND($E12&lt;&gt;"",CH12&gt;=$E12),$H12,$G12))))</f>
        <v/>
      </c>
      <c r="CI13" s="0" t="str">
        <f aca="false">IF(CI12="","",IF($D12=0,$J12,IF(AND($F12&lt;&gt;"",CI12&gt;=$F12),$I12,IF(AND($E12&lt;&gt;"",CI12&gt;=$E12),$H12,$G12))))</f>
        <v/>
      </c>
      <c r="CJ13" s="0" t="str">
        <f aca="false">IF(CJ12="","",IF($D12=0,$J12,IF(AND($F12&lt;&gt;"",CJ12&gt;=$F12),$I12,IF(AND($E12&lt;&gt;"",CJ12&gt;=$E12),$H12,$G12))))</f>
        <v/>
      </c>
      <c r="CK13" s="0" t="str">
        <f aca="false">IF(CK12="","",IF($D12=0,$J12,IF(AND($F12&lt;&gt;"",CK12&gt;=$F12),$I12,IF(AND($E12&lt;&gt;"",CK12&gt;=$E12),$H12,$G12))))</f>
        <v/>
      </c>
      <c r="CL13" s="0" t="str">
        <f aca="false">IF(CL12="","",IF($D12=0,$J12,IF(AND($F12&lt;&gt;"",CL12&gt;=$F12),$I12,IF(AND($E12&lt;&gt;"",CL12&gt;=$E12),$H12,$G12))))</f>
        <v/>
      </c>
      <c r="CM13" s="0" t="str">
        <f aca="false">IF(CM12="","",IF($D12=0,$J12,IF(AND($F12&lt;&gt;"",CM12&gt;=$F12),$I12,IF(AND($E12&lt;&gt;"",CM12&gt;=$E12),$H12,$G12))))</f>
        <v/>
      </c>
      <c r="CN13" s="0" t="str">
        <f aca="false">IF(CN12="","",IF($D12=0,$J12,IF(AND($F12&lt;&gt;"",CN12&gt;=$F12),$I12,IF(AND($E12&lt;&gt;"",CN12&gt;=$E12),$H12,$G12))))</f>
        <v/>
      </c>
      <c r="CO13" s="0" t="str">
        <f aca="false">IF(CO12="","",IF($D12=0,$J12,IF(AND($F12&lt;&gt;"",CO12&gt;=$F12),$I12,IF(AND($E12&lt;&gt;"",CO12&gt;=$E12),$H12,$G12))))</f>
        <v/>
      </c>
      <c r="CP13" s="0" t="str">
        <f aca="false">IF(CP12="","",IF($D12=0,$J12,IF(AND($F12&lt;&gt;"",CP12&gt;=$F12),$I12,IF(AND($E12&lt;&gt;"",CP12&gt;=$E12),$H12,$G12))))</f>
        <v/>
      </c>
      <c r="CQ13" s="0" t="str">
        <f aca="false">IF(CQ12="","",IF($D12=0,$J12,IF(AND($F12&lt;&gt;"",CQ12&gt;=$F12),$I12,IF(AND($E12&lt;&gt;"",CQ12&gt;=$E12),$H12,$G12))))</f>
        <v/>
      </c>
      <c r="CR13" s="0" t="str">
        <f aca="false">IF(CR12="","",IF($D12=0,$J12,IF(AND($F12&lt;&gt;"",CR12&gt;=$F12),$I12,IF(AND($E12&lt;&gt;"",CR12&gt;=$E12),$H12,$G12))))</f>
        <v/>
      </c>
      <c r="CS13" s="0" t="str">
        <f aca="false">IF(CS12="","",IF($D12=0,$J12,IF(AND($F12&lt;&gt;"",CS12&gt;=$F12),$I12,IF(AND($E12&lt;&gt;"",CS12&gt;=$E12),$H12,$G12))))</f>
        <v/>
      </c>
      <c r="CT13" s="0" t="str">
        <f aca="false">IF(CT12="","",IF($D12=0,$J12,IF(AND($F12&lt;&gt;"",CT12&gt;=$F12),$I12,IF(AND($E12&lt;&gt;"",CT12&gt;=$E12),$H12,$G12))))</f>
        <v/>
      </c>
      <c r="CU13" s="0" t="str">
        <f aca="false">IF(CU12="","",IF($D12=0,$J12,IF(AND($F12&lt;&gt;"",CU12&gt;=$F12),$I12,IF(AND($E12&lt;&gt;"",CU12&gt;=$E12),$H12,$G12))))</f>
        <v/>
      </c>
      <c r="CV13" s="0" t="str">
        <f aca="false">IF(CV12="","",IF($D12=0,$J12,IF(AND($F12&lt;&gt;"",CV12&gt;=$F12),$I12,IF(AND($E12&lt;&gt;"",CV12&gt;=$E12),$H12,$G12))))</f>
        <v/>
      </c>
      <c r="CW13" s="0" t="str">
        <f aca="false">IF(CW12="","",IF($D12=0,$J12,IF(AND($F12&lt;&gt;"",CW12&gt;=$F12),$I12,IF(AND($E12&lt;&gt;"",CW12&gt;=$E12),$H12,$G12))))</f>
        <v/>
      </c>
      <c r="CX13" s="0" t="str">
        <f aca="false">IF(CX12="","",IF($D12=0,$J12,IF(AND($F12&lt;&gt;"",CX12&gt;=$F12),$I12,IF(AND($E12&lt;&gt;"",CX12&gt;=$E12),$H12,$G12))))</f>
        <v/>
      </c>
      <c r="CY13" s="0" t="str">
        <f aca="false">IF(CY12="","",IF($D12=0,$J12,IF(AND($F12&lt;&gt;"",CY12&gt;=$F12),$I12,IF(AND($E12&lt;&gt;"",CY12&gt;=$E12),$H12,$G12))))</f>
        <v/>
      </c>
      <c r="CZ13" s="0" t="str">
        <f aca="false">IF(CZ12="","",IF($D12=0,$J12,IF(AND($F12&lt;&gt;"",CZ12&gt;=$F12),$I12,IF(AND($E12&lt;&gt;"",CZ12&gt;=$E12),$H12,$G12))))</f>
        <v/>
      </c>
      <c r="DA13" s="0" t="str">
        <f aca="false">IF(DA12="","",IF($D12=0,$J12,IF(AND($F12&lt;&gt;"",DA12&gt;=$F12),$I12,IF(AND($E12&lt;&gt;"",DA12&gt;=$E12),$H12,$G12))))</f>
        <v/>
      </c>
      <c r="DB13" s="0" t="str">
        <f aca="false">IF(DB12="","",IF($D12=0,$J12,IF(AND($F12&lt;&gt;"",DB12&gt;=$F12),$I12,IF(AND($E12&lt;&gt;"",DB12&gt;=$E12),$H12,$G12))))</f>
        <v/>
      </c>
      <c r="DC13" s="0" t="str">
        <f aca="false">IF(DC12="","",IF($D12=0,$J12,IF(AND($F12&lt;&gt;"",DC12&gt;=$F12),$I12,IF(AND($E12&lt;&gt;"",DC12&gt;=$E12),$H12,$G12))))</f>
        <v/>
      </c>
      <c r="DD13" s="0" t="str">
        <f aca="false">IF(DD12="","",IF($D12=0,$J12,IF(AND($F12&lt;&gt;"",DD12&gt;=$F12),$I12,IF(AND($E12&lt;&gt;"",DD12&gt;=$E12),$H12,$G12))))</f>
        <v/>
      </c>
      <c r="DE13" s="0" t="str">
        <f aca="false">IF(DE12="","",IF($D12=0,$J12,IF(AND($F12&lt;&gt;"",DE12&gt;=$F12),$I12,IF(AND($E12&lt;&gt;"",DE12&gt;=$E12),$H12,$G12))))</f>
        <v/>
      </c>
      <c r="DF13" s="0" t="str">
        <f aca="false">IF(DF12="","",IF($D12=0,$J12,IF(AND($F12&lt;&gt;"",DF12&gt;=$F12),$I12,IF(AND($E12&lt;&gt;"",DF12&gt;=$E12),$H12,$G12))))</f>
        <v/>
      </c>
      <c r="DG13" s="0" t="str">
        <f aca="false">IF(DG12="","",IF($D12=0,$J12,IF(AND($F12&lt;&gt;"",DG12&gt;=$F12),$I12,IF(AND($E12&lt;&gt;"",DG12&gt;=$E12),$H12,$G12))))</f>
        <v/>
      </c>
      <c r="DH13" s="0" t="str">
        <f aca="false">IF(DH12="","",IF($D12=0,$J12,IF(AND($F12&lt;&gt;"",DH12&gt;=$F12),$I12,IF(AND($E12&lt;&gt;"",DH12&gt;=$E12),$H12,$G12))))</f>
        <v/>
      </c>
      <c r="DI13" s="0" t="str">
        <f aca="false">IF(DI12="","",IF($D12=0,$J12,IF(AND($F12&lt;&gt;"",DI12&gt;=$F12),$I12,IF(AND($E12&lt;&gt;"",DI12&gt;=$E12),$H12,$G12))))</f>
        <v/>
      </c>
      <c r="DJ13" s="0" t="str">
        <f aca="false">IF(DJ12="","",IF($D12=0,$J12,IF(AND($F12&lt;&gt;"",DJ12&gt;=$F12),$I12,IF(AND($E12&lt;&gt;"",DJ12&gt;=$E12),$H12,$G12))))</f>
        <v/>
      </c>
      <c r="DK13" s="0" t="str">
        <f aca="false">IF(DK12="","",IF($D12=0,$J12,IF(AND($F12&lt;&gt;"",DK12&gt;=$F12),$I12,IF(AND($E12&lt;&gt;"",DK12&gt;=$E12),$H12,$G12))))</f>
        <v/>
      </c>
      <c r="DL13" s="0" t="str">
        <f aca="false">IF(DL12="","",IF($D12=0,$J12,IF(AND($F12&lt;&gt;"",DL12&gt;=$F12),$I12,IF(AND($E12&lt;&gt;"",DL12&gt;=$E12),$H12,$G12))))</f>
        <v/>
      </c>
      <c r="DM13" s="0" t="str">
        <f aca="false">IF(DM12="","",IF($D12=0,$J12,IF(AND($F12&lt;&gt;"",DM12&gt;=$F12),$I12,IF(AND($E12&lt;&gt;"",DM12&gt;=$E12),$H12,$G12))))</f>
        <v/>
      </c>
      <c r="DN13" s="0" t="str">
        <f aca="false">IF(DN12="","",IF($D12=0,$J12,IF(AND($F12&lt;&gt;"",DN12&gt;=$F12),$I12,IF(AND($E12&lt;&gt;"",DN12&gt;=$E12),$H12,$G12))))</f>
        <v/>
      </c>
      <c r="DO13" s="0" t="str">
        <f aca="false">IF(DO12="","",IF($D12=0,$J12,IF(AND($F12&lt;&gt;"",DO12&gt;=$F12),$I12,IF(AND($E12&lt;&gt;"",DO12&gt;=$E12),$H12,$G12))))</f>
        <v/>
      </c>
      <c r="DP13" s="0" t="str">
        <f aca="false">IF(DP12="","",IF($D12=0,$J12,IF(AND($F12&lt;&gt;"",DP12&gt;=$F12),$I12,IF(AND($E12&lt;&gt;"",DP12&gt;=$E12),$H12,$G12))))</f>
        <v/>
      </c>
      <c r="DQ13" s="0" t="str">
        <f aca="false">IF(DQ12="","",IF($D12=0,$J12,IF(AND($F12&lt;&gt;"",DQ12&gt;=$F12),$I12,IF(AND($E12&lt;&gt;"",DQ12&gt;=$E12),$H12,$G12))))</f>
        <v/>
      </c>
      <c r="DR13" s="0" t="str">
        <f aca="false">IF(DR12="","",IF($D12=0,$J12,IF(AND($F12&lt;&gt;"",DR12&gt;=$F12),$I12,IF(AND($E12&lt;&gt;"",DR12&gt;=$E12),$H12,$G12))))</f>
        <v/>
      </c>
      <c r="DS13" s="0" t="str">
        <f aca="false">IF(DS12="","",IF($D12=0,$J12,IF(AND($F12&lt;&gt;"",DS12&gt;=$F12),$I12,IF(AND($E12&lt;&gt;"",DS12&gt;=$E12),$H12,$G12))))</f>
        <v/>
      </c>
      <c r="DT13" s="0" t="str">
        <f aca="false">IF(DT12="","",IF($D12=0,$J12,IF(AND($F12&lt;&gt;"",DT12&gt;=$F12),$I12,IF(AND($E12&lt;&gt;"",DT12&gt;=$E12),$H12,$G12))))</f>
        <v/>
      </c>
      <c r="DU13" s="0" t="str">
        <f aca="false">IF(DU12="","",IF($D12=0,$J12,IF(AND($F12&lt;&gt;"",DU12&gt;=$F12),$I12,IF(AND($E12&lt;&gt;"",DU12&gt;=$E12),$H12,$G12))))</f>
        <v/>
      </c>
      <c r="DV13" s="0" t="str">
        <f aca="false">IF(DV12="","",IF($D12=0,$J12,IF(AND($F12&lt;&gt;"",DV12&gt;=$F12),$I12,IF(AND($E12&lt;&gt;"",DV12&gt;=$E12),$H12,$G12))))</f>
        <v/>
      </c>
      <c r="DW13" s="0" t="str">
        <f aca="false">IF(DW12="","",IF($D12=0,$J12,IF(AND($F12&lt;&gt;"",DW12&gt;=$F12),$I12,IF(AND($E12&lt;&gt;"",DW12&gt;=$E12),$H12,$G12))))</f>
        <v/>
      </c>
      <c r="DX13" s="0" t="str">
        <f aca="false">IF(DX12="","",IF($D12=0,$J12,IF(AND($F12&lt;&gt;"",DX12&gt;=$F12),$I12,IF(AND($E12&lt;&gt;"",DX12&gt;=$E12),$H12,$G12))))</f>
        <v/>
      </c>
      <c r="DY13" s="0" t="str">
        <f aca="false">IF(DY12="","",IF($D12=0,$J12,IF(AND($F12&lt;&gt;"",DY12&gt;=$F12),$I12,IF(AND($E12&lt;&gt;"",DY12&gt;=$E12),$H12,$G12))))</f>
        <v/>
      </c>
      <c r="DZ13" s="0" t="str">
        <f aca="false">IF(DZ12="","",IF($D12=0,$J12,IF(AND($F12&lt;&gt;"",DZ12&gt;=$F12),$I12,IF(AND($E12&lt;&gt;"",DZ12&gt;=$E12),$H12,$G12))))</f>
        <v/>
      </c>
      <c r="EA13" s="0" t="str">
        <f aca="false">IF(EA12="","",IF($D12=0,$J12,IF(AND($F12&lt;&gt;"",EA12&gt;=$F12),$I12,IF(AND($E12&lt;&gt;"",EA12&gt;=$E12),$H12,$G12))))</f>
        <v/>
      </c>
      <c r="EB13" s="0" t="str">
        <f aca="false">IF(EB12="","",IF($D12=0,$J12,IF(AND($F12&lt;&gt;"",EB12&gt;=$F12),$I12,IF(AND($E12&lt;&gt;"",EB12&gt;=$E12),$H12,$G12))))</f>
        <v/>
      </c>
      <c r="EC13" s="0" t="str">
        <f aca="false">IF(EC12="","",IF($D12=0,$J12,IF(AND($F12&lt;&gt;"",EC12&gt;=$F12),$I12,IF(AND($E12&lt;&gt;"",EC12&gt;=$E12),$H12,$G12))))</f>
        <v/>
      </c>
      <c r="ED13" s="0" t="str">
        <f aca="false">IF(ED12="","",IF($D12=0,$J12,IF(AND($F12&lt;&gt;"",ED12&gt;=$F12),$I12,IF(AND($E12&lt;&gt;"",ED12&gt;=$E12),$H12,$G12))))</f>
        <v/>
      </c>
      <c r="EE13" s="0" t="str">
        <f aca="false">IF(EE12="","",IF($D12=0,$J12,IF(AND($F12&lt;&gt;"",EE12&gt;=$F12),$I12,IF(AND($E12&lt;&gt;"",EE12&gt;=$E12),$H12,$G12))))</f>
        <v/>
      </c>
      <c r="EF13" s="0" t="str">
        <f aca="false">IF(EF12="","",IF($D12=0,$J12,IF(AND($F12&lt;&gt;"",EF12&gt;=$F12),$I12,IF(AND($E12&lt;&gt;"",EF12&gt;=$E12),$H12,$G12))))</f>
        <v/>
      </c>
      <c r="EG13" s="0" t="str">
        <f aca="false">IF(EG12="","",IF($D12=0,$J12,IF(AND($F12&lt;&gt;"",EG12&gt;=$F12),$I12,IF(AND($E12&lt;&gt;"",EG12&gt;=$E12),$H12,$G12))))</f>
        <v/>
      </c>
      <c r="EH13" s="0" t="str">
        <f aca="false">IF(EH12="","",IF($D12=0,$J12,IF(AND($F12&lt;&gt;"",EH12&gt;=$F12),$I12,IF(AND($E12&lt;&gt;"",EH12&gt;=$E12),$H12,$G12))))</f>
        <v/>
      </c>
      <c r="EI13" s="0" t="str">
        <f aca="false">IF(EI12="","",IF($D12=0,$J12,IF(AND($F12&lt;&gt;"",EI12&gt;=$F12),$I12,IF(AND($E12&lt;&gt;"",EI12&gt;=$E12),$H12,$G12))))</f>
        <v/>
      </c>
      <c r="EJ13" s="0" t="str">
        <f aca="false">IF(EJ12="","",IF($D12=0,$J12,IF(AND($F12&lt;&gt;"",EJ12&gt;=$F12),$I12,IF(AND($E12&lt;&gt;"",EJ12&gt;=$E12),$H12,$G12))))</f>
        <v/>
      </c>
      <c r="EK13" s="0" t="str">
        <f aca="false">IF(EK12="","",IF($D12=0,$J12,IF(AND($F12&lt;&gt;"",EK12&gt;=$F12),$I12,IF(AND($E12&lt;&gt;"",EK12&gt;=$E12),$H12,$G12))))</f>
        <v/>
      </c>
      <c r="EL13" s="0" t="str">
        <f aca="false">IF(EL12="","",IF($D12=0,$J12,IF(AND($F12&lt;&gt;"",EL12&gt;=$F12),$I12,IF(AND($E12&lt;&gt;"",EL12&gt;=$E12),$H12,$G12))))</f>
        <v/>
      </c>
      <c r="EM13" s="0" t="str">
        <f aca="false">IF(EM12="","",IF($D12=0,$J12,IF(AND($F12&lt;&gt;"",EM12&gt;=$F12),$I12,IF(AND($E12&lt;&gt;"",EM12&gt;=$E12),$H12,$G12))))</f>
        <v/>
      </c>
      <c r="EN13" s="0" t="str">
        <f aca="false">IF(EN12="","",IF($D12=0,$J12,IF(AND($F12&lt;&gt;"",EN12&gt;=$F12),$I12,IF(AND($E12&lt;&gt;"",EN12&gt;=$E12),$H12,$G12))))</f>
        <v/>
      </c>
      <c r="EO13" s="0" t="str">
        <f aca="false">IF(EO12="","",IF($D12=0,$J12,IF(AND($F12&lt;&gt;"",EO12&gt;=$F12),$I12,IF(AND($E12&lt;&gt;"",EO12&gt;=$E12),$H12,$G12))))</f>
        <v/>
      </c>
      <c r="EP13" s="0" t="str">
        <f aca="false">IF(EP12="","",IF($D12=0,$J12,IF(AND($F12&lt;&gt;"",EP12&gt;=$F12),$I12,IF(AND($E12&lt;&gt;"",EP12&gt;=$E12),$H12,$G12))))</f>
        <v/>
      </c>
      <c r="EQ13" s="0" t="str">
        <f aca="false">IF(EQ12="","",IF($D12=0,$J12,IF(AND($F12&lt;&gt;"",EQ12&gt;=$F12),$I12,IF(AND($E12&lt;&gt;"",EQ12&gt;=$E12),$H12,$G12))))</f>
        <v/>
      </c>
      <c r="ER13" s="0" t="str">
        <f aca="false">IF(ER12="","",IF($D12=0,$J12,IF(AND($F12&lt;&gt;"",ER12&gt;=$F12),$I12,IF(AND($E12&lt;&gt;"",ER12&gt;=$E12),$H12,$G12))))</f>
        <v/>
      </c>
      <c r="ES13" s="0" t="str">
        <f aca="false">IF(ES12="","",IF($D12=0,$J12,IF(AND($F12&lt;&gt;"",ES12&gt;=$F12),$I12,IF(AND($E12&lt;&gt;"",ES12&gt;=$E12),$H12,$G12))))</f>
        <v/>
      </c>
      <c r="ET13" s="0" t="str">
        <f aca="false">IF(ET12="","",IF($D12=0,$J12,IF(AND($F12&lt;&gt;"",ET12&gt;=$F12),$I12,IF(AND($E12&lt;&gt;"",ET12&gt;=$E12),$H12,$G12))))</f>
        <v/>
      </c>
      <c r="EU13" s="0" t="str">
        <f aca="false">IF(EU12="","",IF($D12=0,$J12,IF(AND($F12&lt;&gt;"",EU12&gt;=$F12),$I12,IF(AND($E12&lt;&gt;"",EU12&gt;=$E12),$H12,$G12))))</f>
        <v/>
      </c>
      <c r="EV13" s="0" t="str">
        <f aca="false">IF(EV12="","",IF($D12=0,$J12,IF(AND($F12&lt;&gt;"",EV12&gt;=$F12),$I12,IF(AND($E12&lt;&gt;"",EV12&gt;=$E12),$H12,$G12))))</f>
        <v/>
      </c>
      <c r="EW13" s="0" t="str">
        <f aca="false">IF(EW12="","",IF($D12=0,$J12,IF(AND($F12&lt;&gt;"",EW12&gt;=$F12),$I12,IF(AND($E12&lt;&gt;"",EW12&gt;=$E12),$H12,$G12))))</f>
        <v/>
      </c>
      <c r="EX13" s="0" t="str">
        <f aca="false">IF(EX12="","",IF($D12=0,$J12,IF(AND($F12&lt;&gt;"",EX12&gt;=$F12),$I12,IF(AND($E12&lt;&gt;"",EX12&gt;=$E12),$H12,$G12))))</f>
        <v/>
      </c>
      <c r="EY13" s="0" t="str">
        <f aca="false">IF(EY12="","",IF($D12=0,$J12,IF(AND($F12&lt;&gt;"",EY12&gt;=$F12),$I12,IF(AND($E12&lt;&gt;"",EY12&gt;=$E12),$H12,$G12))))</f>
        <v/>
      </c>
      <c r="EZ13" s="0" t="str">
        <f aca="false">IF(EZ12="","",IF($D12=0,$J12,IF(AND($F12&lt;&gt;"",EZ12&gt;=$F12),$I12,IF(AND($E12&lt;&gt;"",EZ12&gt;=$E12),$H12,$G12))))</f>
        <v/>
      </c>
      <c r="FA13" s="0" t="str">
        <f aca="false">IF(FA12="","",IF($D12=0,$J12,IF(AND($F12&lt;&gt;"",FA12&gt;=$F12),$I12,IF(AND($E12&lt;&gt;"",FA12&gt;=$E12),$H12,$G12))))</f>
        <v/>
      </c>
      <c r="FB13" s="0" t="str">
        <f aca="false">IF(FB12="","",IF($D12=0,$J12,IF(AND($F12&lt;&gt;"",FB12&gt;=$F12),$I12,IF(AND($E12&lt;&gt;"",FB12&gt;=$E12),$H12,$G12))))</f>
        <v/>
      </c>
      <c r="FC13" s="0" t="str">
        <f aca="false">IF(FC12="","",IF($D12=0,$J12,IF(AND($F12&lt;&gt;"",FC12&gt;=$F12),$I12,IF(AND($E12&lt;&gt;"",FC12&gt;=$E12),$H12,$G12))))</f>
        <v/>
      </c>
      <c r="FD13" s="0" t="str">
        <f aca="false">IF(FD12="","",IF($D12=0,$J12,IF(AND($F12&lt;&gt;"",FD12&gt;=$F12),$I12,IF(AND($E12&lt;&gt;"",FD12&gt;=$E12),$H12,$G12))))</f>
        <v/>
      </c>
      <c r="FE13" s="0" t="str">
        <f aca="false">IF(FE12="","",IF($D12=0,$J12,IF(AND($F12&lt;&gt;"",FE12&gt;=$F12),$I12,IF(AND($E12&lt;&gt;"",FE12&gt;=$E12),$H12,$G12))))</f>
        <v/>
      </c>
      <c r="FF13" s="0" t="str">
        <f aca="false">IF(FF12="","",IF($D12=0,$J12,IF(AND($F12&lt;&gt;"",FF12&gt;=$F12),$I12,IF(AND($E12&lt;&gt;"",FF12&gt;=$E12),$H12,$G12))))</f>
        <v/>
      </c>
      <c r="FG13" s="0" t="str">
        <f aca="false">IF(FG12="","",IF($D12=0,$J12,IF(AND($F12&lt;&gt;"",FG12&gt;=$F12),$I12,IF(AND($E12&lt;&gt;"",FG12&gt;=$E12),$H12,$G12))))</f>
        <v/>
      </c>
      <c r="FH13" s="0" t="str">
        <f aca="false">IF(FH12="","",IF($D12=0,$J12,IF(AND($F12&lt;&gt;"",FH12&gt;=$F12),$I12,IF(AND($E12&lt;&gt;"",FH12&gt;=$E12),$H12,$G12))))</f>
        <v/>
      </c>
      <c r="FI13" s="0" t="str">
        <f aca="false">IF(FI12="","",IF($D12=0,$J12,IF(AND($F12&lt;&gt;"",FI12&gt;=$F12),$I12,IF(AND($E12&lt;&gt;"",FI12&gt;=$E12),$H12,$G12))))</f>
        <v/>
      </c>
      <c r="FJ13" s="0" t="str">
        <f aca="false">IF(FJ12="","",IF($D12=0,$J12,IF(AND($F12&lt;&gt;"",FJ12&gt;=$F12),$I12,IF(AND($E12&lt;&gt;"",FJ12&gt;=$E12),$H12,$G12))))</f>
        <v/>
      </c>
      <c r="FK13" s="0" t="str">
        <f aca="false">IF(FK12="","",IF($D12=0,$J12,IF(AND($F12&lt;&gt;"",FK12&gt;=$F12),$I12,IF(AND($E12&lt;&gt;"",FK12&gt;=$E12),$H12,$G12))))</f>
        <v/>
      </c>
      <c r="FL13" s="0" t="str">
        <f aca="false">IF(FL12="","",IF($D12=0,$J12,IF(AND($F12&lt;&gt;"",FL12&gt;=$F12),$I12,IF(AND($E12&lt;&gt;"",FL12&gt;=$E12),$H12,$G12))))</f>
        <v/>
      </c>
      <c r="FM13" s="0" t="str">
        <f aca="false">IF(FM12="","",IF($D12=0,$J12,IF(AND($F12&lt;&gt;"",FM12&gt;=$F12),$I12,IF(AND($E12&lt;&gt;"",FM12&gt;=$E12),$H12,$G12))))</f>
        <v/>
      </c>
      <c r="FN13" s="0" t="str">
        <f aca="false">IF(FN12="","",IF($D12=0,$J12,IF(AND($F12&lt;&gt;"",FN12&gt;=$F12),$I12,IF(AND($E12&lt;&gt;"",FN12&gt;=$E12),$H12,$G12))))</f>
        <v/>
      </c>
      <c r="FO13" s="0" t="str">
        <f aca="false">IF(FO12="","",IF($D12=0,$J12,IF(AND($F12&lt;&gt;"",FO12&gt;=$F12),$I12,IF(AND($E12&lt;&gt;"",FO12&gt;=$E12),$H12,$G12))))</f>
        <v/>
      </c>
      <c r="FP13" s="0" t="str">
        <f aca="false">IF(FP12="","",IF($D12=0,$J12,IF(AND($F12&lt;&gt;"",FP12&gt;=$F12),$I12,IF(AND($E12&lt;&gt;"",FP12&gt;=$E12),$H12,$G12))))</f>
        <v/>
      </c>
      <c r="FQ13" s="0" t="str">
        <f aca="false">IF(FQ12="","",IF($D12=0,$J12,IF(AND($F12&lt;&gt;"",FQ12&gt;=$F12),$I12,IF(AND($E12&lt;&gt;"",FQ12&gt;=$E12),$H12,$G12))))</f>
        <v/>
      </c>
      <c r="FR13" s="0" t="str">
        <f aca="false">IF(FR12="","",IF($D12=0,$J12,IF(AND($F12&lt;&gt;"",FR12&gt;=$F12),$I12,IF(AND($E12&lt;&gt;"",FR12&gt;=$E12),$H12,$G12))))</f>
        <v/>
      </c>
      <c r="FS13" s="0" t="str">
        <f aca="false">IF(FS12="","",IF($D12=0,$J12,IF(AND($F12&lt;&gt;"",FS12&gt;=$F12),$I12,IF(AND($E12&lt;&gt;"",FS12&gt;=$E12),$H12,$G12))))</f>
        <v/>
      </c>
      <c r="FT13" s="0" t="str">
        <f aca="false">IF(FT12="","",IF($D12=0,$J12,IF(AND($F12&lt;&gt;"",FT12&gt;=$F12),$I12,IF(AND($E12&lt;&gt;"",FT12&gt;=$E12),$H12,$G12))))</f>
        <v/>
      </c>
      <c r="FU13" s="0" t="str">
        <f aca="false">IF(FU12="","",IF($D12=0,$J12,IF(AND($F12&lt;&gt;"",FU12&gt;=$F12),$I12,IF(AND($E12&lt;&gt;"",FU12&gt;=$E12),$H12,$G12))))</f>
        <v/>
      </c>
      <c r="FV13" s="0" t="str">
        <f aca="false">IF(FV12="","",IF($D12=0,$J12,IF(AND($F12&lt;&gt;"",FV12&gt;=$F12),$I12,IF(AND($E12&lt;&gt;"",FV12&gt;=$E12),$H12,$G12))))</f>
        <v/>
      </c>
      <c r="FW13" s="0" t="str">
        <f aca="false">IF(FW12="","",IF($D12=0,$J12,IF(AND($F12&lt;&gt;"",FW12&gt;=$F12),$I12,IF(AND($E12&lt;&gt;"",FW12&gt;=$E12),$H12,$G12))))</f>
        <v/>
      </c>
      <c r="FX13" s="0" t="str">
        <f aca="false">IF(FX12="","",IF($D12=0,$J12,IF(AND($F12&lt;&gt;"",FX12&gt;=$F12),$I12,IF(AND($E12&lt;&gt;"",FX12&gt;=$E12),$H12,$G12))))</f>
        <v/>
      </c>
      <c r="FY13" s="0" t="str">
        <f aca="false">IF(FY12="","",IF($D12=0,$J12,IF(AND($F12&lt;&gt;"",FY12&gt;=$F12),$I12,IF(AND($E12&lt;&gt;"",FY12&gt;=$E12),$H12,$G12))))</f>
        <v/>
      </c>
      <c r="FZ13" s="0" t="str">
        <f aca="false">IF(FZ12="","",IF($D12=0,$J12,IF(AND($F12&lt;&gt;"",FZ12&gt;=$F12),$I12,IF(AND($E12&lt;&gt;"",FZ12&gt;=$E12),$H12,$G12))))</f>
        <v/>
      </c>
      <c r="GA13" s="0" t="str">
        <f aca="false">IF(GA12="","",IF($D12=0,$J12,IF(AND($F12&lt;&gt;"",GA12&gt;=$F12),$I12,IF(AND($E12&lt;&gt;"",GA12&gt;=$E12),$H12,$G12))))</f>
        <v/>
      </c>
      <c r="GB13" s="0" t="str">
        <f aca="false">IF(GB12="","",IF($D12=0,$J12,IF(AND($F12&lt;&gt;"",GB12&gt;=$F12),$I12,IF(AND($E12&lt;&gt;"",GB12&gt;=$E12),$H12,$G12))))</f>
        <v/>
      </c>
      <c r="GC13" s="0" t="str">
        <f aca="false">IF(GC12="","",IF($D12=0,$J12,IF(AND($F12&lt;&gt;"",GC12&gt;=$F12),$I12,IF(AND($E12&lt;&gt;"",GC12&gt;=$E12),$H12,$G12))))</f>
        <v/>
      </c>
      <c r="GD13" s="0" t="str">
        <f aca="false">IF(GD12="","",IF($D12=0,$J12,IF(AND($F12&lt;&gt;"",GD12&gt;=$F12),$I12,IF(AND($E12&lt;&gt;"",GD12&gt;=$E12),$H12,$G12))))</f>
        <v/>
      </c>
      <c r="GE13" s="0" t="str">
        <f aca="false">IF(GE12="","",IF($D12=0,$J12,IF(AND($F12&lt;&gt;"",GE12&gt;=$F12),$I12,IF(AND($E12&lt;&gt;"",GE12&gt;=$E12),$H12,$G12))))</f>
        <v/>
      </c>
      <c r="GF13" s="0" t="str">
        <f aca="false">IF(GF12="","",IF($D12=0,$J12,IF(AND($F12&lt;&gt;"",GF12&gt;=$F12),$I12,IF(AND($E12&lt;&gt;"",GF12&gt;=$E12),$H12,$G12))))</f>
        <v/>
      </c>
      <c r="GG13" s="0" t="str">
        <f aca="false">IF(GG12="","",IF($D12=0,$J12,IF(AND($F12&lt;&gt;"",GG12&gt;=$F12),$I12,IF(AND($E12&lt;&gt;"",GG12&gt;=$E12),$H12,$G12))))</f>
        <v/>
      </c>
      <c r="GH13" s="0" t="str">
        <f aca="false">IF(GH12="","",IF($D12=0,$J12,IF(AND($F12&lt;&gt;"",GH12&gt;=$F12),$I12,IF(AND($E12&lt;&gt;"",GH12&gt;=$E12),$H12,$G12))))</f>
        <v/>
      </c>
      <c r="GI13" s="0" t="str">
        <f aca="false">IF(GI12="","",IF($D12=0,$J12,IF(AND($F12&lt;&gt;"",GI12&gt;=$F12),$I12,IF(AND($E12&lt;&gt;"",GI12&gt;=$E12),$H12,$G12))))</f>
        <v/>
      </c>
    </row>
    <row r="14" customFormat="false" ht="15" hidden="false" customHeight="false" outlineLevel="0" collapsed="false">
      <c r="K14" s="0" t="s">
        <v>264</v>
      </c>
      <c r="L14" s="0" t="n">
        <f aca="false">IF(L12="",0,IF(AND(L13=Milestones!$AB$20,L12&gt;=SchemeStart),IF(AND(Milestones!$AB$20="FT",Milestones!$AA$20=FT_Y5,L12&lt;PolicyEff),1,Milestones!$AC$20),0))</f>
        <v>0</v>
      </c>
      <c r="M14" s="0" t="n">
        <f aca="false">IF(M12="",0,IF(AND(M13=Milestones!$AB$21,M12&gt;=SchemeStart),IF(AND(Milestones!$AB$21="FT",Milestones!$AA$21=FT_Y5,M12&lt;PolicyEff),1,Milestones!$AC$21),0))</f>
        <v>0</v>
      </c>
      <c r="N14" s="0" t="n">
        <f aca="false">IF(N12="",0,IF(AND(N13=Milestones!$AB$22,N12&gt;=SchemeStart),IF(AND(Milestones!$AB$22="FT",Milestones!$AA$22=FT_Y5,N12&lt;PolicyEff),1,Milestones!$AC$22),0))</f>
        <v>0</v>
      </c>
      <c r="O14" s="0" t="n">
        <f aca="false">IF(O12="",0,IF(AND(O13=Milestones!$AB$23,O12&gt;=SchemeStart),IF(AND(Milestones!$AB$23="FT",Milestones!$AA$23=FT_Y5,O12&lt;PolicyEff),1,Milestones!$AC$23),0))</f>
        <v>0</v>
      </c>
      <c r="P14" s="0" t="n">
        <f aca="false">IF(P12="",0,IF(AND(P13=Milestones!$AB$24,P12&gt;=SchemeStart),IF(AND(Milestones!$AB$24="FT",Milestones!$AA$24=FT_Y5,P12&lt;PolicyEff),1,Milestones!$AC$24),0))</f>
        <v>0</v>
      </c>
      <c r="Q14" s="0" t="n">
        <f aca="false">IF(Q12="",0,IF(AND(Q13=Milestones!$AB$25,Q12&gt;=SchemeStart),IF(AND(Milestones!$AB$25="FT",Milestones!$AA$25=FT_Y5,Q12&lt;PolicyEff),1,Milestones!$AC$25),0))</f>
        <v>0</v>
      </c>
      <c r="R14" s="0" t="n">
        <f aca="false">IF(R12="",0,IF(AND(R13=Milestones!$AB$26,R12&gt;=SchemeStart),IF(AND(Milestones!$AB$26="FT",Milestones!$AA$26=FT_Y5,R12&lt;PolicyEff),1,Milestones!$AC$26),0))</f>
        <v>0</v>
      </c>
      <c r="S14" s="0" t="n">
        <f aca="false">IF(S12="",0,IF(AND(S13=Milestones!$AB$27,S12&gt;=SchemeStart),IF(AND(Milestones!$AB$27="FT",Milestones!$AA$27=FT_Y5,S12&lt;PolicyEff),1,Milestones!$AC$27),0))</f>
        <v>0</v>
      </c>
      <c r="T14" s="0" t="n">
        <f aca="false">IF(T12="",0,IF(AND(T13=Milestones!$AB$28,T12&gt;=SchemeStart),IF(AND(Milestones!$AB$28="FT",Milestones!$AA$28=FT_Y5,T12&lt;PolicyEff),1,Milestones!$AC$28),0))</f>
        <v>0</v>
      </c>
      <c r="U14" s="0" t="n">
        <f aca="false">IF(U12="",0,IF(AND(U13=Milestones!$AB$29,U12&gt;=SchemeStart),IF(AND(Milestones!$AB$29="FT",Milestones!$AA$29=FT_Y5,U12&lt;PolicyEff),1,Milestones!$AC$29),0))</f>
        <v>0</v>
      </c>
      <c r="V14" s="0" t="n">
        <f aca="false">IF(V12="",0,IF(AND(V13=Milestones!$AB$30,V12&gt;=SchemeStart),IF(AND(Milestones!$AB$30="FT",Milestones!$AA$30=FT_Y5,V12&lt;PolicyEff),1,Milestones!$AC$30),0))</f>
        <v>0</v>
      </c>
      <c r="W14" s="0" t="n">
        <f aca="false">IF(W12="",0,IF(AND(W13=Milestones!$AB$31,W12&gt;=SchemeStart),IF(AND(Milestones!$AB$31="FT",Milestones!$AA$31=FT_Y5,W12&lt;PolicyEff),1,Milestones!$AC$31),0))</f>
        <v>0</v>
      </c>
      <c r="X14" s="0" t="n">
        <f aca="false">IF(X12="",0,IF(AND(X13=Milestones!$AB$32,X12&gt;=SchemeStart),IF(AND(Milestones!$AB$32="FT",Milestones!$AA$32=FT_Y5,X12&lt;PolicyEff),1,Milestones!$AC$32),0))</f>
        <v>0</v>
      </c>
      <c r="Y14" s="0" t="n">
        <f aca="false">IF(Y12="",0,IF(AND(Y13=Milestones!$AB$33,Y12&gt;=SchemeStart),IF(AND(Milestones!$AB$33="FT",Milestones!$AA$33=FT_Y5,Y12&lt;PolicyEff),1,Milestones!$AC$33),0))</f>
        <v>0</v>
      </c>
      <c r="Z14" s="0" t="n">
        <f aca="false">IF(Z12="",0,IF(AND(Z13=Milestones!$AB$34,Z12&gt;=SchemeStart),IF(AND(Milestones!$AB$34="FT",Milestones!$AA$34=FT_Y5,Z12&lt;PolicyEff),1,Milestones!$AC$34),0))</f>
        <v>0</v>
      </c>
      <c r="AA14" s="0" t="n">
        <f aca="false">IF(AA12="",0,IF(AND(AA13=Milestones!$AB$35,AA12&gt;=SchemeStart),IF(AND(Milestones!$AB$35="FT",Milestones!$AA$35=FT_Y5,AA12&lt;PolicyEff),1,Milestones!$AC$35),0))</f>
        <v>0</v>
      </c>
      <c r="AB14" s="0" t="n">
        <f aca="false">IF(AB12="",0,IF(AND(AB13=Milestones!$AB$36,AB12&gt;=SchemeStart),IF(AND(Milestones!$AB$36="FT",Milestones!$AA$36=FT_Y5,AB12&lt;PolicyEff),1,Milestones!$AC$36),0))</f>
        <v>0</v>
      </c>
      <c r="AC14" s="0" t="n">
        <f aca="false">IF(AC12="",0,IF(AND(AC13=Milestones!$AB$37,AC12&gt;=SchemeStart),IF(AND(Milestones!$AB$37="FT",Milestones!$AA$37=FT_Y5,AC12&lt;PolicyEff),1,Milestones!$AC$37),0))</f>
        <v>0</v>
      </c>
      <c r="AD14" s="0" t="n">
        <f aca="false">IF(AD12="",0,IF(AND(AD13=Milestones!$AB$38,AD12&gt;=SchemeStart),IF(AND(Milestones!$AB$38="FT",Milestones!$AA$38=FT_Y5,AD12&lt;PolicyEff),1,Milestones!$AC$38),0))</f>
        <v>0</v>
      </c>
      <c r="AE14" s="0" t="n">
        <f aca="false">IF(AE12="",0,IF(AND(AE13=Milestones!$AB$39,AE12&gt;=SchemeStart),IF(AND(Milestones!$AB$39="FT",Milestones!$AA$39=FT_Y5,AE12&lt;PolicyEff),1,Milestones!$AC$39),0))</f>
        <v>0</v>
      </c>
      <c r="AF14" s="0" t="n">
        <f aca="false">IF(AF12="",0,IF(AND(AF13=Milestones!$AB$40,AF12&gt;=SchemeStart),IF(AND(Milestones!$AB$40="FT",Milestones!$AA$40=FT_Y5,AF12&lt;PolicyEff),1,Milestones!$AC$40),0))</f>
        <v>0</v>
      </c>
      <c r="AG14" s="0" t="n">
        <f aca="false">IF(AG12="",0,IF(AND(AG13=Milestones!$AB$41,AG12&gt;=SchemeStart),IF(AND(Milestones!$AB$41="FT",Milestones!$AA$41=FT_Y5,AG12&lt;PolicyEff),1,Milestones!$AC$41),0))</f>
        <v>0</v>
      </c>
      <c r="AH14" s="0" t="n">
        <f aca="false">IF(AH12="",0,IF(AND(AH13=Milestones!$AB$42,AH12&gt;=SchemeStart),IF(AND(Milestones!$AB$42="FT",Milestones!$AA$42=FT_Y5,AH12&lt;PolicyEff),1,Milestones!$AC$42),0))</f>
        <v>0</v>
      </c>
      <c r="AI14" s="0" t="n">
        <f aca="false">IF(AI12="",0,IF(AND(AI13=Milestones!$AB$43,AI12&gt;=SchemeStart),IF(AND(Milestones!$AB$43="FT",Milestones!$AA$43=FT_Y5,AI12&lt;PolicyEff),1,Milestones!$AC$43),0))</f>
        <v>0</v>
      </c>
      <c r="AJ14" s="0" t="n">
        <f aca="false">IF(AJ12="",0,IF(AND(AJ13=Milestones!$AB$44,AJ12&gt;=SchemeStart),IF(AND(Milestones!$AB$44="FT",Milestones!$AA$44=FT_Y5,AJ12&lt;PolicyEff),1,Milestones!$AC$44),0))</f>
        <v>0</v>
      </c>
      <c r="AK14" s="0" t="n">
        <f aca="false">IF(AK12="",0,IF(AND(AK13=Milestones!$AB$45,AK12&gt;=SchemeStart),IF(AND(Milestones!$AB$45="FT",Milestones!$AA$45=FT_Y5,AK12&lt;PolicyEff),1,Milestones!$AC$45),0))</f>
        <v>0</v>
      </c>
      <c r="AL14" s="0" t="n">
        <f aca="false">IF(AL12="",0,IF(AND(AL13=Milestones!$AB$46,AL12&gt;=SchemeStart),IF(AND(Milestones!$AB$46="FT",Milestones!$AA$46=FT_Y5,AL12&lt;PolicyEff),1,Milestones!$AC$46),0))</f>
        <v>0</v>
      </c>
      <c r="AM14" s="0" t="n">
        <f aca="false">IF(AM12="",0,IF(AND(AM13=Milestones!$AB$47,AM12&gt;=SchemeStart),IF(AND(Milestones!$AB$47="FT",Milestones!$AA$47=FT_Y5,AM12&lt;PolicyEff),1,Milestones!$AC$47),0))</f>
        <v>0</v>
      </c>
      <c r="AN14" s="0" t="n">
        <f aca="false">IF(AN12="",0,IF(AND(AN13=Milestones!$AB$48,AN12&gt;=SchemeStart),IF(AND(Milestones!$AB$48="FT",Milestones!$AA$48=FT_Y5,AN12&lt;PolicyEff),1,Milestones!$AC$48),0))</f>
        <v>0</v>
      </c>
      <c r="AO14" s="0" t="n">
        <f aca="false">IF(AO12="",0,IF(AND(AO13=Milestones!$AB$49,AO12&gt;=SchemeStart),IF(AND(Milestones!$AB$49="FT",Milestones!$AA$49=FT_Y5,AO12&lt;PolicyEff),1,Milestones!$AC$49),0))</f>
        <v>0</v>
      </c>
      <c r="AP14" s="0" t="n">
        <f aca="false">IF(AP12="",0,IF(AND(AP13=Milestones!$AB$50,AP12&gt;=SchemeStart),IF(AND(Milestones!$AB$50="FT",Milestones!$AA$50=FT_Y5,AP12&lt;PolicyEff),1,Milestones!$AC$50),0))</f>
        <v>0</v>
      </c>
      <c r="AQ14" s="0" t="n">
        <f aca="false">IF(AQ12="",0,IF(AND(AQ13=Milestones!$AB$51,AQ12&gt;=SchemeStart),IF(AND(Milestones!$AB$51="FT",Milestones!$AA$51=FT_Y5,AQ12&lt;PolicyEff),1,Milestones!$AC$51),0))</f>
        <v>0</v>
      </c>
      <c r="AR14" s="0" t="n">
        <f aca="false">IF(AR12="",0,IF(AND(AR13=Milestones!$AB$52,AR12&gt;=SchemeStart),IF(AND(Milestones!$AB$52="FT",Milestones!$AA$52=FT_Y5,AR12&lt;PolicyEff),1,Milestones!$AC$52),0))</f>
        <v>0</v>
      </c>
      <c r="AS14" s="0" t="n">
        <f aca="false">IF(AS12="",0,IF(AND(AS13=Milestones!$AB$53,AS12&gt;=SchemeStart),IF(AND(Milestones!$AB$53="FT",Milestones!$AA$53=FT_Y5,AS12&lt;PolicyEff),1,Milestones!$AC$53),0))</f>
        <v>0</v>
      </c>
      <c r="AT14" s="0" t="n">
        <f aca="false">IF(AT12="",0,IF(AND(AT13=Milestones!$AB$54,AT12&gt;=SchemeStart),IF(AND(Milestones!$AB$54="FT",Milestones!$AA$54=FT_Y5,AT12&lt;PolicyEff),1,Milestones!$AC$54),0))</f>
        <v>0</v>
      </c>
      <c r="AU14" s="0" t="n">
        <f aca="false">IF(AU12="",0,IF(AND(AU13=Milestones!$AB$55,AU12&gt;=SchemeStart),IF(AND(Milestones!$AB$55="FT",Milestones!$AA$55=FT_Y5,AU12&lt;PolicyEff),1,Milestones!$AC$55),0))</f>
        <v>0</v>
      </c>
      <c r="AV14" s="0" t="n">
        <f aca="false">IF(AV12="",0,IF(AND(AV13=Milestones!$AB$56,AV12&gt;=SchemeStart),IF(AND(Milestones!$AB$56="FT",Milestones!$AA$56=FT_Y5,AV12&lt;PolicyEff),1,Milestones!$AC$56),0))</f>
        <v>0</v>
      </c>
      <c r="AW14" s="0" t="n">
        <f aca="false">IF(AW12="",0,IF(AND(AW13=Milestones!$AB$57,AW12&gt;=SchemeStart),IF(AND(Milestones!$AB$57="FT",Milestones!$AA$57=FT_Y5,AW12&lt;PolicyEff),1,Milestones!$AC$57),0))</f>
        <v>0</v>
      </c>
      <c r="AX14" s="0" t="n">
        <f aca="false">IF(AX12="",0,IF(AND(AX13=Milestones!$AB$58,AX12&gt;=SchemeStart),IF(AND(Milestones!$AB$58="FT",Milestones!$AA$58=FT_Y5,AX12&lt;PolicyEff),1,Milestones!$AC$58),0))</f>
        <v>0</v>
      </c>
      <c r="AY14" s="0" t="n">
        <f aca="false">IF(AY12="",0,IF(AND(AY13=Milestones!$AB$59,AY12&gt;=SchemeStart),IF(AND(Milestones!$AB$59="FT",Milestones!$AA$59=FT_Y5,AY12&lt;PolicyEff),1,Milestones!$AC$59),0))</f>
        <v>0</v>
      </c>
      <c r="AZ14" s="0" t="n">
        <f aca="false">IF(AZ12="",0,IF(AND(AZ13=Milestones!$AB$60,AZ12&gt;=SchemeStart),IF(AND(Milestones!$AB$60="FT",Milestones!$AA$60=FT_Y5,AZ12&lt;PolicyEff),1,Milestones!$AC$60),0))</f>
        <v>0</v>
      </c>
      <c r="BA14" s="0" t="n">
        <f aca="false">IF(BA12="",0,IF(AND(BA13=Milestones!$AB$61,BA12&gt;=SchemeStart),IF(AND(Milestones!$AB$61="FT",Milestones!$AA$61=FT_Y5,BA12&lt;PolicyEff),1,Milestones!$AC$61),0))</f>
        <v>0</v>
      </c>
      <c r="BB14" s="0" t="n">
        <f aca="false">IF(BB12="",0,IF(AND(BB13=Milestones!$AB$62,BB12&gt;=SchemeStart),IF(AND(Milestones!$AB$62="FT",Milestones!$AA$62=FT_Y5,BB12&lt;PolicyEff),1,Milestones!$AC$62),0))</f>
        <v>0</v>
      </c>
      <c r="BC14" s="0" t="n">
        <f aca="false">IF(BC12="",0,IF(AND(BC13=Milestones!$AB$63,BC12&gt;=SchemeStart),IF(AND(Milestones!$AB$63="FT",Milestones!$AA$63=FT_Y5,BC12&lt;PolicyEff),1,Milestones!$AC$63),0))</f>
        <v>0</v>
      </c>
      <c r="BD14" s="0" t="n">
        <f aca="false">IF(BD12="",0,IF(AND(BD13=Milestones!$AB$64,BD12&gt;=SchemeStart),IF(AND(Milestones!$AB$64="FT",Milestones!$AA$64=FT_Y5,BD12&lt;PolicyEff),1,Milestones!$AC$64),0))</f>
        <v>0</v>
      </c>
      <c r="BE14" s="0" t="n">
        <f aca="false">IF(BE12="",0,IF(AND(BE13=Milestones!$AB$65,BE12&gt;=SchemeStart),IF(AND(Milestones!$AB$65="FT",Milestones!$AA$65=FT_Y5,BE12&lt;PolicyEff),1,Milestones!$AC$65),0))</f>
        <v>0</v>
      </c>
      <c r="BF14" s="0" t="n">
        <f aca="false">IF(BF12="",0,IF(AND(BF13=Milestones!$AB$66,BF12&gt;=SchemeStart),IF(AND(Milestones!$AB$66="FT",Milestones!$AA$66=FT_Y5,BF12&lt;PolicyEff),1,Milestones!$AC$66),0))</f>
        <v>0</v>
      </c>
      <c r="BG14" s="0" t="n">
        <f aca="false">IF(BG12="",0,IF(AND(BG13=Milestones!$AB$67,BG12&gt;=SchemeStart),IF(AND(Milestones!$AB$67="FT",Milestones!$AA$67=FT_Y5,BG12&lt;PolicyEff),1,Milestones!$AC$67),0))</f>
        <v>0</v>
      </c>
      <c r="BH14" s="0" t="n">
        <f aca="false">IF(BH12="",0,IF(AND(BH13=Milestones!$AB$68,BH12&gt;=SchemeStart),IF(AND(Milestones!$AB$68="FT",Milestones!$AA$68=FT_Y5,BH12&lt;PolicyEff),1,Milestones!$AC$68),0))</f>
        <v>0</v>
      </c>
      <c r="BI14" s="0" t="n">
        <f aca="false">IF(BI12="",0,IF(AND(BI13=Milestones!$AB$69,BI12&gt;=SchemeStart),IF(AND(Milestones!$AB$69="FT",Milestones!$AA$69=FT_Y5,BI12&lt;PolicyEff),1,Milestones!$AC$69),0))</f>
        <v>0</v>
      </c>
      <c r="BJ14" s="0" t="n">
        <f aca="false">IF(BJ12="",0,IF(AND(BJ13=Milestones!$AB$70,BJ12&gt;=SchemeStart),IF(AND(Milestones!$AB$70="FT",Milestones!$AA$70=FT_Y5,BJ12&lt;PolicyEff),1,Milestones!$AC$70),0))</f>
        <v>0</v>
      </c>
      <c r="BK14" s="0" t="n">
        <f aca="false">IF(BK12="",0,IF(AND(BK13=Milestones!$AB$71,BK12&gt;=SchemeStart),IF(AND(Milestones!$AB$71="FT",Milestones!$AA$71=FT_Y5,BK12&lt;PolicyEff),1,Milestones!$AC$71),0))</f>
        <v>0</v>
      </c>
      <c r="BL14" s="0" t="n">
        <f aca="false">IF(BL12="",0,IF(AND(BL13=Milestones!$AB$72,BL12&gt;=SchemeStart),IF(AND(Milestones!$AB$72="FT",Milestones!$AA$72=FT_Y5,BL12&lt;PolicyEff),1,Milestones!$AC$72),0))</f>
        <v>0</v>
      </c>
      <c r="BM14" s="0" t="n">
        <f aca="false">IF(BM12="",0,IF(AND(BM13=Milestones!$AB$73,BM12&gt;=SchemeStart),IF(AND(Milestones!$AB$73="FT",Milestones!$AA$73=FT_Y5,BM12&lt;PolicyEff),1,Milestones!$AC$73),0))</f>
        <v>0</v>
      </c>
      <c r="BN14" s="0" t="n">
        <f aca="false">IF(BN12="",0,IF(AND(BN13=Milestones!$AB$74,BN12&gt;=SchemeStart),IF(AND(Milestones!$AB$74="FT",Milestones!$AA$74=FT_Y5,BN12&lt;PolicyEff),1,Milestones!$AC$74),0))</f>
        <v>0</v>
      </c>
      <c r="BO14" s="0" t="n">
        <f aca="false">IF(BO12="",0,IF(AND(BO13=Milestones!$AB$75,BO12&gt;=SchemeStart),IF(AND(Milestones!$AB$75="FT",Milestones!$AA$75=FT_Y5,BO12&lt;PolicyEff),1,Milestones!$AC$75),0))</f>
        <v>0</v>
      </c>
      <c r="BP14" s="0" t="n">
        <f aca="false">IF(BP12="",0,IF(AND(BP13=Milestones!$AB$76,BP12&gt;=SchemeStart),IF(AND(Milestones!$AB$76="FT",Milestones!$AA$76=FT_Y5,BP12&lt;PolicyEff),1,Milestones!$AC$76),0))</f>
        <v>0</v>
      </c>
      <c r="BQ14" s="0" t="n">
        <f aca="false">IF(BQ12="",0,IF(AND(BQ13=Milestones!$AB$77,BQ12&gt;=SchemeStart),IF(AND(Milestones!$AB$77="FT",Milestones!$AA$77=FT_Y5,BQ12&lt;PolicyEff),1,Milestones!$AC$77),0))</f>
        <v>0</v>
      </c>
      <c r="BR14" s="0" t="n">
        <f aca="false">IF(BR12="",0,IF(AND(BR13=Milestones!$AB$78,BR12&gt;=SchemeStart),IF(AND(Milestones!$AB$78="FT",Milestones!$AA$78=FT_Y5,BR12&lt;PolicyEff),1,Milestones!$AC$78),0))</f>
        <v>0</v>
      </c>
      <c r="BS14" s="0" t="n">
        <f aca="false">IF(BS12="",0,IF(AND(BS13=Milestones!$AB$79,BS12&gt;=SchemeStart),IF(AND(Milestones!$AB$79="FT",Milestones!$AA$79=FT_Y5,BS12&lt;PolicyEff),1,Milestones!$AC$79),0))</f>
        <v>0</v>
      </c>
      <c r="BT14" s="0" t="n">
        <f aca="false">IF(BT12="",0,IF(AND(BT13=Milestones!$AB$80,BT12&gt;=SchemeStart),IF(AND(Milestones!$AB$80="FT",Milestones!$AA$80=FT_Y5,BT12&lt;PolicyEff),1,Milestones!$AC$80),0))</f>
        <v>0</v>
      </c>
      <c r="BU14" s="0" t="n">
        <f aca="false">IF(BU12="",0,IF(AND(BU13=Milestones!$AB$81,BU12&gt;=SchemeStart),IF(AND(Milestones!$AB$81="FT",Milestones!$AA$81=FT_Y5,BU12&lt;PolicyEff),1,Milestones!$AC$81),0))</f>
        <v>0</v>
      </c>
      <c r="BV14" s="0" t="n">
        <f aca="false">IF(BV12="",0,IF(AND(BV13=Milestones!$AB$82,BV12&gt;=SchemeStart),IF(AND(Milestones!$AB$82="FT",Milestones!$AA$82=FT_Y5,BV12&lt;PolicyEff),1,Milestones!$AC$82),0))</f>
        <v>0</v>
      </c>
      <c r="BW14" s="0" t="n">
        <f aca="false">IF(BW12="",0,IF(AND(BW13=Milestones!$AB$83,BW12&gt;=SchemeStart),IF(AND(Milestones!$AB$83="FT",Milestones!$AA$83=FT_Y5,BW12&lt;PolicyEff),1,Milestones!$AC$83),0))</f>
        <v>0</v>
      </c>
      <c r="BX14" s="0" t="n">
        <f aca="false">IF(BX12="",0,IF(AND(BX13=Milestones!$AB$84,BX12&gt;=SchemeStart),IF(AND(Milestones!$AB$84="FT",Milestones!$AA$84=FT_Y5,BX12&lt;PolicyEff),1,Milestones!$AC$84),0))</f>
        <v>0</v>
      </c>
      <c r="BY14" s="0" t="n">
        <f aca="false">IF(BY12="",0,IF(AND(BY13=Milestones!$AB$85,BY12&gt;=SchemeStart),IF(AND(Milestones!$AB$85="FT",Milestones!$AA$85=FT_Y5,BY12&lt;PolicyEff),1,Milestones!$AC$85),0))</f>
        <v>0</v>
      </c>
      <c r="BZ14" s="0" t="n">
        <f aca="false">IF(BZ12="",0,IF(AND(BZ13=Milestones!$AB$86,BZ12&gt;=SchemeStart),IF(AND(Milestones!$AB$86="FT",Milestones!$AA$86=FT_Y5,BZ12&lt;PolicyEff),1,Milestones!$AC$86),0))</f>
        <v>0</v>
      </c>
      <c r="CA14" s="0" t="n">
        <f aca="false">IF(CA12="",0,IF(AND(CA13=Milestones!$AB$87,CA12&gt;=SchemeStart),IF(AND(Milestones!$AB$87="FT",Milestones!$AA$87=FT_Y5,CA12&lt;PolicyEff),1,Milestones!$AC$87),0))</f>
        <v>0</v>
      </c>
      <c r="CB14" s="0" t="n">
        <f aca="false">IF(CB12="",0,IF(AND(CB13=Milestones!$AB$88,CB12&gt;=SchemeStart),IF(AND(Milestones!$AB$88="FT",Milestones!$AA$88=FT_Y5,CB12&lt;PolicyEff),1,Milestones!$AC$88),0))</f>
        <v>0</v>
      </c>
      <c r="CC14" s="0" t="n">
        <f aca="false">IF(CC12="",0,IF(AND(CC13=Milestones!$AB$89,CC12&gt;=SchemeStart),IF(AND(Milestones!$AB$89="FT",Milestones!$AA$89=FT_Y5,CC12&lt;PolicyEff),1,Milestones!$AC$89),0))</f>
        <v>0</v>
      </c>
      <c r="CD14" s="0" t="n">
        <f aca="false">IF(CD12="",0,IF(AND(CD13=Milestones!$AB$90,CD12&gt;=SchemeStart),IF(AND(Milestones!$AB$90="FT",Milestones!$AA$90=FT_Y5,CD12&lt;PolicyEff),1,Milestones!$AC$90),0))</f>
        <v>0</v>
      </c>
      <c r="CE14" s="0" t="n">
        <f aca="false">IF(CE12="",0,IF(AND(CE13=Milestones!$AB$91,CE12&gt;=SchemeStart),IF(AND(Milestones!$AB$91="FT",Milestones!$AA$91=FT_Y5,CE12&lt;PolicyEff),1,Milestones!$AC$91),0))</f>
        <v>0</v>
      </c>
      <c r="CF14" s="0" t="n">
        <f aca="false">IF(CF12="",0,IF(AND(CF13=Milestones!$AB$92,CF12&gt;=SchemeStart),IF(AND(Milestones!$AB$92="FT",Milestones!$AA$92=FT_Y5,CF12&lt;PolicyEff),1,Milestones!$AC$92),0))</f>
        <v>0</v>
      </c>
      <c r="CG14" s="0" t="n">
        <f aca="false">IF(CG12="",0,IF(AND(CG13=Milestones!$AB$93,CG12&gt;=SchemeStart),IF(AND(Milestones!$AB$93="FT",Milestones!$AA$93=FT_Y5,CG12&lt;PolicyEff),1,Milestones!$AC$93),0))</f>
        <v>0</v>
      </c>
      <c r="CH14" s="0" t="n">
        <f aca="false">IF(CH12="",0,IF(AND(CH13=Milestones!$AB$94,CH12&gt;=SchemeStart),IF(AND(Milestones!$AB$94="FT",Milestones!$AA$94=FT_Y5,CH12&lt;PolicyEff),1,Milestones!$AC$94),0))</f>
        <v>0</v>
      </c>
      <c r="CI14" s="0" t="n">
        <f aca="false">IF(CI12="",0,IF(AND(CI13=Milestones!$AB$95,CI12&gt;=SchemeStart),IF(AND(Milestones!$AB$95="FT",Milestones!$AA$95=FT_Y5,CI12&lt;PolicyEff),1,Milestones!$AC$95),0))</f>
        <v>0</v>
      </c>
      <c r="CJ14" s="0" t="n">
        <f aca="false">IF(CJ12="",0,IF(AND(CJ13=Milestones!$AB$96,CJ12&gt;=SchemeStart),IF(AND(Milestones!$AB$96="FT",Milestones!$AA$96=FT_Y5,CJ12&lt;PolicyEff),1,Milestones!$AC$96),0))</f>
        <v>0</v>
      </c>
      <c r="CK14" s="0" t="n">
        <f aca="false">IF(CK12="",0,IF(AND(CK13=Milestones!$AB$97,CK12&gt;=SchemeStart),IF(AND(Milestones!$AB$97="FT",Milestones!$AA$97=FT_Y5,CK12&lt;PolicyEff),1,Milestones!$AC$97),0))</f>
        <v>0</v>
      </c>
      <c r="CL14" s="0" t="n">
        <f aca="false">IF(CL12="",0,IF(AND(CL13=Milestones!$AB$98,CL12&gt;=SchemeStart),IF(AND(Milestones!$AB$98="FT",Milestones!$AA$98=FT_Y5,CL12&lt;PolicyEff),1,Milestones!$AC$98),0))</f>
        <v>0</v>
      </c>
      <c r="CM14" s="0" t="n">
        <f aca="false">IF(CM12="",0,IF(AND(CM13=Milestones!$AB$99,CM12&gt;=SchemeStart),IF(AND(Milestones!$AB$99="FT",Milestones!$AA$99=FT_Y5,CM12&lt;PolicyEff),1,Milestones!$AC$99),0))</f>
        <v>0</v>
      </c>
      <c r="CN14" s="0" t="n">
        <f aca="false">IF(CN12="",0,IF(AND(CN13=Milestones!$AB$100,CN12&gt;=SchemeStart),IF(AND(Milestones!$AB$100="FT",Milestones!$AA$100=FT_Y5,CN12&lt;PolicyEff),1,Milestones!$AC$100),0))</f>
        <v>0</v>
      </c>
      <c r="CO14" s="0" t="n">
        <f aca="false">IF(CO12="",0,IF(AND(CO13=Milestones!$AB$101,CO12&gt;=SchemeStart),IF(AND(Milestones!$AB$101="FT",Milestones!$AA$101=FT_Y5,CO12&lt;PolicyEff),1,Milestones!$AC$101),0))</f>
        <v>0</v>
      </c>
      <c r="CP14" s="0" t="n">
        <f aca="false">IF(CP12="",0,IF(AND(CP13=Milestones!$AB$102,CP12&gt;=SchemeStart),IF(AND(Milestones!$AB$102="FT",Milestones!$AA$102=FT_Y5,CP12&lt;PolicyEff),1,Milestones!$AC$102),0))</f>
        <v>0</v>
      </c>
      <c r="CQ14" s="0" t="n">
        <f aca="false">IF(CQ12="",0,IF(AND(CQ13=Milestones!$AB$103,CQ12&gt;=SchemeStart),IF(AND(Milestones!$AB$103="FT",Milestones!$AA$103=FT_Y5,CQ12&lt;PolicyEff),1,Milestones!$AC$103),0))</f>
        <v>0</v>
      </c>
      <c r="CR14" s="0" t="n">
        <f aca="false">IF(CR12="",0,IF(AND(CR13=Milestones!$AB$104,CR12&gt;=SchemeStart),IF(AND(Milestones!$AB$104="FT",Milestones!$AA$104=FT_Y5,CR12&lt;PolicyEff),1,Milestones!$AC$104),0))</f>
        <v>0</v>
      </c>
      <c r="CS14" s="0" t="n">
        <f aca="false">IF(CS12="",0,IF(AND(CS13=Milestones!$AB$105,CS12&gt;=SchemeStart),IF(AND(Milestones!$AB$105="FT",Milestones!$AA$105=FT_Y5,CS12&lt;PolicyEff),1,Milestones!$AC$105),0))</f>
        <v>0</v>
      </c>
      <c r="CT14" s="0" t="n">
        <f aca="false">IF(CT12="",0,IF(AND(CT13=Milestones!$AB$106,CT12&gt;=SchemeStart),IF(AND(Milestones!$AB$106="FT",Milestones!$AA$106=FT_Y5,CT12&lt;PolicyEff),1,Milestones!$AC$106),0))</f>
        <v>0</v>
      </c>
      <c r="CU14" s="0" t="n">
        <f aca="false">IF(CU12="",0,IF(AND(CU13=Milestones!$AB$107,CU12&gt;=SchemeStart),IF(AND(Milestones!$AB$107="FT",Milestones!$AA$107=FT_Y5,CU12&lt;PolicyEff),1,Milestones!$AC$107),0))</f>
        <v>0</v>
      </c>
      <c r="CV14" s="0" t="n">
        <f aca="false">IF(CV12="",0,IF(AND(CV13=Milestones!$AB$108,CV12&gt;=SchemeStart),IF(AND(Milestones!$AB$108="FT",Milestones!$AA$108=FT_Y5,CV12&lt;PolicyEff),1,Milestones!$AC$108),0))</f>
        <v>0</v>
      </c>
      <c r="CW14" s="0" t="n">
        <f aca="false">IF(CW12="",0,IF(AND(CW13=Milestones!$AB$109,CW12&gt;=SchemeStart),IF(AND(Milestones!$AB$109="FT",Milestones!$AA$109=FT_Y5,CW12&lt;PolicyEff),1,Milestones!$AC$109),0))</f>
        <v>0</v>
      </c>
      <c r="CX14" s="0" t="n">
        <f aca="false">IF(CX12="",0,IF(AND(CX13=Milestones!$AB$110,CX12&gt;=SchemeStart),IF(AND(Milestones!$AB$110="FT",Milestones!$AA$110=FT_Y5,CX12&lt;PolicyEff),1,Milestones!$AC$110),0))</f>
        <v>0</v>
      </c>
      <c r="CY14" s="0" t="n">
        <f aca="false">IF(CY12="",0,IF(AND(CY13=Milestones!$AB$111,CY12&gt;=SchemeStart),IF(AND(Milestones!$AB$111="FT",Milestones!$AA$111=FT_Y5,CY12&lt;PolicyEff),1,Milestones!$AC$111),0))</f>
        <v>0</v>
      </c>
      <c r="CZ14" s="0" t="n">
        <f aca="false">IF(CZ12="",0,IF(AND(CZ13=Milestones!$AB$112,CZ12&gt;=SchemeStart),IF(AND(Milestones!$AB$112="FT",Milestones!$AA$112=FT_Y5,CZ12&lt;PolicyEff),1,Milestones!$AC$112),0))</f>
        <v>0</v>
      </c>
      <c r="DA14" s="0" t="n">
        <f aca="false">IF(DA12="",0,IF(AND(DA13=Milestones!$AB$113,DA12&gt;=SchemeStart),IF(AND(Milestones!$AB$113="FT",Milestones!$AA$113=FT_Y5,DA12&lt;PolicyEff),1,Milestones!$AC$113),0))</f>
        <v>0</v>
      </c>
      <c r="DB14" s="0" t="n">
        <f aca="false">IF(DB12="",0,IF(AND(DB13=Milestones!$AB$114,DB12&gt;=SchemeStart),IF(AND(Milestones!$AB$114="FT",Milestones!$AA$114=FT_Y5,DB12&lt;PolicyEff),1,Milestones!$AC$114),0))</f>
        <v>0</v>
      </c>
      <c r="DC14" s="0" t="n">
        <f aca="false">IF(DC12="",0,IF(AND(DC13=Milestones!$AB$115,DC12&gt;=SchemeStart),IF(AND(Milestones!$AB$115="FT",Milestones!$AA$115=FT_Y5,DC12&lt;PolicyEff),1,Milestones!$AC$115),0))</f>
        <v>0</v>
      </c>
      <c r="DD14" s="0" t="n">
        <f aca="false">IF(DD12="",0,IF(AND(DD13=Milestones!$AB$116,DD12&gt;=SchemeStart),IF(AND(Milestones!$AB$116="FT",Milestones!$AA$116=FT_Y5,DD12&lt;PolicyEff),1,Milestones!$AC$116),0))</f>
        <v>0</v>
      </c>
      <c r="DE14" s="0" t="n">
        <f aca="false">IF(DE12="",0,IF(AND(DE13=Milestones!$AB$117,DE12&gt;=SchemeStart),IF(AND(Milestones!$AB$117="FT",Milestones!$AA$117=FT_Y5,DE12&lt;PolicyEff),1,Milestones!$AC$117),0))</f>
        <v>0</v>
      </c>
      <c r="DF14" s="0" t="n">
        <f aca="false">IF(DF12="",0,IF(AND(DF13=Milestones!$AB$118,DF12&gt;=SchemeStart),IF(AND(Milestones!$AB$118="FT",Milestones!$AA$118=FT_Y5,DF12&lt;PolicyEff),1,Milestones!$AC$118),0))</f>
        <v>0</v>
      </c>
      <c r="DG14" s="0" t="n">
        <f aca="false">IF(DG12="",0,IF(AND(DG13=Milestones!$AB$119,DG12&gt;=SchemeStart),IF(AND(Milestones!$AB$119="FT",Milestones!$AA$119=FT_Y5,DG12&lt;PolicyEff),1,Milestones!$AC$119),0))</f>
        <v>0</v>
      </c>
      <c r="DH14" s="0" t="n">
        <f aca="false">IF(DH12="",0,IF(AND(DH13=Milestones!$AB$120,DH12&gt;=SchemeStart),IF(AND(Milestones!$AB$120="FT",Milestones!$AA$120=FT_Y5,DH12&lt;PolicyEff),1,Milestones!$AC$120),0))</f>
        <v>0</v>
      </c>
      <c r="DI14" s="0" t="n">
        <f aca="false">IF(DI12="",0,IF(AND(DI13=Milestones!$AB$121,DI12&gt;=SchemeStart),IF(AND(Milestones!$AB$121="FT",Milestones!$AA$121=FT_Y5,DI12&lt;PolicyEff),1,Milestones!$AC$121),0))</f>
        <v>0</v>
      </c>
      <c r="DJ14" s="0" t="n">
        <f aca="false">IF(DJ12="",0,IF(AND(DJ13=Milestones!$AB$122,DJ12&gt;=SchemeStart),IF(AND(Milestones!$AB$122="FT",Milestones!$AA$122=FT_Y5,DJ12&lt;PolicyEff),1,Milestones!$AC$122),0))</f>
        <v>0</v>
      </c>
      <c r="DK14" s="0" t="n">
        <f aca="false">IF(DK12="",0,IF(AND(DK13=Milestones!$AB$123,DK12&gt;=SchemeStart),IF(AND(Milestones!$AB$123="FT",Milestones!$AA$123=FT_Y5,DK12&lt;PolicyEff),1,Milestones!$AC$123),0))</f>
        <v>0</v>
      </c>
      <c r="DL14" s="0" t="n">
        <f aca="false">IF(DL12="",0,IF(AND(DL13=Milestones!$AB$124,DL12&gt;=SchemeStart),IF(AND(Milestones!$AB$124="FT",Milestones!$AA$124=FT_Y5,DL12&lt;PolicyEff),1,Milestones!$AC$124),0))</f>
        <v>0</v>
      </c>
      <c r="DM14" s="0" t="n">
        <f aca="false">IF(DM12="",0,IF(AND(DM13=Milestones!$AB$125,DM12&gt;=SchemeStart),IF(AND(Milestones!$AB$125="FT",Milestones!$AA$125=FT_Y5,DM12&lt;PolicyEff),1,Milestones!$AC$125),0))</f>
        <v>0</v>
      </c>
      <c r="DN14" s="0" t="n">
        <f aca="false">IF(DN12="",0,IF(AND(DN13=Milestones!$AB$126,DN12&gt;=SchemeStart),IF(AND(Milestones!$AB$126="FT",Milestones!$AA$126=FT_Y5,DN12&lt;PolicyEff),1,Milestones!$AC$126),0))</f>
        <v>0</v>
      </c>
      <c r="DO14" s="0" t="n">
        <f aca="false">IF(DO12="",0,IF(AND(DO13=Milestones!$AB$127,DO12&gt;=SchemeStart),IF(AND(Milestones!$AB$127="FT",Milestones!$AA$127=FT_Y5,DO12&lt;PolicyEff),1,Milestones!$AC$127),0))</f>
        <v>0</v>
      </c>
      <c r="DP14" s="0" t="n">
        <f aca="false">IF(DP12="",0,IF(AND(DP13=Milestones!$AB$128,DP12&gt;=SchemeStart),IF(AND(Milestones!$AB$128="FT",Milestones!$AA$128=FT_Y5,DP12&lt;PolicyEff),1,Milestones!$AC$128),0))</f>
        <v>0</v>
      </c>
      <c r="DQ14" s="0" t="n">
        <f aca="false">IF(DQ12="",0,IF(AND(DQ13=Milestones!$AB$129,DQ12&gt;=SchemeStart),IF(AND(Milestones!$AB$129="FT",Milestones!$AA$129=FT_Y5,DQ12&lt;PolicyEff),1,Milestones!$AC$129),0))</f>
        <v>0</v>
      </c>
      <c r="DR14" s="0" t="n">
        <f aca="false">IF(DR12="",0,IF(AND(DR13=Milestones!$AB$130,DR12&gt;=SchemeStart),IF(AND(Milestones!$AB$130="FT",Milestones!$AA$130=FT_Y5,DR12&lt;PolicyEff),1,Milestones!$AC$130),0))</f>
        <v>0</v>
      </c>
      <c r="DS14" s="0" t="n">
        <f aca="false">IF(DS12="",0,IF(AND(DS13=Milestones!$AB$131,DS12&gt;=SchemeStart),IF(AND(Milestones!$AB$131="FT",Milestones!$AA$131=FT_Y5,DS12&lt;PolicyEff),1,Milestones!$AC$131),0))</f>
        <v>0</v>
      </c>
      <c r="DT14" s="0" t="n">
        <f aca="false">IF(DT12="",0,IF(AND(DT13=Milestones!$AB$132,DT12&gt;=SchemeStart),IF(AND(Milestones!$AB$132="FT",Milestones!$AA$132=FT_Y5,DT12&lt;PolicyEff),1,Milestones!$AC$132),0))</f>
        <v>0</v>
      </c>
      <c r="DU14" s="0" t="n">
        <f aca="false">IF(DU12="",0,IF(AND(DU13=Milestones!$AB$133,DU12&gt;=SchemeStart),IF(AND(Milestones!$AB$133="FT",Milestones!$AA$133=FT_Y5,DU12&lt;PolicyEff),1,Milestones!$AC$133),0))</f>
        <v>0</v>
      </c>
      <c r="DV14" s="0" t="n">
        <f aca="false">IF(DV12="",0,IF(AND(DV13=Milestones!$AB$134,DV12&gt;=SchemeStart),IF(AND(Milestones!$AB$134="FT",Milestones!$AA$134=FT_Y5,DV12&lt;PolicyEff),1,Milestones!$AC$134),0))</f>
        <v>0</v>
      </c>
      <c r="DW14" s="0" t="n">
        <f aca="false">IF(DW12="",0,IF(AND(DW13=Milestones!$AB$135,DW12&gt;=SchemeStart),IF(AND(Milestones!$AB$135="FT",Milestones!$AA$135=FT_Y5,DW12&lt;PolicyEff),1,Milestones!$AC$135),0))</f>
        <v>0</v>
      </c>
      <c r="DX14" s="0" t="n">
        <f aca="false">IF(DX12="",0,IF(AND(DX13=Milestones!$AB$136,DX12&gt;=SchemeStart),IF(AND(Milestones!$AB$136="FT",Milestones!$AA$136=FT_Y5,DX12&lt;PolicyEff),1,Milestones!$AC$136),0))</f>
        <v>0</v>
      </c>
      <c r="DY14" s="0" t="n">
        <f aca="false">IF(DY12="",0,IF(AND(DY13=Milestones!$AB$137,DY12&gt;=SchemeStart),IF(AND(Milestones!$AB$137="FT",Milestones!$AA$137=FT_Y5,DY12&lt;PolicyEff),1,Milestones!$AC$137),0))</f>
        <v>0</v>
      </c>
      <c r="DZ14" s="0" t="n">
        <f aca="false">IF(DZ12="",0,IF(AND(DZ13=Milestones!$AB$138,DZ12&gt;=SchemeStart),IF(AND(Milestones!$AB$138="FT",Milestones!$AA$138=FT_Y5,DZ12&lt;PolicyEff),1,Milestones!$AC$138),0))</f>
        <v>0</v>
      </c>
      <c r="EA14" s="0" t="n">
        <f aca="false">IF(EA12="",0,IF(AND(EA13=Milestones!$AB$139,EA12&gt;=SchemeStart),IF(AND(Milestones!$AB$139="FT",Milestones!$AA$139=FT_Y5,EA12&lt;PolicyEff),1,Milestones!$AC$139),0))</f>
        <v>0</v>
      </c>
      <c r="EB14" s="0" t="n">
        <f aca="false">IF(EB12="",0,IF(AND(EB13=Milestones!$AB$140,EB12&gt;=SchemeStart),IF(AND(Milestones!$AB$140="FT",Milestones!$AA$140=FT_Y5,EB12&lt;PolicyEff),1,Milestones!$AC$140),0))</f>
        <v>0</v>
      </c>
      <c r="EC14" s="0" t="n">
        <f aca="false">IF(EC12="",0,IF(AND(EC13=Milestones!$AB$141,EC12&gt;=SchemeStart),IF(AND(Milestones!$AB$141="FT",Milestones!$AA$141=FT_Y5,EC12&lt;PolicyEff),1,Milestones!$AC$141),0))</f>
        <v>0</v>
      </c>
      <c r="ED14" s="0" t="n">
        <f aca="false">IF(ED12="",0,IF(AND(ED13=Milestones!$AB$142,ED12&gt;=SchemeStart),IF(AND(Milestones!$AB$142="FT",Milestones!$AA$142=FT_Y5,ED12&lt;PolicyEff),1,Milestones!$AC$142),0))</f>
        <v>0</v>
      </c>
      <c r="EE14" s="0" t="n">
        <f aca="false">IF(EE12="",0,IF(AND(EE13=Milestones!$AB$143,EE12&gt;=SchemeStart),IF(AND(Milestones!$AB$143="FT",Milestones!$AA$143=FT_Y5,EE12&lt;PolicyEff),1,Milestones!$AC$143),0))</f>
        <v>0</v>
      </c>
      <c r="EF14" s="0" t="n">
        <f aca="false">IF(EF12="",0,IF(AND(EF13=Milestones!$AB$144,EF12&gt;=SchemeStart),IF(AND(Milestones!$AB$144="FT",Milestones!$AA$144=FT_Y5,EF12&lt;PolicyEff),1,Milestones!$AC$144),0))</f>
        <v>0</v>
      </c>
      <c r="EG14" s="0" t="n">
        <f aca="false">IF(EG12="",0,IF(AND(EG13=Milestones!$AB$145,EG12&gt;=SchemeStart),IF(AND(Milestones!$AB$145="FT",Milestones!$AA$145=FT_Y5,EG12&lt;PolicyEff),1,Milestones!$AC$145),0))</f>
        <v>0</v>
      </c>
      <c r="EH14" s="0" t="n">
        <f aca="false">IF(EH12="",0,IF(AND(EH13=Milestones!$AB$146,EH12&gt;=SchemeStart),IF(AND(Milestones!$AB$146="FT",Milestones!$AA$146=FT_Y5,EH12&lt;PolicyEff),1,Milestones!$AC$146),0))</f>
        <v>0</v>
      </c>
      <c r="EI14" s="0" t="n">
        <f aca="false">IF(EI12="",0,IF(AND(EI13=Milestones!$AB$147,EI12&gt;=SchemeStart),IF(AND(Milestones!$AB$147="FT",Milestones!$AA$147=FT_Y5,EI12&lt;PolicyEff),1,Milestones!$AC$147),0))</f>
        <v>0</v>
      </c>
      <c r="EJ14" s="0" t="n">
        <f aca="false">IF(EJ12="",0,IF(AND(EJ13=Milestones!$AB$148,EJ12&gt;=SchemeStart),IF(AND(Milestones!$AB$148="FT",Milestones!$AA$148=FT_Y5,EJ12&lt;PolicyEff),1,Milestones!$AC$148),0))</f>
        <v>0</v>
      </c>
      <c r="EK14" s="0" t="n">
        <f aca="false">IF(EK12="",0,IF(AND(EK13=Milestones!$AB$149,EK12&gt;=SchemeStart),IF(AND(Milestones!$AB$149="FT",Milestones!$AA$149=FT_Y5,EK12&lt;PolicyEff),1,Milestones!$AC$149),0))</f>
        <v>0</v>
      </c>
      <c r="EL14" s="0" t="n">
        <f aca="false">IF(EL12="",0,IF(AND(EL13=Milestones!$AB$150,EL12&gt;=SchemeStart),IF(AND(Milestones!$AB$150="FT",Milestones!$AA$150=FT_Y5,EL12&lt;PolicyEff),1,Milestones!$AC$150),0))</f>
        <v>0</v>
      </c>
      <c r="EM14" s="0" t="n">
        <f aca="false">IF(EM12="",0,IF(AND(EM13=Milestones!$AB$151,EM12&gt;=SchemeStart),IF(AND(Milestones!$AB$151="FT",Milestones!$AA$151=FT_Y5,EM12&lt;PolicyEff),1,Milestones!$AC$151),0))</f>
        <v>0</v>
      </c>
      <c r="EN14" s="0" t="n">
        <f aca="false">IF(EN12="",0,IF(AND(EN13=Milestones!$AB$152,EN12&gt;=SchemeStart),IF(AND(Milestones!$AB$152="FT",Milestones!$AA$152=FT_Y5,EN12&lt;PolicyEff),1,Milestones!$AC$152),0))</f>
        <v>0</v>
      </c>
      <c r="EO14" s="0" t="n">
        <f aca="false">IF(EO12="",0,IF(AND(EO13=Milestones!$AB$153,EO12&gt;=SchemeStart),IF(AND(Milestones!$AB$153="FT",Milestones!$AA$153=FT_Y5,EO12&lt;PolicyEff),1,Milestones!$AC$153),0))</f>
        <v>0</v>
      </c>
      <c r="EP14" s="0" t="n">
        <f aca="false">IF(EP12="",0,IF(AND(EP13=Milestones!$AB$154,EP12&gt;=SchemeStart),IF(AND(Milestones!$AB$154="FT",Milestones!$AA$154=FT_Y5,EP12&lt;PolicyEff),1,Milestones!$AC$154),0))</f>
        <v>0</v>
      </c>
      <c r="EQ14" s="0" t="n">
        <f aca="false">IF(EQ12="",0,IF(AND(EQ13=Milestones!$AB$155,EQ12&gt;=SchemeStart),IF(AND(Milestones!$AB$155="FT",Milestones!$AA$155=FT_Y5,EQ12&lt;PolicyEff),1,Milestones!$AC$155),0))</f>
        <v>0</v>
      </c>
      <c r="ER14" s="0" t="n">
        <f aca="false">IF(ER12="",0,IF(AND(ER13=Milestones!$AB$156,ER12&gt;=SchemeStart),IF(AND(Milestones!$AB$156="FT",Milestones!$AA$156=FT_Y5,ER12&lt;PolicyEff),1,Milestones!$AC$156),0))</f>
        <v>0</v>
      </c>
      <c r="ES14" s="0" t="n">
        <f aca="false">IF(ES12="",0,IF(AND(ES13=Milestones!$AB$157,ES12&gt;=SchemeStart),IF(AND(Milestones!$AB$157="FT",Milestones!$AA$157=FT_Y5,ES12&lt;PolicyEff),1,Milestones!$AC$157),0))</f>
        <v>0</v>
      </c>
      <c r="ET14" s="0" t="n">
        <f aca="false">IF(ET12="",0,IF(AND(ET13=Milestones!$AB$158,ET12&gt;=SchemeStart),IF(AND(Milestones!$AB$158="FT",Milestones!$AA$158=FT_Y5,ET12&lt;PolicyEff),1,Milestones!$AC$158),0))</f>
        <v>0</v>
      </c>
      <c r="EU14" s="0" t="n">
        <f aca="false">IF(EU12="",0,IF(AND(EU13=Milestones!$AB$159,EU12&gt;=SchemeStart),IF(AND(Milestones!$AB$159="FT",Milestones!$AA$159=FT_Y5,EU12&lt;PolicyEff),1,Milestones!$AC$159),0))</f>
        <v>0</v>
      </c>
      <c r="EV14" s="0" t="n">
        <f aca="false">IF(EV12="",0,IF(AND(EV13=Milestones!$AB$160,EV12&gt;=SchemeStart),IF(AND(Milestones!$AB$160="FT",Milestones!$AA$160=FT_Y5,EV12&lt;PolicyEff),1,Milestones!$AC$160),0))</f>
        <v>0</v>
      </c>
      <c r="EW14" s="0" t="n">
        <f aca="false">IF(EW12="",0,IF(AND(EW13=Milestones!$AB$161,EW12&gt;=SchemeStart),IF(AND(Milestones!$AB$161="FT",Milestones!$AA$161=FT_Y5,EW12&lt;PolicyEff),1,Milestones!$AC$161),0))</f>
        <v>0</v>
      </c>
      <c r="EX14" s="0" t="n">
        <f aca="false">IF(EX12="",0,IF(AND(EX13=Milestones!$AB$162,EX12&gt;=SchemeStart),IF(AND(Milestones!$AB$162="FT",Milestones!$AA$162=FT_Y5,EX12&lt;PolicyEff),1,Milestones!$AC$162),0))</f>
        <v>0</v>
      </c>
      <c r="EY14" s="0" t="n">
        <f aca="false">IF(EY12="",0,IF(AND(EY13=Milestones!$AB$163,EY12&gt;=SchemeStart),IF(AND(Milestones!$AB$163="FT",Milestones!$AA$163=FT_Y5,EY12&lt;PolicyEff),1,Milestones!$AC$163),0))</f>
        <v>0</v>
      </c>
      <c r="EZ14" s="0" t="n">
        <f aca="false">IF(EZ12="",0,IF(AND(EZ13=Milestones!$AB$164,EZ12&gt;=SchemeStart),IF(AND(Milestones!$AB$164="FT",Milestones!$AA$164=FT_Y5,EZ12&lt;PolicyEff),1,Milestones!$AC$164),0))</f>
        <v>0</v>
      </c>
      <c r="FA14" s="0" t="n">
        <f aca="false">IF(FA12="",0,IF(AND(FA13=Milestones!$AB$165,FA12&gt;=SchemeStart),IF(AND(Milestones!$AB$165="FT",Milestones!$AA$165=FT_Y5,FA12&lt;PolicyEff),1,Milestones!$AC$165),0))</f>
        <v>0</v>
      </c>
      <c r="FB14" s="0" t="n">
        <f aca="false">IF(FB12="",0,IF(AND(FB13=Milestones!$AB$166,FB12&gt;=SchemeStart),IF(AND(Milestones!$AB$166="FT",Milestones!$AA$166=FT_Y5,FB12&lt;PolicyEff),1,Milestones!$AC$166),0))</f>
        <v>0</v>
      </c>
      <c r="FC14" s="0" t="n">
        <f aca="false">IF(FC12="",0,IF(AND(FC13=Milestones!$AB$167,FC12&gt;=SchemeStart),IF(AND(Milestones!$AB$167="FT",Milestones!$AA$167=FT_Y5,FC12&lt;PolicyEff),1,Milestones!$AC$167),0))</f>
        <v>0</v>
      </c>
      <c r="FD14" s="0" t="n">
        <f aca="false">IF(FD12="",0,IF(AND(FD13=Milestones!$AB$168,FD12&gt;=SchemeStart),IF(AND(Milestones!$AB$168="FT",Milestones!$AA$168=FT_Y5,FD12&lt;PolicyEff),1,Milestones!$AC$168),0))</f>
        <v>0</v>
      </c>
      <c r="FE14" s="0" t="n">
        <f aca="false">IF(FE12="",0,IF(AND(FE13=Milestones!$AB$169,FE12&gt;=SchemeStart),IF(AND(Milestones!$AB$169="FT",Milestones!$AA$169=FT_Y5,FE12&lt;PolicyEff),1,Milestones!$AC$169),0))</f>
        <v>0</v>
      </c>
      <c r="FF14" s="0" t="n">
        <f aca="false">IF(FF12="",0,IF(AND(FF13=Milestones!$AB$170,FF12&gt;=SchemeStart),IF(AND(Milestones!$AB$170="FT",Milestones!$AA$170=FT_Y5,FF12&lt;PolicyEff),1,Milestones!$AC$170),0))</f>
        <v>0</v>
      </c>
      <c r="FG14" s="0" t="n">
        <f aca="false">IF(FG12="",0,IF(AND(FG13=Milestones!$AB$171,FG12&gt;=SchemeStart),IF(AND(Milestones!$AB$171="FT",Milestones!$AA$171=FT_Y5,FG12&lt;PolicyEff),1,Milestones!$AC$171),0))</f>
        <v>0</v>
      </c>
      <c r="FH14" s="0" t="n">
        <f aca="false">IF(FH12="",0,IF(AND(FH13=Milestones!$AB$172,FH12&gt;=SchemeStart),IF(AND(Milestones!$AB$172="FT",Milestones!$AA$172=FT_Y5,FH12&lt;PolicyEff),1,Milestones!$AC$172),0))</f>
        <v>0</v>
      </c>
      <c r="FI14" s="0" t="n">
        <f aca="false">IF(FI12="",0,IF(AND(FI13=Milestones!$AB$173,FI12&gt;=SchemeStart),IF(AND(Milestones!$AB$173="FT",Milestones!$AA$173=FT_Y5,FI12&lt;PolicyEff),1,Milestones!$AC$173),0))</f>
        <v>0</v>
      </c>
      <c r="FJ14" s="0" t="n">
        <f aca="false">IF(FJ12="",0,IF(AND(FJ13=Milestones!$AB$174,FJ12&gt;=SchemeStart),IF(AND(Milestones!$AB$174="FT",Milestones!$AA$174=FT_Y5,FJ12&lt;PolicyEff),1,Milestones!$AC$174),0))</f>
        <v>0</v>
      </c>
      <c r="FK14" s="0" t="n">
        <f aca="false">IF(FK12="",0,IF(AND(FK13=Milestones!$AB$175,FK12&gt;=SchemeStart),IF(AND(Milestones!$AB$175="FT",Milestones!$AA$175=FT_Y5,FK12&lt;PolicyEff),1,Milestones!$AC$175),0))</f>
        <v>0</v>
      </c>
      <c r="FL14" s="0" t="n">
        <f aca="false">IF(FL12="",0,IF(AND(FL13=Milestones!$AB$176,FL12&gt;=SchemeStart),IF(AND(Milestones!$AB$176="FT",Milestones!$AA$176=FT_Y5,FL12&lt;PolicyEff),1,Milestones!$AC$176),0))</f>
        <v>0</v>
      </c>
      <c r="FM14" s="0" t="n">
        <f aca="false">IF(FM12="",0,IF(AND(FM13=Milestones!$AB$177,FM12&gt;=SchemeStart),IF(AND(Milestones!$AB$177="FT",Milestones!$AA$177=FT_Y5,FM12&lt;PolicyEff),1,Milestones!$AC$177),0))</f>
        <v>0</v>
      </c>
      <c r="FN14" s="0" t="n">
        <f aca="false">IF(FN12="",0,IF(AND(FN13=Milestones!$AB$178,FN12&gt;=SchemeStart),IF(AND(Milestones!$AB$178="FT",Milestones!$AA$178=FT_Y5,FN12&lt;PolicyEff),1,Milestones!$AC$178),0))</f>
        <v>0</v>
      </c>
      <c r="FO14" s="0" t="n">
        <f aca="false">IF(FO12="",0,IF(AND(FO13=Milestones!$AB$179,FO12&gt;=SchemeStart),IF(AND(Milestones!$AB$179="FT",Milestones!$AA$179=FT_Y5,FO12&lt;PolicyEff),1,Milestones!$AC$179),0))</f>
        <v>0</v>
      </c>
      <c r="FP14" s="0" t="n">
        <f aca="false">IF(FP12="",0,IF(AND(FP13=Milestones!$AB$180,FP12&gt;=SchemeStart),IF(AND(Milestones!$AB$180="FT",Milestones!$AA$180=FT_Y5,FP12&lt;PolicyEff),1,Milestones!$AC$180),0))</f>
        <v>0</v>
      </c>
      <c r="FQ14" s="0" t="n">
        <f aca="false">IF(FQ12="",0,IF(AND(FQ13=Milestones!$AB$181,FQ12&gt;=SchemeStart),IF(AND(Milestones!$AB$181="FT",Milestones!$AA$181=FT_Y5,FQ12&lt;PolicyEff),1,Milestones!$AC$181),0))</f>
        <v>0</v>
      </c>
      <c r="FR14" s="0" t="n">
        <f aca="false">IF(FR12="",0,IF(AND(FR13=Milestones!$AB$182,FR12&gt;=SchemeStart),IF(AND(Milestones!$AB$182="FT",Milestones!$AA$182=FT_Y5,FR12&lt;PolicyEff),1,Milestones!$AC$182),0))</f>
        <v>0</v>
      </c>
      <c r="FS14" s="0" t="n">
        <f aca="false">IF(FS12="",0,IF(AND(FS13=Milestones!$AB$183,FS12&gt;=SchemeStart),IF(AND(Milestones!$AB$183="FT",Milestones!$AA$183=FT_Y5,FS12&lt;PolicyEff),1,Milestones!$AC$183),0))</f>
        <v>0</v>
      </c>
      <c r="FT14" s="0" t="n">
        <f aca="false">IF(FT12="",0,IF(AND(FT13=Milestones!$AB$184,FT12&gt;=SchemeStart),IF(AND(Milestones!$AB$184="FT",Milestones!$AA$184=FT_Y5,FT12&lt;PolicyEff),1,Milestones!$AC$184),0))</f>
        <v>0</v>
      </c>
      <c r="FU14" s="0" t="n">
        <f aca="false">IF(FU12="",0,IF(AND(FU13=Milestones!$AB$185,FU12&gt;=SchemeStart),IF(AND(Milestones!$AB$185="FT",Milestones!$AA$185=FT_Y5,FU12&lt;PolicyEff),1,Milestones!$AC$185),0))</f>
        <v>0</v>
      </c>
      <c r="FV14" s="0" t="n">
        <f aca="false">IF(FV12="",0,IF(AND(FV13=Milestones!$AB$186,FV12&gt;=SchemeStart),IF(AND(Milestones!$AB$186="FT",Milestones!$AA$186=FT_Y5,FV12&lt;PolicyEff),1,Milestones!$AC$186),0))</f>
        <v>0</v>
      </c>
      <c r="FW14" s="0" t="n">
        <f aca="false">IF(FW12="",0,IF(AND(FW13=Milestones!$AB$187,FW12&gt;=SchemeStart),IF(AND(Milestones!$AB$187="FT",Milestones!$AA$187=FT_Y5,FW12&lt;PolicyEff),1,Milestones!$AC$187),0))</f>
        <v>0</v>
      </c>
      <c r="FX14" s="0" t="n">
        <f aca="false">IF(FX12="",0,IF(AND(FX13=Milestones!$AB$188,FX12&gt;=SchemeStart),IF(AND(Milestones!$AB$188="FT",Milestones!$AA$188=FT_Y5,FX12&lt;PolicyEff),1,Milestones!$AC$188),0))</f>
        <v>0</v>
      </c>
      <c r="FY14" s="0" t="n">
        <f aca="false">IF(FY12="",0,IF(AND(FY13=Milestones!$AB$189,FY12&gt;=SchemeStart),IF(AND(Milestones!$AB$189="FT",Milestones!$AA$189=FT_Y5,FY12&lt;PolicyEff),1,Milestones!$AC$189),0))</f>
        <v>0</v>
      </c>
      <c r="FZ14" s="0" t="n">
        <f aca="false">IF(FZ12="",0,IF(AND(FZ13=Milestones!$AB$190,FZ12&gt;=SchemeStart),IF(AND(Milestones!$AB$190="FT",Milestones!$AA$190=FT_Y5,FZ12&lt;PolicyEff),1,Milestones!$AC$190),0))</f>
        <v>0</v>
      </c>
      <c r="GA14" s="0" t="n">
        <f aca="false">IF(GA12="",0,IF(AND(GA13=Milestones!$AB$191,GA12&gt;=SchemeStart),IF(AND(Milestones!$AB$191="FT",Milestones!$AA$191=FT_Y5,GA12&lt;PolicyEff),1,Milestones!$AC$191),0))</f>
        <v>0</v>
      </c>
      <c r="GB14" s="0" t="n">
        <f aca="false">IF(GB12="",0,IF(AND(GB13=Milestones!$AB$192,GB12&gt;=SchemeStart),IF(AND(Milestones!$AB$192="FT",Milestones!$AA$192=FT_Y5,GB12&lt;PolicyEff),1,Milestones!$AC$192),0))</f>
        <v>0</v>
      </c>
      <c r="GC14" s="0" t="n">
        <f aca="false">IF(GC12="",0,IF(AND(GC13=Milestones!$AB$193,GC12&gt;=SchemeStart),IF(AND(Milestones!$AB$193="FT",Milestones!$AA$193=FT_Y5,GC12&lt;PolicyEff),1,Milestones!$AC$193),0))</f>
        <v>0</v>
      </c>
      <c r="GD14" s="0" t="n">
        <f aca="false">IF(GD12="",0,IF(AND(GD13=Milestones!$AB$194,GD12&gt;=SchemeStart),IF(AND(Milestones!$AB$194="FT",Milestones!$AA$194=FT_Y5,GD12&lt;PolicyEff),1,Milestones!$AC$194),0))</f>
        <v>0</v>
      </c>
      <c r="GE14" s="0" t="n">
        <f aca="false">IF(GE12="",0,IF(AND(GE13=Milestones!$AB$195,GE12&gt;=SchemeStart),IF(AND(Milestones!$AB$195="FT",Milestones!$AA$195=FT_Y5,GE12&lt;PolicyEff),1,Milestones!$AC$195),0))</f>
        <v>0</v>
      </c>
      <c r="GF14" s="0" t="n">
        <f aca="false">IF(GF12="",0,IF(AND(GF13=Milestones!$AB$196,GF12&gt;=SchemeStart),IF(AND(Milestones!$AB$196="FT",Milestones!$AA$196=FT_Y5,GF12&lt;PolicyEff),1,Milestones!$AC$196),0))</f>
        <v>0</v>
      </c>
      <c r="GG14" s="0" t="n">
        <f aca="false">IF(GG12="",0,IF(AND(GG13=Milestones!$AB$197,GG12&gt;=SchemeStart),IF(AND(Milestones!$AB$197="FT",Milestones!$AA$197=FT_Y5,GG12&lt;PolicyEff),1,Milestones!$AC$197),0))</f>
        <v>0</v>
      </c>
      <c r="GH14" s="0" t="n">
        <f aca="false">IF(GH12="",0,IF(AND(GH13=Milestones!$AB$198,GH12&gt;=SchemeStart),IF(AND(Milestones!$AB$198="FT",Milestones!$AA$198=FT_Y5,GH12&lt;PolicyEff),1,Milestones!$AC$198),0))</f>
        <v>0</v>
      </c>
      <c r="GI14" s="0" t="n">
        <f aca="false">IF(GI12="",0,IF(AND(GI13=Milestones!$AB$199,GI12&gt;=SchemeStart),IF(AND(Milestones!$AB$199="FT",Milestones!$AA$199=FT_Y5,GI12&lt;PolicyEff),1,Milestones!$AC$199),0))</f>
        <v>0</v>
      </c>
    </row>
    <row r="15" customFormat="false" ht="15" hidden="false" customHeight="false" outlineLevel="0" collapsed="false">
      <c r="A15" s="0" t="str">
        <f aca="false">IF('HR Tally Check'!F$7="","",'HR Tally Check'!F$7)</f>
        <v/>
      </c>
      <c r="B15" s="0" t="str">
        <f aca="false">IF(A15="","",ISNUMBER(MATCH(A15,Staff!$BR$5:$BR$154,0)))</f>
        <v/>
      </c>
      <c r="C15" s="20" t="str">
        <f aca="false">IF(B15&lt;&gt;TRUE(),"",INDEX(Staff!$AL$5:$AL$154,MATCH($A15,Staff!$BR$5:$BR$154,0)))</f>
        <v/>
      </c>
      <c r="D15" s="0" t="str">
        <f aca="false">IF(B15&lt;&gt;TRUE(),"",INDEX(Staff!$AM$5:$AM$154,MATCH($A15,Staff!$BR$5:$BR$154,0)))</f>
        <v/>
      </c>
      <c r="E15" s="20" t="str">
        <f aca="false">IF(B15&lt;&gt;TRUE(),"",INDEX(Staff!$AO$5:$AO$154,MATCH($A15,Staff!$BR$5:$BR$154,0)))</f>
        <v/>
      </c>
      <c r="F15" s="20" t="str">
        <f aca="false">IF(B15&lt;&gt;TRUE(),"",INDEX(Staff!$AP$5:$AP$154,MATCH($A15,Staff!$BR$5:$BR$154,0)))</f>
        <v/>
      </c>
      <c r="G15" s="0" t="str">
        <f aca="false">IF(B15&lt;&gt;TRUE(),"",INDEX(Staff!$AT$5:$AT$154,MATCH($A15,Staff!$BR$5:$BR$154,0)))</f>
        <v/>
      </c>
      <c r="H15" s="0" t="str">
        <f aca="false">IF(B15&lt;&gt;TRUE(),"",INDEX(Staff!$AU$5:$AU$154,MATCH($A15,Staff!$BR$5:$BR$154,0)))</f>
        <v/>
      </c>
      <c r="I15" s="0" t="str">
        <f aca="false">IF(B15&lt;&gt;TRUE(),"",INDEX(Staff!$AV$5:$AV$154,MATCH($A15,Staff!$BR$5:$BR$154,0)))</f>
        <v/>
      </c>
      <c r="J15" s="0" t="str">
        <f aca="false">IF(B15&lt;&gt;TRUE(),"",INDEX(Staff!$AW$5:$AW$154,MATCH($A15,Staff!$BR$5:$BR$154,0)))</f>
        <v/>
      </c>
      <c r="K15" s="33" t="s">
        <v>262</v>
      </c>
      <c r="L15" s="20" t="str">
        <f aca="false">IF($C15="","",EDATE($C15,Milestones!$AA$20))</f>
        <v/>
      </c>
      <c r="M15" s="20" t="str">
        <f aca="false">IF($C15="","",EDATE($C15,Milestones!$AA$21))</f>
        <v/>
      </c>
      <c r="N15" s="20" t="str">
        <f aca="false">IF($C15="","",EDATE($C15,Milestones!$AA$22))</f>
        <v/>
      </c>
      <c r="O15" s="20" t="str">
        <f aca="false">IF($C15="","",EDATE($C15,Milestones!$AA$23))</f>
        <v/>
      </c>
      <c r="P15" s="20" t="str">
        <f aca="false">IF($C15="","",EDATE($C15,Milestones!$AA$24))</f>
        <v/>
      </c>
      <c r="Q15" s="20" t="str">
        <f aca="false">IF($C15="","",EDATE($C15,Milestones!$AA$25))</f>
        <v/>
      </c>
      <c r="R15" s="20" t="str">
        <f aca="false">IF($C15="","",EDATE($C15,Milestones!$AA$26))</f>
        <v/>
      </c>
      <c r="S15" s="20" t="str">
        <f aca="false">IF($C15="","",EDATE($C15,Milestones!$AA$27))</f>
        <v/>
      </c>
      <c r="T15" s="20" t="str">
        <f aca="false">IF($C15="","",EDATE($C15,Milestones!$AA$28))</f>
        <v/>
      </c>
      <c r="U15" s="20" t="str">
        <f aca="false">IF($C15="","",EDATE($C15,Milestones!$AA$29))</f>
        <v/>
      </c>
      <c r="V15" s="20" t="str">
        <f aca="false">IF($C15="","",EDATE($C15,Milestones!$AA$30))</f>
        <v/>
      </c>
      <c r="W15" s="20" t="str">
        <f aca="false">IF($C15="","",EDATE($C15,Milestones!$AA$31))</f>
        <v/>
      </c>
      <c r="X15" s="20" t="str">
        <f aca="false">IF($C15="","",EDATE($C15,Milestones!$AA$32))</f>
        <v/>
      </c>
      <c r="Y15" s="20" t="str">
        <f aca="false">IF($C15="","",EDATE($C15,Milestones!$AA$33))</f>
        <v/>
      </c>
      <c r="Z15" s="20" t="str">
        <f aca="false">IF($C15="","",EDATE($C15,Milestones!$AA$34))</f>
        <v/>
      </c>
      <c r="AA15" s="20" t="str">
        <f aca="false">IF($C15="","",EDATE($C15,Milestones!$AA$35))</f>
        <v/>
      </c>
      <c r="AB15" s="20" t="str">
        <f aca="false">IF($C15="","",EDATE($C15,Milestones!$AA$36))</f>
        <v/>
      </c>
      <c r="AC15" s="20" t="str">
        <f aca="false">IF($C15="","",EDATE($C15,Milestones!$AA$37))</f>
        <v/>
      </c>
      <c r="AD15" s="20" t="str">
        <f aca="false">IF($C15="","",EDATE($C15,Milestones!$AA$38))</f>
        <v/>
      </c>
      <c r="AE15" s="20" t="str">
        <f aca="false">IF($C15="","",EDATE($C15,Milestones!$AA$39))</f>
        <v/>
      </c>
      <c r="AF15" s="20" t="str">
        <f aca="false">IF($C15="","",EDATE($C15,Milestones!$AA$40))</f>
        <v/>
      </c>
      <c r="AG15" s="20" t="str">
        <f aca="false">IF($C15="","",EDATE($C15,Milestones!$AA$41))</f>
        <v/>
      </c>
      <c r="AH15" s="20" t="str">
        <f aca="false">IF($C15="","",EDATE($C15,Milestones!$AA$42))</f>
        <v/>
      </c>
      <c r="AI15" s="20" t="str">
        <f aca="false">IF($C15="","",EDATE($C15,Milestones!$AA$43))</f>
        <v/>
      </c>
      <c r="AJ15" s="20" t="str">
        <f aca="false">IF($C15="","",EDATE($C15,Milestones!$AA$44))</f>
        <v/>
      </c>
      <c r="AK15" s="20" t="str">
        <f aca="false">IF($C15="","",EDATE($C15,Milestones!$AA$45))</f>
        <v/>
      </c>
      <c r="AL15" s="20" t="str">
        <f aca="false">IF($C15="","",EDATE($C15,Milestones!$AA$46))</f>
        <v/>
      </c>
      <c r="AM15" s="20" t="str">
        <f aca="false">IF($C15="","",EDATE($C15,Milestones!$AA$47))</f>
        <v/>
      </c>
      <c r="AN15" s="20" t="str">
        <f aca="false">IF($C15="","",EDATE($C15,Milestones!$AA$48))</f>
        <v/>
      </c>
      <c r="AO15" s="20" t="str">
        <f aca="false">IF($C15="","",EDATE($C15,Milestones!$AA$49))</f>
        <v/>
      </c>
      <c r="AP15" s="20" t="str">
        <f aca="false">IF($C15="","",EDATE($C15,Milestones!$AA$50))</f>
        <v/>
      </c>
      <c r="AQ15" s="20" t="str">
        <f aca="false">IF($C15="","",EDATE($C15,Milestones!$AA$51))</f>
        <v/>
      </c>
      <c r="AR15" s="20" t="str">
        <f aca="false">IF($C15="","",EDATE($C15,Milestones!$AA$52))</f>
        <v/>
      </c>
      <c r="AS15" s="20" t="str">
        <f aca="false">IF($C15="","",EDATE($C15,Milestones!$AA$53))</f>
        <v/>
      </c>
      <c r="AT15" s="20" t="str">
        <f aca="false">IF($C15="","",EDATE($C15,Milestones!$AA$54))</f>
        <v/>
      </c>
      <c r="AU15" s="20" t="str">
        <f aca="false">IF($C15="","",EDATE($C15,Milestones!$AA$55))</f>
        <v/>
      </c>
      <c r="AV15" s="20" t="str">
        <f aca="false">IF($C15="","",EDATE($C15,Milestones!$AA$56))</f>
        <v/>
      </c>
      <c r="AW15" s="20" t="str">
        <f aca="false">IF($C15="","",EDATE($C15,Milestones!$AA$57))</f>
        <v/>
      </c>
      <c r="AX15" s="20" t="str">
        <f aca="false">IF($C15="","",EDATE($C15,Milestones!$AA$58))</f>
        <v/>
      </c>
      <c r="AY15" s="20" t="str">
        <f aca="false">IF($C15="","",EDATE($C15,Milestones!$AA$59))</f>
        <v/>
      </c>
      <c r="AZ15" s="20" t="str">
        <f aca="false">IF($C15="","",EDATE($C15,Milestones!$AA$60))</f>
        <v/>
      </c>
      <c r="BA15" s="20" t="str">
        <f aca="false">IF($C15="","",EDATE($C15,Milestones!$AA$61))</f>
        <v/>
      </c>
      <c r="BB15" s="20" t="str">
        <f aca="false">IF($C15="","",EDATE($C15,Milestones!$AA$62))</f>
        <v/>
      </c>
      <c r="BC15" s="20" t="str">
        <f aca="false">IF($C15="","",EDATE($C15,Milestones!$AA$63))</f>
        <v/>
      </c>
      <c r="BD15" s="20" t="str">
        <f aca="false">IF($C15="","",EDATE($C15,Milestones!$AA$64))</f>
        <v/>
      </c>
      <c r="BE15" s="20" t="str">
        <f aca="false">IF($C15="","",EDATE($C15,Milestones!$AA$65))</f>
        <v/>
      </c>
      <c r="BF15" s="20" t="str">
        <f aca="false">IF($C15="","",EDATE($C15,Milestones!$AA$66))</f>
        <v/>
      </c>
      <c r="BG15" s="20" t="str">
        <f aca="false">IF($C15="","",EDATE($C15,Milestones!$AA$67))</f>
        <v/>
      </c>
      <c r="BH15" s="20" t="str">
        <f aca="false">IF($C15="","",EDATE($C15,Milestones!$AA$68))</f>
        <v/>
      </c>
      <c r="BI15" s="20" t="str">
        <f aca="false">IF($C15="","",EDATE($C15,Milestones!$AA$69))</f>
        <v/>
      </c>
      <c r="BJ15" s="20" t="str">
        <f aca="false">IF($C15="","",EDATE($C15,Milestones!$AA$70))</f>
        <v/>
      </c>
      <c r="BK15" s="20" t="str">
        <f aca="false">IF($C15="","",EDATE($C15,Milestones!$AA$71))</f>
        <v/>
      </c>
      <c r="BL15" s="20" t="str">
        <f aca="false">IF($C15="","",EDATE($C15,Milestones!$AA$72))</f>
        <v/>
      </c>
      <c r="BM15" s="20" t="str">
        <f aca="false">IF($C15="","",EDATE($C15,Milestones!$AA$73))</f>
        <v/>
      </c>
      <c r="BN15" s="20" t="str">
        <f aca="false">IF($C15="","",EDATE($C15,Milestones!$AA$74))</f>
        <v/>
      </c>
      <c r="BO15" s="20" t="str">
        <f aca="false">IF($C15="","",EDATE($C15,Milestones!$AA$75))</f>
        <v/>
      </c>
      <c r="BP15" s="20" t="str">
        <f aca="false">IF($C15="","",EDATE($C15,Milestones!$AA$76))</f>
        <v/>
      </c>
      <c r="BQ15" s="20" t="str">
        <f aca="false">IF($C15="","",EDATE($C15,Milestones!$AA$77))</f>
        <v/>
      </c>
      <c r="BR15" s="20" t="str">
        <f aca="false">IF($C15="","",EDATE($C15,Milestones!$AA$78))</f>
        <v/>
      </c>
      <c r="BS15" s="20" t="str">
        <f aca="false">IF($C15="","",EDATE($C15,Milestones!$AA$79))</f>
        <v/>
      </c>
      <c r="BT15" s="20" t="str">
        <f aca="false">IF($C15="","",EDATE($C15,Milestones!$AA$80))</f>
        <v/>
      </c>
      <c r="BU15" s="20" t="str">
        <f aca="false">IF($C15="","",EDATE($C15,Milestones!$AA$81))</f>
        <v/>
      </c>
      <c r="BV15" s="20" t="str">
        <f aca="false">IF($C15="","",EDATE($C15,Milestones!$AA$82))</f>
        <v/>
      </c>
      <c r="BW15" s="20" t="str">
        <f aca="false">IF($C15="","",EDATE($C15,Milestones!$AA$83))</f>
        <v/>
      </c>
      <c r="BX15" s="20" t="str">
        <f aca="false">IF($C15="","",EDATE($C15,Milestones!$AA$84))</f>
        <v/>
      </c>
      <c r="BY15" s="20" t="str">
        <f aca="false">IF($C15="","",EDATE($C15,Milestones!$AA$85))</f>
        <v/>
      </c>
      <c r="BZ15" s="20" t="str">
        <f aca="false">IF($C15="","",EDATE($C15,Milestones!$AA$86))</f>
        <v/>
      </c>
      <c r="CA15" s="20" t="str">
        <f aca="false">IF($C15="","",EDATE($C15,Milestones!$AA$87))</f>
        <v/>
      </c>
      <c r="CB15" s="20" t="str">
        <f aca="false">IF($C15="","",EDATE($C15,Milestones!$AA$88))</f>
        <v/>
      </c>
      <c r="CC15" s="20" t="str">
        <f aca="false">IF($C15="","",EDATE($C15,Milestones!$AA$89))</f>
        <v/>
      </c>
      <c r="CD15" s="20" t="str">
        <f aca="false">IF($C15="","",EDATE($C15,Milestones!$AA$90))</f>
        <v/>
      </c>
      <c r="CE15" s="20" t="str">
        <f aca="false">IF($C15="","",EDATE($C15,Milestones!$AA$91))</f>
        <v/>
      </c>
      <c r="CF15" s="20" t="str">
        <f aca="false">IF($C15="","",EDATE($C15,Milestones!$AA$92))</f>
        <v/>
      </c>
      <c r="CG15" s="20" t="str">
        <f aca="false">IF($C15="","",EDATE($C15,Milestones!$AA$93))</f>
        <v/>
      </c>
      <c r="CH15" s="20" t="str">
        <f aca="false">IF($C15="","",EDATE($C15,Milestones!$AA$94))</f>
        <v/>
      </c>
      <c r="CI15" s="20" t="str">
        <f aca="false">IF($C15="","",EDATE($C15,Milestones!$AA$95))</f>
        <v/>
      </c>
      <c r="CJ15" s="20" t="str">
        <f aca="false">IF($C15="","",EDATE($C15,Milestones!$AA$96))</f>
        <v/>
      </c>
      <c r="CK15" s="20" t="str">
        <f aca="false">IF($C15="","",EDATE($C15,Milestones!$AA$97))</f>
        <v/>
      </c>
      <c r="CL15" s="20" t="str">
        <f aca="false">IF($C15="","",EDATE($C15,Milestones!$AA$98))</f>
        <v/>
      </c>
      <c r="CM15" s="20" t="str">
        <f aca="false">IF($C15="","",EDATE($C15,Milestones!$AA$99))</f>
        <v/>
      </c>
      <c r="CN15" s="20" t="str">
        <f aca="false">IF($C15="","",EDATE($C15,Milestones!$AA$100))</f>
        <v/>
      </c>
      <c r="CO15" s="20" t="str">
        <f aca="false">IF($C15="","",EDATE($C15,Milestones!$AA$101))</f>
        <v/>
      </c>
      <c r="CP15" s="20" t="str">
        <f aca="false">IF($C15="","",EDATE($C15,Milestones!$AA$102))</f>
        <v/>
      </c>
      <c r="CQ15" s="20" t="str">
        <f aca="false">IF($C15="","",EDATE($C15,Milestones!$AA$103))</f>
        <v/>
      </c>
      <c r="CR15" s="20" t="str">
        <f aca="false">IF($C15="","",EDATE($C15,Milestones!$AA$104))</f>
        <v/>
      </c>
      <c r="CS15" s="20" t="str">
        <f aca="false">IF($C15="","",EDATE($C15,Milestones!$AA$105))</f>
        <v/>
      </c>
      <c r="CT15" s="20" t="str">
        <f aca="false">IF($C15="","",EDATE($C15,Milestones!$AA$106))</f>
        <v/>
      </c>
      <c r="CU15" s="20" t="str">
        <f aca="false">IF($C15="","",EDATE($C15,Milestones!$AA$107))</f>
        <v/>
      </c>
      <c r="CV15" s="20" t="str">
        <f aca="false">IF($C15="","",EDATE($C15,Milestones!$AA$108))</f>
        <v/>
      </c>
      <c r="CW15" s="20" t="str">
        <f aca="false">IF($C15="","",EDATE($C15,Milestones!$AA$109))</f>
        <v/>
      </c>
      <c r="CX15" s="20" t="str">
        <f aca="false">IF($C15="","",EDATE($C15,Milestones!$AA$110))</f>
        <v/>
      </c>
      <c r="CY15" s="20" t="str">
        <f aca="false">IF($C15="","",EDATE($C15,Milestones!$AA$111))</f>
        <v/>
      </c>
      <c r="CZ15" s="20" t="str">
        <f aca="false">IF($C15="","",EDATE($C15,Milestones!$AA$112))</f>
        <v/>
      </c>
      <c r="DA15" s="20" t="str">
        <f aca="false">IF($C15="","",EDATE($C15,Milestones!$AA$113))</f>
        <v/>
      </c>
      <c r="DB15" s="20" t="str">
        <f aca="false">IF($C15="","",EDATE($C15,Milestones!$AA$114))</f>
        <v/>
      </c>
      <c r="DC15" s="20" t="str">
        <f aca="false">IF($C15="","",EDATE($C15,Milestones!$AA$115))</f>
        <v/>
      </c>
      <c r="DD15" s="20" t="str">
        <f aca="false">IF($C15="","",EDATE($C15,Milestones!$AA$116))</f>
        <v/>
      </c>
      <c r="DE15" s="20" t="str">
        <f aca="false">IF($C15="","",EDATE($C15,Milestones!$AA$117))</f>
        <v/>
      </c>
      <c r="DF15" s="20" t="str">
        <f aca="false">IF($C15="","",EDATE($C15,Milestones!$AA$118))</f>
        <v/>
      </c>
      <c r="DG15" s="20" t="str">
        <f aca="false">IF($C15="","",EDATE($C15,Milestones!$AA$119))</f>
        <v/>
      </c>
      <c r="DH15" s="20" t="str">
        <f aca="false">IF($C15="","",EDATE($C15,Milestones!$AA$120))</f>
        <v/>
      </c>
      <c r="DI15" s="20" t="str">
        <f aca="false">IF($C15="","",EDATE($C15,Milestones!$AA$121))</f>
        <v/>
      </c>
      <c r="DJ15" s="20" t="str">
        <f aca="false">IF($C15="","",EDATE($C15,Milestones!$AA$122))</f>
        <v/>
      </c>
      <c r="DK15" s="20" t="str">
        <f aca="false">IF($C15="","",EDATE($C15,Milestones!$AA$123))</f>
        <v/>
      </c>
      <c r="DL15" s="20" t="str">
        <f aca="false">IF($C15="","",EDATE($C15,Milestones!$AA$124))</f>
        <v/>
      </c>
      <c r="DM15" s="20" t="str">
        <f aca="false">IF($C15="","",EDATE($C15,Milestones!$AA$125))</f>
        <v/>
      </c>
      <c r="DN15" s="20" t="str">
        <f aca="false">IF($C15="","",EDATE($C15,Milestones!$AA$126))</f>
        <v/>
      </c>
      <c r="DO15" s="20" t="str">
        <f aca="false">IF($C15="","",EDATE($C15,Milestones!$AA$127))</f>
        <v/>
      </c>
      <c r="DP15" s="20" t="str">
        <f aca="false">IF($C15="","",EDATE($C15,Milestones!$AA$128))</f>
        <v/>
      </c>
      <c r="DQ15" s="20" t="str">
        <f aca="false">IF($C15="","",EDATE($C15,Milestones!$AA$129))</f>
        <v/>
      </c>
      <c r="DR15" s="20" t="str">
        <f aca="false">IF($C15="","",EDATE($C15,Milestones!$AA$130))</f>
        <v/>
      </c>
      <c r="DS15" s="20" t="str">
        <f aca="false">IF($C15="","",EDATE($C15,Milestones!$AA$131))</f>
        <v/>
      </c>
      <c r="DT15" s="20" t="str">
        <f aca="false">IF($C15="","",EDATE($C15,Milestones!$AA$132))</f>
        <v/>
      </c>
      <c r="DU15" s="20" t="str">
        <f aca="false">IF($C15="","",EDATE($C15,Milestones!$AA$133))</f>
        <v/>
      </c>
      <c r="DV15" s="20" t="str">
        <f aca="false">IF($C15="","",EDATE($C15,Milestones!$AA$134))</f>
        <v/>
      </c>
      <c r="DW15" s="20" t="str">
        <f aca="false">IF($C15="","",EDATE($C15,Milestones!$AA$135))</f>
        <v/>
      </c>
      <c r="DX15" s="20" t="str">
        <f aca="false">IF($C15="","",EDATE($C15,Milestones!$AA$136))</f>
        <v/>
      </c>
      <c r="DY15" s="20" t="str">
        <f aca="false">IF($C15="","",EDATE($C15,Milestones!$AA$137))</f>
        <v/>
      </c>
      <c r="DZ15" s="20" t="str">
        <f aca="false">IF($C15="","",EDATE($C15,Milestones!$AA$138))</f>
        <v/>
      </c>
      <c r="EA15" s="20" t="str">
        <f aca="false">IF($C15="","",EDATE($C15,Milestones!$AA$139))</f>
        <v/>
      </c>
      <c r="EB15" s="20" t="str">
        <f aca="false">IF($C15="","",EDATE($C15,Milestones!$AA$140))</f>
        <v/>
      </c>
      <c r="EC15" s="20" t="str">
        <f aca="false">IF($C15="","",EDATE($C15,Milestones!$AA$141))</f>
        <v/>
      </c>
      <c r="ED15" s="20" t="str">
        <f aca="false">IF($C15="","",EDATE($C15,Milestones!$AA$142))</f>
        <v/>
      </c>
      <c r="EE15" s="20" t="str">
        <f aca="false">IF($C15="","",EDATE($C15,Milestones!$AA$143))</f>
        <v/>
      </c>
      <c r="EF15" s="20" t="str">
        <f aca="false">IF($C15="","",EDATE($C15,Milestones!$AA$144))</f>
        <v/>
      </c>
      <c r="EG15" s="20" t="str">
        <f aca="false">IF($C15="","",EDATE($C15,Milestones!$AA$145))</f>
        <v/>
      </c>
      <c r="EH15" s="20" t="str">
        <f aca="false">IF($C15="","",EDATE($C15,Milestones!$AA$146))</f>
        <v/>
      </c>
      <c r="EI15" s="20" t="str">
        <f aca="false">IF($C15="","",EDATE($C15,Milestones!$AA$147))</f>
        <v/>
      </c>
      <c r="EJ15" s="20" t="str">
        <f aca="false">IF($C15="","",EDATE($C15,Milestones!$AA$148))</f>
        <v/>
      </c>
      <c r="EK15" s="20" t="str">
        <f aca="false">IF($C15="","",EDATE($C15,Milestones!$AA$149))</f>
        <v/>
      </c>
      <c r="EL15" s="20" t="str">
        <f aca="false">IF($C15="","",EDATE($C15,Milestones!$AA$150))</f>
        <v/>
      </c>
      <c r="EM15" s="20" t="str">
        <f aca="false">IF($C15="","",EDATE($C15,Milestones!$AA$151))</f>
        <v/>
      </c>
      <c r="EN15" s="20" t="str">
        <f aca="false">IF($C15="","",EDATE($C15,Milestones!$AA$152))</f>
        <v/>
      </c>
      <c r="EO15" s="20" t="str">
        <f aca="false">IF($C15="","",EDATE($C15,Milestones!$AA$153))</f>
        <v/>
      </c>
      <c r="EP15" s="20" t="str">
        <f aca="false">IF($C15="","",EDATE($C15,Milestones!$AA$154))</f>
        <v/>
      </c>
      <c r="EQ15" s="20" t="str">
        <f aca="false">IF($C15="","",EDATE($C15,Milestones!$AA$155))</f>
        <v/>
      </c>
      <c r="ER15" s="20" t="str">
        <f aca="false">IF($C15="","",EDATE($C15,Milestones!$AA$156))</f>
        <v/>
      </c>
      <c r="ES15" s="20" t="str">
        <f aca="false">IF($C15="","",EDATE($C15,Milestones!$AA$157))</f>
        <v/>
      </c>
      <c r="ET15" s="20" t="str">
        <f aca="false">IF($C15="","",EDATE($C15,Milestones!$AA$158))</f>
        <v/>
      </c>
      <c r="EU15" s="20" t="str">
        <f aca="false">IF($C15="","",EDATE($C15,Milestones!$AA$159))</f>
        <v/>
      </c>
      <c r="EV15" s="20" t="str">
        <f aca="false">IF($C15="","",EDATE($C15,Milestones!$AA$160))</f>
        <v/>
      </c>
      <c r="EW15" s="20" t="str">
        <f aca="false">IF($C15="","",EDATE($C15,Milestones!$AA$161))</f>
        <v/>
      </c>
      <c r="EX15" s="20" t="str">
        <f aca="false">IF($C15="","",EDATE($C15,Milestones!$AA$162))</f>
        <v/>
      </c>
      <c r="EY15" s="20" t="str">
        <f aca="false">IF($C15="","",EDATE($C15,Milestones!$AA$163))</f>
        <v/>
      </c>
      <c r="EZ15" s="20" t="str">
        <f aca="false">IF($C15="","",EDATE($C15,Milestones!$AA$164))</f>
        <v/>
      </c>
      <c r="FA15" s="20" t="str">
        <f aca="false">IF($C15="","",EDATE($C15,Milestones!$AA$165))</f>
        <v/>
      </c>
      <c r="FB15" s="20" t="str">
        <f aca="false">IF($C15="","",EDATE($C15,Milestones!$AA$166))</f>
        <v/>
      </c>
      <c r="FC15" s="20" t="str">
        <f aca="false">IF($C15="","",EDATE($C15,Milestones!$AA$167))</f>
        <v/>
      </c>
      <c r="FD15" s="20" t="str">
        <f aca="false">IF($C15="","",EDATE($C15,Milestones!$AA$168))</f>
        <v/>
      </c>
      <c r="FE15" s="20" t="str">
        <f aca="false">IF($C15="","",EDATE($C15,Milestones!$AA$169))</f>
        <v/>
      </c>
      <c r="FF15" s="20" t="str">
        <f aca="false">IF($C15="","",EDATE($C15,Milestones!$AA$170))</f>
        <v/>
      </c>
      <c r="FG15" s="20" t="str">
        <f aca="false">IF($C15="","",EDATE($C15,Milestones!$AA$171))</f>
        <v/>
      </c>
      <c r="FH15" s="20" t="str">
        <f aca="false">IF($C15="","",EDATE($C15,Milestones!$AA$172))</f>
        <v/>
      </c>
      <c r="FI15" s="20" t="str">
        <f aca="false">IF($C15="","",EDATE($C15,Milestones!$AA$173))</f>
        <v/>
      </c>
      <c r="FJ15" s="20" t="str">
        <f aca="false">IF($C15="","",EDATE($C15,Milestones!$AA$174))</f>
        <v/>
      </c>
      <c r="FK15" s="20" t="str">
        <f aca="false">IF($C15="","",EDATE($C15,Milestones!$AA$175))</f>
        <v/>
      </c>
      <c r="FL15" s="20" t="str">
        <f aca="false">IF($C15="","",EDATE($C15,Milestones!$AA$176))</f>
        <v/>
      </c>
      <c r="FM15" s="20" t="str">
        <f aca="false">IF($C15="","",EDATE($C15,Milestones!$AA$177))</f>
        <v/>
      </c>
      <c r="FN15" s="20" t="str">
        <f aca="false">IF($C15="","",EDATE($C15,Milestones!$AA$178))</f>
        <v/>
      </c>
      <c r="FO15" s="20" t="str">
        <f aca="false">IF($C15="","",EDATE($C15,Milestones!$AA$179))</f>
        <v/>
      </c>
      <c r="FP15" s="20" t="str">
        <f aca="false">IF($C15="","",EDATE($C15,Milestones!$AA$180))</f>
        <v/>
      </c>
      <c r="FQ15" s="20" t="str">
        <f aca="false">IF($C15="","",EDATE($C15,Milestones!$AA$181))</f>
        <v/>
      </c>
      <c r="FR15" s="20" t="str">
        <f aca="false">IF($C15="","",EDATE($C15,Milestones!$AA$182))</f>
        <v/>
      </c>
      <c r="FS15" s="20" t="str">
        <f aca="false">IF($C15="","",EDATE($C15,Milestones!$AA$183))</f>
        <v/>
      </c>
      <c r="FT15" s="20" t="str">
        <f aca="false">IF($C15="","",EDATE($C15,Milestones!$AA$184))</f>
        <v/>
      </c>
      <c r="FU15" s="20" t="str">
        <f aca="false">IF($C15="","",EDATE($C15,Milestones!$AA$185))</f>
        <v/>
      </c>
      <c r="FV15" s="20" t="str">
        <f aca="false">IF($C15="","",EDATE($C15,Milestones!$AA$186))</f>
        <v/>
      </c>
      <c r="FW15" s="20" t="str">
        <f aca="false">IF($C15="","",EDATE($C15,Milestones!$AA$187))</f>
        <v/>
      </c>
      <c r="FX15" s="20" t="str">
        <f aca="false">IF($C15="","",EDATE($C15,Milestones!$AA$188))</f>
        <v/>
      </c>
      <c r="FY15" s="20" t="str">
        <f aca="false">IF($C15="","",EDATE($C15,Milestones!$AA$189))</f>
        <v/>
      </c>
      <c r="FZ15" s="20" t="str">
        <f aca="false">IF($C15="","",EDATE($C15,Milestones!$AA$190))</f>
        <v/>
      </c>
      <c r="GA15" s="20" t="str">
        <f aca="false">IF($C15="","",EDATE($C15,Milestones!$AA$191))</f>
        <v/>
      </c>
      <c r="GB15" s="20" t="str">
        <f aca="false">IF($C15="","",EDATE($C15,Milestones!$AA$192))</f>
        <v/>
      </c>
      <c r="GC15" s="20" t="str">
        <f aca="false">IF($C15="","",EDATE($C15,Milestones!$AA$193))</f>
        <v/>
      </c>
      <c r="GD15" s="20" t="str">
        <f aca="false">IF($C15="","",EDATE($C15,Milestones!$AA$194))</f>
        <v/>
      </c>
      <c r="GE15" s="20" t="str">
        <f aca="false">IF($C15="","",EDATE($C15,Milestones!$AA$195))</f>
        <v/>
      </c>
      <c r="GF15" s="20" t="str">
        <f aca="false">IF($C15="","",EDATE($C15,Milestones!$AA$196))</f>
        <v/>
      </c>
      <c r="GG15" s="20" t="str">
        <f aca="false">IF($C15="","",EDATE($C15,Milestones!$AA$197))</f>
        <v/>
      </c>
      <c r="GH15" s="20" t="str">
        <f aca="false">IF($C15="","",EDATE($C15,Milestones!$AA$198))</f>
        <v/>
      </c>
      <c r="GI15" s="20" t="str">
        <f aca="false">IF($C15="","",EDATE($C15,Milestones!$AA$199))</f>
        <v/>
      </c>
    </row>
    <row r="16" customFormat="false" ht="15" hidden="false" customHeight="false" outlineLevel="0" collapsed="false">
      <c r="K16" s="0" t="s">
        <v>263</v>
      </c>
      <c r="L16" s="0" t="str">
        <f aca="false">IF(L15="","",IF($D15=0,$J15,IF(AND($F15&lt;&gt;"",L15&gt;=$F15),$I15,IF(AND($E15&lt;&gt;"",L15&gt;=$E15),$H15,$G15))))</f>
        <v/>
      </c>
      <c r="M16" s="0" t="str">
        <f aca="false">IF(M15="","",IF($D15=0,$J15,IF(AND($F15&lt;&gt;"",M15&gt;=$F15),$I15,IF(AND($E15&lt;&gt;"",M15&gt;=$E15),$H15,$G15))))</f>
        <v/>
      </c>
      <c r="N16" s="0" t="str">
        <f aca="false">IF(N15="","",IF($D15=0,$J15,IF(AND($F15&lt;&gt;"",N15&gt;=$F15),$I15,IF(AND($E15&lt;&gt;"",N15&gt;=$E15),$H15,$G15))))</f>
        <v/>
      </c>
      <c r="O16" s="0" t="str">
        <f aca="false">IF(O15="","",IF($D15=0,$J15,IF(AND($F15&lt;&gt;"",O15&gt;=$F15),$I15,IF(AND($E15&lt;&gt;"",O15&gt;=$E15),$H15,$G15))))</f>
        <v/>
      </c>
      <c r="P16" s="0" t="str">
        <f aca="false">IF(P15="","",IF($D15=0,$J15,IF(AND($F15&lt;&gt;"",P15&gt;=$F15),$I15,IF(AND($E15&lt;&gt;"",P15&gt;=$E15),$H15,$G15))))</f>
        <v/>
      </c>
      <c r="Q16" s="0" t="str">
        <f aca="false">IF(Q15="","",IF($D15=0,$J15,IF(AND($F15&lt;&gt;"",Q15&gt;=$F15),$I15,IF(AND($E15&lt;&gt;"",Q15&gt;=$E15),$H15,$G15))))</f>
        <v/>
      </c>
      <c r="R16" s="0" t="str">
        <f aca="false">IF(R15="","",IF($D15=0,$J15,IF(AND($F15&lt;&gt;"",R15&gt;=$F15),$I15,IF(AND($E15&lt;&gt;"",R15&gt;=$E15),$H15,$G15))))</f>
        <v/>
      </c>
      <c r="S16" s="0" t="str">
        <f aca="false">IF(S15="","",IF($D15=0,$J15,IF(AND($F15&lt;&gt;"",S15&gt;=$F15),$I15,IF(AND($E15&lt;&gt;"",S15&gt;=$E15),$H15,$G15))))</f>
        <v/>
      </c>
      <c r="T16" s="0" t="str">
        <f aca="false">IF(T15="","",IF($D15=0,$J15,IF(AND($F15&lt;&gt;"",T15&gt;=$F15),$I15,IF(AND($E15&lt;&gt;"",T15&gt;=$E15),$H15,$G15))))</f>
        <v/>
      </c>
      <c r="U16" s="0" t="str">
        <f aca="false">IF(U15="","",IF($D15=0,$J15,IF(AND($F15&lt;&gt;"",U15&gt;=$F15),$I15,IF(AND($E15&lt;&gt;"",U15&gt;=$E15),$H15,$G15))))</f>
        <v/>
      </c>
      <c r="V16" s="0" t="str">
        <f aca="false">IF(V15="","",IF($D15=0,$J15,IF(AND($F15&lt;&gt;"",V15&gt;=$F15),$I15,IF(AND($E15&lt;&gt;"",V15&gt;=$E15),$H15,$G15))))</f>
        <v/>
      </c>
      <c r="W16" s="0" t="str">
        <f aca="false">IF(W15="","",IF($D15=0,$J15,IF(AND($F15&lt;&gt;"",W15&gt;=$F15),$I15,IF(AND($E15&lt;&gt;"",W15&gt;=$E15),$H15,$G15))))</f>
        <v/>
      </c>
      <c r="X16" s="0" t="str">
        <f aca="false">IF(X15="","",IF($D15=0,$J15,IF(AND($F15&lt;&gt;"",X15&gt;=$F15),$I15,IF(AND($E15&lt;&gt;"",X15&gt;=$E15),$H15,$G15))))</f>
        <v/>
      </c>
      <c r="Y16" s="0" t="str">
        <f aca="false">IF(Y15="","",IF($D15=0,$J15,IF(AND($F15&lt;&gt;"",Y15&gt;=$F15),$I15,IF(AND($E15&lt;&gt;"",Y15&gt;=$E15),$H15,$G15))))</f>
        <v/>
      </c>
      <c r="Z16" s="0" t="str">
        <f aca="false">IF(Z15="","",IF($D15=0,$J15,IF(AND($F15&lt;&gt;"",Z15&gt;=$F15),$I15,IF(AND($E15&lt;&gt;"",Z15&gt;=$E15),$H15,$G15))))</f>
        <v/>
      </c>
      <c r="AA16" s="0" t="str">
        <f aca="false">IF(AA15="","",IF($D15=0,$J15,IF(AND($F15&lt;&gt;"",AA15&gt;=$F15),$I15,IF(AND($E15&lt;&gt;"",AA15&gt;=$E15),$H15,$G15))))</f>
        <v/>
      </c>
      <c r="AB16" s="0" t="str">
        <f aca="false">IF(AB15="","",IF($D15=0,$J15,IF(AND($F15&lt;&gt;"",AB15&gt;=$F15),$I15,IF(AND($E15&lt;&gt;"",AB15&gt;=$E15),$H15,$G15))))</f>
        <v/>
      </c>
      <c r="AC16" s="0" t="str">
        <f aca="false">IF(AC15="","",IF($D15=0,$J15,IF(AND($F15&lt;&gt;"",AC15&gt;=$F15),$I15,IF(AND($E15&lt;&gt;"",AC15&gt;=$E15),$H15,$G15))))</f>
        <v/>
      </c>
      <c r="AD16" s="0" t="str">
        <f aca="false">IF(AD15="","",IF($D15=0,$J15,IF(AND($F15&lt;&gt;"",AD15&gt;=$F15),$I15,IF(AND($E15&lt;&gt;"",AD15&gt;=$E15),$H15,$G15))))</f>
        <v/>
      </c>
      <c r="AE16" s="0" t="str">
        <f aca="false">IF(AE15="","",IF($D15=0,$J15,IF(AND($F15&lt;&gt;"",AE15&gt;=$F15),$I15,IF(AND($E15&lt;&gt;"",AE15&gt;=$E15),$H15,$G15))))</f>
        <v/>
      </c>
      <c r="AF16" s="0" t="str">
        <f aca="false">IF(AF15="","",IF($D15=0,$J15,IF(AND($F15&lt;&gt;"",AF15&gt;=$F15),$I15,IF(AND($E15&lt;&gt;"",AF15&gt;=$E15),$H15,$G15))))</f>
        <v/>
      </c>
      <c r="AG16" s="0" t="str">
        <f aca="false">IF(AG15="","",IF($D15=0,$J15,IF(AND($F15&lt;&gt;"",AG15&gt;=$F15),$I15,IF(AND($E15&lt;&gt;"",AG15&gt;=$E15),$H15,$G15))))</f>
        <v/>
      </c>
      <c r="AH16" s="0" t="str">
        <f aca="false">IF(AH15="","",IF($D15=0,$J15,IF(AND($F15&lt;&gt;"",AH15&gt;=$F15),$I15,IF(AND($E15&lt;&gt;"",AH15&gt;=$E15),$H15,$G15))))</f>
        <v/>
      </c>
      <c r="AI16" s="0" t="str">
        <f aca="false">IF(AI15="","",IF($D15=0,$J15,IF(AND($F15&lt;&gt;"",AI15&gt;=$F15),$I15,IF(AND($E15&lt;&gt;"",AI15&gt;=$E15),$H15,$G15))))</f>
        <v/>
      </c>
      <c r="AJ16" s="0" t="str">
        <f aca="false">IF(AJ15="","",IF($D15=0,$J15,IF(AND($F15&lt;&gt;"",AJ15&gt;=$F15),$I15,IF(AND($E15&lt;&gt;"",AJ15&gt;=$E15),$H15,$G15))))</f>
        <v/>
      </c>
      <c r="AK16" s="0" t="str">
        <f aca="false">IF(AK15="","",IF($D15=0,$J15,IF(AND($F15&lt;&gt;"",AK15&gt;=$F15),$I15,IF(AND($E15&lt;&gt;"",AK15&gt;=$E15),$H15,$G15))))</f>
        <v/>
      </c>
      <c r="AL16" s="0" t="str">
        <f aca="false">IF(AL15="","",IF($D15=0,$J15,IF(AND($F15&lt;&gt;"",AL15&gt;=$F15),$I15,IF(AND($E15&lt;&gt;"",AL15&gt;=$E15),$H15,$G15))))</f>
        <v/>
      </c>
      <c r="AM16" s="0" t="str">
        <f aca="false">IF(AM15="","",IF($D15=0,$J15,IF(AND($F15&lt;&gt;"",AM15&gt;=$F15),$I15,IF(AND($E15&lt;&gt;"",AM15&gt;=$E15),$H15,$G15))))</f>
        <v/>
      </c>
      <c r="AN16" s="0" t="str">
        <f aca="false">IF(AN15="","",IF($D15=0,$J15,IF(AND($F15&lt;&gt;"",AN15&gt;=$F15),$I15,IF(AND($E15&lt;&gt;"",AN15&gt;=$E15),$H15,$G15))))</f>
        <v/>
      </c>
      <c r="AO16" s="0" t="str">
        <f aca="false">IF(AO15="","",IF($D15=0,$J15,IF(AND($F15&lt;&gt;"",AO15&gt;=$F15),$I15,IF(AND($E15&lt;&gt;"",AO15&gt;=$E15),$H15,$G15))))</f>
        <v/>
      </c>
      <c r="AP16" s="0" t="str">
        <f aca="false">IF(AP15="","",IF($D15=0,$J15,IF(AND($F15&lt;&gt;"",AP15&gt;=$F15),$I15,IF(AND($E15&lt;&gt;"",AP15&gt;=$E15),$H15,$G15))))</f>
        <v/>
      </c>
      <c r="AQ16" s="0" t="str">
        <f aca="false">IF(AQ15="","",IF($D15=0,$J15,IF(AND($F15&lt;&gt;"",AQ15&gt;=$F15),$I15,IF(AND($E15&lt;&gt;"",AQ15&gt;=$E15),$H15,$G15))))</f>
        <v/>
      </c>
      <c r="AR16" s="0" t="str">
        <f aca="false">IF(AR15="","",IF($D15=0,$J15,IF(AND($F15&lt;&gt;"",AR15&gt;=$F15),$I15,IF(AND($E15&lt;&gt;"",AR15&gt;=$E15),$H15,$G15))))</f>
        <v/>
      </c>
      <c r="AS16" s="0" t="str">
        <f aca="false">IF(AS15="","",IF($D15=0,$J15,IF(AND($F15&lt;&gt;"",AS15&gt;=$F15),$I15,IF(AND($E15&lt;&gt;"",AS15&gt;=$E15),$H15,$G15))))</f>
        <v/>
      </c>
      <c r="AT16" s="0" t="str">
        <f aca="false">IF(AT15="","",IF($D15=0,$J15,IF(AND($F15&lt;&gt;"",AT15&gt;=$F15),$I15,IF(AND($E15&lt;&gt;"",AT15&gt;=$E15),$H15,$G15))))</f>
        <v/>
      </c>
      <c r="AU16" s="0" t="str">
        <f aca="false">IF(AU15="","",IF($D15=0,$J15,IF(AND($F15&lt;&gt;"",AU15&gt;=$F15),$I15,IF(AND($E15&lt;&gt;"",AU15&gt;=$E15),$H15,$G15))))</f>
        <v/>
      </c>
      <c r="AV16" s="0" t="str">
        <f aca="false">IF(AV15="","",IF($D15=0,$J15,IF(AND($F15&lt;&gt;"",AV15&gt;=$F15),$I15,IF(AND($E15&lt;&gt;"",AV15&gt;=$E15),$H15,$G15))))</f>
        <v/>
      </c>
      <c r="AW16" s="0" t="str">
        <f aca="false">IF(AW15="","",IF($D15=0,$J15,IF(AND($F15&lt;&gt;"",AW15&gt;=$F15),$I15,IF(AND($E15&lt;&gt;"",AW15&gt;=$E15),$H15,$G15))))</f>
        <v/>
      </c>
      <c r="AX16" s="0" t="str">
        <f aca="false">IF(AX15="","",IF($D15=0,$J15,IF(AND($F15&lt;&gt;"",AX15&gt;=$F15),$I15,IF(AND($E15&lt;&gt;"",AX15&gt;=$E15),$H15,$G15))))</f>
        <v/>
      </c>
      <c r="AY16" s="0" t="str">
        <f aca="false">IF(AY15="","",IF($D15=0,$J15,IF(AND($F15&lt;&gt;"",AY15&gt;=$F15),$I15,IF(AND($E15&lt;&gt;"",AY15&gt;=$E15),$H15,$G15))))</f>
        <v/>
      </c>
      <c r="AZ16" s="0" t="str">
        <f aca="false">IF(AZ15="","",IF($D15=0,$J15,IF(AND($F15&lt;&gt;"",AZ15&gt;=$F15),$I15,IF(AND($E15&lt;&gt;"",AZ15&gt;=$E15),$H15,$G15))))</f>
        <v/>
      </c>
      <c r="BA16" s="0" t="str">
        <f aca="false">IF(BA15="","",IF($D15=0,$J15,IF(AND($F15&lt;&gt;"",BA15&gt;=$F15),$I15,IF(AND($E15&lt;&gt;"",BA15&gt;=$E15),$H15,$G15))))</f>
        <v/>
      </c>
      <c r="BB16" s="0" t="str">
        <f aca="false">IF(BB15="","",IF($D15=0,$J15,IF(AND($F15&lt;&gt;"",BB15&gt;=$F15),$I15,IF(AND($E15&lt;&gt;"",BB15&gt;=$E15),$H15,$G15))))</f>
        <v/>
      </c>
      <c r="BC16" s="0" t="str">
        <f aca="false">IF(BC15="","",IF($D15=0,$J15,IF(AND($F15&lt;&gt;"",BC15&gt;=$F15),$I15,IF(AND($E15&lt;&gt;"",BC15&gt;=$E15),$H15,$G15))))</f>
        <v/>
      </c>
      <c r="BD16" s="0" t="str">
        <f aca="false">IF(BD15="","",IF($D15=0,$J15,IF(AND($F15&lt;&gt;"",BD15&gt;=$F15),$I15,IF(AND($E15&lt;&gt;"",BD15&gt;=$E15),$H15,$G15))))</f>
        <v/>
      </c>
      <c r="BE16" s="0" t="str">
        <f aca="false">IF(BE15="","",IF($D15=0,$J15,IF(AND($F15&lt;&gt;"",BE15&gt;=$F15),$I15,IF(AND($E15&lt;&gt;"",BE15&gt;=$E15),$H15,$G15))))</f>
        <v/>
      </c>
      <c r="BF16" s="0" t="str">
        <f aca="false">IF(BF15="","",IF($D15=0,$J15,IF(AND($F15&lt;&gt;"",BF15&gt;=$F15),$I15,IF(AND($E15&lt;&gt;"",BF15&gt;=$E15),$H15,$G15))))</f>
        <v/>
      </c>
      <c r="BG16" s="0" t="str">
        <f aca="false">IF(BG15="","",IF($D15=0,$J15,IF(AND($F15&lt;&gt;"",BG15&gt;=$F15),$I15,IF(AND($E15&lt;&gt;"",BG15&gt;=$E15),$H15,$G15))))</f>
        <v/>
      </c>
      <c r="BH16" s="0" t="str">
        <f aca="false">IF(BH15="","",IF($D15=0,$J15,IF(AND($F15&lt;&gt;"",BH15&gt;=$F15),$I15,IF(AND($E15&lt;&gt;"",BH15&gt;=$E15),$H15,$G15))))</f>
        <v/>
      </c>
      <c r="BI16" s="0" t="str">
        <f aca="false">IF(BI15="","",IF($D15=0,$J15,IF(AND($F15&lt;&gt;"",BI15&gt;=$F15),$I15,IF(AND($E15&lt;&gt;"",BI15&gt;=$E15),$H15,$G15))))</f>
        <v/>
      </c>
      <c r="BJ16" s="0" t="str">
        <f aca="false">IF(BJ15="","",IF($D15=0,$J15,IF(AND($F15&lt;&gt;"",BJ15&gt;=$F15),$I15,IF(AND($E15&lt;&gt;"",BJ15&gt;=$E15),$H15,$G15))))</f>
        <v/>
      </c>
      <c r="BK16" s="0" t="str">
        <f aca="false">IF(BK15="","",IF($D15=0,$J15,IF(AND($F15&lt;&gt;"",BK15&gt;=$F15),$I15,IF(AND($E15&lt;&gt;"",BK15&gt;=$E15),$H15,$G15))))</f>
        <v/>
      </c>
      <c r="BL16" s="0" t="str">
        <f aca="false">IF(BL15="","",IF($D15=0,$J15,IF(AND($F15&lt;&gt;"",BL15&gt;=$F15),$I15,IF(AND($E15&lt;&gt;"",BL15&gt;=$E15),$H15,$G15))))</f>
        <v/>
      </c>
      <c r="BM16" s="0" t="str">
        <f aca="false">IF(BM15="","",IF($D15=0,$J15,IF(AND($F15&lt;&gt;"",BM15&gt;=$F15),$I15,IF(AND($E15&lt;&gt;"",BM15&gt;=$E15),$H15,$G15))))</f>
        <v/>
      </c>
      <c r="BN16" s="0" t="str">
        <f aca="false">IF(BN15="","",IF($D15=0,$J15,IF(AND($F15&lt;&gt;"",BN15&gt;=$F15),$I15,IF(AND($E15&lt;&gt;"",BN15&gt;=$E15),$H15,$G15))))</f>
        <v/>
      </c>
      <c r="BO16" s="0" t="str">
        <f aca="false">IF(BO15="","",IF($D15=0,$J15,IF(AND($F15&lt;&gt;"",BO15&gt;=$F15),$I15,IF(AND($E15&lt;&gt;"",BO15&gt;=$E15),$H15,$G15))))</f>
        <v/>
      </c>
      <c r="BP16" s="0" t="str">
        <f aca="false">IF(BP15="","",IF($D15=0,$J15,IF(AND($F15&lt;&gt;"",BP15&gt;=$F15),$I15,IF(AND($E15&lt;&gt;"",BP15&gt;=$E15),$H15,$G15))))</f>
        <v/>
      </c>
      <c r="BQ16" s="0" t="str">
        <f aca="false">IF(BQ15="","",IF($D15=0,$J15,IF(AND($F15&lt;&gt;"",BQ15&gt;=$F15),$I15,IF(AND($E15&lt;&gt;"",BQ15&gt;=$E15),$H15,$G15))))</f>
        <v/>
      </c>
      <c r="BR16" s="0" t="str">
        <f aca="false">IF(BR15="","",IF($D15=0,$J15,IF(AND($F15&lt;&gt;"",BR15&gt;=$F15),$I15,IF(AND($E15&lt;&gt;"",BR15&gt;=$E15),$H15,$G15))))</f>
        <v/>
      </c>
      <c r="BS16" s="0" t="str">
        <f aca="false">IF(BS15="","",IF($D15=0,$J15,IF(AND($F15&lt;&gt;"",BS15&gt;=$F15),$I15,IF(AND($E15&lt;&gt;"",BS15&gt;=$E15),$H15,$G15))))</f>
        <v/>
      </c>
      <c r="BT16" s="0" t="str">
        <f aca="false">IF(BT15="","",IF($D15=0,$J15,IF(AND($F15&lt;&gt;"",BT15&gt;=$F15),$I15,IF(AND($E15&lt;&gt;"",BT15&gt;=$E15),$H15,$G15))))</f>
        <v/>
      </c>
      <c r="BU16" s="0" t="str">
        <f aca="false">IF(BU15="","",IF($D15=0,$J15,IF(AND($F15&lt;&gt;"",BU15&gt;=$F15),$I15,IF(AND($E15&lt;&gt;"",BU15&gt;=$E15),$H15,$G15))))</f>
        <v/>
      </c>
      <c r="BV16" s="0" t="str">
        <f aca="false">IF(BV15="","",IF($D15=0,$J15,IF(AND($F15&lt;&gt;"",BV15&gt;=$F15),$I15,IF(AND($E15&lt;&gt;"",BV15&gt;=$E15),$H15,$G15))))</f>
        <v/>
      </c>
      <c r="BW16" s="0" t="str">
        <f aca="false">IF(BW15="","",IF($D15=0,$J15,IF(AND($F15&lt;&gt;"",BW15&gt;=$F15),$I15,IF(AND($E15&lt;&gt;"",BW15&gt;=$E15),$H15,$G15))))</f>
        <v/>
      </c>
      <c r="BX16" s="0" t="str">
        <f aca="false">IF(BX15="","",IF($D15=0,$J15,IF(AND($F15&lt;&gt;"",BX15&gt;=$F15),$I15,IF(AND($E15&lt;&gt;"",BX15&gt;=$E15),$H15,$G15))))</f>
        <v/>
      </c>
      <c r="BY16" s="0" t="str">
        <f aca="false">IF(BY15="","",IF($D15=0,$J15,IF(AND($F15&lt;&gt;"",BY15&gt;=$F15),$I15,IF(AND($E15&lt;&gt;"",BY15&gt;=$E15),$H15,$G15))))</f>
        <v/>
      </c>
      <c r="BZ16" s="0" t="str">
        <f aca="false">IF(BZ15="","",IF($D15=0,$J15,IF(AND($F15&lt;&gt;"",BZ15&gt;=$F15),$I15,IF(AND($E15&lt;&gt;"",BZ15&gt;=$E15),$H15,$G15))))</f>
        <v/>
      </c>
      <c r="CA16" s="0" t="str">
        <f aca="false">IF(CA15="","",IF($D15=0,$J15,IF(AND($F15&lt;&gt;"",CA15&gt;=$F15),$I15,IF(AND($E15&lt;&gt;"",CA15&gt;=$E15),$H15,$G15))))</f>
        <v/>
      </c>
      <c r="CB16" s="0" t="str">
        <f aca="false">IF(CB15="","",IF($D15=0,$J15,IF(AND($F15&lt;&gt;"",CB15&gt;=$F15),$I15,IF(AND($E15&lt;&gt;"",CB15&gt;=$E15),$H15,$G15))))</f>
        <v/>
      </c>
      <c r="CC16" s="0" t="str">
        <f aca="false">IF(CC15="","",IF($D15=0,$J15,IF(AND($F15&lt;&gt;"",CC15&gt;=$F15),$I15,IF(AND($E15&lt;&gt;"",CC15&gt;=$E15),$H15,$G15))))</f>
        <v/>
      </c>
      <c r="CD16" s="0" t="str">
        <f aca="false">IF(CD15="","",IF($D15=0,$J15,IF(AND($F15&lt;&gt;"",CD15&gt;=$F15),$I15,IF(AND($E15&lt;&gt;"",CD15&gt;=$E15),$H15,$G15))))</f>
        <v/>
      </c>
      <c r="CE16" s="0" t="str">
        <f aca="false">IF(CE15="","",IF($D15=0,$J15,IF(AND($F15&lt;&gt;"",CE15&gt;=$F15),$I15,IF(AND($E15&lt;&gt;"",CE15&gt;=$E15),$H15,$G15))))</f>
        <v/>
      </c>
      <c r="CF16" s="0" t="str">
        <f aca="false">IF(CF15="","",IF($D15=0,$J15,IF(AND($F15&lt;&gt;"",CF15&gt;=$F15),$I15,IF(AND($E15&lt;&gt;"",CF15&gt;=$E15),$H15,$G15))))</f>
        <v/>
      </c>
      <c r="CG16" s="0" t="str">
        <f aca="false">IF(CG15="","",IF($D15=0,$J15,IF(AND($F15&lt;&gt;"",CG15&gt;=$F15),$I15,IF(AND($E15&lt;&gt;"",CG15&gt;=$E15),$H15,$G15))))</f>
        <v/>
      </c>
      <c r="CH16" s="0" t="str">
        <f aca="false">IF(CH15="","",IF($D15=0,$J15,IF(AND($F15&lt;&gt;"",CH15&gt;=$F15),$I15,IF(AND($E15&lt;&gt;"",CH15&gt;=$E15),$H15,$G15))))</f>
        <v/>
      </c>
      <c r="CI16" s="0" t="str">
        <f aca="false">IF(CI15="","",IF($D15=0,$J15,IF(AND($F15&lt;&gt;"",CI15&gt;=$F15),$I15,IF(AND($E15&lt;&gt;"",CI15&gt;=$E15),$H15,$G15))))</f>
        <v/>
      </c>
      <c r="CJ16" s="0" t="str">
        <f aca="false">IF(CJ15="","",IF($D15=0,$J15,IF(AND($F15&lt;&gt;"",CJ15&gt;=$F15),$I15,IF(AND($E15&lt;&gt;"",CJ15&gt;=$E15),$H15,$G15))))</f>
        <v/>
      </c>
      <c r="CK16" s="0" t="str">
        <f aca="false">IF(CK15="","",IF($D15=0,$J15,IF(AND($F15&lt;&gt;"",CK15&gt;=$F15),$I15,IF(AND($E15&lt;&gt;"",CK15&gt;=$E15),$H15,$G15))))</f>
        <v/>
      </c>
      <c r="CL16" s="0" t="str">
        <f aca="false">IF(CL15="","",IF($D15=0,$J15,IF(AND($F15&lt;&gt;"",CL15&gt;=$F15),$I15,IF(AND($E15&lt;&gt;"",CL15&gt;=$E15),$H15,$G15))))</f>
        <v/>
      </c>
      <c r="CM16" s="0" t="str">
        <f aca="false">IF(CM15="","",IF($D15=0,$J15,IF(AND($F15&lt;&gt;"",CM15&gt;=$F15),$I15,IF(AND($E15&lt;&gt;"",CM15&gt;=$E15),$H15,$G15))))</f>
        <v/>
      </c>
      <c r="CN16" s="0" t="str">
        <f aca="false">IF(CN15="","",IF($D15=0,$J15,IF(AND($F15&lt;&gt;"",CN15&gt;=$F15),$I15,IF(AND($E15&lt;&gt;"",CN15&gt;=$E15),$H15,$G15))))</f>
        <v/>
      </c>
      <c r="CO16" s="0" t="str">
        <f aca="false">IF(CO15="","",IF($D15=0,$J15,IF(AND($F15&lt;&gt;"",CO15&gt;=$F15),$I15,IF(AND($E15&lt;&gt;"",CO15&gt;=$E15),$H15,$G15))))</f>
        <v/>
      </c>
      <c r="CP16" s="0" t="str">
        <f aca="false">IF(CP15="","",IF($D15=0,$J15,IF(AND($F15&lt;&gt;"",CP15&gt;=$F15),$I15,IF(AND($E15&lt;&gt;"",CP15&gt;=$E15),$H15,$G15))))</f>
        <v/>
      </c>
      <c r="CQ16" s="0" t="str">
        <f aca="false">IF(CQ15="","",IF($D15=0,$J15,IF(AND($F15&lt;&gt;"",CQ15&gt;=$F15),$I15,IF(AND($E15&lt;&gt;"",CQ15&gt;=$E15),$H15,$G15))))</f>
        <v/>
      </c>
      <c r="CR16" s="0" t="str">
        <f aca="false">IF(CR15="","",IF($D15=0,$J15,IF(AND($F15&lt;&gt;"",CR15&gt;=$F15),$I15,IF(AND($E15&lt;&gt;"",CR15&gt;=$E15),$H15,$G15))))</f>
        <v/>
      </c>
      <c r="CS16" s="0" t="str">
        <f aca="false">IF(CS15="","",IF($D15=0,$J15,IF(AND($F15&lt;&gt;"",CS15&gt;=$F15),$I15,IF(AND($E15&lt;&gt;"",CS15&gt;=$E15),$H15,$G15))))</f>
        <v/>
      </c>
      <c r="CT16" s="0" t="str">
        <f aca="false">IF(CT15="","",IF($D15=0,$J15,IF(AND($F15&lt;&gt;"",CT15&gt;=$F15),$I15,IF(AND($E15&lt;&gt;"",CT15&gt;=$E15),$H15,$G15))))</f>
        <v/>
      </c>
      <c r="CU16" s="0" t="str">
        <f aca="false">IF(CU15="","",IF($D15=0,$J15,IF(AND($F15&lt;&gt;"",CU15&gt;=$F15),$I15,IF(AND($E15&lt;&gt;"",CU15&gt;=$E15),$H15,$G15))))</f>
        <v/>
      </c>
      <c r="CV16" s="0" t="str">
        <f aca="false">IF(CV15="","",IF($D15=0,$J15,IF(AND($F15&lt;&gt;"",CV15&gt;=$F15),$I15,IF(AND($E15&lt;&gt;"",CV15&gt;=$E15),$H15,$G15))))</f>
        <v/>
      </c>
      <c r="CW16" s="0" t="str">
        <f aca="false">IF(CW15="","",IF($D15=0,$J15,IF(AND($F15&lt;&gt;"",CW15&gt;=$F15),$I15,IF(AND($E15&lt;&gt;"",CW15&gt;=$E15),$H15,$G15))))</f>
        <v/>
      </c>
      <c r="CX16" s="0" t="str">
        <f aca="false">IF(CX15="","",IF($D15=0,$J15,IF(AND($F15&lt;&gt;"",CX15&gt;=$F15),$I15,IF(AND($E15&lt;&gt;"",CX15&gt;=$E15),$H15,$G15))))</f>
        <v/>
      </c>
      <c r="CY16" s="0" t="str">
        <f aca="false">IF(CY15="","",IF($D15=0,$J15,IF(AND($F15&lt;&gt;"",CY15&gt;=$F15),$I15,IF(AND($E15&lt;&gt;"",CY15&gt;=$E15),$H15,$G15))))</f>
        <v/>
      </c>
      <c r="CZ16" s="0" t="str">
        <f aca="false">IF(CZ15="","",IF($D15=0,$J15,IF(AND($F15&lt;&gt;"",CZ15&gt;=$F15),$I15,IF(AND($E15&lt;&gt;"",CZ15&gt;=$E15),$H15,$G15))))</f>
        <v/>
      </c>
      <c r="DA16" s="0" t="str">
        <f aca="false">IF(DA15="","",IF($D15=0,$J15,IF(AND($F15&lt;&gt;"",DA15&gt;=$F15),$I15,IF(AND($E15&lt;&gt;"",DA15&gt;=$E15),$H15,$G15))))</f>
        <v/>
      </c>
      <c r="DB16" s="0" t="str">
        <f aca="false">IF(DB15="","",IF($D15=0,$J15,IF(AND($F15&lt;&gt;"",DB15&gt;=$F15),$I15,IF(AND($E15&lt;&gt;"",DB15&gt;=$E15),$H15,$G15))))</f>
        <v/>
      </c>
      <c r="DC16" s="0" t="str">
        <f aca="false">IF(DC15="","",IF($D15=0,$J15,IF(AND($F15&lt;&gt;"",DC15&gt;=$F15),$I15,IF(AND($E15&lt;&gt;"",DC15&gt;=$E15),$H15,$G15))))</f>
        <v/>
      </c>
      <c r="DD16" s="0" t="str">
        <f aca="false">IF(DD15="","",IF($D15=0,$J15,IF(AND($F15&lt;&gt;"",DD15&gt;=$F15),$I15,IF(AND($E15&lt;&gt;"",DD15&gt;=$E15),$H15,$G15))))</f>
        <v/>
      </c>
      <c r="DE16" s="0" t="str">
        <f aca="false">IF(DE15="","",IF($D15=0,$J15,IF(AND($F15&lt;&gt;"",DE15&gt;=$F15),$I15,IF(AND($E15&lt;&gt;"",DE15&gt;=$E15),$H15,$G15))))</f>
        <v/>
      </c>
      <c r="DF16" s="0" t="str">
        <f aca="false">IF(DF15="","",IF($D15=0,$J15,IF(AND($F15&lt;&gt;"",DF15&gt;=$F15),$I15,IF(AND($E15&lt;&gt;"",DF15&gt;=$E15),$H15,$G15))))</f>
        <v/>
      </c>
      <c r="DG16" s="0" t="str">
        <f aca="false">IF(DG15="","",IF($D15=0,$J15,IF(AND($F15&lt;&gt;"",DG15&gt;=$F15),$I15,IF(AND($E15&lt;&gt;"",DG15&gt;=$E15),$H15,$G15))))</f>
        <v/>
      </c>
      <c r="DH16" s="0" t="str">
        <f aca="false">IF(DH15="","",IF($D15=0,$J15,IF(AND($F15&lt;&gt;"",DH15&gt;=$F15),$I15,IF(AND($E15&lt;&gt;"",DH15&gt;=$E15),$H15,$G15))))</f>
        <v/>
      </c>
      <c r="DI16" s="0" t="str">
        <f aca="false">IF(DI15="","",IF($D15=0,$J15,IF(AND($F15&lt;&gt;"",DI15&gt;=$F15),$I15,IF(AND($E15&lt;&gt;"",DI15&gt;=$E15),$H15,$G15))))</f>
        <v/>
      </c>
      <c r="DJ16" s="0" t="str">
        <f aca="false">IF(DJ15="","",IF($D15=0,$J15,IF(AND($F15&lt;&gt;"",DJ15&gt;=$F15),$I15,IF(AND($E15&lt;&gt;"",DJ15&gt;=$E15),$H15,$G15))))</f>
        <v/>
      </c>
      <c r="DK16" s="0" t="str">
        <f aca="false">IF(DK15="","",IF($D15=0,$J15,IF(AND($F15&lt;&gt;"",DK15&gt;=$F15),$I15,IF(AND($E15&lt;&gt;"",DK15&gt;=$E15),$H15,$G15))))</f>
        <v/>
      </c>
      <c r="DL16" s="0" t="str">
        <f aca="false">IF(DL15="","",IF($D15=0,$J15,IF(AND($F15&lt;&gt;"",DL15&gt;=$F15),$I15,IF(AND($E15&lt;&gt;"",DL15&gt;=$E15),$H15,$G15))))</f>
        <v/>
      </c>
      <c r="DM16" s="0" t="str">
        <f aca="false">IF(DM15="","",IF($D15=0,$J15,IF(AND($F15&lt;&gt;"",DM15&gt;=$F15),$I15,IF(AND($E15&lt;&gt;"",DM15&gt;=$E15),$H15,$G15))))</f>
        <v/>
      </c>
      <c r="DN16" s="0" t="str">
        <f aca="false">IF(DN15="","",IF($D15=0,$J15,IF(AND($F15&lt;&gt;"",DN15&gt;=$F15),$I15,IF(AND($E15&lt;&gt;"",DN15&gt;=$E15),$H15,$G15))))</f>
        <v/>
      </c>
      <c r="DO16" s="0" t="str">
        <f aca="false">IF(DO15="","",IF($D15=0,$J15,IF(AND($F15&lt;&gt;"",DO15&gt;=$F15),$I15,IF(AND($E15&lt;&gt;"",DO15&gt;=$E15),$H15,$G15))))</f>
        <v/>
      </c>
      <c r="DP16" s="0" t="str">
        <f aca="false">IF(DP15="","",IF($D15=0,$J15,IF(AND($F15&lt;&gt;"",DP15&gt;=$F15),$I15,IF(AND($E15&lt;&gt;"",DP15&gt;=$E15),$H15,$G15))))</f>
        <v/>
      </c>
      <c r="DQ16" s="0" t="str">
        <f aca="false">IF(DQ15="","",IF($D15=0,$J15,IF(AND($F15&lt;&gt;"",DQ15&gt;=$F15),$I15,IF(AND($E15&lt;&gt;"",DQ15&gt;=$E15),$H15,$G15))))</f>
        <v/>
      </c>
      <c r="DR16" s="0" t="str">
        <f aca="false">IF(DR15="","",IF($D15=0,$J15,IF(AND($F15&lt;&gt;"",DR15&gt;=$F15),$I15,IF(AND($E15&lt;&gt;"",DR15&gt;=$E15),$H15,$G15))))</f>
        <v/>
      </c>
      <c r="DS16" s="0" t="str">
        <f aca="false">IF(DS15="","",IF($D15=0,$J15,IF(AND($F15&lt;&gt;"",DS15&gt;=$F15),$I15,IF(AND($E15&lt;&gt;"",DS15&gt;=$E15),$H15,$G15))))</f>
        <v/>
      </c>
      <c r="DT16" s="0" t="str">
        <f aca="false">IF(DT15="","",IF($D15=0,$J15,IF(AND($F15&lt;&gt;"",DT15&gt;=$F15),$I15,IF(AND($E15&lt;&gt;"",DT15&gt;=$E15),$H15,$G15))))</f>
        <v/>
      </c>
      <c r="DU16" s="0" t="str">
        <f aca="false">IF(DU15="","",IF($D15=0,$J15,IF(AND($F15&lt;&gt;"",DU15&gt;=$F15),$I15,IF(AND($E15&lt;&gt;"",DU15&gt;=$E15),$H15,$G15))))</f>
        <v/>
      </c>
      <c r="DV16" s="0" t="str">
        <f aca="false">IF(DV15="","",IF($D15=0,$J15,IF(AND($F15&lt;&gt;"",DV15&gt;=$F15),$I15,IF(AND($E15&lt;&gt;"",DV15&gt;=$E15),$H15,$G15))))</f>
        <v/>
      </c>
      <c r="DW16" s="0" t="str">
        <f aca="false">IF(DW15="","",IF($D15=0,$J15,IF(AND($F15&lt;&gt;"",DW15&gt;=$F15),$I15,IF(AND($E15&lt;&gt;"",DW15&gt;=$E15),$H15,$G15))))</f>
        <v/>
      </c>
      <c r="DX16" s="0" t="str">
        <f aca="false">IF(DX15="","",IF($D15=0,$J15,IF(AND($F15&lt;&gt;"",DX15&gt;=$F15),$I15,IF(AND($E15&lt;&gt;"",DX15&gt;=$E15),$H15,$G15))))</f>
        <v/>
      </c>
      <c r="DY16" s="0" t="str">
        <f aca="false">IF(DY15="","",IF($D15=0,$J15,IF(AND($F15&lt;&gt;"",DY15&gt;=$F15),$I15,IF(AND($E15&lt;&gt;"",DY15&gt;=$E15),$H15,$G15))))</f>
        <v/>
      </c>
      <c r="DZ16" s="0" t="str">
        <f aca="false">IF(DZ15="","",IF($D15=0,$J15,IF(AND($F15&lt;&gt;"",DZ15&gt;=$F15),$I15,IF(AND($E15&lt;&gt;"",DZ15&gt;=$E15),$H15,$G15))))</f>
        <v/>
      </c>
      <c r="EA16" s="0" t="str">
        <f aca="false">IF(EA15="","",IF($D15=0,$J15,IF(AND($F15&lt;&gt;"",EA15&gt;=$F15),$I15,IF(AND($E15&lt;&gt;"",EA15&gt;=$E15),$H15,$G15))))</f>
        <v/>
      </c>
      <c r="EB16" s="0" t="str">
        <f aca="false">IF(EB15="","",IF($D15=0,$J15,IF(AND($F15&lt;&gt;"",EB15&gt;=$F15),$I15,IF(AND($E15&lt;&gt;"",EB15&gt;=$E15),$H15,$G15))))</f>
        <v/>
      </c>
      <c r="EC16" s="0" t="str">
        <f aca="false">IF(EC15="","",IF($D15=0,$J15,IF(AND($F15&lt;&gt;"",EC15&gt;=$F15),$I15,IF(AND($E15&lt;&gt;"",EC15&gt;=$E15),$H15,$G15))))</f>
        <v/>
      </c>
      <c r="ED16" s="0" t="str">
        <f aca="false">IF(ED15="","",IF($D15=0,$J15,IF(AND($F15&lt;&gt;"",ED15&gt;=$F15),$I15,IF(AND($E15&lt;&gt;"",ED15&gt;=$E15),$H15,$G15))))</f>
        <v/>
      </c>
      <c r="EE16" s="0" t="str">
        <f aca="false">IF(EE15="","",IF($D15=0,$J15,IF(AND($F15&lt;&gt;"",EE15&gt;=$F15),$I15,IF(AND($E15&lt;&gt;"",EE15&gt;=$E15),$H15,$G15))))</f>
        <v/>
      </c>
      <c r="EF16" s="0" t="str">
        <f aca="false">IF(EF15="","",IF($D15=0,$J15,IF(AND($F15&lt;&gt;"",EF15&gt;=$F15),$I15,IF(AND($E15&lt;&gt;"",EF15&gt;=$E15),$H15,$G15))))</f>
        <v/>
      </c>
      <c r="EG16" s="0" t="str">
        <f aca="false">IF(EG15="","",IF($D15=0,$J15,IF(AND($F15&lt;&gt;"",EG15&gt;=$F15),$I15,IF(AND($E15&lt;&gt;"",EG15&gt;=$E15),$H15,$G15))))</f>
        <v/>
      </c>
      <c r="EH16" s="0" t="str">
        <f aca="false">IF(EH15="","",IF($D15=0,$J15,IF(AND($F15&lt;&gt;"",EH15&gt;=$F15),$I15,IF(AND($E15&lt;&gt;"",EH15&gt;=$E15),$H15,$G15))))</f>
        <v/>
      </c>
      <c r="EI16" s="0" t="str">
        <f aca="false">IF(EI15="","",IF($D15=0,$J15,IF(AND($F15&lt;&gt;"",EI15&gt;=$F15),$I15,IF(AND($E15&lt;&gt;"",EI15&gt;=$E15),$H15,$G15))))</f>
        <v/>
      </c>
      <c r="EJ16" s="0" t="str">
        <f aca="false">IF(EJ15="","",IF($D15=0,$J15,IF(AND($F15&lt;&gt;"",EJ15&gt;=$F15),$I15,IF(AND($E15&lt;&gt;"",EJ15&gt;=$E15),$H15,$G15))))</f>
        <v/>
      </c>
      <c r="EK16" s="0" t="str">
        <f aca="false">IF(EK15="","",IF($D15=0,$J15,IF(AND($F15&lt;&gt;"",EK15&gt;=$F15),$I15,IF(AND($E15&lt;&gt;"",EK15&gt;=$E15),$H15,$G15))))</f>
        <v/>
      </c>
      <c r="EL16" s="0" t="str">
        <f aca="false">IF(EL15="","",IF($D15=0,$J15,IF(AND($F15&lt;&gt;"",EL15&gt;=$F15),$I15,IF(AND($E15&lt;&gt;"",EL15&gt;=$E15),$H15,$G15))))</f>
        <v/>
      </c>
      <c r="EM16" s="0" t="str">
        <f aca="false">IF(EM15="","",IF($D15=0,$J15,IF(AND($F15&lt;&gt;"",EM15&gt;=$F15),$I15,IF(AND($E15&lt;&gt;"",EM15&gt;=$E15),$H15,$G15))))</f>
        <v/>
      </c>
      <c r="EN16" s="0" t="str">
        <f aca="false">IF(EN15="","",IF($D15=0,$J15,IF(AND($F15&lt;&gt;"",EN15&gt;=$F15),$I15,IF(AND($E15&lt;&gt;"",EN15&gt;=$E15),$H15,$G15))))</f>
        <v/>
      </c>
      <c r="EO16" s="0" t="str">
        <f aca="false">IF(EO15="","",IF($D15=0,$J15,IF(AND($F15&lt;&gt;"",EO15&gt;=$F15),$I15,IF(AND($E15&lt;&gt;"",EO15&gt;=$E15),$H15,$G15))))</f>
        <v/>
      </c>
      <c r="EP16" s="0" t="str">
        <f aca="false">IF(EP15="","",IF($D15=0,$J15,IF(AND($F15&lt;&gt;"",EP15&gt;=$F15),$I15,IF(AND($E15&lt;&gt;"",EP15&gt;=$E15),$H15,$G15))))</f>
        <v/>
      </c>
      <c r="EQ16" s="0" t="str">
        <f aca="false">IF(EQ15="","",IF($D15=0,$J15,IF(AND($F15&lt;&gt;"",EQ15&gt;=$F15),$I15,IF(AND($E15&lt;&gt;"",EQ15&gt;=$E15),$H15,$G15))))</f>
        <v/>
      </c>
      <c r="ER16" s="0" t="str">
        <f aca="false">IF(ER15="","",IF($D15=0,$J15,IF(AND($F15&lt;&gt;"",ER15&gt;=$F15),$I15,IF(AND($E15&lt;&gt;"",ER15&gt;=$E15),$H15,$G15))))</f>
        <v/>
      </c>
      <c r="ES16" s="0" t="str">
        <f aca="false">IF(ES15="","",IF($D15=0,$J15,IF(AND($F15&lt;&gt;"",ES15&gt;=$F15),$I15,IF(AND($E15&lt;&gt;"",ES15&gt;=$E15),$H15,$G15))))</f>
        <v/>
      </c>
      <c r="ET16" s="0" t="str">
        <f aca="false">IF(ET15="","",IF($D15=0,$J15,IF(AND($F15&lt;&gt;"",ET15&gt;=$F15),$I15,IF(AND($E15&lt;&gt;"",ET15&gt;=$E15),$H15,$G15))))</f>
        <v/>
      </c>
      <c r="EU16" s="0" t="str">
        <f aca="false">IF(EU15="","",IF($D15=0,$J15,IF(AND($F15&lt;&gt;"",EU15&gt;=$F15),$I15,IF(AND($E15&lt;&gt;"",EU15&gt;=$E15),$H15,$G15))))</f>
        <v/>
      </c>
      <c r="EV16" s="0" t="str">
        <f aca="false">IF(EV15="","",IF($D15=0,$J15,IF(AND($F15&lt;&gt;"",EV15&gt;=$F15),$I15,IF(AND($E15&lt;&gt;"",EV15&gt;=$E15),$H15,$G15))))</f>
        <v/>
      </c>
      <c r="EW16" s="0" t="str">
        <f aca="false">IF(EW15="","",IF($D15=0,$J15,IF(AND($F15&lt;&gt;"",EW15&gt;=$F15),$I15,IF(AND($E15&lt;&gt;"",EW15&gt;=$E15),$H15,$G15))))</f>
        <v/>
      </c>
      <c r="EX16" s="0" t="str">
        <f aca="false">IF(EX15="","",IF($D15=0,$J15,IF(AND($F15&lt;&gt;"",EX15&gt;=$F15),$I15,IF(AND($E15&lt;&gt;"",EX15&gt;=$E15),$H15,$G15))))</f>
        <v/>
      </c>
      <c r="EY16" s="0" t="str">
        <f aca="false">IF(EY15="","",IF($D15=0,$J15,IF(AND($F15&lt;&gt;"",EY15&gt;=$F15),$I15,IF(AND($E15&lt;&gt;"",EY15&gt;=$E15),$H15,$G15))))</f>
        <v/>
      </c>
      <c r="EZ16" s="0" t="str">
        <f aca="false">IF(EZ15="","",IF($D15=0,$J15,IF(AND($F15&lt;&gt;"",EZ15&gt;=$F15),$I15,IF(AND($E15&lt;&gt;"",EZ15&gt;=$E15),$H15,$G15))))</f>
        <v/>
      </c>
      <c r="FA16" s="0" t="str">
        <f aca="false">IF(FA15="","",IF($D15=0,$J15,IF(AND($F15&lt;&gt;"",FA15&gt;=$F15),$I15,IF(AND($E15&lt;&gt;"",FA15&gt;=$E15),$H15,$G15))))</f>
        <v/>
      </c>
      <c r="FB16" s="0" t="str">
        <f aca="false">IF(FB15="","",IF($D15=0,$J15,IF(AND($F15&lt;&gt;"",FB15&gt;=$F15),$I15,IF(AND($E15&lt;&gt;"",FB15&gt;=$E15),$H15,$G15))))</f>
        <v/>
      </c>
      <c r="FC16" s="0" t="str">
        <f aca="false">IF(FC15="","",IF($D15=0,$J15,IF(AND($F15&lt;&gt;"",FC15&gt;=$F15),$I15,IF(AND($E15&lt;&gt;"",FC15&gt;=$E15),$H15,$G15))))</f>
        <v/>
      </c>
      <c r="FD16" s="0" t="str">
        <f aca="false">IF(FD15="","",IF($D15=0,$J15,IF(AND($F15&lt;&gt;"",FD15&gt;=$F15),$I15,IF(AND($E15&lt;&gt;"",FD15&gt;=$E15),$H15,$G15))))</f>
        <v/>
      </c>
      <c r="FE16" s="0" t="str">
        <f aca="false">IF(FE15="","",IF($D15=0,$J15,IF(AND($F15&lt;&gt;"",FE15&gt;=$F15),$I15,IF(AND($E15&lt;&gt;"",FE15&gt;=$E15),$H15,$G15))))</f>
        <v/>
      </c>
      <c r="FF16" s="0" t="str">
        <f aca="false">IF(FF15="","",IF($D15=0,$J15,IF(AND($F15&lt;&gt;"",FF15&gt;=$F15),$I15,IF(AND($E15&lt;&gt;"",FF15&gt;=$E15),$H15,$G15))))</f>
        <v/>
      </c>
      <c r="FG16" s="0" t="str">
        <f aca="false">IF(FG15="","",IF($D15=0,$J15,IF(AND($F15&lt;&gt;"",FG15&gt;=$F15),$I15,IF(AND($E15&lt;&gt;"",FG15&gt;=$E15),$H15,$G15))))</f>
        <v/>
      </c>
      <c r="FH16" s="0" t="str">
        <f aca="false">IF(FH15="","",IF($D15=0,$J15,IF(AND($F15&lt;&gt;"",FH15&gt;=$F15),$I15,IF(AND($E15&lt;&gt;"",FH15&gt;=$E15),$H15,$G15))))</f>
        <v/>
      </c>
      <c r="FI16" s="0" t="str">
        <f aca="false">IF(FI15="","",IF($D15=0,$J15,IF(AND($F15&lt;&gt;"",FI15&gt;=$F15),$I15,IF(AND($E15&lt;&gt;"",FI15&gt;=$E15),$H15,$G15))))</f>
        <v/>
      </c>
      <c r="FJ16" s="0" t="str">
        <f aca="false">IF(FJ15="","",IF($D15=0,$J15,IF(AND($F15&lt;&gt;"",FJ15&gt;=$F15),$I15,IF(AND($E15&lt;&gt;"",FJ15&gt;=$E15),$H15,$G15))))</f>
        <v/>
      </c>
      <c r="FK16" s="0" t="str">
        <f aca="false">IF(FK15="","",IF($D15=0,$J15,IF(AND($F15&lt;&gt;"",FK15&gt;=$F15),$I15,IF(AND($E15&lt;&gt;"",FK15&gt;=$E15),$H15,$G15))))</f>
        <v/>
      </c>
      <c r="FL16" s="0" t="str">
        <f aca="false">IF(FL15="","",IF($D15=0,$J15,IF(AND($F15&lt;&gt;"",FL15&gt;=$F15),$I15,IF(AND($E15&lt;&gt;"",FL15&gt;=$E15),$H15,$G15))))</f>
        <v/>
      </c>
      <c r="FM16" s="0" t="str">
        <f aca="false">IF(FM15="","",IF($D15=0,$J15,IF(AND($F15&lt;&gt;"",FM15&gt;=$F15),$I15,IF(AND($E15&lt;&gt;"",FM15&gt;=$E15),$H15,$G15))))</f>
        <v/>
      </c>
      <c r="FN16" s="0" t="str">
        <f aca="false">IF(FN15="","",IF($D15=0,$J15,IF(AND($F15&lt;&gt;"",FN15&gt;=$F15),$I15,IF(AND($E15&lt;&gt;"",FN15&gt;=$E15),$H15,$G15))))</f>
        <v/>
      </c>
      <c r="FO16" s="0" t="str">
        <f aca="false">IF(FO15="","",IF($D15=0,$J15,IF(AND($F15&lt;&gt;"",FO15&gt;=$F15),$I15,IF(AND($E15&lt;&gt;"",FO15&gt;=$E15),$H15,$G15))))</f>
        <v/>
      </c>
      <c r="FP16" s="0" t="str">
        <f aca="false">IF(FP15="","",IF($D15=0,$J15,IF(AND($F15&lt;&gt;"",FP15&gt;=$F15),$I15,IF(AND($E15&lt;&gt;"",FP15&gt;=$E15),$H15,$G15))))</f>
        <v/>
      </c>
      <c r="FQ16" s="0" t="str">
        <f aca="false">IF(FQ15="","",IF($D15=0,$J15,IF(AND($F15&lt;&gt;"",FQ15&gt;=$F15),$I15,IF(AND($E15&lt;&gt;"",FQ15&gt;=$E15),$H15,$G15))))</f>
        <v/>
      </c>
      <c r="FR16" s="0" t="str">
        <f aca="false">IF(FR15="","",IF($D15=0,$J15,IF(AND($F15&lt;&gt;"",FR15&gt;=$F15),$I15,IF(AND($E15&lt;&gt;"",FR15&gt;=$E15),$H15,$G15))))</f>
        <v/>
      </c>
      <c r="FS16" s="0" t="str">
        <f aca="false">IF(FS15="","",IF($D15=0,$J15,IF(AND($F15&lt;&gt;"",FS15&gt;=$F15),$I15,IF(AND($E15&lt;&gt;"",FS15&gt;=$E15),$H15,$G15))))</f>
        <v/>
      </c>
      <c r="FT16" s="0" t="str">
        <f aca="false">IF(FT15="","",IF($D15=0,$J15,IF(AND($F15&lt;&gt;"",FT15&gt;=$F15),$I15,IF(AND($E15&lt;&gt;"",FT15&gt;=$E15),$H15,$G15))))</f>
        <v/>
      </c>
      <c r="FU16" s="0" t="str">
        <f aca="false">IF(FU15="","",IF($D15=0,$J15,IF(AND($F15&lt;&gt;"",FU15&gt;=$F15),$I15,IF(AND($E15&lt;&gt;"",FU15&gt;=$E15),$H15,$G15))))</f>
        <v/>
      </c>
      <c r="FV16" s="0" t="str">
        <f aca="false">IF(FV15="","",IF($D15=0,$J15,IF(AND($F15&lt;&gt;"",FV15&gt;=$F15),$I15,IF(AND($E15&lt;&gt;"",FV15&gt;=$E15),$H15,$G15))))</f>
        <v/>
      </c>
      <c r="FW16" s="0" t="str">
        <f aca="false">IF(FW15="","",IF($D15=0,$J15,IF(AND($F15&lt;&gt;"",FW15&gt;=$F15),$I15,IF(AND($E15&lt;&gt;"",FW15&gt;=$E15),$H15,$G15))))</f>
        <v/>
      </c>
      <c r="FX16" s="0" t="str">
        <f aca="false">IF(FX15="","",IF($D15=0,$J15,IF(AND($F15&lt;&gt;"",FX15&gt;=$F15),$I15,IF(AND($E15&lt;&gt;"",FX15&gt;=$E15),$H15,$G15))))</f>
        <v/>
      </c>
      <c r="FY16" s="0" t="str">
        <f aca="false">IF(FY15="","",IF($D15=0,$J15,IF(AND($F15&lt;&gt;"",FY15&gt;=$F15),$I15,IF(AND($E15&lt;&gt;"",FY15&gt;=$E15),$H15,$G15))))</f>
        <v/>
      </c>
      <c r="FZ16" s="0" t="str">
        <f aca="false">IF(FZ15="","",IF($D15=0,$J15,IF(AND($F15&lt;&gt;"",FZ15&gt;=$F15),$I15,IF(AND($E15&lt;&gt;"",FZ15&gt;=$E15),$H15,$G15))))</f>
        <v/>
      </c>
      <c r="GA16" s="0" t="str">
        <f aca="false">IF(GA15="","",IF($D15=0,$J15,IF(AND($F15&lt;&gt;"",GA15&gt;=$F15),$I15,IF(AND($E15&lt;&gt;"",GA15&gt;=$E15),$H15,$G15))))</f>
        <v/>
      </c>
      <c r="GB16" s="0" t="str">
        <f aca="false">IF(GB15="","",IF($D15=0,$J15,IF(AND($F15&lt;&gt;"",GB15&gt;=$F15),$I15,IF(AND($E15&lt;&gt;"",GB15&gt;=$E15),$H15,$G15))))</f>
        <v/>
      </c>
      <c r="GC16" s="0" t="str">
        <f aca="false">IF(GC15="","",IF($D15=0,$J15,IF(AND($F15&lt;&gt;"",GC15&gt;=$F15),$I15,IF(AND($E15&lt;&gt;"",GC15&gt;=$E15),$H15,$G15))))</f>
        <v/>
      </c>
      <c r="GD16" s="0" t="str">
        <f aca="false">IF(GD15="","",IF($D15=0,$J15,IF(AND($F15&lt;&gt;"",GD15&gt;=$F15),$I15,IF(AND($E15&lt;&gt;"",GD15&gt;=$E15),$H15,$G15))))</f>
        <v/>
      </c>
      <c r="GE16" s="0" t="str">
        <f aca="false">IF(GE15="","",IF($D15=0,$J15,IF(AND($F15&lt;&gt;"",GE15&gt;=$F15),$I15,IF(AND($E15&lt;&gt;"",GE15&gt;=$E15),$H15,$G15))))</f>
        <v/>
      </c>
      <c r="GF16" s="0" t="str">
        <f aca="false">IF(GF15="","",IF($D15=0,$J15,IF(AND($F15&lt;&gt;"",GF15&gt;=$F15),$I15,IF(AND($E15&lt;&gt;"",GF15&gt;=$E15),$H15,$G15))))</f>
        <v/>
      </c>
      <c r="GG16" s="0" t="str">
        <f aca="false">IF(GG15="","",IF($D15=0,$J15,IF(AND($F15&lt;&gt;"",GG15&gt;=$F15),$I15,IF(AND($E15&lt;&gt;"",GG15&gt;=$E15),$H15,$G15))))</f>
        <v/>
      </c>
      <c r="GH16" s="0" t="str">
        <f aca="false">IF(GH15="","",IF($D15=0,$J15,IF(AND($F15&lt;&gt;"",GH15&gt;=$F15),$I15,IF(AND($E15&lt;&gt;"",GH15&gt;=$E15),$H15,$G15))))</f>
        <v/>
      </c>
      <c r="GI16" s="0" t="str">
        <f aca="false">IF(GI15="","",IF($D15=0,$J15,IF(AND($F15&lt;&gt;"",GI15&gt;=$F15),$I15,IF(AND($E15&lt;&gt;"",GI15&gt;=$E15),$H15,$G15))))</f>
        <v/>
      </c>
    </row>
    <row r="17" customFormat="false" ht="15" hidden="false" customHeight="false" outlineLevel="0" collapsed="false">
      <c r="K17" s="0" t="s">
        <v>264</v>
      </c>
      <c r="L17" s="0" t="n">
        <f aca="false">IF(L15="",0,IF(AND(L16=Milestones!$AB$20,L15&gt;=SchemeStart),IF(AND(Milestones!$AB$20="FT",Milestones!$AA$20=FT_Y5,L15&lt;PolicyEff),1,Milestones!$AC$20),0))</f>
        <v>0</v>
      </c>
      <c r="M17" s="0" t="n">
        <f aca="false">IF(M15="",0,IF(AND(M16=Milestones!$AB$21,M15&gt;=SchemeStart),IF(AND(Milestones!$AB$21="FT",Milestones!$AA$21=FT_Y5,M15&lt;PolicyEff),1,Milestones!$AC$21),0))</f>
        <v>0</v>
      </c>
      <c r="N17" s="0" t="n">
        <f aca="false">IF(N15="",0,IF(AND(N16=Milestones!$AB$22,N15&gt;=SchemeStart),IF(AND(Milestones!$AB$22="FT",Milestones!$AA$22=FT_Y5,N15&lt;PolicyEff),1,Milestones!$AC$22),0))</f>
        <v>0</v>
      </c>
      <c r="O17" s="0" t="n">
        <f aca="false">IF(O15="",0,IF(AND(O16=Milestones!$AB$23,O15&gt;=SchemeStart),IF(AND(Milestones!$AB$23="FT",Milestones!$AA$23=FT_Y5,O15&lt;PolicyEff),1,Milestones!$AC$23),0))</f>
        <v>0</v>
      </c>
      <c r="P17" s="0" t="n">
        <f aca="false">IF(P15="",0,IF(AND(P16=Milestones!$AB$24,P15&gt;=SchemeStart),IF(AND(Milestones!$AB$24="FT",Milestones!$AA$24=FT_Y5,P15&lt;PolicyEff),1,Milestones!$AC$24),0))</f>
        <v>0</v>
      </c>
      <c r="Q17" s="0" t="n">
        <f aca="false">IF(Q15="",0,IF(AND(Q16=Milestones!$AB$25,Q15&gt;=SchemeStart),IF(AND(Milestones!$AB$25="FT",Milestones!$AA$25=FT_Y5,Q15&lt;PolicyEff),1,Milestones!$AC$25),0))</f>
        <v>0</v>
      </c>
      <c r="R17" s="0" t="n">
        <f aca="false">IF(R15="",0,IF(AND(R16=Milestones!$AB$26,R15&gt;=SchemeStart),IF(AND(Milestones!$AB$26="FT",Milestones!$AA$26=FT_Y5,R15&lt;PolicyEff),1,Milestones!$AC$26),0))</f>
        <v>0</v>
      </c>
      <c r="S17" s="0" t="n">
        <f aca="false">IF(S15="",0,IF(AND(S16=Milestones!$AB$27,S15&gt;=SchemeStart),IF(AND(Milestones!$AB$27="FT",Milestones!$AA$27=FT_Y5,S15&lt;PolicyEff),1,Milestones!$AC$27),0))</f>
        <v>0</v>
      </c>
      <c r="T17" s="0" t="n">
        <f aca="false">IF(T15="",0,IF(AND(T16=Milestones!$AB$28,T15&gt;=SchemeStart),IF(AND(Milestones!$AB$28="FT",Milestones!$AA$28=FT_Y5,T15&lt;PolicyEff),1,Milestones!$AC$28),0))</f>
        <v>0</v>
      </c>
      <c r="U17" s="0" t="n">
        <f aca="false">IF(U15="",0,IF(AND(U16=Milestones!$AB$29,U15&gt;=SchemeStart),IF(AND(Milestones!$AB$29="FT",Milestones!$AA$29=FT_Y5,U15&lt;PolicyEff),1,Milestones!$AC$29),0))</f>
        <v>0</v>
      </c>
      <c r="V17" s="0" t="n">
        <f aca="false">IF(V15="",0,IF(AND(V16=Milestones!$AB$30,V15&gt;=SchemeStart),IF(AND(Milestones!$AB$30="FT",Milestones!$AA$30=FT_Y5,V15&lt;PolicyEff),1,Milestones!$AC$30),0))</f>
        <v>0</v>
      </c>
      <c r="W17" s="0" t="n">
        <f aca="false">IF(W15="",0,IF(AND(W16=Milestones!$AB$31,W15&gt;=SchemeStart),IF(AND(Milestones!$AB$31="FT",Milestones!$AA$31=FT_Y5,W15&lt;PolicyEff),1,Milestones!$AC$31),0))</f>
        <v>0</v>
      </c>
      <c r="X17" s="0" t="n">
        <f aca="false">IF(X15="",0,IF(AND(X16=Milestones!$AB$32,X15&gt;=SchemeStart),IF(AND(Milestones!$AB$32="FT",Milestones!$AA$32=FT_Y5,X15&lt;PolicyEff),1,Milestones!$AC$32),0))</f>
        <v>0</v>
      </c>
      <c r="Y17" s="0" t="n">
        <f aca="false">IF(Y15="",0,IF(AND(Y16=Milestones!$AB$33,Y15&gt;=SchemeStart),IF(AND(Milestones!$AB$33="FT",Milestones!$AA$33=FT_Y5,Y15&lt;PolicyEff),1,Milestones!$AC$33),0))</f>
        <v>0</v>
      </c>
      <c r="Z17" s="0" t="n">
        <f aca="false">IF(Z15="",0,IF(AND(Z16=Milestones!$AB$34,Z15&gt;=SchemeStart),IF(AND(Milestones!$AB$34="FT",Milestones!$AA$34=FT_Y5,Z15&lt;PolicyEff),1,Milestones!$AC$34),0))</f>
        <v>0</v>
      </c>
      <c r="AA17" s="0" t="n">
        <f aca="false">IF(AA15="",0,IF(AND(AA16=Milestones!$AB$35,AA15&gt;=SchemeStart),IF(AND(Milestones!$AB$35="FT",Milestones!$AA$35=FT_Y5,AA15&lt;PolicyEff),1,Milestones!$AC$35),0))</f>
        <v>0</v>
      </c>
      <c r="AB17" s="0" t="n">
        <f aca="false">IF(AB15="",0,IF(AND(AB16=Milestones!$AB$36,AB15&gt;=SchemeStart),IF(AND(Milestones!$AB$36="FT",Milestones!$AA$36=FT_Y5,AB15&lt;PolicyEff),1,Milestones!$AC$36),0))</f>
        <v>0</v>
      </c>
      <c r="AC17" s="0" t="n">
        <f aca="false">IF(AC15="",0,IF(AND(AC16=Milestones!$AB$37,AC15&gt;=SchemeStart),IF(AND(Milestones!$AB$37="FT",Milestones!$AA$37=FT_Y5,AC15&lt;PolicyEff),1,Milestones!$AC$37),0))</f>
        <v>0</v>
      </c>
      <c r="AD17" s="0" t="n">
        <f aca="false">IF(AD15="",0,IF(AND(AD16=Milestones!$AB$38,AD15&gt;=SchemeStart),IF(AND(Milestones!$AB$38="FT",Milestones!$AA$38=FT_Y5,AD15&lt;PolicyEff),1,Milestones!$AC$38),0))</f>
        <v>0</v>
      </c>
      <c r="AE17" s="0" t="n">
        <f aca="false">IF(AE15="",0,IF(AND(AE16=Milestones!$AB$39,AE15&gt;=SchemeStart),IF(AND(Milestones!$AB$39="FT",Milestones!$AA$39=FT_Y5,AE15&lt;PolicyEff),1,Milestones!$AC$39),0))</f>
        <v>0</v>
      </c>
      <c r="AF17" s="0" t="n">
        <f aca="false">IF(AF15="",0,IF(AND(AF16=Milestones!$AB$40,AF15&gt;=SchemeStart),IF(AND(Milestones!$AB$40="FT",Milestones!$AA$40=FT_Y5,AF15&lt;PolicyEff),1,Milestones!$AC$40),0))</f>
        <v>0</v>
      </c>
      <c r="AG17" s="0" t="n">
        <f aca="false">IF(AG15="",0,IF(AND(AG16=Milestones!$AB$41,AG15&gt;=SchemeStart),IF(AND(Milestones!$AB$41="FT",Milestones!$AA$41=FT_Y5,AG15&lt;PolicyEff),1,Milestones!$AC$41),0))</f>
        <v>0</v>
      </c>
      <c r="AH17" s="0" t="n">
        <f aca="false">IF(AH15="",0,IF(AND(AH16=Milestones!$AB$42,AH15&gt;=SchemeStart),IF(AND(Milestones!$AB$42="FT",Milestones!$AA$42=FT_Y5,AH15&lt;PolicyEff),1,Milestones!$AC$42),0))</f>
        <v>0</v>
      </c>
      <c r="AI17" s="0" t="n">
        <f aca="false">IF(AI15="",0,IF(AND(AI16=Milestones!$AB$43,AI15&gt;=SchemeStart),IF(AND(Milestones!$AB$43="FT",Milestones!$AA$43=FT_Y5,AI15&lt;PolicyEff),1,Milestones!$AC$43),0))</f>
        <v>0</v>
      </c>
      <c r="AJ17" s="0" t="n">
        <f aca="false">IF(AJ15="",0,IF(AND(AJ16=Milestones!$AB$44,AJ15&gt;=SchemeStart),IF(AND(Milestones!$AB$44="FT",Milestones!$AA$44=FT_Y5,AJ15&lt;PolicyEff),1,Milestones!$AC$44),0))</f>
        <v>0</v>
      </c>
      <c r="AK17" s="0" t="n">
        <f aca="false">IF(AK15="",0,IF(AND(AK16=Milestones!$AB$45,AK15&gt;=SchemeStart),IF(AND(Milestones!$AB$45="FT",Milestones!$AA$45=FT_Y5,AK15&lt;PolicyEff),1,Milestones!$AC$45),0))</f>
        <v>0</v>
      </c>
      <c r="AL17" s="0" t="n">
        <f aca="false">IF(AL15="",0,IF(AND(AL16=Milestones!$AB$46,AL15&gt;=SchemeStart),IF(AND(Milestones!$AB$46="FT",Milestones!$AA$46=FT_Y5,AL15&lt;PolicyEff),1,Milestones!$AC$46),0))</f>
        <v>0</v>
      </c>
      <c r="AM17" s="0" t="n">
        <f aca="false">IF(AM15="",0,IF(AND(AM16=Milestones!$AB$47,AM15&gt;=SchemeStart),IF(AND(Milestones!$AB$47="FT",Milestones!$AA$47=FT_Y5,AM15&lt;PolicyEff),1,Milestones!$AC$47),0))</f>
        <v>0</v>
      </c>
      <c r="AN17" s="0" t="n">
        <f aca="false">IF(AN15="",0,IF(AND(AN16=Milestones!$AB$48,AN15&gt;=SchemeStart),IF(AND(Milestones!$AB$48="FT",Milestones!$AA$48=FT_Y5,AN15&lt;PolicyEff),1,Milestones!$AC$48),0))</f>
        <v>0</v>
      </c>
      <c r="AO17" s="0" t="n">
        <f aca="false">IF(AO15="",0,IF(AND(AO16=Milestones!$AB$49,AO15&gt;=SchemeStart),IF(AND(Milestones!$AB$49="FT",Milestones!$AA$49=FT_Y5,AO15&lt;PolicyEff),1,Milestones!$AC$49),0))</f>
        <v>0</v>
      </c>
      <c r="AP17" s="0" t="n">
        <f aca="false">IF(AP15="",0,IF(AND(AP16=Milestones!$AB$50,AP15&gt;=SchemeStart),IF(AND(Milestones!$AB$50="FT",Milestones!$AA$50=FT_Y5,AP15&lt;PolicyEff),1,Milestones!$AC$50),0))</f>
        <v>0</v>
      </c>
      <c r="AQ17" s="0" t="n">
        <f aca="false">IF(AQ15="",0,IF(AND(AQ16=Milestones!$AB$51,AQ15&gt;=SchemeStart),IF(AND(Milestones!$AB$51="FT",Milestones!$AA$51=FT_Y5,AQ15&lt;PolicyEff),1,Milestones!$AC$51),0))</f>
        <v>0</v>
      </c>
      <c r="AR17" s="0" t="n">
        <f aca="false">IF(AR15="",0,IF(AND(AR16=Milestones!$AB$52,AR15&gt;=SchemeStart),IF(AND(Milestones!$AB$52="FT",Milestones!$AA$52=FT_Y5,AR15&lt;PolicyEff),1,Milestones!$AC$52),0))</f>
        <v>0</v>
      </c>
      <c r="AS17" s="0" t="n">
        <f aca="false">IF(AS15="",0,IF(AND(AS16=Milestones!$AB$53,AS15&gt;=SchemeStart),IF(AND(Milestones!$AB$53="FT",Milestones!$AA$53=FT_Y5,AS15&lt;PolicyEff),1,Milestones!$AC$53),0))</f>
        <v>0</v>
      </c>
      <c r="AT17" s="0" t="n">
        <f aca="false">IF(AT15="",0,IF(AND(AT16=Milestones!$AB$54,AT15&gt;=SchemeStart),IF(AND(Milestones!$AB$54="FT",Milestones!$AA$54=FT_Y5,AT15&lt;PolicyEff),1,Milestones!$AC$54),0))</f>
        <v>0</v>
      </c>
      <c r="AU17" s="0" t="n">
        <f aca="false">IF(AU15="",0,IF(AND(AU16=Milestones!$AB$55,AU15&gt;=SchemeStart),IF(AND(Milestones!$AB$55="FT",Milestones!$AA$55=FT_Y5,AU15&lt;PolicyEff),1,Milestones!$AC$55),0))</f>
        <v>0</v>
      </c>
      <c r="AV17" s="0" t="n">
        <f aca="false">IF(AV15="",0,IF(AND(AV16=Milestones!$AB$56,AV15&gt;=SchemeStart),IF(AND(Milestones!$AB$56="FT",Milestones!$AA$56=FT_Y5,AV15&lt;PolicyEff),1,Milestones!$AC$56),0))</f>
        <v>0</v>
      </c>
      <c r="AW17" s="0" t="n">
        <f aca="false">IF(AW15="",0,IF(AND(AW16=Milestones!$AB$57,AW15&gt;=SchemeStart),IF(AND(Milestones!$AB$57="FT",Milestones!$AA$57=FT_Y5,AW15&lt;PolicyEff),1,Milestones!$AC$57),0))</f>
        <v>0</v>
      </c>
      <c r="AX17" s="0" t="n">
        <f aca="false">IF(AX15="",0,IF(AND(AX16=Milestones!$AB$58,AX15&gt;=SchemeStart),IF(AND(Milestones!$AB$58="FT",Milestones!$AA$58=FT_Y5,AX15&lt;PolicyEff),1,Milestones!$AC$58),0))</f>
        <v>0</v>
      </c>
      <c r="AY17" s="0" t="n">
        <f aca="false">IF(AY15="",0,IF(AND(AY16=Milestones!$AB$59,AY15&gt;=SchemeStart),IF(AND(Milestones!$AB$59="FT",Milestones!$AA$59=FT_Y5,AY15&lt;PolicyEff),1,Milestones!$AC$59),0))</f>
        <v>0</v>
      </c>
      <c r="AZ17" s="0" t="n">
        <f aca="false">IF(AZ15="",0,IF(AND(AZ16=Milestones!$AB$60,AZ15&gt;=SchemeStart),IF(AND(Milestones!$AB$60="FT",Milestones!$AA$60=FT_Y5,AZ15&lt;PolicyEff),1,Milestones!$AC$60),0))</f>
        <v>0</v>
      </c>
      <c r="BA17" s="0" t="n">
        <f aca="false">IF(BA15="",0,IF(AND(BA16=Milestones!$AB$61,BA15&gt;=SchemeStart),IF(AND(Milestones!$AB$61="FT",Milestones!$AA$61=FT_Y5,BA15&lt;PolicyEff),1,Milestones!$AC$61),0))</f>
        <v>0</v>
      </c>
      <c r="BB17" s="0" t="n">
        <f aca="false">IF(BB15="",0,IF(AND(BB16=Milestones!$AB$62,BB15&gt;=SchemeStart),IF(AND(Milestones!$AB$62="FT",Milestones!$AA$62=FT_Y5,BB15&lt;PolicyEff),1,Milestones!$AC$62),0))</f>
        <v>0</v>
      </c>
      <c r="BC17" s="0" t="n">
        <f aca="false">IF(BC15="",0,IF(AND(BC16=Milestones!$AB$63,BC15&gt;=SchemeStart),IF(AND(Milestones!$AB$63="FT",Milestones!$AA$63=FT_Y5,BC15&lt;PolicyEff),1,Milestones!$AC$63),0))</f>
        <v>0</v>
      </c>
      <c r="BD17" s="0" t="n">
        <f aca="false">IF(BD15="",0,IF(AND(BD16=Milestones!$AB$64,BD15&gt;=SchemeStart),IF(AND(Milestones!$AB$64="FT",Milestones!$AA$64=FT_Y5,BD15&lt;PolicyEff),1,Milestones!$AC$64),0))</f>
        <v>0</v>
      </c>
      <c r="BE17" s="0" t="n">
        <f aca="false">IF(BE15="",0,IF(AND(BE16=Milestones!$AB$65,BE15&gt;=SchemeStart),IF(AND(Milestones!$AB$65="FT",Milestones!$AA$65=FT_Y5,BE15&lt;PolicyEff),1,Milestones!$AC$65),0))</f>
        <v>0</v>
      </c>
      <c r="BF17" s="0" t="n">
        <f aca="false">IF(BF15="",0,IF(AND(BF16=Milestones!$AB$66,BF15&gt;=SchemeStart),IF(AND(Milestones!$AB$66="FT",Milestones!$AA$66=FT_Y5,BF15&lt;PolicyEff),1,Milestones!$AC$66),0))</f>
        <v>0</v>
      </c>
      <c r="BG17" s="0" t="n">
        <f aca="false">IF(BG15="",0,IF(AND(BG16=Milestones!$AB$67,BG15&gt;=SchemeStart),IF(AND(Milestones!$AB$67="FT",Milestones!$AA$67=FT_Y5,BG15&lt;PolicyEff),1,Milestones!$AC$67),0))</f>
        <v>0</v>
      </c>
      <c r="BH17" s="0" t="n">
        <f aca="false">IF(BH15="",0,IF(AND(BH16=Milestones!$AB$68,BH15&gt;=SchemeStart),IF(AND(Milestones!$AB$68="FT",Milestones!$AA$68=FT_Y5,BH15&lt;PolicyEff),1,Milestones!$AC$68),0))</f>
        <v>0</v>
      </c>
      <c r="BI17" s="0" t="n">
        <f aca="false">IF(BI15="",0,IF(AND(BI16=Milestones!$AB$69,BI15&gt;=SchemeStart),IF(AND(Milestones!$AB$69="FT",Milestones!$AA$69=FT_Y5,BI15&lt;PolicyEff),1,Milestones!$AC$69),0))</f>
        <v>0</v>
      </c>
      <c r="BJ17" s="0" t="n">
        <f aca="false">IF(BJ15="",0,IF(AND(BJ16=Milestones!$AB$70,BJ15&gt;=SchemeStart),IF(AND(Milestones!$AB$70="FT",Milestones!$AA$70=FT_Y5,BJ15&lt;PolicyEff),1,Milestones!$AC$70),0))</f>
        <v>0</v>
      </c>
      <c r="BK17" s="0" t="n">
        <f aca="false">IF(BK15="",0,IF(AND(BK16=Milestones!$AB$71,BK15&gt;=SchemeStart),IF(AND(Milestones!$AB$71="FT",Milestones!$AA$71=FT_Y5,BK15&lt;PolicyEff),1,Milestones!$AC$71),0))</f>
        <v>0</v>
      </c>
      <c r="BL17" s="0" t="n">
        <f aca="false">IF(BL15="",0,IF(AND(BL16=Milestones!$AB$72,BL15&gt;=SchemeStart),IF(AND(Milestones!$AB$72="FT",Milestones!$AA$72=FT_Y5,BL15&lt;PolicyEff),1,Milestones!$AC$72),0))</f>
        <v>0</v>
      </c>
      <c r="BM17" s="0" t="n">
        <f aca="false">IF(BM15="",0,IF(AND(BM16=Milestones!$AB$73,BM15&gt;=SchemeStart),IF(AND(Milestones!$AB$73="FT",Milestones!$AA$73=FT_Y5,BM15&lt;PolicyEff),1,Milestones!$AC$73),0))</f>
        <v>0</v>
      </c>
      <c r="BN17" s="0" t="n">
        <f aca="false">IF(BN15="",0,IF(AND(BN16=Milestones!$AB$74,BN15&gt;=SchemeStart),IF(AND(Milestones!$AB$74="FT",Milestones!$AA$74=FT_Y5,BN15&lt;PolicyEff),1,Milestones!$AC$74),0))</f>
        <v>0</v>
      </c>
      <c r="BO17" s="0" t="n">
        <f aca="false">IF(BO15="",0,IF(AND(BO16=Milestones!$AB$75,BO15&gt;=SchemeStart),IF(AND(Milestones!$AB$75="FT",Milestones!$AA$75=FT_Y5,BO15&lt;PolicyEff),1,Milestones!$AC$75),0))</f>
        <v>0</v>
      </c>
      <c r="BP17" s="0" t="n">
        <f aca="false">IF(BP15="",0,IF(AND(BP16=Milestones!$AB$76,BP15&gt;=SchemeStart),IF(AND(Milestones!$AB$76="FT",Milestones!$AA$76=FT_Y5,BP15&lt;PolicyEff),1,Milestones!$AC$76),0))</f>
        <v>0</v>
      </c>
      <c r="BQ17" s="0" t="n">
        <f aca="false">IF(BQ15="",0,IF(AND(BQ16=Milestones!$AB$77,BQ15&gt;=SchemeStart),IF(AND(Milestones!$AB$77="FT",Milestones!$AA$77=FT_Y5,BQ15&lt;PolicyEff),1,Milestones!$AC$77),0))</f>
        <v>0</v>
      </c>
      <c r="BR17" s="0" t="n">
        <f aca="false">IF(BR15="",0,IF(AND(BR16=Milestones!$AB$78,BR15&gt;=SchemeStart),IF(AND(Milestones!$AB$78="FT",Milestones!$AA$78=FT_Y5,BR15&lt;PolicyEff),1,Milestones!$AC$78),0))</f>
        <v>0</v>
      </c>
      <c r="BS17" s="0" t="n">
        <f aca="false">IF(BS15="",0,IF(AND(BS16=Milestones!$AB$79,BS15&gt;=SchemeStart),IF(AND(Milestones!$AB$79="FT",Milestones!$AA$79=FT_Y5,BS15&lt;PolicyEff),1,Milestones!$AC$79),0))</f>
        <v>0</v>
      </c>
      <c r="BT17" s="0" t="n">
        <f aca="false">IF(BT15="",0,IF(AND(BT16=Milestones!$AB$80,BT15&gt;=SchemeStart),IF(AND(Milestones!$AB$80="FT",Milestones!$AA$80=FT_Y5,BT15&lt;PolicyEff),1,Milestones!$AC$80),0))</f>
        <v>0</v>
      </c>
      <c r="BU17" s="0" t="n">
        <f aca="false">IF(BU15="",0,IF(AND(BU16=Milestones!$AB$81,BU15&gt;=SchemeStart),IF(AND(Milestones!$AB$81="FT",Milestones!$AA$81=FT_Y5,BU15&lt;PolicyEff),1,Milestones!$AC$81),0))</f>
        <v>0</v>
      </c>
      <c r="BV17" s="0" t="n">
        <f aca="false">IF(BV15="",0,IF(AND(BV16=Milestones!$AB$82,BV15&gt;=SchemeStart),IF(AND(Milestones!$AB$82="FT",Milestones!$AA$82=FT_Y5,BV15&lt;PolicyEff),1,Milestones!$AC$82),0))</f>
        <v>0</v>
      </c>
      <c r="BW17" s="0" t="n">
        <f aca="false">IF(BW15="",0,IF(AND(BW16=Milestones!$AB$83,BW15&gt;=SchemeStart),IF(AND(Milestones!$AB$83="FT",Milestones!$AA$83=FT_Y5,BW15&lt;PolicyEff),1,Milestones!$AC$83),0))</f>
        <v>0</v>
      </c>
      <c r="BX17" s="0" t="n">
        <f aca="false">IF(BX15="",0,IF(AND(BX16=Milestones!$AB$84,BX15&gt;=SchemeStart),IF(AND(Milestones!$AB$84="FT",Milestones!$AA$84=FT_Y5,BX15&lt;PolicyEff),1,Milestones!$AC$84),0))</f>
        <v>0</v>
      </c>
      <c r="BY17" s="0" t="n">
        <f aca="false">IF(BY15="",0,IF(AND(BY16=Milestones!$AB$85,BY15&gt;=SchemeStart),IF(AND(Milestones!$AB$85="FT",Milestones!$AA$85=FT_Y5,BY15&lt;PolicyEff),1,Milestones!$AC$85),0))</f>
        <v>0</v>
      </c>
      <c r="BZ17" s="0" t="n">
        <f aca="false">IF(BZ15="",0,IF(AND(BZ16=Milestones!$AB$86,BZ15&gt;=SchemeStart),IF(AND(Milestones!$AB$86="FT",Milestones!$AA$86=FT_Y5,BZ15&lt;PolicyEff),1,Milestones!$AC$86),0))</f>
        <v>0</v>
      </c>
      <c r="CA17" s="0" t="n">
        <f aca="false">IF(CA15="",0,IF(AND(CA16=Milestones!$AB$87,CA15&gt;=SchemeStart),IF(AND(Milestones!$AB$87="FT",Milestones!$AA$87=FT_Y5,CA15&lt;PolicyEff),1,Milestones!$AC$87),0))</f>
        <v>0</v>
      </c>
      <c r="CB17" s="0" t="n">
        <f aca="false">IF(CB15="",0,IF(AND(CB16=Milestones!$AB$88,CB15&gt;=SchemeStart),IF(AND(Milestones!$AB$88="FT",Milestones!$AA$88=FT_Y5,CB15&lt;PolicyEff),1,Milestones!$AC$88),0))</f>
        <v>0</v>
      </c>
      <c r="CC17" s="0" t="n">
        <f aca="false">IF(CC15="",0,IF(AND(CC16=Milestones!$AB$89,CC15&gt;=SchemeStart),IF(AND(Milestones!$AB$89="FT",Milestones!$AA$89=FT_Y5,CC15&lt;PolicyEff),1,Milestones!$AC$89),0))</f>
        <v>0</v>
      </c>
      <c r="CD17" s="0" t="n">
        <f aca="false">IF(CD15="",0,IF(AND(CD16=Milestones!$AB$90,CD15&gt;=SchemeStart),IF(AND(Milestones!$AB$90="FT",Milestones!$AA$90=FT_Y5,CD15&lt;PolicyEff),1,Milestones!$AC$90),0))</f>
        <v>0</v>
      </c>
      <c r="CE17" s="0" t="n">
        <f aca="false">IF(CE15="",0,IF(AND(CE16=Milestones!$AB$91,CE15&gt;=SchemeStart),IF(AND(Milestones!$AB$91="FT",Milestones!$AA$91=FT_Y5,CE15&lt;PolicyEff),1,Milestones!$AC$91),0))</f>
        <v>0</v>
      </c>
      <c r="CF17" s="0" t="n">
        <f aca="false">IF(CF15="",0,IF(AND(CF16=Milestones!$AB$92,CF15&gt;=SchemeStart),IF(AND(Milestones!$AB$92="FT",Milestones!$AA$92=FT_Y5,CF15&lt;PolicyEff),1,Milestones!$AC$92),0))</f>
        <v>0</v>
      </c>
      <c r="CG17" s="0" t="n">
        <f aca="false">IF(CG15="",0,IF(AND(CG16=Milestones!$AB$93,CG15&gt;=SchemeStart),IF(AND(Milestones!$AB$93="FT",Milestones!$AA$93=FT_Y5,CG15&lt;PolicyEff),1,Milestones!$AC$93),0))</f>
        <v>0</v>
      </c>
      <c r="CH17" s="0" t="n">
        <f aca="false">IF(CH15="",0,IF(AND(CH16=Milestones!$AB$94,CH15&gt;=SchemeStart),IF(AND(Milestones!$AB$94="FT",Milestones!$AA$94=FT_Y5,CH15&lt;PolicyEff),1,Milestones!$AC$94),0))</f>
        <v>0</v>
      </c>
      <c r="CI17" s="0" t="n">
        <f aca="false">IF(CI15="",0,IF(AND(CI16=Milestones!$AB$95,CI15&gt;=SchemeStart),IF(AND(Milestones!$AB$95="FT",Milestones!$AA$95=FT_Y5,CI15&lt;PolicyEff),1,Milestones!$AC$95),0))</f>
        <v>0</v>
      </c>
      <c r="CJ17" s="0" t="n">
        <f aca="false">IF(CJ15="",0,IF(AND(CJ16=Milestones!$AB$96,CJ15&gt;=SchemeStart),IF(AND(Milestones!$AB$96="FT",Milestones!$AA$96=FT_Y5,CJ15&lt;PolicyEff),1,Milestones!$AC$96),0))</f>
        <v>0</v>
      </c>
      <c r="CK17" s="0" t="n">
        <f aca="false">IF(CK15="",0,IF(AND(CK16=Milestones!$AB$97,CK15&gt;=SchemeStart),IF(AND(Milestones!$AB$97="FT",Milestones!$AA$97=FT_Y5,CK15&lt;PolicyEff),1,Milestones!$AC$97),0))</f>
        <v>0</v>
      </c>
      <c r="CL17" s="0" t="n">
        <f aca="false">IF(CL15="",0,IF(AND(CL16=Milestones!$AB$98,CL15&gt;=SchemeStart),IF(AND(Milestones!$AB$98="FT",Milestones!$AA$98=FT_Y5,CL15&lt;PolicyEff),1,Milestones!$AC$98),0))</f>
        <v>0</v>
      </c>
      <c r="CM17" s="0" t="n">
        <f aca="false">IF(CM15="",0,IF(AND(CM16=Milestones!$AB$99,CM15&gt;=SchemeStart),IF(AND(Milestones!$AB$99="FT",Milestones!$AA$99=FT_Y5,CM15&lt;PolicyEff),1,Milestones!$AC$99),0))</f>
        <v>0</v>
      </c>
      <c r="CN17" s="0" t="n">
        <f aca="false">IF(CN15="",0,IF(AND(CN16=Milestones!$AB$100,CN15&gt;=SchemeStart),IF(AND(Milestones!$AB$100="FT",Milestones!$AA$100=FT_Y5,CN15&lt;PolicyEff),1,Milestones!$AC$100),0))</f>
        <v>0</v>
      </c>
      <c r="CO17" s="0" t="n">
        <f aca="false">IF(CO15="",0,IF(AND(CO16=Milestones!$AB$101,CO15&gt;=SchemeStart),IF(AND(Milestones!$AB$101="FT",Milestones!$AA$101=FT_Y5,CO15&lt;PolicyEff),1,Milestones!$AC$101),0))</f>
        <v>0</v>
      </c>
      <c r="CP17" s="0" t="n">
        <f aca="false">IF(CP15="",0,IF(AND(CP16=Milestones!$AB$102,CP15&gt;=SchemeStart),IF(AND(Milestones!$AB$102="FT",Milestones!$AA$102=FT_Y5,CP15&lt;PolicyEff),1,Milestones!$AC$102),0))</f>
        <v>0</v>
      </c>
      <c r="CQ17" s="0" t="n">
        <f aca="false">IF(CQ15="",0,IF(AND(CQ16=Milestones!$AB$103,CQ15&gt;=SchemeStart),IF(AND(Milestones!$AB$103="FT",Milestones!$AA$103=FT_Y5,CQ15&lt;PolicyEff),1,Milestones!$AC$103),0))</f>
        <v>0</v>
      </c>
      <c r="CR17" s="0" t="n">
        <f aca="false">IF(CR15="",0,IF(AND(CR16=Milestones!$AB$104,CR15&gt;=SchemeStart),IF(AND(Milestones!$AB$104="FT",Milestones!$AA$104=FT_Y5,CR15&lt;PolicyEff),1,Milestones!$AC$104),0))</f>
        <v>0</v>
      </c>
      <c r="CS17" s="0" t="n">
        <f aca="false">IF(CS15="",0,IF(AND(CS16=Milestones!$AB$105,CS15&gt;=SchemeStart),IF(AND(Milestones!$AB$105="FT",Milestones!$AA$105=FT_Y5,CS15&lt;PolicyEff),1,Milestones!$AC$105),0))</f>
        <v>0</v>
      </c>
      <c r="CT17" s="0" t="n">
        <f aca="false">IF(CT15="",0,IF(AND(CT16=Milestones!$AB$106,CT15&gt;=SchemeStart),IF(AND(Milestones!$AB$106="FT",Milestones!$AA$106=FT_Y5,CT15&lt;PolicyEff),1,Milestones!$AC$106),0))</f>
        <v>0</v>
      </c>
      <c r="CU17" s="0" t="n">
        <f aca="false">IF(CU15="",0,IF(AND(CU16=Milestones!$AB$107,CU15&gt;=SchemeStart),IF(AND(Milestones!$AB$107="FT",Milestones!$AA$107=FT_Y5,CU15&lt;PolicyEff),1,Milestones!$AC$107),0))</f>
        <v>0</v>
      </c>
      <c r="CV17" s="0" t="n">
        <f aca="false">IF(CV15="",0,IF(AND(CV16=Milestones!$AB$108,CV15&gt;=SchemeStart),IF(AND(Milestones!$AB$108="FT",Milestones!$AA$108=FT_Y5,CV15&lt;PolicyEff),1,Milestones!$AC$108),0))</f>
        <v>0</v>
      </c>
      <c r="CW17" s="0" t="n">
        <f aca="false">IF(CW15="",0,IF(AND(CW16=Milestones!$AB$109,CW15&gt;=SchemeStart),IF(AND(Milestones!$AB$109="FT",Milestones!$AA$109=FT_Y5,CW15&lt;PolicyEff),1,Milestones!$AC$109),0))</f>
        <v>0</v>
      </c>
      <c r="CX17" s="0" t="n">
        <f aca="false">IF(CX15="",0,IF(AND(CX16=Milestones!$AB$110,CX15&gt;=SchemeStart),IF(AND(Milestones!$AB$110="FT",Milestones!$AA$110=FT_Y5,CX15&lt;PolicyEff),1,Milestones!$AC$110),0))</f>
        <v>0</v>
      </c>
      <c r="CY17" s="0" t="n">
        <f aca="false">IF(CY15="",0,IF(AND(CY16=Milestones!$AB$111,CY15&gt;=SchemeStart),IF(AND(Milestones!$AB$111="FT",Milestones!$AA$111=FT_Y5,CY15&lt;PolicyEff),1,Milestones!$AC$111),0))</f>
        <v>0</v>
      </c>
      <c r="CZ17" s="0" t="n">
        <f aca="false">IF(CZ15="",0,IF(AND(CZ16=Milestones!$AB$112,CZ15&gt;=SchemeStart),IF(AND(Milestones!$AB$112="FT",Milestones!$AA$112=FT_Y5,CZ15&lt;PolicyEff),1,Milestones!$AC$112),0))</f>
        <v>0</v>
      </c>
      <c r="DA17" s="0" t="n">
        <f aca="false">IF(DA15="",0,IF(AND(DA16=Milestones!$AB$113,DA15&gt;=SchemeStart),IF(AND(Milestones!$AB$113="FT",Milestones!$AA$113=FT_Y5,DA15&lt;PolicyEff),1,Milestones!$AC$113),0))</f>
        <v>0</v>
      </c>
      <c r="DB17" s="0" t="n">
        <f aca="false">IF(DB15="",0,IF(AND(DB16=Milestones!$AB$114,DB15&gt;=SchemeStart),IF(AND(Milestones!$AB$114="FT",Milestones!$AA$114=FT_Y5,DB15&lt;PolicyEff),1,Milestones!$AC$114),0))</f>
        <v>0</v>
      </c>
      <c r="DC17" s="0" t="n">
        <f aca="false">IF(DC15="",0,IF(AND(DC16=Milestones!$AB$115,DC15&gt;=SchemeStart),IF(AND(Milestones!$AB$115="FT",Milestones!$AA$115=FT_Y5,DC15&lt;PolicyEff),1,Milestones!$AC$115),0))</f>
        <v>0</v>
      </c>
      <c r="DD17" s="0" t="n">
        <f aca="false">IF(DD15="",0,IF(AND(DD16=Milestones!$AB$116,DD15&gt;=SchemeStart),IF(AND(Milestones!$AB$116="FT",Milestones!$AA$116=FT_Y5,DD15&lt;PolicyEff),1,Milestones!$AC$116),0))</f>
        <v>0</v>
      </c>
      <c r="DE17" s="0" t="n">
        <f aca="false">IF(DE15="",0,IF(AND(DE16=Milestones!$AB$117,DE15&gt;=SchemeStart),IF(AND(Milestones!$AB$117="FT",Milestones!$AA$117=FT_Y5,DE15&lt;PolicyEff),1,Milestones!$AC$117),0))</f>
        <v>0</v>
      </c>
      <c r="DF17" s="0" t="n">
        <f aca="false">IF(DF15="",0,IF(AND(DF16=Milestones!$AB$118,DF15&gt;=SchemeStart),IF(AND(Milestones!$AB$118="FT",Milestones!$AA$118=FT_Y5,DF15&lt;PolicyEff),1,Milestones!$AC$118),0))</f>
        <v>0</v>
      </c>
      <c r="DG17" s="0" t="n">
        <f aca="false">IF(DG15="",0,IF(AND(DG16=Milestones!$AB$119,DG15&gt;=SchemeStart),IF(AND(Milestones!$AB$119="FT",Milestones!$AA$119=FT_Y5,DG15&lt;PolicyEff),1,Milestones!$AC$119),0))</f>
        <v>0</v>
      </c>
      <c r="DH17" s="0" t="n">
        <f aca="false">IF(DH15="",0,IF(AND(DH16=Milestones!$AB$120,DH15&gt;=SchemeStart),IF(AND(Milestones!$AB$120="FT",Milestones!$AA$120=FT_Y5,DH15&lt;PolicyEff),1,Milestones!$AC$120),0))</f>
        <v>0</v>
      </c>
      <c r="DI17" s="0" t="n">
        <f aca="false">IF(DI15="",0,IF(AND(DI16=Milestones!$AB$121,DI15&gt;=SchemeStart),IF(AND(Milestones!$AB$121="FT",Milestones!$AA$121=FT_Y5,DI15&lt;PolicyEff),1,Milestones!$AC$121),0))</f>
        <v>0</v>
      </c>
      <c r="DJ17" s="0" t="n">
        <f aca="false">IF(DJ15="",0,IF(AND(DJ16=Milestones!$AB$122,DJ15&gt;=SchemeStart),IF(AND(Milestones!$AB$122="FT",Milestones!$AA$122=FT_Y5,DJ15&lt;PolicyEff),1,Milestones!$AC$122),0))</f>
        <v>0</v>
      </c>
      <c r="DK17" s="0" t="n">
        <f aca="false">IF(DK15="",0,IF(AND(DK16=Milestones!$AB$123,DK15&gt;=SchemeStart),IF(AND(Milestones!$AB$123="FT",Milestones!$AA$123=FT_Y5,DK15&lt;PolicyEff),1,Milestones!$AC$123),0))</f>
        <v>0</v>
      </c>
      <c r="DL17" s="0" t="n">
        <f aca="false">IF(DL15="",0,IF(AND(DL16=Milestones!$AB$124,DL15&gt;=SchemeStart),IF(AND(Milestones!$AB$124="FT",Milestones!$AA$124=FT_Y5,DL15&lt;PolicyEff),1,Milestones!$AC$124),0))</f>
        <v>0</v>
      </c>
      <c r="DM17" s="0" t="n">
        <f aca="false">IF(DM15="",0,IF(AND(DM16=Milestones!$AB$125,DM15&gt;=SchemeStart),IF(AND(Milestones!$AB$125="FT",Milestones!$AA$125=FT_Y5,DM15&lt;PolicyEff),1,Milestones!$AC$125),0))</f>
        <v>0</v>
      </c>
      <c r="DN17" s="0" t="n">
        <f aca="false">IF(DN15="",0,IF(AND(DN16=Milestones!$AB$126,DN15&gt;=SchemeStart),IF(AND(Milestones!$AB$126="FT",Milestones!$AA$126=FT_Y5,DN15&lt;PolicyEff),1,Milestones!$AC$126),0))</f>
        <v>0</v>
      </c>
      <c r="DO17" s="0" t="n">
        <f aca="false">IF(DO15="",0,IF(AND(DO16=Milestones!$AB$127,DO15&gt;=SchemeStart),IF(AND(Milestones!$AB$127="FT",Milestones!$AA$127=FT_Y5,DO15&lt;PolicyEff),1,Milestones!$AC$127),0))</f>
        <v>0</v>
      </c>
      <c r="DP17" s="0" t="n">
        <f aca="false">IF(DP15="",0,IF(AND(DP16=Milestones!$AB$128,DP15&gt;=SchemeStart),IF(AND(Milestones!$AB$128="FT",Milestones!$AA$128=FT_Y5,DP15&lt;PolicyEff),1,Milestones!$AC$128),0))</f>
        <v>0</v>
      </c>
      <c r="DQ17" s="0" t="n">
        <f aca="false">IF(DQ15="",0,IF(AND(DQ16=Milestones!$AB$129,DQ15&gt;=SchemeStart),IF(AND(Milestones!$AB$129="FT",Milestones!$AA$129=FT_Y5,DQ15&lt;PolicyEff),1,Milestones!$AC$129),0))</f>
        <v>0</v>
      </c>
      <c r="DR17" s="0" t="n">
        <f aca="false">IF(DR15="",0,IF(AND(DR16=Milestones!$AB$130,DR15&gt;=SchemeStart),IF(AND(Milestones!$AB$130="FT",Milestones!$AA$130=FT_Y5,DR15&lt;PolicyEff),1,Milestones!$AC$130),0))</f>
        <v>0</v>
      </c>
      <c r="DS17" s="0" t="n">
        <f aca="false">IF(DS15="",0,IF(AND(DS16=Milestones!$AB$131,DS15&gt;=SchemeStart),IF(AND(Milestones!$AB$131="FT",Milestones!$AA$131=FT_Y5,DS15&lt;PolicyEff),1,Milestones!$AC$131),0))</f>
        <v>0</v>
      </c>
      <c r="DT17" s="0" t="n">
        <f aca="false">IF(DT15="",0,IF(AND(DT16=Milestones!$AB$132,DT15&gt;=SchemeStart),IF(AND(Milestones!$AB$132="FT",Milestones!$AA$132=FT_Y5,DT15&lt;PolicyEff),1,Milestones!$AC$132),0))</f>
        <v>0</v>
      </c>
      <c r="DU17" s="0" t="n">
        <f aca="false">IF(DU15="",0,IF(AND(DU16=Milestones!$AB$133,DU15&gt;=SchemeStart),IF(AND(Milestones!$AB$133="FT",Milestones!$AA$133=FT_Y5,DU15&lt;PolicyEff),1,Milestones!$AC$133),0))</f>
        <v>0</v>
      </c>
      <c r="DV17" s="0" t="n">
        <f aca="false">IF(DV15="",0,IF(AND(DV16=Milestones!$AB$134,DV15&gt;=SchemeStart),IF(AND(Milestones!$AB$134="FT",Milestones!$AA$134=FT_Y5,DV15&lt;PolicyEff),1,Milestones!$AC$134),0))</f>
        <v>0</v>
      </c>
      <c r="DW17" s="0" t="n">
        <f aca="false">IF(DW15="",0,IF(AND(DW16=Milestones!$AB$135,DW15&gt;=SchemeStart),IF(AND(Milestones!$AB$135="FT",Milestones!$AA$135=FT_Y5,DW15&lt;PolicyEff),1,Milestones!$AC$135),0))</f>
        <v>0</v>
      </c>
      <c r="DX17" s="0" t="n">
        <f aca="false">IF(DX15="",0,IF(AND(DX16=Milestones!$AB$136,DX15&gt;=SchemeStart),IF(AND(Milestones!$AB$136="FT",Milestones!$AA$136=FT_Y5,DX15&lt;PolicyEff),1,Milestones!$AC$136),0))</f>
        <v>0</v>
      </c>
      <c r="DY17" s="0" t="n">
        <f aca="false">IF(DY15="",0,IF(AND(DY16=Milestones!$AB$137,DY15&gt;=SchemeStart),IF(AND(Milestones!$AB$137="FT",Milestones!$AA$137=FT_Y5,DY15&lt;PolicyEff),1,Milestones!$AC$137),0))</f>
        <v>0</v>
      </c>
      <c r="DZ17" s="0" t="n">
        <f aca="false">IF(DZ15="",0,IF(AND(DZ16=Milestones!$AB$138,DZ15&gt;=SchemeStart),IF(AND(Milestones!$AB$138="FT",Milestones!$AA$138=FT_Y5,DZ15&lt;PolicyEff),1,Milestones!$AC$138),0))</f>
        <v>0</v>
      </c>
      <c r="EA17" s="0" t="n">
        <f aca="false">IF(EA15="",0,IF(AND(EA16=Milestones!$AB$139,EA15&gt;=SchemeStart),IF(AND(Milestones!$AB$139="FT",Milestones!$AA$139=FT_Y5,EA15&lt;PolicyEff),1,Milestones!$AC$139),0))</f>
        <v>0</v>
      </c>
      <c r="EB17" s="0" t="n">
        <f aca="false">IF(EB15="",0,IF(AND(EB16=Milestones!$AB$140,EB15&gt;=SchemeStart),IF(AND(Milestones!$AB$140="FT",Milestones!$AA$140=FT_Y5,EB15&lt;PolicyEff),1,Milestones!$AC$140),0))</f>
        <v>0</v>
      </c>
      <c r="EC17" s="0" t="n">
        <f aca="false">IF(EC15="",0,IF(AND(EC16=Milestones!$AB$141,EC15&gt;=SchemeStart),IF(AND(Milestones!$AB$141="FT",Milestones!$AA$141=FT_Y5,EC15&lt;PolicyEff),1,Milestones!$AC$141),0))</f>
        <v>0</v>
      </c>
      <c r="ED17" s="0" t="n">
        <f aca="false">IF(ED15="",0,IF(AND(ED16=Milestones!$AB$142,ED15&gt;=SchemeStart),IF(AND(Milestones!$AB$142="FT",Milestones!$AA$142=FT_Y5,ED15&lt;PolicyEff),1,Milestones!$AC$142),0))</f>
        <v>0</v>
      </c>
      <c r="EE17" s="0" t="n">
        <f aca="false">IF(EE15="",0,IF(AND(EE16=Milestones!$AB$143,EE15&gt;=SchemeStart),IF(AND(Milestones!$AB$143="FT",Milestones!$AA$143=FT_Y5,EE15&lt;PolicyEff),1,Milestones!$AC$143),0))</f>
        <v>0</v>
      </c>
      <c r="EF17" s="0" t="n">
        <f aca="false">IF(EF15="",0,IF(AND(EF16=Milestones!$AB$144,EF15&gt;=SchemeStart),IF(AND(Milestones!$AB$144="FT",Milestones!$AA$144=FT_Y5,EF15&lt;PolicyEff),1,Milestones!$AC$144),0))</f>
        <v>0</v>
      </c>
      <c r="EG17" s="0" t="n">
        <f aca="false">IF(EG15="",0,IF(AND(EG16=Milestones!$AB$145,EG15&gt;=SchemeStart),IF(AND(Milestones!$AB$145="FT",Milestones!$AA$145=FT_Y5,EG15&lt;PolicyEff),1,Milestones!$AC$145),0))</f>
        <v>0</v>
      </c>
      <c r="EH17" s="0" t="n">
        <f aca="false">IF(EH15="",0,IF(AND(EH16=Milestones!$AB$146,EH15&gt;=SchemeStart),IF(AND(Milestones!$AB$146="FT",Milestones!$AA$146=FT_Y5,EH15&lt;PolicyEff),1,Milestones!$AC$146),0))</f>
        <v>0</v>
      </c>
      <c r="EI17" s="0" t="n">
        <f aca="false">IF(EI15="",0,IF(AND(EI16=Milestones!$AB$147,EI15&gt;=SchemeStart),IF(AND(Milestones!$AB$147="FT",Milestones!$AA$147=FT_Y5,EI15&lt;PolicyEff),1,Milestones!$AC$147),0))</f>
        <v>0</v>
      </c>
      <c r="EJ17" s="0" t="n">
        <f aca="false">IF(EJ15="",0,IF(AND(EJ16=Milestones!$AB$148,EJ15&gt;=SchemeStart),IF(AND(Milestones!$AB$148="FT",Milestones!$AA$148=FT_Y5,EJ15&lt;PolicyEff),1,Milestones!$AC$148),0))</f>
        <v>0</v>
      </c>
      <c r="EK17" s="0" t="n">
        <f aca="false">IF(EK15="",0,IF(AND(EK16=Milestones!$AB$149,EK15&gt;=SchemeStart),IF(AND(Milestones!$AB$149="FT",Milestones!$AA$149=FT_Y5,EK15&lt;PolicyEff),1,Milestones!$AC$149),0))</f>
        <v>0</v>
      </c>
      <c r="EL17" s="0" t="n">
        <f aca="false">IF(EL15="",0,IF(AND(EL16=Milestones!$AB$150,EL15&gt;=SchemeStart),IF(AND(Milestones!$AB$150="FT",Milestones!$AA$150=FT_Y5,EL15&lt;PolicyEff),1,Milestones!$AC$150),0))</f>
        <v>0</v>
      </c>
      <c r="EM17" s="0" t="n">
        <f aca="false">IF(EM15="",0,IF(AND(EM16=Milestones!$AB$151,EM15&gt;=SchemeStart),IF(AND(Milestones!$AB$151="FT",Milestones!$AA$151=FT_Y5,EM15&lt;PolicyEff),1,Milestones!$AC$151),0))</f>
        <v>0</v>
      </c>
      <c r="EN17" s="0" t="n">
        <f aca="false">IF(EN15="",0,IF(AND(EN16=Milestones!$AB$152,EN15&gt;=SchemeStart),IF(AND(Milestones!$AB$152="FT",Milestones!$AA$152=FT_Y5,EN15&lt;PolicyEff),1,Milestones!$AC$152),0))</f>
        <v>0</v>
      </c>
      <c r="EO17" s="0" t="n">
        <f aca="false">IF(EO15="",0,IF(AND(EO16=Milestones!$AB$153,EO15&gt;=SchemeStart),IF(AND(Milestones!$AB$153="FT",Milestones!$AA$153=FT_Y5,EO15&lt;PolicyEff),1,Milestones!$AC$153),0))</f>
        <v>0</v>
      </c>
      <c r="EP17" s="0" t="n">
        <f aca="false">IF(EP15="",0,IF(AND(EP16=Milestones!$AB$154,EP15&gt;=SchemeStart),IF(AND(Milestones!$AB$154="FT",Milestones!$AA$154=FT_Y5,EP15&lt;PolicyEff),1,Milestones!$AC$154),0))</f>
        <v>0</v>
      </c>
      <c r="EQ17" s="0" t="n">
        <f aca="false">IF(EQ15="",0,IF(AND(EQ16=Milestones!$AB$155,EQ15&gt;=SchemeStart),IF(AND(Milestones!$AB$155="FT",Milestones!$AA$155=FT_Y5,EQ15&lt;PolicyEff),1,Milestones!$AC$155),0))</f>
        <v>0</v>
      </c>
      <c r="ER17" s="0" t="n">
        <f aca="false">IF(ER15="",0,IF(AND(ER16=Milestones!$AB$156,ER15&gt;=SchemeStart),IF(AND(Milestones!$AB$156="FT",Milestones!$AA$156=FT_Y5,ER15&lt;PolicyEff),1,Milestones!$AC$156),0))</f>
        <v>0</v>
      </c>
      <c r="ES17" s="0" t="n">
        <f aca="false">IF(ES15="",0,IF(AND(ES16=Milestones!$AB$157,ES15&gt;=SchemeStart),IF(AND(Milestones!$AB$157="FT",Milestones!$AA$157=FT_Y5,ES15&lt;PolicyEff),1,Milestones!$AC$157),0))</f>
        <v>0</v>
      </c>
      <c r="ET17" s="0" t="n">
        <f aca="false">IF(ET15="",0,IF(AND(ET16=Milestones!$AB$158,ET15&gt;=SchemeStart),IF(AND(Milestones!$AB$158="FT",Milestones!$AA$158=FT_Y5,ET15&lt;PolicyEff),1,Milestones!$AC$158),0))</f>
        <v>0</v>
      </c>
      <c r="EU17" s="0" t="n">
        <f aca="false">IF(EU15="",0,IF(AND(EU16=Milestones!$AB$159,EU15&gt;=SchemeStart),IF(AND(Milestones!$AB$159="FT",Milestones!$AA$159=FT_Y5,EU15&lt;PolicyEff),1,Milestones!$AC$159),0))</f>
        <v>0</v>
      </c>
      <c r="EV17" s="0" t="n">
        <f aca="false">IF(EV15="",0,IF(AND(EV16=Milestones!$AB$160,EV15&gt;=SchemeStart),IF(AND(Milestones!$AB$160="FT",Milestones!$AA$160=FT_Y5,EV15&lt;PolicyEff),1,Milestones!$AC$160),0))</f>
        <v>0</v>
      </c>
      <c r="EW17" s="0" t="n">
        <f aca="false">IF(EW15="",0,IF(AND(EW16=Milestones!$AB$161,EW15&gt;=SchemeStart),IF(AND(Milestones!$AB$161="FT",Milestones!$AA$161=FT_Y5,EW15&lt;PolicyEff),1,Milestones!$AC$161),0))</f>
        <v>0</v>
      </c>
      <c r="EX17" s="0" t="n">
        <f aca="false">IF(EX15="",0,IF(AND(EX16=Milestones!$AB$162,EX15&gt;=SchemeStart),IF(AND(Milestones!$AB$162="FT",Milestones!$AA$162=FT_Y5,EX15&lt;PolicyEff),1,Milestones!$AC$162),0))</f>
        <v>0</v>
      </c>
      <c r="EY17" s="0" t="n">
        <f aca="false">IF(EY15="",0,IF(AND(EY16=Milestones!$AB$163,EY15&gt;=SchemeStart),IF(AND(Milestones!$AB$163="FT",Milestones!$AA$163=FT_Y5,EY15&lt;PolicyEff),1,Milestones!$AC$163),0))</f>
        <v>0</v>
      </c>
      <c r="EZ17" s="0" t="n">
        <f aca="false">IF(EZ15="",0,IF(AND(EZ16=Milestones!$AB$164,EZ15&gt;=SchemeStart),IF(AND(Milestones!$AB$164="FT",Milestones!$AA$164=FT_Y5,EZ15&lt;PolicyEff),1,Milestones!$AC$164),0))</f>
        <v>0</v>
      </c>
      <c r="FA17" s="0" t="n">
        <f aca="false">IF(FA15="",0,IF(AND(FA16=Milestones!$AB$165,FA15&gt;=SchemeStart),IF(AND(Milestones!$AB$165="FT",Milestones!$AA$165=FT_Y5,FA15&lt;PolicyEff),1,Milestones!$AC$165),0))</f>
        <v>0</v>
      </c>
      <c r="FB17" s="0" t="n">
        <f aca="false">IF(FB15="",0,IF(AND(FB16=Milestones!$AB$166,FB15&gt;=SchemeStart),IF(AND(Milestones!$AB$166="FT",Milestones!$AA$166=FT_Y5,FB15&lt;PolicyEff),1,Milestones!$AC$166),0))</f>
        <v>0</v>
      </c>
      <c r="FC17" s="0" t="n">
        <f aca="false">IF(FC15="",0,IF(AND(FC16=Milestones!$AB$167,FC15&gt;=SchemeStart),IF(AND(Milestones!$AB$167="FT",Milestones!$AA$167=FT_Y5,FC15&lt;PolicyEff),1,Milestones!$AC$167),0))</f>
        <v>0</v>
      </c>
      <c r="FD17" s="0" t="n">
        <f aca="false">IF(FD15="",0,IF(AND(FD16=Milestones!$AB$168,FD15&gt;=SchemeStart),IF(AND(Milestones!$AB$168="FT",Milestones!$AA$168=FT_Y5,FD15&lt;PolicyEff),1,Milestones!$AC$168),0))</f>
        <v>0</v>
      </c>
      <c r="FE17" s="0" t="n">
        <f aca="false">IF(FE15="",0,IF(AND(FE16=Milestones!$AB$169,FE15&gt;=SchemeStart),IF(AND(Milestones!$AB$169="FT",Milestones!$AA$169=FT_Y5,FE15&lt;PolicyEff),1,Milestones!$AC$169),0))</f>
        <v>0</v>
      </c>
      <c r="FF17" s="0" t="n">
        <f aca="false">IF(FF15="",0,IF(AND(FF16=Milestones!$AB$170,FF15&gt;=SchemeStart),IF(AND(Milestones!$AB$170="FT",Milestones!$AA$170=FT_Y5,FF15&lt;PolicyEff),1,Milestones!$AC$170),0))</f>
        <v>0</v>
      </c>
      <c r="FG17" s="0" t="n">
        <f aca="false">IF(FG15="",0,IF(AND(FG16=Milestones!$AB$171,FG15&gt;=SchemeStart),IF(AND(Milestones!$AB$171="FT",Milestones!$AA$171=FT_Y5,FG15&lt;PolicyEff),1,Milestones!$AC$171),0))</f>
        <v>0</v>
      </c>
      <c r="FH17" s="0" t="n">
        <f aca="false">IF(FH15="",0,IF(AND(FH16=Milestones!$AB$172,FH15&gt;=SchemeStart),IF(AND(Milestones!$AB$172="FT",Milestones!$AA$172=FT_Y5,FH15&lt;PolicyEff),1,Milestones!$AC$172),0))</f>
        <v>0</v>
      </c>
      <c r="FI17" s="0" t="n">
        <f aca="false">IF(FI15="",0,IF(AND(FI16=Milestones!$AB$173,FI15&gt;=SchemeStart),IF(AND(Milestones!$AB$173="FT",Milestones!$AA$173=FT_Y5,FI15&lt;PolicyEff),1,Milestones!$AC$173),0))</f>
        <v>0</v>
      </c>
      <c r="FJ17" s="0" t="n">
        <f aca="false">IF(FJ15="",0,IF(AND(FJ16=Milestones!$AB$174,FJ15&gt;=SchemeStart),IF(AND(Milestones!$AB$174="FT",Milestones!$AA$174=FT_Y5,FJ15&lt;PolicyEff),1,Milestones!$AC$174),0))</f>
        <v>0</v>
      </c>
      <c r="FK17" s="0" t="n">
        <f aca="false">IF(FK15="",0,IF(AND(FK16=Milestones!$AB$175,FK15&gt;=SchemeStart),IF(AND(Milestones!$AB$175="FT",Milestones!$AA$175=FT_Y5,FK15&lt;PolicyEff),1,Milestones!$AC$175),0))</f>
        <v>0</v>
      </c>
      <c r="FL17" s="0" t="n">
        <f aca="false">IF(FL15="",0,IF(AND(FL16=Milestones!$AB$176,FL15&gt;=SchemeStart),IF(AND(Milestones!$AB$176="FT",Milestones!$AA$176=FT_Y5,FL15&lt;PolicyEff),1,Milestones!$AC$176),0))</f>
        <v>0</v>
      </c>
      <c r="FM17" s="0" t="n">
        <f aca="false">IF(FM15="",0,IF(AND(FM16=Milestones!$AB$177,FM15&gt;=SchemeStart),IF(AND(Milestones!$AB$177="FT",Milestones!$AA$177=FT_Y5,FM15&lt;PolicyEff),1,Milestones!$AC$177),0))</f>
        <v>0</v>
      </c>
      <c r="FN17" s="0" t="n">
        <f aca="false">IF(FN15="",0,IF(AND(FN16=Milestones!$AB$178,FN15&gt;=SchemeStart),IF(AND(Milestones!$AB$178="FT",Milestones!$AA$178=FT_Y5,FN15&lt;PolicyEff),1,Milestones!$AC$178),0))</f>
        <v>0</v>
      </c>
      <c r="FO17" s="0" t="n">
        <f aca="false">IF(FO15="",0,IF(AND(FO16=Milestones!$AB$179,FO15&gt;=SchemeStart),IF(AND(Milestones!$AB$179="FT",Milestones!$AA$179=FT_Y5,FO15&lt;PolicyEff),1,Milestones!$AC$179),0))</f>
        <v>0</v>
      </c>
      <c r="FP17" s="0" t="n">
        <f aca="false">IF(FP15="",0,IF(AND(FP16=Milestones!$AB$180,FP15&gt;=SchemeStart),IF(AND(Milestones!$AB$180="FT",Milestones!$AA$180=FT_Y5,FP15&lt;PolicyEff),1,Milestones!$AC$180),0))</f>
        <v>0</v>
      </c>
      <c r="FQ17" s="0" t="n">
        <f aca="false">IF(FQ15="",0,IF(AND(FQ16=Milestones!$AB$181,FQ15&gt;=SchemeStart),IF(AND(Milestones!$AB$181="FT",Milestones!$AA$181=FT_Y5,FQ15&lt;PolicyEff),1,Milestones!$AC$181),0))</f>
        <v>0</v>
      </c>
      <c r="FR17" s="0" t="n">
        <f aca="false">IF(FR15="",0,IF(AND(FR16=Milestones!$AB$182,FR15&gt;=SchemeStart),IF(AND(Milestones!$AB$182="FT",Milestones!$AA$182=FT_Y5,FR15&lt;PolicyEff),1,Milestones!$AC$182),0))</f>
        <v>0</v>
      </c>
      <c r="FS17" s="0" t="n">
        <f aca="false">IF(FS15="",0,IF(AND(FS16=Milestones!$AB$183,FS15&gt;=SchemeStart),IF(AND(Milestones!$AB$183="FT",Milestones!$AA$183=FT_Y5,FS15&lt;PolicyEff),1,Milestones!$AC$183),0))</f>
        <v>0</v>
      </c>
      <c r="FT17" s="0" t="n">
        <f aca="false">IF(FT15="",0,IF(AND(FT16=Milestones!$AB$184,FT15&gt;=SchemeStart),IF(AND(Milestones!$AB$184="FT",Milestones!$AA$184=FT_Y5,FT15&lt;PolicyEff),1,Milestones!$AC$184),0))</f>
        <v>0</v>
      </c>
      <c r="FU17" s="0" t="n">
        <f aca="false">IF(FU15="",0,IF(AND(FU16=Milestones!$AB$185,FU15&gt;=SchemeStart),IF(AND(Milestones!$AB$185="FT",Milestones!$AA$185=FT_Y5,FU15&lt;PolicyEff),1,Milestones!$AC$185),0))</f>
        <v>0</v>
      </c>
      <c r="FV17" s="0" t="n">
        <f aca="false">IF(FV15="",0,IF(AND(FV16=Milestones!$AB$186,FV15&gt;=SchemeStart),IF(AND(Milestones!$AB$186="FT",Milestones!$AA$186=FT_Y5,FV15&lt;PolicyEff),1,Milestones!$AC$186),0))</f>
        <v>0</v>
      </c>
      <c r="FW17" s="0" t="n">
        <f aca="false">IF(FW15="",0,IF(AND(FW16=Milestones!$AB$187,FW15&gt;=SchemeStart),IF(AND(Milestones!$AB$187="FT",Milestones!$AA$187=FT_Y5,FW15&lt;PolicyEff),1,Milestones!$AC$187),0))</f>
        <v>0</v>
      </c>
      <c r="FX17" s="0" t="n">
        <f aca="false">IF(FX15="",0,IF(AND(FX16=Milestones!$AB$188,FX15&gt;=SchemeStart),IF(AND(Milestones!$AB$188="FT",Milestones!$AA$188=FT_Y5,FX15&lt;PolicyEff),1,Milestones!$AC$188),0))</f>
        <v>0</v>
      </c>
      <c r="FY17" s="0" t="n">
        <f aca="false">IF(FY15="",0,IF(AND(FY16=Milestones!$AB$189,FY15&gt;=SchemeStart),IF(AND(Milestones!$AB$189="FT",Milestones!$AA$189=FT_Y5,FY15&lt;PolicyEff),1,Milestones!$AC$189),0))</f>
        <v>0</v>
      </c>
      <c r="FZ17" s="0" t="n">
        <f aca="false">IF(FZ15="",0,IF(AND(FZ16=Milestones!$AB$190,FZ15&gt;=SchemeStart),IF(AND(Milestones!$AB$190="FT",Milestones!$AA$190=FT_Y5,FZ15&lt;PolicyEff),1,Milestones!$AC$190),0))</f>
        <v>0</v>
      </c>
      <c r="GA17" s="0" t="n">
        <f aca="false">IF(GA15="",0,IF(AND(GA16=Milestones!$AB$191,GA15&gt;=SchemeStart),IF(AND(Milestones!$AB$191="FT",Milestones!$AA$191=FT_Y5,GA15&lt;PolicyEff),1,Milestones!$AC$191),0))</f>
        <v>0</v>
      </c>
      <c r="GB17" s="0" t="n">
        <f aca="false">IF(GB15="",0,IF(AND(GB16=Milestones!$AB$192,GB15&gt;=SchemeStart),IF(AND(Milestones!$AB$192="FT",Milestones!$AA$192=FT_Y5,GB15&lt;PolicyEff),1,Milestones!$AC$192),0))</f>
        <v>0</v>
      </c>
      <c r="GC17" s="0" t="n">
        <f aca="false">IF(GC15="",0,IF(AND(GC16=Milestones!$AB$193,GC15&gt;=SchemeStart),IF(AND(Milestones!$AB$193="FT",Milestones!$AA$193=FT_Y5,GC15&lt;PolicyEff),1,Milestones!$AC$193),0))</f>
        <v>0</v>
      </c>
      <c r="GD17" s="0" t="n">
        <f aca="false">IF(GD15="",0,IF(AND(GD16=Milestones!$AB$194,GD15&gt;=SchemeStart),IF(AND(Milestones!$AB$194="FT",Milestones!$AA$194=FT_Y5,GD15&lt;PolicyEff),1,Milestones!$AC$194),0))</f>
        <v>0</v>
      </c>
      <c r="GE17" s="0" t="n">
        <f aca="false">IF(GE15="",0,IF(AND(GE16=Milestones!$AB$195,GE15&gt;=SchemeStart),IF(AND(Milestones!$AB$195="FT",Milestones!$AA$195=FT_Y5,GE15&lt;PolicyEff),1,Milestones!$AC$195),0))</f>
        <v>0</v>
      </c>
      <c r="GF17" s="0" t="n">
        <f aca="false">IF(GF15="",0,IF(AND(GF16=Milestones!$AB$196,GF15&gt;=SchemeStart),IF(AND(Milestones!$AB$196="FT",Milestones!$AA$196=FT_Y5,GF15&lt;PolicyEff),1,Milestones!$AC$196),0))</f>
        <v>0</v>
      </c>
      <c r="GG17" s="0" t="n">
        <f aca="false">IF(GG15="",0,IF(AND(GG16=Milestones!$AB$197,GG15&gt;=SchemeStart),IF(AND(Milestones!$AB$197="FT",Milestones!$AA$197=FT_Y5,GG15&lt;PolicyEff),1,Milestones!$AC$197),0))</f>
        <v>0</v>
      </c>
      <c r="GH17" s="0" t="n">
        <f aca="false">IF(GH15="",0,IF(AND(GH16=Milestones!$AB$198,GH15&gt;=SchemeStart),IF(AND(Milestones!$AB$198="FT",Milestones!$AA$198=FT_Y5,GH15&lt;PolicyEff),1,Milestones!$AC$198),0))</f>
        <v>0</v>
      </c>
      <c r="GI17" s="0" t="n">
        <f aca="false">IF(GI15="",0,IF(AND(GI16=Milestones!$AB$199,GI15&gt;=SchemeStart),IF(AND(Milestones!$AB$199="FT",Milestones!$AA$199=FT_Y5,GI15&lt;PolicyEff),1,Milestones!$AC$199),0))</f>
        <v>0</v>
      </c>
    </row>
    <row r="18" customFormat="false" ht="15" hidden="false" customHeight="false" outlineLevel="0" collapsed="false">
      <c r="A18" s="0" t="str">
        <f aca="false">IF('HR Tally Check'!G$7="","",'HR Tally Check'!G$7)</f>
        <v/>
      </c>
      <c r="B18" s="0" t="str">
        <f aca="false">IF(A18="","",ISNUMBER(MATCH(A18,Staff!$BR$5:$BR$154,0)))</f>
        <v/>
      </c>
      <c r="C18" s="20" t="str">
        <f aca="false">IF(B18&lt;&gt;TRUE(),"",INDEX(Staff!$AL$5:$AL$154,MATCH($A18,Staff!$BR$5:$BR$154,0)))</f>
        <v/>
      </c>
      <c r="D18" s="0" t="str">
        <f aca="false">IF(B18&lt;&gt;TRUE(),"",INDEX(Staff!$AM$5:$AM$154,MATCH($A18,Staff!$BR$5:$BR$154,0)))</f>
        <v/>
      </c>
      <c r="E18" s="20" t="str">
        <f aca="false">IF(B18&lt;&gt;TRUE(),"",INDEX(Staff!$AO$5:$AO$154,MATCH($A18,Staff!$BR$5:$BR$154,0)))</f>
        <v/>
      </c>
      <c r="F18" s="20" t="str">
        <f aca="false">IF(B18&lt;&gt;TRUE(),"",INDEX(Staff!$AP$5:$AP$154,MATCH($A18,Staff!$BR$5:$BR$154,0)))</f>
        <v/>
      </c>
      <c r="G18" s="0" t="str">
        <f aca="false">IF(B18&lt;&gt;TRUE(),"",INDEX(Staff!$AT$5:$AT$154,MATCH($A18,Staff!$BR$5:$BR$154,0)))</f>
        <v/>
      </c>
      <c r="H18" s="0" t="str">
        <f aca="false">IF(B18&lt;&gt;TRUE(),"",INDEX(Staff!$AU$5:$AU$154,MATCH($A18,Staff!$BR$5:$BR$154,0)))</f>
        <v/>
      </c>
      <c r="I18" s="0" t="str">
        <f aca="false">IF(B18&lt;&gt;TRUE(),"",INDEX(Staff!$AV$5:$AV$154,MATCH($A18,Staff!$BR$5:$BR$154,0)))</f>
        <v/>
      </c>
      <c r="J18" s="0" t="str">
        <f aca="false">IF(B18&lt;&gt;TRUE(),"",INDEX(Staff!$AW$5:$AW$154,MATCH($A18,Staff!$BR$5:$BR$154,0)))</f>
        <v/>
      </c>
      <c r="K18" s="33" t="s">
        <v>262</v>
      </c>
      <c r="L18" s="20" t="str">
        <f aca="false">IF($C18="","",EDATE($C18,Milestones!$AA$20))</f>
        <v/>
      </c>
      <c r="M18" s="20" t="str">
        <f aca="false">IF($C18="","",EDATE($C18,Milestones!$AA$21))</f>
        <v/>
      </c>
      <c r="N18" s="20" t="str">
        <f aca="false">IF($C18="","",EDATE($C18,Milestones!$AA$22))</f>
        <v/>
      </c>
      <c r="O18" s="20" t="str">
        <f aca="false">IF($C18="","",EDATE($C18,Milestones!$AA$23))</f>
        <v/>
      </c>
      <c r="P18" s="20" t="str">
        <f aca="false">IF($C18="","",EDATE($C18,Milestones!$AA$24))</f>
        <v/>
      </c>
      <c r="Q18" s="20" t="str">
        <f aca="false">IF($C18="","",EDATE($C18,Milestones!$AA$25))</f>
        <v/>
      </c>
      <c r="R18" s="20" t="str">
        <f aca="false">IF($C18="","",EDATE($C18,Milestones!$AA$26))</f>
        <v/>
      </c>
      <c r="S18" s="20" t="str">
        <f aca="false">IF($C18="","",EDATE($C18,Milestones!$AA$27))</f>
        <v/>
      </c>
      <c r="T18" s="20" t="str">
        <f aca="false">IF($C18="","",EDATE($C18,Milestones!$AA$28))</f>
        <v/>
      </c>
      <c r="U18" s="20" t="str">
        <f aca="false">IF($C18="","",EDATE($C18,Milestones!$AA$29))</f>
        <v/>
      </c>
      <c r="V18" s="20" t="str">
        <f aca="false">IF($C18="","",EDATE($C18,Milestones!$AA$30))</f>
        <v/>
      </c>
      <c r="W18" s="20" t="str">
        <f aca="false">IF($C18="","",EDATE($C18,Milestones!$AA$31))</f>
        <v/>
      </c>
      <c r="X18" s="20" t="str">
        <f aca="false">IF($C18="","",EDATE($C18,Milestones!$AA$32))</f>
        <v/>
      </c>
      <c r="Y18" s="20" t="str">
        <f aca="false">IF($C18="","",EDATE($C18,Milestones!$AA$33))</f>
        <v/>
      </c>
      <c r="Z18" s="20" t="str">
        <f aca="false">IF($C18="","",EDATE($C18,Milestones!$AA$34))</f>
        <v/>
      </c>
      <c r="AA18" s="20" t="str">
        <f aca="false">IF($C18="","",EDATE($C18,Milestones!$AA$35))</f>
        <v/>
      </c>
      <c r="AB18" s="20" t="str">
        <f aca="false">IF($C18="","",EDATE($C18,Milestones!$AA$36))</f>
        <v/>
      </c>
      <c r="AC18" s="20" t="str">
        <f aca="false">IF($C18="","",EDATE($C18,Milestones!$AA$37))</f>
        <v/>
      </c>
      <c r="AD18" s="20" t="str">
        <f aca="false">IF($C18="","",EDATE($C18,Milestones!$AA$38))</f>
        <v/>
      </c>
      <c r="AE18" s="20" t="str">
        <f aca="false">IF($C18="","",EDATE($C18,Milestones!$AA$39))</f>
        <v/>
      </c>
      <c r="AF18" s="20" t="str">
        <f aca="false">IF($C18="","",EDATE($C18,Milestones!$AA$40))</f>
        <v/>
      </c>
      <c r="AG18" s="20" t="str">
        <f aca="false">IF($C18="","",EDATE($C18,Milestones!$AA$41))</f>
        <v/>
      </c>
      <c r="AH18" s="20" t="str">
        <f aca="false">IF($C18="","",EDATE($C18,Milestones!$AA$42))</f>
        <v/>
      </c>
      <c r="AI18" s="20" t="str">
        <f aca="false">IF($C18="","",EDATE($C18,Milestones!$AA$43))</f>
        <v/>
      </c>
      <c r="AJ18" s="20" t="str">
        <f aca="false">IF($C18="","",EDATE($C18,Milestones!$AA$44))</f>
        <v/>
      </c>
      <c r="AK18" s="20" t="str">
        <f aca="false">IF($C18="","",EDATE($C18,Milestones!$AA$45))</f>
        <v/>
      </c>
      <c r="AL18" s="20" t="str">
        <f aca="false">IF($C18="","",EDATE($C18,Milestones!$AA$46))</f>
        <v/>
      </c>
      <c r="AM18" s="20" t="str">
        <f aca="false">IF($C18="","",EDATE($C18,Milestones!$AA$47))</f>
        <v/>
      </c>
      <c r="AN18" s="20" t="str">
        <f aca="false">IF($C18="","",EDATE($C18,Milestones!$AA$48))</f>
        <v/>
      </c>
      <c r="AO18" s="20" t="str">
        <f aca="false">IF($C18="","",EDATE($C18,Milestones!$AA$49))</f>
        <v/>
      </c>
      <c r="AP18" s="20" t="str">
        <f aca="false">IF($C18="","",EDATE($C18,Milestones!$AA$50))</f>
        <v/>
      </c>
      <c r="AQ18" s="20" t="str">
        <f aca="false">IF($C18="","",EDATE($C18,Milestones!$AA$51))</f>
        <v/>
      </c>
      <c r="AR18" s="20" t="str">
        <f aca="false">IF($C18="","",EDATE($C18,Milestones!$AA$52))</f>
        <v/>
      </c>
      <c r="AS18" s="20" t="str">
        <f aca="false">IF($C18="","",EDATE($C18,Milestones!$AA$53))</f>
        <v/>
      </c>
      <c r="AT18" s="20" t="str">
        <f aca="false">IF($C18="","",EDATE($C18,Milestones!$AA$54))</f>
        <v/>
      </c>
      <c r="AU18" s="20" t="str">
        <f aca="false">IF($C18="","",EDATE($C18,Milestones!$AA$55))</f>
        <v/>
      </c>
      <c r="AV18" s="20" t="str">
        <f aca="false">IF($C18="","",EDATE($C18,Milestones!$AA$56))</f>
        <v/>
      </c>
      <c r="AW18" s="20" t="str">
        <f aca="false">IF($C18="","",EDATE($C18,Milestones!$AA$57))</f>
        <v/>
      </c>
      <c r="AX18" s="20" t="str">
        <f aca="false">IF($C18="","",EDATE($C18,Milestones!$AA$58))</f>
        <v/>
      </c>
      <c r="AY18" s="20" t="str">
        <f aca="false">IF($C18="","",EDATE($C18,Milestones!$AA$59))</f>
        <v/>
      </c>
      <c r="AZ18" s="20" t="str">
        <f aca="false">IF($C18="","",EDATE($C18,Milestones!$AA$60))</f>
        <v/>
      </c>
      <c r="BA18" s="20" t="str">
        <f aca="false">IF($C18="","",EDATE($C18,Milestones!$AA$61))</f>
        <v/>
      </c>
      <c r="BB18" s="20" t="str">
        <f aca="false">IF($C18="","",EDATE($C18,Milestones!$AA$62))</f>
        <v/>
      </c>
      <c r="BC18" s="20" t="str">
        <f aca="false">IF($C18="","",EDATE($C18,Milestones!$AA$63))</f>
        <v/>
      </c>
      <c r="BD18" s="20" t="str">
        <f aca="false">IF($C18="","",EDATE($C18,Milestones!$AA$64))</f>
        <v/>
      </c>
      <c r="BE18" s="20" t="str">
        <f aca="false">IF($C18="","",EDATE($C18,Milestones!$AA$65))</f>
        <v/>
      </c>
      <c r="BF18" s="20" t="str">
        <f aca="false">IF($C18="","",EDATE($C18,Milestones!$AA$66))</f>
        <v/>
      </c>
      <c r="BG18" s="20" t="str">
        <f aca="false">IF($C18="","",EDATE($C18,Milestones!$AA$67))</f>
        <v/>
      </c>
      <c r="BH18" s="20" t="str">
        <f aca="false">IF($C18="","",EDATE($C18,Milestones!$AA$68))</f>
        <v/>
      </c>
      <c r="BI18" s="20" t="str">
        <f aca="false">IF($C18="","",EDATE($C18,Milestones!$AA$69))</f>
        <v/>
      </c>
      <c r="BJ18" s="20" t="str">
        <f aca="false">IF($C18="","",EDATE($C18,Milestones!$AA$70))</f>
        <v/>
      </c>
      <c r="BK18" s="20" t="str">
        <f aca="false">IF($C18="","",EDATE($C18,Milestones!$AA$71))</f>
        <v/>
      </c>
      <c r="BL18" s="20" t="str">
        <f aca="false">IF($C18="","",EDATE($C18,Milestones!$AA$72))</f>
        <v/>
      </c>
      <c r="BM18" s="20" t="str">
        <f aca="false">IF($C18="","",EDATE($C18,Milestones!$AA$73))</f>
        <v/>
      </c>
      <c r="BN18" s="20" t="str">
        <f aca="false">IF($C18="","",EDATE($C18,Milestones!$AA$74))</f>
        <v/>
      </c>
      <c r="BO18" s="20" t="str">
        <f aca="false">IF($C18="","",EDATE($C18,Milestones!$AA$75))</f>
        <v/>
      </c>
      <c r="BP18" s="20" t="str">
        <f aca="false">IF($C18="","",EDATE($C18,Milestones!$AA$76))</f>
        <v/>
      </c>
      <c r="BQ18" s="20" t="str">
        <f aca="false">IF($C18="","",EDATE($C18,Milestones!$AA$77))</f>
        <v/>
      </c>
      <c r="BR18" s="20" t="str">
        <f aca="false">IF($C18="","",EDATE($C18,Milestones!$AA$78))</f>
        <v/>
      </c>
      <c r="BS18" s="20" t="str">
        <f aca="false">IF($C18="","",EDATE($C18,Milestones!$AA$79))</f>
        <v/>
      </c>
      <c r="BT18" s="20" t="str">
        <f aca="false">IF($C18="","",EDATE($C18,Milestones!$AA$80))</f>
        <v/>
      </c>
      <c r="BU18" s="20" t="str">
        <f aca="false">IF($C18="","",EDATE($C18,Milestones!$AA$81))</f>
        <v/>
      </c>
      <c r="BV18" s="20" t="str">
        <f aca="false">IF($C18="","",EDATE($C18,Milestones!$AA$82))</f>
        <v/>
      </c>
      <c r="BW18" s="20" t="str">
        <f aca="false">IF($C18="","",EDATE($C18,Milestones!$AA$83))</f>
        <v/>
      </c>
      <c r="BX18" s="20" t="str">
        <f aca="false">IF($C18="","",EDATE($C18,Milestones!$AA$84))</f>
        <v/>
      </c>
      <c r="BY18" s="20" t="str">
        <f aca="false">IF($C18="","",EDATE($C18,Milestones!$AA$85))</f>
        <v/>
      </c>
      <c r="BZ18" s="20" t="str">
        <f aca="false">IF($C18="","",EDATE($C18,Milestones!$AA$86))</f>
        <v/>
      </c>
      <c r="CA18" s="20" t="str">
        <f aca="false">IF($C18="","",EDATE($C18,Milestones!$AA$87))</f>
        <v/>
      </c>
      <c r="CB18" s="20" t="str">
        <f aca="false">IF($C18="","",EDATE($C18,Milestones!$AA$88))</f>
        <v/>
      </c>
      <c r="CC18" s="20" t="str">
        <f aca="false">IF($C18="","",EDATE($C18,Milestones!$AA$89))</f>
        <v/>
      </c>
      <c r="CD18" s="20" t="str">
        <f aca="false">IF($C18="","",EDATE($C18,Milestones!$AA$90))</f>
        <v/>
      </c>
      <c r="CE18" s="20" t="str">
        <f aca="false">IF($C18="","",EDATE($C18,Milestones!$AA$91))</f>
        <v/>
      </c>
      <c r="CF18" s="20" t="str">
        <f aca="false">IF($C18="","",EDATE($C18,Milestones!$AA$92))</f>
        <v/>
      </c>
      <c r="CG18" s="20" t="str">
        <f aca="false">IF($C18="","",EDATE($C18,Milestones!$AA$93))</f>
        <v/>
      </c>
      <c r="CH18" s="20" t="str">
        <f aca="false">IF($C18="","",EDATE($C18,Milestones!$AA$94))</f>
        <v/>
      </c>
      <c r="CI18" s="20" t="str">
        <f aca="false">IF($C18="","",EDATE($C18,Milestones!$AA$95))</f>
        <v/>
      </c>
      <c r="CJ18" s="20" t="str">
        <f aca="false">IF($C18="","",EDATE($C18,Milestones!$AA$96))</f>
        <v/>
      </c>
      <c r="CK18" s="20" t="str">
        <f aca="false">IF($C18="","",EDATE($C18,Milestones!$AA$97))</f>
        <v/>
      </c>
      <c r="CL18" s="20" t="str">
        <f aca="false">IF($C18="","",EDATE($C18,Milestones!$AA$98))</f>
        <v/>
      </c>
      <c r="CM18" s="20" t="str">
        <f aca="false">IF($C18="","",EDATE($C18,Milestones!$AA$99))</f>
        <v/>
      </c>
      <c r="CN18" s="20" t="str">
        <f aca="false">IF($C18="","",EDATE($C18,Milestones!$AA$100))</f>
        <v/>
      </c>
      <c r="CO18" s="20" t="str">
        <f aca="false">IF($C18="","",EDATE($C18,Milestones!$AA$101))</f>
        <v/>
      </c>
      <c r="CP18" s="20" t="str">
        <f aca="false">IF($C18="","",EDATE($C18,Milestones!$AA$102))</f>
        <v/>
      </c>
      <c r="CQ18" s="20" t="str">
        <f aca="false">IF($C18="","",EDATE($C18,Milestones!$AA$103))</f>
        <v/>
      </c>
      <c r="CR18" s="20" t="str">
        <f aca="false">IF($C18="","",EDATE($C18,Milestones!$AA$104))</f>
        <v/>
      </c>
      <c r="CS18" s="20" t="str">
        <f aca="false">IF($C18="","",EDATE($C18,Milestones!$AA$105))</f>
        <v/>
      </c>
      <c r="CT18" s="20" t="str">
        <f aca="false">IF($C18="","",EDATE($C18,Milestones!$AA$106))</f>
        <v/>
      </c>
      <c r="CU18" s="20" t="str">
        <f aca="false">IF($C18="","",EDATE($C18,Milestones!$AA$107))</f>
        <v/>
      </c>
      <c r="CV18" s="20" t="str">
        <f aca="false">IF($C18="","",EDATE($C18,Milestones!$AA$108))</f>
        <v/>
      </c>
      <c r="CW18" s="20" t="str">
        <f aca="false">IF($C18="","",EDATE($C18,Milestones!$AA$109))</f>
        <v/>
      </c>
      <c r="CX18" s="20" t="str">
        <f aca="false">IF($C18="","",EDATE($C18,Milestones!$AA$110))</f>
        <v/>
      </c>
      <c r="CY18" s="20" t="str">
        <f aca="false">IF($C18="","",EDATE($C18,Milestones!$AA$111))</f>
        <v/>
      </c>
      <c r="CZ18" s="20" t="str">
        <f aca="false">IF($C18="","",EDATE($C18,Milestones!$AA$112))</f>
        <v/>
      </c>
      <c r="DA18" s="20" t="str">
        <f aca="false">IF($C18="","",EDATE($C18,Milestones!$AA$113))</f>
        <v/>
      </c>
      <c r="DB18" s="20" t="str">
        <f aca="false">IF($C18="","",EDATE($C18,Milestones!$AA$114))</f>
        <v/>
      </c>
      <c r="DC18" s="20" t="str">
        <f aca="false">IF($C18="","",EDATE($C18,Milestones!$AA$115))</f>
        <v/>
      </c>
      <c r="DD18" s="20" t="str">
        <f aca="false">IF($C18="","",EDATE($C18,Milestones!$AA$116))</f>
        <v/>
      </c>
      <c r="DE18" s="20" t="str">
        <f aca="false">IF($C18="","",EDATE($C18,Milestones!$AA$117))</f>
        <v/>
      </c>
      <c r="DF18" s="20" t="str">
        <f aca="false">IF($C18="","",EDATE($C18,Milestones!$AA$118))</f>
        <v/>
      </c>
      <c r="DG18" s="20" t="str">
        <f aca="false">IF($C18="","",EDATE($C18,Milestones!$AA$119))</f>
        <v/>
      </c>
      <c r="DH18" s="20" t="str">
        <f aca="false">IF($C18="","",EDATE($C18,Milestones!$AA$120))</f>
        <v/>
      </c>
      <c r="DI18" s="20" t="str">
        <f aca="false">IF($C18="","",EDATE($C18,Milestones!$AA$121))</f>
        <v/>
      </c>
      <c r="DJ18" s="20" t="str">
        <f aca="false">IF($C18="","",EDATE($C18,Milestones!$AA$122))</f>
        <v/>
      </c>
      <c r="DK18" s="20" t="str">
        <f aca="false">IF($C18="","",EDATE($C18,Milestones!$AA$123))</f>
        <v/>
      </c>
      <c r="DL18" s="20" t="str">
        <f aca="false">IF($C18="","",EDATE($C18,Milestones!$AA$124))</f>
        <v/>
      </c>
      <c r="DM18" s="20" t="str">
        <f aca="false">IF($C18="","",EDATE($C18,Milestones!$AA$125))</f>
        <v/>
      </c>
      <c r="DN18" s="20" t="str">
        <f aca="false">IF($C18="","",EDATE($C18,Milestones!$AA$126))</f>
        <v/>
      </c>
      <c r="DO18" s="20" t="str">
        <f aca="false">IF($C18="","",EDATE($C18,Milestones!$AA$127))</f>
        <v/>
      </c>
      <c r="DP18" s="20" t="str">
        <f aca="false">IF($C18="","",EDATE($C18,Milestones!$AA$128))</f>
        <v/>
      </c>
      <c r="DQ18" s="20" t="str">
        <f aca="false">IF($C18="","",EDATE($C18,Milestones!$AA$129))</f>
        <v/>
      </c>
      <c r="DR18" s="20" t="str">
        <f aca="false">IF($C18="","",EDATE($C18,Milestones!$AA$130))</f>
        <v/>
      </c>
      <c r="DS18" s="20" t="str">
        <f aca="false">IF($C18="","",EDATE($C18,Milestones!$AA$131))</f>
        <v/>
      </c>
      <c r="DT18" s="20" t="str">
        <f aca="false">IF($C18="","",EDATE($C18,Milestones!$AA$132))</f>
        <v/>
      </c>
      <c r="DU18" s="20" t="str">
        <f aca="false">IF($C18="","",EDATE($C18,Milestones!$AA$133))</f>
        <v/>
      </c>
      <c r="DV18" s="20" t="str">
        <f aca="false">IF($C18="","",EDATE($C18,Milestones!$AA$134))</f>
        <v/>
      </c>
      <c r="DW18" s="20" t="str">
        <f aca="false">IF($C18="","",EDATE($C18,Milestones!$AA$135))</f>
        <v/>
      </c>
      <c r="DX18" s="20" t="str">
        <f aca="false">IF($C18="","",EDATE($C18,Milestones!$AA$136))</f>
        <v/>
      </c>
      <c r="DY18" s="20" t="str">
        <f aca="false">IF($C18="","",EDATE($C18,Milestones!$AA$137))</f>
        <v/>
      </c>
      <c r="DZ18" s="20" t="str">
        <f aca="false">IF($C18="","",EDATE($C18,Milestones!$AA$138))</f>
        <v/>
      </c>
      <c r="EA18" s="20" t="str">
        <f aca="false">IF($C18="","",EDATE($C18,Milestones!$AA$139))</f>
        <v/>
      </c>
      <c r="EB18" s="20" t="str">
        <f aca="false">IF($C18="","",EDATE($C18,Milestones!$AA$140))</f>
        <v/>
      </c>
      <c r="EC18" s="20" t="str">
        <f aca="false">IF($C18="","",EDATE($C18,Milestones!$AA$141))</f>
        <v/>
      </c>
      <c r="ED18" s="20" t="str">
        <f aca="false">IF($C18="","",EDATE($C18,Milestones!$AA$142))</f>
        <v/>
      </c>
      <c r="EE18" s="20" t="str">
        <f aca="false">IF($C18="","",EDATE($C18,Milestones!$AA$143))</f>
        <v/>
      </c>
      <c r="EF18" s="20" t="str">
        <f aca="false">IF($C18="","",EDATE($C18,Milestones!$AA$144))</f>
        <v/>
      </c>
      <c r="EG18" s="20" t="str">
        <f aca="false">IF($C18="","",EDATE($C18,Milestones!$AA$145))</f>
        <v/>
      </c>
      <c r="EH18" s="20" t="str">
        <f aca="false">IF($C18="","",EDATE($C18,Milestones!$AA$146))</f>
        <v/>
      </c>
      <c r="EI18" s="20" t="str">
        <f aca="false">IF($C18="","",EDATE($C18,Milestones!$AA$147))</f>
        <v/>
      </c>
      <c r="EJ18" s="20" t="str">
        <f aca="false">IF($C18="","",EDATE($C18,Milestones!$AA$148))</f>
        <v/>
      </c>
      <c r="EK18" s="20" t="str">
        <f aca="false">IF($C18="","",EDATE($C18,Milestones!$AA$149))</f>
        <v/>
      </c>
      <c r="EL18" s="20" t="str">
        <f aca="false">IF($C18="","",EDATE($C18,Milestones!$AA$150))</f>
        <v/>
      </c>
      <c r="EM18" s="20" t="str">
        <f aca="false">IF($C18="","",EDATE($C18,Milestones!$AA$151))</f>
        <v/>
      </c>
      <c r="EN18" s="20" t="str">
        <f aca="false">IF($C18="","",EDATE($C18,Milestones!$AA$152))</f>
        <v/>
      </c>
      <c r="EO18" s="20" t="str">
        <f aca="false">IF($C18="","",EDATE($C18,Milestones!$AA$153))</f>
        <v/>
      </c>
      <c r="EP18" s="20" t="str">
        <f aca="false">IF($C18="","",EDATE($C18,Milestones!$AA$154))</f>
        <v/>
      </c>
      <c r="EQ18" s="20" t="str">
        <f aca="false">IF($C18="","",EDATE($C18,Milestones!$AA$155))</f>
        <v/>
      </c>
      <c r="ER18" s="20" t="str">
        <f aca="false">IF($C18="","",EDATE($C18,Milestones!$AA$156))</f>
        <v/>
      </c>
      <c r="ES18" s="20" t="str">
        <f aca="false">IF($C18="","",EDATE($C18,Milestones!$AA$157))</f>
        <v/>
      </c>
      <c r="ET18" s="20" t="str">
        <f aca="false">IF($C18="","",EDATE($C18,Milestones!$AA$158))</f>
        <v/>
      </c>
      <c r="EU18" s="20" t="str">
        <f aca="false">IF($C18="","",EDATE($C18,Milestones!$AA$159))</f>
        <v/>
      </c>
      <c r="EV18" s="20" t="str">
        <f aca="false">IF($C18="","",EDATE($C18,Milestones!$AA$160))</f>
        <v/>
      </c>
      <c r="EW18" s="20" t="str">
        <f aca="false">IF($C18="","",EDATE($C18,Milestones!$AA$161))</f>
        <v/>
      </c>
      <c r="EX18" s="20" t="str">
        <f aca="false">IF($C18="","",EDATE($C18,Milestones!$AA$162))</f>
        <v/>
      </c>
      <c r="EY18" s="20" t="str">
        <f aca="false">IF($C18="","",EDATE($C18,Milestones!$AA$163))</f>
        <v/>
      </c>
      <c r="EZ18" s="20" t="str">
        <f aca="false">IF($C18="","",EDATE($C18,Milestones!$AA$164))</f>
        <v/>
      </c>
      <c r="FA18" s="20" t="str">
        <f aca="false">IF($C18="","",EDATE($C18,Milestones!$AA$165))</f>
        <v/>
      </c>
      <c r="FB18" s="20" t="str">
        <f aca="false">IF($C18="","",EDATE($C18,Milestones!$AA$166))</f>
        <v/>
      </c>
      <c r="FC18" s="20" t="str">
        <f aca="false">IF($C18="","",EDATE($C18,Milestones!$AA$167))</f>
        <v/>
      </c>
      <c r="FD18" s="20" t="str">
        <f aca="false">IF($C18="","",EDATE($C18,Milestones!$AA$168))</f>
        <v/>
      </c>
      <c r="FE18" s="20" t="str">
        <f aca="false">IF($C18="","",EDATE($C18,Milestones!$AA$169))</f>
        <v/>
      </c>
      <c r="FF18" s="20" t="str">
        <f aca="false">IF($C18="","",EDATE($C18,Milestones!$AA$170))</f>
        <v/>
      </c>
      <c r="FG18" s="20" t="str">
        <f aca="false">IF($C18="","",EDATE($C18,Milestones!$AA$171))</f>
        <v/>
      </c>
      <c r="FH18" s="20" t="str">
        <f aca="false">IF($C18="","",EDATE($C18,Milestones!$AA$172))</f>
        <v/>
      </c>
      <c r="FI18" s="20" t="str">
        <f aca="false">IF($C18="","",EDATE($C18,Milestones!$AA$173))</f>
        <v/>
      </c>
      <c r="FJ18" s="20" t="str">
        <f aca="false">IF($C18="","",EDATE($C18,Milestones!$AA$174))</f>
        <v/>
      </c>
      <c r="FK18" s="20" t="str">
        <f aca="false">IF($C18="","",EDATE($C18,Milestones!$AA$175))</f>
        <v/>
      </c>
      <c r="FL18" s="20" t="str">
        <f aca="false">IF($C18="","",EDATE($C18,Milestones!$AA$176))</f>
        <v/>
      </c>
      <c r="FM18" s="20" t="str">
        <f aca="false">IF($C18="","",EDATE($C18,Milestones!$AA$177))</f>
        <v/>
      </c>
      <c r="FN18" s="20" t="str">
        <f aca="false">IF($C18="","",EDATE($C18,Milestones!$AA$178))</f>
        <v/>
      </c>
      <c r="FO18" s="20" t="str">
        <f aca="false">IF($C18="","",EDATE($C18,Milestones!$AA$179))</f>
        <v/>
      </c>
      <c r="FP18" s="20" t="str">
        <f aca="false">IF($C18="","",EDATE($C18,Milestones!$AA$180))</f>
        <v/>
      </c>
      <c r="FQ18" s="20" t="str">
        <f aca="false">IF($C18="","",EDATE($C18,Milestones!$AA$181))</f>
        <v/>
      </c>
      <c r="FR18" s="20" t="str">
        <f aca="false">IF($C18="","",EDATE($C18,Milestones!$AA$182))</f>
        <v/>
      </c>
      <c r="FS18" s="20" t="str">
        <f aca="false">IF($C18="","",EDATE($C18,Milestones!$AA$183))</f>
        <v/>
      </c>
      <c r="FT18" s="20" t="str">
        <f aca="false">IF($C18="","",EDATE($C18,Milestones!$AA$184))</f>
        <v/>
      </c>
      <c r="FU18" s="20" t="str">
        <f aca="false">IF($C18="","",EDATE($C18,Milestones!$AA$185))</f>
        <v/>
      </c>
      <c r="FV18" s="20" t="str">
        <f aca="false">IF($C18="","",EDATE($C18,Milestones!$AA$186))</f>
        <v/>
      </c>
      <c r="FW18" s="20" t="str">
        <f aca="false">IF($C18="","",EDATE($C18,Milestones!$AA$187))</f>
        <v/>
      </c>
      <c r="FX18" s="20" t="str">
        <f aca="false">IF($C18="","",EDATE($C18,Milestones!$AA$188))</f>
        <v/>
      </c>
      <c r="FY18" s="20" t="str">
        <f aca="false">IF($C18="","",EDATE($C18,Milestones!$AA$189))</f>
        <v/>
      </c>
      <c r="FZ18" s="20" t="str">
        <f aca="false">IF($C18="","",EDATE($C18,Milestones!$AA$190))</f>
        <v/>
      </c>
      <c r="GA18" s="20" t="str">
        <f aca="false">IF($C18="","",EDATE($C18,Milestones!$AA$191))</f>
        <v/>
      </c>
      <c r="GB18" s="20" t="str">
        <f aca="false">IF($C18="","",EDATE($C18,Milestones!$AA$192))</f>
        <v/>
      </c>
      <c r="GC18" s="20" t="str">
        <f aca="false">IF($C18="","",EDATE($C18,Milestones!$AA$193))</f>
        <v/>
      </c>
      <c r="GD18" s="20" t="str">
        <f aca="false">IF($C18="","",EDATE($C18,Milestones!$AA$194))</f>
        <v/>
      </c>
      <c r="GE18" s="20" t="str">
        <f aca="false">IF($C18="","",EDATE($C18,Milestones!$AA$195))</f>
        <v/>
      </c>
      <c r="GF18" s="20" t="str">
        <f aca="false">IF($C18="","",EDATE($C18,Milestones!$AA$196))</f>
        <v/>
      </c>
      <c r="GG18" s="20" t="str">
        <f aca="false">IF($C18="","",EDATE($C18,Milestones!$AA$197))</f>
        <v/>
      </c>
      <c r="GH18" s="20" t="str">
        <f aca="false">IF($C18="","",EDATE($C18,Milestones!$AA$198))</f>
        <v/>
      </c>
      <c r="GI18" s="20" t="str">
        <f aca="false">IF($C18="","",EDATE($C18,Milestones!$AA$199))</f>
        <v/>
      </c>
    </row>
    <row r="19" customFormat="false" ht="15" hidden="false" customHeight="false" outlineLevel="0" collapsed="false">
      <c r="K19" s="0" t="s">
        <v>263</v>
      </c>
      <c r="L19" s="0" t="str">
        <f aca="false">IF(L18="","",IF($D18=0,$J18,IF(AND($F18&lt;&gt;"",L18&gt;=$F18),$I18,IF(AND($E18&lt;&gt;"",L18&gt;=$E18),$H18,$G18))))</f>
        <v/>
      </c>
      <c r="M19" s="0" t="str">
        <f aca="false">IF(M18="","",IF($D18=0,$J18,IF(AND($F18&lt;&gt;"",M18&gt;=$F18),$I18,IF(AND($E18&lt;&gt;"",M18&gt;=$E18),$H18,$G18))))</f>
        <v/>
      </c>
      <c r="N19" s="0" t="str">
        <f aca="false">IF(N18="","",IF($D18=0,$J18,IF(AND($F18&lt;&gt;"",N18&gt;=$F18),$I18,IF(AND($E18&lt;&gt;"",N18&gt;=$E18),$H18,$G18))))</f>
        <v/>
      </c>
      <c r="O19" s="0" t="str">
        <f aca="false">IF(O18="","",IF($D18=0,$J18,IF(AND($F18&lt;&gt;"",O18&gt;=$F18),$I18,IF(AND($E18&lt;&gt;"",O18&gt;=$E18),$H18,$G18))))</f>
        <v/>
      </c>
      <c r="P19" s="0" t="str">
        <f aca="false">IF(P18="","",IF($D18=0,$J18,IF(AND($F18&lt;&gt;"",P18&gt;=$F18),$I18,IF(AND($E18&lt;&gt;"",P18&gt;=$E18),$H18,$G18))))</f>
        <v/>
      </c>
      <c r="Q19" s="0" t="str">
        <f aca="false">IF(Q18="","",IF($D18=0,$J18,IF(AND($F18&lt;&gt;"",Q18&gt;=$F18),$I18,IF(AND($E18&lt;&gt;"",Q18&gt;=$E18),$H18,$G18))))</f>
        <v/>
      </c>
      <c r="R19" s="0" t="str">
        <f aca="false">IF(R18="","",IF($D18=0,$J18,IF(AND($F18&lt;&gt;"",R18&gt;=$F18),$I18,IF(AND($E18&lt;&gt;"",R18&gt;=$E18),$H18,$G18))))</f>
        <v/>
      </c>
      <c r="S19" s="0" t="str">
        <f aca="false">IF(S18="","",IF($D18=0,$J18,IF(AND($F18&lt;&gt;"",S18&gt;=$F18),$I18,IF(AND($E18&lt;&gt;"",S18&gt;=$E18),$H18,$G18))))</f>
        <v/>
      </c>
      <c r="T19" s="0" t="str">
        <f aca="false">IF(T18="","",IF($D18=0,$J18,IF(AND($F18&lt;&gt;"",T18&gt;=$F18),$I18,IF(AND($E18&lt;&gt;"",T18&gt;=$E18),$H18,$G18))))</f>
        <v/>
      </c>
      <c r="U19" s="0" t="str">
        <f aca="false">IF(U18="","",IF($D18=0,$J18,IF(AND($F18&lt;&gt;"",U18&gt;=$F18),$I18,IF(AND($E18&lt;&gt;"",U18&gt;=$E18),$H18,$G18))))</f>
        <v/>
      </c>
      <c r="V19" s="0" t="str">
        <f aca="false">IF(V18="","",IF($D18=0,$J18,IF(AND($F18&lt;&gt;"",V18&gt;=$F18),$I18,IF(AND($E18&lt;&gt;"",V18&gt;=$E18),$H18,$G18))))</f>
        <v/>
      </c>
      <c r="W19" s="0" t="str">
        <f aca="false">IF(W18="","",IF($D18=0,$J18,IF(AND($F18&lt;&gt;"",W18&gt;=$F18),$I18,IF(AND($E18&lt;&gt;"",W18&gt;=$E18),$H18,$G18))))</f>
        <v/>
      </c>
      <c r="X19" s="0" t="str">
        <f aca="false">IF(X18="","",IF($D18=0,$J18,IF(AND($F18&lt;&gt;"",X18&gt;=$F18),$I18,IF(AND($E18&lt;&gt;"",X18&gt;=$E18),$H18,$G18))))</f>
        <v/>
      </c>
      <c r="Y19" s="0" t="str">
        <f aca="false">IF(Y18="","",IF($D18=0,$J18,IF(AND($F18&lt;&gt;"",Y18&gt;=$F18),$I18,IF(AND($E18&lt;&gt;"",Y18&gt;=$E18),$H18,$G18))))</f>
        <v/>
      </c>
      <c r="Z19" s="0" t="str">
        <f aca="false">IF(Z18="","",IF($D18=0,$J18,IF(AND($F18&lt;&gt;"",Z18&gt;=$F18),$I18,IF(AND($E18&lt;&gt;"",Z18&gt;=$E18),$H18,$G18))))</f>
        <v/>
      </c>
      <c r="AA19" s="0" t="str">
        <f aca="false">IF(AA18="","",IF($D18=0,$J18,IF(AND($F18&lt;&gt;"",AA18&gt;=$F18),$I18,IF(AND($E18&lt;&gt;"",AA18&gt;=$E18),$H18,$G18))))</f>
        <v/>
      </c>
      <c r="AB19" s="0" t="str">
        <f aca="false">IF(AB18="","",IF($D18=0,$J18,IF(AND($F18&lt;&gt;"",AB18&gt;=$F18),$I18,IF(AND($E18&lt;&gt;"",AB18&gt;=$E18),$H18,$G18))))</f>
        <v/>
      </c>
      <c r="AC19" s="0" t="str">
        <f aca="false">IF(AC18="","",IF($D18=0,$J18,IF(AND($F18&lt;&gt;"",AC18&gt;=$F18),$I18,IF(AND($E18&lt;&gt;"",AC18&gt;=$E18),$H18,$G18))))</f>
        <v/>
      </c>
      <c r="AD19" s="0" t="str">
        <f aca="false">IF(AD18="","",IF($D18=0,$J18,IF(AND($F18&lt;&gt;"",AD18&gt;=$F18),$I18,IF(AND($E18&lt;&gt;"",AD18&gt;=$E18),$H18,$G18))))</f>
        <v/>
      </c>
      <c r="AE19" s="0" t="str">
        <f aca="false">IF(AE18="","",IF($D18=0,$J18,IF(AND($F18&lt;&gt;"",AE18&gt;=$F18),$I18,IF(AND($E18&lt;&gt;"",AE18&gt;=$E18),$H18,$G18))))</f>
        <v/>
      </c>
      <c r="AF19" s="0" t="str">
        <f aca="false">IF(AF18="","",IF($D18=0,$J18,IF(AND($F18&lt;&gt;"",AF18&gt;=$F18),$I18,IF(AND($E18&lt;&gt;"",AF18&gt;=$E18),$H18,$G18))))</f>
        <v/>
      </c>
      <c r="AG19" s="0" t="str">
        <f aca="false">IF(AG18="","",IF($D18=0,$J18,IF(AND($F18&lt;&gt;"",AG18&gt;=$F18),$I18,IF(AND($E18&lt;&gt;"",AG18&gt;=$E18),$H18,$G18))))</f>
        <v/>
      </c>
      <c r="AH19" s="0" t="str">
        <f aca="false">IF(AH18="","",IF($D18=0,$J18,IF(AND($F18&lt;&gt;"",AH18&gt;=$F18),$I18,IF(AND($E18&lt;&gt;"",AH18&gt;=$E18),$H18,$G18))))</f>
        <v/>
      </c>
      <c r="AI19" s="0" t="str">
        <f aca="false">IF(AI18="","",IF($D18=0,$J18,IF(AND($F18&lt;&gt;"",AI18&gt;=$F18),$I18,IF(AND($E18&lt;&gt;"",AI18&gt;=$E18),$H18,$G18))))</f>
        <v/>
      </c>
      <c r="AJ19" s="0" t="str">
        <f aca="false">IF(AJ18="","",IF($D18=0,$J18,IF(AND($F18&lt;&gt;"",AJ18&gt;=$F18),$I18,IF(AND($E18&lt;&gt;"",AJ18&gt;=$E18),$H18,$G18))))</f>
        <v/>
      </c>
      <c r="AK19" s="0" t="str">
        <f aca="false">IF(AK18="","",IF($D18=0,$J18,IF(AND($F18&lt;&gt;"",AK18&gt;=$F18),$I18,IF(AND($E18&lt;&gt;"",AK18&gt;=$E18),$H18,$G18))))</f>
        <v/>
      </c>
      <c r="AL19" s="0" t="str">
        <f aca="false">IF(AL18="","",IF($D18=0,$J18,IF(AND($F18&lt;&gt;"",AL18&gt;=$F18),$I18,IF(AND($E18&lt;&gt;"",AL18&gt;=$E18),$H18,$G18))))</f>
        <v/>
      </c>
      <c r="AM19" s="0" t="str">
        <f aca="false">IF(AM18="","",IF($D18=0,$J18,IF(AND($F18&lt;&gt;"",AM18&gt;=$F18),$I18,IF(AND($E18&lt;&gt;"",AM18&gt;=$E18),$H18,$G18))))</f>
        <v/>
      </c>
      <c r="AN19" s="0" t="str">
        <f aca="false">IF(AN18="","",IF($D18=0,$J18,IF(AND($F18&lt;&gt;"",AN18&gt;=$F18),$I18,IF(AND($E18&lt;&gt;"",AN18&gt;=$E18),$H18,$G18))))</f>
        <v/>
      </c>
      <c r="AO19" s="0" t="str">
        <f aca="false">IF(AO18="","",IF($D18=0,$J18,IF(AND($F18&lt;&gt;"",AO18&gt;=$F18),$I18,IF(AND($E18&lt;&gt;"",AO18&gt;=$E18),$H18,$G18))))</f>
        <v/>
      </c>
      <c r="AP19" s="0" t="str">
        <f aca="false">IF(AP18="","",IF($D18=0,$J18,IF(AND($F18&lt;&gt;"",AP18&gt;=$F18),$I18,IF(AND($E18&lt;&gt;"",AP18&gt;=$E18),$H18,$G18))))</f>
        <v/>
      </c>
      <c r="AQ19" s="0" t="str">
        <f aca="false">IF(AQ18="","",IF($D18=0,$J18,IF(AND($F18&lt;&gt;"",AQ18&gt;=$F18),$I18,IF(AND($E18&lt;&gt;"",AQ18&gt;=$E18),$H18,$G18))))</f>
        <v/>
      </c>
      <c r="AR19" s="0" t="str">
        <f aca="false">IF(AR18="","",IF($D18=0,$J18,IF(AND($F18&lt;&gt;"",AR18&gt;=$F18),$I18,IF(AND($E18&lt;&gt;"",AR18&gt;=$E18),$H18,$G18))))</f>
        <v/>
      </c>
      <c r="AS19" s="0" t="str">
        <f aca="false">IF(AS18="","",IF($D18=0,$J18,IF(AND($F18&lt;&gt;"",AS18&gt;=$F18),$I18,IF(AND($E18&lt;&gt;"",AS18&gt;=$E18),$H18,$G18))))</f>
        <v/>
      </c>
      <c r="AT19" s="0" t="str">
        <f aca="false">IF(AT18="","",IF($D18=0,$J18,IF(AND($F18&lt;&gt;"",AT18&gt;=$F18),$I18,IF(AND($E18&lt;&gt;"",AT18&gt;=$E18),$H18,$G18))))</f>
        <v/>
      </c>
      <c r="AU19" s="0" t="str">
        <f aca="false">IF(AU18="","",IF($D18=0,$J18,IF(AND($F18&lt;&gt;"",AU18&gt;=$F18),$I18,IF(AND($E18&lt;&gt;"",AU18&gt;=$E18),$H18,$G18))))</f>
        <v/>
      </c>
      <c r="AV19" s="0" t="str">
        <f aca="false">IF(AV18="","",IF($D18=0,$J18,IF(AND($F18&lt;&gt;"",AV18&gt;=$F18),$I18,IF(AND($E18&lt;&gt;"",AV18&gt;=$E18),$H18,$G18))))</f>
        <v/>
      </c>
      <c r="AW19" s="0" t="str">
        <f aca="false">IF(AW18="","",IF($D18=0,$J18,IF(AND($F18&lt;&gt;"",AW18&gt;=$F18),$I18,IF(AND($E18&lt;&gt;"",AW18&gt;=$E18),$H18,$G18))))</f>
        <v/>
      </c>
      <c r="AX19" s="0" t="str">
        <f aca="false">IF(AX18="","",IF($D18=0,$J18,IF(AND($F18&lt;&gt;"",AX18&gt;=$F18),$I18,IF(AND($E18&lt;&gt;"",AX18&gt;=$E18),$H18,$G18))))</f>
        <v/>
      </c>
      <c r="AY19" s="0" t="str">
        <f aca="false">IF(AY18="","",IF($D18=0,$J18,IF(AND($F18&lt;&gt;"",AY18&gt;=$F18),$I18,IF(AND($E18&lt;&gt;"",AY18&gt;=$E18),$H18,$G18))))</f>
        <v/>
      </c>
      <c r="AZ19" s="0" t="str">
        <f aca="false">IF(AZ18="","",IF($D18=0,$J18,IF(AND($F18&lt;&gt;"",AZ18&gt;=$F18),$I18,IF(AND($E18&lt;&gt;"",AZ18&gt;=$E18),$H18,$G18))))</f>
        <v/>
      </c>
      <c r="BA19" s="0" t="str">
        <f aca="false">IF(BA18="","",IF($D18=0,$J18,IF(AND($F18&lt;&gt;"",BA18&gt;=$F18),$I18,IF(AND($E18&lt;&gt;"",BA18&gt;=$E18),$H18,$G18))))</f>
        <v/>
      </c>
      <c r="BB19" s="0" t="str">
        <f aca="false">IF(BB18="","",IF($D18=0,$J18,IF(AND($F18&lt;&gt;"",BB18&gt;=$F18),$I18,IF(AND($E18&lt;&gt;"",BB18&gt;=$E18),$H18,$G18))))</f>
        <v/>
      </c>
      <c r="BC19" s="0" t="str">
        <f aca="false">IF(BC18="","",IF($D18=0,$J18,IF(AND($F18&lt;&gt;"",BC18&gt;=$F18),$I18,IF(AND($E18&lt;&gt;"",BC18&gt;=$E18),$H18,$G18))))</f>
        <v/>
      </c>
      <c r="BD19" s="0" t="str">
        <f aca="false">IF(BD18="","",IF($D18=0,$J18,IF(AND($F18&lt;&gt;"",BD18&gt;=$F18),$I18,IF(AND($E18&lt;&gt;"",BD18&gt;=$E18),$H18,$G18))))</f>
        <v/>
      </c>
      <c r="BE19" s="0" t="str">
        <f aca="false">IF(BE18="","",IF($D18=0,$J18,IF(AND($F18&lt;&gt;"",BE18&gt;=$F18),$I18,IF(AND($E18&lt;&gt;"",BE18&gt;=$E18),$H18,$G18))))</f>
        <v/>
      </c>
      <c r="BF19" s="0" t="str">
        <f aca="false">IF(BF18="","",IF($D18=0,$J18,IF(AND($F18&lt;&gt;"",BF18&gt;=$F18),$I18,IF(AND($E18&lt;&gt;"",BF18&gt;=$E18),$H18,$G18))))</f>
        <v/>
      </c>
      <c r="BG19" s="0" t="str">
        <f aca="false">IF(BG18="","",IF($D18=0,$J18,IF(AND($F18&lt;&gt;"",BG18&gt;=$F18),$I18,IF(AND($E18&lt;&gt;"",BG18&gt;=$E18),$H18,$G18))))</f>
        <v/>
      </c>
      <c r="BH19" s="0" t="str">
        <f aca="false">IF(BH18="","",IF($D18=0,$J18,IF(AND($F18&lt;&gt;"",BH18&gt;=$F18),$I18,IF(AND($E18&lt;&gt;"",BH18&gt;=$E18),$H18,$G18))))</f>
        <v/>
      </c>
      <c r="BI19" s="0" t="str">
        <f aca="false">IF(BI18="","",IF($D18=0,$J18,IF(AND($F18&lt;&gt;"",BI18&gt;=$F18),$I18,IF(AND($E18&lt;&gt;"",BI18&gt;=$E18),$H18,$G18))))</f>
        <v/>
      </c>
      <c r="BJ19" s="0" t="str">
        <f aca="false">IF(BJ18="","",IF($D18=0,$J18,IF(AND($F18&lt;&gt;"",BJ18&gt;=$F18),$I18,IF(AND($E18&lt;&gt;"",BJ18&gt;=$E18),$H18,$G18))))</f>
        <v/>
      </c>
      <c r="BK19" s="0" t="str">
        <f aca="false">IF(BK18="","",IF($D18=0,$J18,IF(AND($F18&lt;&gt;"",BK18&gt;=$F18),$I18,IF(AND($E18&lt;&gt;"",BK18&gt;=$E18),$H18,$G18))))</f>
        <v/>
      </c>
      <c r="BL19" s="0" t="str">
        <f aca="false">IF(BL18="","",IF($D18=0,$J18,IF(AND($F18&lt;&gt;"",BL18&gt;=$F18),$I18,IF(AND($E18&lt;&gt;"",BL18&gt;=$E18),$H18,$G18))))</f>
        <v/>
      </c>
      <c r="BM19" s="0" t="str">
        <f aca="false">IF(BM18="","",IF($D18=0,$J18,IF(AND($F18&lt;&gt;"",BM18&gt;=$F18),$I18,IF(AND($E18&lt;&gt;"",BM18&gt;=$E18),$H18,$G18))))</f>
        <v/>
      </c>
      <c r="BN19" s="0" t="str">
        <f aca="false">IF(BN18="","",IF($D18=0,$J18,IF(AND($F18&lt;&gt;"",BN18&gt;=$F18),$I18,IF(AND($E18&lt;&gt;"",BN18&gt;=$E18),$H18,$G18))))</f>
        <v/>
      </c>
      <c r="BO19" s="0" t="str">
        <f aca="false">IF(BO18="","",IF($D18=0,$J18,IF(AND($F18&lt;&gt;"",BO18&gt;=$F18),$I18,IF(AND($E18&lt;&gt;"",BO18&gt;=$E18),$H18,$G18))))</f>
        <v/>
      </c>
      <c r="BP19" s="0" t="str">
        <f aca="false">IF(BP18="","",IF($D18=0,$J18,IF(AND($F18&lt;&gt;"",BP18&gt;=$F18),$I18,IF(AND($E18&lt;&gt;"",BP18&gt;=$E18),$H18,$G18))))</f>
        <v/>
      </c>
      <c r="BQ19" s="0" t="str">
        <f aca="false">IF(BQ18="","",IF($D18=0,$J18,IF(AND($F18&lt;&gt;"",BQ18&gt;=$F18),$I18,IF(AND($E18&lt;&gt;"",BQ18&gt;=$E18),$H18,$G18))))</f>
        <v/>
      </c>
      <c r="BR19" s="0" t="str">
        <f aca="false">IF(BR18="","",IF($D18=0,$J18,IF(AND($F18&lt;&gt;"",BR18&gt;=$F18),$I18,IF(AND($E18&lt;&gt;"",BR18&gt;=$E18),$H18,$G18))))</f>
        <v/>
      </c>
      <c r="BS19" s="0" t="str">
        <f aca="false">IF(BS18="","",IF($D18=0,$J18,IF(AND($F18&lt;&gt;"",BS18&gt;=$F18),$I18,IF(AND($E18&lt;&gt;"",BS18&gt;=$E18),$H18,$G18))))</f>
        <v/>
      </c>
      <c r="BT19" s="0" t="str">
        <f aca="false">IF(BT18="","",IF($D18=0,$J18,IF(AND($F18&lt;&gt;"",BT18&gt;=$F18),$I18,IF(AND($E18&lt;&gt;"",BT18&gt;=$E18),$H18,$G18))))</f>
        <v/>
      </c>
      <c r="BU19" s="0" t="str">
        <f aca="false">IF(BU18="","",IF($D18=0,$J18,IF(AND($F18&lt;&gt;"",BU18&gt;=$F18),$I18,IF(AND($E18&lt;&gt;"",BU18&gt;=$E18),$H18,$G18))))</f>
        <v/>
      </c>
      <c r="BV19" s="0" t="str">
        <f aca="false">IF(BV18="","",IF($D18=0,$J18,IF(AND($F18&lt;&gt;"",BV18&gt;=$F18),$I18,IF(AND($E18&lt;&gt;"",BV18&gt;=$E18),$H18,$G18))))</f>
        <v/>
      </c>
      <c r="BW19" s="0" t="str">
        <f aca="false">IF(BW18="","",IF($D18=0,$J18,IF(AND($F18&lt;&gt;"",BW18&gt;=$F18),$I18,IF(AND($E18&lt;&gt;"",BW18&gt;=$E18),$H18,$G18))))</f>
        <v/>
      </c>
      <c r="BX19" s="0" t="str">
        <f aca="false">IF(BX18="","",IF($D18=0,$J18,IF(AND($F18&lt;&gt;"",BX18&gt;=$F18),$I18,IF(AND($E18&lt;&gt;"",BX18&gt;=$E18),$H18,$G18))))</f>
        <v/>
      </c>
      <c r="BY19" s="0" t="str">
        <f aca="false">IF(BY18="","",IF($D18=0,$J18,IF(AND($F18&lt;&gt;"",BY18&gt;=$F18),$I18,IF(AND($E18&lt;&gt;"",BY18&gt;=$E18),$H18,$G18))))</f>
        <v/>
      </c>
      <c r="BZ19" s="0" t="str">
        <f aca="false">IF(BZ18="","",IF($D18=0,$J18,IF(AND($F18&lt;&gt;"",BZ18&gt;=$F18),$I18,IF(AND($E18&lt;&gt;"",BZ18&gt;=$E18),$H18,$G18))))</f>
        <v/>
      </c>
      <c r="CA19" s="0" t="str">
        <f aca="false">IF(CA18="","",IF($D18=0,$J18,IF(AND($F18&lt;&gt;"",CA18&gt;=$F18),$I18,IF(AND($E18&lt;&gt;"",CA18&gt;=$E18),$H18,$G18))))</f>
        <v/>
      </c>
      <c r="CB19" s="0" t="str">
        <f aca="false">IF(CB18="","",IF($D18=0,$J18,IF(AND($F18&lt;&gt;"",CB18&gt;=$F18),$I18,IF(AND($E18&lt;&gt;"",CB18&gt;=$E18),$H18,$G18))))</f>
        <v/>
      </c>
      <c r="CC19" s="0" t="str">
        <f aca="false">IF(CC18="","",IF($D18=0,$J18,IF(AND($F18&lt;&gt;"",CC18&gt;=$F18),$I18,IF(AND($E18&lt;&gt;"",CC18&gt;=$E18),$H18,$G18))))</f>
        <v/>
      </c>
      <c r="CD19" s="0" t="str">
        <f aca="false">IF(CD18="","",IF($D18=0,$J18,IF(AND($F18&lt;&gt;"",CD18&gt;=$F18),$I18,IF(AND($E18&lt;&gt;"",CD18&gt;=$E18),$H18,$G18))))</f>
        <v/>
      </c>
      <c r="CE19" s="0" t="str">
        <f aca="false">IF(CE18="","",IF($D18=0,$J18,IF(AND($F18&lt;&gt;"",CE18&gt;=$F18),$I18,IF(AND($E18&lt;&gt;"",CE18&gt;=$E18),$H18,$G18))))</f>
        <v/>
      </c>
      <c r="CF19" s="0" t="str">
        <f aca="false">IF(CF18="","",IF($D18=0,$J18,IF(AND($F18&lt;&gt;"",CF18&gt;=$F18),$I18,IF(AND($E18&lt;&gt;"",CF18&gt;=$E18),$H18,$G18))))</f>
        <v/>
      </c>
      <c r="CG19" s="0" t="str">
        <f aca="false">IF(CG18="","",IF($D18=0,$J18,IF(AND($F18&lt;&gt;"",CG18&gt;=$F18),$I18,IF(AND($E18&lt;&gt;"",CG18&gt;=$E18),$H18,$G18))))</f>
        <v/>
      </c>
      <c r="CH19" s="0" t="str">
        <f aca="false">IF(CH18="","",IF($D18=0,$J18,IF(AND($F18&lt;&gt;"",CH18&gt;=$F18),$I18,IF(AND($E18&lt;&gt;"",CH18&gt;=$E18),$H18,$G18))))</f>
        <v/>
      </c>
      <c r="CI19" s="0" t="str">
        <f aca="false">IF(CI18="","",IF($D18=0,$J18,IF(AND($F18&lt;&gt;"",CI18&gt;=$F18),$I18,IF(AND($E18&lt;&gt;"",CI18&gt;=$E18),$H18,$G18))))</f>
        <v/>
      </c>
      <c r="CJ19" s="0" t="str">
        <f aca="false">IF(CJ18="","",IF($D18=0,$J18,IF(AND($F18&lt;&gt;"",CJ18&gt;=$F18),$I18,IF(AND($E18&lt;&gt;"",CJ18&gt;=$E18),$H18,$G18))))</f>
        <v/>
      </c>
      <c r="CK19" s="0" t="str">
        <f aca="false">IF(CK18="","",IF($D18=0,$J18,IF(AND($F18&lt;&gt;"",CK18&gt;=$F18),$I18,IF(AND($E18&lt;&gt;"",CK18&gt;=$E18),$H18,$G18))))</f>
        <v/>
      </c>
      <c r="CL19" s="0" t="str">
        <f aca="false">IF(CL18="","",IF($D18=0,$J18,IF(AND($F18&lt;&gt;"",CL18&gt;=$F18),$I18,IF(AND($E18&lt;&gt;"",CL18&gt;=$E18),$H18,$G18))))</f>
        <v/>
      </c>
      <c r="CM19" s="0" t="str">
        <f aca="false">IF(CM18="","",IF($D18=0,$J18,IF(AND($F18&lt;&gt;"",CM18&gt;=$F18),$I18,IF(AND($E18&lt;&gt;"",CM18&gt;=$E18),$H18,$G18))))</f>
        <v/>
      </c>
      <c r="CN19" s="0" t="str">
        <f aca="false">IF(CN18="","",IF($D18=0,$J18,IF(AND($F18&lt;&gt;"",CN18&gt;=$F18),$I18,IF(AND($E18&lt;&gt;"",CN18&gt;=$E18),$H18,$G18))))</f>
        <v/>
      </c>
      <c r="CO19" s="0" t="str">
        <f aca="false">IF(CO18="","",IF($D18=0,$J18,IF(AND($F18&lt;&gt;"",CO18&gt;=$F18),$I18,IF(AND($E18&lt;&gt;"",CO18&gt;=$E18),$H18,$G18))))</f>
        <v/>
      </c>
      <c r="CP19" s="0" t="str">
        <f aca="false">IF(CP18="","",IF($D18=0,$J18,IF(AND($F18&lt;&gt;"",CP18&gt;=$F18),$I18,IF(AND($E18&lt;&gt;"",CP18&gt;=$E18),$H18,$G18))))</f>
        <v/>
      </c>
      <c r="CQ19" s="0" t="str">
        <f aca="false">IF(CQ18="","",IF($D18=0,$J18,IF(AND($F18&lt;&gt;"",CQ18&gt;=$F18),$I18,IF(AND($E18&lt;&gt;"",CQ18&gt;=$E18),$H18,$G18))))</f>
        <v/>
      </c>
      <c r="CR19" s="0" t="str">
        <f aca="false">IF(CR18="","",IF($D18=0,$J18,IF(AND($F18&lt;&gt;"",CR18&gt;=$F18),$I18,IF(AND($E18&lt;&gt;"",CR18&gt;=$E18),$H18,$G18))))</f>
        <v/>
      </c>
      <c r="CS19" s="0" t="str">
        <f aca="false">IF(CS18="","",IF($D18=0,$J18,IF(AND($F18&lt;&gt;"",CS18&gt;=$F18),$I18,IF(AND($E18&lt;&gt;"",CS18&gt;=$E18),$H18,$G18))))</f>
        <v/>
      </c>
      <c r="CT19" s="0" t="str">
        <f aca="false">IF(CT18="","",IF($D18=0,$J18,IF(AND($F18&lt;&gt;"",CT18&gt;=$F18),$I18,IF(AND($E18&lt;&gt;"",CT18&gt;=$E18),$H18,$G18))))</f>
        <v/>
      </c>
      <c r="CU19" s="0" t="str">
        <f aca="false">IF(CU18="","",IF($D18=0,$J18,IF(AND($F18&lt;&gt;"",CU18&gt;=$F18),$I18,IF(AND($E18&lt;&gt;"",CU18&gt;=$E18),$H18,$G18))))</f>
        <v/>
      </c>
      <c r="CV19" s="0" t="str">
        <f aca="false">IF(CV18="","",IF($D18=0,$J18,IF(AND($F18&lt;&gt;"",CV18&gt;=$F18),$I18,IF(AND($E18&lt;&gt;"",CV18&gt;=$E18),$H18,$G18))))</f>
        <v/>
      </c>
      <c r="CW19" s="0" t="str">
        <f aca="false">IF(CW18="","",IF($D18=0,$J18,IF(AND($F18&lt;&gt;"",CW18&gt;=$F18),$I18,IF(AND($E18&lt;&gt;"",CW18&gt;=$E18),$H18,$G18))))</f>
        <v/>
      </c>
      <c r="CX19" s="0" t="str">
        <f aca="false">IF(CX18="","",IF($D18=0,$J18,IF(AND($F18&lt;&gt;"",CX18&gt;=$F18),$I18,IF(AND($E18&lt;&gt;"",CX18&gt;=$E18),$H18,$G18))))</f>
        <v/>
      </c>
      <c r="CY19" s="0" t="str">
        <f aca="false">IF(CY18="","",IF($D18=0,$J18,IF(AND($F18&lt;&gt;"",CY18&gt;=$F18),$I18,IF(AND($E18&lt;&gt;"",CY18&gt;=$E18),$H18,$G18))))</f>
        <v/>
      </c>
      <c r="CZ19" s="0" t="str">
        <f aca="false">IF(CZ18="","",IF($D18=0,$J18,IF(AND($F18&lt;&gt;"",CZ18&gt;=$F18),$I18,IF(AND($E18&lt;&gt;"",CZ18&gt;=$E18),$H18,$G18))))</f>
        <v/>
      </c>
      <c r="DA19" s="0" t="str">
        <f aca="false">IF(DA18="","",IF($D18=0,$J18,IF(AND($F18&lt;&gt;"",DA18&gt;=$F18),$I18,IF(AND($E18&lt;&gt;"",DA18&gt;=$E18),$H18,$G18))))</f>
        <v/>
      </c>
      <c r="DB19" s="0" t="str">
        <f aca="false">IF(DB18="","",IF($D18=0,$J18,IF(AND($F18&lt;&gt;"",DB18&gt;=$F18),$I18,IF(AND($E18&lt;&gt;"",DB18&gt;=$E18),$H18,$G18))))</f>
        <v/>
      </c>
      <c r="DC19" s="0" t="str">
        <f aca="false">IF(DC18="","",IF($D18=0,$J18,IF(AND($F18&lt;&gt;"",DC18&gt;=$F18),$I18,IF(AND($E18&lt;&gt;"",DC18&gt;=$E18),$H18,$G18))))</f>
        <v/>
      </c>
      <c r="DD19" s="0" t="str">
        <f aca="false">IF(DD18="","",IF($D18=0,$J18,IF(AND($F18&lt;&gt;"",DD18&gt;=$F18),$I18,IF(AND($E18&lt;&gt;"",DD18&gt;=$E18),$H18,$G18))))</f>
        <v/>
      </c>
      <c r="DE19" s="0" t="str">
        <f aca="false">IF(DE18="","",IF($D18=0,$J18,IF(AND($F18&lt;&gt;"",DE18&gt;=$F18),$I18,IF(AND($E18&lt;&gt;"",DE18&gt;=$E18),$H18,$G18))))</f>
        <v/>
      </c>
      <c r="DF19" s="0" t="str">
        <f aca="false">IF(DF18="","",IF($D18=0,$J18,IF(AND($F18&lt;&gt;"",DF18&gt;=$F18),$I18,IF(AND($E18&lt;&gt;"",DF18&gt;=$E18),$H18,$G18))))</f>
        <v/>
      </c>
      <c r="DG19" s="0" t="str">
        <f aca="false">IF(DG18="","",IF($D18=0,$J18,IF(AND($F18&lt;&gt;"",DG18&gt;=$F18),$I18,IF(AND($E18&lt;&gt;"",DG18&gt;=$E18),$H18,$G18))))</f>
        <v/>
      </c>
      <c r="DH19" s="0" t="str">
        <f aca="false">IF(DH18="","",IF($D18=0,$J18,IF(AND($F18&lt;&gt;"",DH18&gt;=$F18),$I18,IF(AND($E18&lt;&gt;"",DH18&gt;=$E18),$H18,$G18))))</f>
        <v/>
      </c>
      <c r="DI19" s="0" t="str">
        <f aca="false">IF(DI18="","",IF($D18=0,$J18,IF(AND($F18&lt;&gt;"",DI18&gt;=$F18),$I18,IF(AND($E18&lt;&gt;"",DI18&gt;=$E18),$H18,$G18))))</f>
        <v/>
      </c>
      <c r="DJ19" s="0" t="str">
        <f aca="false">IF(DJ18="","",IF($D18=0,$J18,IF(AND($F18&lt;&gt;"",DJ18&gt;=$F18),$I18,IF(AND($E18&lt;&gt;"",DJ18&gt;=$E18),$H18,$G18))))</f>
        <v/>
      </c>
      <c r="DK19" s="0" t="str">
        <f aca="false">IF(DK18="","",IF($D18=0,$J18,IF(AND($F18&lt;&gt;"",DK18&gt;=$F18),$I18,IF(AND($E18&lt;&gt;"",DK18&gt;=$E18),$H18,$G18))))</f>
        <v/>
      </c>
      <c r="DL19" s="0" t="str">
        <f aca="false">IF(DL18="","",IF($D18=0,$J18,IF(AND($F18&lt;&gt;"",DL18&gt;=$F18),$I18,IF(AND($E18&lt;&gt;"",DL18&gt;=$E18),$H18,$G18))))</f>
        <v/>
      </c>
      <c r="DM19" s="0" t="str">
        <f aca="false">IF(DM18="","",IF($D18=0,$J18,IF(AND($F18&lt;&gt;"",DM18&gt;=$F18),$I18,IF(AND($E18&lt;&gt;"",DM18&gt;=$E18),$H18,$G18))))</f>
        <v/>
      </c>
      <c r="DN19" s="0" t="str">
        <f aca="false">IF(DN18="","",IF($D18=0,$J18,IF(AND($F18&lt;&gt;"",DN18&gt;=$F18),$I18,IF(AND($E18&lt;&gt;"",DN18&gt;=$E18),$H18,$G18))))</f>
        <v/>
      </c>
      <c r="DO19" s="0" t="str">
        <f aca="false">IF(DO18="","",IF($D18=0,$J18,IF(AND($F18&lt;&gt;"",DO18&gt;=$F18),$I18,IF(AND($E18&lt;&gt;"",DO18&gt;=$E18),$H18,$G18))))</f>
        <v/>
      </c>
      <c r="DP19" s="0" t="str">
        <f aca="false">IF(DP18="","",IF($D18=0,$J18,IF(AND($F18&lt;&gt;"",DP18&gt;=$F18),$I18,IF(AND($E18&lt;&gt;"",DP18&gt;=$E18),$H18,$G18))))</f>
        <v/>
      </c>
      <c r="DQ19" s="0" t="str">
        <f aca="false">IF(DQ18="","",IF($D18=0,$J18,IF(AND($F18&lt;&gt;"",DQ18&gt;=$F18),$I18,IF(AND($E18&lt;&gt;"",DQ18&gt;=$E18),$H18,$G18))))</f>
        <v/>
      </c>
      <c r="DR19" s="0" t="str">
        <f aca="false">IF(DR18="","",IF($D18=0,$J18,IF(AND($F18&lt;&gt;"",DR18&gt;=$F18),$I18,IF(AND($E18&lt;&gt;"",DR18&gt;=$E18),$H18,$G18))))</f>
        <v/>
      </c>
      <c r="DS19" s="0" t="str">
        <f aca="false">IF(DS18="","",IF($D18=0,$J18,IF(AND($F18&lt;&gt;"",DS18&gt;=$F18),$I18,IF(AND($E18&lt;&gt;"",DS18&gt;=$E18),$H18,$G18))))</f>
        <v/>
      </c>
      <c r="DT19" s="0" t="str">
        <f aca="false">IF(DT18="","",IF($D18=0,$J18,IF(AND($F18&lt;&gt;"",DT18&gt;=$F18),$I18,IF(AND($E18&lt;&gt;"",DT18&gt;=$E18),$H18,$G18))))</f>
        <v/>
      </c>
      <c r="DU19" s="0" t="str">
        <f aca="false">IF(DU18="","",IF($D18=0,$J18,IF(AND($F18&lt;&gt;"",DU18&gt;=$F18),$I18,IF(AND($E18&lt;&gt;"",DU18&gt;=$E18),$H18,$G18))))</f>
        <v/>
      </c>
      <c r="DV19" s="0" t="str">
        <f aca="false">IF(DV18="","",IF($D18=0,$J18,IF(AND($F18&lt;&gt;"",DV18&gt;=$F18),$I18,IF(AND($E18&lt;&gt;"",DV18&gt;=$E18),$H18,$G18))))</f>
        <v/>
      </c>
      <c r="DW19" s="0" t="str">
        <f aca="false">IF(DW18="","",IF($D18=0,$J18,IF(AND($F18&lt;&gt;"",DW18&gt;=$F18),$I18,IF(AND($E18&lt;&gt;"",DW18&gt;=$E18),$H18,$G18))))</f>
        <v/>
      </c>
      <c r="DX19" s="0" t="str">
        <f aca="false">IF(DX18="","",IF($D18=0,$J18,IF(AND($F18&lt;&gt;"",DX18&gt;=$F18),$I18,IF(AND($E18&lt;&gt;"",DX18&gt;=$E18),$H18,$G18))))</f>
        <v/>
      </c>
      <c r="DY19" s="0" t="str">
        <f aca="false">IF(DY18="","",IF($D18=0,$J18,IF(AND($F18&lt;&gt;"",DY18&gt;=$F18),$I18,IF(AND($E18&lt;&gt;"",DY18&gt;=$E18),$H18,$G18))))</f>
        <v/>
      </c>
      <c r="DZ19" s="0" t="str">
        <f aca="false">IF(DZ18="","",IF($D18=0,$J18,IF(AND($F18&lt;&gt;"",DZ18&gt;=$F18),$I18,IF(AND($E18&lt;&gt;"",DZ18&gt;=$E18),$H18,$G18))))</f>
        <v/>
      </c>
      <c r="EA19" s="0" t="str">
        <f aca="false">IF(EA18="","",IF($D18=0,$J18,IF(AND($F18&lt;&gt;"",EA18&gt;=$F18),$I18,IF(AND($E18&lt;&gt;"",EA18&gt;=$E18),$H18,$G18))))</f>
        <v/>
      </c>
      <c r="EB19" s="0" t="str">
        <f aca="false">IF(EB18="","",IF($D18=0,$J18,IF(AND($F18&lt;&gt;"",EB18&gt;=$F18),$I18,IF(AND($E18&lt;&gt;"",EB18&gt;=$E18),$H18,$G18))))</f>
        <v/>
      </c>
      <c r="EC19" s="0" t="str">
        <f aca="false">IF(EC18="","",IF($D18=0,$J18,IF(AND($F18&lt;&gt;"",EC18&gt;=$F18),$I18,IF(AND($E18&lt;&gt;"",EC18&gt;=$E18),$H18,$G18))))</f>
        <v/>
      </c>
      <c r="ED19" s="0" t="str">
        <f aca="false">IF(ED18="","",IF($D18=0,$J18,IF(AND($F18&lt;&gt;"",ED18&gt;=$F18),$I18,IF(AND($E18&lt;&gt;"",ED18&gt;=$E18),$H18,$G18))))</f>
        <v/>
      </c>
      <c r="EE19" s="0" t="str">
        <f aca="false">IF(EE18="","",IF($D18=0,$J18,IF(AND($F18&lt;&gt;"",EE18&gt;=$F18),$I18,IF(AND($E18&lt;&gt;"",EE18&gt;=$E18),$H18,$G18))))</f>
        <v/>
      </c>
      <c r="EF19" s="0" t="str">
        <f aca="false">IF(EF18="","",IF($D18=0,$J18,IF(AND($F18&lt;&gt;"",EF18&gt;=$F18),$I18,IF(AND($E18&lt;&gt;"",EF18&gt;=$E18),$H18,$G18))))</f>
        <v/>
      </c>
      <c r="EG19" s="0" t="str">
        <f aca="false">IF(EG18="","",IF($D18=0,$J18,IF(AND($F18&lt;&gt;"",EG18&gt;=$F18),$I18,IF(AND($E18&lt;&gt;"",EG18&gt;=$E18),$H18,$G18))))</f>
        <v/>
      </c>
      <c r="EH19" s="0" t="str">
        <f aca="false">IF(EH18="","",IF($D18=0,$J18,IF(AND($F18&lt;&gt;"",EH18&gt;=$F18),$I18,IF(AND($E18&lt;&gt;"",EH18&gt;=$E18),$H18,$G18))))</f>
        <v/>
      </c>
      <c r="EI19" s="0" t="str">
        <f aca="false">IF(EI18="","",IF($D18=0,$J18,IF(AND($F18&lt;&gt;"",EI18&gt;=$F18),$I18,IF(AND($E18&lt;&gt;"",EI18&gt;=$E18),$H18,$G18))))</f>
        <v/>
      </c>
      <c r="EJ19" s="0" t="str">
        <f aca="false">IF(EJ18="","",IF($D18=0,$J18,IF(AND($F18&lt;&gt;"",EJ18&gt;=$F18),$I18,IF(AND($E18&lt;&gt;"",EJ18&gt;=$E18),$H18,$G18))))</f>
        <v/>
      </c>
      <c r="EK19" s="0" t="str">
        <f aca="false">IF(EK18="","",IF($D18=0,$J18,IF(AND($F18&lt;&gt;"",EK18&gt;=$F18),$I18,IF(AND($E18&lt;&gt;"",EK18&gt;=$E18),$H18,$G18))))</f>
        <v/>
      </c>
      <c r="EL19" s="0" t="str">
        <f aca="false">IF(EL18="","",IF($D18=0,$J18,IF(AND($F18&lt;&gt;"",EL18&gt;=$F18),$I18,IF(AND($E18&lt;&gt;"",EL18&gt;=$E18),$H18,$G18))))</f>
        <v/>
      </c>
      <c r="EM19" s="0" t="str">
        <f aca="false">IF(EM18="","",IF($D18=0,$J18,IF(AND($F18&lt;&gt;"",EM18&gt;=$F18),$I18,IF(AND($E18&lt;&gt;"",EM18&gt;=$E18),$H18,$G18))))</f>
        <v/>
      </c>
      <c r="EN19" s="0" t="str">
        <f aca="false">IF(EN18="","",IF($D18=0,$J18,IF(AND($F18&lt;&gt;"",EN18&gt;=$F18),$I18,IF(AND($E18&lt;&gt;"",EN18&gt;=$E18),$H18,$G18))))</f>
        <v/>
      </c>
      <c r="EO19" s="0" t="str">
        <f aca="false">IF(EO18="","",IF($D18=0,$J18,IF(AND($F18&lt;&gt;"",EO18&gt;=$F18),$I18,IF(AND($E18&lt;&gt;"",EO18&gt;=$E18),$H18,$G18))))</f>
        <v/>
      </c>
      <c r="EP19" s="0" t="str">
        <f aca="false">IF(EP18="","",IF($D18=0,$J18,IF(AND($F18&lt;&gt;"",EP18&gt;=$F18),$I18,IF(AND($E18&lt;&gt;"",EP18&gt;=$E18),$H18,$G18))))</f>
        <v/>
      </c>
      <c r="EQ19" s="0" t="str">
        <f aca="false">IF(EQ18="","",IF($D18=0,$J18,IF(AND($F18&lt;&gt;"",EQ18&gt;=$F18),$I18,IF(AND($E18&lt;&gt;"",EQ18&gt;=$E18),$H18,$G18))))</f>
        <v/>
      </c>
      <c r="ER19" s="0" t="str">
        <f aca="false">IF(ER18="","",IF($D18=0,$J18,IF(AND($F18&lt;&gt;"",ER18&gt;=$F18),$I18,IF(AND($E18&lt;&gt;"",ER18&gt;=$E18),$H18,$G18))))</f>
        <v/>
      </c>
      <c r="ES19" s="0" t="str">
        <f aca="false">IF(ES18="","",IF($D18=0,$J18,IF(AND($F18&lt;&gt;"",ES18&gt;=$F18),$I18,IF(AND($E18&lt;&gt;"",ES18&gt;=$E18),$H18,$G18))))</f>
        <v/>
      </c>
      <c r="ET19" s="0" t="str">
        <f aca="false">IF(ET18="","",IF($D18=0,$J18,IF(AND($F18&lt;&gt;"",ET18&gt;=$F18),$I18,IF(AND($E18&lt;&gt;"",ET18&gt;=$E18),$H18,$G18))))</f>
        <v/>
      </c>
      <c r="EU19" s="0" t="str">
        <f aca="false">IF(EU18="","",IF($D18=0,$J18,IF(AND($F18&lt;&gt;"",EU18&gt;=$F18),$I18,IF(AND($E18&lt;&gt;"",EU18&gt;=$E18),$H18,$G18))))</f>
        <v/>
      </c>
      <c r="EV19" s="0" t="str">
        <f aca="false">IF(EV18="","",IF($D18=0,$J18,IF(AND($F18&lt;&gt;"",EV18&gt;=$F18),$I18,IF(AND($E18&lt;&gt;"",EV18&gt;=$E18),$H18,$G18))))</f>
        <v/>
      </c>
      <c r="EW19" s="0" t="str">
        <f aca="false">IF(EW18="","",IF($D18=0,$J18,IF(AND($F18&lt;&gt;"",EW18&gt;=$F18),$I18,IF(AND($E18&lt;&gt;"",EW18&gt;=$E18),$H18,$G18))))</f>
        <v/>
      </c>
      <c r="EX19" s="0" t="str">
        <f aca="false">IF(EX18="","",IF($D18=0,$J18,IF(AND($F18&lt;&gt;"",EX18&gt;=$F18),$I18,IF(AND($E18&lt;&gt;"",EX18&gt;=$E18),$H18,$G18))))</f>
        <v/>
      </c>
      <c r="EY19" s="0" t="str">
        <f aca="false">IF(EY18="","",IF($D18=0,$J18,IF(AND($F18&lt;&gt;"",EY18&gt;=$F18),$I18,IF(AND($E18&lt;&gt;"",EY18&gt;=$E18),$H18,$G18))))</f>
        <v/>
      </c>
      <c r="EZ19" s="0" t="str">
        <f aca="false">IF(EZ18="","",IF($D18=0,$J18,IF(AND($F18&lt;&gt;"",EZ18&gt;=$F18),$I18,IF(AND($E18&lt;&gt;"",EZ18&gt;=$E18),$H18,$G18))))</f>
        <v/>
      </c>
      <c r="FA19" s="0" t="str">
        <f aca="false">IF(FA18="","",IF($D18=0,$J18,IF(AND($F18&lt;&gt;"",FA18&gt;=$F18),$I18,IF(AND($E18&lt;&gt;"",FA18&gt;=$E18),$H18,$G18))))</f>
        <v/>
      </c>
      <c r="FB19" s="0" t="str">
        <f aca="false">IF(FB18="","",IF($D18=0,$J18,IF(AND($F18&lt;&gt;"",FB18&gt;=$F18),$I18,IF(AND($E18&lt;&gt;"",FB18&gt;=$E18),$H18,$G18))))</f>
        <v/>
      </c>
      <c r="FC19" s="0" t="str">
        <f aca="false">IF(FC18="","",IF($D18=0,$J18,IF(AND($F18&lt;&gt;"",FC18&gt;=$F18),$I18,IF(AND($E18&lt;&gt;"",FC18&gt;=$E18),$H18,$G18))))</f>
        <v/>
      </c>
      <c r="FD19" s="0" t="str">
        <f aca="false">IF(FD18="","",IF($D18=0,$J18,IF(AND($F18&lt;&gt;"",FD18&gt;=$F18),$I18,IF(AND($E18&lt;&gt;"",FD18&gt;=$E18),$H18,$G18))))</f>
        <v/>
      </c>
      <c r="FE19" s="0" t="str">
        <f aca="false">IF(FE18="","",IF($D18=0,$J18,IF(AND($F18&lt;&gt;"",FE18&gt;=$F18),$I18,IF(AND($E18&lt;&gt;"",FE18&gt;=$E18),$H18,$G18))))</f>
        <v/>
      </c>
      <c r="FF19" s="0" t="str">
        <f aca="false">IF(FF18="","",IF($D18=0,$J18,IF(AND($F18&lt;&gt;"",FF18&gt;=$F18),$I18,IF(AND($E18&lt;&gt;"",FF18&gt;=$E18),$H18,$G18))))</f>
        <v/>
      </c>
      <c r="FG19" s="0" t="str">
        <f aca="false">IF(FG18="","",IF($D18=0,$J18,IF(AND($F18&lt;&gt;"",FG18&gt;=$F18),$I18,IF(AND($E18&lt;&gt;"",FG18&gt;=$E18),$H18,$G18))))</f>
        <v/>
      </c>
      <c r="FH19" s="0" t="str">
        <f aca="false">IF(FH18="","",IF($D18=0,$J18,IF(AND($F18&lt;&gt;"",FH18&gt;=$F18),$I18,IF(AND($E18&lt;&gt;"",FH18&gt;=$E18),$H18,$G18))))</f>
        <v/>
      </c>
      <c r="FI19" s="0" t="str">
        <f aca="false">IF(FI18="","",IF($D18=0,$J18,IF(AND($F18&lt;&gt;"",FI18&gt;=$F18),$I18,IF(AND($E18&lt;&gt;"",FI18&gt;=$E18),$H18,$G18))))</f>
        <v/>
      </c>
      <c r="FJ19" s="0" t="str">
        <f aca="false">IF(FJ18="","",IF($D18=0,$J18,IF(AND($F18&lt;&gt;"",FJ18&gt;=$F18),$I18,IF(AND($E18&lt;&gt;"",FJ18&gt;=$E18),$H18,$G18))))</f>
        <v/>
      </c>
      <c r="FK19" s="0" t="str">
        <f aca="false">IF(FK18="","",IF($D18=0,$J18,IF(AND($F18&lt;&gt;"",FK18&gt;=$F18),$I18,IF(AND($E18&lt;&gt;"",FK18&gt;=$E18),$H18,$G18))))</f>
        <v/>
      </c>
      <c r="FL19" s="0" t="str">
        <f aca="false">IF(FL18="","",IF($D18=0,$J18,IF(AND($F18&lt;&gt;"",FL18&gt;=$F18),$I18,IF(AND($E18&lt;&gt;"",FL18&gt;=$E18),$H18,$G18))))</f>
        <v/>
      </c>
      <c r="FM19" s="0" t="str">
        <f aca="false">IF(FM18="","",IF($D18=0,$J18,IF(AND($F18&lt;&gt;"",FM18&gt;=$F18),$I18,IF(AND($E18&lt;&gt;"",FM18&gt;=$E18),$H18,$G18))))</f>
        <v/>
      </c>
      <c r="FN19" s="0" t="str">
        <f aca="false">IF(FN18="","",IF($D18=0,$J18,IF(AND($F18&lt;&gt;"",FN18&gt;=$F18),$I18,IF(AND($E18&lt;&gt;"",FN18&gt;=$E18),$H18,$G18))))</f>
        <v/>
      </c>
      <c r="FO19" s="0" t="str">
        <f aca="false">IF(FO18="","",IF($D18=0,$J18,IF(AND($F18&lt;&gt;"",FO18&gt;=$F18),$I18,IF(AND($E18&lt;&gt;"",FO18&gt;=$E18),$H18,$G18))))</f>
        <v/>
      </c>
      <c r="FP19" s="0" t="str">
        <f aca="false">IF(FP18="","",IF($D18=0,$J18,IF(AND($F18&lt;&gt;"",FP18&gt;=$F18),$I18,IF(AND($E18&lt;&gt;"",FP18&gt;=$E18),$H18,$G18))))</f>
        <v/>
      </c>
      <c r="FQ19" s="0" t="str">
        <f aca="false">IF(FQ18="","",IF($D18=0,$J18,IF(AND($F18&lt;&gt;"",FQ18&gt;=$F18),$I18,IF(AND($E18&lt;&gt;"",FQ18&gt;=$E18),$H18,$G18))))</f>
        <v/>
      </c>
      <c r="FR19" s="0" t="str">
        <f aca="false">IF(FR18="","",IF($D18=0,$J18,IF(AND($F18&lt;&gt;"",FR18&gt;=$F18),$I18,IF(AND($E18&lt;&gt;"",FR18&gt;=$E18),$H18,$G18))))</f>
        <v/>
      </c>
      <c r="FS19" s="0" t="str">
        <f aca="false">IF(FS18="","",IF($D18=0,$J18,IF(AND($F18&lt;&gt;"",FS18&gt;=$F18),$I18,IF(AND($E18&lt;&gt;"",FS18&gt;=$E18),$H18,$G18))))</f>
        <v/>
      </c>
      <c r="FT19" s="0" t="str">
        <f aca="false">IF(FT18="","",IF($D18=0,$J18,IF(AND($F18&lt;&gt;"",FT18&gt;=$F18),$I18,IF(AND($E18&lt;&gt;"",FT18&gt;=$E18),$H18,$G18))))</f>
        <v/>
      </c>
      <c r="FU19" s="0" t="str">
        <f aca="false">IF(FU18="","",IF($D18=0,$J18,IF(AND($F18&lt;&gt;"",FU18&gt;=$F18),$I18,IF(AND($E18&lt;&gt;"",FU18&gt;=$E18),$H18,$G18))))</f>
        <v/>
      </c>
      <c r="FV19" s="0" t="str">
        <f aca="false">IF(FV18="","",IF($D18=0,$J18,IF(AND($F18&lt;&gt;"",FV18&gt;=$F18),$I18,IF(AND($E18&lt;&gt;"",FV18&gt;=$E18),$H18,$G18))))</f>
        <v/>
      </c>
      <c r="FW19" s="0" t="str">
        <f aca="false">IF(FW18="","",IF($D18=0,$J18,IF(AND($F18&lt;&gt;"",FW18&gt;=$F18),$I18,IF(AND($E18&lt;&gt;"",FW18&gt;=$E18),$H18,$G18))))</f>
        <v/>
      </c>
      <c r="FX19" s="0" t="str">
        <f aca="false">IF(FX18="","",IF($D18=0,$J18,IF(AND($F18&lt;&gt;"",FX18&gt;=$F18),$I18,IF(AND($E18&lt;&gt;"",FX18&gt;=$E18),$H18,$G18))))</f>
        <v/>
      </c>
      <c r="FY19" s="0" t="str">
        <f aca="false">IF(FY18="","",IF($D18=0,$J18,IF(AND($F18&lt;&gt;"",FY18&gt;=$F18),$I18,IF(AND($E18&lt;&gt;"",FY18&gt;=$E18),$H18,$G18))))</f>
        <v/>
      </c>
      <c r="FZ19" s="0" t="str">
        <f aca="false">IF(FZ18="","",IF($D18=0,$J18,IF(AND($F18&lt;&gt;"",FZ18&gt;=$F18),$I18,IF(AND($E18&lt;&gt;"",FZ18&gt;=$E18),$H18,$G18))))</f>
        <v/>
      </c>
      <c r="GA19" s="0" t="str">
        <f aca="false">IF(GA18="","",IF($D18=0,$J18,IF(AND($F18&lt;&gt;"",GA18&gt;=$F18),$I18,IF(AND($E18&lt;&gt;"",GA18&gt;=$E18),$H18,$G18))))</f>
        <v/>
      </c>
      <c r="GB19" s="0" t="str">
        <f aca="false">IF(GB18="","",IF($D18=0,$J18,IF(AND($F18&lt;&gt;"",GB18&gt;=$F18),$I18,IF(AND($E18&lt;&gt;"",GB18&gt;=$E18),$H18,$G18))))</f>
        <v/>
      </c>
      <c r="GC19" s="0" t="str">
        <f aca="false">IF(GC18="","",IF($D18=0,$J18,IF(AND($F18&lt;&gt;"",GC18&gt;=$F18),$I18,IF(AND($E18&lt;&gt;"",GC18&gt;=$E18),$H18,$G18))))</f>
        <v/>
      </c>
      <c r="GD19" s="0" t="str">
        <f aca="false">IF(GD18="","",IF($D18=0,$J18,IF(AND($F18&lt;&gt;"",GD18&gt;=$F18),$I18,IF(AND($E18&lt;&gt;"",GD18&gt;=$E18),$H18,$G18))))</f>
        <v/>
      </c>
      <c r="GE19" s="0" t="str">
        <f aca="false">IF(GE18="","",IF($D18=0,$J18,IF(AND($F18&lt;&gt;"",GE18&gt;=$F18),$I18,IF(AND($E18&lt;&gt;"",GE18&gt;=$E18),$H18,$G18))))</f>
        <v/>
      </c>
      <c r="GF19" s="0" t="str">
        <f aca="false">IF(GF18="","",IF($D18=0,$J18,IF(AND($F18&lt;&gt;"",GF18&gt;=$F18),$I18,IF(AND($E18&lt;&gt;"",GF18&gt;=$E18),$H18,$G18))))</f>
        <v/>
      </c>
      <c r="GG19" s="0" t="str">
        <f aca="false">IF(GG18="","",IF($D18=0,$J18,IF(AND($F18&lt;&gt;"",GG18&gt;=$F18),$I18,IF(AND($E18&lt;&gt;"",GG18&gt;=$E18),$H18,$G18))))</f>
        <v/>
      </c>
      <c r="GH19" s="0" t="str">
        <f aca="false">IF(GH18="","",IF($D18=0,$J18,IF(AND($F18&lt;&gt;"",GH18&gt;=$F18),$I18,IF(AND($E18&lt;&gt;"",GH18&gt;=$E18),$H18,$G18))))</f>
        <v/>
      </c>
      <c r="GI19" s="0" t="str">
        <f aca="false">IF(GI18="","",IF($D18=0,$J18,IF(AND($F18&lt;&gt;"",GI18&gt;=$F18),$I18,IF(AND($E18&lt;&gt;"",GI18&gt;=$E18),$H18,$G18))))</f>
        <v/>
      </c>
    </row>
    <row r="20" customFormat="false" ht="15" hidden="false" customHeight="false" outlineLevel="0" collapsed="false">
      <c r="K20" s="0" t="s">
        <v>264</v>
      </c>
      <c r="L20" s="0" t="n">
        <f aca="false">IF(L18="",0,IF(AND(L19=Milestones!$AB$20,L18&gt;=SchemeStart),IF(AND(Milestones!$AB$20="FT",Milestones!$AA$20=FT_Y5,L18&lt;PolicyEff),1,Milestones!$AC$20),0))</f>
        <v>0</v>
      </c>
      <c r="M20" s="0" t="n">
        <f aca="false">IF(M18="",0,IF(AND(M19=Milestones!$AB$21,M18&gt;=SchemeStart),IF(AND(Milestones!$AB$21="FT",Milestones!$AA$21=FT_Y5,M18&lt;PolicyEff),1,Milestones!$AC$21),0))</f>
        <v>0</v>
      </c>
      <c r="N20" s="0" t="n">
        <f aca="false">IF(N18="",0,IF(AND(N19=Milestones!$AB$22,N18&gt;=SchemeStart),IF(AND(Milestones!$AB$22="FT",Milestones!$AA$22=FT_Y5,N18&lt;PolicyEff),1,Milestones!$AC$22),0))</f>
        <v>0</v>
      </c>
      <c r="O20" s="0" t="n">
        <f aca="false">IF(O18="",0,IF(AND(O19=Milestones!$AB$23,O18&gt;=SchemeStart),IF(AND(Milestones!$AB$23="FT",Milestones!$AA$23=FT_Y5,O18&lt;PolicyEff),1,Milestones!$AC$23),0))</f>
        <v>0</v>
      </c>
      <c r="P20" s="0" t="n">
        <f aca="false">IF(P18="",0,IF(AND(P19=Milestones!$AB$24,P18&gt;=SchemeStart),IF(AND(Milestones!$AB$24="FT",Milestones!$AA$24=FT_Y5,P18&lt;PolicyEff),1,Milestones!$AC$24),0))</f>
        <v>0</v>
      </c>
      <c r="Q20" s="0" t="n">
        <f aca="false">IF(Q18="",0,IF(AND(Q19=Milestones!$AB$25,Q18&gt;=SchemeStart),IF(AND(Milestones!$AB$25="FT",Milestones!$AA$25=FT_Y5,Q18&lt;PolicyEff),1,Milestones!$AC$25),0))</f>
        <v>0</v>
      </c>
      <c r="R20" s="0" t="n">
        <f aca="false">IF(R18="",0,IF(AND(R19=Milestones!$AB$26,R18&gt;=SchemeStart),IF(AND(Milestones!$AB$26="FT",Milestones!$AA$26=FT_Y5,R18&lt;PolicyEff),1,Milestones!$AC$26),0))</f>
        <v>0</v>
      </c>
      <c r="S20" s="0" t="n">
        <f aca="false">IF(S18="",0,IF(AND(S19=Milestones!$AB$27,S18&gt;=SchemeStart),IF(AND(Milestones!$AB$27="FT",Milestones!$AA$27=FT_Y5,S18&lt;PolicyEff),1,Milestones!$AC$27),0))</f>
        <v>0</v>
      </c>
      <c r="T20" s="0" t="n">
        <f aca="false">IF(T18="",0,IF(AND(T19=Milestones!$AB$28,T18&gt;=SchemeStart),IF(AND(Milestones!$AB$28="FT",Milestones!$AA$28=FT_Y5,T18&lt;PolicyEff),1,Milestones!$AC$28),0))</f>
        <v>0</v>
      </c>
      <c r="U20" s="0" t="n">
        <f aca="false">IF(U18="",0,IF(AND(U19=Milestones!$AB$29,U18&gt;=SchemeStart),IF(AND(Milestones!$AB$29="FT",Milestones!$AA$29=FT_Y5,U18&lt;PolicyEff),1,Milestones!$AC$29),0))</f>
        <v>0</v>
      </c>
      <c r="V20" s="0" t="n">
        <f aca="false">IF(V18="",0,IF(AND(V19=Milestones!$AB$30,V18&gt;=SchemeStart),IF(AND(Milestones!$AB$30="FT",Milestones!$AA$30=FT_Y5,V18&lt;PolicyEff),1,Milestones!$AC$30),0))</f>
        <v>0</v>
      </c>
      <c r="W20" s="0" t="n">
        <f aca="false">IF(W18="",0,IF(AND(W19=Milestones!$AB$31,W18&gt;=SchemeStart),IF(AND(Milestones!$AB$31="FT",Milestones!$AA$31=FT_Y5,W18&lt;PolicyEff),1,Milestones!$AC$31),0))</f>
        <v>0</v>
      </c>
      <c r="X20" s="0" t="n">
        <f aca="false">IF(X18="",0,IF(AND(X19=Milestones!$AB$32,X18&gt;=SchemeStart),IF(AND(Milestones!$AB$32="FT",Milestones!$AA$32=FT_Y5,X18&lt;PolicyEff),1,Milestones!$AC$32),0))</f>
        <v>0</v>
      </c>
      <c r="Y20" s="0" t="n">
        <f aca="false">IF(Y18="",0,IF(AND(Y19=Milestones!$AB$33,Y18&gt;=SchemeStart),IF(AND(Milestones!$AB$33="FT",Milestones!$AA$33=FT_Y5,Y18&lt;PolicyEff),1,Milestones!$AC$33),0))</f>
        <v>0</v>
      </c>
      <c r="Z20" s="0" t="n">
        <f aca="false">IF(Z18="",0,IF(AND(Z19=Milestones!$AB$34,Z18&gt;=SchemeStart),IF(AND(Milestones!$AB$34="FT",Milestones!$AA$34=FT_Y5,Z18&lt;PolicyEff),1,Milestones!$AC$34),0))</f>
        <v>0</v>
      </c>
      <c r="AA20" s="0" t="n">
        <f aca="false">IF(AA18="",0,IF(AND(AA19=Milestones!$AB$35,AA18&gt;=SchemeStart),IF(AND(Milestones!$AB$35="FT",Milestones!$AA$35=FT_Y5,AA18&lt;PolicyEff),1,Milestones!$AC$35),0))</f>
        <v>0</v>
      </c>
      <c r="AB20" s="0" t="n">
        <f aca="false">IF(AB18="",0,IF(AND(AB19=Milestones!$AB$36,AB18&gt;=SchemeStart),IF(AND(Milestones!$AB$36="FT",Milestones!$AA$36=FT_Y5,AB18&lt;PolicyEff),1,Milestones!$AC$36),0))</f>
        <v>0</v>
      </c>
      <c r="AC20" s="0" t="n">
        <f aca="false">IF(AC18="",0,IF(AND(AC19=Milestones!$AB$37,AC18&gt;=SchemeStart),IF(AND(Milestones!$AB$37="FT",Milestones!$AA$37=FT_Y5,AC18&lt;PolicyEff),1,Milestones!$AC$37),0))</f>
        <v>0</v>
      </c>
      <c r="AD20" s="0" t="n">
        <f aca="false">IF(AD18="",0,IF(AND(AD19=Milestones!$AB$38,AD18&gt;=SchemeStart),IF(AND(Milestones!$AB$38="FT",Milestones!$AA$38=FT_Y5,AD18&lt;PolicyEff),1,Milestones!$AC$38),0))</f>
        <v>0</v>
      </c>
      <c r="AE20" s="0" t="n">
        <f aca="false">IF(AE18="",0,IF(AND(AE19=Milestones!$AB$39,AE18&gt;=SchemeStart),IF(AND(Milestones!$AB$39="FT",Milestones!$AA$39=FT_Y5,AE18&lt;PolicyEff),1,Milestones!$AC$39),0))</f>
        <v>0</v>
      </c>
      <c r="AF20" s="0" t="n">
        <f aca="false">IF(AF18="",0,IF(AND(AF19=Milestones!$AB$40,AF18&gt;=SchemeStart),IF(AND(Milestones!$AB$40="FT",Milestones!$AA$40=FT_Y5,AF18&lt;PolicyEff),1,Milestones!$AC$40),0))</f>
        <v>0</v>
      </c>
      <c r="AG20" s="0" t="n">
        <f aca="false">IF(AG18="",0,IF(AND(AG19=Milestones!$AB$41,AG18&gt;=SchemeStart),IF(AND(Milestones!$AB$41="FT",Milestones!$AA$41=FT_Y5,AG18&lt;PolicyEff),1,Milestones!$AC$41),0))</f>
        <v>0</v>
      </c>
      <c r="AH20" s="0" t="n">
        <f aca="false">IF(AH18="",0,IF(AND(AH19=Milestones!$AB$42,AH18&gt;=SchemeStart),IF(AND(Milestones!$AB$42="FT",Milestones!$AA$42=FT_Y5,AH18&lt;PolicyEff),1,Milestones!$AC$42),0))</f>
        <v>0</v>
      </c>
      <c r="AI20" s="0" t="n">
        <f aca="false">IF(AI18="",0,IF(AND(AI19=Milestones!$AB$43,AI18&gt;=SchemeStart),IF(AND(Milestones!$AB$43="FT",Milestones!$AA$43=FT_Y5,AI18&lt;PolicyEff),1,Milestones!$AC$43),0))</f>
        <v>0</v>
      </c>
      <c r="AJ20" s="0" t="n">
        <f aca="false">IF(AJ18="",0,IF(AND(AJ19=Milestones!$AB$44,AJ18&gt;=SchemeStart),IF(AND(Milestones!$AB$44="FT",Milestones!$AA$44=FT_Y5,AJ18&lt;PolicyEff),1,Milestones!$AC$44),0))</f>
        <v>0</v>
      </c>
      <c r="AK20" s="0" t="n">
        <f aca="false">IF(AK18="",0,IF(AND(AK19=Milestones!$AB$45,AK18&gt;=SchemeStart),IF(AND(Milestones!$AB$45="FT",Milestones!$AA$45=FT_Y5,AK18&lt;PolicyEff),1,Milestones!$AC$45),0))</f>
        <v>0</v>
      </c>
      <c r="AL20" s="0" t="n">
        <f aca="false">IF(AL18="",0,IF(AND(AL19=Milestones!$AB$46,AL18&gt;=SchemeStart),IF(AND(Milestones!$AB$46="FT",Milestones!$AA$46=FT_Y5,AL18&lt;PolicyEff),1,Milestones!$AC$46),0))</f>
        <v>0</v>
      </c>
      <c r="AM20" s="0" t="n">
        <f aca="false">IF(AM18="",0,IF(AND(AM19=Milestones!$AB$47,AM18&gt;=SchemeStart),IF(AND(Milestones!$AB$47="FT",Milestones!$AA$47=FT_Y5,AM18&lt;PolicyEff),1,Milestones!$AC$47),0))</f>
        <v>0</v>
      </c>
      <c r="AN20" s="0" t="n">
        <f aca="false">IF(AN18="",0,IF(AND(AN19=Milestones!$AB$48,AN18&gt;=SchemeStart),IF(AND(Milestones!$AB$48="FT",Milestones!$AA$48=FT_Y5,AN18&lt;PolicyEff),1,Milestones!$AC$48),0))</f>
        <v>0</v>
      </c>
      <c r="AO20" s="0" t="n">
        <f aca="false">IF(AO18="",0,IF(AND(AO19=Milestones!$AB$49,AO18&gt;=SchemeStart),IF(AND(Milestones!$AB$49="FT",Milestones!$AA$49=FT_Y5,AO18&lt;PolicyEff),1,Milestones!$AC$49),0))</f>
        <v>0</v>
      </c>
      <c r="AP20" s="0" t="n">
        <f aca="false">IF(AP18="",0,IF(AND(AP19=Milestones!$AB$50,AP18&gt;=SchemeStart),IF(AND(Milestones!$AB$50="FT",Milestones!$AA$50=FT_Y5,AP18&lt;PolicyEff),1,Milestones!$AC$50),0))</f>
        <v>0</v>
      </c>
      <c r="AQ20" s="0" t="n">
        <f aca="false">IF(AQ18="",0,IF(AND(AQ19=Milestones!$AB$51,AQ18&gt;=SchemeStart),IF(AND(Milestones!$AB$51="FT",Milestones!$AA$51=FT_Y5,AQ18&lt;PolicyEff),1,Milestones!$AC$51),0))</f>
        <v>0</v>
      </c>
      <c r="AR20" s="0" t="n">
        <f aca="false">IF(AR18="",0,IF(AND(AR19=Milestones!$AB$52,AR18&gt;=SchemeStart),IF(AND(Milestones!$AB$52="FT",Milestones!$AA$52=FT_Y5,AR18&lt;PolicyEff),1,Milestones!$AC$52),0))</f>
        <v>0</v>
      </c>
      <c r="AS20" s="0" t="n">
        <f aca="false">IF(AS18="",0,IF(AND(AS19=Milestones!$AB$53,AS18&gt;=SchemeStart),IF(AND(Milestones!$AB$53="FT",Milestones!$AA$53=FT_Y5,AS18&lt;PolicyEff),1,Milestones!$AC$53),0))</f>
        <v>0</v>
      </c>
      <c r="AT20" s="0" t="n">
        <f aca="false">IF(AT18="",0,IF(AND(AT19=Milestones!$AB$54,AT18&gt;=SchemeStart),IF(AND(Milestones!$AB$54="FT",Milestones!$AA$54=FT_Y5,AT18&lt;PolicyEff),1,Milestones!$AC$54),0))</f>
        <v>0</v>
      </c>
      <c r="AU20" s="0" t="n">
        <f aca="false">IF(AU18="",0,IF(AND(AU19=Milestones!$AB$55,AU18&gt;=SchemeStart),IF(AND(Milestones!$AB$55="FT",Milestones!$AA$55=FT_Y5,AU18&lt;PolicyEff),1,Milestones!$AC$55),0))</f>
        <v>0</v>
      </c>
      <c r="AV20" s="0" t="n">
        <f aca="false">IF(AV18="",0,IF(AND(AV19=Milestones!$AB$56,AV18&gt;=SchemeStart),IF(AND(Milestones!$AB$56="FT",Milestones!$AA$56=FT_Y5,AV18&lt;PolicyEff),1,Milestones!$AC$56),0))</f>
        <v>0</v>
      </c>
      <c r="AW20" s="0" t="n">
        <f aca="false">IF(AW18="",0,IF(AND(AW19=Milestones!$AB$57,AW18&gt;=SchemeStart),IF(AND(Milestones!$AB$57="FT",Milestones!$AA$57=FT_Y5,AW18&lt;PolicyEff),1,Milestones!$AC$57),0))</f>
        <v>0</v>
      </c>
      <c r="AX20" s="0" t="n">
        <f aca="false">IF(AX18="",0,IF(AND(AX19=Milestones!$AB$58,AX18&gt;=SchemeStart),IF(AND(Milestones!$AB$58="FT",Milestones!$AA$58=FT_Y5,AX18&lt;PolicyEff),1,Milestones!$AC$58),0))</f>
        <v>0</v>
      </c>
      <c r="AY20" s="0" t="n">
        <f aca="false">IF(AY18="",0,IF(AND(AY19=Milestones!$AB$59,AY18&gt;=SchemeStart),IF(AND(Milestones!$AB$59="FT",Milestones!$AA$59=FT_Y5,AY18&lt;PolicyEff),1,Milestones!$AC$59),0))</f>
        <v>0</v>
      </c>
      <c r="AZ20" s="0" t="n">
        <f aca="false">IF(AZ18="",0,IF(AND(AZ19=Milestones!$AB$60,AZ18&gt;=SchemeStart),IF(AND(Milestones!$AB$60="FT",Milestones!$AA$60=FT_Y5,AZ18&lt;PolicyEff),1,Milestones!$AC$60),0))</f>
        <v>0</v>
      </c>
      <c r="BA20" s="0" t="n">
        <f aca="false">IF(BA18="",0,IF(AND(BA19=Milestones!$AB$61,BA18&gt;=SchemeStart),IF(AND(Milestones!$AB$61="FT",Milestones!$AA$61=FT_Y5,BA18&lt;PolicyEff),1,Milestones!$AC$61),0))</f>
        <v>0</v>
      </c>
      <c r="BB20" s="0" t="n">
        <f aca="false">IF(BB18="",0,IF(AND(BB19=Milestones!$AB$62,BB18&gt;=SchemeStart),IF(AND(Milestones!$AB$62="FT",Milestones!$AA$62=FT_Y5,BB18&lt;PolicyEff),1,Milestones!$AC$62),0))</f>
        <v>0</v>
      </c>
      <c r="BC20" s="0" t="n">
        <f aca="false">IF(BC18="",0,IF(AND(BC19=Milestones!$AB$63,BC18&gt;=SchemeStart),IF(AND(Milestones!$AB$63="FT",Milestones!$AA$63=FT_Y5,BC18&lt;PolicyEff),1,Milestones!$AC$63),0))</f>
        <v>0</v>
      </c>
      <c r="BD20" s="0" t="n">
        <f aca="false">IF(BD18="",0,IF(AND(BD19=Milestones!$AB$64,BD18&gt;=SchemeStart),IF(AND(Milestones!$AB$64="FT",Milestones!$AA$64=FT_Y5,BD18&lt;PolicyEff),1,Milestones!$AC$64),0))</f>
        <v>0</v>
      </c>
      <c r="BE20" s="0" t="n">
        <f aca="false">IF(BE18="",0,IF(AND(BE19=Milestones!$AB$65,BE18&gt;=SchemeStart),IF(AND(Milestones!$AB$65="FT",Milestones!$AA$65=FT_Y5,BE18&lt;PolicyEff),1,Milestones!$AC$65),0))</f>
        <v>0</v>
      </c>
      <c r="BF20" s="0" t="n">
        <f aca="false">IF(BF18="",0,IF(AND(BF19=Milestones!$AB$66,BF18&gt;=SchemeStart),IF(AND(Milestones!$AB$66="FT",Milestones!$AA$66=FT_Y5,BF18&lt;PolicyEff),1,Milestones!$AC$66),0))</f>
        <v>0</v>
      </c>
      <c r="BG20" s="0" t="n">
        <f aca="false">IF(BG18="",0,IF(AND(BG19=Milestones!$AB$67,BG18&gt;=SchemeStart),IF(AND(Milestones!$AB$67="FT",Milestones!$AA$67=FT_Y5,BG18&lt;PolicyEff),1,Milestones!$AC$67),0))</f>
        <v>0</v>
      </c>
      <c r="BH20" s="0" t="n">
        <f aca="false">IF(BH18="",0,IF(AND(BH19=Milestones!$AB$68,BH18&gt;=SchemeStart),IF(AND(Milestones!$AB$68="FT",Milestones!$AA$68=FT_Y5,BH18&lt;PolicyEff),1,Milestones!$AC$68),0))</f>
        <v>0</v>
      </c>
      <c r="BI20" s="0" t="n">
        <f aca="false">IF(BI18="",0,IF(AND(BI19=Milestones!$AB$69,BI18&gt;=SchemeStart),IF(AND(Milestones!$AB$69="FT",Milestones!$AA$69=FT_Y5,BI18&lt;PolicyEff),1,Milestones!$AC$69),0))</f>
        <v>0</v>
      </c>
      <c r="BJ20" s="0" t="n">
        <f aca="false">IF(BJ18="",0,IF(AND(BJ19=Milestones!$AB$70,BJ18&gt;=SchemeStart),IF(AND(Milestones!$AB$70="FT",Milestones!$AA$70=FT_Y5,BJ18&lt;PolicyEff),1,Milestones!$AC$70),0))</f>
        <v>0</v>
      </c>
      <c r="BK20" s="0" t="n">
        <f aca="false">IF(BK18="",0,IF(AND(BK19=Milestones!$AB$71,BK18&gt;=SchemeStart),IF(AND(Milestones!$AB$71="FT",Milestones!$AA$71=FT_Y5,BK18&lt;PolicyEff),1,Milestones!$AC$71),0))</f>
        <v>0</v>
      </c>
      <c r="BL20" s="0" t="n">
        <f aca="false">IF(BL18="",0,IF(AND(BL19=Milestones!$AB$72,BL18&gt;=SchemeStart),IF(AND(Milestones!$AB$72="FT",Milestones!$AA$72=FT_Y5,BL18&lt;PolicyEff),1,Milestones!$AC$72),0))</f>
        <v>0</v>
      </c>
      <c r="BM20" s="0" t="n">
        <f aca="false">IF(BM18="",0,IF(AND(BM19=Milestones!$AB$73,BM18&gt;=SchemeStart),IF(AND(Milestones!$AB$73="FT",Milestones!$AA$73=FT_Y5,BM18&lt;PolicyEff),1,Milestones!$AC$73),0))</f>
        <v>0</v>
      </c>
      <c r="BN20" s="0" t="n">
        <f aca="false">IF(BN18="",0,IF(AND(BN19=Milestones!$AB$74,BN18&gt;=SchemeStart),IF(AND(Milestones!$AB$74="FT",Milestones!$AA$74=FT_Y5,BN18&lt;PolicyEff),1,Milestones!$AC$74),0))</f>
        <v>0</v>
      </c>
      <c r="BO20" s="0" t="n">
        <f aca="false">IF(BO18="",0,IF(AND(BO19=Milestones!$AB$75,BO18&gt;=SchemeStart),IF(AND(Milestones!$AB$75="FT",Milestones!$AA$75=FT_Y5,BO18&lt;PolicyEff),1,Milestones!$AC$75),0))</f>
        <v>0</v>
      </c>
      <c r="BP20" s="0" t="n">
        <f aca="false">IF(BP18="",0,IF(AND(BP19=Milestones!$AB$76,BP18&gt;=SchemeStart),IF(AND(Milestones!$AB$76="FT",Milestones!$AA$76=FT_Y5,BP18&lt;PolicyEff),1,Milestones!$AC$76),0))</f>
        <v>0</v>
      </c>
      <c r="BQ20" s="0" t="n">
        <f aca="false">IF(BQ18="",0,IF(AND(BQ19=Milestones!$AB$77,BQ18&gt;=SchemeStart),IF(AND(Milestones!$AB$77="FT",Milestones!$AA$77=FT_Y5,BQ18&lt;PolicyEff),1,Milestones!$AC$77),0))</f>
        <v>0</v>
      </c>
      <c r="BR20" s="0" t="n">
        <f aca="false">IF(BR18="",0,IF(AND(BR19=Milestones!$AB$78,BR18&gt;=SchemeStart),IF(AND(Milestones!$AB$78="FT",Milestones!$AA$78=FT_Y5,BR18&lt;PolicyEff),1,Milestones!$AC$78),0))</f>
        <v>0</v>
      </c>
      <c r="BS20" s="0" t="n">
        <f aca="false">IF(BS18="",0,IF(AND(BS19=Milestones!$AB$79,BS18&gt;=SchemeStart),IF(AND(Milestones!$AB$79="FT",Milestones!$AA$79=FT_Y5,BS18&lt;PolicyEff),1,Milestones!$AC$79),0))</f>
        <v>0</v>
      </c>
      <c r="BT20" s="0" t="n">
        <f aca="false">IF(BT18="",0,IF(AND(BT19=Milestones!$AB$80,BT18&gt;=SchemeStart),IF(AND(Milestones!$AB$80="FT",Milestones!$AA$80=FT_Y5,BT18&lt;PolicyEff),1,Milestones!$AC$80),0))</f>
        <v>0</v>
      </c>
      <c r="BU20" s="0" t="n">
        <f aca="false">IF(BU18="",0,IF(AND(BU19=Milestones!$AB$81,BU18&gt;=SchemeStart),IF(AND(Milestones!$AB$81="FT",Milestones!$AA$81=FT_Y5,BU18&lt;PolicyEff),1,Milestones!$AC$81),0))</f>
        <v>0</v>
      </c>
      <c r="BV20" s="0" t="n">
        <f aca="false">IF(BV18="",0,IF(AND(BV19=Milestones!$AB$82,BV18&gt;=SchemeStart),IF(AND(Milestones!$AB$82="FT",Milestones!$AA$82=FT_Y5,BV18&lt;PolicyEff),1,Milestones!$AC$82),0))</f>
        <v>0</v>
      </c>
      <c r="BW20" s="0" t="n">
        <f aca="false">IF(BW18="",0,IF(AND(BW19=Milestones!$AB$83,BW18&gt;=SchemeStart),IF(AND(Milestones!$AB$83="FT",Milestones!$AA$83=FT_Y5,BW18&lt;PolicyEff),1,Milestones!$AC$83),0))</f>
        <v>0</v>
      </c>
      <c r="BX20" s="0" t="n">
        <f aca="false">IF(BX18="",0,IF(AND(BX19=Milestones!$AB$84,BX18&gt;=SchemeStart),IF(AND(Milestones!$AB$84="FT",Milestones!$AA$84=FT_Y5,BX18&lt;PolicyEff),1,Milestones!$AC$84),0))</f>
        <v>0</v>
      </c>
      <c r="BY20" s="0" t="n">
        <f aca="false">IF(BY18="",0,IF(AND(BY19=Milestones!$AB$85,BY18&gt;=SchemeStart),IF(AND(Milestones!$AB$85="FT",Milestones!$AA$85=FT_Y5,BY18&lt;PolicyEff),1,Milestones!$AC$85),0))</f>
        <v>0</v>
      </c>
      <c r="BZ20" s="0" t="n">
        <f aca="false">IF(BZ18="",0,IF(AND(BZ19=Milestones!$AB$86,BZ18&gt;=SchemeStart),IF(AND(Milestones!$AB$86="FT",Milestones!$AA$86=FT_Y5,BZ18&lt;PolicyEff),1,Milestones!$AC$86),0))</f>
        <v>0</v>
      </c>
      <c r="CA20" s="0" t="n">
        <f aca="false">IF(CA18="",0,IF(AND(CA19=Milestones!$AB$87,CA18&gt;=SchemeStart),IF(AND(Milestones!$AB$87="FT",Milestones!$AA$87=FT_Y5,CA18&lt;PolicyEff),1,Milestones!$AC$87),0))</f>
        <v>0</v>
      </c>
      <c r="CB20" s="0" t="n">
        <f aca="false">IF(CB18="",0,IF(AND(CB19=Milestones!$AB$88,CB18&gt;=SchemeStart),IF(AND(Milestones!$AB$88="FT",Milestones!$AA$88=FT_Y5,CB18&lt;PolicyEff),1,Milestones!$AC$88),0))</f>
        <v>0</v>
      </c>
      <c r="CC20" s="0" t="n">
        <f aca="false">IF(CC18="",0,IF(AND(CC19=Milestones!$AB$89,CC18&gt;=SchemeStart),IF(AND(Milestones!$AB$89="FT",Milestones!$AA$89=FT_Y5,CC18&lt;PolicyEff),1,Milestones!$AC$89),0))</f>
        <v>0</v>
      </c>
      <c r="CD20" s="0" t="n">
        <f aca="false">IF(CD18="",0,IF(AND(CD19=Milestones!$AB$90,CD18&gt;=SchemeStart),IF(AND(Milestones!$AB$90="FT",Milestones!$AA$90=FT_Y5,CD18&lt;PolicyEff),1,Milestones!$AC$90),0))</f>
        <v>0</v>
      </c>
      <c r="CE20" s="0" t="n">
        <f aca="false">IF(CE18="",0,IF(AND(CE19=Milestones!$AB$91,CE18&gt;=SchemeStart),IF(AND(Milestones!$AB$91="FT",Milestones!$AA$91=FT_Y5,CE18&lt;PolicyEff),1,Milestones!$AC$91),0))</f>
        <v>0</v>
      </c>
      <c r="CF20" s="0" t="n">
        <f aca="false">IF(CF18="",0,IF(AND(CF19=Milestones!$AB$92,CF18&gt;=SchemeStart),IF(AND(Milestones!$AB$92="FT",Milestones!$AA$92=FT_Y5,CF18&lt;PolicyEff),1,Milestones!$AC$92),0))</f>
        <v>0</v>
      </c>
      <c r="CG20" s="0" t="n">
        <f aca="false">IF(CG18="",0,IF(AND(CG19=Milestones!$AB$93,CG18&gt;=SchemeStart),IF(AND(Milestones!$AB$93="FT",Milestones!$AA$93=FT_Y5,CG18&lt;PolicyEff),1,Milestones!$AC$93),0))</f>
        <v>0</v>
      </c>
      <c r="CH20" s="0" t="n">
        <f aca="false">IF(CH18="",0,IF(AND(CH19=Milestones!$AB$94,CH18&gt;=SchemeStart),IF(AND(Milestones!$AB$94="FT",Milestones!$AA$94=FT_Y5,CH18&lt;PolicyEff),1,Milestones!$AC$94),0))</f>
        <v>0</v>
      </c>
      <c r="CI20" s="0" t="n">
        <f aca="false">IF(CI18="",0,IF(AND(CI19=Milestones!$AB$95,CI18&gt;=SchemeStart),IF(AND(Milestones!$AB$95="FT",Milestones!$AA$95=FT_Y5,CI18&lt;PolicyEff),1,Milestones!$AC$95),0))</f>
        <v>0</v>
      </c>
      <c r="CJ20" s="0" t="n">
        <f aca="false">IF(CJ18="",0,IF(AND(CJ19=Milestones!$AB$96,CJ18&gt;=SchemeStart),IF(AND(Milestones!$AB$96="FT",Milestones!$AA$96=FT_Y5,CJ18&lt;PolicyEff),1,Milestones!$AC$96),0))</f>
        <v>0</v>
      </c>
      <c r="CK20" s="0" t="n">
        <f aca="false">IF(CK18="",0,IF(AND(CK19=Milestones!$AB$97,CK18&gt;=SchemeStart),IF(AND(Milestones!$AB$97="FT",Milestones!$AA$97=FT_Y5,CK18&lt;PolicyEff),1,Milestones!$AC$97),0))</f>
        <v>0</v>
      </c>
      <c r="CL20" s="0" t="n">
        <f aca="false">IF(CL18="",0,IF(AND(CL19=Milestones!$AB$98,CL18&gt;=SchemeStart),IF(AND(Milestones!$AB$98="FT",Milestones!$AA$98=FT_Y5,CL18&lt;PolicyEff),1,Milestones!$AC$98),0))</f>
        <v>0</v>
      </c>
      <c r="CM20" s="0" t="n">
        <f aca="false">IF(CM18="",0,IF(AND(CM19=Milestones!$AB$99,CM18&gt;=SchemeStart),IF(AND(Milestones!$AB$99="FT",Milestones!$AA$99=FT_Y5,CM18&lt;PolicyEff),1,Milestones!$AC$99),0))</f>
        <v>0</v>
      </c>
      <c r="CN20" s="0" t="n">
        <f aca="false">IF(CN18="",0,IF(AND(CN19=Milestones!$AB$100,CN18&gt;=SchemeStart),IF(AND(Milestones!$AB$100="FT",Milestones!$AA$100=FT_Y5,CN18&lt;PolicyEff),1,Milestones!$AC$100),0))</f>
        <v>0</v>
      </c>
      <c r="CO20" s="0" t="n">
        <f aca="false">IF(CO18="",0,IF(AND(CO19=Milestones!$AB$101,CO18&gt;=SchemeStart),IF(AND(Milestones!$AB$101="FT",Milestones!$AA$101=FT_Y5,CO18&lt;PolicyEff),1,Milestones!$AC$101),0))</f>
        <v>0</v>
      </c>
      <c r="CP20" s="0" t="n">
        <f aca="false">IF(CP18="",0,IF(AND(CP19=Milestones!$AB$102,CP18&gt;=SchemeStart),IF(AND(Milestones!$AB$102="FT",Milestones!$AA$102=FT_Y5,CP18&lt;PolicyEff),1,Milestones!$AC$102),0))</f>
        <v>0</v>
      </c>
      <c r="CQ20" s="0" t="n">
        <f aca="false">IF(CQ18="",0,IF(AND(CQ19=Milestones!$AB$103,CQ18&gt;=SchemeStart),IF(AND(Milestones!$AB$103="FT",Milestones!$AA$103=FT_Y5,CQ18&lt;PolicyEff),1,Milestones!$AC$103),0))</f>
        <v>0</v>
      </c>
      <c r="CR20" s="0" t="n">
        <f aca="false">IF(CR18="",0,IF(AND(CR19=Milestones!$AB$104,CR18&gt;=SchemeStart),IF(AND(Milestones!$AB$104="FT",Milestones!$AA$104=FT_Y5,CR18&lt;PolicyEff),1,Milestones!$AC$104),0))</f>
        <v>0</v>
      </c>
      <c r="CS20" s="0" t="n">
        <f aca="false">IF(CS18="",0,IF(AND(CS19=Milestones!$AB$105,CS18&gt;=SchemeStart),IF(AND(Milestones!$AB$105="FT",Milestones!$AA$105=FT_Y5,CS18&lt;PolicyEff),1,Milestones!$AC$105),0))</f>
        <v>0</v>
      </c>
      <c r="CT20" s="0" t="n">
        <f aca="false">IF(CT18="",0,IF(AND(CT19=Milestones!$AB$106,CT18&gt;=SchemeStart),IF(AND(Milestones!$AB$106="FT",Milestones!$AA$106=FT_Y5,CT18&lt;PolicyEff),1,Milestones!$AC$106),0))</f>
        <v>0</v>
      </c>
      <c r="CU20" s="0" t="n">
        <f aca="false">IF(CU18="",0,IF(AND(CU19=Milestones!$AB$107,CU18&gt;=SchemeStart),IF(AND(Milestones!$AB$107="FT",Milestones!$AA$107=FT_Y5,CU18&lt;PolicyEff),1,Milestones!$AC$107),0))</f>
        <v>0</v>
      </c>
      <c r="CV20" s="0" t="n">
        <f aca="false">IF(CV18="",0,IF(AND(CV19=Milestones!$AB$108,CV18&gt;=SchemeStart),IF(AND(Milestones!$AB$108="FT",Milestones!$AA$108=FT_Y5,CV18&lt;PolicyEff),1,Milestones!$AC$108),0))</f>
        <v>0</v>
      </c>
      <c r="CW20" s="0" t="n">
        <f aca="false">IF(CW18="",0,IF(AND(CW19=Milestones!$AB$109,CW18&gt;=SchemeStart),IF(AND(Milestones!$AB$109="FT",Milestones!$AA$109=FT_Y5,CW18&lt;PolicyEff),1,Milestones!$AC$109),0))</f>
        <v>0</v>
      </c>
      <c r="CX20" s="0" t="n">
        <f aca="false">IF(CX18="",0,IF(AND(CX19=Milestones!$AB$110,CX18&gt;=SchemeStart),IF(AND(Milestones!$AB$110="FT",Milestones!$AA$110=FT_Y5,CX18&lt;PolicyEff),1,Milestones!$AC$110),0))</f>
        <v>0</v>
      </c>
      <c r="CY20" s="0" t="n">
        <f aca="false">IF(CY18="",0,IF(AND(CY19=Milestones!$AB$111,CY18&gt;=SchemeStart),IF(AND(Milestones!$AB$111="FT",Milestones!$AA$111=FT_Y5,CY18&lt;PolicyEff),1,Milestones!$AC$111),0))</f>
        <v>0</v>
      </c>
      <c r="CZ20" s="0" t="n">
        <f aca="false">IF(CZ18="",0,IF(AND(CZ19=Milestones!$AB$112,CZ18&gt;=SchemeStart),IF(AND(Milestones!$AB$112="FT",Milestones!$AA$112=FT_Y5,CZ18&lt;PolicyEff),1,Milestones!$AC$112),0))</f>
        <v>0</v>
      </c>
      <c r="DA20" s="0" t="n">
        <f aca="false">IF(DA18="",0,IF(AND(DA19=Milestones!$AB$113,DA18&gt;=SchemeStart),IF(AND(Milestones!$AB$113="FT",Milestones!$AA$113=FT_Y5,DA18&lt;PolicyEff),1,Milestones!$AC$113),0))</f>
        <v>0</v>
      </c>
      <c r="DB20" s="0" t="n">
        <f aca="false">IF(DB18="",0,IF(AND(DB19=Milestones!$AB$114,DB18&gt;=SchemeStart),IF(AND(Milestones!$AB$114="FT",Milestones!$AA$114=FT_Y5,DB18&lt;PolicyEff),1,Milestones!$AC$114),0))</f>
        <v>0</v>
      </c>
      <c r="DC20" s="0" t="n">
        <f aca="false">IF(DC18="",0,IF(AND(DC19=Milestones!$AB$115,DC18&gt;=SchemeStart),IF(AND(Milestones!$AB$115="FT",Milestones!$AA$115=FT_Y5,DC18&lt;PolicyEff),1,Milestones!$AC$115),0))</f>
        <v>0</v>
      </c>
      <c r="DD20" s="0" t="n">
        <f aca="false">IF(DD18="",0,IF(AND(DD19=Milestones!$AB$116,DD18&gt;=SchemeStart),IF(AND(Milestones!$AB$116="FT",Milestones!$AA$116=FT_Y5,DD18&lt;PolicyEff),1,Milestones!$AC$116),0))</f>
        <v>0</v>
      </c>
      <c r="DE20" s="0" t="n">
        <f aca="false">IF(DE18="",0,IF(AND(DE19=Milestones!$AB$117,DE18&gt;=SchemeStart),IF(AND(Milestones!$AB$117="FT",Milestones!$AA$117=FT_Y5,DE18&lt;PolicyEff),1,Milestones!$AC$117),0))</f>
        <v>0</v>
      </c>
      <c r="DF20" s="0" t="n">
        <f aca="false">IF(DF18="",0,IF(AND(DF19=Milestones!$AB$118,DF18&gt;=SchemeStart),IF(AND(Milestones!$AB$118="FT",Milestones!$AA$118=FT_Y5,DF18&lt;PolicyEff),1,Milestones!$AC$118),0))</f>
        <v>0</v>
      </c>
      <c r="DG20" s="0" t="n">
        <f aca="false">IF(DG18="",0,IF(AND(DG19=Milestones!$AB$119,DG18&gt;=SchemeStart),IF(AND(Milestones!$AB$119="FT",Milestones!$AA$119=FT_Y5,DG18&lt;PolicyEff),1,Milestones!$AC$119),0))</f>
        <v>0</v>
      </c>
      <c r="DH20" s="0" t="n">
        <f aca="false">IF(DH18="",0,IF(AND(DH19=Milestones!$AB$120,DH18&gt;=SchemeStart),IF(AND(Milestones!$AB$120="FT",Milestones!$AA$120=FT_Y5,DH18&lt;PolicyEff),1,Milestones!$AC$120),0))</f>
        <v>0</v>
      </c>
      <c r="DI20" s="0" t="n">
        <f aca="false">IF(DI18="",0,IF(AND(DI19=Milestones!$AB$121,DI18&gt;=SchemeStart),IF(AND(Milestones!$AB$121="FT",Milestones!$AA$121=FT_Y5,DI18&lt;PolicyEff),1,Milestones!$AC$121),0))</f>
        <v>0</v>
      </c>
      <c r="DJ20" s="0" t="n">
        <f aca="false">IF(DJ18="",0,IF(AND(DJ19=Milestones!$AB$122,DJ18&gt;=SchemeStart),IF(AND(Milestones!$AB$122="FT",Milestones!$AA$122=FT_Y5,DJ18&lt;PolicyEff),1,Milestones!$AC$122),0))</f>
        <v>0</v>
      </c>
      <c r="DK20" s="0" t="n">
        <f aca="false">IF(DK18="",0,IF(AND(DK19=Milestones!$AB$123,DK18&gt;=SchemeStart),IF(AND(Milestones!$AB$123="FT",Milestones!$AA$123=FT_Y5,DK18&lt;PolicyEff),1,Milestones!$AC$123),0))</f>
        <v>0</v>
      </c>
      <c r="DL20" s="0" t="n">
        <f aca="false">IF(DL18="",0,IF(AND(DL19=Milestones!$AB$124,DL18&gt;=SchemeStart),IF(AND(Milestones!$AB$124="FT",Milestones!$AA$124=FT_Y5,DL18&lt;PolicyEff),1,Milestones!$AC$124),0))</f>
        <v>0</v>
      </c>
      <c r="DM20" s="0" t="n">
        <f aca="false">IF(DM18="",0,IF(AND(DM19=Milestones!$AB$125,DM18&gt;=SchemeStart),IF(AND(Milestones!$AB$125="FT",Milestones!$AA$125=FT_Y5,DM18&lt;PolicyEff),1,Milestones!$AC$125),0))</f>
        <v>0</v>
      </c>
      <c r="DN20" s="0" t="n">
        <f aca="false">IF(DN18="",0,IF(AND(DN19=Milestones!$AB$126,DN18&gt;=SchemeStart),IF(AND(Milestones!$AB$126="FT",Milestones!$AA$126=FT_Y5,DN18&lt;PolicyEff),1,Milestones!$AC$126),0))</f>
        <v>0</v>
      </c>
      <c r="DO20" s="0" t="n">
        <f aca="false">IF(DO18="",0,IF(AND(DO19=Milestones!$AB$127,DO18&gt;=SchemeStart),IF(AND(Milestones!$AB$127="FT",Milestones!$AA$127=FT_Y5,DO18&lt;PolicyEff),1,Milestones!$AC$127),0))</f>
        <v>0</v>
      </c>
      <c r="DP20" s="0" t="n">
        <f aca="false">IF(DP18="",0,IF(AND(DP19=Milestones!$AB$128,DP18&gt;=SchemeStart),IF(AND(Milestones!$AB$128="FT",Milestones!$AA$128=FT_Y5,DP18&lt;PolicyEff),1,Milestones!$AC$128),0))</f>
        <v>0</v>
      </c>
      <c r="DQ20" s="0" t="n">
        <f aca="false">IF(DQ18="",0,IF(AND(DQ19=Milestones!$AB$129,DQ18&gt;=SchemeStart),IF(AND(Milestones!$AB$129="FT",Milestones!$AA$129=FT_Y5,DQ18&lt;PolicyEff),1,Milestones!$AC$129),0))</f>
        <v>0</v>
      </c>
      <c r="DR20" s="0" t="n">
        <f aca="false">IF(DR18="",0,IF(AND(DR19=Milestones!$AB$130,DR18&gt;=SchemeStart),IF(AND(Milestones!$AB$130="FT",Milestones!$AA$130=FT_Y5,DR18&lt;PolicyEff),1,Milestones!$AC$130),0))</f>
        <v>0</v>
      </c>
      <c r="DS20" s="0" t="n">
        <f aca="false">IF(DS18="",0,IF(AND(DS19=Milestones!$AB$131,DS18&gt;=SchemeStart),IF(AND(Milestones!$AB$131="FT",Milestones!$AA$131=FT_Y5,DS18&lt;PolicyEff),1,Milestones!$AC$131),0))</f>
        <v>0</v>
      </c>
      <c r="DT20" s="0" t="n">
        <f aca="false">IF(DT18="",0,IF(AND(DT19=Milestones!$AB$132,DT18&gt;=SchemeStart),IF(AND(Milestones!$AB$132="FT",Milestones!$AA$132=FT_Y5,DT18&lt;PolicyEff),1,Milestones!$AC$132),0))</f>
        <v>0</v>
      </c>
      <c r="DU20" s="0" t="n">
        <f aca="false">IF(DU18="",0,IF(AND(DU19=Milestones!$AB$133,DU18&gt;=SchemeStart),IF(AND(Milestones!$AB$133="FT",Milestones!$AA$133=FT_Y5,DU18&lt;PolicyEff),1,Milestones!$AC$133),0))</f>
        <v>0</v>
      </c>
      <c r="DV20" s="0" t="n">
        <f aca="false">IF(DV18="",0,IF(AND(DV19=Milestones!$AB$134,DV18&gt;=SchemeStart),IF(AND(Milestones!$AB$134="FT",Milestones!$AA$134=FT_Y5,DV18&lt;PolicyEff),1,Milestones!$AC$134),0))</f>
        <v>0</v>
      </c>
      <c r="DW20" s="0" t="n">
        <f aca="false">IF(DW18="",0,IF(AND(DW19=Milestones!$AB$135,DW18&gt;=SchemeStart),IF(AND(Milestones!$AB$135="FT",Milestones!$AA$135=FT_Y5,DW18&lt;PolicyEff),1,Milestones!$AC$135),0))</f>
        <v>0</v>
      </c>
      <c r="DX20" s="0" t="n">
        <f aca="false">IF(DX18="",0,IF(AND(DX19=Milestones!$AB$136,DX18&gt;=SchemeStart),IF(AND(Milestones!$AB$136="FT",Milestones!$AA$136=FT_Y5,DX18&lt;PolicyEff),1,Milestones!$AC$136),0))</f>
        <v>0</v>
      </c>
      <c r="DY20" s="0" t="n">
        <f aca="false">IF(DY18="",0,IF(AND(DY19=Milestones!$AB$137,DY18&gt;=SchemeStart),IF(AND(Milestones!$AB$137="FT",Milestones!$AA$137=FT_Y5,DY18&lt;PolicyEff),1,Milestones!$AC$137),0))</f>
        <v>0</v>
      </c>
      <c r="DZ20" s="0" t="n">
        <f aca="false">IF(DZ18="",0,IF(AND(DZ19=Milestones!$AB$138,DZ18&gt;=SchemeStart),IF(AND(Milestones!$AB$138="FT",Milestones!$AA$138=FT_Y5,DZ18&lt;PolicyEff),1,Milestones!$AC$138),0))</f>
        <v>0</v>
      </c>
      <c r="EA20" s="0" t="n">
        <f aca="false">IF(EA18="",0,IF(AND(EA19=Milestones!$AB$139,EA18&gt;=SchemeStart),IF(AND(Milestones!$AB$139="FT",Milestones!$AA$139=FT_Y5,EA18&lt;PolicyEff),1,Milestones!$AC$139),0))</f>
        <v>0</v>
      </c>
      <c r="EB20" s="0" t="n">
        <f aca="false">IF(EB18="",0,IF(AND(EB19=Milestones!$AB$140,EB18&gt;=SchemeStart),IF(AND(Milestones!$AB$140="FT",Milestones!$AA$140=FT_Y5,EB18&lt;PolicyEff),1,Milestones!$AC$140),0))</f>
        <v>0</v>
      </c>
      <c r="EC20" s="0" t="n">
        <f aca="false">IF(EC18="",0,IF(AND(EC19=Milestones!$AB$141,EC18&gt;=SchemeStart),IF(AND(Milestones!$AB$141="FT",Milestones!$AA$141=FT_Y5,EC18&lt;PolicyEff),1,Milestones!$AC$141),0))</f>
        <v>0</v>
      </c>
      <c r="ED20" s="0" t="n">
        <f aca="false">IF(ED18="",0,IF(AND(ED19=Milestones!$AB$142,ED18&gt;=SchemeStart),IF(AND(Milestones!$AB$142="FT",Milestones!$AA$142=FT_Y5,ED18&lt;PolicyEff),1,Milestones!$AC$142),0))</f>
        <v>0</v>
      </c>
      <c r="EE20" s="0" t="n">
        <f aca="false">IF(EE18="",0,IF(AND(EE19=Milestones!$AB$143,EE18&gt;=SchemeStart),IF(AND(Milestones!$AB$143="FT",Milestones!$AA$143=FT_Y5,EE18&lt;PolicyEff),1,Milestones!$AC$143),0))</f>
        <v>0</v>
      </c>
      <c r="EF20" s="0" t="n">
        <f aca="false">IF(EF18="",0,IF(AND(EF19=Milestones!$AB$144,EF18&gt;=SchemeStart),IF(AND(Milestones!$AB$144="FT",Milestones!$AA$144=FT_Y5,EF18&lt;PolicyEff),1,Milestones!$AC$144),0))</f>
        <v>0</v>
      </c>
      <c r="EG20" s="0" t="n">
        <f aca="false">IF(EG18="",0,IF(AND(EG19=Milestones!$AB$145,EG18&gt;=SchemeStart),IF(AND(Milestones!$AB$145="FT",Milestones!$AA$145=FT_Y5,EG18&lt;PolicyEff),1,Milestones!$AC$145),0))</f>
        <v>0</v>
      </c>
      <c r="EH20" s="0" t="n">
        <f aca="false">IF(EH18="",0,IF(AND(EH19=Milestones!$AB$146,EH18&gt;=SchemeStart),IF(AND(Milestones!$AB$146="FT",Milestones!$AA$146=FT_Y5,EH18&lt;PolicyEff),1,Milestones!$AC$146),0))</f>
        <v>0</v>
      </c>
      <c r="EI20" s="0" t="n">
        <f aca="false">IF(EI18="",0,IF(AND(EI19=Milestones!$AB$147,EI18&gt;=SchemeStart),IF(AND(Milestones!$AB$147="FT",Milestones!$AA$147=FT_Y5,EI18&lt;PolicyEff),1,Milestones!$AC$147),0))</f>
        <v>0</v>
      </c>
      <c r="EJ20" s="0" t="n">
        <f aca="false">IF(EJ18="",0,IF(AND(EJ19=Milestones!$AB$148,EJ18&gt;=SchemeStart),IF(AND(Milestones!$AB$148="FT",Milestones!$AA$148=FT_Y5,EJ18&lt;PolicyEff),1,Milestones!$AC$148),0))</f>
        <v>0</v>
      </c>
      <c r="EK20" s="0" t="n">
        <f aca="false">IF(EK18="",0,IF(AND(EK19=Milestones!$AB$149,EK18&gt;=SchemeStart),IF(AND(Milestones!$AB$149="FT",Milestones!$AA$149=FT_Y5,EK18&lt;PolicyEff),1,Milestones!$AC$149),0))</f>
        <v>0</v>
      </c>
      <c r="EL20" s="0" t="n">
        <f aca="false">IF(EL18="",0,IF(AND(EL19=Milestones!$AB$150,EL18&gt;=SchemeStart),IF(AND(Milestones!$AB$150="FT",Milestones!$AA$150=FT_Y5,EL18&lt;PolicyEff),1,Milestones!$AC$150),0))</f>
        <v>0</v>
      </c>
      <c r="EM20" s="0" t="n">
        <f aca="false">IF(EM18="",0,IF(AND(EM19=Milestones!$AB$151,EM18&gt;=SchemeStart),IF(AND(Milestones!$AB$151="FT",Milestones!$AA$151=FT_Y5,EM18&lt;PolicyEff),1,Milestones!$AC$151),0))</f>
        <v>0</v>
      </c>
      <c r="EN20" s="0" t="n">
        <f aca="false">IF(EN18="",0,IF(AND(EN19=Milestones!$AB$152,EN18&gt;=SchemeStart),IF(AND(Milestones!$AB$152="FT",Milestones!$AA$152=FT_Y5,EN18&lt;PolicyEff),1,Milestones!$AC$152),0))</f>
        <v>0</v>
      </c>
      <c r="EO20" s="0" t="n">
        <f aca="false">IF(EO18="",0,IF(AND(EO19=Milestones!$AB$153,EO18&gt;=SchemeStart),IF(AND(Milestones!$AB$153="FT",Milestones!$AA$153=FT_Y5,EO18&lt;PolicyEff),1,Milestones!$AC$153),0))</f>
        <v>0</v>
      </c>
      <c r="EP20" s="0" t="n">
        <f aca="false">IF(EP18="",0,IF(AND(EP19=Milestones!$AB$154,EP18&gt;=SchemeStart),IF(AND(Milestones!$AB$154="FT",Milestones!$AA$154=FT_Y5,EP18&lt;PolicyEff),1,Milestones!$AC$154),0))</f>
        <v>0</v>
      </c>
      <c r="EQ20" s="0" t="n">
        <f aca="false">IF(EQ18="",0,IF(AND(EQ19=Milestones!$AB$155,EQ18&gt;=SchemeStart),IF(AND(Milestones!$AB$155="FT",Milestones!$AA$155=FT_Y5,EQ18&lt;PolicyEff),1,Milestones!$AC$155),0))</f>
        <v>0</v>
      </c>
      <c r="ER20" s="0" t="n">
        <f aca="false">IF(ER18="",0,IF(AND(ER19=Milestones!$AB$156,ER18&gt;=SchemeStart),IF(AND(Milestones!$AB$156="FT",Milestones!$AA$156=FT_Y5,ER18&lt;PolicyEff),1,Milestones!$AC$156),0))</f>
        <v>0</v>
      </c>
      <c r="ES20" s="0" t="n">
        <f aca="false">IF(ES18="",0,IF(AND(ES19=Milestones!$AB$157,ES18&gt;=SchemeStart),IF(AND(Milestones!$AB$157="FT",Milestones!$AA$157=FT_Y5,ES18&lt;PolicyEff),1,Milestones!$AC$157),0))</f>
        <v>0</v>
      </c>
      <c r="ET20" s="0" t="n">
        <f aca="false">IF(ET18="",0,IF(AND(ET19=Milestones!$AB$158,ET18&gt;=SchemeStart),IF(AND(Milestones!$AB$158="FT",Milestones!$AA$158=FT_Y5,ET18&lt;PolicyEff),1,Milestones!$AC$158),0))</f>
        <v>0</v>
      </c>
      <c r="EU20" s="0" t="n">
        <f aca="false">IF(EU18="",0,IF(AND(EU19=Milestones!$AB$159,EU18&gt;=SchemeStart),IF(AND(Milestones!$AB$159="FT",Milestones!$AA$159=FT_Y5,EU18&lt;PolicyEff),1,Milestones!$AC$159),0))</f>
        <v>0</v>
      </c>
      <c r="EV20" s="0" t="n">
        <f aca="false">IF(EV18="",0,IF(AND(EV19=Milestones!$AB$160,EV18&gt;=SchemeStart),IF(AND(Milestones!$AB$160="FT",Milestones!$AA$160=FT_Y5,EV18&lt;PolicyEff),1,Milestones!$AC$160),0))</f>
        <v>0</v>
      </c>
      <c r="EW20" s="0" t="n">
        <f aca="false">IF(EW18="",0,IF(AND(EW19=Milestones!$AB$161,EW18&gt;=SchemeStart),IF(AND(Milestones!$AB$161="FT",Milestones!$AA$161=FT_Y5,EW18&lt;PolicyEff),1,Milestones!$AC$161),0))</f>
        <v>0</v>
      </c>
      <c r="EX20" s="0" t="n">
        <f aca="false">IF(EX18="",0,IF(AND(EX19=Milestones!$AB$162,EX18&gt;=SchemeStart),IF(AND(Milestones!$AB$162="FT",Milestones!$AA$162=FT_Y5,EX18&lt;PolicyEff),1,Milestones!$AC$162),0))</f>
        <v>0</v>
      </c>
      <c r="EY20" s="0" t="n">
        <f aca="false">IF(EY18="",0,IF(AND(EY19=Milestones!$AB$163,EY18&gt;=SchemeStart),IF(AND(Milestones!$AB$163="FT",Milestones!$AA$163=FT_Y5,EY18&lt;PolicyEff),1,Milestones!$AC$163),0))</f>
        <v>0</v>
      </c>
      <c r="EZ20" s="0" t="n">
        <f aca="false">IF(EZ18="",0,IF(AND(EZ19=Milestones!$AB$164,EZ18&gt;=SchemeStart),IF(AND(Milestones!$AB$164="FT",Milestones!$AA$164=FT_Y5,EZ18&lt;PolicyEff),1,Milestones!$AC$164),0))</f>
        <v>0</v>
      </c>
      <c r="FA20" s="0" t="n">
        <f aca="false">IF(FA18="",0,IF(AND(FA19=Milestones!$AB$165,FA18&gt;=SchemeStart),IF(AND(Milestones!$AB$165="FT",Milestones!$AA$165=FT_Y5,FA18&lt;PolicyEff),1,Milestones!$AC$165),0))</f>
        <v>0</v>
      </c>
      <c r="FB20" s="0" t="n">
        <f aca="false">IF(FB18="",0,IF(AND(FB19=Milestones!$AB$166,FB18&gt;=SchemeStart),IF(AND(Milestones!$AB$166="FT",Milestones!$AA$166=FT_Y5,FB18&lt;PolicyEff),1,Milestones!$AC$166),0))</f>
        <v>0</v>
      </c>
      <c r="FC20" s="0" t="n">
        <f aca="false">IF(FC18="",0,IF(AND(FC19=Milestones!$AB$167,FC18&gt;=SchemeStart),IF(AND(Milestones!$AB$167="FT",Milestones!$AA$167=FT_Y5,FC18&lt;PolicyEff),1,Milestones!$AC$167),0))</f>
        <v>0</v>
      </c>
      <c r="FD20" s="0" t="n">
        <f aca="false">IF(FD18="",0,IF(AND(FD19=Milestones!$AB$168,FD18&gt;=SchemeStart),IF(AND(Milestones!$AB$168="FT",Milestones!$AA$168=FT_Y5,FD18&lt;PolicyEff),1,Milestones!$AC$168),0))</f>
        <v>0</v>
      </c>
      <c r="FE20" s="0" t="n">
        <f aca="false">IF(FE18="",0,IF(AND(FE19=Milestones!$AB$169,FE18&gt;=SchemeStart),IF(AND(Milestones!$AB$169="FT",Milestones!$AA$169=FT_Y5,FE18&lt;PolicyEff),1,Milestones!$AC$169),0))</f>
        <v>0</v>
      </c>
      <c r="FF20" s="0" t="n">
        <f aca="false">IF(FF18="",0,IF(AND(FF19=Milestones!$AB$170,FF18&gt;=SchemeStart),IF(AND(Milestones!$AB$170="FT",Milestones!$AA$170=FT_Y5,FF18&lt;PolicyEff),1,Milestones!$AC$170),0))</f>
        <v>0</v>
      </c>
      <c r="FG20" s="0" t="n">
        <f aca="false">IF(FG18="",0,IF(AND(FG19=Milestones!$AB$171,FG18&gt;=SchemeStart),IF(AND(Milestones!$AB$171="FT",Milestones!$AA$171=FT_Y5,FG18&lt;PolicyEff),1,Milestones!$AC$171),0))</f>
        <v>0</v>
      </c>
      <c r="FH20" s="0" t="n">
        <f aca="false">IF(FH18="",0,IF(AND(FH19=Milestones!$AB$172,FH18&gt;=SchemeStart),IF(AND(Milestones!$AB$172="FT",Milestones!$AA$172=FT_Y5,FH18&lt;PolicyEff),1,Milestones!$AC$172),0))</f>
        <v>0</v>
      </c>
      <c r="FI20" s="0" t="n">
        <f aca="false">IF(FI18="",0,IF(AND(FI19=Milestones!$AB$173,FI18&gt;=SchemeStart),IF(AND(Milestones!$AB$173="FT",Milestones!$AA$173=FT_Y5,FI18&lt;PolicyEff),1,Milestones!$AC$173),0))</f>
        <v>0</v>
      </c>
      <c r="FJ20" s="0" t="n">
        <f aca="false">IF(FJ18="",0,IF(AND(FJ19=Milestones!$AB$174,FJ18&gt;=SchemeStart),IF(AND(Milestones!$AB$174="FT",Milestones!$AA$174=FT_Y5,FJ18&lt;PolicyEff),1,Milestones!$AC$174),0))</f>
        <v>0</v>
      </c>
      <c r="FK20" s="0" t="n">
        <f aca="false">IF(FK18="",0,IF(AND(FK19=Milestones!$AB$175,FK18&gt;=SchemeStart),IF(AND(Milestones!$AB$175="FT",Milestones!$AA$175=FT_Y5,FK18&lt;PolicyEff),1,Milestones!$AC$175),0))</f>
        <v>0</v>
      </c>
      <c r="FL20" s="0" t="n">
        <f aca="false">IF(FL18="",0,IF(AND(FL19=Milestones!$AB$176,FL18&gt;=SchemeStart),IF(AND(Milestones!$AB$176="FT",Milestones!$AA$176=FT_Y5,FL18&lt;PolicyEff),1,Milestones!$AC$176),0))</f>
        <v>0</v>
      </c>
      <c r="FM20" s="0" t="n">
        <f aca="false">IF(FM18="",0,IF(AND(FM19=Milestones!$AB$177,FM18&gt;=SchemeStart),IF(AND(Milestones!$AB$177="FT",Milestones!$AA$177=FT_Y5,FM18&lt;PolicyEff),1,Milestones!$AC$177),0))</f>
        <v>0</v>
      </c>
      <c r="FN20" s="0" t="n">
        <f aca="false">IF(FN18="",0,IF(AND(FN19=Milestones!$AB$178,FN18&gt;=SchemeStart),IF(AND(Milestones!$AB$178="FT",Milestones!$AA$178=FT_Y5,FN18&lt;PolicyEff),1,Milestones!$AC$178),0))</f>
        <v>0</v>
      </c>
      <c r="FO20" s="0" t="n">
        <f aca="false">IF(FO18="",0,IF(AND(FO19=Milestones!$AB$179,FO18&gt;=SchemeStart),IF(AND(Milestones!$AB$179="FT",Milestones!$AA$179=FT_Y5,FO18&lt;PolicyEff),1,Milestones!$AC$179),0))</f>
        <v>0</v>
      </c>
      <c r="FP20" s="0" t="n">
        <f aca="false">IF(FP18="",0,IF(AND(FP19=Milestones!$AB$180,FP18&gt;=SchemeStart),IF(AND(Milestones!$AB$180="FT",Milestones!$AA$180=FT_Y5,FP18&lt;PolicyEff),1,Milestones!$AC$180),0))</f>
        <v>0</v>
      </c>
      <c r="FQ20" s="0" t="n">
        <f aca="false">IF(FQ18="",0,IF(AND(FQ19=Milestones!$AB$181,FQ18&gt;=SchemeStart),IF(AND(Milestones!$AB$181="FT",Milestones!$AA$181=FT_Y5,FQ18&lt;PolicyEff),1,Milestones!$AC$181),0))</f>
        <v>0</v>
      </c>
      <c r="FR20" s="0" t="n">
        <f aca="false">IF(FR18="",0,IF(AND(FR19=Milestones!$AB$182,FR18&gt;=SchemeStart),IF(AND(Milestones!$AB$182="FT",Milestones!$AA$182=FT_Y5,FR18&lt;PolicyEff),1,Milestones!$AC$182),0))</f>
        <v>0</v>
      </c>
      <c r="FS20" s="0" t="n">
        <f aca="false">IF(FS18="",0,IF(AND(FS19=Milestones!$AB$183,FS18&gt;=SchemeStart),IF(AND(Milestones!$AB$183="FT",Milestones!$AA$183=FT_Y5,FS18&lt;PolicyEff),1,Milestones!$AC$183),0))</f>
        <v>0</v>
      </c>
      <c r="FT20" s="0" t="n">
        <f aca="false">IF(FT18="",0,IF(AND(FT19=Milestones!$AB$184,FT18&gt;=SchemeStart),IF(AND(Milestones!$AB$184="FT",Milestones!$AA$184=FT_Y5,FT18&lt;PolicyEff),1,Milestones!$AC$184),0))</f>
        <v>0</v>
      </c>
      <c r="FU20" s="0" t="n">
        <f aca="false">IF(FU18="",0,IF(AND(FU19=Milestones!$AB$185,FU18&gt;=SchemeStart),IF(AND(Milestones!$AB$185="FT",Milestones!$AA$185=FT_Y5,FU18&lt;PolicyEff),1,Milestones!$AC$185),0))</f>
        <v>0</v>
      </c>
      <c r="FV20" s="0" t="n">
        <f aca="false">IF(FV18="",0,IF(AND(FV19=Milestones!$AB$186,FV18&gt;=SchemeStart),IF(AND(Milestones!$AB$186="FT",Milestones!$AA$186=FT_Y5,FV18&lt;PolicyEff),1,Milestones!$AC$186),0))</f>
        <v>0</v>
      </c>
      <c r="FW20" s="0" t="n">
        <f aca="false">IF(FW18="",0,IF(AND(FW19=Milestones!$AB$187,FW18&gt;=SchemeStart),IF(AND(Milestones!$AB$187="FT",Milestones!$AA$187=FT_Y5,FW18&lt;PolicyEff),1,Milestones!$AC$187),0))</f>
        <v>0</v>
      </c>
      <c r="FX20" s="0" t="n">
        <f aca="false">IF(FX18="",0,IF(AND(FX19=Milestones!$AB$188,FX18&gt;=SchemeStart),IF(AND(Milestones!$AB$188="FT",Milestones!$AA$188=FT_Y5,FX18&lt;PolicyEff),1,Milestones!$AC$188),0))</f>
        <v>0</v>
      </c>
      <c r="FY20" s="0" t="n">
        <f aca="false">IF(FY18="",0,IF(AND(FY19=Milestones!$AB$189,FY18&gt;=SchemeStart),IF(AND(Milestones!$AB$189="FT",Milestones!$AA$189=FT_Y5,FY18&lt;PolicyEff),1,Milestones!$AC$189),0))</f>
        <v>0</v>
      </c>
      <c r="FZ20" s="0" t="n">
        <f aca="false">IF(FZ18="",0,IF(AND(FZ19=Milestones!$AB$190,FZ18&gt;=SchemeStart),IF(AND(Milestones!$AB$190="FT",Milestones!$AA$190=FT_Y5,FZ18&lt;PolicyEff),1,Milestones!$AC$190),0))</f>
        <v>0</v>
      </c>
      <c r="GA20" s="0" t="n">
        <f aca="false">IF(GA18="",0,IF(AND(GA19=Milestones!$AB$191,GA18&gt;=SchemeStart),IF(AND(Milestones!$AB$191="FT",Milestones!$AA$191=FT_Y5,GA18&lt;PolicyEff),1,Milestones!$AC$191),0))</f>
        <v>0</v>
      </c>
      <c r="GB20" s="0" t="n">
        <f aca="false">IF(GB18="",0,IF(AND(GB19=Milestones!$AB$192,GB18&gt;=SchemeStart),IF(AND(Milestones!$AB$192="FT",Milestones!$AA$192=FT_Y5,GB18&lt;PolicyEff),1,Milestones!$AC$192),0))</f>
        <v>0</v>
      </c>
      <c r="GC20" s="0" t="n">
        <f aca="false">IF(GC18="",0,IF(AND(GC19=Milestones!$AB$193,GC18&gt;=SchemeStart),IF(AND(Milestones!$AB$193="FT",Milestones!$AA$193=FT_Y5,GC18&lt;PolicyEff),1,Milestones!$AC$193),0))</f>
        <v>0</v>
      </c>
      <c r="GD20" s="0" t="n">
        <f aca="false">IF(GD18="",0,IF(AND(GD19=Milestones!$AB$194,GD18&gt;=SchemeStart),IF(AND(Milestones!$AB$194="FT",Milestones!$AA$194=FT_Y5,GD18&lt;PolicyEff),1,Milestones!$AC$194),0))</f>
        <v>0</v>
      </c>
      <c r="GE20" s="0" t="n">
        <f aca="false">IF(GE18="",0,IF(AND(GE19=Milestones!$AB$195,GE18&gt;=SchemeStart),IF(AND(Milestones!$AB$195="FT",Milestones!$AA$195=FT_Y5,GE18&lt;PolicyEff),1,Milestones!$AC$195),0))</f>
        <v>0</v>
      </c>
      <c r="GF20" s="0" t="n">
        <f aca="false">IF(GF18="",0,IF(AND(GF19=Milestones!$AB$196,GF18&gt;=SchemeStart),IF(AND(Milestones!$AB$196="FT",Milestones!$AA$196=FT_Y5,GF18&lt;PolicyEff),1,Milestones!$AC$196),0))</f>
        <v>0</v>
      </c>
      <c r="GG20" s="0" t="n">
        <f aca="false">IF(GG18="",0,IF(AND(GG19=Milestones!$AB$197,GG18&gt;=SchemeStart),IF(AND(Milestones!$AB$197="FT",Milestones!$AA$197=FT_Y5,GG18&lt;PolicyEff),1,Milestones!$AC$197),0))</f>
        <v>0</v>
      </c>
      <c r="GH20" s="0" t="n">
        <f aca="false">IF(GH18="",0,IF(AND(GH19=Milestones!$AB$198,GH18&gt;=SchemeStart),IF(AND(Milestones!$AB$198="FT",Milestones!$AA$198=FT_Y5,GH18&lt;PolicyEff),1,Milestones!$AC$198),0))</f>
        <v>0</v>
      </c>
      <c r="GI20" s="0" t="n">
        <f aca="false">IF(GI18="",0,IF(AND(GI19=Milestones!$AB$199,GI18&gt;=SchemeStart),IF(AND(Milestones!$AB$199="FT",Milestones!$AA$199=FT_Y5,GI18&lt;PolicyEff),1,Milestones!$AC$199),0))</f>
        <v>0</v>
      </c>
    </row>
    <row r="21" customFormat="false" ht="15" hidden="false" customHeight="false" outlineLevel="0" collapsed="false">
      <c r="A21" s="0" t="str">
        <f aca="false">IF('HR Tally Check'!H$7="","",'HR Tally Check'!H$7)</f>
        <v/>
      </c>
      <c r="B21" s="0" t="str">
        <f aca="false">IF(A21="","",ISNUMBER(MATCH(A21,Staff!$BR$5:$BR$154,0)))</f>
        <v/>
      </c>
      <c r="C21" s="20" t="str">
        <f aca="false">IF(B21&lt;&gt;TRUE(),"",INDEX(Staff!$AL$5:$AL$154,MATCH($A21,Staff!$BR$5:$BR$154,0)))</f>
        <v/>
      </c>
      <c r="D21" s="0" t="str">
        <f aca="false">IF(B21&lt;&gt;TRUE(),"",INDEX(Staff!$AM$5:$AM$154,MATCH($A21,Staff!$BR$5:$BR$154,0)))</f>
        <v/>
      </c>
      <c r="E21" s="20" t="str">
        <f aca="false">IF(B21&lt;&gt;TRUE(),"",INDEX(Staff!$AO$5:$AO$154,MATCH($A21,Staff!$BR$5:$BR$154,0)))</f>
        <v/>
      </c>
      <c r="F21" s="20" t="str">
        <f aca="false">IF(B21&lt;&gt;TRUE(),"",INDEX(Staff!$AP$5:$AP$154,MATCH($A21,Staff!$BR$5:$BR$154,0)))</f>
        <v/>
      </c>
      <c r="G21" s="0" t="str">
        <f aca="false">IF(B21&lt;&gt;TRUE(),"",INDEX(Staff!$AT$5:$AT$154,MATCH($A21,Staff!$BR$5:$BR$154,0)))</f>
        <v/>
      </c>
      <c r="H21" s="0" t="str">
        <f aca="false">IF(B21&lt;&gt;TRUE(),"",INDEX(Staff!$AU$5:$AU$154,MATCH($A21,Staff!$BR$5:$BR$154,0)))</f>
        <v/>
      </c>
      <c r="I21" s="0" t="str">
        <f aca="false">IF(B21&lt;&gt;TRUE(),"",INDEX(Staff!$AV$5:$AV$154,MATCH($A21,Staff!$BR$5:$BR$154,0)))</f>
        <v/>
      </c>
      <c r="J21" s="0" t="str">
        <f aca="false">IF(B21&lt;&gt;TRUE(),"",INDEX(Staff!$AW$5:$AW$154,MATCH($A21,Staff!$BR$5:$BR$154,0)))</f>
        <v/>
      </c>
      <c r="K21" s="33" t="s">
        <v>262</v>
      </c>
      <c r="L21" s="20" t="str">
        <f aca="false">IF($C21="","",EDATE($C21,Milestones!$AA$20))</f>
        <v/>
      </c>
      <c r="M21" s="20" t="str">
        <f aca="false">IF($C21="","",EDATE($C21,Milestones!$AA$21))</f>
        <v/>
      </c>
      <c r="N21" s="20" t="str">
        <f aca="false">IF($C21="","",EDATE($C21,Milestones!$AA$22))</f>
        <v/>
      </c>
      <c r="O21" s="20" t="str">
        <f aca="false">IF($C21="","",EDATE($C21,Milestones!$AA$23))</f>
        <v/>
      </c>
      <c r="P21" s="20" t="str">
        <f aca="false">IF($C21="","",EDATE($C21,Milestones!$AA$24))</f>
        <v/>
      </c>
      <c r="Q21" s="20" t="str">
        <f aca="false">IF($C21="","",EDATE($C21,Milestones!$AA$25))</f>
        <v/>
      </c>
      <c r="R21" s="20" t="str">
        <f aca="false">IF($C21="","",EDATE($C21,Milestones!$AA$26))</f>
        <v/>
      </c>
      <c r="S21" s="20" t="str">
        <f aca="false">IF($C21="","",EDATE($C21,Milestones!$AA$27))</f>
        <v/>
      </c>
      <c r="T21" s="20" t="str">
        <f aca="false">IF($C21="","",EDATE($C21,Milestones!$AA$28))</f>
        <v/>
      </c>
      <c r="U21" s="20" t="str">
        <f aca="false">IF($C21="","",EDATE($C21,Milestones!$AA$29))</f>
        <v/>
      </c>
      <c r="V21" s="20" t="str">
        <f aca="false">IF($C21="","",EDATE($C21,Milestones!$AA$30))</f>
        <v/>
      </c>
      <c r="W21" s="20" t="str">
        <f aca="false">IF($C21="","",EDATE($C21,Milestones!$AA$31))</f>
        <v/>
      </c>
      <c r="X21" s="20" t="str">
        <f aca="false">IF($C21="","",EDATE($C21,Milestones!$AA$32))</f>
        <v/>
      </c>
      <c r="Y21" s="20" t="str">
        <f aca="false">IF($C21="","",EDATE($C21,Milestones!$AA$33))</f>
        <v/>
      </c>
      <c r="Z21" s="20" t="str">
        <f aca="false">IF($C21="","",EDATE($C21,Milestones!$AA$34))</f>
        <v/>
      </c>
      <c r="AA21" s="20" t="str">
        <f aca="false">IF($C21="","",EDATE($C21,Milestones!$AA$35))</f>
        <v/>
      </c>
      <c r="AB21" s="20" t="str">
        <f aca="false">IF($C21="","",EDATE($C21,Milestones!$AA$36))</f>
        <v/>
      </c>
      <c r="AC21" s="20" t="str">
        <f aca="false">IF($C21="","",EDATE($C21,Milestones!$AA$37))</f>
        <v/>
      </c>
      <c r="AD21" s="20" t="str">
        <f aca="false">IF($C21="","",EDATE($C21,Milestones!$AA$38))</f>
        <v/>
      </c>
      <c r="AE21" s="20" t="str">
        <f aca="false">IF($C21="","",EDATE($C21,Milestones!$AA$39))</f>
        <v/>
      </c>
      <c r="AF21" s="20" t="str">
        <f aca="false">IF($C21="","",EDATE($C21,Milestones!$AA$40))</f>
        <v/>
      </c>
      <c r="AG21" s="20" t="str">
        <f aca="false">IF($C21="","",EDATE($C21,Milestones!$AA$41))</f>
        <v/>
      </c>
      <c r="AH21" s="20" t="str">
        <f aca="false">IF($C21="","",EDATE($C21,Milestones!$AA$42))</f>
        <v/>
      </c>
      <c r="AI21" s="20" t="str">
        <f aca="false">IF($C21="","",EDATE($C21,Milestones!$AA$43))</f>
        <v/>
      </c>
      <c r="AJ21" s="20" t="str">
        <f aca="false">IF($C21="","",EDATE($C21,Milestones!$AA$44))</f>
        <v/>
      </c>
      <c r="AK21" s="20" t="str">
        <f aca="false">IF($C21="","",EDATE($C21,Milestones!$AA$45))</f>
        <v/>
      </c>
      <c r="AL21" s="20" t="str">
        <f aca="false">IF($C21="","",EDATE($C21,Milestones!$AA$46))</f>
        <v/>
      </c>
      <c r="AM21" s="20" t="str">
        <f aca="false">IF($C21="","",EDATE($C21,Milestones!$AA$47))</f>
        <v/>
      </c>
      <c r="AN21" s="20" t="str">
        <f aca="false">IF($C21="","",EDATE($C21,Milestones!$AA$48))</f>
        <v/>
      </c>
      <c r="AO21" s="20" t="str">
        <f aca="false">IF($C21="","",EDATE($C21,Milestones!$AA$49))</f>
        <v/>
      </c>
      <c r="AP21" s="20" t="str">
        <f aca="false">IF($C21="","",EDATE($C21,Milestones!$AA$50))</f>
        <v/>
      </c>
      <c r="AQ21" s="20" t="str">
        <f aca="false">IF($C21="","",EDATE($C21,Milestones!$AA$51))</f>
        <v/>
      </c>
      <c r="AR21" s="20" t="str">
        <f aca="false">IF($C21="","",EDATE($C21,Milestones!$AA$52))</f>
        <v/>
      </c>
      <c r="AS21" s="20" t="str">
        <f aca="false">IF($C21="","",EDATE($C21,Milestones!$AA$53))</f>
        <v/>
      </c>
      <c r="AT21" s="20" t="str">
        <f aca="false">IF($C21="","",EDATE($C21,Milestones!$AA$54))</f>
        <v/>
      </c>
      <c r="AU21" s="20" t="str">
        <f aca="false">IF($C21="","",EDATE($C21,Milestones!$AA$55))</f>
        <v/>
      </c>
      <c r="AV21" s="20" t="str">
        <f aca="false">IF($C21="","",EDATE($C21,Milestones!$AA$56))</f>
        <v/>
      </c>
      <c r="AW21" s="20" t="str">
        <f aca="false">IF($C21="","",EDATE($C21,Milestones!$AA$57))</f>
        <v/>
      </c>
      <c r="AX21" s="20" t="str">
        <f aca="false">IF($C21="","",EDATE($C21,Milestones!$AA$58))</f>
        <v/>
      </c>
      <c r="AY21" s="20" t="str">
        <f aca="false">IF($C21="","",EDATE($C21,Milestones!$AA$59))</f>
        <v/>
      </c>
      <c r="AZ21" s="20" t="str">
        <f aca="false">IF($C21="","",EDATE($C21,Milestones!$AA$60))</f>
        <v/>
      </c>
      <c r="BA21" s="20" t="str">
        <f aca="false">IF($C21="","",EDATE($C21,Milestones!$AA$61))</f>
        <v/>
      </c>
      <c r="BB21" s="20" t="str">
        <f aca="false">IF($C21="","",EDATE($C21,Milestones!$AA$62))</f>
        <v/>
      </c>
      <c r="BC21" s="20" t="str">
        <f aca="false">IF($C21="","",EDATE($C21,Milestones!$AA$63))</f>
        <v/>
      </c>
      <c r="BD21" s="20" t="str">
        <f aca="false">IF($C21="","",EDATE($C21,Milestones!$AA$64))</f>
        <v/>
      </c>
      <c r="BE21" s="20" t="str">
        <f aca="false">IF($C21="","",EDATE($C21,Milestones!$AA$65))</f>
        <v/>
      </c>
      <c r="BF21" s="20" t="str">
        <f aca="false">IF($C21="","",EDATE($C21,Milestones!$AA$66))</f>
        <v/>
      </c>
      <c r="BG21" s="20" t="str">
        <f aca="false">IF($C21="","",EDATE($C21,Milestones!$AA$67))</f>
        <v/>
      </c>
      <c r="BH21" s="20" t="str">
        <f aca="false">IF($C21="","",EDATE($C21,Milestones!$AA$68))</f>
        <v/>
      </c>
      <c r="BI21" s="20" t="str">
        <f aca="false">IF($C21="","",EDATE($C21,Milestones!$AA$69))</f>
        <v/>
      </c>
      <c r="BJ21" s="20" t="str">
        <f aca="false">IF($C21="","",EDATE($C21,Milestones!$AA$70))</f>
        <v/>
      </c>
      <c r="BK21" s="20" t="str">
        <f aca="false">IF($C21="","",EDATE($C21,Milestones!$AA$71))</f>
        <v/>
      </c>
      <c r="BL21" s="20" t="str">
        <f aca="false">IF($C21="","",EDATE($C21,Milestones!$AA$72))</f>
        <v/>
      </c>
      <c r="BM21" s="20" t="str">
        <f aca="false">IF($C21="","",EDATE($C21,Milestones!$AA$73))</f>
        <v/>
      </c>
      <c r="BN21" s="20" t="str">
        <f aca="false">IF($C21="","",EDATE($C21,Milestones!$AA$74))</f>
        <v/>
      </c>
      <c r="BO21" s="20" t="str">
        <f aca="false">IF($C21="","",EDATE($C21,Milestones!$AA$75))</f>
        <v/>
      </c>
      <c r="BP21" s="20" t="str">
        <f aca="false">IF($C21="","",EDATE($C21,Milestones!$AA$76))</f>
        <v/>
      </c>
      <c r="BQ21" s="20" t="str">
        <f aca="false">IF($C21="","",EDATE($C21,Milestones!$AA$77))</f>
        <v/>
      </c>
      <c r="BR21" s="20" t="str">
        <f aca="false">IF($C21="","",EDATE($C21,Milestones!$AA$78))</f>
        <v/>
      </c>
      <c r="BS21" s="20" t="str">
        <f aca="false">IF($C21="","",EDATE($C21,Milestones!$AA$79))</f>
        <v/>
      </c>
      <c r="BT21" s="20" t="str">
        <f aca="false">IF($C21="","",EDATE($C21,Milestones!$AA$80))</f>
        <v/>
      </c>
      <c r="BU21" s="20" t="str">
        <f aca="false">IF($C21="","",EDATE($C21,Milestones!$AA$81))</f>
        <v/>
      </c>
      <c r="BV21" s="20" t="str">
        <f aca="false">IF($C21="","",EDATE($C21,Milestones!$AA$82))</f>
        <v/>
      </c>
      <c r="BW21" s="20" t="str">
        <f aca="false">IF($C21="","",EDATE($C21,Milestones!$AA$83))</f>
        <v/>
      </c>
      <c r="BX21" s="20" t="str">
        <f aca="false">IF($C21="","",EDATE($C21,Milestones!$AA$84))</f>
        <v/>
      </c>
      <c r="BY21" s="20" t="str">
        <f aca="false">IF($C21="","",EDATE($C21,Milestones!$AA$85))</f>
        <v/>
      </c>
      <c r="BZ21" s="20" t="str">
        <f aca="false">IF($C21="","",EDATE($C21,Milestones!$AA$86))</f>
        <v/>
      </c>
      <c r="CA21" s="20" t="str">
        <f aca="false">IF($C21="","",EDATE($C21,Milestones!$AA$87))</f>
        <v/>
      </c>
      <c r="CB21" s="20" t="str">
        <f aca="false">IF($C21="","",EDATE($C21,Milestones!$AA$88))</f>
        <v/>
      </c>
      <c r="CC21" s="20" t="str">
        <f aca="false">IF($C21="","",EDATE($C21,Milestones!$AA$89))</f>
        <v/>
      </c>
      <c r="CD21" s="20" t="str">
        <f aca="false">IF($C21="","",EDATE($C21,Milestones!$AA$90))</f>
        <v/>
      </c>
      <c r="CE21" s="20" t="str">
        <f aca="false">IF($C21="","",EDATE($C21,Milestones!$AA$91))</f>
        <v/>
      </c>
      <c r="CF21" s="20" t="str">
        <f aca="false">IF($C21="","",EDATE($C21,Milestones!$AA$92))</f>
        <v/>
      </c>
      <c r="CG21" s="20" t="str">
        <f aca="false">IF($C21="","",EDATE($C21,Milestones!$AA$93))</f>
        <v/>
      </c>
      <c r="CH21" s="20" t="str">
        <f aca="false">IF($C21="","",EDATE($C21,Milestones!$AA$94))</f>
        <v/>
      </c>
      <c r="CI21" s="20" t="str">
        <f aca="false">IF($C21="","",EDATE($C21,Milestones!$AA$95))</f>
        <v/>
      </c>
      <c r="CJ21" s="20" t="str">
        <f aca="false">IF($C21="","",EDATE($C21,Milestones!$AA$96))</f>
        <v/>
      </c>
      <c r="CK21" s="20" t="str">
        <f aca="false">IF($C21="","",EDATE($C21,Milestones!$AA$97))</f>
        <v/>
      </c>
      <c r="CL21" s="20" t="str">
        <f aca="false">IF($C21="","",EDATE($C21,Milestones!$AA$98))</f>
        <v/>
      </c>
      <c r="CM21" s="20" t="str">
        <f aca="false">IF($C21="","",EDATE($C21,Milestones!$AA$99))</f>
        <v/>
      </c>
      <c r="CN21" s="20" t="str">
        <f aca="false">IF($C21="","",EDATE($C21,Milestones!$AA$100))</f>
        <v/>
      </c>
      <c r="CO21" s="20" t="str">
        <f aca="false">IF($C21="","",EDATE($C21,Milestones!$AA$101))</f>
        <v/>
      </c>
      <c r="CP21" s="20" t="str">
        <f aca="false">IF($C21="","",EDATE($C21,Milestones!$AA$102))</f>
        <v/>
      </c>
      <c r="CQ21" s="20" t="str">
        <f aca="false">IF($C21="","",EDATE($C21,Milestones!$AA$103))</f>
        <v/>
      </c>
      <c r="CR21" s="20" t="str">
        <f aca="false">IF($C21="","",EDATE($C21,Milestones!$AA$104))</f>
        <v/>
      </c>
      <c r="CS21" s="20" t="str">
        <f aca="false">IF($C21="","",EDATE($C21,Milestones!$AA$105))</f>
        <v/>
      </c>
      <c r="CT21" s="20" t="str">
        <f aca="false">IF($C21="","",EDATE($C21,Milestones!$AA$106))</f>
        <v/>
      </c>
      <c r="CU21" s="20" t="str">
        <f aca="false">IF($C21="","",EDATE($C21,Milestones!$AA$107))</f>
        <v/>
      </c>
      <c r="CV21" s="20" t="str">
        <f aca="false">IF($C21="","",EDATE($C21,Milestones!$AA$108))</f>
        <v/>
      </c>
      <c r="CW21" s="20" t="str">
        <f aca="false">IF($C21="","",EDATE($C21,Milestones!$AA$109))</f>
        <v/>
      </c>
      <c r="CX21" s="20" t="str">
        <f aca="false">IF($C21="","",EDATE($C21,Milestones!$AA$110))</f>
        <v/>
      </c>
      <c r="CY21" s="20" t="str">
        <f aca="false">IF($C21="","",EDATE($C21,Milestones!$AA$111))</f>
        <v/>
      </c>
      <c r="CZ21" s="20" t="str">
        <f aca="false">IF($C21="","",EDATE($C21,Milestones!$AA$112))</f>
        <v/>
      </c>
      <c r="DA21" s="20" t="str">
        <f aca="false">IF($C21="","",EDATE($C21,Milestones!$AA$113))</f>
        <v/>
      </c>
      <c r="DB21" s="20" t="str">
        <f aca="false">IF($C21="","",EDATE($C21,Milestones!$AA$114))</f>
        <v/>
      </c>
      <c r="DC21" s="20" t="str">
        <f aca="false">IF($C21="","",EDATE($C21,Milestones!$AA$115))</f>
        <v/>
      </c>
      <c r="DD21" s="20" t="str">
        <f aca="false">IF($C21="","",EDATE($C21,Milestones!$AA$116))</f>
        <v/>
      </c>
      <c r="DE21" s="20" t="str">
        <f aca="false">IF($C21="","",EDATE($C21,Milestones!$AA$117))</f>
        <v/>
      </c>
      <c r="DF21" s="20" t="str">
        <f aca="false">IF($C21="","",EDATE($C21,Milestones!$AA$118))</f>
        <v/>
      </c>
      <c r="DG21" s="20" t="str">
        <f aca="false">IF($C21="","",EDATE($C21,Milestones!$AA$119))</f>
        <v/>
      </c>
      <c r="DH21" s="20" t="str">
        <f aca="false">IF($C21="","",EDATE($C21,Milestones!$AA$120))</f>
        <v/>
      </c>
      <c r="DI21" s="20" t="str">
        <f aca="false">IF($C21="","",EDATE($C21,Milestones!$AA$121))</f>
        <v/>
      </c>
      <c r="DJ21" s="20" t="str">
        <f aca="false">IF($C21="","",EDATE($C21,Milestones!$AA$122))</f>
        <v/>
      </c>
      <c r="DK21" s="20" t="str">
        <f aca="false">IF($C21="","",EDATE($C21,Milestones!$AA$123))</f>
        <v/>
      </c>
      <c r="DL21" s="20" t="str">
        <f aca="false">IF($C21="","",EDATE($C21,Milestones!$AA$124))</f>
        <v/>
      </c>
      <c r="DM21" s="20" t="str">
        <f aca="false">IF($C21="","",EDATE($C21,Milestones!$AA$125))</f>
        <v/>
      </c>
      <c r="DN21" s="20" t="str">
        <f aca="false">IF($C21="","",EDATE($C21,Milestones!$AA$126))</f>
        <v/>
      </c>
      <c r="DO21" s="20" t="str">
        <f aca="false">IF($C21="","",EDATE($C21,Milestones!$AA$127))</f>
        <v/>
      </c>
      <c r="DP21" s="20" t="str">
        <f aca="false">IF($C21="","",EDATE($C21,Milestones!$AA$128))</f>
        <v/>
      </c>
      <c r="DQ21" s="20" t="str">
        <f aca="false">IF($C21="","",EDATE($C21,Milestones!$AA$129))</f>
        <v/>
      </c>
      <c r="DR21" s="20" t="str">
        <f aca="false">IF($C21="","",EDATE($C21,Milestones!$AA$130))</f>
        <v/>
      </c>
      <c r="DS21" s="20" t="str">
        <f aca="false">IF($C21="","",EDATE($C21,Milestones!$AA$131))</f>
        <v/>
      </c>
      <c r="DT21" s="20" t="str">
        <f aca="false">IF($C21="","",EDATE($C21,Milestones!$AA$132))</f>
        <v/>
      </c>
      <c r="DU21" s="20" t="str">
        <f aca="false">IF($C21="","",EDATE($C21,Milestones!$AA$133))</f>
        <v/>
      </c>
      <c r="DV21" s="20" t="str">
        <f aca="false">IF($C21="","",EDATE($C21,Milestones!$AA$134))</f>
        <v/>
      </c>
      <c r="DW21" s="20" t="str">
        <f aca="false">IF($C21="","",EDATE($C21,Milestones!$AA$135))</f>
        <v/>
      </c>
      <c r="DX21" s="20" t="str">
        <f aca="false">IF($C21="","",EDATE($C21,Milestones!$AA$136))</f>
        <v/>
      </c>
      <c r="DY21" s="20" t="str">
        <f aca="false">IF($C21="","",EDATE($C21,Milestones!$AA$137))</f>
        <v/>
      </c>
      <c r="DZ21" s="20" t="str">
        <f aca="false">IF($C21="","",EDATE($C21,Milestones!$AA$138))</f>
        <v/>
      </c>
      <c r="EA21" s="20" t="str">
        <f aca="false">IF($C21="","",EDATE($C21,Milestones!$AA$139))</f>
        <v/>
      </c>
      <c r="EB21" s="20" t="str">
        <f aca="false">IF($C21="","",EDATE($C21,Milestones!$AA$140))</f>
        <v/>
      </c>
      <c r="EC21" s="20" t="str">
        <f aca="false">IF($C21="","",EDATE($C21,Milestones!$AA$141))</f>
        <v/>
      </c>
      <c r="ED21" s="20" t="str">
        <f aca="false">IF($C21="","",EDATE($C21,Milestones!$AA$142))</f>
        <v/>
      </c>
      <c r="EE21" s="20" t="str">
        <f aca="false">IF($C21="","",EDATE($C21,Milestones!$AA$143))</f>
        <v/>
      </c>
      <c r="EF21" s="20" t="str">
        <f aca="false">IF($C21="","",EDATE($C21,Milestones!$AA$144))</f>
        <v/>
      </c>
      <c r="EG21" s="20" t="str">
        <f aca="false">IF($C21="","",EDATE($C21,Milestones!$AA$145))</f>
        <v/>
      </c>
      <c r="EH21" s="20" t="str">
        <f aca="false">IF($C21="","",EDATE($C21,Milestones!$AA$146))</f>
        <v/>
      </c>
      <c r="EI21" s="20" t="str">
        <f aca="false">IF($C21="","",EDATE($C21,Milestones!$AA$147))</f>
        <v/>
      </c>
      <c r="EJ21" s="20" t="str">
        <f aca="false">IF($C21="","",EDATE($C21,Milestones!$AA$148))</f>
        <v/>
      </c>
      <c r="EK21" s="20" t="str">
        <f aca="false">IF($C21="","",EDATE($C21,Milestones!$AA$149))</f>
        <v/>
      </c>
      <c r="EL21" s="20" t="str">
        <f aca="false">IF($C21="","",EDATE($C21,Milestones!$AA$150))</f>
        <v/>
      </c>
      <c r="EM21" s="20" t="str">
        <f aca="false">IF($C21="","",EDATE($C21,Milestones!$AA$151))</f>
        <v/>
      </c>
      <c r="EN21" s="20" t="str">
        <f aca="false">IF($C21="","",EDATE($C21,Milestones!$AA$152))</f>
        <v/>
      </c>
      <c r="EO21" s="20" t="str">
        <f aca="false">IF($C21="","",EDATE($C21,Milestones!$AA$153))</f>
        <v/>
      </c>
      <c r="EP21" s="20" t="str">
        <f aca="false">IF($C21="","",EDATE($C21,Milestones!$AA$154))</f>
        <v/>
      </c>
      <c r="EQ21" s="20" t="str">
        <f aca="false">IF($C21="","",EDATE($C21,Milestones!$AA$155))</f>
        <v/>
      </c>
      <c r="ER21" s="20" t="str">
        <f aca="false">IF($C21="","",EDATE($C21,Milestones!$AA$156))</f>
        <v/>
      </c>
      <c r="ES21" s="20" t="str">
        <f aca="false">IF($C21="","",EDATE($C21,Milestones!$AA$157))</f>
        <v/>
      </c>
      <c r="ET21" s="20" t="str">
        <f aca="false">IF($C21="","",EDATE($C21,Milestones!$AA$158))</f>
        <v/>
      </c>
      <c r="EU21" s="20" t="str">
        <f aca="false">IF($C21="","",EDATE($C21,Milestones!$AA$159))</f>
        <v/>
      </c>
      <c r="EV21" s="20" t="str">
        <f aca="false">IF($C21="","",EDATE($C21,Milestones!$AA$160))</f>
        <v/>
      </c>
      <c r="EW21" s="20" t="str">
        <f aca="false">IF($C21="","",EDATE($C21,Milestones!$AA$161))</f>
        <v/>
      </c>
      <c r="EX21" s="20" t="str">
        <f aca="false">IF($C21="","",EDATE($C21,Milestones!$AA$162))</f>
        <v/>
      </c>
      <c r="EY21" s="20" t="str">
        <f aca="false">IF($C21="","",EDATE($C21,Milestones!$AA$163))</f>
        <v/>
      </c>
      <c r="EZ21" s="20" t="str">
        <f aca="false">IF($C21="","",EDATE($C21,Milestones!$AA$164))</f>
        <v/>
      </c>
      <c r="FA21" s="20" t="str">
        <f aca="false">IF($C21="","",EDATE($C21,Milestones!$AA$165))</f>
        <v/>
      </c>
      <c r="FB21" s="20" t="str">
        <f aca="false">IF($C21="","",EDATE($C21,Milestones!$AA$166))</f>
        <v/>
      </c>
      <c r="FC21" s="20" t="str">
        <f aca="false">IF($C21="","",EDATE($C21,Milestones!$AA$167))</f>
        <v/>
      </c>
      <c r="FD21" s="20" t="str">
        <f aca="false">IF($C21="","",EDATE($C21,Milestones!$AA$168))</f>
        <v/>
      </c>
      <c r="FE21" s="20" t="str">
        <f aca="false">IF($C21="","",EDATE($C21,Milestones!$AA$169))</f>
        <v/>
      </c>
      <c r="FF21" s="20" t="str">
        <f aca="false">IF($C21="","",EDATE($C21,Milestones!$AA$170))</f>
        <v/>
      </c>
      <c r="FG21" s="20" t="str">
        <f aca="false">IF($C21="","",EDATE($C21,Milestones!$AA$171))</f>
        <v/>
      </c>
      <c r="FH21" s="20" t="str">
        <f aca="false">IF($C21="","",EDATE($C21,Milestones!$AA$172))</f>
        <v/>
      </c>
      <c r="FI21" s="20" t="str">
        <f aca="false">IF($C21="","",EDATE($C21,Milestones!$AA$173))</f>
        <v/>
      </c>
      <c r="FJ21" s="20" t="str">
        <f aca="false">IF($C21="","",EDATE($C21,Milestones!$AA$174))</f>
        <v/>
      </c>
      <c r="FK21" s="20" t="str">
        <f aca="false">IF($C21="","",EDATE($C21,Milestones!$AA$175))</f>
        <v/>
      </c>
      <c r="FL21" s="20" t="str">
        <f aca="false">IF($C21="","",EDATE($C21,Milestones!$AA$176))</f>
        <v/>
      </c>
      <c r="FM21" s="20" t="str">
        <f aca="false">IF($C21="","",EDATE($C21,Milestones!$AA$177))</f>
        <v/>
      </c>
      <c r="FN21" s="20" t="str">
        <f aca="false">IF($C21="","",EDATE($C21,Milestones!$AA$178))</f>
        <v/>
      </c>
      <c r="FO21" s="20" t="str">
        <f aca="false">IF($C21="","",EDATE($C21,Milestones!$AA$179))</f>
        <v/>
      </c>
      <c r="FP21" s="20" t="str">
        <f aca="false">IF($C21="","",EDATE($C21,Milestones!$AA$180))</f>
        <v/>
      </c>
      <c r="FQ21" s="20" t="str">
        <f aca="false">IF($C21="","",EDATE($C21,Milestones!$AA$181))</f>
        <v/>
      </c>
      <c r="FR21" s="20" t="str">
        <f aca="false">IF($C21="","",EDATE($C21,Milestones!$AA$182))</f>
        <v/>
      </c>
      <c r="FS21" s="20" t="str">
        <f aca="false">IF($C21="","",EDATE($C21,Milestones!$AA$183))</f>
        <v/>
      </c>
      <c r="FT21" s="20" t="str">
        <f aca="false">IF($C21="","",EDATE($C21,Milestones!$AA$184))</f>
        <v/>
      </c>
      <c r="FU21" s="20" t="str">
        <f aca="false">IF($C21="","",EDATE($C21,Milestones!$AA$185))</f>
        <v/>
      </c>
      <c r="FV21" s="20" t="str">
        <f aca="false">IF($C21="","",EDATE($C21,Milestones!$AA$186))</f>
        <v/>
      </c>
      <c r="FW21" s="20" t="str">
        <f aca="false">IF($C21="","",EDATE($C21,Milestones!$AA$187))</f>
        <v/>
      </c>
      <c r="FX21" s="20" t="str">
        <f aca="false">IF($C21="","",EDATE($C21,Milestones!$AA$188))</f>
        <v/>
      </c>
      <c r="FY21" s="20" t="str">
        <f aca="false">IF($C21="","",EDATE($C21,Milestones!$AA$189))</f>
        <v/>
      </c>
      <c r="FZ21" s="20" t="str">
        <f aca="false">IF($C21="","",EDATE($C21,Milestones!$AA$190))</f>
        <v/>
      </c>
      <c r="GA21" s="20" t="str">
        <f aca="false">IF($C21="","",EDATE($C21,Milestones!$AA$191))</f>
        <v/>
      </c>
      <c r="GB21" s="20" t="str">
        <f aca="false">IF($C21="","",EDATE($C21,Milestones!$AA$192))</f>
        <v/>
      </c>
      <c r="GC21" s="20" t="str">
        <f aca="false">IF($C21="","",EDATE($C21,Milestones!$AA$193))</f>
        <v/>
      </c>
      <c r="GD21" s="20" t="str">
        <f aca="false">IF($C21="","",EDATE($C21,Milestones!$AA$194))</f>
        <v/>
      </c>
      <c r="GE21" s="20" t="str">
        <f aca="false">IF($C21="","",EDATE($C21,Milestones!$AA$195))</f>
        <v/>
      </c>
      <c r="GF21" s="20" t="str">
        <f aca="false">IF($C21="","",EDATE($C21,Milestones!$AA$196))</f>
        <v/>
      </c>
      <c r="GG21" s="20" t="str">
        <f aca="false">IF($C21="","",EDATE($C21,Milestones!$AA$197))</f>
        <v/>
      </c>
      <c r="GH21" s="20" t="str">
        <f aca="false">IF($C21="","",EDATE($C21,Milestones!$AA$198))</f>
        <v/>
      </c>
      <c r="GI21" s="20" t="str">
        <f aca="false">IF($C21="","",EDATE($C21,Milestones!$AA$199))</f>
        <v/>
      </c>
    </row>
    <row r="22" customFormat="false" ht="15" hidden="false" customHeight="false" outlineLevel="0" collapsed="false">
      <c r="K22" s="0" t="s">
        <v>263</v>
      </c>
      <c r="L22" s="0" t="str">
        <f aca="false">IF(L21="","",IF($D21=0,$J21,IF(AND($F21&lt;&gt;"",L21&gt;=$F21),$I21,IF(AND($E21&lt;&gt;"",L21&gt;=$E21),$H21,$G21))))</f>
        <v/>
      </c>
      <c r="M22" s="0" t="str">
        <f aca="false">IF(M21="","",IF($D21=0,$J21,IF(AND($F21&lt;&gt;"",M21&gt;=$F21),$I21,IF(AND($E21&lt;&gt;"",M21&gt;=$E21),$H21,$G21))))</f>
        <v/>
      </c>
      <c r="N22" s="0" t="str">
        <f aca="false">IF(N21="","",IF($D21=0,$J21,IF(AND($F21&lt;&gt;"",N21&gt;=$F21),$I21,IF(AND($E21&lt;&gt;"",N21&gt;=$E21),$H21,$G21))))</f>
        <v/>
      </c>
      <c r="O22" s="0" t="str">
        <f aca="false">IF(O21="","",IF($D21=0,$J21,IF(AND($F21&lt;&gt;"",O21&gt;=$F21),$I21,IF(AND($E21&lt;&gt;"",O21&gt;=$E21),$H21,$G21))))</f>
        <v/>
      </c>
      <c r="P22" s="0" t="str">
        <f aca="false">IF(P21="","",IF($D21=0,$J21,IF(AND($F21&lt;&gt;"",P21&gt;=$F21),$I21,IF(AND($E21&lt;&gt;"",P21&gt;=$E21),$H21,$G21))))</f>
        <v/>
      </c>
      <c r="Q22" s="0" t="str">
        <f aca="false">IF(Q21="","",IF($D21=0,$J21,IF(AND($F21&lt;&gt;"",Q21&gt;=$F21),$I21,IF(AND($E21&lt;&gt;"",Q21&gt;=$E21),$H21,$G21))))</f>
        <v/>
      </c>
      <c r="R22" s="0" t="str">
        <f aca="false">IF(R21="","",IF($D21=0,$J21,IF(AND($F21&lt;&gt;"",R21&gt;=$F21),$I21,IF(AND($E21&lt;&gt;"",R21&gt;=$E21),$H21,$G21))))</f>
        <v/>
      </c>
      <c r="S22" s="0" t="str">
        <f aca="false">IF(S21="","",IF($D21=0,$J21,IF(AND($F21&lt;&gt;"",S21&gt;=$F21),$I21,IF(AND($E21&lt;&gt;"",S21&gt;=$E21),$H21,$G21))))</f>
        <v/>
      </c>
      <c r="T22" s="0" t="str">
        <f aca="false">IF(T21="","",IF($D21=0,$J21,IF(AND($F21&lt;&gt;"",T21&gt;=$F21),$I21,IF(AND($E21&lt;&gt;"",T21&gt;=$E21),$H21,$G21))))</f>
        <v/>
      </c>
      <c r="U22" s="0" t="str">
        <f aca="false">IF(U21="","",IF($D21=0,$J21,IF(AND($F21&lt;&gt;"",U21&gt;=$F21),$I21,IF(AND($E21&lt;&gt;"",U21&gt;=$E21),$H21,$G21))))</f>
        <v/>
      </c>
      <c r="V22" s="0" t="str">
        <f aca="false">IF(V21="","",IF($D21=0,$J21,IF(AND($F21&lt;&gt;"",V21&gt;=$F21),$I21,IF(AND($E21&lt;&gt;"",V21&gt;=$E21),$H21,$G21))))</f>
        <v/>
      </c>
      <c r="W22" s="0" t="str">
        <f aca="false">IF(W21="","",IF($D21=0,$J21,IF(AND($F21&lt;&gt;"",W21&gt;=$F21),$I21,IF(AND($E21&lt;&gt;"",W21&gt;=$E21),$H21,$G21))))</f>
        <v/>
      </c>
      <c r="X22" s="0" t="str">
        <f aca="false">IF(X21="","",IF($D21=0,$J21,IF(AND($F21&lt;&gt;"",X21&gt;=$F21),$I21,IF(AND($E21&lt;&gt;"",X21&gt;=$E21),$H21,$G21))))</f>
        <v/>
      </c>
      <c r="Y22" s="0" t="str">
        <f aca="false">IF(Y21="","",IF($D21=0,$J21,IF(AND($F21&lt;&gt;"",Y21&gt;=$F21),$I21,IF(AND($E21&lt;&gt;"",Y21&gt;=$E21),$H21,$G21))))</f>
        <v/>
      </c>
      <c r="Z22" s="0" t="str">
        <f aca="false">IF(Z21="","",IF($D21=0,$J21,IF(AND($F21&lt;&gt;"",Z21&gt;=$F21),$I21,IF(AND($E21&lt;&gt;"",Z21&gt;=$E21),$H21,$G21))))</f>
        <v/>
      </c>
      <c r="AA22" s="0" t="str">
        <f aca="false">IF(AA21="","",IF($D21=0,$J21,IF(AND($F21&lt;&gt;"",AA21&gt;=$F21),$I21,IF(AND($E21&lt;&gt;"",AA21&gt;=$E21),$H21,$G21))))</f>
        <v/>
      </c>
      <c r="AB22" s="0" t="str">
        <f aca="false">IF(AB21="","",IF($D21=0,$J21,IF(AND($F21&lt;&gt;"",AB21&gt;=$F21),$I21,IF(AND($E21&lt;&gt;"",AB21&gt;=$E21),$H21,$G21))))</f>
        <v/>
      </c>
      <c r="AC22" s="0" t="str">
        <f aca="false">IF(AC21="","",IF($D21=0,$J21,IF(AND($F21&lt;&gt;"",AC21&gt;=$F21),$I21,IF(AND($E21&lt;&gt;"",AC21&gt;=$E21),$H21,$G21))))</f>
        <v/>
      </c>
      <c r="AD22" s="0" t="str">
        <f aca="false">IF(AD21="","",IF($D21=0,$J21,IF(AND($F21&lt;&gt;"",AD21&gt;=$F21),$I21,IF(AND($E21&lt;&gt;"",AD21&gt;=$E21),$H21,$G21))))</f>
        <v/>
      </c>
      <c r="AE22" s="0" t="str">
        <f aca="false">IF(AE21="","",IF($D21=0,$J21,IF(AND($F21&lt;&gt;"",AE21&gt;=$F21),$I21,IF(AND($E21&lt;&gt;"",AE21&gt;=$E21),$H21,$G21))))</f>
        <v/>
      </c>
      <c r="AF22" s="0" t="str">
        <f aca="false">IF(AF21="","",IF($D21=0,$J21,IF(AND($F21&lt;&gt;"",AF21&gt;=$F21),$I21,IF(AND($E21&lt;&gt;"",AF21&gt;=$E21),$H21,$G21))))</f>
        <v/>
      </c>
      <c r="AG22" s="0" t="str">
        <f aca="false">IF(AG21="","",IF($D21=0,$J21,IF(AND($F21&lt;&gt;"",AG21&gt;=$F21),$I21,IF(AND($E21&lt;&gt;"",AG21&gt;=$E21),$H21,$G21))))</f>
        <v/>
      </c>
      <c r="AH22" s="0" t="str">
        <f aca="false">IF(AH21="","",IF($D21=0,$J21,IF(AND($F21&lt;&gt;"",AH21&gt;=$F21),$I21,IF(AND($E21&lt;&gt;"",AH21&gt;=$E21),$H21,$G21))))</f>
        <v/>
      </c>
      <c r="AI22" s="0" t="str">
        <f aca="false">IF(AI21="","",IF($D21=0,$J21,IF(AND($F21&lt;&gt;"",AI21&gt;=$F21),$I21,IF(AND($E21&lt;&gt;"",AI21&gt;=$E21),$H21,$G21))))</f>
        <v/>
      </c>
      <c r="AJ22" s="0" t="str">
        <f aca="false">IF(AJ21="","",IF($D21=0,$J21,IF(AND($F21&lt;&gt;"",AJ21&gt;=$F21),$I21,IF(AND($E21&lt;&gt;"",AJ21&gt;=$E21),$H21,$G21))))</f>
        <v/>
      </c>
      <c r="AK22" s="0" t="str">
        <f aca="false">IF(AK21="","",IF($D21=0,$J21,IF(AND($F21&lt;&gt;"",AK21&gt;=$F21),$I21,IF(AND($E21&lt;&gt;"",AK21&gt;=$E21),$H21,$G21))))</f>
        <v/>
      </c>
      <c r="AL22" s="0" t="str">
        <f aca="false">IF(AL21="","",IF($D21=0,$J21,IF(AND($F21&lt;&gt;"",AL21&gt;=$F21),$I21,IF(AND($E21&lt;&gt;"",AL21&gt;=$E21),$H21,$G21))))</f>
        <v/>
      </c>
      <c r="AM22" s="0" t="str">
        <f aca="false">IF(AM21="","",IF($D21=0,$J21,IF(AND($F21&lt;&gt;"",AM21&gt;=$F21),$I21,IF(AND($E21&lt;&gt;"",AM21&gt;=$E21),$H21,$G21))))</f>
        <v/>
      </c>
      <c r="AN22" s="0" t="str">
        <f aca="false">IF(AN21="","",IF($D21=0,$J21,IF(AND($F21&lt;&gt;"",AN21&gt;=$F21),$I21,IF(AND($E21&lt;&gt;"",AN21&gt;=$E21),$H21,$G21))))</f>
        <v/>
      </c>
      <c r="AO22" s="0" t="str">
        <f aca="false">IF(AO21="","",IF($D21=0,$J21,IF(AND($F21&lt;&gt;"",AO21&gt;=$F21),$I21,IF(AND($E21&lt;&gt;"",AO21&gt;=$E21),$H21,$G21))))</f>
        <v/>
      </c>
      <c r="AP22" s="0" t="str">
        <f aca="false">IF(AP21="","",IF($D21=0,$J21,IF(AND($F21&lt;&gt;"",AP21&gt;=$F21),$I21,IF(AND($E21&lt;&gt;"",AP21&gt;=$E21),$H21,$G21))))</f>
        <v/>
      </c>
      <c r="AQ22" s="0" t="str">
        <f aca="false">IF(AQ21="","",IF($D21=0,$J21,IF(AND($F21&lt;&gt;"",AQ21&gt;=$F21),$I21,IF(AND($E21&lt;&gt;"",AQ21&gt;=$E21),$H21,$G21))))</f>
        <v/>
      </c>
      <c r="AR22" s="0" t="str">
        <f aca="false">IF(AR21="","",IF($D21=0,$J21,IF(AND($F21&lt;&gt;"",AR21&gt;=$F21),$I21,IF(AND($E21&lt;&gt;"",AR21&gt;=$E21),$H21,$G21))))</f>
        <v/>
      </c>
      <c r="AS22" s="0" t="str">
        <f aca="false">IF(AS21="","",IF($D21=0,$J21,IF(AND($F21&lt;&gt;"",AS21&gt;=$F21),$I21,IF(AND($E21&lt;&gt;"",AS21&gt;=$E21),$H21,$G21))))</f>
        <v/>
      </c>
      <c r="AT22" s="0" t="str">
        <f aca="false">IF(AT21="","",IF($D21=0,$J21,IF(AND($F21&lt;&gt;"",AT21&gt;=$F21),$I21,IF(AND($E21&lt;&gt;"",AT21&gt;=$E21),$H21,$G21))))</f>
        <v/>
      </c>
      <c r="AU22" s="0" t="str">
        <f aca="false">IF(AU21="","",IF($D21=0,$J21,IF(AND($F21&lt;&gt;"",AU21&gt;=$F21),$I21,IF(AND($E21&lt;&gt;"",AU21&gt;=$E21),$H21,$G21))))</f>
        <v/>
      </c>
      <c r="AV22" s="0" t="str">
        <f aca="false">IF(AV21="","",IF($D21=0,$J21,IF(AND($F21&lt;&gt;"",AV21&gt;=$F21),$I21,IF(AND($E21&lt;&gt;"",AV21&gt;=$E21),$H21,$G21))))</f>
        <v/>
      </c>
      <c r="AW22" s="0" t="str">
        <f aca="false">IF(AW21="","",IF($D21=0,$J21,IF(AND($F21&lt;&gt;"",AW21&gt;=$F21),$I21,IF(AND($E21&lt;&gt;"",AW21&gt;=$E21),$H21,$G21))))</f>
        <v/>
      </c>
      <c r="AX22" s="0" t="str">
        <f aca="false">IF(AX21="","",IF($D21=0,$J21,IF(AND($F21&lt;&gt;"",AX21&gt;=$F21),$I21,IF(AND($E21&lt;&gt;"",AX21&gt;=$E21),$H21,$G21))))</f>
        <v/>
      </c>
      <c r="AY22" s="0" t="str">
        <f aca="false">IF(AY21="","",IF($D21=0,$J21,IF(AND($F21&lt;&gt;"",AY21&gt;=$F21),$I21,IF(AND($E21&lt;&gt;"",AY21&gt;=$E21),$H21,$G21))))</f>
        <v/>
      </c>
      <c r="AZ22" s="0" t="str">
        <f aca="false">IF(AZ21="","",IF($D21=0,$J21,IF(AND($F21&lt;&gt;"",AZ21&gt;=$F21),$I21,IF(AND($E21&lt;&gt;"",AZ21&gt;=$E21),$H21,$G21))))</f>
        <v/>
      </c>
      <c r="BA22" s="0" t="str">
        <f aca="false">IF(BA21="","",IF($D21=0,$J21,IF(AND($F21&lt;&gt;"",BA21&gt;=$F21),$I21,IF(AND($E21&lt;&gt;"",BA21&gt;=$E21),$H21,$G21))))</f>
        <v/>
      </c>
      <c r="BB22" s="0" t="str">
        <f aca="false">IF(BB21="","",IF($D21=0,$J21,IF(AND($F21&lt;&gt;"",BB21&gt;=$F21),$I21,IF(AND($E21&lt;&gt;"",BB21&gt;=$E21),$H21,$G21))))</f>
        <v/>
      </c>
      <c r="BC22" s="0" t="str">
        <f aca="false">IF(BC21="","",IF($D21=0,$J21,IF(AND($F21&lt;&gt;"",BC21&gt;=$F21),$I21,IF(AND($E21&lt;&gt;"",BC21&gt;=$E21),$H21,$G21))))</f>
        <v/>
      </c>
      <c r="BD22" s="0" t="str">
        <f aca="false">IF(BD21="","",IF($D21=0,$J21,IF(AND($F21&lt;&gt;"",BD21&gt;=$F21),$I21,IF(AND($E21&lt;&gt;"",BD21&gt;=$E21),$H21,$G21))))</f>
        <v/>
      </c>
      <c r="BE22" s="0" t="str">
        <f aca="false">IF(BE21="","",IF($D21=0,$J21,IF(AND($F21&lt;&gt;"",BE21&gt;=$F21),$I21,IF(AND($E21&lt;&gt;"",BE21&gt;=$E21),$H21,$G21))))</f>
        <v/>
      </c>
      <c r="BF22" s="0" t="str">
        <f aca="false">IF(BF21="","",IF($D21=0,$J21,IF(AND($F21&lt;&gt;"",BF21&gt;=$F21),$I21,IF(AND($E21&lt;&gt;"",BF21&gt;=$E21),$H21,$G21))))</f>
        <v/>
      </c>
      <c r="BG22" s="0" t="str">
        <f aca="false">IF(BG21="","",IF($D21=0,$J21,IF(AND($F21&lt;&gt;"",BG21&gt;=$F21),$I21,IF(AND($E21&lt;&gt;"",BG21&gt;=$E21),$H21,$G21))))</f>
        <v/>
      </c>
      <c r="BH22" s="0" t="str">
        <f aca="false">IF(BH21="","",IF($D21=0,$J21,IF(AND($F21&lt;&gt;"",BH21&gt;=$F21),$I21,IF(AND($E21&lt;&gt;"",BH21&gt;=$E21),$H21,$G21))))</f>
        <v/>
      </c>
      <c r="BI22" s="0" t="str">
        <f aca="false">IF(BI21="","",IF($D21=0,$J21,IF(AND($F21&lt;&gt;"",BI21&gt;=$F21),$I21,IF(AND($E21&lt;&gt;"",BI21&gt;=$E21),$H21,$G21))))</f>
        <v/>
      </c>
      <c r="BJ22" s="0" t="str">
        <f aca="false">IF(BJ21="","",IF($D21=0,$J21,IF(AND($F21&lt;&gt;"",BJ21&gt;=$F21),$I21,IF(AND($E21&lt;&gt;"",BJ21&gt;=$E21),$H21,$G21))))</f>
        <v/>
      </c>
      <c r="BK22" s="0" t="str">
        <f aca="false">IF(BK21="","",IF($D21=0,$J21,IF(AND($F21&lt;&gt;"",BK21&gt;=$F21),$I21,IF(AND($E21&lt;&gt;"",BK21&gt;=$E21),$H21,$G21))))</f>
        <v/>
      </c>
      <c r="BL22" s="0" t="str">
        <f aca="false">IF(BL21="","",IF($D21=0,$J21,IF(AND($F21&lt;&gt;"",BL21&gt;=$F21),$I21,IF(AND($E21&lt;&gt;"",BL21&gt;=$E21),$H21,$G21))))</f>
        <v/>
      </c>
      <c r="BM22" s="0" t="str">
        <f aca="false">IF(BM21="","",IF($D21=0,$J21,IF(AND($F21&lt;&gt;"",BM21&gt;=$F21),$I21,IF(AND($E21&lt;&gt;"",BM21&gt;=$E21),$H21,$G21))))</f>
        <v/>
      </c>
      <c r="BN22" s="0" t="str">
        <f aca="false">IF(BN21="","",IF($D21=0,$J21,IF(AND($F21&lt;&gt;"",BN21&gt;=$F21),$I21,IF(AND($E21&lt;&gt;"",BN21&gt;=$E21),$H21,$G21))))</f>
        <v/>
      </c>
      <c r="BO22" s="0" t="str">
        <f aca="false">IF(BO21="","",IF($D21=0,$J21,IF(AND($F21&lt;&gt;"",BO21&gt;=$F21),$I21,IF(AND($E21&lt;&gt;"",BO21&gt;=$E21),$H21,$G21))))</f>
        <v/>
      </c>
      <c r="BP22" s="0" t="str">
        <f aca="false">IF(BP21="","",IF($D21=0,$J21,IF(AND($F21&lt;&gt;"",BP21&gt;=$F21),$I21,IF(AND($E21&lt;&gt;"",BP21&gt;=$E21),$H21,$G21))))</f>
        <v/>
      </c>
      <c r="BQ22" s="0" t="str">
        <f aca="false">IF(BQ21="","",IF($D21=0,$J21,IF(AND($F21&lt;&gt;"",BQ21&gt;=$F21),$I21,IF(AND($E21&lt;&gt;"",BQ21&gt;=$E21),$H21,$G21))))</f>
        <v/>
      </c>
      <c r="BR22" s="0" t="str">
        <f aca="false">IF(BR21="","",IF($D21=0,$J21,IF(AND($F21&lt;&gt;"",BR21&gt;=$F21),$I21,IF(AND($E21&lt;&gt;"",BR21&gt;=$E21),$H21,$G21))))</f>
        <v/>
      </c>
      <c r="BS22" s="0" t="str">
        <f aca="false">IF(BS21="","",IF($D21=0,$J21,IF(AND($F21&lt;&gt;"",BS21&gt;=$F21),$I21,IF(AND($E21&lt;&gt;"",BS21&gt;=$E21),$H21,$G21))))</f>
        <v/>
      </c>
      <c r="BT22" s="0" t="str">
        <f aca="false">IF(BT21="","",IF($D21=0,$J21,IF(AND($F21&lt;&gt;"",BT21&gt;=$F21),$I21,IF(AND($E21&lt;&gt;"",BT21&gt;=$E21),$H21,$G21))))</f>
        <v/>
      </c>
      <c r="BU22" s="0" t="str">
        <f aca="false">IF(BU21="","",IF($D21=0,$J21,IF(AND($F21&lt;&gt;"",BU21&gt;=$F21),$I21,IF(AND($E21&lt;&gt;"",BU21&gt;=$E21),$H21,$G21))))</f>
        <v/>
      </c>
      <c r="BV22" s="0" t="str">
        <f aca="false">IF(BV21="","",IF($D21=0,$J21,IF(AND($F21&lt;&gt;"",BV21&gt;=$F21),$I21,IF(AND($E21&lt;&gt;"",BV21&gt;=$E21),$H21,$G21))))</f>
        <v/>
      </c>
      <c r="BW22" s="0" t="str">
        <f aca="false">IF(BW21="","",IF($D21=0,$J21,IF(AND($F21&lt;&gt;"",BW21&gt;=$F21),$I21,IF(AND($E21&lt;&gt;"",BW21&gt;=$E21),$H21,$G21))))</f>
        <v/>
      </c>
      <c r="BX22" s="0" t="str">
        <f aca="false">IF(BX21="","",IF($D21=0,$J21,IF(AND($F21&lt;&gt;"",BX21&gt;=$F21),$I21,IF(AND($E21&lt;&gt;"",BX21&gt;=$E21),$H21,$G21))))</f>
        <v/>
      </c>
      <c r="BY22" s="0" t="str">
        <f aca="false">IF(BY21="","",IF($D21=0,$J21,IF(AND($F21&lt;&gt;"",BY21&gt;=$F21),$I21,IF(AND($E21&lt;&gt;"",BY21&gt;=$E21),$H21,$G21))))</f>
        <v/>
      </c>
      <c r="BZ22" s="0" t="str">
        <f aca="false">IF(BZ21="","",IF($D21=0,$J21,IF(AND($F21&lt;&gt;"",BZ21&gt;=$F21),$I21,IF(AND($E21&lt;&gt;"",BZ21&gt;=$E21),$H21,$G21))))</f>
        <v/>
      </c>
      <c r="CA22" s="0" t="str">
        <f aca="false">IF(CA21="","",IF($D21=0,$J21,IF(AND($F21&lt;&gt;"",CA21&gt;=$F21),$I21,IF(AND($E21&lt;&gt;"",CA21&gt;=$E21),$H21,$G21))))</f>
        <v/>
      </c>
      <c r="CB22" s="0" t="str">
        <f aca="false">IF(CB21="","",IF($D21=0,$J21,IF(AND($F21&lt;&gt;"",CB21&gt;=$F21),$I21,IF(AND($E21&lt;&gt;"",CB21&gt;=$E21),$H21,$G21))))</f>
        <v/>
      </c>
      <c r="CC22" s="0" t="str">
        <f aca="false">IF(CC21="","",IF($D21=0,$J21,IF(AND($F21&lt;&gt;"",CC21&gt;=$F21),$I21,IF(AND($E21&lt;&gt;"",CC21&gt;=$E21),$H21,$G21))))</f>
        <v/>
      </c>
      <c r="CD22" s="0" t="str">
        <f aca="false">IF(CD21="","",IF($D21=0,$J21,IF(AND($F21&lt;&gt;"",CD21&gt;=$F21),$I21,IF(AND($E21&lt;&gt;"",CD21&gt;=$E21),$H21,$G21))))</f>
        <v/>
      </c>
      <c r="CE22" s="0" t="str">
        <f aca="false">IF(CE21="","",IF($D21=0,$J21,IF(AND($F21&lt;&gt;"",CE21&gt;=$F21),$I21,IF(AND($E21&lt;&gt;"",CE21&gt;=$E21),$H21,$G21))))</f>
        <v/>
      </c>
      <c r="CF22" s="0" t="str">
        <f aca="false">IF(CF21="","",IF($D21=0,$J21,IF(AND($F21&lt;&gt;"",CF21&gt;=$F21),$I21,IF(AND($E21&lt;&gt;"",CF21&gt;=$E21),$H21,$G21))))</f>
        <v/>
      </c>
      <c r="CG22" s="0" t="str">
        <f aca="false">IF(CG21="","",IF($D21=0,$J21,IF(AND($F21&lt;&gt;"",CG21&gt;=$F21),$I21,IF(AND($E21&lt;&gt;"",CG21&gt;=$E21),$H21,$G21))))</f>
        <v/>
      </c>
      <c r="CH22" s="0" t="str">
        <f aca="false">IF(CH21="","",IF($D21=0,$J21,IF(AND($F21&lt;&gt;"",CH21&gt;=$F21),$I21,IF(AND($E21&lt;&gt;"",CH21&gt;=$E21),$H21,$G21))))</f>
        <v/>
      </c>
      <c r="CI22" s="0" t="str">
        <f aca="false">IF(CI21="","",IF($D21=0,$J21,IF(AND($F21&lt;&gt;"",CI21&gt;=$F21),$I21,IF(AND($E21&lt;&gt;"",CI21&gt;=$E21),$H21,$G21))))</f>
        <v/>
      </c>
      <c r="CJ22" s="0" t="str">
        <f aca="false">IF(CJ21="","",IF($D21=0,$J21,IF(AND($F21&lt;&gt;"",CJ21&gt;=$F21),$I21,IF(AND($E21&lt;&gt;"",CJ21&gt;=$E21),$H21,$G21))))</f>
        <v/>
      </c>
      <c r="CK22" s="0" t="str">
        <f aca="false">IF(CK21="","",IF($D21=0,$J21,IF(AND($F21&lt;&gt;"",CK21&gt;=$F21),$I21,IF(AND($E21&lt;&gt;"",CK21&gt;=$E21),$H21,$G21))))</f>
        <v/>
      </c>
      <c r="CL22" s="0" t="str">
        <f aca="false">IF(CL21="","",IF($D21=0,$J21,IF(AND($F21&lt;&gt;"",CL21&gt;=$F21),$I21,IF(AND($E21&lt;&gt;"",CL21&gt;=$E21),$H21,$G21))))</f>
        <v/>
      </c>
      <c r="CM22" s="0" t="str">
        <f aca="false">IF(CM21="","",IF($D21=0,$J21,IF(AND($F21&lt;&gt;"",CM21&gt;=$F21),$I21,IF(AND($E21&lt;&gt;"",CM21&gt;=$E21),$H21,$G21))))</f>
        <v/>
      </c>
      <c r="CN22" s="0" t="str">
        <f aca="false">IF(CN21="","",IF($D21=0,$J21,IF(AND($F21&lt;&gt;"",CN21&gt;=$F21),$I21,IF(AND($E21&lt;&gt;"",CN21&gt;=$E21),$H21,$G21))))</f>
        <v/>
      </c>
      <c r="CO22" s="0" t="str">
        <f aca="false">IF(CO21="","",IF($D21=0,$J21,IF(AND($F21&lt;&gt;"",CO21&gt;=$F21),$I21,IF(AND($E21&lt;&gt;"",CO21&gt;=$E21),$H21,$G21))))</f>
        <v/>
      </c>
      <c r="CP22" s="0" t="str">
        <f aca="false">IF(CP21="","",IF($D21=0,$J21,IF(AND($F21&lt;&gt;"",CP21&gt;=$F21),$I21,IF(AND($E21&lt;&gt;"",CP21&gt;=$E21),$H21,$G21))))</f>
        <v/>
      </c>
      <c r="CQ22" s="0" t="str">
        <f aca="false">IF(CQ21="","",IF($D21=0,$J21,IF(AND($F21&lt;&gt;"",CQ21&gt;=$F21),$I21,IF(AND($E21&lt;&gt;"",CQ21&gt;=$E21),$H21,$G21))))</f>
        <v/>
      </c>
      <c r="CR22" s="0" t="str">
        <f aca="false">IF(CR21="","",IF($D21=0,$J21,IF(AND($F21&lt;&gt;"",CR21&gt;=$F21),$I21,IF(AND($E21&lt;&gt;"",CR21&gt;=$E21),$H21,$G21))))</f>
        <v/>
      </c>
      <c r="CS22" s="0" t="str">
        <f aca="false">IF(CS21="","",IF($D21=0,$J21,IF(AND($F21&lt;&gt;"",CS21&gt;=$F21),$I21,IF(AND($E21&lt;&gt;"",CS21&gt;=$E21),$H21,$G21))))</f>
        <v/>
      </c>
      <c r="CT22" s="0" t="str">
        <f aca="false">IF(CT21="","",IF($D21=0,$J21,IF(AND($F21&lt;&gt;"",CT21&gt;=$F21),$I21,IF(AND($E21&lt;&gt;"",CT21&gt;=$E21),$H21,$G21))))</f>
        <v/>
      </c>
      <c r="CU22" s="0" t="str">
        <f aca="false">IF(CU21="","",IF($D21=0,$J21,IF(AND($F21&lt;&gt;"",CU21&gt;=$F21),$I21,IF(AND($E21&lt;&gt;"",CU21&gt;=$E21),$H21,$G21))))</f>
        <v/>
      </c>
      <c r="CV22" s="0" t="str">
        <f aca="false">IF(CV21="","",IF($D21=0,$J21,IF(AND($F21&lt;&gt;"",CV21&gt;=$F21),$I21,IF(AND($E21&lt;&gt;"",CV21&gt;=$E21),$H21,$G21))))</f>
        <v/>
      </c>
      <c r="CW22" s="0" t="str">
        <f aca="false">IF(CW21="","",IF($D21=0,$J21,IF(AND($F21&lt;&gt;"",CW21&gt;=$F21),$I21,IF(AND($E21&lt;&gt;"",CW21&gt;=$E21),$H21,$G21))))</f>
        <v/>
      </c>
      <c r="CX22" s="0" t="str">
        <f aca="false">IF(CX21="","",IF($D21=0,$J21,IF(AND($F21&lt;&gt;"",CX21&gt;=$F21),$I21,IF(AND($E21&lt;&gt;"",CX21&gt;=$E21),$H21,$G21))))</f>
        <v/>
      </c>
      <c r="CY22" s="0" t="str">
        <f aca="false">IF(CY21="","",IF($D21=0,$J21,IF(AND($F21&lt;&gt;"",CY21&gt;=$F21),$I21,IF(AND($E21&lt;&gt;"",CY21&gt;=$E21),$H21,$G21))))</f>
        <v/>
      </c>
      <c r="CZ22" s="0" t="str">
        <f aca="false">IF(CZ21="","",IF($D21=0,$J21,IF(AND($F21&lt;&gt;"",CZ21&gt;=$F21),$I21,IF(AND($E21&lt;&gt;"",CZ21&gt;=$E21),$H21,$G21))))</f>
        <v/>
      </c>
      <c r="DA22" s="0" t="str">
        <f aca="false">IF(DA21="","",IF($D21=0,$J21,IF(AND($F21&lt;&gt;"",DA21&gt;=$F21),$I21,IF(AND($E21&lt;&gt;"",DA21&gt;=$E21),$H21,$G21))))</f>
        <v/>
      </c>
      <c r="DB22" s="0" t="str">
        <f aca="false">IF(DB21="","",IF($D21=0,$J21,IF(AND($F21&lt;&gt;"",DB21&gt;=$F21),$I21,IF(AND($E21&lt;&gt;"",DB21&gt;=$E21),$H21,$G21))))</f>
        <v/>
      </c>
      <c r="DC22" s="0" t="str">
        <f aca="false">IF(DC21="","",IF($D21=0,$J21,IF(AND($F21&lt;&gt;"",DC21&gt;=$F21),$I21,IF(AND($E21&lt;&gt;"",DC21&gt;=$E21),$H21,$G21))))</f>
        <v/>
      </c>
      <c r="DD22" s="0" t="str">
        <f aca="false">IF(DD21="","",IF($D21=0,$J21,IF(AND($F21&lt;&gt;"",DD21&gt;=$F21),$I21,IF(AND($E21&lt;&gt;"",DD21&gt;=$E21),$H21,$G21))))</f>
        <v/>
      </c>
      <c r="DE22" s="0" t="str">
        <f aca="false">IF(DE21="","",IF($D21=0,$J21,IF(AND($F21&lt;&gt;"",DE21&gt;=$F21),$I21,IF(AND($E21&lt;&gt;"",DE21&gt;=$E21),$H21,$G21))))</f>
        <v/>
      </c>
      <c r="DF22" s="0" t="str">
        <f aca="false">IF(DF21="","",IF($D21=0,$J21,IF(AND($F21&lt;&gt;"",DF21&gt;=$F21),$I21,IF(AND($E21&lt;&gt;"",DF21&gt;=$E21),$H21,$G21))))</f>
        <v/>
      </c>
      <c r="DG22" s="0" t="str">
        <f aca="false">IF(DG21="","",IF($D21=0,$J21,IF(AND($F21&lt;&gt;"",DG21&gt;=$F21),$I21,IF(AND($E21&lt;&gt;"",DG21&gt;=$E21),$H21,$G21))))</f>
        <v/>
      </c>
      <c r="DH22" s="0" t="str">
        <f aca="false">IF(DH21="","",IF($D21=0,$J21,IF(AND($F21&lt;&gt;"",DH21&gt;=$F21),$I21,IF(AND($E21&lt;&gt;"",DH21&gt;=$E21),$H21,$G21))))</f>
        <v/>
      </c>
      <c r="DI22" s="0" t="str">
        <f aca="false">IF(DI21="","",IF($D21=0,$J21,IF(AND($F21&lt;&gt;"",DI21&gt;=$F21),$I21,IF(AND($E21&lt;&gt;"",DI21&gt;=$E21),$H21,$G21))))</f>
        <v/>
      </c>
      <c r="DJ22" s="0" t="str">
        <f aca="false">IF(DJ21="","",IF($D21=0,$J21,IF(AND($F21&lt;&gt;"",DJ21&gt;=$F21),$I21,IF(AND($E21&lt;&gt;"",DJ21&gt;=$E21),$H21,$G21))))</f>
        <v/>
      </c>
      <c r="DK22" s="0" t="str">
        <f aca="false">IF(DK21="","",IF($D21=0,$J21,IF(AND($F21&lt;&gt;"",DK21&gt;=$F21),$I21,IF(AND($E21&lt;&gt;"",DK21&gt;=$E21),$H21,$G21))))</f>
        <v/>
      </c>
      <c r="DL22" s="0" t="str">
        <f aca="false">IF(DL21="","",IF($D21=0,$J21,IF(AND($F21&lt;&gt;"",DL21&gt;=$F21),$I21,IF(AND($E21&lt;&gt;"",DL21&gt;=$E21),$H21,$G21))))</f>
        <v/>
      </c>
      <c r="DM22" s="0" t="str">
        <f aca="false">IF(DM21="","",IF($D21=0,$J21,IF(AND($F21&lt;&gt;"",DM21&gt;=$F21),$I21,IF(AND($E21&lt;&gt;"",DM21&gt;=$E21),$H21,$G21))))</f>
        <v/>
      </c>
      <c r="DN22" s="0" t="str">
        <f aca="false">IF(DN21="","",IF($D21=0,$J21,IF(AND($F21&lt;&gt;"",DN21&gt;=$F21),$I21,IF(AND($E21&lt;&gt;"",DN21&gt;=$E21),$H21,$G21))))</f>
        <v/>
      </c>
      <c r="DO22" s="0" t="str">
        <f aca="false">IF(DO21="","",IF($D21=0,$J21,IF(AND($F21&lt;&gt;"",DO21&gt;=$F21),$I21,IF(AND($E21&lt;&gt;"",DO21&gt;=$E21),$H21,$G21))))</f>
        <v/>
      </c>
      <c r="DP22" s="0" t="str">
        <f aca="false">IF(DP21="","",IF($D21=0,$J21,IF(AND($F21&lt;&gt;"",DP21&gt;=$F21),$I21,IF(AND($E21&lt;&gt;"",DP21&gt;=$E21),$H21,$G21))))</f>
        <v/>
      </c>
      <c r="DQ22" s="0" t="str">
        <f aca="false">IF(DQ21="","",IF($D21=0,$J21,IF(AND($F21&lt;&gt;"",DQ21&gt;=$F21),$I21,IF(AND($E21&lt;&gt;"",DQ21&gt;=$E21),$H21,$G21))))</f>
        <v/>
      </c>
      <c r="DR22" s="0" t="str">
        <f aca="false">IF(DR21="","",IF($D21=0,$J21,IF(AND($F21&lt;&gt;"",DR21&gt;=$F21),$I21,IF(AND($E21&lt;&gt;"",DR21&gt;=$E21),$H21,$G21))))</f>
        <v/>
      </c>
      <c r="DS22" s="0" t="str">
        <f aca="false">IF(DS21="","",IF($D21=0,$J21,IF(AND($F21&lt;&gt;"",DS21&gt;=$F21),$I21,IF(AND($E21&lt;&gt;"",DS21&gt;=$E21),$H21,$G21))))</f>
        <v/>
      </c>
      <c r="DT22" s="0" t="str">
        <f aca="false">IF(DT21="","",IF($D21=0,$J21,IF(AND($F21&lt;&gt;"",DT21&gt;=$F21),$I21,IF(AND($E21&lt;&gt;"",DT21&gt;=$E21),$H21,$G21))))</f>
        <v/>
      </c>
      <c r="DU22" s="0" t="str">
        <f aca="false">IF(DU21="","",IF($D21=0,$J21,IF(AND($F21&lt;&gt;"",DU21&gt;=$F21),$I21,IF(AND($E21&lt;&gt;"",DU21&gt;=$E21),$H21,$G21))))</f>
        <v/>
      </c>
      <c r="DV22" s="0" t="str">
        <f aca="false">IF(DV21="","",IF($D21=0,$J21,IF(AND($F21&lt;&gt;"",DV21&gt;=$F21),$I21,IF(AND($E21&lt;&gt;"",DV21&gt;=$E21),$H21,$G21))))</f>
        <v/>
      </c>
      <c r="DW22" s="0" t="str">
        <f aca="false">IF(DW21="","",IF($D21=0,$J21,IF(AND($F21&lt;&gt;"",DW21&gt;=$F21),$I21,IF(AND($E21&lt;&gt;"",DW21&gt;=$E21),$H21,$G21))))</f>
        <v/>
      </c>
      <c r="DX22" s="0" t="str">
        <f aca="false">IF(DX21="","",IF($D21=0,$J21,IF(AND($F21&lt;&gt;"",DX21&gt;=$F21),$I21,IF(AND($E21&lt;&gt;"",DX21&gt;=$E21),$H21,$G21))))</f>
        <v/>
      </c>
      <c r="DY22" s="0" t="str">
        <f aca="false">IF(DY21="","",IF($D21=0,$J21,IF(AND($F21&lt;&gt;"",DY21&gt;=$F21),$I21,IF(AND($E21&lt;&gt;"",DY21&gt;=$E21),$H21,$G21))))</f>
        <v/>
      </c>
      <c r="DZ22" s="0" t="str">
        <f aca="false">IF(DZ21="","",IF($D21=0,$J21,IF(AND($F21&lt;&gt;"",DZ21&gt;=$F21),$I21,IF(AND($E21&lt;&gt;"",DZ21&gt;=$E21),$H21,$G21))))</f>
        <v/>
      </c>
      <c r="EA22" s="0" t="str">
        <f aca="false">IF(EA21="","",IF($D21=0,$J21,IF(AND($F21&lt;&gt;"",EA21&gt;=$F21),$I21,IF(AND($E21&lt;&gt;"",EA21&gt;=$E21),$H21,$G21))))</f>
        <v/>
      </c>
      <c r="EB22" s="0" t="str">
        <f aca="false">IF(EB21="","",IF($D21=0,$J21,IF(AND($F21&lt;&gt;"",EB21&gt;=$F21),$I21,IF(AND($E21&lt;&gt;"",EB21&gt;=$E21),$H21,$G21))))</f>
        <v/>
      </c>
      <c r="EC22" s="0" t="str">
        <f aca="false">IF(EC21="","",IF($D21=0,$J21,IF(AND($F21&lt;&gt;"",EC21&gt;=$F21),$I21,IF(AND($E21&lt;&gt;"",EC21&gt;=$E21),$H21,$G21))))</f>
        <v/>
      </c>
      <c r="ED22" s="0" t="str">
        <f aca="false">IF(ED21="","",IF($D21=0,$J21,IF(AND($F21&lt;&gt;"",ED21&gt;=$F21),$I21,IF(AND($E21&lt;&gt;"",ED21&gt;=$E21),$H21,$G21))))</f>
        <v/>
      </c>
      <c r="EE22" s="0" t="str">
        <f aca="false">IF(EE21="","",IF($D21=0,$J21,IF(AND($F21&lt;&gt;"",EE21&gt;=$F21),$I21,IF(AND($E21&lt;&gt;"",EE21&gt;=$E21),$H21,$G21))))</f>
        <v/>
      </c>
      <c r="EF22" s="0" t="str">
        <f aca="false">IF(EF21="","",IF($D21=0,$J21,IF(AND($F21&lt;&gt;"",EF21&gt;=$F21),$I21,IF(AND($E21&lt;&gt;"",EF21&gt;=$E21),$H21,$G21))))</f>
        <v/>
      </c>
      <c r="EG22" s="0" t="str">
        <f aca="false">IF(EG21="","",IF($D21=0,$J21,IF(AND($F21&lt;&gt;"",EG21&gt;=$F21),$I21,IF(AND($E21&lt;&gt;"",EG21&gt;=$E21),$H21,$G21))))</f>
        <v/>
      </c>
      <c r="EH22" s="0" t="str">
        <f aca="false">IF(EH21="","",IF($D21=0,$J21,IF(AND($F21&lt;&gt;"",EH21&gt;=$F21),$I21,IF(AND($E21&lt;&gt;"",EH21&gt;=$E21),$H21,$G21))))</f>
        <v/>
      </c>
      <c r="EI22" s="0" t="str">
        <f aca="false">IF(EI21="","",IF($D21=0,$J21,IF(AND($F21&lt;&gt;"",EI21&gt;=$F21),$I21,IF(AND($E21&lt;&gt;"",EI21&gt;=$E21),$H21,$G21))))</f>
        <v/>
      </c>
      <c r="EJ22" s="0" t="str">
        <f aca="false">IF(EJ21="","",IF($D21=0,$J21,IF(AND($F21&lt;&gt;"",EJ21&gt;=$F21),$I21,IF(AND($E21&lt;&gt;"",EJ21&gt;=$E21),$H21,$G21))))</f>
        <v/>
      </c>
      <c r="EK22" s="0" t="str">
        <f aca="false">IF(EK21="","",IF($D21=0,$J21,IF(AND($F21&lt;&gt;"",EK21&gt;=$F21),$I21,IF(AND($E21&lt;&gt;"",EK21&gt;=$E21),$H21,$G21))))</f>
        <v/>
      </c>
      <c r="EL22" s="0" t="str">
        <f aca="false">IF(EL21="","",IF($D21=0,$J21,IF(AND($F21&lt;&gt;"",EL21&gt;=$F21),$I21,IF(AND($E21&lt;&gt;"",EL21&gt;=$E21),$H21,$G21))))</f>
        <v/>
      </c>
      <c r="EM22" s="0" t="str">
        <f aca="false">IF(EM21="","",IF($D21=0,$J21,IF(AND($F21&lt;&gt;"",EM21&gt;=$F21),$I21,IF(AND($E21&lt;&gt;"",EM21&gt;=$E21),$H21,$G21))))</f>
        <v/>
      </c>
      <c r="EN22" s="0" t="str">
        <f aca="false">IF(EN21="","",IF($D21=0,$J21,IF(AND($F21&lt;&gt;"",EN21&gt;=$F21),$I21,IF(AND($E21&lt;&gt;"",EN21&gt;=$E21),$H21,$G21))))</f>
        <v/>
      </c>
      <c r="EO22" s="0" t="str">
        <f aca="false">IF(EO21="","",IF($D21=0,$J21,IF(AND($F21&lt;&gt;"",EO21&gt;=$F21),$I21,IF(AND($E21&lt;&gt;"",EO21&gt;=$E21),$H21,$G21))))</f>
        <v/>
      </c>
      <c r="EP22" s="0" t="str">
        <f aca="false">IF(EP21="","",IF($D21=0,$J21,IF(AND($F21&lt;&gt;"",EP21&gt;=$F21),$I21,IF(AND($E21&lt;&gt;"",EP21&gt;=$E21),$H21,$G21))))</f>
        <v/>
      </c>
      <c r="EQ22" s="0" t="str">
        <f aca="false">IF(EQ21="","",IF($D21=0,$J21,IF(AND($F21&lt;&gt;"",EQ21&gt;=$F21),$I21,IF(AND($E21&lt;&gt;"",EQ21&gt;=$E21),$H21,$G21))))</f>
        <v/>
      </c>
      <c r="ER22" s="0" t="str">
        <f aca="false">IF(ER21="","",IF($D21=0,$J21,IF(AND($F21&lt;&gt;"",ER21&gt;=$F21),$I21,IF(AND($E21&lt;&gt;"",ER21&gt;=$E21),$H21,$G21))))</f>
        <v/>
      </c>
      <c r="ES22" s="0" t="str">
        <f aca="false">IF(ES21="","",IF($D21=0,$J21,IF(AND($F21&lt;&gt;"",ES21&gt;=$F21),$I21,IF(AND($E21&lt;&gt;"",ES21&gt;=$E21),$H21,$G21))))</f>
        <v/>
      </c>
      <c r="ET22" s="0" t="str">
        <f aca="false">IF(ET21="","",IF($D21=0,$J21,IF(AND($F21&lt;&gt;"",ET21&gt;=$F21),$I21,IF(AND($E21&lt;&gt;"",ET21&gt;=$E21),$H21,$G21))))</f>
        <v/>
      </c>
      <c r="EU22" s="0" t="str">
        <f aca="false">IF(EU21="","",IF($D21=0,$J21,IF(AND($F21&lt;&gt;"",EU21&gt;=$F21),$I21,IF(AND($E21&lt;&gt;"",EU21&gt;=$E21),$H21,$G21))))</f>
        <v/>
      </c>
      <c r="EV22" s="0" t="str">
        <f aca="false">IF(EV21="","",IF($D21=0,$J21,IF(AND($F21&lt;&gt;"",EV21&gt;=$F21),$I21,IF(AND($E21&lt;&gt;"",EV21&gt;=$E21),$H21,$G21))))</f>
        <v/>
      </c>
      <c r="EW22" s="0" t="str">
        <f aca="false">IF(EW21="","",IF($D21=0,$J21,IF(AND($F21&lt;&gt;"",EW21&gt;=$F21),$I21,IF(AND($E21&lt;&gt;"",EW21&gt;=$E21),$H21,$G21))))</f>
        <v/>
      </c>
      <c r="EX22" s="0" t="str">
        <f aca="false">IF(EX21="","",IF($D21=0,$J21,IF(AND($F21&lt;&gt;"",EX21&gt;=$F21),$I21,IF(AND($E21&lt;&gt;"",EX21&gt;=$E21),$H21,$G21))))</f>
        <v/>
      </c>
      <c r="EY22" s="0" t="str">
        <f aca="false">IF(EY21="","",IF($D21=0,$J21,IF(AND($F21&lt;&gt;"",EY21&gt;=$F21),$I21,IF(AND($E21&lt;&gt;"",EY21&gt;=$E21),$H21,$G21))))</f>
        <v/>
      </c>
      <c r="EZ22" s="0" t="str">
        <f aca="false">IF(EZ21="","",IF($D21=0,$J21,IF(AND($F21&lt;&gt;"",EZ21&gt;=$F21),$I21,IF(AND($E21&lt;&gt;"",EZ21&gt;=$E21),$H21,$G21))))</f>
        <v/>
      </c>
      <c r="FA22" s="0" t="str">
        <f aca="false">IF(FA21="","",IF($D21=0,$J21,IF(AND($F21&lt;&gt;"",FA21&gt;=$F21),$I21,IF(AND($E21&lt;&gt;"",FA21&gt;=$E21),$H21,$G21))))</f>
        <v/>
      </c>
      <c r="FB22" s="0" t="str">
        <f aca="false">IF(FB21="","",IF($D21=0,$J21,IF(AND($F21&lt;&gt;"",FB21&gt;=$F21),$I21,IF(AND($E21&lt;&gt;"",FB21&gt;=$E21),$H21,$G21))))</f>
        <v/>
      </c>
      <c r="FC22" s="0" t="str">
        <f aca="false">IF(FC21="","",IF($D21=0,$J21,IF(AND($F21&lt;&gt;"",FC21&gt;=$F21),$I21,IF(AND($E21&lt;&gt;"",FC21&gt;=$E21),$H21,$G21))))</f>
        <v/>
      </c>
      <c r="FD22" s="0" t="str">
        <f aca="false">IF(FD21="","",IF($D21=0,$J21,IF(AND($F21&lt;&gt;"",FD21&gt;=$F21),$I21,IF(AND($E21&lt;&gt;"",FD21&gt;=$E21),$H21,$G21))))</f>
        <v/>
      </c>
      <c r="FE22" s="0" t="str">
        <f aca="false">IF(FE21="","",IF($D21=0,$J21,IF(AND($F21&lt;&gt;"",FE21&gt;=$F21),$I21,IF(AND($E21&lt;&gt;"",FE21&gt;=$E21),$H21,$G21))))</f>
        <v/>
      </c>
      <c r="FF22" s="0" t="str">
        <f aca="false">IF(FF21="","",IF($D21=0,$J21,IF(AND($F21&lt;&gt;"",FF21&gt;=$F21),$I21,IF(AND($E21&lt;&gt;"",FF21&gt;=$E21),$H21,$G21))))</f>
        <v/>
      </c>
      <c r="FG22" s="0" t="str">
        <f aca="false">IF(FG21="","",IF($D21=0,$J21,IF(AND($F21&lt;&gt;"",FG21&gt;=$F21),$I21,IF(AND($E21&lt;&gt;"",FG21&gt;=$E21),$H21,$G21))))</f>
        <v/>
      </c>
      <c r="FH22" s="0" t="str">
        <f aca="false">IF(FH21="","",IF($D21=0,$J21,IF(AND($F21&lt;&gt;"",FH21&gt;=$F21),$I21,IF(AND($E21&lt;&gt;"",FH21&gt;=$E21),$H21,$G21))))</f>
        <v/>
      </c>
      <c r="FI22" s="0" t="str">
        <f aca="false">IF(FI21="","",IF($D21=0,$J21,IF(AND($F21&lt;&gt;"",FI21&gt;=$F21),$I21,IF(AND($E21&lt;&gt;"",FI21&gt;=$E21),$H21,$G21))))</f>
        <v/>
      </c>
      <c r="FJ22" s="0" t="str">
        <f aca="false">IF(FJ21="","",IF($D21=0,$J21,IF(AND($F21&lt;&gt;"",FJ21&gt;=$F21),$I21,IF(AND($E21&lt;&gt;"",FJ21&gt;=$E21),$H21,$G21))))</f>
        <v/>
      </c>
      <c r="FK22" s="0" t="str">
        <f aca="false">IF(FK21="","",IF($D21=0,$J21,IF(AND($F21&lt;&gt;"",FK21&gt;=$F21),$I21,IF(AND($E21&lt;&gt;"",FK21&gt;=$E21),$H21,$G21))))</f>
        <v/>
      </c>
      <c r="FL22" s="0" t="str">
        <f aca="false">IF(FL21="","",IF($D21=0,$J21,IF(AND($F21&lt;&gt;"",FL21&gt;=$F21),$I21,IF(AND($E21&lt;&gt;"",FL21&gt;=$E21),$H21,$G21))))</f>
        <v/>
      </c>
      <c r="FM22" s="0" t="str">
        <f aca="false">IF(FM21="","",IF($D21=0,$J21,IF(AND($F21&lt;&gt;"",FM21&gt;=$F21),$I21,IF(AND($E21&lt;&gt;"",FM21&gt;=$E21),$H21,$G21))))</f>
        <v/>
      </c>
      <c r="FN22" s="0" t="str">
        <f aca="false">IF(FN21="","",IF($D21=0,$J21,IF(AND($F21&lt;&gt;"",FN21&gt;=$F21),$I21,IF(AND($E21&lt;&gt;"",FN21&gt;=$E21),$H21,$G21))))</f>
        <v/>
      </c>
      <c r="FO22" s="0" t="str">
        <f aca="false">IF(FO21="","",IF($D21=0,$J21,IF(AND($F21&lt;&gt;"",FO21&gt;=$F21),$I21,IF(AND($E21&lt;&gt;"",FO21&gt;=$E21),$H21,$G21))))</f>
        <v/>
      </c>
      <c r="FP22" s="0" t="str">
        <f aca="false">IF(FP21="","",IF($D21=0,$J21,IF(AND($F21&lt;&gt;"",FP21&gt;=$F21),$I21,IF(AND($E21&lt;&gt;"",FP21&gt;=$E21),$H21,$G21))))</f>
        <v/>
      </c>
      <c r="FQ22" s="0" t="str">
        <f aca="false">IF(FQ21="","",IF($D21=0,$J21,IF(AND($F21&lt;&gt;"",FQ21&gt;=$F21),$I21,IF(AND($E21&lt;&gt;"",FQ21&gt;=$E21),$H21,$G21))))</f>
        <v/>
      </c>
      <c r="FR22" s="0" t="str">
        <f aca="false">IF(FR21="","",IF($D21=0,$J21,IF(AND($F21&lt;&gt;"",FR21&gt;=$F21),$I21,IF(AND($E21&lt;&gt;"",FR21&gt;=$E21),$H21,$G21))))</f>
        <v/>
      </c>
      <c r="FS22" s="0" t="str">
        <f aca="false">IF(FS21="","",IF($D21=0,$J21,IF(AND($F21&lt;&gt;"",FS21&gt;=$F21),$I21,IF(AND($E21&lt;&gt;"",FS21&gt;=$E21),$H21,$G21))))</f>
        <v/>
      </c>
      <c r="FT22" s="0" t="str">
        <f aca="false">IF(FT21="","",IF($D21=0,$J21,IF(AND($F21&lt;&gt;"",FT21&gt;=$F21),$I21,IF(AND($E21&lt;&gt;"",FT21&gt;=$E21),$H21,$G21))))</f>
        <v/>
      </c>
      <c r="FU22" s="0" t="str">
        <f aca="false">IF(FU21="","",IF($D21=0,$J21,IF(AND($F21&lt;&gt;"",FU21&gt;=$F21),$I21,IF(AND($E21&lt;&gt;"",FU21&gt;=$E21),$H21,$G21))))</f>
        <v/>
      </c>
      <c r="FV22" s="0" t="str">
        <f aca="false">IF(FV21="","",IF($D21=0,$J21,IF(AND($F21&lt;&gt;"",FV21&gt;=$F21),$I21,IF(AND($E21&lt;&gt;"",FV21&gt;=$E21),$H21,$G21))))</f>
        <v/>
      </c>
      <c r="FW22" s="0" t="str">
        <f aca="false">IF(FW21="","",IF($D21=0,$J21,IF(AND($F21&lt;&gt;"",FW21&gt;=$F21),$I21,IF(AND($E21&lt;&gt;"",FW21&gt;=$E21),$H21,$G21))))</f>
        <v/>
      </c>
      <c r="FX22" s="0" t="str">
        <f aca="false">IF(FX21="","",IF($D21=0,$J21,IF(AND($F21&lt;&gt;"",FX21&gt;=$F21),$I21,IF(AND($E21&lt;&gt;"",FX21&gt;=$E21),$H21,$G21))))</f>
        <v/>
      </c>
      <c r="FY22" s="0" t="str">
        <f aca="false">IF(FY21="","",IF($D21=0,$J21,IF(AND($F21&lt;&gt;"",FY21&gt;=$F21),$I21,IF(AND($E21&lt;&gt;"",FY21&gt;=$E21),$H21,$G21))))</f>
        <v/>
      </c>
      <c r="FZ22" s="0" t="str">
        <f aca="false">IF(FZ21="","",IF($D21=0,$J21,IF(AND($F21&lt;&gt;"",FZ21&gt;=$F21),$I21,IF(AND($E21&lt;&gt;"",FZ21&gt;=$E21),$H21,$G21))))</f>
        <v/>
      </c>
      <c r="GA22" s="0" t="str">
        <f aca="false">IF(GA21="","",IF($D21=0,$J21,IF(AND($F21&lt;&gt;"",GA21&gt;=$F21),$I21,IF(AND($E21&lt;&gt;"",GA21&gt;=$E21),$H21,$G21))))</f>
        <v/>
      </c>
      <c r="GB22" s="0" t="str">
        <f aca="false">IF(GB21="","",IF($D21=0,$J21,IF(AND($F21&lt;&gt;"",GB21&gt;=$F21),$I21,IF(AND($E21&lt;&gt;"",GB21&gt;=$E21),$H21,$G21))))</f>
        <v/>
      </c>
      <c r="GC22" s="0" t="str">
        <f aca="false">IF(GC21="","",IF($D21=0,$J21,IF(AND($F21&lt;&gt;"",GC21&gt;=$F21),$I21,IF(AND($E21&lt;&gt;"",GC21&gt;=$E21),$H21,$G21))))</f>
        <v/>
      </c>
      <c r="GD22" s="0" t="str">
        <f aca="false">IF(GD21="","",IF($D21=0,$J21,IF(AND($F21&lt;&gt;"",GD21&gt;=$F21),$I21,IF(AND($E21&lt;&gt;"",GD21&gt;=$E21),$H21,$G21))))</f>
        <v/>
      </c>
      <c r="GE22" s="0" t="str">
        <f aca="false">IF(GE21="","",IF($D21=0,$J21,IF(AND($F21&lt;&gt;"",GE21&gt;=$F21),$I21,IF(AND($E21&lt;&gt;"",GE21&gt;=$E21),$H21,$G21))))</f>
        <v/>
      </c>
      <c r="GF22" s="0" t="str">
        <f aca="false">IF(GF21="","",IF($D21=0,$J21,IF(AND($F21&lt;&gt;"",GF21&gt;=$F21),$I21,IF(AND($E21&lt;&gt;"",GF21&gt;=$E21),$H21,$G21))))</f>
        <v/>
      </c>
      <c r="GG22" s="0" t="str">
        <f aca="false">IF(GG21="","",IF($D21=0,$J21,IF(AND($F21&lt;&gt;"",GG21&gt;=$F21),$I21,IF(AND($E21&lt;&gt;"",GG21&gt;=$E21),$H21,$G21))))</f>
        <v/>
      </c>
      <c r="GH22" s="0" t="str">
        <f aca="false">IF(GH21="","",IF($D21=0,$J21,IF(AND($F21&lt;&gt;"",GH21&gt;=$F21),$I21,IF(AND($E21&lt;&gt;"",GH21&gt;=$E21),$H21,$G21))))</f>
        <v/>
      </c>
      <c r="GI22" s="0" t="str">
        <f aca="false">IF(GI21="","",IF($D21=0,$J21,IF(AND($F21&lt;&gt;"",GI21&gt;=$F21),$I21,IF(AND($E21&lt;&gt;"",GI21&gt;=$E21),$H21,$G21))))</f>
        <v/>
      </c>
    </row>
    <row r="23" customFormat="false" ht="15" hidden="false" customHeight="false" outlineLevel="0" collapsed="false">
      <c r="K23" s="0" t="s">
        <v>264</v>
      </c>
      <c r="L23" s="0" t="n">
        <f aca="false">IF(L21="",0,IF(AND(L22=Milestones!$AB$20,L21&gt;=SchemeStart),IF(AND(Milestones!$AB$20="FT",Milestones!$AA$20=FT_Y5,L21&lt;PolicyEff),1,Milestones!$AC$20),0))</f>
        <v>0</v>
      </c>
      <c r="M23" s="0" t="n">
        <f aca="false">IF(M21="",0,IF(AND(M22=Milestones!$AB$21,M21&gt;=SchemeStart),IF(AND(Milestones!$AB$21="FT",Milestones!$AA$21=FT_Y5,M21&lt;PolicyEff),1,Milestones!$AC$21),0))</f>
        <v>0</v>
      </c>
      <c r="N23" s="0" t="n">
        <f aca="false">IF(N21="",0,IF(AND(N22=Milestones!$AB$22,N21&gt;=SchemeStart),IF(AND(Milestones!$AB$22="FT",Milestones!$AA$22=FT_Y5,N21&lt;PolicyEff),1,Milestones!$AC$22),0))</f>
        <v>0</v>
      </c>
      <c r="O23" s="0" t="n">
        <f aca="false">IF(O21="",0,IF(AND(O22=Milestones!$AB$23,O21&gt;=SchemeStart),IF(AND(Milestones!$AB$23="FT",Milestones!$AA$23=FT_Y5,O21&lt;PolicyEff),1,Milestones!$AC$23),0))</f>
        <v>0</v>
      </c>
      <c r="P23" s="0" t="n">
        <f aca="false">IF(P21="",0,IF(AND(P22=Milestones!$AB$24,P21&gt;=SchemeStart),IF(AND(Milestones!$AB$24="FT",Milestones!$AA$24=FT_Y5,P21&lt;PolicyEff),1,Milestones!$AC$24),0))</f>
        <v>0</v>
      </c>
      <c r="Q23" s="0" t="n">
        <f aca="false">IF(Q21="",0,IF(AND(Q22=Milestones!$AB$25,Q21&gt;=SchemeStart),IF(AND(Milestones!$AB$25="FT",Milestones!$AA$25=FT_Y5,Q21&lt;PolicyEff),1,Milestones!$AC$25),0))</f>
        <v>0</v>
      </c>
      <c r="R23" s="0" t="n">
        <f aca="false">IF(R21="",0,IF(AND(R22=Milestones!$AB$26,R21&gt;=SchemeStart),IF(AND(Milestones!$AB$26="FT",Milestones!$AA$26=FT_Y5,R21&lt;PolicyEff),1,Milestones!$AC$26),0))</f>
        <v>0</v>
      </c>
      <c r="S23" s="0" t="n">
        <f aca="false">IF(S21="",0,IF(AND(S22=Milestones!$AB$27,S21&gt;=SchemeStart),IF(AND(Milestones!$AB$27="FT",Milestones!$AA$27=FT_Y5,S21&lt;PolicyEff),1,Milestones!$AC$27),0))</f>
        <v>0</v>
      </c>
      <c r="T23" s="0" t="n">
        <f aca="false">IF(T21="",0,IF(AND(T22=Milestones!$AB$28,T21&gt;=SchemeStart),IF(AND(Milestones!$AB$28="FT",Milestones!$AA$28=FT_Y5,T21&lt;PolicyEff),1,Milestones!$AC$28),0))</f>
        <v>0</v>
      </c>
      <c r="U23" s="0" t="n">
        <f aca="false">IF(U21="",0,IF(AND(U22=Milestones!$AB$29,U21&gt;=SchemeStart),IF(AND(Milestones!$AB$29="FT",Milestones!$AA$29=FT_Y5,U21&lt;PolicyEff),1,Milestones!$AC$29),0))</f>
        <v>0</v>
      </c>
      <c r="V23" s="0" t="n">
        <f aca="false">IF(V21="",0,IF(AND(V22=Milestones!$AB$30,V21&gt;=SchemeStart),IF(AND(Milestones!$AB$30="FT",Milestones!$AA$30=FT_Y5,V21&lt;PolicyEff),1,Milestones!$AC$30),0))</f>
        <v>0</v>
      </c>
      <c r="W23" s="0" t="n">
        <f aca="false">IF(W21="",0,IF(AND(W22=Milestones!$AB$31,W21&gt;=SchemeStart),IF(AND(Milestones!$AB$31="FT",Milestones!$AA$31=FT_Y5,W21&lt;PolicyEff),1,Milestones!$AC$31),0))</f>
        <v>0</v>
      </c>
      <c r="X23" s="0" t="n">
        <f aca="false">IF(X21="",0,IF(AND(X22=Milestones!$AB$32,X21&gt;=SchemeStart),IF(AND(Milestones!$AB$32="FT",Milestones!$AA$32=FT_Y5,X21&lt;PolicyEff),1,Milestones!$AC$32),0))</f>
        <v>0</v>
      </c>
      <c r="Y23" s="0" t="n">
        <f aca="false">IF(Y21="",0,IF(AND(Y22=Milestones!$AB$33,Y21&gt;=SchemeStart),IF(AND(Milestones!$AB$33="FT",Milestones!$AA$33=FT_Y5,Y21&lt;PolicyEff),1,Milestones!$AC$33),0))</f>
        <v>0</v>
      </c>
      <c r="Z23" s="0" t="n">
        <f aca="false">IF(Z21="",0,IF(AND(Z22=Milestones!$AB$34,Z21&gt;=SchemeStart),IF(AND(Milestones!$AB$34="FT",Milestones!$AA$34=FT_Y5,Z21&lt;PolicyEff),1,Milestones!$AC$34),0))</f>
        <v>0</v>
      </c>
      <c r="AA23" s="0" t="n">
        <f aca="false">IF(AA21="",0,IF(AND(AA22=Milestones!$AB$35,AA21&gt;=SchemeStart),IF(AND(Milestones!$AB$35="FT",Milestones!$AA$35=FT_Y5,AA21&lt;PolicyEff),1,Milestones!$AC$35),0))</f>
        <v>0</v>
      </c>
      <c r="AB23" s="0" t="n">
        <f aca="false">IF(AB21="",0,IF(AND(AB22=Milestones!$AB$36,AB21&gt;=SchemeStart),IF(AND(Milestones!$AB$36="FT",Milestones!$AA$36=FT_Y5,AB21&lt;PolicyEff),1,Milestones!$AC$36),0))</f>
        <v>0</v>
      </c>
      <c r="AC23" s="0" t="n">
        <f aca="false">IF(AC21="",0,IF(AND(AC22=Milestones!$AB$37,AC21&gt;=SchemeStart),IF(AND(Milestones!$AB$37="FT",Milestones!$AA$37=FT_Y5,AC21&lt;PolicyEff),1,Milestones!$AC$37),0))</f>
        <v>0</v>
      </c>
      <c r="AD23" s="0" t="n">
        <f aca="false">IF(AD21="",0,IF(AND(AD22=Milestones!$AB$38,AD21&gt;=SchemeStart),IF(AND(Milestones!$AB$38="FT",Milestones!$AA$38=FT_Y5,AD21&lt;PolicyEff),1,Milestones!$AC$38),0))</f>
        <v>0</v>
      </c>
      <c r="AE23" s="0" t="n">
        <f aca="false">IF(AE21="",0,IF(AND(AE22=Milestones!$AB$39,AE21&gt;=SchemeStart),IF(AND(Milestones!$AB$39="FT",Milestones!$AA$39=FT_Y5,AE21&lt;PolicyEff),1,Milestones!$AC$39),0))</f>
        <v>0</v>
      </c>
      <c r="AF23" s="0" t="n">
        <f aca="false">IF(AF21="",0,IF(AND(AF22=Milestones!$AB$40,AF21&gt;=SchemeStart),IF(AND(Milestones!$AB$40="FT",Milestones!$AA$40=FT_Y5,AF21&lt;PolicyEff),1,Milestones!$AC$40),0))</f>
        <v>0</v>
      </c>
      <c r="AG23" s="0" t="n">
        <f aca="false">IF(AG21="",0,IF(AND(AG22=Milestones!$AB$41,AG21&gt;=SchemeStart),IF(AND(Milestones!$AB$41="FT",Milestones!$AA$41=FT_Y5,AG21&lt;PolicyEff),1,Milestones!$AC$41),0))</f>
        <v>0</v>
      </c>
      <c r="AH23" s="0" t="n">
        <f aca="false">IF(AH21="",0,IF(AND(AH22=Milestones!$AB$42,AH21&gt;=SchemeStart),IF(AND(Milestones!$AB$42="FT",Milestones!$AA$42=FT_Y5,AH21&lt;PolicyEff),1,Milestones!$AC$42),0))</f>
        <v>0</v>
      </c>
      <c r="AI23" s="0" t="n">
        <f aca="false">IF(AI21="",0,IF(AND(AI22=Milestones!$AB$43,AI21&gt;=SchemeStart),IF(AND(Milestones!$AB$43="FT",Milestones!$AA$43=FT_Y5,AI21&lt;PolicyEff),1,Milestones!$AC$43),0))</f>
        <v>0</v>
      </c>
      <c r="AJ23" s="0" t="n">
        <f aca="false">IF(AJ21="",0,IF(AND(AJ22=Milestones!$AB$44,AJ21&gt;=SchemeStart),IF(AND(Milestones!$AB$44="FT",Milestones!$AA$44=FT_Y5,AJ21&lt;PolicyEff),1,Milestones!$AC$44),0))</f>
        <v>0</v>
      </c>
      <c r="AK23" s="0" t="n">
        <f aca="false">IF(AK21="",0,IF(AND(AK22=Milestones!$AB$45,AK21&gt;=SchemeStart),IF(AND(Milestones!$AB$45="FT",Milestones!$AA$45=FT_Y5,AK21&lt;PolicyEff),1,Milestones!$AC$45),0))</f>
        <v>0</v>
      </c>
      <c r="AL23" s="0" t="n">
        <f aca="false">IF(AL21="",0,IF(AND(AL22=Milestones!$AB$46,AL21&gt;=SchemeStart),IF(AND(Milestones!$AB$46="FT",Milestones!$AA$46=FT_Y5,AL21&lt;PolicyEff),1,Milestones!$AC$46),0))</f>
        <v>0</v>
      </c>
      <c r="AM23" s="0" t="n">
        <f aca="false">IF(AM21="",0,IF(AND(AM22=Milestones!$AB$47,AM21&gt;=SchemeStart),IF(AND(Milestones!$AB$47="FT",Milestones!$AA$47=FT_Y5,AM21&lt;PolicyEff),1,Milestones!$AC$47),0))</f>
        <v>0</v>
      </c>
      <c r="AN23" s="0" t="n">
        <f aca="false">IF(AN21="",0,IF(AND(AN22=Milestones!$AB$48,AN21&gt;=SchemeStart),IF(AND(Milestones!$AB$48="FT",Milestones!$AA$48=FT_Y5,AN21&lt;PolicyEff),1,Milestones!$AC$48),0))</f>
        <v>0</v>
      </c>
      <c r="AO23" s="0" t="n">
        <f aca="false">IF(AO21="",0,IF(AND(AO22=Milestones!$AB$49,AO21&gt;=SchemeStart),IF(AND(Milestones!$AB$49="FT",Milestones!$AA$49=FT_Y5,AO21&lt;PolicyEff),1,Milestones!$AC$49),0))</f>
        <v>0</v>
      </c>
      <c r="AP23" s="0" t="n">
        <f aca="false">IF(AP21="",0,IF(AND(AP22=Milestones!$AB$50,AP21&gt;=SchemeStart),IF(AND(Milestones!$AB$50="FT",Milestones!$AA$50=FT_Y5,AP21&lt;PolicyEff),1,Milestones!$AC$50),0))</f>
        <v>0</v>
      </c>
      <c r="AQ23" s="0" t="n">
        <f aca="false">IF(AQ21="",0,IF(AND(AQ22=Milestones!$AB$51,AQ21&gt;=SchemeStart),IF(AND(Milestones!$AB$51="FT",Milestones!$AA$51=FT_Y5,AQ21&lt;PolicyEff),1,Milestones!$AC$51),0))</f>
        <v>0</v>
      </c>
      <c r="AR23" s="0" t="n">
        <f aca="false">IF(AR21="",0,IF(AND(AR22=Milestones!$AB$52,AR21&gt;=SchemeStart),IF(AND(Milestones!$AB$52="FT",Milestones!$AA$52=FT_Y5,AR21&lt;PolicyEff),1,Milestones!$AC$52),0))</f>
        <v>0</v>
      </c>
      <c r="AS23" s="0" t="n">
        <f aca="false">IF(AS21="",0,IF(AND(AS22=Milestones!$AB$53,AS21&gt;=SchemeStart),IF(AND(Milestones!$AB$53="FT",Milestones!$AA$53=FT_Y5,AS21&lt;PolicyEff),1,Milestones!$AC$53),0))</f>
        <v>0</v>
      </c>
      <c r="AT23" s="0" t="n">
        <f aca="false">IF(AT21="",0,IF(AND(AT22=Milestones!$AB$54,AT21&gt;=SchemeStart),IF(AND(Milestones!$AB$54="FT",Milestones!$AA$54=FT_Y5,AT21&lt;PolicyEff),1,Milestones!$AC$54),0))</f>
        <v>0</v>
      </c>
      <c r="AU23" s="0" t="n">
        <f aca="false">IF(AU21="",0,IF(AND(AU22=Milestones!$AB$55,AU21&gt;=SchemeStart),IF(AND(Milestones!$AB$55="FT",Milestones!$AA$55=FT_Y5,AU21&lt;PolicyEff),1,Milestones!$AC$55),0))</f>
        <v>0</v>
      </c>
      <c r="AV23" s="0" t="n">
        <f aca="false">IF(AV21="",0,IF(AND(AV22=Milestones!$AB$56,AV21&gt;=SchemeStart),IF(AND(Milestones!$AB$56="FT",Milestones!$AA$56=FT_Y5,AV21&lt;PolicyEff),1,Milestones!$AC$56),0))</f>
        <v>0</v>
      </c>
      <c r="AW23" s="0" t="n">
        <f aca="false">IF(AW21="",0,IF(AND(AW22=Milestones!$AB$57,AW21&gt;=SchemeStart),IF(AND(Milestones!$AB$57="FT",Milestones!$AA$57=FT_Y5,AW21&lt;PolicyEff),1,Milestones!$AC$57),0))</f>
        <v>0</v>
      </c>
      <c r="AX23" s="0" t="n">
        <f aca="false">IF(AX21="",0,IF(AND(AX22=Milestones!$AB$58,AX21&gt;=SchemeStart),IF(AND(Milestones!$AB$58="FT",Milestones!$AA$58=FT_Y5,AX21&lt;PolicyEff),1,Milestones!$AC$58),0))</f>
        <v>0</v>
      </c>
      <c r="AY23" s="0" t="n">
        <f aca="false">IF(AY21="",0,IF(AND(AY22=Milestones!$AB$59,AY21&gt;=SchemeStart),IF(AND(Milestones!$AB$59="FT",Milestones!$AA$59=FT_Y5,AY21&lt;PolicyEff),1,Milestones!$AC$59),0))</f>
        <v>0</v>
      </c>
      <c r="AZ23" s="0" t="n">
        <f aca="false">IF(AZ21="",0,IF(AND(AZ22=Milestones!$AB$60,AZ21&gt;=SchemeStart),IF(AND(Milestones!$AB$60="FT",Milestones!$AA$60=FT_Y5,AZ21&lt;PolicyEff),1,Milestones!$AC$60),0))</f>
        <v>0</v>
      </c>
      <c r="BA23" s="0" t="n">
        <f aca="false">IF(BA21="",0,IF(AND(BA22=Milestones!$AB$61,BA21&gt;=SchemeStart),IF(AND(Milestones!$AB$61="FT",Milestones!$AA$61=FT_Y5,BA21&lt;PolicyEff),1,Milestones!$AC$61),0))</f>
        <v>0</v>
      </c>
      <c r="BB23" s="0" t="n">
        <f aca="false">IF(BB21="",0,IF(AND(BB22=Milestones!$AB$62,BB21&gt;=SchemeStart),IF(AND(Milestones!$AB$62="FT",Milestones!$AA$62=FT_Y5,BB21&lt;PolicyEff),1,Milestones!$AC$62),0))</f>
        <v>0</v>
      </c>
      <c r="BC23" s="0" t="n">
        <f aca="false">IF(BC21="",0,IF(AND(BC22=Milestones!$AB$63,BC21&gt;=SchemeStart),IF(AND(Milestones!$AB$63="FT",Milestones!$AA$63=FT_Y5,BC21&lt;PolicyEff),1,Milestones!$AC$63),0))</f>
        <v>0</v>
      </c>
      <c r="BD23" s="0" t="n">
        <f aca="false">IF(BD21="",0,IF(AND(BD22=Milestones!$AB$64,BD21&gt;=SchemeStart),IF(AND(Milestones!$AB$64="FT",Milestones!$AA$64=FT_Y5,BD21&lt;PolicyEff),1,Milestones!$AC$64),0))</f>
        <v>0</v>
      </c>
      <c r="BE23" s="0" t="n">
        <f aca="false">IF(BE21="",0,IF(AND(BE22=Milestones!$AB$65,BE21&gt;=SchemeStart),IF(AND(Milestones!$AB$65="FT",Milestones!$AA$65=FT_Y5,BE21&lt;PolicyEff),1,Milestones!$AC$65),0))</f>
        <v>0</v>
      </c>
      <c r="BF23" s="0" t="n">
        <f aca="false">IF(BF21="",0,IF(AND(BF22=Milestones!$AB$66,BF21&gt;=SchemeStart),IF(AND(Milestones!$AB$66="FT",Milestones!$AA$66=FT_Y5,BF21&lt;PolicyEff),1,Milestones!$AC$66),0))</f>
        <v>0</v>
      </c>
      <c r="BG23" s="0" t="n">
        <f aca="false">IF(BG21="",0,IF(AND(BG22=Milestones!$AB$67,BG21&gt;=SchemeStart),IF(AND(Milestones!$AB$67="FT",Milestones!$AA$67=FT_Y5,BG21&lt;PolicyEff),1,Milestones!$AC$67),0))</f>
        <v>0</v>
      </c>
      <c r="BH23" s="0" t="n">
        <f aca="false">IF(BH21="",0,IF(AND(BH22=Milestones!$AB$68,BH21&gt;=SchemeStart),IF(AND(Milestones!$AB$68="FT",Milestones!$AA$68=FT_Y5,BH21&lt;PolicyEff),1,Milestones!$AC$68),0))</f>
        <v>0</v>
      </c>
      <c r="BI23" s="0" t="n">
        <f aca="false">IF(BI21="",0,IF(AND(BI22=Milestones!$AB$69,BI21&gt;=SchemeStart),IF(AND(Milestones!$AB$69="FT",Milestones!$AA$69=FT_Y5,BI21&lt;PolicyEff),1,Milestones!$AC$69),0))</f>
        <v>0</v>
      </c>
      <c r="BJ23" s="0" t="n">
        <f aca="false">IF(BJ21="",0,IF(AND(BJ22=Milestones!$AB$70,BJ21&gt;=SchemeStart),IF(AND(Milestones!$AB$70="FT",Milestones!$AA$70=FT_Y5,BJ21&lt;PolicyEff),1,Milestones!$AC$70),0))</f>
        <v>0</v>
      </c>
      <c r="BK23" s="0" t="n">
        <f aca="false">IF(BK21="",0,IF(AND(BK22=Milestones!$AB$71,BK21&gt;=SchemeStart),IF(AND(Milestones!$AB$71="FT",Milestones!$AA$71=FT_Y5,BK21&lt;PolicyEff),1,Milestones!$AC$71),0))</f>
        <v>0</v>
      </c>
      <c r="BL23" s="0" t="n">
        <f aca="false">IF(BL21="",0,IF(AND(BL22=Milestones!$AB$72,BL21&gt;=SchemeStart),IF(AND(Milestones!$AB$72="FT",Milestones!$AA$72=FT_Y5,BL21&lt;PolicyEff),1,Milestones!$AC$72),0))</f>
        <v>0</v>
      </c>
      <c r="BM23" s="0" t="n">
        <f aca="false">IF(BM21="",0,IF(AND(BM22=Milestones!$AB$73,BM21&gt;=SchemeStart),IF(AND(Milestones!$AB$73="FT",Milestones!$AA$73=FT_Y5,BM21&lt;PolicyEff),1,Milestones!$AC$73),0))</f>
        <v>0</v>
      </c>
      <c r="BN23" s="0" t="n">
        <f aca="false">IF(BN21="",0,IF(AND(BN22=Milestones!$AB$74,BN21&gt;=SchemeStart),IF(AND(Milestones!$AB$74="FT",Milestones!$AA$74=FT_Y5,BN21&lt;PolicyEff),1,Milestones!$AC$74),0))</f>
        <v>0</v>
      </c>
      <c r="BO23" s="0" t="n">
        <f aca="false">IF(BO21="",0,IF(AND(BO22=Milestones!$AB$75,BO21&gt;=SchemeStart),IF(AND(Milestones!$AB$75="FT",Milestones!$AA$75=FT_Y5,BO21&lt;PolicyEff),1,Milestones!$AC$75),0))</f>
        <v>0</v>
      </c>
      <c r="BP23" s="0" t="n">
        <f aca="false">IF(BP21="",0,IF(AND(BP22=Milestones!$AB$76,BP21&gt;=SchemeStart),IF(AND(Milestones!$AB$76="FT",Milestones!$AA$76=FT_Y5,BP21&lt;PolicyEff),1,Milestones!$AC$76),0))</f>
        <v>0</v>
      </c>
      <c r="BQ23" s="0" t="n">
        <f aca="false">IF(BQ21="",0,IF(AND(BQ22=Milestones!$AB$77,BQ21&gt;=SchemeStart),IF(AND(Milestones!$AB$77="FT",Milestones!$AA$77=FT_Y5,BQ21&lt;PolicyEff),1,Milestones!$AC$77),0))</f>
        <v>0</v>
      </c>
      <c r="BR23" s="0" t="n">
        <f aca="false">IF(BR21="",0,IF(AND(BR22=Milestones!$AB$78,BR21&gt;=SchemeStart),IF(AND(Milestones!$AB$78="FT",Milestones!$AA$78=FT_Y5,BR21&lt;PolicyEff),1,Milestones!$AC$78),0))</f>
        <v>0</v>
      </c>
      <c r="BS23" s="0" t="n">
        <f aca="false">IF(BS21="",0,IF(AND(BS22=Milestones!$AB$79,BS21&gt;=SchemeStart),IF(AND(Milestones!$AB$79="FT",Milestones!$AA$79=FT_Y5,BS21&lt;PolicyEff),1,Milestones!$AC$79),0))</f>
        <v>0</v>
      </c>
      <c r="BT23" s="0" t="n">
        <f aca="false">IF(BT21="",0,IF(AND(BT22=Milestones!$AB$80,BT21&gt;=SchemeStart),IF(AND(Milestones!$AB$80="FT",Milestones!$AA$80=FT_Y5,BT21&lt;PolicyEff),1,Milestones!$AC$80),0))</f>
        <v>0</v>
      </c>
      <c r="BU23" s="0" t="n">
        <f aca="false">IF(BU21="",0,IF(AND(BU22=Milestones!$AB$81,BU21&gt;=SchemeStart),IF(AND(Milestones!$AB$81="FT",Milestones!$AA$81=FT_Y5,BU21&lt;PolicyEff),1,Milestones!$AC$81),0))</f>
        <v>0</v>
      </c>
      <c r="BV23" s="0" t="n">
        <f aca="false">IF(BV21="",0,IF(AND(BV22=Milestones!$AB$82,BV21&gt;=SchemeStart),IF(AND(Milestones!$AB$82="FT",Milestones!$AA$82=FT_Y5,BV21&lt;PolicyEff),1,Milestones!$AC$82),0))</f>
        <v>0</v>
      </c>
      <c r="BW23" s="0" t="n">
        <f aca="false">IF(BW21="",0,IF(AND(BW22=Milestones!$AB$83,BW21&gt;=SchemeStart),IF(AND(Milestones!$AB$83="FT",Milestones!$AA$83=FT_Y5,BW21&lt;PolicyEff),1,Milestones!$AC$83),0))</f>
        <v>0</v>
      </c>
      <c r="BX23" s="0" t="n">
        <f aca="false">IF(BX21="",0,IF(AND(BX22=Milestones!$AB$84,BX21&gt;=SchemeStart),IF(AND(Milestones!$AB$84="FT",Milestones!$AA$84=FT_Y5,BX21&lt;PolicyEff),1,Milestones!$AC$84),0))</f>
        <v>0</v>
      </c>
      <c r="BY23" s="0" t="n">
        <f aca="false">IF(BY21="",0,IF(AND(BY22=Milestones!$AB$85,BY21&gt;=SchemeStart),IF(AND(Milestones!$AB$85="FT",Milestones!$AA$85=FT_Y5,BY21&lt;PolicyEff),1,Milestones!$AC$85),0))</f>
        <v>0</v>
      </c>
      <c r="BZ23" s="0" t="n">
        <f aca="false">IF(BZ21="",0,IF(AND(BZ22=Milestones!$AB$86,BZ21&gt;=SchemeStart),IF(AND(Milestones!$AB$86="FT",Milestones!$AA$86=FT_Y5,BZ21&lt;PolicyEff),1,Milestones!$AC$86),0))</f>
        <v>0</v>
      </c>
      <c r="CA23" s="0" t="n">
        <f aca="false">IF(CA21="",0,IF(AND(CA22=Milestones!$AB$87,CA21&gt;=SchemeStart),IF(AND(Milestones!$AB$87="FT",Milestones!$AA$87=FT_Y5,CA21&lt;PolicyEff),1,Milestones!$AC$87),0))</f>
        <v>0</v>
      </c>
      <c r="CB23" s="0" t="n">
        <f aca="false">IF(CB21="",0,IF(AND(CB22=Milestones!$AB$88,CB21&gt;=SchemeStart),IF(AND(Milestones!$AB$88="FT",Milestones!$AA$88=FT_Y5,CB21&lt;PolicyEff),1,Milestones!$AC$88),0))</f>
        <v>0</v>
      </c>
      <c r="CC23" s="0" t="n">
        <f aca="false">IF(CC21="",0,IF(AND(CC22=Milestones!$AB$89,CC21&gt;=SchemeStart),IF(AND(Milestones!$AB$89="FT",Milestones!$AA$89=FT_Y5,CC21&lt;PolicyEff),1,Milestones!$AC$89),0))</f>
        <v>0</v>
      </c>
      <c r="CD23" s="0" t="n">
        <f aca="false">IF(CD21="",0,IF(AND(CD22=Milestones!$AB$90,CD21&gt;=SchemeStart),IF(AND(Milestones!$AB$90="FT",Milestones!$AA$90=FT_Y5,CD21&lt;PolicyEff),1,Milestones!$AC$90),0))</f>
        <v>0</v>
      </c>
      <c r="CE23" s="0" t="n">
        <f aca="false">IF(CE21="",0,IF(AND(CE22=Milestones!$AB$91,CE21&gt;=SchemeStart),IF(AND(Milestones!$AB$91="FT",Milestones!$AA$91=FT_Y5,CE21&lt;PolicyEff),1,Milestones!$AC$91),0))</f>
        <v>0</v>
      </c>
      <c r="CF23" s="0" t="n">
        <f aca="false">IF(CF21="",0,IF(AND(CF22=Milestones!$AB$92,CF21&gt;=SchemeStart),IF(AND(Milestones!$AB$92="FT",Milestones!$AA$92=FT_Y5,CF21&lt;PolicyEff),1,Milestones!$AC$92),0))</f>
        <v>0</v>
      </c>
      <c r="CG23" s="0" t="n">
        <f aca="false">IF(CG21="",0,IF(AND(CG22=Milestones!$AB$93,CG21&gt;=SchemeStart),IF(AND(Milestones!$AB$93="FT",Milestones!$AA$93=FT_Y5,CG21&lt;PolicyEff),1,Milestones!$AC$93),0))</f>
        <v>0</v>
      </c>
      <c r="CH23" s="0" t="n">
        <f aca="false">IF(CH21="",0,IF(AND(CH22=Milestones!$AB$94,CH21&gt;=SchemeStart),IF(AND(Milestones!$AB$94="FT",Milestones!$AA$94=FT_Y5,CH21&lt;PolicyEff),1,Milestones!$AC$94),0))</f>
        <v>0</v>
      </c>
      <c r="CI23" s="0" t="n">
        <f aca="false">IF(CI21="",0,IF(AND(CI22=Milestones!$AB$95,CI21&gt;=SchemeStart),IF(AND(Milestones!$AB$95="FT",Milestones!$AA$95=FT_Y5,CI21&lt;PolicyEff),1,Milestones!$AC$95),0))</f>
        <v>0</v>
      </c>
      <c r="CJ23" s="0" t="n">
        <f aca="false">IF(CJ21="",0,IF(AND(CJ22=Milestones!$AB$96,CJ21&gt;=SchemeStart),IF(AND(Milestones!$AB$96="FT",Milestones!$AA$96=FT_Y5,CJ21&lt;PolicyEff),1,Milestones!$AC$96),0))</f>
        <v>0</v>
      </c>
      <c r="CK23" s="0" t="n">
        <f aca="false">IF(CK21="",0,IF(AND(CK22=Milestones!$AB$97,CK21&gt;=SchemeStart),IF(AND(Milestones!$AB$97="FT",Milestones!$AA$97=FT_Y5,CK21&lt;PolicyEff),1,Milestones!$AC$97),0))</f>
        <v>0</v>
      </c>
      <c r="CL23" s="0" t="n">
        <f aca="false">IF(CL21="",0,IF(AND(CL22=Milestones!$AB$98,CL21&gt;=SchemeStart),IF(AND(Milestones!$AB$98="FT",Milestones!$AA$98=FT_Y5,CL21&lt;PolicyEff),1,Milestones!$AC$98),0))</f>
        <v>0</v>
      </c>
      <c r="CM23" s="0" t="n">
        <f aca="false">IF(CM21="",0,IF(AND(CM22=Milestones!$AB$99,CM21&gt;=SchemeStart),IF(AND(Milestones!$AB$99="FT",Milestones!$AA$99=FT_Y5,CM21&lt;PolicyEff),1,Milestones!$AC$99),0))</f>
        <v>0</v>
      </c>
      <c r="CN23" s="0" t="n">
        <f aca="false">IF(CN21="",0,IF(AND(CN22=Milestones!$AB$100,CN21&gt;=SchemeStart),IF(AND(Milestones!$AB$100="FT",Milestones!$AA$100=FT_Y5,CN21&lt;PolicyEff),1,Milestones!$AC$100),0))</f>
        <v>0</v>
      </c>
      <c r="CO23" s="0" t="n">
        <f aca="false">IF(CO21="",0,IF(AND(CO22=Milestones!$AB$101,CO21&gt;=SchemeStart),IF(AND(Milestones!$AB$101="FT",Milestones!$AA$101=FT_Y5,CO21&lt;PolicyEff),1,Milestones!$AC$101),0))</f>
        <v>0</v>
      </c>
      <c r="CP23" s="0" t="n">
        <f aca="false">IF(CP21="",0,IF(AND(CP22=Milestones!$AB$102,CP21&gt;=SchemeStart),IF(AND(Milestones!$AB$102="FT",Milestones!$AA$102=FT_Y5,CP21&lt;PolicyEff),1,Milestones!$AC$102),0))</f>
        <v>0</v>
      </c>
      <c r="CQ23" s="0" t="n">
        <f aca="false">IF(CQ21="",0,IF(AND(CQ22=Milestones!$AB$103,CQ21&gt;=SchemeStart),IF(AND(Milestones!$AB$103="FT",Milestones!$AA$103=FT_Y5,CQ21&lt;PolicyEff),1,Milestones!$AC$103),0))</f>
        <v>0</v>
      </c>
      <c r="CR23" s="0" t="n">
        <f aca="false">IF(CR21="",0,IF(AND(CR22=Milestones!$AB$104,CR21&gt;=SchemeStart),IF(AND(Milestones!$AB$104="FT",Milestones!$AA$104=FT_Y5,CR21&lt;PolicyEff),1,Milestones!$AC$104),0))</f>
        <v>0</v>
      </c>
      <c r="CS23" s="0" t="n">
        <f aca="false">IF(CS21="",0,IF(AND(CS22=Milestones!$AB$105,CS21&gt;=SchemeStart),IF(AND(Milestones!$AB$105="FT",Milestones!$AA$105=FT_Y5,CS21&lt;PolicyEff),1,Milestones!$AC$105),0))</f>
        <v>0</v>
      </c>
      <c r="CT23" s="0" t="n">
        <f aca="false">IF(CT21="",0,IF(AND(CT22=Milestones!$AB$106,CT21&gt;=SchemeStart),IF(AND(Milestones!$AB$106="FT",Milestones!$AA$106=FT_Y5,CT21&lt;PolicyEff),1,Milestones!$AC$106),0))</f>
        <v>0</v>
      </c>
      <c r="CU23" s="0" t="n">
        <f aca="false">IF(CU21="",0,IF(AND(CU22=Milestones!$AB$107,CU21&gt;=SchemeStart),IF(AND(Milestones!$AB$107="FT",Milestones!$AA$107=FT_Y5,CU21&lt;PolicyEff),1,Milestones!$AC$107),0))</f>
        <v>0</v>
      </c>
      <c r="CV23" s="0" t="n">
        <f aca="false">IF(CV21="",0,IF(AND(CV22=Milestones!$AB$108,CV21&gt;=SchemeStart),IF(AND(Milestones!$AB$108="FT",Milestones!$AA$108=FT_Y5,CV21&lt;PolicyEff),1,Milestones!$AC$108),0))</f>
        <v>0</v>
      </c>
      <c r="CW23" s="0" t="n">
        <f aca="false">IF(CW21="",0,IF(AND(CW22=Milestones!$AB$109,CW21&gt;=SchemeStart),IF(AND(Milestones!$AB$109="FT",Milestones!$AA$109=FT_Y5,CW21&lt;PolicyEff),1,Milestones!$AC$109),0))</f>
        <v>0</v>
      </c>
      <c r="CX23" s="0" t="n">
        <f aca="false">IF(CX21="",0,IF(AND(CX22=Milestones!$AB$110,CX21&gt;=SchemeStart),IF(AND(Milestones!$AB$110="FT",Milestones!$AA$110=FT_Y5,CX21&lt;PolicyEff),1,Milestones!$AC$110),0))</f>
        <v>0</v>
      </c>
      <c r="CY23" s="0" t="n">
        <f aca="false">IF(CY21="",0,IF(AND(CY22=Milestones!$AB$111,CY21&gt;=SchemeStart),IF(AND(Milestones!$AB$111="FT",Milestones!$AA$111=FT_Y5,CY21&lt;PolicyEff),1,Milestones!$AC$111),0))</f>
        <v>0</v>
      </c>
      <c r="CZ23" s="0" t="n">
        <f aca="false">IF(CZ21="",0,IF(AND(CZ22=Milestones!$AB$112,CZ21&gt;=SchemeStart),IF(AND(Milestones!$AB$112="FT",Milestones!$AA$112=FT_Y5,CZ21&lt;PolicyEff),1,Milestones!$AC$112),0))</f>
        <v>0</v>
      </c>
      <c r="DA23" s="0" t="n">
        <f aca="false">IF(DA21="",0,IF(AND(DA22=Milestones!$AB$113,DA21&gt;=SchemeStart),IF(AND(Milestones!$AB$113="FT",Milestones!$AA$113=FT_Y5,DA21&lt;PolicyEff),1,Milestones!$AC$113),0))</f>
        <v>0</v>
      </c>
      <c r="DB23" s="0" t="n">
        <f aca="false">IF(DB21="",0,IF(AND(DB22=Milestones!$AB$114,DB21&gt;=SchemeStart),IF(AND(Milestones!$AB$114="FT",Milestones!$AA$114=FT_Y5,DB21&lt;PolicyEff),1,Milestones!$AC$114),0))</f>
        <v>0</v>
      </c>
      <c r="DC23" s="0" t="n">
        <f aca="false">IF(DC21="",0,IF(AND(DC22=Milestones!$AB$115,DC21&gt;=SchemeStart),IF(AND(Milestones!$AB$115="FT",Milestones!$AA$115=FT_Y5,DC21&lt;PolicyEff),1,Milestones!$AC$115),0))</f>
        <v>0</v>
      </c>
      <c r="DD23" s="0" t="n">
        <f aca="false">IF(DD21="",0,IF(AND(DD22=Milestones!$AB$116,DD21&gt;=SchemeStart),IF(AND(Milestones!$AB$116="FT",Milestones!$AA$116=FT_Y5,DD21&lt;PolicyEff),1,Milestones!$AC$116),0))</f>
        <v>0</v>
      </c>
      <c r="DE23" s="0" t="n">
        <f aca="false">IF(DE21="",0,IF(AND(DE22=Milestones!$AB$117,DE21&gt;=SchemeStart),IF(AND(Milestones!$AB$117="FT",Milestones!$AA$117=FT_Y5,DE21&lt;PolicyEff),1,Milestones!$AC$117),0))</f>
        <v>0</v>
      </c>
      <c r="DF23" s="0" t="n">
        <f aca="false">IF(DF21="",0,IF(AND(DF22=Milestones!$AB$118,DF21&gt;=SchemeStart),IF(AND(Milestones!$AB$118="FT",Milestones!$AA$118=FT_Y5,DF21&lt;PolicyEff),1,Milestones!$AC$118),0))</f>
        <v>0</v>
      </c>
      <c r="DG23" s="0" t="n">
        <f aca="false">IF(DG21="",0,IF(AND(DG22=Milestones!$AB$119,DG21&gt;=SchemeStart),IF(AND(Milestones!$AB$119="FT",Milestones!$AA$119=FT_Y5,DG21&lt;PolicyEff),1,Milestones!$AC$119),0))</f>
        <v>0</v>
      </c>
      <c r="DH23" s="0" t="n">
        <f aca="false">IF(DH21="",0,IF(AND(DH22=Milestones!$AB$120,DH21&gt;=SchemeStart),IF(AND(Milestones!$AB$120="FT",Milestones!$AA$120=FT_Y5,DH21&lt;PolicyEff),1,Milestones!$AC$120),0))</f>
        <v>0</v>
      </c>
      <c r="DI23" s="0" t="n">
        <f aca="false">IF(DI21="",0,IF(AND(DI22=Milestones!$AB$121,DI21&gt;=SchemeStart),IF(AND(Milestones!$AB$121="FT",Milestones!$AA$121=FT_Y5,DI21&lt;PolicyEff),1,Milestones!$AC$121),0))</f>
        <v>0</v>
      </c>
      <c r="DJ23" s="0" t="n">
        <f aca="false">IF(DJ21="",0,IF(AND(DJ22=Milestones!$AB$122,DJ21&gt;=SchemeStart),IF(AND(Milestones!$AB$122="FT",Milestones!$AA$122=FT_Y5,DJ21&lt;PolicyEff),1,Milestones!$AC$122),0))</f>
        <v>0</v>
      </c>
      <c r="DK23" s="0" t="n">
        <f aca="false">IF(DK21="",0,IF(AND(DK22=Milestones!$AB$123,DK21&gt;=SchemeStart),IF(AND(Milestones!$AB$123="FT",Milestones!$AA$123=FT_Y5,DK21&lt;PolicyEff),1,Milestones!$AC$123),0))</f>
        <v>0</v>
      </c>
      <c r="DL23" s="0" t="n">
        <f aca="false">IF(DL21="",0,IF(AND(DL22=Milestones!$AB$124,DL21&gt;=SchemeStart),IF(AND(Milestones!$AB$124="FT",Milestones!$AA$124=FT_Y5,DL21&lt;PolicyEff),1,Milestones!$AC$124),0))</f>
        <v>0</v>
      </c>
      <c r="DM23" s="0" t="n">
        <f aca="false">IF(DM21="",0,IF(AND(DM22=Milestones!$AB$125,DM21&gt;=SchemeStart),IF(AND(Milestones!$AB$125="FT",Milestones!$AA$125=FT_Y5,DM21&lt;PolicyEff),1,Milestones!$AC$125),0))</f>
        <v>0</v>
      </c>
      <c r="DN23" s="0" t="n">
        <f aca="false">IF(DN21="",0,IF(AND(DN22=Milestones!$AB$126,DN21&gt;=SchemeStart),IF(AND(Milestones!$AB$126="FT",Milestones!$AA$126=FT_Y5,DN21&lt;PolicyEff),1,Milestones!$AC$126),0))</f>
        <v>0</v>
      </c>
      <c r="DO23" s="0" t="n">
        <f aca="false">IF(DO21="",0,IF(AND(DO22=Milestones!$AB$127,DO21&gt;=SchemeStart),IF(AND(Milestones!$AB$127="FT",Milestones!$AA$127=FT_Y5,DO21&lt;PolicyEff),1,Milestones!$AC$127),0))</f>
        <v>0</v>
      </c>
      <c r="DP23" s="0" t="n">
        <f aca="false">IF(DP21="",0,IF(AND(DP22=Milestones!$AB$128,DP21&gt;=SchemeStart),IF(AND(Milestones!$AB$128="FT",Milestones!$AA$128=FT_Y5,DP21&lt;PolicyEff),1,Milestones!$AC$128),0))</f>
        <v>0</v>
      </c>
      <c r="DQ23" s="0" t="n">
        <f aca="false">IF(DQ21="",0,IF(AND(DQ22=Milestones!$AB$129,DQ21&gt;=SchemeStart),IF(AND(Milestones!$AB$129="FT",Milestones!$AA$129=FT_Y5,DQ21&lt;PolicyEff),1,Milestones!$AC$129),0))</f>
        <v>0</v>
      </c>
      <c r="DR23" s="0" t="n">
        <f aca="false">IF(DR21="",0,IF(AND(DR22=Milestones!$AB$130,DR21&gt;=SchemeStart),IF(AND(Milestones!$AB$130="FT",Milestones!$AA$130=FT_Y5,DR21&lt;PolicyEff),1,Milestones!$AC$130),0))</f>
        <v>0</v>
      </c>
      <c r="DS23" s="0" t="n">
        <f aca="false">IF(DS21="",0,IF(AND(DS22=Milestones!$AB$131,DS21&gt;=SchemeStart),IF(AND(Milestones!$AB$131="FT",Milestones!$AA$131=FT_Y5,DS21&lt;PolicyEff),1,Milestones!$AC$131),0))</f>
        <v>0</v>
      </c>
      <c r="DT23" s="0" t="n">
        <f aca="false">IF(DT21="",0,IF(AND(DT22=Milestones!$AB$132,DT21&gt;=SchemeStart),IF(AND(Milestones!$AB$132="FT",Milestones!$AA$132=FT_Y5,DT21&lt;PolicyEff),1,Milestones!$AC$132),0))</f>
        <v>0</v>
      </c>
      <c r="DU23" s="0" t="n">
        <f aca="false">IF(DU21="",0,IF(AND(DU22=Milestones!$AB$133,DU21&gt;=SchemeStart),IF(AND(Milestones!$AB$133="FT",Milestones!$AA$133=FT_Y5,DU21&lt;PolicyEff),1,Milestones!$AC$133),0))</f>
        <v>0</v>
      </c>
      <c r="DV23" s="0" t="n">
        <f aca="false">IF(DV21="",0,IF(AND(DV22=Milestones!$AB$134,DV21&gt;=SchemeStart),IF(AND(Milestones!$AB$134="FT",Milestones!$AA$134=FT_Y5,DV21&lt;PolicyEff),1,Milestones!$AC$134),0))</f>
        <v>0</v>
      </c>
      <c r="DW23" s="0" t="n">
        <f aca="false">IF(DW21="",0,IF(AND(DW22=Milestones!$AB$135,DW21&gt;=SchemeStart),IF(AND(Milestones!$AB$135="FT",Milestones!$AA$135=FT_Y5,DW21&lt;PolicyEff),1,Milestones!$AC$135),0))</f>
        <v>0</v>
      </c>
      <c r="DX23" s="0" t="n">
        <f aca="false">IF(DX21="",0,IF(AND(DX22=Milestones!$AB$136,DX21&gt;=SchemeStart),IF(AND(Milestones!$AB$136="FT",Milestones!$AA$136=FT_Y5,DX21&lt;PolicyEff),1,Milestones!$AC$136),0))</f>
        <v>0</v>
      </c>
      <c r="DY23" s="0" t="n">
        <f aca="false">IF(DY21="",0,IF(AND(DY22=Milestones!$AB$137,DY21&gt;=SchemeStart),IF(AND(Milestones!$AB$137="FT",Milestones!$AA$137=FT_Y5,DY21&lt;PolicyEff),1,Milestones!$AC$137),0))</f>
        <v>0</v>
      </c>
      <c r="DZ23" s="0" t="n">
        <f aca="false">IF(DZ21="",0,IF(AND(DZ22=Milestones!$AB$138,DZ21&gt;=SchemeStart),IF(AND(Milestones!$AB$138="FT",Milestones!$AA$138=FT_Y5,DZ21&lt;PolicyEff),1,Milestones!$AC$138),0))</f>
        <v>0</v>
      </c>
      <c r="EA23" s="0" t="n">
        <f aca="false">IF(EA21="",0,IF(AND(EA22=Milestones!$AB$139,EA21&gt;=SchemeStart),IF(AND(Milestones!$AB$139="FT",Milestones!$AA$139=FT_Y5,EA21&lt;PolicyEff),1,Milestones!$AC$139),0))</f>
        <v>0</v>
      </c>
      <c r="EB23" s="0" t="n">
        <f aca="false">IF(EB21="",0,IF(AND(EB22=Milestones!$AB$140,EB21&gt;=SchemeStart),IF(AND(Milestones!$AB$140="FT",Milestones!$AA$140=FT_Y5,EB21&lt;PolicyEff),1,Milestones!$AC$140),0))</f>
        <v>0</v>
      </c>
      <c r="EC23" s="0" t="n">
        <f aca="false">IF(EC21="",0,IF(AND(EC22=Milestones!$AB$141,EC21&gt;=SchemeStart),IF(AND(Milestones!$AB$141="FT",Milestones!$AA$141=FT_Y5,EC21&lt;PolicyEff),1,Milestones!$AC$141),0))</f>
        <v>0</v>
      </c>
      <c r="ED23" s="0" t="n">
        <f aca="false">IF(ED21="",0,IF(AND(ED22=Milestones!$AB$142,ED21&gt;=SchemeStart),IF(AND(Milestones!$AB$142="FT",Milestones!$AA$142=FT_Y5,ED21&lt;PolicyEff),1,Milestones!$AC$142),0))</f>
        <v>0</v>
      </c>
      <c r="EE23" s="0" t="n">
        <f aca="false">IF(EE21="",0,IF(AND(EE22=Milestones!$AB$143,EE21&gt;=SchemeStart),IF(AND(Milestones!$AB$143="FT",Milestones!$AA$143=FT_Y5,EE21&lt;PolicyEff),1,Milestones!$AC$143),0))</f>
        <v>0</v>
      </c>
      <c r="EF23" s="0" t="n">
        <f aca="false">IF(EF21="",0,IF(AND(EF22=Milestones!$AB$144,EF21&gt;=SchemeStart),IF(AND(Milestones!$AB$144="FT",Milestones!$AA$144=FT_Y5,EF21&lt;PolicyEff),1,Milestones!$AC$144),0))</f>
        <v>0</v>
      </c>
      <c r="EG23" s="0" t="n">
        <f aca="false">IF(EG21="",0,IF(AND(EG22=Milestones!$AB$145,EG21&gt;=SchemeStart),IF(AND(Milestones!$AB$145="FT",Milestones!$AA$145=FT_Y5,EG21&lt;PolicyEff),1,Milestones!$AC$145),0))</f>
        <v>0</v>
      </c>
      <c r="EH23" s="0" t="n">
        <f aca="false">IF(EH21="",0,IF(AND(EH22=Milestones!$AB$146,EH21&gt;=SchemeStart),IF(AND(Milestones!$AB$146="FT",Milestones!$AA$146=FT_Y5,EH21&lt;PolicyEff),1,Milestones!$AC$146),0))</f>
        <v>0</v>
      </c>
      <c r="EI23" s="0" t="n">
        <f aca="false">IF(EI21="",0,IF(AND(EI22=Milestones!$AB$147,EI21&gt;=SchemeStart),IF(AND(Milestones!$AB$147="FT",Milestones!$AA$147=FT_Y5,EI21&lt;PolicyEff),1,Milestones!$AC$147),0))</f>
        <v>0</v>
      </c>
      <c r="EJ23" s="0" t="n">
        <f aca="false">IF(EJ21="",0,IF(AND(EJ22=Milestones!$AB$148,EJ21&gt;=SchemeStart),IF(AND(Milestones!$AB$148="FT",Milestones!$AA$148=FT_Y5,EJ21&lt;PolicyEff),1,Milestones!$AC$148),0))</f>
        <v>0</v>
      </c>
      <c r="EK23" s="0" t="n">
        <f aca="false">IF(EK21="",0,IF(AND(EK22=Milestones!$AB$149,EK21&gt;=SchemeStart),IF(AND(Milestones!$AB$149="FT",Milestones!$AA$149=FT_Y5,EK21&lt;PolicyEff),1,Milestones!$AC$149),0))</f>
        <v>0</v>
      </c>
      <c r="EL23" s="0" t="n">
        <f aca="false">IF(EL21="",0,IF(AND(EL22=Milestones!$AB$150,EL21&gt;=SchemeStart),IF(AND(Milestones!$AB$150="FT",Milestones!$AA$150=FT_Y5,EL21&lt;PolicyEff),1,Milestones!$AC$150),0))</f>
        <v>0</v>
      </c>
      <c r="EM23" s="0" t="n">
        <f aca="false">IF(EM21="",0,IF(AND(EM22=Milestones!$AB$151,EM21&gt;=SchemeStart),IF(AND(Milestones!$AB$151="FT",Milestones!$AA$151=FT_Y5,EM21&lt;PolicyEff),1,Milestones!$AC$151),0))</f>
        <v>0</v>
      </c>
      <c r="EN23" s="0" t="n">
        <f aca="false">IF(EN21="",0,IF(AND(EN22=Milestones!$AB$152,EN21&gt;=SchemeStart),IF(AND(Milestones!$AB$152="FT",Milestones!$AA$152=FT_Y5,EN21&lt;PolicyEff),1,Milestones!$AC$152),0))</f>
        <v>0</v>
      </c>
      <c r="EO23" s="0" t="n">
        <f aca="false">IF(EO21="",0,IF(AND(EO22=Milestones!$AB$153,EO21&gt;=SchemeStart),IF(AND(Milestones!$AB$153="FT",Milestones!$AA$153=FT_Y5,EO21&lt;PolicyEff),1,Milestones!$AC$153),0))</f>
        <v>0</v>
      </c>
      <c r="EP23" s="0" t="n">
        <f aca="false">IF(EP21="",0,IF(AND(EP22=Milestones!$AB$154,EP21&gt;=SchemeStart),IF(AND(Milestones!$AB$154="FT",Milestones!$AA$154=FT_Y5,EP21&lt;PolicyEff),1,Milestones!$AC$154),0))</f>
        <v>0</v>
      </c>
      <c r="EQ23" s="0" t="n">
        <f aca="false">IF(EQ21="",0,IF(AND(EQ22=Milestones!$AB$155,EQ21&gt;=SchemeStart),IF(AND(Milestones!$AB$155="FT",Milestones!$AA$155=FT_Y5,EQ21&lt;PolicyEff),1,Milestones!$AC$155),0))</f>
        <v>0</v>
      </c>
      <c r="ER23" s="0" t="n">
        <f aca="false">IF(ER21="",0,IF(AND(ER22=Milestones!$AB$156,ER21&gt;=SchemeStart),IF(AND(Milestones!$AB$156="FT",Milestones!$AA$156=FT_Y5,ER21&lt;PolicyEff),1,Milestones!$AC$156),0))</f>
        <v>0</v>
      </c>
      <c r="ES23" s="0" t="n">
        <f aca="false">IF(ES21="",0,IF(AND(ES22=Milestones!$AB$157,ES21&gt;=SchemeStart),IF(AND(Milestones!$AB$157="FT",Milestones!$AA$157=FT_Y5,ES21&lt;PolicyEff),1,Milestones!$AC$157),0))</f>
        <v>0</v>
      </c>
      <c r="ET23" s="0" t="n">
        <f aca="false">IF(ET21="",0,IF(AND(ET22=Milestones!$AB$158,ET21&gt;=SchemeStart),IF(AND(Milestones!$AB$158="FT",Milestones!$AA$158=FT_Y5,ET21&lt;PolicyEff),1,Milestones!$AC$158),0))</f>
        <v>0</v>
      </c>
      <c r="EU23" s="0" t="n">
        <f aca="false">IF(EU21="",0,IF(AND(EU22=Milestones!$AB$159,EU21&gt;=SchemeStart),IF(AND(Milestones!$AB$159="FT",Milestones!$AA$159=FT_Y5,EU21&lt;PolicyEff),1,Milestones!$AC$159),0))</f>
        <v>0</v>
      </c>
      <c r="EV23" s="0" t="n">
        <f aca="false">IF(EV21="",0,IF(AND(EV22=Milestones!$AB$160,EV21&gt;=SchemeStart),IF(AND(Milestones!$AB$160="FT",Milestones!$AA$160=FT_Y5,EV21&lt;PolicyEff),1,Milestones!$AC$160),0))</f>
        <v>0</v>
      </c>
      <c r="EW23" s="0" t="n">
        <f aca="false">IF(EW21="",0,IF(AND(EW22=Milestones!$AB$161,EW21&gt;=SchemeStart),IF(AND(Milestones!$AB$161="FT",Milestones!$AA$161=FT_Y5,EW21&lt;PolicyEff),1,Milestones!$AC$161),0))</f>
        <v>0</v>
      </c>
      <c r="EX23" s="0" t="n">
        <f aca="false">IF(EX21="",0,IF(AND(EX22=Milestones!$AB$162,EX21&gt;=SchemeStart),IF(AND(Milestones!$AB$162="FT",Milestones!$AA$162=FT_Y5,EX21&lt;PolicyEff),1,Milestones!$AC$162),0))</f>
        <v>0</v>
      </c>
      <c r="EY23" s="0" t="n">
        <f aca="false">IF(EY21="",0,IF(AND(EY22=Milestones!$AB$163,EY21&gt;=SchemeStart),IF(AND(Milestones!$AB$163="FT",Milestones!$AA$163=FT_Y5,EY21&lt;PolicyEff),1,Milestones!$AC$163),0))</f>
        <v>0</v>
      </c>
      <c r="EZ23" s="0" t="n">
        <f aca="false">IF(EZ21="",0,IF(AND(EZ22=Milestones!$AB$164,EZ21&gt;=SchemeStart),IF(AND(Milestones!$AB$164="FT",Milestones!$AA$164=FT_Y5,EZ21&lt;PolicyEff),1,Milestones!$AC$164),0))</f>
        <v>0</v>
      </c>
      <c r="FA23" s="0" t="n">
        <f aca="false">IF(FA21="",0,IF(AND(FA22=Milestones!$AB$165,FA21&gt;=SchemeStart),IF(AND(Milestones!$AB$165="FT",Milestones!$AA$165=FT_Y5,FA21&lt;PolicyEff),1,Milestones!$AC$165),0))</f>
        <v>0</v>
      </c>
      <c r="FB23" s="0" t="n">
        <f aca="false">IF(FB21="",0,IF(AND(FB22=Milestones!$AB$166,FB21&gt;=SchemeStart),IF(AND(Milestones!$AB$166="FT",Milestones!$AA$166=FT_Y5,FB21&lt;PolicyEff),1,Milestones!$AC$166),0))</f>
        <v>0</v>
      </c>
      <c r="FC23" s="0" t="n">
        <f aca="false">IF(FC21="",0,IF(AND(FC22=Milestones!$AB$167,FC21&gt;=SchemeStart),IF(AND(Milestones!$AB$167="FT",Milestones!$AA$167=FT_Y5,FC21&lt;PolicyEff),1,Milestones!$AC$167),0))</f>
        <v>0</v>
      </c>
      <c r="FD23" s="0" t="n">
        <f aca="false">IF(FD21="",0,IF(AND(FD22=Milestones!$AB$168,FD21&gt;=SchemeStart),IF(AND(Milestones!$AB$168="FT",Milestones!$AA$168=FT_Y5,FD21&lt;PolicyEff),1,Milestones!$AC$168),0))</f>
        <v>0</v>
      </c>
      <c r="FE23" s="0" t="n">
        <f aca="false">IF(FE21="",0,IF(AND(FE22=Milestones!$AB$169,FE21&gt;=SchemeStart),IF(AND(Milestones!$AB$169="FT",Milestones!$AA$169=FT_Y5,FE21&lt;PolicyEff),1,Milestones!$AC$169),0))</f>
        <v>0</v>
      </c>
      <c r="FF23" s="0" t="n">
        <f aca="false">IF(FF21="",0,IF(AND(FF22=Milestones!$AB$170,FF21&gt;=SchemeStart),IF(AND(Milestones!$AB$170="FT",Milestones!$AA$170=FT_Y5,FF21&lt;PolicyEff),1,Milestones!$AC$170),0))</f>
        <v>0</v>
      </c>
      <c r="FG23" s="0" t="n">
        <f aca="false">IF(FG21="",0,IF(AND(FG22=Milestones!$AB$171,FG21&gt;=SchemeStart),IF(AND(Milestones!$AB$171="FT",Milestones!$AA$171=FT_Y5,FG21&lt;PolicyEff),1,Milestones!$AC$171),0))</f>
        <v>0</v>
      </c>
      <c r="FH23" s="0" t="n">
        <f aca="false">IF(FH21="",0,IF(AND(FH22=Milestones!$AB$172,FH21&gt;=SchemeStart),IF(AND(Milestones!$AB$172="FT",Milestones!$AA$172=FT_Y5,FH21&lt;PolicyEff),1,Milestones!$AC$172),0))</f>
        <v>0</v>
      </c>
      <c r="FI23" s="0" t="n">
        <f aca="false">IF(FI21="",0,IF(AND(FI22=Milestones!$AB$173,FI21&gt;=SchemeStart),IF(AND(Milestones!$AB$173="FT",Milestones!$AA$173=FT_Y5,FI21&lt;PolicyEff),1,Milestones!$AC$173),0))</f>
        <v>0</v>
      </c>
      <c r="FJ23" s="0" t="n">
        <f aca="false">IF(FJ21="",0,IF(AND(FJ22=Milestones!$AB$174,FJ21&gt;=SchemeStart),IF(AND(Milestones!$AB$174="FT",Milestones!$AA$174=FT_Y5,FJ21&lt;PolicyEff),1,Milestones!$AC$174),0))</f>
        <v>0</v>
      </c>
      <c r="FK23" s="0" t="n">
        <f aca="false">IF(FK21="",0,IF(AND(FK22=Milestones!$AB$175,FK21&gt;=SchemeStart),IF(AND(Milestones!$AB$175="FT",Milestones!$AA$175=FT_Y5,FK21&lt;PolicyEff),1,Milestones!$AC$175),0))</f>
        <v>0</v>
      </c>
      <c r="FL23" s="0" t="n">
        <f aca="false">IF(FL21="",0,IF(AND(FL22=Milestones!$AB$176,FL21&gt;=SchemeStart),IF(AND(Milestones!$AB$176="FT",Milestones!$AA$176=FT_Y5,FL21&lt;PolicyEff),1,Milestones!$AC$176),0))</f>
        <v>0</v>
      </c>
      <c r="FM23" s="0" t="n">
        <f aca="false">IF(FM21="",0,IF(AND(FM22=Milestones!$AB$177,FM21&gt;=SchemeStart),IF(AND(Milestones!$AB$177="FT",Milestones!$AA$177=FT_Y5,FM21&lt;PolicyEff),1,Milestones!$AC$177),0))</f>
        <v>0</v>
      </c>
      <c r="FN23" s="0" t="n">
        <f aca="false">IF(FN21="",0,IF(AND(FN22=Milestones!$AB$178,FN21&gt;=SchemeStart),IF(AND(Milestones!$AB$178="FT",Milestones!$AA$178=FT_Y5,FN21&lt;PolicyEff),1,Milestones!$AC$178),0))</f>
        <v>0</v>
      </c>
      <c r="FO23" s="0" t="n">
        <f aca="false">IF(FO21="",0,IF(AND(FO22=Milestones!$AB$179,FO21&gt;=SchemeStart),IF(AND(Milestones!$AB$179="FT",Milestones!$AA$179=FT_Y5,FO21&lt;PolicyEff),1,Milestones!$AC$179),0))</f>
        <v>0</v>
      </c>
      <c r="FP23" s="0" t="n">
        <f aca="false">IF(FP21="",0,IF(AND(FP22=Milestones!$AB$180,FP21&gt;=SchemeStart),IF(AND(Milestones!$AB$180="FT",Milestones!$AA$180=FT_Y5,FP21&lt;PolicyEff),1,Milestones!$AC$180),0))</f>
        <v>0</v>
      </c>
      <c r="FQ23" s="0" t="n">
        <f aca="false">IF(FQ21="",0,IF(AND(FQ22=Milestones!$AB$181,FQ21&gt;=SchemeStart),IF(AND(Milestones!$AB$181="FT",Milestones!$AA$181=FT_Y5,FQ21&lt;PolicyEff),1,Milestones!$AC$181),0))</f>
        <v>0</v>
      </c>
      <c r="FR23" s="0" t="n">
        <f aca="false">IF(FR21="",0,IF(AND(FR22=Milestones!$AB$182,FR21&gt;=SchemeStart),IF(AND(Milestones!$AB$182="FT",Milestones!$AA$182=FT_Y5,FR21&lt;PolicyEff),1,Milestones!$AC$182),0))</f>
        <v>0</v>
      </c>
      <c r="FS23" s="0" t="n">
        <f aca="false">IF(FS21="",0,IF(AND(FS22=Milestones!$AB$183,FS21&gt;=SchemeStart),IF(AND(Milestones!$AB$183="FT",Milestones!$AA$183=FT_Y5,FS21&lt;PolicyEff),1,Milestones!$AC$183),0))</f>
        <v>0</v>
      </c>
      <c r="FT23" s="0" t="n">
        <f aca="false">IF(FT21="",0,IF(AND(FT22=Milestones!$AB$184,FT21&gt;=SchemeStart),IF(AND(Milestones!$AB$184="FT",Milestones!$AA$184=FT_Y5,FT21&lt;PolicyEff),1,Milestones!$AC$184),0))</f>
        <v>0</v>
      </c>
      <c r="FU23" s="0" t="n">
        <f aca="false">IF(FU21="",0,IF(AND(FU22=Milestones!$AB$185,FU21&gt;=SchemeStart),IF(AND(Milestones!$AB$185="FT",Milestones!$AA$185=FT_Y5,FU21&lt;PolicyEff),1,Milestones!$AC$185),0))</f>
        <v>0</v>
      </c>
      <c r="FV23" s="0" t="n">
        <f aca="false">IF(FV21="",0,IF(AND(FV22=Milestones!$AB$186,FV21&gt;=SchemeStart),IF(AND(Milestones!$AB$186="FT",Milestones!$AA$186=FT_Y5,FV21&lt;PolicyEff),1,Milestones!$AC$186),0))</f>
        <v>0</v>
      </c>
      <c r="FW23" s="0" t="n">
        <f aca="false">IF(FW21="",0,IF(AND(FW22=Milestones!$AB$187,FW21&gt;=SchemeStart),IF(AND(Milestones!$AB$187="FT",Milestones!$AA$187=FT_Y5,FW21&lt;PolicyEff),1,Milestones!$AC$187),0))</f>
        <v>0</v>
      </c>
      <c r="FX23" s="0" t="n">
        <f aca="false">IF(FX21="",0,IF(AND(FX22=Milestones!$AB$188,FX21&gt;=SchemeStart),IF(AND(Milestones!$AB$188="FT",Milestones!$AA$188=FT_Y5,FX21&lt;PolicyEff),1,Milestones!$AC$188),0))</f>
        <v>0</v>
      </c>
      <c r="FY23" s="0" t="n">
        <f aca="false">IF(FY21="",0,IF(AND(FY22=Milestones!$AB$189,FY21&gt;=SchemeStart),IF(AND(Milestones!$AB$189="FT",Milestones!$AA$189=FT_Y5,FY21&lt;PolicyEff),1,Milestones!$AC$189),0))</f>
        <v>0</v>
      </c>
      <c r="FZ23" s="0" t="n">
        <f aca="false">IF(FZ21="",0,IF(AND(FZ22=Milestones!$AB$190,FZ21&gt;=SchemeStart),IF(AND(Milestones!$AB$190="FT",Milestones!$AA$190=FT_Y5,FZ21&lt;PolicyEff),1,Milestones!$AC$190),0))</f>
        <v>0</v>
      </c>
      <c r="GA23" s="0" t="n">
        <f aca="false">IF(GA21="",0,IF(AND(GA22=Milestones!$AB$191,GA21&gt;=SchemeStart),IF(AND(Milestones!$AB$191="FT",Milestones!$AA$191=FT_Y5,GA21&lt;PolicyEff),1,Milestones!$AC$191),0))</f>
        <v>0</v>
      </c>
      <c r="GB23" s="0" t="n">
        <f aca="false">IF(GB21="",0,IF(AND(GB22=Milestones!$AB$192,GB21&gt;=SchemeStart),IF(AND(Milestones!$AB$192="FT",Milestones!$AA$192=FT_Y5,GB21&lt;PolicyEff),1,Milestones!$AC$192),0))</f>
        <v>0</v>
      </c>
      <c r="GC23" s="0" t="n">
        <f aca="false">IF(GC21="",0,IF(AND(GC22=Milestones!$AB$193,GC21&gt;=SchemeStart),IF(AND(Milestones!$AB$193="FT",Milestones!$AA$193=FT_Y5,GC21&lt;PolicyEff),1,Milestones!$AC$193),0))</f>
        <v>0</v>
      </c>
      <c r="GD23" s="0" t="n">
        <f aca="false">IF(GD21="",0,IF(AND(GD22=Milestones!$AB$194,GD21&gt;=SchemeStart),IF(AND(Milestones!$AB$194="FT",Milestones!$AA$194=FT_Y5,GD21&lt;PolicyEff),1,Milestones!$AC$194),0))</f>
        <v>0</v>
      </c>
      <c r="GE23" s="0" t="n">
        <f aca="false">IF(GE21="",0,IF(AND(GE22=Milestones!$AB$195,GE21&gt;=SchemeStart),IF(AND(Milestones!$AB$195="FT",Milestones!$AA$195=FT_Y5,GE21&lt;PolicyEff),1,Milestones!$AC$195),0))</f>
        <v>0</v>
      </c>
      <c r="GF23" s="0" t="n">
        <f aca="false">IF(GF21="",0,IF(AND(GF22=Milestones!$AB$196,GF21&gt;=SchemeStart),IF(AND(Milestones!$AB$196="FT",Milestones!$AA$196=FT_Y5,GF21&lt;PolicyEff),1,Milestones!$AC$196),0))</f>
        <v>0</v>
      </c>
      <c r="GG23" s="0" t="n">
        <f aca="false">IF(GG21="",0,IF(AND(GG22=Milestones!$AB$197,GG21&gt;=SchemeStart),IF(AND(Milestones!$AB$197="FT",Milestones!$AA$197=FT_Y5,GG21&lt;PolicyEff),1,Milestones!$AC$197),0))</f>
        <v>0</v>
      </c>
      <c r="GH23" s="0" t="n">
        <f aca="false">IF(GH21="",0,IF(AND(GH22=Milestones!$AB$198,GH21&gt;=SchemeStart),IF(AND(Milestones!$AB$198="FT",Milestones!$AA$198=FT_Y5,GH21&lt;PolicyEff),1,Milestones!$AC$198),0))</f>
        <v>0</v>
      </c>
      <c r="GI23" s="0" t="n">
        <f aca="false">IF(GI21="",0,IF(AND(GI22=Milestones!$AB$199,GI21&gt;=SchemeStart),IF(AND(Milestones!$AB$199="FT",Milestones!$AA$199=FT_Y5,GI21&lt;PolicyEff),1,Milestones!$AC$199),0))</f>
        <v>0</v>
      </c>
    </row>
    <row r="24" customFormat="false" ht="15" hidden="false" customHeight="false" outlineLevel="0" collapsed="false">
      <c r="A24" s="0" t="str">
        <f aca="false">IF('HR Tally Check'!I$7="","",'HR Tally Check'!I$7)</f>
        <v/>
      </c>
      <c r="B24" s="0" t="str">
        <f aca="false">IF(A24="","",ISNUMBER(MATCH(A24,Staff!$BR$5:$BR$154,0)))</f>
        <v/>
      </c>
      <c r="C24" s="20" t="str">
        <f aca="false">IF(B24&lt;&gt;TRUE(),"",INDEX(Staff!$AL$5:$AL$154,MATCH($A24,Staff!$BR$5:$BR$154,0)))</f>
        <v/>
      </c>
      <c r="D24" s="0" t="str">
        <f aca="false">IF(B24&lt;&gt;TRUE(),"",INDEX(Staff!$AM$5:$AM$154,MATCH($A24,Staff!$BR$5:$BR$154,0)))</f>
        <v/>
      </c>
      <c r="E24" s="20" t="str">
        <f aca="false">IF(B24&lt;&gt;TRUE(),"",INDEX(Staff!$AO$5:$AO$154,MATCH($A24,Staff!$BR$5:$BR$154,0)))</f>
        <v/>
      </c>
      <c r="F24" s="20" t="str">
        <f aca="false">IF(B24&lt;&gt;TRUE(),"",INDEX(Staff!$AP$5:$AP$154,MATCH($A24,Staff!$BR$5:$BR$154,0)))</f>
        <v/>
      </c>
      <c r="G24" s="0" t="str">
        <f aca="false">IF(B24&lt;&gt;TRUE(),"",INDEX(Staff!$AT$5:$AT$154,MATCH($A24,Staff!$BR$5:$BR$154,0)))</f>
        <v/>
      </c>
      <c r="H24" s="0" t="str">
        <f aca="false">IF(B24&lt;&gt;TRUE(),"",INDEX(Staff!$AU$5:$AU$154,MATCH($A24,Staff!$BR$5:$BR$154,0)))</f>
        <v/>
      </c>
      <c r="I24" s="0" t="str">
        <f aca="false">IF(B24&lt;&gt;TRUE(),"",INDEX(Staff!$AV$5:$AV$154,MATCH($A24,Staff!$BR$5:$BR$154,0)))</f>
        <v/>
      </c>
      <c r="J24" s="0" t="str">
        <f aca="false">IF(B24&lt;&gt;TRUE(),"",INDEX(Staff!$AW$5:$AW$154,MATCH($A24,Staff!$BR$5:$BR$154,0)))</f>
        <v/>
      </c>
      <c r="K24" s="33" t="s">
        <v>262</v>
      </c>
      <c r="L24" s="20" t="str">
        <f aca="false">IF($C24="","",EDATE($C24,Milestones!$AA$20))</f>
        <v/>
      </c>
      <c r="M24" s="20" t="str">
        <f aca="false">IF($C24="","",EDATE($C24,Milestones!$AA$21))</f>
        <v/>
      </c>
      <c r="N24" s="20" t="str">
        <f aca="false">IF($C24="","",EDATE($C24,Milestones!$AA$22))</f>
        <v/>
      </c>
      <c r="O24" s="20" t="str">
        <f aca="false">IF($C24="","",EDATE($C24,Milestones!$AA$23))</f>
        <v/>
      </c>
      <c r="P24" s="20" t="str">
        <f aca="false">IF($C24="","",EDATE($C24,Milestones!$AA$24))</f>
        <v/>
      </c>
      <c r="Q24" s="20" t="str">
        <f aca="false">IF($C24="","",EDATE($C24,Milestones!$AA$25))</f>
        <v/>
      </c>
      <c r="R24" s="20" t="str">
        <f aca="false">IF($C24="","",EDATE($C24,Milestones!$AA$26))</f>
        <v/>
      </c>
      <c r="S24" s="20" t="str">
        <f aca="false">IF($C24="","",EDATE($C24,Milestones!$AA$27))</f>
        <v/>
      </c>
      <c r="T24" s="20" t="str">
        <f aca="false">IF($C24="","",EDATE($C24,Milestones!$AA$28))</f>
        <v/>
      </c>
      <c r="U24" s="20" t="str">
        <f aca="false">IF($C24="","",EDATE($C24,Milestones!$AA$29))</f>
        <v/>
      </c>
      <c r="V24" s="20" t="str">
        <f aca="false">IF($C24="","",EDATE($C24,Milestones!$AA$30))</f>
        <v/>
      </c>
      <c r="W24" s="20" t="str">
        <f aca="false">IF($C24="","",EDATE($C24,Milestones!$AA$31))</f>
        <v/>
      </c>
      <c r="X24" s="20" t="str">
        <f aca="false">IF($C24="","",EDATE($C24,Milestones!$AA$32))</f>
        <v/>
      </c>
      <c r="Y24" s="20" t="str">
        <f aca="false">IF($C24="","",EDATE($C24,Milestones!$AA$33))</f>
        <v/>
      </c>
      <c r="Z24" s="20" t="str">
        <f aca="false">IF($C24="","",EDATE($C24,Milestones!$AA$34))</f>
        <v/>
      </c>
      <c r="AA24" s="20" t="str">
        <f aca="false">IF($C24="","",EDATE($C24,Milestones!$AA$35))</f>
        <v/>
      </c>
      <c r="AB24" s="20" t="str">
        <f aca="false">IF($C24="","",EDATE($C24,Milestones!$AA$36))</f>
        <v/>
      </c>
      <c r="AC24" s="20" t="str">
        <f aca="false">IF($C24="","",EDATE($C24,Milestones!$AA$37))</f>
        <v/>
      </c>
      <c r="AD24" s="20" t="str">
        <f aca="false">IF($C24="","",EDATE($C24,Milestones!$AA$38))</f>
        <v/>
      </c>
      <c r="AE24" s="20" t="str">
        <f aca="false">IF($C24="","",EDATE($C24,Milestones!$AA$39))</f>
        <v/>
      </c>
      <c r="AF24" s="20" t="str">
        <f aca="false">IF($C24="","",EDATE($C24,Milestones!$AA$40))</f>
        <v/>
      </c>
      <c r="AG24" s="20" t="str">
        <f aca="false">IF($C24="","",EDATE($C24,Milestones!$AA$41))</f>
        <v/>
      </c>
      <c r="AH24" s="20" t="str">
        <f aca="false">IF($C24="","",EDATE($C24,Milestones!$AA$42))</f>
        <v/>
      </c>
      <c r="AI24" s="20" t="str">
        <f aca="false">IF($C24="","",EDATE($C24,Milestones!$AA$43))</f>
        <v/>
      </c>
      <c r="AJ24" s="20" t="str">
        <f aca="false">IF($C24="","",EDATE($C24,Milestones!$AA$44))</f>
        <v/>
      </c>
      <c r="AK24" s="20" t="str">
        <f aca="false">IF($C24="","",EDATE($C24,Milestones!$AA$45))</f>
        <v/>
      </c>
      <c r="AL24" s="20" t="str">
        <f aca="false">IF($C24="","",EDATE($C24,Milestones!$AA$46))</f>
        <v/>
      </c>
      <c r="AM24" s="20" t="str">
        <f aca="false">IF($C24="","",EDATE($C24,Milestones!$AA$47))</f>
        <v/>
      </c>
      <c r="AN24" s="20" t="str">
        <f aca="false">IF($C24="","",EDATE($C24,Milestones!$AA$48))</f>
        <v/>
      </c>
      <c r="AO24" s="20" t="str">
        <f aca="false">IF($C24="","",EDATE($C24,Milestones!$AA$49))</f>
        <v/>
      </c>
      <c r="AP24" s="20" t="str">
        <f aca="false">IF($C24="","",EDATE($C24,Milestones!$AA$50))</f>
        <v/>
      </c>
      <c r="AQ24" s="20" t="str">
        <f aca="false">IF($C24="","",EDATE($C24,Milestones!$AA$51))</f>
        <v/>
      </c>
      <c r="AR24" s="20" t="str">
        <f aca="false">IF($C24="","",EDATE($C24,Milestones!$AA$52))</f>
        <v/>
      </c>
      <c r="AS24" s="20" t="str">
        <f aca="false">IF($C24="","",EDATE($C24,Milestones!$AA$53))</f>
        <v/>
      </c>
      <c r="AT24" s="20" t="str">
        <f aca="false">IF($C24="","",EDATE($C24,Milestones!$AA$54))</f>
        <v/>
      </c>
      <c r="AU24" s="20" t="str">
        <f aca="false">IF($C24="","",EDATE($C24,Milestones!$AA$55))</f>
        <v/>
      </c>
      <c r="AV24" s="20" t="str">
        <f aca="false">IF($C24="","",EDATE($C24,Milestones!$AA$56))</f>
        <v/>
      </c>
      <c r="AW24" s="20" t="str">
        <f aca="false">IF($C24="","",EDATE($C24,Milestones!$AA$57))</f>
        <v/>
      </c>
      <c r="AX24" s="20" t="str">
        <f aca="false">IF($C24="","",EDATE($C24,Milestones!$AA$58))</f>
        <v/>
      </c>
      <c r="AY24" s="20" t="str">
        <f aca="false">IF($C24="","",EDATE($C24,Milestones!$AA$59))</f>
        <v/>
      </c>
      <c r="AZ24" s="20" t="str">
        <f aca="false">IF($C24="","",EDATE($C24,Milestones!$AA$60))</f>
        <v/>
      </c>
      <c r="BA24" s="20" t="str">
        <f aca="false">IF($C24="","",EDATE($C24,Milestones!$AA$61))</f>
        <v/>
      </c>
      <c r="BB24" s="20" t="str">
        <f aca="false">IF($C24="","",EDATE($C24,Milestones!$AA$62))</f>
        <v/>
      </c>
      <c r="BC24" s="20" t="str">
        <f aca="false">IF($C24="","",EDATE($C24,Milestones!$AA$63))</f>
        <v/>
      </c>
      <c r="BD24" s="20" t="str">
        <f aca="false">IF($C24="","",EDATE($C24,Milestones!$AA$64))</f>
        <v/>
      </c>
      <c r="BE24" s="20" t="str">
        <f aca="false">IF($C24="","",EDATE($C24,Milestones!$AA$65))</f>
        <v/>
      </c>
      <c r="BF24" s="20" t="str">
        <f aca="false">IF($C24="","",EDATE($C24,Milestones!$AA$66))</f>
        <v/>
      </c>
      <c r="BG24" s="20" t="str">
        <f aca="false">IF($C24="","",EDATE($C24,Milestones!$AA$67))</f>
        <v/>
      </c>
      <c r="BH24" s="20" t="str">
        <f aca="false">IF($C24="","",EDATE($C24,Milestones!$AA$68))</f>
        <v/>
      </c>
      <c r="BI24" s="20" t="str">
        <f aca="false">IF($C24="","",EDATE($C24,Milestones!$AA$69))</f>
        <v/>
      </c>
      <c r="BJ24" s="20" t="str">
        <f aca="false">IF($C24="","",EDATE($C24,Milestones!$AA$70))</f>
        <v/>
      </c>
      <c r="BK24" s="20" t="str">
        <f aca="false">IF($C24="","",EDATE($C24,Milestones!$AA$71))</f>
        <v/>
      </c>
      <c r="BL24" s="20" t="str">
        <f aca="false">IF($C24="","",EDATE($C24,Milestones!$AA$72))</f>
        <v/>
      </c>
      <c r="BM24" s="20" t="str">
        <f aca="false">IF($C24="","",EDATE($C24,Milestones!$AA$73))</f>
        <v/>
      </c>
      <c r="BN24" s="20" t="str">
        <f aca="false">IF($C24="","",EDATE($C24,Milestones!$AA$74))</f>
        <v/>
      </c>
      <c r="BO24" s="20" t="str">
        <f aca="false">IF($C24="","",EDATE($C24,Milestones!$AA$75))</f>
        <v/>
      </c>
      <c r="BP24" s="20" t="str">
        <f aca="false">IF($C24="","",EDATE($C24,Milestones!$AA$76))</f>
        <v/>
      </c>
      <c r="BQ24" s="20" t="str">
        <f aca="false">IF($C24="","",EDATE($C24,Milestones!$AA$77))</f>
        <v/>
      </c>
      <c r="BR24" s="20" t="str">
        <f aca="false">IF($C24="","",EDATE($C24,Milestones!$AA$78))</f>
        <v/>
      </c>
      <c r="BS24" s="20" t="str">
        <f aca="false">IF($C24="","",EDATE($C24,Milestones!$AA$79))</f>
        <v/>
      </c>
      <c r="BT24" s="20" t="str">
        <f aca="false">IF($C24="","",EDATE($C24,Milestones!$AA$80))</f>
        <v/>
      </c>
      <c r="BU24" s="20" t="str">
        <f aca="false">IF($C24="","",EDATE($C24,Milestones!$AA$81))</f>
        <v/>
      </c>
      <c r="BV24" s="20" t="str">
        <f aca="false">IF($C24="","",EDATE($C24,Milestones!$AA$82))</f>
        <v/>
      </c>
      <c r="BW24" s="20" t="str">
        <f aca="false">IF($C24="","",EDATE($C24,Milestones!$AA$83))</f>
        <v/>
      </c>
      <c r="BX24" s="20" t="str">
        <f aca="false">IF($C24="","",EDATE($C24,Milestones!$AA$84))</f>
        <v/>
      </c>
      <c r="BY24" s="20" t="str">
        <f aca="false">IF($C24="","",EDATE($C24,Milestones!$AA$85))</f>
        <v/>
      </c>
      <c r="BZ24" s="20" t="str">
        <f aca="false">IF($C24="","",EDATE($C24,Milestones!$AA$86))</f>
        <v/>
      </c>
      <c r="CA24" s="20" t="str">
        <f aca="false">IF($C24="","",EDATE($C24,Milestones!$AA$87))</f>
        <v/>
      </c>
      <c r="CB24" s="20" t="str">
        <f aca="false">IF($C24="","",EDATE($C24,Milestones!$AA$88))</f>
        <v/>
      </c>
      <c r="CC24" s="20" t="str">
        <f aca="false">IF($C24="","",EDATE($C24,Milestones!$AA$89))</f>
        <v/>
      </c>
      <c r="CD24" s="20" t="str">
        <f aca="false">IF($C24="","",EDATE($C24,Milestones!$AA$90))</f>
        <v/>
      </c>
      <c r="CE24" s="20" t="str">
        <f aca="false">IF($C24="","",EDATE($C24,Milestones!$AA$91))</f>
        <v/>
      </c>
      <c r="CF24" s="20" t="str">
        <f aca="false">IF($C24="","",EDATE($C24,Milestones!$AA$92))</f>
        <v/>
      </c>
      <c r="CG24" s="20" t="str">
        <f aca="false">IF($C24="","",EDATE($C24,Milestones!$AA$93))</f>
        <v/>
      </c>
      <c r="CH24" s="20" t="str">
        <f aca="false">IF($C24="","",EDATE($C24,Milestones!$AA$94))</f>
        <v/>
      </c>
      <c r="CI24" s="20" t="str">
        <f aca="false">IF($C24="","",EDATE($C24,Milestones!$AA$95))</f>
        <v/>
      </c>
      <c r="CJ24" s="20" t="str">
        <f aca="false">IF($C24="","",EDATE($C24,Milestones!$AA$96))</f>
        <v/>
      </c>
      <c r="CK24" s="20" t="str">
        <f aca="false">IF($C24="","",EDATE($C24,Milestones!$AA$97))</f>
        <v/>
      </c>
      <c r="CL24" s="20" t="str">
        <f aca="false">IF($C24="","",EDATE($C24,Milestones!$AA$98))</f>
        <v/>
      </c>
      <c r="CM24" s="20" t="str">
        <f aca="false">IF($C24="","",EDATE($C24,Milestones!$AA$99))</f>
        <v/>
      </c>
      <c r="CN24" s="20" t="str">
        <f aca="false">IF($C24="","",EDATE($C24,Milestones!$AA$100))</f>
        <v/>
      </c>
      <c r="CO24" s="20" t="str">
        <f aca="false">IF($C24="","",EDATE($C24,Milestones!$AA$101))</f>
        <v/>
      </c>
      <c r="CP24" s="20" t="str">
        <f aca="false">IF($C24="","",EDATE($C24,Milestones!$AA$102))</f>
        <v/>
      </c>
      <c r="CQ24" s="20" t="str">
        <f aca="false">IF($C24="","",EDATE($C24,Milestones!$AA$103))</f>
        <v/>
      </c>
      <c r="CR24" s="20" t="str">
        <f aca="false">IF($C24="","",EDATE($C24,Milestones!$AA$104))</f>
        <v/>
      </c>
      <c r="CS24" s="20" t="str">
        <f aca="false">IF($C24="","",EDATE($C24,Milestones!$AA$105))</f>
        <v/>
      </c>
      <c r="CT24" s="20" t="str">
        <f aca="false">IF($C24="","",EDATE($C24,Milestones!$AA$106))</f>
        <v/>
      </c>
      <c r="CU24" s="20" t="str">
        <f aca="false">IF($C24="","",EDATE($C24,Milestones!$AA$107))</f>
        <v/>
      </c>
      <c r="CV24" s="20" t="str">
        <f aca="false">IF($C24="","",EDATE($C24,Milestones!$AA$108))</f>
        <v/>
      </c>
      <c r="CW24" s="20" t="str">
        <f aca="false">IF($C24="","",EDATE($C24,Milestones!$AA$109))</f>
        <v/>
      </c>
      <c r="CX24" s="20" t="str">
        <f aca="false">IF($C24="","",EDATE($C24,Milestones!$AA$110))</f>
        <v/>
      </c>
      <c r="CY24" s="20" t="str">
        <f aca="false">IF($C24="","",EDATE($C24,Milestones!$AA$111))</f>
        <v/>
      </c>
      <c r="CZ24" s="20" t="str">
        <f aca="false">IF($C24="","",EDATE($C24,Milestones!$AA$112))</f>
        <v/>
      </c>
      <c r="DA24" s="20" t="str">
        <f aca="false">IF($C24="","",EDATE($C24,Milestones!$AA$113))</f>
        <v/>
      </c>
      <c r="DB24" s="20" t="str">
        <f aca="false">IF($C24="","",EDATE($C24,Milestones!$AA$114))</f>
        <v/>
      </c>
      <c r="DC24" s="20" t="str">
        <f aca="false">IF($C24="","",EDATE($C24,Milestones!$AA$115))</f>
        <v/>
      </c>
      <c r="DD24" s="20" t="str">
        <f aca="false">IF($C24="","",EDATE($C24,Milestones!$AA$116))</f>
        <v/>
      </c>
      <c r="DE24" s="20" t="str">
        <f aca="false">IF($C24="","",EDATE($C24,Milestones!$AA$117))</f>
        <v/>
      </c>
      <c r="DF24" s="20" t="str">
        <f aca="false">IF($C24="","",EDATE($C24,Milestones!$AA$118))</f>
        <v/>
      </c>
      <c r="DG24" s="20" t="str">
        <f aca="false">IF($C24="","",EDATE($C24,Milestones!$AA$119))</f>
        <v/>
      </c>
      <c r="DH24" s="20" t="str">
        <f aca="false">IF($C24="","",EDATE($C24,Milestones!$AA$120))</f>
        <v/>
      </c>
      <c r="DI24" s="20" t="str">
        <f aca="false">IF($C24="","",EDATE($C24,Milestones!$AA$121))</f>
        <v/>
      </c>
      <c r="DJ24" s="20" t="str">
        <f aca="false">IF($C24="","",EDATE($C24,Milestones!$AA$122))</f>
        <v/>
      </c>
      <c r="DK24" s="20" t="str">
        <f aca="false">IF($C24="","",EDATE($C24,Milestones!$AA$123))</f>
        <v/>
      </c>
      <c r="DL24" s="20" t="str">
        <f aca="false">IF($C24="","",EDATE($C24,Milestones!$AA$124))</f>
        <v/>
      </c>
      <c r="DM24" s="20" t="str">
        <f aca="false">IF($C24="","",EDATE($C24,Milestones!$AA$125))</f>
        <v/>
      </c>
      <c r="DN24" s="20" t="str">
        <f aca="false">IF($C24="","",EDATE($C24,Milestones!$AA$126))</f>
        <v/>
      </c>
      <c r="DO24" s="20" t="str">
        <f aca="false">IF($C24="","",EDATE($C24,Milestones!$AA$127))</f>
        <v/>
      </c>
      <c r="DP24" s="20" t="str">
        <f aca="false">IF($C24="","",EDATE($C24,Milestones!$AA$128))</f>
        <v/>
      </c>
      <c r="DQ24" s="20" t="str">
        <f aca="false">IF($C24="","",EDATE($C24,Milestones!$AA$129))</f>
        <v/>
      </c>
      <c r="DR24" s="20" t="str">
        <f aca="false">IF($C24="","",EDATE($C24,Milestones!$AA$130))</f>
        <v/>
      </c>
      <c r="DS24" s="20" t="str">
        <f aca="false">IF($C24="","",EDATE($C24,Milestones!$AA$131))</f>
        <v/>
      </c>
      <c r="DT24" s="20" t="str">
        <f aca="false">IF($C24="","",EDATE($C24,Milestones!$AA$132))</f>
        <v/>
      </c>
      <c r="DU24" s="20" t="str">
        <f aca="false">IF($C24="","",EDATE($C24,Milestones!$AA$133))</f>
        <v/>
      </c>
      <c r="DV24" s="20" t="str">
        <f aca="false">IF($C24="","",EDATE($C24,Milestones!$AA$134))</f>
        <v/>
      </c>
      <c r="DW24" s="20" t="str">
        <f aca="false">IF($C24="","",EDATE($C24,Milestones!$AA$135))</f>
        <v/>
      </c>
      <c r="DX24" s="20" t="str">
        <f aca="false">IF($C24="","",EDATE($C24,Milestones!$AA$136))</f>
        <v/>
      </c>
      <c r="DY24" s="20" t="str">
        <f aca="false">IF($C24="","",EDATE($C24,Milestones!$AA$137))</f>
        <v/>
      </c>
      <c r="DZ24" s="20" t="str">
        <f aca="false">IF($C24="","",EDATE($C24,Milestones!$AA$138))</f>
        <v/>
      </c>
      <c r="EA24" s="20" t="str">
        <f aca="false">IF($C24="","",EDATE($C24,Milestones!$AA$139))</f>
        <v/>
      </c>
      <c r="EB24" s="20" t="str">
        <f aca="false">IF($C24="","",EDATE($C24,Milestones!$AA$140))</f>
        <v/>
      </c>
      <c r="EC24" s="20" t="str">
        <f aca="false">IF($C24="","",EDATE($C24,Milestones!$AA$141))</f>
        <v/>
      </c>
      <c r="ED24" s="20" t="str">
        <f aca="false">IF($C24="","",EDATE($C24,Milestones!$AA$142))</f>
        <v/>
      </c>
      <c r="EE24" s="20" t="str">
        <f aca="false">IF($C24="","",EDATE($C24,Milestones!$AA$143))</f>
        <v/>
      </c>
      <c r="EF24" s="20" t="str">
        <f aca="false">IF($C24="","",EDATE($C24,Milestones!$AA$144))</f>
        <v/>
      </c>
      <c r="EG24" s="20" t="str">
        <f aca="false">IF($C24="","",EDATE($C24,Milestones!$AA$145))</f>
        <v/>
      </c>
      <c r="EH24" s="20" t="str">
        <f aca="false">IF($C24="","",EDATE($C24,Milestones!$AA$146))</f>
        <v/>
      </c>
      <c r="EI24" s="20" t="str">
        <f aca="false">IF($C24="","",EDATE($C24,Milestones!$AA$147))</f>
        <v/>
      </c>
      <c r="EJ24" s="20" t="str">
        <f aca="false">IF($C24="","",EDATE($C24,Milestones!$AA$148))</f>
        <v/>
      </c>
      <c r="EK24" s="20" t="str">
        <f aca="false">IF($C24="","",EDATE($C24,Milestones!$AA$149))</f>
        <v/>
      </c>
      <c r="EL24" s="20" t="str">
        <f aca="false">IF($C24="","",EDATE($C24,Milestones!$AA$150))</f>
        <v/>
      </c>
      <c r="EM24" s="20" t="str">
        <f aca="false">IF($C24="","",EDATE($C24,Milestones!$AA$151))</f>
        <v/>
      </c>
      <c r="EN24" s="20" t="str">
        <f aca="false">IF($C24="","",EDATE($C24,Milestones!$AA$152))</f>
        <v/>
      </c>
      <c r="EO24" s="20" t="str">
        <f aca="false">IF($C24="","",EDATE($C24,Milestones!$AA$153))</f>
        <v/>
      </c>
      <c r="EP24" s="20" t="str">
        <f aca="false">IF($C24="","",EDATE($C24,Milestones!$AA$154))</f>
        <v/>
      </c>
      <c r="EQ24" s="20" t="str">
        <f aca="false">IF($C24="","",EDATE($C24,Milestones!$AA$155))</f>
        <v/>
      </c>
      <c r="ER24" s="20" t="str">
        <f aca="false">IF($C24="","",EDATE($C24,Milestones!$AA$156))</f>
        <v/>
      </c>
      <c r="ES24" s="20" t="str">
        <f aca="false">IF($C24="","",EDATE($C24,Milestones!$AA$157))</f>
        <v/>
      </c>
      <c r="ET24" s="20" t="str">
        <f aca="false">IF($C24="","",EDATE($C24,Milestones!$AA$158))</f>
        <v/>
      </c>
      <c r="EU24" s="20" t="str">
        <f aca="false">IF($C24="","",EDATE($C24,Milestones!$AA$159))</f>
        <v/>
      </c>
      <c r="EV24" s="20" t="str">
        <f aca="false">IF($C24="","",EDATE($C24,Milestones!$AA$160))</f>
        <v/>
      </c>
      <c r="EW24" s="20" t="str">
        <f aca="false">IF($C24="","",EDATE($C24,Milestones!$AA$161))</f>
        <v/>
      </c>
      <c r="EX24" s="20" t="str">
        <f aca="false">IF($C24="","",EDATE($C24,Milestones!$AA$162))</f>
        <v/>
      </c>
      <c r="EY24" s="20" t="str">
        <f aca="false">IF($C24="","",EDATE($C24,Milestones!$AA$163))</f>
        <v/>
      </c>
      <c r="EZ24" s="20" t="str">
        <f aca="false">IF($C24="","",EDATE($C24,Milestones!$AA$164))</f>
        <v/>
      </c>
      <c r="FA24" s="20" t="str">
        <f aca="false">IF($C24="","",EDATE($C24,Milestones!$AA$165))</f>
        <v/>
      </c>
      <c r="FB24" s="20" t="str">
        <f aca="false">IF($C24="","",EDATE($C24,Milestones!$AA$166))</f>
        <v/>
      </c>
      <c r="FC24" s="20" t="str">
        <f aca="false">IF($C24="","",EDATE($C24,Milestones!$AA$167))</f>
        <v/>
      </c>
      <c r="FD24" s="20" t="str">
        <f aca="false">IF($C24="","",EDATE($C24,Milestones!$AA$168))</f>
        <v/>
      </c>
      <c r="FE24" s="20" t="str">
        <f aca="false">IF($C24="","",EDATE($C24,Milestones!$AA$169))</f>
        <v/>
      </c>
      <c r="FF24" s="20" t="str">
        <f aca="false">IF($C24="","",EDATE($C24,Milestones!$AA$170))</f>
        <v/>
      </c>
      <c r="FG24" s="20" t="str">
        <f aca="false">IF($C24="","",EDATE($C24,Milestones!$AA$171))</f>
        <v/>
      </c>
      <c r="FH24" s="20" t="str">
        <f aca="false">IF($C24="","",EDATE($C24,Milestones!$AA$172))</f>
        <v/>
      </c>
      <c r="FI24" s="20" t="str">
        <f aca="false">IF($C24="","",EDATE($C24,Milestones!$AA$173))</f>
        <v/>
      </c>
      <c r="FJ24" s="20" t="str">
        <f aca="false">IF($C24="","",EDATE($C24,Milestones!$AA$174))</f>
        <v/>
      </c>
      <c r="FK24" s="20" t="str">
        <f aca="false">IF($C24="","",EDATE($C24,Milestones!$AA$175))</f>
        <v/>
      </c>
      <c r="FL24" s="20" t="str">
        <f aca="false">IF($C24="","",EDATE($C24,Milestones!$AA$176))</f>
        <v/>
      </c>
      <c r="FM24" s="20" t="str">
        <f aca="false">IF($C24="","",EDATE($C24,Milestones!$AA$177))</f>
        <v/>
      </c>
      <c r="FN24" s="20" t="str">
        <f aca="false">IF($C24="","",EDATE($C24,Milestones!$AA$178))</f>
        <v/>
      </c>
      <c r="FO24" s="20" t="str">
        <f aca="false">IF($C24="","",EDATE($C24,Milestones!$AA$179))</f>
        <v/>
      </c>
      <c r="FP24" s="20" t="str">
        <f aca="false">IF($C24="","",EDATE($C24,Milestones!$AA$180))</f>
        <v/>
      </c>
      <c r="FQ24" s="20" t="str">
        <f aca="false">IF($C24="","",EDATE($C24,Milestones!$AA$181))</f>
        <v/>
      </c>
      <c r="FR24" s="20" t="str">
        <f aca="false">IF($C24="","",EDATE($C24,Milestones!$AA$182))</f>
        <v/>
      </c>
      <c r="FS24" s="20" t="str">
        <f aca="false">IF($C24="","",EDATE($C24,Milestones!$AA$183))</f>
        <v/>
      </c>
      <c r="FT24" s="20" t="str">
        <f aca="false">IF($C24="","",EDATE($C24,Milestones!$AA$184))</f>
        <v/>
      </c>
      <c r="FU24" s="20" t="str">
        <f aca="false">IF($C24="","",EDATE($C24,Milestones!$AA$185))</f>
        <v/>
      </c>
      <c r="FV24" s="20" t="str">
        <f aca="false">IF($C24="","",EDATE($C24,Milestones!$AA$186))</f>
        <v/>
      </c>
      <c r="FW24" s="20" t="str">
        <f aca="false">IF($C24="","",EDATE($C24,Milestones!$AA$187))</f>
        <v/>
      </c>
      <c r="FX24" s="20" t="str">
        <f aca="false">IF($C24="","",EDATE($C24,Milestones!$AA$188))</f>
        <v/>
      </c>
      <c r="FY24" s="20" t="str">
        <f aca="false">IF($C24="","",EDATE($C24,Milestones!$AA$189))</f>
        <v/>
      </c>
      <c r="FZ24" s="20" t="str">
        <f aca="false">IF($C24="","",EDATE($C24,Milestones!$AA$190))</f>
        <v/>
      </c>
      <c r="GA24" s="20" t="str">
        <f aca="false">IF($C24="","",EDATE($C24,Milestones!$AA$191))</f>
        <v/>
      </c>
      <c r="GB24" s="20" t="str">
        <f aca="false">IF($C24="","",EDATE($C24,Milestones!$AA$192))</f>
        <v/>
      </c>
      <c r="GC24" s="20" t="str">
        <f aca="false">IF($C24="","",EDATE($C24,Milestones!$AA$193))</f>
        <v/>
      </c>
      <c r="GD24" s="20" t="str">
        <f aca="false">IF($C24="","",EDATE($C24,Milestones!$AA$194))</f>
        <v/>
      </c>
      <c r="GE24" s="20" t="str">
        <f aca="false">IF($C24="","",EDATE($C24,Milestones!$AA$195))</f>
        <v/>
      </c>
      <c r="GF24" s="20" t="str">
        <f aca="false">IF($C24="","",EDATE($C24,Milestones!$AA$196))</f>
        <v/>
      </c>
      <c r="GG24" s="20" t="str">
        <f aca="false">IF($C24="","",EDATE($C24,Milestones!$AA$197))</f>
        <v/>
      </c>
      <c r="GH24" s="20" t="str">
        <f aca="false">IF($C24="","",EDATE($C24,Milestones!$AA$198))</f>
        <v/>
      </c>
      <c r="GI24" s="20" t="str">
        <f aca="false">IF($C24="","",EDATE($C24,Milestones!$AA$199))</f>
        <v/>
      </c>
    </row>
    <row r="25" customFormat="false" ht="15" hidden="false" customHeight="false" outlineLevel="0" collapsed="false">
      <c r="K25" s="0" t="s">
        <v>263</v>
      </c>
      <c r="L25" s="0" t="str">
        <f aca="false">IF(L24="","",IF($D24=0,$J24,IF(AND($F24&lt;&gt;"",L24&gt;=$F24),$I24,IF(AND($E24&lt;&gt;"",L24&gt;=$E24),$H24,$G24))))</f>
        <v/>
      </c>
      <c r="M25" s="0" t="str">
        <f aca="false">IF(M24="","",IF($D24=0,$J24,IF(AND($F24&lt;&gt;"",M24&gt;=$F24),$I24,IF(AND($E24&lt;&gt;"",M24&gt;=$E24),$H24,$G24))))</f>
        <v/>
      </c>
      <c r="N25" s="0" t="str">
        <f aca="false">IF(N24="","",IF($D24=0,$J24,IF(AND($F24&lt;&gt;"",N24&gt;=$F24),$I24,IF(AND($E24&lt;&gt;"",N24&gt;=$E24),$H24,$G24))))</f>
        <v/>
      </c>
      <c r="O25" s="0" t="str">
        <f aca="false">IF(O24="","",IF($D24=0,$J24,IF(AND($F24&lt;&gt;"",O24&gt;=$F24),$I24,IF(AND($E24&lt;&gt;"",O24&gt;=$E24),$H24,$G24))))</f>
        <v/>
      </c>
      <c r="P25" s="0" t="str">
        <f aca="false">IF(P24="","",IF($D24=0,$J24,IF(AND($F24&lt;&gt;"",P24&gt;=$F24),$I24,IF(AND($E24&lt;&gt;"",P24&gt;=$E24),$H24,$G24))))</f>
        <v/>
      </c>
      <c r="Q25" s="0" t="str">
        <f aca="false">IF(Q24="","",IF($D24=0,$J24,IF(AND($F24&lt;&gt;"",Q24&gt;=$F24),$I24,IF(AND($E24&lt;&gt;"",Q24&gt;=$E24),$H24,$G24))))</f>
        <v/>
      </c>
      <c r="R25" s="0" t="str">
        <f aca="false">IF(R24="","",IF($D24=0,$J24,IF(AND($F24&lt;&gt;"",R24&gt;=$F24),$I24,IF(AND($E24&lt;&gt;"",R24&gt;=$E24),$H24,$G24))))</f>
        <v/>
      </c>
      <c r="S25" s="0" t="str">
        <f aca="false">IF(S24="","",IF($D24=0,$J24,IF(AND($F24&lt;&gt;"",S24&gt;=$F24),$I24,IF(AND($E24&lt;&gt;"",S24&gt;=$E24),$H24,$G24))))</f>
        <v/>
      </c>
      <c r="T25" s="0" t="str">
        <f aca="false">IF(T24="","",IF($D24=0,$J24,IF(AND($F24&lt;&gt;"",T24&gt;=$F24),$I24,IF(AND($E24&lt;&gt;"",T24&gt;=$E24),$H24,$G24))))</f>
        <v/>
      </c>
      <c r="U25" s="0" t="str">
        <f aca="false">IF(U24="","",IF($D24=0,$J24,IF(AND($F24&lt;&gt;"",U24&gt;=$F24),$I24,IF(AND($E24&lt;&gt;"",U24&gt;=$E24),$H24,$G24))))</f>
        <v/>
      </c>
      <c r="V25" s="0" t="str">
        <f aca="false">IF(V24="","",IF($D24=0,$J24,IF(AND($F24&lt;&gt;"",V24&gt;=$F24),$I24,IF(AND($E24&lt;&gt;"",V24&gt;=$E24),$H24,$G24))))</f>
        <v/>
      </c>
      <c r="W25" s="0" t="str">
        <f aca="false">IF(W24="","",IF($D24=0,$J24,IF(AND($F24&lt;&gt;"",W24&gt;=$F24),$I24,IF(AND($E24&lt;&gt;"",W24&gt;=$E24),$H24,$G24))))</f>
        <v/>
      </c>
      <c r="X25" s="0" t="str">
        <f aca="false">IF(X24="","",IF($D24=0,$J24,IF(AND($F24&lt;&gt;"",X24&gt;=$F24),$I24,IF(AND($E24&lt;&gt;"",X24&gt;=$E24),$H24,$G24))))</f>
        <v/>
      </c>
      <c r="Y25" s="0" t="str">
        <f aca="false">IF(Y24="","",IF($D24=0,$J24,IF(AND($F24&lt;&gt;"",Y24&gt;=$F24),$I24,IF(AND($E24&lt;&gt;"",Y24&gt;=$E24),$H24,$G24))))</f>
        <v/>
      </c>
      <c r="Z25" s="0" t="str">
        <f aca="false">IF(Z24="","",IF($D24=0,$J24,IF(AND($F24&lt;&gt;"",Z24&gt;=$F24),$I24,IF(AND($E24&lt;&gt;"",Z24&gt;=$E24),$H24,$G24))))</f>
        <v/>
      </c>
      <c r="AA25" s="0" t="str">
        <f aca="false">IF(AA24="","",IF($D24=0,$J24,IF(AND($F24&lt;&gt;"",AA24&gt;=$F24),$I24,IF(AND($E24&lt;&gt;"",AA24&gt;=$E24),$H24,$G24))))</f>
        <v/>
      </c>
      <c r="AB25" s="0" t="str">
        <f aca="false">IF(AB24="","",IF($D24=0,$J24,IF(AND($F24&lt;&gt;"",AB24&gt;=$F24),$I24,IF(AND($E24&lt;&gt;"",AB24&gt;=$E24),$H24,$G24))))</f>
        <v/>
      </c>
      <c r="AC25" s="0" t="str">
        <f aca="false">IF(AC24="","",IF($D24=0,$J24,IF(AND($F24&lt;&gt;"",AC24&gt;=$F24),$I24,IF(AND($E24&lt;&gt;"",AC24&gt;=$E24),$H24,$G24))))</f>
        <v/>
      </c>
      <c r="AD25" s="0" t="str">
        <f aca="false">IF(AD24="","",IF($D24=0,$J24,IF(AND($F24&lt;&gt;"",AD24&gt;=$F24),$I24,IF(AND($E24&lt;&gt;"",AD24&gt;=$E24),$H24,$G24))))</f>
        <v/>
      </c>
      <c r="AE25" s="0" t="str">
        <f aca="false">IF(AE24="","",IF($D24=0,$J24,IF(AND($F24&lt;&gt;"",AE24&gt;=$F24),$I24,IF(AND($E24&lt;&gt;"",AE24&gt;=$E24),$H24,$G24))))</f>
        <v/>
      </c>
      <c r="AF25" s="0" t="str">
        <f aca="false">IF(AF24="","",IF($D24=0,$J24,IF(AND($F24&lt;&gt;"",AF24&gt;=$F24),$I24,IF(AND($E24&lt;&gt;"",AF24&gt;=$E24),$H24,$G24))))</f>
        <v/>
      </c>
      <c r="AG25" s="0" t="str">
        <f aca="false">IF(AG24="","",IF($D24=0,$J24,IF(AND($F24&lt;&gt;"",AG24&gt;=$F24),$I24,IF(AND($E24&lt;&gt;"",AG24&gt;=$E24),$H24,$G24))))</f>
        <v/>
      </c>
      <c r="AH25" s="0" t="str">
        <f aca="false">IF(AH24="","",IF($D24=0,$J24,IF(AND($F24&lt;&gt;"",AH24&gt;=$F24),$I24,IF(AND($E24&lt;&gt;"",AH24&gt;=$E24),$H24,$G24))))</f>
        <v/>
      </c>
      <c r="AI25" s="0" t="str">
        <f aca="false">IF(AI24="","",IF($D24=0,$J24,IF(AND($F24&lt;&gt;"",AI24&gt;=$F24),$I24,IF(AND($E24&lt;&gt;"",AI24&gt;=$E24),$H24,$G24))))</f>
        <v/>
      </c>
      <c r="AJ25" s="0" t="str">
        <f aca="false">IF(AJ24="","",IF($D24=0,$J24,IF(AND($F24&lt;&gt;"",AJ24&gt;=$F24),$I24,IF(AND($E24&lt;&gt;"",AJ24&gt;=$E24),$H24,$G24))))</f>
        <v/>
      </c>
      <c r="AK25" s="0" t="str">
        <f aca="false">IF(AK24="","",IF($D24=0,$J24,IF(AND($F24&lt;&gt;"",AK24&gt;=$F24),$I24,IF(AND($E24&lt;&gt;"",AK24&gt;=$E24),$H24,$G24))))</f>
        <v/>
      </c>
      <c r="AL25" s="0" t="str">
        <f aca="false">IF(AL24="","",IF($D24=0,$J24,IF(AND($F24&lt;&gt;"",AL24&gt;=$F24),$I24,IF(AND($E24&lt;&gt;"",AL24&gt;=$E24),$H24,$G24))))</f>
        <v/>
      </c>
      <c r="AM25" s="0" t="str">
        <f aca="false">IF(AM24="","",IF($D24=0,$J24,IF(AND($F24&lt;&gt;"",AM24&gt;=$F24),$I24,IF(AND($E24&lt;&gt;"",AM24&gt;=$E24),$H24,$G24))))</f>
        <v/>
      </c>
      <c r="AN25" s="0" t="str">
        <f aca="false">IF(AN24="","",IF($D24=0,$J24,IF(AND($F24&lt;&gt;"",AN24&gt;=$F24),$I24,IF(AND($E24&lt;&gt;"",AN24&gt;=$E24),$H24,$G24))))</f>
        <v/>
      </c>
      <c r="AO25" s="0" t="str">
        <f aca="false">IF(AO24="","",IF($D24=0,$J24,IF(AND($F24&lt;&gt;"",AO24&gt;=$F24),$I24,IF(AND($E24&lt;&gt;"",AO24&gt;=$E24),$H24,$G24))))</f>
        <v/>
      </c>
      <c r="AP25" s="0" t="str">
        <f aca="false">IF(AP24="","",IF($D24=0,$J24,IF(AND($F24&lt;&gt;"",AP24&gt;=$F24),$I24,IF(AND($E24&lt;&gt;"",AP24&gt;=$E24),$H24,$G24))))</f>
        <v/>
      </c>
      <c r="AQ25" s="0" t="str">
        <f aca="false">IF(AQ24="","",IF($D24=0,$J24,IF(AND($F24&lt;&gt;"",AQ24&gt;=$F24),$I24,IF(AND($E24&lt;&gt;"",AQ24&gt;=$E24),$H24,$G24))))</f>
        <v/>
      </c>
      <c r="AR25" s="0" t="str">
        <f aca="false">IF(AR24="","",IF($D24=0,$J24,IF(AND($F24&lt;&gt;"",AR24&gt;=$F24),$I24,IF(AND($E24&lt;&gt;"",AR24&gt;=$E24),$H24,$G24))))</f>
        <v/>
      </c>
      <c r="AS25" s="0" t="str">
        <f aca="false">IF(AS24="","",IF($D24=0,$J24,IF(AND($F24&lt;&gt;"",AS24&gt;=$F24),$I24,IF(AND($E24&lt;&gt;"",AS24&gt;=$E24),$H24,$G24))))</f>
        <v/>
      </c>
      <c r="AT25" s="0" t="str">
        <f aca="false">IF(AT24="","",IF($D24=0,$J24,IF(AND($F24&lt;&gt;"",AT24&gt;=$F24),$I24,IF(AND($E24&lt;&gt;"",AT24&gt;=$E24),$H24,$G24))))</f>
        <v/>
      </c>
      <c r="AU25" s="0" t="str">
        <f aca="false">IF(AU24="","",IF($D24=0,$J24,IF(AND($F24&lt;&gt;"",AU24&gt;=$F24),$I24,IF(AND($E24&lt;&gt;"",AU24&gt;=$E24),$H24,$G24))))</f>
        <v/>
      </c>
      <c r="AV25" s="0" t="str">
        <f aca="false">IF(AV24="","",IF($D24=0,$J24,IF(AND($F24&lt;&gt;"",AV24&gt;=$F24),$I24,IF(AND($E24&lt;&gt;"",AV24&gt;=$E24),$H24,$G24))))</f>
        <v/>
      </c>
      <c r="AW25" s="0" t="str">
        <f aca="false">IF(AW24="","",IF($D24=0,$J24,IF(AND($F24&lt;&gt;"",AW24&gt;=$F24),$I24,IF(AND($E24&lt;&gt;"",AW24&gt;=$E24),$H24,$G24))))</f>
        <v/>
      </c>
      <c r="AX25" s="0" t="str">
        <f aca="false">IF(AX24="","",IF($D24=0,$J24,IF(AND($F24&lt;&gt;"",AX24&gt;=$F24),$I24,IF(AND($E24&lt;&gt;"",AX24&gt;=$E24),$H24,$G24))))</f>
        <v/>
      </c>
      <c r="AY25" s="0" t="str">
        <f aca="false">IF(AY24="","",IF($D24=0,$J24,IF(AND($F24&lt;&gt;"",AY24&gt;=$F24),$I24,IF(AND($E24&lt;&gt;"",AY24&gt;=$E24),$H24,$G24))))</f>
        <v/>
      </c>
      <c r="AZ25" s="0" t="str">
        <f aca="false">IF(AZ24="","",IF($D24=0,$J24,IF(AND($F24&lt;&gt;"",AZ24&gt;=$F24),$I24,IF(AND($E24&lt;&gt;"",AZ24&gt;=$E24),$H24,$G24))))</f>
        <v/>
      </c>
      <c r="BA25" s="0" t="str">
        <f aca="false">IF(BA24="","",IF($D24=0,$J24,IF(AND($F24&lt;&gt;"",BA24&gt;=$F24),$I24,IF(AND($E24&lt;&gt;"",BA24&gt;=$E24),$H24,$G24))))</f>
        <v/>
      </c>
      <c r="BB25" s="0" t="str">
        <f aca="false">IF(BB24="","",IF($D24=0,$J24,IF(AND($F24&lt;&gt;"",BB24&gt;=$F24),$I24,IF(AND($E24&lt;&gt;"",BB24&gt;=$E24),$H24,$G24))))</f>
        <v/>
      </c>
      <c r="BC25" s="0" t="str">
        <f aca="false">IF(BC24="","",IF($D24=0,$J24,IF(AND($F24&lt;&gt;"",BC24&gt;=$F24),$I24,IF(AND($E24&lt;&gt;"",BC24&gt;=$E24),$H24,$G24))))</f>
        <v/>
      </c>
      <c r="BD25" s="0" t="str">
        <f aca="false">IF(BD24="","",IF($D24=0,$J24,IF(AND($F24&lt;&gt;"",BD24&gt;=$F24),$I24,IF(AND($E24&lt;&gt;"",BD24&gt;=$E24),$H24,$G24))))</f>
        <v/>
      </c>
      <c r="BE25" s="0" t="str">
        <f aca="false">IF(BE24="","",IF($D24=0,$J24,IF(AND($F24&lt;&gt;"",BE24&gt;=$F24),$I24,IF(AND($E24&lt;&gt;"",BE24&gt;=$E24),$H24,$G24))))</f>
        <v/>
      </c>
      <c r="BF25" s="0" t="str">
        <f aca="false">IF(BF24="","",IF($D24=0,$J24,IF(AND($F24&lt;&gt;"",BF24&gt;=$F24),$I24,IF(AND($E24&lt;&gt;"",BF24&gt;=$E24),$H24,$G24))))</f>
        <v/>
      </c>
      <c r="BG25" s="0" t="str">
        <f aca="false">IF(BG24="","",IF($D24=0,$J24,IF(AND($F24&lt;&gt;"",BG24&gt;=$F24),$I24,IF(AND($E24&lt;&gt;"",BG24&gt;=$E24),$H24,$G24))))</f>
        <v/>
      </c>
      <c r="BH25" s="0" t="str">
        <f aca="false">IF(BH24="","",IF($D24=0,$J24,IF(AND($F24&lt;&gt;"",BH24&gt;=$F24),$I24,IF(AND($E24&lt;&gt;"",BH24&gt;=$E24),$H24,$G24))))</f>
        <v/>
      </c>
      <c r="BI25" s="0" t="str">
        <f aca="false">IF(BI24="","",IF($D24=0,$J24,IF(AND($F24&lt;&gt;"",BI24&gt;=$F24),$I24,IF(AND($E24&lt;&gt;"",BI24&gt;=$E24),$H24,$G24))))</f>
        <v/>
      </c>
      <c r="BJ25" s="0" t="str">
        <f aca="false">IF(BJ24="","",IF($D24=0,$J24,IF(AND($F24&lt;&gt;"",BJ24&gt;=$F24),$I24,IF(AND($E24&lt;&gt;"",BJ24&gt;=$E24),$H24,$G24))))</f>
        <v/>
      </c>
      <c r="BK25" s="0" t="str">
        <f aca="false">IF(BK24="","",IF($D24=0,$J24,IF(AND($F24&lt;&gt;"",BK24&gt;=$F24),$I24,IF(AND($E24&lt;&gt;"",BK24&gt;=$E24),$H24,$G24))))</f>
        <v/>
      </c>
      <c r="BL25" s="0" t="str">
        <f aca="false">IF(BL24="","",IF($D24=0,$J24,IF(AND($F24&lt;&gt;"",BL24&gt;=$F24),$I24,IF(AND($E24&lt;&gt;"",BL24&gt;=$E24),$H24,$G24))))</f>
        <v/>
      </c>
      <c r="BM25" s="0" t="str">
        <f aca="false">IF(BM24="","",IF($D24=0,$J24,IF(AND($F24&lt;&gt;"",BM24&gt;=$F24),$I24,IF(AND($E24&lt;&gt;"",BM24&gt;=$E24),$H24,$G24))))</f>
        <v/>
      </c>
      <c r="BN25" s="0" t="str">
        <f aca="false">IF(BN24="","",IF($D24=0,$J24,IF(AND($F24&lt;&gt;"",BN24&gt;=$F24),$I24,IF(AND($E24&lt;&gt;"",BN24&gt;=$E24),$H24,$G24))))</f>
        <v/>
      </c>
      <c r="BO25" s="0" t="str">
        <f aca="false">IF(BO24="","",IF($D24=0,$J24,IF(AND($F24&lt;&gt;"",BO24&gt;=$F24),$I24,IF(AND($E24&lt;&gt;"",BO24&gt;=$E24),$H24,$G24))))</f>
        <v/>
      </c>
      <c r="BP25" s="0" t="str">
        <f aca="false">IF(BP24="","",IF($D24=0,$J24,IF(AND($F24&lt;&gt;"",BP24&gt;=$F24),$I24,IF(AND($E24&lt;&gt;"",BP24&gt;=$E24),$H24,$G24))))</f>
        <v/>
      </c>
      <c r="BQ25" s="0" t="str">
        <f aca="false">IF(BQ24="","",IF($D24=0,$J24,IF(AND($F24&lt;&gt;"",BQ24&gt;=$F24),$I24,IF(AND($E24&lt;&gt;"",BQ24&gt;=$E24),$H24,$G24))))</f>
        <v/>
      </c>
      <c r="BR25" s="0" t="str">
        <f aca="false">IF(BR24="","",IF($D24=0,$J24,IF(AND($F24&lt;&gt;"",BR24&gt;=$F24),$I24,IF(AND($E24&lt;&gt;"",BR24&gt;=$E24),$H24,$G24))))</f>
        <v/>
      </c>
      <c r="BS25" s="0" t="str">
        <f aca="false">IF(BS24="","",IF($D24=0,$J24,IF(AND($F24&lt;&gt;"",BS24&gt;=$F24),$I24,IF(AND($E24&lt;&gt;"",BS24&gt;=$E24),$H24,$G24))))</f>
        <v/>
      </c>
      <c r="BT25" s="0" t="str">
        <f aca="false">IF(BT24="","",IF($D24=0,$J24,IF(AND($F24&lt;&gt;"",BT24&gt;=$F24),$I24,IF(AND($E24&lt;&gt;"",BT24&gt;=$E24),$H24,$G24))))</f>
        <v/>
      </c>
      <c r="BU25" s="0" t="str">
        <f aca="false">IF(BU24="","",IF($D24=0,$J24,IF(AND($F24&lt;&gt;"",BU24&gt;=$F24),$I24,IF(AND($E24&lt;&gt;"",BU24&gt;=$E24),$H24,$G24))))</f>
        <v/>
      </c>
      <c r="BV25" s="0" t="str">
        <f aca="false">IF(BV24="","",IF($D24=0,$J24,IF(AND($F24&lt;&gt;"",BV24&gt;=$F24),$I24,IF(AND($E24&lt;&gt;"",BV24&gt;=$E24),$H24,$G24))))</f>
        <v/>
      </c>
      <c r="BW25" s="0" t="str">
        <f aca="false">IF(BW24="","",IF($D24=0,$J24,IF(AND($F24&lt;&gt;"",BW24&gt;=$F24),$I24,IF(AND($E24&lt;&gt;"",BW24&gt;=$E24),$H24,$G24))))</f>
        <v/>
      </c>
      <c r="BX25" s="0" t="str">
        <f aca="false">IF(BX24="","",IF($D24=0,$J24,IF(AND($F24&lt;&gt;"",BX24&gt;=$F24),$I24,IF(AND($E24&lt;&gt;"",BX24&gt;=$E24),$H24,$G24))))</f>
        <v/>
      </c>
      <c r="BY25" s="0" t="str">
        <f aca="false">IF(BY24="","",IF($D24=0,$J24,IF(AND($F24&lt;&gt;"",BY24&gt;=$F24),$I24,IF(AND($E24&lt;&gt;"",BY24&gt;=$E24),$H24,$G24))))</f>
        <v/>
      </c>
      <c r="BZ25" s="0" t="str">
        <f aca="false">IF(BZ24="","",IF($D24=0,$J24,IF(AND($F24&lt;&gt;"",BZ24&gt;=$F24),$I24,IF(AND($E24&lt;&gt;"",BZ24&gt;=$E24),$H24,$G24))))</f>
        <v/>
      </c>
      <c r="CA25" s="0" t="str">
        <f aca="false">IF(CA24="","",IF($D24=0,$J24,IF(AND($F24&lt;&gt;"",CA24&gt;=$F24),$I24,IF(AND($E24&lt;&gt;"",CA24&gt;=$E24),$H24,$G24))))</f>
        <v/>
      </c>
      <c r="CB25" s="0" t="str">
        <f aca="false">IF(CB24="","",IF($D24=0,$J24,IF(AND($F24&lt;&gt;"",CB24&gt;=$F24),$I24,IF(AND($E24&lt;&gt;"",CB24&gt;=$E24),$H24,$G24))))</f>
        <v/>
      </c>
      <c r="CC25" s="0" t="str">
        <f aca="false">IF(CC24="","",IF($D24=0,$J24,IF(AND($F24&lt;&gt;"",CC24&gt;=$F24),$I24,IF(AND($E24&lt;&gt;"",CC24&gt;=$E24),$H24,$G24))))</f>
        <v/>
      </c>
      <c r="CD25" s="0" t="str">
        <f aca="false">IF(CD24="","",IF($D24=0,$J24,IF(AND($F24&lt;&gt;"",CD24&gt;=$F24),$I24,IF(AND($E24&lt;&gt;"",CD24&gt;=$E24),$H24,$G24))))</f>
        <v/>
      </c>
      <c r="CE25" s="0" t="str">
        <f aca="false">IF(CE24="","",IF($D24=0,$J24,IF(AND($F24&lt;&gt;"",CE24&gt;=$F24),$I24,IF(AND($E24&lt;&gt;"",CE24&gt;=$E24),$H24,$G24))))</f>
        <v/>
      </c>
      <c r="CF25" s="0" t="str">
        <f aca="false">IF(CF24="","",IF($D24=0,$J24,IF(AND($F24&lt;&gt;"",CF24&gt;=$F24),$I24,IF(AND($E24&lt;&gt;"",CF24&gt;=$E24),$H24,$G24))))</f>
        <v/>
      </c>
      <c r="CG25" s="0" t="str">
        <f aca="false">IF(CG24="","",IF($D24=0,$J24,IF(AND($F24&lt;&gt;"",CG24&gt;=$F24),$I24,IF(AND($E24&lt;&gt;"",CG24&gt;=$E24),$H24,$G24))))</f>
        <v/>
      </c>
      <c r="CH25" s="0" t="str">
        <f aca="false">IF(CH24="","",IF($D24=0,$J24,IF(AND($F24&lt;&gt;"",CH24&gt;=$F24),$I24,IF(AND($E24&lt;&gt;"",CH24&gt;=$E24),$H24,$G24))))</f>
        <v/>
      </c>
      <c r="CI25" s="0" t="str">
        <f aca="false">IF(CI24="","",IF($D24=0,$J24,IF(AND($F24&lt;&gt;"",CI24&gt;=$F24),$I24,IF(AND($E24&lt;&gt;"",CI24&gt;=$E24),$H24,$G24))))</f>
        <v/>
      </c>
      <c r="CJ25" s="0" t="str">
        <f aca="false">IF(CJ24="","",IF($D24=0,$J24,IF(AND($F24&lt;&gt;"",CJ24&gt;=$F24),$I24,IF(AND($E24&lt;&gt;"",CJ24&gt;=$E24),$H24,$G24))))</f>
        <v/>
      </c>
      <c r="CK25" s="0" t="str">
        <f aca="false">IF(CK24="","",IF($D24=0,$J24,IF(AND($F24&lt;&gt;"",CK24&gt;=$F24),$I24,IF(AND($E24&lt;&gt;"",CK24&gt;=$E24),$H24,$G24))))</f>
        <v/>
      </c>
      <c r="CL25" s="0" t="str">
        <f aca="false">IF(CL24="","",IF($D24=0,$J24,IF(AND($F24&lt;&gt;"",CL24&gt;=$F24),$I24,IF(AND($E24&lt;&gt;"",CL24&gt;=$E24),$H24,$G24))))</f>
        <v/>
      </c>
      <c r="CM25" s="0" t="str">
        <f aca="false">IF(CM24="","",IF($D24=0,$J24,IF(AND($F24&lt;&gt;"",CM24&gt;=$F24),$I24,IF(AND($E24&lt;&gt;"",CM24&gt;=$E24),$H24,$G24))))</f>
        <v/>
      </c>
      <c r="CN25" s="0" t="str">
        <f aca="false">IF(CN24="","",IF($D24=0,$J24,IF(AND($F24&lt;&gt;"",CN24&gt;=$F24),$I24,IF(AND($E24&lt;&gt;"",CN24&gt;=$E24),$H24,$G24))))</f>
        <v/>
      </c>
      <c r="CO25" s="0" t="str">
        <f aca="false">IF(CO24="","",IF($D24=0,$J24,IF(AND($F24&lt;&gt;"",CO24&gt;=$F24),$I24,IF(AND($E24&lt;&gt;"",CO24&gt;=$E24),$H24,$G24))))</f>
        <v/>
      </c>
      <c r="CP25" s="0" t="str">
        <f aca="false">IF(CP24="","",IF($D24=0,$J24,IF(AND($F24&lt;&gt;"",CP24&gt;=$F24),$I24,IF(AND($E24&lt;&gt;"",CP24&gt;=$E24),$H24,$G24))))</f>
        <v/>
      </c>
      <c r="CQ25" s="0" t="str">
        <f aca="false">IF(CQ24="","",IF($D24=0,$J24,IF(AND($F24&lt;&gt;"",CQ24&gt;=$F24),$I24,IF(AND($E24&lt;&gt;"",CQ24&gt;=$E24),$H24,$G24))))</f>
        <v/>
      </c>
      <c r="CR25" s="0" t="str">
        <f aca="false">IF(CR24="","",IF($D24=0,$J24,IF(AND($F24&lt;&gt;"",CR24&gt;=$F24),$I24,IF(AND($E24&lt;&gt;"",CR24&gt;=$E24),$H24,$G24))))</f>
        <v/>
      </c>
      <c r="CS25" s="0" t="str">
        <f aca="false">IF(CS24="","",IF($D24=0,$J24,IF(AND($F24&lt;&gt;"",CS24&gt;=$F24),$I24,IF(AND($E24&lt;&gt;"",CS24&gt;=$E24),$H24,$G24))))</f>
        <v/>
      </c>
      <c r="CT25" s="0" t="str">
        <f aca="false">IF(CT24="","",IF($D24=0,$J24,IF(AND($F24&lt;&gt;"",CT24&gt;=$F24),$I24,IF(AND($E24&lt;&gt;"",CT24&gt;=$E24),$H24,$G24))))</f>
        <v/>
      </c>
      <c r="CU25" s="0" t="str">
        <f aca="false">IF(CU24="","",IF($D24=0,$J24,IF(AND($F24&lt;&gt;"",CU24&gt;=$F24),$I24,IF(AND($E24&lt;&gt;"",CU24&gt;=$E24),$H24,$G24))))</f>
        <v/>
      </c>
      <c r="CV25" s="0" t="str">
        <f aca="false">IF(CV24="","",IF($D24=0,$J24,IF(AND($F24&lt;&gt;"",CV24&gt;=$F24),$I24,IF(AND($E24&lt;&gt;"",CV24&gt;=$E24),$H24,$G24))))</f>
        <v/>
      </c>
      <c r="CW25" s="0" t="str">
        <f aca="false">IF(CW24="","",IF($D24=0,$J24,IF(AND($F24&lt;&gt;"",CW24&gt;=$F24),$I24,IF(AND($E24&lt;&gt;"",CW24&gt;=$E24),$H24,$G24))))</f>
        <v/>
      </c>
      <c r="CX25" s="0" t="str">
        <f aca="false">IF(CX24="","",IF($D24=0,$J24,IF(AND($F24&lt;&gt;"",CX24&gt;=$F24),$I24,IF(AND($E24&lt;&gt;"",CX24&gt;=$E24),$H24,$G24))))</f>
        <v/>
      </c>
      <c r="CY25" s="0" t="str">
        <f aca="false">IF(CY24="","",IF($D24=0,$J24,IF(AND($F24&lt;&gt;"",CY24&gt;=$F24),$I24,IF(AND($E24&lt;&gt;"",CY24&gt;=$E24),$H24,$G24))))</f>
        <v/>
      </c>
      <c r="CZ25" s="0" t="str">
        <f aca="false">IF(CZ24="","",IF($D24=0,$J24,IF(AND($F24&lt;&gt;"",CZ24&gt;=$F24),$I24,IF(AND($E24&lt;&gt;"",CZ24&gt;=$E24),$H24,$G24))))</f>
        <v/>
      </c>
      <c r="DA25" s="0" t="str">
        <f aca="false">IF(DA24="","",IF($D24=0,$J24,IF(AND($F24&lt;&gt;"",DA24&gt;=$F24),$I24,IF(AND($E24&lt;&gt;"",DA24&gt;=$E24),$H24,$G24))))</f>
        <v/>
      </c>
      <c r="DB25" s="0" t="str">
        <f aca="false">IF(DB24="","",IF($D24=0,$J24,IF(AND($F24&lt;&gt;"",DB24&gt;=$F24),$I24,IF(AND($E24&lt;&gt;"",DB24&gt;=$E24),$H24,$G24))))</f>
        <v/>
      </c>
      <c r="DC25" s="0" t="str">
        <f aca="false">IF(DC24="","",IF($D24=0,$J24,IF(AND($F24&lt;&gt;"",DC24&gt;=$F24),$I24,IF(AND($E24&lt;&gt;"",DC24&gt;=$E24),$H24,$G24))))</f>
        <v/>
      </c>
      <c r="DD25" s="0" t="str">
        <f aca="false">IF(DD24="","",IF($D24=0,$J24,IF(AND($F24&lt;&gt;"",DD24&gt;=$F24),$I24,IF(AND($E24&lt;&gt;"",DD24&gt;=$E24),$H24,$G24))))</f>
        <v/>
      </c>
      <c r="DE25" s="0" t="str">
        <f aca="false">IF(DE24="","",IF($D24=0,$J24,IF(AND($F24&lt;&gt;"",DE24&gt;=$F24),$I24,IF(AND($E24&lt;&gt;"",DE24&gt;=$E24),$H24,$G24))))</f>
        <v/>
      </c>
      <c r="DF25" s="0" t="str">
        <f aca="false">IF(DF24="","",IF($D24=0,$J24,IF(AND($F24&lt;&gt;"",DF24&gt;=$F24),$I24,IF(AND($E24&lt;&gt;"",DF24&gt;=$E24),$H24,$G24))))</f>
        <v/>
      </c>
      <c r="DG25" s="0" t="str">
        <f aca="false">IF(DG24="","",IF($D24=0,$J24,IF(AND($F24&lt;&gt;"",DG24&gt;=$F24),$I24,IF(AND($E24&lt;&gt;"",DG24&gt;=$E24),$H24,$G24))))</f>
        <v/>
      </c>
      <c r="DH25" s="0" t="str">
        <f aca="false">IF(DH24="","",IF($D24=0,$J24,IF(AND($F24&lt;&gt;"",DH24&gt;=$F24),$I24,IF(AND($E24&lt;&gt;"",DH24&gt;=$E24),$H24,$G24))))</f>
        <v/>
      </c>
      <c r="DI25" s="0" t="str">
        <f aca="false">IF(DI24="","",IF($D24=0,$J24,IF(AND($F24&lt;&gt;"",DI24&gt;=$F24),$I24,IF(AND($E24&lt;&gt;"",DI24&gt;=$E24),$H24,$G24))))</f>
        <v/>
      </c>
      <c r="DJ25" s="0" t="str">
        <f aca="false">IF(DJ24="","",IF($D24=0,$J24,IF(AND($F24&lt;&gt;"",DJ24&gt;=$F24),$I24,IF(AND($E24&lt;&gt;"",DJ24&gt;=$E24),$H24,$G24))))</f>
        <v/>
      </c>
      <c r="DK25" s="0" t="str">
        <f aca="false">IF(DK24="","",IF($D24=0,$J24,IF(AND($F24&lt;&gt;"",DK24&gt;=$F24),$I24,IF(AND($E24&lt;&gt;"",DK24&gt;=$E24),$H24,$G24))))</f>
        <v/>
      </c>
      <c r="DL25" s="0" t="str">
        <f aca="false">IF(DL24="","",IF($D24=0,$J24,IF(AND($F24&lt;&gt;"",DL24&gt;=$F24),$I24,IF(AND($E24&lt;&gt;"",DL24&gt;=$E24),$H24,$G24))))</f>
        <v/>
      </c>
      <c r="DM25" s="0" t="str">
        <f aca="false">IF(DM24="","",IF($D24=0,$J24,IF(AND($F24&lt;&gt;"",DM24&gt;=$F24),$I24,IF(AND($E24&lt;&gt;"",DM24&gt;=$E24),$H24,$G24))))</f>
        <v/>
      </c>
      <c r="DN25" s="0" t="str">
        <f aca="false">IF(DN24="","",IF($D24=0,$J24,IF(AND($F24&lt;&gt;"",DN24&gt;=$F24),$I24,IF(AND($E24&lt;&gt;"",DN24&gt;=$E24),$H24,$G24))))</f>
        <v/>
      </c>
      <c r="DO25" s="0" t="str">
        <f aca="false">IF(DO24="","",IF($D24=0,$J24,IF(AND($F24&lt;&gt;"",DO24&gt;=$F24),$I24,IF(AND($E24&lt;&gt;"",DO24&gt;=$E24),$H24,$G24))))</f>
        <v/>
      </c>
      <c r="DP25" s="0" t="str">
        <f aca="false">IF(DP24="","",IF($D24=0,$J24,IF(AND($F24&lt;&gt;"",DP24&gt;=$F24),$I24,IF(AND($E24&lt;&gt;"",DP24&gt;=$E24),$H24,$G24))))</f>
        <v/>
      </c>
      <c r="DQ25" s="0" t="str">
        <f aca="false">IF(DQ24="","",IF($D24=0,$J24,IF(AND($F24&lt;&gt;"",DQ24&gt;=$F24),$I24,IF(AND($E24&lt;&gt;"",DQ24&gt;=$E24),$H24,$G24))))</f>
        <v/>
      </c>
      <c r="DR25" s="0" t="str">
        <f aca="false">IF(DR24="","",IF($D24=0,$J24,IF(AND($F24&lt;&gt;"",DR24&gt;=$F24),$I24,IF(AND($E24&lt;&gt;"",DR24&gt;=$E24),$H24,$G24))))</f>
        <v/>
      </c>
      <c r="DS25" s="0" t="str">
        <f aca="false">IF(DS24="","",IF($D24=0,$J24,IF(AND($F24&lt;&gt;"",DS24&gt;=$F24),$I24,IF(AND($E24&lt;&gt;"",DS24&gt;=$E24),$H24,$G24))))</f>
        <v/>
      </c>
      <c r="DT25" s="0" t="str">
        <f aca="false">IF(DT24="","",IF($D24=0,$J24,IF(AND($F24&lt;&gt;"",DT24&gt;=$F24),$I24,IF(AND($E24&lt;&gt;"",DT24&gt;=$E24),$H24,$G24))))</f>
        <v/>
      </c>
      <c r="DU25" s="0" t="str">
        <f aca="false">IF(DU24="","",IF($D24=0,$J24,IF(AND($F24&lt;&gt;"",DU24&gt;=$F24),$I24,IF(AND($E24&lt;&gt;"",DU24&gt;=$E24),$H24,$G24))))</f>
        <v/>
      </c>
      <c r="DV25" s="0" t="str">
        <f aca="false">IF(DV24="","",IF($D24=0,$J24,IF(AND($F24&lt;&gt;"",DV24&gt;=$F24),$I24,IF(AND($E24&lt;&gt;"",DV24&gt;=$E24),$H24,$G24))))</f>
        <v/>
      </c>
      <c r="DW25" s="0" t="str">
        <f aca="false">IF(DW24="","",IF($D24=0,$J24,IF(AND($F24&lt;&gt;"",DW24&gt;=$F24),$I24,IF(AND($E24&lt;&gt;"",DW24&gt;=$E24),$H24,$G24))))</f>
        <v/>
      </c>
      <c r="DX25" s="0" t="str">
        <f aca="false">IF(DX24="","",IF($D24=0,$J24,IF(AND($F24&lt;&gt;"",DX24&gt;=$F24),$I24,IF(AND($E24&lt;&gt;"",DX24&gt;=$E24),$H24,$G24))))</f>
        <v/>
      </c>
      <c r="DY25" s="0" t="str">
        <f aca="false">IF(DY24="","",IF($D24=0,$J24,IF(AND($F24&lt;&gt;"",DY24&gt;=$F24),$I24,IF(AND($E24&lt;&gt;"",DY24&gt;=$E24),$H24,$G24))))</f>
        <v/>
      </c>
      <c r="DZ25" s="0" t="str">
        <f aca="false">IF(DZ24="","",IF($D24=0,$J24,IF(AND($F24&lt;&gt;"",DZ24&gt;=$F24),$I24,IF(AND($E24&lt;&gt;"",DZ24&gt;=$E24),$H24,$G24))))</f>
        <v/>
      </c>
      <c r="EA25" s="0" t="str">
        <f aca="false">IF(EA24="","",IF($D24=0,$J24,IF(AND($F24&lt;&gt;"",EA24&gt;=$F24),$I24,IF(AND($E24&lt;&gt;"",EA24&gt;=$E24),$H24,$G24))))</f>
        <v/>
      </c>
      <c r="EB25" s="0" t="str">
        <f aca="false">IF(EB24="","",IF($D24=0,$J24,IF(AND($F24&lt;&gt;"",EB24&gt;=$F24),$I24,IF(AND($E24&lt;&gt;"",EB24&gt;=$E24),$H24,$G24))))</f>
        <v/>
      </c>
      <c r="EC25" s="0" t="str">
        <f aca="false">IF(EC24="","",IF($D24=0,$J24,IF(AND($F24&lt;&gt;"",EC24&gt;=$F24),$I24,IF(AND($E24&lt;&gt;"",EC24&gt;=$E24),$H24,$G24))))</f>
        <v/>
      </c>
      <c r="ED25" s="0" t="str">
        <f aca="false">IF(ED24="","",IF($D24=0,$J24,IF(AND($F24&lt;&gt;"",ED24&gt;=$F24),$I24,IF(AND($E24&lt;&gt;"",ED24&gt;=$E24),$H24,$G24))))</f>
        <v/>
      </c>
      <c r="EE25" s="0" t="str">
        <f aca="false">IF(EE24="","",IF($D24=0,$J24,IF(AND($F24&lt;&gt;"",EE24&gt;=$F24),$I24,IF(AND($E24&lt;&gt;"",EE24&gt;=$E24),$H24,$G24))))</f>
        <v/>
      </c>
      <c r="EF25" s="0" t="str">
        <f aca="false">IF(EF24="","",IF($D24=0,$J24,IF(AND($F24&lt;&gt;"",EF24&gt;=$F24),$I24,IF(AND($E24&lt;&gt;"",EF24&gt;=$E24),$H24,$G24))))</f>
        <v/>
      </c>
      <c r="EG25" s="0" t="str">
        <f aca="false">IF(EG24="","",IF($D24=0,$J24,IF(AND($F24&lt;&gt;"",EG24&gt;=$F24),$I24,IF(AND($E24&lt;&gt;"",EG24&gt;=$E24),$H24,$G24))))</f>
        <v/>
      </c>
      <c r="EH25" s="0" t="str">
        <f aca="false">IF(EH24="","",IF($D24=0,$J24,IF(AND($F24&lt;&gt;"",EH24&gt;=$F24),$I24,IF(AND($E24&lt;&gt;"",EH24&gt;=$E24),$H24,$G24))))</f>
        <v/>
      </c>
      <c r="EI25" s="0" t="str">
        <f aca="false">IF(EI24="","",IF($D24=0,$J24,IF(AND($F24&lt;&gt;"",EI24&gt;=$F24),$I24,IF(AND($E24&lt;&gt;"",EI24&gt;=$E24),$H24,$G24))))</f>
        <v/>
      </c>
      <c r="EJ25" s="0" t="str">
        <f aca="false">IF(EJ24="","",IF($D24=0,$J24,IF(AND($F24&lt;&gt;"",EJ24&gt;=$F24),$I24,IF(AND($E24&lt;&gt;"",EJ24&gt;=$E24),$H24,$G24))))</f>
        <v/>
      </c>
      <c r="EK25" s="0" t="str">
        <f aca="false">IF(EK24="","",IF($D24=0,$J24,IF(AND($F24&lt;&gt;"",EK24&gt;=$F24),$I24,IF(AND($E24&lt;&gt;"",EK24&gt;=$E24),$H24,$G24))))</f>
        <v/>
      </c>
      <c r="EL25" s="0" t="str">
        <f aca="false">IF(EL24="","",IF($D24=0,$J24,IF(AND($F24&lt;&gt;"",EL24&gt;=$F24),$I24,IF(AND($E24&lt;&gt;"",EL24&gt;=$E24),$H24,$G24))))</f>
        <v/>
      </c>
      <c r="EM25" s="0" t="str">
        <f aca="false">IF(EM24="","",IF($D24=0,$J24,IF(AND($F24&lt;&gt;"",EM24&gt;=$F24),$I24,IF(AND($E24&lt;&gt;"",EM24&gt;=$E24),$H24,$G24))))</f>
        <v/>
      </c>
      <c r="EN25" s="0" t="str">
        <f aca="false">IF(EN24="","",IF($D24=0,$J24,IF(AND($F24&lt;&gt;"",EN24&gt;=$F24),$I24,IF(AND($E24&lt;&gt;"",EN24&gt;=$E24),$H24,$G24))))</f>
        <v/>
      </c>
      <c r="EO25" s="0" t="str">
        <f aca="false">IF(EO24="","",IF($D24=0,$J24,IF(AND($F24&lt;&gt;"",EO24&gt;=$F24),$I24,IF(AND($E24&lt;&gt;"",EO24&gt;=$E24),$H24,$G24))))</f>
        <v/>
      </c>
      <c r="EP25" s="0" t="str">
        <f aca="false">IF(EP24="","",IF($D24=0,$J24,IF(AND($F24&lt;&gt;"",EP24&gt;=$F24),$I24,IF(AND($E24&lt;&gt;"",EP24&gt;=$E24),$H24,$G24))))</f>
        <v/>
      </c>
      <c r="EQ25" s="0" t="str">
        <f aca="false">IF(EQ24="","",IF($D24=0,$J24,IF(AND($F24&lt;&gt;"",EQ24&gt;=$F24),$I24,IF(AND($E24&lt;&gt;"",EQ24&gt;=$E24),$H24,$G24))))</f>
        <v/>
      </c>
      <c r="ER25" s="0" t="str">
        <f aca="false">IF(ER24="","",IF($D24=0,$J24,IF(AND($F24&lt;&gt;"",ER24&gt;=$F24),$I24,IF(AND($E24&lt;&gt;"",ER24&gt;=$E24),$H24,$G24))))</f>
        <v/>
      </c>
      <c r="ES25" s="0" t="str">
        <f aca="false">IF(ES24="","",IF($D24=0,$J24,IF(AND($F24&lt;&gt;"",ES24&gt;=$F24),$I24,IF(AND($E24&lt;&gt;"",ES24&gt;=$E24),$H24,$G24))))</f>
        <v/>
      </c>
      <c r="ET25" s="0" t="str">
        <f aca="false">IF(ET24="","",IF($D24=0,$J24,IF(AND($F24&lt;&gt;"",ET24&gt;=$F24),$I24,IF(AND($E24&lt;&gt;"",ET24&gt;=$E24),$H24,$G24))))</f>
        <v/>
      </c>
      <c r="EU25" s="0" t="str">
        <f aca="false">IF(EU24="","",IF($D24=0,$J24,IF(AND($F24&lt;&gt;"",EU24&gt;=$F24),$I24,IF(AND($E24&lt;&gt;"",EU24&gt;=$E24),$H24,$G24))))</f>
        <v/>
      </c>
      <c r="EV25" s="0" t="str">
        <f aca="false">IF(EV24="","",IF($D24=0,$J24,IF(AND($F24&lt;&gt;"",EV24&gt;=$F24),$I24,IF(AND($E24&lt;&gt;"",EV24&gt;=$E24),$H24,$G24))))</f>
        <v/>
      </c>
      <c r="EW25" s="0" t="str">
        <f aca="false">IF(EW24="","",IF($D24=0,$J24,IF(AND($F24&lt;&gt;"",EW24&gt;=$F24),$I24,IF(AND($E24&lt;&gt;"",EW24&gt;=$E24),$H24,$G24))))</f>
        <v/>
      </c>
      <c r="EX25" s="0" t="str">
        <f aca="false">IF(EX24="","",IF($D24=0,$J24,IF(AND($F24&lt;&gt;"",EX24&gt;=$F24),$I24,IF(AND($E24&lt;&gt;"",EX24&gt;=$E24),$H24,$G24))))</f>
        <v/>
      </c>
      <c r="EY25" s="0" t="str">
        <f aca="false">IF(EY24="","",IF($D24=0,$J24,IF(AND($F24&lt;&gt;"",EY24&gt;=$F24),$I24,IF(AND($E24&lt;&gt;"",EY24&gt;=$E24),$H24,$G24))))</f>
        <v/>
      </c>
      <c r="EZ25" s="0" t="str">
        <f aca="false">IF(EZ24="","",IF($D24=0,$J24,IF(AND($F24&lt;&gt;"",EZ24&gt;=$F24),$I24,IF(AND($E24&lt;&gt;"",EZ24&gt;=$E24),$H24,$G24))))</f>
        <v/>
      </c>
      <c r="FA25" s="0" t="str">
        <f aca="false">IF(FA24="","",IF($D24=0,$J24,IF(AND($F24&lt;&gt;"",FA24&gt;=$F24),$I24,IF(AND($E24&lt;&gt;"",FA24&gt;=$E24),$H24,$G24))))</f>
        <v/>
      </c>
      <c r="FB25" s="0" t="str">
        <f aca="false">IF(FB24="","",IF($D24=0,$J24,IF(AND($F24&lt;&gt;"",FB24&gt;=$F24),$I24,IF(AND($E24&lt;&gt;"",FB24&gt;=$E24),$H24,$G24))))</f>
        <v/>
      </c>
      <c r="FC25" s="0" t="str">
        <f aca="false">IF(FC24="","",IF($D24=0,$J24,IF(AND($F24&lt;&gt;"",FC24&gt;=$F24),$I24,IF(AND($E24&lt;&gt;"",FC24&gt;=$E24),$H24,$G24))))</f>
        <v/>
      </c>
      <c r="FD25" s="0" t="str">
        <f aca="false">IF(FD24="","",IF($D24=0,$J24,IF(AND($F24&lt;&gt;"",FD24&gt;=$F24),$I24,IF(AND($E24&lt;&gt;"",FD24&gt;=$E24),$H24,$G24))))</f>
        <v/>
      </c>
      <c r="FE25" s="0" t="str">
        <f aca="false">IF(FE24="","",IF($D24=0,$J24,IF(AND($F24&lt;&gt;"",FE24&gt;=$F24),$I24,IF(AND($E24&lt;&gt;"",FE24&gt;=$E24),$H24,$G24))))</f>
        <v/>
      </c>
      <c r="FF25" s="0" t="str">
        <f aca="false">IF(FF24="","",IF($D24=0,$J24,IF(AND($F24&lt;&gt;"",FF24&gt;=$F24),$I24,IF(AND($E24&lt;&gt;"",FF24&gt;=$E24),$H24,$G24))))</f>
        <v/>
      </c>
      <c r="FG25" s="0" t="str">
        <f aca="false">IF(FG24="","",IF($D24=0,$J24,IF(AND($F24&lt;&gt;"",FG24&gt;=$F24),$I24,IF(AND($E24&lt;&gt;"",FG24&gt;=$E24),$H24,$G24))))</f>
        <v/>
      </c>
      <c r="FH25" s="0" t="str">
        <f aca="false">IF(FH24="","",IF($D24=0,$J24,IF(AND($F24&lt;&gt;"",FH24&gt;=$F24),$I24,IF(AND($E24&lt;&gt;"",FH24&gt;=$E24),$H24,$G24))))</f>
        <v/>
      </c>
      <c r="FI25" s="0" t="str">
        <f aca="false">IF(FI24="","",IF($D24=0,$J24,IF(AND($F24&lt;&gt;"",FI24&gt;=$F24),$I24,IF(AND($E24&lt;&gt;"",FI24&gt;=$E24),$H24,$G24))))</f>
        <v/>
      </c>
      <c r="FJ25" s="0" t="str">
        <f aca="false">IF(FJ24="","",IF($D24=0,$J24,IF(AND($F24&lt;&gt;"",FJ24&gt;=$F24),$I24,IF(AND($E24&lt;&gt;"",FJ24&gt;=$E24),$H24,$G24))))</f>
        <v/>
      </c>
      <c r="FK25" s="0" t="str">
        <f aca="false">IF(FK24="","",IF($D24=0,$J24,IF(AND($F24&lt;&gt;"",FK24&gt;=$F24),$I24,IF(AND($E24&lt;&gt;"",FK24&gt;=$E24),$H24,$G24))))</f>
        <v/>
      </c>
      <c r="FL25" s="0" t="str">
        <f aca="false">IF(FL24="","",IF($D24=0,$J24,IF(AND($F24&lt;&gt;"",FL24&gt;=$F24),$I24,IF(AND($E24&lt;&gt;"",FL24&gt;=$E24),$H24,$G24))))</f>
        <v/>
      </c>
      <c r="FM25" s="0" t="str">
        <f aca="false">IF(FM24="","",IF($D24=0,$J24,IF(AND($F24&lt;&gt;"",FM24&gt;=$F24),$I24,IF(AND($E24&lt;&gt;"",FM24&gt;=$E24),$H24,$G24))))</f>
        <v/>
      </c>
      <c r="FN25" s="0" t="str">
        <f aca="false">IF(FN24="","",IF($D24=0,$J24,IF(AND($F24&lt;&gt;"",FN24&gt;=$F24),$I24,IF(AND($E24&lt;&gt;"",FN24&gt;=$E24),$H24,$G24))))</f>
        <v/>
      </c>
      <c r="FO25" s="0" t="str">
        <f aca="false">IF(FO24="","",IF($D24=0,$J24,IF(AND($F24&lt;&gt;"",FO24&gt;=$F24),$I24,IF(AND($E24&lt;&gt;"",FO24&gt;=$E24),$H24,$G24))))</f>
        <v/>
      </c>
      <c r="FP25" s="0" t="str">
        <f aca="false">IF(FP24="","",IF($D24=0,$J24,IF(AND($F24&lt;&gt;"",FP24&gt;=$F24),$I24,IF(AND($E24&lt;&gt;"",FP24&gt;=$E24),$H24,$G24))))</f>
        <v/>
      </c>
      <c r="FQ25" s="0" t="str">
        <f aca="false">IF(FQ24="","",IF($D24=0,$J24,IF(AND($F24&lt;&gt;"",FQ24&gt;=$F24),$I24,IF(AND($E24&lt;&gt;"",FQ24&gt;=$E24),$H24,$G24))))</f>
        <v/>
      </c>
      <c r="FR25" s="0" t="str">
        <f aca="false">IF(FR24="","",IF($D24=0,$J24,IF(AND($F24&lt;&gt;"",FR24&gt;=$F24),$I24,IF(AND($E24&lt;&gt;"",FR24&gt;=$E24),$H24,$G24))))</f>
        <v/>
      </c>
      <c r="FS25" s="0" t="str">
        <f aca="false">IF(FS24="","",IF($D24=0,$J24,IF(AND($F24&lt;&gt;"",FS24&gt;=$F24),$I24,IF(AND($E24&lt;&gt;"",FS24&gt;=$E24),$H24,$G24))))</f>
        <v/>
      </c>
      <c r="FT25" s="0" t="str">
        <f aca="false">IF(FT24="","",IF($D24=0,$J24,IF(AND($F24&lt;&gt;"",FT24&gt;=$F24),$I24,IF(AND($E24&lt;&gt;"",FT24&gt;=$E24),$H24,$G24))))</f>
        <v/>
      </c>
      <c r="FU25" s="0" t="str">
        <f aca="false">IF(FU24="","",IF($D24=0,$J24,IF(AND($F24&lt;&gt;"",FU24&gt;=$F24),$I24,IF(AND($E24&lt;&gt;"",FU24&gt;=$E24),$H24,$G24))))</f>
        <v/>
      </c>
      <c r="FV25" s="0" t="str">
        <f aca="false">IF(FV24="","",IF($D24=0,$J24,IF(AND($F24&lt;&gt;"",FV24&gt;=$F24),$I24,IF(AND($E24&lt;&gt;"",FV24&gt;=$E24),$H24,$G24))))</f>
        <v/>
      </c>
      <c r="FW25" s="0" t="str">
        <f aca="false">IF(FW24="","",IF($D24=0,$J24,IF(AND($F24&lt;&gt;"",FW24&gt;=$F24),$I24,IF(AND($E24&lt;&gt;"",FW24&gt;=$E24),$H24,$G24))))</f>
        <v/>
      </c>
      <c r="FX25" s="0" t="str">
        <f aca="false">IF(FX24="","",IF($D24=0,$J24,IF(AND($F24&lt;&gt;"",FX24&gt;=$F24),$I24,IF(AND($E24&lt;&gt;"",FX24&gt;=$E24),$H24,$G24))))</f>
        <v/>
      </c>
      <c r="FY25" s="0" t="str">
        <f aca="false">IF(FY24="","",IF($D24=0,$J24,IF(AND($F24&lt;&gt;"",FY24&gt;=$F24),$I24,IF(AND($E24&lt;&gt;"",FY24&gt;=$E24),$H24,$G24))))</f>
        <v/>
      </c>
      <c r="FZ25" s="0" t="str">
        <f aca="false">IF(FZ24="","",IF($D24=0,$J24,IF(AND($F24&lt;&gt;"",FZ24&gt;=$F24),$I24,IF(AND($E24&lt;&gt;"",FZ24&gt;=$E24),$H24,$G24))))</f>
        <v/>
      </c>
      <c r="GA25" s="0" t="str">
        <f aca="false">IF(GA24="","",IF($D24=0,$J24,IF(AND($F24&lt;&gt;"",GA24&gt;=$F24),$I24,IF(AND($E24&lt;&gt;"",GA24&gt;=$E24),$H24,$G24))))</f>
        <v/>
      </c>
      <c r="GB25" s="0" t="str">
        <f aca="false">IF(GB24="","",IF($D24=0,$J24,IF(AND($F24&lt;&gt;"",GB24&gt;=$F24),$I24,IF(AND($E24&lt;&gt;"",GB24&gt;=$E24),$H24,$G24))))</f>
        <v/>
      </c>
      <c r="GC25" s="0" t="str">
        <f aca="false">IF(GC24="","",IF($D24=0,$J24,IF(AND($F24&lt;&gt;"",GC24&gt;=$F24),$I24,IF(AND($E24&lt;&gt;"",GC24&gt;=$E24),$H24,$G24))))</f>
        <v/>
      </c>
      <c r="GD25" s="0" t="str">
        <f aca="false">IF(GD24="","",IF($D24=0,$J24,IF(AND($F24&lt;&gt;"",GD24&gt;=$F24),$I24,IF(AND($E24&lt;&gt;"",GD24&gt;=$E24),$H24,$G24))))</f>
        <v/>
      </c>
      <c r="GE25" s="0" t="str">
        <f aca="false">IF(GE24="","",IF($D24=0,$J24,IF(AND($F24&lt;&gt;"",GE24&gt;=$F24),$I24,IF(AND($E24&lt;&gt;"",GE24&gt;=$E24),$H24,$G24))))</f>
        <v/>
      </c>
      <c r="GF25" s="0" t="str">
        <f aca="false">IF(GF24="","",IF($D24=0,$J24,IF(AND($F24&lt;&gt;"",GF24&gt;=$F24),$I24,IF(AND($E24&lt;&gt;"",GF24&gt;=$E24),$H24,$G24))))</f>
        <v/>
      </c>
      <c r="GG25" s="0" t="str">
        <f aca="false">IF(GG24="","",IF($D24=0,$J24,IF(AND($F24&lt;&gt;"",GG24&gt;=$F24),$I24,IF(AND($E24&lt;&gt;"",GG24&gt;=$E24),$H24,$G24))))</f>
        <v/>
      </c>
      <c r="GH25" s="0" t="str">
        <f aca="false">IF(GH24="","",IF($D24=0,$J24,IF(AND($F24&lt;&gt;"",GH24&gt;=$F24),$I24,IF(AND($E24&lt;&gt;"",GH24&gt;=$E24),$H24,$G24))))</f>
        <v/>
      </c>
      <c r="GI25" s="0" t="str">
        <f aca="false">IF(GI24="","",IF($D24=0,$J24,IF(AND($F24&lt;&gt;"",GI24&gt;=$F24),$I24,IF(AND($E24&lt;&gt;"",GI24&gt;=$E24),$H24,$G24))))</f>
        <v/>
      </c>
    </row>
    <row r="26" customFormat="false" ht="15" hidden="false" customHeight="false" outlineLevel="0" collapsed="false">
      <c r="K26" s="0" t="s">
        <v>264</v>
      </c>
      <c r="L26" s="0" t="n">
        <f aca="false">IF(L24="",0,IF(AND(L25=Milestones!$AB$20,L24&gt;=SchemeStart),IF(AND(Milestones!$AB$20="FT",Milestones!$AA$20=FT_Y5,L24&lt;PolicyEff),1,Milestones!$AC$20),0))</f>
        <v>0</v>
      </c>
      <c r="M26" s="0" t="n">
        <f aca="false">IF(M24="",0,IF(AND(M25=Milestones!$AB$21,M24&gt;=SchemeStart),IF(AND(Milestones!$AB$21="FT",Milestones!$AA$21=FT_Y5,M24&lt;PolicyEff),1,Milestones!$AC$21),0))</f>
        <v>0</v>
      </c>
      <c r="N26" s="0" t="n">
        <f aca="false">IF(N24="",0,IF(AND(N25=Milestones!$AB$22,N24&gt;=SchemeStart),IF(AND(Milestones!$AB$22="FT",Milestones!$AA$22=FT_Y5,N24&lt;PolicyEff),1,Milestones!$AC$22),0))</f>
        <v>0</v>
      </c>
      <c r="O26" s="0" t="n">
        <f aca="false">IF(O24="",0,IF(AND(O25=Milestones!$AB$23,O24&gt;=SchemeStart),IF(AND(Milestones!$AB$23="FT",Milestones!$AA$23=FT_Y5,O24&lt;PolicyEff),1,Milestones!$AC$23),0))</f>
        <v>0</v>
      </c>
      <c r="P26" s="0" t="n">
        <f aca="false">IF(P24="",0,IF(AND(P25=Milestones!$AB$24,P24&gt;=SchemeStart),IF(AND(Milestones!$AB$24="FT",Milestones!$AA$24=FT_Y5,P24&lt;PolicyEff),1,Milestones!$AC$24),0))</f>
        <v>0</v>
      </c>
      <c r="Q26" s="0" t="n">
        <f aca="false">IF(Q24="",0,IF(AND(Q25=Milestones!$AB$25,Q24&gt;=SchemeStart),IF(AND(Milestones!$AB$25="FT",Milestones!$AA$25=FT_Y5,Q24&lt;PolicyEff),1,Milestones!$AC$25),0))</f>
        <v>0</v>
      </c>
      <c r="R26" s="0" t="n">
        <f aca="false">IF(R24="",0,IF(AND(R25=Milestones!$AB$26,R24&gt;=SchemeStart),IF(AND(Milestones!$AB$26="FT",Milestones!$AA$26=FT_Y5,R24&lt;PolicyEff),1,Milestones!$AC$26),0))</f>
        <v>0</v>
      </c>
      <c r="S26" s="0" t="n">
        <f aca="false">IF(S24="",0,IF(AND(S25=Milestones!$AB$27,S24&gt;=SchemeStart),IF(AND(Milestones!$AB$27="FT",Milestones!$AA$27=FT_Y5,S24&lt;PolicyEff),1,Milestones!$AC$27),0))</f>
        <v>0</v>
      </c>
      <c r="T26" s="0" t="n">
        <f aca="false">IF(T24="",0,IF(AND(T25=Milestones!$AB$28,T24&gt;=SchemeStart),IF(AND(Milestones!$AB$28="FT",Milestones!$AA$28=FT_Y5,T24&lt;PolicyEff),1,Milestones!$AC$28),0))</f>
        <v>0</v>
      </c>
      <c r="U26" s="0" t="n">
        <f aca="false">IF(U24="",0,IF(AND(U25=Milestones!$AB$29,U24&gt;=SchemeStart),IF(AND(Milestones!$AB$29="FT",Milestones!$AA$29=FT_Y5,U24&lt;PolicyEff),1,Milestones!$AC$29),0))</f>
        <v>0</v>
      </c>
      <c r="V26" s="0" t="n">
        <f aca="false">IF(V24="",0,IF(AND(V25=Milestones!$AB$30,V24&gt;=SchemeStart),IF(AND(Milestones!$AB$30="FT",Milestones!$AA$30=FT_Y5,V24&lt;PolicyEff),1,Milestones!$AC$30),0))</f>
        <v>0</v>
      </c>
      <c r="W26" s="0" t="n">
        <f aca="false">IF(W24="",0,IF(AND(W25=Milestones!$AB$31,W24&gt;=SchemeStart),IF(AND(Milestones!$AB$31="FT",Milestones!$AA$31=FT_Y5,W24&lt;PolicyEff),1,Milestones!$AC$31),0))</f>
        <v>0</v>
      </c>
      <c r="X26" s="0" t="n">
        <f aca="false">IF(X24="",0,IF(AND(X25=Milestones!$AB$32,X24&gt;=SchemeStart),IF(AND(Milestones!$AB$32="FT",Milestones!$AA$32=FT_Y5,X24&lt;PolicyEff),1,Milestones!$AC$32),0))</f>
        <v>0</v>
      </c>
      <c r="Y26" s="0" t="n">
        <f aca="false">IF(Y24="",0,IF(AND(Y25=Milestones!$AB$33,Y24&gt;=SchemeStart),IF(AND(Milestones!$AB$33="FT",Milestones!$AA$33=FT_Y5,Y24&lt;PolicyEff),1,Milestones!$AC$33),0))</f>
        <v>0</v>
      </c>
      <c r="Z26" s="0" t="n">
        <f aca="false">IF(Z24="",0,IF(AND(Z25=Milestones!$AB$34,Z24&gt;=SchemeStart),IF(AND(Milestones!$AB$34="FT",Milestones!$AA$34=FT_Y5,Z24&lt;PolicyEff),1,Milestones!$AC$34),0))</f>
        <v>0</v>
      </c>
      <c r="AA26" s="0" t="n">
        <f aca="false">IF(AA24="",0,IF(AND(AA25=Milestones!$AB$35,AA24&gt;=SchemeStart),IF(AND(Milestones!$AB$35="FT",Milestones!$AA$35=FT_Y5,AA24&lt;PolicyEff),1,Milestones!$AC$35),0))</f>
        <v>0</v>
      </c>
      <c r="AB26" s="0" t="n">
        <f aca="false">IF(AB24="",0,IF(AND(AB25=Milestones!$AB$36,AB24&gt;=SchemeStart),IF(AND(Milestones!$AB$36="FT",Milestones!$AA$36=FT_Y5,AB24&lt;PolicyEff),1,Milestones!$AC$36),0))</f>
        <v>0</v>
      </c>
      <c r="AC26" s="0" t="n">
        <f aca="false">IF(AC24="",0,IF(AND(AC25=Milestones!$AB$37,AC24&gt;=SchemeStart),IF(AND(Milestones!$AB$37="FT",Milestones!$AA$37=FT_Y5,AC24&lt;PolicyEff),1,Milestones!$AC$37),0))</f>
        <v>0</v>
      </c>
      <c r="AD26" s="0" t="n">
        <f aca="false">IF(AD24="",0,IF(AND(AD25=Milestones!$AB$38,AD24&gt;=SchemeStart),IF(AND(Milestones!$AB$38="FT",Milestones!$AA$38=FT_Y5,AD24&lt;PolicyEff),1,Milestones!$AC$38),0))</f>
        <v>0</v>
      </c>
      <c r="AE26" s="0" t="n">
        <f aca="false">IF(AE24="",0,IF(AND(AE25=Milestones!$AB$39,AE24&gt;=SchemeStart),IF(AND(Milestones!$AB$39="FT",Milestones!$AA$39=FT_Y5,AE24&lt;PolicyEff),1,Milestones!$AC$39),0))</f>
        <v>0</v>
      </c>
      <c r="AF26" s="0" t="n">
        <f aca="false">IF(AF24="",0,IF(AND(AF25=Milestones!$AB$40,AF24&gt;=SchemeStart),IF(AND(Milestones!$AB$40="FT",Milestones!$AA$40=FT_Y5,AF24&lt;PolicyEff),1,Milestones!$AC$40),0))</f>
        <v>0</v>
      </c>
      <c r="AG26" s="0" t="n">
        <f aca="false">IF(AG24="",0,IF(AND(AG25=Milestones!$AB$41,AG24&gt;=SchemeStart),IF(AND(Milestones!$AB$41="FT",Milestones!$AA$41=FT_Y5,AG24&lt;PolicyEff),1,Milestones!$AC$41),0))</f>
        <v>0</v>
      </c>
      <c r="AH26" s="0" t="n">
        <f aca="false">IF(AH24="",0,IF(AND(AH25=Milestones!$AB$42,AH24&gt;=SchemeStart),IF(AND(Milestones!$AB$42="FT",Milestones!$AA$42=FT_Y5,AH24&lt;PolicyEff),1,Milestones!$AC$42),0))</f>
        <v>0</v>
      </c>
      <c r="AI26" s="0" t="n">
        <f aca="false">IF(AI24="",0,IF(AND(AI25=Milestones!$AB$43,AI24&gt;=SchemeStart),IF(AND(Milestones!$AB$43="FT",Milestones!$AA$43=FT_Y5,AI24&lt;PolicyEff),1,Milestones!$AC$43),0))</f>
        <v>0</v>
      </c>
      <c r="AJ26" s="0" t="n">
        <f aca="false">IF(AJ24="",0,IF(AND(AJ25=Milestones!$AB$44,AJ24&gt;=SchemeStart),IF(AND(Milestones!$AB$44="FT",Milestones!$AA$44=FT_Y5,AJ24&lt;PolicyEff),1,Milestones!$AC$44),0))</f>
        <v>0</v>
      </c>
      <c r="AK26" s="0" t="n">
        <f aca="false">IF(AK24="",0,IF(AND(AK25=Milestones!$AB$45,AK24&gt;=SchemeStart),IF(AND(Milestones!$AB$45="FT",Milestones!$AA$45=FT_Y5,AK24&lt;PolicyEff),1,Milestones!$AC$45),0))</f>
        <v>0</v>
      </c>
      <c r="AL26" s="0" t="n">
        <f aca="false">IF(AL24="",0,IF(AND(AL25=Milestones!$AB$46,AL24&gt;=SchemeStart),IF(AND(Milestones!$AB$46="FT",Milestones!$AA$46=FT_Y5,AL24&lt;PolicyEff),1,Milestones!$AC$46),0))</f>
        <v>0</v>
      </c>
      <c r="AM26" s="0" t="n">
        <f aca="false">IF(AM24="",0,IF(AND(AM25=Milestones!$AB$47,AM24&gt;=SchemeStart),IF(AND(Milestones!$AB$47="FT",Milestones!$AA$47=FT_Y5,AM24&lt;PolicyEff),1,Milestones!$AC$47),0))</f>
        <v>0</v>
      </c>
      <c r="AN26" s="0" t="n">
        <f aca="false">IF(AN24="",0,IF(AND(AN25=Milestones!$AB$48,AN24&gt;=SchemeStart),IF(AND(Milestones!$AB$48="FT",Milestones!$AA$48=FT_Y5,AN24&lt;PolicyEff),1,Milestones!$AC$48),0))</f>
        <v>0</v>
      </c>
      <c r="AO26" s="0" t="n">
        <f aca="false">IF(AO24="",0,IF(AND(AO25=Milestones!$AB$49,AO24&gt;=SchemeStart),IF(AND(Milestones!$AB$49="FT",Milestones!$AA$49=FT_Y5,AO24&lt;PolicyEff),1,Milestones!$AC$49),0))</f>
        <v>0</v>
      </c>
      <c r="AP26" s="0" t="n">
        <f aca="false">IF(AP24="",0,IF(AND(AP25=Milestones!$AB$50,AP24&gt;=SchemeStart),IF(AND(Milestones!$AB$50="FT",Milestones!$AA$50=FT_Y5,AP24&lt;PolicyEff),1,Milestones!$AC$50),0))</f>
        <v>0</v>
      </c>
      <c r="AQ26" s="0" t="n">
        <f aca="false">IF(AQ24="",0,IF(AND(AQ25=Milestones!$AB$51,AQ24&gt;=SchemeStart),IF(AND(Milestones!$AB$51="FT",Milestones!$AA$51=FT_Y5,AQ24&lt;PolicyEff),1,Milestones!$AC$51),0))</f>
        <v>0</v>
      </c>
      <c r="AR26" s="0" t="n">
        <f aca="false">IF(AR24="",0,IF(AND(AR25=Milestones!$AB$52,AR24&gt;=SchemeStart),IF(AND(Milestones!$AB$52="FT",Milestones!$AA$52=FT_Y5,AR24&lt;PolicyEff),1,Milestones!$AC$52),0))</f>
        <v>0</v>
      </c>
      <c r="AS26" s="0" t="n">
        <f aca="false">IF(AS24="",0,IF(AND(AS25=Milestones!$AB$53,AS24&gt;=SchemeStart),IF(AND(Milestones!$AB$53="FT",Milestones!$AA$53=FT_Y5,AS24&lt;PolicyEff),1,Milestones!$AC$53),0))</f>
        <v>0</v>
      </c>
      <c r="AT26" s="0" t="n">
        <f aca="false">IF(AT24="",0,IF(AND(AT25=Milestones!$AB$54,AT24&gt;=SchemeStart),IF(AND(Milestones!$AB$54="FT",Milestones!$AA$54=FT_Y5,AT24&lt;PolicyEff),1,Milestones!$AC$54),0))</f>
        <v>0</v>
      </c>
      <c r="AU26" s="0" t="n">
        <f aca="false">IF(AU24="",0,IF(AND(AU25=Milestones!$AB$55,AU24&gt;=SchemeStart),IF(AND(Milestones!$AB$55="FT",Milestones!$AA$55=FT_Y5,AU24&lt;PolicyEff),1,Milestones!$AC$55),0))</f>
        <v>0</v>
      </c>
      <c r="AV26" s="0" t="n">
        <f aca="false">IF(AV24="",0,IF(AND(AV25=Milestones!$AB$56,AV24&gt;=SchemeStart),IF(AND(Milestones!$AB$56="FT",Milestones!$AA$56=FT_Y5,AV24&lt;PolicyEff),1,Milestones!$AC$56),0))</f>
        <v>0</v>
      </c>
      <c r="AW26" s="0" t="n">
        <f aca="false">IF(AW24="",0,IF(AND(AW25=Milestones!$AB$57,AW24&gt;=SchemeStart),IF(AND(Milestones!$AB$57="FT",Milestones!$AA$57=FT_Y5,AW24&lt;PolicyEff),1,Milestones!$AC$57),0))</f>
        <v>0</v>
      </c>
      <c r="AX26" s="0" t="n">
        <f aca="false">IF(AX24="",0,IF(AND(AX25=Milestones!$AB$58,AX24&gt;=SchemeStart),IF(AND(Milestones!$AB$58="FT",Milestones!$AA$58=FT_Y5,AX24&lt;PolicyEff),1,Milestones!$AC$58),0))</f>
        <v>0</v>
      </c>
      <c r="AY26" s="0" t="n">
        <f aca="false">IF(AY24="",0,IF(AND(AY25=Milestones!$AB$59,AY24&gt;=SchemeStart),IF(AND(Milestones!$AB$59="FT",Milestones!$AA$59=FT_Y5,AY24&lt;PolicyEff),1,Milestones!$AC$59),0))</f>
        <v>0</v>
      </c>
      <c r="AZ26" s="0" t="n">
        <f aca="false">IF(AZ24="",0,IF(AND(AZ25=Milestones!$AB$60,AZ24&gt;=SchemeStart),IF(AND(Milestones!$AB$60="FT",Milestones!$AA$60=FT_Y5,AZ24&lt;PolicyEff),1,Milestones!$AC$60),0))</f>
        <v>0</v>
      </c>
      <c r="BA26" s="0" t="n">
        <f aca="false">IF(BA24="",0,IF(AND(BA25=Milestones!$AB$61,BA24&gt;=SchemeStart),IF(AND(Milestones!$AB$61="FT",Milestones!$AA$61=FT_Y5,BA24&lt;PolicyEff),1,Milestones!$AC$61),0))</f>
        <v>0</v>
      </c>
      <c r="BB26" s="0" t="n">
        <f aca="false">IF(BB24="",0,IF(AND(BB25=Milestones!$AB$62,BB24&gt;=SchemeStart),IF(AND(Milestones!$AB$62="FT",Milestones!$AA$62=FT_Y5,BB24&lt;PolicyEff),1,Milestones!$AC$62),0))</f>
        <v>0</v>
      </c>
      <c r="BC26" s="0" t="n">
        <f aca="false">IF(BC24="",0,IF(AND(BC25=Milestones!$AB$63,BC24&gt;=SchemeStart),IF(AND(Milestones!$AB$63="FT",Milestones!$AA$63=FT_Y5,BC24&lt;PolicyEff),1,Milestones!$AC$63),0))</f>
        <v>0</v>
      </c>
      <c r="BD26" s="0" t="n">
        <f aca="false">IF(BD24="",0,IF(AND(BD25=Milestones!$AB$64,BD24&gt;=SchemeStart),IF(AND(Milestones!$AB$64="FT",Milestones!$AA$64=FT_Y5,BD24&lt;PolicyEff),1,Milestones!$AC$64),0))</f>
        <v>0</v>
      </c>
      <c r="BE26" s="0" t="n">
        <f aca="false">IF(BE24="",0,IF(AND(BE25=Milestones!$AB$65,BE24&gt;=SchemeStart),IF(AND(Milestones!$AB$65="FT",Milestones!$AA$65=FT_Y5,BE24&lt;PolicyEff),1,Milestones!$AC$65),0))</f>
        <v>0</v>
      </c>
      <c r="BF26" s="0" t="n">
        <f aca="false">IF(BF24="",0,IF(AND(BF25=Milestones!$AB$66,BF24&gt;=SchemeStart),IF(AND(Milestones!$AB$66="FT",Milestones!$AA$66=FT_Y5,BF24&lt;PolicyEff),1,Milestones!$AC$66),0))</f>
        <v>0</v>
      </c>
      <c r="BG26" s="0" t="n">
        <f aca="false">IF(BG24="",0,IF(AND(BG25=Milestones!$AB$67,BG24&gt;=SchemeStart),IF(AND(Milestones!$AB$67="FT",Milestones!$AA$67=FT_Y5,BG24&lt;PolicyEff),1,Milestones!$AC$67),0))</f>
        <v>0</v>
      </c>
      <c r="BH26" s="0" t="n">
        <f aca="false">IF(BH24="",0,IF(AND(BH25=Milestones!$AB$68,BH24&gt;=SchemeStart),IF(AND(Milestones!$AB$68="FT",Milestones!$AA$68=FT_Y5,BH24&lt;PolicyEff),1,Milestones!$AC$68),0))</f>
        <v>0</v>
      </c>
      <c r="BI26" s="0" t="n">
        <f aca="false">IF(BI24="",0,IF(AND(BI25=Milestones!$AB$69,BI24&gt;=SchemeStart),IF(AND(Milestones!$AB$69="FT",Milestones!$AA$69=FT_Y5,BI24&lt;PolicyEff),1,Milestones!$AC$69),0))</f>
        <v>0</v>
      </c>
      <c r="BJ26" s="0" t="n">
        <f aca="false">IF(BJ24="",0,IF(AND(BJ25=Milestones!$AB$70,BJ24&gt;=SchemeStart),IF(AND(Milestones!$AB$70="FT",Milestones!$AA$70=FT_Y5,BJ24&lt;PolicyEff),1,Milestones!$AC$70),0))</f>
        <v>0</v>
      </c>
      <c r="BK26" s="0" t="n">
        <f aca="false">IF(BK24="",0,IF(AND(BK25=Milestones!$AB$71,BK24&gt;=SchemeStart),IF(AND(Milestones!$AB$71="FT",Milestones!$AA$71=FT_Y5,BK24&lt;PolicyEff),1,Milestones!$AC$71),0))</f>
        <v>0</v>
      </c>
      <c r="BL26" s="0" t="n">
        <f aca="false">IF(BL24="",0,IF(AND(BL25=Milestones!$AB$72,BL24&gt;=SchemeStart),IF(AND(Milestones!$AB$72="FT",Milestones!$AA$72=FT_Y5,BL24&lt;PolicyEff),1,Milestones!$AC$72),0))</f>
        <v>0</v>
      </c>
      <c r="BM26" s="0" t="n">
        <f aca="false">IF(BM24="",0,IF(AND(BM25=Milestones!$AB$73,BM24&gt;=SchemeStart),IF(AND(Milestones!$AB$73="FT",Milestones!$AA$73=FT_Y5,BM24&lt;PolicyEff),1,Milestones!$AC$73),0))</f>
        <v>0</v>
      </c>
      <c r="BN26" s="0" t="n">
        <f aca="false">IF(BN24="",0,IF(AND(BN25=Milestones!$AB$74,BN24&gt;=SchemeStart),IF(AND(Milestones!$AB$74="FT",Milestones!$AA$74=FT_Y5,BN24&lt;PolicyEff),1,Milestones!$AC$74),0))</f>
        <v>0</v>
      </c>
      <c r="BO26" s="0" t="n">
        <f aca="false">IF(BO24="",0,IF(AND(BO25=Milestones!$AB$75,BO24&gt;=SchemeStart),IF(AND(Milestones!$AB$75="FT",Milestones!$AA$75=FT_Y5,BO24&lt;PolicyEff),1,Milestones!$AC$75),0))</f>
        <v>0</v>
      </c>
      <c r="BP26" s="0" t="n">
        <f aca="false">IF(BP24="",0,IF(AND(BP25=Milestones!$AB$76,BP24&gt;=SchemeStart),IF(AND(Milestones!$AB$76="FT",Milestones!$AA$76=FT_Y5,BP24&lt;PolicyEff),1,Milestones!$AC$76),0))</f>
        <v>0</v>
      </c>
      <c r="BQ26" s="0" t="n">
        <f aca="false">IF(BQ24="",0,IF(AND(BQ25=Milestones!$AB$77,BQ24&gt;=SchemeStart),IF(AND(Milestones!$AB$77="FT",Milestones!$AA$77=FT_Y5,BQ24&lt;PolicyEff),1,Milestones!$AC$77),0))</f>
        <v>0</v>
      </c>
      <c r="BR26" s="0" t="n">
        <f aca="false">IF(BR24="",0,IF(AND(BR25=Milestones!$AB$78,BR24&gt;=SchemeStart),IF(AND(Milestones!$AB$78="FT",Milestones!$AA$78=FT_Y5,BR24&lt;PolicyEff),1,Milestones!$AC$78),0))</f>
        <v>0</v>
      </c>
      <c r="BS26" s="0" t="n">
        <f aca="false">IF(BS24="",0,IF(AND(BS25=Milestones!$AB$79,BS24&gt;=SchemeStart),IF(AND(Milestones!$AB$79="FT",Milestones!$AA$79=FT_Y5,BS24&lt;PolicyEff),1,Milestones!$AC$79),0))</f>
        <v>0</v>
      </c>
      <c r="BT26" s="0" t="n">
        <f aca="false">IF(BT24="",0,IF(AND(BT25=Milestones!$AB$80,BT24&gt;=SchemeStart),IF(AND(Milestones!$AB$80="FT",Milestones!$AA$80=FT_Y5,BT24&lt;PolicyEff),1,Milestones!$AC$80),0))</f>
        <v>0</v>
      </c>
      <c r="BU26" s="0" t="n">
        <f aca="false">IF(BU24="",0,IF(AND(BU25=Milestones!$AB$81,BU24&gt;=SchemeStart),IF(AND(Milestones!$AB$81="FT",Milestones!$AA$81=FT_Y5,BU24&lt;PolicyEff),1,Milestones!$AC$81),0))</f>
        <v>0</v>
      </c>
      <c r="BV26" s="0" t="n">
        <f aca="false">IF(BV24="",0,IF(AND(BV25=Milestones!$AB$82,BV24&gt;=SchemeStart),IF(AND(Milestones!$AB$82="FT",Milestones!$AA$82=FT_Y5,BV24&lt;PolicyEff),1,Milestones!$AC$82),0))</f>
        <v>0</v>
      </c>
      <c r="BW26" s="0" t="n">
        <f aca="false">IF(BW24="",0,IF(AND(BW25=Milestones!$AB$83,BW24&gt;=SchemeStart),IF(AND(Milestones!$AB$83="FT",Milestones!$AA$83=FT_Y5,BW24&lt;PolicyEff),1,Milestones!$AC$83),0))</f>
        <v>0</v>
      </c>
      <c r="BX26" s="0" t="n">
        <f aca="false">IF(BX24="",0,IF(AND(BX25=Milestones!$AB$84,BX24&gt;=SchemeStart),IF(AND(Milestones!$AB$84="FT",Milestones!$AA$84=FT_Y5,BX24&lt;PolicyEff),1,Milestones!$AC$84),0))</f>
        <v>0</v>
      </c>
      <c r="BY26" s="0" t="n">
        <f aca="false">IF(BY24="",0,IF(AND(BY25=Milestones!$AB$85,BY24&gt;=SchemeStart),IF(AND(Milestones!$AB$85="FT",Milestones!$AA$85=FT_Y5,BY24&lt;PolicyEff),1,Milestones!$AC$85),0))</f>
        <v>0</v>
      </c>
      <c r="BZ26" s="0" t="n">
        <f aca="false">IF(BZ24="",0,IF(AND(BZ25=Milestones!$AB$86,BZ24&gt;=SchemeStart),IF(AND(Milestones!$AB$86="FT",Milestones!$AA$86=FT_Y5,BZ24&lt;PolicyEff),1,Milestones!$AC$86),0))</f>
        <v>0</v>
      </c>
      <c r="CA26" s="0" t="n">
        <f aca="false">IF(CA24="",0,IF(AND(CA25=Milestones!$AB$87,CA24&gt;=SchemeStart),IF(AND(Milestones!$AB$87="FT",Milestones!$AA$87=FT_Y5,CA24&lt;PolicyEff),1,Milestones!$AC$87),0))</f>
        <v>0</v>
      </c>
      <c r="CB26" s="0" t="n">
        <f aca="false">IF(CB24="",0,IF(AND(CB25=Milestones!$AB$88,CB24&gt;=SchemeStart),IF(AND(Milestones!$AB$88="FT",Milestones!$AA$88=FT_Y5,CB24&lt;PolicyEff),1,Milestones!$AC$88),0))</f>
        <v>0</v>
      </c>
      <c r="CC26" s="0" t="n">
        <f aca="false">IF(CC24="",0,IF(AND(CC25=Milestones!$AB$89,CC24&gt;=SchemeStart),IF(AND(Milestones!$AB$89="FT",Milestones!$AA$89=FT_Y5,CC24&lt;PolicyEff),1,Milestones!$AC$89),0))</f>
        <v>0</v>
      </c>
      <c r="CD26" s="0" t="n">
        <f aca="false">IF(CD24="",0,IF(AND(CD25=Milestones!$AB$90,CD24&gt;=SchemeStart),IF(AND(Milestones!$AB$90="FT",Milestones!$AA$90=FT_Y5,CD24&lt;PolicyEff),1,Milestones!$AC$90),0))</f>
        <v>0</v>
      </c>
      <c r="CE26" s="0" t="n">
        <f aca="false">IF(CE24="",0,IF(AND(CE25=Milestones!$AB$91,CE24&gt;=SchemeStart),IF(AND(Milestones!$AB$91="FT",Milestones!$AA$91=FT_Y5,CE24&lt;PolicyEff),1,Milestones!$AC$91),0))</f>
        <v>0</v>
      </c>
      <c r="CF26" s="0" t="n">
        <f aca="false">IF(CF24="",0,IF(AND(CF25=Milestones!$AB$92,CF24&gt;=SchemeStart),IF(AND(Milestones!$AB$92="FT",Milestones!$AA$92=FT_Y5,CF24&lt;PolicyEff),1,Milestones!$AC$92),0))</f>
        <v>0</v>
      </c>
      <c r="CG26" s="0" t="n">
        <f aca="false">IF(CG24="",0,IF(AND(CG25=Milestones!$AB$93,CG24&gt;=SchemeStart),IF(AND(Milestones!$AB$93="FT",Milestones!$AA$93=FT_Y5,CG24&lt;PolicyEff),1,Milestones!$AC$93),0))</f>
        <v>0</v>
      </c>
      <c r="CH26" s="0" t="n">
        <f aca="false">IF(CH24="",0,IF(AND(CH25=Milestones!$AB$94,CH24&gt;=SchemeStart),IF(AND(Milestones!$AB$94="FT",Milestones!$AA$94=FT_Y5,CH24&lt;PolicyEff),1,Milestones!$AC$94),0))</f>
        <v>0</v>
      </c>
      <c r="CI26" s="0" t="n">
        <f aca="false">IF(CI24="",0,IF(AND(CI25=Milestones!$AB$95,CI24&gt;=SchemeStart),IF(AND(Milestones!$AB$95="FT",Milestones!$AA$95=FT_Y5,CI24&lt;PolicyEff),1,Milestones!$AC$95),0))</f>
        <v>0</v>
      </c>
      <c r="CJ26" s="0" t="n">
        <f aca="false">IF(CJ24="",0,IF(AND(CJ25=Milestones!$AB$96,CJ24&gt;=SchemeStart),IF(AND(Milestones!$AB$96="FT",Milestones!$AA$96=FT_Y5,CJ24&lt;PolicyEff),1,Milestones!$AC$96),0))</f>
        <v>0</v>
      </c>
      <c r="CK26" s="0" t="n">
        <f aca="false">IF(CK24="",0,IF(AND(CK25=Milestones!$AB$97,CK24&gt;=SchemeStart),IF(AND(Milestones!$AB$97="FT",Milestones!$AA$97=FT_Y5,CK24&lt;PolicyEff),1,Milestones!$AC$97),0))</f>
        <v>0</v>
      </c>
      <c r="CL26" s="0" t="n">
        <f aca="false">IF(CL24="",0,IF(AND(CL25=Milestones!$AB$98,CL24&gt;=SchemeStart),IF(AND(Milestones!$AB$98="FT",Milestones!$AA$98=FT_Y5,CL24&lt;PolicyEff),1,Milestones!$AC$98),0))</f>
        <v>0</v>
      </c>
      <c r="CM26" s="0" t="n">
        <f aca="false">IF(CM24="",0,IF(AND(CM25=Milestones!$AB$99,CM24&gt;=SchemeStart),IF(AND(Milestones!$AB$99="FT",Milestones!$AA$99=FT_Y5,CM24&lt;PolicyEff),1,Milestones!$AC$99),0))</f>
        <v>0</v>
      </c>
      <c r="CN26" s="0" t="n">
        <f aca="false">IF(CN24="",0,IF(AND(CN25=Milestones!$AB$100,CN24&gt;=SchemeStart),IF(AND(Milestones!$AB$100="FT",Milestones!$AA$100=FT_Y5,CN24&lt;PolicyEff),1,Milestones!$AC$100),0))</f>
        <v>0</v>
      </c>
      <c r="CO26" s="0" t="n">
        <f aca="false">IF(CO24="",0,IF(AND(CO25=Milestones!$AB$101,CO24&gt;=SchemeStart),IF(AND(Milestones!$AB$101="FT",Milestones!$AA$101=FT_Y5,CO24&lt;PolicyEff),1,Milestones!$AC$101),0))</f>
        <v>0</v>
      </c>
      <c r="CP26" s="0" t="n">
        <f aca="false">IF(CP24="",0,IF(AND(CP25=Milestones!$AB$102,CP24&gt;=SchemeStart),IF(AND(Milestones!$AB$102="FT",Milestones!$AA$102=FT_Y5,CP24&lt;PolicyEff),1,Milestones!$AC$102),0))</f>
        <v>0</v>
      </c>
      <c r="CQ26" s="0" t="n">
        <f aca="false">IF(CQ24="",0,IF(AND(CQ25=Milestones!$AB$103,CQ24&gt;=SchemeStart),IF(AND(Milestones!$AB$103="FT",Milestones!$AA$103=FT_Y5,CQ24&lt;PolicyEff),1,Milestones!$AC$103),0))</f>
        <v>0</v>
      </c>
      <c r="CR26" s="0" t="n">
        <f aca="false">IF(CR24="",0,IF(AND(CR25=Milestones!$AB$104,CR24&gt;=SchemeStart),IF(AND(Milestones!$AB$104="FT",Milestones!$AA$104=FT_Y5,CR24&lt;PolicyEff),1,Milestones!$AC$104),0))</f>
        <v>0</v>
      </c>
      <c r="CS26" s="0" t="n">
        <f aca="false">IF(CS24="",0,IF(AND(CS25=Milestones!$AB$105,CS24&gt;=SchemeStart),IF(AND(Milestones!$AB$105="FT",Milestones!$AA$105=FT_Y5,CS24&lt;PolicyEff),1,Milestones!$AC$105),0))</f>
        <v>0</v>
      </c>
      <c r="CT26" s="0" t="n">
        <f aca="false">IF(CT24="",0,IF(AND(CT25=Milestones!$AB$106,CT24&gt;=SchemeStart),IF(AND(Milestones!$AB$106="FT",Milestones!$AA$106=FT_Y5,CT24&lt;PolicyEff),1,Milestones!$AC$106),0))</f>
        <v>0</v>
      </c>
      <c r="CU26" s="0" t="n">
        <f aca="false">IF(CU24="",0,IF(AND(CU25=Milestones!$AB$107,CU24&gt;=SchemeStart),IF(AND(Milestones!$AB$107="FT",Milestones!$AA$107=FT_Y5,CU24&lt;PolicyEff),1,Milestones!$AC$107),0))</f>
        <v>0</v>
      </c>
      <c r="CV26" s="0" t="n">
        <f aca="false">IF(CV24="",0,IF(AND(CV25=Milestones!$AB$108,CV24&gt;=SchemeStart),IF(AND(Milestones!$AB$108="FT",Milestones!$AA$108=FT_Y5,CV24&lt;PolicyEff),1,Milestones!$AC$108),0))</f>
        <v>0</v>
      </c>
      <c r="CW26" s="0" t="n">
        <f aca="false">IF(CW24="",0,IF(AND(CW25=Milestones!$AB$109,CW24&gt;=SchemeStart),IF(AND(Milestones!$AB$109="FT",Milestones!$AA$109=FT_Y5,CW24&lt;PolicyEff),1,Milestones!$AC$109),0))</f>
        <v>0</v>
      </c>
      <c r="CX26" s="0" t="n">
        <f aca="false">IF(CX24="",0,IF(AND(CX25=Milestones!$AB$110,CX24&gt;=SchemeStart),IF(AND(Milestones!$AB$110="FT",Milestones!$AA$110=FT_Y5,CX24&lt;PolicyEff),1,Milestones!$AC$110),0))</f>
        <v>0</v>
      </c>
      <c r="CY26" s="0" t="n">
        <f aca="false">IF(CY24="",0,IF(AND(CY25=Milestones!$AB$111,CY24&gt;=SchemeStart),IF(AND(Milestones!$AB$111="FT",Milestones!$AA$111=FT_Y5,CY24&lt;PolicyEff),1,Milestones!$AC$111),0))</f>
        <v>0</v>
      </c>
      <c r="CZ26" s="0" t="n">
        <f aca="false">IF(CZ24="",0,IF(AND(CZ25=Milestones!$AB$112,CZ24&gt;=SchemeStart),IF(AND(Milestones!$AB$112="FT",Milestones!$AA$112=FT_Y5,CZ24&lt;PolicyEff),1,Milestones!$AC$112),0))</f>
        <v>0</v>
      </c>
      <c r="DA26" s="0" t="n">
        <f aca="false">IF(DA24="",0,IF(AND(DA25=Milestones!$AB$113,DA24&gt;=SchemeStart),IF(AND(Milestones!$AB$113="FT",Milestones!$AA$113=FT_Y5,DA24&lt;PolicyEff),1,Milestones!$AC$113),0))</f>
        <v>0</v>
      </c>
      <c r="DB26" s="0" t="n">
        <f aca="false">IF(DB24="",0,IF(AND(DB25=Milestones!$AB$114,DB24&gt;=SchemeStart),IF(AND(Milestones!$AB$114="FT",Milestones!$AA$114=FT_Y5,DB24&lt;PolicyEff),1,Milestones!$AC$114),0))</f>
        <v>0</v>
      </c>
      <c r="DC26" s="0" t="n">
        <f aca="false">IF(DC24="",0,IF(AND(DC25=Milestones!$AB$115,DC24&gt;=SchemeStart),IF(AND(Milestones!$AB$115="FT",Milestones!$AA$115=FT_Y5,DC24&lt;PolicyEff),1,Milestones!$AC$115),0))</f>
        <v>0</v>
      </c>
      <c r="DD26" s="0" t="n">
        <f aca="false">IF(DD24="",0,IF(AND(DD25=Milestones!$AB$116,DD24&gt;=SchemeStart),IF(AND(Milestones!$AB$116="FT",Milestones!$AA$116=FT_Y5,DD24&lt;PolicyEff),1,Milestones!$AC$116),0))</f>
        <v>0</v>
      </c>
      <c r="DE26" s="0" t="n">
        <f aca="false">IF(DE24="",0,IF(AND(DE25=Milestones!$AB$117,DE24&gt;=SchemeStart),IF(AND(Milestones!$AB$117="FT",Milestones!$AA$117=FT_Y5,DE24&lt;PolicyEff),1,Milestones!$AC$117),0))</f>
        <v>0</v>
      </c>
      <c r="DF26" s="0" t="n">
        <f aca="false">IF(DF24="",0,IF(AND(DF25=Milestones!$AB$118,DF24&gt;=SchemeStart),IF(AND(Milestones!$AB$118="FT",Milestones!$AA$118=FT_Y5,DF24&lt;PolicyEff),1,Milestones!$AC$118),0))</f>
        <v>0</v>
      </c>
      <c r="DG26" s="0" t="n">
        <f aca="false">IF(DG24="",0,IF(AND(DG25=Milestones!$AB$119,DG24&gt;=SchemeStart),IF(AND(Milestones!$AB$119="FT",Milestones!$AA$119=FT_Y5,DG24&lt;PolicyEff),1,Milestones!$AC$119),0))</f>
        <v>0</v>
      </c>
      <c r="DH26" s="0" t="n">
        <f aca="false">IF(DH24="",0,IF(AND(DH25=Milestones!$AB$120,DH24&gt;=SchemeStart),IF(AND(Milestones!$AB$120="FT",Milestones!$AA$120=FT_Y5,DH24&lt;PolicyEff),1,Milestones!$AC$120),0))</f>
        <v>0</v>
      </c>
      <c r="DI26" s="0" t="n">
        <f aca="false">IF(DI24="",0,IF(AND(DI25=Milestones!$AB$121,DI24&gt;=SchemeStart),IF(AND(Milestones!$AB$121="FT",Milestones!$AA$121=FT_Y5,DI24&lt;PolicyEff),1,Milestones!$AC$121),0))</f>
        <v>0</v>
      </c>
      <c r="DJ26" s="0" t="n">
        <f aca="false">IF(DJ24="",0,IF(AND(DJ25=Milestones!$AB$122,DJ24&gt;=SchemeStart),IF(AND(Milestones!$AB$122="FT",Milestones!$AA$122=FT_Y5,DJ24&lt;PolicyEff),1,Milestones!$AC$122),0))</f>
        <v>0</v>
      </c>
      <c r="DK26" s="0" t="n">
        <f aca="false">IF(DK24="",0,IF(AND(DK25=Milestones!$AB$123,DK24&gt;=SchemeStart),IF(AND(Milestones!$AB$123="FT",Milestones!$AA$123=FT_Y5,DK24&lt;PolicyEff),1,Milestones!$AC$123),0))</f>
        <v>0</v>
      </c>
      <c r="DL26" s="0" t="n">
        <f aca="false">IF(DL24="",0,IF(AND(DL25=Milestones!$AB$124,DL24&gt;=SchemeStart),IF(AND(Milestones!$AB$124="FT",Milestones!$AA$124=FT_Y5,DL24&lt;PolicyEff),1,Milestones!$AC$124),0))</f>
        <v>0</v>
      </c>
      <c r="DM26" s="0" t="n">
        <f aca="false">IF(DM24="",0,IF(AND(DM25=Milestones!$AB$125,DM24&gt;=SchemeStart),IF(AND(Milestones!$AB$125="FT",Milestones!$AA$125=FT_Y5,DM24&lt;PolicyEff),1,Milestones!$AC$125),0))</f>
        <v>0</v>
      </c>
      <c r="DN26" s="0" t="n">
        <f aca="false">IF(DN24="",0,IF(AND(DN25=Milestones!$AB$126,DN24&gt;=SchemeStart),IF(AND(Milestones!$AB$126="FT",Milestones!$AA$126=FT_Y5,DN24&lt;PolicyEff),1,Milestones!$AC$126),0))</f>
        <v>0</v>
      </c>
      <c r="DO26" s="0" t="n">
        <f aca="false">IF(DO24="",0,IF(AND(DO25=Milestones!$AB$127,DO24&gt;=SchemeStart),IF(AND(Milestones!$AB$127="FT",Milestones!$AA$127=FT_Y5,DO24&lt;PolicyEff),1,Milestones!$AC$127),0))</f>
        <v>0</v>
      </c>
      <c r="DP26" s="0" t="n">
        <f aca="false">IF(DP24="",0,IF(AND(DP25=Milestones!$AB$128,DP24&gt;=SchemeStart),IF(AND(Milestones!$AB$128="FT",Milestones!$AA$128=FT_Y5,DP24&lt;PolicyEff),1,Milestones!$AC$128),0))</f>
        <v>0</v>
      </c>
      <c r="DQ26" s="0" t="n">
        <f aca="false">IF(DQ24="",0,IF(AND(DQ25=Milestones!$AB$129,DQ24&gt;=SchemeStart),IF(AND(Milestones!$AB$129="FT",Milestones!$AA$129=FT_Y5,DQ24&lt;PolicyEff),1,Milestones!$AC$129),0))</f>
        <v>0</v>
      </c>
      <c r="DR26" s="0" t="n">
        <f aca="false">IF(DR24="",0,IF(AND(DR25=Milestones!$AB$130,DR24&gt;=SchemeStart),IF(AND(Milestones!$AB$130="FT",Milestones!$AA$130=FT_Y5,DR24&lt;PolicyEff),1,Milestones!$AC$130),0))</f>
        <v>0</v>
      </c>
      <c r="DS26" s="0" t="n">
        <f aca="false">IF(DS24="",0,IF(AND(DS25=Milestones!$AB$131,DS24&gt;=SchemeStart),IF(AND(Milestones!$AB$131="FT",Milestones!$AA$131=FT_Y5,DS24&lt;PolicyEff),1,Milestones!$AC$131),0))</f>
        <v>0</v>
      </c>
      <c r="DT26" s="0" t="n">
        <f aca="false">IF(DT24="",0,IF(AND(DT25=Milestones!$AB$132,DT24&gt;=SchemeStart),IF(AND(Milestones!$AB$132="FT",Milestones!$AA$132=FT_Y5,DT24&lt;PolicyEff),1,Milestones!$AC$132),0))</f>
        <v>0</v>
      </c>
      <c r="DU26" s="0" t="n">
        <f aca="false">IF(DU24="",0,IF(AND(DU25=Milestones!$AB$133,DU24&gt;=SchemeStart),IF(AND(Milestones!$AB$133="FT",Milestones!$AA$133=FT_Y5,DU24&lt;PolicyEff),1,Milestones!$AC$133),0))</f>
        <v>0</v>
      </c>
      <c r="DV26" s="0" t="n">
        <f aca="false">IF(DV24="",0,IF(AND(DV25=Milestones!$AB$134,DV24&gt;=SchemeStart),IF(AND(Milestones!$AB$134="FT",Milestones!$AA$134=FT_Y5,DV24&lt;PolicyEff),1,Milestones!$AC$134),0))</f>
        <v>0</v>
      </c>
      <c r="DW26" s="0" t="n">
        <f aca="false">IF(DW24="",0,IF(AND(DW25=Milestones!$AB$135,DW24&gt;=SchemeStart),IF(AND(Milestones!$AB$135="FT",Milestones!$AA$135=FT_Y5,DW24&lt;PolicyEff),1,Milestones!$AC$135),0))</f>
        <v>0</v>
      </c>
      <c r="DX26" s="0" t="n">
        <f aca="false">IF(DX24="",0,IF(AND(DX25=Milestones!$AB$136,DX24&gt;=SchemeStart),IF(AND(Milestones!$AB$136="FT",Milestones!$AA$136=FT_Y5,DX24&lt;PolicyEff),1,Milestones!$AC$136),0))</f>
        <v>0</v>
      </c>
      <c r="DY26" s="0" t="n">
        <f aca="false">IF(DY24="",0,IF(AND(DY25=Milestones!$AB$137,DY24&gt;=SchemeStart),IF(AND(Milestones!$AB$137="FT",Milestones!$AA$137=FT_Y5,DY24&lt;PolicyEff),1,Milestones!$AC$137),0))</f>
        <v>0</v>
      </c>
      <c r="DZ26" s="0" t="n">
        <f aca="false">IF(DZ24="",0,IF(AND(DZ25=Milestones!$AB$138,DZ24&gt;=SchemeStart),IF(AND(Milestones!$AB$138="FT",Milestones!$AA$138=FT_Y5,DZ24&lt;PolicyEff),1,Milestones!$AC$138),0))</f>
        <v>0</v>
      </c>
      <c r="EA26" s="0" t="n">
        <f aca="false">IF(EA24="",0,IF(AND(EA25=Milestones!$AB$139,EA24&gt;=SchemeStart),IF(AND(Milestones!$AB$139="FT",Milestones!$AA$139=FT_Y5,EA24&lt;PolicyEff),1,Milestones!$AC$139),0))</f>
        <v>0</v>
      </c>
      <c r="EB26" s="0" t="n">
        <f aca="false">IF(EB24="",0,IF(AND(EB25=Milestones!$AB$140,EB24&gt;=SchemeStart),IF(AND(Milestones!$AB$140="FT",Milestones!$AA$140=FT_Y5,EB24&lt;PolicyEff),1,Milestones!$AC$140),0))</f>
        <v>0</v>
      </c>
      <c r="EC26" s="0" t="n">
        <f aca="false">IF(EC24="",0,IF(AND(EC25=Milestones!$AB$141,EC24&gt;=SchemeStart),IF(AND(Milestones!$AB$141="FT",Milestones!$AA$141=FT_Y5,EC24&lt;PolicyEff),1,Milestones!$AC$141),0))</f>
        <v>0</v>
      </c>
      <c r="ED26" s="0" t="n">
        <f aca="false">IF(ED24="",0,IF(AND(ED25=Milestones!$AB$142,ED24&gt;=SchemeStart),IF(AND(Milestones!$AB$142="FT",Milestones!$AA$142=FT_Y5,ED24&lt;PolicyEff),1,Milestones!$AC$142),0))</f>
        <v>0</v>
      </c>
      <c r="EE26" s="0" t="n">
        <f aca="false">IF(EE24="",0,IF(AND(EE25=Milestones!$AB$143,EE24&gt;=SchemeStart),IF(AND(Milestones!$AB$143="FT",Milestones!$AA$143=FT_Y5,EE24&lt;PolicyEff),1,Milestones!$AC$143),0))</f>
        <v>0</v>
      </c>
      <c r="EF26" s="0" t="n">
        <f aca="false">IF(EF24="",0,IF(AND(EF25=Milestones!$AB$144,EF24&gt;=SchemeStart),IF(AND(Milestones!$AB$144="FT",Milestones!$AA$144=FT_Y5,EF24&lt;PolicyEff),1,Milestones!$AC$144),0))</f>
        <v>0</v>
      </c>
      <c r="EG26" s="0" t="n">
        <f aca="false">IF(EG24="",0,IF(AND(EG25=Milestones!$AB$145,EG24&gt;=SchemeStart),IF(AND(Milestones!$AB$145="FT",Milestones!$AA$145=FT_Y5,EG24&lt;PolicyEff),1,Milestones!$AC$145),0))</f>
        <v>0</v>
      </c>
      <c r="EH26" s="0" t="n">
        <f aca="false">IF(EH24="",0,IF(AND(EH25=Milestones!$AB$146,EH24&gt;=SchemeStart),IF(AND(Milestones!$AB$146="FT",Milestones!$AA$146=FT_Y5,EH24&lt;PolicyEff),1,Milestones!$AC$146),0))</f>
        <v>0</v>
      </c>
      <c r="EI26" s="0" t="n">
        <f aca="false">IF(EI24="",0,IF(AND(EI25=Milestones!$AB$147,EI24&gt;=SchemeStart),IF(AND(Milestones!$AB$147="FT",Milestones!$AA$147=FT_Y5,EI24&lt;PolicyEff),1,Milestones!$AC$147),0))</f>
        <v>0</v>
      </c>
      <c r="EJ26" s="0" t="n">
        <f aca="false">IF(EJ24="",0,IF(AND(EJ25=Milestones!$AB$148,EJ24&gt;=SchemeStart),IF(AND(Milestones!$AB$148="FT",Milestones!$AA$148=FT_Y5,EJ24&lt;PolicyEff),1,Milestones!$AC$148),0))</f>
        <v>0</v>
      </c>
      <c r="EK26" s="0" t="n">
        <f aca="false">IF(EK24="",0,IF(AND(EK25=Milestones!$AB$149,EK24&gt;=SchemeStart),IF(AND(Milestones!$AB$149="FT",Milestones!$AA$149=FT_Y5,EK24&lt;PolicyEff),1,Milestones!$AC$149),0))</f>
        <v>0</v>
      </c>
      <c r="EL26" s="0" t="n">
        <f aca="false">IF(EL24="",0,IF(AND(EL25=Milestones!$AB$150,EL24&gt;=SchemeStart),IF(AND(Milestones!$AB$150="FT",Milestones!$AA$150=FT_Y5,EL24&lt;PolicyEff),1,Milestones!$AC$150),0))</f>
        <v>0</v>
      </c>
      <c r="EM26" s="0" t="n">
        <f aca="false">IF(EM24="",0,IF(AND(EM25=Milestones!$AB$151,EM24&gt;=SchemeStart),IF(AND(Milestones!$AB$151="FT",Milestones!$AA$151=FT_Y5,EM24&lt;PolicyEff),1,Milestones!$AC$151),0))</f>
        <v>0</v>
      </c>
      <c r="EN26" s="0" t="n">
        <f aca="false">IF(EN24="",0,IF(AND(EN25=Milestones!$AB$152,EN24&gt;=SchemeStart),IF(AND(Milestones!$AB$152="FT",Milestones!$AA$152=FT_Y5,EN24&lt;PolicyEff),1,Milestones!$AC$152),0))</f>
        <v>0</v>
      </c>
      <c r="EO26" s="0" t="n">
        <f aca="false">IF(EO24="",0,IF(AND(EO25=Milestones!$AB$153,EO24&gt;=SchemeStart),IF(AND(Milestones!$AB$153="FT",Milestones!$AA$153=FT_Y5,EO24&lt;PolicyEff),1,Milestones!$AC$153),0))</f>
        <v>0</v>
      </c>
      <c r="EP26" s="0" t="n">
        <f aca="false">IF(EP24="",0,IF(AND(EP25=Milestones!$AB$154,EP24&gt;=SchemeStart),IF(AND(Milestones!$AB$154="FT",Milestones!$AA$154=FT_Y5,EP24&lt;PolicyEff),1,Milestones!$AC$154),0))</f>
        <v>0</v>
      </c>
      <c r="EQ26" s="0" t="n">
        <f aca="false">IF(EQ24="",0,IF(AND(EQ25=Milestones!$AB$155,EQ24&gt;=SchemeStart),IF(AND(Milestones!$AB$155="FT",Milestones!$AA$155=FT_Y5,EQ24&lt;PolicyEff),1,Milestones!$AC$155),0))</f>
        <v>0</v>
      </c>
      <c r="ER26" s="0" t="n">
        <f aca="false">IF(ER24="",0,IF(AND(ER25=Milestones!$AB$156,ER24&gt;=SchemeStart),IF(AND(Milestones!$AB$156="FT",Milestones!$AA$156=FT_Y5,ER24&lt;PolicyEff),1,Milestones!$AC$156),0))</f>
        <v>0</v>
      </c>
      <c r="ES26" s="0" t="n">
        <f aca="false">IF(ES24="",0,IF(AND(ES25=Milestones!$AB$157,ES24&gt;=SchemeStart),IF(AND(Milestones!$AB$157="FT",Milestones!$AA$157=FT_Y5,ES24&lt;PolicyEff),1,Milestones!$AC$157),0))</f>
        <v>0</v>
      </c>
      <c r="ET26" s="0" t="n">
        <f aca="false">IF(ET24="",0,IF(AND(ET25=Milestones!$AB$158,ET24&gt;=SchemeStart),IF(AND(Milestones!$AB$158="FT",Milestones!$AA$158=FT_Y5,ET24&lt;PolicyEff),1,Milestones!$AC$158),0))</f>
        <v>0</v>
      </c>
      <c r="EU26" s="0" t="n">
        <f aca="false">IF(EU24="",0,IF(AND(EU25=Milestones!$AB$159,EU24&gt;=SchemeStart),IF(AND(Milestones!$AB$159="FT",Milestones!$AA$159=FT_Y5,EU24&lt;PolicyEff),1,Milestones!$AC$159),0))</f>
        <v>0</v>
      </c>
      <c r="EV26" s="0" t="n">
        <f aca="false">IF(EV24="",0,IF(AND(EV25=Milestones!$AB$160,EV24&gt;=SchemeStart),IF(AND(Milestones!$AB$160="FT",Milestones!$AA$160=FT_Y5,EV24&lt;PolicyEff),1,Milestones!$AC$160),0))</f>
        <v>0</v>
      </c>
      <c r="EW26" s="0" t="n">
        <f aca="false">IF(EW24="",0,IF(AND(EW25=Milestones!$AB$161,EW24&gt;=SchemeStart),IF(AND(Milestones!$AB$161="FT",Milestones!$AA$161=FT_Y5,EW24&lt;PolicyEff),1,Milestones!$AC$161),0))</f>
        <v>0</v>
      </c>
      <c r="EX26" s="0" t="n">
        <f aca="false">IF(EX24="",0,IF(AND(EX25=Milestones!$AB$162,EX24&gt;=SchemeStart),IF(AND(Milestones!$AB$162="FT",Milestones!$AA$162=FT_Y5,EX24&lt;PolicyEff),1,Milestones!$AC$162),0))</f>
        <v>0</v>
      </c>
      <c r="EY26" s="0" t="n">
        <f aca="false">IF(EY24="",0,IF(AND(EY25=Milestones!$AB$163,EY24&gt;=SchemeStart),IF(AND(Milestones!$AB$163="FT",Milestones!$AA$163=FT_Y5,EY24&lt;PolicyEff),1,Milestones!$AC$163),0))</f>
        <v>0</v>
      </c>
      <c r="EZ26" s="0" t="n">
        <f aca="false">IF(EZ24="",0,IF(AND(EZ25=Milestones!$AB$164,EZ24&gt;=SchemeStart),IF(AND(Milestones!$AB$164="FT",Milestones!$AA$164=FT_Y5,EZ24&lt;PolicyEff),1,Milestones!$AC$164),0))</f>
        <v>0</v>
      </c>
      <c r="FA26" s="0" t="n">
        <f aca="false">IF(FA24="",0,IF(AND(FA25=Milestones!$AB$165,FA24&gt;=SchemeStart),IF(AND(Milestones!$AB$165="FT",Milestones!$AA$165=FT_Y5,FA24&lt;PolicyEff),1,Milestones!$AC$165),0))</f>
        <v>0</v>
      </c>
      <c r="FB26" s="0" t="n">
        <f aca="false">IF(FB24="",0,IF(AND(FB25=Milestones!$AB$166,FB24&gt;=SchemeStart),IF(AND(Milestones!$AB$166="FT",Milestones!$AA$166=FT_Y5,FB24&lt;PolicyEff),1,Milestones!$AC$166),0))</f>
        <v>0</v>
      </c>
      <c r="FC26" s="0" t="n">
        <f aca="false">IF(FC24="",0,IF(AND(FC25=Milestones!$AB$167,FC24&gt;=SchemeStart),IF(AND(Milestones!$AB$167="FT",Milestones!$AA$167=FT_Y5,FC24&lt;PolicyEff),1,Milestones!$AC$167),0))</f>
        <v>0</v>
      </c>
      <c r="FD26" s="0" t="n">
        <f aca="false">IF(FD24="",0,IF(AND(FD25=Milestones!$AB$168,FD24&gt;=SchemeStart),IF(AND(Milestones!$AB$168="FT",Milestones!$AA$168=FT_Y5,FD24&lt;PolicyEff),1,Milestones!$AC$168),0))</f>
        <v>0</v>
      </c>
      <c r="FE26" s="0" t="n">
        <f aca="false">IF(FE24="",0,IF(AND(FE25=Milestones!$AB$169,FE24&gt;=SchemeStart),IF(AND(Milestones!$AB$169="FT",Milestones!$AA$169=FT_Y5,FE24&lt;PolicyEff),1,Milestones!$AC$169),0))</f>
        <v>0</v>
      </c>
      <c r="FF26" s="0" t="n">
        <f aca="false">IF(FF24="",0,IF(AND(FF25=Milestones!$AB$170,FF24&gt;=SchemeStart),IF(AND(Milestones!$AB$170="FT",Milestones!$AA$170=FT_Y5,FF24&lt;PolicyEff),1,Milestones!$AC$170),0))</f>
        <v>0</v>
      </c>
      <c r="FG26" s="0" t="n">
        <f aca="false">IF(FG24="",0,IF(AND(FG25=Milestones!$AB$171,FG24&gt;=SchemeStart),IF(AND(Milestones!$AB$171="FT",Milestones!$AA$171=FT_Y5,FG24&lt;PolicyEff),1,Milestones!$AC$171),0))</f>
        <v>0</v>
      </c>
      <c r="FH26" s="0" t="n">
        <f aca="false">IF(FH24="",0,IF(AND(FH25=Milestones!$AB$172,FH24&gt;=SchemeStart),IF(AND(Milestones!$AB$172="FT",Milestones!$AA$172=FT_Y5,FH24&lt;PolicyEff),1,Milestones!$AC$172),0))</f>
        <v>0</v>
      </c>
      <c r="FI26" s="0" t="n">
        <f aca="false">IF(FI24="",0,IF(AND(FI25=Milestones!$AB$173,FI24&gt;=SchemeStart),IF(AND(Milestones!$AB$173="FT",Milestones!$AA$173=FT_Y5,FI24&lt;PolicyEff),1,Milestones!$AC$173),0))</f>
        <v>0</v>
      </c>
      <c r="FJ26" s="0" t="n">
        <f aca="false">IF(FJ24="",0,IF(AND(FJ25=Milestones!$AB$174,FJ24&gt;=SchemeStart),IF(AND(Milestones!$AB$174="FT",Milestones!$AA$174=FT_Y5,FJ24&lt;PolicyEff),1,Milestones!$AC$174),0))</f>
        <v>0</v>
      </c>
      <c r="FK26" s="0" t="n">
        <f aca="false">IF(FK24="",0,IF(AND(FK25=Milestones!$AB$175,FK24&gt;=SchemeStart),IF(AND(Milestones!$AB$175="FT",Milestones!$AA$175=FT_Y5,FK24&lt;PolicyEff),1,Milestones!$AC$175),0))</f>
        <v>0</v>
      </c>
      <c r="FL26" s="0" t="n">
        <f aca="false">IF(FL24="",0,IF(AND(FL25=Milestones!$AB$176,FL24&gt;=SchemeStart),IF(AND(Milestones!$AB$176="FT",Milestones!$AA$176=FT_Y5,FL24&lt;PolicyEff),1,Milestones!$AC$176),0))</f>
        <v>0</v>
      </c>
      <c r="FM26" s="0" t="n">
        <f aca="false">IF(FM24="",0,IF(AND(FM25=Milestones!$AB$177,FM24&gt;=SchemeStart),IF(AND(Milestones!$AB$177="FT",Milestones!$AA$177=FT_Y5,FM24&lt;PolicyEff),1,Milestones!$AC$177),0))</f>
        <v>0</v>
      </c>
      <c r="FN26" s="0" t="n">
        <f aca="false">IF(FN24="",0,IF(AND(FN25=Milestones!$AB$178,FN24&gt;=SchemeStart),IF(AND(Milestones!$AB$178="FT",Milestones!$AA$178=FT_Y5,FN24&lt;PolicyEff),1,Milestones!$AC$178),0))</f>
        <v>0</v>
      </c>
      <c r="FO26" s="0" t="n">
        <f aca="false">IF(FO24="",0,IF(AND(FO25=Milestones!$AB$179,FO24&gt;=SchemeStart),IF(AND(Milestones!$AB$179="FT",Milestones!$AA$179=FT_Y5,FO24&lt;PolicyEff),1,Milestones!$AC$179),0))</f>
        <v>0</v>
      </c>
      <c r="FP26" s="0" t="n">
        <f aca="false">IF(FP24="",0,IF(AND(FP25=Milestones!$AB$180,FP24&gt;=SchemeStart),IF(AND(Milestones!$AB$180="FT",Milestones!$AA$180=FT_Y5,FP24&lt;PolicyEff),1,Milestones!$AC$180),0))</f>
        <v>0</v>
      </c>
      <c r="FQ26" s="0" t="n">
        <f aca="false">IF(FQ24="",0,IF(AND(FQ25=Milestones!$AB$181,FQ24&gt;=SchemeStart),IF(AND(Milestones!$AB$181="FT",Milestones!$AA$181=FT_Y5,FQ24&lt;PolicyEff),1,Milestones!$AC$181),0))</f>
        <v>0</v>
      </c>
      <c r="FR26" s="0" t="n">
        <f aca="false">IF(FR24="",0,IF(AND(FR25=Milestones!$AB$182,FR24&gt;=SchemeStart),IF(AND(Milestones!$AB$182="FT",Milestones!$AA$182=FT_Y5,FR24&lt;PolicyEff),1,Milestones!$AC$182),0))</f>
        <v>0</v>
      </c>
      <c r="FS26" s="0" t="n">
        <f aca="false">IF(FS24="",0,IF(AND(FS25=Milestones!$AB$183,FS24&gt;=SchemeStart),IF(AND(Milestones!$AB$183="FT",Milestones!$AA$183=FT_Y5,FS24&lt;PolicyEff),1,Milestones!$AC$183),0))</f>
        <v>0</v>
      </c>
      <c r="FT26" s="0" t="n">
        <f aca="false">IF(FT24="",0,IF(AND(FT25=Milestones!$AB$184,FT24&gt;=SchemeStart),IF(AND(Milestones!$AB$184="FT",Milestones!$AA$184=FT_Y5,FT24&lt;PolicyEff),1,Milestones!$AC$184),0))</f>
        <v>0</v>
      </c>
      <c r="FU26" s="0" t="n">
        <f aca="false">IF(FU24="",0,IF(AND(FU25=Milestones!$AB$185,FU24&gt;=SchemeStart),IF(AND(Milestones!$AB$185="FT",Milestones!$AA$185=FT_Y5,FU24&lt;PolicyEff),1,Milestones!$AC$185),0))</f>
        <v>0</v>
      </c>
      <c r="FV26" s="0" t="n">
        <f aca="false">IF(FV24="",0,IF(AND(FV25=Milestones!$AB$186,FV24&gt;=SchemeStart),IF(AND(Milestones!$AB$186="FT",Milestones!$AA$186=FT_Y5,FV24&lt;PolicyEff),1,Milestones!$AC$186),0))</f>
        <v>0</v>
      </c>
      <c r="FW26" s="0" t="n">
        <f aca="false">IF(FW24="",0,IF(AND(FW25=Milestones!$AB$187,FW24&gt;=SchemeStart),IF(AND(Milestones!$AB$187="FT",Milestones!$AA$187=FT_Y5,FW24&lt;PolicyEff),1,Milestones!$AC$187),0))</f>
        <v>0</v>
      </c>
      <c r="FX26" s="0" t="n">
        <f aca="false">IF(FX24="",0,IF(AND(FX25=Milestones!$AB$188,FX24&gt;=SchemeStart),IF(AND(Milestones!$AB$188="FT",Milestones!$AA$188=FT_Y5,FX24&lt;PolicyEff),1,Milestones!$AC$188),0))</f>
        <v>0</v>
      </c>
      <c r="FY26" s="0" t="n">
        <f aca="false">IF(FY24="",0,IF(AND(FY25=Milestones!$AB$189,FY24&gt;=SchemeStart),IF(AND(Milestones!$AB$189="FT",Milestones!$AA$189=FT_Y5,FY24&lt;PolicyEff),1,Milestones!$AC$189),0))</f>
        <v>0</v>
      </c>
      <c r="FZ26" s="0" t="n">
        <f aca="false">IF(FZ24="",0,IF(AND(FZ25=Milestones!$AB$190,FZ24&gt;=SchemeStart),IF(AND(Milestones!$AB$190="FT",Milestones!$AA$190=FT_Y5,FZ24&lt;PolicyEff),1,Milestones!$AC$190),0))</f>
        <v>0</v>
      </c>
      <c r="GA26" s="0" t="n">
        <f aca="false">IF(GA24="",0,IF(AND(GA25=Milestones!$AB$191,GA24&gt;=SchemeStart),IF(AND(Milestones!$AB$191="FT",Milestones!$AA$191=FT_Y5,GA24&lt;PolicyEff),1,Milestones!$AC$191),0))</f>
        <v>0</v>
      </c>
      <c r="GB26" s="0" t="n">
        <f aca="false">IF(GB24="",0,IF(AND(GB25=Milestones!$AB$192,GB24&gt;=SchemeStart),IF(AND(Milestones!$AB$192="FT",Milestones!$AA$192=FT_Y5,GB24&lt;PolicyEff),1,Milestones!$AC$192),0))</f>
        <v>0</v>
      </c>
      <c r="GC26" s="0" t="n">
        <f aca="false">IF(GC24="",0,IF(AND(GC25=Milestones!$AB$193,GC24&gt;=SchemeStart),IF(AND(Milestones!$AB$193="FT",Milestones!$AA$193=FT_Y5,GC24&lt;PolicyEff),1,Milestones!$AC$193),0))</f>
        <v>0</v>
      </c>
      <c r="GD26" s="0" t="n">
        <f aca="false">IF(GD24="",0,IF(AND(GD25=Milestones!$AB$194,GD24&gt;=SchemeStart),IF(AND(Milestones!$AB$194="FT",Milestones!$AA$194=FT_Y5,GD24&lt;PolicyEff),1,Milestones!$AC$194),0))</f>
        <v>0</v>
      </c>
      <c r="GE26" s="0" t="n">
        <f aca="false">IF(GE24="",0,IF(AND(GE25=Milestones!$AB$195,GE24&gt;=SchemeStart),IF(AND(Milestones!$AB$195="FT",Milestones!$AA$195=FT_Y5,GE24&lt;PolicyEff),1,Milestones!$AC$195),0))</f>
        <v>0</v>
      </c>
      <c r="GF26" s="0" t="n">
        <f aca="false">IF(GF24="",0,IF(AND(GF25=Milestones!$AB$196,GF24&gt;=SchemeStart),IF(AND(Milestones!$AB$196="FT",Milestones!$AA$196=FT_Y5,GF24&lt;PolicyEff),1,Milestones!$AC$196),0))</f>
        <v>0</v>
      </c>
      <c r="GG26" s="0" t="n">
        <f aca="false">IF(GG24="",0,IF(AND(GG25=Milestones!$AB$197,GG24&gt;=SchemeStart),IF(AND(Milestones!$AB$197="FT",Milestones!$AA$197=FT_Y5,GG24&lt;PolicyEff),1,Milestones!$AC$197),0))</f>
        <v>0</v>
      </c>
      <c r="GH26" s="0" t="n">
        <f aca="false">IF(GH24="",0,IF(AND(GH25=Milestones!$AB$198,GH24&gt;=SchemeStart),IF(AND(Milestones!$AB$198="FT",Milestones!$AA$198=FT_Y5,GH24&lt;PolicyEff),1,Milestones!$AC$198),0))</f>
        <v>0</v>
      </c>
      <c r="GI26" s="0" t="n">
        <f aca="false">IF(GI24="",0,IF(AND(GI25=Milestones!$AB$199,GI24&gt;=SchemeStart),IF(AND(Milestones!$AB$199="FT",Milestones!$AA$199=FT_Y5,GI24&lt;PolicyEff),1,Milestones!$AC$199),0))</f>
        <v>0</v>
      </c>
    </row>
    <row r="27" customFormat="false" ht="15" hidden="false" customHeight="false" outlineLevel="0" collapsed="false">
      <c r="A27" s="0" t="str">
        <f aca="false">IF('HR Tally Check'!J$7="","",'HR Tally Check'!J$7)</f>
        <v/>
      </c>
      <c r="B27" s="0" t="str">
        <f aca="false">IF(A27="","",ISNUMBER(MATCH(A27,Staff!$BR$5:$BR$154,0)))</f>
        <v/>
      </c>
      <c r="C27" s="20" t="str">
        <f aca="false">IF(B27&lt;&gt;TRUE(),"",INDEX(Staff!$AL$5:$AL$154,MATCH($A27,Staff!$BR$5:$BR$154,0)))</f>
        <v/>
      </c>
      <c r="D27" s="0" t="str">
        <f aca="false">IF(B27&lt;&gt;TRUE(),"",INDEX(Staff!$AM$5:$AM$154,MATCH($A27,Staff!$BR$5:$BR$154,0)))</f>
        <v/>
      </c>
      <c r="E27" s="20" t="str">
        <f aca="false">IF(B27&lt;&gt;TRUE(),"",INDEX(Staff!$AO$5:$AO$154,MATCH($A27,Staff!$BR$5:$BR$154,0)))</f>
        <v/>
      </c>
      <c r="F27" s="20" t="str">
        <f aca="false">IF(B27&lt;&gt;TRUE(),"",INDEX(Staff!$AP$5:$AP$154,MATCH($A27,Staff!$BR$5:$BR$154,0)))</f>
        <v/>
      </c>
      <c r="G27" s="0" t="str">
        <f aca="false">IF(B27&lt;&gt;TRUE(),"",INDEX(Staff!$AT$5:$AT$154,MATCH($A27,Staff!$BR$5:$BR$154,0)))</f>
        <v/>
      </c>
      <c r="H27" s="0" t="str">
        <f aca="false">IF(B27&lt;&gt;TRUE(),"",INDEX(Staff!$AU$5:$AU$154,MATCH($A27,Staff!$BR$5:$BR$154,0)))</f>
        <v/>
      </c>
      <c r="I27" s="0" t="str">
        <f aca="false">IF(B27&lt;&gt;TRUE(),"",INDEX(Staff!$AV$5:$AV$154,MATCH($A27,Staff!$BR$5:$BR$154,0)))</f>
        <v/>
      </c>
      <c r="J27" s="0" t="str">
        <f aca="false">IF(B27&lt;&gt;TRUE(),"",INDEX(Staff!$AW$5:$AW$154,MATCH($A27,Staff!$BR$5:$BR$154,0)))</f>
        <v/>
      </c>
      <c r="K27" s="33" t="s">
        <v>262</v>
      </c>
      <c r="L27" s="20" t="str">
        <f aca="false">IF($C27="","",EDATE($C27,Milestones!$AA$20))</f>
        <v/>
      </c>
      <c r="M27" s="20" t="str">
        <f aca="false">IF($C27="","",EDATE($C27,Milestones!$AA$21))</f>
        <v/>
      </c>
      <c r="N27" s="20" t="str">
        <f aca="false">IF($C27="","",EDATE($C27,Milestones!$AA$22))</f>
        <v/>
      </c>
      <c r="O27" s="20" t="str">
        <f aca="false">IF($C27="","",EDATE($C27,Milestones!$AA$23))</f>
        <v/>
      </c>
      <c r="P27" s="20" t="str">
        <f aca="false">IF($C27="","",EDATE($C27,Milestones!$AA$24))</f>
        <v/>
      </c>
      <c r="Q27" s="20" t="str">
        <f aca="false">IF($C27="","",EDATE($C27,Milestones!$AA$25))</f>
        <v/>
      </c>
      <c r="R27" s="20" t="str">
        <f aca="false">IF($C27="","",EDATE($C27,Milestones!$AA$26))</f>
        <v/>
      </c>
      <c r="S27" s="20" t="str">
        <f aca="false">IF($C27="","",EDATE($C27,Milestones!$AA$27))</f>
        <v/>
      </c>
      <c r="T27" s="20" t="str">
        <f aca="false">IF($C27="","",EDATE($C27,Milestones!$AA$28))</f>
        <v/>
      </c>
      <c r="U27" s="20" t="str">
        <f aca="false">IF($C27="","",EDATE($C27,Milestones!$AA$29))</f>
        <v/>
      </c>
      <c r="V27" s="20" t="str">
        <f aca="false">IF($C27="","",EDATE($C27,Milestones!$AA$30))</f>
        <v/>
      </c>
      <c r="W27" s="20" t="str">
        <f aca="false">IF($C27="","",EDATE($C27,Milestones!$AA$31))</f>
        <v/>
      </c>
      <c r="X27" s="20" t="str">
        <f aca="false">IF($C27="","",EDATE($C27,Milestones!$AA$32))</f>
        <v/>
      </c>
      <c r="Y27" s="20" t="str">
        <f aca="false">IF($C27="","",EDATE($C27,Milestones!$AA$33))</f>
        <v/>
      </c>
      <c r="Z27" s="20" t="str">
        <f aca="false">IF($C27="","",EDATE($C27,Milestones!$AA$34))</f>
        <v/>
      </c>
      <c r="AA27" s="20" t="str">
        <f aca="false">IF($C27="","",EDATE($C27,Milestones!$AA$35))</f>
        <v/>
      </c>
      <c r="AB27" s="20" t="str">
        <f aca="false">IF($C27="","",EDATE($C27,Milestones!$AA$36))</f>
        <v/>
      </c>
      <c r="AC27" s="20" t="str">
        <f aca="false">IF($C27="","",EDATE($C27,Milestones!$AA$37))</f>
        <v/>
      </c>
      <c r="AD27" s="20" t="str">
        <f aca="false">IF($C27="","",EDATE($C27,Milestones!$AA$38))</f>
        <v/>
      </c>
      <c r="AE27" s="20" t="str">
        <f aca="false">IF($C27="","",EDATE($C27,Milestones!$AA$39))</f>
        <v/>
      </c>
      <c r="AF27" s="20" t="str">
        <f aca="false">IF($C27="","",EDATE($C27,Milestones!$AA$40))</f>
        <v/>
      </c>
      <c r="AG27" s="20" t="str">
        <f aca="false">IF($C27="","",EDATE($C27,Milestones!$AA$41))</f>
        <v/>
      </c>
      <c r="AH27" s="20" t="str">
        <f aca="false">IF($C27="","",EDATE($C27,Milestones!$AA$42))</f>
        <v/>
      </c>
      <c r="AI27" s="20" t="str">
        <f aca="false">IF($C27="","",EDATE($C27,Milestones!$AA$43))</f>
        <v/>
      </c>
      <c r="AJ27" s="20" t="str">
        <f aca="false">IF($C27="","",EDATE($C27,Milestones!$AA$44))</f>
        <v/>
      </c>
      <c r="AK27" s="20" t="str">
        <f aca="false">IF($C27="","",EDATE($C27,Milestones!$AA$45))</f>
        <v/>
      </c>
      <c r="AL27" s="20" t="str">
        <f aca="false">IF($C27="","",EDATE($C27,Milestones!$AA$46))</f>
        <v/>
      </c>
      <c r="AM27" s="20" t="str">
        <f aca="false">IF($C27="","",EDATE($C27,Milestones!$AA$47))</f>
        <v/>
      </c>
      <c r="AN27" s="20" t="str">
        <f aca="false">IF($C27="","",EDATE($C27,Milestones!$AA$48))</f>
        <v/>
      </c>
      <c r="AO27" s="20" t="str">
        <f aca="false">IF($C27="","",EDATE($C27,Milestones!$AA$49))</f>
        <v/>
      </c>
      <c r="AP27" s="20" t="str">
        <f aca="false">IF($C27="","",EDATE($C27,Milestones!$AA$50))</f>
        <v/>
      </c>
      <c r="AQ27" s="20" t="str">
        <f aca="false">IF($C27="","",EDATE($C27,Milestones!$AA$51))</f>
        <v/>
      </c>
      <c r="AR27" s="20" t="str">
        <f aca="false">IF($C27="","",EDATE($C27,Milestones!$AA$52))</f>
        <v/>
      </c>
      <c r="AS27" s="20" t="str">
        <f aca="false">IF($C27="","",EDATE($C27,Milestones!$AA$53))</f>
        <v/>
      </c>
      <c r="AT27" s="20" t="str">
        <f aca="false">IF($C27="","",EDATE($C27,Milestones!$AA$54))</f>
        <v/>
      </c>
      <c r="AU27" s="20" t="str">
        <f aca="false">IF($C27="","",EDATE($C27,Milestones!$AA$55))</f>
        <v/>
      </c>
      <c r="AV27" s="20" t="str">
        <f aca="false">IF($C27="","",EDATE($C27,Milestones!$AA$56))</f>
        <v/>
      </c>
      <c r="AW27" s="20" t="str">
        <f aca="false">IF($C27="","",EDATE($C27,Milestones!$AA$57))</f>
        <v/>
      </c>
      <c r="AX27" s="20" t="str">
        <f aca="false">IF($C27="","",EDATE($C27,Milestones!$AA$58))</f>
        <v/>
      </c>
      <c r="AY27" s="20" t="str">
        <f aca="false">IF($C27="","",EDATE($C27,Milestones!$AA$59))</f>
        <v/>
      </c>
      <c r="AZ27" s="20" t="str">
        <f aca="false">IF($C27="","",EDATE($C27,Milestones!$AA$60))</f>
        <v/>
      </c>
      <c r="BA27" s="20" t="str">
        <f aca="false">IF($C27="","",EDATE($C27,Milestones!$AA$61))</f>
        <v/>
      </c>
      <c r="BB27" s="20" t="str">
        <f aca="false">IF($C27="","",EDATE($C27,Milestones!$AA$62))</f>
        <v/>
      </c>
      <c r="BC27" s="20" t="str">
        <f aca="false">IF($C27="","",EDATE($C27,Milestones!$AA$63))</f>
        <v/>
      </c>
      <c r="BD27" s="20" t="str">
        <f aca="false">IF($C27="","",EDATE($C27,Milestones!$AA$64))</f>
        <v/>
      </c>
      <c r="BE27" s="20" t="str">
        <f aca="false">IF($C27="","",EDATE($C27,Milestones!$AA$65))</f>
        <v/>
      </c>
      <c r="BF27" s="20" t="str">
        <f aca="false">IF($C27="","",EDATE($C27,Milestones!$AA$66))</f>
        <v/>
      </c>
      <c r="BG27" s="20" t="str">
        <f aca="false">IF($C27="","",EDATE($C27,Milestones!$AA$67))</f>
        <v/>
      </c>
      <c r="BH27" s="20" t="str">
        <f aca="false">IF($C27="","",EDATE($C27,Milestones!$AA$68))</f>
        <v/>
      </c>
      <c r="BI27" s="20" t="str">
        <f aca="false">IF($C27="","",EDATE($C27,Milestones!$AA$69))</f>
        <v/>
      </c>
      <c r="BJ27" s="20" t="str">
        <f aca="false">IF($C27="","",EDATE($C27,Milestones!$AA$70))</f>
        <v/>
      </c>
      <c r="BK27" s="20" t="str">
        <f aca="false">IF($C27="","",EDATE($C27,Milestones!$AA$71))</f>
        <v/>
      </c>
      <c r="BL27" s="20" t="str">
        <f aca="false">IF($C27="","",EDATE($C27,Milestones!$AA$72))</f>
        <v/>
      </c>
      <c r="BM27" s="20" t="str">
        <f aca="false">IF($C27="","",EDATE($C27,Milestones!$AA$73))</f>
        <v/>
      </c>
      <c r="BN27" s="20" t="str">
        <f aca="false">IF($C27="","",EDATE($C27,Milestones!$AA$74))</f>
        <v/>
      </c>
      <c r="BO27" s="20" t="str">
        <f aca="false">IF($C27="","",EDATE($C27,Milestones!$AA$75))</f>
        <v/>
      </c>
      <c r="BP27" s="20" t="str">
        <f aca="false">IF($C27="","",EDATE($C27,Milestones!$AA$76))</f>
        <v/>
      </c>
      <c r="BQ27" s="20" t="str">
        <f aca="false">IF($C27="","",EDATE($C27,Milestones!$AA$77))</f>
        <v/>
      </c>
      <c r="BR27" s="20" t="str">
        <f aca="false">IF($C27="","",EDATE($C27,Milestones!$AA$78))</f>
        <v/>
      </c>
      <c r="BS27" s="20" t="str">
        <f aca="false">IF($C27="","",EDATE($C27,Milestones!$AA$79))</f>
        <v/>
      </c>
      <c r="BT27" s="20" t="str">
        <f aca="false">IF($C27="","",EDATE($C27,Milestones!$AA$80))</f>
        <v/>
      </c>
      <c r="BU27" s="20" t="str">
        <f aca="false">IF($C27="","",EDATE($C27,Milestones!$AA$81))</f>
        <v/>
      </c>
      <c r="BV27" s="20" t="str">
        <f aca="false">IF($C27="","",EDATE($C27,Milestones!$AA$82))</f>
        <v/>
      </c>
      <c r="BW27" s="20" t="str">
        <f aca="false">IF($C27="","",EDATE($C27,Milestones!$AA$83))</f>
        <v/>
      </c>
      <c r="BX27" s="20" t="str">
        <f aca="false">IF($C27="","",EDATE($C27,Milestones!$AA$84))</f>
        <v/>
      </c>
      <c r="BY27" s="20" t="str">
        <f aca="false">IF($C27="","",EDATE($C27,Milestones!$AA$85))</f>
        <v/>
      </c>
      <c r="BZ27" s="20" t="str">
        <f aca="false">IF($C27="","",EDATE($C27,Milestones!$AA$86))</f>
        <v/>
      </c>
      <c r="CA27" s="20" t="str">
        <f aca="false">IF($C27="","",EDATE($C27,Milestones!$AA$87))</f>
        <v/>
      </c>
      <c r="CB27" s="20" t="str">
        <f aca="false">IF($C27="","",EDATE($C27,Milestones!$AA$88))</f>
        <v/>
      </c>
      <c r="CC27" s="20" t="str">
        <f aca="false">IF($C27="","",EDATE($C27,Milestones!$AA$89))</f>
        <v/>
      </c>
      <c r="CD27" s="20" t="str">
        <f aca="false">IF($C27="","",EDATE($C27,Milestones!$AA$90))</f>
        <v/>
      </c>
      <c r="CE27" s="20" t="str">
        <f aca="false">IF($C27="","",EDATE($C27,Milestones!$AA$91))</f>
        <v/>
      </c>
      <c r="CF27" s="20" t="str">
        <f aca="false">IF($C27="","",EDATE($C27,Milestones!$AA$92))</f>
        <v/>
      </c>
      <c r="CG27" s="20" t="str">
        <f aca="false">IF($C27="","",EDATE($C27,Milestones!$AA$93))</f>
        <v/>
      </c>
      <c r="CH27" s="20" t="str">
        <f aca="false">IF($C27="","",EDATE($C27,Milestones!$AA$94))</f>
        <v/>
      </c>
      <c r="CI27" s="20" t="str">
        <f aca="false">IF($C27="","",EDATE($C27,Milestones!$AA$95))</f>
        <v/>
      </c>
      <c r="CJ27" s="20" t="str">
        <f aca="false">IF($C27="","",EDATE($C27,Milestones!$AA$96))</f>
        <v/>
      </c>
      <c r="CK27" s="20" t="str">
        <f aca="false">IF($C27="","",EDATE($C27,Milestones!$AA$97))</f>
        <v/>
      </c>
      <c r="CL27" s="20" t="str">
        <f aca="false">IF($C27="","",EDATE($C27,Milestones!$AA$98))</f>
        <v/>
      </c>
      <c r="CM27" s="20" t="str">
        <f aca="false">IF($C27="","",EDATE($C27,Milestones!$AA$99))</f>
        <v/>
      </c>
      <c r="CN27" s="20" t="str">
        <f aca="false">IF($C27="","",EDATE($C27,Milestones!$AA$100))</f>
        <v/>
      </c>
      <c r="CO27" s="20" t="str">
        <f aca="false">IF($C27="","",EDATE($C27,Milestones!$AA$101))</f>
        <v/>
      </c>
      <c r="CP27" s="20" t="str">
        <f aca="false">IF($C27="","",EDATE($C27,Milestones!$AA$102))</f>
        <v/>
      </c>
      <c r="CQ27" s="20" t="str">
        <f aca="false">IF($C27="","",EDATE($C27,Milestones!$AA$103))</f>
        <v/>
      </c>
      <c r="CR27" s="20" t="str">
        <f aca="false">IF($C27="","",EDATE($C27,Milestones!$AA$104))</f>
        <v/>
      </c>
      <c r="CS27" s="20" t="str">
        <f aca="false">IF($C27="","",EDATE($C27,Milestones!$AA$105))</f>
        <v/>
      </c>
      <c r="CT27" s="20" t="str">
        <f aca="false">IF($C27="","",EDATE($C27,Milestones!$AA$106))</f>
        <v/>
      </c>
      <c r="CU27" s="20" t="str">
        <f aca="false">IF($C27="","",EDATE($C27,Milestones!$AA$107))</f>
        <v/>
      </c>
      <c r="CV27" s="20" t="str">
        <f aca="false">IF($C27="","",EDATE($C27,Milestones!$AA$108))</f>
        <v/>
      </c>
      <c r="CW27" s="20" t="str">
        <f aca="false">IF($C27="","",EDATE($C27,Milestones!$AA$109))</f>
        <v/>
      </c>
      <c r="CX27" s="20" t="str">
        <f aca="false">IF($C27="","",EDATE($C27,Milestones!$AA$110))</f>
        <v/>
      </c>
      <c r="CY27" s="20" t="str">
        <f aca="false">IF($C27="","",EDATE($C27,Milestones!$AA$111))</f>
        <v/>
      </c>
      <c r="CZ27" s="20" t="str">
        <f aca="false">IF($C27="","",EDATE($C27,Milestones!$AA$112))</f>
        <v/>
      </c>
      <c r="DA27" s="20" t="str">
        <f aca="false">IF($C27="","",EDATE($C27,Milestones!$AA$113))</f>
        <v/>
      </c>
      <c r="DB27" s="20" t="str">
        <f aca="false">IF($C27="","",EDATE($C27,Milestones!$AA$114))</f>
        <v/>
      </c>
      <c r="DC27" s="20" t="str">
        <f aca="false">IF($C27="","",EDATE($C27,Milestones!$AA$115))</f>
        <v/>
      </c>
      <c r="DD27" s="20" t="str">
        <f aca="false">IF($C27="","",EDATE($C27,Milestones!$AA$116))</f>
        <v/>
      </c>
      <c r="DE27" s="20" t="str">
        <f aca="false">IF($C27="","",EDATE($C27,Milestones!$AA$117))</f>
        <v/>
      </c>
      <c r="DF27" s="20" t="str">
        <f aca="false">IF($C27="","",EDATE($C27,Milestones!$AA$118))</f>
        <v/>
      </c>
      <c r="DG27" s="20" t="str">
        <f aca="false">IF($C27="","",EDATE($C27,Milestones!$AA$119))</f>
        <v/>
      </c>
      <c r="DH27" s="20" t="str">
        <f aca="false">IF($C27="","",EDATE($C27,Milestones!$AA$120))</f>
        <v/>
      </c>
      <c r="DI27" s="20" t="str">
        <f aca="false">IF($C27="","",EDATE($C27,Milestones!$AA$121))</f>
        <v/>
      </c>
      <c r="DJ27" s="20" t="str">
        <f aca="false">IF($C27="","",EDATE($C27,Milestones!$AA$122))</f>
        <v/>
      </c>
      <c r="DK27" s="20" t="str">
        <f aca="false">IF($C27="","",EDATE($C27,Milestones!$AA$123))</f>
        <v/>
      </c>
      <c r="DL27" s="20" t="str">
        <f aca="false">IF($C27="","",EDATE($C27,Milestones!$AA$124))</f>
        <v/>
      </c>
      <c r="DM27" s="20" t="str">
        <f aca="false">IF($C27="","",EDATE($C27,Milestones!$AA$125))</f>
        <v/>
      </c>
      <c r="DN27" s="20" t="str">
        <f aca="false">IF($C27="","",EDATE($C27,Milestones!$AA$126))</f>
        <v/>
      </c>
      <c r="DO27" s="20" t="str">
        <f aca="false">IF($C27="","",EDATE($C27,Milestones!$AA$127))</f>
        <v/>
      </c>
      <c r="DP27" s="20" t="str">
        <f aca="false">IF($C27="","",EDATE($C27,Milestones!$AA$128))</f>
        <v/>
      </c>
      <c r="DQ27" s="20" t="str">
        <f aca="false">IF($C27="","",EDATE($C27,Milestones!$AA$129))</f>
        <v/>
      </c>
      <c r="DR27" s="20" t="str">
        <f aca="false">IF($C27="","",EDATE($C27,Milestones!$AA$130))</f>
        <v/>
      </c>
      <c r="DS27" s="20" t="str">
        <f aca="false">IF($C27="","",EDATE($C27,Milestones!$AA$131))</f>
        <v/>
      </c>
      <c r="DT27" s="20" t="str">
        <f aca="false">IF($C27="","",EDATE($C27,Milestones!$AA$132))</f>
        <v/>
      </c>
      <c r="DU27" s="20" t="str">
        <f aca="false">IF($C27="","",EDATE($C27,Milestones!$AA$133))</f>
        <v/>
      </c>
      <c r="DV27" s="20" t="str">
        <f aca="false">IF($C27="","",EDATE($C27,Milestones!$AA$134))</f>
        <v/>
      </c>
      <c r="DW27" s="20" t="str">
        <f aca="false">IF($C27="","",EDATE($C27,Milestones!$AA$135))</f>
        <v/>
      </c>
      <c r="DX27" s="20" t="str">
        <f aca="false">IF($C27="","",EDATE($C27,Milestones!$AA$136))</f>
        <v/>
      </c>
      <c r="DY27" s="20" t="str">
        <f aca="false">IF($C27="","",EDATE($C27,Milestones!$AA$137))</f>
        <v/>
      </c>
      <c r="DZ27" s="20" t="str">
        <f aca="false">IF($C27="","",EDATE($C27,Milestones!$AA$138))</f>
        <v/>
      </c>
      <c r="EA27" s="20" t="str">
        <f aca="false">IF($C27="","",EDATE($C27,Milestones!$AA$139))</f>
        <v/>
      </c>
      <c r="EB27" s="20" t="str">
        <f aca="false">IF($C27="","",EDATE($C27,Milestones!$AA$140))</f>
        <v/>
      </c>
      <c r="EC27" s="20" t="str">
        <f aca="false">IF($C27="","",EDATE($C27,Milestones!$AA$141))</f>
        <v/>
      </c>
      <c r="ED27" s="20" t="str">
        <f aca="false">IF($C27="","",EDATE($C27,Milestones!$AA$142))</f>
        <v/>
      </c>
      <c r="EE27" s="20" t="str">
        <f aca="false">IF($C27="","",EDATE($C27,Milestones!$AA$143))</f>
        <v/>
      </c>
      <c r="EF27" s="20" t="str">
        <f aca="false">IF($C27="","",EDATE($C27,Milestones!$AA$144))</f>
        <v/>
      </c>
      <c r="EG27" s="20" t="str">
        <f aca="false">IF($C27="","",EDATE($C27,Milestones!$AA$145))</f>
        <v/>
      </c>
      <c r="EH27" s="20" t="str">
        <f aca="false">IF($C27="","",EDATE($C27,Milestones!$AA$146))</f>
        <v/>
      </c>
      <c r="EI27" s="20" t="str">
        <f aca="false">IF($C27="","",EDATE($C27,Milestones!$AA$147))</f>
        <v/>
      </c>
      <c r="EJ27" s="20" t="str">
        <f aca="false">IF($C27="","",EDATE($C27,Milestones!$AA$148))</f>
        <v/>
      </c>
      <c r="EK27" s="20" t="str">
        <f aca="false">IF($C27="","",EDATE($C27,Milestones!$AA$149))</f>
        <v/>
      </c>
      <c r="EL27" s="20" t="str">
        <f aca="false">IF($C27="","",EDATE($C27,Milestones!$AA$150))</f>
        <v/>
      </c>
      <c r="EM27" s="20" t="str">
        <f aca="false">IF($C27="","",EDATE($C27,Milestones!$AA$151))</f>
        <v/>
      </c>
      <c r="EN27" s="20" t="str">
        <f aca="false">IF($C27="","",EDATE($C27,Milestones!$AA$152))</f>
        <v/>
      </c>
      <c r="EO27" s="20" t="str">
        <f aca="false">IF($C27="","",EDATE($C27,Milestones!$AA$153))</f>
        <v/>
      </c>
      <c r="EP27" s="20" t="str">
        <f aca="false">IF($C27="","",EDATE($C27,Milestones!$AA$154))</f>
        <v/>
      </c>
      <c r="EQ27" s="20" t="str">
        <f aca="false">IF($C27="","",EDATE($C27,Milestones!$AA$155))</f>
        <v/>
      </c>
      <c r="ER27" s="20" t="str">
        <f aca="false">IF($C27="","",EDATE($C27,Milestones!$AA$156))</f>
        <v/>
      </c>
      <c r="ES27" s="20" t="str">
        <f aca="false">IF($C27="","",EDATE($C27,Milestones!$AA$157))</f>
        <v/>
      </c>
      <c r="ET27" s="20" t="str">
        <f aca="false">IF($C27="","",EDATE($C27,Milestones!$AA$158))</f>
        <v/>
      </c>
      <c r="EU27" s="20" t="str">
        <f aca="false">IF($C27="","",EDATE($C27,Milestones!$AA$159))</f>
        <v/>
      </c>
      <c r="EV27" s="20" t="str">
        <f aca="false">IF($C27="","",EDATE($C27,Milestones!$AA$160))</f>
        <v/>
      </c>
      <c r="EW27" s="20" t="str">
        <f aca="false">IF($C27="","",EDATE($C27,Milestones!$AA$161))</f>
        <v/>
      </c>
      <c r="EX27" s="20" t="str">
        <f aca="false">IF($C27="","",EDATE($C27,Milestones!$AA$162))</f>
        <v/>
      </c>
      <c r="EY27" s="20" t="str">
        <f aca="false">IF($C27="","",EDATE($C27,Milestones!$AA$163))</f>
        <v/>
      </c>
      <c r="EZ27" s="20" t="str">
        <f aca="false">IF($C27="","",EDATE($C27,Milestones!$AA$164))</f>
        <v/>
      </c>
      <c r="FA27" s="20" t="str">
        <f aca="false">IF($C27="","",EDATE($C27,Milestones!$AA$165))</f>
        <v/>
      </c>
      <c r="FB27" s="20" t="str">
        <f aca="false">IF($C27="","",EDATE($C27,Milestones!$AA$166))</f>
        <v/>
      </c>
      <c r="FC27" s="20" t="str">
        <f aca="false">IF($C27="","",EDATE($C27,Milestones!$AA$167))</f>
        <v/>
      </c>
      <c r="FD27" s="20" t="str">
        <f aca="false">IF($C27="","",EDATE($C27,Milestones!$AA$168))</f>
        <v/>
      </c>
      <c r="FE27" s="20" t="str">
        <f aca="false">IF($C27="","",EDATE($C27,Milestones!$AA$169))</f>
        <v/>
      </c>
      <c r="FF27" s="20" t="str">
        <f aca="false">IF($C27="","",EDATE($C27,Milestones!$AA$170))</f>
        <v/>
      </c>
      <c r="FG27" s="20" t="str">
        <f aca="false">IF($C27="","",EDATE($C27,Milestones!$AA$171))</f>
        <v/>
      </c>
      <c r="FH27" s="20" t="str">
        <f aca="false">IF($C27="","",EDATE($C27,Milestones!$AA$172))</f>
        <v/>
      </c>
      <c r="FI27" s="20" t="str">
        <f aca="false">IF($C27="","",EDATE($C27,Milestones!$AA$173))</f>
        <v/>
      </c>
      <c r="FJ27" s="20" t="str">
        <f aca="false">IF($C27="","",EDATE($C27,Milestones!$AA$174))</f>
        <v/>
      </c>
      <c r="FK27" s="20" t="str">
        <f aca="false">IF($C27="","",EDATE($C27,Milestones!$AA$175))</f>
        <v/>
      </c>
      <c r="FL27" s="20" t="str">
        <f aca="false">IF($C27="","",EDATE($C27,Milestones!$AA$176))</f>
        <v/>
      </c>
      <c r="FM27" s="20" t="str">
        <f aca="false">IF($C27="","",EDATE($C27,Milestones!$AA$177))</f>
        <v/>
      </c>
      <c r="FN27" s="20" t="str">
        <f aca="false">IF($C27="","",EDATE($C27,Milestones!$AA$178))</f>
        <v/>
      </c>
      <c r="FO27" s="20" t="str">
        <f aca="false">IF($C27="","",EDATE($C27,Milestones!$AA$179))</f>
        <v/>
      </c>
      <c r="FP27" s="20" t="str">
        <f aca="false">IF($C27="","",EDATE($C27,Milestones!$AA$180))</f>
        <v/>
      </c>
      <c r="FQ27" s="20" t="str">
        <f aca="false">IF($C27="","",EDATE($C27,Milestones!$AA$181))</f>
        <v/>
      </c>
      <c r="FR27" s="20" t="str">
        <f aca="false">IF($C27="","",EDATE($C27,Milestones!$AA$182))</f>
        <v/>
      </c>
      <c r="FS27" s="20" t="str">
        <f aca="false">IF($C27="","",EDATE($C27,Milestones!$AA$183))</f>
        <v/>
      </c>
      <c r="FT27" s="20" t="str">
        <f aca="false">IF($C27="","",EDATE($C27,Milestones!$AA$184))</f>
        <v/>
      </c>
      <c r="FU27" s="20" t="str">
        <f aca="false">IF($C27="","",EDATE($C27,Milestones!$AA$185))</f>
        <v/>
      </c>
      <c r="FV27" s="20" t="str">
        <f aca="false">IF($C27="","",EDATE($C27,Milestones!$AA$186))</f>
        <v/>
      </c>
      <c r="FW27" s="20" t="str">
        <f aca="false">IF($C27="","",EDATE($C27,Milestones!$AA$187))</f>
        <v/>
      </c>
      <c r="FX27" s="20" t="str">
        <f aca="false">IF($C27="","",EDATE($C27,Milestones!$AA$188))</f>
        <v/>
      </c>
      <c r="FY27" s="20" t="str">
        <f aca="false">IF($C27="","",EDATE($C27,Milestones!$AA$189))</f>
        <v/>
      </c>
      <c r="FZ27" s="20" t="str">
        <f aca="false">IF($C27="","",EDATE($C27,Milestones!$AA$190))</f>
        <v/>
      </c>
      <c r="GA27" s="20" t="str">
        <f aca="false">IF($C27="","",EDATE($C27,Milestones!$AA$191))</f>
        <v/>
      </c>
      <c r="GB27" s="20" t="str">
        <f aca="false">IF($C27="","",EDATE($C27,Milestones!$AA$192))</f>
        <v/>
      </c>
      <c r="GC27" s="20" t="str">
        <f aca="false">IF($C27="","",EDATE($C27,Milestones!$AA$193))</f>
        <v/>
      </c>
      <c r="GD27" s="20" t="str">
        <f aca="false">IF($C27="","",EDATE($C27,Milestones!$AA$194))</f>
        <v/>
      </c>
      <c r="GE27" s="20" t="str">
        <f aca="false">IF($C27="","",EDATE($C27,Milestones!$AA$195))</f>
        <v/>
      </c>
      <c r="GF27" s="20" t="str">
        <f aca="false">IF($C27="","",EDATE($C27,Milestones!$AA$196))</f>
        <v/>
      </c>
      <c r="GG27" s="20" t="str">
        <f aca="false">IF($C27="","",EDATE($C27,Milestones!$AA$197))</f>
        <v/>
      </c>
      <c r="GH27" s="20" t="str">
        <f aca="false">IF($C27="","",EDATE($C27,Milestones!$AA$198))</f>
        <v/>
      </c>
      <c r="GI27" s="20" t="str">
        <f aca="false">IF($C27="","",EDATE($C27,Milestones!$AA$199))</f>
        <v/>
      </c>
    </row>
    <row r="28" customFormat="false" ht="15" hidden="false" customHeight="false" outlineLevel="0" collapsed="false">
      <c r="K28" s="0" t="s">
        <v>263</v>
      </c>
      <c r="L28" s="0" t="str">
        <f aca="false">IF(L27="","",IF($D27=0,$J27,IF(AND($F27&lt;&gt;"",L27&gt;=$F27),$I27,IF(AND($E27&lt;&gt;"",L27&gt;=$E27),$H27,$G27))))</f>
        <v/>
      </c>
      <c r="M28" s="0" t="str">
        <f aca="false">IF(M27="","",IF($D27=0,$J27,IF(AND($F27&lt;&gt;"",M27&gt;=$F27),$I27,IF(AND($E27&lt;&gt;"",M27&gt;=$E27),$H27,$G27))))</f>
        <v/>
      </c>
      <c r="N28" s="0" t="str">
        <f aca="false">IF(N27="","",IF($D27=0,$J27,IF(AND($F27&lt;&gt;"",N27&gt;=$F27),$I27,IF(AND($E27&lt;&gt;"",N27&gt;=$E27),$H27,$G27))))</f>
        <v/>
      </c>
      <c r="O28" s="0" t="str">
        <f aca="false">IF(O27="","",IF($D27=0,$J27,IF(AND($F27&lt;&gt;"",O27&gt;=$F27),$I27,IF(AND($E27&lt;&gt;"",O27&gt;=$E27),$H27,$G27))))</f>
        <v/>
      </c>
      <c r="P28" s="0" t="str">
        <f aca="false">IF(P27="","",IF($D27=0,$J27,IF(AND($F27&lt;&gt;"",P27&gt;=$F27),$I27,IF(AND($E27&lt;&gt;"",P27&gt;=$E27),$H27,$G27))))</f>
        <v/>
      </c>
      <c r="Q28" s="0" t="str">
        <f aca="false">IF(Q27="","",IF($D27=0,$J27,IF(AND($F27&lt;&gt;"",Q27&gt;=$F27),$I27,IF(AND($E27&lt;&gt;"",Q27&gt;=$E27),$H27,$G27))))</f>
        <v/>
      </c>
      <c r="R28" s="0" t="str">
        <f aca="false">IF(R27="","",IF($D27=0,$J27,IF(AND($F27&lt;&gt;"",R27&gt;=$F27),$I27,IF(AND($E27&lt;&gt;"",R27&gt;=$E27),$H27,$G27))))</f>
        <v/>
      </c>
      <c r="S28" s="0" t="str">
        <f aca="false">IF(S27="","",IF($D27=0,$J27,IF(AND($F27&lt;&gt;"",S27&gt;=$F27),$I27,IF(AND($E27&lt;&gt;"",S27&gt;=$E27),$H27,$G27))))</f>
        <v/>
      </c>
      <c r="T28" s="0" t="str">
        <f aca="false">IF(T27="","",IF($D27=0,$J27,IF(AND($F27&lt;&gt;"",T27&gt;=$F27),$I27,IF(AND($E27&lt;&gt;"",T27&gt;=$E27),$H27,$G27))))</f>
        <v/>
      </c>
      <c r="U28" s="0" t="str">
        <f aca="false">IF(U27="","",IF($D27=0,$J27,IF(AND($F27&lt;&gt;"",U27&gt;=$F27),$I27,IF(AND($E27&lt;&gt;"",U27&gt;=$E27),$H27,$G27))))</f>
        <v/>
      </c>
      <c r="V28" s="0" t="str">
        <f aca="false">IF(V27="","",IF($D27=0,$J27,IF(AND($F27&lt;&gt;"",V27&gt;=$F27),$I27,IF(AND($E27&lt;&gt;"",V27&gt;=$E27),$H27,$G27))))</f>
        <v/>
      </c>
      <c r="W28" s="0" t="str">
        <f aca="false">IF(W27="","",IF($D27=0,$J27,IF(AND($F27&lt;&gt;"",W27&gt;=$F27),$I27,IF(AND($E27&lt;&gt;"",W27&gt;=$E27),$H27,$G27))))</f>
        <v/>
      </c>
      <c r="X28" s="0" t="str">
        <f aca="false">IF(X27="","",IF($D27=0,$J27,IF(AND($F27&lt;&gt;"",X27&gt;=$F27),$I27,IF(AND($E27&lt;&gt;"",X27&gt;=$E27),$H27,$G27))))</f>
        <v/>
      </c>
      <c r="Y28" s="0" t="str">
        <f aca="false">IF(Y27="","",IF($D27=0,$J27,IF(AND($F27&lt;&gt;"",Y27&gt;=$F27),$I27,IF(AND($E27&lt;&gt;"",Y27&gt;=$E27),$H27,$G27))))</f>
        <v/>
      </c>
      <c r="Z28" s="0" t="str">
        <f aca="false">IF(Z27="","",IF($D27=0,$J27,IF(AND($F27&lt;&gt;"",Z27&gt;=$F27),$I27,IF(AND($E27&lt;&gt;"",Z27&gt;=$E27),$H27,$G27))))</f>
        <v/>
      </c>
      <c r="AA28" s="0" t="str">
        <f aca="false">IF(AA27="","",IF($D27=0,$J27,IF(AND($F27&lt;&gt;"",AA27&gt;=$F27),$I27,IF(AND($E27&lt;&gt;"",AA27&gt;=$E27),$H27,$G27))))</f>
        <v/>
      </c>
      <c r="AB28" s="0" t="str">
        <f aca="false">IF(AB27="","",IF($D27=0,$J27,IF(AND($F27&lt;&gt;"",AB27&gt;=$F27),$I27,IF(AND($E27&lt;&gt;"",AB27&gt;=$E27),$H27,$G27))))</f>
        <v/>
      </c>
      <c r="AC28" s="0" t="str">
        <f aca="false">IF(AC27="","",IF($D27=0,$J27,IF(AND($F27&lt;&gt;"",AC27&gt;=$F27),$I27,IF(AND($E27&lt;&gt;"",AC27&gt;=$E27),$H27,$G27))))</f>
        <v/>
      </c>
      <c r="AD28" s="0" t="str">
        <f aca="false">IF(AD27="","",IF($D27=0,$J27,IF(AND($F27&lt;&gt;"",AD27&gt;=$F27),$I27,IF(AND($E27&lt;&gt;"",AD27&gt;=$E27),$H27,$G27))))</f>
        <v/>
      </c>
      <c r="AE28" s="0" t="str">
        <f aca="false">IF(AE27="","",IF($D27=0,$J27,IF(AND($F27&lt;&gt;"",AE27&gt;=$F27),$I27,IF(AND($E27&lt;&gt;"",AE27&gt;=$E27),$H27,$G27))))</f>
        <v/>
      </c>
      <c r="AF28" s="0" t="str">
        <f aca="false">IF(AF27="","",IF($D27=0,$J27,IF(AND($F27&lt;&gt;"",AF27&gt;=$F27),$I27,IF(AND($E27&lt;&gt;"",AF27&gt;=$E27),$H27,$G27))))</f>
        <v/>
      </c>
      <c r="AG28" s="0" t="str">
        <f aca="false">IF(AG27="","",IF($D27=0,$J27,IF(AND($F27&lt;&gt;"",AG27&gt;=$F27),$I27,IF(AND($E27&lt;&gt;"",AG27&gt;=$E27),$H27,$G27))))</f>
        <v/>
      </c>
      <c r="AH28" s="0" t="str">
        <f aca="false">IF(AH27="","",IF($D27=0,$J27,IF(AND($F27&lt;&gt;"",AH27&gt;=$F27),$I27,IF(AND($E27&lt;&gt;"",AH27&gt;=$E27),$H27,$G27))))</f>
        <v/>
      </c>
      <c r="AI28" s="0" t="str">
        <f aca="false">IF(AI27="","",IF($D27=0,$J27,IF(AND($F27&lt;&gt;"",AI27&gt;=$F27),$I27,IF(AND($E27&lt;&gt;"",AI27&gt;=$E27),$H27,$G27))))</f>
        <v/>
      </c>
      <c r="AJ28" s="0" t="str">
        <f aca="false">IF(AJ27="","",IF($D27=0,$J27,IF(AND($F27&lt;&gt;"",AJ27&gt;=$F27),$I27,IF(AND($E27&lt;&gt;"",AJ27&gt;=$E27),$H27,$G27))))</f>
        <v/>
      </c>
      <c r="AK28" s="0" t="str">
        <f aca="false">IF(AK27="","",IF($D27=0,$J27,IF(AND($F27&lt;&gt;"",AK27&gt;=$F27),$I27,IF(AND($E27&lt;&gt;"",AK27&gt;=$E27),$H27,$G27))))</f>
        <v/>
      </c>
      <c r="AL28" s="0" t="str">
        <f aca="false">IF(AL27="","",IF($D27=0,$J27,IF(AND($F27&lt;&gt;"",AL27&gt;=$F27),$I27,IF(AND($E27&lt;&gt;"",AL27&gt;=$E27),$H27,$G27))))</f>
        <v/>
      </c>
      <c r="AM28" s="0" t="str">
        <f aca="false">IF(AM27="","",IF($D27=0,$J27,IF(AND($F27&lt;&gt;"",AM27&gt;=$F27),$I27,IF(AND($E27&lt;&gt;"",AM27&gt;=$E27),$H27,$G27))))</f>
        <v/>
      </c>
      <c r="AN28" s="0" t="str">
        <f aca="false">IF(AN27="","",IF($D27=0,$J27,IF(AND($F27&lt;&gt;"",AN27&gt;=$F27),$I27,IF(AND($E27&lt;&gt;"",AN27&gt;=$E27),$H27,$G27))))</f>
        <v/>
      </c>
      <c r="AO28" s="0" t="str">
        <f aca="false">IF(AO27="","",IF($D27=0,$J27,IF(AND($F27&lt;&gt;"",AO27&gt;=$F27),$I27,IF(AND($E27&lt;&gt;"",AO27&gt;=$E27),$H27,$G27))))</f>
        <v/>
      </c>
      <c r="AP28" s="0" t="str">
        <f aca="false">IF(AP27="","",IF($D27=0,$J27,IF(AND($F27&lt;&gt;"",AP27&gt;=$F27),$I27,IF(AND($E27&lt;&gt;"",AP27&gt;=$E27),$H27,$G27))))</f>
        <v/>
      </c>
      <c r="AQ28" s="0" t="str">
        <f aca="false">IF(AQ27="","",IF($D27=0,$J27,IF(AND($F27&lt;&gt;"",AQ27&gt;=$F27),$I27,IF(AND($E27&lt;&gt;"",AQ27&gt;=$E27),$H27,$G27))))</f>
        <v/>
      </c>
      <c r="AR28" s="0" t="str">
        <f aca="false">IF(AR27="","",IF($D27=0,$J27,IF(AND($F27&lt;&gt;"",AR27&gt;=$F27),$I27,IF(AND($E27&lt;&gt;"",AR27&gt;=$E27),$H27,$G27))))</f>
        <v/>
      </c>
      <c r="AS28" s="0" t="str">
        <f aca="false">IF(AS27="","",IF($D27=0,$J27,IF(AND($F27&lt;&gt;"",AS27&gt;=$F27),$I27,IF(AND($E27&lt;&gt;"",AS27&gt;=$E27),$H27,$G27))))</f>
        <v/>
      </c>
      <c r="AT28" s="0" t="str">
        <f aca="false">IF(AT27="","",IF($D27=0,$J27,IF(AND($F27&lt;&gt;"",AT27&gt;=$F27),$I27,IF(AND($E27&lt;&gt;"",AT27&gt;=$E27),$H27,$G27))))</f>
        <v/>
      </c>
      <c r="AU28" s="0" t="str">
        <f aca="false">IF(AU27="","",IF($D27=0,$J27,IF(AND($F27&lt;&gt;"",AU27&gt;=$F27),$I27,IF(AND($E27&lt;&gt;"",AU27&gt;=$E27),$H27,$G27))))</f>
        <v/>
      </c>
      <c r="AV28" s="0" t="str">
        <f aca="false">IF(AV27="","",IF($D27=0,$J27,IF(AND($F27&lt;&gt;"",AV27&gt;=$F27),$I27,IF(AND($E27&lt;&gt;"",AV27&gt;=$E27),$H27,$G27))))</f>
        <v/>
      </c>
      <c r="AW28" s="0" t="str">
        <f aca="false">IF(AW27="","",IF($D27=0,$J27,IF(AND($F27&lt;&gt;"",AW27&gt;=$F27),$I27,IF(AND($E27&lt;&gt;"",AW27&gt;=$E27),$H27,$G27))))</f>
        <v/>
      </c>
      <c r="AX28" s="0" t="str">
        <f aca="false">IF(AX27="","",IF($D27=0,$J27,IF(AND($F27&lt;&gt;"",AX27&gt;=$F27),$I27,IF(AND($E27&lt;&gt;"",AX27&gt;=$E27),$H27,$G27))))</f>
        <v/>
      </c>
      <c r="AY28" s="0" t="str">
        <f aca="false">IF(AY27="","",IF($D27=0,$J27,IF(AND($F27&lt;&gt;"",AY27&gt;=$F27),$I27,IF(AND($E27&lt;&gt;"",AY27&gt;=$E27),$H27,$G27))))</f>
        <v/>
      </c>
      <c r="AZ28" s="0" t="str">
        <f aca="false">IF(AZ27="","",IF($D27=0,$J27,IF(AND($F27&lt;&gt;"",AZ27&gt;=$F27),$I27,IF(AND($E27&lt;&gt;"",AZ27&gt;=$E27),$H27,$G27))))</f>
        <v/>
      </c>
      <c r="BA28" s="0" t="str">
        <f aca="false">IF(BA27="","",IF($D27=0,$J27,IF(AND($F27&lt;&gt;"",BA27&gt;=$F27),$I27,IF(AND($E27&lt;&gt;"",BA27&gt;=$E27),$H27,$G27))))</f>
        <v/>
      </c>
      <c r="BB28" s="0" t="str">
        <f aca="false">IF(BB27="","",IF($D27=0,$J27,IF(AND($F27&lt;&gt;"",BB27&gt;=$F27),$I27,IF(AND($E27&lt;&gt;"",BB27&gt;=$E27),$H27,$G27))))</f>
        <v/>
      </c>
      <c r="BC28" s="0" t="str">
        <f aca="false">IF(BC27="","",IF($D27=0,$J27,IF(AND($F27&lt;&gt;"",BC27&gt;=$F27),$I27,IF(AND($E27&lt;&gt;"",BC27&gt;=$E27),$H27,$G27))))</f>
        <v/>
      </c>
      <c r="BD28" s="0" t="str">
        <f aca="false">IF(BD27="","",IF($D27=0,$J27,IF(AND($F27&lt;&gt;"",BD27&gt;=$F27),$I27,IF(AND($E27&lt;&gt;"",BD27&gt;=$E27),$H27,$G27))))</f>
        <v/>
      </c>
      <c r="BE28" s="0" t="str">
        <f aca="false">IF(BE27="","",IF($D27=0,$J27,IF(AND($F27&lt;&gt;"",BE27&gt;=$F27),$I27,IF(AND($E27&lt;&gt;"",BE27&gt;=$E27),$H27,$G27))))</f>
        <v/>
      </c>
      <c r="BF28" s="0" t="str">
        <f aca="false">IF(BF27="","",IF($D27=0,$J27,IF(AND($F27&lt;&gt;"",BF27&gt;=$F27),$I27,IF(AND($E27&lt;&gt;"",BF27&gt;=$E27),$H27,$G27))))</f>
        <v/>
      </c>
      <c r="BG28" s="0" t="str">
        <f aca="false">IF(BG27="","",IF($D27=0,$J27,IF(AND($F27&lt;&gt;"",BG27&gt;=$F27),$I27,IF(AND($E27&lt;&gt;"",BG27&gt;=$E27),$H27,$G27))))</f>
        <v/>
      </c>
      <c r="BH28" s="0" t="str">
        <f aca="false">IF(BH27="","",IF($D27=0,$J27,IF(AND($F27&lt;&gt;"",BH27&gt;=$F27),$I27,IF(AND($E27&lt;&gt;"",BH27&gt;=$E27),$H27,$G27))))</f>
        <v/>
      </c>
      <c r="BI28" s="0" t="str">
        <f aca="false">IF(BI27="","",IF($D27=0,$J27,IF(AND($F27&lt;&gt;"",BI27&gt;=$F27),$I27,IF(AND($E27&lt;&gt;"",BI27&gt;=$E27),$H27,$G27))))</f>
        <v/>
      </c>
      <c r="BJ28" s="0" t="str">
        <f aca="false">IF(BJ27="","",IF($D27=0,$J27,IF(AND($F27&lt;&gt;"",BJ27&gt;=$F27),$I27,IF(AND($E27&lt;&gt;"",BJ27&gt;=$E27),$H27,$G27))))</f>
        <v/>
      </c>
      <c r="BK28" s="0" t="str">
        <f aca="false">IF(BK27="","",IF($D27=0,$J27,IF(AND($F27&lt;&gt;"",BK27&gt;=$F27),$I27,IF(AND($E27&lt;&gt;"",BK27&gt;=$E27),$H27,$G27))))</f>
        <v/>
      </c>
      <c r="BL28" s="0" t="str">
        <f aca="false">IF(BL27="","",IF($D27=0,$J27,IF(AND($F27&lt;&gt;"",BL27&gt;=$F27),$I27,IF(AND($E27&lt;&gt;"",BL27&gt;=$E27),$H27,$G27))))</f>
        <v/>
      </c>
      <c r="BM28" s="0" t="str">
        <f aca="false">IF(BM27="","",IF($D27=0,$J27,IF(AND($F27&lt;&gt;"",BM27&gt;=$F27),$I27,IF(AND($E27&lt;&gt;"",BM27&gt;=$E27),$H27,$G27))))</f>
        <v/>
      </c>
      <c r="BN28" s="0" t="str">
        <f aca="false">IF(BN27="","",IF($D27=0,$J27,IF(AND($F27&lt;&gt;"",BN27&gt;=$F27),$I27,IF(AND($E27&lt;&gt;"",BN27&gt;=$E27),$H27,$G27))))</f>
        <v/>
      </c>
      <c r="BO28" s="0" t="str">
        <f aca="false">IF(BO27="","",IF($D27=0,$J27,IF(AND($F27&lt;&gt;"",BO27&gt;=$F27),$I27,IF(AND($E27&lt;&gt;"",BO27&gt;=$E27),$H27,$G27))))</f>
        <v/>
      </c>
      <c r="BP28" s="0" t="str">
        <f aca="false">IF(BP27="","",IF($D27=0,$J27,IF(AND($F27&lt;&gt;"",BP27&gt;=$F27),$I27,IF(AND($E27&lt;&gt;"",BP27&gt;=$E27),$H27,$G27))))</f>
        <v/>
      </c>
      <c r="BQ28" s="0" t="str">
        <f aca="false">IF(BQ27="","",IF($D27=0,$J27,IF(AND($F27&lt;&gt;"",BQ27&gt;=$F27),$I27,IF(AND($E27&lt;&gt;"",BQ27&gt;=$E27),$H27,$G27))))</f>
        <v/>
      </c>
      <c r="BR28" s="0" t="str">
        <f aca="false">IF(BR27="","",IF($D27=0,$J27,IF(AND($F27&lt;&gt;"",BR27&gt;=$F27),$I27,IF(AND($E27&lt;&gt;"",BR27&gt;=$E27),$H27,$G27))))</f>
        <v/>
      </c>
      <c r="BS28" s="0" t="str">
        <f aca="false">IF(BS27="","",IF($D27=0,$J27,IF(AND($F27&lt;&gt;"",BS27&gt;=$F27),$I27,IF(AND($E27&lt;&gt;"",BS27&gt;=$E27),$H27,$G27))))</f>
        <v/>
      </c>
      <c r="BT28" s="0" t="str">
        <f aca="false">IF(BT27="","",IF($D27=0,$J27,IF(AND($F27&lt;&gt;"",BT27&gt;=$F27),$I27,IF(AND($E27&lt;&gt;"",BT27&gt;=$E27),$H27,$G27))))</f>
        <v/>
      </c>
      <c r="BU28" s="0" t="str">
        <f aca="false">IF(BU27="","",IF($D27=0,$J27,IF(AND($F27&lt;&gt;"",BU27&gt;=$F27),$I27,IF(AND($E27&lt;&gt;"",BU27&gt;=$E27),$H27,$G27))))</f>
        <v/>
      </c>
      <c r="BV28" s="0" t="str">
        <f aca="false">IF(BV27="","",IF($D27=0,$J27,IF(AND($F27&lt;&gt;"",BV27&gt;=$F27),$I27,IF(AND($E27&lt;&gt;"",BV27&gt;=$E27),$H27,$G27))))</f>
        <v/>
      </c>
      <c r="BW28" s="0" t="str">
        <f aca="false">IF(BW27="","",IF($D27=0,$J27,IF(AND($F27&lt;&gt;"",BW27&gt;=$F27),$I27,IF(AND($E27&lt;&gt;"",BW27&gt;=$E27),$H27,$G27))))</f>
        <v/>
      </c>
      <c r="BX28" s="0" t="str">
        <f aca="false">IF(BX27="","",IF($D27=0,$J27,IF(AND($F27&lt;&gt;"",BX27&gt;=$F27),$I27,IF(AND($E27&lt;&gt;"",BX27&gt;=$E27),$H27,$G27))))</f>
        <v/>
      </c>
      <c r="BY28" s="0" t="str">
        <f aca="false">IF(BY27="","",IF($D27=0,$J27,IF(AND($F27&lt;&gt;"",BY27&gt;=$F27),$I27,IF(AND($E27&lt;&gt;"",BY27&gt;=$E27),$H27,$G27))))</f>
        <v/>
      </c>
      <c r="BZ28" s="0" t="str">
        <f aca="false">IF(BZ27="","",IF($D27=0,$J27,IF(AND($F27&lt;&gt;"",BZ27&gt;=$F27),$I27,IF(AND($E27&lt;&gt;"",BZ27&gt;=$E27),$H27,$G27))))</f>
        <v/>
      </c>
      <c r="CA28" s="0" t="str">
        <f aca="false">IF(CA27="","",IF($D27=0,$J27,IF(AND($F27&lt;&gt;"",CA27&gt;=$F27),$I27,IF(AND($E27&lt;&gt;"",CA27&gt;=$E27),$H27,$G27))))</f>
        <v/>
      </c>
      <c r="CB28" s="0" t="str">
        <f aca="false">IF(CB27="","",IF($D27=0,$J27,IF(AND($F27&lt;&gt;"",CB27&gt;=$F27),$I27,IF(AND($E27&lt;&gt;"",CB27&gt;=$E27),$H27,$G27))))</f>
        <v/>
      </c>
      <c r="CC28" s="0" t="str">
        <f aca="false">IF(CC27="","",IF($D27=0,$J27,IF(AND($F27&lt;&gt;"",CC27&gt;=$F27),$I27,IF(AND($E27&lt;&gt;"",CC27&gt;=$E27),$H27,$G27))))</f>
        <v/>
      </c>
      <c r="CD28" s="0" t="str">
        <f aca="false">IF(CD27="","",IF($D27=0,$J27,IF(AND($F27&lt;&gt;"",CD27&gt;=$F27),$I27,IF(AND($E27&lt;&gt;"",CD27&gt;=$E27),$H27,$G27))))</f>
        <v/>
      </c>
      <c r="CE28" s="0" t="str">
        <f aca="false">IF(CE27="","",IF($D27=0,$J27,IF(AND($F27&lt;&gt;"",CE27&gt;=$F27),$I27,IF(AND($E27&lt;&gt;"",CE27&gt;=$E27),$H27,$G27))))</f>
        <v/>
      </c>
      <c r="CF28" s="0" t="str">
        <f aca="false">IF(CF27="","",IF($D27=0,$J27,IF(AND($F27&lt;&gt;"",CF27&gt;=$F27),$I27,IF(AND($E27&lt;&gt;"",CF27&gt;=$E27),$H27,$G27))))</f>
        <v/>
      </c>
      <c r="CG28" s="0" t="str">
        <f aca="false">IF(CG27="","",IF($D27=0,$J27,IF(AND($F27&lt;&gt;"",CG27&gt;=$F27),$I27,IF(AND($E27&lt;&gt;"",CG27&gt;=$E27),$H27,$G27))))</f>
        <v/>
      </c>
      <c r="CH28" s="0" t="str">
        <f aca="false">IF(CH27="","",IF($D27=0,$J27,IF(AND($F27&lt;&gt;"",CH27&gt;=$F27),$I27,IF(AND($E27&lt;&gt;"",CH27&gt;=$E27),$H27,$G27))))</f>
        <v/>
      </c>
      <c r="CI28" s="0" t="str">
        <f aca="false">IF(CI27="","",IF($D27=0,$J27,IF(AND($F27&lt;&gt;"",CI27&gt;=$F27),$I27,IF(AND($E27&lt;&gt;"",CI27&gt;=$E27),$H27,$G27))))</f>
        <v/>
      </c>
      <c r="CJ28" s="0" t="str">
        <f aca="false">IF(CJ27="","",IF($D27=0,$J27,IF(AND($F27&lt;&gt;"",CJ27&gt;=$F27),$I27,IF(AND($E27&lt;&gt;"",CJ27&gt;=$E27),$H27,$G27))))</f>
        <v/>
      </c>
      <c r="CK28" s="0" t="str">
        <f aca="false">IF(CK27="","",IF($D27=0,$J27,IF(AND($F27&lt;&gt;"",CK27&gt;=$F27),$I27,IF(AND($E27&lt;&gt;"",CK27&gt;=$E27),$H27,$G27))))</f>
        <v/>
      </c>
      <c r="CL28" s="0" t="str">
        <f aca="false">IF(CL27="","",IF($D27=0,$J27,IF(AND($F27&lt;&gt;"",CL27&gt;=$F27),$I27,IF(AND($E27&lt;&gt;"",CL27&gt;=$E27),$H27,$G27))))</f>
        <v/>
      </c>
      <c r="CM28" s="0" t="str">
        <f aca="false">IF(CM27="","",IF($D27=0,$J27,IF(AND($F27&lt;&gt;"",CM27&gt;=$F27),$I27,IF(AND($E27&lt;&gt;"",CM27&gt;=$E27),$H27,$G27))))</f>
        <v/>
      </c>
      <c r="CN28" s="0" t="str">
        <f aca="false">IF(CN27="","",IF($D27=0,$J27,IF(AND($F27&lt;&gt;"",CN27&gt;=$F27),$I27,IF(AND($E27&lt;&gt;"",CN27&gt;=$E27),$H27,$G27))))</f>
        <v/>
      </c>
      <c r="CO28" s="0" t="str">
        <f aca="false">IF(CO27="","",IF($D27=0,$J27,IF(AND($F27&lt;&gt;"",CO27&gt;=$F27),$I27,IF(AND($E27&lt;&gt;"",CO27&gt;=$E27),$H27,$G27))))</f>
        <v/>
      </c>
      <c r="CP28" s="0" t="str">
        <f aca="false">IF(CP27="","",IF($D27=0,$J27,IF(AND($F27&lt;&gt;"",CP27&gt;=$F27),$I27,IF(AND($E27&lt;&gt;"",CP27&gt;=$E27),$H27,$G27))))</f>
        <v/>
      </c>
      <c r="CQ28" s="0" t="str">
        <f aca="false">IF(CQ27="","",IF($D27=0,$J27,IF(AND($F27&lt;&gt;"",CQ27&gt;=$F27),$I27,IF(AND($E27&lt;&gt;"",CQ27&gt;=$E27),$H27,$G27))))</f>
        <v/>
      </c>
      <c r="CR28" s="0" t="str">
        <f aca="false">IF(CR27="","",IF($D27=0,$J27,IF(AND($F27&lt;&gt;"",CR27&gt;=$F27),$I27,IF(AND($E27&lt;&gt;"",CR27&gt;=$E27),$H27,$G27))))</f>
        <v/>
      </c>
      <c r="CS28" s="0" t="str">
        <f aca="false">IF(CS27="","",IF($D27=0,$J27,IF(AND($F27&lt;&gt;"",CS27&gt;=$F27),$I27,IF(AND($E27&lt;&gt;"",CS27&gt;=$E27),$H27,$G27))))</f>
        <v/>
      </c>
      <c r="CT28" s="0" t="str">
        <f aca="false">IF(CT27="","",IF($D27=0,$J27,IF(AND($F27&lt;&gt;"",CT27&gt;=$F27),$I27,IF(AND($E27&lt;&gt;"",CT27&gt;=$E27),$H27,$G27))))</f>
        <v/>
      </c>
      <c r="CU28" s="0" t="str">
        <f aca="false">IF(CU27="","",IF($D27=0,$J27,IF(AND($F27&lt;&gt;"",CU27&gt;=$F27),$I27,IF(AND($E27&lt;&gt;"",CU27&gt;=$E27),$H27,$G27))))</f>
        <v/>
      </c>
      <c r="CV28" s="0" t="str">
        <f aca="false">IF(CV27="","",IF($D27=0,$J27,IF(AND($F27&lt;&gt;"",CV27&gt;=$F27),$I27,IF(AND($E27&lt;&gt;"",CV27&gt;=$E27),$H27,$G27))))</f>
        <v/>
      </c>
      <c r="CW28" s="0" t="str">
        <f aca="false">IF(CW27="","",IF($D27=0,$J27,IF(AND($F27&lt;&gt;"",CW27&gt;=$F27),$I27,IF(AND($E27&lt;&gt;"",CW27&gt;=$E27),$H27,$G27))))</f>
        <v/>
      </c>
      <c r="CX28" s="0" t="str">
        <f aca="false">IF(CX27="","",IF($D27=0,$J27,IF(AND($F27&lt;&gt;"",CX27&gt;=$F27),$I27,IF(AND($E27&lt;&gt;"",CX27&gt;=$E27),$H27,$G27))))</f>
        <v/>
      </c>
      <c r="CY28" s="0" t="str">
        <f aca="false">IF(CY27="","",IF($D27=0,$J27,IF(AND($F27&lt;&gt;"",CY27&gt;=$F27),$I27,IF(AND($E27&lt;&gt;"",CY27&gt;=$E27),$H27,$G27))))</f>
        <v/>
      </c>
      <c r="CZ28" s="0" t="str">
        <f aca="false">IF(CZ27="","",IF($D27=0,$J27,IF(AND($F27&lt;&gt;"",CZ27&gt;=$F27),$I27,IF(AND($E27&lt;&gt;"",CZ27&gt;=$E27),$H27,$G27))))</f>
        <v/>
      </c>
      <c r="DA28" s="0" t="str">
        <f aca="false">IF(DA27="","",IF($D27=0,$J27,IF(AND($F27&lt;&gt;"",DA27&gt;=$F27),$I27,IF(AND($E27&lt;&gt;"",DA27&gt;=$E27),$H27,$G27))))</f>
        <v/>
      </c>
      <c r="DB28" s="0" t="str">
        <f aca="false">IF(DB27="","",IF($D27=0,$J27,IF(AND($F27&lt;&gt;"",DB27&gt;=$F27),$I27,IF(AND($E27&lt;&gt;"",DB27&gt;=$E27),$H27,$G27))))</f>
        <v/>
      </c>
      <c r="DC28" s="0" t="str">
        <f aca="false">IF(DC27="","",IF($D27=0,$J27,IF(AND($F27&lt;&gt;"",DC27&gt;=$F27),$I27,IF(AND($E27&lt;&gt;"",DC27&gt;=$E27),$H27,$G27))))</f>
        <v/>
      </c>
      <c r="DD28" s="0" t="str">
        <f aca="false">IF(DD27="","",IF($D27=0,$J27,IF(AND($F27&lt;&gt;"",DD27&gt;=$F27),$I27,IF(AND($E27&lt;&gt;"",DD27&gt;=$E27),$H27,$G27))))</f>
        <v/>
      </c>
      <c r="DE28" s="0" t="str">
        <f aca="false">IF(DE27="","",IF($D27=0,$J27,IF(AND($F27&lt;&gt;"",DE27&gt;=$F27),$I27,IF(AND($E27&lt;&gt;"",DE27&gt;=$E27),$H27,$G27))))</f>
        <v/>
      </c>
      <c r="DF28" s="0" t="str">
        <f aca="false">IF(DF27="","",IF($D27=0,$J27,IF(AND($F27&lt;&gt;"",DF27&gt;=$F27),$I27,IF(AND($E27&lt;&gt;"",DF27&gt;=$E27),$H27,$G27))))</f>
        <v/>
      </c>
      <c r="DG28" s="0" t="str">
        <f aca="false">IF(DG27="","",IF($D27=0,$J27,IF(AND($F27&lt;&gt;"",DG27&gt;=$F27),$I27,IF(AND($E27&lt;&gt;"",DG27&gt;=$E27),$H27,$G27))))</f>
        <v/>
      </c>
      <c r="DH28" s="0" t="str">
        <f aca="false">IF(DH27="","",IF($D27=0,$J27,IF(AND($F27&lt;&gt;"",DH27&gt;=$F27),$I27,IF(AND($E27&lt;&gt;"",DH27&gt;=$E27),$H27,$G27))))</f>
        <v/>
      </c>
      <c r="DI28" s="0" t="str">
        <f aca="false">IF(DI27="","",IF($D27=0,$J27,IF(AND($F27&lt;&gt;"",DI27&gt;=$F27),$I27,IF(AND($E27&lt;&gt;"",DI27&gt;=$E27),$H27,$G27))))</f>
        <v/>
      </c>
      <c r="DJ28" s="0" t="str">
        <f aca="false">IF(DJ27="","",IF($D27=0,$J27,IF(AND($F27&lt;&gt;"",DJ27&gt;=$F27),$I27,IF(AND($E27&lt;&gt;"",DJ27&gt;=$E27),$H27,$G27))))</f>
        <v/>
      </c>
      <c r="DK28" s="0" t="str">
        <f aca="false">IF(DK27="","",IF($D27=0,$J27,IF(AND($F27&lt;&gt;"",DK27&gt;=$F27),$I27,IF(AND($E27&lt;&gt;"",DK27&gt;=$E27),$H27,$G27))))</f>
        <v/>
      </c>
      <c r="DL28" s="0" t="str">
        <f aca="false">IF(DL27="","",IF($D27=0,$J27,IF(AND($F27&lt;&gt;"",DL27&gt;=$F27),$I27,IF(AND($E27&lt;&gt;"",DL27&gt;=$E27),$H27,$G27))))</f>
        <v/>
      </c>
      <c r="DM28" s="0" t="str">
        <f aca="false">IF(DM27="","",IF($D27=0,$J27,IF(AND($F27&lt;&gt;"",DM27&gt;=$F27),$I27,IF(AND($E27&lt;&gt;"",DM27&gt;=$E27),$H27,$G27))))</f>
        <v/>
      </c>
      <c r="DN28" s="0" t="str">
        <f aca="false">IF(DN27="","",IF($D27=0,$J27,IF(AND($F27&lt;&gt;"",DN27&gt;=$F27),$I27,IF(AND($E27&lt;&gt;"",DN27&gt;=$E27),$H27,$G27))))</f>
        <v/>
      </c>
      <c r="DO28" s="0" t="str">
        <f aca="false">IF(DO27="","",IF($D27=0,$J27,IF(AND($F27&lt;&gt;"",DO27&gt;=$F27),$I27,IF(AND($E27&lt;&gt;"",DO27&gt;=$E27),$H27,$G27))))</f>
        <v/>
      </c>
      <c r="DP28" s="0" t="str">
        <f aca="false">IF(DP27="","",IF($D27=0,$J27,IF(AND($F27&lt;&gt;"",DP27&gt;=$F27),$I27,IF(AND($E27&lt;&gt;"",DP27&gt;=$E27),$H27,$G27))))</f>
        <v/>
      </c>
      <c r="DQ28" s="0" t="str">
        <f aca="false">IF(DQ27="","",IF($D27=0,$J27,IF(AND($F27&lt;&gt;"",DQ27&gt;=$F27),$I27,IF(AND($E27&lt;&gt;"",DQ27&gt;=$E27),$H27,$G27))))</f>
        <v/>
      </c>
      <c r="DR28" s="0" t="str">
        <f aca="false">IF(DR27="","",IF($D27=0,$J27,IF(AND($F27&lt;&gt;"",DR27&gt;=$F27),$I27,IF(AND($E27&lt;&gt;"",DR27&gt;=$E27),$H27,$G27))))</f>
        <v/>
      </c>
      <c r="DS28" s="0" t="str">
        <f aca="false">IF(DS27="","",IF($D27=0,$J27,IF(AND($F27&lt;&gt;"",DS27&gt;=$F27),$I27,IF(AND($E27&lt;&gt;"",DS27&gt;=$E27),$H27,$G27))))</f>
        <v/>
      </c>
      <c r="DT28" s="0" t="str">
        <f aca="false">IF(DT27="","",IF($D27=0,$J27,IF(AND($F27&lt;&gt;"",DT27&gt;=$F27),$I27,IF(AND($E27&lt;&gt;"",DT27&gt;=$E27),$H27,$G27))))</f>
        <v/>
      </c>
      <c r="DU28" s="0" t="str">
        <f aca="false">IF(DU27="","",IF($D27=0,$J27,IF(AND($F27&lt;&gt;"",DU27&gt;=$F27),$I27,IF(AND($E27&lt;&gt;"",DU27&gt;=$E27),$H27,$G27))))</f>
        <v/>
      </c>
      <c r="DV28" s="0" t="str">
        <f aca="false">IF(DV27="","",IF($D27=0,$J27,IF(AND($F27&lt;&gt;"",DV27&gt;=$F27),$I27,IF(AND($E27&lt;&gt;"",DV27&gt;=$E27),$H27,$G27))))</f>
        <v/>
      </c>
      <c r="DW28" s="0" t="str">
        <f aca="false">IF(DW27="","",IF($D27=0,$J27,IF(AND($F27&lt;&gt;"",DW27&gt;=$F27),$I27,IF(AND($E27&lt;&gt;"",DW27&gt;=$E27),$H27,$G27))))</f>
        <v/>
      </c>
      <c r="DX28" s="0" t="str">
        <f aca="false">IF(DX27="","",IF($D27=0,$J27,IF(AND($F27&lt;&gt;"",DX27&gt;=$F27),$I27,IF(AND($E27&lt;&gt;"",DX27&gt;=$E27),$H27,$G27))))</f>
        <v/>
      </c>
      <c r="DY28" s="0" t="str">
        <f aca="false">IF(DY27="","",IF($D27=0,$J27,IF(AND($F27&lt;&gt;"",DY27&gt;=$F27),$I27,IF(AND($E27&lt;&gt;"",DY27&gt;=$E27),$H27,$G27))))</f>
        <v/>
      </c>
      <c r="DZ28" s="0" t="str">
        <f aca="false">IF(DZ27="","",IF($D27=0,$J27,IF(AND($F27&lt;&gt;"",DZ27&gt;=$F27),$I27,IF(AND($E27&lt;&gt;"",DZ27&gt;=$E27),$H27,$G27))))</f>
        <v/>
      </c>
      <c r="EA28" s="0" t="str">
        <f aca="false">IF(EA27="","",IF($D27=0,$J27,IF(AND($F27&lt;&gt;"",EA27&gt;=$F27),$I27,IF(AND($E27&lt;&gt;"",EA27&gt;=$E27),$H27,$G27))))</f>
        <v/>
      </c>
      <c r="EB28" s="0" t="str">
        <f aca="false">IF(EB27="","",IF($D27=0,$J27,IF(AND($F27&lt;&gt;"",EB27&gt;=$F27),$I27,IF(AND($E27&lt;&gt;"",EB27&gt;=$E27),$H27,$G27))))</f>
        <v/>
      </c>
      <c r="EC28" s="0" t="str">
        <f aca="false">IF(EC27="","",IF($D27=0,$J27,IF(AND($F27&lt;&gt;"",EC27&gt;=$F27),$I27,IF(AND($E27&lt;&gt;"",EC27&gt;=$E27),$H27,$G27))))</f>
        <v/>
      </c>
      <c r="ED28" s="0" t="str">
        <f aca="false">IF(ED27="","",IF($D27=0,$J27,IF(AND($F27&lt;&gt;"",ED27&gt;=$F27),$I27,IF(AND($E27&lt;&gt;"",ED27&gt;=$E27),$H27,$G27))))</f>
        <v/>
      </c>
      <c r="EE28" s="0" t="str">
        <f aca="false">IF(EE27="","",IF($D27=0,$J27,IF(AND($F27&lt;&gt;"",EE27&gt;=$F27),$I27,IF(AND($E27&lt;&gt;"",EE27&gt;=$E27),$H27,$G27))))</f>
        <v/>
      </c>
      <c r="EF28" s="0" t="str">
        <f aca="false">IF(EF27="","",IF($D27=0,$J27,IF(AND($F27&lt;&gt;"",EF27&gt;=$F27),$I27,IF(AND($E27&lt;&gt;"",EF27&gt;=$E27),$H27,$G27))))</f>
        <v/>
      </c>
      <c r="EG28" s="0" t="str">
        <f aca="false">IF(EG27="","",IF($D27=0,$J27,IF(AND($F27&lt;&gt;"",EG27&gt;=$F27),$I27,IF(AND($E27&lt;&gt;"",EG27&gt;=$E27),$H27,$G27))))</f>
        <v/>
      </c>
      <c r="EH28" s="0" t="str">
        <f aca="false">IF(EH27="","",IF($D27=0,$J27,IF(AND($F27&lt;&gt;"",EH27&gt;=$F27),$I27,IF(AND($E27&lt;&gt;"",EH27&gt;=$E27),$H27,$G27))))</f>
        <v/>
      </c>
      <c r="EI28" s="0" t="str">
        <f aca="false">IF(EI27="","",IF($D27=0,$J27,IF(AND($F27&lt;&gt;"",EI27&gt;=$F27),$I27,IF(AND($E27&lt;&gt;"",EI27&gt;=$E27),$H27,$G27))))</f>
        <v/>
      </c>
      <c r="EJ28" s="0" t="str">
        <f aca="false">IF(EJ27="","",IF($D27=0,$J27,IF(AND($F27&lt;&gt;"",EJ27&gt;=$F27),$I27,IF(AND($E27&lt;&gt;"",EJ27&gt;=$E27),$H27,$G27))))</f>
        <v/>
      </c>
      <c r="EK28" s="0" t="str">
        <f aca="false">IF(EK27="","",IF($D27=0,$J27,IF(AND($F27&lt;&gt;"",EK27&gt;=$F27),$I27,IF(AND($E27&lt;&gt;"",EK27&gt;=$E27),$H27,$G27))))</f>
        <v/>
      </c>
      <c r="EL28" s="0" t="str">
        <f aca="false">IF(EL27="","",IF($D27=0,$J27,IF(AND($F27&lt;&gt;"",EL27&gt;=$F27),$I27,IF(AND($E27&lt;&gt;"",EL27&gt;=$E27),$H27,$G27))))</f>
        <v/>
      </c>
      <c r="EM28" s="0" t="str">
        <f aca="false">IF(EM27="","",IF($D27=0,$J27,IF(AND($F27&lt;&gt;"",EM27&gt;=$F27),$I27,IF(AND($E27&lt;&gt;"",EM27&gt;=$E27),$H27,$G27))))</f>
        <v/>
      </c>
      <c r="EN28" s="0" t="str">
        <f aca="false">IF(EN27="","",IF($D27=0,$J27,IF(AND($F27&lt;&gt;"",EN27&gt;=$F27),$I27,IF(AND($E27&lt;&gt;"",EN27&gt;=$E27),$H27,$G27))))</f>
        <v/>
      </c>
      <c r="EO28" s="0" t="str">
        <f aca="false">IF(EO27="","",IF($D27=0,$J27,IF(AND($F27&lt;&gt;"",EO27&gt;=$F27),$I27,IF(AND($E27&lt;&gt;"",EO27&gt;=$E27),$H27,$G27))))</f>
        <v/>
      </c>
      <c r="EP28" s="0" t="str">
        <f aca="false">IF(EP27="","",IF($D27=0,$J27,IF(AND($F27&lt;&gt;"",EP27&gt;=$F27),$I27,IF(AND($E27&lt;&gt;"",EP27&gt;=$E27),$H27,$G27))))</f>
        <v/>
      </c>
      <c r="EQ28" s="0" t="str">
        <f aca="false">IF(EQ27="","",IF($D27=0,$J27,IF(AND($F27&lt;&gt;"",EQ27&gt;=$F27),$I27,IF(AND($E27&lt;&gt;"",EQ27&gt;=$E27),$H27,$G27))))</f>
        <v/>
      </c>
      <c r="ER28" s="0" t="str">
        <f aca="false">IF(ER27="","",IF($D27=0,$J27,IF(AND($F27&lt;&gt;"",ER27&gt;=$F27),$I27,IF(AND($E27&lt;&gt;"",ER27&gt;=$E27),$H27,$G27))))</f>
        <v/>
      </c>
      <c r="ES28" s="0" t="str">
        <f aca="false">IF(ES27="","",IF($D27=0,$J27,IF(AND($F27&lt;&gt;"",ES27&gt;=$F27),$I27,IF(AND($E27&lt;&gt;"",ES27&gt;=$E27),$H27,$G27))))</f>
        <v/>
      </c>
      <c r="ET28" s="0" t="str">
        <f aca="false">IF(ET27="","",IF($D27=0,$J27,IF(AND($F27&lt;&gt;"",ET27&gt;=$F27),$I27,IF(AND($E27&lt;&gt;"",ET27&gt;=$E27),$H27,$G27))))</f>
        <v/>
      </c>
      <c r="EU28" s="0" t="str">
        <f aca="false">IF(EU27="","",IF($D27=0,$J27,IF(AND($F27&lt;&gt;"",EU27&gt;=$F27),$I27,IF(AND($E27&lt;&gt;"",EU27&gt;=$E27),$H27,$G27))))</f>
        <v/>
      </c>
      <c r="EV28" s="0" t="str">
        <f aca="false">IF(EV27="","",IF($D27=0,$J27,IF(AND($F27&lt;&gt;"",EV27&gt;=$F27),$I27,IF(AND($E27&lt;&gt;"",EV27&gt;=$E27),$H27,$G27))))</f>
        <v/>
      </c>
      <c r="EW28" s="0" t="str">
        <f aca="false">IF(EW27="","",IF($D27=0,$J27,IF(AND($F27&lt;&gt;"",EW27&gt;=$F27),$I27,IF(AND($E27&lt;&gt;"",EW27&gt;=$E27),$H27,$G27))))</f>
        <v/>
      </c>
      <c r="EX28" s="0" t="str">
        <f aca="false">IF(EX27="","",IF($D27=0,$J27,IF(AND($F27&lt;&gt;"",EX27&gt;=$F27),$I27,IF(AND($E27&lt;&gt;"",EX27&gt;=$E27),$H27,$G27))))</f>
        <v/>
      </c>
      <c r="EY28" s="0" t="str">
        <f aca="false">IF(EY27="","",IF($D27=0,$J27,IF(AND($F27&lt;&gt;"",EY27&gt;=$F27),$I27,IF(AND($E27&lt;&gt;"",EY27&gt;=$E27),$H27,$G27))))</f>
        <v/>
      </c>
      <c r="EZ28" s="0" t="str">
        <f aca="false">IF(EZ27="","",IF($D27=0,$J27,IF(AND($F27&lt;&gt;"",EZ27&gt;=$F27),$I27,IF(AND($E27&lt;&gt;"",EZ27&gt;=$E27),$H27,$G27))))</f>
        <v/>
      </c>
      <c r="FA28" s="0" t="str">
        <f aca="false">IF(FA27="","",IF($D27=0,$J27,IF(AND($F27&lt;&gt;"",FA27&gt;=$F27),$I27,IF(AND($E27&lt;&gt;"",FA27&gt;=$E27),$H27,$G27))))</f>
        <v/>
      </c>
      <c r="FB28" s="0" t="str">
        <f aca="false">IF(FB27="","",IF($D27=0,$J27,IF(AND($F27&lt;&gt;"",FB27&gt;=$F27),$I27,IF(AND($E27&lt;&gt;"",FB27&gt;=$E27),$H27,$G27))))</f>
        <v/>
      </c>
      <c r="FC28" s="0" t="str">
        <f aca="false">IF(FC27="","",IF($D27=0,$J27,IF(AND($F27&lt;&gt;"",FC27&gt;=$F27),$I27,IF(AND($E27&lt;&gt;"",FC27&gt;=$E27),$H27,$G27))))</f>
        <v/>
      </c>
      <c r="FD28" s="0" t="str">
        <f aca="false">IF(FD27="","",IF($D27=0,$J27,IF(AND($F27&lt;&gt;"",FD27&gt;=$F27),$I27,IF(AND($E27&lt;&gt;"",FD27&gt;=$E27),$H27,$G27))))</f>
        <v/>
      </c>
      <c r="FE28" s="0" t="str">
        <f aca="false">IF(FE27="","",IF($D27=0,$J27,IF(AND($F27&lt;&gt;"",FE27&gt;=$F27),$I27,IF(AND($E27&lt;&gt;"",FE27&gt;=$E27),$H27,$G27))))</f>
        <v/>
      </c>
      <c r="FF28" s="0" t="str">
        <f aca="false">IF(FF27="","",IF($D27=0,$J27,IF(AND($F27&lt;&gt;"",FF27&gt;=$F27),$I27,IF(AND($E27&lt;&gt;"",FF27&gt;=$E27),$H27,$G27))))</f>
        <v/>
      </c>
      <c r="FG28" s="0" t="str">
        <f aca="false">IF(FG27="","",IF($D27=0,$J27,IF(AND($F27&lt;&gt;"",FG27&gt;=$F27),$I27,IF(AND($E27&lt;&gt;"",FG27&gt;=$E27),$H27,$G27))))</f>
        <v/>
      </c>
      <c r="FH28" s="0" t="str">
        <f aca="false">IF(FH27="","",IF($D27=0,$J27,IF(AND($F27&lt;&gt;"",FH27&gt;=$F27),$I27,IF(AND($E27&lt;&gt;"",FH27&gt;=$E27),$H27,$G27))))</f>
        <v/>
      </c>
      <c r="FI28" s="0" t="str">
        <f aca="false">IF(FI27="","",IF($D27=0,$J27,IF(AND($F27&lt;&gt;"",FI27&gt;=$F27),$I27,IF(AND($E27&lt;&gt;"",FI27&gt;=$E27),$H27,$G27))))</f>
        <v/>
      </c>
      <c r="FJ28" s="0" t="str">
        <f aca="false">IF(FJ27="","",IF($D27=0,$J27,IF(AND($F27&lt;&gt;"",FJ27&gt;=$F27),$I27,IF(AND($E27&lt;&gt;"",FJ27&gt;=$E27),$H27,$G27))))</f>
        <v/>
      </c>
      <c r="FK28" s="0" t="str">
        <f aca="false">IF(FK27="","",IF($D27=0,$J27,IF(AND($F27&lt;&gt;"",FK27&gt;=$F27),$I27,IF(AND($E27&lt;&gt;"",FK27&gt;=$E27),$H27,$G27))))</f>
        <v/>
      </c>
      <c r="FL28" s="0" t="str">
        <f aca="false">IF(FL27="","",IF($D27=0,$J27,IF(AND($F27&lt;&gt;"",FL27&gt;=$F27),$I27,IF(AND($E27&lt;&gt;"",FL27&gt;=$E27),$H27,$G27))))</f>
        <v/>
      </c>
      <c r="FM28" s="0" t="str">
        <f aca="false">IF(FM27="","",IF($D27=0,$J27,IF(AND($F27&lt;&gt;"",FM27&gt;=$F27),$I27,IF(AND($E27&lt;&gt;"",FM27&gt;=$E27),$H27,$G27))))</f>
        <v/>
      </c>
      <c r="FN28" s="0" t="str">
        <f aca="false">IF(FN27="","",IF($D27=0,$J27,IF(AND($F27&lt;&gt;"",FN27&gt;=$F27),$I27,IF(AND($E27&lt;&gt;"",FN27&gt;=$E27),$H27,$G27))))</f>
        <v/>
      </c>
      <c r="FO28" s="0" t="str">
        <f aca="false">IF(FO27="","",IF($D27=0,$J27,IF(AND($F27&lt;&gt;"",FO27&gt;=$F27),$I27,IF(AND($E27&lt;&gt;"",FO27&gt;=$E27),$H27,$G27))))</f>
        <v/>
      </c>
      <c r="FP28" s="0" t="str">
        <f aca="false">IF(FP27="","",IF($D27=0,$J27,IF(AND($F27&lt;&gt;"",FP27&gt;=$F27),$I27,IF(AND($E27&lt;&gt;"",FP27&gt;=$E27),$H27,$G27))))</f>
        <v/>
      </c>
      <c r="FQ28" s="0" t="str">
        <f aca="false">IF(FQ27="","",IF($D27=0,$J27,IF(AND($F27&lt;&gt;"",FQ27&gt;=$F27),$I27,IF(AND($E27&lt;&gt;"",FQ27&gt;=$E27),$H27,$G27))))</f>
        <v/>
      </c>
      <c r="FR28" s="0" t="str">
        <f aca="false">IF(FR27="","",IF($D27=0,$J27,IF(AND($F27&lt;&gt;"",FR27&gt;=$F27),$I27,IF(AND($E27&lt;&gt;"",FR27&gt;=$E27),$H27,$G27))))</f>
        <v/>
      </c>
      <c r="FS28" s="0" t="str">
        <f aca="false">IF(FS27="","",IF($D27=0,$J27,IF(AND($F27&lt;&gt;"",FS27&gt;=$F27),$I27,IF(AND($E27&lt;&gt;"",FS27&gt;=$E27),$H27,$G27))))</f>
        <v/>
      </c>
      <c r="FT28" s="0" t="str">
        <f aca="false">IF(FT27="","",IF($D27=0,$J27,IF(AND($F27&lt;&gt;"",FT27&gt;=$F27),$I27,IF(AND($E27&lt;&gt;"",FT27&gt;=$E27),$H27,$G27))))</f>
        <v/>
      </c>
      <c r="FU28" s="0" t="str">
        <f aca="false">IF(FU27="","",IF($D27=0,$J27,IF(AND($F27&lt;&gt;"",FU27&gt;=$F27),$I27,IF(AND($E27&lt;&gt;"",FU27&gt;=$E27),$H27,$G27))))</f>
        <v/>
      </c>
      <c r="FV28" s="0" t="str">
        <f aca="false">IF(FV27="","",IF($D27=0,$J27,IF(AND($F27&lt;&gt;"",FV27&gt;=$F27),$I27,IF(AND($E27&lt;&gt;"",FV27&gt;=$E27),$H27,$G27))))</f>
        <v/>
      </c>
      <c r="FW28" s="0" t="str">
        <f aca="false">IF(FW27="","",IF($D27=0,$J27,IF(AND($F27&lt;&gt;"",FW27&gt;=$F27),$I27,IF(AND($E27&lt;&gt;"",FW27&gt;=$E27),$H27,$G27))))</f>
        <v/>
      </c>
      <c r="FX28" s="0" t="str">
        <f aca="false">IF(FX27="","",IF($D27=0,$J27,IF(AND($F27&lt;&gt;"",FX27&gt;=$F27),$I27,IF(AND($E27&lt;&gt;"",FX27&gt;=$E27),$H27,$G27))))</f>
        <v/>
      </c>
      <c r="FY28" s="0" t="str">
        <f aca="false">IF(FY27="","",IF($D27=0,$J27,IF(AND($F27&lt;&gt;"",FY27&gt;=$F27),$I27,IF(AND($E27&lt;&gt;"",FY27&gt;=$E27),$H27,$G27))))</f>
        <v/>
      </c>
      <c r="FZ28" s="0" t="str">
        <f aca="false">IF(FZ27="","",IF($D27=0,$J27,IF(AND($F27&lt;&gt;"",FZ27&gt;=$F27),$I27,IF(AND($E27&lt;&gt;"",FZ27&gt;=$E27),$H27,$G27))))</f>
        <v/>
      </c>
      <c r="GA28" s="0" t="str">
        <f aca="false">IF(GA27="","",IF($D27=0,$J27,IF(AND($F27&lt;&gt;"",GA27&gt;=$F27),$I27,IF(AND($E27&lt;&gt;"",GA27&gt;=$E27),$H27,$G27))))</f>
        <v/>
      </c>
      <c r="GB28" s="0" t="str">
        <f aca="false">IF(GB27="","",IF($D27=0,$J27,IF(AND($F27&lt;&gt;"",GB27&gt;=$F27),$I27,IF(AND($E27&lt;&gt;"",GB27&gt;=$E27),$H27,$G27))))</f>
        <v/>
      </c>
      <c r="GC28" s="0" t="str">
        <f aca="false">IF(GC27="","",IF($D27=0,$J27,IF(AND($F27&lt;&gt;"",GC27&gt;=$F27),$I27,IF(AND($E27&lt;&gt;"",GC27&gt;=$E27),$H27,$G27))))</f>
        <v/>
      </c>
      <c r="GD28" s="0" t="str">
        <f aca="false">IF(GD27="","",IF($D27=0,$J27,IF(AND($F27&lt;&gt;"",GD27&gt;=$F27),$I27,IF(AND($E27&lt;&gt;"",GD27&gt;=$E27),$H27,$G27))))</f>
        <v/>
      </c>
      <c r="GE28" s="0" t="str">
        <f aca="false">IF(GE27="","",IF($D27=0,$J27,IF(AND($F27&lt;&gt;"",GE27&gt;=$F27),$I27,IF(AND($E27&lt;&gt;"",GE27&gt;=$E27),$H27,$G27))))</f>
        <v/>
      </c>
      <c r="GF28" s="0" t="str">
        <f aca="false">IF(GF27="","",IF($D27=0,$J27,IF(AND($F27&lt;&gt;"",GF27&gt;=$F27),$I27,IF(AND($E27&lt;&gt;"",GF27&gt;=$E27),$H27,$G27))))</f>
        <v/>
      </c>
      <c r="GG28" s="0" t="str">
        <f aca="false">IF(GG27="","",IF($D27=0,$J27,IF(AND($F27&lt;&gt;"",GG27&gt;=$F27),$I27,IF(AND($E27&lt;&gt;"",GG27&gt;=$E27),$H27,$G27))))</f>
        <v/>
      </c>
      <c r="GH28" s="0" t="str">
        <f aca="false">IF(GH27="","",IF($D27=0,$J27,IF(AND($F27&lt;&gt;"",GH27&gt;=$F27),$I27,IF(AND($E27&lt;&gt;"",GH27&gt;=$E27),$H27,$G27))))</f>
        <v/>
      </c>
      <c r="GI28" s="0" t="str">
        <f aca="false">IF(GI27="","",IF($D27=0,$J27,IF(AND($F27&lt;&gt;"",GI27&gt;=$F27),$I27,IF(AND($E27&lt;&gt;"",GI27&gt;=$E27),$H27,$G27))))</f>
        <v/>
      </c>
    </row>
    <row r="29" customFormat="false" ht="15" hidden="false" customHeight="false" outlineLevel="0" collapsed="false">
      <c r="K29" s="0" t="s">
        <v>264</v>
      </c>
      <c r="L29" s="0" t="n">
        <f aca="false">IF(L27="",0,IF(AND(L28=Milestones!$AB$20,L27&gt;=SchemeStart),IF(AND(Milestones!$AB$20="FT",Milestones!$AA$20=FT_Y5,L27&lt;PolicyEff),1,Milestones!$AC$20),0))</f>
        <v>0</v>
      </c>
      <c r="M29" s="0" t="n">
        <f aca="false">IF(M27="",0,IF(AND(M28=Milestones!$AB$21,M27&gt;=SchemeStart),IF(AND(Milestones!$AB$21="FT",Milestones!$AA$21=FT_Y5,M27&lt;PolicyEff),1,Milestones!$AC$21),0))</f>
        <v>0</v>
      </c>
      <c r="N29" s="0" t="n">
        <f aca="false">IF(N27="",0,IF(AND(N28=Milestones!$AB$22,N27&gt;=SchemeStart),IF(AND(Milestones!$AB$22="FT",Milestones!$AA$22=FT_Y5,N27&lt;PolicyEff),1,Milestones!$AC$22),0))</f>
        <v>0</v>
      </c>
      <c r="O29" s="0" t="n">
        <f aca="false">IF(O27="",0,IF(AND(O28=Milestones!$AB$23,O27&gt;=SchemeStart),IF(AND(Milestones!$AB$23="FT",Milestones!$AA$23=FT_Y5,O27&lt;PolicyEff),1,Milestones!$AC$23),0))</f>
        <v>0</v>
      </c>
      <c r="P29" s="0" t="n">
        <f aca="false">IF(P27="",0,IF(AND(P28=Milestones!$AB$24,P27&gt;=SchemeStart),IF(AND(Milestones!$AB$24="FT",Milestones!$AA$24=FT_Y5,P27&lt;PolicyEff),1,Milestones!$AC$24),0))</f>
        <v>0</v>
      </c>
      <c r="Q29" s="0" t="n">
        <f aca="false">IF(Q27="",0,IF(AND(Q28=Milestones!$AB$25,Q27&gt;=SchemeStart),IF(AND(Milestones!$AB$25="FT",Milestones!$AA$25=FT_Y5,Q27&lt;PolicyEff),1,Milestones!$AC$25),0))</f>
        <v>0</v>
      </c>
      <c r="R29" s="0" t="n">
        <f aca="false">IF(R27="",0,IF(AND(R28=Milestones!$AB$26,R27&gt;=SchemeStart),IF(AND(Milestones!$AB$26="FT",Milestones!$AA$26=FT_Y5,R27&lt;PolicyEff),1,Milestones!$AC$26),0))</f>
        <v>0</v>
      </c>
      <c r="S29" s="0" t="n">
        <f aca="false">IF(S27="",0,IF(AND(S28=Milestones!$AB$27,S27&gt;=SchemeStart),IF(AND(Milestones!$AB$27="FT",Milestones!$AA$27=FT_Y5,S27&lt;PolicyEff),1,Milestones!$AC$27),0))</f>
        <v>0</v>
      </c>
      <c r="T29" s="0" t="n">
        <f aca="false">IF(T27="",0,IF(AND(T28=Milestones!$AB$28,T27&gt;=SchemeStart),IF(AND(Milestones!$AB$28="FT",Milestones!$AA$28=FT_Y5,T27&lt;PolicyEff),1,Milestones!$AC$28),0))</f>
        <v>0</v>
      </c>
      <c r="U29" s="0" t="n">
        <f aca="false">IF(U27="",0,IF(AND(U28=Milestones!$AB$29,U27&gt;=SchemeStart),IF(AND(Milestones!$AB$29="FT",Milestones!$AA$29=FT_Y5,U27&lt;PolicyEff),1,Milestones!$AC$29),0))</f>
        <v>0</v>
      </c>
      <c r="V29" s="0" t="n">
        <f aca="false">IF(V27="",0,IF(AND(V28=Milestones!$AB$30,V27&gt;=SchemeStart),IF(AND(Milestones!$AB$30="FT",Milestones!$AA$30=FT_Y5,V27&lt;PolicyEff),1,Milestones!$AC$30),0))</f>
        <v>0</v>
      </c>
      <c r="W29" s="0" t="n">
        <f aca="false">IF(W27="",0,IF(AND(W28=Milestones!$AB$31,W27&gt;=SchemeStart),IF(AND(Milestones!$AB$31="FT",Milestones!$AA$31=FT_Y5,W27&lt;PolicyEff),1,Milestones!$AC$31),0))</f>
        <v>0</v>
      </c>
      <c r="X29" s="0" t="n">
        <f aca="false">IF(X27="",0,IF(AND(X28=Milestones!$AB$32,X27&gt;=SchemeStart),IF(AND(Milestones!$AB$32="FT",Milestones!$AA$32=FT_Y5,X27&lt;PolicyEff),1,Milestones!$AC$32),0))</f>
        <v>0</v>
      </c>
      <c r="Y29" s="0" t="n">
        <f aca="false">IF(Y27="",0,IF(AND(Y28=Milestones!$AB$33,Y27&gt;=SchemeStart),IF(AND(Milestones!$AB$33="FT",Milestones!$AA$33=FT_Y5,Y27&lt;PolicyEff),1,Milestones!$AC$33),0))</f>
        <v>0</v>
      </c>
      <c r="Z29" s="0" t="n">
        <f aca="false">IF(Z27="",0,IF(AND(Z28=Milestones!$AB$34,Z27&gt;=SchemeStart),IF(AND(Milestones!$AB$34="FT",Milestones!$AA$34=FT_Y5,Z27&lt;PolicyEff),1,Milestones!$AC$34),0))</f>
        <v>0</v>
      </c>
      <c r="AA29" s="0" t="n">
        <f aca="false">IF(AA27="",0,IF(AND(AA28=Milestones!$AB$35,AA27&gt;=SchemeStart),IF(AND(Milestones!$AB$35="FT",Milestones!$AA$35=FT_Y5,AA27&lt;PolicyEff),1,Milestones!$AC$35),0))</f>
        <v>0</v>
      </c>
      <c r="AB29" s="0" t="n">
        <f aca="false">IF(AB27="",0,IF(AND(AB28=Milestones!$AB$36,AB27&gt;=SchemeStart),IF(AND(Milestones!$AB$36="FT",Milestones!$AA$36=FT_Y5,AB27&lt;PolicyEff),1,Milestones!$AC$36),0))</f>
        <v>0</v>
      </c>
      <c r="AC29" s="0" t="n">
        <f aca="false">IF(AC27="",0,IF(AND(AC28=Milestones!$AB$37,AC27&gt;=SchemeStart),IF(AND(Milestones!$AB$37="FT",Milestones!$AA$37=FT_Y5,AC27&lt;PolicyEff),1,Milestones!$AC$37),0))</f>
        <v>0</v>
      </c>
      <c r="AD29" s="0" t="n">
        <f aca="false">IF(AD27="",0,IF(AND(AD28=Milestones!$AB$38,AD27&gt;=SchemeStart),IF(AND(Milestones!$AB$38="FT",Milestones!$AA$38=FT_Y5,AD27&lt;PolicyEff),1,Milestones!$AC$38),0))</f>
        <v>0</v>
      </c>
      <c r="AE29" s="0" t="n">
        <f aca="false">IF(AE27="",0,IF(AND(AE28=Milestones!$AB$39,AE27&gt;=SchemeStart),IF(AND(Milestones!$AB$39="FT",Milestones!$AA$39=FT_Y5,AE27&lt;PolicyEff),1,Milestones!$AC$39),0))</f>
        <v>0</v>
      </c>
      <c r="AF29" s="0" t="n">
        <f aca="false">IF(AF27="",0,IF(AND(AF28=Milestones!$AB$40,AF27&gt;=SchemeStart),IF(AND(Milestones!$AB$40="FT",Milestones!$AA$40=FT_Y5,AF27&lt;PolicyEff),1,Milestones!$AC$40),0))</f>
        <v>0</v>
      </c>
      <c r="AG29" s="0" t="n">
        <f aca="false">IF(AG27="",0,IF(AND(AG28=Milestones!$AB$41,AG27&gt;=SchemeStart),IF(AND(Milestones!$AB$41="FT",Milestones!$AA$41=FT_Y5,AG27&lt;PolicyEff),1,Milestones!$AC$41),0))</f>
        <v>0</v>
      </c>
      <c r="AH29" s="0" t="n">
        <f aca="false">IF(AH27="",0,IF(AND(AH28=Milestones!$AB$42,AH27&gt;=SchemeStart),IF(AND(Milestones!$AB$42="FT",Milestones!$AA$42=FT_Y5,AH27&lt;PolicyEff),1,Milestones!$AC$42),0))</f>
        <v>0</v>
      </c>
      <c r="AI29" s="0" t="n">
        <f aca="false">IF(AI27="",0,IF(AND(AI28=Milestones!$AB$43,AI27&gt;=SchemeStart),IF(AND(Milestones!$AB$43="FT",Milestones!$AA$43=FT_Y5,AI27&lt;PolicyEff),1,Milestones!$AC$43),0))</f>
        <v>0</v>
      </c>
      <c r="AJ29" s="0" t="n">
        <f aca="false">IF(AJ27="",0,IF(AND(AJ28=Milestones!$AB$44,AJ27&gt;=SchemeStart),IF(AND(Milestones!$AB$44="FT",Milestones!$AA$44=FT_Y5,AJ27&lt;PolicyEff),1,Milestones!$AC$44),0))</f>
        <v>0</v>
      </c>
      <c r="AK29" s="0" t="n">
        <f aca="false">IF(AK27="",0,IF(AND(AK28=Milestones!$AB$45,AK27&gt;=SchemeStart),IF(AND(Milestones!$AB$45="FT",Milestones!$AA$45=FT_Y5,AK27&lt;PolicyEff),1,Milestones!$AC$45),0))</f>
        <v>0</v>
      </c>
      <c r="AL29" s="0" t="n">
        <f aca="false">IF(AL27="",0,IF(AND(AL28=Milestones!$AB$46,AL27&gt;=SchemeStart),IF(AND(Milestones!$AB$46="FT",Milestones!$AA$46=FT_Y5,AL27&lt;PolicyEff),1,Milestones!$AC$46),0))</f>
        <v>0</v>
      </c>
      <c r="AM29" s="0" t="n">
        <f aca="false">IF(AM27="",0,IF(AND(AM28=Milestones!$AB$47,AM27&gt;=SchemeStart),IF(AND(Milestones!$AB$47="FT",Milestones!$AA$47=FT_Y5,AM27&lt;PolicyEff),1,Milestones!$AC$47),0))</f>
        <v>0</v>
      </c>
      <c r="AN29" s="0" t="n">
        <f aca="false">IF(AN27="",0,IF(AND(AN28=Milestones!$AB$48,AN27&gt;=SchemeStart),IF(AND(Milestones!$AB$48="FT",Milestones!$AA$48=FT_Y5,AN27&lt;PolicyEff),1,Milestones!$AC$48),0))</f>
        <v>0</v>
      </c>
      <c r="AO29" s="0" t="n">
        <f aca="false">IF(AO27="",0,IF(AND(AO28=Milestones!$AB$49,AO27&gt;=SchemeStart),IF(AND(Milestones!$AB$49="FT",Milestones!$AA$49=FT_Y5,AO27&lt;PolicyEff),1,Milestones!$AC$49),0))</f>
        <v>0</v>
      </c>
      <c r="AP29" s="0" t="n">
        <f aca="false">IF(AP27="",0,IF(AND(AP28=Milestones!$AB$50,AP27&gt;=SchemeStart),IF(AND(Milestones!$AB$50="FT",Milestones!$AA$50=FT_Y5,AP27&lt;PolicyEff),1,Milestones!$AC$50),0))</f>
        <v>0</v>
      </c>
      <c r="AQ29" s="0" t="n">
        <f aca="false">IF(AQ27="",0,IF(AND(AQ28=Milestones!$AB$51,AQ27&gt;=SchemeStart),IF(AND(Milestones!$AB$51="FT",Milestones!$AA$51=FT_Y5,AQ27&lt;PolicyEff),1,Milestones!$AC$51),0))</f>
        <v>0</v>
      </c>
      <c r="AR29" s="0" t="n">
        <f aca="false">IF(AR27="",0,IF(AND(AR28=Milestones!$AB$52,AR27&gt;=SchemeStart),IF(AND(Milestones!$AB$52="FT",Milestones!$AA$52=FT_Y5,AR27&lt;PolicyEff),1,Milestones!$AC$52),0))</f>
        <v>0</v>
      </c>
      <c r="AS29" s="0" t="n">
        <f aca="false">IF(AS27="",0,IF(AND(AS28=Milestones!$AB$53,AS27&gt;=SchemeStart),IF(AND(Milestones!$AB$53="FT",Milestones!$AA$53=FT_Y5,AS27&lt;PolicyEff),1,Milestones!$AC$53),0))</f>
        <v>0</v>
      </c>
      <c r="AT29" s="0" t="n">
        <f aca="false">IF(AT27="",0,IF(AND(AT28=Milestones!$AB$54,AT27&gt;=SchemeStart),IF(AND(Milestones!$AB$54="FT",Milestones!$AA$54=FT_Y5,AT27&lt;PolicyEff),1,Milestones!$AC$54),0))</f>
        <v>0</v>
      </c>
      <c r="AU29" s="0" t="n">
        <f aca="false">IF(AU27="",0,IF(AND(AU28=Milestones!$AB$55,AU27&gt;=SchemeStart),IF(AND(Milestones!$AB$55="FT",Milestones!$AA$55=FT_Y5,AU27&lt;PolicyEff),1,Milestones!$AC$55),0))</f>
        <v>0</v>
      </c>
      <c r="AV29" s="0" t="n">
        <f aca="false">IF(AV27="",0,IF(AND(AV28=Milestones!$AB$56,AV27&gt;=SchemeStart),IF(AND(Milestones!$AB$56="FT",Milestones!$AA$56=FT_Y5,AV27&lt;PolicyEff),1,Milestones!$AC$56),0))</f>
        <v>0</v>
      </c>
      <c r="AW29" s="0" t="n">
        <f aca="false">IF(AW27="",0,IF(AND(AW28=Milestones!$AB$57,AW27&gt;=SchemeStart),IF(AND(Milestones!$AB$57="FT",Milestones!$AA$57=FT_Y5,AW27&lt;PolicyEff),1,Milestones!$AC$57),0))</f>
        <v>0</v>
      </c>
      <c r="AX29" s="0" t="n">
        <f aca="false">IF(AX27="",0,IF(AND(AX28=Milestones!$AB$58,AX27&gt;=SchemeStart),IF(AND(Milestones!$AB$58="FT",Milestones!$AA$58=FT_Y5,AX27&lt;PolicyEff),1,Milestones!$AC$58),0))</f>
        <v>0</v>
      </c>
      <c r="AY29" s="0" t="n">
        <f aca="false">IF(AY27="",0,IF(AND(AY28=Milestones!$AB$59,AY27&gt;=SchemeStart),IF(AND(Milestones!$AB$59="FT",Milestones!$AA$59=FT_Y5,AY27&lt;PolicyEff),1,Milestones!$AC$59),0))</f>
        <v>0</v>
      </c>
      <c r="AZ29" s="0" t="n">
        <f aca="false">IF(AZ27="",0,IF(AND(AZ28=Milestones!$AB$60,AZ27&gt;=SchemeStart),IF(AND(Milestones!$AB$60="FT",Milestones!$AA$60=FT_Y5,AZ27&lt;PolicyEff),1,Milestones!$AC$60),0))</f>
        <v>0</v>
      </c>
      <c r="BA29" s="0" t="n">
        <f aca="false">IF(BA27="",0,IF(AND(BA28=Milestones!$AB$61,BA27&gt;=SchemeStart),IF(AND(Milestones!$AB$61="FT",Milestones!$AA$61=FT_Y5,BA27&lt;PolicyEff),1,Milestones!$AC$61),0))</f>
        <v>0</v>
      </c>
      <c r="BB29" s="0" t="n">
        <f aca="false">IF(BB27="",0,IF(AND(BB28=Milestones!$AB$62,BB27&gt;=SchemeStart),IF(AND(Milestones!$AB$62="FT",Milestones!$AA$62=FT_Y5,BB27&lt;PolicyEff),1,Milestones!$AC$62),0))</f>
        <v>0</v>
      </c>
      <c r="BC29" s="0" t="n">
        <f aca="false">IF(BC27="",0,IF(AND(BC28=Milestones!$AB$63,BC27&gt;=SchemeStart),IF(AND(Milestones!$AB$63="FT",Milestones!$AA$63=FT_Y5,BC27&lt;PolicyEff),1,Milestones!$AC$63),0))</f>
        <v>0</v>
      </c>
      <c r="BD29" s="0" t="n">
        <f aca="false">IF(BD27="",0,IF(AND(BD28=Milestones!$AB$64,BD27&gt;=SchemeStart),IF(AND(Milestones!$AB$64="FT",Milestones!$AA$64=FT_Y5,BD27&lt;PolicyEff),1,Milestones!$AC$64),0))</f>
        <v>0</v>
      </c>
      <c r="BE29" s="0" t="n">
        <f aca="false">IF(BE27="",0,IF(AND(BE28=Milestones!$AB$65,BE27&gt;=SchemeStart),IF(AND(Milestones!$AB$65="FT",Milestones!$AA$65=FT_Y5,BE27&lt;PolicyEff),1,Milestones!$AC$65),0))</f>
        <v>0</v>
      </c>
      <c r="BF29" s="0" t="n">
        <f aca="false">IF(BF27="",0,IF(AND(BF28=Milestones!$AB$66,BF27&gt;=SchemeStart),IF(AND(Milestones!$AB$66="FT",Milestones!$AA$66=FT_Y5,BF27&lt;PolicyEff),1,Milestones!$AC$66),0))</f>
        <v>0</v>
      </c>
      <c r="BG29" s="0" t="n">
        <f aca="false">IF(BG27="",0,IF(AND(BG28=Milestones!$AB$67,BG27&gt;=SchemeStart),IF(AND(Milestones!$AB$67="FT",Milestones!$AA$67=FT_Y5,BG27&lt;PolicyEff),1,Milestones!$AC$67),0))</f>
        <v>0</v>
      </c>
      <c r="BH29" s="0" t="n">
        <f aca="false">IF(BH27="",0,IF(AND(BH28=Milestones!$AB$68,BH27&gt;=SchemeStart),IF(AND(Milestones!$AB$68="FT",Milestones!$AA$68=FT_Y5,BH27&lt;PolicyEff),1,Milestones!$AC$68),0))</f>
        <v>0</v>
      </c>
      <c r="BI29" s="0" t="n">
        <f aca="false">IF(BI27="",0,IF(AND(BI28=Milestones!$AB$69,BI27&gt;=SchemeStart),IF(AND(Milestones!$AB$69="FT",Milestones!$AA$69=FT_Y5,BI27&lt;PolicyEff),1,Milestones!$AC$69),0))</f>
        <v>0</v>
      </c>
      <c r="BJ29" s="0" t="n">
        <f aca="false">IF(BJ27="",0,IF(AND(BJ28=Milestones!$AB$70,BJ27&gt;=SchemeStart),IF(AND(Milestones!$AB$70="FT",Milestones!$AA$70=FT_Y5,BJ27&lt;PolicyEff),1,Milestones!$AC$70),0))</f>
        <v>0</v>
      </c>
      <c r="BK29" s="0" t="n">
        <f aca="false">IF(BK27="",0,IF(AND(BK28=Milestones!$AB$71,BK27&gt;=SchemeStart),IF(AND(Milestones!$AB$71="FT",Milestones!$AA$71=FT_Y5,BK27&lt;PolicyEff),1,Milestones!$AC$71),0))</f>
        <v>0</v>
      </c>
      <c r="BL29" s="0" t="n">
        <f aca="false">IF(BL27="",0,IF(AND(BL28=Milestones!$AB$72,BL27&gt;=SchemeStart),IF(AND(Milestones!$AB$72="FT",Milestones!$AA$72=FT_Y5,BL27&lt;PolicyEff),1,Milestones!$AC$72),0))</f>
        <v>0</v>
      </c>
      <c r="BM29" s="0" t="n">
        <f aca="false">IF(BM27="",0,IF(AND(BM28=Milestones!$AB$73,BM27&gt;=SchemeStart),IF(AND(Milestones!$AB$73="FT",Milestones!$AA$73=FT_Y5,BM27&lt;PolicyEff),1,Milestones!$AC$73),0))</f>
        <v>0</v>
      </c>
      <c r="BN29" s="0" t="n">
        <f aca="false">IF(BN27="",0,IF(AND(BN28=Milestones!$AB$74,BN27&gt;=SchemeStart),IF(AND(Milestones!$AB$74="FT",Milestones!$AA$74=FT_Y5,BN27&lt;PolicyEff),1,Milestones!$AC$74),0))</f>
        <v>0</v>
      </c>
      <c r="BO29" s="0" t="n">
        <f aca="false">IF(BO27="",0,IF(AND(BO28=Milestones!$AB$75,BO27&gt;=SchemeStart),IF(AND(Milestones!$AB$75="FT",Milestones!$AA$75=FT_Y5,BO27&lt;PolicyEff),1,Milestones!$AC$75),0))</f>
        <v>0</v>
      </c>
      <c r="BP29" s="0" t="n">
        <f aca="false">IF(BP27="",0,IF(AND(BP28=Milestones!$AB$76,BP27&gt;=SchemeStart),IF(AND(Milestones!$AB$76="FT",Milestones!$AA$76=FT_Y5,BP27&lt;PolicyEff),1,Milestones!$AC$76),0))</f>
        <v>0</v>
      </c>
      <c r="BQ29" s="0" t="n">
        <f aca="false">IF(BQ27="",0,IF(AND(BQ28=Milestones!$AB$77,BQ27&gt;=SchemeStart),IF(AND(Milestones!$AB$77="FT",Milestones!$AA$77=FT_Y5,BQ27&lt;PolicyEff),1,Milestones!$AC$77),0))</f>
        <v>0</v>
      </c>
      <c r="BR29" s="0" t="n">
        <f aca="false">IF(BR27="",0,IF(AND(BR28=Milestones!$AB$78,BR27&gt;=SchemeStart),IF(AND(Milestones!$AB$78="FT",Milestones!$AA$78=FT_Y5,BR27&lt;PolicyEff),1,Milestones!$AC$78),0))</f>
        <v>0</v>
      </c>
      <c r="BS29" s="0" t="n">
        <f aca="false">IF(BS27="",0,IF(AND(BS28=Milestones!$AB$79,BS27&gt;=SchemeStart),IF(AND(Milestones!$AB$79="FT",Milestones!$AA$79=FT_Y5,BS27&lt;PolicyEff),1,Milestones!$AC$79),0))</f>
        <v>0</v>
      </c>
      <c r="BT29" s="0" t="n">
        <f aca="false">IF(BT27="",0,IF(AND(BT28=Milestones!$AB$80,BT27&gt;=SchemeStart),IF(AND(Milestones!$AB$80="FT",Milestones!$AA$80=FT_Y5,BT27&lt;PolicyEff),1,Milestones!$AC$80),0))</f>
        <v>0</v>
      </c>
      <c r="BU29" s="0" t="n">
        <f aca="false">IF(BU27="",0,IF(AND(BU28=Milestones!$AB$81,BU27&gt;=SchemeStart),IF(AND(Milestones!$AB$81="FT",Milestones!$AA$81=FT_Y5,BU27&lt;PolicyEff),1,Milestones!$AC$81),0))</f>
        <v>0</v>
      </c>
      <c r="BV29" s="0" t="n">
        <f aca="false">IF(BV27="",0,IF(AND(BV28=Milestones!$AB$82,BV27&gt;=SchemeStart),IF(AND(Milestones!$AB$82="FT",Milestones!$AA$82=FT_Y5,BV27&lt;PolicyEff),1,Milestones!$AC$82),0))</f>
        <v>0</v>
      </c>
      <c r="BW29" s="0" t="n">
        <f aca="false">IF(BW27="",0,IF(AND(BW28=Milestones!$AB$83,BW27&gt;=SchemeStart),IF(AND(Milestones!$AB$83="FT",Milestones!$AA$83=FT_Y5,BW27&lt;PolicyEff),1,Milestones!$AC$83),0))</f>
        <v>0</v>
      </c>
      <c r="BX29" s="0" t="n">
        <f aca="false">IF(BX27="",0,IF(AND(BX28=Milestones!$AB$84,BX27&gt;=SchemeStart),IF(AND(Milestones!$AB$84="FT",Milestones!$AA$84=FT_Y5,BX27&lt;PolicyEff),1,Milestones!$AC$84),0))</f>
        <v>0</v>
      </c>
      <c r="BY29" s="0" t="n">
        <f aca="false">IF(BY27="",0,IF(AND(BY28=Milestones!$AB$85,BY27&gt;=SchemeStart),IF(AND(Milestones!$AB$85="FT",Milestones!$AA$85=FT_Y5,BY27&lt;PolicyEff),1,Milestones!$AC$85),0))</f>
        <v>0</v>
      </c>
      <c r="BZ29" s="0" t="n">
        <f aca="false">IF(BZ27="",0,IF(AND(BZ28=Milestones!$AB$86,BZ27&gt;=SchemeStart),IF(AND(Milestones!$AB$86="FT",Milestones!$AA$86=FT_Y5,BZ27&lt;PolicyEff),1,Milestones!$AC$86),0))</f>
        <v>0</v>
      </c>
      <c r="CA29" s="0" t="n">
        <f aca="false">IF(CA27="",0,IF(AND(CA28=Milestones!$AB$87,CA27&gt;=SchemeStart),IF(AND(Milestones!$AB$87="FT",Milestones!$AA$87=FT_Y5,CA27&lt;PolicyEff),1,Milestones!$AC$87),0))</f>
        <v>0</v>
      </c>
      <c r="CB29" s="0" t="n">
        <f aca="false">IF(CB27="",0,IF(AND(CB28=Milestones!$AB$88,CB27&gt;=SchemeStart),IF(AND(Milestones!$AB$88="FT",Milestones!$AA$88=FT_Y5,CB27&lt;PolicyEff),1,Milestones!$AC$88),0))</f>
        <v>0</v>
      </c>
      <c r="CC29" s="0" t="n">
        <f aca="false">IF(CC27="",0,IF(AND(CC28=Milestones!$AB$89,CC27&gt;=SchemeStart),IF(AND(Milestones!$AB$89="FT",Milestones!$AA$89=FT_Y5,CC27&lt;PolicyEff),1,Milestones!$AC$89),0))</f>
        <v>0</v>
      </c>
      <c r="CD29" s="0" t="n">
        <f aca="false">IF(CD27="",0,IF(AND(CD28=Milestones!$AB$90,CD27&gt;=SchemeStart),IF(AND(Milestones!$AB$90="FT",Milestones!$AA$90=FT_Y5,CD27&lt;PolicyEff),1,Milestones!$AC$90),0))</f>
        <v>0</v>
      </c>
      <c r="CE29" s="0" t="n">
        <f aca="false">IF(CE27="",0,IF(AND(CE28=Milestones!$AB$91,CE27&gt;=SchemeStart),IF(AND(Milestones!$AB$91="FT",Milestones!$AA$91=FT_Y5,CE27&lt;PolicyEff),1,Milestones!$AC$91),0))</f>
        <v>0</v>
      </c>
      <c r="CF29" s="0" t="n">
        <f aca="false">IF(CF27="",0,IF(AND(CF28=Milestones!$AB$92,CF27&gt;=SchemeStart),IF(AND(Milestones!$AB$92="FT",Milestones!$AA$92=FT_Y5,CF27&lt;PolicyEff),1,Milestones!$AC$92),0))</f>
        <v>0</v>
      </c>
      <c r="CG29" s="0" t="n">
        <f aca="false">IF(CG27="",0,IF(AND(CG28=Milestones!$AB$93,CG27&gt;=SchemeStart),IF(AND(Milestones!$AB$93="FT",Milestones!$AA$93=FT_Y5,CG27&lt;PolicyEff),1,Milestones!$AC$93),0))</f>
        <v>0</v>
      </c>
      <c r="CH29" s="0" t="n">
        <f aca="false">IF(CH27="",0,IF(AND(CH28=Milestones!$AB$94,CH27&gt;=SchemeStart),IF(AND(Milestones!$AB$94="FT",Milestones!$AA$94=FT_Y5,CH27&lt;PolicyEff),1,Milestones!$AC$94),0))</f>
        <v>0</v>
      </c>
      <c r="CI29" s="0" t="n">
        <f aca="false">IF(CI27="",0,IF(AND(CI28=Milestones!$AB$95,CI27&gt;=SchemeStart),IF(AND(Milestones!$AB$95="FT",Milestones!$AA$95=FT_Y5,CI27&lt;PolicyEff),1,Milestones!$AC$95),0))</f>
        <v>0</v>
      </c>
      <c r="CJ29" s="0" t="n">
        <f aca="false">IF(CJ27="",0,IF(AND(CJ28=Milestones!$AB$96,CJ27&gt;=SchemeStart),IF(AND(Milestones!$AB$96="FT",Milestones!$AA$96=FT_Y5,CJ27&lt;PolicyEff),1,Milestones!$AC$96),0))</f>
        <v>0</v>
      </c>
      <c r="CK29" s="0" t="n">
        <f aca="false">IF(CK27="",0,IF(AND(CK28=Milestones!$AB$97,CK27&gt;=SchemeStart),IF(AND(Milestones!$AB$97="FT",Milestones!$AA$97=FT_Y5,CK27&lt;PolicyEff),1,Milestones!$AC$97),0))</f>
        <v>0</v>
      </c>
      <c r="CL29" s="0" t="n">
        <f aca="false">IF(CL27="",0,IF(AND(CL28=Milestones!$AB$98,CL27&gt;=SchemeStart),IF(AND(Milestones!$AB$98="FT",Milestones!$AA$98=FT_Y5,CL27&lt;PolicyEff),1,Milestones!$AC$98),0))</f>
        <v>0</v>
      </c>
      <c r="CM29" s="0" t="n">
        <f aca="false">IF(CM27="",0,IF(AND(CM28=Milestones!$AB$99,CM27&gt;=SchemeStart),IF(AND(Milestones!$AB$99="FT",Milestones!$AA$99=FT_Y5,CM27&lt;PolicyEff),1,Milestones!$AC$99),0))</f>
        <v>0</v>
      </c>
      <c r="CN29" s="0" t="n">
        <f aca="false">IF(CN27="",0,IF(AND(CN28=Milestones!$AB$100,CN27&gt;=SchemeStart),IF(AND(Milestones!$AB$100="FT",Milestones!$AA$100=FT_Y5,CN27&lt;PolicyEff),1,Milestones!$AC$100),0))</f>
        <v>0</v>
      </c>
      <c r="CO29" s="0" t="n">
        <f aca="false">IF(CO27="",0,IF(AND(CO28=Milestones!$AB$101,CO27&gt;=SchemeStart),IF(AND(Milestones!$AB$101="FT",Milestones!$AA$101=FT_Y5,CO27&lt;PolicyEff),1,Milestones!$AC$101),0))</f>
        <v>0</v>
      </c>
      <c r="CP29" s="0" t="n">
        <f aca="false">IF(CP27="",0,IF(AND(CP28=Milestones!$AB$102,CP27&gt;=SchemeStart),IF(AND(Milestones!$AB$102="FT",Milestones!$AA$102=FT_Y5,CP27&lt;PolicyEff),1,Milestones!$AC$102),0))</f>
        <v>0</v>
      </c>
      <c r="CQ29" s="0" t="n">
        <f aca="false">IF(CQ27="",0,IF(AND(CQ28=Milestones!$AB$103,CQ27&gt;=SchemeStart),IF(AND(Milestones!$AB$103="FT",Milestones!$AA$103=FT_Y5,CQ27&lt;PolicyEff),1,Milestones!$AC$103),0))</f>
        <v>0</v>
      </c>
      <c r="CR29" s="0" t="n">
        <f aca="false">IF(CR27="",0,IF(AND(CR28=Milestones!$AB$104,CR27&gt;=SchemeStart),IF(AND(Milestones!$AB$104="FT",Milestones!$AA$104=FT_Y5,CR27&lt;PolicyEff),1,Milestones!$AC$104),0))</f>
        <v>0</v>
      </c>
      <c r="CS29" s="0" t="n">
        <f aca="false">IF(CS27="",0,IF(AND(CS28=Milestones!$AB$105,CS27&gt;=SchemeStart),IF(AND(Milestones!$AB$105="FT",Milestones!$AA$105=FT_Y5,CS27&lt;PolicyEff),1,Milestones!$AC$105),0))</f>
        <v>0</v>
      </c>
      <c r="CT29" s="0" t="n">
        <f aca="false">IF(CT27="",0,IF(AND(CT28=Milestones!$AB$106,CT27&gt;=SchemeStart),IF(AND(Milestones!$AB$106="FT",Milestones!$AA$106=FT_Y5,CT27&lt;PolicyEff),1,Milestones!$AC$106),0))</f>
        <v>0</v>
      </c>
      <c r="CU29" s="0" t="n">
        <f aca="false">IF(CU27="",0,IF(AND(CU28=Milestones!$AB$107,CU27&gt;=SchemeStart),IF(AND(Milestones!$AB$107="FT",Milestones!$AA$107=FT_Y5,CU27&lt;PolicyEff),1,Milestones!$AC$107),0))</f>
        <v>0</v>
      </c>
      <c r="CV29" s="0" t="n">
        <f aca="false">IF(CV27="",0,IF(AND(CV28=Milestones!$AB$108,CV27&gt;=SchemeStart),IF(AND(Milestones!$AB$108="FT",Milestones!$AA$108=FT_Y5,CV27&lt;PolicyEff),1,Milestones!$AC$108),0))</f>
        <v>0</v>
      </c>
      <c r="CW29" s="0" t="n">
        <f aca="false">IF(CW27="",0,IF(AND(CW28=Milestones!$AB$109,CW27&gt;=SchemeStart),IF(AND(Milestones!$AB$109="FT",Milestones!$AA$109=FT_Y5,CW27&lt;PolicyEff),1,Milestones!$AC$109),0))</f>
        <v>0</v>
      </c>
      <c r="CX29" s="0" t="n">
        <f aca="false">IF(CX27="",0,IF(AND(CX28=Milestones!$AB$110,CX27&gt;=SchemeStart),IF(AND(Milestones!$AB$110="FT",Milestones!$AA$110=FT_Y5,CX27&lt;PolicyEff),1,Milestones!$AC$110),0))</f>
        <v>0</v>
      </c>
      <c r="CY29" s="0" t="n">
        <f aca="false">IF(CY27="",0,IF(AND(CY28=Milestones!$AB$111,CY27&gt;=SchemeStart),IF(AND(Milestones!$AB$111="FT",Milestones!$AA$111=FT_Y5,CY27&lt;PolicyEff),1,Milestones!$AC$111),0))</f>
        <v>0</v>
      </c>
      <c r="CZ29" s="0" t="n">
        <f aca="false">IF(CZ27="",0,IF(AND(CZ28=Milestones!$AB$112,CZ27&gt;=SchemeStart),IF(AND(Milestones!$AB$112="FT",Milestones!$AA$112=FT_Y5,CZ27&lt;PolicyEff),1,Milestones!$AC$112),0))</f>
        <v>0</v>
      </c>
      <c r="DA29" s="0" t="n">
        <f aca="false">IF(DA27="",0,IF(AND(DA28=Milestones!$AB$113,DA27&gt;=SchemeStart),IF(AND(Milestones!$AB$113="FT",Milestones!$AA$113=FT_Y5,DA27&lt;PolicyEff),1,Milestones!$AC$113),0))</f>
        <v>0</v>
      </c>
      <c r="DB29" s="0" t="n">
        <f aca="false">IF(DB27="",0,IF(AND(DB28=Milestones!$AB$114,DB27&gt;=SchemeStart),IF(AND(Milestones!$AB$114="FT",Milestones!$AA$114=FT_Y5,DB27&lt;PolicyEff),1,Milestones!$AC$114),0))</f>
        <v>0</v>
      </c>
      <c r="DC29" s="0" t="n">
        <f aca="false">IF(DC27="",0,IF(AND(DC28=Milestones!$AB$115,DC27&gt;=SchemeStart),IF(AND(Milestones!$AB$115="FT",Milestones!$AA$115=FT_Y5,DC27&lt;PolicyEff),1,Milestones!$AC$115),0))</f>
        <v>0</v>
      </c>
      <c r="DD29" s="0" t="n">
        <f aca="false">IF(DD27="",0,IF(AND(DD28=Milestones!$AB$116,DD27&gt;=SchemeStart),IF(AND(Milestones!$AB$116="FT",Milestones!$AA$116=FT_Y5,DD27&lt;PolicyEff),1,Milestones!$AC$116),0))</f>
        <v>0</v>
      </c>
      <c r="DE29" s="0" t="n">
        <f aca="false">IF(DE27="",0,IF(AND(DE28=Milestones!$AB$117,DE27&gt;=SchemeStart),IF(AND(Milestones!$AB$117="FT",Milestones!$AA$117=FT_Y5,DE27&lt;PolicyEff),1,Milestones!$AC$117),0))</f>
        <v>0</v>
      </c>
      <c r="DF29" s="0" t="n">
        <f aca="false">IF(DF27="",0,IF(AND(DF28=Milestones!$AB$118,DF27&gt;=SchemeStart),IF(AND(Milestones!$AB$118="FT",Milestones!$AA$118=FT_Y5,DF27&lt;PolicyEff),1,Milestones!$AC$118),0))</f>
        <v>0</v>
      </c>
      <c r="DG29" s="0" t="n">
        <f aca="false">IF(DG27="",0,IF(AND(DG28=Milestones!$AB$119,DG27&gt;=SchemeStart),IF(AND(Milestones!$AB$119="FT",Milestones!$AA$119=FT_Y5,DG27&lt;PolicyEff),1,Milestones!$AC$119),0))</f>
        <v>0</v>
      </c>
      <c r="DH29" s="0" t="n">
        <f aca="false">IF(DH27="",0,IF(AND(DH28=Milestones!$AB$120,DH27&gt;=SchemeStart),IF(AND(Milestones!$AB$120="FT",Milestones!$AA$120=FT_Y5,DH27&lt;PolicyEff),1,Milestones!$AC$120),0))</f>
        <v>0</v>
      </c>
      <c r="DI29" s="0" t="n">
        <f aca="false">IF(DI27="",0,IF(AND(DI28=Milestones!$AB$121,DI27&gt;=SchemeStart),IF(AND(Milestones!$AB$121="FT",Milestones!$AA$121=FT_Y5,DI27&lt;PolicyEff),1,Milestones!$AC$121),0))</f>
        <v>0</v>
      </c>
      <c r="DJ29" s="0" t="n">
        <f aca="false">IF(DJ27="",0,IF(AND(DJ28=Milestones!$AB$122,DJ27&gt;=SchemeStart),IF(AND(Milestones!$AB$122="FT",Milestones!$AA$122=FT_Y5,DJ27&lt;PolicyEff),1,Milestones!$AC$122),0))</f>
        <v>0</v>
      </c>
      <c r="DK29" s="0" t="n">
        <f aca="false">IF(DK27="",0,IF(AND(DK28=Milestones!$AB$123,DK27&gt;=SchemeStart),IF(AND(Milestones!$AB$123="FT",Milestones!$AA$123=FT_Y5,DK27&lt;PolicyEff),1,Milestones!$AC$123),0))</f>
        <v>0</v>
      </c>
      <c r="DL29" s="0" t="n">
        <f aca="false">IF(DL27="",0,IF(AND(DL28=Milestones!$AB$124,DL27&gt;=SchemeStart),IF(AND(Milestones!$AB$124="FT",Milestones!$AA$124=FT_Y5,DL27&lt;PolicyEff),1,Milestones!$AC$124),0))</f>
        <v>0</v>
      </c>
      <c r="DM29" s="0" t="n">
        <f aca="false">IF(DM27="",0,IF(AND(DM28=Milestones!$AB$125,DM27&gt;=SchemeStart),IF(AND(Milestones!$AB$125="FT",Milestones!$AA$125=FT_Y5,DM27&lt;PolicyEff),1,Milestones!$AC$125),0))</f>
        <v>0</v>
      </c>
      <c r="DN29" s="0" t="n">
        <f aca="false">IF(DN27="",0,IF(AND(DN28=Milestones!$AB$126,DN27&gt;=SchemeStart),IF(AND(Milestones!$AB$126="FT",Milestones!$AA$126=FT_Y5,DN27&lt;PolicyEff),1,Milestones!$AC$126),0))</f>
        <v>0</v>
      </c>
      <c r="DO29" s="0" t="n">
        <f aca="false">IF(DO27="",0,IF(AND(DO28=Milestones!$AB$127,DO27&gt;=SchemeStart),IF(AND(Milestones!$AB$127="FT",Milestones!$AA$127=FT_Y5,DO27&lt;PolicyEff),1,Milestones!$AC$127),0))</f>
        <v>0</v>
      </c>
      <c r="DP29" s="0" t="n">
        <f aca="false">IF(DP27="",0,IF(AND(DP28=Milestones!$AB$128,DP27&gt;=SchemeStart),IF(AND(Milestones!$AB$128="FT",Milestones!$AA$128=FT_Y5,DP27&lt;PolicyEff),1,Milestones!$AC$128),0))</f>
        <v>0</v>
      </c>
      <c r="DQ29" s="0" t="n">
        <f aca="false">IF(DQ27="",0,IF(AND(DQ28=Milestones!$AB$129,DQ27&gt;=SchemeStart),IF(AND(Milestones!$AB$129="FT",Milestones!$AA$129=FT_Y5,DQ27&lt;PolicyEff),1,Milestones!$AC$129),0))</f>
        <v>0</v>
      </c>
      <c r="DR29" s="0" t="n">
        <f aca="false">IF(DR27="",0,IF(AND(DR28=Milestones!$AB$130,DR27&gt;=SchemeStart),IF(AND(Milestones!$AB$130="FT",Milestones!$AA$130=FT_Y5,DR27&lt;PolicyEff),1,Milestones!$AC$130),0))</f>
        <v>0</v>
      </c>
      <c r="DS29" s="0" t="n">
        <f aca="false">IF(DS27="",0,IF(AND(DS28=Milestones!$AB$131,DS27&gt;=SchemeStart),IF(AND(Milestones!$AB$131="FT",Milestones!$AA$131=FT_Y5,DS27&lt;PolicyEff),1,Milestones!$AC$131),0))</f>
        <v>0</v>
      </c>
      <c r="DT29" s="0" t="n">
        <f aca="false">IF(DT27="",0,IF(AND(DT28=Milestones!$AB$132,DT27&gt;=SchemeStart),IF(AND(Milestones!$AB$132="FT",Milestones!$AA$132=FT_Y5,DT27&lt;PolicyEff),1,Milestones!$AC$132),0))</f>
        <v>0</v>
      </c>
      <c r="DU29" s="0" t="n">
        <f aca="false">IF(DU27="",0,IF(AND(DU28=Milestones!$AB$133,DU27&gt;=SchemeStart),IF(AND(Milestones!$AB$133="FT",Milestones!$AA$133=FT_Y5,DU27&lt;PolicyEff),1,Milestones!$AC$133),0))</f>
        <v>0</v>
      </c>
      <c r="DV29" s="0" t="n">
        <f aca="false">IF(DV27="",0,IF(AND(DV28=Milestones!$AB$134,DV27&gt;=SchemeStart),IF(AND(Milestones!$AB$134="FT",Milestones!$AA$134=FT_Y5,DV27&lt;PolicyEff),1,Milestones!$AC$134),0))</f>
        <v>0</v>
      </c>
      <c r="DW29" s="0" t="n">
        <f aca="false">IF(DW27="",0,IF(AND(DW28=Milestones!$AB$135,DW27&gt;=SchemeStart),IF(AND(Milestones!$AB$135="FT",Milestones!$AA$135=FT_Y5,DW27&lt;PolicyEff),1,Milestones!$AC$135),0))</f>
        <v>0</v>
      </c>
      <c r="DX29" s="0" t="n">
        <f aca="false">IF(DX27="",0,IF(AND(DX28=Milestones!$AB$136,DX27&gt;=SchemeStart),IF(AND(Milestones!$AB$136="FT",Milestones!$AA$136=FT_Y5,DX27&lt;PolicyEff),1,Milestones!$AC$136),0))</f>
        <v>0</v>
      </c>
      <c r="DY29" s="0" t="n">
        <f aca="false">IF(DY27="",0,IF(AND(DY28=Milestones!$AB$137,DY27&gt;=SchemeStart),IF(AND(Milestones!$AB$137="FT",Milestones!$AA$137=FT_Y5,DY27&lt;PolicyEff),1,Milestones!$AC$137),0))</f>
        <v>0</v>
      </c>
      <c r="DZ29" s="0" t="n">
        <f aca="false">IF(DZ27="",0,IF(AND(DZ28=Milestones!$AB$138,DZ27&gt;=SchemeStart),IF(AND(Milestones!$AB$138="FT",Milestones!$AA$138=FT_Y5,DZ27&lt;PolicyEff),1,Milestones!$AC$138),0))</f>
        <v>0</v>
      </c>
      <c r="EA29" s="0" t="n">
        <f aca="false">IF(EA27="",0,IF(AND(EA28=Milestones!$AB$139,EA27&gt;=SchemeStart),IF(AND(Milestones!$AB$139="FT",Milestones!$AA$139=FT_Y5,EA27&lt;PolicyEff),1,Milestones!$AC$139),0))</f>
        <v>0</v>
      </c>
      <c r="EB29" s="0" t="n">
        <f aca="false">IF(EB27="",0,IF(AND(EB28=Milestones!$AB$140,EB27&gt;=SchemeStart),IF(AND(Milestones!$AB$140="FT",Milestones!$AA$140=FT_Y5,EB27&lt;PolicyEff),1,Milestones!$AC$140),0))</f>
        <v>0</v>
      </c>
      <c r="EC29" s="0" t="n">
        <f aca="false">IF(EC27="",0,IF(AND(EC28=Milestones!$AB$141,EC27&gt;=SchemeStart),IF(AND(Milestones!$AB$141="FT",Milestones!$AA$141=FT_Y5,EC27&lt;PolicyEff),1,Milestones!$AC$141),0))</f>
        <v>0</v>
      </c>
      <c r="ED29" s="0" t="n">
        <f aca="false">IF(ED27="",0,IF(AND(ED28=Milestones!$AB$142,ED27&gt;=SchemeStart),IF(AND(Milestones!$AB$142="FT",Milestones!$AA$142=FT_Y5,ED27&lt;PolicyEff),1,Milestones!$AC$142),0))</f>
        <v>0</v>
      </c>
      <c r="EE29" s="0" t="n">
        <f aca="false">IF(EE27="",0,IF(AND(EE28=Milestones!$AB$143,EE27&gt;=SchemeStart),IF(AND(Milestones!$AB$143="FT",Milestones!$AA$143=FT_Y5,EE27&lt;PolicyEff),1,Milestones!$AC$143),0))</f>
        <v>0</v>
      </c>
      <c r="EF29" s="0" t="n">
        <f aca="false">IF(EF27="",0,IF(AND(EF28=Milestones!$AB$144,EF27&gt;=SchemeStart),IF(AND(Milestones!$AB$144="FT",Milestones!$AA$144=FT_Y5,EF27&lt;PolicyEff),1,Milestones!$AC$144),0))</f>
        <v>0</v>
      </c>
      <c r="EG29" s="0" t="n">
        <f aca="false">IF(EG27="",0,IF(AND(EG28=Milestones!$AB$145,EG27&gt;=SchemeStart),IF(AND(Milestones!$AB$145="FT",Milestones!$AA$145=FT_Y5,EG27&lt;PolicyEff),1,Milestones!$AC$145),0))</f>
        <v>0</v>
      </c>
      <c r="EH29" s="0" t="n">
        <f aca="false">IF(EH27="",0,IF(AND(EH28=Milestones!$AB$146,EH27&gt;=SchemeStart),IF(AND(Milestones!$AB$146="FT",Milestones!$AA$146=FT_Y5,EH27&lt;PolicyEff),1,Milestones!$AC$146),0))</f>
        <v>0</v>
      </c>
      <c r="EI29" s="0" t="n">
        <f aca="false">IF(EI27="",0,IF(AND(EI28=Milestones!$AB$147,EI27&gt;=SchemeStart),IF(AND(Milestones!$AB$147="FT",Milestones!$AA$147=FT_Y5,EI27&lt;PolicyEff),1,Milestones!$AC$147),0))</f>
        <v>0</v>
      </c>
      <c r="EJ29" s="0" t="n">
        <f aca="false">IF(EJ27="",0,IF(AND(EJ28=Milestones!$AB$148,EJ27&gt;=SchemeStart),IF(AND(Milestones!$AB$148="FT",Milestones!$AA$148=FT_Y5,EJ27&lt;PolicyEff),1,Milestones!$AC$148),0))</f>
        <v>0</v>
      </c>
      <c r="EK29" s="0" t="n">
        <f aca="false">IF(EK27="",0,IF(AND(EK28=Milestones!$AB$149,EK27&gt;=SchemeStart),IF(AND(Milestones!$AB$149="FT",Milestones!$AA$149=FT_Y5,EK27&lt;PolicyEff),1,Milestones!$AC$149),0))</f>
        <v>0</v>
      </c>
      <c r="EL29" s="0" t="n">
        <f aca="false">IF(EL27="",0,IF(AND(EL28=Milestones!$AB$150,EL27&gt;=SchemeStart),IF(AND(Milestones!$AB$150="FT",Milestones!$AA$150=FT_Y5,EL27&lt;PolicyEff),1,Milestones!$AC$150),0))</f>
        <v>0</v>
      </c>
      <c r="EM29" s="0" t="n">
        <f aca="false">IF(EM27="",0,IF(AND(EM28=Milestones!$AB$151,EM27&gt;=SchemeStart),IF(AND(Milestones!$AB$151="FT",Milestones!$AA$151=FT_Y5,EM27&lt;PolicyEff),1,Milestones!$AC$151),0))</f>
        <v>0</v>
      </c>
      <c r="EN29" s="0" t="n">
        <f aca="false">IF(EN27="",0,IF(AND(EN28=Milestones!$AB$152,EN27&gt;=SchemeStart),IF(AND(Milestones!$AB$152="FT",Milestones!$AA$152=FT_Y5,EN27&lt;PolicyEff),1,Milestones!$AC$152),0))</f>
        <v>0</v>
      </c>
      <c r="EO29" s="0" t="n">
        <f aca="false">IF(EO27="",0,IF(AND(EO28=Milestones!$AB$153,EO27&gt;=SchemeStart),IF(AND(Milestones!$AB$153="FT",Milestones!$AA$153=FT_Y5,EO27&lt;PolicyEff),1,Milestones!$AC$153),0))</f>
        <v>0</v>
      </c>
      <c r="EP29" s="0" t="n">
        <f aca="false">IF(EP27="",0,IF(AND(EP28=Milestones!$AB$154,EP27&gt;=SchemeStart),IF(AND(Milestones!$AB$154="FT",Milestones!$AA$154=FT_Y5,EP27&lt;PolicyEff),1,Milestones!$AC$154),0))</f>
        <v>0</v>
      </c>
      <c r="EQ29" s="0" t="n">
        <f aca="false">IF(EQ27="",0,IF(AND(EQ28=Milestones!$AB$155,EQ27&gt;=SchemeStart),IF(AND(Milestones!$AB$155="FT",Milestones!$AA$155=FT_Y5,EQ27&lt;PolicyEff),1,Milestones!$AC$155),0))</f>
        <v>0</v>
      </c>
      <c r="ER29" s="0" t="n">
        <f aca="false">IF(ER27="",0,IF(AND(ER28=Milestones!$AB$156,ER27&gt;=SchemeStart),IF(AND(Milestones!$AB$156="FT",Milestones!$AA$156=FT_Y5,ER27&lt;PolicyEff),1,Milestones!$AC$156),0))</f>
        <v>0</v>
      </c>
      <c r="ES29" s="0" t="n">
        <f aca="false">IF(ES27="",0,IF(AND(ES28=Milestones!$AB$157,ES27&gt;=SchemeStart),IF(AND(Milestones!$AB$157="FT",Milestones!$AA$157=FT_Y5,ES27&lt;PolicyEff),1,Milestones!$AC$157),0))</f>
        <v>0</v>
      </c>
      <c r="ET29" s="0" t="n">
        <f aca="false">IF(ET27="",0,IF(AND(ET28=Milestones!$AB$158,ET27&gt;=SchemeStart),IF(AND(Milestones!$AB$158="FT",Milestones!$AA$158=FT_Y5,ET27&lt;PolicyEff),1,Milestones!$AC$158),0))</f>
        <v>0</v>
      </c>
      <c r="EU29" s="0" t="n">
        <f aca="false">IF(EU27="",0,IF(AND(EU28=Milestones!$AB$159,EU27&gt;=SchemeStart),IF(AND(Milestones!$AB$159="FT",Milestones!$AA$159=FT_Y5,EU27&lt;PolicyEff),1,Milestones!$AC$159),0))</f>
        <v>0</v>
      </c>
      <c r="EV29" s="0" t="n">
        <f aca="false">IF(EV27="",0,IF(AND(EV28=Milestones!$AB$160,EV27&gt;=SchemeStart),IF(AND(Milestones!$AB$160="FT",Milestones!$AA$160=FT_Y5,EV27&lt;PolicyEff),1,Milestones!$AC$160),0))</f>
        <v>0</v>
      </c>
      <c r="EW29" s="0" t="n">
        <f aca="false">IF(EW27="",0,IF(AND(EW28=Milestones!$AB$161,EW27&gt;=SchemeStart),IF(AND(Milestones!$AB$161="FT",Milestones!$AA$161=FT_Y5,EW27&lt;PolicyEff),1,Milestones!$AC$161),0))</f>
        <v>0</v>
      </c>
      <c r="EX29" s="0" t="n">
        <f aca="false">IF(EX27="",0,IF(AND(EX28=Milestones!$AB$162,EX27&gt;=SchemeStart),IF(AND(Milestones!$AB$162="FT",Milestones!$AA$162=FT_Y5,EX27&lt;PolicyEff),1,Milestones!$AC$162),0))</f>
        <v>0</v>
      </c>
      <c r="EY29" s="0" t="n">
        <f aca="false">IF(EY27="",0,IF(AND(EY28=Milestones!$AB$163,EY27&gt;=SchemeStart),IF(AND(Milestones!$AB$163="FT",Milestones!$AA$163=FT_Y5,EY27&lt;PolicyEff),1,Milestones!$AC$163),0))</f>
        <v>0</v>
      </c>
      <c r="EZ29" s="0" t="n">
        <f aca="false">IF(EZ27="",0,IF(AND(EZ28=Milestones!$AB$164,EZ27&gt;=SchemeStart),IF(AND(Milestones!$AB$164="FT",Milestones!$AA$164=FT_Y5,EZ27&lt;PolicyEff),1,Milestones!$AC$164),0))</f>
        <v>0</v>
      </c>
      <c r="FA29" s="0" t="n">
        <f aca="false">IF(FA27="",0,IF(AND(FA28=Milestones!$AB$165,FA27&gt;=SchemeStart),IF(AND(Milestones!$AB$165="FT",Milestones!$AA$165=FT_Y5,FA27&lt;PolicyEff),1,Milestones!$AC$165),0))</f>
        <v>0</v>
      </c>
      <c r="FB29" s="0" t="n">
        <f aca="false">IF(FB27="",0,IF(AND(FB28=Milestones!$AB$166,FB27&gt;=SchemeStart),IF(AND(Milestones!$AB$166="FT",Milestones!$AA$166=FT_Y5,FB27&lt;PolicyEff),1,Milestones!$AC$166),0))</f>
        <v>0</v>
      </c>
      <c r="FC29" s="0" t="n">
        <f aca="false">IF(FC27="",0,IF(AND(FC28=Milestones!$AB$167,FC27&gt;=SchemeStart),IF(AND(Milestones!$AB$167="FT",Milestones!$AA$167=FT_Y5,FC27&lt;PolicyEff),1,Milestones!$AC$167),0))</f>
        <v>0</v>
      </c>
      <c r="FD29" s="0" t="n">
        <f aca="false">IF(FD27="",0,IF(AND(FD28=Milestones!$AB$168,FD27&gt;=SchemeStart),IF(AND(Milestones!$AB$168="FT",Milestones!$AA$168=FT_Y5,FD27&lt;PolicyEff),1,Milestones!$AC$168),0))</f>
        <v>0</v>
      </c>
      <c r="FE29" s="0" t="n">
        <f aca="false">IF(FE27="",0,IF(AND(FE28=Milestones!$AB$169,FE27&gt;=SchemeStart),IF(AND(Milestones!$AB$169="FT",Milestones!$AA$169=FT_Y5,FE27&lt;PolicyEff),1,Milestones!$AC$169),0))</f>
        <v>0</v>
      </c>
      <c r="FF29" s="0" t="n">
        <f aca="false">IF(FF27="",0,IF(AND(FF28=Milestones!$AB$170,FF27&gt;=SchemeStart),IF(AND(Milestones!$AB$170="FT",Milestones!$AA$170=FT_Y5,FF27&lt;PolicyEff),1,Milestones!$AC$170),0))</f>
        <v>0</v>
      </c>
      <c r="FG29" s="0" t="n">
        <f aca="false">IF(FG27="",0,IF(AND(FG28=Milestones!$AB$171,FG27&gt;=SchemeStart),IF(AND(Milestones!$AB$171="FT",Milestones!$AA$171=FT_Y5,FG27&lt;PolicyEff),1,Milestones!$AC$171),0))</f>
        <v>0</v>
      </c>
      <c r="FH29" s="0" t="n">
        <f aca="false">IF(FH27="",0,IF(AND(FH28=Milestones!$AB$172,FH27&gt;=SchemeStart),IF(AND(Milestones!$AB$172="FT",Milestones!$AA$172=FT_Y5,FH27&lt;PolicyEff),1,Milestones!$AC$172),0))</f>
        <v>0</v>
      </c>
      <c r="FI29" s="0" t="n">
        <f aca="false">IF(FI27="",0,IF(AND(FI28=Milestones!$AB$173,FI27&gt;=SchemeStart),IF(AND(Milestones!$AB$173="FT",Milestones!$AA$173=FT_Y5,FI27&lt;PolicyEff),1,Milestones!$AC$173),0))</f>
        <v>0</v>
      </c>
      <c r="FJ29" s="0" t="n">
        <f aca="false">IF(FJ27="",0,IF(AND(FJ28=Milestones!$AB$174,FJ27&gt;=SchemeStart),IF(AND(Milestones!$AB$174="FT",Milestones!$AA$174=FT_Y5,FJ27&lt;PolicyEff),1,Milestones!$AC$174),0))</f>
        <v>0</v>
      </c>
      <c r="FK29" s="0" t="n">
        <f aca="false">IF(FK27="",0,IF(AND(FK28=Milestones!$AB$175,FK27&gt;=SchemeStart),IF(AND(Milestones!$AB$175="FT",Milestones!$AA$175=FT_Y5,FK27&lt;PolicyEff),1,Milestones!$AC$175),0))</f>
        <v>0</v>
      </c>
      <c r="FL29" s="0" t="n">
        <f aca="false">IF(FL27="",0,IF(AND(FL28=Milestones!$AB$176,FL27&gt;=SchemeStart),IF(AND(Milestones!$AB$176="FT",Milestones!$AA$176=FT_Y5,FL27&lt;PolicyEff),1,Milestones!$AC$176),0))</f>
        <v>0</v>
      </c>
      <c r="FM29" s="0" t="n">
        <f aca="false">IF(FM27="",0,IF(AND(FM28=Milestones!$AB$177,FM27&gt;=SchemeStart),IF(AND(Milestones!$AB$177="FT",Milestones!$AA$177=FT_Y5,FM27&lt;PolicyEff),1,Milestones!$AC$177),0))</f>
        <v>0</v>
      </c>
      <c r="FN29" s="0" t="n">
        <f aca="false">IF(FN27="",0,IF(AND(FN28=Milestones!$AB$178,FN27&gt;=SchemeStart),IF(AND(Milestones!$AB$178="FT",Milestones!$AA$178=FT_Y5,FN27&lt;PolicyEff),1,Milestones!$AC$178),0))</f>
        <v>0</v>
      </c>
      <c r="FO29" s="0" t="n">
        <f aca="false">IF(FO27="",0,IF(AND(FO28=Milestones!$AB$179,FO27&gt;=SchemeStart),IF(AND(Milestones!$AB$179="FT",Milestones!$AA$179=FT_Y5,FO27&lt;PolicyEff),1,Milestones!$AC$179),0))</f>
        <v>0</v>
      </c>
      <c r="FP29" s="0" t="n">
        <f aca="false">IF(FP27="",0,IF(AND(FP28=Milestones!$AB$180,FP27&gt;=SchemeStart),IF(AND(Milestones!$AB$180="FT",Milestones!$AA$180=FT_Y5,FP27&lt;PolicyEff),1,Milestones!$AC$180),0))</f>
        <v>0</v>
      </c>
      <c r="FQ29" s="0" t="n">
        <f aca="false">IF(FQ27="",0,IF(AND(FQ28=Milestones!$AB$181,FQ27&gt;=SchemeStart),IF(AND(Milestones!$AB$181="FT",Milestones!$AA$181=FT_Y5,FQ27&lt;PolicyEff),1,Milestones!$AC$181),0))</f>
        <v>0</v>
      </c>
      <c r="FR29" s="0" t="n">
        <f aca="false">IF(FR27="",0,IF(AND(FR28=Milestones!$AB$182,FR27&gt;=SchemeStart),IF(AND(Milestones!$AB$182="FT",Milestones!$AA$182=FT_Y5,FR27&lt;PolicyEff),1,Milestones!$AC$182),0))</f>
        <v>0</v>
      </c>
      <c r="FS29" s="0" t="n">
        <f aca="false">IF(FS27="",0,IF(AND(FS28=Milestones!$AB$183,FS27&gt;=SchemeStart),IF(AND(Milestones!$AB$183="FT",Milestones!$AA$183=FT_Y5,FS27&lt;PolicyEff),1,Milestones!$AC$183),0))</f>
        <v>0</v>
      </c>
      <c r="FT29" s="0" t="n">
        <f aca="false">IF(FT27="",0,IF(AND(FT28=Milestones!$AB$184,FT27&gt;=SchemeStart),IF(AND(Milestones!$AB$184="FT",Milestones!$AA$184=FT_Y5,FT27&lt;PolicyEff),1,Milestones!$AC$184),0))</f>
        <v>0</v>
      </c>
      <c r="FU29" s="0" t="n">
        <f aca="false">IF(FU27="",0,IF(AND(FU28=Milestones!$AB$185,FU27&gt;=SchemeStart),IF(AND(Milestones!$AB$185="FT",Milestones!$AA$185=FT_Y5,FU27&lt;PolicyEff),1,Milestones!$AC$185),0))</f>
        <v>0</v>
      </c>
      <c r="FV29" s="0" t="n">
        <f aca="false">IF(FV27="",0,IF(AND(FV28=Milestones!$AB$186,FV27&gt;=SchemeStart),IF(AND(Milestones!$AB$186="FT",Milestones!$AA$186=FT_Y5,FV27&lt;PolicyEff),1,Milestones!$AC$186),0))</f>
        <v>0</v>
      </c>
      <c r="FW29" s="0" t="n">
        <f aca="false">IF(FW27="",0,IF(AND(FW28=Milestones!$AB$187,FW27&gt;=SchemeStart),IF(AND(Milestones!$AB$187="FT",Milestones!$AA$187=FT_Y5,FW27&lt;PolicyEff),1,Milestones!$AC$187),0))</f>
        <v>0</v>
      </c>
      <c r="FX29" s="0" t="n">
        <f aca="false">IF(FX27="",0,IF(AND(FX28=Milestones!$AB$188,FX27&gt;=SchemeStart),IF(AND(Milestones!$AB$188="FT",Milestones!$AA$188=FT_Y5,FX27&lt;PolicyEff),1,Milestones!$AC$188),0))</f>
        <v>0</v>
      </c>
      <c r="FY29" s="0" t="n">
        <f aca="false">IF(FY27="",0,IF(AND(FY28=Milestones!$AB$189,FY27&gt;=SchemeStart),IF(AND(Milestones!$AB$189="FT",Milestones!$AA$189=FT_Y5,FY27&lt;PolicyEff),1,Milestones!$AC$189),0))</f>
        <v>0</v>
      </c>
      <c r="FZ29" s="0" t="n">
        <f aca="false">IF(FZ27="",0,IF(AND(FZ28=Milestones!$AB$190,FZ27&gt;=SchemeStart),IF(AND(Milestones!$AB$190="FT",Milestones!$AA$190=FT_Y5,FZ27&lt;PolicyEff),1,Milestones!$AC$190),0))</f>
        <v>0</v>
      </c>
      <c r="GA29" s="0" t="n">
        <f aca="false">IF(GA27="",0,IF(AND(GA28=Milestones!$AB$191,GA27&gt;=SchemeStart),IF(AND(Milestones!$AB$191="FT",Milestones!$AA$191=FT_Y5,GA27&lt;PolicyEff),1,Milestones!$AC$191),0))</f>
        <v>0</v>
      </c>
      <c r="GB29" s="0" t="n">
        <f aca="false">IF(GB27="",0,IF(AND(GB28=Milestones!$AB$192,GB27&gt;=SchemeStart),IF(AND(Milestones!$AB$192="FT",Milestones!$AA$192=FT_Y5,GB27&lt;PolicyEff),1,Milestones!$AC$192),0))</f>
        <v>0</v>
      </c>
      <c r="GC29" s="0" t="n">
        <f aca="false">IF(GC27="",0,IF(AND(GC28=Milestones!$AB$193,GC27&gt;=SchemeStart),IF(AND(Milestones!$AB$193="FT",Milestones!$AA$193=FT_Y5,GC27&lt;PolicyEff),1,Milestones!$AC$193),0))</f>
        <v>0</v>
      </c>
      <c r="GD29" s="0" t="n">
        <f aca="false">IF(GD27="",0,IF(AND(GD28=Milestones!$AB$194,GD27&gt;=SchemeStart),IF(AND(Milestones!$AB$194="FT",Milestones!$AA$194=FT_Y5,GD27&lt;PolicyEff),1,Milestones!$AC$194),0))</f>
        <v>0</v>
      </c>
      <c r="GE29" s="0" t="n">
        <f aca="false">IF(GE27="",0,IF(AND(GE28=Milestones!$AB$195,GE27&gt;=SchemeStart),IF(AND(Milestones!$AB$195="FT",Milestones!$AA$195=FT_Y5,GE27&lt;PolicyEff),1,Milestones!$AC$195),0))</f>
        <v>0</v>
      </c>
      <c r="GF29" s="0" t="n">
        <f aca="false">IF(GF27="",0,IF(AND(GF28=Milestones!$AB$196,GF27&gt;=SchemeStart),IF(AND(Milestones!$AB$196="FT",Milestones!$AA$196=FT_Y5,GF27&lt;PolicyEff),1,Milestones!$AC$196),0))</f>
        <v>0</v>
      </c>
      <c r="GG29" s="0" t="n">
        <f aca="false">IF(GG27="",0,IF(AND(GG28=Milestones!$AB$197,GG27&gt;=SchemeStart),IF(AND(Milestones!$AB$197="FT",Milestones!$AA$197=FT_Y5,GG27&lt;PolicyEff),1,Milestones!$AC$197),0))</f>
        <v>0</v>
      </c>
      <c r="GH29" s="0" t="n">
        <f aca="false">IF(GH27="",0,IF(AND(GH28=Milestones!$AB$198,GH27&gt;=SchemeStart),IF(AND(Milestones!$AB$198="FT",Milestones!$AA$198=FT_Y5,GH27&lt;PolicyEff),1,Milestones!$AC$198),0))</f>
        <v>0</v>
      </c>
      <c r="GI29" s="0" t="n">
        <f aca="false">IF(GI27="",0,IF(AND(GI28=Milestones!$AB$199,GI27&gt;=SchemeStart),IF(AND(Milestones!$AB$199="FT",Milestones!$AA$199=FT_Y5,GI27&lt;PolicyEff),1,Milestones!$AC$199),0))</f>
        <v>0</v>
      </c>
    </row>
    <row r="30" customFormat="false" ht="15" hidden="false" customHeight="false" outlineLevel="0" collapsed="false">
      <c r="A30" s="0" t="str">
        <f aca="false">IF('HR Tally Check'!K$7="","",'HR Tally Check'!K$7)</f>
        <v/>
      </c>
      <c r="B30" s="0" t="str">
        <f aca="false">IF(A30="","",ISNUMBER(MATCH(A30,Staff!$BR$5:$BR$154,0)))</f>
        <v/>
      </c>
      <c r="C30" s="20" t="str">
        <f aca="false">IF(B30&lt;&gt;TRUE(),"",INDEX(Staff!$AL$5:$AL$154,MATCH($A30,Staff!$BR$5:$BR$154,0)))</f>
        <v/>
      </c>
      <c r="D30" s="0" t="str">
        <f aca="false">IF(B30&lt;&gt;TRUE(),"",INDEX(Staff!$AM$5:$AM$154,MATCH($A30,Staff!$BR$5:$BR$154,0)))</f>
        <v/>
      </c>
      <c r="E30" s="20" t="str">
        <f aca="false">IF(B30&lt;&gt;TRUE(),"",INDEX(Staff!$AO$5:$AO$154,MATCH($A30,Staff!$BR$5:$BR$154,0)))</f>
        <v/>
      </c>
      <c r="F30" s="20" t="str">
        <f aca="false">IF(B30&lt;&gt;TRUE(),"",INDEX(Staff!$AP$5:$AP$154,MATCH($A30,Staff!$BR$5:$BR$154,0)))</f>
        <v/>
      </c>
      <c r="G30" s="0" t="str">
        <f aca="false">IF(B30&lt;&gt;TRUE(),"",INDEX(Staff!$AT$5:$AT$154,MATCH($A30,Staff!$BR$5:$BR$154,0)))</f>
        <v/>
      </c>
      <c r="H30" s="0" t="str">
        <f aca="false">IF(B30&lt;&gt;TRUE(),"",INDEX(Staff!$AU$5:$AU$154,MATCH($A30,Staff!$BR$5:$BR$154,0)))</f>
        <v/>
      </c>
      <c r="I30" s="0" t="str">
        <f aca="false">IF(B30&lt;&gt;TRUE(),"",INDEX(Staff!$AV$5:$AV$154,MATCH($A30,Staff!$BR$5:$BR$154,0)))</f>
        <v/>
      </c>
      <c r="J30" s="0" t="str">
        <f aca="false">IF(B30&lt;&gt;TRUE(),"",INDEX(Staff!$AW$5:$AW$154,MATCH($A30,Staff!$BR$5:$BR$154,0)))</f>
        <v/>
      </c>
      <c r="K30" s="33" t="s">
        <v>262</v>
      </c>
      <c r="L30" s="20" t="str">
        <f aca="false">IF($C30="","",EDATE($C30,Milestones!$AA$20))</f>
        <v/>
      </c>
      <c r="M30" s="20" t="str">
        <f aca="false">IF($C30="","",EDATE($C30,Milestones!$AA$21))</f>
        <v/>
      </c>
      <c r="N30" s="20" t="str">
        <f aca="false">IF($C30="","",EDATE($C30,Milestones!$AA$22))</f>
        <v/>
      </c>
      <c r="O30" s="20" t="str">
        <f aca="false">IF($C30="","",EDATE($C30,Milestones!$AA$23))</f>
        <v/>
      </c>
      <c r="P30" s="20" t="str">
        <f aca="false">IF($C30="","",EDATE($C30,Milestones!$AA$24))</f>
        <v/>
      </c>
      <c r="Q30" s="20" t="str">
        <f aca="false">IF($C30="","",EDATE($C30,Milestones!$AA$25))</f>
        <v/>
      </c>
      <c r="R30" s="20" t="str">
        <f aca="false">IF($C30="","",EDATE($C30,Milestones!$AA$26))</f>
        <v/>
      </c>
      <c r="S30" s="20" t="str">
        <f aca="false">IF($C30="","",EDATE($C30,Milestones!$AA$27))</f>
        <v/>
      </c>
      <c r="T30" s="20" t="str">
        <f aca="false">IF($C30="","",EDATE($C30,Milestones!$AA$28))</f>
        <v/>
      </c>
      <c r="U30" s="20" t="str">
        <f aca="false">IF($C30="","",EDATE($C30,Milestones!$AA$29))</f>
        <v/>
      </c>
      <c r="V30" s="20" t="str">
        <f aca="false">IF($C30="","",EDATE($C30,Milestones!$AA$30))</f>
        <v/>
      </c>
      <c r="W30" s="20" t="str">
        <f aca="false">IF($C30="","",EDATE($C30,Milestones!$AA$31))</f>
        <v/>
      </c>
      <c r="X30" s="20" t="str">
        <f aca="false">IF($C30="","",EDATE($C30,Milestones!$AA$32))</f>
        <v/>
      </c>
      <c r="Y30" s="20" t="str">
        <f aca="false">IF($C30="","",EDATE($C30,Milestones!$AA$33))</f>
        <v/>
      </c>
      <c r="Z30" s="20" t="str">
        <f aca="false">IF($C30="","",EDATE($C30,Milestones!$AA$34))</f>
        <v/>
      </c>
      <c r="AA30" s="20" t="str">
        <f aca="false">IF($C30="","",EDATE($C30,Milestones!$AA$35))</f>
        <v/>
      </c>
      <c r="AB30" s="20" t="str">
        <f aca="false">IF($C30="","",EDATE($C30,Milestones!$AA$36))</f>
        <v/>
      </c>
      <c r="AC30" s="20" t="str">
        <f aca="false">IF($C30="","",EDATE($C30,Milestones!$AA$37))</f>
        <v/>
      </c>
      <c r="AD30" s="20" t="str">
        <f aca="false">IF($C30="","",EDATE($C30,Milestones!$AA$38))</f>
        <v/>
      </c>
      <c r="AE30" s="20" t="str">
        <f aca="false">IF($C30="","",EDATE($C30,Milestones!$AA$39))</f>
        <v/>
      </c>
      <c r="AF30" s="20" t="str">
        <f aca="false">IF($C30="","",EDATE($C30,Milestones!$AA$40))</f>
        <v/>
      </c>
      <c r="AG30" s="20" t="str">
        <f aca="false">IF($C30="","",EDATE($C30,Milestones!$AA$41))</f>
        <v/>
      </c>
      <c r="AH30" s="20" t="str">
        <f aca="false">IF($C30="","",EDATE($C30,Milestones!$AA$42))</f>
        <v/>
      </c>
      <c r="AI30" s="20" t="str">
        <f aca="false">IF($C30="","",EDATE($C30,Milestones!$AA$43))</f>
        <v/>
      </c>
      <c r="AJ30" s="20" t="str">
        <f aca="false">IF($C30="","",EDATE($C30,Milestones!$AA$44))</f>
        <v/>
      </c>
      <c r="AK30" s="20" t="str">
        <f aca="false">IF($C30="","",EDATE($C30,Milestones!$AA$45))</f>
        <v/>
      </c>
      <c r="AL30" s="20" t="str">
        <f aca="false">IF($C30="","",EDATE($C30,Milestones!$AA$46))</f>
        <v/>
      </c>
      <c r="AM30" s="20" t="str">
        <f aca="false">IF($C30="","",EDATE($C30,Milestones!$AA$47))</f>
        <v/>
      </c>
      <c r="AN30" s="20" t="str">
        <f aca="false">IF($C30="","",EDATE($C30,Milestones!$AA$48))</f>
        <v/>
      </c>
      <c r="AO30" s="20" t="str">
        <f aca="false">IF($C30="","",EDATE($C30,Milestones!$AA$49))</f>
        <v/>
      </c>
      <c r="AP30" s="20" t="str">
        <f aca="false">IF($C30="","",EDATE($C30,Milestones!$AA$50))</f>
        <v/>
      </c>
      <c r="AQ30" s="20" t="str">
        <f aca="false">IF($C30="","",EDATE($C30,Milestones!$AA$51))</f>
        <v/>
      </c>
      <c r="AR30" s="20" t="str">
        <f aca="false">IF($C30="","",EDATE($C30,Milestones!$AA$52))</f>
        <v/>
      </c>
      <c r="AS30" s="20" t="str">
        <f aca="false">IF($C30="","",EDATE($C30,Milestones!$AA$53))</f>
        <v/>
      </c>
      <c r="AT30" s="20" t="str">
        <f aca="false">IF($C30="","",EDATE($C30,Milestones!$AA$54))</f>
        <v/>
      </c>
      <c r="AU30" s="20" t="str">
        <f aca="false">IF($C30="","",EDATE($C30,Milestones!$AA$55))</f>
        <v/>
      </c>
      <c r="AV30" s="20" t="str">
        <f aca="false">IF($C30="","",EDATE($C30,Milestones!$AA$56))</f>
        <v/>
      </c>
      <c r="AW30" s="20" t="str">
        <f aca="false">IF($C30="","",EDATE($C30,Milestones!$AA$57))</f>
        <v/>
      </c>
      <c r="AX30" s="20" t="str">
        <f aca="false">IF($C30="","",EDATE($C30,Milestones!$AA$58))</f>
        <v/>
      </c>
      <c r="AY30" s="20" t="str">
        <f aca="false">IF($C30="","",EDATE($C30,Milestones!$AA$59))</f>
        <v/>
      </c>
      <c r="AZ30" s="20" t="str">
        <f aca="false">IF($C30="","",EDATE($C30,Milestones!$AA$60))</f>
        <v/>
      </c>
      <c r="BA30" s="20" t="str">
        <f aca="false">IF($C30="","",EDATE($C30,Milestones!$AA$61))</f>
        <v/>
      </c>
      <c r="BB30" s="20" t="str">
        <f aca="false">IF($C30="","",EDATE($C30,Milestones!$AA$62))</f>
        <v/>
      </c>
      <c r="BC30" s="20" t="str">
        <f aca="false">IF($C30="","",EDATE($C30,Milestones!$AA$63))</f>
        <v/>
      </c>
      <c r="BD30" s="20" t="str">
        <f aca="false">IF($C30="","",EDATE($C30,Milestones!$AA$64))</f>
        <v/>
      </c>
      <c r="BE30" s="20" t="str">
        <f aca="false">IF($C30="","",EDATE($C30,Milestones!$AA$65))</f>
        <v/>
      </c>
      <c r="BF30" s="20" t="str">
        <f aca="false">IF($C30="","",EDATE($C30,Milestones!$AA$66))</f>
        <v/>
      </c>
      <c r="BG30" s="20" t="str">
        <f aca="false">IF($C30="","",EDATE($C30,Milestones!$AA$67))</f>
        <v/>
      </c>
      <c r="BH30" s="20" t="str">
        <f aca="false">IF($C30="","",EDATE($C30,Milestones!$AA$68))</f>
        <v/>
      </c>
      <c r="BI30" s="20" t="str">
        <f aca="false">IF($C30="","",EDATE($C30,Milestones!$AA$69))</f>
        <v/>
      </c>
      <c r="BJ30" s="20" t="str">
        <f aca="false">IF($C30="","",EDATE($C30,Milestones!$AA$70))</f>
        <v/>
      </c>
      <c r="BK30" s="20" t="str">
        <f aca="false">IF($C30="","",EDATE($C30,Milestones!$AA$71))</f>
        <v/>
      </c>
      <c r="BL30" s="20" t="str">
        <f aca="false">IF($C30="","",EDATE($C30,Milestones!$AA$72))</f>
        <v/>
      </c>
      <c r="BM30" s="20" t="str">
        <f aca="false">IF($C30="","",EDATE($C30,Milestones!$AA$73))</f>
        <v/>
      </c>
      <c r="BN30" s="20" t="str">
        <f aca="false">IF($C30="","",EDATE($C30,Milestones!$AA$74))</f>
        <v/>
      </c>
      <c r="BO30" s="20" t="str">
        <f aca="false">IF($C30="","",EDATE($C30,Milestones!$AA$75))</f>
        <v/>
      </c>
      <c r="BP30" s="20" t="str">
        <f aca="false">IF($C30="","",EDATE($C30,Milestones!$AA$76))</f>
        <v/>
      </c>
      <c r="BQ30" s="20" t="str">
        <f aca="false">IF($C30="","",EDATE($C30,Milestones!$AA$77))</f>
        <v/>
      </c>
      <c r="BR30" s="20" t="str">
        <f aca="false">IF($C30="","",EDATE($C30,Milestones!$AA$78))</f>
        <v/>
      </c>
      <c r="BS30" s="20" t="str">
        <f aca="false">IF($C30="","",EDATE($C30,Milestones!$AA$79))</f>
        <v/>
      </c>
      <c r="BT30" s="20" t="str">
        <f aca="false">IF($C30="","",EDATE($C30,Milestones!$AA$80))</f>
        <v/>
      </c>
      <c r="BU30" s="20" t="str">
        <f aca="false">IF($C30="","",EDATE($C30,Milestones!$AA$81))</f>
        <v/>
      </c>
      <c r="BV30" s="20" t="str">
        <f aca="false">IF($C30="","",EDATE($C30,Milestones!$AA$82))</f>
        <v/>
      </c>
      <c r="BW30" s="20" t="str">
        <f aca="false">IF($C30="","",EDATE($C30,Milestones!$AA$83))</f>
        <v/>
      </c>
      <c r="BX30" s="20" t="str">
        <f aca="false">IF($C30="","",EDATE($C30,Milestones!$AA$84))</f>
        <v/>
      </c>
      <c r="BY30" s="20" t="str">
        <f aca="false">IF($C30="","",EDATE($C30,Milestones!$AA$85))</f>
        <v/>
      </c>
      <c r="BZ30" s="20" t="str">
        <f aca="false">IF($C30="","",EDATE($C30,Milestones!$AA$86))</f>
        <v/>
      </c>
      <c r="CA30" s="20" t="str">
        <f aca="false">IF($C30="","",EDATE($C30,Milestones!$AA$87))</f>
        <v/>
      </c>
      <c r="CB30" s="20" t="str">
        <f aca="false">IF($C30="","",EDATE($C30,Milestones!$AA$88))</f>
        <v/>
      </c>
      <c r="CC30" s="20" t="str">
        <f aca="false">IF($C30="","",EDATE($C30,Milestones!$AA$89))</f>
        <v/>
      </c>
      <c r="CD30" s="20" t="str">
        <f aca="false">IF($C30="","",EDATE($C30,Milestones!$AA$90))</f>
        <v/>
      </c>
      <c r="CE30" s="20" t="str">
        <f aca="false">IF($C30="","",EDATE($C30,Milestones!$AA$91))</f>
        <v/>
      </c>
      <c r="CF30" s="20" t="str">
        <f aca="false">IF($C30="","",EDATE($C30,Milestones!$AA$92))</f>
        <v/>
      </c>
      <c r="CG30" s="20" t="str">
        <f aca="false">IF($C30="","",EDATE($C30,Milestones!$AA$93))</f>
        <v/>
      </c>
      <c r="CH30" s="20" t="str">
        <f aca="false">IF($C30="","",EDATE($C30,Milestones!$AA$94))</f>
        <v/>
      </c>
      <c r="CI30" s="20" t="str">
        <f aca="false">IF($C30="","",EDATE($C30,Milestones!$AA$95))</f>
        <v/>
      </c>
      <c r="CJ30" s="20" t="str">
        <f aca="false">IF($C30="","",EDATE($C30,Milestones!$AA$96))</f>
        <v/>
      </c>
      <c r="CK30" s="20" t="str">
        <f aca="false">IF($C30="","",EDATE($C30,Milestones!$AA$97))</f>
        <v/>
      </c>
      <c r="CL30" s="20" t="str">
        <f aca="false">IF($C30="","",EDATE($C30,Milestones!$AA$98))</f>
        <v/>
      </c>
      <c r="CM30" s="20" t="str">
        <f aca="false">IF($C30="","",EDATE($C30,Milestones!$AA$99))</f>
        <v/>
      </c>
      <c r="CN30" s="20" t="str">
        <f aca="false">IF($C30="","",EDATE($C30,Milestones!$AA$100))</f>
        <v/>
      </c>
      <c r="CO30" s="20" t="str">
        <f aca="false">IF($C30="","",EDATE($C30,Milestones!$AA$101))</f>
        <v/>
      </c>
      <c r="CP30" s="20" t="str">
        <f aca="false">IF($C30="","",EDATE($C30,Milestones!$AA$102))</f>
        <v/>
      </c>
      <c r="CQ30" s="20" t="str">
        <f aca="false">IF($C30="","",EDATE($C30,Milestones!$AA$103))</f>
        <v/>
      </c>
      <c r="CR30" s="20" t="str">
        <f aca="false">IF($C30="","",EDATE($C30,Milestones!$AA$104))</f>
        <v/>
      </c>
      <c r="CS30" s="20" t="str">
        <f aca="false">IF($C30="","",EDATE($C30,Milestones!$AA$105))</f>
        <v/>
      </c>
      <c r="CT30" s="20" t="str">
        <f aca="false">IF($C30="","",EDATE($C30,Milestones!$AA$106))</f>
        <v/>
      </c>
      <c r="CU30" s="20" t="str">
        <f aca="false">IF($C30="","",EDATE($C30,Milestones!$AA$107))</f>
        <v/>
      </c>
      <c r="CV30" s="20" t="str">
        <f aca="false">IF($C30="","",EDATE($C30,Milestones!$AA$108))</f>
        <v/>
      </c>
      <c r="CW30" s="20" t="str">
        <f aca="false">IF($C30="","",EDATE($C30,Milestones!$AA$109))</f>
        <v/>
      </c>
      <c r="CX30" s="20" t="str">
        <f aca="false">IF($C30="","",EDATE($C30,Milestones!$AA$110))</f>
        <v/>
      </c>
      <c r="CY30" s="20" t="str">
        <f aca="false">IF($C30="","",EDATE($C30,Milestones!$AA$111))</f>
        <v/>
      </c>
      <c r="CZ30" s="20" t="str">
        <f aca="false">IF($C30="","",EDATE($C30,Milestones!$AA$112))</f>
        <v/>
      </c>
      <c r="DA30" s="20" t="str">
        <f aca="false">IF($C30="","",EDATE($C30,Milestones!$AA$113))</f>
        <v/>
      </c>
      <c r="DB30" s="20" t="str">
        <f aca="false">IF($C30="","",EDATE($C30,Milestones!$AA$114))</f>
        <v/>
      </c>
      <c r="DC30" s="20" t="str">
        <f aca="false">IF($C30="","",EDATE($C30,Milestones!$AA$115))</f>
        <v/>
      </c>
      <c r="DD30" s="20" t="str">
        <f aca="false">IF($C30="","",EDATE($C30,Milestones!$AA$116))</f>
        <v/>
      </c>
      <c r="DE30" s="20" t="str">
        <f aca="false">IF($C30="","",EDATE($C30,Milestones!$AA$117))</f>
        <v/>
      </c>
      <c r="DF30" s="20" t="str">
        <f aca="false">IF($C30="","",EDATE($C30,Milestones!$AA$118))</f>
        <v/>
      </c>
      <c r="DG30" s="20" t="str">
        <f aca="false">IF($C30="","",EDATE($C30,Milestones!$AA$119))</f>
        <v/>
      </c>
      <c r="DH30" s="20" t="str">
        <f aca="false">IF($C30="","",EDATE($C30,Milestones!$AA$120))</f>
        <v/>
      </c>
      <c r="DI30" s="20" t="str">
        <f aca="false">IF($C30="","",EDATE($C30,Milestones!$AA$121))</f>
        <v/>
      </c>
      <c r="DJ30" s="20" t="str">
        <f aca="false">IF($C30="","",EDATE($C30,Milestones!$AA$122))</f>
        <v/>
      </c>
      <c r="DK30" s="20" t="str">
        <f aca="false">IF($C30="","",EDATE($C30,Milestones!$AA$123))</f>
        <v/>
      </c>
      <c r="DL30" s="20" t="str">
        <f aca="false">IF($C30="","",EDATE($C30,Milestones!$AA$124))</f>
        <v/>
      </c>
      <c r="DM30" s="20" t="str">
        <f aca="false">IF($C30="","",EDATE($C30,Milestones!$AA$125))</f>
        <v/>
      </c>
      <c r="DN30" s="20" t="str">
        <f aca="false">IF($C30="","",EDATE($C30,Milestones!$AA$126))</f>
        <v/>
      </c>
      <c r="DO30" s="20" t="str">
        <f aca="false">IF($C30="","",EDATE($C30,Milestones!$AA$127))</f>
        <v/>
      </c>
      <c r="DP30" s="20" t="str">
        <f aca="false">IF($C30="","",EDATE($C30,Milestones!$AA$128))</f>
        <v/>
      </c>
      <c r="DQ30" s="20" t="str">
        <f aca="false">IF($C30="","",EDATE($C30,Milestones!$AA$129))</f>
        <v/>
      </c>
      <c r="DR30" s="20" t="str">
        <f aca="false">IF($C30="","",EDATE($C30,Milestones!$AA$130))</f>
        <v/>
      </c>
      <c r="DS30" s="20" t="str">
        <f aca="false">IF($C30="","",EDATE($C30,Milestones!$AA$131))</f>
        <v/>
      </c>
      <c r="DT30" s="20" t="str">
        <f aca="false">IF($C30="","",EDATE($C30,Milestones!$AA$132))</f>
        <v/>
      </c>
      <c r="DU30" s="20" t="str">
        <f aca="false">IF($C30="","",EDATE($C30,Milestones!$AA$133))</f>
        <v/>
      </c>
      <c r="DV30" s="20" t="str">
        <f aca="false">IF($C30="","",EDATE($C30,Milestones!$AA$134))</f>
        <v/>
      </c>
      <c r="DW30" s="20" t="str">
        <f aca="false">IF($C30="","",EDATE($C30,Milestones!$AA$135))</f>
        <v/>
      </c>
      <c r="DX30" s="20" t="str">
        <f aca="false">IF($C30="","",EDATE($C30,Milestones!$AA$136))</f>
        <v/>
      </c>
      <c r="DY30" s="20" t="str">
        <f aca="false">IF($C30="","",EDATE($C30,Milestones!$AA$137))</f>
        <v/>
      </c>
      <c r="DZ30" s="20" t="str">
        <f aca="false">IF($C30="","",EDATE($C30,Milestones!$AA$138))</f>
        <v/>
      </c>
      <c r="EA30" s="20" t="str">
        <f aca="false">IF($C30="","",EDATE($C30,Milestones!$AA$139))</f>
        <v/>
      </c>
      <c r="EB30" s="20" t="str">
        <f aca="false">IF($C30="","",EDATE($C30,Milestones!$AA$140))</f>
        <v/>
      </c>
      <c r="EC30" s="20" t="str">
        <f aca="false">IF($C30="","",EDATE($C30,Milestones!$AA$141))</f>
        <v/>
      </c>
      <c r="ED30" s="20" t="str">
        <f aca="false">IF($C30="","",EDATE($C30,Milestones!$AA$142))</f>
        <v/>
      </c>
      <c r="EE30" s="20" t="str">
        <f aca="false">IF($C30="","",EDATE($C30,Milestones!$AA$143))</f>
        <v/>
      </c>
      <c r="EF30" s="20" t="str">
        <f aca="false">IF($C30="","",EDATE($C30,Milestones!$AA$144))</f>
        <v/>
      </c>
      <c r="EG30" s="20" t="str">
        <f aca="false">IF($C30="","",EDATE($C30,Milestones!$AA$145))</f>
        <v/>
      </c>
      <c r="EH30" s="20" t="str">
        <f aca="false">IF($C30="","",EDATE($C30,Milestones!$AA$146))</f>
        <v/>
      </c>
      <c r="EI30" s="20" t="str">
        <f aca="false">IF($C30="","",EDATE($C30,Milestones!$AA$147))</f>
        <v/>
      </c>
      <c r="EJ30" s="20" t="str">
        <f aca="false">IF($C30="","",EDATE($C30,Milestones!$AA$148))</f>
        <v/>
      </c>
      <c r="EK30" s="20" t="str">
        <f aca="false">IF($C30="","",EDATE($C30,Milestones!$AA$149))</f>
        <v/>
      </c>
      <c r="EL30" s="20" t="str">
        <f aca="false">IF($C30="","",EDATE($C30,Milestones!$AA$150))</f>
        <v/>
      </c>
      <c r="EM30" s="20" t="str">
        <f aca="false">IF($C30="","",EDATE($C30,Milestones!$AA$151))</f>
        <v/>
      </c>
      <c r="EN30" s="20" t="str">
        <f aca="false">IF($C30="","",EDATE($C30,Milestones!$AA$152))</f>
        <v/>
      </c>
      <c r="EO30" s="20" t="str">
        <f aca="false">IF($C30="","",EDATE($C30,Milestones!$AA$153))</f>
        <v/>
      </c>
      <c r="EP30" s="20" t="str">
        <f aca="false">IF($C30="","",EDATE($C30,Milestones!$AA$154))</f>
        <v/>
      </c>
      <c r="EQ30" s="20" t="str">
        <f aca="false">IF($C30="","",EDATE($C30,Milestones!$AA$155))</f>
        <v/>
      </c>
      <c r="ER30" s="20" t="str">
        <f aca="false">IF($C30="","",EDATE($C30,Milestones!$AA$156))</f>
        <v/>
      </c>
      <c r="ES30" s="20" t="str">
        <f aca="false">IF($C30="","",EDATE($C30,Milestones!$AA$157))</f>
        <v/>
      </c>
      <c r="ET30" s="20" t="str">
        <f aca="false">IF($C30="","",EDATE($C30,Milestones!$AA$158))</f>
        <v/>
      </c>
      <c r="EU30" s="20" t="str">
        <f aca="false">IF($C30="","",EDATE($C30,Milestones!$AA$159))</f>
        <v/>
      </c>
      <c r="EV30" s="20" t="str">
        <f aca="false">IF($C30="","",EDATE($C30,Milestones!$AA$160))</f>
        <v/>
      </c>
      <c r="EW30" s="20" t="str">
        <f aca="false">IF($C30="","",EDATE($C30,Milestones!$AA$161))</f>
        <v/>
      </c>
      <c r="EX30" s="20" t="str">
        <f aca="false">IF($C30="","",EDATE($C30,Milestones!$AA$162))</f>
        <v/>
      </c>
      <c r="EY30" s="20" t="str">
        <f aca="false">IF($C30="","",EDATE($C30,Milestones!$AA$163))</f>
        <v/>
      </c>
      <c r="EZ30" s="20" t="str">
        <f aca="false">IF($C30="","",EDATE($C30,Milestones!$AA$164))</f>
        <v/>
      </c>
      <c r="FA30" s="20" t="str">
        <f aca="false">IF($C30="","",EDATE($C30,Milestones!$AA$165))</f>
        <v/>
      </c>
      <c r="FB30" s="20" t="str">
        <f aca="false">IF($C30="","",EDATE($C30,Milestones!$AA$166))</f>
        <v/>
      </c>
      <c r="FC30" s="20" t="str">
        <f aca="false">IF($C30="","",EDATE($C30,Milestones!$AA$167))</f>
        <v/>
      </c>
      <c r="FD30" s="20" t="str">
        <f aca="false">IF($C30="","",EDATE($C30,Milestones!$AA$168))</f>
        <v/>
      </c>
      <c r="FE30" s="20" t="str">
        <f aca="false">IF($C30="","",EDATE($C30,Milestones!$AA$169))</f>
        <v/>
      </c>
      <c r="FF30" s="20" t="str">
        <f aca="false">IF($C30="","",EDATE($C30,Milestones!$AA$170))</f>
        <v/>
      </c>
      <c r="FG30" s="20" t="str">
        <f aca="false">IF($C30="","",EDATE($C30,Milestones!$AA$171))</f>
        <v/>
      </c>
      <c r="FH30" s="20" t="str">
        <f aca="false">IF($C30="","",EDATE($C30,Milestones!$AA$172))</f>
        <v/>
      </c>
      <c r="FI30" s="20" t="str">
        <f aca="false">IF($C30="","",EDATE($C30,Milestones!$AA$173))</f>
        <v/>
      </c>
      <c r="FJ30" s="20" t="str">
        <f aca="false">IF($C30="","",EDATE($C30,Milestones!$AA$174))</f>
        <v/>
      </c>
      <c r="FK30" s="20" t="str">
        <f aca="false">IF($C30="","",EDATE($C30,Milestones!$AA$175))</f>
        <v/>
      </c>
      <c r="FL30" s="20" t="str">
        <f aca="false">IF($C30="","",EDATE($C30,Milestones!$AA$176))</f>
        <v/>
      </c>
      <c r="FM30" s="20" t="str">
        <f aca="false">IF($C30="","",EDATE($C30,Milestones!$AA$177))</f>
        <v/>
      </c>
      <c r="FN30" s="20" t="str">
        <f aca="false">IF($C30="","",EDATE($C30,Milestones!$AA$178))</f>
        <v/>
      </c>
      <c r="FO30" s="20" t="str">
        <f aca="false">IF($C30="","",EDATE($C30,Milestones!$AA$179))</f>
        <v/>
      </c>
      <c r="FP30" s="20" t="str">
        <f aca="false">IF($C30="","",EDATE($C30,Milestones!$AA$180))</f>
        <v/>
      </c>
      <c r="FQ30" s="20" t="str">
        <f aca="false">IF($C30="","",EDATE($C30,Milestones!$AA$181))</f>
        <v/>
      </c>
      <c r="FR30" s="20" t="str">
        <f aca="false">IF($C30="","",EDATE($C30,Milestones!$AA$182))</f>
        <v/>
      </c>
      <c r="FS30" s="20" t="str">
        <f aca="false">IF($C30="","",EDATE($C30,Milestones!$AA$183))</f>
        <v/>
      </c>
      <c r="FT30" s="20" t="str">
        <f aca="false">IF($C30="","",EDATE($C30,Milestones!$AA$184))</f>
        <v/>
      </c>
      <c r="FU30" s="20" t="str">
        <f aca="false">IF($C30="","",EDATE($C30,Milestones!$AA$185))</f>
        <v/>
      </c>
      <c r="FV30" s="20" t="str">
        <f aca="false">IF($C30="","",EDATE($C30,Milestones!$AA$186))</f>
        <v/>
      </c>
      <c r="FW30" s="20" t="str">
        <f aca="false">IF($C30="","",EDATE($C30,Milestones!$AA$187))</f>
        <v/>
      </c>
      <c r="FX30" s="20" t="str">
        <f aca="false">IF($C30="","",EDATE($C30,Milestones!$AA$188))</f>
        <v/>
      </c>
      <c r="FY30" s="20" t="str">
        <f aca="false">IF($C30="","",EDATE($C30,Milestones!$AA$189))</f>
        <v/>
      </c>
      <c r="FZ30" s="20" t="str">
        <f aca="false">IF($C30="","",EDATE($C30,Milestones!$AA$190))</f>
        <v/>
      </c>
      <c r="GA30" s="20" t="str">
        <f aca="false">IF($C30="","",EDATE($C30,Milestones!$AA$191))</f>
        <v/>
      </c>
      <c r="GB30" s="20" t="str">
        <f aca="false">IF($C30="","",EDATE($C30,Milestones!$AA$192))</f>
        <v/>
      </c>
      <c r="GC30" s="20" t="str">
        <f aca="false">IF($C30="","",EDATE($C30,Milestones!$AA$193))</f>
        <v/>
      </c>
      <c r="GD30" s="20" t="str">
        <f aca="false">IF($C30="","",EDATE($C30,Milestones!$AA$194))</f>
        <v/>
      </c>
      <c r="GE30" s="20" t="str">
        <f aca="false">IF($C30="","",EDATE($C30,Milestones!$AA$195))</f>
        <v/>
      </c>
      <c r="GF30" s="20" t="str">
        <f aca="false">IF($C30="","",EDATE($C30,Milestones!$AA$196))</f>
        <v/>
      </c>
      <c r="GG30" s="20" t="str">
        <f aca="false">IF($C30="","",EDATE($C30,Milestones!$AA$197))</f>
        <v/>
      </c>
      <c r="GH30" s="20" t="str">
        <f aca="false">IF($C30="","",EDATE($C30,Milestones!$AA$198))</f>
        <v/>
      </c>
      <c r="GI30" s="20" t="str">
        <f aca="false">IF($C30="","",EDATE($C30,Milestones!$AA$199))</f>
        <v/>
      </c>
    </row>
    <row r="31" customFormat="false" ht="15" hidden="false" customHeight="false" outlineLevel="0" collapsed="false">
      <c r="K31" s="0" t="s">
        <v>263</v>
      </c>
      <c r="L31" s="0" t="str">
        <f aca="false">IF(L30="","",IF($D30=0,$J30,IF(AND($F30&lt;&gt;"",L30&gt;=$F30),$I30,IF(AND($E30&lt;&gt;"",L30&gt;=$E30),$H30,$G30))))</f>
        <v/>
      </c>
      <c r="M31" s="0" t="str">
        <f aca="false">IF(M30="","",IF($D30=0,$J30,IF(AND($F30&lt;&gt;"",M30&gt;=$F30),$I30,IF(AND($E30&lt;&gt;"",M30&gt;=$E30),$H30,$G30))))</f>
        <v/>
      </c>
      <c r="N31" s="0" t="str">
        <f aca="false">IF(N30="","",IF($D30=0,$J30,IF(AND($F30&lt;&gt;"",N30&gt;=$F30),$I30,IF(AND($E30&lt;&gt;"",N30&gt;=$E30),$H30,$G30))))</f>
        <v/>
      </c>
      <c r="O31" s="0" t="str">
        <f aca="false">IF(O30="","",IF($D30=0,$J30,IF(AND($F30&lt;&gt;"",O30&gt;=$F30),$I30,IF(AND($E30&lt;&gt;"",O30&gt;=$E30),$H30,$G30))))</f>
        <v/>
      </c>
      <c r="P31" s="0" t="str">
        <f aca="false">IF(P30="","",IF($D30=0,$J30,IF(AND($F30&lt;&gt;"",P30&gt;=$F30),$I30,IF(AND($E30&lt;&gt;"",P30&gt;=$E30),$H30,$G30))))</f>
        <v/>
      </c>
      <c r="Q31" s="0" t="str">
        <f aca="false">IF(Q30="","",IF($D30=0,$J30,IF(AND($F30&lt;&gt;"",Q30&gt;=$F30),$I30,IF(AND($E30&lt;&gt;"",Q30&gt;=$E30),$H30,$G30))))</f>
        <v/>
      </c>
      <c r="R31" s="0" t="str">
        <f aca="false">IF(R30="","",IF($D30=0,$J30,IF(AND($F30&lt;&gt;"",R30&gt;=$F30),$I30,IF(AND($E30&lt;&gt;"",R30&gt;=$E30),$H30,$G30))))</f>
        <v/>
      </c>
      <c r="S31" s="0" t="str">
        <f aca="false">IF(S30="","",IF($D30=0,$J30,IF(AND($F30&lt;&gt;"",S30&gt;=$F30),$I30,IF(AND($E30&lt;&gt;"",S30&gt;=$E30),$H30,$G30))))</f>
        <v/>
      </c>
      <c r="T31" s="0" t="str">
        <f aca="false">IF(T30="","",IF($D30=0,$J30,IF(AND($F30&lt;&gt;"",T30&gt;=$F30),$I30,IF(AND($E30&lt;&gt;"",T30&gt;=$E30),$H30,$G30))))</f>
        <v/>
      </c>
      <c r="U31" s="0" t="str">
        <f aca="false">IF(U30="","",IF($D30=0,$J30,IF(AND($F30&lt;&gt;"",U30&gt;=$F30),$I30,IF(AND($E30&lt;&gt;"",U30&gt;=$E30),$H30,$G30))))</f>
        <v/>
      </c>
      <c r="V31" s="0" t="str">
        <f aca="false">IF(V30="","",IF($D30=0,$J30,IF(AND($F30&lt;&gt;"",V30&gt;=$F30),$I30,IF(AND($E30&lt;&gt;"",V30&gt;=$E30),$H30,$G30))))</f>
        <v/>
      </c>
      <c r="W31" s="0" t="str">
        <f aca="false">IF(W30="","",IF($D30=0,$J30,IF(AND($F30&lt;&gt;"",W30&gt;=$F30),$I30,IF(AND($E30&lt;&gt;"",W30&gt;=$E30),$H30,$G30))))</f>
        <v/>
      </c>
      <c r="X31" s="0" t="str">
        <f aca="false">IF(X30="","",IF($D30=0,$J30,IF(AND($F30&lt;&gt;"",X30&gt;=$F30),$I30,IF(AND($E30&lt;&gt;"",X30&gt;=$E30),$H30,$G30))))</f>
        <v/>
      </c>
      <c r="Y31" s="0" t="str">
        <f aca="false">IF(Y30="","",IF($D30=0,$J30,IF(AND($F30&lt;&gt;"",Y30&gt;=$F30),$I30,IF(AND($E30&lt;&gt;"",Y30&gt;=$E30),$H30,$G30))))</f>
        <v/>
      </c>
      <c r="Z31" s="0" t="str">
        <f aca="false">IF(Z30="","",IF($D30=0,$J30,IF(AND($F30&lt;&gt;"",Z30&gt;=$F30),$I30,IF(AND($E30&lt;&gt;"",Z30&gt;=$E30),$H30,$G30))))</f>
        <v/>
      </c>
      <c r="AA31" s="0" t="str">
        <f aca="false">IF(AA30="","",IF($D30=0,$J30,IF(AND($F30&lt;&gt;"",AA30&gt;=$F30),$I30,IF(AND($E30&lt;&gt;"",AA30&gt;=$E30),$H30,$G30))))</f>
        <v/>
      </c>
      <c r="AB31" s="0" t="str">
        <f aca="false">IF(AB30="","",IF($D30=0,$J30,IF(AND($F30&lt;&gt;"",AB30&gt;=$F30),$I30,IF(AND($E30&lt;&gt;"",AB30&gt;=$E30),$H30,$G30))))</f>
        <v/>
      </c>
      <c r="AC31" s="0" t="str">
        <f aca="false">IF(AC30="","",IF($D30=0,$J30,IF(AND($F30&lt;&gt;"",AC30&gt;=$F30),$I30,IF(AND($E30&lt;&gt;"",AC30&gt;=$E30),$H30,$G30))))</f>
        <v/>
      </c>
      <c r="AD31" s="0" t="str">
        <f aca="false">IF(AD30="","",IF($D30=0,$J30,IF(AND($F30&lt;&gt;"",AD30&gt;=$F30),$I30,IF(AND($E30&lt;&gt;"",AD30&gt;=$E30),$H30,$G30))))</f>
        <v/>
      </c>
      <c r="AE31" s="0" t="str">
        <f aca="false">IF(AE30="","",IF($D30=0,$J30,IF(AND($F30&lt;&gt;"",AE30&gt;=$F30),$I30,IF(AND($E30&lt;&gt;"",AE30&gt;=$E30),$H30,$G30))))</f>
        <v/>
      </c>
      <c r="AF31" s="0" t="str">
        <f aca="false">IF(AF30="","",IF($D30=0,$J30,IF(AND($F30&lt;&gt;"",AF30&gt;=$F30),$I30,IF(AND($E30&lt;&gt;"",AF30&gt;=$E30),$H30,$G30))))</f>
        <v/>
      </c>
      <c r="AG31" s="0" t="str">
        <f aca="false">IF(AG30="","",IF($D30=0,$J30,IF(AND($F30&lt;&gt;"",AG30&gt;=$F30),$I30,IF(AND($E30&lt;&gt;"",AG30&gt;=$E30),$H30,$G30))))</f>
        <v/>
      </c>
      <c r="AH31" s="0" t="str">
        <f aca="false">IF(AH30="","",IF($D30=0,$J30,IF(AND($F30&lt;&gt;"",AH30&gt;=$F30),$I30,IF(AND($E30&lt;&gt;"",AH30&gt;=$E30),$H30,$G30))))</f>
        <v/>
      </c>
      <c r="AI31" s="0" t="str">
        <f aca="false">IF(AI30="","",IF($D30=0,$J30,IF(AND($F30&lt;&gt;"",AI30&gt;=$F30),$I30,IF(AND($E30&lt;&gt;"",AI30&gt;=$E30),$H30,$G30))))</f>
        <v/>
      </c>
      <c r="AJ31" s="0" t="str">
        <f aca="false">IF(AJ30="","",IF($D30=0,$J30,IF(AND($F30&lt;&gt;"",AJ30&gt;=$F30),$I30,IF(AND($E30&lt;&gt;"",AJ30&gt;=$E30),$H30,$G30))))</f>
        <v/>
      </c>
      <c r="AK31" s="0" t="str">
        <f aca="false">IF(AK30="","",IF($D30=0,$J30,IF(AND($F30&lt;&gt;"",AK30&gt;=$F30),$I30,IF(AND($E30&lt;&gt;"",AK30&gt;=$E30),$H30,$G30))))</f>
        <v/>
      </c>
      <c r="AL31" s="0" t="str">
        <f aca="false">IF(AL30="","",IF($D30=0,$J30,IF(AND($F30&lt;&gt;"",AL30&gt;=$F30),$I30,IF(AND($E30&lt;&gt;"",AL30&gt;=$E30),$H30,$G30))))</f>
        <v/>
      </c>
      <c r="AM31" s="0" t="str">
        <f aca="false">IF(AM30="","",IF($D30=0,$J30,IF(AND($F30&lt;&gt;"",AM30&gt;=$F30),$I30,IF(AND($E30&lt;&gt;"",AM30&gt;=$E30),$H30,$G30))))</f>
        <v/>
      </c>
      <c r="AN31" s="0" t="str">
        <f aca="false">IF(AN30="","",IF($D30=0,$J30,IF(AND($F30&lt;&gt;"",AN30&gt;=$F30),$I30,IF(AND($E30&lt;&gt;"",AN30&gt;=$E30),$H30,$G30))))</f>
        <v/>
      </c>
      <c r="AO31" s="0" t="str">
        <f aca="false">IF(AO30="","",IF($D30=0,$J30,IF(AND($F30&lt;&gt;"",AO30&gt;=$F30),$I30,IF(AND($E30&lt;&gt;"",AO30&gt;=$E30),$H30,$G30))))</f>
        <v/>
      </c>
      <c r="AP31" s="0" t="str">
        <f aca="false">IF(AP30="","",IF($D30=0,$J30,IF(AND($F30&lt;&gt;"",AP30&gt;=$F30),$I30,IF(AND($E30&lt;&gt;"",AP30&gt;=$E30),$H30,$G30))))</f>
        <v/>
      </c>
      <c r="AQ31" s="0" t="str">
        <f aca="false">IF(AQ30="","",IF($D30=0,$J30,IF(AND($F30&lt;&gt;"",AQ30&gt;=$F30),$I30,IF(AND($E30&lt;&gt;"",AQ30&gt;=$E30),$H30,$G30))))</f>
        <v/>
      </c>
      <c r="AR31" s="0" t="str">
        <f aca="false">IF(AR30="","",IF($D30=0,$J30,IF(AND($F30&lt;&gt;"",AR30&gt;=$F30),$I30,IF(AND($E30&lt;&gt;"",AR30&gt;=$E30),$H30,$G30))))</f>
        <v/>
      </c>
      <c r="AS31" s="0" t="str">
        <f aca="false">IF(AS30="","",IF($D30=0,$J30,IF(AND($F30&lt;&gt;"",AS30&gt;=$F30),$I30,IF(AND($E30&lt;&gt;"",AS30&gt;=$E30),$H30,$G30))))</f>
        <v/>
      </c>
      <c r="AT31" s="0" t="str">
        <f aca="false">IF(AT30="","",IF($D30=0,$J30,IF(AND($F30&lt;&gt;"",AT30&gt;=$F30),$I30,IF(AND($E30&lt;&gt;"",AT30&gt;=$E30),$H30,$G30))))</f>
        <v/>
      </c>
      <c r="AU31" s="0" t="str">
        <f aca="false">IF(AU30="","",IF($D30=0,$J30,IF(AND($F30&lt;&gt;"",AU30&gt;=$F30),$I30,IF(AND($E30&lt;&gt;"",AU30&gt;=$E30),$H30,$G30))))</f>
        <v/>
      </c>
      <c r="AV31" s="0" t="str">
        <f aca="false">IF(AV30="","",IF($D30=0,$J30,IF(AND($F30&lt;&gt;"",AV30&gt;=$F30),$I30,IF(AND($E30&lt;&gt;"",AV30&gt;=$E30),$H30,$G30))))</f>
        <v/>
      </c>
      <c r="AW31" s="0" t="str">
        <f aca="false">IF(AW30="","",IF($D30=0,$J30,IF(AND($F30&lt;&gt;"",AW30&gt;=$F30),$I30,IF(AND($E30&lt;&gt;"",AW30&gt;=$E30),$H30,$G30))))</f>
        <v/>
      </c>
      <c r="AX31" s="0" t="str">
        <f aca="false">IF(AX30="","",IF($D30=0,$J30,IF(AND($F30&lt;&gt;"",AX30&gt;=$F30),$I30,IF(AND($E30&lt;&gt;"",AX30&gt;=$E30),$H30,$G30))))</f>
        <v/>
      </c>
      <c r="AY31" s="0" t="str">
        <f aca="false">IF(AY30="","",IF($D30=0,$J30,IF(AND($F30&lt;&gt;"",AY30&gt;=$F30),$I30,IF(AND($E30&lt;&gt;"",AY30&gt;=$E30),$H30,$G30))))</f>
        <v/>
      </c>
      <c r="AZ31" s="0" t="str">
        <f aca="false">IF(AZ30="","",IF($D30=0,$J30,IF(AND($F30&lt;&gt;"",AZ30&gt;=$F30),$I30,IF(AND($E30&lt;&gt;"",AZ30&gt;=$E30),$H30,$G30))))</f>
        <v/>
      </c>
      <c r="BA31" s="0" t="str">
        <f aca="false">IF(BA30="","",IF($D30=0,$J30,IF(AND($F30&lt;&gt;"",BA30&gt;=$F30),$I30,IF(AND($E30&lt;&gt;"",BA30&gt;=$E30),$H30,$G30))))</f>
        <v/>
      </c>
      <c r="BB31" s="0" t="str">
        <f aca="false">IF(BB30="","",IF($D30=0,$J30,IF(AND($F30&lt;&gt;"",BB30&gt;=$F30),$I30,IF(AND($E30&lt;&gt;"",BB30&gt;=$E30),$H30,$G30))))</f>
        <v/>
      </c>
      <c r="BC31" s="0" t="str">
        <f aca="false">IF(BC30="","",IF($D30=0,$J30,IF(AND($F30&lt;&gt;"",BC30&gt;=$F30),$I30,IF(AND($E30&lt;&gt;"",BC30&gt;=$E30),$H30,$G30))))</f>
        <v/>
      </c>
      <c r="BD31" s="0" t="str">
        <f aca="false">IF(BD30="","",IF($D30=0,$J30,IF(AND($F30&lt;&gt;"",BD30&gt;=$F30),$I30,IF(AND($E30&lt;&gt;"",BD30&gt;=$E30),$H30,$G30))))</f>
        <v/>
      </c>
      <c r="BE31" s="0" t="str">
        <f aca="false">IF(BE30="","",IF($D30=0,$J30,IF(AND($F30&lt;&gt;"",BE30&gt;=$F30),$I30,IF(AND($E30&lt;&gt;"",BE30&gt;=$E30),$H30,$G30))))</f>
        <v/>
      </c>
      <c r="BF31" s="0" t="str">
        <f aca="false">IF(BF30="","",IF($D30=0,$J30,IF(AND($F30&lt;&gt;"",BF30&gt;=$F30),$I30,IF(AND($E30&lt;&gt;"",BF30&gt;=$E30),$H30,$G30))))</f>
        <v/>
      </c>
      <c r="BG31" s="0" t="str">
        <f aca="false">IF(BG30="","",IF($D30=0,$J30,IF(AND($F30&lt;&gt;"",BG30&gt;=$F30),$I30,IF(AND($E30&lt;&gt;"",BG30&gt;=$E30),$H30,$G30))))</f>
        <v/>
      </c>
      <c r="BH31" s="0" t="str">
        <f aca="false">IF(BH30="","",IF($D30=0,$J30,IF(AND($F30&lt;&gt;"",BH30&gt;=$F30),$I30,IF(AND($E30&lt;&gt;"",BH30&gt;=$E30),$H30,$G30))))</f>
        <v/>
      </c>
      <c r="BI31" s="0" t="str">
        <f aca="false">IF(BI30="","",IF($D30=0,$J30,IF(AND($F30&lt;&gt;"",BI30&gt;=$F30),$I30,IF(AND($E30&lt;&gt;"",BI30&gt;=$E30),$H30,$G30))))</f>
        <v/>
      </c>
      <c r="BJ31" s="0" t="str">
        <f aca="false">IF(BJ30="","",IF($D30=0,$J30,IF(AND($F30&lt;&gt;"",BJ30&gt;=$F30),$I30,IF(AND($E30&lt;&gt;"",BJ30&gt;=$E30),$H30,$G30))))</f>
        <v/>
      </c>
      <c r="BK31" s="0" t="str">
        <f aca="false">IF(BK30="","",IF($D30=0,$J30,IF(AND($F30&lt;&gt;"",BK30&gt;=$F30),$I30,IF(AND($E30&lt;&gt;"",BK30&gt;=$E30),$H30,$G30))))</f>
        <v/>
      </c>
      <c r="BL31" s="0" t="str">
        <f aca="false">IF(BL30="","",IF($D30=0,$J30,IF(AND($F30&lt;&gt;"",BL30&gt;=$F30),$I30,IF(AND($E30&lt;&gt;"",BL30&gt;=$E30),$H30,$G30))))</f>
        <v/>
      </c>
      <c r="BM31" s="0" t="str">
        <f aca="false">IF(BM30="","",IF($D30=0,$J30,IF(AND($F30&lt;&gt;"",BM30&gt;=$F30),$I30,IF(AND($E30&lt;&gt;"",BM30&gt;=$E30),$H30,$G30))))</f>
        <v/>
      </c>
      <c r="BN31" s="0" t="str">
        <f aca="false">IF(BN30="","",IF($D30=0,$J30,IF(AND($F30&lt;&gt;"",BN30&gt;=$F30),$I30,IF(AND($E30&lt;&gt;"",BN30&gt;=$E30),$H30,$G30))))</f>
        <v/>
      </c>
      <c r="BO31" s="0" t="str">
        <f aca="false">IF(BO30="","",IF($D30=0,$J30,IF(AND($F30&lt;&gt;"",BO30&gt;=$F30),$I30,IF(AND($E30&lt;&gt;"",BO30&gt;=$E30),$H30,$G30))))</f>
        <v/>
      </c>
      <c r="BP31" s="0" t="str">
        <f aca="false">IF(BP30="","",IF($D30=0,$J30,IF(AND($F30&lt;&gt;"",BP30&gt;=$F30),$I30,IF(AND($E30&lt;&gt;"",BP30&gt;=$E30),$H30,$G30))))</f>
        <v/>
      </c>
      <c r="BQ31" s="0" t="str">
        <f aca="false">IF(BQ30="","",IF($D30=0,$J30,IF(AND($F30&lt;&gt;"",BQ30&gt;=$F30),$I30,IF(AND($E30&lt;&gt;"",BQ30&gt;=$E30),$H30,$G30))))</f>
        <v/>
      </c>
      <c r="BR31" s="0" t="str">
        <f aca="false">IF(BR30="","",IF($D30=0,$J30,IF(AND($F30&lt;&gt;"",BR30&gt;=$F30),$I30,IF(AND($E30&lt;&gt;"",BR30&gt;=$E30),$H30,$G30))))</f>
        <v/>
      </c>
      <c r="BS31" s="0" t="str">
        <f aca="false">IF(BS30="","",IF($D30=0,$J30,IF(AND($F30&lt;&gt;"",BS30&gt;=$F30),$I30,IF(AND($E30&lt;&gt;"",BS30&gt;=$E30),$H30,$G30))))</f>
        <v/>
      </c>
      <c r="BT31" s="0" t="str">
        <f aca="false">IF(BT30="","",IF($D30=0,$J30,IF(AND($F30&lt;&gt;"",BT30&gt;=$F30),$I30,IF(AND($E30&lt;&gt;"",BT30&gt;=$E30),$H30,$G30))))</f>
        <v/>
      </c>
      <c r="BU31" s="0" t="str">
        <f aca="false">IF(BU30="","",IF($D30=0,$J30,IF(AND($F30&lt;&gt;"",BU30&gt;=$F30),$I30,IF(AND($E30&lt;&gt;"",BU30&gt;=$E30),$H30,$G30))))</f>
        <v/>
      </c>
      <c r="BV31" s="0" t="str">
        <f aca="false">IF(BV30="","",IF($D30=0,$J30,IF(AND($F30&lt;&gt;"",BV30&gt;=$F30),$I30,IF(AND($E30&lt;&gt;"",BV30&gt;=$E30),$H30,$G30))))</f>
        <v/>
      </c>
      <c r="BW31" s="0" t="str">
        <f aca="false">IF(BW30="","",IF($D30=0,$J30,IF(AND($F30&lt;&gt;"",BW30&gt;=$F30),$I30,IF(AND($E30&lt;&gt;"",BW30&gt;=$E30),$H30,$G30))))</f>
        <v/>
      </c>
      <c r="BX31" s="0" t="str">
        <f aca="false">IF(BX30="","",IF($D30=0,$J30,IF(AND($F30&lt;&gt;"",BX30&gt;=$F30),$I30,IF(AND($E30&lt;&gt;"",BX30&gt;=$E30),$H30,$G30))))</f>
        <v/>
      </c>
      <c r="BY31" s="0" t="str">
        <f aca="false">IF(BY30="","",IF($D30=0,$J30,IF(AND($F30&lt;&gt;"",BY30&gt;=$F30),$I30,IF(AND($E30&lt;&gt;"",BY30&gt;=$E30),$H30,$G30))))</f>
        <v/>
      </c>
      <c r="BZ31" s="0" t="str">
        <f aca="false">IF(BZ30="","",IF($D30=0,$J30,IF(AND($F30&lt;&gt;"",BZ30&gt;=$F30),$I30,IF(AND($E30&lt;&gt;"",BZ30&gt;=$E30),$H30,$G30))))</f>
        <v/>
      </c>
      <c r="CA31" s="0" t="str">
        <f aca="false">IF(CA30="","",IF($D30=0,$J30,IF(AND($F30&lt;&gt;"",CA30&gt;=$F30),$I30,IF(AND($E30&lt;&gt;"",CA30&gt;=$E30),$H30,$G30))))</f>
        <v/>
      </c>
      <c r="CB31" s="0" t="str">
        <f aca="false">IF(CB30="","",IF($D30=0,$J30,IF(AND($F30&lt;&gt;"",CB30&gt;=$F30),$I30,IF(AND($E30&lt;&gt;"",CB30&gt;=$E30),$H30,$G30))))</f>
        <v/>
      </c>
      <c r="CC31" s="0" t="str">
        <f aca="false">IF(CC30="","",IF($D30=0,$J30,IF(AND($F30&lt;&gt;"",CC30&gt;=$F30),$I30,IF(AND($E30&lt;&gt;"",CC30&gt;=$E30),$H30,$G30))))</f>
        <v/>
      </c>
      <c r="CD31" s="0" t="str">
        <f aca="false">IF(CD30="","",IF($D30=0,$J30,IF(AND($F30&lt;&gt;"",CD30&gt;=$F30),$I30,IF(AND($E30&lt;&gt;"",CD30&gt;=$E30),$H30,$G30))))</f>
        <v/>
      </c>
      <c r="CE31" s="0" t="str">
        <f aca="false">IF(CE30="","",IF($D30=0,$J30,IF(AND($F30&lt;&gt;"",CE30&gt;=$F30),$I30,IF(AND($E30&lt;&gt;"",CE30&gt;=$E30),$H30,$G30))))</f>
        <v/>
      </c>
      <c r="CF31" s="0" t="str">
        <f aca="false">IF(CF30="","",IF($D30=0,$J30,IF(AND($F30&lt;&gt;"",CF30&gt;=$F30),$I30,IF(AND($E30&lt;&gt;"",CF30&gt;=$E30),$H30,$G30))))</f>
        <v/>
      </c>
      <c r="CG31" s="0" t="str">
        <f aca="false">IF(CG30="","",IF($D30=0,$J30,IF(AND($F30&lt;&gt;"",CG30&gt;=$F30),$I30,IF(AND($E30&lt;&gt;"",CG30&gt;=$E30),$H30,$G30))))</f>
        <v/>
      </c>
      <c r="CH31" s="0" t="str">
        <f aca="false">IF(CH30="","",IF($D30=0,$J30,IF(AND($F30&lt;&gt;"",CH30&gt;=$F30),$I30,IF(AND($E30&lt;&gt;"",CH30&gt;=$E30),$H30,$G30))))</f>
        <v/>
      </c>
      <c r="CI31" s="0" t="str">
        <f aca="false">IF(CI30="","",IF($D30=0,$J30,IF(AND($F30&lt;&gt;"",CI30&gt;=$F30),$I30,IF(AND($E30&lt;&gt;"",CI30&gt;=$E30),$H30,$G30))))</f>
        <v/>
      </c>
      <c r="CJ31" s="0" t="str">
        <f aca="false">IF(CJ30="","",IF($D30=0,$J30,IF(AND($F30&lt;&gt;"",CJ30&gt;=$F30),$I30,IF(AND($E30&lt;&gt;"",CJ30&gt;=$E30),$H30,$G30))))</f>
        <v/>
      </c>
      <c r="CK31" s="0" t="str">
        <f aca="false">IF(CK30="","",IF($D30=0,$J30,IF(AND($F30&lt;&gt;"",CK30&gt;=$F30),$I30,IF(AND($E30&lt;&gt;"",CK30&gt;=$E30),$H30,$G30))))</f>
        <v/>
      </c>
      <c r="CL31" s="0" t="str">
        <f aca="false">IF(CL30="","",IF($D30=0,$J30,IF(AND($F30&lt;&gt;"",CL30&gt;=$F30),$I30,IF(AND($E30&lt;&gt;"",CL30&gt;=$E30),$H30,$G30))))</f>
        <v/>
      </c>
      <c r="CM31" s="0" t="str">
        <f aca="false">IF(CM30="","",IF($D30=0,$J30,IF(AND($F30&lt;&gt;"",CM30&gt;=$F30),$I30,IF(AND($E30&lt;&gt;"",CM30&gt;=$E30),$H30,$G30))))</f>
        <v/>
      </c>
      <c r="CN31" s="0" t="str">
        <f aca="false">IF(CN30="","",IF($D30=0,$J30,IF(AND($F30&lt;&gt;"",CN30&gt;=$F30),$I30,IF(AND($E30&lt;&gt;"",CN30&gt;=$E30),$H30,$G30))))</f>
        <v/>
      </c>
      <c r="CO31" s="0" t="str">
        <f aca="false">IF(CO30="","",IF($D30=0,$J30,IF(AND($F30&lt;&gt;"",CO30&gt;=$F30),$I30,IF(AND($E30&lt;&gt;"",CO30&gt;=$E30),$H30,$G30))))</f>
        <v/>
      </c>
      <c r="CP31" s="0" t="str">
        <f aca="false">IF(CP30="","",IF($D30=0,$J30,IF(AND($F30&lt;&gt;"",CP30&gt;=$F30),$I30,IF(AND($E30&lt;&gt;"",CP30&gt;=$E30),$H30,$G30))))</f>
        <v/>
      </c>
      <c r="CQ31" s="0" t="str">
        <f aca="false">IF(CQ30="","",IF($D30=0,$J30,IF(AND($F30&lt;&gt;"",CQ30&gt;=$F30),$I30,IF(AND($E30&lt;&gt;"",CQ30&gt;=$E30),$H30,$G30))))</f>
        <v/>
      </c>
      <c r="CR31" s="0" t="str">
        <f aca="false">IF(CR30="","",IF($D30=0,$J30,IF(AND($F30&lt;&gt;"",CR30&gt;=$F30),$I30,IF(AND($E30&lt;&gt;"",CR30&gt;=$E30),$H30,$G30))))</f>
        <v/>
      </c>
      <c r="CS31" s="0" t="str">
        <f aca="false">IF(CS30="","",IF($D30=0,$J30,IF(AND($F30&lt;&gt;"",CS30&gt;=$F30),$I30,IF(AND($E30&lt;&gt;"",CS30&gt;=$E30),$H30,$G30))))</f>
        <v/>
      </c>
      <c r="CT31" s="0" t="str">
        <f aca="false">IF(CT30="","",IF($D30=0,$J30,IF(AND($F30&lt;&gt;"",CT30&gt;=$F30),$I30,IF(AND($E30&lt;&gt;"",CT30&gt;=$E30),$H30,$G30))))</f>
        <v/>
      </c>
      <c r="CU31" s="0" t="str">
        <f aca="false">IF(CU30="","",IF($D30=0,$J30,IF(AND($F30&lt;&gt;"",CU30&gt;=$F30),$I30,IF(AND($E30&lt;&gt;"",CU30&gt;=$E30),$H30,$G30))))</f>
        <v/>
      </c>
      <c r="CV31" s="0" t="str">
        <f aca="false">IF(CV30="","",IF($D30=0,$J30,IF(AND($F30&lt;&gt;"",CV30&gt;=$F30),$I30,IF(AND($E30&lt;&gt;"",CV30&gt;=$E30),$H30,$G30))))</f>
        <v/>
      </c>
      <c r="CW31" s="0" t="str">
        <f aca="false">IF(CW30="","",IF($D30=0,$J30,IF(AND($F30&lt;&gt;"",CW30&gt;=$F30),$I30,IF(AND($E30&lt;&gt;"",CW30&gt;=$E30),$H30,$G30))))</f>
        <v/>
      </c>
      <c r="CX31" s="0" t="str">
        <f aca="false">IF(CX30="","",IF($D30=0,$J30,IF(AND($F30&lt;&gt;"",CX30&gt;=$F30),$I30,IF(AND($E30&lt;&gt;"",CX30&gt;=$E30),$H30,$G30))))</f>
        <v/>
      </c>
      <c r="CY31" s="0" t="str">
        <f aca="false">IF(CY30="","",IF($D30=0,$J30,IF(AND($F30&lt;&gt;"",CY30&gt;=$F30),$I30,IF(AND($E30&lt;&gt;"",CY30&gt;=$E30),$H30,$G30))))</f>
        <v/>
      </c>
      <c r="CZ31" s="0" t="str">
        <f aca="false">IF(CZ30="","",IF($D30=0,$J30,IF(AND($F30&lt;&gt;"",CZ30&gt;=$F30),$I30,IF(AND($E30&lt;&gt;"",CZ30&gt;=$E30),$H30,$G30))))</f>
        <v/>
      </c>
      <c r="DA31" s="0" t="str">
        <f aca="false">IF(DA30="","",IF($D30=0,$J30,IF(AND($F30&lt;&gt;"",DA30&gt;=$F30),$I30,IF(AND($E30&lt;&gt;"",DA30&gt;=$E30),$H30,$G30))))</f>
        <v/>
      </c>
      <c r="DB31" s="0" t="str">
        <f aca="false">IF(DB30="","",IF($D30=0,$J30,IF(AND($F30&lt;&gt;"",DB30&gt;=$F30),$I30,IF(AND($E30&lt;&gt;"",DB30&gt;=$E30),$H30,$G30))))</f>
        <v/>
      </c>
      <c r="DC31" s="0" t="str">
        <f aca="false">IF(DC30="","",IF($D30=0,$J30,IF(AND($F30&lt;&gt;"",DC30&gt;=$F30),$I30,IF(AND($E30&lt;&gt;"",DC30&gt;=$E30),$H30,$G30))))</f>
        <v/>
      </c>
      <c r="DD31" s="0" t="str">
        <f aca="false">IF(DD30="","",IF($D30=0,$J30,IF(AND($F30&lt;&gt;"",DD30&gt;=$F30),$I30,IF(AND($E30&lt;&gt;"",DD30&gt;=$E30),$H30,$G30))))</f>
        <v/>
      </c>
      <c r="DE31" s="0" t="str">
        <f aca="false">IF(DE30="","",IF($D30=0,$J30,IF(AND($F30&lt;&gt;"",DE30&gt;=$F30),$I30,IF(AND($E30&lt;&gt;"",DE30&gt;=$E30),$H30,$G30))))</f>
        <v/>
      </c>
      <c r="DF31" s="0" t="str">
        <f aca="false">IF(DF30="","",IF($D30=0,$J30,IF(AND($F30&lt;&gt;"",DF30&gt;=$F30),$I30,IF(AND($E30&lt;&gt;"",DF30&gt;=$E30),$H30,$G30))))</f>
        <v/>
      </c>
      <c r="DG31" s="0" t="str">
        <f aca="false">IF(DG30="","",IF($D30=0,$J30,IF(AND($F30&lt;&gt;"",DG30&gt;=$F30),$I30,IF(AND($E30&lt;&gt;"",DG30&gt;=$E30),$H30,$G30))))</f>
        <v/>
      </c>
      <c r="DH31" s="0" t="str">
        <f aca="false">IF(DH30="","",IF($D30=0,$J30,IF(AND($F30&lt;&gt;"",DH30&gt;=$F30),$I30,IF(AND($E30&lt;&gt;"",DH30&gt;=$E30),$H30,$G30))))</f>
        <v/>
      </c>
      <c r="DI31" s="0" t="str">
        <f aca="false">IF(DI30="","",IF($D30=0,$J30,IF(AND($F30&lt;&gt;"",DI30&gt;=$F30),$I30,IF(AND($E30&lt;&gt;"",DI30&gt;=$E30),$H30,$G30))))</f>
        <v/>
      </c>
      <c r="DJ31" s="0" t="str">
        <f aca="false">IF(DJ30="","",IF($D30=0,$J30,IF(AND($F30&lt;&gt;"",DJ30&gt;=$F30),$I30,IF(AND($E30&lt;&gt;"",DJ30&gt;=$E30),$H30,$G30))))</f>
        <v/>
      </c>
      <c r="DK31" s="0" t="str">
        <f aca="false">IF(DK30="","",IF($D30=0,$J30,IF(AND($F30&lt;&gt;"",DK30&gt;=$F30),$I30,IF(AND($E30&lt;&gt;"",DK30&gt;=$E30),$H30,$G30))))</f>
        <v/>
      </c>
      <c r="DL31" s="0" t="str">
        <f aca="false">IF(DL30="","",IF($D30=0,$J30,IF(AND($F30&lt;&gt;"",DL30&gt;=$F30),$I30,IF(AND($E30&lt;&gt;"",DL30&gt;=$E30),$H30,$G30))))</f>
        <v/>
      </c>
      <c r="DM31" s="0" t="str">
        <f aca="false">IF(DM30="","",IF($D30=0,$J30,IF(AND($F30&lt;&gt;"",DM30&gt;=$F30),$I30,IF(AND($E30&lt;&gt;"",DM30&gt;=$E30),$H30,$G30))))</f>
        <v/>
      </c>
      <c r="DN31" s="0" t="str">
        <f aca="false">IF(DN30="","",IF($D30=0,$J30,IF(AND($F30&lt;&gt;"",DN30&gt;=$F30),$I30,IF(AND($E30&lt;&gt;"",DN30&gt;=$E30),$H30,$G30))))</f>
        <v/>
      </c>
      <c r="DO31" s="0" t="str">
        <f aca="false">IF(DO30="","",IF($D30=0,$J30,IF(AND($F30&lt;&gt;"",DO30&gt;=$F30),$I30,IF(AND($E30&lt;&gt;"",DO30&gt;=$E30),$H30,$G30))))</f>
        <v/>
      </c>
      <c r="DP31" s="0" t="str">
        <f aca="false">IF(DP30="","",IF($D30=0,$J30,IF(AND($F30&lt;&gt;"",DP30&gt;=$F30),$I30,IF(AND($E30&lt;&gt;"",DP30&gt;=$E30),$H30,$G30))))</f>
        <v/>
      </c>
      <c r="DQ31" s="0" t="str">
        <f aca="false">IF(DQ30="","",IF($D30=0,$J30,IF(AND($F30&lt;&gt;"",DQ30&gt;=$F30),$I30,IF(AND($E30&lt;&gt;"",DQ30&gt;=$E30),$H30,$G30))))</f>
        <v/>
      </c>
      <c r="DR31" s="0" t="str">
        <f aca="false">IF(DR30="","",IF($D30=0,$J30,IF(AND($F30&lt;&gt;"",DR30&gt;=$F30),$I30,IF(AND($E30&lt;&gt;"",DR30&gt;=$E30),$H30,$G30))))</f>
        <v/>
      </c>
      <c r="DS31" s="0" t="str">
        <f aca="false">IF(DS30="","",IF($D30=0,$J30,IF(AND($F30&lt;&gt;"",DS30&gt;=$F30),$I30,IF(AND($E30&lt;&gt;"",DS30&gt;=$E30),$H30,$G30))))</f>
        <v/>
      </c>
      <c r="DT31" s="0" t="str">
        <f aca="false">IF(DT30="","",IF($D30=0,$J30,IF(AND($F30&lt;&gt;"",DT30&gt;=$F30),$I30,IF(AND($E30&lt;&gt;"",DT30&gt;=$E30),$H30,$G30))))</f>
        <v/>
      </c>
      <c r="DU31" s="0" t="str">
        <f aca="false">IF(DU30="","",IF($D30=0,$J30,IF(AND($F30&lt;&gt;"",DU30&gt;=$F30),$I30,IF(AND($E30&lt;&gt;"",DU30&gt;=$E30),$H30,$G30))))</f>
        <v/>
      </c>
      <c r="DV31" s="0" t="str">
        <f aca="false">IF(DV30="","",IF($D30=0,$J30,IF(AND($F30&lt;&gt;"",DV30&gt;=$F30),$I30,IF(AND($E30&lt;&gt;"",DV30&gt;=$E30),$H30,$G30))))</f>
        <v/>
      </c>
      <c r="DW31" s="0" t="str">
        <f aca="false">IF(DW30="","",IF($D30=0,$J30,IF(AND($F30&lt;&gt;"",DW30&gt;=$F30),$I30,IF(AND($E30&lt;&gt;"",DW30&gt;=$E30),$H30,$G30))))</f>
        <v/>
      </c>
      <c r="DX31" s="0" t="str">
        <f aca="false">IF(DX30="","",IF($D30=0,$J30,IF(AND($F30&lt;&gt;"",DX30&gt;=$F30),$I30,IF(AND($E30&lt;&gt;"",DX30&gt;=$E30),$H30,$G30))))</f>
        <v/>
      </c>
      <c r="DY31" s="0" t="str">
        <f aca="false">IF(DY30="","",IF($D30=0,$J30,IF(AND($F30&lt;&gt;"",DY30&gt;=$F30),$I30,IF(AND($E30&lt;&gt;"",DY30&gt;=$E30),$H30,$G30))))</f>
        <v/>
      </c>
      <c r="DZ31" s="0" t="str">
        <f aca="false">IF(DZ30="","",IF($D30=0,$J30,IF(AND($F30&lt;&gt;"",DZ30&gt;=$F30),$I30,IF(AND($E30&lt;&gt;"",DZ30&gt;=$E30),$H30,$G30))))</f>
        <v/>
      </c>
      <c r="EA31" s="0" t="str">
        <f aca="false">IF(EA30="","",IF($D30=0,$J30,IF(AND($F30&lt;&gt;"",EA30&gt;=$F30),$I30,IF(AND($E30&lt;&gt;"",EA30&gt;=$E30),$H30,$G30))))</f>
        <v/>
      </c>
      <c r="EB31" s="0" t="str">
        <f aca="false">IF(EB30="","",IF($D30=0,$J30,IF(AND($F30&lt;&gt;"",EB30&gt;=$F30),$I30,IF(AND($E30&lt;&gt;"",EB30&gt;=$E30),$H30,$G30))))</f>
        <v/>
      </c>
      <c r="EC31" s="0" t="str">
        <f aca="false">IF(EC30="","",IF($D30=0,$J30,IF(AND($F30&lt;&gt;"",EC30&gt;=$F30),$I30,IF(AND($E30&lt;&gt;"",EC30&gt;=$E30),$H30,$G30))))</f>
        <v/>
      </c>
      <c r="ED31" s="0" t="str">
        <f aca="false">IF(ED30="","",IF($D30=0,$J30,IF(AND($F30&lt;&gt;"",ED30&gt;=$F30),$I30,IF(AND($E30&lt;&gt;"",ED30&gt;=$E30),$H30,$G30))))</f>
        <v/>
      </c>
      <c r="EE31" s="0" t="str">
        <f aca="false">IF(EE30="","",IF($D30=0,$J30,IF(AND($F30&lt;&gt;"",EE30&gt;=$F30),$I30,IF(AND($E30&lt;&gt;"",EE30&gt;=$E30),$H30,$G30))))</f>
        <v/>
      </c>
      <c r="EF31" s="0" t="str">
        <f aca="false">IF(EF30="","",IF($D30=0,$J30,IF(AND($F30&lt;&gt;"",EF30&gt;=$F30),$I30,IF(AND($E30&lt;&gt;"",EF30&gt;=$E30),$H30,$G30))))</f>
        <v/>
      </c>
      <c r="EG31" s="0" t="str">
        <f aca="false">IF(EG30="","",IF($D30=0,$J30,IF(AND($F30&lt;&gt;"",EG30&gt;=$F30),$I30,IF(AND($E30&lt;&gt;"",EG30&gt;=$E30),$H30,$G30))))</f>
        <v/>
      </c>
      <c r="EH31" s="0" t="str">
        <f aca="false">IF(EH30="","",IF($D30=0,$J30,IF(AND($F30&lt;&gt;"",EH30&gt;=$F30),$I30,IF(AND($E30&lt;&gt;"",EH30&gt;=$E30),$H30,$G30))))</f>
        <v/>
      </c>
      <c r="EI31" s="0" t="str">
        <f aca="false">IF(EI30="","",IF($D30=0,$J30,IF(AND($F30&lt;&gt;"",EI30&gt;=$F30),$I30,IF(AND($E30&lt;&gt;"",EI30&gt;=$E30),$H30,$G30))))</f>
        <v/>
      </c>
      <c r="EJ31" s="0" t="str">
        <f aca="false">IF(EJ30="","",IF($D30=0,$J30,IF(AND($F30&lt;&gt;"",EJ30&gt;=$F30),$I30,IF(AND($E30&lt;&gt;"",EJ30&gt;=$E30),$H30,$G30))))</f>
        <v/>
      </c>
      <c r="EK31" s="0" t="str">
        <f aca="false">IF(EK30="","",IF($D30=0,$J30,IF(AND($F30&lt;&gt;"",EK30&gt;=$F30),$I30,IF(AND($E30&lt;&gt;"",EK30&gt;=$E30),$H30,$G30))))</f>
        <v/>
      </c>
      <c r="EL31" s="0" t="str">
        <f aca="false">IF(EL30="","",IF($D30=0,$J30,IF(AND($F30&lt;&gt;"",EL30&gt;=$F30),$I30,IF(AND($E30&lt;&gt;"",EL30&gt;=$E30),$H30,$G30))))</f>
        <v/>
      </c>
      <c r="EM31" s="0" t="str">
        <f aca="false">IF(EM30="","",IF($D30=0,$J30,IF(AND($F30&lt;&gt;"",EM30&gt;=$F30),$I30,IF(AND($E30&lt;&gt;"",EM30&gt;=$E30),$H30,$G30))))</f>
        <v/>
      </c>
      <c r="EN31" s="0" t="str">
        <f aca="false">IF(EN30="","",IF($D30=0,$J30,IF(AND($F30&lt;&gt;"",EN30&gt;=$F30),$I30,IF(AND($E30&lt;&gt;"",EN30&gt;=$E30),$H30,$G30))))</f>
        <v/>
      </c>
      <c r="EO31" s="0" t="str">
        <f aca="false">IF(EO30="","",IF($D30=0,$J30,IF(AND($F30&lt;&gt;"",EO30&gt;=$F30),$I30,IF(AND($E30&lt;&gt;"",EO30&gt;=$E30),$H30,$G30))))</f>
        <v/>
      </c>
      <c r="EP31" s="0" t="str">
        <f aca="false">IF(EP30="","",IF($D30=0,$J30,IF(AND($F30&lt;&gt;"",EP30&gt;=$F30),$I30,IF(AND($E30&lt;&gt;"",EP30&gt;=$E30),$H30,$G30))))</f>
        <v/>
      </c>
      <c r="EQ31" s="0" t="str">
        <f aca="false">IF(EQ30="","",IF($D30=0,$J30,IF(AND($F30&lt;&gt;"",EQ30&gt;=$F30),$I30,IF(AND($E30&lt;&gt;"",EQ30&gt;=$E30),$H30,$G30))))</f>
        <v/>
      </c>
      <c r="ER31" s="0" t="str">
        <f aca="false">IF(ER30="","",IF($D30=0,$J30,IF(AND($F30&lt;&gt;"",ER30&gt;=$F30),$I30,IF(AND($E30&lt;&gt;"",ER30&gt;=$E30),$H30,$G30))))</f>
        <v/>
      </c>
      <c r="ES31" s="0" t="str">
        <f aca="false">IF(ES30="","",IF($D30=0,$J30,IF(AND($F30&lt;&gt;"",ES30&gt;=$F30),$I30,IF(AND($E30&lt;&gt;"",ES30&gt;=$E30),$H30,$G30))))</f>
        <v/>
      </c>
      <c r="ET31" s="0" t="str">
        <f aca="false">IF(ET30="","",IF($D30=0,$J30,IF(AND($F30&lt;&gt;"",ET30&gt;=$F30),$I30,IF(AND($E30&lt;&gt;"",ET30&gt;=$E30),$H30,$G30))))</f>
        <v/>
      </c>
      <c r="EU31" s="0" t="str">
        <f aca="false">IF(EU30="","",IF($D30=0,$J30,IF(AND($F30&lt;&gt;"",EU30&gt;=$F30),$I30,IF(AND($E30&lt;&gt;"",EU30&gt;=$E30),$H30,$G30))))</f>
        <v/>
      </c>
      <c r="EV31" s="0" t="str">
        <f aca="false">IF(EV30="","",IF($D30=0,$J30,IF(AND($F30&lt;&gt;"",EV30&gt;=$F30),$I30,IF(AND($E30&lt;&gt;"",EV30&gt;=$E30),$H30,$G30))))</f>
        <v/>
      </c>
      <c r="EW31" s="0" t="str">
        <f aca="false">IF(EW30="","",IF($D30=0,$J30,IF(AND($F30&lt;&gt;"",EW30&gt;=$F30),$I30,IF(AND($E30&lt;&gt;"",EW30&gt;=$E30),$H30,$G30))))</f>
        <v/>
      </c>
      <c r="EX31" s="0" t="str">
        <f aca="false">IF(EX30="","",IF($D30=0,$J30,IF(AND($F30&lt;&gt;"",EX30&gt;=$F30),$I30,IF(AND($E30&lt;&gt;"",EX30&gt;=$E30),$H30,$G30))))</f>
        <v/>
      </c>
      <c r="EY31" s="0" t="str">
        <f aca="false">IF(EY30="","",IF($D30=0,$J30,IF(AND($F30&lt;&gt;"",EY30&gt;=$F30),$I30,IF(AND($E30&lt;&gt;"",EY30&gt;=$E30),$H30,$G30))))</f>
        <v/>
      </c>
      <c r="EZ31" s="0" t="str">
        <f aca="false">IF(EZ30="","",IF($D30=0,$J30,IF(AND($F30&lt;&gt;"",EZ30&gt;=$F30),$I30,IF(AND($E30&lt;&gt;"",EZ30&gt;=$E30),$H30,$G30))))</f>
        <v/>
      </c>
      <c r="FA31" s="0" t="str">
        <f aca="false">IF(FA30="","",IF($D30=0,$J30,IF(AND($F30&lt;&gt;"",FA30&gt;=$F30),$I30,IF(AND($E30&lt;&gt;"",FA30&gt;=$E30),$H30,$G30))))</f>
        <v/>
      </c>
      <c r="FB31" s="0" t="str">
        <f aca="false">IF(FB30="","",IF($D30=0,$J30,IF(AND($F30&lt;&gt;"",FB30&gt;=$F30),$I30,IF(AND($E30&lt;&gt;"",FB30&gt;=$E30),$H30,$G30))))</f>
        <v/>
      </c>
      <c r="FC31" s="0" t="str">
        <f aca="false">IF(FC30="","",IF($D30=0,$J30,IF(AND($F30&lt;&gt;"",FC30&gt;=$F30),$I30,IF(AND($E30&lt;&gt;"",FC30&gt;=$E30),$H30,$G30))))</f>
        <v/>
      </c>
      <c r="FD31" s="0" t="str">
        <f aca="false">IF(FD30="","",IF($D30=0,$J30,IF(AND($F30&lt;&gt;"",FD30&gt;=$F30),$I30,IF(AND($E30&lt;&gt;"",FD30&gt;=$E30),$H30,$G30))))</f>
        <v/>
      </c>
      <c r="FE31" s="0" t="str">
        <f aca="false">IF(FE30="","",IF($D30=0,$J30,IF(AND($F30&lt;&gt;"",FE30&gt;=$F30),$I30,IF(AND($E30&lt;&gt;"",FE30&gt;=$E30),$H30,$G30))))</f>
        <v/>
      </c>
      <c r="FF31" s="0" t="str">
        <f aca="false">IF(FF30="","",IF($D30=0,$J30,IF(AND($F30&lt;&gt;"",FF30&gt;=$F30),$I30,IF(AND($E30&lt;&gt;"",FF30&gt;=$E30),$H30,$G30))))</f>
        <v/>
      </c>
      <c r="FG31" s="0" t="str">
        <f aca="false">IF(FG30="","",IF($D30=0,$J30,IF(AND($F30&lt;&gt;"",FG30&gt;=$F30),$I30,IF(AND($E30&lt;&gt;"",FG30&gt;=$E30),$H30,$G30))))</f>
        <v/>
      </c>
      <c r="FH31" s="0" t="str">
        <f aca="false">IF(FH30="","",IF($D30=0,$J30,IF(AND($F30&lt;&gt;"",FH30&gt;=$F30),$I30,IF(AND($E30&lt;&gt;"",FH30&gt;=$E30),$H30,$G30))))</f>
        <v/>
      </c>
      <c r="FI31" s="0" t="str">
        <f aca="false">IF(FI30="","",IF($D30=0,$J30,IF(AND($F30&lt;&gt;"",FI30&gt;=$F30),$I30,IF(AND($E30&lt;&gt;"",FI30&gt;=$E30),$H30,$G30))))</f>
        <v/>
      </c>
      <c r="FJ31" s="0" t="str">
        <f aca="false">IF(FJ30="","",IF($D30=0,$J30,IF(AND($F30&lt;&gt;"",FJ30&gt;=$F30),$I30,IF(AND($E30&lt;&gt;"",FJ30&gt;=$E30),$H30,$G30))))</f>
        <v/>
      </c>
      <c r="FK31" s="0" t="str">
        <f aca="false">IF(FK30="","",IF($D30=0,$J30,IF(AND($F30&lt;&gt;"",FK30&gt;=$F30),$I30,IF(AND($E30&lt;&gt;"",FK30&gt;=$E30),$H30,$G30))))</f>
        <v/>
      </c>
      <c r="FL31" s="0" t="str">
        <f aca="false">IF(FL30="","",IF($D30=0,$J30,IF(AND($F30&lt;&gt;"",FL30&gt;=$F30),$I30,IF(AND($E30&lt;&gt;"",FL30&gt;=$E30),$H30,$G30))))</f>
        <v/>
      </c>
      <c r="FM31" s="0" t="str">
        <f aca="false">IF(FM30="","",IF($D30=0,$J30,IF(AND($F30&lt;&gt;"",FM30&gt;=$F30),$I30,IF(AND($E30&lt;&gt;"",FM30&gt;=$E30),$H30,$G30))))</f>
        <v/>
      </c>
      <c r="FN31" s="0" t="str">
        <f aca="false">IF(FN30="","",IF($D30=0,$J30,IF(AND($F30&lt;&gt;"",FN30&gt;=$F30),$I30,IF(AND($E30&lt;&gt;"",FN30&gt;=$E30),$H30,$G30))))</f>
        <v/>
      </c>
      <c r="FO31" s="0" t="str">
        <f aca="false">IF(FO30="","",IF($D30=0,$J30,IF(AND($F30&lt;&gt;"",FO30&gt;=$F30),$I30,IF(AND($E30&lt;&gt;"",FO30&gt;=$E30),$H30,$G30))))</f>
        <v/>
      </c>
      <c r="FP31" s="0" t="str">
        <f aca="false">IF(FP30="","",IF($D30=0,$J30,IF(AND($F30&lt;&gt;"",FP30&gt;=$F30),$I30,IF(AND($E30&lt;&gt;"",FP30&gt;=$E30),$H30,$G30))))</f>
        <v/>
      </c>
      <c r="FQ31" s="0" t="str">
        <f aca="false">IF(FQ30="","",IF($D30=0,$J30,IF(AND($F30&lt;&gt;"",FQ30&gt;=$F30),$I30,IF(AND($E30&lt;&gt;"",FQ30&gt;=$E30),$H30,$G30))))</f>
        <v/>
      </c>
      <c r="FR31" s="0" t="str">
        <f aca="false">IF(FR30="","",IF($D30=0,$J30,IF(AND($F30&lt;&gt;"",FR30&gt;=$F30),$I30,IF(AND($E30&lt;&gt;"",FR30&gt;=$E30),$H30,$G30))))</f>
        <v/>
      </c>
      <c r="FS31" s="0" t="str">
        <f aca="false">IF(FS30="","",IF($D30=0,$J30,IF(AND($F30&lt;&gt;"",FS30&gt;=$F30),$I30,IF(AND($E30&lt;&gt;"",FS30&gt;=$E30),$H30,$G30))))</f>
        <v/>
      </c>
      <c r="FT31" s="0" t="str">
        <f aca="false">IF(FT30="","",IF($D30=0,$J30,IF(AND($F30&lt;&gt;"",FT30&gt;=$F30),$I30,IF(AND($E30&lt;&gt;"",FT30&gt;=$E30),$H30,$G30))))</f>
        <v/>
      </c>
      <c r="FU31" s="0" t="str">
        <f aca="false">IF(FU30="","",IF($D30=0,$J30,IF(AND($F30&lt;&gt;"",FU30&gt;=$F30),$I30,IF(AND($E30&lt;&gt;"",FU30&gt;=$E30),$H30,$G30))))</f>
        <v/>
      </c>
      <c r="FV31" s="0" t="str">
        <f aca="false">IF(FV30="","",IF($D30=0,$J30,IF(AND($F30&lt;&gt;"",FV30&gt;=$F30),$I30,IF(AND($E30&lt;&gt;"",FV30&gt;=$E30),$H30,$G30))))</f>
        <v/>
      </c>
      <c r="FW31" s="0" t="str">
        <f aca="false">IF(FW30="","",IF($D30=0,$J30,IF(AND($F30&lt;&gt;"",FW30&gt;=$F30),$I30,IF(AND($E30&lt;&gt;"",FW30&gt;=$E30),$H30,$G30))))</f>
        <v/>
      </c>
      <c r="FX31" s="0" t="str">
        <f aca="false">IF(FX30="","",IF($D30=0,$J30,IF(AND($F30&lt;&gt;"",FX30&gt;=$F30),$I30,IF(AND($E30&lt;&gt;"",FX30&gt;=$E30),$H30,$G30))))</f>
        <v/>
      </c>
      <c r="FY31" s="0" t="str">
        <f aca="false">IF(FY30="","",IF($D30=0,$J30,IF(AND($F30&lt;&gt;"",FY30&gt;=$F30),$I30,IF(AND($E30&lt;&gt;"",FY30&gt;=$E30),$H30,$G30))))</f>
        <v/>
      </c>
      <c r="FZ31" s="0" t="str">
        <f aca="false">IF(FZ30="","",IF($D30=0,$J30,IF(AND($F30&lt;&gt;"",FZ30&gt;=$F30),$I30,IF(AND($E30&lt;&gt;"",FZ30&gt;=$E30),$H30,$G30))))</f>
        <v/>
      </c>
      <c r="GA31" s="0" t="str">
        <f aca="false">IF(GA30="","",IF($D30=0,$J30,IF(AND($F30&lt;&gt;"",GA30&gt;=$F30),$I30,IF(AND($E30&lt;&gt;"",GA30&gt;=$E30),$H30,$G30))))</f>
        <v/>
      </c>
      <c r="GB31" s="0" t="str">
        <f aca="false">IF(GB30="","",IF($D30=0,$J30,IF(AND($F30&lt;&gt;"",GB30&gt;=$F30),$I30,IF(AND($E30&lt;&gt;"",GB30&gt;=$E30),$H30,$G30))))</f>
        <v/>
      </c>
      <c r="GC31" s="0" t="str">
        <f aca="false">IF(GC30="","",IF($D30=0,$J30,IF(AND($F30&lt;&gt;"",GC30&gt;=$F30),$I30,IF(AND($E30&lt;&gt;"",GC30&gt;=$E30),$H30,$G30))))</f>
        <v/>
      </c>
      <c r="GD31" s="0" t="str">
        <f aca="false">IF(GD30="","",IF($D30=0,$J30,IF(AND($F30&lt;&gt;"",GD30&gt;=$F30),$I30,IF(AND($E30&lt;&gt;"",GD30&gt;=$E30),$H30,$G30))))</f>
        <v/>
      </c>
      <c r="GE31" s="0" t="str">
        <f aca="false">IF(GE30="","",IF($D30=0,$J30,IF(AND($F30&lt;&gt;"",GE30&gt;=$F30),$I30,IF(AND($E30&lt;&gt;"",GE30&gt;=$E30),$H30,$G30))))</f>
        <v/>
      </c>
      <c r="GF31" s="0" t="str">
        <f aca="false">IF(GF30="","",IF($D30=0,$J30,IF(AND($F30&lt;&gt;"",GF30&gt;=$F30),$I30,IF(AND($E30&lt;&gt;"",GF30&gt;=$E30),$H30,$G30))))</f>
        <v/>
      </c>
      <c r="GG31" s="0" t="str">
        <f aca="false">IF(GG30="","",IF($D30=0,$J30,IF(AND($F30&lt;&gt;"",GG30&gt;=$F30),$I30,IF(AND($E30&lt;&gt;"",GG30&gt;=$E30),$H30,$G30))))</f>
        <v/>
      </c>
      <c r="GH31" s="0" t="str">
        <f aca="false">IF(GH30="","",IF($D30=0,$J30,IF(AND($F30&lt;&gt;"",GH30&gt;=$F30),$I30,IF(AND($E30&lt;&gt;"",GH30&gt;=$E30),$H30,$G30))))</f>
        <v/>
      </c>
      <c r="GI31" s="0" t="str">
        <f aca="false">IF(GI30="","",IF($D30=0,$J30,IF(AND($F30&lt;&gt;"",GI30&gt;=$F30),$I30,IF(AND($E30&lt;&gt;"",GI30&gt;=$E30),$H30,$G30))))</f>
        <v/>
      </c>
    </row>
    <row r="32" customFormat="false" ht="15" hidden="false" customHeight="false" outlineLevel="0" collapsed="false">
      <c r="K32" s="0" t="s">
        <v>264</v>
      </c>
      <c r="L32" s="0" t="n">
        <f aca="false">IF(L30="",0,IF(AND(L31=Milestones!$AB$20,L30&gt;=SchemeStart),IF(AND(Milestones!$AB$20="FT",Milestones!$AA$20=FT_Y5,L30&lt;PolicyEff),1,Milestones!$AC$20),0))</f>
        <v>0</v>
      </c>
      <c r="M32" s="0" t="n">
        <f aca="false">IF(M30="",0,IF(AND(M31=Milestones!$AB$21,M30&gt;=SchemeStart),IF(AND(Milestones!$AB$21="FT",Milestones!$AA$21=FT_Y5,M30&lt;PolicyEff),1,Milestones!$AC$21),0))</f>
        <v>0</v>
      </c>
      <c r="N32" s="0" t="n">
        <f aca="false">IF(N30="",0,IF(AND(N31=Milestones!$AB$22,N30&gt;=SchemeStart),IF(AND(Milestones!$AB$22="FT",Milestones!$AA$22=FT_Y5,N30&lt;PolicyEff),1,Milestones!$AC$22),0))</f>
        <v>0</v>
      </c>
      <c r="O32" s="0" t="n">
        <f aca="false">IF(O30="",0,IF(AND(O31=Milestones!$AB$23,O30&gt;=SchemeStart),IF(AND(Milestones!$AB$23="FT",Milestones!$AA$23=FT_Y5,O30&lt;PolicyEff),1,Milestones!$AC$23),0))</f>
        <v>0</v>
      </c>
      <c r="P32" s="0" t="n">
        <f aca="false">IF(P30="",0,IF(AND(P31=Milestones!$AB$24,P30&gt;=SchemeStart),IF(AND(Milestones!$AB$24="FT",Milestones!$AA$24=FT_Y5,P30&lt;PolicyEff),1,Milestones!$AC$24),0))</f>
        <v>0</v>
      </c>
      <c r="Q32" s="0" t="n">
        <f aca="false">IF(Q30="",0,IF(AND(Q31=Milestones!$AB$25,Q30&gt;=SchemeStart),IF(AND(Milestones!$AB$25="FT",Milestones!$AA$25=FT_Y5,Q30&lt;PolicyEff),1,Milestones!$AC$25),0))</f>
        <v>0</v>
      </c>
      <c r="R32" s="0" t="n">
        <f aca="false">IF(R30="",0,IF(AND(R31=Milestones!$AB$26,R30&gt;=SchemeStart),IF(AND(Milestones!$AB$26="FT",Milestones!$AA$26=FT_Y5,R30&lt;PolicyEff),1,Milestones!$AC$26),0))</f>
        <v>0</v>
      </c>
      <c r="S32" s="0" t="n">
        <f aca="false">IF(S30="",0,IF(AND(S31=Milestones!$AB$27,S30&gt;=SchemeStart),IF(AND(Milestones!$AB$27="FT",Milestones!$AA$27=FT_Y5,S30&lt;PolicyEff),1,Milestones!$AC$27),0))</f>
        <v>0</v>
      </c>
      <c r="T32" s="0" t="n">
        <f aca="false">IF(T30="",0,IF(AND(T31=Milestones!$AB$28,T30&gt;=SchemeStart),IF(AND(Milestones!$AB$28="FT",Milestones!$AA$28=FT_Y5,T30&lt;PolicyEff),1,Milestones!$AC$28),0))</f>
        <v>0</v>
      </c>
      <c r="U32" s="0" t="n">
        <f aca="false">IF(U30="",0,IF(AND(U31=Milestones!$AB$29,U30&gt;=SchemeStart),IF(AND(Milestones!$AB$29="FT",Milestones!$AA$29=FT_Y5,U30&lt;PolicyEff),1,Milestones!$AC$29),0))</f>
        <v>0</v>
      </c>
      <c r="V32" s="0" t="n">
        <f aca="false">IF(V30="",0,IF(AND(V31=Milestones!$AB$30,V30&gt;=SchemeStart),IF(AND(Milestones!$AB$30="FT",Milestones!$AA$30=FT_Y5,V30&lt;PolicyEff),1,Milestones!$AC$30),0))</f>
        <v>0</v>
      </c>
      <c r="W32" s="0" t="n">
        <f aca="false">IF(W30="",0,IF(AND(W31=Milestones!$AB$31,W30&gt;=SchemeStart),IF(AND(Milestones!$AB$31="FT",Milestones!$AA$31=FT_Y5,W30&lt;PolicyEff),1,Milestones!$AC$31),0))</f>
        <v>0</v>
      </c>
      <c r="X32" s="0" t="n">
        <f aca="false">IF(X30="",0,IF(AND(X31=Milestones!$AB$32,X30&gt;=SchemeStart),IF(AND(Milestones!$AB$32="FT",Milestones!$AA$32=FT_Y5,X30&lt;PolicyEff),1,Milestones!$AC$32),0))</f>
        <v>0</v>
      </c>
      <c r="Y32" s="0" t="n">
        <f aca="false">IF(Y30="",0,IF(AND(Y31=Milestones!$AB$33,Y30&gt;=SchemeStart),IF(AND(Milestones!$AB$33="FT",Milestones!$AA$33=FT_Y5,Y30&lt;PolicyEff),1,Milestones!$AC$33),0))</f>
        <v>0</v>
      </c>
      <c r="Z32" s="0" t="n">
        <f aca="false">IF(Z30="",0,IF(AND(Z31=Milestones!$AB$34,Z30&gt;=SchemeStart),IF(AND(Milestones!$AB$34="FT",Milestones!$AA$34=FT_Y5,Z30&lt;PolicyEff),1,Milestones!$AC$34),0))</f>
        <v>0</v>
      </c>
      <c r="AA32" s="0" t="n">
        <f aca="false">IF(AA30="",0,IF(AND(AA31=Milestones!$AB$35,AA30&gt;=SchemeStart),IF(AND(Milestones!$AB$35="FT",Milestones!$AA$35=FT_Y5,AA30&lt;PolicyEff),1,Milestones!$AC$35),0))</f>
        <v>0</v>
      </c>
      <c r="AB32" s="0" t="n">
        <f aca="false">IF(AB30="",0,IF(AND(AB31=Milestones!$AB$36,AB30&gt;=SchemeStart),IF(AND(Milestones!$AB$36="FT",Milestones!$AA$36=FT_Y5,AB30&lt;PolicyEff),1,Milestones!$AC$36),0))</f>
        <v>0</v>
      </c>
      <c r="AC32" s="0" t="n">
        <f aca="false">IF(AC30="",0,IF(AND(AC31=Milestones!$AB$37,AC30&gt;=SchemeStart),IF(AND(Milestones!$AB$37="FT",Milestones!$AA$37=FT_Y5,AC30&lt;PolicyEff),1,Milestones!$AC$37),0))</f>
        <v>0</v>
      </c>
      <c r="AD32" s="0" t="n">
        <f aca="false">IF(AD30="",0,IF(AND(AD31=Milestones!$AB$38,AD30&gt;=SchemeStart),IF(AND(Milestones!$AB$38="FT",Milestones!$AA$38=FT_Y5,AD30&lt;PolicyEff),1,Milestones!$AC$38),0))</f>
        <v>0</v>
      </c>
      <c r="AE32" s="0" t="n">
        <f aca="false">IF(AE30="",0,IF(AND(AE31=Milestones!$AB$39,AE30&gt;=SchemeStart),IF(AND(Milestones!$AB$39="FT",Milestones!$AA$39=FT_Y5,AE30&lt;PolicyEff),1,Milestones!$AC$39),0))</f>
        <v>0</v>
      </c>
      <c r="AF32" s="0" t="n">
        <f aca="false">IF(AF30="",0,IF(AND(AF31=Milestones!$AB$40,AF30&gt;=SchemeStart),IF(AND(Milestones!$AB$40="FT",Milestones!$AA$40=FT_Y5,AF30&lt;PolicyEff),1,Milestones!$AC$40),0))</f>
        <v>0</v>
      </c>
      <c r="AG32" s="0" t="n">
        <f aca="false">IF(AG30="",0,IF(AND(AG31=Milestones!$AB$41,AG30&gt;=SchemeStart),IF(AND(Milestones!$AB$41="FT",Milestones!$AA$41=FT_Y5,AG30&lt;PolicyEff),1,Milestones!$AC$41),0))</f>
        <v>0</v>
      </c>
      <c r="AH32" s="0" t="n">
        <f aca="false">IF(AH30="",0,IF(AND(AH31=Milestones!$AB$42,AH30&gt;=SchemeStart),IF(AND(Milestones!$AB$42="FT",Milestones!$AA$42=FT_Y5,AH30&lt;PolicyEff),1,Milestones!$AC$42),0))</f>
        <v>0</v>
      </c>
      <c r="AI32" s="0" t="n">
        <f aca="false">IF(AI30="",0,IF(AND(AI31=Milestones!$AB$43,AI30&gt;=SchemeStart),IF(AND(Milestones!$AB$43="FT",Milestones!$AA$43=FT_Y5,AI30&lt;PolicyEff),1,Milestones!$AC$43),0))</f>
        <v>0</v>
      </c>
      <c r="AJ32" s="0" t="n">
        <f aca="false">IF(AJ30="",0,IF(AND(AJ31=Milestones!$AB$44,AJ30&gt;=SchemeStart),IF(AND(Milestones!$AB$44="FT",Milestones!$AA$44=FT_Y5,AJ30&lt;PolicyEff),1,Milestones!$AC$44),0))</f>
        <v>0</v>
      </c>
      <c r="AK32" s="0" t="n">
        <f aca="false">IF(AK30="",0,IF(AND(AK31=Milestones!$AB$45,AK30&gt;=SchemeStart),IF(AND(Milestones!$AB$45="FT",Milestones!$AA$45=FT_Y5,AK30&lt;PolicyEff),1,Milestones!$AC$45),0))</f>
        <v>0</v>
      </c>
      <c r="AL32" s="0" t="n">
        <f aca="false">IF(AL30="",0,IF(AND(AL31=Milestones!$AB$46,AL30&gt;=SchemeStart),IF(AND(Milestones!$AB$46="FT",Milestones!$AA$46=FT_Y5,AL30&lt;PolicyEff),1,Milestones!$AC$46),0))</f>
        <v>0</v>
      </c>
      <c r="AM32" s="0" t="n">
        <f aca="false">IF(AM30="",0,IF(AND(AM31=Milestones!$AB$47,AM30&gt;=SchemeStart),IF(AND(Milestones!$AB$47="FT",Milestones!$AA$47=FT_Y5,AM30&lt;PolicyEff),1,Milestones!$AC$47),0))</f>
        <v>0</v>
      </c>
      <c r="AN32" s="0" t="n">
        <f aca="false">IF(AN30="",0,IF(AND(AN31=Milestones!$AB$48,AN30&gt;=SchemeStart),IF(AND(Milestones!$AB$48="FT",Milestones!$AA$48=FT_Y5,AN30&lt;PolicyEff),1,Milestones!$AC$48),0))</f>
        <v>0</v>
      </c>
      <c r="AO32" s="0" t="n">
        <f aca="false">IF(AO30="",0,IF(AND(AO31=Milestones!$AB$49,AO30&gt;=SchemeStart),IF(AND(Milestones!$AB$49="FT",Milestones!$AA$49=FT_Y5,AO30&lt;PolicyEff),1,Milestones!$AC$49),0))</f>
        <v>0</v>
      </c>
      <c r="AP32" s="0" t="n">
        <f aca="false">IF(AP30="",0,IF(AND(AP31=Milestones!$AB$50,AP30&gt;=SchemeStart),IF(AND(Milestones!$AB$50="FT",Milestones!$AA$50=FT_Y5,AP30&lt;PolicyEff),1,Milestones!$AC$50),0))</f>
        <v>0</v>
      </c>
      <c r="AQ32" s="0" t="n">
        <f aca="false">IF(AQ30="",0,IF(AND(AQ31=Milestones!$AB$51,AQ30&gt;=SchemeStart),IF(AND(Milestones!$AB$51="FT",Milestones!$AA$51=FT_Y5,AQ30&lt;PolicyEff),1,Milestones!$AC$51),0))</f>
        <v>0</v>
      </c>
      <c r="AR32" s="0" t="n">
        <f aca="false">IF(AR30="",0,IF(AND(AR31=Milestones!$AB$52,AR30&gt;=SchemeStart),IF(AND(Milestones!$AB$52="FT",Milestones!$AA$52=FT_Y5,AR30&lt;PolicyEff),1,Milestones!$AC$52),0))</f>
        <v>0</v>
      </c>
      <c r="AS32" s="0" t="n">
        <f aca="false">IF(AS30="",0,IF(AND(AS31=Milestones!$AB$53,AS30&gt;=SchemeStart),IF(AND(Milestones!$AB$53="FT",Milestones!$AA$53=FT_Y5,AS30&lt;PolicyEff),1,Milestones!$AC$53),0))</f>
        <v>0</v>
      </c>
      <c r="AT32" s="0" t="n">
        <f aca="false">IF(AT30="",0,IF(AND(AT31=Milestones!$AB$54,AT30&gt;=SchemeStart),IF(AND(Milestones!$AB$54="FT",Milestones!$AA$54=FT_Y5,AT30&lt;PolicyEff),1,Milestones!$AC$54),0))</f>
        <v>0</v>
      </c>
      <c r="AU32" s="0" t="n">
        <f aca="false">IF(AU30="",0,IF(AND(AU31=Milestones!$AB$55,AU30&gt;=SchemeStart),IF(AND(Milestones!$AB$55="FT",Milestones!$AA$55=FT_Y5,AU30&lt;PolicyEff),1,Milestones!$AC$55),0))</f>
        <v>0</v>
      </c>
      <c r="AV32" s="0" t="n">
        <f aca="false">IF(AV30="",0,IF(AND(AV31=Milestones!$AB$56,AV30&gt;=SchemeStart),IF(AND(Milestones!$AB$56="FT",Milestones!$AA$56=FT_Y5,AV30&lt;PolicyEff),1,Milestones!$AC$56),0))</f>
        <v>0</v>
      </c>
      <c r="AW32" s="0" t="n">
        <f aca="false">IF(AW30="",0,IF(AND(AW31=Milestones!$AB$57,AW30&gt;=SchemeStart),IF(AND(Milestones!$AB$57="FT",Milestones!$AA$57=FT_Y5,AW30&lt;PolicyEff),1,Milestones!$AC$57),0))</f>
        <v>0</v>
      </c>
      <c r="AX32" s="0" t="n">
        <f aca="false">IF(AX30="",0,IF(AND(AX31=Milestones!$AB$58,AX30&gt;=SchemeStart),IF(AND(Milestones!$AB$58="FT",Milestones!$AA$58=FT_Y5,AX30&lt;PolicyEff),1,Milestones!$AC$58),0))</f>
        <v>0</v>
      </c>
      <c r="AY32" s="0" t="n">
        <f aca="false">IF(AY30="",0,IF(AND(AY31=Milestones!$AB$59,AY30&gt;=SchemeStart),IF(AND(Milestones!$AB$59="FT",Milestones!$AA$59=FT_Y5,AY30&lt;PolicyEff),1,Milestones!$AC$59),0))</f>
        <v>0</v>
      </c>
      <c r="AZ32" s="0" t="n">
        <f aca="false">IF(AZ30="",0,IF(AND(AZ31=Milestones!$AB$60,AZ30&gt;=SchemeStart),IF(AND(Milestones!$AB$60="FT",Milestones!$AA$60=FT_Y5,AZ30&lt;PolicyEff),1,Milestones!$AC$60),0))</f>
        <v>0</v>
      </c>
      <c r="BA32" s="0" t="n">
        <f aca="false">IF(BA30="",0,IF(AND(BA31=Milestones!$AB$61,BA30&gt;=SchemeStart),IF(AND(Milestones!$AB$61="FT",Milestones!$AA$61=FT_Y5,BA30&lt;PolicyEff),1,Milestones!$AC$61),0))</f>
        <v>0</v>
      </c>
      <c r="BB32" s="0" t="n">
        <f aca="false">IF(BB30="",0,IF(AND(BB31=Milestones!$AB$62,BB30&gt;=SchemeStart),IF(AND(Milestones!$AB$62="FT",Milestones!$AA$62=FT_Y5,BB30&lt;PolicyEff),1,Milestones!$AC$62),0))</f>
        <v>0</v>
      </c>
      <c r="BC32" s="0" t="n">
        <f aca="false">IF(BC30="",0,IF(AND(BC31=Milestones!$AB$63,BC30&gt;=SchemeStart),IF(AND(Milestones!$AB$63="FT",Milestones!$AA$63=FT_Y5,BC30&lt;PolicyEff),1,Milestones!$AC$63),0))</f>
        <v>0</v>
      </c>
      <c r="BD32" s="0" t="n">
        <f aca="false">IF(BD30="",0,IF(AND(BD31=Milestones!$AB$64,BD30&gt;=SchemeStart),IF(AND(Milestones!$AB$64="FT",Milestones!$AA$64=FT_Y5,BD30&lt;PolicyEff),1,Milestones!$AC$64),0))</f>
        <v>0</v>
      </c>
      <c r="BE32" s="0" t="n">
        <f aca="false">IF(BE30="",0,IF(AND(BE31=Milestones!$AB$65,BE30&gt;=SchemeStart),IF(AND(Milestones!$AB$65="FT",Milestones!$AA$65=FT_Y5,BE30&lt;PolicyEff),1,Milestones!$AC$65),0))</f>
        <v>0</v>
      </c>
      <c r="BF32" s="0" t="n">
        <f aca="false">IF(BF30="",0,IF(AND(BF31=Milestones!$AB$66,BF30&gt;=SchemeStart),IF(AND(Milestones!$AB$66="FT",Milestones!$AA$66=FT_Y5,BF30&lt;PolicyEff),1,Milestones!$AC$66),0))</f>
        <v>0</v>
      </c>
      <c r="BG32" s="0" t="n">
        <f aca="false">IF(BG30="",0,IF(AND(BG31=Milestones!$AB$67,BG30&gt;=SchemeStart),IF(AND(Milestones!$AB$67="FT",Milestones!$AA$67=FT_Y5,BG30&lt;PolicyEff),1,Milestones!$AC$67),0))</f>
        <v>0</v>
      </c>
      <c r="BH32" s="0" t="n">
        <f aca="false">IF(BH30="",0,IF(AND(BH31=Milestones!$AB$68,BH30&gt;=SchemeStart),IF(AND(Milestones!$AB$68="FT",Milestones!$AA$68=FT_Y5,BH30&lt;PolicyEff),1,Milestones!$AC$68),0))</f>
        <v>0</v>
      </c>
      <c r="BI32" s="0" t="n">
        <f aca="false">IF(BI30="",0,IF(AND(BI31=Milestones!$AB$69,BI30&gt;=SchemeStart),IF(AND(Milestones!$AB$69="FT",Milestones!$AA$69=FT_Y5,BI30&lt;PolicyEff),1,Milestones!$AC$69),0))</f>
        <v>0</v>
      </c>
      <c r="BJ32" s="0" t="n">
        <f aca="false">IF(BJ30="",0,IF(AND(BJ31=Milestones!$AB$70,BJ30&gt;=SchemeStart),IF(AND(Milestones!$AB$70="FT",Milestones!$AA$70=FT_Y5,BJ30&lt;PolicyEff),1,Milestones!$AC$70),0))</f>
        <v>0</v>
      </c>
      <c r="BK32" s="0" t="n">
        <f aca="false">IF(BK30="",0,IF(AND(BK31=Milestones!$AB$71,BK30&gt;=SchemeStart),IF(AND(Milestones!$AB$71="FT",Milestones!$AA$71=FT_Y5,BK30&lt;PolicyEff),1,Milestones!$AC$71),0))</f>
        <v>0</v>
      </c>
      <c r="BL32" s="0" t="n">
        <f aca="false">IF(BL30="",0,IF(AND(BL31=Milestones!$AB$72,BL30&gt;=SchemeStart),IF(AND(Milestones!$AB$72="FT",Milestones!$AA$72=FT_Y5,BL30&lt;PolicyEff),1,Milestones!$AC$72),0))</f>
        <v>0</v>
      </c>
      <c r="BM32" s="0" t="n">
        <f aca="false">IF(BM30="",0,IF(AND(BM31=Milestones!$AB$73,BM30&gt;=SchemeStart),IF(AND(Milestones!$AB$73="FT",Milestones!$AA$73=FT_Y5,BM30&lt;PolicyEff),1,Milestones!$AC$73),0))</f>
        <v>0</v>
      </c>
      <c r="BN32" s="0" t="n">
        <f aca="false">IF(BN30="",0,IF(AND(BN31=Milestones!$AB$74,BN30&gt;=SchemeStart),IF(AND(Milestones!$AB$74="FT",Milestones!$AA$74=FT_Y5,BN30&lt;PolicyEff),1,Milestones!$AC$74),0))</f>
        <v>0</v>
      </c>
      <c r="BO32" s="0" t="n">
        <f aca="false">IF(BO30="",0,IF(AND(BO31=Milestones!$AB$75,BO30&gt;=SchemeStart),IF(AND(Milestones!$AB$75="FT",Milestones!$AA$75=FT_Y5,BO30&lt;PolicyEff),1,Milestones!$AC$75),0))</f>
        <v>0</v>
      </c>
      <c r="BP32" s="0" t="n">
        <f aca="false">IF(BP30="",0,IF(AND(BP31=Milestones!$AB$76,BP30&gt;=SchemeStart),IF(AND(Milestones!$AB$76="FT",Milestones!$AA$76=FT_Y5,BP30&lt;PolicyEff),1,Milestones!$AC$76),0))</f>
        <v>0</v>
      </c>
      <c r="BQ32" s="0" t="n">
        <f aca="false">IF(BQ30="",0,IF(AND(BQ31=Milestones!$AB$77,BQ30&gt;=SchemeStart),IF(AND(Milestones!$AB$77="FT",Milestones!$AA$77=FT_Y5,BQ30&lt;PolicyEff),1,Milestones!$AC$77),0))</f>
        <v>0</v>
      </c>
      <c r="BR32" s="0" t="n">
        <f aca="false">IF(BR30="",0,IF(AND(BR31=Milestones!$AB$78,BR30&gt;=SchemeStart),IF(AND(Milestones!$AB$78="FT",Milestones!$AA$78=FT_Y5,BR30&lt;PolicyEff),1,Milestones!$AC$78),0))</f>
        <v>0</v>
      </c>
      <c r="BS32" s="0" t="n">
        <f aca="false">IF(BS30="",0,IF(AND(BS31=Milestones!$AB$79,BS30&gt;=SchemeStart),IF(AND(Milestones!$AB$79="FT",Milestones!$AA$79=FT_Y5,BS30&lt;PolicyEff),1,Milestones!$AC$79),0))</f>
        <v>0</v>
      </c>
      <c r="BT32" s="0" t="n">
        <f aca="false">IF(BT30="",0,IF(AND(BT31=Milestones!$AB$80,BT30&gt;=SchemeStart),IF(AND(Milestones!$AB$80="FT",Milestones!$AA$80=FT_Y5,BT30&lt;PolicyEff),1,Milestones!$AC$80),0))</f>
        <v>0</v>
      </c>
      <c r="BU32" s="0" t="n">
        <f aca="false">IF(BU30="",0,IF(AND(BU31=Milestones!$AB$81,BU30&gt;=SchemeStart),IF(AND(Milestones!$AB$81="FT",Milestones!$AA$81=FT_Y5,BU30&lt;PolicyEff),1,Milestones!$AC$81),0))</f>
        <v>0</v>
      </c>
      <c r="BV32" s="0" t="n">
        <f aca="false">IF(BV30="",0,IF(AND(BV31=Milestones!$AB$82,BV30&gt;=SchemeStart),IF(AND(Milestones!$AB$82="FT",Milestones!$AA$82=FT_Y5,BV30&lt;PolicyEff),1,Milestones!$AC$82),0))</f>
        <v>0</v>
      </c>
      <c r="BW32" s="0" t="n">
        <f aca="false">IF(BW30="",0,IF(AND(BW31=Milestones!$AB$83,BW30&gt;=SchemeStart),IF(AND(Milestones!$AB$83="FT",Milestones!$AA$83=FT_Y5,BW30&lt;PolicyEff),1,Milestones!$AC$83),0))</f>
        <v>0</v>
      </c>
      <c r="BX32" s="0" t="n">
        <f aca="false">IF(BX30="",0,IF(AND(BX31=Milestones!$AB$84,BX30&gt;=SchemeStart),IF(AND(Milestones!$AB$84="FT",Milestones!$AA$84=FT_Y5,BX30&lt;PolicyEff),1,Milestones!$AC$84),0))</f>
        <v>0</v>
      </c>
      <c r="BY32" s="0" t="n">
        <f aca="false">IF(BY30="",0,IF(AND(BY31=Milestones!$AB$85,BY30&gt;=SchemeStart),IF(AND(Milestones!$AB$85="FT",Milestones!$AA$85=FT_Y5,BY30&lt;PolicyEff),1,Milestones!$AC$85),0))</f>
        <v>0</v>
      </c>
      <c r="BZ32" s="0" t="n">
        <f aca="false">IF(BZ30="",0,IF(AND(BZ31=Milestones!$AB$86,BZ30&gt;=SchemeStart),IF(AND(Milestones!$AB$86="FT",Milestones!$AA$86=FT_Y5,BZ30&lt;PolicyEff),1,Milestones!$AC$86),0))</f>
        <v>0</v>
      </c>
      <c r="CA32" s="0" t="n">
        <f aca="false">IF(CA30="",0,IF(AND(CA31=Milestones!$AB$87,CA30&gt;=SchemeStart),IF(AND(Milestones!$AB$87="FT",Milestones!$AA$87=FT_Y5,CA30&lt;PolicyEff),1,Milestones!$AC$87),0))</f>
        <v>0</v>
      </c>
      <c r="CB32" s="0" t="n">
        <f aca="false">IF(CB30="",0,IF(AND(CB31=Milestones!$AB$88,CB30&gt;=SchemeStart),IF(AND(Milestones!$AB$88="FT",Milestones!$AA$88=FT_Y5,CB30&lt;PolicyEff),1,Milestones!$AC$88),0))</f>
        <v>0</v>
      </c>
      <c r="CC32" s="0" t="n">
        <f aca="false">IF(CC30="",0,IF(AND(CC31=Milestones!$AB$89,CC30&gt;=SchemeStart),IF(AND(Milestones!$AB$89="FT",Milestones!$AA$89=FT_Y5,CC30&lt;PolicyEff),1,Milestones!$AC$89),0))</f>
        <v>0</v>
      </c>
      <c r="CD32" s="0" t="n">
        <f aca="false">IF(CD30="",0,IF(AND(CD31=Milestones!$AB$90,CD30&gt;=SchemeStart),IF(AND(Milestones!$AB$90="FT",Milestones!$AA$90=FT_Y5,CD30&lt;PolicyEff),1,Milestones!$AC$90),0))</f>
        <v>0</v>
      </c>
      <c r="CE32" s="0" t="n">
        <f aca="false">IF(CE30="",0,IF(AND(CE31=Milestones!$AB$91,CE30&gt;=SchemeStart),IF(AND(Milestones!$AB$91="FT",Milestones!$AA$91=FT_Y5,CE30&lt;PolicyEff),1,Milestones!$AC$91),0))</f>
        <v>0</v>
      </c>
      <c r="CF32" s="0" t="n">
        <f aca="false">IF(CF30="",0,IF(AND(CF31=Milestones!$AB$92,CF30&gt;=SchemeStart),IF(AND(Milestones!$AB$92="FT",Milestones!$AA$92=FT_Y5,CF30&lt;PolicyEff),1,Milestones!$AC$92),0))</f>
        <v>0</v>
      </c>
      <c r="CG32" s="0" t="n">
        <f aca="false">IF(CG30="",0,IF(AND(CG31=Milestones!$AB$93,CG30&gt;=SchemeStart),IF(AND(Milestones!$AB$93="FT",Milestones!$AA$93=FT_Y5,CG30&lt;PolicyEff),1,Milestones!$AC$93),0))</f>
        <v>0</v>
      </c>
      <c r="CH32" s="0" t="n">
        <f aca="false">IF(CH30="",0,IF(AND(CH31=Milestones!$AB$94,CH30&gt;=SchemeStart),IF(AND(Milestones!$AB$94="FT",Milestones!$AA$94=FT_Y5,CH30&lt;PolicyEff),1,Milestones!$AC$94),0))</f>
        <v>0</v>
      </c>
      <c r="CI32" s="0" t="n">
        <f aca="false">IF(CI30="",0,IF(AND(CI31=Milestones!$AB$95,CI30&gt;=SchemeStart),IF(AND(Milestones!$AB$95="FT",Milestones!$AA$95=FT_Y5,CI30&lt;PolicyEff),1,Milestones!$AC$95),0))</f>
        <v>0</v>
      </c>
      <c r="CJ32" s="0" t="n">
        <f aca="false">IF(CJ30="",0,IF(AND(CJ31=Milestones!$AB$96,CJ30&gt;=SchemeStart),IF(AND(Milestones!$AB$96="FT",Milestones!$AA$96=FT_Y5,CJ30&lt;PolicyEff),1,Milestones!$AC$96),0))</f>
        <v>0</v>
      </c>
      <c r="CK32" s="0" t="n">
        <f aca="false">IF(CK30="",0,IF(AND(CK31=Milestones!$AB$97,CK30&gt;=SchemeStart),IF(AND(Milestones!$AB$97="FT",Milestones!$AA$97=FT_Y5,CK30&lt;PolicyEff),1,Milestones!$AC$97),0))</f>
        <v>0</v>
      </c>
      <c r="CL32" s="0" t="n">
        <f aca="false">IF(CL30="",0,IF(AND(CL31=Milestones!$AB$98,CL30&gt;=SchemeStart),IF(AND(Milestones!$AB$98="FT",Milestones!$AA$98=FT_Y5,CL30&lt;PolicyEff),1,Milestones!$AC$98),0))</f>
        <v>0</v>
      </c>
      <c r="CM32" s="0" t="n">
        <f aca="false">IF(CM30="",0,IF(AND(CM31=Milestones!$AB$99,CM30&gt;=SchemeStart),IF(AND(Milestones!$AB$99="FT",Milestones!$AA$99=FT_Y5,CM30&lt;PolicyEff),1,Milestones!$AC$99),0))</f>
        <v>0</v>
      </c>
      <c r="CN32" s="0" t="n">
        <f aca="false">IF(CN30="",0,IF(AND(CN31=Milestones!$AB$100,CN30&gt;=SchemeStart),IF(AND(Milestones!$AB$100="FT",Milestones!$AA$100=FT_Y5,CN30&lt;PolicyEff),1,Milestones!$AC$100),0))</f>
        <v>0</v>
      </c>
      <c r="CO32" s="0" t="n">
        <f aca="false">IF(CO30="",0,IF(AND(CO31=Milestones!$AB$101,CO30&gt;=SchemeStart),IF(AND(Milestones!$AB$101="FT",Milestones!$AA$101=FT_Y5,CO30&lt;PolicyEff),1,Milestones!$AC$101),0))</f>
        <v>0</v>
      </c>
      <c r="CP32" s="0" t="n">
        <f aca="false">IF(CP30="",0,IF(AND(CP31=Milestones!$AB$102,CP30&gt;=SchemeStart),IF(AND(Milestones!$AB$102="FT",Milestones!$AA$102=FT_Y5,CP30&lt;PolicyEff),1,Milestones!$AC$102),0))</f>
        <v>0</v>
      </c>
      <c r="CQ32" s="0" t="n">
        <f aca="false">IF(CQ30="",0,IF(AND(CQ31=Milestones!$AB$103,CQ30&gt;=SchemeStart),IF(AND(Milestones!$AB$103="FT",Milestones!$AA$103=FT_Y5,CQ30&lt;PolicyEff),1,Milestones!$AC$103),0))</f>
        <v>0</v>
      </c>
      <c r="CR32" s="0" t="n">
        <f aca="false">IF(CR30="",0,IF(AND(CR31=Milestones!$AB$104,CR30&gt;=SchemeStart),IF(AND(Milestones!$AB$104="FT",Milestones!$AA$104=FT_Y5,CR30&lt;PolicyEff),1,Milestones!$AC$104),0))</f>
        <v>0</v>
      </c>
      <c r="CS32" s="0" t="n">
        <f aca="false">IF(CS30="",0,IF(AND(CS31=Milestones!$AB$105,CS30&gt;=SchemeStart),IF(AND(Milestones!$AB$105="FT",Milestones!$AA$105=FT_Y5,CS30&lt;PolicyEff),1,Milestones!$AC$105),0))</f>
        <v>0</v>
      </c>
      <c r="CT32" s="0" t="n">
        <f aca="false">IF(CT30="",0,IF(AND(CT31=Milestones!$AB$106,CT30&gt;=SchemeStart),IF(AND(Milestones!$AB$106="FT",Milestones!$AA$106=FT_Y5,CT30&lt;PolicyEff),1,Milestones!$AC$106),0))</f>
        <v>0</v>
      </c>
      <c r="CU32" s="0" t="n">
        <f aca="false">IF(CU30="",0,IF(AND(CU31=Milestones!$AB$107,CU30&gt;=SchemeStart),IF(AND(Milestones!$AB$107="FT",Milestones!$AA$107=FT_Y5,CU30&lt;PolicyEff),1,Milestones!$AC$107),0))</f>
        <v>0</v>
      </c>
      <c r="CV32" s="0" t="n">
        <f aca="false">IF(CV30="",0,IF(AND(CV31=Milestones!$AB$108,CV30&gt;=SchemeStart),IF(AND(Milestones!$AB$108="FT",Milestones!$AA$108=FT_Y5,CV30&lt;PolicyEff),1,Milestones!$AC$108),0))</f>
        <v>0</v>
      </c>
      <c r="CW32" s="0" t="n">
        <f aca="false">IF(CW30="",0,IF(AND(CW31=Milestones!$AB$109,CW30&gt;=SchemeStart),IF(AND(Milestones!$AB$109="FT",Milestones!$AA$109=FT_Y5,CW30&lt;PolicyEff),1,Milestones!$AC$109),0))</f>
        <v>0</v>
      </c>
      <c r="CX32" s="0" t="n">
        <f aca="false">IF(CX30="",0,IF(AND(CX31=Milestones!$AB$110,CX30&gt;=SchemeStart),IF(AND(Milestones!$AB$110="FT",Milestones!$AA$110=FT_Y5,CX30&lt;PolicyEff),1,Milestones!$AC$110),0))</f>
        <v>0</v>
      </c>
      <c r="CY32" s="0" t="n">
        <f aca="false">IF(CY30="",0,IF(AND(CY31=Milestones!$AB$111,CY30&gt;=SchemeStart),IF(AND(Milestones!$AB$111="FT",Milestones!$AA$111=FT_Y5,CY30&lt;PolicyEff),1,Milestones!$AC$111),0))</f>
        <v>0</v>
      </c>
      <c r="CZ32" s="0" t="n">
        <f aca="false">IF(CZ30="",0,IF(AND(CZ31=Milestones!$AB$112,CZ30&gt;=SchemeStart),IF(AND(Milestones!$AB$112="FT",Milestones!$AA$112=FT_Y5,CZ30&lt;PolicyEff),1,Milestones!$AC$112),0))</f>
        <v>0</v>
      </c>
      <c r="DA32" s="0" t="n">
        <f aca="false">IF(DA30="",0,IF(AND(DA31=Milestones!$AB$113,DA30&gt;=SchemeStart),IF(AND(Milestones!$AB$113="FT",Milestones!$AA$113=FT_Y5,DA30&lt;PolicyEff),1,Milestones!$AC$113),0))</f>
        <v>0</v>
      </c>
      <c r="DB32" s="0" t="n">
        <f aca="false">IF(DB30="",0,IF(AND(DB31=Milestones!$AB$114,DB30&gt;=SchemeStart),IF(AND(Milestones!$AB$114="FT",Milestones!$AA$114=FT_Y5,DB30&lt;PolicyEff),1,Milestones!$AC$114),0))</f>
        <v>0</v>
      </c>
      <c r="DC32" s="0" t="n">
        <f aca="false">IF(DC30="",0,IF(AND(DC31=Milestones!$AB$115,DC30&gt;=SchemeStart),IF(AND(Milestones!$AB$115="FT",Milestones!$AA$115=FT_Y5,DC30&lt;PolicyEff),1,Milestones!$AC$115),0))</f>
        <v>0</v>
      </c>
      <c r="DD32" s="0" t="n">
        <f aca="false">IF(DD30="",0,IF(AND(DD31=Milestones!$AB$116,DD30&gt;=SchemeStart),IF(AND(Milestones!$AB$116="FT",Milestones!$AA$116=FT_Y5,DD30&lt;PolicyEff),1,Milestones!$AC$116),0))</f>
        <v>0</v>
      </c>
      <c r="DE32" s="0" t="n">
        <f aca="false">IF(DE30="",0,IF(AND(DE31=Milestones!$AB$117,DE30&gt;=SchemeStart),IF(AND(Milestones!$AB$117="FT",Milestones!$AA$117=FT_Y5,DE30&lt;PolicyEff),1,Milestones!$AC$117),0))</f>
        <v>0</v>
      </c>
      <c r="DF32" s="0" t="n">
        <f aca="false">IF(DF30="",0,IF(AND(DF31=Milestones!$AB$118,DF30&gt;=SchemeStart),IF(AND(Milestones!$AB$118="FT",Milestones!$AA$118=FT_Y5,DF30&lt;PolicyEff),1,Milestones!$AC$118),0))</f>
        <v>0</v>
      </c>
      <c r="DG32" s="0" t="n">
        <f aca="false">IF(DG30="",0,IF(AND(DG31=Milestones!$AB$119,DG30&gt;=SchemeStart),IF(AND(Milestones!$AB$119="FT",Milestones!$AA$119=FT_Y5,DG30&lt;PolicyEff),1,Milestones!$AC$119),0))</f>
        <v>0</v>
      </c>
      <c r="DH32" s="0" t="n">
        <f aca="false">IF(DH30="",0,IF(AND(DH31=Milestones!$AB$120,DH30&gt;=SchemeStart),IF(AND(Milestones!$AB$120="FT",Milestones!$AA$120=FT_Y5,DH30&lt;PolicyEff),1,Milestones!$AC$120),0))</f>
        <v>0</v>
      </c>
      <c r="DI32" s="0" t="n">
        <f aca="false">IF(DI30="",0,IF(AND(DI31=Milestones!$AB$121,DI30&gt;=SchemeStart),IF(AND(Milestones!$AB$121="FT",Milestones!$AA$121=FT_Y5,DI30&lt;PolicyEff),1,Milestones!$AC$121),0))</f>
        <v>0</v>
      </c>
      <c r="DJ32" s="0" t="n">
        <f aca="false">IF(DJ30="",0,IF(AND(DJ31=Milestones!$AB$122,DJ30&gt;=SchemeStart),IF(AND(Milestones!$AB$122="FT",Milestones!$AA$122=FT_Y5,DJ30&lt;PolicyEff),1,Milestones!$AC$122),0))</f>
        <v>0</v>
      </c>
      <c r="DK32" s="0" t="n">
        <f aca="false">IF(DK30="",0,IF(AND(DK31=Milestones!$AB$123,DK30&gt;=SchemeStart),IF(AND(Milestones!$AB$123="FT",Milestones!$AA$123=FT_Y5,DK30&lt;PolicyEff),1,Milestones!$AC$123),0))</f>
        <v>0</v>
      </c>
      <c r="DL32" s="0" t="n">
        <f aca="false">IF(DL30="",0,IF(AND(DL31=Milestones!$AB$124,DL30&gt;=SchemeStart),IF(AND(Milestones!$AB$124="FT",Milestones!$AA$124=FT_Y5,DL30&lt;PolicyEff),1,Milestones!$AC$124),0))</f>
        <v>0</v>
      </c>
      <c r="DM32" s="0" t="n">
        <f aca="false">IF(DM30="",0,IF(AND(DM31=Milestones!$AB$125,DM30&gt;=SchemeStart),IF(AND(Milestones!$AB$125="FT",Milestones!$AA$125=FT_Y5,DM30&lt;PolicyEff),1,Milestones!$AC$125),0))</f>
        <v>0</v>
      </c>
      <c r="DN32" s="0" t="n">
        <f aca="false">IF(DN30="",0,IF(AND(DN31=Milestones!$AB$126,DN30&gt;=SchemeStart),IF(AND(Milestones!$AB$126="FT",Milestones!$AA$126=FT_Y5,DN30&lt;PolicyEff),1,Milestones!$AC$126),0))</f>
        <v>0</v>
      </c>
      <c r="DO32" s="0" t="n">
        <f aca="false">IF(DO30="",0,IF(AND(DO31=Milestones!$AB$127,DO30&gt;=SchemeStart),IF(AND(Milestones!$AB$127="FT",Milestones!$AA$127=FT_Y5,DO30&lt;PolicyEff),1,Milestones!$AC$127),0))</f>
        <v>0</v>
      </c>
      <c r="DP32" s="0" t="n">
        <f aca="false">IF(DP30="",0,IF(AND(DP31=Milestones!$AB$128,DP30&gt;=SchemeStart),IF(AND(Milestones!$AB$128="FT",Milestones!$AA$128=FT_Y5,DP30&lt;PolicyEff),1,Milestones!$AC$128),0))</f>
        <v>0</v>
      </c>
      <c r="DQ32" s="0" t="n">
        <f aca="false">IF(DQ30="",0,IF(AND(DQ31=Milestones!$AB$129,DQ30&gt;=SchemeStart),IF(AND(Milestones!$AB$129="FT",Milestones!$AA$129=FT_Y5,DQ30&lt;PolicyEff),1,Milestones!$AC$129),0))</f>
        <v>0</v>
      </c>
      <c r="DR32" s="0" t="n">
        <f aca="false">IF(DR30="",0,IF(AND(DR31=Milestones!$AB$130,DR30&gt;=SchemeStart),IF(AND(Milestones!$AB$130="FT",Milestones!$AA$130=FT_Y5,DR30&lt;PolicyEff),1,Milestones!$AC$130),0))</f>
        <v>0</v>
      </c>
      <c r="DS32" s="0" t="n">
        <f aca="false">IF(DS30="",0,IF(AND(DS31=Milestones!$AB$131,DS30&gt;=SchemeStart),IF(AND(Milestones!$AB$131="FT",Milestones!$AA$131=FT_Y5,DS30&lt;PolicyEff),1,Milestones!$AC$131),0))</f>
        <v>0</v>
      </c>
      <c r="DT32" s="0" t="n">
        <f aca="false">IF(DT30="",0,IF(AND(DT31=Milestones!$AB$132,DT30&gt;=SchemeStart),IF(AND(Milestones!$AB$132="FT",Milestones!$AA$132=FT_Y5,DT30&lt;PolicyEff),1,Milestones!$AC$132),0))</f>
        <v>0</v>
      </c>
      <c r="DU32" s="0" t="n">
        <f aca="false">IF(DU30="",0,IF(AND(DU31=Milestones!$AB$133,DU30&gt;=SchemeStart),IF(AND(Milestones!$AB$133="FT",Milestones!$AA$133=FT_Y5,DU30&lt;PolicyEff),1,Milestones!$AC$133),0))</f>
        <v>0</v>
      </c>
      <c r="DV32" s="0" t="n">
        <f aca="false">IF(DV30="",0,IF(AND(DV31=Milestones!$AB$134,DV30&gt;=SchemeStart),IF(AND(Milestones!$AB$134="FT",Milestones!$AA$134=FT_Y5,DV30&lt;PolicyEff),1,Milestones!$AC$134),0))</f>
        <v>0</v>
      </c>
      <c r="DW32" s="0" t="n">
        <f aca="false">IF(DW30="",0,IF(AND(DW31=Milestones!$AB$135,DW30&gt;=SchemeStart),IF(AND(Milestones!$AB$135="FT",Milestones!$AA$135=FT_Y5,DW30&lt;PolicyEff),1,Milestones!$AC$135),0))</f>
        <v>0</v>
      </c>
      <c r="DX32" s="0" t="n">
        <f aca="false">IF(DX30="",0,IF(AND(DX31=Milestones!$AB$136,DX30&gt;=SchemeStart),IF(AND(Milestones!$AB$136="FT",Milestones!$AA$136=FT_Y5,DX30&lt;PolicyEff),1,Milestones!$AC$136),0))</f>
        <v>0</v>
      </c>
      <c r="DY32" s="0" t="n">
        <f aca="false">IF(DY30="",0,IF(AND(DY31=Milestones!$AB$137,DY30&gt;=SchemeStart),IF(AND(Milestones!$AB$137="FT",Milestones!$AA$137=FT_Y5,DY30&lt;PolicyEff),1,Milestones!$AC$137),0))</f>
        <v>0</v>
      </c>
      <c r="DZ32" s="0" t="n">
        <f aca="false">IF(DZ30="",0,IF(AND(DZ31=Milestones!$AB$138,DZ30&gt;=SchemeStart),IF(AND(Milestones!$AB$138="FT",Milestones!$AA$138=FT_Y5,DZ30&lt;PolicyEff),1,Milestones!$AC$138),0))</f>
        <v>0</v>
      </c>
      <c r="EA32" s="0" t="n">
        <f aca="false">IF(EA30="",0,IF(AND(EA31=Milestones!$AB$139,EA30&gt;=SchemeStart),IF(AND(Milestones!$AB$139="FT",Milestones!$AA$139=FT_Y5,EA30&lt;PolicyEff),1,Milestones!$AC$139),0))</f>
        <v>0</v>
      </c>
      <c r="EB32" s="0" t="n">
        <f aca="false">IF(EB30="",0,IF(AND(EB31=Milestones!$AB$140,EB30&gt;=SchemeStart),IF(AND(Milestones!$AB$140="FT",Milestones!$AA$140=FT_Y5,EB30&lt;PolicyEff),1,Milestones!$AC$140),0))</f>
        <v>0</v>
      </c>
      <c r="EC32" s="0" t="n">
        <f aca="false">IF(EC30="",0,IF(AND(EC31=Milestones!$AB$141,EC30&gt;=SchemeStart),IF(AND(Milestones!$AB$141="FT",Milestones!$AA$141=FT_Y5,EC30&lt;PolicyEff),1,Milestones!$AC$141),0))</f>
        <v>0</v>
      </c>
      <c r="ED32" s="0" t="n">
        <f aca="false">IF(ED30="",0,IF(AND(ED31=Milestones!$AB$142,ED30&gt;=SchemeStart),IF(AND(Milestones!$AB$142="FT",Milestones!$AA$142=FT_Y5,ED30&lt;PolicyEff),1,Milestones!$AC$142),0))</f>
        <v>0</v>
      </c>
      <c r="EE32" s="0" t="n">
        <f aca="false">IF(EE30="",0,IF(AND(EE31=Milestones!$AB$143,EE30&gt;=SchemeStart),IF(AND(Milestones!$AB$143="FT",Milestones!$AA$143=FT_Y5,EE30&lt;PolicyEff),1,Milestones!$AC$143),0))</f>
        <v>0</v>
      </c>
      <c r="EF32" s="0" t="n">
        <f aca="false">IF(EF30="",0,IF(AND(EF31=Milestones!$AB$144,EF30&gt;=SchemeStart),IF(AND(Milestones!$AB$144="FT",Milestones!$AA$144=FT_Y5,EF30&lt;PolicyEff),1,Milestones!$AC$144),0))</f>
        <v>0</v>
      </c>
      <c r="EG32" s="0" t="n">
        <f aca="false">IF(EG30="",0,IF(AND(EG31=Milestones!$AB$145,EG30&gt;=SchemeStart),IF(AND(Milestones!$AB$145="FT",Milestones!$AA$145=FT_Y5,EG30&lt;PolicyEff),1,Milestones!$AC$145),0))</f>
        <v>0</v>
      </c>
      <c r="EH32" s="0" t="n">
        <f aca="false">IF(EH30="",0,IF(AND(EH31=Milestones!$AB$146,EH30&gt;=SchemeStart),IF(AND(Milestones!$AB$146="FT",Milestones!$AA$146=FT_Y5,EH30&lt;PolicyEff),1,Milestones!$AC$146),0))</f>
        <v>0</v>
      </c>
      <c r="EI32" s="0" t="n">
        <f aca="false">IF(EI30="",0,IF(AND(EI31=Milestones!$AB$147,EI30&gt;=SchemeStart),IF(AND(Milestones!$AB$147="FT",Milestones!$AA$147=FT_Y5,EI30&lt;PolicyEff),1,Milestones!$AC$147),0))</f>
        <v>0</v>
      </c>
      <c r="EJ32" s="0" t="n">
        <f aca="false">IF(EJ30="",0,IF(AND(EJ31=Milestones!$AB$148,EJ30&gt;=SchemeStart),IF(AND(Milestones!$AB$148="FT",Milestones!$AA$148=FT_Y5,EJ30&lt;PolicyEff),1,Milestones!$AC$148),0))</f>
        <v>0</v>
      </c>
      <c r="EK32" s="0" t="n">
        <f aca="false">IF(EK30="",0,IF(AND(EK31=Milestones!$AB$149,EK30&gt;=SchemeStart),IF(AND(Milestones!$AB$149="FT",Milestones!$AA$149=FT_Y5,EK30&lt;PolicyEff),1,Milestones!$AC$149),0))</f>
        <v>0</v>
      </c>
      <c r="EL32" s="0" t="n">
        <f aca="false">IF(EL30="",0,IF(AND(EL31=Milestones!$AB$150,EL30&gt;=SchemeStart),IF(AND(Milestones!$AB$150="FT",Milestones!$AA$150=FT_Y5,EL30&lt;PolicyEff),1,Milestones!$AC$150),0))</f>
        <v>0</v>
      </c>
      <c r="EM32" s="0" t="n">
        <f aca="false">IF(EM30="",0,IF(AND(EM31=Milestones!$AB$151,EM30&gt;=SchemeStart),IF(AND(Milestones!$AB$151="FT",Milestones!$AA$151=FT_Y5,EM30&lt;PolicyEff),1,Milestones!$AC$151),0))</f>
        <v>0</v>
      </c>
      <c r="EN32" s="0" t="n">
        <f aca="false">IF(EN30="",0,IF(AND(EN31=Milestones!$AB$152,EN30&gt;=SchemeStart),IF(AND(Milestones!$AB$152="FT",Milestones!$AA$152=FT_Y5,EN30&lt;PolicyEff),1,Milestones!$AC$152),0))</f>
        <v>0</v>
      </c>
      <c r="EO32" s="0" t="n">
        <f aca="false">IF(EO30="",0,IF(AND(EO31=Milestones!$AB$153,EO30&gt;=SchemeStart),IF(AND(Milestones!$AB$153="FT",Milestones!$AA$153=FT_Y5,EO30&lt;PolicyEff),1,Milestones!$AC$153),0))</f>
        <v>0</v>
      </c>
      <c r="EP32" s="0" t="n">
        <f aca="false">IF(EP30="",0,IF(AND(EP31=Milestones!$AB$154,EP30&gt;=SchemeStart),IF(AND(Milestones!$AB$154="FT",Milestones!$AA$154=FT_Y5,EP30&lt;PolicyEff),1,Milestones!$AC$154),0))</f>
        <v>0</v>
      </c>
      <c r="EQ32" s="0" t="n">
        <f aca="false">IF(EQ30="",0,IF(AND(EQ31=Milestones!$AB$155,EQ30&gt;=SchemeStart),IF(AND(Milestones!$AB$155="FT",Milestones!$AA$155=FT_Y5,EQ30&lt;PolicyEff),1,Milestones!$AC$155),0))</f>
        <v>0</v>
      </c>
      <c r="ER32" s="0" t="n">
        <f aca="false">IF(ER30="",0,IF(AND(ER31=Milestones!$AB$156,ER30&gt;=SchemeStart),IF(AND(Milestones!$AB$156="FT",Milestones!$AA$156=FT_Y5,ER30&lt;PolicyEff),1,Milestones!$AC$156),0))</f>
        <v>0</v>
      </c>
      <c r="ES32" s="0" t="n">
        <f aca="false">IF(ES30="",0,IF(AND(ES31=Milestones!$AB$157,ES30&gt;=SchemeStart),IF(AND(Milestones!$AB$157="FT",Milestones!$AA$157=FT_Y5,ES30&lt;PolicyEff),1,Milestones!$AC$157),0))</f>
        <v>0</v>
      </c>
      <c r="ET32" s="0" t="n">
        <f aca="false">IF(ET30="",0,IF(AND(ET31=Milestones!$AB$158,ET30&gt;=SchemeStart),IF(AND(Milestones!$AB$158="FT",Milestones!$AA$158=FT_Y5,ET30&lt;PolicyEff),1,Milestones!$AC$158),0))</f>
        <v>0</v>
      </c>
      <c r="EU32" s="0" t="n">
        <f aca="false">IF(EU30="",0,IF(AND(EU31=Milestones!$AB$159,EU30&gt;=SchemeStart),IF(AND(Milestones!$AB$159="FT",Milestones!$AA$159=FT_Y5,EU30&lt;PolicyEff),1,Milestones!$AC$159),0))</f>
        <v>0</v>
      </c>
      <c r="EV32" s="0" t="n">
        <f aca="false">IF(EV30="",0,IF(AND(EV31=Milestones!$AB$160,EV30&gt;=SchemeStart),IF(AND(Milestones!$AB$160="FT",Milestones!$AA$160=FT_Y5,EV30&lt;PolicyEff),1,Milestones!$AC$160),0))</f>
        <v>0</v>
      </c>
      <c r="EW32" s="0" t="n">
        <f aca="false">IF(EW30="",0,IF(AND(EW31=Milestones!$AB$161,EW30&gt;=SchemeStart),IF(AND(Milestones!$AB$161="FT",Milestones!$AA$161=FT_Y5,EW30&lt;PolicyEff),1,Milestones!$AC$161),0))</f>
        <v>0</v>
      </c>
      <c r="EX32" s="0" t="n">
        <f aca="false">IF(EX30="",0,IF(AND(EX31=Milestones!$AB$162,EX30&gt;=SchemeStart),IF(AND(Milestones!$AB$162="FT",Milestones!$AA$162=FT_Y5,EX30&lt;PolicyEff),1,Milestones!$AC$162),0))</f>
        <v>0</v>
      </c>
      <c r="EY32" s="0" t="n">
        <f aca="false">IF(EY30="",0,IF(AND(EY31=Milestones!$AB$163,EY30&gt;=SchemeStart),IF(AND(Milestones!$AB$163="FT",Milestones!$AA$163=FT_Y5,EY30&lt;PolicyEff),1,Milestones!$AC$163),0))</f>
        <v>0</v>
      </c>
      <c r="EZ32" s="0" t="n">
        <f aca="false">IF(EZ30="",0,IF(AND(EZ31=Milestones!$AB$164,EZ30&gt;=SchemeStart),IF(AND(Milestones!$AB$164="FT",Milestones!$AA$164=FT_Y5,EZ30&lt;PolicyEff),1,Milestones!$AC$164),0))</f>
        <v>0</v>
      </c>
      <c r="FA32" s="0" t="n">
        <f aca="false">IF(FA30="",0,IF(AND(FA31=Milestones!$AB$165,FA30&gt;=SchemeStart),IF(AND(Milestones!$AB$165="FT",Milestones!$AA$165=FT_Y5,FA30&lt;PolicyEff),1,Milestones!$AC$165),0))</f>
        <v>0</v>
      </c>
      <c r="FB32" s="0" t="n">
        <f aca="false">IF(FB30="",0,IF(AND(FB31=Milestones!$AB$166,FB30&gt;=SchemeStart),IF(AND(Milestones!$AB$166="FT",Milestones!$AA$166=FT_Y5,FB30&lt;PolicyEff),1,Milestones!$AC$166),0))</f>
        <v>0</v>
      </c>
      <c r="FC32" s="0" t="n">
        <f aca="false">IF(FC30="",0,IF(AND(FC31=Milestones!$AB$167,FC30&gt;=SchemeStart),IF(AND(Milestones!$AB$167="FT",Milestones!$AA$167=FT_Y5,FC30&lt;PolicyEff),1,Milestones!$AC$167),0))</f>
        <v>0</v>
      </c>
      <c r="FD32" s="0" t="n">
        <f aca="false">IF(FD30="",0,IF(AND(FD31=Milestones!$AB$168,FD30&gt;=SchemeStart),IF(AND(Milestones!$AB$168="FT",Milestones!$AA$168=FT_Y5,FD30&lt;PolicyEff),1,Milestones!$AC$168),0))</f>
        <v>0</v>
      </c>
      <c r="FE32" s="0" t="n">
        <f aca="false">IF(FE30="",0,IF(AND(FE31=Milestones!$AB$169,FE30&gt;=SchemeStart),IF(AND(Milestones!$AB$169="FT",Milestones!$AA$169=FT_Y5,FE30&lt;PolicyEff),1,Milestones!$AC$169),0))</f>
        <v>0</v>
      </c>
      <c r="FF32" s="0" t="n">
        <f aca="false">IF(FF30="",0,IF(AND(FF31=Milestones!$AB$170,FF30&gt;=SchemeStart),IF(AND(Milestones!$AB$170="FT",Milestones!$AA$170=FT_Y5,FF30&lt;PolicyEff),1,Milestones!$AC$170),0))</f>
        <v>0</v>
      </c>
      <c r="FG32" s="0" t="n">
        <f aca="false">IF(FG30="",0,IF(AND(FG31=Milestones!$AB$171,FG30&gt;=SchemeStart),IF(AND(Milestones!$AB$171="FT",Milestones!$AA$171=FT_Y5,FG30&lt;PolicyEff),1,Milestones!$AC$171),0))</f>
        <v>0</v>
      </c>
      <c r="FH32" s="0" t="n">
        <f aca="false">IF(FH30="",0,IF(AND(FH31=Milestones!$AB$172,FH30&gt;=SchemeStart),IF(AND(Milestones!$AB$172="FT",Milestones!$AA$172=FT_Y5,FH30&lt;PolicyEff),1,Milestones!$AC$172),0))</f>
        <v>0</v>
      </c>
      <c r="FI32" s="0" t="n">
        <f aca="false">IF(FI30="",0,IF(AND(FI31=Milestones!$AB$173,FI30&gt;=SchemeStart),IF(AND(Milestones!$AB$173="FT",Milestones!$AA$173=FT_Y5,FI30&lt;PolicyEff),1,Milestones!$AC$173),0))</f>
        <v>0</v>
      </c>
      <c r="FJ32" s="0" t="n">
        <f aca="false">IF(FJ30="",0,IF(AND(FJ31=Milestones!$AB$174,FJ30&gt;=SchemeStart),IF(AND(Milestones!$AB$174="FT",Milestones!$AA$174=FT_Y5,FJ30&lt;PolicyEff),1,Milestones!$AC$174),0))</f>
        <v>0</v>
      </c>
      <c r="FK32" s="0" t="n">
        <f aca="false">IF(FK30="",0,IF(AND(FK31=Milestones!$AB$175,FK30&gt;=SchemeStart),IF(AND(Milestones!$AB$175="FT",Milestones!$AA$175=FT_Y5,FK30&lt;PolicyEff),1,Milestones!$AC$175),0))</f>
        <v>0</v>
      </c>
      <c r="FL32" s="0" t="n">
        <f aca="false">IF(FL30="",0,IF(AND(FL31=Milestones!$AB$176,FL30&gt;=SchemeStart),IF(AND(Milestones!$AB$176="FT",Milestones!$AA$176=FT_Y5,FL30&lt;PolicyEff),1,Milestones!$AC$176),0))</f>
        <v>0</v>
      </c>
      <c r="FM32" s="0" t="n">
        <f aca="false">IF(FM30="",0,IF(AND(FM31=Milestones!$AB$177,FM30&gt;=SchemeStart),IF(AND(Milestones!$AB$177="FT",Milestones!$AA$177=FT_Y5,FM30&lt;PolicyEff),1,Milestones!$AC$177),0))</f>
        <v>0</v>
      </c>
      <c r="FN32" s="0" t="n">
        <f aca="false">IF(FN30="",0,IF(AND(FN31=Milestones!$AB$178,FN30&gt;=SchemeStart),IF(AND(Milestones!$AB$178="FT",Milestones!$AA$178=FT_Y5,FN30&lt;PolicyEff),1,Milestones!$AC$178),0))</f>
        <v>0</v>
      </c>
      <c r="FO32" s="0" t="n">
        <f aca="false">IF(FO30="",0,IF(AND(FO31=Milestones!$AB$179,FO30&gt;=SchemeStart),IF(AND(Milestones!$AB$179="FT",Milestones!$AA$179=FT_Y5,FO30&lt;PolicyEff),1,Milestones!$AC$179),0))</f>
        <v>0</v>
      </c>
      <c r="FP32" s="0" t="n">
        <f aca="false">IF(FP30="",0,IF(AND(FP31=Milestones!$AB$180,FP30&gt;=SchemeStart),IF(AND(Milestones!$AB$180="FT",Milestones!$AA$180=FT_Y5,FP30&lt;PolicyEff),1,Milestones!$AC$180),0))</f>
        <v>0</v>
      </c>
      <c r="FQ32" s="0" t="n">
        <f aca="false">IF(FQ30="",0,IF(AND(FQ31=Milestones!$AB$181,FQ30&gt;=SchemeStart),IF(AND(Milestones!$AB$181="FT",Milestones!$AA$181=FT_Y5,FQ30&lt;PolicyEff),1,Milestones!$AC$181),0))</f>
        <v>0</v>
      </c>
      <c r="FR32" s="0" t="n">
        <f aca="false">IF(FR30="",0,IF(AND(FR31=Milestones!$AB$182,FR30&gt;=SchemeStart),IF(AND(Milestones!$AB$182="FT",Milestones!$AA$182=FT_Y5,FR30&lt;PolicyEff),1,Milestones!$AC$182),0))</f>
        <v>0</v>
      </c>
      <c r="FS32" s="0" t="n">
        <f aca="false">IF(FS30="",0,IF(AND(FS31=Milestones!$AB$183,FS30&gt;=SchemeStart),IF(AND(Milestones!$AB$183="FT",Milestones!$AA$183=FT_Y5,FS30&lt;PolicyEff),1,Milestones!$AC$183),0))</f>
        <v>0</v>
      </c>
      <c r="FT32" s="0" t="n">
        <f aca="false">IF(FT30="",0,IF(AND(FT31=Milestones!$AB$184,FT30&gt;=SchemeStart),IF(AND(Milestones!$AB$184="FT",Milestones!$AA$184=FT_Y5,FT30&lt;PolicyEff),1,Milestones!$AC$184),0))</f>
        <v>0</v>
      </c>
      <c r="FU32" s="0" t="n">
        <f aca="false">IF(FU30="",0,IF(AND(FU31=Milestones!$AB$185,FU30&gt;=SchemeStart),IF(AND(Milestones!$AB$185="FT",Milestones!$AA$185=FT_Y5,FU30&lt;PolicyEff),1,Milestones!$AC$185),0))</f>
        <v>0</v>
      </c>
      <c r="FV32" s="0" t="n">
        <f aca="false">IF(FV30="",0,IF(AND(FV31=Milestones!$AB$186,FV30&gt;=SchemeStart),IF(AND(Milestones!$AB$186="FT",Milestones!$AA$186=FT_Y5,FV30&lt;PolicyEff),1,Milestones!$AC$186),0))</f>
        <v>0</v>
      </c>
      <c r="FW32" s="0" t="n">
        <f aca="false">IF(FW30="",0,IF(AND(FW31=Milestones!$AB$187,FW30&gt;=SchemeStart),IF(AND(Milestones!$AB$187="FT",Milestones!$AA$187=FT_Y5,FW30&lt;PolicyEff),1,Milestones!$AC$187),0))</f>
        <v>0</v>
      </c>
      <c r="FX32" s="0" t="n">
        <f aca="false">IF(FX30="",0,IF(AND(FX31=Milestones!$AB$188,FX30&gt;=SchemeStart),IF(AND(Milestones!$AB$188="FT",Milestones!$AA$188=FT_Y5,FX30&lt;PolicyEff),1,Milestones!$AC$188),0))</f>
        <v>0</v>
      </c>
      <c r="FY32" s="0" t="n">
        <f aca="false">IF(FY30="",0,IF(AND(FY31=Milestones!$AB$189,FY30&gt;=SchemeStart),IF(AND(Milestones!$AB$189="FT",Milestones!$AA$189=FT_Y5,FY30&lt;PolicyEff),1,Milestones!$AC$189),0))</f>
        <v>0</v>
      </c>
      <c r="FZ32" s="0" t="n">
        <f aca="false">IF(FZ30="",0,IF(AND(FZ31=Milestones!$AB$190,FZ30&gt;=SchemeStart),IF(AND(Milestones!$AB$190="FT",Milestones!$AA$190=FT_Y5,FZ30&lt;PolicyEff),1,Milestones!$AC$190),0))</f>
        <v>0</v>
      </c>
      <c r="GA32" s="0" t="n">
        <f aca="false">IF(GA30="",0,IF(AND(GA31=Milestones!$AB$191,GA30&gt;=SchemeStart),IF(AND(Milestones!$AB$191="FT",Milestones!$AA$191=FT_Y5,GA30&lt;PolicyEff),1,Milestones!$AC$191),0))</f>
        <v>0</v>
      </c>
      <c r="GB32" s="0" t="n">
        <f aca="false">IF(GB30="",0,IF(AND(GB31=Milestones!$AB$192,GB30&gt;=SchemeStart),IF(AND(Milestones!$AB$192="FT",Milestones!$AA$192=FT_Y5,GB30&lt;PolicyEff),1,Milestones!$AC$192),0))</f>
        <v>0</v>
      </c>
      <c r="GC32" s="0" t="n">
        <f aca="false">IF(GC30="",0,IF(AND(GC31=Milestones!$AB$193,GC30&gt;=SchemeStart),IF(AND(Milestones!$AB$193="FT",Milestones!$AA$193=FT_Y5,GC30&lt;PolicyEff),1,Milestones!$AC$193),0))</f>
        <v>0</v>
      </c>
      <c r="GD32" s="0" t="n">
        <f aca="false">IF(GD30="",0,IF(AND(GD31=Milestones!$AB$194,GD30&gt;=SchemeStart),IF(AND(Milestones!$AB$194="FT",Milestones!$AA$194=FT_Y5,GD30&lt;PolicyEff),1,Milestones!$AC$194),0))</f>
        <v>0</v>
      </c>
      <c r="GE32" s="0" t="n">
        <f aca="false">IF(GE30="",0,IF(AND(GE31=Milestones!$AB$195,GE30&gt;=SchemeStart),IF(AND(Milestones!$AB$195="FT",Milestones!$AA$195=FT_Y5,GE30&lt;PolicyEff),1,Milestones!$AC$195),0))</f>
        <v>0</v>
      </c>
      <c r="GF32" s="0" t="n">
        <f aca="false">IF(GF30="",0,IF(AND(GF31=Milestones!$AB$196,GF30&gt;=SchemeStart),IF(AND(Milestones!$AB$196="FT",Milestones!$AA$196=FT_Y5,GF30&lt;PolicyEff),1,Milestones!$AC$196),0))</f>
        <v>0</v>
      </c>
      <c r="GG32" s="0" t="n">
        <f aca="false">IF(GG30="",0,IF(AND(GG31=Milestones!$AB$197,GG30&gt;=SchemeStart),IF(AND(Milestones!$AB$197="FT",Milestones!$AA$197=FT_Y5,GG30&lt;PolicyEff),1,Milestones!$AC$197),0))</f>
        <v>0</v>
      </c>
      <c r="GH32" s="0" t="n">
        <f aca="false">IF(GH30="",0,IF(AND(GH31=Milestones!$AB$198,GH30&gt;=SchemeStart),IF(AND(Milestones!$AB$198="FT",Milestones!$AA$198=FT_Y5,GH30&lt;PolicyEff),1,Milestones!$AC$198),0))</f>
        <v>0</v>
      </c>
      <c r="GI32" s="0" t="n">
        <f aca="false">IF(GI30="",0,IF(AND(GI31=Milestones!$AB$199,GI30&gt;=SchemeStart),IF(AND(Milestones!$AB$199="FT",Milestones!$AA$199=FT_Y5,GI30&lt;PolicyEff),1,Milestones!$AC$199),0))</f>
        <v>0</v>
      </c>
    </row>
    <row r="33" customFormat="false" ht="15" hidden="false" customHeight="false" outlineLevel="0" collapsed="false">
      <c r="A33" s="0" t="str">
        <f aca="false">IF('HR Tally Check'!L$7="","",'HR Tally Check'!L$7)</f>
        <v/>
      </c>
      <c r="B33" s="0" t="str">
        <f aca="false">IF(A33="","",ISNUMBER(MATCH(A33,Staff!$BR$5:$BR$154,0)))</f>
        <v/>
      </c>
      <c r="C33" s="20" t="str">
        <f aca="false">IF(B33&lt;&gt;TRUE(),"",INDEX(Staff!$AL$5:$AL$154,MATCH($A33,Staff!$BR$5:$BR$154,0)))</f>
        <v/>
      </c>
      <c r="D33" s="0" t="str">
        <f aca="false">IF(B33&lt;&gt;TRUE(),"",INDEX(Staff!$AM$5:$AM$154,MATCH($A33,Staff!$BR$5:$BR$154,0)))</f>
        <v/>
      </c>
      <c r="E33" s="20" t="str">
        <f aca="false">IF(B33&lt;&gt;TRUE(),"",INDEX(Staff!$AO$5:$AO$154,MATCH($A33,Staff!$BR$5:$BR$154,0)))</f>
        <v/>
      </c>
      <c r="F33" s="20" t="str">
        <f aca="false">IF(B33&lt;&gt;TRUE(),"",INDEX(Staff!$AP$5:$AP$154,MATCH($A33,Staff!$BR$5:$BR$154,0)))</f>
        <v/>
      </c>
      <c r="G33" s="0" t="str">
        <f aca="false">IF(B33&lt;&gt;TRUE(),"",INDEX(Staff!$AT$5:$AT$154,MATCH($A33,Staff!$BR$5:$BR$154,0)))</f>
        <v/>
      </c>
      <c r="H33" s="0" t="str">
        <f aca="false">IF(B33&lt;&gt;TRUE(),"",INDEX(Staff!$AU$5:$AU$154,MATCH($A33,Staff!$BR$5:$BR$154,0)))</f>
        <v/>
      </c>
      <c r="I33" s="0" t="str">
        <f aca="false">IF(B33&lt;&gt;TRUE(),"",INDEX(Staff!$AV$5:$AV$154,MATCH($A33,Staff!$BR$5:$BR$154,0)))</f>
        <v/>
      </c>
      <c r="J33" s="0" t="str">
        <f aca="false">IF(B33&lt;&gt;TRUE(),"",INDEX(Staff!$AW$5:$AW$154,MATCH($A33,Staff!$BR$5:$BR$154,0)))</f>
        <v/>
      </c>
      <c r="K33" s="33" t="s">
        <v>262</v>
      </c>
      <c r="L33" s="20" t="str">
        <f aca="false">IF($C33="","",EDATE($C33,Milestones!$AA$20))</f>
        <v/>
      </c>
      <c r="M33" s="20" t="str">
        <f aca="false">IF($C33="","",EDATE($C33,Milestones!$AA$21))</f>
        <v/>
      </c>
      <c r="N33" s="20" t="str">
        <f aca="false">IF($C33="","",EDATE($C33,Milestones!$AA$22))</f>
        <v/>
      </c>
      <c r="O33" s="20" t="str">
        <f aca="false">IF($C33="","",EDATE($C33,Milestones!$AA$23))</f>
        <v/>
      </c>
      <c r="P33" s="20" t="str">
        <f aca="false">IF($C33="","",EDATE($C33,Milestones!$AA$24))</f>
        <v/>
      </c>
      <c r="Q33" s="20" t="str">
        <f aca="false">IF($C33="","",EDATE($C33,Milestones!$AA$25))</f>
        <v/>
      </c>
      <c r="R33" s="20" t="str">
        <f aca="false">IF($C33="","",EDATE($C33,Milestones!$AA$26))</f>
        <v/>
      </c>
      <c r="S33" s="20" t="str">
        <f aca="false">IF($C33="","",EDATE($C33,Milestones!$AA$27))</f>
        <v/>
      </c>
      <c r="T33" s="20" t="str">
        <f aca="false">IF($C33="","",EDATE($C33,Milestones!$AA$28))</f>
        <v/>
      </c>
      <c r="U33" s="20" t="str">
        <f aca="false">IF($C33="","",EDATE($C33,Milestones!$AA$29))</f>
        <v/>
      </c>
      <c r="V33" s="20" t="str">
        <f aca="false">IF($C33="","",EDATE($C33,Milestones!$AA$30))</f>
        <v/>
      </c>
      <c r="W33" s="20" t="str">
        <f aca="false">IF($C33="","",EDATE($C33,Milestones!$AA$31))</f>
        <v/>
      </c>
      <c r="X33" s="20" t="str">
        <f aca="false">IF($C33="","",EDATE($C33,Milestones!$AA$32))</f>
        <v/>
      </c>
      <c r="Y33" s="20" t="str">
        <f aca="false">IF($C33="","",EDATE($C33,Milestones!$AA$33))</f>
        <v/>
      </c>
      <c r="Z33" s="20" t="str">
        <f aca="false">IF($C33="","",EDATE($C33,Milestones!$AA$34))</f>
        <v/>
      </c>
      <c r="AA33" s="20" t="str">
        <f aca="false">IF($C33="","",EDATE($C33,Milestones!$AA$35))</f>
        <v/>
      </c>
      <c r="AB33" s="20" t="str">
        <f aca="false">IF($C33="","",EDATE($C33,Milestones!$AA$36))</f>
        <v/>
      </c>
      <c r="AC33" s="20" t="str">
        <f aca="false">IF($C33="","",EDATE($C33,Milestones!$AA$37))</f>
        <v/>
      </c>
      <c r="AD33" s="20" t="str">
        <f aca="false">IF($C33="","",EDATE($C33,Milestones!$AA$38))</f>
        <v/>
      </c>
      <c r="AE33" s="20" t="str">
        <f aca="false">IF($C33="","",EDATE($C33,Milestones!$AA$39))</f>
        <v/>
      </c>
      <c r="AF33" s="20" t="str">
        <f aca="false">IF($C33="","",EDATE($C33,Milestones!$AA$40))</f>
        <v/>
      </c>
      <c r="AG33" s="20" t="str">
        <f aca="false">IF($C33="","",EDATE($C33,Milestones!$AA$41))</f>
        <v/>
      </c>
      <c r="AH33" s="20" t="str">
        <f aca="false">IF($C33="","",EDATE($C33,Milestones!$AA$42))</f>
        <v/>
      </c>
      <c r="AI33" s="20" t="str">
        <f aca="false">IF($C33="","",EDATE($C33,Milestones!$AA$43))</f>
        <v/>
      </c>
      <c r="AJ33" s="20" t="str">
        <f aca="false">IF($C33="","",EDATE($C33,Milestones!$AA$44))</f>
        <v/>
      </c>
      <c r="AK33" s="20" t="str">
        <f aca="false">IF($C33="","",EDATE($C33,Milestones!$AA$45))</f>
        <v/>
      </c>
      <c r="AL33" s="20" t="str">
        <f aca="false">IF($C33="","",EDATE($C33,Milestones!$AA$46))</f>
        <v/>
      </c>
      <c r="AM33" s="20" t="str">
        <f aca="false">IF($C33="","",EDATE($C33,Milestones!$AA$47))</f>
        <v/>
      </c>
      <c r="AN33" s="20" t="str">
        <f aca="false">IF($C33="","",EDATE($C33,Milestones!$AA$48))</f>
        <v/>
      </c>
      <c r="AO33" s="20" t="str">
        <f aca="false">IF($C33="","",EDATE($C33,Milestones!$AA$49))</f>
        <v/>
      </c>
      <c r="AP33" s="20" t="str">
        <f aca="false">IF($C33="","",EDATE($C33,Milestones!$AA$50))</f>
        <v/>
      </c>
      <c r="AQ33" s="20" t="str">
        <f aca="false">IF($C33="","",EDATE($C33,Milestones!$AA$51))</f>
        <v/>
      </c>
      <c r="AR33" s="20" t="str">
        <f aca="false">IF($C33="","",EDATE($C33,Milestones!$AA$52))</f>
        <v/>
      </c>
      <c r="AS33" s="20" t="str">
        <f aca="false">IF($C33="","",EDATE($C33,Milestones!$AA$53))</f>
        <v/>
      </c>
      <c r="AT33" s="20" t="str">
        <f aca="false">IF($C33="","",EDATE($C33,Milestones!$AA$54))</f>
        <v/>
      </c>
      <c r="AU33" s="20" t="str">
        <f aca="false">IF($C33="","",EDATE($C33,Milestones!$AA$55))</f>
        <v/>
      </c>
      <c r="AV33" s="20" t="str">
        <f aca="false">IF($C33="","",EDATE($C33,Milestones!$AA$56))</f>
        <v/>
      </c>
      <c r="AW33" s="20" t="str">
        <f aca="false">IF($C33="","",EDATE($C33,Milestones!$AA$57))</f>
        <v/>
      </c>
      <c r="AX33" s="20" t="str">
        <f aca="false">IF($C33="","",EDATE($C33,Milestones!$AA$58))</f>
        <v/>
      </c>
      <c r="AY33" s="20" t="str">
        <f aca="false">IF($C33="","",EDATE($C33,Milestones!$AA$59))</f>
        <v/>
      </c>
      <c r="AZ33" s="20" t="str">
        <f aca="false">IF($C33="","",EDATE($C33,Milestones!$AA$60))</f>
        <v/>
      </c>
      <c r="BA33" s="20" t="str">
        <f aca="false">IF($C33="","",EDATE($C33,Milestones!$AA$61))</f>
        <v/>
      </c>
      <c r="BB33" s="20" t="str">
        <f aca="false">IF($C33="","",EDATE($C33,Milestones!$AA$62))</f>
        <v/>
      </c>
      <c r="BC33" s="20" t="str">
        <f aca="false">IF($C33="","",EDATE($C33,Milestones!$AA$63))</f>
        <v/>
      </c>
      <c r="BD33" s="20" t="str">
        <f aca="false">IF($C33="","",EDATE($C33,Milestones!$AA$64))</f>
        <v/>
      </c>
      <c r="BE33" s="20" t="str">
        <f aca="false">IF($C33="","",EDATE($C33,Milestones!$AA$65))</f>
        <v/>
      </c>
      <c r="BF33" s="20" t="str">
        <f aca="false">IF($C33="","",EDATE($C33,Milestones!$AA$66))</f>
        <v/>
      </c>
      <c r="BG33" s="20" t="str">
        <f aca="false">IF($C33="","",EDATE($C33,Milestones!$AA$67))</f>
        <v/>
      </c>
      <c r="BH33" s="20" t="str">
        <f aca="false">IF($C33="","",EDATE($C33,Milestones!$AA$68))</f>
        <v/>
      </c>
      <c r="BI33" s="20" t="str">
        <f aca="false">IF($C33="","",EDATE($C33,Milestones!$AA$69))</f>
        <v/>
      </c>
      <c r="BJ33" s="20" t="str">
        <f aca="false">IF($C33="","",EDATE($C33,Milestones!$AA$70))</f>
        <v/>
      </c>
      <c r="BK33" s="20" t="str">
        <f aca="false">IF($C33="","",EDATE($C33,Milestones!$AA$71))</f>
        <v/>
      </c>
      <c r="BL33" s="20" t="str">
        <f aca="false">IF($C33="","",EDATE($C33,Milestones!$AA$72))</f>
        <v/>
      </c>
      <c r="BM33" s="20" t="str">
        <f aca="false">IF($C33="","",EDATE($C33,Milestones!$AA$73))</f>
        <v/>
      </c>
      <c r="BN33" s="20" t="str">
        <f aca="false">IF($C33="","",EDATE($C33,Milestones!$AA$74))</f>
        <v/>
      </c>
      <c r="BO33" s="20" t="str">
        <f aca="false">IF($C33="","",EDATE($C33,Milestones!$AA$75))</f>
        <v/>
      </c>
      <c r="BP33" s="20" t="str">
        <f aca="false">IF($C33="","",EDATE($C33,Milestones!$AA$76))</f>
        <v/>
      </c>
      <c r="BQ33" s="20" t="str">
        <f aca="false">IF($C33="","",EDATE($C33,Milestones!$AA$77))</f>
        <v/>
      </c>
      <c r="BR33" s="20" t="str">
        <f aca="false">IF($C33="","",EDATE($C33,Milestones!$AA$78))</f>
        <v/>
      </c>
      <c r="BS33" s="20" t="str">
        <f aca="false">IF($C33="","",EDATE($C33,Milestones!$AA$79))</f>
        <v/>
      </c>
      <c r="BT33" s="20" t="str">
        <f aca="false">IF($C33="","",EDATE($C33,Milestones!$AA$80))</f>
        <v/>
      </c>
      <c r="BU33" s="20" t="str">
        <f aca="false">IF($C33="","",EDATE($C33,Milestones!$AA$81))</f>
        <v/>
      </c>
      <c r="BV33" s="20" t="str">
        <f aca="false">IF($C33="","",EDATE($C33,Milestones!$AA$82))</f>
        <v/>
      </c>
      <c r="BW33" s="20" t="str">
        <f aca="false">IF($C33="","",EDATE($C33,Milestones!$AA$83))</f>
        <v/>
      </c>
      <c r="BX33" s="20" t="str">
        <f aca="false">IF($C33="","",EDATE($C33,Milestones!$AA$84))</f>
        <v/>
      </c>
      <c r="BY33" s="20" t="str">
        <f aca="false">IF($C33="","",EDATE($C33,Milestones!$AA$85))</f>
        <v/>
      </c>
      <c r="BZ33" s="20" t="str">
        <f aca="false">IF($C33="","",EDATE($C33,Milestones!$AA$86))</f>
        <v/>
      </c>
      <c r="CA33" s="20" t="str">
        <f aca="false">IF($C33="","",EDATE($C33,Milestones!$AA$87))</f>
        <v/>
      </c>
      <c r="CB33" s="20" t="str">
        <f aca="false">IF($C33="","",EDATE($C33,Milestones!$AA$88))</f>
        <v/>
      </c>
      <c r="CC33" s="20" t="str">
        <f aca="false">IF($C33="","",EDATE($C33,Milestones!$AA$89))</f>
        <v/>
      </c>
      <c r="CD33" s="20" t="str">
        <f aca="false">IF($C33="","",EDATE($C33,Milestones!$AA$90))</f>
        <v/>
      </c>
      <c r="CE33" s="20" t="str">
        <f aca="false">IF($C33="","",EDATE($C33,Milestones!$AA$91))</f>
        <v/>
      </c>
      <c r="CF33" s="20" t="str">
        <f aca="false">IF($C33="","",EDATE($C33,Milestones!$AA$92))</f>
        <v/>
      </c>
      <c r="CG33" s="20" t="str">
        <f aca="false">IF($C33="","",EDATE($C33,Milestones!$AA$93))</f>
        <v/>
      </c>
      <c r="CH33" s="20" t="str">
        <f aca="false">IF($C33="","",EDATE($C33,Milestones!$AA$94))</f>
        <v/>
      </c>
      <c r="CI33" s="20" t="str">
        <f aca="false">IF($C33="","",EDATE($C33,Milestones!$AA$95))</f>
        <v/>
      </c>
      <c r="CJ33" s="20" t="str">
        <f aca="false">IF($C33="","",EDATE($C33,Milestones!$AA$96))</f>
        <v/>
      </c>
      <c r="CK33" s="20" t="str">
        <f aca="false">IF($C33="","",EDATE($C33,Milestones!$AA$97))</f>
        <v/>
      </c>
      <c r="CL33" s="20" t="str">
        <f aca="false">IF($C33="","",EDATE($C33,Milestones!$AA$98))</f>
        <v/>
      </c>
      <c r="CM33" s="20" t="str">
        <f aca="false">IF($C33="","",EDATE($C33,Milestones!$AA$99))</f>
        <v/>
      </c>
      <c r="CN33" s="20" t="str">
        <f aca="false">IF($C33="","",EDATE($C33,Milestones!$AA$100))</f>
        <v/>
      </c>
      <c r="CO33" s="20" t="str">
        <f aca="false">IF($C33="","",EDATE($C33,Milestones!$AA$101))</f>
        <v/>
      </c>
      <c r="CP33" s="20" t="str">
        <f aca="false">IF($C33="","",EDATE($C33,Milestones!$AA$102))</f>
        <v/>
      </c>
      <c r="CQ33" s="20" t="str">
        <f aca="false">IF($C33="","",EDATE($C33,Milestones!$AA$103))</f>
        <v/>
      </c>
      <c r="CR33" s="20" t="str">
        <f aca="false">IF($C33="","",EDATE($C33,Milestones!$AA$104))</f>
        <v/>
      </c>
      <c r="CS33" s="20" t="str">
        <f aca="false">IF($C33="","",EDATE($C33,Milestones!$AA$105))</f>
        <v/>
      </c>
      <c r="CT33" s="20" t="str">
        <f aca="false">IF($C33="","",EDATE($C33,Milestones!$AA$106))</f>
        <v/>
      </c>
      <c r="CU33" s="20" t="str">
        <f aca="false">IF($C33="","",EDATE($C33,Milestones!$AA$107))</f>
        <v/>
      </c>
      <c r="CV33" s="20" t="str">
        <f aca="false">IF($C33="","",EDATE($C33,Milestones!$AA$108))</f>
        <v/>
      </c>
      <c r="CW33" s="20" t="str">
        <f aca="false">IF($C33="","",EDATE($C33,Milestones!$AA$109))</f>
        <v/>
      </c>
      <c r="CX33" s="20" t="str">
        <f aca="false">IF($C33="","",EDATE($C33,Milestones!$AA$110))</f>
        <v/>
      </c>
      <c r="CY33" s="20" t="str">
        <f aca="false">IF($C33="","",EDATE($C33,Milestones!$AA$111))</f>
        <v/>
      </c>
      <c r="CZ33" s="20" t="str">
        <f aca="false">IF($C33="","",EDATE($C33,Milestones!$AA$112))</f>
        <v/>
      </c>
      <c r="DA33" s="20" t="str">
        <f aca="false">IF($C33="","",EDATE($C33,Milestones!$AA$113))</f>
        <v/>
      </c>
      <c r="DB33" s="20" t="str">
        <f aca="false">IF($C33="","",EDATE($C33,Milestones!$AA$114))</f>
        <v/>
      </c>
      <c r="DC33" s="20" t="str">
        <f aca="false">IF($C33="","",EDATE($C33,Milestones!$AA$115))</f>
        <v/>
      </c>
      <c r="DD33" s="20" t="str">
        <f aca="false">IF($C33="","",EDATE($C33,Milestones!$AA$116))</f>
        <v/>
      </c>
      <c r="DE33" s="20" t="str">
        <f aca="false">IF($C33="","",EDATE($C33,Milestones!$AA$117))</f>
        <v/>
      </c>
      <c r="DF33" s="20" t="str">
        <f aca="false">IF($C33="","",EDATE($C33,Milestones!$AA$118))</f>
        <v/>
      </c>
      <c r="DG33" s="20" t="str">
        <f aca="false">IF($C33="","",EDATE($C33,Milestones!$AA$119))</f>
        <v/>
      </c>
      <c r="DH33" s="20" t="str">
        <f aca="false">IF($C33="","",EDATE($C33,Milestones!$AA$120))</f>
        <v/>
      </c>
      <c r="DI33" s="20" t="str">
        <f aca="false">IF($C33="","",EDATE($C33,Milestones!$AA$121))</f>
        <v/>
      </c>
      <c r="DJ33" s="20" t="str">
        <f aca="false">IF($C33="","",EDATE($C33,Milestones!$AA$122))</f>
        <v/>
      </c>
      <c r="DK33" s="20" t="str">
        <f aca="false">IF($C33="","",EDATE($C33,Milestones!$AA$123))</f>
        <v/>
      </c>
      <c r="DL33" s="20" t="str">
        <f aca="false">IF($C33="","",EDATE($C33,Milestones!$AA$124))</f>
        <v/>
      </c>
      <c r="DM33" s="20" t="str">
        <f aca="false">IF($C33="","",EDATE($C33,Milestones!$AA$125))</f>
        <v/>
      </c>
      <c r="DN33" s="20" t="str">
        <f aca="false">IF($C33="","",EDATE($C33,Milestones!$AA$126))</f>
        <v/>
      </c>
      <c r="DO33" s="20" t="str">
        <f aca="false">IF($C33="","",EDATE($C33,Milestones!$AA$127))</f>
        <v/>
      </c>
      <c r="DP33" s="20" t="str">
        <f aca="false">IF($C33="","",EDATE($C33,Milestones!$AA$128))</f>
        <v/>
      </c>
      <c r="DQ33" s="20" t="str">
        <f aca="false">IF($C33="","",EDATE($C33,Milestones!$AA$129))</f>
        <v/>
      </c>
      <c r="DR33" s="20" t="str">
        <f aca="false">IF($C33="","",EDATE($C33,Milestones!$AA$130))</f>
        <v/>
      </c>
      <c r="DS33" s="20" t="str">
        <f aca="false">IF($C33="","",EDATE($C33,Milestones!$AA$131))</f>
        <v/>
      </c>
      <c r="DT33" s="20" t="str">
        <f aca="false">IF($C33="","",EDATE($C33,Milestones!$AA$132))</f>
        <v/>
      </c>
      <c r="DU33" s="20" t="str">
        <f aca="false">IF($C33="","",EDATE($C33,Milestones!$AA$133))</f>
        <v/>
      </c>
      <c r="DV33" s="20" t="str">
        <f aca="false">IF($C33="","",EDATE($C33,Milestones!$AA$134))</f>
        <v/>
      </c>
      <c r="DW33" s="20" t="str">
        <f aca="false">IF($C33="","",EDATE($C33,Milestones!$AA$135))</f>
        <v/>
      </c>
      <c r="DX33" s="20" t="str">
        <f aca="false">IF($C33="","",EDATE($C33,Milestones!$AA$136))</f>
        <v/>
      </c>
      <c r="DY33" s="20" t="str">
        <f aca="false">IF($C33="","",EDATE($C33,Milestones!$AA$137))</f>
        <v/>
      </c>
      <c r="DZ33" s="20" t="str">
        <f aca="false">IF($C33="","",EDATE($C33,Milestones!$AA$138))</f>
        <v/>
      </c>
      <c r="EA33" s="20" t="str">
        <f aca="false">IF($C33="","",EDATE($C33,Milestones!$AA$139))</f>
        <v/>
      </c>
      <c r="EB33" s="20" t="str">
        <f aca="false">IF($C33="","",EDATE($C33,Milestones!$AA$140))</f>
        <v/>
      </c>
      <c r="EC33" s="20" t="str">
        <f aca="false">IF($C33="","",EDATE($C33,Milestones!$AA$141))</f>
        <v/>
      </c>
      <c r="ED33" s="20" t="str">
        <f aca="false">IF($C33="","",EDATE($C33,Milestones!$AA$142))</f>
        <v/>
      </c>
      <c r="EE33" s="20" t="str">
        <f aca="false">IF($C33="","",EDATE($C33,Milestones!$AA$143))</f>
        <v/>
      </c>
      <c r="EF33" s="20" t="str">
        <f aca="false">IF($C33="","",EDATE($C33,Milestones!$AA$144))</f>
        <v/>
      </c>
      <c r="EG33" s="20" t="str">
        <f aca="false">IF($C33="","",EDATE($C33,Milestones!$AA$145))</f>
        <v/>
      </c>
      <c r="EH33" s="20" t="str">
        <f aca="false">IF($C33="","",EDATE($C33,Milestones!$AA$146))</f>
        <v/>
      </c>
      <c r="EI33" s="20" t="str">
        <f aca="false">IF($C33="","",EDATE($C33,Milestones!$AA$147))</f>
        <v/>
      </c>
      <c r="EJ33" s="20" t="str">
        <f aca="false">IF($C33="","",EDATE($C33,Milestones!$AA$148))</f>
        <v/>
      </c>
      <c r="EK33" s="20" t="str">
        <f aca="false">IF($C33="","",EDATE($C33,Milestones!$AA$149))</f>
        <v/>
      </c>
      <c r="EL33" s="20" t="str">
        <f aca="false">IF($C33="","",EDATE($C33,Milestones!$AA$150))</f>
        <v/>
      </c>
      <c r="EM33" s="20" t="str">
        <f aca="false">IF($C33="","",EDATE($C33,Milestones!$AA$151))</f>
        <v/>
      </c>
      <c r="EN33" s="20" t="str">
        <f aca="false">IF($C33="","",EDATE($C33,Milestones!$AA$152))</f>
        <v/>
      </c>
      <c r="EO33" s="20" t="str">
        <f aca="false">IF($C33="","",EDATE($C33,Milestones!$AA$153))</f>
        <v/>
      </c>
      <c r="EP33" s="20" t="str">
        <f aca="false">IF($C33="","",EDATE($C33,Milestones!$AA$154))</f>
        <v/>
      </c>
      <c r="EQ33" s="20" t="str">
        <f aca="false">IF($C33="","",EDATE($C33,Milestones!$AA$155))</f>
        <v/>
      </c>
      <c r="ER33" s="20" t="str">
        <f aca="false">IF($C33="","",EDATE($C33,Milestones!$AA$156))</f>
        <v/>
      </c>
      <c r="ES33" s="20" t="str">
        <f aca="false">IF($C33="","",EDATE($C33,Milestones!$AA$157))</f>
        <v/>
      </c>
      <c r="ET33" s="20" t="str">
        <f aca="false">IF($C33="","",EDATE($C33,Milestones!$AA$158))</f>
        <v/>
      </c>
      <c r="EU33" s="20" t="str">
        <f aca="false">IF($C33="","",EDATE($C33,Milestones!$AA$159))</f>
        <v/>
      </c>
      <c r="EV33" s="20" t="str">
        <f aca="false">IF($C33="","",EDATE($C33,Milestones!$AA$160))</f>
        <v/>
      </c>
      <c r="EW33" s="20" t="str">
        <f aca="false">IF($C33="","",EDATE($C33,Milestones!$AA$161))</f>
        <v/>
      </c>
      <c r="EX33" s="20" t="str">
        <f aca="false">IF($C33="","",EDATE($C33,Milestones!$AA$162))</f>
        <v/>
      </c>
      <c r="EY33" s="20" t="str">
        <f aca="false">IF($C33="","",EDATE($C33,Milestones!$AA$163))</f>
        <v/>
      </c>
      <c r="EZ33" s="20" t="str">
        <f aca="false">IF($C33="","",EDATE($C33,Milestones!$AA$164))</f>
        <v/>
      </c>
      <c r="FA33" s="20" t="str">
        <f aca="false">IF($C33="","",EDATE($C33,Milestones!$AA$165))</f>
        <v/>
      </c>
      <c r="FB33" s="20" t="str">
        <f aca="false">IF($C33="","",EDATE($C33,Milestones!$AA$166))</f>
        <v/>
      </c>
      <c r="FC33" s="20" t="str">
        <f aca="false">IF($C33="","",EDATE($C33,Milestones!$AA$167))</f>
        <v/>
      </c>
      <c r="FD33" s="20" t="str">
        <f aca="false">IF($C33="","",EDATE($C33,Milestones!$AA$168))</f>
        <v/>
      </c>
      <c r="FE33" s="20" t="str">
        <f aca="false">IF($C33="","",EDATE($C33,Milestones!$AA$169))</f>
        <v/>
      </c>
      <c r="FF33" s="20" t="str">
        <f aca="false">IF($C33="","",EDATE($C33,Milestones!$AA$170))</f>
        <v/>
      </c>
      <c r="FG33" s="20" t="str">
        <f aca="false">IF($C33="","",EDATE($C33,Milestones!$AA$171))</f>
        <v/>
      </c>
      <c r="FH33" s="20" t="str">
        <f aca="false">IF($C33="","",EDATE($C33,Milestones!$AA$172))</f>
        <v/>
      </c>
      <c r="FI33" s="20" t="str">
        <f aca="false">IF($C33="","",EDATE($C33,Milestones!$AA$173))</f>
        <v/>
      </c>
      <c r="FJ33" s="20" t="str">
        <f aca="false">IF($C33="","",EDATE($C33,Milestones!$AA$174))</f>
        <v/>
      </c>
      <c r="FK33" s="20" t="str">
        <f aca="false">IF($C33="","",EDATE($C33,Milestones!$AA$175))</f>
        <v/>
      </c>
      <c r="FL33" s="20" t="str">
        <f aca="false">IF($C33="","",EDATE($C33,Milestones!$AA$176))</f>
        <v/>
      </c>
      <c r="FM33" s="20" t="str">
        <f aca="false">IF($C33="","",EDATE($C33,Milestones!$AA$177))</f>
        <v/>
      </c>
      <c r="FN33" s="20" t="str">
        <f aca="false">IF($C33="","",EDATE($C33,Milestones!$AA$178))</f>
        <v/>
      </c>
      <c r="FO33" s="20" t="str">
        <f aca="false">IF($C33="","",EDATE($C33,Milestones!$AA$179))</f>
        <v/>
      </c>
      <c r="FP33" s="20" t="str">
        <f aca="false">IF($C33="","",EDATE($C33,Milestones!$AA$180))</f>
        <v/>
      </c>
      <c r="FQ33" s="20" t="str">
        <f aca="false">IF($C33="","",EDATE($C33,Milestones!$AA$181))</f>
        <v/>
      </c>
      <c r="FR33" s="20" t="str">
        <f aca="false">IF($C33="","",EDATE($C33,Milestones!$AA$182))</f>
        <v/>
      </c>
      <c r="FS33" s="20" t="str">
        <f aca="false">IF($C33="","",EDATE($C33,Milestones!$AA$183))</f>
        <v/>
      </c>
      <c r="FT33" s="20" t="str">
        <f aca="false">IF($C33="","",EDATE($C33,Milestones!$AA$184))</f>
        <v/>
      </c>
      <c r="FU33" s="20" t="str">
        <f aca="false">IF($C33="","",EDATE($C33,Milestones!$AA$185))</f>
        <v/>
      </c>
      <c r="FV33" s="20" t="str">
        <f aca="false">IF($C33="","",EDATE($C33,Milestones!$AA$186))</f>
        <v/>
      </c>
      <c r="FW33" s="20" t="str">
        <f aca="false">IF($C33="","",EDATE($C33,Milestones!$AA$187))</f>
        <v/>
      </c>
      <c r="FX33" s="20" t="str">
        <f aca="false">IF($C33="","",EDATE($C33,Milestones!$AA$188))</f>
        <v/>
      </c>
      <c r="FY33" s="20" t="str">
        <f aca="false">IF($C33="","",EDATE($C33,Milestones!$AA$189))</f>
        <v/>
      </c>
      <c r="FZ33" s="20" t="str">
        <f aca="false">IF($C33="","",EDATE($C33,Milestones!$AA$190))</f>
        <v/>
      </c>
      <c r="GA33" s="20" t="str">
        <f aca="false">IF($C33="","",EDATE($C33,Milestones!$AA$191))</f>
        <v/>
      </c>
      <c r="GB33" s="20" t="str">
        <f aca="false">IF($C33="","",EDATE($C33,Milestones!$AA$192))</f>
        <v/>
      </c>
      <c r="GC33" s="20" t="str">
        <f aca="false">IF($C33="","",EDATE($C33,Milestones!$AA$193))</f>
        <v/>
      </c>
      <c r="GD33" s="20" t="str">
        <f aca="false">IF($C33="","",EDATE($C33,Milestones!$AA$194))</f>
        <v/>
      </c>
      <c r="GE33" s="20" t="str">
        <f aca="false">IF($C33="","",EDATE($C33,Milestones!$AA$195))</f>
        <v/>
      </c>
      <c r="GF33" s="20" t="str">
        <f aca="false">IF($C33="","",EDATE($C33,Milestones!$AA$196))</f>
        <v/>
      </c>
      <c r="GG33" s="20" t="str">
        <f aca="false">IF($C33="","",EDATE($C33,Milestones!$AA$197))</f>
        <v/>
      </c>
      <c r="GH33" s="20" t="str">
        <f aca="false">IF($C33="","",EDATE($C33,Milestones!$AA$198))</f>
        <v/>
      </c>
      <c r="GI33" s="20" t="str">
        <f aca="false">IF($C33="","",EDATE($C33,Milestones!$AA$199))</f>
        <v/>
      </c>
    </row>
    <row r="34" customFormat="false" ht="15" hidden="false" customHeight="false" outlineLevel="0" collapsed="false">
      <c r="K34" s="0" t="s">
        <v>263</v>
      </c>
      <c r="L34" s="0" t="str">
        <f aca="false">IF(L33="","",IF($D33=0,$J33,IF(AND($F33&lt;&gt;"",L33&gt;=$F33),$I33,IF(AND($E33&lt;&gt;"",L33&gt;=$E33),$H33,$G33))))</f>
        <v/>
      </c>
      <c r="M34" s="0" t="str">
        <f aca="false">IF(M33="","",IF($D33=0,$J33,IF(AND($F33&lt;&gt;"",M33&gt;=$F33),$I33,IF(AND($E33&lt;&gt;"",M33&gt;=$E33),$H33,$G33))))</f>
        <v/>
      </c>
      <c r="N34" s="0" t="str">
        <f aca="false">IF(N33="","",IF($D33=0,$J33,IF(AND($F33&lt;&gt;"",N33&gt;=$F33),$I33,IF(AND($E33&lt;&gt;"",N33&gt;=$E33),$H33,$G33))))</f>
        <v/>
      </c>
      <c r="O34" s="0" t="str">
        <f aca="false">IF(O33="","",IF($D33=0,$J33,IF(AND($F33&lt;&gt;"",O33&gt;=$F33),$I33,IF(AND($E33&lt;&gt;"",O33&gt;=$E33),$H33,$G33))))</f>
        <v/>
      </c>
      <c r="P34" s="0" t="str">
        <f aca="false">IF(P33="","",IF($D33=0,$J33,IF(AND($F33&lt;&gt;"",P33&gt;=$F33),$I33,IF(AND($E33&lt;&gt;"",P33&gt;=$E33),$H33,$G33))))</f>
        <v/>
      </c>
      <c r="Q34" s="0" t="str">
        <f aca="false">IF(Q33="","",IF($D33=0,$J33,IF(AND($F33&lt;&gt;"",Q33&gt;=$F33),$I33,IF(AND($E33&lt;&gt;"",Q33&gt;=$E33),$H33,$G33))))</f>
        <v/>
      </c>
      <c r="R34" s="0" t="str">
        <f aca="false">IF(R33="","",IF($D33=0,$J33,IF(AND($F33&lt;&gt;"",R33&gt;=$F33),$I33,IF(AND($E33&lt;&gt;"",R33&gt;=$E33),$H33,$G33))))</f>
        <v/>
      </c>
      <c r="S34" s="0" t="str">
        <f aca="false">IF(S33="","",IF($D33=0,$J33,IF(AND($F33&lt;&gt;"",S33&gt;=$F33),$I33,IF(AND($E33&lt;&gt;"",S33&gt;=$E33),$H33,$G33))))</f>
        <v/>
      </c>
      <c r="T34" s="0" t="str">
        <f aca="false">IF(T33="","",IF($D33=0,$J33,IF(AND($F33&lt;&gt;"",T33&gt;=$F33),$I33,IF(AND($E33&lt;&gt;"",T33&gt;=$E33),$H33,$G33))))</f>
        <v/>
      </c>
      <c r="U34" s="0" t="str">
        <f aca="false">IF(U33="","",IF($D33=0,$J33,IF(AND($F33&lt;&gt;"",U33&gt;=$F33),$I33,IF(AND($E33&lt;&gt;"",U33&gt;=$E33),$H33,$G33))))</f>
        <v/>
      </c>
      <c r="V34" s="0" t="str">
        <f aca="false">IF(V33="","",IF($D33=0,$J33,IF(AND($F33&lt;&gt;"",V33&gt;=$F33),$I33,IF(AND($E33&lt;&gt;"",V33&gt;=$E33),$H33,$G33))))</f>
        <v/>
      </c>
      <c r="W34" s="0" t="str">
        <f aca="false">IF(W33="","",IF($D33=0,$J33,IF(AND($F33&lt;&gt;"",W33&gt;=$F33),$I33,IF(AND($E33&lt;&gt;"",W33&gt;=$E33),$H33,$G33))))</f>
        <v/>
      </c>
      <c r="X34" s="0" t="str">
        <f aca="false">IF(X33="","",IF($D33=0,$J33,IF(AND($F33&lt;&gt;"",X33&gt;=$F33),$I33,IF(AND($E33&lt;&gt;"",X33&gt;=$E33),$H33,$G33))))</f>
        <v/>
      </c>
      <c r="Y34" s="0" t="str">
        <f aca="false">IF(Y33="","",IF($D33=0,$J33,IF(AND($F33&lt;&gt;"",Y33&gt;=$F33),$I33,IF(AND($E33&lt;&gt;"",Y33&gt;=$E33),$H33,$G33))))</f>
        <v/>
      </c>
      <c r="Z34" s="0" t="str">
        <f aca="false">IF(Z33="","",IF($D33=0,$J33,IF(AND($F33&lt;&gt;"",Z33&gt;=$F33),$I33,IF(AND($E33&lt;&gt;"",Z33&gt;=$E33),$H33,$G33))))</f>
        <v/>
      </c>
      <c r="AA34" s="0" t="str">
        <f aca="false">IF(AA33="","",IF($D33=0,$J33,IF(AND($F33&lt;&gt;"",AA33&gt;=$F33),$I33,IF(AND($E33&lt;&gt;"",AA33&gt;=$E33),$H33,$G33))))</f>
        <v/>
      </c>
      <c r="AB34" s="0" t="str">
        <f aca="false">IF(AB33="","",IF($D33=0,$J33,IF(AND($F33&lt;&gt;"",AB33&gt;=$F33),$I33,IF(AND($E33&lt;&gt;"",AB33&gt;=$E33),$H33,$G33))))</f>
        <v/>
      </c>
      <c r="AC34" s="0" t="str">
        <f aca="false">IF(AC33="","",IF($D33=0,$J33,IF(AND($F33&lt;&gt;"",AC33&gt;=$F33),$I33,IF(AND($E33&lt;&gt;"",AC33&gt;=$E33),$H33,$G33))))</f>
        <v/>
      </c>
      <c r="AD34" s="0" t="str">
        <f aca="false">IF(AD33="","",IF($D33=0,$J33,IF(AND($F33&lt;&gt;"",AD33&gt;=$F33),$I33,IF(AND($E33&lt;&gt;"",AD33&gt;=$E33),$H33,$G33))))</f>
        <v/>
      </c>
      <c r="AE34" s="0" t="str">
        <f aca="false">IF(AE33="","",IF($D33=0,$J33,IF(AND($F33&lt;&gt;"",AE33&gt;=$F33),$I33,IF(AND($E33&lt;&gt;"",AE33&gt;=$E33),$H33,$G33))))</f>
        <v/>
      </c>
      <c r="AF34" s="0" t="str">
        <f aca="false">IF(AF33="","",IF($D33=0,$J33,IF(AND($F33&lt;&gt;"",AF33&gt;=$F33),$I33,IF(AND($E33&lt;&gt;"",AF33&gt;=$E33),$H33,$G33))))</f>
        <v/>
      </c>
      <c r="AG34" s="0" t="str">
        <f aca="false">IF(AG33="","",IF($D33=0,$J33,IF(AND($F33&lt;&gt;"",AG33&gt;=$F33),$I33,IF(AND($E33&lt;&gt;"",AG33&gt;=$E33),$H33,$G33))))</f>
        <v/>
      </c>
      <c r="AH34" s="0" t="str">
        <f aca="false">IF(AH33="","",IF($D33=0,$J33,IF(AND($F33&lt;&gt;"",AH33&gt;=$F33),$I33,IF(AND($E33&lt;&gt;"",AH33&gt;=$E33),$H33,$G33))))</f>
        <v/>
      </c>
      <c r="AI34" s="0" t="str">
        <f aca="false">IF(AI33="","",IF($D33=0,$J33,IF(AND($F33&lt;&gt;"",AI33&gt;=$F33),$I33,IF(AND($E33&lt;&gt;"",AI33&gt;=$E33),$H33,$G33))))</f>
        <v/>
      </c>
      <c r="AJ34" s="0" t="str">
        <f aca="false">IF(AJ33="","",IF($D33=0,$J33,IF(AND($F33&lt;&gt;"",AJ33&gt;=$F33),$I33,IF(AND($E33&lt;&gt;"",AJ33&gt;=$E33),$H33,$G33))))</f>
        <v/>
      </c>
      <c r="AK34" s="0" t="str">
        <f aca="false">IF(AK33="","",IF($D33=0,$J33,IF(AND($F33&lt;&gt;"",AK33&gt;=$F33),$I33,IF(AND($E33&lt;&gt;"",AK33&gt;=$E33),$H33,$G33))))</f>
        <v/>
      </c>
      <c r="AL34" s="0" t="str">
        <f aca="false">IF(AL33="","",IF($D33=0,$J33,IF(AND($F33&lt;&gt;"",AL33&gt;=$F33),$I33,IF(AND($E33&lt;&gt;"",AL33&gt;=$E33),$H33,$G33))))</f>
        <v/>
      </c>
      <c r="AM34" s="0" t="str">
        <f aca="false">IF(AM33="","",IF($D33=0,$J33,IF(AND($F33&lt;&gt;"",AM33&gt;=$F33),$I33,IF(AND($E33&lt;&gt;"",AM33&gt;=$E33),$H33,$G33))))</f>
        <v/>
      </c>
      <c r="AN34" s="0" t="str">
        <f aca="false">IF(AN33="","",IF($D33=0,$J33,IF(AND($F33&lt;&gt;"",AN33&gt;=$F33),$I33,IF(AND($E33&lt;&gt;"",AN33&gt;=$E33),$H33,$G33))))</f>
        <v/>
      </c>
      <c r="AO34" s="0" t="str">
        <f aca="false">IF(AO33="","",IF($D33=0,$J33,IF(AND($F33&lt;&gt;"",AO33&gt;=$F33),$I33,IF(AND($E33&lt;&gt;"",AO33&gt;=$E33),$H33,$G33))))</f>
        <v/>
      </c>
      <c r="AP34" s="0" t="str">
        <f aca="false">IF(AP33="","",IF($D33=0,$J33,IF(AND($F33&lt;&gt;"",AP33&gt;=$F33),$I33,IF(AND($E33&lt;&gt;"",AP33&gt;=$E33),$H33,$G33))))</f>
        <v/>
      </c>
      <c r="AQ34" s="0" t="str">
        <f aca="false">IF(AQ33="","",IF($D33=0,$J33,IF(AND($F33&lt;&gt;"",AQ33&gt;=$F33),$I33,IF(AND($E33&lt;&gt;"",AQ33&gt;=$E33),$H33,$G33))))</f>
        <v/>
      </c>
      <c r="AR34" s="0" t="str">
        <f aca="false">IF(AR33="","",IF($D33=0,$J33,IF(AND($F33&lt;&gt;"",AR33&gt;=$F33),$I33,IF(AND($E33&lt;&gt;"",AR33&gt;=$E33),$H33,$G33))))</f>
        <v/>
      </c>
      <c r="AS34" s="0" t="str">
        <f aca="false">IF(AS33="","",IF($D33=0,$J33,IF(AND($F33&lt;&gt;"",AS33&gt;=$F33),$I33,IF(AND($E33&lt;&gt;"",AS33&gt;=$E33),$H33,$G33))))</f>
        <v/>
      </c>
      <c r="AT34" s="0" t="str">
        <f aca="false">IF(AT33="","",IF($D33=0,$J33,IF(AND($F33&lt;&gt;"",AT33&gt;=$F33),$I33,IF(AND($E33&lt;&gt;"",AT33&gt;=$E33),$H33,$G33))))</f>
        <v/>
      </c>
      <c r="AU34" s="0" t="str">
        <f aca="false">IF(AU33="","",IF($D33=0,$J33,IF(AND($F33&lt;&gt;"",AU33&gt;=$F33),$I33,IF(AND($E33&lt;&gt;"",AU33&gt;=$E33),$H33,$G33))))</f>
        <v/>
      </c>
      <c r="AV34" s="0" t="str">
        <f aca="false">IF(AV33="","",IF($D33=0,$J33,IF(AND($F33&lt;&gt;"",AV33&gt;=$F33),$I33,IF(AND($E33&lt;&gt;"",AV33&gt;=$E33),$H33,$G33))))</f>
        <v/>
      </c>
      <c r="AW34" s="0" t="str">
        <f aca="false">IF(AW33="","",IF($D33=0,$J33,IF(AND($F33&lt;&gt;"",AW33&gt;=$F33),$I33,IF(AND($E33&lt;&gt;"",AW33&gt;=$E33),$H33,$G33))))</f>
        <v/>
      </c>
      <c r="AX34" s="0" t="str">
        <f aca="false">IF(AX33="","",IF($D33=0,$J33,IF(AND($F33&lt;&gt;"",AX33&gt;=$F33),$I33,IF(AND($E33&lt;&gt;"",AX33&gt;=$E33),$H33,$G33))))</f>
        <v/>
      </c>
      <c r="AY34" s="0" t="str">
        <f aca="false">IF(AY33="","",IF($D33=0,$J33,IF(AND($F33&lt;&gt;"",AY33&gt;=$F33),$I33,IF(AND($E33&lt;&gt;"",AY33&gt;=$E33),$H33,$G33))))</f>
        <v/>
      </c>
      <c r="AZ34" s="0" t="str">
        <f aca="false">IF(AZ33="","",IF($D33=0,$J33,IF(AND($F33&lt;&gt;"",AZ33&gt;=$F33),$I33,IF(AND($E33&lt;&gt;"",AZ33&gt;=$E33),$H33,$G33))))</f>
        <v/>
      </c>
      <c r="BA34" s="0" t="str">
        <f aca="false">IF(BA33="","",IF($D33=0,$J33,IF(AND($F33&lt;&gt;"",BA33&gt;=$F33),$I33,IF(AND($E33&lt;&gt;"",BA33&gt;=$E33),$H33,$G33))))</f>
        <v/>
      </c>
      <c r="BB34" s="0" t="str">
        <f aca="false">IF(BB33="","",IF($D33=0,$J33,IF(AND($F33&lt;&gt;"",BB33&gt;=$F33),$I33,IF(AND($E33&lt;&gt;"",BB33&gt;=$E33),$H33,$G33))))</f>
        <v/>
      </c>
      <c r="BC34" s="0" t="str">
        <f aca="false">IF(BC33="","",IF($D33=0,$J33,IF(AND($F33&lt;&gt;"",BC33&gt;=$F33),$I33,IF(AND($E33&lt;&gt;"",BC33&gt;=$E33),$H33,$G33))))</f>
        <v/>
      </c>
      <c r="BD34" s="0" t="str">
        <f aca="false">IF(BD33="","",IF($D33=0,$J33,IF(AND($F33&lt;&gt;"",BD33&gt;=$F33),$I33,IF(AND($E33&lt;&gt;"",BD33&gt;=$E33),$H33,$G33))))</f>
        <v/>
      </c>
      <c r="BE34" s="0" t="str">
        <f aca="false">IF(BE33="","",IF($D33=0,$J33,IF(AND($F33&lt;&gt;"",BE33&gt;=$F33),$I33,IF(AND($E33&lt;&gt;"",BE33&gt;=$E33),$H33,$G33))))</f>
        <v/>
      </c>
      <c r="BF34" s="0" t="str">
        <f aca="false">IF(BF33="","",IF($D33=0,$J33,IF(AND($F33&lt;&gt;"",BF33&gt;=$F33),$I33,IF(AND($E33&lt;&gt;"",BF33&gt;=$E33),$H33,$G33))))</f>
        <v/>
      </c>
      <c r="BG34" s="0" t="str">
        <f aca="false">IF(BG33="","",IF($D33=0,$J33,IF(AND($F33&lt;&gt;"",BG33&gt;=$F33),$I33,IF(AND($E33&lt;&gt;"",BG33&gt;=$E33),$H33,$G33))))</f>
        <v/>
      </c>
      <c r="BH34" s="0" t="str">
        <f aca="false">IF(BH33="","",IF($D33=0,$J33,IF(AND($F33&lt;&gt;"",BH33&gt;=$F33),$I33,IF(AND($E33&lt;&gt;"",BH33&gt;=$E33),$H33,$G33))))</f>
        <v/>
      </c>
      <c r="BI34" s="0" t="str">
        <f aca="false">IF(BI33="","",IF($D33=0,$J33,IF(AND($F33&lt;&gt;"",BI33&gt;=$F33),$I33,IF(AND($E33&lt;&gt;"",BI33&gt;=$E33),$H33,$G33))))</f>
        <v/>
      </c>
      <c r="BJ34" s="0" t="str">
        <f aca="false">IF(BJ33="","",IF($D33=0,$J33,IF(AND($F33&lt;&gt;"",BJ33&gt;=$F33),$I33,IF(AND($E33&lt;&gt;"",BJ33&gt;=$E33),$H33,$G33))))</f>
        <v/>
      </c>
      <c r="BK34" s="0" t="str">
        <f aca="false">IF(BK33="","",IF($D33=0,$J33,IF(AND($F33&lt;&gt;"",BK33&gt;=$F33),$I33,IF(AND($E33&lt;&gt;"",BK33&gt;=$E33),$H33,$G33))))</f>
        <v/>
      </c>
      <c r="BL34" s="0" t="str">
        <f aca="false">IF(BL33="","",IF($D33=0,$J33,IF(AND($F33&lt;&gt;"",BL33&gt;=$F33),$I33,IF(AND($E33&lt;&gt;"",BL33&gt;=$E33),$H33,$G33))))</f>
        <v/>
      </c>
      <c r="BM34" s="0" t="str">
        <f aca="false">IF(BM33="","",IF($D33=0,$J33,IF(AND($F33&lt;&gt;"",BM33&gt;=$F33),$I33,IF(AND($E33&lt;&gt;"",BM33&gt;=$E33),$H33,$G33))))</f>
        <v/>
      </c>
      <c r="BN34" s="0" t="str">
        <f aca="false">IF(BN33="","",IF($D33=0,$J33,IF(AND($F33&lt;&gt;"",BN33&gt;=$F33),$I33,IF(AND($E33&lt;&gt;"",BN33&gt;=$E33),$H33,$G33))))</f>
        <v/>
      </c>
      <c r="BO34" s="0" t="str">
        <f aca="false">IF(BO33="","",IF($D33=0,$J33,IF(AND($F33&lt;&gt;"",BO33&gt;=$F33),$I33,IF(AND($E33&lt;&gt;"",BO33&gt;=$E33),$H33,$G33))))</f>
        <v/>
      </c>
      <c r="BP34" s="0" t="str">
        <f aca="false">IF(BP33="","",IF($D33=0,$J33,IF(AND($F33&lt;&gt;"",BP33&gt;=$F33),$I33,IF(AND($E33&lt;&gt;"",BP33&gt;=$E33),$H33,$G33))))</f>
        <v/>
      </c>
      <c r="BQ34" s="0" t="str">
        <f aca="false">IF(BQ33="","",IF($D33=0,$J33,IF(AND($F33&lt;&gt;"",BQ33&gt;=$F33),$I33,IF(AND($E33&lt;&gt;"",BQ33&gt;=$E33),$H33,$G33))))</f>
        <v/>
      </c>
      <c r="BR34" s="0" t="str">
        <f aca="false">IF(BR33="","",IF($D33=0,$J33,IF(AND($F33&lt;&gt;"",BR33&gt;=$F33),$I33,IF(AND($E33&lt;&gt;"",BR33&gt;=$E33),$H33,$G33))))</f>
        <v/>
      </c>
      <c r="BS34" s="0" t="str">
        <f aca="false">IF(BS33="","",IF($D33=0,$J33,IF(AND($F33&lt;&gt;"",BS33&gt;=$F33),$I33,IF(AND($E33&lt;&gt;"",BS33&gt;=$E33),$H33,$G33))))</f>
        <v/>
      </c>
      <c r="BT34" s="0" t="str">
        <f aca="false">IF(BT33="","",IF($D33=0,$J33,IF(AND($F33&lt;&gt;"",BT33&gt;=$F33),$I33,IF(AND($E33&lt;&gt;"",BT33&gt;=$E33),$H33,$G33))))</f>
        <v/>
      </c>
      <c r="BU34" s="0" t="str">
        <f aca="false">IF(BU33="","",IF($D33=0,$J33,IF(AND($F33&lt;&gt;"",BU33&gt;=$F33),$I33,IF(AND($E33&lt;&gt;"",BU33&gt;=$E33),$H33,$G33))))</f>
        <v/>
      </c>
      <c r="BV34" s="0" t="str">
        <f aca="false">IF(BV33="","",IF($D33=0,$J33,IF(AND($F33&lt;&gt;"",BV33&gt;=$F33),$I33,IF(AND($E33&lt;&gt;"",BV33&gt;=$E33),$H33,$G33))))</f>
        <v/>
      </c>
      <c r="BW34" s="0" t="str">
        <f aca="false">IF(BW33="","",IF($D33=0,$J33,IF(AND($F33&lt;&gt;"",BW33&gt;=$F33),$I33,IF(AND($E33&lt;&gt;"",BW33&gt;=$E33),$H33,$G33))))</f>
        <v/>
      </c>
      <c r="BX34" s="0" t="str">
        <f aca="false">IF(BX33="","",IF($D33=0,$J33,IF(AND($F33&lt;&gt;"",BX33&gt;=$F33),$I33,IF(AND($E33&lt;&gt;"",BX33&gt;=$E33),$H33,$G33))))</f>
        <v/>
      </c>
      <c r="BY34" s="0" t="str">
        <f aca="false">IF(BY33="","",IF($D33=0,$J33,IF(AND($F33&lt;&gt;"",BY33&gt;=$F33),$I33,IF(AND($E33&lt;&gt;"",BY33&gt;=$E33),$H33,$G33))))</f>
        <v/>
      </c>
      <c r="BZ34" s="0" t="str">
        <f aca="false">IF(BZ33="","",IF($D33=0,$J33,IF(AND($F33&lt;&gt;"",BZ33&gt;=$F33),$I33,IF(AND($E33&lt;&gt;"",BZ33&gt;=$E33),$H33,$G33))))</f>
        <v/>
      </c>
      <c r="CA34" s="0" t="str">
        <f aca="false">IF(CA33="","",IF($D33=0,$J33,IF(AND($F33&lt;&gt;"",CA33&gt;=$F33),$I33,IF(AND($E33&lt;&gt;"",CA33&gt;=$E33),$H33,$G33))))</f>
        <v/>
      </c>
      <c r="CB34" s="0" t="str">
        <f aca="false">IF(CB33="","",IF($D33=0,$J33,IF(AND($F33&lt;&gt;"",CB33&gt;=$F33),$I33,IF(AND($E33&lt;&gt;"",CB33&gt;=$E33),$H33,$G33))))</f>
        <v/>
      </c>
      <c r="CC34" s="0" t="str">
        <f aca="false">IF(CC33="","",IF($D33=0,$J33,IF(AND($F33&lt;&gt;"",CC33&gt;=$F33),$I33,IF(AND($E33&lt;&gt;"",CC33&gt;=$E33),$H33,$G33))))</f>
        <v/>
      </c>
      <c r="CD34" s="0" t="str">
        <f aca="false">IF(CD33="","",IF($D33=0,$J33,IF(AND($F33&lt;&gt;"",CD33&gt;=$F33),$I33,IF(AND($E33&lt;&gt;"",CD33&gt;=$E33),$H33,$G33))))</f>
        <v/>
      </c>
      <c r="CE34" s="0" t="str">
        <f aca="false">IF(CE33="","",IF($D33=0,$J33,IF(AND($F33&lt;&gt;"",CE33&gt;=$F33),$I33,IF(AND($E33&lt;&gt;"",CE33&gt;=$E33),$H33,$G33))))</f>
        <v/>
      </c>
      <c r="CF34" s="0" t="str">
        <f aca="false">IF(CF33="","",IF($D33=0,$J33,IF(AND($F33&lt;&gt;"",CF33&gt;=$F33),$I33,IF(AND($E33&lt;&gt;"",CF33&gt;=$E33),$H33,$G33))))</f>
        <v/>
      </c>
      <c r="CG34" s="0" t="str">
        <f aca="false">IF(CG33="","",IF($D33=0,$J33,IF(AND($F33&lt;&gt;"",CG33&gt;=$F33),$I33,IF(AND($E33&lt;&gt;"",CG33&gt;=$E33),$H33,$G33))))</f>
        <v/>
      </c>
      <c r="CH34" s="0" t="str">
        <f aca="false">IF(CH33="","",IF($D33=0,$J33,IF(AND($F33&lt;&gt;"",CH33&gt;=$F33),$I33,IF(AND($E33&lt;&gt;"",CH33&gt;=$E33),$H33,$G33))))</f>
        <v/>
      </c>
      <c r="CI34" s="0" t="str">
        <f aca="false">IF(CI33="","",IF($D33=0,$J33,IF(AND($F33&lt;&gt;"",CI33&gt;=$F33),$I33,IF(AND($E33&lt;&gt;"",CI33&gt;=$E33),$H33,$G33))))</f>
        <v/>
      </c>
      <c r="CJ34" s="0" t="str">
        <f aca="false">IF(CJ33="","",IF($D33=0,$J33,IF(AND($F33&lt;&gt;"",CJ33&gt;=$F33),$I33,IF(AND($E33&lt;&gt;"",CJ33&gt;=$E33),$H33,$G33))))</f>
        <v/>
      </c>
      <c r="CK34" s="0" t="str">
        <f aca="false">IF(CK33="","",IF($D33=0,$J33,IF(AND($F33&lt;&gt;"",CK33&gt;=$F33),$I33,IF(AND($E33&lt;&gt;"",CK33&gt;=$E33),$H33,$G33))))</f>
        <v/>
      </c>
      <c r="CL34" s="0" t="str">
        <f aca="false">IF(CL33="","",IF($D33=0,$J33,IF(AND($F33&lt;&gt;"",CL33&gt;=$F33),$I33,IF(AND($E33&lt;&gt;"",CL33&gt;=$E33),$H33,$G33))))</f>
        <v/>
      </c>
      <c r="CM34" s="0" t="str">
        <f aca="false">IF(CM33="","",IF($D33=0,$J33,IF(AND($F33&lt;&gt;"",CM33&gt;=$F33),$I33,IF(AND($E33&lt;&gt;"",CM33&gt;=$E33),$H33,$G33))))</f>
        <v/>
      </c>
      <c r="CN34" s="0" t="str">
        <f aca="false">IF(CN33="","",IF($D33=0,$J33,IF(AND($F33&lt;&gt;"",CN33&gt;=$F33),$I33,IF(AND($E33&lt;&gt;"",CN33&gt;=$E33),$H33,$G33))))</f>
        <v/>
      </c>
      <c r="CO34" s="0" t="str">
        <f aca="false">IF(CO33="","",IF($D33=0,$J33,IF(AND($F33&lt;&gt;"",CO33&gt;=$F33),$I33,IF(AND($E33&lt;&gt;"",CO33&gt;=$E33),$H33,$G33))))</f>
        <v/>
      </c>
      <c r="CP34" s="0" t="str">
        <f aca="false">IF(CP33="","",IF($D33=0,$J33,IF(AND($F33&lt;&gt;"",CP33&gt;=$F33),$I33,IF(AND($E33&lt;&gt;"",CP33&gt;=$E33),$H33,$G33))))</f>
        <v/>
      </c>
      <c r="CQ34" s="0" t="str">
        <f aca="false">IF(CQ33="","",IF($D33=0,$J33,IF(AND($F33&lt;&gt;"",CQ33&gt;=$F33),$I33,IF(AND($E33&lt;&gt;"",CQ33&gt;=$E33),$H33,$G33))))</f>
        <v/>
      </c>
      <c r="CR34" s="0" t="str">
        <f aca="false">IF(CR33="","",IF($D33=0,$J33,IF(AND($F33&lt;&gt;"",CR33&gt;=$F33),$I33,IF(AND($E33&lt;&gt;"",CR33&gt;=$E33),$H33,$G33))))</f>
        <v/>
      </c>
      <c r="CS34" s="0" t="str">
        <f aca="false">IF(CS33="","",IF($D33=0,$J33,IF(AND($F33&lt;&gt;"",CS33&gt;=$F33),$I33,IF(AND($E33&lt;&gt;"",CS33&gt;=$E33),$H33,$G33))))</f>
        <v/>
      </c>
      <c r="CT34" s="0" t="str">
        <f aca="false">IF(CT33="","",IF($D33=0,$J33,IF(AND($F33&lt;&gt;"",CT33&gt;=$F33),$I33,IF(AND($E33&lt;&gt;"",CT33&gt;=$E33),$H33,$G33))))</f>
        <v/>
      </c>
      <c r="CU34" s="0" t="str">
        <f aca="false">IF(CU33="","",IF($D33=0,$J33,IF(AND($F33&lt;&gt;"",CU33&gt;=$F33),$I33,IF(AND($E33&lt;&gt;"",CU33&gt;=$E33),$H33,$G33))))</f>
        <v/>
      </c>
      <c r="CV34" s="0" t="str">
        <f aca="false">IF(CV33="","",IF($D33=0,$J33,IF(AND($F33&lt;&gt;"",CV33&gt;=$F33),$I33,IF(AND($E33&lt;&gt;"",CV33&gt;=$E33),$H33,$G33))))</f>
        <v/>
      </c>
      <c r="CW34" s="0" t="str">
        <f aca="false">IF(CW33="","",IF($D33=0,$J33,IF(AND($F33&lt;&gt;"",CW33&gt;=$F33),$I33,IF(AND($E33&lt;&gt;"",CW33&gt;=$E33),$H33,$G33))))</f>
        <v/>
      </c>
      <c r="CX34" s="0" t="str">
        <f aca="false">IF(CX33="","",IF($D33=0,$J33,IF(AND($F33&lt;&gt;"",CX33&gt;=$F33),$I33,IF(AND($E33&lt;&gt;"",CX33&gt;=$E33),$H33,$G33))))</f>
        <v/>
      </c>
      <c r="CY34" s="0" t="str">
        <f aca="false">IF(CY33="","",IF($D33=0,$J33,IF(AND($F33&lt;&gt;"",CY33&gt;=$F33),$I33,IF(AND($E33&lt;&gt;"",CY33&gt;=$E33),$H33,$G33))))</f>
        <v/>
      </c>
      <c r="CZ34" s="0" t="str">
        <f aca="false">IF(CZ33="","",IF($D33=0,$J33,IF(AND($F33&lt;&gt;"",CZ33&gt;=$F33),$I33,IF(AND($E33&lt;&gt;"",CZ33&gt;=$E33),$H33,$G33))))</f>
        <v/>
      </c>
      <c r="DA34" s="0" t="str">
        <f aca="false">IF(DA33="","",IF($D33=0,$J33,IF(AND($F33&lt;&gt;"",DA33&gt;=$F33),$I33,IF(AND($E33&lt;&gt;"",DA33&gt;=$E33),$H33,$G33))))</f>
        <v/>
      </c>
      <c r="DB34" s="0" t="str">
        <f aca="false">IF(DB33="","",IF($D33=0,$J33,IF(AND($F33&lt;&gt;"",DB33&gt;=$F33),$I33,IF(AND($E33&lt;&gt;"",DB33&gt;=$E33),$H33,$G33))))</f>
        <v/>
      </c>
      <c r="DC34" s="0" t="str">
        <f aca="false">IF(DC33="","",IF($D33=0,$J33,IF(AND($F33&lt;&gt;"",DC33&gt;=$F33),$I33,IF(AND($E33&lt;&gt;"",DC33&gt;=$E33),$H33,$G33))))</f>
        <v/>
      </c>
      <c r="DD34" s="0" t="str">
        <f aca="false">IF(DD33="","",IF($D33=0,$J33,IF(AND($F33&lt;&gt;"",DD33&gt;=$F33),$I33,IF(AND($E33&lt;&gt;"",DD33&gt;=$E33),$H33,$G33))))</f>
        <v/>
      </c>
      <c r="DE34" s="0" t="str">
        <f aca="false">IF(DE33="","",IF($D33=0,$J33,IF(AND($F33&lt;&gt;"",DE33&gt;=$F33),$I33,IF(AND($E33&lt;&gt;"",DE33&gt;=$E33),$H33,$G33))))</f>
        <v/>
      </c>
      <c r="DF34" s="0" t="str">
        <f aca="false">IF(DF33="","",IF($D33=0,$J33,IF(AND($F33&lt;&gt;"",DF33&gt;=$F33),$I33,IF(AND($E33&lt;&gt;"",DF33&gt;=$E33),$H33,$G33))))</f>
        <v/>
      </c>
      <c r="DG34" s="0" t="str">
        <f aca="false">IF(DG33="","",IF($D33=0,$J33,IF(AND($F33&lt;&gt;"",DG33&gt;=$F33),$I33,IF(AND($E33&lt;&gt;"",DG33&gt;=$E33),$H33,$G33))))</f>
        <v/>
      </c>
      <c r="DH34" s="0" t="str">
        <f aca="false">IF(DH33="","",IF($D33=0,$J33,IF(AND($F33&lt;&gt;"",DH33&gt;=$F33),$I33,IF(AND($E33&lt;&gt;"",DH33&gt;=$E33),$H33,$G33))))</f>
        <v/>
      </c>
      <c r="DI34" s="0" t="str">
        <f aca="false">IF(DI33="","",IF($D33=0,$J33,IF(AND($F33&lt;&gt;"",DI33&gt;=$F33),$I33,IF(AND($E33&lt;&gt;"",DI33&gt;=$E33),$H33,$G33))))</f>
        <v/>
      </c>
      <c r="DJ34" s="0" t="str">
        <f aca="false">IF(DJ33="","",IF($D33=0,$J33,IF(AND($F33&lt;&gt;"",DJ33&gt;=$F33),$I33,IF(AND($E33&lt;&gt;"",DJ33&gt;=$E33),$H33,$G33))))</f>
        <v/>
      </c>
      <c r="DK34" s="0" t="str">
        <f aca="false">IF(DK33="","",IF($D33=0,$J33,IF(AND($F33&lt;&gt;"",DK33&gt;=$F33),$I33,IF(AND($E33&lt;&gt;"",DK33&gt;=$E33),$H33,$G33))))</f>
        <v/>
      </c>
      <c r="DL34" s="0" t="str">
        <f aca="false">IF(DL33="","",IF($D33=0,$J33,IF(AND($F33&lt;&gt;"",DL33&gt;=$F33),$I33,IF(AND($E33&lt;&gt;"",DL33&gt;=$E33),$H33,$G33))))</f>
        <v/>
      </c>
      <c r="DM34" s="0" t="str">
        <f aca="false">IF(DM33="","",IF($D33=0,$J33,IF(AND($F33&lt;&gt;"",DM33&gt;=$F33),$I33,IF(AND($E33&lt;&gt;"",DM33&gt;=$E33),$H33,$G33))))</f>
        <v/>
      </c>
      <c r="DN34" s="0" t="str">
        <f aca="false">IF(DN33="","",IF($D33=0,$J33,IF(AND($F33&lt;&gt;"",DN33&gt;=$F33),$I33,IF(AND($E33&lt;&gt;"",DN33&gt;=$E33),$H33,$G33))))</f>
        <v/>
      </c>
      <c r="DO34" s="0" t="str">
        <f aca="false">IF(DO33="","",IF($D33=0,$J33,IF(AND($F33&lt;&gt;"",DO33&gt;=$F33),$I33,IF(AND($E33&lt;&gt;"",DO33&gt;=$E33),$H33,$G33))))</f>
        <v/>
      </c>
      <c r="DP34" s="0" t="str">
        <f aca="false">IF(DP33="","",IF($D33=0,$J33,IF(AND($F33&lt;&gt;"",DP33&gt;=$F33),$I33,IF(AND($E33&lt;&gt;"",DP33&gt;=$E33),$H33,$G33))))</f>
        <v/>
      </c>
      <c r="DQ34" s="0" t="str">
        <f aca="false">IF(DQ33="","",IF($D33=0,$J33,IF(AND($F33&lt;&gt;"",DQ33&gt;=$F33),$I33,IF(AND($E33&lt;&gt;"",DQ33&gt;=$E33),$H33,$G33))))</f>
        <v/>
      </c>
      <c r="DR34" s="0" t="str">
        <f aca="false">IF(DR33="","",IF($D33=0,$J33,IF(AND($F33&lt;&gt;"",DR33&gt;=$F33),$I33,IF(AND($E33&lt;&gt;"",DR33&gt;=$E33),$H33,$G33))))</f>
        <v/>
      </c>
      <c r="DS34" s="0" t="str">
        <f aca="false">IF(DS33="","",IF($D33=0,$J33,IF(AND($F33&lt;&gt;"",DS33&gt;=$F33),$I33,IF(AND($E33&lt;&gt;"",DS33&gt;=$E33),$H33,$G33))))</f>
        <v/>
      </c>
      <c r="DT34" s="0" t="str">
        <f aca="false">IF(DT33="","",IF($D33=0,$J33,IF(AND($F33&lt;&gt;"",DT33&gt;=$F33),$I33,IF(AND($E33&lt;&gt;"",DT33&gt;=$E33),$H33,$G33))))</f>
        <v/>
      </c>
      <c r="DU34" s="0" t="str">
        <f aca="false">IF(DU33="","",IF($D33=0,$J33,IF(AND($F33&lt;&gt;"",DU33&gt;=$F33),$I33,IF(AND($E33&lt;&gt;"",DU33&gt;=$E33),$H33,$G33))))</f>
        <v/>
      </c>
      <c r="DV34" s="0" t="str">
        <f aca="false">IF(DV33="","",IF($D33=0,$J33,IF(AND($F33&lt;&gt;"",DV33&gt;=$F33),$I33,IF(AND($E33&lt;&gt;"",DV33&gt;=$E33),$H33,$G33))))</f>
        <v/>
      </c>
      <c r="DW34" s="0" t="str">
        <f aca="false">IF(DW33="","",IF($D33=0,$J33,IF(AND($F33&lt;&gt;"",DW33&gt;=$F33),$I33,IF(AND($E33&lt;&gt;"",DW33&gt;=$E33),$H33,$G33))))</f>
        <v/>
      </c>
      <c r="DX34" s="0" t="str">
        <f aca="false">IF(DX33="","",IF($D33=0,$J33,IF(AND($F33&lt;&gt;"",DX33&gt;=$F33),$I33,IF(AND($E33&lt;&gt;"",DX33&gt;=$E33),$H33,$G33))))</f>
        <v/>
      </c>
      <c r="DY34" s="0" t="str">
        <f aca="false">IF(DY33="","",IF($D33=0,$J33,IF(AND($F33&lt;&gt;"",DY33&gt;=$F33),$I33,IF(AND($E33&lt;&gt;"",DY33&gt;=$E33),$H33,$G33))))</f>
        <v/>
      </c>
      <c r="DZ34" s="0" t="str">
        <f aca="false">IF(DZ33="","",IF($D33=0,$J33,IF(AND($F33&lt;&gt;"",DZ33&gt;=$F33),$I33,IF(AND($E33&lt;&gt;"",DZ33&gt;=$E33),$H33,$G33))))</f>
        <v/>
      </c>
      <c r="EA34" s="0" t="str">
        <f aca="false">IF(EA33="","",IF($D33=0,$J33,IF(AND($F33&lt;&gt;"",EA33&gt;=$F33),$I33,IF(AND($E33&lt;&gt;"",EA33&gt;=$E33),$H33,$G33))))</f>
        <v/>
      </c>
      <c r="EB34" s="0" t="str">
        <f aca="false">IF(EB33="","",IF($D33=0,$J33,IF(AND($F33&lt;&gt;"",EB33&gt;=$F33),$I33,IF(AND($E33&lt;&gt;"",EB33&gt;=$E33),$H33,$G33))))</f>
        <v/>
      </c>
      <c r="EC34" s="0" t="str">
        <f aca="false">IF(EC33="","",IF($D33=0,$J33,IF(AND($F33&lt;&gt;"",EC33&gt;=$F33),$I33,IF(AND($E33&lt;&gt;"",EC33&gt;=$E33),$H33,$G33))))</f>
        <v/>
      </c>
      <c r="ED34" s="0" t="str">
        <f aca="false">IF(ED33="","",IF($D33=0,$J33,IF(AND($F33&lt;&gt;"",ED33&gt;=$F33),$I33,IF(AND($E33&lt;&gt;"",ED33&gt;=$E33),$H33,$G33))))</f>
        <v/>
      </c>
      <c r="EE34" s="0" t="str">
        <f aca="false">IF(EE33="","",IF($D33=0,$J33,IF(AND($F33&lt;&gt;"",EE33&gt;=$F33),$I33,IF(AND($E33&lt;&gt;"",EE33&gt;=$E33),$H33,$G33))))</f>
        <v/>
      </c>
      <c r="EF34" s="0" t="str">
        <f aca="false">IF(EF33="","",IF($D33=0,$J33,IF(AND($F33&lt;&gt;"",EF33&gt;=$F33),$I33,IF(AND($E33&lt;&gt;"",EF33&gt;=$E33),$H33,$G33))))</f>
        <v/>
      </c>
      <c r="EG34" s="0" t="str">
        <f aca="false">IF(EG33="","",IF($D33=0,$J33,IF(AND($F33&lt;&gt;"",EG33&gt;=$F33),$I33,IF(AND($E33&lt;&gt;"",EG33&gt;=$E33),$H33,$G33))))</f>
        <v/>
      </c>
      <c r="EH34" s="0" t="str">
        <f aca="false">IF(EH33="","",IF($D33=0,$J33,IF(AND($F33&lt;&gt;"",EH33&gt;=$F33),$I33,IF(AND($E33&lt;&gt;"",EH33&gt;=$E33),$H33,$G33))))</f>
        <v/>
      </c>
      <c r="EI34" s="0" t="str">
        <f aca="false">IF(EI33="","",IF($D33=0,$J33,IF(AND($F33&lt;&gt;"",EI33&gt;=$F33),$I33,IF(AND($E33&lt;&gt;"",EI33&gt;=$E33),$H33,$G33))))</f>
        <v/>
      </c>
      <c r="EJ34" s="0" t="str">
        <f aca="false">IF(EJ33="","",IF($D33=0,$J33,IF(AND($F33&lt;&gt;"",EJ33&gt;=$F33),$I33,IF(AND($E33&lt;&gt;"",EJ33&gt;=$E33),$H33,$G33))))</f>
        <v/>
      </c>
      <c r="EK34" s="0" t="str">
        <f aca="false">IF(EK33="","",IF($D33=0,$J33,IF(AND($F33&lt;&gt;"",EK33&gt;=$F33),$I33,IF(AND($E33&lt;&gt;"",EK33&gt;=$E33),$H33,$G33))))</f>
        <v/>
      </c>
      <c r="EL34" s="0" t="str">
        <f aca="false">IF(EL33="","",IF($D33=0,$J33,IF(AND($F33&lt;&gt;"",EL33&gt;=$F33),$I33,IF(AND($E33&lt;&gt;"",EL33&gt;=$E33),$H33,$G33))))</f>
        <v/>
      </c>
      <c r="EM34" s="0" t="str">
        <f aca="false">IF(EM33="","",IF($D33=0,$J33,IF(AND($F33&lt;&gt;"",EM33&gt;=$F33),$I33,IF(AND($E33&lt;&gt;"",EM33&gt;=$E33),$H33,$G33))))</f>
        <v/>
      </c>
      <c r="EN34" s="0" t="str">
        <f aca="false">IF(EN33="","",IF($D33=0,$J33,IF(AND($F33&lt;&gt;"",EN33&gt;=$F33),$I33,IF(AND($E33&lt;&gt;"",EN33&gt;=$E33),$H33,$G33))))</f>
        <v/>
      </c>
      <c r="EO34" s="0" t="str">
        <f aca="false">IF(EO33="","",IF($D33=0,$J33,IF(AND($F33&lt;&gt;"",EO33&gt;=$F33),$I33,IF(AND($E33&lt;&gt;"",EO33&gt;=$E33),$H33,$G33))))</f>
        <v/>
      </c>
      <c r="EP34" s="0" t="str">
        <f aca="false">IF(EP33="","",IF($D33=0,$J33,IF(AND($F33&lt;&gt;"",EP33&gt;=$F33),$I33,IF(AND($E33&lt;&gt;"",EP33&gt;=$E33),$H33,$G33))))</f>
        <v/>
      </c>
      <c r="EQ34" s="0" t="str">
        <f aca="false">IF(EQ33="","",IF($D33=0,$J33,IF(AND($F33&lt;&gt;"",EQ33&gt;=$F33),$I33,IF(AND($E33&lt;&gt;"",EQ33&gt;=$E33),$H33,$G33))))</f>
        <v/>
      </c>
      <c r="ER34" s="0" t="str">
        <f aca="false">IF(ER33="","",IF($D33=0,$J33,IF(AND($F33&lt;&gt;"",ER33&gt;=$F33),$I33,IF(AND($E33&lt;&gt;"",ER33&gt;=$E33),$H33,$G33))))</f>
        <v/>
      </c>
      <c r="ES34" s="0" t="str">
        <f aca="false">IF(ES33="","",IF($D33=0,$J33,IF(AND($F33&lt;&gt;"",ES33&gt;=$F33),$I33,IF(AND($E33&lt;&gt;"",ES33&gt;=$E33),$H33,$G33))))</f>
        <v/>
      </c>
      <c r="ET34" s="0" t="str">
        <f aca="false">IF(ET33="","",IF($D33=0,$J33,IF(AND($F33&lt;&gt;"",ET33&gt;=$F33),$I33,IF(AND($E33&lt;&gt;"",ET33&gt;=$E33),$H33,$G33))))</f>
        <v/>
      </c>
      <c r="EU34" s="0" t="str">
        <f aca="false">IF(EU33="","",IF($D33=0,$J33,IF(AND($F33&lt;&gt;"",EU33&gt;=$F33),$I33,IF(AND($E33&lt;&gt;"",EU33&gt;=$E33),$H33,$G33))))</f>
        <v/>
      </c>
      <c r="EV34" s="0" t="str">
        <f aca="false">IF(EV33="","",IF($D33=0,$J33,IF(AND($F33&lt;&gt;"",EV33&gt;=$F33),$I33,IF(AND($E33&lt;&gt;"",EV33&gt;=$E33),$H33,$G33))))</f>
        <v/>
      </c>
      <c r="EW34" s="0" t="str">
        <f aca="false">IF(EW33="","",IF($D33=0,$J33,IF(AND($F33&lt;&gt;"",EW33&gt;=$F33),$I33,IF(AND($E33&lt;&gt;"",EW33&gt;=$E33),$H33,$G33))))</f>
        <v/>
      </c>
      <c r="EX34" s="0" t="str">
        <f aca="false">IF(EX33="","",IF($D33=0,$J33,IF(AND($F33&lt;&gt;"",EX33&gt;=$F33),$I33,IF(AND($E33&lt;&gt;"",EX33&gt;=$E33),$H33,$G33))))</f>
        <v/>
      </c>
      <c r="EY34" s="0" t="str">
        <f aca="false">IF(EY33="","",IF($D33=0,$J33,IF(AND($F33&lt;&gt;"",EY33&gt;=$F33),$I33,IF(AND($E33&lt;&gt;"",EY33&gt;=$E33),$H33,$G33))))</f>
        <v/>
      </c>
      <c r="EZ34" s="0" t="str">
        <f aca="false">IF(EZ33="","",IF($D33=0,$J33,IF(AND($F33&lt;&gt;"",EZ33&gt;=$F33),$I33,IF(AND($E33&lt;&gt;"",EZ33&gt;=$E33),$H33,$G33))))</f>
        <v/>
      </c>
      <c r="FA34" s="0" t="str">
        <f aca="false">IF(FA33="","",IF($D33=0,$J33,IF(AND($F33&lt;&gt;"",FA33&gt;=$F33),$I33,IF(AND($E33&lt;&gt;"",FA33&gt;=$E33),$H33,$G33))))</f>
        <v/>
      </c>
      <c r="FB34" s="0" t="str">
        <f aca="false">IF(FB33="","",IF($D33=0,$J33,IF(AND($F33&lt;&gt;"",FB33&gt;=$F33),$I33,IF(AND($E33&lt;&gt;"",FB33&gt;=$E33),$H33,$G33))))</f>
        <v/>
      </c>
      <c r="FC34" s="0" t="str">
        <f aca="false">IF(FC33="","",IF($D33=0,$J33,IF(AND($F33&lt;&gt;"",FC33&gt;=$F33),$I33,IF(AND($E33&lt;&gt;"",FC33&gt;=$E33),$H33,$G33))))</f>
        <v/>
      </c>
      <c r="FD34" s="0" t="str">
        <f aca="false">IF(FD33="","",IF($D33=0,$J33,IF(AND($F33&lt;&gt;"",FD33&gt;=$F33),$I33,IF(AND($E33&lt;&gt;"",FD33&gt;=$E33),$H33,$G33))))</f>
        <v/>
      </c>
      <c r="FE34" s="0" t="str">
        <f aca="false">IF(FE33="","",IF($D33=0,$J33,IF(AND($F33&lt;&gt;"",FE33&gt;=$F33),$I33,IF(AND($E33&lt;&gt;"",FE33&gt;=$E33),$H33,$G33))))</f>
        <v/>
      </c>
      <c r="FF34" s="0" t="str">
        <f aca="false">IF(FF33="","",IF($D33=0,$J33,IF(AND($F33&lt;&gt;"",FF33&gt;=$F33),$I33,IF(AND($E33&lt;&gt;"",FF33&gt;=$E33),$H33,$G33))))</f>
        <v/>
      </c>
      <c r="FG34" s="0" t="str">
        <f aca="false">IF(FG33="","",IF($D33=0,$J33,IF(AND($F33&lt;&gt;"",FG33&gt;=$F33),$I33,IF(AND($E33&lt;&gt;"",FG33&gt;=$E33),$H33,$G33))))</f>
        <v/>
      </c>
      <c r="FH34" s="0" t="str">
        <f aca="false">IF(FH33="","",IF($D33=0,$J33,IF(AND($F33&lt;&gt;"",FH33&gt;=$F33),$I33,IF(AND($E33&lt;&gt;"",FH33&gt;=$E33),$H33,$G33))))</f>
        <v/>
      </c>
      <c r="FI34" s="0" t="str">
        <f aca="false">IF(FI33="","",IF($D33=0,$J33,IF(AND($F33&lt;&gt;"",FI33&gt;=$F33),$I33,IF(AND($E33&lt;&gt;"",FI33&gt;=$E33),$H33,$G33))))</f>
        <v/>
      </c>
      <c r="FJ34" s="0" t="str">
        <f aca="false">IF(FJ33="","",IF($D33=0,$J33,IF(AND($F33&lt;&gt;"",FJ33&gt;=$F33),$I33,IF(AND($E33&lt;&gt;"",FJ33&gt;=$E33),$H33,$G33))))</f>
        <v/>
      </c>
      <c r="FK34" s="0" t="str">
        <f aca="false">IF(FK33="","",IF($D33=0,$J33,IF(AND($F33&lt;&gt;"",FK33&gt;=$F33),$I33,IF(AND($E33&lt;&gt;"",FK33&gt;=$E33),$H33,$G33))))</f>
        <v/>
      </c>
      <c r="FL34" s="0" t="str">
        <f aca="false">IF(FL33="","",IF($D33=0,$J33,IF(AND($F33&lt;&gt;"",FL33&gt;=$F33),$I33,IF(AND($E33&lt;&gt;"",FL33&gt;=$E33),$H33,$G33))))</f>
        <v/>
      </c>
      <c r="FM34" s="0" t="str">
        <f aca="false">IF(FM33="","",IF($D33=0,$J33,IF(AND($F33&lt;&gt;"",FM33&gt;=$F33),$I33,IF(AND($E33&lt;&gt;"",FM33&gt;=$E33),$H33,$G33))))</f>
        <v/>
      </c>
      <c r="FN34" s="0" t="str">
        <f aca="false">IF(FN33="","",IF($D33=0,$J33,IF(AND($F33&lt;&gt;"",FN33&gt;=$F33),$I33,IF(AND($E33&lt;&gt;"",FN33&gt;=$E33),$H33,$G33))))</f>
        <v/>
      </c>
      <c r="FO34" s="0" t="str">
        <f aca="false">IF(FO33="","",IF($D33=0,$J33,IF(AND($F33&lt;&gt;"",FO33&gt;=$F33),$I33,IF(AND($E33&lt;&gt;"",FO33&gt;=$E33),$H33,$G33))))</f>
        <v/>
      </c>
      <c r="FP34" s="0" t="str">
        <f aca="false">IF(FP33="","",IF($D33=0,$J33,IF(AND($F33&lt;&gt;"",FP33&gt;=$F33),$I33,IF(AND($E33&lt;&gt;"",FP33&gt;=$E33),$H33,$G33))))</f>
        <v/>
      </c>
      <c r="FQ34" s="0" t="str">
        <f aca="false">IF(FQ33="","",IF($D33=0,$J33,IF(AND($F33&lt;&gt;"",FQ33&gt;=$F33),$I33,IF(AND($E33&lt;&gt;"",FQ33&gt;=$E33),$H33,$G33))))</f>
        <v/>
      </c>
      <c r="FR34" s="0" t="str">
        <f aca="false">IF(FR33="","",IF($D33=0,$J33,IF(AND($F33&lt;&gt;"",FR33&gt;=$F33),$I33,IF(AND($E33&lt;&gt;"",FR33&gt;=$E33),$H33,$G33))))</f>
        <v/>
      </c>
      <c r="FS34" s="0" t="str">
        <f aca="false">IF(FS33="","",IF($D33=0,$J33,IF(AND($F33&lt;&gt;"",FS33&gt;=$F33),$I33,IF(AND($E33&lt;&gt;"",FS33&gt;=$E33),$H33,$G33))))</f>
        <v/>
      </c>
      <c r="FT34" s="0" t="str">
        <f aca="false">IF(FT33="","",IF($D33=0,$J33,IF(AND($F33&lt;&gt;"",FT33&gt;=$F33),$I33,IF(AND($E33&lt;&gt;"",FT33&gt;=$E33),$H33,$G33))))</f>
        <v/>
      </c>
      <c r="FU34" s="0" t="str">
        <f aca="false">IF(FU33="","",IF($D33=0,$J33,IF(AND($F33&lt;&gt;"",FU33&gt;=$F33),$I33,IF(AND($E33&lt;&gt;"",FU33&gt;=$E33),$H33,$G33))))</f>
        <v/>
      </c>
      <c r="FV34" s="0" t="str">
        <f aca="false">IF(FV33="","",IF($D33=0,$J33,IF(AND($F33&lt;&gt;"",FV33&gt;=$F33),$I33,IF(AND($E33&lt;&gt;"",FV33&gt;=$E33),$H33,$G33))))</f>
        <v/>
      </c>
      <c r="FW34" s="0" t="str">
        <f aca="false">IF(FW33="","",IF($D33=0,$J33,IF(AND($F33&lt;&gt;"",FW33&gt;=$F33),$I33,IF(AND($E33&lt;&gt;"",FW33&gt;=$E33),$H33,$G33))))</f>
        <v/>
      </c>
      <c r="FX34" s="0" t="str">
        <f aca="false">IF(FX33="","",IF($D33=0,$J33,IF(AND($F33&lt;&gt;"",FX33&gt;=$F33),$I33,IF(AND($E33&lt;&gt;"",FX33&gt;=$E33),$H33,$G33))))</f>
        <v/>
      </c>
      <c r="FY34" s="0" t="str">
        <f aca="false">IF(FY33="","",IF($D33=0,$J33,IF(AND($F33&lt;&gt;"",FY33&gt;=$F33),$I33,IF(AND($E33&lt;&gt;"",FY33&gt;=$E33),$H33,$G33))))</f>
        <v/>
      </c>
      <c r="FZ34" s="0" t="str">
        <f aca="false">IF(FZ33="","",IF($D33=0,$J33,IF(AND($F33&lt;&gt;"",FZ33&gt;=$F33),$I33,IF(AND($E33&lt;&gt;"",FZ33&gt;=$E33),$H33,$G33))))</f>
        <v/>
      </c>
      <c r="GA34" s="0" t="str">
        <f aca="false">IF(GA33="","",IF($D33=0,$J33,IF(AND($F33&lt;&gt;"",GA33&gt;=$F33),$I33,IF(AND($E33&lt;&gt;"",GA33&gt;=$E33),$H33,$G33))))</f>
        <v/>
      </c>
      <c r="GB34" s="0" t="str">
        <f aca="false">IF(GB33="","",IF($D33=0,$J33,IF(AND($F33&lt;&gt;"",GB33&gt;=$F33),$I33,IF(AND($E33&lt;&gt;"",GB33&gt;=$E33),$H33,$G33))))</f>
        <v/>
      </c>
      <c r="GC34" s="0" t="str">
        <f aca="false">IF(GC33="","",IF($D33=0,$J33,IF(AND($F33&lt;&gt;"",GC33&gt;=$F33),$I33,IF(AND($E33&lt;&gt;"",GC33&gt;=$E33),$H33,$G33))))</f>
        <v/>
      </c>
      <c r="GD34" s="0" t="str">
        <f aca="false">IF(GD33="","",IF($D33=0,$J33,IF(AND($F33&lt;&gt;"",GD33&gt;=$F33),$I33,IF(AND($E33&lt;&gt;"",GD33&gt;=$E33),$H33,$G33))))</f>
        <v/>
      </c>
      <c r="GE34" s="0" t="str">
        <f aca="false">IF(GE33="","",IF($D33=0,$J33,IF(AND($F33&lt;&gt;"",GE33&gt;=$F33),$I33,IF(AND($E33&lt;&gt;"",GE33&gt;=$E33),$H33,$G33))))</f>
        <v/>
      </c>
      <c r="GF34" s="0" t="str">
        <f aca="false">IF(GF33="","",IF($D33=0,$J33,IF(AND($F33&lt;&gt;"",GF33&gt;=$F33),$I33,IF(AND($E33&lt;&gt;"",GF33&gt;=$E33),$H33,$G33))))</f>
        <v/>
      </c>
      <c r="GG34" s="0" t="str">
        <f aca="false">IF(GG33="","",IF($D33=0,$J33,IF(AND($F33&lt;&gt;"",GG33&gt;=$F33),$I33,IF(AND($E33&lt;&gt;"",GG33&gt;=$E33),$H33,$G33))))</f>
        <v/>
      </c>
      <c r="GH34" s="0" t="str">
        <f aca="false">IF(GH33="","",IF($D33=0,$J33,IF(AND($F33&lt;&gt;"",GH33&gt;=$F33),$I33,IF(AND($E33&lt;&gt;"",GH33&gt;=$E33),$H33,$G33))))</f>
        <v/>
      </c>
      <c r="GI34" s="0" t="str">
        <f aca="false">IF(GI33="","",IF($D33=0,$J33,IF(AND($F33&lt;&gt;"",GI33&gt;=$F33),$I33,IF(AND($E33&lt;&gt;"",GI33&gt;=$E33),$H33,$G33))))</f>
        <v/>
      </c>
    </row>
    <row r="35" customFormat="false" ht="15" hidden="false" customHeight="false" outlineLevel="0" collapsed="false">
      <c r="K35" s="0" t="s">
        <v>264</v>
      </c>
      <c r="L35" s="0" t="n">
        <f aca="false">IF(L33="",0,IF(AND(L34=Milestones!$AB$20,L33&gt;=SchemeStart),IF(AND(Milestones!$AB$20="FT",Milestones!$AA$20=FT_Y5,L33&lt;PolicyEff),1,Milestones!$AC$20),0))</f>
        <v>0</v>
      </c>
      <c r="M35" s="0" t="n">
        <f aca="false">IF(M33="",0,IF(AND(M34=Milestones!$AB$21,M33&gt;=SchemeStart),IF(AND(Milestones!$AB$21="FT",Milestones!$AA$21=FT_Y5,M33&lt;PolicyEff),1,Milestones!$AC$21),0))</f>
        <v>0</v>
      </c>
      <c r="N35" s="0" t="n">
        <f aca="false">IF(N33="",0,IF(AND(N34=Milestones!$AB$22,N33&gt;=SchemeStart),IF(AND(Milestones!$AB$22="FT",Milestones!$AA$22=FT_Y5,N33&lt;PolicyEff),1,Milestones!$AC$22),0))</f>
        <v>0</v>
      </c>
      <c r="O35" s="0" t="n">
        <f aca="false">IF(O33="",0,IF(AND(O34=Milestones!$AB$23,O33&gt;=SchemeStart),IF(AND(Milestones!$AB$23="FT",Milestones!$AA$23=FT_Y5,O33&lt;PolicyEff),1,Milestones!$AC$23),0))</f>
        <v>0</v>
      </c>
      <c r="P35" s="0" t="n">
        <f aca="false">IF(P33="",0,IF(AND(P34=Milestones!$AB$24,P33&gt;=SchemeStart),IF(AND(Milestones!$AB$24="FT",Milestones!$AA$24=FT_Y5,P33&lt;PolicyEff),1,Milestones!$AC$24),0))</f>
        <v>0</v>
      </c>
      <c r="Q35" s="0" t="n">
        <f aca="false">IF(Q33="",0,IF(AND(Q34=Milestones!$AB$25,Q33&gt;=SchemeStart),IF(AND(Milestones!$AB$25="FT",Milestones!$AA$25=FT_Y5,Q33&lt;PolicyEff),1,Milestones!$AC$25),0))</f>
        <v>0</v>
      </c>
      <c r="R35" s="0" t="n">
        <f aca="false">IF(R33="",0,IF(AND(R34=Milestones!$AB$26,R33&gt;=SchemeStart),IF(AND(Milestones!$AB$26="FT",Milestones!$AA$26=FT_Y5,R33&lt;PolicyEff),1,Milestones!$AC$26),0))</f>
        <v>0</v>
      </c>
      <c r="S35" s="0" t="n">
        <f aca="false">IF(S33="",0,IF(AND(S34=Milestones!$AB$27,S33&gt;=SchemeStart),IF(AND(Milestones!$AB$27="FT",Milestones!$AA$27=FT_Y5,S33&lt;PolicyEff),1,Milestones!$AC$27),0))</f>
        <v>0</v>
      </c>
      <c r="T35" s="0" t="n">
        <f aca="false">IF(T33="",0,IF(AND(T34=Milestones!$AB$28,T33&gt;=SchemeStart),IF(AND(Milestones!$AB$28="FT",Milestones!$AA$28=FT_Y5,T33&lt;PolicyEff),1,Milestones!$AC$28),0))</f>
        <v>0</v>
      </c>
      <c r="U35" s="0" t="n">
        <f aca="false">IF(U33="",0,IF(AND(U34=Milestones!$AB$29,U33&gt;=SchemeStart),IF(AND(Milestones!$AB$29="FT",Milestones!$AA$29=FT_Y5,U33&lt;PolicyEff),1,Milestones!$AC$29),0))</f>
        <v>0</v>
      </c>
      <c r="V35" s="0" t="n">
        <f aca="false">IF(V33="",0,IF(AND(V34=Milestones!$AB$30,V33&gt;=SchemeStart),IF(AND(Milestones!$AB$30="FT",Milestones!$AA$30=FT_Y5,V33&lt;PolicyEff),1,Milestones!$AC$30),0))</f>
        <v>0</v>
      </c>
      <c r="W35" s="0" t="n">
        <f aca="false">IF(W33="",0,IF(AND(W34=Milestones!$AB$31,W33&gt;=SchemeStart),IF(AND(Milestones!$AB$31="FT",Milestones!$AA$31=FT_Y5,W33&lt;PolicyEff),1,Milestones!$AC$31),0))</f>
        <v>0</v>
      </c>
      <c r="X35" s="0" t="n">
        <f aca="false">IF(X33="",0,IF(AND(X34=Milestones!$AB$32,X33&gt;=SchemeStart),IF(AND(Milestones!$AB$32="FT",Milestones!$AA$32=FT_Y5,X33&lt;PolicyEff),1,Milestones!$AC$32),0))</f>
        <v>0</v>
      </c>
      <c r="Y35" s="0" t="n">
        <f aca="false">IF(Y33="",0,IF(AND(Y34=Milestones!$AB$33,Y33&gt;=SchemeStart),IF(AND(Milestones!$AB$33="FT",Milestones!$AA$33=FT_Y5,Y33&lt;PolicyEff),1,Milestones!$AC$33),0))</f>
        <v>0</v>
      </c>
      <c r="Z35" s="0" t="n">
        <f aca="false">IF(Z33="",0,IF(AND(Z34=Milestones!$AB$34,Z33&gt;=SchemeStart),IF(AND(Milestones!$AB$34="FT",Milestones!$AA$34=FT_Y5,Z33&lt;PolicyEff),1,Milestones!$AC$34),0))</f>
        <v>0</v>
      </c>
      <c r="AA35" s="0" t="n">
        <f aca="false">IF(AA33="",0,IF(AND(AA34=Milestones!$AB$35,AA33&gt;=SchemeStart),IF(AND(Milestones!$AB$35="FT",Milestones!$AA$35=FT_Y5,AA33&lt;PolicyEff),1,Milestones!$AC$35),0))</f>
        <v>0</v>
      </c>
      <c r="AB35" s="0" t="n">
        <f aca="false">IF(AB33="",0,IF(AND(AB34=Milestones!$AB$36,AB33&gt;=SchemeStart),IF(AND(Milestones!$AB$36="FT",Milestones!$AA$36=FT_Y5,AB33&lt;PolicyEff),1,Milestones!$AC$36),0))</f>
        <v>0</v>
      </c>
      <c r="AC35" s="0" t="n">
        <f aca="false">IF(AC33="",0,IF(AND(AC34=Milestones!$AB$37,AC33&gt;=SchemeStart),IF(AND(Milestones!$AB$37="FT",Milestones!$AA$37=FT_Y5,AC33&lt;PolicyEff),1,Milestones!$AC$37),0))</f>
        <v>0</v>
      </c>
      <c r="AD35" s="0" t="n">
        <f aca="false">IF(AD33="",0,IF(AND(AD34=Milestones!$AB$38,AD33&gt;=SchemeStart),IF(AND(Milestones!$AB$38="FT",Milestones!$AA$38=FT_Y5,AD33&lt;PolicyEff),1,Milestones!$AC$38),0))</f>
        <v>0</v>
      </c>
      <c r="AE35" s="0" t="n">
        <f aca="false">IF(AE33="",0,IF(AND(AE34=Milestones!$AB$39,AE33&gt;=SchemeStart),IF(AND(Milestones!$AB$39="FT",Milestones!$AA$39=FT_Y5,AE33&lt;PolicyEff),1,Milestones!$AC$39),0))</f>
        <v>0</v>
      </c>
      <c r="AF35" s="0" t="n">
        <f aca="false">IF(AF33="",0,IF(AND(AF34=Milestones!$AB$40,AF33&gt;=SchemeStart),IF(AND(Milestones!$AB$40="FT",Milestones!$AA$40=FT_Y5,AF33&lt;PolicyEff),1,Milestones!$AC$40),0))</f>
        <v>0</v>
      </c>
      <c r="AG35" s="0" t="n">
        <f aca="false">IF(AG33="",0,IF(AND(AG34=Milestones!$AB$41,AG33&gt;=SchemeStart),IF(AND(Milestones!$AB$41="FT",Milestones!$AA$41=FT_Y5,AG33&lt;PolicyEff),1,Milestones!$AC$41),0))</f>
        <v>0</v>
      </c>
      <c r="AH35" s="0" t="n">
        <f aca="false">IF(AH33="",0,IF(AND(AH34=Milestones!$AB$42,AH33&gt;=SchemeStart),IF(AND(Milestones!$AB$42="FT",Milestones!$AA$42=FT_Y5,AH33&lt;PolicyEff),1,Milestones!$AC$42),0))</f>
        <v>0</v>
      </c>
      <c r="AI35" s="0" t="n">
        <f aca="false">IF(AI33="",0,IF(AND(AI34=Milestones!$AB$43,AI33&gt;=SchemeStart),IF(AND(Milestones!$AB$43="FT",Milestones!$AA$43=FT_Y5,AI33&lt;PolicyEff),1,Milestones!$AC$43),0))</f>
        <v>0</v>
      </c>
      <c r="AJ35" s="0" t="n">
        <f aca="false">IF(AJ33="",0,IF(AND(AJ34=Milestones!$AB$44,AJ33&gt;=SchemeStart),IF(AND(Milestones!$AB$44="FT",Milestones!$AA$44=FT_Y5,AJ33&lt;PolicyEff),1,Milestones!$AC$44),0))</f>
        <v>0</v>
      </c>
      <c r="AK35" s="0" t="n">
        <f aca="false">IF(AK33="",0,IF(AND(AK34=Milestones!$AB$45,AK33&gt;=SchemeStart),IF(AND(Milestones!$AB$45="FT",Milestones!$AA$45=FT_Y5,AK33&lt;PolicyEff),1,Milestones!$AC$45),0))</f>
        <v>0</v>
      </c>
      <c r="AL35" s="0" t="n">
        <f aca="false">IF(AL33="",0,IF(AND(AL34=Milestones!$AB$46,AL33&gt;=SchemeStart),IF(AND(Milestones!$AB$46="FT",Milestones!$AA$46=FT_Y5,AL33&lt;PolicyEff),1,Milestones!$AC$46),0))</f>
        <v>0</v>
      </c>
      <c r="AM35" s="0" t="n">
        <f aca="false">IF(AM33="",0,IF(AND(AM34=Milestones!$AB$47,AM33&gt;=SchemeStart),IF(AND(Milestones!$AB$47="FT",Milestones!$AA$47=FT_Y5,AM33&lt;PolicyEff),1,Milestones!$AC$47),0))</f>
        <v>0</v>
      </c>
      <c r="AN35" s="0" t="n">
        <f aca="false">IF(AN33="",0,IF(AND(AN34=Milestones!$AB$48,AN33&gt;=SchemeStart),IF(AND(Milestones!$AB$48="FT",Milestones!$AA$48=FT_Y5,AN33&lt;PolicyEff),1,Milestones!$AC$48),0))</f>
        <v>0</v>
      </c>
      <c r="AO35" s="0" t="n">
        <f aca="false">IF(AO33="",0,IF(AND(AO34=Milestones!$AB$49,AO33&gt;=SchemeStart),IF(AND(Milestones!$AB$49="FT",Milestones!$AA$49=FT_Y5,AO33&lt;PolicyEff),1,Milestones!$AC$49),0))</f>
        <v>0</v>
      </c>
      <c r="AP35" s="0" t="n">
        <f aca="false">IF(AP33="",0,IF(AND(AP34=Milestones!$AB$50,AP33&gt;=SchemeStart),IF(AND(Milestones!$AB$50="FT",Milestones!$AA$50=FT_Y5,AP33&lt;PolicyEff),1,Milestones!$AC$50),0))</f>
        <v>0</v>
      </c>
      <c r="AQ35" s="0" t="n">
        <f aca="false">IF(AQ33="",0,IF(AND(AQ34=Milestones!$AB$51,AQ33&gt;=SchemeStart),IF(AND(Milestones!$AB$51="FT",Milestones!$AA$51=FT_Y5,AQ33&lt;PolicyEff),1,Milestones!$AC$51),0))</f>
        <v>0</v>
      </c>
      <c r="AR35" s="0" t="n">
        <f aca="false">IF(AR33="",0,IF(AND(AR34=Milestones!$AB$52,AR33&gt;=SchemeStart),IF(AND(Milestones!$AB$52="FT",Milestones!$AA$52=FT_Y5,AR33&lt;PolicyEff),1,Milestones!$AC$52),0))</f>
        <v>0</v>
      </c>
      <c r="AS35" s="0" t="n">
        <f aca="false">IF(AS33="",0,IF(AND(AS34=Milestones!$AB$53,AS33&gt;=SchemeStart),IF(AND(Milestones!$AB$53="FT",Milestones!$AA$53=FT_Y5,AS33&lt;PolicyEff),1,Milestones!$AC$53),0))</f>
        <v>0</v>
      </c>
      <c r="AT35" s="0" t="n">
        <f aca="false">IF(AT33="",0,IF(AND(AT34=Milestones!$AB$54,AT33&gt;=SchemeStart),IF(AND(Milestones!$AB$54="FT",Milestones!$AA$54=FT_Y5,AT33&lt;PolicyEff),1,Milestones!$AC$54),0))</f>
        <v>0</v>
      </c>
      <c r="AU35" s="0" t="n">
        <f aca="false">IF(AU33="",0,IF(AND(AU34=Milestones!$AB$55,AU33&gt;=SchemeStart),IF(AND(Milestones!$AB$55="FT",Milestones!$AA$55=FT_Y5,AU33&lt;PolicyEff),1,Milestones!$AC$55),0))</f>
        <v>0</v>
      </c>
      <c r="AV35" s="0" t="n">
        <f aca="false">IF(AV33="",0,IF(AND(AV34=Milestones!$AB$56,AV33&gt;=SchemeStart),IF(AND(Milestones!$AB$56="FT",Milestones!$AA$56=FT_Y5,AV33&lt;PolicyEff),1,Milestones!$AC$56),0))</f>
        <v>0</v>
      </c>
      <c r="AW35" s="0" t="n">
        <f aca="false">IF(AW33="",0,IF(AND(AW34=Milestones!$AB$57,AW33&gt;=SchemeStart),IF(AND(Milestones!$AB$57="FT",Milestones!$AA$57=FT_Y5,AW33&lt;PolicyEff),1,Milestones!$AC$57),0))</f>
        <v>0</v>
      </c>
      <c r="AX35" s="0" t="n">
        <f aca="false">IF(AX33="",0,IF(AND(AX34=Milestones!$AB$58,AX33&gt;=SchemeStart),IF(AND(Milestones!$AB$58="FT",Milestones!$AA$58=FT_Y5,AX33&lt;PolicyEff),1,Milestones!$AC$58),0))</f>
        <v>0</v>
      </c>
      <c r="AY35" s="0" t="n">
        <f aca="false">IF(AY33="",0,IF(AND(AY34=Milestones!$AB$59,AY33&gt;=SchemeStart),IF(AND(Milestones!$AB$59="FT",Milestones!$AA$59=FT_Y5,AY33&lt;PolicyEff),1,Milestones!$AC$59),0))</f>
        <v>0</v>
      </c>
      <c r="AZ35" s="0" t="n">
        <f aca="false">IF(AZ33="",0,IF(AND(AZ34=Milestones!$AB$60,AZ33&gt;=SchemeStart),IF(AND(Milestones!$AB$60="FT",Milestones!$AA$60=FT_Y5,AZ33&lt;PolicyEff),1,Milestones!$AC$60),0))</f>
        <v>0</v>
      </c>
      <c r="BA35" s="0" t="n">
        <f aca="false">IF(BA33="",0,IF(AND(BA34=Milestones!$AB$61,BA33&gt;=SchemeStart),IF(AND(Milestones!$AB$61="FT",Milestones!$AA$61=FT_Y5,BA33&lt;PolicyEff),1,Milestones!$AC$61),0))</f>
        <v>0</v>
      </c>
      <c r="BB35" s="0" t="n">
        <f aca="false">IF(BB33="",0,IF(AND(BB34=Milestones!$AB$62,BB33&gt;=SchemeStart),IF(AND(Milestones!$AB$62="FT",Milestones!$AA$62=FT_Y5,BB33&lt;PolicyEff),1,Milestones!$AC$62),0))</f>
        <v>0</v>
      </c>
      <c r="BC35" s="0" t="n">
        <f aca="false">IF(BC33="",0,IF(AND(BC34=Milestones!$AB$63,BC33&gt;=SchemeStart),IF(AND(Milestones!$AB$63="FT",Milestones!$AA$63=FT_Y5,BC33&lt;PolicyEff),1,Milestones!$AC$63),0))</f>
        <v>0</v>
      </c>
      <c r="BD35" s="0" t="n">
        <f aca="false">IF(BD33="",0,IF(AND(BD34=Milestones!$AB$64,BD33&gt;=SchemeStart),IF(AND(Milestones!$AB$64="FT",Milestones!$AA$64=FT_Y5,BD33&lt;PolicyEff),1,Milestones!$AC$64),0))</f>
        <v>0</v>
      </c>
      <c r="BE35" s="0" t="n">
        <f aca="false">IF(BE33="",0,IF(AND(BE34=Milestones!$AB$65,BE33&gt;=SchemeStart),IF(AND(Milestones!$AB$65="FT",Milestones!$AA$65=FT_Y5,BE33&lt;PolicyEff),1,Milestones!$AC$65),0))</f>
        <v>0</v>
      </c>
      <c r="BF35" s="0" t="n">
        <f aca="false">IF(BF33="",0,IF(AND(BF34=Milestones!$AB$66,BF33&gt;=SchemeStart),IF(AND(Milestones!$AB$66="FT",Milestones!$AA$66=FT_Y5,BF33&lt;PolicyEff),1,Milestones!$AC$66),0))</f>
        <v>0</v>
      </c>
      <c r="BG35" s="0" t="n">
        <f aca="false">IF(BG33="",0,IF(AND(BG34=Milestones!$AB$67,BG33&gt;=SchemeStart),IF(AND(Milestones!$AB$67="FT",Milestones!$AA$67=FT_Y5,BG33&lt;PolicyEff),1,Milestones!$AC$67),0))</f>
        <v>0</v>
      </c>
      <c r="BH35" s="0" t="n">
        <f aca="false">IF(BH33="",0,IF(AND(BH34=Milestones!$AB$68,BH33&gt;=SchemeStart),IF(AND(Milestones!$AB$68="FT",Milestones!$AA$68=FT_Y5,BH33&lt;PolicyEff),1,Milestones!$AC$68),0))</f>
        <v>0</v>
      </c>
      <c r="BI35" s="0" t="n">
        <f aca="false">IF(BI33="",0,IF(AND(BI34=Milestones!$AB$69,BI33&gt;=SchemeStart),IF(AND(Milestones!$AB$69="FT",Milestones!$AA$69=FT_Y5,BI33&lt;PolicyEff),1,Milestones!$AC$69),0))</f>
        <v>0</v>
      </c>
      <c r="BJ35" s="0" t="n">
        <f aca="false">IF(BJ33="",0,IF(AND(BJ34=Milestones!$AB$70,BJ33&gt;=SchemeStart),IF(AND(Milestones!$AB$70="FT",Milestones!$AA$70=FT_Y5,BJ33&lt;PolicyEff),1,Milestones!$AC$70),0))</f>
        <v>0</v>
      </c>
      <c r="BK35" s="0" t="n">
        <f aca="false">IF(BK33="",0,IF(AND(BK34=Milestones!$AB$71,BK33&gt;=SchemeStart),IF(AND(Milestones!$AB$71="FT",Milestones!$AA$71=FT_Y5,BK33&lt;PolicyEff),1,Milestones!$AC$71),0))</f>
        <v>0</v>
      </c>
      <c r="BL35" s="0" t="n">
        <f aca="false">IF(BL33="",0,IF(AND(BL34=Milestones!$AB$72,BL33&gt;=SchemeStart),IF(AND(Milestones!$AB$72="FT",Milestones!$AA$72=FT_Y5,BL33&lt;PolicyEff),1,Milestones!$AC$72),0))</f>
        <v>0</v>
      </c>
      <c r="BM35" s="0" t="n">
        <f aca="false">IF(BM33="",0,IF(AND(BM34=Milestones!$AB$73,BM33&gt;=SchemeStart),IF(AND(Milestones!$AB$73="FT",Milestones!$AA$73=FT_Y5,BM33&lt;PolicyEff),1,Milestones!$AC$73),0))</f>
        <v>0</v>
      </c>
      <c r="BN35" s="0" t="n">
        <f aca="false">IF(BN33="",0,IF(AND(BN34=Milestones!$AB$74,BN33&gt;=SchemeStart),IF(AND(Milestones!$AB$74="FT",Milestones!$AA$74=FT_Y5,BN33&lt;PolicyEff),1,Milestones!$AC$74),0))</f>
        <v>0</v>
      </c>
      <c r="BO35" s="0" t="n">
        <f aca="false">IF(BO33="",0,IF(AND(BO34=Milestones!$AB$75,BO33&gt;=SchemeStart),IF(AND(Milestones!$AB$75="FT",Milestones!$AA$75=FT_Y5,BO33&lt;PolicyEff),1,Milestones!$AC$75),0))</f>
        <v>0</v>
      </c>
      <c r="BP35" s="0" t="n">
        <f aca="false">IF(BP33="",0,IF(AND(BP34=Milestones!$AB$76,BP33&gt;=SchemeStart),IF(AND(Milestones!$AB$76="FT",Milestones!$AA$76=FT_Y5,BP33&lt;PolicyEff),1,Milestones!$AC$76),0))</f>
        <v>0</v>
      </c>
      <c r="BQ35" s="0" t="n">
        <f aca="false">IF(BQ33="",0,IF(AND(BQ34=Milestones!$AB$77,BQ33&gt;=SchemeStart),IF(AND(Milestones!$AB$77="FT",Milestones!$AA$77=FT_Y5,BQ33&lt;PolicyEff),1,Milestones!$AC$77),0))</f>
        <v>0</v>
      </c>
      <c r="BR35" s="0" t="n">
        <f aca="false">IF(BR33="",0,IF(AND(BR34=Milestones!$AB$78,BR33&gt;=SchemeStart),IF(AND(Milestones!$AB$78="FT",Milestones!$AA$78=FT_Y5,BR33&lt;PolicyEff),1,Milestones!$AC$78),0))</f>
        <v>0</v>
      </c>
      <c r="BS35" s="0" t="n">
        <f aca="false">IF(BS33="",0,IF(AND(BS34=Milestones!$AB$79,BS33&gt;=SchemeStart),IF(AND(Milestones!$AB$79="FT",Milestones!$AA$79=FT_Y5,BS33&lt;PolicyEff),1,Milestones!$AC$79),0))</f>
        <v>0</v>
      </c>
      <c r="BT35" s="0" t="n">
        <f aca="false">IF(BT33="",0,IF(AND(BT34=Milestones!$AB$80,BT33&gt;=SchemeStart),IF(AND(Milestones!$AB$80="FT",Milestones!$AA$80=FT_Y5,BT33&lt;PolicyEff),1,Milestones!$AC$80),0))</f>
        <v>0</v>
      </c>
      <c r="BU35" s="0" t="n">
        <f aca="false">IF(BU33="",0,IF(AND(BU34=Milestones!$AB$81,BU33&gt;=SchemeStart),IF(AND(Milestones!$AB$81="FT",Milestones!$AA$81=FT_Y5,BU33&lt;PolicyEff),1,Milestones!$AC$81),0))</f>
        <v>0</v>
      </c>
      <c r="BV35" s="0" t="n">
        <f aca="false">IF(BV33="",0,IF(AND(BV34=Milestones!$AB$82,BV33&gt;=SchemeStart),IF(AND(Milestones!$AB$82="FT",Milestones!$AA$82=FT_Y5,BV33&lt;PolicyEff),1,Milestones!$AC$82),0))</f>
        <v>0</v>
      </c>
      <c r="BW35" s="0" t="n">
        <f aca="false">IF(BW33="",0,IF(AND(BW34=Milestones!$AB$83,BW33&gt;=SchemeStart),IF(AND(Milestones!$AB$83="FT",Milestones!$AA$83=FT_Y5,BW33&lt;PolicyEff),1,Milestones!$AC$83),0))</f>
        <v>0</v>
      </c>
      <c r="BX35" s="0" t="n">
        <f aca="false">IF(BX33="",0,IF(AND(BX34=Milestones!$AB$84,BX33&gt;=SchemeStart),IF(AND(Milestones!$AB$84="FT",Milestones!$AA$84=FT_Y5,BX33&lt;PolicyEff),1,Milestones!$AC$84),0))</f>
        <v>0</v>
      </c>
      <c r="BY35" s="0" t="n">
        <f aca="false">IF(BY33="",0,IF(AND(BY34=Milestones!$AB$85,BY33&gt;=SchemeStart),IF(AND(Milestones!$AB$85="FT",Milestones!$AA$85=FT_Y5,BY33&lt;PolicyEff),1,Milestones!$AC$85),0))</f>
        <v>0</v>
      </c>
      <c r="BZ35" s="0" t="n">
        <f aca="false">IF(BZ33="",0,IF(AND(BZ34=Milestones!$AB$86,BZ33&gt;=SchemeStart),IF(AND(Milestones!$AB$86="FT",Milestones!$AA$86=FT_Y5,BZ33&lt;PolicyEff),1,Milestones!$AC$86),0))</f>
        <v>0</v>
      </c>
      <c r="CA35" s="0" t="n">
        <f aca="false">IF(CA33="",0,IF(AND(CA34=Milestones!$AB$87,CA33&gt;=SchemeStart),IF(AND(Milestones!$AB$87="FT",Milestones!$AA$87=FT_Y5,CA33&lt;PolicyEff),1,Milestones!$AC$87),0))</f>
        <v>0</v>
      </c>
      <c r="CB35" s="0" t="n">
        <f aca="false">IF(CB33="",0,IF(AND(CB34=Milestones!$AB$88,CB33&gt;=SchemeStart),IF(AND(Milestones!$AB$88="FT",Milestones!$AA$88=FT_Y5,CB33&lt;PolicyEff),1,Milestones!$AC$88),0))</f>
        <v>0</v>
      </c>
      <c r="CC35" s="0" t="n">
        <f aca="false">IF(CC33="",0,IF(AND(CC34=Milestones!$AB$89,CC33&gt;=SchemeStart),IF(AND(Milestones!$AB$89="FT",Milestones!$AA$89=FT_Y5,CC33&lt;PolicyEff),1,Milestones!$AC$89),0))</f>
        <v>0</v>
      </c>
      <c r="CD35" s="0" t="n">
        <f aca="false">IF(CD33="",0,IF(AND(CD34=Milestones!$AB$90,CD33&gt;=SchemeStart),IF(AND(Milestones!$AB$90="FT",Milestones!$AA$90=FT_Y5,CD33&lt;PolicyEff),1,Milestones!$AC$90),0))</f>
        <v>0</v>
      </c>
      <c r="CE35" s="0" t="n">
        <f aca="false">IF(CE33="",0,IF(AND(CE34=Milestones!$AB$91,CE33&gt;=SchemeStart),IF(AND(Milestones!$AB$91="FT",Milestones!$AA$91=FT_Y5,CE33&lt;PolicyEff),1,Milestones!$AC$91),0))</f>
        <v>0</v>
      </c>
      <c r="CF35" s="0" t="n">
        <f aca="false">IF(CF33="",0,IF(AND(CF34=Milestones!$AB$92,CF33&gt;=SchemeStart),IF(AND(Milestones!$AB$92="FT",Milestones!$AA$92=FT_Y5,CF33&lt;PolicyEff),1,Milestones!$AC$92),0))</f>
        <v>0</v>
      </c>
      <c r="CG35" s="0" t="n">
        <f aca="false">IF(CG33="",0,IF(AND(CG34=Milestones!$AB$93,CG33&gt;=SchemeStart),IF(AND(Milestones!$AB$93="FT",Milestones!$AA$93=FT_Y5,CG33&lt;PolicyEff),1,Milestones!$AC$93),0))</f>
        <v>0</v>
      </c>
      <c r="CH35" s="0" t="n">
        <f aca="false">IF(CH33="",0,IF(AND(CH34=Milestones!$AB$94,CH33&gt;=SchemeStart),IF(AND(Milestones!$AB$94="FT",Milestones!$AA$94=FT_Y5,CH33&lt;PolicyEff),1,Milestones!$AC$94),0))</f>
        <v>0</v>
      </c>
      <c r="CI35" s="0" t="n">
        <f aca="false">IF(CI33="",0,IF(AND(CI34=Milestones!$AB$95,CI33&gt;=SchemeStart),IF(AND(Milestones!$AB$95="FT",Milestones!$AA$95=FT_Y5,CI33&lt;PolicyEff),1,Milestones!$AC$95),0))</f>
        <v>0</v>
      </c>
      <c r="CJ35" s="0" t="n">
        <f aca="false">IF(CJ33="",0,IF(AND(CJ34=Milestones!$AB$96,CJ33&gt;=SchemeStart),IF(AND(Milestones!$AB$96="FT",Milestones!$AA$96=FT_Y5,CJ33&lt;PolicyEff),1,Milestones!$AC$96),0))</f>
        <v>0</v>
      </c>
      <c r="CK35" s="0" t="n">
        <f aca="false">IF(CK33="",0,IF(AND(CK34=Milestones!$AB$97,CK33&gt;=SchemeStart),IF(AND(Milestones!$AB$97="FT",Milestones!$AA$97=FT_Y5,CK33&lt;PolicyEff),1,Milestones!$AC$97),0))</f>
        <v>0</v>
      </c>
      <c r="CL35" s="0" t="n">
        <f aca="false">IF(CL33="",0,IF(AND(CL34=Milestones!$AB$98,CL33&gt;=SchemeStart),IF(AND(Milestones!$AB$98="FT",Milestones!$AA$98=FT_Y5,CL33&lt;PolicyEff),1,Milestones!$AC$98),0))</f>
        <v>0</v>
      </c>
      <c r="CM35" s="0" t="n">
        <f aca="false">IF(CM33="",0,IF(AND(CM34=Milestones!$AB$99,CM33&gt;=SchemeStart),IF(AND(Milestones!$AB$99="FT",Milestones!$AA$99=FT_Y5,CM33&lt;PolicyEff),1,Milestones!$AC$99),0))</f>
        <v>0</v>
      </c>
      <c r="CN35" s="0" t="n">
        <f aca="false">IF(CN33="",0,IF(AND(CN34=Milestones!$AB$100,CN33&gt;=SchemeStart),IF(AND(Milestones!$AB$100="FT",Milestones!$AA$100=FT_Y5,CN33&lt;PolicyEff),1,Milestones!$AC$100),0))</f>
        <v>0</v>
      </c>
      <c r="CO35" s="0" t="n">
        <f aca="false">IF(CO33="",0,IF(AND(CO34=Milestones!$AB$101,CO33&gt;=SchemeStart),IF(AND(Milestones!$AB$101="FT",Milestones!$AA$101=FT_Y5,CO33&lt;PolicyEff),1,Milestones!$AC$101),0))</f>
        <v>0</v>
      </c>
      <c r="CP35" s="0" t="n">
        <f aca="false">IF(CP33="",0,IF(AND(CP34=Milestones!$AB$102,CP33&gt;=SchemeStart),IF(AND(Milestones!$AB$102="FT",Milestones!$AA$102=FT_Y5,CP33&lt;PolicyEff),1,Milestones!$AC$102),0))</f>
        <v>0</v>
      </c>
      <c r="CQ35" s="0" t="n">
        <f aca="false">IF(CQ33="",0,IF(AND(CQ34=Milestones!$AB$103,CQ33&gt;=SchemeStart),IF(AND(Milestones!$AB$103="FT",Milestones!$AA$103=FT_Y5,CQ33&lt;PolicyEff),1,Milestones!$AC$103),0))</f>
        <v>0</v>
      </c>
      <c r="CR35" s="0" t="n">
        <f aca="false">IF(CR33="",0,IF(AND(CR34=Milestones!$AB$104,CR33&gt;=SchemeStart),IF(AND(Milestones!$AB$104="FT",Milestones!$AA$104=FT_Y5,CR33&lt;PolicyEff),1,Milestones!$AC$104),0))</f>
        <v>0</v>
      </c>
      <c r="CS35" s="0" t="n">
        <f aca="false">IF(CS33="",0,IF(AND(CS34=Milestones!$AB$105,CS33&gt;=SchemeStart),IF(AND(Milestones!$AB$105="FT",Milestones!$AA$105=FT_Y5,CS33&lt;PolicyEff),1,Milestones!$AC$105),0))</f>
        <v>0</v>
      </c>
      <c r="CT35" s="0" t="n">
        <f aca="false">IF(CT33="",0,IF(AND(CT34=Milestones!$AB$106,CT33&gt;=SchemeStart),IF(AND(Milestones!$AB$106="FT",Milestones!$AA$106=FT_Y5,CT33&lt;PolicyEff),1,Milestones!$AC$106),0))</f>
        <v>0</v>
      </c>
      <c r="CU35" s="0" t="n">
        <f aca="false">IF(CU33="",0,IF(AND(CU34=Milestones!$AB$107,CU33&gt;=SchemeStart),IF(AND(Milestones!$AB$107="FT",Milestones!$AA$107=FT_Y5,CU33&lt;PolicyEff),1,Milestones!$AC$107),0))</f>
        <v>0</v>
      </c>
      <c r="CV35" s="0" t="n">
        <f aca="false">IF(CV33="",0,IF(AND(CV34=Milestones!$AB$108,CV33&gt;=SchemeStart),IF(AND(Milestones!$AB$108="FT",Milestones!$AA$108=FT_Y5,CV33&lt;PolicyEff),1,Milestones!$AC$108),0))</f>
        <v>0</v>
      </c>
      <c r="CW35" s="0" t="n">
        <f aca="false">IF(CW33="",0,IF(AND(CW34=Milestones!$AB$109,CW33&gt;=SchemeStart),IF(AND(Milestones!$AB$109="FT",Milestones!$AA$109=FT_Y5,CW33&lt;PolicyEff),1,Milestones!$AC$109),0))</f>
        <v>0</v>
      </c>
      <c r="CX35" s="0" t="n">
        <f aca="false">IF(CX33="",0,IF(AND(CX34=Milestones!$AB$110,CX33&gt;=SchemeStart),IF(AND(Milestones!$AB$110="FT",Milestones!$AA$110=FT_Y5,CX33&lt;PolicyEff),1,Milestones!$AC$110),0))</f>
        <v>0</v>
      </c>
      <c r="CY35" s="0" t="n">
        <f aca="false">IF(CY33="",0,IF(AND(CY34=Milestones!$AB$111,CY33&gt;=SchemeStart),IF(AND(Milestones!$AB$111="FT",Milestones!$AA$111=FT_Y5,CY33&lt;PolicyEff),1,Milestones!$AC$111),0))</f>
        <v>0</v>
      </c>
      <c r="CZ35" s="0" t="n">
        <f aca="false">IF(CZ33="",0,IF(AND(CZ34=Milestones!$AB$112,CZ33&gt;=SchemeStart),IF(AND(Milestones!$AB$112="FT",Milestones!$AA$112=FT_Y5,CZ33&lt;PolicyEff),1,Milestones!$AC$112),0))</f>
        <v>0</v>
      </c>
      <c r="DA35" s="0" t="n">
        <f aca="false">IF(DA33="",0,IF(AND(DA34=Milestones!$AB$113,DA33&gt;=SchemeStart),IF(AND(Milestones!$AB$113="FT",Milestones!$AA$113=FT_Y5,DA33&lt;PolicyEff),1,Milestones!$AC$113),0))</f>
        <v>0</v>
      </c>
      <c r="DB35" s="0" t="n">
        <f aca="false">IF(DB33="",0,IF(AND(DB34=Milestones!$AB$114,DB33&gt;=SchemeStart),IF(AND(Milestones!$AB$114="FT",Milestones!$AA$114=FT_Y5,DB33&lt;PolicyEff),1,Milestones!$AC$114),0))</f>
        <v>0</v>
      </c>
      <c r="DC35" s="0" t="n">
        <f aca="false">IF(DC33="",0,IF(AND(DC34=Milestones!$AB$115,DC33&gt;=SchemeStart),IF(AND(Milestones!$AB$115="FT",Milestones!$AA$115=FT_Y5,DC33&lt;PolicyEff),1,Milestones!$AC$115),0))</f>
        <v>0</v>
      </c>
      <c r="DD35" s="0" t="n">
        <f aca="false">IF(DD33="",0,IF(AND(DD34=Milestones!$AB$116,DD33&gt;=SchemeStart),IF(AND(Milestones!$AB$116="FT",Milestones!$AA$116=FT_Y5,DD33&lt;PolicyEff),1,Milestones!$AC$116),0))</f>
        <v>0</v>
      </c>
      <c r="DE35" s="0" t="n">
        <f aca="false">IF(DE33="",0,IF(AND(DE34=Milestones!$AB$117,DE33&gt;=SchemeStart),IF(AND(Milestones!$AB$117="FT",Milestones!$AA$117=FT_Y5,DE33&lt;PolicyEff),1,Milestones!$AC$117),0))</f>
        <v>0</v>
      </c>
      <c r="DF35" s="0" t="n">
        <f aca="false">IF(DF33="",0,IF(AND(DF34=Milestones!$AB$118,DF33&gt;=SchemeStart),IF(AND(Milestones!$AB$118="FT",Milestones!$AA$118=FT_Y5,DF33&lt;PolicyEff),1,Milestones!$AC$118),0))</f>
        <v>0</v>
      </c>
      <c r="DG35" s="0" t="n">
        <f aca="false">IF(DG33="",0,IF(AND(DG34=Milestones!$AB$119,DG33&gt;=SchemeStart),IF(AND(Milestones!$AB$119="FT",Milestones!$AA$119=FT_Y5,DG33&lt;PolicyEff),1,Milestones!$AC$119),0))</f>
        <v>0</v>
      </c>
      <c r="DH35" s="0" t="n">
        <f aca="false">IF(DH33="",0,IF(AND(DH34=Milestones!$AB$120,DH33&gt;=SchemeStart),IF(AND(Milestones!$AB$120="FT",Milestones!$AA$120=FT_Y5,DH33&lt;PolicyEff),1,Milestones!$AC$120),0))</f>
        <v>0</v>
      </c>
      <c r="DI35" s="0" t="n">
        <f aca="false">IF(DI33="",0,IF(AND(DI34=Milestones!$AB$121,DI33&gt;=SchemeStart),IF(AND(Milestones!$AB$121="FT",Milestones!$AA$121=FT_Y5,DI33&lt;PolicyEff),1,Milestones!$AC$121),0))</f>
        <v>0</v>
      </c>
      <c r="DJ35" s="0" t="n">
        <f aca="false">IF(DJ33="",0,IF(AND(DJ34=Milestones!$AB$122,DJ33&gt;=SchemeStart),IF(AND(Milestones!$AB$122="FT",Milestones!$AA$122=FT_Y5,DJ33&lt;PolicyEff),1,Milestones!$AC$122),0))</f>
        <v>0</v>
      </c>
      <c r="DK35" s="0" t="n">
        <f aca="false">IF(DK33="",0,IF(AND(DK34=Milestones!$AB$123,DK33&gt;=SchemeStart),IF(AND(Milestones!$AB$123="FT",Milestones!$AA$123=FT_Y5,DK33&lt;PolicyEff),1,Milestones!$AC$123),0))</f>
        <v>0</v>
      </c>
      <c r="DL35" s="0" t="n">
        <f aca="false">IF(DL33="",0,IF(AND(DL34=Milestones!$AB$124,DL33&gt;=SchemeStart),IF(AND(Milestones!$AB$124="FT",Milestones!$AA$124=FT_Y5,DL33&lt;PolicyEff),1,Milestones!$AC$124),0))</f>
        <v>0</v>
      </c>
      <c r="DM35" s="0" t="n">
        <f aca="false">IF(DM33="",0,IF(AND(DM34=Milestones!$AB$125,DM33&gt;=SchemeStart),IF(AND(Milestones!$AB$125="FT",Milestones!$AA$125=FT_Y5,DM33&lt;PolicyEff),1,Milestones!$AC$125),0))</f>
        <v>0</v>
      </c>
      <c r="DN35" s="0" t="n">
        <f aca="false">IF(DN33="",0,IF(AND(DN34=Milestones!$AB$126,DN33&gt;=SchemeStart),IF(AND(Milestones!$AB$126="FT",Milestones!$AA$126=FT_Y5,DN33&lt;PolicyEff),1,Milestones!$AC$126),0))</f>
        <v>0</v>
      </c>
      <c r="DO35" s="0" t="n">
        <f aca="false">IF(DO33="",0,IF(AND(DO34=Milestones!$AB$127,DO33&gt;=SchemeStart),IF(AND(Milestones!$AB$127="FT",Milestones!$AA$127=FT_Y5,DO33&lt;PolicyEff),1,Milestones!$AC$127),0))</f>
        <v>0</v>
      </c>
      <c r="DP35" s="0" t="n">
        <f aca="false">IF(DP33="",0,IF(AND(DP34=Milestones!$AB$128,DP33&gt;=SchemeStart),IF(AND(Milestones!$AB$128="FT",Milestones!$AA$128=FT_Y5,DP33&lt;PolicyEff),1,Milestones!$AC$128),0))</f>
        <v>0</v>
      </c>
      <c r="DQ35" s="0" t="n">
        <f aca="false">IF(DQ33="",0,IF(AND(DQ34=Milestones!$AB$129,DQ33&gt;=SchemeStart),IF(AND(Milestones!$AB$129="FT",Milestones!$AA$129=FT_Y5,DQ33&lt;PolicyEff),1,Milestones!$AC$129),0))</f>
        <v>0</v>
      </c>
      <c r="DR35" s="0" t="n">
        <f aca="false">IF(DR33="",0,IF(AND(DR34=Milestones!$AB$130,DR33&gt;=SchemeStart),IF(AND(Milestones!$AB$130="FT",Milestones!$AA$130=FT_Y5,DR33&lt;PolicyEff),1,Milestones!$AC$130),0))</f>
        <v>0</v>
      </c>
      <c r="DS35" s="0" t="n">
        <f aca="false">IF(DS33="",0,IF(AND(DS34=Milestones!$AB$131,DS33&gt;=SchemeStart),IF(AND(Milestones!$AB$131="FT",Milestones!$AA$131=FT_Y5,DS33&lt;PolicyEff),1,Milestones!$AC$131),0))</f>
        <v>0</v>
      </c>
      <c r="DT35" s="0" t="n">
        <f aca="false">IF(DT33="",0,IF(AND(DT34=Milestones!$AB$132,DT33&gt;=SchemeStart),IF(AND(Milestones!$AB$132="FT",Milestones!$AA$132=FT_Y5,DT33&lt;PolicyEff),1,Milestones!$AC$132),0))</f>
        <v>0</v>
      </c>
      <c r="DU35" s="0" t="n">
        <f aca="false">IF(DU33="",0,IF(AND(DU34=Milestones!$AB$133,DU33&gt;=SchemeStart),IF(AND(Milestones!$AB$133="FT",Milestones!$AA$133=FT_Y5,DU33&lt;PolicyEff),1,Milestones!$AC$133),0))</f>
        <v>0</v>
      </c>
      <c r="DV35" s="0" t="n">
        <f aca="false">IF(DV33="",0,IF(AND(DV34=Milestones!$AB$134,DV33&gt;=SchemeStart),IF(AND(Milestones!$AB$134="FT",Milestones!$AA$134=FT_Y5,DV33&lt;PolicyEff),1,Milestones!$AC$134),0))</f>
        <v>0</v>
      </c>
      <c r="DW35" s="0" t="n">
        <f aca="false">IF(DW33="",0,IF(AND(DW34=Milestones!$AB$135,DW33&gt;=SchemeStart),IF(AND(Milestones!$AB$135="FT",Milestones!$AA$135=FT_Y5,DW33&lt;PolicyEff),1,Milestones!$AC$135),0))</f>
        <v>0</v>
      </c>
      <c r="DX35" s="0" t="n">
        <f aca="false">IF(DX33="",0,IF(AND(DX34=Milestones!$AB$136,DX33&gt;=SchemeStart),IF(AND(Milestones!$AB$136="FT",Milestones!$AA$136=FT_Y5,DX33&lt;PolicyEff),1,Milestones!$AC$136),0))</f>
        <v>0</v>
      </c>
      <c r="DY35" s="0" t="n">
        <f aca="false">IF(DY33="",0,IF(AND(DY34=Milestones!$AB$137,DY33&gt;=SchemeStart),IF(AND(Milestones!$AB$137="FT",Milestones!$AA$137=FT_Y5,DY33&lt;PolicyEff),1,Milestones!$AC$137),0))</f>
        <v>0</v>
      </c>
      <c r="DZ35" s="0" t="n">
        <f aca="false">IF(DZ33="",0,IF(AND(DZ34=Milestones!$AB$138,DZ33&gt;=SchemeStart),IF(AND(Milestones!$AB$138="FT",Milestones!$AA$138=FT_Y5,DZ33&lt;PolicyEff),1,Milestones!$AC$138),0))</f>
        <v>0</v>
      </c>
      <c r="EA35" s="0" t="n">
        <f aca="false">IF(EA33="",0,IF(AND(EA34=Milestones!$AB$139,EA33&gt;=SchemeStart),IF(AND(Milestones!$AB$139="FT",Milestones!$AA$139=FT_Y5,EA33&lt;PolicyEff),1,Milestones!$AC$139),0))</f>
        <v>0</v>
      </c>
      <c r="EB35" s="0" t="n">
        <f aca="false">IF(EB33="",0,IF(AND(EB34=Milestones!$AB$140,EB33&gt;=SchemeStart),IF(AND(Milestones!$AB$140="FT",Milestones!$AA$140=FT_Y5,EB33&lt;PolicyEff),1,Milestones!$AC$140),0))</f>
        <v>0</v>
      </c>
      <c r="EC35" s="0" t="n">
        <f aca="false">IF(EC33="",0,IF(AND(EC34=Milestones!$AB$141,EC33&gt;=SchemeStart),IF(AND(Milestones!$AB$141="FT",Milestones!$AA$141=FT_Y5,EC33&lt;PolicyEff),1,Milestones!$AC$141),0))</f>
        <v>0</v>
      </c>
      <c r="ED35" s="0" t="n">
        <f aca="false">IF(ED33="",0,IF(AND(ED34=Milestones!$AB$142,ED33&gt;=SchemeStart),IF(AND(Milestones!$AB$142="FT",Milestones!$AA$142=FT_Y5,ED33&lt;PolicyEff),1,Milestones!$AC$142),0))</f>
        <v>0</v>
      </c>
      <c r="EE35" s="0" t="n">
        <f aca="false">IF(EE33="",0,IF(AND(EE34=Milestones!$AB$143,EE33&gt;=SchemeStart),IF(AND(Milestones!$AB$143="FT",Milestones!$AA$143=FT_Y5,EE33&lt;PolicyEff),1,Milestones!$AC$143),0))</f>
        <v>0</v>
      </c>
      <c r="EF35" s="0" t="n">
        <f aca="false">IF(EF33="",0,IF(AND(EF34=Milestones!$AB$144,EF33&gt;=SchemeStart),IF(AND(Milestones!$AB$144="FT",Milestones!$AA$144=FT_Y5,EF33&lt;PolicyEff),1,Milestones!$AC$144),0))</f>
        <v>0</v>
      </c>
      <c r="EG35" s="0" t="n">
        <f aca="false">IF(EG33="",0,IF(AND(EG34=Milestones!$AB$145,EG33&gt;=SchemeStart),IF(AND(Milestones!$AB$145="FT",Milestones!$AA$145=FT_Y5,EG33&lt;PolicyEff),1,Milestones!$AC$145),0))</f>
        <v>0</v>
      </c>
      <c r="EH35" s="0" t="n">
        <f aca="false">IF(EH33="",0,IF(AND(EH34=Milestones!$AB$146,EH33&gt;=SchemeStart),IF(AND(Milestones!$AB$146="FT",Milestones!$AA$146=FT_Y5,EH33&lt;PolicyEff),1,Milestones!$AC$146),0))</f>
        <v>0</v>
      </c>
      <c r="EI35" s="0" t="n">
        <f aca="false">IF(EI33="",0,IF(AND(EI34=Milestones!$AB$147,EI33&gt;=SchemeStart),IF(AND(Milestones!$AB$147="FT",Milestones!$AA$147=FT_Y5,EI33&lt;PolicyEff),1,Milestones!$AC$147),0))</f>
        <v>0</v>
      </c>
      <c r="EJ35" s="0" t="n">
        <f aca="false">IF(EJ33="",0,IF(AND(EJ34=Milestones!$AB$148,EJ33&gt;=SchemeStart),IF(AND(Milestones!$AB$148="FT",Milestones!$AA$148=FT_Y5,EJ33&lt;PolicyEff),1,Milestones!$AC$148),0))</f>
        <v>0</v>
      </c>
      <c r="EK35" s="0" t="n">
        <f aca="false">IF(EK33="",0,IF(AND(EK34=Milestones!$AB$149,EK33&gt;=SchemeStart),IF(AND(Milestones!$AB$149="FT",Milestones!$AA$149=FT_Y5,EK33&lt;PolicyEff),1,Milestones!$AC$149),0))</f>
        <v>0</v>
      </c>
      <c r="EL35" s="0" t="n">
        <f aca="false">IF(EL33="",0,IF(AND(EL34=Milestones!$AB$150,EL33&gt;=SchemeStart),IF(AND(Milestones!$AB$150="FT",Milestones!$AA$150=FT_Y5,EL33&lt;PolicyEff),1,Milestones!$AC$150),0))</f>
        <v>0</v>
      </c>
      <c r="EM35" s="0" t="n">
        <f aca="false">IF(EM33="",0,IF(AND(EM34=Milestones!$AB$151,EM33&gt;=SchemeStart),IF(AND(Milestones!$AB$151="FT",Milestones!$AA$151=FT_Y5,EM33&lt;PolicyEff),1,Milestones!$AC$151),0))</f>
        <v>0</v>
      </c>
      <c r="EN35" s="0" t="n">
        <f aca="false">IF(EN33="",0,IF(AND(EN34=Milestones!$AB$152,EN33&gt;=SchemeStart),IF(AND(Milestones!$AB$152="FT",Milestones!$AA$152=FT_Y5,EN33&lt;PolicyEff),1,Milestones!$AC$152),0))</f>
        <v>0</v>
      </c>
      <c r="EO35" s="0" t="n">
        <f aca="false">IF(EO33="",0,IF(AND(EO34=Milestones!$AB$153,EO33&gt;=SchemeStart),IF(AND(Milestones!$AB$153="FT",Milestones!$AA$153=FT_Y5,EO33&lt;PolicyEff),1,Milestones!$AC$153),0))</f>
        <v>0</v>
      </c>
      <c r="EP35" s="0" t="n">
        <f aca="false">IF(EP33="",0,IF(AND(EP34=Milestones!$AB$154,EP33&gt;=SchemeStart),IF(AND(Milestones!$AB$154="FT",Milestones!$AA$154=FT_Y5,EP33&lt;PolicyEff),1,Milestones!$AC$154),0))</f>
        <v>0</v>
      </c>
      <c r="EQ35" s="0" t="n">
        <f aca="false">IF(EQ33="",0,IF(AND(EQ34=Milestones!$AB$155,EQ33&gt;=SchemeStart),IF(AND(Milestones!$AB$155="FT",Milestones!$AA$155=FT_Y5,EQ33&lt;PolicyEff),1,Milestones!$AC$155),0))</f>
        <v>0</v>
      </c>
      <c r="ER35" s="0" t="n">
        <f aca="false">IF(ER33="",0,IF(AND(ER34=Milestones!$AB$156,ER33&gt;=SchemeStart),IF(AND(Milestones!$AB$156="FT",Milestones!$AA$156=FT_Y5,ER33&lt;PolicyEff),1,Milestones!$AC$156),0))</f>
        <v>0</v>
      </c>
      <c r="ES35" s="0" t="n">
        <f aca="false">IF(ES33="",0,IF(AND(ES34=Milestones!$AB$157,ES33&gt;=SchemeStart),IF(AND(Milestones!$AB$157="FT",Milestones!$AA$157=FT_Y5,ES33&lt;PolicyEff),1,Milestones!$AC$157),0))</f>
        <v>0</v>
      </c>
      <c r="ET35" s="0" t="n">
        <f aca="false">IF(ET33="",0,IF(AND(ET34=Milestones!$AB$158,ET33&gt;=SchemeStart),IF(AND(Milestones!$AB$158="FT",Milestones!$AA$158=FT_Y5,ET33&lt;PolicyEff),1,Milestones!$AC$158),0))</f>
        <v>0</v>
      </c>
      <c r="EU35" s="0" t="n">
        <f aca="false">IF(EU33="",0,IF(AND(EU34=Milestones!$AB$159,EU33&gt;=SchemeStart),IF(AND(Milestones!$AB$159="FT",Milestones!$AA$159=FT_Y5,EU33&lt;PolicyEff),1,Milestones!$AC$159),0))</f>
        <v>0</v>
      </c>
      <c r="EV35" s="0" t="n">
        <f aca="false">IF(EV33="",0,IF(AND(EV34=Milestones!$AB$160,EV33&gt;=SchemeStart),IF(AND(Milestones!$AB$160="FT",Milestones!$AA$160=FT_Y5,EV33&lt;PolicyEff),1,Milestones!$AC$160),0))</f>
        <v>0</v>
      </c>
      <c r="EW35" s="0" t="n">
        <f aca="false">IF(EW33="",0,IF(AND(EW34=Milestones!$AB$161,EW33&gt;=SchemeStart),IF(AND(Milestones!$AB$161="FT",Milestones!$AA$161=FT_Y5,EW33&lt;PolicyEff),1,Milestones!$AC$161),0))</f>
        <v>0</v>
      </c>
      <c r="EX35" s="0" t="n">
        <f aca="false">IF(EX33="",0,IF(AND(EX34=Milestones!$AB$162,EX33&gt;=SchemeStart),IF(AND(Milestones!$AB$162="FT",Milestones!$AA$162=FT_Y5,EX33&lt;PolicyEff),1,Milestones!$AC$162),0))</f>
        <v>0</v>
      </c>
      <c r="EY35" s="0" t="n">
        <f aca="false">IF(EY33="",0,IF(AND(EY34=Milestones!$AB$163,EY33&gt;=SchemeStart),IF(AND(Milestones!$AB$163="FT",Milestones!$AA$163=FT_Y5,EY33&lt;PolicyEff),1,Milestones!$AC$163),0))</f>
        <v>0</v>
      </c>
      <c r="EZ35" s="0" t="n">
        <f aca="false">IF(EZ33="",0,IF(AND(EZ34=Milestones!$AB$164,EZ33&gt;=SchemeStart),IF(AND(Milestones!$AB$164="FT",Milestones!$AA$164=FT_Y5,EZ33&lt;PolicyEff),1,Milestones!$AC$164),0))</f>
        <v>0</v>
      </c>
      <c r="FA35" s="0" t="n">
        <f aca="false">IF(FA33="",0,IF(AND(FA34=Milestones!$AB$165,FA33&gt;=SchemeStart),IF(AND(Milestones!$AB$165="FT",Milestones!$AA$165=FT_Y5,FA33&lt;PolicyEff),1,Milestones!$AC$165),0))</f>
        <v>0</v>
      </c>
      <c r="FB35" s="0" t="n">
        <f aca="false">IF(FB33="",0,IF(AND(FB34=Milestones!$AB$166,FB33&gt;=SchemeStart),IF(AND(Milestones!$AB$166="FT",Milestones!$AA$166=FT_Y5,FB33&lt;PolicyEff),1,Milestones!$AC$166),0))</f>
        <v>0</v>
      </c>
      <c r="FC35" s="0" t="n">
        <f aca="false">IF(FC33="",0,IF(AND(FC34=Milestones!$AB$167,FC33&gt;=SchemeStart),IF(AND(Milestones!$AB$167="FT",Milestones!$AA$167=FT_Y5,FC33&lt;PolicyEff),1,Milestones!$AC$167),0))</f>
        <v>0</v>
      </c>
      <c r="FD35" s="0" t="n">
        <f aca="false">IF(FD33="",0,IF(AND(FD34=Milestones!$AB$168,FD33&gt;=SchemeStart),IF(AND(Milestones!$AB$168="FT",Milestones!$AA$168=FT_Y5,FD33&lt;PolicyEff),1,Milestones!$AC$168),0))</f>
        <v>0</v>
      </c>
      <c r="FE35" s="0" t="n">
        <f aca="false">IF(FE33="",0,IF(AND(FE34=Milestones!$AB$169,FE33&gt;=SchemeStart),IF(AND(Milestones!$AB$169="FT",Milestones!$AA$169=FT_Y5,FE33&lt;PolicyEff),1,Milestones!$AC$169),0))</f>
        <v>0</v>
      </c>
      <c r="FF35" s="0" t="n">
        <f aca="false">IF(FF33="",0,IF(AND(FF34=Milestones!$AB$170,FF33&gt;=SchemeStart),IF(AND(Milestones!$AB$170="FT",Milestones!$AA$170=FT_Y5,FF33&lt;PolicyEff),1,Milestones!$AC$170),0))</f>
        <v>0</v>
      </c>
      <c r="FG35" s="0" t="n">
        <f aca="false">IF(FG33="",0,IF(AND(FG34=Milestones!$AB$171,FG33&gt;=SchemeStart),IF(AND(Milestones!$AB$171="FT",Milestones!$AA$171=FT_Y5,FG33&lt;PolicyEff),1,Milestones!$AC$171),0))</f>
        <v>0</v>
      </c>
      <c r="FH35" s="0" t="n">
        <f aca="false">IF(FH33="",0,IF(AND(FH34=Milestones!$AB$172,FH33&gt;=SchemeStart),IF(AND(Milestones!$AB$172="FT",Milestones!$AA$172=FT_Y5,FH33&lt;PolicyEff),1,Milestones!$AC$172),0))</f>
        <v>0</v>
      </c>
      <c r="FI35" s="0" t="n">
        <f aca="false">IF(FI33="",0,IF(AND(FI34=Milestones!$AB$173,FI33&gt;=SchemeStart),IF(AND(Milestones!$AB$173="FT",Milestones!$AA$173=FT_Y5,FI33&lt;PolicyEff),1,Milestones!$AC$173),0))</f>
        <v>0</v>
      </c>
      <c r="FJ35" s="0" t="n">
        <f aca="false">IF(FJ33="",0,IF(AND(FJ34=Milestones!$AB$174,FJ33&gt;=SchemeStart),IF(AND(Milestones!$AB$174="FT",Milestones!$AA$174=FT_Y5,FJ33&lt;PolicyEff),1,Milestones!$AC$174),0))</f>
        <v>0</v>
      </c>
      <c r="FK35" s="0" t="n">
        <f aca="false">IF(FK33="",0,IF(AND(FK34=Milestones!$AB$175,FK33&gt;=SchemeStart),IF(AND(Milestones!$AB$175="FT",Milestones!$AA$175=FT_Y5,FK33&lt;PolicyEff),1,Milestones!$AC$175),0))</f>
        <v>0</v>
      </c>
      <c r="FL35" s="0" t="n">
        <f aca="false">IF(FL33="",0,IF(AND(FL34=Milestones!$AB$176,FL33&gt;=SchemeStart),IF(AND(Milestones!$AB$176="FT",Milestones!$AA$176=FT_Y5,FL33&lt;PolicyEff),1,Milestones!$AC$176),0))</f>
        <v>0</v>
      </c>
      <c r="FM35" s="0" t="n">
        <f aca="false">IF(FM33="",0,IF(AND(FM34=Milestones!$AB$177,FM33&gt;=SchemeStart),IF(AND(Milestones!$AB$177="FT",Milestones!$AA$177=FT_Y5,FM33&lt;PolicyEff),1,Milestones!$AC$177),0))</f>
        <v>0</v>
      </c>
      <c r="FN35" s="0" t="n">
        <f aca="false">IF(FN33="",0,IF(AND(FN34=Milestones!$AB$178,FN33&gt;=SchemeStart),IF(AND(Milestones!$AB$178="FT",Milestones!$AA$178=FT_Y5,FN33&lt;PolicyEff),1,Milestones!$AC$178),0))</f>
        <v>0</v>
      </c>
      <c r="FO35" s="0" t="n">
        <f aca="false">IF(FO33="",0,IF(AND(FO34=Milestones!$AB$179,FO33&gt;=SchemeStart),IF(AND(Milestones!$AB$179="FT",Milestones!$AA$179=FT_Y5,FO33&lt;PolicyEff),1,Milestones!$AC$179),0))</f>
        <v>0</v>
      </c>
      <c r="FP35" s="0" t="n">
        <f aca="false">IF(FP33="",0,IF(AND(FP34=Milestones!$AB$180,FP33&gt;=SchemeStart),IF(AND(Milestones!$AB$180="FT",Milestones!$AA$180=FT_Y5,FP33&lt;PolicyEff),1,Milestones!$AC$180),0))</f>
        <v>0</v>
      </c>
      <c r="FQ35" s="0" t="n">
        <f aca="false">IF(FQ33="",0,IF(AND(FQ34=Milestones!$AB$181,FQ33&gt;=SchemeStart),IF(AND(Milestones!$AB$181="FT",Milestones!$AA$181=FT_Y5,FQ33&lt;PolicyEff),1,Milestones!$AC$181),0))</f>
        <v>0</v>
      </c>
      <c r="FR35" s="0" t="n">
        <f aca="false">IF(FR33="",0,IF(AND(FR34=Milestones!$AB$182,FR33&gt;=SchemeStart),IF(AND(Milestones!$AB$182="FT",Milestones!$AA$182=FT_Y5,FR33&lt;PolicyEff),1,Milestones!$AC$182),0))</f>
        <v>0</v>
      </c>
      <c r="FS35" s="0" t="n">
        <f aca="false">IF(FS33="",0,IF(AND(FS34=Milestones!$AB$183,FS33&gt;=SchemeStart),IF(AND(Milestones!$AB$183="FT",Milestones!$AA$183=FT_Y5,FS33&lt;PolicyEff),1,Milestones!$AC$183),0))</f>
        <v>0</v>
      </c>
      <c r="FT35" s="0" t="n">
        <f aca="false">IF(FT33="",0,IF(AND(FT34=Milestones!$AB$184,FT33&gt;=SchemeStart),IF(AND(Milestones!$AB$184="FT",Milestones!$AA$184=FT_Y5,FT33&lt;PolicyEff),1,Milestones!$AC$184),0))</f>
        <v>0</v>
      </c>
      <c r="FU35" s="0" t="n">
        <f aca="false">IF(FU33="",0,IF(AND(FU34=Milestones!$AB$185,FU33&gt;=SchemeStart),IF(AND(Milestones!$AB$185="FT",Milestones!$AA$185=FT_Y5,FU33&lt;PolicyEff),1,Milestones!$AC$185),0))</f>
        <v>0</v>
      </c>
      <c r="FV35" s="0" t="n">
        <f aca="false">IF(FV33="",0,IF(AND(FV34=Milestones!$AB$186,FV33&gt;=SchemeStart),IF(AND(Milestones!$AB$186="FT",Milestones!$AA$186=FT_Y5,FV33&lt;PolicyEff),1,Milestones!$AC$186),0))</f>
        <v>0</v>
      </c>
      <c r="FW35" s="0" t="n">
        <f aca="false">IF(FW33="",0,IF(AND(FW34=Milestones!$AB$187,FW33&gt;=SchemeStart),IF(AND(Milestones!$AB$187="FT",Milestones!$AA$187=FT_Y5,FW33&lt;PolicyEff),1,Milestones!$AC$187),0))</f>
        <v>0</v>
      </c>
      <c r="FX35" s="0" t="n">
        <f aca="false">IF(FX33="",0,IF(AND(FX34=Milestones!$AB$188,FX33&gt;=SchemeStart),IF(AND(Milestones!$AB$188="FT",Milestones!$AA$188=FT_Y5,FX33&lt;PolicyEff),1,Milestones!$AC$188),0))</f>
        <v>0</v>
      </c>
      <c r="FY35" s="0" t="n">
        <f aca="false">IF(FY33="",0,IF(AND(FY34=Milestones!$AB$189,FY33&gt;=SchemeStart),IF(AND(Milestones!$AB$189="FT",Milestones!$AA$189=FT_Y5,FY33&lt;PolicyEff),1,Milestones!$AC$189),0))</f>
        <v>0</v>
      </c>
      <c r="FZ35" s="0" t="n">
        <f aca="false">IF(FZ33="",0,IF(AND(FZ34=Milestones!$AB$190,FZ33&gt;=SchemeStart),IF(AND(Milestones!$AB$190="FT",Milestones!$AA$190=FT_Y5,FZ33&lt;PolicyEff),1,Milestones!$AC$190),0))</f>
        <v>0</v>
      </c>
      <c r="GA35" s="0" t="n">
        <f aca="false">IF(GA33="",0,IF(AND(GA34=Milestones!$AB$191,GA33&gt;=SchemeStart),IF(AND(Milestones!$AB$191="FT",Milestones!$AA$191=FT_Y5,GA33&lt;PolicyEff),1,Milestones!$AC$191),0))</f>
        <v>0</v>
      </c>
      <c r="GB35" s="0" t="n">
        <f aca="false">IF(GB33="",0,IF(AND(GB34=Milestones!$AB$192,GB33&gt;=SchemeStart),IF(AND(Milestones!$AB$192="FT",Milestones!$AA$192=FT_Y5,GB33&lt;PolicyEff),1,Milestones!$AC$192),0))</f>
        <v>0</v>
      </c>
      <c r="GC35" s="0" t="n">
        <f aca="false">IF(GC33="",0,IF(AND(GC34=Milestones!$AB$193,GC33&gt;=SchemeStart),IF(AND(Milestones!$AB$193="FT",Milestones!$AA$193=FT_Y5,GC33&lt;PolicyEff),1,Milestones!$AC$193),0))</f>
        <v>0</v>
      </c>
      <c r="GD35" s="0" t="n">
        <f aca="false">IF(GD33="",0,IF(AND(GD34=Milestones!$AB$194,GD33&gt;=SchemeStart),IF(AND(Milestones!$AB$194="FT",Milestones!$AA$194=FT_Y5,GD33&lt;PolicyEff),1,Milestones!$AC$194),0))</f>
        <v>0</v>
      </c>
      <c r="GE35" s="0" t="n">
        <f aca="false">IF(GE33="",0,IF(AND(GE34=Milestones!$AB$195,GE33&gt;=SchemeStart),IF(AND(Milestones!$AB$195="FT",Milestones!$AA$195=FT_Y5,GE33&lt;PolicyEff),1,Milestones!$AC$195),0))</f>
        <v>0</v>
      </c>
      <c r="GF35" s="0" t="n">
        <f aca="false">IF(GF33="",0,IF(AND(GF34=Milestones!$AB$196,GF33&gt;=SchemeStart),IF(AND(Milestones!$AB$196="FT",Milestones!$AA$196=FT_Y5,GF33&lt;PolicyEff),1,Milestones!$AC$196),0))</f>
        <v>0</v>
      </c>
      <c r="GG35" s="0" t="n">
        <f aca="false">IF(GG33="",0,IF(AND(GG34=Milestones!$AB$197,GG33&gt;=SchemeStart),IF(AND(Milestones!$AB$197="FT",Milestones!$AA$197=FT_Y5,GG33&lt;PolicyEff),1,Milestones!$AC$197),0))</f>
        <v>0</v>
      </c>
      <c r="GH35" s="0" t="n">
        <f aca="false">IF(GH33="",0,IF(AND(GH34=Milestones!$AB$198,GH33&gt;=SchemeStart),IF(AND(Milestones!$AB$198="FT",Milestones!$AA$198=FT_Y5,GH33&lt;PolicyEff),1,Milestones!$AC$198),0))</f>
        <v>0</v>
      </c>
      <c r="GI35" s="0" t="n">
        <f aca="false">IF(GI33="",0,IF(AND(GI34=Milestones!$AB$199,GI33&gt;=SchemeStart),IF(AND(Milestones!$AB$199="FT",Milestones!$AA$199=FT_Y5,GI33&lt;PolicyEff),1,Milestones!$AC$199),0))</f>
        <v>0</v>
      </c>
    </row>
    <row r="36" customFormat="false" ht="15" hidden="false" customHeight="false" outlineLevel="0" collapsed="false">
      <c r="A36" s="0" t="str">
        <f aca="false">IF('HR Tally Check'!M$7="","",'HR Tally Check'!M$7)</f>
        <v/>
      </c>
      <c r="B36" s="0" t="str">
        <f aca="false">IF(A36="","",ISNUMBER(MATCH(A36,Staff!$BR$5:$BR$154,0)))</f>
        <v/>
      </c>
      <c r="C36" s="20" t="str">
        <f aca="false">IF(B36&lt;&gt;TRUE(),"",INDEX(Staff!$AL$5:$AL$154,MATCH($A36,Staff!$BR$5:$BR$154,0)))</f>
        <v/>
      </c>
      <c r="D36" s="0" t="str">
        <f aca="false">IF(B36&lt;&gt;TRUE(),"",INDEX(Staff!$AM$5:$AM$154,MATCH($A36,Staff!$BR$5:$BR$154,0)))</f>
        <v/>
      </c>
      <c r="E36" s="20" t="str">
        <f aca="false">IF(B36&lt;&gt;TRUE(),"",INDEX(Staff!$AO$5:$AO$154,MATCH($A36,Staff!$BR$5:$BR$154,0)))</f>
        <v/>
      </c>
      <c r="F36" s="20" t="str">
        <f aca="false">IF(B36&lt;&gt;TRUE(),"",INDEX(Staff!$AP$5:$AP$154,MATCH($A36,Staff!$BR$5:$BR$154,0)))</f>
        <v/>
      </c>
      <c r="G36" s="0" t="str">
        <f aca="false">IF(B36&lt;&gt;TRUE(),"",INDEX(Staff!$AT$5:$AT$154,MATCH($A36,Staff!$BR$5:$BR$154,0)))</f>
        <v/>
      </c>
      <c r="H36" s="0" t="str">
        <f aca="false">IF(B36&lt;&gt;TRUE(),"",INDEX(Staff!$AU$5:$AU$154,MATCH($A36,Staff!$BR$5:$BR$154,0)))</f>
        <v/>
      </c>
      <c r="I36" s="0" t="str">
        <f aca="false">IF(B36&lt;&gt;TRUE(),"",INDEX(Staff!$AV$5:$AV$154,MATCH($A36,Staff!$BR$5:$BR$154,0)))</f>
        <v/>
      </c>
      <c r="J36" s="0" t="str">
        <f aca="false">IF(B36&lt;&gt;TRUE(),"",INDEX(Staff!$AW$5:$AW$154,MATCH($A36,Staff!$BR$5:$BR$154,0)))</f>
        <v/>
      </c>
      <c r="K36" s="33" t="s">
        <v>262</v>
      </c>
      <c r="L36" s="20" t="str">
        <f aca="false">IF($C36="","",EDATE($C36,Milestones!$AA$20))</f>
        <v/>
      </c>
      <c r="M36" s="20" t="str">
        <f aca="false">IF($C36="","",EDATE($C36,Milestones!$AA$21))</f>
        <v/>
      </c>
      <c r="N36" s="20" t="str">
        <f aca="false">IF($C36="","",EDATE($C36,Milestones!$AA$22))</f>
        <v/>
      </c>
      <c r="O36" s="20" t="str">
        <f aca="false">IF($C36="","",EDATE($C36,Milestones!$AA$23))</f>
        <v/>
      </c>
      <c r="P36" s="20" t="str">
        <f aca="false">IF($C36="","",EDATE($C36,Milestones!$AA$24))</f>
        <v/>
      </c>
      <c r="Q36" s="20" t="str">
        <f aca="false">IF($C36="","",EDATE($C36,Milestones!$AA$25))</f>
        <v/>
      </c>
      <c r="R36" s="20" t="str">
        <f aca="false">IF($C36="","",EDATE($C36,Milestones!$AA$26))</f>
        <v/>
      </c>
      <c r="S36" s="20" t="str">
        <f aca="false">IF($C36="","",EDATE($C36,Milestones!$AA$27))</f>
        <v/>
      </c>
      <c r="T36" s="20" t="str">
        <f aca="false">IF($C36="","",EDATE($C36,Milestones!$AA$28))</f>
        <v/>
      </c>
      <c r="U36" s="20" t="str">
        <f aca="false">IF($C36="","",EDATE($C36,Milestones!$AA$29))</f>
        <v/>
      </c>
      <c r="V36" s="20" t="str">
        <f aca="false">IF($C36="","",EDATE($C36,Milestones!$AA$30))</f>
        <v/>
      </c>
      <c r="W36" s="20" t="str">
        <f aca="false">IF($C36="","",EDATE($C36,Milestones!$AA$31))</f>
        <v/>
      </c>
      <c r="X36" s="20" t="str">
        <f aca="false">IF($C36="","",EDATE($C36,Milestones!$AA$32))</f>
        <v/>
      </c>
      <c r="Y36" s="20" t="str">
        <f aca="false">IF($C36="","",EDATE($C36,Milestones!$AA$33))</f>
        <v/>
      </c>
      <c r="Z36" s="20" t="str">
        <f aca="false">IF($C36="","",EDATE($C36,Milestones!$AA$34))</f>
        <v/>
      </c>
      <c r="AA36" s="20" t="str">
        <f aca="false">IF($C36="","",EDATE($C36,Milestones!$AA$35))</f>
        <v/>
      </c>
      <c r="AB36" s="20" t="str">
        <f aca="false">IF($C36="","",EDATE($C36,Milestones!$AA$36))</f>
        <v/>
      </c>
      <c r="AC36" s="20" t="str">
        <f aca="false">IF($C36="","",EDATE($C36,Milestones!$AA$37))</f>
        <v/>
      </c>
      <c r="AD36" s="20" t="str">
        <f aca="false">IF($C36="","",EDATE($C36,Milestones!$AA$38))</f>
        <v/>
      </c>
      <c r="AE36" s="20" t="str">
        <f aca="false">IF($C36="","",EDATE($C36,Milestones!$AA$39))</f>
        <v/>
      </c>
      <c r="AF36" s="20" t="str">
        <f aca="false">IF($C36="","",EDATE($C36,Milestones!$AA$40))</f>
        <v/>
      </c>
      <c r="AG36" s="20" t="str">
        <f aca="false">IF($C36="","",EDATE($C36,Milestones!$AA$41))</f>
        <v/>
      </c>
      <c r="AH36" s="20" t="str">
        <f aca="false">IF($C36="","",EDATE($C36,Milestones!$AA$42))</f>
        <v/>
      </c>
      <c r="AI36" s="20" t="str">
        <f aca="false">IF($C36="","",EDATE($C36,Milestones!$AA$43))</f>
        <v/>
      </c>
      <c r="AJ36" s="20" t="str">
        <f aca="false">IF($C36="","",EDATE($C36,Milestones!$AA$44))</f>
        <v/>
      </c>
      <c r="AK36" s="20" t="str">
        <f aca="false">IF($C36="","",EDATE($C36,Milestones!$AA$45))</f>
        <v/>
      </c>
      <c r="AL36" s="20" t="str">
        <f aca="false">IF($C36="","",EDATE($C36,Milestones!$AA$46))</f>
        <v/>
      </c>
      <c r="AM36" s="20" t="str">
        <f aca="false">IF($C36="","",EDATE($C36,Milestones!$AA$47))</f>
        <v/>
      </c>
      <c r="AN36" s="20" t="str">
        <f aca="false">IF($C36="","",EDATE($C36,Milestones!$AA$48))</f>
        <v/>
      </c>
      <c r="AO36" s="20" t="str">
        <f aca="false">IF($C36="","",EDATE($C36,Milestones!$AA$49))</f>
        <v/>
      </c>
      <c r="AP36" s="20" t="str">
        <f aca="false">IF($C36="","",EDATE($C36,Milestones!$AA$50))</f>
        <v/>
      </c>
      <c r="AQ36" s="20" t="str">
        <f aca="false">IF($C36="","",EDATE($C36,Milestones!$AA$51))</f>
        <v/>
      </c>
      <c r="AR36" s="20" t="str">
        <f aca="false">IF($C36="","",EDATE($C36,Milestones!$AA$52))</f>
        <v/>
      </c>
      <c r="AS36" s="20" t="str">
        <f aca="false">IF($C36="","",EDATE($C36,Milestones!$AA$53))</f>
        <v/>
      </c>
      <c r="AT36" s="20" t="str">
        <f aca="false">IF($C36="","",EDATE($C36,Milestones!$AA$54))</f>
        <v/>
      </c>
      <c r="AU36" s="20" t="str">
        <f aca="false">IF($C36="","",EDATE($C36,Milestones!$AA$55))</f>
        <v/>
      </c>
      <c r="AV36" s="20" t="str">
        <f aca="false">IF($C36="","",EDATE($C36,Milestones!$AA$56))</f>
        <v/>
      </c>
      <c r="AW36" s="20" t="str">
        <f aca="false">IF($C36="","",EDATE($C36,Milestones!$AA$57))</f>
        <v/>
      </c>
      <c r="AX36" s="20" t="str">
        <f aca="false">IF($C36="","",EDATE($C36,Milestones!$AA$58))</f>
        <v/>
      </c>
      <c r="AY36" s="20" t="str">
        <f aca="false">IF($C36="","",EDATE($C36,Milestones!$AA$59))</f>
        <v/>
      </c>
      <c r="AZ36" s="20" t="str">
        <f aca="false">IF($C36="","",EDATE($C36,Milestones!$AA$60))</f>
        <v/>
      </c>
      <c r="BA36" s="20" t="str">
        <f aca="false">IF($C36="","",EDATE($C36,Milestones!$AA$61))</f>
        <v/>
      </c>
      <c r="BB36" s="20" t="str">
        <f aca="false">IF($C36="","",EDATE($C36,Milestones!$AA$62))</f>
        <v/>
      </c>
      <c r="BC36" s="20" t="str">
        <f aca="false">IF($C36="","",EDATE($C36,Milestones!$AA$63))</f>
        <v/>
      </c>
      <c r="BD36" s="20" t="str">
        <f aca="false">IF($C36="","",EDATE($C36,Milestones!$AA$64))</f>
        <v/>
      </c>
      <c r="BE36" s="20" t="str">
        <f aca="false">IF($C36="","",EDATE($C36,Milestones!$AA$65))</f>
        <v/>
      </c>
      <c r="BF36" s="20" t="str">
        <f aca="false">IF($C36="","",EDATE($C36,Milestones!$AA$66))</f>
        <v/>
      </c>
      <c r="BG36" s="20" t="str">
        <f aca="false">IF($C36="","",EDATE($C36,Milestones!$AA$67))</f>
        <v/>
      </c>
      <c r="BH36" s="20" t="str">
        <f aca="false">IF($C36="","",EDATE($C36,Milestones!$AA$68))</f>
        <v/>
      </c>
      <c r="BI36" s="20" t="str">
        <f aca="false">IF($C36="","",EDATE($C36,Milestones!$AA$69))</f>
        <v/>
      </c>
      <c r="BJ36" s="20" t="str">
        <f aca="false">IF($C36="","",EDATE($C36,Milestones!$AA$70))</f>
        <v/>
      </c>
      <c r="BK36" s="20" t="str">
        <f aca="false">IF($C36="","",EDATE($C36,Milestones!$AA$71))</f>
        <v/>
      </c>
      <c r="BL36" s="20" t="str">
        <f aca="false">IF($C36="","",EDATE($C36,Milestones!$AA$72))</f>
        <v/>
      </c>
      <c r="BM36" s="20" t="str">
        <f aca="false">IF($C36="","",EDATE($C36,Milestones!$AA$73))</f>
        <v/>
      </c>
      <c r="BN36" s="20" t="str">
        <f aca="false">IF($C36="","",EDATE($C36,Milestones!$AA$74))</f>
        <v/>
      </c>
      <c r="BO36" s="20" t="str">
        <f aca="false">IF($C36="","",EDATE($C36,Milestones!$AA$75))</f>
        <v/>
      </c>
      <c r="BP36" s="20" t="str">
        <f aca="false">IF($C36="","",EDATE($C36,Milestones!$AA$76))</f>
        <v/>
      </c>
      <c r="BQ36" s="20" t="str">
        <f aca="false">IF($C36="","",EDATE($C36,Milestones!$AA$77))</f>
        <v/>
      </c>
      <c r="BR36" s="20" t="str">
        <f aca="false">IF($C36="","",EDATE($C36,Milestones!$AA$78))</f>
        <v/>
      </c>
      <c r="BS36" s="20" t="str">
        <f aca="false">IF($C36="","",EDATE($C36,Milestones!$AA$79))</f>
        <v/>
      </c>
      <c r="BT36" s="20" t="str">
        <f aca="false">IF($C36="","",EDATE($C36,Milestones!$AA$80))</f>
        <v/>
      </c>
      <c r="BU36" s="20" t="str">
        <f aca="false">IF($C36="","",EDATE($C36,Milestones!$AA$81))</f>
        <v/>
      </c>
      <c r="BV36" s="20" t="str">
        <f aca="false">IF($C36="","",EDATE($C36,Milestones!$AA$82))</f>
        <v/>
      </c>
      <c r="BW36" s="20" t="str">
        <f aca="false">IF($C36="","",EDATE($C36,Milestones!$AA$83))</f>
        <v/>
      </c>
      <c r="BX36" s="20" t="str">
        <f aca="false">IF($C36="","",EDATE($C36,Milestones!$AA$84))</f>
        <v/>
      </c>
      <c r="BY36" s="20" t="str">
        <f aca="false">IF($C36="","",EDATE($C36,Milestones!$AA$85))</f>
        <v/>
      </c>
      <c r="BZ36" s="20" t="str">
        <f aca="false">IF($C36="","",EDATE($C36,Milestones!$AA$86))</f>
        <v/>
      </c>
      <c r="CA36" s="20" t="str">
        <f aca="false">IF($C36="","",EDATE($C36,Milestones!$AA$87))</f>
        <v/>
      </c>
      <c r="CB36" s="20" t="str">
        <f aca="false">IF($C36="","",EDATE($C36,Milestones!$AA$88))</f>
        <v/>
      </c>
      <c r="CC36" s="20" t="str">
        <f aca="false">IF($C36="","",EDATE($C36,Milestones!$AA$89))</f>
        <v/>
      </c>
      <c r="CD36" s="20" t="str">
        <f aca="false">IF($C36="","",EDATE($C36,Milestones!$AA$90))</f>
        <v/>
      </c>
      <c r="CE36" s="20" t="str">
        <f aca="false">IF($C36="","",EDATE($C36,Milestones!$AA$91))</f>
        <v/>
      </c>
      <c r="CF36" s="20" t="str">
        <f aca="false">IF($C36="","",EDATE($C36,Milestones!$AA$92))</f>
        <v/>
      </c>
      <c r="CG36" s="20" t="str">
        <f aca="false">IF($C36="","",EDATE($C36,Milestones!$AA$93))</f>
        <v/>
      </c>
      <c r="CH36" s="20" t="str">
        <f aca="false">IF($C36="","",EDATE($C36,Milestones!$AA$94))</f>
        <v/>
      </c>
      <c r="CI36" s="20" t="str">
        <f aca="false">IF($C36="","",EDATE($C36,Milestones!$AA$95))</f>
        <v/>
      </c>
      <c r="CJ36" s="20" t="str">
        <f aca="false">IF($C36="","",EDATE($C36,Milestones!$AA$96))</f>
        <v/>
      </c>
      <c r="CK36" s="20" t="str">
        <f aca="false">IF($C36="","",EDATE($C36,Milestones!$AA$97))</f>
        <v/>
      </c>
      <c r="CL36" s="20" t="str">
        <f aca="false">IF($C36="","",EDATE($C36,Milestones!$AA$98))</f>
        <v/>
      </c>
      <c r="CM36" s="20" t="str">
        <f aca="false">IF($C36="","",EDATE($C36,Milestones!$AA$99))</f>
        <v/>
      </c>
      <c r="CN36" s="20" t="str">
        <f aca="false">IF($C36="","",EDATE($C36,Milestones!$AA$100))</f>
        <v/>
      </c>
      <c r="CO36" s="20" t="str">
        <f aca="false">IF($C36="","",EDATE($C36,Milestones!$AA$101))</f>
        <v/>
      </c>
      <c r="CP36" s="20" t="str">
        <f aca="false">IF($C36="","",EDATE($C36,Milestones!$AA$102))</f>
        <v/>
      </c>
      <c r="CQ36" s="20" t="str">
        <f aca="false">IF($C36="","",EDATE($C36,Milestones!$AA$103))</f>
        <v/>
      </c>
      <c r="CR36" s="20" t="str">
        <f aca="false">IF($C36="","",EDATE($C36,Milestones!$AA$104))</f>
        <v/>
      </c>
      <c r="CS36" s="20" t="str">
        <f aca="false">IF($C36="","",EDATE($C36,Milestones!$AA$105))</f>
        <v/>
      </c>
      <c r="CT36" s="20" t="str">
        <f aca="false">IF($C36="","",EDATE($C36,Milestones!$AA$106))</f>
        <v/>
      </c>
      <c r="CU36" s="20" t="str">
        <f aca="false">IF($C36="","",EDATE($C36,Milestones!$AA$107))</f>
        <v/>
      </c>
      <c r="CV36" s="20" t="str">
        <f aca="false">IF($C36="","",EDATE($C36,Milestones!$AA$108))</f>
        <v/>
      </c>
      <c r="CW36" s="20" t="str">
        <f aca="false">IF($C36="","",EDATE($C36,Milestones!$AA$109))</f>
        <v/>
      </c>
      <c r="CX36" s="20" t="str">
        <f aca="false">IF($C36="","",EDATE($C36,Milestones!$AA$110))</f>
        <v/>
      </c>
      <c r="CY36" s="20" t="str">
        <f aca="false">IF($C36="","",EDATE($C36,Milestones!$AA$111))</f>
        <v/>
      </c>
      <c r="CZ36" s="20" t="str">
        <f aca="false">IF($C36="","",EDATE($C36,Milestones!$AA$112))</f>
        <v/>
      </c>
      <c r="DA36" s="20" t="str">
        <f aca="false">IF($C36="","",EDATE($C36,Milestones!$AA$113))</f>
        <v/>
      </c>
      <c r="DB36" s="20" t="str">
        <f aca="false">IF($C36="","",EDATE($C36,Milestones!$AA$114))</f>
        <v/>
      </c>
      <c r="DC36" s="20" t="str">
        <f aca="false">IF($C36="","",EDATE($C36,Milestones!$AA$115))</f>
        <v/>
      </c>
      <c r="DD36" s="20" t="str">
        <f aca="false">IF($C36="","",EDATE($C36,Milestones!$AA$116))</f>
        <v/>
      </c>
      <c r="DE36" s="20" t="str">
        <f aca="false">IF($C36="","",EDATE($C36,Milestones!$AA$117))</f>
        <v/>
      </c>
      <c r="DF36" s="20" t="str">
        <f aca="false">IF($C36="","",EDATE($C36,Milestones!$AA$118))</f>
        <v/>
      </c>
      <c r="DG36" s="20" t="str">
        <f aca="false">IF($C36="","",EDATE($C36,Milestones!$AA$119))</f>
        <v/>
      </c>
      <c r="DH36" s="20" t="str">
        <f aca="false">IF($C36="","",EDATE($C36,Milestones!$AA$120))</f>
        <v/>
      </c>
      <c r="DI36" s="20" t="str">
        <f aca="false">IF($C36="","",EDATE($C36,Milestones!$AA$121))</f>
        <v/>
      </c>
      <c r="DJ36" s="20" t="str">
        <f aca="false">IF($C36="","",EDATE($C36,Milestones!$AA$122))</f>
        <v/>
      </c>
      <c r="DK36" s="20" t="str">
        <f aca="false">IF($C36="","",EDATE($C36,Milestones!$AA$123))</f>
        <v/>
      </c>
      <c r="DL36" s="20" t="str">
        <f aca="false">IF($C36="","",EDATE($C36,Milestones!$AA$124))</f>
        <v/>
      </c>
      <c r="DM36" s="20" t="str">
        <f aca="false">IF($C36="","",EDATE($C36,Milestones!$AA$125))</f>
        <v/>
      </c>
      <c r="DN36" s="20" t="str">
        <f aca="false">IF($C36="","",EDATE($C36,Milestones!$AA$126))</f>
        <v/>
      </c>
      <c r="DO36" s="20" t="str">
        <f aca="false">IF($C36="","",EDATE($C36,Milestones!$AA$127))</f>
        <v/>
      </c>
      <c r="DP36" s="20" t="str">
        <f aca="false">IF($C36="","",EDATE($C36,Milestones!$AA$128))</f>
        <v/>
      </c>
      <c r="DQ36" s="20" t="str">
        <f aca="false">IF($C36="","",EDATE($C36,Milestones!$AA$129))</f>
        <v/>
      </c>
      <c r="DR36" s="20" t="str">
        <f aca="false">IF($C36="","",EDATE($C36,Milestones!$AA$130))</f>
        <v/>
      </c>
      <c r="DS36" s="20" t="str">
        <f aca="false">IF($C36="","",EDATE($C36,Milestones!$AA$131))</f>
        <v/>
      </c>
      <c r="DT36" s="20" t="str">
        <f aca="false">IF($C36="","",EDATE($C36,Milestones!$AA$132))</f>
        <v/>
      </c>
      <c r="DU36" s="20" t="str">
        <f aca="false">IF($C36="","",EDATE($C36,Milestones!$AA$133))</f>
        <v/>
      </c>
      <c r="DV36" s="20" t="str">
        <f aca="false">IF($C36="","",EDATE($C36,Milestones!$AA$134))</f>
        <v/>
      </c>
      <c r="DW36" s="20" t="str">
        <f aca="false">IF($C36="","",EDATE($C36,Milestones!$AA$135))</f>
        <v/>
      </c>
      <c r="DX36" s="20" t="str">
        <f aca="false">IF($C36="","",EDATE($C36,Milestones!$AA$136))</f>
        <v/>
      </c>
      <c r="DY36" s="20" t="str">
        <f aca="false">IF($C36="","",EDATE($C36,Milestones!$AA$137))</f>
        <v/>
      </c>
      <c r="DZ36" s="20" t="str">
        <f aca="false">IF($C36="","",EDATE($C36,Milestones!$AA$138))</f>
        <v/>
      </c>
      <c r="EA36" s="20" t="str">
        <f aca="false">IF($C36="","",EDATE($C36,Milestones!$AA$139))</f>
        <v/>
      </c>
      <c r="EB36" s="20" t="str">
        <f aca="false">IF($C36="","",EDATE($C36,Milestones!$AA$140))</f>
        <v/>
      </c>
      <c r="EC36" s="20" t="str">
        <f aca="false">IF($C36="","",EDATE($C36,Milestones!$AA$141))</f>
        <v/>
      </c>
      <c r="ED36" s="20" t="str">
        <f aca="false">IF($C36="","",EDATE($C36,Milestones!$AA$142))</f>
        <v/>
      </c>
      <c r="EE36" s="20" t="str">
        <f aca="false">IF($C36="","",EDATE($C36,Milestones!$AA$143))</f>
        <v/>
      </c>
      <c r="EF36" s="20" t="str">
        <f aca="false">IF($C36="","",EDATE($C36,Milestones!$AA$144))</f>
        <v/>
      </c>
      <c r="EG36" s="20" t="str">
        <f aca="false">IF($C36="","",EDATE($C36,Milestones!$AA$145))</f>
        <v/>
      </c>
      <c r="EH36" s="20" t="str">
        <f aca="false">IF($C36="","",EDATE($C36,Milestones!$AA$146))</f>
        <v/>
      </c>
      <c r="EI36" s="20" t="str">
        <f aca="false">IF($C36="","",EDATE($C36,Milestones!$AA$147))</f>
        <v/>
      </c>
      <c r="EJ36" s="20" t="str">
        <f aca="false">IF($C36="","",EDATE($C36,Milestones!$AA$148))</f>
        <v/>
      </c>
      <c r="EK36" s="20" t="str">
        <f aca="false">IF($C36="","",EDATE($C36,Milestones!$AA$149))</f>
        <v/>
      </c>
      <c r="EL36" s="20" t="str">
        <f aca="false">IF($C36="","",EDATE($C36,Milestones!$AA$150))</f>
        <v/>
      </c>
      <c r="EM36" s="20" t="str">
        <f aca="false">IF($C36="","",EDATE($C36,Milestones!$AA$151))</f>
        <v/>
      </c>
      <c r="EN36" s="20" t="str">
        <f aca="false">IF($C36="","",EDATE($C36,Milestones!$AA$152))</f>
        <v/>
      </c>
      <c r="EO36" s="20" t="str">
        <f aca="false">IF($C36="","",EDATE($C36,Milestones!$AA$153))</f>
        <v/>
      </c>
      <c r="EP36" s="20" t="str">
        <f aca="false">IF($C36="","",EDATE($C36,Milestones!$AA$154))</f>
        <v/>
      </c>
      <c r="EQ36" s="20" t="str">
        <f aca="false">IF($C36="","",EDATE($C36,Milestones!$AA$155))</f>
        <v/>
      </c>
      <c r="ER36" s="20" t="str">
        <f aca="false">IF($C36="","",EDATE($C36,Milestones!$AA$156))</f>
        <v/>
      </c>
      <c r="ES36" s="20" t="str">
        <f aca="false">IF($C36="","",EDATE($C36,Milestones!$AA$157))</f>
        <v/>
      </c>
      <c r="ET36" s="20" t="str">
        <f aca="false">IF($C36="","",EDATE($C36,Milestones!$AA$158))</f>
        <v/>
      </c>
      <c r="EU36" s="20" t="str">
        <f aca="false">IF($C36="","",EDATE($C36,Milestones!$AA$159))</f>
        <v/>
      </c>
      <c r="EV36" s="20" t="str">
        <f aca="false">IF($C36="","",EDATE($C36,Milestones!$AA$160))</f>
        <v/>
      </c>
      <c r="EW36" s="20" t="str">
        <f aca="false">IF($C36="","",EDATE($C36,Milestones!$AA$161))</f>
        <v/>
      </c>
      <c r="EX36" s="20" t="str">
        <f aca="false">IF($C36="","",EDATE($C36,Milestones!$AA$162))</f>
        <v/>
      </c>
      <c r="EY36" s="20" t="str">
        <f aca="false">IF($C36="","",EDATE($C36,Milestones!$AA$163))</f>
        <v/>
      </c>
      <c r="EZ36" s="20" t="str">
        <f aca="false">IF($C36="","",EDATE($C36,Milestones!$AA$164))</f>
        <v/>
      </c>
      <c r="FA36" s="20" t="str">
        <f aca="false">IF($C36="","",EDATE($C36,Milestones!$AA$165))</f>
        <v/>
      </c>
      <c r="FB36" s="20" t="str">
        <f aca="false">IF($C36="","",EDATE($C36,Milestones!$AA$166))</f>
        <v/>
      </c>
      <c r="FC36" s="20" t="str">
        <f aca="false">IF($C36="","",EDATE($C36,Milestones!$AA$167))</f>
        <v/>
      </c>
      <c r="FD36" s="20" t="str">
        <f aca="false">IF($C36="","",EDATE($C36,Milestones!$AA$168))</f>
        <v/>
      </c>
      <c r="FE36" s="20" t="str">
        <f aca="false">IF($C36="","",EDATE($C36,Milestones!$AA$169))</f>
        <v/>
      </c>
      <c r="FF36" s="20" t="str">
        <f aca="false">IF($C36="","",EDATE($C36,Milestones!$AA$170))</f>
        <v/>
      </c>
      <c r="FG36" s="20" t="str">
        <f aca="false">IF($C36="","",EDATE($C36,Milestones!$AA$171))</f>
        <v/>
      </c>
      <c r="FH36" s="20" t="str">
        <f aca="false">IF($C36="","",EDATE($C36,Milestones!$AA$172))</f>
        <v/>
      </c>
      <c r="FI36" s="20" t="str">
        <f aca="false">IF($C36="","",EDATE($C36,Milestones!$AA$173))</f>
        <v/>
      </c>
      <c r="FJ36" s="20" t="str">
        <f aca="false">IF($C36="","",EDATE($C36,Milestones!$AA$174))</f>
        <v/>
      </c>
      <c r="FK36" s="20" t="str">
        <f aca="false">IF($C36="","",EDATE($C36,Milestones!$AA$175))</f>
        <v/>
      </c>
      <c r="FL36" s="20" t="str">
        <f aca="false">IF($C36="","",EDATE($C36,Milestones!$AA$176))</f>
        <v/>
      </c>
      <c r="FM36" s="20" t="str">
        <f aca="false">IF($C36="","",EDATE($C36,Milestones!$AA$177))</f>
        <v/>
      </c>
      <c r="FN36" s="20" t="str">
        <f aca="false">IF($C36="","",EDATE($C36,Milestones!$AA$178))</f>
        <v/>
      </c>
      <c r="FO36" s="20" t="str">
        <f aca="false">IF($C36="","",EDATE($C36,Milestones!$AA$179))</f>
        <v/>
      </c>
      <c r="FP36" s="20" t="str">
        <f aca="false">IF($C36="","",EDATE($C36,Milestones!$AA$180))</f>
        <v/>
      </c>
      <c r="FQ36" s="20" t="str">
        <f aca="false">IF($C36="","",EDATE($C36,Milestones!$AA$181))</f>
        <v/>
      </c>
      <c r="FR36" s="20" t="str">
        <f aca="false">IF($C36="","",EDATE($C36,Milestones!$AA$182))</f>
        <v/>
      </c>
      <c r="FS36" s="20" t="str">
        <f aca="false">IF($C36="","",EDATE($C36,Milestones!$AA$183))</f>
        <v/>
      </c>
      <c r="FT36" s="20" t="str">
        <f aca="false">IF($C36="","",EDATE($C36,Milestones!$AA$184))</f>
        <v/>
      </c>
      <c r="FU36" s="20" t="str">
        <f aca="false">IF($C36="","",EDATE($C36,Milestones!$AA$185))</f>
        <v/>
      </c>
      <c r="FV36" s="20" t="str">
        <f aca="false">IF($C36="","",EDATE($C36,Milestones!$AA$186))</f>
        <v/>
      </c>
      <c r="FW36" s="20" t="str">
        <f aca="false">IF($C36="","",EDATE($C36,Milestones!$AA$187))</f>
        <v/>
      </c>
      <c r="FX36" s="20" t="str">
        <f aca="false">IF($C36="","",EDATE($C36,Milestones!$AA$188))</f>
        <v/>
      </c>
      <c r="FY36" s="20" t="str">
        <f aca="false">IF($C36="","",EDATE($C36,Milestones!$AA$189))</f>
        <v/>
      </c>
      <c r="FZ36" s="20" t="str">
        <f aca="false">IF($C36="","",EDATE($C36,Milestones!$AA$190))</f>
        <v/>
      </c>
      <c r="GA36" s="20" t="str">
        <f aca="false">IF($C36="","",EDATE($C36,Milestones!$AA$191))</f>
        <v/>
      </c>
      <c r="GB36" s="20" t="str">
        <f aca="false">IF($C36="","",EDATE($C36,Milestones!$AA$192))</f>
        <v/>
      </c>
      <c r="GC36" s="20" t="str">
        <f aca="false">IF($C36="","",EDATE($C36,Milestones!$AA$193))</f>
        <v/>
      </c>
      <c r="GD36" s="20" t="str">
        <f aca="false">IF($C36="","",EDATE($C36,Milestones!$AA$194))</f>
        <v/>
      </c>
      <c r="GE36" s="20" t="str">
        <f aca="false">IF($C36="","",EDATE($C36,Milestones!$AA$195))</f>
        <v/>
      </c>
      <c r="GF36" s="20" t="str">
        <f aca="false">IF($C36="","",EDATE($C36,Milestones!$AA$196))</f>
        <v/>
      </c>
      <c r="GG36" s="20" t="str">
        <f aca="false">IF($C36="","",EDATE($C36,Milestones!$AA$197))</f>
        <v/>
      </c>
      <c r="GH36" s="20" t="str">
        <f aca="false">IF($C36="","",EDATE($C36,Milestones!$AA$198))</f>
        <v/>
      </c>
      <c r="GI36" s="20" t="str">
        <f aca="false">IF($C36="","",EDATE($C36,Milestones!$AA$199))</f>
        <v/>
      </c>
    </row>
    <row r="37" customFormat="false" ht="15" hidden="false" customHeight="false" outlineLevel="0" collapsed="false">
      <c r="K37" s="0" t="s">
        <v>263</v>
      </c>
      <c r="L37" s="0" t="str">
        <f aca="false">IF(L36="","",IF($D36=0,$J36,IF(AND($F36&lt;&gt;"",L36&gt;=$F36),$I36,IF(AND($E36&lt;&gt;"",L36&gt;=$E36),$H36,$G36))))</f>
        <v/>
      </c>
      <c r="M37" s="0" t="str">
        <f aca="false">IF(M36="","",IF($D36=0,$J36,IF(AND($F36&lt;&gt;"",M36&gt;=$F36),$I36,IF(AND($E36&lt;&gt;"",M36&gt;=$E36),$H36,$G36))))</f>
        <v/>
      </c>
      <c r="N37" s="0" t="str">
        <f aca="false">IF(N36="","",IF($D36=0,$J36,IF(AND($F36&lt;&gt;"",N36&gt;=$F36),$I36,IF(AND($E36&lt;&gt;"",N36&gt;=$E36),$H36,$G36))))</f>
        <v/>
      </c>
      <c r="O37" s="0" t="str">
        <f aca="false">IF(O36="","",IF($D36=0,$J36,IF(AND($F36&lt;&gt;"",O36&gt;=$F36),$I36,IF(AND($E36&lt;&gt;"",O36&gt;=$E36),$H36,$G36))))</f>
        <v/>
      </c>
      <c r="P37" s="0" t="str">
        <f aca="false">IF(P36="","",IF($D36=0,$J36,IF(AND($F36&lt;&gt;"",P36&gt;=$F36),$I36,IF(AND($E36&lt;&gt;"",P36&gt;=$E36),$H36,$G36))))</f>
        <v/>
      </c>
      <c r="Q37" s="0" t="str">
        <f aca="false">IF(Q36="","",IF($D36=0,$J36,IF(AND($F36&lt;&gt;"",Q36&gt;=$F36),$I36,IF(AND($E36&lt;&gt;"",Q36&gt;=$E36),$H36,$G36))))</f>
        <v/>
      </c>
      <c r="R37" s="0" t="str">
        <f aca="false">IF(R36="","",IF($D36=0,$J36,IF(AND($F36&lt;&gt;"",R36&gt;=$F36),$I36,IF(AND($E36&lt;&gt;"",R36&gt;=$E36),$H36,$G36))))</f>
        <v/>
      </c>
      <c r="S37" s="0" t="str">
        <f aca="false">IF(S36="","",IF($D36=0,$J36,IF(AND($F36&lt;&gt;"",S36&gt;=$F36),$I36,IF(AND($E36&lt;&gt;"",S36&gt;=$E36),$H36,$G36))))</f>
        <v/>
      </c>
      <c r="T37" s="0" t="str">
        <f aca="false">IF(T36="","",IF($D36=0,$J36,IF(AND($F36&lt;&gt;"",T36&gt;=$F36),$I36,IF(AND($E36&lt;&gt;"",T36&gt;=$E36),$H36,$G36))))</f>
        <v/>
      </c>
      <c r="U37" s="0" t="str">
        <f aca="false">IF(U36="","",IF($D36=0,$J36,IF(AND($F36&lt;&gt;"",U36&gt;=$F36),$I36,IF(AND($E36&lt;&gt;"",U36&gt;=$E36),$H36,$G36))))</f>
        <v/>
      </c>
      <c r="V37" s="0" t="str">
        <f aca="false">IF(V36="","",IF($D36=0,$J36,IF(AND($F36&lt;&gt;"",V36&gt;=$F36),$I36,IF(AND($E36&lt;&gt;"",V36&gt;=$E36),$H36,$G36))))</f>
        <v/>
      </c>
      <c r="W37" s="0" t="str">
        <f aca="false">IF(W36="","",IF($D36=0,$J36,IF(AND($F36&lt;&gt;"",W36&gt;=$F36),$I36,IF(AND($E36&lt;&gt;"",W36&gt;=$E36),$H36,$G36))))</f>
        <v/>
      </c>
      <c r="X37" s="0" t="str">
        <f aca="false">IF(X36="","",IF($D36=0,$J36,IF(AND($F36&lt;&gt;"",X36&gt;=$F36),$I36,IF(AND($E36&lt;&gt;"",X36&gt;=$E36),$H36,$G36))))</f>
        <v/>
      </c>
      <c r="Y37" s="0" t="str">
        <f aca="false">IF(Y36="","",IF($D36=0,$J36,IF(AND($F36&lt;&gt;"",Y36&gt;=$F36),$I36,IF(AND($E36&lt;&gt;"",Y36&gt;=$E36),$H36,$G36))))</f>
        <v/>
      </c>
      <c r="Z37" s="0" t="str">
        <f aca="false">IF(Z36="","",IF($D36=0,$J36,IF(AND($F36&lt;&gt;"",Z36&gt;=$F36),$I36,IF(AND($E36&lt;&gt;"",Z36&gt;=$E36),$H36,$G36))))</f>
        <v/>
      </c>
      <c r="AA37" s="0" t="str">
        <f aca="false">IF(AA36="","",IF($D36=0,$J36,IF(AND($F36&lt;&gt;"",AA36&gt;=$F36),$I36,IF(AND($E36&lt;&gt;"",AA36&gt;=$E36),$H36,$G36))))</f>
        <v/>
      </c>
      <c r="AB37" s="0" t="str">
        <f aca="false">IF(AB36="","",IF($D36=0,$J36,IF(AND($F36&lt;&gt;"",AB36&gt;=$F36),$I36,IF(AND($E36&lt;&gt;"",AB36&gt;=$E36),$H36,$G36))))</f>
        <v/>
      </c>
      <c r="AC37" s="0" t="str">
        <f aca="false">IF(AC36="","",IF($D36=0,$J36,IF(AND($F36&lt;&gt;"",AC36&gt;=$F36),$I36,IF(AND($E36&lt;&gt;"",AC36&gt;=$E36),$H36,$G36))))</f>
        <v/>
      </c>
      <c r="AD37" s="0" t="str">
        <f aca="false">IF(AD36="","",IF($D36=0,$J36,IF(AND($F36&lt;&gt;"",AD36&gt;=$F36),$I36,IF(AND($E36&lt;&gt;"",AD36&gt;=$E36),$H36,$G36))))</f>
        <v/>
      </c>
      <c r="AE37" s="0" t="str">
        <f aca="false">IF(AE36="","",IF($D36=0,$J36,IF(AND($F36&lt;&gt;"",AE36&gt;=$F36),$I36,IF(AND($E36&lt;&gt;"",AE36&gt;=$E36),$H36,$G36))))</f>
        <v/>
      </c>
      <c r="AF37" s="0" t="str">
        <f aca="false">IF(AF36="","",IF($D36=0,$J36,IF(AND($F36&lt;&gt;"",AF36&gt;=$F36),$I36,IF(AND($E36&lt;&gt;"",AF36&gt;=$E36),$H36,$G36))))</f>
        <v/>
      </c>
      <c r="AG37" s="0" t="str">
        <f aca="false">IF(AG36="","",IF($D36=0,$J36,IF(AND($F36&lt;&gt;"",AG36&gt;=$F36),$I36,IF(AND($E36&lt;&gt;"",AG36&gt;=$E36),$H36,$G36))))</f>
        <v/>
      </c>
      <c r="AH37" s="0" t="str">
        <f aca="false">IF(AH36="","",IF($D36=0,$J36,IF(AND($F36&lt;&gt;"",AH36&gt;=$F36),$I36,IF(AND($E36&lt;&gt;"",AH36&gt;=$E36),$H36,$G36))))</f>
        <v/>
      </c>
      <c r="AI37" s="0" t="str">
        <f aca="false">IF(AI36="","",IF($D36=0,$J36,IF(AND($F36&lt;&gt;"",AI36&gt;=$F36),$I36,IF(AND($E36&lt;&gt;"",AI36&gt;=$E36),$H36,$G36))))</f>
        <v/>
      </c>
      <c r="AJ37" s="0" t="str">
        <f aca="false">IF(AJ36="","",IF($D36=0,$J36,IF(AND($F36&lt;&gt;"",AJ36&gt;=$F36),$I36,IF(AND($E36&lt;&gt;"",AJ36&gt;=$E36),$H36,$G36))))</f>
        <v/>
      </c>
      <c r="AK37" s="0" t="str">
        <f aca="false">IF(AK36="","",IF($D36=0,$J36,IF(AND($F36&lt;&gt;"",AK36&gt;=$F36),$I36,IF(AND($E36&lt;&gt;"",AK36&gt;=$E36),$H36,$G36))))</f>
        <v/>
      </c>
      <c r="AL37" s="0" t="str">
        <f aca="false">IF(AL36="","",IF($D36=0,$J36,IF(AND($F36&lt;&gt;"",AL36&gt;=$F36),$I36,IF(AND($E36&lt;&gt;"",AL36&gt;=$E36),$H36,$G36))))</f>
        <v/>
      </c>
      <c r="AM37" s="0" t="str">
        <f aca="false">IF(AM36="","",IF($D36=0,$J36,IF(AND($F36&lt;&gt;"",AM36&gt;=$F36),$I36,IF(AND($E36&lt;&gt;"",AM36&gt;=$E36),$H36,$G36))))</f>
        <v/>
      </c>
      <c r="AN37" s="0" t="str">
        <f aca="false">IF(AN36="","",IF($D36=0,$J36,IF(AND($F36&lt;&gt;"",AN36&gt;=$F36),$I36,IF(AND($E36&lt;&gt;"",AN36&gt;=$E36),$H36,$G36))))</f>
        <v/>
      </c>
      <c r="AO37" s="0" t="str">
        <f aca="false">IF(AO36="","",IF($D36=0,$J36,IF(AND($F36&lt;&gt;"",AO36&gt;=$F36),$I36,IF(AND($E36&lt;&gt;"",AO36&gt;=$E36),$H36,$G36))))</f>
        <v/>
      </c>
      <c r="AP37" s="0" t="str">
        <f aca="false">IF(AP36="","",IF($D36=0,$J36,IF(AND($F36&lt;&gt;"",AP36&gt;=$F36),$I36,IF(AND($E36&lt;&gt;"",AP36&gt;=$E36),$H36,$G36))))</f>
        <v/>
      </c>
      <c r="AQ37" s="0" t="str">
        <f aca="false">IF(AQ36="","",IF($D36=0,$J36,IF(AND($F36&lt;&gt;"",AQ36&gt;=$F36),$I36,IF(AND($E36&lt;&gt;"",AQ36&gt;=$E36),$H36,$G36))))</f>
        <v/>
      </c>
      <c r="AR37" s="0" t="str">
        <f aca="false">IF(AR36="","",IF($D36=0,$J36,IF(AND($F36&lt;&gt;"",AR36&gt;=$F36),$I36,IF(AND($E36&lt;&gt;"",AR36&gt;=$E36),$H36,$G36))))</f>
        <v/>
      </c>
      <c r="AS37" s="0" t="str">
        <f aca="false">IF(AS36="","",IF($D36=0,$J36,IF(AND($F36&lt;&gt;"",AS36&gt;=$F36),$I36,IF(AND($E36&lt;&gt;"",AS36&gt;=$E36),$H36,$G36))))</f>
        <v/>
      </c>
      <c r="AT37" s="0" t="str">
        <f aca="false">IF(AT36="","",IF($D36=0,$J36,IF(AND($F36&lt;&gt;"",AT36&gt;=$F36),$I36,IF(AND($E36&lt;&gt;"",AT36&gt;=$E36),$H36,$G36))))</f>
        <v/>
      </c>
      <c r="AU37" s="0" t="str">
        <f aca="false">IF(AU36="","",IF($D36=0,$J36,IF(AND($F36&lt;&gt;"",AU36&gt;=$F36),$I36,IF(AND($E36&lt;&gt;"",AU36&gt;=$E36),$H36,$G36))))</f>
        <v/>
      </c>
      <c r="AV37" s="0" t="str">
        <f aca="false">IF(AV36="","",IF($D36=0,$J36,IF(AND($F36&lt;&gt;"",AV36&gt;=$F36),$I36,IF(AND($E36&lt;&gt;"",AV36&gt;=$E36),$H36,$G36))))</f>
        <v/>
      </c>
      <c r="AW37" s="0" t="str">
        <f aca="false">IF(AW36="","",IF($D36=0,$J36,IF(AND($F36&lt;&gt;"",AW36&gt;=$F36),$I36,IF(AND($E36&lt;&gt;"",AW36&gt;=$E36),$H36,$G36))))</f>
        <v/>
      </c>
      <c r="AX37" s="0" t="str">
        <f aca="false">IF(AX36="","",IF($D36=0,$J36,IF(AND($F36&lt;&gt;"",AX36&gt;=$F36),$I36,IF(AND($E36&lt;&gt;"",AX36&gt;=$E36),$H36,$G36))))</f>
        <v/>
      </c>
      <c r="AY37" s="0" t="str">
        <f aca="false">IF(AY36="","",IF($D36=0,$J36,IF(AND($F36&lt;&gt;"",AY36&gt;=$F36),$I36,IF(AND($E36&lt;&gt;"",AY36&gt;=$E36),$H36,$G36))))</f>
        <v/>
      </c>
      <c r="AZ37" s="0" t="str">
        <f aca="false">IF(AZ36="","",IF($D36=0,$J36,IF(AND($F36&lt;&gt;"",AZ36&gt;=$F36),$I36,IF(AND($E36&lt;&gt;"",AZ36&gt;=$E36),$H36,$G36))))</f>
        <v/>
      </c>
      <c r="BA37" s="0" t="str">
        <f aca="false">IF(BA36="","",IF($D36=0,$J36,IF(AND($F36&lt;&gt;"",BA36&gt;=$F36),$I36,IF(AND($E36&lt;&gt;"",BA36&gt;=$E36),$H36,$G36))))</f>
        <v/>
      </c>
      <c r="BB37" s="0" t="str">
        <f aca="false">IF(BB36="","",IF($D36=0,$J36,IF(AND($F36&lt;&gt;"",BB36&gt;=$F36),$I36,IF(AND($E36&lt;&gt;"",BB36&gt;=$E36),$H36,$G36))))</f>
        <v/>
      </c>
      <c r="BC37" s="0" t="str">
        <f aca="false">IF(BC36="","",IF($D36=0,$J36,IF(AND($F36&lt;&gt;"",BC36&gt;=$F36),$I36,IF(AND($E36&lt;&gt;"",BC36&gt;=$E36),$H36,$G36))))</f>
        <v/>
      </c>
      <c r="BD37" s="0" t="str">
        <f aca="false">IF(BD36="","",IF($D36=0,$J36,IF(AND($F36&lt;&gt;"",BD36&gt;=$F36),$I36,IF(AND($E36&lt;&gt;"",BD36&gt;=$E36),$H36,$G36))))</f>
        <v/>
      </c>
      <c r="BE37" s="0" t="str">
        <f aca="false">IF(BE36="","",IF($D36=0,$J36,IF(AND($F36&lt;&gt;"",BE36&gt;=$F36),$I36,IF(AND($E36&lt;&gt;"",BE36&gt;=$E36),$H36,$G36))))</f>
        <v/>
      </c>
      <c r="BF37" s="0" t="str">
        <f aca="false">IF(BF36="","",IF($D36=0,$J36,IF(AND($F36&lt;&gt;"",BF36&gt;=$F36),$I36,IF(AND($E36&lt;&gt;"",BF36&gt;=$E36),$H36,$G36))))</f>
        <v/>
      </c>
      <c r="BG37" s="0" t="str">
        <f aca="false">IF(BG36="","",IF($D36=0,$J36,IF(AND($F36&lt;&gt;"",BG36&gt;=$F36),$I36,IF(AND($E36&lt;&gt;"",BG36&gt;=$E36),$H36,$G36))))</f>
        <v/>
      </c>
      <c r="BH37" s="0" t="str">
        <f aca="false">IF(BH36="","",IF($D36=0,$J36,IF(AND($F36&lt;&gt;"",BH36&gt;=$F36),$I36,IF(AND($E36&lt;&gt;"",BH36&gt;=$E36),$H36,$G36))))</f>
        <v/>
      </c>
      <c r="BI37" s="0" t="str">
        <f aca="false">IF(BI36="","",IF($D36=0,$J36,IF(AND($F36&lt;&gt;"",BI36&gt;=$F36),$I36,IF(AND($E36&lt;&gt;"",BI36&gt;=$E36),$H36,$G36))))</f>
        <v/>
      </c>
      <c r="BJ37" s="0" t="str">
        <f aca="false">IF(BJ36="","",IF($D36=0,$J36,IF(AND($F36&lt;&gt;"",BJ36&gt;=$F36),$I36,IF(AND($E36&lt;&gt;"",BJ36&gt;=$E36),$H36,$G36))))</f>
        <v/>
      </c>
      <c r="BK37" s="0" t="str">
        <f aca="false">IF(BK36="","",IF($D36=0,$J36,IF(AND($F36&lt;&gt;"",BK36&gt;=$F36),$I36,IF(AND($E36&lt;&gt;"",BK36&gt;=$E36),$H36,$G36))))</f>
        <v/>
      </c>
      <c r="BL37" s="0" t="str">
        <f aca="false">IF(BL36="","",IF($D36=0,$J36,IF(AND($F36&lt;&gt;"",BL36&gt;=$F36),$I36,IF(AND($E36&lt;&gt;"",BL36&gt;=$E36),$H36,$G36))))</f>
        <v/>
      </c>
      <c r="BM37" s="0" t="str">
        <f aca="false">IF(BM36="","",IF($D36=0,$J36,IF(AND($F36&lt;&gt;"",BM36&gt;=$F36),$I36,IF(AND($E36&lt;&gt;"",BM36&gt;=$E36),$H36,$G36))))</f>
        <v/>
      </c>
      <c r="BN37" s="0" t="str">
        <f aca="false">IF(BN36="","",IF($D36=0,$J36,IF(AND($F36&lt;&gt;"",BN36&gt;=$F36),$I36,IF(AND($E36&lt;&gt;"",BN36&gt;=$E36),$H36,$G36))))</f>
        <v/>
      </c>
      <c r="BO37" s="0" t="str">
        <f aca="false">IF(BO36="","",IF($D36=0,$J36,IF(AND($F36&lt;&gt;"",BO36&gt;=$F36),$I36,IF(AND($E36&lt;&gt;"",BO36&gt;=$E36),$H36,$G36))))</f>
        <v/>
      </c>
      <c r="BP37" s="0" t="str">
        <f aca="false">IF(BP36="","",IF($D36=0,$J36,IF(AND($F36&lt;&gt;"",BP36&gt;=$F36),$I36,IF(AND($E36&lt;&gt;"",BP36&gt;=$E36),$H36,$G36))))</f>
        <v/>
      </c>
      <c r="BQ37" s="0" t="str">
        <f aca="false">IF(BQ36="","",IF($D36=0,$J36,IF(AND($F36&lt;&gt;"",BQ36&gt;=$F36),$I36,IF(AND($E36&lt;&gt;"",BQ36&gt;=$E36),$H36,$G36))))</f>
        <v/>
      </c>
      <c r="BR37" s="0" t="str">
        <f aca="false">IF(BR36="","",IF($D36=0,$J36,IF(AND($F36&lt;&gt;"",BR36&gt;=$F36),$I36,IF(AND($E36&lt;&gt;"",BR36&gt;=$E36),$H36,$G36))))</f>
        <v/>
      </c>
      <c r="BS37" s="0" t="str">
        <f aca="false">IF(BS36="","",IF($D36=0,$J36,IF(AND($F36&lt;&gt;"",BS36&gt;=$F36),$I36,IF(AND($E36&lt;&gt;"",BS36&gt;=$E36),$H36,$G36))))</f>
        <v/>
      </c>
      <c r="BT37" s="0" t="str">
        <f aca="false">IF(BT36="","",IF($D36=0,$J36,IF(AND($F36&lt;&gt;"",BT36&gt;=$F36),$I36,IF(AND($E36&lt;&gt;"",BT36&gt;=$E36),$H36,$G36))))</f>
        <v/>
      </c>
      <c r="BU37" s="0" t="str">
        <f aca="false">IF(BU36="","",IF($D36=0,$J36,IF(AND($F36&lt;&gt;"",BU36&gt;=$F36),$I36,IF(AND($E36&lt;&gt;"",BU36&gt;=$E36),$H36,$G36))))</f>
        <v/>
      </c>
      <c r="BV37" s="0" t="str">
        <f aca="false">IF(BV36="","",IF($D36=0,$J36,IF(AND($F36&lt;&gt;"",BV36&gt;=$F36),$I36,IF(AND($E36&lt;&gt;"",BV36&gt;=$E36),$H36,$G36))))</f>
        <v/>
      </c>
      <c r="BW37" s="0" t="str">
        <f aca="false">IF(BW36="","",IF($D36=0,$J36,IF(AND($F36&lt;&gt;"",BW36&gt;=$F36),$I36,IF(AND($E36&lt;&gt;"",BW36&gt;=$E36),$H36,$G36))))</f>
        <v/>
      </c>
      <c r="BX37" s="0" t="str">
        <f aca="false">IF(BX36="","",IF($D36=0,$J36,IF(AND($F36&lt;&gt;"",BX36&gt;=$F36),$I36,IF(AND($E36&lt;&gt;"",BX36&gt;=$E36),$H36,$G36))))</f>
        <v/>
      </c>
      <c r="BY37" s="0" t="str">
        <f aca="false">IF(BY36="","",IF($D36=0,$J36,IF(AND($F36&lt;&gt;"",BY36&gt;=$F36),$I36,IF(AND($E36&lt;&gt;"",BY36&gt;=$E36),$H36,$G36))))</f>
        <v/>
      </c>
      <c r="BZ37" s="0" t="str">
        <f aca="false">IF(BZ36="","",IF($D36=0,$J36,IF(AND($F36&lt;&gt;"",BZ36&gt;=$F36),$I36,IF(AND($E36&lt;&gt;"",BZ36&gt;=$E36),$H36,$G36))))</f>
        <v/>
      </c>
      <c r="CA37" s="0" t="str">
        <f aca="false">IF(CA36="","",IF($D36=0,$J36,IF(AND($F36&lt;&gt;"",CA36&gt;=$F36),$I36,IF(AND($E36&lt;&gt;"",CA36&gt;=$E36),$H36,$G36))))</f>
        <v/>
      </c>
      <c r="CB37" s="0" t="str">
        <f aca="false">IF(CB36="","",IF($D36=0,$J36,IF(AND($F36&lt;&gt;"",CB36&gt;=$F36),$I36,IF(AND($E36&lt;&gt;"",CB36&gt;=$E36),$H36,$G36))))</f>
        <v/>
      </c>
      <c r="CC37" s="0" t="str">
        <f aca="false">IF(CC36="","",IF($D36=0,$J36,IF(AND($F36&lt;&gt;"",CC36&gt;=$F36),$I36,IF(AND($E36&lt;&gt;"",CC36&gt;=$E36),$H36,$G36))))</f>
        <v/>
      </c>
      <c r="CD37" s="0" t="str">
        <f aca="false">IF(CD36="","",IF($D36=0,$J36,IF(AND($F36&lt;&gt;"",CD36&gt;=$F36),$I36,IF(AND($E36&lt;&gt;"",CD36&gt;=$E36),$H36,$G36))))</f>
        <v/>
      </c>
      <c r="CE37" s="0" t="str">
        <f aca="false">IF(CE36="","",IF($D36=0,$J36,IF(AND($F36&lt;&gt;"",CE36&gt;=$F36),$I36,IF(AND($E36&lt;&gt;"",CE36&gt;=$E36),$H36,$G36))))</f>
        <v/>
      </c>
      <c r="CF37" s="0" t="str">
        <f aca="false">IF(CF36="","",IF($D36=0,$J36,IF(AND($F36&lt;&gt;"",CF36&gt;=$F36),$I36,IF(AND($E36&lt;&gt;"",CF36&gt;=$E36),$H36,$G36))))</f>
        <v/>
      </c>
      <c r="CG37" s="0" t="str">
        <f aca="false">IF(CG36="","",IF($D36=0,$J36,IF(AND($F36&lt;&gt;"",CG36&gt;=$F36),$I36,IF(AND($E36&lt;&gt;"",CG36&gt;=$E36),$H36,$G36))))</f>
        <v/>
      </c>
      <c r="CH37" s="0" t="str">
        <f aca="false">IF(CH36="","",IF($D36=0,$J36,IF(AND($F36&lt;&gt;"",CH36&gt;=$F36),$I36,IF(AND($E36&lt;&gt;"",CH36&gt;=$E36),$H36,$G36))))</f>
        <v/>
      </c>
      <c r="CI37" s="0" t="str">
        <f aca="false">IF(CI36="","",IF($D36=0,$J36,IF(AND($F36&lt;&gt;"",CI36&gt;=$F36),$I36,IF(AND($E36&lt;&gt;"",CI36&gt;=$E36),$H36,$G36))))</f>
        <v/>
      </c>
      <c r="CJ37" s="0" t="str">
        <f aca="false">IF(CJ36="","",IF($D36=0,$J36,IF(AND($F36&lt;&gt;"",CJ36&gt;=$F36),$I36,IF(AND($E36&lt;&gt;"",CJ36&gt;=$E36),$H36,$G36))))</f>
        <v/>
      </c>
      <c r="CK37" s="0" t="str">
        <f aca="false">IF(CK36="","",IF($D36=0,$J36,IF(AND($F36&lt;&gt;"",CK36&gt;=$F36),$I36,IF(AND($E36&lt;&gt;"",CK36&gt;=$E36),$H36,$G36))))</f>
        <v/>
      </c>
      <c r="CL37" s="0" t="str">
        <f aca="false">IF(CL36="","",IF($D36=0,$J36,IF(AND($F36&lt;&gt;"",CL36&gt;=$F36),$I36,IF(AND($E36&lt;&gt;"",CL36&gt;=$E36),$H36,$G36))))</f>
        <v/>
      </c>
      <c r="CM37" s="0" t="str">
        <f aca="false">IF(CM36="","",IF($D36=0,$J36,IF(AND($F36&lt;&gt;"",CM36&gt;=$F36),$I36,IF(AND($E36&lt;&gt;"",CM36&gt;=$E36),$H36,$G36))))</f>
        <v/>
      </c>
      <c r="CN37" s="0" t="str">
        <f aca="false">IF(CN36="","",IF($D36=0,$J36,IF(AND($F36&lt;&gt;"",CN36&gt;=$F36),$I36,IF(AND($E36&lt;&gt;"",CN36&gt;=$E36),$H36,$G36))))</f>
        <v/>
      </c>
      <c r="CO37" s="0" t="str">
        <f aca="false">IF(CO36="","",IF($D36=0,$J36,IF(AND($F36&lt;&gt;"",CO36&gt;=$F36),$I36,IF(AND($E36&lt;&gt;"",CO36&gt;=$E36),$H36,$G36))))</f>
        <v/>
      </c>
      <c r="CP37" s="0" t="str">
        <f aca="false">IF(CP36="","",IF($D36=0,$J36,IF(AND($F36&lt;&gt;"",CP36&gt;=$F36),$I36,IF(AND($E36&lt;&gt;"",CP36&gt;=$E36),$H36,$G36))))</f>
        <v/>
      </c>
      <c r="CQ37" s="0" t="str">
        <f aca="false">IF(CQ36="","",IF($D36=0,$J36,IF(AND($F36&lt;&gt;"",CQ36&gt;=$F36),$I36,IF(AND($E36&lt;&gt;"",CQ36&gt;=$E36),$H36,$G36))))</f>
        <v/>
      </c>
      <c r="CR37" s="0" t="str">
        <f aca="false">IF(CR36="","",IF($D36=0,$J36,IF(AND($F36&lt;&gt;"",CR36&gt;=$F36),$I36,IF(AND($E36&lt;&gt;"",CR36&gt;=$E36),$H36,$G36))))</f>
        <v/>
      </c>
      <c r="CS37" s="0" t="str">
        <f aca="false">IF(CS36="","",IF($D36=0,$J36,IF(AND($F36&lt;&gt;"",CS36&gt;=$F36),$I36,IF(AND($E36&lt;&gt;"",CS36&gt;=$E36),$H36,$G36))))</f>
        <v/>
      </c>
      <c r="CT37" s="0" t="str">
        <f aca="false">IF(CT36="","",IF($D36=0,$J36,IF(AND($F36&lt;&gt;"",CT36&gt;=$F36),$I36,IF(AND($E36&lt;&gt;"",CT36&gt;=$E36),$H36,$G36))))</f>
        <v/>
      </c>
      <c r="CU37" s="0" t="str">
        <f aca="false">IF(CU36="","",IF($D36=0,$J36,IF(AND($F36&lt;&gt;"",CU36&gt;=$F36),$I36,IF(AND($E36&lt;&gt;"",CU36&gt;=$E36),$H36,$G36))))</f>
        <v/>
      </c>
      <c r="CV37" s="0" t="str">
        <f aca="false">IF(CV36="","",IF($D36=0,$J36,IF(AND($F36&lt;&gt;"",CV36&gt;=$F36),$I36,IF(AND($E36&lt;&gt;"",CV36&gt;=$E36),$H36,$G36))))</f>
        <v/>
      </c>
      <c r="CW37" s="0" t="str">
        <f aca="false">IF(CW36="","",IF($D36=0,$J36,IF(AND($F36&lt;&gt;"",CW36&gt;=$F36),$I36,IF(AND($E36&lt;&gt;"",CW36&gt;=$E36),$H36,$G36))))</f>
        <v/>
      </c>
      <c r="CX37" s="0" t="str">
        <f aca="false">IF(CX36="","",IF($D36=0,$J36,IF(AND($F36&lt;&gt;"",CX36&gt;=$F36),$I36,IF(AND($E36&lt;&gt;"",CX36&gt;=$E36),$H36,$G36))))</f>
        <v/>
      </c>
      <c r="CY37" s="0" t="str">
        <f aca="false">IF(CY36="","",IF($D36=0,$J36,IF(AND($F36&lt;&gt;"",CY36&gt;=$F36),$I36,IF(AND($E36&lt;&gt;"",CY36&gt;=$E36),$H36,$G36))))</f>
        <v/>
      </c>
      <c r="CZ37" s="0" t="str">
        <f aca="false">IF(CZ36="","",IF($D36=0,$J36,IF(AND($F36&lt;&gt;"",CZ36&gt;=$F36),$I36,IF(AND($E36&lt;&gt;"",CZ36&gt;=$E36),$H36,$G36))))</f>
        <v/>
      </c>
      <c r="DA37" s="0" t="str">
        <f aca="false">IF(DA36="","",IF($D36=0,$J36,IF(AND($F36&lt;&gt;"",DA36&gt;=$F36),$I36,IF(AND($E36&lt;&gt;"",DA36&gt;=$E36),$H36,$G36))))</f>
        <v/>
      </c>
      <c r="DB37" s="0" t="str">
        <f aca="false">IF(DB36="","",IF($D36=0,$J36,IF(AND($F36&lt;&gt;"",DB36&gt;=$F36),$I36,IF(AND($E36&lt;&gt;"",DB36&gt;=$E36),$H36,$G36))))</f>
        <v/>
      </c>
      <c r="DC37" s="0" t="str">
        <f aca="false">IF(DC36="","",IF($D36=0,$J36,IF(AND($F36&lt;&gt;"",DC36&gt;=$F36),$I36,IF(AND($E36&lt;&gt;"",DC36&gt;=$E36),$H36,$G36))))</f>
        <v/>
      </c>
      <c r="DD37" s="0" t="str">
        <f aca="false">IF(DD36="","",IF($D36=0,$J36,IF(AND($F36&lt;&gt;"",DD36&gt;=$F36),$I36,IF(AND($E36&lt;&gt;"",DD36&gt;=$E36),$H36,$G36))))</f>
        <v/>
      </c>
      <c r="DE37" s="0" t="str">
        <f aca="false">IF(DE36="","",IF($D36=0,$J36,IF(AND($F36&lt;&gt;"",DE36&gt;=$F36),$I36,IF(AND($E36&lt;&gt;"",DE36&gt;=$E36),$H36,$G36))))</f>
        <v/>
      </c>
      <c r="DF37" s="0" t="str">
        <f aca="false">IF(DF36="","",IF($D36=0,$J36,IF(AND($F36&lt;&gt;"",DF36&gt;=$F36),$I36,IF(AND($E36&lt;&gt;"",DF36&gt;=$E36),$H36,$G36))))</f>
        <v/>
      </c>
      <c r="DG37" s="0" t="str">
        <f aca="false">IF(DG36="","",IF($D36=0,$J36,IF(AND($F36&lt;&gt;"",DG36&gt;=$F36),$I36,IF(AND($E36&lt;&gt;"",DG36&gt;=$E36),$H36,$G36))))</f>
        <v/>
      </c>
      <c r="DH37" s="0" t="str">
        <f aca="false">IF(DH36="","",IF($D36=0,$J36,IF(AND($F36&lt;&gt;"",DH36&gt;=$F36),$I36,IF(AND($E36&lt;&gt;"",DH36&gt;=$E36),$H36,$G36))))</f>
        <v/>
      </c>
      <c r="DI37" s="0" t="str">
        <f aca="false">IF(DI36="","",IF($D36=0,$J36,IF(AND($F36&lt;&gt;"",DI36&gt;=$F36),$I36,IF(AND($E36&lt;&gt;"",DI36&gt;=$E36),$H36,$G36))))</f>
        <v/>
      </c>
      <c r="DJ37" s="0" t="str">
        <f aca="false">IF(DJ36="","",IF($D36=0,$J36,IF(AND($F36&lt;&gt;"",DJ36&gt;=$F36),$I36,IF(AND($E36&lt;&gt;"",DJ36&gt;=$E36),$H36,$G36))))</f>
        <v/>
      </c>
      <c r="DK37" s="0" t="str">
        <f aca="false">IF(DK36="","",IF($D36=0,$J36,IF(AND($F36&lt;&gt;"",DK36&gt;=$F36),$I36,IF(AND($E36&lt;&gt;"",DK36&gt;=$E36),$H36,$G36))))</f>
        <v/>
      </c>
      <c r="DL37" s="0" t="str">
        <f aca="false">IF(DL36="","",IF($D36=0,$J36,IF(AND($F36&lt;&gt;"",DL36&gt;=$F36),$I36,IF(AND($E36&lt;&gt;"",DL36&gt;=$E36),$H36,$G36))))</f>
        <v/>
      </c>
      <c r="DM37" s="0" t="str">
        <f aca="false">IF(DM36="","",IF($D36=0,$J36,IF(AND($F36&lt;&gt;"",DM36&gt;=$F36),$I36,IF(AND($E36&lt;&gt;"",DM36&gt;=$E36),$H36,$G36))))</f>
        <v/>
      </c>
      <c r="DN37" s="0" t="str">
        <f aca="false">IF(DN36="","",IF($D36=0,$J36,IF(AND($F36&lt;&gt;"",DN36&gt;=$F36),$I36,IF(AND($E36&lt;&gt;"",DN36&gt;=$E36),$H36,$G36))))</f>
        <v/>
      </c>
      <c r="DO37" s="0" t="str">
        <f aca="false">IF(DO36="","",IF($D36=0,$J36,IF(AND($F36&lt;&gt;"",DO36&gt;=$F36),$I36,IF(AND($E36&lt;&gt;"",DO36&gt;=$E36),$H36,$G36))))</f>
        <v/>
      </c>
      <c r="DP37" s="0" t="str">
        <f aca="false">IF(DP36="","",IF($D36=0,$J36,IF(AND($F36&lt;&gt;"",DP36&gt;=$F36),$I36,IF(AND($E36&lt;&gt;"",DP36&gt;=$E36),$H36,$G36))))</f>
        <v/>
      </c>
      <c r="DQ37" s="0" t="str">
        <f aca="false">IF(DQ36="","",IF($D36=0,$J36,IF(AND($F36&lt;&gt;"",DQ36&gt;=$F36),$I36,IF(AND($E36&lt;&gt;"",DQ36&gt;=$E36),$H36,$G36))))</f>
        <v/>
      </c>
      <c r="DR37" s="0" t="str">
        <f aca="false">IF(DR36="","",IF($D36=0,$J36,IF(AND($F36&lt;&gt;"",DR36&gt;=$F36),$I36,IF(AND($E36&lt;&gt;"",DR36&gt;=$E36),$H36,$G36))))</f>
        <v/>
      </c>
      <c r="DS37" s="0" t="str">
        <f aca="false">IF(DS36="","",IF($D36=0,$J36,IF(AND($F36&lt;&gt;"",DS36&gt;=$F36),$I36,IF(AND($E36&lt;&gt;"",DS36&gt;=$E36),$H36,$G36))))</f>
        <v/>
      </c>
      <c r="DT37" s="0" t="str">
        <f aca="false">IF(DT36="","",IF($D36=0,$J36,IF(AND($F36&lt;&gt;"",DT36&gt;=$F36),$I36,IF(AND($E36&lt;&gt;"",DT36&gt;=$E36),$H36,$G36))))</f>
        <v/>
      </c>
      <c r="DU37" s="0" t="str">
        <f aca="false">IF(DU36="","",IF($D36=0,$J36,IF(AND($F36&lt;&gt;"",DU36&gt;=$F36),$I36,IF(AND($E36&lt;&gt;"",DU36&gt;=$E36),$H36,$G36))))</f>
        <v/>
      </c>
      <c r="DV37" s="0" t="str">
        <f aca="false">IF(DV36="","",IF($D36=0,$J36,IF(AND($F36&lt;&gt;"",DV36&gt;=$F36),$I36,IF(AND($E36&lt;&gt;"",DV36&gt;=$E36),$H36,$G36))))</f>
        <v/>
      </c>
      <c r="DW37" s="0" t="str">
        <f aca="false">IF(DW36="","",IF($D36=0,$J36,IF(AND($F36&lt;&gt;"",DW36&gt;=$F36),$I36,IF(AND($E36&lt;&gt;"",DW36&gt;=$E36),$H36,$G36))))</f>
        <v/>
      </c>
      <c r="DX37" s="0" t="str">
        <f aca="false">IF(DX36="","",IF($D36=0,$J36,IF(AND($F36&lt;&gt;"",DX36&gt;=$F36),$I36,IF(AND($E36&lt;&gt;"",DX36&gt;=$E36),$H36,$G36))))</f>
        <v/>
      </c>
      <c r="DY37" s="0" t="str">
        <f aca="false">IF(DY36="","",IF($D36=0,$J36,IF(AND($F36&lt;&gt;"",DY36&gt;=$F36),$I36,IF(AND($E36&lt;&gt;"",DY36&gt;=$E36),$H36,$G36))))</f>
        <v/>
      </c>
      <c r="DZ37" s="0" t="str">
        <f aca="false">IF(DZ36="","",IF($D36=0,$J36,IF(AND($F36&lt;&gt;"",DZ36&gt;=$F36),$I36,IF(AND($E36&lt;&gt;"",DZ36&gt;=$E36),$H36,$G36))))</f>
        <v/>
      </c>
      <c r="EA37" s="0" t="str">
        <f aca="false">IF(EA36="","",IF($D36=0,$J36,IF(AND($F36&lt;&gt;"",EA36&gt;=$F36),$I36,IF(AND($E36&lt;&gt;"",EA36&gt;=$E36),$H36,$G36))))</f>
        <v/>
      </c>
      <c r="EB37" s="0" t="str">
        <f aca="false">IF(EB36="","",IF($D36=0,$J36,IF(AND($F36&lt;&gt;"",EB36&gt;=$F36),$I36,IF(AND($E36&lt;&gt;"",EB36&gt;=$E36),$H36,$G36))))</f>
        <v/>
      </c>
      <c r="EC37" s="0" t="str">
        <f aca="false">IF(EC36="","",IF($D36=0,$J36,IF(AND($F36&lt;&gt;"",EC36&gt;=$F36),$I36,IF(AND($E36&lt;&gt;"",EC36&gt;=$E36),$H36,$G36))))</f>
        <v/>
      </c>
      <c r="ED37" s="0" t="str">
        <f aca="false">IF(ED36="","",IF($D36=0,$J36,IF(AND($F36&lt;&gt;"",ED36&gt;=$F36),$I36,IF(AND($E36&lt;&gt;"",ED36&gt;=$E36),$H36,$G36))))</f>
        <v/>
      </c>
      <c r="EE37" s="0" t="str">
        <f aca="false">IF(EE36="","",IF($D36=0,$J36,IF(AND($F36&lt;&gt;"",EE36&gt;=$F36),$I36,IF(AND($E36&lt;&gt;"",EE36&gt;=$E36),$H36,$G36))))</f>
        <v/>
      </c>
      <c r="EF37" s="0" t="str">
        <f aca="false">IF(EF36="","",IF($D36=0,$J36,IF(AND($F36&lt;&gt;"",EF36&gt;=$F36),$I36,IF(AND($E36&lt;&gt;"",EF36&gt;=$E36),$H36,$G36))))</f>
        <v/>
      </c>
      <c r="EG37" s="0" t="str">
        <f aca="false">IF(EG36="","",IF($D36=0,$J36,IF(AND($F36&lt;&gt;"",EG36&gt;=$F36),$I36,IF(AND($E36&lt;&gt;"",EG36&gt;=$E36),$H36,$G36))))</f>
        <v/>
      </c>
      <c r="EH37" s="0" t="str">
        <f aca="false">IF(EH36="","",IF($D36=0,$J36,IF(AND($F36&lt;&gt;"",EH36&gt;=$F36),$I36,IF(AND($E36&lt;&gt;"",EH36&gt;=$E36),$H36,$G36))))</f>
        <v/>
      </c>
      <c r="EI37" s="0" t="str">
        <f aca="false">IF(EI36="","",IF($D36=0,$J36,IF(AND($F36&lt;&gt;"",EI36&gt;=$F36),$I36,IF(AND($E36&lt;&gt;"",EI36&gt;=$E36),$H36,$G36))))</f>
        <v/>
      </c>
      <c r="EJ37" s="0" t="str">
        <f aca="false">IF(EJ36="","",IF($D36=0,$J36,IF(AND($F36&lt;&gt;"",EJ36&gt;=$F36),$I36,IF(AND($E36&lt;&gt;"",EJ36&gt;=$E36),$H36,$G36))))</f>
        <v/>
      </c>
      <c r="EK37" s="0" t="str">
        <f aca="false">IF(EK36="","",IF($D36=0,$J36,IF(AND($F36&lt;&gt;"",EK36&gt;=$F36),$I36,IF(AND($E36&lt;&gt;"",EK36&gt;=$E36),$H36,$G36))))</f>
        <v/>
      </c>
      <c r="EL37" s="0" t="str">
        <f aca="false">IF(EL36="","",IF($D36=0,$J36,IF(AND($F36&lt;&gt;"",EL36&gt;=$F36),$I36,IF(AND($E36&lt;&gt;"",EL36&gt;=$E36),$H36,$G36))))</f>
        <v/>
      </c>
      <c r="EM37" s="0" t="str">
        <f aca="false">IF(EM36="","",IF($D36=0,$J36,IF(AND($F36&lt;&gt;"",EM36&gt;=$F36),$I36,IF(AND($E36&lt;&gt;"",EM36&gt;=$E36),$H36,$G36))))</f>
        <v/>
      </c>
      <c r="EN37" s="0" t="str">
        <f aca="false">IF(EN36="","",IF($D36=0,$J36,IF(AND($F36&lt;&gt;"",EN36&gt;=$F36),$I36,IF(AND($E36&lt;&gt;"",EN36&gt;=$E36),$H36,$G36))))</f>
        <v/>
      </c>
      <c r="EO37" s="0" t="str">
        <f aca="false">IF(EO36="","",IF($D36=0,$J36,IF(AND($F36&lt;&gt;"",EO36&gt;=$F36),$I36,IF(AND($E36&lt;&gt;"",EO36&gt;=$E36),$H36,$G36))))</f>
        <v/>
      </c>
      <c r="EP37" s="0" t="str">
        <f aca="false">IF(EP36="","",IF($D36=0,$J36,IF(AND($F36&lt;&gt;"",EP36&gt;=$F36),$I36,IF(AND($E36&lt;&gt;"",EP36&gt;=$E36),$H36,$G36))))</f>
        <v/>
      </c>
      <c r="EQ37" s="0" t="str">
        <f aca="false">IF(EQ36="","",IF($D36=0,$J36,IF(AND($F36&lt;&gt;"",EQ36&gt;=$F36),$I36,IF(AND($E36&lt;&gt;"",EQ36&gt;=$E36),$H36,$G36))))</f>
        <v/>
      </c>
      <c r="ER37" s="0" t="str">
        <f aca="false">IF(ER36="","",IF($D36=0,$J36,IF(AND($F36&lt;&gt;"",ER36&gt;=$F36),$I36,IF(AND($E36&lt;&gt;"",ER36&gt;=$E36),$H36,$G36))))</f>
        <v/>
      </c>
      <c r="ES37" s="0" t="str">
        <f aca="false">IF(ES36="","",IF($D36=0,$J36,IF(AND($F36&lt;&gt;"",ES36&gt;=$F36),$I36,IF(AND($E36&lt;&gt;"",ES36&gt;=$E36),$H36,$G36))))</f>
        <v/>
      </c>
      <c r="ET37" s="0" t="str">
        <f aca="false">IF(ET36="","",IF($D36=0,$J36,IF(AND($F36&lt;&gt;"",ET36&gt;=$F36),$I36,IF(AND($E36&lt;&gt;"",ET36&gt;=$E36),$H36,$G36))))</f>
        <v/>
      </c>
      <c r="EU37" s="0" t="str">
        <f aca="false">IF(EU36="","",IF($D36=0,$J36,IF(AND($F36&lt;&gt;"",EU36&gt;=$F36),$I36,IF(AND($E36&lt;&gt;"",EU36&gt;=$E36),$H36,$G36))))</f>
        <v/>
      </c>
      <c r="EV37" s="0" t="str">
        <f aca="false">IF(EV36="","",IF($D36=0,$J36,IF(AND($F36&lt;&gt;"",EV36&gt;=$F36),$I36,IF(AND($E36&lt;&gt;"",EV36&gt;=$E36),$H36,$G36))))</f>
        <v/>
      </c>
      <c r="EW37" s="0" t="str">
        <f aca="false">IF(EW36="","",IF($D36=0,$J36,IF(AND($F36&lt;&gt;"",EW36&gt;=$F36),$I36,IF(AND($E36&lt;&gt;"",EW36&gt;=$E36),$H36,$G36))))</f>
        <v/>
      </c>
      <c r="EX37" s="0" t="str">
        <f aca="false">IF(EX36="","",IF($D36=0,$J36,IF(AND($F36&lt;&gt;"",EX36&gt;=$F36),$I36,IF(AND($E36&lt;&gt;"",EX36&gt;=$E36),$H36,$G36))))</f>
        <v/>
      </c>
      <c r="EY37" s="0" t="str">
        <f aca="false">IF(EY36="","",IF($D36=0,$J36,IF(AND($F36&lt;&gt;"",EY36&gt;=$F36),$I36,IF(AND($E36&lt;&gt;"",EY36&gt;=$E36),$H36,$G36))))</f>
        <v/>
      </c>
      <c r="EZ37" s="0" t="str">
        <f aca="false">IF(EZ36="","",IF($D36=0,$J36,IF(AND($F36&lt;&gt;"",EZ36&gt;=$F36),$I36,IF(AND($E36&lt;&gt;"",EZ36&gt;=$E36),$H36,$G36))))</f>
        <v/>
      </c>
      <c r="FA37" s="0" t="str">
        <f aca="false">IF(FA36="","",IF($D36=0,$J36,IF(AND($F36&lt;&gt;"",FA36&gt;=$F36),$I36,IF(AND($E36&lt;&gt;"",FA36&gt;=$E36),$H36,$G36))))</f>
        <v/>
      </c>
      <c r="FB37" s="0" t="str">
        <f aca="false">IF(FB36="","",IF($D36=0,$J36,IF(AND($F36&lt;&gt;"",FB36&gt;=$F36),$I36,IF(AND($E36&lt;&gt;"",FB36&gt;=$E36),$H36,$G36))))</f>
        <v/>
      </c>
      <c r="FC37" s="0" t="str">
        <f aca="false">IF(FC36="","",IF($D36=0,$J36,IF(AND($F36&lt;&gt;"",FC36&gt;=$F36),$I36,IF(AND($E36&lt;&gt;"",FC36&gt;=$E36),$H36,$G36))))</f>
        <v/>
      </c>
      <c r="FD37" s="0" t="str">
        <f aca="false">IF(FD36="","",IF($D36=0,$J36,IF(AND($F36&lt;&gt;"",FD36&gt;=$F36),$I36,IF(AND($E36&lt;&gt;"",FD36&gt;=$E36),$H36,$G36))))</f>
        <v/>
      </c>
      <c r="FE37" s="0" t="str">
        <f aca="false">IF(FE36="","",IF($D36=0,$J36,IF(AND($F36&lt;&gt;"",FE36&gt;=$F36),$I36,IF(AND($E36&lt;&gt;"",FE36&gt;=$E36),$H36,$G36))))</f>
        <v/>
      </c>
      <c r="FF37" s="0" t="str">
        <f aca="false">IF(FF36="","",IF($D36=0,$J36,IF(AND($F36&lt;&gt;"",FF36&gt;=$F36),$I36,IF(AND($E36&lt;&gt;"",FF36&gt;=$E36),$H36,$G36))))</f>
        <v/>
      </c>
      <c r="FG37" s="0" t="str">
        <f aca="false">IF(FG36="","",IF($D36=0,$J36,IF(AND($F36&lt;&gt;"",FG36&gt;=$F36),$I36,IF(AND($E36&lt;&gt;"",FG36&gt;=$E36),$H36,$G36))))</f>
        <v/>
      </c>
      <c r="FH37" s="0" t="str">
        <f aca="false">IF(FH36="","",IF($D36=0,$J36,IF(AND($F36&lt;&gt;"",FH36&gt;=$F36),$I36,IF(AND($E36&lt;&gt;"",FH36&gt;=$E36),$H36,$G36))))</f>
        <v/>
      </c>
      <c r="FI37" s="0" t="str">
        <f aca="false">IF(FI36="","",IF($D36=0,$J36,IF(AND($F36&lt;&gt;"",FI36&gt;=$F36),$I36,IF(AND($E36&lt;&gt;"",FI36&gt;=$E36),$H36,$G36))))</f>
        <v/>
      </c>
      <c r="FJ37" s="0" t="str">
        <f aca="false">IF(FJ36="","",IF($D36=0,$J36,IF(AND($F36&lt;&gt;"",FJ36&gt;=$F36),$I36,IF(AND($E36&lt;&gt;"",FJ36&gt;=$E36),$H36,$G36))))</f>
        <v/>
      </c>
      <c r="FK37" s="0" t="str">
        <f aca="false">IF(FK36="","",IF($D36=0,$J36,IF(AND($F36&lt;&gt;"",FK36&gt;=$F36),$I36,IF(AND($E36&lt;&gt;"",FK36&gt;=$E36),$H36,$G36))))</f>
        <v/>
      </c>
      <c r="FL37" s="0" t="str">
        <f aca="false">IF(FL36="","",IF($D36=0,$J36,IF(AND($F36&lt;&gt;"",FL36&gt;=$F36),$I36,IF(AND($E36&lt;&gt;"",FL36&gt;=$E36),$H36,$G36))))</f>
        <v/>
      </c>
      <c r="FM37" s="0" t="str">
        <f aca="false">IF(FM36="","",IF($D36=0,$J36,IF(AND($F36&lt;&gt;"",FM36&gt;=$F36),$I36,IF(AND($E36&lt;&gt;"",FM36&gt;=$E36),$H36,$G36))))</f>
        <v/>
      </c>
      <c r="FN37" s="0" t="str">
        <f aca="false">IF(FN36="","",IF($D36=0,$J36,IF(AND($F36&lt;&gt;"",FN36&gt;=$F36),$I36,IF(AND($E36&lt;&gt;"",FN36&gt;=$E36),$H36,$G36))))</f>
        <v/>
      </c>
      <c r="FO37" s="0" t="str">
        <f aca="false">IF(FO36="","",IF($D36=0,$J36,IF(AND($F36&lt;&gt;"",FO36&gt;=$F36),$I36,IF(AND($E36&lt;&gt;"",FO36&gt;=$E36),$H36,$G36))))</f>
        <v/>
      </c>
      <c r="FP37" s="0" t="str">
        <f aca="false">IF(FP36="","",IF($D36=0,$J36,IF(AND($F36&lt;&gt;"",FP36&gt;=$F36),$I36,IF(AND($E36&lt;&gt;"",FP36&gt;=$E36),$H36,$G36))))</f>
        <v/>
      </c>
      <c r="FQ37" s="0" t="str">
        <f aca="false">IF(FQ36="","",IF($D36=0,$J36,IF(AND($F36&lt;&gt;"",FQ36&gt;=$F36),$I36,IF(AND($E36&lt;&gt;"",FQ36&gt;=$E36),$H36,$G36))))</f>
        <v/>
      </c>
      <c r="FR37" s="0" t="str">
        <f aca="false">IF(FR36="","",IF($D36=0,$J36,IF(AND($F36&lt;&gt;"",FR36&gt;=$F36),$I36,IF(AND($E36&lt;&gt;"",FR36&gt;=$E36),$H36,$G36))))</f>
        <v/>
      </c>
      <c r="FS37" s="0" t="str">
        <f aca="false">IF(FS36="","",IF($D36=0,$J36,IF(AND($F36&lt;&gt;"",FS36&gt;=$F36),$I36,IF(AND($E36&lt;&gt;"",FS36&gt;=$E36),$H36,$G36))))</f>
        <v/>
      </c>
      <c r="FT37" s="0" t="str">
        <f aca="false">IF(FT36="","",IF($D36=0,$J36,IF(AND($F36&lt;&gt;"",FT36&gt;=$F36),$I36,IF(AND($E36&lt;&gt;"",FT36&gt;=$E36),$H36,$G36))))</f>
        <v/>
      </c>
      <c r="FU37" s="0" t="str">
        <f aca="false">IF(FU36="","",IF($D36=0,$J36,IF(AND($F36&lt;&gt;"",FU36&gt;=$F36),$I36,IF(AND($E36&lt;&gt;"",FU36&gt;=$E36),$H36,$G36))))</f>
        <v/>
      </c>
      <c r="FV37" s="0" t="str">
        <f aca="false">IF(FV36="","",IF($D36=0,$J36,IF(AND($F36&lt;&gt;"",FV36&gt;=$F36),$I36,IF(AND($E36&lt;&gt;"",FV36&gt;=$E36),$H36,$G36))))</f>
        <v/>
      </c>
      <c r="FW37" s="0" t="str">
        <f aca="false">IF(FW36="","",IF($D36=0,$J36,IF(AND($F36&lt;&gt;"",FW36&gt;=$F36),$I36,IF(AND($E36&lt;&gt;"",FW36&gt;=$E36),$H36,$G36))))</f>
        <v/>
      </c>
      <c r="FX37" s="0" t="str">
        <f aca="false">IF(FX36="","",IF($D36=0,$J36,IF(AND($F36&lt;&gt;"",FX36&gt;=$F36),$I36,IF(AND($E36&lt;&gt;"",FX36&gt;=$E36),$H36,$G36))))</f>
        <v/>
      </c>
      <c r="FY37" s="0" t="str">
        <f aca="false">IF(FY36="","",IF($D36=0,$J36,IF(AND($F36&lt;&gt;"",FY36&gt;=$F36),$I36,IF(AND($E36&lt;&gt;"",FY36&gt;=$E36),$H36,$G36))))</f>
        <v/>
      </c>
      <c r="FZ37" s="0" t="str">
        <f aca="false">IF(FZ36="","",IF($D36=0,$J36,IF(AND($F36&lt;&gt;"",FZ36&gt;=$F36),$I36,IF(AND($E36&lt;&gt;"",FZ36&gt;=$E36),$H36,$G36))))</f>
        <v/>
      </c>
      <c r="GA37" s="0" t="str">
        <f aca="false">IF(GA36="","",IF($D36=0,$J36,IF(AND($F36&lt;&gt;"",GA36&gt;=$F36),$I36,IF(AND($E36&lt;&gt;"",GA36&gt;=$E36),$H36,$G36))))</f>
        <v/>
      </c>
      <c r="GB37" s="0" t="str">
        <f aca="false">IF(GB36="","",IF($D36=0,$J36,IF(AND($F36&lt;&gt;"",GB36&gt;=$F36),$I36,IF(AND($E36&lt;&gt;"",GB36&gt;=$E36),$H36,$G36))))</f>
        <v/>
      </c>
      <c r="GC37" s="0" t="str">
        <f aca="false">IF(GC36="","",IF($D36=0,$J36,IF(AND($F36&lt;&gt;"",GC36&gt;=$F36),$I36,IF(AND($E36&lt;&gt;"",GC36&gt;=$E36),$H36,$G36))))</f>
        <v/>
      </c>
      <c r="GD37" s="0" t="str">
        <f aca="false">IF(GD36="","",IF($D36=0,$J36,IF(AND($F36&lt;&gt;"",GD36&gt;=$F36),$I36,IF(AND($E36&lt;&gt;"",GD36&gt;=$E36),$H36,$G36))))</f>
        <v/>
      </c>
      <c r="GE37" s="0" t="str">
        <f aca="false">IF(GE36="","",IF($D36=0,$J36,IF(AND($F36&lt;&gt;"",GE36&gt;=$F36),$I36,IF(AND($E36&lt;&gt;"",GE36&gt;=$E36),$H36,$G36))))</f>
        <v/>
      </c>
      <c r="GF37" s="0" t="str">
        <f aca="false">IF(GF36="","",IF($D36=0,$J36,IF(AND($F36&lt;&gt;"",GF36&gt;=$F36),$I36,IF(AND($E36&lt;&gt;"",GF36&gt;=$E36),$H36,$G36))))</f>
        <v/>
      </c>
      <c r="GG37" s="0" t="str">
        <f aca="false">IF(GG36="","",IF($D36=0,$J36,IF(AND($F36&lt;&gt;"",GG36&gt;=$F36),$I36,IF(AND($E36&lt;&gt;"",GG36&gt;=$E36),$H36,$G36))))</f>
        <v/>
      </c>
      <c r="GH37" s="0" t="str">
        <f aca="false">IF(GH36="","",IF($D36=0,$J36,IF(AND($F36&lt;&gt;"",GH36&gt;=$F36),$I36,IF(AND($E36&lt;&gt;"",GH36&gt;=$E36),$H36,$G36))))</f>
        <v/>
      </c>
      <c r="GI37" s="0" t="str">
        <f aca="false">IF(GI36="","",IF($D36=0,$J36,IF(AND($F36&lt;&gt;"",GI36&gt;=$F36),$I36,IF(AND($E36&lt;&gt;"",GI36&gt;=$E36),$H36,$G36))))</f>
        <v/>
      </c>
    </row>
    <row r="38" customFormat="false" ht="15" hidden="false" customHeight="false" outlineLevel="0" collapsed="false">
      <c r="K38" s="0" t="s">
        <v>264</v>
      </c>
      <c r="L38" s="0" t="n">
        <f aca="false">IF(L36="",0,IF(AND(L37=Milestones!$AB$20,L36&gt;=SchemeStart),IF(AND(Milestones!$AB$20="FT",Milestones!$AA$20=FT_Y5,L36&lt;PolicyEff),1,Milestones!$AC$20),0))</f>
        <v>0</v>
      </c>
      <c r="M38" s="0" t="n">
        <f aca="false">IF(M36="",0,IF(AND(M37=Milestones!$AB$21,M36&gt;=SchemeStart),IF(AND(Milestones!$AB$21="FT",Milestones!$AA$21=FT_Y5,M36&lt;PolicyEff),1,Milestones!$AC$21),0))</f>
        <v>0</v>
      </c>
      <c r="N38" s="0" t="n">
        <f aca="false">IF(N36="",0,IF(AND(N37=Milestones!$AB$22,N36&gt;=SchemeStart),IF(AND(Milestones!$AB$22="FT",Milestones!$AA$22=FT_Y5,N36&lt;PolicyEff),1,Milestones!$AC$22),0))</f>
        <v>0</v>
      </c>
      <c r="O38" s="0" t="n">
        <f aca="false">IF(O36="",0,IF(AND(O37=Milestones!$AB$23,O36&gt;=SchemeStart),IF(AND(Milestones!$AB$23="FT",Milestones!$AA$23=FT_Y5,O36&lt;PolicyEff),1,Milestones!$AC$23),0))</f>
        <v>0</v>
      </c>
      <c r="P38" s="0" t="n">
        <f aca="false">IF(P36="",0,IF(AND(P37=Milestones!$AB$24,P36&gt;=SchemeStart),IF(AND(Milestones!$AB$24="FT",Milestones!$AA$24=FT_Y5,P36&lt;PolicyEff),1,Milestones!$AC$24),0))</f>
        <v>0</v>
      </c>
      <c r="Q38" s="0" t="n">
        <f aca="false">IF(Q36="",0,IF(AND(Q37=Milestones!$AB$25,Q36&gt;=SchemeStart),IF(AND(Milestones!$AB$25="FT",Milestones!$AA$25=FT_Y5,Q36&lt;PolicyEff),1,Milestones!$AC$25),0))</f>
        <v>0</v>
      </c>
      <c r="R38" s="0" t="n">
        <f aca="false">IF(R36="",0,IF(AND(R37=Milestones!$AB$26,R36&gt;=SchemeStart),IF(AND(Milestones!$AB$26="FT",Milestones!$AA$26=FT_Y5,R36&lt;PolicyEff),1,Milestones!$AC$26),0))</f>
        <v>0</v>
      </c>
      <c r="S38" s="0" t="n">
        <f aca="false">IF(S36="",0,IF(AND(S37=Milestones!$AB$27,S36&gt;=SchemeStart),IF(AND(Milestones!$AB$27="FT",Milestones!$AA$27=FT_Y5,S36&lt;PolicyEff),1,Milestones!$AC$27),0))</f>
        <v>0</v>
      </c>
      <c r="T38" s="0" t="n">
        <f aca="false">IF(T36="",0,IF(AND(T37=Milestones!$AB$28,T36&gt;=SchemeStart),IF(AND(Milestones!$AB$28="FT",Milestones!$AA$28=FT_Y5,T36&lt;PolicyEff),1,Milestones!$AC$28),0))</f>
        <v>0</v>
      </c>
      <c r="U38" s="0" t="n">
        <f aca="false">IF(U36="",0,IF(AND(U37=Milestones!$AB$29,U36&gt;=SchemeStart),IF(AND(Milestones!$AB$29="FT",Milestones!$AA$29=FT_Y5,U36&lt;PolicyEff),1,Milestones!$AC$29),0))</f>
        <v>0</v>
      </c>
      <c r="V38" s="0" t="n">
        <f aca="false">IF(V36="",0,IF(AND(V37=Milestones!$AB$30,V36&gt;=SchemeStart),IF(AND(Milestones!$AB$30="FT",Milestones!$AA$30=FT_Y5,V36&lt;PolicyEff),1,Milestones!$AC$30),0))</f>
        <v>0</v>
      </c>
      <c r="W38" s="0" t="n">
        <f aca="false">IF(W36="",0,IF(AND(W37=Milestones!$AB$31,W36&gt;=SchemeStart),IF(AND(Milestones!$AB$31="FT",Milestones!$AA$31=FT_Y5,W36&lt;PolicyEff),1,Milestones!$AC$31),0))</f>
        <v>0</v>
      </c>
      <c r="X38" s="0" t="n">
        <f aca="false">IF(X36="",0,IF(AND(X37=Milestones!$AB$32,X36&gt;=SchemeStart),IF(AND(Milestones!$AB$32="FT",Milestones!$AA$32=FT_Y5,X36&lt;PolicyEff),1,Milestones!$AC$32),0))</f>
        <v>0</v>
      </c>
      <c r="Y38" s="0" t="n">
        <f aca="false">IF(Y36="",0,IF(AND(Y37=Milestones!$AB$33,Y36&gt;=SchemeStart),IF(AND(Milestones!$AB$33="FT",Milestones!$AA$33=FT_Y5,Y36&lt;PolicyEff),1,Milestones!$AC$33),0))</f>
        <v>0</v>
      </c>
      <c r="Z38" s="0" t="n">
        <f aca="false">IF(Z36="",0,IF(AND(Z37=Milestones!$AB$34,Z36&gt;=SchemeStart),IF(AND(Milestones!$AB$34="FT",Milestones!$AA$34=FT_Y5,Z36&lt;PolicyEff),1,Milestones!$AC$34),0))</f>
        <v>0</v>
      </c>
      <c r="AA38" s="0" t="n">
        <f aca="false">IF(AA36="",0,IF(AND(AA37=Milestones!$AB$35,AA36&gt;=SchemeStart),IF(AND(Milestones!$AB$35="FT",Milestones!$AA$35=FT_Y5,AA36&lt;PolicyEff),1,Milestones!$AC$35),0))</f>
        <v>0</v>
      </c>
      <c r="AB38" s="0" t="n">
        <f aca="false">IF(AB36="",0,IF(AND(AB37=Milestones!$AB$36,AB36&gt;=SchemeStart),IF(AND(Milestones!$AB$36="FT",Milestones!$AA$36=FT_Y5,AB36&lt;PolicyEff),1,Milestones!$AC$36),0))</f>
        <v>0</v>
      </c>
      <c r="AC38" s="0" t="n">
        <f aca="false">IF(AC36="",0,IF(AND(AC37=Milestones!$AB$37,AC36&gt;=SchemeStart),IF(AND(Milestones!$AB$37="FT",Milestones!$AA$37=FT_Y5,AC36&lt;PolicyEff),1,Milestones!$AC$37),0))</f>
        <v>0</v>
      </c>
      <c r="AD38" s="0" t="n">
        <f aca="false">IF(AD36="",0,IF(AND(AD37=Milestones!$AB$38,AD36&gt;=SchemeStart),IF(AND(Milestones!$AB$38="FT",Milestones!$AA$38=FT_Y5,AD36&lt;PolicyEff),1,Milestones!$AC$38),0))</f>
        <v>0</v>
      </c>
      <c r="AE38" s="0" t="n">
        <f aca="false">IF(AE36="",0,IF(AND(AE37=Milestones!$AB$39,AE36&gt;=SchemeStart),IF(AND(Milestones!$AB$39="FT",Milestones!$AA$39=FT_Y5,AE36&lt;PolicyEff),1,Milestones!$AC$39),0))</f>
        <v>0</v>
      </c>
      <c r="AF38" s="0" t="n">
        <f aca="false">IF(AF36="",0,IF(AND(AF37=Milestones!$AB$40,AF36&gt;=SchemeStart),IF(AND(Milestones!$AB$40="FT",Milestones!$AA$40=FT_Y5,AF36&lt;PolicyEff),1,Milestones!$AC$40),0))</f>
        <v>0</v>
      </c>
      <c r="AG38" s="0" t="n">
        <f aca="false">IF(AG36="",0,IF(AND(AG37=Milestones!$AB$41,AG36&gt;=SchemeStart),IF(AND(Milestones!$AB$41="FT",Milestones!$AA$41=FT_Y5,AG36&lt;PolicyEff),1,Milestones!$AC$41),0))</f>
        <v>0</v>
      </c>
      <c r="AH38" s="0" t="n">
        <f aca="false">IF(AH36="",0,IF(AND(AH37=Milestones!$AB$42,AH36&gt;=SchemeStart),IF(AND(Milestones!$AB$42="FT",Milestones!$AA$42=FT_Y5,AH36&lt;PolicyEff),1,Milestones!$AC$42),0))</f>
        <v>0</v>
      </c>
      <c r="AI38" s="0" t="n">
        <f aca="false">IF(AI36="",0,IF(AND(AI37=Milestones!$AB$43,AI36&gt;=SchemeStart),IF(AND(Milestones!$AB$43="FT",Milestones!$AA$43=FT_Y5,AI36&lt;PolicyEff),1,Milestones!$AC$43),0))</f>
        <v>0</v>
      </c>
      <c r="AJ38" s="0" t="n">
        <f aca="false">IF(AJ36="",0,IF(AND(AJ37=Milestones!$AB$44,AJ36&gt;=SchemeStart),IF(AND(Milestones!$AB$44="FT",Milestones!$AA$44=FT_Y5,AJ36&lt;PolicyEff),1,Milestones!$AC$44),0))</f>
        <v>0</v>
      </c>
      <c r="AK38" s="0" t="n">
        <f aca="false">IF(AK36="",0,IF(AND(AK37=Milestones!$AB$45,AK36&gt;=SchemeStart),IF(AND(Milestones!$AB$45="FT",Milestones!$AA$45=FT_Y5,AK36&lt;PolicyEff),1,Milestones!$AC$45),0))</f>
        <v>0</v>
      </c>
      <c r="AL38" s="0" t="n">
        <f aca="false">IF(AL36="",0,IF(AND(AL37=Milestones!$AB$46,AL36&gt;=SchemeStart),IF(AND(Milestones!$AB$46="FT",Milestones!$AA$46=FT_Y5,AL36&lt;PolicyEff),1,Milestones!$AC$46),0))</f>
        <v>0</v>
      </c>
      <c r="AM38" s="0" t="n">
        <f aca="false">IF(AM36="",0,IF(AND(AM37=Milestones!$AB$47,AM36&gt;=SchemeStart),IF(AND(Milestones!$AB$47="FT",Milestones!$AA$47=FT_Y5,AM36&lt;PolicyEff),1,Milestones!$AC$47),0))</f>
        <v>0</v>
      </c>
      <c r="AN38" s="0" t="n">
        <f aca="false">IF(AN36="",0,IF(AND(AN37=Milestones!$AB$48,AN36&gt;=SchemeStart),IF(AND(Milestones!$AB$48="FT",Milestones!$AA$48=FT_Y5,AN36&lt;PolicyEff),1,Milestones!$AC$48),0))</f>
        <v>0</v>
      </c>
      <c r="AO38" s="0" t="n">
        <f aca="false">IF(AO36="",0,IF(AND(AO37=Milestones!$AB$49,AO36&gt;=SchemeStart),IF(AND(Milestones!$AB$49="FT",Milestones!$AA$49=FT_Y5,AO36&lt;PolicyEff),1,Milestones!$AC$49),0))</f>
        <v>0</v>
      </c>
      <c r="AP38" s="0" t="n">
        <f aca="false">IF(AP36="",0,IF(AND(AP37=Milestones!$AB$50,AP36&gt;=SchemeStart),IF(AND(Milestones!$AB$50="FT",Milestones!$AA$50=FT_Y5,AP36&lt;PolicyEff),1,Milestones!$AC$50),0))</f>
        <v>0</v>
      </c>
      <c r="AQ38" s="0" t="n">
        <f aca="false">IF(AQ36="",0,IF(AND(AQ37=Milestones!$AB$51,AQ36&gt;=SchemeStart),IF(AND(Milestones!$AB$51="FT",Milestones!$AA$51=FT_Y5,AQ36&lt;PolicyEff),1,Milestones!$AC$51),0))</f>
        <v>0</v>
      </c>
      <c r="AR38" s="0" t="n">
        <f aca="false">IF(AR36="",0,IF(AND(AR37=Milestones!$AB$52,AR36&gt;=SchemeStart),IF(AND(Milestones!$AB$52="FT",Milestones!$AA$52=FT_Y5,AR36&lt;PolicyEff),1,Milestones!$AC$52),0))</f>
        <v>0</v>
      </c>
      <c r="AS38" s="0" t="n">
        <f aca="false">IF(AS36="",0,IF(AND(AS37=Milestones!$AB$53,AS36&gt;=SchemeStart),IF(AND(Milestones!$AB$53="FT",Milestones!$AA$53=FT_Y5,AS36&lt;PolicyEff),1,Milestones!$AC$53),0))</f>
        <v>0</v>
      </c>
      <c r="AT38" s="0" t="n">
        <f aca="false">IF(AT36="",0,IF(AND(AT37=Milestones!$AB$54,AT36&gt;=SchemeStart),IF(AND(Milestones!$AB$54="FT",Milestones!$AA$54=FT_Y5,AT36&lt;PolicyEff),1,Milestones!$AC$54),0))</f>
        <v>0</v>
      </c>
      <c r="AU38" s="0" t="n">
        <f aca="false">IF(AU36="",0,IF(AND(AU37=Milestones!$AB$55,AU36&gt;=SchemeStart),IF(AND(Milestones!$AB$55="FT",Milestones!$AA$55=FT_Y5,AU36&lt;PolicyEff),1,Milestones!$AC$55),0))</f>
        <v>0</v>
      </c>
      <c r="AV38" s="0" t="n">
        <f aca="false">IF(AV36="",0,IF(AND(AV37=Milestones!$AB$56,AV36&gt;=SchemeStart),IF(AND(Milestones!$AB$56="FT",Milestones!$AA$56=FT_Y5,AV36&lt;PolicyEff),1,Milestones!$AC$56),0))</f>
        <v>0</v>
      </c>
      <c r="AW38" s="0" t="n">
        <f aca="false">IF(AW36="",0,IF(AND(AW37=Milestones!$AB$57,AW36&gt;=SchemeStart),IF(AND(Milestones!$AB$57="FT",Milestones!$AA$57=FT_Y5,AW36&lt;PolicyEff),1,Milestones!$AC$57),0))</f>
        <v>0</v>
      </c>
      <c r="AX38" s="0" t="n">
        <f aca="false">IF(AX36="",0,IF(AND(AX37=Milestones!$AB$58,AX36&gt;=SchemeStart),IF(AND(Milestones!$AB$58="FT",Milestones!$AA$58=FT_Y5,AX36&lt;PolicyEff),1,Milestones!$AC$58),0))</f>
        <v>0</v>
      </c>
      <c r="AY38" s="0" t="n">
        <f aca="false">IF(AY36="",0,IF(AND(AY37=Milestones!$AB$59,AY36&gt;=SchemeStart),IF(AND(Milestones!$AB$59="FT",Milestones!$AA$59=FT_Y5,AY36&lt;PolicyEff),1,Milestones!$AC$59),0))</f>
        <v>0</v>
      </c>
      <c r="AZ38" s="0" t="n">
        <f aca="false">IF(AZ36="",0,IF(AND(AZ37=Milestones!$AB$60,AZ36&gt;=SchemeStart),IF(AND(Milestones!$AB$60="FT",Milestones!$AA$60=FT_Y5,AZ36&lt;PolicyEff),1,Milestones!$AC$60),0))</f>
        <v>0</v>
      </c>
      <c r="BA38" s="0" t="n">
        <f aca="false">IF(BA36="",0,IF(AND(BA37=Milestones!$AB$61,BA36&gt;=SchemeStart),IF(AND(Milestones!$AB$61="FT",Milestones!$AA$61=FT_Y5,BA36&lt;PolicyEff),1,Milestones!$AC$61),0))</f>
        <v>0</v>
      </c>
      <c r="BB38" s="0" t="n">
        <f aca="false">IF(BB36="",0,IF(AND(BB37=Milestones!$AB$62,BB36&gt;=SchemeStart),IF(AND(Milestones!$AB$62="FT",Milestones!$AA$62=FT_Y5,BB36&lt;PolicyEff),1,Milestones!$AC$62),0))</f>
        <v>0</v>
      </c>
      <c r="BC38" s="0" t="n">
        <f aca="false">IF(BC36="",0,IF(AND(BC37=Milestones!$AB$63,BC36&gt;=SchemeStart),IF(AND(Milestones!$AB$63="FT",Milestones!$AA$63=FT_Y5,BC36&lt;PolicyEff),1,Milestones!$AC$63),0))</f>
        <v>0</v>
      </c>
      <c r="BD38" s="0" t="n">
        <f aca="false">IF(BD36="",0,IF(AND(BD37=Milestones!$AB$64,BD36&gt;=SchemeStart),IF(AND(Milestones!$AB$64="FT",Milestones!$AA$64=FT_Y5,BD36&lt;PolicyEff),1,Milestones!$AC$64),0))</f>
        <v>0</v>
      </c>
      <c r="BE38" s="0" t="n">
        <f aca="false">IF(BE36="",0,IF(AND(BE37=Milestones!$AB$65,BE36&gt;=SchemeStart),IF(AND(Milestones!$AB$65="FT",Milestones!$AA$65=FT_Y5,BE36&lt;PolicyEff),1,Milestones!$AC$65),0))</f>
        <v>0</v>
      </c>
      <c r="BF38" s="0" t="n">
        <f aca="false">IF(BF36="",0,IF(AND(BF37=Milestones!$AB$66,BF36&gt;=SchemeStart),IF(AND(Milestones!$AB$66="FT",Milestones!$AA$66=FT_Y5,BF36&lt;PolicyEff),1,Milestones!$AC$66),0))</f>
        <v>0</v>
      </c>
      <c r="BG38" s="0" t="n">
        <f aca="false">IF(BG36="",0,IF(AND(BG37=Milestones!$AB$67,BG36&gt;=SchemeStart),IF(AND(Milestones!$AB$67="FT",Milestones!$AA$67=FT_Y5,BG36&lt;PolicyEff),1,Milestones!$AC$67),0))</f>
        <v>0</v>
      </c>
      <c r="BH38" s="0" t="n">
        <f aca="false">IF(BH36="",0,IF(AND(BH37=Milestones!$AB$68,BH36&gt;=SchemeStart),IF(AND(Milestones!$AB$68="FT",Milestones!$AA$68=FT_Y5,BH36&lt;PolicyEff),1,Milestones!$AC$68),0))</f>
        <v>0</v>
      </c>
      <c r="BI38" s="0" t="n">
        <f aca="false">IF(BI36="",0,IF(AND(BI37=Milestones!$AB$69,BI36&gt;=SchemeStart),IF(AND(Milestones!$AB$69="FT",Milestones!$AA$69=FT_Y5,BI36&lt;PolicyEff),1,Milestones!$AC$69),0))</f>
        <v>0</v>
      </c>
      <c r="BJ38" s="0" t="n">
        <f aca="false">IF(BJ36="",0,IF(AND(BJ37=Milestones!$AB$70,BJ36&gt;=SchemeStart),IF(AND(Milestones!$AB$70="FT",Milestones!$AA$70=FT_Y5,BJ36&lt;PolicyEff),1,Milestones!$AC$70),0))</f>
        <v>0</v>
      </c>
      <c r="BK38" s="0" t="n">
        <f aca="false">IF(BK36="",0,IF(AND(BK37=Milestones!$AB$71,BK36&gt;=SchemeStart),IF(AND(Milestones!$AB$71="FT",Milestones!$AA$71=FT_Y5,BK36&lt;PolicyEff),1,Milestones!$AC$71),0))</f>
        <v>0</v>
      </c>
      <c r="BL38" s="0" t="n">
        <f aca="false">IF(BL36="",0,IF(AND(BL37=Milestones!$AB$72,BL36&gt;=SchemeStart),IF(AND(Milestones!$AB$72="FT",Milestones!$AA$72=FT_Y5,BL36&lt;PolicyEff),1,Milestones!$AC$72),0))</f>
        <v>0</v>
      </c>
      <c r="BM38" s="0" t="n">
        <f aca="false">IF(BM36="",0,IF(AND(BM37=Milestones!$AB$73,BM36&gt;=SchemeStart),IF(AND(Milestones!$AB$73="FT",Milestones!$AA$73=FT_Y5,BM36&lt;PolicyEff),1,Milestones!$AC$73),0))</f>
        <v>0</v>
      </c>
      <c r="BN38" s="0" t="n">
        <f aca="false">IF(BN36="",0,IF(AND(BN37=Milestones!$AB$74,BN36&gt;=SchemeStart),IF(AND(Milestones!$AB$74="FT",Milestones!$AA$74=FT_Y5,BN36&lt;PolicyEff),1,Milestones!$AC$74),0))</f>
        <v>0</v>
      </c>
      <c r="BO38" s="0" t="n">
        <f aca="false">IF(BO36="",0,IF(AND(BO37=Milestones!$AB$75,BO36&gt;=SchemeStart),IF(AND(Milestones!$AB$75="FT",Milestones!$AA$75=FT_Y5,BO36&lt;PolicyEff),1,Milestones!$AC$75),0))</f>
        <v>0</v>
      </c>
      <c r="BP38" s="0" t="n">
        <f aca="false">IF(BP36="",0,IF(AND(BP37=Milestones!$AB$76,BP36&gt;=SchemeStart),IF(AND(Milestones!$AB$76="FT",Milestones!$AA$76=FT_Y5,BP36&lt;PolicyEff),1,Milestones!$AC$76),0))</f>
        <v>0</v>
      </c>
      <c r="BQ38" s="0" t="n">
        <f aca="false">IF(BQ36="",0,IF(AND(BQ37=Milestones!$AB$77,BQ36&gt;=SchemeStart),IF(AND(Milestones!$AB$77="FT",Milestones!$AA$77=FT_Y5,BQ36&lt;PolicyEff),1,Milestones!$AC$77),0))</f>
        <v>0</v>
      </c>
      <c r="BR38" s="0" t="n">
        <f aca="false">IF(BR36="",0,IF(AND(BR37=Milestones!$AB$78,BR36&gt;=SchemeStart),IF(AND(Milestones!$AB$78="FT",Milestones!$AA$78=FT_Y5,BR36&lt;PolicyEff),1,Milestones!$AC$78),0))</f>
        <v>0</v>
      </c>
      <c r="BS38" s="0" t="n">
        <f aca="false">IF(BS36="",0,IF(AND(BS37=Milestones!$AB$79,BS36&gt;=SchemeStart),IF(AND(Milestones!$AB$79="FT",Milestones!$AA$79=FT_Y5,BS36&lt;PolicyEff),1,Milestones!$AC$79),0))</f>
        <v>0</v>
      </c>
      <c r="BT38" s="0" t="n">
        <f aca="false">IF(BT36="",0,IF(AND(BT37=Milestones!$AB$80,BT36&gt;=SchemeStart),IF(AND(Milestones!$AB$80="FT",Milestones!$AA$80=FT_Y5,BT36&lt;PolicyEff),1,Milestones!$AC$80),0))</f>
        <v>0</v>
      </c>
      <c r="BU38" s="0" t="n">
        <f aca="false">IF(BU36="",0,IF(AND(BU37=Milestones!$AB$81,BU36&gt;=SchemeStart),IF(AND(Milestones!$AB$81="FT",Milestones!$AA$81=FT_Y5,BU36&lt;PolicyEff),1,Milestones!$AC$81),0))</f>
        <v>0</v>
      </c>
      <c r="BV38" s="0" t="n">
        <f aca="false">IF(BV36="",0,IF(AND(BV37=Milestones!$AB$82,BV36&gt;=SchemeStart),IF(AND(Milestones!$AB$82="FT",Milestones!$AA$82=FT_Y5,BV36&lt;PolicyEff),1,Milestones!$AC$82),0))</f>
        <v>0</v>
      </c>
      <c r="BW38" s="0" t="n">
        <f aca="false">IF(BW36="",0,IF(AND(BW37=Milestones!$AB$83,BW36&gt;=SchemeStart),IF(AND(Milestones!$AB$83="FT",Milestones!$AA$83=FT_Y5,BW36&lt;PolicyEff),1,Milestones!$AC$83),0))</f>
        <v>0</v>
      </c>
      <c r="BX38" s="0" t="n">
        <f aca="false">IF(BX36="",0,IF(AND(BX37=Milestones!$AB$84,BX36&gt;=SchemeStart),IF(AND(Milestones!$AB$84="FT",Milestones!$AA$84=FT_Y5,BX36&lt;PolicyEff),1,Milestones!$AC$84),0))</f>
        <v>0</v>
      </c>
      <c r="BY38" s="0" t="n">
        <f aca="false">IF(BY36="",0,IF(AND(BY37=Milestones!$AB$85,BY36&gt;=SchemeStart),IF(AND(Milestones!$AB$85="FT",Milestones!$AA$85=FT_Y5,BY36&lt;PolicyEff),1,Milestones!$AC$85),0))</f>
        <v>0</v>
      </c>
      <c r="BZ38" s="0" t="n">
        <f aca="false">IF(BZ36="",0,IF(AND(BZ37=Milestones!$AB$86,BZ36&gt;=SchemeStart),IF(AND(Milestones!$AB$86="FT",Milestones!$AA$86=FT_Y5,BZ36&lt;PolicyEff),1,Milestones!$AC$86),0))</f>
        <v>0</v>
      </c>
      <c r="CA38" s="0" t="n">
        <f aca="false">IF(CA36="",0,IF(AND(CA37=Milestones!$AB$87,CA36&gt;=SchemeStart),IF(AND(Milestones!$AB$87="FT",Milestones!$AA$87=FT_Y5,CA36&lt;PolicyEff),1,Milestones!$AC$87),0))</f>
        <v>0</v>
      </c>
      <c r="CB38" s="0" t="n">
        <f aca="false">IF(CB36="",0,IF(AND(CB37=Milestones!$AB$88,CB36&gt;=SchemeStart),IF(AND(Milestones!$AB$88="FT",Milestones!$AA$88=FT_Y5,CB36&lt;PolicyEff),1,Milestones!$AC$88),0))</f>
        <v>0</v>
      </c>
      <c r="CC38" s="0" t="n">
        <f aca="false">IF(CC36="",0,IF(AND(CC37=Milestones!$AB$89,CC36&gt;=SchemeStart),IF(AND(Milestones!$AB$89="FT",Milestones!$AA$89=FT_Y5,CC36&lt;PolicyEff),1,Milestones!$AC$89),0))</f>
        <v>0</v>
      </c>
      <c r="CD38" s="0" t="n">
        <f aca="false">IF(CD36="",0,IF(AND(CD37=Milestones!$AB$90,CD36&gt;=SchemeStart),IF(AND(Milestones!$AB$90="FT",Milestones!$AA$90=FT_Y5,CD36&lt;PolicyEff),1,Milestones!$AC$90),0))</f>
        <v>0</v>
      </c>
      <c r="CE38" s="0" t="n">
        <f aca="false">IF(CE36="",0,IF(AND(CE37=Milestones!$AB$91,CE36&gt;=SchemeStart),IF(AND(Milestones!$AB$91="FT",Milestones!$AA$91=FT_Y5,CE36&lt;PolicyEff),1,Milestones!$AC$91),0))</f>
        <v>0</v>
      </c>
      <c r="CF38" s="0" t="n">
        <f aca="false">IF(CF36="",0,IF(AND(CF37=Milestones!$AB$92,CF36&gt;=SchemeStart),IF(AND(Milestones!$AB$92="FT",Milestones!$AA$92=FT_Y5,CF36&lt;PolicyEff),1,Milestones!$AC$92),0))</f>
        <v>0</v>
      </c>
      <c r="CG38" s="0" t="n">
        <f aca="false">IF(CG36="",0,IF(AND(CG37=Milestones!$AB$93,CG36&gt;=SchemeStart),IF(AND(Milestones!$AB$93="FT",Milestones!$AA$93=FT_Y5,CG36&lt;PolicyEff),1,Milestones!$AC$93),0))</f>
        <v>0</v>
      </c>
      <c r="CH38" s="0" t="n">
        <f aca="false">IF(CH36="",0,IF(AND(CH37=Milestones!$AB$94,CH36&gt;=SchemeStart),IF(AND(Milestones!$AB$94="FT",Milestones!$AA$94=FT_Y5,CH36&lt;PolicyEff),1,Milestones!$AC$94),0))</f>
        <v>0</v>
      </c>
      <c r="CI38" s="0" t="n">
        <f aca="false">IF(CI36="",0,IF(AND(CI37=Milestones!$AB$95,CI36&gt;=SchemeStart),IF(AND(Milestones!$AB$95="FT",Milestones!$AA$95=FT_Y5,CI36&lt;PolicyEff),1,Milestones!$AC$95),0))</f>
        <v>0</v>
      </c>
      <c r="CJ38" s="0" t="n">
        <f aca="false">IF(CJ36="",0,IF(AND(CJ37=Milestones!$AB$96,CJ36&gt;=SchemeStart),IF(AND(Milestones!$AB$96="FT",Milestones!$AA$96=FT_Y5,CJ36&lt;PolicyEff),1,Milestones!$AC$96),0))</f>
        <v>0</v>
      </c>
      <c r="CK38" s="0" t="n">
        <f aca="false">IF(CK36="",0,IF(AND(CK37=Milestones!$AB$97,CK36&gt;=SchemeStart),IF(AND(Milestones!$AB$97="FT",Milestones!$AA$97=FT_Y5,CK36&lt;PolicyEff),1,Milestones!$AC$97),0))</f>
        <v>0</v>
      </c>
      <c r="CL38" s="0" t="n">
        <f aca="false">IF(CL36="",0,IF(AND(CL37=Milestones!$AB$98,CL36&gt;=SchemeStart),IF(AND(Milestones!$AB$98="FT",Milestones!$AA$98=FT_Y5,CL36&lt;PolicyEff),1,Milestones!$AC$98),0))</f>
        <v>0</v>
      </c>
      <c r="CM38" s="0" t="n">
        <f aca="false">IF(CM36="",0,IF(AND(CM37=Milestones!$AB$99,CM36&gt;=SchemeStart),IF(AND(Milestones!$AB$99="FT",Milestones!$AA$99=FT_Y5,CM36&lt;PolicyEff),1,Milestones!$AC$99),0))</f>
        <v>0</v>
      </c>
      <c r="CN38" s="0" t="n">
        <f aca="false">IF(CN36="",0,IF(AND(CN37=Milestones!$AB$100,CN36&gt;=SchemeStart),IF(AND(Milestones!$AB$100="FT",Milestones!$AA$100=FT_Y5,CN36&lt;PolicyEff),1,Milestones!$AC$100),0))</f>
        <v>0</v>
      </c>
      <c r="CO38" s="0" t="n">
        <f aca="false">IF(CO36="",0,IF(AND(CO37=Milestones!$AB$101,CO36&gt;=SchemeStart),IF(AND(Milestones!$AB$101="FT",Milestones!$AA$101=FT_Y5,CO36&lt;PolicyEff),1,Milestones!$AC$101),0))</f>
        <v>0</v>
      </c>
      <c r="CP38" s="0" t="n">
        <f aca="false">IF(CP36="",0,IF(AND(CP37=Milestones!$AB$102,CP36&gt;=SchemeStart),IF(AND(Milestones!$AB$102="FT",Milestones!$AA$102=FT_Y5,CP36&lt;PolicyEff),1,Milestones!$AC$102),0))</f>
        <v>0</v>
      </c>
      <c r="CQ38" s="0" t="n">
        <f aca="false">IF(CQ36="",0,IF(AND(CQ37=Milestones!$AB$103,CQ36&gt;=SchemeStart),IF(AND(Milestones!$AB$103="FT",Milestones!$AA$103=FT_Y5,CQ36&lt;PolicyEff),1,Milestones!$AC$103),0))</f>
        <v>0</v>
      </c>
      <c r="CR38" s="0" t="n">
        <f aca="false">IF(CR36="",0,IF(AND(CR37=Milestones!$AB$104,CR36&gt;=SchemeStart),IF(AND(Milestones!$AB$104="FT",Milestones!$AA$104=FT_Y5,CR36&lt;PolicyEff),1,Milestones!$AC$104),0))</f>
        <v>0</v>
      </c>
      <c r="CS38" s="0" t="n">
        <f aca="false">IF(CS36="",0,IF(AND(CS37=Milestones!$AB$105,CS36&gt;=SchemeStart),IF(AND(Milestones!$AB$105="FT",Milestones!$AA$105=FT_Y5,CS36&lt;PolicyEff),1,Milestones!$AC$105),0))</f>
        <v>0</v>
      </c>
      <c r="CT38" s="0" t="n">
        <f aca="false">IF(CT36="",0,IF(AND(CT37=Milestones!$AB$106,CT36&gt;=SchemeStart),IF(AND(Milestones!$AB$106="FT",Milestones!$AA$106=FT_Y5,CT36&lt;PolicyEff),1,Milestones!$AC$106),0))</f>
        <v>0</v>
      </c>
      <c r="CU38" s="0" t="n">
        <f aca="false">IF(CU36="",0,IF(AND(CU37=Milestones!$AB$107,CU36&gt;=SchemeStart),IF(AND(Milestones!$AB$107="FT",Milestones!$AA$107=FT_Y5,CU36&lt;PolicyEff),1,Milestones!$AC$107),0))</f>
        <v>0</v>
      </c>
      <c r="CV38" s="0" t="n">
        <f aca="false">IF(CV36="",0,IF(AND(CV37=Milestones!$AB$108,CV36&gt;=SchemeStart),IF(AND(Milestones!$AB$108="FT",Milestones!$AA$108=FT_Y5,CV36&lt;PolicyEff),1,Milestones!$AC$108),0))</f>
        <v>0</v>
      </c>
      <c r="CW38" s="0" t="n">
        <f aca="false">IF(CW36="",0,IF(AND(CW37=Milestones!$AB$109,CW36&gt;=SchemeStart),IF(AND(Milestones!$AB$109="FT",Milestones!$AA$109=FT_Y5,CW36&lt;PolicyEff),1,Milestones!$AC$109),0))</f>
        <v>0</v>
      </c>
      <c r="CX38" s="0" t="n">
        <f aca="false">IF(CX36="",0,IF(AND(CX37=Milestones!$AB$110,CX36&gt;=SchemeStart),IF(AND(Milestones!$AB$110="FT",Milestones!$AA$110=FT_Y5,CX36&lt;PolicyEff),1,Milestones!$AC$110),0))</f>
        <v>0</v>
      </c>
      <c r="CY38" s="0" t="n">
        <f aca="false">IF(CY36="",0,IF(AND(CY37=Milestones!$AB$111,CY36&gt;=SchemeStart),IF(AND(Milestones!$AB$111="FT",Milestones!$AA$111=FT_Y5,CY36&lt;PolicyEff),1,Milestones!$AC$111),0))</f>
        <v>0</v>
      </c>
      <c r="CZ38" s="0" t="n">
        <f aca="false">IF(CZ36="",0,IF(AND(CZ37=Milestones!$AB$112,CZ36&gt;=SchemeStart),IF(AND(Milestones!$AB$112="FT",Milestones!$AA$112=FT_Y5,CZ36&lt;PolicyEff),1,Milestones!$AC$112),0))</f>
        <v>0</v>
      </c>
      <c r="DA38" s="0" t="n">
        <f aca="false">IF(DA36="",0,IF(AND(DA37=Milestones!$AB$113,DA36&gt;=SchemeStart),IF(AND(Milestones!$AB$113="FT",Milestones!$AA$113=FT_Y5,DA36&lt;PolicyEff),1,Milestones!$AC$113),0))</f>
        <v>0</v>
      </c>
      <c r="DB38" s="0" t="n">
        <f aca="false">IF(DB36="",0,IF(AND(DB37=Milestones!$AB$114,DB36&gt;=SchemeStart),IF(AND(Milestones!$AB$114="FT",Milestones!$AA$114=FT_Y5,DB36&lt;PolicyEff),1,Milestones!$AC$114),0))</f>
        <v>0</v>
      </c>
      <c r="DC38" s="0" t="n">
        <f aca="false">IF(DC36="",0,IF(AND(DC37=Milestones!$AB$115,DC36&gt;=SchemeStart),IF(AND(Milestones!$AB$115="FT",Milestones!$AA$115=FT_Y5,DC36&lt;PolicyEff),1,Milestones!$AC$115),0))</f>
        <v>0</v>
      </c>
      <c r="DD38" s="0" t="n">
        <f aca="false">IF(DD36="",0,IF(AND(DD37=Milestones!$AB$116,DD36&gt;=SchemeStart),IF(AND(Milestones!$AB$116="FT",Milestones!$AA$116=FT_Y5,DD36&lt;PolicyEff),1,Milestones!$AC$116),0))</f>
        <v>0</v>
      </c>
      <c r="DE38" s="0" t="n">
        <f aca="false">IF(DE36="",0,IF(AND(DE37=Milestones!$AB$117,DE36&gt;=SchemeStart),IF(AND(Milestones!$AB$117="FT",Milestones!$AA$117=FT_Y5,DE36&lt;PolicyEff),1,Milestones!$AC$117),0))</f>
        <v>0</v>
      </c>
      <c r="DF38" s="0" t="n">
        <f aca="false">IF(DF36="",0,IF(AND(DF37=Milestones!$AB$118,DF36&gt;=SchemeStart),IF(AND(Milestones!$AB$118="FT",Milestones!$AA$118=FT_Y5,DF36&lt;PolicyEff),1,Milestones!$AC$118),0))</f>
        <v>0</v>
      </c>
      <c r="DG38" s="0" t="n">
        <f aca="false">IF(DG36="",0,IF(AND(DG37=Milestones!$AB$119,DG36&gt;=SchemeStart),IF(AND(Milestones!$AB$119="FT",Milestones!$AA$119=FT_Y5,DG36&lt;PolicyEff),1,Milestones!$AC$119),0))</f>
        <v>0</v>
      </c>
      <c r="DH38" s="0" t="n">
        <f aca="false">IF(DH36="",0,IF(AND(DH37=Milestones!$AB$120,DH36&gt;=SchemeStart),IF(AND(Milestones!$AB$120="FT",Milestones!$AA$120=FT_Y5,DH36&lt;PolicyEff),1,Milestones!$AC$120),0))</f>
        <v>0</v>
      </c>
      <c r="DI38" s="0" t="n">
        <f aca="false">IF(DI36="",0,IF(AND(DI37=Milestones!$AB$121,DI36&gt;=SchemeStart),IF(AND(Milestones!$AB$121="FT",Milestones!$AA$121=FT_Y5,DI36&lt;PolicyEff),1,Milestones!$AC$121),0))</f>
        <v>0</v>
      </c>
      <c r="DJ38" s="0" t="n">
        <f aca="false">IF(DJ36="",0,IF(AND(DJ37=Milestones!$AB$122,DJ36&gt;=SchemeStart),IF(AND(Milestones!$AB$122="FT",Milestones!$AA$122=FT_Y5,DJ36&lt;PolicyEff),1,Milestones!$AC$122),0))</f>
        <v>0</v>
      </c>
      <c r="DK38" s="0" t="n">
        <f aca="false">IF(DK36="",0,IF(AND(DK37=Milestones!$AB$123,DK36&gt;=SchemeStart),IF(AND(Milestones!$AB$123="FT",Milestones!$AA$123=FT_Y5,DK36&lt;PolicyEff),1,Milestones!$AC$123),0))</f>
        <v>0</v>
      </c>
      <c r="DL38" s="0" t="n">
        <f aca="false">IF(DL36="",0,IF(AND(DL37=Milestones!$AB$124,DL36&gt;=SchemeStart),IF(AND(Milestones!$AB$124="FT",Milestones!$AA$124=FT_Y5,DL36&lt;PolicyEff),1,Milestones!$AC$124),0))</f>
        <v>0</v>
      </c>
      <c r="DM38" s="0" t="n">
        <f aca="false">IF(DM36="",0,IF(AND(DM37=Milestones!$AB$125,DM36&gt;=SchemeStart),IF(AND(Milestones!$AB$125="FT",Milestones!$AA$125=FT_Y5,DM36&lt;PolicyEff),1,Milestones!$AC$125),0))</f>
        <v>0</v>
      </c>
      <c r="DN38" s="0" t="n">
        <f aca="false">IF(DN36="",0,IF(AND(DN37=Milestones!$AB$126,DN36&gt;=SchemeStart),IF(AND(Milestones!$AB$126="FT",Milestones!$AA$126=FT_Y5,DN36&lt;PolicyEff),1,Milestones!$AC$126),0))</f>
        <v>0</v>
      </c>
      <c r="DO38" s="0" t="n">
        <f aca="false">IF(DO36="",0,IF(AND(DO37=Milestones!$AB$127,DO36&gt;=SchemeStart),IF(AND(Milestones!$AB$127="FT",Milestones!$AA$127=FT_Y5,DO36&lt;PolicyEff),1,Milestones!$AC$127),0))</f>
        <v>0</v>
      </c>
      <c r="DP38" s="0" t="n">
        <f aca="false">IF(DP36="",0,IF(AND(DP37=Milestones!$AB$128,DP36&gt;=SchemeStart),IF(AND(Milestones!$AB$128="FT",Milestones!$AA$128=FT_Y5,DP36&lt;PolicyEff),1,Milestones!$AC$128),0))</f>
        <v>0</v>
      </c>
      <c r="DQ38" s="0" t="n">
        <f aca="false">IF(DQ36="",0,IF(AND(DQ37=Milestones!$AB$129,DQ36&gt;=SchemeStart),IF(AND(Milestones!$AB$129="FT",Milestones!$AA$129=FT_Y5,DQ36&lt;PolicyEff),1,Milestones!$AC$129),0))</f>
        <v>0</v>
      </c>
      <c r="DR38" s="0" t="n">
        <f aca="false">IF(DR36="",0,IF(AND(DR37=Milestones!$AB$130,DR36&gt;=SchemeStart),IF(AND(Milestones!$AB$130="FT",Milestones!$AA$130=FT_Y5,DR36&lt;PolicyEff),1,Milestones!$AC$130),0))</f>
        <v>0</v>
      </c>
      <c r="DS38" s="0" t="n">
        <f aca="false">IF(DS36="",0,IF(AND(DS37=Milestones!$AB$131,DS36&gt;=SchemeStart),IF(AND(Milestones!$AB$131="FT",Milestones!$AA$131=FT_Y5,DS36&lt;PolicyEff),1,Milestones!$AC$131),0))</f>
        <v>0</v>
      </c>
      <c r="DT38" s="0" t="n">
        <f aca="false">IF(DT36="",0,IF(AND(DT37=Milestones!$AB$132,DT36&gt;=SchemeStart),IF(AND(Milestones!$AB$132="FT",Milestones!$AA$132=FT_Y5,DT36&lt;PolicyEff),1,Milestones!$AC$132),0))</f>
        <v>0</v>
      </c>
      <c r="DU38" s="0" t="n">
        <f aca="false">IF(DU36="",0,IF(AND(DU37=Milestones!$AB$133,DU36&gt;=SchemeStart),IF(AND(Milestones!$AB$133="FT",Milestones!$AA$133=FT_Y5,DU36&lt;PolicyEff),1,Milestones!$AC$133),0))</f>
        <v>0</v>
      </c>
      <c r="DV38" s="0" t="n">
        <f aca="false">IF(DV36="",0,IF(AND(DV37=Milestones!$AB$134,DV36&gt;=SchemeStart),IF(AND(Milestones!$AB$134="FT",Milestones!$AA$134=FT_Y5,DV36&lt;PolicyEff),1,Milestones!$AC$134),0))</f>
        <v>0</v>
      </c>
      <c r="DW38" s="0" t="n">
        <f aca="false">IF(DW36="",0,IF(AND(DW37=Milestones!$AB$135,DW36&gt;=SchemeStart),IF(AND(Milestones!$AB$135="FT",Milestones!$AA$135=FT_Y5,DW36&lt;PolicyEff),1,Milestones!$AC$135),0))</f>
        <v>0</v>
      </c>
      <c r="DX38" s="0" t="n">
        <f aca="false">IF(DX36="",0,IF(AND(DX37=Milestones!$AB$136,DX36&gt;=SchemeStart),IF(AND(Milestones!$AB$136="FT",Milestones!$AA$136=FT_Y5,DX36&lt;PolicyEff),1,Milestones!$AC$136),0))</f>
        <v>0</v>
      </c>
      <c r="DY38" s="0" t="n">
        <f aca="false">IF(DY36="",0,IF(AND(DY37=Milestones!$AB$137,DY36&gt;=SchemeStart),IF(AND(Milestones!$AB$137="FT",Milestones!$AA$137=FT_Y5,DY36&lt;PolicyEff),1,Milestones!$AC$137),0))</f>
        <v>0</v>
      </c>
      <c r="DZ38" s="0" t="n">
        <f aca="false">IF(DZ36="",0,IF(AND(DZ37=Milestones!$AB$138,DZ36&gt;=SchemeStart),IF(AND(Milestones!$AB$138="FT",Milestones!$AA$138=FT_Y5,DZ36&lt;PolicyEff),1,Milestones!$AC$138),0))</f>
        <v>0</v>
      </c>
      <c r="EA38" s="0" t="n">
        <f aca="false">IF(EA36="",0,IF(AND(EA37=Milestones!$AB$139,EA36&gt;=SchemeStart),IF(AND(Milestones!$AB$139="FT",Milestones!$AA$139=FT_Y5,EA36&lt;PolicyEff),1,Milestones!$AC$139),0))</f>
        <v>0</v>
      </c>
      <c r="EB38" s="0" t="n">
        <f aca="false">IF(EB36="",0,IF(AND(EB37=Milestones!$AB$140,EB36&gt;=SchemeStart),IF(AND(Milestones!$AB$140="FT",Milestones!$AA$140=FT_Y5,EB36&lt;PolicyEff),1,Milestones!$AC$140),0))</f>
        <v>0</v>
      </c>
      <c r="EC38" s="0" t="n">
        <f aca="false">IF(EC36="",0,IF(AND(EC37=Milestones!$AB$141,EC36&gt;=SchemeStart),IF(AND(Milestones!$AB$141="FT",Milestones!$AA$141=FT_Y5,EC36&lt;PolicyEff),1,Milestones!$AC$141),0))</f>
        <v>0</v>
      </c>
      <c r="ED38" s="0" t="n">
        <f aca="false">IF(ED36="",0,IF(AND(ED37=Milestones!$AB$142,ED36&gt;=SchemeStart),IF(AND(Milestones!$AB$142="FT",Milestones!$AA$142=FT_Y5,ED36&lt;PolicyEff),1,Milestones!$AC$142),0))</f>
        <v>0</v>
      </c>
      <c r="EE38" s="0" t="n">
        <f aca="false">IF(EE36="",0,IF(AND(EE37=Milestones!$AB$143,EE36&gt;=SchemeStart),IF(AND(Milestones!$AB$143="FT",Milestones!$AA$143=FT_Y5,EE36&lt;PolicyEff),1,Milestones!$AC$143),0))</f>
        <v>0</v>
      </c>
      <c r="EF38" s="0" t="n">
        <f aca="false">IF(EF36="",0,IF(AND(EF37=Milestones!$AB$144,EF36&gt;=SchemeStart),IF(AND(Milestones!$AB$144="FT",Milestones!$AA$144=FT_Y5,EF36&lt;PolicyEff),1,Milestones!$AC$144),0))</f>
        <v>0</v>
      </c>
      <c r="EG38" s="0" t="n">
        <f aca="false">IF(EG36="",0,IF(AND(EG37=Milestones!$AB$145,EG36&gt;=SchemeStart),IF(AND(Milestones!$AB$145="FT",Milestones!$AA$145=FT_Y5,EG36&lt;PolicyEff),1,Milestones!$AC$145),0))</f>
        <v>0</v>
      </c>
      <c r="EH38" s="0" t="n">
        <f aca="false">IF(EH36="",0,IF(AND(EH37=Milestones!$AB$146,EH36&gt;=SchemeStart),IF(AND(Milestones!$AB$146="FT",Milestones!$AA$146=FT_Y5,EH36&lt;PolicyEff),1,Milestones!$AC$146),0))</f>
        <v>0</v>
      </c>
      <c r="EI38" s="0" t="n">
        <f aca="false">IF(EI36="",0,IF(AND(EI37=Milestones!$AB$147,EI36&gt;=SchemeStart),IF(AND(Milestones!$AB$147="FT",Milestones!$AA$147=FT_Y5,EI36&lt;PolicyEff),1,Milestones!$AC$147),0))</f>
        <v>0</v>
      </c>
      <c r="EJ38" s="0" t="n">
        <f aca="false">IF(EJ36="",0,IF(AND(EJ37=Milestones!$AB$148,EJ36&gt;=SchemeStart),IF(AND(Milestones!$AB$148="FT",Milestones!$AA$148=FT_Y5,EJ36&lt;PolicyEff),1,Milestones!$AC$148),0))</f>
        <v>0</v>
      </c>
      <c r="EK38" s="0" t="n">
        <f aca="false">IF(EK36="",0,IF(AND(EK37=Milestones!$AB$149,EK36&gt;=SchemeStart),IF(AND(Milestones!$AB$149="FT",Milestones!$AA$149=FT_Y5,EK36&lt;PolicyEff),1,Milestones!$AC$149),0))</f>
        <v>0</v>
      </c>
      <c r="EL38" s="0" t="n">
        <f aca="false">IF(EL36="",0,IF(AND(EL37=Milestones!$AB$150,EL36&gt;=SchemeStart),IF(AND(Milestones!$AB$150="FT",Milestones!$AA$150=FT_Y5,EL36&lt;PolicyEff),1,Milestones!$AC$150),0))</f>
        <v>0</v>
      </c>
      <c r="EM38" s="0" t="n">
        <f aca="false">IF(EM36="",0,IF(AND(EM37=Milestones!$AB$151,EM36&gt;=SchemeStart),IF(AND(Milestones!$AB$151="FT",Milestones!$AA$151=FT_Y5,EM36&lt;PolicyEff),1,Milestones!$AC$151),0))</f>
        <v>0</v>
      </c>
      <c r="EN38" s="0" t="n">
        <f aca="false">IF(EN36="",0,IF(AND(EN37=Milestones!$AB$152,EN36&gt;=SchemeStart),IF(AND(Milestones!$AB$152="FT",Milestones!$AA$152=FT_Y5,EN36&lt;PolicyEff),1,Milestones!$AC$152),0))</f>
        <v>0</v>
      </c>
      <c r="EO38" s="0" t="n">
        <f aca="false">IF(EO36="",0,IF(AND(EO37=Milestones!$AB$153,EO36&gt;=SchemeStart),IF(AND(Milestones!$AB$153="FT",Milestones!$AA$153=FT_Y5,EO36&lt;PolicyEff),1,Milestones!$AC$153),0))</f>
        <v>0</v>
      </c>
      <c r="EP38" s="0" t="n">
        <f aca="false">IF(EP36="",0,IF(AND(EP37=Milestones!$AB$154,EP36&gt;=SchemeStart),IF(AND(Milestones!$AB$154="FT",Milestones!$AA$154=FT_Y5,EP36&lt;PolicyEff),1,Milestones!$AC$154),0))</f>
        <v>0</v>
      </c>
      <c r="EQ38" s="0" t="n">
        <f aca="false">IF(EQ36="",0,IF(AND(EQ37=Milestones!$AB$155,EQ36&gt;=SchemeStart),IF(AND(Milestones!$AB$155="FT",Milestones!$AA$155=FT_Y5,EQ36&lt;PolicyEff),1,Milestones!$AC$155),0))</f>
        <v>0</v>
      </c>
      <c r="ER38" s="0" t="n">
        <f aca="false">IF(ER36="",0,IF(AND(ER37=Milestones!$AB$156,ER36&gt;=SchemeStart),IF(AND(Milestones!$AB$156="FT",Milestones!$AA$156=FT_Y5,ER36&lt;PolicyEff),1,Milestones!$AC$156),0))</f>
        <v>0</v>
      </c>
      <c r="ES38" s="0" t="n">
        <f aca="false">IF(ES36="",0,IF(AND(ES37=Milestones!$AB$157,ES36&gt;=SchemeStart),IF(AND(Milestones!$AB$157="FT",Milestones!$AA$157=FT_Y5,ES36&lt;PolicyEff),1,Milestones!$AC$157),0))</f>
        <v>0</v>
      </c>
      <c r="ET38" s="0" t="n">
        <f aca="false">IF(ET36="",0,IF(AND(ET37=Milestones!$AB$158,ET36&gt;=SchemeStart),IF(AND(Milestones!$AB$158="FT",Milestones!$AA$158=FT_Y5,ET36&lt;PolicyEff),1,Milestones!$AC$158),0))</f>
        <v>0</v>
      </c>
      <c r="EU38" s="0" t="n">
        <f aca="false">IF(EU36="",0,IF(AND(EU37=Milestones!$AB$159,EU36&gt;=SchemeStart),IF(AND(Milestones!$AB$159="FT",Milestones!$AA$159=FT_Y5,EU36&lt;PolicyEff),1,Milestones!$AC$159),0))</f>
        <v>0</v>
      </c>
      <c r="EV38" s="0" t="n">
        <f aca="false">IF(EV36="",0,IF(AND(EV37=Milestones!$AB$160,EV36&gt;=SchemeStart),IF(AND(Milestones!$AB$160="FT",Milestones!$AA$160=FT_Y5,EV36&lt;PolicyEff),1,Milestones!$AC$160),0))</f>
        <v>0</v>
      </c>
      <c r="EW38" s="0" t="n">
        <f aca="false">IF(EW36="",0,IF(AND(EW37=Milestones!$AB$161,EW36&gt;=SchemeStart),IF(AND(Milestones!$AB$161="FT",Milestones!$AA$161=FT_Y5,EW36&lt;PolicyEff),1,Milestones!$AC$161),0))</f>
        <v>0</v>
      </c>
      <c r="EX38" s="0" t="n">
        <f aca="false">IF(EX36="",0,IF(AND(EX37=Milestones!$AB$162,EX36&gt;=SchemeStart),IF(AND(Milestones!$AB$162="FT",Milestones!$AA$162=FT_Y5,EX36&lt;PolicyEff),1,Milestones!$AC$162),0))</f>
        <v>0</v>
      </c>
      <c r="EY38" s="0" t="n">
        <f aca="false">IF(EY36="",0,IF(AND(EY37=Milestones!$AB$163,EY36&gt;=SchemeStart),IF(AND(Milestones!$AB$163="FT",Milestones!$AA$163=FT_Y5,EY36&lt;PolicyEff),1,Milestones!$AC$163),0))</f>
        <v>0</v>
      </c>
      <c r="EZ38" s="0" t="n">
        <f aca="false">IF(EZ36="",0,IF(AND(EZ37=Milestones!$AB$164,EZ36&gt;=SchemeStart),IF(AND(Milestones!$AB$164="FT",Milestones!$AA$164=FT_Y5,EZ36&lt;PolicyEff),1,Milestones!$AC$164),0))</f>
        <v>0</v>
      </c>
      <c r="FA38" s="0" t="n">
        <f aca="false">IF(FA36="",0,IF(AND(FA37=Milestones!$AB$165,FA36&gt;=SchemeStart),IF(AND(Milestones!$AB$165="FT",Milestones!$AA$165=FT_Y5,FA36&lt;PolicyEff),1,Milestones!$AC$165),0))</f>
        <v>0</v>
      </c>
      <c r="FB38" s="0" t="n">
        <f aca="false">IF(FB36="",0,IF(AND(FB37=Milestones!$AB$166,FB36&gt;=SchemeStart),IF(AND(Milestones!$AB$166="FT",Milestones!$AA$166=FT_Y5,FB36&lt;PolicyEff),1,Milestones!$AC$166),0))</f>
        <v>0</v>
      </c>
      <c r="FC38" s="0" t="n">
        <f aca="false">IF(FC36="",0,IF(AND(FC37=Milestones!$AB$167,FC36&gt;=SchemeStart),IF(AND(Milestones!$AB$167="FT",Milestones!$AA$167=FT_Y5,FC36&lt;PolicyEff),1,Milestones!$AC$167),0))</f>
        <v>0</v>
      </c>
      <c r="FD38" s="0" t="n">
        <f aca="false">IF(FD36="",0,IF(AND(FD37=Milestones!$AB$168,FD36&gt;=SchemeStart),IF(AND(Milestones!$AB$168="FT",Milestones!$AA$168=FT_Y5,FD36&lt;PolicyEff),1,Milestones!$AC$168),0))</f>
        <v>0</v>
      </c>
      <c r="FE38" s="0" t="n">
        <f aca="false">IF(FE36="",0,IF(AND(FE37=Milestones!$AB$169,FE36&gt;=SchemeStart),IF(AND(Milestones!$AB$169="FT",Milestones!$AA$169=FT_Y5,FE36&lt;PolicyEff),1,Milestones!$AC$169),0))</f>
        <v>0</v>
      </c>
      <c r="FF38" s="0" t="n">
        <f aca="false">IF(FF36="",0,IF(AND(FF37=Milestones!$AB$170,FF36&gt;=SchemeStart),IF(AND(Milestones!$AB$170="FT",Milestones!$AA$170=FT_Y5,FF36&lt;PolicyEff),1,Milestones!$AC$170),0))</f>
        <v>0</v>
      </c>
      <c r="FG38" s="0" t="n">
        <f aca="false">IF(FG36="",0,IF(AND(FG37=Milestones!$AB$171,FG36&gt;=SchemeStart),IF(AND(Milestones!$AB$171="FT",Milestones!$AA$171=FT_Y5,FG36&lt;PolicyEff),1,Milestones!$AC$171),0))</f>
        <v>0</v>
      </c>
      <c r="FH38" s="0" t="n">
        <f aca="false">IF(FH36="",0,IF(AND(FH37=Milestones!$AB$172,FH36&gt;=SchemeStart),IF(AND(Milestones!$AB$172="FT",Milestones!$AA$172=FT_Y5,FH36&lt;PolicyEff),1,Milestones!$AC$172),0))</f>
        <v>0</v>
      </c>
      <c r="FI38" s="0" t="n">
        <f aca="false">IF(FI36="",0,IF(AND(FI37=Milestones!$AB$173,FI36&gt;=SchemeStart),IF(AND(Milestones!$AB$173="FT",Milestones!$AA$173=FT_Y5,FI36&lt;PolicyEff),1,Milestones!$AC$173),0))</f>
        <v>0</v>
      </c>
      <c r="FJ38" s="0" t="n">
        <f aca="false">IF(FJ36="",0,IF(AND(FJ37=Milestones!$AB$174,FJ36&gt;=SchemeStart),IF(AND(Milestones!$AB$174="FT",Milestones!$AA$174=FT_Y5,FJ36&lt;PolicyEff),1,Milestones!$AC$174),0))</f>
        <v>0</v>
      </c>
      <c r="FK38" s="0" t="n">
        <f aca="false">IF(FK36="",0,IF(AND(FK37=Milestones!$AB$175,FK36&gt;=SchemeStart),IF(AND(Milestones!$AB$175="FT",Milestones!$AA$175=FT_Y5,FK36&lt;PolicyEff),1,Milestones!$AC$175),0))</f>
        <v>0</v>
      </c>
      <c r="FL38" s="0" t="n">
        <f aca="false">IF(FL36="",0,IF(AND(FL37=Milestones!$AB$176,FL36&gt;=SchemeStart),IF(AND(Milestones!$AB$176="FT",Milestones!$AA$176=FT_Y5,FL36&lt;PolicyEff),1,Milestones!$AC$176),0))</f>
        <v>0</v>
      </c>
      <c r="FM38" s="0" t="n">
        <f aca="false">IF(FM36="",0,IF(AND(FM37=Milestones!$AB$177,FM36&gt;=SchemeStart),IF(AND(Milestones!$AB$177="FT",Milestones!$AA$177=FT_Y5,FM36&lt;PolicyEff),1,Milestones!$AC$177),0))</f>
        <v>0</v>
      </c>
      <c r="FN38" s="0" t="n">
        <f aca="false">IF(FN36="",0,IF(AND(FN37=Milestones!$AB$178,FN36&gt;=SchemeStart),IF(AND(Milestones!$AB$178="FT",Milestones!$AA$178=FT_Y5,FN36&lt;PolicyEff),1,Milestones!$AC$178),0))</f>
        <v>0</v>
      </c>
      <c r="FO38" s="0" t="n">
        <f aca="false">IF(FO36="",0,IF(AND(FO37=Milestones!$AB$179,FO36&gt;=SchemeStart),IF(AND(Milestones!$AB$179="FT",Milestones!$AA$179=FT_Y5,FO36&lt;PolicyEff),1,Milestones!$AC$179),0))</f>
        <v>0</v>
      </c>
      <c r="FP38" s="0" t="n">
        <f aca="false">IF(FP36="",0,IF(AND(FP37=Milestones!$AB$180,FP36&gt;=SchemeStart),IF(AND(Milestones!$AB$180="FT",Milestones!$AA$180=FT_Y5,FP36&lt;PolicyEff),1,Milestones!$AC$180),0))</f>
        <v>0</v>
      </c>
      <c r="FQ38" s="0" t="n">
        <f aca="false">IF(FQ36="",0,IF(AND(FQ37=Milestones!$AB$181,FQ36&gt;=SchemeStart),IF(AND(Milestones!$AB$181="FT",Milestones!$AA$181=FT_Y5,FQ36&lt;PolicyEff),1,Milestones!$AC$181),0))</f>
        <v>0</v>
      </c>
      <c r="FR38" s="0" t="n">
        <f aca="false">IF(FR36="",0,IF(AND(FR37=Milestones!$AB$182,FR36&gt;=SchemeStart),IF(AND(Milestones!$AB$182="FT",Milestones!$AA$182=FT_Y5,FR36&lt;PolicyEff),1,Milestones!$AC$182),0))</f>
        <v>0</v>
      </c>
      <c r="FS38" s="0" t="n">
        <f aca="false">IF(FS36="",0,IF(AND(FS37=Milestones!$AB$183,FS36&gt;=SchemeStart),IF(AND(Milestones!$AB$183="FT",Milestones!$AA$183=FT_Y5,FS36&lt;PolicyEff),1,Milestones!$AC$183),0))</f>
        <v>0</v>
      </c>
      <c r="FT38" s="0" t="n">
        <f aca="false">IF(FT36="",0,IF(AND(FT37=Milestones!$AB$184,FT36&gt;=SchemeStart),IF(AND(Milestones!$AB$184="FT",Milestones!$AA$184=FT_Y5,FT36&lt;PolicyEff),1,Milestones!$AC$184),0))</f>
        <v>0</v>
      </c>
      <c r="FU38" s="0" t="n">
        <f aca="false">IF(FU36="",0,IF(AND(FU37=Milestones!$AB$185,FU36&gt;=SchemeStart),IF(AND(Milestones!$AB$185="FT",Milestones!$AA$185=FT_Y5,FU36&lt;PolicyEff),1,Milestones!$AC$185),0))</f>
        <v>0</v>
      </c>
      <c r="FV38" s="0" t="n">
        <f aca="false">IF(FV36="",0,IF(AND(FV37=Milestones!$AB$186,FV36&gt;=SchemeStart),IF(AND(Milestones!$AB$186="FT",Milestones!$AA$186=FT_Y5,FV36&lt;PolicyEff),1,Milestones!$AC$186),0))</f>
        <v>0</v>
      </c>
      <c r="FW38" s="0" t="n">
        <f aca="false">IF(FW36="",0,IF(AND(FW37=Milestones!$AB$187,FW36&gt;=SchemeStart),IF(AND(Milestones!$AB$187="FT",Milestones!$AA$187=FT_Y5,FW36&lt;PolicyEff),1,Milestones!$AC$187),0))</f>
        <v>0</v>
      </c>
      <c r="FX38" s="0" t="n">
        <f aca="false">IF(FX36="",0,IF(AND(FX37=Milestones!$AB$188,FX36&gt;=SchemeStart),IF(AND(Milestones!$AB$188="FT",Milestones!$AA$188=FT_Y5,FX36&lt;PolicyEff),1,Milestones!$AC$188),0))</f>
        <v>0</v>
      </c>
      <c r="FY38" s="0" t="n">
        <f aca="false">IF(FY36="",0,IF(AND(FY37=Milestones!$AB$189,FY36&gt;=SchemeStart),IF(AND(Milestones!$AB$189="FT",Milestones!$AA$189=FT_Y5,FY36&lt;PolicyEff),1,Milestones!$AC$189),0))</f>
        <v>0</v>
      </c>
      <c r="FZ38" s="0" t="n">
        <f aca="false">IF(FZ36="",0,IF(AND(FZ37=Milestones!$AB$190,FZ36&gt;=SchemeStart),IF(AND(Milestones!$AB$190="FT",Milestones!$AA$190=FT_Y5,FZ36&lt;PolicyEff),1,Milestones!$AC$190),0))</f>
        <v>0</v>
      </c>
      <c r="GA38" s="0" t="n">
        <f aca="false">IF(GA36="",0,IF(AND(GA37=Milestones!$AB$191,GA36&gt;=SchemeStart),IF(AND(Milestones!$AB$191="FT",Milestones!$AA$191=FT_Y5,GA36&lt;PolicyEff),1,Milestones!$AC$191),0))</f>
        <v>0</v>
      </c>
      <c r="GB38" s="0" t="n">
        <f aca="false">IF(GB36="",0,IF(AND(GB37=Milestones!$AB$192,GB36&gt;=SchemeStart),IF(AND(Milestones!$AB$192="FT",Milestones!$AA$192=FT_Y5,GB36&lt;PolicyEff),1,Milestones!$AC$192),0))</f>
        <v>0</v>
      </c>
      <c r="GC38" s="0" t="n">
        <f aca="false">IF(GC36="",0,IF(AND(GC37=Milestones!$AB$193,GC36&gt;=SchemeStart),IF(AND(Milestones!$AB$193="FT",Milestones!$AA$193=FT_Y5,GC36&lt;PolicyEff),1,Milestones!$AC$193),0))</f>
        <v>0</v>
      </c>
      <c r="GD38" s="0" t="n">
        <f aca="false">IF(GD36="",0,IF(AND(GD37=Milestones!$AB$194,GD36&gt;=SchemeStart),IF(AND(Milestones!$AB$194="FT",Milestones!$AA$194=FT_Y5,GD36&lt;PolicyEff),1,Milestones!$AC$194),0))</f>
        <v>0</v>
      </c>
      <c r="GE38" s="0" t="n">
        <f aca="false">IF(GE36="",0,IF(AND(GE37=Milestones!$AB$195,GE36&gt;=SchemeStart),IF(AND(Milestones!$AB$195="FT",Milestones!$AA$195=FT_Y5,GE36&lt;PolicyEff),1,Milestones!$AC$195),0))</f>
        <v>0</v>
      </c>
      <c r="GF38" s="0" t="n">
        <f aca="false">IF(GF36="",0,IF(AND(GF37=Milestones!$AB$196,GF36&gt;=SchemeStart),IF(AND(Milestones!$AB$196="FT",Milestones!$AA$196=FT_Y5,GF36&lt;PolicyEff),1,Milestones!$AC$196),0))</f>
        <v>0</v>
      </c>
      <c r="GG38" s="0" t="n">
        <f aca="false">IF(GG36="",0,IF(AND(GG37=Milestones!$AB$197,GG36&gt;=SchemeStart),IF(AND(Milestones!$AB$197="FT",Milestones!$AA$197=FT_Y5,GG36&lt;PolicyEff),1,Milestones!$AC$197),0))</f>
        <v>0</v>
      </c>
      <c r="GH38" s="0" t="n">
        <f aca="false">IF(GH36="",0,IF(AND(GH37=Milestones!$AB$198,GH36&gt;=SchemeStart),IF(AND(Milestones!$AB$198="FT",Milestones!$AA$198=FT_Y5,GH36&lt;PolicyEff),1,Milestones!$AC$198),0))</f>
        <v>0</v>
      </c>
      <c r="GI38" s="0" t="n">
        <f aca="false">IF(GI36="",0,IF(AND(GI37=Milestones!$AB$199,GI36&gt;=SchemeStart),IF(AND(Milestones!$AB$199="FT",Milestones!$AA$199=FT_Y5,GI36&lt;PolicyEff),1,Milestones!$AC$199),0))</f>
        <v>0</v>
      </c>
    </row>
    <row r="39" customFormat="false" ht="15" hidden="false" customHeight="false" outlineLevel="0" collapsed="false">
      <c r="A39" s="0" t="str">
        <f aca="false">IF('HR Tally Check'!N$7="","",'HR Tally Check'!N$7)</f>
        <v/>
      </c>
      <c r="B39" s="0" t="str">
        <f aca="false">IF(A39="","",ISNUMBER(MATCH(A39,Staff!$BR$5:$BR$154,0)))</f>
        <v/>
      </c>
      <c r="C39" s="20" t="str">
        <f aca="false">IF(B39&lt;&gt;TRUE(),"",INDEX(Staff!$AL$5:$AL$154,MATCH($A39,Staff!$BR$5:$BR$154,0)))</f>
        <v/>
      </c>
      <c r="D39" s="0" t="str">
        <f aca="false">IF(B39&lt;&gt;TRUE(),"",INDEX(Staff!$AM$5:$AM$154,MATCH($A39,Staff!$BR$5:$BR$154,0)))</f>
        <v/>
      </c>
      <c r="E39" s="20" t="str">
        <f aca="false">IF(B39&lt;&gt;TRUE(),"",INDEX(Staff!$AO$5:$AO$154,MATCH($A39,Staff!$BR$5:$BR$154,0)))</f>
        <v/>
      </c>
      <c r="F39" s="20" t="str">
        <f aca="false">IF(B39&lt;&gt;TRUE(),"",INDEX(Staff!$AP$5:$AP$154,MATCH($A39,Staff!$BR$5:$BR$154,0)))</f>
        <v/>
      </c>
      <c r="G39" s="0" t="str">
        <f aca="false">IF(B39&lt;&gt;TRUE(),"",INDEX(Staff!$AT$5:$AT$154,MATCH($A39,Staff!$BR$5:$BR$154,0)))</f>
        <v/>
      </c>
      <c r="H39" s="0" t="str">
        <f aca="false">IF(B39&lt;&gt;TRUE(),"",INDEX(Staff!$AU$5:$AU$154,MATCH($A39,Staff!$BR$5:$BR$154,0)))</f>
        <v/>
      </c>
      <c r="I39" s="0" t="str">
        <f aca="false">IF(B39&lt;&gt;TRUE(),"",INDEX(Staff!$AV$5:$AV$154,MATCH($A39,Staff!$BR$5:$BR$154,0)))</f>
        <v/>
      </c>
      <c r="J39" s="0" t="str">
        <f aca="false">IF(B39&lt;&gt;TRUE(),"",INDEX(Staff!$AW$5:$AW$154,MATCH($A39,Staff!$BR$5:$BR$154,0)))</f>
        <v/>
      </c>
      <c r="K39" s="33" t="s">
        <v>262</v>
      </c>
      <c r="L39" s="20" t="str">
        <f aca="false">IF($C39="","",EDATE($C39,Milestones!$AA$20))</f>
        <v/>
      </c>
      <c r="M39" s="20" t="str">
        <f aca="false">IF($C39="","",EDATE($C39,Milestones!$AA$21))</f>
        <v/>
      </c>
      <c r="N39" s="20" t="str">
        <f aca="false">IF($C39="","",EDATE($C39,Milestones!$AA$22))</f>
        <v/>
      </c>
      <c r="O39" s="20" t="str">
        <f aca="false">IF($C39="","",EDATE($C39,Milestones!$AA$23))</f>
        <v/>
      </c>
      <c r="P39" s="20" t="str">
        <f aca="false">IF($C39="","",EDATE($C39,Milestones!$AA$24))</f>
        <v/>
      </c>
      <c r="Q39" s="20" t="str">
        <f aca="false">IF($C39="","",EDATE($C39,Milestones!$AA$25))</f>
        <v/>
      </c>
      <c r="R39" s="20" t="str">
        <f aca="false">IF($C39="","",EDATE($C39,Milestones!$AA$26))</f>
        <v/>
      </c>
      <c r="S39" s="20" t="str">
        <f aca="false">IF($C39="","",EDATE($C39,Milestones!$AA$27))</f>
        <v/>
      </c>
      <c r="T39" s="20" t="str">
        <f aca="false">IF($C39="","",EDATE($C39,Milestones!$AA$28))</f>
        <v/>
      </c>
      <c r="U39" s="20" t="str">
        <f aca="false">IF($C39="","",EDATE($C39,Milestones!$AA$29))</f>
        <v/>
      </c>
      <c r="V39" s="20" t="str">
        <f aca="false">IF($C39="","",EDATE($C39,Milestones!$AA$30))</f>
        <v/>
      </c>
      <c r="W39" s="20" t="str">
        <f aca="false">IF($C39="","",EDATE($C39,Milestones!$AA$31))</f>
        <v/>
      </c>
      <c r="X39" s="20" t="str">
        <f aca="false">IF($C39="","",EDATE($C39,Milestones!$AA$32))</f>
        <v/>
      </c>
      <c r="Y39" s="20" t="str">
        <f aca="false">IF($C39="","",EDATE($C39,Milestones!$AA$33))</f>
        <v/>
      </c>
      <c r="Z39" s="20" t="str">
        <f aca="false">IF($C39="","",EDATE($C39,Milestones!$AA$34))</f>
        <v/>
      </c>
      <c r="AA39" s="20" t="str">
        <f aca="false">IF($C39="","",EDATE($C39,Milestones!$AA$35))</f>
        <v/>
      </c>
      <c r="AB39" s="20" t="str">
        <f aca="false">IF($C39="","",EDATE($C39,Milestones!$AA$36))</f>
        <v/>
      </c>
      <c r="AC39" s="20" t="str">
        <f aca="false">IF($C39="","",EDATE($C39,Milestones!$AA$37))</f>
        <v/>
      </c>
      <c r="AD39" s="20" t="str">
        <f aca="false">IF($C39="","",EDATE($C39,Milestones!$AA$38))</f>
        <v/>
      </c>
      <c r="AE39" s="20" t="str">
        <f aca="false">IF($C39="","",EDATE($C39,Milestones!$AA$39))</f>
        <v/>
      </c>
      <c r="AF39" s="20" t="str">
        <f aca="false">IF($C39="","",EDATE($C39,Milestones!$AA$40))</f>
        <v/>
      </c>
      <c r="AG39" s="20" t="str">
        <f aca="false">IF($C39="","",EDATE($C39,Milestones!$AA$41))</f>
        <v/>
      </c>
      <c r="AH39" s="20" t="str">
        <f aca="false">IF($C39="","",EDATE($C39,Milestones!$AA$42))</f>
        <v/>
      </c>
      <c r="AI39" s="20" t="str">
        <f aca="false">IF($C39="","",EDATE($C39,Milestones!$AA$43))</f>
        <v/>
      </c>
      <c r="AJ39" s="20" t="str">
        <f aca="false">IF($C39="","",EDATE($C39,Milestones!$AA$44))</f>
        <v/>
      </c>
      <c r="AK39" s="20" t="str">
        <f aca="false">IF($C39="","",EDATE($C39,Milestones!$AA$45))</f>
        <v/>
      </c>
      <c r="AL39" s="20" t="str">
        <f aca="false">IF($C39="","",EDATE($C39,Milestones!$AA$46))</f>
        <v/>
      </c>
      <c r="AM39" s="20" t="str">
        <f aca="false">IF($C39="","",EDATE($C39,Milestones!$AA$47))</f>
        <v/>
      </c>
      <c r="AN39" s="20" t="str">
        <f aca="false">IF($C39="","",EDATE($C39,Milestones!$AA$48))</f>
        <v/>
      </c>
      <c r="AO39" s="20" t="str">
        <f aca="false">IF($C39="","",EDATE($C39,Milestones!$AA$49))</f>
        <v/>
      </c>
      <c r="AP39" s="20" t="str">
        <f aca="false">IF($C39="","",EDATE($C39,Milestones!$AA$50))</f>
        <v/>
      </c>
      <c r="AQ39" s="20" t="str">
        <f aca="false">IF($C39="","",EDATE($C39,Milestones!$AA$51))</f>
        <v/>
      </c>
      <c r="AR39" s="20" t="str">
        <f aca="false">IF($C39="","",EDATE($C39,Milestones!$AA$52))</f>
        <v/>
      </c>
      <c r="AS39" s="20" t="str">
        <f aca="false">IF($C39="","",EDATE($C39,Milestones!$AA$53))</f>
        <v/>
      </c>
      <c r="AT39" s="20" t="str">
        <f aca="false">IF($C39="","",EDATE($C39,Milestones!$AA$54))</f>
        <v/>
      </c>
      <c r="AU39" s="20" t="str">
        <f aca="false">IF($C39="","",EDATE($C39,Milestones!$AA$55))</f>
        <v/>
      </c>
      <c r="AV39" s="20" t="str">
        <f aca="false">IF($C39="","",EDATE($C39,Milestones!$AA$56))</f>
        <v/>
      </c>
      <c r="AW39" s="20" t="str">
        <f aca="false">IF($C39="","",EDATE($C39,Milestones!$AA$57))</f>
        <v/>
      </c>
      <c r="AX39" s="20" t="str">
        <f aca="false">IF($C39="","",EDATE($C39,Milestones!$AA$58))</f>
        <v/>
      </c>
      <c r="AY39" s="20" t="str">
        <f aca="false">IF($C39="","",EDATE($C39,Milestones!$AA$59))</f>
        <v/>
      </c>
      <c r="AZ39" s="20" t="str">
        <f aca="false">IF($C39="","",EDATE($C39,Milestones!$AA$60))</f>
        <v/>
      </c>
      <c r="BA39" s="20" t="str">
        <f aca="false">IF($C39="","",EDATE($C39,Milestones!$AA$61))</f>
        <v/>
      </c>
      <c r="BB39" s="20" t="str">
        <f aca="false">IF($C39="","",EDATE($C39,Milestones!$AA$62))</f>
        <v/>
      </c>
      <c r="BC39" s="20" t="str">
        <f aca="false">IF($C39="","",EDATE($C39,Milestones!$AA$63))</f>
        <v/>
      </c>
      <c r="BD39" s="20" t="str">
        <f aca="false">IF($C39="","",EDATE($C39,Milestones!$AA$64))</f>
        <v/>
      </c>
      <c r="BE39" s="20" t="str">
        <f aca="false">IF($C39="","",EDATE($C39,Milestones!$AA$65))</f>
        <v/>
      </c>
      <c r="BF39" s="20" t="str">
        <f aca="false">IF($C39="","",EDATE($C39,Milestones!$AA$66))</f>
        <v/>
      </c>
      <c r="BG39" s="20" t="str">
        <f aca="false">IF($C39="","",EDATE($C39,Milestones!$AA$67))</f>
        <v/>
      </c>
      <c r="BH39" s="20" t="str">
        <f aca="false">IF($C39="","",EDATE($C39,Milestones!$AA$68))</f>
        <v/>
      </c>
      <c r="BI39" s="20" t="str">
        <f aca="false">IF($C39="","",EDATE($C39,Milestones!$AA$69))</f>
        <v/>
      </c>
      <c r="BJ39" s="20" t="str">
        <f aca="false">IF($C39="","",EDATE($C39,Milestones!$AA$70))</f>
        <v/>
      </c>
      <c r="BK39" s="20" t="str">
        <f aca="false">IF($C39="","",EDATE($C39,Milestones!$AA$71))</f>
        <v/>
      </c>
      <c r="BL39" s="20" t="str">
        <f aca="false">IF($C39="","",EDATE($C39,Milestones!$AA$72))</f>
        <v/>
      </c>
      <c r="BM39" s="20" t="str">
        <f aca="false">IF($C39="","",EDATE($C39,Milestones!$AA$73))</f>
        <v/>
      </c>
      <c r="BN39" s="20" t="str">
        <f aca="false">IF($C39="","",EDATE($C39,Milestones!$AA$74))</f>
        <v/>
      </c>
      <c r="BO39" s="20" t="str">
        <f aca="false">IF($C39="","",EDATE($C39,Milestones!$AA$75))</f>
        <v/>
      </c>
      <c r="BP39" s="20" t="str">
        <f aca="false">IF($C39="","",EDATE($C39,Milestones!$AA$76))</f>
        <v/>
      </c>
      <c r="BQ39" s="20" t="str">
        <f aca="false">IF($C39="","",EDATE($C39,Milestones!$AA$77))</f>
        <v/>
      </c>
      <c r="BR39" s="20" t="str">
        <f aca="false">IF($C39="","",EDATE($C39,Milestones!$AA$78))</f>
        <v/>
      </c>
      <c r="BS39" s="20" t="str">
        <f aca="false">IF($C39="","",EDATE($C39,Milestones!$AA$79))</f>
        <v/>
      </c>
      <c r="BT39" s="20" t="str">
        <f aca="false">IF($C39="","",EDATE($C39,Milestones!$AA$80))</f>
        <v/>
      </c>
      <c r="BU39" s="20" t="str">
        <f aca="false">IF($C39="","",EDATE($C39,Milestones!$AA$81))</f>
        <v/>
      </c>
      <c r="BV39" s="20" t="str">
        <f aca="false">IF($C39="","",EDATE($C39,Milestones!$AA$82))</f>
        <v/>
      </c>
      <c r="BW39" s="20" t="str">
        <f aca="false">IF($C39="","",EDATE($C39,Milestones!$AA$83))</f>
        <v/>
      </c>
      <c r="BX39" s="20" t="str">
        <f aca="false">IF($C39="","",EDATE($C39,Milestones!$AA$84))</f>
        <v/>
      </c>
      <c r="BY39" s="20" t="str">
        <f aca="false">IF($C39="","",EDATE($C39,Milestones!$AA$85))</f>
        <v/>
      </c>
      <c r="BZ39" s="20" t="str">
        <f aca="false">IF($C39="","",EDATE($C39,Milestones!$AA$86))</f>
        <v/>
      </c>
      <c r="CA39" s="20" t="str">
        <f aca="false">IF($C39="","",EDATE($C39,Milestones!$AA$87))</f>
        <v/>
      </c>
      <c r="CB39" s="20" t="str">
        <f aca="false">IF($C39="","",EDATE($C39,Milestones!$AA$88))</f>
        <v/>
      </c>
      <c r="CC39" s="20" t="str">
        <f aca="false">IF($C39="","",EDATE($C39,Milestones!$AA$89))</f>
        <v/>
      </c>
      <c r="CD39" s="20" t="str">
        <f aca="false">IF($C39="","",EDATE($C39,Milestones!$AA$90))</f>
        <v/>
      </c>
      <c r="CE39" s="20" t="str">
        <f aca="false">IF($C39="","",EDATE($C39,Milestones!$AA$91))</f>
        <v/>
      </c>
      <c r="CF39" s="20" t="str">
        <f aca="false">IF($C39="","",EDATE($C39,Milestones!$AA$92))</f>
        <v/>
      </c>
      <c r="CG39" s="20" t="str">
        <f aca="false">IF($C39="","",EDATE($C39,Milestones!$AA$93))</f>
        <v/>
      </c>
      <c r="CH39" s="20" t="str">
        <f aca="false">IF($C39="","",EDATE($C39,Milestones!$AA$94))</f>
        <v/>
      </c>
      <c r="CI39" s="20" t="str">
        <f aca="false">IF($C39="","",EDATE($C39,Milestones!$AA$95))</f>
        <v/>
      </c>
      <c r="CJ39" s="20" t="str">
        <f aca="false">IF($C39="","",EDATE($C39,Milestones!$AA$96))</f>
        <v/>
      </c>
      <c r="CK39" s="20" t="str">
        <f aca="false">IF($C39="","",EDATE($C39,Milestones!$AA$97))</f>
        <v/>
      </c>
      <c r="CL39" s="20" t="str">
        <f aca="false">IF($C39="","",EDATE($C39,Milestones!$AA$98))</f>
        <v/>
      </c>
      <c r="CM39" s="20" t="str">
        <f aca="false">IF($C39="","",EDATE($C39,Milestones!$AA$99))</f>
        <v/>
      </c>
      <c r="CN39" s="20" t="str">
        <f aca="false">IF($C39="","",EDATE($C39,Milestones!$AA$100))</f>
        <v/>
      </c>
      <c r="CO39" s="20" t="str">
        <f aca="false">IF($C39="","",EDATE($C39,Milestones!$AA$101))</f>
        <v/>
      </c>
      <c r="CP39" s="20" t="str">
        <f aca="false">IF($C39="","",EDATE($C39,Milestones!$AA$102))</f>
        <v/>
      </c>
      <c r="CQ39" s="20" t="str">
        <f aca="false">IF($C39="","",EDATE($C39,Milestones!$AA$103))</f>
        <v/>
      </c>
      <c r="CR39" s="20" t="str">
        <f aca="false">IF($C39="","",EDATE($C39,Milestones!$AA$104))</f>
        <v/>
      </c>
      <c r="CS39" s="20" t="str">
        <f aca="false">IF($C39="","",EDATE($C39,Milestones!$AA$105))</f>
        <v/>
      </c>
      <c r="CT39" s="20" t="str">
        <f aca="false">IF($C39="","",EDATE($C39,Milestones!$AA$106))</f>
        <v/>
      </c>
      <c r="CU39" s="20" t="str">
        <f aca="false">IF($C39="","",EDATE($C39,Milestones!$AA$107))</f>
        <v/>
      </c>
      <c r="CV39" s="20" t="str">
        <f aca="false">IF($C39="","",EDATE($C39,Milestones!$AA$108))</f>
        <v/>
      </c>
      <c r="CW39" s="20" t="str">
        <f aca="false">IF($C39="","",EDATE($C39,Milestones!$AA$109))</f>
        <v/>
      </c>
      <c r="CX39" s="20" t="str">
        <f aca="false">IF($C39="","",EDATE($C39,Milestones!$AA$110))</f>
        <v/>
      </c>
      <c r="CY39" s="20" t="str">
        <f aca="false">IF($C39="","",EDATE($C39,Milestones!$AA$111))</f>
        <v/>
      </c>
      <c r="CZ39" s="20" t="str">
        <f aca="false">IF($C39="","",EDATE($C39,Milestones!$AA$112))</f>
        <v/>
      </c>
      <c r="DA39" s="20" t="str">
        <f aca="false">IF($C39="","",EDATE($C39,Milestones!$AA$113))</f>
        <v/>
      </c>
      <c r="DB39" s="20" t="str">
        <f aca="false">IF($C39="","",EDATE($C39,Milestones!$AA$114))</f>
        <v/>
      </c>
      <c r="DC39" s="20" t="str">
        <f aca="false">IF($C39="","",EDATE($C39,Milestones!$AA$115))</f>
        <v/>
      </c>
      <c r="DD39" s="20" t="str">
        <f aca="false">IF($C39="","",EDATE($C39,Milestones!$AA$116))</f>
        <v/>
      </c>
      <c r="DE39" s="20" t="str">
        <f aca="false">IF($C39="","",EDATE($C39,Milestones!$AA$117))</f>
        <v/>
      </c>
      <c r="DF39" s="20" t="str">
        <f aca="false">IF($C39="","",EDATE($C39,Milestones!$AA$118))</f>
        <v/>
      </c>
      <c r="DG39" s="20" t="str">
        <f aca="false">IF($C39="","",EDATE($C39,Milestones!$AA$119))</f>
        <v/>
      </c>
      <c r="DH39" s="20" t="str">
        <f aca="false">IF($C39="","",EDATE($C39,Milestones!$AA$120))</f>
        <v/>
      </c>
      <c r="DI39" s="20" t="str">
        <f aca="false">IF($C39="","",EDATE($C39,Milestones!$AA$121))</f>
        <v/>
      </c>
      <c r="DJ39" s="20" t="str">
        <f aca="false">IF($C39="","",EDATE($C39,Milestones!$AA$122))</f>
        <v/>
      </c>
      <c r="DK39" s="20" t="str">
        <f aca="false">IF($C39="","",EDATE($C39,Milestones!$AA$123))</f>
        <v/>
      </c>
      <c r="DL39" s="20" t="str">
        <f aca="false">IF($C39="","",EDATE($C39,Milestones!$AA$124))</f>
        <v/>
      </c>
      <c r="DM39" s="20" t="str">
        <f aca="false">IF($C39="","",EDATE($C39,Milestones!$AA$125))</f>
        <v/>
      </c>
      <c r="DN39" s="20" t="str">
        <f aca="false">IF($C39="","",EDATE($C39,Milestones!$AA$126))</f>
        <v/>
      </c>
      <c r="DO39" s="20" t="str">
        <f aca="false">IF($C39="","",EDATE($C39,Milestones!$AA$127))</f>
        <v/>
      </c>
      <c r="DP39" s="20" t="str">
        <f aca="false">IF($C39="","",EDATE($C39,Milestones!$AA$128))</f>
        <v/>
      </c>
      <c r="DQ39" s="20" t="str">
        <f aca="false">IF($C39="","",EDATE($C39,Milestones!$AA$129))</f>
        <v/>
      </c>
      <c r="DR39" s="20" t="str">
        <f aca="false">IF($C39="","",EDATE($C39,Milestones!$AA$130))</f>
        <v/>
      </c>
      <c r="DS39" s="20" t="str">
        <f aca="false">IF($C39="","",EDATE($C39,Milestones!$AA$131))</f>
        <v/>
      </c>
      <c r="DT39" s="20" t="str">
        <f aca="false">IF($C39="","",EDATE($C39,Milestones!$AA$132))</f>
        <v/>
      </c>
      <c r="DU39" s="20" t="str">
        <f aca="false">IF($C39="","",EDATE($C39,Milestones!$AA$133))</f>
        <v/>
      </c>
      <c r="DV39" s="20" t="str">
        <f aca="false">IF($C39="","",EDATE($C39,Milestones!$AA$134))</f>
        <v/>
      </c>
      <c r="DW39" s="20" t="str">
        <f aca="false">IF($C39="","",EDATE($C39,Milestones!$AA$135))</f>
        <v/>
      </c>
      <c r="DX39" s="20" t="str">
        <f aca="false">IF($C39="","",EDATE($C39,Milestones!$AA$136))</f>
        <v/>
      </c>
      <c r="DY39" s="20" t="str">
        <f aca="false">IF($C39="","",EDATE($C39,Milestones!$AA$137))</f>
        <v/>
      </c>
      <c r="DZ39" s="20" t="str">
        <f aca="false">IF($C39="","",EDATE($C39,Milestones!$AA$138))</f>
        <v/>
      </c>
      <c r="EA39" s="20" t="str">
        <f aca="false">IF($C39="","",EDATE($C39,Milestones!$AA$139))</f>
        <v/>
      </c>
      <c r="EB39" s="20" t="str">
        <f aca="false">IF($C39="","",EDATE($C39,Milestones!$AA$140))</f>
        <v/>
      </c>
      <c r="EC39" s="20" t="str">
        <f aca="false">IF($C39="","",EDATE($C39,Milestones!$AA$141))</f>
        <v/>
      </c>
      <c r="ED39" s="20" t="str">
        <f aca="false">IF($C39="","",EDATE($C39,Milestones!$AA$142))</f>
        <v/>
      </c>
      <c r="EE39" s="20" t="str">
        <f aca="false">IF($C39="","",EDATE($C39,Milestones!$AA$143))</f>
        <v/>
      </c>
      <c r="EF39" s="20" t="str">
        <f aca="false">IF($C39="","",EDATE($C39,Milestones!$AA$144))</f>
        <v/>
      </c>
      <c r="EG39" s="20" t="str">
        <f aca="false">IF($C39="","",EDATE($C39,Milestones!$AA$145))</f>
        <v/>
      </c>
      <c r="EH39" s="20" t="str">
        <f aca="false">IF($C39="","",EDATE($C39,Milestones!$AA$146))</f>
        <v/>
      </c>
      <c r="EI39" s="20" t="str">
        <f aca="false">IF($C39="","",EDATE($C39,Milestones!$AA$147))</f>
        <v/>
      </c>
      <c r="EJ39" s="20" t="str">
        <f aca="false">IF($C39="","",EDATE($C39,Milestones!$AA$148))</f>
        <v/>
      </c>
      <c r="EK39" s="20" t="str">
        <f aca="false">IF($C39="","",EDATE($C39,Milestones!$AA$149))</f>
        <v/>
      </c>
      <c r="EL39" s="20" t="str">
        <f aca="false">IF($C39="","",EDATE($C39,Milestones!$AA$150))</f>
        <v/>
      </c>
      <c r="EM39" s="20" t="str">
        <f aca="false">IF($C39="","",EDATE($C39,Milestones!$AA$151))</f>
        <v/>
      </c>
      <c r="EN39" s="20" t="str">
        <f aca="false">IF($C39="","",EDATE($C39,Milestones!$AA$152))</f>
        <v/>
      </c>
      <c r="EO39" s="20" t="str">
        <f aca="false">IF($C39="","",EDATE($C39,Milestones!$AA$153))</f>
        <v/>
      </c>
      <c r="EP39" s="20" t="str">
        <f aca="false">IF($C39="","",EDATE($C39,Milestones!$AA$154))</f>
        <v/>
      </c>
      <c r="EQ39" s="20" t="str">
        <f aca="false">IF($C39="","",EDATE($C39,Milestones!$AA$155))</f>
        <v/>
      </c>
      <c r="ER39" s="20" t="str">
        <f aca="false">IF($C39="","",EDATE($C39,Milestones!$AA$156))</f>
        <v/>
      </c>
      <c r="ES39" s="20" t="str">
        <f aca="false">IF($C39="","",EDATE($C39,Milestones!$AA$157))</f>
        <v/>
      </c>
      <c r="ET39" s="20" t="str">
        <f aca="false">IF($C39="","",EDATE($C39,Milestones!$AA$158))</f>
        <v/>
      </c>
      <c r="EU39" s="20" t="str">
        <f aca="false">IF($C39="","",EDATE($C39,Milestones!$AA$159))</f>
        <v/>
      </c>
      <c r="EV39" s="20" t="str">
        <f aca="false">IF($C39="","",EDATE($C39,Milestones!$AA$160))</f>
        <v/>
      </c>
      <c r="EW39" s="20" t="str">
        <f aca="false">IF($C39="","",EDATE($C39,Milestones!$AA$161))</f>
        <v/>
      </c>
      <c r="EX39" s="20" t="str">
        <f aca="false">IF($C39="","",EDATE($C39,Milestones!$AA$162))</f>
        <v/>
      </c>
      <c r="EY39" s="20" t="str">
        <f aca="false">IF($C39="","",EDATE($C39,Milestones!$AA$163))</f>
        <v/>
      </c>
      <c r="EZ39" s="20" t="str">
        <f aca="false">IF($C39="","",EDATE($C39,Milestones!$AA$164))</f>
        <v/>
      </c>
      <c r="FA39" s="20" t="str">
        <f aca="false">IF($C39="","",EDATE($C39,Milestones!$AA$165))</f>
        <v/>
      </c>
      <c r="FB39" s="20" t="str">
        <f aca="false">IF($C39="","",EDATE($C39,Milestones!$AA$166))</f>
        <v/>
      </c>
      <c r="FC39" s="20" t="str">
        <f aca="false">IF($C39="","",EDATE($C39,Milestones!$AA$167))</f>
        <v/>
      </c>
      <c r="FD39" s="20" t="str">
        <f aca="false">IF($C39="","",EDATE($C39,Milestones!$AA$168))</f>
        <v/>
      </c>
      <c r="FE39" s="20" t="str">
        <f aca="false">IF($C39="","",EDATE($C39,Milestones!$AA$169))</f>
        <v/>
      </c>
      <c r="FF39" s="20" t="str">
        <f aca="false">IF($C39="","",EDATE($C39,Milestones!$AA$170))</f>
        <v/>
      </c>
      <c r="FG39" s="20" t="str">
        <f aca="false">IF($C39="","",EDATE($C39,Milestones!$AA$171))</f>
        <v/>
      </c>
      <c r="FH39" s="20" t="str">
        <f aca="false">IF($C39="","",EDATE($C39,Milestones!$AA$172))</f>
        <v/>
      </c>
      <c r="FI39" s="20" t="str">
        <f aca="false">IF($C39="","",EDATE($C39,Milestones!$AA$173))</f>
        <v/>
      </c>
      <c r="FJ39" s="20" t="str">
        <f aca="false">IF($C39="","",EDATE($C39,Milestones!$AA$174))</f>
        <v/>
      </c>
      <c r="FK39" s="20" t="str">
        <f aca="false">IF($C39="","",EDATE($C39,Milestones!$AA$175))</f>
        <v/>
      </c>
      <c r="FL39" s="20" t="str">
        <f aca="false">IF($C39="","",EDATE($C39,Milestones!$AA$176))</f>
        <v/>
      </c>
      <c r="FM39" s="20" t="str">
        <f aca="false">IF($C39="","",EDATE($C39,Milestones!$AA$177))</f>
        <v/>
      </c>
      <c r="FN39" s="20" t="str">
        <f aca="false">IF($C39="","",EDATE($C39,Milestones!$AA$178))</f>
        <v/>
      </c>
      <c r="FO39" s="20" t="str">
        <f aca="false">IF($C39="","",EDATE($C39,Milestones!$AA$179))</f>
        <v/>
      </c>
      <c r="FP39" s="20" t="str">
        <f aca="false">IF($C39="","",EDATE($C39,Milestones!$AA$180))</f>
        <v/>
      </c>
      <c r="FQ39" s="20" t="str">
        <f aca="false">IF($C39="","",EDATE($C39,Milestones!$AA$181))</f>
        <v/>
      </c>
      <c r="FR39" s="20" t="str">
        <f aca="false">IF($C39="","",EDATE($C39,Milestones!$AA$182))</f>
        <v/>
      </c>
      <c r="FS39" s="20" t="str">
        <f aca="false">IF($C39="","",EDATE($C39,Milestones!$AA$183))</f>
        <v/>
      </c>
      <c r="FT39" s="20" t="str">
        <f aca="false">IF($C39="","",EDATE($C39,Milestones!$AA$184))</f>
        <v/>
      </c>
      <c r="FU39" s="20" t="str">
        <f aca="false">IF($C39="","",EDATE($C39,Milestones!$AA$185))</f>
        <v/>
      </c>
      <c r="FV39" s="20" t="str">
        <f aca="false">IF($C39="","",EDATE($C39,Milestones!$AA$186))</f>
        <v/>
      </c>
      <c r="FW39" s="20" t="str">
        <f aca="false">IF($C39="","",EDATE($C39,Milestones!$AA$187))</f>
        <v/>
      </c>
      <c r="FX39" s="20" t="str">
        <f aca="false">IF($C39="","",EDATE($C39,Milestones!$AA$188))</f>
        <v/>
      </c>
      <c r="FY39" s="20" t="str">
        <f aca="false">IF($C39="","",EDATE($C39,Milestones!$AA$189))</f>
        <v/>
      </c>
      <c r="FZ39" s="20" t="str">
        <f aca="false">IF($C39="","",EDATE($C39,Milestones!$AA$190))</f>
        <v/>
      </c>
      <c r="GA39" s="20" t="str">
        <f aca="false">IF($C39="","",EDATE($C39,Milestones!$AA$191))</f>
        <v/>
      </c>
      <c r="GB39" s="20" t="str">
        <f aca="false">IF($C39="","",EDATE($C39,Milestones!$AA$192))</f>
        <v/>
      </c>
      <c r="GC39" s="20" t="str">
        <f aca="false">IF($C39="","",EDATE($C39,Milestones!$AA$193))</f>
        <v/>
      </c>
      <c r="GD39" s="20" t="str">
        <f aca="false">IF($C39="","",EDATE($C39,Milestones!$AA$194))</f>
        <v/>
      </c>
      <c r="GE39" s="20" t="str">
        <f aca="false">IF($C39="","",EDATE($C39,Milestones!$AA$195))</f>
        <v/>
      </c>
      <c r="GF39" s="20" t="str">
        <f aca="false">IF($C39="","",EDATE($C39,Milestones!$AA$196))</f>
        <v/>
      </c>
      <c r="GG39" s="20" t="str">
        <f aca="false">IF($C39="","",EDATE($C39,Milestones!$AA$197))</f>
        <v/>
      </c>
      <c r="GH39" s="20" t="str">
        <f aca="false">IF($C39="","",EDATE($C39,Milestones!$AA$198))</f>
        <v/>
      </c>
      <c r="GI39" s="20" t="str">
        <f aca="false">IF($C39="","",EDATE($C39,Milestones!$AA$199))</f>
        <v/>
      </c>
    </row>
    <row r="40" customFormat="false" ht="15" hidden="false" customHeight="false" outlineLevel="0" collapsed="false">
      <c r="K40" s="0" t="s">
        <v>263</v>
      </c>
      <c r="L40" s="0" t="str">
        <f aca="false">IF(L39="","",IF($D39=0,$J39,IF(AND($F39&lt;&gt;"",L39&gt;=$F39),$I39,IF(AND($E39&lt;&gt;"",L39&gt;=$E39),$H39,$G39))))</f>
        <v/>
      </c>
      <c r="M40" s="0" t="str">
        <f aca="false">IF(M39="","",IF($D39=0,$J39,IF(AND($F39&lt;&gt;"",M39&gt;=$F39),$I39,IF(AND($E39&lt;&gt;"",M39&gt;=$E39),$H39,$G39))))</f>
        <v/>
      </c>
      <c r="N40" s="0" t="str">
        <f aca="false">IF(N39="","",IF($D39=0,$J39,IF(AND($F39&lt;&gt;"",N39&gt;=$F39),$I39,IF(AND($E39&lt;&gt;"",N39&gt;=$E39),$H39,$G39))))</f>
        <v/>
      </c>
      <c r="O40" s="0" t="str">
        <f aca="false">IF(O39="","",IF($D39=0,$J39,IF(AND($F39&lt;&gt;"",O39&gt;=$F39),$I39,IF(AND($E39&lt;&gt;"",O39&gt;=$E39),$H39,$G39))))</f>
        <v/>
      </c>
      <c r="P40" s="0" t="str">
        <f aca="false">IF(P39="","",IF($D39=0,$J39,IF(AND($F39&lt;&gt;"",P39&gt;=$F39),$I39,IF(AND($E39&lt;&gt;"",P39&gt;=$E39),$H39,$G39))))</f>
        <v/>
      </c>
      <c r="Q40" s="0" t="str">
        <f aca="false">IF(Q39="","",IF($D39=0,$J39,IF(AND($F39&lt;&gt;"",Q39&gt;=$F39),$I39,IF(AND($E39&lt;&gt;"",Q39&gt;=$E39),$H39,$G39))))</f>
        <v/>
      </c>
      <c r="R40" s="0" t="str">
        <f aca="false">IF(R39="","",IF($D39=0,$J39,IF(AND($F39&lt;&gt;"",R39&gt;=$F39),$I39,IF(AND($E39&lt;&gt;"",R39&gt;=$E39),$H39,$G39))))</f>
        <v/>
      </c>
      <c r="S40" s="0" t="str">
        <f aca="false">IF(S39="","",IF($D39=0,$J39,IF(AND($F39&lt;&gt;"",S39&gt;=$F39),$I39,IF(AND($E39&lt;&gt;"",S39&gt;=$E39),$H39,$G39))))</f>
        <v/>
      </c>
      <c r="T40" s="0" t="str">
        <f aca="false">IF(T39="","",IF($D39=0,$J39,IF(AND($F39&lt;&gt;"",T39&gt;=$F39),$I39,IF(AND($E39&lt;&gt;"",T39&gt;=$E39),$H39,$G39))))</f>
        <v/>
      </c>
      <c r="U40" s="0" t="str">
        <f aca="false">IF(U39="","",IF($D39=0,$J39,IF(AND($F39&lt;&gt;"",U39&gt;=$F39),$I39,IF(AND($E39&lt;&gt;"",U39&gt;=$E39),$H39,$G39))))</f>
        <v/>
      </c>
      <c r="V40" s="0" t="str">
        <f aca="false">IF(V39="","",IF($D39=0,$J39,IF(AND($F39&lt;&gt;"",V39&gt;=$F39),$I39,IF(AND($E39&lt;&gt;"",V39&gt;=$E39),$H39,$G39))))</f>
        <v/>
      </c>
      <c r="W40" s="0" t="str">
        <f aca="false">IF(W39="","",IF($D39=0,$J39,IF(AND($F39&lt;&gt;"",W39&gt;=$F39),$I39,IF(AND($E39&lt;&gt;"",W39&gt;=$E39),$H39,$G39))))</f>
        <v/>
      </c>
      <c r="X40" s="0" t="str">
        <f aca="false">IF(X39="","",IF($D39=0,$J39,IF(AND($F39&lt;&gt;"",X39&gt;=$F39),$I39,IF(AND($E39&lt;&gt;"",X39&gt;=$E39),$H39,$G39))))</f>
        <v/>
      </c>
      <c r="Y40" s="0" t="str">
        <f aca="false">IF(Y39="","",IF($D39=0,$J39,IF(AND($F39&lt;&gt;"",Y39&gt;=$F39),$I39,IF(AND($E39&lt;&gt;"",Y39&gt;=$E39),$H39,$G39))))</f>
        <v/>
      </c>
      <c r="Z40" s="0" t="str">
        <f aca="false">IF(Z39="","",IF($D39=0,$J39,IF(AND($F39&lt;&gt;"",Z39&gt;=$F39),$I39,IF(AND($E39&lt;&gt;"",Z39&gt;=$E39),$H39,$G39))))</f>
        <v/>
      </c>
      <c r="AA40" s="0" t="str">
        <f aca="false">IF(AA39="","",IF($D39=0,$J39,IF(AND($F39&lt;&gt;"",AA39&gt;=$F39),$I39,IF(AND($E39&lt;&gt;"",AA39&gt;=$E39),$H39,$G39))))</f>
        <v/>
      </c>
      <c r="AB40" s="0" t="str">
        <f aca="false">IF(AB39="","",IF($D39=0,$J39,IF(AND($F39&lt;&gt;"",AB39&gt;=$F39),$I39,IF(AND($E39&lt;&gt;"",AB39&gt;=$E39),$H39,$G39))))</f>
        <v/>
      </c>
      <c r="AC40" s="0" t="str">
        <f aca="false">IF(AC39="","",IF($D39=0,$J39,IF(AND($F39&lt;&gt;"",AC39&gt;=$F39),$I39,IF(AND($E39&lt;&gt;"",AC39&gt;=$E39),$H39,$G39))))</f>
        <v/>
      </c>
      <c r="AD40" s="0" t="str">
        <f aca="false">IF(AD39="","",IF($D39=0,$J39,IF(AND($F39&lt;&gt;"",AD39&gt;=$F39),$I39,IF(AND($E39&lt;&gt;"",AD39&gt;=$E39),$H39,$G39))))</f>
        <v/>
      </c>
      <c r="AE40" s="0" t="str">
        <f aca="false">IF(AE39="","",IF($D39=0,$J39,IF(AND($F39&lt;&gt;"",AE39&gt;=$F39),$I39,IF(AND($E39&lt;&gt;"",AE39&gt;=$E39),$H39,$G39))))</f>
        <v/>
      </c>
      <c r="AF40" s="0" t="str">
        <f aca="false">IF(AF39="","",IF($D39=0,$J39,IF(AND($F39&lt;&gt;"",AF39&gt;=$F39),$I39,IF(AND($E39&lt;&gt;"",AF39&gt;=$E39),$H39,$G39))))</f>
        <v/>
      </c>
      <c r="AG40" s="0" t="str">
        <f aca="false">IF(AG39="","",IF($D39=0,$J39,IF(AND($F39&lt;&gt;"",AG39&gt;=$F39),$I39,IF(AND($E39&lt;&gt;"",AG39&gt;=$E39),$H39,$G39))))</f>
        <v/>
      </c>
      <c r="AH40" s="0" t="str">
        <f aca="false">IF(AH39="","",IF($D39=0,$J39,IF(AND($F39&lt;&gt;"",AH39&gt;=$F39),$I39,IF(AND($E39&lt;&gt;"",AH39&gt;=$E39),$H39,$G39))))</f>
        <v/>
      </c>
      <c r="AI40" s="0" t="str">
        <f aca="false">IF(AI39="","",IF($D39=0,$J39,IF(AND($F39&lt;&gt;"",AI39&gt;=$F39),$I39,IF(AND($E39&lt;&gt;"",AI39&gt;=$E39),$H39,$G39))))</f>
        <v/>
      </c>
      <c r="AJ40" s="0" t="str">
        <f aca="false">IF(AJ39="","",IF($D39=0,$J39,IF(AND($F39&lt;&gt;"",AJ39&gt;=$F39),$I39,IF(AND($E39&lt;&gt;"",AJ39&gt;=$E39),$H39,$G39))))</f>
        <v/>
      </c>
      <c r="AK40" s="0" t="str">
        <f aca="false">IF(AK39="","",IF($D39=0,$J39,IF(AND($F39&lt;&gt;"",AK39&gt;=$F39),$I39,IF(AND($E39&lt;&gt;"",AK39&gt;=$E39),$H39,$G39))))</f>
        <v/>
      </c>
      <c r="AL40" s="0" t="str">
        <f aca="false">IF(AL39="","",IF($D39=0,$J39,IF(AND($F39&lt;&gt;"",AL39&gt;=$F39),$I39,IF(AND($E39&lt;&gt;"",AL39&gt;=$E39),$H39,$G39))))</f>
        <v/>
      </c>
      <c r="AM40" s="0" t="str">
        <f aca="false">IF(AM39="","",IF($D39=0,$J39,IF(AND($F39&lt;&gt;"",AM39&gt;=$F39),$I39,IF(AND($E39&lt;&gt;"",AM39&gt;=$E39),$H39,$G39))))</f>
        <v/>
      </c>
      <c r="AN40" s="0" t="str">
        <f aca="false">IF(AN39="","",IF($D39=0,$J39,IF(AND($F39&lt;&gt;"",AN39&gt;=$F39),$I39,IF(AND($E39&lt;&gt;"",AN39&gt;=$E39),$H39,$G39))))</f>
        <v/>
      </c>
      <c r="AO40" s="0" t="str">
        <f aca="false">IF(AO39="","",IF($D39=0,$J39,IF(AND($F39&lt;&gt;"",AO39&gt;=$F39),$I39,IF(AND($E39&lt;&gt;"",AO39&gt;=$E39),$H39,$G39))))</f>
        <v/>
      </c>
      <c r="AP40" s="0" t="str">
        <f aca="false">IF(AP39="","",IF($D39=0,$J39,IF(AND($F39&lt;&gt;"",AP39&gt;=$F39),$I39,IF(AND($E39&lt;&gt;"",AP39&gt;=$E39),$H39,$G39))))</f>
        <v/>
      </c>
      <c r="AQ40" s="0" t="str">
        <f aca="false">IF(AQ39="","",IF($D39=0,$J39,IF(AND($F39&lt;&gt;"",AQ39&gt;=$F39),$I39,IF(AND($E39&lt;&gt;"",AQ39&gt;=$E39),$H39,$G39))))</f>
        <v/>
      </c>
      <c r="AR40" s="0" t="str">
        <f aca="false">IF(AR39="","",IF($D39=0,$J39,IF(AND($F39&lt;&gt;"",AR39&gt;=$F39),$I39,IF(AND($E39&lt;&gt;"",AR39&gt;=$E39),$H39,$G39))))</f>
        <v/>
      </c>
      <c r="AS40" s="0" t="str">
        <f aca="false">IF(AS39="","",IF($D39=0,$J39,IF(AND($F39&lt;&gt;"",AS39&gt;=$F39),$I39,IF(AND($E39&lt;&gt;"",AS39&gt;=$E39),$H39,$G39))))</f>
        <v/>
      </c>
      <c r="AT40" s="0" t="str">
        <f aca="false">IF(AT39="","",IF($D39=0,$J39,IF(AND($F39&lt;&gt;"",AT39&gt;=$F39),$I39,IF(AND($E39&lt;&gt;"",AT39&gt;=$E39),$H39,$G39))))</f>
        <v/>
      </c>
      <c r="AU40" s="0" t="str">
        <f aca="false">IF(AU39="","",IF($D39=0,$J39,IF(AND($F39&lt;&gt;"",AU39&gt;=$F39),$I39,IF(AND($E39&lt;&gt;"",AU39&gt;=$E39),$H39,$G39))))</f>
        <v/>
      </c>
      <c r="AV40" s="0" t="str">
        <f aca="false">IF(AV39="","",IF($D39=0,$J39,IF(AND($F39&lt;&gt;"",AV39&gt;=$F39),$I39,IF(AND($E39&lt;&gt;"",AV39&gt;=$E39),$H39,$G39))))</f>
        <v/>
      </c>
      <c r="AW40" s="0" t="str">
        <f aca="false">IF(AW39="","",IF($D39=0,$J39,IF(AND($F39&lt;&gt;"",AW39&gt;=$F39),$I39,IF(AND($E39&lt;&gt;"",AW39&gt;=$E39),$H39,$G39))))</f>
        <v/>
      </c>
      <c r="AX40" s="0" t="str">
        <f aca="false">IF(AX39="","",IF($D39=0,$J39,IF(AND($F39&lt;&gt;"",AX39&gt;=$F39),$I39,IF(AND($E39&lt;&gt;"",AX39&gt;=$E39),$H39,$G39))))</f>
        <v/>
      </c>
      <c r="AY40" s="0" t="str">
        <f aca="false">IF(AY39="","",IF($D39=0,$J39,IF(AND($F39&lt;&gt;"",AY39&gt;=$F39),$I39,IF(AND($E39&lt;&gt;"",AY39&gt;=$E39),$H39,$G39))))</f>
        <v/>
      </c>
      <c r="AZ40" s="0" t="str">
        <f aca="false">IF(AZ39="","",IF($D39=0,$J39,IF(AND($F39&lt;&gt;"",AZ39&gt;=$F39),$I39,IF(AND($E39&lt;&gt;"",AZ39&gt;=$E39),$H39,$G39))))</f>
        <v/>
      </c>
      <c r="BA40" s="0" t="str">
        <f aca="false">IF(BA39="","",IF($D39=0,$J39,IF(AND($F39&lt;&gt;"",BA39&gt;=$F39),$I39,IF(AND($E39&lt;&gt;"",BA39&gt;=$E39),$H39,$G39))))</f>
        <v/>
      </c>
      <c r="BB40" s="0" t="str">
        <f aca="false">IF(BB39="","",IF($D39=0,$J39,IF(AND($F39&lt;&gt;"",BB39&gt;=$F39),$I39,IF(AND($E39&lt;&gt;"",BB39&gt;=$E39),$H39,$G39))))</f>
        <v/>
      </c>
      <c r="BC40" s="0" t="str">
        <f aca="false">IF(BC39="","",IF($D39=0,$J39,IF(AND($F39&lt;&gt;"",BC39&gt;=$F39),$I39,IF(AND($E39&lt;&gt;"",BC39&gt;=$E39),$H39,$G39))))</f>
        <v/>
      </c>
      <c r="BD40" s="0" t="str">
        <f aca="false">IF(BD39="","",IF($D39=0,$J39,IF(AND($F39&lt;&gt;"",BD39&gt;=$F39),$I39,IF(AND($E39&lt;&gt;"",BD39&gt;=$E39),$H39,$G39))))</f>
        <v/>
      </c>
      <c r="BE40" s="0" t="str">
        <f aca="false">IF(BE39="","",IF($D39=0,$J39,IF(AND($F39&lt;&gt;"",BE39&gt;=$F39),$I39,IF(AND($E39&lt;&gt;"",BE39&gt;=$E39),$H39,$G39))))</f>
        <v/>
      </c>
      <c r="BF40" s="0" t="str">
        <f aca="false">IF(BF39="","",IF($D39=0,$J39,IF(AND($F39&lt;&gt;"",BF39&gt;=$F39),$I39,IF(AND($E39&lt;&gt;"",BF39&gt;=$E39),$H39,$G39))))</f>
        <v/>
      </c>
      <c r="BG40" s="0" t="str">
        <f aca="false">IF(BG39="","",IF($D39=0,$J39,IF(AND($F39&lt;&gt;"",BG39&gt;=$F39),$I39,IF(AND($E39&lt;&gt;"",BG39&gt;=$E39),$H39,$G39))))</f>
        <v/>
      </c>
      <c r="BH40" s="0" t="str">
        <f aca="false">IF(BH39="","",IF($D39=0,$J39,IF(AND($F39&lt;&gt;"",BH39&gt;=$F39),$I39,IF(AND($E39&lt;&gt;"",BH39&gt;=$E39),$H39,$G39))))</f>
        <v/>
      </c>
      <c r="BI40" s="0" t="str">
        <f aca="false">IF(BI39="","",IF($D39=0,$J39,IF(AND($F39&lt;&gt;"",BI39&gt;=$F39),$I39,IF(AND($E39&lt;&gt;"",BI39&gt;=$E39),$H39,$G39))))</f>
        <v/>
      </c>
      <c r="BJ40" s="0" t="str">
        <f aca="false">IF(BJ39="","",IF($D39=0,$J39,IF(AND($F39&lt;&gt;"",BJ39&gt;=$F39),$I39,IF(AND($E39&lt;&gt;"",BJ39&gt;=$E39),$H39,$G39))))</f>
        <v/>
      </c>
      <c r="BK40" s="0" t="str">
        <f aca="false">IF(BK39="","",IF($D39=0,$J39,IF(AND($F39&lt;&gt;"",BK39&gt;=$F39),$I39,IF(AND($E39&lt;&gt;"",BK39&gt;=$E39),$H39,$G39))))</f>
        <v/>
      </c>
      <c r="BL40" s="0" t="str">
        <f aca="false">IF(BL39="","",IF($D39=0,$J39,IF(AND($F39&lt;&gt;"",BL39&gt;=$F39),$I39,IF(AND($E39&lt;&gt;"",BL39&gt;=$E39),$H39,$G39))))</f>
        <v/>
      </c>
      <c r="BM40" s="0" t="str">
        <f aca="false">IF(BM39="","",IF($D39=0,$J39,IF(AND($F39&lt;&gt;"",BM39&gt;=$F39),$I39,IF(AND($E39&lt;&gt;"",BM39&gt;=$E39),$H39,$G39))))</f>
        <v/>
      </c>
      <c r="BN40" s="0" t="str">
        <f aca="false">IF(BN39="","",IF($D39=0,$J39,IF(AND($F39&lt;&gt;"",BN39&gt;=$F39),$I39,IF(AND($E39&lt;&gt;"",BN39&gt;=$E39),$H39,$G39))))</f>
        <v/>
      </c>
      <c r="BO40" s="0" t="str">
        <f aca="false">IF(BO39="","",IF($D39=0,$J39,IF(AND($F39&lt;&gt;"",BO39&gt;=$F39),$I39,IF(AND($E39&lt;&gt;"",BO39&gt;=$E39),$H39,$G39))))</f>
        <v/>
      </c>
      <c r="BP40" s="0" t="str">
        <f aca="false">IF(BP39="","",IF($D39=0,$J39,IF(AND($F39&lt;&gt;"",BP39&gt;=$F39),$I39,IF(AND($E39&lt;&gt;"",BP39&gt;=$E39),$H39,$G39))))</f>
        <v/>
      </c>
      <c r="BQ40" s="0" t="str">
        <f aca="false">IF(BQ39="","",IF($D39=0,$J39,IF(AND($F39&lt;&gt;"",BQ39&gt;=$F39),$I39,IF(AND($E39&lt;&gt;"",BQ39&gt;=$E39),$H39,$G39))))</f>
        <v/>
      </c>
      <c r="BR40" s="0" t="str">
        <f aca="false">IF(BR39="","",IF($D39=0,$J39,IF(AND($F39&lt;&gt;"",BR39&gt;=$F39),$I39,IF(AND($E39&lt;&gt;"",BR39&gt;=$E39),$H39,$G39))))</f>
        <v/>
      </c>
      <c r="BS40" s="0" t="str">
        <f aca="false">IF(BS39="","",IF($D39=0,$J39,IF(AND($F39&lt;&gt;"",BS39&gt;=$F39),$I39,IF(AND($E39&lt;&gt;"",BS39&gt;=$E39),$H39,$G39))))</f>
        <v/>
      </c>
      <c r="BT40" s="0" t="str">
        <f aca="false">IF(BT39="","",IF($D39=0,$J39,IF(AND($F39&lt;&gt;"",BT39&gt;=$F39),$I39,IF(AND($E39&lt;&gt;"",BT39&gt;=$E39),$H39,$G39))))</f>
        <v/>
      </c>
      <c r="BU40" s="0" t="str">
        <f aca="false">IF(BU39="","",IF($D39=0,$J39,IF(AND($F39&lt;&gt;"",BU39&gt;=$F39),$I39,IF(AND($E39&lt;&gt;"",BU39&gt;=$E39),$H39,$G39))))</f>
        <v/>
      </c>
      <c r="BV40" s="0" t="str">
        <f aca="false">IF(BV39="","",IF($D39=0,$J39,IF(AND($F39&lt;&gt;"",BV39&gt;=$F39),$I39,IF(AND($E39&lt;&gt;"",BV39&gt;=$E39),$H39,$G39))))</f>
        <v/>
      </c>
      <c r="BW40" s="0" t="str">
        <f aca="false">IF(BW39="","",IF($D39=0,$J39,IF(AND($F39&lt;&gt;"",BW39&gt;=$F39),$I39,IF(AND($E39&lt;&gt;"",BW39&gt;=$E39),$H39,$G39))))</f>
        <v/>
      </c>
      <c r="BX40" s="0" t="str">
        <f aca="false">IF(BX39="","",IF($D39=0,$J39,IF(AND($F39&lt;&gt;"",BX39&gt;=$F39),$I39,IF(AND($E39&lt;&gt;"",BX39&gt;=$E39),$H39,$G39))))</f>
        <v/>
      </c>
      <c r="BY40" s="0" t="str">
        <f aca="false">IF(BY39="","",IF($D39=0,$J39,IF(AND($F39&lt;&gt;"",BY39&gt;=$F39),$I39,IF(AND($E39&lt;&gt;"",BY39&gt;=$E39),$H39,$G39))))</f>
        <v/>
      </c>
      <c r="BZ40" s="0" t="str">
        <f aca="false">IF(BZ39="","",IF($D39=0,$J39,IF(AND($F39&lt;&gt;"",BZ39&gt;=$F39),$I39,IF(AND($E39&lt;&gt;"",BZ39&gt;=$E39),$H39,$G39))))</f>
        <v/>
      </c>
      <c r="CA40" s="0" t="str">
        <f aca="false">IF(CA39="","",IF($D39=0,$J39,IF(AND($F39&lt;&gt;"",CA39&gt;=$F39),$I39,IF(AND($E39&lt;&gt;"",CA39&gt;=$E39),$H39,$G39))))</f>
        <v/>
      </c>
      <c r="CB40" s="0" t="str">
        <f aca="false">IF(CB39="","",IF($D39=0,$J39,IF(AND($F39&lt;&gt;"",CB39&gt;=$F39),$I39,IF(AND($E39&lt;&gt;"",CB39&gt;=$E39),$H39,$G39))))</f>
        <v/>
      </c>
      <c r="CC40" s="0" t="str">
        <f aca="false">IF(CC39="","",IF($D39=0,$J39,IF(AND($F39&lt;&gt;"",CC39&gt;=$F39),$I39,IF(AND($E39&lt;&gt;"",CC39&gt;=$E39),$H39,$G39))))</f>
        <v/>
      </c>
      <c r="CD40" s="0" t="str">
        <f aca="false">IF(CD39="","",IF($D39=0,$J39,IF(AND($F39&lt;&gt;"",CD39&gt;=$F39),$I39,IF(AND($E39&lt;&gt;"",CD39&gt;=$E39),$H39,$G39))))</f>
        <v/>
      </c>
      <c r="CE40" s="0" t="str">
        <f aca="false">IF(CE39="","",IF($D39=0,$J39,IF(AND($F39&lt;&gt;"",CE39&gt;=$F39),$I39,IF(AND($E39&lt;&gt;"",CE39&gt;=$E39),$H39,$G39))))</f>
        <v/>
      </c>
      <c r="CF40" s="0" t="str">
        <f aca="false">IF(CF39="","",IF($D39=0,$J39,IF(AND($F39&lt;&gt;"",CF39&gt;=$F39),$I39,IF(AND($E39&lt;&gt;"",CF39&gt;=$E39),$H39,$G39))))</f>
        <v/>
      </c>
      <c r="CG40" s="0" t="str">
        <f aca="false">IF(CG39="","",IF($D39=0,$J39,IF(AND($F39&lt;&gt;"",CG39&gt;=$F39),$I39,IF(AND($E39&lt;&gt;"",CG39&gt;=$E39),$H39,$G39))))</f>
        <v/>
      </c>
      <c r="CH40" s="0" t="str">
        <f aca="false">IF(CH39="","",IF($D39=0,$J39,IF(AND($F39&lt;&gt;"",CH39&gt;=$F39),$I39,IF(AND($E39&lt;&gt;"",CH39&gt;=$E39),$H39,$G39))))</f>
        <v/>
      </c>
      <c r="CI40" s="0" t="str">
        <f aca="false">IF(CI39="","",IF($D39=0,$J39,IF(AND($F39&lt;&gt;"",CI39&gt;=$F39),$I39,IF(AND($E39&lt;&gt;"",CI39&gt;=$E39),$H39,$G39))))</f>
        <v/>
      </c>
      <c r="CJ40" s="0" t="str">
        <f aca="false">IF(CJ39="","",IF($D39=0,$J39,IF(AND($F39&lt;&gt;"",CJ39&gt;=$F39),$I39,IF(AND($E39&lt;&gt;"",CJ39&gt;=$E39),$H39,$G39))))</f>
        <v/>
      </c>
      <c r="CK40" s="0" t="str">
        <f aca="false">IF(CK39="","",IF($D39=0,$J39,IF(AND($F39&lt;&gt;"",CK39&gt;=$F39),$I39,IF(AND($E39&lt;&gt;"",CK39&gt;=$E39),$H39,$G39))))</f>
        <v/>
      </c>
      <c r="CL40" s="0" t="str">
        <f aca="false">IF(CL39="","",IF($D39=0,$J39,IF(AND($F39&lt;&gt;"",CL39&gt;=$F39),$I39,IF(AND($E39&lt;&gt;"",CL39&gt;=$E39),$H39,$G39))))</f>
        <v/>
      </c>
      <c r="CM40" s="0" t="str">
        <f aca="false">IF(CM39="","",IF($D39=0,$J39,IF(AND($F39&lt;&gt;"",CM39&gt;=$F39),$I39,IF(AND($E39&lt;&gt;"",CM39&gt;=$E39),$H39,$G39))))</f>
        <v/>
      </c>
      <c r="CN40" s="0" t="str">
        <f aca="false">IF(CN39="","",IF($D39=0,$J39,IF(AND($F39&lt;&gt;"",CN39&gt;=$F39),$I39,IF(AND($E39&lt;&gt;"",CN39&gt;=$E39),$H39,$G39))))</f>
        <v/>
      </c>
      <c r="CO40" s="0" t="str">
        <f aca="false">IF(CO39="","",IF($D39=0,$J39,IF(AND($F39&lt;&gt;"",CO39&gt;=$F39),$I39,IF(AND($E39&lt;&gt;"",CO39&gt;=$E39),$H39,$G39))))</f>
        <v/>
      </c>
      <c r="CP40" s="0" t="str">
        <f aca="false">IF(CP39="","",IF($D39=0,$J39,IF(AND($F39&lt;&gt;"",CP39&gt;=$F39),$I39,IF(AND($E39&lt;&gt;"",CP39&gt;=$E39),$H39,$G39))))</f>
        <v/>
      </c>
      <c r="CQ40" s="0" t="str">
        <f aca="false">IF(CQ39="","",IF($D39=0,$J39,IF(AND($F39&lt;&gt;"",CQ39&gt;=$F39),$I39,IF(AND($E39&lt;&gt;"",CQ39&gt;=$E39),$H39,$G39))))</f>
        <v/>
      </c>
      <c r="CR40" s="0" t="str">
        <f aca="false">IF(CR39="","",IF($D39=0,$J39,IF(AND($F39&lt;&gt;"",CR39&gt;=$F39),$I39,IF(AND($E39&lt;&gt;"",CR39&gt;=$E39),$H39,$G39))))</f>
        <v/>
      </c>
      <c r="CS40" s="0" t="str">
        <f aca="false">IF(CS39="","",IF($D39=0,$J39,IF(AND($F39&lt;&gt;"",CS39&gt;=$F39),$I39,IF(AND($E39&lt;&gt;"",CS39&gt;=$E39),$H39,$G39))))</f>
        <v/>
      </c>
      <c r="CT40" s="0" t="str">
        <f aca="false">IF(CT39="","",IF($D39=0,$J39,IF(AND($F39&lt;&gt;"",CT39&gt;=$F39),$I39,IF(AND($E39&lt;&gt;"",CT39&gt;=$E39),$H39,$G39))))</f>
        <v/>
      </c>
      <c r="CU40" s="0" t="str">
        <f aca="false">IF(CU39="","",IF($D39=0,$J39,IF(AND($F39&lt;&gt;"",CU39&gt;=$F39),$I39,IF(AND($E39&lt;&gt;"",CU39&gt;=$E39),$H39,$G39))))</f>
        <v/>
      </c>
      <c r="CV40" s="0" t="str">
        <f aca="false">IF(CV39="","",IF($D39=0,$J39,IF(AND($F39&lt;&gt;"",CV39&gt;=$F39),$I39,IF(AND($E39&lt;&gt;"",CV39&gt;=$E39),$H39,$G39))))</f>
        <v/>
      </c>
      <c r="CW40" s="0" t="str">
        <f aca="false">IF(CW39="","",IF($D39=0,$J39,IF(AND($F39&lt;&gt;"",CW39&gt;=$F39),$I39,IF(AND($E39&lt;&gt;"",CW39&gt;=$E39),$H39,$G39))))</f>
        <v/>
      </c>
      <c r="CX40" s="0" t="str">
        <f aca="false">IF(CX39="","",IF($D39=0,$J39,IF(AND($F39&lt;&gt;"",CX39&gt;=$F39),$I39,IF(AND($E39&lt;&gt;"",CX39&gt;=$E39),$H39,$G39))))</f>
        <v/>
      </c>
      <c r="CY40" s="0" t="str">
        <f aca="false">IF(CY39="","",IF($D39=0,$J39,IF(AND($F39&lt;&gt;"",CY39&gt;=$F39),$I39,IF(AND($E39&lt;&gt;"",CY39&gt;=$E39),$H39,$G39))))</f>
        <v/>
      </c>
      <c r="CZ40" s="0" t="str">
        <f aca="false">IF(CZ39="","",IF($D39=0,$J39,IF(AND($F39&lt;&gt;"",CZ39&gt;=$F39),$I39,IF(AND($E39&lt;&gt;"",CZ39&gt;=$E39),$H39,$G39))))</f>
        <v/>
      </c>
      <c r="DA40" s="0" t="str">
        <f aca="false">IF(DA39="","",IF($D39=0,$J39,IF(AND($F39&lt;&gt;"",DA39&gt;=$F39),$I39,IF(AND($E39&lt;&gt;"",DA39&gt;=$E39),$H39,$G39))))</f>
        <v/>
      </c>
      <c r="DB40" s="0" t="str">
        <f aca="false">IF(DB39="","",IF($D39=0,$J39,IF(AND($F39&lt;&gt;"",DB39&gt;=$F39),$I39,IF(AND($E39&lt;&gt;"",DB39&gt;=$E39),$H39,$G39))))</f>
        <v/>
      </c>
      <c r="DC40" s="0" t="str">
        <f aca="false">IF(DC39="","",IF($D39=0,$J39,IF(AND($F39&lt;&gt;"",DC39&gt;=$F39),$I39,IF(AND($E39&lt;&gt;"",DC39&gt;=$E39),$H39,$G39))))</f>
        <v/>
      </c>
      <c r="DD40" s="0" t="str">
        <f aca="false">IF(DD39="","",IF($D39=0,$J39,IF(AND($F39&lt;&gt;"",DD39&gt;=$F39),$I39,IF(AND($E39&lt;&gt;"",DD39&gt;=$E39),$H39,$G39))))</f>
        <v/>
      </c>
      <c r="DE40" s="0" t="str">
        <f aca="false">IF(DE39="","",IF($D39=0,$J39,IF(AND($F39&lt;&gt;"",DE39&gt;=$F39),$I39,IF(AND($E39&lt;&gt;"",DE39&gt;=$E39),$H39,$G39))))</f>
        <v/>
      </c>
      <c r="DF40" s="0" t="str">
        <f aca="false">IF(DF39="","",IF($D39=0,$J39,IF(AND($F39&lt;&gt;"",DF39&gt;=$F39),$I39,IF(AND($E39&lt;&gt;"",DF39&gt;=$E39),$H39,$G39))))</f>
        <v/>
      </c>
      <c r="DG40" s="0" t="str">
        <f aca="false">IF(DG39="","",IF($D39=0,$J39,IF(AND($F39&lt;&gt;"",DG39&gt;=$F39),$I39,IF(AND($E39&lt;&gt;"",DG39&gt;=$E39),$H39,$G39))))</f>
        <v/>
      </c>
      <c r="DH40" s="0" t="str">
        <f aca="false">IF(DH39="","",IF($D39=0,$J39,IF(AND($F39&lt;&gt;"",DH39&gt;=$F39),$I39,IF(AND($E39&lt;&gt;"",DH39&gt;=$E39),$H39,$G39))))</f>
        <v/>
      </c>
      <c r="DI40" s="0" t="str">
        <f aca="false">IF(DI39="","",IF($D39=0,$J39,IF(AND($F39&lt;&gt;"",DI39&gt;=$F39),$I39,IF(AND($E39&lt;&gt;"",DI39&gt;=$E39),$H39,$G39))))</f>
        <v/>
      </c>
      <c r="DJ40" s="0" t="str">
        <f aca="false">IF(DJ39="","",IF($D39=0,$J39,IF(AND($F39&lt;&gt;"",DJ39&gt;=$F39),$I39,IF(AND($E39&lt;&gt;"",DJ39&gt;=$E39),$H39,$G39))))</f>
        <v/>
      </c>
      <c r="DK40" s="0" t="str">
        <f aca="false">IF(DK39="","",IF($D39=0,$J39,IF(AND($F39&lt;&gt;"",DK39&gt;=$F39),$I39,IF(AND($E39&lt;&gt;"",DK39&gt;=$E39),$H39,$G39))))</f>
        <v/>
      </c>
      <c r="DL40" s="0" t="str">
        <f aca="false">IF(DL39="","",IF($D39=0,$J39,IF(AND($F39&lt;&gt;"",DL39&gt;=$F39),$I39,IF(AND($E39&lt;&gt;"",DL39&gt;=$E39),$H39,$G39))))</f>
        <v/>
      </c>
      <c r="DM40" s="0" t="str">
        <f aca="false">IF(DM39="","",IF($D39=0,$J39,IF(AND($F39&lt;&gt;"",DM39&gt;=$F39),$I39,IF(AND($E39&lt;&gt;"",DM39&gt;=$E39),$H39,$G39))))</f>
        <v/>
      </c>
      <c r="DN40" s="0" t="str">
        <f aca="false">IF(DN39="","",IF($D39=0,$J39,IF(AND($F39&lt;&gt;"",DN39&gt;=$F39),$I39,IF(AND($E39&lt;&gt;"",DN39&gt;=$E39),$H39,$G39))))</f>
        <v/>
      </c>
      <c r="DO40" s="0" t="str">
        <f aca="false">IF(DO39="","",IF($D39=0,$J39,IF(AND($F39&lt;&gt;"",DO39&gt;=$F39),$I39,IF(AND($E39&lt;&gt;"",DO39&gt;=$E39),$H39,$G39))))</f>
        <v/>
      </c>
      <c r="DP40" s="0" t="str">
        <f aca="false">IF(DP39="","",IF($D39=0,$J39,IF(AND($F39&lt;&gt;"",DP39&gt;=$F39),$I39,IF(AND($E39&lt;&gt;"",DP39&gt;=$E39),$H39,$G39))))</f>
        <v/>
      </c>
      <c r="DQ40" s="0" t="str">
        <f aca="false">IF(DQ39="","",IF($D39=0,$J39,IF(AND($F39&lt;&gt;"",DQ39&gt;=$F39),$I39,IF(AND($E39&lt;&gt;"",DQ39&gt;=$E39),$H39,$G39))))</f>
        <v/>
      </c>
      <c r="DR40" s="0" t="str">
        <f aca="false">IF(DR39="","",IF($D39=0,$J39,IF(AND($F39&lt;&gt;"",DR39&gt;=$F39),$I39,IF(AND($E39&lt;&gt;"",DR39&gt;=$E39),$H39,$G39))))</f>
        <v/>
      </c>
      <c r="DS40" s="0" t="str">
        <f aca="false">IF(DS39="","",IF($D39=0,$J39,IF(AND($F39&lt;&gt;"",DS39&gt;=$F39),$I39,IF(AND($E39&lt;&gt;"",DS39&gt;=$E39),$H39,$G39))))</f>
        <v/>
      </c>
      <c r="DT40" s="0" t="str">
        <f aca="false">IF(DT39="","",IF($D39=0,$J39,IF(AND($F39&lt;&gt;"",DT39&gt;=$F39),$I39,IF(AND($E39&lt;&gt;"",DT39&gt;=$E39),$H39,$G39))))</f>
        <v/>
      </c>
      <c r="DU40" s="0" t="str">
        <f aca="false">IF(DU39="","",IF($D39=0,$J39,IF(AND($F39&lt;&gt;"",DU39&gt;=$F39),$I39,IF(AND($E39&lt;&gt;"",DU39&gt;=$E39),$H39,$G39))))</f>
        <v/>
      </c>
      <c r="DV40" s="0" t="str">
        <f aca="false">IF(DV39="","",IF($D39=0,$J39,IF(AND($F39&lt;&gt;"",DV39&gt;=$F39),$I39,IF(AND($E39&lt;&gt;"",DV39&gt;=$E39),$H39,$G39))))</f>
        <v/>
      </c>
      <c r="DW40" s="0" t="str">
        <f aca="false">IF(DW39="","",IF($D39=0,$J39,IF(AND($F39&lt;&gt;"",DW39&gt;=$F39),$I39,IF(AND($E39&lt;&gt;"",DW39&gt;=$E39),$H39,$G39))))</f>
        <v/>
      </c>
      <c r="DX40" s="0" t="str">
        <f aca="false">IF(DX39="","",IF($D39=0,$J39,IF(AND($F39&lt;&gt;"",DX39&gt;=$F39),$I39,IF(AND($E39&lt;&gt;"",DX39&gt;=$E39),$H39,$G39))))</f>
        <v/>
      </c>
      <c r="DY40" s="0" t="str">
        <f aca="false">IF(DY39="","",IF($D39=0,$J39,IF(AND($F39&lt;&gt;"",DY39&gt;=$F39),$I39,IF(AND($E39&lt;&gt;"",DY39&gt;=$E39),$H39,$G39))))</f>
        <v/>
      </c>
      <c r="DZ40" s="0" t="str">
        <f aca="false">IF(DZ39="","",IF($D39=0,$J39,IF(AND($F39&lt;&gt;"",DZ39&gt;=$F39),$I39,IF(AND($E39&lt;&gt;"",DZ39&gt;=$E39),$H39,$G39))))</f>
        <v/>
      </c>
      <c r="EA40" s="0" t="str">
        <f aca="false">IF(EA39="","",IF($D39=0,$J39,IF(AND($F39&lt;&gt;"",EA39&gt;=$F39),$I39,IF(AND($E39&lt;&gt;"",EA39&gt;=$E39),$H39,$G39))))</f>
        <v/>
      </c>
      <c r="EB40" s="0" t="str">
        <f aca="false">IF(EB39="","",IF($D39=0,$J39,IF(AND($F39&lt;&gt;"",EB39&gt;=$F39),$I39,IF(AND($E39&lt;&gt;"",EB39&gt;=$E39),$H39,$G39))))</f>
        <v/>
      </c>
      <c r="EC40" s="0" t="str">
        <f aca="false">IF(EC39="","",IF($D39=0,$J39,IF(AND($F39&lt;&gt;"",EC39&gt;=$F39),$I39,IF(AND($E39&lt;&gt;"",EC39&gt;=$E39),$H39,$G39))))</f>
        <v/>
      </c>
      <c r="ED40" s="0" t="str">
        <f aca="false">IF(ED39="","",IF($D39=0,$J39,IF(AND($F39&lt;&gt;"",ED39&gt;=$F39),$I39,IF(AND($E39&lt;&gt;"",ED39&gt;=$E39),$H39,$G39))))</f>
        <v/>
      </c>
      <c r="EE40" s="0" t="str">
        <f aca="false">IF(EE39="","",IF($D39=0,$J39,IF(AND($F39&lt;&gt;"",EE39&gt;=$F39),$I39,IF(AND($E39&lt;&gt;"",EE39&gt;=$E39),$H39,$G39))))</f>
        <v/>
      </c>
      <c r="EF40" s="0" t="str">
        <f aca="false">IF(EF39="","",IF($D39=0,$J39,IF(AND($F39&lt;&gt;"",EF39&gt;=$F39),$I39,IF(AND($E39&lt;&gt;"",EF39&gt;=$E39),$H39,$G39))))</f>
        <v/>
      </c>
      <c r="EG40" s="0" t="str">
        <f aca="false">IF(EG39="","",IF($D39=0,$J39,IF(AND($F39&lt;&gt;"",EG39&gt;=$F39),$I39,IF(AND($E39&lt;&gt;"",EG39&gt;=$E39),$H39,$G39))))</f>
        <v/>
      </c>
      <c r="EH40" s="0" t="str">
        <f aca="false">IF(EH39="","",IF($D39=0,$J39,IF(AND($F39&lt;&gt;"",EH39&gt;=$F39),$I39,IF(AND($E39&lt;&gt;"",EH39&gt;=$E39),$H39,$G39))))</f>
        <v/>
      </c>
      <c r="EI40" s="0" t="str">
        <f aca="false">IF(EI39="","",IF($D39=0,$J39,IF(AND($F39&lt;&gt;"",EI39&gt;=$F39),$I39,IF(AND($E39&lt;&gt;"",EI39&gt;=$E39),$H39,$G39))))</f>
        <v/>
      </c>
      <c r="EJ40" s="0" t="str">
        <f aca="false">IF(EJ39="","",IF($D39=0,$J39,IF(AND($F39&lt;&gt;"",EJ39&gt;=$F39),$I39,IF(AND($E39&lt;&gt;"",EJ39&gt;=$E39),$H39,$G39))))</f>
        <v/>
      </c>
      <c r="EK40" s="0" t="str">
        <f aca="false">IF(EK39="","",IF($D39=0,$J39,IF(AND($F39&lt;&gt;"",EK39&gt;=$F39),$I39,IF(AND($E39&lt;&gt;"",EK39&gt;=$E39),$H39,$G39))))</f>
        <v/>
      </c>
      <c r="EL40" s="0" t="str">
        <f aca="false">IF(EL39="","",IF($D39=0,$J39,IF(AND($F39&lt;&gt;"",EL39&gt;=$F39),$I39,IF(AND($E39&lt;&gt;"",EL39&gt;=$E39),$H39,$G39))))</f>
        <v/>
      </c>
      <c r="EM40" s="0" t="str">
        <f aca="false">IF(EM39="","",IF($D39=0,$J39,IF(AND($F39&lt;&gt;"",EM39&gt;=$F39),$I39,IF(AND($E39&lt;&gt;"",EM39&gt;=$E39),$H39,$G39))))</f>
        <v/>
      </c>
      <c r="EN40" s="0" t="str">
        <f aca="false">IF(EN39="","",IF($D39=0,$J39,IF(AND($F39&lt;&gt;"",EN39&gt;=$F39),$I39,IF(AND($E39&lt;&gt;"",EN39&gt;=$E39),$H39,$G39))))</f>
        <v/>
      </c>
      <c r="EO40" s="0" t="str">
        <f aca="false">IF(EO39="","",IF($D39=0,$J39,IF(AND($F39&lt;&gt;"",EO39&gt;=$F39),$I39,IF(AND($E39&lt;&gt;"",EO39&gt;=$E39),$H39,$G39))))</f>
        <v/>
      </c>
      <c r="EP40" s="0" t="str">
        <f aca="false">IF(EP39="","",IF($D39=0,$J39,IF(AND($F39&lt;&gt;"",EP39&gt;=$F39),$I39,IF(AND($E39&lt;&gt;"",EP39&gt;=$E39),$H39,$G39))))</f>
        <v/>
      </c>
      <c r="EQ40" s="0" t="str">
        <f aca="false">IF(EQ39="","",IF($D39=0,$J39,IF(AND($F39&lt;&gt;"",EQ39&gt;=$F39),$I39,IF(AND($E39&lt;&gt;"",EQ39&gt;=$E39),$H39,$G39))))</f>
        <v/>
      </c>
      <c r="ER40" s="0" t="str">
        <f aca="false">IF(ER39="","",IF($D39=0,$J39,IF(AND($F39&lt;&gt;"",ER39&gt;=$F39),$I39,IF(AND($E39&lt;&gt;"",ER39&gt;=$E39),$H39,$G39))))</f>
        <v/>
      </c>
      <c r="ES40" s="0" t="str">
        <f aca="false">IF(ES39="","",IF($D39=0,$J39,IF(AND($F39&lt;&gt;"",ES39&gt;=$F39),$I39,IF(AND($E39&lt;&gt;"",ES39&gt;=$E39),$H39,$G39))))</f>
        <v/>
      </c>
      <c r="ET40" s="0" t="str">
        <f aca="false">IF(ET39="","",IF($D39=0,$J39,IF(AND($F39&lt;&gt;"",ET39&gt;=$F39),$I39,IF(AND($E39&lt;&gt;"",ET39&gt;=$E39),$H39,$G39))))</f>
        <v/>
      </c>
      <c r="EU40" s="0" t="str">
        <f aca="false">IF(EU39="","",IF($D39=0,$J39,IF(AND($F39&lt;&gt;"",EU39&gt;=$F39),$I39,IF(AND($E39&lt;&gt;"",EU39&gt;=$E39),$H39,$G39))))</f>
        <v/>
      </c>
      <c r="EV40" s="0" t="str">
        <f aca="false">IF(EV39="","",IF($D39=0,$J39,IF(AND($F39&lt;&gt;"",EV39&gt;=$F39),$I39,IF(AND($E39&lt;&gt;"",EV39&gt;=$E39),$H39,$G39))))</f>
        <v/>
      </c>
      <c r="EW40" s="0" t="str">
        <f aca="false">IF(EW39="","",IF($D39=0,$J39,IF(AND($F39&lt;&gt;"",EW39&gt;=$F39),$I39,IF(AND($E39&lt;&gt;"",EW39&gt;=$E39),$H39,$G39))))</f>
        <v/>
      </c>
      <c r="EX40" s="0" t="str">
        <f aca="false">IF(EX39="","",IF($D39=0,$J39,IF(AND($F39&lt;&gt;"",EX39&gt;=$F39),$I39,IF(AND($E39&lt;&gt;"",EX39&gt;=$E39),$H39,$G39))))</f>
        <v/>
      </c>
      <c r="EY40" s="0" t="str">
        <f aca="false">IF(EY39="","",IF($D39=0,$J39,IF(AND($F39&lt;&gt;"",EY39&gt;=$F39),$I39,IF(AND($E39&lt;&gt;"",EY39&gt;=$E39),$H39,$G39))))</f>
        <v/>
      </c>
      <c r="EZ40" s="0" t="str">
        <f aca="false">IF(EZ39="","",IF($D39=0,$J39,IF(AND($F39&lt;&gt;"",EZ39&gt;=$F39),$I39,IF(AND($E39&lt;&gt;"",EZ39&gt;=$E39),$H39,$G39))))</f>
        <v/>
      </c>
      <c r="FA40" s="0" t="str">
        <f aca="false">IF(FA39="","",IF($D39=0,$J39,IF(AND($F39&lt;&gt;"",FA39&gt;=$F39),$I39,IF(AND($E39&lt;&gt;"",FA39&gt;=$E39),$H39,$G39))))</f>
        <v/>
      </c>
      <c r="FB40" s="0" t="str">
        <f aca="false">IF(FB39="","",IF($D39=0,$J39,IF(AND($F39&lt;&gt;"",FB39&gt;=$F39),$I39,IF(AND($E39&lt;&gt;"",FB39&gt;=$E39),$H39,$G39))))</f>
        <v/>
      </c>
      <c r="FC40" s="0" t="str">
        <f aca="false">IF(FC39="","",IF($D39=0,$J39,IF(AND($F39&lt;&gt;"",FC39&gt;=$F39),$I39,IF(AND($E39&lt;&gt;"",FC39&gt;=$E39),$H39,$G39))))</f>
        <v/>
      </c>
      <c r="FD40" s="0" t="str">
        <f aca="false">IF(FD39="","",IF($D39=0,$J39,IF(AND($F39&lt;&gt;"",FD39&gt;=$F39),$I39,IF(AND($E39&lt;&gt;"",FD39&gt;=$E39),$H39,$G39))))</f>
        <v/>
      </c>
      <c r="FE40" s="0" t="str">
        <f aca="false">IF(FE39="","",IF($D39=0,$J39,IF(AND($F39&lt;&gt;"",FE39&gt;=$F39),$I39,IF(AND($E39&lt;&gt;"",FE39&gt;=$E39),$H39,$G39))))</f>
        <v/>
      </c>
      <c r="FF40" s="0" t="str">
        <f aca="false">IF(FF39="","",IF($D39=0,$J39,IF(AND($F39&lt;&gt;"",FF39&gt;=$F39),$I39,IF(AND($E39&lt;&gt;"",FF39&gt;=$E39),$H39,$G39))))</f>
        <v/>
      </c>
      <c r="FG40" s="0" t="str">
        <f aca="false">IF(FG39="","",IF($D39=0,$J39,IF(AND($F39&lt;&gt;"",FG39&gt;=$F39),$I39,IF(AND($E39&lt;&gt;"",FG39&gt;=$E39),$H39,$G39))))</f>
        <v/>
      </c>
      <c r="FH40" s="0" t="str">
        <f aca="false">IF(FH39="","",IF($D39=0,$J39,IF(AND($F39&lt;&gt;"",FH39&gt;=$F39),$I39,IF(AND($E39&lt;&gt;"",FH39&gt;=$E39),$H39,$G39))))</f>
        <v/>
      </c>
      <c r="FI40" s="0" t="str">
        <f aca="false">IF(FI39="","",IF($D39=0,$J39,IF(AND($F39&lt;&gt;"",FI39&gt;=$F39),$I39,IF(AND($E39&lt;&gt;"",FI39&gt;=$E39),$H39,$G39))))</f>
        <v/>
      </c>
      <c r="FJ40" s="0" t="str">
        <f aca="false">IF(FJ39="","",IF($D39=0,$J39,IF(AND($F39&lt;&gt;"",FJ39&gt;=$F39),$I39,IF(AND($E39&lt;&gt;"",FJ39&gt;=$E39),$H39,$G39))))</f>
        <v/>
      </c>
      <c r="FK40" s="0" t="str">
        <f aca="false">IF(FK39="","",IF($D39=0,$J39,IF(AND($F39&lt;&gt;"",FK39&gt;=$F39),$I39,IF(AND($E39&lt;&gt;"",FK39&gt;=$E39),$H39,$G39))))</f>
        <v/>
      </c>
      <c r="FL40" s="0" t="str">
        <f aca="false">IF(FL39="","",IF($D39=0,$J39,IF(AND($F39&lt;&gt;"",FL39&gt;=$F39),$I39,IF(AND($E39&lt;&gt;"",FL39&gt;=$E39),$H39,$G39))))</f>
        <v/>
      </c>
      <c r="FM40" s="0" t="str">
        <f aca="false">IF(FM39="","",IF($D39=0,$J39,IF(AND($F39&lt;&gt;"",FM39&gt;=$F39),$I39,IF(AND($E39&lt;&gt;"",FM39&gt;=$E39),$H39,$G39))))</f>
        <v/>
      </c>
      <c r="FN40" s="0" t="str">
        <f aca="false">IF(FN39="","",IF($D39=0,$J39,IF(AND($F39&lt;&gt;"",FN39&gt;=$F39),$I39,IF(AND($E39&lt;&gt;"",FN39&gt;=$E39),$H39,$G39))))</f>
        <v/>
      </c>
      <c r="FO40" s="0" t="str">
        <f aca="false">IF(FO39="","",IF($D39=0,$J39,IF(AND($F39&lt;&gt;"",FO39&gt;=$F39),$I39,IF(AND($E39&lt;&gt;"",FO39&gt;=$E39),$H39,$G39))))</f>
        <v/>
      </c>
      <c r="FP40" s="0" t="str">
        <f aca="false">IF(FP39="","",IF($D39=0,$J39,IF(AND($F39&lt;&gt;"",FP39&gt;=$F39),$I39,IF(AND($E39&lt;&gt;"",FP39&gt;=$E39),$H39,$G39))))</f>
        <v/>
      </c>
      <c r="FQ40" s="0" t="str">
        <f aca="false">IF(FQ39="","",IF($D39=0,$J39,IF(AND($F39&lt;&gt;"",FQ39&gt;=$F39),$I39,IF(AND($E39&lt;&gt;"",FQ39&gt;=$E39),$H39,$G39))))</f>
        <v/>
      </c>
      <c r="FR40" s="0" t="str">
        <f aca="false">IF(FR39="","",IF($D39=0,$J39,IF(AND($F39&lt;&gt;"",FR39&gt;=$F39),$I39,IF(AND($E39&lt;&gt;"",FR39&gt;=$E39),$H39,$G39))))</f>
        <v/>
      </c>
      <c r="FS40" s="0" t="str">
        <f aca="false">IF(FS39="","",IF($D39=0,$J39,IF(AND($F39&lt;&gt;"",FS39&gt;=$F39),$I39,IF(AND($E39&lt;&gt;"",FS39&gt;=$E39),$H39,$G39))))</f>
        <v/>
      </c>
      <c r="FT40" s="0" t="str">
        <f aca="false">IF(FT39="","",IF($D39=0,$J39,IF(AND($F39&lt;&gt;"",FT39&gt;=$F39),$I39,IF(AND($E39&lt;&gt;"",FT39&gt;=$E39),$H39,$G39))))</f>
        <v/>
      </c>
      <c r="FU40" s="0" t="str">
        <f aca="false">IF(FU39="","",IF($D39=0,$J39,IF(AND($F39&lt;&gt;"",FU39&gt;=$F39),$I39,IF(AND($E39&lt;&gt;"",FU39&gt;=$E39),$H39,$G39))))</f>
        <v/>
      </c>
      <c r="FV40" s="0" t="str">
        <f aca="false">IF(FV39="","",IF($D39=0,$J39,IF(AND($F39&lt;&gt;"",FV39&gt;=$F39),$I39,IF(AND($E39&lt;&gt;"",FV39&gt;=$E39),$H39,$G39))))</f>
        <v/>
      </c>
      <c r="FW40" s="0" t="str">
        <f aca="false">IF(FW39="","",IF($D39=0,$J39,IF(AND($F39&lt;&gt;"",FW39&gt;=$F39),$I39,IF(AND($E39&lt;&gt;"",FW39&gt;=$E39),$H39,$G39))))</f>
        <v/>
      </c>
      <c r="FX40" s="0" t="str">
        <f aca="false">IF(FX39="","",IF($D39=0,$J39,IF(AND($F39&lt;&gt;"",FX39&gt;=$F39),$I39,IF(AND($E39&lt;&gt;"",FX39&gt;=$E39),$H39,$G39))))</f>
        <v/>
      </c>
      <c r="FY40" s="0" t="str">
        <f aca="false">IF(FY39="","",IF($D39=0,$J39,IF(AND($F39&lt;&gt;"",FY39&gt;=$F39),$I39,IF(AND($E39&lt;&gt;"",FY39&gt;=$E39),$H39,$G39))))</f>
        <v/>
      </c>
      <c r="FZ40" s="0" t="str">
        <f aca="false">IF(FZ39="","",IF($D39=0,$J39,IF(AND($F39&lt;&gt;"",FZ39&gt;=$F39),$I39,IF(AND($E39&lt;&gt;"",FZ39&gt;=$E39),$H39,$G39))))</f>
        <v/>
      </c>
      <c r="GA40" s="0" t="str">
        <f aca="false">IF(GA39="","",IF($D39=0,$J39,IF(AND($F39&lt;&gt;"",GA39&gt;=$F39),$I39,IF(AND($E39&lt;&gt;"",GA39&gt;=$E39),$H39,$G39))))</f>
        <v/>
      </c>
      <c r="GB40" s="0" t="str">
        <f aca="false">IF(GB39="","",IF($D39=0,$J39,IF(AND($F39&lt;&gt;"",GB39&gt;=$F39),$I39,IF(AND($E39&lt;&gt;"",GB39&gt;=$E39),$H39,$G39))))</f>
        <v/>
      </c>
      <c r="GC40" s="0" t="str">
        <f aca="false">IF(GC39="","",IF($D39=0,$J39,IF(AND($F39&lt;&gt;"",GC39&gt;=$F39),$I39,IF(AND($E39&lt;&gt;"",GC39&gt;=$E39),$H39,$G39))))</f>
        <v/>
      </c>
      <c r="GD40" s="0" t="str">
        <f aca="false">IF(GD39="","",IF($D39=0,$J39,IF(AND($F39&lt;&gt;"",GD39&gt;=$F39),$I39,IF(AND($E39&lt;&gt;"",GD39&gt;=$E39),$H39,$G39))))</f>
        <v/>
      </c>
      <c r="GE40" s="0" t="str">
        <f aca="false">IF(GE39="","",IF($D39=0,$J39,IF(AND($F39&lt;&gt;"",GE39&gt;=$F39),$I39,IF(AND($E39&lt;&gt;"",GE39&gt;=$E39),$H39,$G39))))</f>
        <v/>
      </c>
      <c r="GF40" s="0" t="str">
        <f aca="false">IF(GF39="","",IF($D39=0,$J39,IF(AND($F39&lt;&gt;"",GF39&gt;=$F39),$I39,IF(AND($E39&lt;&gt;"",GF39&gt;=$E39),$H39,$G39))))</f>
        <v/>
      </c>
      <c r="GG40" s="0" t="str">
        <f aca="false">IF(GG39="","",IF($D39=0,$J39,IF(AND($F39&lt;&gt;"",GG39&gt;=$F39),$I39,IF(AND($E39&lt;&gt;"",GG39&gt;=$E39),$H39,$G39))))</f>
        <v/>
      </c>
      <c r="GH40" s="0" t="str">
        <f aca="false">IF(GH39="","",IF($D39=0,$J39,IF(AND($F39&lt;&gt;"",GH39&gt;=$F39),$I39,IF(AND($E39&lt;&gt;"",GH39&gt;=$E39),$H39,$G39))))</f>
        <v/>
      </c>
      <c r="GI40" s="0" t="str">
        <f aca="false">IF(GI39="","",IF($D39=0,$J39,IF(AND($F39&lt;&gt;"",GI39&gt;=$F39),$I39,IF(AND($E39&lt;&gt;"",GI39&gt;=$E39),$H39,$G39))))</f>
        <v/>
      </c>
    </row>
    <row r="41" customFormat="false" ht="15" hidden="false" customHeight="false" outlineLevel="0" collapsed="false">
      <c r="K41" s="0" t="s">
        <v>264</v>
      </c>
      <c r="L41" s="0" t="n">
        <f aca="false">IF(L39="",0,IF(AND(L40=Milestones!$AB$20,L39&gt;=SchemeStart),IF(AND(Milestones!$AB$20="FT",Milestones!$AA$20=FT_Y5,L39&lt;PolicyEff),1,Milestones!$AC$20),0))</f>
        <v>0</v>
      </c>
      <c r="M41" s="0" t="n">
        <f aca="false">IF(M39="",0,IF(AND(M40=Milestones!$AB$21,M39&gt;=SchemeStart),IF(AND(Milestones!$AB$21="FT",Milestones!$AA$21=FT_Y5,M39&lt;PolicyEff),1,Milestones!$AC$21),0))</f>
        <v>0</v>
      </c>
      <c r="N41" s="0" t="n">
        <f aca="false">IF(N39="",0,IF(AND(N40=Milestones!$AB$22,N39&gt;=SchemeStart),IF(AND(Milestones!$AB$22="FT",Milestones!$AA$22=FT_Y5,N39&lt;PolicyEff),1,Milestones!$AC$22),0))</f>
        <v>0</v>
      </c>
      <c r="O41" s="0" t="n">
        <f aca="false">IF(O39="",0,IF(AND(O40=Milestones!$AB$23,O39&gt;=SchemeStart),IF(AND(Milestones!$AB$23="FT",Milestones!$AA$23=FT_Y5,O39&lt;PolicyEff),1,Milestones!$AC$23),0))</f>
        <v>0</v>
      </c>
      <c r="P41" s="0" t="n">
        <f aca="false">IF(P39="",0,IF(AND(P40=Milestones!$AB$24,P39&gt;=SchemeStart),IF(AND(Milestones!$AB$24="FT",Milestones!$AA$24=FT_Y5,P39&lt;PolicyEff),1,Milestones!$AC$24),0))</f>
        <v>0</v>
      </c>
      <c r="Q41" s="0" t="n">
        <f aca="false">IF(Q39="",0,IF(AND(Q40=Milestones!$AB$25,Q39&gt;=SchemeStart),IF(AND(Milestones!$AB$25="FT",Milestones!$AA$25=FT_Y5,Q39&lt;PolicyEff),1,Milestones!$AC$25),0))</f>
        <v>0</v>
      </c>
      <c r="R41" s="0" t="n">
        <f aca="false">IF(R39="",0,IF(AND(R40=Milestones!$AB$26,R39&gt;=SchemeStart),IF(AND(Milestones!$AB$26="FT",Milestones!$AA$26=FT_Y5,R39&lt;PolicyEff),1,Milestones!$AC$26),0))</f>
        <v>0</v>
      </c>
      <c r="S41" s="0" t="n">
        <f aca="false">IF(S39="",0,IF(AND(S40=Milestones!$AB$27,S39&gt;=SchemeStart),IF(AND(Milestones!$AB$27="FT",Milestones!$AA$27=FT_Y5,S39&lt;PolicyEff),1,Milestones!$AC$27),0))</f>
        <v>0</v>
      </c>
      <c r="T41" s="0" t="n">
        <f aca="false">IF(T39="",0,IF(AND(T40=Milestones!$AB$28,T39&gt;=SchemeStart),IF(AND(Milestones!$AB$28="FT",Milestones!$AA$28=FT_Y5,T39&lt;PolicyEff),1,Milestones!$AC$28),0))</f>
        <v>0</v>
      </c>
      <c r="U41" s="0" t="n">
        <f aca="false">IF(U39="",0,IF(AND(U40=Milestones!$AB$29,U39&gt;=SchemeStart),IF(AND(Milestones!$AB$29="FT",Milestones!$AA$29=FT_Y5,U39&lt;PolicyEff),1,Milestones!$AC$29),0))</f>
        <v>0</v>
      </c>
      <c r="V41" s="0" t="n">
        <f aca="false">IF(V39="",0,IF(AND(V40=Milestones!$AB$30,V39&gt;=SchemeStart),IF(AND(Milestones!$AB$30="FT",Milestones!$AA$30=FT_Y5,V39&lt;PolicyEff),1,Milestones!$AC$30),0))</f>
        <v>0</v>
      </c>
      <c r="W41" s="0" t="n">
        <f aca="false">IF(W39="",0,IF(AND(W40=Milestones!$AB$31,W39&gt;=SchemeStart),IF(AND(Milestones!$AB$31="FT",Milestones!$AA$31=FT_Y5,W39&lt;PolicyEff),1,Milestones!$AC$31),0))</f>
        <v>0</v>
      </c>
      <c r="X41" s="0" t="n">
        <f aca="false">IF(X39="",0,IF(AND(X40=Milestones!$AB$32,X39&gt;=SchemeStart),IF(AND(Milestones!$AB$32="FT",Milestones!$AA$32=FT_Y5,X39&lt;PolicyEff),1,Milestones!$AC$32),0))</f>
        <v>0</v>
      </c>
      <c r="Y41" s="0" t="n">
        <f aca="false">IF(Y39="",0,IF(AND(Y40=Milestones!$AB$33,Y39&gt;=SchemeStart),IF(AND(Milestones!$AB$33="FT",Milestones!$AA$33=FT_Y5,Y39&lt;PolicyEff),1,Milestones!$AC$33),0))</f>
        <v>0</v>
      </c>
      <c r="Z41" s="0" t="n">
        <f aca="false">IF(Z39="",0,IF(AND(Z40=Milestones!$AB$34,Z39&gt;=SchemeStart),IF(AND(Milestones!$AB$34="FT",Milestones!$AA$34=FT_Y5,Z39&lt;PolicyEff),1,Milestones!$AC$34),0))</f>
        <v>0</v>
      </c>
      <c r="AA41" s="0" t="n">
        <f aca="false">IF(AA39="",0,IF(AND(AA40=Milestones!$AB$35,AA39&gt;=SchemeStart),IF(AND(Milestones!$AB$35="FT",Milestones!$AA$35=FT_Y5,AA39&lt;PolicyEff),1,Milestones!$AC$35),0))</f>
        <v>0</v>
      </c>
      <c r="AB41" s="0" t="n">
        <f aca="false">IF(AB39="",0,IF(AND(AB40=Milestones!$AB$36,AB39&gt;=SchemeStart),IF(AND(Milestones!$AB$36="FT",Milestones!$AA$36=FT_Y5,AB39&lt;PolicyEff),1,Milestones!$AC$36),0))</f>
        <v>0</v>
      </c>
      <c r="AC41" s="0" t="n">
        <f aca="false">IF(AC39="",0,IF(AND(AC40=Milestones!$AB$37,AC39&gt;=SchemeStart),IF(AND(Milestones!$AB$37="FT",Milestones!$AA$37=FT_Y5,AC39&lt;PolicyEff),1,Milestones!$AC$37),0))</f>
        <v>0</v>
      </c>
      <c r="AD41" s="0" t="n">
        <f aca="false">IF(AD39="",0,IF(AND(AD40=Milestones!$AB$38,AD39&gt;=SchemeStart),IF(AND(Milestones!$AB$38="FT",Milestones!$AA$38=FT_Y5,AD39&lt;PolicyEff),1,Milestones!$AC$38),0))</f>
        <v>0</v>
      </c>
      <c r="AE41" s="0" t="n">
        <f aca="false">IF(AE39="",0,IF(AND(AE40=Milestones!$AB$39,AE39&gt;=SchemeStart),IF(AND(Milestones!$AB$39="FT",Milestones!$AA$39=FT_Y5,AE39&lt;PolicyEff),1,Milestones!$AC$39),0))</f>
        <v>0</v>
      </c>
      <c r="AF41" s="0" t="n">
        <f aca="false">IF(AF39="",0,IF(AND(AF40=Milestones!$AB$40,AF39&gt;=SchemeStart),IF(AND(Milestones!$AB$40="FT",Milestones!$AA$40=FT_Y5,AF39&lt;PolicyEff),1,Milestones!$AC$40),0))</f>
        <v>0</v>
      </c>
      <c r="AG41" s="0" t="n">
        <f aca="false">IF(AG39="",0,IF(AND(AG40=Milestones!$AB$41,AG39&gt;=SchemeStart),IF(AND(Milestones!$AB$41="FT",Milestones!$AA$41=FT_Y5,AG39&lt;PolicyEff),1,Milestones!$AC$41),0))</f>
        <v>0</v>
      </c>
      <c r="AH41" s="0" t="n">
        <f aca="false">IF(AH39="",0,IF(AND(AH40=Milestones!$AB$42,AH39&gt;=SchemeStart),IF(AND(Milestones!$AB$42="FT",Milestones!$AA$42=FT_Y5,AH39&lt;PolicyEff),1,Milestones!$AC$42),0))</f>
        <v>0</v>
      </c>
      <c r="AI41" s="0" t="n">
        <f aca="false">IF(AI39="",0,IF(AND(AI40=Milestones!$AB$43,AI39&gt;=SchemeStart),IF(AND(Milestones!$AB$43="FT",Milestones!$AA$43=FT_Y5,AI39&lt;PolicyEff),1,Milestones!$AC$43),0))</f>
        <v>0</v>
      </c>
      <c r="AJ41" s="0" t="n">
        <f aca="false">IF(AJ39="",0,IF(AND(AJ40=Milestones!$AB$44,AJ39&gt;=SchemeStart),IF(AND(Milestones!$AB$44="FT",Milestones!$AA$44=FT_Y5,AJ39&lt;PolicyEff),1,Milestones!$AC$44),0))</f>
        <v>0</v>
      </c>
      <c r="AK41" s="0" t="n">
        <f aca="false">IF(AK39="",0,IF(AND(AK40=Milestones!$AB$45,AK39&gt;=SchemeStart),IF(AND(Milestones!$AB$45="FT",Milestones!$AA$45=FT_Y5,AK39&lt;PolicyEff),1,Milestones!$AC$45),0))</f>
        <v>0</v>
      </c>
      <c r="AL41" s="0" t="n">
        <f aca="false">IF(AL39="",0,IF(AND(AL40=Milestones!$AB$46,AL39&gt;=SchemeStart),IF(AND(Milestones!$AB$46="FT",Milestones!$AA$46=FT_Y5,AL39&lt;PolicyEff),1,Milestones!$AC$46),0))</f>
        <v>0</v>
      </c>
      <c r="AM41" s="0" t="n">
        <f aca="false">IF(AM39="",0,IF(AND(AM40=Milestones!$AB$47,AM39&gt;=SchemeStart),IF(AND(Milestones!$AB$47="FT",Milestones!$AA$47=FT_Y5,AM39&lt;PolicyEff),1,Milestones!$AC$47),0))</f>
        <v>0</v>
      </c>
      <c r="AN41" s="0" t="n">
        <f aca="false">IF(AN39="",0,IF(AND(AN40=Milestones!$AB$48,AN39&gt;=SchemeStart),IF(AND(Milestones!$AB$48="FT",Milestones!$AA$48=FT_Y5,AN39&lt;PolicyEff),1,Milestones!$AC$48),0))</f>
        <v>0</v>
      </c>
      <c r="AO41" s="0" t="n">
        <f aca="false">IF(AO39="",0,IF(AND(AO40=Milestones!$AB$49,AO39&gt;=SchemeStart),IF(AND(Milestones!$AB$49="FT",Milestones!$AA$49=FT_Y5,AO39&lt;PolicyEff),1,Milestones!$AC$49),0))</f>
        <v>0</v>
      </c>
      <c r="AP41" s="0" t="n">
        <f aca="false">IF(AP39="",0,IF(AND(AP40=Milestones!$AB$50,AP39&gt;=SchemeStart),IF(AND(Milestones!$AB$50="FT",Milestones!$AA$50=FT_Y5,AP39&lt;PolicyEff),1,Milestones!$AC$50),0))</f>
        <v>0</v>
      </c>
      <c r="AQ41" s="0" t="n">
        <f aca="false">IF(AQ39="",0,IF(AND(AQ40=Milestones!$AB$51,AQ39&gt;=SchemeStart),IF(AND(Milestones!$AB$51="FT",Milestones!$AA$51=FT_Y5,AQ39&lt;PolicyEff),1,Milestones!$AC$51),0))</f>
        <v>0</v>
      </c>
      <c r="AR41" s="0" t="n">
        <f aca="false">IF(AR39="",0,IF(AND(AR40=Milestones!$AB$52,AR39&gt;=SchemeStart),IF(AND(Milestones!$AB$52="FT",Milestones!$AA$52=FT_Y5,AR39&lt;PolicyEff),1,Milestones!$AC$52),0))</f>
        <v>0</v>
      </c>
      <c r="AS41" s="0" t="n">
        <f aca="false">IF(AS39="",0,IF(AND(AS40=Milestones!$AB$53,AS39&gt;=SchemeStart),IF(AND(Milestones!$AB$53="FT",Milestones!$AA$53=FT_Y5,AS39&lt;PolicyEff),1,Milestones!$AC$53),0))</f>
        <v>0</v>
      </c>
      <c r="AT41" s="0" t="n">
        <f aca="false">IF(AT39="",0,IF(AND(AT40=Milestones!$AB$54,AT39&gt;=SchemeStart),IF(AND(Milestones!$AB$54="FT",Milestones!$AA$54=FT_Y5,AT39&lt;PolicyEff),1,Milestones!$AC$54),0))</f>
        <v>0</v>
      </c>
      <c r="AU41" s="0" t="n">
        <f aca="false">IF(AU39="",0,IF(AND(AU40=Milestones!$AB$55,AU39&gt;=SchemeStart),IF(AND(Milestones!$AB$55="FT",Milestones!$AA$55=FT_Y5,AU39&lt;PolicyEff),1,Milestones!$AC$55),0))</f>
        <v>0</v>
      </c>
      <c r="AV41" s="0" t="n">
        <f aca="false">IF(AV39="",0,IF(AND(AV40=Milestones!$AB$56,AV39&gt;=SchemeStart),IF(AND(Milestones!$AB$56="FT",Milestones!$AA$56=FT_Y5,AV39&lt;PolicyEff),1,Milestones!$AC$56),0))</f>
        <v>0</v>
      </c>
      <c r="AW41" s="0" t="n">
        <f aca="false">IF(AW39="",0,IF(AND(AW40=Milestones!$AB$57,AW39&gt;=SchemeStart),IF(AND(Milestones!$AB$57="FT",Milestones!$AA$57=FT_Y5,AW39&lt;PolicyEff),1,Milestones!$AC$57),0))</f>
        <v>0</v>
      </c>
      <c r="AX41" s="0" t="n">
        <f aca="false">IF(AX39="",0,IF(AND(AX40=Milestones!$AB$58,AX39&gt;=SchemeStart),IF(AND(Milestones!$AB$58="FT",Milestones!$AA$58=FT_Y5,AX39&lt;PolicyEff),1,Milestones!$AC$58),0))</f>
        <v>0</v>
      </c>
      <c r="AY41" s="0" t="n">
        <f aca="false">IF(AY39="",0,IF(AND(AY40=Milestones!$AB$59,AY39&gt;=SchemeStart),IF(AND(Milestones!$AB$59="FT",Milestones!$AA$59=FT_Y5,AY39&lt;PolicyEff),1,Milestones!$AC$59),0))</f>
        <v>0</v>
      </c>
      <c r="AZ41" s="0" t="n">
        <f aca="false">IF(AZ39="",0,IF(AND(AZ40=Milestones!$AB$60,AZ39&gt;=SchemeStart),IF(AND(Milestones!$AB$60="FT",Milestones!$AA$60=FT_Y5,AZ39&lt;PolicyEff),1,Milestones!$AC$60),0))</f>
        <v>0</v>
      </c>
      <c r="BA41" s="0" t="n">
        <f aca="false">IF(BA39="",0,IF(AND(BA40=Milestones!$AB$61,BA39&gt;=SchemeStart),IF(AND(Milestones!$AB$61="FT",Milestones!$AA$61=FT_Y5,BA39&lt;PolicyEff),1,Milestones!$AC$61),0))</f>
        <v>0</v>
      </c>
      <c r="BB41" s="0" t="n">
        <f aca="false">IF(BB39="",0,IF(AND(BB40=Milestones!$AB$62,BB39&gt;=SchemeStart),IF(AND(Milestones!$AB$62="FT",Milestones!$AA$62=FT_Y5,BB39&lt;PolicyEff),1,Milestones!$AC$62),0))</f>
        <v>0</v>
      </c>
      <c r="BC41" s="0" t="n">
        <f aca="false">IF(BC39="",0,IF(AND(BC40=Milestones!$AB$63,BC39&gt;=SchemeStart),IF(AND(Milestones!$AB$63="FT",Milestones!$AA$63=FT_Y5,BC39&lt;PolicyEff),1,Milestones!$AC$63),0))</f>
        <v>0</v>
      </c>
      <c r="BD41" s="0" t="n">
        <f aca="false">IF(BD39="",0,IF(AND(BD40=Milestones!$AB$64,BD39&gt;=SchemeStart),IF(AND(Milestones!$AB$64="FT",Milestones!$AA$64=FT_Y5,BD39&lt;PolicyEff),1,Milestones!$AC$64),0))</f>
        <v>0</v>
      </c>
      <c r="BE41" s="0" t="n">
        <f aca="false">IF(BE39="",0,IF(AND(BE40=Milestones!$AB$65,BE39&gt;=SchemeStart),IF(AND(Milestones!$AB$65="FT",Milestones!$AA$65=FT_Y5,BE39&lt;PolicyEff),1,Milestones!$AC$65),0))</f>
        <v>0</v>
      </c>
      <c r="BF41" s="0" t="n">
        <f aca="false">IF(BF39="",0,IF(AND(BF40=Milestones!$AB$66,BF39&gt;=SchemeStart),IF(AND(Milestones!$AB$66="FT",Milestones!$AA$66=FT_Y5,BF39&lt;PolicyEff),1,Milestones!$AC$66),0))</f>
        <v>0</v>
      </c>
      <c r="BG41" s="0" t="n">
        <f aca="false">IF(BG39="",0,IF(AND(BG40=Milestones!$AB$67,BG39&gt;=SchemeStart),IF(AND(Milestones!$AB$67="FT",Milestones!$AA$67=FT_Y5,BG39&lt;PolicyEff),1,Milestones!$AC$67),0))</f>
        <v>0</v>
      </c>
      <c r="BH41" s="0" t="n">
        <f aca="false">IF(BH39="",0,IF(AND(BH40=Milestones!$AB$68,BH39&gt;=SchemeStart),IF(AND(Milestones!$AB$68="FT",Milestones!$AA$68=FT_Y5,BH39&lt;PolicyEff),1,Milestones!$AC$68),0))</f>
        <v>0</v>
      </c>
      <c r="BI41" s="0" t="n">
        <f aca="false">IF(BI39="",0,IF(AND(BI40=Milestones!$AB$69,BI39&gt;=SchemeStart),IF(AND(Milestones!$AB$69="FT",Milestones!$AA$69=FT_Y5,BI39&lt;PolicyEff),1,Milestones!$AC$69),0))</f>
        <v>0</v>
      </c>
      <c r="BJ41" s="0" t="n">
        <f aca="false">IF(BJ39="",0,IF(AND(BJ40=Milestones!$AB$70,BJ39&gt;=SchemeStart),IF(AND(Milestones!$AB$70="FT",Milestones!$AA$70=FT_Y5,BJ39&lt;PolicyEff),1,Milestones!$AC$70),0))</f>
        <v>0</v>
      </c>
      <c r="BK41" s="0" t="n">
        <f aca="false">IF(BK39="",0,IF(AND(BK40=Milestones!$AB$71,BK39&gt;=SchemeStart),IF(AND(Milestones!$AB$71="FT",Milestones!$AA$71=FT_Y5,BK39&lt;PolicyEff),1,Milestones!$AC$71),0))</f>
        <v>0</v>
      </c>
      <c r="BL41" s="0" t="n">
        <f aca="false">IF(BL39="",0,IF(AND(BL40=Milestones!$AB$72,BL39&gt;=SchemeStart),IF(AND(Milestones!$AB$72="FT",Milestones!$AA$72=FT_Y5,BL39&lt;PolicyEff),1,Milestones!$AC$72),0))</f>
        <v>0</v>
      </c>
      <c r="BM41" s="0" t="n">
        <f aca="false">IF(BM39="",0,IF(AND(BM40=Milestones!$AB$73,BM39&gt;=SchemeStart),IF(AND(Milestones!$AB$73="FT",Milestones!$AA$73=FT_Y5,BM39&lt;PolicyEff),1,Milestones!$AC$73),0))</f>
        <v>0</v>
      </c>
      <c r="BN41" s="0" t="n">
        <f aca="false">IF(BN39="",0,IF(AND(BN40=Milestones!$AB$74,BN39&gt;=SchemeStart),IF(AND(Milestones!$AB$74="FT",Milestones!$AA$74=FT_Y5,BN39&lt;PolicyEff),1,Milestones!$AC$74),0))</f>
        <v>0</v>
      </c>
      <c r="BO41" s="0" t="n">
        <f aca="false">IF(BO39="",0,IF(AND(BO40=Milestones!$AB$75,BO39&gt;=SchemeStart),IF(AND(Milestones!$AB$75="FT",Milestones!$AA$75=FT_Y5,BO39&lt;PolicyEff),1,Milestones!$AC$75),0))</f>
        <v>0</v>
      </c>
      <c r="BP41" s="0" t="n">
        <f aca="false">IF(BP39="",0,IF(AND(BP40=Milestones!$AB$76,BP39&gt;=SchemeStart),IF(AND(Milestones!$AB$76="FT",Milestones!$AA$76=FT_Y5,BP39&lt;PolicyEff),1,Milestones!$AC$76),0))</f>
        <v>0</v>
      </c>
      <c r="BQ41" s="0" t="n">
        <f aca="false">IF(BQ39="",0,IF(AND(BQ40=Milestones!$AB$77,BQ39&gt;=SchemeStart),IF(AND(Milestones!$AB$77="FT",Milestones!$AA$77=FT_Y5,BQ39&lt;PolicyEff),1,Milestones!$AC$77),0))</f>
        <v>0</v>
      </c>
      <c r="BR41" s="0" t="n">
        <f aca="false">IF(BR39="",0,IF(AND(BR40=Milestones!$AB$78,BR39&gt;=SchemeStart),IF(AND(Milestones!$AB$78="FT",Milestones!$AA$78=FT_Y5,BR39&lt;PolicyEff),1,Milestones!$AC$78),0))</f>
        <v>0</v>
      </c>
      <c r="BS41" s="0" t="n">
        <f aca="false">IF(BS39="",0,IF(AND(BS40=Milestones!$AB$79,BS39&gt;=SchemeStart),IF(AND(Milestones!$AB$79="FT",Milestones!$AA$79=FT_Y5,BS39&lt;PolicyEff),1,Milestones!$AC$79),0))</f>
        <v>0</v>
      </c>
      <c r="BT41" s="0" t="n">
        <f aca="false">IF(BT39="",0,IF(AND(BT40=Milestones!$AB$80,BT39&gt;=SchemeStart),IF(AND(Milestones!$AB$80="FT",Milestones!$AA$80=FT_Y5,BT39&lt;PolicyEff),1,Milestones!$AC$80),0))</f>
        <v>0</v>
      </c>
      <c r="BU41" s="0" t="n">
        <f aca="false">IF(BU39="",0,IF(AND(BU40=Milestones!$AB$81,BU39&gt;=SchemeStart),IF(AND(Milestones!$AB$81="FT",Milestones!$AA$81=FT_Y5,BU39&lt;PolicyEff),1,Milestones!$AC$81),0))</f>
        <v>0</v>
      </c>
      <c r="BV41" s="0" t="n">
        <f aca="false">IF(BV39="",0,IF(AND(BV40=Milestones!$AB$82,BV39&gt;=SchemeStart),IF(AND(Milestones!$AB$82="FT",Milestones!$AA$82=FT_Y5,BV39&lt;PolicyEff),1,Milestones!$AC$82),0))</f>
        <v>0</v>
      </c>
      <c r="BW41" s="0" t="n">
        <f aca="false">IF(BW39="",0,IF(AND(BW40=Milestones!$AB$83,BW39&gt;=SchemeStart),IF(AND(Milestones!$AB$83="FT",Milestones!$AA$83=FT_Y5,BW39&lt;PolicyEff),1,Milestones!$AC$83),0))</f>
        <v>0</v>
      </c>
      <c r="BX41" s="0" t="n">
        <f aca="false">IF(BX39="",0,IF(AND(BX40=Milestones!$AB$84,BX39&gt;=SchemeStart),IF(AND(Milestones!$AB$84="FT",Milestones!$AA$84=FT_Y5,BX39&lt;PolicyEff),1,Milestones!$AC$84),0))</f>
        <v>0</v>
      </c>
      <c r="BY41" s="0" t="n">
        <f aca="false">IF(BY39="",0,IF(AND(BY40=Milestones!$AB$85,BY39&gt;=SchemeStart),IF(AND(Milestones!$AB$85="FT",Milestones!$AA$85=FT_Y5,BY39&lt;PolicyEff),1,Milestones!$AC$85),0))</f>
        <v>0</v>
      </c>
      <c r="BZ41" s="0" t="n">
        <f aca="false">IF(BZ39="",0,IF(AND(BZ40=Milestones!$AB$86,BZ39&gt;=SchemeStart),IF(AND(Milestones!$AB$86="FT",Milestones!$AA$86=FT_Y5,BZ39&lt;PolicyEff),1,Milestones!$AC$86),0))</f>
        <v>0</v>
      </c>
      <c r="CA41" s="0" t="n">
        <f aca="false">IF(CA39="",0,IF(AND(CA40=Milestones!$AB$87,CA39&gt;=SchemeStart),IF(AND(Milestones!$AB$87="FT",Milestones!$AA$87=FT_Y5,CA39&lt;PolicyEff),1,Milestones!$AC$87),0))</f>
        <v>0</v>
      </c>
      <c r="CB41" s="0" t="n">
        <f aca="false">IF(CB39="",0,IF(AND(CB40=Milestones!$AB$88,CB39&gt;=SchemeStart),IF(AND(Milestones!$AB$88="FT",Milestones!$AA$88=FT_Y5,CB39&lt;PolicyEff),1,Milestones!$AC$88),0))</f>
        <v>0</v>
      </c>
      <c r="CC41" s="0" t="n">
        <f aca="false">IF(CC39="",0,IF(AND(CC40=Milestones!$AB$89,CC39&gt;=SchemeStart),IF(AND(Milestones!$AB$89="FT",Milestones!$AA$89=FT_Y5,CC39&lt;PolicyEff),1,Milestones!$AC$89),0))</f>
        <v>0</v>
      </c>
      <c r="CD41" s="0" t="n">
        <f aca="false">IF(CD39="",0,IF(AND(CD40=Milestones!$AB$90,CD39&gt;=SchemeStart),IF(AND(Milestones!$AB$90="FT",Milestones!$AA$90=FT_Y5,CD39&lt;PolicyEff),1,Milestones!$AC$90),0))</f>
        <v>0</v>
      </c>
      <c r="CE41" s="0" t="n">
        <f aca="false">IF(CE39="",0,IF(AND(CE40=Milestones!$AB$91,CE39&gt;=SchemeStart),IF(AND(Milestones!$AB$91="FT",Milestones!$AA$91=FT_Y5,CE39&lt;PolicyEff),1,Milestones!$AC$91),0))</f>
        <v>0</v>
      </c>
      <c r="CF41" s="0" t="n">
        <f aca="false">IF(CF39="",0,IF(AND(CF40=Milestones!$AB$92,CF39&gt;=SchemeStart),IF(AND(Milestones!$AB$92="FT",Milestones!$AA$92=FT_Y5,CF39&lt;PolicyEff),1,Milestones!$AC$92),0))</f>
        <v>0</v>
      </c>
      <c r="CG41" s="0" t="n">
        <f aca="false">IF(CG39="",0,IF(AND(CG40=Milestones!$AB$93,CG39&gt;=SchemeStart),IF(AND(Milestones!$AB$93="FT",Milestones!$AA$93=FT_Y5,CG39&lt;PolicyEff),1,Milestones!$AC$93),0))</f>
        <v>0</v>
      </c>
      <c r="CH41" s="0" t="n">
        <f aca="false">IF(CH39="",0,IF(AND(CH40=Milestones!$AB$94,CH39&gt;=SchemeStart),IF(AND(Milestones!$AB$94="FT",Milestones!$AA$94=FT_Y5,CH39&lt;PolicyEff),1,Milestones!$AC$94),0))</f>
        <v>0</v>
      </c>
      <c r="CI41" s="0" t="n">
        <f aca="false">IF(CI39="",0,IF(AND(CI40=Milestones!$AB$95,CI39&gt;=SchemeStart),IF(AND(Milestones!$AB$95="FT",Milestones!$AA$95=FT_Y5,CI39&lt;PolicyEff),1,Milestones!$AC$95),0))</f>
        <v>0</v>
      </c>
      <c r="CJ41" s="0" t="n">
        <f aca="false">IF(CJ39="",0,IF(AND(CJ40=Milestones!$AB$96,CJ39&gt;=SchemeStart),IF(AND(Milestones!$AB$96="FT",Milestones!$AA$96=FT_Y5,CJ39&lt;PolicyEff),1,Milestones!$AC$96),0))</f>
        <v>0</v>
      </c>
      <c r="CK41" s="0" t="n">
        <f aca="false">IF(CK39="",0,IF(AND(CK40=Milestones!$AB$97,CK39&gt;=SchemeStart),IF(AND(Milestones!$AB$97="FT",Milestones!$AA$97=FT_Y5,CK39&lt;PolicyEff),1,Milestones!$AC$97),0))</f>
        <v>0</v>
      </c>
      <c r="CL41" s="0" t="n">
        <f aca="false">IF(CL39="",0,IF(AND(CL40=Milestones!$AB$98,CL39&gt;=SchemeStart),IF(AND(Milestones!$AB$98="FT",Milestones!$AA$98=FT_Y5,CL39&lt;PolicyEff),1,Milestones!$AC$98),0))</f>
        <v>0</v>
      </c>
      <c r="CM41" s="0" t="n">
        <f aca="false">IF(CM39="",0,IF(AND(CM40=Milestones!$AB$99,CM39&gt;=SchemeStart),IF(AND(Milestones!$AB$99="FT",Milestones!$AA$99=FT_Y5,CM39&lt;PolicyEff),1,Milestones!$AC$99),0))</f>
        <v>0</v>
      </c>
      <c r="CN41" s="0" t="n">
        <f aca="false">IF(CN39="",0,IF(AND(CN40=Milestones!$AB$100,CN39&gt;=SchemeStart),IF(AND(Milestones!$AB$100="FT",Milestones!$AA$100=FT_Y5,CN39&lt;PolicyEff),1,Milestones!$AC$100),0))</f>
        <v>0</v>
      </c>
      <c r="CO41" s="0" t="n">
        <f aca="false">IF(CO39="",0,IF(AND(CO40=Milestones!$AB$101,CO39&gt;=SchemeStart),IF(AND(Milestones!$AB$101="FT",Milestones!$AA$101=FT_Y5,CO39&lt;PolicyEff),1,Milestones!$AC$101),0))</f>
        <v>0</v>
      </c>
      <c r="CP41" s="0" t="n">
        <f aca="false">IF(CP39="",0,IF(AND(CP40=Milestones!$AB$102,CP39&gt;=SchemeStart),IF(AND(Milestones!$AB$102="FT",Milestones!$AA$102=FT_Y5,CP39&lt;PolicyEff),1,Milestones!$AC$102),0))</f>
        <v>0</v>
      </c>
      <c r="CQ41" s="0" t="n">
        <f aca="false">IF(CQ39="",0,IF(AND(CQ40=Milestones!$AB$103,CQ39&gt;=SchemeStart),IF(AND(Milestones!$AB$103="FT",Milestones!$AA$103=FT_Y5,CQ39&lt;PolicyEff),1,Milestones!$AC$103),0))</f>
        <v>0</v>
      </c>
      <c r="CR41" s="0" t="n">
        <f aca="false">IF(CR39="",0,IF(AND(CR40=Milestones!$AB$104,CR39&gt;=SchemeStart),IF(AND(Milestones!$AB$104="FT",Milestones!$AA$104=FT_Y5,CR39&lt;PolicyEff),1,Milestones!$AC$104),0))</f>
        <v>0</v>
      </c>
      <c r="CS41" s="0" t="n">
        <f aca="false">IF(CS39="",0,IF(AND(CS40=Milestones!$AB$105,CS39&gt;=SchemeStart),IF(AND(Milestones!$AB$105="FT",Milestones!$AA$105=FT_Y5,CS39&lt;PolicyEff),1,Milestones!$AC$105),0))</f>
        <v>0</v>
      </c>
      <c r="CT41" s="0" t="n">
        <f aca="false">IF(CT39="",0,IF(AND(CT40=Milestones!$AB$106,CT39&gt;=SchemeStart),IF(AND(Milestones!$AB$106="FT",Milestones!$AA$106=FT_Y5,CT39&lt;PolicyEff),1,Milestones!$AC$106),0))</f>
        <v>0</v>
      </c>
      <c r="CU41" s="0" t="n">
        <f aca="false">IF(CU39="",0,IF(AND(CU40=Milestones!$AB$107,CU39&gt;=SchemeStart),IF(AND(Milestones!$AB$107="FT",Milestones!$AA$107=FT_Y5,CU39&lt;PolicyEff),1,Milestones!$AC$107),0))</f>
        <v>0</v>
      </c>
      <c r="CV41" s="0" t="n">
        <f aca="false">IF(CV39="",0,IF(AND(CV40=Milestones!$AB$108,CV39&gt;=SchemeStart),IF(AND(Milestones!$AB$108="FT",Milestones!$AA$108=FT_Y5,CV39&lt;PolicyEff),1,Milestones!$AC$108),0))</f>
        <v>0</v>
      </c>
      <c r="CW41" s="0" t="n">
        <f aca="false">IF(CW39="",0,IF(AND(CW40=Milestones!$AB$109,CW39&gt;=SchemeStart),IF(AND(Milestones!$AB$109="FT",Milestones!$AA$109=FT_Y5,CW39&lt;PolicyEff),1,Milestones!$AC$109),0))</f>
        <v>0</v>
      </c>
      <c r="CX41" s="0" t="n">
        <f aca="false">IF(CX39="",0,IF(AND(CX40=Milestones!$AB$110,CX39&gt;=SchemeStart),IF(AND(Milestones!$AB$110="FT",Milestones!$AA$110=FT_Y5,CX39&lt;PolicyEff),1,Milestones!$AC$110),0))</f>
        <v>0</v>
      </c>
      <c r="CY41" s="0" t="n">
        <f aca="false">IF(CY39="",0,IF(AND(CY40=Milestones!$AB$111,CY39&gt;=SchemeStart),IF(AND(Milestones!$AB$111="FT",Milestones!$AA$111=FT_Y5,CY39&lt;PolicyEff),1,Milestones!$AC$111),0))</f>
        <v>0</v>
      </c>
      <c r="CZ41" s="0" t="n">
        <f aca="false">IF(CZ39="",0,IF(AND(CZ40=Milestones!$AB$112,CZ39&gt;=SchemeStart),IF(AND(Milestones!$AB$112="FT",Milestones!$AA$112=FT_Y5,CZ39&lt;PolicyEff),1,Milestones!$AC$112),0))</f>
        <v>0</v>
      </c>
      <c r="DA41" s="0" t="n">
        <f aca="false">IF(DA39="",0,IF(AND(DA40=Milestones!$AB$113,DA39&gt;=SchemeStart),IF(AND(Milestones!$AB$113="FT",Milestones!$AA$113=FT_Y5,DA39&lt;PolicyEff),1,Milestones!$AC$113),0))</f>
        <v>0</v>
      </c>
      <c r="DB41" s="0" t="n">
        <f aca="false">IF(DB39="",0,IF(AND(DB40=Milestones!$AB$114,DB39&gt;=SchemeStart),IF(AND(Milestones!$AB$114="FT",Milestones!$AA$114=FT_Y5,DB39&lt;PolicyEff),1,Milestones!$AC$114),0))</f>
        <v>0</v>
      </c>
      <c r="DC41" s="0" t="n">
        <f aca="false">IF(DC39="",0,IF(AND(DC40=Milestones!$AB$115,DC39&gt;=SchemeStart),IF(AND(Milestones!$AB$115="FT",Milestones!$AA$115=FT_Y5,DC39&lt;PolicyEff),1,Milestones!$AC$115),0))</f>
        <v>0</v>
      </c>
      <c r="DD41" s="0" t="n">
        <f aca="false">IF(DD39="",0,IF(AND(DD40=Milestones!$AB$116,DD39&gt;=SchemeStart),IF(AND(Milestones!$AB$116="FT",Milestones!$AA$116=FT_Y5,DD39&lt;PolicyEff),1,Milestones!$AC$116),0))</f>
        <v>0</v>
      </c>
      <c r="DE41" s="0" t="n">
        <f aca="false">IF(DE39="",0,IF(AND(DE40=Milestones!$AB$117,DE39&gt;=SchemeStart),IF(AND(Milestones!$AB$117="FT",Milestones!$AA$117=FT_Y5,DE39&lt;PolicyEff),1,Milestones!$AC$117),0))</f>
        <v>0</v>
      </c>
      <c r="DF41" s="0" t="n">
        <f aca="false">IF(DF39="",0,IF(AND(DF40=Milestones!$AB$118,DF39&gt;=SchemeStart),IF(AND(Milestones!$AB$118="FT",Milestones!$AA$118=FT_Y5,DF39&lt;PolicyEff),1,Milestones!$AC$118),0))</f>
        <v>0</v>
      </c>
      <c r="DG41" s="0" t="n">
        <f aca="false">IF(DG39="",0,IF(AND(DG40=Milestones!$AB$119,DG39&gt;=SchemeStart),IF(AND(Milestones!$AB$119="FT",Milestones!$AA$119=FT_Y5,DG39&lt;PolicyEff),1,Milestones!$AC$119),0))</f>
        <v>0</v>
      </c>
      <c r="DH41" s="0" t="n">
        <f aca="false">IF(DH39="",0,IF(AND(DH40=Milestones!$AB$120,DH39&gt;=SchemeStart),IF(AND(Milestones!$AB$120="FT",Milestones!$AA$120=FT_Y5,DH39&lt;PolicyEff),1,Milestones!$AC$120),0))</f>
        <v>0</v>
      </c>
      <c r="DI41" s="0" t="n">
        <f aca="false">IF(DI39="",0,IF(AND(DI40=Milestones!$AB$121,DI39&gt;=SchemeStart),IF(AND(Milestones!$AB$121="FT",Milestones!$AA$121=FT_Y5,DI39&lt;PolicyEff),1,Milestones!$AC$121),0))</f>
        <v>0</v>
      </c>
      <c r="DJ41" s="0" t="n">
        <f aca="false">IF(DJ39="",0,IF(AND(DJ40=Milestones!$AB$122,DJ39&gt;=SchemeStart),IF(AND(Milestones!$AB$122="FT",Milestones!$AA$122=FT_Y5,DJ39&lt;PolicyEff),1,Milestones!$AC$122),0))</f>
        <v>0</v>
      </c>
      <c r="DK41" s="0" t="n">
        <f aca="false">IF(DK39="",0,IF(AND(DK40=Milestones!$AB$123,DK39&gt;=SchemeStart),IF(AND(Milestones!$AB$123="FT",Milestones!$AA$123=FT_Y5,DK39&lt;PolicyEff),1,Milestones!$AC$123),0))</f>
        <v>0</v>
      </c>
      <c r="DL41" s="0" t="n">
        <f aca="false">IF(DL39="",0,IF(AND(DL40=Milestones!$AB$124,DL39&gt;=SchemeStart),IF(AND(Milestones!$AB$124="FT",Milestones!$AA$124=FT_Y5,DL39&lt;PolicyEff),1,Milestones!$AC$124),0))</f>
        <v>0</v>
      </c>
      <c r="DM41" s="0" t="n">
        <f aca="false">IF(DM39="",0,IF(AND(DM40=Milestones!$AB$125,DM39&gt;=SchemeStart),IF(AND(Milestones!$AB$125="FT",Milestones!$AA$125=FT_Y5,DM39&lt;PolicyEff),1,Milestones!$AC$125),0))</f>
        <v>0</v>
      </c>
      <c r="DN41" s="0" t="n">
        <f aca="false">IF(DN39="",0,IF(AND(DN40=Milestones!$AB$126,DN39&gt;=SchemeStart),IF(AND(Milestones!$AB$126="FT",Milestones!$AA$126=FT_Y5,DN39&lt;PolicyEff),1,Milestones!$AC$126),0))</f>
        <v>0</v>
      </c>
      <c r="DO41" s="0" t="n">
        <f aca="false">IF(DO39="",0,IF(AND(DO40=Milestones!$AB$127,DO39&gt;=SchemeStart),IF(AND(Milestones!$AB$127="FT",Milestones!$AA$127=FT_Y5,DO39&lt;PolicyEff),1,Milestones!$AC$127),0))</f>
        <v>0</v>
      </c>
      <c r="DP41" s="0" t="n">
        <f aca="false">IF(DP39="",0,IF(AND(DP40=Milestones!$AB$128,DP39&gt;=SchemeStart),IF(AND(Milestones!$AB$128="FT",Milestones!$AA$128=FT_Y5,DP39&lt;PolicyEff),1,Milestones!$AC$128),0))</f>
        <v>0</v>
      </c>
      <c r="DQ41" s="0" t="n">
        <f aca="false">IF(DQ39="",0,IF(AND(DQ40=Milestones!$AB$129,DQ39&gt;=SchemeStart),IF(AND(Milestones!$AB$129="FT",Milestones!$AA$129=FT_Y5,DQ39&lt;PolicyEff),1,Milestones!$AC$129),0))</f>
        <v>0</v>
      </c>
      <c r="DR41" s="0" t="n">
        <f aca="false">IF(DR39="",0,IF(AND(DR40=Milestones!$AB$130,DR39&gt;=SchemeStart),IF(AND(Milestones!$AB$130="FT",Milestones!$AA$130=FT_Y5,DR39&lt;PolicyEff),1,Milestones!$AC$130),0))</f>
        <v>0</v>
      </c>
      <c r="DS41" s="0" t="n">
        <f aca="false">IF(DS39="",0,IF(AND(DS40=Milestones!$AB$131,DS39&gt;=SchemeStart),IF(AND(Milestones!$AB$131="FT",Milestones!$AA$131=FT_Y5,DS39&lt;PolicyEff),1,Milestones!$AC$131),0))</f>
        <v>0</v>
      </c>
      <c r="DT41" s="0" t="n">
        <f aca="false">IF(DT39="",0,IF(AND(DT40=Milestones!$AB$132,DT39&gt;=SchemeStart),IF(AND(Milestones!$AB$132="FT",Milestones!$AA$132=FT_Y5,DT39&lt;PolicyEff),1,Milestones!$AC$132),0))</f>
        <v>0</v>
      </c>
      <c r="DU41" s="0" t="n">
        <f aca="false">IF(DU39="",0,IF(AND(DU40=Milestones!$AB$133,DU39&gt;=SchemeStart),IF(AND(Milestones!$AB$133="FT",Milestones!$AA$133=FT_Y5,DU39&lt;PolicyEff),1,Milestones!$AC$133),0))</f>
        <v>0</v>
      </c>
      <c r="DV41" s="0" t="n">
        <f aca="false">IF(DV39="",0,IF(AND(DV40=Milestones!$AB$134,DV39&gt;=SchemeStart),IF(AND(Milestones!$AB$134="FT",Milestones!$AA$134=FT_Y5,DV39&lt;PolicyEff),1,Milestones!$AC$134),0))</f>
        <v>0</v>
      </c>
      <c r="DW41" s="0" t="n">
        <f aca="false">IF(DW39="",0,IF(AND(DW40=Milestones!$AB$135,DW39&gt;=SchemeStart),IF(AND(Milestones!$AB$135="FT",Milestones!$AA$135=FT_Y5,DW39&lt;PolicyEff),1,Milestones!$AC$135),0))</f>
        <v>0</v>
      </c>
      <c r="DX41" s="0" t="n">
        <f aca="false">IF(DX39="",0,IF(AND(DX40=Milestones!$AB$136,DX39&gt;=SchemeStart),IF(AND(Milestones!$AB$136="FT",Milestones!$AA$136=FT_Y5,DX39&lt;PolicyEff),1,Milestones!$AC$136),0))</f>
        <v>0</v>
      </c>
      <c r="DY41" s="0" t="n">
        <f aca="false">IF(DY39="",0,IF(AND(DY40=Milestones!$AB$137,DY39&gt;=SchemeStart),IF(AND(Milestones!$AB$137="FT",Milestones!$AA$137=FT_Y5,DY39&lt;PolicyEff),1,Milestones!$AC$137),0))</f>
        <v>0</v>
      </c>
      <c r="DZ41" s="0" t="n">
        <f aca="false">IF(DZ39="",0,IF(AND(DZ40=Milestones!$AB$138,DZ39&gt;=SchemeStart),IF(AND(Milestones!$AB$138="FT",Milestones!$AA$138=FT_Y5,DZ39&lt;PolicyEff),1,Milestones!$AC$138),0))</f>
        <v>0</v>
      </c>
      <c r="EA41" s="0" t="n">
        <f aca="false">IF(EA39="",0,IF(AND(EA40=Milestones!$AB$139,EA39&gt;=SchemeStart),IF(AND(Milestones!$AB$139="FT",Milestones!$AA$139=FT_Y5,EA39&lt;PolicyEff),1,Milestones!$AC$139),0))</f>
        <v>0</v>
      </c>
      <c r="EB41" s="0" t="n">
        <f aca="false">IF(EB39="",0,IF(AND(EB40=Milestones!$AB$140,EB39&gt;=SchemeStart),IF(AND(Milestones!$AB$140="FT",Milestones!$AA$140=FT_Y5,EB39&lt;PolicyEff),1,Milestones!$AC$140),0))</f>
        <v>0</v>
      </c>
      <c r="EC41" s="0" t="n">
        <f aca="false">IF(EC39="",0,IF(AND(EC40=Milestones!$AB$141,EC39&gt;=SchemeStart),IF(AND(Milestones!$AB$141="FT",Milestones!$AA$141=FT_Y5,EC39&lt;PolicyEff),1,Milestones!$AC$141),0))</f>
        <v>0</v>
      </c>
      <c r="ED41" s="0" t="n">
        <f aca="false">IF(ED39="",0,IF(AND(ED40=Milestones!$AB$142,ED39&gt;=SchemeStart),IF(AND(Milestones!$AB$142="FT",Milestones!$AA$142=FT_Y5,ED39&lt;PolicyEff),1,Milestones!$AC$142),0))</f>
        <v>0</v>
      </c>
      <c r="EE41" s="0" t="n">
        <f aca="false">IF(EE39="",0,IF(AND(EE40=Milestones!$AB$143,EE39&gt;=SchemeStart),IF(AND(Milestones!$AB$143="FT",Milestones!$AA$143=FT_Y5,EE39&lt;PolicyEff),1,Milestones!$AC$143),0))</f>
        <v>0</v>
      </c>
      <c r="EF41" s="0" t="n">
        <f aca="false">IF(EF39="",0,IF(AND(EF40=Milestones!$AB$144,EF39&gt;=SchemeStart),IF(AND(Milestones!$AB$144="FT",Milestones!$AA$144=FT_Y5,EF39&lt;PolicyEff),1,Milestones!$AC$144),0))</f>
        <v>0</v>
      </c>
      <c r="EG41" s="0" t="n">
        <f aca="false">IF(EG39="",0,IF(AND(EG40=Milestones!$AB$145,EG39&gt;=SchemeStart),IF(AND(Milestones!$AB$145="FT",Milestones!$AA$145=FT_Y5,EG39&lt;PolicyEff),1,Milestones!$AC$145),0))</f>
        <v>0</v>
      </c>
      <c r="EH41" s="0" t="n">
        <f aca="false">IF(EH39="",0,IF(AND(EH40=Milestones!$AB$146,EH39&gt;=SchemeStart),IF(AND(Milestones!$AB$146="FT",Milestones!$AA$146=FT_Y5,EH39&lt;PolicyEff),1,Milestones!$AC$146),0))</f>
        <v>0</v>
      </c>
      <c r="EI41" s="0" t="n">
        <f aca="false">IF(EI39="",0,IF(AND(EI40=Milestones!$AB$147,EI39&gt;=SchemeStart),IF(AND(Milestones!$AB$147="FT",Milestones!$AA$147=FT_Y5,EI39&lt;PolicyEff),1,Milestones!$AC$147),0))</f>
        <v>0</v>
      </c>
      <c r="EJ41" s="0" t="n">
        <f aca="false">IF(EJ39="",0,IF(AND(EJ40=Milestones!$AB$148,EJ39&gt;=SchemeStart),IF(AND(Milestones!$AB$148="FT",Milestones!$AA$148=FT_Y5,EJ39&lt;PolicyEff),1,Milestones!$AC$148),0))</f>
        <v>0</v>
      </c>
      <c r="EK41" s="0" t="n">
        <f aca="false">IF(EK39="",0,IF(AND(EK40=Milestones!$AB$149,EK39&gt;=SchemeStart),IF(AND(Milestones!$AB$149="FT",Milestones!$AA$149=FT_Y5,EK39&lt;PolicyEff),1,Milestones!$AC$149),0))</f>
        <v>0</v>
      </c>
      <c r="EL41" s="0" t="n">
        <f aca="false">IF(EL39="",0,IF(AND(EL40=Milestones!$AB$150,EL39&gt;=SchemeStart),IF(AND(Milestones!$AB$150="FT",Milestones!$AA$150=FT_Y5,EL39&lt;PolicyEff),1,Milestones!$AC$150),0))</f>
        <v>0</v>
      </c>
      <c r="EM41" s="0" t="n">
        <f aca="false">IF(EM39="",0,IF(AND(EM40=Milestones!$AB$151,EM39&gt;=SchemeStart),IF(AND(Milestones!$AB$151="FT",Milestones!$AA$151=FT_Y5,EM39&lt;PolicyEff),1,Milestones!$AC$151),0))</f>
        <v>0</v>
      </c>
      <c r="EN41" s="0" t="n">
        <f aca="false">IF(EN39="",0,IF(AND(EN40=Milestones!$AB$152,EN39&gt;=SchemeStart),IF(AND(Milestones!$AB$152="FT",Milestones!$AA$152=FT_Y5,EN39&lt;PolicyEff),1,Milestones!$AC$152),0))</f>
        <v>0</v>
      </c>
      <c r="EO41" s="0" t="n">
        <f aca="false">IF(EO39="",0,IF(AND(EO40=Milestones!$AB$153,EO39&gt;=SchemeStart),IF(AND(Milestones!$AB$153="FT",Milestones!$AA$153=FT_Y5,EO39&lt;PolicyEff),1,Milestones!$AC$153),0))</f>
        <v>0</v>
      </c>
      <c r="EP41" s="0" t="n">
        <f aca="false">IF(EP39="",0,IF(AND(EP40=Milestones!$AB$154,EP39&gt;=SchemeStart),IF(AND(Milestones!$AB$154="FT",Milestones!$AA$154=FT_Y5,EP39&lt;PolicyEff),1,Milestones!$AC$154),0))</f>
        <v>0</v>
      </c>
      <c r="EQ41" s="0" t="n">
        <f aca="false">IF(EQ39="",0,IF(AND(EQ40=Milestones!$AB$155,EQ39&gt;=SchemeStart),IF(AND(Milestones!$AB$155="FT",Milestones!$AA$155=FT_Y5,EQ39&lt;PolicyEff),1,Milestones!$AC$155),0))</f>
        <v>0</v>
      </c>
      <c r="ER41" s="0" t="n">
        <f aca="false">IF(ER39="",0,IF(AND(ER40=Milestones!$AB$156,ER39&gt;=SchemeStart),IF(AND(Milestones!$AB$156="FT",Milestones!$AA$156=FT_Y5,ER39&lt;PolicyEff),1,Milestones!$AC$156),0))</f>
        <v>0</v>
      </c>
      <c r="ES41" s="0" t="n">
        <f aca="false">IF(ES39="",0,IF(AND(ES40=Milestones!$AB$157,ES39&gt;=SchemeStart),IF(AND(Milestones!$AB$157="FT",Milestones!$AA$157=FT_Y5,ES39&lt;PolicyEff),1,Milestones!$AC$157),0))</f>
        <v>0</v>
      </c>
      <c r="ET41" s="0" t="n">
        <f aca="false">IF(ET39="",0,IF(AND(ET40=Milestones!$AB$158,ET39&gt;=SchemeStart),IF(AND(Milestones!$AB$158="FT",Milestones!$AA$158=FT_Y5,ET39&lt;PolicyEff),1,Milestones!$AC$158),0))</f>
        <v>0</v>
      </c>
      <c r="EU41" s="0" t="n">
        <f aca="false">IF(EU39="",0,IF(AND(EU40=Milestones!$AB$159,EU39&gt;=SchemeStart),IF(AND(Milestones!$AB$159="FT",Milestones!$AA$159=FT_Y5,EU39&lt;PolicyEff),1,Milestones!$AC$159),0))</f>
        <v>0</v>
      </c>
      <c r="EV41" s="0" t="n">
        <f aca="false">IF(EV39="",0,IF(AND(EV40=Milestones!$AB$160,EV39&gt;=SchemeStart),IF(AND(Milestones!$AB$160="FT",Milestones!$AA$160=FT_Y5,EV39&lt;PolicyEff),1,Milestones!$AC$160),0))</f>
        <v>0</v>
      </c>
      <c r="EW41" s="0" t="n">
        <f aca="false">IF(EW39="",0,IF(AND(EW40=Milestones!$AB$161,EW39&gt;=SchemeStart),IF(AND(Milestones!$AB$161="FT",Milestones!$AA$161=FT_Y5,EW39&lt;PolicyEff),1,Milestones!$AC$161),0))</f>
        <v>0</v>
      </c>
      <c r="EX41" s="0" t="n">
        <f aca="false">IF(EX39="",0,IF(AND(EX40=Milestones!$AB$162,EX39&gt;=SchemeStart),IF(AND(Milestones!$AB$162="FT",Milestones!$AA$162=FT_Y5,EX39&lt;PolicyEff),1,Milestones!$AC$162),0))</f>
        <v>0</v>
      </c>
      <c r="EY41" s="0" t="n">
        <f aca="false">IF(EY39="",0,IF(AND(EY40=Milestones!$AB$163,EY39&gt;=SchemeStart),IF(AND(Milestones!$AB$163="FT",Milestones!$AA$163=FT_Y5,EY39&lt;PolicyEff),1,Milestones!$AC$163),0))</f>
        <v>0</v>
      </c>
      <c r="EZ41" s="0" t="n">
        <f aca="false">IF(EZ39="",0,IF(AND(EZ40=Milestones!$AB$164,EZ39&gt;=SchemeStart),IF(AND(Milestones!$AB$164="FT",Milestones!$AA$164=FT_Y5,EZ39&lt;PolicyEff),1,Milestones!$AC$164),0))</f>
        <v>0</v>
      </c>
      <c r="FA41" s="0" t="n">
        <f aca="false">IF(FA39="",0,IF(AND(FA40=Milestones!$AB$165,FA39&gt;=SchemeStart),IF(AND(Milestones!$AB$165="FT",Milestones!$AA$165=FT_Y5,FA39&lt;PolicyEff),1,Milestones!$AC$165),0))</f>
        <v>0</v>
      </c>
      <c r="FB41" s="0" t="n">
        <f aca="false">IF(FB39="",0,IF(AND(FB40=Milestones!$AB$166,FB39&gt;=SchemeStart),IF(AND(Milestones!$AB$166="FT",Milestones!$AA$166=FT_Y5,FB39&lt;PolicyEff),1,Milestones!$AC$166),0))</f>
        <v>0</v>
      </c>
      <c r="FC41" s="0" t="n">
        <f aca="false">IF(FC39="",0,IF(AND(FC40=Milestones!$AB$167,FC39&gt;=SchemeStart),IF(AND(Milestones!$AB$167="FT",Milestones!$AA$167=FT_Y5,FC39&lt;PolicyEff),1,Milestones!$AC$167),0))</f>
        <v>0</v>
      </c>
      <c r="FD41" s="0" t="n">
        <f aca="false">IF(FD39="",0,IF(AND(FD40=Milestones!$AB$168,FD39&gt;=SchemeStart),IF(AND(Milestones!$AB$168="FT",Milestones!$AA$168=FT_Y5,FD39&lt;PolicyEff),1,Milestones!$AC$168),0))</f>
        <v>0</v>
      </c>
      <c r="FE41" s="0" t="n">
        <f aca="false">IF(FE39="",0,IF(AND(FE40=Milestones!$AB$169,FE39&gt;=SchemeStart),IF(AND(Milestones!$AB$169="FT",Milestones!$AA$169=FT_Y5,FE39&lt;PolicyEff),1,Milestones!$AC$169),0))</f>
        <v>0</v>
      </c>
      <c r="FF41" s="0" t="n">
        <f aca="false">IF(FF39="",0,IF(AND(FF40=Milestones!$AB$170,FF39&gt;=SchemeStart),IF(AND(Milestones!$AB$170="FT",Milestones!$AA$170=FT_Y5,FF39&lt;PolicyEff),1,Milestones!$AC$170),0))</f>
        <v>0</v>
      </c>
      <c r="FG41" s="0" t="n">
        <f aca="false">IF(FG39="",0,IF(AND(FG40=Milestones!$AB$171,FG39&gt;=SchemeStart),IF(AND(Milestones!$AB$171="FT",Milestones!$AA$171=FT_Y5,FG39&lt;PolicyEff),1,Milestones!$AC$171),0))</f>
        <v>0</v>
      </c>
      <c r="FH41" s="0" t="n">
        <f aca="false">IF(FH39="",0,IF(AND(FH40=Milestones!$AB$172,FH39&gt;=SchemeStart),IF(AND(Milestones!$AB$172="FT",Milestones!$AA$172=FT_Y5,FH39&lt;PolicyEff),1,Milestones!$AC$172),0))</f>
        <v>0</v>
      </c>
      <c r="FI41" s="0" t="n">
        <f aca="false">IF(FI39="",0,IF(AND(FI40=Milestones!$AB$173,FI39&gt;=SchemeStart),IF(AND(Milestones!$AB$173="FT",Milestones!$AA$173=FT_Y5,FI39&lt;PolicyEff),1,Milestones!$AC$173),0))</f>
        <v>0</v>
      </c>
      <c r="FJ41" s="0" t="n">
        <f aca="false">IF(FJ39="",0,IF(AND(FJ40=Milestones!$AB$174,FJ39&gt;=SchemeStart),IF(AND(Milestones!$AB$174="FT",Milestones!$AA$174=FT_Y5,FJ39&lt;PolicyEff),1,Milestones!$AC$174),0))</f>
        <v>0</v>
      </c>
      <c r="FK41" s="0" t="n">
        <f aca="false">IF(FK39="",0,IF(AND(FK40=Milestones!$AB$175,FK39&gt;=SchemeStart),IF(AND(Milestones!$AB$175="FT",Milestones!$AA$175=FT_Y5,FK39&lt;PolicyEff),1,Milestones!$AC$175),0))</f>
        <v>0</v>
      </c>
      <c r="FL41" s="0" t="n">
        <f aca="false">IF(FL39="",0,IF(AND(FL40=Milestones!$AB$176,FL39&gt;=SchemeStart),IF(AND(Milestones!$AB$176="FT",Milestones!$AA$176=FT_Y5,FL39&lt;PolicyEff),1,Milestones!$AC$176),0))</f>
        <v>0</v>
      </c>
      <c r="FM41" s="0" t="n">
        <f aca="false">IF(FM39="",0,IF(AND(FM40=Milestones!$AB$177,FM39&gt;=SchemeStart),IF(AND(Milestones!$AB$177="FT",Milestones!$AA$177=FT_Y5,FM39&lt;PolicyEff),1,Milestones!$AC$177),0))</f>
        <v>0</v>
      </c>
      <c r="FN41" s="0" t="n">
        <f aca="false">IF(FN39="",0,IF(AND(FN40=Milestones!$AB$178,FN39&gt;=SchemeStart),IF(AND(Milestones!$AB$178="FT",Milestones!$AA$178=FT_Y5,FN39&lt;PolicyEff),1,Milestones!$AC$178),0))</f>
        <v>0</v>
      </c>
      <c r="FO41" s="0" t="n">
        <f aca="false">IF(FO39="",0,IF(AND(FO40=Milestones!$AB$179,FO39&gt;=SchemeStart),IF(AND(Milestones!$AB$179="FT",Milestones!$AA$179=FT_Y5,FO39&lt;PolicyEff),1,Milestones!$AC$179),0))</f>
        <v>0</v>
      </c>
      <c r="FP41" s="0" t="n">
        <f aca="false">IF(FP39="",0,IF(AND(FP40=Milestones!$AB$180,FP39&gt;=SchemeStart),IF(AND(Milestones!$AB$180="FT",Milestones!$AA$180=FT_Y5,FP39&lt;PolicyEff),1,Milestones!$AC$180),0))</f>
        <v>0</v>
      </c>
      <c r="FQ41" s="0" t="n">
        <f aca="false">IF(FQ39="",0,IF(AND(FQ40=Milestones!$AB$181,FQ39&gt;=SchemeStart),IF(AND(Milestones!$AB$181="FT",Milestones!$AA$181=FT_Y5,FQ39&lt;PolicyEff),1,Milestones!$AC$181),0))</f>
        <v>0</v>
      </c>
      <c r="FR41" s="0" t="n">
        <f aca="false">IF(FR39="",0,IF(AND(FR40=Milestones!$AB$182,FR39&gt;=SchemeStart),IF(AND(Milestones!$AB$182="FT",Milestones!$AA$182=FT_Y5,FR39&lt;PolicyEff),1,Milestones!$AC$182),0))</f>
        <v>0</v>
      </c>
      <c r="FS41" s="0" t="n">
        <f aca="false">IF(FS39="",0,IF(AND(FS40=Milestones!$AB$183,FS39&gt;=SchemeStart),IF(AND(Milestones!$AB$183="FT",Milestones!$AA$183=FT_Y5,FS39&lt;PolicyEff),1,Milestones!$AC$183),0))</f>
        <v>0</v>
      </c>
      <c r="FT41" s="0" t="n">
        <f aca="false">IF(FT39="",0,IF(AND(FT40=Milestones!$AB$184,FT39&gt;=SchemeStart),IF(AND(Milestones!$AB$184="FT",Milestones!$AA$184=FT_Y5,FT39&lt;PolicyEff),1,Milestones!$AC$184),0))</f>
        <v>0</v>
      </c>
      <c r="FU41" s="0" t="n">
        <f aca="false">IF(FU39="",0,IF(AND(FU40=Milestones!$AB$185,FU39&gt;=SchemeStart),IF(AND(Milestones!$AB$185="FT",Milestones!$AA$185=FT_Y5,FU39&lt;PolicyEff),1,Milestones!$AC$185),0))</f>
        <v>0</v>
      </c>
      <c r="FV41" s="0" t="n">
        <f aca="false">IF(FV39="",0,IF(AND(FV40=Milestones!$AB$186,FV39&gt;=SchemeStart),IF(AND(Milestones!$AB$186="FT",Milestones!$AA$186=FT_Y5,FV39&lt;PolicyEff),1,Milestones!$AC$186),0))</f>
        <v>0</v>
      </c>
      <c r="FW41" s="0" t="n">
        <f aca="false">IF(FW39="",0,IF(AND(FW40=Milestones!$AB$187,FW39&gt;=SchemeStart),IF(AND(Milestones!$AB$187="FT",Milestones!$AA$187=FT_Y5,FW39&lt;PolicyEff),1,Milestones!$AC$187),0))</f>
        <v>0</v>
      </c>
      <c r="FX41" s="0" t="n">
        <f aca="false">IF(FX39="",0,IF(AND(FX40=Milestones!$AB$188,FX39&gt;=SchemeStart),IF(AND(Milestones!$AB$188="FT",Milestones!$AA$188=FT_Y5,FX39&lt;PolicyEff),1,Milestones!$AC$188),0))</f>
        <v>0</v>
      </c>
      <c r="FY41" s="0" t="n">
        <f aca="false">IF(FY39="",0,IF(AND(FY40=Milestones!$AB$189,FY39&gt;=SchemeStart),IF(AND(Milestones!$AB$189="FT",Milestones!$AA$189=FT_Y5,FY39&lt;PolicyEff),1,Milestones!$AC$189),0))</f>
        <v>0</v>
      </c>
      <c r="FZ41" s="0" t="n">
        <f aca="false">IF(FZ39="",0,IF(AND(FZ40=Milestones!$AB$190,FZ39&gt;=SchemeStart),IF(AND(Milestones!$AB$190="FT",Milestones!$AA$190=FT_Y5,FZ39&lt;PolicyEff),1,Milestones!$AC$190),0))</f>
        <v>0</v>
      </c>
      <c r="GA41" s="0" t="n">
        <f aca="false">IF(GA39="",0,IF(AND(GA40=Milestones!$AB$191,GA39&gt;=SchemeStart),IF(AND(Milestones!$AB$191="FT",Milestones!$AA$191=FT_Y5,GA39&lt;PolicyEff),1,Milestones!$AC$191),0))</f>
        <v>0</v>
      </c>
      <c r="GB41" s="0" t="n">
        <f aca="false">IF(GB39="",0,IF(AND(GB40=Milestones!$AB$192,GB39&gt;=SchemeStart),IF(AND(Milestones!$AB$192="FT",Milestones!$AA$192=FT_Y5,GB39&lt;PolicyEff),1,Milestones!$AC$192),0))</f>
        <v>0</v>
      </c>
      <c r="GC41" s="0" t="n">
        <f aca="false">IF(GC39="",0,IF(AND(GC40=Milestones!$AB$193,GC39&gt;=SchemeStart),IF(AND(Milestones!$AB$193="FT",Milestones!$AA$193=FT_Y5,GC39&lt;PolicyEff),1,Milestones!$AC$193),0))</f>
        <v>0</v>
      </c>
      <c r="GD41" s="0" t="n">
        <f aca="false">IF(GD39="",0,IF(AND(GD40=Milestones!$AB$194,GD39&gt;=SchemeStart),IF(AND(Milestones!$AB$194="FT",Milestones!$AA$194=FT_Y5,GD39&lt;PolicyEff),1,Milestones!$AC$194),0))</f>
        <v>0</v>
      </c>
      <c r="GE41" s="0" t="n">
        <f aca="false">IF(GE39="",0,IF(AND(GE40=Milestones!$AB$195,GE39&gt;=SchemeStart),IF(AND(Milestones!$AB$195="FT",Milestones!$AA$195=FT_Y5,GE39&lt;PolicyEff),1,Milestones!$AC$195),0))</f>
        <v>0</v>
      </c>
      <c r="GF41" s="0" t="n">
        <f aca="false">IF(GF39="",0,IF(AND(GF40=Milestones!$AB$196,GF39&gt;=SchemeStart),IF(AND(Milestones!$AB$196="FT",Milestones!$AA$196=FT_Y5,GF39&lt;PolicyEff),1,Milestones!$AC$196),0))</f>
        <v>0</v>
      </c>
      <c r="GG41" s="0" t="n">
        <f aca="false">IF(GG39="",0,IF(AND(GG40=Milestones!$AB$197,GG39&gt;=SchemeStart),IF(AND(Milestones!$AB$197="FT",Milestones!$AA$197=FT_Y5,GG39&lt;PolicyEff),1,Milestones!$AC$197),0))</f>
        <v>0</v>
      </c>
      <c r="GH41" s="0" t="n">
        <f aca="false">IF(GH39="",0,IF(AND(GH40=Milestones!$AB$198,GH39&gt;=SchemeStart),IF(AND(Milestones!$AB$198="FT",Milestones!$AA$198=FT_Y5,GH39&lt;PolicyEff),1,Milestones!$AC$198),0))</f>
        <v>0</v>
      </c>
      <c r="GI41" s="0" t="n">
        <f aca="false">IF(GI39="",0,IF(AND(GI40=Milestones!$AB$199,GI39&gt;=SchemeStart),IF(AND(Milestones!$AB$199="FT",Milestones!$AA$199=FT_Y5,GI39&lt;PolicyEff),1,Milestones!$AC$199),0))</f>
        <v>0</v>
      </c>
    </row>
    <row r="42" customFormat="false" ht="15" hidden="false" customHeight="false" outlineLevel="0" collapsed="false">
      <c r="A42" s="0" t="str">
        <f aca="false">IF('HR Tally Check'!O$7="","",'HR Tally Check'!O$7)</f>
        <v/>
      </c>
      <c r="B42" s="0" t="str">
        <f aca="false">IF(A42="","",ISNUMBER(MATCH(A42,Staff!$BR$5:$BR$154,0)))</f>
        <v/>
      </c>
      <c r="C42" s="20" t="str">
        <f aca="false">IF(B42&lt;&gt;TRUE(),"",INDEX(Staff!$AL$5:$AL$154,MATCH($A42,Staff!$BR$5:$BR$154,0)))</f>
        <v/>
      </c>
      <c r="D42" s="0" t="str">
        <f aca="false">IF(B42&lt;&gt;TRUE(),"",INDEX(Staff!$AM$5:$AM$154,MATCH($A42,Staff!$BR$5:$BR$154,0)))</f>
        <v/>
      </c>
      <c r="E42" s="20" t="str">
        <f aca="false">IF(B42&lt;&gt;TRUE(),"",INDEX(Staff!$AO$5:$AO$154,MATCH($A42,Staff!$BR$5:$BR$154,0)))</f>
        <v/>
      </c>
      <c r="F42" s="20" t="str">
        <f aca="false">IF(B42&lt;&gt;TRUE(),"",INDEX(Staff!$AP$5:$AP$154,MATCH($A42,Staff!$BR$5:$BR$154,0)))</f>
        <v/>
      </c>
      <c r="G42" s="0" t="str">
        <f aca="false">IF(B42&lt;&gt;TRUE(),"",INDEX(Staff!$AT$5:$AT$154,MATCH($A42,Staff!$BR$5:$BR$154,0)))</f>
        <v/>
      </c>
      <c r="H42" s="0" t="str">
        <f aca="false">IF(B42&lt;&gt;TRUE(),"",INDEX(Staff!$AU$5:$AU$154,MATCH($A42,Staff!$BR$5:$BR$154,0)))</f>
        <v/>
      </c>
      <c r="I42" s="0" t="str">
        <f aca="false">IF(B42&lt;&gt;TRUE(),"",INDEX(Staff!$AV$5:$AV$154,MATCH($A42,Staff!$BR$5:$BR$154,0)))</f>
        <v/>
      </c>
      <c r="J42" s="0" t="str">
        <f aca="false">IF(B42&lt;&gt;TRUE(),"",INDEX(Staff!$AW$5:$AW$154,MATCH($A42,Staff!$BR$5:$BR$154,0)))</f>
        <v/>
      </c>
      <c r="K42" s="33" t="s">
        <v>262</v>
      </c>
      <c r="L42" s="20" t="str">
        <f aca="false">IF($C42="","",EDATE($C42,Milestones!$AA$20))</f>
        <v/>
      </c>
      <c r="M42" s="20" t="str">
        <f aca="false">IF($C42="","",EDATE($C42,Milestones!$AA$21))</f>
        <v/>
      </c>
      <c r="N42" s="20" t="str">
        <f aca="false">IF($C42="","",EDATE($C42,Milestones!$AA$22))</f>
        <v/>
      </c>
      <c r="O42" s="20" t="str">
        <f aca="false">IF($C42="","",EDATE($C42,Milestones!$AA$23))</f>
        <v/>
      </c>
      <c r="P42" s="20" t="str">
        <f aca="false">IF($C42="","",EDATE($C42,Milestones!$AA$24))</f>
        <v/>
      </c>
      <c r="Q42" s="20" t="str">
        <f aca="false">IF($C42="","",EDATE($C42,Milestones!$AA$25))</f>
        <v/>
      </c>
      <c r="R42" s="20" t="str">
        <f aca="false">IF($C42="","",EDATE($C42,Milestones!$AA$26))</f>
        <v/>
      </c>
      <c r="S42" s="20" t="str">
        <f aca="false">IF($C42="","",EDATE($C42,Milestones!$AA$27))</f>
        <v/>
      </c>
      <c r="T42" s="20" t="str">
        <f aca="false">IF($C42="","",EDATE($C42,Milestones!$AA$28))</f>
        <v/>
      </c>
      <c r="U42" s="20" t="str">
        <f aca="false">IF($C42="","",EDATE($C42,Milestones!$AA$29))</f>
        <v/>
      </c>
      <c r="V42" s="20" t="str">
        <f aca="false">IF($C42="","",EDATE($C42,Milestones!$AA$30))</f>
        <v/>
      </c>
      <c r="W42" s="20" t="str">
        <f aca="false">IF($C42="","",EDATE($C42,Milestones!$AA$31))</f>
        <v/>
      </c>
      <c r="X42" s="20" t="str">
        <f aca="false">IF($C42="","",EDATE($C42,Milestones!$AA$32))</f>
        <v/>
      </c>
      <c r="Y42" s="20" t="str">
        <f aca="false">IF($C42="","",EDATE($C42,Milestones!$AA$33))</f>
        <v/>
      </c>
      <c r="Z42" s="20" t="str">
        <f aca="false">IF($C42="","",EDATE($C42,Milestones!$AA$34))</f>
        <v/>
      </c>
      <c r="AA42" s="20" t="str">
        <f aca="false">IF($C42="","",EDATE($C42,Milestones!$AA$35))</f>
        <v/>
      </c>
      <c r="AB42" s="20" t="str">
        <f aca="false">IF($C42="","",EDATE($C42,Milestones!$AA$36))</f>
        <v/>
      </c>
      <c r="AC42" s="20" t="str">
        <f aca="false">IF($C42="","",EDATE($C42,Milestones!$AA$37))</f>
        <v/>
      </c>
      <c r="AD42" s="20" t="str">
        <f aca="false">IF($C42="","",EDATE($C42,Milestones!$AA$38))</f>
        <v/>
      </c>
      <c r="AE42" s="20" t="str">
        <f aca="false">IF($C42="","",EDATE($C42,Milestones!$AA$39))</f>
        <v/>
      </c>
      <c r="AF42" s="20" t="str">
        <f aca="false">IF($C42="","",EDATE($C42,Milestones!$AA$40))</f>
        <v/>
      </c>
      <c r="AG42" s="20" t="str">
        <f aca="false">IF($C42="","",EDATE($C42,Milestones!$AA$41))</f>
        <v/>
      </c>
      <c r="AH42" s="20" t="str">
        <f aca="false">IF($C42="","",EDATE($C42,Milestones!$AA$42))</f>
        <v/>
      </c>
      <c r="AI42" s="20" t="str">
        <f aca="false">IF($C42="","",EDATE($C42,Milestones!$AA$43))</f>
        <v/>
      </c>
      <c r="AJ42" s="20" t="str">
        <f aca="false">IF($C42="","",EDATE($C42,Milestones!$AA$44))</f>
        <v/>
      </c>
      <c r="AK42" s="20" t="str">
        <f aca="false">IF($C42="","",EDATE($C42,Milestones!$AA$45))</f>
        <v/>
      </c>
      <c r="AL42" s="20" t="str">
        <f aca="false">IF($C42="","",EDATE($C42,Milestones!$AA$46))</f>
        <v/>
      </c>
      <c r="AM42" s="20" t="str">
        <f aca="false">IF($C42="","",EDATE($C42,Milestones!$AA$47))</f>
        <v/>
      </c>
      <c r="AN42" s="20" t="str">
        <f aca="false">IF($C42="","",EDATE($C42,Milestones!$AA$48))</f>
        <v/>
      </c>
      <c r="AO42" s="20" t="str">
        <f aca="false">IF($C42="","",EDATE($C42,Milestones!$AA$49))</f>
        <v/>
      </c>
      <c r="AP42" s="20" t="str">
        <f aca="false">IF($C42="","",EDATE($C42,Milestones!$AA$50))</f>
        <v/>
      </c>
      <c r="AQ42" s="20" t="str">
        <f aca="false">IF($C42="","",EDATE($C42,Milestones!$AA$51))</f>
        <v/>
      </c>
      <c r="AR42" s="20" t="str">
        <f aca="false">IF($C42="","",EDATE($C42,Milestones!$AA$52))</f>
        <v/>
      </c>
      <c r="AS42" s="20" t="str">
        <f aca="false">IF($C42="","",EDATE($C42,Milestones!$AA$53))</f>
        <v/>
      </c>
      <c r="AT42" s="20" t="str">
        <f aca="false">IF($C42="","",EDATE($C42,Milestones!$AA$54))</f>
        <v/>
      </c>
      <c r="AU42" s="20" t="str">
        <f aca="false">IF($C42="","",EDATE($C42,Milestones!$AA$55))</f>
        <v/>
      </c>
      <c r="AV42" s="20" t="str">
        <f aca="false">IF($C42="","",EDATE($C42,Milestones!$AA$56))</f>
        <v/>
      </c>
      <c r="AW42" s="20" t="str">
        <f aca="false">IF($C42="","",EDATE($C42,Milestones!$AA$57))</f>
        <v/>
      </c>
      <c r="AX42" s="20" t="str">
        <f aca="false">IF($C42="","",EDATE($C42,Milestones!$AA$58))</f>
        <v/>
      </c>
      <c r="AY42" s="20" t="str">
        <f aca="false">IF($C42="","",EDATE($C42,Milestones!$AA$59))</f>
        <v/>
      </c>
      <c r="AZ42" s="20" t="str">
        <f aca="false">IF($C42="","",EDATE($C42,Milestones!$AA$60))</f>
        <v/>
      </c>
      <c r="BA42" s="20" t="str">
        <f aca="false">IF($C42="","",EDATE($C42,Milestones!$AA$61))</f>
        <v/>
      </c>
      <c r="BB42" s="20" t="str">
        <f aca="false">IF($C42="","",EDATE($C42,Milestones!$AA$62))</f>
        <v/>
      </c>
      <c r="BC42" s="20" t="str">
        <f aca="false">IF($C42="","",EDATE($C42,Milestones!$AA$63))</f>
        <v/>
      </c>
      <c r="BD42" s="20" t="str">
        <f aca="false">IF($C42="","",EDATE($C42,Milestones!$AA$64))</f>
        <v/>
      </c>
      <c r="BE42" s="20" t="str">
        <f aca="false">IF($C42="","",EDATE($C42,Milestones!$AA$65))</f>
        <v/>
      </c>
      <c r="BF42" s="20" t="str">
        <f aca="false">IF($C42="","",EDATE($C42,Milestones!$AA$66))</f>
        <v/>
      </c>
      <c r="BG42" s="20" t="str">
        <f aca="false">IF($C42="","",EDATE($C42,Milestones!$AA$67))</f>
        <v/>
      </c>
      <c r="BH42" s="20" t="str">
        <f aca="false">IF($C42="","",EDATE($C42,Milestones!$AA$68))</f>
        <v/>
      </c>
      <c r="BI42" s="20" t="str">
        <f aca="false">IF($C42="","",EDATE($C42,Milestones!$AA$69))</f>
        <v/>
      </c>
      <c r="BJ42" s="20" t="str">
        <f aca="false">IF($C42="","",EDATE($C42,Milestones!$AA$70))</f>
        <v/>
      </c>
      <c r="BK42" s="20" t="str">
        <f aca="false">IF($C42="","",EDATE($C42,Milestones!$AA$71))</f>
        <v/>
      </c>
      <c r="BL42" s="20" t="str">
        <f aca="false">IF($C42="","",EDATE($C42,Milestones!$AA$72))</f>
        <v/>
      </c>
      <c r="BM42" s="20" t="str">
        <f aca="false">IF($C42="","",EDATE($C42,Milestones!$AA$73))</f>
        <v/>
      </c>
      <c r="BN42" s="20" t="str">
        <f aca="false">IF($C42="","",EDATE($C42,Milestones!$AA$74))</f>
        <v/>
      </c>
      <c r="BO42" s="20" t="str">
        <f aca="false">IF($C42="","",EDATE($C42,Milestones!$AA$75))</f>
        <v/>
      </c>
      <c r="BP42" s="20" t="str">
        <f aca="false">IF($C42="","",EDATE($C42,Milestones!$AA$76))</f>
        <v/>
      </c>
      <c r="BQ42" s="20" t="str">
        <f aca="false">IF($C42="","",EDATE($C42,Milestones!$AA$77))</f>
        <v/>
      </c>
      <c r="BR42" s="20" t="str">
        <f aca="false">IF($C42="","",EDATE($C42,Milestones!$AA$78))</f>
        <v/>
      </c>
      <c r="BS42" s="20" t="str">
        <f aca="false">IF($C42="","",EDATE($C42,Milestones!$AA$79))</f>
        <v/>
      </c>
      <c r="BT42" s="20" t="str">
        <f aca="false">IF($C42="","",EDATE($C42,Milestones!$AA$80))</f>
        <v/>
      </c>
      <c r="BU42" s="20" t="str">
        <f aca="false">IF($C42="","",EDATE($C42,Milestones!$AA$81))</f>
        <v/>
      </c>
      <c r="BV42" s="20" t="str">
        <f aca="false">IF($C42="","",EDATE($C42,Milestones!$AA$82))</f>
        <v/>
      </c>
      <c r="BW42" s="20" t="str">
        <f aca="false">IF($C42="","",EDATE($C42,Milestones!$AA$83))</f>
        <v/>
      </c>
      <c r="BX42" s="20" t="str">
        <f aca="false">IF($C42="","",EDATE($C42,Milestones!$AA$84))</f>
        <v/>
      </c>
      <c r="BY42" s="20" t="str">
        <f aca="false">IF($C42="","",EDATE($C42,Milestones!$AA$85))</f>
        <v/>
      </c>
      <c r="BZ42" s="20" t="str">
        <f aca="false">IF($C42="","",EDATE($C42,Milestones!$AA$86))</f>
        <v/>
      </c>
      <c r="CA42" s="20" t="str">
        <f aca="false">IF($C42="","",EDATE($C42,Milestones!$AA$87))</f>
        <v/>
      </c>
      <c r="CB42" s="20" t="str">
        <f aca="false">IF($C42="","",EDATE($C42,Milestones!$AA$88))</f>
        <v/>
      </c>
      <c r="CC42" s="20" t="str">
        <f aca="false">IF($C42="","",EDATE($C42,Milestones!$AA$89))</f>
        <v/>
      </c>
      <c r="CD42" s="20" t="str">
        <f aca="false">IF($C42="","",EDATE($C42,Milestones!$AA$90))</f>
        <v/>
      </c>
      <c r="CE42" s="20" t="str">
        <f aca="false">IF($C42="","",EDATE($C42,Milestones!$AA$91))</f>
        <v/>
      </c>
      <c r="CF42" s="20" t="str">
        <f aca="false">IF($C42="","",EDATE($C42,Milestones!$AA$92))</f>
        <v/>
      </c>
      <c r="CG42" s="20" t="str">
        <f aca="false">IF($C42="","",EDATE($C42,Milestones!$AA$93))</f>
        <v/>
      </c>
      <c r="CH42" s="20" t="str">
        <f aca="false">IF($C42="","",EDATE($C42,Milestones!$AA$94))</f>
        <v/>
      </c>
      <c r="CI42" s="20" t="str">
        <f aca="false">IF($C42="","",EDATE($C42,Milestones!$AA$95))</f>
        <v/>
      </c>
      <c r="CJ42" s="20" t="str">
        <f aca="false">IF($C42="","",EDATE($C42,Milestones!$AA$96))</f>
        <v/>
      </c>
      <c r="CK42" s="20" t="str">
        <f aca="false">IF($C42="","",EDATE($C42,Milestones!$AA$97))</f>
        <v/>
      </c>
      <c r="CL42" s="20" t="str">
        <f aca="false">IF($C42="","",EDATE($C42,Milestones!$AA$98))</f>
        <v/>
      </c>
      <c r="CM42" s="20" t="str">
        <f aca="false">IF($C42="","",EDATE($C42,Milestones!$AA$99))</f>
        <v/>
      </c>
      <c r="CN42" s="20" t="str">
        <f aca="false">IF($C42="","",EDATE($C42,Milestones!$AA$100))</f>
        <v/>
      </c>
      <c r="CO42" s="20" t="str">
        <f aca="false">IF($C42="","",EDATE($C42,Milestones!$AA$101))</f>
        <v/>
      </c>
      <c r="CP42" s="20" t="str">
        <f aca="false">IF($C42="","",EDATE($C42,Milestones!$AA$102))</f>
        <v/>
      </c>
      <c r="CQ42" s="20" t="str">
        <f aca="false">IF($C42="","",EDATE($C42,Milestones!$AA$103))</f>
        <v/>
      </c>
      <c r="CR42" s="20" t="str">
        <f aca="false">IF($C42="","",EDATE($C42,Milestones!$AA$104))</f>
        <v/>
      </c>
      <c r="CS42" s="20" t="str">
        <f aca="false">IF($C42="","",EDATE($C42,Milestones!$AA$105))</f>
        <v/>
      </c>
      <c r="CT42" s="20" t="str">
        <f aca="false">IF($C42="","",EDATE($C42,Milestones!$AA$106))</f>
        <v/>
      </c>
      <c r="CU42" s="20" t="str">
        <f aca="false">IF($C42="","",EDATE($C42,Milestones!$AA$107))</f>
        <v/>
      </c>
      <c r="CV42" s="20" t="str">
        <f aca="false">IF($C42="","",EDATE($C42,Milestones!$AA$108))</f>
        <v/>
      </c>
      <c r="CW42" s="20" t="str">
        <f aca="false">IF($C42="","",EDATE($C42,Milestones!$AA$109))</f>
        <v/>
      </c>
      <c r="CX42" s="20" t="str">
        <f aca="false">IF($C42="","",EDATE($C42,Milestones!$AA$110))</f>
        <v/>
      </c>
      <c r="CY42" s="20" t="str">
        <f aca="false">IF($C42="","",EDATE($C42,Milestones!$AA$111))</f>
        <v/>
      </c>
      <c r="CZ42" s="20" t="str">
        <f aca="false">IF($C42="","",EDATE($C42,Milestones!$AA$112))</f>
        <v/>
      </c>
      <c r="DA42" s="20" t="str">
        <f aca="false">IF($C42="","",EDATE($C42,Milestones!$AA$113))</f>
        <v/>
      </c>
      <c r="DB42" s="20" t="str">
        <f aca="false">IF($C42="","",EDATE($C42,Milestones!$AA$114))</f>
        <v/>
      </c>
      <c r="DC42" s="20" t="str">
        <f aca="false">IF($C42="","",EDATE($C42,Milestones!$AA$115))</f>
        <v/>
      </c>
      <c r="DD42" s="20" t="str">
        <f aca="false">IF($C42="","",EDATE($C42,Milestones!$AA$116))</f>
        <v/>
      </c>
      <c r="DE42" s="20" t="str">
        <f aca="false">IF($C42="","",EDATE($C42,Milestones!$AA$117))</f>
        <v/>
      </c>
      <c r="DF42" s="20" t="str">
        <f aca="false">IF($C42="","",EDATE($C42,Milestones!$AA$118))</f>
        <v/>
      </c>
      <c r="DG42" s="20" t="str">
        <f aca="false">IF($C42="","",EDATE($C42,Milestones!$AA$119))</f>
        <v/>
      </c>
      <c r="DH42" s="20" t="str">
        <f aca="false">IF($C42="","",EDATE($C42,Milestones!$AA$120))</f>
        <v/>
      </c>
      <c r="DI42" s="20" t="str">
        <f aca="false">IF($C42="","",EDATE($C42,Milestones!$AA$121))</f>
        <v/>
      </c>
      <c r="DJ42" s="20" t="str">
        <f aca="false">IF($C42="","",EDATE($C42,Milestones!$AA$122))</f>
        <v/>
      </c>
      <c r="DK42" s="20" t="str">
        <f aca="false">IF($C42="","",EDATE($C42,Milestones!$AA$123))</f>
        <v/>
      </c>
      <c r="DL42" s="20" t="str">
        <f aca="false">IF($C42="","",EDATE($C42,Milestones!$AA$124))</f>
        <v/>
      </c>
      <c r="DM42" s="20" t="str">
        <f aca="false">IF($C42="","",EDATE($C42,Milestones!$AA$125))</f>
        <v/>
      </c>
      <c r="DN42" s="20" t="str">
        <f aca="false">IF($C42="","",EDATE($C42,Milestones!$AA$126))</f>
        <v/>
      </c>
      <c r="DO42" s="20" t="str">
        <f aca="false">IF($C42="","",EDATE($C42,Milestones!$AA$127))</f>
        <v/>
      </c>
      <c r="DP42" s="20" t="str">
        <f aca="false">IF($C42="","",EDATE($C42,Milestones!$AA$128))</f>
        <v/>
      </c>
      <c r="DQ42" s="20" t="str">
        <f aca="false">IF($C42="","",EDATE($C42,Milestones!$AA$129))</f>
        <v/>
      </c>
      <c r="DR42" s="20" t="str">
        <f aca="false">IF($C42="","",EDATE($C42,Milestones!$AA$130))</f>
        <v/>
      </c>
      <c r="DS42" s="20" t="str">
        <f aca="false">IF($C42="","",EDATE($C42,Milestones!$AA$131))</f>
        <v/>
      </c>
      <c r="DT42" s="20" t="str">
        <f aca="false">IF($C42="","",EDATE($C42,Milestones!$AA$132))</f>
        <v/>
      </c>
      <c r="DU42" s="20" t="str">
        <f aca="false">IF($C42="","",EDATE($C42,Milestones!$AA$133))</f>
        <v/>
      </c>
      <c r="DV42" s="20" t="str">
        <f aca="false">IF($C42="","",EDATE($C42,Milestones!$AA$134))</f>
        <v/>
      </c>
      <c r="DW42" s="20" t="str">
        <f aca="false">IF($C42="","",EDATE($C42,Milestones!$AA$135))</f>
        <v/>
      </c>
      <c r="DX42" s="20" t="str">
        <f aca="false">IF($C42="","",EDATE($C42,Milestones!$AA$136))</f>
        <v/>
      </c>
      <c r="DY42" s="20" t="str">
        <f aca="false">IF($C42="","",EDATE($C42,Milestones!$AA$137))</f>
        <v/>
      </c>
      <c r="DZ42" s="20" t="str">
        <f aca="false">IF($C42="","",EDATE($C42,Milestones!$AA$138))</f>
        <v/>
      </c>
      <c r="EA42" s="20" t="str">
        <f aca="false">IF($C42="","",EDATE($C42,Milestones!$AA$139))</f>
        <v/>
      </c>
      <c r="EB42" s="20" t="str">
        <f aca="false">IF($C42="","",EDATE($C42,Milestones!$AA$140))</f>
        <v/>
      </c>
      <c r="EC42" s="20" t="str">
        <f aca="false">IF($C42="","",EDATE($C42,Milestones!$AA$141))</f>
        <v/>
      </c>
      <c r="ED42" s="20" t="str">
        <f aca="false">IF($C42="","",EDATE($C42,Milestones!$AA$142))</f>
        <v/>
      </c>
      <c r="EE42" s="20" t="str">
        <f aca="false">IF($C42="","",EDATE($C42,Milestones!$AA$143))</f>
        <v/>
      </c>
      <c r="EF42" s="20" t="str">
        <f aca="false">IF($C42="","",EDATE($C42,Milestones!$AA$144))</f>
        <v/>
      </c>
      <c r="EG42" s="20" t="str">
        <f aca="false">IF($C42="","",EDATE($C42,Milestones!$AA$145))</f>
        <v/>
      </c>
      <c r="EH42" s="20" t="str">
        <f aca="false">IF($C42="","",EDATE($C42,Milestones!$AA$146))</f>
        <v/>
      </c>
      <c r="EI42" s="20" t="str">
        <f aca="false">IF($C42="","",EDATE($C42,Milestones!$AA$147))</f>
        <v/>
      </c>
      <c r="EJ42" s="20" t="str">
        <f aca="false">IF($C42="","",EDATE($C42,Milestones!$AA$148))</f>
        <v/>
      </c>
      <c r="EK42" s="20" t="str">
        <f aca="false">IF($C42="","",EDATE($C42,Milestones!$AA$149))</f>
        <v/>
      </c>
      <c r="EL42" s="20" t="str">
        <f aca="false">IF($C42="","",EDATE($C42,Milestones!$AA$150))</f>
        <v/>
      </c>
      <c r="EM42" s="20" t="str">
        <f aca="false">IF($C42="","",EDATE($C42,Milestones!$AA$151))</f>
        <v/>
      </c>
      <c r="EN42" s="20" t="str">
        <f aca="false">IF($C42="","",EDATE($C42,Milestones!$AA$152))</f>
        <v/>
      </c>
      <c r="EO42" s="20" t="str">
        <f aca="false">IF($C42="","",EDATE($C42,Milestones!$AA$153))</f>
        <v/>
      </c>
      <c r="EP42" s="20" t="str">
        <f aca="false">IF($C42="","",EDATE($C42,Milestones!$AA$154))</f>
        <v/>
      </c>
      <c r="EQ42" s="20" t="str">
        <f aca="false">IF($C42="","",EDATE($C42,Milestones!$AA$155))</f>
        <v/>
      </c>
      <c r="ER42" s="20" t="str">
        <f aca="false">IF($C42="","",EDATE($C42,Milestones!$AA$156))</f>
        <v/>
      </c>
      <c r="ES42" s="20" t="str">
        <f aca="false">IF($C42="","",EDATE($C42,Milestones!$AA$157))</f>
        <v/>
      </c>
      <c r="ET42" s="20" t="str">
        <f aca="false">IF($C42="","",EDATE($C42,Milestones!$AA$158))</f>
        <v/>
      </c>
      <c r="EU42" s="20" t="str">
        <f aca="false">IF($C42="","",EDATE($C42,Milestones!$AA$159))</f>
        <v/>
      </c>
      <c r="EV42" s="20" t="str">
        <f aca="false">IF($C42="","",EDATE($C42,Milestones!$AA$160))</f>
        <v/>
      </c>
      <c r="EW42" s="20" t="str">
        <f aca="false">IF($C42="","",EDATE($C42,Milestones!$AA$161))</f>
        <v/>
      </c>
      <c r="EX42" s="20" t="str">
        <f aca="false">IF($C42="","",EDATE($C42,Milestones!$AA$162))</f>
        <v/>
      </c>
      <c r="EY42" s="20" t="str">
        <f aca="false">IF($C42="","",EDATE($C42,Milestones!$AA$163))</f>
        <v/>
      </c>
      <c r="EZ42" s="20" t="str">
        <f aca="false">IF($C42="","",EDATE($C42,Milestones!$AA$164))</f>
        <v/>
      </c>
      <c r="FA42" s="20" t="str">
        <f aca="false">IF($C42="","",EDATE($C42,Milestones!$AA$165))</f>
        <v/>
      </c>
      <c r="FB42" s="20" t="str">
        <f aca="false">IF($C42="","",EDATE($C42,Milestones!$AA$166))</f>
        <v/>
      </c>
      <c r="FC42" s="20" t="str">
        <f aca="false">IF($C42="","",EDATE($C42,Milestones!$AA$167))</f>
        <v/>
      </c>
      <c r="FD42" s="20" t="str">
        <f aca="false">IF($C42="","",EDATE($C42,Milestones!$AA$168))</f>
        <v/>
      </c>
      <c r="FE42" s="20" t="str">
        <f aca="false">IF($C42="","",EDATE($C42,Milestones!$AA$169))</f>
        <v/>
      </c>
      <c r="FF42" s="20" t="str">
        <f aca="false">IF($C42="","",EDATE($C42,Milestones!$AA$170))</f>
        <v/>
      </c>
      <c r="FG42" s="20" t="str">
        <f aca="false">IF($C42="","",EDATE($C42,Milestones!$AA$171))</f>
        <v/>
      </c>
      <c r="FH42" s="20" t="str">
        <f aca="false">IF($C42="","",EDATE($C42,Milestones!$AA$172))</f>
        <v/>
      </c>
      <c r="FI42" s="20" t="str">
        <f aca="false">IF($C42="","",EDATE($C42,Milestones!$AA$173))</f>
        <v/>
      </c>
      <c r="FJ42" s="20" t="str">
        <f aca="false">IF($C42="","",EDATE($C42,Milestones!$AA$174))</f>
        <v/>
      </c>
      <c r="FK42" s="20" t="str">
        <f aca="false">IF($C42="","",EDATE($C42,Milestones!$AA$175))</f>
        <v/>
      </c>
      <c r="FL42" s="20" t="str">
        <f aca="false">IF($C42="","",EDATE($C42,Milestones!$AA$176))</f>
        <v/>
      </c>
      <c r="FM42" s="20" t="str">
        <f aca="false">IF($C42="","",EDATE($C42,Milestones!$AA$177))</f>
        <v/>
      </c>
      <c r="FN42" s="20" t="str">
        <f aca="false">IF($C42="","",EDATE($C42,Milestones!$AA$178))</f>
        <v/>
      </c>
      <c r="FO42" s="20" t="str">
        <f aca="false">IF($C42="","",EDATE($C42,Milestones!$AA$179))</f>
        <v/>
      </c>
      <c r="FP42" s="20" t="str">
        <f aca="false">IF($C42="","",EDATE($C42,Milestones!$AA$180))</f>
        <v/>
      </c>
      <c r="FQ42" s="20" t="str">
        <f aca="false">IF($C42="","",EDATE($C42,Milestones!$AA$181))</f>
        <v/>
      </c>
      <c r="FR42" s="20" t="str">
        <f aca="false">IF($C42="","",EDATE($C42,Milestones!$AA$182))</f>
        <v/>
      </c>
      <c r="FS42" s="20" t="str">
        <f aca="false">IF($C42="","",EDATE($C42,Milestones!$AA$183))</f>
        <v/>
      </c>
      <c r="FT42" s="20" t="str">
        <f aca="false">IF($C42="","",EDATE($C42,Milestones!$AA$184))</f>
        <v/>
      </c>
      <c r="FU42" s="20" t="str">
        <f aca="false">IF($C42="","",EDATE($C42,Milestones!$AA$185))</f>
        <v/>
      </c>
      <c r="FV42" s="20" t="str">
        <f aca="false">IF($C42="","",EDATE($C42,Milestones!$AA$186))</f>
        <v/>
      </c>
      <c r="FW42" s="20" t="str">
        <f aca="false">IF($C42="","",EDATE($C42,Milestones!$AA$187))</f>
        <v/>
      </c>
      <c r="FX42" s="20" t="str">
        <f aca="false">IF($C42="","",EDATE($C42,Milestones!$AA$188))</f>
        <v/>
      </c>
      <c r="FY42" s="20" t="str">
        <f aca="false">IF($C42="","",EDATE($C42,Milestones!$AA$189))</f>
        <v/>
      </c>
      <c r="FZ42" s="20" t="str">
        <f aca="false">IF($C42="","",EDATE($C42,Milestones!$AA$190))</f>
        <v/>
      </c>
      <c r="GA42" s="20" t="str">
        <f aca="false">IF($C42="","",EDATE($C42,Milestones!$AA$191))</f>
        <v/>
      </c>
      <c r="GB42" s="20" t="str">
        <f aca="false">IF($C42="","",EDATE($C42,Milestones!$AA$192))</f>
        <v/>
      </c>
      <c r="GC42" s="20" t="str">
        <f aca="false">IF($C42="","",EDATE($C42,Milestones!$AA$193))</f>
        <v/>
      </c>
      <c r="GD42" s="20" t="str">
        <f aca="false">IF($C42="","",EDATE($C42,Milestones!$AA$194))</f>
        <v/>
      </c>
      <c r="GE42" s="20" t="str">
        <f aca="false">IF($C42="","",EDATE($C42,Milestones!$AA$195))</f>
        <v/>
      </c>
      <c r="GF42" s="20" t="str">
        <f aca="false">IF($C42="","",EDATE($C42,Milestones!$AA$196))</f>
        <v/>
      </c>
      <c r="GG42" s="20" t="str">
        <f aca="false">IF($C42="","",EDATE($C42,Milestones!$AA$197))</f>
        <v/>
      </c>
      <c r="GH42" s="20" t="str">
        <f aca="false">IF($C42="","",EDATE($C42,Milestones!$AA$198))</f>
        <v/>
      </c>
      <c r="GI42" s="20" t="str">
        <f aca="false">IF($C42="","",EDATE($C42,Milestones!$AA$199))</f>
        <v/>
      </c>
    </row>
    <row r="43" customFormat="false" ht="15" hidden="false" customHeight="false" outlineLevel="0" collapsed="false">
      <c r="K43" s="0" t="s">
        <v>263</v>
      </c>
      <c r="L43" s="0" t="str">
        <f aca="false">IF(L42="","",IF($D42=0,$J42,IF(AND($F42&lt;&gt;"",L42&gt;=$F42),$I42,IF(AND($E42&lt;&gt;"",L42&gt;=$E42),$H42,$G42))))</f>
        <v/>
      </c>
      <c r="M43" s="0" t="str">
        <f aca="false">IF(M42="","",IF($D42=0,$J42,IF(AND($F42&lt;&gt;"",M42&gt;=$F42),$I42,IF(AND($E42&lt;&gt;"",M42&gt;=$E42),$H42,$G42))))</f>
        <v/>
      </c>
      <c r="N43" s="0" t="str">
        <f aca="false">IF(N42="","",IF($D42=0,$J42,IF(AND($F42&lt;&gt;"",N42&gt;=$F42),$I42,IF(AND($E42&lt;&gt;"",N42&gt;=$E42),$H42,$G42))))</f>
        <v/>
      </c>
      <c r="O43" s="0" t="str">
        <f aca="false">IF(O42="","",IF($D42=0,$J42,IF(AND($F42&lt;&gt;"",O42&gt;=$F42),$I42,IF(AND($E42&lt;&gt;"",O42&gt;=$E42),$H42,$G42))))</f>
        <v/>
      </c>
      <c r="P43" s="0" t="str">
        <f aca="false">IF(P42="","",IF($D42=0,$J42,IF(AND($F42&lt;&gt;"",P42&gt;=$F42),$I42,IF(AND($E42&lt;&gt;"",P42&gt;=$E42),$H42,$G42))))</f>
        <v/>
      </c>
      <c r="Q43" s="0" t="str">
        <f aca="false">IF(Q42="","",IF($D42=0,$J42,IF(AND($F42&lt;&gt;"",Q42&gt;=$F42),$I42,IF(AND($E42&lt;&gt;"",Q42&gt;=$E42),$H42,$G42))))</f>
        <v/>
      </c>
      <c r="R43" s="0" t="str">
        <f aca="false">IF(R42="","",IF($D42=0,$J42,IF(AND($F42&lt;&gt;"",R42&gt;=$F42),$I42,IF(AND($E42&lt;&gt;"",R42&gt;=$E42),$H42,$G42))))</f>
        <v/>
      </c>
      <c r="S43" s="0" t="str">
        <f aca="false">IF(S42="","",IF($D42=0,$J42,IF(AND($F42&lt;&gt;"",S42&gt;=$F42),$I42,IF(AND($E42&lt;&gt;"",S42&gt;=$E42),$H42,$G42))))</f>
        <v/>
      </c>
      <c r="T43" s="0" t="str">
        <f aca="false">IF(T42="","",IF($D42=0,$J42,IF(AND($F42&lt;&gt;"",T42&gt;=$F42),$I42,IF(AND($E42&lt;&gt;"",T42&gt;=$E42),$H42,$G42))))</f>
        <v/>
      </c>
      <c r="U43" s="0" t="str">
        <f aca="false">IF(U42="","",IF($D42=0,$J42,IF(AND($F42&lt;&gt;"",U42&gt;=$F42),$I42,IF(AND($E42&lt;&gt;"",U42&gt;=$E42),$H42,$G42))))</f>
        <v/>
      </c>
      <c r="V43" s="0" t="str">
        <f aca="false">IF(V42="","",IF($D42=0,$J42,IF(AND($F42&lt;&gt;"",V42&gt;=$F42),$I42,IF(AND($E42&lt;&gt;"",V42&gt;=$E42),$H42,$G42))))</f>
        <v/>
      </c>
      <c r="W43" s="0" t="str">
        <f aca="false">IF(W42="","",IF($D42=0,$J42,IF(AND($F42&lt;&gt;"",W42&gt;=$F42),$I42,IF(AND($E42&lt;&gt;"",W42&gt;=$E42),$H42,$G42))))</f>
        <v/>
      </c>
      <c r="X43" s="0" t="str">
        <f aca="false">IF(X42="","",IF($D42=0,$J42,IF(AND($F42&lt;&gt;"",X42&gt;=$F42),$I42,IF(AND($E42&lt;&gt;"",X42&gt;=$E42),$H42,$G42))))</f>
        <v/>
      </c>
      <c r="Y43" s="0" t="str">
        <f aca="false">IF(Y42="","",IF($D42=0,$J42,IF(AND($F42&lt;&gt;"",Y42&gt;=$F42),$I42,IF(AND($E42&lt;&gt;"",Y42&gt;=$E42),$H42,$G42))))</f>
        <v/>
      </c>
      <c r="Z43" s="0" t="str">
        <f aca="false">IF(Z42="","",IF($D42=0,$J42,IF(AND($F42&lt;&gt;"",Z42&gt;=$F42),$I42,IF(AND($E42&lt;&gt;"",Z42&gt;=$E42),$H42,$G42))))</f>
        <v/>
      </c>
      <c r="AA43" s="0" t="str">
        <f aca="false">IF(AA42="","",IF($D42=0,$J42,IF(AND($F42&lt;&gt;"",AA42&gt;=$F42),$I42,IF(AND($E42&lt;&gt;"",AA42&gt;=$E42),$H42,$G42))))</f>
        <v/>
      </c>
      <c r="AB43" s="0" t="str">
        <f aca="false">IF(AB42="","",IF($D42=0,$J42,IF(AND($F42&lt;&gt;"",AB42&gt;=$F42),$I42,IF(AND($E42&lt;&gt;"",AB42&gt;=$E42),$H42,$G42))))</f>
        <v/>
      </c>
      <c r="AC43" s="0" t="str">
        <f aca="false">IF(AC42="","",IF($D42=0,$J42,IF(AND($F42&lt;&gt;"",AC42&gt;=$F42),$I42,IF(AND($E42&lt;&gt;"",AC42&gt;=$E42),$H42,$G42))))</f>
        <v/>
      </c>
      <c r="AD43" s="0" t="str">
        <f aca="false">IF(AD42="","",IF($D42=0,$J42,IF(AND($F42&lt;&gt;"",AD42&gt;=$F42),$I42,IF(AND($E42&lt;&gt;"",AD42&gt;=$E42),$H42,$G42))))</f>
        <v/>
      </c>
      <c r="AE43" s="0" t="str">
        <f aca="false">IF(AE42="","",IF($D42=0,$J42,IF(AND($F42&lt;&gt;"",AE42&gt;=$F42),$I42,IF(AND($E42&lt;&gt;"",AE42&gt;=$E42),$H42,$G42))))</f>
        <v/>
      </c>
      <c r="AF43" s="0" t="str">
        <f aca="false">IF(AF42="","",IF($D42=0,$J42,IF(AND($F42&lt;&gt;"",AF42&gt;=$F42),$I42,IF(AND($E42&lt;&gt;"",AF42&gt;=$E42),$H42,$G42))))</f>
        <v/>
      </c>
      <c r="AG43" s="0" t="str">
        <f aca="false">IF(AG42="","",IF($D42=0,$J42,IF(AND($F42&lt;&gt;"",AG42&gt;=$F42),$I42,IF(AND($E42&lt;&gt;"",AG42&gt;=$E42),$H42,$G42))))</f>
        <v/>
      </c>
      <c r="AH43" s="0" t="str">
        <f aca="false">IF(AH42="","",IF($D42=0,$J42,IF(AND($F42&lt;&gt;"",AH42&gt;=$F42),$I42,IF(AND($E42&lt;&gt;"",AH42&gt;=$E42),$H42,$G42))))</f>
        <v/>
      </c>
      <c r="AI43" s="0" t="str">
        <f aca="false">IF(AI42="","",IF($D42=0,$J42,IF(AND($F42&lt;&gt;"",AI42&gt;=$F42),$I42,IF(AND($E42&lt;&gt;"",AI42&gt;=$E42),$H42,$G42))))</f>
        <v/>
      </c>
      <c r="AJ43" s="0" t="str">
        <f aca="false">IF(AJ42="","",IF($D42=0,$J42,IF(AND($F42&lt;&gt;"",AJ42&gt;=$F42),$I42,IF(AND($E42&lt;&gt;"",AJ42&gt;=$E42),$H42,$G42))))</f>
        <v/>
      </c>
      <c r="AK43" s="0" t="str">
        <f aca="false">IF(AK42="","",IF($D42=0,$J42,IF(AND($F42&lt;&gt;"",AK42&gt;=$F42),$I42,IF(AND($E42&lt;&gt;"",AK42&gt;=$E42),$H42,$G42))))</f>
        <v/>
      </c>
      <c r="AL43" s="0" t="str">
        <f aca="false">IF(AL42="","",IF($D42=0,$J42,IF(AND($F42&lt;&gt;"",AL42&gt;=$F42),$I42,IF(AND($E42&lt;&gt;"",AL42&gt;=$E42),$H42,$G42))))</f>
        <v/>
      </c>
      <c r="AM43" s="0" t="str">
        <f aca="false">IF(AM42="","",IF($D42=0,$J42,IF(AND($F42&lt;&gt;"",AM42&gt;=$F42),$I42,IF(AND($E42&lt;&gt;"",AM42&gt;=$E42),$H42,$G42))))</f>
        <v/>
      </c>
      <c r="AN43" s="0" t="str">
        <f aca="false">IF(AN42="","",IF($D42=0,$J42,IF(AND($F42&lt;&gt;"",AN42&gt;=$F42),$I42,IF(AND($E42&lt;&gt;"",AN42&gt;=$E42),$H42,$G42))))</f>
        <v/>
      </c>
      <c r="AO43" s="0" t="str">
        <f aca="false">IF(AO42="","",IF($D42=0,$J42,IF(AND($F42&lt;&gt;"",AO42&gt;=$F42),$I42,IF(AND($E42&lt;&gt;"",AO42&gt;=$E42),$H42,$G42))))</f>
        <v/>
      </c>
      <c r="AP43" s="0" t="str">
        <f aca="false">IF(AP42="","",IF($D42=0,$J42,IF(AND($F42&lt;&gt;"",AP42&gt;=$F42),$I42,IF(AND($E42&lt;&gt;"",AP42&gt;=$E42),$H42,$G42))))</f>
        <v/>
      </c>
      <c r="AQ43" s="0" t="str">
        <f aca="false">IF(AQ42="","",IF($D42=0,$J42,IF(AND($F42&lt;&gt;"",AQ42&gt;=$F42),$I42,IF(AND($E42&lt;&gt;"",AQ42&gt;=$E42),$H42,$G42))))</f>
        <v/>
      </c>
      <c r="AR43" s="0" t="str">
        <f aca="false">IF(AR42="","",IF($D42=0,$J42,IF(AND($F42&lt;&gt;"",AR42&gt;=$F42),$I42,IF(AND($E42&lt;&gt;"",AR42&gt;=$E42),$H42,$G42))))</f>
        <v/>
      </c>
      <c r="AS43" s="0" t="str">
        <f aca="false">IF(AS42="","",IF($D42=0,$J42,IF(AND($F42&lt;&gt;"",AS42&gt;=$F42),$I42,IF(AND($E42&lt;&gt;"",AS42&gt;=$E42),$H42,$G42))))</f>
        <v/>
      </c>
      <c r="AT43" s="0" t="str">
        <f aca="false">IF(AT42="","",IF($D42=0,$J42,IF(AND($F42&lt;&gt;"",AT42&gt;=$F42),$I42,IF(AND($E42&lt;&gt;"",AT42&gt;=$E42),$H42,$G42))))</f>
        <v/>
      </c>
      <c r="AU43" s="0" t="str">
        <f aca="false">IF(AU42="","",IF($D42=0,$J42,IF(AND($F42&lt;&gt;"",AU42&gt;=$F42),$I42,IF(AND($E42&lt;&gt;"",AU42&gt;=$E42),$H42,$G42))))</f>
        <v/>
      </c>
      <c r="AV43" s="0" t="str">
        <f aca="false">IF(AV42="","",IF($D42=0,$J42,IF(AND($F42&lt;&gt;"",AV42&gt;=$F42),$I42,IF(AND($E42&lt;&gt;"",AV42&gt;=$E42),$H42,$G42))))</f>
        <v/>
      </c>
      <c r="AW43" s="0" t="str">
        <f aca="false">IF(AW42="","",IF($D42=0,$J42,IF(AND($F42&lt;&gt;"",AW42&gt;=$F42),$I42,IF(AND($E42&lt;&gt;"",AW42&gt;=$E42),$H42,$G42))))</f>
        <v/>
      </c>
      <c r="AX43" s="0" t="str">
        <f aca="false">IF(AX42="","",IF($D42=0,$J42,IF(AND($F42&lt;&gt;"",AX42&gt;=$F42),$I42,IF(AND($E42&lt;&gt;"",AX42&gt;=$E42),$H42,$G42))))</f>
        <v/>
      </c>
      <c r="AY43" s="0" t="str">
        <f aca="false">IF(AY42="","",IF($D42=0,$J42,IF(AND($F42&lt;&gt;"",AY42&gt;=$F42),$I42,IF(AND($E42&lt;&gt;"",AY42&gt;=$E42),$H42,$G42))))</f>
        <v/>
      </c>
      <c r="AZ43" s="0" t="str">
        <f aca="false">IF(AZ42="","",IF($D42=0,$J42,IF(AND($F42&lt;&gt;"",AZ42&gt;=$F42),$I42,IF(AND($E42&lt;&gt;"",AZ42&gt;=$E42),$H42,$G42))))</f>
        <v/>
      </c>
      <c r="BA43" s="0" t="str">
        <f aca="false">IF(BA42="","",IF($D42=0,$J42,IF(AND($F42&lt;&gt;"",BA42&gt;=$F42),$I42,IF(AND($E42&lt;&gt;"",BA42&gt;=$E42),$H42,$G42))))</f>
        <v/>
      </c>
      <c r="BB43" s="0" t="str">
        <f aca="false">IF(BB42="","",IF($D42=0,$J42,IF(AND($F42&lt;&gt;"",BB42&gt;=$F42),$I42,IF(AND($E42&lt;&gt;"",BB42&gt;=$E42),$H42,$G42))))</f>
        <v/>
      </c>
      <c r="BC43" s="0" t="str">
        <f aca="false">IF(BC42="","",IF($D42=0,$J42,IF(AND($F42&lt;&gt;"",BC42&gt;=$F42),$I42,IF(AND($E42&lt;&gt;"",BC42&gt;=$E42),$H42,$G42))))</f>
        <v/>
      </c>
      <c r="BD43" s="0" t="str">
        <f aca="false">IF(BD42="","",IF($D42=0,$J42,IF(AND($F42&lt;&gt;"",BD42&gt;=$F42),$I42,IF(AND($E42&lt;&gt;"",BD42&gt;=$E42),$H42,$G42))))</f>
        <v/>
      </c>
      <c r="BE43" s="0" t="str">
        <f aca="false">IF(BE42="","",IF($D42=0,$J42,IF(AND($F42&lt;&gt;"",BE42&gt;=$F42),$I42,IF(AND($E42&lt;&gt;"",BE42&gt;=$E42),$H42,$G42))))</f>
        <v/>
      </c>
      <c r="BF43" s="0" t="str">
        <f aca="false">IF(BF42="","",IF($D42=0,$J42,IF(AND($F42&lt;&gt;"",BF42&gt;=$F42),$I42,IF(AND($E42&lt;&gt;"",BF42&gt;=$E42),$H42,$G42))))</f>
        <v/>
      </c>
      <c r="BG43" s="0" t="str">
        <f aca="false">IF(BG42="","",IF($D42=0,$J42,IF(AND($F42&lt;&gt;"",BG42&gt;=$F42),$I42,IF(AND($E42&lt;&gt;"",BG42&gt;=$E42),$H42,$G42))))</f>
        <v/>
      </c>
      <c r="BH43" s="0" t="str">
        <f aca="false">IF(BH42="","",IF($D42=0,$J42,IF(AND($F42&lt;&gt;"",BH42&gt;=$F42),$I42,IF(AND($E42&lt;&gt;"",BH42&gt;=$E42),$H42,$G42))))</f>
        <v/>
      </c>
      <c r="BI43" s="0" t="str">
        <f aca="false">IF(BI42="","",IF($D42=0,$J42,IF(AND($F42&lt;&gt;"",BI42&gt;=$F42),$I42,IF(AND($E42&lt;&gt;"",BI42&gt;=$E42),$H42,$G42))))</f>
        <v/>
      </c>
      <c r="BJ43" s="0" t="str">
        <f aca="false">IF(BJ42="","",IF($D42=0,$J42,IF(AND($F42&lt;&gt;"",BJ42&gt;=$F42),$I42,IF(AND($E42&lt;&gt;"",BJ42&gt;=$E42),$H42,$G42))))</f>
        <v/>
      </c>
      <c r="BK43" s="0" t="str">
        <f aca="false">IF(BK42="","",IF($D42=0,$J42,IF(AND($F42&lt;&gt;"",BK42&gt;=$F42),$I42,IF(AND($E42&lt;&gt;"",BK42&gt;=$E42),$H42,$G42))))</f>
        <v/>
      </c>
      <c r="BL43" s="0" t="str">
        <f aca="false">IF(BL42="","",IF($D42=0,$J42,IF(AND($F42&lt;&gt;"",BL42&gt;=$F42),$I42,IF(AND($E42&lt;&gt;"",BL42&gt;=$E42),$H42,$G42))))</f>
        <v/>
      </c>
      <c r="BM43" s="0" t="str">
        <f aca="false">IF(BM42="","",IF($D42=0,$J42,IF(AND($F42&lt;&gt;"",BM42&gt;=$F42),$I42,IF(AND($E42&lt;&gt;"",BM42&gt;=$E42),$H42,$G42))))</f>
        <v/>
      </c>
      <c r="BN43" s="0" t="str">
        <f aca="false">IF(BN42="","",IF($D42=0,$J42,IF(AND($F42&lt;&gt;"",BN42&gt;=$F42),$I42,IF(AND($E42&lt;&gt;"",BN42&gt;=$E42),$H42,$G42))))</f>
        <v/>
      </c>
      <c r="BO43" s="0" t="str">
        <f aca="false">IF(BO42="","",IF($D42=0,$J42,IF(AND($F42&lt;&gt;"",BO42&gt;=$F42),$I42,IF(AND($E42&lt;&gt;"",BO42&gt;=$E42),$H42,$G42))))</f>
        <v/>
      </c>
      <c r="BP43" s="0" t="str">
        <f aca="false">IF(BP42="","",IF($D42=0,$J42,IF(AND($F42&lt;&gt;"",BP42&gt;=$F42),$I42,IF(AND($E42&lt;&gt;"",BP42&gt;=$E42),$H42,$G42))))</f>
        <v/>
      </c>
      <c r="BQ43" s="0" t="str">
        <f aca="false">IF(BQ42="","",IF($D42=0,$J42,IF(AND($F42&lt;&gt;"",BQ42&gt;=$F42),$I42,IF(AND($E42&lt;&gt;"",BQ42&gt;=$E42),$H42,$G42))))</f>
        <v/>
      </c>
      <c r="BR43" s="0" t="str">
        <f aca="false">IF(BR42="","",IF($D42=0,$J42,IF(AND($F42&lt;&gt;"",BR42&gt;=$F42),$I42,IF(AND($E42&lt;&gt;"",BR42&gt;=$E42),$H42,$G42))))</f>
        <v/>
      </c>
      <c r="BS43" s="0" t="str">
        <f aca="false">IF(BS42="","",IF($D42=0,$J42,IF(AND($F42&lt;&gt;"",BS42&gt;=$F42),$I42,IF(AND($E42&lt;&gt;"",BS42&gt;=$E42),$H42,$G42))))</f>
        <v/>
      </c>
      <c r="BT43" s="0" t="str">
        <f aca="false">IF(BT42="","",IF($D42=0,$J42,IF(AND($F42&lt;&gt;"",BT42&gt;=$F42),$I42,IF(AND($E42&lt;&gt;"",BT42&gt;=$E42),$H42,$G42))))</f>
        <v/>
      </c>
      <c r="BU43" s="0" t="str">
        <f aca="false">IF(BU42="","",IF($D42=0,$J42,IF(AND($F42&lt;&gt;"",BU42&gt;=$F42),$I42,IF(AND($E42&lt;&gt;"",BU42&gt;=$E42),$H42,$G42))))</f>
        <v/>
      </c>
      <c r="BV43" s="0" t="str">
        <f aca="false">IF(BV42="","",IF($D42=0,$J42,IF(AND($F42&lt;&gt;"",BV42&gt;=$F42),$I42,IF(AND($E42&lt;&gt;"",BV42&gt;=$E42),$H42,$G42))))</f>
        <v/>
      </c>
      <c r="BW43" s="0" t="str">
        <f aca="false">IF(BW42="","",IF($D42=0,$J42,IF(AND($F42&lt;&gt;"",BW42&gt;=$F42),$I42,IF(AND($E42&lt;&gt;"",BW42&gt;=$E42),$H42,$G42))))</f>
        <v/>
      </c>
      <c r="BX43" s="0" t="str">
        <f aca="false">IF(BX42="","",IF($D42=0,$J42,IF(AND($F42&lt;&gt;"",BX42&gt;=$F42),$I42,IF(AND($E42&lt;&gt;"",BX42&gt;=$E42),$H42,$G42))))</f>
        <v/>
      </c>
      <c r="BY43" s="0" t="str">
        <f aca="false">IF(BY42="","",IF($D42=0,$J42,IF(AND($F42&lt;&gt;"",BY42&gt;=$F42),$I42,IF(AND($E42&lt;&gt;"",BY42&gt;=$E42),$H42,$G42))))</f>
        <v/>
      </c>
      <c r="BZ43" s="0" t="str">
        <f aca="false">IF(BZ42="","",IF($D42=0,$J42,IF(AND($F42&lt;&gt;"",BZ42&gt;=$F42),$I42,IF(AND($E42&lt;&gt;"",BZ42&gt;=$E42),$H42,$G42))))</f>
        <v/>
      </c>
      <c r="CA43" s="0" t="str">
        <f aca="false">IF(CA42="","",IF($D42=0,$J42,IF(AND($F42&lt;&gt;"",CA42&gt;=$F42),$I42,IF(AND($E42&lt;&gt;"",CA42&gt;=$E42),$H42,$G42))))</f>
        <v/>
      </c>
      <c r="CB43" s="0" t="str">
        <f aca="false">IF(CB42="","",IF($D42=0,$J42,IF(AND($F42&lt;&gt;"",CB42&gt;=$F42),$I42,IF(AND($E42&lt;&gt;"",CB42&gt;=$E42),$H42,$G42))))</f>
        <v/>
      </c>
      <c r="CC43" s="0" t="str">
        <f aca="false">IF(CC42="","",IF($D42=0,$J42,IF(AND($F42&lt;&gt;"",CC42&gt;=$F42),$I42,IF(AND($E42&lt;&gt;"",CC42&gt;=$E42),$H42,$G42))))</f>
        <v/>
      </c>
      <c r="CD43" s="0" t="str">
        <f aca="false">IF(CD42="","",IF($D42=0,$J42,IF(AND($F42&lt;&gt;"",CD42&gt;=$F42),$I42,IF(AND($E42&lt;&gt;"",CD42&gt;=$E42),$H42,$G42))))</f>
        <v/>
      </c>
      <c r="CE43" s="0" t="str">
        <f aca="false">IF(CE42="","",IF($D42=0,$J42,IF(AND($F42&lt;&gt;"",CE42&gt;=$F42),$I42,IF(AND($E42&lt;&gt;"",CE42&gt;=$E42),$H42,$G42))))</f>
        <v/>
      </c>
      <c r="CF43" s="0" t="str">
        <f aca="false">IF(CF42="","",IF($D42=0,$J42,IF(AND($F42&lt;&gt;"",CF42&gt;=$F42),$I42,IF(AND($E42&lt;&gt;"",CF42&gt;=$E42),$H42,$G42))))</f>
        <v/>
      </c>
      <c r="CG43" s="0" t="str">
        <f aca="false">IF(CG42="","",IF($D42=0,$J42,IF(AND($F42&lt;&gt;"",CG42&gt;=$F42),$I42,IF(AND($E42&lt;&gt;"",CG42&gt;=$E42),$H42,$G42))))</f>
        <v/>
      </c>
      <c r="CH43" s="0" t="str">
        <f aca="false">IF(CH42="","",IF($D42=0,$J42,IF(AND($F42&lt;&gt;"",CH42&gt;=$F42),$I42,IF(AND($E42&lt;&gt;"",CH42&gt;=$E42),$H42,$G42))))</f>
        <v/>
      </c>
      <c r="CI43" s="0" t="str">
        <f aca="false">IF(CI42="","",IF($D42=0,$J42,IF(AND($F42&lt;&gt;"",CI42&gt;=$F42),$I42,IF(AND($E42&lt;&gt;"",CI42&gt;=$E42),$H42,$G42))))</f>
        <v/>
      </c>
      <c r="CJ43" s="0" t="str">
        <f aca="false">IF(CJ42="","",IF($D42=0,$J42,IF(AND($F42&lt;&gt;"",CJ42&gt;=$F42),$I42,IF(AND($E42&lt;&gt;"",CJ42&gt;=$E42),$H42,$G42))))</f>
        <v/>
      </c>
      <c r="CK43" s="0" t="str">
        <f aca="false">IF(CK42="","",IF($D42=0,$J42,IF(AND($F42&lt;&gt;"",CK42&gt;=$F42),$I42,IF(AND($E42&lt;&gt;"",CK42&gt;=$E42),$H42,$G42))))</f>
        <v/>
      </c>
      <c r="CL43" s="0" t="str">
        <f aca="false">IF(CL42="","",IF($D42=0,$J42,IF(AND($F42&lt;&gt;"",CL42&gt;=$F42),$I42,IF(AND($E42&lt;&gt;"",CL42&gt;=$E42),$H42,$G42))))</f>
        <v/>
      </c>
      <c r="CM43" s="0" t="str">
        <f aca="false">IF(CM42="","",IF($D42=0,$J42,IF(AND($F42&lt;&gt;"",CM42&gt;=$F42),$I42,IF(AND($E42&lt;&gt;"",CM42&gt;=$E42),$H42,$G42))))</f>
        <v/>
      </c>
      <c r="CN43" s="0" t="str">
        <f aca="false">IF(CN42="","",IF($D42=0,$J42,IF(AND($F42&lt;&gt;"",CN42&gt;=$F42),$I42,IF(AND($E42&lt;&gt;"",CN42&gt;=$E42),$H42,$G42))))</f>
        <v/>
      </c>
      <c r="CO43" s="0" t="str">
        <f aca="false">IF(CO42="","",IF($D42=0,$J42,IF(AND($F42&lt;&gt;"",CO42&gt;=$F42),$I42,IF(AND($E42&lt;&gt;"",CO42&gt;=$E42),$H42,$G42))))</f>
        <v/>
      </c>
      <c r="CP43" s="0" t="str">
        <f aca="false">IF(CP42="","",IF($D42=0,$J42,IF(AND($F42&lt;&gt;"",CP42&gt;=$F42),$I42,IF(AND($E42&lt;&gt;"",CP42&gt;=$E42),$H42,$G42))))</f>
        <v/>
      </c>
      <c r="CQ43" s="0" t="str">
        <f aca="false">IF(CQ42="","",IF($D42=0,$J42,IF(AND($F42&lt;&gt;"",CQ42&gt;=$F42),$I42,IF(AND($E42&lt;&gt;"",CQ42&gt;=$E42),$H42,$G42))))</f>
        <v/>
      </c>
      <c r="CR43" s="0" t="str">
        <f aca="false">IF(CR42="","",IF($D42=0,$J42,IF(AND($F42&lt;&gt;"",CR42&gt;=$F42),$I42,IF(AND($E42&lt;&gt;"",CR42&gt;=$E42),$H42,$G42))))</f>
        <v/>
      </c>
      <c r="CS43" s="0" t="str">
        <f aca="false">IF(CS42="","",IF($D42=0,$J42,IF(AND($F42&lt;&gt;"",CS42&gt;=$F42),$I42,IF(AND($E42&lt;&gt;"",CS42&gt;=$E42),$H42,$G42))))</f>
        <v/>
      </c>
      <c r="CT43" s="0" t="str">
        <f aca="false">IF(CT42="","",IF($D42=0,$J42,IF(AND($F42&lt;&gt;"",CT42&gt;=$F42),$I42,IF(AND($E42&lt;&gt;"",CT42&gt;=$E42),$H42,$G42))))</f>
        <v/>
      </c>
      <c r="CU43" s="0" t="str">
        <f aca="false">IF(CU42="","",IF($D42=0,$J42,IF(AND($F42&lt;&gt;"",CU42&gt;=$F42),$I42,IF(AND($E42&lt;&gt;"",CU42&gt;=$E42),$H42,$G42))))</f>
        <v/>
      </c>
      <c r="CV43" s="0" t="str">
        <f aca="false">IF(CV42="","",IF($D42=0,$J42,IF(AND($F42&lt;&gt;"",CV42&gt;=$F42),$I42,IF(AND($E42&lt;&gt;"",CV42&gt;=$E42),$H42,$G42))))</f>
        <v/>
      </c>
      <c r="CW43" s="0" t="str">
        <f aca="false">IF(CW42="","",IF($D42=0,$J42,IF(AND($F42&lt;&gt;"",CW42&gt;=$F42),$I42,IF(AND($E42&lt;&gt;"",CW42&gt;=$E42),$H42,$G42))))</f>
        <v/>
      </c>
      <c r="CX43" s="0" t="str">
        <f aca="false">IF(CX42="","",IF($D42=0,$J42,IF(AND($F42&lt;&gt;"",CX42&gt;=$F42),$I42,IF(AND($E42&lt;&gt;"",CX42&gt;=$E42),$H42,$G42))))</f>
        <v/>
      </c>
      <c r="CY43" s="0" t="str">
        <f aca="false">IF(CY42="","",IF($D42=0,$J42,IF(AND($F42&lt;&gt;"",CY42&gt;=$F42),$I42,IF(AND($E42&lt;&gt;"",CY42&gt;=$E42),$H42,$G42))))</f>
        <v/>
      </c>
      <c r="CZ43" s="0" t="str">
        <f aca="false">IF(CZ42="","",IF($D42=0,$J42,IF(AND($F42&lt;&gt;"",CZ42&gt;=$F42),$I42,IF(AND($E42&lt;&gt;"",CZ42&gt;=$E42),$H42,$G42))))</f>
        <v/>
      </c>
      <c r="DA43" s="0" t="str">
        <f aca="false">IF(DA42="","",IF($D42=0,$J42,IF(AND($F42&lt;&gt;"",DA42&gt;=$F42),$I42,IF(AND($E42&lt;&gt;"",DA42&gt;=$E42),$H42,$G42))))</f>
        <v/>
      </c>
      <c r="DB43" s="0" t="str">
        <f aca="false">IF(DB42="","",IF($D42=0,$J42,IF(AND($F42&lt;&gt;"",DB42&gt;=$F42),$I42,IF(AND($E42&lt;&gt;"",DB42&gt;=$E42),$H42,$G42))))</f>
        <v/>
      </c>
      <c r="DC43" s="0" t="str">
        <f aca="false">IF(DC42="","",IF($D42=0,$J42,IF(AND($F42&lt;&gt;"",DC42&gt;=$F42),$I42,IF(AND($E42&lt;&gt;"",DC42&gt;=$E42),$H42,$G42))))</f>
        <v/>
      </c>
      <c r="DD43" s="0" t="str">
        <f aca="false">IF(DD42="","",IF($D42=0,$J42,IF(AND($F42&lt;&gt;"",DD42&gt;=$F42),$I42,IF(AND($E42&lt;&gt;"",DD42&gt;=$E42),$H42,$G42))))</f>
        <v/>
      </c>
      <c r="DE43" s="0" t="str">
        <f aca="false">IF(DE42="","",IF($D42=0,$J42,IF(AND($F42&lt;&gt;"",DE42&gt;=$F42),$I42,IF(AND($E42&lt;&gt;"",DE42&gt;=$E42),$H42,$G42))))</f>
        <v/>
      </c>
      <c r="DF43" s="0" t="str">
        <f aca="false">IF(DF42="","",IF($D42=0,$J42,IF(AND($F42&lt;&gt;"",DF42&gt;=$F42),$I42,IF(AND($E42&lt;&gt;"",DF42&gt;=$E42),$H42,$G42))))</f>
        <v/>
      </c>
      <c r="DG43" s="0" t="str">
        <f aca="false">IF(DG42="","",IF($D42=0,$J42,IF(AND($F42&lt;&gt;"",DG42&gt;=$F42),$I42,IF(AND($E42&lt;&gt;"",DG42&gt;=$E42),$H42,$G42))))</f>
        <v/>
      </c>
      <c r="DH43" s="0" t="str">
        <f aca="false">IF(DH42="","",IF($D42=0,$J42,IF(AND($F42&lt;&gt;"",DH42&gt;=$F42),$I42,IF(AND($E42&lt;&gt;"",DH42&gt;=$E42),$H42,$G42))))</f>
        <v/>
      </c>
      <c r="DI43" s="0" t="str">
        <f aca="false">IF(DI42="","",IF($D42=0,$J42,IF(AND($F42&lt;&gt;"",DI42&gt;=$F42),$I42,IF(AND($E42&lt;&gt;"",DI42&gt;=$E42),$H42,$G42))))</f>
        <v/>
      </c>
      <c r="DJ43" s="0" t="str">
        <f aca="false">IF(DJ42="","",IF($D42=0,$J42,IF(AND($F42&lt;&gt;"",DJ42&gt;=$F42),$I42,IF(AND($E42&lt;&gt;"",DJ42&gt;=$E42),$H42,$G42))))</f>
        <v/>
      </c>
      <c r="DK43" s="0" t="str">
        <f aca="false">IF(DK42="","",IF($D42=0,$J42,IF(AND($F42&lt;&gt;"",DK42&gt;=$F42),$I42,IF(AND($E42&lt;&gt;"",DK42&gt;=$E42),$H42,$G42))))</f>
        <v/>
      </c>
      <c r="DL43" s="0" t="str">
        <f aca="false">IF(DL42="","",IF($D42=0,$J42,IF(AND($F42&lt;&gt;"",DL42&gt;=$F42),$I42,IF(AND($E42&lt;&gt;"",DL42&gt;=$E42),$H42,$G42))))</f>
        <v/>
      </c>
      <c r="DM43" s="0" t="str">
        <f aca="false">IF(DM42="","",IF($D42=0,$J42,IF(AND($F42&lt;&gt;"",DM42&gt;=$F42),$I42,IF(AND($E42&lt;&gt;"",DM42&gt;=$E42),$H42,$G42))))</f>
        <v/>
      </c>
      <c r="DN43" s="0" t="str">
        <f aca="false">IF(DN42="","",IF($D42=0,$J42,IF(AND($F42&lt;&gt;"",DN42&gt;=$F42),$I42,IF(AND($E42&lt;&gt;"",DN42&gt;=$E42),$H42,$G42))))</f>
        <v/>
      </c>
      <c r="DO43" s="0" t="str">
        <f aca="false">IF(DO42="","",IF($D42=0,$J42,IF(AND($F42&lt;&gt;"",DO42&gt;=$F42),$I42,IF(AND($E42&lt;&gt;"",DO42&gt;=$E42),$H42,$G42))))</f>
        <v/>
      </c>
      <c r="DP43" s="0" t="str">
        <f aca="false">IF(DP42="","",IF($D42=0,$J42,IF(AND($F42&lt;&gt;"",DP42&gt;=$F42),$I42,IF(AND($E42&lt;&gt;"",DP42&gt;=$E42),$H42,$G42))))</f>
        <v/>
      </c>
      <c r="DQ43" s="0" t="str">
        <f aca="false">IF(DQ42="","",IF($D42=0,$J42,IF(AND($F42&lt;&gt;"",DQ42&gt;=$F42),$I42,IF(AND($E42&lt;&gt;"",DQ42&gt;=$E42),$H42,$G42))))</f>
        <v/>
      </c>
      <c r="DR43" s="0" t="str">
        <f aca="false">IF(DR42="","",IF($D42=0,$J42,IF(AND($F42&lt;&gt;"",DR42&gt;=$F42),$I42,IF(AND($E42&lt;&gt;"",DR42&gt;=$E42),$H42,$G42))))</f>
        <v/>
      </c>
      <c r="DS43" s="0" t="str">
        <f aca="false">IF(DS42="","",IF($D42=0,$J42,IF(AND($F42&lt;&gt;"",DS42&gt;=$F42),$I42,IF(AND($E42&lt;&gt;"",DS42&gt;=$E42),$H42,$G42))))</f>
        <v/>
      </c>
      <c r="DT43" s="0" t="str">
        <f aca="false">IF(DT42="","",IF($D42=0,$J42,IF(AND($F42&lt;&gt;"",DT42&gt;=$F42),$I42,IF(AND($E42&lt;&gt;"",DT42&gt;=$E42),$H42,$G42))))</f>
        <v/>
      </c>
      <c r="DU43" s="0" t="str">
        <f aca="false">IF(DU42="","",IF($D42=0,$J42,IF(AND($F42&lt;&gt;"",DU42&gt;=$F42),$I42,IF(AND($E42&lt;&gt;"",DU42&gt;=$E42),$H42,$G42))))</f>
        <v/>
      </c>
      <c r="DV43" s="0" t="str">
        <f aca="false">IF(DV42="","",IF($D42=0,$J42,IF(AND($F42&lt;&gt;"",DV42&gt;=$F42),$I42,IF(AND($E42&lt;&gt;"",DV42&gt;=$E42),$H42,$G42))))</f>
        <v/>
      </c>
      <c r="DW43" s="0" t="str">
        <f aca="false">IF(DW42="","",IF($D42=0,$J42,IF(AND($F42&lt;&gt;"",DW42&gt;=$F42),$I42,IF(AND($E42&lt;&gt;"",DW42&gt;=$E42),$H42,$G42))))</f>
        <v/>
      </c>
      <c r="DX43" s="0" t="str">
        <f aca="false">IF(DX42="","",IF($D42=0,$J42,IF(AND($F42&lt;&gt;"",DX42&gt;=$F42),$I42,IF(AND($E42&lt;&gt;"",DX42&gt;=$E42),$H42,$G42))))</f>
        <v/>
      </c>
      <c r="DY43" s="0" t="str">
        <f aca="false">IF(DY42="","",IF($D42=0,$J42,IF(AND($F42&lt;&gt;"",DY42&gt;=$F42),$I42,IF(AND($E42&lt;&gt;"",DY42&gt;=$E42),$H42,$G42))))</f>
        <v/>
      </c>
      <c r="DZ43" s="0" t="str">
        <f aca="false">IF(DZ42="","",IF($D42=0,$J42,IF(AND($F42&lt;&gt;"",DZ42&gt;=$F42),$I42,IF(AND($E42&lt;&gt;"",DZ42&gt;=$E42),$H42,$G42))))</f>
        <v/>
      </c>
      <c r="EA43" s="0" t="str">
        <f aca="false">IF(EA42="","",IF($D42=0,$J42,IF(AND($F42&lt;&gt;"",EA42&gt;=$F42),$I42,IF(AND($E42&lt;&gt;"",EA42&gt;=$E42),$H42,$G42))))</f>
        <v/>
      </c>
      <c r="EB43" s="0" t="str">
        <f aca="false">IF(EB42="","",IF($D42=0,$J42,IF(AND($F42&lt;&gt;"",EB42&gt;=$F42),$I42,IF(AND($E42&lt;&gt;"",EB42&gt;=$E42),$H42,$G42))))</f>
        <v/>
      </c>
      <c r="EC43" s="0" t="str">
        <f aca="false">IF(EC42="","",IF($D42=0,$J42,IF(AND($F42&lt;&gt;"",EC42&gt;=$F42),$I42,IF(AND($E42&lt;&gt;"",EC42&gt;=$E42),$H42,$G42))))</f>
        <v/>
      </c>
      <c r="ED43" s="0" t="str">
        <f aca="false">IF(ED42="","",IF($D42=0,$J42,IF(AND($F42&lt;&gt;"",ED42&gt;=$F42),$I42,IF(AND($E42&lt;&gt;"",ED42&gt;=$E42),$H42,$G42))))</f>
        <v/>
      </c>
      <c r="EE43" s="0" t="str">
        <f aca="false">IF(EE42="","",IF($D42=0,$J42,IF(AND($F42&lt;&gt;"",EE42&gt;=$F42),$I42,IF(AND($E42&lt;&gt;"",EE42&gt;=$E42),$H42,$G42))))</f>
        <v/>
      </c>
      <c r="EF43" s="0" t="str">
        <f aca="false">IF(EF42="","",IF($D42=0,$J42,IF(AND($F42&lt;&gt;"",EF42&gt;=$F42),$I42,IF(AND($E42&lt;&gt;"",EF42&gt;=$E42),$H42,$G42))))</f>
        <v/>
      </c>
      <c r="EG43" s="0" t="str">
        <f aca="false">IF(EG42="","",IF($D42=0,$J42,IF(AND($F42&lt;&gt;"",EG42&gt;=$F42),$I42,IF(AND($E42&lt;&gt;"",EG42&gt;=$E42),$H42,$G42))))</f>
        <v/>
      </c>
      <c r="EH43" s="0" t="str">
        <f aca="false">IF(EH42="","",IF($D42=0,$J42,IF(AND($F42&lt;&gt;"",EH42&gt;=$F42),$I42,IF(AND($E42&lt;&gt;"",EH42&gt;=$E42),$H42,$G42))))</f>
        <v/>
      </c>
      <c r="EI43" s="0" t="str">
        <f aca="false">IF(EI42="","",IF($D42=0,$J42,IF(AND($F42&lt;&gt;"",EI42&gt;=$F42),$I42,IF(AND($E42&lt;&gt;"",EI42&gt;=$E42),$H42,$G42))))</f>
        <v/>
      </c>
      <c r="EJ43" s="0" t="str">
        <f aca="false">IF(EJ42="","",IF($D42=0,$J42,IF(AND($F42&lt;&gt;"",EJ42&gt;=$F42),$I42,IF(AND($E42&lt;&gt;"",EJ42&gt;=$E42),$H42,$G42))))</f>
        <v/>
      </c>
      <c r="EK43" s="0" t="str">
        <f aca="false">IF(EK42="","",IF($D42=0,$J42,IF(AND($F42&lt;&gt;"",EK42&gt;=$F42),$I42,IF(AND($E42&lt;&gt;"",EK42&gt;=$E42),$H42,$G42))))</f>
        <v/>
      </c>
      <c r="EL43" s="0" t="str">
        <f aca="false">IF(EL42="","",IF($D42=0,$J42,IF(AND($F42&lt;&gt;"",EL42&gt;=$F42),$I42,IF(AND($E42&lt;&gt;"",EL42&gt;=$E42),$H42,$G42))))</f>
        <v/>
      </c>
      <c r="EM43" s="0" t="str">
        <f aca="false">IF(EM42="","",IF($D42=0,$J42,IF(AND($F42&lt;&gt;"",EM42&gt;=$F42),$I42,IF(AND($E42&lt;&gt;"",EM42&gt;=$E42),$H42,$G42))))</f>
        <v/>
      </c>
      <c r="EN43" s="0" t="str">
        <f aca="false">IF(EN42="","",IF($D42=0,$J42,IF(AND($F42&lt;&gt;"",EN42&gt;=$F42),$I42,IF(AND($E42&lt;&gt;"",EN42&gt;=$E42),$H42,$G42))))</f>
        <v/>
      </c>
      <c r="EO43" s="0" t="str">
        <f aca="false">IF(EO42="","",IF($D42=0,$J42,IF(AND($F42&lt;&gt;"",EO42&gt;=$F42),$I42,IF(AND($E42&lt;&gt;"",EO42&gt;=$E42),$H42,$G42))))</f>
        <v/>
      </c>
      <c r="EP43" s="0" t="str">
        <f aca="false">IF(EP42="","",IF($D42=0,$J42,IF(AND($F42&lt;&gt;"",EP42&gt;=$F42),$I42,IF(AND($E42&lt;&gt;"",EP42&gt;=$E42),$H42,$G42))))</f>
        <v/>
      </c>
      <c r="EQ43" s="0" t="str">
        <f aca="false">IF(EQ42="","",IF($D42=0,$J42,IF(AND($F42&lt;&gt;"",EQ42&gt;=$F42),$I42,IF(AND($E42&lt;&gt;"",EQ42&gt;=$E42),$H42,$G42))))</f>
        <v/>
      </c>
      <c r="ER43" s="0" t="str">
        <f aca="false">IF(ER42="","",IF($D42=0,$J42,IF(AND($F42&lt;&gt;"",ER42&gt;=$F42),$I42,IF(AND($E42&lt;&gt;"",ER42&gt;=$E42),$H42,$G42))))</f>
        <v/>
      </c>
      <c r="ES43" s="0" t="str">
        <f aca="false">IF(ES42="","",IF($D42=0,$J42,IF(AND($F42&lt;&gt;"",ES42&gt;=$F42),$I42,IF(AND($E42&lt;&gt;"",ES42&gt;=$E42),$H42,$G42))))</f>
        <v/>
      </c>
      <c r="ET43" s="0" t="str">
        <f aca="false">IF(ET42="","",IF($D42=0,$J42,IF(AND($F42&lt;&gt;"",ET42&gt;=$F42),$I42,IF(AND($E42&lt;&gt;"",ET42&gt;=$E42),$H42,$G42))))</f>
        <v/>
      </c>
      <c r="EU43" s="0" t="str">
        <f aca="false">IF(EU42="","",IF($D42=0,$J42,IF(AND($F42&lt;&gt;"",EU42&gt;=$F42),$I42,IF(AND($E42&lt;&gt;"",EU42&gt;=$E42),$H42,$G42))))</f>
        <v/>
      </c>
      <c r="EV43" s="0" t="str">
        <f aca="false">IF(EV42="","",IF($D42=0,$J42,IF(AND($F42&lt;&gt;"",EV42&gt;=$F42),$I42,IF(AND($E42&lt;&gt;"",EV42&gt;=$E42),$H42,$G42))))</f>
        <v/>
      </c>
      <c r="EW43" s="0" t="str">
        <f aca="false">IF(EW42="","",IF($D42=0,$J42,IF(AND($F42&lt;&gt;"",EW42&gt;=$F42),$I42,IF(AND($E42&lt;&gt;"",EW42&gt;=$E42),$H42,$G42))))</f>
        <v/>
      </c>
      <c r="EX43" s="0" t="str">
        <f aca="false">IF(EX42="","",IF($D42=0,$J42,IF(AND($F42&lt;&gt;"",EX42&gt;=$F42),$I42,IF(AND($E42&lt;&gt;"",EX42&gt;=$E42),$H42,$G42))))</f>
        <v/>
      </c>
      <c r="EY43" s="0" t="str">
        <f aca="false">IF(EY42="","",IF($D42=0,$J42,IF(AND($F42&lt;&gt;"",EY42&gt;=$F42),$I42,IF(AND($E42&lt;&gt;"",EY42&gt;=$E42),$H42,$G42))))</f>
        <v/>
      </c>
      <c r="EZ43" s="0" t="str">
        <f aca="false">IF(EZ42="","",IF($D42=0,$J42,IF(AND($F42&lt;&gt;"",EZ42&gt;=$F42),$I42,IF(AND($E42&lt;&gt;"",EZ42&gt;=$E42),$H42,$G42))))</f>
        <v/>
      </c>
      <c r="FA43" s="0" t="str">
        <f aca="false">IF(FA42="","",IF($D42=0,$J42,IF(AND($F42&lt;&gt;"",FA42&gt;=$F42),$I42,IF(AND($E42&lt;&gt;"",FA42&gt;=$E42),$H42,$G42))))</f>
        <v/>
      </c>
      <c r="FB43" s="0" t="str">
        <f aca="false">IF(FB42="","",IF($D42=0,$J42,IF(AND($F42&lt;&gt;"",FB42&gt;=$F42),$I42,IF(AND($E42&lt;&gt;"",FB42&gt;=$E42),$H42,$G42))))</f>
        <v/>
      </c>
      <c r="FC43" s="0" t="str">
        <f aca="false">IF(FC42="","",IF($D42=0,$J42,IF(AND($F42&lt;&gt;"",FC42&gt;=$F42),$I42,IF(AND($E42&lt;&gt;"",FC42&gt;=$E42),$H42,$G42))))</f>
        <v/>
      </c>
      <c r="FD43" s="0" t="str">
        <f aca="false">IF(FD42="","",IF($D42=0,$J42,IF(AND($F42&lt;&gt;"",FD42&gt;=$F42),$I42,IF(AND($E42&lt;&gt;"",FD42&gt;=$E42),$H42,$G42))))</f>
        <v/>
      </c>
      <c r="FE43" s="0" t="str">
        <f aca="false">IF(FE42="","",IF($D42=0,$J42,IF(AND($F42&lt;&gt;"",FE42&gt;=$F42),$I42,IF(AND($E42&lt;&gt;"",FE42&gt;=$E42),$H42,$G42))))</f>
        <v/>
      </c>
      <c r="FF43" s="0" t="str">
        <f aca="false">IF(FF42="","",IF($D42=0,$J42,IF(AND($F42&lt;&gt;"",FF42&gt;=$F42),$I42,IF(AND($E42&lt;&gt;"",FF42&gt;=$E42),$H42,$G42))))</f>
        <v/>
      </c>
      <c r="FG43" s="0" t="str">
        <f aca="false">IF(FG42="","",IF($D42=0,$J42,IF(AND($F42&lt;&gt;"",FG42&gt;=$F42),$I42,IF(AND($E42&lt;&gt;"",FG42&gt;=$E42),$H42,$G42))))</f>
        <v/>
      </c>
      <c r="FH43" s="0" t="str">
        <f aca="false">IF(FH42="","",IF($D42=0,$J42,IF(AND($F42&lt;&gt;"",FH42&gt;=$F42),$I42,IF(AND($E42&lt;&gt;"",FH42&gt;=$E42),$H42,$G42))))</f>
        <v/>
      </c>
      <c r="FI43" s="0" t="str">
        <f aca="false">IF(FI42="","",IF($D42=0,$J42,IF(AND($F42&lt;&gt;"",FI42&gt;=$F42),$I42,IF(AND($E42&lt;&gt;"",FI42&gt;=$E42),$H42,$G42))))</f>
        <v/>
      </c>
      <c r="FJ43" s="0" t="str">
        <f aca="false">IF(FJ42="","",IF($D42=0,$J42,IF(AND($F42&lt;&gt;"",FJ42&gt;=$F42),$I42,IF(AND($E42&lt;&gt;"",FJ42&gt;=$E42),$H42,$G42))))</f>
        <v/>
      </c>
      <c r="FK43" s="0" t="str">
        <f aca="false">IF(FK42="","",IF($D42=0,$J42,IF(AND($F42&lt;&gt;"",FK42&gt;=$F42),$I42,IF(AND($E42&lt;&gt;"",FK42&gt;=$E42),$H42,$G42))))</f>
        <v/>
      </c>
      <c r="FL43" s="0" t="str">
        <f aca="false">IF(FL42="","",IF($D42=0,$J42,IF(AND($F42&lt;&gt;"",FL42&gt;=$F42),$I42,IF(AND($E42&lt;&gt;"",FL42&gt;=$E42),$H42,$G42))))</f>
        <v/>
      </c>
      <c r="FM43" s="0" t="str">
        <f aca="false">IF(FM42="","",IF($D42=0,$J42,IF(AND($F42&lt;&gt;"",FM42&gt;=$F42),$I42,IF(AND($E42&lt;&gt;"",FM42&gt;=$E42),$H42,$G42))))</f>
        <v/>
      </c>
      <c r="FN43" s="0" t="str">
        <f aca="false">IF(FN42="","",IF($D42=0,$J42,IF(AND($F42&lt;&gt;"",FN42&gt;=$F42),$I42,IF(AND($E42&lt;&gt;"",FN42&gt;=$E42),$H42,$G42))))</f>
        <v/>
      </c>
      <c r="FO43" s="0" t="str">
        <f aca="false">IF(FO42="","",IF($D42=0,$J42,IF(AND($F42&lt;&gt;"",FO42&gt;=$F42),$I42,IF(AND($E42&lt;&gt;"",FO42&gt;=$E42),$H42,$G42))))</f>
        <v/>
      </c>
      <c r="FP43" s="0" t="str">
        <f aca="false">IF(FP42="","",IF($D42=0,$J42,IF(AND($F42&lt;&gt;"",FP42&gt;=$F42),$I42,IF(AND($E42&lt;&gt;"",FP42&gt;=$E42),$H42,$G42))))</f>
        <v/>
      </c>
      <c r="FQ43" s="0" t="str">
        <f aca="false">IF(FQ42="","",IF($D42=0,$J42,IF(AND($F42&lt;&gt;"",FQ42&gt;=$F42),$I42,IF(AND($E42&lt;&gt;"",FQ42&gt;=$E42),$H42,$G42))))</f>
        <v/>
      </c>
      <c r="FR43" s="0" t="str">
        <f aca="false">IF(FR42="","",IF($D42=0,$J42,IF(AND($F42&lt;&gt;"",FR42&gt;=$F42),$I42,IF(AND($E42&lt;&gt;"",FR42&gt;=$E42),$H42,$G42))))</f>
        <v/>
      </c>
      <c r="FS43" s="0" t="str">
        <f aca="false">IF(FS42="","",IF($D42=0,$J42,IF(AND($F42&lt;&gt;"",FS42&gt;=$F42),$I42,IF(AND($E42&lt;&gt;"",FS42&gt;=$E42),$H42,$G42))))</f>
        <v/>
      </c>
      <c r="FT43" s="0" t="str">
        <f aca="false">IF(FT42="","",IF($D42=0,$J42,IF(AND($F42&lt;&gt;"",FT42&gt;=$F42),$I42,IF(AND($E42&lt;&gt;"",FT42&gt;=$E42),$H42,$G42))))</f>
        <v/>
      </c>
      <c r="FU43" s="0" t="str">
        <f aca="false">IF(FU42="","",IF($D42=0,$J42,IF(AND($F42&lt;&gt;"",FU42&gt;=$F42),$I42,IF(AND($E42&lt;&gt;"",FU42&gt;=$E42),$H42,$G42))))</f>
        <v/>
      </c>
      <c r="FV43" s="0" t="str">
        <f aca="false">IF(FV42="","",IF($D42=0,$J42,IF(AND($F42&lt;&gt;"",FV42&gt;=$F42),$I42,IF(AND($E42&lt;&gt;"",FV42&gt;=$E42),$H42,$G42))))</f>
        <v/>
      </c>
      <c r="FW43" s="0" t="str">
        <f aca="false">IF(FW42="","",IF($D42=0,$J42,IF(AND($F42&lt;&gt;"",FW42&gt;=$F42),$I42,IF(AND($E42&lt;&gt;"",FW42&gt;=$E42),$H42,$G42))))</f>
        <v/>
      </c>
      <c r="FX43" s="0" t="str">
        <f aca="false">IF(FX42="","",IF($D42=0,$J42,IF(AND($F42&lt;&gt;"",FX42&gt;=$F42),$I42,IF(AND($E42&lt;&gt;"",FX42&gt;=$E42),$H42,$G42))))</f>
        <v/>
      </c>
      <c r="FY43" s="0" t="str">
        <f aca="false">IF(FY42="","",IF($D42=0,$J42,IF(AND($F42&lt;&gt;"",FY42&gt;=$F42),$I42,IF(AND($E42&lt;&gt;"",FY42&gt;=$E42),$H42,$G42))))</f>
        <v/>
      </c>
      <c r="FZ43" s="0" t="str">
        <f aca="false">IF(FZ42="","",IF($D42=0,$J42,IF(AND($F42&lt;&gt;"",FZ42&gt;=$F42),$I42,IF(AND($E42&lt;&gt;"",FZ42&gt;=$E42),$H42,$G42))))</f>
        <v/>
      </c>
      <c r="GA43" s="0" t="str">
        <f aca="false">IF(GA42="","",IF($D42=0,$J42,IF(AND($F42&lt;&gt;"",GA42&gt;=$F42),$I42,IF(AND($E42&lt;&gt;"",GA42&gt;=$E42),$H42,$G42))))</f>
        <v/>
      </c>
      <c r="GB43" s="0" t="str">
        <f aca="false">IF(GB42="","",IF($D42=0,$J42,IF(AND($F42&lt;&gt;"",GB42&gt;=$F42),$I42,IF(AND($E42&lt;&gt;"",GB42&gt;=$E42),$H42,$G42))))</f>
        <v/>
      </c>
      <c r="GC43" s="0" t="str">
        <f aca="false">IF(GC42="","",IF($D42=0,$J42,IF(AND($F42&lt;&gt;"",GC42&gt;=$F42),$I42,IF(AND($E42&lt;&gt;"",GC42&gt;=$E42),$H42,$G42))))</f>
        <v/>
      </c>
      <c r="GD43" s="0" t="str">
        <f aca="false">IF(GD42="","",IF($D42=0,$J42,IF(AND($F42&lt;&gt;"",GD42&gt;=$F42),$I42,IF(AND($E42&lt;&gt;"",GD42&gt;=$E42),$H42,$G42))))</f>
        <v/>
      </c>
      <c r="GE43" s="0" t="str">
        <f aca="false">IF(GE42="","",IF($D42=0,$J42,IF(AND($F42&lt;&gt;"",GE42&gt;=$F42),$I42,IF(AND($E42&lt;&gt;"",GE42&gt;=$E42),$H42,$G42))))</f>
        <v/>
      </c>
      <c r="GF43" s="0" t="str">
        <f aca="false">IF(GF42="","",IF($D42=0,$J42,IF(AND($F42&lt;&gt;"",GF42&gt;=$F42),$I42,IF(AND($E42&lt;&gt;"",GF42&gt;=$E42),$H42,$G42))))</f>
        <v/>
      </c>
      <c r="GG43" s="0" t="str">
        <f aca="false">IF(GG42="","",IF($D42=0,$J42,IF(AND($F42&lt;&gt;"",GG42&gt;=$F42),$I42,IF(AND($E42&lt;&gt;"",GG42&gt;=$E42),$H42,$G42))))</f>
        <v/>
      </c>
      <c r="GH43" s="0" t="str">
        <f aca="false">IF(GH42="","",IF($D42=0,$J42,IF(AND($F42&lt;&gt;"",GH42&gt;=$F42),$I42,IF(AND($E42&lt;&gt;"",GH42&gt;=$E42),$H42,$G42))))</f>
        <v/>
      </c>
      <c r="GI43" s="0" t="str">
        <f aca="false">IF(GI42="","",IF($D42=0,$J42,IF(AND($F42&lt;&gt;"",GI42&gt;=$F42),$I42,IF(AND($E42&lt;&gt;"",GI42&gt;=$E42),$H42,$G42))))</f>
        <v/>
      </c>
    </row>
    <row r="44" customFormat="false" ht="15" hidden="false" customHeight="false" outlineLevel="0" collapsed="false">
      <c r="K44" s="0" t="s">
        <v>264</v>
      </c>
      <c r="L44" s="0" t="n">
        <f aca="false">IF(L42="",0,IF(AND(L43=Milestones!$AB$20,L42&gt;=SchemeStart),IF(AND(Milestones!$AB$20="FT",Milestones!$AA$20=FT_Y5,L42&lt;PolicyEff),1,Milestones!$AC$20),0))</f>
        <v>0</v>
      </c>
      <c r="M44" s="0" t="n">
        <f aca="false">IF(M42="",0,IF(AND(M43=Milestones!$AB$21,M42&gt;=SchemeStart),IF(AND(Milestones!$AB$21="FT",Milestones!$AA$21=FT_Y5,M42&lt;PolicyEff),1,Milestones!$AC$21),0))</f>
        <v>0</v>
      </c>
      <c r="N44" s="0" t="n">
        <f aca="false">IF(N42="",0,IF(AND(N43=Milestones!$AB$22,N42&gt;=SchemeStart),IF(AND(Milestones!$AB$22="FT",Milestones!$AA$22=FT_Y5,N42&lt;PolicyEff),1,Milestones!$AC$22),0))</f>
        <v>0</v>
      </c>
      <c r="O44" s="0" t="n">
        <f aca="false">IF(O42="",0,IF(AND(O43=Milestones!$AB$23,O42&gt;=SchemeStart),IF(AND(Milestones!$AB$23="FT",Milestones!$AA$23=FT_Y5,O42&lt;PolicyEff),1,Milestones!$AC$23),0))</f>
        <v>0</v>
      </c>
      <c r="P44" s="0" t="n">
        <f aca="false">IF(P42="",0,IF(AND(P43=Milestones!$AB$24,P42&gt;=SchemeStart),IF(AND(Milestones!$AB$24="FT",Milestones!$AA$24=FT_Y5,P42&lt;PolicyEff),1,Milestones!$AC$24),0))</f>
        <v>0</v>
      </c>
      <c r="Q44" s="0" t="n">
        <f aca="false">IF(Q42="",0,IF(AND(Q43=Milestones!$AB$25,Q42&gt;=SchemeStart),IF(AND(Milestones!$AB$25="FT",Milestones!$AA$25=FT_Y5,Q42&lt;PolicyEff),1,Milestones!$AC$25),0))</f>
        <v>0</v>
      </c>
      <c r="R44" s="0" t="n">
        <f aca="false">IF(R42="",0,IF(AND(R43=Milestones!$AB$26,R42&gt;=SchemeStart),IF(AND(Milestones!$AB$26="FT",Milestones!$AA$26=FT_Y5,R42&lt;PolicyEff),1,Milestones!$AC$26),0))</f>
        <v>0</v>
      </c>
      <c r="S44" s="0" t="n">
        <f aca="false">IF(S42="",0,IF(AND(S43=Milestones!$AB$27,S42&gt;=SchemeStart),IF(AND(Milestones!$AB$27="FT",Milestones!$AA$27=FT_Y5,S42&lt;PolicyEff),1,Milestones!$AC$27),0))</f>
        <v>0</v>
      </c>
      <c r="T44" s="0" t="n">
        <f aca="false">IF(T42="",0,IF(AND(T43=Milestones!$AB$28,T42&gt;=SchemeStart),IF(AND(Milestones!$AB$28="FT",Milestones!$AA$28=FT_Y5,T42&lt;PolicyEff),1,Milestones!$AC$28),0))</f>
        <v>0</v>
      </c>
      <c r="U44" s="0" t="n">
        <f aca="false">IF(U42="",0,IF(AND(U43=Milestones!$AB$29,U42&gt;=SchemeStart),IF(AND(Milestones!$AB$29="FT",Milestones!$AA$29=FT_Y5,U42&lt;PolicyEff),1,Milestones!$AC$29),0))</f>
        <v>0</v>
      </c>
      <c r="V44" s="0" t="n">
        <f aca="false">IF(V42="",0,IF(AND(V43=Milestones!$AB$30,V42&gt;=SchemeStart),IF(AND(Milestones!$AB$30="FT",Milestones!$AA$30=FT_Y5,V42&lt;PolicyEff),1,Milestones!$AC$30),0))</f>
        <v>0</v>
      </c>
      <c r="W44" s="0" t="n">
        <f aca="false">IF(W42="",0,IF(AND(W43=Milestones!$AB$31,W42&gt;=SchemeStart),IF(AND(Milestones!$AB$31="FT",Milestones!$AA$31=FT_Y5,W42&lt;PolicyEff),1,Milestones!$AC$31),0))</f>
        <v>0</v>
      </c>
      <c r="X44" s="0" t="n">
        <f aca="false">IF(X42="",0,IF(AND(X43=Milestones!$AB$32,X42&gt;=SchemeStart),IF(AND(Milestones!$AB$32="FT",Milestones!$AA$32=FT_Y5,X42&lt;PolicyEff),1,Milestones!$AC$32),0))</f>
        <v>0</v>
      </c>
      <c r="Y44" s="0" t="n">
        <f aca="false">IF(Y42="",0,IF(AND(Y43=Milestones!$AB$33,Y42&gt;=SchemeStart),IF(AND(Milestones!$AB$33="FT",Milestones!$AA$33=FT_Y5,Y42&lt;PolicyEff),1,Milestones!$AC$33),0))</f>
        <v>0</v>
      </c>
      <c r="Z44" s="0" t="n">
        <f aca="false">IF(Z42="",0,IF(AND(Z43=Milestones!$AB$34,Z42&gt;=SchemeStart),IF(AND(Milestones!$AB$34="FT",Milestones!$AA$34=FT_Y5,Z42&lt;PolicyEff),1,Milestones!$AC$34),0))</f>
        <v>0</v>
      </c>
      <c r="AA44" s="0" t="n">
        <f aca="false">IF(AA42="",0,IF(AND(AA43=Milestones!$AB$35,AA42&gt;=SchemeStart),IF(AND(Milestones!$AB$35="FT",Milestones!$AA$35=FT_Y5,AA42&lt;PolicyEff),1,Milestones!$AC$35),0))</f>
        <v>0</v>
      </c>
      <c r="AB44" s="0" t="n">
        <f aca="false">IF(AB42="",0,IF(AND(AB43=Milestones!$AB$36,AB42&gt;=SchemeStart),IF(AND(Milestones!$AB$36="FT",Milestones!$AA$36=FT_Y5,AB42&lt;PolicyEff),1,Milestones!$AC$36),0))</f>
        <v>0</v>
      </c>
      <c r="AC44" s="0" t="n">
        <f aca="false">IF(AC42="",0,IF(AND(AC43=Milestones!$AB$37,AC42&gt;=SchemeStart),IF(AND(Milestones!$AB$37="FT",Milestones!$AA$37=FT_Y5,AC42&lt;PolicyEff),1,Milestones!$AC$37),0))</f>
        <v>0</v>
      </c>
      <c r="AD44" s="0" t="n">
        <f aca="false">IF(AD42="",0,IF(AND(AD43=Milestones!$AB$38,AD42&gt;=SchemeStart),IF(AND(Milestones!$AB$38="FT",Milestones!$AA$38=FT_Y5,AD42&lt;PolicyEff),1,Milestones!$AC$38),0))</f>
        <v>0</v>
      </c>
      <c r="AE44" s="0" t="n">
        <f aca="false">IF(AE42="",0,IF(AND(AE43=Milestones!$AB$39,AE42&gt;=SchemeStart),IF(AND(Milestones!$AB$39="FT",Milestones!$AA$39=FT_Y5,AE42&lt;PolicyEff),1,Milestones!$AC$39),0))</f>
        <v>0</v>
      </c>
      <c r="AF44" s="0" t="n">
        <f aca="false">IF(AF42="",0,IF(AND(AF43=Milestones!$AB$40,AF42&gt;=SchemeStart),IF(AND(Milestones!$AB$40="FT",Milestones!$AA$40=FT_Y5,AF42&lt;PolicyEff),1,Milestones!$AC$40),0))</f>
        <v>0</v>
      </c>
      <c r="AG44" s="0" t="n">
        <f aca="false">IF(AG42="",0,IF(AND(AG43=Milestones!$AB$41,AG42&gt;=SchemeStart),IF(AND(Milestones!$AB$41="FT",Milestones!$AA$41=FT_Y5,AG42&lt;PolicyEff),1,Milestones!$AC$41),0))</f>
        <v>0</v>
      </c>
      <c r="AH44" s="0" t="n">
        <f aca="false">IF(AH42="",0,IF(AND(AH43=Milestones!$AB$42,AH42&gt;=SchemeStart),IF(AND(Milestones!$AB$42="FT",Milestones!$AA$42=FT_Y5,AH42&lt;PolicyEff),1,Milestones!$AC$42),0))</f>
        <v>0</v>
      </c>
      <c r="AI44" s="0" t="n">
        <f aca="false">IF(AI42="",0,IF(AND(AI43=Milestones!$AB$43,AI42&gt;=SchemeStart),IF(AND(Milestones!$AB$43="FT",Milestones!$AA$43=FT_Y5,AI42&lt;PolicyEff),1,Milestones!$AC$43),0))</f>
        <v>0</v>
      </c>
      <c r="AJ44" s="0" t="n">
        <f aca="false">IF(AJ42="",0,IF(AND(AJ43=Milestones!$AB$44,AJ42&gt;=SchemeStart),IF(AND(Milestones!$AB$44="FT",Milestones!$AA$44=FT_Y5,AJ42&lt;PolicyEff),1,Milestones!$AC$44),0))</f>
        <v>0</v>
      </c>
      <c r="AK44" s="0" t="n">
        <f aca="false">IF(AK42="",0,IF(AND(AK43=Milestones!$AB$45,AK42&gt;=SchemeStart),IF(AND(Milestones!$AB$45="FT",Milestones!$AA$45=FT_Y5,AK42&lt;PolicyEff),1,Milestones!$AC$45),0))</f>
        <v>0</v>
      </c>
      <c r="AL44" s="0" t="n">
        <f aca="false">IF(AL42="",0,IF(AND(AL43=Milestones!$AB$46,AL42&gt;=SchemeStart),IF(AND(Milestones!$AB$46="FT",Milestones!$AA$46=FT_Y5,AL42&lt;PolicyEff),1,Milestones!$AC$46),0))</f>
        <v>0</v>
      </c>
      <c r="AM44" s="0" t="n">
        <f aca="false">IF(AM42="",0,IF(AND(AM43=Milestones!$AB$47,AM42&gt;=SchemeStart),IF(AND(Milestones!$AB$47="FT",Milestones!$AA$47=FT_Y5,AM42&lt;PolicyEff),1,Milestones!$AC$47),0))</f>
        <v>0</v>
      </c>
      <c r="AN44" s="0" t="n">
        <f aca="false">IF(AN42="",0,IF(AND(AN43=Milestones!$AB$48,AN42&gt;=SchemeStart),IF(AND(Milestones!$AB$48="FT",Milestones!$AA$48=FT_Y5,AN42&lt;PolicyEff),1,Milestones!$AC$48),0))</f>
        <v>0</v>
      </c>
      <c r="AO44" s="0" t="n">
        <f aca="false">IF(AO42="",0,IF(AND(AO43=Milestones!$AB$49,AO42&gt;=SchemeStart),IF(AND(Milestones!$AB$49="FT",Milestones!$AA$49=FT_Y5,AO42&lt;PolicyEff),1,Milestones!$AC$49),0))</f>
        <v>0</v>
      </c>
      <c r="AP44" s="0" t="n">
        <f aca="false">IF(AP42="",0,IF(AND(AP43=Milestones!$AB$50,AP42&gt;=SchemeStart),IF(AND(Milestones!$AB$50="FT",Milestones!$AA$50=FT_Y5,AP42&lt;PolicyEff),1,Milestones!$AC$50),0))</f>
        <v>0</v>
      </c>
      <c r="AQ44" s="0" t="n">
        <f aca="false">IF(AQ42="",0,IF(AND(AQ43=Milestones!$AB$51,AQ42&gt;=SchemeStart),IF(AND(Milestones!$AB$51="FT",Milestones!$AA$51=FT_Y5,AQ42&lt;PolicyEff),1,Milestones!$AC$51),0))</f>
        <v>0</v>
      </c>
      <c r="AR44" s="0" t="n">
        <f aca="false">IF(AR42="",0,IF(AND(AR43=Milestones!$AB$52,AR42&gt;=SchemeStart),IF(AND(Milestones!$AB$52="FT",Milestones!$AA$52=FT_Y5,AR42&lt;PolicyEff),1,Milestones!$AC$52),0))</f>
        <v>0</v>
      </c>
      <c r="AS44" s="0" t="n">
        <f aca="false">IF(AS42="",0,IF(AND(AS43=Milestones!$AB$53,AS42&gt;=SchemeStart),IF(AND(Milestones!$AB$53="FT",Milestones!$AA$53=FT_Y5,AS42&lt;PolicyEff),1,Milestones!$AC$53),0))</f>
        <v>0</v>
      </c>
      <c r="AT44" s="0" t="n">
        <f aca="false">IF(AT42="",0,IF(AND(AT43=Milestones!$AB$54,AT42&gt;=SchemeStart),IF(AND(Milestones!$AB$54="FT",Milestones!$AA$54=FT_Y5,AT42&lt;PolicyEff),1,Milestones!$AC$54),0))</f>
        <v>0</v>
      </c>
      <c r="AU44" s="0" t="n">
        <f aca="false">IF(AU42="",0,IF(AND(AU43=Milestones!$AB$55,AU42&gt;=SchemeStart),IF(AND(Milestones!$AB$55="FT",Milestones!$AA$55=FT_Y5,AU42&lt;PolicyEff),1,Milestones!$AC$55),0))</f>
        <v>0</v>
      </c>
      <c r="AV44" s="0" t="n">
        <f aca="false">IF(AV42="",0,IF(AND(AV43=Milestones!$AB$56,AV42&gt;=SchemeStart),IF(AND(Milestones!$AB$56="FT",Milestones!$AA$56=FT_Y5,AV42&lt;PolicyEff),1,Milestones!$AC$56),0))</f>
        <v>0</v>
      </c>
      <c r="AW44" s="0" t="n">
        <f aca="false">IF(AW42="",0,IF(AND(AW43=Milestones!$AB$57,AW42&gt;=SchemeStart),IF(AND(Milestones!$AB$57="FT",Milestones!$AA$57=FT_Y5,AW42&lt;PolicyEff),1,Milestones!$AC$57),0))</f>
        <v>0</v>
      </c>
      <c r="AX44" s="0" t="n">
        <f aca="false">IF(AX42="",0,IF(AND(AX43=Milestones!$AB$58,AX42&gt;=SchemeStart),IF(AND(Milestones!$AB$58="FT",Milestones!$AA$58=FT_Y5,AX42&lt;PolicyEff),1,Milestones!$AC$58),0))</f>
        <v>0</v>
      </c>
      <c r="AY44" s="0" t="n">
        <f aca="false">IF(AY42="",0,IF(AND(AY43=Milestones!$AB$59,AY42&gt;=SchemeStart),IF(AND(Milestones!$AB$59="FT",Milestones!$AA$59=FT_Y5,AY42&lt;PolicyEff),1,Milestones!$AC$59),0))</f>
        <v>0</v>
      </c>
      <c r="AZ44" s="0" t="n">
        <f aca="false">IF(AZ42="",0,IF(AND(AZ43=Milestones!$AB$60,AZ42&gt;=SchemeStart),IF(AND(Milestones!$AB$60="FT",Milestones!$AA$60=FT_Y5,AZ42&lt;PolicyEff),1,Milestones!$AC$60),0))</f>
        <v>0</v>
      </c>
      <c r="BA44" s="0" t="n">
        <f aca="false">IF(BA42="",0,IF(AND(BA43=Milestones!$AB$61,BA42&gt;=SchemeStart),IF(AND(Milestones!$AB$61="FT",Milestones!$AA$61=FT_Y5,BA42&lt;PolicyEff),1,Milestones!$AC$61),0))</f>
        <v>0</v>
      </c>
      <c r="BB44" s="0" t="n">
        <f aca="false">IF(BB42="",0,IF(AND(BB43=Milestones!$AB$62,BB42&gt;=SchemeStart),IF(AND(Milestones!$AB$62="FT",Milestones!$AA$62=FT_Y5,BB42&lt;PolicyEff),1,Milestones!$AC$62),0))</f>
        <v>0</v>
      </c>
      <c r="BC44" s="0" t="n">
        <f aca="false">IF(BC42="",0,IF(AND(BC43=Milestones!$AB$63,BC42&gt;=SchemeStart),IF(AND(Milestones!$AB$63="FT",Milestones!$AA$63=FT_Y5,BC42&lt;PolicyEff),1,Milestones!$AC$63),0))</f>
        <v>0</v>
      </c>
      <c r="BD44" s="0" t="n">
        <f aca="false">IF(BD42="",0,IF(AND(BD43=Milestones!$AB$64,BD42&gt;=SchemeStart),IF(AND(Milestones!$AB$64="FT",Milestones!$AA$64=FT_Y5,BD42&lt;PolicyEff),1,Milestones!$AC$64),0))</f>
        <v>0</v>
      </c>
      <c r="BE44" s="0" t="n">
        <f aca="false">IF(BE42="",0,IF(AND(BE43=Milestones!$AB$65,BE42&gt;=SchemeStart),IF(AND(Milestones!$AB$65="FT",Milestones!$AA$65=FT_Y5,BE42&lt;PolicyEff),1,Milestones!$AC$65),0))</f>
        <v>0</v>
      </c>
      <c r="BF44" s="0" t="n">
        <f aca="false">IF(BF42="",0,IF(AND(BF43=Milestones!$AB$66,BF42&gt;=SchemeStart),IF(AND(Milestones!$AB$66="FT",Milestones!$AA$66=FT_Y5,BF42&lt;PolicyEff),1,Milestones!$AC$66),0))</f>
        <v>0</v>
      </c>
      <c r="BG44" s="0" t="n">
        <f aca="false">IF(BG42="",0,IF(AND(BG43=Milestones!$AB$67,BG42&gt;=SchemeStart),IF(AND(Milestones!$AB$67="FT",Milestones!$AA$67=FT_Y5,BG42&lt;PolicyEff),1,Milestones!$AC$67),0))</f>
        <v>0</v>
      </c>
      <c r="BH44" s="0" t="n">
        <f aca="false">IF(BH42="",0,IF(AND(BH43=Milestones!$AB$68,BH42&gt;=SchemeStart),IF(AND(Milestones!$AB$68="FT",Milestones!$AA$68=FT_Y5,BH42&lt;PolicyEff),1,Milestones!$AC$68),0))</f>
        <v>0</v>
      </c>
      <c r="BI44" s="0" t="n">
        <f aca="false">IF(BI42="",0,IF(AND(BI43=Milestones!$AB$69,BI42&gt;=SchemeStart),IF(AND(Milestones!$AB$69="FT",Milestones!$AA$69=FT_Y5,BI42&lt;PolicyEff),1,Milestones!$AC$69),0))</f>
        <v>0</v>
      </c>
      <c r="BJ44" s="0" t="n">
        <f aca="false">IF(BJ42="",0,IF(AND(BJ43=Milestones!$AB$70,BJ42&gt;=SchemeStart),IF(AND(Milestones!$AB$70="FT",Milestones!$AA$70=FT_Y5,BJ42&lt;PolicyEff),1,Milestones!$AC$70),0))</f>
        <v>0</v>
      </c>
      <c r="BK44" s="0" t="n">
        <f aca="false">IF(BK42="",0,IF(AND(BK43=Milestones!$AB$71,BK42&gt;=SchemeStart),IF(AND(Milestones!$AB$71="FT",Milestones!$AA$71=FT_Y5,BK42&lt;PolicyEff),1,Milestones!$AC$71),0))</f>
        <v>0</v>
      </c>
      <c r="BL44" s="0" t="n">
        <f aca="false">IF(BL42="",0,IF(AND(BL43=Milestones!$AB$72,BL42&gt;=SchemeStart),IF(AND(Milestones!$AB$72="FT",Milestones!$AA$72=FT_Y5,BL42&lt;PolicyEff),1,Milestones!$AC$72),0))</f>
        <v>0</v>
      </c>
      <c r="BM44" s="0" t="n">
        <f aca="false">IF(BM42="",0,IF(AND(BM43=Milestones!$AB$73,BM42&gt;=SchemeStart),IF(AND(Milestones!$AB$73="FT",Milestones!$AA$73=FT_Y5,BM42&lt;PolicyEff),1,Milestones!$AC$73),0))</f>
        <v>0</v>
      </c>
      <c r="BN44" s="0" t="n">
        <f aca="false">IF(BN42="",0,IF(AND(BN43=Milestones!$AB$74,BN42&gt;=SchemeStart),IF(AND(Milestones!$AB$74="FT",Milestones!$AA$74=FT_Y5,BN42&lt;PolicyEff),1,Milestones!$AC$74),0))</f>
        <v>0</v>
      </c>
      <c r="BO44" s="0" t="n">
        <f aca="false">IF(BO42="",0,IF(AND(BO43=Milestones!$AB$75,BO42&gt;=SchemeStart),IF(AND(Milestones!$AB$75="FT",Milestones!$AA$75=FT_Y5,BO42&lt;PolicyEff),1,Milestones!$AC$75),0))</f>
        <v>0</v>
      </c>
      <c r="BP44" s="0" t="n">
        <f aca="false">IF(BP42="",0,IF(AND(BP43=Milestones!$AB$76,BP42&gt;=SchemeStart),IF(AND(Milestones!$AB$76="FT",Milestones!$AA$76=FT_Y5,BP42&lt;PolicyEff),1,Milestones!$AC$76),0))</f>
        <v>0</v>
      </c>
      <c r="BQ44" s="0" t="n">
        <f aca="false">IF(BQ42="",0,IF(AND(BQ43=Milestones!$AB$77,BQ42&gt;=SchemeStart),IF(AND(Milestones!$AB$77="FT",Milestones!$AA$77=FT_Y5,BQ42&lt;PolicyEff),1,Milestones!$AC$77),0))</f>
        <v>0</v>
      </c>
      <c r="BR44" s="0" t="n">
        <f aca="false">IF(BR42="",0,IF(AND(BR43=Milestones!$AB$78,BR42&gt;=SchemeStart),IF(AND(Milestones!$AB$78="FT",Milestones!$AA$78=FT_Y5,BR42&lt;PolicyEff),1,Milestones!$AC$78),0))</f>
        <v>0</v>
      </c>
      <c r="BS44" s="0" t="n">
        <f aca="false">IF(BS42="",0,IF(AND(BS43=Milestones!$AB$79,BS42&gt;=SchemeStart),IF(AND(Milestones!$AB$79="FT",Milestones!$AA$79=FT_Y5,BS42&lt;PolicyEff),1,Milestones!$AC$79),0))</f>
        <v>0</v>
      </c>
      <c r="BT44" s="0" t="n">
        <f aca="false">IF(BT42="",0,IF(AND(BT43=Milestones!$AB$80,BT42&gt;=SchemeStart),IF(AND(Milestones!$AB$80="FT",Milestones!$AA$80=FT_Y5,BT42&lt;PolicyEff),1,Milestones!$AC$80),0))</f>
        <v>0</v>
      </c>
      <c r="BU44" s="0" t="n">
        <f aca="false">IF(BU42="",0,IF(AND(BU43=Milestones!$AB$81,BU42&gt;=SchemeStart),IF(AND(Milestones!$AB$81="FT",Milestones!$AA$81=FT_Y5,BU42&lt;PolicyEff),1,Milestones!$AC$81),0))</f>
        <v>0</v>
      </c>
      <c r="BV44" s="0" t="n">
        <f aca="false">IF(BV42="",0,IF(AND(BV43=Milestones!$AB$82,BV42&gt;=SchemeStart),IF(AND(Milestones!$AB$82="FT",Milestones!$AA$82=FT_Y5,BV42&lt;PolicyEff),1,Milestones!$AC$82),0))</f>
        <v>0</v>
      </c>
      <c r="BW44" s="0" t="n">
        <f aca="false">IF(BW42="",0,IF(AND(BW43=Milestones!$AB$83,BW42&gt;=SchemeStart),IF(AND(Milestones!$AB$83="FT",Milestones!$AA$83=FT_Y5,BW42&lt;PolicyEff),1,Milestones!$AC$83),0))</f>
        <v>0</v>
      </c>
      <c r="BX44" s="0" t="n">
        <f aca="false">IF(BX42="",0,IF(AND(BX43=Milestones!$AB$84,BX42&gt;=SchemeStart),IF(AND(Milestones!$AB$84="FT",Milestones!$AA$84=FT_Y5,BX42&lt;PolicyEff),1,Milestones!$AC$84),0))</f>
        <v>0</v>
      </c>
      <c r="BY44" s="0" t="n">
        <f aca="false">IF(BY42="",0,IF(AND(BY43=Milestones!$AB$85,BY42&gt;=SchemeStart),IF(AND(Milestones!$AB$85="FT",Milestones!$AA$85=FT_Y5,BY42&lt;PolicyEff),1,Milestones!$AC$85),0))</f>
        <v>0</v>
      </c>
      <c r="BZ44" s="0" t="n">
        <f aca="false">IF(BZ42="",0,IF(AND(BZ43=Milestones!$AB$86,BZ42&gt;=SchemeStart),IF(AND(Milestones!$AB$86="FT",Milestones!$AA$86=FT_Y5,BZ42&lt;PolicyEff),1,Milestones!$AC$86),0))</f>
        <v>0</v>
      </c>
      <c r="CA44" s="0" t="n">
        <f aca="false">IF(CA42="",0,IF(AND(CA43=Milestones!$AB$87,CA42&gt;=SchemeStart),IF(AND(Milestones!$AB$87="FT",Milestones!$AA$87=FT_Y5,CA42&lt;PolicyEff),1,Milestones!$AC$87),0))</f>
        <v>0</v>
      </c>
      <c r="CB44" s="0" t="n">
        <f aca="false">IF(CB42="",0,IF(AND(CB43=Milestones!$AB$88,CB42&gt;=SchemeStart),IF(AND(Milestones!$AB$88="FT",Milestones!$AA$88=FT_Y5,CB42&lt;PolicyEff),1,Milestones!$AC$88),0))</f>
        <v>0</v>
      </c>
      <c r="CC44" s="0" t="n">
        <f aca="false">IF(CC42="",0,IF(AND(CC43=Milestones!$AB$89,CC42&gt;=SchemeStart),IF(AND(Milestones!$AB$89="FT",Milestones!$AA$89=FT_Y5,CC42&lt;PolicyEff),1,Milestones!$AC$89),0))</f>
        <v>0</v>
      </c>
      <c r="CD44" s="0" t="n">
        <f aca="false">IF(CD42="",0,IF(AND(CD43=Milestones!$AB$90,CD42&gt;=SchemeStart),IF(AND(Milestones!$AB$90="FT",Milestones!$AA$90=FT_Y5,CD42&lt;PolicyEff),1,Milestones!$AC$90),0))</f>
        <v>0</v>
      </c>
      <c r="CE44" s="0" t="n">
        <f aca="false">IF(CE42="",0,IF(AND(CE43=Milestones!$AB$91,CE42&gt;=SchemeStart),IF(AND(Milestones!$AB$91="FT",Milestones!$AA$91=FT_Y5,CE42&lt;PolicyEff),1,Milestones!$AC$91),0))</f>
        <v>0</v>
      </c>
      <c r="CF44" s="0" t="n">
        <f aca="false">IF(CF42="",0,IF(AND(CF43=Milestones!$AB$92,CF42&gt;=SchemeStart),IF(AND(Milestones!$AB$92="FT",Milestones!$AA$92=FT_Y5,CF42&lt;PolicyEff),1,Milestones!$AC$92),0))</f>
        <v>0</v>
      </c>
      <c r="CG44" s="0" t="n">
        <f aca="false">IF(CG42="",0,IF(AND(CG43=Milestones!$AB$93,CG42&gt;=SchemeStart),IF(AND(Milestones!$AB$93="FT",Milestones!$AA$93=FT_Y5,CG42&lt;PolicyEff),1,Milestones!$AC$93),0))</f>
        <v>0</v>
      </c>
      <c r="CH44" s="0" t="n">
        <f aca="false">IF(CH42="",0,IF(AND(CH43=Milestones!$AB$94,CH42&gt;=SchemeStart),IF(AND(Milestones!$AB$94="FT",Milestones!$AA$94=FT_Y5,CH42&lt;PolicyEff),1,Milestones!$AC$94),0))</f>
        <v>0</v>
      </c>
      <c r="CI44" s="0" t="n">
        <f aca="false">IF(CI42="",0,IF(AND(CI43=Milestones!$AB$95,CI42&gt;=SchemeStart),IF(AND(Milestones!$AB$95="FT",Milestones!$AA$95=FT_Y5,CI42&lt;PolicyEff),1,Milestones!$AC$95),0))</f>
        <v>0</v>
      </c>
      <c r="CJ44" s="0" t="n">
        <f aca="false">IF(CJ42="",0,IF(AND(CJ43=Milestones!$AB$96,CJ42&gt;=SchemeStart),IF(AND(Milestones!$AB$96="FT",Milestones!$AA$96=FT_Y5,CJ42&lt;PolicyEff),1,Milestones!$AC$96),0))</f>
        <v>0</v>
      </c>
      <c r="CK44" s="0" t="n">
        <f aca="false">IF(CK42="",0,IF(AND(CK43=Milestones!$AB$97,CK42&gt;=SchemeStart),IF(AND(Milestones!$AB$97="FT",Milestones!$AA$97=FT_Y5,CK42&lt;PolicyEff),1,Milestones!$AC$97),0))</f>
        <v>0</v>
      </c>
      <c r="CL44" s="0" t="n">
        <f aca="false">IF(CL42="",0,IF(AND(CL43=Milestones!$AB$98,CL42&gt;=SchemeStart),IF(AND(Milestones!$AB$98="FT",Milestones!$AA$98=FT_Y5,CL42&lt;PolicyEff),1,Milestones!$AC$98),0))</f>
        <v>0</v>
      </c>
      <c r="CM44" s="0" t="n">
        <f aca="false">IF(CM42="",0,IF(AND(CM43=Milestones!$AB$99,CM42&gt;=SchemeStart),IF(AND(Milestones!$AB$99="FT",Milestones!$AA$99=FT_Y5,CM42&lt;PolicyEff),1,Milestones!$AC$99),0))</f>
        <v>0</v>
      </c>
      <c r="CN44" s="0" t="n">
        <f aca="false">IF(CN42="",0,IF(AND(CN43=Milestones!$AB$100,CN42&gt;=SchemeStart),IF(AND(Milestones!$AB$100="FT",Milestones!$AA$100=FT_Y5,CN42&lt;PolicyEff),1,Milestones!$AC$100),0))</f>
        <v>0</v>
      </c>
      <c r="CO44" s="0" t="n">
        <f aca="false">IF(CO42="",0,IF(AND(CO43=Milestones!$AB$101,CO42&gt;=SchemeStart),IF(AND(Milestones!$AB$101="FT",Milestones!$AA$101=FT_Y5,CO42&lt;PolicyEff),1,Milestones!$AC$101),0))</f>
        <v>0</v>
      </c>
      <c r="CP44" s="0" t="n">
        <f aca="false">IF(CP42="",0,IF(AND(CP43=Milestones!$AB$102,CP42&gt;=SchemeStart),IF(AND(Milestones!$AB$102="FT",Milestones!$AA$102=FT_Y5,CP42&lt;PolicyEff),1,Milestones!$AC$102),0))</f>
        <v>0</v>
      </c>
      <c r="CQ44" s="0" t="n">
        <f aca="false">IF(CQ42="",0,IF(AND(CQ43=Milestones!$AB$103,CQ42&gt;=SchemeStart),IF(AND(Milestones!$AB$103="FT",Milestones!$AA$103=FT_Y5,CQ42&lt;PolicyEff),1,Milestones!$AC$103),0))</f>
        <v>0</v>
      </c>
      <c r="CR44" s="0" t="n">
        <f aca="false">IF(CR42="",0,IF(AND(CR43=Milestones!$AB$104,CR42&gt;=SchemeStart),IF(AND(Milestones!$AB$104="FT",Milestones!$AA$104=FT_Y5,CR42&lt;PolicyEff),1,Milestones!$AC$104),0))</f>
        <v>0</v>
      </c>
      <c r="CS44" s="0" t="n">
        <f aca="false">IF(CS42="",0,IF(AND(CS43=Milestones!$AB$105,CS42&gt;=SchemeStart),IF(AND(Milestones!$AB$105="FT",Milestones!$AA$105=FT_Y5,CS42&lt;PolicyEff),1,Milestones!$AC$105),0))</f>
        <v>0</v>
      </c>
      <c r="CT44" s="0" t="n">
        <f aca="false">IF(CT42="",0,IF(AND(CT43=Milestones!$AB$106,CT42&gt;=SchemeStart),IF(AND(Milestones!$AB$106="FT",Milestones!$AA$106=FT_Y5,CT42&lt;PolicyEff),1,Milestones!$AC$106),0))</f>
        <v>0</v>
      </c>
      <c r="CU44" s="0" t="n">
        <f aca="false">IF(CU42="",0,IF(AND(CU43=Milestones!$AB$107,CU42&gt;=SchemeStart),IF(AND(Milestones!$AB$107="FT",Milestones!$AA$107=FT_Y5,CU42&lt;PolicyEff),1,Milestones!$AC$107),0))</f>
        <v>0</v>
      </c>
      <c r="CV44" s="0" t="n">
        <f aca="false">IF(CV42="",0,IF(AND(CV43=Milestones!$AB$108,CV42&gt;=SchemeStart),IF(AND(Milestones!$AB$108="FT",Milestones!$AA$108=FT_Y5,CV42&lt;PolicyEff),1,Milestones!$AC$108),0))</f>
        <v>0</v>
      </c>
      <c r="CW44" s="0" t="n">
        <f aca="false">IF(CW42="",0,IF(AND(CW43=Milestones!$AB$109,CW42&gt;=SchemeStart),IF(AND(Milestones!$AB$109="FT",Milestones!$AA$109=FT_Y5,CW42&lt;PolicyEff),1,Milestones!$AC$109),0))</f>
        <v>0</v>
      </c>
      <c r="CX44" s="0" t="n">
        <f aca="false">IF(CX42="",0,IF(AND(CX43=Milestones!$AB$110,CX42&gt;=SchemeStart),IF(AND(Milestones!$AB$110="FT",Milestones!$AA$110=FT_Y5,CX42&lt;PolicyEff),1,Milestones!$AC$110),0))</f>
        <v>0</v>
      </c>
      <c r="CY44" s="0" t="n">
        <f aca="false">IF(CY42="",0,IF(AND(CY43=Milestones!$AB$111,CY42&gt;=SchemeStart),IF(AND(Milestones!$AB$111="FT",Milestones!$AA$111=FT_Y5,CY42&lt;PolicyEff),1,Milestones!$AC$111),0))</f>
        <v>0</v>
      </c>
      <c r="CZ44" s="0" t="n">
        <f aca="false">IF(CZ42="",0,IF(AND(CZ43=Milestones!$AB$112,CZ42&gt;=SchemeStart),IF(AND(Milestones!$AB$112="FT",Milestones!$AA$112=FT_Y5,CZ42&lt;PolicyEff),1,Milestones!$AC$112),0))</f>
        <v>0</v>
      </c>
      <c r="DA44" s="0" t="n">
        <f aca="false">IF(DA42="",0,IF(AND(DA43=Milestones!$AB$113,DA42&gt;=SchemeStart),IF(AND(Milestones!$AB$113="FT",Milestones!$AA$113=FT_Y5,DA42&lt;PolicyEff),1,Milestones!$AC$113),0))</f>
        <v>0</v>
      </c>
      <c r="DB44" s="0" t="n">
        <f aca="false">IF(DB42="",0,IF(AND(DB43=Milestones!$AB$114,DB42&gt;=SchemeStart),IF(AND(Milestones!$AB$114="FT",Milestones!$AA$114=FT_Y5,DB42&lt;PolicyEff),1,Milestones!$AC$114),0))</f>
        <v>0</v>
      </c>
      <c r="DC44" s="0" t="n">
        <f aca="false">IF(DC42="",0,IF(AND(DC43=Milestones!$AB$115,DC42&gt;=SchemeStart),IF(AND(Milestones!$AB$115="FT",Milestones!$AA$115=FT_Y5,DC42&lt;PolicyEff),1,Milestones!$AC$115),0))</f>
        <v>0</v>
      </c>
      <c r="DD44" s="0" t="n">
        <f aca="false">IF(DD42="",0,IF(AND(DD43=Milestones!$AB$116,DD42&gt;=SchemeStart),IF(AND(Milestones!$AB$116="FT",Milestones!$AA$116=FT_Y5,DD42&lt;PolicyEff),1,Milestones!$AC$116),0))</f>
        <v>0</v>
      </c>
      <c r="DE44" s="0" t="n">
        <f aca="false">IF(DE42="",0,IF(AND(DE43=Milestones!$AB$117,DE42&gt;=SchemeStart),IF(AND(Milestones!$AB$117="FT",Milestones!$AA$117=FT_Y5,DE42&lt;PolicyEff),1,Milestones!$AC$117),0))</f>
        <v>0</v>
      </c>
      <c r="DF44" s="0" t="n">
        <f aca="false">IF(DF42="",0,IF(AND(DF43=Milestones!$AB$118,DF42&gt;=SchemeStart),IF(AND(Milestones!$AB$118="FT",Milestones!$AA$118=FT_Y5,DF42&lt;PolicyEff),1,Milestones!$AC$118),0))</f>
        <v>0</v>
      </c>
      <c r="DG44" s="0" t="n">
        <f aca="false">IF(DG42="",0,IF(AND(DG43=Milestones!$AB$119,DG42&gt;=SchemeStart),IF(AND(Milestones!$AB$119="FT",Milestones!$AA$119=FT_Y5,DG42&lt;PolicyEff),1,Milestones!$AC$119),0))</f>
        <v>0</v>
      </c>
      <c r="DH44" s="0" t="n">
        <f aca="false">IF(DH42="",0,IF(AND(DH43=Milestones!$AB$120,DH42&gt;=SchemeStart),IF(AND(Milestones!$AB$120="FT",Milestones!$AA$120=FT_Y5,DH42&lt;PolicyEff),1,Milestones!$AC$120),0))</f>
        <v>0</v>
      </c>
      <c r="DI44" s="0" t="n">
        <f aca="false">IF(DI42="",0,IF(AND(DI43=Milestones!$AB$121,DI42&gt;=SchemeStart),IF(AND(Milestones!$AB$121="FT",Milestones!$AA$121=FT_Y5,DI42&lt;PolicyEff),1,Milestones!$AC$121),0))</f>
        <v>0</v>
      </c>
      <c r="DJ44" s="0" t="n">
        <f aca="false">IF(DJ42="",0,IF(AND(DJ43=Milestones!$AB$122,DJ42&gt;=SchemeStart),IF(AND(Milestones!$AB$122="FT",Milestones!$AA$122=FT_Y5,DJ42&lt;PolicyEff),1,Milestones!$AC$122),0))</f>
        <v>0</v>
      </c>
      <c r="DK44" s="0" t="n">
        <f aca="false">IF(DK42="",0,IF(AND(DK43=Milestones!$AB$123,DK42&gt;=SchemeStart),IF(AND(Milestones!$AB$123="FT",Milestones!$AA$123=FT_Y5,DK42&lt;PolicyEff),1,Milestones!$AC$123),0))</f>
        <v>0</v>
      </c>
      <c r="DL44" s="0" t="n">
        <f aca="false">IF(DL42="",0,IF(AND(DL43=Milestones!$AB$124,DL42&gt;=SchemeStart),IF(AND(Milestones!$AB$124="FT",Milestones!$AA$124=FT_Y5,DL42&lt;PolicyEff),1,Milestones!$AC$124),0))</f>
        <v>0</v>
      </c>
      <c r="DM44" s="0" t="n">
        <f aca="false">IF(DM42="",0,IF(AND(DM43=Milestones!$AB$125,DM42&gt;=SchemeStart),IF(AND(Milestones!$AB$125="FT",Milestones!$AA$125=FT_Y5,DM42&lt;PolicyEff),1,Milestones!$AC$125),0))</f>
        <v>0</v>
      </c>
      <c r="DN44" s="0" t="n">
        <f aca="false">IF(DN42="",0,IF(AND(DN43=Milestones!$AB$126,DN42&gt;=SchemeStart),IF(AND(Milestones!$AB$126="FT",Milestones!$AA$126=FT_Y5,DN42&lt;PolicyEff),1,Milestones!$AC$126),0))</f>
        <v>0</v>
      </c>
      <c r="DO44" s="0" t="n">
        <f aca="false">IF(DO42="",0,IF(AND(DO43=Milestones!$AB$127,DO42&gt;=SchemeStart),IF(AND(Milestones!$AB$127="FT",Milestones!$AA$127=FT_Y5,DO42&lt;PolicyEff),1,Milestones!$AC$127),0))</f>
        <v>0</v>
      </c>
      <c r="DP44" s="0" t="n">
        <f aca="false">IF(DP42="",0,IF(AND(DP43=Milestones!$AB$128,DP42&gt;=SchemeStart),IF(AND(Milestones!$AB$128="FT",Milestones!$AA$128=FT_Y5,DP42&lt;PolicyEff),1,Milestones!$AC$128),0))</f>
        <v>0</v>
      </c>
      <c r="DQ44" s="0" t="n">
        <f aca="false">IF(DQ42="",0,IF(AND(DQ43=Milestones!$AB$129,DQ42&gt;=SchemeStart),IF(AND(Milestones!$AB$129="FT",Milestones!$AA$129=FT_Y5,DQ42&lt;PolicyEff),1,Milestones!$AC$129),0))</f>
        <v>0</v>
      </c>
      <c r="DR44" s="0" t="n">
        <f aca="false">IF(DR42="",0,IF(AND(DR43=Milestones!$AB$130,DR42&gt;=SchemeStart),IF(AND(Milestones!$AB$130="FT",Milestones!$AA$130=FT_Y5,DR42&lt;PolicyEff),1,Milestones!$AC$130),0))</f>
        <v>0</v>
      </c>
      <c r="DS44" s="0" t="n">
        <f aca="false">IF(DS42="",0,IF(AND(DS43=Milestones!$AB$131,DS42&gt;=SchemeStart),IF(AND(Milestones!$AB$131="FT",Milestones!$AA$131=FT_Y5,DS42&lt;PolicyEff),1,Milestones!$AC$131),0))</f>
        <v>0</v>
      </c>
      <c r="DT44" s="0" t="n">
        <f aca="false">IF(DT42="",0,IF(AND(DT43=Milestones!$AB$132,DT42&gt;=SchemeStart),IF(AND(Milestones!$AB$132="FT",Milestones!$AA$132=FT_Y5,DT42&lt;PolicyEff),1,Milestones!$AC$132),0))</f>
        <v>0</v>
      </c>
      <c r="DU44" s="0" t="n">
        <f aca="false">IF(DU42="",0,IF(AND(DU43=Milestones!$AB$133,DU42&gt;=SchemeStart),IF(AND(Milestones!$AB$133="FT",Milestones!$AA$133=FT_Y5,DU42&lt;PolicyEff),1,Milestones!$AC$133),0))</f>
        <v>0</v>
      </c>
      <c r="DV44" s="0" t="n">
        <f aca="false">IF(DV42="",0,IF(AND(DV43=Milestones!$AB$134,DV42&gt;=SchemeStart),IF(AND(Milestones!$AB$134="FT",Milestones!$AA$134=FT_Y5,DV42&lt;PolicyEff),1,Milestones!$AC$134),0))</f>
        <v>0</v>
      </c>
      <c r="DW44" s="0" t="n">
        <f aca="false">IF(DW42="",0,IF(AND(DW43=Milestones!$AB$135,DW42&gt;=SchemeStart),IF(AND(Milestones!$AB$135="FT",Milestones!$AA$135=FT_Y5,DW42&lt;PolicyEff),1,Milestones!$AC$135),0))</f>
        <v>0</v>
      </c>
      <c r="DX44" s="0" t="n">
        <f aca="false">IF(DX42="",0,IF(AND(DX43=Milestones!$AB$136,DX42&gt;=SchemeStart),IF(AND(Milestones!$AB$136="FT",Milestones!$AA$136=FT_Y5,DX42&lt;PolicyEff),1,Milestones!$AC$136),0))</f>
        <v>0</v>
      </c>
      <c r="DY44" s="0" t="n">
        <f aca="false">IF(DY42="",0,IF(AND(DY43=Milestones!$AB$137,DY42&gt;=SchemeStart),IF(AND(Milestones!$AB$137="FT",Milestones!$AA$137=FT_Y5,DY42&lt;PolicyEff),1,Milestones!$AC$137),0))</f>
        <v>0</v>
      </c>
      <c r="DZ44" s="0" t="n">
        <f aca="false">IF(DZ42="",0,IF(AND(DZ43=Milestones!$AB$138,DZ42&gt;=SchemeStart),IF(AND(Milestones!$AB$138="FT",Milestones!$AA$138=FT_Y5,DZ42&lt;PolicyEff),1,Milestones!$AC$138),0))</f>
        <v>0</v>
      </c>
      <c r="EA44" s="0" t="n">
        <f aca="false">IF(EA42="",0,IF(AND(EA43=Milestones!$AB$139,EA42&gt;=SchemeStart),IF(AND(Milestones!$AB$139="FT",Milestones!$AA$139=FT_Y5,EA42&lt;PolicyEff),1,Milestones!$AC$139),0))</f>
        <v>0</v>
      </c>
      <c r="EB44" s="0" t="n">
        <f aca="false">IF(EB42="",0,IF(AND(EB43=Milestones!$AB$140,EB42&gt;=SchemeStart),IF(AND(Milestones!$AB$140="FT",Milestones!$AA$140=FT_Y5,EB42&lt;PolicyEff),1,Milestones!$AC$140),0))</f>
        <v>0</v>
      </c>
      <c r="EC44" s="0" t="n">
        <f aca="false">IF(EC42="",0,IF(AND(EC43=Milestones!$AB$141,EC42&gt;=SchemeStart),IF(AND(Milestones!$AB$141="FT",Milestones!$AA$141=FT_Y5,EC42&lt;PolicyEff),1,Milestones!$AC$141),0))</f>
        <v>0</v>
      </c>
      <c r="ED44" s="0" t="n">
        <f aca="false">IF(ED42="",0,IF(AND(ED43=Milestones!$AB$142,ED42&gt;=SchemeStart),IF(AND(Milestones!$AB$142="FT",Milestones!$AA$142=FT_Y5,ED42&lt;PolicyEff),1,Milestones!$AC$142),0))</f>
        <v>0</v>
      </c>
      <c r="EE44" s="0" t="n">
        <f aca="false">IF(EE42="",0,IF(AND(EE43=Milestones!$AB$143,EE42&gt;=SchemeStart),IF(AND(Milestones!$AB$143="FT",Milestones!$AA$143=FT_Y5,EE42&lt;PolicyEff),1,Milestones!$AC$143),0))</f>
        <v>0</v>
      </c>
      <c r="EF44" s="0" t="n">
        <f aca="false">IF(EF42="",0,IF(AND(EF43=Milestones!$AB$144,EF42&gt;=SchemeStart),IF(AND(Milestones!$AB$144="FT",Milestones!$AA$144=FT_Y5,EF42&lt;PolicyEff),1,Milestones!$AC$144),0))</f>
        <v>0</v>
      </c>
      <c r="EG44" s="0" t="n">
        <f aca="false">IF(EG42="",0,IF(AND(EG43=Milestones!$AB$145,EG42&gt;=SchemeStart),IF(AND(Milestones!$AB$145="FT",Milestones!$AA$145=FT_Y5,EG42&lt;PolicyEff),1,Milestones!$AC$145),0))</f>
        <v>0</v>
      </c>
      <c r="EH44" s="0" t="n">
        <f aca="false">IF(EH42="",0,IF(AND(EH43=Milestones!$AB$146,EH42&gt;=SchemeStart),IF(AND(Milestones!$AB$146="FT",Milestones!$AA$146=FT_Y5,EH42&lt;PolicyEff),1,Milestones!$AC$146),0))</f>
        <v>0</v>
      </c>
      <c r="EI44" s="0" t="n">
        <f aca="false">IF(EI42="",0,IF(AND(EI43=Milestones!$AB$147,EI42&gt;=SchemeStart),IF(AND(Milestones!$AB$147="FT",Milestones!$AA$147=FT_Y5,EI42&lt;PolicyEff),1,Milestones!$AC$147),0))</f>
        <v>0</v>
      </c>
      <c r="EJ44" s="0" t="n">
        <f aca="false">IF(EJ42="",0,IF(AND(EJ43=Milestones!$AB$148,EJ42&gt;=SchemeStart),IF(AND(Milestones!$AB$148="FT",Milestones!$AA$148=FT_Y5,EJ42&lt;PolicyEff),1,Milestones!$AC$148),0))</f>
        <v>0</v>
      </c>
      <c r="EK44" s="0" t="n">
        <f aca="false">IF(EK42="",0,IF(AND(EK43=Milestones!$AB$149,EK42&gt;=SchemeStart),IF(AND(Milestones!$AB$149="FT",Milestones!$AA$149=FT_Y5,EK42&lt;PolicyEff),1,Milestones!$AC$149),0))</f>
        <v>0</v>
      </c>
      <c r="EL44" s="0" t="n">
        <f aca="false">IF(EL42="",0,IF(AND(EL43=Milestones!$AB$150,EL42&gt;=SchemeStart),IF(AND(Milestones!$AB$150="FT",Milestones!$AA$150=FT_Y5,EL42&lt;PolicyEff),1,Milestones!$AC$150),0))</f>
        <v>0</v>
      </c>
      <c r="EM44" s="0" t="n">
        <f aca="false">IF(EM42="",0,IF(AND(EM43=Milestones!$AB$151,EM42&gt;=SchemeStart),IF(AND(Milestones!$AB$151="FT",Milestones!$AA$151=FT_Y5,EM42&lt;PolicyEff),1,Milestones!$AC$151),0))</f>
        <v>0</v>
      </c>
      <c r="EN44" s="0" t="n">
        <f aca="false">IF(EN42="",0,IF(AND(EN43=Milestones!$AB$152,EN42&gt;=SchemeStart),IF(AND(Milestones!$AB$152="FT",Milestones!$AA$152=FT_Y5,EN42&lt;PolicyEff),1,Milestones!$AC$152),0))</f>
        <v>0</v>
      </c>
      <c r="EO44" s="0" t="n">
        <f aca="false">IF(EO42="",0,IF(AND(EO43=Milestones!$AB$153,EO42&gt;=SchemeStart),IF(AND(Milestones!$AB$153="FT",Milestones!$AA$153=FT_Y5,EO42&lt;PolicyEff),1,Milestones!$AC$153),0))</f>
        <v>0</v>
      </c>
      <c r="EP44" s="0" t="n">
        <f aca="false">IF(EP42="",0,IF(AND(EP43=Milestones!$AB$154,EP42&gt;=SchemeStart),IF(AND(Milestones!$AB$154="FT",Milestones!$AA$154=FT_Y5,EP42&lt;PolicyEff),1,Milestones!$AC$154),0))</f>
        <v>0</v>
      </c>
      <c r="EQ44" s="0" t="n">
        <f aca="false">IF(EQ42="",0,IF(AND(EQ43=Milestones!$AB$155,EQ42&gt;=SchemeStart),IF(AND(Milestones!$AB$155="FT",Milestones!$AA$155=FT_Y5,EQ42&lt;PolicyEff),1,Milestones!$AC$155),0))</f>
        <v>0</v>
      </c>
      <c r="ER44" s="0" t="n">
        <f aca="false">IF(ER42="",0,IF(AND(ER43=Milestones!$AB$156,ER42&gt;=SchemeStart),IF(AND(Milestones!$AB$156="FT",Milestones!$AA$156=FT_Y5,ER42&lt;PolicyEff),1,Milestones!$AC$156),0))</f>
        <v>0</v>
      </c>
      <c r="ES44" s="0" t="n">
        <f aca="false">IF(ES42="",0,IF(AND(ES43=Milestones!$AB$157,ES42&gt;=SchemeStart),IF(AND(Milestones!$AB$157="FT",Milestones!$AA$157=FT_Y5,ES42&lt;PolicyEff),1,Milestones!$AC$157),0))</f>
        <v>0</v>
      </c>
      <c r="ET44" s="0" t="n">
        <f aca="false">IF(ET42="",0,IF(AND(ET43=Milestones!$AB$158,ET42&gt;=SchemeStart),IF(AND(Milestones!$AB$158="FT",Milestones!$AA$158=FT_Y5,ET42&lt;PolicyEff),1,Milestones!$AC$158),0))</f>
        <v>0</v>
      </c>
      <c r="EU44" s="0" t="n">
        <f aca="false">IF(EU42="",0,IF(AND(EU43=Milestones!$AB$159,EU42&gt;=SchemeStart),IF(AND(Milestones!$AB$159="FT",Milestones!$AA$159=FT_Y5,EU42&lt;PolicyEff),1,Milestones!$AC$159),0))</f>
        <v>0</v>
      </c>
      <c r="EV44" s="0" t="n">
        <f aca="false">IF(EV42="",0,IF(AND(EV43=Milestones!$AB$160,EV42&gt;=SchemeStart),IF(AND(Milestones!$AB$160="FT",Milestones!$AA$160=FT_Y5,EV42&lt;PolicyEff),1,Milestones!$AC$160),0))</f>
        <v>0</v>
      </c>
      <c r="EW44" s="0" t="n">
        <f aca="false">IF(EW42="",0,IF(AND(EW43=Milestones!$AB$161,EW42&gt;=SchemeStart),IF(AND(Milestones!$AB$161="FT",Milestones!$AA$161=FT_Y5,EW42&lt;PolicyEff),1,Milestones!$AC$161),0))</f>
        <v>0</v>
      </c>
      <c r="EX44" s="0" t="n">
        <f aca="false">IF(EX42="",0,IF(AND(EX43=Milestones!$AB$162,EX42&gt;=SchemeStart),IF(AND(Milestones!$AB$162="FT",Milestones!$AA$162=FT_Y5,EX42&lt;PolicyEff),1,Milestones!$AC$162),0))</f>
        <v>0</v>
      </c>
      <c r="EY44" s="0" t="n">
        <f aca="false">IF(EY42="",0,IF(AND(EY43=Milestones!$AB$163,EY42&gt;=SchemeStart),IF(AND(Milestones!$AB$163="FT",Milestones!$AA$163=FT_Y5,EY42&lt;PolicyEff),1,Milestones!$AC$163),0))</f>
        <v>0</v>
      </c>
      <c r="EZ44" s="0" t="n">
        <f aca="false">IF(EZ42="",0,IF(AND(EZ43=Milestones!$AB$164,EZ42&gt;=SchemeStart),IF(AND(Milestones!$AB$164="FT",Milestones!$AA$164=FT_Y5,EZ42&lt;PolicyEff),1,Milestones!$AC$164),0))</f>
        <v>0</v>
      </c>
      <c r="FA44" s="0" t="n">
        <f aca="false">IF(FA42="",0,IF(AND(FA43=Milestones!$AB$165,FA42&gt;=SchemeStart),IF(AND(Milestones!$AB$165="FT",Milestones!$AA$165=FT_Y5,FA42&lt;PolicyEff),1,Milestones!$AC$165),0))</f>
        <v>0</v>
      </c>
      <c r="FB44" s="0" t="n">
        <f aca="false">IF(FB42="",0,IF(AND(FB43=Milestones!$AB$166,FB42&gt;=SchemeStart),IF(AND(Milestones!$AB$166="FT",Milestones!$AA$166=FT_Y5,FB42&lt;PolicyEff),1,Milestones!$AC$166),0))</f>
        <v>0</v>
      </c>
      <c r="FC44" s="0" t="n">
        <f aca="false">IF(FC42="",0,IF(AND(FC43=Milestones!$AB$167,FC42&gt;=SchemeStart),IF(AND(Milestones!$AB$167="FT",Milestones!$AA$167=FT_Y5,FC42&lt;PolicyEff),1,Milestones!$AC$167),0))</f>
        <v>0</v>
      </c>
      <c r="FD44" s="0" t="n">
        <f aca="false">IF(FD42="",0,IF(AND(FD43=Milestones!$AB$168,FD42&gt;=SchemeStart),IF(AND(Milestones!$AB$168="FT",Milestones!$AA$168=FT_Y5,FD42&lt;PolicyEff),1,Milestones!$AC$168),0))</f>
        <v>0</v>
      </c>
      <c r="FE44" s="0" t="n">
        <f aca="false">IF(FE42="",0,IF(AND(FE43=Milestones!$AB$169,FE42&gt;=SchemeStart),IF(AND(Milestones!$AB$169="FT",Milestones!$AA$169=FT_Y5,FE42&lt;PolicyEff),1,Milestones!$AC$169),0))</f>
        <v>0</v>
      </c>
      <c r="FF44" s="0" t="n">
        <f aca="false">IF(FF42="",0,IF(AND(FF43=Milestones!$AB$170,FF42&gt;=SchemeStart),IF(AND(Milestones!$AB$170="FT",Milestones!$AA$170=FT_Y5,FF42&lt;PolicyEff),1,Milestones!$AC$170),0))</f>
        <v>0</v>
      </c>
      <c r="FG44" s="0" t="n">
        <f aca="false">IF(FG42="",0,IF(AND(FG43=Milestones!$AB$171,FG42&gt;=SchemeStart),IF(AND(Milestones!$AB$171="FT",Milestones!$AA$171=FT_Y5,FG42&lt;PolicyEff),1,Milestones!$AC$171),0))</f>
        <v>0</v>
      </c>
      <c r="FH44" s="0" t="n">
        <f aca="false">IF(FH42="",0,IF(AND(FH43=Milestones!$AB$172,FH42&gt;=SchemeStart),IF(AND(Milestones!$AB$172="FT",Milestones!$AA$172=FT_Y5,FH42&lt;PolicyEff),1,Milestones!$AC$172),0))</f>
        <v>0</v>
      </c>
      <c r="FI44" s="0" t="n">
        <f aca="false">IF(FI42="",0,IF(AND(FI43=Milestones!$AB$173,FI42&gt;=SchemeStart),IF(AND(Milestones!$AB$173="FT",Milestones!$AA$173=FT_Y5,FI42&lt;PolicyEff),1,Milestones!$AC$173),0))</f>
        <v>0</v>
      </c>
      <c r="FJ44" s="0" t="n">
        <f aca="false">IF(FJ42="",0,IF(AND(FJ43=Milestones!$AB$174,FJ42&gt;=SchemeStart),IF(AND(Milestones!$AB$174="FT",Milestones!$AA$174=FT_Y5,FJ42&lt;PolicyEff),1,Milestones!$AC$174),0))</f>
        <v>0</v>
      </c>
      <c r="FK44" s="0" t="n">
        <f aca="false">IF(FK42="",0,IF(AND(FK43=Milestones!$AB$175,FK42&gt;=SchemeStart),IF(AND(Milestones!$AB$175="FT",Milestones!$AA$175=FT_Y5,FK42&lt;PolicyEff),1,Milestones!$AC$175),0))</f>
        <v>0</v>
      </c>
      <c r="FL44" s="0" t="n">
        <f aca="false">IF(FL42="",0,IF(AND(FL43=Milestones!$AB$176,FL42&gt;=SchemeStart),IF(AND(Milestones!$AB$176="FT",Milestones!$AA$176=FT_Y5,FL42&lt;PolicyEff),1,Milestones!$AC$176),0))</f>
        <v>0</v>
      </c>
      <c r="FM44" s="0" t="n">
        <f aca="false">IF(FM42="",0,IF(AND(FM43=Milestones!$AB$177,FM42&gt;=SchemeStart),IF(AND(Milestones!$AB$177="FT",Milestones!$AA$177=FT_Y5,FM42&lt;PolicyEff),1,Milestones!$AC$177),0))</f>
        <v>0</v>
      </c>
      <c r="FN44" s="0" t="n">
        <f aca="false">IF(FN42="",0,IF(AND(FN43=Milestones!$AB$178,FN42&gt;=SchemeStart),IF(AND(Milestones!$AB$178="FT",Milestones!$AA$178=FT_Y5,FN42&lt;PolicyEff),1,Milestones!$AC$178),0))</f>
        <v>0</v>
      </c>
      <c r="FO44" s="0" t="n">
        <f aca="false">IF(FO42="",0,IF(AND(FO43=Milestones!$AB$179,FO42&gt;=SchemeStart),IF(AND(Milestones!$AB$179="FT",Milestones!$AA$179=FT_Y5,FO42&lt;PolicyEff),1,Milestones!$AC$179),0))</f>
        <v>0</v>
      </c>
      <c r="FP44" s="0" t="n">
        <f aca="false">IF(FP42="",0,IF(AND(FP43=Milestones!$AB$180,FP42&gt;=SchemeStart),IF(AND(Milestones!$AB$180="FT",Milestones!$AA$180=FT_Y5,FP42&lt;PolicyEff),1,Milestones!$AC$180),0))</f>
        <v>0</v>
      </c>
      <c r="FQ44" s="0" t="n">
        <f aca="false">IF(FQ42="",0,IF(AND(FQ43=Milestones!$AB$181,FQ42&gt;=SchemeStart),IF(AND(Milestones!$AB$181="FT",Milestones!$AA$181=FT_Y5,FQ42&lt;PolicyEff),1,Milestones!$AC$181),0))</f>
        <v>0</v>
      </c>
      <c r="FR44" s="0" t="n">
        <f aca="false">IF(FR42="",0,IF(AND(FR43=Milestones!$AB$182,FR42&gt;=SchemeStart),IF(AND(Milestones!$AB$182="FT",Milestones!$AA$182=FT_Y5,FR42&lt;PolicyEff),1,Milestones!$AC$182),0))</f>
        <v>0</v>
      </c>
      <c r="FS44" s="0" t="n">
        <f aca="false">IF(FS42="",0,IF(AND(FS43=Milestones!$AB$183,FS42&gt;=SchemeStart),IF(AND(Milestones!$AB$183="FT",Milestones!$AA$183=FT_Y5,FS42&lt;PolicyEff),1,Milestones!$AC$183),0))</f>
        <v>0</v>
      </c>
      <c r="FT44" s="0" t="n">
        <f aca="false">IF(FT42="",0,IF(AND(FT43=Milestones!$AB$184,FT42&gt;=SchemeStart),IF(AND(Milestones!$AB$184="FT",Milestones!$AA$184=FT_Y5,FT42&lt;PolicyEff),1,Milestones!$AC$184),0))</f>
        <v>0</v>
      </c>
      <c r="FU44" s="0" t="n">
        <f aca="false">IF(FU42="",0,IF(AND(FU43=Milestones!$AB$185,FU42&gt;=SchemeStart),IF(AND(Milestones!$AB$185="FT",Milestones!$AA$185=FT_Y5,FU42&lt;PolicyEff),1,Milestones!$AC$185),0))</f>
        <v>0</v>
      </c>
      <c r="FV44" s="0" t="n">
        <f aca="false">IF(FV42="",0,IF(AND(FV43=Milestones!$AB$186,FV42&gt;=SchemeStart),IF(AND(Milestones!$AB$186="FT",Milestones!$AA$186=FT_Y5,FV42&lt;PolicyEff),1,Milestones!$AC$186),0))</f>
        <v>0</v>
      </c>
      <c r="FW44" s="0" t="n">
        <f aca="false">IF(FW42="",0,IF(AND(FW43=Milestones!$AB$187,FW42&gt;=SchemeStart),IF(AND(Milestones!$AB$187="FT",Milestones!$AA$187=FT_Y5,FW42&lt;PolicyEff),1,Milestones!$AC$187),0))</f>
        <v>0</v>
      </c>
      <c r="FX44" s="0" t="n">
        <f aca="false">IF(FX42="",0,IF(AND(FX43=Milestones!$AB$188,FX42&gt;=SchemeStart),IF(AND(Milestones!$AB$188="FT",Milestones!$AA$188=FT_Y5,FX42&lt;PolicyEff),1,Milestones!$AC$188),0))</f>
        <v>0</v>
      </c>
      <c r="FY44" s="0" t="n">
        <f aca="false">IF(FY42="",0,IF(AND(FY43=Milestones!$AB$189,FY42&gt;=SchemeStart),IF(AND(Milestones!$AB$189="FT",Milestones!$AA$189=FT_Y5,FY42&lt;PolicyEff),1,Milestones!$AC$189),0))</f>
        <v>0</v>
      </c>
      <c r="FZ44" s="0" t="n">
        <f aca="false">IF(FZ42="",0,IF(AND(FZ43=Milestones!$AB$190,FZ42&gt;=SchemeStart),IF(AND(Milestones!$AB$190="FT",Milestones!$AA$190=FT_Y5,FZ42&lt;PolicyEff),1,Milestones!$AC$190),0))</f>
        <v>0</v>
      </c>
      <c r="GA44" s="0" t="n">
        <f aca="false">IF(GA42="",0,IF(AND(GA43=Milestones!$AB$191,GA42&gt;=SchemeStart),IF(AND(Milestones!$AB$191="FT",Milestones!$AA$191=FT_Y5,GA42&lt;PolicyEff),1,Milestones!$AC$191),0))</f>
        <v>0</v>
      </c>
      <c r="GB44" s="0" t="n">
        <f aca="false">IF(GB42="",0,IF(AND(GB43=Milestones!$AB$192,GB42&gt;=SchemeStart),IF(AND(Milestones!$AB$192="FT",Milestones!$AA$192=FT_Y5,GB42&lt;PolicyEff),1,Milestones!$AC$192),0))</f>
        <v>0</v>
      </c>
      <c r="GC44" s="0" t="n">
        <f aca="false">IF(GC42="",0,IF(AND(GC43=Milestones!$AB$193,GC42&gt;=SchemeStart),IF(AND(Milestones!$AB$193="FT",Milestones!$AA$193=FT_Y5,GC42&lt;PolicyEff),1,Milestones!$AC$193),0))</f>
        <v>0</v>
      </c>
      <c r="GD44" s="0" t="n">
        <f aca="false">IF(GD42="",0,IF(AND(GD43=Milestones!$AB$194,GD42&gt;=SchemeStart),IF(AND(Milestones!$AB$194="FT",Milestones!$AA$194=FT_Y5,GD42&lt;PolicyEff),1,Milestones!$AC$194),0))</f>
        <v>0</v>
      </c>
      <c r="GE44" s="0" t="n">
        <f aca="false">IF(GE42="",0,IF(AND(GE43=Milestones!$AB$195,GE42&gt;=SchemeStart),IF(AND(Milestones!$AB$195="FT",Milestones!$AA$195=FT_Y5,GE42&lt;PolicyEff),1,Milestones!$AC$195),0))</f>
        <v>0</v>
      </c>
      <c r="GF44" s="0" t="n">
        <f aca="false">IF(GF42="",0,IF(AND(GF43=Milestones!$AB$196,GF42&gt;=SchemeStart),IF(AND(Milestones!$AB$196="FT",Milestones!$AA$196=FT_Y5,GF42&lt;PolicyEff),1,Milestones!$AC$196),0))</f>
        <v>0</v>
      </c>
      <c r="GG44" s="0" t="n">
        <f aca="false">IF(GG42="",0,IF(AND(GG43=Milestones!$AB$197,GG42&gt;=SchemeStart),IF(AND(Milestones!$AB$197="FT",Milestones!$AA$197=FT_Y5,GG42&lt;PolicyEff),1,Milestones!$AC$197),0))</f>
        <v>0</v>
      </c>
      <c r="GH44" s="0" t="n">
        <f aca="false">IF(GH42="",0,IF(AND(GH43=Milestones!$AB$198,GH42&gt;=SchemeStart),IF(AND(Milestones!$AB$198="FT",Milestones!$AA$198=FT_Y5,GH42&lt;PolicyEff),1,Milestones!$AC$198),0))</f>
        <v>0</v>
      </c>
      <c r="GI44" s="0" t="n">
        <f aca="false">IF(GI42="",0,IF(AND(GI43=Milestones!$AB$199,GI42&gt;=SchemeStart),IF(AND(Milestones!$AB$199="FT",Milestones!$AA$199=FT_Y5,GI42&lt;PolicyEff),1,Milestones!$AC$199),0))</f>
        <v>0</v>
      </c>
    </row>
    <row r="45" customFormat="false" ht="15" hidden="false" customHeight="false" outlineLevel="0" collapsed="false">
      <c r="A45" s="0" t="str">
        <f aca="false">IF('HR Tally Check'!P$7="","",'HR Tally Check'!P$7)</f>
        <v/>
      </c>
      <c r="B45" s="0" t="str">
        <f aca="false">IF(A45="","",ISNUMBER(MATCH(A45,Staff!$BR$5:$BR$154,0)))</f>
        <v/>
      </c>
      <c r="C45" s="20" t="str">
        <f aca="false">IF(B45&lt;&gt;TRUE(),"",INDEX(Staff!$AL$5:$AL$154,MATCH($A45,Staff!$BR$5:$BR$154,0)))</f>
        <v/>
      </c>
      <c r="D45" s="0" t="str">
        <f aca="false">IF(B45&lt;&gt;TRUE(),"",INDEX(Staff!$AM$5:$AM$154,MATCH($A45,Staff!$BR$5:$BR$154,0)))</f>
        <v/>
      </c>
      <c r="E45" s="20" t="str">
        <f aca="false">IF(B45&lt;&gt;TRUE(),"",INDEX(Staff!$AO$5:$AO$154,MATCH($A45,Staff!$BR$5:$BR$154,0)))</f>
        <v/>
      </c>
      <c r="F45" s="20" t="str">
        <f aca="false">IF(B45&lt;&gt;TRUE(),"",INDEX(Staff!$AP$5:$AP$154,MATCH($A45,Staff!$BR$5:$BR$154,0)))</f>
        <v/>
      </c>
      <c r="G45" s="0" t="str">
        <f aca="false">IF(B45&lt;&gt;TRUE(),"",INDEX(Staff!$AT$5:$AT$154,MATCH($A45,Staff!$BR$5:$BR$154,0)))</f>
        <v/>
      </c>
      <c r="H45" s="0" t="str">
        <f aca="false">IF(B45&lt;&gt;TRUE(),"",INDEX(Staff!$AU$5:$AU$154,MATCH($A45,Staff!$BR$5:$BR$154,0)))</f>
        <v/>
      </c>
      <c r="I45" s="0" t="str">
        <f aca="false">IF(B45&lt;&gt;TRUE(),"",INDEX(Staff!$AV$5:$AV$154,MATCH($A45,Staff!$BR$5:$BR$154,0)))</f>
        <v/>
      </c>
      <c r="J45" s="0" t="str">
        <f aca="false">IF(B45&lt;&gt;TRUE(),"",INDEX(Staff!$AW$5:$AW$154,MATCH($A45,Staff!$BR$5:$BR$154,0)))</f>
        <v/>
      </c>
      <c r="K45" s="33" t="s">
        <v>262</v>
      </c>
      <c r="L45" s="20" t="str">
        <f aca="false">IF($C45="","",EDATE($C45,Milestones!$AA$20))</f>
        <v/>
      </c>
      <c r="M45" s="20" t="str">
        <f aca="false">IF($C45="","",EDATE($C45,Milestones!$AA$21))</f>
        <v/>
      </c>
      <c r="N45" s="20" t="str">
        <f aca="false">IF($C45="","",EDATE($C45,Milestones!$AA$22))</f>
        <v/>
      </c>
      <c r="O45" s="20" t="str">
        <f aca="false">IF($C45="","",EDATE($C45,Milestones!$AA$23))</f>
        <v/>
      </c>
      <c r="P45" s="20" t="str">
        <f aca="false">IF($C45="","",EDATE($C45,Milestones!$AA$24))</f>
        <v/>
      </c>
      <c r="Q45" s="20" t="str">
        <f aca="false">IF($C45="","",EDATE($C45,Milestones!$AA$25))</f>
        <v/>
      </c>
      <c r="R45" s="20" t="str">
        <f aca="false">IF($C45="","",EDATE($C45,Milestones!$AA$26))</f>
        <v/>
      </c>
      <c r="S45" s="20" t="str">
        <f aca="false">IF($C45="","",EDATE($C45,Milestones!$AA$27))</f>
        <v/>
      </c>
      <c r="T45" s="20" t="str">
        <f aca="false">IF($C45="","",EDATE($C45,Milestones!$AA$28))</f>
        <v/>
      </c>
      <c r="U45" s="20" t="str">
        <f aca="false">IF($C45="","",EDATE($C45,Milestones!$AA$29))</f>
        <v/>
      </c>
      <c r="V45" s="20" t="str">
        <f aca="false">IF($C45="","",EDATE($C45,Milestones!$AA$30))</f>
        <v/>
      </c>
      <c r="W45" s="20" t="str">
        <f aca="false">IF($C45="","",EDATE($C45,Milestones!$AA$31))</f>
        <v/>
      </c>
      <c r="X45" s="20" t="str">
        <f aca="false">IF($C45="","",EDATE($C45,Milestones!$AA$32))</f>
        <v/>
      </c>
      <c r="Y45" s="20" t="str">
        <f aca="false">IF($C45="","",EDATE($C45,Milestones!$AA$33))</f>
        <v/>
      </c>
      <c r="Z45" s="20" t="str">
        <f aca="false">IF($C45="","",EDATE($C45,Milestones!$AA$34))</f>
        <v/>
      </c>
      <c r="AA45" s="20" t="str">
        <f aca="false">IF($C45="","",EDATE($C45,Milestones!$AA$35))</f>
        <v/>
      </c>
      <c r="AB45" s="20" t="str">
        <f aca="false">IF($C45="","",EDATE($C45,Milestones!$AA$36))</f>
        <v/>
      </c>
      <c r="AC45" s="20" t="str">
        <f aca="false">IF($C45="","",EDATE($C45,Milestones!$AA$37))</f>
        <v/>
      </c>
      <c r="AD45" s="20" t="str">
        <f aca="false">IF($C45="","",EDATE($C45,Milestones!$AA$38))</f>
        <v/>
      </c>
      <c r="AE45" s="20" t="str">
        <f aca="false">IF($C45="","",EDATE($C45,Milestones!$AA$39))</f>
        <v/>
      </c>
      <c r="AF45" s="20" t="str">
        <f aca="false">IF($C45="","",EDATE($C45,Milestones!$AA$40))</f>
        <v/>
      </c>
      <c r="AG45" s="20" t="str">
        <f aca="false">IF($C45="","",EDATE($C45,Milestones!$AA$41))</f>
        <v/>
      </c>
      <c r="AH45" s="20" t="str">
        <f aca="false">IF($C45="","",EDATE($C45,Milestones!$AA$42))</f>
        <v/>
      </c>
      <c r="AI45" s="20" t="str">
        <f aca="false">IF($C45="","",EDATE($C45,Milestones!$AA$43))</f>
        <v/>
      </c>
      <c r="AJ45" s="20" t="str">
        <f aca="false">IF($C45="","",EDATE($C45,Milestones!$AA$44))</f>
        <v/>
      </c>
      <c r="AK45" s="20" t="str">
        <f aca="false">IF($C45="","",EDATE($C45,Milestones!$AA$45))</f>
        <v/>
      </c>
      <c r="AL45" s="20" t="str">
        <f aca="false">IF($C45="","",EDATE($C45,Milestones!$AA$46))</f>
        <v/>
      </c>
      <c r="AM45" s="20" t="str">
        <f aca="false">IF($C45="","",EDATE($C45,Milestones!$AA$47))</f>
        <v/>
      </c>
      <c r="AN45" s="20" t="str">
        <f aca="false">IF($C45="","",EDATE($C45,Milestones!$AA$48))</f>
        <v/>
      </c>
      <c r="AO45" s="20" t="str">
        <f aca="false">IF($C45="","",EDATE($C45,Milestones!$AA$49))</f>
        <v/>
      </c>
      <c r="AP45" s="20" t="str">
        <f aca="false">IF($C45="","",EDATE($C45,Milestones!$AA$50))</f>
        <v/>
      </c>
      <c r="AQ45" s="20" t="str">
        <f aca="false">IF($C45="","",EDATE($C45,Milestones!$AA$51))</f>
        <v/>
      </c>
      <c r="AR45" s="20" t="str">
        <f aca="false">IF($C45="","",EDATE($C45,Milestones!$AA$52))</f>
        <v/>
      </c>
      <c r="AS45" s="20" t="str">
        <f aca="false">IF($C45="","",EDATE($C45,Milestones!$AA$53))</f>
        <v/>
      </c>
      <c r="AT45" s="20" t="str">
        <f aca="false">IF($C45="","",EDATE($C45,Milestones!$AA$54))</f>
        <v/>
      </c>
      <c r="AU45" s="20" t="str">
        <f aca="false">IF($C45="","",EDATE($C45,Milestones!$AA$55))</f>
        <v/>
      </c>
      <c r="AV45" s="20" t="str">
        <f aca="false">IF($C45="","",EDATE($C45,Milestones!$AA$56))</f>
        <v/>
      </c>
      <c r="AW45" s="20" t="str">
        <f aca="false">IF($C45="","",EDATE($C45,Milestones!$AA$57))</f>
        <v/>
      </c>
      <c r="AX45" s="20" t="str">
        <f aca="false">IF($C45="","",EDATE($C45,Milestones!$AA$58))</f>
        <v/>
      </c>
      <c r="AY45" s="20" t="str">
        <f aca="false">IF($C45="","",EDATE($C45,Milestones!$AA$59))</f>
        <v/>
      </c>
      <c r="AZ45" s="20" t="str">
        <f aca="false">IF($C45="","",EDATE($C45,Milestones!$AA$60))</f>
        <v/>
      </c>
      <c r="BA45" s="20" t="str">
        <f aca="false">IF($C45="","",EDATE($C45,Milestones!$AA$61))</f>
        <v/>
      </c>
      <c r="BB45" s="20" t="str">
        <f aca="false">IF($C45="","",EDATE($C45,Milestones!$AA$62))</f>
        <v/>
      </c>
      <c r="BC45" s="20" t="str">
        <f aca="false">IF($C45="","",EDATE($C45,Milestones!$AA$63))</f>
        <v/>
      </c>
      <c r="BD45" s="20" t="str">
        <f aca="false">IF($C45="","",EDATE($C45,Milestones!$AA$64))</f>
        <v/>
      </c>
      <c r="BE45" s="20" t="str">
        <f aca="false">IF($C45="","",EDATE($C45,Milestones!$AA$65))</f>
        <v/>
      </c>
      <c r="BF45" s="20" t="str">
        <f aca="false">IF($C45="","",EDATE($C45,Milestones!$AA$66))</f>
        <v/>
      </c>
      <c r="BG45" s="20" t="str">
        <f aca="false">IF($C45="","",EDATE($C45,Milestones!$AA$67))</f>
        <v/>
      </c>
      <c r="BH45" s="20" t="str">
        <f aca="false">IF($C45="","",EDATE($C45,Milestones!$AA$68))</f>
        <v/>
      </c>
      <c r="BI45" s="20" t="str">
        <f aca="false">IF($C45="","",EDATE($C45,Milestones!$AA$69))</f>
        <v/>
      </c>
      <c r="BJ45" s="20" t="str">
        <f aca="false">IF($C45="","",EDATE($C45,Milestones!$AA$70))</f>
        <v/>
      </c>
      <c r="BK45" s="20" t="str">
        <f aca="false">IF($C45="","",EDATE($C45,Milestones!$AA$71))</f>
        <v/>
      </c>
      <c r="BL45" s="20" t="str">
        <f aca="false">IF($C45="","",EDATE($C45,Milestones!$AA$72))</f>
        <v/>
      </c>
      <c r="BM45" s="20" t="str">
        <f aca="false">IF($C45="","",EDATE($C45,Milestones!$AA$73))</f>
        <v/>
      </c>
      <c r="BN45" s="20" t="str">
        <f aca="false">IF($C45="","",EDATE($C45,Milestones!$AA$74))</f>
        <v/>
      </c>
      <c r="BO45" s="20" t="str">
        <f aca="false">IF($C45="","",EDATE($C45,Milestones!$AA$75))</f>
        <v/>
      </c>
      <c r="BP45" s="20" t="str">
        <f aca="false">IF($C45="","",EDATE($C45,Milestones!$AA$76))</f>
        <v/>
      </c>
      <c r="BQ45" s="20" t="str">
        <f aca="false">IF($C45="","",EDATE($C45,Milestones!$AA$77))</f>
        <v/>
      </c>
      <c r="BR45" s="20" t="str">
        <f aca="false">IF($C45="","",EDATE($C45,Milestones!$AA$78))</f>
        <v/>
      </c>
      <c r="BS45" s="20" t="str">
        <f aca="false">IF($C45="","",EDATE($C45,Milestones!$AA$79))</f>
        <v/>
      </c>
      <c r="BT45" s="20" t="str">
        <f aca="false">IF($C45="","",EDATE($C45,Milestones!$AA$80))</f>
        <v/>
      </c>
      <c r="BU45" s="20" t="str">
        <f aca="false">IF($C45="","",EDATE($C45,Milestones!$AA$81))</f>
        <v/>
      </c>
      <c r="BV45" s="20" t="str">
        <f aca="false">IF($C45="","",EDATE($C45,Milestones!$AA$82))</f>
        <v/>
      </c>
      <c r="BW45" s="20" t="str">
        <f aca="false">IF($C45="","",EDATE($C45,Milestones!$AA$83))</f>
        <v/>
      </c>
      <c r="BX45" s="20" t="str">
        <f aca="false">IF($C45="","",EDATE($C45,Milestones!$AA$84))</f>
        <v/>
      </c>
      <c r="BY45" s="20" t="str">
        <f aca="false">IF($C45="","",EDATE($C45,Milestones!$AA$85))</f>
        <v/>
      </c>
      <c r="BZ45" s="20" t="str">
        <f aca="false">IF($C45="","",EDATE($C45,Milestones!$AA$86))</f>
        <v/>
      </c>
      <c r="CA45" s="20" t="str">
        <f aca="false">IF($C45="","",EDATE($C45,Milestones!$AA$87))</f>
        <v/>
      </c>
      <c r="CB45" s="20" t="str">
        <f aca="false">IF($C45="","",EDATE($C45,Milestones!$AA$88))</f>
        <v/>
      </c>
      <c r="CC45" s="20" t="str">
        <f aca="false">IF($C45="","",EDATE($C45,Milestones!$AA$89))</f>
        <v/>
      </c>
      <c r="CD45" s="20" t="str">
        <f aca="false">IF($C45="","",EDATE($C45,Milestones!$AA$90))</f>
        <v/>
      </c>
      <c r="CE45" s="20" t="str">
        <f aca="false">IF($C45="","",EDATE($C45,Milestones!$AA$91))</f>
        <v/>
      </c>
      <c r="CF45" s="20" t="str">
        <f aca="false">IF($C45="","",EDATE($C45,Milestones!$AA$92))</f>
        <v/>
      </c>
      <c r="CG45" s="20" t="str">
        <f aca="false">IF($C45="","",EDATE($C45,Milestones!$AA$93))</f>
        <v/>
      </c>
      <c r="CH45" s="20" t="str">
        <f aca="false">IF($C45="","",EDATE($C45,Milestones!$AA$94))</f>
        <v/>
      </c>
      <c r="CI45" s="20" t="str">
        <f aca="false">IF($C45="","",EDATE($C45,Milestones!$AA$95))</f>
        <v/>
      </c>
      <c r="CJ45" s="20" t="str">
        <f aca="false">IF($C45="","",EDATE($C45,Milestones!$AA$96))</f>
        <v/>
      </c>
      <c r="CK45" s="20" t="str">
        <f aca="false">IF($C45="","",EDATE($C45,Milestones!$AA$97))</f>
        <v/>
      </c>
      <c r="CL45" s="20" t="str">
        <f aca="false">IF($C45="","",EDATE($C45,Milestones!$AA$98))</f>
        <v/>
      </c>
      <c r="CM45" s="20" t="str">
        <f aca="false">IF($C45="","",EDATE($C45,Milestones!$AA$99))</f>
        <v/>
      </c>
      <c r="CN45" s="20" t="str">
        <f aca="false">IF($C45="","",EDATE($C45,Milestones!$AA$100))</f>
        <v/>
      </c>
      <c r="CO45" s="20" t="str">
        <f aca="false">IF($C45="","",EDATE($C45,Milestones!$AA$101))</f>
        <v/>
      </c>
      <c r="CP45" s="20" t="str">
        <f aca="false">IF($C45="","",EDATE($C45,Milestones!$AA$102))</f>
        <v/>
      </c>
      <c r="CQ45" s="20" t="str">
        <f aca="false">IF($C45="","",EDATE($C45,Milestones!$AA$103))</f>
        <v/>
      </c>
      <c r="CR45" s="20" t="str">
        <f aca="false">IF($C45="","",EDATE($C45,Milestones!$AA$104))</f>
        <v/>
      </c>
      <c r="CS45" s="20" t="str">
        <f aca="false">IF($C45="","",EDATE($C45,Milestones!$AA$105))</f>
        <v/>
      </c>
      <c r="CT45" s="20" t="str">
        <f aca="false">IF($C45="","",EDATE($C45,Milestones!$AA$106))</f>
        <v/>
      </c>
      <c r="CU45" s="20" t="str">
        <f aca="false">IF($C45="","",EDATE($C45,Milestones!$AA$107))</f>
        <v/>
      </c>
      <c r="CV45" s="20" t="str">
        <f aca="false">IF($C45="","",EDATE($C45,Milestones!$AA$108))</f>
        <v/>
      </c>
      <c r="CW45" s="20" t="str">
        <f aca="false">IF($C45="","",EDATE($C45,Milestones!$AA$109))</f>
        <v/>
      </c>
      <c r="CX45" s="20" t="str">
        <f aca="false">IF($C45="","",EDATE($C45,Milestones!$AA$110))</f>
        <v/>
      </c>
      <c r="CY45" s="20" t="str">
        <f aca="false">IF($C45="","",EDATE($C45,Milestones!$AA$111))</f>
        <v/>
      </c>
      <c r="CZ45" s="20" t="str">
        <f aca="false">IF($C45="","",EDATE($C45,Milestones!$AA$112))</f>
        <v/>
      </c>
      <c r="DA45" s="20" t="str">
        <f aca="false">IF($C45="","",EDATE($C45,Milestones!$AA$113))</f>
        <v/>
      </c>
      <c r="DB45" s="20" t="str">
        <f aca="false">IF($C45="","",EDATE($C45,Milestones!$AA$114))</f>
        <v/>
      </c>
      <c r="DC45" s="20" t="str">
        <f aca="false">IF($C45="","",EDATE($C45,Milestones!$AA$115))</f>
        <v/>
      </c>
      <c r="DD45" s="20" t="str">
        <f aca="false">IF($C45="","",EDATE($C45,Milestones!$AA$116))</f>
        <v/>
      </c>
      <c r="DE45" s="20" t="str">
        <f aca="false">IF($C45="","",EDATE($C45,Milestones!$AA$117))</f>
        <v/>
      </c>
      <c r="DF45" s="20" t="str">
        <f aca="false">IF($C45="","",EDATE($C45,Milestones!$AA$118))</f>
        <v/>
      </c>
      <c r="DG45" s="20" t="str">
        <f aca="false">IF($C45="","",EDATE($C45,Milestones!$AA$119))</f>
        <v/>
      </c>
      <c r="DH45" s="20" t="str">
        <f aca="false">IF($C45="","",EDATE($C45,Milestones!$AA$120))</f>
        <v/>
      </c>
      <c r="DI45" s="20" t="str">
        <f aca="false">IF($C45="","",EDATE($C45,Milestones!$AA$121))</f>
        <v/>
      </c>
      <c r="DJ45" s="20" t="str">
        <f aca="false">IF($C45="","",EDATE($C45,Milestones!$AA$122))</f>
        <v/>
      </c>
      <c r="DK45" s="20" t="str">
        <f aca="false">IF($C45="","",EDATE($C45,Milestones!$AA$123))</f>
        <v/>
      </c>
      <c r="DL45" s="20" t="str">
        <f aca="false">IF($C45="","",EDATE($C45,Milestones!$AA$124))</f>
        <v/>
      </c>
      <c r="DM45" s="20" t="str">
        <f aca="false">IF($C45="","",EDATE($C45,Milestones!$AA$125))</f>
        <v/>
      </c>
      <c r="DN45" s="20" t="str">
        <f aca="false">IF($C45="","",EDATE($C45,Milestones!$AA$126))</f>
        <v/>
      </c>
      <c r="DO45" s="20" t="str">
        <f aca="false">IF($C45="","",EDATE($C45,Milestones!$AA$127))</f>
        <v/>
      </c>
      <c r="DP45" s="20" t="str">
        <f aca="false">IF($C45="","",EDATE($C45,Milestones!$AA$128))</f>
        <v/>
      </c>
      <c r="DQ45" s="20" t="str">
        <f aca="false">IF($C45="","",EDATE($C45,Milestones!$AA$129))</f>
        <v/>
      </c>
      <c r="DR45" s="20" t="str">
        <f aca="false">IF($C45="","",EDATE($C45,Milestones!$AA$130))</f>
        <v/>
      </c>
      <c r="DS45" s="20" t="str">
        <f aca="false">IF($C45="","",EDATE($C45,Milestones!$AA$131))</f>
        <v/>
      </c>
      <c r="DT45" s="20" t="str">
        <f aca="false">IF($C45="","",EDATE($C45,Milestones!$AA$132))</f>
        <v/>
      </c>
      <c r="DU45" s="20" t="str">
        <f aca="false">IF($C45="","",EDATE($C45,Milestones!$AA$133))</f>
        <v/>
      </c>
      <c r="DV45" s="20" t="str">
        <f aca="false">IF($C45="","",EDATE($C45,Milestones!$AA$134))</f>
        <v/>
      </c>
      <c r="DW45" s="20" t="str">
        <f aca="false">IF($C45="","",EDATE($C45,Milestones!$AA$135))</f>
        <v/>
      </c>
      <c r="DX45" s="20" t="str">
        <f aca="false">IF($C45="","",EDATE($C45,Milestones!$AA$136))</f>
        <v/>
      </c>
      <c r="DY45" s="20" t="str">
        <f aca="false">IF($C45="","",EDATE($C45,Milestones!$AA$137))</f>
        <v/>
      </c>
      <c r="DZ45" s="20" t="str">
        <f aca="false">IF($C45="","",EDATE($C45,Milestones!$AA$138))</f>
        <v/>
      </c>
      <c r="EA45" s="20" t="str">
        <f aca="false">IF($C45="","",EDATE($C45,Milestones!$AA$139))</f>
        <v/>
      </c>
      <c r="EB45" s="20" t="str">
        <f aca="false">IF($C45="","",EDATE($C45,Milestones!$AA$140))</f>
        <v/>
      </c>
      <c r="EC45" s="20" t="str">
        <f aca="false">IF($C45="","",EDATE($C45,Milestones!$AA$141))</f>
        <v/>
      </c>
      <c r="ED45" s="20" t="str">
        <f aca="false">IF($C45="","",EDATE($C45,Milestones!$AA$142))</f>
        <v/>
      </c>
      <c r="EE45" s="20" t="str">
        <f aca="false">IF($C45="","",EDATE($C45,Milestones!$AA$143))</f>
        <v/>
      </c>
      <c r="EF45" s="20" t="str">
        <f aca="false">IF($C45="","",EDATE($C45,Milestones!$AA$144))</f>
        <v/>
      </c>
      <c r="EG45" s="20" t="str">
        <f aca="false">IF($C45="","",EDATE($C45,Milestones!$AA$145))</f>
        <v/>
      </c>
      <c r="EH45" s="20" t="str">
        <f aca="false">IF($C45="","",EDATE($C45,Milestones!$AA$146))</f>
        <v/>
      </c>
      <c r="EI45" s="20" t="str">
        <f aca="false">IF($C45="","",EDATE($C45,Milestones!$AA$147))</f>
        <v/>
      </c>
      <c r="EJ45" s="20" t="str">
        <f aca="false">IF($C45="","",EDATE($C45,Milestones!$AA$148))</f>
        <v/>
      </c>
      <c r="EK45" s="20" t="str">
        <f aca="false">IF($C45="","",EDATE($C45,Milestones!$AA$149))</f>
        <v/>
      </c>
      <c r="EL45" s="20" t="str">
        <f aca="false">IF($C45="","",EDATE($C45,Milestones!$AA$150))</f>
        <v/>
      </c>
      <c r="EM45" s="20" t="str">
        <f aca="false">IF($C45="","",EDATE($C45,Milestones!$AA$151))</f>
        <v/>
      </c>
      <c r="EN45" s="20" t="str">
        <f aca="false">IF($C45="","",EDATE($C45,Milestones!$AA$152))</f>
        <v/>
      </c>
      <c r="EO45" s="20" t="str">
        <f aca="false">IF($C45="","",EDATE($C45,Milestones!$AA$153))</f>
        <v/>
      </c>
      <c r="EP45" s="20" t="str">
        <f aca="false">IF($C45="","",EDATE($C45,Milestones!$AA$154))</f>
        <v/>
      </c>
      <c r="EQ45" s="20" t="str">
        <f aca="false">IF($C45="","",EDATE($C45,Milestones!$AA$155))</f>
        <v/>
      </c>
      <c r="ER45" s="20" t="str">
        <f aca="false">IF($C45="","",EDATE($C45,Milestones!$AA$156))</f>
        <v/>
      </c>
      <c r="ES45" s="20" t="str">
        <f aca="false">IF($C45="","",EDATE($C45,Milestones!$AA$157))</f>
        <v/>
      </c>
      <c r="ET45" s="20" t="str">
        <f aca="false">IF($C45="","",EDATE($C45,Milestones!$AA$158))</f>
        <v/>
      </c>
      <c r="EU45" s="20" t="str">
        <f aca="false">IF($C45="","",EDATE($C45,Milestones!$AA$159))</f>
        <v/>
      </c>
      <c r="EV45" s="20" t="str">
        <f aca="false">IF($C45="","",EDATE($C45,Milestones!$AA$160))</f>
        <v/>
      </c>
      <c r="EW45" s="20" t="str">
        <f aca="false">IF($C45="","",EDATE($C45,Milestones!$AA$161))</f>
        <v/>
      </c>
      <c r="EX45" s="20" t="str">
        <f aca="false">IF($C45="","",EDATE($C45,Milestones!$AA$162))</f>
        <v/>
      </c>
      <c r="EY45" s="20" t="str">
        <f aca="false">IF($C45="","",EDATE($C45,Milestones!$AA$163))</f>
        <v/>
      </c>
      <c r="EZ45" s="20" t="str">
        <f aca="false">IF($C45="","",EDATE($C45,Milestones!$AA$164))</f>
        <v/>
      </c>
      <c r="FA45" s="20" t="str">
        <f aca="false">IF($C45="","",EDATE($C45,Milestones!$AA$165))</f>
        <v/>
      </c>
      <c r="FB45" s="20" t="str">
        <f aca="false">IF($C45="","",EDATE($C45,Milestones!$AA$166))</f>
        <v/>
      </c>
      <c r="FC45" s="20" t="str">
        <f aca="false">IF($C45="","",EDATE($C45,Milestones!$AA$167))</f>
        <v/>
      </c>
      <c r="FD45" s="20" t="str">
        <f aca="false">IF($C45="","",EDATE($C45,Milestones!$AA$168))</f>
        <v/>
      </c>
      <c r="FE45" s="20" t="str">
        <f aca="false">IF($C45="","",EDATE($C45,Milestones!$AA$169))</f>
        <v/>
      </c>
      <c r="FF45" s="20" t="str">
        <f aca="false">IF($C45="","",EDATE($C45,Milestones!$AA$170))</f>
        <v/>
      </c>
      <c r="FG45" s="20" t="str">
        <f aca="false">IF($C45="","",EDATE($C45,Milestones!$AA$171))</f>
        <v/>
      </c>
      <c r="FH45" s="20" t="str">
        <f aca="false">IF($C45="","",EDATE($C45,Milestones!$AA$172))</f>
        <v/>
      </c>
      <c r="FI45" s="20" t="str">
        <f aca="false">IF($C45="","",EDATE($C45,Milestones!$AA$173))</f>
        <v/>
      </c>
      <c r="FJ45" s="20" t="str">
        <f aca="false">IF($C45="","",EDATE($C45,Milestones!$AA$174))</f>
        <v/>
      </c>
      <c r="FK45" s="20" t="str">
        <f aca="false">IF($C45="","",EDATE($C45,Milestones!$AA$175))</f>
        <v/>
      </c>
      <c r="FL45" s="20" t="str">
        <f aca="false">IF($C45="","",EDATE($C45,Milestones!$AA$176))</f>
        <v/>
      </c>
      <c r="FM45" s="20" t="str">
        <f aca="false">IF($C45="","",EDATE($C45,Milestones!$AA$177))</f>
        <v/>
      </c>
      <c r="FN45" s="20" t="str">
        <f aca="false">IF($C45="","",EDATE($C45,Milestones!$AA$178))</f>
        <v/>
      </c>
      <c r="FO45" s="20" t="str">
        <f aca="false">IF($C45="","",EDATE($C45,Milestones!$AA$179))</f>
        <v/>
      </c>
      <c r="FP45" s="20" t="str">
        <f aca="false">IF($C45="","",EDATE($C45,Milestones!$AA$180))</f>
        <v/>
      </c>
      <c r="FQ45" s="20" t="str">
        <f aca="false">IF($C45="","",EDATE($C45,Milestones!$AA$181))</f>
        <v/>
      </c>
      <c r="FR45" s="20" t="str">
        <f aca="false">IF($C45="","",EDATE($C45,Milestones!$AA$182))</f>
        <v/>
      </c>
      <c r="FS45" s="20" t="str">
        <f aca="false">IF($C45="","",EDATE($C45,Milestones!$AA$183))</f>
        <v/>
      </c>
      <c r="FT45" s="20" t="str">
        <f aca="false">IF($C45="","",EDATE($C45,Milestones!$AA$184))</f>
        <v/>
      </c>
      <c r="FU45" s="20" t="str">
        <f aca="false">IF($C45="","",EDATE($C45,Milestones!$AA$185))</f>
        <v/>
      </c>
      <c r="FV45" s="20" t="str">
        <f aca="false">IF($C45="","",EDATE($C45,Milestones!$AA$186))</f>
        <v/>
      </c>
      <c r="FW45" s="20" t="str">
        <f aca="false">IF($C45="","",EDATE($C45,Milestones!$AA$187))</f>
        <v/>
      </c>
      <c r="FX45" s="20" t="str">
        <f aca="false">IF($C45="","",EDATE($C45,Milestones!$AA$188))</f>
        <v/>
      </c>
      <c r="FY45" s="20" t="str">
        <f aca="false">IF($C45="","",EDATE($C45,Milestones!$AA$189))</f>
        <v/>
      </c>
      <c r="FZ45" s="20" t="str">
        <f aca="false">IF($C45="","",EDATE($C45,Milestones!$AA$190))</f>
        <v/>
      </c>
      <c r="GA45" s="20" t="str">
        <f aca="false">IF($C45="","",EDATE($C45,Milestones!$AA$191))</f>
        <v/>
      </c>
      <c r="GB45" s="20" t="str">
        <f aca="false">IF($C45="","",EDATE($C45,Milestones!$AA$192))</f>
        <v/>
      </c>
      <c r="GC45" s="20" t="str">
        <f aca="false">IF($C45="","",EDATE($C45,Milestones!$AA$193))</f>
        <v/>
      </c>
      <c r="GD45" s="20" t="str">
        <f aca="false">IF($C45="","",EDATE($C45,Milestones!$AA$194))</f>
        <v/>
      </c>
      <c r="GE45" s="20" t="str">
        <f aca="false">IF($C45="","",EDATE($C45,Milestones!$AA$195))</f>
        <v/>
      </c>
      <c r="GF45" s="20" t="str">
        <f aca="false">IF($C45="","",EDATE($C45,Milestones!$AA$196))</f>
        <v/>
      </c>
      <c r="GG45" s="20" t="str">
        <f aca="false">IF($C45="","",EDATE($C45,Milestones!$AA$197))</f>
        <v/>
      </c>
      <c r="GH45" s="20" t="str">
        <f aca="false">IF($C45="","",EDATE($C45,Milestones!$AA$198))</f>
        <v/>
      </c>
      <c r="GI45" s="20" t="str">
        <f aca="false">IF($C45="","",EDATE($C45,Milestones!$AA$199))</f>
        <v/>
      </c>
    </row>
    <row r="46" customFormat="false" ht="15" hidden="false" customHeight="false" outlineLevel="0" collapsed="false">
      <c r="K46" s="0" t="s">
        <v>263</v>
      </c>
      <c r="L46" s="0" t="str">
        <f aca="false">IF(L45="","",IF($D45=0,$J45,IF(AND($F45&lt;&gt;"",L45&gt;=$F45),$I45,IF(AND($E45&lt;&gt;"",L45&gt;=$E45),$H45,$G45))))</f>
        <v/>
      </c>
      <c r="M46" s="0" t="str">
        <f aca="false">IF(M45="","",IF($D45=0,$J45,IF(AND($F45&lt;&gt;"",M45&gt;=$F45),$I45,IF(AND($E45&lt;&gt;"",M45&gt;=$E45),$H45,$G45))))</f>
        <v/>
      </c>
      <c r="N46" s="0" t="str">
        <f aca="false">IF(N45="","",IF($D45=0,$J45,IF(AND($F45&lt;&gt;"",N45&gt;=$F45),$I45,IF(AND($E45&lt;&gt;"",N45&gt;=$E45),$H45,$G45))))</f>
        <v/>
      </c>
      <c r="O46" s="0" t="str">
        <f aca="false">IF(O45="","",IF($D45=0,$J45,IF(AND($F45&lt;&gt;"",O45&gt;=$F45),$I45,IF(AND($E45&lt;&gt;"",O45&gt;=$E45),$H45,$G45))))</f>
        <v/>
      </c>
      <c r="P46" s="0" t="str">
        <f aca="false">IF(P45="","",IF($D45=0,$J45,IF(AND($F45&lt;&gt;"",P45&gt;=$F45),$I45,IF(AND($E45&lt;&gt;"",P45&gt;=$E45),$H45,$G45))))</f>
        <v/>
      </c>
      <c r="Q46" s="0" t="str">
        <f aca="false">IF(Q45="","",IF($D45=0,$J45,IF(AND($F45&lt;&gt;"",Q45&gt;=$F45),$I45,IF(AND($E45&lt;&gt;"",Q45&gt;=$E45),$H45,$G45))))</f>
        <v/>
      </c>
      <c r="R46" s="0" t="str">
        <f aca="false">IF(R45="","",IF($D45=0,$J45,IF(AND($F45&lt;&gt;"",R45&gt;=$F45),$I45,IF(AND($E45&lt;&gt;"",R45&gt;=$E45),$H45,$G45))))</f>
        <v/>
      </c>
      <c r="S46" s="0" t="str">
        <f aca="false">IF(S45="","",IF($D45=0,$J45,IF(AND($F45&lt;&gt;"",S45&gt;=$F45),$I45,IF(AND($E45&lt;&gt;"",S45&gt;=$E45),$H45,$G45))))</f>
        <v/>
      </c>
      <c r="T46" s="0" t="str">
        <f aca="false">IF(T45="","",IF($D45=0,$J45,IF(AND($F45&lt;&gt;"",T45&gt;=$F45),$I45,IF(AND($E45&lt;&gt;"",T45&gt;=$E45),$H45,$G45))))</f>
        <v/>
      </c>
      <c r="U46" s="0" t="str">
        <f aca="false">IF(U45="","",IF($D45=0,$J45,IF(AND($F45&lt;&gt;"",U45&gt;=$F45),$I45,IF(AND($E45&lt;&gt;"",U45&gt;=$E45),$H45,$G45))))</f>
        <v/>
      </c>
      <c r="V46" s="0" t="str">
        <f aca="false">IF(V45="","",IF($D45=0,$J45,IF(AND($F45&lt;&gt;"",V45&gt;=$F45),$I45,IF(AND($E45&lt;&gt;"",V45&gt;=$E45),$H45,$G45))))</f>
        <v/>
      </c>
      <c r="W46" s="0" t="str">
        <f aca="false">IF(W45="","",IF($D45=0,$J45,IF(AND($F45&lt;&gt;"",W45&gt;=$F45),$I45,IF(AND($E45&lt;&gt;"",W45&gt;=$E45),$H45,$G45))))</f>
        <v/>
      </c>
      <c r="X46" s="0" t="str">
        <f aca="false">IF(X45="","",IF($D45=0,$J45,IF(AND($F45&lt;&gt;"",X45&gt;=$F45),$I45,IF(AND($E45&lt;&gt;"",X45&gt;=$E45),$H45,$G45))))</f>
        <v/>
      </c>
      <c r="Y46" s="0" t="str">
        <f aca="false">IF(Y45="","",IF($D45=0,$J45,IF(AND($F45&lt;&gt;"",Y45&gt;=$F45),$I45,IF(AND($E45&lt;&gt;"",Y45&gt;=$E45),$H45,$G45))))</f>
        <v/>
      </c>
      <c r="Z46" s="0" t="str">
        <f aca="false">IF(Z45="","",IF($D45=0,$J45,IF(AND($F45&lt;&gt;"",Z45&gt;=$F45),$I45,IF(AND($E45&lt;&gt;"",Z45&gt;=$E45),$H45,$G45))))</f>
        <v/>
      </c>
      <c r="AA46" s="0" t="str">
        <f aca="false">IF(AA45="","",IF($D45=0,$J45,IF(AND($F45&lt;&gt;"",AA45&gt;=$F45),$I45,IF(AND($E45&lt;&gt;"",AA45&gt;=$E45),$H45,$G45))))</f>
        <v/>
      </c>
      <c r="AB46" s="0" t="str">
        <f aca="false">IF(AB45="","",IF($D45=0,$J45,IF(AND($F45&lt;&gt;"",AB45&gt;=$F45),$I45,IF(AND($E45&lt;&gt;"",AB45&gt;=$E45),$H45,$G45))))</f>
        <v/>
      </c>
      <c r="AC46" s="0" t="str">
        <f aca="false">IF(AC45="","",IF($D45=0,$J45,IF(AND($F45&lt;&gt;"",AC45&gt;=$F45),$I45,IF(AND($E45&lt;&gt;"",AC45&gt;=$E45),$H45,$G45))))</f>
        <v/>
      </c>
      <c r="AD46" s="0" t="str">
        <f aca="false">IF(AD45="","",IF($D45=0,$J45,IF(AND($F45&lt;&gt;"",AD45&gt;=$F45),$I45,IF(AND($E45&lt;&gt;"",AD45&gt;=$E45),$H45,$G45))))</f>
        <v/>
      </c>
      <c r="AE46" s="0" t="str">
        <f aca="false">IF(AE45="","",IF($D45=0,$J45,IF(AND($F45&lt;&gt;"",AE45&gt;=$F45),$I45,IF(AND($E45&lt;&gt;"",AE45&gt;=$E45),$H45,$G45))))</f>
        <v/>
      </c>
      <c r="AF46" s="0" t="str">
        <f aca="false">IF(AF45="","",IF($D45=0,$J45,IF(AND($F45&lt;&gt;"",AF45&gt;=$F45),$I45,IF(AND($E45&lt;&gt;"",AF45&gt;=$E45),$H45,$G45))))</f>
        <v/>
      </c>
      <c r="AG46" s="0" t="str">
        <f aca="false">IF(AG45="","",IF($D45=0,$J45,IF(AND($F45&lt;&gt;"",AG45&gt;=$F45),$I45,IF(AND($E45&lt;&gt;"",AG45&gt;=$E45),$H45,$G45))))</f>
        <v/>
      </c>
      <c r="AH46" s="0" t="str">
        <f aca="false">IF(AH45="","",IF($D45=0,$J45,IF(AND($F45&lt;&gt;"",AH45&gt;=$F45),$I45,IF(AND($E45&lt;&gt;"",AH45&gt;=$E45),$H45,$G45))))</f>
        <v/>
      </c>
      <c r="AI46" s="0" t="str">
        <f aca="false">IF(AI45="","",IF($D45=0,$J45,IF(AND($F45&lt;&gt;"",AI45&gt;=$F45),$I45,IF(AND($E45&lt;&gt;"",AI45&gt;=$E45),$H45,$G45))))</f>
        <v/>
      </c>
      <c r="AJ46" s="0" t="str">
        <f aca="false">IF(AJ45="","",IF($D45=0,$J45,IF(AND($F45&lt;&gt;"",AJ45&gt;=$F45),$I45,IF(AND($E45&lt;&gt;"",AJ45&gt;=$E45),$H45,$G45))))</f>
        <v/>
      </c>
      <c r="AK46" s="0" t="str">
        <f aca="false">IF(AK45="","",IF($D45=0,$J45,IF(AND($F45&lt;&gt;"",AK45&gt;=$F45),$I45,IF(AND($E45&lt;&gt;"",AK45&gt;=$E45),$H45,$G45))))</f>
        <v/>
      </c>
      <c r="AL46" s="0" t="str">
        <f aca="false">IF(AL45="","",IF($D45=0,$J45,IF(AND($F45&lt;&gt;"",AL45&gt;=$F45),$I45,IF(AND($E45&lt;&gt;"",AL45&gt;=$E45),$H45,$G45))))</f>
        <v/>
      </c>
      <c r="AM46" s="0" t="str">
        <f aca="false">IF(AM45="","",IF($D45=0,$J45,IF(AND($F45&lt;&gt;"",AM45&gt;=$F45),$I45,IF(AND($E45&lt;&gt;"",AM45&gt;=$E45),$H45,$G45))))</f>
        <v/>
      </c>
      <c r="AN46" s="0" t="str">
        <f aca="false">IF(AN45="","",IF($D45=0,$J45,IF(AND($F45&lt;&gt;"",AN45&gt;=$F45),$I45,IF(AND($E45&lt;&gt;"",AN45&gt;=$E45),$H45,$G45))))</f>
        <v/>
      </c>
      <c r="AO46" s="0" t="str">
        <f aca="false">IF(AO45="","",IF($D45=0,$J45,IF(AND($F45&lt;&gt;"",AO45&gt;=$F45),$I45,IF(AND($E45&lt;&gt;"",AO45&gt;=$E45),$H45,$G45))))</f>
        <v/>
      </c>
      <c r="AP46" s="0" t="str">
        <f aca="false">IF(AP45="","",IF($D45=0,$J45,IF(AND($F45&lt;&gt;"",AP45&gt;=$F45),$I45,IF(AND($E45&lt;&gt;"",AP45&gt;=$E45),$H45,$G45))))</f>
        <v/>
      </c>
      <c r="AQ46" s="0" t="str">
        <f aca="false">IF(AQ45="","",IF($D45=0,$J45,IF(AND($F45&lt;&gt;"",AQ45&gt;=$F45),$I45,IF(AND($E45&lt;&gt;"",AQ45&gt;=$E45),$H45,$G45))))</f>
        <v/>
      </c>
      <c r="AR46" s="0" t="str">
        <f aca="false">IF(AR45="","",IF($D45=0,$J45,IF(AND($F45&lt;&gt;"",AR45&gt;=$F45),$I45,IF(AND($E45&lt;&gt;"",AR45&gt;=$E45),$H45,$G45))))</f>
        <v/>
      </c>
      <c r="AS46" s="0" t="str">
        <f aca="false">IF(AS45="","",IF($D45=0,$J45,IF(AND($F45&lt;&gt;"",AS45&gt;=$F45),$I45,IF(AND($E45&lt;&gt;"",AS45&gt;=$E45),$H45,$G45))))</f>
        <v/>
      </c>
      <c r="AT46" s="0" t="str">
        <f aca="false">IF(AT45="","",IF($D45=0,$J45,IF(AND($F45&lt;&gt;"",AT45&gt;=$F45),$I45,IF(AND($E45&lt;&gt;"",AT45&gt;=$E45),$H45,$G45))))</f>
        <v/>
      </c>
      <c r="AU46" s="0" t="str">
        <f aca="false">IF(AU45="","",IF($D45=0,$J45,IF(AND($F45&lt;&gt;"",AU45&gt;=$F45),$I45,IF(AND($E45&lt;&gt;"",AU45&gt;=$E45),$H45,$G45))))</f>
        <v/>
      </c>
      <c r="AV46" s="0" t="str">
        <f aca="false">IF(AV45="","",IF($D45=0,$J45,IF(AND($F45&lt;&gt;"",AV45&gt;=$F45),$I45,IF(AND($E45&lt;&gt;"",AV45&gt;=$E45),$H45,$G45))))</f>
        <v/>
      </c>
      <c r="AW46" s="0" t="str">
        <f aca="false">IF(AW45="","",IF($D45=0,$J45,IF(AND($F45&lt;&gt;"",AW45&gt;=$F45),$I45,IF(AND($E45&lt;&gt;"",AW45&gt;=$E45),$H45,$G45))))</f>
        <v/>
      </c>
      <c r="AX46" s="0" t="str">
        <f aca="false">IF(AX45="","",IF($D45=0,$J45,IF(AND($F45&lt;&gt;"",AX45&gt;=$F45),$I45,IF(AND($E45&lt;&gt;"",AX45&gt;=$E45),$H45,$G45))))</f>
        <v/>
      </c>
      <c r="AY46" s="0" t="str">
        <f aca="false">IF(AY45="","",IF($D45=0,$J45,IF(AND($F45&lt;&gt;"",AY45&gt;=$F45),$I45,IF(AND($E45&lt;&gt;"",AY45&gt;=$E45),$H45,$G45))))</f>
        <v/>
      </c>
      <c r="AZ46" s="0" t="str">
        <f aca="false">IF(AZ45="","",IF($D45=0,$J45,IF(AND($F45&lt;&gt;"",AZ45&gt;=$F45),$I45,IF(AND($E45&lt;&gt;"",AZ45&gt;=$E45),$H45,$G45))))</f>
        <v/>
      </c>
      <c r="BA46" s="0" t="str">
        <f aca="false">IF(BA45="","",IF($D45=0,$J45,IF(AND($F45&lt;&gt;"",BA45&gt;=$F45),$I45,IF(AND($E45&lt;&gt;"",BA45&gt;=$E45),$H45,$G45))))</f>
        <v/>
      </c>
      <c r="BB46" s="0" t="str">
        <f aca="false">IF(BB45="","",IF($D45=0,$J45,IF(AND($F45&lt;&gt;"",BB45&gt;=$F45),$I45,IF(AND($E45&lt;&gt;"",BB45&gt;=$E45),$H45,$G45))))</f>
        <v/>
      </c>
      <c r="BC46" s="0" t="str">
        <f aca="false">IF(BC45="","",IF($D45=0,$J45,IF(AND($F45&lt;&gt;"",BC45&gt;=$F45),$I45,IF(AND($E45&lt;&gt;"",BC45&gt;=$E45),$H45,$G45))))</f>
        <v/>
      </c>
      <c r="BD46" s="0" t="str">
        <f aca="false">IF(BD45="","",IF($D45=0,$J45,IF(AND($F45&lt;&gt;"",BD45&gt;=$F45),$I45,IF(AND($E45&lt;&gt;"",BD45&gt;=$E45),$H45,$G45))))</f>
        <v/>
      </c>
      <c r="BE46" s="0" t="str">
        <f aca="false">IF(BE45="","",IF($D45=0,$J45,IF(AND($F45&lt;&gt;"",BE45&gt;=$F45),$I45,IF(AND($E45&lt;&gt;"",BE45&gt;=$E45),$H45,$G45))))</f>
        <v/>
      </c>
      <c r="BF46" s="0" t="str">
        <f aca="false">IF(BF45="","",IF($D45=0,$J45,IF(AND($F45&lt;&gt;"",BF45&gt;=$F45),$I45,IF(AND($E45&lt;&gt;"",BF45&gt;=$E45),$H45,$G45))))</f>
        <v/>
      </c>
      <c r="BG46" s="0" t="str">
        <f aca="false">IF(BG45="","",IF($D45=0,$J45,IF(AND($F45&lt;&gt;"",BG45&gt;=$F45),$I45,IF(AND($E45&lt;&gt;"",BG45&gt;=$E45),$H45,$G45))))</f>
        <v/>
      </c>
      <c r="BH46" s="0" t="str">
        <f aca="false">IF(BH45="","",IF($D45=0,$J45,IF(AND($F45&lt;&gt;"",BH45&gt;=$F45),$I45,IF(AND($E45&lt;&gt;"",BH45&gt;=$E45),$H45,$G45))))</f>
        <v/>
      </c>
      <c r="BI46" s="0" t="str">
        <f aca="false">IF(BI45="","",IF($D45=0,$J45,IF(AND($F45&lt;&gt;"",BI45&gt;=$F45),$I45,IF(AND($E45&lt;&gt;"",BI45&gt;=$E45),$H45,$G45))))</f>
        <v/>
      </c>
      <c r="BJ46" s="0" t="str">
        <f aca="false">IF(BJ45="","",IF($D45=0,$J45,IF(AND($F45&lt;&gt;"",BJ45&gt;=$F45),$I45,IF(AND($E45&lt;&gt;"",BJ45&gt;=$E45),$H45,$G45))))</f>
        <v/>
      </c>
      <c r="BK46" s="0" t="str">
        <f aca="false">IF(BK45="","",IF($D45=0,$J45,IF(AND($F45&lt;&gt;"",BK45&gt;=$F45),$I45,IF(AND($E45&lt;&gt;"",BK45&gt;=$E45),$H45,$G45))))</f>
        <v/>
      </c>
      <c r="BL46" s="0" t="str">
        <f aca="false">IF(BL45="","",IF($D45=0,$J45,IF(AND($F45&lt;&gt;"",BL45&gt;=$F45),$I45,IF(AND($E45&lt;&gt;"",BL45&gt;=$E45),$H45,$G45))))</f>
        <v/>
      </c>
      <c r="BM46" s="0" t="str">
        <f aca="false">IF(BM45="","",IF($D45=0,$J45,IF(AND($F45&lt;&gt;"",BM45&gt;=$F45),$I45,IF(AND($E45&lt;&gt;"",BM45&gt;=$E45),$H45,$G45))))</f>
        <v/>
      </c>
      <c r="BN46" s="0" t="str">
        <f aca="false">IF(BN45="","",IF($D45=0,$J45,IF(AND($F45&lt;&gt;"",BN45&gt;=$F45),$I45,IF(AND($E45&lt;&gt;"",BN45&gt;=$E45),$H45,$G45))))</f>
        <v/>
      </c>
      <c r="BO46" s="0" t="str">
        <f aca="false">IF(BO45="","",IF($D45=0,$J45,IF(AND($F45&lt;&gt;"",BO45&gt;=$F45),$I45,IF(AND($E45&lt;&gt;"",BO45&gt;=$E45),$H45,$G45))))</f>
        <v/>
      </c>
      <c r="BP46" s="0" t="str">
        <f aca="false">IF(BP45="","",IF($D45=0,$J45,IF(AND($F45&lt;&gt;"",BP45&gt;=$F45),$I45,IF(AND($E45&lt;&gt;"",BP45&gt;=$E45),$H45,$G45))))</f>
        <v/>
      </c>
      <c r="BQ46" s="0" t="str">
        <f aca="false">IF(BQ45="","",IF($D45=0,$J45,IF(AND($F45&lt;&gt;"",BQ45&gt;=$F45),$I45,IF(AND($E45&lt;&gt;"",BQ45&gt;=$E45),$H45,$G45))))</f>
        <v/>
      </c>
      <c r="BR46" s="0" t="str">
        <f aca="false">IF(BR45="","",IF($D45=0,$J45,IF(AND($F45&lt;&gt;"",BR45&gt;=$F45),$I45,IF(AND($E45&lt;&gt;"",BR45&gt;=$E45),$H45,$G45))))</f>
        <v/>
      </c>
      <c r="BS46" s="0" t="str">
        <f aca="false">IF(BS45="","",IF($D45=0,$J45,IF(AND($F45&lt;&gt;"",BS45&gt;=$F45),$I45,IF(AND($E45&lt;&gt;"",BS45&gt;=$E45),$H45,$G45))))</f>
        <v/>
      </c>
      <c r="BT46" s="0" t="str">
        <f aca="false">IF(BT45="","",IF($D45=0,$J45,IF(AND($F45&lt;&gt;"",BT45&gt;=$F45),$I45,IF(AND($E45&lt;&gt;"",BT45&gt;=$E45),$H45,$G45))))</f>
        <v/>
      </c>
      <c r="BU46" s="0" t="str">
        <f aca="false">IF(BU45="","",IF($D45=0,$J45,IF(AND($F45&lt;&gt;"",BU45&gt;=$F45),$I45,IF(AND($E45&lt;&gt;"",BU45&gt;=$E45),$H45,$G45))))</f>
        <v/>
      </c>
      <c r="BV46" s="0" t="str">
        <f aca="false">IF(BV45="","",IF($D45=0,$J45,IF(AND($F45&lt;&gt;"",BV45&gt;=$F45),$I45,IF(AND($E45&lt;&gt;"",BV45&gt;=$E45),$H45,$G45))))</f>
        <v/>
      </c>
      <c r="BW46" s="0" t="str">
        <f aca="false">IF(BW45="","",IF($D45=0,$J45,IF(AND($F45&lt;&gt;"",BW45&gt;=$F45),$I45,IF(AND($E45&lt;&gt;"",BW45&gt;=$E45),$H45,$G45))))</f>
        <v/>
      </c>
      <c r="BX46" s="0" t="str">
        <f aca="false">IF(BX45="","",IF($D45=0,$J45,IF(AND($F45&lt;&gt;"",BX45&gt;=$F45),$I45,IF(AND($E45&lt;&gt;"",BX45&gt;=$E45),$H45,$G45))))</f>
        <v/>
      </c>
      <c r="BY46" s="0" t="str">
        <f aca="false">IF(BY45="","",IF($D45=0,$J45,IF(AND($F45&lt;&gt;"",BY45&gt;=$F45),$I45,IF(AND($E45&lt;&gt;"",BY45&gt;=$E45),$H45,$G45))))</f>
        <v/>
      </c>
      <c r="BZ46" s="0" t="str">
        <f aca="false">IF(BZ45="","",IF($D45=0,$J45,IF(AND($F45&lt;&gt;"",BZ45&gt;=$F45),$I45,IF(AND($E45&lt;&gt;"",BZ45&gt;=$E45),$H45,$G45))))</f>
        <v/>
      </c>
      <c r="CA46" s="0" t="str">
        <f aca="false">IF(CA45="","",IF($D45=0,$J45,IF(AND($F45&lt;&gt;"",CA45&gt;=$F45),$I45,IF(AND($E45&lt;&gt;"",CA45&gt;=$E45),$H45,$G45))))</f>
        <v/>
      </c>
      <c r="CB46" s="0" t="str">
        <f aca="false">IF(CB45="","",IF($D45=0,$J45,IF(AND($F45&lt;&gt;"",CB45&gt;=$F45),$I45,IF(AND($E45&lt;&gt;"",CB45&gt;=$E45),$H45,$G45))))</f>
        <v/>
      </c>
      <c r="CC46" s="0" t="str">
        <f aca="false">IF(CC45="","",IF($D45=0,$J45,IF(AND($F45&lt;&gt;"",CC45&gt;=$F45),$I45,IF(AND($E45&lt;&gt;"",CC45&gt;=$E45),$H45,$G45))))</f>
        <v/>
      </c>
      <c r="CD46" s="0" t="str">
        <f aca="false">IF(CD45="","",IF($D45=0,$J45,IF(AND($F45&lt;&gt;"",CD45&gt;=$F45),$I45,IF(AND($E45&lt;&gt;"",CD45&gt;=$E45),$H45,$G45))))</f>
        <v/>
      </c>
      <c r="CE46" s="0" t="str">
        <f aca="false">IF(CE45="","",IF($D45=0,$J45,IF(AND($F45&lt;&gt;"",CE45&gt;=$F45),$I45,IF(AND($E45&lt;&gt;"",CE45&gt;=$E45),$H45,$G45))))</f>
        <v/>
      </c>
      <c r="CF46" s="0" t="str">
        <f aca="false">IF(CF45="","",IF($D45=0,$J45,IF(AND($F45&lt;&gt;"",CF45&gt;=$F45),$I45,IF(AND($E45&lt;&gt;"",CF45&gt;=$E45),$H45,$G45))))</f>
        <v/>
      </c>
      <c r="CG46" s="0" t="str">
        <f aca="false">IF(CG45="","",IF($D45=0,$J45,IF(AND($F45&lt;&gt;"",CG45&gt;=$F45),$I45,IF(AND($E45&lt;&gt;"",CG45&gt;=$E45),$H45,$G45))))</f>
        <v/>
      </c>
      <c r="CH46" s="0" t="str">
        <f aca="false">IF(CH45="","",IF($D45=0,$J45,IF(AND($F45&lt;&gt;"",CH45&gt;=$F45),$I45,IF(AND($E45&lt;&gt;"",CH45&gt;=$E45),$H45,$G45))))</f>
        <v/>
      </c>
      <c r="CI46" s="0" t="str">
        <f aca="false">IF(CI45="","",IF($D45=0,$J45,IF(AND($F45&lt;&gt;"",CI45&gt;=$F45),$I45,IF(AND($E45&lt;&gt;"",CI45&gt;=$E45),$H45,$G45))))</f>
        <v/>
      </c>
      <c r="CJ46" s="0" t="str">
        <f aca="false">IF(CJ45="","",IF($D45=0,$J45,IF(AND($F45&lt;&gt;"",CJ45&gt;=$F45),$I45,IF(AND($E45&lt;&gt;"",CJ45&gt;=$E45),$H45,$G45))))</f>
        <v/>
      </c>
      <c r="CK46" s="0" t="str">
        <f aca="false">IF(CK45="","",IF($D45=0,$J45,IF(AND($F45&lt;&gt;"",CK45&gt;=$F45),$I45,IF(AND($E45&lt;&gt;"",CK45&gt;=$E45),$H45,$G45))))</f>
        <v/>
      </c>
      <c r="CL46" s="0" t="str">
        <f aca="false">IF(CL45="","",IF($D45=0,$J45,IF(AND($F45&lt;&gt;"",CL45&gt;=$F45),$I45,IF(AND($E45&lt;&gt;"",CL45&gt;=$E45),$H45,$G45))))</f>
        <v/>
      </c>
      <c r="CM46" s="0" t="str">
        <f aca="false">IF(CM45="","",IF($D45=0,$J45,IF(AND($F45&lt;&gt;"",CM45&gt;=$F45),$I45,IF(AND($E45&lt;&gt;"",CM45&gt;=$E45),$H45,$G45))))</f>
        <v/>
      </c>
      <c r="CN46" s="0" t="str">
        <f aca="false">IF(CN45="","",IF($D45=0,$J45,IF(AND($F45&lt;&gt;"",CN45&gt;=$F45),$I45,IF(AND($E45&lt;&gt;"",CN45&gt;=$E45),$H45,$G45))))</f>
        <v/>
      </c>
      <c r="CO46" s="0" t="str">
        <f aca="false">IF(CO45="","",IF($D45=0,$J45,IF(AND($F45&lt;&gt;"",CO45&gt;=$F45),$I45,IF(AND($E45&lt;&gt;"",CO45&gt;=$E45),$H45,$G45))))</f>
        <v/>
      </c>
      <c r="CP46" s="0" t="str">
        <f aca="false">IF(CP45="","",IF($D45=0,$J45,IF(AND($F45&lt;&gt;"",CP45&gt;=$F45),$I45,IF(AND($E45&lt;&gt;"",CP45&gt;=$E45),$H45,$G45))))</f>
        <v/>
      </c>
      <c r="CQ46" s="0" t="str">
        <f aca="false">IF(CQ45="","",IF($D45=0,$J45,IF(AND($F45&lt;&gt;"",CQ45&gt;=$F45),$I45,IF(AND($E45&lt;&gt;"",CQ45&gt;=$E45),$H45,$G45))))</f>
        <v/>
      </c>
      <c r="CR46" s="0" t="str">
        <f aca="false">IF(CR45="","",IF($D45=0,$J45,IF(AND($F45&lt;&gt;"",CR45&gt;=$F45),$I45,IF(AND($E45&lt;&gt;"",CR45&gt;=$E45),$H45,$G45))))</f>
        <v/>
      </c>
      <c r="CS46" s="0" t="str">
        <f aca="false">IF(CS45="","",IF($D45=0,$J45,IF(AND($F45&lt;&gt;"",CS45&gt;=$F45),$I45,IF(AND($E45&lt;&gt;"",CS45&gt;=$E45),$H45,$G45))))</f>
        <v/>
      </c>
      <c r="CT46" s="0" t="str">
        <f aca="false">IF(CT45="","",IF($D45=0,$J45,IF(AND($F45&lt;&gt;"",CT45&gt;=$F45),$I45,IF(AND($E45&lt;&gt;"",CT45&gt;=$E45),$H45,$G45))))</f>
        <v/>
      </c>
      <c r="CU46" s="0" t="str">
        <f aca="false">IF(CU45="","",IF($D45=0,$J45,IF(AND($F45&lt;&gt;"",CU45&gt;=$F45),$I45,IF(AND($E45&lt;&gt;"",CU45&gt;=$E45),$H45,$G45))))</f>
        <v/>
      </c>
      <c r="CV46" s="0" t="str">
        <f aca="false">IF(CV45="","",IF($D45=0,$J45,IF(AND($F45&lt;&gt;"",CV45&gt;=$F45),$I45,IF(AND($E45&lt;&gt;"",CV45&gt;=$E45),$H45,$G45))))</f>
        <v/>
      </c>
      <c r="CW46" s="0" t="str">
        <f aca="false">IF(CW45="","",IF($D45=0,$J45,IF(AND($F45&lt;&gt;"",CW45&gt;=$F45),$I45,IF(AND($E45&lt;&gt;"",CW45&gt;=$E45),$H45,$G45))))</f>
        <v/>
      </c>
      <c r="CX46" s="0" t="str">
        <f aca="false">IF(CX45="","",IF($D45=0,$J45,IF(AND($F45&lt;&gt;"",CX45&gt;=$F45),$I45,IF(AND($E45&lt;&gt;"",CX45&gt;=$E45),$H45,$G45))))</f>
        <v/>
      </c>
      <c r="CY46" s="0" t="str">
        <f aca="false">IF(CY45="","",IF($D45=0,$J45,IF(AND($F45&lt;&gt;"",CY45&gt;=$F45),$I45,IF(AND($E45&lt;&gt;"",CY45&gt;=$E45),$H45,$G45))))</f>
        <v/>
      </c>
      <c r="CZ46" s="0" t="str">
        <f aca="false">IF(CZ45="","",IF($D45=0,$J45,IF(AND($F45&lt;&gt;"",CZ45&gt;=$F45),$I45,IF(AND($E45&lt;&gt;"",CZ45&gt;=$E45),$H45,$G45))))</f>
        <v/>
      </c>
      <c r="DA46" s="0" t="str">
        <f aca="false">IF(DA45="","",IF($D45=0,$J45,IF(AND($F45&lt;&gt;"",DA45&gt;=$F45),$I45,IF(AND($E45&lt;&gt;"",DA45&gt;=$E45),$H45,$G45))))</f>
        <v/>
      </c>
      <c r="DB46" s="0" t="str">
        <f aca="false">IF(DB45="","",IF($D45=0,$J45,IF(AND($F45&lt;&gt;"",DB45&gt;=$F45),$I45,IF(AND($E45&lt;&gt;"",DB45&gt;=$E45),$H45,$G45))))</f>
        <v/>
      </c>
      <c r="DC46" s="0" t="str">
        <f aca="false">IF(DC45="","",IF($D45=0,$J45,IF(AND($F45&lt;&gt;"",DC45&gt;=$F45),$I45,IF(AND($E45&lt;&gt;"",DC45&gt;=$E45),$H45,$G45))))</f>
        <v/>
      </c>
      <c r="DD46" s="0" t="str">
        <f aca="false">IF(DD45="","",IF($D45=0,$J45,IF(AND($F45&lt;&gt;"",DD45&gt;=$F45),$I45,IF(AND($E45&lt;&gt;"",DD45&gt;=$E45),$H45,$G45))))</f>
        <v/>
      </c>
      <c r="DE46" s="0" t="str">
        <f aca="false">IF(DE45="","",IF($D45=0,$J45,IF(AND($F45&lt;&gt;"",DE45&gt;=$F45),$I45,IF(AND($E45&lt;&gt;"",DE45&gt;=$E45),$H45,$G45))))</f>
        <v/>
      </c>
      <c r="DF46" s="0" t="str">
        <f aca="false">IF(DF45="","",IF($D45=0,$J45,IF(AND($F45&lt;&gt;"",DF45&gt;=$F45),$I45,IF(AND($E45&lt;&gt;"",DF45&gt;=$E45),$H45,$G45))))</f>
        <v/>
      </c>
      <c r="DG46" s="0" t="str">
        <f aca="false">IF(DG45="","",IF($D45=0,$J45,IF(AND($F45&lt;&gt;"",DG45&gt;=$F45),$I45,IF(AND($E45&lt;&gt;"",DG45&gt;=$E45),$H45,$G45))))</f>
        <v/>
      </c>
      <c r="DH46" s="0" t="str">
        <f aca="false">IF(DH45="","",IF($D45=0,$J45,IF(AND($F45&lt;&gt;"",DH45&gt;=$F45),$I45,IF(AND($E45&lt;&gt;"",DH45&gt;=$E45),$H45,$G45))))</f>
        <v/>
      </c>
      <c r="DI46" s="0" t="str">
        <f aca="false">IF(DI45="","",IF($D45=0,$J45,IF(AND($F45&lt;&gt;"",DI45&gt;=$F45),$I45,IF(AND($E45&lt;&gt;"",DI45&gt;=$E45),$H45,$G45))))</f>
        <v/>
      </c>
      <c r="DJ46" s="0" t="str">
        <f aca="false">IF(DJ45="","",IF($D45=0,$J45,IF(AND($F45&lt;&gt;"",DJ45&gt;=$F45),$I45,IF(AND($E45&lt;&gt;"",DJ45&gt;=$E45),$H45,$G45))))</f>
        <v/>
      </c>
      <c r="DK46" s="0" t="str">
        <f aca="false">IF(DK45="","",IF($D45=0,$J45,IF(AND($F45&lt;&gt;"",DK45&gt;=$F45),$I45,IF(AND($E45&lt;&gt;"",DK45&gt;=$E45),$H45,$G45))))</f>
        <v/>
      </c>
      <c r="DL46" s="0" t="str">
        <f aca="false">IF(DL45="","",IF($D45=0,$J45,IF(AND($F45&lt;&gt;"",DL45&gt;=$F45),$I45,IF(AND($E45&lt;&gt;"",DL45&gt;=$E45),$H45,$G45))))</f>
        <v/>
      </c>
      <c r="DM46" s="0" t="str">
        <f aca="false">IF(DM45="","",IF($D45=0,$J45,IF(AND($F45&lt;&gt;"",DM45&gt;=$F45),$I45,IF(AND($E45&lt;&gt;"",DM45&gt;=$E45),$H45,$G45))))</f>
        <v/>
      </c>
      <c r="DN46" s="0" t="str">
        <f aca="false">IF(DN45="","",IF($D45=0,$J45,IF(AND($F45&lt;&gt;"",DN45&gt;=$F45),$I45,IF(AND($E45&lt;&gt;"",DN45&gt;=$E45),$H45,$G45))))</f>
        <v/>
      </c>
      <c r="DO46" s="0" t="str">
        <f aca="false">IF(DO45="","",IF($D45=0,$J45,IF(AND($F45&lt;&gt;"",DO45&gt;=$F45),$I45,IF(AND($E45&lt;&gt;"",DO45&gt;=$E45),$H45,$G45))))</f>
        <v/>
      </c>
      <c r="DP46" s="0" t="str">
        <f aca="false">IF(DP45="","",IF($D45=0,$J45,IF(AND($F45&lt;&gt;"",DP45&gt;=$F45),$I45,IF(AND($E45&lt;&gt;"",DP45&gt;=$E45),$H45,$G45))))</f>
        <v/>
      </c>
      <c r="DQ46" s="0" t="str">
        <f aca="false">IF(DQ45="","",IF($D45=0,$J45,IF(AND($F45&lt;&gt;"",DQ45&gt;=$F45),$I45,IF(AND($E45&lt;&gt;"",DQ45&gt;=$E45),$H45,$G45))))</f>
        <v/>
      </c>
      <c r="DR46" s="0" t="str">
        <f aca="false">IF(DR45="","",IF($D45=0,$J45,IF(AND($F45&lt;&gt;"",DR45&gt;=$F45),$I45,IF(AND($E45&lt;&gt;"",DR45&gt;=$E45),$H45,$G45))))</f>
        <v/>
      </c>
      <c r="DS46" s="0" t="str">
        <f aca="false">IF(DS45="","",IF($D45=0,$J45,IF(AND($F45&lt;&gt;"",DS45&gt;=$F45),$I45,IF(AND($E45&lt;&gt;"",DS45&gt;=$E45),$H45,$G45))))</f>
        <v/>
      </c>
      <c r="DT46" s="0" t="str">
        <f aca="false">IF(DT45="","",IF($D45=0,$J45,IF(AND($F45&lt;&gt;"",DT45&gt;=$F45),$I45,IF(AND($E45&lt;&gt;"",DT45&gt;=$E45),$H45,$G45))))</f>
        <v/>
      </c>
      <c r="DU46" s="0" t="str">
        <f aca="false">IF(DU45="","",IF($D45=0,$J45,IF(AND($F45&lt;&gt;"",DU45&gt;=$F45),$I45,IF(AND($E45&lt;&gt;"",DU45&gt;=$E45),$H45,$G45))))</f>
        <v/>
      </c>
      <c r="DV46" s="0" t="str">
        <f aca="false">IF(DV45="","",IF($D45=0,$J45,IF(AND($F45&lt;&gt;"",DV45&gt;=$F45),$I45,IF(AND($E45&lt;&gt;"",DV45&gt;=$E45),$H45,$G45))))</f>
        <v/>
      </c>
      <c r="DW46" s="0" t="str">
        <f aca="false">IF(DW45="","",IF($D45=0,$J45,IF(AND($F45&lt;&gt;"",DW45&gt;=$F45),$I45,IF(AND($E45&lt;&gt;"",DW45&gt;=$E45),$H45,$G45))))</f>
        <v/>
      </c>
      <c r="DX46" s="0" t="str">
        <f aca="false">IF(DX45="","",IF($D45=0,$J45,IF(AND($F45&lt;&gt;"",DX45&gt;=$F45),$I45,IF(AND($E45&lt;&gt;"",DX45&gt;=$E45),$H45,$G45))))</f>
        <v/>
      </c>
      <c r="DY46" s="0" t="str">
        <f aca="false">IF(DY45="","",IF($D45=0,$J45,IF(AND($F45&lt;&gt;"",DY45&gt;=$F45),$I45,IF(AND($E45&lt;&gt;"",DY45&gt;=$E45),$H45,$G45))))</f>
        <v/>
      </c>
      <c r="DZ46" s="0" t="str">
        <f aca="false">IF(DZ45="","",IF($D45=0,$J45,IF(AND($F45&lt;&gt;"",DZ45&gt;=$F45),$I45,IF(AND($E45&lt;&gt;"",DZ45&gt;=$E45),$H45,$G45))))</f>
        <v/>
      </c>
      <c r="EA46" s="0" t="str">
        <f aca="false">IF(EA45="","",IF($D45=0,$J45,IF(AND($F45&lt;&gt;"",EA45&gt;=$F45),$I45,IF(AND($E45&lt;&gt;"",EA45&gt;=$E45),$H45,$G45))))</f>
        <v/>
      </c>
      <c r="EB46" s="0" t="str">
        <f aca="false">IF(EB45="","",IF($D45=0,$J45,IF(AND($F45&lt;&gt;"",EB45&gt;=$F45),$I45,IF(AND($E45&lt;&gt;"",EB45&gt;=$E45),$H45,$G45))))</f>
        <v/>
      </c>
      <c r="EC46" s="0" t="str">
        <f aca="false">IF(EC45="","",IF($D45=0,$J45,IF(AND($F45&lt;&gt;"",EC45&gt;=$F45),$I45,IF(AND($E45&lt;&gt;"",EC45&gt;=$E45),$H45,$G45))))</f>
        <v/>
      </c>
      <c r="ED46" s="0" t="str">
        <f aca="false">IF(ED45="","",IF($D45=0,$J45,IF(AND($F45&lt;&gt;"",ED45&gt;=$F45),$I45,IF(AND($E45&lt;&gt;"",ED45&gt;=$E45),$H45,$G45))))</f>
        <v/>
      </c>
      <c r="EE46" s="0" t="str">
        <f aca="false">IF(EE45="","",IF($D45=0,$J45,IF(AND($F45&lt;&gt;"",EE45&gt;=$F45),$I45,IF(AND($E45&lt;&gt;"",EE45&gt;=$E45),$H45,$G45))))</f>
        <v/>
      </c>
      <c r="EF46" s="0" t="str">
        <f aca="false">IF(EF45="","",IF($D45=0,$J45,IF(AND($F45&lt;&gt;"",EF45&gt;=$F45),$I45,IF(AND($E45&lt;&gt;"",EF45&gt;=$E45),$H45,$G45))))</f>
        <v/>
      </c>
      <c r="EG46" s="0" t="str">
        <f aca="false">IF(EG45="","",IF($D45=0,$J45,IF(AND($F45&lt;&gt;"",EG45&gt;=$F45),$I45,IF(AND($E45&lt;&gt;"",EG45&gt;=$E45),$H45,$G45))))</f>
        <v/>
      </c>
      <c r="EH46" s="0" t="str">
        <f aca="false">IF(EH45="","",IF($D45=0,$J45,IF(AND($F45&lt;&gt;"",EH45&gt;=$F45),$I45,IF(AND($E45&lt;&gt;"",EH45&gt;=$E45),$H45,$G45))))</f>
        <v/>
      </c>
      <c r="EI46" s="0" t="str">
        <f aca="false">IF(EI45="","",IF($D45=0,$J45,IF(AND($F45&lt;&gt;"",EI45&gt;=$F45),$I45,IF(AND($E45&lt;&gt;"",EI45&gt;=$E45),$H45,$G45))))</f>
        <v/>
      </c>
      <c r="EJ46" s="0" t="str">
        <f aca="false">IF(EJ45="","",IF($D45=0,$J45,IF(AND($F45&lt;&gt;"",EJ45&gt;=$F45),$I45,IF(AND($E45&lt;&gt;"",EJ45&gt;=$E45),$H45,$G45))))</f>
        <v/>
      </c>
      <c r="EK46" s="0" t="str">
        <f aca="false">IF(EK45="","",IF($D45=0,$J45,IF(AND($F45&lt;&gt;"",EK45&gt;=$F45),$I45,IF(AND($E45&lt;&gt;"",EK45&gt;=$E45),$H45,$G45))))</f>
        <v/>
      </c>
      <c r="EL46" s="0" t="str">
        <f aca="false">IF(EL45="","",IF($D45=0,$J45,IF(AND($F45&lt;&gt;"",EL45&gt;=$F45),$I45,IF(AND($E45&lt;&gt;"",EL45&gt;=$E45),$H45,$G45))))</f>
        <v/>
      </c>
      <c r="EM46" s="0" t="str">
        <f aca="false">IF(EM45="","",IF($D45=0,$J45,IF(AND($F45&lt;&gt;"",EM45&gt;=$F45),$I45,IF(AND($E45&lt;&gt;"",EM45&gt;=$E45),$H45,$G45))))</f>
        <v/>
      </c>
      <c r="EN46" s="0" t="str">
        <f aca="false">IF(EN45="","",IF($D45=0,$J45,IF(AND($F45&lt;&gt;"",EN45&gt;=$F45),$I45,IF(AND($E45&lt;&gt;"",EN45&gt;=$E45),$H45,$G45))))</f>
        <v/>
      </c>
      <c r="EO46" s="0" t="str">
        <f aca="false">IF(EO45="","",IF($D45=0,$J45,IF(AND($F45&lt;&gt;"",EO45&gt;=$F45),$I45,IF(AND($E45&lt;&gt;"",EO45&gt;=$E45),$H45,$G45))))</f>
        <v/>
      </c>
      <c r="EP46" s="0" t="str">
        <f aca="false">IF(EP45="","",IF($D45=0,$J45,IF(AND($F45&lt;&gt;"",EP45&gt;=$F45),$I45,IF(AND($E45&lt;&gt;"",EP45&gt;=$E45),$H45,$G45))))</f>
        <v/>
      </c>
      <c r="EQ46" s="0" t="str">
        <f aca="false">IF(EQ45="","",IF($D45=0,$J45,IF(AND($F45&lt;&gt;"",EQ45&gt;=$F45),$I45,IF(AND($E45&lt;&gt;"",EQ45&gt;=$E45),$H45,$G45))))</f>
        <v/>
      </c>
      <c r="ER46" s="0" t="str">
        <f aca="false">IF(ER45="","",IF($D45=0,$J45,IF(AND($F45&lt;&gt;"",ER45&gt;=$F45),$I45,IF(AND($E45&lt;&gt;"",ER45&gt;=$E45),$H45,$G45))))</f>
        <v/>
      </c>
      <c r="ES46" s="0" t="str">
        <f aca="false">IF(ES45="","",IF($D45=0,$J45,IF(AND($F45&lt;&gt;"",ES45&gt;=$F45),$I45,IF(AND($E45&lt;&gt;"",ES45&gt;=$E45),$H45,$G45))))</f>
        <v/>
      </c>
      <c r="ET46" s="0" t="str">
        <f aca="false">IF(ET45="","",IF($D45=0,$J45,IF(AND($F45&lt;&gt;"",ET45&gt;=$F45),$I45,IF(AND($E45&lt;&gt;"",ET45&gt;=$E45),$H45,$G45))))</f>
        <v/>
      </c>
      <c r="EU46" s="0" t="str">
        <f aca="false">IF(EU45="","",IF($D45=0,$J45,IF(AND($F45&lt;&gt;"",EU45&gt;=$F45),$I45,IF(AND($E45&lt;&gt;"",EU45&gt;=$E45),$H45,$G45))))</f>
        <v/>
      </c>
      <c r="EV46" s="0" t="str">
        <f aca="false">IF(EV45="","",IF($D45=0,$J45,IF(AND($F45&lt;&gt;"",EV45&gt;=$F45),$I45,IF(AND($E45&lt;&gt;"",EV45&gt;=$E45),$H45,$G45))))</f>
        <v/>
      </c>
      <c r="EW46" s="0" t="str">
        <f aca="false">IF(EW45="","",IF($D45=0,$J45,IF(AND($F45&lt;&gt;"",EW45&gt;=$F45),$I45,IF(AND($E45&lt;&gt;"",EW45&gt;=$E45),$H45,$G45))))</f>
        <v/>
      </c>
      <c r="EX46" s="0" t="str">
        <f aca="false">IF(EX45="","",IF($D45=0,$J45,IF(AND($F45&lt;&gt;"",EX45&gt;=$F45),$I45,IF(AND($E45&lt;&gt;"",EX45&gt;=$E45),$H45,$G45))))</f>
        <v/>
      </c>
      <c r="EY46" s="0" t="str">
        <f aca="false">IF(EY45="","",IF($D45=0,$J45,IF(AND($F45&lt;&gt;"",EY45&gt;=$F45),$I45,IF(AND($E45&lt;&gt;"",EY45&gt;=$E45),$H45,$G45))))</f>
        <v/>
      </c>
      <c r="EZ46" s="0" t="str">
        <f aca="false">IF(EZ45="","",IF($D45=0,$J45,IF(AND($F45&lt;&gt;"",EZ45&gt;=$F45),$I45,IF(AND($E45&lt;&gt;"",EZ45&gt;=$E45),$H45,$G45))))</f>
        <v/>
      </c>
      <c r="FA46" s="0" t="str">
        <f aca="false">IF(FA45="","",IF($D45=0,$J45,IF(AND($F45&lt;&gt;"",FA45&gt;=$F45),$I45,IF(AND($E45&lt;&gt;"",FA45&gt;=$E45),$H45,$G45))))</f>
        <v/>
      </c>
      <c r="FB46" s="0" t="str">
        <f aca="false">IF(FB45="","",IF($D45=0,$J45,IF(AND($F45&lt;&gt;"",FB45&gt;=$F45),$I45,IF(AND($E45&lt;&gt;"",FB45&gt;=$E45),$H45,$G45))))</f>
        <v/>
      </c>
      <c r="FC46" s="0" t="str">
        <f aca="false">IF(FC45="","",IF($D45=0,$J45,IF(AND($F45&lt;&gt;"",FC45&gt;=$F45),$I45,IF(AND($E45&lt;&gt;"",FC45&gt;=$E45),$H45,$G45))))</f>
        <v/>
      </c>
      <c r="FD46" s="0" t="str">
        <f aca="false">IF(FD45="","",IF($D45=0,$J45,IF(AND($F45&lt;&gt;"",FD45&gt;=$F45),$I45,IF(AND($E45&lt;&gt;"",FD45&gt;=$E45),$H45,$G45))))</f>
        <v/>
      </c>
      <c r="FE46" s="0" t="str">
        <f aca="false">IF(FE45="","",IF($D45=0,$J45,IF(AND($F45&lt;&gt;"",FE45&gt;=$F45),$I45,IF(AND($E45&lt;&gt;"",FE45&gt;=$E45),$H45,$G45))))</f>
        <v/>
      </c>
      <c r="FF46" s="0" t="str">
        <f aca="false">IF(FF45="","",IF($D45=0,$J45,IF(AND($F45&lt;&gt;"",FF45&gt;=$F45),$I45,IF(AND($E45&lt;&gt;"",FF45&gt;=$E45),$H45,$G45))))</f>
        <v/>
      </c>
      <c r="FG46" s="0" t="str">
        <f aca="false">IF(FG45="","",IF($D45=0,$J45,IF(AND($F45&lt;&gt;"",FG45&gt;=$F45),$I45,IF(AND($E45&lt;&gt;"",FG45&gt;=$E45),$H45,$G45))))</f>
        <v/>
      </c>
      <c r="FH46" s="0" t="str">
        <f aca="false">IF(FH45="","",IF($D45=0,$J45,IF(AND($F45&lt;&gt;"",FH45&gt;=$F45),$I45,IF(AND($E45&lt;&gt;"",FH45&gt;=$E45),$H45,$G45))))</f>
        <v/>
      </c>
      <c r="FI46" s="0" t="str">
        <f aca="false">IF(FI45="","",IF($D45=0,$J45,IF(AND($F45&lt;&gt;"",FI45&gt;=$F45),$I45,IF(AND($E45&lt;&gt;"",FI45&gt;=$E45),$H45,$G45))))</f>
        <v/>
      </c>
      <c r="FJ46" s="0" t="str">
        <f aca="false">IF(FJ45="","",IF($D45=0,$J45,IF(AND($F45&lt;&gt;"",FJ45&gt;=$F45),$I45,IF(AND($E45&lt;&gt;"",FJ45&gt;=$E45),$H45,$G45))))</f>
        <v/>
      </c>
      <c r="FK46" s="0" t="str">
        <f aca="false">IF(FK45="","",IF($D45=0,$J45,IF(AND($F45&lt;&gt;"",FK45&gt;=$F45),$I45,IF(AND($E45&lt;&gt;"",FK45&gt;=$E45),$H45,$G45))))</f>
        <v/>
      </c>
      <c r="FL46" s="0" t="str">
        <f aca="false">IF(FL45="","",IF($D45=0,$J45,IF(AND($F45&lt;&gt;"",FL45&gt;=$F45),$I45,IF(AND($E45&lt;&gt;"",FL45&gt;=$E45),$H45,$G45))))</f>
        <v/>
      </c>
      <c r="FM46" s="0" t="str">
        <f aca="false">IF(FM45="","",IF($D45=0,$J45,IF(AND($F45&lt;&gt;"",FM45&gt;=$F45),$I45,IF(AND($E45&lt;&gt;"",FM45&gt;=$E45),$H45,$G45))))</f>
        <v/>
      </c>
      <c r="FN46" s="0" t="str">
        <f aca="false">IF(FN45="","",IF($D45=0,$J45,IF(AND($F45&lt;&gt;"",FN45&gt;=$F45),$I45,IF(AND($E45&lt;&gt;"",FN45&gt;=$E45),$H45,$G45))))</f>
        <v/>
      </c>
      <c r="FO46" s="0" t="str">
        <f aca="false">IF(FO45="","",IF($D45=0,$J45,IF(AND($F45&lt;&gt;"",FO45&gt;=$F45),$I45,IF(AND($E45&lt;&gt;"",FO45&gt;=$E45),$H45,$G45))))</f>
        <v/>
      </c>
      <c r="FP46" s="0" t="str">
        <f aca="false">IF(FP45="","",IF($D45=0,$J45,IF(AND($F45&lt;&gt;"",FP45&gt;=$F45),$I45,IF(AND($E45&lt;&gt;"",FP45&gt;=$E45),$H45,$G45))))</f>
        <v/>
      </c>
      <c r="FQ46" s="0" t="str">
        <f aca="false">IF(FQ45="","",IF($D45=0,$J45,IF(AND($F45&lt;&gt;"",FQ45&gt;=$F45),$I45,IF(AND($E45&lt;&gt;"",FQ45&gt;=$E45),$H45,$G45))))</f>
        <v/>
      </c>
      <c r="FR46" s="0" t="str">
        <f aca="false">IF(FR45="","",IF($D45=0,$J45,IF(AND($F45&lt;&gt;"",FR45&gt;=$F45),$I45,IF(AND($E45&lt;&gt;"",FR45&gt;=$E45),$H45,$G45))))</f>
        <v/>
      </c>
      <c r="FS46" s="0" t="str">
        <f aca="false">IF(FS45="","",IF($D45=0,$J45,IF(AND($F45&lt;&gt;"",FS45&gt;=$F45),$I45,IF(AND($E45&lt;&gt;"",FS45&gt;=$E45),$H45,$G45))))</f>
        <v/>
      </c>
      <c r="FT46" s="0" t="str">
        <f aca="false">IF(FT45="","",IF($D45=0,$J45,IF(AND($F45&lt;&gt;"",FT45&gt;=$F45),$I45,IF(AND($E45&lt;&gt;"",FT45&gt;=$E45),$H45,$G45))))</f>
        <v/>
      </c>
      <c r="FU46" s="0" t="str">
        <f aca="false">IF(FU45="","",IF($D45=0,$J45,IF(AND($F45&lt;&gt;"",FU45&gt;=$F45),$I45,IF(AND($E45&lt;&gt;"",FU45&gt;=$E45),$H45,$G45))))</f>
        <v/>
      </c>
      <c r="FV46" s="0" t="str">
        <f aca="false">IF(FV45="","",IF($D45=0,$J45,IF(AND($F45&lt;&gt;"",FV45&gt;=$F45),$I45,IF(AND($E45&lt;&gt;"",FV45&gt;=$E45),$H45,$G45))))</f>
        <v/>
      </c>
      <c r="FW46" s="0" t="str">
        <f aca="false">IF(FW45="","",IF($D45=0,$J45,IF(AND($F45&lt;&gt;"",FW45&gt;=$F45),$I45,IF(AND($E45&lt;&gt;"",FW45&gt;=$E45),$H45,$G45))))</f>
        <v/>
      </c>
      <c r="FX46" s="0" t="str">
        <f aca="false">IF(FX45="","",IF($D45=0,$J45,IF(AND($F45&lt;&gt;"",FX45&gt;=$F45),$I45,IF(AND($E45&lt;&gt;"",FX45&gt;=$E45),$H45,$G45))))</f>
        <v/>
      </c>
      <c r="FY46" s="0" t="str">
        <f aca="false">IF(FY45="","",IF($D45=0,$J45,IF(AND($F45&lt;&gt;"",FY45&gt;=$F45),$I45,IF(AND($E45&lt;&gt;"",FY45&gt;=$E45),$H45,$G45))))</f>
        <v/>
      </c>
      <c r="FZ46" s="0" t="str">
        <f aca="false">IF(FZ45="","",IF($D45=0,$J45,IF(AND($F45&lt;&gt;"",FZ45&gt;=$F45),$I45,IF(AND($E45&lt;&gt;"",FZ45&gt;=$E45),$H45,$G45))))</f>
        <v/>
      </c>
      <c r="GA46" s="0" t="str">
        <f aca="false">IF(GA45="","",IF($D45=0,$J45,IF(AND($F45&lt;&gt;"",GA45&gt;=$F45),$I45,IF(AND($E45&lt;&gt;"",GA45&gt;=$E45),$H45,$G45))))</f>
        <v/>
      </c>
      <c r="GB46" s="0" t="str">
        <f aca="false">IF(GB45="","",IF($D45=0,$J45,IF(AND($F45&lt;&gt;"",GB45&gt;=$F45),$I45,IF(AND($E45&lt;&gt;"",GB45&gt;=$E45),$H45,$G45))))</f>
        <v/>
      </c>
      <c r="GC46" s="0" t="str">
        <f aca="false">IF(GC45="","",IF($D45=0,$J45,IF(AND($F45&lt;&gt;"",GC45&gt;=$F45),$I45,IF(AND($E45&lt;&gt;"",GC45&gt;=$E45),$H45,$G45))))</f>
        <v/>
      </c>
      <c r="GD46" s="0" t="str">
        <f aca="false">IF(GD45="","",IF($D45=0,$J45,IF(AND($F45&lt;&gt;"",GD45&gt;=$F45),$I45,IF(AND($E45&lt;&gt;"",GD45&gt;=$E45),$H45,$G45))))</f>
        <v/>
      </c>
      <c r="GE46" s="0" t="str">
        <f aca="false">IF(GE45="","",IF($D45=0,$J45,IF(AND($F45&lt;&gt;"",GE45&gt;=$F45),$I45,IF(AND($E45&lt;&gt;"",GE45&gt;=$E45),$H45,$G45))))</f>
        <v/>
      </c>
      <c r="GF46" s="0" t="str">
        <f aca="false">IF(GF45="","",IF($D45=0,$J45,IF(AND($F45&lt;&gt;"",GF45&gt;=$F45),$I45,IF(AND($E45&lt;&gt;"",GF45&gt;=$E45),$H45,$G45))))</f>
        <v/>
      </c>
      <c r="GG46" s="0" t="str">
        <f aca="false">IF(GG45="","",IF($D45=0,$J45,IF(AND($F45&lt;&gt;"",GG45&gt;=$F45),$I45,IF(AND($E45&lt;&gt;"",GG45&gt;=$E45),$H45,$G45))))</f>
        <v/>
      </c>
      <c r="GH46" s="0" t="str">
        <f aca="false">IF(GH45="","",IF($D45=0,$J45,IF(AND($F45&lt;&gt;"",GH45&gt;=$F45),$I45,IF(AND($E45&lt;&gt;"",GH45&gt;=$E45),$H45,$G45))))</f>
        <v/>
      </c>
      <c r="GI46" s="0" t="str">
        <f aca="false">IF(GI45="","",IF($D45=0,$J45,IF(AND($F45&lt;&gt;"",GI45&gt;=$F45),$I45,IF(AND($E45&lt;&gt;"",GI45&gt;=$E45),$H45,$G45))))</f>
        <v/>
      </c>
    </row>
    <row r="47" customFormat="false" ht="15" hidden="false" customHeight="false" outlineLevel="0" collapsed="false">
      <c r="K47" s="0" t="s">
        <v>264</v>
      </c>
      <c r="L47" s="0" t="n">
        <f aca="false">IF(L45="",0,IF(AND(L46=Milestones!$AB$20,L45&gt;=SchemeStart),IF(AND(Milestones!$AB$20="FT",Milestones!$AA$20=FT_Y5,L45&lt;PolicyEff),1,Milestones!$AC$20),0))</f>
        <v>0</v>
      </c>
      <c r="M47" s="0" t="n">
        <f aca="false">IF(M45="",0,IF(AND(M46=Milestones!$AB$21,M45&gt;=SchemeStart),IF(AND(Milestones!$AB$21="FT",Milestones!$AA$21=FT_Y5,M45&lt;PolicyEff),1,Milestones!$AC$21),0))</f>
        <v>0</v>
      </c>
      <c r="N47" s="0" t="n">
        <f aca="false">IF(N45="",0,IF(AND(N46=Milestones!$AB$22,N45&gt;=SchemeStart),IF(AND(Milestones!$AB$22="FT",Milestones!$AA$22=FT_Y5,N45&lt;PolicyEff),1,Milestones!$AC$22),0))</f>
        <v>0</v>
      </c>
      <c r="O47" s="0" t="n">
        <f aca="false">IF(O45="",0,IF(AND(O46=Milestones!$AB$23,O45&gt;=SchemeStart),IF(AND(Milestones!$AB$23="FT",Milestones!$AA$23=FT_Y5,O45&lt;PolicyEff),1,Milestones!$AC$23),0))</f>
        <v>0</v>
      </c>
      <c r="P47" s="0" t="n">
        <f aca="false">IF(P45="",0,IF(AND(P46=Milestones!$AB$24,P45&gt;=SchemeStart),IF(AND(Milestones!$AB$24="FT",Milestones!$AA$24=FT_Y5,P45&lt;PolicyEff),1,Milestones!$AC$24),0))</f>
        <v>0</v>
      </c>
      <c r="Q47" s="0" t="n">
        <f aca="false">IF(Q45="",0,IF(AND(Q46=Milestones!$AB$25,Q45&gt;=SchemeStart),IF(AND(Milestones!$AB$25="FT",Milestones!$AA$25=FT_Y5,Q45&lt;PolicyEff),1,Milestones!$AC$25),0))</f>
        <v>0</v>
      </c>
      <c r="R47" s="0" t="n">
        <f aca="false">IF(R45="",0,IF(AND(R46=Milestones!$AB$26,R45&gt;=SchemeStart),IF(AND(Milestones!$AB$26="FT",Milestones!$AA$26=FT_Y5,R45&lt;PolicyEff),1,Milestones!$AC$26),0))</f>
        <v>0</v>
      </c>
      <c r="S47" s="0" t="n">
        <f aca="false">IF(S45="",0,IF(AND(S46=Milestones!$AB$27,S45&gt;=SchemeStart),IF(AND(Milestones!$AB$27="FT",Milestones!$AA$27=FT_Y5,S45&lt;PolicyEff),1,Milestones!$AC$27),0))</f>
        <v>0</v>
      </c>
      <c r="T47" s="0" t="n">
        <f aca="false">IF(T45="",0,IF(AND(T46=Milestones!$AB$28,T45&gt;=SchemeStart),IF(AND(Milestones!$AB$28="FT",Milestones!$AA$28=FT_Y5,T45&lt;PolicyEff),1,Milestones!$AC$28),0))</f>
        <v>0</v>
      </c>
      <c r="U47" s="0" t="n">
        <f aca="false">IF(U45="",0,IF(AND(U46=Milestones!$AB$29,U45&gt;=SchemeStart),IF(AND(Milestones!$AB$29="FT",Milestones!$AA$29=FT_Y5,U45&lt;PolicyEff),1,Milestones!$AC$29),0))</f>
        <v>0</v>
      </c>
      <c r="V47" s="0" t="n">
        <f aca="false">IF(V45="",0,IF(AND(V46=Milestones!$AB$30,V45&gt;=SchemeStart),IF(AND(Milestones!$AB$30="FT",Milestones!$AA$30=FT_Y5,V45&lt;PolicyEff),1,Milestones!$AC$30),0))</f>
        <v>0</v>
      </c>
      <c r="W47" s="0" t="n">
        <f aca="false">IF(W45="",0,IF(AND(W46=Milestones!$AB$31,W45&gt;=SchemeStart),IF(AND(Milestones!$AB$31="FT",Milestones!$AA$31=FT_Y5,W45&lt;PolicyEff),1,Milestones!$AC$31),0))</f>
        <v>0</v>
      </c>
      <c r="X47" s="0" t="n">
        <f aca="false">IF(X45="",0,IF(AND(X46=Milestones!$AB$32,X45&gt;=SchemeStart),IF(AND(Milestones!$AB$32="FT",Milestones!$AA$32=FT_Y5,X45&lt;PolicyEff),1,Milestones!$AC$32),0))</f>
        <v>0</v>
      </c>
      <c r="Y47" s="0" t="n">
        <f aca="false">IF(Y45="",0,IF(AND(Y46=Milestones!$AB$33,Y45&gt;=SchemeStart),IF(AND(Milestones!$AB$33="FT",Milestones!$AA$33=FT_Y5,Y45&lt;PolicyEff),1,Milestones!$AC$33),0))</f>
        <v>0</v>
      </c>
      <c r="Z47" s="0" t="n">
        <f aca="false">IF(Z45="",0,IF(AND(Z46=Milestones!$AB$34,Z45&gt;=SchemeStart),IF(AND(Milestones!$AB$34="FT",Milestones!$AA$34=FT_Y5,Z45&lt;PolicyEff),1,Milestones!$AC$34),0))</f>
        <v>0</v>
      </c>
      <c r="AA47" s="0" t="n">
        <f aca="false">IF(AA45="",0,IF(AND(AA46=Milestones!$AB$35,AA45&gt;=SchemeStart),IF(AND(Milestones!$AB$35="FT",Milestones!$AA$35=FT_Y5,AA45&lt;PolicyEff),1,Milestones!$AC$35),0))</f>
        <v>0</v>
      </c>
      <c r="AB47" s="0" t="n">
        <f aca="false">IF(AB45="",0,IF(AND(AB46=Milestones!$AB$36,AB45&gt;=SchemeStart),IF(AND(Milestones!$AB$36="FT",Milestones!$AA$36=FT_Y5,AB45&lt;PolicyEff),1,Milestones!$AC$36),0))</f>
        <v>0</v>
      </c>
      <c r="AC47" s="0" t="n">
        <f aca="false">IF(AC45="",0,IF(AND(AC46=Milestones!$AB$37,AC45&gt;=SchemeStart),IF(AND(Milestones!$AB$37="FT",Milestones!$AA$37=FT_Y5,AC45&lt;PolicyEff),1,Milestones!$AC$37),0))</f>
        <v>0</v>
      </c>
      <c r="AD47" s="0" t="n">
        <f aca="false">IF(AD45="",0,IF(AND(AD46=Milestones!$AB$38,AD45&gt;=SchemeStart),IF(AND(Milestones!$AB$38="FT",Milestones!$AA$38=FT_Y5,AD45&lt;PolicyEff),1,Milestones!$AC$38),0))</f>
        <v>0</v>
      </c>
      <c r="AE47" s="0" t="n">
        <f aca="false">IF(AE45="",0,IF(AND(AE46=Milestones!$AB$39,AE45&gt;=SchemeStart),IF(AND(Milestones!$AB$39="FT",Milestones!$AA$39=FT_Y5,AE45&lt;PolicyEff),1,Milestones!$AC$39),0))</f>
        <v>0</v>
      </c>
      <c r="AF47" s="0" t="n">
        <f aca="false">IF(AF45="",0,IF(AND(AF46=Milestones!$AB$40,AF45&gt;=SchemeStart),IF(AND(Milestones!$AB$40="FT",Milestones!$AA$40=FT_Y5,AF45&lt;PolicyEff),1,Milestones!$AC$40),0))</f>
        <v>0</v>
      </c>
      <c r="AG47" s="0" t="n">
        <f aca="false">IF(AG45="",0,IF(AND(AG46=Milestones!$AB$41,AG45&gt;=SchemeStart),IF(AND(Milestones!$AB$41="FT",Milestones!$AA$41=FT_Y5,AG45&lt;PolicyEff),1,Milestones!$AC$41),0))</f>
        <v>0</v>
      </c>
      <c r="AH47" s="0" t="n">
        <f aca="false">IF(AH45="",0,IF(AND(AH46=Milestones!$AB$42,AH45&gt;=SchemeStart),IF(AND(Milestones!$AB$42="FT",Milestones!$AA$42=FT_Y5,AH45&lt;PolicyEff),1,Milestones!$AC$42),0))</f>
        <v>0</v>
      </c>
      <c r="AI47" s="0" t="n">
        <f aca="false">IF(AI45="",0,IF(AND(AI46=Milestones!$AB$43,AI45&gt;=SchemeStart),IF(AND(Milestones!$AB$43="FT",Milestones!$AA$43=FT_Y5,AI45&lt;PolicyEff),1,Milestones!$AC$43),0))</f>
        <v>0</v>
      </c>
      <c r="AJ47" s="0" t="n">
        <f aca="false">IF(AJ45="",0,IF(AND(AJ46=Milestones!$AB$44,AJ45&gt;=SchemeStart),IF(AND(Milestones!$AB$44="FT",Milestones!$AA$44=FT_Y5,AJ45&lt;PolicyEff),1,Milestones!$AC$44),0))</f>
        <v>0</v>
      </c>
      <c r="AK47" s="0" t="n">
        <f aca="false">IF(AK45="",0,IF(AND(AK46=Milestones!$AB$45,AK45&gt;=SchemeStart),IF(AND(Milestones!$AB$45="FT",Milestones!$AA$45=FT_Y5,AK45&lt;PolicyEff),1,Milestones!$AC$45),0))</f>
        <v>0</v>
      </c>
      <c r="AL47" s="0" t="n">
        <f aca="false">IF(AL45="",0,IF(AND(AL46=Milestones!$AB$46,AL45&gt;=SchemeStart),IF(AND(Milestones!$AB$46="FT",Milestones!$AA$46=FT_Y5,AL45&lt;PolicyEff),1,Milestones!$AC$46),0))</f>
        <v>0</v>
      </c>
      <c r="AM47" s="0" t="n">
        <f aca="false">IF(AM45="",0,IF(AND(AM46=Milestones!$AB$47,AM45&gt;=SchemeStart),IF(AND(Milestones!$AB$47="FT",Milestones!$AA$47=FT_Y5,AM45&lt;PolicyEff),1,Milestones!$AC$47),0))</f>
        <v>0</v>
      </c>
      <c r="AN47" s="0" t="n">
        <f aca="false">IF(AN45="",0,IF(AND(AN46=Milestones!$AB$48,AN45&gt;=SchemeStart),IF(AND(Milestones!$AB$48="FT",Milestones!$AA$48=FT_Y5,AN45&lt;PolicyEff),1,Milestones!$AC$48),0))</f>
        <v>0</v>
      </c>
      <c r="AO47" s="0" t="n">
        <f aca="false">IF(AO45="",0,IF(AND(AO46=Milestones!$AB$49,AO45&gt;=SchemeStart),IF(AND(Milestones!$AB$49="FT",Milestones!$AA$49=FT_Y5,AO45&lt;PolicyEff),1,Milestones!$AC$49),0))</f>
        <v>0</v>
      </c>
      <c r="AP47" s="0" t="n">
        <f aca="false">IF(AP45="",0,IF(AND(AP46=Milestones!$AB$50,AP45&gt;=SchemeStart),IF(AND(Milestones!$AB$50="FT",Milestones!$AA$50=FT_Y5,AP45&lt;PolicyEff),1,Milestones!$AC$50),0))</f>
        <v>0</v>
      </c>
      <c r="AQ47" s="0" t="n">
        <f aca="false">IF(AQ45="",0,IF(AND(AQ46=Milestones!$AB$51,AQ45&gt;=SchemeStart),IF(AND(Milestones!$AB$51="FT",Milestones!$AA$51=FT_Y5,AQ45&lt;PolicyEff),1,Milestones!$AC$51),0))</f>
        <v>0</v>
      </c>
      <c r="AR47" s="0" t="n">
        <f aca="false">IF(AR45="",0,IF(AND(AR46=Milestones!$AB$52,AR45&gt;=SchemeStart),IF(AND(Milestones!$AB$52="FT",Milestones!$AA$52=FT_Y5,AR45&lt;PolicyEff),1,Milestones!$AC$52),0))</f>
        <v>0</v>
      </c>
      <c r="AS47" s="0" t="n">
        <f aca="false">IF(AS45="",0,IF(AND(AS46=Milestones!$AB$53,AS45&gt;=SchemeStart),IF(AND(Milestones!$AB$53="FT",Milestones!$AA$53=FT_Y5,AS45&lt;PolicyEff),1,Milestones!$AC$53),0))</f>
        <v>0</v>
      </c>
      <c r="AT47" s="0" t="n">
        <f aca="false">IF(AT45="",0,IF(AND(AT46=Milestones!$AB$54,AT45&gt;=SchemeStart),IF(AND(Milestones!$AB$54="FT",Milestones!$AA$54=FT_Y5,AT45&lt;PolicyEff),1,Milestones!$AC$54),0))</f>
        <v>0</v>
      </c>
      <c r="AU47" s="0" t="n">
        <f aca="false">IF(AU45="",0,IF(AND(AU46=Milestones!$AB$55,AU45&gt;=SchemeStart),IF(AND(Milestones!$AB$55="FT",Milestones!$AA$55=FT_Y5,AU45&lt;PolicyEff),1,Milestones!$AC$55),0))</f>
        <v>0</v>
      </c>
      <c r="AV47" s="0" t="n">
        <f aca="false">IF(AV45="",0,IF(AND(AV46=Milestones!$AB$56,AV45&gt;=SchemeStart),IF(AND(Milestones!$AB$56="FT",Milestones!$AA$56=FT_Y5,AV45&lt;PolicyEff),1,Milestones!$AC$56),0))</f>
        <v>0</v>
      </c>
      <c r="AW47" s="0" t="n">
        <f aca="false">IF(AW45="",0,IF(AND(AW46=Milestones!$AB$57,AW45&gt;=SchemeStart),IF(AND(Milestones!$AB$57="FT",Milestones!$AA$57=FT_Y5,AW45&lt;PolicyEff),1,Milestones!$AC$57),0))</f>
        <v>0</v>
      </c>
      <c r="AX47" s="0" t="n">
        <f aca="false">IF(AX45="",0,IF(AND(AX46=Milestones!$AB$58,AX45&gt;=SchemeStart),IF(AND(Milestones!$AB$58="FT",Milestones!$AA$58=FT_Y5,AX45&lt;PolicyEff),1,Milestones!$AC$58),0))</f>
        <v>0</v>
      </c>
      <c r="AY47" s="0" t="n">
        <f aca="false">IF(AY45="",0,IF(AND(AY46=Milestones!$AB$59,AY45&gt;=SchemeStart),IF(AND(Milestones!$AB$59="FT",Milestones!$AA$59=FT_Y5,AY45&lt;PolicyEff),1,Milestones!$AC$59),0))</f>
        <v>0</v>
      </c>
      <c r="AZ47" s="0" t="n">
        <f aca="false">IF(AZ45="",0,IF(AND(AZ46=Milestones!$AB$60,AZ45&gt;=SchemeStart),IF(AND(Milestones!$AB$60="FT",Milestones!$AA$60=FT_Y5,AZ45&lt;PolicyEff),1,Milestones!$AC$60),0))</f>
        <v>0</v>
      </c>
      <c r="BA47" s="0" t="n">
        <f aca="false">IF(BA45="",0,IF(AND(BA46=Milestones!$AB$61,BA45&gt;=SchemeStart),IF(AND(Milestones!$AB$61="FT",Milestones!$AA$61=FT_Y5,BA45&lt;PolicyEff),1,Milestones!$AC$61),0))</f>
        <v>0</v>
      </c>
      <c r="BB47" s="0" t="n">
        <f aca="false">IF(BB45="",0,IF(AND(BB46=Milestones!$AB$62,BB45&gt;=SchemeStart),IF(AND(Milestones!$AB$62="FT",Milestones!$AA$62=FT_Y5,BB45&lt;PolicyEff),1,Milestones!$AC$62),0))</f>
        <v>0</v>
      </c>
      <c r="BC47" s="0" t="n">
        <f aca="false">IF(BC45="",0,IF(AND(BC46=Milestones!$AB$63,BC45&gt;=SchemeStart),IF(AND(Milestones!$AB$63="FT",Milestones!$AA$63=FT_Y5,BC45&lt;PolicyEff),1,Milestones!$AC$63),0))</f>
        <v>0</v>
      </c>
      <c r="BD47" s="0" t="n">
        <f aca="false">IF(BD45="",0,IF(AND(BD46=Milestones!$AB$64,BD45&gt;=SchemeStart),IF(AND(Milestones!$AB$64="FT",Milestones!$AA$64=FT_Y5,BD45&lt;PolicyEff),1,Milestones!$AC$64),0))</f>
        <v>0</v>
      </c>
      <c r="BE47" s="0" t="n">
        <f aca="false">IF(BE45="",0,IF(AND(BE46=Milestones!$AB$65,BE45&gt;=SchemeStart),IF(AND(Milestones!$AB$65="FT",Milestones!$AA$65=FT_Y5,BE45&lt;PolicyEff),1,Milestones!$AC$65),0))</f>
        <v>0</v>
      </c>
      <c r="BF47" s="0" t="n">
        <f aca="false">IF(BF45="",0,IF(AND(BF46=Milestones!$AB$66,BF45&gt;=SchemeStart),IF(AND(Milestones!$AB$66="FT",Milestones!$AA$66=FT_Y5,BF45&lt;PolicyEff),1,Milestones!$AC$66),0))</f>
        <v>0</v>
      </c>
      <c r="BG47" s="0" t="n">
        <f aca="false">IF(BG45="",0,IF(AND(BG46=Milestones!$AB$67,BG45&gt;=SchemeStart),IF(AND(Milestones!$AB$67="FT",Milestones!$AA$67=FT_Y5,BG45&lt;PolicyEff),1,Milestones!$AC$67),0))</f>
        <v>0</v>
      </c>
      <c r="BH47" s="0" t="n">
        <f aca="false">IF(BH45="",0,IF(AND(BH46=Milestones!$AB$68,BH45&gt;=SchemeStart),IF(AND(Milestones!$AB$68="FT",Milestones!$AA$68=FT_Y5,BH45&lt;PolicyEff),1,Milestones!$AC$68),0))</f>
        <v>0</v>
      </c>
      <c r="BI47" s="0" t="n">
        <f aca="false">IF(BI45="",0,IF(AND(BI46=Milestones!$AB$69,BI45&gt;=SchemeStart),IF(AND(Milestones!$AB$69="FT",Milestones!$AA$69=FT_Y5,BI45&lt;PolicyEff),1,Milestones!$AC$69),0))</f>
        <v>0</v>
      </c>
      <c r="BJ47" s="0" t="n">
        <f aca="false">IF(BJ45="",0,IF(AND(BJ46=Milestones!$AB$70,BJ45&gt;=SchemeStart),IF(AND(Milestones!$AB$70="FT",Milestones!$AA$70=FT_Y5,BJ45&lt;PolicyEff),1,Milestones!$AC$70),0))</f>
        <v>0</v>
      </c>
      <c r="BK47" s="0" t="n">
        <f aca="false">IF(BK45="",0,IF(AND(BK46=Milestones!$AB$71,BK45&gt;=SchemeStart),IF(AND(Milestones!$AB$71="FT",Milestones!$AA$71=FT_Y5,BK45&lt;PolicyEff),1,Milestones!$AC$71),0))</f>
        <v>0</v>
      </c>
      <c r="BL47" s="0" t="n">
        <f aca="false">IF(BL45="",0,IF(AND(BL46=Milestones!$AB$72,BL45&gt;=SchemeStart),IF(AND(Milestones!$AB$72="FT",Milestones!$AA$72=FT_Y5,BL45&lt;PolicyEff),1,Milestones!$AC$72),0))</f>
        <v>0</v>
      </c>
      <c r="BM47" s="0" t="n">
        <f aca="false">IF(BM45="",0,IF(AND(BM46=Milestones!$AB$73,BM45&gt;=SchemeStart),IF(AND(Milestones!$AB$73="FT",Milestones!$AA$73=FT_Y5,BM45&lt;PolicyEff),1,Milestones!$AC$73),0))</f>
        <v>0</v>
      </c>
      <c r="BN47" s="0" t="n">
        <f aca="false">IF(BN45="",0,IF(AND(BN46=Milestones!$AB$74,BN45&gt;=SchemeStart),IF(AND(Milestones!$AB$74="FT",Milestones!$AA$74=FT_Y5,BN45&lt;PolicyEff),1,Milestones!$AC$74),0))</f>
        <v>0</v>
      </c>
      <c r="BO47" s="0" t="n">
        <f aca="false">IF(BO45="",0,IF(AND(BO46=Milestones!$AB$75,BO45&gt;=SchemeStart),IF(AND(Milestones!$AB$75="FT",Milestones!$AA$75=FT_Y5,BO45&lt;PolicyEff),1,Milestones!$AC$75),0))</f>
        <v>0</v>
      </c>
      <c r="BP47" s="0" t="n">
        <f aca="false">IF(BP45="",0,IF(AND(BP46=Milestones!$AB$76,BP45&gt;=SchemeStart),IF(AND(Milestones!$AB$76="FT",Milestones!$AA$76=FT_Y5,BP45&lt;PolicyEff),1,Milestones!$AC$76),0))</f>
        <v>0</v>
      </c>
      <c r="BQ47" s="0" t="n">
        <f aca="false">IF(BQ45="",0,IF(AND(BQ46=Milestones!$AB$77,BQ45&gt;=SchemeStart),IF(AND(Milestones!$AB$77="FT",Milestones!$AA$77=FT_Y5,BQ45&lt;PolicyEff),1,Milestones!$AC$77),0))</f>
        <v>0</v>
      </c>
      <c r="BR47" s="0" t="n">
        <f aca="false">IF(BR45="",0,IF(AND(BR46=Milestones!$AB$78,BR45&gt;=SchemeStart),IF(AND(Milestones!$AB$78="FT",Milestones!$AA$78=FT_Y5,BR45&lt;PolicyEff),1,Milestones!$AC$78),0))</f>
        <v>0</v>
      </c>
      <c r="BS47" s="0" t="n">
        <f aca="false">IF(BS45="",0,IF(AND(BS46=Milestones!$AB$79,BS45&gt;=SchemeStart),IF(AND(Milestones!$AB$79="FT",Milestones!$AA$79=FT_Y5,BS45&lt;PolicyEff),1,Milestones!$AC$79),0))</f>
        <v>0</v>
      </c>
      <c r="BT47" s="0" t="n">
        <f aca="false">IF(BT45="",0,IF(AND(BT46=Milestones!$AB$80,BT45&gt;=SchemeStart),IF(AND(Milestones!$AB$80="FT",Milestones!$AA$80=FT_Y5,BT45&lt;PolicyEff),1,Milestones!$AC$80),0))</f>
        <v>0</v>
      </c>
      <c r="BU47" s="0" t="n">
        <f aca="false">IF(BU45="",0,IF(AND(BU46=Milestones!$AB$81,BU45&gt;=SchemeStart),IF(AND(Milestones!$AB$81="FT",Milestones!$AA$81=FT_Y5,BU45&lt;PolicyEff),1,Milestones!$AC$81),0))</f>
        <v>0</v>
      </c>
      <c r="BV47" s="0" t="n">
        <f aca="false">IF(BV45="",0,IF(AND(BV46=Milestones!$AB$82,BV45&gt;=SchemeStart),IF(AND(Milestones!$AB$82="FT",Milestones!$AA$82=FT_Y5,BV45&lt;PolicyEff),1,Milestones!$AC$82),0))</f>
        <v>0</v>
      </c>
      <c r="BW47" s="0" t="n">
        <f aca="false">IF(BW45="",0,IF(AND(BW46=Milestones!$AB$83,BW45&gt;=SchemeStart),IF(AND(Milestones!$AB$83="FT",Milestones!$AA$83=FT_Y5,BW45&lt;PolicyEff),1,Milestones!$AC$83),0))</f>
        <v>0</v>
      </c>
      <c r="BX47" s="0" t="n">
        <f aca="false">IF(BX45="",0,IF(AND(BX46=Milestones!$AB$84,BX45&gt;=SchemeStart),IF(AND(Milestones!$AB$84="FT",Milestones!$AA$84=FT_Y5,BX45&lt;PolicyEff),1,Milestones!$AC$84),0))</f>
        <v>0</v>
      </c>
      <c r="BY47" s="0" t="n">
        <f aca="false">IF(BY45="",0,IF(AND(BY46=Milestones!$AB$85,BY45&gt;=SchemeStart),IF(AND(Milestones!$AB$85="FT",Milestones!$AA$85=FT_Y5,BY45&lt;PolicyEff),1,Milestones!$AC$85),0))</f>
        <v>0</v>
      </c>
      <c r="BZ47" s="0" t="n">
        <f aca="false">IF(BZ45="",0,IF(AND(BZ46=Milestones!$AB$86,BZ45&gt;=SchemeStart),IF(AND(Milestones!$AB$86="FT",Milestones!$AA$86=FT_Y5,BZ45&lt;PolicyEff),1,Milestones!$AC$86),0))</f>
        <v>0</v>
      </c>
      <c r="CA47" s="0" t="n">
        <f aca="false">IF(CA45="",0,IF(AND(CA46=Milestones!$AB$87,CA45&gt;=SchemeStart),IF(AND(Milestones!$AB$87="FT",Milestones!$AA$87=FT_Y5,CA45&lt;PolicyEff),1,Milestones!$AC$87),0))</f>
        <v>0</v>
      </c>
      <c r="CB47" s="0" t="n">
        <f aca="false">IF(CB45="",0,IF(AND(CB46=Milestones!$AB$88,CB45&gt;=SchemeStart),IF(AND(Milestones!$AB$88="FT",Milestones!$AA$88=FT_Y5,CB45&lt;PolicyEff),1,Milestones!$AC$88),0))</f>
        <v>0</v>
      </c>
      <c r="CC47" s="0" t="n">
        <f aca="false">IF(CC45="",0,IF(AND(CC46=Milestones!$AB$89,CC45&gt;=SchemeStart),IF(AND(Milestones!$AB$89="FT",Milestones!$AA$89=FT_Y5,CC45&lt;PolicyEff),1,Milestones!$AC$89),0))</f>
        <v>0</v>
      </c>
      <c r="CD47" s="0" t="n">
        <f aca="false">IF(CD45="",0,IF(AND(CD46=Milestones!$AB$90,CD45&gt;=SchemeStart),IF(AND(Milestones!$AB$90="FT",Milestones!$AA$90=FT_Y5,CD45&lt;PolicyEff),1,Milestones!$AC$90),0))</f>
        <v>0</v>
      </c>
      <c r="CE47" s="0" t="n">
        <f aca="false">IF(CE45="",0,IF(AND(CE46=Milestones!$AB$91,CE45&gt;=SchemeStart),IF(AND(Milestones!$AB$91="FT",Milestones!$AA$91=FT_Y5,CE45&lt;PolicyEff),1,Milestones!$AC$91),0))</f>
        <v>0</v>
      </c>
      <c r="CF47" s="0" t="n">
        <f aca="false">IF(CF45="",0,IF(AND(CF46=Milestones!$AB$92,CF45&gt;=SchemeStart),IF(AND(Milestones!$AB$92="FT",Milestones!$AA$92=FT_Y5,CF45&lt;PolicyEff),1,Milestones!$AC$92),0))</f>
        <v>0</v>
      </c>
      <c r="CG47" s="0" t="n">
        <f aca="false">IF(CG45="",0,IF(AND(CG46=Milestones!$AB$93,CG45&gt;=SchemeStart),IF(AND(Milestones!$AB$93="FT",Milestones!$AA$93=FT_Y5,CG45&lt;PolicyEff),1,Milestones!$AC$93),0))</f>
        <v>0</v>
      </c>
      <c r="CH47" s="0" t="n">
        <f aca="false">IF(CH45="",0,IF(AND(CH46=Milestones!$AB$94,CH45&gt;=SchemeStart),IF(AND(Milestones!$AB$94="FT",Milestones!$AA$94=FT_Y5,CH45&lt;PolicyEff),1,Milestones!$AC$94),0))</f>
        <v>0</v>
      </c>
      <c r="CI47" s="0" t="n">
        <f aca="false">IF(CI45="",0,IF(AND(CI46=Milestones!$AB$95,CI45&gt;=SchemeStart),IF(AND(Milestones!$AB$95="FT",Milestones!$AA$95=FT_Y5,CI45&lt;PolicyEff),1,Milestones!$AC$95),0))</f>
        <v>0</v>
      </c>
      <c r="CJ47" s="0" t="n">
        <f aca="false">IF(CJ45="",0,IF(AND(CJ46=Milestones!$AB$96,CJ45&gt;=SchemeStart),IF(AND(Milestones!$AB$96="FT",Milestones!$AA$96=FT_Y5,CJ45&lt;PolicyEff),1,Milestones!$AC$96),0))</f>
        <v>0</v>
      </c>
      <c r="CK47" s="0" t="n">
        <f aca="false">IF(CK45="",0,IF(AND(CK46=Milestones!$AB$97,CK45&gt;=SchemeStart),IF(AND(Milestones!$AB$97="FT",Milestones!$AA$97=FT_Y5,CK45&lt;PolicyEff),1,Milestones!$AC$97),0))</f>
        <v>0</v>
      </c>
      <c r="CL47" s="0" t="n">
        <f aca="false">IF(CL45="",0,IF(AND(CL46=Milestones!$AB$98,CL45&gt;=SchemeStart),IF(AND(Milestones!$AB$98="FT",Milestones!$AA$98=FT_Y5,CL45&lt;PolicyEff),1,Milestones!$AC$98),0))</f>
        <v>0</v>
      </c>
      <c r="CM47" s="0" t="n">
        <f aca="false">IF(CM45="",0,IF(AND(CM46=Milestones!$AB$99,CM45&gt;=SchemeStart),IF(AND(Milestones!$AB$99="FT",Milestones!$AA$99=FT_Y5,CM45&lt;PolicyEff),1,Milestones!$AC$99),0))</f>
        <v>0</v>
      </c>
      <c r="CN47" s="0" t="n">
        <f aca="false">IF(CN45="",0,IF(AND(CN46=Milestones!$AB$100,CN45&gt;=SchemeStart),IF(AND(Milestones!$AB$100="FT",Milestones!$AA$100=FT_Y5,CN45&lt;PolicyEff),1,Milestones!$AC$100),0))</f>
        <v>0</v>
      </c>
      <c r="CO47" s="0" t="n">
        <f aca="false">IF(CO45="",0,IF(AND(CO46=Milestones!$AB$101,CO45&gt;=SchemeStart),IF(AND(Milestones!$AB$101="FT",Milestones!$AA$101=FT_Y5,CO45&lt;PolicyEff),1,Milestones!$AC$101),0))</f>
        <v>0</v>
      </c>
      <c r="CP47" s="0" t="n">
        <f aca="false">IF(CP45="",0,IF(AND(CP46=Milestones!$AB$102,CP45&gt;=SchemeStart),IF(AND(Milestones!$AB$102="FT",Milestones!$AA$102=FT_Y5,CP45&lt;PolicyEff),1,Milestones!$AC$102),0))</f>
        <v>0</v>
      </c>
      <c r="CQ47" s="0" t="n">
        <f aca="false">IF(CQ45="",0,IF(AND(CQ46=Milestones!$AB$103,CQ45&gt;=SchemeStart),IF(AND(Milestones!$AB$103="FT",Milestones!$AA$103=FT_Y5,CQ45&lt;PolicyEff),1,Milestones!$AC$103),0))</f>
        <v>0</v>
      </c>
      <c r="CR47" s="0" t="n">
        <f aca="false">IF(CR45="",0,IF(AND(CR46=Milestones!$AB$104,CR45&gt;=SchemeStart),IF(AND(Milestones!$AB$104="FT",Milestones!$AA$104=FT_Y5,CR45&lt;PolicyEff),1,Milestones!$AC$104),0))</f>
        <v>0</v>
      </c>
      <c r="CS47" s="0" t="n">
        <f aca="false">IF(CS45="",0,IF(AND(CS46=Milestones!$AB$105,CS45&gt;=SchemeStart),IF(AND(Milestones!$AB$105="FT",Milestones!$AA$105=FT_Y5,CS45&lt;PolicyEff),1,Milestones!$AC$105),0))</f>
        <v>0</v>
      </c>
      <c r="CT47" s="0" t="n">
        <f aca="false">IF(CT45="",0,IF(AND(CT46=Milestones!$AB$106,CT45&gt;=SchemeStart),IF(AND(Milestones!$AB$106="FT",Milestones!$AA$106=FT_Y5,CT45&lt;PolicyEff),1,Milestones!$AC$106),0))</f>
        <v>0</v>
      </c>
      <c r="CU47" s="0" t="n">
        <f aca="false">IF(CU45="",0,IF(AND(CU46=Milestones!$AB$107,CU45&gt;=SchemeStart),IF(AND(Milestones!$AB$107="FT",Milestones!$AA$107=FT_Y5,CU45&lt;PolicyEff),1,Milestones!$AC$107),0))</f>
        <v>0</v>
      </c>
      <c r="CV47" s="0" t="n">
        <f aca="false">IF(CV45="",0,IF(AND(CV46=Milestones!$AB$108,CV45&gt;=SchemeStart),IF(AND(Milestones!$AB$108="FT",Milestones!$AA$108=FT_Y5,CV45&lt;PolicyEff),1,Milestones!$AC$108),0))</f>
        <v>0</v>
      </c>
      <c r="CW47" s="0" t="n">
        <f aca="false">IF(CW45="",0,IF(AND(CW46=Milestones!$AB$109,CW45&gt;=SchemeStart),IF(AND(Milestones!$AB$109="FT",Milestones!$AA$109=FT_Y5,CW45&lt;PolicyEff),1,Milestones!$AC$109),0))</f>
        <v>0</v>
      </c>
      <c r="CX47" s="0" t="n">
        <f aca="false">IF(CX45="",0,IF(AND(CX46=Milestones!$AB$110,CX45&gt;=SchemeStart),IF(AND(Milestones!$AB$110="FT",Milestones!$AA$110=FT_Y5,CX45&lt;PolicyEff),1,Milestones!$AC$110),0))</f>
        <v>0</v>
      </c>
      <c r="CY47" s="0" t="n">
        <f aca="false">IF(CY45="",0,IF(AND(CY46=Milestones!$AB$111,CY45&gt;=SchemeStart),IF(AND(Milestones!$AB$111="FT",Milestones!$AA$111=FT_Y5,CY45&lt;PolicyEff),1,Milestones!$AC$111),0))</f>
        <v>0</v>
      </c>
      <c r="CZ47" s="0" t="n">
        <f aca="false">IF(CZ45="",0,IF(AND(CZ46=Milestones!$AB$112,CZ45&gt;=SchemeStart),IF(AND(Milestones!$AB$112="FT",Milestones!$AA$112=FT_Y5,CZ45&lt;PolicyEff),1,Milestones!$AC$112),0))</f>
        <v>0</v>
      </c>
      <c r="DA47" s="0" t="n">
        <f aca="false">IF(DA45="",0,IF(AND(DA46=Milestones!$AB$113,DA45&gt;=SchemeStart),IF(AND(Milestones!$AB$113="FT",Milestones!$AA$113=FT_Y5,DA45&lt;PolicyEff),1,Milestones!$AC$113),0))</f>
        <v>0</v>
      </c>
      <c r="DB47" s="0" t="n">
        <f aca="false">IF(DB45="",0,IF(AND(DB46=Milestones!$AB$114,DB45&gt;=SchemeStart),IF(AND(Milestones!$AB$114="FT",Milestones!$AA$114=FT_Y5,DB45&lt;PolicyEff),1,Milestones!$AC$114),0))</f>
        <v>0</v>
      </c>
      <c r="DC47" s="0" t="n">
        <f aca="false">IF(DC45="",0,IF(AND(DC46=Milestones!$AB$115,DC45&gt;=SchemeStart),IF(AND(Milestones!$AB$115="FT",Milestones!$AA$115=FT_Y5,DC45&lt;PolicyEff),1,Milestones!$AC$115),0))</f>
        <v>0</v>
      </c>
      <c r="DD47" s="0" t="n">
        <f aca="false">IF(DD45="",0,IF(AND(DD46=Milestones!$AB$116,DD45&gt;=SchemeStart),IF(AND(Milestones!$AB$116="FT",Milestones!$AA$116=FT_Y5,DD45&lt;PolicyEff),1,Milestones!$AC$116),0))</f>
        <v>0</v>
      </c>
      <c r="DE47" s="0" t="n">
        <f aca="false">IF(DE45="",0,IF(AND(DE46=Milestones!$AB$117,DE45&gt;=SchemeStart),IF(AND(Milestones!$AB$117="FT",Milestones!$AA$117=FT_Y5,DE45&lt;PolicyEff),1,Milestones!$AC$117),0))</f>
        <v>0</v>
      </c>
      <c r="DF47" s="0" t="n">
        <f aca="false">IF(DF45="",0,IF(AND(DF46=Milestones!$AB$118,DF45&gt;=SchemeStart),IF(AND(Milestones!$AB$118="FT",Milestones!$AA$118=FT_Y5,DF45&lt;PolicyEff),1,Milestones!$AC$118),0))</f>
        <v>0</v>
      </c>
      <c r="DG47" s="0" t="n">
        <f aca="false">IF(DG45="",0,IF(AND(DG46=Milestones!$AB$119,DG45&gt;=SchemeStart),IF(AND(Milestones!$AB$119="FT",Milestones!$AA$119=FT_Y5,DG45&lt;PolicyEff),1,Milestones!$AC$119),0))</f>
        <v>0</v>
      </c>
      <c r="DH47" s="0" t="n">
        <f aca="false">IF(DH45="",0,IF(AND(DH46=Milestones!$AB$120,DH45&gt;=SchemeStart),IF(AND(Milestones!$AB$120="FT",Milestones!$AA$120=FT_Y5,DH45&lt;PolicyEff),1,Milestones!$AC$120),0))</f>
        <v>0</v>
      </c>
      <c r="DI47" s="0" t="n">
        <f aca="false">IF(DI45="",0,IF(AND(DI46=Milestones!$AB$121,DI45&gt;=SchemeStart),IF(AND(Milestones!$AB$121="FT",Milestones!$AA$121=FT_Y5,DI45&lt;PolicyEff),1,Milestones!$AC$121),0))</f>
        <v>0</v>
      </c>
      <c r="DJ47" s="0" t="n">
        <f aca="false">IF(DJ45="",0,IF(AND(DJ46=Milestones!$AB$122,DJ45&gt;=SchemeStart),IF(AND(Milestones!$AB$122="FT",Milestones!$AA$122=FT_Y5,DJ45&lt;PolicyEff),1,Milestones!$AC$122),0))</f>
        <v>0</v>
      </c>
      <c r="DK47" s="0" t="n">
        <f aca="false">IF(DK45="",0,IF(AND(DK46=Milestones!$AB$123,DK45&gt;=SchemeStart),IF(AND(Milestones!$AB$123="FT",Milestones!$AA$123=FT_Y5,DK45&lt;PolicyEff),1,Milestones!$AC$123),0))</f>
        <v>0</v>
      </c>
      <c r="DL47" s="0" t="n">
        <f aca="false">IF(DL45="",0,IF(AND(DL46=Milestones!$AB$124,DL45&gt;=SchemeStart),IF(AND(Milestones!$AB$124="FT",Milestones!$AA$124=FT_Y5,DL45&lt;PolicyEff),1,Milestones!$AC$124),0))</f>
        <v>0</v>
      </c>
      <c r="DM47" s="0" t="n">
        <f aca="false">IF(DM45="",0,IF(AND(DM46=Milestones!$AB$125,DM45&gt;=SchemeStart),IF(AND(Milestones!$AB$125="FT",Milestones!$AA$125=FT_Y5,DM45&lt;PolicyEff),1,Milestones!$AC$125),0))</f>
        <v>0</v>
      </c>
      <c r="DN47" s="0" t="n">
        <f aca="false">IF(DN45="",0,IF(AND(DN46=Milestones!$AB$126,DN45&gt;=SchemeStart),IF(AND(Milestones!$AB$126="FT",Milestones!$AA$126=FT_Y5,DN45&lt;PolicyEff),1,Milestones!$AC$126),0))</f>
        <v>0</v>
      </c>
      <c r="DO47" s="0" t="n">
        <f aca="false">IF(DO45="",0,IF(AND(DO46=Milestones!$AB$127,DO45&gt;=SchemeStart),IF(AND(Milestones!$AB$127="FT",Milestones!$AA$127=FT_Y5,DO45&lt;PolicyEff),1,Milestones!$AC$127),0))</f>
        <v>0</v>
      </c>
      <c r="DP47" s="0" t="n">
        <f aca="false">IF(DP45="",0,IF(AND(DP46=Milestones!$AB$128,DP45&gt;=SchemeStart),IF(AND(Milestones!$AB$128="FT",Milestones!$AA$128=FT_Y5,DP45&lt;PolicyEff),1,Milestones!$AC$128),0))</f>
        <v>0</v>
      </c>
      <c r="DQ47" s="0" t="n">
        <f aca="false">IF(DQ45="",0,IF(AND(DQ46=Milestones!$AB$129,DQ45&gt;=SchemeStart),IF(AND(Milestones!$AB$129="FT",Milestones!$AA$129=FT_Y5,DQ45&lt;PolicyEff),1,Milestones!$AC$129),0))</f>
        <v>0</v>
      </c>
      <c r="DR47" s="0" t="n">
        <f aca="false">IF(DR45="",0,IF(AND(DR46=Milestones!$AB$130,DR45&gt;=SchemeStart),IF(AND(Milestones!$AB$130="FT",Milestones!$AA$130=FT_Y5,DR45&lt;PolicyEff),1,Milestones!$AC$130),0))</f>
        <v>0</v>
      </c>
      <c r="DS47" s="0" t="n">
        <f aca="false">IF(DS45="",0,IF(AND(DS46=Milestones!$AB$131,DS45&gt;=SchemeStart),IF(AND(Milestones!$AB$131="FT",Milestones!$AA$131=FT_Y5,DS45&lt;PolicyEff),1,Milestones!$AC$131),0))</f>
        <v>0</v>
      </c>
      <c r="DT47" s="0" t="n">
        <f aca="false">IF(DT45="",0,IF(AND(DT46=Milestones!$AB$132,DT45&gt;=SchemeStart),IF(AND(Milestones!$AB$132="FT",Milestones!$AA$132=FT_Y5,DT45&lt;PolicyEff),1,Milestones!$AC$132),0))</f>
        <v>0</v>
      </c>
      <c r="DU47" s="0" t="n">
        <f aca="false">IF(DU45="",0,IF(AND(DU46=Milestones!$AB$133,DU45&gt;=SchemeStart),IF(AND(Milestones!$AB$133="FT",Milestones!$AA$133=FT_Y5,DU45&lt;PolicyEff),1,Milestones!$AC$133),0))</f>
        <v>0</v>
      </c>
      <c r="DV47" s="0" t="n">
        <f aca="false">IF(DV45="",0,IF(AND(DV46=Milestones!$AB$134,DV45&gt;=SchemeStart),IF(AND(Milestones!$AB$134="FT",Milestones!$AA$134=FT_Y5,DV45&lt;PolicyEff),1,Milestones!$AC$134),0))</f>
        <v>0</v>
      </c>
      <c r="DW47" s="0" t="n">
        <f aca="false">IF(DW45="",0,IF(AND(DW46=Milestones!$AB$135,DW45&gt;=SchemeStart),IF(AND(Milestones!$AB$135="FT",Milestones!$AA$135=FT_Y5,DW45&lt;PolicyEff),1,Milestones!$AC$135),0))</f>
        <v>0</v>
      </c>
      <c r="DX47" s="0" t="n">
        <f aca="false">IF(DX45="",0,IF(AND(DX46=Milestones!$AB$136,DX45&gt;=SchemeStart),IF(AND(Milestones!$AB$136="FT",Milestones!$AA$136=FT_Y5,DX45&lt;PolicyEff),1,Milestones!$AC$136),0))</f>
        <v>0</v>
      </c>
      <c r="DY47" s="0" t="n">
        <f aca="false">IF(DY45="",0,IF(AND(DY46=Milestones!$AB$137,DY45&gt;=SchemeStart),IF(AND(Milestones!$AB$137="FT",Milestones!$AA$137=FT_Y5,DY45&lt;PolicyEff),1,Milestones!$AC$137),0))</f>
        <v>0</v>
      </c>
      <c r="DZ47" s="0" t="n">
        <f aca="false">IF(DZ45="",0,IF(AND(DZ46=Milestones!$AB$138,DZ45&gt;=SchemeStart),IF(AND(Milestones!$AB$138="FT",Milestones!$AA$138=FT_Y5,DZ45&lt;PolicyEff),1,Milestones!$AC$138),0))</f>
        <v>0</v>
      </c>
      <c r="EA47" s="0" t="n">
        <f aca="false">IF(EA45="",0,IF(AND(EA46=Milestones!$AB$139,EA45&gt;=SchemeStart),IF(AND(Milestones!$AB$139="FT",Milestones!$AA$139=FT_Y5,EA45&lt;PolicyEff),1,Milestones!$AC$139),0))</f>
        <v>0</v>
      </c>
      <c r="EB47" s="0" t="n">
        <f aca="false">IF(EB45="",0,IF(AND(EB46=Milestones!$AB$140,EB45&gt;=SchemeStart),IF(AND(Milestones!$AB$140="FT",Milestones!$AA$140=FT_Y5,EB45&lt;PolicyEff),1,Milestones!$AC$140),0))</f>
        <v>0</v>
      </c>
      <c r="EC47" s="0" t="n">
        <f aca="false">IF(EC45="",0,IF(AND(EC46=Milestones!$AB$141,EC45&gt;=SchemeStart),IF(AND(Milestones!$AB$141="FT",Milestones!$AA$141=FT_Y5,EC45&lt;PolicyEff),1,Milestones!$AC$141),0))</f>
        <v>0</v>
      </c>
      <c r="ED47" s="0" t="n">
        <f aca="false">IF(ED45="",0,IF(AND(ED46=Milestones!$AB$142,ED45&gt;=SchemeStart),IF(AND(Milestones!$AB$142="FT",Milestones!$AA$142=FT_Y5,ED45&lt;PolicyEff),1,Milestones!$AC$142),0))</f>
        <v>0</v>
      </c>
      <c r="EE47" s="0" t="n">
        <f aca="false">IF(EE45="",0,IF(AND(EE46=Milestones!$AB$143,EE45&gt;=SchemeStart),IF(AND(Milestones!$AB$143="FT",Milestones!$AA$143=FT_Y5,EE45&lt;PolicyEff),1,Milestones!$AC$143),0))</f>
        <v>0</v>
      </c>
      <c r="EF47" s="0" t="n">
        <f aca="false">IF(EF45="",0,IF(AND(EF46=Milestones!$AB$144,EF45&gt;=SchemeStart),IF(AND(Milestones!$AB$144="FT",Milestones!$AA$144=FT_Y5,EF45&lt;PolicyEff),1,Milestones!$AC$144),0))</f>
        <v>0</v>
      </c>
      <c r="EG47" s="0" t="n">
        <f aca="false">IF(EG45="",0,IF(AND(EG46=Milestones!$AB$145,EG45&gt;=SchemeStart),IF(AND(Milestones!$AB$145="FT",Milestones!$AA$145=FT_Y5,EG45&lt;PolicyEff),1,Milestones!$AC$145),0))</f>
        <v>0</v>
      </c>
      <c r="EH47" s="0" t="n">
        <f aca="false">IF(EH45="",0,IF(AND(EH46=Milestones!$AB$146,EH45&gt;=SchemeStart),IF(AND(Milestones!$AB$146="FT",Milestones!$AA$146=FT_Y5,EH45&lt;PolicyEff),1,Milestones!$AC$146),0))</f>
        <v>0</v>
      </c>
      <c r="EI47" s="0" t="n">
        <f aca="false">IF(EI45="",0,IF(AND(EI46=Milestones!$AB$147,EI45&gt;=SchemeStart),IF(AND(Milestones!$AB$147="FT",Milestones!$AA$147=FT_Y5,EI45&lt;PolicyEff),1,Milestones!$AC$147),0))</f>
        <v>0</v>
      </c>
      <c r="EJ47" s="0" t="n">
        <f aca="false">IF(EJ45="",0,IF(AND(EJ46=Milestones!$AB$148,EJ45&gt;=SchemeStart),IF(AND(Milestones!$AB$148="FT",Milestones!$AA$148=FT_Y5,EJ45&lt;PolicyEff),1,Milestones!$AC$148),0))</f>
        <v>0</v>
      </c>
      <c r="EK47" s="0" t="n">
        <f aca="false">IF(EK45="",0,IF(AND(EK46=Milestones!$AB$149,EK45&gt;=SchemeStart),IF(AND(Milestones!$AB$149="FT",Milestones!$AA$149=FT_Y5,EK45&lt;PolicyEff),1,Milestones!$AC$149),0))</f>
        <v>0</v>
      </c>
      <c r="EL47" s="0" t="n">
        <f aca="false">IF(EL45="",0,IF(AND(EL46=Milestones!$AB$150,EL45&gt;=SchemeStart),IF(AND(Milestones!$AB$150="FT",Milestones!$AA$150=FT_Y5,EL45&lt;PolicyEff),1,Milestones!$AC$150),0))</f>
        <v>0</v>
      </c>
      <c r="EM47" s="0" t="n">
        <f aca="false">IF(EM45="",0,IF(AND(EM46=Milestones!$AB$151,EM45&gt;=SchemeStart),IF(AND(Milestones!$AB$151="FT",Milestones!$AA$151=FT_Y5,EM45&lt;PolicyEff),1,Milestones!$AC$151),0))</f>
        <v>0</v>
      </c>
      <c r="EN47" s="0" t="n">
        <f aca="false">IF(EN45="",0,IF(AND(EN46=Milestones!$AB$152,EN45&gt;=SchemeStart),IF(AND(Milestones!$AB$152="FT",Milestones!$AA$152=FT_Y5,EN45&lt;PolicyEff),1,Milestones!$AC$152),0))</f>
        <v>0</v>
      </c>
      <c r="EO47" s="0" t="n">
        <f aca="false">IF(EO45="",0,IF(AND(EO46=Milestones!$AB$153,EO45&gt;=SchemeStart),IF(AND(Milestones!$AB$153="FT",Milestones!$AA$153=FT_Y5,EO45&lt;PolicyEff),1,Milestones!$AC$153),0))</f>
        <v>0</v>
      </c>
      <c r="EP47" s="0" t="n">
        <f aca="false">IF(EP45="",0,IF(AND(EP46=Milestones!$AB$154,EP45&gt;=SchemeStart),IF(AND(Milestones!$AB$154="FT",Milestones!$AA$154=FT_Y5,EP45&lt;PolicyEff),1,Milestones!$AC$154),0))</f>
        <v>0</v>
      </c>
      <c r="EQ47" s="0" t="n">
        <f aca="false">IF(EQ45="",0,IF(AND(EQ46=Milestones!$AB$155,EQ45&gt;=SchemeStart),IF(AND(Milestones!$AB$155="FT",Milestones!$AA$155=FT_Y5,EQ45&lt;PolicyEff),1,Milestones!$AC$155),0))</f>
        <v>0</v>
      </c>
      <c r="ER47" s="0" t="n">
        <f aca="false">IF(ER45="",0,IF(AND(ER46=Milestones!$AB$156,ER45&gt;=SchemeStart),IF(AND(Milestones!$AB$156="FT",Milestones!$AA$156=FT_Y5,ER45&lt;PolicyEff),1,Milestones!$AC$156),0))</f>
        <v>0</v>
      </c>
      <c r="ES47" s="0" t="n">
        <f aca="false">IF(ES45="",0,IF(AND(ES46=Milestones!$AB$157,ES45&gt;=SchemeStart),IF(AND(Milestones!$AB$157="FT",Milestones!$AA$157=FT_Y5,ES45&lt;PolicyEff),1,Milestones!$AC$157),0))</f>
        <v>0</v>
      </c>
      <c r="ET47" s="0" t="n">
        <f aca="false">IF(ET45="",0,IF(AND(ET46=Milestones!$AB$158,ET45&gt;=SchemeStart),IF(AND(Milestones!$AB$158="FT",Milestones!$AA$158=FT_Y5,ET45&lt;PolicyEff),1,Milestones!$AC$158),0))</f>
        <v>0</v>
      </c>
      <c r="EU47" s="0" t="n">
        <f aca="false">IF(EU45="",0,IF(AND(EU46=Milestones!$AB$159,EU45&gt;=SchemeStart),IF(AND(Milestones!$AB$159="FT",Milestones!$AA$159=FT_Y5,EU45&lt;PolicyEff),1,Milestones!$AC$159),0))</f>
        <v>0</v>
      </c>
      <c r="EV47" s="0" t="n">
        <f aca="false">IF(EV45="",0,IF(AND(EV46=Milestones!$AB$160,EV45&gt;=SchemeStart),IF(AND(Milestones!$AB$160="FT",Milestones!$AA$160=FT_Y5,EV45&lt;PolicyEff),1,Milestones!$AC$160),0))</f>
        <v>0</v>
      </c>
      <c r="EW47" s="0" t="n">
        <f aca="false">IF(EW45="",0,IF(AND(EW46=Milestones!$AB$161,EW45&gt;=SchemeStart),IF(AND(Milestones!$AB$161="FT",Milestones!$AA$161=FT_Y5,EW45&lt;PolicyEff),1,Milestones!$AC$161),0))</f>
        <v>0</v>
      </c>
      <c r="EX47" s="0" t="n">
        <f aca="false">IF(EX45="",0,IF(AND(EX46=Milestones!$AB$162,EX45&gt;=SchemeStart),IF(AND(Milestones!$AB$162="FT",Milestones!$AA$162=FT_Y5,EX45&lt;PolicyEff),1,Milestones!$AC$162),0))</f>
        <v>0</v>
      </c>
      <c r="EY47" s="0" t="n">
        <f aca="false">IF(EY45="",0,IF(AND(EY46=Milestones!$AB$163,EY45&gt;=SchemeStart),IF(AND(Milestones!$AB$163="FT",Milestones!$AA$163=FT_Y5,EY45&lt;PolicyEff),1,Milestones!$AC$163),0))</f>
        <v>0</v>
      </c>
      <c r="EZ47" s="0" t="n">
        <f aca="false">IF(EZ45="",0,IF(AND(EZ46=Milestones!$AB$164,EZ45&gt;=SchemeStart),IF(AND(Milestones!$AB$164="FT",Milestones!$AA$164=FT_Y5,EZ45&lt;PolicyEff),1,Milestones!$AC$164),0))</f>
        <v>0</v>
      </c>
      <c r="FA47" s="0" t="n">
        <f aca="false">IF(FA45="",0,IF(AND(FA46=Milestones!$AB$165,FA45&gt;=SchemeStart),IF(AND(Milestones!$AB$165="FT",Milestones!$AA$165=FT_Y5,FA45&lt;PolicyEff),1,Milestones!$AC$165),0))</f>
        <v>0</v>
      </c>
      <c r="FB47" s="0" t="n">
        <f aca="false">IF(FB45="",0,IF(AND(FB46=Milestones!$AB$166,FB45&gt;=SchemeStart),IF(AND(Milestones!$AB$166="FT",Milestones!$AA$166=FT_Y5,FB45&lt;PolicyEff),1,Milestones!$AC$166),0))</f>
        <v>0</v>
      </c>
      <c r="FC47" s="0" t="n">
        <f aca="false">IF(FC45="",0,IF(AND(FC46=Milestones!$AB$167,FC45&gt;=SchemeStart),IF(AND(Milestones!$AB$167="FT",Milestones!$AA$167=FT_Y5,FC45&lt;PolicyEff),1,Milestones!$AC$167),0))</f>
        <v>0</v>
      </c>
      <c r="FD47" s="0" t="n">
        <f aca="false">IF(FD45="",0,IF(AND(FD46=Milestones!$AB$168,FD45&gt;=SchemeStart),IF(AND(Milestones!$AB$168="FT",Milestones!$AA$168=FT_Y5,FD45&lt;PolicyEff),1,Milestones!$AC$168),0))</f>
        <v>0</v>
      </c>
      <c r="FE47" s="0" t="n">
        <f aca="false">IF(FE45="",0,IF(AND(FE46=Milestones!$AB$169,FE45&gt;=SchemeStart),IF(AND(Milestones!$AB$169="FT",Milestones!$AA$169=FT_Y5,FE45&lt;PolicyEff),1,Milestones!$AC$169),0))</f>
        <v>0</v>
      </c>
      <c r="FF47" s="0" t="n">
        <f aca="false">IF(FF45="",0,IF(AND(FF46=Milestones!$AB$170,FF45&gt;=SchemeStart),IF(AND(Milestones!$AB$170="FT",Milestones!$AA$170=FT_Y5,FF45&lt;PolicyEff),1,Milestones!$AC$170),0))</f>
        <v>0</v>
      </c>
      <c r="FG47" s="0" t="n">
        <f aca="false">IF(FG45="",0,IF(AND(FG46=Milestones!$AB$171,FG45&gt;=SchemeStart),IF(AND(Milestones!$AB$171="FT",Milestones!$AA$171=FT_Y5,FG45&lt;PolicyEff),1,Milestones!$AC$171),0))</f>
        <v>0</v>
      </c>
      <c r="FH47" s="0" t="n">
        <f aca="false">IF(FH45="",0,IF(AND(FH46=Milestones!$AB$172,FH45&gt;=SchemeStart),IF(AND(Milestones!$AB$172="FT",Milestones!$AA$172=FT_Y5,FH45&lt;PolicyEff),1,Milestones!$AC$172),0))</f>
        <v>0</v>
      </c>
      <c r="FI47" s="0" t="n">
        <f aca="false">IF(FI45="",0,IF(AND(FI46=Milestones!$AB$173,FI45&gt;=SchemeStart),IF(AND(Milestones!$AB$173="FT",Milestones!$AA$173=FT_Y5,FI45&lt;PolicyEff),1,Milestones!$AC$173),0))</f>
        <v>0</v>
      </c>
      <c r="FJ47" s="0" t="n">
        <f aca="false">IF(FJ45="",0,IF(AND(FJ46=Milestones!$AB$174,FJ45&gt;=SchemeStart),IF(AND(Milestones!$AB$174="FT",Milestones!$AA$174=FT_Y5,FJ45&lt;PolicyEff),1,Milestones!$AC$174),0))</f>
        <v>0</v>
      </c>
      <c r="FK47" s="0" t="n">
        <f aca="false">IF(FK45="",0,IF(AND(FK46=Milestones!$AB$175,FK45&gt;=SchemeStart),IF(AND(Milestones!$AB$175="FT",Milestones!$AA$175=FT_Y5,FK45&lt;PolicyEff),1,Milestones!$AC$175),0))</f>
        <v>0</v>
      </c>
      <c r="FL47" s="0" t="n">
        <f aca="false">IF(FL45="",0,IF(AND(FL46=Milestones!$AB$176,FL45&gt;=SchemeStart),IF(AND(Milestones!$AB$176="FT",Milestones!$AA$176=FT_Y5,FL45&lt;PolicyEff),1,Milestones!$AC$176),0))</f>
        <v>0</v>
      </c>
      <c r="FM47" s="0" t="n">
        <f aca="false">IF(FM45="",0,IF(AND(FM46=Milestones!$AB$177,FM45&gt;=SchemeStart),IF(AND(Milestones!$AB$177="FT",Milestones!$AA$177=FT_Y5,FM45&lt;PolicyEff),1,Milestones!$AC$177),0))</f>
        <v>0</v>
      </c>
      <c r="FN47" s="0" t="n">
        <f aca="false">IF(FN45="",0,IF(AND(FN46=Milestones!$AB$178,FN45&gt;=SchemeStart),IF(AND(Milestones!$AB$178="FT",Milestones!$AA$178=FT_Y5,FN45&lt;PolicyEff),1,Milestones!$AC$178),0))</f>
        <v>0</v>
      </c>
      <c r="FO47" s="0" t="n">
        <f aca="false">IF(FO45="",0,IF(AND(FO46=Milestones!$AB$179,FO45&gt;=SchemeStart),IF(AND(Milestones!$AB$179="FT",Milestones!$AA$179=FT_Y5,FO45&lt;PolicyEff),1,Milestones!$AC$179),0))</f>
        <v>0</v>
      </c>
      <c r="FP47" s="0" t="n">
        <f aca="false">IF(FP45="",0,IF(AND(FP46=Milestones!$AB$180,FP45&gt;=SchemeStart),IF(AND(Milestones!$AB$180="FT",Milestones!$AA$180=FT_Y5,FP45&lt;PolicyEff),1,Milestones!$AC$180),0))</f>
        <v>0</v>
      </c>
      <c r="FQ47" s="0" t="n">
        <f aca="false">IF(FQ45="",0,IF(AND(FQ46=Milestones!$AB$181,FQ45&gt;=SchemeStart),IF(AND(Milestones!$AB$181="FT",Milestones!$AA$181=FT_Y5,FQ45&lt;PolicyEff),1,Milestones!$AC$181),0))</f>
        <v>0</v>
      </c>
      <c r="FR47" s="0" t="n">
        <f aca="false">IF(FR45="",0,IF(AND(FR46=Milestones!$AB$182,FR45&gt;=SchemeStart),IF(AND(Milestones!$AB$182="FT",Milestones!$AA$182=FT_Y5,FR45&lt;PolicyEff),1,Milestones!$AC$182),0))</f>
        <v>0</v>
      </c>
      <c r="FS47" s="0" t="n">
        <f aca="false">IF(FS45="",0,IF(AND(FS46=Milestones!$AB$183,FS45&gt;=SchemeStart),IF(AND(Milestones!$AB$183="FT",Milestones!$AA$183=FT_Y5,FS45&lt;PolicyEff),1,Milestones!$AC$183),0))</f>
        <v>0</v>
      </c>
      <c r="FT47" s="0" t="n">
        <f aca="false">IF(FT45="",0,IF(AND(FT46=Milestones!$AB$184,FT45&gt;=SchemeStart),IF(AND(Milestones!$AB$184="FT",Milestones!$AA$184=FT_Y5,FT45&lt;PolicyEff),1,Milestones!$AC$184),0))</f>
        <v>0</v>
      </c>
      <c r="FU47" s="0" t="n">
        <f aca="false">IF(FU45="",0,IF(AND(FU46=Milestones!$AB$185,FU45&gt;=SchemeStart),IF(AND(Milestones!$AB$185="FT",Milestones!$AA$185=FT_Y5,FU45&lt;PolicyEff),1,Milestones!$AC$185),0))</f>
        <v>0</v>
      </c>
      <c r="FV47" s="0" t="n">
        <f aca="false">IF(FV45="",0,IF(AND(FV46=Milestones!$AB$186,FV45&gt;=SchemeStart),IF(AND(Milestones!$AB$186="FT",Milestones!$AA$186=FT_Y5,FV45&lt;PolicyEff),1,Milestones!$AC$186),0))</f>
        <v>0</v>
      </c>
      <c r="FW47" s="0" t="n">
        <f aca="false">IF(FW45="",0,IF(AND(FW46=Milestones!$AB$187,FW45&gt;=SchemeStart),IF(AND(Milestones!$AB$187="FT",Milestones!$AA$187=FT_Y5,FW45&lt;PolicyEff),1,Milestones!$AC$187),0))</f>
        <v>0</v>
      </c>
      <c r="FX47" s="0" t="n">
        <f aca="false">IF(FX45="",0,IF(AND(FX46=Milestones!$AB$188,FX45&gt;=SchemeStart),IF(AND(Milestones!$AB$188="FT",Milestones!$AA$188=FT_Y5,FX45&lt;PolicyEff),1,Milestones!$AC$188),0))</f>
        <v>0</v>
      </c>
      <c r="FY47" s="0" t="n">
        <f aca="false">IF(FY45="",0,IF(AND(FY46=Milestones!$AB$189,FY45&gt;=SchemeStart),IF(AND(Milestones!$AB$189="FT",Milestones!$AA$189=FT_Y5,FY45&lt;PolicyEff),1,Milestones!$AC$189),0))</f>
        <v>0</v>
      </c>
      <c r="FZ47" s="0" t="n">
        <f aca="false">IF(FZ45="",0,IF(AND(FZ46=Milestones!$AB$190,FZ45&gt;=SchemeStart),IF(AND(Milestones!$AB$190="FT",Milestones!$AA$190=FT_Y5,FZ45&lt;PolicyEff),1,Milestones!$AC$190),0))</f>
        <v>0</v>
      </c>
      <c r="GA47" s="0" t="n">
        <f aca="false">IF(GA45="",0,IF(AND(GA46=Milestones!$AB$191,GA45&gt;=SchemeStart),IF(AND(Milestones!$AB$191="FT",Milestones!$AA$191=FT_Y5,GA45&lt;PolicyEff),1,Milestones!$AC$191),0))</f>
        <v>0</v>
      </c>
      <c r="GB47" s="0" t="n">
        <f aca="false">IF(GB45="",0,IF(AND(GB46=Milestones!$AB$192,GB45&gt;=SchemeStart),IF(AND(Milestones!$AB$192="FT",Milestones!$AA$192=FT_Y5,GB45&lt;PolicyEff),1,Milestones!$AC$192),0))</f>
        <v>0</v>
      </c>
      <c r="GC47" s="0" t="n">
        <f aca="false">IF(GC45="",0,IF(AND(GC46=Milestones!$AB$193,GC45&gt;=SchemeStart),IF(AND(Milestones!$AB$193="FT",Milestones!$AA$193=FT_Y5,GC45&lt;PolicyEff),1,Milestones!$AC$193),0))</f>
        <v>0</v>
      </c>
      <c r="GD47" s="0" t="n">
        <f aca="false">IF(GD45="",0,IF(AND(GD46=Milestones!$AB$194,GD45&gt;=SchemeStart),IF(AND(Milestones!$AB$194="FT",Milestones!$AA$194=FT_Y5,GD45&lt;PolicyEff),1,Milestones!$AC$194),0))</f>
        <v>0</v>
      </c>
      <c r="GE47" s="0" t="n">
        <f aca="false">IF(GE45="",0,IF(AND(GE46=Milestones!$AB$195,GE45&gt;=SchemeStart),IF(AND(Milestones!$AB$195="FT",Milestones!$AA$195=FT_Y5,GE45&lt;PolicyEff),1,Milestones!$AC$195),0))</f>
        <v>0</v>
      </c>
      <c r="GF47" s="0" t="n">
        <f aca="false">IF(GF45="",0,IF(AND(GF46=Milestones!$AB$196,GF45&gt;=SchemeStart),IF(AND(Milestones!$AB$196="FT",Milestones!$AA$196=FT_Y5,GF45&lt;PolicyEff),1,Milestones!$AC$196),0))</f>
        <v>0</v>
      </c>
      <c r="GG47" s="0" t="n">
        <f aca="false">IF(GG45="",0,IF(AND(GG46=Milestones!$AB$197,GG45&gt;=SchemeStart),IF(AND(Milestones!$AB$197="FT",Milestones!$AA$197=FT_Y5,GG45&lt;PolicyEff),1,Milestones!$AC$197),0))</f>
        <v>0</v>
      </c>
      <c r="GH47" s="0" t="n">
        <f aca="false">IF(GH45="",0,IF(AND(GH46=Milestones!$AB$198,GH45&gt;=SchemeStart),IF(AND(Milestones!$AB$198="FT",Milestones!$AA$198=FT_Y5,GH45&lt;PolicyEff),1,Milestones!$AC$198),0))</f>
        <v>0</v>
      </c>
      <c r="GI47" s="0" t="n">
        <f aca="false">IF(GI45="",0,IF(AND(GI46=Milestones!$AB$199,GI45&gt;=SchemeStart),IF(AND(Milestones!$AB$199="FT",Milestones!$AA$199=FT_Y5,GI45&lt;PolicyEff),1,Milestones!$AC$199),0))</f>
        <v>0</v>
      </c>
    </row>
    <row r="48" customFormat="false" ht="15" hidden="false" customHeight="false" outlineLevel="0" collapsed="false">
      <c r="A48" s="0" t="str">
        <f aca="false">IF('HR Tally Check'!Q$7="","",'HR Tally Check'!Q$7)</f>
        <v/>
      </c>
      <c r="B48" s="0" t="str">
        <f aca="false">IF(A48="","",ISNUMBER(MATCH(A48,Staff!$BR$5:$BR$154,0)))</f>
        <v/>
      </c>
      <c r="C48" s="20" t="str">
        <f aca="false">IF(B48&lt;&gt;TRUE(),"",INDEX(Staff!$AL$5:$AL$154,MATCH($A48,Staff!$BR$5:$BR$154,0)))</f>
        <v/>
      </c>
      <c r="D48" s="0" t="str">
        <f aca="false">IF(B48&lt;&gt;TRUE(),"",INDEX(Staff!$AM$5:$AM$154,MATCH($A48,Staff!$BR$5:$BR$154,0)))</f>
        <v/>
      </c>
      <c r="E48" s="20" t="str">
        <f aca="false">IF(B48&lt;&gt;TRUE(),"",INDEX(Staff!$AO$5:$AO$154,MATCH($A48,Staff!$BR$5:$BR$154,0)))</f>
        <v/>
      </c>
      <c r="F48" s="20" t="str">
        <f aca="false">IF(B48&lt;&gt;TRUE(),"",INDEX(Staff!$AP$5:$AP$154,MATCH($A48,Staff!$BR$5:$BR$154,0)))</f>
        <v/>
      </c>
      <c r="G48" s="0" t="str">
        <f aca="false">IF(B48&lt;&gt;TRUE(),"",INDEX(Staff!$AT$5:$AT$154,MATCH($A48,Staff!$BR$5:$BR$154,0)))</f>
        <v/>
      </c>
      <c r="H48" s="0" t="str">
        <f aca="false">IF(B48&lt;&gt;TRUE(),"",INDEX(Staff!$AU$5:$AU$154,MATCH($A48,Staff!$BR$5:$BR$154,0)))</f>
        <v/>
      </c>
      <c r="I48" s="0" t="str">
        <f aca="false">IF(B48&lt;&gt;TRUE(),"",INDEX(Staff!$AV$5:$AV$154,MATCH($A48,Staff!$BR$5:$BR$154,0)))</f>
        <v/>
      </c>
      <c r="J48" s="0" t="str">
        <f aca="false">IF(B48&lt;&gt;TRUE(),"",INDEX(Staff!$AW$5:$AW$154,MATCH($A48,Staff!$BR$5:$BR$154,0)))</f>
        <v/>
      </c>
      <c r="K48" s="33" t="s">
        <v>262</v>
      </c>
      <c r="L48" s="20" t="str">
        <f aca="false">IF($C48="","",EDATE($C48,Milestones!$AA$20))</f>
        <v/>
      </c>
      <c r="M48" s="20" t="str">
        <f aca="false">IF($C48="","",EDATE($C48,Milestones!$AA$21))</f>
        <v/>
      </c>
      <c r="N48" s="20" t="str">
        <f aca="false">IF($C48="","",EDATE($C48,Milestones!$AA$22))</f>
        <v/>
      </c>
      <c r="O48" s="20" t="str">
        <f aca="false">IF($C48="","",EDATE($C48,Milestones!$AA$23))</f>
        <v/>
      </c>
      <c r="P48" s="20" t="str">
        <f aca="false">IF($C48="","",EDATE($C48,Milestones!$AA$24))</f>
        <v/>
      </c>
      <c r="Q48" s="20" t="str">
        <f aca="false">IF($C48="","",EDATE($C48,Milestones!$AA$25))</f>
        <v/>
      </c>
      <c r="R48" s="20" t="str">
        <f aca="false">IF($C48="","",EDATE($C48,Milestones!$AA$26))</f>
        <v/>
      </c>
      <c r="S48" s="20" t="str">
        <f aca="false">IF($C48="","",EDATE($C48,Milestones!$AA$27))</f>
        <v/>
      </c>
      <c r="T48" s="20" t="str">
        <f aca="false">IF($C48="","",EDATE($C48,Milestones!$AA$28))</f>
        <v/>
      </c>
      <c r="U48" s="20" t="str">
        <f aca="false">IF($C48="","",EDATE($C48,Milestones!$AA$29))</f>
        <v/>
      </c>
      <c r="V48" s="20" t="str">
        <f aca="false">IF($C48="","",EDATE($C48,Milestones!$AA$30))</f>
        <v/>
      </c>
      <c r="W48" s="20" t="str">
        <f aca="false">IF($C48="","",EDATE($C48,Milestones!$AA$31))</f>
        <v/>
      </c>
      <c r="X48" s="20" t="str">
        <f aca="false">IF($C48="","",EDATE($C48,Milestones!$AA$32))</f>
        <v/>
      </c>
      <c r="Y48" s="20" t="str">
        <f aca="false">IF($C48="","",EDATE($C48,Milestones!$AA$33))</f>
        <v/>
      </c>
      <c r="Z48" s="20" t="str">
        <f aca="false">IF($C48="","",EDATE($C48,Milestones!$AA$34))</f>
        <v/>
      </c>
      <c r="AA48" s="20" t="str">
        <f aca="false">IF($C48="","",EDATE($C48,Milestones!$AA$35))</f>
        <v/>
      </c>
      <c r="AB48" s="20" t="str">
        <f aca="false">IF($C48="","",EDATE($C48,Milestones!$AA$36))</f>
        <v/>
      </c>
      <c r="AC48" s="20" t="str">
        <f aca="false">IF($C48="","",EDATE($C48,Milestones!$AA$37))</f>
        <v/>
      </c>
      <c r="AD48" s="20" t="str">
        <f aca="false">IF($C48="","",EDATE($C48,Milestones!$AA$38))</f>
        <v/>
      </c>
      <c r="AE48" s="20" t="str">
        <f aca="false">IF($C48="","",EDATE($C48,Milestones!$AA$39))</f>
        <v/>
      </c>
      <c r="AF48" s="20" t="str">
        <f aca="false">IF($C48="","",EDATE($C48,Milestones!$AA$40))</f>
        <v/>
      </c>
      <c r="AG48" s="20" t="str">
        <f aca="false">IF($C48="","",EDATE($C48,Milestones!$AA$41))</f>
        <v/>
      </c>
      <c r="AH48" s="20" t="str">
        <f aca="false">IF($C48="","",EDATE($C48,Milestones!$AA$42))</f>
        <v/>
      </c>
      <c r="AI48" s="20" t="str">
        <f aca="false">IF($C48="","",EDATE($C48,Milestones!$AA$43))</f>
        <v/>
      </c>
      <c r="AJ48" s="20" t="str">
        <f aca="false">IF($C48="","",EDATE($C48,Milestones!$AA$44))</f>
        <v/>
      </c>
      <c r="AK48" s="20" t="str">
        <f aca="false">IF($C48="","",EDATE($C48,Milestones!$AA$45))</f>
        <v/>
      </c>
      <c r="AL48" s="20" t="str">
        <f aca="false">IF($C48="","",EDATE($C48,Milestones!$AA$46))</f>
        <v/>
      </c>
      <c r="AM48" s="20" t="str">
        <f aca="false">IF($C48="","",EDATE($C48,Milestones!$AA$47))</f>
        <v/>
      </c>
      <c r="AN48" s="20" t="str">
        <f aca="false">IF($C48="","",EDATE($C48,Milestones!$AA$48))</f>
        <v/>
      </c>
      <c r="AO48" s="20" t="str">
        <f aca="false">IF($C48="","",EDATE($C48,Milestones!$AA$49))</f>
        <v/>
      </c>
      <c r="AP48" s="20" t="str">
        <f aca="false">IF($C48="","",EDATE($C48,Milestones!$AA$50))</f>
        <v/>
      </c>
      <c r="AQ48" s="20" t="str">
        <f aca="false">IF($C48="","",EDATE($C48,Milestones!$AA$51))</f>
        <v/>
      </c>
      <c r="AR48" s="20" t="str">
        <f aca="false">IF($C48="","",EDATE($C48,Milestones!$AA$52))</f>
        <v/>
      </c>
      <c r="AS48" s="20" t="str">
        <f aca="false">IF($C48="","",EDATE($C48,Milestones!$AA$53))</f>
        <v/>
      </c>
      <c r="AT48" s="20" t="str">
        <f aca="false">IF($C48="","",EDATE($C48,Milestones!$AA$54))</f>
        <v/>
      </c>
      <c r="AU48" s="20" t="str">
        <f aca="false">IF($C48="","",EDATE($C48,Milestones!$AA$55))</f>
        <v/>
      </c>
      <c r="AV48" s="20" t="str">
        <f aca="false">IF($C48="","",EDATE($C48,Milestones!$AA$56))</f>
        <v/>
      </c>
      <c r="AW48" s="20" t="str">
        <f aca="false">IF($C48="","",EDATE($C48,Milestones!$AA$57))</f>
        <v/>
      </c>
      <c r="AX48" s="20" t="str">
        <f aca="false">IF($C48="","",EDATE($C48,Milestones!$AA$58))</f>
        <v/>
      </c>
      <c r="AY48" s="20" t="str">
        <f aca="false">IF($C48="","",EDATE($C48,Milestones!$AA$59))</f>
        <v/>
      </c>
      <c r="AZ48" s="20" t="str">
        <f aca="false">IF($C48="","",EDATE($C48,Milestones!$AA$60))</f>
        <v/>
      </c>
      <c r="BA48" s="20" t="str">
        <f aca="false">IF($C48="","",EDATE($C48,Milestones!$AA$61))</f>
        <v/>
      </c>
      <c r="BB48" s="20" t="str">
        <f aca="false">IF($C48="","",EDATE($C48,Milestones!$AA$62))</f>
        <v/>
      </c>
      <c r="BC48" s="20" t="str">
        <f aca="false">IF($C48="","",EDATE($C48,Milestones!$AA$63))</f>
        <v/>
      </c>
      <c r="BD48" s="20" t="str">
        <f aca="false">IF($C48="","",EDATE($C48,Milestones!$AA$64))</f>
        <v/>
      </c>
      <c r="BE48" s="20" t="str">
        <f aca="false">IF($C48="","",EDATE($C48,Milestones!$AA$65))</f>
        <v/>
      </c>
      <c r="BF48" s="20" t="str">
        <f aca="false">IF($C48="","",EDATE($C48,Milestones!$AA$66))</f>
        <v/>
      </c>
      <c r="BG48" s="20" t="str">
        <f aca="false">IF($C48="","",EDATE($C48,Milestones!$AA$67))</f>
        <v/>
      </c>
      <c r="BH48" s="20" t="str">
        <f aca="false">IF($C48="","",EDATE($C48,Milestones!$AA$68))</f>
        <v/>
      </c>
      <c r="BI48" s="20" t="str">
        <f aca="false">IF($C48="","",EDATE($C48,Milestones!$AA$69))</f>
        <v/>
      </c>
      <c r="BJ48" s="20" t="str">
        <f aca="false">IF($C48="","",EDATE($C48,Milestones!$AA$70))</f>
        <v/>
      </c>
      <c r="BK48" s="20" t="str">
        <f aca="false">IF($C48="","",EDATE($C48,Milestones!$AA$71))</f>
        <v/>
      </c>
      <c r="BL48" s="20" t="str">
        <f aca="false">IF($C48="","",EDATE($C48,Milestones!$AA$72))</f>
        <v/>
      </c>
      <c r="BM48" s="20" t="str">
        <f aca="false">IF($C48="","",EDATE($C48,Milestones!$AA$73))</f>
        <v/>
      </c>
      <c r="BN48" s="20" t="str">
        <f aca="false">IF($C48="","",EDATE($C48,Milestones!$AA$74))</f>
        <v/>
      </c>
      <c r="BO48" s="20" t="str">
        <f aca="false">IF($C48="","",EDATE($C48,Milestones!$AA$75))</f>
        <v/>
      </c>
      <c r="BP48" s="20" t="str">
        <f aca="false">IF($C48="","",EDATE($C48,Milestones!$AA$76))</f>
        <v/>
      </c>
      <c r="BQ48" s="20" t="str">
        <f aca="false">IF($C48="","",EDATE($C48,Milestones!$AA$77))</f>
        <v/>
      </c>
      <c r="BR48" s="20" t="str">
        <f aca="false">IF($C48="","",EDATE($C48,Milestones!$AA$78))</f>
        <v/>
      </c>
      <c r="BS48" s="20" t="str">
        <f aca="false">IF($C48="","",EDATE($C48,Milestones!$AA$79))</f>
        <v/>
      </c>
      <c r="BT48" s="20" t="str">
        <f aca="false">IF($C48="","",EDATE($C48,Milestones!$AA$80))</f>
        <v/>
      </c>
      <c r="BU48" s="20" t="str">
        <f aca="false">IF($C48="","",EDATE($C48,Milestones!$AA$81))</f>
        <v/>
      </c>
      <c r="BV48" s="20" t="str">
        <f aca="false">IF($C48="","",EDATE($C48,Milestones!$AA$82))</f>
        <v/>
      </c>
      <c r="BW48" s="20" t="str">
        <f aca="false">IF($C48="","",EDATE($C48,Milestones!$AA$83))</f>
        <v/>
      </c>
      <c r="BX48" s="20" t="str">
        <f aca="false">IF($C48="","",EDATE($C48,Milestones!$AA$84))</f>
        <v/>
      </c>
      <c r="BY48" s="20" t="str">
        <f aca="false">IF($C48="","",EDATE($C48,Milestones!$AA$85))</f>
        <v/>
      </c>
      <c r="BZ48" s="20" t="str">
        <f aca="false">IF($C48="","",EDATE($C48,Milestones!$AA$86))</f>
        <v/>
      </c>
      <c r="CA48" s="20" t="str">
        <f aca="false">IF($C48="","",EDATE($C48,Milestones!$AA$87))</f>
        <v/>
      </c>
      <c r="CB48" s="20" t="str">
        <f aca="false">IF($C48="","",EDATE($C48,Milestones!$AA$88))</f>
        <v/>
      </c>
      <c r="CC48" s="20" t="str">
        <f aca="false">IF($C48="","",EDATE($C48,Milestones!$AA$89))</f>
        <v/>
      </c>
      <c r="CD48" s="20" t="str">
        <f aca="false">IF($C48="","",EDATE($C48,Milestones!$AA$90))</f>
        <v/>
      </c>
      <c r="CE48" s="20" t="str">
        <f aca="false">IF($C48="","",EDATE($C48,Milestones!$AA$91))</f>
        <v/>
      </c>
      <c r="CF48" s="20" t="str">
        <f aca="false">IF($C48="","",EDATE($C48,Milestones!$AA$92))</f>
        <v/>
      </c>
      <c r="CG48" s="20" t="str">
        <f aca="false">IF($C48="","",EDATE($C48,Milestones!$AA$93))</f>
        <v/>
      </c>
      <c r="CH48" s="20" t="str">
        <f aca="false">IF($C48="","",EDATE($C48,Milestones!$AA$94))</f>
        <v/>
      </c>
      <c r="CI48" s="20" t="str">
        <f aca="false">IF($C48="","",EDATE($C48,Milestones!$AA$95))</f>
        <v/>
      </c>
      <c r="CJ48" s="20" t="str">
        <f aca="false">IF($C48="","",EDATE($C48,Milestones!$AA$96))</f>
        <v/>
      </c>
      <c r="CK48" s="20" t="str">
        <f aca="false">IF($C48="","",EDATE($C48,Milestones!$AA$97))</f>
        <v/>
      </c>
      <c r="CL48" s="20" t="str">
        <f aca="false">IF($C48="","",EDATE($C48,Milestones!$AA$98))</f>
        <v/>
      </c>
      <c r="CM48" s="20" t="str">
        <f aca="false">IF($C48="","",EDATE($C48,Milestones!$AA$99))</f>
        <v/>
      </c>
      <c r="CN48" s="20" t="str">
        <f aca="false">IF($C48="","",EDATE($C48,Milestones!$AA$100))</f>
        <v/>
      </c>
      <c r="CO48" s="20" t="str">
        <f aca="false">IF($C48="","",EDATE($C48,Milestones!$AA$101))</f>
        <v/>
      </c>
      <c r="CP48" s="20" t="str">
        <f aca="false">IF($C48="","",EDATE($C48,Milestones!$AA$102))</f>
        <v/>
      </c>
      <c r="CQ48" s="20" t="str">
        <f aca="false">IF($C48="","",EDATE($C48,Milestones!$AA$103))</f>
        <v/>
      </c>
      <c r="CR48" s="20" t="str">
        <f aca="false">IF($C48="","",EDATE($C48,Milestones!$AA$104))</f>
        <v/>
      </c>
      <c r="CS48" s="20" t="str">
        <f aca="false">IF($C48="","",EDATE($C48,Milestones!$AA$105))</f>
        <v/>
      </c>
      <c r="CT48" s="20" t="str">
        <f aca="false">IF($C48="","",EDATE($C48,Milestones!$AA$106))</f>
        <v/>
      </c>
      <c r="CU48" s="20" t="str">
        <f aca="false">IF($C48="","",EDATE($C48,Milestones!$AA$107))</f>
        <v/>
      </c>
      <c r="CV48" s="20" t="str">
        <f aca="false">IF($C48="","",EDATE($C48,Milestones!$AA$108))</f>
        <v/>
      </c>
      <c r="CW48" s="20" t="str">
        <f aca="false">IF($C48="","",EDATE($C48,Milestones!$AA$109))</f>
        <v/>
      </c>
      <c r="CX48" s="20" t="str">
        <f aca="false">IF($C48="","",EDATE($C48,Milestones!$AA$110))</f>
        <v/>
      </c>
      <c r="CY48" s="20" t="str">
        <f aca="false">IF($C48="","",EDATE($C48,Milestones!$AA$111))</f>
        <v/>
      </c>
      <c r="CZ48" s="20" t="str">
        <f aca="false">IF($C48="","",EDATE($C48,Milestones!$AA$112))</f>
        <v/>
      </c>
      <c r="DA48" s="20" t="str">
        <f aca="false">IF($C48="","",EDATE($C48,Milestones!$AA$113))</f>
        <v/>
      </c>
      <c r="DB48" s="20" t="str">
        <f aca="false">IF($C48="","",EDATE($C48,Milestones!$AA$114))</f>
        <v/>
      </c>
      <c r="DC48" s="20" t="str">
        <f aca="false">IF($C48="","",EDATE($C48,Milestones!$AA$115))</f>
        <v/>
      </c>
      <c r="DD48" s="20" t="str">
        <f aca="false">IF($C48="","",EDATE($C48,Milestones!$AA$116))</f>
        <v/>
      </c>
      <c r="DE48" s="20" t="str">
        <f aca="false">IF($C48="","",EDATE($C48,Milestones!$AA$117))</f>
        <v/>
      </c>
      <c r="DF48" s="20" t="str">
        <f aca="false">IF($C48="","",EDATE($C48,Milestones!$AA$118))</f>
        <v/>
      </c>
      <c r="DG48" s="20" t="str">
        <f aca="false">IF($C48="","",EDATE($C48,Milestones!$AA$119))</f>
        <v/>
      </c>
      <c r="DH48" s="20" t="str">
        <f aca="false">IF($C48="","",EDATE($C48,Milestones!$AA$120))</f>
        <v/>
      </c>
      <c r="DI48" s="20" t="str">
        <f aca="false">IF($C48="","",EDATE($C48,Milestones!$AA$121))</f>
        <v/>
      </c>
      <c r="DJ48" s="20" t="str">
        <f aca="false">IF($C48="","",EDATE($C48,Milestones!$AA$122))</f>
        <v/>
      </c>
      <c r="DK48" s="20" t="str">
        <f aca="false">IF($C48="","",EDATE($C48,Milestones!$AA$123))</f>
        <v/>
      </c>
      <c r="DL48" s="20" t="str">
        <f aca="false">IF($C48="","",EDATE($C48,Milestones!$AA$124))</f>
        <v/>
      </c>
      <c r="DM48" s="20" t="str">
        <f aca="false">IF($C48="","",EDATE($C48,Milestones!$AA$125))</f>
        <v/>
      </c>
      <c r="DN48" s="20" t="str">
        <f aca="false">IF($C48="","",EDATE($C48,Milestones!$AA$126))</f>
        <v/>
      </c>
      <c r="DO48" s="20" t="str">
        <f aca="false">IF($C48="","",EDATE($C48,Milestones!$AA$127))</f>
        <v/>
      </c>
      <c r="DP48" s="20" t="str">
        <f aca="false">IF($C48="","",EDATE($C48,Milestones!$AA$128))</f>
        <v/>
      </c>
      <c r="DQ48" s="20" t="str">
        <f aca="false">IF($C48="","",EDATE($C48,Milestones!$AA$129))</f>
        <v/>
      </c>
      <c r="DR48" s="20" t="str">
        <f aca="false">IF($C48="","",EDATE($C48,Milestones!$AA$130))</f>
        <v/>
      </c>
      <c r="DS48" s="20" t="str">
        <f aca="false">IF($C48="","",EDATE($C48,Milestones!$AA$131))</f>
        <v/>
      </c>
      <c r="DT48" s="20" t="str">
        <f aca="false">IF($C48="","",EDATE($C48,Milestones!$AA$132))</f>
        <v/>
      </c>
      <c r="DU48" s="20" t="str">
        <f aca="false">IF($C48="","",EDATE($C48,Milestones!$AA$133))</f>
        <v/>
      </c>
      <c r="DV48" s="20" t="str">
        <f aca="false">IF($C48="","",EDATE($C48,Milestones!$AA$134))</f>
        <v/>
      </c>
      <c r="DW48" s="20" t="str">
        <f aca="false">IF($C48="","",EDATE($C48,Milestones!$AA$135))</f>
        <v/>
      </c>
      <c r="DX48" s="20" t="str">
        <f aca="false">IF($C48="","",EDATE($C48,Milestones!$AA$136))</f>
        <v/>
      </c>
      <c r="DY48" s="20" t="str">
        <f aca="false">IF($C48="","",EDATE($C48,Milestones!$AA$137))</f>
        <v/>
      </c>
      <c r="DZ48" s="20" t="str">
        <f aca="false">IF($C48="","",EDATE($C48,Milestones!$AA$138))</f>
        <v/>
      </c>
      <c r="EA48" s="20" t="str">
        <f aca="false">IF($C48="","",EDATE($C48,Milestones!$AA$139))</f>
        <v/>
      </c>
      <c r="EB48" s="20" t="str">
        <f aca="false">IF($C48="","",EDATE($C48,Milestones!$AA$140))</f>
        <v/>
      </c>
      <c r="EC48" s="20" t="str">
        <f aca="false">IF($C48="","",EDATE($C48,Milestones!$AA$141))</f>
        <v/>
      </c>
      <c r="ED48" s="20" t="str">
        <f aca="false">IF($C48="","",EDATE($C48,Milestones!$AA$142))</f>
        <v/>
      </c>
      <c r="EE48" s="20" t="str">
        <f aca="false">IF($C48="","",EDATE($C48,Milestones!$AA$143))</f>
        <v/>
      </c>
      <c r="EF48" s="20" t="str">
        <f aca="false">IF($C48="","",EDATE($C48,Milestones!$AA$144))</f>
        <v/>
      </c>
      <c r="EG48" s="20" t="str">
        <f aca="false">IF($C48="","",EDATE($C48,Milestones!$AA$145))</f>
        <v/>
      </c>
      <c r="EH48" s="20" t="str">
        <f aca="false">IF($C48="","",EDATE($C48,Milestones!$AA$146))</f>
        <v/>
      </c>
      <c r="EI48" s="20" t="str">
        <f aca="false">IF($C48="","",EDATE($C48,Milestones!$AA$147))</f>
        <v/>
      </c>
      <c r="EJ48" s="20" t="str">
        <f aca="false">IF($C48="","",EDATE($C48,Milestones!$AA$148))</f>
        <v/>
      </c>
      <c r="EK48" s="20" t="str">
        <f aca="false">IF($C48="","",EDATE($C48,Milestones!$AA$149))</f>
        <v/>
      </c>
      <c r="EL48" s="20" t="str">
        <f aca="false">IF($C48="","",EDATE($C48,Milestones!$AA$150))</f>
        <v/>
      </c>
      <c r="EM48" s="20" t="str">
        <f aca="false">IF($C48="","",EDATE($C48,Milestones!$AA$151))</f>
        <v/>
      </c>
      <c r="EN48" s="20" t="str">
        <f aca="false">IF($C48="","",EDATE($C48,Milestones!$AA$152))</f>
        <v/>
      </c>
      <c r="EO48" s="20" t="str">
        <f aca="false">IF($C48="","",EDATE($C48,Milestones!$AA$153))</f>
        <v/>
      </c>
      <c r="EP48" s="20" t="str">
        <f aca="false">IF($C48="","",EDATE($C48,Milestones!$AA$154))</f>
        <v/>
      </c>
      <c r="EQ48" s="20" t="str">
        <f aca="false">IF($C48="","",EDATE($C48,Milestones!$AA$155))</f>
        <v/>
      </c>
      <c r="ER48" s="20" t="str">
        <f aca="false">IF($C48="","",EDATE($C48,Milestones!$AA$156))</f>
        <v/>
      </c>
      <c r="ES48" s="20" t="str">
        <f aca="false">IF($C48="","",EDATE($C48,Milestones!$AA$157))</f>
        <v/>
      </c>
      <c r="ET48" s="20" t="str">
        <f aca="false">IF($C48="","",EDATE($C48,Milestones!$AA$158))</f>
        <v/>
      </c>
      <c r="EU48" s="20" t="str">
        <f aca="false">IF($C48="","",EDATE($C48,Milestones!$AA$159))</f>
        <v/>
      </c>
      <c r="EV48" s="20" t="str">
        <f aca="false">IF($C48="","",EDATE($C48,Milestones!$AA$160))</f>
        <v/>
      </c>
      <c r="EW48" s="20" t="str">
        <f aca="false">IF($C48="","",EDATE($C48,Milestones!$AA$161))</f>
        <v/>
      </c>
      <c r="EX48" s="20" t="str">
        <f aca="false">IF($C48="","",EDATE($C48,Milestones!$AA$162))</f>
        <v/>
      </c>
      <c r="EY48" s="20" t="str">
        <f aca="false">IF($C48="","",EDATE($C48,Milestones!$AA$163))</f>
        <v/>
      </c>
      <c r="EZ48" s="20" t="str">
        <f aca="false">IF($C48="","",EDATE($C48,Milestones!$AA$164))</f>
        <v/>
      </c>
      <c r="FA48" s="20" t="str">
        <f aca="false">IF($C48="","",EDATE($C48,Milestones!$AA$165))</f>
        <v/>
      </c>
      <c r="FB48" s="20" t="str">
        <f aca="false">IF($C48="","",EDATE($C48,Milestones!$AA$166))</f>
        <v/>
      </c>
      <c r="FC48" s="20" t="str">
        <f aca="false">IF($C48="","",EDATE($C48,Milestones!$AA$167))</f>
        <v/>
      </c>
      <c r="FD48" s="20" t="str">
        <f aca="false">IF($C48="","",EDATE($C48,Milestones!$AA$168))</f>
        <v/>
      </c>
      <c r="FE48" s="20" t="str">
        <f aca="false">IF($C48="","",EDATE($C48,Milestones!$AA$169))</f>
        <v/>
      </c>
      <c r="FF48" s="20" t="str">
        <f aca="false">IF($C48="","",EDATE($C48,Milestones!$AA$170))</f>
        <v/>
      </c>
      <c r="FG48" s="20" t="str">
        <f aca="false">IF($C48="","",EDATE($C48,Milestones!$AA$171))</f>
        <v/>
      </c>
      <c r="FH48" s="20" t="str">
        <f aca="false">IF($C48="","",EDATE($C48,Milestones!$AA$172))</f>
        <v/>
      </c>
      <c r="FI48" s="20" t="str">
        <f aca="false">IF($C48="","",EDATE($C48,Milestones!$AA$173))</f>
        <v/>
      </c>
      <c r="FJ48" s="20" t="str">
        <f aca="false">IF($C48="","",EDATE($C48,Milestones!$AA$174))</f>
        <v/>
      </c>
      <c r="FK48" s="20" t="str">
        <f aca="false">IF($C48="","",EDATE($C48,Milestones!$AA$175))</f>
        <v/>
      </c>
      <c r="FL48" s="20" t="str">
        <f aca="false">IF($C48="","",EDATE($C48,Milestones!$AA$176))</f>
        <v/>
      </c>
      <c r="FM48" s="20" t="str">
        <f aca="false">IF($C48="","",EDATE($C48,Milestones!$AA$177))</f>
        <v/>
      </c>
      <c r="FN48" s="20" t="str">
        <f aca="false">IF($C48="","",EDATE($C48,Milestones!$AA$178))</f>
        <v/>
      </c>
      <c r="FO48" s="20" t="str">
        <f aca="false">IF($C48="","",EDATE($C48,Milestones!$AA$179))</f>
        <v/>
      </c>
      <c r="FP48" s="20" t="str">
        <f aca="false">IF($C48="","",EDATE($C48,Milestones!$AA$180))</f>
        <v/>
      </c>
      <c r="FQ48" s="20" t="str">
        <f aca="false">IF($C48="","",EDATE($C48,Milestones!$AA$181))</f>
        <v/>
      </c>
      <c r="FR48" s="20" t="str">
        <f aca="false">IF($C48="","",EDATE($C48,Milestones!$AA$182))</f>
        <v/>
      </c>
      <c r="FS48" s="20" t="str">
        <f aca="false">IF($C48="","",EDATE($C48,Milestones!$AA$183))</f>
        <v/>
      </c>
      <c r="FT48" s="20" t="str">
        <f aca="false">IF($C48="","",EDATE($C48,Milestones!$AA$184))</f>
        <v/>
      </c>
      <c r="FU48" s="20" t="str">
        <f aca="false">IF($C48="","",EDATE($C48,Milestones!$AA$185))</f>
        <v/>
      </c>
      <c r="FV48" s="20" t="str">
        <f aca="false">IF($C48="","",EDATE($C48,Milestones!$AA$186))</f>
        <v/>
      </c>
      <c r="FW48" s="20" t="str">
        <f aca="false">IF($C48="","",EDATE($C48,Milestones!$AA$187))</f>
        <v/>
      </c>
      <c r="FX48" s="20" t="str">
        <f aca="false">IF($C48="","",EDATE($C48,Milestones!$AA$188))</f>
        <v/>
      </c>
      <c r="FY48" s="20" t="str">
        <f aca="false">IF($C48="","",EDATE($C48,Milestones!$AA$189))</f>
        <v/>
      </c>
      <c r="FZ48" s="20" t="str">
        <f aca="false">IF($C48="","",EDATE($C48,Milestones!$AA$190))</f>
        <v/>
      </c>
      <c r="GA48" s="20" t="str">
        <f aca="false">IF($C48="","",EDATE($C48,Milestones!$AA$191))</f>
        <v/>
      </c>
      <c r="GB48" s="20" t="str">
        <f aca="false">IF($C48="","",EDATE($C48,Milestones!$AA$192))</f>
        <v/>
      </c>
      <c r="GC48" s="20" t="str">
        <f aca="false">IF($C48="","",EDATE($C48,Milestones!$AA$193))</f>
        <v/>
      </c>
      <c r="GD48" s="20" t="str">
        <f aca="false">IF($C48="","",EDATE($C48,Milestones!$AA$194))</f>
        <v/>
      </c>
      <c r="GE48" s="20" t="str">
        <f aca="false">IF($C48="","",EDATE($C48,Milestones!$AA$195))</f>
        <v/>
      </c>
      <c r="GF48" s="20" t="str">
        <f aca="false">IF($C48="","",EDATE($C48,Milestones!$AA$196))</f>
        <v/>
      </c>
      <c r="GG48" s="20" t="str">
        <f aca="false">IF($C48="","",EDATE($C48,Milestones!$AA$197))</f>
        <v/>
      </c>
      <c r="GH48" s="20" t="str">
        <f aca="false">IF($C48="","",EDATE($C48,Milestones!$AA$198))</f>
        <v/>
      </c>
      <c r="GI48" s="20" t="str">
        <f aca="false">IF($C48="","",EDATE($C48,Milestones!$AA$199))</f>
        <v/>
      </c>
    </row>
    <row r="49" customFormat="false" ht="15" hidden="false" customHeight="false" outlineLevel="0" collapsed="false">
      <c r="K49" s="0" t="s">
        <v>263</v>
      </c>
      <c r="L49" s="0" t="str">
        <f aca="false">IF(L48="","",IF($D48=0,$J48,IF(AND($F48&lt;&gt;"",L48&gt;=$F48),$I48,IF(AND($E48&lt;&gt;"",L48&gt;=$E48),$H48,$G48))))</f>
        <v/>
      </c>
      <c r="M49" s="0" t="str">
        <f aca="false">IF(M48="","",IF($D48=0,$J48,IF(AND($F48&lt;&gt;"",M48&gt;=$F48),$I48,IF(AND($E48&lt;&gt;"",M48&gt;=$E48),$H48,$G48))))</f>
        <v/>
      </c>
      <c r="N49" s="0" t="str">
        <f aca="false">IF(N48="","",IF($D48=0,$J48,IF(AND($F48&lt;&gt;"",N48&gt;=$F48),$I48,IF(AND($E48&lt;&gt;"",N48&gt;=$E48),$H48,$G48))))</f>
        <v/>
      </c>
      <c r="O49" s="0" t="str">
        <f aca="false">IF(O48="","",IF($D48=0,$J48,IF(AND($F48&lt;&gt;"",O48&gt;=$F48),$I48,IF(AND($E48&lt;&gt;"",O48&gt;=$E48),$H48,$G48))))</f>
        <v/>
      </c>
      <c r="P49" s="0" t="str">
        <f aca="false">IF(P48="","",IF($D48=0,$J48,IF(AND($F48&lt;&gt;"",P48&gt;=$F48),$I48,IF(AND($E48&lt;&gt;"",P48&gt;=$E48),$H48,$G48))))</f>
        <v/>
      </c>
      <c r="Q49" s="0" t="str">
        <f aca="false">IF(Q48="","",IF($D48=0,$J48,IF(AND($F48&lt;&gt;"",Q48&gt;=$F48),$I48,IF(AND($E48&lt;&gt;"",Q48&gt;=$E48),$H48,$G48))))</f>
        <v/>
      </c>
      <c r="R49" s="0" t="str">
        <f aca="false">IF(R48="","",IF($D48=0,$J48,IF(AND($F48&lt;&gt;"",R48&gt;=$F48),$I48,IF(AND($E48&lt;&gt;"",R48&gt;=$E48),$H48,$G48))))</f>
        <v/>
      </c>
      <c r="S49" s="0" t="str">
        <f aca="false">IF(S48="","",IF($D48=0,$J48,IF(AND($F48&lt;&gt;"",S48&gt;=$F48),$I48,IF(AND($E48&lt;&gt;"",S48&gt;=$E48),$H48,$G48))))</f>
        <v/>
      </c>
      <c r="T49" s="0" t="str">
        <f aca="false">IF(T48="","",IF($D48=0,$J48,IF(AND($F48&lt;&gt;"",T48&gt;=$F48),$I48,IF(AND($E48&lt;&gt;"",T48&gt;=$E48),$H48,$G48))))</f>
        <v/>
      </c>
      <c r="U49" s="0" t="str">
        <f aca="false">IF(U48="","",IF($D48=0,$J48,IF(AND($F48&lt;&gt;"",U48&gt;=$F48),$I48,IF(AND($E48&lt;&gt;"",U48&gt;=$E48),$H48,$G48))))</f>
        <v/>
      </c>
      <c r="V49" s="0" t="str">
        <f aca="false">IF(V48="","",IF($D48=0,$J48,IF(AND($F48&lt;&gt;"",V48&gt;=$F48),$I48,IF(AND($E48&lt;&gt;"",V48&gt;=$E48),$H48,$G48))))</f>
        <v/>
      </c>
      <c r="W49" s="0" t="str">
        <f aca="false">IF(W48="","",IF($D48=0,$J48,IF(AND($F48&lt;&gt;"",W48&gt;=$F48),$I48,IF(AND($E48&lt;&gt;"",W48&gt;=$E48),$H48,$G48))))</f>
        <v/>
      </c>
      <c r="X49" s="0" t="str">
        <f aca="false">IF(X48="","",IF($D48=0,$J48,IF(AND($F48&lt;&gt;"",X48&gt;=$F48),$I48,IF(AND($E48&lt;&gt;"",X48&gt;=$E48),$H48,$G48))))</f>
        <v/>
      </c>
      <c r="Y49" s="0" t="str">
        <f aca="false">IF(Y48="","",IF($D48=0,$J48,IF(AND($F48&lt;&gt;"",Y48&gt;=$F48),$I48,IF(AND($E48&lt;&gt;"",Y48&gt;=$E48),$H48,$G48))))</f>
        <v/>
      </c>
      <c r="Z49" s="0" t="str">
        <f aca="false">IF(Z48="","",IF($D48=0,$J48,IF(AND($F48&lt;&gt;"",Z48&gt;=$F48),$I48,IF(AND($E48&lt;&gt;"",Z48&gt;=$E48),$H48,$G48))))</f>
        <v/>
      </c>
      <c r="AA49" s="0" t="str">
        <f aca="false">IF(AA48="","",IF($D48=0,$J48,IF(AND($F48&lt;&gt;"",AA48&gt;=$F48),$I48,IF(AND($E48&lt;&gt;"",AA48&gt;=$E48),$H48,$G48))))</f>
        <v/>
      </c>
      <c r="AB49" s="0" t="str">
        <f aca="false">IF(AB48="","",IF($D48=0,$J48,IF(AND($F48&lt;&gt;"",AB48&gt;=$F48),$I48,IF(AND($E48&lt;&gt;"",AB48&gt;=$E48),$H48,$G48))))</f>
        <v/>
      </c>
      <c r="AC49" s="0" t="str">
        <f aca="false">IF(AC48="","",IF($D48=0,$J48,IF(AND($F48&lt;&gt;"",AC48&gt;=$F48),$I48,IF(AND($E48&lt;&gt;"",AC48&gt;=$E48),$H48,$G48))))</f>
        <v/>
      </c>
      <c r="AD49" s="0" t="str">
        <f aca="false">IF(AD48="","",IF($D48=0,$J48,IF(AND($F48&lt;&gt;"",AD48&gt;=$F48),$I48,IF(AND($E48&lt;&gt;"",AD48&gt;=$E48),$H48,$G48))))</f>
        <v/>
      </c>
      <c r="AE49" s="0" t="str">
        <f aca="false">IF(AE48="","",IF($D48=0,$J48,IF(AND($F48&lt;&gt;"",AE48&gt;=$F48),$I48,IF(AND($E48&lt;&gt;"",AE48&gt;=$E48),$H48,$G48))))</f>
        <v/>
      </c>
      <c r="AF49" s="0" t="str">
        <f aca="false">IF(AF48="","",IF($D48=0,$J48,IF(AND($F48&lt;&gt;"",AF48&gt;=$F48),$I48,IF(AND($E48&lt;&gt;"",AF48&gt;=$E48),$H48,$G48))))</f>
        <v/>
      </c>
      <c r="AG49" s="0" t="str">
        <f aca="false">IF(AG48="","",IF($D48=0,$J48,IF(AND($F48&lt;&gt;"",AG48&gt;=$F48),$I48,IF(AND($E48&lt;&gt;"",AG48&gt;=$E48),$H48,$G48))))</f>
        <v/>
      </c>
      <c r="AH49" s="0" t="str">
        <f aca="false">IF(AH48="","",IF($D48=0,$J48,IF(AND($F48&lt;&gt;"",AH48&gt;=$F48),$I48,IF(AND($E48&lt;&gt;"",AH48&gt;=$E48),$H48,$G48))))</f>
        <v/>
      </c>
      <c r="AI49" s="0" t="str">
        <f aca="false">IF(AI48="","",IF($D48=0,$J48,IF(AND($F48&lt;&gt;"",AI48&gt;=$F48),$I48,IF(AND($E48&lt;&gt;"",AI48&gt;=$E48),$H48,$G48))))</f>
        <v/>
      </c>
      <c r="AJ49" s="0" t="str">
        <f aca="false">IF(AJ48="","",IF($D48=0,$J48,IF(AND($F48&lt;&gt;"",AJ48&gt;=$F48),$I48,IF(AND($E48&lt;&gt;"",AJ48&gt;=$E48),$H48,$G48))))</f>
        <v/>
      </c>
      <c r="AK49" s="0" t="str">
        <f aca="false">IF(AK48="","",IF($D48=0,$J48,IF(AND($F48&lt;&gt;"",AK48&gt;=$F48),$I48,IF(AND($E48&lt;&gt;"",AK48&gt;=$E48),$H48,$G48))))</f>
        <v/>
      </c>
      <c r="AL49" s="0" t="str">
        <f aca="false">IF(AL48="","",IF($D48=0,$J48,IF(AND($F48&lt;&gt;"",AL48&gt;=$F48),$I48,IF(AND($E48&lt;&gt;"",AL48&gt;=$E48),$H48,$G48))))</f>
        <v/>
      </c>
      <c r="AM49" s="0" t="str">
        <f aca="false">IF(AM48="","",IF($D48=0,$J48,IF(AND($F48&lt;&gt;"",AM48&gt;=$F48),$I48,IF(AND($E48&lt;&gt;"",AM48&gt;=$E48),$H48,$G48))))</f>
        <v/>
      </c>
      <c r="AN49" s="0" t="str">
        <f aca="false">IF(AN48="","",IF($D48=0,$J48,IF(AND($F48&lt;&gt;"",AN48&gt;=$F48),$I48,IF(AND($E48&lt;&gt;"",AN48&gt;=$E48),$H48,$G48))))</f>
        <v/>
      </c>
      <c r="AO49" s="0" t="str">
        <f aca="false">IF(AO48="","",IF($D48=0,$J48,IF(AND($F48&lt;&gt;"",AO48&gt;=$F48),$I48,IF(AND($E48&lt;&gt;"",AO48&gt;=$E48),$H48,$G48))))</f>
        <v/>
      </c>
      <c r="AP49" s="0" t="str">
        <f aca="false">IF(AP48="","",IF($D48=0,$J48,IF(AND($F48&lt;&gt;"",AP48&gt;=$F48),$I48,IF(AND($E48&lt;&gt;"",AP48&gt;=$E48),$H48,$G48))))</f>
        <v/>
      </c>
      <c r="AQ49" s="0" t="str">
        <f aca="false">IF(AQ48="","",IF($D48=0,$J48,IF(AND($F48&lt;&gt;"",AQ48&gt;=$F48),$I48,IF(AND($E48&lt;&gt;"",AQ48&gt;=$E48),$H48,$G48))))</f>
        <v/>
      </c>
      <c r="AR49" s="0" t="str">
        <f aca="false">IF(AR48="","",IF($D48=0,$J48,IF(AND($F48&lt;&gt;"",AR48&gt;=$F48),$I48,IF(AND($E48&lt;&gt;"",AR48&gt;=$E48),$H48,$G48))))</f>
        <v/>
      </c>
      <c r="AS49" s="0" t="str">
        <f aca="false">IF(AS48="","",IF($D48=0,$J48,IF(AND($F48&lt;&gt;"",AS48&gt;=$F48),$I48,IF(AND($E48&lt;&gt;"",AS48&gt;=$E48),$H48,$G48))))</f>
        <v/>
      </c>
      <c r="AT49" s="0" t="str">
        <f aca="false">IF(AT48="","",IF($D48=0,$J48,IF(AND($F48&lt;&gt;"",AT48&gt;=$F48),$I48,IF(AND($E48&lt;&gt;"",AT48&gt;=$E48),$H48,$G48))))</f>
        <v/>
      </c>
      <c r="AU49" s="0" t="str">
        <f aca="false">IF(AU48="","",IF($D48=0,$J48,IF(AND($F48&lt;&gt;"",AU48&gt;=$F48),$I48,IF(AND($E48&lt;&gt;"",AU48&gt;=$E48),$H48,$G48))))</f>
        <v/>
      </c>
      <c r="AV49" s="0" t="str">
        <f aca="false">IF(AV48="","",IF($D48=0,$J48,IF(AND($F48&lt;&gt;"",AV48&gt;=$F48),$I48,IF(AND($E48&lt;&gt;"",AV48&gt;=$E48),$H48,$G48))))</f>
        <v/>
      </c>
      <c r="AW49" s="0" t="str">
        <f aca="false">IF(AW48="","",IF($D48=0,$J48,IF(AND($F48&lt;&gt;"",AW48&gt;=$F48),$I48,IF(AND($E48&lt;&gt;"",AW48&gt;=$E48),$H48,$G48))))</f>
        <v/>
      </c>
      <c r="AX49" s="0" t="str">
        <f aca="false">IF(AX48="","",IF($D48=0,$J48,IF(AND($F48&lt;&gt;"",AX48&gt;=$F48),$I48,IF(AND($E48&lt;&gt;"",AX48&gt;=$E48),$H48,$G48))))</f>
        <v/>
      </c>
      <c r="AY49" s="0" t="str">
        <f aca="false">IF(AY48="","",IF($D48=0,$J48,IF(AND($F48&lt;&gt;"",AY48&gt;=$F48),$I48,IF(AND($E48&lt;&gt;"",AY48&gt;=$E48),$H48,$G48))))</f>
        <v/>
      </c>
      <c r="AZ49" s="0" t="str">
        <f aca="false">IF(AZ48="","",IF($D48=0,$J48,IF(AND($F48&lt;&gt;"",AZ48&gt;=$F48),$I48,IF(AND($E48&lt;&gt;"",AZ48&gt;=$E48),$H48,$G48))))</f>
        <v/>
      </c>
      <c r="BA49" s="0" t="str">
        <f aca="false">IF(BA48="","",IF($D48=0,$J48,IF(AND($F48&lt;&gt;"",BA48&gt;=$F48),$I48,IF(AND($E48&lt;&gt;"",BA48&gt;=$E48),$H48,$G48))))</f>
        <v/>
      </c>
      <c r="BB49" s="0" t="str">
        <f aca="false">IF(BB48="","",IF($D48=0,$J48,IF(AND($F48&lt;&gt;"",BB48&gt;=$F48),$I48,IF(AND($E48&lt;&gt;"",BB48&gt;=$E48),$H48,$G48))))</f>
        <v/>
      </c>
      <c r="BC49" s="0" t="str">
        <f aca="false">IF(BC48="","",IF($D48=0,$J48,IF(AND($F48&lt;&gt;"",BC48&gt;=$F48),$I48,IF(AND($E48&lt;&gt;"",BC48&gt;=$E48),$H48,$G48))))</f>
        <v/>
      </c>
      <c r="BD49" s="0" t="str">
        <f aca="false">IF(BD48="","",IF($D48=0,$J48,IF(AND($F48&lt;&gt;"",BD48&gt;=$F48),$I48,IF(AND($E48&lt;&gt;"",BD48&gt;=$E48),$H48,$G48))))</f>
        <v/>
      </c>
      <c r="BE49" s="0" t="str">
        <f aca="false">IF(BE48="","",IF($D48=0,$J48,IF(AND($F48&lt;&gt;"",BE48&gt;=$F48),$I48,IF(AND($E48&lt;&gt;"",BE48&gt;=$E48),$H48,$G48))))</f>
        <v/>
      </c>
      <c r="BF49" s="0" t="str">
        <f aca="false">IF(BF48="","",IF($D48=0,$J48,IF(AND($F48&lt;&gt;"",BF48&gt;=$F48),$I48,IF(AND($E48&lt;&gt;"",BF48&gt;=$E48),$H48,$G48))))</f>
        <v/>
      </c>
      <c r="BG49" s="0" t="str">
        <f aca="false">IF(BG48="","",IF($D48=0,$J48,IF(AND($F48&lt;&gt;"",BG48&gt;=$F48),$I48,IF(AND($E48&lt;&gt;"",BG48&gt;=$E48),$H48,$G48))))</f>
        <v/>
      </c>
      <c r="BH49" s="0" t="str">
        <f aca="false">IF(BH48="","",IF($D48=0,$J48,IF(AND($F48&lt;&gt;"",BH48&gt;=$F48),$I48,IF(AND($E48&lt;&gt;"",BH48&gt;=$E48),$H48,$G48))))</f>
        <v/>
      </c>
      <c r="BI49" s="0" t="str">
        <f aca="false">IF(BI48="","",IF($D48=0,$J48,IF(AND($F48&lt;&gt;"",BI48&gt;=$F48),$I48,IF(AND($E48&lt;&gt;"",BI48&gt;=$E48),$H48,$G48))))</f>
        <v/>
      </c>
      <c r="BJ49" s="0" t="str">
        <f aca="false">IF(BJ48="","",IF($D48=0,$J48,IF(AND($F48&lt;&gt;"",BJ48&gt;=$F48),$I48,IF(AND($E48&lt;&gt;"",BJ48&gt;=$E48),$H48,$G48))))</f>
        <v/>
      </c>
      <c r="BK49" s="0" t="str">
        <f aca="false">IF(BK48="","",IF($D48=0,$J48,IF(AND($F48&lt;&gt;"",BK48&gt;=$F48),$I48,IF(AND($E48&lt;&gt;"",BK48&gt;=$E48),$H48,$G48))))</f>
        <v/>
      </c>
      <c r="BL49" s="0" t="str">
        <f aca="false">IF(BL48="","",IF($D48=0,$J48,IF(AND($F48&lt;&gt;"",BL48&gt;=$F48),$I48,IF(AND($E48&lt;&gt;"",BL48&gt;=$E48),$H48,$G48))))</f>
        <v/>
      </c>
      <c r="BM49" s="0" t="str">
        <f aca="false">IF(BM48="","",IF($D48=0,$J48,IF(AND($F48&lt;&gt;"",BM48&gt;=$F48),$I48,IF(AND($E48&lt;&gt;"",BM48&gt;=$E48),$H48,$G48))))</f>
        <v/>
      </c>
      <c r="BN49" s="0" t="str">
        <f aca="false">IF(BN48="","",IF($D48=0,$J48,IF(AND($F48&lt;&gt;"",BN48&gt;=$F48),$I48,IF(AND($E48&lt;&gt;"",BN48&gt;=$E48),$H48,$G48))))</f>
        <v/>
      </c>
      <c r="BO49" s="0" t="str">
        <f aca="false">IF(BO48="","",IF($D48=0,$J48,IF(AND($F48&lt;&gt;"",BO48&gt;=$F48),$I48,IF(AND($E48&lt;&gt;"",BO48&gt;=$E48),$H48,$G48))))</f>
        <v/>
      </c>
      <c r="BP49" s="0" t="str">
        <f aca="false">IF(BP48="","",IF($D48=0,$J48,IF(AND($F48&lt;&gt;"",BP48&gt;=$F48),$I48,IF(AND($E48&lt;&gt;"",BP48&gt;=$E48),$H48,$G48))))</f>
        <v/>
      </c>
      <c r="BQ49" s="0" t="str">
        <f aca="false">IF(BQ48="","",IF($D48=0,$J48,IF(AND($F48&lt;&gt;"",BQ48&gt;=$F48),$I48,IF(AND($E48&lt;&gt;"",BQ48&gt;=$E48),$H48,$G48))))</f>
        <v/>
      </c>
      <c r="BR49" s="0" t="str">
        <f aca="false">IF(BR48="","",IF($D48=0,$J48,IF(AND($F48&lt;&gt;"",BR48&gt;=$F48),$I48,IF(AND($E48&lt;&gt;"",BR48&gt;=$E48),$H48,$G48))))</f>
        <v/>
      </c>
      <c r="BS49" s="0" t="str">
        <f aca="false">IF(BS48="","",IF($D48=0,$J48,IF(AND($F48&lt;&gt;"",BS48&gt;=$F48),$I48,IF(AND($E48&lt;&gt;"",BS48&gt;=$E48),$H48,$G48))))</f>
        <v/>
      </c>
      <c r="BT49" s="0" t="str">
        <f aca="false">IF(BT48="","",IF($D48=0,$J48,IF(AND($F48&lt;&gt;"",BT48&gt;=$F48),$I48,IF(AND($E48&lt;&gt;"",BT48&gt;=$E48),$H48,$G48))))</f>
        <v/>
      </c>
      <c r="BU49" s="0" t="str">
        <f aca="false">IF(BU48="","",IF($D48=0,$J48,IF(AND($F48&lt;&gt;"",BU48&gt;=$F48),$I48,IF(AND($E48&lt;&gt;"",BU48&gt;=$E48),$H48,$G48))))</f>
        <v/>
      </c>
      <c r="BV49" s="0" t="str">
        <f aca="false">IF(BV48="","",IF($D48=0,$J48,IF(AND($F48&lt;&gt;"",BV48&gt;=$F48),$I48,IF(AND($E48&lt;&gt;"",BV48&gt;=$E48),$H48,$G48))))</f>
        <v/>
      </c>
      <c r="BW49" s="0" t="str">
        <f aca="false">IF(BW48="","",IF($D48=0,$J48,IF(AND($F48&lt;&gt;"",BW48&gt;=$F48),$I48,IF(AND($E48&lt;&gt;"",BW48&gt;=$E48),$H48,$G48))))</f>
        <v/>
      </c>
      <c r="BX49" s="0" t="str">
        <f aca="false">IF(BX48="","",IF($D48=0,$J48,IF(AND($F48&lt;&gt;"",BX48&gt;=$F48),$I48,IF(AND($E48&lt;&gt;"",BX48&gt;=$E48),$H48,$G48))))</f>
        <v/>
      </c>
      <c r="BY49" s="0" t="str">
        <f aca="false">IF(BY48="","",IF($D48=0,$J48,IF(AND($F48&lt;&gt;"",BY48&gt;=$F48),$I48,IF(AND($E48&lt;&gt;"",BY48&gt;=$E48),$H48,$G48))))</f>
        <v/>
      </c>
      <c r="BZ49" s="0" t="str">
        <f aca="false">IF(BZ48="","",IF($D48=0,$J48,IF(AND($F48&lt;&gt;"",BZ48&gt;=$F48),$I48,IF(AND($E48&lt;&gt;"",BZ48&gt;=$E48),$H48,$G48))))</f>
        <v/>
      </c>
      <c r="CA49" s="0" t="str">
        <f aca="false">IF(CA48="","",IF($D48=0,$J48,IF(AND($F48&lt;&gt;"",CA48&gt;=$F48),$I48,IF(AND($E48&lt;&gt;"",CA48&gt;=$E48),$H48,$G48))))</f>
        <v/>
      </c>
      <c r="CB49" s="0" t="str">
        <f aca="false">IF(CB48="","",IF($D48=0,$J48,IF(AND($F48&lt;&gt;"",CB48&gt;=$F48),$I48,IF(AND($E48&lt;&gt;"",CB48&gt;=$E48),$H48,$G48))))</f>
        <v/>
      </c>
      <c r="CC49" s="0" t="str">
        <f aca="false">IF(CC48="","",IF($D48=0,$J48,IF(AND($F48&lt;&gt;"",CC48&gt;=$F48),$I48,IF(AND($E48&lt;&gt;"",CC48&gt;=$E48),$H48,$G48))))</f>
        <v/>
      </c>
      <c r="CD49" s="0" t="str">
        <f aca="false">IF(CD48="","",IF($D48=0,$J48,IF(AND($F48&lt;&gt;"",CD48&gt;=$F48),$I48,IF(AND($E48&lt;&gt;"",CD48&gt;=$E48),$H48,$G48))))</f>
        <v/>
      </c>
      <c r="CE49" s="0" t="str">
        <f aca="false">IF(CE48="","",IF($D48=0,$J48,IF(AND($F48&lt;&gt;"",CE48&gt;=$F48),$I48,IF(AND($E48&lt;&gt;"",CE48&gt;=$E48),$H48,$G48))))</f>
        <v/>
      </c>
      <c r="CF49" s="0" t="str">
        <f aca="false">IF(CF48="","",IF($D48=0,$J48,IF(AND($F48&lt;&gt;"",CF48&gt;=$F48),$I48,IF(AND($E48&lt;&gt;"",CF48&gt;=$E48),$H48,$G48))))</f>
        <v/>
      </c>
      <c r="CG49" s="0" t="str">
        <f aca="false">IF(CG48="","",IF($D48=0,$J48,IF(AND($F48&lt;&gt;"",CG48&gt;=$F48),$I48,IF(AND($E48&lt;&gt;"",CG48&gt;=$E48),$H48,$G48))))</f>
        <v/>
      </c>
      <c r="CH49" s="0" t="str">
        <f aca="false">IF(CH48="","",IF($D48=0,$J48,IF(AND($F48&lt;&gt;"",CH48&gt;=$F48),$I48,IF(AND($E48&lt;&gt;"",CH48&gt;=$E48),$H48,$G48))))</f>
        <v/>
      </c>
      <c r="CI49" s="0" t="str">
        <f aca="false">IF(CI48="","",IF($D48=0,$J48,IF(AND($F48&lt;&gt;"",CI48&gt;=$F48),$I48,IF(AND($E48&lt;&gt;"",CI48&gt;=$E48),$H48,$G48))))</f>
        <v/>
      </c>
      <c r="CJ49" s="0" t="str">
        <f aca="false">IF(CJ48="","",IF($D48=0,$J48,IF(AND($F48&lt;&gt;"",CJ48&gt;=$F48),$I48,IF(AND($E48&lt;&gt;"",CJ48&gt;=$E48),$H48,$G48))))</f>
        <v/>
      </c>
      <c r="CK49" s="0" t="str">
        <f aca="false">IF(CK48="","",IF($D48=0,$J48,IF(AND($F48&lt;&gt;"",CK48&gt;=$F48),$I48,IF(AND($E48&lt;&gt;"",CK48&gt;=$E48),$H48,$G48))))</f>
        <v/>
      </c>
      <c r="CL49" s="0" t="str">
        <f aca="false">IF(CL48="","",IF($D48=0,$J48,IF(AND($F48&lt;&gt;"",CL48&gt;=$F48),$I48,IF(AND($E48&lt;&gt;"",CL48&gt;=$E48),$H48,$G48))))</f>
        <v/>
      </c>
      <c r="CM49" s="0" t="str">
        <f aca="false">IF(CM48="","",IF($D48=0,$J48,IF(AND($F48&lt;&gt;"",CM48&gt;=$F48),$I48,IF(AND($E48&lt;&gt;"",CM48&gt;=$E48),$H48,$G48))))</f>
        <v/>
      </c>
      <c r="CN49" s="0" t="str">
        <f aca="false">IF(CN48="","",IF($D48=0,$J48,IF(AND($F48&lt;&gt;"",CN48&gt;=$F48),$I48,IF(AND($E48&lt;&gt;"",CN48&gt;=$E48),$H48,$G48))))</f>
        <v/>
      </c>
      <c r="CO49" s="0" t="str">
        <f aca="false">IF(CO48="","",IF($D48=0,$J48,IF(AND($F48&lt;&gt;"",CO48&gt;=$F48),$I48,IF(AND($E48&lt;&gt;"",CO48&gt;=$E48),$H48,$G48))))</f>
        <v/>
      </c>
      <c r="CP49" s="0" t="str">
        <f aca="false">IF(CP48="","",IF($D48=0,$J48,IF(AND($F48&lt;&gt;"",CP48&gt;=$F48),$I48,IF(AND($E48&lt;&gt;"",CP48&gt;=$E48),$H48,$G48))))</f>
        <v/>
      </c>
      <c r="CQ49" s="0" t="str">
        <f aca="false">IF(CQ48="","",IF($D48=0,$J48,IF(AND($F48&lt;&gt;"",CQ48&gt;=$F48),$I48,IF(AND($E48&lt;&gt;"",CQ48&gt;=$E48),$H48,$G48))))</f>
        <v/>
      </c>
      <c r="CR49" s="0" t="str">
        <f aca="false">IF(CR48="","",IF($D48=0,$J48,IF(AND($F48&lt;&gt;"",CR48&gt;=$F48),$I48,IF(AND($E48&lt;&gt;"",CR48&gt;=$E48),$H48,$G48))))</f>
        <v/>
      </c>
      <c r="CS49" s="0" t="str">
        <f aca="false">IF(CS48="","",IF($D48=0,$J48,IF(AND($F48&lt;&gt;"",CS48&gt;=$F48),$I48,IF(AND($E48&lt;&gt;"",CS48&gt;=$E48),$H48,$G48))))</f>
        <v/>
      </c>
      <c r="CT49" s="0" t="str">
        <f aca="false">IF(CT48="","",IF($D48=0,$J48,IF(AND($F48&lt;&gt;"",CT48&gt;=$F48),$I48,IF(AND($E48&lt;&gt;"",CT48&gt;=$E48),$H48,$G48))))</f>
        <v/>
      </c>
      <c r="CU49" s="0" t="str">
        <f aca="false">IF(CU48="","",IF($D48=0,$J48,IF(AND($F48&lt;&gt;"",CU48&gt;=$F48),$I48,IF(AND($E48&lt;&gt;"",CU48&gt;=$E48),$H48,$G48))))</f>
        <v/>
      </c>
      <c r="CV49" s="0" t="str">
        <f aca="false">IF(CV48="","",IF($D48=0,$J48,IF(AND($F48&lt;&gt;"",CV48&gt;=$F48),$I48,IF(AND($E48&lt;&gt;"",CV48&gt;=$E48),$H48,$G48))))</f>
        <v/>
      </c>
      <c r="CW49" s="0" t="str">
        <f aca="false">IF(CW48="","",IF($D48=0,$J48,IF(AND($F48&lt;&gt;"",CW48&gt;=$F48),$I48,IF(AND($E48&lt;&gt;"",CW48&gt;=$E48),$H48,$G48))))</f>
        <v/>
      </c>
      <c r="CX49" s="0" t="str">
        <f aca="false">IF(CX48="","",IF($D48=0,$J48,IF(AND($F48&lt;&gt;"",CX48&gt;=$F48),$I48,IF(AND($E48&lt;&gt;"",CX48&gt;=$E48),$H48,$G48))))</f>
        <v/>
      </c>
      <c r="CY49" s="0" t="str">
        <f aca="false">IF(CY48="","",IF($D48=0,$J48,IF(AND($F48&lt;&gt;"",CY48&gt;=$F48),$I48,IF(AND($E48&lt;&gt;"",CY48&gt;=$E48),$H48,$G48))))</f>
        <v/>
      </c>
      <c r="CZ49" s="0" t="str">
        <f aca="false">IF(CZ48="","",IF($D48=0,$J48,IF(AND($F48&lt;&gt;"",CZ48&gt;=$F48),$I48,IF(AND($E48&lt;&gt;"",CZ48&gt;=$E48),$H48,$G48))))</f>
        <v/>
      </c>
      <c r="DA49" s="0" t="str">
        <f aca="false">IF(DA48="","",IF($D48=0,$J48,IF(AND($F48&lt;&gt;"",DA48&gt;=$F48),$I48,IF(AND($E48&lt;&gt;"",DA48&gt;=$E48),$H48,$G48))))</f>
        <v/>
      </c>
      <c r="DB49" s="0" t="str">
        <f aca="false">IF(DB48="","",IF($D48=0,$J48,IF(AND($F48&lt;&gt;"",DB48&gt;=$F48),$I48,IF(AND($E48&lt;&gt;"",DB48&gt;=$E48),$H48,$G48))))</f>
        <v/>
      </c>
      <c r="DC49" s="0" t="str">
        <f aca="false">IF(DC48="","",IF($D48=0,$J48,IF(AND($F48&lt;&gt;"",DC48&gt;=$F48),$I48,IF(AND($E48&lt;&gt;"",DC48&gt;=$E48),$H48,$G48))))</f>
        <v/>
      </c>
      <c r="DD49" s="0" t="str">
        <f aca="false">IF(DD48="","",IF($D48=0,$J48,IF(AND($F48&lt;&gt;"",DD48&gt;=$F48),$I48,IF(AND($E48&lt;&gt;"",DD48&gt;=$E48),$H48,$G48))))</f>
        <v/>
      </c>
      <c r="DE49" s="0" t="str">
        <f aca="false">IF(DE48="","",IF($D48=0,$J48,IF(AND($F48&lt;&gt;"",DE48&gt;=$F48),$I48,IF(AND($E48&lt;&gt;"",DE48&gt;=$E48),$H48,$G48))))</f>
        <v/>
      </c>
      <c r="DF49" s="0" t="str">
        <f aca="false">IF(DF48="","",IF($D48=0,$J48,IF(AND($F48&lt;&gt;"",DF48&gt;=$F48),$I48,IF(AND($E48&lt;&gt;"",DF48&gt;=$E48),$H48,$G48))))</f>
        <v/>
      </c>
      <c r="DG49" s="0" t="str">
        <f aca="false">IF(DG48="","",IF($D48=0,$J48,IF(AND($F48&lt;&gt;"",DG48&gt;=$F48),$I48,IF(AND($E48&lt;&gt;"",DG48&gt;=$E48),$H48,$G48))))</f>
        <v/>
      </c>
      <c r="DH49" s="0" t="str">
        <f aca="false">IF(DH48="","",IF($D48=0,$J48,IF(AND($F48&lt;&gt;"",DH48&gt;=$F48),$I48,IF(AND($E48&lt;&gt;"",DH48&gt;=$E48),$H48,$G48))))</f>
        <v/>
      </c>
      <c r="DI49" s="0" t="str">
        <f aca="false">IF(DI48="","",IF($D48=0,$J48,IF(AND($F48&lt;&gt;"",DI48&gt;=$F48),$I48,IF(AND($E48&lt;&gt;"",DI48&gt;=$E48),$H48,$G48))))</f>
        <v/>
      </c>
      <c r="DJ49" s="0" t="str">
        <f aca="false">IF(DJ48="","",IF($D48=0,$J48,IF(AND($F48&lt;&gt;"",DJ48&gt;=$F48),$I48,IF(AND($E48&lt;&gt;"",DJ48&gt;=$E48),$H48,$G48))))</f>
        <v/>
      </c>
      <c r="DK49" s="0" t="str">
        <f aca="false">IF(DK48="","",IF($D48=0,$J48,IF(AND($F48&lt;&gt;"",DK48&gt;=$F48),$I48,IF(AND($E48&lt;&gt;"",DK48&gt;=$E48),$H48,$G48))))</f>
        <v/>
      </c>
      <c r="DL49" s="0" t="str">
        <f aca="false">IF(DL48="","",IF($D48=0,$J48,IF(AND($F48&lt;&gt;"",DL48&gt;=$F48),$I48,IF(AND($E48&lt;&gt;"",DL48&gt;=$E48),$H48,$G48))))</f>
        <v/>
      </c>
      <c r="DM49" s="0" t="str">
        <f aca="false">IF(DM48="","",IF($D48=0,$J48,IF(AND($F48&lt;&gt;"",DM48&gt;=$F48),$I48,IF(AND($E48&lt;&gt;"",DM48&gt;=$E48),$H48,$G48))))</f>
        <v/>
      </c>
      <c r="DN49" s="0" t="str">
        <f aca="false">IF(DN48="","",IF($D48=0,$J48,IF(AND($F48&lt;&gt;"",DN48&gt;=$F48),$I48,IF(AND($E48&lt;&gt;"",DN48&gt;=$E48),$H48,$G48))))</f>
        <v/>
      </c>
      <c r="DO49" s="0" t="str">
        <f aca="false">IF(DO48="","",IF($D48=0,$J48,IF(AND($F48&lt;&gt;"",DO48&gt;=$F48),$I48,IF(AND($E48&lt;&gt;"",DO48&gt;=$E48),$H48,$G48))))</f>
        <v/>
      </c>
      <c r="DP49" s="0" t="str">
        <f aca="false">IF(DP48="","",IF($D48=0,$J48,IF(AND($F48&lt;&gt;"",DP48&gt;=$F48),$I48,IF(AND($E48&lt;&gt;"",DP48&gt;=$E48),$H48,$G48))))</f>
        <v/>
      </c>
      <c r="DQ49" s="0" t="str">
        <f aca="false">IF(DQ48="","",IF($D48=0,$J48,IF(AND($F48&lt;&gt;"",DQ48&gt;=$F48),$I48,IF(AND($E48&lt;&gt;"",DQ48&gt;=$E48),$H48,$G48))))</f>
        <v/>
      </c>
      <c r="DR49" s="0" t="str">
        <f aca="false">IF(DR48="","",IF($D48=0,$J48,IF(AND($F48&lt;&gt;"",DR48&gt;=$F48),$I48,IF(AND($E48&lt;&gt;"",DR48&gt;=$E48),$H48,$G48))))</f>
        <v/>
      </c>
      <c r="DS49" s="0" t="str">
        <f aca="false">IF(DS48="","",IF($D48=0,$J48,IF(AND($F48&lt;&gt;"",DS48&gt;=$F48),$I48,IF(AND($E48&lt;&gt;"",DS48&gt;=$E48),$H48,$G48))))</f>
        <v/>
      </c>
      <c r="DT49" s="0" t="str">
        <f aca="false">IF(DT48="","",IF($D48=0,$J48,IF(AND($F48&lt;&gt;"",DT48&gt;=$F48),$I48,IF(AND($E48&lt;&gt;"",DT48&gt;=$E48),$H48,$G48))))</f>
        <v/>
      </c>
      <c r="DU49" s="0" t="str">
        <f aca="false">IF(DU48="","",IF($D48=0,$J48,IF(AND($F48&lt;&gt;"",DU48&gt;=$F48),$I48,IF(AND($E48&lt;&gt;"",DU48&gt;=$E48),$H48,$G48))))</f>
        <v/>
      </c>
      <c r="DV49" s="0" t="str">
        <f aca="false">IF(DV48="","",IF($D48=0,$J48,IF(AND($F48&lt;&gt;"",DV48&gt;=$F48),$I48,IF(AND($E48&lt;&gt;"",DV48&gt;=$E48),$H48,$G48))))</f>
        <v/>
      </c>
      <c r="DW49" s="0" t="str">
        <f aca="false">IF(DW48="","",IF($D48=0,$J48,IF(AND($F48&lt;&gt;"",DW48&gt;=$F48),$I48,IF(AND($E48&lt;&gt;"",DW48&gt;=$E48),$H48,$G48))))</f>
        <v/>
      </c>
      <c r="DX49" s="0" t="str">
        <f aca="false">IF(DX48="","",IF($D48=0,$J48,IF(AND($F48&lt;&gt;"",DX48&gt;=$F48),$I48,IF(AND($E48&lt;&gt;"",DX48&gt;=$E48),$H48,$G48))))</f>
        <v/>
      </c>
      <c r="DY49" s="0" t="str">
        <f aca="false">IF(DY48="","",IF($D48=0,$J48,IF(AND($F48&lt;&gt;"",DY48&gt;=$F48),$I48,IF(AND($E48&lt;&gt;"",DY48&gt;=$E48),$H48,$G48))))</f>
        <v/>
      </c>
      <c r="DZ49" s="0" t="str">
        <f aca="false">IF(DZ48="","",IF($D48=0,$J48,IF(AND($F48&lt;&gt;"",DZ48&gt;=$F48),$I48,IF(AND($E48&lt;&gt;"",DZ48&gt;=$E48),$H48,$G48))))</f>
        <v/>
      </c>
      <c r="EA49" s="0" t="str">
        <f aca="false">IF(EA48="","",IF($D48=0,$J48,IF(AND($F48&lt;&gt;"",EA48&gt;=$F48),$I48,IF(AND($E48&lt;&gt;"",EA48&gt;=$E48),$H48,$G48))))</f>
        <v/>
      </c>
      <c r="EB49" s="0" t="str">
        <f aca="false">IF(EB48="","",IF($D48=0,$J48,IF(AND($F48&lt;&gt;"",EB48&gt;=$F48),$I48,IF(AND($E48&lt;&gt;"",EB48&gt;=$E48),$H48,$G48))))</f>
        <v/>
      </c>
      <c r="EC49" s="0" t="str">
        <f aca="false">IF(EC48="","",IF($D48=0,$J48,IF(AND($F48&lt;&gt;"",EC48&gt;=$F48),$I48,IF(AND($E48&lt;&gt;"",EC48&gt;=$E48),$H48,$G48))))</f>
        <v/>
      </c>
      <c r="ED49" s="0" t="str">
        <f aca="false">IF(ED48="","",IF($D48=0,$J48,IF(AND($F48&lt;&gt;"",ED48&gt;=$F48),$I48,IF(AND($E48&lt;&gt;"",ED48&gt;=$E48),$H48,$G48))))</f>
        <v/>
      </c>
      <c r="EE49" s="0" t="str">
        <f aca="false">IF(EE48="","",IF($D48=0,$J48,IF(AND($F48&lt;&gt;"",EE48&gt;=$F48),$I48,IF(AND($E48&lt;&gt;"",EE48&gt;=$E48),$H48,$G48))))</f>
        <v/>
      </c>
      <c r="EF49" s="0" t="str">
        <f aca="false">IF(EF48="","",IF($D48=0,$J48,IF(AND($F48&lt;&gt;"",EF48&gt;=$F48),$I48,IF(AND($E48&lt;&gt;"",EF48&gt;=$E48),$H48,$G48))))</f>
        <v/>
      </c>
      <c r="EG49" s="0" t="str">
        <f aca="false">IF(EG48="","",IF($D48=0,$J48,IF(AND($F48&lt;&gt;"",EG48&gt;=$F48),$I48,IF(AND($E48&lt;&gt;"",EG48&gt;=$E48),$H48,$G48))))</f>
        <v/>
      </c>
      <c r="EH49" s="0" t="str">
        <f aca="false">IF(EH48="","",IF($D48=0,$J48,IF(AND($F48&lt;&gt;"",EH48&gt;=$F48),$I48,IF(AND($E48&lt;&gt;"",EH48&gt;=$E48),$H48,$G48))))</f>
        <v/>
      </c>
      <c r="EI49" s="0" t="str">
        <f aca="false">IF(EI48="","",IF($D48=0,$J48,IF(AND($F48&lt;&gt;"",EI48&gt;=$F48),$I48,IF(AND($E48&lt;&gt;"",EI48&gt;=$E48),$H48,$G48))))</f>
        <v/>
      </c>
      <c r="EJ49" s="0" t="str">
        <f aca="false">IF(EJ48="","",IF($D48=0,$J48,IF(AND($F48&lt;&gt;"",EJ48&gt;=$F48),$I48,IF(AND($E48&lt;&gt;"",EJ48&gt;=$E48),$H48,$G48))))</f>
        <v/>
      </c>
      <c r="EK49" s="0" t="str">
        <f aca="false">IF(EK48="","",IF($D48=0,$J48,IF(AND($F48&lt;&gt;"",EK48&gt;=$F48),$I48,IF(AND($E48&lt;&gt;"",EK48&gt;=$E48),$H48,$G48))))</f>
        <v/>
      </c>
      <c r="EL49" s="0" t="str">
        <f aca="false">IF(EL48="","",IF($D48=0,$J48,IF(AND($F48&lt;&gt;"",EL48&gt;=$F48),$I48,IF(AND($E48&lt;&gt;"",EL48&gt;=$E48),$H48,$G48))))</f>
        <v/>
      </c>
      <c r="EM49" s="0" t="str">
        <f aca="false">IF(EM48="","",IF($D48=0,$J48,IF(AND($F48&lt;&gt;"",EM48&gt;=$F48),$I48,IF(AND($E48&lt;&gt;"",EM48&gt;=$E48),$H48,$G48))))</f>
        <v/>
      </c>
      <c r="EN49" s="0" t="str">
        <f aca="false">IF(EN48="","",IF($D48=0,$J48,IF(AND($F48&lt;&gt;"",EN48&gt;=$F48),$I48,IF(AND($E48&lt;&gt;"",EN48&gt;=$E48),$H48,$G48))))</f>
        <v/>
      </c>
      <c r="EO49" s="0" t="str">
        <f aca="false">IF(EO48="","",IF($D48=0,$J48,IF(AND($F48&lt;&gt;"",EO48&gt;=$F48),$I48,IF(AND($E48&lt;&gt;"",EO48&gt;=$E48),$H48,$G48))))</f>
        <v/>
      </c>
      <c r="EP49" s="0" t="str">
        <f aca="false">IF(EP48="","",IF($D48=0,$J48,IF(AND($F48&lt;&gt;"",EP48&gt;=$F48),$I48,IF(AND($E48&lt;&gt;"",EP48&gt;=$E48),$H48,$G48))))</f>
        <v/>
      </c>
      <c r="EQ49" s="0" t="str">
        <f aca="false">IF(EQ48="","",IF($D48=0,$J48,IF(AND($F48&lt;&gt;"",EQ48&gt;=$F48),$I48,IF(AND($E48&lt;&gt;"",EQ48&gt;=$E48),$H48,$G48))))</f>
        <v/>
      </c>
      <c r="ER49" s="0" t="str">
        <f aca="false">IF(ER48="","",IF($D48=0,$J48,IF(AND($F48&lt;&gt;"",ER48&gt;=$F48),$I48,IF(AND($E48&lt;&gt;"",ER48&gt;=$E48),$H48,$G48))))</f>
        <v/>
      </c>
      <c r="ES49" s="0" t="str">
        <f aca="false">IF(ES48="","",IF($D48=0,$J48,IF(AND($F48&lt;&gt;"",ES48&gt;=$F48),$I48,IF(AND($E48&lt;&gt;"",ES48&gt;=$E48),$H48,$G48))))</f>
        <v/>
      </c>
      <c r="ET49" s="0" t="str">
        <f aca="false">IF(ET48="","",IF($D48=0,$J48,IF(AND($F48&lt;&gt;"",ET48&gt;=$F48),$I48,IF(AND($E48&lt;&gt;"",ET48&gt;=$E48),$H48,$G48))))</f>
        <v/>
      </c>
      <c r="EU49" s="0" t="str">
        <f aca="false">IF(EU48="","",IF($D48=0,$J48,IF(AND($F48&lt;&gt;"",EU48&gt;=$F48),$I48,IF(AND($E48&lt;&gt;"",EU48&gt;=$E48),$H48,$G48))))</f>
        <v/>
      </c>
      <c r="EV49" s="0" t="str">
        <f aca="false">IF(EV48="","",IF($D48=0,$J48,IF(AND($F48&lt;&gt;"",EV48&gt;=$F48),$I48,IF(AND($E48&lt;&gt;"",EV48&gt;=$E48),$H48,$G48))))</f>
        <v/>
      </c>
      <c r="EW49" s="0" t="str">
        <f aca="false">IF(EW48="","",IF($D48=0,$J48,IF(AND($F48&lt;&gt;"",EW48&gt;=$F48),$I48,IF(AND($E48&lt;&gt;"",EW48&gt;=$E48),$H48,$G48))))</f>
        <v/>
      </c>
      <c r="EX49" s="0" t="str">
        <f aca="false">IF(EX48="","",IF($D48=0,$J48,IF(AND($F48&lt;&gt;"",EX48&gt;=$F48),$I48,IF(AND($E48&lt;&gt;"",EX48&gt;=$E48),$H48,$G48))))</f>
        <v/>
      </c>
      <c r="EY49" s="0" t="str">
        <f aca="false">IF(EY48="","",IF($D48=0,$J48,IF(AND($F48&lt;&gt;"",EY48&gt;=$F48),$I48,IF(AND($E48&lt;&gt;"",EY48&gt;=$E48),$H48,$G48))))</f>
        <v/>
      </c>
      <c r="EZ49" s="0" t="str">
        <f aca="false">IF(EZ48="","",IF($D48=0,$J48,IF(AND($F48&lt;&gt;"",EZ48&gt;=$F48),$I48,IF(AND($E48&lt;&gt;"",EZ48&gt;=$E48),$H48,$G48))))</f>
        <v/>
      </c>
      <c r="FA49" s="0" t="str">
        <f aca="false">IF(FA48="","",IF($D48=0,$J48,IF(AND($F48&lt;&gt;"",FA48&gt;=$F48),$I48,IF(AND($E48&lt;&gt;"",FA48&gt;=$E48),$H48,$G48))))</f>
        <v/>
      </c>
      <c r="FB49" s="0" t="str">
        <f aca="false">IF(FB48="","",IF($D48=0,$J48,IF(AND($F48&lt;&gt;"",FB48&gt;=$F48),$I48,IF(AND($E48&lt;&gt;"",FB48&gt;=$E48),$H48,$G48))))</f>
        <v/>
      </c>
      <c r="FC49" s="0" t="str">
        <f aca="false">IF(FC48="","",IF($D48=0,$J48,IF(AND($F48&lt;&gt;"",FC48&gt;=$F48),$I48,IF(AND($E48&lt;&gt;"",FC48&gt;=$E48),$H48,$G48))))</f>
        <v/>
      </c>
      <c r="FD49" s="0" t="str">
        <f aca="false">IF(FD48="","",IF($D48=0,$J48,IF(AND($F48&lt;&gt;"",FD48&gt;=$F48),$I48,IF(AND($E48&lt;&gt;"",FD48&gt;=$E48),$H48,$G48))))</f>
        <v/>
      </c>
      <c r="FE49" s="0" t="str">
        <f aca="false">IF(FE48="","",IF($D48=0,$J48,IF(AND($F48&lt;&gt;"",FE48&gt;=$F48),$I48,IF(AND($E48&lt;&gt;"",FE48&gt;=$E48),$H48,$G48))))</f>
        <v/>
      </c>
      <c r="FF49" s="0" t="str">
        <f aca="false">IF(FF48="","",IF($D48=0,$J48,IF(AND($F48&lt;&gt;"",FF48&gt;=$F48),$I48,IF(AND($E48&lt;&gt;"",FF48&gt;=$E48),$H48,$G48))))</f>
        <v/>
      </c>
      <c r="FG49" s="0" t="str">
        <f aca="false">IF(FG48="","",IF($D48=0,$J48,IF(AND($F48&lt;&gt;"",FG48&gt;=$F48),$I48,IF(AND($E48&lt;&gt;"",FG48&gt;=$E48),$H48,$G48))))</f>
        <v/>
      </c>
      <c r="FH49" s="0" t="str">
        <f aca="false">IF(FH48="","",IF($D48=0,$J48,IF(AND($F48&lt;&gt;"",FH48&gt;=$F48),$I48,IF(AND($E48&lt;&gt;"",FH48&gt;=$E48),$H48,$G48))))</f>
        <v/>
      </c>
      <c r="FI49" s="0" t="str">
        <f aca="false">IF(FI48="","",IF($D48=0,$J48,IF(AND($F48&lt;&gt;"",FI48&gt;=$F48),$I48,IF(AND($E48&lt;&gt;"",FI48&gt;=$E48),$H48,$G48))))</f>
        <v/>
      </c>
      <c r="FJ49" s="0" t="str">
        <f aca="false">IF(FJ48="","",IF($D48=0,$J48,IF(AND($F48&lt;&gt;"",FJ48&gt;=$F48),$I48,IF(AND($E48&lt;&gt;"",FJ48&gt;=$E48),$H48,$G48))))</f>
        <v/>
      </c>
      <c r="FK49" s="0" t="str">
        <f aca="false">IF(FK48="","",IF($D48=0,$J48,IF(AND($F48&lt;&gt;"",FK48&gt;=$F48),$I48,IF(AND($E48&lt;&gt;"",FK48&gt;=$E48),$H48,$G48))))</f>
        <v/>
      </c>
      <c r="FL49" s="0" t="str">
        <f aca="false">IF(FL48="","",IF($D48=0,$J48,IF(AND($F48&lt;&gt;"",FL48&gt;=$F48),$I48,IF(AND($E48&lt;&gt;"",FL48&gt;=$E48),$H48,$G48))))</f>
        <v/>
      </c>
      <c r="FM49" s="0" t="str">
        <f aca="false">IF(FM48="","",IF($D48=0,$J48,IF(AND($F48&lt;&gt;"",FM48&gt;=$F48),$I48,IF(AND($E48&lt;&gt;"",FM48&gt;=$E48),$H48,$G48))))</f>
        <v/>
      </c>
      <c r="FN49" s="0" t="str">
        <f aca="false">IF(FN48="","",IF($D48=0,$J48,IF(AND($F48&lt;&gt;"",FN48&gt;=$F48),$I48,IF(AND($E48&lt;&gt;"",FN48&gt;=$E48),$H48,$G48))))</f>
        <v/>
      </c>
      <c r="FO49" s="0" t="str">
        <f aca="false">IF(FO48="","",IF($D48=0,$J48,IF(AND($F48&lt;&gt;"",FO48&gt;=$F48),$I48,IF(AND($E48&lt;&gt;"",FO48&gt;=$E48),$H48,$G48))))</f>
        <v/>
      </c>
      <c r="FP49" s="0" t="str">
        <f aca="false">IF(FP48="","",IF($D48=0,$J48,IF(AND($F48&lt;&gt;"",FP48&gt;=$F48),$I48,IF(AND($E48&lt;&gt;"",FP48&gt;=$E48),$H48,$G48))))</f>
        <v/>
      </c>
      <c r="FQ49" s="0" t="str">
        <f aca="false">IF(FQ48="","",IF($D48=0,$J48,IF(AND($F48&lt;&gt;"",FQ48&gt;=$F48),$I48,IF(AND($E48&lt;&gt;"",FQ48&gt;=$E48),$H48,$G48))))</f>
        <v/>
      </c>
      <c r="FR49" s="0" t="str">
        <f aca="false">IF(FR48="","",IF($D48=0,$J48,IF(AND($F48&lt;&gt;"",FR48&gt;=$F48),$I48,IF(AND($E48&lt;&gt;"",FR48&gt;=$E48),$H48,$G48))))</f>
        <v/>
      </c>
      <c r="FS49" s="0" t="str">
        <f aca="false">IF(FS48="","",IF($D48=0,$J48,IF(AND($F48&lt;&gt;"",FS48&gt;=$F48),$I48,IF(AND($E48&lt;&gt;"",FS48&gt;=$E48),$H48,$G48))))</f>
        <v/>
      </c>
      <c r="FT49" s="0" t="str">
        <f aca="false">IF(FT48="","",IF($D48=0,$J48,IF(AND($F48&lt;&gt;"",FT48&gt;=$F48),$I48,IF(AND($E48&lt;&gt;"",FT48&gt;=$E48),$H48,$G48))))</f>
        <v/>
      </c>
      <c r="FU49" s="0" t="str">
        <f aca="false">IF(FU48="","",IF($D48=0,$J48,IF(AND($F48&lt;&gt;"",FU48&gt;=$F48),$I48,IF(AND($E48&lt;&gt;"",FU48&gt;=$E48),$H48,$G48))))</f>
        <v/>
      </c>
      <c r="FV49" s="0" t="str">
        <f aca="false">IF(FV48="","",IF($D48=0,$J48,IF(AND($F48&lt;&gt;"",FV48&gt;=$F48),$I48,IF(AND($E48&lt;&gt;"",FV48&gt;=$E48),$H48,$G48))))</f>
        <v/>
      </c>
      <c r="FW49" s="0" t="str">
        <f aca="false">IF(FW48="","",IF($D48=0,$J48,IF(AND($F48&lt;&gt;"",FW48&gt;=$F48),$I48,IF(AND($E48&lt;&gt;"",FW48&gt;=$E48),$H48,$G48))))</f>
        <v/>
      </c>
      <c r="FX49" s="0" t="str">
        <f aca="false">IF(FX48="","",IF($D48=0,$J48,IF(AND($F48&lt;&gt;"",FX48&gt;=$F48),$I48,IF(AND($E48&lt;&gt;"",FX48&gt;=$E48),$H48,$G48))))</f>
        <v/>
      </c>
      <c r="FY49" s="0" t="str">
        <f aca="false">IF(FY48="","",IF($D48=0,$J48,IF(AND($F48&lt;&gt;"",FY48&gt;=$F48),$I48,IF(AND($E48&lt;&gt;"",FY48&gt;=$E48),$H48,$G48))))</f>
        <v/>
      </c>
      <c r="FZ49" s="0" t="str">
        <f aca="false">IF(FZ48="","",IF($D48=0,$J48,IF(AND($F48&lt;&gt;"",FZ48&gt;=$F48),$I48,IF(AND($E48&lt;&gt;"",FZ48&gt;=$E48),$H48,$G48))))</f>
        <v/>
      </c>
      <c r="GA49" s="0" t="str">
        <f aca="false">IF(GA48="","",IF($D48=0,$J48,IF(AND($F48&lt;&gt;"",GA48&gt;=$F48),$I48,IF(AND($E48&lt;&gt;"",GA48&gt;=$E48),$H48,$G48))))</f>
        <v/>
      </c>
      <c r="GB49" s="0" t="str">
        <f aca="false">IF(GB48="","",IF($D48=0,$J48,IF(AND($F48&lt;&gt;"",GB48&gt;=$F48),$I48,IF(AND($E48&lt;&gt;"",GB48&gt;=$E48),$H48,$G48))))</f>
        <v/>
      </c>
      <c r="GC49" s="0" t="str">
        <f aca="false">IF(GC48="","",IF($D48=0,$J48,IF(AND($F48&lt;&gt;"",GC48&gt;=$F48),$I48,IF(AND($E48&lt;&gt;"",GC48&gt;=$E48),$H48,$G48))))</f>
        <v/>
      </c>
      <c r="GD49" s="0" t="str">
        <f aca="false">IF(GD48="","",IF($D48=0,$J48,IF(AND($F48&lt;&gt;"",GD48&gt;=$F48),$I48,IF(AND($E48&lt;&gt;"",GD48&gt;=$E48),$H48,$G48))))</f>
        <v/>
      </c>
      <c r="GE49" s="0" t="str">
        <f aca="false">IF(GE48="","",IF($D48=0,$J48,IF(AND($F48&lt;&gt;"",GE48&gt;=$F48),$I48,IF(AND($E48&lt;&gt;"",GE48&gt;=$E48),$H48,$G48))))</f>
        <v/>
      </c>
      <c r="GF49" s="0" t="str">
        <f aca="false">IF(GF48="","",IF($D48=0,$J48,IF(AND($F48&lt;&gt;"",GF48&gt;=$F48),$I48,IF(AND($E48&lt;&gt;"",GF48&gt;=$E48),$H48,$G48))))</f>
        <v/>
      </c>
      <c r="GG49" s="0" t="str">
        <f aca="false">IF(GG48="","",IF($D48=0,$J48,IF(AND($F48&lt;&gt;"",GG48&gt;=$F48),$I48,IF(AND($E48&lt;&gt;"",GG48&gt;=$E48),$H48,$G48))))</f>
        <v/>
      </c>
      <c r="GH49" s="0" t="str">
        <f aca="false">IF(GH48="","",IF($D48=0,$J48,IF(AND($F48&lt;&gt;"",GH48&gt;=$F48),$I48,IF(AND($E48&lt;&gt;"",GH48&gt;=$E48),$H48,$G48))))</f>
        <v/>
      </c>
      <c r="GI49" s="0" t="str">
        <f aca="false">IF(GI48="","",IF($D48=0,$J48,IF(AND($F48&lt;&gt;"",GI48&gt;=$F48),$I48,IF(AND($E48&lt;&gt;"",GI48&gt;=$E48),$H48,$G48))))</f>
        <v/>
      </c>
    </row>
    <row r="50" customFormat="false" ht="15" hidden="false" customHeight="false" outlineLevel="0" collapsed="false">
      <c r="K50" s="0" t="s">
        <v>264</v>
      </c>
      <c r="L50" s="0" t="n">
        <f aca="false">IF(L48="",0,IF(AND(L49=Milestones!$AB$20,L48&gt;=SchemeStart),IF(AND(Milestones!$AB$20="FT",Milestones!$AA$20=FT_Y5,L48&lt;PolicyEff),1,Milestones!$AC$20),0))</f>
        <v>0</v>
      </c>
      <c r="M50" s="0" t="n">
        <f aca="false">IF(M48="",0,IF(AND(M49=Milestones!$AB$21,M48&gt;=SchemeStart),IF(AND(Milestones!$AB$21="FT",Milestones!$AA$21=FT_Y5,M48&lt;PolicyEff),1,Milestones!$AC$21),0))</f>
        <v>0</v>
      </c>
      <c r="N50" s="0" t="n">
        <f aca="false">IF(N48="",0,IF(AND(N49=Milestones!$AB$22,N48&gt;=SchemeStart),IF(AND(Milestones!$AB$22="FT",Milestones!$AA$22=FT_Y5,N48&lt;PolicyEff),1,Milestones!$AC$22),0))</f>
        <v>0</v>
      </c>
      <c r="O50" s="0" t="n">
        <f aca="false">IF(O48="",0,IF(AND(O49=Milestones!$AB$23,O48&gt;=SchemeStart),IF(AND(Milestones!$AB$23="FT",Milestones!$AA$23=FT_Y5,O48&lt;PolicyEff),1,Milestones!$AC$23),0))</f>
        <v>0</v>
      </c>
      <c r="P50" s="0" t="n">
        <f aca="false">IF(P48="",0,IF(AND(P49=Milestones!$AB$24,P48&gt;=SchemeStart),IF(AND(Milestones!$AB$24="FT",Milestones!$AA$24=FT_Y5,P48&lt;PolicyEff),1,Milestones!$AC$24),0))</f>
        <v>0</v>
      </c>
      <c r="Q50" s="0" t="n">
        <f aca="false">IF(Q48="",0,IF(AND(Q49=Milestones!$AB$25,Q48&gt;=SchemeStart),IF(AND(Milestones!$AB$25="FT",Milestones!$AA$25=FT_Y5,Q48&lt;PolicyEff),1,Milestones!$AC$25),0))</f>
        <v>0</v>
      </c>
      <c r="R50" s="0" t="n">
        <f aca="false">IF(R48="",0,IF(AND(R49=Milestones!$AB$26,R48&gt;=SchemeStart),IF(AND(Milestones!$AB$26="FT",Milestones!$AA$26=FT_Y5,R48&lt;PolicyEff),1,Milestones!$AC$26),0))</f>
        <v>0</v>
      </c>
      <c r="S50" s="0" t="n">
        <f aca="false">IF(S48="",0,IF(AND(S49=Milestones!$AB$27,S48&gt;=SchemeStart),IF(AND(Milestones!$AB$27="FT",Milestones!$AA$27=FT_Y5,S48&lt;PolicyEff),1,Milestones!$AC$27),0))</f>
        <v>0</v>
      </c>
      <c r="T50" s="0" t="n">
        <f aca="false">IF(T48="",0,IF(AND(T49=Milestones!$AB$28,T48&gt;=SchemeStart),IF(AND(Milestones!$AB$28="FT",Milestones!$AA$28=FT_Y5,T48&lt;PolicyEff),1,Milestones!$AC$28),0))</f>
        <v>0</v>
      </c>
      <c r="U50" s="0" t="n">
        <f aca="false">IF(U48="",0,IF(AND(U49=Milestones!$AB$29,U48&gt;=SchemeStart),IF(AND(Milestones!$AB$29="FT",Milestones!$AA$29=FT_Y5,U48&lt;PolicyEff),1,Milestones!$AC$29),0))</f>
        <v>0</v>
      </c>
      <c r="V50" s="0" t="n">
        <f aca="false">IF(V48="",0,IF(AND(V49=Milestones!$AB$30,V48&gt;=SchemeStart),IF(AND(Milestones!$AB$30="FT",Milestones!$AA$30=FT_Y5,V48&lt;PolicyEff),1,Milestones!$AC$30),0))</f>
        <v>0</v>
      </c>
      <c r="W50" s="0" t="n">
        <f aca="false">IF(W48="",0,IF(AND(W49=Milestones!$AB$31,W48&gt;=SchemeStart),IF(AND(Milestones!$AB$31="FT",Milestones!$AA$31=FT_Y5,W48&lt;PolicyEff),1,Milestones!$AC$31),0))</f>
        <v>0</v>
      </c>
      <c r="X50" s="0" t="n">
        <f aca="false">IF(X48="",0,IF(AND(X49=Milestones!$AB$32,X48&gt;=SchemeStart),IF(AND(Milestones!$AB$32="FT",Milestones!$AA$32=FT_Y5,X48&lt;PolicyEff),1,Milestones!$AC$32),0))</f>
        <v>0</v>
      </c>
      <c r="Y50" s="0" t="n">
        <f aca="false">IF(Y48="",0,IF(AND(Y49=Milestones!$AB$33,Y48&gt;=SchemeStart),IF(AND(Milestones!$AB$33="FT",Milestones!$AA$33=FT_Y5,Y48&lt;PolicyEff),1,Milestones!$AC$33),0))</f>
        <v>0</v>
      </c>
      <c r="Z50" s="0" t="n">
        <f aca="false">IF(Z48="",0,IF(AND(Z49=Milestones!$AB$34,Z48&gt;=SchemeStart),IF(AND(Milestones!$AB$34="FT",Milestones!$AA$34=FT_Y5,Z48&lt;PolicyEff),1,Milestones!$AC$34),0))</f>
        <v>0</v>
      </c>
      <c r="AA50" s="0" t="n">
        <f aca="false">IF(AA48="",0,IF(AND(AA49=Milestones!$AB$35,AA48&gt;=SchemeStart),IF(AND(Milestones!$AB$35="FT",Milestones!$AA$35=FT_Y5,AA48&lt;PolicyEff),1,Milestones!$AC$35),0))</f>
        <v>0</v>
      </c>
      <c r="AB50" s="0" t="n">
        <f aca="false">IF(AB48="",0,IF(AND(AB49=Milestones!$AB$36,AB48&gt;=SchemeStart),IF(AND(Milestones!$AB$36="FT",Milestones!$AA$36=FT_Y5,AB48&lt;PolicyEff),1,Milestones!$AC$36),0))</f>
        <v>0</v>
      </c>
      <c r="AC50" s="0" t="n">
        <f aca="false">IF(AC48="",0,IF(AND(AC49=Milestones!$AB$37,AC48&gt;=SchemeStart),IF(AND(Milestones!$AB$37="FT",Milestones!$AA$37=FT_Y5,AC48&lt;PolicyEff),1,Milestones!$AC$37),0))</f>
        <v>0</v>
      </c>
      <c r="AD50" s="0" t="n">
        <f aca="false">IF(AD48="",0,IF(AND(AD49=Milestones!$AB$38,AD48&gt;=SchemeStart),IF(AND(Milestones!$AB$38="FT",Milestones!$AA$38=FT_Y5,AD48&lt;PolicyEff),1,Milestones!$AC$38),0))</f>
        <v>0</v>
      </c>
      <c r="AE50" s="0" t="n">
        <f aca="false">IF(AE48="",0,IF(AND(AE49=Milestones!$AB$39,AE48&gt;=SchemeStart),IF(AND(Milestones!$AB$39="FT",Milestones!$AA$39=FT_Y5,AE48&lt;PolicyEff),1,Milestones!$AC$39),0))</f>
        <v>0</v>
      </c>
      <c r="AF50" s="0" t="n">
        <f aca="false">IF(AF48="",0,IF(AND(AF49=Milestones!$AB$40,AF48&gt;=SchemeStart),IF(AND(Milestones!$AB$40="FT",Milestones!$AA$40=FT_Y5,AF48&lt;PolicyEff),1,Milestones!$AC$40),0))</f>
        <v>0</v>
      </c>
      <c r="AG50" s="0" t="n">
        <f aca="false">IF(AG48="",0,IF(AND(AG49=Milestones!$AB$41,AG48&gt;=SchemeStart),IF(AND(Milestones!$AB$41="FT",Milestones!$AA$41=FT_Y5,AG48&lt;PolicyEff),1,Milestones!$AC$41),0))</f>
        <v>0</v>
      </c>
      <c r="AH50" s="0" t="n">
        <f aca="false">IF(AH48="",0,IF(AND(AH49=Milestones!$AB$42,AH48&gt;=SchemeStart),IF(AND(Milestones!$AB$42="FT",Milestones!$AA$42=FT_Y5,AH48&lt;PolicyEff),1,Milestones!$AC$42),0))</f>
        <v>0</v>
      </c>
      <c r="AI50" s="0" t="n">
        <f aca="false">IF(AI48="",0,IF(AND(AI49=Milestones!$AB$43,AI48&gt;=SchemeStart),IF(AND(Milestones!$AB$43="FT",Milestones!$AA$43=FT_Y5,AI48&lt;PolicyEff),1,Milestones!$AC$43),0))</f>
        <v>0</v>
      </c>
      <c r="AJ50" s="0" t="n">
        <f aca="false">IF(AJ48="",0,IF(AND(AJ49=Milestones!$AB$44,AJ48&gt;=SchemeStart),IF(AND(Milestones!$AB$44="FT",Milestones!$AA$44=FT_Y5,AJ48&lt;PolicyEff),1,Milestones!$AC$44),0))</f>
        <v>0</v>
      </c>
      <c r="AK50" s="0" t="n">
        <f aca="false">IF(AK48="",0,IF(AND(AK49=Milestones!$AB$45,AK48&gt;=SchemeStart),IF(AND(Milestones!$AB$45="FT",Milestones!$AA$45=FT_Y5,AK48&lt;PolicyEff),1,Milestones!$AC$45),0))</f>
        <v>0</v>
      </c>
      <c r="AL50" s="0" t="n">
        <f aca="false">IF(AL48="",0,IF(AND(AL49=Milestones!$AB$46,AL48&gt;=SchemeStart),IF(AND(Milestones!$AB$46="FT",Milestones!$AA$46=FT_Y5,AL48&lt;PolicyEff),1,Milestones!$AC$46),0))</f>
        <v>0</v>
      </c>
      <c r="AM50" s="0" t="n">
        <f aca="false">IF(AM48="",0,IF(AND(AM49=Milestones!$AB$47,AM48&gt;=SchemeStart),IF(AND(Milestones!$AB$47="FT",Milestones!$AA$47=FT_Y5,AM48&lt;PolicyEff),1,Milestones!$AC$47),0))</f>
        <v>0</v>
      </c>
      <c r="AN50" s="0" t="n">
        <f aca="false">IF(AN48="",0,IF(AND(AN49=Milestones!$AB$48,AN48&gt;=SchemeStart),IF(AND(Milestones!$AB$48="FT",Milestones!$AA$48=FT_Y5,AN48&lt;PolicyEff),1,Milestones!$AC$48),0))</f>
        <v>0</v>
      </c>
      <c r="AO50" s="0" t="n">
        <f aca="false">IF(AO48="",0,IF(AND(AO49=Milestones!$AB$49,AO48&gt;=SchemeStart),IF(AND(Milestones!$AB$49="FT",Milestones!$AA$49=FT_Y5,AO48&lt;PolicyEff),1,Milestones!$AC$49),0))</f>
        <v>0</v>
      </c>
      <c r="AP50" s="0" t="n">
        <f aca="false">IF(AP48="",0,IF(AND(AP49=Milestones!$AB$50,AP48&gt;=SchemeStart),IF(AND(Milestones!$AB$50="FT",Milestones!$AA$50=FT_Y5,AP48&lt;PolicyEff),1,Milestones!$AC$50),0))</f>
        <v>0</v>
      </c>
      <c r="AQ50" s="0" t="n">
        <f aca="false">IF(AQ48="",0,IF(AND(AQ49=Milestones!$AB$51,AQ48&gt;=SchemeStart),IF(AND(Milestones!$AB$51="FT",Milestones!$AA$51=FT_Y5,AQ48&lt;PolicyEff),1,Milestones!$AC$51),0))</f>
        <v>0</v>
      </c>
      <c r="AR50" s="0" t="n">
        <f aca="false">IF(AR48="",0,IF(AND(AR49=Milestones!$AB$52,AR48&gt;=SchemeStart),IF(AND(Milestones!$AB$52="FT",Milestones!$AA$52=FT_Y5,AR48&lt;PolicyEff),1,Milestones!$AC$52),0))</f>
        <v>0</v>
      </c>
      <c r="AS50" s="0" t="n">
        <f aca="false">IF(AS48="",0,IF(AND(AS49=Milestones!$AB$53,AS48&gt;=SchemeStart),IF(AND(Milestones!$AB$53="FT",Milestones!$AA$53=FT_Y5,AS48&lt;PolicyEff),1,Milestones!$AC$53),0))</f>
        <v>0</v>
      </c>
      <c r="AT50" s="0" t="n">
        <f aca="false">IF(AT48="",0,IF(AND(AT49=Milestones!$AB$54,AT48&gt;=SchemeStart),IF(AND(Milestones!$AB$54="FT",Milestones!$AA$54=FT_Y5,AT48&lt;PolicyEff),1,Milestones!$AC$54),0))</f>
        <v>0</v>
      </c>
      <c r="AU50" s="0" t="n">
        <f aca="false">IF(AU48="",0,IF(AND(AU49=Milestones!$AB$55,AU48&gt;=SchemeStart),IF(AND(Milestones!$AB$55="FT",Milestones!$AA$55=FT_Y5,AU48&lt;PolicyEff),1,Milestones!$AC$55),0))</f>
        <v>0</v>
      </c>
      <c r="AV50" s="0" t="n">
        <f aca="false">IF(AV48="",0,IF(AND(AV49=Milestones!$AB$56,AV48&gt;=SchemeStart),IF(AND(Milestones!$AB$56="FT",Milestones!$AA$56=FT_Y5,AV48&lt;PolicyEff),1,Milestones!$AC$56),0))</f>
        <v>0</v>
      </c>
      <c r="AW50" s="0" t="n">
        <f aca="false">IF(AW48="",0,IF(AND(AW49=Milestones!$AB$57,AW48&gt;=SchemeStart),IF(AND(Milestones!$AB$57="FT",Milestones!$AA$57=FT_Y5,AW48&lt;PolicyEff),1,Milestones!$AC$57),0))</f>
        <v>0</v>
      </c>
      <c r="AX50" s="0" t="n">
        <f aca="false">IF(AX48="",0,IF(AND(AX49=Milestones!$AB$58,AX48&gt;=SchemeStart),IF(AND(Milestones!$AB$58="FT",Milestones!$AA$58=FT_Y5,AX48&lt;PolicyEff),1,Milestones!$AC$58),0))</f>
        <v>0</v>
      </c>
      <c r="AY50" s="0" t="n">
        <f aca="false">IF(AY48="",0,IF(AND(AY49=Milestones!$AB$59,AY48&gt;=SchemeStart),IF(AND(Milestones!$AB$59="FT",Milestones!$AA$59=FT_Y5,AY48&lt;PolicyEff),1,Milestones!$AC$59),0))</f>
        <v>0</v>
      </c>
      <c r="AZ50" s="0" t="n">
        <f aca="false">IF(AZ48="",0,IF(AND(AZ49=Milestones!$AB$60,AZ48&gt;=SchemeStart),IF(AND(Milestones!$AB$60="FT",Milestones!$AA$60=FT_Y5,AZ48&lt;PolicyEff),1,Milestones!$AC$60),0))</f>
        <v>0</v>
      </c>
      <c r="BA50" s="0" t="n">
        <f aca="false">IF(BA48="",0,IF(AND(BA49=Milestones!$AB$61,BA48&gt;=SchemeStart),IF(AND(Milestones!$AB$61="FT",Milestones!$AA$61=FT_Y5,BA48&lt;PolicyEff),1,Milestones!$AC$61),0))</f>
        <v>0</v>
      </c>
      <c r="BB50" s="0" t="n">
        <f aca="false">IF(BB48="",0,IF(AND(BB49=Milestones!$AB$62,BB48&gt;=SchemeStart),IF(AND(Milestones!$AB$62="FT",Milestones!$AA$62=FT_Y5,BB48&lt;PolicyEff),1,Milestones!$AC$62),0))</f>
        <v>0</v>
      </c>
      <c r="BC50" s="0" t="n">
        <f aca="false">IF(BC48="",0,IF(AND(BC49=Milestones!$AB$63,BC48&gt;=SchemeStart),IF(AND(Milestones!$AB$63="FT",Milestones!$AA$63=FT_Y5,BC48&lt;PolicyEff),1,Milestones!$AC$63),0))</f>
        <v>0</v>
      </c>
      <c r="BD50" s="0" t="n">
        <f aca="false">IF(BD48="",0,IF(AND(BD49=Milestones!$AB$64,BD48&gt;=SchemeStart),IF(AND(Milestones!$AB$64="FT",Milestones!$AA$64=FT_Y5,BD48&lt;PolicyEff),1,Milestones!$AC$64),0))</f>
        <v>0</v>
      </c>
      <c r="BE50" s="0" t="n">
        <f aca="false">IF(BE48="",0,IF(AND(BE49=Milestones!$AB$65,BE48&gt;=SchemeStart),IF(AND(Milestones!$AB$65="FT",Milestones!$AA$65=FT_Y5,BE48&lt;PolicyEff),1,Milestones!$AC$65),0))</f>
        <v>0</v>
      </c>
      <c r="BF50" s="0" t="n">
        <f aca="false">IF(BF48="",0,IF(AND(BF49=Milestones!$AB$66,BF48&gt;=SchemeStart),IF(AND(Milestones!$AB$66="FT",Milestones!$AA$66=FT_Y5,BF48&lt;PolicyEff),1,Milestones!$AC$66),0))</f>
        <v>0</v>
      </c>
      <c r="BG50" s="0" t="n">
        <f aca="false">IF(BG48="",0,IF(AND(BG49=Milestones!$AB$67,BG48&gt;=SchemeStart),IF(AND(Milestones!$AB$67="FT",Milestones!$AA$67=FT_Y5,BG48&lt;PolicyEff),1,Milestones!$AC$67),0))</f>
        <v>0</v>
      </c>
      <c r="BH50" s="0" t="n">
        <f aca="false">IF(BH48="",0,IF(AND(BH49=Milestones!$AB$68,BH48&gt;=SchemeStart),IF(AND(Milestones!$AB$68="FT",Milestones!$AA$68=FT_Y5,BH48&lt;PolicyEff),1,Milestones!$AC$68),0))</f>
        <v>0</v>
      </c>
      <c r="BI50" s="0" t="n">
        <f aca="false">IF(BI48="",0,IF(AND(BI49=Milestones!$AB$69,BI48&gt;=SchemeStart),IF(AND(Milestones!$AB$69="FT",Milestones!$AA$69=FT_Y5,BI48&lt;PolicyEff),1,Milestones!$AC$69),0))</f>
        <v>0</v>
      </c>
      <c r="BJ50" s="0" t="n">
        <f aca="false">IF(BJ48="",0,IF(AND(BJ49=Milestones!$AB$70,BJ48&gt;=SchemeStart),IF(AND(Milestones!$AB$70="FT",Milestones!$AA$70=FT_Y5,BJ48&lt;PolicyEff),1,Milestones!$AC$70),0))</f>
        <v>0</v>
      </c>
      <c r="BK50" s="0" t="n">
        <f aca="false">IF(BK48="",0,IF(AND(BK49=Milestones!$AB$71,BK48&gt;=SchemeStart),IF(AND(Milestones!$AB$71="FT",Milestones!$AA$71=FT_Y5,BK48&lt;PolicyEff),1,Milestones!$AC$71),0))</f>
        <v>0</v>
      </c>
      <c r="BL50" s="0" t="n">
        <f aca="false">IF(BL48="",0,IF(AND(BL49=Milestones!$AB$72,BL48&gt;=SchemeStart),IF(AND(Milestones!$AB$72="FT",Milestones!$AA$72=FT_Y5,BL48&lt;PolicyEff),1,Milestones!$AC$72),0))</f>
        <v>0</v>
      </c>
      <c r="BM50" s="0" t="n">
        <f aca="false">IF(BM48="",0,IF(AND(BM49=Milestones!$AB$73,BM48&gt;=SchemeStart),IF(AND(Milestones!$AB$73="FT",Milestones!$AA$73=FT_Y5,BM48&lt;PolicyEff),1,Milestones!$AC$73),0))</f>
        <v>0</v>
      </c>
      <c r="BN50" s="0" t="n">
        <f aca="false">IF(BN48="",0,IF(AND(BN49=Milestones!$AB$74,BN48&gt;=SchemeStart),IF(AND(Milestones!$AB$74="FT",Milestones!$AA$74=FT_Y5,BN48&lt;PolicyEff),1,Milestones!$AC$74),0))</f>
        <v>0</v>
      </c>
      <c r="BO50" s="0" t="n">
        <f aca="false">IF(BO48="",0,IF(AND(BO49=Milestones!$AB$75,BO48&gt;=SchemeStart),IF(AND(Milestones!$AB$75="FT",Milestones!$AA$75=FT_Y5,BO48&lt;PolicyEff),1,Milestones!$AC$75),0))</f>
        <v>0</v>
      </c>
      <c r="BP50" s="0" t="n">
        <f aca="false">IF(BP48="",0,IF(AND(BP49=Milestones!$AB$76,BP48&gt;=SchemeStart),IF(AND(Milestones!$AB$76="FT",Milestones!$AA$76=FT_Y5,BP48&lt;PolicyEff),1,Milestones!$AC$76),0))</f>
        <v>0</v>
      </c>
      <c r="BQ50" s="0" t="n">
        <f aca="false">IF(BQ48="",0,IF(AND(BQ49=Milestones!$AB$77,BQ48&gt;=SchemeStart),IF(AND(Milestones!$AB$77="FT",Milestones!$AA$77=FT_Y5,BQ48&lt;PolicyEff),1,Milestones!$AC$77),0))</f>
        <v>0</v>
      </c>
      <c r="BR50" s="0" t="n">
        <f aca="false">IF(BR48="",0,IF(AND(BR49=Milestones!$AB$78,BR48&gt;=SchemeStart),IF(AND(Milestones!$AB$78="FT",Milestones!$AA$78=FT_Y5,BR48&lt;PolicyEff),1,Milestones!$AC$78),0))</f>
        <v>0</v>
      </c>
      <c r="BS50" s="0" t="n">
        <f aca="false">IF(BS48="",0,IF(AND(BS49=Milestones!$AB$79,BS48&gt;=SchemeStart),IF(AND(Milestones!$AB$79="FT",Milestones!$AA$79=FT_Y5,BS48&lt;PolicyEff),1,Milestones!$AC$79),0))</f>
        <v>0</v>
      </c>
      <c r="BT50" s="0" t="n">
        <f aca="false">IF(BT48="",0,IF(AND(BT49=Milestones!$AB$80,BT48&gt;=SchemeStart),IF(AND(Milestones!$AB$80="FT",Milestones!$AA$80=FT_Y5,BT48&lt;PolicyEff),1,Milestones!$AC$80),0))</f>
        <v>0</v>
      </c>
      <c r="BU50" s="0" t="n">
        <f aca="false">IF(BU48="",0,IF(AND(BU49=Milestones!$AB$81,BU48&gt;=SchemeStart),IF(AND(Milestones!$AB$81="FT",Milestones!$AA$81=FT_Y5,BU48&lt;PolicyEff),1,Milestones!$AC$81),0))</f>
        <v>0</v>
      </c>
      <c r="BV50" s="0" t="n">
        <f aca="false">IF(BV48="",0,IF(AND(BV49=Milestones!$AB$82,BV48&gt;=SchemeStart),IF(AND(Milestones!$AB$82="FT",Milestones!$AA$82=FT_Y5,BV48&lt;PolicyEff),1,Milestones!$AC$82),0))</f>
        <v>0</v>
      </c>
      <c r="BW50" s="0" t="n">
        <f aca="false">IF(BW48="",0,IF(AND(BW49=Milestones!$AB$83,BW48&gt;=SchemeStart),IF(AND(Milestones!$AB$83="FT",Milestones!$AA$83=FT_Y5,BW48&lt;PolicyEff),1,Milestones!$AC$83),0))</f>
        <v>0</v>
      </c>
      <c r="BX50" s="0" t="n">
        <f aca="false">IF(BX48="",0,IF(AND(BX49=Milestones!$AB$84,BX48&gt;=SchemeStart),IF(AND(Milestones!$AB$84="FT",Milestones!$AA$84=FT_Y5,BX48&lt;PolicyEff),1,Milestones!$AC$84),0))</f>
        <v>0</v>
      </c>
      <c r="BY50" s="0" t="n">
        <f aca="false">IF(BY48="",0,IF(AND(BY49=Milestones!$AB$85,BY48&gt;=SchemeStart),IF(AND(Milestones!$AB$85="FT",Milestones!$AA$85=FT_Y5,BY48&lt;PolicyEff),1,Milestones!$AC$85),0))</f>
        <v>0</v>
      </c>
      <c r="BZ50" s="0" t="n">
        <f aca="false">IF(BZ48="",0,IF(AND(BZ49=Milestones!$AB$86,BZ48&gt;=SchemeStart),IF(AND(Milestones!$AB$86="FT",Milestones!$AA$86=FT_Y5,BZ48&lt;PolicyEff),1,Milestones!$AC$86),0))</f>
        <v>0</v>
      </c>
      <c r="CA50" s="0" t="n">
        <f aca="false">IF(CA48="",0,IF(AND(CA49=Milestones!$AB$87,CA48&gt;=SchemeStart),IF(AND(Milestones!$AB$87="FT",Milestones!$AA$87=FT_Y5,CA48&lt;PolicyEff),1,Milestones!$AC$87),0))</f>
        <v>0</v>
      </c>
      <c r="CB50" s="0" t="n">
        <f aca="false">IF(CB48="",0,IF(AND(CB49=Milestones!$AB$88,CB48&gt;=SchemeStart),IF(AND(Milestones!$AB$88="FT",Milestones!$AA$88=FT_Y5,CB48&lt;PolicyEff),1,Milestones!$AC$88),0))</f>
        <v>0</v>
      </c>
      <c r="CC50" s="0" t="n">
        <f aca="false">IF(CC48="",0,IF(AND(CC49=Milestones!$AB$89,CC48&gt;=SchemeStart),IF(AND(Milestones!$AB$89="FT",Milestones!$AA$89=FT_Y5,CC48&lt;PolicyEff),1,Milestones!$AC$89),0))</f>
        <v>0</v>
      </c>
      <c r="CD50" s="0" t="n">
        <f aca="false">IF(CD48="",0,IF(AND(CD49=Milestones!$AB$90,CD48&gt;=SchemeStart),IF(AND(Milestones!$AB$90="FT",Milestones!$AA$90=FT_Y5,CD48&lt;PolicyEff),1,Milestones!$AC$90),0))</f>
        <v>0</v>
      </c>
      <c r="CE50" s="0" t="n">
        <f aca="false">IF(CE48="",0,IF(AND(CE49=Milestones!$AB$91,CE48&gt;=SchemeStart),IF(AND(Milestones!$AB$91="FT",Milestones!$AA$91=FT_Y5,CE48&lt;PolicyEff),1,Milestones!$AC$91),0))</f>
        <v>0</v>
      </c>
      <c r="CF50" s="0" t="n">
        <f aca="false">IF(CF48="",0,IF(AND(CF49=Milestones!$AB$92,CF48&gt;=SchemeStart),IF(AND(Milestones!$AB$92="FT",Milestones!$AA$92=FT_Y5,CF48&lt;PolicyEff),1,Milestones!$AC$92),0))</f>
        <v>0</v>
      </c>
      <c r="CG50" s="0" t="n">
        <f aca="false">IF(CG48="",0,IF(AND(CG49=Milestones!$AB$93,CG48&gt;=SchemeStart),IF(AND(Milestones!$AB$93="FT",Milestones!$AA$93=FT_Y5,CG48&lt;PolicyEff),1,Milestones!$AC$93),0))</f>
        <v>0</v>
      </c>
      <c r="CH50" s="0" t="n">
        <f aca="false">IF(CH48="",0,IF(AND(CH49=Milestones!$AB$94,CH48&gt;=SchemeStart),IF(AND(Milestones!$AB$94="FT",Milestones!$AA$94=FT_Y5,CH48&lt;PolicyEff),1,Milestones!$AC$94),0))</f>
        <v>0</v>
      </c>
      <c r="CI50" s="0" t="n">
        <f aca="false">IF(CI48="",0,IF(AND(CI49=Milestones!$AB$95,CI48&gt;=SchemeStart),IF(AND(Milestones!$AB$95="FT",Milestones!$AA$95=FT_Y5,CI48&lt;PolicyEff),1,Milestones!$AC$95),0))</f>
        <v>0</v>
      </c>
      <c r="CJ50" s="0" t="n">
        <f aca="false">IF(CJ48="",0,IF(AND(CJ49=Milestones!$AB$96,CJ48&gt;=SchemeStart),IF(AND(Milestones!$AB$96="FT",Milestones!$AA$96=FT_Y5,CJ48&lt;PolicyEff),1,Milestones!$AC$96),0))</f>
        <v>0</v>
      </c>
      <c r="CK50" s="0" t="n">
        <f aca="false">IF(CK48="",0,IF(AND(CK49=Milestones!$AB$97,CK48&gt;=SchemeStart),IF(AND(Milestones!$AB$97="FT",Milestones!$AA$97=FT_Y5,CK48&lt;PolicyEff),1,Milestones!$AC$97),0))</f>
        <v>0</v>
      </c>
      <c r="CL50" s="0" t="n">
        <f aca="false">IF(CL48="",0,IF(AND(CL49=Milestones!$AB$98,CL48&gt;=SchemeStart),IF(AND(Milestones!$AB$98="FT",Milestones!$AA$98=FT_Y5,CL48&lt;PolicyEff),1,Milestones!$AC$98),0))</f>
        <v>0</v>
      </c>
      <c r="CM50" s="0" t="n">
        <f aca="false">IF(CM48="",0,IF(AND(CM49=Milestones!$AB$99,CM48&gt;=SchemeStart),IF(AND(Milestones!$AB$99="FT",Milestones!$AA$99=FT_Y5,CM48&lt;PolicyEff),1,Milestones!$AC$99),0))</f>
        <v>0</v>
      </c>
      <c r="CN50" s="0" t="n">
        <f aca="false">IF(CN48="",0,IF(AND(CN49=Milestones!$AB$100,CN48&gt;=SchemeStart),IF(AND(Milestones!$AB$100="FT",Milestones!$AA$100=FT_Y5,CN48&lt;PolicyEff),1,Milestones!$AC$100),0))</f>
        <v>0</v>
      </c>
      <c r="CO50" s="0" t="n">
        <f aca="false">IF(CO48="",0,IF(AND(CO49=Milestones!$AB$101,CO48&gt;=SchemeStart),IF(AND(Milestones!$AB$101="FT",Milestones!$AA$101=FT_Y5,CO48&lt;PolicyEff),1,Milestones!$AC$101),0))</f>
        <v>0</v>
      </c>
      <c r="CP50" s="0" t="n">
        <f aca="false">IF(CP48="",0,IF(AND(CP49=Milestones!$AB$102,CP48&gt;=SchemeStart),IF(AND(Milestones!$AB$102="FT",Milestones!$AA$102=FT_Y5,CP48&lt;PolicyEff),1,Milestones!$AC$102),0))</f>
        <v>0</v>
      </c>
      <c r="CQ50" s="0" t="n">
        <f aca="false">IF(CQ48="",0,IF(AND(CQ49=Milestones!$AB$103,CQ48&gt;=SchemeStart),IF(AND(Milestones!$AB$103="FT",Milestones!$AA$103=FT_Y5,CQ48&lt;PolicyEff),1,Milestones!$AC$103),0))</f>
        <v>0</v>
      </c>
      <c r="CR50" s="0" t="n">
        <f aca="false">IF(CR48="",0,IF(AND(CR49=Milestones!$AB$104,CR48&gt;=SchemeStart),IF(AND(Milestones!$AB$104="FT",Milestones!$AA$104=FT_Y5,CR48&lt;PolicyEff),1,Milestones!$AC$104),0))</f>
        <v>0</v>
      </c>
      <c r="CS50" s="0" t="n">
        <f aca="false">IF(CS48="",0,IF(AND(CS49=Milestones!$AB$105,CS48&gt;=SchemeStart),IF(AND(Milestones!$AB$105="FT",Milestones!$AA$105=FT_Y5,CS48&lt;PolicyEff),1,Milestones!$AC$105),0))</f>
        <v>0</v>
      </c>
      <c r="CT50" s="0" t="n">
        <f aca="false">IF(CT48="",0,IF(AND(CT49=Milestones!$AB$106,CT48&gt;=SchemeStart),IF(AND(Milestones!$AB$106="FT",Milestones!$AA$106=FT_Y5,CT48&lt;PolicyEff),1,Milestones!$AC$106),0))</f>
        <v>0</v>
      </c>
      <c r="CU50" s="0" t="n">
        <f aca="false">IF(CU48="",0,IF(AND(CU49=Milestones!$AB$107,CU48&gt;=SchemeStart),IF(AND(Milestones!$AB$107="FT",Milestones!$AA$107=FT_Y5,CU48&lt;PolicyEff),1,Milestones!$AC$107),0))</f>
        <v>0</v>
      </c>
      <c r="CV50" s="0" t="n">
        <f aca="false">IF(CV48="",0,IF(AND(CV49=Milestones!$AB$108,CV48&gt;=SchemeStart),IF(AND(Milestones!$AB$108="FT",Milestones!$AA$108=FT_Y5,CV48&lt;PolicyEff),1,Milestones!$AC$108),0))</f>
        <v>0</v>
      </c>
      <c r="CW50" s="0" t="n">
        <f aca="false">IF(CW48="",0,IF(AND(CW49=Milestones!$AB$109,CW48&gt;=SchemeStart),IF(AND(Milestones!$AB$109="FT",Milestones!$AA$109=FT_Y5,CW48&lt;PolicyEff),1,Milestones!$AC$109),0))</f>
        <v>0</v>
      </c>
      <c r="CX50" s="0" t="n">
        <f aca="false">IF(CX48="",0,IF(AND(CX49=Milestones!$AB$110,CX48&gt;=SchemeStart),IF(AND(Milestones!$AB$110="FT",Milestones!$AA$110=FT_Y5,CX48&lt;PolicyEff),1,Milestones!$AC$110),0))</f>
        <v>0</v>
      </c>
      <c r="CY50" s="0" t="n">
        <f aca="false">IF(CY48="",0,IF(AND(CY49=Milestones!$AB$111,CY48&gt;=SchemeStart),IF(AND(Milestones!$AB$111="FT",Milestones!$AA$111=FT_Y5,CY48&lt;PolicyEff),1,Milestones!$AC$111),0))</f>
        <v>0</v>
      </c>
      <c r="CZ50" s="0" t="n">
        <f aca="false">IF(CZ48="",0,IF(AND(CZ49=Milestones!$AB$112,CZ48&gt;=SchemeStart),IF(AND(Milestones!$AB$112="FT",Milestones!$AA$112=FT_Y5,CZ48&lt;PolicyEff),1,Milestones!$AC$112),0))</f>
        <v>0</v>
      </c>
      <c r="DA50" s="0" t="n">
        <f aca="false">IF(DA48="",0,IF(AND(DA49=Milestones!$AB$113,DA48&gt;=SchemeStart),IF(AND(Milestones!$AB$113="FT",Milestones!$AA$113=FT_Y5,DA48&lt;PolicyEff),1,Milestones!$AC$113),0))</f>
        <v>0</v>
      </c>
      <c r="DB50" s="0" t="n">
        <f aca="false">IF(DB48="",0,IF(AND(DB49=Milestones!$AB$114,DB48&gt;=SchemeStart),IF(AND(Milestones!$AB$114="FT",Milestones!$AA$114=FT_Y5,DB48&lt;PolicyEff),1,Milestones!$AC$114),0))</f>
        <v>0</v>
      </c>
      <c r="DC50" s="0" t="n">
        <f aca="false">IF(DC48="",0,IF(AND(DC49=Milestones!$AB$115,DC48&gt;=SchemeStart),IF(AND(Milestones!$AB$115="FT",Milestones!$AA$115=FT_Y5,DC48&lt;PolicyEff),1,Milestones!$AC$115),0))</f>
        <v>0</v>
      </c>
      <c r="DD50" s="0" t="n">
        <f aca="false">IF(DD48="",0,IF(AND(DD49=Milestones!$AB$116,DD48&gt;=SchemeStart),IF(AND(Milestones!$AB$116="FT",Milestones!$AA$116=FT_Y5,DD48&lt;PolicyEff),1,Milestones!$AC$116),0))</f>
        <v>0</v>
      </c>
      <c r="DE50" s="0" t="n">
        <f aca="false">IF(DE48="",0,IF(AND(DE49=Milestones!$AB$117,DE48&gt;=SchemeStart),IF(AND(Milestones!$AB$117="FT",Milestones!$AA$117=FT_Y5,DE48&lt;PolicyEff),1,Milestones!$AC$117),0))</f>
        <v>0</v>
      </c>
      <c r="DF50" s="0" t="n">
        <f aca="false">IF(DF48="",0,IF(AND(DF49=Milestones!$AB$118,DF48&gt;=SchemeStart),IF(AND(Milestones!$AB$118="FT",Milestones!$AA$118=FT_Y5,DF48&lt;PolicyEff),1,Milestones!$AC$118),0))</f>
        <v>0</v>
      </c>
      <c r="DG50" s="0" t="n">
        <f aca="false">IF(DG48="",0,IF(AND(DG49=Milestones!$AB$119,DG48&gt;=SchemeStart),IF(AND(Milestones!$AB$119="FT",Milestones!$AA$119=FT_Y5,DG48&lt;PolicyEff),1,Milestones!$AC$119),0))</f>
        <v>0</v>
      </c>
      <c r="DH50" s="0" t="n">
        <f aca="false">IF(DH48="",0,IF(AND(DH49=Milestones!$AB$120,DH48&gt;=SchemeStart),IF(AND(Milestones!$AB$120="FT",Milestones!$AA$120=FT_Y5,DH48&lt;PolicyEff),1,Milestones!$AC$120),0))</f>
        <v>0</v>
      </c>
      <c r="DI50" s="0" t="n">
        <f aca="false">IF(DI48="",0,IF(AND(DI49=Milestones!$AB$121,DI48&gt;=SchemeStart),IF(AND(Milestones!$AB$121="FT",Milestones!$AA$121=FT_Y5,DI48&lt;PolicyEff),1,Milestones!$AC$121),0))</f>
        <v>0</v>
      </c>
      <c r="DJ50" s="0" t="n">
        <f aca="false">IF(DJ48="",0,IF(AND(DJ49=Milestones!$AB$122,DJ48&gt;=SchemeStart),IF(AND(Milestones!$AB$122="FT",Milestones!$AA$122=FT_Y5,DJ48&lt;PolicyEff),1,Milestones!$AC$122),0))</f>
        <v>0</v>
      </c>
      <c r="DK50" s="0" t="n">
        <f aca="false">IF(DK48="",0,IF(AND(DK49=Milestones!$AB$123,DK48&gt;=SchemeStart),IF(AND(Milestones!$AB$123="FT",Milestones!$AA$123=FT_Y5,DK48&lt;PolicyEff),1,Milestones!$AC$123),0))</f>
        <v>0</v>
      </c>
      <c r="DL50" s="0" t="n">
        <f aca="false">IF(DL48="",0,IF(AND(DL49=Milestones!$AB$124,DL48&gt;=SchemeStart),IF(AND(Milestones!$AB$124="FT",Milestones!$AA$124=FT_Y5,DL48&lt;PolicyEff),1,Milestones!$AC$124),0))</f>
        <v>0</v>
      </c>
      <c r="DM50" s="0" t="n">
        <f aca="false">IF(DM48="",0,IF(AND(DM49=Milestones!$AB$125,DM48&gt;=SchemeStart),IF(AND(Milestones!$AB$125="FT",Milestones!$AA$125=FT_Y5,DM48&lt;PolicyEff),1,Milestones!$AC$125),0))</f>
        <v>0</v>
      </c>
      <c r="DN50" s="0" t="n">
        <f aca="false">IF(DN48="",0,IF(AND(DN49=Milestones!$AB$126,DN48&gt;=SchemeStart),IF(AND(Milestones!$AB$126="FT",Milestones!$AA$126=FT_Y5,DN48&lt;PolicyEff),1,Milestones!$AC$126),0))</f>
        <v>0</v>
      </c>
      <c r="DO50" s="0" t="n">
        <f aca="false">IF(DO48="",0,IF(AND(DO49=Milestones!$AB$127,DO48&gt;=SchemeStart),IF(AND(Milestones!$AB$127="FT",Milestones!$AA$127=FT_Y5,DO48&lt;PolicyEff),1,Milestones!$AC$127),0))</f>
        <v>0</v>
      </c>
      <c r="DP50" s="0" t="n">
        <f aca="false">IF(DP48="",0,IF(AND(DP49=Milestones!$AB$128,DP48&gt;=SchemeStart),IF(AND(Milestones!$AB$128="FT",Milestones!$AA$128=FT_Y5,DP48&lt;PolicyEff),1,Milestones!$AC$128),0))</f>
        <v>0</v>
      </c>
      <c r="DQ50" s="0" t="n">
        <f aca="false">IF(DQ48="",0,IF(AND(DQ49=Milestones!$AB$129,DQ48&gt;=SchemeStart),IF(AND(Milestones!$AB$129="FT",Milestones!$AA$129=FT_Y5,DQ48&lt;PolicyEff),1,Milestones!$AC$129),0))</f>
        <v>0</v>
      </c>
      <c r="DR50" s="0" t="n">
        <f aca="false">IF(DR48="",0,IF(AND(DR49=Milestones!$AB$130,DR48&gt;=SchemeStart),IF(AND(Milestones!$AB$130="FT",Milestones!$AA$130=FT_Y5,DR48&lt;PolicyEff),1,Milestones!$AC$130),0))</f>
        <v>0</v>
      </c>
      <c r="DS50" s="0" t="n">
        <f aca="false">IF(DS48="",0,IF(AND(DS49=Milestones!$AB$131,DS48&gt;=SchemeStart),IF(AND(Milestones!$AB$131="FT",Milestones!$AA$131=FT_Y5,DS48&lt;PolicyEff),1,Milestones!$AC$131),0))</f>
        <v>0</v>
      </c>
      <c r="DT50" s="0" t="n">
        <f aca="false">IF(DT48="",0,IF(AND(DT49=Milestones!$AB$132,DT48&gt;=SchemeStart),IF(AND(Milestones!$AB$132="FT",Milestones!$AA$132=FT_Y5,DT48&lt;PolicyEff),1,Milestones!$AC$132),0))</f>
        <v>0</v>
      </c>
      <c r="DU50" s="0" t="n">
        <f aca="false">IF(DU48="",0,IF(AND(DU49=Milestones!$AB$133,DU48&gt;=SchemeStart),IF(AND(Milestones!$AB$133="FT",Milestones!$AA$133=FT_Y5,DU48&lt;PolicyEff),1,Milestones!$AC$133),0))</f>
        <v>0</v>
      </c>
      <c r="DV50" s="0" t="n">
        <f aca="false">IF(DV48="",0,IF(AND(DV49=Milestones!$AB$134,DV48&gt;=SchemeStart),IF(AND(Milestones!$AB$134="FT",Milestones!$AA$134=FT_Y5,DV48&lt;PolicyEff),1,Milestones!$AC$134),0))</f>
        <v>0</v>
      </c>
      <c r="DW50" s="0" t="n">
        <f aca="false">IF(DW48="",0,IF(AND(DW49=Milestones!$AB$135,DW48&gt;=SchemeStart),IF(AND(Milestones!$AB$135="FT",Milestones!$AA$135=FT_Y5,DW48&lt;PolicyEff),1,Milestones!$AC$135),0))</f>
        <v>0</v>
      </c>
      <c r="DX50" s="0" t="n">
        <f aca="false">IF(DX48="",0,IF(AND(DX49=Milestones!$AB$136,DX48&gt;=SchemeStart),IF(AND(Milestones!$AB$136="FT",Milestones!$AA$136=FT_Y5,DX48&lt;PolicyEff),1,Milestones!$AC$136),0))</f>
        <v>0</v>
      </c>
      <c r="DY50" s="0" t="n">
        <f aca="false">IF(DY48="",0,IF(AND(DY49=Milestones!$AB$137,DY48&gt;=SchemeStart),IF(AND(Milestones!$AB$137="FT",Milestones!$AA$137=FT_Y5,DY48&lt;PolicyEff),1,Milestones!$AC$137),0))</f>
        <v>0</v>
      </c>
      <c r="DZ50" s="0" t="n">
        <f aca="false">IF(DZ48="",0,IF(AND(DZ49=Milestones!$AB$138,DZ48&gt;=SchemeStart),IF(AND(Milestones!$AB$138="FT",Milestones!$AA$138=FT_Y5,DZ48&lt;PolicyEff),1,Milestones!$AC$138),0))</f>
        <v>0</v>
      </c>
      <c r="EA50" s="0" t="n">
        <f aca="false">IF(EA48="",0,IF(AND(EA49=Milestones!$AB$139,EA48&gt;=SchemeStart),IF(AND(Milestones!$AB$139="FT",Milestones!$AA$139=FT_Y5,EA48&lt;PolicyEff),1,Milestones!$AC$139),0))</f>
        <v>0</v>
      </c>
      <c r="EB50" s="0" t="n">
        <f aca="false">IF(EB48="",0,IF(AND(EB49=Milestones!$AB$140,EB48&gt;=SchemeStart),IF(AND(Milestones!$AB$140="FT",Milestones!$AA$140=FT_Y5,EB48&lt;PolicyEff),1,Milestones!$AC$140),0))</f>
        <v>0</v>
      </c>
      <c r="EC50" s="0" t="n">
        <f aca="false">IF(EC48="",0,IF(AND(EC49=Milestones!$AB$141,EC48&gt;=SchemeStart),IF(AND(Milestones!$AB$141="FT",Milestones!$AA$141=FT_Y5,EC48&lt;PolicyEff),1,Milestones!$AC$141),0))</f>
        <v>0</v>
      </c>
      <c r="ED50" s="0" t="n">
        <f aca="false">IF(ED48="",0,IF(AND(ED49=Milestones!$AB$142,ED48&gt;=SchemeStart),IF(AND(Milestones!$AB$142="FT",Milestones!$AA$142=FT_Y5,ED48&lt;PolicyEff),1,Milestones!$AC$142),0))</f>
        <v>0</v>
      </c>
      <c r="EE50" s="0" t="n">
        <f aca="false">IF(EE48="",0,IF(AND(EE49=Milestones!$AB$143,EE48&gt;=SchemeStart),IF(AND(Milestones!$AB$143="FT",Milestones!$AA$143=FT_Y5,EE48&lt;PolicyEff),1,Milestones!$AC$143),0))</f>
        <v>0</v>
      </c>
      <c r="EF50" s="0" t="n">
        <f aca="false">IF(EF48="",0,IF(AND(EF49=Milestones!$AB$144,EF48&gt;=SchemeStart),IF(AND(Milestones!$AB$144="FT",Milestones!$AA$144=FT_Y5,EF48&lt;PolicyEff),1,Milestones!$AC$144),0))</f>
        <v>0</v>
      </c>
      <c r="EG50" s="0" t="n">
        <f aca="false">IF(EG48="",0,IF(AND(EG49=Milestones!$AB$145,EG48&gt;=SchemeStart),IF(AND(Milestones!$AB$145="FT",Milestones!$AA$145=FT_Y5,EG48&lt;PolicyEff),1,Milestones!$AC$145),0))</f>
        <v>0</v>
      </c>
      <c r="EH50" s="0" t="n">
        <f aca="false">IF(EH48="",0,IF(AND(EH49=Milestones!$AB$146,EH48&gt;=SchemeStart),IF(AND(Milestones!$AB$146="FT",Milestones!$AA$146=FT_Y5,EH48&lt;PolicyEff),1,Milestones!$AC$146),0))</f>
        <v>0</v>
      </c>
      <c r="EI50" s="0" t="n">
        <f aca="false">IF(EI48="",0,IF(AND(EI49=Milestones!$AB$147,EI48&gt;=SchemeStart),IF(AND(Milestones!$AB$147="FT",Milestones!$AA$147=FT_Y5,EI48&lt;PolicyEff),1,Milestones!$AC$147),0))</f>
        <v>0</v>
      </c>
      <c r="EJ50" s="0" t="n">
        <f aca="false">IF(EJ48="",0,IF(AND(EJ49=Milestones!$AB$148,EJ48&gt;=SchemeStart),IF(AND(Milestones!$AB$148="FT",Milestones!$AA$148=FT_Y5,EJ48&lt;PolicyEff),1,Milestones!$AC$148),0))</f>
        <v>0</v>
      </c>
      <c r="EK50" s="0" t="n">
        <f aca="false">IF(EK48="",0,IF(AND(EK49=Milestones!$AB$149,EK48&gt;=SchemeStart),IF(AND(Milestones!$AB$149="FT",Milestones!$AA$149=FT_Y5,EK48&lt;PolicyEff),1,Milestones!$AC$149),0))</f>
        <v>0</v>
      </c>
      <c r="EL50" s="0" t="n">
        <f aca="false">IF(EL48="",0,IF(AND(EL49=Milestones!$AB$150,EL48&gt;=SchemeStart),IF(AND(Milestones!$AB$150="FT",Milestones!$AA$150=FT_Y5,EL48&lt;PolicyEff),1,Milestones!$AC$150),0))</f>
        <v>0</v>
      </c>
      <c r="EM50" s="0" t="n">
        <f aca="false">IF(EM48="",0,IF(AND(EM49=Milestones!$AB$151,EM48&gt;=SchemeStart),IF(AND(Milestones!$AB$151="FT",Milestones!$AA$151=FT_Y5,EM48&lt;PolicyEff),1,Milestones!$AC$151),0))</f>
        <v>0</v>
      </c>
      <c r="EN50" s="0" t="n">
        <f aca="false">IF(EN48="",0,IF(AND(EN49=Milestones!$AB$152,EN48&gt;=SchemeStart),IF(AND(Milestones!$AB$152="FT",Milestones!$AA$152=FT_Y5,EN48&lt;PolicyEff),1,Milestones!$AC$152),0))</f>
        <v>0</v>
      </c>
      <c r="EO50" s="0" t="n">
        <f aca="false">IF(EO48="",0,IF(AND(EO49=Milestones!$AB$153,EO48&gt;=SchemeStart),IF(AND(Milestones!$AB$153="FT",Milestones!$AA$153=FT_Y5,EO48&lt;PolicyEff),1,Milestones!$AC$153),0))</f>
        <v>0</v>
      </c>
      <c r="EP50" s="0" t="n">
        <f aca="false">IF(EP48="",0,IF(AND(EP49=Milestones!$AB$154,EP48&gt;=SchemeStart),IF(AND(Milestones!$AB$154="FT",Milestones!$AA$154=FT_Y5,EP48&lt;PolicyEff),1,Milestones!$AC$154),0))</f>
        <v>0</v>
      </c>
      <c r="EQ50" s="0" t="n">
        <f aca="false">IF(EQ48="",0,IF(AND(EQ49=Milestones!$AB$155,EQ48&gt;=SchemeStart),IF(AND(Milestones!$AB$155="FT",Milestones!$AA$155=FT_Y5,EQ48&lt;PolicyEff),1,Milestones!$AC$155),0))</f>
        <v>0</v>
      </c>
      <c r="ER50" s="0" t="n">
        <f aca="false">IF(ER48="",0,IF(AND(ER49=Milestones!$AB$156,ER48&gt;=SchemeStart),IF(AND(Milestones!$AB$156="FT",Milestones!$AA$156=FT_Y5,ER48&lt;PolicyEff),1,Milestones!$AC$156),0))</f>
        <v>0</v>
      </c>
      <c r="ES50" s="0" t="n">
        <f aca="false">IF(ES48="",0,IF(AND(ES49=Milestones!$AB$157,ES48&gt;=SchemeStart),IF(AND(Milestones!$AB$157="FT",Milestones!$AA$157=FT_Y5,ES48&lt;PolicyEff),1,Milestones!$AC$157),0))</f>
        <v>0</v>
      </c>
      <c r="ET50" s="0" t="n">
        <f aca="false">IF(ET48="",0,IF(AND(ET49=Milestones!$AB$158,ET48&gt;=SchemeStart),IF(AND(Milestones!$AB$158="FT",Milestones!$AA$158=FT_Y5,ET48&lt;PolicyEff),1,Milestones!$AC$158),0))</f>
        <v>0</v>
      </c>
      <c r="EU50" s="0" t="n">
        <f aca="false">IF(EU48="",0,IF(AND(EU49=Milestones!$AB$159,EU48&gt;=SchemeStart),IF(AND(Milestones!$AB$159="FT",Milestones!$AA$159=FT_Y5,EU48&lt;PolicyEff),1,Milestones!$AC$159),0))</f>
        <v>0</v>
      </c>
      <c r="EV50" s="0" t="n">
        <f aca="false">IF(EV48="",0,IF(AND(EV49=Milestones!$AB$160,EV48&gt;=SchemeStart),IF(AND(Milestones!$AB$160="FT",Milestones!$AA$160=FT_Y5,EV48&lt;PolicyEff),1,Milestones!$AC$160),0))</f>
        <v>0</v>
      </c>
      <c r="EW50" s="0" t="n">
        <f aca="false">IF(EW48="",0,IF(AND(EW49=Milestones!$AB$161,EW48&gt;=SchemeStart),IF(AND(Milestones!$AB$161="FT",Milestones!$AA$161=FT_Y5,EW48&lt;PolicyEff),1,Milestones!$AC$161),0))</f>
        <v>0</v>
      </c>
      <c r="EX50" s="0" t="n">
        <f aca="false">IF(EX48="",0,IF(AND(EX49=Milestones!$AB$162,EX48&gt;=SchemeStart),IF(AND(Milestones!$AB$162="FT",Milestones!$AA$162=FT_Y5,EX48&lt;PolicyEff),1,Milestones!$AC$162),0))</f>
        <v>0</v>
      </c>
      <c r="EY50" s="0" t="n">
        <f aca="false">IF(EY48="",0,IF(AND(EY49=Milestones!$AB$163,EY48&gt;=SchemeStart),IF(AND(Milestones!$AB$163="FT",Milestones!$AA$163=FT_Y5,EY48&lt;PolicyEff),1,Milestones!$AC$163),0))</f>
        <v>0</v>
      </c>
      <c r="EZ50" s="0" t="n">
        <f aca="false">IF(EZ48="",0,IF(AND(EZ49=Milestones!$AB$164,EZ48&gt;=SchemeStart),IF(AND(Milestones!$AB$164="FT",Milestones!$AA$164=FT_Y5,EZ48&lt;PolicyEff),1,Milestones!$AC$164),0))</f>
        <v>0</v>
      </c>
      <c r="FA50" s="0" t="n">
        <f aca="false">IF(FA48="",0,IF(AND(FA49=Milestones!$AB$165,FA48&gt;=SchemeStart),IF(AND(Milestones!$AB$165="FT",Milestones!$AA$165=FT_Y5,FA48&lt;PolicyEff),1,Milestones!$AC$165),0))</f>
        <v>0</v>
      </c>
      <c r="FB50" s="0" t="n">
        <f aca="false">IF(FB48="",0,IF(AND(FB49=Milestones!$AB$166,FB48&gt;=SchemeStart),IF(AND(Milestones!$AB$166="FT",Milestones!$AA$166=FT_Y5,FB48&lt;PolicyEff),1,Milestones!$AC$166),0))</f>
        <v>0</v>
      </c>
      <c r="FC50" s="0" t="n">
        <f aca="false">IF(FC48="",0,IF(AND(FC49=Milestones!$AB$167,FC48&gt;=SchemeStart),IF(AND(Milestones!$AB$167="FT",Milestones!$AA$167=FT_Y5,FC48&lt;PolicyEff),1,Milestones!$AC$167),0))</f>
        <v>0</v>
      </c>
      <c r="FD50" s="0" t="n">
        <f aca="false">IF(FD48="",0,IF(AND(FD49=Milestones!$AB$168,FD48&gt;=SchemeStart),IF(AND(Milestones!$AB$168="FT",Milestones!$AA$168=FT_Y5,FD48&lt;PolicyEff),1,Milestones!$AC$168),0))</f>
        <v>0</v>
      </c>
      <c r="FE50" s="0" t="n">
        <f aca="false">IF(FE48="",0,IF(AND(FE49=Milestones!$AB$169,FE48&gt;=SchemeStart),IF(AND(Milestones!$AB$169="FT",Milestones!$AA$169=FT_Y5,FE48&lt;PolicyEff),1,Milestones!$AC$169),0))</f>
        <v>0</v>
      </c>
      <c r="FF50" s="0" t="n">
        <f aca="false">IF(FF48="",0,IF(AND(FF49=Milestones!$AB$170,FF48&gt;=SchemeStart),IF(AND(Milestones!$AB$170="FT",Milestones!$AA$170=FT_Y5,FF48&lt;PolicyEff),1,Milestones!$AC$170),0))</f>
        <v>0</v>
      </c>
      <c r="FG50" s="0" t="n">
        <f aca="false">IF(FG48="",0,IF(AND(FG49=Milestones!$AB$171,FG48&gt;=SchemeStart),IF(AND(Milestones!$AB$171="FT",Milestones!$AA$171=FT_Y5,FG48&lt;PolicyEff),1,Milestones!$AC$171),0))</f>
        <v>0</v>
      </c>
      <c r="FH50" s="0" t="n">
        <f aca="false">IF(FH48="",0,IF(AND(FH49=Milestones!$AB$172,FH48&gt;=SchemeStart),IF(AND(Milestones!$AB$172="FT",Milestones!$AA$172=FT_Y5,FH48&lt;PolicyEff),1,Milestones!$AC$172),0))</f>
        <v>0</v>
      </c>
      <c r="FI50" s="0" t="n">
        <f aca="false">IF(FI48="",0,IF(AND(FI49=Milestones!$AB$173,FI48&gt;=SchemeStart),IF(AND(Milestones!$AB$173="FT",Milestones!$AA$173=FT_Y5,FI48&lt;PolicyEff),1,Milestones!$AC$173),0))</f>
        <v>0</v>
      </c>
      <c r="FJ50" s="0" t="n">
        <f aca="false">IF(FJ48="",0,IF(AND(FJ49=Milestones!$AB$174,FJ48&gt;=SchemeStart),IF(AND(Milestones!$AB$174="FT",Milestones!$AA$174=FT_Y5,FJ48&lt;PolicyEff),1,Milestones!$AC$174),0))</f>
        <v>0</v>
      </c>
      <c r="FK50" s="0" t="n">
        <f aca="false">IF(FK48="",0,IF(AND(FK49=Milestones!$AB$175,FK48&gt;=SchemeStart),IF(AND(Milestones!$AB$175="FT",Milestones!$AA$175=FT_Y5,FK48&lt;PolicyEff),1,Milestones!$AC$175),0))</f>
        <v>0</v>
      </c>
      <c r="FL50" s="0" t="n">
        <f aca="false">IF(FL48="",0,IF(AND(FL49=Milestones!$AB$176,FL48&gt;=SchemeStart),IF(AND(Milestones!$AB$176="FT",Milestones!$AA$176=FT_Y5,FL48&lt;PolicyEff),1,Milestones!$AC$176),0))</f>
        <v>0</v>
      </c>
      <c r="FM50" s="0" t="n">
        <f aca="false">IF(FM48="",0,IF(AND(FM49=Milestones!$AB$177,FM48&gt;=SchemeStart),IF(AND(Milestones!$AB$177="FT",Milestones!$AA$177=FT_Y5,FM48&lt;PolicyEff),1,Milestones!$AC$177),0))</f>
        <v>0</v>
      </c>
      <c r="FN50" s="0" t="n">
        <f aca="false">IF(FN48="",0,IF(AND(FN49=Milestones!$AB$178,FN48&gt;=SchemeStart),IF(AND(Milestones!$AB$178="FT",Milestones!$AA$178=FT_Y5,FN48&lt;PolicyEff),1,Milestones!$AC$178),0))</f>
        <v>0</v>
      </c>
      <c r="FO50" s="0" t="n">
        <f aca="false">IF(FO48="",0,IF(AND(FO49=Milestones!$AB$179,FO48&gt;=SchemeStart),IF(AND(Milestones!$AB$179="FT",Milestones!$AA$179=FT_Y5,FO48&lt;PolicyEff),1,Milestones!$AC$179),0))</f>
        <v>0</v>
      </c>
      <c r="FP50" s="0" t="n">
        <f aca="false">IF(FP48="",0,IF(AND(FP49=Milestones!$AB$180,FP48&gt;=SchemeStart),IF(AND(Milestones!$AB$180="FT",Milestones!$AA$180=FT_Y5,FP48&lt;PolicyEff),1,Milestones!$AC$180),0))</f>
        <v>0</v>
      </c>
      <c r="FQ50" s="0" t="n">
        <f aca="false">IF(FQ48="",0,IF(AND(FQ49=Milestones!$AB$181,FQ48&gt;=SchemeStart),IF(AND(Milestones!$AB$181="FT",Milestones!$AA$181=FT_Y5,FQ48&lt;PolicyEff),1,Milestones!$AC$181),0))</f>
        <v>0</v>
      </c>
      <c r="FR50" s="0" t="n">
        <f aca="false">IF(FR48="",0,IF(AND(FR49=Milestones!$AB$182,FR48&gt;=SchemeStart),IF(AND(Milestones!$AB$182="FT",Milestones!$AA$182=FT_Y5,FR48&lt;PolicyEff),1,Milestones!$AC$182),0))</f>
        <v>0</v>
      </c>
      <c r="FS50" s="0" t="n">
        <f aca="false">IF(FS48="",0,IF(AND(FS49=Milestones!$AB$183,FS48&gt;=SchemeStart),IF(AND(Milestones!$AB$183="FT",Milestones!$AA$183=FT_Y5,FS48&lt;PolicyEff),1,Milestones!$AC$183),0))</f>
        <v>0</v>
      </c>
      <c r="FT50" s="0" t="n">
        <f aca="false">IF(FT48="",0,IF(AND(FT49=Milestones!$AB$184,FT48&gt;=SchemeStart),IF(AND(Milestones!$AB$184="FT",Milestones!$AA$184=FT_Y5,FT48&lt;PolicyEff),1,Milestones!$AC$184),0))</f>
        <v>0</v>
      </c>
      <c r="FU50" s="0" t="n">
        <f aca="false">IF(FU48="",0,IF(AND(FU49=Milestones!$AB$185,FU48&gt;=SchemeStart),IF(AND(Milestones!$AB$185="FT",Milestones!$AA$185=FT_Y5,FU48&lt;PolicyEff),1,Milestones!$AC$185),0))</f>
        <v>0</v>
      </c>
      <c r="FV50" s="0" t="n">
        <f aca="false">IF(FV48="",0,IF(AND(FV49=Milestones!$AB$186,FV48&gt;=SchemeStart),IF(AND(Milestones!$AB$186="FT",Milestones!$AA$186=FT_Y5,FV48&lt;PolicyEff),1,Milestones!$AC$186),0))</f>
        <v>0</v>
      </c>
      <c r="FW50" s="0" t="n">
        <f aca="false">IF(FW48="",0,IF(AND(FW49=Milestones!$AB$187,FW48&gt;=SchemeStart),IF(AND(Milestones!$AB$187="FT",Milestones!$AA$187=FT_Y5,FW48&lt;PolicyEff),1,Milestones!$AC$187),0))</f>
        <v>0</v>
      </c>
      <c r="FX50" s="0" t="n">
        <f aca="false">IF(FX48="",0,IF(AND(FX49=Milestones!$AB$188,FX48&gt;=SchemeStart),IF(AND(Milestones!$AB$188="FT",Milestones!$AA$188=FT_Y5,FX48&lt;PolicyEff),1,Milestones!$AC$188),0))</f>
        <v>0</v>
      </c>
      <c r="FY50" s="0" t="n">
        <f aca="false">IF(FY48="",0,IF(AND(FY49=Milestones!$AB$189,FY48&gt;=SchemeStart),IF(AND(Milestones!$AB$189="FT",Milestones!$AA$189=FT_Y5,FY48&lt;PolicyEff),1,Milestones!$AC$189),0))</f>
        <v>0</v>
      </c>
      <c r="FZ50" s="0" t="n">
        <f aca="false">IF(FZ48="",0,IF(AND(FZ49=Milestones!$AB$190,FZ48&gt;=SchemeStart),IF(AND(Milestones!$AB$190="FT",Milestones!$AA$190=FT_Y5,FZ48&lt;PolicyEff),1,Milestones!$AC$190),0))</f>
        <v>0</v>
      </c>
      <c r="GA50" s="0" t="n">
        <f aca="false">IF(GA48="",0,IF(AND(GA49=Milestones!$AB$191,GA48&gt;=SchemeStart),IF(AND(Milestones!$AB$191="FT",Milestones!$AA$191=FT_Y5,GA48&lt;PolicyEff),1,Milestones!$AC$191),0))</f>
        <v>0</v>
      </c>
      <c r="GB50" s="0" t="n">
        <f aca="false">IF(GB48="",0,IF(AND(GB49=Milestones!$AB$192,GB48&gt;=SchemeStart),IF(AND(Milestones!$AB$192="FT",Milestones!$AA$192=FT_Y5,GB48&lt;PolicyEff),1,Milestones!$AC$192),0))</f>
        <v>0</v>
      </c>
      <c r="GC50" s="0" t="n">
        <f aca="false">IF(GC48="",0,IF(AND(GC49=Milestones!$AB$193,GC48&gt;=SchemeStart),IF(AND(Milestones!$AB$193="FT",Milestones!$AA$193=FT_Y5,GC48&lt;PolicyEff),1,Milestones!$AC$193),0))</f>
        <v>0</v>
      </c>
      <c r="GD50" s="0" t="n">
        <f aca="false">IF(GD48="",0,IF(AND(GD49=Milestones!$AB$194,GD48&gt;=SchemeStart),IF(AND(Milestones!$AB$194="FT",Milestones!$AA$194=FT_Y5,GD48&lt;PolicyEff),1,Milestones!$AC$194),0))</f>
        <v>0</v>
      </c>
      <c r="GE50" s="0" t="n">
        <f aca="false">IF(GE48="",0,IF(AND(GE49=Milestones!$AB$195,GE48&gt;=SchemeStart),IF(AND(Milestones!$AB$195="FT",Milestones!$AA$195=FT_Y5,GE48&lt;PolicyEff),1,Milestones!$AC$195),0))</f>
        <v>0</v>
      </c>
      <c r="GF50" s="0" t="n">
        <f aca="false">IF(GF48="",0,IF(AND(GF49=Milestones!$AB$196,GF48&gt;=SchemeStart),IF(AND(Milestones!$AB$196="FT",Milestones!$AA$196=FT_Y5,GF48&lt;PolicyEff),1,Milestones!$AC$196),0))</f>
        <v>0</v>
      </c>
      <c r="GG50" s="0" t="n">
        <f aca="false">IF(GG48="",0,IF(AND(GG49=Milestones!$AB$197,GG48&gt;=SchemeStart),IF(AND(Milestones!$AB$197="FT",Milestones!$AA$197=FT_Y5,GG48&lt;PolicyEff),1,Milestones!$AC$197),0))</f>
        <v>0</v>
      </c>
      <c r="GH50" s="0" t="n">
        <f aca="false">IF(GH48="",0,IF(AND(GH49=Milestones!$AB$198,GH48&gt;=SchemeStart),IF(AND(Milestones!$AB$198="FT",Milestones!$AA$198=FT_Y5,GH48&lt;PolicyEff),1,Milestones!$AC$198),0))</f>
        <v>0</v>
      </c>
      <c r="GI50" s="0" t="n">
        <f aca="false">IF(GI48="",0,IF(AND(GI49=Milestones!$AB$199,GI48&gt;=SchemeStart),IF(AND(Milestones!$AB$199="FT",Milestones!$AA$199=FT_Y5,GI48&lt;PolicyEff),1,Milestones!$AC$199),0))</f>
        <v>0</v>
      </c>
    </row>
    <row r="51" customFormat="false" ht="15" hidden="false" customHeight="false" outlineLevel="0" collapsed="false">
      <c r="A51" s="0" t="str">
        <f aca="false">IF('HR Tally Check'!R$7="","",'HR Tally Check'!R$7)</f>
        <v/>
      </c>
      <c r="B51" s="0" t="str">
        <f aca="false">IF(A51="","",ISNUMBER(MATCH(A51,Staff!$BR$5:$BR$154,0)))</f>
        <v/>
      </c>
      <c r="C51" s="20" t="str">
        <f aca="false">IF(B51&lt;&gt;TRUE(),"",INDEX(Staff!$AL$5:$AL$154,MATCH($A51,Staff!$BR$5:$BR$154,0)))</f>
        <v/>
      </c>
      <c r="D51" s="0" t="str">
        <f aca="false">IF(B51&lt;&gt;TRUE(),"",INDEX(Staff!$AM$5:$AM$154,MATCH($A51,Staff!$BR$5:$BR$154,0)))</f>
        <v/>
      </c>
      <c r="E51" s="20" t="str">
        <f aca="false">IF(B51&lt;&gt;TRUE(),"",INDEX(Staff!$AO$5:$AO$154,MATCH($A51,Staff!$BR$5:$BR$154,0)))</f>
        <v/>
      </c>
      <c r="F51" s="20" t="str">
        <f aca="false">IF(B51&lt;&gt;TRUE(),"",INDEX(Staff!$AP$5:$AP$154,MATCH($A51,Staff!$BR$5:$BR$154,0)))</f>
        <v/>
      </c>
      <c r="G51" s="0" t="str">
        <f aca="false">IF(B51&lt;&gt;TRUE(),"",INDEX(Staff!$AT$5:$AT$154,MATCH($A51,Staff!$BR$5:$BR$154,0)))</f>
        <v/>
      </c>
      <c r="H51" s="0" t="str">
        <f aca="false">IF(B51&lt;&gt;TRUE(),"",INDEX(Staff!$AU$5:$AU$154,MATCH($A51,Staff!$BR$5:$BR$154,0)))</f>
        <v/>
      </c>
      <c r="I51" s="0" t="str">
        <f aca="false">IF(B51&lt;&gt;TRUE(),"",INDEX(Staff!$AV$5:$AV$154,MATCH($A51,Staff!$BR$5:$BR$154,0)))</f>
        <v/>
      </c>
      <c r="J51" s="0" t="str">
        <f aca="false">IF(B51&lt;&gt;TRUE(),"",INDEX(Staff!$AW$5:$AW$154,MATCH($A51,Staff!$BR$5:$BR$154,0)))</f>
        <v/>
      </c>
      <c r="K51" s="33" t="s">
        <v>262</v>
      </c>
      <c r="L51" s="20" t="str">
        <f aca="false">IF($C51="","",EDATE($C51,Milestones!$AA$20))</f>
        <v/>
      </c>
      <c r="M51" s="20" t="str">
        <f aca="false">IF($C51="","",EDATE($C51,Milestones!$AA$21))</f>
        <v/>
      </c>
      <c r="N51" s="20" t="str">
        <f aca="false">IF($C51="","",EDATE($C51,Milestones!$AA$22))</f>
        <v/>
      </c>
      <c r="O51" s="20" t="str">
        <f aca="false">IF($C51="","",EDATE($C51,Milestones!$AA$23))</f>
        <v/>
      </c>
      <c r="P51" s="20" t="str">
        <f aca="false">IF($C51="","",EDATE($C51,Milestones!$AA$24))</f>
        <v/>
      </c>
      <c r="Q51" s="20" t="str">
        <f aca="false">IF($C51="","",EDATE($C51,Milestones!$AA$25))</f>
        <v/>
      </c>
      <c r="R51" s="20" t="str">
        <f aca="false">IF($C51="","",EDATE($C51,Milestones!$AA$26))</f>
        <v/>
      </c>
      <c r="S51" s="20" t="str">
        <f aca="false">IF($C51="","",EDATE($C51,Milestones!$AA$27))</f>
        <v/>
      </c>
      <c r="T51" s="20" t="str">
        <f aca="false">IF($C51="","",EDATE($C51,Milestones!$AA$28))</f>
        <v/>
      </c>
      <c r="U51" s="20" t="str">
        <f aca="false">IF($C51="","",EDATE($C51,Milestones!$AA$29))</f>
        <v/>
      </c>
      <c r="V51" s="20" t="str">
        <f aca="false">IF($C51="","",EDATE($C51,Milestones!$AA$30))</f>
        <v/>
      </c>
      <c r="W51" s="20" t="str">
        <f aca="false">IF($C51="","",EDATE($C51,Milestones!$AA$31))</f>
        <v/>
      </c>
      <c r="X51" s="20" t="str">
        <f aca="false">IF($C51="","",EDATE($C51,Milestones!$AA$32))</f>
        <v/>
      </c>
      <c r="Y51" s="20" t="str">
        <f aca="false">IF($C51="","",EDATE($C51,Milestones!$AA$33))</f>
        <v/>
      </c>
      <c r="Z51" s="20" t="str">
        <f aca="false">IF($C51="","",EDATE($C51,Milestones!$AA$34))</f>
        <v/>
      </c>
      <c r="AA51" s="20" t="str">
        <f aca="false">IF($C51="","",EDATE($C51,Milestones!$AA$35))</f>
        <v/>
      </c>
      <c r="AB51" s="20" t="str">
        <f aca="false">IF($C51="","",EDATE($C51,Milestones!$AA$36))</f>
        <v/>
      </c>
      <c r="AC51" s="20" t="str">
        <f aca="false">IF($C51="","",EDATE($C51,Milestones!$AA$37))</f>
        <v/>
      </c>
      <c r="AD51" s="20" t="str">
        <f aca="false">IF($C51="","",EDATE($C51,Milestones!$AA$38))</f>
        <v/>
      </c>
      <c r="AE51" s="20" t="str">
        <f aca="false">IF($C51="","",EDATE($C51,Milestones!$AA$39))</f>
        <v/>
      </c>
      <c r="AF51" s="20" t="str">
        <f aca="false">IF($C51="","",EDATE($C51,Milestones!$AA$40))</f>
        <v/>
      </c>
      <c r="AG51" s="20" t="str">
        <f aca="false">IF($C51="","",EDATE($C51,Milestones!$AA$41))</f>
        <v/>
      </c>
      <c r="AH51" s="20" t="str">
        <f aca="false">IF($C51="","",EDATE($C51,Milestones!$AA$42))</f>
        <v/>
      </c>
      <c r="AI51" s="20" t="str">
        <f aca="false">IF($C51="","",EDATE($C51,Milestones!$AA$43))</f>
        <v/>
      </c>
      <c r="AJ51" s="20" t="str">
        <f aca="false">IF($C51="","",EDATE($C51,Milestones!$AA$44))</f>
        <v/>
      </c>
      <c r="AK51" s="20" t="str">
        <f aca="false">IF($C51="","",EDATE($C51,Milestones!$AA$45))</f>
        <v/>
      </c>
      <c r="AL51" s="20" t="str">
        <f aca="false">IF($C51="","",EDATE($C51,Milestones!$AA$46))</f>
        <v/>
      </c>
      <c r="AM51" s="20" t="str">
        <f aca="false">IF($C51="","",EDATE($C51,Milestones!$AA$47))</f>
        <v/>
      </c>
      <c r="AN51" s="20" t="str">
        <f aca="false">IF($C51="","",EDATE($C51,Milestones!$AA$48))</f>
        <v/>
      </c>
      <c r="AO51" s="20" t="str">
        <f aca="false">IF($C51="","",EDATE($C51,Milestones!$AA$49))</f>
        <v/>
      </c>
      <c r="AP51" s="20" t="str">
        <f aca="false">IF($C51="","",EDATE($C51,Milestones!$AA$50))</f>
        <v/>
      </c>
      <c r="AQ51" s="20" t="str">
        <f aca="false">IF($C51="","",EDATE($C51,Milestones!$AA$51))</f>
        <v/>
      </c>
      <c r="AR51" s="20" t="str">
        <f aca="false">IF($C51="","",EDATE($C51,Milestones!$AA$52))</f>
        <v/>
      </c>
      <c r="AS51" s="20" t="str">
        <f aca="false">IF($C51="","",EDATE($C51,Milestones!$AA$53))</f>
        <v/>
      </c>
      <c r="AT51" s="20" t="str">
        <f aca="false">IF($C51="","",EDATE($C51,Milestones!$AA$54))</f>
        <v/>
      </c>
      <c r="AU51" s="20" t="str">
        <f aca="false">IF($C51="","",EDATE($C51,Milestones!$AA$55))</f>
        <v/>
      </c>
      <c r="AV51" s="20" t="str">
        <f aca="false">IF($C51="","",EDATE($C51,Milestones!$AA$56))</f>
        <v/>
      </c>
      <c r="AW51" s="20" t="str">
        <f aca="false">IF($C51="","",EDATE($C51,Milestones!$AA$57))</f>
        <v/>
      </c>
      <c r="AX51" s="20" t="str">
        <f aca="false">IF($C51="","",EDATE($C51,Milestones!$AA$58))</f>
        <v/>
      </c>
      <c r="AY51" s="20" t="str">
        <f aca="false">IF($C51="","",EDATE($C51,Milestones!$AA$59))</f>
        <v/>
      </c>
      <c r="AZ51" s="20" t="str">
        <f aca="false">IF($C51="","",EDATE($C51,Milestones!$AA$60))</f>
        <v/>
      </c>
      <c r="BA51" s="20" t="str">
        <f aca="false">IF($C51="","",EDATE($C51,Milestones!$AA$61))</f>
        <v/>
      </c>
      <c r="BB51" s="20" t="str">
        <f aca="false">IF($C51="","",EDATE($C51,Milestones!$AA$62))</f>
        <v/>
      </c>
      <c r="BC51" s="20" t="str">
        <f aca="false">IF($C51="","",EDATE($C51,Milestones!$AA$63))</f>
        <v/>
      </c>
      <c r="BD51" s="20" t="str">
        <f aca="false">IF($C51="","",EDATE($C51,Milestones!$AA$64))</f>
        <v/>
      </c>
      <c r="BE51" s="20" t="str">
        <f aca="false">IF($C51="","",EDATE($C51,Milestones!$AA$65))</f>
        <v/>
      </c>
      <c r="BF51" s="20" t="str">
        <f aca="false">IF($C51="","",EDATE($C51,Milestones!$AA$66))</f>
        <v/>
      </c>
      <c r="BG51" s="20" t="str">
        <f aca="false">IF($C51="","",EDATE($C51,Milestones!$AA$67))</f>
        <v/>
      </c>
      <c r="BH51" s="20" t="str">
        <f aca="false">IF($C51="","",EDATE($C51,Milestones!$AA$68))</f>
        <v/>
      </c>
      <c r="BI51" s="20" t="str">
        <f aca="false">IF($C51="","",EDATE($C51,Milestones!$AA$69))</f>
        <v/>
      </c>
      <c r="BJ51" s="20" t="str">
        <f aca="false">IF($C51="","",EDATE($C51,Milestones!$AA$70))</f>
        <v/>
      </c>
      <c r="BK51" s="20" t="str">
        <f aca="false">IF($C51="","",EDATE($C51,Milestones!$AA$71))</f>
        <v/>
      </c>
      <c r="BL51" s="20" t="str">
        <f aca="false">IF($C51="","",EDATE($C51,Milestones!$AA$72))</f>
        <v/>
      </c>
      <c r="BM51" s="20" t="str">
        <f aca="false">IF($C51="","",EDATE($C51,Milestones!$AA$73))</f>
        <v/>
      </c>
      <c r="BN51" s="20" t="str">
        <f aca="false">IF($C51="","",EDATE($C51,Milestones!$AA$74))</f>
        <v/>
      </c>
      <c r="BO51" s="20" t="str">
        <f aca="false">IF($C51="","",EDATE($C51,Milestones!$AA$75))</f>
        <v/>
      </c>
      <c r="BP51" s="20" t="str">
        <f aca="false">IF($C51="","",EDATE($C51,Milestones!$AA$76))</f>
        <v/>
      </c>
      <c r="BQ51" s="20" t="str">
        <f aca="false">IF($C51="","",EDATE($C51,Milestones!$AA$77))</f>
        <v/>
      </c>
      <c r="BR51" s="20" t="str">
        <f aca="false">IF($C51="","",EDATE($C51,Milestones!$AA$78))</f>
        <v/>
      </c>
      <c r="BS51" s="20" t="str">
        <f aca="false">IF($C51="","",EDATE($C51,Milestones!$AA$79))</f>
        <v/>
      </c>
      <c r="BT51" s="20" t="str">
        <f aca="false">IF($C51="","",EDATE($C51,Milestones!$AA$80))</f>
        <v/>
      </c>
      <c r="BU51" s="20" t="str">
        <f aca="false">IF($C51="","",EDATE($C51,Milestones!$AA$81))</f>
        <v/>
      </c>
      <c r="BV51" s="20" t="str">
        <f aca="false">IF($C51="","",EDATE($C51,Milestones!$AA$82))</f>
        <v/>
      </c>
      <c r="BW51" s="20" t="str">
        <f aca="false">IF($C51="","",EDATE($C51,Milestones!$AA$83))</f>
        <v/>
      </c>
      <c r="BX51" s="20" t="str">
        <f aca="false">IF($C51="","",EDATE($C51,Milestones!$AA$84))</f>
        <v/>
      </c>
      <c r="BY51" s="20" t="str">
        <f aca="false">IF($C51="","",EDATE($C51,Milestones!$AA$85))</f>
        <v/>
      </c>
      <c r="BZ51" s="20" t="str">
        <f aca="false">IF($C51="","",EDATE($C51,Milestones!$AA$86))</f>
        <v/>
      </c>
      <c r="CA51" s="20" t="str">
        <f aca="false">IF($C51="","",EDATE($C51,Milestones!$AA$87))</f>
        <v/>
      </c>
      <c r="CB51" s="20" t="str">
        <f aca="false">IF($C51="","",EDATE($C51,Milestones!$AA$88))</f>
        <v/>
      </c>
      <c r="CC51" s="20" t="str">
        <f aca="false">IF($C51="","",EDATE($C51,Milestones!$AA$89))</f>
        <v/>
      </c>
      <c r="CD51" s="20" t="str">
        <f aca="false">IF($C51="","",EDATE($C51,Milestones!$AA$90))</f>
        <v/>
      </c>
      <c r="CE51" s="20" t="str">
        <f aca="false">IF($C51="","",EDATE($C51,Milestones!$AA$91))</f>
        <v/>
      </c>
      <c r="CF51" s="20" t="str">
        <f aca="false">IF($C51="","",EDATE($C51,Milestones!$AA$92))</f>
        <v/>
      </c>
      <c r="CG51" s="20" t="str">
        <f aca="false">IF($C51="","",EDATE($C51,Milestones!$AA$93))</f>
        <v/>
      </c>
      <c r="CH51" s="20" t="str">
        <f aca="false">IF($C51="","",EDATE($C51,Milestones!$AA$94))</f>
        <v/>
      </c>
      <c r="CI51" s="20" t="str">
        <f aca="false">IF($C51="","",EDATE($C51,Milestones!$AA$95))</f>
        <v/>
      </c>
      <c r="CJ51" s="20" t="str">
        <f aca="false">IF($C51="","",EDATE($C51,Milestones!$AA$96))</f>
        <v/>
      </c>
      <c r="CK51" s="20" t="str">
        <f aca="false">IF($C51="","",EDATE($C51,Milestones!$AA$97))</f>
        <v/>
      </c>
      <c r="CL51" s="20" t="str">
        <f aca="false">IF($C51="","",EDATE($C51,Milestones!$AA$98))</f>
        <v/>
      </c>
      <c r="CM51" s="20" t="str">
        <f aca="false">IF($C51="","",EDATE($C51,Milestones!$AA$99))</f>
        <v/>
      </c>
      <c r="CN51" s="20" t="str">
        <f aca="false">IF($C51="","",EDATE($C51,Milestones!$AA$100))</f>
        <v/>
      </c>
      <c r="CO51" s="20" t="str">
        <f aca="false">IF($C51="","",EDATE($C51,Milestones!$AA$101))</f>
        <v/>
      </c>
      <c r="CP51" s="20" t="str">
        <f aca="false">IF($C51="","",EDATE($C51,Milestones!$AA$102))</f>
        <v/>
      </c>
      <c r="CQ51" s="20" t="str">
        <f aca="false">IF($C51="","",EDATE($C51,Milestones!$AA$103))</f>
        <v/>
      </c>
      <c r="CR51" s="20" t="str">
        <f aca="false">IF($C51="","",EDATE($C51,Milestones!$AA$104))</f>
        <v/>
      </c>
      <c r="CS51" s="20" t="str">
        <f aca="false">IF($C51="","",EDATE($C51,Milestones!$AA$105))</f>
        <v/>
      </c>
      <c r="CT51" s="20" t="str">
        <f aca="false">IF($C51="","",EDATE($C51,Milestones!$AA$106))</f>
        <v/>
      </c>
      <c r="CU51" s="20" t="str">
        <f aca="false">IF($C51="","",EDATE($C51,Milestones!$AA$107))</f>
        <v/>
      </c>
      <c r="CV51" s="20" t="str">
        <f aca="false">IF($C51="","",EDATE($C51,Milestones!$AA$108))</f>
        <v/>
      </c>
      <c r="CW51" s="20" t="str">
        <f aca="false">IF($C51="","",EDATE($C51,Milestones!$AA$109))</f>
        <v/>
      </c>
      <c r="CX51" s="20" t="str">
        <f aca="false">IF($C51="","",EDATE($C51,Milestones!$AA$110))</f>
        <v/>
      </c>
      <c r="CY51" s="20" t="str">
        <f aca="false">IF($C51="","",EDATE($C51,Milestones!$AA$111))</f>
        <v/>
      </c>
      <c r="CZ51" s="20" t="str">
        <f aca="false">IF($C51="","",EDATE($C51,Milestones!$AA$112))</f>
        <v/>
      </c>
      <c r="DA51" s="20" t="str">
        <f aca="false">IF($C51="","",EDATE($C51,Milestones!$AA$113))</f>
        <v/>
      </c>
      <c r="DB51" s="20" t="str">
        <f aca="false">IF($C51="","",EDATE($C51,Milestones!$AA$114))</f>
        <v/>
      </c>
      <c r="DC51" s="20" t="str">
        <f aca="false">IF($C51="","",EDATE($C51,Milestones!$AA$115))</f>
        <v/>
      </c>
      <c r="DD51" s="20" t="str">
        <f aca="false">IF($C51="","",EDATE($C51,Milestones!$AA$116))</f>
        <v/>
      </c>
      <c r="DE51" s="20" t="str">
        <f aca="false">IF($C51="","",EDATE($C51,Milestones!$AA$117))</f>
        <v/>
      </c>
      <c r="DF51" s="20" t="str">
        <f aca="false">IF($C51="","",EDATE($C51,Milestones!$AA$118))</f>
        <v/>
      </c>
      <c r="DG51" s="20" t="str">
        <f aca="false">IF($C51="","",EDATE($C51,Milestones!$AA$119))</f>
        <v/>
      </c>
      <c r="DH51" s="20" t="str">
        <f aca="false">IF($C51="","",EDATE($C51,Milestones!$AA$120))</f>
        <v/>
      </c>
      <c r="DI51" s="20" t="str">
        <f aca="false">IF($C51="","",EDATE($C51,Milestones!$AA$121))</f>
        <v/>
      </c>
      <c r="DJ51" s="20" t="str">
        <f aca="false">IF($C51="","",EDATE($C51,Milestones!$AA$122))</f>
        <v/>
      </c>
      <c r="DK51" s="20" t="str">
        <f aca="false">IF($C51="","",EDATE($C51,Milestones!$AA$123))</f>
        <v/>
      </c>
      <c r="DL51" s="20" t="str">
        <f aca="false">IF($C51="","",EDATE($C51,Milestones!$AA$124))</f>
        <v/>
      </c>
      <c r="DM51" s="20" t="str">
        <f aca="false">IF($C51="","",EDATE($C51,Milestones!$AA$125))</f>
        <v/>
      </c>
      <c r="DN51" s="20" t="str">
        <f aca="false">IF($C51="","",EDATE($C51,Milestones!$AA$126))</f>
        <v/>
      </c>
      <c r="DO51" s="20" t="str">
        <f aca="false">IF($C51="","",EDATE($C51,Milestones!$AA$127))</f>
        <v/>
      </c>
      <c r="DP51" s="20" t="str">
        <f aca="false">IF($C51="","",EDATE($C51,Milestones!$AA$128))</f>
        <v/>
      </c>
      <c r="DQ51" s="20" t="str">
        <f aca="false">IF($C51="","",EDATE($C51,Milestones!$AA$129))</f>
        <v/>
      </c>
      <c r="DR51" s="20" t="str">
        <f aca="false">IF($C51="","",EDATE($C51,Milestones!$AA$130))</f>
        <v/>
      </c>
      <c r="DS51" s="20" t="str">
        <f aca="false">IF($C51="","",EDATE($C51,Milestones!$AA$131))</f>
        <v/>
      </c>
      <c r="DT51" s="20" t="str">
        <f aca="false">IF($C51="","",EDATE($C51,Milestones!$AA$132))</f>
        <v/>
      </c>
      <c r="DU51" s="20" t="str">
        <f aca="false">IF($C51="","",EDATE($C51,Milestones!$AA$133))</f>
        <v/>
      </c>
      <c r="DV51" s="20" t="str">
        <f aca="false">IF($C51="","",EDATE($C51,Milestones!$AA$134))</f>
        <v/>
      </c>
      <c r="DW51" s="20" t="str">
        <f aca="false">IF($C51="","",EDATE($C51,Milestones!$AA$135))</f>
        <v/>
      </c>
      <c r="DX51" s="20" t="str">
        <f aca="false">IF($C51="","",EDATE($C51,Milestones!$AA$136))</f>
        <v/>
      </c>
      <c r="DY51" s="20" t="str">
        <f aca="false">IF($C51="","",EDATE($C51,Milestones!$AA$137))</f>
        <v/>
      </c>
      <c r="DZ51" s="20" t="str">
        <f aca="false">IF($C51="","",EDATE($C51,Milestones!$AA$138))</f>
        <v/>
      </c>
      <c r="EA51" s="20" t="str">
        <f aca="false">IF($C51="","",EDATE($C51,Milestones!$AA$139))</f>
        <v/>
      </c>
      <c r="EB51" s="20" t="str">
        <f aca="false">IF($C51="","",EDATE($C51,Milestones!$AA$140))</f>
        <v/>
      </c>
      <c r="EC51" s="20" t="str">
        <f aca="false">IF($C51="","",EDATE($C51,Milestones!$AA$141))</f>
        <v/>
      </c>
      <c r="ED51" s="20" t="str">
        <f aca="false">IF($C51="","",EDATE($C51,Milestones!$AA$142))</f>
        <v/>
      </c>
      <c r="EE51" s="20" t="str">
        <f aca="false">IF($C51="","",EDATE($C51,Milestones!$AA$143))</f>
        <v/>
      </c>
      <c r="EF51" s="20" t="str">
        <f aca="false">IF($C51="","",EDATE($C51,Milestones!$AA$144))</f>
        <v/>
      </c>
      <c r="EG51" s="20" t="str">
        <f aca="false">IF($C51="","",EDATE($C51,Milestones!$AA$145))</f>
        <v/>
      </c>
      <c r="EH51" s="20" t="str">
        <f aca="false">IF($C51="","",EDATE($C51,Milestones!$AA$146))</f>
        <v/>
      </c>
      <c r="EI51" s="20" t="str">
        <f aca="false">IF($C51="","",EDATE($C51,Milestones!$AA$147))</f>
        <v/>
      </c>
      <c r="EJ51" s="20" t="str">
        <f aca="false">IF($C51="","",EDATE($C51,Milestones!$AA$148))</f>
        <v/>
      </c>
      <c r="EK51" s="20" t="str">
        <f aca="false">IF($C51="","",EDATE($C51,Milestones!$AA$149))</f>
        <v/>
      </c>
      <c r="EL51" s="20" t="str">
        <f aca="false">IF($C51="","",EDATE($C51,Milestones!$AA$150))</f>
        <v/>
      </c>
      <c r="EM51" s="20" t="str">
        <f aca="false">IF($C51="","",EDATE($C51,Milestones!$AA$151))</f>
        <v/>
      </c>
      <c r="EN51" s="20" t="str">
        <f aca="false">IF($C51="","",EDATE($C51,Milestones!$AA$152))</f>
        <v/>
      </c>
      <c r="EO51" s="20" t="str">
        <f aca="false">IF($C51="","",EDATE($C51,Milestones!$AA$153))</f>
        <v/>
      </c>
      <c r="EP51" s="20" t="str">
        <f aca="false">IF($C51="","",EDATE($C51,Milestones!$AA$154))</f>
        <v/>
      </c>
      <c r="EQ51" s="20" t="str">
        <f aca="false">IF($C51="","",EDATE($C51,Milestones!$AA$155))</f>
        <v/>
      </c>
      <c r="ER51" s="20" t="str">
        <f aca="false">IF($C51="","",EDATE($C51,Milestones!$AA$156))</f>
        <v/>
      </c>
      <c r="ES51" s="20" t="str">
        <f aca="false">IF($C51="","",EDATE($C51,Milestones!$AA$157))</f>
        <v/>
      </c>
      <c r="ET51" s="20" t="str">
        <f aca="false">IF($C51="","",EDATE($C51,Milestones!$AA$158))</f>
        <v/>
      </c>
      <c r="EU51" s="20" t="str">
        <f aca="false">IF($C51="","",EDATE($C51,Milestones!$AA$159))</f>
        <v/>
      </c>
      <c r="EV51" s="20" t="str">
        <f aca="false">IF($C51="","",EDATE($C51,Milestones!$AA$160))</f>
        <v/>
      </c>
      <c r="EW51" s="20" t="str">
        <f aca="false">IF($C51="","",EDATE($C51,Milestones!$AA$161))</f>
        <v/>
      </c>
      <c r="EX51" s="20" t="str">
        <f aca="false">IF($C51="","",EDATE($C51,Milestones!$AA$162))</f>
        <v/>
      </c>
      <c r="EY51" s="20" t="str">
        <f aca="false">IF($C51="","",EDATE($C51,Milestones!$AA$163))</f>
        <v/>
      </c>
      <c r="EZ51" s="20" t="str">
        <f aca="false">IF($C51="","",EDATE($C51,Milestones!$AA$164))</f>
        <v/>
      </c>
      <c r="FA51" s="20" t="str">
        <f aca="false">IF($C51="","",EDATE($C51,Milestones!$AA$165))</f>
        <v/>
      </c>
      <c r="FB51" s="20" t="str">
        <f aca="false">IF($C51="","",EDATE($C51,Milestones!$AA$166))</f>
        <v/>
      </c>
      <c r="FC51" s="20" t="str">
        <f aca="false">IF($C51="","",EDATE($C51,Milestones!$AA$167))</f>
        <v/>
      </c>
      <c r="FD51" s="20" t="str">
        <f aca="false">IF($C51="","",EDATE($C51,Milestones!$AA$168))</f>
        <v/>
      </c>
      <c r="FE51" s="20" t="str">
        <f aca="false">IF($C51="","",EDATE($C51,Milestones!$AA$169))</f>
        <v/>
      </c>
      <c r="FF51" s="20" t="str">
        <f aca="false">IF($C51="","",EDATE($C51,Milestones!$AA$170))</f>
        <v/>
      </c>
      <c r="FG51" s="20" t="str">
        <f aca="false">IF($C51="","",EDATE($C51,Milestones!$AA$171))</f>
        <v/>
      </c>
      <c r="FH51" s="20" t="str">
        <f aca="false">IF($C51="","",EDATE($C51,Milestones!$AA$172))</f>
        <v/>
      </c>
      <c r="FI51" s="20" t="str">
        <f aca="false">IF($C51="","",EDATE($C51,Milestones!$AA$173))</f>
        <v/>
      </c>
      <c r="FJ51" s="20" t="str">
        <f aca="false">IF($C51="","",EDATE($C51,Milestones!$AA$174))</f>
        <v/>
      </c>
      <c r="FK51" s="20" t="str">
        <f aca="false">IF($C51="","",EDATE($C51,Milestones!$AA$175))</f>
        <v/>
      </c>
      <c r="FL51" s="20" t="str">
        <f aca="false">IF($C51="","",EDATE($C51,Milestones!$AA$176))</f>
        <v/>
      </c>
      <c r="FM51" s="20" t="str">
        <f aca="false">IF($C51="","",EDATE($C51,Milestones!$AA$177))</f>
        <v/>
      </c>
      <c r="FN51" s="20" t="str">
        <f aca="false">IF($C51="","",EDATE($C51,Milestones!$AA$178))</f>
        <v/>
      </c>
      <c r="FO51" s="20" t="str">
        <f aca="false">IF($C51="","",EDATE($C51,Milestones!$AA$179))</f>
        <v/>
      </c>
      <c r="FP51" s="20" t="str">
        <f aca="false">IF($C51="","",EDATE($C51,Milestones!$AA$180))</f>
        <v/>
      </c>
      <c r="FQ51" s="20" t="str">
        <f aca="false">IF($C51="","",EDATE($C51,Milestones!$AA$181))</f>
        <v/>
      </c>
      <c r="FR51" s="20" t="str">
        <f aca="false">IF($C51="","",EDATE($C51,Milestones!$AA$182))</f>
        <v/>
      </c>
      <c r="FS51" s="20" t="str">
        <f aca="false">IF($C51="","",EDATE($C51,Milestones!$AA$183))</f>
        <v/>
      </c>
      <c r="FT51" s="20" t="str">
        <f aca="false">IF($C51="","",EDATE($C51,Milestones!$AA$184))</f>
        <v/>
      </c>
      <c r="FU51" s="20" t="str">
        <f aca="false">IF($C51="","",EDATE($C51,Milestones!$AA$185))</f>
        <v/>
      </c>
      <c r="FV51" s="20" t="str">
        <f aca="false">IF($C51="","",EDATE($C51,Milestones!$AA$186))</f>
        <v/>
      </c>
      <c r="FW51" s="20" t="str">
        <f aca="false">IF($C51="","",EDATE($C51,Milestones!$AA$187))</f>
        <v/>
      </c>
      <c r="FX51" s="20" t="str">
        <f aca="false">IF($C51="","",EDATE($C51,Milestones!$AA$188))</f>
        <v/>
      </c>
      <c r="FY51" s="20" t="str">
        <f aca="false">IF($C51="","",EDATE($C51,Milestones!$AA$189))</f>
        <v/>
      </c>
      <c r="FZ51" s="20" t="str">
        <f aca="false">IF($C51="","",EDATE($C51,Milestones!$AA$190))</f>
        <v/>
      </c>
      <c r="GA51" s="20" t="str">
        <f aca="false">IF($C51="","",EDATE($C51,Milestones!$AA$191))</f>
        <v/>
      </c>
      <c r="GB51" s="20" t="str">
        <f aca="false">IF($C51="","",EDATE($C51,Milestones!$AA$192))</f>
        <v/>
      </c>
      <c r="GC51" s="20" t="str">
        <f aca="false">IF($C51="","",EDATE($C51,Milestones!$AA$193))</f>
        <v/>
      </c>
      <c r="GD51" s="20" t="str">
        <f aca="false">IF($C51="","",EDATE($C51,Milestones!$AA$194))</f>
        <v/>
      </c>
      <c r="GE51" s="20" t="str">
        <f aca="false">IF($C51="","",EDATE($C51,Milestones!$AA$195))</f>
        <v/>
      </c>
      <c r="GF51" s="20" t="str">
        <f aca="false">IF($C51="","",EDATE($C51,Milestones!$AA$196))</f>
        <v/>
      </c>
      <c r="GG51" s="20" t="str">
        <f aca="false">IF($C51="","",EDATE($C51,Milestones!$AA$197))</f>
        <v/>
      </c>
      <c r="GH51" s="20" t="str">
        <f aca="false">IF($C51="","",EDATE($C51,Milestones!$AA$198))</f>
        <v/>
      </c>
      <c r="GI51" s="20" t="str">
        <f aca="false">IF($C51="","",EDATE($C51,Milestones!$AA$199))</f>
        <v/>
      </c>
    </row>
    <row r="52" customFormat="false" ht="15" hidden="false" customHeight="false" outlineLevel="0" collapsed="false">
      <c r="K52" s="0" t="s">
        <v>263</v>
      </c>
      <c r="L52" s="0" t="str">
        <f aca="false">IF(L51="","",IF($D51=0,$J51,IF(AND($F51&lt;&gt;"",L51&gt;=$F51),$I51,IF(AND($E51&lt;&gt;"",L51&gt;=$E51),$H51,$G51))))</f>
        <v/>
      </c>
      <c r="M52" s="0" t="str">
        <f aca="false">IF(M51="","",IF($D51=0,$J51,IF(AND($F51&lt;&gt;"",M51&gt;=$F51),$I51,IF(AND($E51&lt;&gt;"",M51&gt;=$E51),$H51,$G51))))</f>
        <v/>
      </c>
      <c r="N52" s="0" t="str">
        <f aca="false">IF(N51="","",IF($D51=0,$J51,IF(AND($F51&lt;&gt;"",N51&gt;=$F51),$I51,IF(AND($E51&lt;&gt;"",N51&gt;=$E51),$H51,$G51))))</f>
        <v/>
      </c>
      <c r="O52" s="0" t="str">
        <f aca="false">IF(O51="","",IF($D51=0,$J51,IF(AND($F51&lt;&gt;"",O51&gt;=$F51),$I51,IF(AND($E51&lt;&gt;"",O51&gt;=$E51),$H51,$G51))))</f>
        <v/>
      </c>
      <c r="P52" s="0" t="str">
        <f aca="false">IF(P51="","",IF($D51=0,$J51,IF(AND($F51&lt;&gt;"",P51&gt;=$F51),$I51,IF(AND($E51&lt;&gt;"",P51&gt;=$E51),$H51,$G51))))</f>
        <v/>
      </c>
      <c r="Q52" s="0" t="str">
        <f aca="false">IF(Q51="","",IF($D51=0,$J51,IF(AND($F51&lt;&gt;"",Q51&gt;=$F51),$I51,IF(AND($E51&lt;&gt;"",Q51&gt;=$E51),$H51,$G51))))</f>
        <v/>
      </c>
      <c r="R52" s="0" t="str">
        <f aca="false">IF(R51="","",IF($D51=0,$J51,IF(AND($F51&lt;&gt;"",R51&gt;=$F51),$I51,IF(AND($E51&lt;&gt;"",R51&gt;=$E51),$H51,$G51))))</f>
        <v/>
      </c>
      <c r="S52" s="0" t="str">
        <f aca="false">IF(S51="","",IF($D51=0,$J51,IF(AND($F51&lt;&gt;"",S51&gt;=$F51),$I51,IF(AND($E51&lt;&gt;"",S51&gt;=$E51),$H51,$G51))))</f>
        <v/>
      </c>
      <c r="T52" s="0" t="str">
        <f aca="false">IF(T51="","",IF($D51=0,$J51,IF(AND($F51&lt;&gt;"",T51&gt;=$F51),$I51,IF(AND($E51&lt;&gt;"",T51&gt;=$E51),$H51,$G51))))</f>
        <v/>
      </c>
      <c r="U52" s="0" t="str">
        <f aca="false">IF(U51="","",IF($D51=0,$J51,IF(AND($F51&lt;&gt;"",U51&gt;=$F51),$I51,IF(AND($E51&lt;&gt;"",U51&gt;=$E51),$H51,$G51))))</f>
        <v/>
      </c>
      <c r="V52" s="0" t="str">
        <f aca="false">IF(V51="","",IF($D51=0,$J51,IF(AND($F51&lt;&gt;"",V51&gt;=$F51),$I51,IF(AND($E51&lt;&gt;"",V51&gt;=$E51),$H51,$G51))))</f>
        <v/>
      </c>
      <c r="W52" s="0" t="str">
        <f aca="false">IF(W51="","",IF($D51=0,$J51,IF(AND($F51&lt;&gt;"",W51&gt;=$F51),$I51,IF(AND($E51&lt;&gt;"",W51&gt;=$E51),$H51,$G51))))</f>
        <v/>
      </c>
      <c r="X52" s="0" t="str">
        <f aca="false">IF(X51="","",IF($D51=0,$J51,IF(AND($F51&lt;&gt;"",X51&gt;=$F51),$I51,IF(AND($E51&lt;&gt;"",X51&gt;=$E51),$H51,$G51))))</f>
        <v/>
      </c>
      <c r="Y52" s="0" t="str">
        <f aca="false">IF(Y51="","",IF($D51=0,$J51,IF(AND($F51&lt;&gt;"",Y51&gt;=$F51),$I51,IF(AND($E51&lt;&gt;"",Y51&gt;=$E51),$H51,$G51))))</f>
        <v/>
      </c>
      <c r="Z52" s="0" t="str">
        <f aca="false">IF(Z51="","",IF($D51=0,$J51,IF(AND($F51&lt;&gt;"",Z51&gt;=$F51),$I51,IF(AND($E51&lt;&gt;"",Z51&gt;=$E51),$H51,$G51))))</f>
        <v/>
      </c>
      <c r="AA52" s="0" t="str">
        <f aca="false">IF(AA51="","",IF($D51=0,$J51,IF(AND($F51&lt;&gt;"",AA51&gt;=$F51),$I51,IF(AND($E51&lt;&gt;"",AA51&gt;=$E51),$H51,$G51))))</f>
        <v/>
      </c>
      <c r="AB52" s="0" t="str">
        <f aca="false">IF(AB51="","",IF($D51=0,$J51,IF(AND($F51&lt;&gt;"",AB51&gt;=$F51),$I51,IF(AND($E51&lt;&gt;"",AB51&gt;=$E51),$H51,$G51))))</f>
        <v/>
      </c>
      <c r="AC52" s="0" t="str">
        <f aca="false">IF(AC51="","",IF($D51=0,$J51,IF(AND($F51&lt;&gt;"",AC51&gt;=$F51),$I51,IF(AND($E51&lt;&gt;"",AC51&gt;=$E51),$H51,$G51))))</f>
        <v/>
      </c>
      <c r="AD52" s="0" t="str">
        <f aca="false">IF(AD51="","",IF($D51=0,$J51,IF(AND($F51&lt;&gt;"",AD51&gt;=$F51),$I51,IF(AND($E51&lt;&gt;"",AD51&gt;=$E51),$H51,$G51))))</f>
        <v/>
      </c>
      <c r="AE52" s="0" t="str">
        <f aca="false">IF(AE51="","",IF($D51=0,$J51,IF(AND($F51&lt;&gt;"",AE51&gt;=$F51),$I51,IF(AND($E51&lt;&gt;"",AE51&gt;=$E51),$H51,$G51))))</f>
        <v/>
      </c>
      <c r="AF52" s="0" t="str">
        <f aca="false">IF(AF51="","",IF($D51=0,$J51,IF(AND($F51&lt;&gt;"",AF51&gt;=$F51),$I51,IF(AND($E51&lt;&gt;"",AF51&gt;=$E51),$H51,$G51))))</f>
        <v/>
      </c>
      <c r="AG52" s="0" t="str">
        <f aca="false">IF(AG51="","",IF($D51=0,$J51,IF(AND($F51&lt;&gt;"",AG51&gt;=$F51),$I51,IF(AND($E51&lt;&gt;"",AG51&gt;=$E51),$H51,$G51))))</f>
        <v/>
      </c>
      <c r="AH52" s="0" t="str">
        <f aca="false">IF(AH51="","",IF($D51=0,$J51,IF(AND($F51&lt;&gt;"",AH51&gt;=$F51),$I51,IF(AND($E51&lt;&gt;"",AH51&gt;=$E51),$H51,$G51))))</f>
        <v/>
      </c>
      <c r="AI52" s="0" t="str">
        <f aca="false">IF(AI51="","",IF($D51=0,$J51,IF(AND($F51&lt;&gt;"",AI51&gt;=$F51),$I51,IF(AND($E51&lt;&gt;"",AI51&gt;=$E51),$H51,$G51))))</f>
        <v/>
      </c>
      <c r="AJ52" s="0" t="str">
        <f aca="false">IF(AJ51="","",IF($D51=0,$J51,IF(AND($F51&lt;&gt;"",AJ51&gt;=$F51),$I51,IF(AND($E51&lt;&gt;"",AJ51&gt;=$E51),$H51,$G51))))</f>
        <v/>
      </c>
      <c r="AK52" s="0" t="str">
        <f aca="false">IF(AK51="","",IF($D51=0,$J51,IF(AND($F51&lt;&gt;"",AK51&gt;=$F51),$I51,IF(AND($E51&lt;&gt;"",AK51&gt;=$E51),$H51,$G51))))</f>
        <v/>
      </c>
      <c r="AL52" s="0" t="str">
        <f aca="false">IF(AL51="","",IF($D51=0,$J51,IF(AND($F51&lt;&gt;"",AL51&gt;=$F51),$I51,IF(AND($E51&lt;&gt;"",AL51&gt;=$E51),$H51,$G51))))</f>
        <v/>
      </c>
      <c r="AM52" s="0" t="str">
        <f aca="false">IF(AM51="","",IF($D51=0,$J51,IF(AND($F51&lt;&gt;"",AM51&gt;=$F51),$I51,IF(AND($E51&lt;&gt;"",AM51&gt;=$E51),$H51,$G51))))</f>
        <v/>
      </c>
      <c r="AN52" s="0" t="str">
        <f aca="false">IF(AN51="","",IF($D51=0,$J51,IF(AND($F51&lt;&gt;"",AN51&gt;=$F51),$I51,IF(AND($E51&lt;&gt;"",AN51&gt;=$E51),$H51,$G51))))</f>
        <v/>
      </c>
      <c r="AO52" s="0" t="str">
        <f aca="false">IF(AO51="","",IF($D51=0,$J51,IF(AND($F51&lt;&gt;"",AO51&gt;=$F51),$I51,IF(AND($E51&lt;&gt;"",AO51&gt;=$E51),$H51,$G51))))</f>
        <v/>
      </c>
      <c r="AP52" s="0" t="str">
        <f aca="false">IF(AP51="","",IF($D51=0,$J51,IF(AND($F51&lt;&gt;"",AP51&gt;=$F51),$I51,IF(AND($E51&lt;&gt;"",AP51&gt;=$E51),$H51,$G51))))</f>
        <v/>
      </c>
      <c r="AQ52" s="0" t="str">
        <f aca="false">IF(AQ51="","",IF($D51=0,$J51,IF(AND($F51&lt;&gt;"",AQ51&gt;=$F51),$I51,IF(AND($E51&lt;&gt;"",AQ51&gt;=$E51),$H51,$G51))))</f>
        <v/>
      </c>
      <c r="AR52" s="0" t="str">
        <f aca="false">IF(AR51="","",IF($D51=0,$J51,IF(AND($F51&lt;&gt;"",AR51&gt;=$F51),$I51,IF(AND($E51&lt;&gt;"",AR51&gt;=$E51),$H51,$G51))))</f>
        <v/>
      </c>
      <c r="AS52" s="0" t="str">
        <f aca="false">IF(AS51="","",IF($D51=0,$J51,IF(AND($F51&lt;&gt;"",AS51&gt;=$F51),$I51,IF(AND($E51&lt;&gt;"",AS51&gt;=$E51),$H51,$G51))))</f>
        <v/>
      </c>
      <c r="AT52" s="0" t="str">
        <f aca="false">IF(AT51="","",IF($D51=0,$J51,IF(AND($F51&lt;&gt;"",AT51&gt;=$F51),$I51,IF(AND($E51&lt;&gt;"",AT51&gt;=$E51),$H51,$G51))))</f>
        <v/>
      </c>
      <c r="AU52" s="0" t="str">
        <f aca="false">IF(AU51="","",IF($D51=0,$J51,IF(AND($F51&lt;&gt;"",AU51&gt;=$F51),$I51,IF(AND($E51&lt;&gt;"",AU51&gt;=$E51),$H51,$G51))))</f>
        <v/>
      </c>
      <c r="AV52" s="0" t="str">
        <f aca="false">IF(AV51="","",IF($D51=0,$J51,IF(AND($F51&lt;&gt;"",AV51&gt;=$F51),$I51,IF(AND($E51&lt;&gt;"",AV51&gt;=$E51),$H51,$G51))))</f>
        <v/>
      </c>
      <c r="AW52" s="0" t="str">
        <f aca="false">IF(AW51="","",IF($D51=0,$J51,IF(AND($F51&lt;&gt;"",AW51&gt;=$F51),$I51,IF(AND($E51&lt;&gt;"",AW51&gt;=$E51),$H51,$G51))))</f>
        <v/>
      </c>
      <c r="AX52" s="0" t="str">
        <f aca="false">IF(AX51="","",IF($D51=0,$J51,IF(AND($F51&lt;&gt;"",AX51&gt;=$F51),$I51,IF(AND($E51&lt;&gt;"",AX51&gt;=$E51),$H51,$G51))))</f>
        <v/>
      </c>
      <c r="AY52" s="0" t="str">
        <f aca="false">IF(AY51="","",IF($D51=0,$J51,IF(AND($F51&lt;&gt;"",AY51&gt;=$F51),$I51,IF(AND($E51&lt;&gt;"",AY51&gt;=$E51),$H51,$G51))))</f>
        <v/>
      </c>
      <c r="AZ52" s="0" t="str">
        <f aca="false">IF(AZ51="","",IF($D51=0,$J51,IF(AND($F51&lt;&gt;"",AZ51&gt;=$F51),$I51,IF(AND($E51&lt;&gt;"",AZ51&gt;=$E51),$H51,$G51))))</f>
        <v/>
      </c>
      <c r="BA52" s="0" t="str">
        <f aca="false">IF(BA51="","",IF($D51=0,$J51,IF(AND($F51&lt;&gt;"",BA51&gt;=$F51),$I51,IF(AND($E51&lt;&gt;"",BA51&gt;=$E51),$H51,$G51))))</f>
        <v/>
      </c>
      <c r="BB52" s="0" t="str">
        <f aca="false">IF(BB51="","",IF($D51=0,$J51,IF(AND($F51&lt;&gt;"",BB51&gt;=$F51),$I51,IF(AND($E51&lt;&gt;"",BB51&gt;=$E51),$H51,$G51))))</f>
        <v/>
      </c>
      <c r="BC52" s="0" t="str">
        <f aca="false">IF(BC51="","",IF($D51=0,$J51,IF(AND($F51&lt;&gt;"",BC51&gt;=$F51),$I51,IF(AND($E51&lt;&gt;"",BC51&gt;=$E51),$H51,$G51))))</f>
        <v/>
      </c>
      <c r="BD52" s="0" t="str">
        <f aca="false">IF(BD51="","",IF($D51=0,$J51,IF(AND($F51&lt;&gt;"",BD51&gt;=$F51),$I51,IF(AND($E51&lt;&gt;"",BD51&gt;=$E51),$H51,$G51))))</f>
        <v/>
      </c>
      <c r="BE52" s="0" t="str">
        <f aca="false">IF(BE51="","",IF($D51=0,$J51,IF(AND($F51&lt;&gt;"",BE51&gt;=$F51),$I51,IF(AND($E51&lt;&gt;"",BE51&gt;=$E51),$H51,$G51))))</f>
        <v/>
      </c>
      <c r="BF52" s="0" t="str">
        <f aca="false">IF(BF51="","",IF($D51=0,$J51,IF(AND($F51&lt;&gt;"",BF51&gt;=$F51),$I51,IF(AND($E51&lt;&gt;"",BF51&gt;=$E51),$H51,$G51))))</f>
        <v/>
      </c>
      <c r="BG52" s="0" t="str">
        <f aca="false">IF(BG51="","",IF($D51=0,$J51,IF(AND($F51&lt;&gt;"",BG51&gt;=$F51),$I51,IF(AND($E51&lt;&gt;"",BG51&gt;=$E51),$H51,$G51))))</f>
        <v/>
      </c>
      <c r="BH52" s="0" t="str">
        <f aca="false">IF(BH51="","",IF($D51=0,$J51,IF(AND($F51&lt;&gt;"",BH51&gt;=$F51),$I51,IF(AND($E51&lt;&gt;"",BH51&gt;=$E51),$H51,$G51))))</f>
        <v/>
      </c>
      <c r="BI52" s="0" t="str">
        <f aca="false">IF(BI51="","",IF($D51=0,$J51,IF(AND($F51&lt;&gt;"",BI51&gt;=$F51),$I51,IF(AND($E51&lt;&gt;"",BI51&gt;=$E51),$H51,$G51))))</f>
        <v/>
      </c>
      <c r="BJ52" s="0" t="str">
        <f aca="false">IF(BJ51="","",IF($D51=0,$J51,IF(AND($F51&lt;&gt;"",BJ51&gt;=$F51),$I51,IF(AND($E51&lt;&gt;"",BJ51&gt;=$E51),$H51,$G51))))</f>
        <v/>
      </c>
      <c r="BK52" s="0" t="str">
        <f aca="false">IF(BK51="","",IF($D51=0,$J51,IF(AND($F51&lt;&gt;"",BK51&gt;=$F51),$I51,IF(AND($E51&lt;&gt;"",BK51&gt;=$E51),$H51,$G51))))</f>
        <v/>
      </c>
      <c r="BL52" s="0" t="str">
        <f aca="false">IF(BL51="","",IF($D51=0,$J51,IF(AND($F51&lt;&gt;"",BL51&gt;=$F51),$I51,IF(AND($E51&lt;&gt;"",BL51&gt;=$E51),$H51,$G51))))</f>
        <v/>
      </c>
      <c r="BM52" s="0" t="str">
        <f aca="false">IF(BM51="","",IF($D51=0,$J51,IF(AND($F51&lt;&gt;"",BM51&gt;=$F51),$I51,IF(AND($E51&lt;&gt;"",BM51&gt;=$E51),$H51,$G51))))</f>
        <v/>
      </c>
      <c r="BN52" s="0" t="str">
        <f aca="false">IF(BN51="","",IF($D51=0,$J51,IF(AND($F51&lt;&gt;"",BN51&gt;=$F51),$I51,IF(AND($E51&lt;&gt;"",BN51&gt;=$E51),$H51,$G51))))</f>
        <v/>
      </c>
      <c r="BO52" s="0" t="str">
        <f aca="false">IF(BO51="","",IF($D51=0,$J51,IF(AND($F51&lt;&gt;"",BO51&gt;=$F51),$I51,IF(AND($E51&lt;&gt;"",BO51&gt;=$E51),$H51,$G51))))</f>
        <v/>
      </c>
      <c r="BP52" s="0" t="str">
        <f aca="false">IF(BP51="","",IF($D51=0,$J51,IF(AND($F51&lt;&gt;"",BP51&gt;=$F51),$I51,IF(AND($E51&lt;&gt;"",BP51&gt;=$E51),$H51,$G51))))</f>
        <v/>
      </c>
      <c r="BQ52" s="0" t="str">
        <f aca="false">IF(BQ51="","",IF($D51=0,$J51,IF(AND($F51&lt;&gt;"",BQ51&gt;=$F51),$I51,IF(AND($E51&lt;&gt;"",BQ51&gt;=$E51),$H51,$G51))))</f>
        <v/>
      </c>
      <c r="BR52" s="0" t="str">
        <f aca="false">IF(BR51="","",IF($D51=0,$J51,IF(AND($F51&lt;&gt;"",BR51&gt;=$F51),$I51,IF(AND($E51&lt;&gt;"",BR51&gt;=$E51),$H51,$G51))))</f>
        <v/>
      </c>
      <c r="BS52" s="0" t="str">
        <f aca="false">IF(BS51="","",IF($D51=0,$J51,IF(AND($F51&lt;&gt;"",BS51&gt;=$F51),$I51,IF(AND($E51&lt;&gt;"",BS51&gt;=$E51),$H51,$G51))))</f>
        <v/>
      </c>
      <c r="BT52" s="0" t="str">
        <f aca="false">IF(BT51="","",IF($D51=0,$J51,IF(AND($F51&lt;&gt;"",BT51&gt;=$F51),$I51,IF(AND($E51&lt;&gt;"",BT51&gt;=$E51),$H51,$G51))))</f>
        <v/>
      </c>
      <c r="BU52" s="0" t="str">
        <f aca="false">IF(BU51="","",IF($D51=0,$J51,IF(AND($F51&lt;&gt;"",BU51&gt;=$F51),$I51,IF(AND($E51&lt;&gt;"",BU51&gt;=$E51),$H51,$G51))))</f>
        <v/>
      </c>
      <c r="BV52" s="0" t="str">
        <f aca="false">IF(BV51="","",IF($D51=0,$J51,IF(AND($F51&lt;&gt;"",BV51&gt;=$F51),$I51,IF(AND($E51&lt;&gt;"",BV51&gt;=$E51),$H51,$G51))))</f>
        <v/>
      </c>
      <c r="BW52" s="0" t="str">
        <f aca="false">IF(BW51="","",IF($D51=0,$J51,IF(AND($F51&lt;&gt;"",BW51&gt;=$F51),$I51,IF(AND($E51&lt;&gt;"",BW51&gt;=$E51),$H51,$G51))))</f>
        <v/>
      </c>
      <c r="BX52" s="0" t="str">
        <f aca="false">IF(BX51="","",IF($D51=0,$J51,IF(AND($F51&lt;&gt;"",BX51&gt;=$F51),$I51,IF(AND($E51&lt;&gt;"",BX51&gt;=$E51),$H51,$G51))))</f>
        <v/>
      </c>
      <c r="BY52" s="0" t="str">
        <f aca="false">IF(BY51="","",IF($D51=0,$J51,IF(AND($F51&lt;&gt;"",BY51&gt;=$F51),$I51,IF(AND($E51&lt;&gt;"",BY51&gt;=$E51),$H51,$G51))))</f>
        <v/>
      </c>
      <c r="BZ52" s="0" t="str">
        <f aca="false">IF(BZ51="","",IF($D51=0,$J51,IF(AND($F51&lt;&gt;"",BZ51&gt;=$F51),$I51,IF(AND($E51&lt;&gt;"",BZ51&gt;=$E51),$H51,$G51))))</f>
        <v/>
      </c>
      <c r="CA52" s="0" t="str">
        <f aca="false">IF(CA51="","",IF($D51=0,$J51,IF(AND($F51&lt;&gt;"",CA51&gt;=$F51),$I51,IF(AND($E51&lt;&gt;"",CA51&gt;=$E51),$H51,$G51))))</f>
        <v/>
      </c>
      <c r="CB52" s="0" t="str">
        <f aca="false">IF(CB51="","",IF($D51=0,$J51,IF(AND($F51&lt;&gt;"",CB51&gt;=$F51),$I51,IF(AND($E51&lt;&gt;"",CB51&gt;=$E51),$H51,$G51))))</f>
        <v/>
      </c>
      <c r="CC52" s="0" t="str">
        <f aca="false">IF(CC51="","",IF($D51=0,$J51,IF(AND($F51&lt;&gt;"",CC51&gt;=$F51),$I51,IF(AND($E51&lt;&gt;"",CC51&gt;=$E51),$H51,$G51))))</f>
        <v/>
      </c>
      <c r="CD52" s="0" t="str">
        <f aca="false">IF(CD51="","",IF($D51=0,$J51,IF(AND($F51&lt;&gt;"",CD51&gt;=$F51),$I51,IF(AND($E51&lt;&gt;"",CD51&gt;=$E51),$H51,$G51))))</f>
        <v/>
      </c>
      <c r="CE52" s="0" t="str">
        <f aca="false">IF(CE51="","",IF($D51=0,$J51,IF(AND($F51&lt;&gt;"",CE51&gt;=$F51),$I51,IF(AND($E51&lt;&gt;"",CE51&gt;=$E51),$H51,$G51))))</f>
        <v/>
      </c>
      <c r="CF52" s="0" t="str">
        <f aca="false">IF(CF51="","",IF($D51=0,$J51,IF(AND($F51&lt;&gt;"",CF51&gt;=$F51),$I51,IF(AND($E51&lt;&gt;"",CF51&gt;=$E51),$H51,$G51))))</f>
        <v/>
      </c>
      <c r="CG52" s="0" t="str">
        <f aca="false">IF(CG51="","",IF($D51=0,$J51,IF(AND($F51&lt;&gt;"",CG51&gt;=$F51),$I51,IF(AND($E51&lt;&gt;"",CG51&gt;=$E51),$H51,$G51))))</f>
        <v/>
      </c>
      <c r="CH52" s="0" t="str">
        <f aca="false">IF(CH51="","",IF($D51=0,$J51,IF(AND($F51&lt;&gt;"",CH51&gt;=$F51),$I51,IF(AND($E51&lt;&gt;"",CH51&gt;=$E51),$H51,$G51))))</f>
        <v/>
      </c>
      <c r="CI52" s="0" t="str">
        <f aca="false">IF(CI51="","",IF($D51=0,$J51,IF(AND($F51&lt;&gt;"",CI51&gt;=$F51),$I51,IF(AND($E51&lt;&gt;"",CI51&gt;=$E51),$H51,$G51))))</f>
        <v/>
      </c>
      <c r="CJ52" s="0" t="str">
        <f aca="false">IF(CJ51="","",IF($D51=0,$J51,IF(AND($F51&lt;&gt;"",CJ51&gt;=$F51),$I51,IF(AND($E51&lt;&gt;"",CJ51&gt;=$E51),$H51,$G51))))</f>
        <v/>
      </c>
      <c r="CK52" s="0" t="str">
        <f aca="false">IF(CK51="","",IF($D51=0,$J51,IF(AND($F51&lt;&gt;"",CK51&gt;=$F51),$I51,IF(AND($E51&lt;&gt;"",CK51&gt;=$E51),$H51,$G51))))</f>
        <v/>
      </c>
      <c r="CL52" s="0" t="str">
        <f aca="false">IF(CL51="","",IF($D51=0,$J51,IF(AND($F51&lt;&gt;"",CL51&gt;=$F51),$I51,IF(AND($E51&lt;&gt;"",CL51&gt;=$E51),$H51,$G51))))</f>
        <v/>
      </c>
      <c r="CM52" s="0" t="str">
        <f aca="false">IF(CM51="","",IF($D51=0,$J51,IF(AND($F51&lt;&gt;"",CM51&gt;=$F51),$I51,IF(AND($E51&lt;&gt;"",CM51&gt;=$E51),$H51,$G51))))</f>
        <v/>
      </c>
      <c r="CN52" s="0" t="str">
        <f aca="false">IF(CN51="","",IF($D51=0,$J51,IF(AND($F51&lt;&gt;"",CN51&gt;=$F51),$I51,IF(AND($E51&lt;&gt;"",CN51&gt;=$E51),$H51,$G51))))</f>
        <v/>
      </c>
      <c r="CO52" s="0" t="str">
        <f aca="false">IF(CO51="","",IF($D51=0,$J51,IF(AND($F51&lt;&gt;"",CO51&gt;=$F51),$I51,IF(AND($E51&lt;&gt;"",CO51&gt;=$E51),$H51,$G51))))</f>
        <v/>
      </c>
      <c r="CP52" s="0" t="str">
        <f aca="false">IF(CP51="","",IF($D51=0,$J51,IF(AND($F51&lt;&gt;"",CP51&gt;=$F51),$I51,IF(AND($E51&lt;&gt;"",CP51&gt;=$E51),$H51,$G51))))</f>
        <v/>
      </c>
      <c r="CQ52" s="0" t="str">
        <f aca="false">IF(CQ51="","",IF($D51=0,$J51,IF(AND($F51&lt;&gt;"",CQ51&gt;=$F51),$I51,IF(AND($E51&lt;&gt;"",CQ51&gt;=$E51),$H51,$G51))))</f>
        <v/>
      </c>
      <c r="CR52" s="0" t="str">
        <f aca="false">IF(CR51="","",IF($D51=0,$J51,IF(AND($F51&lt;&gt;"",CR51&gt;=$F51),$I51,IF(AND($E51&lt;&gt;"",CR51&gt;=$E51),$H51,$G51))))</f>
        <v/>
      </c>
      <c r="CS52" s="0" t="str">
        <f aca="false">IF(CS51="","",IF($D51=0,$J51,IF(AND($F51&lt;&gt;"",CS51&gt;=$F51),$I51,IF(AND($E51&lt;&gt;"",CS51&gt;=$E51),$H51,$G51))))</f>
        <v/>
      </c>
      <c r="CT52" s="0" t="str">
        <f aca="false">IF(CT51="","",IF($D51=0,$J51,IF(AND($F51&lt;&gt;"",CT51&gt;=$F51),$I51,IF(AND($E51&lt;&gt;"",CT51&gt;=$E51),$H51,$G51))))</f>
        <v/>
      </c>
      <c r="CU52" s="0" t="str">
        <f aca="false">IF(CU51="","",IF($D51=0,$J51,IF(AND($F51&lt;&gt;"",CU51&gt;=$F51),$I51,IF(AND($E51&lt;&gt;"",CU51&gt;=$E51),$H51,$G51))))</f>
        <v/>
      </c>
      <c r="CV52" s="0" t="str">
        <f aca="false">IF(CV51="","",IF($D51=0,$J51,IF(AND($F51&lt;&gt;"",CV51&gt;=$F51),$I51,IF(AND($E51&lt;&gt;"",CV51&gt;=$E51),$H51,$G51))))</f>
        <v/>
      </c>
      <c r="CW52" s="0" t="str">
        <f aca="false">IF(CW51="","",IF($D51=0,$J51,IF(AND($F51&lt;&gt;"",CW51&gt;=$F51),$I51,IF(AND($E51&lt;&gt;"",CW51&gt;=$E51),$H51,$G51))))</f>
        <v/>
      </c>
      <c r="CX52" s="0" t="str">
        <f aca="false">IF(CX51="","",IF($D51=0,$J51,IF(AND($F51&lt;&gt;"",CX51&gt;=$F51),$I51,IF(AND($E51&lt;&gt;"",CX51&gt;=$E51),$H51,$G51))))</f>
        <v/>
      </c>
      <c r="CY52" s="0" t="str">
        <f aca="false">IF(CY51="","",IF($D51=0,$J51,IF(AND($F51&lt;&gt;"",CY51&gt;=$F51),$I51,IF(AND($E51&lt;&gt;"",CY51&gt;=$E51),$H51,$G51))))</f>
        <v/>
      </c>
      <c r="CZ52" s="0" t="str">
        <f aca="false">IF(CZ51="","",IF($D51=0,$J51,IF(AND($F51&lt;&gt;"",CZ51&gt;=$F51),$I51,IF(AND($E51&lt;&gt;"",CZ51&gt;=$E51),$H51,$G51))))</f>
        <v/>
      </c>
      <c r="DA52" s="0" t="str">
        <f aca="false">IF(DA51="","",IF($D51=0,$J51,IF(AND($F51&lt;&gt;"",DA51&gt;=$F51),$I51,IF(AND($E51&lt;&gt;"",DA51&gt;=$E51),$H51,$G51))))</f>
        <v/>
      </c>
      <c r="DB52" s="0" t="str">
        <f aca="false">IF(DB51="","",IF($D51=0,$J51,IF(AND($F51&lt;&gt;"",DB51&gt;=$F51),$I51,IF(AND($E51&lt;&gt;"",DB51&gt;=$E51),$H51,$G51))))</f>
        <v/>
      </c>
      <c r="DC52" s="0" t="str">
        <f aca="false">IF(DC51="","",IF($D51=0,$J51,IF(AND($F51&lt;&gt;"",DC51&gt;=$F51),$I51,IF(AND($E51&lt;&gt;"",DC51&gt;=$E51),$H51,$G51))))</f>
        <v/>
      </c>
      <c r="DD52" s="0" t="str">
        <f aca="false">IF(DD51="","",IF($D51=0,$J51,IF(AND($F51&lt;&gt;"",DD51&gt;=$F51),$I51,IF(AND($E51&lt;&gt;"",DD51&gt;=$E51),$H51,$G51))))</f>
        <v/>
      </c>
      <c r="DE52" s="0" t="str">
        <f aca="false">IF(DE51="","",IF($D51=0,$J51,IF(AND($F51&lt;&gt;"",DE51&gt;=$F51),$I51,IF(AND($E51&lt;&gt;"",DE51&gt;=$E51),$H51,$G51))))</f>
        <v/>
      </c>
      <c r="DF52" s="0" t="str">
        <f aca="false">IF(DF51="","",IF($D51=0,$J51,IF(AND($F51&lt;&gt;"",DF51&gt;=$F51),$I51,IF(AND($E51&lt;&gt;"",DF51&gt;=$E51),$H51,$G51))))</f>
        <v/>
      </c>
      <c r="DG52" s="0" t="str">
        <f aca="false">IF(DG51="","",IF($D51=0,$J51,IF(AND($F51&lt;&gt;"",DG51&gt;=$F51),$I51,IF(AND($E51&lt;&gt;"",DG51&gt;=$E51),$H51,$G51))))</f>
        <v/>
      </c>
      <c r="DH52" s="0" t="str">
        <f aca="false">IF(DH51="","",IF($D51=0,$J51,IF(AND($F51&lt;&gt;"",DH51&gt;=$F51),$I51,IF(AND($E51&lt;&gt;"",DH51&gt;=$E51),$H51,$G51))))</f>
        <v/>
      </c>
      <c r="DI52" s="0" t="str">
        <f aca="false">IF(DI51="","",IF($D51=0,$J51,IF(AND($F51&lt;&gt;"",DI51&gt;=$F51),$I51,IF(AND($E51&lt;&gt;"",DI51&gt;=$E51),$H51,$G51))))</f>
        <v/>
      </c>
      <c r="DJ52" s="0" t="str">
        <f aca="false">IF(DJ51="","",IF($D51=0,$J51,IF(AND($F51&lt;&gt;"",DJ51&gt;=$F51),$I51,IF(AND($E51&lt;&gt;"",DJ51&gt;=$E51),$H51,$G51))))</f>
        <v/>
      </c>
      <c r="DK52" s="0" t="str">
        <f aca="false">IF(DK51="","",IF($D51=0,$J51,IF(AND($F51&lt;&gt;"",DK51&gt;=$F51),$I51,IF(AND($E51&lt;&gt;"",DK51&gt;=$E51),$H51,$G51))))</f>
        <v/>
      </c>
      <c r="DL52" s="0" t="str">
        <f aca="false">IF(DL51="","",IF($D51=0,$J51,IF(AND($F51&lt;&gt;"",DL51&gt;=$F51),$I51,IF(AND($E51&lt;&gt;"",DL51&gt;=$E51),$H51,$G51))))</f>
        <v/>
      </c>
      <c r="DM52" s="0" t="str">
        <f aca="false">IF(DM51="","",IF($D51=0,$J51,IF(AND($F51&lt;&gt;"",DM51&gt;=$F51),$I51,IF(AND($E51&lt;&gt;"",DM51&gt;=$E51),$H51,$G51))))</f>
        <v/>
      </c>
      <c r="DN52" s="0" t="str">
        <f aca="false">IF(DN51="","",IF($D51=0,$J51,IF(AND($F51&lt;&gt;"",DN51&gt;=$F51),$I51,IF(AND($E51&lt;&gt;"",DN51&gt;=$E51),$H51,$G51))))</f>
        <v/>
      </c>
      <c r="DO52" s="0" t="str">
        <f aca="false">IF(DO51="","",IF($D51=0,$J51,IF(AND($F51&lt;&gt;"",DO51&gt;=$F51),$I51,IF(AND($E51&lt;&gt;"",DO51&gt;=$E51),$H51,$G51))))</f>
        <v/>
      </c>
      <c r="DP52" s="0" t="str">
        <f aca="false">IF(DP51="","",IF($D51=0,$J51,IF(AND($F51&lt;&gt;"",DP51&gt;=$F51),$I51,IF(AND($E51&lt;&gt;"",DP51&gt;=$E51),$H51,$G51))))</f>
        <v/>
      </c>
      <c r="DQ52" s="0" t="str">
        <f aca="false">IF(DQ51="","",IF($D51=0,$J51,IF(AND($F51&lt;&gt;"",DQ51&gt;=$F51),$I51,IF(AND($E51&lt;&gt;"",DQ51&gt;=$E51),$H51,$G51))))</f>
        <v/>
      </c>
      <c r="DR52" s="0" t="str">
        <f aca="false">IF(DR51="","",IF($D51=0,$J51,IF(AND($F51&lt;&gt;"",DR51&gt;=$F51),$I51,IF(AND($E51&lt;&gt;"",DR51&gt;=$E51),$H51,$G51))))</f>
        <v/>
      </c>
      <c r="DS52" s="0" t="str">
        <f aca="false">IF(DS51="","",IF($D51=0,$J51,IF(AND($F51&lt;&gt;"",DS51&gt;=$F51),$I51,IF(AND($E51&lt;&gt;"",DS51&gt;=$E51),$H51,$G51))))</f>
        <v/>
      </c>
      <c r="DT52" s="0" t="str">
        <f aca="false">IF(DT51="","",IF($D51=0,$J51,IF(AND($F51&lt;&gt;"",DT51&gt;=$F51),$I51,IF(AND($E51&lt;&gt;"",DT51&gt;=$E51),$H51,$G51))))</f>
        <v/>
      </c>
      <c r="DU52" s="0" t="str">
        <f aca="false">IF(DU51="","",IF($D51=0,$J51,IF(AND($F51&lt;&gt;"",DU51&gt;=$F51),$I51,IF(AND($E51&lt;&gt;"",DU51&gt;=$E51),$H51,$G51))))</f>
        <v/>
      </c>
      <c r="DV52" s="0" t="str">
        <f aca="false">IF(DV51="","",IF($D51=0,$J51,IF(AND($F51&lt;&gt;"",DV51&gt;=$F51),$I51,IF(AND($E51&lt;&gt;"",DV51&gt;=$E51),$H51,$G51))))</f>
        <v/>
      </c>
      <c r="DW52" s="0" t="str">
        <f aca="false">IF(DW51="","",IF($D51=0,$J51,IF(AND($F51&lt;&gt;"",DW51&gt;=$F51),$I51,IF(AND($E51&lt;&gt;"",DW51&gt;=$E51),$H51,$G51))))</f>
        <v/>
      </c>
      <c r="DX52" s="0" t="str">
        <f aca="false">IF(DX51="","",IF($D51=0,$J51,IF(AND($F51&lt;&gt;"",DX51&gt;=$F51),$I51,IF(AND($E51&lt;&gt;"",DX51&gt;=$E51),$H51,$G51))))</f>
        <v/>
      </c>
      <c r="DY52" s="0" t="str">
        <f aca="false">IF(DY51="","",IF($D51=0,$J51,IF(AND($F51&lt;&gt;"",DY51&gt;=$F51),$I51,IF(AND($E51&lt;&gt;"",DY51&gt;=$E51),$H51,$G51))))</f>
        <v/>
      </c>
      <c r="DZ52" s="0" t="str">
        <f aca="false">IF(DZ51="","",IF($D51=0,$J51,IF(AND($F51&lt;&gt;"",DZ51&gt;=$F51),$I51,IF(AND($E51&lt;&gt;"",DZ51&gt;=$E51),$H51,$G51))))</f>
        <v/>
      </c>
      <c r="EA52" s="0" t="str">
        <f aca="false">IF(EA51="","",IF($D51=0,$J51,IF(AND($F51&lt;&gt;"",EA51&gt;=$F51),$I51,IF(AND($E51&lt;&gt;"",EA51&gt;=$E51),$H51,$G51))))</f>
        <v/>
      </c>
      <c r="EB52" s="0" t="str">
        <f aca="false">IF(EB51="","",IF($D51=0,$J51,IF(AND($F51&lt;&gt;"",EB51&gt;=$F51),$I51,IF(AND($E51&lt;&gt;"",EB51&gt;=$E51),$H51,$G51))))</f>
        <v/>
      </c>
      <c r="EC52" s="0" t="str">
        <f aca="false">IF(EC51="","",IF($D51=0,$J51,IF(AND($F51&lt;&gt;"",EC51&gt;=$F51),$I51,IF(AND($E51&lt;&gt;"",EC51&gt;=$E51),$H51,$G51))))</f>
        <v/>
      </c>
      <c r="ED52" s="0" t="str">
        <f aca="false">IF(ED51="","",IF($D51=0,$J51,IF(AND($F51&lt;&gt;"",ED51&gt;=$F51),$I51,IF(AND($E51&lt;&gt;"",ED51&gt;=$E51),$H51,$G51))))</f>
        <v/>
      </c>
      <c r="EE52" s="0" t="str">
        <f aca="false">IF(EE51="","",IF($D51=0,$J51,IF(AND($F51&lt;&gt;"",EE51&gt;=$F51),$I51,IF(AND($E51&lt;&gt;"",EE51&gt;=$E51),$H51,$G51))))</f>
        <v/>
      </c>
      <c r="EF52" s="0" t="str">
        <f aca="false">IF(EF51="","",IF($D51=0,$J51,IF(AND($F51&lt;&gt;"",EF51&gt;=$F51),$I51,IF(AND($E51&lt;&gt;"",EF51&gt;=$E51),$H51,$G51))))</f>
        <v/>
      </c>
      <c r="EG52" s="0" t="str">
        <f aca="false">IF(EG51="","",IF($D51=0,$J51,IF(AND($F51&lt;&gt;"",EG51&gt;=$F51),$I51,IF(AND($E51&lt;&gt;"",EG51&gt;=$E51),$H51,$G51))))</f>
        <v/>
      </c>
      <c r="EH52" s="0" t="str">
        <f aca="false">IF(EH51="","",IF($D51=0,$J51,IF(AND($F51&lt;&gt;"",EH51&gt;=$F51),$I51,IF(AND($E51&lt;&gt;"",EH51&gt;=$E51),$H51,$G51))))</f>
        <v/>
      </c>
      <c r="EI52" s="0" t="str">
        <f aca="false">IF(EI51="","",IF($D51=0,$J51,IF(AND($F51&lt;&gt;"",EI51&gt;=$F51),$I51,IF(AND($E51&lt;&gt;"",EI51&gt;=$E51),$H51,$G51))))</f>
        <v/>
      </c>
      <c r="EJ52" s="0" t="str">
        <f aca="false">IF(EJ51="","",IF($D51=0,$J51,IF(AND($F51&lt;&gt;"",EJ51&gt;=$F51),$I51,IF(AND($E51&lt;&gt;"",EJ51&gt;=$E51),$H51,$G51))))</f>
        <v/>
      </c>
      <c r="EK52" s="0" t="str">
        <f aca="false">IF(EK51="","",IF($D51=0,$J51,IF(AND($F51&lt;&gt;"",EK51&gt;=$F51),$I51,IF(AND($E51&lt;&gt;"",EK51&gt;=$E51),$H51,$G51))))</f>
        <v/>
      </c>
      <c r="EL52" s="0" t="str">
        <f aca="false">IF(EL51="","",IF($D51=0,$J51,IF(AND($F51&lt;&gt;"",EL51&gt;=$F51),$I51,IF(AND($E51&lt;&gt;"",EL51&gt;=$E51),$H51,$G51))))</f>
        <v/>
      </c>
      <c r="EM52" s="0" t="str">
        <f aca="false">IF(EM51="","",IF($D51=0,$J51,IF(AND($F51&lt;&gt;"",EM51&gt;=$F51),$I51,IF(AND($E51&lt;&gt;"",EM51&gt;=$E51),$H51,$G51))))</f>
        <v/>
      </c>
      <c r="EN52" s="0" t="str">
        <f aca="false">IF(EN51="","",IF($D51=0,$J51,IF(AND($F51&lt;&gt;"",EN51&gt;=$F51),$I51,IF(AND($E51&lt;&gt;"",EN51&gt;=$E51),$H51,$G51))))</f>
        <v/>
      </c>
      <c r="EO52" s="0" t="str">
        <f aca="false">IF(EO51="","",IF($D51=0,$J51,IF(AND($F51&lt;&gt;"",EO51&gt;=$F51),$I51,IF(AND($E51&lt;&gt;"",EO51&gt;=$E51),$H51,$G51))))</f>
        <v/>
      </c>
      <c r="EP52" s="0" t="str">
        <f aca="false">IF(EP51="","",IF($D51=0,$J51,IF(AND($F51&lt;&gt;"",EP51&gt;=$F51),$I51,IF(AND($E51&lt;&gt;"",EP51&gt;=$E51),$H51,$G51))))</f>
        <v/>
      </c>
      <c r="EQ52" s="0" t="str">
        <f aca="false">IF(EQ51="","",IF($D51=0,$J51,IF(AND($F51&lt;&gt;"",EQ51&gt;=$F51),$I51,IF(AND($E51&lt;&gt;"",EQ51&gt;=$E51),$H51,$G51))))</f>
        <v/>
      </c>
      <c r="ER52" s="0" t="str">
        <f aca="false">IF(ER51="","",IF($D51=0,$J51,IF(AND($F51&lt;&gt;"",ER51&gt;=$F51),$I51,IF(AND($E51&lt;&gt;"",ER51&gt;=$E51),$H51,$G51))))</f>
        <v/>
      </c>
      <c r="ES52" s="0" t="str">
        <f aca="false">IF(ES51="","",IF($D51=0,$J51,IF(AND($F51&lt;&gt;"",ES51&gt;=$F51),$I51,IF(AND($E51&lt;&gt;"",ES51&gt;=$E51),$H51,$G51))))</f>
        <v/>
      </c>
      <c r="ET52" s="0" t="str">
        <f aca="false">IF(ET51="","",IF($D51=0,$J51,IF(AND($F51&lt;&gt;"",ET51&gt;=$F51),$I51,IF(AND($E51&lt;&gt;"",ET51&gt;=$E51),$H51,$G51))))</f>
        <v/>
      </c>
      <c r="EU52" s="0" t="str">
        <f aca="false">IF(EU51="","",IF($D51=0,$J51,IF(AND($F51&lt;&gt;"",EU51&gt;=$F51),$I51,IF(AND($E51&lt;&gt;"",EU51&gt;=$E51),$H51,$G51))))</f>
        <v/>
      </c>
      <c r="EV52" s="0" t="str">
        <f aca="false">IF(EV51="","",IF($D51=0,$J51,IF(AND($F51&lt;&gt;"",EV51&gt;=$F51),$I51,IF(AND($E51&lt;&gt;"",EV51&gt;=$E51),$H51,$G51))))</f>
        <v/>
      </c>
      <c r="EW52" s="0" t="str">
        <f aca="false">IF(EW51="","",IF($D51=0,$J51,IF(AND($F51&lt;&gt;"",EW51&gt;=$F51),$I51,IF(AND($E51&lt;&gt;"",EW51&gt;=$E51),$H51,$G51))))</f>
        <v/>
      </c>
      <c r="EX52" s="0" t="str">
        <f aca="false">IF(EX51="","",IF($D51=0,$J51,IF(AND($F51&lt;&gt;"",EX51&gt;=$F51),$I51,IF(AND($E51&lt;&gt;"",EX51&gt;=$E51),$H51,$G51))))</f>
        <v/>
      </c>
      <c r="EY52" s="0" t="str">
        <f aca="false">IF(EY51="","",IF($D51=0,$J51,IF(AND($F51&lt;&gt;"",EY51&gt;=$F51),$I51,IF(AND($E51&lt;&gt;"",EY51&gt;=$E51),$H51,$G51))))</f>
        <v/>
      </c>
      <c r="EZ52" s="0" t="str">
        <f aca="false">IF(EZ51="","",IF($D51=0,$J51,IF(AND($F51&lt;&gt;"",EZ51&gt;=$F51),$I51,IF(AND($E51&lt;&gt;"",EZ51&gt;=$E51),$H51,$G51))))</f>
        <v/>
      </c>
      <c r="FA52" s="0" t="str">
        <f aca="false">IF(FA51="","",IF($D51=0,$J51,IF(AND($F51&lt;&gt;"",FA51&gt;=$F51),$I51,IF(AND($E51&lt;&gt;"",FA51&gt;=$E51),$H51,$G51))))</f>
        <v/>
      </c>
      <c r="FB52" s="0" t="str">
        <f aca="false">IF(FB51="","",IF($D51=0,$J51,IF(AND($F51&lt;&gt;"",FB51&gt;=$F51),$I51,IF(AND($E51&lt;&gt;"",FB51&gt;=$E51),$H51,$G51))))</f>
        <v/>
      </c>
      <c r="FC52" s="0" t="str">
        <f aca="false">IF(FC51="","",IF($D51=0,$J51,IF(AND($F51&lt;&gt;"",FC51&gt;=$F51),$I51,IF(AND($E51&lt;&gt;"",FC51&gt;=$E51),$H51,$G51))))</f>
        <v/>
      </c>
      <c r="FD52" s="0" t="str">
        <f aca="false">IF(FD51="","",IF($D51=0,$J51,IF(AND($F51&lt;&gt;"",FD51&gt;=$F51),$I51,IF(AND($E51&lt;&gt;"",FD51&gt;=$E51),$H51,$G51))))</f>
        <v/>
      </c>
      <c r="FE52" s="0" t="str">
        <f aca="false">IF(FE51="","",IF($D51=0,$J51,IF(AND($F51&lt;&gt;"",FE51&gt;=$F51),$I51,IF(AND($E51&lt;&gt;"",FE51&gt;=$E51),$H51,$G51))))</f>
        <v/>
      </c>
      <c r="FF52" s="0" t="str">
        <f aca="false">IF(FF51="","",IF($D51=0,$J51,IF(AND($F51&lt;&gt;"",FF51&gt;=$F51),$I51,IF(AND($E51&lt;&gt;"",FF51&gt;=$E51),$H51,$G51))))</f>
        <v/>
      </c>
      <c r="FG52" s="0" t="str">
        <f aca="false">IF(FG51="","",IF($D51=0,$J51,IF(AND($F51&lt;&gt;"",FG51&gt;=$F51),$I51,IF(AND($E51&lt;&gt;"",FG51&gt;=$E51),$H51,$G51))))</f>
        <v/>
      </c>
      <c r="FH52" s="0" t="str">
        <f aca="false">IF(FH51="","",IF($D51=0,$J51,IF(AND($F51&lt;&gt;"",FH51&gt;=$F51),$I51,IF(AND($E51&lt;&gt;"",FH51&gt;=$E51),$H51,$G51))))</f>
        <v/>
      </c>
      <c r="FI52" s="0" t="str">
        <f aca="false">IF(FI51="","",IF($D51=0,$J51,IF(AND($F51&lt;&gt;"",FI51&gt;=$F51),$I51,IF(AND($E51&lt;&gt;"",FI51&gt;=$E51),$H51,$G51))))</f>
        <v/>
      </c>
      <c r="FJ52" s="0" t="str">
        <f aca="false">IF(FJ51="","",IF($D51=0,$J51,IF(AND($F51&lt;&gt;"",FJ51&gt;=$F51),$I51,IF(AND($E51&lt;&gt;"",FJ51&gt;=$E51),$H51,$G51))))</f>
        <v/>
      </c>
      <c r="FK52" s="0" t="str">
        <f aca="false">IF(FK51="","",IF($D51=0,$J51,IF(AND($F51&lt;&gt;"",FK51&gt;=$F51),$I51,IF(AND($E51&lt;&gt;"",FK51&gt;=$E51),$H51,$G51))))</f>
        <v/>
      </c>
      <c r="FL52" s="0" t="str">
        <f aca="false">IF(FL51="","",IF($D51=0,$J51,IF(AND($F51&lt;&gt;"",FL51&gt;=$F51),$I51,IF(AND($E51&lt;&gt;"",FL51&gt;=$E51),$H51,$G51))))</f>
        <v/>
      </c>
      <c r="FM52" s="0" t="str">
        <f aca="false">IF(FM51="","",IF($D51=0,$J51,IF(AND($F51&lt;&gt;"",FM51&gt;=$F51),$I51,IF(AND($E51&lt;&gt;"",FM51&gt;=$E51),$H51,$G51))))</f>
        <v/>
      </c>
      <c r="FN52" s="0" t="str">
        <f aca="false">IF(FN51="","",IF($D51=0,$J51,IF(AND($F51&lt;&gt;"",FN51&gt;=$F51),$I51,IF(AND($E51&lt;&gt;"",FN51&gt;=$E51),$H51,$G51))))</f>
        <v/>
      </c>
      <c r="FO52" s="0" t="str">
        <f aca="false">IF(FO51="","",IF($D51=0,$J51,IF(AND($F51&lt;&gt;"",FO51&gt;=$F51),$I51,IF(AND($E51&lt;&gt;"",FO51&gt;=$E51),$H51,$G51))))</f>
        <v/>
      </c>
      <c r="FP52" s="0" t="str">
        <f aca="false">IF(FP51="","",IF($D51=0,$J51,IF(AND($F51&lt;&gt;"",FP51&gt;=$F51),$I51,IF(AND($E51&lt;&gt;"",FP51&gt;=$E51),$H51,$G51))))</f>
        <v/>
      </c>
      <c r="FQ52" s="0" t="str">
        <f aca="false">IF(FQ51="","",IF($D51=0,$J51,IF(AND($F51&lt;&gt;"",FQ51&gt;=$F51),$I51,IF(AND($E51&lt;&gt;"",FQ51&gt;=$E51),$H51,$G51))))</f>
        <v/>
      </c>
      <c r="FR52" s="0" t="str">
        <f aca="false">IF(FR51="","",IF($D51=0,$J51,IF(AND($F51&lt;&gt;"",FR51&gt;=$F51),$I51,IF(AND($E51&lt;&gt;"",FR51&gt;=$E51),$H51,$G51))))</f>
        <v/>
      </c>
      <c r="FS52" s="0" t="str">
        <f aca="false">IF(FS51="","",IF($D51=0,$J51,IF(AND($F51&lt;&gt;"",FS51&gt;=$F51),$I51,IF(AND($E51&lt;&gt;"",FS51&gt;=$E51),$H51,$G51))))</f>
        <v/>
      </c>
      <c r="FT52" s="0" t="str">
        <f aca="false">IF(FT51="","",IF($D51=0,$J51,IF(AND($F51&lt;&gt;"",FT51&gt;=$F51),$I51,IF(AND($E51&lt;&gt;"",FT51&gt;=$E51),$H51,$G51))))</f>
        <v/>
      </c>
      <c r="FU52" s="0" t="str">
        <f aca="false">IF(FU51="","",IF($D51=0,$J51,IF(AND($F51&lt;&gt;"",FU51&gt;=$F51),$I51,IF(AND($E51&lt;&gt;"",FU51&gt;=$E51),$H51,$G51))))</f>
        <v/>
      </c>
      <c r="FV52" s="0" t="str">
        <f aca="false">IF(FV51="","",IF($D51=0,$J51,IF(AND($F51&lt;&gt;"",FV51&gt;=$F51),$I51,IF(AND($E51&lt;&gt;"",FV51&gt;=$E51),$H51,$G51))))</f>
        <v/>
      </c>
      <c r="FW52" s="0" t="str">
        <f aca="false">IF(FW51="","",IF($D51=0,$J51,IF(AND($F51&lt;&gt;"",FW51&gt;=$F51),$I51,IF(AND($E51&lt;&gt;"",FW51&gt;=$E51),$H51,$G51))))</f>
        <v/>
      </c>
      <c r="FX52" s="0" t="str">
        <f aca="false">IF(FX51="","",IF($D51=0,$J51,IF(AND($F51&lt;&gt;"",FX51&gt;=$F51),$I51,IF(AND($E51&lt;&gt;"",FX51&gt;=$E51),$H51,$G51))))</f>
        <v/>
      </c>
      <c r="FY52" s="0" t="str">
        <f aca="false">IF(FY51="","",IF($D51=0,$J51,IF(AND($F51&lt;&gt;"",FY51&gt;=$F51),$I51,IF(AND($E51&lt;&gt;"",FY51&gt;=$E51),$H51,$G51))))</f>
        <v/>
      </c>
      <c r="FZ52" s="0" t="str">
        <f aca="false">IF(FZ51="","",IF($D51=0,$J51,IF(AND($F51&lt;&gt;"",FZ51&gt;=$F51),$I51,IF(AND($E51&lt;&gt;"",FZ51&gt;=$E51),$H51,$G51))))</f>
        <v/>
      </c>
      <c r="GA52" s="0" t="str">
        <f aca="false">IF(GA51="","",IF($D51=0,$J51,IF(AND($F51&lt;&gt;"",GA51&gt;=$F51),$I51,IF(AND($E51&lt;&gt;"",GA51&gt;=$E51),$H51,$G51))))</f>
        <v/>
      </c>
      <c r="GB52" s="0" t="str">
        <f aca="false">IF(GB51="","",IF($D51=0,$J51,IF(AND($F51&lt;&gt;"",GB51&gt;=$F51),$I51,IF(AND($E51&lt;&gt;"",GB51&gt;=$E51),$H51,$G51))))</f>
        <v/>
      </c>
      <c r="GC52" s="0" t="str">
        <f aca="false">IF(GC51="","",IF($D51=0,$J51,IF(AND($F51&lt;&gt;"",GC51&gt;=$F51),$I51,IF(AND($E51&lt;&gt;"",GC51&gt;=$E51),$H51,$G51))))</f>
        <v/>
      </c>
      <c r="GD52" s="0" t="str">
        <f aca="false">IF(GD51="","",IF($D51=0,$J51,IF(AND($F51&lt;&gt;"",GD51&gt;=$F51),$I51,IF(AND($E51&lt;&gt;"",GD51&gt;=$E51),$H51,$G51))))</f>
        <v/>
      </c>
      <c r="GE52" s="0" t="str">
        <f aca="false">IF(GE51="","",IF($D51=0,$J51,IF(AND($F51&lt;&gt;"",GE51&gt;=$F51),$I51,IF(AND($E51&lt;&gt;"",GE51&gt;=$E51),$H51,$G51))))</f>
        <v/>
      </c>
      <c r="GF52" s="0" t="str">
        <f aca="false">IF(GF51="","",IF($D51=0,$J51,IF(AND($F51&lt;&gt;"",GF51&gt;=$F51),$I51,IF(AND($E51&lt;&gt;"",GF51&gt;=$E51),$H51,$G51))))</f>
        <v/>
      </c>
      <c r="GG52" s="0" t="str">
        <f aca="false">IF(GG51="","",IF($D51=0,$J51,IF(AND($F51&lt;&gt;"",GG51&gt;=$F51),$I51,IF(AND($E51&lt;&gt;"",GG51&gt;=$E51),$H51,$G51))))</f>
        <v/>
      </c>
      <c r="GH52" s="0" t="str">
        <f aca="false">IF(GH51="","",IF($D51=0,$J51,IF(AND($F51&lt;&gt;"",GH51&gt;=$F51),$I51,IF(AND($E51&lt;&gt;"",GH51&gt;=$E51),$H51,$G51))))</f>
        <v/>
      </c>
      <c r="GI52" s="0" t="str">
        <f aca="false">IF(GI51="","",IF($D51=0,$J51,IF(AND($F51&lt;&gt;"",GI51&gt;=$F51),$I51,IF(AND($E51&lt;&gt;"",GI51&gt;=$E51),$H51,$G51))))</f>
        <v/>
      </c>
    </row>
    <row r="53" customFormat="false" ht="15" hidden="false" customHeight="false" outlineLevel="0" collapsed="false">
      <c r="K53" s="0" t="s">
        <v>264</v>
      </c>
      <c r="L53" s="0" t="n">
        <f aca="false">IF(L51="",0,IF(AND(L52=Milestones!$AB$20,L51&gt;=SchemeStart),IF(AND(Milestones!$AB$20="FT",Milestones!$AA$20=FT_Y5,L51&lt;PolicyEff),1,Milestones!$AC$20),0))</f>
        <v>0</v>
      </c>
      <c r="M53" s="0" t="n">
        <f aca="false">IF(M51="",0,IF(AND(M52=Milestones!$AB$21,M51&gt;=SchemeStart),IF(AND(Milestones!$AB$21="FT",Milestones!$AA$21=FT_Y5,M51&lt;PolicyEff),1,Milestones!$AC$21),0))</f>
        <v>0</v>
      </c>
      <c r="N53" s="0" t="n">
        <f aca="false">IF(N51="",0,IF(AND(N52=Milestones!$AB$22,N51&gt;=SchemeStart),IF(AND(Milestones!$AB$22="FT",Milestones!$AA$22=FT_Y5,N51&lt;PolicyEff),1,Milestones!$AC$22),0))</f>
        <v>0</v>
      </c>
      <c r="O53" s="0" t="n">
        <f aca="false">IF(O51="",0,IF(AND(O52=Milestones!$AB$23,O51&gt;=SchemeStart),IF(AND(Milestones!$AB$23="FT",Milestones!$AA$23=FT_Y5,O51&lt;PolicyEff),1,Milestones!$AC$23),0))</f>
        <v>0</v>
      </c>
      <c r="P53" s="0" t="n">
        <f aca="false">IF(P51="",0,IF(AND(P52=Milestones!$AB$24,P51&gt;=SchemeStart),IF(AND(Milestones!$AB$24="FT",Milestones!$AA$24=FT_Y5,P51&lt;PolicyEff),1,Milestones!$AC$24),0))</f>
        <v>0</v>
      </c>
      <c r="Q53" s="0" t="n">
        <f aca="false">IF(Q51="",0,IF(AND(Q52=Milestones!$AB$25,Q51&gt;=SchemeStart),IF(AND(Milestones!$AB$25="FT",Milestones!$AA$25=FT_Y5,Q51&lt;PolicyEff),1,Milestones!$AC$25),0))</f>
        <v>0</v>
      </c>
      <c r="R53" s="0" t="n">
        <f aca="false">IF(R51="",0,IF(AND(R52=Milestones!$AB$26,R51&gt;=SchemeStart),IF(AND(Milestones!$AB$26="FT",Milestones!$AA$26=FT_Y5,R51&lt;PolicyEff),1,Milestones!$AC$26),0))</f>
        <v>0</v>
      </c>
      <c r="S53" s="0" t="n">
        <f aca="false">IF(S51="",0,IF(AND(S52=Milestones!$AB$27,S51&gt;=SchemeStart),IF(AND(Milestones!$AB$27="FT",Milestones!$AA$27=FT_Y5,S51&lt;PolicyEff),1,Milestones!$AC$27),0))</f>
        <v>0</v>
      </c>
      <c r="T53" s="0" t="n">
        <f aca="false">IF(T51="",0,IF(AND(T52=Milestones!$AB$28,T51&gt;=SchemeStart),IF(AND(Milestones!$AB$28="FT",Milestones!$AA$28=FT_Y5,T51&lt;PolicyEff),1,Milestones!$AC$28),0))</f>
        <v>0</v>
      </c>
      <c r="U53" s="0" t="n">
        <f aca="false">IF(U51="",0,IF(AND(U52=Milestones!$AB$29,U51&gt;=SchemeStart),IF(AND(Milestones!$AB$29="FT",Milestones!$AA$29=FT_Y5,U51&lt;PolicyEff),1,Milestones!$AC$29),0))</f>
        <v>0</v>
      </c>
      <c r="V53" s="0" t="n">
        <f aca="false">IF(V51="",0,IF(AND(V52=Milestones!$AB$30,V51&gt;=SchemeStart),IF(AND(Milestones!$AB$30="FT",Milestones!$AA$30=FT_Y5,V51&lt;PolicyEff),1,Milestones!$AC$30),0))</f>
        <v>0</v>
      </c>
      <c r="W53" s="0" t="n">
        <f aca="false">IF(W51="",0,IF(AND(W52=Milestones!$AB$31,W51&gt;=SchemeStart),IF(AND(Milestones!$AB$31="FT",Milestones!$AA$31=FT_Y5,W51&lt;PolicyEff),1,Milestones!$AC$31),0))</f>
        <v>0</v>
      </c>
      <c r="X53" s="0" t="n">
        <f aca="false">IF(X51="",0,IF(AND(X52=Milestones!$AB$32,X51&gt;=SchemeStart),IF(AND(Milestones!$AB$32="FT",Milestones!$AA$32=FT_Y5,X51&lt;PolicyEff),1,Milestones!$AC$32),0))</f>
        <v>0</v>
      </c>
      <c r="Y53" s="0" t="n">
        <f aca="false">IF(Y51="",0,IF(AND(Y52=Milestones!$AB$33,Y51&gt;=SchemeStart),IF(AND(Milestones!$AB$33="FT",Milestones!$AA$33=FT_Y5,Y51&lt;PolicyEff),1,Milestones!$AC$33),0))</f>
        <v>0</v>
      </c>
      <c r="Z53" s="0" t="n">
        <f aca="false">IF(Z51="",0,IF(AND(Z52=Milestones!$AB$34,Z51&gt;=SchemeStart),IF(AND(Milestones!$AB$34="FT",Milestones!$AA$34=FT_Y5,Z51&lt;PolicyEff),1,Milestones!$AC$34),0))</f>
        <v>0</v>
      </c>
      <c r="AA53" s="0" t="n">
        <f aca="false">IF(AA51="",0,IF(AND(AA52=Milestones!$AB$35,AA51&gt;=SchemeStart),IF(AND(Milestones!$AB$35="FT",Milestones!$AA$35=FT_Y5,AA51&lt;PolicyEff),1,Milestones!$AC$35),0))</f>
        <v>0</v>
      </c>
      <c r="AB53" s="0" t="n">
        <f aca="false">IF(AB51="",0,IF(AND(AB52=Milestones!$AB$36,AB51&gt;=SchemeStart),IF(AND(Milestones!$AB$36="FT",Milestones!$AA$36=FT_Y5,AB51&lt;PolicyEff),1,Milestones!$AC$36),0))</f>
        <v>0</v>
      </c>
      <c r="AC53" s="0" t="n">
        <f aca="false">IF(AC51="",0,IF(AND(AC52=Milestones!$AB$37,AC51&gt;=SchemeStart),IF(AND(Milestones!$AB$37="FT",Milestones!$AA$37=FT_Y5,AC51&lt;PolicyEff),1,Milestones!$AC$37),0))</f>
        <v>0</v>
      </c>
      <c r="AD53" s="0" t="n">
        <f aca="false">IF(AD51="",0,IF(AND(AD52=Milestones!$AB$38,AD51&gt;=SchemeStart),IF(AND(Milestones!$AB$38="FT",Milestones!$AA$38=FT_Y5,AD51&lt;PolicyEff),1,Milestones!$AC$38),0))</f>
        <v>0</v>
      </c>
      <c r="AE53" s="0" t="n">
        <f aca="false">IF(AE51="",0,IF(AND(AE52=Milestones!$AB$39,AE51&gt;=SchemeStart),IF(AND(Milestones!$AB$39="FT",Milestones!$AA$39=FT_Y5,AE51&lt;PolicyEff),1,Milestones!$AC$39),0))</f>
        <v>0</v>
      </c>
      <c r="AF53" s="0" t="n">
        <f aca="false">IF(AF51="",0,IF(AND(AF52=Milestones!$AB$40,AF51&gt;=SchemeStart),IF(AND(Milestones!$AB$40="FT",Milestones!$AA$40=FT_Y5,AF51&lt;PolicyEff),1,Milestones!$AC$40),0))</f>
        <v>0</v>
      </c>
      <c r="AG53" s="0" t="n">
        <f aca="false">IF(AG51="",0,IF(AND(AG52=Milestones!$AB$41,AG51&gt;=SchemeStart),IF(AND(Milestones!$AB$41="FT",Milestones!$AA$41=FT_Y5,AG51&lt;PolicyEff),1,Milestones!$AC$41),0))</f>
        <v>0</v>
      </c>
      <c r="AH53" s="0" t="n">
        <f aca="false">IF(AH51="",0,IF(AND(AH52=Milestones!$AB$42,AH51&gt;=SchemeStart),IF(AND(Milestones!$AB$42="FT",Milestones!$AA$42=FT_Y5,AH51&lt;PolicyEff),1,Milestones!$AC$42),0))</f>
        <v>0</v>
      </c>
      <c r="AI53" s="0" t="n">
        <f aca="false">IF(AI51="",0,IF(AND(AI52=Milestones!$AB$43,AI51&gt;=SchemeStart),IF(AND(Milestones!$AB$43="FT",Milestones!$AA$43=FT_Y5,AI51&lt;PolicyEff),1,Milestones!$AC$43),0))</f>
        <v>0</v>
      </c>
      <c r="AJ53" s="0" t="n">
        <f aca="false">IF(AJ51="",0,IF(AND(AJ52=Milestones!$AB$44,AJ51&gt;=SchemeStart),IF(AND(Milestones!$AB$44="FT",Milestones!$AA$44=FT_Y5,AJ51&lt;PolicyEff),1,Milestones!$AC$44),0))</f>
        <v>0</v>
      </c>
      <c r="AK53" s="0" t="n">
        <f aca="false">IF(AK51="",0,IF(AND(AK52=Milestones!$AB$45,AK51&gt;=SchemeStart),IF(AND(Milestones!$AB$45="FT",Milestones!$AA$45=FT_Y5,AK51&lt;PolicyEff),1,Milestones!$AC$45),0))</f>
        <v>0</v>
      </c>
      <c r="AL53" s="0" t="n">
        <f aca="false">IF(AL51="",0,IF(AND(AL52=Milestones!$AB$46,AL51&gt;=SchemeStart),IF(AND(Milestones!$AB$46="FT",Milestones!$AA$46=FT_Y5,AL51&lt;PolicyEff),1,Milestones!$AC$46),0))</f>
        <v>0</v>
      </c>
      <c r="AM53" s="0" t="n">
        <f aca="false">IF(AM51="",0,IF(AND(AM52=Milestones!$AB$47,AM51&gt;=SchemeStart),IF(AND(Milestones!$AB$47="FT",Milestones!$AA$47=FT_Y5,AM51&lt;PolicyEff),1,Milestones!$AC$47),0))</f>
        <v>0</v>
      </c>
      <c r="AN53" s="0" t="n">
        <f aca="false">IF(AN51="",0,IF(AND(AN52=Milestones!$AB$48,AN51&gt;=SchemeStart),IF(AND(Milestones!$AB$48="FT",Milestones!$AA$48=FT_Y5,AN51&lt;PolicyEff),1,Milestones!$AC$48),0))</f>
        <v>0</v>
      </c>
      <c r="AO53" s="0" t="n">
        <f aca="false">IF(AO51="",0,IF(AND(AO52=Milestones!$AB$49,AO51&gt;=SchemeStart),IF(AND(Milestones!$AB$49="FT",Milestones!$AA$49=FT_Y5,AO51&lt;PolicyEff),1,Milestones!$AC$49),0))</f>
        <v>0</v>
      </c>
      <c r="AP53" s="0" t="n">
        <f aca="false">IF(AP51="",0,IF(AND(AP52=Milestones!$AB$50,AP51&gt;=SchemeStart),IF(AND(Milestones!$AB$50="FT",Milestones!$AA$50=FT_Y5,AP51&lt;PolicyEff),1,Milestones!$AC$50),0))</f>
        <v>0</v>
      </c>
      <c r="AQ53" s="0" t="n">
        <f aca="false">IF(AQ51="",0,IF(AND(AQ52=Milestones!$AB$51,AQ51&gt;=SchemeStart),IF(AND(Milestones!$AB$51="FT",Milestones!$AA$51=FT_Y5,AQ51&lt;PolicyEff),1,Milestones!$AC$51),0))</f>
        <v>0</v>
      </c>
      <c r="AR53" s="0" t="n">
        <f aca="false">IF(AR51="",0,IF(AND(AR52=Milestones!$AB$52,AR51&gt;=SchemeStart),IF(AND(Milestones!$AB$52="FT",Milestones!$AA$52=FT_Y5,AR51&lt;PolicyEff),1,Milestones!$AC$52),0))</f>
        <v>0</v>
      </c>
      <c r="AS53" s="0" t="n">
        <f aca="false">IF(AS51="",0,IF(AND(AS52=Milestones!$AB$53,AS51&gt;=SchemeStart),IF(AND(Milestones!$AB$53="FT",Milestones!$AA$53=FT_Y5,AS51&lt;PolicyEff),1,Milestones!$AC$53),0))</f>
        <v>0</v>
      </c>
      <c r="AT53" s="0" t="n">
        <f aca="false">IF(AT51="",0,IF(AND(AT52=Milestones!$AB$54,AT51&gt;=SchemeStart),IF(AND(Milestones!$AB$54="FT",Milestones!$AA$54=FT_Y5,AT51&lt;PolicyEff),1,Milestones!$AC$54),0))</f>
        <v>0</v>
      </c>
      <c r="AU53" s="0" t="n">
        <f aca="false">IF(AU51="",0,IF(AND(AU52=Milestones!$AB$55,AU51&gt;=SchemeStart),IF(AND(Milestones!$AB$55="FT",Milestones!$AA$55=FT_Y5,AU51&lt;PolicyEff),1,Milestones!$AC$55),0))</f>
        <v>0</v>
      </c>
      <c r="AV53" s="0" t="n">
        <f aca="false">IF(AV51="",0,IF(AND(AV52=Milestones!$AB$56,AV51&gt;=SchemeStart),IF(AND(Milestones!$AB$56="FT",Milestones!$AA$56=FT_Y5,AV51&lt;PolicyEff),1,Milestones!$AC$56),0))</f>
        <v>0</v>
      </c>
      <c r="AW53" s="0" t="n">
        <f aca="false">IF(AW51="",0,IF(AND(AW52=Milestones!$AB$57,AW51&gt;=SchemeStart),IF(AND(Milestones!$AB$57="FT",Milestones!$AA$57=FT_Y5,AW51&lt;PolicyEff),1,Milestones!$AC$57),0))</f>
        <v>0</v>
      </c>
      <c r="AX53" s="0" t="n">
        <f aca="false">IF(AX51="",0,IF(AND(AX52=Milestones!$AB$58,AX51&gt;=SchemeStart),IF(AND(Milestones!$AB$58="FT",Milestones!$AA$58=FT_Y5,AX51&lt;PolicyEff),1,Milestones!$AC$58),0))</f>
        <v>0</v>
      </c>
      <c r="AY53" s="0" t="n">
        <f aca="false">IF(AY51="",0,IF(AND(AY52=Milestones!$AB$59,AY51&gt;=SchemeStart),IF(AND(Milestones!$AB$59="FT",Milestones!$AA$59=FT_Y5,AY51&lt;PolicyEff),1,Milestones!$AC$59),0))</f>
        <v>0</v>
      </c>
      <c r="AZ53" s="0" t="n">
        <f aca="false">IF(AZ51="",0,IF(AND(AZ52=Milestones!$AB$60,AZ51&gt;=SchemeStart),IF(AND(Milestones!$AB$60="FT",Milestones!$AA$60=FT_Y5,AZ51&lt;PolicyEff),1,Milestones!$AC$60),0))</f>
        <v>0</v>
      </c>
      <c r="BA53" s="0" t="n">
        <f aca="false">IF(BA51="",0,IF(AND(BA52=Milestones!$AB$61,BA51&gt;=SchemeStart),IF(AND(Milestones!$AB$61="FT",Milestones!$AA$61=FT_Y5,BA51&lt;PolicyEff),1,Milestones!$AC$61),0))</f>
        <v>0</v>
      </c>
      <c r="BB53" s="0" t="n">
        <f aca="false">IF(BB51="",0,IF(AND(BB52=Milestones!$AB$62,BB51&gt;=SchemeStart),IF(AND(Milestones!$AB$62="FT",Milestones!$AA$62=FT_Y5,BB51&lt;PolicyEff),1,Milestones!$AC$62),0))</f>
        <v>0</v>
      </c>
      <c r="BC53" s="0" t="n">
        <f aca="false">IF(BC51="",0,IF(AND(BC52=Milestones!$AB$63,BC51&gt;=SchemeStart),IF(AND(Milestones!$AB$63="FT",Milestones!$AA$63=FT_Y5,BC51&lt;PolicyEff),1,Milestones!$AC$63),0))</f>
        <v>0</v>
      </c>
      <c r="BD53" s="0" t="n">
        <f aca="false">IF(BD51="",0,IF(AND(BD52=Milestones!$AB$64,BD51&gt;=SchemeStart),IF(AND(Milestones!$AB$64="FT",Milestones!$AA$64=FT_Y5,BD51&lt;PolicyEff),1,Milestones!$AC$64),0))</f>
        <v>0</v>
      </c>
      <c r="BE53" s="0" t="n">
        <f aca="false">IF(BE51="",0,IF(AND(BE52=Milestones!$AB$65,BE51&gt;=SchemeStart),IF(AND(Milestones!$AB$65="FT",Milestones!$AA$65=FT_Y5,BE51&lt;PolicyEff),1,Milestones!$AC$65),0))</f>
        <v>0</v>
      </c>
      <c r="BF53" s="0" t="n">
        <f aca="false">IF(BF51="",0,IF(AND(BF52=Milestones!$AB$66,BF51&gt;=SchemeStart),IF(AND(Milestones!$AB$66="FT",Milestones!$AA$66=FT_Y5,BF51&lt;PolicyEff),1,Milestones!$AC$66),0))</f>
        <v>0</v>
      </c>
      <c r="BG53" s="0" t="n">
        <f aca="false">IF(BG51="",0,IF(AND(BG52=Milestones!$AB$67,BG51&gt;=SchemeStart),IF(AND(Milestones!$AB$67="FT",Milestones!$AA$67=FT_Y5,BG51&lt;PolicyEff),1,Milestones!$AC$67),0))</f>
        <v>0</v>
      </c>
      <c r="BH53" s="0" t="n">
        <f aca="false">IF(BH51="",0,IF(AND(BH52=Milestones!$AB$68,BH51&gt;=SchemeStart),IF(AND(Milestones!$AB$68="FT",Milestones!$AA$68=FT_Y5,BH51&lt;PolicyEff),1,Milestones!$AC$68),0))</f>
        <v>0</v>
      </c>
      <c r="BI53" s="0" t="n">
        <f aca="false">IF(BI51="",0,IF(AND(BI52=Milestones!$AB$69,BI51&gt;=SchemeStart),IF(AND(Milestones!$AB$69="FT",Milestones!$AA$69=FT_Y5,BI51&lt;PolicyEff),1,Milestones!$AC$69),0))</f>
        <v>0</v>
      </c>
      <c r="BJ53" s="0" t="n">
        <f aca="false">IF(BJ51="",0,IF(AND(BJ52=Milestones!$AB$70,BJ51&gt;=SchemeStart),IF(AND(Milestones!$AB$70="FT",Milestones!$AA$70=FT_Y5,BJ51&lt;PolicyEff),1,Milestones!$AC$70),0))</f>
        <v>0</v>
      </c>
      <c r="BK53" s="0" t="n">
        <f aca="false">IF(BK51="",0,IF(AND(BK52=Milestones!$AB$71,BK51&gt;=SchemeStart),IF(AND(Milestones!$AB$71="FT",Milestones!$AA$71=FT_Y5,BK51&lt;PolicyEff),1,Milestones!$AC$71),0))</f>
        <v>0</v>
      </c>
      <c r="BL53" s="0" t="n">
        <f aca="false">IF(BL51="",0,IF(AND(BL52=Milestones!$AB$72,BL51&gt;=SchemeStart),IF(AND(Milestones!$AB$72="FT",Milestones!$AA$72=FT_Y5,BL51&lt;PolicyEff),1,Milestones!$AC$72),0))</f>
        <v>0</v>
      </c>
      <c r="BM53" s="0" t="n">
        <f aca="false">IF(BM51="",0,IF(AND(BM52=Milestones!$AB$73,BM51&gt;=SchemeStart),IF(AND(Milestones!$AB$73="FT",Milestones!$AA$73=FT_Y5,BM51&lt;PolicyEff),1,Milestones!$AC$73),0))</f>
        <v>0</v>
      </c>
      <c r="BN53" s="0" t="n">
        <f aca="false">IF(BN51="",0,IF(AND(BN52=Milestones!$AB$74,BN51&gt;=SchemeStart),IF(AND(Milestones!$AB$74="FT",Milestones!$AA$74=FT_Y5,BN51&lt;PolicyEff),1,Milestones!$AC$74),0))</f>
        <v>0</v>
      </c>
      <c r="BO53" s="0" t="n">
        <f aca="false">IF(BO51="",0,IF(AND(BO52=Milestones!$AB$75,BO51&gt;=SchemeStart),IF(AND(Milestones!$AB$75="FT",Milestones!$AA$75=FT_Y5,BO51&lt;PolicyEff),1,Milestones!$AC$75),0))</f>
        <v>0</v>
      </c>
      <c r="BP53" s="0" t="n">
        <f aca="false">IF(BP51="",0,IF(AND(BP52=Milestones!$AB$76,BP51&gt;=SchemeStart),IF(AND(Milestones!$AB$76="FT",Milestones!$AA$76=FT_Y5,BP51&lt;PolicyEff),1,Milestones!$AC$76),0))</f>
        <v>0</v>
      </c>
      <c r="BQ53" s="0" t="n">
        <f aca="false">IF(BQ51="",0,IF(AND(BQ52=Milestones!$AB$77,BQ51&gt;=SchemeStart),IF(AND(Milestones!$AB$77="FT",Milestones!$AA$77=FT_Y5,BQ51&lt;PolicyEff),1,Milestones!$AC$77),0))</f>
        <v>0</v>
      </c>
      <c r="BR53" s="0" t="n">
        <f aca="false">IF(BR51="",0,IF(AND(BR52=Milestones!$AB$78,BR51&gt;=SchemeStart),IF(AND(Milestones!$AB$78="FT",Milestones!$AA$78=FT_Y5,BR51&lt;PolicyEff),1,Milestones!$AC$78),0))</f>
        <v>0</v>
      </c>
      <c r="BS53" s="0" t="n">
        <f aca="false">IF(BS51="",0,IF(AND(BS52=Milestones!$AB$79,BS51&gt;=SchemeStart),IF(AND(Milestones!$AB$79="FT",Milestones!$AA$79=FT_Y5,BS51&lt;PolicyEff),1,Milestones!$AC$79),0))</f>
        <v>0</v>
      </c>
      <c r="BT53" s="0" t="n">
        <f aca="false">IF(BT51="",0,IF(AND(BT52=Milestones!$AB$80,BT51&gt;=SchemeStart),IF(AND(Milestones!$AB$80="FT",Milestones!$AA$80=FT_Y5,BT51&lt;PolicyEff),1,Milestones!$AC$80),0))</f>
        <v>0</v>
      </c>
      <c r="BU53" s="0" t="n">
        <f aca="false">IF(BU51="",0,IF(AND(BU52=Milestones!$AB$81,BU51&gt;=SchemeStart),IF(AND(Milestones!$AB$81="FT",Milestones!$AA$81=FT_Y5,BU51&lt;PolicyEff),1,Milestones!$AC$81),0))</f>
        <v>0</v>
      </c>
      <c r="BV53" s="0" t="n">
        <f aca="false">IF(BV51="",0,IF(AND(BV52=Milestones!$AB$82,BV51&gt;=SchemeStart),IF(AND(Milestones!$AB$82="FT",Milestones!$AA$82=FT_Y5,BV51&lt;PolicyEff),1,Milestones!$AC$82),0))</f>
        <v>0</v>
      </c>
      <c r="BW53" s="0" t="n">
        <f aca="false">IF(BW51="",0,IF(AND(BW52=Milestones!$AB$83,BW51&gt;=SchemeStart),IF(AND(Milestones!$AB$83="FT",Milestones!$AA$83=FT_Y5,BW51&lt;PolicyEff),1,Milestones!$AC$83),0))</f>
        <v>0</v>
      </c>
      <c r="BX53" s="0" t="n">
        <f aca="false">IF(BX51="",0,IF(AND(BX52=Milestones!$AB$84,BX51&gt;=SchemeStart),IF(AND(Milestones!$AB$84="FT",Milestones!$AA$84=FT_Y5,BX51&lt;PolicyEff),1,Milestones!$AC$84),0))</f>
        <v>0</v>
      </c>
      <c r="BY53" s="0" t="n">
        <f aca="false">IF(BY51="",0,IF(AND(BY52=Milestones!$AB$85,BY51&gt;=SchemeStart),IF(AND(Milestones!$AB$85="FT",Milestones!$AA$85=FT_Y5,BY51&lt;PolicyEff),1,Milestones!$AC$85),0))</f>
        <v>0</v>
      </c>
      <c r="BZ53" s="0" t="n">
        <f aca="false">IF(BZ51="",0,IF(AND(BZ52=Milestones!$AB$86,BZ51&gt;=SchemeStart),IF(AND(Milestones!$AB$86="FT",Milestones!$AA$86=FT_Y5,BZ51&lt;PolicyEff),1,Milestones!$AC$86),0))</f>
        <v>0</v>
      </c>
      <c r="CA53" s="0" t="n">
        <f aca="false">IF(CA51="",0,IF(AND(CA52=Milestones!$AB$87,CA51&gt;=SchemeStart),IF(AND(Milestones!$AB$87="FT",Milestones!$AA$87=FT_Y5,CA51&lt;PolicyEff),1,Milestones!$AC$87),0))</f>
        <v>0</v>
      </c>
      <c r="CB53" s="0" t="n">
        <f aca="false">IF(CB51="",0,IF(AND(CB52=Milestones!$AB$88,CB51&gt;=SchemeStart),IF(AND(Milestones!$AB$88="FT",Milestones!$AA$88=FT_Y5,CB51&lt;PolicyEff),1,Milestones!$AC$88),0))</f>
        <v>0</v>
      </c>
      <c r="CC53" s="0" t="n">
        <f aca="false">IF(CC51="",0,IF(AND(CC52=Milestones!$AB$89,CC51&gt;=SchemeStart),IF(AND(Milestones!$AB$89="FT",Milestones!$AA$89=FT_Y5,CC51&lt;PolicyEff),1,Milestones!$AC$89),0))</f>
        <v>0</v>
      </c>
      <c r="CD53" s="0" t="n">
        <f aca="false">IF(CD51="",0,IF(AND(CD52=Milestones!$AB$90,CD51&gt;=SchemeStart),IF(AND(Milestones!$AB$90="FT",Milestones!$AA$90=FT_Y5,CD51&lt;PolicyEff),1,Milestones!$AC$90),0))</f>
        <v>0</v>
      </c>
      <c r="CE53" s="0" t="n">
        <f aca="false">IF(CE51="",0,IF(AND(CE52=Milestones!$AB$91,CE51&gt;=SchemeStart),IF(AND(Milestones!$AB$91="FT",Milestones!$AA$91=FT_Y5,CE51&lt;PolicyEff),1,Milestones!$AC$91),0))</f>
        <v>0</v>
      </c>
      <c r="CF53" s="0" t="n">
        <f aca="false">IF(CF51="",0,IF(AND(CF52=Milestones!$AB$92,CF51&gt;=SchemeStart),IF(AND(Milestones!$AB$92="FT",Milestones!$AA$92=FT_Y5,CF51&lt;PolicyEff),1,Milestones!$AC$92),0))</f>
        <v>0</v>
      </c>
      <c r="CG53" s="0" t="n">
        <f aca="false">IF(CG51="",0,IF(AND(CG52=Milestones!$AB$93,CG51&gt;=SchemeStart),IF(AND(Milestones!$AB$93="FT",Milestones!$AA$93=FT_Y5,CG51&lt;PolicyEff),1,Milestones!$AC$93),0))</f>
        <v>0</v>
      </c>
      <c r="CH53" s="0" t="n">
        <f aca="false">IF(CH51="",0,IF(AND(CH52=Milestones!$AB$94,CH51&gt;=SchemeStart),IF(AND(Milestones!$AB$94="FT",Milestones!$AA$94=FT_Y5,CH51&lt;PolicyEff),1,Milestones!$AC$94),0))</f>
        <v>0</v>
      </c>
      <c r="CI53" s="0" t="n">
        <f aca="false">IF(CI51="",0,IF(AND(CI52=Milestones!$AB$95,CI51&gt;=SchemeStart),IF(AND(Milestones!$AB$95="FT",Milestones!$AA$95=FT_Y5,CI51&lt;PolicyEff),1,Milestones!$AC$95),0))</f>
        <v>0</v>
      </c>
      <c r="CJ53" s="0" t="n">
        <f aca="false">IF(CJ51="",0,IF(AND(CJ52=Milestones!$AB$96,CJ51&gt;=SchemeStart),IF(AND(Milestones!$AB$96="FT",Milestones!$AA$96=FT_Y5,CJ51&lt;PolicyEff),1,Milestones!$AC$96),0))</f>
        <v>0</v>
      </c>
      <c r="CK53" s="0" t="n">
        <f aca="false">IF(CK51="",0,IF(AND(CK52=Milestones!$AB$97,CK51&gt;=SchemeStart),IF(AND(Milestones!$AB$97="FT",Milestones!$AA$97=FT_Y5,CK51&lt;PolicyEff),1,Milestones!$AC$97),0))</f>
        <v>0</v>
      </c>
      <c r="CL53" s="0" t="n">
        <f aca="false">IF(CL51="",0,IF(AND(CL52=Milestones!$AB$98,CL51&gt;=SchemeStart),IF(AND(Milestones!$AB$98="FT",Milestones!$AA$98=FT_Y5,CL51&lt;PolicyEff),1,Milestones!$AC$98),0))</f>
        <v>0</v>
      </c>
      <c r="CM53" s="0" t="n">
        <f aca="false">IF(CM51="",0,IF(AND(CM52=Milestones!$AB$99,CM51&gt;=SchemeStart),IF(AND(Milestones!$AB$99="FT",Milestones!$AA$99=FT_Y5,CM51&lt;PolicyEff),1,Milestones!$AC$99),0))</f>
        <v>0</v>
      </c>
      <c r="CN53" s="0" t="n">
        <f aca="false">IF(CN51="",0,IF(AND(CN52=Milestones!$AB$100,CN51&gt;=SchemeStart),IF(AND(Milestones!$AB$100="FT",Milestones!$AA$100=FT_Y5,CN51&lt;PolicyEff),1,Milestones!$AC$100),0))</f>
        <v>0</v>
      </c>
      <c r="CO53" s="0" t="n">
        <f aca="false">IF(CO51="",0,IF(AND(CO52=Milestones!$AB$101,CO51&gt;=SchemeStart),IF(AND(Milestones!$AB$101="FT",Milestones!$AA$101=FT_Y5,CO51&lt;PolicyEff),1,Milestones!$AC$101),0))</f>
        <v>0</v>
      </c>
      <c r="CP53" s="0" t="n">
        <f aca="false">IF(CP51="",0,IF(AND(CP52=Milestones!$AB$102,CP51&gt;=SchemeStart),IF(AND(Milestones!$AB$102="FT",Milestones!$AA$102=FT_Y5,CP51&lt;PolicyEff),1,Milestones!$AC$102),0))</f>
        <v>0</v>
      </c>
      <c r="CQ53" s="0" t="n">
        <f aca="false">IF(CQ51="",0,IF(AND(CQ52=Milestones!$AB$103,CQ51&gt;=SchemeStart),IF(AND(Milestones!$AB$103="FT",Milestones!$AA$103=FT_Y5,CQ51&lt;PolicyEff),1,Milestones!$AC$103),0))</f>
        <v>0</v>
      </c>
      <c r="CR53" s="0" t="n">
        <f aca="false">IF(CR51="",0,IF(AND(CR52=Milestones!$AB$104,CR51&gt;=SchemeStart),IF(AND(Milestones!$AB$104="FT",Milestones!$AA$104=FT_Y5,CR51&lt;PolicyEff),1,Milestones!$AC$104),0))</f>
        <v>0</v>
      </c>
      <c r="CS53" s="0" t="n">
        <f aca="false">IF(CS51="",0,IF(AND(CS52=Milestones!$AB$105,CS51&gt;=SchemeStart),IF(AND(Milestones!$AB$105="FT",Milestones!$AA$105=FT_Y5,CS51&lt;PolicyEff),1,Milestones!$AC$105),0))</f>
        <v>0</v>
      </c>
      <c r="CT53" s="0" t="n">
        <f aca="false">IF(CT51="",0,IF(AND(CT52=Milestones!$AB$106,CT51&gt;=SchemeStart),IF(AND(Milestones!$AB$106="FT",Milestones!$AA$106=FT_Y5,CT51&lt;PolicyEff),1,Milestones!$AC$106),0))</f>
        <v>0</v>
      </c>
      <c r="CU53" s="0" t="n">
        <f aca="false">IF(CU51="",0,IF(AND(CU52=Milestones!$AB$107,CU51&gt;=SchemeStart),IF(AND(Milestones!$AB$107="FT",Milestones!$AA$107=FT_Y5,CU51&lt;PolicyEff),1,Milestones!$AC$107),0))</f>
        <v>0</v>
      </c>
      <c r="CV53" s="0" t="n">
        <f aca="false">IF(CV51="",0,IF(AND(CV52=Milestones!$AB$108,CV51&gt;=SchemeStart),IF(AND(Milestones!$AB$108="FT",Milestones!$AA$108=FT_Y5,CV51&lt;PolicyEff),1,Milestones!$AC$108),0))</f>
        <v>0</v>
      </c>
      <c r="CW53" s="0" t="n">
        <f aca="false">IF(CW51="",0,IF(AND(CW52=Milestones!$AB$109,CW51&gt;=SchemeStart),IF(AND(Milestones!$AB$109="FT",Milestones!$AA$109=FT_Y5,CW51&lt;PolicyEff),1,Milestones!$AC$109),0))</f>
        <v>0</v>
      </c>
      <c r="CX53" s="0" t="n">
        <f aca="false">IF(CX51="",0,IF(AND(CX52=Milestones!$AB$110,CX51&gt;=SchemeStart),IF(AND(Milestones!$AB$110="FT",Milestones!$AA$110=FT_Y5,CX51&lt;PolicyEff),1,Milestones!$AC$110),0))</f>
        <v>0</v>
      </c>
      <c r="CY53" s="0" t="n">
        <f aca="false">IF(CY51="",0,IF(AND(CY52=Milestones!$AB$111,CY51&gt;=SchemeStart),IF(AND(Milestones!$AB$111="FT",Milestones!$AA$111=FT_Y5,CY51&lt;PolicyEff),1,Milestones!$AC$111),0))</f>
        <v>0</v>
      </c>
      <c r="CZ53" s="0" t="n">
        <f aca="false">IF(CZ51="",0,IF(AND(CZ52=Milestones!$AB$112,CZ51&gt;=SchemeStart),IF(AND(Milestones!$AB$112="FT",Milestones!$AA$112=FT_Y5,CZ51&lt;PolicyEff),1,Milestones!$AC$112),0))</f>
        <v>0</v>
      </c>
      <c r="DA53" s="0" t="n">
        <f aca="false">IF(DA51="",0,IF(AND(DA52=Milestones!$AB$113,DA51&gt;=SchemeStart),IF(AND(Milestones!$AB$113="FT",Milestones!$AA$113=FT_Y5,DA51&lt;PolicyEff),1,Milestones!$AC$113),0))</f>
        <v>0</v>
      </c>
      <c r="DB53" s="0" t="n">
        <f aca="false">IF(DB51="",0,IF(AND(DB52=Milestones!$AB$114,DB51&gt;=SchemeStart),IF(AND(Milestones!$AB$114="FT",Milestones!$AA$114=FT_Y5,DB51&lt;PolicyEff),1,Milestones!$AC$114),0))</f>
        <v>0</v>
      </c>
      <c r="DC53" s="0" t="n">
        <f aca="false">IF(DC51="",0,IF(AND(DC52=Milestones!$AB$115,DC51&gt;=SchemeStart),IF(AND(Milestones!$AB$115="FT",Milestones!$AA$115=FT_Y5,DC51&lt;PolicyEff),1,Milestones!$AC$115),0))</f>
        <v>0</v>
      </c>
      <c r="DD53" s="0" t="n">
        <f aca="false">IF(DD51="",0,IF(AND(DD52=Milestones!$AB$116,DD51&gt;=SchemeStart),IF(AND(Milestones!$AB$116="FT",Milestones!$AA$116=FT_Y5,DD51&lt;PolicyEff),1,Milestones!$AC$116),0))</f>
        <v>0</v>
      </c>
      <c r="DE53" s="0" t="n">
        <f aca="false">IF(DE51="",0,IF(AND(DE52=Milestones!$AB$117,DE51&gt;=SchemeStart),IF(AND(Milestones!$AB$117="FT",Milestones!$AA$117=FT_Y5,DE51&lt;PolicyEff),1,Milestones!$AC$117),0))</f>
        <v>0</v>
      </c>
      <c r="DF53" s="0" t="n">
        <f aca="false">IF(DF51="",0,IF(AND(DF52=Milestones!$AB$118,DF51&gt;=SchemeStart),IF(AND(Milestones!$AB$118="FT",Milestones!$AA$118=FT_Y5,DF51&lt;PolicyEff),1,Milestones!$AC$118),0))</f>
        <v>0</v>
      </c>
      <c r="DG53" s="0" t="n">
        <f aca="false">IF(DG51="",0,IF(AND(DG52=Milestones!$AB$119,DG51&gt;=SchemeStart),IF(AND(Milestones!$AB$119="FT",Milestones!$AA$119=FT_Y5,DG51&lt;PolicyEff),1,Milestones!$AC$119),0))</f>
        <v>0</v>
      </c>
      <c r="DH53" s="0" t="n">
        <f aca="false">IF(DH51="",0,IF(AND(DH52=Milestones!$AB$120,DH51&gt;=SchemeStart),IF(AND(Milestones!$AB$120="FT",Milestones!$AA$120=FT_Y5,DH51&lt;PolicyEff),1,Milestones!$AC$120),0))</f>
        <v>0</v>
      </c>
      <c r="DI53" s="0" t="n">
        <f aca="false">IF(DI51="",0,IF(AND(DI52=Milestones!$AB$121,DI51&gt;=SchemeStart),IF(AND(Milestones!$AB$121="FT",Milestones!$AA$121=FT_Y5,DI51&lt;PolicyEff),1,Milestones!$AC$121),0))</f>
        <v>0</v>
      </c>
      <c r="DJ53" s="0" t="n">
        <f aca="false">IF(DJ51="",0,IF(AND(DJ52=Milestones!$AB$122,DJ51&gt;=SchemeStart),IF(AND(Milestones!$AB$122="FT",Milestones!$AA$122=FT_Y5,DJ51&lt;PolicyEff),1,Milestones!$AC$122),0))</f>
        <v>0</v>
      </c>
      <c r="DK53" s="0" t="n">
        <f aca="false">IF(DK51="",0,IF(AND(DK52=Milestones!$AB$123,DK51&gt;=SchemeStart),IF(AND(Milestones!$AB$123="FT",Milestones!$AA$123=FT_Y5,DK51&lt;PolicyEff),1,Milestones!$AC$123),0))</f>
        <v>0</v>
      </c>
      <c r="DL53" s="0" t="n">
        <f aca="false">IF(DL51="",0,IF(AND(DL52=Milestones!$AB$124,DL51&gt;=SchemeStart),IF(AND(Milestones!$AB$124="FT",Milestones!$AA$124=FT_Y5,DL51&lt;PolicyEff),1,Milestones!$AC$124),0))</f>
        <v>0</v>
      </c>
      <c r="DM53" s="0" t="n">
        <f aca="false">IF(DM51="",0,IF(AND(DM52=Milestones!$AB$125,DM51&gt;=SchemeStart),IF(AND(Milestones!$AB$125="FT",Milestones!$AA$125=FT_Y5,DM51&lt;PolicyEff),1,Milestones!$AC$125),0))</f>
        <v>0</v>
      </c>
      <c r="DN53" s="0" t="n">
        <f aca="false">IF(DN51="",0,IF(AND(DN52=Milestones!$AB$126,DN51&gt;=SchemeStart),IF(AND(Milestones!$AB$126="FT",Milestones!$AA$126=FT_Y5,DN51&lt;PolicyEff),1,Milestones!$AC$126),0))</f>
        <v>0</v>
      </c>
      <c r="DO53" s="0" t="n">
        <f aca="false">IF(DO51="",0,IF(AND(DO52=Milestones!$AB$127,DO51&gt;=SchemeStart),IF(AND(Milestones!$AB$127="FT",Milestones!$AA$127=FT_Y5,DO51&lt;PolicyEff),1,Milestones!$AC$127),0))</f>
        <v>0</v>
      </c>
      <c r="DP53" s="0" t="n">
        <f aca="false">IF(DP51="",0,IF(AND(DP52=Milestones!$AB$128,DP51&gt;=SchemeStart),IF(AND(Milestones!$AB$128="FT",Milestones!$AA$128=FT_Y5,DP51&lt;PolicyEff),1,Milestones!$AC$128),0))</f>
        <v>0</v>
      </c>
      <c r="DQ53" s="0" t="n">
        <f aca="false">IF(DQ51="",0,IF(AND(DQ52=Milestones!$AB$129,DQ51&gt;=SchemeStart),IF(AND(Milestones!$AB$129="FT",Milestones!$AA$129=FT_Y5,DQ51&lt;PolicyEff),1,Milestones!$AC$129),0))</f>
        <v>0</v>
      </c>
      <c r="DR53" s="0" t="n">
        <f aca="false">IF(DR51="",0,IF(AND(DR52=Milestones!$AB$130,DR51&gt;=SchemeStart),IF(AND(Milestones!$AB$130="FT",Milestones!$AA$130=FT_Y5,DR51&lt;PolicyEff),1,Milestones!$AC$130),0))</f>
        <v>0</v>
      </c>
      <c r="DS53" s="0" t="n">
        <f aca="false">IF(DS51="",0,IF(AND(DS52=Milestones!$AB$131,DS51&gt;=SchemeStart),IF(AND(Milestones!$AB$131="FT",Milestones!$AA$131=FT_Y5,DS51&lt;PolicyEff),1,Milestones!$AC$131),0))</f>
        <v>0</v>
      </c>
      <c r="DT53" s="0" t="n">
        <f aca="false">IF(DT51="",0,IF(AND(DT52=Milestones!$AB$132,DT51&gt;=SchemeStart),IF(AND(Milestones!$AB$132="FT",Milestones!$AA$132=FT_Y5,DT51&lt;PolicyEff),1,Milestones!$AC$132),0))</f>
        <v>0</v>
      </c>
      <c r="DU53" s="0" t="n">
        <f aca="false">IF(DU51="",0,IF(AND(DU52=Milestones!$AB$133,DU51&gt;=SchemeStart),IF(AND(Milestones!$AB$133="FT",Milestones!$AA$133=FT_Y5,DU51&lt;PolicyEff),1,Milestones!$AC$133),0))</f>
        <v>0</v>
      </c>
      <c r="DV53" s="0" t="n">
        <f aca="false">IF(DV51="",0,IF(AND(DV52=Milestones!$AB$134,DV51&gt;=SchemeStart),IF(AND(Milestones!$AB$134="FT",Milestones!$AA$134=FT_Y5,DV51&lt;PolicyEff),1,Milestones!$AC$134),0))</f>
        <v>0</v>
      </c>
      <c r="DW53" s="0" t="n">
        <f aca="false">IF(DW51="",0,IF(AND(DW52=Milestones!$AB$135,DW51&gt;=SchemeStart),IF(AND(Milestones!$AB$135="FT",Milestones!$AA$135=FT_Y5,DW51&lt;PolicyEff),1,Milestones!$AC$135),0))</f>
        <v>0</v>
      </c>
      <c r="DX53" s="0" t="n">
        <f aca="false">IF(DX51="",0,IF(AND(DX52=Milestones!$AB$136,DX51&gt;=SchemeStart),IF(AND(Milestones!$AB$136="FT",Milestones!$AA$136=FT_Y5,DX51&lt;PolicyEff),1,Milestones!$AC$136),0))</f>
        <v>0</v>
      </c>
      <c r="DY53" s="0" t="n">
        <f aca="false">IF(DY51="",0,IF(AND(DY52=Milestones!$AB$137,DY51&gt;=SchemeStart),IF(AND(Milestones!$AB$137="FT",Milestones!$AA$137=FT_Y5,DY51&lt;PolicyEff),1,Milestones!$AC$137),0))</f>
        <v>0</v>
      </c>
      <c r="DZ53" s="0" t="n">
        <f aca="false">IF(DZ51="",0,IF(AND(DZ52=Milestones!$AB$138,DZ51&gt;=SchemeStart),IF(AND(Milestones!$AB$138="FT",Milestones!$AA$138=FT_Y5,DZ51&lt;PolicyEff),1,Milestones!$AC$138),0))</f>
        <v>0</v>
      </c>
      <c r="EA53" s="0" t="n">
        <f aca="false">IF(EA51="",0,IF(AND(EA52=Milestones!$AB$139,EA51&gt;=SchemeStart),IF(AND(Milestones!$AB$139="FT",Milestones!$AA$139=FT_Y5,EA51&lt;PolicyEff),1,Milestones!$AC$139),0))</f>
        <v>0</v>
      </c>
      <c r="EB53" s="0" t="n">
        <f aca="false">IF(EB51="",0,IF(AND(EB52=Milestones!$AB$140,EB51&gt;=SchemeStart),IF(AND(Milestones!$AB$140="FT",Milestones!$AA$140=FT_Y5,EB51&lt;PolicyEff),1,Milestones!$AC$140),0))</f>
        <v>0</v>
      </c>
      <c r="EC53" s="0" t="n">
        <f aca="false">IF(EC51="",0,IF(AND(EC52=Milestones!$AB$141,EC51&gt;=SchemeStart),IF(AND(Milestones!$AB$141="FT",Milestones!$AA$141=FT_Y5,EC51&lt;PolicyEff),1,Milestones!$AC$141),0))</f>
        <v>0</v>
      </c>
      <c r="ED53" s="0" t="n">
        <f aca="false">IF(ED51="",0,IF(AND(ED52=Milestones!$AB$142,ED51&gt;=SchemeStart),IF(AND(Milestones!$AB$142="FT",Milestones!$AA$142=FT_Y5,ED51&lt;PolicyEff),1,Milestones!$AC$142),0))</f>
        <v>0</v>
      </c>
      <c r="EE53" s="0" t="n">
        <f aca="false">IF(EE51="",0,IF(AND(EE52=Milestones!$AB$143,EE51&gt;=SchemeStart),IF(AND(Milestones!$AB$143="FT",Milestones!$AA$143=FT_Y5,EE51&lt;PolicyEff),1,Milestones!$AC$143),0))</f>
        <v>0</v>
      </c>
      <c r="EF53" s="0" t="n">
        <f aca="false">IF(EF51="",0,IF(AND(EF52=Milestones!$AB$144,EF51&gt;=SchemeStart),IF(AND(Milestones!$AB$144="FT",Milestones!$AA$144=FT_Y5,EF51&lt;PolicyEff),1,Milestones!$AC$144),0))</f>
        <v>0</v>
      </c>
      <c r="EG53" s="0" t="n">
        <f aca="false">IF(EG51="",0,IF(AND(EG52=Milestones!$AB$145,EG51&gt;=SchemeStart),IF(AND(Milestones!$AB$145="FT",Milestones!$AA$145=FT_Y5,EG51&lt;PolicyEff),1,Milestones!$AC$145),0))</f>
        <v>0</v>
      </c>
      <c r="EH53" s="0" t="n">
        <f aca="false">IF(EH51="",0,IF(AND(EH52=Milestones!$AB$146,EH51&gt;=SchemeStart),IF(AND(Milestones!$AB$146="FT",Milestones!$AA$146=FT_Y5,EH51&lt;PolicyEff),1,Milestones!$AC$146),0))</f>
        <v>0</v>
      </c>
      <c r="EI53" s="0" t="n">
        <f aca="false">IF(EI51="",0,IF(AND(EI52=Milestones!$AB$147,EI51&gt;=SchemeStart),IF(AND(Milestones!$AB$147="FT",Milestones!$AA$147=FT_Y5,EI51&lt;PolicyEff),1,Milestones!$AC$147),0))</f>
        <v>0</v>
      </c>
      <c r="EJ53" s="0" t="n">
        <f aca="false">IF(EJ51="",0,IF(AND(EJ52=Milestones!$AB$148,EJ51&gt;=SchemeStart),IF(AND(Milestones!$AB$148="FT",Milestones!$AA$148=FT_Y5,EJ51&lt;PolicyEff),1,Milestones!$AC$148),0))</f>
        <v>0</v>
      </c>
      <c r="EK53" s="0" t="n">
        <f aca="false">IF(EK51="",0,IF(AND(EK52=Milestones!$AB$149,EK51&gt;=SchemeStart),IF(AND(Milestones!$AB$149="FT",Milestones!$AA$149=FT_Y5,EK51&lt;PolicyEff),1,Milestones!$AC$149),0))</f>
        <v>0</v>
      </c>
      <c r="EL53" s="0" t="n">
        <f aca="false">IF(EL51="",0,IF(AND(EL52=Milestones!$AB$150,EL51&gt;=SchemeStart),IF(AND(Milestones!$AB$150="FT",Milestones!$AA$150=FT_Y5,EL51&lt;PolicyEff),1,Milestones!$AC$150),0))</f>
        <v>0</v>
      </c>
      <c r="EM53" s="0" t="n">
        <f aca="false">IF(EM51="",0,IF(AND(EM52=Milestones!$AB$151,EM51&gt;=SchemeStart),IF(AND(Milestones!$AB$151="FT",Milestones!$AA$151=FT_Y5,EM51&lt;PolicyEff),1,Milestones!$AC$151),0))</f>
        <v>0</v>
      </c>
      <c r="EN53" s="0" t="n">
        <f aca="false">IF(EN51="",0,IF(AND(EN52=Milestones!$AB$152,EN51&gt;=SchemeStart),IF(AND(Milestones!$AB$152="FT",Milestones!$AA$152=FT_Y5,EN51&lt;PolicyEff),1,Milestones!$AC$152),0))</f>
        <v>0</v>
      </c>
      <c r="EO53" s="0" t="n">
        <f aca="false">IF(EO51="",0,IF(AND(EO52=Milestones!$AB$153,EO51&gt;=SchemeStart),IF(AND(Milestones!$AB$153="FT",Milestones!$AA$153=FT_Y5,EO51&lt;PolicyEff),1,Milestones!$AC$153),0))</f>
        <v>0</v>
      </c>
      <c r="EP53" s="0" t="n">
        <f aca="false">IF(EP51="",0,IF(AND(EP52=Milestones!$AB$154,EP51&gt;=SchemeStart),IF(AND(Milestones!$AB$154="FT",Milestones!$AA$154=FT_Y5,EP51&lt;PolicyEff),1,Milestones!$AC$154),0))</f>
        <v>0</v>
      </c>
      <c r="EQ53" s="0" t="n">
        <f aca="false">IF(EQ51="",0,IF(AND(EQ52=Milestones!$AB$155,EQ51&gt;=SchemeStart),IF(AND(Milestones!$AB$155="FT",Milestones!$AA$155=FT_Y5,EQ51&lt;PolicyEff),1,Milestones!$AC$155),0))</f>
        <v>0</v>
      </c>
      <c r="ER53" s="0" t="n">
        <f aca="false">IF(ER51="",0,IF(AND(ER52=Milestones!$AB$156,ER51&gt;=SchemeStart),IF(AND(Milestones!$AB$156="FT",Milestones!$AA$156=FT_Y5,ER51&lt;PolicyEff),1,Milestones!$AC$156),0))</f>
        <v>0</v>
      </c>
      <c r="ES53" s="0" t="n">
        <f aca="false">IF(ES51="",0,IF(AND(ES52=Milestones!$AB$157,ES51&gt;=SchemeStart),IF(AND(Milestones!$AB$157="FT",Milestones!$AA$157=FT_Y5,ES51&lt;PolicyEff),1,Milestones!$AC$157),0))</f>
        <v>0</v>
      </c>
      <c r="ET53" s="0" t="n">
        <f aca="false">IF(ET51="",0,IF(AND(ET52=Milestones!$AB$158,ET51&gt;=SchemeStart),IF(AND(Milestones!$AB$158="FT",Milestones!$AA$158=FT_Y5,ET51&lt;PolicyEff),1,Milestones!$AC$158),0))</f>
        <v>0</v>
      </c>
      <c r="EU53" s="0" t="n">
        <f aca="false">IF(EU51="",0,IF(AND(EU52=Milestones!$AB$159,EU51&gt;=SchemeStart),IF(AND(Milestones!$AB$159="FT",Milestones!$AA$159=FT_Y5,EU51&lt;PolicyEff),1,Milestones!$AC$159),0))</f>
        <v>0</v>
      </c>
      <c r="EV53" s="0" t="n">
        <f aca="false">IF(EV51="",0,IF(AND(EV52=Milestones!$AB$160,EV51&gt;=SchemeStart),IF(AND(Milestones!$AB$160="FT",Milestones!$AA$160=FT_Y5,EV51&lt;PolicyEff),1,Milestones!$AC$160),0))</f>
        <v>0</v>
      </c>
      <c r="EW53" s="0" t="n">
        <f aca="false">IF(EW51="",0,IF(AND(EW52=Milestones!$AB$161,EW51&gt;=SchemeStart),IF(AND(Milestones!$AB$161="FT",Milestones!$AA$161=FT_Y5,EW51&lt;PolicyEff),1,Milestones!$AC$161),0))</f>
        <v>0</v>
      </c>
      <c r="EX53" s="0" t="n">
        <f aca="false">IF(EX51="",0,IF(AND(EX52=Milestones!$AB$162,EX51&gt;=SchemeStart),IF(AND(Milestones!$AB$162="FT",Milestones!$AA$162=FT_Y5,EX51&lt;PolicyEff),1,Milestones!$AC$162),0))</f>
        <v>0</v>
      </c>
      <c r="EY53" s="0" t="n">
        <f aca="false">IF(EY51="",0,IF(AND(EY52=Milestones!$AB$163,EY51&gt;=SchemeStart),IF(AND(Milestones!$AB$163="FT",Milestones!$AA$163=FT_Y5,EY51&lt;PolicyEff),1,Milestones!$AC$163),0))</f>
        <v>0</v>
      </c>
      <c r="EZ53" s="0" t="n">
        <f aca="false">IF(EZ51="",0,IF(AND(EZ52=Milestones!$AB$164,EZ51&gt;=SchemeStart),IF(AND(Milestones!$AB$164="FT",Milestones!$AA$164=FT_Y5,EZ51&lt;PolicyEff),1,Milestones!$AC$164),0))</f>
        <v>0</v>
      </c>
      <c r="FA53" s="0" t="n">
        <f aca="false">IF(FA51="",0,IF(AND(FA52=Milestones!$AB$165,FA51&gt;=SchemeStart),IF(AND(Milestones!$AB$165="FT",Milestones!$AA$165=FT_Y5,FA51&lt;PolicyEff),1,Milestones!$AC$165),0))</f>
        <v>0</v>
      </c>
      <c r="FB53" s="0" t="n">
        <f aca="false">IF(FB51="",0,IF(AND(FB52=Milestones!$AB$166,FB51&gt;=SchemeStart),IF(AND(Milestones!$AB$166="FT",Milestones!$AA$166=FT_Y5,FB51&lt;PolicyEff),1,Milestones!$AC$166),0))</f>
        <v>0</v>
      </c>
      <c r="FC53" s="0" t="n">
        <f aca="false">IF(FC51="",0,IF(AND(FC52=Milestones!$AB$167,FC51&gt;=SchemeStart),IF(AND(Milestones!$AB$167="FT",Milestones!$AA$167=FT_Y5,FC51&lt;PolicyEff),1,Milestones!$AC$167),0))</f>
        <v>0</v>
      </c>
      <c r="FD53" s="0" t="n">
        <f aca="false">IF(FD51="",0,IF(AND(FD52=Milestones!$AB$168,FD51&gt;=SchemeStart),IF(AND(Milestones!$AB$168="FT",Milestones!$AA$168=FT_Y5,FD51&lt;PolicyEff),1,Milestones!$AC$168),0))</f>
        <v>0</v>
      </c>
      <c r="FE53" s="0" t="n">
        <f aca="false">IF(FE51="",0,IF(AND(FE52=Milestones!$AB$169,FE51&gt;=SchemeStart),IF(AND(Milestones!$AB$169="FT",Milestones!$AA$169=FT_Y5,FE51&lt;PolicyEff),1,Milestones!$AC$169),0))</f>
        <v>0</v>
      </c>
      <c r="FF53" s="0" t="n">
        <f aca="false">IF(FF51="",0,IF(AND(FF52=Milestones!$AB$170,FF51&gt;=SchemeStart),IF(AND(Milestones!$AB$170="FT",Milestones!$AA$170=FT_Y5,FF51&lt;PolicyEff),1,Milestones!$AC$170),0))</f>
        <v>0</v>
      </c>
      <c r="FG53" s="0" t="n">
        <f aca="false">IF(FG51="",0,IF(AND(FG52=Milestones!$AB$171,FG51&gt;=SchemeStart),IF(AND(Milestones!$AB$171="FT",Milestones!$AA$171=FT_Y5,FG51&lt;PolicyEff),1,Milestones!$AC$171),0))</f>
        <v>0</v>
      </c>
      <c r="FH53" s="0" t="n">
        <f aca="false">IF(FH51="",0,IF(AND(FH52=Milestones!$AB$172,FH51&gt;=SchemeStart),IF(AND(Milestones!$AB$172="FT",Milestones!$AA$172=FT_Y5,FH51&lt;PolicyEff),1,Milestones!$AC$172),0))</f>
        <v>0</v>
      </c>
      <c r="FI53" s="0" t="n">
        <f aca="false">IF(FI51="",0,IF(AND(FI52=Milestones!$AB$173,FI51&gt;=SchemeStart),IF(AND(Milestones!$AB$173="FT",Milestones!$AA$173=FT_Y5,FI51&lt;PolicyEff),1,Milestones!$AC$173),0))</f>
        <v>0</v>
      </c>
      <c r="FJ53" s="0" t="n">
        <f aca="false">IF(FJ51="",0,IF(AND(FJ52=Milestones!$AB$174,FJ51&gt;=SchemeStart),IF(AND(Milestones!$AB$174="FT",Milestones!$AA$174=FT_Y5,FJ51&lt;PolicyEff),1,Milestones!$AC$174),0))</f>
        <v>0</v>
      </c>
      <c r="FK53" s="0" t="n">
        <f aca="false">IF(FK51="",0,IF(AND(FK52=Milestones!$AB$175,FK51&gt;=SchemeStart),IF(AND(Milestones!$AB$175="FT",Milestones!$AA$175=FT_Y5,FK51&lt;PolicyEff),1,Milestones!$AC$175),0))</f>
        <v>0</v>
      </c>
      <c r="FL53" s="0" t="n">
        <f aca="false">IF(FL51="",0,IF(AND(FL52=Milestones!$AB$176,FL51&gt;=SchemeStart),IF(AND(Milestones!$AB$176="FT",Milestones!$AA$176=FT_Y5,FL51&lt;PolicyEff),1,Milestones!$AC$176),0))</f>
        <v>0</v>
      </c>
      <c r="FM53" s="0" t="n">
        <f aca="false">IF(FM51="",0,IF(AND(FM52=Milestones!$AB$177,FM51&gt;=SchemeStart),IF(AND(Milestones!$AB$177="FT",Milestones!$AA$177=FT_Y5,FM51&lt;PolicyEff),1,Milestones!$AC$177),0))</f>
        <v>0</v>
      </c>
      <c r="FN53" s="0" t="n">
        <f aca="false">IF(FN51="",0,IF(AND(FN52=Milestones!$AB$178,FN51&gt;=SchemeStart),IF(AND(Milestones!$AB$178="FT",Milestones!$AA$178=FT_Y5,FN51&lt;PolicyEff),1,Milestones!$AC$178),0))</f>
        <v>0</v>
      </c>
      <c r="FO53" s="0" t="n">
        <f aca="false">IF(FO51="",0,IF(AND(FO52=Milestones!$AB$179,FO51&gt;=SchemeStart),IF(AND(Milestones!$AB$179="FT",Milestones!$AA$179=FT_Y5,FO51&lt;PolicyEff),1,Milestones!$AC$179),0))</f>
        <v>0</v>
      </c>
      <c r="FP53" s="0" t="n">
        <f aca="false">IF(FP51="",0,IF(AND(FP52=Milestones!$AB$180,FP51&gt;=SchemeStart),IF(AND(Milestones!$AB$180="FT",Milestones!$AA$180=FT_Y5,FP51&lt;PolicyEff),1,Milestones!$AC$180),0))</f>
        <v>0</v>
      </c>
      <c r="FQ53" s="0" t="n">
        <f aca="false">IF(FQ51="",0,IF(AND(FQ52=Milestones!$AB$181,FQ51&gt;=SchemeStart),IF(AND(Milestones!$AB$181="FT",Milestones!$AA$181=FT_Y5,FQ51&lt;PolicyEff),1,Milestones!$AC$181),0))</f>
        <v>0</v>
      </c>
      <c r="FR53" s="0" t="n">
        <f aca="false">IF(FR51="",0,IF(AND(FR52=Milestones!$AB$182,FR51&gt;=SchemeStart),IF(AND(Milestones!$AB$182="FT",Milestones!$AA$182=FT_Y5,FR51&lt;PolicyEff),1,Milestones!$AC$182),0))</f>
        <v>0</v>
      </c>
      <c r="FS53" s="0" t="n">
        <f aca="false">IF(FS51="",0,IF(AND(FS52=Milestones!$AB$183,FS51&gt;=SchemeStart),IF(AND(Milestones!$AB$183="FT",Milestones!$AA$183=FT_Y5,FS51&lt;PolicyEff),1,Milestones!$AC$183),0))</f>
        <v>0</v>
      </c>
      <c r="FT53" s="0" t="n">
        <f aca="false">IF(FT51="",0,IF(AND(FT52=Milestones!$AB$184,FT51&gt;=SchemeStart),IF(AND(Milestones!$AB$184="FT",Milestones!$AA$184=FT_Y5,FT51&lt;PolicyEff),1,Milestones!$AC$184),0))</f>
        <v>0</v>
      </c>
      <c r="FU53" s="0" t="n">
        <f aca="false">IF(FU51="",0,IF(AND(FU52=Milestones!$AB$185,FU51&gt;=SchemeStart),IF(AND(Milestones!$AB$185="FT",Milestones!$AA$185=FT_Y5,FU51&lt;PolicyEff),1,Milestones!$AC$185),0))</f>
        <v>0</v>
      </c>
      <c r="FV53" s="0" t="n">
        <f aca="false">IF(FV51="",0,IF(AND(FV52=Milestones!$AB$186,FV51&gt;=SchemeStart),IF(AND(Milestones!$AB$186="FT",Milestones!$AA$186=FT_Y5,FV51&lt;PolicyEff),1,Milestones!$AC$186),0))</f>
        <v>0</v>
      </c>
      <c r="FW53" s="0" t="n">
        <f aca="false">IF(FW51="",0,IF(AND(FW52=Milestones!$AB$187,FW51&gt;=SchemeStart),IF(AND(Milestones!$AB$187="FT",Milestones!$AA$187=FT_Y5,FW51&lt;PolicyEff),1,Milestones!$AC$187),0))</f>
        <v>0</v>
      </c>
      <c r="FX53" s="0" t="n">
        <f aca="false">IF(FX51="",0,IF(AND(FX52=Milestones!$AB$188,FX51&gt;=SchemeStart),IF(AND(Milestones!$AB$188="FT",Milestones!$AA$188=FT_Y5,FX51&lt;PolicyEff),1,Milestones!$AC$188),0))</f>
        <v>0</v>
      </c>
      <c r="FY53" s="0" t="n">
        <f aca="false">IF(FY51="",0,IF(AND(FY52=Milestones!$AB$189,FY51&gt;=SchemeStart),IF(AND(Milestones!$AB$189="FT",Milestones!$AA$189=FT_Y5,FY51&lt;PolicyEff),1,Milestones!$AC$189),0))</f>
        <v>0</v>
      </c>
      <c r="FZ53" s="0" t="n">
        <f aca="false">IF(FZ51="",0,IF(AND(FZ52=Milestones!$AB$190,FZ51&gt;=SchemeStart),IF(AND(Milestones!$AB$190="FT",Milestones!$AA$190=FT_Y5,FZ51&lt;PolicyEff),1,Milestones!$AC$190),0))</f>
        <v>0</v>
      </c>
      <c r="GA53" s="0" t="n">
        <f aca="false">IF(GA51="",0,IF(AND(GA52=Milestones!$AB$191,GA51&gt;=SchemeStart),IF(AND(Milestones!$AB$191="FT",Milestones!$AA$191=FT_Y5,GA51&lt;PolicyEff),1,Milestones!$AC$191),0))</f>
        <v>0</v>
      </c>
      <c r="GB53" s="0" t="n">
        <f aca="false">IF(GB51="",0,IF(AND(GB52=Milestones!$AB$192,GB51&gt;=SchemeStart),IF(AND(Milestones!$AB$192="FT",Milestones!$AA$192=FT_Y5,GB51&lt;PolicyEff),1,Milestones!$AC$192),0))</f>
        <v>0</v>
      </c>
      <c r="GC53" s="0" t="n">
        <f aca="false">IF(GC51="",0,IF(AND(GC52=Milestones!$AB$193,GC51&gt;=SchemeStart),IF(AND(Milestones!$AB$193="FT",Milestones!$AA$193=FT_Y5,GC51&lt;PolicyEff),1,Milestones!$AC$193),0))</f>
        <v>0</v>
      </c>
      <c r="GD53" s="0" t="n">
        <f aca="false">IF(GD51="",0,IF(AND(GD52=Milestones!$AB$194,GD51&gt;=SchemeStart),IF(AND(Milestones!$AB$194="FT",Milestones!$AA$194=FT_Y5,GD51&lt;PolicyEff),1,Milestones!$AC$194),0))</f>
        <v>0</v>
      </c>
      <c r="GE53" s="0" t="n">
        <f aca="false">IF(GE51="",0,IF(AND(GE52=Milestones!$AB$195,GE51&gt;=SchemeStart),IF(AND(Milestones!$AB$195="FT",Milestones!$AA$195=FT_Y5,GE51&lt;PolicyEff),1,Milestones!$AC$195),0))</f>
        <v>0</v>
      </c>
      <c r="GF53" s="0" t="n">
        <f aca="false">IF(GF51="",0,IF(AND(GF52=Milestones!$AB$196,GF51&gt;=SchemeStart),IF(AND(Milestones!$AB$196="FT",Milestones!$AA$196=FT_Y5,GF51&lt;PolicyEff),1,Milestones!$AC$196),0))</f>
        <v>0</v>
      </c>
      <c r="GG53" s="0" t="n">
        <f aca="false">IF(GG51="",0,IF(AND(GG52=Milestones!$AB$197,GG51&gt;=SchemeStart),IF(AND(Milestones!$AB$197="FT",Milestones!$AA$197=FT_Y5,GG51&lt;PolicyEff),1,Milestones!$AC$197),0))</f>
        <v>0</v>
      </c>
      <c r="GH53" s="0" t="n">
        <f aca="false">IF(GH51="",0,IF(AND(GH52=Milestones!$AB$198,GH51&gt;=SchemeStart),IF(AND(Milestones!$AB$198="FT",Milestones!$AA$198=FT_Y5,GH51&lt;PolicyEff),1,Milestones!$AC$198),0))</f>
        <v>0</v>
      </c>
      <c r="GI53" s="0" t="n">
        <f aca="false">IF(GI51="",0,IF(AND(GI52=Milestones!$AB$199,GI51&gt;=SchemeStart),IF(AND(Milestones!$AB$199="FT",Milestones!$AA$199=FT_Y5,GI51&lt;PolicyEff),1,Milestones!$AC$199),0))</f>
        <v>0</v>
      </c>
    </row>
    <row r="54" customFormat="false" ht="15" hidden="false" customHeight="false" outlineLevel="0" collapsed="false">
      <c r="A54" s="0" t="str">
        <f aca="false">IF('HR Tally Check'!S$7="","",'HR Tally Check'!S$7)</f>
        <v/>
      </c>
      <c r="B54" s="0" t="str">
        <f aca="false">IF(A54="","",ISNUMBER(MATCH(A54,Staff!$BR$5:$BR$154,0)))</f>
        <v/>
      </c>
      <c r="C54" s="20" t="str">
        <f aca="false">IF(B54&lt;&gt;TRUE(),"",INDEX(Staff!$AL$5:$AL$154,MATCH($A54,Staff!$BR$5:$BR$154,0)))</f>
        <v/>
      </c>
      <c r="D54" s="0" t="str">
        <f aca="false">IF(B54&lt;&gt;TRUE(),"",INDEX(Staff!$AM$5:$AM$154,MATCH($A54,Staff!$BR$5:$BR$154,0)))</f>
        <v/>
      </c>
      <c r="E54" s="20" t="str">
        <f aca="false">IF(B54&lt;&gt;TRUE(),"",INDEX(Staff!$AO$5:$AO$154,MATCH($A54,Staff!$BR$5:$BR$154,0)))</f>
        <v/>
      </c>
      <c r="F54" s="20" t="str">
        <f aca="false">IF(B54&lt;&gt;TRUE(),"",INDEX(Staff!$AP$5:$AP$154,MATCH($A54,Staff!$BR$5:$BR$154,0)))</f>
        <v/>
      </c>
      <c r="G54" s="0" t="str">
        <f aca="false">IF(B54&lt;&gt;TRUE(),"",INDEX(Staff!$AT$5:$AT$154,MATCH($A54,Staff!$BR$5:$BR$154,0)))</f>
        <v/>
      </c>
      <c r="H54" s="0" t="str">
        <f aca="false">IF(B54&lt;&gt;TRUE(),"",INDEX(Staff!$AU$5:$AU$154,MATCH($A54,Staff!$BR$5:$BR$154,0)))</f>
        <v/>
      </c>
      <c r="I54" s="0" t="str">
        <f aca="false">IF(B54&lt;&gt;TRUE(),"",INDEX(Staff!$AV$5:$AV$154,MATCH($A54,Staff!$BR$5:$BR$154,0)))</f>
        <v/>
      </c>
      <c r="J54" s="0" t="str">
        <f aca="false">IF(B54&lt;&gt;TRUE(),"",INDEX(Staff!$AW$5:$AW$154,MATCH($A54,Staff!$BR$5:$BR$154,0)))</f>
        <v/>
      </c>
      <c r="K54" s="33" t="s">
        <v>262</v>
      </c>
      <c r="L54" s="20" t="str">
        <f aca="false">IF($C54="","",EDATE($C54,Milestones!$AA$20))</f>
        <v/>
      </c>
      <c r="M54" s="20" t="str">
        <f aca="false">IF($C54="","",EDATE($C54,Milestones!$AA$21))</f>
        <v/>
      </c>
      <c r="N54" s="20" t="str">
        <f aca="false">IF($C54="","",EDATE($C54,Milestones!$AA$22))</f>
        <v/>
      </c>
      <c r="O54" s="20" t="str">
        <f aca="false">IF($C54="","",EDATE($C54,Milestones!$AA$23))</f>
        <v/>
      </c>
      <c r="P54" s="20" t="str">
        <f aca="false">IF($C54="","",EDATE($C54,Milestones!$AA$24))</f>
        <v/>
      </c>
      <c r="Q54" s="20" t="str">
        <f aca="false">IF($C54="","",EDATE($C54,Milestones!$AA$25))</f>
        <v/>
      </c>
      <c r="R54" s="20" t="str">
        <f aca="false">IF($C54="","",EDATE($C54,Milestones!$AA$26))</f>
        <v/>
      </c>
      <c r="S54" s="20" t="str">
        <f aca="false">IF($C54="","",EDATE($C54,Milestones!$AA$27))</f>
        <v/>
      </c>
      <c r="T54" s="20" t="str">
        <f aca="false">IF($C54="","",EDATE($C54,Milestones!$AA$28))</f>
        <v/>
      </c>
      <c r="U54" s="20" t="str">
        <f aca="false">IF($C54="","",EDATE($C54,Milestones!$AA$29))</f>
        <v/>
      </c>
      <c r="V54" s="20" t="str">
        <f aca="false">IF($C54="","",EDATE($C54,Milestones!$AA$30))</f>
        <v/>
      </c>
      <c r="W54" s="20" t="str">
        <f aca="false">IF($C54="","",EDATE($C54,Milestones!$AA$31))</f>
        <v/>
      </c>
      <c r="X54" s="20" t="str">
        <f aca="false">IF($C54="","",EDATE($C54,Milestones!$AA$32))</f>
        <v/>
      </c>
      <c r="Y54" s="20" t="str">
        <f aca="false">IF($C54="","",EDATE($C54,Milestones!$AA$33))</f>
        <v/>
      </c>
      <c r="Z54" s="20" t="str">
        <f aca="false">IF($C54="","",EDATE($C54,Milestones!$AA$34))</f>
        <v/>
      </c>
      <c r="AA54" s="20" t="str">
        <f aca="false">IF($C54="","",EDATE($C54,Milestones!$AA$35))</f>
        <v/>
      </c>
      <c r="AB54" s="20" t="str">
        <f aca="false">IF($C54="","",EDATE($C54,Milestones!$AA$36))</f>
        <v/>
      </c>
      <c r="AC54" s="20" t="str">
        <f aca="false">IF($C54="","",EDATE($C54,Milestones!$AA$37))</f>
        <v/>
      </c>
      <c r="AD54" s="20" t="str">
        <f aca="false">IF($C54="","",EDATE($C54,Milestones!$AA$38))</f>
        <v/>
      </c>
      <c r="AE54" s="20" t="str">
        <f aca="false">IF($C54="","",EDATE($C54,Milestones!$AA$39))</f>
        <v/>
      </c>
      <c r="AF54" s="20" t="str">
        <f aca="false">IF($C54="","",EDATE($C54,Milestones!$AA$40))</f>
        <v/>
      </c>
      <c r="AG54" s="20" t="str">
        <f aca="false">IF($C54="","",EDATE($C54,Milestones!$AA$41))</f>
        <v/>
      </c>
      <c r="AH54" s="20" t="str">
        <f aca="false">IF($C54="","",EDATE($C54,Milestones!$AA$42))</f>
        <v/>
      </c>
      <c r="AI54" s="20" t="str">
        <f aca="false">IF($C54="","",EDATE($C54,Milestones!$AA$43))</f>
        <v/>
      </c>
      <c r="AJ54" s="20" t="str">
        <f aca="false">IF($C54="","",EDATE($C54,Milestones!$AA$44))</f>
        <v/>
      </c>
      <c r="AK54" s="20" t="str">
        <f aca="false">IF($C54="","",EDATE($C54,Milestones!$AA$45))</f>
        <v/>
      </c>
      <c r="AL54" s="20" t="str">
        <f aca="false">IF($C54="","",EDATE($C54,Milestones!$AA$46))</f>
        <v/>
      </c>
      <c r="AM54" s="20" t="str">
        <f aca="false">IF($C54="","",EDATE($C54,Milestones!$AA$47))</f>
        <v/>
      </c>
      <c r="AN54" s="20" t="str">
        <f aca="false">IF($C54="","",EDATE($C54,Milestones!$AA$48))</f>
        <v/>
      </c>
      <c r="AO54" s="20" t="str">
        <f aca="false">IF($C54="","",EDATE($C54,Milestones!$AA$49))</f>
        <v/>
      </c>
      <c r="AP54" s="20" t="str">
        <f aca="false">IF($C54="","",EDATE($C54,Milestones!$AA$50))</f>
        <v/>
      </c>
      <c r="AQ54" s="20" t="str">
        <f aca="false">IF($C54="","",EDATE($C54,Milestones!$AA$51))</f>
        <v/>
      </c>
      <c r="AR54" s="20" t="str">
        <f aca="false">IF($C54="","",EDATE($C54,Milestones!$AA$52))</f>
        <v/>
      </c>
      <c r="AS54" s="20" t="str">
        <f aca="false">IF($C54="","",EDATE($C54,Milestones!$AA$53))</f>
        <v/>
      </c>
      <c r="AT54" s="20" t="str">
        <f aca="false">IF($C54="","",EDATE($C54,Milestones!$AA$54))</f>
        <v/>
      </c>
      <c r="AU54" s="20" t="str">
        <f aca="false">IF($C54="","",EDATE($C54,Milestones!$AA$55))</f>
        <v/>
      </c>
      <c r="AV54" s="20" t="str">
        <f aca="false">IF($C54="","",EDATE($C54,Milestones!$AA$56))</f>
        <v/>
      </c>
      <c r="AW54" s="20" t="str">
        <f aca="false">IF($C54="","",EDATE($C54,Milestones!$AA$57))</f>
        <v/>
      </c>
      <c r="AX54" s="20" t="str">
        <f aca="false">IF($C54="","",EDATE($C54,Milestones!$AA$58))</f>
        <v/>
      </c>
      <c r="AY54" s="20" t="str">
        <f aca="false">IF($C54="","",EDATE($C54,Milestones!$AA$59))</f>
        <v/>
      </c>
      <c r="AZ54" s="20" t="str">
        <f aca="false">IF($C54="","",EDATE($C54,Milestones!$AA$60))</f>
        <v/>
      </c>
      <c r="BA54" s="20" t="str">
        <f aca="false">IF($C54="","",EDATE($C54,Milestones!$AA$61))</f>
        <v/>
      </c>
      <c r="BB54" s="20" t="str">
        <f aca="false">IF($C54="","",EDATE($C54,Milestones!$AA$62))</f>
        <v/>
      </c>
      <c r="BC54" s="20" t="str">
        <f aca="false">IF($C54="","",EDATE($C54,Milestones!$AA$63))</f>
        <v/>
      </c>
      <c r="BD54" s="20" t="str">
        <f aca="false">IF($C54="","",EDATE($C54,Milestones!$AA$64))</f>
        <v/>
      </c>
      <c r="BE54" s="20" t="str">
        <f aca="false">IF($C54="","",EDATE($C54,Milestones!$AA$65))</f>
        <v/>
      </c>
      <c r="BF54" s="20" t="str">
        <f aca="false">IF($C54="","",EDATE($C54,Milestones!$AA$66))</f>
        <v/>
      </c>
      <c r="BG54" s="20" t="str">
        <f aca="false">IF($C54="","",EDATE($C54,Milestones!$AA$67))</f>
        <v/>
      </c>
      <c r="BH54" s="20" t="str">
        <f aca="false">IF($C54="","",EDATE($C54,Milestones!$AA$68))</f>
        <v/>
      </c>
      <c r="BI54" s="20" t="str">
        <f aca="false">IF($C54="","",EDATE($C54,Milestones!$AA$69))</f>
        <v/>
      </c>
      <c r="BJ54" s="20" t="str">
        <f aca="false">IF($C54="","",EDATE($C54,Milestones!$AA$70))</f>
        <v/>
      </c>
      <c r="BK54" s="20" t="str">
        <f aca="false">IF($C54="","",EDATE($C54,Milestones!$AA$71))</f>
        <v/>
      </c>
      <c r="BL54" s="20" t="str">
        <f aca="false">IF($C54="","",EDATE($C54,Milestones!$AA$72))</f>
        <v/>
      </c>
      <c r="BM54" s="20" t="str">
        <f aca="false">IF($C54="","",EDATE($C54,Milestones!$AA$73))</f>
        <v/>
      </c>
      <c r="BN54" s="20" t="str">
        <f aca="false">IF($C54="","",EDATE($C54,Milestones!$AA$74))</f>
        <v/>
      </c>
      <c r="BO54" s="20" t="str">
        <f aca="false">IF($C54="","",EDATE($C54,Milestones!$AA$75))</f>
        <v/>
      </c>
      <c r="BP54" s="20" t="str">
        <f aca="false">IF($C54="","",EDATE($C54,Milestones!$AA$76))</f>
        <v/>
      </c>
      <c r="BQ54" s="20" t="str">
        <f aca="false">IF($C54="","",EDATE($C54,Milestones!$AA$77))</f>
        <v/>
      </c>
      <c r="BR54" s="20" t="str">
        <f aca="false">IF($C54="","",EDATE($C54,Milestones!$AA$78))</f>
        <v/>
      </c>
      <c r="BS54" s="20" t="str">
        <f aca="false">IF($C54="","",EDATE($C54,Milestones!$AA$79))</f>
        <v/>
      </c>
      <c r="BT54" s="20" t="str">
        <f aca="false">IF($C54="","",EDATE($C54,Milestones!$AA$80))</f>
        <v/>
      </c>
      <c r="BU54" s="20" t="str">
        <f aca="false">IF($C54="","",EDATE($C54,Milestones!$AA$81))</f>
        <v/>
      </c>
      <c r="BV54" s="20" t="str">
        <f aca="false">IF($C54="","",EDATE($C54,Milestones!$AA$82))</f>
        <v/>
      </c>
      <c r="BW54" s="20" t="str">
        <f aca="false">IF($C54="","",EDATE($C54,Milestones!$AA$83))</f>
        <v/>
      </c>
      <c r="BX54" s="20" t="str">
        <f aca="false">IF($C54="","",EDATE($C54,Milestones!$AA$84))</f>
        <v/>
      </c>
      <c r="BY54" s="20" t="str">
        <f aca="false">IF($C54="","",EDATE($C54,Milestones!$AA$85))</f>
        <v/>
      </c>
      <c r="BZ54" s="20" t="str">
        <f aca="false">IF($C54="","",EDATE($C54,Milestones!$AA$86))</f>
        <v/>
      </c>
      <c r="CA54" s="20" t="str">
        <f aca="false">IF($C54="","",EDATE($C54,Milestones!$AA$87))</f>
        <v/>
      </c>
      <c r="CB54" s="20" t="str">
        <f aca="false">IF($C54="","",EDATE($C54,Milestones!$AA$88))</f>
        <v/>
      </c>
      <c r="CC54" s="20" t="str">
        <f aca="false">IF($C54="","",EDATE($C54,Milestones!$AA$89))</f>
        <v/>
      </c>
      <c r="CD54" s="20" t="str">
        <f aca="false">IF($C54="","",EDATE($C54,Milestones!$AA$90))</f>
        <v/>
      </c>
      <c r="CE54" s="20" t="str">
        <f aca="false">IF($C54="","",EDATE($C54,Milestones!$AA$91))</f>
        <v/>
      </c>
      <c r="CF54" s="20" t="str">
        <f aca="false">IF($C54="","",EDATE($C54,Milestones!$AA$92))</f>
        <v/>
      </c>
      <c r="CG54" s="20" t="str">
        <f aca="false">IF($C54="","",EDATE($C54,Milestones!$AA$93))</f>
        <v/>
      </c>
      <c r="CH54" s="20" t="str">
        <f aca="false">IF($C54="","",EDATE($C54,Milestones!$AA$94))</f>
        <v/>
      </c>
      <c r="CI54" s="20" t="str">
        <f aca="false">IF($C54="","",EDATE($C54,Milestones!$AA$95))</f>
        <v/>
      </c>
      <c r="CJ54" s="20" t="str">
        <f aca="false">IF($C54="","",EDATE($C54,Milestones!$AA$96))</f>
        <v/>
      </c>
      <c r="CK54" s="20" t="str">
        <f aca="false">IF($C54="","",EDATE($C54,Milestones!$AA$97))</f>
        <v/>
      </c>
      <c r="CL54" s="20" t="str">
        <f aca="false">IF($C54="","",EDATE($C54,Milestones!$AA$98))</f>
        <v/>
      </c>
      <c r="CM54" s="20" t="str">
        <f aca="false">IF($C54="","",EDATE($C54,Milestones!$AA$99))</f>
        <v/>
      </c>
      <c r="CN54" s="20" t="str">
        <f aca="false">IF($C54="","",EDATE($C54,Milestones!$AA$100))</f>
        <v/>
      </c>
      <c r="CO54" s="20" t="str">
        <f aca="false">IF($C54="","",EDATE($C54,Milestones!$AA$101))</f>
        <v/>
      </c>
      <c r="CP54" s="20" t="str">
        <f aca="false">IF($C54="","",EDATE($C54,Milestones!$AA$102))</f>
        <v/>
      </c>
      <c r="CQ54" s="20" t="str">
        <f aca="false">IF($C54="","",EDATE($C54,Milestones!$AA$103))</f>
        <v/>
      </c>
      <c r="CR54" s="20" t="str">
        <f aca="false">IF($C54="","",EDATE($C54,Milestones!$AA$104))</f>
        <v/>
      </c>
      <c r="CS54" s="20" t="str">
        <f aca="false">IF($C54="","",EDATE($C54,Milestones!$AA$105))</f>
        <v/>
      </c>
      <c r="CT54" s="20" t="str">
        <f aca="false">IF($C54="","",EDATE($C54,Milestones!$AA$106))</f>
        <v/>
      </c>
      <c r="CU54" s="20" t="str">
        <f aca="false">IF($C54="","",EDATE($C54,Milestones!$AA$107))</f>
        <v/>
      </c>
      <c r="CV54" s="20" t="str">
        <f aca="false">IF($C54="","",EDATE($C54,Milestones!$AA$108))</f>
        <v/>
      </c>
      <c r="CW54" s="20" t="str">
        <f aca="false">IF($C54="","",EDATE($C54,Milestones!$AA$109))</f>
        <v/>
      </c>
      <c r="CX54" s="20" t="str">
        <f aca="false">IF($C54="","",EDATE($C54,Milestones!$AA$110))</f>
        <v/>
      </c>
      <c r="CY54" s="20" t="str">
        <f aca="false">IF($C54="","",EDATE($C54,Milestones!$AA$111))</f>
        <v/>
      </c>
      <c r="CZ54" s="20" t="str">
        <f aca="false">IF($C54="","",EDATE($C54,Milestones!$AA$112))</f>
        <v/>
      </c>
      <c r="DA54" s="20" t="str">
        <f aca="false">IF($C54="","",EDATE($C54,Milestones!$AA$113))</f>
        <v/>
      </c>
      <c r="DB54" s="20" t="str">
        <f aca="false">IF($C54="","",EDATE($C54,Milestones!$AA$114))</f>
        <v/>
      </c>
      <c r="DC54" s="20" t="str">
        <f aca="false">IF($C54="","",EDATE($C54,Milestones!$AA$115))</f>
        <v/>
      </c>
      <c r="DD54" s="20" t="str">
        <f aca="false">IF($C54="","",EDATE($C54,Milestones!$AA$116))</f>
        <v/>
      </c>
      <c r="DE54" s="20" t="str">
        <f aca="false">IF($C54="","",EDATE($C54,Milestones!$AA$117))</f>
        <v/>
      </c>
      <c r="DF54" s="20" t="str">
        <f aca="false">IF($C54="","",EDATE($C54,Milestones!$AA$118))</f>
        <v/>
      </c>
      <c r="DG54" s="20" t="str">
        <f aca="false">IF($C54="","",EDATE($C54,Milestones!$AA$119))</f>
        <v/>
      </c>
      <c r="DH54" s="20" t="str">
        <f aca="false">IF($C54="","",EDATE($C54,Milestones!$AA$120))</f>
        <v/>
      </c>
      <c r="DI54" s="20" t="str">
        <f aca="false">IF($C54="","",EDATE($C54,Milestones!$AA$121))</f>
        <v/>
      </c>
      <c r="DJ54" s="20" t="str">
        <f aca="false">IF($C54="","",EDATE($C54,Milestones!$AA$122))</f>
        <v/>
      </c>
      <c r="DK54" s="20" t="str">
        <f aca="false">IF($C54="","",EDATE($C54,Milestones!$AA$123))</f>
        <v/>
      </c>
      <c r="DL54" s="20" t="str">
        <f aca="false">IF($C54="","",EDATE($C54,Milestones!$AA$124))</f>
        <v/>
      </c>
      <c r="DM54" s="20" t="str">
        <f aca="false">IF($C54="","",EDATE($C54,Milestones!$AA$125))</f>
        <v/>
      </c>
      <c r="DN54" s="20" t="str">
        <f aca="false">IF($C54="","",EDATE($C54,Milestones!$AA$126))</f>
        <v/>
      </c>
      <c r="DO54" s="20" t="str">
        <f aca="false">IF($C54="","",EDATE($C54,Milestones!$AA$127))</f>
        <v/>
      </c>
      <c r="DP54" s="20" t="str">
        <f aca="false">IF($C54="","",EDATE($C54,Milestones!$AA$128))</f>
        <v/>
      </c>
      <c r="DQ54" s="20" t="str">
        <f aca="false">IF($C54="","",EDATE($C54,Milestones!$AA$129))</f>
        <v/>
      </c>
      <c r="DR54" s="20" t="str">
        <f aca="false">IF($C54="","",EDATE($C54,Milestones!$AA$130))</f>
        <v/>
      </c>
      <c r="DS54" s="20" t="str">
        <f aca="false">IF($C54="","",EDATE($C54,Milestones!$AA$131))</f>
        <v/>
      </c>
      <c r="DT54" s="20" t="str">
        <f aca="false">IF($C54="","",EDATE($C54,Milestones!$AA$132))</f>
        <v/>
      </c>
      <c r="DU54" s="20" t="str">
        <f aca="false">IF($C54="","",EDATE($C54,Milestones!$AA$133))</f>
        <v/>
      </c>
      <c r="DV54" s="20" t="str">
        <f aca="false">IF($C54="","",EDATE($C54,Milestones!$AA$134))</f>
        <v/>
      </c>
      <c r="DW54" s="20" t="str">
        <f aca="false">IF($C54="","",EDATE($C54,Milestones!$AA$135))</f>
        <v/>
      </c>
      <c r="DX54" s="20" t="str">
        <f aca="false">IF($C54="","",EDATE($C54,Milestones!$AA$136))</f>
        <v/>
      </c>
      <c r="DY54" s="20" t="str">
        <f aca="false">IF($C54="","",EDATE($C54,Milestones!$AA$137))</f>
        <v/>
      </c>
      <c r="DZ54" s="20" t="str">
        <f aca="false">IF($C54="","",EDATE($C54,Milestones!$AA$138))</f>
        <v/>
      </c>
      <c r="EA54" s="20" t="str">
        <f aca="false">IF($C54="","",EDATE($C54,Milestones!$AA$139))</f>
        <v/>
      </c>
      <c r="EB54" s="20" t="str">
        <f aca="false">IF($C54="","",EDATE($C54,Milestones!$AA$140))</f>
        <v/>
      </c>
      <c r="EC54" s="20" t="str">
        <f aca="false">IF($C54="","",EDATE($C54,Milestones!$AA$141))</f>
        <v/>
      </c>
      <c r="ED54" s="20" t="str">
        <f aca="false">IF($C54="","",EDATE($C54,Milestones!$AA$142))</f>
        <v/>
      </c>
      <c r="EE54" s="20" t="str">
        <f aca="false">IF($C54="","",EDATE($C54,Milestones!$AA$143))</f>
        <v/>
      </c>
      <c r="EF54" s="20" t="str">
        <f aca="false">IF($C54="","",EDATE($C54,Milestones!$AA$144))</f>
        <v/>
      </c>
      <c r="EG54" s="20" t="str">
        <f aca="false">IF($C54="","",EDATE($C54,Milestones!$AA$145))</f>
        <v/>
      </c>
      <c r="EH54" s="20" t="str">
        <f aca="false">IF($C54="","",EDATE($C54,Milestones!$AA$146))</f>
        <v/>
      </c>
      <c r="EI54" s="20" t="str">
        <f aca="false">IF($C54="","",EDATE($C54,Milestones!$AA$147))</f>
        <v/>
      </c>
      <c r="EJ54" s="20" t="str">
        <f aca="false">IF($C54="","",EDATE($C54,Milestones!$AA$148))</f>
        <v/>
      </c>
      <c r="EK54" s="20" t="str">
        <f aca="false">IF($C54="","",EDATE($C54,Milestones!$AA$149))</f>
        <v/>
      </c>
      <c r="EL54" s="20" t="str">
        <f aca="false">IF($C54="","",EDATE($C54,Milestones!$AA$150))</f>
        <v/>
      </c>
      <c r="EM54" s="20" t="str">
        <f aca="false">IF($C54="","",EDATE($C54,Milestones!$AA$151))</f>
        <v/>
      </c>
      <c r="EN54" s="20" t="str">
        <f aca="false">IF($C54="","",EDATE($C54,Milestones!$AA$152))</f>
        <v/>
      </c>
      <c r="EO54" s="20" t="str">
        <f aca="false">IF($C54="","",EDATE($C54,Milestones!$AA$153))</f>
        <v/>
      </c>
      <c r="EP54" s="20" t="str">
        <f aca="false">IF($C54="","",EDATE($C54,Milestones!$AA$154))</f>
        <v/>
      </c>
      <c r="EQ54" s="20" t="str">
        <f aca="false">IF($C54="","",EDATE($C54,Milestones!$AA$155))</f>
        <v/>
      </c>
      <c r="ER54" s="20" t="str">
        <f aca="false">IF($C54="","",EDATE($C54,Milestones!$AA$156))</f>
        <v/>
      </c>
      <c r="ES54" s="20" t="str">
        <f aca="false">IF($C54="","",EDATE($C54,Milestones!$AA$157))</f>
        <v/>
      </c>
      <c r="ET54" s="20" t="str">
        <f aca="false">IF($C54="","",EDATE($C54,Milestones!$AA$158))</f>
        <v/>
      </c>
      <c r="EU54" s="20" t="str">
        <f aca="false">IF($C54="","",EDATE($C54,Milestones!$AA$159))</f>
        <v/>
      </c>
      <c r="EV54" s="20" t="str">
        <f aca="false">IF($C54="","",EDATE($C54,Milestones!$AA$160))</f>
        <v/>
      </c>
      <c r="EW54" s="20" t="str">
        <f aca="false">IF($C54="","",EDATE($C54,Milestones!$AA$161))</f>
        <v/>
      </c>
      <c r="EX54" s="20" t="str">
        <f aca="false">IF($C54="","",EDATE($C54,Milestones!$AA$162))</f>
        <v/>
      </c>
      <c r="EY54" s="20" t="str">
        <f aca="false">IF($C54="","",EDATE($C54,Milestones!$AA$163))</f>
        <v/>
      </c>
      <c r="EZ54" s="20" t="str">
        <f aca="false">IF($C54="","",EDATE($C54,Milestones!$AA$164))</f>
        <v/>
      </c>
      <c r="FA54" s="20" t="str">
        <f aca="false">IF($C54="","",EDATE($C54,Milestones!$AA$165))</f>
        <v/>
      </c>
      <c r="FB54" s="20" t="str">
        <f aca="false">IF($C54="","",EDATE($C54,Milestones!$AA$166))</f>
        <v/>
      </c>
      <c r="FC54" s="20" t="str">
        <f aca="false">IF($C54="","",EDATE($C54,Milestones!$AA$167))</f>
        <v/>
      </c>
      <c r="FD54" s="20" t="str">
        <f aca="false">IF($C54="","",EDATE($C54,Milestones!$AA$168))</f>
        <v/>
      </c>
      <c r="FE54" s="20" t="str">
        <f aca="false">IF($C54="","",EDATE($C54,Milestones!$AA$169))</f>
        <v/>
      </c>
      <c r="FF54" s="20" t="str">
        <f aca="false">IF($C54="","",EDATE($C54,Milestones!$AA$170))</f>
        <v/>
      </c>
      <c r="FG54" s="20" t="str">
        <f aca="false">IF($C54="","",EDATE($C54,Milestones!$AA$171))</f>
        <v/>
      </c>
      <c r="FH54" s="20" t="str">
        <f aca="false">IF($C54="","",EDATE($C54,Milestones!$AA$172))</f>
        <v/>
      </c>
      <c r="FI54" s="20" t="str">
        <f aca="false">IF($C54="","",EDATE($C54,Milestones!$AA$173))</f>
        <v/>
      </c>
      <c r="FJ54" s="20" t="str">
        <f aca="false">IF($C54="","",EDATE($C54,Milestones!$AA$174))</f>
        <v/>
      </c>
      <c r="FK54" s="20" t="str">
        <f aca="false">IF($C54="","",EDATE($C54,Milestones!$AA$175))</f>
        <v/>
      </c>
      <c r="FL54" s="20" t="str">
        <f aca="false">IF($C54="","",EDATE($C54,Milestones!$AA$176))</f>
        <v/>
      </c>
      <c r="FM54" s="20" t="str">
        <f aca="false">IF($C54="","",EDATE($C54,Milestones!$AA$177))</f>
        <v/>
      </c>
      <c r="FN54" s="20" t="str">
        <f aca="false">IF($C54="","",EDATE($C54,Milestones!$AA$178))</f>
        <v/>
      </c>
      <c r="FO54" s="20" t="str">
        <f aca="false">IF($C54="","",EDATE($C54,Milestones!$AA$179))</f>
        <v/>
      </c>
      <c r="FP54" s="20" t="str">
        <f aca="false">IF($C54="","",EDATE($C54,Milestones!$AA$180))</f>
        <v/>
      </c>
      <c r="FQ54" s="20" t="str">
        <f aca="false">IF($C54="","",EDATE($C54,Milestones!$AA$181))</f>
        <v/>
      </c>
      <c r="FR54" s="20" t="str">
        <f aca="false">IF($C54="","",EDATE($C54,Milestones!$AA$182))</f>
        <v/>
      </c>
      <c r="FS54" s="20" t="str">
        <f aca="false">IF($C54="","",EDATE($C54,Milestones!$AA$183))</f>
        <v/>
      </c>
      <c r="FT54" s="20" t="str">
        <f aca="false">IF($C54="","",EDATE($C54,Milestones!$AA$184))</f>
        <v/>
      </c>
      <c r="FU54" s="20" t="str">
        <f aca="false">IF($C54="","",EDATE($C54,Milestones!$AA$185))</f>
        <v/>
      </c>
      <c r="FV54" s="20" t="str">
        <f aca="false">IF($C54="","",EDATE($C54,Milestones!$AA$186))</f>
        <v/>
      </c>
      <c r="FW54" s="20" t="str">
        <f aca="false">IF($C54="","",EDATE($C54,Milestones!$AA$187))</f>
        <v/>
      </c>
      <c r="FX54" s="20" t="str">
        <f aca="false">IF($C54="","",EDATE($C54,Milestones!$AA$188))</f>
        <v/>
      </c>
      <c r="FY54" s="20" t="str">
        <f aca="false">IF($C54="","",EDATE($C54,Milestones!$AA$189))</f>
        <v/>
      </c>
      <c r="FZ54" s="20" t="str">
        <f aca="false">IF($C54="","",EDATE($C54,Milestones!$AA$190))</f>
        <v/>
      </c>
      <c r="GA54" s="20" t="str">
        <f aca="false">IF($C54="","",EDATE($C54,Milestones!$AA$191))</f>
        <v/>
      </c>
      <c r="GB54" s="20" t="str">
        <f aca="false">IF($C54="","",EDATE($C54,Milestones!$AA$192))</f>
        <v/>
      </c>
      <c r="GC54" s="20" t="str">
        <f aca="false">IF($C54="","",EDATE($C54,Milestones!$AA$193))</f>
        <v/>
      </c>
      <c r="GD54" s="20" t="str">
        <f aca="false">IF($C54="","",EDATE($C54,Milestones!$AA$194))</f>
        <v/>
      </c>
      <c r="GE54" s="20" t="str">
        <f aca="false">IF($C54="","",EDATE($C54,Milestones!$AA$195))</f>
        <v/>
      </c>
      <c r="GF54" s="20" t="str">
        <f aca="false">IF($C54="","",EDATE($C54,Milestones!$AA$196))</f>
        <v/>
      </c>
      <c r="GG54" s="20" t="str">
        <f aca="false">IF($C54="","",EDATE($C54,Milestones!$AA$197))</f>
        <v/>
      </c>
      <c r="GH54" s="20" t="str">
        <f aca="false">IF($C54="","",EDATE($C54,Milestones!$AA$198))</f>
        <v/>
      </c>
      <c r="GI54" s="20" t="str">
        <f aca="false">IF($C54="","",EDATE($C54,Milestones!$AA$199))</f>
        <v/>
      </c>
    </row>
    <row r="55" customFormat="false" ht="15" hidden="false" customHeight="false" outlineLevel="0" collapsed="false">
      <c r="K55" s="0" t="s">
        <v>263</v>
      </c>
      <c r="L55" s="0" t="str">
        <f aca="false">IF(L54="","",IF($D54=0,$J54,IF(AND($F54&lt;&gt;"",L54&gt;=$F54),$I54,IF(AND($E54&lt;&gt;"",L54&gt;=$E54),$H54,$G54))))</f>
        <v/>
      </c>
      <c r="M55" s="0" t="str">
        <f aca="false">IF(M54="","",IF($D54=0,$J54,IF(AND($F54&lt;&gt;"",M54&gt;=$F54),$I54,IF(AND($E54&lt;&gt;"",M54&gt;=$E54),$H54,$G54))))</f>
        <v/>
      </c>
      <c r="N55" s="0" t="str">
        <f aca="false">IF(N54="","",IF($D54=0,$J54,IF(AND($F54&lt;&gt;"",N54&gt;=$F54),$I54,IF(AND($E54&lt;&gt;"",N54&gt;=$E54),$H54,$G54))))</f>
        <v/>
      </c>
      <c r="O55" s="0" t="str">
        <f aca="false">IF(O54="","",IF($D54=0,$J54,IF(AND($F54&lt;&gt;"",O54&gt;=$F54),$I54,IF(AND($E54&lt;&gt;"",O54&gt;=$E54),$H54,$G54))))</f>
        <v/>
      </c>
      <c r="P55" s="0" t="str">
        <f aca="false">IF(P54="","",IF($D54=0,$J54,IF(AND($F54&lt;&gt;"",P54&gt;=$F54),$I54,IF(AND($E54&lt;&gt;"",P54&gt;=$E54),$H54,$G54))))</f>
        <v/>
      </c>
      <c r="Q55" s="0" t="str">
        <f aca="false">IF(Q54="","",IF($D54=0,$J54,IF(AND($F54&lt;&gt;"",Q54&gt;=$F54),$I54,IF(AND($E54&lt;&gt;"",Q54&gt;=$E54),$H54,$G54))))</f>
        <v/>
      </c>
      <c r="R55" s="0" t="str">
        <f aca="false">IF(R54="","",IF($D54=0,$J54,IF(AND($F54&lt;&gt;"",R54&gt;=$F54),$I54,IF(AND($E54&lt;&gt;"",R54&gt;=$E54),$H54,$G54))))</f>
        <v/>
      </c>
      <c r="S55" s="0" t="str">
        <f aca="false">IF(S54="","",IF($D54=0,$J54,IF(AND($F54&lt;&gt;"",S54&gt;=$F54),$I54,IF(AND($E54&lt;&gt;"",S54&gt;=$E54),$H54,$G54))))</f>
        <v/>
      </c>
      <c r="T55" s="0" t="str">
        <f aca="false">IF(T54="","",IF($D54=0,$J54,IF(AND($F54&lt;&gt;"",T54&gt;=$F54),$I54,IF(AND($E54&lt;&gt;"",T54&gt;=$E54),$H54,$G54))))</f>
        <v/>
      </c>
      <c r="U55" s="0" t="str">
        <f aca="false">IF(U54="","",IF($D54=0,$J54,IF(AND($F54&lt;&gt;"",U54&gt;=$F54),$I54,IF(AND($E54&lt;&gt;"",U54&gt;=$E54),$H54,$G54))))</f>
        <v/>
      </c>
      <c r="V55" s="0" t="str">
        <f aca="false">IF(V54="","",IF($D54=0,$J54,IF(AND($F54&lt;&gt;"",V54&gt;=$F54),$I54,IF(AND($E54&lt;&gt;"",V54&gt;=$E54),$H54,$G54))))</f>
        <v/>
      </c>
      <c r="W55" s="0" t="str">
        <f aca="false">IF(W54="","",IF($D54=0,$J54,IF(AND($F54&lt;&gt;"",W54&gt;=$F54),$I54,IF(AND($E54&lt;&gt;"",W54&gt;=$E54),$H54,$G54))))</f>
        <v/>
      </c>
      <c r="X55" s="0" t="str">
        <f aca="false">IF(X54="","",IF($D54=0,$J54,IF(AND($F54&lt;&gt;"",X54&gt;=$F54),$I54,IF(AND($E54&lt;&gt;"",X54&gt;=$E54),$H54,$G54))))</f>
        <v/>
      </c>
      <c r="Y55" s="0" t="str">
        <f aca="false">IF(Y54="","",IF($D54=0,$J54,IF(AND($F54&lt;&gt;"",Y54&gt;=$F54),$I54,IF(AND($E54&lt;&gt;"",Y54&gt;=$E54),$H54,$G54))))</f>
        <v/>
      </c>
      <c r="Z55" s="0" t="str">
        <f aca="false">IF(Z54="","",IF($D54=0,$J54,IF(AND($F54&lt;&gt;"",Z54&gt;=$F54),$I54,IF(AND($E54&lt;&gt;"",Z54&gt;=$E54),$H54,$G54))))</f>
        <v/>
      </c>
      <c r="AA55" s="0" t="str">
        <f aca="false">IF(AA54="","",IF($D54=0,$J54,IF(AND($F54&lt;&gt;"",AA54&gt;=$F54),$I54,IF(AND($E54&lt;&gt;"",AA54&gt;=$E54),$H54,$G54))))</f>
        <v/>
      </c>
      <c r="AB55" s="0" t="str">
        <f aca="false">IF(AB54="","",IF($D54=0,$J54,IF(AND($F54&lt;&gt;"",AB54&gt;=$F54),$I54,IF(AND($E54&lt;&gt;"",AB54&gt;=$E54),$H54,$G54))))</f>
        <v/>
      </c>
      <c r="AC55" s="0" t="str">
        <f aca="false">IF(AC54="","",IF($D54=0,$J54,IF(AND($F54&lt;&gt;"",AC54&gt;=$F54),$I54,IF(AND($E54&lt;&gt;"",AC54&gt;=$E54),$H54,$G54))))</f>
        <v/>
      </c>
      <c r="AD55" s="0" t="str">
        <f aca="false">IF(AD54="","",IF($D54=0,$J54,IF(AND($F54&lt;&gt;"",AD54&gt;=$F54),$I54,IF(AND($E54&lt;&gt;"",AD54&gt;=$E54),$H54,$G54))))</f>
        <v/>
      </c>
      <c r="AE55" s="0" t="str">
        <f aca="false">IF(AE54="","",IF($D54=0,$J54,IF(AND($F54&lt;&gt;"",AE54&gt;=$F54),$I54,IF(AND($E54&lt;&gt;"",AE54&gt;=$E54),$H54,$G54))))</f>
        <v/>
      </c>
      <c r="AF55" s="0" t="str">
        <f aca="false">IF(AF54="","",IF($D54=0,$J54,IF(AND($F54&lt;&gt;"",AF54&gt;=$F54),$I54,IF(AND($E54&lt;&gt;"",AF54&gt;=$E54),$H54,$G54))))</f>
        <v/>
      </c>
      <c r="AG55" s="0" t="str">
        <f aca="false">IF(AG54="","",IF($D54=0,$J54,IF(AND($F54&lt;&gt;"",AG54&gt;=$F54),$I54,IF(AND($E54&lt;&gt;"",AG54&gt;=$E54),$H54,$G54))))</f>
        <v/>
      </c>
      <c r="AH55" s="0" t="str">
        <f aca="false">IF(AH54="","",IF($D54=0,$J54,IF(AND($F54&lt;&gt;"",AH54&gt;=$F54),$I54,IF(AND($E54&lt;&gt;"",AH54&gt;=$E54),$H54,$G54))))</f>
        <v/>
      </c>
      <c r="AI55" s="0" t="str">
        <f aca="false">IF(AI54="","",IF($D54=0,$J54,IF(AND($F54&lt;&gt;"",AI54&gt;=$F54),$I54,IF(AND($E54&lt;&gt;"",AI54&gt;=$E54),$H54,$G54))))</f>
        <v/>
      </c>
      <c r="AJ55" s="0" t="str">
        <f aca="false">IF(AJ54="","",IF($D54=0,$J54,IF(AND($F54&lt;&gt;"",AJ54&gt;=$F54),$I54,IF(AND($E54&lt;&gt;"",AJ54&gt;=$E54),$H54,$G54))))</f>
        <v/>
      </c>
      <c r="AK55" s="0" t="str">
        <f aca="false">IF(AK54="","",IF($D54=0,$J54,IF(AND($F54&lt;&gt;"",AK54&gt;=$F54),$I54,IF(AND($E54&lt;&gt;"",AK54&gt;=$E54),$H54,$G54))))</f>
        <v/>
      </c>
      <c r="AL55" s="0" t="str">
        <f aca="false">IF(AL54="","",IF($D54=0,$J54,IF(AND($F54&lt;&gt;"",AL54&gt;=$F54),$I54,IF(AND($E54&lt;&gt;"",AL54&gt;=$E54),$H54,$G54))))</f>
        <v/>
      </c>
      <c r="AM55" s="0" t="str">
        <f aca="false">IF(AM54="","",IF($D54=0,$J54,IF(AND($F54&lt;&gt;"",AM54&gt;=$F54),$I54,IF(AND($E54&lt;&gt;"",AM54&gt;=$E54),$H54,$G54))))</f>
        <v/>
      </c>
      <c r="AN55" s="0" t="str">
        <f aca="false">IF(AN54="","",IF($D54=0,$J54,IF(AND($F54&lt;&gt;"",AN54&gt;=$F54),$I54,IF(AND($E54&lt;&gt;"",AN54&gt;=$E54),$H54,$G54))))</f>
        <v/>
      </c>
      <c r="AO55" s="0" t="str">
        <f aca="false">IF(AO54="","",IF($D54=0,$J54,IF(AND($F54&lt;&gt;"",AO54&gt;=$F54),$I54,IF(AND($E54&lt;&gt;"",AO54&gt;=$E54),$H54,$G54))))</f>
        <v/>
      </c>
      <c r="AP55" s="0" t="str">
        <f aca="false">IF(AP54="","",IF($D54=0,$J54,IF(AND($F54&lt;&gt;"",AP54&gt;=$F54),$I54,IF(AND($E54&lt;&gt;"",AP54&gt;=$E54),$H54,$G54))))</f>
        <v/>
      </c>
      <c r="AQ55" s="0" t="str">
        <f aca="false">IF(AQ54="","",IF($D54=0,$J54,IF(AND($F54&lt;&gt;"",AQ54&gt;=$F54),$I54,IF(AND($E54&lt;&gt;"",AQ54&gt;=$E54),$H54,$G54))))</f>
        <v/>
      </c>
      <c r="AR55" s="0" t="str">
        <f aca="false">IF(AR54="","",IF($D54=0,$J54,IF(AND($F54&lt;&gt;"",AR54&gt;=$F54),$I54,IF(AND($E54&lt;&gt;"",AR54&gt;=$E54),$H54,$G54))))</f>
        <v/>
      </c>
      <c r="AS55" s="0" t="str">
        <f aca="false">IF(AS54="","",IF($D54=0,$J54,IF(AND($F54&lt;&gt;"",AS54&gt;=$F54),$I54,IF(AND($E54&lt;&gt;"",AS54&gt;=$E54),$H54,$G54))))</f>
        <v/>
      </c>
      <c r="AT55" s="0" t="str">
        <f aca="false">IF(AT54="","",IF($D54=0,$J54,IF(AND($F54&lt;&gt;"",AT54&gt;=$F54),$I54,IF(AND($E54&lt;&gt;"",AT54&gt;=$E54),$H54,$G54))))</f>
        <v/>
      </c>
      <c r="AU55" s="0" t="str">
        <f aca="false">IF(AU54="","",IF($D54=0,$J54,IF(AND($F54&lt;&gt;"",AU54&gt;=$F54),$I54,IF(AND($E54&lt;&gt;"",AU54&gt;=$E54),$H54,$G54))))</f>
        <v/>
      </c>
      <c r="AV55" s="0" t="str">
        <f aca="false">IF(AV54="","",IF($D54=0,$J54,IF(AND($F54&lt;&gt;"",AV54&gt;=$F54),$I54,IF(AND($E54&lt;&gt;"",AV54&gt;=$E54),$H54,$G54))))</f>
        <v/>
      </c>
      <c r="AW55" s="0" t="str">
        <f aca="false">IF(AW54="","",IF($D54=0,$J54,IF(AND($F54&lt;&gt;"",AW54&gt;=$F54),$I54,IF(AND($E54&lt;&gt;"",AW54&gt;=$E54),$H54,$G54))))</f>
        <v/>
      </c>
      <c r="AX55" s="0" t="str">
        <f aca="false">IF(AX54="","",IF($D54=0,$J54,IF(AND($F54&lt;&gt;"",AX54&gt;=$F54),$I54,IF(AND($E54&lt;&gt;"",AX54&gt;=$E54),$H54,$G54))))</f>
        <v/>
      </c>
      <c r="AY55" s="0" t="str">
        <f aca="false">IF(AY54="","",IF($D54=0,$J54,IF(AND($F54&lt;&gt;"",AY54&gt;=$F54),$I54,IF(AND($E54&lt;&gt;"",AY54&gt;=$E54),$H54,$G54))))</f>
        <v/>
      </c>
      <c r="AZ55" s="0" t="str">
        <f aca="false">IF(AZ54="","",IF($D54=0,$J54,IF(AND($F54&lt;&gt;"",AZ54&gt;=$F54),$I54,IF(AND($E54&lt;&gt;"",AZ54&gt;=$E54),$H54,$G54))))</f>
        <v/>
      </c>
      <c r="BA55" s="0" t="str">
        <f aca="false">IF(BA54="","",IF($D54=0,$J54,IF(AND($F54&lt;&gt;"",BA54&gt;=$F54),$I54,IF(AND($E54&lt;&gt;"",BA54&gt;=$E54),$H54,$G54))))</f>
        <v/>
      </c>
      <c r="BB55" s="0" t="str">
        <f aca="false">IF(BB54="","",IF($D54=0,$J54,IF(AND($F54&lt;&gt;"",BB54&gt;=$F54),$I54,IF(AND($E54&lt;&gt;"",BB54&gt;=$E54),$H54,$G54))))</f>
        <v/>
      </c>
      <c r="BC55" s="0" t="str">
        <f aca="false">IF(BC54="","",IF($D54=0,$J54,IF(AND($F54&lt;&gt;"",BC54&gt;=$F54),$I54,IF(AND($E54&lt;&gt;"",BC54&gt;=$E54),$H54,$G54))))</f>
        <v/>
      </c>
      <c r="BD55" s="0" t="str">
        <f aca="false">IF(BD54="","",IF($D54=0,$J54,IF(AND($F54&lt;&gt;"",BD54&gt;=$F54),$I54,IF(AND($E54&lt;&gt;"",BD54&gt;=$E54),$H54,$G54))))</f>
        <v/>
      </c>
      <c r="BE55" s="0" t="str">
        <f aca="false">IF(BE54="","",IF($D54=0,$J54,IF(AND($F54&lt;&gt;"",BE54&gt;=$F54),$I54,IF(AND($E54&lt;&gt;"",BE54&gt;=$E54),$H54,$G54))))</f>
        <v/>
      </c>
      <c r="BF55" s="0" t="str">
        <f aca="false">IF(BF54="","",IF($D54=0,$J54,IF(AND($F54&lt;&gt;"",BF54&gt;=$F54),$I54,IF(AND($E54&lt;&gt;"",BF54&gt;=$E54),$H54,$G54))))</f>
        <v/>
      </c>
      <c r="BG55" s="0" t="str">
        <f aca="false">IF(BG54="","",IF($D54=0,$J54,IF(AND($F54&lt;&gt;"",BG54&gt;=$F54),$I54,IF(AND($E54&lt;&gt;"",BG54&gt;=$E54),$H54,$G54))))</f>
        <v/>
      </c>
      <c r="BH55" s="0" t="str">
        <f aca="false">IF(BH54="","",IF($D54=0,$J54,IF(AND($F54&lt;&gt;"",BH54&gt;=$F54),$I54,IF(AND($E54&lt;&gt;"",BH54&gt;=$E54),$H54,$G54))))</f>
        <v/>
      </c>
      <c r="BI55" s="0" t="str">
        <f aca="false">IF(BI54="","",IF($D54=0,$J54,IF(AND($F54&lt;&gt;"",BI54&gt;=$F54),$I54,IF(AND($E54&lt;&gt;"",BI54&gt;=$E54),$H54,$G54))))</f>
        <v/>
      </c>
      <c r="BJ55" s="0" t="str">
        <f aca="false">IF(BJ54="","",IF($D54=0,$J54,IF(AND($F54&lt;&gt;"",BJ54&gt;=$F54),$I54,IF(AND($E54&lt;&gt;"",BJ54&gt;=$E54),$H54,$G54))))</f>
        <v/>
      </c>
      <c r="BK55" s="0" t="str">
        <f aca="false">IF(BK54="","",IF($D54=0,$J54,IF(AND($F54&lt;&gt;"",BK54&gt;=$F54),$I54,IF(AND($E54&lt;&gt;"",BK54&gt;=$E54),$H54,$G54))))</f>
        <v/>
      </c>
      <c r="BL55" s="0" t="str">
        <f aca="false">IF(BL54="","",IF($D54=0,$J54,IF(AND($F54&lt;&gt;"",BL54&gt;=$F54),$I54,IF(AND($E54&lt;&gt;"",BL54&gt;=$E54),$H54,$G54))))</f>
        <v/>
      </c>
      <c r="BM55" s="0" t="str">
        <f aca="false">IF(BM54="","",IF($D54=0,$J54,IF(AND($F54&lt;&gt;"",BM54&gt;=$F54),$I54,IF(AND($E54&lt;&gt;"",BM54&gt;=$E54),$H54,$G54))))</f>
        <v/>
      </c>
      <c r="BN55" s="0" t="str">
        <f aca="false">IF(BN54="","",IF($D54=0,$J54,IF(AND($F54&lt;&gt;"",BN54&gt;=$F54),$I54,IF(AND($E54&lt;&gt;"",BN54&gt;=$E54),$H54,$G54))))</f>
        <v/>
      </c>
      <c r="BO55" s="0" t="str">
        <f aca="false">IF(BO54="","",IF($D54=0,$J54,IF(AND($F54&lt;&gt;"",BO54&gt;=$F54),$I54,IF(AND($E54&lt;&gt;"",BO54&gt;=$E54),$H54,$G54))))</f>
        <v/>
      </c>
      <c r="BP55" s="0" t="str">
        <f aca="false">IF(BP54="","",IF($D54=0,$J54,IF(AND($F54&lt;&gt;"",BP54&gt;=$F54),$I54,IF(AND($E54&lt;&gt;"",BP54&gt;=$E54),$H54,$G54))))</f>
        <v/>
      </c>
      <c r="BQ55" s="0" t="str">
        <f aca="false">IF(BQ54="","",IF($D54=0,$J54,IF(AND($F54&lt;&gt;"",BQ54&gt;=$F54),$I54,IF(AND($E54&lt;&gt;"",BQ54&gt;=$E54),$H54,$G54))))</f>
        <v/>
      </c>
      <c r="BR55" s="0" t="str">
        <f aca="false">IF(BR54="","",IF($D54=0,$J54,IF(AND($F54&lt;&gt;"",BR54&gt;=$F54),$I54,IF(AND($E54&lt;&gt;"",BR54&gt;=$E54),$H54,$G54))))</f>
        <v/>
      </c>
      <c r="BS55" s="0" t="str">
        <f aca="false">IF(BS54="","",IF($D54=0,$J54,IF(AND($F54&lt;&gt;"",BS54&gt;=$F54),$I54,IF(AND($E54&lt;&gt;"",BS54&gt;=$E54),$H54,$G54))))</f>
        <v/>
      </c>
      <c r="BT55" s="0" t="str">
        <f aca="false">IF(BT54="","",IF($D54=0,$J54,IF(AND($F54&lt;&gt;"",BT54&gt;=$F54),$I54,IF(AND($E54&lt;&gt;"",BT54&gt;=$E54),$H54,$G54))))</f>
        <v/>
      </c>
      <c r="BU55" s="0" t="str">
        <f aca="false">IF(BU54="","",IF($D54=0,$J54,IF(AND($F54&lt;&gt;"",BU54&gt;=$F54),$I54,IF(AND($E54&lt;&gt;"",BU54&gt;=$E54),$H54,$G54))))</f>
        <v/>
      </c>
      <c r="BV55" s="0" t="str">
        <f aca="false">IF(BV54="","",IF($D54=0,$J54,IF(AND($F54&lt;&gt;"",BV54&gt;=$F54),$I54,IF(AND($E54&lt;&gt;"",BV54&gt;=$E54),$H54,$G54))))</f>
        <v/>
      </c>
      <c r="BW55" s="0" t="str">
        <f aca="false">IF(BW54="","",IF($D54=0,$J54,IF(AND($F54&lt;&gt;"",BW54&gt;=$F54),$I54,IF(AND($E54&lt;&gt;"",BW54&gt;=$E54),$H54,$G54))))</f>
        <v/>
      </c>
      <c r="BX55" s="0" t="str">
        <f aca="false">IF(BX54="","",IF($D54=0,$J54,IF(AND($F54&lt;&gt;"",BX54&gt;=$F54),$I54,IF(AND($E54&lt;&gt;"",BX54&gt;=$E54),$H54,$G54))))</f>
        <v/>
      </c>
      <c r="BY55" s="0" t="str">
        <f aca="false">IF(BY54="","",IF($D54=0,$J54,IF(AND($F54&lt;&gt;"",BY54&gt;=$F54),$I54,IF(AND($E54&lt;&gt;"",BY54&gt;=$E54),$H54,$G54))))</f>
        <v/>
      </c>
      <c r="BZ55" s="0" t="str">
        <f aca="false">IF(BZ54="","",IF($D54=0,$J54,IF(AND($F54&lt;&gt;"",BZ54&gt;=$F54),$I54,IF(AND($E54&lt;&gt;"",BZ54&gt;=$E54),$H54,$G54))))</f>
        <v/>
      </c>
      <c r="CA55" s="0" t="str">
        <f aca="false">IF(CA54="","",IF($D54=0,$J54,IF(AND($F54&lt;&gt;"",CA54&gt;=$F54),$I54,IF(AND($E54&lt;&gt;"",CA54&gt;=$E54),$H54,$G54))))</f>
        <v/>
      </c>
      <c r="CB55" s="0" t="str">
        <f aca="false">IF(CB54="","",IF($D54=0,$J54,IF(AND($F54&lt;&gt;"",CB54&gt;=$F54),$I54,IF(AND($E54&lt;&gt;"",CB54&gt;=$E54),$H54,$G54))))</f>
        <v/>
      </c>
      <c r="CC55" s="0" t="str">
        <f aca="false">IF(CC54="","",IF($D54=0,$J54,IF(AND($F54&lt;&gt;"",CC54&gt;=$F54),$I54,IF(AND($E54&lt;&gt;"",CC54&gt;=$E54),$H54,$G54))))</f>
        <v/>
      </c>
      <c r="CD55" s="0" t="str">
        <f aca="false">IF(CD54="","",IF($D54=0,$J54,IF(AND($F54&lt;&gt;"",CD54&gt;=$F54),$I54,IF(AND($E54&lt;&gt;"",CD54&gt;=$E54),$H54,$G54))))</f>
        <v/>
      </c>
      <c r="CE55" s="0" t="str">
        <f aca="false">IF(CE54="","",IF($D54=0,$J54,IF(AND($F54&lt;&gt;"",CE54&gt;=$F54),$I54,IF(AND($E54&lt;&gt;"",CE54&gt;=$E54),$H54,$G54))))</f>
        <v/>
      </c>
      <c r="CF55" s="0" t="str">
        <f aca="false">IF(CF54="","",IF($D54=0,$J54,IF(AND($F54&lt;&gt;"",CF54&gt;=$F54),$I54,IF(AND($E54&lt;&gt;"",CF54&gt;=$E54),$H54,$G54))))</f>
        <v/>
      </c>
      <c r="CG55" s="0" t="str">
        <f aca="false">IF(CG54="","",IF($D54=0,$J54,IF(AND($F54&lt;&gt;"",CG54&gt;=$F54),$I54,IF(AND($E54&lt;&gt;"",CG54&gt;=$E54),$H54,$G54))))</f>
        <v/>
      </c>
      <c r="CH55" s="0" t="str">
        <f aca="false">IF(CH54="","",IF($D54=0,$J54,IF(AND($F54&lt;&gt;"",CH54&gt;=$F54),$I54,IF(AND($E54&lt;&gt;"",CH54&gt;=$E54),$H54,$G54))))</f>
        <v/>
      </c>
      <c r="CI55" s="0" t="str">
        <f aca="false">IF(CI54="","",IF($D54=0,$J54,IF(AND($F54&lt;&gt;"",CI54&gt;=$F54),$I54,IF(AND($E54&lt;&gt;"",CI54&gt;=$E54),$H54,$G54))))</f>
        <v/>
      </c>
      <c r="CJ55" s="0" t="str">
        <f aca="false">IF(CJ54="","",IF($D54=0,$J54,IF(AND($F54&lt;&gt;"",CJ54&gt;=$F54),$I54,IF(AND($E54&lt;&gt;"",CJ54&gt;=$E54),$H54,$G54))))</f>
        <v/>
      </c>
      <c r="CK55" s="0" t="str">
        <f aca="false">IF(CK54="","",IF($D54=0,$J54,IF(AND($F54&lt;&gt;"",CK54&gt;=$F54),$I54,IF(AND($E54&lt;&gt;"",CK54&gt;=$E54),$H54,$G54))))</f>
        <v/>
      </c>
      <c r="CL55" s="0" t="str">
        <f aca="false">IF(CL54="","",IF($D54=0,$J54,IF(AND($F54&lt;&gt;"",CL54&gt;=$F54),$I54,IF(AND($E54&lt;&gt;"",CL54&gt;=$E54),$H54,$G54))))</f>
        <v/>
      </c>
      <c r="CM55" s="0" t="str">
        <f aca="false">IF(CM54="","",IF($D54=0,$J54,IF(AND($F54&lt;&gt;"",CM54&gt;=$F54),$I54,IF(AND($E54&lt;&gt;"",CM54&gt;=$E54),$H54,$G54))))</f>
        <v/>
      </c>
      <c r="CN55" s="0" t="str">
        <f aca="false">IF(CN54="","",IF($D54=0,$J54,IF(AND($F54&lt;&gt;"",CN54&gt;=$F54),$I54,IF(AND($E54&lt;&gt;"",CN54&gt;=$E54),$H54,$G54))))</f>
        <v/>
      </c>
      <c r="CO55" s="0" t="str">
        <f aca="false">IF(CO54="","",IF($D54=0,$J54,IF(AND($F54&lt;&gt;"",CO54&gt;=$F54),$I54,IF(AND($E54&lt;&gt;"",CO54&gt;=$E54),$H54,$G54))))</f>
        <v/>
      </c>
      <c r="CP55" s="0" t="str">
        <f aca="false">IF(CP54="","",IF($D54=0,$J54,IF(AND($F54&lt;&gt;"",CP54&gt;=$F54),$I54,IF(AND($E54&lt;&gt;"",CP54&gt;=$E54),$H54,$G54))))</f>
        <v/>
      </c>
      <c r="CQ55" s="0" t="str">
        <f aca="false">IF(CQ54="","",IF($D54=0,$J54,IF(AND($F54&lt;&gt;"",CQ54&gt;=$F54),$I54,IF(AND($E54&lt;&gt;"",CQ54&gt;=$E54),$H54,$G54))))</f>
        <v/>
      </c>
      <c r="CR55" s="0" t="str">
        <f aca="false">IF(CR54="","",IF($D54=0,$J54,IF(AND($F54&lt;&gt;"",CR54&gt;=$F54),$I54,IF(AND($E54&lt;&gt;"",CR54&gt;=$E54),$H54,$G54))))</f>
        <v/>
      </c>
      <c r="CS55" s="0" t="str">
        <f aca="false">IF(CS54="","",IF($D54=0,$J54,IF(AND($F54&lt;&gt;"",CS54&gt;=$F54),$I54,IF(AND($E54&lt;&gt;"",CS54&gt;=$E54),$H54,$G54))))</f>
        <v/>
      </c>
      <c r="CT55" s="0" t="str">
        <f aca="false">IF(CT54="","",IF($D54=0,$J54,IF(AND($F54&lt;&gt;"",CT54&gt;=$F54),$I54,IF(AND($E54&lt;&gt;"",CT54&gt;=$E54),$H54,$G54))))</f>
        <v/>
      </c>
      <c r="CU55" s="0" t="str">
        <f aca="false">IF(CU54="","",IF($D54=0,$J54,IF(AND($F54&lt;&gt;"",CU54&gt;=$F54),$I54,IF(AND($E54&lt;&gt;"",CU54&gt;=$E54),$H54,$G54))))</f>
        <v/>
      </c>
      <c r="CV55" s="0" t="str">
        <f aca="false">IF(CV54="","",IF($D54=0,$J54,IF(AND($F54&lt;&gt;"",CV54&gt;=$F54),$I54,IF(AND($E54&lt;&gt;"",CV54&gt;=$E54),$H54,$G54))))</f>
        <v/>
      </c>
      <c r="CW55" s="0" t="str">
        <f aca="false">IF(CW54="","",IF($D54=0,$J54,IF(AND($F54&lt;&gt;"",CW54&gt;=$F54),$I54,IF(AND($E54&lt;&gt;"",CW54&gt;=$E54),$H54,$G54))))</f>
        <v/>
      </c>
      <c r="CX55" s="0" t="str">
        <f aca="false">IF(CX54="","",IF($D54=0,$J54,IF(AND($F54&lt;&gt;"",CX54&gt;=$F54),$I54,IF(AND($E54&lt;&gt;"",CX54&gt;=$E54),$H54,$G54))))</f>
        <v/>
      </c>
      <c r="CY55" s="0" t="str">
        <f aca="false">IF(CY54="","",IF($D54=0,$J54,IF(AND($F54&lt;&gt;"",CY54&gt;=$F54),$I54,IF(AND($E54&lt;&gt;"",CY54&gt;=$E54),$H54,$G54))))</f>
        <v/>
      </c>
      <c r="CZ55" s="0" t="str">
        <f aca="false">IF(CZ54="","",IF($D54=0,$J54,IF(AND($F54&lt;&gt;"",CZ54&gt;=$F54),$I54,IF(AND($E54&lt;&gt;"",CZ54&gt;=$E54),$H54,$G54))))</f>
        <v/>
      </c>
      <c r="DA55" s="0" t="str">
        <f aca="false">IF(DA54="","",IF($D54=0,$J54,IF(AND($F54&lt;&gt;"",DA54&gt;=$F54),$I54,IF(AND($E54&lt;&gt;"",DA54&gt;=$E54),$H54,$G54))))</f>
        <v/>
      </c>
      <c r="DB55" s="0" t="str">
        <f aca="false">IF(DB54="","",IF($D54=0,$J54,IF(AND($F54&lt;&gt;"",DB54&gt;=$F54),$I54,IF(AND($E54&lt;&gt;"",DB54&gt;=$E54),$H54,$G54))))</f>
        <v/>
      </c>
      <c r="DC55" s="0" t="str">
        <f aca="false">IF(DC54="","",IF($D54=0,$J54,IF(AND($F54&lt;&gt;"",DC54&gt;=$F54),$I54,IF(AND($E54&lt;&gt;"",DC54&gt;=$E54),$H54,$G54))))</f>
        <v/>
      </c>
      <c r="DD55" s="0" t="str">
        <f aca="false">IF(DD54="","",IF($D54=0,$J54,IF(AND($F54&lt;&gt;"",DD54&gt;=$F54),$I54,IF(AND($E54&lt;&gt;"",DD54&gt;=$E54),$H54,$G54))))</f>
        <v/>
      </c>
      <c r="DE55" s="0" t="str">
        <f aca="false">IF(DE54="","",IF($D54=0,$J54,IF(AND($F54&lt;&gt;"",DE54&gt;=$F54),$I54,IF(AND($E54&lt;&gt;"",DE54&gt;=$E54),$H54,$G54))))</f>
        <v/>
      </c>
      <c r="DF55" s="0" t="str">
        <f aca="false">IF(DF54="","",IF($D54=0,$J54,IF(AND($F54&lt;&gt;"",DF54&gt;=$F54),$I54,IF(AND($E54&lt;&gt;"",DF54&gt;=$E54),$H54,$G54))))</f>
        <v/>
      </c>
      <c r="DG55" s="0" t="str">
        <f aca="false">IF(DG54="","",IF($D54=0,$J54,IF(AND($F54&lt;&gt;"",DG54&gt;=$F54),$I54,IF(AND($E54&lt;&gt;"",DG54&gt;=$E54),$H54,$G54))))</f>
        <v/>
      </c>
      <c r="DH55" s="0" t="str">
        <f aca="false">IF(DH54="","",IF($D54=0,$J54,IF(AND($F54&lt;&gt;"",DH54&gt;=$F54),$I54,IF(AND($E54&lt;&gt;"",DH54&gt;=$E54),$H54,$G54))))</f>
        <v/>
      </c>
      <c r="DI55" s="0" t="str">
        <f aca="false">IF(DI54="","",IF($D54=0,$J54,IF(AND($F54&lt;&gt;"",DI54&gt;=$F54),$I54,IF(AND($E54&lt;&gt;"",DI54&gt;=$E54),$H54,$G54))))</f>
        <v/>
      </c>
      <c r="DJ55" s="0" t="str">
        <f aca="false">IF(DJ54="","",IF($D54=0,$J54,IF(AND($F54&lt;&gt;"",DJ54&gt;=$F54),$I54,IF(AND($E54&lt;&gt;"",DJ54&gt;=$E54),$H54,$G54))))</f>
        <v/>
      </c>
      <c r="DK55" s="0" t="str">
        <f aca="false">IF(DK54="","",IF($D54=0,$J54,IF(AND($F54&lt;&gt;"",DK54&gt;=$F54),$I54,IF(AND($E54&lt;&gt;"",DK54&gt;=$E54),$H54,$G54))))</f>
        <v/>
      </c>
      <c r="DL55" s="0" t="str">
        <f aca="false">IF(DL54="","",IF($D54=0,$J54,IF(AND($F54&lt;&gt;"",DL54&gt;=$F54),$I54,IF(AND($E54&lt;&gt;"",DL54&gt;=$E54),$H54,$G54))))</f>
        <v/>
      </c>
      <c r="DM55" s="0" t="str">
        <f aca="false">IF(DM54="","",IF($D54=0,$J54,IF(AND($F54&lt;&gt;"",DM54&gt;=$F54),$I54,IF(AND($E54&lt;&gt;"",DM54&gt;=$E54),$H54,$G54))))</f>
        <v/>
      </c>
      <c r="DN55" s="0" t="str">
        <f aca="false">IF(DN54="","",IF($D54=0,$J54,IF(AND($F54&lt;&gt;"",DN54&gt;=$F54),$I54,IF(AND($E54&lt;&gt;"",DN54&gt;=$E54),$H54,$G54))))</f>
        <v/>
      </c>
      <c r="DO55" s="0" t="str">
        <f aca="false">IF(DO54="","",IF($D54=0,$J54,IF(AND($F54&lt;&gt;"",DO54&gt;=$F54),$I54,IF(AND($E54&lt;&gt;"",DO54&gt;=$E54),$H54,$G54))))</f>
        <v/>
      </c>
      <c r="DP55" s="0" t="str">
        <f aca="false">IF(DP54="","",IF($D54=0,$J54,IF(AND($F54&lt;&gt;"",DP54&gt;=$F54),$I54,IF(AND($E54&lt;&gt;"",DP54&gt;=$E54),$H54,$G54))))</f>
        <v/>
      </c>
      <c r="DQ55" s="0" t="str">
        <f aca="false">IF(DQ54="","",IF($D54=0,$J54,IF(AND($F54&lt;&gt;"",DQ54&gt;=$F54),$I54,IF(AND($E54&lt;&gt;"",DQ54&gt;=$E54),$H54,$G54))))</f>
        <v/>
      </c>
      <c r="DR55" s="0" t="str">
        <f aca="false">IF(DR54="","",IF($D54=0,$J54,IF(AND($F54&lt;&gt;"",DR54&gt;=$F54),$I54,IF(AND($E54&lt;&gt;"",DR54&gt;=$E54),$H54,$G54))))</f>
        <v/>
      </c>
      <c r="DS55" s="0" t="str">
        <f aca="false">IF(DS54="","",IF($D54=0,$J54,IF(AND($F54&lt;&gt;"",DS54&gt;=$F54),$I54,IF(AND($E54&lt;&gt;"",DS54&gt;=$E54),$H54,$G54))))</f>
        <v/>
      </c>
      <c r="DT55" s="0" t="str">
        <f aca="false">IF(DT54="","",IF($D54=0,$J54,IF(AND($F54&lt;&gt;"",DT54&gt;=$F54),$I54,IF(AND($E54&lt;&gt;"",DT54&gt;=$E54),$H54,$G54))))</f>
        <v/>
      </c>
      <c r="DU55" s="0" t="str">
        <f aca="false">IF(DU54="","",IF($D54=0,$J54,IF(AND($F54&lt;&gt;"",DU54&gt;=$F54),$I54,IF(AND($E54&lt;&gt;"",DU54&gt;=$E54),$H54,$G54))))</f>
        <v/>
      </c>
      <c r="DV55" s="0" t="str">
        <f aca="false">IF(DV54="","",IF($D54=0,$J54,IF(AND($F54&lt;&gt;"",DV54&gt;=$F54),$I54,IF(AND($E54&lt;&gt;"",DV54&gt;=$E54),$H54,$G54))))</f>
        <v/>
      </c>
      <c r="DW55" s="0" t="str">
        <f aca="false">IF(DW54="","",IF($D54=0,$J54,IF(AND($F54&lt;&gt;"",DW54&gt;=$F54),$I54,IF(AND($E54&lt;&gt;"",DW54&gt;=$E54),$H54,$G54))))</f>
        <v/>
      </c>
      <c r="DX55" s="0" t="str">
        <f aca="false">IF(DX54="","",IF($D54=0,$J54,IF(AND($F54&lt;&gt;"",DX54&gt;=$F54),$I54,IF(AND($E54&lt;&gt;"",DX54&gt;=$E54),$H54,$G54))))</f>
        <v/>
      </c>
      <c r="DY55" s="0" t="str">
        <f aca="false">IF(DY54="","",IF($D54=0,$J54,IF(AND($F54&lt;&gt;"",DY54&gt;=$F54),$I54,IF(AND($E54&lt;&gt;"",DY54&gt;=$E54),$H54,$G54))))</f>
        <v/>
      </c>
      <c r="DZ55" s="0" t="str">
        <f aca="false">IF(DZ54="","",IF($D54=0,$J54,IF(AND($F54&lt;&gt;"",DZ54&gt;=$F54),$I54,IF(AND($E54&lt;&gt;"",DZ54&gt;=$E54),$H54,$G54))))</f>
        <v/>
      </c>
      <c r="EA55" s="0" t="str">
        <f aca="false">IF(EA54="","",IF($D54=0,$J54,IF(AND($F54&lt;&gt;"",EA54&gt;=$F54),$I54,IF(AND($E54&lt;&gt;"",EA54&gt;=$E54),$H54,$G54))))</f>
        <v/>
      </c>
      <c r="EB55" s="0" t="str">
        <f aca="false">IF(EB54="","",IF($D54=0,$J54,IF(AND($F54&lt;&gt;"",EB54&gt;=$F54),$I54,IF(AND($E54&lt;&gt;"",EB54&gt;=$E54),$H54,$G54))))</f>
        <v/>
      </c>
      <c r="EC55" s="0" t="str">
        <f aca="false">IF(EC54="","",IF($D54=0,$J54,IF(AND($F54&lt;&gt;"",EC54&gt;=$F54),$I54,IF(AND($E54&lt;&gt;"",EC54&gt;=$E54),$H54,$G54))))</f>
        <v/>
      </c>
      <c r="ED55" s="0" t="str">
        <f aca="false">IF(ED54="","",IF($D54=0,$J54,IF(AND($F54&lt;&gt;"",ED54&gt;=$F54),$I54,IF(AND($E54&lt;&gt;"",ED54&gt;=$E54),$H54,$G54))))</f>
        <v/>
      </c>
      <c r="EE55" s="0" t="str">
        <f aca="false">IF(EE54="","",IF($D54=0,$J54,IF(AND($F54&lt;&gt;"",EE54&gt;=$F54),$I54,IF(AND($E54&lt;&gt;"",EE54&gt;=$E54),$H54,$G54))))</f>
        <v/>
      </c>
      <c r="EF55" s="0" t="str">
        <f aca="false">IF(EF54="","",IF($D54=0,$J54,IF(AND($F54&lt;&gt;"",EF54&gt;=$F54),$I54,IF(AND($E54&lt;&gt;"",EF54&gt;=$E54),$H54,$G54))))</f>
        <v/>
      </c>
      <c r="EG55" s="0" t="str">
        <f aca="false">IF(EG54="","",IF($D54=0,$J54,IF(AND($F54&lt;&gt;"",EG54&gt;=$F54),$I54,IF(AND($E54&lt;&gt;"",EG54&gt;=$E54),$H54,$G54))))</f>
        <v/>
      </c>
      <c r="EH55" s="0" t="str">
        <f aca="false">IF(EH54="","",IF($D54=0,$J54,IF(AND($F54&lt;&gt;"",EH54&gt;=$F54),$I54,IF(AND($E54&lt;&gt;"",EH54&gt;=$E54),$H54,$G54))))</f>
        <v/>
      </c>
      <c r="EI55" s="0" t="str">
        <f aca="false">IF(EI54="","",IF($D54=0,$J54,IF(AND($F54&lt;&gt;"",EI54&gt;=$F54),$I54,IF(AND($E54&lt;&gt;"",EI54&gt;=$E54),$H54,$G54))))</f>
        <v/>
      </c>
      <c r="EJ55" s="0" t="str">
        <f aca="false">IF(EJ54="","",IF($D54=0,$J54,IF(AND($F54&lt;&gt;"",EJ54&gt;=$F54),$I54,IF(AND($E54&lt;&gt;"",EJ54&gt;=$E54),$H54,$G54))))</f>
        <v/>
      </c>
      <c r="EK55" s="0" t="str">
        <f aca="false">IF(EK54="","",IF($D54=0,$J54,IF(AND($F54&lt;&gt;"",EK54&gt;=$F54),$I54,IF(AND($E54&lt;&gt;"",EK54&gt;=$E54),$H54,$G54))))</f>
        <v/>
      </c>
      <c r="EL55" s="0" t="str">
        <f aca="false">IF(EL54="","",IF($D54=0,$J54,IF(AND($F54&lt;&gt;"",EL54&gt;=$F54),$I54,IF(AND($E54&lt;&gt;"",EL54&gt;=$E54),$H54,$G54))))</f>
        <v/>
      </c>
      <c r="EM55" s="0" t="str">
        <f aca="false">IF(EM54="","",IF($D54=0,$J54,IF(AND($F54&lt;&gt;"",EM54&gt;=$F54),$I54,IF(AND($E54&lt;&gt;"",EM54&gt;=$E54),$H54,$G54))))</f>
        <v/>
      </c>
      <c r="EN55" s="0" t="str">
        <f aca="false">IF(EN54="","",IF($D54=0,$J54,IF(AND($F54&lt;&gt;"",EN54&gt;=$F54),$I54,IF(AND($E54&lt;&gt;"",EN54&gt;=$E54),$H54,$G54))))</f>
        <v/>
      </c>
      <c r="EO55" s="0" t="str">
        <f aca="false">IF(EO54="","",IF($D54=0,$J54,IF(AND($F54&lt;&gt;"",EO54&gt;=$F54),$I54,IF(AND($E54&lt;&gt;"",EO54&gt;=$E54),$H54,$G54))))</f>
        <v/>
      </c>
      <c r="EP55" s="0" t="str">
        <f aca="false">IF(EP54="","",IF($D54=0,$J54,IF(AND($F54&lt;&gt;"",EP54&gt;=$F54),$I54,IF(AND($E54&lt;&gt;"",EP54&gt;=$E54),$H54,$G54))))</f>
        <v/>
      </c>
      <c r="EQ55" s="0" t="str">
        <f aca="false">IF(EQ54="","",IF($D54=0,$J54,IF(AND($F54&lt;&gt;"",EQ54&gt;=$F54),$I54,IF(AND($E54&lt;&gt;"",EQ54&gt;=$E54),$H54,$G54))))</f>
        <v/>
      </c>
      <c r="ER55" s="0" t="str">
        <f aca="false">IF(ER54="","",IF($D54=0,$J54,IF(AND($F54&lt;&gt;"",ER54&gt;=$F54),$I54,IF(AND($E54&lt;&gt;"",ER54&gt;=$E54),$H54,$G54))))</f>
        <v/>
      </c>
      <c r="ES55" s="0" t="str">
        <f aca="false">IF(ES54="","",IF($D54=0,$J54,IF(AND($F54&lt;&gt;"",ES54&gt;=$F54),$I54,IF(AND($E54&lt;&gt;"",ES54&gt;=$E54),$H54,$G54))))</f>
        <v/>
      </c>
      <c r="ET55" s="0" t="str">
        <f aca="false">IF(ET54="","",IF($D54=0,$J54,IF(AND($F54&lt;&gt;"",ET54&gt;=$F54),$I54,IF(AND($E54&lt;&gt;"",ET54&gt;=$E54),$H54,$G54))))</f>
        <v/>
      </c>
      <c r="EU55" s="0" t="str">
        <f aca="false">IF(EU54="","",IF($D54=0,$J54,IF(AND($F54&lt;&gt;"",EU54&gt;=$F54),$I54,IF(AND($E54&lt;&gt;"",EU54&gt;=$E54),$H54,$G54))))</f>
        <v/>
      </c>
      <c r="EV55" s="0" t="str">
        <f aca="false">IF(EV54="","",IF($D54=0,$J54,IF(AND($F54&lt;&gt;"",EV54&gt;=$F54),$I54,IF(AND($E54&lt;&gt;"",EV54&gt;=$E54),$H54,$G54))))</f>
        <v/>
      </c>
      <c r="EW55" s="0" t="str">
        <f aca="false">IF(EW54="","",IF($D54=0,$J54,IF(AND($F54&lt;&gt;"",EW54&gt;=$F54),$I54,IF(AND($E54&lt;&gt;"",EW54&gt;=$E54),$H54,$G54))))</f>
        <v/>
      </c>
      <c r="EX55" s="0" t="str">
        <f aca="false">IF(EX54="","",IF($D54=0,$J54,IF(AND($F54&lt;&gt;"",EX54&gt;=$F54),$I54,IF(AND($E54&lt;&gt;"",EX54&gt;=$E54),$H54,$G54))))</f>
        <v/>
      </c>
      <c r="EY55" s="0" t="str">
        <f aca="false">IF(EY54="","",IF($D54=0,$J54,IF(AND($F54&lt;&gt;"",EY54&gt;=$F54),$I54,IF(AND($E54&lt;&gt;"",EY54&gt;=$E54),$H54,$G54))))</f>
        <v/>
      </c>
      <c r="EZ55" s="0" t="str">
        <f aca="false">IF(EZ54="","",IF($D54=0,$J54,IF(AND($F54&lt;&gt;"",EZ54&gt;=$F54),$I54,IF(AND($E54&lt;&gt;"",EZ54&gt;=$E54),$H54,$G54))))</f>
        <v/>
      </c>
      <c r="FA55" s="0" t="str">
        <f aca="false">IF(FA54="","",IF($D54=0,$J54,IF(AND($F54&lt;&gt;"",FA54&gt;=$F54),$I54,IF(AND($E54&lt;&gt;"",FA54&gt;=$E54),$H54,$G54))))</f>
        <v/>
      </c>
      <c r="FB55" s="0" t="str">
        <f aca="false">IF(FB54="","",IF($D54=0,$J54,IF(AND($F54&lt;&gt;"",FB54&gt;=$F54),$I54,IF(AND($E54&lt;&gt;"",FB54&gt;=$E54),$H54,$G54))))</f>
        <v/>
      </c>
      <c r="FC55" s="0" t="str">
        <f aca="false">IF(FC54="","",IF($D54=0,$J54,IF(AND($F54&lt;&gt;"",FC54&gt;=$F54),$I54,IF(AND($E54&lt;&gt;"",FC54&gt;=$E54),$H54,$G54))))</f>
        <v/>
      </c>
      <c r="FD55" s="0" t="str">
        <f aca="false">IF(FD54="","",IF($D54=0,$J54,IF(AND($F54&lt;&gt;"",FD54&gt;=$F54),$I54,IF(AND($E54&lt;&gt;"",FD54&gt;=$E54),$H54,$G54))))</f>
        <v/>
      </c>
      <c r="FE55" s="0" t="str">
        <f aca="false">IF(FE54="","",IF($D54=0,$J54,IF(AND($F54&lt;&gt;"",FE54&gt;=$F54),$I54,IF(AND($E54&lt;&gt;"",FE54&gt;=$E54),$H54,$G54))))</f>
        <v/>
      </c>
      <c r="FF55" s="0" t="str">
        <f aca="false">IF(FF54="","",IF($D54=0,$J54,IF(AND($F54&lt;&gt;"",FF54&gt;=$F54),$I54,IF(AND($E54&lt;&gt;"",FF54&gt;=$E54),$H54,$G54))))</f>
        <v/>
      </c>
      <c r="FG55" s="0" t="str">
        <f aca="false">IF(FG54="","",IF($D54=0,$J54,IF(AND($F54&lt;&gt;"",FG54&gt;=$F54),$I54,IF(AND($E54&lt;&gt;"",FG54&gt;=$E54),$H54,$G54))))</f>
        <v/>
      </c>
      <c r="FH55" s="0" t="str">
        <f aca="false">IF(FH54="","",IF($D54=0,$J54,IF(AND($F54&lt;&gt;"",FH54&gt;=$F54),$I54,IF(AND($E54&lt;&gt;"",FH54&gt;=$E54),$H54,$G54))))</f>
        <v/>
      </c>
      <c r="FI55" s="0" t="str">
        <f aca="false">IF(FI54="","",IF($D54=0,$J54,IF(AND($F54&lt;&gt;"",FI54&gt;=$F54),$I54,IF(AND($E54&lt;&gt;"",FI54&gt;=$E54),$H54,$G54))))</f>
        <v/>
      </c>
      <c r="FJ55" s="0" t="str">
        <f aca="false">IF(FJ54="","",IF($D54=0,$J54,IF(AND($F54&lt;&gt;"",FJ54&gt;=$F54),$I54,IF(AND($E54&lt;&gt;"",FJ54&gt;=$E54),$H54,$G54))))</f>
        <v/>
      </c>
      <c r="FK55" s="0" t="str">
        <f aca="false">IF(FK54="","",IF($D54=0,$J54,IF(AND($F54&lt;&gt;"",FK54&gt;=$F54),$I54,IF(AND($E54&lt;&gt;"",FK54&gt;=$E54),$H54,$G54))))</f>
        <v/>
      </c>
      <c r="FL55" s="0" t="str">
        <f aca="false">IF(FL54="","",IF($D54=0,$J54,IF(AND($F54&lt;&gt;"",FL54&gt;=$F54),$I54,IF(AND($E54&lt;&gt;"",FL54&gt;=$E54),$H54,$G54))))</f>
        <v/>
      </c>
      <c r="FM55" s="0" t="str">
        <f aca="false">IF(FM54="","",IF($D54=0,$J54,IF(AND($F54&lt;&gt;"",FM54&gt;=$F54),$I54,IF(AND($E54&lt;&gt;"",FM54&gt;=$E54),$H54,$G54))))</f>
        <v/>
      </c>
      <c r="FN55" s="0" t="str">
        <f aca="false">IF(FN54="","",IF($D54=0,$J54,IF(AND($F54&lt;&gt;"",FN54&gt;=$F54),$I54,IF(AND($E54&lt;&gt;"",FN54&gt;=$E54),$H54,$G54))))</f>
        <v/>
      </c>
      <c r="FO55" s="0" t="str">
        <f aca="false">IF(FO54="","",IF($D54=0,$J54,IF(AND($F54&lt;&gt;"",FO54&gt;=$F54),$I54,IF(AND($E54&lt;&gt;"",FO54&gt;=$E54),$H54,$G54))))</f>
        <v/>
      </c>
      <c r="FP55" s="0" t="str">
        <f aca="false">IF(FP54="","",IF($D54=0,$J54,IF(AND($F54&lt;&gt;"",FP54&gt;=$F54),$I54,IF(AND($E54&lt;&gt;"",FP54&gt;=$E54),$H54,$G54))))</f>
        <v/>
      </c>
      <c r="FQ55" s="0" t="str">
        <f aca="false">IF(FQ54="","",IF($D54=0,$J54,IF(AND($F54&lt;&gt;"",FQ54&gt;=$F54),$I54,IF(AND($E54&lt;&gt;"",FQ54&gt;=$E54),$H54,$G54))))</f>
        <v/>
      </c>
      <c r="FR55" s="0" t="str">
        <f aca="false">IF(FR54="","",IF($D54=0,$J54,IF(AND($F54&lt;&gt;"",FR54&gt;=$F54),$I54,IF(AND($E54&lt;&gt;"",FR54&gt;=$E54),$H54,$G54))))</f>
        <v/>
      </c>
      <c r="FS55" s="0" t="str">
        <f aca="false">IF(FS54="","",IF($D54=0,$J54,IF(AND($F54&lt;&gt;"",FS54&gt;=$F54),$I54,IF(AND($E54&lt;&gt;"",FS54&gt;=$E54),$H54,$G54))))</f>
        <v/>
      </c>
      <c r="FT55" s="0" t="str">
        <f aca="false">IF(FT54="","",IF($D54=0,$J54,IF(AND($F54&lt;&gt;"",FT54&gt;=$F54),$I54,IF(AND($E54&lt;&gt;"",FT54&gt;=$E54),$H54,$G54))))</f>
        <v/>
      </c>
      <c r="FU55" s="0" t="str">
        <f aca="false">IF(FU54="","",IF($D54=0,$J54,IF(AND($F54&lt;&gt;"",FU54&gt;=$F54),$I54,IF(AND($E54&lt;&gt;"",FU54&gt;=$E54),$H54,$G54))))</f>
        <v/>
      </c>
      <c r="FV55" s="0" t="str">
        <f aca="false">IF(FV54="","",IF($D54=0,$J54,IF(AND($F54&lt;&gt;"",FV54&gt;=$F54),$I54,IF(AND($E54&lt;&gt;"",FV54&gt;=$E54),$H54,$G54))))</f>
        <v/>
      </c>
      <c r="FW55" s="0" t="str">
        <f aca="false">IF(FW54="","",IF($D54=0,$J54,IF(AND($F54&lt;&gt;"",FW54&gt;=$F54),$I54,IF(AND($E54&lt;&gt;"",FW54&gt;=$E54),$H54,$G54))))</f>
        <v/>
      </c>
      <c r="FX55" s="0" t="str">
        <f aca="false">IF(FX54="","",IF($D54=0,$J54,IF(AND($F54&lt;&gt;"",FX54&gt;=$F54),$I54,IF(AND($E54&lt;&gt;"",FX54&gt;=$E54),$H54,$G54))))</f>
        <v/>
      </c>
      <c r="FY55" s="0" t="str">
        <f aca="false">IF(FY54="","",IF($D54=0,$J54,IF(AND($F54&lt;&gt;"",FY54&gt;=$F54),$I54,IF(AND($E54&lt;&gt;"",FY54&gt;=$E54),$H54,$G54))))</f>
        <v/>
      </c>
      <c r="FZ55" s="0" t="str">
        <f aca="false">IF(FZ54="","",IF($D54=0,$J54,IF(AND($F54&lt;&gt;"",FZ54&gt;=$F54),$I54,IF(AND($E54&lt;&gt;"",FZ54&gt;=$E54),$H54,$G54))))</f>
        <v/>
      </c>
      <c r="GA55" s="0" t="str">
        <f aca="false">IF(GA54="","",IF($D54=0,$J54,IF(AND($F54&lt;&gt;"",GA54&gt;=$F54),$I54,IF(AND($E54&lt;&gt;"",GA54&gt;=$E54),$H54,$G54))))</f>
        <v/>
      </c>
      <c r="GB55" s="0" t="str">
        <f aca="false">IF(GB54="","",IF($D54=0,$J54,IF(AND($F54&lt;&gt;"",GB54&gt;=$F54),$I54,IF(AND($E54&lt;&gt;"",GB54&gt;=$E54),$H54,$G54))))</f>
        <v/>
      </c>
      <c r="GC55" s="0" t="str">
        <f aca="false">IF(GC54="","",IF($D54=0,$J54,IF(AND($F54&lt;&gt;"",GC54&gt;=$F54),$I54,IF(AND($E54&lt;&gt;"",GC54&gt;=$E54),$H54,$G54))))</f>
        <v/>
      </c>
      <c r="GD55" s="0" t="str">
        <f aca="false">IF(GD54="","",IF($D54=0,$J54,IF(AND($F54&lt;&gt;"",GD54&gt;=$F54),$I54,IF(AND($E54&lt;&gt;"",GD54&gt;=$E54),$H54,$G54))))</f>
        <v/>
      </c>
      <c r="GE55" s="0" t="str">
        <f aca="false">IF(GE54="","",IF($D54=0,$J54,IF(AND($F54&lt;&gt;"",GE54&gt;=$F54),$I54,IF(AND($E54&lt;&gt;"",GE54&gt;=$E54),$H54,$G54))))</f>
        <v/>
      </c>
      <c r="GF55" s="0" t="str">
        <f aca="false">IF(GF54="","",IF($D54=0,$J54,IF(AND($F54&lt;&gt;"",GF54&gt;=$F54),$I54,IF(AND($E54&lt;&gt;"",GF54&gt;=$E54),$H54,$G54))))</f>
        <v/>
      </c>
      <c r="GG55" s="0" t="str">
        <f aca="false">IF(GG54="","",IF($D54=0,$J54,IF(AND($F54&lt;&gt;"",GG54&gt;=$F54),$I54,IF(AND($E54&lt;&gt;"",GG54&gt;=$E54),$H54,$G54))))</f>
        <v/>
      </c>
      <c r="GH55" s="0" t="str">
        <f aca="false">IF(GH54="","",IF($D54=0,$J54,IF(AND($F54&lt;&gt;"",GH54&gt;=$F54),$I54,IF(AND($E54&lt;&gt;"",GH54&gt;=$E54),$H54,$G54))))</f>
        <v/>
      </c>
      <c r="GI55" s="0" t="str">
        <f aca="false">IF(GI54="","",IF($D54=0,$J54,IF(AND($F54&lt;&gt;"",GI54&gt;=$F54),$I54,IF(AND($E54&lt;&gt;"",GI54&gt;=$E54),$H54,$G54))))</f>
        <v/>
      </c>
    </row>
    <row r="56" customFormat="false" ht="15" hidden="false" customHeight="false" outlineLevel="0" collapsed="false">
      <c r="K56" s="0" t="s">
        <v>264</v>
      </c>
      <c r="L56" s="0" t="n">
        <f aca="false">IF(L54="",0,IF(AND(L55=Milestones!$AB$20,L54&gt;=SchemeStart),IF(AND(Milestones!$AB$20="FT",Milestones!$AA$20=FT_Y5,L54&lt;PolicyEff),1,Milestones!$AC$20),0))</f>
        <v>0</v>
      </c>
      <c r="M56" s="0" t="n">
        <f aca="false">IF(M54="",0,IF(AND(M55=Milestones!$AB$21,M54&gt;=SchemeStart),IF(AND(Milestones!$AB$21="FT",Milestones!$AA$21=FT_Y5,M54&lt;PolicyEff),1,Milestones!$AC$21),0))</f>
        <v>0</v>
      </c>
      <c r="N56" s="0" t="n">
        <f aca="false">IF(N54="",0,IF(AND(N55=Milestones!$AB$22,N54&gt;=SchemeStart),IF(AND(Milestones!$AB$22="FT",Milestones!$AA$22=FT_Y5,N54&lt;PolicyEff),1,Milestones!$AC$22),0))</f>
        <v>0</v>
      </c>
      <c r="O56" s="0" t="n">
        <f aca="false">IF(O54="",0,IF(AND(O55=Milestones!$AB$23,O54&gt;=SchemeStart),IF(AND(Milestones!$AB$23="FT",Milestones!$AA$23=FT_Y5,O54&lt;PolicyEff),1,Milestones!$AC$23),0))</f>
        <v>0</v>
      </c>
      <c r="P56" s="0" t="n">
        <f aca="false">IF(P54="",0,IF(AND(P55=Milestones!$AB$24,P54&gt;=SchemeStart),IF(AND(Milestones!$AB$24="FT",Milestones!$AA$24=FT_Y5,P54&lt;PolicyEff),1,Milestones!$AC$24),0))</f>
        <v>0</v>
      </c>
      <c r="Q56" s="0" t="n">
        <f aca="false">IF(Q54="",0,IF(AND(Q55=Milestones!$AB$25,Q54&gt;=SchemeStart),IF(AND(Milestones!$AB$25="FT",Milestones!$AA$25=FT_Y5,Q54&lt;PolicyEff),1,Milestones!$AC$25),0))</f>
        <v>0</v>
      </c>
      <c r="R56" s="0" t="n">
        <f aca="false">IF(R54="",0,IF(AND(R55=Milestones!$AB$26,R54&gt;=SchemeStart),IF(AND(Milestones!$AB$26="FT",Milestones!$AA$26=FT_Y5,R54&lt;PolicyEff),1,Milestones!$AC$26),0))</f>
        <v>0</v>
      </c>
      <c r="S56" s="0" t="n">
        <f aca="false">IF(S54="",0,IF(AND(S55=Milestones!$AB$27,S54&gt;=SchemeStart),IF(AND(Milestones!$AB$27="FT",Milestones!$AA$27=FT_Y5,S54&lt;PolicyEff),1,Milestones!$AC$27),0))</f>
        <v>0</v>
      </c>
      <c r="T56" s="0" t="n">
        <f aca="false">IF(T54="",0,IF(AND(T55=Milestones!$AB$28,T54&gt;=SchemeStart),IF(AND(Milestones!$AB$28="FT",Milestones!$AA$28=FT_Y5,T54&lt;PolicyEff),1,Milestones!$AC$28),0))</f>
        <v>0</v>
      </c>
      <c r="U56" s="0" t="n">
        <f aca="false">IF(U54="",0,IF(AND(U55=Milestones!$AB$29,U54&gt;=SchemeStart),IF(AND(Milestones!$AB$29="FT",Milestones!$AA$29=FT_Y5,U54&lt;PolicyEff),1,Milestones!$AC$29),0))</f>
        <v>0</v>
      </c>
      <c r="V56" s="0" t="n">
        <f aca="false">IF(V54="",0,IF(AND(V55=Milestones!$AB$30,V54&gt;=SchemeStart),IF(AND(Milestones!$AB$30="FT",Milestones!$AA$30=FT_Y5,V54&lt;PolicyEff),1,Milestones!$AC$30),0))</f>
        <v>0</v>
      </c>
      <c r="W56" s="0" t="n">
        <f aca="false">IF(W54="",0,IF(AND(W55=Milestones!$AB$31,W54&gt;=SchemeStart),IF(AND(Milestones!$AB$31="FT",Milestones!$AA$31=FT_Y5,W54&lt;PolicyEff),1,Milestones!$AC$31),0))</f>
        <v>0</v>
      </c>
      <c r="X56" s="0" t="n">
        <f aca="false">IF(X54="",0,IF(AND(X55=Milestones!$AB$32,X54&gt;=SchemeStart),IF(AND(Milestones!$AB$32="FT",Milestones!$AA$32=FT_Y5,X54&lt;PolicyEff),1,Milestones!$AC$32),0))</f>
        <v>0</v>
      </c>
      <c r="Y56" s="0" t="n">
        <f aca="false">IF(Y54="",0,IF(AND(Y55=Milestones!$AB$33,Y54&gt;=SchemeStart),IF(AND(Milestones!$AB$33="FT",Milestones!$AA$33=FT_Y5,Y54&lt;PolicyEff),1,Milestones!$AC$33),0))</f>
        <v>0</v>
      </c>
      <c r="Z56" s="0" t="n">
        <f aca="false">IF(Z54="",0,IF(AND(Z55=Milestones!$AB$34,Z54&gt;=SchemeStart),IF(AND(Milestones!$AB$34="FT",Milestones!$AA$34=FT_Y5,Z54&lt;PolicyEff),1,Milestones!$AC$34),0))</f>
        <v>0</v>
      </c>
      <c r="AA56" s="0" t="n">
        <f aca="false">IF(AA54="",0,IF(AND(AA55=Milestones!$AB$35,AA54&gt;=SchemeStart),IF(AND(Milestones!$AB$35="FT",Milestones!$AA$35=FT_Y5,AA54&lt;PolicyEff),1,Milestones!$AC$35),0))</f>
        <v>0</v>
      </c>
      <c r="AB56" s="0" t="n">
        <f aca="false">IF(AB54="",0,IF(AND(AB55=Milestones!$AB$36,AB54&gt;=SchemeStart),IF(AND(Milestones!$AB$36="FT",Milestones!$AA$36=FT_Y5,AB54&lt;PolicyEff),1,Milestones!$AC$36),0))</f>
        <v>0</v>
      </c>
      <c r="AC56" s="0" t="n">
        <f aca="false">IF(AC54="",0,IF(AND(AC55=Milestones!$AB$37,AC54&gt;=SchemeStart),IF(AND(Milestones!$AB$37="FT",Milestones!$AA$37=FT_Y5,AC54&lt;PolicyEff),1,Milestones!$AC$37),0))</f>
        <v>0</v>
      </c>
      <c r="AD56" s="0" t="n">
        <f aca="false">IF(AD54="",0,IF(AND(AD55=Milestones!$AB$38,AD54&gt;=SchemeStart),IF(AND(Milestones!$AB$38="FT",Milestones!$AA$38=FT_Y5,AD54&lt;PolicyEff),1,Milestones!$AC$38),0))</f>
        <v>0</v>
      </c>
      <c r="AE56" s="0" t="n">
        <f aca="false">IF(AE54="",0,IF(AND(AE55=Milestones!$AB$39,AE54&gt;=SchemeStart),IF(AND(Milestones!$AB$39="FT",Milestones!$AA$39=FT_Y5,AE54&lt;PolicyEff),1,Milestones!$AC$39),0))</f>
        <v>0</v>
      </c>
      <c r="AF56" s="0" t="n">
        <f aca="false">IF(AF54="",0,IF(AND(AF55=Milestones!$AB$40,AF54&gt;=SchemeStart),IF(AND(Milestones!$AB$40="FT",Milestones!$AA$40=FT_Y5,AF54&lt;PolicyEff),1,Milestones!$AC$40),0))</f>
        <v>0</v>
      </c>
      <c r="AG56" s="0" t="n">
        <f aca="false">IF(AG54="",0,IF(AND(AG55=Milestones!$AB$41,AG54&gt;=SchemeStart),IF(AND(Milestones!$AB$41="FT",Milestones!$AA$41=FT_Y5,AG54&lt;PolicyEff),1,Milestones!$AC$41),0))</f>
        <v>0</v>
      </c>
      <c r="AH56" s="0" t="n">
        <f aca="false">IF(AH54="",0,IF(AND(AH55=Milestones!$AB$42,AH54&gt;=SchemeStart),IF(AND(Milestones!$AB$42="FT",Milestones!$AA$42=FT_Y5,AH54&lt;PolicyEff),1,Milestones!$AC$42),0))</f>
        <v>0</v>
      </c>
      <c r="AI56" s="0" t="n">
        <f aca="false">IF(AI54="",0,IF(AND(AI55=Milestones!$AB$43,AI54&gt;=SchemeStart),IF(AND(Milestones!$AB$43="FT",Milestones!$AA$43=FT_Y5,AI54&lt;PolicyEff),1,Milestones!$AC$43),0))</f>
        <v>0</v>
      </c>
      <c r="AJ56" s="0" t="n">
        <f aca="false">IF(AJ54="",0,IF(AND(AJ55=Milestones!$AB$44,AJ54&gt;=SchemeStart),IF(AND(Milestones!$AB$44="FT",Milestones!$AA$44=FT_Y5,AJ54&lt;PolicyEff),1,Milestones!$AC$44),0))</f>
        <v>0</v>
      </c>
      <c r="AK56" s="0" t="n">
        <f aca="false">IF(AK54="",0,IF(AND(AK55=Milestones!$AB$45,AK54&gt;=SchemeStart),IF(AND(Milestones!$AB$45="FT",Milestones!$AA$45=FT_Y5,AK54&lt;PolicyEff),1,Milestones!$AC$45),0))</f>
        <v>0</v>
      </c>
      <c r="AL56" s="0" t="n">
        <f aca="false">IF(AL54="",0,IF(AND(AL55=Milestones!$AB$46,AL54&gt;=SchemeStart),IF(AND(Milestones!$AB$46="FT",Milestones!$AA$46=FT_Y5,AL54&lt;PolicyEff),1,Milestones!$AC$46),0))</f>
        <v>0</v>
      </c>
      <c r="AM56" s="0" t="n">
        <f aca="false">IF(AM54="",0,IF(AND(AM55=Milestones!$AB$47,AM54&gt;=SchemeStart),IF(AND(Milestones!$AB$47="FT",Milestones!$AA$47=FT_Y5,AM54&lt;PolicyEff),1,Milestones!$AC$47),0))</f>
        <v>0</v>
      </c>
      <c r="AN56" s="0" t="n">
        <f aca="false">IF(AN54="",0,IF(AND(AN55=Milestones!$AB$48,AN54&gt;=SchemeStart),IF(AND(Milestones!$AB$48="FT",Milestones!$AA$48=FT_Y5,AN54&lt;PolicyEff),1,Milestones!$AC$48),0))</f>
        <v>0</v>
      </c>
      <c r="AO56" s="0" t="n">
        <f aca="false">IF(AO54="",0,IF(AND(AO55=Milestones!$AB$49,AO54&gt;=SchemeStart),IF(AND(Milestones!$AB$49="FT",Milestones!$AA$49=FT_Y5,AO54&lt;PolicyEff),1,Milestones!$AC$49),0))</f>
        <v>0</v>
      </c>
      <c r="AP56" s="0" t="n">
        <f aca="false">IF(AP54="",0,IF(AND(AP55=Milestones!$AB$50,AP54&gt;=SchemeStart),IF(AND(Milestones!$AB$50="FT",Milestones!$AA$50=FT_Y5,AP54&lt;PolicyEff),1,Milestones!$AC$50),0))</f>
        <v>0</v>
      </c>
      <c r="AQ56" s="0" t="n">
        <f aca="false">IF(AQ54="",0,IF(AND(AQ55=Milestones!$AB$51,AQ54&gt;=SchemeStart),IF(AND(Milestones!$AB$51="FT",Milestones!$AA$51=FT_Y5,AQ54&lt;PolicyEff),1,Milestones!$AC$51),0))</f>
        <v>0</v>
      </c>
      <c r="AR56" s="0" t="n">
        <f aca="false">IF(AR54="",0,IF(AND(AR55=Milestones!$AB$52,AR54&gt;=SchemeStart),IF(AND(Milestones!$AB$52="FT",Milestones!$AA$52=FT_Y5,AR54&lt;PolicyEff),1,Milestones!$AC$52),0))</f>
        <v>0</v>
      </c>
      <c r="AS56" s="0" t="n">
        <f aca="false">IF(AS54="",0,IF(AND(AS55=Milestones!$AB$53,AS54&gt;=SchemeStart),IF(AND(Milestones!$AB$53="FT",Milestones!$AA$53=FT_Y5,AS54&lt;PolicyEff),1,Milestones!$AC$53),0))</f>
        <v>0</v>
      </c>
      <c r="AT56" s="0" t="n">
        <f aca="false">IF(AT54="",0,IF(AND(AT55=Milestones!$AB$54,AT54&gt;=SchemeStart),IF(AND(Milestones!$AB$54="FT",Milestones!$AA$54=FT_Y5,AT54&lt;PolicyEff),1,Milestones!$AC$54),0))</f>
        <v>0</v>
      </c>
      <c r="AU56" s="0" t="n">
        <f aca="false">IF(AU54="",0,IF(AND(AU55=Milestones!$AB$55,AU54&gt;=SchemeStart),IF(AND(Milestones!$AB$55="FT",Milestones!$AA$55=FT_Y5,AU54&lt;PolicyEff),1,Milestones!$AC$55),0))</f>
        <v>0</v>
      </c>
      <c r="AV56" s="0" t="n">
        <f aca="false">IF(AV54="",0,IF(AND(AV55=Milestones!$AB$56,AV54&gt;=SchemeStart),IF(AND(Milestones!$AB$56="FT",Milestones!$AA$56=FT_Y5,AV54&lt;PolicyEff),1,Milestones!$AC$56),0))</f>
        <v>0</v>
      </c>
      <c r="AW56" s="0" t="n">
        <f aca="false">IF(AW54="",0,IF(AND(AW55=Milestones!$AB$57,AW54&gt;=SchemeStart),IF(AND(Milestones!$AB$57="FT",Milestones!$AA$57=FT_Y5,AW54&lt;PolicyEff),1,Milestones!$AC$57),0))</f>
        <v>0</v>
      </c>
      <c r="AX56" s="0" t="n">
        <f aca="false">IF(AX54="",0,IF(AND(AX55=Milestones!$AB$58,AX54&gt;=SchemeStart),IF(AND(Milestones!$AB$58="FT",Milestones!$AA$58=FT_Y5,AX54&lt;PolicyEff),1,Milestones!$AC$58),0))</f>
        <v>0</v>
      </c>
      <c r="AY56" s="0" t="n">
        <f aca="false">IF(AY54="",0,IF(AND(AY55=Milestones!$AB$59,AY54&gt;=SchemeStart),IF(AND(Milestones!$AB$59="FT",Milestones!$AA$59=FT_Y5,AY54&lt;PolicyEff),1,Milestones!$AC$59),0))</f>
        <v>0</v>
      </c>
      <c r="AZ56" s="0" t="n">
        <f aca="false">IF(AZ54="",0,IF(AND(AZ55=Milestones!$AB$60,AZ54&gt;=SchemeStart),IF(AND(Milestones!$AB$60="FT",Milestones!$AA$60=FT_Y5,AZ54&lt;PolicyEff),1,Milestones!$AC$60),0))</f>
        <v>0</v>
      </c>
      <c r="BA56" s="0" t="n">
        <f aca="false">IF(BA54="",0,IF(AND(BA55=Milestones!$AB$61,BA54&gt;=SchemeStart),IF(AND(Milestones!$AB$61="FT",Milestones!$AA$61=FT_Y5,BA54&lt;PolicyEff),1,Milestones!$AC$61),0))</f>
        <v>0</v>
      </c>
      <c r="BB56" s="0" t="n">
        <f aca="false">IF(BB54="",0,IF(AND(BB55=Milestones!$AB$62,BB54&gt;=SchemeStart),IF(AND(Milestones!$AB$62="FT",Milestones!$AA$62=FT_Y5,BB54&lt;PolicyEff),1,Milestones!$AC$62),0))</f>
        <v>0</v>
      </c>
      <c r="BC56" s="0" t="n">
        <f aca="false">IF(BC54="",0,IF(AND(BC55=Milestones!$AB$63,BC54&gt;=SchemeStart),IF(AND(Milestones!$AB$63="FT",Milestones!$AA$63=FT_Y5,BC54&lt;PolicyEff),1,Milestones!$AC$63),0))</f>
        <v>0</v>
      </c>
      <c r="BD56" s="0" t="n">
        <f aca="false">IF(BD54="",0,IF(AND(BD55=Milestones!$AB$64,BD54&gt;=SchemeStart),IF(AND(Milestones!$AB$64="FT",Milestones!$AA$64=FT_Y5,BD54&lt;PolicyEff),1,Milestones!$AC$64),0))</f>
        <v>0</v>
      </c>
      <c r="BE56" s="0" t="n">
        <f aca="false">IF(BE54="",0,IF(AND(BE55=Milestones!$AB$65,BE54&gt;=SchemeStart),IF(AND(Milestones!$AB$65="FT",Milestones!$AA$65=FT_Y5,BE54&lt;PolicyEff),1,Milestones!$AC$65),0))</f>
        <v>0</v>
      </c>
      <c r="BF56" s="0" t="n">
        <f aca="false">IF(BF54="",0,IF(AND(BF55=Milestones!$AB$66,BF54&gt;=SchemeStart),IF(AND(Milestones!$AB$66="FT",Milestones!$AA$66=FT_Y5,BF54&lt;PolicyEff),1,Milestones!$AC$66),0))</f>
        <v>0</v>
      </c>
      <c r="BG56" s="0" t="n">
        <f aca="false">IF(BG54="",0,IF(AND(BG55=Milestones!$AB$67,BG54&gt;=SchemeStart),IF(AND(Milestones!$AB$67="FT",Milestones!$AA$67=FT_Y5,BG54&lt;PolicyEff),1,Milestones!$AC$67),0))</f>
        <v>0</v>
      </c>
      <c r="BH56" s="0" t="n">
        <f aca="false">IF(BH54="",0,IF(AND(BH55=Milestones!$AB$68,BH54&gt;=SchemeStart),IF(AND(Milestones!$AB$68="FT",Milestones!$AA$68=FT_Y5,BH54&lt;PolicyEff),1,Milestones!$AC$68),0))</f>
        <v>0</v>
      </c>
      <c r="BI56" s="0" t="n">
        <f aca="false">IF(BI54="",0,IF(AND(BI55=Milestones!$AB$69,BI54&gt;=SchemeStart),IF(AND(Milestones!$AB$69="FT",Milestones!$AA$69=FT_Y5,BI54&lt;PolicyEff),1,Milestones!$AC$69),0))</f>
        <v>0</v>
      </c>
      <c r="BJ56" s="0" t="n">
        <f aca="false">IF(BJ54="",0,IF(AND(BJ55=Milestones!$AB$70,BJ54&gt;=SchemeStart),IF(AND(Milestones!$AB$70="FT",Milestones!$AA$70=FT_Y5,BJ54&lt;PolicyEff),1,Milestones!$AC$70),0))</f>
        <v>0</v>
      </c>
      <c r="BK56" s="0" t="n">
        <f aca="false">IF(BK54="",0,IF(AND(BK55=Milestones!$AB$71,BK54&gt;=SchemeStart),IF(AND(Milestones!$AB$71="FT",Milestones!$AA$71=FT_Y5,BK54&lt;PolicyEff),1,Milestones!$AC$71),0))</f>
        <v>0</v>
      </c>
      <c r="BL56" s="0" t="n">
        <f aca="false">IF(BL54="",0,IF(AND(BL55=Milestones!$AB$72,BL54&gt;=SchemeStart),IF(AND(Milestones!$AB$72="FT",Milestones!$AA$72=FT_Y5,BL54&lt;PolicyEff),1,Milestones!$AC$72),0))</f>
        <v>0</v>
      </c>
      <c r="BM56" s="0" t="n">
        <f aca="false">IF(BM54="",0,IF(AND(BM55=Milestones!$AB$73,BM54&gt;=SchemeStart),IF(AND(Milestones!$AB$73="FT",Milestones!$AA$73=FT_Y5,BM54&lt;PolicyEff),1,Milestones!$AC$73),0))</f>
        <v>0</v>
      </c>
      <c r="BN56" s="0" t="n">
        <f aca="false">IF(BN54="",0,IF(AND(BN55=Milestones!$AB$74,BN54&gt;=SchemeStart),IF(AND(Milestones!$AB$74="FT",Milestones!$AA$74=FT_Y5,BN54&lt;PolicyEff),1,Milestones!$AC$74),0))</f>
        <v>0</v>
      </c>
      <c r="BO56" s="0" t="n">
        <f aca="false">IF(BO54="",0,IF(AND(BO55=Milestones!$AB$75,BO54&gt;=SchemeStart),IF(AND(Milestones!$AB$75="FT",Milestones!$AA$75=FT_Y5,BO54&lt;PolicyEff),1,Milestones!$AC$75),0))</f>
        <v>0</v>
      </c>
      <c r="BP56" s="0" t="n">
        <f aca="false">IF(BP54="",0,IF(AND(BP55=Milestones!$AB$76,BP54&gt;=SchemeStart),IF(AND(Milestones!$AB$76="FT",Milestones!$AA$76=FT_Y5,BP54&lt;PolicyEff),1,Milestones!$AC$76),0))</f>
        <v>0</v>
      </c>
      <c r="BQ56" s="0" t="n">
        <f aca="false">IF(BQ54="",0,IF(AND(BQ55=Milestones!$AB$77,BQ54&gt;=SchemeStart),IF(AND(Milestones!$AB$77="FT",Milestones!$AA$77=FT_Y5,BQ54&lt;PolicyEff),1,Milestones!$AC$77),0))</f>
        <v>0</v>
      </c>
      <c r="BR56" s="0" t="n">
        <f aca="false">IF(BR54="",0,IF(AND(BR55=Milestones!$AB$78,BR54&gt;=SchemeStart),IF(AND(Milestones!$AB$78="FT",Milestones!$AA$78=FT_Y5,BR54&lt;PolicyEff),1,Milestones!$AC$78),0))</f>
        <v>0</v>
      </c>
      <c r="BS56" s="0" t="n">
        <f aca="false">IF(BS54="",0,IF(AND(BS55=Milestones!$AB$79,BS54&gt;=SchemeStart),IF(AND(Milestones!$AB$79="FT",Milestones!$AA$79=FT_Y5,BS54&lt;PolicyEff),1,Milestones!$AC$79),0))</f>
        <v>0</v>
      </c>
      <c r="BT56" s="0" t="n">
        <f aca="false">IF(BT54="",0,IF(AND(BT55=Milestones!$AB$80,BT54&gt;=SchemeStart),IF(AND(Milestones!$AB$80="FT",Milestones!$AA$80=FT_Y5,BT54&lt;PolicyEff),1,Milestones!$AC$80),0))</f>
        <v>0</v>
      </c>
      <c r="BU56" s="0" t="n">
        <f aca="false">IF(BU54="",0,IF(AND(BU55=Milestones!$AB$81,BU54&gt;=SchemeStart),IF(AND(Milestones!$AB$81="FT",Milestones!$AA$81=FT_Y5,BU54&lt;PolicyEff),1,Milestones!$AC$81),0))</f>
        <v>0</v>
      </c>
      <c r="BV56" s="0" t="n">
        <f aca="false">IF(BV54="",0,IF(AND(BV55=Milestones!$AB$82,BV54&gt;=SchemeStart),IF(AND(Milestones!$AB$82="FT",Milestones!$AA$82=FT_Y5,BV54&lt;PolicyEff),1,Milestones!$AC$82),0))</f>
        <v>0</v>
      </c>
      <c r="BW56" s="0" t="n">
        <f aca="false">IF(BW54="",0,IF(AND(BW55=Milestones!$AB$83,BW54&gt;=SchemeStart),IF(AND(Milestones!$AB$83="FT",Milestones!$AA$83=FT_Y5,BW54&lt;PolicyEff),1,Milestones!$AC$83),0))</f>
        <v>0</v>
      </c>
      <c r="BX56" s="0" t="n">
        <f aca="false">IF(BX54="",0,IF(AND(BX55=Milestones!$AB$84,BX54&gt;=SchemeStart),IF(AND(Milestones!$AB$84="FT",Milestones!$AA$84=FT_Y5,BX54&lt;PolicyEff),1,Milestones!$AC$84),0))</f>
        <v>0</v>
      </c>
      <c r="BY56" s="0" t="n">
        <f aca="false">IF(BY54="",0,IF(AND(BY55=Milestones!$AB$85,BY54&gt;=SchemeStart),IF(AND(Milestones!$AB$85="FT",Milestones!$AA$85=FT_Y5,BY54&lt;PolicyEff),1,Milestones!$AC$85),0))</f>
        <v>0</v>
      </c>
      <c r="BZ56" s="0" t="n">
        <f aca="false">IF(BZ54="",0,IF(AND(BZ55=Milestones!$AB$86,BZ54&gt;=SchemeStart),IF(AND(Milestones!$AB$86="FT",Milestones!$AA$86=FT_Y5,BZ54&lt;PolicyEff),1,Milestones!$AC$86),0))</f>
        <v>0</v>
      </c>
      <c r="CA56" s="0" t="n">
        <f aca="false">IF(CA54="",0,IF(AND(CA55=Milestones!$AB$87,CA54&gt;=SchemeStart),IF(AND(Milestones!$AB$87="FT",Milestones!$AA$87=FT_Y5,CA54&lt;PolicyEff),1,Milestones!$AC$87),0))</f>
        <v>0</v>
      </c>
      <c r="CB56" s="0" t="n">
        <f aca="false">IF(CB54="",0,IF(AND(CB55=Milestones!$AB$88,CB54&gt;=SchemeStart),IF(AND(Milestones!$AB$88="FT",Milestones!$AA$88=FT_Y5,CB54&lt;PolicyEff),1,Milestones!$AC$88),0))</f>
        <v>0</v>
      </c>
      <c r="CC56" s="0" t="n">
        <f aca="false">IF(CC54="",0,IF(AND(CC55=Milestones!$AB$89,CC54&gt;=SchemeStart),IF(AND(Milestones!$AB$89="FT",Milestones!$AA$89=FT_Y5,CC54&lt;PolicyEff),1,Milestones!$AC$89),0))</f>
        <v>0</v>
      </c>
      <c r="CD56" s="0" t="n">
        <f aca="false">IF(CD54="",0,IF(AND(CD55=Milestones!$AB$90,CD54&gt;=SchemeStart),IF(AND(Milestones!$AB$90="FT",Milestones!$AA$90=FT_Y5,CD54&lt;PolicyEff),1,Milestones!$AC$90),0))</f>
        <v>0</v>
      </c>
      <c r="CE56" s="0" t="n">
        <f aca="false">IF(CE54="",0,IF(AND(CE55=Milestones!$AB$91,CE54&gt;=SchemeStart),IF(AND(Milestones!$AB$91="FT",Milestones!$AA$91=FT_Y5,CE54&lt;PolicyEff),1,Milestones!$AC$91),0))</f>
        <v>0</v>
      </c>
      <c r="CF56" s="0" t="n">
        <f aca="false">IF(CF54="",0,IF(AND(CF55=Milestones!$AB$92,CF54&gt;=SchemeStart),IF(AND(Milestones!$AB$92="FT",Milestones!$AA$92=FT_Y5,CF54&lt;PolicyEff),1,Milestones!$AC$92),0))</f>
        <v>0</v>
      </c>
      <c r="CG56" s="0" t="n">
        <f aca="false">IF(CG54="",0,IF(AND(CG55=Milestones!$AB$93,CG54&gt;=SchemeStart),IF(AND(Milestones!$AB$93="FT",Milestones!$AA$93=FT_Y5,CG54&lt;PolicyEff),1,Milestones!$AC$93),0))</f>
        <v>0</v>
      </c>
      <c r="CH56" s="0" t="n">
        <f aca="false">IF(CH54="",0,IF(AND(CH55=Milestones!$AB$94,CH54&gt;=SchemeStart),IF(AND(Milestones!$AB$94="FT",Milestones!$AA$94=FT_Y5,CH54&lt;PolicyEff),1,Milestones!$AC$94),0))</f>
        <v>0</v>
      </c>
      <c r="CI56" s="0" t="n">
        <f aca="false">IF(CI54="",0,IF(AND(CI55=Milestones!$AB$95,CI54&gt;=SchemeStart),IF(AND(Milestones!$AB$95="FT",Milestones!$AA$95=FT_Y5,CI54&lt;PolicyEff),1,Milestones!$AC$95),0))</f>
        <v>0</v>
      </c>
      <c r="CJ56" s="0" t="n">
        <f aca="false">IF(CJ54="",0,IF(AND(CJ55=Milestones!$AB$96,CJ54&gt;=SchemeStart),IF(AND(Milestones!$AB$96="FT",Milestones!$AA$96=FT_Y5,CJ54&lt;PolicyEff),1,Milestones!$AC$96),0))</f>
        <v>0</v>
      </c>
      <c r="CK56" s="0" t="n">
        <f aca="false">IF(CK54="",0,IF(AND(CK55=Milestones!$AB$97,CK54&gt;=SchemeStart),IF(AND(Milestones!$AB$97="FT",Milestones!$AA$97=FT_Y5,CK54&lt;PolicyEff),1,Milestones!$AC$97),0))</f>
        <v>0</v>
      </c>
      <c r="CL56" s="0" t="n">
        <f aca="false">IF(CL54="",0,IF(AND(CL55=Milestones!$AB$98,CL54&gt;=SchemeStart),IF(AND(Milestones!$AB$98="FT",Milestones!$AA$98=FT_Y5,CL54&lt;PolicyEff),1,Milestones!$AC$98),0))</f>
        <v>0</v>
      </c>
      <c r="CM56" s="0" t="n">
        <f aca="false">IF(CM54="",0,IF(AND(CM55=Milestones!$AB$99,CM54&gt;=SchemeStart),IF(AND(Milestones!$AB$99="FT",Milestones!$AA$99=FT_Y5,CM54&lt;PolicyEff),1,Milestones!$AC$99),0))</f>
        <v>0</v>
      </c>
      <c r="CN56" s="0" t="n">
        <f aca="false">IF(CN54="",0,IF(AND(CN55=Milestones!$AB$100,CN54&gt;=SchemeStart),IF(AND(Milestones!$AB$100="FT",Milestones!$AA$100=FT_Y5,CN54&lt;PolicyEff),1,Milestones!$AC$100),0))</f>
        <v>0</v>
      </c>
      <c r="CO56" s="0" t="n">
        <f aca="false">IF(CO54="",0,IF(AND(CO55=Milestones!$AB$101,CO54&gt;=SchemeStart),IF(AND(Milestones!$AB$101="FT",Milestones!$AA$101=FT_Y5,CO54&lt;PolicyEff),1,Milestones!$AC$101),0))</f>
        <v>0</v>
      </c>
      <c r="CP56" s="0" t="n">
        <f aca="false">IF(CP54="",0,IF(AND(CP55=Milestones!$AB$102,CP54&gt;=SchemeStart),IF(AND(Milestones!$AB$102="FT",Milestones!$AA$102=FT_Y5,CP54&lt;PolicyEff),1,Milestones!$AC$102),0))</f>
        <v>0</v>
      </c>
      <c r="CQ56" s="0" t="n">
        <f aca="false">IF(CQ54="",0,IF(AND(CQ55=Milestones!$AB$103,CQ54&gt;=SchemeStart),IF(AND(Milestones!$AB$103="FT",Milestones!$AA$103=FT_Y5,CQ54&lt;PolicyEff),1,Milestones!$AC$103),0))</f>
        <v>0</v>
      </c>
      <c r="CR56" s="0" t="n">
        <f aca="false">IF(CR54="",0,IF(AND(CR55=Milestones!$AB$104,CR54&gt;=SchemeStart),IF(AND(Milestones!$AB$104="FT",Milestones!$AA$104=FT_Y5,CR54&lt;PolicyEff),1,Milestones!$AC$104),0))</f>
        <v>0</v>
      </c>
      <c r="CS56" s="0" t="n">
        <f aca="false">IF(CS54="",0,IF(AND(CS55=Milestones!$AB$105,CS54&gt;=SchemeStart),IF(AND(Milestones!$AB$105="FT",Milestones!$AA$105=FT_Y5,CS54&lt;PolicyEff),1,Milestones!$AC$105),0))</f>
        <v>0</v>
      </c>
      <c r="CT56" s="0" t="n">
        <f aca="false">IF(CT54="",0,IF(AND(CT55=Milestones!$AB$106,CT54&gt;=SchemeStart),IF(AND(Milestones!$AB$106="FT",Milestones!$AA$106=FT_Y5,CT54&lt;PolicyEff),1,Milestones!$AC$106),0))</f>
        <v>0</v>
      </c>
      <c r="CU56" s="0" t="n">
        <f aca="false">IF(CU54="",0,IF(AND(CU55=Milestones!$AB$107,CU54&gt;=SchemeStart),IF(AND(Milestones!$AB$107="FT",Milestones!$AA$107=FT_Y5,CU54&lt;PolicyEff),1,Milestones!$AC$107),0))</f>
        <v>0</v>
      </c>
      <c r="CV56" s="0" t="n">
        <f aca="false">IF(CV54="",0,IF(AND(CV55=Milestones!$AB$108,CV54&gt;=SchemeStart),IF(AND(Milestones!$AB$108="FT",Milestones!$AA$108=FT_Y5,CV54&lt;PolicyEff),1,Milestones!$AC$108),0))</f>
        <v>0</v>
      </c>
      <c r="CW56" s="0" t="n">
        <f aca="false">IF(CW54="",0,IF(AND(CW55=Milestones!$AB$109,CW54&gt;=SchemeStart),IF(AND(Milestones!$AB$109="FT",Milestones!$AA$109=FT_Y5,CW54&lt;PolicyEff),1,Milestones!$AC$109),0))</f>
        <v>0</v>
      </c>
      <c r="CX56" s="0" t="n">
        <f aca="false">IF(CX54="",0,IF(AND(CX55=Milestones!$AB$110,CX54&gt;=SchemeStart),IF(AND(Milestones!$AB$110="FT",Milestones!$AA$110=FT_Y5,CX54&lt;PolicyEff),1,Milestones!$AC$110),0))</f>
        <v>0</v>
      </c>
      <c r="CY56" s="0" t="n">
        <f aca="false">IF(CY54="",0,IF(AND(CY55=Milestones!$AB$111,CY54&gt;=SchemeStart),IF(AND(Milestones!$AB$111="FT",Milestones!$AA$111=FT_Y5,CY54&lt;PolicyEff),1,Milestones!$AC$111),0))</f>
        <v>0</v>
      </c>
      <c r="CZ56" s="0" t="n">
        <f aca="false">IF(CZ54="",0,IF(AND(CZ55=Milestones!$AB$112,CZ54&gt;=SchemeStart),IF(AND(Milestones!$AB$112="FT",Milestones!$AA$112=FT_Y5,CZ54&lt;PolicyEff),1,Milestones!$AC$112),0))</f>
        <v>0</v>
      </c>
      <c r="DA56" s="0" t="n">
        <f aca="false">IF(DA54="",0,IF(AND(DA55=Milestones!$AB$113,DA54&gt;=SchemeStart),IF(AND(Milestones!$AB$113="FT",Milestones!$AA$113=FT_Y5,DA54&lt;PolicyEff),1,Milestones!$AC$113),0))</f>
        <v>0</v>
      </c>
      <c r="DB56" s="0" t="n">
        <f aca="false">IF(DB54="",0,IF(AND(DB55=Milestones!$AB$114,DB54&gt;=SchemeStart),IF(AND(Milestones!$AB$114="FT",Milestones!$AA$114=FT_Y5,DB54&lt;PolicyEff),1,Milestones!$AC$114),0))</f>
        <v>0</v>
      </c>
      <c r="DC56" s="0" t="n">
        <f aca="false">IF(DC54="",0,IF(AND(DC55=Milestones!$AB$115,DC54&gt;=SchemeStart),IF(AND(Milestones!$AB$115="FT",Milestones!$AA$115=FT_Y5,DC54&lt;PolicyEff),1,Milestones!$AC$115),0))</f>
        <v>0</v>
      </c>
      <c r="DD56" s="0" t="n">
        <f aca="false">IF(DD54="",0,IF(AND(DD55=Milestones!$AB$116,DD54&gt;=SchemeStart),IF(AND(Milestones!$AB$116="FT",Milestones!$AA$116=FT_Y5,DD54&lt;PolicyEff),1,Milestones!$AC$116),0))</f>
        <v>0</v>
      </c>
      <c r="DE56" s="0" t="n">
        <f aca="false">IF(DE54="",0,IF(AND(DE55=Milestones!$AB$117,DE54&gt;=SchemeStart),IF(AND(Milestones!$AB$117="FT",Milestones!$AA$117=FT_Y5,DE54&lt;PolicyEff),1,Milestones!$AC$117),0))</f>
        <v>0</v>
      </c>
      <c r="DF56" s="0" t="n">
        <f aca="false">IF(DF54="",0,IF(AND(DF55=Milestones!$AB$118,DF54&gt;=SchemeStart),IF(AND(Milestones!$AB$118="FT",Milestones!$AA$118=FT_Y5,DF54&lt;PolicyEff),1,Milestones!$AC$118),0))</f>
        <v>0</v>
      </c>
      <c r="DG56" s="0" t="n">
        <f aca="false">IF(DG54="",0,IF(AND(DG55=Milestones!$AB$119,DG54&gt;=SchemeStart),IF(AND(Milestones!$AB$119="FT",Milestones!$AA$119=FT_Y5,DG54&lt;PolicyEff),1,Milestones!$AC$119),0))</f>
        <v>0</v>
      </c>
      <c r="DH56" s="0" t="n">
        <f aca="false">IF(DH54="",0,IF(AND(DH55=Milestones!$AB$120,DH54&gt;=SchemeStart),IF(AND(Milestones!$AB$120="FT",Milestones!$AA$120=FT_Y5,DH54&lt;PolicyEff),1,Milestones!$AC$120),0))</f>
        <v>0</v>
      </c>
      <c r="DI56" s="0" t="n">
        <f aca="false">IF(DI54="",0,IF(AND(DI55=Milestones!$AB$121,DI54&gt;=SchemeStart),IF(AND(Milestones!$AB$121="FT",Milestones!$AA$121=FT_Y5,DI54&lt;PolicyEff),1,Milestones!$AC$121),0))</f>
        <v>0</v>
      </c>
      <c r="DJ56" s="0" t="n">
        <f aca="false">IF(DJ54="",0,IF(AND(DJ55=Milestones!$AB$122,DJ54&gt;=SchemeStart),IF(AND(Milestones!$AB$122="FT",Milestones!$AA$122=FT_Y5,DJ54&lt;PolicyEff),1,Milestones!$AC$122),0))</f>
        <v>0</v>
      </c>
      <c r="DK56" s="0" t="n">
        <f aca="false">IF(DK54="",0,IF(AND(DK55=Milestones!$AB$123,DK54&gt;=SchemeStart),IF(AND(Milestones!$AB$123="FT",Milestones!$AA$123=FT_Y5,DK54&lt;PolicyEff),1,Milestones!$AC$123),0))</f>
        <v>0</v>
      </c>
      <c r="DL56" s="0" t="n">
        <f aca="false">IF(DL54="",0,IF(AND(DL55=Milestones!$AB$124,DL54&gt;=SchemeStart),IF(AND(Milestones!$AB$124="FT",Milestones!$AA$124=FT_Y5,DL54&lt;PolicyEff),1,Milestones!$AC$124),0))</f>
        <v>0</v>
      </c>
      <c r="DM56" s="0" t="n">
        <f aca="false">IF(DM54="",0,IF(AND(DM55=Milestones!$AB$125,DM54&gt;=SchemeStart),IF(AND(Milestones!$AB$125="FT",Milestones!$AA$125=FT_Y5,DM54&lt;PolicyEff),1,Milestones!$AC$125),0))</f>
        <v>0</v>
      </c>
      <c r="DN56" s="0" t="n">
        <f aca="false">IF(DN54="",0,IF(AND(DN55=Milestones!$AB$126,DN54&gt;=SchemeStart),IF(AND(Milestones!$AB$126="FT",Milestones!$AA$126=FT_Y5,DN54&lt;PolicyEff),1,Milestones!$AC$126),0))</f>
        <v>0</v>
      </c>
      <c r="DO56" s="0" t="n">
        <f aca="false">IF(DO54="",0,IF(AND(DO55=Milestones!$AB$127,DO54&gt;=SchemeStart),IF(AND(Milestones!$AB$127="FT",Milestones!$AA$127=FT_Y5,DO54&lt;PolicyEff),1,Milestones!$AC$127),0))</f>
        <v>0</v>
      </c>
      <c r="DP56" s="0" t="n">
        <f aca="false">IF(DP54="",0,IF(AND(DP55=Milestones!$AB$128,DP54&gt;=SchemeStart),IF(AND(Milestones!$AB$128="FT",Milestones!$AA$128=FT_Y5,DP54&lt;PolicyEff),1,Milestones!$AC$128),0))</f>
        <v>0</v>
      </c>
      <c r="DQ56" s="0" t="n">
        <f aca="false">IF(DQ54="",0,IF(AND(DQ55=Milestones!$AB$129,DQ54&gt;=SchemeStart),IF(AND(Milestones!$AB$129="FT",Milestones!$AA$129=FT_Y5,DQ54&lt;PolicyEff),1,Milestones!$AC$129),0))</f>
        <v>0</v>
      </c>
      <c r="DR56" s="0" t="n">
        <f aca="false">IF(DR54="",0,IF(AND(DR55=Milestones!$AB$130,DR54&gt;=SchemeStart),IF(AND(Milestones!$AB$130="FT",Milestones!$AA$130=FT_Y5,DR54&lt;PolicyEff),1,Milestones!$AC$130),0))</f>
        <v>0</v>
      </c>
      <c r="DS56" s="0" t="n">
        <f aca="false">IF(DS54="",0,IF(AND(DS55=Milestones!$AB$131,DS54&gt;=SchemeStart),IF(AND(Milestones!$AB$131="FT",Milestones!$AA$131=FT_Y5,DS54&lt;PolicyEff),1,Milestones!$AC$131),0))</f>
        <v>0</v>
      </c>
      <c r="DT56" s="0" t="n">
        <f aca="false">IF(DT54="",0,IF(AND(DT55=Milestones!$AB$132,DT54&gt;=SchemeStart),IF(AND(Milestones!$AB$132="FT",Milestones!$AA$132=FT_Y5,DT54&lt;PolicyEff),1,Milestones!$AC$132),0))</f>
        <v>0</v>
      </c>
      <c r="DU56" s="0" t="n">
        <f aca="false">IF(DU54="",0,IF(AND(DU55=Milestones!$AB$133,DU54&gt;=SchemeStart),IF(AND(Milestones!$AB$133="FT",Milestones!$AA$133=FT_Y5,DU54&lt;PolicyEff),1,Milestones!$AC$133),0))</f>
        <v>0</v>
      </c>
      <c r="DV56" s="0" t="n">
        <f aca="false">IF(DV54="",0,IF(AND(DV55=Milestones!$AB$134,DV54&gt;=SchemeStart),IF(AND(Milestones!$AB$134="FT",Milestones!$AA$134=FT_Y5,DV54&lt;PolicyEff),1,Milestones!$AC$134),0))</f>
        <v>0</v>
      </c>
      <c r="DW56" s="0" t="n">
        <f aca="false">IF(DW54="",0,IF(AND(DW55=Milestones!$AB$135,DW54&gt;=SchemeStart),IF(AND(Milestones!$AB$135="FT",Milestones!$AA$135=FT_Y5,DW54&lt;PolicyEff),1,Milestones!$AC$135),0))</f>
        <v>0</v>
      </c>
      <c r="DX56" s="0" t="n">
        <f aca="false">IF(DX54="",0,IF(AND(DX55=Milestones!$AB$136,DX54&gt;=SchemeStart),IF(AND(Milestones!$AB$136="FT",Milestones!$AA$136=FT_Y5,DX54&lt;PolicyEff),1,Milestones!$AC$136),0))</f>
        <v>0</v>
      </c>
      <c r="DY56" s="0" t="n">
        <f aca="false">IF(DY54="",0,IF(AND(DY55=Milestones!$AB$137,DY54&gt;=SchemeStart),IF(AND(Milestones!$AB$137="FT",Milestones!$AA$137=FT_Y5,DY54&lt;PolicyEff),1,Milestones!$AC$137),0))</f>
        <v>0</v>
      </c>
      <c r="DZ56" s="0" t="n">
        <f aca="false">IF(DZ54="",0,IF(AND(DZ55=Milestones!$AB$138,DZ54&gt;=SchemeStart),IF(AND(Milestones!$AB$138="FT",Milestones!$AA$138=FT_Y5,DZ54&lt;PolicyEff),1,Milestones!$AC$138),0))</f>
        <v>0</v>
      </c>
      <c r="EA56" s="0" t="n">
        <f aca="false">IF(EA54="",0,IF(AND(EA55=Milestones!$AB$139,EA54&gt;=SchemeStart),IF(AND(Milestones!$AB$139="FT",Milestones!$AA$139=FT_Y5,EA54&lt;PolicyEff),1,Milestones!$AC$139),0))</f>
        <v>0</v>
      </c>
      <c r="EB56" s="0" t="n">
        <f aca="false">IF(EB54="",0,IF(AND(EB55=Milestones!$AB$140,EB54&gt;=SchemeStart),IF(AND(Milestones!$AB$140="FT",Milestones!$AA$140=FT_Y5,EB54&lt;PolicyEff),1,Milestones!$AC$140),0))</f>
        <v>0</v>
      </c>
      <c r="EC56" s="0" t="n">
        <f aca="false">IF(EC54="",0,IF(AND(EC55=Milestones!$AB$141,EC54&gt;=SchemeStart),IF(AND(Milestones!$AB$141="FT",Milestones!$AA$141=FT_Y5,EC54&lt;PolicyEff),1,Milestones!$AC$141),0))</f>
        <v>0</v>
      </c>
      <c r="ED56" s="0" t="n">
        <f aca="false">IF(ED54="",0,IF(AND(ED55=Milestones!$AB$142,ED54&gt;=SchemeStart),IF(AND(Milestones!$AB$142="FT",Milestones!$AA$142=FT_Y5,ED54&lt;PolicyEff),1,Milestones!$AC$142),0))</f>
        <v>0</v>
      </c>
      <c r="EE56" s="0" t="n">
        <f aca="false">IF(EE54="",0,IF(AND(EE55=Milestones!$AB$143,EE54&gt;=SchemeStart),IF(AND(Milestones!$AB$143="FT",Milestones!$AA$143=FT_Y5,EE54&lt;PolicyEff),1,Milestones!$AC$143),0))</f>
        <v>0</v>
      </c>
      <c r="EF56" s="0" t="n">
        <f aca="false">IF(EF54="",0,IF(AND(EF55=Milestones!$AB$144,EF54&gt;=SchemeStart),IF(AND(Milestones!$AB$144="FT",Milestones!$AA$144=FT_Y5,EF54&lt;PolicyEff),1,Milestones!$AC$144),0))</f>
        <v>0</v>
      </c>
      <c r="EG56" s="0" t="n">
        <f aca="false">IF(EG54="",0,IF(AND(EG55=Milestones!$AB$145,EG54&gt;=SchemeStart),IF(AND(Milestones!$AB$145="FT",Milestones!$AA$145=FT_Y5,EG54&lt;PolicyEff),1,Milestones!$AC$145),0))</f>
        <v>0</v>
      </c>
      <c r="EH56" s="0" t="n">
        <f aca="false">IF(EH54="",0,IF(AND(EH55=Milestones!$AB$146,EH54&gt;=SchemeStart),IF(AND(Milestones!$AB$146="FT",Milestones!$AA$146=FT_Y5,EH54&lt;PolicyEff),1,Milestones!$AC$146),0))</f>
        <v>0</v>
      </c>
      <c r="EI56" s="0" t="n">
        <f aca="false">IF(EI54="",0,IF(AND(EI55=Milestones!$AB$147,EI54&gt;=SchemeStart),IF(AND(Milestones!$AB$147="FT",Milestones!$AA$147=FT_Y5,EI54&lt;PolicyEff),1,Milestones!$AC$147),0))</f>
        <v>0</v>
      </c>
      <c r="EJ56" s="0" t="n">
        <f aca="false">IF(EJ54="",0,IF(AND(EJ55=Milestones!$AB$148,EJ54&gt;=SchemeStart),IF(AND(Milestones!$AB$148="FT",Milestones!$AA$148=FT_Y5,EJ54&lt;PolicyEff),1,Milestones!$AC$148),0))</f>
        <v>0</v>
      </c>
      <c r="EK56" s="0" t="n">
        <f aca="false">IF(EK54="",0,IF(AND(EK55=Milestones!$AB$149,EK54&gt;=SchemeStart),IF(AND(Milestones!$AB$149="FT",Milestones!$AA$149=FT_Y5,EK54&lt;PolicyEff),1,Milestones!$AC$149),0))</f>
        <v>0</v>
      </c>
      <c r="EL56" s="0" t="n">
        <f aca="false">IF(EL54="",0,IF(AND(EL55=Milestones!$AB$150,EL54&gt;=SchemeStart),IF(AND(Milestones!$AB$150="FT",Milestones!$AA$150=FT_Y5,EL54&lt;PolicyEff),1,Milestones!$AC$150),0))</f>
        <v>0</v>
      </c>
      <c r="EM56" s="0" t="n">
        <f aca="false">IF(EM54="",0,IF(AND(EM55=Milestones!$AB$151,EM54&gt;=SchemeStart),IF(AND(Milestones!$AB$151="FT",Milestones!$AA$151=FT_Y5,EM54&lt;PolicyEff),1,Milestones!$AC$151),0))</f>
        <v>0</v>
      </c>
      <c r="EN56" s="0" t="n">
        <f aca="false">IF(EN54="",0,IF(AND(EN55=Milestones!$AB$152,EN54&gt;=SchemeStart),IF(AND(Milestones!$AB$152="FT",Milestones!$AA$152=FT_Y5,EN54&lt;PolicyEff),1,Milestones!$AC$152),0))</f>
        <v>0</v>
      </c>
      <c r="EO56" s="0" t="n">
        <f aca="false">IF(EO54="",0,IF(AND(EO55=Milestones!$AB$153,EO54&gt;=SchemeStart),IF(AND(Milestones!$AB$153="FT",Milestones!$AA$153=FT_Y5,EO54&lt;PolicyEff),1,Milestones!$AC$153),0))</f>
        <v>0</v>
      </c>
      <c r="EP56" s="0" t="n">
        <f aca="false">IF(EP54="",0,IF(AND(EP55=Milestones!$AB$154,EP54&gt;=SchemeStart),IF(AND(Milestones!$AB$154="FT",Milestones!$AA$154=FT_Y5,EP54&lt;PolicyEff),1,Milestones!$AC$154),0))</f>
        <v>0</v>
      </c>
      <c r="EQ56" s="0" t="n">
        <f aca="false">IF(EQ54="",0,IF(AND(EQ55=Milestones!$AB$155,EQ54&gt;=SchemeStart),IF(AND(Milestones!$AB$155="FT",Milestones!$AA$155=FT_Y5,EQ54&lt;PolicyEff),1,Milestones!$AC$155),0))</f>
        <v>0</v>
      </c>
      <c r="ER56" s="0" t="n">
        <f aca="false">IF(ER54="",0,IF(AND(ER55=Milestones!$AB$156,ER54&gt;=SchemeStart),IF(AND(Milestones!$AB$156="FT",Milestones!$AA$156=FT_Y5,ER54&lt;PolicyEff),1,Milestones!$AC$156),0))</f>
        <v>0</v>
      </c>
      <c r="ES56" s="0" t="n">
        <f aca="false">IF(ES54="",0,IF(AND(ES55=Milestones!$AB$157,ES54&gt;=SchemeStart),IF(AND(Milestones!$AB$157="FT",Milestones!$AA$157=FT_Y5,ES54&lt;PolicyEff),1,Milestones!$AC$157),0))</f>
        <v>0</v>
      </c>
      <c r="ET56" s="0" t="n">
        <f aca="false">IF(ET54="",0,IF(AND(ET55=Milestones!$AB$158,ET54&gt;=SchemeStart),IF(AND(Milestones!$AB$158="FT",Milestones!$AA$158=FT_Y5,ET54&lt;PolicyEff),1,Milestones!$AC$158),0))</f>
        <v>0</v>
      </c>
      <c r="EU56" s="0" t="n">
        <f aca="false">IF(EU54="",0,IF(AND(EU55=Milestones!$AB$159,EU54&gt;=SchemeStart),IF(AND(Milestones!$AB$159="FT",Milestones!$AA$159=FT_Y5,EU54&lt;PolicyEff),1,Milestones!$AC$159),0))</f>
        <v>0</v>
      </c>
      <c r="EV56" s="0" t="n">
        <f aca="false">IF(EV54="",0,IF(AND(EV55=Milestones!$AB$160,EV54&gt;=SchemeStart),IF(AND(Milestones!$AB$160="FT",Milestones!$AA$160=FT_Y5,EV54&lt;PolicyEff),1,Milestones!$AC$160),0))</f>
        <v>0</v>
      </c>
      <c r="EW56" s="0" t="n">
        <f aca="false">IF(EW54="",0,IF(AND(EW55=Milestones!$AB$161,EW54&gt;=SchemeStart),IF(AND(Milestones!$AB$161="FT",Milestones!$AA$161=FT_Y5,EW54&lt;PolicyEff),1,Milestones!$AC$161),0))</f>
        <v>0</v>
      </c>
      <c r="EX56" s="0" t="n">
        <f aca="false">IF(EX54="",0,IF(AND(EX55=Milestones!$AB$162,EX54&gt;=SchemeStart),IF(AND(Milestones!$AB$162="FT",Milestones!$AA$162=FT_Y5,EX54&lt;PolicyEff),1,Milestones!$AC$162),0))</f>
        <v>0</v>
      </c>
      <c r="EY56" s="0" t="n">
        <f aca="false">IF(EY54="",0,IF(AND(EY55=Milestones!$AB$163,EY54&gt;=SchemeStart),IF(AND(Milestones!$AB$163="FT",Milestones!$AA$163=FT_Y5,EY54&lt;PolicyEff),1,Milestones!$AC$163),0))</f>
        <v>0</v>
      </c>
      <c r="EZ56" s="0" t="n">
        <f aca="false">IF(EZ54="",0,IF(AND(EZ55=Milestones!$AB$164,EZ54&gt;=SchemeStart),IF(AND(Milestones!$AB$164="FT",Milestones!$AA$164=FT_Y5,EZ54&lt;PolicyEff),1,Milestones!$AC$164),0))</f>
        <v>0</v>
      </c>
      <c r="FA56" s="0" t="n">
        <f aca="false">IF(FA54="",0,IF(AND(FA55=Milestones!$AB$165,FA54&gt;=SchemeStart),IF(AND(Milestones!$AB$165="FT",Milestones!$AA$165=FT_Y5,FA54&lt;PolicyEff),1,Milestones!$AC$165),0))</f>
        <v>0</v>
      </c>
      <c r="FB56" s="0" t="n">
        <f aca="false">IF(FB54="",0,IF(AND(FB55=Milestones!$AB$166,FB54&gt;=SchemeStart),IF(AND(Milestones!$AB$166="FT",Milestones!$AA$166=FT_Y5,FB54&lt;PolicyEff),1,Milestones!$AC$166),0))</f>
        <v>0</v>
      </c>
      <c r="FC56" s="0" t="n">
        <f aca="false">IF(FC54="",0,IF(AND(FC55=Milestones!$AB$167,FC54&gt;=SchemeStart),IF(AND(Milestones!$AB$167="FT",Milestones!$AA$167=FT_Y5,FC54&lt;PolicyEff),1,Milestones!$AC$167),0))</f>
        <v>0</v>
      </c>
      <c r="FD56" s="0" t="n">
        <f aca="false">IF(FD54="",0,IF(AND(FD55=Milestones!$AB$168,FD54&gt;=SchemeStart),IF(AND(Milestones!$AB$168="FT",Milestones!$AA$168=FT_Y5,FD54&lt;PolicyEff),1,Milestones!$AC$168),0))</f>
        <v>0</v>
      </c>
      <c r="FE56" s="0" t="n">
        <f aca="false">IF(FE54="",0,IF(AND(FE55=Milestones!$AB$169,FE54&gt;=SchemeStart),IF(AND(Milestones!$AB$169="FT",Milestones!$AA$169=FT_Y5,FE54&lt;PolicyEff),1,Milestones!$AC$169),0))</f>
        <v>0</v>
      </c>
      <c r="FF56" s="0" t="n">
        <f aca="false">IF(FF54="",0,IF(AND(FF55=Milestones!$AB$170,FF54&gt;=SchemeStart),IF(AND(Milestones!$AB$170="FT",Milestones!$AA$170=FT_Y5,FF54&lt;PolicyEff),1,Milestones!$AC$170),0))</f>
        <v>0</v>
      </c>
      <c r="FG56" s="0" t="n">
        <f aca="false">IF(FG54="",0,IF(AND(FG55=Milestones!$AB$171,FG54&gt;=SchemeStart),IF(AND(Milestones!$AB$171="FT",Milestones!$AA$171=FT_Y5,FG54&lt;PolicyEff),1,Milestones!$AC$171),0))</f>
        <v>0</v>
      </c>
      <c r="FH56" s="0" t="n">
        <f aca="false">IF(FH54="",0,IF(AND(FH55=Milestones!$AB$172,FH54&gt;=SchemeStart),IF(AND(Milestones!$AB$172="FT",Milestones!$AA$172=FT_Y5,FH54&lt;PolicyEff),1,Milestones!$AC$172),0))</f>
        <v>0</v>
      </c>
      <c r="FI56" s="0" t="n">
        <f aca="false">IF(FI54="",0,IF(AND(FI55=Milestones!$AB$173,FI54&gt;=SchemeStart),IF(AND(Milestones!$AB$173="FT",Milestones!$AA$173=FT_Y5,FI54&lt;PolicyEff),1,Milestones!$AC$173),0))</f>
        <v>0</v>
      </c>
      <c r="FJ56" s="0" t="n">
        <f aca="false">IF(FJ54="",0,IF(AND(FJ55=Milestones!$AB$174,FJ54&gt;=SchemeStart),IF(AND(Milestones!$AB$174="FT",Milestones!$AA$174=FT_Y5,FJ54&lt;PolicyEff),1,Milestones!$AC$174),0))</f>
        <v>0</v>
      </c>
      <c r="FK56" s="0" t="n">
        <f aca="false">IF(FK54="",0,IF(AND(FK55=Milestones!$AB$175,FK54&gt;=SchemeStart),IF(AND(Milestones!$AB$175="FT",Milestones!$AA$175=FT_Y5,FK54&lt;PolicyEff),1,Milestones!$AC$175),0))</f>
        <v>0</v>
      </c>
      <c r="FL56" s="0" t="n">
        <f aca="false">IF(FL54="",0,IF(AND(FL55=Milestones!$AB$176,FL54&gt;=SchemeStart),IF(AND(Milestones!$AB$176="FT",Milestones!$AA$176=FT_Y5,FL54&lt;PolicyEff),1,Milestones!$AC$176),0))</f>
        <v>0</v>
      </c>
      <c r="FM56" s="0" t="n">
        <f aca="false">IF(FM54="",0,IF(AND(FM55=Milestones!$AB$177,FM54&gt;=SchemeStart),IF(AND(Milestones!$AB$177="FT",Milestones!$AA$177=FT_Y5,FM54&lt;PolicyEff),1,Milestones!$AC$177),0))</f>
        <v>0</v>
      </c>
      <c r="FN56" s="0" t="n">
        <f aca="false">IF(FN54="",0,IF(AND(FN55=Milestones!$AB$178,FN54&gt;=SchemeStart),IF(AND(Milestones!$AB$178="FT",Milestones!$AA$178=FT_Y5,FN54&lt;PolicyEff),1,Milestones!$AC$178),0))</f>
        <v>0</v>
      </c>
      <c r="FO56" s="0" t="n">
        <f aca="false">IF(FO54="",0,IF(AND(FO55=Milestones!$AB$179,FO54&gt;=SchemeStart),IF(AND(Milestones!$AB$179="FT",Milestones!$AA$179=FT_Y5,FO54&lt;PolicyEff),1,Milestones!$AC$179),0))</f>
        <v>0</v>
      </c>
      <c r="FP56" s="0" t="n">
        <f aca="false">IF(FP54="",0,IF(AND(FP55=Milestones!$AB$180,FP54&gt;=SchemeStart),IF(AND(Milestones!$AB$180="FT",Milestones!$AA$180=FT_Y5,FP54&lt;PolicyEff),1,Milestones!$AC$180),0))</f>
        <v>0</v>
      </c>
      <c r="FQ56" s="0" t="n">
        <f aca="false">IF(FQ54="",0,IF(AND(FQ55=Milestones!$AB$181,FQ54&gt;=SchemeStart),IF(AND(Milestones!$AB$181="FT",Milestones!$AA$181=FT_Y5,FQ54&lt;PolicyEff),1,Milestones!$AC$181),0))</f>
        <v>0</v>
      </c>
      <c r="FR56" s="0" t="n">
        <f aca="false">IF(FR54="",0,IF(AND(FR55=Milestones!$AB$182,FR54&gt;=SchemeStart),IF(AND(Milestones!$AB$182="FT",Milestones!$AA$182=FT_Y5,FR54&lt;PolicyEff),1,Milestones!$AC$182),0))</f>
        <v>0</v>
      </c>
      <c r="FS56" s="0" t="n">
        <f aca="false">IF(FS54="",0,IF(AND(FS55=Milestones!$AB$183,FS54&gt;=SchemeStart),IF(AND(Milestones!$AB$183="FT",Milestones!$AA$183=FT_Y5,FS54&lt;PolicyEff),1,Milestones!$AC$183),0))</f>
        <v>0</v>
      </c>
      <c r="FT56" s="0" t="n">
        <f aca="false">IF(FT54="",0,IF(AND(FT55=Milestones!$AB$184,FT54&gt;=SchemeStart),IF(AND(Milestones!$AB$184="FT",Milestones!$AA$184=FT_Y5,FT54&lt;PolicyEff),1,Milestones!$AC$184),0))</f>
        <v>0</v>
      </c>
      <c r="FU56" s="0" t="n">
        <f aca="false">IF(FU54="",0,IF(AND(FU55=Milestones!$AB$185,FU54&gt;=SchemeStart),IF(AND(Milestones!$AB$185="FT",Milestones!$AA$185=FT_Y5,FU54&lt;PolicyEff),1,Milestones!$AC$185),0))</f>
        <v>0</v>
      </c>
      <c r="FV56" s="0" t="n">
        <f aca="false">IF(FV54="",0,IF(AND(FV55=Milestones!$AB$186,FV54&gt;=SchemeStart),IF(AND(Milestones!$AB$186="FT",Milestones!$AA$186=FT_Y5,FV54&lt;PolicyEff),1,Milestones!$AC$186),0))</f>
        <v>0</v>
      </c>
      <c r="FW56" s="0" t="n">
        <f aca="false">IF(FW54="",0,IF(AND(FW55=Milestones!$AB$187,FW54&gt;=SchemeStart),IF(AND(Milestones!$AB$187="FT",Milestones!$AA$187=FT_Y5,FW54&lt;PolicyEff),1,Milestones!$AC$187),0))</f>
        <v>0</v>
      </c>
      <c r="FX56" s="0" t="n">
        <f aca="false">IF(FX54="",0,IF(AND(FX55=Milestones!$AB$188,FX54&gt;=SchemeStart),IF(AND(Milestones!$AB$188="FT",Milestones!$AA$188=FT_Y5,FX54&lt;PolicyEff),1,Milestones!$AC$188),0))</f>
        <v>0</v>
      </c>
      <c r="FY56" s="0" t="n">
        <f aca="false">IF(FY54="",0,IF(AND(FY55=Milestones!$AB$189,FY54&gt;=SchemeStart),IF(AND(Milestones!$AB$189="FT",Milestones!$AA$189=FT_Y5,FY54&lt;PolicyEff),1,Milestones!$AC$189),0))</f>
        <v>0</v>
      </c>
      <c r="FZ56" s="0" t="n">
        <f aca="false">IF(FZ54="",0,IF(AND(FZ55=Milestones!$AB$190,FZ54&gt;=SchemeStart),IF(AND(Milestones!$AB$190="FT",Milestones!$AA$190=FT_Y5,FZ54&lt;PolicyEff),1,Milestones!$AC$190),0))</f>
        <v>0</v>
      </c>
      <c r="GA56" s="0" t="n">
        <f aca="false">IF(GA54="",0,IF(AND(GA55=Milestones!$AB$191,GA54&gt;=SchemeStart),IF(AND(Milestones!$AB$191="FT",Milestones!$AA$191=FT_Y5,GA54&lt;PolicyEff),1,Milestones!$AC$191),0))</f>
        <v>0</v>
      </c>
      <c r="GB56" s="0" t="n">
        <f aca="false">IF(GB54="",0,IF(AND(GB55=Milestones!$AB$192,GB54&gt;=SchemeStart),IF(AND(Milestones!$AB$192="FT",Milestones!$AA$192=FT_Y5,GB54&lt;PolicyEff),1,Milestones!$AC$192),0))</f>
        <v>0</v>
      </c>
      <c r="GC56" s="0" t="n">
        <f aca="false">IF(GC54="",0,IF(AND(GC55=Milestones!$AB$193,GC54&gt;=SchemeStart),IF(AND(Milestones!$AB$193="FT",Milestones!$AA$193=FT_Y5,GC54&lt;PolicyEff),1,Milestones!$AC$193),0))</f>
        <v>0</v>
      </c>
      <c r="GD56" s="0" t="n">
        <f aca="false">IF(GD54="",0,IF(AND(GD55=Milestones!$AB$194,GD54&gt;=SchemeStart),IF(AND(Milestones!$AB$194="FT",Milestones!$AA$194=FT_Y5,GD54&lt;PolicyEff),1,Milestones!$AC$194),0))</f>
        <v>0</v>
      </c>
      <c r="GE56" s="0" t="n">
        <f aca="false">IF(GE54="",0,IF(AND(GE55=Milestones!$AB$195,GE54&gt;=SchemeStart),IF(AND(Milestones!$AB$195="FT",Milestones!$AA$195=FT_Y5,GE54&lt;PolicyEff),1,Milestones!$AC$195),0))</f>
        <v>0</v>
      </c>
      <c r="GF56" s="0" t="n">
        <f aca="false">IF(GF54="",0,IF(AND(GF55=Milestones!$AB$196,GF54&gt;=SchemeStart),IF(AND(Milestones!$AB$196="FT",Milestones!$AA$196=FT_Y5,GF54&lt;PolicyEff),1,Milestones!$AC$196),0))</f>
        <v>0</v>
      </c>
      <c r="GG56" s="0" t="n">
        <f aca="false">IF(GG54="",0,IF(AND(GG55=Milestones!$AB$197,GG54&gt;=SchemeStart),IF(AND(Milestones!$AB$197="FT",Milestones!$AA$197=FT_Y5,GG54&lt;PolicyEff),1,Milestones!$AC$197),0))</f>
        <v>0</v>
      </c>
      <c r="GH56" s="0" t="n">
        <f aca="false">IF(GH54="",0,IF(AND(GH55=Milestones!$AB$198,GH54&gt;=SchemeStart),IF(AND(Milestones!$AB$198="FT",Milestones!$AA$198=FT_Y5,GH54&lt;PolicyEff),1,Milestones!$AC$198),0))</f>
        <v>0</v>
      </c>
      <c r="GI56" s="0" t="n">
        <f aca="false">IF(GI54="",0,IF(AND(GI55=Milestones!$AB$199,GI54&gt;=SchemeStart),IF(AND(Milestones!$AB$199="FT",Milestones!$AA$199=FT_Y5,GI54&lt;PolicyEff),1,Milestones!$AC$199),0))</f>
        <v>0</v>
      </c>
    </row>
    <row r="57" customFormat="false" ht="15" hidden="false" customHeight="false" outlineLevel="0" collapsed="false">
      <c r="A57" s="0" t="str">
        <f aca="false">IF('HR Tally Check'!T$7="","",'HR Tally Check'!T$7)</f>
        <v/>
      </c>
      <c r="B57" s="0" t="str">
        <f aca="false">IF(A57="","",ISNUMBER(MATCH(A57,Staff!$BR$5:$BR$154,0)))</f>
        <v/>
      </c>
      <c r="C57" s="20" t="str">
        <f aca="false">IF(B57&lt;&gt;TRUE(),"",INDEX(Staff!$AL$5:$AL$154,MATCH($A57,Staff!$BR$5:$BR$154,0)))</f>
        <v/>
      </c>
      <c r="D57" s="0" t="str">
        <f aca="false">IF(B57&lt;&gt;TRUE(),"",INDEX(Staff!$AM$5:$AM$154,MATCH($A57,Staff!$BR$5:$BR$154,0)))</f>
        <v/>
      </c>
      <c r="E57" s="20" t="str">
        <f aca="false">IF(B57&lt;&gt;TRUE(),"",INDEX(Staff!$AO$5:$AO$154,MATCH($A57,Staff!$BR$5:$BR$154,0)))</f>
        <v/>
      </c>
      <c r="F57" s="20" t="str">
        <f aca="false">IF(B57&lt;&gt;TRUE(),"",INDEX(Staff!$AP$5:$AP$154,MATCH($A57,Staff!$BR$5:$BR$154,0)))</f>
        <v/>
      </c>
      <c r="G57" s="0" t="str">
        <f aca="false">IF(B57&lt;&gt;TRUE(),"",INDEX(Staff!$AT$5:$AT$154,MATCH($A57,Staff!$BR$5:$BR$154,0)))</f>
        <v/>
      </c>
      <c r="H57" s="0" t="str">
        <f aca="false">IF(B57&lt;&gt;TRUE(),"",INDEX(Staff!$AU$5:$AU$154,MATCH($A57,Staff!$BR$5:$BR$154,0)))</f>
        <v/>
      </c>
      <c r="I57" s="0" t="str">
        <f aca="false">IF(B57&lt;&gt;TRUE(),"",INDEX(Staff!$AV$5:$AV$154,MATCH($A57,Staff!$BR$5:$BR$154,0)))</f>
        <v/>
      </c>
      <c r="J57" s="0" t="str">
        <f aca="false">IF(B57&lt;&gt;TRUE(),"",INDEX(Staff!$AW$5:$AW$154,MATCH($A57,Staff!$BR$5:$BR$154,0)))</f>
        <v/>
      </c>
      <c r="K57" s="33" t="s">
        <v>262</v>
      </c>
      <c r="L57" s="20" t="str">
        <f aca="false">IF($C57="","",EDATE($C57,Milestones!$AA$20))</f>
        <v/>
      </c>
      <c r="M57" s="20" t="str">
        <f aca="false">IF($C57="","",EDATE($C57,Milestones!$AA$21))</f>
        <v/>
      </c>
      <c r="N57" s="20" t="str">
        <f aca="false">IF($C57="","",EDATE($C57,Milestones!$AA$22))</f>
        <v/>
      </c>
      <c r="O57" s="20" t="str">
        <f aca="false">IF($C57="","",EDATE($C57,Milestones!$AA$23))</f>
        <v/>
      </c>
      <c r="P57" s="20" t="str">
        <f aca="false">IF($C57="","",EDATE($C57,Milestones!$AA$24))</f>
        <v/>
      </c>
      <c r="Q57" s="20" t="str">
        <f aca="false">IF($C57="","",EDATE($C57,Milestones!$AA$25))</f>
        <v/>
      </c>
      <c r="R57" s="20" t="str">
        <f aca="false">IF($C57="","",EDATE($C57,Milestones!$AA$26))</f>
        <v/>
      </c>
      <c r="S57" s="20" t="str">
        <f aca="false">IF($C57="","",EDATE($C57,Milestones!$AA$27))</f>
        <v/>
      </c>
      <c r="T57" s="20" t="str">
        <f aca="false">IF($C57="","",EDATE($C57,Milestones!$AA$28))</f>
        <v/>
      </c>
      <c r="U57" s="20" t="str">
        <f aca="false">IF($C57="","",EDATE($C57,Milestones!$AA$29))</f>
        <v/>
      </c>
      <c r="V57" s="20" t="str">
        <f aca="false">IF($C57="","",EDATE($C57,Milestones!$AA$30))</f>
        <v/>
      </c>
      <c r="W57" s="20" t="str">
        <f aca="false">IF($C57="","",EDATE($C57,Milestones!$AA$31))</f>
        <v/>
      </c>
      <c r="X57" s="20" t="str">
        <f aca="false">IF($C57="","",EDATE($C57,Milestones!$AA$32))</f>
        <v/>
      </c>
      <c r="Y57" s="20" t="str">
        <f aca="false">IF($C57="","",EDATE($C57,Milestones!$AA$33))</f>
        <v/>
      </c>
      <c r="Z57" s="20" t="str">
        <f aca="false">IF($C57="","",EDATE($C57,Milestones!$AA$34))</f>
        <v/>
      </c>
      <c r="AA57" s="20" t="str">
        <f aca="false">IF($C57="","",EDATE($C57,Milestones!$AA$35))</f>
        <v/>
      </c>
      <c r="AB57" s="20" t="str">
        <f aca="false">IF($C57="","",EDATE($C57,Milestones!$AA$36))</f>
        <v/>
      </c>
      <c r="AC57" s="20" t="str">
        <f aca="false">IF($C57="","",EDATE($C57,Milestones!$AA$37))</f>
        <v/>
      </c>
      <c r="AD57" s="20" t="str">
        <f aca="false">IF($C57="","",EDATE($C57,Milestones!$AA$38))</f>
        <v/>
      </c>
      <c r="AE57" s="20" t="str">
        <f aca="false">IF($C57="","",EDATE($C57,Milestones!$AA$39))</f>
        <v/>
      </c>
      <c r="AF57" s="20" t="str">
        <f aca="false">IF($C57="","",EDATE($C57,Milestones!$AA$40))</f>
        <v/>
      </c>
      <c r="AG57" s="20" t="str">
        <f aca="false">IF($C57="","",EDATE($C57,Milestones!$AA$41))</f>
        <v/>
      </c>
      <c r="AH57" s="20" t="str">
        <f aca="false">IF($C57="","",EDATE($C57,Milestones!$AA$42))</f>
        <v/>
      </c>
      <c r="AI57" s="20" t="str">
        <f aca="false">IF($C57="","",EDATE($C57,Milestones!$AA$43))</f>
        <v/>
      </c>
      <c r="AJ57" s="20" t="str">
        <f aca="false">IF($C57="","",EDATE($C57,Milestones!$AA$44))</f>
        <v/>
      </c>
      <c r="AK57" s="20" t="str">
        <f aca="false">IF($C57="","",EDATE($C57,Milestones!$AA$45))</f>
        <v/>
      </c>
      <c r="AL57" s="20" t="str">
        <f aca="false">IF($C57="","",EDATE($C57,Milestones!$AA$46))</f>
        <v/>
      </c>
      <c r="AM57" s="20" t="str">
        <f aca="false">IF($C57="","",EDATE($C57,Milestones!$AA$47))</f>
        <v/>
      </c>
      <c r="AN57" s="20" t="str">
        <f aca="false">IF($C57="","",EDATE($C57,Milestones!$AA$48))</f>
        <v/>
      </c>
      <c r="AO57" s="20" t="str">
        <f aca="false">IF($C57="","",EDATE($C57,Milestones!$AA$49))</f>
        <v/>
      </c>
      <c r="AP57" s="20" t="str">
        <f aca="false">IF($C57="","",EDATE($C57,Milestones!$AA$50))</f>
        <v/>
      </c>
      <c r="AQ57" s="20" t="str">
        <f aca="false">IF($C57="","",EDATE($C57,Milestones!$AA$51))</f>
        <v/>
      </c>
      <c r="AR57" s="20" t="str">
        <f aca="false">IF($C57="","",EDATE($C57,Milestones!$AA$52))</f>
        <v/>
      </c>
      <c r="AS57" s="20" t="str">
        <f aca="false">IF($C57="","",EDATE($C57,Milestones!$AA$53))</f>
        <v/>
      </c>
      <c r="AT57" s="20" t="str">
        <f aca="false">IF($C57="","",EDATE($C57,Milestones!$AA$54))</f>
        <v/>
      </c>
      <c r="AU57" s="20" t="str">
        <f aca="false">IF($C57="","",EDATE($C57,Milestones!$AA$55))</f>
        <v/>
      </c>
      <c r="AV57" s="20" t="str">
        <f aca="false">IF($C57="","",EDATE($C57,Milestones!$AA$56))</f>
        <v/>
      </c>
      <c r="AW57" s="20" t="str">
        <f aca="false">IF($C57="","",EDATE($C57,Milestones!$AA$57))</f>
        <v/>
      </c>
      <c r="AX57" s="20" t="str">
        <f aca="false">IF($C57="","",EDATE($C57,Milestones!$AA$58))</f>
        <v/>
      </c>
      <c r="AY57" s="20" t="str">
        <f aca="false">IF($C57="","",EDATE($C57,Milestones!$AA$59))</f>
        <v/>
      </c>
      <c r="AZ57" s="20" t="str">
        <f aca="false">IF($C57="","",EDATE($C57,Milestones!$AA$60))</f>
        <v/>
      </c>
      <c r="BA57" s="20" t="str">
        <f aca="false">IF($C57="","",EDATE($C57,Milestones!$AA$61))</f>
        <v/>
      </c>
      <c r="BB57" s="20" t="str">
        <f aca="false">IF($C57="","",EDATE($C57,Milestones!$AA$62))</f>
        <v/>
      </c>
      <c r="BC57" s="20" t="str">
        <f aca="false">IF($C57="","",EDATE($C57,Milestones!$AA$63))</f>
        <v/>
      </c>
      <c r="BD57" s="20" t="str">
        <f aca="false">IF($C57="","",EDATE($C57,Milestones!$AA$64))</f>
        <v/>
      </c>
      <c r="BE57" s="20" t="str">
        <f aca="false">IF($C57="","",EDATE($C57,Milestones!$AA$65))</f>
        <v/>
      </c>
      <c r="BF57" s="20" t="str">
        <f aca="false">IF($C57="","",EDATE($C57,Milestones!$AA$66))</f>
        <v/>
      </c>
      <c r="BG57" s="20" t="str">
        <f aca="false">IF($C57="","",EDATE($C57,Milestones!$AA$67))</f>
        <v/>
      </c>
      <c r="BH57" s="20" t="str">
        <f aca="false">IF($C57="","",EDATE($C57,Milestones!$AA$68))</f>
        <v/>
      </c>
      <c r="BI57" s="20" t="str">
        <f aca="false">IF($C57="","",EDATE($C57,Milestones!$AA$69))</f>
        <v/>
      </c>
      <c r="BJ57" s="20" t="str">
        <f aca="false">IF($C57="","",EDATE($C57,Milestones!$AA$70))</f>
        <v/>
      </c>
      <c r="BK57" s="20" t="str">
        <f aca="false">IF($C57="","",EDATE($C57,Milestones!$AA$71))</f>
        <v/>
      </c>
      <c r="BL57" s="20" t="str">
        <f aca="false">IF($C57="","",EDATE($C57,Milestones!$AA$72))</f>
        <v/>
      </c>
      <c r="BM57" s="20" t="str">
        <f aca="false">IF($C57="","",EDATE($C57,Milestones!$AA$73))</f>
        <v/>
      </c>
      <c r="BN57" s="20" t="str">
        <f aca="false">IF($C57="","",EDATE($C57,Milestones!$AA$74))</f>
        <v/>
      </c>
      <c r="BO57" s="20" t="str">
        <f aca="false">IF($C57="","",EDATE($C57,Milestones!$AA$75))</f>
        <v/>
      </c>
      <c r="BP57" s="20" t="str">
        <f aca="false">IF($C57="","",EDATE($C57,Milestones!$AA$76))</f>
        <v/>
      </c>
      <c r="BQ57" s="20" t="str">
        <f aca="false">IF($C57="","",EDATE($C57,Milestones!$AA$77))</f>
        <v/>
      </c>
      <c r="BR57" s="20" t="str">
        <f aca="false">IF($C57="","",EDATE($C57,Milestones!$AA$78))</f>
        <v/>
      </c>
      <c r="BS57" s="20" t="str">
        <f aca="false">IF($C57="","",EDATE($C57,Milestones!$AA$79))</f>
        <v/>
      </c>
      <c r="BT57" s="20" t="str">
        <f aca="false">IF($C57="","",EDATE($C57,Milestones!$AA$80))</f>
        <v/>
      </c>
      <c r="BU57" s="20" t="str">
        <f aca="false">IF($C57="","",EDATE($C57,Milestones!$AA$81))</f>
        <v/>
      </c>
      <c r="BV57" s="20" t="str">
        <f aca="false">IF($C57="","",EDATE($C57,Milestones!$AA$82))</f>
        <v/>
      </c>
      <c r="BW57" s="20" t="str">
        <f aca="false">IF($C57="","",EDATE($C57,Milestones!$AA$83))</f>
        <v/>
      </c>
      <c r="BX57" s="20" t="str">
        <f aca="false">IF($C57="","",EDATE($C57,Milestones!$AA$84))</f>
        <v/>
      </c>
      <c r="BY57" s="20" t="str">
        <f aca="false">IF($C57="","",EDATE($C57,Milestones!$AA$85))</f>
        <v/>
      </c>
      <c r="BZ57" s="20" t="str">
        <f aca="false">IF($C57="","",EDATE($C57,Milestones!$AA$86))</f>
        <v/>
      </c>
      <c r="CA57" s="20" t="str">
        <f aca="false">IF($C57="","",EDATE($C57,Milestones!$AA$87))</f>
        <v/>
      </c>
      <c r="CB57" s="20" t="str">
        <f aca="false">IF($C57="","",EDATE($C57,Milestones!$AA$88))</f>
        <v/>
      </c>
      <c r="CC57" s="20" t="str">
        <f aca="false">IF($C57="","",EDATE($C57,Milestones!$AA$89))</f>
        <v/>
      </c>
      <c r="CD57" s="20" t="str">
        <f aca="false">IF($C57="","",EDATE($C57,Milestones!$AA$90))</f>
        <v/>
      </c>
      <c r="CE57" s="20" t="str">
        <f aca="false">IF($C57="","",EDATE($C57,Milestones!$AA$91))</f>
        <v/>
      </c>
      <c r="CF57" s="20" t="str">
        <f aca="false">IF($C57="","",EDATE($C57,Milestones!$AA$92))</f>
        <v/>
      </c>
      <c r="CG57" s="20" t="str">
        <f aca="false">IF($C57="","",EDATE($C57,Milestones!$AA$93))</f>
        <v/>
      </c>
      <c r="CH57" s="20" t="str">
        <f aca="false">IF($C57="","",EDATE($C57,Milestones!$AA$94))</f>
        <v/>
      </c>
      <c r="CI57" s="20" t="str">
        <f aca="false">IF($C57="","",EDATE($C57,Milestones!$AA$95))</f>
        <v/>
      </c>
      <c r="CJ57" s="20" t="str">
        <f aca="false">IF($C57="","",EDATE($C57,Milestones!$AA$96))</f>
        <v/>
      </c>
      <c r="CK57" s="20" t="str">
        <f aca="false">IF($C57="","",EDATE($C57,Milestones!$AA$97))</f>
        <v/>
      </c>
      <c r="CL57" s="20" t="str">
        <f aca="false">IF($C57="","",EDATE($C57,Milestones!$AA$98))</f>
        <v/>
      </c>
      <c r="CM57" s="20" t="str">
        <f aca="false">IF($C57="","",EDATE($C57,Milestones!$AA$99))</f>
        <v/>
      </c>
      <c r="CN57" s="20" t="str">
        <f aca="false">IF($C57="","",EDATE($C57,Milestones!$AA$100))</f>
        <v/>
      </c>
      <c r="CO57" s="20" t="str">
        <f aca="false">IF($C57="","",EDATE($C57,Milestones!$AA$101))</f>
        <v/>
      </c>
      <c r="CP57" s="20" t="str">
        <f aca="false">IF($C57="","",EDATE($C57,Milestones!$AA$102))</f>
        <v/>
      </c>
      <c r="CQ57" s="20" t="str">
        <f aca="false">IF($C57="","",EDATE($C57,Milestones!$AA$103))</f>
        <v/>
      </c>
      <c r="CR57" s="20" t="str">
        <f aca="false">IF($C57="","",EDATE($C57,Milestones!$AA$104))</f>
        <v/>
      </c>
      <c r="CS57" s="20" t="str">
        <f aca="false">IF($C57="","",EDATE($C57,Milestones!$AA$105))</f>
        <v/>
      </c>
      <c r="CT57" s="20" t="str">
        <f aca="false">IF($C57="","",EDATE($C57,Milestones!$AA$106))</f>
        <v/>
      </c>
      <c r="CU57" s="20" t="str">
        <f aca="false">IF($C57="","",EDATE($C57,Milestones!$AA$107))</f>
        <v/>
      </c>
      <c r="CV57" s="20" t="str">
        <f aca="false">IF($C57="","",EDATE($C57,Milestones!$AA$108))</f>
        <v/>
      </c>
      <c r="CW57" s="20" t="str">
        <f aca="false">IF($C57="","",EDATE($C57,Milestones!$AA$109))</f>
        <v/>
      </c>
      <c r="CX57" s="20" t="str">
        <f aca="false">IF($C57="","",EDATE($C57,Milestones!$AA$110))</f>
        <v/>
      </c>
      <c r="CY57" s="20" t="str">
        <f aca="false">IF($C57="","",EDATE($C57,Milestones!$AA$111))</f>
        <v/>
      </c>
      <c r="CZ57" s="20" t="str">
        <f aca="false">IF($C57="","",EDATE($C57,Milestones!$AA$112))</f>
        <v/>
      </c>
      <c r="DA57" s="20" t="str">
        <f aca="false">IF($C57="","",EDATE($C57,Milestones!$AA$113))</f>
        <v/>
      </c>
      <c r="DB57" s="20" t="str">
        <f aca="false">IF($C57="","",EDATE($C57,Milestones!$AA$114))</f>
        <v/>
      </c>
      <c r="DC57" s="20" t="str">
        <f aca="false">IF($C57="","",EDATE($C57,Milestones!$AA$115))</f>
        <v/>
      </c>
      <c r="DD57" s="20" t="str">
        <f aca="false">IF($C57="","",EDATE($C57,Milestones!$AA$116))</f>
        <v/>
      </c>
      <c r="DE57" s="20" t="str">
        <f aca="false">IF($C57="","",EDATE($C57,Milestones!$AA$117))</f>
        <v/>
      </c>
      <c r="DF57" s="20" t="str">
        <f aca="false">IF($C57="","",EDATE($C57,Milestones!$AA$118))</f>
        <v/>
      </c>
      <c r="DG57" s="20" t="str">
        <f aca="false">IF($C57="","",EDATE($C57,Milestones!$AA$119))</f>
        <v/>
      </c>
      <c r="DH57" s="20" t="str">
        <f aca="false">IF($C57="","",EDATE($C57,Milestones!$AA$120))</f>
        <v/>
      </c>
      <c r="DI57" s="20" t="str">
        <f aca="false">IF($C57="","",EDATE($C57,Milestones!$AA$121))</f>
        <v/>
      </c>
      <c r="DJ57" s="20" t="str">
        <f aca="false">IF($C57="","",EDATE($C57,Milestones!$AA$122))</f>
        <v/>
      </c>
      <c r="DK57" s="20" t="str">
        <f aca="false">IF($C57="","",EDATE($C57,Milestones!$AA$123))</f>
        <v/>
      </c>
      <c r="DL57" s="20" t="str">
        <f aca="false">IF($C57="","",EDATE($C57,Milestones!$AA$124))</f>
        <v/>
      </c>
      <c r="DM57" s="20" t="str">
        <f aca="false">IF($C57="","",EDATE($C57,Milestones!$AA$125))</f>
        <v/>
      </c>
      <c r="DN57" s="20" t="str">
        <f aca="false">IF($C57="","",EDATE($C57,Milestones!$AA$126))</f>
        <v/>
      </c>
      <c r="DO57" s="20" t="str">
        <f aca="false">IF($C57="","",EDATE($C57,Milestones!$AA$127))</f>
        <v/>
      </c>
      <c r="DP57" s="20" t="str">
        <f aca="false">IF($C57="","",EDATE($C57,Milestones!$AA$128))</f>
        <v/>
      </c>
      <c r="DQ57" s="20" t="str">
        <f aca="false">IF($C57="","",EDATE($C57,Milestones!$AA$129))</f>
        <v/>
      </c>
      <c r="DR57" s="20" t="str">
        <f aca="false">IF($C57="","",EDATE($C57,Milestones!$AA$130))</f>
        <v/>
      </c>
      <c r="DS57" s="20" t="str">
        <f aca="false">IF($C57="","",EDATE($C57,Milestones!$AA$131))</f>
        <v/>
      </c>
      <c r="DT57" s="20" t="str">
        <f aca="false">IF($C57="","",EDATE($C57,Milestones!$AA$132))</f>
        <v/>
      </c>
      <c r="DU57" s="20" t="str">
        <f aca="false">IF($C57="","",EDATE($C57,Milestones!$AA$133))</f>
        <v/>
      </c>
      <c r="DV57" s="20" t="str">
        <f aca="false">IF($C57="","",EDATE($C57,Milestones!$AA$134))</f>
        <v/>
      </c>
      <c r="DW57" s="20" t="str">
        <f aca="false">IF($C57="","",EDATE($C57,Milestones!$AA$135))</f>
        <v/>
      </c>
      <c r="DX57" s="20" t="str">
        <f aca="false">IF($C57="","",EDATE($C57,Milestones!$AA$136))</f>
        <v/>
      </c>
      <c r="DY57" s="20" t="str">
        <f aca="false">IF($C57="","",EDATE($C57,Milestones!$AA$137))</f>
        <v/>
      </c>
      <c r="DZ57" s="20" t="str">
        <f aca="false">IF($C57="","",EDATE($C57,Milestones!$AA$138))</f>
        <v/>
      </c>
      <c r="EA57" s="20" t="str">
        <f aca="false">IF($C57="","",EDATE($C57,Milestones!$AA$139))</f>
        <v/>
      </c>
      <c r="EB57" s="20" t="str">
        <f aca="false">IF($C57="","",EDATE($C57,Milestones!$AA$140))</f>
        <v/>
      </c>
      <c r="EC57" s="20" t="str">
        <f aca="false">IF($C57="","",EDATE($C57,Milestones!$AA$141))</f>
        <v/>
      </c>
      <c r="ED57" s="20" t="str">
        <f aca="false">IF($C57="","",EDATE($C57,Milestones!$AA$142))</f>
        <v/>
      </c>
      <c r="EE57" s="20" t="str">
        <f aca="false">IF($C57="","",EDATE($C57,Milestones!$AA$143))</f>
        <v/>
      </c>
      <c r="EF57" s="20" t="str">
        <f aca="false">IF($C57="","",EDATE($C57,Milestones!$AA$144))</f>
        <v/>
      </c>
      <c r="EG57" s="20" t="str">
        <f aca="false">IF($C57="","",EDATE($C57,Milestones!$AA$145))</f>
        <v/>
      </c>
      <c r="EH57" s="20" t="str">
        <f aca="false">IF($C57="","",EDATE($C57,Milestones!$AA$146))</f>
        <v/>
      </c>
      <c r="EI57" s="20" t="str">
        <f aca="false">IF($C57="","",EDATE($C57,Milestones!$AA$147))</f>
        <v/>
      </c>
      <c r="EJ57" s="20" t="str">
        <f aca="false">IF($C57="","",EDATE($C57,Milestones!$AA$148))</f>
        <v/>
      </c>
      <c r="EK57" s="20" t="str">
        <f aca="false">IF($C57="","",EDATE($C57,Milestones!$AA$149))</f>
        <v/>
      </c>
      <c r="EL57" s="20" t="str">
        <f aca="false">IF($C57="","",EDATE($C57,Milestones!$AA$150))</f>
        <v/>
      </c>
      <c r="EM57" s="20" t="str">
        <f aca="false">IF($C57="","",EDATE($C57,Milestones!$AA$151))</f>
        <v/>
      </c>
      <c r="EN57" s="20" t="str">
        <f aca="false">IF($C57="","",EDATE($C57,Milestones!$AA$152))</f>
        <v/>
      </c>
      <c r="EO57" s="20" t="str">
        <f aca="false">IF($C57="","",EDATE($C57,Milestones!$AA$153))</f>
        <v/>
      </c>
      <c r="EP57" s="20" t="str">
        <f aca="false">IF($C57="","",EDATE($C57,Milestones!$AA$154))</f>
        <v/>
      </c>
      <c r="EQ57" s="20" t="str">
        <f aca="false">IF($C57="","",EDATE($C57,Milestones!$AA$155))</f>
        <v/>
      </c>
      <c r="ER57" s="20" t="str">
        <f aca="false">IF($C57="","",EDATE($C57,Milestones!$AA$156))</f>
        <v/>
      </c>
      <c r="ES57" s="20" t="str">
        <f aca="false">IF($C57="","",EDATE($C57,Milestones!$AA$157))</f>
        <v/>
      </c>
      <c r="ET57" s="20" t="str">
        <f aca="false">IF($C57="","",EDATE($C57,Milestones!$AA$158))</f>
        <v/>
      </c>
      <c r="EU57" s="20" t="str">
        <f aca="false">IF($C57="","",EDATE($C57,Milestones!$AA$159))</f>
        <v/>
      </c>
      <c r="EV57" s="20" t="str">
        <f aca="false">IF($C57="","",EDATE($C57,Milestones!$AA$160))</f>
        <v/>
      </c>
      <c r="EW57" s="20" t="str">
        <f aca="false">IF($C57="","",EDATE($C57,Milestones!$AA$161))</f>
        <v/>
      </c>
      <c r="EX57" s="20" t="str">
        <f aca="false">IF($C57="","",EDATE($C57,Milestones!$AA$162))</f>
        <v/>
      </c>
      <c r="EY57" s="20" t="str">
        <f aca="false">IF($C57="","",EDATE($C57,Milestones!$AA$163))</f>
        <v/>
      </c>
      <c r="EZ57" s="20" t="str">
        <f aca="false">IF($C57="","",EDATE($C57,Milestones!$AA$164))</f>
        <v/>
      </c>
      <c r="FA57" s="20" t="str">
        <f aca="false">IF($C57="","",EDATE($C57,Milestones!$AA$165))</f>
        <v/>
      </c>
      <c r="FB57" s="20" t="str">
        <f aca="false">IF($C57="","",EDATE($C57,Milestones!$AA$166))</f>
        <v/>
      </c>
      <c r="FC57" s="20" t="str">
        <f aca="false">IF($C57="","",EDATE($C57,Milestones!$AA$167))</f>
        <v/>
      </c>
      <c r="FD57" s="20" t="str">
        <f aca="false">IF($C57="","",EDATE($C57,Milestones!$AA$168))</f>
        <v/>
      </c>
      <c r="FE57" s="20" t="str">
        <f aca="false">IF($C57="","",EDATE($C57,Milestones!$AA$169))</f>
        <v/>
      </c>
      <c r="FF57" s="20" t="str">
        <f aca="false">IF($C57="","",EDATE($C57,Milestones!$AA$170))</f>
        <v/>
      </c>
      <c r="FG57" s="20" t="str">
        <f aca="false">IF($C57="","",EDATE($C57,Milestones!$AA$171))</f>
        <v/>
      </c>
      <c r="FH57" s="20" t="str">
        <f aca="false">IF($C57="","",EDATE($C57,Milestones!$AA$172))</f>
        <v/>
      </c>
      <c r="FI57" s="20" t="str">
        <f aca="false">IF($C57="","",EDATE($C57,Milestones!$AA$173))</f>
        <v/>
      </c>
      <c r="FJ57" s="20" t="str">
        <f aca="false">IF($C57="","",EDATE($C57,Milestones!$AA$174))</f>
        <v/>
      </c>
      <c r="FK57" s="20" t="str">
        <f aca="false">IF($C57="","",EDATE($C57,Milestones!$AA$175))</f>
        <v/>
      </c>
      <c r="FL57" s="20" t="str">
        <f aca="false">IF($C57="","",EDATE($C57,Milestones!$AA$176))</f>
        <v/>
      </c>
      <c r="FM57" s="20" t="str">
        <f aca="false">IF($C57="","",EDATE($C57,Milestones!$AA$177))</f>
        <v/>
      </c>
      <c r="FN57" s="20" t="str">
        <f aca="false">IF($C57="","",EDATE($C57,Milestones!$AA$178))</f>
        <v/>
      </c>
      <c r="FO57" s="20" t="str">
        <f aca="false">IF($C57="","",EDATE($C57,Milestones!$AA$179))</f>
        <v/>
      </c>
      <c r="FP57" s="20" t="str">
        <f aca="false">IF($C57="","",EDATE($C57,Milestones!$AA$180))</f>
        <v/>
      </c>
      <c r="FQ57" s="20" t="str">
        <f aca="false">IF($C57="","",EDATE($C57,Milestones!$AA$181))</f>
        <v/>
      </c>
      <c r="FR57" s="20" t="str">
        <f aca="false">IF($C57="","",EDATE($C57,Milestones!$AA$182))</f>
        <v/>
      </c>
      <c r="FS57" s="20" t="str">
        <f aca="false">IF($C57="","",EDATE($C57,Milestones!$AA$183))</f>
        <v/>
      </c>
      <c r="FT57" s="20" t="str">
        <f aca="false">IF($C57="","",EDATE($C57,Milestones!$AA$184))</f>
        <v/>
      </c>
      <c r="FU57" s="20" t="str">
        <f aca="false">IF($C57="","",EDATE($C57,Milestones!$AA$185))</f>
        <v/>
      </c>
      <c r="FV57" s="20" t="str">
        <f aca="false">IF($C57="","",EDATE($C57,Milestones!$AA$186))</f>
        <v/>
      </c>
      <c r="FW57" s="20" t="str">
        <f aca="false">IF($C57="","",EDATE($C57,Milestones!$AA$187))</f>
        <v/>
      </c>
      <c r="FX57" s="20" t="str">
        <f aca="false">IF($C57="","",EDATE($C57,Milestones!$AA$188))</f>
        <v/>
      </c>
      <c r="FY57" s="20" t="str">
        <f aca="false">IF($C57="","",EDATE($C57,Milestones!$AA$189))</f>
        <v/>
      </c>
      <c r="FZ57" s="20" t="str">
        <f aca="false">IF($C57="","",EDATE($C57,Milestones!$AA$190))</f>
        <v/>
      </c>
      <c r="GA57" s="20" t="str">
        <f aca="false">IF($C57="","",EDATE($C57,Milestones!$AA$191))</f>
        <v/>
      </c>
      <c r="GB57" s="20" t="str">
        <f aca="false">IF($C57="","",EDATE($C57,Milestones!$AA$192))</f>
        <v/>
      </c>
      <c r="GC57" s="20" t="str">
        <f aca="false">IF($C57="","",EDATE($C57,Milestones!$AA$193))</f>
        <v/>
      </c>
      <c r="GD57" s="20" t="str">
        <f aca="false">IF($C57="","",EDATE($C57,Milestones!$AA$194))</f>
        <v/>
      </c>
      <c r="GE57" s="20" t="str">
        <f aca="false">IF($C57="","",EDATE($C57,Milestones!$AA$195))</f>
        <v/>
      </c>
      <c r="GF57" s="20" t="str">
        <f aca="false">IF($C57="","",EDATE($C57,Milestones!$AA$196))</f>
        <v/>
      </c>
      <c r="GG57" s="20" t="str">
        <f aca="false">IF($C57="","",EDATE($C57,Milestones!$AA$197))</f>
        <v/>
      </c>
      <c r="GH57" s="20" t="str">
        <f aca="false">IF($C57="","",EDATE($C57,Milestones!$AA$198))</f>
        <v/>
      </c>
      <c r="GI57" s="20" t="str">
        <f aca="false">IF($C57="","",EDATE($C57,Milestones!$AA$199))</f>
        <v/>
      </c>
    </row>
    <row r="58" customFormat="false" ht="15" hidden="false" customHeight="false" outlineLevel="0" collapsed="false">
      <c r="K58" s="0" t="s">
        <v>263</v>
      </c>
      <c r="L58" s="0" t="str">
        <f aca="false">IF(L57="","",IF($D57=0,$J57,IF(AND($F57&lt;&gt;"",L57&gt;=$F57),$I57,IF(AND($E57&lt;&gt;"",L57&gt;=$E57),$H57,$G57))))</f>
        <v/>
      </c>
      <c r="M58" s="0" t="str">
        <f aca="false">IF(M57="","",IF($D57=0,$J57,IF(AND($F57&lt;&gt;"",M57&gt;=$F57),$I57,IF(AND($E57&lt;&gt;"",M57&gt;=$E57),$H57,$G57))))</f>
        <v/>
      </c>
      <c r="N58" s="0" t="str">
        <f aca="false">IF(N57="","",IF($D57=0,$J57,IF(AND($F57&lt;&gt;"",N57&gt;=$F57),$I57,IF(AND($E57&lt;&gt;"",N57&gt;=$E57),$H57,$G57))))</f>
        <v/>
      </c>
      <c r="O58" s="0" t="str">
        <f aca="false">IF(O57="","",IF($D57=0,$J57,IF(AND($F57&lt;&gt;"",O57&gt;=$F57),$I57,IF(AND($E57&lt;&gt;"",O57&gt;=$E57),$H57,$G57))))</f>
        <v/>
      </c>
      <c r="P58" s="0" t="str">
        <f aca="false">IF(P57="","",IF($D57=0,$J57,IF(AND($F57&lt;&gt;"",P57&gt;=$F57),$I57,IF(AND($E57&lt;&gt;"",P57&gt;=$E57),$H57,$G57))))</f>
        <v/>
      </c>
      <c r="Q58" s="0" t="str">
        <f aca="false">IF(Q57="","",IF($D57=0,$J57,IF(AND($F57&lt;&gt;"",Q57&gt;=$F57),$I57,IF(AND($E57&lt;&gt;"",Q57&gt;=$E57),$H57,$G57))))</f>
        <v/>
      </c>
      <c r="R58" s="0" t="str">
        <f aca="false">IF(R57="","",IF($D57=0,$J57,IF(AND($F57&lt;&gt;"",R57&gt;=$F57),$I57,IF(AND($E57&lt;&gt;"",R57&gt;=$E57),$H57,$G57))))</f>
        <v/>
      </c>
      <c r="S58" s="0" t="str">
        <f aca="false">IF(S57="","",IF($D57=0,$J57,IF(AND($F57&lt;&gt;"",S57&gt;=$F57),$I57,IF(AND($E57&lt;&gt;"",S57&gt;=$E57),$H57,$G57))))</f>
        <v/>
      </c>
      <c r="T58" s="0" t="str">
        <f aca="false">IF(T57="","",IF($D57=0,$J57,IF(AND($F57&lt;&gt;"",T57&gt;=$F57),$I57,IF(AND($E57&lt;&gt;"",T57&gt;=$E57),$H57,$G57))))</f>
        <v/>
      </c>
      <c r="U58" s="0" t="str">
        <f aca="false">IF(U57="","",IF($D57=0,$J57,IF(AND($F57&lt;&gt;"",U57&gt;=$F57),$I57,IF(AND($E57&lt;&gt;"",U57&gt;=$E57),$H57,$G57))))</f>
        <v/>
      </c>
      <c r="V58" s="0" t="str">
        <f aca="false">IF(V57="","",IF($D57=0,$J57,IF(AND($F57&lt;&gt;"",V57&gt;=$F57),$I57,IF(AND($E57&lt;&gt;"",V57&gt;=$E57),$H57,$G57))))</f>
        <v/>
      </c>
      <c r="W58" s="0" t="str">
        <f aca="false">IF(W57="","",IF($D57=0,$J57,IF(AND($F57&lt;&gt;"",W57&gt;=$F57),$I57,IF(AND($E57&lt;&gt;"",W57&gt;=$E57),$H57,$G57))))</f>
        <v/>
      </c>
      <c r="X58" s="0" t="str">
        <f aca="false">IF(X57="","",IF($D57=0,$J57,IF(AND($F57&lt;&gt;"",X57&gt;=$F57),$I57,IF(AND($E57&lt;&gt;"",X57&gt;=$E57),$H57,$G57))))</f>
        <v/>
      </c>
      <c r="Y58" s="0" t="str">
        <f aca="false">IF(Y57="","",IF($D57=0,$J57,IF(AND($F57&lt;&gt;"",Y57&gt;=$F57),$I57,IF(AND($E57&lt;&gt;"",Y57&gt;=$E57),$H57,$G57))))</f>
        <v/>
      </c>
      <c r="Z58" s="0" t="str">
        <f aca="false">IF(Z57="","",IF($D57=0,$J57,IF(AND($F57&lt;&gt;"",Z57&gt;=$F57),$I57,IF(AND($E57&lt;&gt;"",Z57&gt;=$E57),$H57,$G57))))</f>
        <v/>
      </c>
      <c r="AA58" s="0" t="str">
        <f aca="false">IF(AA57="","",IF($D57=0,$J57,IF(AND($F57&lt;&gt;"",AA57&gt;=$F57),$I57,IF(AND($E57&lt;&gt;"",AA57&gt;=$E57),$H57,$G57))))</f>
        <v/>
      </c>
      <c r="AB58" s="0" t="str">
        <f aca="false">IF(AB57="","",IF($D57=0,$J57,IF(AND($F57&lt;&gt;"",AB57&gt;=$F57),$I57,IF(AND($E57&lt;&gt;"",AB57&gt;=$E57),$H57,$G57))))</f>
        <v/>
      </c>
      <c r="AC58" s="0" t="str">
        <f aca="false">IF(AC57="","",IF($D57=0,$J57,IF(AND($F57&lt;&gt;"",AC57&gt;=$F57),$I57,IF(AND($E57&lt;&gt;"",AC57&gt;=$E57),$H57,$G57))))</f>
        <v/>
      </c>
      <c r="AD58" s="0" t="str">
        <f aca="false">IF(AD57="","",IF($D57=0,$J57,IF(AND($F57&lt;&gt;"",AD57&gt;=$F57),$I57,IF(AND($E57&lt;&gt;"",AD57&gt;=$E57),$H57,$G57))))</f>
        <v/>
      </c>
      <c r="AE58" s="0" t="str">
        <f aca="false">IF(AE57="","",IF($D57=0,$J57,IF(AND($F57&lt;&gt;"",AE57&gt;=$F57),$I57,IF(AND($E57&lt;&gt;"",AE57&gt;=$E57),$H57,$G57))))</f>
        <v/>
      </c>
      <c r="AF58" s="0" t="str">
        <f aca="false">IF(AF57="","",IF($D57=0,$J57,IF(AND($F57&lt;&gt;"",AF57&gt;=$F57),$I57,IF(AND($E57&lt;&gt;"",AF57&gt;=$E57),$H57,$G57))))</f>
        <v/>
      </c>
      <c r="AG58" s="0" t="str">
        <f aca="false">IF(AG57="","",IF($D57=0,$J57,IF(AND($F57&lt;&gt;"",AG57&gt;=$F57),$I57,IF(AND($E57&lt;&gt;"",AG57&gt;=$E57),$H57,$G57))))</f>
        <v/>
      </c>
      <c r="AH58" s="0" t="str">
        <f aca="false">IF(AH57="","",IF($D57=0,$J57,IF(AND($F57&lt;&gt;"",AH57&gt;=$F57),$I57,IF(AND($E57&lt;&gt;"",AH57&gt;=$E57),$H57,$G57))))</f>
        <v/>
      </c>
      <c r="AI58" s="0" t="str">
        <f aca="false">IF(AI57="","",IF($D57=0,$J57,IF(AND($F57&lt;&gt;"",AI57&gt;=$F57),$I57,IF(AND($E57&lt;&gt;"",AI57&gt;=$E57),$H57,$G57))))</f>
        <v/>
      </c>
      <c r="AJ58" s="0" t="str">
        <f aca="false">IF(AJ57="","",IF($D57=0,$J57,IF(AND($F57&lt;&gt;"",AJ57&gt;=$F57),$I57,IF(AND($E57&lt;&gt;"",AJ57&gt;=$E57),$H57,$G57))))</f>
        <v/>
      </c>
      <c r="AK58" s="0" t="str">
        <f aca="false">IF(AK57="","",IF($D57=0,$J57,IF(AND($F57&lt;&gt;"",AK57&gt;=$F57),$I57,IF(AND($E57&lt;&gt;"",AK57&gt;=$E57),$H57,$G57))))</f>
        <v/>
      </c>
      <c r="AL58" s="0" t="str">
        <f aca="false">IF(AL57="","",IF($D57=0,$J57,IF(AND($F57&lt;&gt;"",AL57&gt;=$F57),$I57,IF(AND($E57&lt;&gt;"",AL57&gt;=$E57),$H57,$G57))))</f>
        <v/>
      </c>
      <c r="AM58" s="0" t="str">
        <f aca="false">IF(AM57="","",IF($D57=0,$J57,IF(AND($F57&lt;&gt;"",AM57&gt;=$F57),$I57,IF(AND($E57&lt;&gt;"",AM57&gt;=$E57),$H57,$G57))))</f>
        <v/>
      </c>
      <c r="AN58" s="0" t="str">
        <f aca="false">IF(AN57="","",IF($D57=0,$J57,IF(AND($F57&lt;&gt;"",AN57&gt;=$F57),$I57,IF(AND($E57&lt;&gt;"",AN57&gt;=$E57),$H57,$G57))))</f>
        <v/>
      </c>
      <c r="AO58" s="0" t="str">
        <f aca="false">IF(AO57="","",IF($D57=0,$J57,IF(AND($F57&lt;&gt;"",AO57&gt;=$F57),$I57,IF(AND($E57&lt;&gt;"",AO57&gt;=$E57),$H57,$G57))))</f>
        <v/>
      </c>
      <c r="AP58" s="0" t="str">
        <f aca="false">IF(AP57="","",IF($D57=0,$J57,IF(AND($F57&lt;&gt;"",AP57&gt;=$F57),$I57,IF(AND($E57&lt;&gt;"",AP57&gt;=$E57),$H57,$G57))))</f>
        <v/>
      </c>
      <c r="AQ58" s="0" t="str">
        <f aca="false">IF(AQ57="","",IF($D57=0,$J57,IF(AND($F57&lt;&gt;"",AQ57&gt;=$F57),$I57,IF(AND($E57&lt;&gt;"",AQ57&gt;=$E57),$H57,$G57))))</f>
        <v/>
      </c>
      <c r="AR58" s="0" t="str">
        <f aca="false">IF(AR57="","",IF($D57=0,$J57,IF(AND($F57&lt;&gt;"",AR57&gt;=$F57),$I57,IF(AND($E57&lt;&gt;"",AR57&gt;=$E57),$H57,$G57))))</f>
        <v/>
      </c>
      <c r="AS58" s="0" t="str">
        <f aca="false">IF(AS57="","",IF($D57=0,$J57,IF(AND($F57&lt;&gt;"",AS57&gt;=$F57),$I57,IF(AND($E57&lt;&gt;"",AS57&gt;=$E57),$H57,$G57))))</f>
        <v/>
      </c>
      <c r="AT58" s="0" t="str">
        <f aca="false">IF(AT57="","",IF($D57=0,$J57,IF(AND($F57&lt;&gt;"",AT57&gt;=$F57),$I57,IF(AND($E57&lt;&gt;"",AT57&gt;=$E57),$H57,$G57))))</f>
        <v/>
      </c>
      <c r="AU58" s="0" t="str">
        <f aca="false">IF(AU57="","",IF($D57=0,$J57,IF(AND($F57&lt;&gt;"",AU57&gt;=$F57),$I57,IF(AND($E57&lt;&gt;"",AU57&gt;=$E57),$H57,$G57))))</f>
        <v/>
      </c>
      <c r="AV58" s="0" t="str">
        <f aca="false">IF(AV57="","",IF($D57=0,$J57,IF(AND($F57&lt;&gt;"",AV57&gt;=$F57),$I57,IF(AND($E57&lt;&gt;"",AV57&gt;=$E57),$H57,$G57))))</f>
        <v/>
      </c>
      <c r="AW58" s="0" t="str">
        <f aca="false">IF(AW57="","",IF($D57=0,$J57,IF(AND($F57&lt;&gt;"",AW57&gt;=$F57),$I57,IF(AND($E57&lt;&gt;"",AW57&gt;=$E57),$H57,$G57))))</f>
        <v/>
      </c>
      <c r="AX58" s="0" t="str">
        <f aca="false">IF(AX57="","",IF($D57=0,$J57,IF(AND($F57&lt;&gt;"",AX57&gt;=$F57),$I57,IF(AND($E57&lt;&gt;"",AX57&gt;=$E57),$H57,$G57))))</f>
        <v/>
      </c>
      <c r="AY58" s="0" t="str">
        <f aca="false">IF(AY57="","",IF($D57=0,$J57,IF(AND($F57&lt;&gt;"",AY57&gt;=$F57),$I57,IF(AND($E57&lt;&gt;"",AY57&gt;=$E57),$H57,$G57))))</f>
        <v/>
      </c>
      <c r="AZ58" s="0" t="str">
        <f aca="false">IF(AZ57="","",IF($D57=0,$J57,IF(AND($F57&lt;&gt;"",AZ57&gt;=$F57),$I57,IF(AND($E57&lt;&gt;"",AZ57&gt;=$E57),$H57,$G57))))</f>
        <v/>
      </c>
      <c r="BA58" s="0" t="str">
        <f aca="false">IF(BA57="","",IF($D57=0,$J57,IF(AND($F57&lt;&gt;"",BA57&gt;=$F57),$I57,IF(AND($E57&lt;&gt;"",BA57&gt;=$E57),$H57,$G57))))</f>
        <v/>
      </c>
      <c r="BB58" s="0" t="str">
        <f aca="false">IF(BB57="","",IF($D57=0,$J57,IF(AND($F57&lt;&gt;"",BB57&gt;=$F57),$I57,IF(AND($E57&lt;&gt;"",BB57&gt;=$E57),$H57,$G57))))</f>
        <v/>
      </c>
      <c r="BC58" s="0" t="str">
        <f aca="false">IF(BC57="","",IF($D57=0,$J57,IF(AND($F57&lt;&gt;"",BC57&gt;=$F57),$I57,IF(AND($E57&lt;&gt;"",BC57&gt;=$E57),$H57,$G57))))</f>
        <v/>
      </c>
      <c r="BD58" s="0" t="str">
        <f aca="false">IF(BD57="","",IF($D57=0,$J57,IF(AND($F57&lt;&gt;"",BD57&gt;=$F57),$I57,IF(AND($E57&lt;&gt;"",BD57&gt;=$E57),$H57,$G57))))</f>
        <v/>
      </c>
      <c r="BE58" s="0" t="str">
        <f aca="false">IF(BE57="","",IF($D57=0,$J57,IF(AND($F57&lt;&gt;"",BE57&gt;=$F57),$I57,IF(AND($E57&lt;&gt;"",BE57&gt;=$E57),$H57,$G57))))</f>
        <v/>
      </c>
      <c r="BF58" s="0" t="str">
        <f aca="false">IF(BF57="","",IF($D57=0,$J57,IF(AND($F57&lt;&gt;"",BF57&gt;=$F57),$I57,IF(AND($E57&lt;&gt;"",BF57&gt;=$E57),$H57,$G57))))</f>
        <v/>
      </c>
      <c r="BG58" s="0" t="str">
        <f aca="false">IF(BG57="","",IF($D57=0,$J57,IF(AND($F57&lt;&gt;"",BG57&gt;=$F57),$I57,IF(AND($E57&lt;&gt;"",BG57&gt;=$E57),$H57,$G57))))</f>
        <v/>
      </c>
      <c r="BH58" s="0" t="str">
        <f aca="false">IF(BH57="","",IF($D57=0,$J57,IF(AND($F57&lt;&gt;"",BH57&gt;=$F57),$I57,IF(AND($E57&lt;&gt;"",BH57&gt;=$E57),$H57,$G57))))</f>
        <v/>
      </c>
      <c r="BI58" s="0" t="str">
        <f aca="false">IF(BI57="","",IF($D57=0,$J57,IF(AND($F57&lt;&gt;"",BI57&gt;=$F57),$I57,IF(AND($E57&lt;&gt;"",BI57&gt;=$E57),$H57,$G57))))</f>
        <v/>
      </c>
      <c r="BJ58" s="0" t="str">
        <f aca="false">IF(BJ57="","",IF($D57=0,$J57,IF(AND($F57&lt;&gt;"",BJ57&gt;=$F57),$I57,IF(AND($E57&lt;&gt;"",BJ57&gt;=$E57),$H57,$G57))))</f>
        <v/>
      </c>
      <c r="BK58" s="0" t="str">
        <f aca="false">IF(BK57="","",IF($D57=0,$J57,IF(AND($F57&lt;&gt;"",BK57&gt;=$F57),$I57,IF(AND($E57&lt;&gt;"",BK57&gt;=$E57),$H57,$G57))))</f>
        <v/>
      </c>
      <c r="BL58" s="0" t="str">
        <f aca="false">IF(BL57="","",IF($D57=0,$J57,IF(AND($F57&lt;&gt;"",BL57&gt;=$F57),$I57,IF(AND($E57&lt;&gt;"",BL57&gt;=$E57),$H57,$G57))))</f>
        <v/>
      </c>
      <c r="BM58" s="0" t="str">
        <f aca="false">IF(BM57="","",IF($D57=0,$J57,IF(AND($F57&lt;&gt;"",BM57&gt;=$F57),$I57,IF(AND($E57&lt;&gt;"",BM57&gt;=$E57),$H57,$G57))))</f>
        <v/>
      </c>
      <c r="BN58" s="0" t="str">
        <f aca="false">IF(BN57="","",IF($D57=0,$J57,IF(AND($F57&lt;&gt;"",BN57&gt;=$F57),$I57,IF(AND($E57&lt;&gt;"",BN57&gt;=$E57),$H57,$G57))))</f>
        <v/>
      </c>
      <c r="BO58" s="0" t="str">
        <f aca="false">IF(BO57="","",IF($D57=0,$J57,IF(AND($F57&lt;&gt;"",BO57&gt;=$F57),$I57,IF(AND($E57&lt;&gt;"",BO57&gt;=$E57),$H57,$G57))))</f>
        <v/>
      </c>
      <c r="BP58" s="0" t="str">
        <f aca="false">IF(BP57="","",IF($D57=0,$J57,IF(AND($F57&lt;&gt;"",BP57&gt;=$F57),$I57,IF(AND($E57&lt;&gt;"",BP57&gt;=$E57),$H57,$G57))))</f>
        <v/>
      </c>
      <c r="BQ58" s="0" t="str">
        <f aca="false">IF(BQ57="","",IF($D57=0,$J57,IF(AND($F57&lt;&gt;"",BQ57&gt;=$F57),$I57,IF(AND($E57&lt;&gt;"",BQ57&gt;=$E57),$H57,$G57))))</f>
        <v/>
      </c>
      <c r="BR58" s="0" t="str">
        <f aca="false">IF(BR57="","",IF($D57=0,$J57,IF(AND($F57&lt;&gt;"",BR57&gt;=$F57),$I57,IF(AND($E57&lt;&gt;"",BR57&gt;=$E57),$H57,$G57))))</f>
        <v/>
      </c>
      <c r="BS58" s="0" t="str">
        <f aca="false">IF(BS57="","",IF($D57=0,$J57,IF(AND($F57&lt;&gt;"",BS57&gt;=$F57),$I57,IF(AND($E57&lt;&gt;"",BS57&gt;=$E57),$H57,$G57))))</f>
        <v/>
      </c>
      <c r="BT58" s="0" t="str">
        <f aca="false">IF(BT57="","",IF($D57=0,$J57,IF(AND($F57&lt;&gt;"",BT57&gt;=$F57),$I57,IF(AND($E57&lt;&gt;"",BT57&gt;=$E57),$H57,$G57))))</f>
        <v/>
      </c>
      <c r="BU58" s="0" t="str">
        <f aca="false">IF(BU57="","",IF($D57=0,$J57,IF(AND($F57&lt;&gt;"",BU57&gt;=$F57),$I57,IF(AND($E57&lt;&gt;"",BU57&gt;=$E57),$H57,$G57))))</f>
        <v/>
      </c>
      <c r="BV58" s="0" t="str">
        <f aca="false">IF(BV57="","",IF($D57=0,$J57,IF(AND($F57&lt;&gt;"",BV57&gt;=$F57),$I57,IF(AND($E57&lt;&gt;"",BV57&gt;=$E57),$H57,$G57))))</f>
        <v/>
      </c>
      <c r="BW58" s="0" t="str">
        <f aca="false">IF(BW57="","",IF($D57=0,$J57,IF(AND($F57&lt;&gt;"",BW57&gt;=$F57),$I57,IF(AND($E57&lt;&gt;"",BW57&gt;=$E57),$H57,$G57))))</f>
        <v/>
      </c>
      <c r="BX58" s="0" t="str">
        <f aca="false">IF(BX57="","",IF($D57=0,$J57,IF(AND($F57&lt;&gt;"",BX57&gt;=$F57),$I57,IF(AND($E57&lt;&gt;"",BX57&gt;=$E57),$H57,$G57))))</f>
        <v/>
      </c>
      <c r="BY58" s="0" t="str">
        <f aca="false">IF(BY57="","",IF($D57=0,$J57,IF(AND($F57&lt;&gt;"",BY57&gt;=$F57),$I57,IF(AND($E57&lt;&gt;"",BY57&gt;=$E57),$H57,$G57))))</f>
        <v/>
      </c>
      <c r="BZ58" s="0" t="str">
        <f aca="false">IF(BZ57="","",IF($D57=0,$J57,IF(AND($F57&lt;&gt;"",BZ57&gt;=$F57),$I57,IF(AND($E57&lt;&gt;"",BZ57&gt;=$E57),$H57,$G57))))</f>
        <v/>
      </c>
      <c r="CA58" s="0" t="str">
        <f aca="false">IF(CA57="","",IF($D57=0,$J57,IF(AND($F57&lt;&gt;"",CA57&gt;=$F57),$I57,IF(AND($E57&lt;&gt;"",CA57&gt;=$E57),$H57,$G57))))</f>
        <v/>
      </c>
      <c r="CB58" s="0" t="str">
        <f aca="false">IF(CB57="","",IF($D57=0,$J57,IF(AND($F57&lt;&gt;"",CB57&gt;=$F57),$I57,IF(AND($E57&lt;&gt;"",CB57&gt;=$E57),$H57,$G57))))</f>
        <v/>
      </c>
      <c r="CC58" s="0" t="str">
        <f aca="false">IF(CC57="","",IF($D57=0,$J57,IF(AND($F57&lt;&gt;"",CC57&gt;=$F57),$I57,IF(AND($E57&lt;&gt;"",CC57&gt;=$E57),$H57,$G57))))</f>
        <v/>
      </c>
      <c r="CD58" s="0" t="str">
        <f aca="false">IF(CD57="","",IF($D57=0,$J57,IF(AND($F57&lt;&gt;"",CD57&gt;=$F57),$I57,IF(AND($E57&lt;&gt;"",CD57&gt;=$E57),$H57,$G57))))</f>
        <v/>
      </c>
      <c r="CE58" s="0" t="str">
        <f aca="false">IF(CE57="","",IF($D57=0,$J57,IF(AND($F57&lt;&gt;"",CE57&gt;=$F57),$I57,IF(AND($E57&lt;&gt;"",CE57&gt;=$E57),$H57,$G57))))</f>
        <v/>
      </c>
      <c r="CF58" s="0" t="str">
        <f aca="false">IF(CF57="","",IF($D57=0,$J57,IF(AND($F57&lt;&gt;"",CF57&gt;=$F57),$I57,IF(AND($E57&lt;&gt;"",CF57&gt;=$E57),$H57,$G57))))</f>
        <v/>
      </c>
      <c r="CG58" s="0" t="str">
        <f aca="false">IF(CG57="","",IF($D57=0,$J57,IF(AND($F57&lt;&gt;"",CG57&gt;=$F57),$I57,IF(AND($E57&lt;&gt;"",CG57&gt;=$E57),$H57,$G57))))</f>
        <v/>
      </c>
      <c r="CH58" s="0" t="str">
        <f aca="false">IF(CH57="","",IF($D57=0,$J57,IF(AND($F57&lt;&gt;"",CH57&gt;=$F57),$I57,IF(AND($E57&lt;&gt;"",CH57&gt;=$E57),$H57,$G57))))</f>
        <v/>
      </c>
      <c r="CI58" s="0" t="str">
        <f aca="false">IF(CI57="","",IF($D57=0,$J57,IF(AND($F57&lt;&gt;"",CI57&gt;=$F57),$I57,IF(AND($E57&lt;&gt;"",CI57&gt;=$E57),$H57,$G57))))</f>
        <v/>
      </c>
      <c r="CJ58" s="0" t="str">
        <f aca="false">IF(CJ57="","",IF($D57=0,$J57,IF(AND($F57&lt;&gt;"",CJ57&gt;=$F57),$I57,IF(AND($E57&lt;&gt;"",CJ57&gt;=$E57),$H57,$G57))))</f>
        <v/>
      </c>
      <c r="CK58" s="0" t="str">
        <f aca="false">IF(CK57="","",IF($D57=0,$J57,IF(AND($F57&lt;&gt;"",CK57&gt;=$F57),$I57,IF(AND($E57&lt;&gt;"",CK57&gt;=$E57),$H57,$G57))))</f>
        <v/>
      </c>
      <c r="CL58" s="0" t="str">
        <f aca="false">IF(CL57="","",IF($D57=0,$J57,IF(AND($F57&lt;&gt;"",CL57&gt;=$F57),$I57,IF(AND($E57&lt;&gt;"",CL57&gt;=$E57),$H57,$G57))))</f>
        <v/>
      </c>
      <c r="CM58" s="0" t="str">
        <f aca="false">IF(CM57="","",IF($D57=0,$J57,IF(AND($F57&lt;&gt;"",CM57&gt;=$F57),$I57,IF(AND($E57&lt;&gt;"",CM57&gt;=$E57),$H57,$G57))))</f>
        <v/>
      </c>
      <c r="CN58" s="0" t="str">
        <f aca="false">IF(CN57="","",IF($D57=0,$J57,IF(AND($F57&lt;&gt;"",CN57&gt;=$F57),$I57,IF(AND($E57&lt;&gt;"",CN57&gt;=$E57),$H57,$G57))))</f>
        <v/>
      </c>
      <c r="CO58" s="0" t="str">
        <f aca="false">IF(CO57="","",IF($D57=0,$J57,IF(AND($F57&lt;&gt;"",CO57&gt;=$F57),$I57,IF(AND($E57&lt;&gt;"",CO57&gt;=$E57),$H57,$G57))))</f>
        <v/>
      </c>
      <c r="CP58" s="0" t="str">
        <f aca="false">IF(CP57="","",IF($D57=0,$J57,IF(AND($F57&lt;&gt;"",CP57&gt;=$F57),$I57,IF(AND($E57&lt;&gt;"",CP57&gt;=$E57),$H57,$G57))))</f>
        <v/>
      </c>
      <c r="CQ58" s="0" t="str">
        <f aca="false">IF(CQ57="","",IF($D57=0,$J57,IF(AND($F57&lt;&gt;"",CQ57&gt;=$F57),$I57,IF(AND($E57&lt;&gt;"",CQ57&gt;=$E57),$H57,$G57))))</f>
        <v/>
      </c>
      <c r="CR58" s="0" t="str">
        <f aca="false">IF(CR57="","",IF($D57=0,$J57,IF(AND($F57&lt;&gt;"",CR57&gt;=$F57),$I57,IF(AND($E57&lt;&gt;"",CR57&gt;=$E57),$H57,$G57))))</f>
        <v/>
      </c>
      <c r="CS58" s="0" t="str">
        <f aca="false">IF(CS57="","",IF($D57=0,$J57,IF(AND($F57&lt;&gt;"",CS57&gt;=$F57),$I57,IF(AND($E57&lt;&gt;"",CS57&gt;=$E57),$H57,$G57))))</f>
        <v/>
      </c>
      <c r="CT58" s="0" t="str">
        <f aca="false">IF(CT57="","",IF($D57=0,$J57,IF(AND($F57&lt;&gt;"",CT57&gt;=$F57),$I57,IF(AND($E57&lt;&gt;"",CT57&gt;=$E57),$H57,$G57))))</f>
        <v/>
      </c>
      <c r="CU58" s="0" t="str">
        <f aca="false">IF(CU57="","",IF($D57=0,$J57,IF(AND($F57&lt;&gt;"",CU57&gt;=$F57),$I57,IF(AND($E57&lt;&gt;"",CU57&gt;=$E57),$H57,$G57))))</f>
        <v/>
      </c>
      <c r="CV58" s="0" t="str">
        <f aca="false">IF(CV57="","",IF($D57=0,$J57,IF(AND($F57&lt;&gt;"",CV57&gt;=$F57),$I57,IF(AND($E57&lt;&gt;"",CV57&gt;=$E57),$H57,$G57))))</f>
        <v/>
      </c>
      <c r="CW58" s="0" t="str">
        <f aca="false">IF(CW57="","",IF($D57=0,$J57,IF(AND($F57&lt;&gt;"",CW57&gt;=$F57),$I57,IF(AND($E57&lt;&gt;"",CW57&gt;=$E57),$H57,$G57))))</f>
        <v/>
      </c>
      <c r="CX58" s="0" t="str">
        <f aca="false">IF(CX57="","",IF($D57=0,$J57,IF(AND($F57&lt;&gt;"",CX57&gt;=$F57),$I57,IF(AND($E57&lt;&gt;"",CX57&gt;=$E57),$H57,$G57))))</f>
        <v/>
      </c>
      <c r="CY58" s="0" t="str">
        <f aca="false">IF(CY57="","",IF($D57=0,$J57,IF(AND($F57&lt;&gt;"",CY57&gt;=$F57),$I57,IF(AND($E57&lt;&gt;"",CY57&gt;=$E57),$H57,$G57))))</f>
        <v/>
      </c>
      <c r="CZ58" s="0" t="str">
        <f aca="false">IF(CZ57="","",IF($D57=0,$J57,IF(AND($F57&lt;&gt;"",CZ57&gt;=$F57),$I57,IF(AND($E57&lt;&gt;"",CZ57&gt;=$E57),$H57,$G57))))</f>
        <v/>
      </c>
      <c r="DA58" s="0" t="str">
        <f aca="false">IF(DA57="","",IF($D57=0,$J57,IF(AND($F57&lt;&gt;"",DA57&gt;=$F57),$I57,IF(AND($E57&lt;&gt;"",DA57&gt;=$E57),$H57,$G57))))</f>
        <v/>
      </c>
      <c r="DB58" s="0" t="str">
        <f aca="false">IF(DB57="","",IF($D57=0,$J57,IF(AND($F57&lt;&gt;"",DB57&gt;=$F57),$I57,IF(AND($E57&lt;&gt;"",DB57&gt;=$E57),$H57,$G57))))</f>
        <v/>
      </c>
      <c r="DC58" s="0" t="str">
        <f aca="false">IF(DC57="","",IF($D57=0,$J57,IF(AND($F57&lt;&gt;"",DC57&gt;=$F57),$I57,IF(AND($E57&lt;&gt;"",DC57&gt;=$E57),$H57,$G57))))</f>
        <v/>
      </c>
      <c r="DD58" s="0" t="str">
        <f aca="false">IF(DD57="","",IF($D57=0,$J57,IF(AND($F57&lt;&gt;"",DD57&gt;=$F57),$I57,IF(AND($E57&lt;&gt;"",DD57&gt;=$E57),$H57,$G57))))</f>
        <v/>
      </c>
      <c r="DE58" s="0" t="str">
        <f aca="false">IF(DE57="","",IF($D57=0,$J57,IF(AND($F57&lt;&gt;"",DE57&gt;=$F57),$I57,IF(AND($E57&lt;&gt;"",DE57&gt;=$E57),$H57,$G57))))</f>
        <v/>
      </c>
      <c r="DF58" s="0" t="str">
        <f aca="false">IF(DF57="","",IF($D57=0,$J57,IF(AND($F57&lt;&gt;"",DF57&gt;=$F57),$I57,IF(AND($E57&lt;&gt;"",DF57&gt;=$E57),$H57,$G57))))</f>
        <v/>
      </c>
      <c r="DG58" s="0" t="str">
        <f aca="false">IF(DG57="","",IF($D57=0,$J57,IF(AND($F57&lt;&gt;"",DG57&gt;=$F57),$I57,IF(AND($E57&lt;&gt;"",DG57&gt;=$E57),$H57,$G57))))</f>
        <v/>
      </c>
      <c r="DH58" s="0" t="str">
        <f aca="false">IF(DH57="","",IF($D57=0,$J57,IF(AND($F57&lt;&gt;"",DH57&gt;=$F57),$I57,IF(AND($E57&lt;&gt;"",DH57&gt;=$E57),$H57,$G57))))</f>
        <v/>
      </c>
      <c r="DI58" s="0" t="str">
        <f aca="false">IF(DI57="","",IF($D57=0,$J57,IF(AND($F57&lt;&gt;"",DI57&gt;=$F57),$I57,IF(AND($E57&lt;&gt;"",DI57&gt;=$E57),$H57,$G57))))</f>
        <v/>
      </c>
      <c r="DJ58" s="0" t="str">
        <f aca="false">IF(DJ57="","",IF($D57=0,$J57,IF(AND($F57&lt;&gt;"",DJ57&gt;=$F57),$I57,IF(AND($E57&lt;&gt;"",DJ57&gt;=$E57),$H57,$G57))))</f>
        <v/>
      </c>
      <c r="DK58" s="0" t="str">
        <f aca="false">IF(DK57="","",IF($D57=0,$J57,IF(AND($F57&lt;&gt;"",DK57&gt;=$F57),$I57,IF(AND($E57&lt;&gt;"",DK57&gt;=$E57),$H57,$G57))))</f>
        <v/>
      </c>
      <c r="DL58" s="0" t="str">
        <f aca="false">IF(DL57="","",IF($D57=0,$J57,IF(AND($F57&lt;&gt;"",DL57&gt;=$F57),$I57,IF(AND($E57&lt;&gt;"",DL57&gt;=$E57),$H57,$G57))))</f>
        <v/>
      </c>
      <c r="DM58" s="0" t="str">
        <f aca="false">IF(DM57="","",IF($D57=0,$J57,IF(AND($F57&lt;&gt;"",DM57&gt;=$F57),$I57,IF(AND($E57&lt;&gt;"",DM57&gt;=$E57),$H57,$G57))))</f>
        <v/>
      </c>
      <c r="DN58" s="0" t="str">
        <f aca="false">IF(DN57="","",IF($D57=0,$J57,IF(AND($F57&lt;&gt;"",DN57&gt;=$F57),$I57,IF(AND($E57&lt;&gt;"",DN57&gt;=$E57),$H57,$G57))))</f>
        <v/>
      </c>
      <c r="DO58" s="0" t="str">
        <f aca="false">IF(DO57="","",IF($D57=0,$J57,IF(AND($F57&lt;&gt;"",DO57&gt;=$F57),$I57,IF(AND($E57&lt;&gt;"",DO57&gt;=$E57),$H57,$G57))))</f>
        <v/>
      </c>
      <c r="DP58" s="0" t="str">
        <f aca="false">IF(DP57="","",IF($D57=0,$J57,IF(AND($F57&lt;&gt;"",DP57&gt;=$F57),$I57,IF(AND($E57&lt;&gt;"",DP57&gt;=$E57),$H57,$G57))))</f>
        <v/>
      </c>
      <c r="DQ58" s="0" t="str">
        <f aca="false">IF(DQ57="","",IF($D57=0,$J57,IF(AND($F57&lt;&gt;"",DQ57&gt;=$F57),$I57,IF(AND($E57&lt;&gt;"",DQ57&gt;=$E57),$H57,$G57))))</f>
        <v/>
      </c>
      <c r="DR58" s="0" t="str">
        <f aca="false">IF(DR57="","",IF($D57=0,$J57,IF(AND($F57&lt;&gt;"",DR57&gt;=$F57),$I57,IF(AND($E57&lt;&gt;"",DR57&gt;=$E57),$H57,$G57))))</f>
        <v/>
      </c>
      <c r="DS58" s="0" t="str">
        <f aca="false">IF(DS57="","",IF($D57=0,$J57,IF(AND($F57&lt;&gt;"",DS57&gt;=$F57),$I57,IF(AND($E57&lt;&gt;"",DS57&gt;=$E57),$H57,$G57))))</f>
        <v/>
      </c>
      <c r="DT58" s="0" t="str">
        <f aca="false">IF(DT57="","",IF($D57=0,$J57,IF(AND($F57&lt;&gt;"",DT57&gt;=$F57),$I57,IF(AND($E57&lt;&gt;"",DT57&gt;=$E57),$H57,$G57))))</f>
        <v/>
      </c>
      <c r="DU58" s="0" t="str">
        <f aca="false">IF(DU57="","",IF($D57=0,$J57,IF(AND($F57&lt;&gt;"",DU57&gt;=$F57),$I57,IF(AND($E57&lt;&gt;"",DU57&gt;=$E57),$H57,$G57))))</f>
        <v/>
      </c>
      <c r="DV58" s="0" t="str">
        <f aca="false">IF(DV57="","",IF($D57=0,$J57,IF(AND($F57&lt;&gt;"",DV57&gt;=$F57),$I57,IF(AND($E57&lt;&gt;"",DV57&gt;=$E57),$H57,$G57))))</f>
        <v/>
      </c>
      <c r="DW58" s="0" t="str">
        <f aca="false">IF(DW57="","",IF($D57=0,$J57,IF(AND($F57&lt;&gt;"",DW57&gt;=$F57),$I57,IF(AND($E57&lt;&gt;"",DW57&gt;=$E57),$H57,$G57))))</f>
        <v/>
      </c>
      <c r="DX58" s="0" t="str">
        <f aca="false">IF(DX57="","",IF($D57=0,$J57,IF(AND($F57&lt;&gt;"",DX57&gt;=$F57),$I57,IF(AND($E57&lt;&gt;"",DX57&gt;=$E57),$H57,$G57))))</f>
        <v/>
      </c>
      <c r="DY58" s="0" t="str">
        <f aca="false">IF(DY57="","",IF($D57=0,$J57,IF(AND($F57&lt;&gt;"",DY57&gt;=$F57),$I57,IF(AND($E57&lt;&gt;"",DY57&gt;=$E57),$H57,$G57))))</f>
        <v/>
      </c>
      <c r="DZ58" s="0" t="str">
        <f aca="false">IF(DZ57="","",IF($D57=0,$J57,IF(AND($F57&lt;&gt;"",DZ57&gt;=$F57),$I57,IF(AND($E57&lt;&gt;"",DZ57&gt;=$E57),$H57,$G57))))</f>
        <v/>
      </c>
      <c r="EA58" s="0" t="str">
        <f aca="false">IF(EA57="","",IF($D57=0,$J57,IF(AND($F57&lt;&gt;"",EA57&gt;=$F57),$I57,IF(AND($E57&lt;&gt;"",EA57&gt;=$E57),$H57,$G57))))</f>
        <v/>
      </c>
      <c r="EB58" s="0" t="str">
        <f aca="false">IF(EB57="","",IF($D57=0,$J57,IF(AND($F57&lt;&gt;"",EB57&gt;=$F57),$I57,IF(AND($E57&lt;&gt;"",EB57&gt;=$E57),$H57,$G57))))</f>
        <v/>
      </c>
      <c r="EC58" s="0" t="str">
        <f aca="false">IF(EC57="","",IF($D57=0,$J57,IF(AND($F57&lt;&gt;"",EC57&gt;=$F57),$I57,IF(AND($E57&lt;&gt;"",EC57&gt;=$E57),$H57,$G57))))</f>
        <v/>
      </c>
      <c r="ED58" s="0" t="str">
        <f aca="false">IF(ED57="","",IF($D57=0,$J57,IF(AND($F57&lt;&gt;"",ED57&gt;=$F57),$I57,IF(AND($E57&lt;&gt;"",ED57&gt;=$E57),$H57,$G57))))</f>
        <v/>
      </c>
      <c r="EE58" s="0" t="str">
        <f aca="false">IF(EE57="","",IF($D57=0,$J57,IF(AND($F57&lt;&gt;"",EE57&gt;=$F57),$I57,IF(AND($E57&lt;&gt;"",EE57&gt;=$E57),$H57,$G57))))</f>
        <v/>
      </c>
      <c r="EF58" s="0" t="str">
        <f aca="false">IF(EF57="","",IF($D57=0,$J57,IF(AND($F57&lt;&gt;"",EF57&gt;=$F57),$I57,IF(AND($E57&lt;&gt;"",EF57&gt;=$E57),$H57,$G57))))</f>
        <v/>
      </c>
      <c r="EG58" s="0" t="str">
        <f aca="false">IF(EG57="","",IF($D57=0,$J57,IF(AND($F57&lt;&gt;"",EG57&gt;=$F57),$I57,IF(AND($E57&lt;&gt;"",EG57&gt;=$E57),$H57,$G57))))</f>
        <v/>
      </c>
      <c r="EH58" s="0" t="str">
        <f aca="false">IF(EH57="","",IF($D57=0,$J57,IF(AND($F57&lt;&gt;"",EH57&gt;=$F57),$I57,IF(AND($E57&lt;&gt;"",EH57&gt;=$E57),$H57,$G57))))</f>
        <v/>
      </c>
      <c r="EI58" s="0" t="str">
        <f aca="false">IF(EI57="","",IF($D57=0,$J57,IF(AND($F57&lt;&gt;"",EI57&gt;=$F57),$I57,IF(AND($E57&lt;&gt;"",EI57&gt;=$E57),$H57,$G57))))</f>
        <v/>
      </c>
      <c r="EJ58" s="0" t="str">
        <f aca="false">IF(EJ57="","",IF($D57=0,$J57,IF(AND($F57&lt;&gt;"",EJ57&gt;=$F57),$I57,IF(AND($E57&lt;&gt;"",EJ57&gt;=$E57),$H57,$G57))))</f>
        <v/>
      </c>
      <c r="EK58" s="0" t="str">
        <f aca="false">IF(EK57="","",IF($D57=0,$J57,IF(AND($F57&lt;&gt;"",EK57&gt;=$F57),$I57,IF(AND($E57&lt;&gt;"",EK57&gt;=$E57),$H57,$G57))))</f>
        <v/>
      </c>
      <c r="EL58" s="0" t="str">
        <f aca="false">IF(EL57="","",IF($D57=0,$J57,IF(AND($F57&lt;&gt;"",EL57&gt;=$F57),$I57,IF(AND($E57&lt;&gt;"",EL57&gt;=$E57),$H57,$G57))))</f>
        <v/>
      </c>
      <c r="EM58" s="0" t="str">
        <f aca="false">IF(EM57="","",IF($D57=0,$J57,IF(AND($F57&lt;&gt;"",EM57&gt;=$F57),$I57,IF(AND($E57&lt;&gt;"",EM57&gt;=$E57),$H57,$G57))))</f>
        <v/>
      </c>
      <c r="EN58" s="0" t="str">
        <f aca="false">IF(EN57="","",IF($D57=0,$J57,IF(AND($F57&lt;&gt;"",EN57&gt;=$F57),$I57,IF(AND($E57&lt;&gt;"",EN57&gt;=$E57),$H57,$G57))))</f>
        <v/>
      </c>
      <c r="EO58" s="0" t="str">
        <f aca="false">IF(EO57="","",IF($D57=0,$J57,IF(AND($F57&lt;&gt;"",EO57&gt;=$F57),$I57,IF(AND($E57&lt;&gt;"",EO57&gt;=$E57),$H57,$G57))))</f>
        <v/>
      </c>
      <c r="EP58" s="0" t="str">
        <f aca="false">IF(EP57="","",IF($D57=0,$J57,IF(AND($F57&lt;&gt;"",EP57&gt;=$F57),$I57,IF(AND($E57&lt;&gt;"",EP57&gt;=$E57),$H57,$G57))))</f>
        <v/>
      </c>
      <c r="EQ58" s="0" t="str">
        <f aca="false">IF(EQ57="","",IF($D57=0,$J57,IF(AND($F57&lt;&gt;"",EQ57&gt;=$F57),$I57,IF(AND($E57&lt;&gt;"",EQ57&gt;=$E57),$H57,$G57))))</f>
        <v/>
      </c>
      <c r="ER58" s="0" t="str">
        <f aca="false">IF(ER57="","",IF($D57=0,$J57,IF(AND($F57&lt;&gt;"",ER57&gt;=$F57),$I57,IF(AND($E57&lt;&gt;"",ER57&gt;=$E57),$H57,$G57))))</f>
        <v/>
      </c>
      <c r="ES58" s="0" t="str">
        <f aca="false">IF(ES57="","",IF($D57=0,$J57,IF(AND($F57&lt;&gt;"",ES57&gt;=$F57),$I57,IF(AND($E57&lt;&gt;"",ES57&gt;=$E57),$H57,$G57))))</f>
        <v/>
      </c>
      <c r="ET58" s="0" t="str">
        <f aca="false">IF(ET57="","",IF($D57=0,$J57,IF(AND($F57&lt;&gt;"",ET57&gt;=$F57),$I57,IF(AND($E57&lt;&gt;"",ET57&gt;=$E57),$H57,$G57))))</f>
        <v/>
      </c>
      <c r="EU58" s="0" t="str">
        <f aca="false">IF(EU57="","",IF($D57=0,$J57,IF(AND($F57&lt;&gt;"",EU57&gt;=$F57),$I57,IF(AND($E57&lt;&gt;"",EU57&gt;=$E57),$H57,$G57))))</f>
        <v/>
      </c>
      <c r="EV58" s="0" t="str">
        <f aca="false">IF(EV57="","",IF($D57=0,$J57,IF(AND($F57&lt;&gt;"",EV57&gt;=$F57),$I57,IF(AND($E57&lt;&gt;"",EV57&gt;=$E57),$H57,$G57))))</f>
        <v/>
      </c>
      <c r="EW58" s="0" t="str">
        <f aca="false">IF(EW57="","",IF($D57=0,$J57,IF(AND($F57&lt;&gt;"",EW57&gt;=$F57),$I57,IF(AND($E57&lt;&gt;"",EW57&gt;=$E57),$H57,$G57))))</f>
        <v/>
      </c>
      <c r="EX58" s="0" t="str">
        <f aca="false">IF(EX57="","",IF($D57=0,$J57,IF(AND($F57&lt;&gt;"",EX57&gt;=$F57),$I57,IF(AND($E57&lt;&gt;"",EX57&gt;=$E57),$H57,$G57))))</f>
        <v/>
      </c>
      <c r="EY58" s="0" t="str">
        <f aca="false">IF(EY57="","",IF($D57=0,$J57,IF(AND($F57&lt;&gt;"",EY57&gt;=$F57),$I57,IF(AND($E57&lt;&gt;"",EY57&gt;=$E57),$H57,$G57))))</f>
        <v/>
      </c>
      <c r="EZ58" s="0" t="str">
        <f aca="false">IF(EZ57="","",IF($D57=0,$J57,IF(AND($F57&lt;&gt;"",EZ57&gt;=$F57),$I57,IF(AND($E57&lt;&gt;"",EZ57&gt;=$E57),$H57,$G57))))</f>
        <v/>
      </c>
      <c r="FA58" s="0" t="str">
        <f aca="false">IF(FA57="","",IF($D57=0,$J57,IF(AND($F57&lt;&gt;"",FA57&gt;=$F57),$I57,IF(AND($E57&lt;&gt;"",FA57&gt;=$E57),$H57,$G57))))</f>
        <v/>
      </c>
      <c r="FB58" s="0" t="str">
        <f aca="false">IF(FB57="","",IF($D57=0,$J57,IF(AND($F57&lt;&gt;"",FB57&gt;=$F57),$I57,IF(AND($E57&lt;&gt;"",FB57&gt;=$E57),$H57,$G57))))</f>
        <v/>
      </c>
      <c r="FC58" s="0" t="str">
        <f aca="false">IF(FC57="","",IF($D57=0,$J57,IF(AND($F57&lt;&gt;"",FC57&gt;=$F57),$I57,IF(AND($E57&lt;&gt;"",FC57&gt;=$E57),$H57,$G57))))</f>
        <v/>
      </c>
      <c r="FD58" s="0" t="str">
        <f aca="false">IF(FD57="","",IF($D57=0,$J57,IF(AND($F57&lt;&gt;"",FD57&gt;=$F57),$I57,IF(AND($E57&lt;&gt;"",FD57&gt;=$E57),$H57,$G57))))</f>
        <v/>
      </c>
      <c r="FE58" s="0" t="str">
        <f aca="false">IF(FE57="","",IF($D57=0,$J57,IF(AND($F57&lt;&gt;"",FE57&gt;=$F57),$I57,IF(AND($E57&lt;&gt;"",FE57&gt;=$E57),$H57,$G57))))</f>
        <v/>
      </c>
      <c r="FF58" s="0" t="str">
        <f aca="false">IF(FF57="","",IF($D57=0,$J57,IF(AND($F57&lt;&gt;"",FF57&gt;=$F57),$I57,IF(AND($E57&lt;&gt;"",FF57&gt;=$E57),$H57,$G57))))</f>
        <v/>
      </c>
      <c r="FG58" s="0" t="str">
        <f aca="false">IF(FG57="","",IF($D57=0,$J57,IF(AND($F57&lt;&gt;"",FG57&gt;=$F57),$I57,IF(AND($E57&lt;&gt;"",FG57&gt;=$E57),$H57,$G57))))</f>
        <v/>
      </c>
      <c r="FH58" s="0" t="str">
        <f aca="false">IF(FH57="","",IF($D57=0,$J57,IF(AND($F57&lt;&gt;"",FH57&gt;=$F57),$I57,IF(AND($E57&lt;&gt;"",FH57&gt;=$E57),$H57,$G57))))</f>
        <v/>
      </c>
      <c r="FI58" s="0" t="str">
        <f aca="false">IF(FI57="","",IF($D57=0,$J57,IF(AND($F57&lt;&gt;"",FI57&gt;=$F57),$I57,IF(AND($E57&lt;&gt;"",FI57&gt;=$E57),$H57,$G57))))</f>
        <v/>
      </c>
      <c r="FJ58" s="0" t="str">
        <f aca="false">IF(FJ57="","",IF($D57=0,$J57,IF(AND($F57&lt;&gt;"",FJ57&gt;=$F57),$I57,IF(AND($E57&lt;&gt;"",FJ57&gt;=$E57),$H57,$G57))))</f>
        <v/>
      </c>
      <c r="FK58" s="0" t="str">
        <f aca="false">IF(FK57="","",IF($D57=0,$J57,IF(AND($F57&lt;&gt;"",FK57&gt;=$F57),$I57,IF(AND($E57&lt;&gt;"",FK57&gt;=$E57),$H57,$G57))))</f>
        <v/>
      </c>
      <c r="FL58" s="0" t="str">
        <f aca="false">IF(FL57="","",IF($D57=0,$J57,IF(AND($F57&lt;&gt;"",FL57&gt;=$F57),$I57,IF(AND($E57&lt;&gt;"",FL57&gt;=$E57),$H57,$G57))))</f>
        <v/>
      </c>
      <c r="FM58" s="0" t="str">
        <f aca="false">IF(FM57="","",IF($D57=0,$J57,IF(AND($F57&lt;&gt;"",FM57&gt;=$F57),$I57,IF(AND($E57&lt;&gt;"",FM57&gt;=$E57),$H57,$G57))))</f>
        <v/>
      </c>
      <c r="FN58" s="0" t="str">
        <f aca="false">IF(FN57="","",IF($D57=0,$J57,IF(AND($F57&lt;&gt;"",FN57&gt;=$F57),$I57,IF(AND($E57&lt;&gt;"",FN57&gt;=$E57),$H57,$G57))))</f>
        <v/>
      </c>
      <c r="FO58" s="0" t="str">
        <f aca="false">IF(FO57="","",IF($D57=0,$J57,IF(AND($F57&lt;&gt;"",FO57&gt;=$F57),$I57,IF(AND($E57&lt;&gt;"",FO57&gt;=$E57),$H57,$G57))))</f>
        <v/>
      </c>
      <c r="FP58" s="0" t="str">
        <f aca="false">IF(FP57="","",IF($D57=0,$J57,IF(AND($F57&lt;&gt;"",FP57&gt;=$F57),$I57,IF(AND($E57&lt;&gt;"",FP57&gt;=$E57),$H57,$G57))))</f>
        <v/>
      </c>
      <c r="FQ58" s="0" t="str">
        <f aca="false">IF(FQ57="","",IF($D57=0,$J57,IF(AND($F57&lt;&gt;"",FQ57&gt;=$F57),$I57,IF(AND($E57&lt;&gt;"",FQ57&gt;=$E57),$H57,$G57))))</f>
        <v/>
      </c>
      <c r="FR58" s="0" t="str">
        <f aca="false">IF(FR57="","",IF($D57=0,$J57,IF(AND($F57&lt;&gt;"",FR57&gt;=$F57),$I57,IF(AND($E57&lt;&gt;"",FR57&gt;=$E57),$H57,$G57))))</f>
        <v/>
      </c>
      <c r="FS58" s="0" t="str">
        <f aca="false">IF(FS57="","",IF($D57=0,$J57,IF(AND($F57&lt;&gt;"",FS57&gt;=$F57),$I57,IF(AND($E57&lt;&gt;"",FS57&gt;=$E57),$H57,$G57))))</f>
        <v/>
      </c>
      <c r="FT58" s="0" t="str">
        <f aca="false">IF(FT57="","",IF($D57=0,$J57,IF(AND($F57&lt;&gt;"",FT57&gt;=$F57),$I57,IF(AND($E57&lt;&gt;"",FT57&gt;=$E57),$H57,$G57))))</f>
        <v/>
      </c>
      <c r="FU58" s="0" t="str">
        <f aca="false">IF(FU57="","",IF($D57=0,$J57,IF(AND($F57&lt;&gt;"",FU57&gt;=$F57),$I57,IF(AND($E57&lt;&gt;"",FU57&gt;=$E57),$H57,$G57))))</f>
        <v/>
      </c>
      <c r="FV58" s="0" t="str">
        <f aca="false">IF(FV57="","",IF($D57=0,$J57,IF(AND($F57&lt;&gt;"",FV57&gt;=$F57),$I57,IF(AND($E57&lt;&gt;"",FV57&gt;=$E57),$H57,$G57))))</f>
        <v/>
      </c>
      <c r="FW58" s="0" t="str">
        <f aca="false">IF(FW57="","",IF($D57=0,$J57,IF(AND($F57&lt;&gt;"",FW57&gt;=$F57),$I57,IF(AND($E57&lt;&gt;"",FW57&gt;=$E57),$H57,$G57))))</f>
        <v/>
      </c>
      <c r="FX58" s="0" t="str">
        <f aca="false">IF(FX57="","",IF($D57=0,$J57,IF(AND($F57&lt;&gt;"",FX57&gt;=$F57),$I57,IF(AND($E57&lt;&gt;"",FX57&gt;=$E57),$H57,$G57))))</f>
        <v/>
      </c>
      <c r="FY58" s="0" t="str">
        <f aca="false">IF(FY57="","",IF($D57=0,$J57,IF(AND($F57&lt;&gt;"",FY57&gt;=$F57),$I57,IF(AND($E57&lt;&gt;"",FY57&gt;=$E57),$H57,$G57))))</f>
        <v/>
      </c>
      <c r="FZ58" s="0" t="str">
        <f aca="false">IF(FZ57="","",IF($D57=0,$J57,IF(AND($F57&lt;&gt;"",FZ57&gt;=$F57),$I57,IF(AND($E57&lt;&gt;"",FZ57&gt;=$E57),$H57,$G57))))</f>
        <v/>
      </c>
      <c r="GA58" s="0" t="str">
        <f aca="false">IF(GA57="","",IF($D57=0,$J57,IF(AND($F57&lt;&gt;"",GA57&gt;=$F57),$I57,IF(AND($E57&lt;&gt;"",GA57&gt;=$E57),$H57,$G57))))</f>
        <v/>
      </c>
      <c r="GB58" s="0" t="str">
        <f aca="false">IF(GB57="","",IF($D57=0,$J57,IF(AND($F57&lt;&gt;"",GB57&gt;=$F57),$I57,IF(AND($E57&lt;&gt;"",GB57&gt;=$E57),$H57,$G57))))</f>
        <v/>
      </c>
      <c r="GC58" s="0" t="str">
        <f aca="false">IF(GC57="","",IF($D57=0,$J57,IF(AND($F57&lt;&gt;"",GC57&gt;=$F57),$I57,IF(AND($E57&lt;&gt;"",GC57&gt;=$E57),$H57,$G57))))</f>
        <v/>
      </c>
      <c r="GD58" s="0" t="str">
        <f aca="false">IF(GD57="","",IF($D57=0,$J57,IF(AND($F57&lt;&gt;"",GD57&gt;=$F57),$I57,IF(AND($E57&lt;&gt;"",GD57&gt;=$E57),$H57,$G57))))</f>
        <v/>
      </c>
      <c r="GE58" s="0" t="str">
        <f aca="false">IF(GE57="","",IF($D57=0,$J57,IF(AND($F57&lt;&gt;"",GE57&gt;=$F57),$I57,IF(AND($E57&lt;&gt;"",GE57&gt;=$E57),$H57,$G57))))</f>
        <v/>
      </c>
      <c r="GF58" s="0" t="str">
        <f aca="false">IF(GF57="","",IF($D57=0,$J57,IF(AND($F57&lt;&gt;"",GF57&gt;=$F57),$I57,IF(AND($E57&lt;&gt;"",GF57&gt;=$E57),$H57,$G57))))</f>
        <v/>
      </c>
      <c r="GG58" s="0" t="str">
        <f aca="false">IF(GG57="","",IF($D57=0,$J57,IF(AND($F57&lt;&gt;"",GG57&gt;=$F57),$I57,IF(AND($E57&lt;&gt;"",GG57&gt;=$E57),$H57,$G57))))</f>
        <v/>
      </c>
      <c r="GH58" s="0" t="str">
        <f aca="false">IF(GH57="","",IF($D57=0,$J57,IF(AND($F57&lt;&gt;"",GH57&gt;=$F57),$I57,IF(AND($E57&lt;&gt;"",GH57&gt;=$E57),$H57,$G57))))</f>
        <v/>
      </c>
      <c r="GI58" s="0" t="str">
        <f aca="false">IF(GI57="","",IF($D57=0,$J57,IF(AND($F57&lt;&gt;"",GI57&gt;=$F57),$I57,IF(AND($E57&lt;&gt;"",GI57&gt;=$E57),$H57,$G57))))</f>
        <v/>
      </c>
    </row>
    <row r="59" customFormat="false" ht="15" hidden="false" customHeight="false" outlineLevel="0" collapsed="false">
      <c r="K59" s="0" t="s">
        <v>264</v>
      </c>
      <c r="L59" s="0" t="n">
        <f aca="false">IF(L57="",0,IF(AND(L58=Milestones!$AB$20,L57&gt;=SchemeStart),IF(AND(Milestones!$AB$20="FT",Milestones!$AA$20=FT_Y5,L57&lt;PolicyEff),1,Milestones!$AC$20),0))</f>
        <v>0</v>
      </c>
      <c r="M59" s="0" t="n">
        <f aca="false">IF(M57="",0,IF(AND(M58=Milestones!$AB$21,M57&gt;=SchemeStart),IF(AND(Milestones!$AB$21="FT",Milestones!$AA$21=FT_Y5,M57&lt;PolicyEff),1,Milestones!$AC$21),0))</f>
        <v>0</v>
      </c>
      <c r="N59" s="0" t="n">
        <f aca="false">IF(N57="",0,IF(AND(N58=Milestones!$AB$22,N57&gt;=SchemeStart),IF(AND(Milestones!$AB$22="FT",Milestones!$AA$22=FT_Y5,N57&lt;PolicyEff),1,Milestones!$AC$22),0))</f>
        <v>0</v>
      </c>
      <c r="O59" s="0" t="n">
        <f aca="false">IF(O57="",0,IF(AND(O58=Milestones!$AB$23,O57&gt;=SchemeStart),IF(AND(Milestones!$AB$23="FT",Milestones!$AA$23=FT_Y5,O57&lt;PolicyEff),1,Milestones!$AC$23),0))</f>
        <v>0</v>
      </c>
      <c r="P59" s="0" t="n">
        <f aca="false">IF(P57="",0,IF(AND(P58=Milestones!$AB$24,P57&gt;=SchemeStart),IF(AND(Milestones!$AB$24="FT",Milestones!$AA$24=FT_Y5,P57&lt;PolicyEff),1,Milestones!$AC$24),0))</f>
        <v>0</v>
      </c>
      <c r="Q59" s="0" t="n">
        <f aca="false">IF(Q57="",0,IF(AND(Q58=Milestones!$AB$25,Q57&gt;=SchemeStart),IF(AND(Milestones!$AB$25="FT",Milestones!$AA$25=FT_Y5,Q57&lt;PolicyEff),1,Milestones!$AC$25),0))</f>
        <v>0</v>
      </c>
      <c r="R59" s="0" t="n">
        <f aca="false">IF(R57="",0,IF(AND(R58=Milestones!$AB$26,R57&gt;=SchemeStart),IF(AND(Milestones!$AB$26="FT",Milestones!$AA$26=FT_Y5,R57&lt;PolicyEff),1,Milestones!$AC$26),0))</f>
        <v>0</v>
      </c>
      <c r="S59" s="0" t="n">
        <f aca="false">IF(S57="",0,IF(AND(S58=Milestones!$AB$27,S57&gt;=SchemeStart),IF(AND(Milestones!$AB$27="FT",Milestones!$AA$27=FT_Y5,S57&lt;PolicyEff),1,Milestones!$AC$27),0))</f>
        <v>0</v>
      </c>
      <c r="T59" s="0" t="n">
        <f aca="false">IF(T57="",0,IF(AND(T58=Milestones!$AB$28,T57&gt;=SchemeStart),IF(AND(Milestones!$AB$28="FT",Milestones!$AA$28=FT_Y5,T57&lt;PolicyEff),1,Milestones!$AC$28),0))</f>
        <v>0</v>
      </c>
      <c r="U59" s="0" t="n">
        <f aca="false">IF(U57="",0,IF(AND(U58=Milestones!$AB$29,U57&gt;=SchemeStart),IF(AND(Milestones!$AB$29="FT",Milestones!$AA$29=FT_Y5,U57&lt;PolicyEff),1,Milestones!$AC$29),0))</f>
        <v>0</v>
      </c>
      <c r="V59" s="0" t="n">
        <f aca="false">IF(V57="",0,IF(AND(V58=Milestones!$AB$30,V57&gt;=SchemeStart),IF(AND(Milestones!$AB$30="FT",Milestones!$AA$30=FT_Y5,V57&lt;PolicyEff),1,Milestones!$AC$30),0))</f>
        <v>0</v>
      </c>
      <c r="W59" s="0" t="n">
        <f aca="false">IF(W57="",0,IF(AND(W58=Milestones!$AB$31,W57&gt;=SchemeStart),IF(AND(Milestones!$AB$31="FT",Milestones!$AA$31=FT_Y5,W57&lt;PolicyEff),1,Milestones!$AC$31),0))</f>
        <v>0</v>
      </c>
      <c r="X59" s="0" t="n">
        <f aca="false">IF(X57="",0,IF(AND(X58=Milestones!$AB$32,X57&gt;=SchemeStart),IF(AND(Milestones!$AB$32="FT",Milestones!$AA$32=FT_Y5,X57&lt;PolicyEff),1,Milestones!$AC$32),0))</f>
        <v>0</v>
      </c>
      <c r="Y59" s="0" t="n">
        <f aca="false">IF(Y57="",0,IF(AND(Y58=Milestones!$AB$33,Y57&gt;=SchemeStart),IF(AND(Milestones!$AB$33="FT",Milestones!$AA$33=FT_Y5,Y57&lt;PolicyEff),1,Milestones!$AC$33),0))</f>
        <v>0</v>
      </c>
      <c r="Z59" s="0" t="n">
        <f aca="false">IF(Z57="",0,IF(AND(Z58=Milestones!$AB$34,Z57&gt;=SchemeStart),IF(AND(Milestones!$AB$34="FT",Milestones!$AA$34=FT_Y5,Z57&lt;PolicyEff),1,Milestones!$AC$34),0))</f>
        <v>0</v>
      </c>
      <c r="AA59" s="0" t="n">
        <f aca="false">IF(AA57="",0,IF(AND(AA58=Milestones!$AB$35,AA57&gt;=SchemeStart),IF(AND(Milestones!$AB$35="FT",Milestones!$AA$35=FT_Y5,AA57&lt;PolicyEff),1,Milestones!$AC$35),0))</f>
        <v>0</v>
      </c>
      <c r="AB59" s="0" t="n">
        <f aca="false">IF(AB57="",0,IF(AND(AB58=Milestones!$AB$36,AB57&gt;=SchemeStart),IF(AND(Milestones!$AB$36="FT",Milestones!$AA$36=FT_Y5,AB57&lt;PolicyEff),1,Milestones!$AC$36),0))</f>
        <v>0</v>
      </c>
      <c r="AC59" s="0" t="n">
        <f aca="false">IF(AC57="",0,IF(AND(AC58=Milestones!$AB$37,AC57&gt;=SchemeStart),IF(AND(Milestones!$AB$37="FT",Milestones!$AA$37=FT_Y5,AC57&lt;PolicyEff),1,Milestones!$AC$37),0))</f>
        <v>0</v>
      </c>
      <c r="AD59" s="0" t="n">
        <f aca="false">IF(AD57="",0,IF(AND(AD58=Milestones!$AB$38,AD57&gt;=SchemeStart),IF(AND(Milestones!$AB$38="FT",Milestones!$AA$38=FT_Y5,AD57&lt;PolicyEff),1,Milestones!$AC$38),0))</f>
        <v>0</v>
      </c>
      <c r="AE59" s="0" t="n">
        <f aca="false">IF(AE57="",0,IF(AND(AE58=Milestones!$AB$39,AE57&gt;=SchemeStart),IF(AND(Milestones!$AB$39="FT",Milestones!$AA$39=FT_Y5,AE57&lt;PolicyEff),1,Milestones!$AC$39),0))</f>
        <v>0</v>
      </c>
      <c r="AF59" s="0" t="n">
        <f aca="false">IF(AF57="",0,IF(AND(AF58=Milestones!$AB$40,AF57&gt;=SchemeStart),IF(AND(Milestones!$AB$40="FT",Milestones!$AA$40=FT_Y5,AF57&lt;PolicyEff),1,Milestones!$AC$40),0))</f>
        <v>0</v>
      </c>
      <c r="AG59" s="0" t="n">
        <f aca="false">IF(AG57="",0,IF(AND(AG58=Milestones!$AB$41,AG57&gt;=SchemeStart),IF(AND(Milestones!$AB$41="FT",Milestones!$AA$41=FT_Y5,AG57&lt;PolicyEff),1,Milestones!$AC$41),0))</f>
        <v>0</v>
      </c>
      <c r="AH59" s="0" t="n">
        <f aca="false">IF(AH57="",0,IF(AND(AH58=Milestones!$AB$42,AH57&gt;=SchemeStart),IF(AND(Milestones!$AB$42="FT",Milestones!$AA$42=FT_Y5,AH57&lt;PolicyEff),1,Milestones!$AC$42),0))</f>
        <v>0</v>
      </c>
      <c r="AI59" s="0" t="n">
        <f aca="false">IF(AI57="",0,IF(AND(AI58=Milestones!$AB$43,AI57&gt;=SchemeStart),IF(AND(Milestones!$AB$43="FT",Milestones!$AA$43=FT_Y5,AI57&lt;PolicyEff),1,Milestones!$AC$43),0))</f>
        <v>0</v>
      </c>
      <c r="AJ59" s="0" t="n">
        <f aca="false">IF(AJ57="",0,IF(AND(AJ58=Milestones!$AB$44,AJ57&gt;=SchemeStart),IF(AND(Milestones!$AB$44="FT",Milestones!$AA$44=FT_Y5,AJ57&lt;PolicyEff),1,Milestones!$AC$44),0))</f>
        <v>0</v>
      </c>
      <c r="AK59" s="0" t="n">
        <f aca="false">IF(AK57="",0,IF(AND(AK58=Milestones!$AB$45,AK57&gt;=SchemeStart),IF(AND(Milestones!$AB$45="FT",Milestones!$AA$45=FT_Y5,AK57&lt;PolicyEff),1,Milestones!$AC$45),0))</f>
        <v>0</v>
      </c>
      <c r="AL59" s="0" t="n">
        <f aca="false">IF(AL57="",0,IF(AND(AL58=Milestones!$AB$46,AL57&gt;=SchemeStart),IF(AND(Milestones!$AB$46="FT",Milestones!$AA$46=FT_Y5,AL57&lt;PolicyEff),1,Milestones!$AC$46),0))</f>
        <v>0</v>
      </c>
      <c r="AM59" s="0" t="n">
        <f aca="false">IF(AM57="",0,IF(AND(AM58=Milestones!$AB$47,AM57&gt;=SchemeStart),IF(AND(Milestones!$AB$47="FT",Milestones!$AA$47=FT_Y5,AM57&lt;PolicyEff),1,Milestones!$AC$47),0))</f>
        <v>0</v>
      </c>
      <c r="AN59" s="0" t="n">
        <f aca="false">IF(AN57="",0,IF(AND(AN58=Milestones!$AB$48,AN57&gt;=SchemeStart),IF(AND(Milestones!$AB$48="FT",Milestones!$AA$48=FT_Y5,AN57&lt;PolicyEff),1,Milestones!$AC$48),0))</f>
        <v>0</v>
      </c>
      <c r="AO59" s="0" t="n">
        <f aca="false">IF(AO57="",0,IF(AND(AO58=Milestones!$AB$49,AO57&gt;=SchemeStart),IF(AND(Milestones!$AB$49="FT",Milestones!$AA$49=FT_Y5,AO57&lt;PolicyEff),1,Milestones!$AC$49),0))</f>
        <v>0</v>
      </c>
      <c r="AP59" s="0" t="n">
        <f aca="false">IF(AP57="",0,IF(AND(AP58=Milestones!$AB$50,AP57&gt;=SchemeStart),IF(AND(Milestones!$AB$50="FT",Milestones!$AA$50=FT_Y5,AP57&lt;PolicyEff),1,Milestones!$AC$50),0))</f>
        <v>0</v>
      </c>
      <c r="AQ59" s="0" t="n">
        <f aca="false">IF(AQ57="",0,IF(AND(AQ58=Milestones!$AB$51,AQ57&gt;=SchemeStart),IF(AND(Milestones!$AB$51="FT",Milestones!$AA$51=FT_Y5,AQ57&lt;PolicyEff),1,Milestones!$AC$51),0))</f>
        <v>0</v>
      </c>
      <c r="AR59" s="0" t="n">
        <f aca="false">IF(AR57="",0,IF(AND(AR58=Milestones!$AB$52,AR57&gt;=SchemeStart),IF(AND(Milestones!$AB$52="FT",Milestones!$AA$52=FT_Y5,AR57&lt;PolicyEff),1,Milestones!$AC$52),0))</f>
        <v>0</v>
      </c>
      <c r="AS59" s="0" t="n">
        <f aca="false">IF(AS57="",0,IF(AND(AS58=Milestones!$AB$53,AS57&gt;=SchemeStart),IF(AND(Milestones!$AB$53="FT",Milestones!$AA$53=FT_Y5,AS57&lt;PolicyEff),1,Milestones!$AC$53),0))</f>
        <v>0</v>
      </c>
      <c r="AT59" s="0" t="n">
        <f aca="false">IF(AT57="",0,IF(AND(AT58=Milestones!$AB$54,AT57&gt;=SchemeStart),IF(AND(Milestones!$AB$54="FT",Milestones!$AA$54=FT_Y5,AT57&lt;PolicyEff),1,Milestones!$AC$54),0))</f>
        <v>0</v>
      </c>
      <c r="AU59" s="0" t="n">
        <f aca="false">IF(AU57="",0,IF(AND(AU58=Milestones!$AB$55,AU57&gt;=SchemeStart),IF(AND(Milestones!$AB$55="FT",Milestones!$AA$55=FT_Y5,AU57&lt;PolicyEff),1,Milestones!$AC$55),0))</f>
        <v>0</v>
      </c>
      <c r="AV59" s="0" t="n">
        <f aca="false">IF(AV57="",0,IF(AND(AV58=Milestones!$AB$56,AV57&gt;=SchemeStart),IF(AND(Milestones!$AB$56="FT",Milestones!$AA$56=FT_Y5,AV57&lt;PolicyEff),1,Milestones!$AC$56),0))</f>
        <v>0</v>
      </c>
      <c r="AW59" s="0" t="n">
        <f aca="false">IF(AW57="",0,IF(AND(AW58=Milestones!$AB$57,AW57&gt;=SchemeStart),IF(AND(Milestones!$AB$57="FT",Milestones!$AA$57=FT_Y5,AW57&lt;PolicyEff),1,Milestones!$AC$57),0))</f>
        <v>0</v>
      </c>
      <c r="AX59" s="0" t="n">
        <f aca="false">IF(AX57="",0,IF(AND(AX58=Milestones!$AB$58,AX57&gt;=SchemeStart),IF(AND(Milestones!$AB$58="FT",Milestones!$AA$58=FT_Y5,AX57&lt;PolicyEff),1,Milestones!$AC$58),0))</f>
        <v>0</v>
      </c>
      <c r="AY59" s="0" t="n">
        <f aca="false">IF(AY57="",0,IF(AND(AY58=Milestones!$AB$59,AY57&gt;=SchemeStart),IF(AND(Milestones!$AB$59="FT",Milestones!$AA$59=FT_Y5,AY57&lt;PolicyEff),1,Milestones!$AC$59),0))</f>
        <v>0</v>
      </c>
      <c r="AZ59" s="0" t="n">
        <f aca="false">IF(AZ57="",0,IF(AND(AZ58=Milestones!$AB$60,AZ57&gt;=SchemeStart),IF(AND(Milestones!$AB$60="FT",Milestones!$AA$60=FT_Y5,AZ57&lt;PolicyEff),1,Milestones!$AC$60),0))</f>
        <v>0</v>
      </c>
      <c r="BA59" s="0" t="n">
        <f aca="false">IF(BA57="",0,IF(AND(BA58=Milestones!$AB$61,BA57&gt;=SchemeStart),IF(AND(Milestones!$AB$61="FT",Milestones!$AA$61=FT_Y5,BA57&lt;PolicyEff),1,Milestones!$AC$61),0))</f>
        <v>0</v>
      </c>
      <c r="BB59" s="0" t="n">
        <f aca="false">IF(BB57="",0,IF(AND(BB58=Milestones!$AB$62,BB57&gt;=SchemeStart),IF(AND(Milestones!$AB$62="FT",Milestones!$AA$62=FT_Y5,BB57&lt;PolicyEff),1,Milestones!$AC$62),0))</f>
        <v>0</v>
      </c>
      <c r="BC59" s="0" t="n">
        <f aca="false">IF(BC57="",0,IF(AND(BC58=Milestones!$AB$63,BC57&gt;=SchemeStart),IF(AND(Milestones!$AB$63="FT",Milestones!$AA$63=FT_Y5,BC57&lt;PolicyEff),1,Milestones!$AC$63),0))</f>
        <v>0</v>
      </c>
      <c r="BD59" s="0" t="n">
        <f aca="false">IF(BD57="",0,IF(AND(BD58=Milestones!$AB$64,BD57&gt;=SchemeStart),IF(AND(Milestones!$AB$64="FT",Milestones!$AA$64=FT_Y5,BD57&lt;PolicyEff),1,Milestones!$AC$64),0))</f>
        <v>0</v>
      </c>
      <c r="BE59" s="0" t="n">
        <f aca="false">IF(BE57="",0,IF(AND(BE58=Milestones!$AB$65,BE57&gt;=SchemeStart),IF(AND(Milestones!$AB$65="FT",Milestones!$AA$65=FT_Y5,BE57&lt;PolicyEff),1,Milestones!$AC$65),0))</f>
        <v>0</v>
      </c>
      <c r="BF59" s="0" t="n">
        <f aca="false">IF(BF57="",0,IF(AND(BF58=Milestones!$AB$66,BF57&gt;=SchemeStart),IF(AND(Milestones!$AB$66="FT",Milestones!$AA$66=FT_Y5,BF57&lt;PolicyEff),1,Milestones!$AC$66),0))</f>
        <v>0</v>
      </c>
      <c r="BG59" s="0" t="n">
        <f aca="false">IF(BG57="",0,IF(AND(BG58=Milestones!$AB$67,BG57&gt;=SchemeStart),IF(AND(Milestones!$AB$67="FT",Milestones!$AA$67=FT_Y5,BG57&lt;PolicyEff),1,Milestones!$AC$67),0))</f>
        <v>0</v>
      </c>
      <c r="BH59" s="0" t="n">
        <f aca="false">IF(BH57="",0,IF(AND(BH58=Milestones!$AB$68,BH57&gt;=SchemeStart),IF(AND(Milestones!$AB$68="FT",Milestones!$AA$68=FT_Y5,BH57&lt;PolicyEff),1,Milestones!$AC$68),0))</f>
        <v>0</v>
      </c>
      <c r="BI59" s="0" t="n">
        <f aca="false">IF(BI57="",0,IF(AND(BI58=Milestones!$AB$69,BI57&gt;=SchemeStart),IF(AND(Milestones!$AB$69="FT",Milestones!$AA$69=FT_Y5,BI57&lt;PolicyEff),1,Milestones!$AC$69),0))</f>
        <v>0</v>
      </c>
      <c r="BJ59" s="0" t="n">
        <f aca="false">IF(BJ57="",0,IF(AND(BJ58=Milestones!$AB$70,BJ57&gt;=SchemeStart),IF(AND(Milestones!$AB$70="FT",Milestones!$AA$70=FT_Y5,BJ57&lt;PolicyEff),1,Milestones!$AC$70),0))</f>
        <v>0</v>
      </c>
      <c r="BK59" s="0" t="n">
        <f aca="false">IF(BK57="",0,IF(AND(BK58=Milestones!$AB$71,BK57&gt;=SchemeStart),IF(AND(Milestones!$AB$71="FT",Milestones!$AA$71=FT_Y5,BK57&lt;PolicyEff),1,Milestones!$AC$71),0))</f>
        <v>0</v>
      </c>
      <c r="BL59" s="0" t="n">
        <f aca="false">IF(BL57="",0,IF(AND(BL58=Milestones!$AB$72,BL57&gt;=SchemeStart),IF(AND(Milestones!$AB$72="FT",Milestones!$AA$72=FT_Y5,BL57&lt;PolicyEff),1,Milestones!$AC$72),0))</f>
        <v>0</v>
      </c>
      <c r="BM59" s="0" t="n">
        <f aca="false">IF(BM57="",0,IF(AND(BM58=Milestones!$AB$73,BM57&gt;=SchemeStart),IF(AND(Milestones!$AB$73="FT",Milestones!$AA$73=FT_Y5,BM57&lt;PolicyEff),1,Milestones!$AC$73),0))</f>
        <v>0</v>
      </c>
      <c r="BN59" s="0" t="n">
        <f aca="false">IF(BN57="",0,IF(AND(BN58=Milestones!$AB$74,BN57&gt;=SchemeStart),IF(AND(Milestones!$AB$74="FT",Milestones!$AA$74=FT_Y5,BN57&lt;PolicyEff),1,Milestones!$AC$74),0))</f>
        <v>0</v>
      </c>
      <c r="BO59" s="0" t="n">
        <f aca="false">IF(BO57="",0,IF(AND(BO58=Milestones!$AB$75,BO57&gt;=SchemeStart),IF(AND(Milestones!$AB$75="FT",Milestones!$AA$75=FT_Y5,BO57&lt;PolicyEff),1,Milestones!$AC$75),0))</f>
        <v>0</v>
      </c>
      <c r="BP59" s="0" t="n">
        <f aca="false">IF(BP57="",0,IF(AND(BP58=Milestones!$AB$76,BP57&gt;=SchemeStart),IF(AND(Milestones!$AB$76="FT",Milestones!$AA$76=FT_Y5,BP57&lt;PolicyEff),1,Milestones!$AC$76),0))</f>
        <v>0</v>
      </c>
      <c r="BQ59" s="0" t="n">
        <f aca="false">IF(BQ57="",0,IF(AND(BQ58=Milestones!$AB$77,BQ57&gt;=SchemeStart),IF(AND(Milestones!$AB$77="FT",Milestones!$AA$77=FT_Y5,BQ57&lt;PolicyEff),1,Milestones!$AC$77),0))</f>
        <v>0</v>
      </c>
      <c r="BR59" s="0" t="n">
        <f aca="false">IF(BR57="",0,IF(AND(BR58=Milestones!$AB$78,BR57&gt;=SchemeStart),IF(AND(Milestones!$AB$78="FT",Milestones!$AA$78=FT_Y5,BR57&lt;PolicyEff),1,Milestones!$AC$78),0))</f>
        <v>0</v>
      </c>
      <c r="BS59" s="0" t="n">
        <f aca="false">IF(BS57="",0,IF(AND(BS58=Milestones!$AB$79,BS57&gt;=SchemeStart),IF(AND(Milestones!$AB$79="FT",Milestones!$AA$79=FT_Y5,BS57&lt;PolicyEff),1,Milestones!$AC$79),0))</f>
        <v>0</v>
      </c>
      <c r="BT59" s="0" t="n">
        <f aca="false">IF(BT57="",0,IF(AND(BT58=Milestones!$AB$80,BT57&gt;=SchemeStart),IF(AND(Milestones!$AB$80="FT",Milestones!$AA$80=FT_Y5,BT57&lt;PolicyEff),1,Milestones!$AC$80),0))</f>
        <v>0</v>
      </c>
      <c r="BU59" s="0" t="n">
        <f aca="false">IF(BU57="",0,IF(AND(BU58=Milestones!$AB$81,BU57&gt;=SchemeStart),IF(AND(Milestones!$AB$81="FT",Milestones!$AA$81=FT_Y5,BU57&lt;PolicyEff),1,Milestones!$AC$81),0))</f>
        <v>0</v>
      </c>
      <c r="BV59" s="0" t="n">
        <f aca="false">IF(BV57="",0,IF(AND(BV58=Milestones!$AB$82,BV57&gt;=SchemeStart),IF(AND(Milestones!$AB$82="FT",Milestones!$AA$82=FT_Y5,BV57&lt;PolicyEff),1,Milestones!$AC$82),0))</f>
        <v>0</v>
      </c>
      <c r="BW59" s="0" t="n">
        <f aca="false">IF(BW57="",0,IF(AND(BW58=Milestones!$AB$83,BW57&gt;=SchemeStart),IF(AND(Milestones!$AB$83="FT",Milestones!$AA$83=FT_Y5,BW57&lt;PolicyEff),1,Milestones!$AC$83),0))</f>
        <v>0</v>
      </c>
      <c r="BX59" s="0" t="n">
        <f aca="false">IF(BX57="",0,IF(AND(BX58=Milestones!$AB$84,BX57&gt;=SchemeStart),IF(AND(Milestones!$AB$84="FT",Milestones!$AA$84=FT_Y5,BX57&lt;PolicyEff),1,Milestones!$AC$84),0))</f>
        <v>0</v>
      </c>
      <c r="BY59" s="0" t="n">
        <f aca="false">IF(BY57="",0,IF(AND(BY58=Milestones!$AB$85,BY57&gt;=SchemeStart),IF(AND(Milestones!$AB$85="FT",Milestones!$AA$85=FT_Y5,BY57&lt;PolicyEff),1,Milestones!$AC$85),0))</f>
        <v>0</v>
      </c>
      <c r="BZ59" s="0" t="n">
        <f aca="false">IF(BZ57="",0,IF(AND(BZ58=Milestones!$AB$86,BZ57&gt;=SchemeStart),IF(AND(Milestones!$AB$86="FT",Milestones!$AA$86=FT_Y5,BZ57&lt;PolicyEff),1,Milestones!$AC$86),0))</f>
        <v>0</v>
      </c>
      <c r="CA59" s="0" t="n">
        <f aca="false">IF(CA57="",0,IF(AND(CA58=Milestones!$AB$87,CA57&gt;=SchemeStart),IF(AND(Milestones!$AB$87="FT",Milestones!$AA$87=FT_Y5,CA57&lt;PolicyEff),1,Milestones!$AC$87),0))</f>
        <v>0</v>
      </c>
      <c r="CB59" s="0" t="n">
        <f aca="false">IF(CB57="",0,IF(AND(CB58=Milestones!$AB$88,CB57&gt;=SchemeStart),IF(AND(Milestones!$AB$88="FT",Milestones!$AA$88=FT_Y5,CB57&lt;PolicyEff),1,Milestones!$AC$88),0))</f>
        <v>0</v>
      </c>
      <c r="CC59" s="0" t="n">
        <f aca="false">IF(CC57="",0,IF(AND(CC58=Milestones!$AB$89,CC57&gt;=SchemeStart),IF(AND(Milestones!$AB$89="FT",Milestones!$AA$89=FT_Y5,CC57&lt;PolicyEff),1,Milestones!$AC$89),0))</f>
        <v>0</v>
      </c>
      <c r="CD59" s="0" t="n">
        <f aca="false">IF(CD57="",0,IF(AND(CD58=Milestones!$AB$90,CD57&gt;=SchemeStart),IF(AND(Milestones!$AB$90="FT",Milestones!$AA$90=FT_Y5,CD57&lt;PolicyEff),1,Milestones!$AC$90),0))</f>
        <v>0</v>
      </c>
      <c r="CE59" s="0" t="n">
        <f aca="false">IF(CE57="",0,IF(AND(CE58=Milestones!$AB$91,CE57&gt;=SchemeStart),IF(AND(Milestones!$AB$91="FT",Milestones!$AA$91=FT_Y5,CE57&lt;PolicyEff),1,Milestones!$AC$91),0))</f>
        <v>0</v>
      </c>
      <c r="CF59" s="0" t="n">
        <f aca="false">IF(CF57="",0,IF(AND(CF58=Milestones!$AB$92,CF57&gt;=SchemeStart),IF(AND(Milestones!$AB$92="FT",Milestones!$AA$92=FT_Y5,CF57&lt;PolicyEff),1,Milestones!$AC$92),0))</f>
        <v>0</v>
      </c>
      <c r="CG59" s="0" t="n">
        <f aca="false">IF(CG57="",0,IF(AND(CG58=Milestones!$AB$93,CG57&gt;=SchemeStart),IF(AND(Milestones!$AB$93="FT",Milestones!$AA$93=FT_Y5,CG57&lt;PolicyEff),1,Milestones!$AC$93),0))</f>
        <v>0</v>
      </c>
      <c r="CH59" s="0" t="n">
        <f aca="false">IF(CH57="",0,IF(AND(CH58=Milestones!$AB$94,CH57&gt;=SchemeStart),IF(AND(Milestones!$AB$94="FT",Milestones!$AA$94=FT_Y5,CH57&lt;PolicyEff),1,Milestones!$AC$94),0))</f>
        <v>0</v>
      </c>
      <c r="CI59" s="0" t="n">
        <f aca="false">IF(CI57="",0,IF(AND(CI58=Milestones!$AB$95,CI57&gt;=SchemeStart),IF(AND(Milestones!$AB$95="FT",Milestones!$AA$95=FT_Y5,CI57&lt;PolicyEff),1,Milestones!$AC$95),0))</f>
        <v>0</v>
      </c>
      <c r="CJ59" s="0" t="n">
        <f aca="false">IF(CJ57="",0,IF(AND(CJ58=Milestones!$AB$96,CJ57&gt;=SchemeStart),IF(AND(Milestones!$AB$96="FT",Milestones!$AA$96=FT_Y5,CJ57&lt;PolicyEff),1,Milestones!$AC$96),0))</f>
        <v>0</v>
      </c>
      <c r="CK59" s="0" t="n">
        <f aca="false">IF(CK57="",0,IF(AND(CK58=Milestones!$AB$97,CK57&gt;=SchemeStart),IF(AND(Milestones!$AB$97="FT",Milestones!$AA$97=FT_Y5,CK57&lt;PolicyEff),1,Milestones!$AC$97),0))</f>
        <v>0</v>
      </c>
      <c r="CL59" s="0" t="n">
        <f aca="false">IF(CL57="",0,IF(AND(CL58=Milestones!$AB$98,CL57&gt;=SchemeStart),IF(AND(Milestones!$AB$98="FT",Milestones!$AA$98=FT_Y5,CL57&lt;PolicyEff),1,Milestones!$AC$98),0))</f>
        <v>0</v>
      </c>
      <c r="CM59" s="0" t="n">
        <f aca="false">IF(CM57="",0,IF(AND(CM58=Milestones!$AB$99,CM57&gt;=SchemeStart),IF(AND(Milestones!$AB$99="FT",Milestones!$AA$99=FT_Y5,CM57&lt;PolicyEff),1,Milestones!$AC$99),0))</f>
        <v>0</v>
      </c>
      <c r="CN59" s="0" t="n">
        <f aca="false">IF(CN57="",0,IF(AND(CN58=Milestones!$AB$100,CN57&gt;=SchemeStart),IF(AND(Milestones!$AB$100="FT",Milestones!$AA$100=FT_Y5,CN57&lt;PolicyEff),1,Milestones!$AC$100),0))</f>
        <v>0</v>
      </c>
      <c r="CO59" s="0" t="n">
        <f aca="false">IF(CO57="",0,IF(AND(CO58=Milestones!$AB$101,CO57&gt;=SchemeStart),IF(AND(Milestones!$AB$101="FT",Milestones!$AA$101=FT_Y5,CO57&lt;PolicyEff),1,Milestones!$AC$101),0))</f>
        <v>0</v>
      </c>
      <c r="CP59" s="0" t="n">
        <f aca="false">IF(CP57="",0,IF(AND(CP58=Milestones!$AB$102,CP57&gt;=SchemeStart),IF(AND(Milestones!$AB$102="FT",Milestones!$AA$102=FT_Y5,CP57&lt;PolicyEff),1,Milestones!$AC$102),0))</f>
        <v>0</v>
      </c>
      <c r="CQ59" s="0" t="n">
        <f aca="false">IF(CQ57="",0,IF(AND(CQ58=Milestones!$AB$103,CQ57&gt;=SchemeStart),IF(AND(Milestones!$AB$103="FT",Milestones!$AA$103=FT_Y5,CQ57&lt;PolicyEff),1,Milestones!$AC$103),0))</f>
        <v>0</v>
      </c>
      <c r="CR59" s="0" t="n">
        <f aca="false">IF(CR57="",0,IF(AND(CR58=Milestones!$AB$104,CR57&gt;=SchemeStart),IF(AND(Milestones!$AB$104="FT",Milestones!$AA$104=FT_Y5,CR57&lt;PolicyEff),1,Milestones!$AC$104),0))</f>
        <v>0</v>
      </c>
      <c r="CS59" s="0" t="n">
        <f aca="false">IF(CS57="",0,IF(AND(CS58=Milestones!$AB$105,CS57&gt;=SchemeStart),IF(AND(Milestones!$AB$105="FT",Milestones!$AA$105=FT_Y5,CS57&lt;PolicyEff),1,Milestones!$AC$105),0))</f>
        <v>0</v>
      </c>
      <c r="CT59" s="0" t="n">
        <f aca="false">IF(CT57="",0,IF(AND(CT58=Milestones!$AB$106,CT57&gt;=SchemeStart),IF(AND(Milestones!$AB$106="FT",Milestones!$AA$106=FT_Y5,CT57&lt;PolicyEff),1,Milestones!$AC$106),0))</f>
        <v>0</v>
      </c>
      <c r="CU59" s="0" t="n">
        <f aca="false">IF(CU57="",0,IF(AND(CU58=Milestones!$AB$107,CU57&gt;=SchemeStart),IF(AND(Milestones!$AB$107="FT",Milestones!$AA$107=FT_Y5,CU57&lt;PolicyEff),1,Milestones!$AC$107),0))</f>
        <v>0</v>
      </c>
      <c r="CV59" s="0" t="n">
        <f aca="false">IF(CV57="",0,IF(AND(CV58=Milestones!$AB$108,CV57&gt;=SchemeStart),IF(AND(Milestones!$AB$108="FT",Milestones!$AA$108=FT_Y5,CV57&lt;PolicyEff),1,Milestones!$AC$108),0))</f>
        <v>0</v>
      </c>
      <c r="CW59" s="0" t="n">
        <f aca="false">IF(CW57="",0,IF(AND(CW58=Milestones!$AB$109,CW57&gt;=SchemeStart),IF(AND(Milestones!$AB$109="FT",Milestones!$AA$109=FT_Y5,CW57&lt;PolicyEff),1,Milestones!$AC$109),0))</f>
        <v>0</v>
      </c>
      <c r="CX59" s="0" t="n">
        <f aca="false">IF(CX57="",0,IF(AND(CX58=Milestones!$AB$110,CX57&gt;=SchemeStart),IF(AND(Milestones!$AB$110="FT",Milestones!$AA$110=FT_Y5,CX57&lt;PolicyEff),1,Milestones!$AC$110),0))</f>
        <v>0</v>
      </c>
      <c r="CY59" s="0" t="n">
        <f aca="false">IF(CY57="",0,IF(AND(CY58=Milestones!$AB$111,CY57&gt;=SchemeStart),IF(AND(Milestones!$AB$111="FT",Milestones!$AA$111=FT_Y5,CY57&lt;PolicyEff),1,Milestones!$AC$111),0))</f>
        <v>0</v>
      </c>
      <c r="CZ59" s="0" t="n">
        <f aca="false">IF(CZ57="",0,IF(AND(CZ58=Milestones!$AB$112,CZ57&gt;=SchemeStart),IF(AND(Milestones!$AB$112="FT",Milestones!$AA$112=FT_Y5,CZ57&lt;PolicyEff),1,Milestones!$AC$112),0))</f>
        <v>0</v>
      </c>
      <c r="DA59" s="0" t="n">
        <f aca="false">IF(DA57="",0,IF(AND(DA58=Milestones!$AB$113,DA57&gt;=SchemeStart),IF(AND(Milestones!$AB$113="FT",Milestones!$AA$113=FT_Y5,DA57&lt;PolicyEff),1,Milestones!$AC$113),0))</f>
        <v>0</v>
      </c>
      <c r="DB59" s="0" t="n">
        <f aca="false">IF(DB57="",0,IF(AND(DB58=Milestones!$AB$114,DB57&gt;=SchemeStart),IF(AND(Milestones!$AB$114="FT",Milestones!$AA$114=FT_Y5,DB57&lt;PolicyEff),1,Milestones!$AC$114),0))</f>
        <v>0</v>
      </c>
      <c r="DC59" s="0" t="n">
        <f aca="false">IF(DC57="",0,IF(AND(DC58=Milestones!$AB$115,DC57&gt;=SchemeStart),IF(AND(Milestones!$AB$115="FT",Milestones!$AA$115=FT_Y5,DC57&lt;PolicyEff),1,Milestones!$AC$115),0))</f>
        <v>0</v>
      </c>
      <c r="DD59" s="0" t="n">
        <f aca="false">IF(DD57="",0,IF(AND(DD58=Milestones!$AB$116,DD57&gt;=SchemeStart),IF(AND(Milestones!$AB$116="FT",Milestones!$AA$116=FT_Y5,DD57&lt;PolicyEff),1,Milestones!$AC$116),0))</f>
        <v>0</v>
      </c>
      <c r="DE59" s="0" t="n">
        <f aca="false">IF(DE57="",0,IF(AND(DE58=Milestones!$AB$117,DE57&gt;=SchemeStart),IF(AND(Milestones!$AB$117="FT",Milestones!$AA$117=FT_Y5,DE57&lt;PolicyEff),1,Milestones!$AC$117),0))</f>
        <v>0</v>
      </c>
      <c r="DF59" s="0" t="n">
        <f aca="false">IF(DF57="",0,IF(AND(DF58=Milestones!$AB$118,DF57&gt;=SchemeStart),IF(AND(Milestones!$AB$118="FT",Milestones!$AA$118=FT_Y5,DF57&lt;PolicyEff),1,Milestones!$AC$118),0))</f>
        <v>0</v>
      </c>
      <c r="DG59" s="0" t="n">
        <f aca="false">IF(DG57="",0,IF(AND(DG58=Milestones!$AB$119,DG57&gt;=SchemeStart),IF(AND(Milestones!$AB$119="FT",Milestones!$AA$119=FT_Y5,DG57&lt;PolicyEff),1,Milestones!$AC$119),0))</f>
        <v>0</v>
      </c>
      <c r="DH59" s="0" t="n">
        <f aca="false">IF(DH57="",0,IF(AND(DH58=Milestones!$AB$120,DH57&gt;=SchemeStart),IF(AND(Milestones!$AB$120="FT",Milestones!$AA$120=FT_Y5,DH57&lt;PolicyEff),1,Milestones!$AC$120),0))</f>
        <v>0</v>
      </c>
      <c r="DI59" s="0" t="n">
        <f aca="false">IF(DI57="",0,IF(AND(DI58=Milestones!$AB$121,DI57&gt;=SchemeStart),IF(AND(Milestones!$AB$121="FT",Milestones!$AA$121=FT_Y5,DI57&lt;PolicyEff),1,Milestones!$AC$121),0))</f>
        <v>0</v>
      </c>
      <c r="DJ59" s="0" t="n">
        <f aca="false">IF(DJ57="",0,IF(AND(DJ58=Milestones!$AB$122,DJ57&gt;=SchemeStart),IF(AND(Milestones!$AB$122="FT",Milestones!$AA$122=FT_Y5,DJ57&lt;PolicyEff),1,Milestones!$AC$122),0))</f>
        <v>0</v>
      </c>
      <c r="DK59" s="0" t="n">
        <f aca="false">IF(DK57="",0,IF(AND(DK58=Milestones!$AB$123,DK57&gt;=SchemeStart),IF(AND(Milestones!$AB$123="FT",Milestones!$AA$123=FT_Y5,DK57&lt;PolicyEff),1,Milestones!$AC$123),0))</f>
        <v>0</v>
      </c>
      <c r="DL59" s="0" t="n">
        <f aca="false">IF(DL57="",0,IF(AND(DL58=Milestones!$AB$124,DL57&gt;=SchemeStart),IF(AND(Milestones!$AB$124="FT",Milestones!$AA$124=FT_Y5,DL57&lt;PolicyEff),1,Milestones!$AC$124),0))</f>
        <v>0</v>
      </c>
      <c r="DM59" s="0" t="n">
        <f aca="false">IF(DM57="",0,IF(AND(DM58=Milestones!$AB$125,DM57&gt;=SchemeStart),IF(AND(Milestones!$AB$125="FT",Milestones!$AA$125=FT_Y5,DM57&lt;PolicyEff),1,Milestones!$AC$125),0))</f>
        <v>0</v>
      </c>
      <c r="DN59" s="0" t="n">
        <f aca="false">IF(DN57="",0,IF(AND(DN58=Milestones!$AB$126,DN57&gt;=SchemeStart),IF(AND(Milestones!$AB$126="FT",Milestones!$AA$126=FT_Y5,DN57&lt;PolicyEff),1,Milestones!$AC$126),0))</f>
        <v>0</v>
      </c>
      <c r="DO59" s="0" t="n">
        <f aca="false">IF(DO57="",0,IF(AND(DO58=Milestones!$AB$127,DO57&gt;=SchemeStart),IF(AND(Milestones!$AB$127="FT",Milestones!$AA$127=FT_Y5,DO57&lt;PolicyEff),1,Milestones!$AC$127),0))</f>
        <v>0</v>
      </c>
      <c r="DP59" s="0" t="n">
        <f aca="false">IF(DP57="",0,IF(AND(DP58=Milestones!$AB$128,DP57&gt;=SchemeStart),IF(AND(Milestones!$AB$128="FT",Milestones!$AA$128=FT_Y5,DP57&lt;PolicyEff),1,Milestones!$AC$128),0))</f>
        <v>0</v>
      </c>
      <c r="DQ59" s="0" t="n">
        <f aca="false">IF(DQ57="",0,IF(AND(DQ58=Milestones!$AB$129,DQ57&gt;=SchemeStart),IF(AND(Milestones!$AB$129="FT",Milestones!$AA$129=FT_Y5,DQ57&lt;PolicyEff),1,Milestones!$AC$129),0))</f>
        <v>0</v>
      </c>
      <c r="DR59" s="0" t="n">
        <f aca="false">IF(DR57="",0,IF(AND(DR58=Milestones!$AB$130,DR57&gt;=SchemeStart),IF(AND(Milestones!$AB$130="FT",Milestones!$AA$130=FT_Y5,DR57&lt;PolicyEff),1,Milestones!$AC$130),0))</f>
        <v>0</v>
      </c>
      <c r="DS59" s="0" t="n">
        <f aca="false">IF(DS57="",0,IF(AND(DS58=Milestones!$AB$131,DS57&gt;=SchemeStart),IF(AND(Milestones!$AB$131="FT",Milestones!$AA$131=FT_Y5,DS57&lt;PolicyEff),1,Milestones!$AC$131),0))</f>
        <v>0</v>
      </c>
      <c r="DT59" s="0" t="n">
        <f aca="false">IF(DT57="",0,IF(AND(DT58=Milestones!$AB$132,DT57&gt;=SchemeStart),IF(AND(Milestones!$AB$132="FT",Milestones!$AA$132=FT_Y5,DT57&lt;PolicyEff),1,Milestones!$AC$132),0))</f>
        <v>0</v>
      </c>
      <c r="DU59" s="0" t="n">
        <f aca="false">IF(DU57="",0,IF(AND(DU58=Milestones!$AB$133,DU57&gt;=SchemeStart),IF(AND(Milestones!$AB$133="FT",Milestones!$AA$133=FT_Y5,DU57&lt;PolicyEff),1,Milestones!$AC$133),0))</f>
        <v>0</v>
      </c>
      <c r="DV59" s="0" t="n">
        <f aca="false">IF(DV57="",0,IF(AND(DV58=Milestones!$AB$134,DV57&gt;=SchemeStart),IF(AND(Milestones!$AB$134="FT",Milestones!$AA$134=FT_Y5,DV57&lt;PolicyEff),1,Milestones!$AC$134),0))</f>
        <v>0</v>
      </c>
      <c r="DW59" s="0" t="n">
        <f aca="false">IF(DW57="",0,IF(AND(DW58=Milestones!$AB$135,DW57&gt;=SchemeStart),IF(AND(Milestones!$AB$135="FT",Milestones!$AA$135=FT_Y5,DW57&lt;PolicyEff),1,Milestones!$AC$135),0))</f>
        <v>0</v>
      </c>
      <c r="DX59" s="0" t="n">
        <f aca="false">IF(DX57="",0,IF(AND(DX58=Milestones!$AB$136,DX57&gt;=SchemeStart),IF(AND(Milestones!$AB$136="FT",Milestones!$AA$136=FT_Y5,DX57&lt;PolicyEff),1,Milestones!$AC$136),0))</f>
        <v>0</v>
      </c>
      <c r="DY59" s="0" t="n">
        <f aca="false">IF(DY57="",0,IF(AND(DY58=Milestones!$AB$137,DY57&gt;=SchemeStart),IF(AND(Milestones!$AB$137="FT",Milestones!$AA$137=FT_Y5,DY57&lt;PolicyEff),1,Milestones!$AC$137),0))</f>
        <v>0</v>
      </c>
      <c r="DZ59" s="0" t="n">
        <f aca="false">IF(DZ57="",0,IF(AND(DZ58=Milestones!$AB$138,DZ57&gt;=SchemeStart),IF(AND(Milestones!$AB$138="FT",Milestones!$AA$138=FT_Y5,DZ57&lt;PolicyEff),1,Milestones!$AC$138),0))</f>
        <v>0</v>
      </c>
      <c r="EA59" s="0" t="n">
        <f aca="false">IF(EA57="",0,IF(AND(EA58=Milestones!$AB$139,EA57&gt;=SchemeStart),IF(AND(Milestones!$AB$139="FT",Milestones!$AA$139=FT_Y5,EA57&lt;PolicyEff),1,Milestones!$AC$139),0))</f>
        <v>0</v>
      </c>
      <c r="EB59" s="0" t="n">
        <f aca="false">IF(EB57="",0,IF(AND(EB58=Milestones!$AB$140,EB57&gt;=SchemeStart),IF(AND(Milestones!$AB$140="FT",Milestones!$AA$140=FT_Y5,EB57&lt;PolicyEff),1,Milestones!$AC$140),0))</f>
        <v>0</v>
      </c>
      <c r="EC59" s="0" t="n">
        <f aca="false">IF(EC57="",0,IF(AND(EC58=Milestones!$AB$141,EC57&gt;=SchemeStart),IF(AND(Milestones!$AB$141="FT",Milestones!$AA$141=FT_Y5,EC57&lt;PolicyEff),1,Milestones!$AC$141),0))</f>
        <v>0</v>
      </c>
      <c r="ED59" s="0" t="n">
        <f aca="false">IF(ED57="",0,IF(AND(ED58=Milestones!$AB$142,ED57&gt;=SchemeStart),IF(AND(Milestones!$AB$142="FT",Milestones!$AA$142=FT_Y5,ED57&lt;PolicyEff),1,Milestones!$AC$142),0))</f>
        <v>0</v>
      </c>
      <c r="EE59" s="0" t="n">
        <f aca="false">IF(EE57="",0,IF(AND(EE58=Milestones!$AB$143,EE57&gt;=SchemeStart),IF(AND(Milestones!$AB$143="FT",Milestones!$AA$143=FT_Y5,EE57&lt;PolicyEff),1,Milestones!$AC$143),0))</f>
        <v>0</v>
      </c>
      <c r="EF59" s="0" t="n">
        <f aca="false">IF(EF57="",0,IF(AND(EF58=Milestones!$AB$144,EF57&gt;=SchemeStart),IF(AND(Milestones!$AB$144="FT",Milestones!$AA$144=FT_Y5,EF57&lt;PolicyEff),1,Milestones!$AC$144),0))</f>
        <v>0</v>
      </c>
      <c r="EG59" s="0" t="n">
        <f aca="false">IF(EG57="",0,IF(AND(EG58=Milestones!$AB$145,EG57&gt;=SchemeStart),IF(AND(Milestones!$AB$145="FT",Milestones!$AA$145=FT_Y5,EG57&lt;PolicyEff),1,Milestones!$AC$145),0))</f>
        <v>0</v>
      </c>
      <c r="EH59" s="0" t="n">
        <f aca="false">IF(EH57="",0,IF(AND(EH58=Milestones!$AB$146,EH57&gt;=SchemeStart),IF(AND(Milestones!$AB$146="FT",Milestones!$AA$146=FT_Y5,EH57&lt;PolicyEff),1,Milestones!$AC$146),0))</f>
        <v>0</v>
      </c>
      <c r="EI59" s="0" t="n">
        <f aca="false">IF(EI57="",0,IF(AND(EI58=Milestones!$AB$147,EI57&gt;=SchemeStart),IF(AND(Milestones!$AB$147="FT",Milestones!$AA$147=FT_Y5,EI57&lt;PolicyEff),1,Milestones!$AC$147),0))</f>
        <v>0</v>
      </c>
      <c r="EJ59" s="0" t="n">
        <f aca="false">IF(EJ57="",0,IF(AND(EJ58=Milestones!$AB$148,EJ57&gt;=SchemeStart),IF(AND(Milestones!$AB$148="FT",Milestones!$AA$148=FT_Y5,EJ57&lt;PolicyEff),1,Milestones!$AC$148),0))</f>
        <v>0</v>
      </c>
      <c r="EK59" s="0" t="n">
        <f aca="false">IF(EK57="",0,IF(AND(EK58=Milestones!$AB$149,EK57&gt;=SchemeStart),IF(AND(Milestones!$AB$149="FT",Milestones!$AA$149=FT_Y5,EK57&lt;PolicyEff),1,Milestones!$AC$149),0))</f>
        <v>0</v>
      </c>
      <c r="EL59" s="0" t="n">
        <f aca="false">IF(EL57="",0,IF(AND(EL58=Milestones!$AB$150,EL57&gt;=SchemeStart),IF(AND(Milestones!$AB$150="FT",Milestones!$AA$150=FT_Y5,EL57&lt;PolicyEff),1,Milestones!$AC$150),0))</f>
        <v>0</v>
      </c>
      <c r="EM59" s="0" t="n">
        <f aca="false">IF(EM57="",0,IF(AND(EM58=Milestones!$AB$151,EM57&gt;=SchemeStart),IF(AND(Milestones!$AB$151="FT",Milestones!$AA$151=FT_Y5,EM57&lt;PolicyEff),1,Milestones!$AC$151),0))</f>
        <v>0</v>
      </c>
      <c r="EN59" s="0" t="n">
        <f aca="false">IF(EN57="",0,IF(AND(EN58=Milestones!$AB$152,EN57&gt;=SchemeStart),IF(AND(Milestones!$AB$152="FT",Milestones!$AA$152=FT_Y5,EN57&lt;PolicyEff),1,Milestones!$AC$152),0))</f>
        <v>0</v>
      </c>
      <c r="EO59" s="0" t="n">
        <f aca="false">IF(EO57="",0,IF(AND(EO58=Milestones!$AB$153,EO57&gt;=SchemeStart),IF(AND(Milestones!$AB$153="FT",Milestones!$AA$153=FT_Y5,EO57&lt;PolicyEff),1,Milestones!$AC$153),0))</f>
        <v>0</v>
      </c>
      <c r="EP59" s="0" t="n">
        <f aca="false">IF(EP57="",0,IF(AND(EP58=Milestones!$AB$154,EP57&gt;=SchemeStart),IF(AND(Milestones!$AB$154="FT",Milestones!$AA$154=FT_Y5,EP57&lt;PolicyEff),1,Milestones!$AC$154),0))</f>
        <v>0</v>
      </c>
      <c r="EQ59" s="0" t="n">
        <f aca="false">IF(EQ57="",0,IF(AND(EQ58=Milestones!$AB$155,EQ57&gt;=SchemeStart),IF(AND(Milestones!$AB$155="FT",Milestones!$AA$155=FT_Y5,EQ57&lt;PolicyEff),1,Milestones!$AC$155),0))</f>
        <v>0</v>
      </c>
      <c r="ER59" s="0" t="n">
        <f aca="false">IF(ER57="",0,IF(AND(ER58=Milestones!$AB$156,ER57&gt;=SchemeStart),IF(AND(Milestones!$AB$156="FT",Milestones!$AA$156=FT_Y5,ER57&lt;PolicyEff),1,Milestones!$AC$156),0))</f>
        <v>0</v>
      </c>
      <c r="ES59" s="0" t="n">
        <f aca="false">IF(ES57="",0,IF(AND(ES58=Milestones!$AB$157,ES57&gt;=SchemeStart),IF(AND(Milestones!$AB$157="FT",Milestones!$AA$157=FT_Y5,ES57&lt;PolicyEff),1,Milestones!$AC$157),0))</f>
        <v>0</v>
      </c>
      <c r="ET59" s="0" t="n">
        <f aca="false">IF(ET57="",0,IF(AND(ET58=Milestones!$AB$158,ET57&gt;=SchemeStart),IF(AND(Milestones!$AB$158="FT",Milestones!$AA$158=FT_Y5,ET57&lt;PolicyEff),1,Milestones!$AC$158),0))</f>
        <v>0</v>
      </c>
      <c r="EU59" s="0" t="n">
        <f aca="false">IF(EU57="",0,IF(AND(EU58=Milestones!$AB$159,EU57&gt;=SchemeStart),IF(AND(Milestones!$AB$159="FT",Milestones!$AA$159=FT_Y5,EU57&lt;PolicyEff),1,Milestones!$AC$159),0))</f>
        <v>0</v>
      </c>
      <c r="EV59" s="0" t="n">
        <f aca="false">IF(EV57="",0,IF(AND(EV58=Milestones!$AB$160,EV57&gt;=SchemeStart),IF(AND(Milestones!$AB$160="FT",Milestones!$AA$160=FT_Y5,EV57&lt;PolicyEff),1,Milestones!$AC$160),0))</f>
        <v>0</v>
      </c>
      <c r="EW59" s="0" t="n">
        <f aca="false">IF(EW57="",0,IF(AND(EW58=Milestones!$AB$161,EW57&gt;=SchemeStart),IF(AND(Milestones!$AB$161="FT",Milestones!$AA$161=FT_Y5,EW57&lt;PolicyEff),1,Milestones!$AC$161),0))</f>
        <v>0</v>
      </c>
      <c r="EX59" s="0" t="n">
        <f aca="false">IF(EX57="",0,IF(AND(EX58=Milestones!$AB$162,EX57&gt;=SchemeStart),IF(AND(Milestones!$AB$162="FT",Milestones!$AA$162=FT_Y5,EX57&lt;PolicyEff),1,Milestones!$AC$162),0))</f>
        <v>0</v>
      </c>
      <c r="EY59" s="0" t="n">
        <f aca="false">IF(EY57="",0,IF(AND(EY58=Milestones!$AB$163,EY57&gt;=SchemeStart),IF(AND(Milestones!$AB$163="FT",Milestones!$AA$163=FT_Y5,EY57&lt;PolicyEff),1,Milestones!$AC$163),0))</f>
        <v>0</v>
      </c>
      <c r="EZ59" s="0" t="n">
        <f aca="false">IF(EZ57="",0,IF(AND(EZ58=Milestones!$AB$164,EZ57&gt;=SchemeStart),IF(AND(Milestones!$AB$164="FT",Milestones!$AA$164=FT_Y5,EZ57&lt;PolicyEff),1,Milestones!$AC$164),0))</f>
        <v>0</v>
      </c>
      <c r="FA59" s="0" t="n">
        <f aca="false">IF(FA57="",0,IF(AND(FA58=Milestones!$AB$165,FA57&gt;=SchemeStart),IF(AND(Milestones!$AB$165="FT",Milestones!$AA$165=FT_Y5,FA57&lt;PolicyEff),1,Milestones!$AC$165),0))</f>
        <v>0</v>
      </c>
      <c r="FB59" s="0" t="n">
        <f aca="false">IF(FB57="",0,IF(AND(FB58=Milestones!$AB$166,FB57&gt;=SchemeStart),IF(AND(Milestones!$AB$166="FT",Milestones!$AA$166=FT_Y5,FB57&lt;PolicyEff),1,Milestones!$AC$166),0))</f>
        <v>0</v>
      </c>
      <c r="FC59" s="0" t="n">
        <f aca="false">IF(FC57="",0,IF(AND(FC58=Milestones!$AB$167,FC57&gt;=SchemeStart),IF(AND(Milestones!$AB$167="FT",Milestones!$AA$167=FT_Y5,FC57&lt;PolicyEff),1,Milestones!$AC$167),0))</f>
        <v>0</v>
      </c>
      <c r="FD59" s="0" t="n">
        <f aca="false">IF(FD57="",0,IF(AND(FD58=Milestones!$AB$168,FD57&gt;=SchemeStart),IF(AND(Milestones!$AB$168="FT",Milestones!$AA$168=FT_Y5,FD57&lt;PolicyEff),1,Milestones!$AC$168),0))</f>
        <v>0</v>
      </c>
      <c r="FE59" s="0" t="n">
        <f aca="false">IF(FE57="",0,IF(AND(FE58=Milestones!$AB$169,FE57&gt;=SchemeStart),IF(AND(Milestones!$AB$169="FT",Milestones!$AA$169=FT_Y5,FE57&lt;PolicyEff),1,Milestones!$AC$169),0))</f>
        <v>0</v>
      </c>
      <c r="FF59" s="0" t="n">
        <f aca="false">IF(FF57="",0,IF(AND(FF58=Milestones!$AB$170,FF57&gt;=SchemeStart),IF(AND(Milestones!$AB$170="FT",Milestones!$AA$170=FT_Y5,FF57&lt;PolicyEff),1,Milestones!$AC$170),0))</f>
        <v>0</v>
      </c>
      <c r="FG59" s="0" t="n">
        <f aca="false">IF(FG57="",0,IF(AND(FG58=Milestones!$AB$171,FG57&gt;=SchemeStart),IF(AND(Milestones!$AB$171="FT",Milestones!$AA$171=FT_Y5,FG57&lt;PolicyEff),1,Milestones!$AC$171),0))</f>
        <v>0</v>
      </c>
      <c r="FH59" s="0" t="n">
        <f aca="false">IF(FH57="",0,IF(AND(FH58=Milestones!$AB$172,FH57&gt;=SchemeStart),IF(AND(Milestones!$AB$172="FT",Milestones!$AA$172=FT_Y5,FH57&lt;PolicyEff),1,Milestones!$AC$172),0))</f>
        <v>0</v>
      </c>
      <c r="FI59" s="0" t="n">
        <f aca="false">IF(FI57="",0,IF(AND(FI58=Milestones!$AB$173,FI57&gt;=SchemeStart),IF(AND(Milestones!$AB$173="FT",Milestones!$AA$173=FT_Y5,FI57&lt;PolicyEff),1,Milestones!$AC$173),0))</f>
        <v>0</v>
      </c>
      <c r="FJ59" s="0" t="n">
        <f aca="false">IF(FJ57="",0,IF(AND(FJ58=Milestones!$AB$174,FJ57&gt;=SchemeStart),IF(AND(Milestones!$AB$174="FT",Milestones!$AA$174=FT_Y5,FJ57&lt;PolicyEff),1,Milestones!$AC$174),0))</f>
        <v>0</v>
      </c>
      <c r="FK59" s="0" t="n">
        <f aca="false">IF(FK57="",0,IF(AND(FK58=Milestones!$AB$175,FK57&gt;=SchemeStart),IF(AND(Milestones!$AB$175="FT",Milestones!$AA$175=FT_Y5,FK57&lt;PolicyEff),1,Milestones!$AC$175),0))</f>
        <v>0</v>
      </c>
      <c r="FL59" s="0" t="n">
        <f aca="false">IF(FL57="",0,IF(AND(FL58=Milestones!$AB$176,FL57&gt;=SchemeStart),IF(AND(Milestones!$AB$176="FT",Milestones!$AA$176=FT_Y5,FL57&lt;PolicyEff),1,Milestones!$AC$176),0))</f>
        <v>0</v>
      </c>
      <c r="FM59" s="0" t="n">
        <f aca="false">IF(FM57="",0,IF(AND(FM58=Milestones!$AB$177,FM57&gt;=SchemeStart),IF(AND(Milestones!$AB$177="FT",Milestones!$AA$177=FT_Y5,FM57&lt;PolicyEff),1,Milestones!$AC$177),0))</f>
        <v>0</v>
      </c>
      <c r="FN59" s="0" t="n">
        <f aca="false">IF(FN57="",0,IF(AND(FN58=Milestones!$AB$178,FN57&gt;=SchemeStart),IF(AND(Milestones!$AB$178="FT",Milestones!$AA$178=FT_Y5,FN57&lt;PolicyEff),1,Milestones!$AC$178),0))</f>
        <v>0</v>
      </c>
      <c r="FO59" s="0" t="n">
        <f aca="false">IF(FO57="",0,IF(AND(FO58=Milestones!$AB$179,FO57&gt;=SchemeStart),IF(AND(Milestones!$AB$179="FT",Milestones!$AA$179=FT_Y5,FO57&lt;PolicyEff),1,Milestones!$AC$179),0))</f>
        <v>0</v>
      </c>
      <c r="FP59" s="0" t="n">
        <f aca="false">IF(FP57="",0,IF(AND(FP58=Milestones!$AB$180,FP57&gt;=SchemeStart),IF(AND(Milestones!$AB$180="FT",Milestones!$AA$180=FT_Y5,FP57&lt;PolicyEff),1,Milestones!$AC$180),0))</f>
        <v>0</v>
      </c>
      <c r="FQ59" s="0" t="n">
        <f aca="false">IF(FQ57="",0,IF(AND(FQ58=Milestones!$AB$181,FQ57&gt;=SchemeStart),IF(AND(Milestones!$AB$181="FT",Milestones!$AA$181=FT_Y5,FQ57&lt;PolicyEff),1,Milestones!$AC$181),0))</f>
        <v>0</v>
      </c>
      <c r="FR59" s="0" t="n">
        <f aca="false">IF(FR57="",0,IF(AND(FR58=Milestones!$AB$182,FR57&gt;=SchemeStart),IF(AND(Milestones!$AB$182="FT",Milestones!$AA$182=FT_Y5,FR57&lt;PolicyEff),1,Milestones!$AC$182),0))</f>
        <v>0</v>
      </c>
      <c r="FS59" s="0" t="n">
        <f aca="false">IF(FS57="",0,IF(AND(FS58=Milestones!$AB$183,FS57&gt;=SchemeStart),IF(AND(Milestones!$AB$183="FT",Milestones!$AA$183=FT_Y5,FS57&lt;PolicyEff),1,Milestones!$AC$183),0))</f>
        <v>0</v>
      </c>
      <c r="FT59" s="0" t="n">
        <f aca="false">IF(FT57="",0,IF(AND(FT58=Milestones!$AB$184,FT57&gt;=SchemeStart),IF(AND(Milestones!$AB$184="FT",Milestones!$AA$184=FT_Y5,FT57&lt;PolicyEff),1,Milestones!$AC$184),0))</f>
        <v>0</v>
      </c>
      <c r="FU59" s="0" t="n">
        <f aca="false">IF(FU57="",0,IF(AND(FU58=Milestones!$AB$185,FU57&gt;=SchemeStart),IF(AND(Milestones!$AB$185="FT",Milestones!$AA$185=FT_Y5,FU57&lt;PolicyEff),1,Milestones!$AC$185),0))</f>
        <v>0</v>
      </c>
      <c r="FV59" s="0" t="n">
        <f aca="false">IF(FV57="",0,IF(AND(FV58=Milestones!$AB$186,FV57&gt;=SchemeStart),IF(AND(Milestones!$AB$186="FT",Milestones!$AA$186=FT_Y5,FV57&lt;PolicyEff),1,Milestones!$AC$186),0))</f>
        <v>0</v>
      </c>
      <c r="FW59" s="0" t="n">
        <f aca="false">IF(FW57="",0,IF(AND(FW58=Milestones!$AB$187,FW57&gt;=SchemeStart),IF(AND(Milestones!$AB$187="FT",Milestones!$AA$187=FT_Y5,FW57&lt;PolicyEff),1,Milestones!$AC$187),0))</f>
        <v>0</v>
      </c>
      <c r="FX59" s="0" t="n">
        <f aca="false">IF(FX57="",0,IF(AND(FX58=Milestones!$AB$188,FX57&gt;=SchemeStart),IF(AND(Milestones!$AB$188="FT",Milestones!$AA$188=FT_Y5,FX57&lt;PolicyEff),1,Milestones!$AC$188),0))</f>
        <v>0</v>
      </c>
      <c r="FY59" s="0" t="n">
        <f aca="false">IF(FY57="",0,IF(AND(FY58=Milestones!$AB$189,FY57&gt;=SchemeStart),IF(AND(Milestones!$AB$189="FT",Milestones!$AA$189=FT_Y5,FY57&lt;PolicyEff),1,Milestones!$AC$189),0))</f>
        <v>0</v>
      </c>
      <c r="FZ59" s="0" t="n">
        <f aca="false">IF(FZ57="",0,IF(AND(FZ58=Milestones!$AB$190,FZ57&gt;=SchemeStart),IF(AND(Milestones!$AB$190="FT",Milestones!$AA$190=FT_Y5,FZ57&lt;PolicyEff),1,Milestones!$AC$190),0))</f>
        <v>0</v>
      </c>
      <c r="GA59" s="0" t="n">
        <f aca="false">IF(GA57="",0,IF(AND(GA58=Milestones!$AB$191,GA57&gt;=SchemeStart),IF(AND(Milestones!$AB$191="FT",Milestones!$AA$191=FT_Y5,GA57&lt;PolicyEff),1,Milestones!$AC$191),0))</f>
        <v>0</v>
      </c>
      <c r="GB59" s="0" t="n">
        <f aca="false">IF(GB57="",0,IF(AND(GB58=Milestones!$AB$192,GB57&gt;=SchemeStart),IF(AND(Milestones!$AB$192="FT",Milestones!$AA$192=FT_Y5,GB57&lt;PolicyEff),1,Milestones!$AC$192),0))</f>
        <v>0</v>
      </c>
      <c r="GC59" s="0" t="n">
        <f aca="false">IF(GC57="",0,IF(AND(GC58=Milestones!$AB$193,GC57&gt;=SchemeStart),IF(AND(Milestones!$AB$193="FT",Milestones!$AA$193=FT_Y5,GC57&lt;PolicyEff),1,Milestones!$AC$193),0))</f>
        <v>0</v>
      </c>
      <c r="GD59" s="0" t="n">
        <f aca="false">IF(GD57="",0,IF(AND(GD58=Milestones!$AB$194,GD57&gt;=SchemeStart),IF(AND(Milestones!$AB$194="FT",Milestones!$AA$194=FT_Y5,GD57&lt;PolicyEff),1,Milestones!$AC$194),0))</f>
        <v>0</v>
      </c>
      <c r="GE59" s="0" t="n">
        <f aca="false">IF(GE57="",0,IF(AND(GE58=Milestones!$AB$195,GE57&gt;=SchemeStart),IF(AND(Milestones!$AB$195="FT",Milestones!$AA$195=FT_Y5,GE57&lt;PolicyEff),1,Milestones!$AC$195),0))</f>
        <v>0</v>
      </c>
      <c r="GF59" s="0" t="n">
        <f aca="false">IF(GF57="",0,IF(AND(GF58=Milestones!$AB$196,GF57&gt;=SchemeStart),IF(AND(Milestones!$AB$196="FT",Milestones!$AA$196=FT_Y5,GF57&lt;PolicyEff),1,Milestones!$AC$196),0))</f>
        <v>0</v>
      </c>
      <c r="GG59" s="0" t="n">
        <f aca="false">IF(GG57="",0,IF(AND(GG58=Milestones!$AB$197,GG57&gt;=SchemeStart),IF(AND(Milestones!$AB$197="FT",Milestones!$AA$197=FT_Y5,GG57&lt;PolicyEff),1,Milestones!$AC$197),0))</f>
        <v>0</v>
      </c>
      <c r="GH59" s="0" t="n">
        <f aca="false">IF(GH57="",0,IF(AND(GH58=Milestones!$AB$198,GH57&gt;=SchemeStart),IF(AND(Milestones!$AB$198="FT",Milestones!$AA$198=FT_Y5,GH57&lt;PolicyEff),1,Milestones!$AC$198),0))</f>
        <v>0</v>
      </c>
      <c r="GI59" s="0" t="n">
        <f aca="false">IF(GI57="",0,IF(AND(GI58=Milestones!$AB$199,GI57&gt;=SchemeStart),IF(AND(Milestones!$AB$199="FT",Milestones!$AA$199=FT_Y5,GI57&lt;PolicyEff),1,Milestones!$AC$199),0))</f>
        <v>0</v>
      </c>
    </row>
    <row r="60" customFormat="false" ht="15" hidden="false" customHeight="false" outlineLevel="0" collapsed="false">
      <c r="A60" s="0" t="str">
        <f aca="false">IF('HR Tally Check'!U$7="","",'HR Tally Check'!U$7)</f>
        <v/>
      </c>
      <c r="B60" s="0" t="str">
        <f aca="false">IF(A60="","",ISNUMBER(MATCH(A60,Staff!$BR$5:$BR$154,0)))</f>
        <v/>
      </c>
      <c r="C60" s="20" t="str">
        <f aca="false">IF(B60&lt;&gt;TRUE(),"",INDEX(Staff!$AL$5:$AL$154,MATCH($A60,Staff!$BR$5:$BR$154,0)))</f>
        <v/>
      </c>
      <c r="D60" s="0" t="str">
        <f aca="false">IF(B60&lt;&gt;TRUE(),"",INDEX(Staff!$AM$5:$AM$154,MATCH($A60,Staff!$BR$5:$BR$154,0)))</f>
        <v/>
      </c>
      <c r="E60" s="20" t="str">
        <f aca="false">IF(B60&lt;&gt;TRUE(),"",INDEX(Staff!$AO$5:$AO$154,MATCH($A60,Staff!$BR$5:$BR$154,0)))</f>
        <v/>
      </c>
      <c r="F60" s="20" t="str">
        <f aca="false">IF(B60&lt;&gt;TRUE(),"",INDEX(Staff!$AP$5:$AP$154,MATCH($A60,Staff!$BR$5:$BR$154,0)))</f>
        <v/>
      </c>
      <c r="G60" s="0" t="str">
        <f aca="false">IF(B60&lt;&gt;TRUE(),"",INDEX(Staff!$AT$5:$AT$154,MATCH($A60,Staff!$BR$5:$BR$154,0)))</f>
        <v/>
      </c>
      <c r="H60" s="0" t="str">
        <f aca="false">IF(B60&lt;&gt;TRUE(),"",INDEX(Staff!$AU$5:$AU$154,MATCH($A60,Staff!$BR$5:$BR$154,0)))</f>
        <v/>
      </c>
      <c r="I60" s="0" t="str">
        <f aca="false">IF(B60&lt;&gt;TRUE(),"",INDEX(Staff!$AV$5:$AV$154,MATCH($A60,Staff!$BR$5:$BR$154,0)))</f>
        <v/>
      </c>
      <c r="J60" s="0" t="str">
        <f aca="false">IF(B60&lt;&gt;TRUE(),"",INDEX(Staff!$AW$5:$AW$154,MATCH($A60,Staff!$BR$5:$BR$154,0)))</f>
        <v/>
      </c>
      <c r="K60" s="33" t="s">
        <v>262</v>
      </c>
      <c r="L60" s="20" t="str">
        <f aca="false">IF($C60="","",EDATE($C60,Milestones!$AA$20))</f>
        <v/>
      </c>
      <c r="M60" s="20" t="str">
        <f aca="false">IF($C60="","",EDATE($C60,Milestones!$AA$21))</f>
        <v/>
      </c>
      <c r="N60" s="20" t="str">
        <f aca="false">IF($C60="","",EDATE($C60,Milestones!$AA$22))</f>
        <v/>
      </c>
      <c r="O60" s="20" t="str">
        <f aca="false">IF($C60="","",EDATE($C60,Milestones!$AA$23))</f>
        <v/>
      </c>
      <c r="P60" s="20" t="str">
        <f aca="false">IF($C60="","",EDATE($C60,Milestones!$AA$24))</f>
        <v/>
      </c>
      <c r="Q60" s="20" t="str">
        <f aca="false">IF($C60="","",EDATE($C60,Milestones!$AA$25))</f>
        <v/>
      </c>
      <c r="R60" s="20" t="str">
        <f aca="false">IF($C60="","",EDATE($C60,Milestones!$AA$26))</f>
        <v/>
      </c>
      <c r="S60" s="20" t="str">
        <f aca="false">IF($C60="","",EDATE($C60,Milestones!$AA$27))</f>
        <v/>
      </c>
      <c r="T60" s="20" t="str">
        <f aca="false">IF($C60="","",EDATE($C60,Milestones!$AA$28))</f>
        <v/>
      </c>
      <c r="U60" s="20" t="str">
        <f aca="false">IF($C60="","",EDATE($C60,Milestones!$AA$29))</f>
        <v/>
      </c>
      <c r="V60" s="20" t="str">
        <f aca="false">IF($C60="","",EDATE($C60,Milestones!$AA$30))</f>
        <v/>
      </c>
      <c r="W60" s="20" t="str">
        <f aca="false">IF($C60="","",EDATE($C60,Milestones!$AA$31))</f>
        <v/>
      </c>
      <c r="X60" s="20" t="str">
        <f aca="false">IF($C60="","",EDATE($C60,Milestones!$AA$32))</f>
        <v/>
      </c>
      <c r="Y60" s="20" t="str">
        <f aca="false">IF($C60="","",EDATE($C60,Milestones!$AA$33))</f>
        <v/>
      </c>
      <c r="Z60" s="20" t="str">
        <f aca="false">IF($C60="","",EDATE($C60,Milestones!$AA$34))</f>
        <v/>
      </c>
      <c r="AA60" s="20" t="str">
        <f aca="false">IF($C60="","",EDATE($C60,Milestones!$AA$35))</f>
        <v/>
      </c>
      <c r="AB60" s="20" t="str">
        <f aca="false">IF($C60="","",EDATE($C60,Milestones!$AA$36))</f>
        <v/>
      </c>
      <c r="AC60" s="20" t="str">
        <f aca="false">IF($C60="","",EDATE($C60,Milestones!$AA$37))</f>
        <v/>
      </c>
      <c r="AD60" s="20" t="str">
        <f aca="false">IF($C60="","",EDATE($C60,Milestones!$AA$38))</f>
        <v/>
      </c>
      <c r="AE60" s="20" t="str">
        <f aca="false">IF($C60="","",EDATE($C60,Milestones!$AA$39))</f>
        <v/>
      </c>
      <c r="AF60" s="20" t="str">
        <f aca="false">IF($C60="","",EDATE($C60,Milestones!$AA$40))</f>
        <v/>
      </c>
      <c r="AG60" s="20" t="str">
        <f aca="false">IF($C60="","",EDATE($C60,Milestones!$AA$41))</f>
        <v/>
      </c>
      <c r="AH60" s="20" t="str">
        <f aca="false">IF($C60="","",EDATE($C60,Milestones!$AA$42))</f>
        <v/>
      </c>
      <c r="AI60" s="20" t="str">
        <f aca="false">IF($C60="","",EDATE($C60,Milestones!$AA$43))</f>
        <v/>
      </c>
      <c r="AJ60" s="20" t="str">
        <f aca="false">IF($C60="","",EDATE($C60,Milestones!$AA$44))</f>
        <v/>
      </c>
      <c r="AK60" s="20" t="str">
        <f aca="false">IF($C60="","",EDATE($C60,Milestones!$AA$45))</f>
        <v/>
      </c>
      <c r="AL60" s="20" t="str">
        <f aca="false">IF($C60="","",EDATE($C60,Milestones!$AA$46))</f>
        <v/>
      </c>
      <c r="AM60" s="20" t="str">
        <f aca="false">IF($C60="","",EDATE($C60,Milestones!$AA$47))</f>
        <v/>
      </c>
      <c r="AN60" s="20" t="str">
        <f aca="false">IF($C60="","",EDATE($C60,Milestones!$AA$48))</f>
        <v/>
      </c>
      <c r="AO60" s="20" t="str">
        <f aca="false">IF($C60="","",EDATE($C60,Milestones!$AA$49))</f>
        <v/>
      </c>
      <c r="AP60" s="20" t="str">
        <f aca="false">IF($C60="","",EDATE($C60,Milestones!$AA$50))</f>
        <v/>
      </c>
      <c r="AQ60" s="20" t="str">
        <f aca="false">IF($C60="","",EDATE($C60,Milestones!$AA$51))</f>
        <v/>
      </c>
      <c r="AR60" s="20" t="str">
        <f aca="false">IF($C60="","",EDATE($C60,Milestones!$AA$52))</f>
        <v/>
      </c>
      <c r="AS60" s="20" t="str">
        <f aca="false">IF($C60="","",EDATE($C60,Milestones!$AA$53))</f>
        <v/>
      </c>
      <c r="AT60" s="20" t="str">
        <f aca="false">IF($C60="","",EDATE($C60,Milestones!$AA$54))</f>
        <v/>
      </c>
      <c r="AU60" s="20" t="str">
        <f aca="false">IF($C60="","",EDATE($C60,Milestones!$AA$55))</f>
        <v/>
      </c>
      <c r="AV60" s="20" t="str">
        <f aca="false">IF($C60="","",EDATE($C60,Milestones!$AA$56))</f>
        <v/>
      </c>
      <c r="AW60" s="20" t="str">
        <f aca="false">IF($C60="","",EDATE($C60,Milestones!$AA$57))</f>
        <v/>
      </c>
      <c r="AX60" s="20" t="str">
        <f aca="false">IF($C60="","",EDATE($C60,Milestones!$AA$58))</f>
        <v/>
      </c>
      <c r="AY60" s="20" t="str">
        <f aca="false">IF($C60="","",EDATE($C60,Milestones!$AA$59))</f>
        <v/>
      </c>
      <c r="AZ60" s="20" t="str">
        <f aca="false">IF($C60="","",EDATE($C60,Milestones!$AA$60))</f>
        <v/>
      </c>
      <c r="BA60" s="20" t="str">
        <f aca="false">IF($C60="","",EDATE($C60,Milestones!$AA$61))</f>
        <v/>
      </c>
      <c r="BB60" s="20" t="str">
        <f aca="false">IF($C60="","",EDATE($C60,Milestones!$AA$62))</f>
        <v/>
      </c>
      <c r="BC60" s="20" t="str">
        <f aca="false">IF($C60="","",EDATE($C60,Milestones!$AA$63))</f>
        <v/>
      </c>
      <c r="BD60" s="20" t="str">
        <f aca="false">IF($C60="","",EDATE($C60,Milestones!$AA$64))</f>
        <v/>
      </c>
      <c r="BE60" s="20" t="str">
        <f aca="false">IF($C60="","",EDATE($C60,Milestones!$AA$65))</f>
        <v/>
      </c>
      <c r="BF60" s="20" t="str">
        <f aca="false">IF($C60="","",EDATE($C60,Milestones!$AA$66))</f>
        <v/>
      </c>
      <c r="BG60" s="20" t="str">
        <f aca="false">IF($C60="","",EDATE($C60,Milestones!$AA$67))</f>
        <v/>
      </c>
      <c r="BH60" s="20" t="str">
        <f aca="false">IF($C60="","",EDATE($C60,Milestones!$AA$68))</f>
        <v/>
      </c>
      <c r="BI60" s="20" t="str">
        <f aca="false">IF($C60="","",EDATE($C60,Milestones!$AA$69))</f>
        <v/>
      </c>
      <c r="BJ60" s="20" t="str">
        <f aca="false">IF($C60="","",EDATE($C60,Milestones!$AA$70))</f>
        <v/>
      </c>
      <c r="BK60" s="20" t="str">
        <f aca="false">IF($C60="","",EDATE($C60,Milestones!$AA$71))</f>
        <v/>
      </c>
      <c r="BL60" s="20" t="str">
        <f aca="false">IF($C60="","",EDATE($C60,Milestones!$AA$72))</f>
        <v/>
      </c>
      <c r="BM60" s="20" t="str">
        <f aca="false">IF($C60="","",EDATE($C60,Milestones!$AA$73))</f>
        <v/>
      </c>
      <c r="BN60" s="20" t="str">
        <f aca="false">IF($C60="","",EDATE($C60,Milestones!$AA$74))</f>
        <v/>
      </c>
      <c r="BO60" s="20" t="str">
        <f aca="false">IF($C60="","",EDATE($C60,Milestones!$AA$75))</f>
        <v/>
      </c>
      <c r="BP60" s="20" t="str">
        <f aca="false">IF($C60="","",EDATE($C60,Milestones!$AA$76))</f>
        <v/>
      </c>
      <c r="BQ60" s="20" t="str">
        <f aca="false">IF($C60="","",EDATE($C60,Milestones!$AA$77))</f>
        <v/>
      </c>
      <c r="BR60" s="20" t="str">
        <f aca="false">IF($C60="","",EDATE($C60,Milestones!$AA$78))</f>
        <v/>
      </c>
      <c r="BS60" s="20" t="str">
        <f aca="false">IF($C60="","",EDATE($C60,Milestones!$AA$79))</f>
        <v/>
      </c>
      <c r="BT60" s="20" t="str">
        <f aca="false">IF($C60="","",EDATE($C60,Milestones!$AA$80))</f>
        <v/>
      </c>
      <c r="BU60" s="20" t="str">
        <f aca="false">IF($C60="","",EDATE($C60,Milestones!$AA$81))</f>
        <v/>
      </c>
      <c r="BV60" s="20" t="str">
        <f aca="false">IF($C60="","",EDATE($C60,Milestones!$AA$82))</f>
        <v/>
      </c>
      <c r="BW60" s="20" t="str">
        <f aca="false">IF($C60="","",EDATE($C60,Milestones!$AA$83))</f>
        <v/>
      </c>
      <c r="BX60" s="20" t="str">
        <f aca="false">IF($C60="","",EDATE($C60,Milestones!$AA$84))</f>
        <v/>
      </c>
      <c r="BY60" s="20" t="str">
        <f aca="false">IF($C60="","",EDATE($C60,Milestones!$AA$85))</f>
        <v/>
      </c>
      <c r="BZ60" s="20" t="str">
        <f aca="false">IF($C60="","",EDATE($C60,Milestones!$AA$86))</f>
        <v/>
      </c>
      <c r="CA60" s="20" t="str">
        <f aca="false">IF($C60="","",EDATE($C60,Milestones!$AA$87))</f>
        <v/>
      </c>
      <c r="CB60" s="20" t="str">
        <f aca="false">IF($C60="","",EDATE($C60,Milestones!$AA$88))</f>
        <v/>
      </c>
      <c r="CC60" s="20" t="str">
        <f aca="false">IF($C60="","",EDATE($C60,Milestones!$AA$89))</f>
        <v/>
      </c>
      <c r="CD60" s="20" t="str">
        <f aca="false">IF($C60="","",EDATE($C60,Milestones!$AA$90))</f>
        <v/>
      </c>
      <c r="CE60" s="20" t="str">
        <f aca="false">IF($C60="","",EDATE($C60,Milestones!$AA$91))</f>
        <v/>
      </c>
      <c r="CF60" s="20" t="str">
        <f aca="false">IF($C60="","",EDATE($C60,Milestones!$AA$92))</f>
        <v/>
      </c>
      <c r="CG60" s="20" t="str">
        <f aca="false">IF($C60="","",EDATE($C60,Milestones!$AA$93))</f>
        <v/>
      </c>
      <c r="CH60" s="20" t="str">
        <f aca="false">IF($C60="","",EDATE($C60,Milestones!$AA$94))</f>
        <v/>
      </c>
      <c r="CI60" s="20" t="str">
        <f aca="false">IF($C60="","",EDATE($C60,Milestones!$AA$95))</f>
        <v/>
      </c>
      <c r="CJ60" s="20" t="str">
        <f aca="false">IF($C60="","",EDATE($C60,Milestones!$AA$96))</f>
        <v/>
      </c>
      <c r="CK60" s="20" t="str">
        <f aca="false">IF($C60="","",EDATE($C60,Milestones!$AA$97))</f>
        <v/>
      </c>
      <c r="CL60" s="20" t="str">
        <f aca="false">IF($C60="","",EDATE($C60,Milestones!$AA$98))</f>
        <v/>
      </c>
      <c r="CM60" s="20" t="str">
        <f aca="false">IF($C60="","",EDATE($C60,Milestones!$AA$99))</f>
        <v/>
      </c>
      <c r="CN60" s="20" t="str">
        <f aca="false">IF($C60="","",EDATE($C60,Milestones!$AA$100))</f>
        <v/>
      </c>
      <c r="CO60" s="20" t="str">
        <f aca="false">IF($C60="","",EDATE($C60,Milestones!$AA$101))</f>
        <v/>
      </c>
      <c r="CP60" s="20" t="str">
        <f aca="false">IF($C60="","",EDATE($C60,Milestones!$AA$102))</f>
        <v/>
      </c>
      <c r="CQ60" s="20" t="str">
        <f aca="false">IF($C60="","",EDATE($C60,Milestones!$AA$103))</f>
        <v/>
      </c>
      <c r="CR60" s="20" t="str">
        <f aca="false">IF($C60="","",EDATE($C60,Milestones!$AA$104))</f>
        <v/>
      </c>
      <c r="CS60" s="20" t="str">
        <f aca="false">IF($C60="","",EDATE($C60,Milestones!$AA$105))</f>
        <v/>
      </c>
      <c r="CT60" s="20" t="str">
        <f aca="false">IF($C60="","",EDATE($C60,Milestones!$AA$106))</f>
        <v/>
      </c>
      <c r="CU60" s="20" t="str">
        <f aca="false">IF($C60="","",EDATE($C60,Milestones!$AA$107))</f>
        <v/>
      </c>
      <c r="CV60" s="20" t="str">
        <f aca="false">IF($C60="","",EDATE($C60,Milestones!$AA$108))</f>
        <v/>
      </c>
      <c r="CW60" s="20" t="str">
        <f aca="false">IF($C60="","",EDATE($C60,Milestones!$AA$109))</f>
        <v/>
      </c>
      <c r="CX60" s="20" t="str">
        <f aca="false">IF($C60="","",EDATE($C60,Milestones!$AA$110))</f>
        <v/>
      </c>
      <c r="CY60" s="20" t="str">
        <f aca="false">IF($C60="","",EDATE($C60,Milestones!$AA$111))</f>
        <v/>
      </c>
      <c r="CZ60" s="20" t="str">
        <f aca="false">IF($C60="","",EDATE($C60,Milestones!$AA$112))</f>
        <v/>
      </c>
      <c r="DA60" s="20" t="str">
        <f aca="false">IF($C60="","",EDATE($C60,Milestones!$AA$113))</f>
        <v/>
      </c>
      <c r="DB60" s="20" t="str">
        <f aca="false">IF($C60="","",EDATE($C60,Milestones!$AA$114))</f>
        <v/>
      </c>
      <c r="DC60" s="20" t="str">
        <f aca="false">IF($C60="","",EDATE($C60,Milestones!$AA$115))</f>
        <v/>
      </c>
      <c r="DD60" s="20" t="str">
        <f aca="false">IF($C60="","",EDATE($C60,Milestones!$AA$116))</f>
        <v/>
      </c>
      <c r="DE60" s="20" t="str">
        <f aca="false">IF($C60="","",EDATE($C60,Milestones!$AA$117))</f>
        <v/>
      </c>
      <c r="DF60" s="20" t="str">
        <f aca="false">IF($C60="","",EDATE($C60,Milestones!$AA$118))</f>
        <v/>
      </c>
      <c r="DG60" s="20" t="str">
        <f aca="false">IF($C60="","",EDATE($C60,Milestones!$AA$119))</f>
        <v/>
      </c>
      <c r="DH60" s="20" t="str">
        <f aca="false">IF($C60="","",EDATE($C60,Milestones!$AA$120))</f>
        <v/>
      </c>
      <c r="DI60" s="20" t="str">
        <f aca="false">IF($C60="","",EDATE($C60,Milestones!$AA$121))</f>
        <v/>
      </c>
      <c r="DJ60" s="20" t="str">
        <f aca="false">IF($C60="","",EDATE($C60,Milestones!$AA$122))</f>
        <v/>
      </c>
      <c r="DK60" s="20" t="str">
        <f aca="false">IF($C60="","",EDATE($C60,Milestones!$AA$123))</f>
        <v/>
      </c>
      <c r="DL60" s="20" t="str">
        <f aca="false">IF($C60="","",EDATE($C60,Milestones!$AA$124))</f>
        <v/>
      </c>
      <c r="DM60" s="20" t="str">
        <f aca="false">IF($C60="","",EDATE($C60,Milestones!$AA$125))</f>
        <v/>
      </c>
      <c r="DN60" s="20" t="str">
        <f aca="false">IF($C60="","",EDATE($C60,Milestones!$AA$126))</f>
        <v/>
      </c>
      <c r="DO60" s="20" t="str">
        <f aca="false">IF($C60="","",EDATE($C60,Milestones!$AA$127))</f>
        <v/>
      </c>
      <c r="DP60" s="20" t="str">
        <f aca="false">IF($C60="","",EDATE($C60,Milestones!$AA$128))</f>
        <v/>
      </c>
      <c r="DQ60" s="20" t="str">
        <f aca="false">IF($C60="","",EDATE($C60,Milestones!$AA$129))</f>
        <v/>
      </c>
      <c r="DR60" s="20" t="str">
        <f aca="false">IF($C60="","",EDATE($C60,Milestones!$AA$130))</f>
        <v/>
      </c>
      <c r="DS60" s="20" t="str">
        <f aca="false">IF($C60="","",EDATE($C60,Milestones!$AA$131))</f>
        <v/>
      </c>
      <c r="DT60" s="20" t="str">
        <f aca="false">IF($C60="","",EDATE($C60,Milestones!$AA$132))</f>
        <v/>
      </c>
      <c r="DU60" s="20" t="str">
        <f aca="false">IF($C60="","",EDATE($C60,Milestones!$AA$133))</f>
        <v/>
      </c>
      <c r="DV60" s="20" t="str">
        <f aca="false">IF($C60="","",EDATE($C60,Milestones!$AA$134))</f>
        <v/>
      </c>
      <c r="DW60" s="20" t="str">
        <f aca="false">IF($C60="","",EDATE($C60,Milestones!$AA$135))</f>
        <v/>
      </c>
      <c r="DX60" s="20" t="str">
        <f aca="false">IF($C60="","",EDATE($C60,Milestones!$AA$136))</f>
        <v/>
      </c>
      <c r="DY60" s="20" t="str">
        <f aca="false">IF($C60="","",EDATE($C60,Milestones!$AA$137))</f>
        <v/>
      </c>
      <c r="DZ60" s="20" t="str">
        <f aca="false">IF($C60="","",EDATE($C60,Milestones!$AA$138))</f>
        <v/>
      </c>
      <c r="EA60" s="20" t="str">
        <f aca="false">IF($C60="","",EDATE($C60,Milestones!$AA$139))</f>
        <v/>
      </c>
      <c r="EB60" s="20" t="str">
        <f aca="false">IF($C60="","",EDATE($C60,Milestones!$AA$140))</f>
        <v/>
      </c>
      <c r="EC60" s="20" t="str">
        <f aca="false">IF($C60="","",EDATE($C60,Milestones!$AA$141))</f>
        <v/>
      </c>
      <c r="ED60" s="20" t="str">
        <f aca="false">IF($C60="","",EDATE($C60,Milestones!$AA$142))</f>
        <v/>
      </c>
      <c r="EE60" s="20" t="str">
        <f aca="false">IF($C60="","",EDATE($C60,Milestones!$AA$143))</f>
        <v/>
      </c>
      <c r="EF60" s="20" t="str">
        <f aca="false">IF($C60="","",EDATE($C60,Milestones!$AA$144))</f>
        <v/>
      </c>
      <c r="EG60" s="20" t="str">
        <f aca="false">IF($C60="","",EDATE($C60,Milestones!$AA$145))</f>
        <v/>
      </c>
      <c r="EH60" s="20" t="str">
        <f aca="false">IF($C60="","",EDATE($C60,Milestones!$AA$146))</f>
        <v/>
      </c>
      <c r="EI60" s="20" t="str">
        <f aca="false">IF($C60="","",EDATE($C60,Milestones!$AA$147))</f>
        <v/>
      </c>
      <c r="EJ60" s="20" t="str">
        <f aca="false">IF($C60="","",EDATE($C60,Milestones!$AA$148))</f>
        <v/>
      </c>
      <c r="EK60" s="20" t="str">
        <f aca="false">IF($C60="","",EDATE($C60,Milestones!$AA$149))</f>
        <v/>
      </c>
      <c r="EL60" s="20" t="str">
        <f aca="false">IF($C60="","",EDATE($C60,Milestones!$AA$150))</f>
        <v/>
      </c>
      <c r="EM60" s="20" t="str">
        <f aca="false">IF($C60="","",EDATE($C60,Milestones!$AA$151))</f>
        <v/>
      </c>
      <c r="EN60" s="20" t="str">
        <f aca="false">IF($C60="","",EDATE($C60,Milestones!$AA$152))</f>
        <v/>
      </c>
      <c r="EO60" s="20" t="str">
        <f aca="false">IF($C60="","",EDATE($C60,Milestones!$AA$153))</f>
        <v/>
      </c>
      <c r="EP60" s="20" t="str">
        <f aca="false">IF($C60="","",EDATE($C60,Milestones!$AA$154))</f>
        <v/>
      </c>
      <c r="EQ60" s="20" t="str">
        <f aca="false">IF($C60="","",EDATE($C60,Milestones!$AA$155))</f>
        <v/>
      </c>
      <c r="ER60" s="20" t="str">
        <f aca="false">IF($C60="","",EDATE($C60,Milestones!$AA$156))</f>
        <v/>
      </c>
      <c r="ES60" s="20" t="str">
        <f aca="false">IF($C60="","",EDATE($C60,Milestones!$AA$157))</f>
        <v/>
      </c>
      <c r="ET60" s="20" t="str">
        <f aca="false">IF($C60="","",EDATE($C60,Milestones!$AA$158))</f>
        <v/>
      </c>
      <c r="EU60" s="20" t="str">
        <f aca="false">IF($C60="","",EDATE($C60,Milestones!$AA$159))</f>
        <v/>
      </c>
      <c r="EV60" s="20" t="str">
        <f aca="false">IF($C60="","",EDATE($C60,Milestones!$AA$160))</f>
        <v/>
      </c>
      <c r="EW60" s="20" t="str">
        <f aca="false">IF($C60="","",EDATE($C60,Milestones!$AA$161))</f>
        <v/>
      </c>
      <c r="EX60" s="20" t="str">
        <f aca="false">IF($C60="","",EDATE($C60,Milestones!$AA$162))</f>
        <v/>
      </c>
      <c r="EY60" s="20" t="str">
        <f aca="false">IF($C60="","",EDATE($C60,Milestones!$AA$163))</f>
        <v/>
      </c>
      <c r="EZ60" s="20" t="str">
        <f aca="false">IF($C60="","",EDATE($C60,Milestones!$AA$164))</f>
        <v/>
      </c>
      <c r="FA60" s="20" t="str">
        <f aca="false">IF($C60="","",EDATE($C60,Milestones!$AA$165))</f>
        <v/>
      </c>
      <c r="FB60" s="20" t="str">
        <f aca="false">IF($C60="","",EDATE($C60,Milestones!$AA$166))</f>
        <v/>
      </c>
      <c r="FC60" s="20" t="str">
        <f aca="false">IF($C60="","",EDATE($C60,Milestones!$AA$167))</f>
        <v/>
      </c>
      <c r="FD60" s="20" t="str">
        <f aca="false">IF($C60="","",EDATE($C60,Milestones!$AA$168))</f>
        <v/>
      </c>
      <c r="FE60" s="20" t="str">
        <f aca="false">IF($C60="","",EDATE($C60,Milestones!$AA$169))</f>
        <v/>
      </c>
      <c r="FF60" s="20" t="str">
        <f aca="false">IF($C60="","",EDATE($C60,Milestones!$AA$170))</f>
        <v/>
      </c>
      <c r="FG60" s="20" t="str">
        <f aca="false">IF($C60="","",EDATE($C60,Milestones!$AA$171))</f>
        <v/>
      </c>
      <c r="FH60" s="20" t="str">
        <f aca="false">IF($C60="","",EDATE($C60,Milestones!$AA$172))</f>
        <v/>
      </c>
      <c r="FI60" s="20" t="str">
        <f aca="false">IF($C60="","",EDATE($C60,Milestones!$AA$173))</f>
        <v/>
      </c>
      <c r="FJ60" s="20" t="str">
        <f aca="false">IF($C60="","",EDATE($C60,Milestones!$AA$174))</f>
        <v/>
      </c>
      <c r="FK60" s="20" t="str">
        <f aca="false">IF($C60="","",EDATE($C60,Milestones!$AA$175))</f>
        <v/>
      </c>
      <c r="FL60" s="20" t="str">
        <f aca="false">IF($C60="","",EDATE($C60,Milestones!$AA$176))</f>
        <v/>
      </c>
      <c r="FM60" s="20" t="str">
        <f aca="false">IF($C60="","",EDATE($C60,Milestones!$AA$177))</f>
        <v/>
      </c>
      <c r="FN60" s="20" t="str">
        <f aca="false">IF($C60="","",EDATE($C60,Milestones!$AA$178))</f>
        <v/>
      </c>
      <c r="FO60" s="20" t="str">
        <f aca="false">IF($C60="","",EDATE($C60,Milestones!$AA$179))</f>
        <v/>
      </c>
      <c r="FP60" s="20" t="str">
        <f aca="false">IF($C60="","",EDATE($C60,Milestones!$AA$180))</f>
        <v/>
      </c>
      <c r="FQ60" s="20" t="str">
        <f aca="false">IF($C60="","",EDATE($C60,Milestones!$AA$181))</f>
        <v/>
      </c>
      <c r="FR60" s="20" t="str">
        <f aca="false">IF($C60="","",EDATE($C60,Milestones!$AA$182))</f>
        <v/>
      </c>
      <c r="FS60" s="20" t="str">
        <f aca="false">IF($C60="","",EDATE($C60,Milestones!$AA$183))</f>
        <v/>
      </c>
      <c r="FT60" s="20" t="str">
        <f aca="false">IF($C60="","",EDATE($C60,Milestones!$AA$184))</f>
        <v/>
      </c>
      <c r="FU60" s="20" t="str">
        <f aca="false">IF($C60="","",EDATE($C60,Milestones!$AA$185))</f>
        <v/>
      </c>
      <c r="FV60" s="20" t="str">
        <f aca="false">IF($C60="","",EDATE($C60,Milestones!$AA$186))</f>
        <v/>
      </c>
      <c r="FW60" s="20" t="str">
        <f aca="false">IF($C60="","",EDATE($C60,Milestones!$AA$187))</f>
        <v/>
      </c>
      <c r="FX60" s="20" t="str">
        <f aca="false">IF($C60="","",EDATE($C60,Milestones!$AA$188))</f>
        <v/>
      </c>
      <c r="FY60" s="20" t="str">
        <f aca="false">IF($C60="","",EDATE($C60,Milestones!$AA$189))</f>
        <v/>
      </c>
      <c r="FZ60" s="20" t="str">
        <f aca="false">IF($C60="","",EDATE($C60,Milestones!$AA$190))</f>
        <v/>
      </c>
      <c r="GA60" s="20" t="str">
        <f aca="false">IF($C60="","",EDATE($C60,Milestones!$AA$191))</f>
        <v/>
      </c>
      <c r="GB60" s="20" t="str">
        <f aca="false">IF($C60="","",EDATE($C60,Milestones!$AA$192))</f>
        <v/>
      </c>
      <c r="GC60" s="20" t="str">
        <f aca="false">IF($C60="","",EDATE($C60,Milestones!$AA$193))</f>
        <v/>
      </c>
      <c r="GD60" s="20" t="str">
        <f aca="false">IF($C60="","",EDATE($C60,Milestones!$AA$194))</f>
        <v/>
      </c>
      <c r="GE60" s="20" t="str">
        <f aca="false">IF($C60="","",EDATE($C60,Milestones!$AA$195))</f>
        <v/>
      </c>
      <c r="GF60" s="20" t="str">
        <f aca="false">IF($C60="","",EDATE($C60,Milestones!$AA$196))</f>
        <v/>
      </c>
      <c r="GG60" s="20" t="str">
        <f aca="false">IF($C60="","",EDATE($C60,Milestones!$AA$197))</f>
        <v/>
      </c>
      <c r="GH60" s="20" t="str">
        <f aca="false">IF($C60="","",EDATE($C60,Milestones!$AA$198))</f>
        <v/>
      </c>
      <c r="GI60" s="20" t="str">
        <f aca="false">IF($C60="","",EDATE($C60,Milestones!$AA$199))</f>
        <v/>
      </c>
    </row>
    <row r="61" customFormat="false" ht="15" hidden="false" customHeight="false" outlineLevel="0" collapsed="false">
      <c r="K61" s="0" t="s">
        <v>263</v>
      </c>
      <c r="L61" s="0" t="str">
        <f aca="false">IF(L60="","",IF($D60=0,$J60,IF(AND($F60&lt;&gt;"",L60&gt;=$F60),$I60,IF(AND($E60&lt;&gt;"",L60&gt;=$E60),$H60,$G60))))</f>
        <v/>
      </c>
      <c r="M61" s="0" t="str">
        <f aca="false">IF(M60="","",IF($D60=0,$J60,IF(AND($F60&lt;&gt;"",M60&gt;=$F60),$I60,IF(AND($E60&lt;&gt;"",M60&gt;=$E60),$H60,$G60))))</f>
        <v/>
      </c>
      <c r="N61" s="0" t="str">
        <f aca="false">IF(N60="","",IF($D60=0,$J60,IF(AND($F60&lt;&gt;"",N60&gt;=$F60),$I60,IF(AND($E60&lt;&gt;"",N60&gt;=$E60),$H60,$G60))))</f>
        <v/>
      </c>
      <c r="O61" s="0" t="str">
        <f aca="false">IF(O60="","",IF($D60=0,$J60,IF(AND($F60&lt;&gt;"",O60&gt;=$F60),$I60,IF(AND($E60&lt;&gt;"",O60&gt;=$E60),$H60,$G60))))</f>
        <v/>
      </c>
      <c r="P61" s="0" t="str">
        <f aca="false">IF(P60="","",IF($D60=0,$J60,IF(AND($F60&lt;&gt;"",P60&gt;=$F60),$I60,IF(AND($E60&lt;&gt;"",P60&gt;=$E60),$H60,$G60))))</f>
        <v/>
      </c>
      <c r="Q61" s="0" t="str">
        <f aca="false">IF(Q60="","",IF($D60=0,$J60,IF(AND($F60&lt;&gt;"",Q60&gt;=$F60),$I60,IF(AND($E60&lt;&gt;"",Q60&gt;=$E60),$H60,$G60))))</f>
        <v/>
      </c>
      <c r="R61" s="0" t="str">
        <f aca="false">IF(R60="","",IF($D60=0,$J60,IF(AND($F60&lt;&gt;"",R60&gt;=$F60),$I60,IF(AND($E60&lt;&gt;"",R60&gt;=$E60),$H60,$G60))))</f>
        <v/>
      </c>
      <c r="S61" s="0" t="str">
        <f aca="false">IF(S60="","",IF($D60=0,$J60,IF(AND($F60&lt;&gt;"",S60&gt;=$F60),$I60,IF(AND($E60&lt;&gt;"",S60&gt;=$E60),$H60,$G60))))</f>
        <v/>
      </c>
      <c r="T61" s="0" t="str">
        <f aca="false">IF(T60="","",IF($D60=0,$J60,IF(AND($F60&lt;&gt;"",T60&gt;=$F60),$I60,IF(AND($E60&lt;&gt;"",T60&gt;=$E60),$H60,$G60))))</f>
        <v/>
      </c>
      <c r="U61" s="0" t="str">
        <f aca="false">IF(U60="","",IF($D60=0,$J60,IF(AND($F60&lt;&gt;"",U60&gt;=$F60),$I60,IF(AND($E60&lt;&gt;"",U60&gt;=$E60),$H60,$G60))))</f>
        <v/>
      </c>
      <c r="V61" s="0" t="str">
        <f aca="false">IF(V60="","",IF($D60=0,$J60,IF(AND($F60&lt;&gt;"",V60&gt;=$F60),$I60,IF(AND($E60&lt;&gt;"",V60&gt;=$E60),$H60,$G60))))</f>
        <v/>
      </c>
      <c r="W61" s="0" t="str">
        <f aca="false">IF(W60="","",IF($D60=0,$J60,IF(AND($F60&lt;&gt;"",W60&gt;=$F60),$I60,IF(AND($E60&lt;&gt;"",W60&gt;=$E60),$H60,$G60))))</f>
        <v/>
      </c>
      <c r="X61" s="0" t="str">
        <f aca="false">IF(X60="","",IF($D60=0,$J60,IF(AND($F60&lt;&gt;"",X60&gt;=$F60),$I60,IF(AND($E60&lt;&gt;"",X60&gt;=$E60),$H60,$G60))))</f>
        <v/>
      </c>
      <c r="Y61" s="0" t="str">
        <f aca="false">IF(Y60="","",IF($D60=0,$J60,IF(AND($F60&lt;&gt;"",Y60&gt;=$F60),$I60,IF(AND($E60&lt;&gt;"",Y60&gt;=$E60),$H60,$G60))))</f>
        <v/>
      </c>
      <c r="Z61" s="0" t="str">
        <f aca="false">IF(Z60="","",IF($D60=0,$J60,IF(AND($F60&lt;&gt;"",Z60&gt;=$F60),$I60,IF(AND($E60&lt;&gt;"",Z60&gt;=$E60),$H60,$G60))))</f>
        <v/>
      </c>
      <c r="AA61" s="0" t="str">
        <f aca="false">IF(AA60="","",IF($D60=0,$J60,IF(AND($F60&lt;&gt;"",AA60&gt;=$F60),$I60,IF(AND($E60&lt;&gt;"",AA60&gt;=$E60),$H60,$G60))))</f>
        <v/>
      </c>
      <c r="AB61" s="0" t="str">
        <f aca="false">IF(AB60="","",IF($D60=0,$J60,IF(AND($F60&lt;&gt;"",AB60&gt;=$F60),$I60,IF(AND($E60&lt;&gt;"",AB60&gt;=$E60),$H60,$G60))))</f>
        <v/>
      </c>
      <c r="AC61" s="0" t="str">
        <f aca="false">IF(AC60="","",IF($D60=0,$J60,IF(AND($F60&lt;&gt;"",AC60&gt;=$F60),$I60,IF(AND($E60&lt;&gt;"",AC60&gt;=$E60),$H60,$G60))))</f>
        <v/>
      </c>
      <c r="AD61" s="0" t="str">
        <f aca="false">IF(AD60="","",IF($D60=0,$J60,IF(AND($F60&lt;&gt;"",AD60&gt;=$F60),$I60,IF(AND($E60&lt;&gt;"",AD60&gt;=$E60),$H60,$G60))))</f>
        <v/>
      </c>
      <c r="AE61" s="0" t="str">
        <f aca="false">IF(AE60="","",IF($D60=0,$J60,IF(AND($F60&lt;&gt;"",AE60&gt;=$F60),$I60,IF(AND($E60&lt;&gt;"",AE60&gt;=$E60),$H60,$G60))))</f>
        <v/>
      </c>
      <c r="AF61" s="0" t="str">
        <f aca="false">IF(AF60="","",IF($D60=0,$J60,IF(AND($F60&lt;&gt;"",AF60&gt;=$F60),$I60,IF(AND($E60&lt;&gt;"",AF60&gt;=$E60),$H60,$G60))))</f>
        <v/>
      </c>
      <c r="AG61" s="0" t="str">
        <f aca="false">IF(AG60="","",IF($D60=0,$J60,IF(AND($F60&lt;&gt;"",AG60&gt;=$F60),$I60,IF(AND($E60&lt;&gt;"",AG60&gt;=$E60),$H60,$G60))))</f>
        <v/>
      </c>
      <c r="AH61" s="0" t="str">
        <f aca="false">IF(AH60="","",IF($D60=0,$J60,IF(AND($F60&lt;&gt;"",AH60&gt;=$F60),$I60,IF(AND($E60&lt;&gt;"",AH60&gt;=$E60),$H60,$G60))))</f>
        <v/>
      </c>
      <c r="AI61" s="0" t="str">
        <f aca="false">IF(AI60="","",IF($D60=0,$J60,IF(AND($F60&lt;&gt;"",AI60&gt;=$F60),$I60,IF(AND($E60&lt;&gt;"",AI60&gt;=$E60),$H60,$G60))))</f>
        <v/>
      </c>
      <c r="AJ61" s="0" t="str">
        <f aca="false">IF(AJ60="","",IF($D60=0,$J60,IF(AND($F60&lt;&gt;"",AJ60&gt;=$F60),$I60,IF(AND($E60&lt;&gt;"",AJ60&gt;=$E60),$H60,$G60))))</f>
        <v/>
      </c>
      <c r="AK61" s="0" t="str">
        <f aca="false">IF(AK60="","",IF($D60=0,$J60,IF(AND($F60&lt;&gt;"",AK60&gt;=$F60),$I60,IF(AND($E60&lt;&gt;"",AK60&gt;=$E60),$H60,$G60))))</f>
        <v/>
      </c>
      <c r="AL61" s="0" t="str">
        <f aca="false">IF(AL60="","",IF($D60=0,$J60,IF(AND($F60&lt;&gt;"",AL60&gt;=$F60),$I60,IF(AND($E60&lt;&gt;"",AL60&gt;=$E60),$H60,$G60))))</f>
        <v/>
      </c>
      <c r="AM61" s="0" t="str">
        <f aca="false">IF(AM60="","",IF($D60=0,$J60,IF(AND($F60&lt;&gt;"",AM60&gt;=$F60),$I60,IF(AND($E60&lt;&gt;"",AM60&gt;=$E60),$H60,$G60))))</f>
        <v/>
      </c>
      <c r="AN61" s="0" t="str">
        <f aca="false">IF(AN60="","",IF($D60=0,$J60,IF(AND($F60&lt;&gt;"",AN60&gt;=$F60),$I60,IF(AND($E60&lt;&gt;"",AN60&gt;=$E60),$H60,$G60))))</f>
        <v/>
      </c>
      <c r="AO61" s="0" t="str">
        <f aca="false">IF(AO60="","",IF($D60=0,$J60,IF(AND($F60&lt;&gt;"",AO60&gt;=$F60),$I60,IF(AND($E60&lt;&gt;"",AO60&gt;=$E60),$H60,$G60))))</f>
        <v/>
      </c>
      <c r="AP61" s="0" t="str">
        <f aca="false">IF(AP60="","",IF($D60=0,$J60,IF(AND($F60&lt;&gt;"",AP60&gt;=$F60),$I60,IF(AND($E60&lt;&gt;"",AP60&gt;=$E60),$H60,$G60))))</f>
        <v/>
      </c>
      <c r="AQ61" s="0" t="str">
        <f aca="false">IF(AQ60="","",IF($D60=0,$J60,IF(AND($F60&lt;&gt;"",AQ60&gt;=$F60),$I60,IF(AND($E60&lt;&gt;"",AQ60&gt;=$E60),$H60,$G60))))</f>
        <v/>
      </c>
      <c r="AR61" s="0" t="str">
        <f aca="false">IF(AR60="","",IF($D60=0,$J60,IF(AND($F60&lt;&gt;"",AR60&gt;=$F60),$I60,IF(AND($E60&lt;&gt;"",AR60&gt;=$E60),$H60,$G60))))</f>
        <v/>
      </c>
      <c r="AS61" s="0" t="str">
        <f aca="false">IF(AS60="","",IF($D60=0,$J60,IF(AND($F60&lt;&gt;"",AS60&gt;=$F60),$I60,IF(AND($E60&lt;&gt;"",AS60&gt;=$E60),$H60,$G60))))</f>
        <v/>
      </c>
      <c r="AT61" s="0" t="str">
        <f aca="false">IF(AT60="","",IF($D60=0,$J60,IF(AND($F60&lt;&gt;"",AT60&gt;=$F60),$I60,IF(AND($E60&lt;&gt;"",AT60&gt;=$E60),$H60,$G60))))</f>
        <v/>
      </c>
      <c r="AU61" s="0" t="str">
        <f aca="false">IF(AU60="","",IF($D60=0,$J60,IF(AND($F60&lt;&gt;"",AU60&gt;=$F60),$I60,IF(AND($E60&lt;&gt;"",AU60&gt;=$E60),$H60,$G60))))</f>
        <v/>
      </c>
      <c r="AV61" s="0" t="str">
        <f aca="false">IF(AV60="","",IF($D60=0,$J60,IF(AND($F60&lt;&gt;"",AV60&gt;=$F60),$I60,IF(AND($E60&lt;&gt;"",AV60&gt;=$E60),$H60,$G60))))</f>
        <v/>
      </c>
      <c r="AW61" s="0" t="str">
        <f aca="false">IF(AW60="","",IF($D60=0,$J60,IF(AND($F60&lt;&gt;"",AW60&gt;=$F60),$I60,IF(AND($E60&lt;&gt;"",AW60&gt;=$E60),$H60,$G60))))</f>
        <v/>
      </c>
      <c r="AX61" s="0" t="str">
        <f aca="false">IF(AX60="","",IF($D60=0,$J60,IF(AND($F60&lt;&gt;"",AX60&gt;=$F60),$I60,IF(AND($E60&lt;&gt;"",AX60&gt;=$E60),$H60,$G60))))</f>
        <v/>
      </c>
      <c r="AY61" s="0" t="str">
        <f aca="false">IF(AY60="","",IF($D60=0,$J60,IF(AND($F60&lt;&gt;"",AY60&gt;=$F60),$I60,IF(AND($E60&lt;&gt;"",AY60&gt;=$E60),$H60,$G60))))</f>
        <v/>
      </c>
      <c r="AZ61" s="0" t="str">
        <f aca="false">IF(AZ60="","",IF($D60=0,$J60,IF(AND($F60&lt;&gt;"",AZ60&gt;=$F60),$I60,IF(AND($E60&lt;&gt;"",AZ60&gt;=$E60),$H60,$G60))))</f>
        <v/>
      </c>
      <c r="BA61" s="0" t="str">
        <f aca="false">IF(BA60="","",IF($D60=0,$J60,IF(AND($F60&lt;&gt;"",BA60&gt;=$F60),$I60,IF(AND($E60&lt;&gt;"",BA60&gt;=$E60),$H60,$G60))))</f>
        <v/>
      </c>
      <c r="BB61" s="0" t="str">
        <f aca="false">IF(BB60="","",IF($D60=0,$J60,IF(AND($F60&lt;&gt;"",BB60&gt;=$F60),$I60,IF(AND($E60&lt;&gt;"",BB60&gt;=$E60),$H60,$G60))))</f>
        <v/>
      </c>
      <c r="BC61" s="0" t="str">
        <f aca="false">IF(BC60="","",IF($D60=0,$J60,IF(AND($F60&lt;&gt;"",BC60&gt;=$F60),$I60,IF(AND($E60&lt;&gt;"",BC60&gt;=$E60),$H60,$G60))))</f>
        <v/>
      </c>
      <c r="BD61" s="0" t="str">
        <f aca="false">IF(BD60="","",IF($D60=0,$J60,IF(AND($F60&lt;&gt;"",BD60&gt;=$F60),$I60,IF(AND($E60&lt;&gt;"",BD60&gt;=$E60),$H60,$G60))))</f>
        <v/>
      </c>
      <c r="BE61" s="0" t="str">
        <f aca="false">IF(BE60="","",IF($D60=0,$J60,IF(AND($F60&lt;&gt;"",BE60&gt;=$F60),$I60,IF(AND($E60&lt;&gt;"",BE60&gt;=$E60),$H60,$G60))))</f>
        <v/>
      </c>
      <c r="BF61" s="0" t="str">
        <f aca="false">IF(BF60="","",IF($D60=0,$J60,IF(AND($F60&lt;&gt;"",BF60&gt;=$F60),$I60,IF(AND($E60&lt;&gt;"",BF60&gt;=$E60),$H60,$G60))))</f>
        <v/>
      </c>
      <c r="BG61" s="0" t="str">
        <f aca="false">IF(BG60="","",IF($D60=0,$J60,IF(AND($F60&lt;&gt;"",BG60&gt;=$F60),$I60,IF(AND($E60&lt;&gt;"",BG60&gt;=$E60),$H60,$G60))))</f>
        <v/>
      </c>
      <c r="BH61" s="0" t="str">
        <f aca="false">IF(BH60="","",IF($D60=0,$J60,IF(AND($F60&lt;&gt;"",BH60&gt;=$F60),$I60,IF(AND($E60&lt;&gt;"",BH60&gt;=$E60),$H60,$G60))))</f>
        <v/>
      </c>
      <c r="BI61" s="0" t="str">
        <f aca="false">IF(BI60="","",IF($D60=0,$J60,IF(AND($F60&lt;&gt;"",BI60&gt;=$F60),$I60,IF(AND($E60&lt;&gt;"",BI60&gt;=$E60),$H60,$G60))))</f>
        <v/>
      </c>
      <c r="BJ61" s="0" t="str">
        <f aca="false">IF(BJ60="","",IF($D60=0,$J60,IF(AND($F60&lt;&gt;"",BJ60&gt;=$F60),$I60,IF(AND($E60&lt;&gt;"",BJ60&gt;=$E60),$H60,$G60))))</f>
        <v/>
      </c>
      <c r="BK61" s="0" t="str">
        <f aca="false">IF(BK60="","",IF($D60=0,$J60,IF(AND($F60&lt;&gt;"",BK60&gt;=$F60),$I60,IF(AND($E60&lt;&gt;"",BK60&gt;=$E60),$H60,$G60))))</f>
        <v/>
      </c>
      <c r="BL61" s="0" t="str">
        <f aca="false">IF(BL60="","",IF($D60=0,$J60,IF(AND($F60&lt;&gt;"",BL60&gt;=$F60),$I60,IF(AND($E60&lt;&gt;"",BL60&gt;=$E60),$H60,$G60))))</f>
        <v/>
      </c>
      <c r="BM61" s="0" t="str">
        <f aca="false">IF(BM60="","",IF($D60=0,$J60,IF(AND($F60&lt;&gt;"",BM60&gt;=$F60),$I60,IF(AND($E60&lt;&gt;"",BM60&gt;=$E60),$H60,$G60))))</f>
        <v/>
      </c>
      <c r="BN61" s="0" t="str">
        <f aca="false">IF(BN60="","",IF($D60=0,$J60,IF(AND($F60&lt;&gt;"",BN60&gt;=$F60),$I60,IF(AND($E60&lt;&gt;"",BN60&gt;=$E60),$H60,$G60))))</f>
        <v/>
      </c>
      <c r="BO61" s="0" t="str">
        <f aca="false">IF(BO60="","",IF($D60=0,$J60,IF(AND($F60&lt;&gt;"",BO60&gt;=$F60),$I60,IF(AND($E60&lt;&gt;"",BO60&gt;=$E60),$H60,$G60))))</f>
        <v/>
      </c>
      <c r="BP61" s="0" t="str">
        <f aca="false">IF(BP60="","",IF($D60=0,$J60,IF(AND($F60&lt;&gt;"",BP60&gt;=$F60),$I60,IF(AND($E60&lt;&gt;"",BP60&gt;=$E60),$H60,$G60))))</f>
        <v/>
      </c>
      <c r="BQ61" s="0" t="str">
        <f aca="false">IF(BQ60="","",IF($D60=0,$J60,IF(AND($F60&lt;&gt;"",BQ60&gt;=$F60),$I60,IF(AND($E60&lt;&gt;"",BQ60&gt;=$E60),$H60,$G60))))</f>
        <v/>
      </c>
      <c r="BR61" s="0" t="str">
        <f aca="false">IF(BR60="","",IF($D60=0,$J60,IF(AND($F60&lt;&gt;"",BR60&gt;=$F60),$I60,IF(AND($E60&lt;&gt;"",BR60&gt;=$E60),$H60,$G60))))</f>
        <v/>
      </c>
      <c r="BS61" s="0" t="str">
        <f aca="false">IF(BS60="","",IF($D60=0,$J60,IF(AND($F60&lt;&gt;"",BS60&gt;=$F60),$I60,IF(AND($E60&lt;&gt;"",BS60&gt;=$E60),$H60,$G60))))</f>
        <v/>
      </c>
      <c r="BT61" s="0" t="str">
        <f aca="false">IF(BT60="","",IF($D60=0,$J60,IF(AND($F60&lt;&gt;"",BT60&gt;=$F60),$I60,IF(AND($E60&lt;&gt;"",BT60&gt;=$E60),$H60,$G60))))</f>
        <v/>
      </c>
      <c r="BU61" s="0" t="str">
        <f aca="false">IF(BU60="","",IF($D60=0,$J60,IF(AND($F60&lt;&gt;"",BU60&gt;=$F60),$I60,IF(AND($E60&lt;&gt;"",BU60&gt;=$E60),$H60,$G60))))</f>
        <v/>
      </c>
      <c r="BV61" s="0" t="str">
        <f aca="false">IF(BV60="","",IF($D60=0,$J60,IF(AND($F60&lt;&gt;"",BV60&gt;=$F60),$I60,IF(AND($E60&lt;&gt;"",BV60&gt;=$E60),$H60,$G60))))</f>
        <v/>
      </c>
      <c r="BW61" s="0" t="str">
        <f aca="false">IF(BW60="","",IF($D60=0,$J60,IF(AND($F60&lt;&gt;"",BW60&gt;=$F60),$I60,IF(AND($E60&lt;&gt;"",BW60&gt;=$E60),$H60,$G60))))</f>
        <v/>
      </c>
      <c r="BX61" s="0" t="str">
        <f aca="false">IF(BX60="","",IF($D60=0,$J60,IF(AND($F60&lt;&gt;"",BX60&gt;=$F60),$I60,IF(AND($E60&lt;&gt;"",BX60&gt;=$E60),$H60,$G60))))</f>
        <v/>
      </c>
      <c r="BY61" s="0" t="str">
        <f aca="false">IF(BY60="","",IF($D60=0,$J60,IF(AND($F60&lt;&gt;"",BY60&gt;=$F60),$I60,IF(AND($E60&lt;&gt;"",BY60&gt;=$E60),$H60,$G60))))</f>
        <v/>
      </c>
      <c r="BZ61" s="0" t="str">
        <f aca="false">IF(BZ60="","",IF($D60=0,$J60,IF(AND($F60&lt;&gt;"",BZ60&gt;=$F60),$I60,IF(AND($E60&lt;&gt;"",BZ60&gt;=$E60),$H60,$G60))))</f>
        <v/>
      </c>
      <c r="CA61" s="0" t="str">
        <f aca="false">IF(CA60="","",IF($D60=0,$J60,IF(AND($F60&lt;&gt;"",CA60&gt;=$F60),$I60,IF(AND($E60&lt;&gt;"",CA60&gt;=$E60),$H60,$G60))))</f>
        <v/>
      </c>
      <c r="CB61" s="0" t="str">
        <f aca="false">IF(CB60="","",IF($D60=0,$J60,IF(AND($F60&lt;&gt;"",CB60&gt;=$F60),$I60,IF(AND($E60&lt;&gt;"",CB60&gt;=$E60),$H60,$G60))))</f>
        <v/>
      </c>
      <c r="CC61" s="0" t="str">
        <f aca="false">IF(CC60="","",IF($D60=0,$J60,IF(AND($F60&lt;&gt;"",CC60&gt;=$F60),$I60,IF(AND($E60&lt;&gt;"",CC60&gt;=$E60),$H60,$G60))))</f>
        <v/>
      </c>
      <c r="CD61" s="0" t="str">
        <f aca="false">IF(CD60="","",IF($D60=0,$J60,IF(AND($F60&lt;&gt;"",CD60&gt;=$F60),$I60,IF(AND($E60&lt;&gt;"",CD60&gt;=$E60),$H60,$G60))))</f>
        <v/>
      </c>
      <c r="CE61" s="0" t="str">
        <f aca="false">IF(CE60="","",IF($D60=0,$J60,IF(AND($F60&lt;&gt;"",CE60&gt;=$F60),$I60,IF(AND($E60&lt;&gt;"",CE60&gt;=$E60),$H60,$G60))))</f>
        <v/>
      </c>
      <c r="CF61" s="0" t="str">
        <f aca="false">IF(CF60="","",IF($D60=0,$J60,IF(AND($F60&lt;&gt;"",CF60&gt;=$F60),$I60,IF(AND($E60&lt;&gt;"",CF60&gt;=$E60),$H60,$G60))))</f>
        <v/>
      </c>
      <c r="CG61" s="0" t="str">
        <f aca="false">IF(CG60="","",IF($D60=0,$J60,IF(AND($F60&lt;&gt;"",CG60&gt;=$F60),$I60,IF(AND($E60&lt;&gt;"",CG60&gt;=$E60),$H60,$G60))))</f>
        <v/>
      </c>
      <c r="CH61" s="0" t="str">
        <f aca="false">IF(CH60="","",IF($D60=0,$J60,IF(AND($F60&lt;&gt;"",CH60&gt;=$F60),$I60,IF(AND($E60&lt;&gt;"",CH60&gt;=$E60),$H60,$G60))))</f>
        <v/>
      </c>
      <c r="CI61" s="0" t="str">
        <f aca="false">IF(CI60="","",IF($D60=0,$J60,IF(AND($F60&lt;&gt;"",CI60&gt;=$F60),$I60,IF(AND($E60&lt;&gt;"",CI60&gt;=$E60),$H60,$G60))))</f>
        <v/>
      </c>
      <c r="CJ61" s="0" t="str">
        <f aca="false">IF(CJ60="","",IF($D60=0,$J60,IF(AND($F60&lt;&gt;"",CJ60&gt;=$F60),$I60,IF(AND($E60&lt;&gt;"",CJ60&gt;=$E60),$H60,$G60))))</f>
        <v/>
      </c>
      <c r="CK61" s="0" t="str">
        <f aca="false">IF(CK60="","",IF($D60=0,$J60,IF(AND($F60&lt;&gt;"",CK60&gt;=$F60),$I60,IF(AND($E60&lt;&gt;"",CK60&gt;=$E60),$H60,$G60))))</f>
        <v/>
      </c>
      <c r="CL61" s="0" t="str">
        <f aca="false">IF(CL60="","",IF($D60=0,$J60,IF(AND($F60&lt;&gt;"",CL60&gt;=$F60),$I60,IF(AND($E60&lt;&gt;"",CL60&gt;=$E60),$H60,$G60))))</f>
        <v/>
      </c>
      <c r="CM61" s="0" t="str">
        <f aca="false">IF(CM60="","",IF($D60=0,$J60,IF(AND($F60&lt;&gt;"",CM60&gt;=$F60),$I60,IF(AND($E60&lt;&gt;"",CM60&gt;=$E60),$H60,$G60))))</f>
        <v/>
      </c>
      <c r="CN61" s="0" t="str">
        <f aca="false">IF(CN60="","",IF($D60=0,$J60,IF(AND($F60&lt;&gt;"",CN60&gt;=$F60),$I60,IF(AND($E60&lt;&gt;"",CN60&gt;=$E60),$H60,$G60))))</f>
        <v/>
      </c>
      <c r="CO61" s="0" t="str">
        <f aca="false">IF(CO60="","",IF($D60=0,$J60,IF(AND($F60&lt;&gt;"",CO60&gt;=$F60),$I60,IF(AND($E60&lt;&gt;"",CO60&gt;=$E60),$H60,$G60))))</f>
        <v/>
      </c>
      <c r="CP61" s="0" t="str">
        <f aca="false">IF(CP60="","",IF($D60=0,$J60,IF(AND($F60&lt;&gt;"",CP60&gt;=$F60),$I60,IF(AND($E60&lt;&gt;"",CP60&gt;=$E60),$H60,$G60))))</f>
        <v/>
      </c>
      <c r="CQ61" s="0" t="str">
        <f aca="false">IF(CQ60="","",IF($D60=0,$J60,IF(AND($F60&lt;&gt;"",CQ60&gt;=$F60),$I60,IF(AND($E60&lt;&gt;"",CQ60&gt;=$E60),$H60,$G60))))</f>
        <v/>
      </c>
      <c r="CR61" s="0" t="str">
        <f aca="false">IF(CR60="","",IF($D60=0,$J60,IF(AND($F60&lt;&gt;"",CR60&gt;=$F60),$I60,IF(AND($E60&lt;&gt;"",CR60&gt;=$E60),$H60,$G60))))</f>
        <v/>
      </c>
      <c r="CS61" s="0" t="str">
        <f aca="false">IF(CS60="","",IF($D60=0,$J60,IF(AND($F60&lt;&gt;"",CS60&gt;=$F60),$I60,IF(AND($E60&lt;&gt;"",CS60&gt;=$E60),$H60,$G60))))</f>
        <v/>
      </c>
      <c r="CT61" s="0" t="str">
        <f aca="false">IF(CT60="","",IF($D60=0,$J60,IF(AND($F60&lt;&gt;"",CT60&gt;=$F60),$I60,IF(AND($E60&lt;&gt;"",CT60&gt;=$E60),$H60,$G60))))</f>
        <v/>
      </c>
      <c r="CU61" s="0" t="str">
        <f aca="false">IF(CU60="","",IF($D60=0,$J60,IF(AND($F60&lt;&gt;"",CU60&gt;=$F60),$I60,IF(AND($E60&lt;&gt;"",CU60&gt;=$E60),$H60,$G60))))</f>
        <v/>
      </c>
      <c r="CV61" s="0" t="str">
        <f aca="false">IF(CV60="","",IF($D60=0,$J60,IF(AND($F60&lt;&gt;"",CV60&gt;=$F60),$I60,IF(AND($E60&lt;&gt;"",CV60&gt;=$E60),$H60,$G60))))</f>
        <v/>
      </c>
      <c r="CW61" s="0" t="str">
        <f aca="false">IF(CW60="","",IF($D60=0,$J60,IF(AND($F60&lt;&gt;"",CW60&gt;=$F60),$I60,IF(AND($E60&lt;&gt;"",CW60&gt;=$E60),$H60,$G60))))</f>
        <v/>
      </c>
      <c r="CX61" s="0" t="str">
        <f aca="false">IF(CX60="","",IF($D60=0,$J60,IF(AND($F60&lt;&gt;"",CX60&gt;=$F60),$I60,IF(AND($E60&lt;&gt;"",CX60&gt;=$E60),$H60,$G60))))</f>
        <v/>
      </c>
      <c r="CY61" s="0" t="str">
        <f aca="false">IF(CY60="","",IF($D60=0,$J60,IF(AND($F60&lt;&gt;"",CY60&gt;=$F60),$I60,IF(AND($E60&lt;&gt;"",CY60&gt;=$E60),$H60,$G60))))</f>
        <v/>
      </c>
      <c r="CZ61" s="0" t="str">
        <f aca="false">IF(CZ60="","",IF($D60=0,$J60,IF(AND($F60&lt;&gt;"",CZ60&gt;=$F60),$I60,IF(AND($E60&lt;&gt;"",CZ60&gt;=$E60),$H60,$G60))))</f>
        <v/>
      </c>
      <c r="DA61" s="0" t="str">
        <f aca="false">IF(DA60="","",IF($D60=0,$J60,IF(AND($F60&lt;&gt;"",DA60&gt;=$F60),$I60,IF(AND($E60&lt;&gt;"",DA60&gt;=$E60),$H60,$G60))))</f>
        <v/>
      </c>
      <c r="DB61" s="0" t="str">
        <f aca="false">IF(DB60="","",IF($D60=0,$J60,IF(AND($F60&lt;&gt;"",DB60&gt;=$F60),$I60,IF(AND($E60&lt;&gt;"",DB60&gt;=$E60),$H60,$G60))))</f>
        <v/>
      </c>
      <c r="DC61" s="0" t="str">
        <f aca="false">IF(DC60="","",IF($D60=0,$J60,IF(AND($F60&lt;&gt;"",DC60&gt;=$F60),$I60,IF(AND($E60&lt;&gt;"",DC60&gt;=$E60),$H60,$G60))))</f>
        <v/>
      </c>
      <c r="DD61" s="0" t="str">
        <f aca="false">IF(DD60="","",IF($D60=0,$J60,IF(AND($F60&lt;&gt;"",DD60&gt;=$F60),$I60,IF(AND($E60&lt;&gt;"",DD60&gt;=$E60),$H60,$G60))))</f>
        <v/>
      </c>
      <c r="DE61" s="0" t="str">
        <f aca="false">IF(DE60="","",IF($D60=0,$J60,IF(AND($F60&lt;&gt;"",DE60&gt;=$F60),$I60,IF(AND($E60&lt;&gt;"",DE60&gt;=$E60),$H60,$G60))))</f>
        <v/>
      </c>
      <c r="DF61" s="0" t="str">
        <f aca="false">IF(DF60="","",IF($D60=0,$J60,IF(AND($F60&lt;&gt;"",DF60&gt;=$F60),$I60,IF(AND($E60&lt;&gt;"",DF60&gt;=$E60),$H60,$G60))))</f>
        <v/>
      </c>
      <c r="DG61" s="0" t="str">
        <f aca="false">IF(DG60="","",IF($D60=0,$J60,IF(AND($F60&lt;&gt;"",DG60&gt;=$F60),$I60,IF(AND($E60&lt;&gt;"",DG60&gt;=$E60),$H60,$G60))))</f>
        <v/>
      </c>
      <c r="DH61" s="0" t="str">
        <f aca="false">IF(DH60="","",IF($D60=0,$J60,IF(AND($F60&lt;&gt;"",DH60&gt;=$F60),$I60,IF(AND($E60&lt;&gt;"",DH60&gt;=$E60),$H60,$G60))))</f>
        <v/>
      </c>
      <c r="DI61" s="0" t="str">
        <f aca="false">IF(DI60="","",IF($D60=0,$J60,IF(AND($F60&lt;&gt;"",DI60&gt;=$F60),$I60,IF(AND($E60&lt;&gt;"",DI60&gt;=$E60),$H60,$G60))))</f>
        <v/>
      </c>
      <c r="DJ61" s="0" t="str">
        <f aca="false">IF(DJ60="","",IF($D60=0,$J60,IF(AND($F60&lt;&gt;"",DJ60&gt;=$F60),$I60,IF(AND($E60&lt;&gt;"",DJ60&gt;=$E60),$H60,$G60))))</f>
        <v/>
      </c>
      <c r="DK61" s="0" t="str">
        <f aca="false">IF(DK60="","",IF($D60=0,$J60,IF(AND($F60&lt;&gt;"",DK60&gt;=$F60),$I60,IF(AND($E60&lt;&gt;"",DK60&gt;=$E60),$H60,$G60))))</f>
        <v/>
      </c>
      <c r="DL61" s="0" t="str">
        <f aca="false">IF(DL60="","",IF($D60=0,$J60,IF(AND($F60&lt;&gt;"",DL60&gt;=$F60),$I60,IF(AND($E60&lt;&gt;"",DL60&gt;=$E60),$H60,$G60))))</f>
        <v/>
      </c>
      <c r="DM61" s="0" t="str">
        <f aca="false">IF(DM60="","",IF($D60=0,$J60,IF(AND($F60&lt;&gt;"",DM60&gt;=$F60),$I60,IF(AND($E60&lt;&gt;"",DM60&gt;=$E60),$H60,$G60))))</f>
        <v/>
      </c>
      <c r="DN61" s="0" t="str">
        <f aca="false">IF(DN60="","",IF($D60=0,$J60,IF(AND($F60&lt;&gt;"",DN60&gt;=$F60),$I60,IF(AND($E60&lt;&gt;"",DN60&gt;=$E60),$H60,$G60))))</f>
        <v/>
      </c>
      <c r="DO61" s="0" t="str">
        <f aca="false">IF(DO60="","",IF($D60=0,$J60,IF(AND($F60&lt;&gt;"",DO60&gt;=$F60),$I60,IF(AND($E60&lt;&gt;"",DO60&gt;=$E60),$H60,$G60))))</f>
        <v/>
      </c>
      <c r="DP61" s="0" t="str">
        <f aca="false">IF(DP60="","",IF($D60=0,$J60,IF(AND($F60&lt;&gt;"",DP60&gt;=$F60),$I60,IF(AND($E60&lt;&gt;"",DP60&gt;=$E60),$H60,$G60))))</f>
        <v/>
      </c>
      <c r="DQ61" s="0" t="str">
        <f aca="false">IF(DQ60="","",IF($D60=0,$J60,IF(AND($F60&lt;&gt;"",DQ60&gt;=$F60),$I60,IF(AND($E60&lt;&gt;"",DQ60&gt;=$E60),$H60,$G60))))</f>
        <v/>
      </c>
      <c r="DR61" s="0" t="str">
        <f aca="false">IF(DR60="","",IF($D60=0,$J60,IF(AND($F60&lt;&gt;"",DR60&gt;=$F60),$I60,IF(AND($E60&lt;&gt;"",DR60&gt;=$E60),$H60,$G60))))</f>
        <v/>
      </c>
      <c r="DS61" s="0" t="str">
        <f aca="false">IF(DS60="","",IF($D60=0,$J60,IF(AND($F60&lt;&gt;"",DS60&gt;=$F60),$I60,IF(AND($E60&lt;&gt;"",DS60&gt;=$E60),$H60,$G60))))</f>
        <v/>
      </c>
      <c r="DT61" s="0" t="str">
        <f aca="false">IF(DT60="","",IF($D60=0,$J60,IF(AND($F60&lt;&gt;"",DT60&gt;=$F60),$I60,IF(AND($E60&lt;&gt;"",DT60&gt;=$E60),$H60,$G60))))</f>
        <v/>
      </c>
      <c r="DU61" s="0" t="str">
        <f aca="false">IF(DU60="","",IF($D60=0,$J60,IF(AND($F60&lt;&gt;"",DU60&gt;=$F60),$I60,IF(AND($E60&lt;&gt;"",DU60&gt;=$E60),$H60,$G60))))</f>
        <v/>
      </c>
      <c r="DV61" s="0" t="str">
        <f aca="false">IF(DV60="","",IF($D60=0,$J60,IF(AND($F60&lt;&gt;"",DV60&gt;=$F60),$I60,IF(AND($E60&lt;&gt;"",DV60&gt;=$E60),$H60,$G60))))</f>
        <v/>
      </c>
      <c r="DW61" s="0" t="str">
        <f aca="false">IF(DW60="","",IF($D60=0,$J60,IF(AND($F60&lt;&gt;"",DW60&gt;=$F60),$I60,IF(AND($E60&lt;&gt;"",DW60&gt;=$E60),$H60,$G60))))</f>
        <v/>
      </c>
      <c r="DX61" s="0" t="str">
        <f aca="false">IF(DX60="","",IF($D60=0,$J60,IF(AND($F60&lt;&gt;"",DX60&gt;=$F60),$I60,IF(AND($E60&lt;&gt;"",DX60&gt;=$E60),$H60,$G60))))</f>
        <v/>
      </c>
      <c r="DY61" s="0" t="str">
        <f aca="false">IF(DY60="","",IF($D60=0,$J60,IF(AND($F60&lt;&gt;"",DY60&gt;=$F60),$I60,IF(AND($E60&lt;&gt;"",DY60&gt;=$E60),$H60,$G60))))</f>
        <v/>
      </c>
      <c r="DZ61" s="0" t="str">
        <f aca="false">IF(DZ60="","",IF($D60=0,$J60,IF(AND($F60&lt;&gt;"",DZ60&gt;=$F60),$I60,IF(AND($E60&lt;&gt;"",DZ60&gt;=$E60),$H60,$G60))))</f>
        <v/>
      </c>
      <c r="EA61" s="0" t="str">
        <f aca="false">IF(EA60="","",IF($D60=0,$J60,IF(AND($F60&lt;&gt;"",EA60&gt;=$F60),$I60,IF(AND($E60&lt;&gt;"",EA60&gt;=$E60),$H60,$G60))))</f>
        <v/>
      </c>
      <c r="EB61" s="0" t="str">
        <f aca="false">IF(EB60="","",IF($D60=0,$J60,IF(AND($F60&lt;&gt;"",EB60&gt;=$F60),$I60,IF(AND($E60&lt;&gt;"",EB60&gt;=$E60),$H60,$G60))))</f>
        <v/>
      </c>
      <c r="EC61" s="0" t="str">
        <f aca="false">IF(EC60="","",IF($D60=0,$J60,IF(AND($F60&lt;&gt;"",EC60&gt;=$F60),$I60,IF(AND($E60&lt;&gt;"",EC60&gt;=$E60),$H60,$G60))))</f>
        <v/>
      </c>
      <c r="ED61" s="0" t="str">
        <f aca="false">IF(ED60="","",IF($D60=0,$J60,IF(AND($F60&lt;&gt;"",ED60&gt;=$F60),$I60,IF(AND($E60&lt;&gt;"",ED60&gt;=$E60),$H60,$G60))))</f>
        <v/>
      </c>
      <c r="EE61" s="0" t="str">
        <f aca="false">IF(EE60="","",IF($D60=0,$J60,IF(AND($F60&lt;&gt;"",EE60&gt;=$F60),$I60,IF(AND($E60&lt;&gt;"",EE60&gt;=$E60),$H60,$G60))))</f>
        <v/>
      </c>
      <c r="EF61" s="0" t="str">
        <f aca="false">IF(EF60="","",IF($D60=0,$J60,IF(AND($F60&lt;&gt;"",EF60&gt;=$F60),$I60,IF(AND($E60&lt;&gt;"",EF60&gt;=$E60),$H60,$G60))))</f>
        <v/>
      </c>
      <c r="EG61" s="0" t="str">
        <f aca="false">IF(EG60="","",IF($D60=0,$J60,IF(AND($F60&lt;&gt;"",EG60&gt;=$F60),$I60,IF(AND($E60&lt;&gt;"",EG60&gt;=$E60),$H60,$G60))))</f>
        <v/>
      </c>
      <c r="EH61" s="0" t="str">
        <f aca="false">IF(EH60="","",IF($D60=0,$J60,IF(AND($F60&lt;&gt;"",EH60&gt;=$F60),$I60,IF(AND($E60&lt;&gt;"",EH60&gt;=$E60),$H60,$G60))))</f>
        <v/>
      </c>
      <c r="EI61" s="0" t="str">
        <f aca="false">IF(EI60="","",IF($D60=0,$J60,IF(AND($F60&lt;&gt;"",EI60&gt;=$F60),$I60,IF(AND($E60&lt;&gt;"",EI60&gt;=$E60),$H60,$G60))))</f>
        <v/>
      </c>
      <c r="EJ61" s="0" t="str">
        <f aca="false">IF(EJ60="","",IF($D60=0,$J60,IF(AND($F60&lt;&gt;"",EJ60&gt;=$F60),$I60,IF(AND($E60&lt;&gt;"",EJ60&gt;=$E60),$H60,$G60))))</f>
        <v/>
      </c>
      <c r="EK61" s="0" t="str">
        <f aca="false">IF(EK60="","",IF($D60=0,$J60,IF(AND($F60&lt;&gt;"",EK60&gt;=$F60),$I60,IF(AND($E60&lt;&gt;"",EK60&gt;=$E60),$H60,$G60))))</f>
        <v/>
      </c>
      <c r="EL61" s="0" t="str">
        <f aca="false">IF(EL60="","",IF($D60=0,$J60,IF(AND($F60&lt;&gt;"",EL60&gt;=$F60),$I60,IF(AND($E60&lt;&gt;"",EL60&gt;=$E60),$H60,$G60))))</f>
        <v/>
      </c>
      <c r="EM61" s="0" t="str">
        <f aca="false">IF(EM60="","",IF($D60=0,$J60,IF(AND($F60&lt;&gt;"",EM60&gt;=$F60),$I60,IF(AND($E60&lt;&gt;"",EM60&gt;=$E60),$H60,$G60))))</f>
        <v/>
      </c>
      <c r="EN61" s="0" t="str">
        <f aca="false">IF(EN60="","",IF($D60=0,$J60,IF(AND($F60&lt;&gt;"",EN60&gt;=$F60),$I60,IF(AND($E60&lt;&gt;"",EN60&gt;=$E60),$H60,$G60))))</f>
        <v/>
      </c>
      <c r="EO61" s="0" t="str">
        <f aca="false">IF(EO60="","",IF($D60=0,$J60,IF(AND($F60&lt;&gt;"",EO60&gt;=$F60),$I60,IF(AND($E60&lt;&gt;"",EO60&gt;=$E60),$H60,$G60))))</f>
        <v/>
      </c>
      <c r="EP61" s="0" t="str">
        <f aca="false">IF(EP60="","",IF($D60=0,$J60,IF(AND($F60&lt;&gt;"",EP60&gt;=$F60),$I60,IF(AND($E60&lt;&gt;"",EP60&gt;=$E60),$H60,$G60))))</f>
        <v/>
      </c>
      <c r="EQ61" s="0" t="str">
        <f aca="false">IF(EQ60="","",IF($D60=0,$J60,IF(AND($F60&lt;&gt;"",EQ60&gt;=$F60),$I60,IF(AND($E60&lt;&gt;"",EQ60&gt;=$E60),$H60,$G60))))</f>
        <v/>
      </c>
      <c r="ER61" s="0" t="str">
        <f aca="false">IF(ER60="","",IF($D60=0,$J60,IF(AND($F60&lt;&gt;"",ER60&gt;=$F60),$I60,IF(AND($E60&lt;&gt;"",ER60&gt;=$E60),$H60,$G60))))</f>
        <v/>
      </c>
      <c r="ES61" s="0" t="str">
        <f aca="false">IF(ES60="","",IF($D60=0,$J60,IF(AND($F60&lt;&gt;"",ES60&gt;=$F60),$I60,IF(AND($E60&lt;&gt;"",ES60&gt;=$E60),$H60,$G60))))</f>
        <v/>
      </c>
      <c r="ET61" s="0" t="str">
        <f aca="false">IF(ET60="","",IF($D60=0,$J60,IF(AND($F60&lt;&gt;"",ET60&gt;=$F60),$I60,IF(AND($E60&lt;&gt;"",ET60&gt;=$E60),$H60,$G60))))</f>
        <v/>
      </c>
      <c r="EU61" s="0" t="str">
        <f aca="false">IF(EU60="","",IF($D60=0,$J60,IF(AND($F60&lt;&gt;"",EU60&gt;=$F60),$I60,IF(AND($E60&lt;&gt;"",EU60&gt;=$E60),$H60,$G60))))</f>
        <v/>
      </c>
      <c r="EV61" s="0" t="str">
        <f aca="false">IF(EV60="","",IF($D60=0,$J60,IF(AND($F60&lt;&gt;"",EV60&gt;=$F60),$I60,IF(AND($E60&lt;&gt;"",EV60&gt;=$E60),$H60,$G60))))</f>
        <v/>
      </c>
      <c r="EW61" s="0" t="str">
        <f aca="false">IF(EW60="","",IF($D60=0,$J60,IF(AND($F60&lt;&gt;"",EW60&gt;=$F60),$I60,IF(AND($E60&lt;&gt;"",EW60&gt;=$E60),$H60,$G60))))</f>
        <v/>
      </c>
      <c r="EX61" s="0" t="str">
        <f aca="false">IF(EX60="","",IF($D60=0,$J60,IF(AND($F60&lt;&gt;"",EX60&gt;=$F60),$I60,IF(AND($E60&lt;&gt;"",EX60&gt;=$E60),$H60,$G60))))</f>
        <v/>
      </c>
      <c r="EY61" s="0" t="str">
        <f aca="false">IF(EY60="","",IF($D60=0,$J60,IF(AND($F60&lt;&gt;"",EY60&gt;=$F60),$I60,IF(AND($E60&lt;&gt;"",EY60&gt;=$E60),$H60,$G60))))</f>
        <v/>
      </c>
      <c r="EZ61" s="0" t="str">
        <f aca="false">IF(EZ60="","",IF($D60=0,$J60,IF(AND($F60&lt;&gt;"",EZ60&gt;=$F60),$I60,IF(AND($E60&lt;&gt;"",EZ60&gt;=$E60),$H60,$G60))))</f>
        <v/>
      </c>
      <c r="FA61" s="0" t="str">
        <f aca="false">IF(FA60="","",IF($D60=0,$J60,IF(AND($F60&lt;&gt;"",FA60&gt;=$F60),$I60,IF(AND($E60&lt;&gt;"",FA60&gt;=$E60),$H60,$G60))))</f>
        <v/>
      </c>
      <c r="FB61" s="0" t="str">
        <f aca="false">IF(FB60="","",IF($D60=0,$J60,IF(AND($F60&lt;&gt;"",FB60&gt;=$F60),$I60,IF(AND($E60&lt;&gt;"",FB60&gt;=$E60),$H60,$G60))))</f>
        <v/>
      </c>
      <c r="FC61" s="0" t="str">
        <f aca="false">IF(FC60="","",IF($D60=0,$J60,IF(AND($F60&lt;&gt;"",FC60&gt;=$F60),$I60,IF(AND($E60&lt;&gt;"",FC60&gt;=$E60),$H60,$G60))))</f>
        <v/>
      </c>
      <c r="FD61" s="0" t="str">
        <f aca="false">IF(FD60="","",IF($D60=0,$J60,IF(AND($F60&lt;&gt;"",FD60&gt;=$F60),$I60,IF(AND($E60&lt;&gt;"",FD60&gt;=$E60),$H60,$G60))))</f>
        <v/>
      </c>
      <c r="FE61" s="0" t="str">
        <f aca="false">IF(FE60="","",IF($D60=0,$J60,IF(AND($F60&lt;&gt;"",FE60&gt;=$F60),$I60,IF(AND($E60&lt;&gt;"",FE60&gt;=$E60),$H60,$G60))))</f>
        <v/>
      </c>
      <c r="FF61" s="0" t="str">
        <f aca="false">IF(FF60="","",IF($D60=0,$J60,IF(AND($F60&lt;&gt;"",FF60&gt;=$F60),$I60,IF(AND($E60&lt;&gt;"",FF60&gt;=$E60),$H60,$G60))))</f>
        <v/>
      </c>
      <c r="FG61" s="0" t="str">
        <f aca="false">IF(FG60="","",IF($D60=0,$J60,IF(AND($F60&lt;&gt;"",FG60&gt;=$F60),$I60,IF(AND($E60&lt;&gt;"",FG60&gt;=$E60),$H60,$G60))))</f>
        <v/>
      </c>
      <c r="FH61" s="0" t="str">
        <f aca="false">IF(FH60="","",IF($D60=0,$J60,IF(AND($F60&lt;&gt;"",FH60&gt;=$F60),$I60,IF(AND($E60&lt;&gt;"",FH60&gt;=$E60),$H60,$G60))))</f>
        <v/>
      </c>
      <c r="FI61" s="0" t="str">
        <f aca="false">IF(FI60="","",IF($D60=0,$J60,IF(AND($F60&lt;&gt;"",FI60&gt;=$F60),$I60,IF(AND($E60&lt;&gt;"",FI60&gt;=$E60),$H60,$G60))))</f>
        <v/>
      </c>
      <c r="FJ61" s="0" t="str">
        <f aca="false">IF(FJ60="","",IF($D60=0,$J60,IF(AND($F60&lt;&gt;"",FJ60&gt;=$F60),$I60,IF(AND($E60&lt;&gt;"",FJ60&gt;=$E60),$H60,$G60))))</f>
        <v/>
      </c>
      <c r="FK61" s="0" t="str">
        <f aca="false">IF(FK60="","",IF($D60=0,$J60,IF(AND($F60&lt;&gt;"",FK60&gt;=$F60),$I60,IF(AND($E60&lt;&gt;"",FK60&gt;=$E60),$H60,$G60))))</f>
        <v/>
      </c>
      <c r="FL61" s="0" t="str">
        <f aca="false">IF(FL60="","",IF($D60=0,$J60,IF(AND($F60&lt;&gt;"",FL60&gt;=$F60),$I60,IF(AND($E60&lt;&gt;"",FL60&gt;=$E60),$H60,$G60))))</f>
        <v/>
      </c>
      <c r="FM61" s="0" t="str">
        <f aca="false">IF(FM60="","",IF($D60=0,$J60,IF(AND($F60&lt;&gt;"",FM60&gt;=$F60),$I60,IF(AND($E60&lt;&gt;"",FM60&gt;=$E60),$H60,$G60))))</f>
        <v/>
      </c>
      <c r="FN61" s="0" t="str">
        <f aca="false">IF(FN60="","",IF($D60=0,$J60,IF(AND($F60&lt;&gt;"",FN60&gt;=$F60),$I60,IF(AND($E60&lt;&gt;"",FN60&gt;=$E60),$H60,$G60))))</f>
        <v/>
      </c>
      <c r="FO61" s="0" t="str">
        <f aca="false">IF(FO60="","",IF($D60=0,$J60,IF(AND($F60&lt;&gt;"",FO60&gt;=$F60),$I60,IF(AND($E60&lt;&gt;"",FO60&gt;=$E60),$H60,$G60))))</f>
        <v/>
      </c>
      <c r="FP61" s="0" t="str">
        <f aca="false">IF(FP60="","",IF($D60=0,$J60,IF(AND($F60&lt;&gt;"",FP60&gt;=$F60),$I60,IF(AND($E60&lt;&gt;"",FP60&gt;=$E60),$H60,$G60))))</f>
        <v/>
      </c>
      <c r="FQ61" s="0" t="str">
        <f aca="false">IF(FQ60="","",IF($D60=0,$J60,IF(AND($F60&lt;&gt;"",FQ60&gt;=$F60),$I60,IF(AND($E60&lt;&gt;"",FQ60&gt;=$E60),$H60,$G60))))</f>
        <v/>
      </c>
      <c r="FR61" s="0" t="str">
        <f aca="false">IF(FR60="","",IF($D60=0,$J60,IF(AND($F60&lt;&gt;"",FR60&gt;=$F60),$I60,IF(AND($E60&lt;&gt;"",FR60&gt;=$E60),$H60,$G60))))</f>
        <v/>
      </c>
      <c r="FS61" s="0" t="str">
        <f aca="false">IF(FS60="","",IF($D60=0,$J60,IF(AND($F60&lt;&gt;"",FS60&gt;=$F60),$I60,IF(AND($E60&lt;&gt;"",FS60&gt;=$E60),$H60,$G60))))</f>
        <v/>
      </c>
      <c r="FT61" s="0" t="str">
        <f aca="false">IF(FT60="","",IF($D60=0,$J60,IF(AND($F60&lt;&gt;"",FT60&gt;=$F60),$I60,IF(AND($E60&lt;&gt;"",FT60&gt;=$E60),$H60,$G60))))</f>
        <v/>
      </c>
      <c r="FU61" s="0" t="str">
        <f aca="false">IF(FU60="","",IF($D60=0,$J60,IF(AND($F60&lt;&gt;"",FU60&gt;=$F60),$I60,IF(AND($E60&lt;&gt;"",FU60&gt;=$E60),$H60,$G60))))</f>
        <v/>
      </c>
      <c r="FV61" s="0" t="str">
        <f aca="false">IF(FV60="","",IF($D60=0,$J60,IF(AND($F60&lt;&gt;"",FV60&gt;=$F60),$I60,IF(AND($E60&lt;&gt;"",FV60&gt;=$E60),$H60,$G60))))</f>
        <v/>
      </c>
      <c r="FW61" s="0" t="str">
        <f aca="false">IF(FW60="","",IF($D60=0,$J60,IF(AND($F60&lt;&gt;"",FW60&gt;=$F60),$I60,IF(AND($E60&lt;&gt;"",FW60&gt;=$E60),$H60,$G60))))</f>
        <v/>
      </c>
      <c r="FX61" s="0" t="str">
        <f aca="false">IF(FX60="","",IF($D60=0,$J60,IF(AND($F60&lt;&gt;"",FX60&gt;=$F60),$I60,IF(AND($E60&lt;&gt;"",FX60&gt;=$E60),$H60,$G60))))</f>
        <v/>
      </c>
      <c r="FY61" s="0" t="str">
        <f aca="false">IF(FY60="","",IF($D60=0,$J60,IF(AND($F60&lt;&gt;"",FY60&gt;=$F60),$I60,IF(AND($E60&lt;&gt;"",FY60&gt;=$E60),$H60,$G60))))</f>
        <v/>
      </c>
      <c r="FZ61" s="0" t="str">
        <f aca="false">IF(FZ60="","",IF($D60=0,$J60,IF(AND($F60&lt;&gt;"",FZ60&gt;=$F60),$I60,IF(AND($E60&lt;&gt;"",FZ60&gt;=$E60),$H60,$G60))))</f>
        <v/>
      </c>
      <c r="GA61" s="0" t="str">
        <f aca="false">IF(GA60="","",IF($D60=0,$J60,IF(AND($F60&lt;&gt;"",GA60&gt;=$F60),$I60,IF(AND($E60&lt;&gt;"",GA60&gt;=$E60),$H60,$G60))))</f>
        <v/>
      </c>
      <c r="GB61" s="0" t="str">
        <f aca="false">IF(GB60="","",IF($D60=0,$J60,IF(AND($F60&lt;&gt;"",GB60&gt;=$F60),$I60,IF(AND($E60&lt;&gt;"",GB60&gt;=$E60),$H60,$G60))))</f>
        <v/>
      </c>
      <c r="GC61" s="0" t="str">
        <f aca="false">IF(GC60="","",IF($D60=0,$J60,IF(AND($F60&lt;&gt;"",GC60&gt;=$F60),$I60,IF(AND($E60&lt;&gt;"",GC60&gt;=$E60),$H60,$G60))))</f>
        <v/>
      </c>
      <c r="GD61" s="0" t="str">
        <f aca="false">IF(GD60="","",IF($D60=0,$J60,IF(AND($F60&lt;&gt;"",GD60&gt;=$F60),$I60,IF(AND($E60&lt;&gt;"",GD60&gt;=$E60),$H60,$G60))))</f>
        <v/>
      </c>
      <c r="GE61" s="0" t="str">
        <f aca="false">IF(GE60="","",IF($D60=0,$J60,IF(AND($F60&lt;&gt;"",GE60&gt;=$F60),$I60,IF(AND($E60&lt;&gt;"",GE60&gt;=$E60),$H60,$G60))))</f>
        <v/>
      </c>
      <c r="GF61" s="0" t="str">
        <f aca="false">IF(GF60="","",IF($D60=0,$J60,IF(AND($F60&lt;&gt;"",GF60&gt;=$F60),$I60,IF(AND($E60&lt;&gt;"",GF60&gt;=$E60),$H60,$G60))))</f>
        <v/>
      </c>
      <c r="GG61" s="0" t="str">
        <f aca="false">IF(GG60="","",IF($D60=0,$J60,IF(AND($F60&lt;&gt;"",GG60&gt;=$F60),$I60,IF(AND($E60&lt;&gt;"",GG60&gt;=$E60),$H60,$G60))))</f>
        <v/>
      </c>
      <c r="GH61" s="0" t="str">
        <f aca="false">IF(GH60="","",IF($D60=0,$J60,IF(AND($F60&lt;&gt;"",GH60&gt;=$F60),$I60,IF(AND($E60&lt;&gt;"",GH60&gt;=$E60),$H60,$G60))))</f>
        <v/>
      </c>
      <c r="GI61" s="0" t="str">
        <f aca="false">IF(GI60="","",IF($D60=0,$J60,IF(AND($F60&lt;&gt;"",GI60&gt;=$F60),$I60,IF(AND($E60&lt;&gt;"",GI60&gt;=$E60),$H60,$G60))))</f>
        <v/>
      </c>
    </row>
    <row r="62" customFormat="false" ht="15" hidden="false" customHeight="false" outlineLevel="0" collapsed="false">
      <c r="K62" s="0" t="s">
        <v>264</v>
      </c>
      <c r="L62" s="0" t="n">
        <f aca="false">IF(L60="",0,IF(AND(L61=Milestones!$AB$20,L60&gt;=SchemeStart),IF(AND(Milestones!$AB$20="FT",Milestones!$AA$20=FT_Y5,L60&lt;PolicyEff),1,Milestones!$AC$20),0))</f>
        <v>0</v>
      </c>
      <c r="M62" s="0" t="n">
        <f aca="false">IF(M60="",0,IF(AND(M61=Milestones!$AB$21,M60&gt;=SchemeStart),IF(AND(Milestones!$AB$21="FT",Milestones!$AA$21=FT_Y5,M60&lt;PolicyEff),1,Milestones!$AC$21),0))</f>
        <v>0</v>
      </c>
      <c r="N62" s="0" t="n">
        <f aca="false">IF(N60="",0,IF(AND(N61=Milestones!$AB$22,N60&gt;=SchemeStart),IF(AND(Milestones!$AB$22="FT",Milestones!$AA$22=FT_Y5,N60&lt;PolicyEff),1,Milestones!$AC$22),0))</f>
        <v>0</v>
      </c>
      <c r="O62" s="0" t="n">
        <f aca="false">IF(O60="",0,IF(AND(O61=Milestones!$AB$23,O60&gt;=SchemeStart),IF(AND(Milestones!$AB$23="FT",Milestones!$AA$23=FT_Y5,O60&lt;PolicyEff),1,Milestones!$AC$23),0))</f>
        <v>0</v>
      </c>
      <c r="P62" s="0" t="n">
        <f aca="false">IF(P60="",0,IF(AND(P61=Milestones!$AB$24,P60&gt;=SchemeStart),IF(AND(Milestones!$AB$24="FT",Milestones!$AA$24=FT_Y5,P60&lt;PolicyEff),1,Milestones!$AC$24),0))</f>
        <v>0</v>
      </c>
      <c r="Q62" s="0" t="n">
        <f aca="false">IF(Q60="",0,IF(AND(Q61=Milestones!$AB$25,Q60&gt;=SchemeStart),IF(AND(Milestones!$AB$25="FT",Milestones!$AA$25=FT_Y5,Q60&lt;PolicyEff),1,Milestones!$AC$25),0))</f>
        <v>0</v>
      </c>
      <c r="R62" s="0" t="n">
        <f aca="false">IF(R60="",0,IF(AND(R61=Milestones!$AB$26,R60&gt;=SchemeStart),IF(AND(Milestones!$AB$26="FT",Milestones!$AA$26=FT_Y5,R60&lt;PolicyEff),1,Milestones!$AC$26),0))</f>
        <v>0</v>
      </c>
      <c r="S62" s="0" t="n">
        <f aca="false">IF(S60="",0,IF(AND(S61=Milestones!$AB$27,S60&gt;=SchemeStart),IF(AND(Milestones!$AB$27="FT",Milestones!$AA$27=FT_Y5,S60&lt;PolicyEff),1,Milestones!$AC$27),0))</f>
        <v>0</v>
      </c>
      <c r="T62" s="0" t="n">
        <f aca="false">IF(T60="",0,IF(AND(T61=Milestones!$AB$28,T60&gt;=SchemeStart),IF(AND(Milestones!$AB$28="FT",Milestones!$AA$28=FT_Y5,T60&lt;PolicyEff),1,Milestones!$AC$28),0))</f>
        <v>0</v>
      </c>
      <c r="U62" s="0" t="n">
        <f aca="false">IF(U60="",0,IF(AND(U61=Milestones!$AB$29,U60&gt;=SchemeStart),IF(AND(Milestones!$AB$29="FT",Milestones!$AA$29=FT_Y5,U60&lt;PolicyEff),1,Milestones!$AC$29),0))</f>
        <v>0</v>
      </c>
      <c r="V62" s="0" t="n">
        <f aca="false">IF(V60="",0,IF(AND(V61=Milestones!$AB$30,V60&gt;=SchemeStart),IF(AND(Milestones!$AB$30="FT",Milestones!$AA$30=FT_Y5,V60&lt;PolicyEff),1,Milestones!$AC$30),0))</f>
        <v>0</v>
      </c>
      <c r="W62" s="0" t="n">
        <f aca="false">IF(W60="",0,IF(AND(W61=Milestones!$AB$31,W60&gt;=SchemeStart),IF(AND(Milestones!$AB$31="FT",Milestones!$AA$31=FT_Y5,W60&lt;PolicyEff),1,Milestones!$AC$31),0))</f>
        <v>0</v>
      </c>
      <c r="X62" s="0" t="n">
        <f aca="false">IF(X60="",0,IF(AND(X61=Milestones!$AB$32,X60&gt;=SchemeStart),IF(AND(Milestones!$AB$32="FT",Milestones!$AA$32=FT_Y5,X60&lt;PolicyEff),1,Milestones!$AC$32),0))</f>
        <v>0</v>
      </c>
      <c r="Y62" s="0" t="n">
        <f aca="false">IF(Y60="",0,IF(AND(Y61=Milestones!$AB$33,Y60&gt;=SchemeStart),IF(AND(Milestones!$AB$33="FT",Milestones!$AA$33=FT_Y5,Y60&lt;PolicyEff),1,Milestones!$AC$33),0))</f>
        <v>0</v>
      </c>
      <c r="Z62" s="0" t="n">
        <f aca="false">IF(Z60="",0,IF(AND(Z61=Milestones!$AB$34,Z60&gt;=SchemeStart),IF(AND(Milestones!$AB$34="FT",Milestones!$AA$34=FT_Y5,Z60&lt;PolicyEff),1,Milestones!$AC$34),0))</f>
        <v>0</v>
      </c>
      <c r="AA62" s="0" t="n">
        <f aca="false">IF(AA60="",0,IF(AND(AA61=Milestones!$AB$35,AA60&gt;=SchemeStart),IF(AND(Milestones!$AB$35="FT",Milestones!$AA$35=FT_Y5,AA60&lt;PolicyEff),1,Milestones!$AC$35),0))</f>
        <v>0</v>
      </c>
      <c r="AB62" s="0" t="n">
        <f aca="false">IF(AB60="",0,IF(AND(AB61=Milestones!$AB$36,AB60&gt;=SchemeStart),IF(AND(Milestones!$AB$36="FT",Milestones!$AA$36=FT_Y5,AB60&lt;PolicyEff),1,Milestones!$AC$36),0))</f>
        <v>0</v>
      </c>
      <c r="AC62" s="0" t="n">
        <f aca="false">IF(AC60="",0,IF(AND(AC61=Milestones!$AB$37,AC60&gt;=SchemeStart),IF(AND(Milestones!$AB$37="FT",Milestones!$AA$37=FT_Y5,AC60&lt;PolicyEff),1,Milestones!$AC$37),0))</f>
        <v>0</v>
      </c>
      <c r="AD62" s="0" t="n">
        <f aca="false">IF(AD60="",0,IF(AND(AD61=Milestones!$AB$38,AD60&gt;=SchemeStart),IF(AND(Milestones!$AB$38="FT",Milestones!$AA$38=FT_Y5,AD60&lt;PolicyEff),1,Milestones!$AC$38),0))</f>
        <v>0</v>
      </c>
      <c r="AE62" s="0" t="n">
        <f aca="false">IF(AE60="",0,IF(AND(AE61=Milestones!$AB$39,AE60&gt;=SchemeStart),IF(AND(Milestones!$AB$39="FT",Milestones!$AA$39=FT_Y5,AE60&lt;PolicyEff),1,Milestones!$AC$39),0))</f>
        <v>0</v>
      </c>
      <c r="AF62" s="0" t="n">
        <f aca="false">IF(AF60="",0,IF(AND(AF61=Milestones!$AB$40,AF60&gt;=SchemeStart),IF(AND(Milestones!$AB$40="FT",Milestones!$AA$40=FT_Y5,AF60&lt;PolicyEff),1,Milestones!$AC$40),0))</f>
        <v>0</v>
      </c>
      <c r="AG62" s="0" t="n">
        <f aca="false">IF(AG60="",0,IF(AND(AG61=Milestones!$AB$41,AG60&gt;=SchemeStart),IF(AND(Milestones!$AB$41="FT",Milestones!$AA$41=FT_Y5,AG60&lt;PolicyEff),1,Milestones!$AC$41),0))</f>
        <v>0</v>
      </c>
      <c r="AH62" s="0" t="n">
        <f aca="false">IF(AH60="",0,IF(AND(AH61=Milestones!$AB$42,AH60&gt;=SchemeStart),IF(AND(Milestones!$AB$42="FT",Milestones!$AA$42=FT_Y5,AH60&lt;PolicyEff),1,Milestones!$AC$42),0))</f>
        <v>0</v>
      </c>
      <c r="AI62" s="0" t="n">
        <f aca="false">IF(AI60="",0,IF(AND(AI61=Milestones!$AB$43,AI60&gt;=SchemeStart),IF(AND(Milestones!$AB$43="FT",Milestones!$AA$43=FT_Y5,AI60&lt;PolicyEff),1,Milestones!$AC$43),0))</f>
        <v>0</v>
      </c>
      <c r="AJ62" s="0" t="n">
        <f aca="false">IF(AJ60="",0,IF(AND(AJ61=Milestones!$AB$44,AJ60&gt;=SchemeStart),IF(AND(Milestones!$AB$44="FT",Milestones!$AA$44=FT_Y5,AJ60&lt;PolicyEff),1,Milestones!$AC$44),0))</f>
        <v>0</v>
      </c>
      <c r="AK62" s="0" t="n">
        <f aca="false">IF(AK60="",0,IF(AND(AK61=Milestones!$AB$45,AK60&gt;=SchemeStart),IF(AND(Milestones!$AB$45="FT",Milestones!$AA$45=FT_Y5,AK60&lt;PolicyEff),1,Milestones!$AC$45),0))</f>
        <v>0</v>
      </c>
      <c r="AL62" s="0" t="n">
        <f aca="false">IF(AL60="",0,IF(AND(AL61=Milestones!$AB$46,AL60&gt;=SchemeStart),IF(AND(Milestones!$AB$46="FT",Milestones!$AA$46=FT_Y5,AL60&lt;PolicyEff),1,Milestones!$AC$46),0))</f>
        <v>0</v>
      </c>
      <c r="AM62" s="0" t="n">
        <f aca="false">IF(AM60="",0,IF(AND(AM61=Milestones!$AB$47,AM60&gt;=SchemeStart),IF(AND(Milestones!$AB$47="FT",Milestones!$AA$47=FT_Y5,AM60&lt;PolicyEff),1,Milestones!$AC$47),0))</f>
        <v>0</v>
      </c>
      <c r="AN62" s="0" t="n">
        <f aca="false">IF(AN60="",0,IF(AND(AN61=Milestones!$AB$48,AN60&gt;=SchemeStart),IF(AND(Milestones!$AB$48="FT",Milestones!$AA$48=FT_Y5,AN60&lt;PolicyEff),1,Milestones!$AC$48),0))</f>
        <v>0</v>
      </c>
      <c r="AO62" s="0" t="n">
        <f aca="false">IF(AO60="",0,IF(AND(AO61=Milestones!$AB$49,AO60&gt;=SchemeStart),IF(AND(Milestones!$AB$49="FT",Milestones!$AA$49=FT_Y5,AO60&lt;PolicyEff),1,Milestones!$AC$49),0))</f>
        <v>0</v>
      </c>
      <c r="AP62" s="0" t="n">
        <f aca="false">IF(AP60="",0,IF(AND(AP61=Milestones!$AB$50,AP60&gt;=SchemeStart),IF(AND(Milestones!$AB$50="FT",Milestones!$AA$50=FT_Y5,AP60&lt;PolicyEff),1,Milestones!$AC$50),0))</f>
        <v>0</v>
      </c>
      <c r="AQ62" s="0" t="n">
        <f aca="false">IF(AQ60="",0,IF(AND(AQ61=Milestones!$AB$51,AQ60&gt;=SchemeStart),IF(AND(Milestones!$AB$51="FT",Milestones!$AA$51=FT_Y5,AQ60&lt;PolicyEff),1,Milestones!$AC$51),0))</f>
        <v>0</v>
      </c>
      <c r="AR62" s="0" t="n">
        <f aca="false">IF(AR60="",0,IF(AND(AR61=Milestones!$AB$52,AR60&gt;=SchemeStart),IF(AND(Milestones!$AB$52="FT",Milestones!$AA$52=FT_Y5,AR60&lt;PolicyEff),1,Milestones!$AC$52),0))</f>
        <v>0</v>
      </c>
      <c r="AS62" s="0" t="n">
        <f aca="false">IF(AS60="",0,IF(AND(AS61=Milestones!$AB$53,AS60&gt;=SchemeStart),IF(AND(Milestones!$AB$53="FT",Milestones!$AA$53=FT_Y5,AS60&lt;PolicyEff),1,Milestones!$AC$53),0))</f>
        <v>0</v>
      </c>
      <c r="AT62" s="0" t="n">
        <f aca="false">IF(AT60="",0,IF(AND(AT61=Milestones!$AB$54,AT60&gt;=SchemeStart),IF(AND(Milestones!$AB$54="FT",Milestones!$AA$54=FT_Y5,AT60&lt;PolicyEff),1,Milestones!$AC$54),0))</f>
        <v>0</v>
      </c>
      <c r="AU62" s="0" t="n">
        <f aca="false">IF(AU60="",0,IF(AND(AU61=Milestones!$AB$55,AU60&gt;=SchemeStart),IF(AND(Milestones!$AB$55="FT",Milestones!$AA$55=FT_Y5,AU60&lt;PolicyEff),1,Milestones!$AC$55),0))</f>
        <v>0</v>
      </c>
      <c r="AV62" s="0" t="n">
        <f aca="false">IF(AV60="",0,IF(AND(AV61=Milestones!$AB$56,AV60&gt;=SchemeStart),IF(AND(Milestones!$AB$56="FT",Milestones!$AA$56=FT_Y5,AV60&lt;PolicyEff),1,Milestones!$AC$56),0))</f>
        <v>0</v>
      </c>
      <c r="AW62" s="0" t="n">
        <f aca="false">IF(AW60="",0,IF(AND(AW61=Milestones!$AB$57,AW60&gt;=SchemeStart),IF(AND(Milestones!$AB$57="FT",Milestones!$AA$57=FT_Y5,AW60&lt;PolicyEff),1,Milestones!$AC$57),0))</f>
        <v>0</v>
      </c>
      <c r="AX62" s="0" t="n">
        <f aca="false">IF(AX60="",0,IF(AND(AX61=Milestones!$AB$58,AX60&gt;=SchemeStart),IF(AND(Milestones!$AB$58="FT",Milestones!$AA$58=FT_Y5,AX60&lt;PolicyEff),1,Milestones!$AC$58),0))</f>
        <v>0</v>
      </c>
      <c r="AY62" s="0" t="n">
        <f aca="false">IF(AY60="",0,IF(AND(AY61=Milestones!$AB$59,AY60&gt;=SchemeStart),IF(AND(Milestones!$AB$59="FT",Milestones!$AA$59=FT_Y5,AY60&lt;PolicyEff),1,Milestones!$AC$59),0))</f>
        <v>0</v>
      </c>
      <c r="AZ62" s="0" t="n">
        <f aca="false">IF(AZ60="",0,IF(AND(AZ61=Milestones!$AB$60,AZ60&gt;=SchemeStart),IF(AND(Milestones!$AB$60="FT",Milestones!$AA$60=FT_Y5,AZ60&lt;PolicyEff),1,Milestones!$AC$60),0))</f>
        <v>0</v>
      </c>
      <c r="BA62" s="0" t="n">
        <f aca="false">IF(BA60="",0,IF(AND(BA61=Milestones!$AB$61,BA60&gt;=SchemeStart),IF(AND(Milestones!$AB$61="FT",Milestones!$AA$61=FT_Y5,BA60&lt;PolicyEff),1,Milestones!$AC$61),0))</f>
        <v>0</v>
      </c>
      <c r="BB62" s="0" t="n">
        <f aca="false">IF(BB60="",0,IF(AND(BB61=Milestones!$AB$62,BB60&gt;=SchemeStart),IF(AND(Milestones!$AB$62="FT",Milestones!$AA$62=FT_Y5,BB60&lt;PolicyEff),1,Milestones!$AC$62),0))</f>
        <v>0</v>
      </c>
      <c r="BC62" s="0" t="n">
        <f aca="false">IF(BC60="",0,IF(AND(BC61=Milestones!$AB$63,BC60&gt;=SchemeStart),IF(AND(Milestones!$AB$63="FT",Milestones!$AA$63=FT_Y5,BC60&lt;PolicyEff),1,Milestones!$AC$63),0))</f>
        <v>0</v>
      </c>
      <c r="BD62" s="0" t="n">
        <f aca="false">IF(BD60="",0,IF(AND(BD61=Milestones!$AB$64,BD60&gt;=SchemeStart),IF(AND(Milestones!$AB$64="FT",Milestones!$AA$64=FT_Y5,BD60&lt;PolicyEff),1,Milestones!$AC$64),0))</f>
        <v>0</v>
      </c>
      <c r="BE62" s="0" t="n">
        <f aca="false">IF(BE60="",0,IF(AND(BE61=Milestones!$AB$65,BE60&gt;=SchemeStart),IF(AND(Milestones!$AB$65="FT",Milestones!$AA$65=FT_Y5,BE60&lt;PolicyEff),1,Milestones!$AC$65),0))</f>
        <v>0</v>
      </c>
      <c r="BF62" s="0" t="n">
        <f aca="false">IF(BF60="",0,IF(AND(BF61=Milestones!$AB$66,BF60&gt;=SchemeStart),IF(AND(Milestones!$AB$66="FT",Milestones!$AA$66=FT_Y5,BF60&lt;PolicyEff),1,Milestones!$AC$66),0))</f>
        <v>0</v>
      </c>
      <c r="BG62" s="0" t="n">
        <f aca="false">IF(BG60="",0,IF(AND(BG61=Milestones!$AB$67,BG60&gt;=SchemeStart),IF(AND(Milestones!$AB$67="FT",Milestones!$AA$67=FT_Y5,BG60&lt;PolicyEff),1,Milestones!$AC$67),0))</f>
        <v>0</v>
      </c>
      <c r="BH62" s="0" t="n">
        <f aca="false">IF(BH60="",0,IF(AND(BH61=Milestones!$AB$68,BH60&gt;=SchemeStart),IF(AND(Milestones!$AB$68="FT",Milestones!$AA$68=FT_Y5,BH60&lt;PolicyEff),1,Milestones!$AC$68),0))</f>
        <v>0</v>
      </c>
      <c r="BI62" s="0" t="n">
        <f aca="false">IF(BI60="",0,IF(AND(BI61=Milestones!$AB$69,BI60&gt;=SchemeStart),IF(AND(Milestones!$AB$69="FT",Milestones!$AA$69=FT_Y5,BI60&lt;PolicyEff),1,Milestones!$AC$69),0))</f>
        <v>0</v>
      </c>
      <c r="BJ62" s="0" t="n">
        <f aca="false">IF(BJ60="",0,IF(AND(BJ61=Milestones!$AB$70,BJ60&gt;=SchemeStart),IF(AND(Milestones!$AB$70="FT",Milestones!$AA$70=FT_Y5,BJ60&lt;PolicyEff),1,Milestones!$AC$70),0))</f>
        <v>0</v>
      </c>
      <c r="BK62" s="0" t="n">
        <f aca="false">IF(BK60="",0,IF(AND(BK61=Milestones!$AB$71,BK60&gt;=SchemeStart),IF(AND(Milestones!$AB$71="FT",Milestones!$AA$71=FT_Y5,BK60&lt;PolicyEff),1,Milestones!$AC$71),0))</f>
        <v>0</v>
      </c>
      <c r="BL62" s="0" t="n">
        <f aca="false">IF(BL60="",0,IF(AND(BL61=Milestones!$AB$72,BL60&gt;=SchemeStart),IF(AND(Milestones!$AB$72="FT",Milestones!$AA$72=FT_Y5,BL60&lt;PolicyEff),1,Milestones!$AC$72),0))</f>
        <v>0</v>
      </c>
      <c r="BM62" s="0" t="n">
        <f aca="false">IF(BM60="",0,IF(AND(BM61=Milestones!$AB$73,BM60&gt;=SchemeStart),IF(AND(Milestones!$AB$73="FT",Milestones!$AA$73=FT_Y5,BM60&lt;PolicyEff),1,Milestones!$AC$73),0))</f>
        <v>0</v>
      </c>
      <c r="BN62" s="0" t="n">
        <f aca="false">IF(BN60="",0,IF(AND(BN61=Milestones!$AB$74,BN60&gt;=SchemeStart),IF(AND(Milestones!$AB$74="FT",Milestones!$AA$74=FT_Y5,BN60&lt;PolicyEff),1,Milestones!$AC$74),0))</f>
        <v>0</v>
      </c>
      <c r="BO62" s="0" t="n">
        <f aca="false">IF(BO60="",0,IF(AND(BO61=Milestones!$AB$75,BO60&gt;=SchemeStart),IF(AND(Milestones!$AB$75="FT",Milestones!$AA$75=FT_Y5,BO60&lt;PolicyEff),1,Milestones!$AC$75),0))</f>
        <v>0</v>
      </c>
      <c r="BP62" s="0" t="n">
        <f aca="false">IF(BP60="",0,IF(AND(BP61=Milestones!$AB$76,BP60&gt;=SchemeStart),IF(AND(Milestones!$AB$76="FT",Milestones!$AA$76=FT_Y5,BP60&lt;PolicyEff),1,Milestones!$AC$76),0))</f>
        <v>0</v>
      </c>
      <c r="BQ62" s="0" t="n">
        <f aca="false">IF(BQ60="",0,IF(AND(BQ61=Milestones!$AB$77,BQ60&gt;=SchemeStart),IF(AND(Milestones!$AB$77="FT",Milestones!$AA$77=FT_Y5,BQ60&lt;PolicyEff),1,Milestones!$AC$77),0))</f>
        <v>0</v>
      </c>
      <c r="BR62" s="0" t="n">
        <f aca="false">IF(BR60="",0,IF(AND(BR61=Milestones!$AB$78,BR60&gt;=SchemeStart),IF(AND(Milestones!$AB$78="FT",Milestones!$AA$78=FT_Y5,BR60&lt;PolicyEff),1,Milestones!$AC$78),0))</f>
        <v>0</v>
      </c>
      <c r="BS62" s="0" t="n">
        <f aca="false">IF(BS60="",0,IF(AND(BS61=Milestones!$AB$79,BS60&gt;=SchemeStart),IF(AND(Milestones!$AB$79="FT",Milestones!$AA$79=FT_Y5,BS60&lt;PolicyEff),1,Milestones!$AC$79),0))</f>
        <v>0</v>
      </c>
      <c r="BT62" s="0" t="n">
        <f aca="false">IF(BT60="",0,IF(AND(BT61=Milestones!$AB$80,BT60&gt;=SchemeStart),IF(AND(Milestones!$AB$80="FT",Milestones!$AA$80=FT_Y5,BT60&lt;PolicyEff),1,Milestones!$AC$80),0))</f>
        <v>0</v>
      </c>
      <c r="BU62" s="0" t="n">
        <f aca="false">IF(BU60="",0,IF(AND(BU61=Milestones!$AB$81,BU60&gt;=SchemeStart),IF(AND(Milestones!$AB$81="FT",Milestones!$AA$81=FT_Y5,BU60&lt;PolicyEff),1,Milestones!$AC$81),0))</f>
        <v>0</v>
      </c>
      <c r="BV62" s="0" t="n">
        <f aca="false">IF(BV60="",0,IF(AND(BV61=Milestones!$AB$82,BV60&gt;=SchemeStart),IF(AND(Milestones!$AB$82="FT",Milestones!$AA$82=FT_Y5,BV60&lt;PolicyEff),1,Milestones!$AC$82),0))</f>
        <v>0</v>
      </c>
      <c r="BW62" s="0" t="n">
        <f aca="false">IF(BW60="",0,IF(AND(BW61=Milestones!$AB$83,BW60&gt;=SchemeStart),IF(AND(Milestones!$AB$83="FT",Milestones!$AA$83=FT_Y5,BW60&lt;PolicyEff),1,Milestones!$AC$83),0))</f>
        <v>0</v>
      </c>
      <c r="BX62" s="0" t="n">
        <f aca="false">IF(BX60="",0,IF(AND(BX61=Milestones!$AB$84,BX60&gt;=SchemeStart),IF(AND(Milestones!$AB$84="FT",Milestones!$AA$84=FT_Y5,BX60&lt;PolicyEff),1,Milestones!$AC$84),0))</f>
        <v>0</v>
      </c>
      <c r="BY62" s="0" t="n">
        <f aca="false">IF(BY60="",0,IF(AND(BY61=Milestones!$AB$85,BY60&gt;=SchemeStart),IF(AND(Milestones!$AB$85="FT",Milestones!$AA$85=FT_Y5,BY60&lt;PolicyEff),1,Milestones!$AC$85),0))</f>
        <v>0</v>
      </c>
      <c r="BZ62" s="0" t="n">
        <f aca="false">IF(BZ60="",0,IF(AND(BZ61=Milestones!$AB$86,BZ60&gt;=SchemeStart),IF(AND(Milestones!$AB$86="FT",Milestones!$AA$86=FT_Y5,BZ60&lt;PolicyEff),1,Milestones!$AC$86),0))</f>
        <v>0</v>
      </c>
      <c r="CA62" s="0" t="n">
        <f aca="false">IF(CA60="",0,IF(AND(CA61=Milestones!$AB$87,CA60&gt;=SchemeStart),IF(AND(Milestones!$AB$87="FT",Milestones!$AA$87=FT_Y5,CA60&lt;PolicyEff),1,Milestones!$AC$87),0))</f>
        <v>0</v>
      </c>
      <c r="CB62" s="0" t="n">
        <f aca="false">IF(CB60="",0,IF(AND(CB61=Milestones!$AB$88,CB60&gt;=SchemeStart),IF(AND(Milestones!$AB$88="FT",Milestones!$AA$88=FT_Y5,CB60&lt;PolicyEff),1,Milestones!$AC$88),0))</f>
        <v>0</v>
      </c>
      <c r="CC62" s="0" t="n">
        <f aca="false">IF(CC60="",0,IF(AND(CC61=Milestones!$AB$89,CC60&gt;=SchemeStart),IF(AND(Milestones!$AB$89="FT",Milestones!$AA$89=FT_Y5,CC60&lt;PolicyEff),1,Milestones!$AC$89),0))</f>
        <v>0</v>
      </c>
      <c r="CD62" s="0" t="n">
        <f aca="false">IF(CD60="",0,IF(AND(CD61=Milestones!$AB$90,CD60&gt;=SchemeStart),IF(AND(Milestones!$AB$90="FT",Milestones!$AA$90=FT_Y5,CD60&lt;PolicyEff),1,Milestones!$AC$90),0))</f>
        <v>0</v>
      </c>
      <c r="CE62" s="0" t="n">
        <f aca="false">IF(CE60="",0,IF(AND(CE61=Milestones!$AB$91,CE60&gt;=SchemeStart),IF(AND(Milestones!$AB$91="FT",Milestones!$AA$91=FT_Y5,CE60&lt;PolicyEff),1,Milestones!$AC$91),0))</f>
        <v>0</v>
      </c>
      <c r="CF62" s="0" t="n">
        <f aca="false">IF(CF60="",0,IF(AND(CF61=Milestones!$AB$92,CF60&gt;=SchemeStart),IF(AND(Milestones!$AB$92="FT",Milestones!$AA$92=FT_Y5,CF60&lt;PolicyEff),1,Milestones!$AC$92),0))</f>
        <v>0</v>
      </c>
      <c r="CG62" s="0" t="n">
        <f aca="false">IF(CG60="",0,IF(AND(CG61=Milestones!$AB$93,CG60&gt;=SchemeStart),IF(AND(Milestones!$AB$93="FT",Milestones!$AA$93=FT_Y5,CG60&lt;PolicyEff),1,Milestones!$AC$93),0))</f>
        <v>0</v>
      </c>
      <c r="CH62" s="0" t="n">
        <f aca="false">IF(CH60="",0,IF(AND(CH61=Milestones!$AB$94,CH60&gt;=SchemeStart),IF(AND(Milestones!$AB$94="FT",Milestones!$AA$94=FT_Y5,CH60&lt;PolicyEff),1,Milestones!$AC$94),0))</f>
        <v>0</v>
      </c>
      <c r="CI62" s="0" t="n">
        <f aca="false">IF(CI60="",0,IF(AND(CI61=Milestones!$AB$95,CI60&gt;=SchemeStart),IF(AND(Milestones!$AB$95="FT",Milestones!$AA$95=FT_Y5,CI60&lt;PolicyEff),1,Milestones!$AC$95),0))</f>
        <v>0</v>
      </c>
      <c r="CJ62" s="0" t="n">
        <f aca="false">IF(CJ60="",0,IF(AND(CJ61=Milestones!$AB$96,CJ60&gt;=SchemeStart),IF(AND(Milestones!$AB$96="FT",Milestones!$AA$96=FT_Y5,CJ60&lt;PolicyEff),1,Milestones!$AC$96),0))</f>
        <v>0</v>
      </c>
      <c r="CK62" s="0" t="n">
        <f aca="false">IF(CK60="",0,IF(AND(CK61=Milestones!$AB$97,CK60&gt;=SchemeStart),IF(AND(Milestones!$AB$97="FT",Milestones!$AA$97=FT_Y5,CK60&lt;PolicyEff),1,Milestones!$AC$97),0))</f>
        <v>0</v>
      </c>
      <c r="CL62" s="0" t="n">
        <f aca="false">IF(CL60="",0,IF(AND(CL61=Milestones!$AB$98,CL60&gt;=SchemeStart),IF(AND(Milestones!$AB$98="FT",Milestones!$AA$98=FT_Y5,CL60&lt;PolicyEff),1,Milestones!$AC$98),0))</f>
        <v>0</v>
      </c>
      <c r="CM62" s="0" t="n">
        <f aca="false">IF(CM60="",0,IF(AND(CM61=Milestones!$AB$99,CM60&gt;=SchemeStart),IF(AND(Milestones!$AB$99="FT",Milestones!$AA$99=FT_Y5,CM60&lt;PolicyEff),1,Milestones!$AC$99),0))</f>
        <v>0</v>
      </c>
      <c r="CN62" s="0" t="n">
        <f aca="false">IF(CN60="",0,IF(AND(CN61=Milestones!$AB$100,CN60&gt;=SchemeStart),IF(AND(Milestones!$AB$100="FT",Milestones!$AA$100=FT_Y5,CN60&lt;PolicyEff),1,Milestones!$AC$100),0))</f>
        <v>0</v>
      </c>
      <c r="CO62" s="0" t="n">
        <f aca="false">IF(CO60="",0,IF(AND(CO61=Milestones!$AB$101,CO60&gt;=SchemeStart),IF(AND(Milestones!$AB$101="FT",Milestones!$AA$101=FT_Y5,CO60&lt;PolicyEff),1,Milestones!$AC$101),0))</f>
        <v>0</v>
      </c>
      <c r="CP62" s="0" t="n">
        <f aca="false">IF(CP60="",0,IF(AND(CP61=Milestones!$AB$102,CP60&gt;=SchemeStart),IF(AND(Milestones!$AB$102="FT",Milestones!$AA$102=FT_Y5,CP60&lt;PolicyEff),1,Milestones!$AC$102),0))</f>
        <v>0</v>
      </c>
      <c r="CQ62" s="0" t="n">
        <f aca="false">IF(CQ60="",0,IF(AND(CQ61=Milestones!$AB$103,CQ60&gt;=SchemeStart),IF(AND(Milestones!$AB$103="FT",Milestones!$AA$103=FT_Y5,CQ60&lt;PolicyEff),1,Milestones!$AC$103),0))</f>
        <v>0</v>
      </c>
      <c r="CR62" s="0" t="n">
        <f aca="false">IF(CR60="",0,IF(AND(CR61=Milestones!$AB$104,CR60&gt;=SchemeStart),IF(AND(Milestones!$AB$104="FT",Milestones!$AA$104=FT_Y5,CR60&lt;PolicyEff),1,Milestones!$AC$104),0))</f>
        <v>0</v>
      </c>
      <c r="CS62" s="0" t="n">
        <f aca="false">IF(CS60="",0,IF(AND(CS61=Milestones!$AB$105,CS60&gt;=SchemeStart),IF(AND(Milestones!$AB$105="FT",Milestones!$AA$105=FT_Y5,CS60&lt;PolicyEff),1,Milestones!$AC$105),0))</f>
        <v>0</v>
      </c>
      <c r="CT62" s="0" t="n">
        <f aca="false">IF(CT60="",0,IF(AND(CT61=Milestones!$AB$106,CT60&gt;=SchemeStart),IF(AND(Milestones!$AB$106="FT",Milestones!$AA$106=FT_Y5,CT60&lt;PolicyEff),1,Milestones!$AC$106),0))</f>
        <v>0</v>
      </c>
      <c r="CU62" s="0" t="n">
        <f aca="false">IF(CU60="",0,IF(AND(CU61=Milestones!$AB$107,CU60&gt;=SchemeStart),IF(AND(Milestones!$AB$107="FT",Milestones!$AA$107=FT_Y5,CU60&lt;PolicyEff),1,Milestones!$AC$107),0))</f>
        <v>0</v>
      </c>
      <c r="CV62" s="0" t="n">
        <f aca="false">IF(CV60="",0,IF(AND(CV61=Milestones!$AB$108,CV60&gt;=SchemeStart),IF(AND(Milestones!$AB$108="FT",Milestones!$AA$108=FT_Y5,CV60&lt;PolicyEff),1,Milestones!$AC$108),0))</f>
        <v>0</v>
      </c>
      <c r="CW62" s="0" t="n">
        <f aca="false">IF(CW60="",0,IF(AND(CW61=Milestones!$AB$109,CW60&gt;=SchemeStart),IF(AND(Milestones!$AB$109="FT",Milestones!$AA$109=FT_Y5,CW60&lt;PolicyEff),1,Milestones!$AC$109),0))</f>
        <v>0</v>
      </c>
      <c r="CX62" s="0" t="n">
        <f aca="false">IF(CX60="",0,IF(AND(CX61=Milestones!$AB$110,CX60&gt;=SchemeStart),IF(AND(Milestones!$AB$110="FT",Milestones!$AA$110=FT_Y5,CX60&lt;PolicyEff),1,Milestones!$AC$110),0))</f>
        <v>0</v>
      </c>
      <c r="CY62" s="0" t="n">
        <f aca="false">IF(CY60="",0,IF(AND(CY61=Milestones!$AB$111,CY60&gt;=SchemeStart),IF(AND(Milestones!$AB$111="FT",Milestones!$AA$111=FT_Y5,CY60&lt;PolicyEff),1,Milestones!$AC$111),0))</f>
        <v>0</v>
      </c>
      <c r="CZ62" s="0" t="n">
        <f aca="false">IF(CZ60="",0,IF(AND(CZ61=Milestones!$AB$112,CZ60&gt;=SchemeStart),IF(AND(Milestones!$AB$112="FT",Milestones!$AA$112=FT_Y5,CZ60&lt;PolicyEff),1,Milestones!$AC$112),0))</f>
        <v>0</v>
      </c>
      <c r="DA62" s="0" t="n">
        <f aca="false">IF(DA60="",0,IF(AND(DA61=Milestones!$AB$113,DA60&gt;=SchemeStart),IF(AND(Milestones!$AB$113="FT",Milestones!$AA$113=FT_Y5,DA60&lt;PolicyEff),1,Milestones!$AC$113),0))</f>
        <v>0</v>
      </c>
      <c r="DB62" s="0" t="n">
        <f aca="false">IF(DB60="",0,IF(AND(DB61=Milestones!$AB$114,DB60&gt;=SchemeStart),IF(AND(Milestones!$AB$114="FT",Milestones!$AA$114=FT_Y5,DB60&lt;PolicyEff),1,Milestones!$AC$114),0))</f>
        <v>0</v>
      </c>
      <c r="DC62" s="0" t="n">
        <f aca="false">IF(DC60="",0,IF(AND(DC61=Milestones!$AB$115,DC60&gt;=SchemeStart),IF(AND(Milestones!$AB$115="FT",Milestones!$AA$115=FT_Y5,DC60&lt;PolicyEff),1,Milestones!$AC$115),0))</f>
        <v>0</v>
      </c>
      <c r="DD62" s="0" t="n">
        <f aca="false">IF(DD60="",0,IF(AND(DD61=Milestones!$AB$116,DD60&gt;=SchemeStart),IF(AND(Milestones!$AB$116="FT",Milestones!$AA$116=FT_Y5,DD60&lt;PolicyEff),1,Milestones!$AC$116),0))</f>
        <v>0</v>
      </c>
      <c r="DE62" s="0" t="n">
        <f aca="false">IF(DE60="",0,IF(AND(DE61=Milestones!$AB$117,DE60&gt;=SchemeStart),IF(AND(Milestones!$AB$117="FT",Milestones!$AA$117=FT_Y5,DE60&lt;PolicyEff),1,Milestones!$AC$117),0))</f>
        <v>0</v>
      </c>
      <c r="DF62" s="0" t="n">
        <f aca="false">IF(DF60="",0,IF(AND(DF61=Milestones!$AB$118,DF60&gt;=SchemeStart),IF(AND(Milestones!$AB$118="FT",Milestones!$AA$118=FT_Y5,DF60&lt;PolicyEff),1,Milestones!$AC$118),0))</f>
        <v>0</v>
      </c>
      <c r="DG62" s="0" t="n">
        <f aca="false">IF(DG60="",0,IF(AND(DG61=Milestones!$AB$119,DG60&gt;=SchemeStart),IF(AND(Milestones!$AB$119="FT",Milestones!$AA$119=FT_Y5,DG60&lt;PolicyEff),1,Milestones!$AC$119),0))</f>
        <v>0</v>
      </c>
      <c r="DH62" s="0" t="n">
        <f aca="false">IF(DH60="",0,IF(AND(DH61=Milestones!$AB$120,DH60&gt;=SchemeStart),IF(AND(Milestones!$AB$120="FT",Milestones!$AA$120=FT_Y5,DH60&lt;PolicyEff),1,Milestones!$AC$120),0))</f>
        <v>0</v>
      </c>
      <c r="DI62" s="0" t="n">
        <f aca="false">IF(DI60="",0,IF(AND(DI61=Milestones!$AB$121,DI60&gt;=SchemeStart),IF(AND(Milestones!$AB$121="FT",Milestones!$AA$121=FT_Y5,DI60&lt;PolicyEff),1,Milestones!$AC$121),0))</f>
        <v>0</v>
      </c>
      <c r="DJ62" s="0" t="n">
        <f aca="false">IF(DJ60="",0,IF(AND(DJ61=Milestones!$AB$122,DJ60&gt;=SchemeStart),IF(AND(Milestones!$AB$122="FT",Milestones!$AA$122=FT_Y5,DJ60&lt;PolicyEff),1,Milestones!$AC$122),0))</f>
        <v>0</v>
      </c>
      <c r="DK62" s="0" t="n">
        <f aca="false">IF(DK60="",0,IF(AND(DK61=Milestones!$AB$123,DK60&gt;=SchemeStart),IF(AND(Milestones!$AB$123="FT",Milestones!$AA$123=FT_Y5,DK60&lt;PolicyEff),1,Milestones!$AC$123),0))</f>
        <v>0</v>
      </c>
      <c r="DL62" s="0" t="n">
        <f aca="false">IF(DL60="",0,IF(AND(DL61=Milestones!$AB$124,DL60&gt;=SchemeStart),IF(AND(Milestones!$AB$124="FT",Milestones!$AA$124=FT_Y5,DL60&lt;PolicyEff),1,Milestones!$AC$124),0))</f>
        <v>0</v>
      </c>
      <c r="DM62" s="0" t="n">
        <f aca="false">IF(DM60="",0,IF(AND(DM61=Milestones!$AB$125,DM60&gt;=SchemeStart),IF(AND(Milestones!$AB$125="FT",Milestones!$AA$125=FT_Y5,DM60&lt;PolicyEff),1,Milestones!$AC$125),0))</f>
        <v>0</v>
      </c>
      <c r="DN62" s="0" t="n">
        <f aca="false">IF(DN60="",0,IF(AND(DN61=Milestones!$AB$126,DN60&gt;=SchemeStart),IF(AND(Milestones!$AB$126="FT",Milestones!$AA$126=FT_Y5,DN60&lt;PolicyEff),1,Milestones!$AC$126),0))</f>
        <v>0</v>
      </c>
      <c r="DO62" s="0" t="n">
        <f aca="false">IF(DO60="",0,IF(AND(DO61=Milestones!$AB$127,DO60&gt;=SchemeStart),IF(AND(Milestones!$AB$127="FT",Milestones!$AA$127=FT_Y5,DO60&lt;PolicyEff),1,Milestones!$AC$127),0))</f>
        <v>0</v>
      </c>
      <c r="DP62" s="0" t="n">
        <f aca="false">IF(DP60="",0,IF(AND(DP61=Milestones!$AB$128,DP60&gt;=SchemeStart),IF(AND(Milestones!$AB$128="FT",Milestones!$AA$128=FT_Y5,DP60&lt;PolicyEff),1,Milestones!$AC$128),0))</f>
        <v>0</v>
      </c>
      <c r="DQ62" s="0" t="n">
        <f aca="false">IF(DQ60="",0,IF(AND(DQ61=Milestones!$AB$129,DQ60&gt;=SchemeStart),IF(AND(Milestones!$AB$129="FT",Milestones!$AA$129=FT_Y5,DQ60&lt;PolicyEff),1,Milestones!$AC$129),0))</f>
        <v>0</v>
      </c>
      <c r="DR62" s="0" t="n">
        <f aca="false">IF(DR60="",0,IF(AND(DR61=Milestones!$AB$130,DR60&gt;=SchemeStart),IF(AND(Milestones!$AB$130="FT",Milestones!$AA$130=FT_Y5,DR60&lt;PolicyEff),1,Milestones!$AC$130),0))</f>
        <v>0</v>
      </c>
      <c r="DS62" s="0" t="n">
        <f aca="false">IF(DS60="",0,IF(AND(DS61=Milestones!$AB$131,DS60&gt;=SchemeStart),IF(AND(Milestones!$AB$131="FT",Milestones!$AA$131=FT_Y5,DS60&lt;PolicyEff),1,Milestones!$AC$131),0))</f>
        <v>0</v>
      </c>
      <c r="DT62" s="0" t="n">
        <f aca="false">IF(DT60="",0,IF(AND(DT61=Milestones!$AB$132,DT60&gt;=SchemeStart),IF(AND(Milestones!$AB$132="FT",Milestones!$AA$132=FT_Y5,DT60&lt;PolicyEff),1,Milestones!$AC$132),0))</f>
        <v>0</v>
      </c>
      <c r="DU62" s="0" t="n">
        <f aca="false">IF(DU60="",0,IF(AND(DU61=Milestones!$AB$133,DU60&gt;=SchemeStart),IF(AND(Milestones!$AB$133="FT",Milestones!$AA$133=FT_Y5,DU60&lt;PolicyEff),1,Milestones!$AC$133),0))</f>
        <v>0</v>
      </c>
      <c r="DV62" s="0" t="n">
        <f aca="false">IF(DV60="",0,IF(AND(DV61=Milestones!$AB$134,DV60&gt;=SchemeStart),IF(AND(Milestones!$AB$134="FT",Milestones!$AA$134=FT_Y5,DV60&lt;PolicyEff),1,Milestones!$AC$134),0))</f>
        <v>0</v>
      </c>
      <c r="DW62" s="0" t="n">
        <f aca="false">IF(DW60="",0,IF(AND(DW61=Milestones!$AB$135,DW60&gt;=SchemeStart),IF(AND(Milestones!$AB$135="FT",Milestones!$AA$135=FT_Y5,DW60&lt;PolicyEff),1,Milestones!$AC$135),0))</f>
        <v>0</v>
      </c>
      <c r="DX62" s="0" t="n">
        <f aca="false">IF(DX60="",0,IF(AND(DX61=Milestones!$AB$136,DX60&gt;=SchemeStart),IF(AND(Milestones!$AB$136="FT",Milestones!$AA$136=FT_Y5,DX60&lt;PolicyEff),1,Milestones!$AC$136),0))</f>
        <v>0</v>
      </c>
      <c r="DY62" s="0" t="n">
        <f aca="false">IF(DY60="",0,IF(AND(DY61=Milestones!$AB$137,DY60&gt;=SchemeStart),IF(AND(Milestones!$AB$137="FT",Milestones!$AA$137=FT_Y5,DY60&lt;PolicyEff),1,Milestones!$AC$137),0))</f>
        <v>0</v>
      </c>
      <c r="DZ62" s="0" t="n">
        <f aca="false">IF(DZ60="",0,IF(AND(DZ61=Milestones!$AB$138,DZ60&gt;=SchemeStart),IF(AND(Milestones!$AB$138="FT",Milestones!$AA$138=FT_Y5,DZ60&lt;PolicyEff),1,Milestones!$AC$138),0))</f>
        <v>0</v>
      </c>
      <c r="EA62" s="0" t="n">
        <f aca="false">IF(EA60="",0,IF(AND(EA61=Milestones!$AB$139,EA60&gt;=SchemeStart),IF(AND(Milestones!$AB$139="FT",Milestones!$AA$139=FT_Y5,EA60&lt;PolicyEff),1,Milestones!$AC$139),0))</f>
        <v>0</v>
      </c>
      <c r="EB62" s="0" t="n">
        <f aca="false">IF(EB60="",0,IF(AND(EB61=Milestones!$AB$140,EB60&gt;=SchemeStart),IF(AND(Milestones!$AB$140="FT",Milestones!$AA$140=FT_Y5,EB60&lt;PolicyEff),1,Milestones!$AC$140),0))</f>
        <v>0</v>
      </c>
      <c r="EC62" s="0" t="n">
        <f aca="false">IF(EC60="",0,IF(AND(EC61=Milestones!$AB$141,EC60&gt;=SchemeStart),IF(AND(Milestones!$AB$141="FT",Milestones!$AA$141=FT_Y5,EC60&lt;PolicyEff),1,Milestones!$AC$141),0))</f>
        <v>0</v>
      </c>
      <c r="ED62" s="0" t="n">
        <f aca="false">IF(ED60="",0,IF(AND(ED61=Milestones!$AB$142,ED60&gt;=SchemeStart),IF(AND(Milestones!$AB$142="FT",Milestones!$AA$142=FT_Y5,ED60&lt;PolicyEff),1,Milestones!$AC$142),0))</f>
        <v>0</v>
      </c>
      <c r="EE62" s="0" t="n">
        <f aca="false">IF(EE60="",0,IF(AND(EE61=Milestones!$AB$143,EE60&gt;=SchemeStart),IF(AND(Milestones!$AB$143="FT",Milestones!$AA$143=FT_Y5,EE60&lt;PolicyEff),1,Milestones!$AC$143),0))</f>
        <v>0</v>
      </c>
      <c r="EF62" s="0" t="n">
        <f aca="false">IF(EF60="",0,IF(AND(EF61=Milestones!$AB$144,EF60&gt;=SchemeStart),IF(AND(Milestones!$AB$144="FT",Milestones!$AA$144=FT_Y5,EF60&lt;PolicyEff),1,Milestones!$AC$144),0))</f>
        <v>0</v>
      </c>
      <c r="EG62" s="0" t="n">
        <f aca="false">IF(EG60="",0,IF(AND(EG61=Milestones!$AB$145,EG60&gt;=SchemeStart),IF(AND(Milestones!$AB$145="FT",Milestones!$AA$145=FT_Y5,EG60&lt;PolicyEff),1,Milestones!$AC$145),0))</f>
        <v>0</v>
      </c>
      <c r="EH62" s="0" t="n">
        <f aca="false">IF(EH60="",0,IF(AND(EH61=Milestones!$AB$146,EH60&gt;=SchemeStart),IF(AND(Milestones!$AB$146="FT",Milestones!$AA$146=FT_Y5,EH60&lt;PolicyEff),1,Milestones!$AC$146),0))</f>
        <v>0</v>
      </c>
      <c r="EI62" s="0" t="n">
        <f aca="false">IF(EI60="",0,IF(AND(EI61=Milestones!$AB$147,EI60&gt;=SchemeStart),IF(AND(Milestones!$AB$147="FT",Milestones!$AA$147=FT_Y5,EI60&lt;PolicyEff),1,Milestones!$AC$147),0))</f>
        <v>0</v>
      </c>
      <c r="EJ62" s="0" t="n">
        <f aca="false">IF(EJ60="",0,IF(AND(EJ61=Milestones!$AB$148,EJ60&gt;=SchemeStart),IF(AND(Milestones!$AB$148="FT",Milestones!$AA$148=FT_Y5,EJ60&lt;PolicyEff),1,Milestones!$AC$148),0))</f>
        <v>0</v>
      </c>
      <c r="EK62" s="0" t="n">
        <f aca="false">IF(EK60="",0,IF(AND(EK61=Milestones!$AB$149,EK60&gt;=SchemeStart),IF(AND(Milestones!$AB$149="FT",Milestones!$AA$149=FT_Y5,EK60&lt;PolicyEff),1,Milestones!$AC$149),0))</f>
        <v>0</v>
      </c>
      <c r="EL62" s="0" t="n">
        <f aca="false">IF(EL60="",0,IF(AND(EL61=Milestones!$AB$150,EL60&gt;=SchemeStart),IF(AND(Milestones!$AB$150="FT",Milestones!$AA$150=FT_Y5,EL60&lt;PolicyEff),1,Milestones!$AC$150),0))</f>
        <v>0</v>
      </c>
      <c r="EM62" s="0" t="n">
        <f aca="false">IF(EM60="",0,IF(AND(EM61=Milestones!$AB$151,EM60&gt;=SchemeStart),IF(AND(Milestones!$AB$151="FT",Milestones!$AA$151=FT_Y5,EM60&lt;PolicyEff),1,Milestones!$AC$151),0))</f>
        <v>0</v>
      </c>
      <c r="EN62" s="0" t="n">
        <f aca="false">IF(EN60="",0,IF(AND(EN61=Milestones!$AB$152,EN60&gt;=SchemeStart),IF(AND(Milestones!$AB$152="FT",Milestones!$AA$152=FT_Y5,EN60&lt;PolicyEff),1,Milestones!$AC$152),0))</f>
        <v>0</v>
      </c>
      <c r="EO62" s="0" t="n">
        <f aca="false">IF(EO60="",0,IF(AND(EO61=Milestones!$AB$153,EO60&gt;=SchemeStart),IF(AND(Milestones!$AB$153="FT",Milestones!$AA$153=FT_Y5,EO60&lt;PolicyEff),1,Milestones!$AC$153),0))</f>
        <v>0</v>
      </c>
      <c r="EP62" s="0" t="n">
        <f aca="false">IF(EP60="",0,IF(AND(EP61=Milestones!$AB$154,EP60&gt;=SchemeStart),IF(AND(Milestones!$AB$154="FT",Milestones!$AA$154=FT_Y5,EP60&lt;PolicyEff),1,Milestones!$AC$154),0))</f>
        <v>0</v>
      </c>
      <c r="EQ62" s="0" t="n">
        <f aca="false">IF(EQ60="",0,IF(AND(EQ61=Milestones!$AB$155,EQ60&gt;=SchemeStart),IF(AND(Milestones!$AB$155="FT",Milestones!$AA$155=FT_Y5,EQ60&lt;PolicyEff),1,Milestones!$AC$155),0))</f>
        <v>0</v>
      </c>
      <c r="ER62" s="0" t="n">
        <f aca="false">IF(ER60="",0,IF(AND(ER61=Milestones!$AB$156,ER60&gt;=SchemeStart),IF(AND(Milestones!$AB$156="FT",Milestones!$AA$156=FT_Y5,ER60&lt;PolicyEff),1,Milestones!$AC$156),0))</f>
        <v>0</v>
      </c>
      <c r="ES62" s="0" t="n">
        <f aca="false">IF(ES60="",0,IF(AND(ES61=Milestones!$AB$157,ES60&gt;=SchemeStart),IF(AND(Milestones!$AB$157="FT",Milestones!$AA$157=FT_Y5,ES60&lt;PolicyEff),1,Milestones!$AC$157),0))</f>
        <v>0</v>
      </c>
      <c r="ET62" s="0" t="n">
        <f aca="false">IF(ET60="",0,IF(AND(ET61=Milestones!$AB$158,ET60&gt;=SchemeStart),IF(AND(Milestones!$AB$158="FT",Milestones!$AA$158=FT_Y5,ET60&lt;PolicyEff),1,Milestones!$AC$158),0))</f>
        <v>0</v>
      </c>
      <c r="EU62" s="0" t="n">
        <f aca="false">IF(EU60="",0,IF(AND(EU61=Milestones!$AB$159,EU60&gt;=SchemeStart),IF(AND(Milestones!$AB$159="FT",Milestones!$AA$159=FT_Y5,EU60&lt;PolicyEff),1,Milestones!$AC$159),0))</f>
        <v>0</v>
      </c>
      <c r="EV62" s="0" t="n">
        <f aca="false">IF(EV60="",0,IF(AND(EV61=Milestones!$AB$160,EV60&gt;=SchemeStart),IF(AND(Milestones!$AB$160="FT",Milestones!$AA$160=FT_Y5,EV60&lt;PolicyEff),1,Milestones!$AC$160),0))</f>
        <v>0</v>
      </c>
      <c r="EW62" s="0" t="n">
        <f aca="false">IF(EW60="",0,IF(AND(EW61=Milestones!$AB$161,EW60&gt;=SchemeStart),IF(AND(Milestones!$AB$161="FT",Milestones!$AA$161=FT_Y5,EW60&lt;PolicyEff),1,Milestones!$AC$161),0))</f>
        <v>0</v>
      </c>
      <c r="EX62" s="0" t="n">
        <f aca="false">IF(EX60="",0,IF(AND(EX61=Milestones!$AB$162,EX60&gt;=SchemeStart),IF(AND(Milestones!$AB$162="FT",Milestones!$AA$162=FT_Y5,EX60&lt;PolicyEff),1,Milestones!$AC$162),0))</f>
        <v>0</v>
      </c>
      <c r="EY62" s="0" t="n">
        <f aca="false">IF(EY60="",0,IF(AND(EY61=Milestones!$AB$163,EY60&gt;=SchemeStart),IF(AND(Milestones!$AB$163="FT",Milestones!$AA$163=FT_Y5,EY60&lt;PolicyEff),1,Milestones!$AC$163),0))</f>
        <v>0</v>
      </c>
      <c r="EZ62" s="0" t="n">
        <f aca="false">IF(EZ60="",0,IF(AND(EZ61=Milestones!$AB$164,EZ60&gt;=SchemeStart),IF(AND(Milestones!$AB$164="FT",Milestones!$AA$164=FT_Y5,EZ60&lt;PolicyEff),1,Milestones!$AC$164),0))</f>
        <v>0</v>
      </c>
      <c r="FA62" s="0" t="n">
        <f aca="false">IF(FA60="",0,IF(AND(FA61=Milestones!$AB$165,FA60&gt;=SchemeStart),IF(AND(Milestones!$AB$165="FT",Milestones!$AA$165=FT_Y5,FA60&lt;PolicyEff),1,Milestones!$AC$165),0))</f>
        <v>0</v>
      </c>
      <c r="FB62" s="0" t="n">
        <f aca="false">IF(FB60="",0,IF(AND(FB61=Milestones!$AB$166,FB60&gt;=SchemeStart),IF(AND(Milestones!$AB$166="FT",Milestones!$AA$166=FT_Y5,FB60&lt;PolicyEff),1,Milestones!$AC$166),0))</f>
        <v>0</v>
      </c>
      <c r="FC62" s="0" t="n">
        <f aca="false">IF(FC60="",0,IF(AND(FC61=Milestones!$AB$167,FC60&gt;=SchemeStart),IF(AND(Milestones!$AB$167="FT",Milestones!$AA$167=FT_Y5,FC60&lt;PolicyEff),1,Milestones!$AC$167),0))</f>
        <v>0</v>
      </c>
      <c r="FD62" s="0" t="n">
        <f aca="false">IF(FD60="",0,IF(AND(FD61=Milestones!$AB$168,FD60&gt;=SchemeStart),IF(AND(Milestones!$AB$168="FT",Milestones!$AA$168=FT_Y5,FD60&lt;PolicyEff),1,Milestones!$AC$168),0))</f>
        <v>0</v>
      </c>
      <c r="FE62" s="0" t="n">
        <f aca="false">IF(FE60="",0,IF(AND(FE61=Milestones!$AB$169,FE60&gt;=SchemeStart),IF(AND(Milestones!$AB$169="FT",Milestones!$AA$169=FT_Y5,FE60&lt;PolicyEff),1,Milestones!$AC$169),0))</f>
        <v>0</v>
      </c>
      <c r="FF62" s="0" t="n">
        <f aca="false">IF(FF60="",0,IF(AND(FF61=Milestones!$AB$170,FF60&gt;=SchemeStart),IF(AND(Milestones!$AB$170="FT",Milestones!$AA$170=FT_Y5,FF60&lt;PolicyEff),1,Milestones!$AC$170),0))</f>
        <v>0</v>
      </c>
      <c r="FG62" s="0" t="n">
        <f aca="false">IF(FG60="",0,IF(AND(FG61=Milestones!$AB$171,FG60&gt;=SchemeStart),IF(AND(Milestones!$AB$171="FT",Milestones!$AA$171=FT_Y5,FG60&lt;PolicyEff),1,Milestones!$AC$171),0))</f>
        <v>0</v>
      </c>
      <c r="FH62" s="0" t="n">
        <f aca="false">IF(FH60="",0,IF(AND(FH61=Milestones!$AB$172,FH60&gt;=SchemeStart),IF(AND(Milestones!$AB$172="FT",Milestones!$AA$172=FT_Y5,FH60&lt;PolicyEff),1,Milestones!$AC$172),0))</f>
        <v>0</v>
      </c>
      <c r="FI62" s="0" t="n">
        <f aca="false">IF(FI60="",0,IF(AND(FI61=Milestones!$AB$173,FI60&gt;=SchemeStart),IF(AND(Milestones!$AB$173="FT",Milestones!$AA$173=FT_Y5,FI60&lt;PolicyEff),1,Milestones!$AC$173),0))</f>
        <v>0</v>
      </c>
      <c r="FJ62" s="0" t="n">
        <f aca="false">IF(FJ60="",0,IF(AND(FJ61=Milestones!$AB$174,FJ60&gt;=SchemeStart),IF(AND(Milestones!$AB$174="FT",Milestones!$AA$174=FT_Y5,FJ60&lt;PolicyEff),1,Milestones!$AC$174),0))</f>
        <v>0</v>
      </c>
      <c r="FK62" s="0" t="n">
        <f aca="false">IF(FK60="",0,IF(AND(FK61=Milestones!$AB$175,FK60&gt;=SchemeStart),IF(AND(Milestones!$AB$175="FT",Milestones!$AA$175=FT_Y5,FK60&lt;PolicyEff),1,Milestones!$AC$175),0))</f>
        <v>0</v>
      </c>
      <c r="FL62" s="0" t="n">
        <f aca="false">IF(FL60="",0,IF(AND(FL61=Milestones!$AB$176,FL60&gt;=SchemeStart),IF(AND(Milestones!$AB$176="FT",Milestones!$AA$176=FT_Y5,FL60&lt;PolicyEff),1,Milestones!$AC$176),0))</f>
        <v>0</v>
      </c>
      <c r="FM62" s="0" t="n">
        <f aca="false">IF(FM60="",0,IF(AND(FM61=Milestones!$AB$177,FM60&gt;=SchemeStart),IF(AND(Milestones!$AB$177="FT",Milestones!$AA$177=FT_Y5,FM60&lt;PolicyEff),1,Milestones!$AC$177),0))</f>
        <v>0</v>
      </c>
      <c r="FN62" s="0" t="n">
        <f aca="false">IF(FN60="",0,IF(AND(FN61=Milestones!$AB$178,FN60&gt;=SchemeStart),IF(AND(Milestones!$AB$178="FT",Milestones!$AA$178=FT_Y5,FN60&lt;PolicyEff),1,Milestones!$AC$178),0))</f>
        <v>0</v>
      </c>
      <c r="FO62" s="0" t="n">
        <f aca="false">IF(FO60="",0,IF(AND(FO61=Milestones!$AB$179,FO60&gt;=SchemeStart),IF(AND(Milestones!$AB$179="FT",Milestones!$AA$179=FT_Y5,FO60&lt;PolicyEff),1,Milestones!$AC$179),0))</f>
        <v>0</v>
      </c>
      <c r="FP62" s="0" t="n">
        <f aca="false">IF(FP60="",0,IF(AND(FP61=Milestones!$AB$180,FP60&gt;=SchemeStart),IF(AND(Milestones!$AB$180="FT",Milestones!$AA$180=FT_Y5,FP60&lt;PolicyEff),1,Milestones!$AC$180),0))</f>
        <v>0</v>
      </c>
      <c r="FQ62" s="0" t="n">
        <f aca="false">IF(FQ60="",0,IF(AND(FQ61=Milestones!$AB$181,FQ60&gt;=SchemeStart),IF(AND(Milestones!$AB$181="FT",Milestones!$AA$181=FT_Y5,FQ60&lt;PolicyEff),1,Milestones!$AC$181),0))</f>
        <v>0</v>
      </c>
      <c r="FR62" s="0" t="n">
        <f aca="false">IF(FR60="",0,IF(AND(FR61=Milestones!$AB$182,FR60&gt;=SchemeStart),IF(AND(Milestones!$AB$182="FT",Milestones!$AA$182=FT_Y5,FR60&lt;PolicyEff),1,Milestones!$AC$182),0))</f>
        <v>0</v>
      </c>
      <c r="FS62" s="0" t="n">
        <f aca="false">IF(FS60="",0,IF(AND(FS61=Milestones!$AB$183,FS60&gt;=SchemeStart),IF(AND(Milestones!$AB$183="FT",Milestones!$AA$183=FT_Y5,FS60&lt;PolicyEff),1,Milestones!$AC$183),0))</f>
        <v>0</v>
      </c>
      <c r="FT62" s="0" t="n">
        <f aca="false">IF(FT60="",0,IF(AND(FT61=Milestones!$AB$184,FT60&gt;=SchemeStart),IF(AND(Milestones!$AB$184="FT",Milestones!$AA$184=FT_Y5,FT60&lt;PolicyEff),1,Milestones!$AC$184),0))</f>
        <v>0</v>
      </c>
      <c r="FU62" s="0" t="n">
        <f aca="false">IF(FU60="",0,IF(AND(FU61=Milestones!$AB$185,FU60&gt;=SchemeStart),IF(AND(Milestones!$AB$185="FT",Milestones!$AA$185=FT_Y5,FU60&lt;PolicyEff),1,Milestones!$AC$185),0))</f>
        <v>0</v>
      </c>
      <c r="FV62" s="0" t="n">
        <f aca="false">IF(FV60="",0,IF(AND(FV61=Milestones!$AB$186,FV60&gt;=SchemeStart),IF(AND(Milestones!$AB$186="FT",Milestones!$AA$186=FT_Y5,FV60&lt;PolicyEff),1,Milestones!$AC$186),0))</f>
        <v>0</v>
      </c>
      <c r="FW62" s="0" t="n">
        <f aca="false">IF(FW60="",0,IF(AND(FW61=Milestones!$AB$187,FW60&gt;=SchemeStart),IF(AND(Milestones!$AB$187="FT",Milestones!$AA$187=FT_Y5,FW60&lt;PolicyEff),1,Milestones!$AC$187),0))</f>
        <v>0</v>
      </c>
      <c r="FX62" s="0" t="n">
        <f aca="false">IF(FX60="",0,IF(AND(FX61=Milestones!$AB$188,FX60&gt;=SchemeStart),IF(AND(Milestones!$AB$188="FT",Milestones!$AA$188=FT_Y5,FX60&lt;PolicyEff),1,Milestones!$AC$188),0))</f>
        <v>0</v>
      </c>
      <c r="FY62" s="0" t="n">
        <f aca="false">IF(FY60="",0,IF(AND(FY61=Milestones!$AB$189,FY60&gt;=SchemeStart),IF(AND(Milestones!$AB$189="FT",Milestones!$AA$189=FT_Y5,FY60&lt;PolicyEff),1,Milestones!$AC$189),0))</f>
        <v>0</v>
      </c>
      <c r="FZ62" s="0" t="n">
        <f aca="false">IF(FZ60="",0,IF(AND(FZ61=Milestones!$AB$190,FZ60&gt;=SchemeStart),IF(AND(Milestones!$AB$190="FT",Milestones!$AA$190=FT_Y5,FZ60&lt;PolicyEff),1,Milestones!$AC$190),0))</f>
        <v>0</v>
      </c>
      <c r="GA62" s="0" t="n">
        <f aca="false">IF(GA60="",0,IF(AND(GA61=Milestones!$AB$191,GA60&gt;=SchemeStart),IF(AND(Milestones!$AB$191="FT",Milestones!$AA$191=FT_Y5,GA60&lt;PolicyEff),1,Milestones!$AC$191),0))</f>
        <v>0</v>
      </c>
      <c r="GB62" s="0" t="n">
        <f aca="false">IF(GB60="",0,IF(AND(GB61=Milestones!$AB$192,GB60&gt;=SchemeStart),IF(AND(Milestones!$AB$192="FT",Milestones!$AA$192=FT_Y5,GB60&lt;PolicyEff),1,Milestones!$AC$192),0))</f>
        <v>0</v>
      </c>
      <c r="GC62" s="0" t="n">
        <f aca="false">IF(GC60="",0,IF(AND(GC61=Milestones!$AB$193,GC60&gt;=SchemeStart),IF(AND(Milestones!$AB$193="FT",Milestones!$AA$193=FT_Y5,GC60&lt;PolicyEff),1,Milestones!$AC$193),0))</f>
        <v>0</v>
      </c>
      <c r="GD62" s="0" t="n">
        <f aca="false">IF(GD60="",0,IF(AND(GD61=Milestones!$AB$194,GD60&gt;=SchemeStart),IF(AND(Milestones!$AB$194="FT",Milestones!$AA$194=FT_Y5,GD60&lt;PolicyEff),1,Milestones!$AC$194),0))</f>
        <v>0</v>
      </c>
      <c r="GE62" s="0" t="n">
        <f aca="false">IF(GE60="",0,IF(AND(GE61=Milestones!$AB$195,GE60&gt;=SchemeStart),IF(AND(Milestones!$AB$195="FT",Milestones!$AA$195=FT_Y5,GE60&lt;PolicyEff),1,Milestones!$AC$195),0))</f>
        <v>0</v>
      </c>
      <c r="GF62" s="0" t="n">
        <f aca="false">IF(GF60="",0,IF(AND(GF61=Milestones!$AB$196,GF60&gt;=SchemeStart),IF(AND(Milestones!$AB$196="FT",Milestones!$AA$196=FT_Y5,GF60&lt;PolicyEff),1,Milestones!$AC$196),0))</f>
        <v>0</v>
      </c>
      <c r="GG62" s="0" t="n">
        <f aca="false">IF(GG60="",0,IF(AND(GG61=Milestones!$AB$197,GG60&gt;=SchemeStart),IF(AND(Milestones!$AB$197="FT",Milestones!$AA$197=FT_Y5,GG60&lt;PolicyEff),1,Milestones!$AC$197),0))</f>
        <v>0</v>
      </c>
      <c r="GH62" s="0" t="n">
        <f aca="false">IF(GH60="",0,IF(AND(GH61=Milestones!$AB$198,GH60&gt;=SchemeStart),IF(AND(Milestones!$AB$198="FT",Milestones!$AA$198=FT_Y5,GH60&lt;PolicyEff),1,Milestones!$AC$198),0))</f>
        <v>0</v>
      </c>
      <c r="GI62" s="0" t="n">
        <f aca="false">IF(GI60="",0,IF(AND(GI61=Milestones!$AB$199,GI60&gt;=SchemeStart),IF(AND(Milestones!$AB$199="FT",Milestones!$AA$199=FT_Y5,GI60&lt;PolicyEff),1,Milestones!$AC$199),0))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2026-10-12T22:51:38Z</dcterms:created>
  <dc:creator>openpyxl</dc:creator>
  <dc:description/>
  <dc:language>en-US</dc:language>
  <cp:lastModifiedBy/>
  <dcterms:modified xsi:type="dcterms:W3CDTF">2026-10-12T22:51:40Z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